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1035" windowWidth="14820" windowHeight="7785" tabRatio="894" activeTab="9"/>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s>
  <externalReferences>
    <externalReference r:id="rId27"/>
    <externalReference r:id="rId28"/>
    <externalReference r:id="rId29"/>
    <externalReference r:id="rId30"/>
    <externalReference r:id="rId31"/>
    <externalReference r:id="rId32"/>
  </externalReferences>
  <definedNames>
    <definedName name="_C111">TH!$S$10:$S$7174</definedName>
    <definedName name="_C112">TH!$V$10:$V$7174</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xlnm._FilterDatabase" localSheetId="8" hidden="1">'111'!$A$12:$J$122</definedName>
    <definedName name="_xlnm._FilterDatabase" localSheetId="9" hidden="1">'112'!$A$10:$K$128</definedName>
    <definedName name="_xlnm._FilterDatabase" localSheetId="12" hidden="1">'131'!$A$1:$N$33</definedName>
    <definedName name="_xlnm._FilterDatabase" localSheetId="13" hidden="1">'131-CT'!$A$15:$Q$190</definedName>
    <definedName name="_xlnm._FilterDatabase" localSheetId="15" hidden="1">'152-CT'!$A$12:$Q$126</definedName>
    <definedName name="_xlnm._FilterDatabase" localSheetId="10" hidden="1">'331'!$A$3:$I$95</definedName>
    <definedName name="_xlnm._FilterDatabase" localSheetId="11" hidden="1">'331-CT'!$A$12:$L$39</definedName>
    <definedName name="_xlnm._FilterDatabase" localSheetId="23" hidden="1">'BK-NL'!$A$13:$N$159</definedName>
    <definedName name="_xlnm._FilterDatabase" localSheetId="21" hidden="1">BTGT!$A$5:$AB$25</definedName>
    <definedName name="_xlnm._FilterDatabase" localSheetId="6" hidden="1">CTTK!$A$14:$J$33</definedName>
    <definedName name="_xlnm._FilterDatabase" localSheetId="14" hidden="1">NXT!$A$71:$U$116</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TH!$A$9:$AE$7175</definedName>
    <definedName name="_xlnm._FilterDatabase" localSheetId="20" hidden="1">TK!$A$1:$J$1</definedName>
    <definedName name="_N111">TH!$R$10:$R$7174</definedName>
    <definedName name="_N112">TH!$U$10:$U$7174</definedName>
    <definedName name="_TH">TH!$K$10:$K$7174</definedName>
    <definedName name="Bột_ngọt" localSheetId="14">NXT!$C$12:$C$110</definedName>
    <definedName name="DG">TH!$J$10:$J$7174</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'131'!$B$5:$B$30</definedName>
    <definedName name="DSGT1">BTGT!$B$6:$B$17</definedName>
    <definedName name="DSGT10">BTGT!$B$205:$B$209</definedName>
    <definedName name="DSGT11">BTGT!$B$228:$B$233</definedName>
    <definedName name="DSGT12">BTGT!$B$254:$B$256</definedName>
    <definedName name="DSGT2">BTGT!$B$28:$B$30</definedName>
    <definedName name="DSGT3">BTGT!$B$46:$B$50</definedName>
    <definedName name="DSGT4">BTGT!$B$68:$B$71</definedName>
    <definedName name="DSGT5">BTGT!$B$86:$B$94</definedName>
    <definedName name="DSGT6">BTGT!$B$110:$B$136</definedName>
    <definedName name="DSGT7">BTGT!$B$143:$B$147</definedName>
    <definedName name="DSGT8">BTGT!$B$161:$B$167</definedName>
    <definedName name="DSGT9">BTGT!$B$182:$B$191</definedName>
    <definedName name="DSKH">'331'!$B$4:$B$94</definedName>
    <definedName name="DSKU">'341'!$B$19:$B$30</definedName>
    <definedName name="DSNL">NXT!$N$12:$S$544</definedName>
    <definedName name="DSSP1">BTGT!$B$6:$P$17</definedName>
    <definedName name="DSSP10">BTGT!$B$205:$P$209</definedName>
    <definedName name="DSSP11">BTGT!$B$228:$P$233</definedName>
    <definedName name="DSSP12">BTGT!$B$254:$P$256</definedName>
    <definedName name="DSSP2">BTGT!$B$28:$P$30</definedName>
    <definedName name="DSSP3">BTGT!$B$46:$P$50</definedName>
    <definedName name="DSSP4">BTGT!$B$68:$P$71</definedName>
    <definedName name="DSSP5">BTGT!$B$86:$P$94</definedName>
    <definedName name="DSSP6">BTGT!$B$110:$P$126</definedName>
    <definedName name="DSSP7">BTGT!$B$143:$P$147</definedName>
    <definedName name="DSSP8">BTGT!$B$161:$P$167</definedName>
    <definedName name="DSSP9">BTGT!$B$182:$P$191</definedName>
    <definedName name="DSTK">CDPS!$A$10:$D$78</definedName>
    <definedName name="DSTS1">'SO-TS'!$D$14:$D$34</definedName>
    <definedName name="DSTS2">'SO-TS'!$D$65:$D$66</definedName>
    <definedName name="KH">TH!$H$10:$H$7174</definedName>
    <definedName name="KHC">TH!$O$10:$O$7174</definedName>
    <definedName name="KHN">TH!$N$10:$N$7174</definedName>
    <definedName name="Loai">OFFSET(TH!$P$5,,,COUNTA(TH!$P$5:$P$10954))</definedName>
    <definedName name="Loai1">OFFSET(TH!$Q$5,,,COUNTA(TH!$Q$5:$Q$42820))</definedName>
    <definedName name="Loai10">OFFSET(TH!$AD$5,,,COUNTA(TH!$AD$5:$AD$42820))</definedName>
    <definedName name="Loai11">OFFSET(TH!$Y$5,,,COUNTA(TH!$Y$5:$Y$42820))</definedName>
    <definedName name="Loai2">OFFSET(TH!$T$5,,,COUNTA(TH!$T$5:$T$42820))</definedName>
    <definedName name="Loai3">OFFSET('SO-TS'!$P$13,,,COUNTA('SO-TS'!$P$13:$P$3936))</definedName>
    <definedName name="Loai4">OFFSET(TH!$W$5,,,COUNTA(TH!$W$5:$W$42820))</definedName>
    <definedName name="Loai5">OFFSET(TH!$X$5,,,COUNTA(TH!$X$5:$X$42820))</definedName>
    <definedName name="Loai6">OFFSET(TH!$Z$5,,,COUNTA(TH!$Z$5:$Z$42820))</definedName>
    <definedName name="Loai7">OFFSET(TH!$AA$5,,,COUNTA(TH!$AA$5:$AA$42820))</definedName>
    <definedName name="Loai8">OFFSET(TH!$AB$5,,,COUNTA(TH!$AB$5:$AB$42820))</definedName>
    <definedName name="Loai9">OFFSET(TH!$AC$5,,,COUNTA(TH!$AC$5:$AC$42820))</definedName>
    <definedName name="MH">TH!$F$10:$F$7174</definedName>
    <definedName name="NXT">NXT!$A$12:$A$431</definedName>
    <definedName name="_xlnm.Print_Area" localSheetId="8">'111'!$A$1:$J$135</definedName>
    <definedName name="_xlnm.Print_Area" localSheetId="9">'112'!$A$1:$I$138</definedName>
    <definedName name="_xlnm.Print_Area" localSheetId="15">'152-CT'!$B$2:$M$126</definedName>
    <definedName name="_xlnm.Print_Area" localSheetId="10">'331'!$A$1:$H$95</definedName>
    <definedName name="_xlnm.Print_Area" localSheetId="11">'331-CT'!$A$1:$J$219</definedName>
    <definedName name="_xlnm.Print_Area" localSheetId="16">'341'!$A$1:$P$43</definedName>
    <definedName name="_xlnm.Print_Area" localSheetId="17">'341-CT'!$A$1:$N$30</definedName>
    <definedName name="_xlnm.Print_Area" localSheetId="23">'BK-NL'!$A$1:$K$167</definedName>
    <definedName name="_xlnm.Print_Area" localSheetId="21">BTGT!$A$106:$P$168</definedName>
    <definedName name="_xlnm.Print_Area" localSheetId="6">CTTK!$A$2:$I$40</definedName>
    <definedName name="_xlnm.Print_Area" localSheetId="19">'IN-NX'!$A$1:$I$30</definedName>
    <definedName name="_xlnm.Print_Area" localSheetId="7">'IN-TC'!$B$1:$O$28</definedName>
    <definedName name="_xlnm.Print_Area" localSheetId="14">NXT!$B$8:$L$116</definedName>
    <definedName name="_xlnm.Print_Area" localSheetId="5">'SC-IV'!$A$1:$BA$65</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23">'BK-NL'!$11:$13</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TH!$I$10:$I$7174</definedName>
    <definedName name="TH">TH!$M$10:$M$7174</definedName>
    <definedName name="TM">TH!$A$10:$O$7174</definedName>
  </definedNames>
  <calcPr calcId="124519"/>
</workbook>
</file>

<file path=xl/calcChain.xml><?xml version="1.0" encoding="utf-8"?>
<calcChain xmlns="http://schemas.openxmlformats.org/spreadsheetml/2006/main">
  <c r="B390" i="34"/>
  <c r="A390" s="1"/>
  <c r="E390"/>
  <c r="AA390" s="1"/>
  <c r="P390"/>
  <c r="R390"/>
  <c r="W390"/>
  <c r="Y390"/>
  <c r="AB390"/>
  <c r="AC390"/>
  <c r="AD390"/>
  <c r="E43" i="45"/>
  <c r="F43"/>
  <c r="G43"/>
  <c r="H43"/>
  <c r="AD395" i="34"/>
  <c r="AC395"/>
  <c r="AB395"/>
  <c r="Y395"/>
  <c r="W395"/>
  <c r="P395"/>
  <c r="E395"/>
  <c r="AA395" s="1"/>
  <c r="B395"/>
  <c r="AD394"/>
  <c r="AC394"/>
  <c r="AB394"/>
  <c r="Y394"/>
  <c r="W394"/>
  <c r="Q394"/>
  <c r="P394"/>
  <c r="E394"/>
  <c r="AA394" s="1"/>
  <c r="B394"/>
  <c r="A394"/>
  <c r="M393"/>
  <c r="M392"/>
  <c r="E391"/>
  <c r="E392"/>
  <c r="E393"/>
  <c r="E396"/>
  <c r="AA396" s="1"/>
  <c r="E397"/>
  <c r="E398"/>
  <c r="E399"/>
  <c r="E400"/>
  <c r="AA400" s="1"/>
  <c r="E401"/>
  <c r="E402"/>
  <c r="E403"/>
  <c r="E404"/>
  <c r="E405"/>
  <c r="E406"/>
  <c r="E407"/>
  <c r="E408"/>
  <c r="B391"/>
  <c r="A391" s="1"/>
  <c r="P391"/>
  <c r="R391"/>
  <c r="W391"/>
  <c r="Y391"/>
  <c r="AA391"/>
  <c r="AB391"/>
  <c r="AC391"/>
  <c r="AD391"/>
  <c r="B392"/>
  <c r="A392" s="1"/>
  <c r="AA392"/>
  <c r="P392"/>
  <c r="R392"/>
  <c r="W392"/>
  <c r="Y392"/>
  <c r="AB392"/>
  <c r="AC392"/>
  <c r="AD392"/>
  <c r="B393"/>
  <c r="A393" s="1"/>
  <c r="P393"/>
  <c r="R393"/>
  <c r="W393"/>
  <c r="Y393"/>
  <c r="AA393"/>
  <c r="AB393"/>
  <c r="AC393"/>
  <c r="AD393"/>
  <c r="B396"/>
  <c r="A396" s="1"/>
  <c r="P396"/>
  <c r="T396"/>
  <c r="U396"/>
  <c r="V396"/>
  <c r="W396"/>
  <c r="Y396"/>
  <c r="AB396"/>
  <c r="AC396"/>
  <c r="AD396"/>
  <c r="B397"/>
  <c r="A397" s="1"/>
  <c r="P397"/>
  <c r="R397"/>
  <c r="T397"/>
  <c r="V397"/>
  <c r="W397"/>
  <c r="Y397"/>
  <c r="AA397"/>
  <c r="AB397"/>
  <c r="AC397"/>
  <c r="AD397"/>
  <c r="B398"/>
  <c r="A398" s="1"/>
  <c r="AA398"/>
  <c r="P398"/>
  <c r="R398"/>
  <c r="T398"/>
  <c r="U398"/>
  <c r="V398"/>
  <c r="W398"/>
  <c r="Y398"/>
  <c r="AB398"/>
  <c r="AC398"/>
  <c r="AD398"/>
  <c r="B399"/>
  <c r="A399" s="1"/>
  <c r="P399"/>
  <c r="R399"/>
  <c r="T399"/>
  <c r="V399"/>
  <c r="W399"/>
  <c r="Y399"/>
  <c r="AA399"/>
  <c r="AB399"/>
  <c r="AC399"/>
  <c r="AD399"/>
  <c r="B400"/>
  <c r="A400" s="1"/>
  <c r="P400"/>
  <c r="T400"/>
  <c r="U400"/>
  <c r="V400"/>
  <c r="W400"/>
  <c r="Y400"/>
  <c r="AB400"/>
  <c r="AC400"/>
  <c r="AD400"/>
  <c r="B401"/>
  <c r="A401" s="1"/>
  <c r="P401"/>
  <c r="R401"/>
  <c r="T401"/>
  <c r="V401"/>
  <c r="W401"/>
  <c r="Y401"/>
  <c r="AA401"/>
  <c r="AB401"/>
  <c r="AC401"/>
  <c r="AD401"/>
  <c r="B402"/>
  <c r="A402" s="1"/>
  <c r="AA402"/>
  <c r="P402"/>
  <c r="R402"/>
  <c r="T402"/>
  <c r="U402"/>
  <c r="V402"/>
  <c r="W402"/>
  <c r="Y402"/>
  <c r="AB402"/>
  <c r="AC402"/>
  <c r="AD402"/>
  <c r="B349"/>
  <c r="A349" s="1"/>
  <c r="E349"/>
  <c r="P349"/>
  <c r="R349"/>
  <c r="T349"/>
  <c r="U349"/>
  <c r="V349"/>
  <c r="W349"/>
  <c r="Y349"/>
  <c r="AA349"/>
  <c r="AB349"/>
  <c r="AC349"/>
  <c r="AD349"/>
  <c r="A350"/>
  <c r="B350"/>
  <c r="E350"/>
  <c r="P350"/>
  <c r="Q350"/>
  <c r="R350"/>
  <c r="S350"/>
  <c r="T350"/>
  <c r="U350"/>
  <c r="V350"/>
  <c r="W350"/>
  <c r="Y350"/>
  <c r="AA350"/>
  <c r="AB350"/>
  <c r="AC350"/>
  <c r="AD350"/>
  <c r="B351"/>
  <c r="A351" s="1"/>
  <c r="E351"/>
  <c r="P351"/>
  <c r="R351"/>
  <c r="T351"/>
  <c r="U351"/>
  <c r="V351"/>
  <c r="W351"/>
  <c r="Y351"/>
  <c r="AA351"/>
  <c r="AB351"/>
  <c r="AC351"/>
  <c r="AD351"/>
  <c r="A352"/>
  <c r="B352"/>
  <c r="E352"/>
  <c r="AA352" s="1"/>
  <c r="P352"/>
  <c r="Q352"/>
  <c r="R352"/>
  <c r="S352"/>
  <c r="T352"/>
  <c r="U352"/>
  <c r="V352"/>
  <c r="W352"/>
  <c r="Y352"/>
  <c r="AB352"/>
  <c r="AC352"/>
  <c r="AD352"/>
  <c r="B353"/>
  <c r="A353" s="1"/>
  <c r="E353"/>
  <c r="P353"/>
  <c r="R353"/>
  <c r="T353"/>
  <c r="U353"/>
  <c r="V353"/>
  <c r="W353"/>
  <c r="Y353"/>
  <c r="AA353"/>
  <c r="AB353"/>
  <c r="AC353"/>
  <c r="AD353"/>
  <c r="A354"/>
  <c r="B354"/>
  <c r="E354"/>
  <c r="AA354" s="1"/>
  <c r="P354"/>
  <c r="Q354"/>
  <c r="R354"/>
  <c r="S354"/>
  <c r="T354"/>
  <c r="U354"/>
  <c r="V354"/>
  <c r="W354"/>
  <c r="Y354"/>
  <c r="AB354"/>
  <c r="AC354"/>
  <c r="AD354"/>
  <c r="B355"/>
  <c r="A355" s="1"/>
  <c r="E355"/>
  <c r="P355"/>
  <c r="R355"/>
  <c r="T355"/>
  <c r="U355"/>
  <c r="V355"/>
  <c r="W355"/>
  <c r="Y355"/>
  <c r="AA355"/>
  <c r="AB355"/>
  <c r="AC355"/>
  <c r="AD355"/>
  <c r="A356"/>
  <c r="B356"/>
  <c r="E356"/>
  <c r="AA356" s="1"/>
  <c r="P356"/>
  <c r="Q356"/>
  <c r="R356"/>
  <c r="S356"/>
  <c r="T356"/>
  <c r="U356"/>
  <c r="V356"/>
  <c r="W356"/>
  <c r="Y356"/>
  <c r="AB356"/>
  <c r="AC356"/>
  <c r="AD356"/>
  <c r="B357"/>
  <c r="A357" s="1"/>
  <c r="E357"/>
  <c r="P357"/>
  <c r="R357"/>
  <c r="T357"/>
  <c r="U357"/>
  <c r="V357"/>
  <c r="W357"/>
  <c r="Y357"/>
  <c r="AA357"/>
  <c r="AB357"/>
  <c r="AC357"/>
  <c r="AD357"/>
  <c r="A358"/>
  <c r="B358"/>
  <c r="E358"/>
  <c r="AA358" s="1"/>
  <c r="P358"/>
  <c r="Q358"/>
  <c r="R358"/>
  <c r="S358"/>
  <c r="T358"/>
  <c r="U358"/>
  <c r="V358"/>
  <c r="W358"/>
  <c r="Y358"/>
  <c r="AB358"/>
  <c r="AC358"/>
  <c r="AD358"/>
  <c r="AD273"/>
  <c r="AC273"/>
  <c r="AB273"/>
  <c r="Y273"/>
  <c r="W273"/>
  <c r="V273"/>
  <c r="U273"/>
  <c r="T273"/>
  <c r="P273"/>
  <c r="K273"/>
  <c r="M273" s="1"/>
  <c r="E273"/>
  <c r="AA273" s="1"/>
  <c r="B273"/>
  <c r="R273" s="1"/>
  <c r="L16" i="63"/>
  <c r="AD257" i="34"/>
  <c r="AC257"/>
  <c r="AB257"/>
  <c r="Y257"/>
  <c r="W257"/>
  <c r="V257"/>
  <c r="U257"/>
  <c r="T257"/>
  <c r="P257"/>
  <c r="E257"/>
  <c r="AA257" s="1"/>
  <c r="B257"/>
  <c r="R257" s="1"/>
  <c r="AD256"/>
  <c r="AC256"/>
  <c r="AB256"/>
  <c r="Y256"/>
  <c r="W256"/>
  <c r="V256"/>
  <c r="U256"/>
  <c r="T256"/>
  <c r="P256"/>
  <c r="E256"/>
  <c r="AA256" s="1"/>
  <c r="B256"/>
  <c r="R256" s="1"/>
  <c r="AD255"/>
  <c r="AC255"/>
  <c r="AB255"/>
  <c r="Y255"/>
  <c r="W255"/>
  <c r="V255"/>
  <c r="U255"/>
  <c r="T255"/>
  <c r="P255"/>
  <c r="E255"/>
  <c r="AA255" s="1"/>
  <c r="B255"/>
  <c r="R255" s="1"/>
  <c r="S390" l="1"/>
  <c r="Q390"/>
  <c r="R400"/>
  <c r="R396"/>
  <c r="S394"/>
  <c r="R394"/>
  <c r="A395"/>
  <c r="Q395"/>
  <c r="S395"/>
  <c r="R395"/>
  <c r="S402"/>
  <c r="Q402"/>
  <c r="S400"/>
  <c r="Q400"/>
  <c r="S398"/>
  <c r="Q398"/>
  <c r="S396"/>
  <c r="Q396"/>
  <c r="S392"/>
  <c r="Q392"/>
  <c r="U401"/>
  <c r="S401"/>
  <c r="Q401"/>
  <c r="U399"/>
  <c r="S399"/>
  <c r="Q399"/>
  <c r="U397"/>
  <c r="S397"/>
  <c r="Q397"/>
  <c r="S393"/>
  <c r="Q393"/>
  <c r="S391"/>
  <c r="Q391"/>
  <c r="S357"/>
  <c r="Q357"/>
  <c r="S355"/>
  <c r="Q355"/>
  <c r="S353"/>
  <c r="Q353"/>
  <c r="S351"/>
  <c r="Q351"/>
  <c r="S349"/>
  <c r="Q349"/>
  <c r="A273"/>
  <c r="Q273"/>
  <c r="S273"/>
  <c r="S256"/>
  <c r="A256"/>
  <c r="Q256"/>
  <c r="A255"/>
  <c r="Q255"/>
  <c r="S255"/>
  <c r="A257"/>
  <c r="Q257"/>
  <c r="S257"/>
  <c r="B345" l="1"/>
  <c r="A345" s="1"/>
  <c r="E345"/>
  <c r="M345"/>
  <c r="P345"/>
  <c r="Q345"/>
  <c r="R345"/>
  <c r="S345"/>
  <c r="W345"/>
  <c r="Y345"/>
  <c r="AA345"/>
  <c r="AB345"/>
  <c r="AC345"/>
  <c r="AD345"/>
  <c r="B346"/>
  <c r="A346" s="1"/>
  <c r="E346"/>
  <c r="AA346" s="1"/>
  <c r="P346"/>
  <c r="Q346"/>
  <c r="S346"/>
  <c r="W346"/>
  <c r="Y346"/>
  <c r="AB346"/>
  <c r="AC346"/>
  <c r="AD346"/>
  <c r="M344"/>
  <c r="B284"/>
  <c r="A284" s="1"/>
  <c r="E284"/>
  <c r="AA284" s="1"/>
  <c r="P284"/>
  <c r="T284"/>
  <c r="U284"/>
  <c r="V284"/>
  <c r="W284"/>
  <c r="Y284"/>
  <c r="AB284"/>
  <c r="AC284"/>
  <c r="AD284"/>
  <c r="B285"/>
  <c r="A285" s="1"/>
  <c r="E285"/>
  <c r="AA285" s="1"/>
  <c r="P285"/>
  <c r="T285"/>
  <c r="U285"/>
  <c r="V285"/>
  <c r="W285"/>
  <c r="Y285"/>
  <c r="AB285"/>
  <c r="AC285"/>
  <c r="AD285"/>
  <c r="AD283"/>
  <c r="AC283"/>
  <c r="AB283"/>
  <c r="Y283"/>
  <c r="W283"/>
  <c r="V283"/>
  <c r="U283"/>
  <c r="T283"/>
  <c r="P283"/>
  <c r="E283"/>
  <c r="AA283" s="1"/>
  <c r="B283"/>
  <c r="R283" s="1"/>
  <c r="AD272"/>
  <c r="AC272"/>
  <c r="AB272"/>
  <c r="Y272"/>
  <c r="W272"/>
  <c r="V272"/>
  <c r="U272"/>
  <c r="T272"/>
  <c r="P272"/>
  <c r="K272"/>
  <c r="M272" s="1"/>
  <c r="E272"/>
  <c r="AA272" s="1"/>
  <c r="B272"/>
  <c r="R272" s="1"/>
  <c r="B388"/>
  <c r="B389"/>
  <c r="E389"/>
  <c r="M388"/>
  <c r="E388"/>
  <c r="M387"/>
  <c r="E387"/>
  <c r="R285" l="1"/>
  <c r="S285"/>
  <c r="Q285"/>
  <c r="R284"/>
  <c r="R346"/>
  <c r="S284"/>
  <c r="Q284"/>
  <c r="A283"/>
  <c r="Q283"/>
  <c r="S283"/>
  <c r="A272"/>
  <c r="Q272"/>
  <c r="S272"/>
  <c r="M341"/>
  <c r="M342"/>
  <c r="B344"/>
  <c r="A344" s="1"/>
  <c r="E344"/>
  <c r="AA344" s="1"/>
  <c r="P344"/>
  <c r="W344"/>
  <c r="Y344"/>
  <c r="AB344"/>
  <c r="AC344"/>
  <c r="AD344"/>
  <c r="B347"/>
  <c r="A347" s="1"/>
  <c r="E347"/>
  <c r="AA347" s="1"/>
  <c r="P347"/>
  <c r="T347"/>
  <c r="U347"/>
  <c r="V347"/>
  <c r="W347"/>
  <c r="Y347"/>
  <c r="AB347"/>
  <c r="AC347"/>
  <c r="AD347"/>
  <c r="B348"/>
  <c r="A348" s="1"/>
  <c r="E348"/>
  <c r="AA348" s="1"/>
  <c r="P348"/>
  <c r="T348"/>
  <c r="U348"/>
  <c r="V348"/>
  <c r="W348"/>
  <c r="Y348"/>
  <c r="AB348"/>
  <c r="AC348"/>
  <c r="AD348"/>
  <c r="B359"/>
  <c r="A359" s="1"/>
  <c r="E359"/>
  <c r="AA359" s="1"/>
  <c r="P359"/>
  <c r="T359"/>
  <c r="U359"/>
  <c r="V359"/>
  <c r="W359"/>
  <c r="Y359"/>
  <c r="AB359"/>
  <c r="AC359"/>
  <c r="AD359"/>
  <c r="B382"/>
  <c r="A382" s="1"/>
  <c r="E382"/>
  <c r="P382"/>
  <c r="W382"/>
  <c r="Y382"/>
  <c r="AA382"/>
  <c r="AB382"/>
  <c r="AC382"/>
  <c r="AD382"/>
  <c r="AD386"/>
  <c r="AC386"/>
  <c r="AB386"/>
  <c r="Y386"/>
  <c r="W386"/>
  <c r="P386"/>
  <c r="E386"/>
  <c r="AA386" s="1"/>
  <c r="B386"/>
  <c r="AD385"/>
  <c r="AC385"/>
  <c r="AB385"/>
  <c r="Y385"/>
  <c r="W385"/>
  <c r="P385"/>
  <c r="E385"/>
  <c r="AA385" s="1"/>
  <c r="B385"/>
  <c r="AD384"/>
  <c r="AC384"/>
  <c r="AB384"/>
  <c r="Y384"/>
  <c r="W384"/>
  <c r="P384"/>
  <c r="E384"/>
  <c r="AA384" s="1"/>
  <c r="B384"/>
  <c r="AD383"/>
  <c r="AC383"/>
  <c r="AB383"/>
  <c r="Y383"/>
  <c r="W383"/>
  <c r="P383"/>
  <c r="E383"/>
  <c r="AA383" s="1"/>
  <c r="B383"/>
  <c r="M340"/>
  <c r="M339"/>
  <c r="AD338"/>
  <c r="AC338"/>
  <c r="AB338"/>
  <c r="Y338"/>
  <c r="W338"/>
  <c r="P338"/>
  <c r="E338"/>
  <c r="AA338" s="1"/>
  <c r="B338"/>
  <c r="R338" s="1"/>
  <c r="AD337"/>
  <c r="AC337"/>
  <c r="AB337"/>
  <c r="Y337"/>
  <c r="W337"/>
  <c r="P337"/>
  <c r="M337"/>
  <c r="E337"/>
  <c r="AA337" s="1"/>
  <c r="B337"/>
  <c r="S337" s="1"/>
  <c r="AD336"/>
  <c r="AC336"/>
  <c r="AB336"/>
  <c r="Y336"/>
  <c r="W336"/>
  <c r="P336"/>
  <c r="M336"/>
  <c r="E336"/>
  <c r="AA336" s="1"/>
  <c r="B336"/>
  <c r="S336" s="1"/>
  <c r="M335"/>
  <c r="M334"/>
  <c r="M333"/>
  <c r="M332"/>
  <c r="AD331"/>
  <c r="AC331"/>
  <c r="AB331"/>
  <c r="Y331"/>
  <c r="W331"/>
  <c r="P331"/>
  <c r="E331"/>
  <c r="AA331" s="1"/>
  <c r="B331"/>
  <c r="R331" s="1"/>
  <c r="AD330"/>
  <c r="AC330"/>
  <c r="AB330"/>
  <c r="Y330"/>
  <c r="W330"/>
  <c r="P330"/>
  <c r="M330"/>
  <c r="E330"/>
  <c r="AA330" s="1"/>
  <c r="B330"/>
  <c r="S330" s="1"/>
  <c r="AD329"/>
  <c r="AC329"/>
  <c r="AB329"/>
  <c r="Y329"/>
  <c r="W329"/>
  <c r="P329"/>
  <c r="M329"/>
  <c r="E329"/>
  <c r="AA329" s="1"/>
  <c r="B329"/>
  <c r="S329" s="1"/>
  <c r="B297"/>
  <c r="A297" s="1"/>
  <c r="E297"/>
  <c r="P297"/>
  <c r="W297"/>
  <c r="Y297"/>
  <c r="AA297"/>
  <c r="AB297"/>
  <c r="AC297"/>
  <c r="AD297"/>
  <c r="B295"/>
  <c r="A295" s="1"/>
  <c r="E295"/>
  <c r="P295"/>
  <c r="W295"/>
  <c r="Y295"/>
  <c r="AA295"/>
  <c r="AB295"/>
  <c r="AC295"/>
  <c r="AD295"/>
  <c r="A296"/>
  <c r="B296"/>
  <c r="E296"/>
  <c r="AA296" s="1"/>
  <c r="P296"/>
  <c r="Q296"/>
  <c r="R296"/>
  <c r="S296"/>
  <c r="W296"/>
  <c r="Y296"/>
  <c r="AB296"/>
  <c r="AC296"/>
  <c r="AD296"/>
  <c r="B270"/>
  <c r="A270" s="1"/>
  <c r="E270"/>
  <c r="P270"/>
  <c r="T270"/>
  <c r="U270"/>
  <c r="V270"/>
  <c r="W270"/>
  <c r="Y270"/>
  <c r="AA270"/>
  <c r="AB270"/>
  <c r="AC270"/>
  <c r="AD270"/>
  <c r="M269"/>
  <c r="B271"/>
  <c r="A271" s="1"/>
  <c r="E271"/>
  <c r="K271"/>
  <c r="M271" s="1"/>
  <c r="P271"/>
  <c r="R271"/>
  <c r="T271"/>
  <c r="U271"/>
  <c r="V271"/>
  <c r="W271"/>
  <c r="Y271"/>
  <c r="AA271"/>
  <c r="AB271"/>
  <c r="AC271"/>
  <c r="AD271"/>
  <c r="AD269"/>
  <c r="AC269"/>
  <c r="AB269"/>
  <c r="Y269"/>
  <c r="W269"/>
  <c r="V269"/>
  <c r="U269"/>
  <c r="T269"/>
  <c r="P269"/>
  <c r="E269"/>
  <c r="AA269" s="1"/>
  <c r="B269"/>
  <c r="R269" s="1"/>
  <c r="AD328"/>
  <c r="AC328"/>
  <c r="AB328"/>
  <c r="Y328"/>
  <c r="W328"/>
  <c r="P328"/>
  <c r="M328"/>
  <c r="E328"/>
  <c r="AA328" s="1"/>
  <c r="B328"/>
  <c r="AD327"/>
  <c r="AC327"/>
  <c r="AB327"/>
  <c r="Y327"/>
  <c r="W327"/>
  <c r="P327"/>
  <c r="M327"/>
  <c r="E327"/>
  <c r="AA327" s="1"/>
  <c r="B327"/>
  <c r="B377"/>
  <c r="B378"/>
  <c r="B379"/>
  <c r="B380"/>
  <c r="S380" s="1"/>
  <c r="B381"/>
  <c r="B387"/>
  <c r="AD381"/>
  <c r="AC381"/>
  <c r="AB381"/>
  <c r="Y381"/>
  <c r="W381"/>
  <c r="S381"/>
  <c r="R381"/>
  <c r="Q381"/>
  <c r="P381"/>
  <c r="E381"/>
  <c r="AA381" s="1"/>
  <c r="A381"/>
  <c r="AD380"/>
  <c r="AC380"/>
  <c r="AB380"/>
  <c r="Y380"/>
  <c r="W380"/>
  <c r="R380"/>
  <c r="P380"/>
  <c r="E380"/>
  <c r="AA380" s="1"/>
  <c r="A380"/>
  <c r="AD379"/>
  <c r="AC379"/>
  <c r="AB379"/>
  <c r="Y379"/>
  <c r="W379"/>
  <c r="S379"/>
  <c r="R379"/>
  <c r="Q379"/>
  <c r="P379"/>
  <c r="E379"/>
  <c r="AA379" s="1"/>
  <c r="A379"/>
  <c r="AD378"/>
  <c r="AC378"/>
  <c r="AB378"/>
  <c r="Y378"/>
  <c r="W378"/>
  <c r="R378"/>
  <c r="P378"/>
  <c r="E378"/>
  <c r="AA378" s="1"/>
  <c r="A378"/>
  <c r="E377"/>
  <c r="AD326"/>
  <c r="AC326"/>
  <c r="AB326"/>
  <c r="Y326"/>
  <c r="W326"/>
  <c r="P326"/>
  <c r="E326"/>
  <c r="AA326" s="1"/>
  <c r="B326"/>
  <c r="AD325"/>
  <c r="AC325"/>
  <c r="AB325"/>
  <c r="Y325"/>
  <c r="W325"/>
  <c r="P325"/>
  <c r="M325"/>
  <c r="E325"/>
  <c r="AA325" s="1"/>
  <c r="B325"/>
  <c r="E324"/>
  <c r="M324"/>
  <c r="B332"/>
  <c r="A332" s="1"/>
  <c r="E332"/>
  <c r="P332"/>
  <c r="W332"/>
  <c r="Y332"/>
  <c r="AA332"/>
  <c r="AB332"/>
  <c r="AC332"/>
  <c r="AD332"/>
  <c r="B333"/>
  <c r="A333" s="1"/>
  <c r="E333"/>
  <c r="AA333" s="1"/>
  <c r="P333"/>
  <c r="W333"/>
  <c r="Y333"/>
  <c r="AB333"/>
  <c r="AC333"/>
  <c r="AD333"/>
  <c r="B334"/>
  <c r="A334" s="1"/>
  <c r="E334"/>
  <c r="P334"/>
  <c r="W334"/>
  <c r="Y334"/>
  <c r="AA334"/>
  <c r="AB334"/>
  <c r="AC334"/>
  <c r="AD334"/>
  <c r="B335"/>
  <c r="A335" s="1"/>
  <c r="E335"/>
  <c r="AA335" s="1"/>
  <c r="P335"/>
  <c r="W335"/>
  <c r="Y335"/>
  <c r="AB335"/>
  <c r="AC335"/>
  <c r="AD335"/>
  <c r="B339"/>
  <c r="A339" s="1"/>
  <c r="E339"/>
  <c r="P339"/>
  <c r="W339"/>
  <c r="Y339"/>
  <c r="AA339"/>
  <c r="AB339"/>
  <c r="AC339"/>
  <c r="AD339"/>
  <c r="B340"/>
  <c r="A340" s="1"/>
  <c r="E340"/>
  <c r="AA340" s="1"/>
  <c r="P340"/>
  <c r="W340"/>
  <c r="Y340"/>
  <c r="AB340"/>
  <c r="AC340"/>
  <c r="AD340"/>
  <c r="B341"/>
  <c r="A341" s="1"/>
  <c r="E341"/>
  <c r="P341"/>
  <c r="R341"/>
  <c r="W341"/>
  <c r="Y341"/>
  <c r="AA341"/>
  <c r="AB341"/>
  <c r="AC341"/>
  <c r="AD341"/>
  <c r="B342"/>
  <c r="A342" s="1"/>
  <c r="E342"/>
  <c r="AA342" s="1"/>
  <c r="P342"/>
  <c r="W342"/>
  <c r="Y342"/>
  <c r="AB342"/>
  <c r="AC342"/>
  <c r="AD342"/>
  <c r="B343"/>
  <c r="A343" s="1"/>
  <c r="E343"/>
  <c r="AA343" s="1"/>
  <c r="P343"/>
  <c r="W343"/>
  <c r="Y343"/>
  <c r="AB343"/>
  <c r="AC343"/>
  <c r="AD343"/>
  <c r="D35" i="62"/>
  <c r="A30"/>
  <c r="B266" i="34"/>
  <c r="A266" s="1"/>
  <c r="E266"/>
  <c r="AA266" s="1"/>
  <c r="K266"/>
  <c r="M266" s="1"/>
  <c r="P266"/>
  <c r="R266"/>
  <c r="T266"/>
  <c r="U266"/>
  <c r="V266"/>
  <c r="W266"/>
  <c r="Y266"/>
  <c r="AB266"/>
  <c r="AC266"/>
  <c r="AD266"/>
  <c r="B267"/>
  <c r="A267" s="1"/>
  <c r="E267"/>
  <c r="AA267" s="1"/>
  <c r="K267"/>
  <c r="M267" s="1"/>
  <c r="P267"/>
  <c r="Q267"/>
  <c r="S267"/>
  <c r="T267"/>
  <c r="U267"/>
  <c r="V267"/>
  <c r="W267"/>
  <c r="Y267"/>
  <c r="AB267"/>
  <c r="AC267"/>
  <c r="AD267"/>
  <c r="B268"/>
  <c r="A268" s="1"/>
  <c r="E268"/>
  <c r="AA268" s="1"/>
  <c r="K268"/>
  <c r="M268" s="1"/>
  <c r="P268"/>
  <c r="R268"/>
  <c r="T268"/>
  <c r="U268"/>
  <c r="V268"/>
  <c r="W268"/>
  <c r="Y268"/>
  <c r="AB268"/>
  <c r="AC268"/>
  <c r="AD268"/>
  <c r="K265"/>
  <c r="M265" s="1"/>
  <c r="K264"/>
  <c r="I30" i="62" s="1" a="1"/>
  <c r="I30" s="1"/>
  <c r="B265" i="34"/>
  <c r="A265" s="1"/>
  <c r="E265"/>
  <c r="AA265" s="1"/>
  <c r="P265"/>
  <c r="T265"/>
  <c r="U265"/>
  <c r="V265"/>
  <c r="W265"/>
  <c r="Y265"/>
  <c r="AB265"/>
  <c r="AC265"/>
  <c r="AD265"/>
  <c r="B264"/>
  <c r="A264" s="1"/>
  <c r="E264"/>
  <c r="AA264" s="1"/>
  <c r="P264"/>
  <c r="T264"/>
  <c r="U264"/>
  <c r="V264"/>
  <c r="W264"/>
  <c r="Y264"/>
  <c r="AB264"/>
  <c r="AC264"/>
  <c r="AD264"/>
  <c r="AD281"/>
  <c r="AC281"/>
  <c r="AB281"/>
  <c r="Y281"/>
  <c r="W281"/>
  <c r="V281"/>
  <c r="U281"/>
  <c r="T281"/>
  <c r="P281"/>
  <c r="E281"/>
  <c r="AA281" s="1"/>
  <c r="B281"/>
  <c r="R281" s="1"/>
  <c r="AD280"/>
  <c r="AC280"/>
  <c r="AB280"/>
  <c r="Y280"/>
  <c r="W280"/>
  <c r="V280"/>
  <c r="U280"/>
  <c r="T280"/>
  <c r="P280"/>
  <c r="M280"/>
  <c r="E280"/>
  <c r="AA280" s="1"/>
  <c r="B280"/>
  <c r="S280" s="1"/>
  <c r="AD282"/>
  <c r="AC282"/>
  <c r="AB282"/>
  <c r="Y282"/>
  <c r="W282"/>
  <c r="V282"/>
  <c r="U282"/>
  <c r="T282"/>
  <c r="P282"/>
  <c r="M282"/>
  <c r="E282"/>
  <c r="AA282" s="1"/>
  <c r="B282"/>
  <c r="R282" s="1"/>
  <c r="AD279"/>
  <c r="AC279"/>
  <c r="AB279"/>
  <c r="Y279"/>
  <c r="W279"/>
  <c r="V279"/>
  <c r="U279"/>
  <c r="T279"/>
  <c r="P279"/>
  <c r="E279"/>
  <c r="AA279" s="1"/>
  <c r="B279"/>
  <c r="R279" s="1"/>
  <c r="AD278"/>
  <c r="AC278"/>
  <c r="AB278"/>
  <c r="Y278"/>
  <c r="W278"/>
  <c r="V278"/>
  <c r="U278"/>
  <c r="T278"/>
  <c r="P278"/>
  <c r="M278"/>
  <c r="E278"/>
  <c r="AA278" s="1"/>
  <c r="B278"/>
  <c r="S278" s="1"/>
  <c r="B277"/>
  <c r="A277" s="1"/>
  <c r="E277"/>
  <c r="AA277" s="1"/>
  <c r="P277"/>
  <c r="T277"/>
  <c r="U277"/>
  <c r="V277"/>
  <c r="W277"/>
  <c r="Y277"/>
  <c r="AB277"/>
  <c r="AC277"/>
  <c r="AD277"/>
  <c r="B276"/>
  <c r="A276" s="1"/>
  <c r="E276"/>
  <c r="M276"/>
  <c r="P276"/>
  <c r="Q276"/>
  <c r="T276"/>
  <c r="U276"/>
  <c r="V276"/>
  <c r="W276"/>
  <c r="Y276"/>
  <c r="AA276"/>
  <c r="AB276"/>
  <c r="AC276"/>
  <c r="AD276"/>
  <c r="S276" l="1"/>
  <c r="S277"/>
  <c r="S264"/>
  <c r="R267"/>
  <c r="R342"/>
  <c r="R340"/>
  <c r="Q380"/>
  <c r="R270"/>
  <c r="R382"/>
  <c r="R264"/>
  <c r="R347"/>
  <c r="S342"/>
  <c r="Q342"/>
  <c r="S340"/>
  <c r="Q340"/>
  <c r="S270"/>
  <c r="Q270"/>
  <c r="R295"/>
  <c r="R297"/>
  <c r="R359"/>
  <c r="R348"/>
  <c r="S347"/>
  <c r="Q347"/>
  <c r="R344"/>
  <c r="R343"/>
  <c r="S359"/>
  <c r="Q359"/>
  <c r="S348"/>
  <c r="Q348"/>
  <c r="S344"/>
  <c r="Q344"/>
  <c r="S382"/>
  <c r="Q382"/>
  <c r="S385"/>
  <c r="A385"/>
  <c r="Q385"/>
  <c r="A383"/>
  <c r="Q383"/>
  <c r="S383"/>
  <c r="R383"/>
  <c r="A384"/>
  <c r="Q384"/>
  <c r="S384"/>
  <c r="R385"/>
  <c r="A386"/>
  <c r="Q386"/>
  <c r="S386"/>
  <c r="R384"/>
  <c r="R386"/>
  <c r="A336"/>
  <c r="R336"/>
  <c r="A337"/>
  <c r="R337"/>
  <c r="A338"/>
  <c r="Q338"/>
  <c r="S338"/>
  <c r="Q336"/>
  <c r="Q337"/>
  <c r="R335"/>
  <c r="R333"/>
  <c r="A331"/>
  <c r="Q331"/>
  <c r="A329"/>
  <c r="R329"/>
  <c r="A330"/>
  <c r="R330"/>
  <c r="S331"/>
  <c r="Q329"/>
  <c r="Q330"/>
  <c r="S297"/>
  <c r="Q297"/>
  <c r="S295"/>
  <c r="Q295"/>
  <c r="S271"/>
  <c r="Q271"/>
  <c r="A269"/>
  <c r="Q269"/>
  <c r="S269"/>
  <c r="A327"/>
  <c r="R327"/>
  <c r="A328"/>
  <c r="R328"/>
  <c r="Q327"/>
  <c r="S327"/>
  <c r="Q328"/>
  <c r="S328"/>
  <c r="Q378"/>
  <c r="S378"/>
  <c r="Q277"/>
  <c r="G30" i="62" a="1"/>
  <c r="G30" s="1"/>
  <c r="K30" s="1"/>
  <c r="R339" i="34"/>
  <c r="S335"/>
  <c r="Q335"/>
  <c r="R334"/>
  <c r="S333"/>
  <c r="Q333"/>
  <c r="R332"/>
  <c r="A326"/>
  <c r="R265"/>
  <c r="M264"/>
  <c r="A325"/>
  <c r="R325"/>
  <c r="R326"/>
  <c r="Q325"/>
  <c r="S325"/>
  <c r="Q326"/>
  <c r="S326"/>
  <c r="S343"/>
  <c r="Q343"/>
  <c r="S341"/>
  <c r="Q341"/>
  <c r="S339"/>
  <c r="Q339"/>
  <c r="S334"/>
  <c r="Q334"/>
  <c r="S332"/>
  <c r="Q332"/>
  <c r="S268"/>
  <c r="Q268"/>
  <c r="S266"/>
  <c r="Q266"/>
  <c r="S265"/>
  <c r="Q265"/>
  <c r="Q264"/>
  <c r="A280"/>
  <c r="R280"/>
  <c r="A281"/>
  <c r="Q281"/>
  <c r="S281"/>
  <c r="Q280"/>
  <c r="Q282"/>
  <c r="S282"/>
  <c r="A282"/>
  <c r="A278"/>
  <c r="R278"/>
  <c r="A279"/>
  <c r="Q279"/>
  <c r="S279"/>
  <c r="Q278"/>
  <c r="R277"/>
  <c r="R276"/>
  <c r="M30" i="62" l="1"/>
  <c r="I37" i="45" l="1" a="1"/>
  <c r="I37" s="1"/>
  <c r="K37" a="1"/>
  <c r="K37" s="1"/>
  <c r="I38" a="1"/>
  <c r="I38" s="1"/>
  <c r="K38" a="1"/>
  <c r="K38" s="1"/>
  <c r="I39" a="1"/>
  <c r="I39" s="1"/>
  <c r="K39" a="1"/>
  <c r="K39" s="1"/>
  <c r="I40" a="1"/>
  <c r="I40" s="1"/>
  <c r="K40" a="1"/>
  <c r="K40" s="1"/>
  <c r="I41" a="1"/>
  <c r="I41" s="1"/>
  <c r="K41" a="1"/>
  <c r="K41" s="1"/>
  <c r="I42" a="1"/>
  <c r="I42" s="1"/>
  <c r="K42" a="1"/>
  <c r="K42" s="1"/>
  <c r="I36" a="1"/>
  <c r="I36" s="1"/>
  <c r="K36" a="1"/>
  <c r="K36" s="1"/>
  <c r="AD376" i="34"/>
  <c r="AC376"/>
  <c r="AB376"/>
  <c r="Y376"/>
  <c r="W376"/>
  <c r="P376"/>
  <c r="M376"/>
  <c r="E376"/>
  <c r="AA376" s="1"/>
  <c r="B376"/>
  <c r="O36" i="45" l="1"/>
  <c r="O42"/>
  <c r="O41"/>
  <c r="O40"/>
  <c r="O39"/>
  <c r="O38"/>
  <c r="O37"/>
  <c r="M42"/>
  <c r="M41"/>
  <c r="M40"/>
  <c r="M39"/>
  <c r="M38"/>
  <c r="M37"/>
  <c r="M36"/>
  <c r="A376" i="34"/>
  <c r="R376"/>
  <c r="Q376"/>
  <c r="S376"/>
  <c r="AD323" l="1"/>
  <c r="AC323"/>
  <c r="AB323"/>
  <c r="Y323"/>
  <c r="W323"/>
  <c r="P323"/>
  <c r="E323"/>
  <c r="AA323" s="1"/>
  <c r="B323"/>
  <c r="AD322"/>
  <c r="AC322"/>
  <c r="AB322"/>
  <c r="Y322"/>
  <c r="W322"/>
  <c r="P322"/>
  <c r="M322"/>
  <c r="E322"/>
  <c r="AA322" s="1"/>
  <c r="B322"/>
  <c r="AD321"/>
  <c r="AC321"/>
  <c r="AB321"/>
  <c r="Y321"/>
  <c r="W321"/>
  <c r="P321"/>
  <c r="M321"/>
  <c r="E321"/>
  <c r="AA321" s="1"/>
  <c r="B321"/>
  <c r="M320"/>
  <c r="B319"/>
  <c r="A319" s="1"/>
  <c r="E319"/>
  <c r="P319"/>
  <c r="W319"/>
  <c r="Y319"/>
  <c r="AA319"/>
  <c r="AB319"/>
  <c r="AC319"/>
  <c r="AD319"/>
  <c r="AD318"/>
  <c r="AC318"/>
  <c r="AB318"/>
  <c r="Y318"/>
  <c r="W318"/>
  <c r="P318"/>
  <c r="M318"/>
  <c r="E318"/>
  <c r="AA318" s="1"/>
  <c r="B318"/>
  <c r="AD317"/>
  <c r="AC317"/>
  <c r="AB317"/>
  <c r="Y317"/>
  <c r="W317"/>
  <c r="P317"/>
  <c r="M317"/>
  <c r="E317"/>
  <c r="AA317" s="1"/>
  <c r="B317"/>
  <c r="AD316"/>
  <c r="AC316"/>
  <c r="AB316"/>
  <c r="Y316"/>
  <c r="W316"/>
  <c r="P316"/>
  <c r="E316"/>
  <c r="AA316" s="1"/>
  <c r="B316"/>
  <c r="Q316" s="1"/>
  <c r="AD315"/>
  <c r="AC315"/>
  <c r="AB315"/>
  <c r="Y315"/>
  <c r="W315"/>
  <c r="P315"/>
  <c r="M315"/>
  <c r="E315"/>
  <c r="AA315" s="1"/>
  <c r="B315"/>
  <c r="AD314"/>
  <c r="AC314"/>
  <c r="AB314"/>
  <c r="Y314"/>
  <c r="W314"/>
  <c r="P314"/>
  <c r="M314"/>
  <c r="E314"/>
  <c r="AA314" s="1"/>
  <c r="B314"/>
  <c r="I35" i="45" a="1"/>
  <c r="I35" s="1"/>
  <c r="K35" a="1"/>
  <c r="K35" s="1"/>
  <c r="P11" i="34"/>
  <c r="T11"/>
  <c r="U11"/>
  <c r="V11"/>
  <c r="W11"/>
  <c r="Y11"/>
  <c r="AA11"/>
  <c r="AB11"/>
  <c r="AC11"/>
  <c r="AD11"/>
  <c r="P12"/>
  <c r="T12"/>
  <c r="U12"/>
  <c r="V12"/>
  <c r="W12"/>
  <c r="Y12"/>
  <c r="AA12"/>
  <c r="AB12"/>
  <c r="AC12"/>
  <c r="AD12"/>
  <c r="P13"/>
  <c r="T13"/>
  <c r="U13"/>
  <c r="V13"/>
  <c r="W13"/>
  <c r="Y13"/>
  <c r="AA13"/>
  <c r="AB13"/>
  <c r="AC13"/>
  <c r="AD13"/>
  <c r="P14"/>
  <c r="T14"/>
  <c r="U14"/>
  <c r="V14"/>
  <c r="W14"/>
  <c r="Y14"/>
  <c r="AA14"/>
  <c r="AB14"/>
  <c r="AC14"/>
  <c r="AD14"/>
  <c r="P15"/>
  <c r="T15"/>
  <c r="U15"/>
  <c r="V15"/>
  <c r="W15"/>
  <c r="Y15"/>
  <c r="AA15"/>
  <c r="AB15"/>
  <c r="AC15"/>
  <c r="AD15"/>
  <c r="P16"/>
  <c r="T16"/>
  <c r="U16"/>
  <c r="V16"/>
  <c r="W16"/>
  <c r="Y16"/>
  <c r="AA16"/>
  <c r="AB16"/>
  <c r="AC16"/>
  <c r="AD16"/>
  <c r="P17"/>
  <c r="T17"/>
  <c r="U17"/>
  <c r="V17"/>
  <c r="W17"/>
  <c r="Y17"/>
  <c r="AA17"/>
  <c r="AB17"/>
  <c r="AC17"/>
  <c r="AD17"/>
  <c r="P18"/>
  <c r="T18"/>
  <c r="U18"/>
  <c r="V18"/>
  <c r="W18"/>
  <c r="Y18"/>
  <c r="AA18"/>
  <c r="AB18"/>
  <c r="AC18"/>
  <c r="AD18"/>
  <c r="P19"/>
  <c r="T19"/>
  <c r="U19"/>
  <c r="V19"/>
  <c r="W19"/>
  <c r="Y19"/>
  <c r="AA19"/>
  <c r="AB19"/>
  <c r="AC19"/>
  <c r="AD19"/>
  <c r="P20"/>
  <c r="T20"/>
  <c r="U20"/>
  <c r="V20"/>
  <c r="W20"/>
  <c r="Y20"/>
  <c r="AA20"/>
  <c r="AB20"/>
  <c r="AC20"/>
  <c r="AD20"/>
  <c r="P21"/>
  <c r="T21"/>
  <c r="U21"/>
  <c r="V21"/>
  <c r="W21"/>
  <c r="Y21"/>
  <c r="AA21"/>
  <c r="AB21"/>
  <c r="AC21"/>
  <c r="AD21"/>
  <c r="P22"/>
  <c r="T22"/>
  <c r="U22"/>
  <c r="V22"/>
  <c r="W22"/>
  <c r="Y22"/>
  <c r="AA22"/>
  <c r="AB22"/>
  <c r="AC22"/>
  <c r="AD22"/>
  <c r="P23"/>
  <c r="T23"/>
  <c r="U23"/>
  <c r="V23"/>
  <c r="W23"/>
  <c r="Y23"/>
  <c r="AA23"/>
  <c r="AB23"/>
  <c r="AC23"/>
  <c r="AD23"/>
  <c r="P24"/>
  <c r="T24"/>
  <c r="U24"/>
  <c r="V24"/>
  <c r="W24"/>
  <c r="Y24"/>
  <c r="AB24"/>
  <c r="AC24"/>
  <c r="AD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74"/>
  <c r="T274"/>
  <c r="U274"/>
  <c r="V274"/>
  <c r="W274"/>
  <c r="Y274"/>
  <c r="AB274"/>
  <c r="AC274"/>
  <c r="AD274"/>
  <c r="P275"/>
  <c r="T275"/>
  <c r="U275"/>
  <c r="V275"/>
  <c r="W275"/>
  <c r="Y275"/>
  <c r="AB275"/>
  <c r="AC275"/>
  <c r="AD27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W292"/>
  <c r="Y292"/>
  <c r="AB292"/>
  <c r="AC292"/>
  <c r="AD292"/>
  <c r="P293"/>
  <c r="W293"/>
  <c r="Y293"/>
  <c r="AB293"/>
  <c r="AC293"/>
  <c r="AD293"/>
  <c r="P294"/>
  <c r="W294"/>
  <c r="Y294"/>
  <c r="AB294"/>
  <c r="AC294"/>
  <c r="AD294"/>
  <c r="P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W308"/>
  <c r="Y308"/>
  <c r="AB308"/>
  <c r="AC308"/>
  <c r="AD308"/>
  <c r="P309"/>
  <c r="W309"/>
  <c r="Y309"/>
  <c r="AB309"/>
  <c r="AC309"/>
  <c r="AD309"/>
  <c r="P310"/>
  <c r="W310"/>
  <c r="Y310"/>
  <c r="AB310"/>
  <c r="AC310"/>
  <c r="AD310"/>
  <c r="P311"/>
  <c r="W311"/>
  <c r="Y311"/>
  <c r="AB311"/>
  <c r="AC311"/>
  <c r="AD311"/>
  <c r="P312"/>
  <c r="W312"/>
  <c r="Y312"/>
  <c r="AB312"/>
  <c r="AC312"/>
  <c r="AD312"/>
  <c r="P313"/>
  <c r="W313"/>
  <c r="Y313"/>
  <c r="AB313"/>
  <c r="AC313"/>
  <c r="AD313"/>
  <c r="P320"/>
  <c r="W320"/>
  <c r="Y320"/>
  <c r="AB320"/>
  <c r="AC320"/>
  <c r="AD320"/>
  <c r="P324"/>
  <c r="W324"/>
  <c r="Y324"/>
  <c r="AB324"/>
  <c r="AC324"/>
  <c r="AD324"/>
  <c r="P360"/>
  <c r="W360"/>
  <c r="Y360"/>
  <c r="AB360"/>
  <c r="AC360"/>
  <c r="AD360"/>
  <c r="P361"/>
  <c r="W361"/>
  <c r="Y361"/>
  <c r="AB361"/>
  <c r="AC361"/>
  <c r="AD361"/>
  <c r="P362"/>
  <c r="W362"/>
  <c r="Y362"/>
  <c r="AB362"/>
  <c r="AC362"/>
  <c r="AD362"/>
  <c r="P363"/>
  <c r="W363"/>
  <c r="Y363"/>
  <c r="AB363"/>
  <c r="AC363"/>
  <c r="AD363"/>
  <c r="P364"/>
  <c r="W364"/>
  <c r="Y364"/>
  <c r="AB364"/>
  <c r="AC364"/>
  <c r="AD364"/>
  <c r="P365"/>
  <c r="W365"/>
  <c r="Y365"/>
  <c r="AB365"/>
  <c r="AC365"/>
  <c r="AD365"/>
  <c r="P366"/>
  <c r="W366"/>
  <c r="Y366"/>
  <c r="AB366"/>
  <c r="AC366"/>
  <c r="AD366"/>
  <c r="P367"/>
  <c r="W367"/>
  <c r="Y367"/>
  <c r="AB367"/>
  <c r="AC367"/>
  <c r="AD367"/>
  <c r="P368"/>
  <c r="W368"/>
  <c r="Y368"/>
  <c r="AB368"/>
  <c r="AC368"/>
  <c r="AD368"/>
  <c r="P369"/>
  <c r="W369"/>
  <c r="Y369"/>
  <c r="AB369"/>
  <c r="AC369"/>
  <c r="AD369"/>
  <c r="P370"/>
  <c r="W370"/>
  <c r="Y370"/>
  <c r="AB370"/>
  <c r="AC370"/>
  <c r="AD370"/>
  <c r="P371"/>
  <c r="W371"/>
  <c r="Y371"/>
  <c r="AB371"/>
  <c r="AC371"/>
  <c r="AD371"/>
  <c r="P372"/>
  <c r="W372"/>
  <c r="Y372"/>
  <c r="AB372"/>
  <c r="AC372"/>
  <c r="AD372"/>
  <c r="P373"/>
  <c r="W373"/>
  <c r="Y373"/>
  <c r="AB373"/>
  <c r="AC373"/>
  <c r="AD373"/>
  <c r="P374"/>
  <c r="W374"/>
  <c r="Y374"/>
  <c r="AB374"/>
  <c r="AC374"/>
  <c r="AD374"/>
  <c r="P375"/>
  <c r="W375"/>
  <c r="Y375"/>
  <c r="AB375"/>
  <c r="AC375"/>
  <c r="AD375"/>
  <c r="P377"/>
  <c r="W377"/>
  <c r="Y377"/>
  <c r="AA377"/>
  <c r="AB377"/>
  <c r="AC377"/>
  <c r="AD377"/>
  <c r="P387"/>
  <c r="W387"/>
  <c r="Y387"/>
  <c r="AA387"/>
  <c r="AB387"/>
  <c r="AC387"/>
  <c r="AD387"/>
  <c r="P388"/>
  <c r="W388"/>
  <c r="Y388"/>
  <c r="AA388"/>
  <c r="AB388"/>
  <c r="AC388"/>
  <c r="AD388"/>
  <c r="P389"/>
  <c r="W389"/>
  <c r="Y389"/>
  <c r="AA389"/>
  <c r="AB389"/>
  <c r="AC389"/>
  <c r="AD389"/>
  <c r="P403"/>
  <c r="T403"/>
  <c r="U403"/>
  <c r="V403"/>
  <c r="W403"/>
  <c r="Y403"/>
  <c r="AA403"/>
  <c r="AB403"/>
  <c r="AC403"/>
  <c r="AD403"/>
  <c r="P404"/>
  <c r="T404"/>
  <c r="U404"/>
  <c r="V404"/>
  <c r="W404"/>
  <c r="Y404"/>
  <c r="AA404"/>
  <c r="AB404"/>
  <c r="AC404"/>
  <c r="AD404"/>
  <c r="P405"/>
  <c r="T405"/>
  <c r="U405"/>
  <c r="V405"/>
  <c r="W405"/>
  <c r="Y405"/>
  <c r="AA405"/>
  <c r="AB405"/>
  <c r="AC405"/>
  <c r="AD405"/>
  <c r="P406"/>
  <c r="T406"/>
  <c r="U406"/>
  <c r="V406"/>
  <c r="W406"/>
  <c r="Y406"/>
  <c r="AA406"/>
  <c r="AB406"/>
  <c r="AC406"/>
  <c r="AD406"/>
  <c r="P407"/>
  <c r="T407"/>
  <c r="U407"/>
  <c r="V407"/>
  <c r="W407"/>
  <c r="Y407"/>
  <c r="AA407"/>
  <c r="AB407"/>
  <c r="AC407"/>
  <c r="AD407"/>
  <c r="P408"/>
  <c r="T408"/>
  <c r="U408"/>
  <c r="V408"/>
  <c r="W408"/>
  <c r="Y408"/>
  <c r="AA408"/>
  <c r="AB408"/>
  <c r="AC408"/>
  <c r="AD408"/>
  <c r="P409"/>
  <c r="T409"/>
  <c r="U409"/>
  <c r="V409"/>
  <c r="W409"/>
  <c r="Y409"/>
  <c r="AA409"/>
  <c r="AB409"/>
  <c r="AC409"/>
  <c r="AD409"/>
  <c r="P410"/>
  <c r="T410"/>
  <c r="U410"/>
  <c r="V410"/>
  <c r="W410"/>
  <c r="Y410"/>
  <c r="AA410"/>
  <c r="AB410"/>
  <c r="AC410"/>
  <c r="AD410"/>
  <c r="P411"/>
  <c r="T411"/>
  <c r="U411"/>
  <c r="V411"/>
  <c r="W411"/>
  <c r="Y411"/>
  <c r="AA411"/>
  <c r="AB411"/>
  <c r="AC411"/>
  <c r="AD411"/>
  <c r="P412"/>
  <c r="T412"/>
  <c r="U412"/>
  <c r="V412"/>
  <c r="W412"/>
  <c r="Y412"/>
  <c r="AA412"/>
  <c r="AB412"/>
  <c r="AC412"/>
  <c r="AD412"/>
  <c r="P413"/>
  <c r="T413"/>
  <c r="U413"/>
  <c r="V413"/>
  <c r="W413"/>
  <c r="Y413"/>
  <c r="AA413"/>
  <c r="AB413"/>
  <c r="AC413"/>
  <c r="AD413"/>
  <c r="P414"/>
  <c r="T414"/>
  <c r="U414"/>
  <c r="V414"/>
  <c r="W414"/>
  <c r="Y414"/>
  <c r="AA414"/>
  <c r="AB414"/>
  <c r="AC414"/>
  <c r="AD414"/>
  <c r="P415"/>
  <c r="T415"/>
  <c r="U415"/>
  <c r="V415"/>
  <c r="W415"/>
  <c r="Y415"/>
  <c r="AA415"/>
  <c r="AB415"/>
  <c r="AC415"/>
  <c r="AD415"/>
  <c r="P416"/>
  <c r="T416"/>
  <c r="U416"/>
  <c r="V416"/>
  <c r="W416"/>
  <c r="Y416"/>
  <c r="AA416"/>
  <c r="AB416"/>
  <c r="AC416"/>
  <c r="AD416"/>
  <c r="P417"/>
  <c r="T417"/>
  <c r="U417"/>
  <c r="V417"/>
  <c r="W417"/>
  <c r="Y417"/>
  <c r="AA417"/>
  <c r="AB417"/>
  <c r="AC417"/>
  <c r="AD417"/>
  <c r="P418"/>
  <c r="T418"/>
  <c r="U418"/>
  <c r="V418"/>
  <c r="W418"/>
  <c r="Y418"/>
  <c r="AA418"/>
  <c r="AB418"/>
  <c r="AC418"/>
  <c r="AD418"/>
  <c r="P419"/>
  <c r="T419"/>
  <c r="U419"/>
  <c r="V419"/>
  <c r="W419"/>
  <c r="Y419"/>
  <c r="AA419"/>
  <c r="AB419"/>
  <c r="AC419"/>
  <c r="AD419"/>
  <c r="P420"/>
  <c r="T420"/>
  <c r="U420"/>
  <c r="V420"/>
  <c r="W420"/>
  <c r="Y420"/>
  <c r="AA420"/>
  <c r="AB420"/>
  <c r="AC420"/>
  <c r="AD420"/>
  <c r="P421"/>
  <c r="T421"/>
  <c r="U421"/>
  <c r="V421"/>
  <c r="W421"/>
  <c r="Y421"/>
  <c r="AA421"/>
  <c r="AB421"/>
  <c r="AC421"/>
  <c r="AD421"/>
  <c r="P422"/>
  <c r="T422"/>
  <c r="U422"/>
  <c r="V422"/>
  <c r="W422"/>
  <c r="Y422"/>
  <c r="AA422"/>
  <c r="AB422"/>
  <c r="AC422"/>
  <c r="AD422"/>
  <c r="P423"/>
  <c r="T423"/>
  <c r="U423"/>
  <c r="V423"/>
  <c r="W423"/>
  <c r="Y423"/>
  <c r="AA423"/>
  <c r="AB423"/>
  <c r="AC423"/>
  <c r="AD423"/>
  <c r="P424"/>
  <c r="T424"/>
  <c r="U424"/>
  <c r="V424"/>
  <c r="W424"/>
  <c r="Y424"/>
  <c r="AA424"/>
  <c r="AB424"/>
  <c r="AC424"/>
  <c r="AD424"/>
  <c r="P425"/>
  <c r="T425"/>
  <c r="U425"/>
  <c r="V425"/>
  <c r="W425"/>
  <c r="Y425"/>
  <c r="AA425"/>
  <c r="AB425"/>
  <c r="AC425"/>
  <c r="AD425"/>
  <c r="P426"/>
  <c r="T426"/>
  <c r="U426"/>
  <c r="V426"/>
  <c r="W426"/>
  <c r="Y426"/>
  <c r="AA426"/>
  <c r="AB426"/>
  <c r="AC426"/>
  <c r="AD426"/>
  <c r="P427"/>
  <c r="T427"/>
  <c r="U427"/>
  <c r="V427"/>
  <c r="W427"/>
  <c r="Y427"/>
  <c r="AA427"/>
  <c r="AB427"/>
  <c r="AC427"/>
  <c r="AD427"/>
  <c r="P428"/>
  <c r="T428"/>
  <c r="U428"/>
  <c r="V428"/>
  <c r="W428"/>
  <c r="Y428"/>
  <c r="AA428"/>
  <c r="AB428"/>
  <c r="AC428"/>
  <c r="AD428"/>
  <c r="P429"/>
  <c r="T429"/>
  <c r="U429"/>
  <c r="V429"/>
  <c r="W429"/>
  <c r="Y429"/>
  <c r="AA429"/>
  <c r="AB429"/>
  <c r="AC429"/>
  <c r="AD429"/>
  <c r="P430"/>
  <c r="T430"/>
  <c r="U430"/>
  <c r="V430"/>
  <c r="W430"/>
  <c r="Y430"/>
  <c r="AA430"/>
  <c r="AB430"/>
  <c r="AC430"/>
  <c r="AD430"/>
  <c r="P431"/>
  <c r="T431"/>
  <c r="U431"/>
  <c r="V431"/>
  <c r="W431"/>
  <c r="Y431"/>
  <c r="AA431"/>
  <c r="AB431"/>
  <c r="AC431"/>
  <c r="AD431"/>
  <c r="P432"/>
  <c r="T432"/>
  <c r="U432"/>
  <c r="V432"/>
  <c r="W432"/>
  <c r="Y432"/>
  <c r="AA432"/>
  <c r="AB432"/>
  <c r="AC432"/>
  <c r="AD432"/>
  <c r="P433"/>
  <c r="T433"/>
  <c r="U433"/>
  <c r="V433"/>
  <c r="W433"/>
  <c r="Y433"/>
  <c r="AA433"/>
  <c r="AB433"/>
  <c r="AC433"/>
  <c r="AD433"/>
  <c r="P434"/>
  <c r="T434"/>
  <c r="U434"/>
  <c r="V434"/>
  <c r="W434"/>
  <c r="Y434"/>
  <c r="AA434"/>
  <c r="AB434"/>
  <c r="AC434"/>
  <c r="AD434"/>
  <c r="P435"/>
  <c r="T435"/>
  <c r="U435"/>
  <c r="V435"/>
  <c r="W435"/>
  <c r="Y435"/>
  <c r="AA435"/>
  <c r="AB435"/>
  <c r="AC435"/>
  <c r="AD435"/>
  <c r="P436"/>
  <c r="T436"/>
  <c r="U436"/>
  <c r="V436"/>
  <c r="W436"/>
  <c r="Y436"/>
  <c r="AA436"/>
  <c r="AB436"/>
  <c r="AC436"/>
  <c r="AD436"/>
  <c r="P437"/>
  <c r="T437"/>
  <c r="U437"/>
  <c r="V437"/>
  <c r="W437"/>
  <c r="Y437"/>
  <c r="AA437"/>
  <c r="AB437"/>
  <c r="AC437"/>
  <c r="AD437"/>
  <c r="P438"/>
  <c r="T438"/>
  <c r="U438"/>
  <c r="V438"/>
  <c r="W438"/>
  <c r="Y438"/>
  <c r="AA438"/>
  <c r="AB438"/>
  <c r="AC438"/>
  <c r="AD438"/>
  <c r="P439"/>
  <c r="T439"/>
  <c r="U439"/>
  <c r="V439"/>
  <c r="W439"/>
  <c r="Y439"/>
  <c r="AA439"/>
  <c r="AB439"/>
  <c r="AC439"/>
  <c r="AD439"/>
  <c r="P440"/>
  <c r="T440"/>
  <c r="U440"/>
  <c r="V440"/>
  <c r="W440"/>
  <c r="Y440"/>
  <c r="AA440"/>
  <c r="AB440"/>
  <c r="AC440"/>
  <c r="AD440"/>
  <c r="P441"/>
  <c r="T441"/>
  <c r="U441"/>
  <c r="V441"/>
  <c r="W441"/>
  <c r="Y441"/>
  <c r="AA441"/>
  <c r="AB441"/>
  <c r="AC441"/>
  <c r="AD441"/>
  <c r="P442"/>
  <c r="T442"/>
  <c r="U442"/>
  <c r="V442"/>
  <c r="W442"/>
  <c r="Y442"/>
  <c r="AA442"/>
  <c r="AB442"/>
  <c r="AC442"/>
  <c r="AD442"/>
  <c r="P443"/>
  <c r="T443"/>
  <c r="U443"/>
  <c r="V443"/>
  <c r="W443"/>
  <c r="Y443"/>
  <c r="AA443"/>
  <c r="AB443"/>
  <c r="AC443"/>
  <c r="AD443"/>
  <c r="P444"/>
  <c r="T444"/>
  <c r="U444"/>
  <c r="V444"/>
  <c r="W444"/>
  <c r="Y444"/>
  <c r="AA444"/>
  <c r="AB444"/>
  <c r="AC444"/>
  <c r="AD444"/>
  <c r="P445"/>
  <c r="T445"/>
  <c r="U445"/>
  <c r="V445"/>
  <c r="W445"/>
  <c r="Y445"/>
  <c r="AA445"/>
  <c r="AB445"/>
  <c r="AC445"/>
  <c r="AD445"/>
  <c r="P446"/>
  <c r="T446"/>
  <c r="U446"/>
  <c r="V446"/>
  <c r="W446"/>
  <c r="Y446"/>
  <c r="AA446"/>
  <c r="AB446"/>
  <c r="AC446"/>
  <c r="AD446"/>
  <c r="P447"/>
  <c r="T447"/>
  <c r="U447"/>
  <c r="V447"/>
  <c r="W447"/>
  <c r="Y447"/>
  <c r="AA447"/>
  <c r="AB447"/>
  <c r="AC447"/>
  <c r="AD447"/>
  <c r="P448"/>
  <c r="T448"/>
  <c r="U448"/>
  <c r="V448"/>
  <c r="W448"/>
  <c r="Y448"/>
  <c r="AA448"/>
  <c r="AB448"/>
  <c r="AC448"/>
  <c r="AD448"/>
  <c r="P449"/>
  <c r="T449"/>
  <c r="U449"/>
  <c r="V449"/>
  <c r="W449"/>
  <c r="Y449"/>
  <c r="AA449"/>
  <c r="AB449"/>
  <c r="AC449"/>
  <c r="AD449"/>
  <c r="P450"/>
  <c r="T450"/>
  <c r="U450"/>
  <c r="V450"/>
  <c r="W450"/>
  <c r="Y450"/>
  <c r="AA450"/>
  <c r="AB450"/>
  <c r="AC450"/>
  <c r="AD450"/>
  <c r="P451"/>
  <c r="T451"/>
  <c r="U451"/>
  <c r="V451"/>
  <c r="W451"/>
  <c r="Y451"/>
  <c r="AA451"/>
  <c r="AB451"/>
  <c r="AC451"/>
  <c r="AD451"/>
  <c r="P452"/>
  <c r="T452"/>
  <c r="U452"/>
  <c r="V452"/>
  <c r="W452"/>
  <c r="Y452"/>
  <c r="AA452"/>
  <c r="AB452"/>
  <c r="AC452"/>
  <c r="AD452"/>
  <c r="P453"/>
  <c r="T453"/>
  <c r="U453"/>
  <c r="V453"/>
  <c r="W453"/>
  <c r="Y453"/>
  <c r="AA453"/>
  <c r="AB453"/>
  <c r="AC453"/>
  <c r="AD453"/>
  <c r="P454"/>
  <c r="T454"/>
  <c r="U454"/>
  <c r="V454"/>
  <c r="W454"/>
  <c r="Y454"/>
  <c r="AA454"/>
  <c r="AB454"/>
  <c r="AC454"/>
  <c r="AD454"/>
  <c r="P455"/>
  <c r="T455"/>
  <c r="U455"/>
  <c r="V455"/>
  <c r="W455"/>
  <c r="Y455"/>
  <c r="AA455"/>
  <c r="AB455"/>
  <c r="AC455"/>
  <c r="AD455"/>
  <c r="P456"/>
  <c r="T456"/>
  <c r="U456"/>
  <c r="V456"/>
  <c r="W456"/>
  <c r="Y456"/>
  <c r="AA456"/>
  <c r="AB456"/>
  <c r="AC456"/>
  <c r="AD456"/>
  <c r="P457"/>
  <c r="T457"/>
  <c r="U457"/>
  <c r="V457"/>
  <c r="W457"/>
  <c r="Y457"/>
  <c r="AA457"/>
  <c r="AB457"/>
  <c r="AC457"/>
  <c r="AD457"/>
  <c r="P458"/>
  <c r="T458"/>
  <c r="U458"/>
  <c r="V458"/>
  <c r="W458"/>
  <c r="Y458"/>
  <c r="AA458"/>
  <c r="AB458"/>
  <c r="AC458"/>
  <c r="AD458"/>
  <c r="P459"/>
  <c r="T459"/>
  <c r="U459"/>
  <c r="V459"/>
  <c r="W459"/>
  <c r="Y459"/>
  <c r="AA459"/>
  <c r="AB459"/>
  <c r="AC459"/>
  <c r="AD459"/>
  <c r="P460"/>
  <c r="T460"/>
  <c r="U460"/>
  <c r="V460"/>
  <c r="W460"/>
  <c r="Y460"/>
  <c r="AA460"/>
  <c r="AB460"/>
  <c r="AC460"/>
  <c r="AD460"/>
  <c r="P461"/>
  <c r="T461"/>
  <c r="U461"/>
  <c r="V461"/>
  <c r="W461"/>
  <c r="Y461"/>
  <c r="AA461"/>
  <c r="AB461"/>
  <c r="AC461"/>
  <c r="AD461"/>
  <c r="P462"/>
  <c r="T462"/>
  <c r="U462"/>
  <c r="V462"/>
  <c r="W462"/>
  <c r="Y462"/>
  <c r="AA462"/>
  <c r="AB462"/>
  <c r="AC462"/>
  <c r="AD462"/>
  <c r="P463"/>
  <c r="T463"/>
  <c r="U463"/>
  <c r="V463"/>
  <c r="W463"/>
  <c r="Y463"/>
  <c r="AA463"/>
  <c r="AB463"/>
  <c r="AC463"/>
  <c r="AD463"/>
  <c r="P464"/>
  <c r="T464"/>
  <c r="U464"/>
  <c r="V464"/>
  <c r="W464"/>
  <c r="Y464"/>
  <c r="AA464"/>
  <c r="AB464"/>
  <c r="AC464"/>
  <c r="AD464"/>
  <c r="P465"/>
  <c r="T465"/>
  <c r="U465"/>
  <c r="V465"/>
  <c r="W465"/>
  <c r="Y465"/>
  <c r="AA465"/>
  <c r="AB465"/>
  <c r="AC465"/>
  <c r="AD465"/>
  <c r="P466"/>
  <c r="T466"/>
  <c r="U466"/>
  <c r="V466"/>
  <c r="W466"/>
  <c r="Y466"/>
  <c r="AA466"/>
  <c r="AB466"/>
  <c r="AC466"/>
  <c r="AD466"/>
  <c r="P467"/>
  <c r="T467"/>
  <c r="U467"/>
  <c r="V467"/>
  <c r="W467"/>
  <c r="Y467"/>
  <c r="AA467"/>
  <c r="AB467"/>
  <c r="AC467"/>
  <c r="AD467"/>
  <c r="P468"/>
  <c r="T468"/>
  <c r="U468"/>
  <c r="V468"/>
  <c r="W468"/>
  <c r="Y468"/>
  <c r="AA468"/>
  <c r="AB468"/>
  <c r="AC468"/>
  <c r="AD468"/>
  <c r="P469"/>
  <c r="T469"/>
  <c r="U469"/>
  <c r="V469"/>
  <c r="W469"/>
  <c r="Y469"/>
  <c r="AA469"/>
  <c r="AB469"/>
  <c r="AC469"/>
  <c r="AD469"/>
  <c r="P470"/>
  <c r="T470"/>
  <c r="U470"/>
  <c r="V470"/>
  <c r="W470"/>
  <c r="Y470"/>
  <c r="AA470"/>
  <c r="AB470"/>
  <c r="AC470"/>
  <c r="AD470"/>
  <c r="P471"/>
  <c r="T471"/>
  <c r="U471"/>
  <c r="V471"/>
  <c r="W471"/>
  <c r="Y471"/>
  <c r="AA471"/>
  <c r="AB471"/>
  <c r="AC471"/>
  <c r="AD471"/>
  <c r="P472"/>
  <c r="T472"/>
  <c r="U472"/>
  <c r="V472"/>
  <c r="W472"/>
  <c r="Y472"/>
  <c r="AA472"/>
  <c r="AB472"/>
  <c r="AC472"/>
  <c r="AD472"/>
  <c r="P473"/>
  <c r="T473"/>
  <c r="U473"/>
  <c r="V473"/>
  <c r="W473"/>
  <c r="Y473"/>
  <c r="AA473"/>
  <c r="AB473"/>
  <c r="AC473"/>
  <c r="AD473"/>
  <c r="P474"/>
  <c r="T474"/>
  <c r="U474"/>
  <c r="V474"/>
  <c r="W474"/>
  <c r="Y474"/>
  <c r="AA474"/>
  <c r="AB474"/>
  <c r="AC474"/>
  <c r="AD474"/>
  <c r="P475"/>
  <c r="T475"/>
  <c r="U475"/>
  <c r="V475"/>
  <c r="W475"/>
  <c r="Y475"/>
  <c r="AA475"/>
  <c r="AB475"/>
  <c r="AC475"/>
  <c r="AD475"/>
  <c r="P476"/>
  <c r="T476"/>
  <c r="U476"/>
  <c r="V476"/>
  <c r="W476"/>
  <c r="Y476"/>
  <c r="AA476"/>
  <c r="AB476"/>
  <c r="AC476"/>
  <c r="AD476"/>
  <c r="P477"/>
  <c r="T477"/>
  <c r="U477"/>
  <c r="V477"/>
  <c r="W477"/>
  <c r="Y477"/>
  <c r="AA477"/>
  <c r="AB477"/>
  <c r="AC477"/>
  <c r="AD477"/>
  <c r="P478"/>
  <c r="T478"/>
  <c r="U478"/>
  <c r="V478"/>
  <c r="W478"/>
  <c r="Y478"/>
  <c r="AA478"/>
  <c r="AB478"/>
  <c r="AC478"/>
  <c r="AD478"/>
  <c r="P479"/>
  <c r="T479"/>
  <c r="U479"/>
  <c r="V479"/>
  <c r="W479"/>
  <c r="Y479"/>
  <c r="AA479"/>
  <c r="AB479"/>
  <c r="AC479"/>
  <c r="AD479"/>
  <c r="P480"/>
  <c r="T480"/>
  <c r="U480"/>
  <c r="V480"/>
  <c r="W480"/>
  <c r="Y480"/>
  <c r="AA480"/>
  <c r="AB480"/>
  <c r="AC480"/>
  <c r="AD480"/>
  <c r="P481"/>
  <c r="T481"/>
  <c r="U481"/>
  <c r="V481"/>
  <c r="W481"/>
  <c r="Y481"/>
  <c r="AA481"/>
  <c r="AB481"/>
  <c r="AC481"/>
  <c r="AD481"/>
  <c r="P482"/>
  <c r="T482"/>
  <c r="U482"/>
  <c r="V482"/>
  <c r="W482"/>
  <c r="Y482"/>
  <c r="AA482"/>
  <c r="AB482"/>
  <c r="AC482"/>
  <c r="AD482"/>
  <c r="P483"/>
  <c r="T483"/>
  <c r="U483"/>
  <c r="V483"/>
  <c r="W483"/>
  <c r="Y483"/>
  <c r="AA483"/>
  <c r="AB483"/>
  <c r="AC483"/>
  <c r="AD483"/>
  <c r="P484"/>
  <c r="T484"/>
  <c r="U484"/>
  <c r="V484"/>
  <c r="W484"/>
  <c r="Y484"/>
  <c r="AA484"/>
  <c r="AB484"/>
  <c r="AC484"/>
  <c r="AD484"/>
  <c r="P485"/>
  <c r="T485"/>
  <c r="U485"/>
  <c r="V485"/>
  <c r="W485"/>
  <c r="Y485"/>
  <c r="AA485"/>
  <c r="AB485"/>
  <c r="AC485"/>
  <c r="AD485"/>
  <c r="P486"/>
  <c r="T486"/>
  <c r="U486"/>
  <c r="V486"/>
  <c r="W486"/>
  <c r="Y486"/>
  <c r="AA486"/>
  <c r="AB486"/>
  <c r="AC486"/>
  <c r="AD486"/>
  <c r="P487"/>
  <c r="T487"/>
  <c r="U487"/>
  <c r="V487"/>
  <c r="W487"/>
  <c r="Y487"/>
  <c r="AA487"/>
  <c r="AB487"/>
  <c r="AC487"/>
  <c r="AD487"/>
  <c r="P488"/>
  <c r="T488"/>
  <c r="U488"/>
  <c r="V488"/>
  <c r="W488"/>
  <c r="Y488"/>
  <c r="AA488"/>
  <c r="AB488"/>
  <c r="AC488"/>
  <c r="AD488"/>
  <c r="P489"/>
  <c r="T489"/>
  <c r="U489"/>
  <c r="V489"/>
  <c r="W489"/>
  <c r="Y489"/>
  <c r="AA489"/>
  <c r="AB489"/>
  <c r="AC489"/>
  <c r="AD489"/>
  <c r="P490"/>
  <c r="T490"/>
  <c r="U490"/>
  <c r="V490"/>
  <c r="W490"/>
  <c r="Y490"/>
  <c r="AA490"/>
  <c r="AB490"/>
  <c r="AC490"/>
  <c r="AD490"/>
  <c r="P491"/>
  <c r="T491"/>
  <c r="U491"/>
  <c r="V491"/>
  <c r="W491"/>
  <c r="Y491"/>
  <c r="AA491"/>
  <c r="AB491"/>
  <c r="AC491"/>
  <c r="AD491"/>
  <c r="P492"/>
  <c r="T492"/>
  <c r="U492"/>
  <c r="V492"/>
  <c r="W492"/>
  <c r="Y492"/>
  <c r="AA492"/>
  <c r="AB492"/>
  <c r="AC492"/>
  <c r="AD492"/>
  <c r="P493"/>
  <c r="T493"/>
  <c r="U493"/>
  <c r="V493"/>
  <c r="W493"/>
  <c r="Y493"/>
  <c r="AA493"/>
  <c r="AB493"/>
  <c r="AC493"/>
  <c r="AD493"/>
  <c r="P494"/>
  <c r="T494"/>
  <c r="U494"/>
  <c r="V494"/>
  <c r="W494"/>
  <c r="Y494"/>
  <c r="AA494"/>
  <c r="AB494"/>
  <c r="AC494"/>
  <c r="AD494"/>
  <c r="P495"/>
  <c r="T495"/>
  <c r="U495"/>
  <c r="V495"/>
  <c r="W495"/>
  <c r="Y495"/>
  <c r="AA495"/>
  <c r="AB495"/>
  <c r="AC495"/>
  <c r="AD495"/>
  <c r="P496"/>
  <c r="T496"/>
  <c r="U496"/>
  <c r="V496"/>
  <c r="W496"/>
  <c r="Y496"/>
  <c r="AA496"/>
  <c r="AB496"/>
  <c r="AC496"/>
  <c r="AD496"/>
  <c r="P497"/>
  <c r="T497"/>
  <c r="U497"/>
  <c r="V497"/>
  <c r="W497"/>
  <c r="Y497"/>
  <c r="AA497"/>
  <c r="AB497"/>
  <c r="AC497"/>
  <c r="AD497"/>
  <c r="P498"/>
  <c r="T498"/>
  <c r="U498"/>
  <c r="V498"/>
  <c r="W498"/>
  <c r="Y498"/>
  <c r="AA498"/>
  <c r="AB498"/>
  <c r="AC498"/>
  <c r="AD498"/>
  <c r="P499"/>
  <c r="T499"/>
  <c r="U499"/>
  <c r="V499"/>
  <c r="W499"/>
  <c r="Y499"/>
  <c r="AA499"/>
  <c r="AB499"/>
  <c r="AC499"/>
  <c r="AD499"/>
  <c r="P500"/>
  <c r="T500"/>
  <c r="U500"/>
  <c r="V500"/>
  <c r="W500"/>
  <c r="Y500"/>
  <c r="AA500"/>
  <c r="AB500"/>
  <c r="AC500"/>
  <c r="AD500"/>
  <c r="P501"/>
  <c r="T501"/>
  <c r="U501"/>
  <c r="V501"/>
  <c r="W501"/>
  <c r="Y501"/>
  <c r="AA501"/>
  <c r="AB501"/>
  <c r="AC501"/>
  <c r="AD501"/>
  <c r="P502"/>
  <c r="T502"/>
  <c r="U502"/>
  <c r="V502"/>
  <c r="W502"/>
  <c r="Y502"/>
  <c r="AA502"/>
  <c r="AB502"/>
  <c r="AC502"/>
  <c r="AD502"/>
  <c r="P503"/>
  <c r="T503"/>
  <c r="U503"/>
  <c r="V503"/>
  <c r="W503"/>
  <c r="Y503"/>
  <c r="AA503"/>
  <c r="AB503"/>
  <c r="AC503"/>
  <c r="AD503"/>
  <c r="P504"/>
  <c r="T504"/>
  <c r="U504"/>
  <c r="V504"/>
  <c r="W504"/>
  <c r="Y504"/>
  <c r="AA504"/>
  <c r="AB504"/>
  <c r="AC504"/>
  <c r="AD504"/>
  <c r="P505"/>
  <c r="T505"/>
  <c r="U505"/>
  <c r="V505"/>
  <c r="W505"/>
  <c r="Y505"/>
  <c r="AA505"/>
  <c r="AB505"/>
  <c r="AC505"/>
  <c r="AD505"/>
  <c r="P506"/>
  <c r="T506"/>
  <c r="U506"/>
  <c r="V506"/>
  <c r="W506"/>
  <c r="Y506"/>
  <c r="AA506"/>
  <c r="AB506"/>
  <c r="AC506"/>
  <c r="AD506"/>
  <c r="P507"/>
  <c r="T507"/>
  <c r="U507"/>
  <c r="V507"/>
  <c r="W507"/>
  <c r="Y507"/>
  <c r="AA507"/>
  <c r="AB507"/>
  <c r="AC507"/>
  <c r="AD507"/>
  <c r="P508"/>
  <c r="T508"/>
  <c r="U508"/>
  <c r="V508"/>
  <c r="W508"/>
  <c r="Y508"/>
  <c r="AA508"/>
  <c r="AB508"/>
  <c r="AC508"/>
  <c r="AD508"/>
  <c r="P509"/>
  <c r="T509"/>
  <c r="U509"/>
  <c r="V509"/>
  <c r="W509"/>
  <c r="Y509"/>
  <c r="AA509"/>
  <c r="AB509"/>
  <c r="AC509"/>
  <c r="AD509"/>
  <c r="P510"/>
  <c r="T510"/>
  <c r="U510"/>
  <c r="V510"/>
  <c r="W510"/>
  <c r="Y510"/>
  <c r="AA510"/>
  <c r="AB510"/>
  <c r="AC510"/>
  <c r="AD510"/>
  <c r="P511"/>
  <c r="T511"/>
  <c r="U511"/>
  <c r="V511"/>
  <c r="W511"/>
  <c r="Y511"/>
  <c r="AA511"/>
  <c r="AB511"/>
  <c r="AC511"/>
  <c r="AD511"/>
  <c r="P512"/>
  <c r="T512"/>
  <c r="U512"/>
  <c r="V512"/>
  <c r="W512"/>
  <c r="Y512"/>
  <c r="AA512"/>
  <c r="AB512"/>
  <c r="AC512"/>
  <c r="AD512"/>
  <c r="P513"/>
  <c r="T513"/>
  <c r="U513"/>
  <c r="V513"/>
  <c r="W513"/>
  <c r="Y513"/>
  <c r="AA513"/>
  <c r="AB513"/>
  <c r="AC513"/>
  <c r="AD513"/>
  <c r="P514"/>
  <c r="T514"/>
  <c r="U514"/>
  <c r="V514"/>
  <c r="W514"/>
  <c r="Y514"/>
  <c r="AA514"/>
  <c r="AB514"/>
  <c r="AC514"/>
  <c r="AD514"/>
  <c r="P515"/>
  <c r="T515"/>
  <c r="U515"/>
  <c r="V515"/>
  <c r="W515"/>
  <c r="Y515"/>
  <c r="AA515"/>
  <c r="AB515"/>
  <c r="AC515"/>
  <c r="AD515"/>
  <c r="P516"/>
  <c r="T516"/>
  <c r="U516"/>
  <c r="V516"/>
  <c r="W516"/>
  <c r="Y516"/>
  <c r="AA516"/>
  <c r="AB516"/>
  <c r="AC516"/>
  <c r="AD516"/>
  <c r="P517"/>
  <c r="T517"/>
  <c r="U517"/>
  <c r="V517"/>
  <c r="W517"/>
  <c r="Y517"/>
  <c r="AA517"/>
  <c r="AB517"/>
  <c r="AC517"/>
  <c r="AD517"/>
  <c r="P518"/>
  <c r="T518"/>
  <c r="U518"/>
  <c r="V518"/>
  <c r="W518"/>
  <c r="Y518"/>
  <c r="AA518"/>
  <c r="AB518"/>
  <c r="AC518"/>
  <c r="AD518"/>
  <c r="P519"/>
  <c r="T519"/>
  <c r="U519"/>
  <c r="V519"/>
  <c r="W519"/>
  <c r="Y519"/>
  <c r="AA519"/>
  <c r="AB519"/>
  <c r="AC519"/>
  <c r="AD519"/>
  <c r="P520"/>
  <c r="T520"/>
  <c r="U520"/>
  <c r="V520"/>
  <c r="W520"/>
  <c r="Y520"/>
  <c r="AA520"/>
  <c r="AB520"/>
  <c r="AC520"/>
  <c r="AD520"/>
  <c r="P521"/>
  <c r="T521"/>
  <c r="U521"/>
  <c r="V521"/>
  <c r="W521"/>
  <c r="Y521"/>
  <c r="AA521"/>
  <c r="AB521"/>
  <c r="AC521"/>
  <c r="AD521"/>
  <c r="P522"/>
  <c r="T522"/>
  <c r="U522"/>
  <c r="V522"/>
  <c r="W522"/>
  <c r="Y522"/>
  <c r="AA522"/>
  <c r="AB522"/>
  <c r="AC522"/>
  <c r="AD522"/>
  <c r="P523"/>
  <c r="T523"/>
  <c r="U523"/>
  <c r="V523"/>
  <c r="W523"/>
  <c r="Y523"/>
  <c r="AA523"/>
  <c r="AB523"/>
  <c r="AC523"/>
  <c r="AD523"/>
  <c r="P524"/>
  <c r="T524"/>
  <c r="U524"/>
  <c r="V524"/>
  <c r="W524"/>
  <c r="Y524"/>
  <c r="AA524"/>
  <c r="AB524"/>
  <c r="AC524"/>
  <c r="AD524"/>
  <c r="P525"/>
  <c r="T525"/>
  <c r="U525"/>
  <c r="V525"/>
  <c r="W525"/>
  <c r="Y525"/>
  <c r="AA525"/>
  <c r="AB525"/>
  <c r="AC525"/>
  <c r="AD525"/>
  <c r="P526"/>
  <c r="T526"/>
  <c r="U526"/>
  <c r="V526"/>
  <c r="W526"/>
  <c r="Y526"/>
  <c r="AA526"/>
  <c r="AB526"/>
  <c r="AC526"/>
  <c r="AD526"/>
  <c r="P527"/>
  <c r="T527"/>
  <c r="U527"/>
  <c r="V527"/>
  <c r="W527"/>
  <c r="Y527"/>
  <c r="AA527"/>
  <c r="AB527"/>
  <c r="AC527"/>
  <c r="AD527"/>
  <c r="P528"/>
  <c r="T528"/>
  <c r="U528"/>
  <c r="V528"/>
  <c r="W528"/>
  <c r="Y528"/>
  <c r="AA528"/>
  <c r="AB528"/>
  <c r="AC528"/>
  <c r="AD528"/>
  <c r="P529"/>
  <c r="T529"/>
  <c r="U529"/>
  <c r="V529"/>
  <c r="W529"/>
  <c r="Y529"/>
  <c r="AA529"/>
  <c r="AB529"/>
  <c r="AC529"/>
  <c r="AD529"/>
  <c r="P530"/>
  <c r="T530"/>
  <c r="U530"/>
  <c r="V530"/>
  <c r="W530"/>
  <c r="Y530"/>
  <c r="AA530"/>
  <c r="AB530"/>
  <c r="AC530"/>
  <c r="AD530"/>
  <c r="P531"/>
  <c r="T531"/>
  <c r="U531"/>
  <c r="V531"/>
  <c r="W531"/>
  <c r="Y531"/>
  <c r="AA531"/>
  <c r="AB531"/>
  <c r="AC531"/>
  <c r="AD531"/>
  <c r="P532"/>
  <c r="T532"/>
  <c r="U532"/>
  <c r="V532"/>
  <c r="W532"/>
  <c r="Y532"/>
  <c r="AA532"/>
  <c r="AB532"/>
  <c r="AC532"/>
  <c r="AD532"/>
  <c r="P533"/>
  <c r="T533"/>
  <c r="U533"/>
  <c r="V533"/>
  <c r="W533"/>
  <c r="Y533"/>
  <c r="AA533"/>
  <c r="AB533"/>
  <c r="AC533"/>
  <c r="AD533"/>
  <c r="P534"/>
  <c r="T534"/>
  <c r="U534"/>
  <c r="V534"/>
  <c r="W534"/>
  <c r="Y534"/>
  <c r="AA534"/>
  <c r="AB534"/>
  <c r="AC534"/>
  <c r="AD534"/>
  <c r="P535"/>
  <c r="T535"/>
  <c r="U535"/>
  <c r="V535"/>
  <c r="W535"/>
  <c r="Y535"/>
  <c r="AA535"/>
  <c r="AB535"/>
  <c r="AC535"/>
  <c r="AD535"/>
  <c r="P536"/>
  <c r="T536"/>
  <c r="U536"/>
  <c r="V536"/>
  <c r="W536"/>
  <c r="Y536"/>
  <c r="AA536"/>
  <c r="AB536"/>
  <c r="AC536"/>
  <c r="AD536"/>
  <c r="P537"/>
  <c r="T537"/>
  <c r="U537"/>
  <c r="V537"/>
  <c r="W537"/>
  <c r="Y537"/>
  <c r="AA537"/>
  <c r="AB537"/>
  <c r="AC537"/>
  <c r="AD537"/>
  <c r="P538"/>
  <c r="T538"/>
  <c r="U538"/>
  <c r="V538"/>
  <c r="W538"/>
  <c r="Y538"/>
  <c r="AA538"/>
  <c r="AB538"/>
  <c r="AC538"/>
  <c r="AD538"/>
  <c r="P539"/>
  <c r="T539"/>
  <c r="U539"/>
  <c r="V539"/>
  <c r="W539"/>
  <c r="Y539"/>
  <c r="AA539"/>
  <c r="AB539"/>
  <c r="AC539"/>
  <c r="AD539"/>
  <c r="P540"/>
  <c r="T540"/>
  <c r="U540"/>
  <c r="V540"/>
  <c r="W540"/>
  <c r="Y540"/>
  <c r="AA540"/>
  <c r="AB540"/>
  <c r="AC540"/>
  <c r="AD540"/>
  <c r="P541"/>
  <c r="T541"/>
  <c r="U541"/>
  <c r="V541"/>
  <c r="W541"/>
  <c r="Y541"/>
  <c r="AA541"/>
  <c r="AB541"/>
  <c r="AC541"/>
  <c r="AD541"/>
  <c r="P542"/>
  <c r="T542"/>
  <c r="U542"/>
  <c r="V542"/>
  <c r="W542"/>
  <c r="Y542"/>
  <c r="AA542"/>
  <c r="AB542"/>
  <c r="AC542"/>
  <c r="AD542"/>
  <c r="P543"/>
  <c r="T543"/>
  <c r="U543"/>
  <c r="V543"/>
  <c r="W543"/>
  <c r="Y543"/>
  <c r="AA543"/>
  <c r="AB543"/>
  <c r="AC543"/>
  <c r="AD543"/>
  <c r="P544"/>
  <c r="T544"/>
  <c r="U544"/>
  <c r="V544"/>
  <c r="W544"/>
  <c r="Y544"/>
  <c r="AA544"/>
  <c r="AB544"/>
  <c r="AC544"/>
  <c r="AD544"/>
  <c r="P545"/>
  <c r="T545"/>
  <c r="U545"/>
  <c r="V545"/>
  <c r="W545"/>
  <c r="Y545"/>
  <c r="AA545"/>
  <c r="AB545"/>
  <c r="AC545"/>
  <c r="AD545"/>
  <c r="P546"/>
  <c r="T546"/>
  <c r="U546"/>
  <c r="V546"/>
  <c r="W546"/>
  <c r="Y546"/>
  <c r="AA546"/>
  <c r="AB546"/>
  <c r="AC546"/>
  <c r="AD546"/>
  <c r="P547"/>
  <c r="T547"/>
  <c r="U547"/>
  <c r="V547"/>
  <c r="W547"/>
  <c r="Y547"/>
  <c r="AA547"/>
  <c r="AB547"/>
  <c r="AC547"/>
  <c r="AD547"/>
  <c r="P548"/>
  <c r="T548"/>
  <c r="U548"/>
  <c r="V548"/>
  <c r="W548"/>
  <c r="Y548"/>
  <c r="AA548"/>
  <c r="AB548"/>
  <c r="AC548"/>
  <c r="AD548"/>
  <c r="P549"/>
  <c r="T549"/>
  <c r="U549"/>
  <c r="V549"/>
  <c r="W549"/>
  <c r="Y549"/>
  <c r="AA549"/>
  <c r="AB549"/>
  <c r="AC549"/>
  <c r="AD549"/>
  <c r="P550"/>
  <c r="T550"/>
  <c r="U550"/>
  <c r="V550"/>
  <c r="W550"/>
  <c r="Y550"/>
  <c r="AA550"/>
  <c r="AB550"/>
  <c r="AC550"/>
  <c r="AD550"/>
  <c r="P551"/>
  <c r="T551"/>
  <c r="U551"/>
  <c r="V551"/>
  <c r="W551"/>
  <c r="Y551"/>
  <c r="AA551"/>
  <c r="AB551"/>
  <c r="AC551"/>
  <c r="AD551"/>
  <c r="P552"/>
  <c r="T552"/>
  <c r="U552"/>
  <c r="V552"/>
  <c r="W552"/>
  <c r="Y552"/>
  <c r="AA552"/>
  <c r="AB552"/>
  <c r="AC552"/>
  <c r="AD552"/>
  <c r="P553"/>
  <c r="T553"/>
  <c r="U553"/>
  <c r="V553"/>
  <c r="W553"/>
  <c r="Y553"/>
  <c r="AA553"/>
  <c r="AB553"/>
  <c r="AC553"/>
  <c r="AD553"/>
  <c r="P554"/>
  <c r="T554"/>
  <c r="U554"/>
  <c r="V554"/>
  <c r="W554"/>
  <c r="Y554"/>
  <c r="AA554"/>
  <c r="AB554"/>
  <c r="AC554"/>
  <c r="AD554"/>
  <c r="P555"/>
  <c r="T555"/>
  <c r="U555"/>
  <c r="V555"/>
  <c r="W555"/>
  <c r="Y555"/>
  <c r="AA555"/>
  <c r="AB555"/>
  <c r="AC555"/>
  <c r="AD555"/>
  <c r="P556"/>
  <c r="T556"/>
  <c r="U556"/>
  <c r="V556"/>
  <c r="W556"/>
  <c r="Y556"/>
  <c r="AA556"/>
  <c r="AB556"/>
  <c r="AC556"/>
  <c r="AD556"/>
  <c r="P557"/>
  <c r="T557"/>
  <c r="U557"/>
  <c r="V557"/>
  <c r="W557"/>
  <c r="Y557"/>
  <c r="AA557"/>
  <c r="AB557"/>
  <c r="AC557"/>
  <c r="AD557"/>
  <c r="P558"/>
  <c r="T558"/>
  <c r="U558"/>
  <c r="V558"/>
  <c r="W558"/>
  <c r="Y558"/>
  <c r="AA558"/>
  <c r="AB558"/>
  <c r="AC558"/>
  <c r="AD558"/>
  <c r="P559"/>
  <c r="T559"/>
  <c r="U559"/>
  <c r="V559"/>
  <c r="W559"/>
  <c r="Y559"/>
  <c r="AA559"/>
  <c r="AB559"/>
  <c r="AC559"/>
  <c r="AD559"/>
  <c r="P560"/>
  <c r="T560"/>
  <c r="U560"/>
  <c r="V560"/>
  <c r="W560"/>
  <c r="Y560"/>
  <c r="AA560"/>
  <c r="AB560"/>
  <c r="AC560"/>
  <c r="AD560"/>
  <c r="P561"/>
  <c r="T561"/>
  <c r="U561"/>
  <c r="V561"/>
  <c r="W561"/>
  <c r="Y561"/>
  <c r="AA561"/>
  <c r="AB561"/>
  <c r="AC561"/>
  <c r="AD561"/>
  <c r="P562"/>
  <c r="T562"/>
  <c r="U562"/>
  <c r="V562"/>
  <c r="W562"/>
  <c r="Y562"/>
  <c r="AA562"/>
  <c r="AB562"/>
  <c r="AC562"/>
  <c r="AD562"/>
  <c r="P563"/>
  <c r="T563"/>
  <c r="U563"/>
  <c r="V563"/>
  <c r="W563"/>
  <c r="Y563"/>
  <c r="AA563"/>
  <c r="AB563"/>
  <c r="AC563"/>
  <c r="AD563"/>
  <c r="P564"/>
  <c r="T564"/>
  <c r="U564"/>
  <c r="V564"/>
  <c r="W564"/>
  <c r="Y564"/>
  <c r="AA564"/>
  <c r="AB564"/>
  <c r="AC564"/>
  <c r="AD564"/>
  <c r="P565"/>
  <c r="T565"/>
  <c r="U565"/>
  <c r="V565"/>
  <c r="W565"/>
  <c r="Y565"/>
  <c r="AA565"/>
  <c r="AB565"/>
  <c r="AC565"/>
  <c r="AD565"/>
  <c r="P566"/>
  <c r="T566"/>
  <c r="U566"/>
  <c r="V566"/>
  <c r="W566"/>
  <c r="Y566"/>
  <c r="AA566"/>
  <c r="AB566"/>
  <c r="AC566"/>
  <c r="AD566"/>
  <c r="P567"/>
  <c r="T567"/>
  <c r="U567"/>
  <c r="V567"/>
  <c r="W567"/>
  <c r="Y567"/>
  <c r="AA567"/>
  <c r="AB567"/>
  <c r="AC567"/>
  <c r="AD567"/>
  <c r="P568"/>
  <c r="T568"/>
  <c r="U568"/>
  <c r="V568"/>
  <c r="W568"/>
  <c r="Y568"/>
  <c r="AA568"/>
  <c r="AB568"/>
  <c r="AC568"/>
  <c r="AD568"/>
  <c r="P569"/>
  <c r="T569"/>
  <c r="U569"/>
  <c r="V569"/>
  <c r="W569"/>
  <c r="Y569"/>
  <c r="AA569"/>
  <c r="AB569"/>
  <c r="AC569"/>
  <c r="AD569"/>
  <c r="P570"/>
  <c r="T570"/>
  <c r="U570"/>
  <c r="V570"/>
  <c r="W570"/>
  <c r="Y570"/>
  <c r="AA570"/>
  <c r="AB570"/>
  <c r="AC570"/>
  <c r="AD570"/>
  <c r="P571"/>
  <c r="T571"/>
  <c r="U571"/>
  <c r="V571"/>
  <c r="W571"/>
  <c r="Y571"/>
  <c r="AA571"/>
  <c r="AB571"/>
  <c r="AC571"/>
  <c r="AD571"/>
  <c r="P572"/>
  <c r="T572"/>
  <c r="U572"/>
  <c r="V572"/>
  <c r="W572"/>
  <c r="Y572"/>
  <c r="AA572"/>
  <c r="AB572"/>
  <c r="AC572"/>
  <c r="AD572"/>
  <c r="P573"/>
  <c r="T573"/>
  <c r="U573"/>
  <c r="V573"/>
  <c r="W573"/>
  <c r="Y573"/>
  <c r="AA573"/>
  <c r="AB573"/>
  <c r="AC573"/>
  <c r="AD573"/>
  <c r="P574"/>
  <c r="T574"/>
  <c r="U574"/>
  <c r="V574"/>
  <c r="W574"/>
  <c r="Y574"/>
  <c r="AA574"/>
  <c r="AB574"/>
  <c r="AC574"/>
  <c r="AD574"/>
  <c r="P575"/>
  <c r="T575"/>
  <c r="U575"/>
  <c r="V575"/>
  <c r="W575"/>
  <c r="Y575"/>
  <c r="AA575"/>
  <c r="AB575"/>
  <c r="AC575"/>
  <c r="AD575"/>
  <c r="P576"/>
  <c r="T576"/>
  <c r="U576"/>
  <c r="V576"/>
  <c r="W576"/>
  <c r="Y576"/>
  <c r="AA576"/>
  <c r="AB576"/>
  <c r="AC576"/>
  <c r="AD576"/>
  <c r="P577"/>
  <c r="T577"/>
  <c r="U577"/>
  <c r="V577"/>
  <c r="W577"/>
  <c r="Y577"/>
  <c r="AA577"/>
  <c r="AB577"/>
  <c r="AC577"/>
  <c r="AD577"/>
  <c r="P578"/>
  <c r="T578"/>
  <c r="U578"/>
  <c r="V578"/>
  <c r="W578"/>
  <c r="Y578"/>
  <c r="AA578"/>
  <c r="AB578"/>
  <c r="AC578"/>
  <c r="AD578"/>
  <c r="P579"/>
  <c r="T579"/>
  <c r="U579"/>
  <c r="V579"/>
  <c r="W579"/>
  <c r="Y579"/>
  <c r="AA579"/>
  <c r="AB579"/>
  <c r="AC579"/>
  <c r="AD579"/>
  <c r="P580"/>
  <c r="T580"/>
  <c r="U580"/>
  <c r="V580"/>
  <c r="W580"/>
  <c r="Y580"/>
  <c r="AA580"/>
  <c r="AB580"/>
  <c r="AC580"/>
  <c r="AD580"/>
  <c r="P581"/>
  <c r="T581"/>
  <c r="U581"/>
  <c r="V581"/>
  <c r="W581"/>
  <c r="Y581"/>
  <c r="AA581"/>
  <c r="AB581"/>
  <c r="AC581"/>
  <c r="AD581"/>
  <c r="P582"/>
  <c r="T582"/>
  <c r="U582"/>
  <c r="V582"/>
  <c r="W582"/>
  <c r="Y582"/>
  <c r="AA582"/>
  <c r="AB582"/>
  <c r="AC582"/>
  <c r="AD582"/>
  <c r="P583"/>
  <c r="T583"/>
  <c r="U583"/>
  <c r="V583"/>
  <c r="W583"/>
  <c r="Y583"/>
  <c r="AA583"/>
  <c r="AB583"/>
  <c r="AC583"/>
  <c r="AD583"/>
  <c r="P584"/>
  <c r="T584"/>
  <c r="U584"/>
  <c r="V584"/>
  <c r="W584"/>
  <c r="Y584"/>
  <c r="AA584"/>
  <c r="AB584"/>
  <c r="AC584"/>
  <c r="AD584"/>
  <c r="P585"/>
  <c r="T585"/>
  <c r="U585"/>
  <c r="V585"/>
  <c r="W585"/>
  <c r="Y585"/>
  <c r="AA585"/>
  <c r="AB585"/>
  <c r="AC585"/>
  <c r="AD585"/>
  <c r="P586"/>
  <c r="T586"/>
  <c r="U586"/>
  <c r="V586"/>
  <c r="W586"/>
  <c r="Y586"/>
  <c r="AA586"/>
  <c r="AB586"/>
  <c r="AC586"/>
  <c r="AD586"/>
  <c r="P587"/>
  <c r="T587"/>
  <c r="U587"/>
  <c r="V587"/>
  <c r="W587"/>
  <c r="Y587"/>
  <c r="AA587"/>
  <c r="AB587"/>
  <c r="AC587"/>
  <c r="AD587"/>
  <c r="P588"/>
  <c r="T588"/>
  <c r="U588"/>
  <c r="V588"/>
  <c r="W588"/>
  <c r="Y588"/>
  <c r="AA588"/>
  <c r="AB588"/>
  <c r="AC588"/>
  <c r="AD588"/>
  <c r="P589"/>
  <c r="T589"/>
  <c r="U589"/>
  <c r="V589"/>
  <c r="W589"/>
  <c r="Y589"/>
  <c r="AA589"/>
  <c r="AB589"/>
  <c r="AC589"/>
  <c r="AD589"/>
  <c r="P590"/>
  <c r="T590"/>
  <c r="U590"/>
  <c r="V590"/>
  <c r="W590"/>
  <c r="Y590"/>
  <c r="AA590"/>
  <c r="AB590"/>
  <c r="AC590"/>
  <c r="AD590"/>
  <c r="P591"/>
  <c r="T591"/>
  <c r="U591"/>
  <c r="V591"/>
  <c r="W591"/>
  <c r="Y591"/>
  <c r="AA591"/>
  <c r="AB591"/>
  <c r="AC591"/>
  <c r="AD591"/>
  <c r="P592"/>
  <c r="T592"/>
  <c r="U592"/>
  <c r="V592"/>
  <c r="W592"/>
  <c r="Y592"/>
  <c r="AA592"/>
  <c r="AB592"/>
  <c r="AC592"/>
  <c r="AD592"/>
  <c r="P593"/>
  <c r="T593"/>
  <c r="U593"/>
  <c r="V593"/>
  <c r="W593"/>
  <c r="Y593"/>
  <c r="AA593"/>
  <c r="AB593"/>
  <c r="AC593"/>
  <c r="AD593"/>
  <c r="P594"/>
  <c r="T594"/>
  <c r="U594"/>
  <c r="V594"/>
  <c r="W594"/>
  <c r="Y594"/>
  <c r="AA594"/>
  <c r="AB594"/>
  <c r="AC594"/>
  <c r="AD594"/>
  <c r="P595"/>
  <c r="T595"/>
  <c r="U595"/>
  <c r="V595"/>
  <c r="W595"/>
  <c r="Y595"/>
  <c r="AA595"/>
  <c r="AB595"/>
  <c r="AC595"/>
  <c r="AD595"/>
  <c r="P596"/>
  <c r="T596"/>
  <c r="U596"/>
  <c r="V596"/>
  <c r="W596"/>
  <c r="Y596"/>
  <c r="AA596"/>
  <c r="AB596"/>
  <c r="AC596"/>
  <c r="AD596"/>
  <c r="P597"/>
  <c r="T597"/>
  <c r="U597"/>
  <c r="V597"/>
  <c r="W597"/>
  <c r="Y597"/>
  <c r="AA597"/>
  <c r="AB597"/>
  <c r="AC597"/>
  <c r="AD597"/>
  <c r="P598"/>
  <c r="T598"/>
  <c r="U598"/>
  <c r="V598"/>
  <c r="W598"/>
  <c r="Y598"/>
  <c r="AA598"/>
  <c r="AB598"/>
  <c r="AC598"/>
  <c r="AD598"/>
  <c r="P599"/>
  <c r="T599"/>
  <c r="U599"/>
  <c r="V599"/>
  <c r="W599"/>
  <c r="Y599"/>
  <c r="AA599"/>
  <c r="AB599"/>
  <c r="AC599"/>
  <c r="AD599"/>
  <c r="P600"/>
  <c r="T600"/>
  <c r="U600"/>
  <c r="V600"/>
  <c r="W600"/>
  <c r="Y600"/>
  <c r="AA600"/>
  <c r="AB600"/>
  <c r="AC600"/>
  <c r="AD600"/>
  <c r="P601"/>
  <c r="T601"/>
  <c r="U601"/>
  <c r="V601"/>
  <c r="W601"/>
  <c r="Y601"/>
  <c r="AA601"/>
  <c r="AB601"/>
  <c r="AC601"/>
  <c r="AD601"/>
  <c r="P602"/>
  <c r="T602"/>
  <c r="U602"/>
  <c r="V602"/>
  <c r="W602"/>
  <c r="Y602"/>
  <c r="AA602"/>
  <c r="AB602"/>
  <c r="AC602"/>
  <c r="AD602"/>
  <c r="P603"/>
  <c r="T603"/>
  <c r="U603"/>
  <c r="V603"/>
  <c r="W603"/>
  <c r="Y603"/>
  <c r="AA603"/>
  <c r="AB603"/>
  <c r="AC603"/>
  <c r="AD603"/>
  <c r="P604"/>
  <c r="T604"/>
  <c r="U604"/>
  <c r="V604"/>
  <c r="W604"/>
  <c r="Y604"/>
  <c r="AA604"/>
  <c r="AB604"/>
  <c r="AC604"/>
  <c r="AD604"/>
  <c r="P605"/>
  <c r="T605"/>
  <c r="U605"/>
  <c r="V605"/>
  <c r="W605"/>
  <c r="Y605"/>
  <c r="AA605"/>
  <c r="AB605"/>
  <c r="AC605"/>
  <c r="AD605"/>
  <c r="P606"/>
  <c r="T606"/>
  <c r="U606"/>
  <c r="V606"/>
  <c r="W606"/>
  <c r="Y606"/>
  <c r="AA606"/>
  <c r="AB606"/>
  <c r="AC606"/>
  <c r="AD606"/>
  <c r="P607"/>
  <c r="T607"/>
  <c r="U607"/>
  <c r="V607"/>
  <c r="W607"/>
  <c r="Y607"/>
  <c r="AA607"/>
  <c r="AB607"/>
  <c r="AC607"/>
  <c r="AD607"/>
  <c r="P608"/>
  <c r="T608"/>
  <c r="U608"/>
  <c r="V608"/>
  <c r="W608"/>
  <c r="Y608"/>
  <c r="AA608"/>
  <c r="AB608"/>
  <c r="AC608"/>
  <c r="AD608"/>
  <c r="P609"/>
  <c r="T609"/>
  <c r="U609"/>
  <c r="V609"/>
  <c r="W609"/>
  <c r="Y609"/>
  <c r="AA609"/>
  <c r="AB609"/>
  <c r="AC609"/>
  <c r="AD609"/>
  <c r="P610"/>
  <c r="T610"/>
  <c r="U610"/>
  <c r="V610"/>
  <c r="W610"/>
  <c r="Y610"/>
  <c r="AA610"/>
  <c r="AB610"/>
  <c r="AC610"/>
  <c r="AD610"/>
  <c r="P611"/>
  <c r="T611"/>
  <c r="U611"/>
  <c r="V611"/>
  <c r="W611"/>
  <c r="Y611"/>
  <c r="AA611"/>
  <c r="AB611"/>
  <c r="AC611"/>
  <c r="AD611"/>
  <c r="P612"/>
  <c r="T612"/>
  <c r="U612"/>
  <c r="V612"/>
  <c r="W612"/>
  <c r="Y612"/>
  <c r="AA612"/>
  <c r="AB612"/>
  <c r="AC612"/>
  <c r="AD612"/>
  <c r="P613"/>
  <c r="T613"/>
  <c r="U613"/>
  <c r="V613"/>
  <c r="W613"/>
  <c r="Y613"/>
  <c r="AA613"/>
  <c r="AB613"/>
  <c r="AC613"/>
  <c r="AD613"/>
  <c r="P614"/>
  <c r="T614"/>
  <c r="U614"/>
  <c r="V614"/>
  <c r="W614"/>
  <c r="Y614"/>
  <c r="AA614"/>
  <c r="AB614"/>
  <c r="AC614"/>
  <c r="AD614"/>
  <c r="P615"/>
  <c r="T615"/>
  <c r="U615"/>
  <c r="V615"/>
  <c r="W615"/>
  <c r="Y615"/>
  <c r="AA615"/>
  <c r="AB615"/>
  <c r="AC615"/>
  <c r="AD615"/>
  <c r="P616"/>
  <c r="T616"/>
  <c r="U616"/>
  <c r="V616"/>
  <c r="W616"/>
  <c r="Y616"/>
  <c r="AA616"/>
  <c r="AB616"/>
  <c r="AC616"/>
  <c r="AD616"/>
  <c r="P617"/>
  <c r="T617"/>
  <c r="U617"/>
  <c r="V617"/>
  <c r="W617"/>
  <c r="Y617"/>
  <c r="AA617"/>
  <c r="AB617"/>
  <c r="AC617"/>
  <c r="AD617"/>
  <c r="P618"/>
  <c r="T618"/>
  <c r="U618"/>
  <c r="V618"/>
  <c r="W618"/>
  <c r="Y618"/>
  <c r="AA618"/>
  <c r="AB618"/>
  <c r="AC618"/>
  <c r="AD618"/>
  <c r="P619"/>
  <c r="T619"/>
  <c r="U619"/>
  <c r="V619"/>
  <c r="W619"/>
  <c r="Y619"/>
  <c r="AA619"/>
  <c r="AB619"/>
  <c r="AC619"/>
  <c r="AD619"/>
  <c r="P620"/>
  <c r="T620"/>
  <c r="U620"/>
  <c r="V620"/>
  <c r="W620"/>
  <c r="Y620"/>
  <c r="AA620"/>
  <c r="AB620"/>
  <c r="AC620"/>
  <c r="AD620"/>
  <c r="P621"/>
  <c r="T621"/>
  <c r="U621"/>
  <c r="V621"/>
  <c r="W621"/>
  <c r="Y621"/>
  <c r="AA621"/>
  <c r="AB621"/>
  <c r="AC621"/>
  <c r="AD621"/>
  <c r="P622"/>
  <c r="T622"/>
  <c r="U622"/>
  <c r="V622"/>
  <c r="W622"/>
  <c r="Y622"/>
  <c r="AA622"/>
  <c r="AB622"/>
  <c r="AC622"/>
  <c r="AD622"/>
  <c r="P623"/>
  <c r="T623"/>
  <c r="U623"/>
  <c r="V623"/>
  <c r="W623"/>
  <c r="Y623"/>
  <c r="AA623"/>
  <c r="AB623"/>
  <c r="AC623"/>
  <c r="AD623"/>
  <c r="P624"/>
  <c r="T624"/>
  <c r="U624"/>
  <c r="V624"/>
  <c r="W624"/>
  <c r="Y624"/>
  <c r="AA624"/>
  <c r="AB624"/>
  <c r="AC624"/>
  <c r="AD624"/>
  <c r="P625"/>
  <c r="T625"/>
  <c r="U625"/>
  <c r="V625"/>
  <c r="W625"/>
  <c r="Y625"/>
  <c r="AA625"/>
  <c r="AB625"/>
  <c r="AC625"/>
  <c r="AD625"/>
  <c r="P626"/>
  <c r="T626"/>
  <c r="U626"/>
  <c r="V626"/>
  <c r="W626"/>
  <c r="Y626"/>
  <c r="AA626"/>
  <c r="AB626"/>
  <c r="AC626"/>
  <c r="AD626"/>
  <c r="P627"/>
  <c r="T627"/>
  <c r="U627"/>
  <c r="V627"/>
  <c r="W627"/>
  <c r="Y627"/>
  <c r="AA627"/>
  <c r="AB627"/>
  <c r="AC627"/>
  <c r="AD627"/>
  <c r="P628"/>
  <c r="T628"/>
  <c r="U628"/>
  <c r="V628"/>
  <c r="W628"/>
  <c r="Y628"/>
  <c r="AA628"/>
  <c r="AB628"/>
  <c r="AC628"/>
  <c r="AD628"/>
  <c r="P629"/>
  <c r="T629"/>
  <c r="U629"/>
  <c r="V629"/>
  <c r="W629"/>
  <c r="Y629"/>
  <c r="AA629"/>
  <c r="AB629"/>
  <c r="AC629"/>
  <c r="AD629"/>
  <c r="P630"/>
  <c r="T630"/>
  <c r="U630"/>
  <c r="V630"/>
  <c r="W630"/>
  <c r="Y630"/>
  <c r="AA630"/>
  <c r="AB630"/>
  <c r="AC630"/>
  <c r="AD630"/>
  <c r="P631"/>
  <c r="T631"/>
  <c r="U631"/>
  <c r="V631"/>
  <c r="W631"/>
  <c r="Y631"/>
  <c r="AA631"/>
  <c r="AB631"/>
  <c r="AC631"/>
  <c r="AD631"/>
  <c r="P632"/>
  <c r="T632"/>
  <c r="U632"/>
  <c r="V632"/>
  <c r="W632"/>
  <c r="Y632"/>
  <c r="AA632"/>
  <c r="AB632"/>
  <c r="AC632"/>
  <c r="AD632"/>
  <c r="P633"/>
  <c r="T633"/>
  <c r="U633"/>
  <c r="V633"/>
  <c r="W633"/>
  <c r="Y633"/>
  <c r="AA633"/>
  <c r="AB633"/>
  <c r="AC633"/>
  <c r="AD633"/>
  <c r="P634"/>
  <c r="T634"/>
  <c r="U634"/>
  <c r="V634"/>
  <c r="W634"/>
  <c r="Y634"/>
  <c r="AA634"/>
  <c r="AB634"/>
  <c r="AC634"/>
  <c r="AD634"/>
  <c r="P635"/>
  <c r="T635"/>
  <c r="U635"/>
  <c r="V635"/>
  <c r="W635"/>
  <c r="Y635"/>
  <c r="AA635"/>
  <c r="AB635"/>
  <c r="AC635"/>
  <c r="AD635"/>
  <c r="P636"/>
  <c r="T636"/>
  <c r="U636"/>
  <c r="V636"/>
  <c r="W636"/>
  <c r="Y636"/>
  <c r="AA636"/>
  <c r="AB636"/>
  <c r="AC636"/>
  <c r="AD636"/>
  <c r="P637"/>
  <c r="T637"/>
  <c r="U637"/>
  <c r="V637"/>
  <c r="W637"/>
  <c r="Y637"/>
  <c r="AA637"/>
  <c r="AB637"/>
  <c r="AC637"/>
  <c r="AD637"/>
  <c r="P638"/>
  <c r="T638"/>
  <c r="U638"/>
  <c r="V638"/>
  <c r="W638"/>
  <c r="Y638"/>
  <c r="AA638"/>
  <c r="AB638"/>
  <c r="AC638"/>
  <c r="AD638"/>
  <c r="P639"/>
  <c r="T639"/>
  <c r="U639"/>
  <c r="V639"/>
  <c r="W639"/>
  <c r="Y639"/>
  <c r="AA639"/>
  <c r="AB639"/>
  <c r="AC639"/>
  <c r="AD639"/>
  <c r="P640"/>
  <c r="T640"/>
  <c r="U640"/>
  <c r="V640"/>
  <c r="W640"/>
  <c r="Y640"/>
  <c r="AA640"/>
  <c r="AB640"/>
  <c r="AC640"/>
  <c r="AD640"/>
  <c r="P641"/>
  <c r="T641"/>
  <c r="U641"/>
  <c r="V641"/>
  <c r="W641"/>
  <c r="Y641"/>
  <c r="AA641"/>
  <c r="AB641"/>
  <c r="AC641"/>
  <c r="AD641"/>
  <c r="P642"/>
  <c r="T642"/>
  <c r="U642"/>
  <c r="V642"/>
  <c r="W642"/>
  <c r="Y642"/>
  <c r="AA642"/>
  <c r="AB642"/>
  <c r="AC642"/>
  <c r="AD642"/>
  <c r="P643"/>
  <c r="T643"/>
  <c r="U643"/>
  <c r="V643"/>
  <c r="W643"/>
  <c r="Y643"/>
  <c r="AA643"/>
  <c r="AB643"/>
  <c r="AC643"/>
  <c r="AD643"/>
  <c r="P644"/>
  <c r="T644"/>
  <c r="U644"/>
  <c r="V644"/>
  <c r="W644"/>
  <c r="Y644"/>
  <c r="AA644"/>
  <c r="AB644"/>
  <c r="AC644"/>
  <c r="AD644"/>
  <c r="P645"/>
  <c r="T645"/>
  <c r="U645"/>
  <c r="V645"/>
  <c r="W645"/>
  <c r="Y645"/>
  <c r="AA645"/>
  <c r="AB645"/>
  <c r="AC645"/>
  <c r="AD645"/>
  <c r="P646"/>
  <c r="T646"/>
  <c r="U646"/>
  <c r="V646"/>
  <c r="W646"/>
  <c r="Y646"/>
  <c r="AA646"/>
  <c r="AB646"/>
  <c r="AC646"/>
  <c r="AD646"/>
  <c r="P647"/>
  <c r="T647"/>
  <c r="U647"/>
  <c r="V647"/>
  <c r="W647"/>
  <c r="Y647"/>
  <c r="AA647"/>
  <c r="AB647"/>
  <c r="AC647"/>
  <c r="AD647"/>
  <c r="P648"/>
  <c r="T648"/>
  <c r="U648"/>
  <c r="V648"/>
  <c r="W648"/>
  <c r="Y648"/>
  <c r="AA648"/>
  <c r="AB648"/>
  <c r="AC648"/>
  <c r="AD648"/>
  <c r="P649"/>
  <c r="T649"/>
  <c r="U649"/>
  <c r="V649"/>
  <c r="W649"/>
  <c r="Y649"/>
  <c r="AA649"/>
  <c r="AB649"/>
  <c r="AC649"/>
  <c r="AD649"/>
  <c r="P650"/>
  <c r="T650"/>
  <c r="U650"/>
  <c r="V650"/>
  <c r="W650"/>
  <c r="Y650"/>
  <c r="AA650"/>
  <c r="AB650"/>
  <c r="AC650"/>
  <c r="AD650"/>
  <c r="P651"/>
  <c r="T651"/>
  <c r="U651"/>
  <c r="V651"/>
  <c r="W651"/>
  <c r="Y651"/>
  <c r="AA651"/>
  <c r="AB651"/>
  <c r="AC651"/>
  <c r="AD651"/>
  <c r="P652"/>
  <c r="T652"/>
  <c r="U652"/>
  <c r="V652"/>
  <c r="W652"/>
  <c r="Y652"/>
  <c r="AA652"/>
  <c r="AB652"/>
  <c r="AC652"/>
  <c r="AD652"/>
  <c r="P653"/>
  <c r="T653"/>
  <c r="U653"/>
  <c r="V653"/>
  <c r="W653"/>
  <c r="Y653"/>
  <c r="AA653"/>
  <c r="AB653"/>
  <c r="AC653"/>
  <c r="AD653"/>
  <c r="P654"/>
  <c r="T654"/>
  <c r="U654"/>
  <c r="V654"/>
  <c r="W654"/>
  <c r="Y654"/>
  <c r="AA654"/>
  <c r="AB654"/>
  <c r="AC654"/>
  <c r="AD654"/>
  <c r="P655"/>
  <c r="T655"/>
  <c r="U655"/>
  <c r="V655"/>
  <c r="W655"/>
  <c r="Y655"/>
  <c r="AA655"/>
  <c r="AB655"/>
  <c r="AC655"/>
  <c r="AD655"/>
  <c r="P656"/>
  <c r="T656"/>
  <c r="U656"/>
  <c r="V656"/>
  <c r="W656"/>
  <c r="Y656"/>
  <c r="AA656"/>
  <c r="AB656"/>
  <c r="AC656"/>
  <c r="AD656"/>
  <c r="P657"/>
  <c r="T657"/>
  <c r="U657"/>
  <c r="V657"/>
  <c r="W657"/>
  <c r="Y657"/>
  <c r="AA657"/>
  <c r="AB657"/>
  <c r="AC657"/>
  <c r="AD657"/>
  <c r="P658"/>
  <c r="T658"/>
  <c r="U658"/>
  <c r="V658"/>
  <c r="W658"/>
  <c r="Y658"/>
  <c r="AA658"/>
  <c r="AB658"/>
  <c r="AC658"/>
  <c r="AD658"/>
  <c r="P659"/>
  <c r="T659"/>
  <c r="U659"/>
  <c r="V659"/>
  <c r="W659"/>
  <c r="Y659"/>
  <c r="AA659"/>
  <c r="AB659"/>
  <c r="AC659"/>
  <c r="AD659"/>
  <c r="P660"/>
  <c r="T660"/>
  <c r="U660"/>
  <c r="V660"/>
  <c r="W660"/>
  <c r="Y660"/>
  <c r="AA660"/>
  <c r="AB660"/>
  <c r="AC660"/>
  <c r="AD660"/>
  <c r="P661"/>
  <c r="T661"/>
  <c r="U661"/>
  <c r="V661"/>
  <c r="W661"/>
  <c r="Y661"/>
  <c r="AA661"/>
  <c r="AB661"/>
  <c r="AC661"/>
  <c r="AD661"/>
  <c r="P662"/>
  <c r="T662"/>
  <c r="U662"/>
  <c r="V662"/>
  <c r="W662"/>
  <c r="Y662"/>
  <c r="AA662"/>
  <c r="AB662"/>
  <c r="AC662"/>
  <c r="AD662"/>
  <c r="P663"/>
  <c r="T663"/>
  <c r="U663"/>
  <c r="V663"/>
  <c r="W663"/>
  <c r="Y663"/>
  <c r="AA663"/>
  <c r="AB663"/>
  <c r="AC663"/>
  <c r="AD663"/>
  <c r="P664"/>
  <c r="T664"/>
  <c r="U664"/>
  <c r="V664"/>
  <c r="W664"/>
  <c r="Y664"/>
  <c r="AA664"/>
  <c r="AB664"/>
  <c r="AC664"/>
  <c r="AD664"/>
  <c r="P665"/>
  <c r="T665"/>
  <c r="U665"/>
  <c r="V665"/>
  <c r="W665"/>
  <c r="Y665"/>
  <c r="AA665"/>
  <c r="AB665"/>
  <c r="AC665"/>
  <c r="AD665"/>
  <c r="P666"/>
  <c r="T666"/>
  <c r="U666"/>
  <c r="V666"/>
  <c r="W666"/>
  <c r="Y666"/>
  <c r="AA666"/>
  <c r="AB666"/>
  <c r="AC666"/>
  <c r="AD666"/>
  <c r="P667"/>
  <c r="T667"/>
  <c r="U667"/>
  <c r="V667"/>
  <c r="W667"/>
  <c r="Y667"/>
  <c r="AA667"/>
  <c r="AB667"/>
  <c r="AC667"/>
  <c r="AD667"/>
  <c r="P668"/>
  <c r="T668"/>
  <c r="U668"/>
  <c r="V668"/>
  <c r="W668"/>
  <c r="Y668"/>
  <c r="AA668"/>
  <c r="AB668"/>
  <c r="AC668"/>
  <c r="AD668"/>
  <c r="P669"/>
  <c r="T669"/>
  <c r="U669"/>
  <c r="V669"/>
  <c r="W669"/>
  <c r="Y669"/>
  <c r="AA669"/>
  <c r="AB669"/>
  <c r="AC669"/>
  <c r="AD669"/>
  <c r="P670"/>
  <c r="T670"/>
  <c r="U670"/>
  <c r="V670"/>
  <c r="W670"/>
  <c r="Y670"/>
  <c r="AA670"/>
  <c r="AB670"/>
  <c r="AC670"/>
  <c r="AD670"/>
  <c r="P671"/>
  <c r="T671"/>
  <c r="U671"/>
  <c r="V671"/>
  <c r="W671"/>
  <c r="Y671"/>
  <c r="AA671"/>
  <c r="AB671"/>
  <c r="AC671"/>
  <c r="AD671"/>
  <c r="P672"/>
  <c r="T672"/>
  <c r="U672"/>
  <c r="V672"/>
  <c r="W672"/>
  <c r="Y672"/>
  <c r="AA672"/>
  <c r="AB672"/>
  <c r="AC672"/>
  <c r="AD672"/>
  <c r="P673"/>
  <c r="T673"/>
  <c r="U673"/>
  <c r="V673"/>
  <c r="W673"/>
  <c r="Y673"/>
  <c r="AA673"/>
  <c r="AB673"/>
  <c r="AC673"/>
  <c r="AD673"/>
  <c r="P674"/>
  <c r="T674"/>
  <c r="U674"/>
  <c r="V674"/>
  <c r="W674"/>
  <c r="Y674"/>
  <c r="AA674"/>
  <c r="AB674"/>
  <c r="AC674"/>
  <c r="AD674"/>
  <c r="P675"/>
  <c r="T675"/>
  <c r="U675"/>
  <c r="V675"/>
  <c r="W675"/>
  <c r="Y675"/>
  <c r="AA675"/>
  <c r="AB675"/>
  <c r="AC675"/>
  <c r="AD675"/>
  <c r="P676"/>
  <c r="T676"/>
  <c r="U676"/>
  <c r="V676"/>
  <c r="W676"/>
  <c r="Y676"/>
  <c r="AA676"/>
  <c r="AB676"/>
  <c r="AC676"/>
  <c r="AD676"/>
  <c r="P677"/>
  <c r="T677"/>
  <c r="U677"/>
  <c r="V677"/>
  <c r="W677"/>
  <c r="Y677"/>
  <c r="AA677"/>
  <c r="AB677"/>
  <c r="AC677"/>
  <c r="AD677"/>
  <c r="P678"/>
  <c r="T678"/>
  <c r="U678"/>
  <c r="V678"/>
  <c r="W678"/>
  <c r="Y678"/>
  <c r="AA678"/>
  <c r="AB678"/>
  <c r="AC678"/>
  <c r="AD678"/>
  <c r="P679"/>
  <c r="T679"/>
  <c r="U679"/>
  <c r="V679"/>
  <c r="W679"/>
  <c r="Y679"/>
  <c r="AA679"/>
  <c r="AB679"/>
  <c r="AC679"/>
  <c r="AD679"/>
  <c r="P680"/>
  <c r="T680"/>
  <c r="U680"/>
  <c r="V680"/>
  <c r="W680"/>
  <c r="Y680"/>
  <c r="AA680"/>
  <c r="AB680"/>
  <c r="AC680"/>
  <c r="AD680"/>
  <c r="P681"/>
  <c r="T681"/>
  <c r="U681"/>
  <c r="V681"/>
  <c r="W681"/>
  <c r="Y681"/>
  <c r="AA681"/>
  <c r="AB681"/>
  <c r="AC681"/>
  <c r="AD681"/>
  <c r="P682"/>
  <c r="T682"/>
  <c r="U682"/>
  <c r="V682"/>
  <c r="W682"/>
  <c r="Y682"/>
  <c r="AA682"/>
  <c r="AB682"/>
  <c r="AC682"/>
  <c r="AD682"/>
  <c r="P683"/>
  <c r="T683"/>
  <c r="U683"/>
  <c r="V683"/>
  <c r="W683"/>
  <c r="Y683"/>
  <c r="AA683"/>
  <c r="AB683"/>
  <c r="AC683"/>
  <c r="AD683"/>
  <c r="P684"/>
  <c r="T684"/>
  <c r="U684"/>
  <c r="V684"/>
  <c r="W684"/>
  <c r="Y684"/>
  <c r="AA684"/>
  <c r="AB684"/>
  <c r="AC684"/>
  <c r="AD684"/>
  <c r="P685"/>
  <c r="T685"/>
  <c r="U685"/>
  <c r="V685"/>
  <c r="W685"/>
  <c r="Y685"/>
  <c r="AA685"/>
  <c r="AB685"/>
  <c r="AC685"/>
  <c r="AD685"/>
  <c r="P686"/>
  <c r="T686"/>
  <c r="U686"/>
  <c r="V686"/>
  <c r="W686"/>
  <c r="Y686"/>
  <c r="AA686"/>
  <c r="AB686"/>
  <c r="AC686"/>
  <c r="AD686"/>
  <c r="P687"/>
  <c r="T687"/>
  <c r="U687"/>
  <c r="V687"/>
  <c r="W687"/>
  <c r="Y687"/>
  <c r="AA687"/>
  <c r="AB687"/>
  <c r="AC687"/>
  <c r="AD687"/>
  <c r="P688"/>
  <c r="T688"/>
  <c r="U688"/>
  <c r="V688"/>
  <c r="W688"/>
  <c r="Y688"/>
  <c r="AA688"/>
  <c r="AB688"/>
  <c r="AC688"/>
  <c r="AD688"/>
  <c r="P689"/>
  <c r="T689"/>
  <c r="U689"/>
  <c r="V689"/>
  <c r="W689"/>
  <c r="Y689"/>
  <c r="AA689"/>
  <c r="AB689"/>
  <c r="AC689"/>
  <c r="AD689"/>
  <c r="P690"/>
  <c r="T690"/>
  <c r="U690"/>
  <c r="V690"/>
  <c r="W690"/>
  <c r="Y690"/>
  <c r="AA690"/>
  <c r="AB690"/>
  <c r="AC690"/>
  <c r="AD690"/>
  <c r="P691"/>
  <c r="T691"/>
  <c r="U691"/>
  <c r="V691"/>
  <c r="W691"/>
  <c r="Y691"/>
  <c r="AA691"/>
  <c r="AB691"/>
  <c r="AC691"/>
  <c r="AD691"/>
  <c r="P692"/>
  <c r="T692"/>
  <c r="U692"/>
  <c r="V692"/>
  <c r="W692"/>
  <c r="Y692"/>
  <c r="AA692"/>
  <c r="AB692"/>
  <c r="AC692"/>
  <c r="AD692"/>
  <c r="P693"/>
  <c r="T693"/>
  <c r="U693"/>
  <c r="V693"/>
  <c r="W693"/>
  <c r="Y693"/>
  <c r="AA693"/>
  <c r="AB693"/>
  <c r="AC693"/>
  <c r="AD693"/>
  <c r="P694"/>
  <c r="T694"/>
  <c r="U694"/>
  <c r="V694"/>
  <c r="W694"/>
  <c r="Y694"/>
  <c r="AA694"/>
  <c r="AB694"/>
  <c r="AC694"/>
  <c r="AD694"/>
  <c r="P695"/>
  <c r="T695"/>
  <c r="U695"/>
  <c r="V695"/>
  <c r="W695"/>
  <c r="Y695"/>
  <c r="AA695"/>
  <c r="AB695"/>
  <c r="AC695"/>
  <c r="AD695"/>
  <c r="P696"/>
  <c r="T696"/>
  <c r="U696"/>
  <c r="V696"/>
  <c r="W696"/>
  <c r="Y696"/>
  <c r="AA696"/>
  <c r="AB696"/>
  <c r="AC696"/>
  <c r="AD696"/>
  <c r="P697"/>
  <c r="T697"/>
  <c r="U697"/>
  <c r="V697"/>
  <c r="W697"/>
  <c r="Y697"/>
  <c r="AA697"/>
  <c r="AB697"/>
  <c r="AC697"/>
  <c r="AD697"/>
  <c r="P698"/>
  <c r="T698"/>
  <c r="U698"/>
  <c r="V698"/>
  <c r="W698"/>
  <c r="Y698"/>
  <c r="AA698"/>
  <c r="AB698"/>
  <c r="AC698"/>
  <c r="AD698"/>
  <c r="P699"/>
  <c r="T699"/>
  <c r="U699"/>
  <c r="V699"/>
  <c r="W699"/>
  <c r="Y699"/>
  <c r="AA699"/>
  <c r="AB699"/>
  <c r="AC699"/>
  <c r="AD699"/>
  <c r="P700"/>
  <c r="T700"/>
  <c r="U700"/>
  <c r="V700"/>
  <c r="W700"/>
  <c r="Y700"/>
  <c r="AA700"/>
  <c r="AB700"/>
  <c r="AC700"/>
  <c r="AD700"/>
  <c r="P701"/>
  <c r="T701"/>
  <c r="U701"/>
  <c r="V701"/>
  <c r="W701"/>
  <c r="Y701"/>
  <c r="AA701"/>
  <c r="AB701"/>
  <c r="AC701"/>
  <c r="AD701"/>
  <c r="P702"/>
  <c r="T702"/>
  <c r="U702"/>
  <c r="V702"/>
  <c r="W702"/>
  <c r="Y702"/>
  <c r="AA702"/>
  <c r="AB702"/>
  <c r="AC702"/>
  <c r="AD702"/>
  <c r="P703"/>
  <c r="T703"/>
  <c r="U703"/>
  <c r="V703"/>
  <c r="W703"/>
  <c r="Y703"/>
  <c r="AA703"/>
  <c r="AB703"/>
  <c r="AC703"/>
  <c r="AD703"/>
  <c r="P704"/>
  <c r="T704"/>
  <c r="U704"/>
  <c r="V704"/>
  <c r="W704"/>
  <c r="Y704"/>
  <c r="AA704"/>
  <c r="AB704"/>
  <c r="AC704"/>
  <c r="AD704"/>
  <c r="P705"/>
  <c r="T705"/>
  <c r="U705"/>
  <c r="V705"/>
  <c r="W705"/>
  <c r="Y705"/>
  <c r="AA705"/>
  <c r="AB705"/>
  <c r="AC705"/>
  <c r="AD705"/>
  <c r="P706"/>
  <c r="T706"/>
  <c r="U706"/>
  <c r="V706"/>
  <c r="W706"/>
  <c r="Y706"/>
  <c r="AA706"/>
  <c r="AB706"/>
  <c r="AC706"/>
  <c r="AD706"/>
  <c r="P707"/>
  <c r="T707"/>
  <c r="U707"/>
  <c r="V707"/>
  <c r="W707"/>
  <c r="Y707"/>
  <c r="AA707"/>
  <c r="AB707"/>
  <c r="AC707"/>
  <c r="AD707"/>
  <c r="P708"/>
  <c r="T708"/>
  <c r="U708"/>
  <c r="V708"/>
  <c r="W708"/>
  <c r="Y708"/>
  <c r="AA708"/>
  <c r="AB708"/>
  <c r="AC708"/>
  <c r="AD708"/>
  <c r="P709"/>
  <c r="T709"/>
  <c r="U709"/>
  <c r="V709"/>
  <c r="W709"/>
  <c r="Y709"/>
  <c r="AA709"/>
  <c r="AB709"/>
  <c r="AC709"/>
  <c r="AD709"/>
  <c r="P710"/>
  <c r="T710"/>
  <c r="U710"/>
  <c r="V710"/>
  <c r="W710"/>
  <c r="Y710"/>
  <c r="AA710"/>
  <c r="AB710"/>
  <c r="AC710"/>
  <c r="AD710"/>
  <c r="P711"/>
  <c r="T711"/>
  <c r="U711"/>
  <c r="V711"/>
  <c r="W711"/>
  <c r="Y711"/>
  <c r="AA711"/>
  <c r="AB711"/>
  <c r="AC711"/>
  <c r="AD711"/>
  <c r="P712"/>
  <c r="T712"/>
  <c r="U712"/>
  <c r="V712"/>
  <c r="W712"/>
  <c r="Y712"/>
  <c r="AA712"/>
  <c r="AB712"/>
  <c r="AC712"/>
  <c r="AD712"/>
  <c r="P713"/>
  <c r="T713"/>
  <c r="U713"/>
  <c r="V713"/>
  <c r="W713"/>
  <c r="Y713"/>
  <c r="AA713"/>
  <c r="AB713"/>
  <c r="AC713"/>
  <c r="AD713"/>
  <c r="P714"/>
  <c r="T714"/>
  <c r="U714"/>
  <c r="V714"/>
  <c r="W714"/>
  <c r="Y714"/>
  <c r="AA714"/>
  <c r="AB714"/>
  <c r="AC714"/>
  <c r="AD714"/>
  <c r="P715"/>
  <c r="T715"/>
  <c r="U715"/>
  <c r="V715"/>
  <c r="W715"/>
  <c r="Y715"/>
  <c r="AA715"/>
  <c r="AB715"/>
  <c r="AC715"/>
  <c r="AD715"/>
  <c r="P716"/>
  <c r="T716"/>
  <c r="U716"/>
  <c r="V716"/>
  <c r="W716"/>
  <c r="Y716"/>
  <c r="AA716"/>
  <c r="AB716"/>
  <c r="AC716"/>
  <c r="AD716"/>
  <c r="P717"/>
  <c r="T717"/>
  <c r="U717"/>
  <c r="V717"/>
  <c r="W717"/>
  <c r="Y717"/>
  <c r="AA717"/>
  <c r="AB717"/>
  <c r="AC717"/>
  <c r="AD717"/>
  <c r="P718"/>
  <c r="T718"/>
  <c r="U718"/>
  <c r="V718"/>
  <c r="W718"/>
  <c r="Y718"/>
  <c r="AA718"/>
  <c r="AB718"/>
  <c r="AC718"/>
  <c r="AD718"/>
  <c r="P719"/>
  <c r="T719"/>
  <c r="U719"/>
  <c r="V719"/>
  <c r="W719"/>
  <c r="Y719"/>
  <c r="AA719"/>
  <c r="AB719"/>
  <c r="AC719"/>
  <c r="AD719"/>
  <c r="P720"/>
  <c r="T720"/>
  <c r="U720"/>
  <c r="V720"/>
  <c r="W720"/>
  <c r="Y720"/>
  <c r="AA720"/>
  <c r="AB720"/>
  <c r="AC720"/>
  <c r="AD720"/>
  <c r="P721"/>
  <c r="T721"/>
  <c r="U721"/>
  <c r="V721"/>
  <c r="W721"/>
  <c r="Y721"/>
  <c r="AA721"/>
  <c r="AB721"/>
  <c r="AC721"/>
  <c r="AD721"/>
  <c r="P722"/>
  <c r="T722"/>
  <c r="U722"/>
  <c r="V722"/>
  <c r="W722"/>
  <c r="Y722"/>
  <c r="AA722"/>
  <c r="AB722"/>
  <c r="AC722"/>
  <c r="AD722"/>
  <c r="P723"/>
  <c r="T723"/>
  <c r="U723"/>
  <c r="V723"/>
  <c r="W723"/>
  <c r="Y723"/>
  <c r="AA723"/>
  <c r="AB723"/>
  <c r="AC723"/>
  <c r="AD723"/>
  <c r="P724"/>
  <c r="T724"/>
  <c r="U724"/>
  <c r="V724"/>
  <c r="W724"/>
  <c r="Y724"/>
  <c r="AA724"/>
  <c r="AB724"/>
  <c r="AC724"/>
  <c r="AD724"/>
  <c r="P725"/>
  <c r="T725"/>
  <c r="U725"/>
  <c r="V725"/>
  <c r="W725"/>
  <c r="Y725"/>
  <c r="AA725"/>
  <c r="AB725"/>
  <c r="AC725"/>
  <c r="AD725"/>
  <c r="P726"/>
  <c r="T726"/>
  <c r="U726"/>
  <c r="V726"/>
  <c r="W726"/>
  <c r="Y726"/>
  <c r="AA726"/>
  <c r="AB726"/>
  <c r="AC726"/>
  <c r="AD726"/>
  <c r="P727"/>
  <c r="T727"/>
  <c r="U727"/>
  <c r="V727"/>
  <c r="W727"/>
  <c r="Y727"/>
  <c r="AA727"/>
  <c r="AB727"/>
  <c r="AC727"/>
  <c r="AD727"/>
  <c r="P728"/>
  <c r="T728"/>
  <c r="U728"/>
  <c r="V728"/>
  <c r="W728"/>
  <c r="Y728"/>
  <c r="AA728"/>
  <c r="AB728"/>
  <c r="AC728"/>
  <c r="AD728"/>
  <c r="P729"/>
  <c r="T729"/>
  <c r="U729"/>
  <c r="V729"/>
  <c r="W729"/>
  <c r="Y729"/>
  <c r="AA729"/>
  <c r="AB729"/>
  <c r="AC729"/>
  <c r="AD729"/>
  <c r="P730"/>
  <c r="T730"/>
  <c r="U730"/>
  <c r="V730"/>
  <c r="W730"/>
  <c r="Y730"/>
  <c r="AA730"/>
  <c r="AB730"/>
  <c r="AC730"/>
  <c r="AD730"/>
  <c r="P731"/>
  <c r="T731"/>
  <c r="U731"/>
  <c r="V731"/>
  <c r="W731"/>
  <c r="Y731"/>
  <c r="AA731"/>
  <c r="AB731"/>
  <c r="AC731"/>
  <c r="AD731"/>
  <c r="P732"/>
  <c r="T732"/>
  <c r="U732"/>
  <c r="V732"/>
  <c r="W732"/>
  <c r="Y732"/>
  <c r="AA732"/>
  <c r="AB732"/>
  <c r="AC732"/>
  <c r="AD732"/>
  <c r="P733"/>
  <c r="T733"/>
  <c r="U733"/>
  <c r="V733"/>
  <c r="W733"/>
  <c r="Y733"/>
  <c r="AA733"/>
  <c r="AB733"/>
  <c r="AC733"/>
  <c r="AD733"/>
  <c r="P734"/>
  <c r="T734"/>
  <c r="U734"/>
  <c r="V734"/>
  <c r="W734"/>
  <c r="Y734"/>
  <c r="AA734"/>
  <c r="AB734"/>
  <c r="AC734"/>
  <c r="AD734"/>
  <c r="P735"/>
  <c r="T735"/>
  <c r="U735"/>
  <c r="V735"/>
  <c r="W735"/>
  <c r="Y735"/>
  <c r="AA735"/>
  <c r="AB735"/>
  <c r="AC735"/>
  <c r="AD735"/>
  <c r="P736"/>
  <c r="T736"/>
  <c r="U736"/>
  <c r="V736"/>
  <c r="W736"/>
  <c r="Y736"/>
  <c r="AA736"/>
  <c r="AB736"/>
  <c r="AC736"/>
  <c r="AD736"/>
  <c r="P737"/>
  <c r="T737"/>
  <c r="U737"/>
  <c r="V737"/>
  <c r="W737"/>
  <c r="Y737"/>
  <c r="AA737"/>
  <c r="AB737"/>
  <c r="AC737"/>
  <c r="AD737"/>
  <c r="P738"/>
  <c r="T738"/>
  <c r="U738"/>
  <c r="V738"/>
  <c r="W738"/>
  <c r="Y738"/>
  <c r="AA738"/>
  <c r="AB738"/>
  <c r="AC738"/>
  <c r="AD738"/>
  <c r="P739"/>
  <c r="T739"/>
  <c r="U739"/>
  <c r="V739"/>
  <c r="W739"/>
  <c r="Y739"/>
  <c r="AA739"/>
  <c r="AB739"/>
  <c r="AC739"/>
  <c r="AD739"/>
  <c r="P740"/>
  <c r="T740"/>
  <c r="U740"/>
  <c r="V740"/>
  <c r="W740"/>
  <c r="Y740"/>
  <c r="AA740"/>
  <c r="AB740"/>
  <c r="AC740"/>
  <c r="AD740"/>
  <c r="P741"/>
  <c r="T741"/>
  <c r="U741"/>
  <c r="V741"/>
  <c r="W741"/>
  <c r="Y741"/>
  <c r="AA741"/>
  <c r="AB741"/>
  <c r="AC741"/>
  <c r="AD741"/>
  <c r="P742"/>
  <c r="T742"/>
  <c r="U742"/>
  <c r="V742"/>
  <c r="W742"/>
  <c r="Y742"/>
  <c r="AA742"/>
  <c r="AB742"/>
  <c r="AC742"/>
  <c r="AD742"/>
  <c r="P743"/>
  <c r="T743"/>
  <c r="U743"/>
  <c r="V743"/>
  <c r="W743"/>
  <c r="Y743"/>
  <c r="AA743"/>
  <c r="AB743"/>
  <c r="AC743"/>
  <c r="AD743"/>
  <c r="P744"/>
  <c r="T744"/>
  <c r="U744"/>
  <c r="V744"/>
  <c r="W744"/>
  <c r="Y744"/>
  <c r="AA744"/>
  <c r="AB744"/>
  <c r="AC744"/>
  <c r="AD744"/>
  <c r="P745"/>
  <c r="T745"/>
  <c r="U745"/>
  <c r="V745"/>
  <c r="W745"/>
  <c r="Y745"/>
  <c r="AA745"/>
  <c r="AB745"/>
  <c r="AC745"/>
  <c r="AD745"/>
  <c r="P746"/>
  <c r="T746"/>
  <c r="U746"/>
  <c r="V746"/>
  <c r="W746"/>
  <c r="Y746"/>
  <c r="AA746"/>
  <c r="AB746"/>
  <c r="AC746"/>
  <c r="AD746"/>
  <c r="P747"/>
  <c r="T747"/>
  <c r="U747"/>
  <c r="V747"/>
  <c r="W747"/>
  <c r="Y747"/>
  <c r="AA747"/>
  <c r="AB747"/>
  <c r="AC747"/>
  <c r="AD747"/>
  <c r="P748"/>
  <c r="T748"/>
  <c r="U748"/>
  <c r="V748"/>
  <c r="W748"/>
  <c r="Y748"/>
  <c r="AA748"/>
  <c r="AB748"/>
  <c r="AC748"/>
  <c r="AD748"/>
  <c r="P749"/>
  <c r="T749"/>
  <c r="U749"/>
  <c r="V749"/>
  <c r="W749"/>
  <c r="Y749"/>
  <c r="AA749"/>
  <c r="AB749"/>
  <c r="AC749"/>
  <c r="AD749"/>
  <c r="P750"/>
  <c r="T750"/>
  <c r="U750"/>
  <c r="V750"/>
  <c r="W750"/>
  <c r="Y750"/>
  <c r="AA750"/>
  <c r="AB750"/>
  <c r="AC750"/>
  <c r="AD750"/>
  <c r="P751"/>
  <c r="T751"/>
  <c r="U751"/>
  <c r="V751"/>
  <c r="W751"/>
  <c r="Y751"/>
  <c r="AA751"/>
  <c r="AB751"/>
  <c r="AC751"/>
  <c r="AD751"/>
  <c r="P752"/>
  <c r="T752"/>
  <c r="U752"/>
  <c r="V752"/>
  <c r="W752"/>
  <c r="Y752"/>
  <c r="AA752"/>
  <c r="AB752"/>
  <c r="AC752"/>
  <c r="AD752"/>
  <c r="P753"/>
  <c r="T753"/>
  <c r="U753"/>
  <c r="V753"/>
  <c r="W753"/>
  <c r="Y753"/>
  <c r="AA753"/>
  <c r="AB753"/>
  <c r="AC753"/>
  <c r="AD753"/>
  <c r="P754"/>
  <c r="T754"/>
  <c r="U754"/>
  <c r="V754"/>
  <c r="W754"/>
  <c r="Y754"/>
  <c r="AA754"/>
  <c r="AB754"/>
  <c r="AC754"/>
  <c r="AD754"/>
  <c r="P755"/>
  <c r="T755"/>
  <c r="U755"/>
  <c r="V755"/>
  <c r="W755"/>
  <c r="Y755"/>
  <c r="AA755"/>
  <c r="AB755"/>
  <c r="AC755"/>
  <c r="AD755"/>
  <c r="P756"/>
  <c r="T756"/>
  <c r="U756"/>
  <c r="V756"/>
  <c r="W756"/>
  <c r="Y756"/>
  <c r="AA756"/>
  <c r="AB756"/>
  <c r="AC756"/>
  <c r="AD756"/>
  <c r="P757"/>
  <c r="T757"/>
  <c r="U757"/>
  <c r="V757"/>
  <c r="W757"/>
  <c r="Y757"/>
  <c r="AA757"/>
  <c r="AB757"/>
  <c r="AC757"/>
  <c r="AD757"/>
  <c r="P758"/>
  <c r="T758"/>
  <c r="U758"/>
  <c r="V758"/>
  <c r="W758"/>
  <c r="Y758"/>
  <c r="AA758"/>
  <c r="AB758"/>
  <c r="AC758"/>
  <c r="AD758"/>
  <c r="P759"/>
  <c r="T759"/>
  <c r="U759"/>
  <c r="V759"/>
  <c r="W759"/>
  <c r="Y759"/>
  <c r="AA759"/>
  <c r="AB759"/>
  <c r="AC759"/>
  <c r="AD759"/>
  <c r="P760"/>
  <c r="T760"/>
  <c r="U760"/>
  <c r="V760"/>
  <c r="W760"/>
  <c r="Y760"/>
  <c r="AA760"/>
  <c r="AB760"/>
  <c r="AC760"/>
  <c r="AD760"/>
  <c r="P761"/>
  <c r="T761"/>
  <c r="U761"/>
  <c r="V761"/>
  <c r="W761"/>
  <c r="Y761"/>
  <c r="AA761"/>
  <c r="AB761"/>
  <c r="AC761"/>
  <c r="AD761"/>
  <c r="P762"/>
  <c r="T762"/>
  <c r="U762"/>
  <c r="V762"/>
  <c r="W762"/>
  <c r="Y762"/>
  <c r="AA762"/>
  <c r="AB762"/>
  <c r="AC762"/>
  <c r="AD762"/>
  <c r="P763"/>
  <c r="T763"/>
  <c r="U763"/>
  <c r="V763"/>
  <c r="W763"/>
  <c r="Y763"/>
  <c r="AA763"/>
  <c r="AB763"/>
  <c r="AC763"/>
  <c r="AD763"/>
  <c r="P764"/>
  <c r="T764"/>
  <c r="U764"/>
  <c r="V764"/>
  <c r="W764"/>
  <c r="Y764"/>
  <c r="AA764"/>
  <c r="AB764"/>
  <c r="AC764"/>
  <c r="AD764"/>
  <c r="P765"/>
  <c r="T765"/>
  <c r="U765"/>
  <c r="V765"/>
  <c r="W765"/>
  <c r="Y765"/>
  <c r="AA765"/>
  <c r="AB765"/>
  <c r="AC765"/>
  <c r="AD765"/>
  <c r="P766"/>
  <c r="T766"/>
  <c r="U766"/>
  <c r="V766"/>
  <c r="W766"/>
  <c r="Y766"/>
  <c r="AA766"/>
  <c r="AB766"/>
  <c r="AC766"/>
  <c r="AD766"/>
  <c r="P767"/>
  <c r="T767"/>
  <c r="U767"/>
  <c r="V767"/>
  <c r="W767"/>
  <c r="Y767"/>
  <c r="AA767"/>
  <c r="AB767"/>
  <c r="AC767"/>
  <c r="AD767"/>
  <c r="P768"/>
  <c r="T768"/>
  <c r="U768"/>
  <c r="V768"/>
  <c r="W768"/>
  <c r="Y768"/>
  <c r="AA768"/>
  <c r="AB768"/>
  <c r="AC768"/>
  <c r="AD768"/>
  <c r="P769"/>
  <c r="T769"/>
  <c r="U769"/>
  <c r="V769"/>
  <c r="W769"/>
  <c r="Y769"/>
  <c r="AA769"/>
  <c r="AB769"/>
  <c r="AC769"/>
  <c r="AD769"/>
  <c r="P770"/>
  <c r="T770"/>
  <c r="U770"/>
  <c r="V770"/>
  <c r="W770"/>
  <c r="Y770"/>
  <c r="AA770"/>
  <c r="AB770"/>
  <c r="AC770"/>
  <c r="AD770"/>
  <c r="P771"/>
  <c r="T771"/>
  <c r="U771"/>
  <c r="V771"/>
  <c r="W771"/>
  <c r="Y771"/>
  <c r="AA771"/>
  <c r="AB771"/>
  <c r="AC771"/>
  <c r="AD771"/>
  <c r="P772"/>
  <c r="T772"/>
  <c r="U772"/>
  <c r="V772"/>
  <c r="W772"/>
  <c r="Y772"/>
  <c r="AA772"/>
  <c r="AB772"/>
  <c r="AC772"/>
  <c r="AD772"/>
  <c r="P773"/>
  <c r="T773"/>
  <c r="U773"/>
  <c r="V773"/>
  <c r="W773"/>
  <c r="Y773"/>
  <c r="AA773"/>
  <c r="AB773"/>
  <c r="AC773"/>
  <c r="AD773"/>
  <c r="P774"/>
  <c r="T774"/>
  <c r="U774"/>
  <c r="V774"/>
  <c r="W774"/>
  <c r="Y774"/>
  <c r="AA774"/>
  <c r="AB774"/>
  <c r="AC774"/>
  <c r="AD774"/>
  <c r="P775"/>
  <c r="T775"/>
  <c r="U775"/>
  <c r="V775"/>
  <c r="W775"/>
  <c r="Y775"/>
  <c r="AA775"/>
  <c r="AB775"/>
  <c r="AC775"/>
  <c r="AD775"/>
  <c r="P776"/>
  <c r="T776"/>
  <c r="U776"/>
  <c r="V776"/>
  <c r="W776"/>
  <c r="Y776"/>
  <c r="AA776"/>
  <c r="AB776"/>
  <c r="AC776"/>
  <c r="AD776"/>
  <c r="P777"/>
  <c r="T777"/>
  <c r="U777"/>
  <c r="V777"/>
  <c r="W777"/>
  <c r="Y777"/>
  <c r="AA777"/>
  <c r="AB777"/>
  <c r="AC777"/>
  <c r="AD777"/>
  <c r="P778"/>
  <c r="T778"/>
  <c r="U778"/>
  <c r="V778"/>
  <c r="W778"/>
  <c r="Y778"/>
  <c r="AA778"/>
  <c r="AB778"/>
  <c r="AC778"/>
  <c r="AD778"/>
  <c r="P779"/>
  <c r="T779"/>
  <c r="U779"/>
  <c r="V779"/>
  <c r="W779"/>
  <c r="Y779"/>
  <c r="AA779"/>
  <c r="AB779"/>
  <c r="AC779"/>
  <c r="AD779"/>
  <c r="P780"/>
  <c r="T780"/>
  <c r="U780"/>
  <c r="V780"/>
  <c r="W780"/>
  <c r="Y780"/>
  <c r="AA780"/>
  <c r="AB780"/>
  <c r="AC780"/>
  <c r="AD780"/>
  <c r="P781"/>
  <c r="T781"/>
  <c r="U781"/>
  <c r="V781"/>
  <c r="W781"/>
  <c r="Y781"/>
  <c r="AA781"/>
  <c r="AB781"/>
  <c r="AC781"/>
  <c r="AD781"/>
  <c r="P782"/>
  <c r="T782"/>
  <c r="U782"/>
  <c r="V782"/>
  <c r="W782"/>
  <c r="Y782"/>
  <c r="AA782"/>
  <c r="AB782"/>
  <c r="AC782"/>
  <c r="AD782"/>
  <c r="P783"/>
  <c r="T783"/>
  <c r="U783"/>
  <c r="V783"/>
  <c r="W783"/>
  <c r="Y783"/>
  <c r="AA783"/>
  <c r="AB783"/>
  <c r="AC783"/>
  <c r="AD783"/>
  <c r="P784"/>
  <c r="T784"/>
  <c r="U784"/>
  <c r="V784"/>
  <c r="W784"/>
  <c r="Y784"/>
  <c r="AA784"/>
  <c r="AB784"/>
  <c r="AC784"/>
  <c r="AD784"/>
  <c r="P785"/>
  <c r="T785"/>
  <c r="U785"/>
  <c r="V785"/>
  <c r="W785"/>
  <c r="Y785"/>
  <c r="AA785"/>
  <c r="AB785"/>
  <c r="AC785"/>
  <c r="AD785"/>
  <c r="P786"/>
  <c r="T786"/>
  <c r="U786"/>
  <c r="V786"/>
  <c r="W786"/>
  <c r="Y786"/>
  <c r="AA786"/>
  <c r="AB786"/>
  <c r="AC786"/>
  <c r="AD786"/>
  <c r="P787"/>
  <c r="T787"/>
  <c r="U787"/>
  <c r="V787"/>
  <c r="W787"/>
  <c r="Y787"/>
  <c r="AA787"/>
  <c r="AB787"/>
  <c r="AC787"/>
  <c r="AD787"/>
  <c r="P788"/>
  <c r="T788"/>
  <c r="U788"/>
  <c r="V788"/>
  <c r="W788"/>
  <c r="Y788"/>
  <c r="AA788"/>
  <c r="AB788"/>
  <c r="AC788"/>
  <c r="AD788"/>
  <c r="P789"/>
  <c r="T789"/>
  <c r="U789"/>
  <c r="V789"/>
  <c r="W789"/>
  <c r="Y789"/>
  <c r="AA789"/>
  <c r="AB789"/>
  <c r="AC789"/>
  <c r="AD789"/>
  <c r="P790"/>
  <c r="T790"/>
  <c r="U790"/>
  <c r="V790"/>
  <c r="W790"/>
  <c r="Y790"/>
  <c r="AA790"/>
  <c r="AB790"/>
  <c r="AC790"/>
  <c r="AD790"/>
  <c r="P791"/>
  <c r="T791"/>
  <c r="U791"/>
  <c r="V791"/>
  <c r="W791"/>
  <c r="Y791"/>
  <c r="AA791"/>
  <c r="AB791"/>
  <c r="AC791"/>
  <c r="AD791"/>
  <c r="P792"/>
  <c r="T792"/>
  <c r="U792"/>
  <c r="V792"/>
  <c r="W792"/>
  <c r="Y792"/>
  <c r="AA792"/>
  <c r="AB792"/>
  <c r="AC792"/>
  <c r="AD792"/>
  <c r="P793"/>
  <c r="T793"/>
  <c r="U793"/>
  <c r="V793"/>
  <c r="W793"/>
  <c r="Y793"/>
  <c r="AA793"/>
  <c r="AB793"/>
  <c r="AC793"/>
  <c r="AD793"/>
  <c r="P794"/>
  <c r="T794"/>
  <c r="U794"/>
  <c r="V794"/>
  <c r="W794"/>
  <c r="Y794"/>
  <c r="AA794"/>
  <c r="AB794"/>
  <c r="AC794"/>
  <c r="AD794"/>
  <c r="P795"/>
  <c r="T795"/>
  <c r="U795"/>
  <c r="V795"/>
  <c r="W795"/>
  <c r="Y795"/>
  <c r="AA795"/>
  <c r="AB795"/>
  <c r="AC795"/>
  <c r="AD795"/>
  <c r="P796"/>
  <c r="T796"/>
  <c r="U796"/>
  <c r="V796"/>
  <c r="W796"/>
  <c r="Y796"/>
  <c r="AA796"/>
  <c r="AB796"/>
  <c r="AC796"/>
  <c r="AD796"/>
  <c r="P797"/>
  <c r="T797"/>
  <c r="U797"/>
  <c r="V797"/>
  <c r="W797"/>
  <c r="Y797"/>
  <c r="AA797"/>
  <c r="AB797"/>
  <c r="AC797"/>
  <c r="AD797"/>
  <c r="P798"/>
  <c r="T798"/>
  <c r="U798"/>
  <c r="V798"/>
  <c r="W798"/>
  <c r="Y798"/>
  <c r="AA798"/>
  <c r="AB798"/>
  <c r="AC798"/>
  <c r="AD798"/>
  <c r="P799"/>
  <c r="T799"/>
  <c r="U799"/>
  <c r="V799"/>
  <c r="W799"/>
  <c r="Y799"/>
  <c r="AA799"/>
  <c r="AB799"/>
  <c r="AC799"/>
  <c r="AD799"/>
  <c r="P800"/>
  <c r="T800"/>
  <c r="U800"/>
  <c r="V800"/>
  <c r="W800"/>
  <c r="Y800"/>
  <c r="AA800"/>
  <c r="AB800"/>
  <c r="AC800"/>
  <c r="AD800"/>
  <c r="P801"/>
  <c r="T801"/>
  <c r="U801"/>
  <c r="V801"/>
  <c r="W801"/>
  <c r="Y801"/>
  <c r="AA801"/>
  <c r="AB801"/>
  <c r="AC801"/>
  <c r="AD801"/>
  <c r="P802"/>
  <c r="T802"/>
  <c r="U802"/>
  <c r="V802"/>
  <c r="W802"/>
  <c r="Y802"/>
  <c r="AA802"/>
  <c r="AB802"/>
  <c r="AC802"/>
  <c r="AD802"/>
  <c r="P803"/>
  <c r="T803"/>
  <c r="U803"/>
  <c r="V803"/>
  <c r="W803"/>
  <c r="Y803"/>
  <c r="AA803"/>
  <c r="AB803"/>
  <c r="AC803"/>
  <c r="AD803"/>
  <c r="P804"/>
  <c r="T804"/>
  <c r="U804"/>
  <c r="V804"/>
  <c r="W804"/>
  <c r="Y804"/>
  <c r="AA804"/>
  <c r="AB804"/>
  <c r="AC804"/>
  <c r="AD804"/>
  <c r="P805"/>
  <c r="T805"/>
  <c r="U805"/>
  <c r="V805"/>
  <c r="W805"/>
  <c r="Y805"/>
  <c r="AA805"/>
  <c r="AB805"/>
  <c r="AC805"/>
  <c r="AD805"/>
  <c r="P806"/>
  <c r="T806"/>
  <c r="U806"/>
  <c r="V806"/>
  <c r="W806"/>
  <c r="Y806"/>
  <c r="AA806"/>
  <c r="AB806"/>
  <c r="AC806"/>
  <c r="AD806"/>
  <c r="P807"/>
  <c r="T807"/>
  <c r="U807"/>
  <c r="V807"/>
  <c r="W807"/>
  <c r="Y807"/>
  <c r="AA807"/>
  <c r="AB807"/>
  <c r="AC807"/>
  <c r="AD807"/>
  <c r="P808"/>
  <c r="T808"/>
  <c r="U808"/>
  <c r="V808"/>
  <c r="W808"/>
  <c r="Y808"/>
  <c r="AA808"/>
  <c r="AB808"/>
  <c r="AC808"/>
  <c r="AD808"/>
  <c r="P809"/>
  <c r="T809"/>
  <c r="U809"/>
  <c r="V809"/>
  <c r="W809"/>
  <c r="Y809"/>
  <c r="AA809"/>
  <c r="AB809"/>
  <c r="AC809"/>
  <c r="AD809"/>
  <c r="P810"/>
  <c r="T810"/>
  <c r="U810"/>
  <c r="V810"/>
  <c r="W810"/>
  <c r="Y810"/>
  <c r="AA810"/>
  <c r="AB810"/>
  <c r="AC810"/>
  <c r="AD810"/>
  <c r="P811"/>
  <c r="T811"/>
  <c r="U811"/>
  <c r="V811"/>
  <c r="W811"/>
  <c r="Y811"/>
  <c r="AA811"/>
  <c r="AB811"/>
  <c r="AC811"/>
  <c r="AD811"/>
  <c r="P812"/>
  <c r="T812"/>
  <c r="U812"/>
  <c r="V812"/>
  <c r="W812"/>
  <c r="Y812"/>
  <c r="AA812"/>
  <c r="AB812"/>
  <c r="AC812"/>
  <c r="AD812"/>
  <c r="P813"/>
  <c r="T813"/>
  <c r="U813"/>
  <c r="V813"/>
  <c r="W813"/>
  <c r="Y813"/>
  <c r="AA813"/>
  <c r="AB813"/>
  <c r="AC813"/>
  <c r="AD813"/>
  <c r="P814"/>
  <c r="T814"/>
  <c r="U814"/>
  <c r="V814"/>
  <c r="W814"/>
  <c r="Y814"/>
  <c r="AA814"/>
  <c r="AB814"/>
  <c r="AC814"/>
  <c r="AD814"/>
  <c r="P815"/>
  <c r="T815"/>
  <c r="U815"/>
  <c r="V815"/>
  <c r="W815"/>
  <c r="Y815"/>
  <c r="AA815"/>
  <c r="AB815"/>
  <c r="AC815"/>
  <c r="AD815"/>
  <c r="P816"/>
  <c r="T816"/>
  <c r="U816"/>
  <c r="V816"/>
  <c r="W816"/>
  <c r="Y816"/>
  <c r="AA816"/>
  <c r="AB816"/>
  <c r="AC816"/>
  <c r="AD816"/>
  <c r="P817"/>
  <c r="T817"/>
  <c r="U817"/>
  <c r="V817"/>
  <c r="W817"/>
  <c r="Y817"/>
  <c r="AA817"/>
  <c r="AB817"/>
  <c r="AC817"/>
  <c r="AD817"/>
  <c r="P818"/>
  <c r="T818"/>
  <c r="U818"/>
  <c r="V818"/>
  <c r="W818"/>
  <c r="Y818"/>
  <c r="AA818"/>
  <c r="AB818"/>
  <c r="AC818"/>
  <c r="AD818"/>
  <c r="P819"/>
  <c r="T819"/>
  <c r="U819"/>
  <c r="V819"/>
  <c r="W819"/>
  <c r="Y819"/>
  <c r="AA819"/>
  <c r="AB819"/>
  <c r="AC819"/>
  <c r="AD819"/>
  <c r="P820"/>
  <c r="T820"/>
  <c r="U820"/>
  <c r="V820"/>
  <c r="W820"/>
  <c r="Y820"/>
  <c r="AA820"/>
  <c r="AB820"/>
  <c r="AC820"/>
  <c r="AD820"/>
  <c r="P821"/>
  <c r="T821"/>
  <c r="U821"/>
  <c r="V821"/>
  <c r="W821"/>
  <c r="Y821"/>
  <c r="AA821"/>
  <c r="AB821"/>
  <c r="AC821"/>
  <c r="AD821"/>
  <c r="P822"/>
  <c r="T822"/>
  <c r="U822"/>
  <c r="V822"/>
  <c r="W822"/>
  <c r="Y822"/>
  <c r="AA822"/>
  <c r="AB822"/>
  <c r="AC822"/>
  <c r="AD822"/>
  <c r="P823"/>
  <c r="T823"/>
  <c r="U823"/>
  <c r="V823"/>
  <c r="W823"/>
  <c r="Y823"/>
  <c r="AA823"/>
  <c r="AB823"/>
  <c r="AC823"/>
  <c r="AD823"/>
  <c r="P824"/>
  <c r="T824"/>
  <c r="U824"/>
  <c r="V824"/>
  <c r="W824"/>
  <c r="Y824"/>
  <c r="AA824"/>
  <c r="AB824"/>
  <c r="AC824"/>
  <c r="AD824"/>
  <c r="P825"/>
  <c r="T825"/>
  <c r="U825"/>
  <c r="V825"/>
  <c r="W825"/>
  <c r="Y825"/>
  <c r="AA825"/>
  <c r="AB825"/>
  <c r="AC825"/>
  <c r="AD825"/>
  <c r="P826"/>
  <c r="T826"/>
  <c r="U826"/>
  <c r="V826"/>
  <c r="W826"/>
  <c r="Y826"/>
  <c r="AA826"/>
  <c r="AB826"/>
  <c r="AC826"/>
  <c r="AD826"/>
  <c r="P827"/>
  <c r="T827"/>
  <c r="U827"/>
  <c r="V827"/>
  <c r="W827"/>
  <c r="Y827"/>
  <c r="AA827"/>
  <c r="AB827"/>
  <c r="AC827"/>
  <c r="AD827"/>
  <c r="P828"/>
  <c r="T828"/>
  <c r="U828"/>
  <c r="V828"/>
  <c r="W828"/>
  <c r="Y828"/>
  <c r="AA828"/>
  <c r="AB828"/>
  <c r="AC828"/>
  <c r="AD828"/>
  <c r="P829"/>
  <c r="T829"/>
  <c r="U829"/>
  <c r="V829"/>
  <c r="W829"/>
  <c r="Y829"/>
  <c r="AA829"/>
  <c r="AB829"/>
  <c r="AC829"/>
  <c r="AD829"/>
  <c r="P830"/>
  <c r="T830"/>
  <c r="U830"/>
  <c r="V830"/>
  <c r="W830"/>
  <c r="Y830"/>
  <c r="AA830"/>
  <c r="AB830"/>
  <c r="AC830"/>
  <c r="AD830"/>
  <c r="P831"/>
  <c r="T831"/>
  <c r="U831"/>
  <c r="V831"/>
  <c r="W831"/>
  <c r="Y831"/>
  <c r="AA831"/>
  <c r="AB831"/>
  <c r="AC831"/>
  <c r="AD831"/>
  <c r="P832"/>
  <c r="T832"/>
  <c r="U832"/>
  <c r="V832"/>
  <c r="W832"/>
  <c r="Y832"/>
  <c r="AA832"/>
  <c r="AB832"/>
  <c r="AC832"/>
  <c r="AD832"/>
  <c r="P833"/>
  <c r="T833"/>
  <c r="U833"/>
  <c r="V833"/>
  <c r="W833"/>
  <c r="Y833"/>
  <c r="AA833"/>
  <c r="AB833"/>
  <c r="AC833"/>
  <c r="AD833"/>
  <c r="P834"/>
  <c r="T834"/>
  <c r="U834"/>
  <c r="V834"/>
  <c r="W834"/>
  <c r="Y834"/>
  <c r="AA834"/>
  <c r="AB834"/>
  <c r="AC834"/>
  <c r="AD834"/>
  <c r="P835"/>
  <c r="T835"/>
  <c r="U835"/>
  <c r="V835"/>
  <c r="W835"/>
  <c r="Y835"/>
  <c r="AA835"/>
  <c r="AB835"/>
  <c r="AC835"/>
  <c r="AD835"/>
  <c r="P836"/>
  <c r="T836"/>
  <c r="U836"/>
  <c r="V836"/>
  <c r="W836"/>
  <c r="Y836"/>
  <c r="AA836"/>
  <c r="AB836"/>
  <c r="AC836"/>
  <c r="AD836"/>
  <c r="P837"/>
  <c r="T837"/>
  <c r="U837"/>
  <c r="V837"/>
  <c r="W837"/>
  <c r="Y837"/>
  <c r="AA837"/>
  <c r="AB837"/>
  <c r="AC837"/>
  <c r="AD837"/>
  <c r="P838"/>
  <c r="T838"/>
  <c r="U838"/>
  <c r="V838"/>
  <c r="W838"/>
  <c r="Y838"/>
  <c r="AA838"/>
  <c r="AB838"/>
  <c r="AC838"/>
  <c r="AD838"/>
  <c r="P839"/>
  <c r="T839"/>
  <c r="U839"/>
  <c r="V839"/>
  <c r="W839"/>
  <c r="Y839"/>
  <c r="AA839"/>
  <c r="AB839"/>
  <c r="AC839"/>
  <c r="AD839"/>
  <c r="P840"/>
  <c r="T840"/>
  <c r="U840"/>
  <c r="V840"/>
  <c r="W840"/>
  <c r="Y840"/>
  <c r="AA840"/>
  <c r="AB840"/>
  <c r="AC840"/>
  <c r="AD840"/>
  <c r="P841"/>
  <c r="T841"/>
  <c r="U841"/>
  <c r="V841"/>
  <c r="W841"/>
  <c r="Y841"/>
  <c r="AA841"/>
  <c r="AB841"/>
  <c r="AC841"/>
  <c r="AD841"/>
  <c r="P842"/>
  <c r="T842"/>
  <c r="U842"/>
  <c r="V842"/>
  <c r="W842"/>
  <c r="Y842"/>
  <c r="AA842"/>
  <c r="AB842"/>
  <c r="AC842"/>
  <c r="AD842"/>
  <c r="P843"/>
  <c r="T843"/>
  <c r="U843"/>
  <c r="V843"/>
  <c r="W843"/>
  <c r="Y843"/>
  <c r="AA843"/>
  <c r="AB843"/>
  <c r="AC843"/>
  <c r="AD843"/>
  <c r="P844"/>
  <c r="T844"/>
  <c r="U844"/>
  <c r="V844"/>
  <c r="W844"/>
  <c r="Y844"/>
  <c r="AA844"/>
  <c r="AB844"/>
  <c r="AC844"/>
  <c r="AD844"/>
  <c r="P845"/>
  <c r="T845"/>
  <c r="U845"/>
  <c r="V845"/>
  <c r="W845"/>
  <c r="Y845"/>
  <c r="AA845"/>
  <c r="AB845"/>
  <c r="AC845"/>
  <c r="AD845"/>
  <c r="P846"/>
  <c r="T846"/>
  <c r="U846"/>
  <c r="V846"/>
  <c r="W846"/>
  <c r="Y846"/>
  <c r="AA846"/>
  <c r="AB846"/>
  <c r="AC846"/>
  <c r="AD846"/>
  <c r="P847"/>
  <c r="T847"/>
  <c r="U847"/>
  <c r="V847"/>
  <c r="W847"/>
  <c r="Y847"/>
  <c r="AA847"/>
  <c r="AB847"/>
  <c r="AC847"/>
  <c r="AD847"/>
  <c r="P848"/>
  <c r="T848"/>
  <c r="U848"/>
  <c r="V848"/>
  <c r="W848"/>
  <c r="Y848"/>
  <c r="AA848"/>
  <c r="AB848"/>
  <c r="AC848"/>
  <c r="AD848"/>
  <c r="P849"/>
  <c r="T849"/>
  <c r="U849"/>
  <c r="V849"/>
  <c r="W849"/>
  <c r="Y849"/>
  <c r="AA849"/>
  <c r="AB849"/>
  <c r="AC849"/>
  <c r="AD849"/>
  <c r="P850"/>
  <c r="T850"/>
  <c r="U850"/>
  <c r="V850"/>
  <c r="W850"/>
  <c r="Y850"/>
  <c r="AA850"/>
  <c r="AB850"/>
  <c r="AC850"/>
  <c r="AD850"/>
  <c r="P851"/>
  <c r="T851"/>
  <c r="U851"/>
  <c r="V851"/>
  <c r="W851"/>
  <c r="Y851"/>
  <c r="AA851"/>
  <c r="AB851"/>
  <c r="AC851"/>
  <c r="AD851"/>
  <c r="P852"/>
  <c r="T852"/>
  <c r="U852"/>
  <c r="V852"/>
  <c r="W852"/>
  <c r="Y852"/>
  <c r="AA852"/>
  <c r="AB852"/>
  <c r="AC852"/>
  <c r="AD852"/>
  <c r="P853"/>
  <c r="T853"/>
  <c r="U853"/>
  <c r="V853"/>
  <c r="W853"/>
  <c r="Y853"/>
  <c r="AA853"/>
  <c r="AB853"/>
  <c r="AC853"/>
  <c r="AD853"/>
  <c r="P854"/>
  <c r="T854"/>
  <c r="U854"/>
  <c r="V854"/>
  <c r="W854"/>
  <c r="Y854"/>
  <c r="AA854"/>
  <c r="AB854"/>
  <c r="AC854"/>
  <c r="AD854"/>
  <c r="P855"/>
  <c r="T855"/>
  <c r="U855"/>
  <c r="V855"/>
  <c r="W855"/>
  <c r="Y855"/>
  <c r="AA855"/>
  <c r="AB855"/>
  <c r="AC855"/>
  <c r="AD855"/>
  <c r="P856"/>
  <c r="T856"/>
  <c r="U856"/>
  <c r="V856"/>
  <c r="W856"/>
  <c r="Y856"/>
  <c r="AA856"/>
  <c r="AB856"/>
  <c r="AC856"/>
  <c r="AD856"/>
  <c r="P857"/>
  <c r="T857"/>
  <c r="U857"/>
  <c r="V857"/>
  <c r="W857"/>
  <c r="Y857"/>
  <c r="AA857"/>
  <c r="AB857"/>
  <c r="AC857"/>
  <c r="AD857"/>
  <c r="P858"/>
  <c r="T858"/>
  <c r="U858"/>
  <c r="V858"/>
  <c r="W858"/>
  <c r="Y858"/>
  <c r="AA858"/>
  <c r="AB858"/>
  <c r="AC858"/>
  <c r="AD858"/>
  <c r="P859"/>
  <c r="T859"/>
  <c r="U859"/>
  <c r="V859"/>
  <c r="W859"/>
  <c r="Y859"/>
  <c r="AA859"/>
  <c r="AB859"/>
  <c r="AC859"/>
  <c r="AD859"/>
  <c r="P860"/>
  <c r="T860"/>
  <c r="U860"/>
  <c r="V860"/>
  <c r="W860"/>
  <c r="Y860"/>
  <c r="AA860"/>
  <c r="AB860"/>
  <c r="AC860"/>
  <c r="AD860"/>
  <c r="P861"/>
  <c r="T861"/>
  <c r="U861"/>
  <c r="V861"/>
  <c r="W861"/>
  <c r="Y861"/>
  <c r="AA861"/>
  <c r="AB861"/>
  <c r="AC861"/>
  <c r="AD861"/>
  <c r="P862"/>
  <c r="T862"/>
  <c r="U862"/>
  <c r="V862"/>
  <c r="W862"/>
  <c r="Y862"/>
  <c r="AA862"/>
  <c r="AB862"/>
  <c r="AC862"/>
  <c r="AD862"/>
  <c r="P863"/>
  <c r="T863"/>
  <c r="U863"/>
  <c r="V863"/>
  <c r="W863"/>
  <c r="Y863"/>
  <c r="AA863"/>
  <c r="AB863"/>
  <c r="AC863"/>
  <c r="AD863"/>
  <c r="P864"/>
  <c r="T864"/>
  <c r="U864"/>
  <c r="V864"/>
  <c r="W864"/>
  <c r="Y864"/>
  <c r="AA864"/>
  <c r="AB864"/>
  <c r="AC864"/>
  <c r="AD864"/>
  <c r="P865"/>
  <c r="T865"/>
  <c r="U865"/>
  <c r="V865"/>
  <c r="W865"/>
  <c r="Y865"/>
  <c r="AA865"/>
  <c r="AB865"/>
  <c r="AC865"/>
  <c r="AD865"/>
  <c r="P866"/>
  <c r="T866"/>
  <c r="U866"/>
  <c r="V866"/>
  <c r="W866"/>
  <c r="Y866"/>
  <c r="AA866"/>
  <c r="AB866"/>
  <c r="AC866"/>
  <c r="AD866"/>
  <c r="P867"/>
  <c r="T867"/>
  <c r="U867"/>
  <c r="V867"/>
  <c r="W867"/>
  <c r="Y867"/>
  <c r="AA867"/>
  <c r="AB867"/>
  <c r="AC867"/>
  <c r="AD867"/>
  <c r="P868"/>
  <c r="T868"/>
  <c r="U868"/>
  <c r="V868"/>
  <c r="W868"/>
  <c r="Y868"/>
  <c r="AA868"/>
  <c r="AB868"/>
  <c r="AC868"/>
  <c r="AD868"/>
  <c r="P869"/>
  <c r="T869"/>
  <c r="U869"/>
  <c r="V869"/>
  <c r="W869"/>
  <c r="Y869"/>
  <c r="AA869"/>
  <c r="AB869"/>
  <c r="AC869"/>
  <c r="AD869"/>
  <c r="P870"/>
  <c r="T870"/>
  <c r="U870"/>
  <c r="V870"/>
  <c r="W870"/>
  <c r="Y870"/>
  <c r="AA870"/>
  <c r="AB870"/>
  <c r="AC870"/>
  <c r="AD870"/>
  <c r="P871"/>
  <c r="T871"/>
  <c r="U871"/>
  <c r="V871"/>
  <c r="W871"/>
  <c r="Y871"/>
  <c r="AA871"/>
  <c r="AB871"/>
  <c r="AC871"/>
  <c r="AD871"/>
  <c r="P872"/>
  <c r="T872"/>
  <c r="U872"/>
  <c r="V872"/>
  <c r="W872"/>
  <c r="Y872"/>
  <c r="AA872"/>
  <c r="AB872"/>
  <c r="AC872"/>
  <c r="AD872"/>
  <c r="P873"/>
  <c r="T873"/>
  <c r="U873"/>
  <c r="V873"/>
  <c r="W873"/>
  <c r="Y873"/>
  <c r="AA873"/>
  <c r="AB873"/>
  <c r="AC873"/>
  <c r="AD873"/>
  <c r="P874"/>
  <c r="T874"/>
  <c r="U874"/>
  <c r="V874"/>
  <c r="W874"/>
  <c r="Y874"/>
  <c r="AA874"/>
  <c r="AB874"/>
  <c r="AC874"/>
  <c r="AD874"/>
  <c r="P875"/>
  <c r="T875"/>
  <c r="U875"/>
  <c r="V875"/>
  <c r="W875"/>
  <c r="Y875"/>
  <c r="AA875"/>
  <c r="AB875"/>
  <c r="AC875"/>
  <c r="AD875"/>
  <c r="P876"/>
  <c r="T876"/>
  <c r="U876"/>
  <c r="V876"/>
  <c r="W876"/>
  <c r="Y876"/>
  <c r="AA876"/>
  <c r="AB876"/>
  <c r="AC876"/>
  <c r="AD876"/>
  <c r="P877"/>
  <c r="T877"/>
  <c r="U877"/>
  <c r="V877"/>
  <c r="W877"/>
  <c r="Y877"/>
  <c r="AA877"/>
  <c r="AB877"/>
  <c r="AC877"/>
  <c r="AD877"/>
  <c r="P878"/>
  <c r="T878"/>
  <c r="U878"/>
  <c r="V878"/>
  <c r="W878"/>
  <c r="Y878"/>
  <c r="AA878"/>
  <c r="AB878"/>
  <c r="AC878"/>
  <c r="AD878"/>
  <c r="P879"/>
  <c r="T879"/>
  <c r="U879"/>
  <c r="V879"/>
  <c r="W879"/>
  <c r="Y879"/>
  <c r="AA879"/>
  <c r="AB879"/>
  <c r="AC879"/>
  <c r="AD879"/>
  <c r="P880"/>
  <c r="T880"/>
  <c r="U880"/>
  <c r="V880"/>
  <c r="W880"/>
  <c r="Y880"/>
  <c r="AA880"/>
  <c r="AB880"/>
  <c r="AC880"/>
  <c r="AD880"/>
  <c r="P881"/>
  <c r="T881"/>
  <c r="U881"/>
  <c r="V881"/>
  <c r="W881"/>
  <c r="Y881"/>
  <c r="AA881"/>
  <c r="AB881"/>
  <c r="AC881"/>
  <c r="AD881"/>
  <c r="P882"/>
  <c r="T882"/>
  <c r="U882"/>
  <c r="V882"/>
  <c r="W882"/>
  <c r="Y882"/>
  <c r="AA882"/>
  <c r="AB882"/>
  <c r="AC882"/>
  <c r="AD882"/>
  <c r="P883"/>
  <c r="T883"/>
  <c r="U883"/>
  <c r="V883"/>
  <c r="W883"/>
  <c r="Y883"/>
  <c r="AA883"/>
  <c r="AB883"/>
  <c r="AC883"/>
  <c r="AD883"/>
  <c r="P884"/>
  <c r="T884"/>
  <c r="U884"/>
  <c r="V884"/>
  <c r="W884"/>
  <c r="Y884"/>
  <c r="AA884"/>
  <c r="AB884"/>
  <c r="AC884"/>
  <c r="AD884"/>
  <c r="P885"/>
  <c r="T885"/>
  <c r="U885"/>
  <c r="V885"/>
  <c r="W885"/>
  <c r="Y885"/>
  <c r="AA885"/>
  <c r="AB885"/>
  <c r="AC885"/>
  <c r="AD885"/>
  <c r="P886"/>
  <c r="T886"/>
  <c r="U886"/>
  <c r="V886"/>
  <c r="W886"/>
  <c r="Y886"/>
  <c r="AA886"/>
  <c r="AB886"/>
  <c r="AC886"/>
  <c r="AD886"/>
  <c r="P887"/>
  <c r="T887"/>
  <c r="U887"/>
  <c r="V887"/>
  <c r="W887"/>
  <c r="Y887"/>
  <c r="AA887"/>
  <c r="AB887"/>
  <c r="AC887"/>
  <c r="AD887"/>
  <c r="P888"/>
  <c r="T888"/>
  <c r="U888"/>
  <c r="V888"/>
  <c r="W888"/>
  <c r="Y888"/>
  <c r="AA888"/>
  <c r="AB888"/>
  <c r="AC888"/>
  <c r="AD888"/>
  <c r="P889"/>
  <c r="T889"/>
  <c r="U889"/>
  <c r="V889"/>
  <c r="W889"/>
  <c r="Y889"/>
  <c r="AA889"/>
  <c r="AB889"/>
  <c r="AC889"/>
  <c r="AD889"/>
  <c r="P890"/>
  <c r="T890"/>
  <c r="U890"/>
  <c r="V890"/>
  <c r="W890"/>
  <c r="Y890"/>
  <c r="AA890"/>
  <c r="AB890"/>
  <c r="AC890"/>
  <c r="AD890"/>
  <c r="P891"/>
  <c r="T891"/>
  <c r="U891"/>
  <c r="V891"/>
  <c r="W891"/>
  <c r="Y891"/>
  <c r="AA891"/>
  <c r="AB891"/>
  <c r="AC891"/>
  <c r="AD891"/>
  <c r="P892"/>
  <c r="T892"/>
  <c r="U892"/>
  <c r="V892"/>
  <c r="W892"/>
  <c r="Y892"/>
  <c r="AA892"/>
  <c r="AB892"/>
  <c r="AC892"/>
  <c r="AD892"/>
  <c r="P893"/>
  <c r="T893"/>
  <c r="U893"/>
  <c r="V893"/>
  <c r="W893"/>
  <c r="Y893"/>
  <c r="AA893"/>
  <c r="AB893"/>
  <c r="AC893"/>
  <c r="AD893"/>
  <c r="P894"/>
  <c r="T894"/>
  <c r="U894"/>
  <c r="V894"/>
  <c r="W894"/>
  <c r="Y894"/>
  <c r="AA894"/>
  <c r="AB894"/>
  <c r="AC894"/>
  <c r="AD894"/>
  <c r="P895"/>
  <c r="T895"/>
  <c r="U895"/>
  <c r="V895"/>
  <c r="W895"/>
  <c r="Y895"/>
  <c r="AA895"/>
  <c r="AB895"/>
  <c r="AC895"/>
  <c r="AD895"/>
  <c r="P896"/>
  <c r="T896"/>
  <c r="U896"/>
  <c r="V896"/>
  <c r="W896"/>
  <c r="Y896"/>
  <c r="AA896"/>
  <c r="AB896"/>
  <c r="AC896"/>
  <c r="AD896"/>
  <c r="P897"/>
  <c r="T897"/>
  <c r="U897"/>
  <c r="V897"/>
  <c r="W897"/>
  <c r="Y897"/>
  <c r="AA897"/>
  <c r="AB897"/>
  <c r="AC897"/>
  <c r="AD897"/>
  <c r="P898"/>
  <c r="T898"/>
  <c r="U898"/>
  <c r="V898"/>
  <c r="W898"/>
  <c r="Y898"/>
  <c r="AA898"/>
  <c r="AB898"/>
  <c r="AC898"/>
  <c r="AD898"/>
  <c r="P899"/>
  <c r="T899"/>
  <c r="U899"/>
  <c r="V899"/>
  <c r="W899"/>
  <c r="Y899"/>
  <c r="AA899"/>
  <c r="AB899"/>
  <c r="AC899"/>
  <c r="AD899"/>
  <c r="P900"/>
  <c r="T900"/>
  <c r="U900"/>
  <c r="V900"/>
  <c r="W900"/>
  <c r="Y900"/>
  <c r="AA900"/>
  <c r="AB900"/>
  <c r="AC900"/>
  <c r="AD900"/>
  <c r="P901"/>
  <c r="T901"/>
  <c r="U901"/>
  <c r="V901"/>
  <c r="W901"/>
  <c r="Y901"/>
  <c r="AA901"/>
  <c r="AB901"/>
  <c r="AC901"/>
  <c r="AD901"/>
  <c r="P902"/>
  <c r="T902"/>
  <c r="U902"/>
  <c r="V902"/>
  <c r="W902"/>
  <c r="Y902"/>
  <c r="AA902"/>
  <c r="AB902"/>
  <c r="AC902"/>
  <c r="AD902"/>
  <c r="P903"/>
  <c r="T903"/>
  <c r="U903"/>
  <c r="V903"/>
  <c r="W903"/>
  <c r="Y903"/>
  <c r="AA903"/>
  <c r="AB903"/>
  <c r="AC903"/>
  <c r="AD903"/>
  <c r="P904"/>
  <c r="T904"/>
  <c r="U904"/>
  <c r="V904"/>
  <c r="W904"/>
  <c r="Y904"/>
  <c r="AA904"/>
  <c r="AB904"/>
  <c r="AC904"/>
  <c r="AD904"/>
  <c r="P905"/>
  <c r="T905"/>
  <c r="U905"/>
  <c r="V905"/>
  <c r="W905"/>
  <c r="Y905"/>
  <c r="AA905"/>
  <c r="AB905"/>
  <c r="AC905"/>
  <c r="AD905"/>
  <c r="P906"/>
  <c r="T906"/>
  <c r="U906"/>
  <c r="V906"/>
  <c r="W906"/>
  <c r="Y906"/>
  <c r="AA906"/>
  <c r="AB906"/>
  <c r="AC906"/>
  <c r="AD906"/>
  <c r="P907"/>
  <c r="T907"/>
  <c r="U907"/>
  <c r="V907"/>
  <c r="W907"/>
  <c r="Y907"/>
  <c r="AA907"/>
  <c r="AB907"/>
  <c r="AC907"/>
  <c r="AD907"/>
  <c r="P908"/>
  <c r="T908"/>
  <c r="U908"/>
  <c r="V908"/>
  <c r="W908"/>
  <c r="Y908"/>
  <c r="AA908"/>
  <c r="AB908"/>
  <c r="AC908"/>
  <c r="AD908"/>
  <c r="P909"/>
  <c r="T909"/>
  <c r="U909"/>
  <c r="V909"/>
  <c r="W909"/>
  <c r="Y909"/>
  <c r="AA909"/>
  <c r="AB909"/>
  <c r="AC909"/>
  <c r="AD909"/>
  <c r="P910"/>
  <c r="T910"/>
  <c r="U910"/>
  <c r="V910"/>
  <c r="W910"/>
  <c r="Y910"/>
  <c r="AA910"/>
  <c r="AB910"/>
  <c r="AC910"/>
  <c r="AD910"/>
  <c r="P911"/>
  <c r="T911"/>
  <c r="U911"/>
  <c r="V911"/>
  <c r="W911"/>
  <c r="Y911"/>
  <c r="AA911"/>
  <c r="AB911"/>
  <c r="AC911"/>
  <c r="AD911"/>
  <c r="P912"/>
  <c r="T912"/>
  <c r="U912"/>
  <c r="V912"/>
  <c r="W912"/>
  <c r="Y912"/>
  <c r="AA912"/>
  <c r="AB912"/>
  <c r="AC912"/>
  <c r="AD912"/>
  <c r="P913"/>
  <c r="T913"/>
  <c r="U913"/>
  <c r="V913"/>
  <c r="W913"/>
  <c r="Y913"/>
  <c r="AA913"/>
  <c r="AB913"/>
  <c r="AC913"/>
  <c r="AD913"/>
  <c r="P914"/>
  <c r="T914"/>
  <c r="U914"/>
  <c r="V914"/>
  <c r="W914"/>
  <c r="Y914"/>
  <c r="AA914"/>
  <c r="AB914"/>
  <c r="AC914"/>
  <c r="AD914"/>
  <c r="P915"/>
  <c r="T915"/>
  <c r="U915"/>
  <c r="V915"/>
  <c r="W915"/>
  <c r="Y915"/>
  <c r="AA915"/>
  <c r="AB915"/>
  <c r="AC915"/>
  <c r="AD915"/>
  <c r="P916"/>
  <c r="T916"/>
  <c r="U916"/>
  <c r="V916"/>
  <c r="W916"/>
  <c r="Y916"/>
  <c r="AA916"/>
  <c r="AB916"/>
  <c r="AC916"/>
  <c r="AD916"/>
  <c r="P917"/>
  <c r="T917"/>
  <c r="U917"/>
  <c r="V917"/>
  <c r="W917"/>
  <c r="Y917"/>
  <c r="AA917"/>
  <c r="AB917"/>
  <c r="AC917"/>
  <c r="AD917"/>
  <c r="P918"/>
  <c r="T918"/>
  <c r="U918"/>
  <c r="V918"/>
  <c r="W918"/>
  <c r="Y918"/>
  <c r="AA918"/>
  <c r="AB918"/>
  <c r="AC918"/>
  <c r="AD918"/>
  <c r="P919"/>
  <c r="T919"/>
  <c r="U919"/>
  <c r="V919"/>
  <c r="W919"/>
  <c r="Y919"/>
  <c r="AA919"/>
  <c r="AB919"/>
  <c r="AC919"/>
  <c r="AD919"/>
  <c r="P920"/>
  <c r="T920"/>
  <c r="U920"/>
  <c r="V920"/>
  <c r="W920"/>
  <c r="Y920"/>
  <c r="AA920"/>
  <c r="AB920"/>
  <c r="AC920"/>
  <c r="AD920"/>
  <c r="P921"/>
  <c r="T921"/>
  <c r="U921"/>
  <c r="V921"/>
  <c r="W921"/>
  <c r="Y921"/>
  <c r="AA921"/>
  <c r="AB921"/>
  <c r="AC921"/>
  <c r="AD921"/>
  <c r="P922"/>
  <c r="T922"/>
  <c r="U922"/>
  <c r="V922"/>
  <c r="W922"/>
  <c r="Y922"/>
  <c r="AA922"/>
  <c r="AB922"/>
  <c r="AC922"/>
  <c r="AD922"/>
  <c r="P923"/>
  <c r="T923"/>
  <c r="U923"/>
  <c r="V923"/>
  <c r="W923"/>
  <c r="Y923"/>
  <c r="AA923"/>
  <c r="AB923"/>
  <c r="AC923"/>
  <c r="AD923"/>
  <c r="P924"/>
  <c r="T924"/>
  <c r="U924"/>
  <c r="V924"/>
  <c r="W924"/>
  <c r="Y924"/>
  <c r="AA924"/>
  <c r="AB924"/>
  <c r="AC924"/>
  <c r="AD924"/>
  <c r="P925"/>
  <c r="T925"/>
  <c r="U925"/>
  <c r="V925"/>
  <c r="W925"/>
  <c r="Y925"/>
  <c r="AA925"/>
  <c r="AB925"/>
  <c r="AC925"/>
  <c r="AD925"/>
  <c r="P926"/>
  <c r="T926"/>
  <c r="U926"/>
  <c r="V926"/>
  <c r="W926"/>
  <c r="Y926"/>
  <c r="AA926"/>
  <c r="AB926"/>
  <c r="AC926"/>
  <c r="AD926"/>
  <c r="P927"/>
  <c r="T927"/>
  <c r="U927"/>
  <c r="V927"/>
  <c r="W927"/>
  <c r="Y927"/>
  <c r="AA927"/>
  <c r="AB927"/>
  <c r="AC927"/>
  <c r="AD927"/>
  <c r="P928"/>
  <c r="T928"/>
  <c r="U928"/>
  <c r="V928"/>
  <c r="W928"/>
  <c r="Y928"/>
  <c r="AA928"/>
  <c r="AB928"/>
  <c r="AC928"/>
  <c r="AD928"/>
  <c r="P929"/>
  <c r="T929"/>
  <c r="U929"/>
  <c r="V929"/>
  <c r="W929"/>
  <c r="Y929"/>
  <c r="AA929"/>
  <c r="AB929"/>
  <c r="AC929"/>
  <c r="AD929"/>
  <c r="P930"/>
  <c r="T930"/>
  <c r="U930"/>
  <c r="V930"/>
  <c r="W930"/>
  <c r="Y930"/>
  <c r="AA930"/>
  <c r="AB930"/>
  <c r="AC930"/>
  <c r="AD930"/>
  <c r="P931"/>
  <c r="T931"/>
  <c r="U931"/>
  <c r="V931"/>
  <c r="W931"/>
  <c r="Y931"/>
  <c r="AA931"/>
  <c r="AB931"/>
  <c r="AC931"/>
  <c r="AD931"/>
  <c r="P932"/>
  <c r="T932"/>
  <c r="U932"/>
  <c r="V932"/>
  <c r="W932"/>
  <c r="Y932"/>
  <c r="AA932"/>
  <c r="AB932"/>
  <c r="AC932"/>
  <c r="AD932"/>
  <c r="P933"/>
  <c r="T933"/>
  <c r="U933"/>
  <c r="V933"/>
  <c r="W933"/>
  <c r="Y933"/>
  <c r="AA933"/>
  <c r="AB933"/>
  <c r="AC933"/>
  <c r="AD933"/>
  <c r="P934"/>
  <c r="T934"/>
  <c r="U934"/>
  <c r="V934"/>
  <c r="W934"/>
  <c r="Y934"/>
  <c r="AA934"/>
  <c r="AB934"/>
  <c r="AC934"/>
  <c r="AD934"/>
  <c r="P935"/>
  <c r="T935"/>
  <c r="U935"/>
  <c r="V935"/>
  <c r="W935"/>
  <c r="Y935"/>
  <c r="AA935"/>
  <c r="AB935"/>
  <c r="AC935"/>
  <c r="AD935"/>
  <c r="P936"/>
  <c r="T936"/>
  <c r="U936"/>
  <c r="V936"/>
  <c r="W936"/>
  <c r="Y936"/>
  <c r="AA936"/>
  <c r="AB936"/>
  <c r="AC936"/>
  <c r="AD936"/>
  <c r="P937"/>
  <c r="T937"/>
  <c r="U937"/>
  <c r="V937"/>
  <c r="W937"/>
  <c r="Y937"/>
  <c r="AA937"/>
  <c r="AB937"/>
  <c r="AC937"/>
  <c r="AD937"/>
  <c r="P938"/>
  <c r="T938"/>
  <c r="U938"/>
  <c r="V938"/>
  <c r="W938"/>
  <c r="Y938"/>
  <c r="AA938"/>
  <c r="AB938"/>
  <c r="AC938"/>
  <c r="AD938"/>
  <c r="P939"/>
  <c r="T939"/>
  <c r="U939"/>
  <c r="V939"/>
  <c r="W939"/>
  <c r="Y939"/>
  <c r="AA939"/>
  <c r="AB939"/>
  <c r="AC939"/>
  <c r="AD939"/>
  <c r="P940"/>
  <c r="T940"/>
  <c r="U940"/>
  <c r="V940"/>
  <c r="W940"/>
  <c r="Y940"/>
  <c r="AA940"/>
  <c r="AB940"/>
  <c r="AC940"/>
  <c r="AD940"/>
  <c r="P941"/>
  <c r="T941"/>
  <c r="U941"/>
  <c r="V941"/>
  <c r="W941"/>
  <c r="Y941"/>
  <c r="AA941"/>
  <c r="AB941"/>
  <c r="AC941"/>
  <c r="AD941"/>
  <c r="P942"/>
  <c r="T942"/>
  <c r="U942"/>
  <c r="V942"/>
  <c r="W942"/>
  <c r="Y942"/>
  <c r="AA942"/>
  <c r="AB942"/>
  <c r="AC942"/>
  <c r="AD942"/>
  <c r="P943"/>
  <c r="T943"/>
  <c r="U943"/>
  <c r="V943"/>
  <c r="W943"/>
  <c r="Y943"/>
  <c r="AA943"/>
  <c r="AB943"/>
  <c r="AC943"/>
  <c r="AD943"/>
  <c r="P944"/>
  <c r="T944"/>
  <c r="U944"/>
  <c r="V944"/>
  <c r="W944"/>
  <c r="Y944"/>
  <c r="AA944"/>
  <c r="AB944"/>
  <c r="AC944"/>
  <c r="AD944"/>
  <c r="P945"/>
  <c r="T945"/>
  <c r="U945"/>
  <c r="V945"/>
  <c r="W945"/>
  <c r="Y945"/>
  <c r="AA945"/>
  <c r="AB945"/>
  <c r="AC945"/>
  <c r="AD945"/>
  <c r="P946"/>
  <c r="T946"/>
  <c r="U946"/>
  <c r="V946"/>
  <c r="W946"/>
  <c r="Y946"/>
  <c r="AA946"/>
  <c r="AB946"/>
  <c r="AC946"/>
  <c r="AD946"/>
  <c r="P947"/>
  <c r="T947"/>
  <c r="U947"/>
  <c r="V947"/>
  <c r="W947"/>
  <c r="Y947"/>
  <c r="AA947"/>
  <c r="AB947"/>
  <c r="AC947"/>
  <c r="AD947"/>
  <c r="P948"/>
  <c r="T948"/>
  <c r="U948"/>
  <c r="V948"/>
  <c r="W948"/>
  <c r="Y948"/>
  <c r="AA948"/>
  <c r="AB948"/>
  <c r="AC948"/>
  <c r="AD948"/>
  <c r="P949"/>
  <c r="T949"/>
  <c r="U949"/>
  <c r="V949"/>
  <c r="W949"/>
  <c r="Y949"/>
  <c r="AA949"/>
  <c r="AB949"/>
  <c r="AC949"/>
  <c r="AD949"/>
  <c r="P950"/>
  <c r="T950"/>
  <c r="U950"/>
  <c r="V950"/>
  <c r="W950"/>
  <c r="Y950"/>
  <c r="AA950"/>
  <c r="AB950"/>
  <c r="AC950"/>
  <c r="AD950"/>
  <c r="P951"/>
  <c r="T951"/>
  <c r="U951"/>
  <c r="V951"/>
  <c r="W951"/>
  <c r="Y951"/>
  <c r="AA951"/>
  <c r="AB951"/>
  <c r="AC951"/>
  <c r="AD951"/>
  <c r="P952"/>
  <c r="T952"/>
  <c r="U952"/>
  <c r="V952"/>
  <c r="W952"/>
  <c r="Y952"/>
  <c r="AA952"/>
  <c r="AB952"/>
  <c r="AC952"/>
  <c r="AD952"/>
  <c r="P953"/>
  <c r="T953"/>
  <c r="U953"/>
  <c r="V953"/>
  <c r="W953"/>
  <c r="Y953"/>
  <c r="AA953"/>
  <c r="AB953"/>
  <c r="AC953"/>
  <c r="AD953"/>
  <c r="P954"/>
  <c r="T954"/>
  <c r="U954"/>
  <c r="V954"/>
  <c r="W954"/>
  <c r="Y954"/>
  <c r="AA954"/>
  <c r="AB954"/>
  <c r="AC954"/>
  <c r="AD954"/>
  <c r="P955"/>
  <c r="T955"/>
  <c r="U955"/>
  <c r="V955"/>
  <c r="W955"/>
  <c r="Y955"/>
  <c r="AA955"/>
  <c r="AB955"/>
  <c r="AC955"/>
  <c r="AD955"/>
  <c r="P956"/>
  <c r="T956"/>
  <c r="U956"/>
  <c r="V956"/>
  <c r="W956"/>
  <c r="Y956"/>
  <c r="AA956"/>
  <c r="AB956"/>
  <c r="AC956"/>
  <c r="AD956"/>
  <c r="P957"/>
  <c r="T957"/>
  <c r="U957"/>
  <c r="V957"/>
  <c r="W957"/>
  <c r="Y957"/>
  <c r="AA957"/>
  <c r="AB957"/>
  <c r="AC957"/>
  <c r="AD957"/>
  <c r="P958"/>
  <c r="T958"/>
  <c r="U958"/>
  <c r="V958"/>
  <c r="W958"/>
  <c r="Y958"/>
  <c r="AA958"/>
  <c r="AB958"/>
  <c r="AC958"/>
  <c r="AD958"/>
  <c r="P959"/>
  <c r="T959"/>
  <c r="U959"/>
  <c r="V959"/>
  <c r="W959"/>
  <c r="Y959"/>
  <c r="AA959"/>
  <c r="AB959"/>
  <c r="AC959"/>
  <c r="AD959"/>
  <c r="P960"/>
  <c r="T960"/>
  <c r="U960"/>
  <c r="V960"/>
  <c r="W960"/>
  <c r="Y960"/>
  <c r="AA960"/>
  <c r="AB960"/>
  <c r="AC960"/>
  <c r="AD960"/>
  <c r="P961"/>
  <c r="T961"/>
  <c r="U961"/>
  <c r="V961"/>
  <c r="W961"/>
  <c r="Y961"/>
  <c r="AA961"/>
  <c r="AB961"/>
  <c r="AC961"/>
  <c r="AD961"/>
  <c r="P962"/>
  <c r="T962"/>
  <c r="U962"/>
  <c r="V962"/>
  <c r="W962"/>
  <c r="Y962"/>
  <c r="AA962"/>
  <c r="AB962"/>
  <c r="AC962"/>
  <c r="AD962"/>
  <c r="P963"/>
  <c r="T963"/>
  <c r="U963"/>
  <c r="V963"/>
  <c r="W963"/>
  <c r="Y963"/>
  <c r="AA963"/>
  <c r="AB963"/>
  <c r="AC963"/>
  <c r="AD963"/>
  <c r="P964"/>
  <c r="T964"/>
  <c r="U964"/>
  <c r="V964"/>
  <c r="W964"/>
  <c r="Y964"/>
  <c r="AA964"/>
  <c r="AB964"/>
  <c r="AC964"/>
  <c r="AD964"/>
  <c r="P965"/>
  <c r="T965"/>
  <c r="U965"/>
  <c r="V965"/>
  <c r="W965"/>
  <c r="Y965"/>
  <c r="AA965"/>
  <c r="AB965"/>
  <c r="AC965"/>
  <c r="AD965"/>
  <c r="P966"/>
  <c r="T966"/>
  <c r="U966"/>
  <c r="V966"/>
  <c r="W966"/>
  <c r="Y966"/>
  <c r="AA966"/>
  <c r="AB966"/>
  <c r="AC966"/>
  <c r="AD966"/>
  <c r="P967"/>
  <c r="T967"/>
  <c r="U967"/>
  <c r="V967"/>
  <c r="W967"/>
  <c r="Y967"/>
  <c r="AA967"/>
  <c r="AB967"/>
  <c r="AC967"/>
  <c r="AD967"/>
  <c r="P968"/>
  <c r="T968"/>
  <c r="U968"/>
  <c r="V968"/>
  <c r="W968"/>
  <c r="Y968"/>
  <c r="AA968"/>
  <c r="AB968"/>
  <c r="AC968"/>
  <c r="AD968"/>
  <c r="P969"/>
  <c r="T969"/>
  <c r="U969"/>
  <c r="V969"/>
  <c r="W969"/>
  <c r="Y969"/>
  <c r="AA969"/>
  <c r="AB969"/>
  <c r="AC969"/>
  <c r="AD969"/>
  <c r="P970"/>
  <c r="T970"/>
  <c r="U970"/>
  <c r="V970"/>
  <c r="W970"/>
  <c r="Y970"/>
  <c r="AA970"/>
  <c r="AB970"/>
  <c r="AC970"/>
  <c r="AD970"/>
  <c r="P971"/>
  <c r="T971"/>
  <c r="U971"/>
  <c r="V971"/>
  <c r="W971"/>
  <c r="Y971"/>
  <c r="AA971"/>
  <c r="AB971"/>
  <c r="AC971"/>
  <c r="AD971"/>
  <c r="P972"/>
  <c r="T972"/>
  <c r="U972"/>
  <c r="V972"/>
  <c r="W972"/>
  <c r="Y972"/>
  <c r="AA972"/>
  <c r="AB972"/>
  <c r="AC972"/>
  <c r="AD972"/>
  <c r="P973"/>
  <c r="T973"/>
  <c r="U973"/>
  <c r="V973"/>
  <c r="W973"/>
  <c r="Y973"/>
  <c r="AA973"/>
  <c r="AB973"/>
  <c r="AC973"/>
  <c r="AD973"/>
  <c r="P974"/>
  <c r="T974"/>
  <c r="U974"/>
  <c r="V974"/>
  <c r="W974"/>
  <c r="Y974"/>
  <c r="AA974"/>
  <c r="AB974"/>
  <c r="AC974"/>
  <c r="AD974"/>
  <c r="P975"/>
  <c r="T975"/>
  <c r="U975"/>
  <c r="V975"/>
  <c r="W975"/>
  <c r="Y975"/>
  <c r="AA975"/>
  <c r="AB975"/>
  <c r="AC975"/>
  <c r="AD975"/>
  <c r="P976"/>
  <c r="T976"/>
  <c r="U976"/>
  <c r="V976"/>
  <c r="W976"/>
  <c r="Y976"/>
  <c r="AA976"/>
  <c r="AB976"/>
  <c r="AC976"/>
  <c r="AD976"/>
  <c r="P977"/>
  <c r="T977"/>
  <c r="U977"/>
  <c r="V977"/>
  <c r="W977"/>
  <c r="Y977"/>
  <c r="AA977"/>
  <c r="AB977"/>
  <c r="AC977"/>
  <c r="AD977"/>
  <c r="P978"/>
  <c r="T978"/>
  <c r="U978"/>
  <c r="V978"/>
  <c r="W978"/>
  <c r="Y978"/>
  <c r="AA978"/>
  <c r="AB978"/>
  <c r="AC978"/>
  <c r="AD978"/>
  <c r="P979"/>
  <c r="T979"/>
  <c r="U979"/>
  <c r="V979"/>
  <c r="W979"/>
  <c r="Y979"/>
  <c r="AA979"/>
  <c r="AB979"/>
  <c r="AC979"/>
  <c r="AD979"/>
  <c r="P980"/>
  <c r="T980"/>
  <c r="U980"/>
  <c r="V980"/>
  <c r="W980"/>
  <c r="Y980"/>
  <c r="AA980"/>
  <c r="AB980"/>
  <c r="AC980"/>
  <c r="AD980"/>
  <c r="P981"/>
  <c r="T981"/>
  <c r="U981"/>
  <c r="V981"/>
  <c r="W981"/>
  <c r="Y981"/>
  <c r="AA981"/>
  <c r="AB981"/>
  <c r="AC981"/>
  <c r="AD981"/>
  <c r="P982"/>
  <c r="T982"/>
  <c r="U982"/>
  <c r="V982"/>
  <c r="W982"/>
  <c r="Y982"/>
  <c r="AA982"/>
  <c r="AB982"/>
  <c r="AC982"/>
  <c r="AD982"/>
  <c r="P983"/>
  <c r="T983"/>
  <c r="U983"/>
  <c r="V983"/>
  <c r="W983"/>
  <c r="Y983"/>
  <c r="AA983"/>
  <c r="AB983"/>
  <c r="AC983"/>
  <c r="AD983"/>
  <c r="P984"/>
  <c r="T984"/>
  <c r="U984"/>
  <c r="V984"/>
  <c r="W984"/>
  <c r="Y984"/>
  <c r="AA984"/>
  <c r="AB984"/>
  <c r="AC984"/>
  <c r="AD984"/>
  <c r="P985"/>
  <c r="T985"/>
  <c r="U985"/>
  <c r="V985"/>
  <c r="W985"/>
  <c r="Y985"/>
  <c r="AA985"/>
  <c r="AB985"/>
  <c r="AC985"/>
  <c r="AD985"/>
  <c r="P986"/>
  <c r="T986"/>
  <c r="U986"/>
  <c r="V986"/>
  <c r="W986"/>
  <c r="Y986"/>
  <c r="AA986"/>
  <c r="AB986"/>
  <c r="AC986"/>
  <c r="AD986"/>
  <c r="P987"/>
  <c r="T987"/>
  <c r="U987"/>
  <c r="V987"/>
  <c r="W987"/>
  <c r="Y987"/>
  <c r="AA987"/>
  <c r="AB987"/>
  <c r="AC987"/>
  <c r="AD987"/>
  <c r="P988"/>
  <c r="T988"/>
  <c r="U988"/>
  <c r="V988"/>
  <c r="W988"/>
  <c r="Y988"/>
  <c r="AA988"/>
  <c r="AB988"/>
  <c r="AC988"/>
  <c r="AD988"/>
  <c r="P989"/>
  <c r="T989"/>
  <c r="U989"/>
  <c r="V989"/>
  <c r="W989"/>
  <c r="Y989"/>
  <c r="AA989"/>
  <c r="AB989"/>
  <c r="AC989"/>
  <c r="AD989"/>
  <c r="P990"/>
  <c r="T990"/>
  <c r="U990"/>
  <c r="V990"/>
  <c r="W990"/>
  <c r="Y990"/>
  <c r="AA990"/>
  <c r="AB990"/>
  <c r="AC990"/>
  <c r="AD990"/>
  <c r="P991"/>
  <c r="T991"/>
  <c r="U991"/>
  <c r="V991"/>
  <c r="W991"/>
  <c r="Y991"/>
  <c r="AA991"/>
  <c r="AB991"/>
  <c r="AC991"/>
  <c r="AD991"/>
  <c r="P992"/>
  <c r="T992"/>
  <c r="U992"/>
  <c r="V992"/>
  <c r="W992"/>
  <c r="Y992"/>
  <c r="AA992"/>
  <c r="AB992"/>
  <c r="AC992"/>
  <c r="AD992"/>
  <c r="P993"/>
  <c r="T993"/>
  <c r="U993"/>
  <c r="V993"/>
  <c r="W993"/>
  <c r="Y993"/>
  <c r="AA993"/>
  <c r="AB993"/>
  <c r="AC993"/>
  <c r="AD993"/>
  <c r="P994"/>
  <c r="T994"/>
  <c r="U994"/>
  <c r="V994"/>
  <c r="W994"/>
  <c r="Y994"/>
  <c r="AA994"/>
  <c r="AB994"/>
  <c r="AC994"/>
  <c r="AD994"/>
  <c r="P995"/>
  <c r="T995"/>
  <c r="U995"/>
  <c r="V995"/>
  <c r="W995"/>
  <c r="Y995"/>
  <c r="AA995"/>
  <c r="AB995"/>
  <c r="AC995"/>
  <c r="AD995"/>
  <c r="P996"/>
  <c r="T996"/>
  <c r="U996"/>
  <c r="V996"/>
  <c r="W996"/>
  <c r="Y996"/>
  <c r="AA996"/>
  <c r="AB996"/>
  <c r="AC996"/>
  <c r="AD996"/>
  <c r="P997"/>
  <c r="T997"/>
  <c r="U997"/>
  <c r="V997"/>
  <c r="W997"/>
  <c r="Y997"/>
  <c r="AA997"/>
  <c r="AB997"/>
  <c r="AC997"/>
  <c r="AD997"/>
  <c r="P998"/>
  <c r="T998"/>
  <c r="U998"/>
  <c r="V998"/>
  <c r="W998"/>
  <c r="Y998"/>
  <c r="AA998"/>
  <c r="AB998"/>
  <c r="AC998"/>
  <c r="AD998"/>
  <c r="P999"/>
  <c r="T999"/>
  <c r="U999"/>
  <c r="V999"/>
  <c r="W999"/>
  <c r="Y999"/>
  <c r="AA999"/>
  <c r="AB999"/>
  <c r="AC999"/>
  <c r="AD999"/>
  <c r="P1000"/>
  <c r="T1000"/>
  <c r="U1000"/>
  <c r="V1000"/>
  <c r="W1000"/>
  <c r="Y1000"/>
  <c r="AA1000"/>
  <c r="AB1000"/>
  <c r="AC1000"/>
  <c r="AD1000"/>
  <c r="P1001"/>
  <c r="T1001"/>
  <c r="U1001"/>
  <c r="V1001"/>
  <c r="W1001"/>
  <c r="Y1001"/>
  <c r="AA1001"/>
  <c r="AB1001"/>
  <c r="AC1001"/>
  <c r="AD1001"/>
  <c r="P1002"/>
  <c r="T1002"/>
  <c r="U1002"/>
  <c r="V1002"/>
  <c r="W1002"/>
  <c r="Y1002"/>
  <c r="AA1002"/>
  <c r="AB1002"/>
  <c r="AC1002"/>
  <c r="AD1002"/>
  <c r="P1003"/>
  <c r="T1003"/>
  <c r="U1003"/>
  <c r="V1003"/>
  <c r="W1003"/>
  <c r="Y1003"/>
  <c r="AA1003"/>
  <c r="AB1003"/>
  <c r="AC1003"/>
  <c r="AD1003"/>
  <c r="P1004"/>
  <c r="T1004"/>
  <c r="U1004"/>
  <c r="V1004"/>
  <c r="W1004"/>
  <c r="Y1004"/>
  <c r="AA1004"/>
  <c r="AB1004"/>
  <c r="AC1004"/>
  <c r="AD1004"/>
  <c r="P1005"/>
  <c r="T1005"/>
  <c r="U1005"/>
  <c r="V1005"/>
  <c r="W1005"/>
  <c r="Y1005"/>
  <c r="AA1005"/>
  <c r="AB1005"/>
  <c r="AC1005"/>
  <c r="AD1005"/>
  <c r="P1006"/>
  <c r="T1006"/>
  <c r="U1006"/>
  <c r="V1006"/>
  <c r="W1006"/>
  <c r="Y1006"/>
  <c r="AA1006"/>
  <c r="AB1006"/>
  <c r="AC1006"/>
  <c r="AD1006"/>
  <c r="P1007"/>
  <c r="T1007"/>
  <c r="U1007"/>
  <c r="V1007"/>
  <c r="W1007"/>
  <c r="Y1007"/>
  <c r="AA1007"/>
  <c r="AB1007"/>
  <c r="AC1007"/>
  <c r="AD1007"/>
  <c r="P1008"/>
  <c r="T1008"/>
  <c r="U1008"/>
  <c r="V1008"/>
  <c r="W1008"/>
  <c r="Y1008"/>
  <c r="AA1008"/>
  <c r="AB1008"/>
  <c r="AC1008"/>
  <c r="AD1008"/>
  <c r="P1009"/>
  <c r="T1009"/>
  <c r="U1009"/>
  <c r="V1009"/>
  <c r="W1009"/>
  <c r="Y1009"/>
  <c r="AA1009"/>
  <c r="AB1009"/>
  <c r="AC1009"/>
  <c r="AD1009"/>
  <c r="P1010"/>
  <c r="T1010"/>
  <c r="U1010"/>
  <c r="V1010"/>
  <c r="W1010"/>
  <c r="Y1010"/>
  <c r="AA1010"/>
  <c r="AB1010"/>
  <c r="AC1010"/>
  <c r="AD1010"/>
  <c r="P1011"/>
  <c r="T1011"/>
  <c r="U1011"/>
  <c r="V1011"/>
  <c r="W1011"/>
  <c r="Y1011"/>
  <c r="AA1011"/>
  <c r="AB1011"/>
  <c r="AC1011"/>
  <c r="AD1011"/>
  <c r="P1012"/>
  <c r="T1012"/>
  <c r="U1012"/>
  <c r="V1012"/>
  <c r="W1012"/>
  <c r="Y1012"/>
  <c r="AA1012"/>
  <c r="AB1012"/>
  <c r="AC1012"/>
  <c r="AD1012"/>
  <c r="P1013"/>
  <c r="T1013"/>
  <c r="U1013"/>
  <c r="V1013"/>
  <c r="W1013"/>
  <c r="Y1013"/>
  <c r="AA1013"/>
  <c r="AB1013"/>
  <c r="AC1013"/>
  <c r="AD1013"/>
  <c r="P1014"/>
  <c r="T1014"/>
  <c r="U1014"/>
  <c r="V1014"/>
  <c r="W1014"/>
  <c r="Y1014"/>
  <c r="AA1014"/>
  <c r="AB1014"/>
  <c r="AC1014"/>
  <c r="AD1014"/>
  <c r="P1015"/>
  <c r="T1015"/>
  <c r="U1015"/>
  <c r="V1015"/>
  <c r="W1015"/>
  <c r="Y1015"/>
  <c r="AA1015"/>
  <c r="AB1015"/>
  <c r="AC1015"/>
  <c r="AD1015"/>
  <c r="P1016"/>
  <c r="T1016"/>
  <c r="U1016"/>
  <c r="V1016"/>
  <c r="W1016"/>
  <c r="Y1016"/>
  <c r="AA1016"/>
  <c r="AB1016"/>
  <c r="AC1016"/>
  <c r="AD1016"/>
  <c r="P1017"/>
  <c r="T1017"/>
  <c r="U1017"/>
  <c r="V1017"/>
  <c r="W1017"/>
  <c r="Y1017"/>
  <c r="AA1017"/>
  <c r="AB1017"/>
  <c r="AC1017"/>
  <c r="AD1017"/>
  <c r="P1018"/>
  <c r="T1018"/>
  <c r="U1018"/>
  <c r="V1018"/>
  <c r="W1018"/>
  <c r="Y1018"/>
  <c r="AA1018"/>
  <c r="AB1018"/>
  <c r="AC1018"/>
  <c r="AD1018"/>
  <c r="P1019"/>
  <c r="T1019"/>
  <c r="U1019"/>
  <c r="V1019"/>
  <c r="W1019"/>
  <c r="Y1019"/>
  <c r="AA1019"/>
  <c r="AB1019"/>
  <c r="AC1019"/>
  <c r="AD1019"/>
  <c r="P1020"/>
  <c r="T1020"/>
  <c r="U1020"/>
  <c r="V1020"/>
  <c r="W1020"/>
  <c r="Y1020"/>
  <c r="AA1020"/>
  <c r="AB1020"/>
  <c r="AC1020"/>
  <c r="AD1020"/>
  <c r="P1021"/>
  <c r="T1021"/>
  <c r="U1021"/>
  <c r="V1021"/>
  <c r="W1021"/>
  <c r="Y1021"/>
  <c r="AA1021"/>
  <c r="AB1021"/>
  <c r="AC1021"/>
  <c r="AD1021"/>
  <c r="P1022"/>
  <c r="T1022"/>
  <c r="U1022"/>
  <c r="V1022"/>
  <c r="W1022"/>
  <c r="Y1022"/>
  <c r="AA1022"/>
  <c r="AB1022"/>
  <c r="AC1022"/>
  <c r="AD1022"/>
  <c r="P1023"/>
  <c r="T1023"/>
  <c r="U1023"/>
  <c r="V1023"/>
  <c r="W1023"/>
  <c r="Y1023"/>
  <c r="AA1023"/>
  <c r="AB1023"/>
  <c r="AC1023"/>
  <c r="AD1023"/>
  <c r="P1024"/>
  <c r="T1024"/>
  <c r="U1024"/>
  <c r="V1024"/>
  <c r="W1024"/>
  <c r="Y1024"/>
  <c r="AA1024"/>
  <c r="AB1024"/>
  <c r="AC1024"/>
  <c r="AD1024"/>
  <c r="P1025"/>
  <c r="T1025"/>
  <c r="U1025"/>
  <c r="V1025"/>
  <c r="W1025"/>
  <c r="Y1025"/>
  <c r="AA1025"/>
  <c r="AB1025"/>
  <c r="AC1025"/>
  <c r="AD1025"/>
  <c r="P1026"/>
  <c r="T1026"/>
  <c r="U1026"/>
  <c r="V1026"/>
  <c r="W1026"/>
  <c r="Y1026"/>
  <c r="AA1026"/>
  <c r="AB1026"/>
  <c r="AC1026"/>
  <c r="AD1026"/>
  <c r="P1027"/>
  <c r="T1027"/>
  <c r="U1027"/>
  <c r="V1027"/>
  <c r="W1027"/>
  <c r="Y1027"/>
  <c r="AA1027"/>
  <c r="AB1027"/>
  <c r="AC1027"/>
  <c r="AD1027"/>
  <c r="P1028"/>
  <c r="T1028"/>
  <c r="U1028"/>
  <c r="V1028"/>
  <c r="W1028"/>
  <c r="Y1028"/>
  <c r="AA1028"/>
  <c r="AB1028"/>
  <c r="AC1028"/>
  <c r="AD1028"/>
  <c r="P1029"/>
  <c r="T1029"/>
  <c r="U1029"/>
  <c r="V1029"/>
  <c r="W1029"/>
  <c r="Y1029"/>
  <c r="AA1029"/>
  <c r="AB1029"/>
  <c r="AC1029"/>
  <c r="AD1029"/>
  <c r="P1030"/>
  <c r="T1030"/>
  <c r="U1030"/>
  <c r="V1030"/>
  <c r="W1030"/>
  <c r="Y1030"/>
  <c r="AA1030"/>
  <c r="AB1030"/>
  <c r="AC1030"/>
  <c r="AD1030"/>
  <c r="P1031"/>
  <c r="T1031"/>
  <c r="U1031"/>
  <c r="V1031"/>
  <c r="W1031"/>
  <c r="Y1031"/>
  <c r="AA1031"/>
  <c r="AB1031"/>
  <c r="AC1031"/>
  <c r="AD1031"/>
  <c r="P1032"/>
  <c r="T1032"/>
  <c r="U1032"/>
  <c r="V1032"/>
  <c r="W1032"/>
  <c r="Y1032"/>
  <c r="AA1032"/>
  <c r="AB1032"/>
  <c r="AC1032"/>
  <c r="AD1032"/>
  <c r="P1033"/>
  <c r="T1033"/>
  <c r="U1033"/>
  <c r="V1033"/>
  <c r="W1033"/>
  <c r="Y1033"/>
  <c r="AA1033"/>
  <c r="AB1033"/>
  <c r="AC1033"/>
  <c r="AD1033"/>
  <c r="P1034"/>
  <c r="T1034"/>
  <c r="U1034"/>
  <c r="V1034"/>
  <c r="W1034"/>
  <c r="Y1034"/>
  <c r="AA1034"/>
  <c r="AB1034"/>
  <c r="AC1034"/>
  <c r="AD1034"/>
  <c r="P1035"/>
  <c r="T1035"/>
  <c r="U1035"/>
  <c r="V1035"/>
  <c r="W1035"/>
  <c r="Y1035"/>
  <c r="AA1035"/>
  <c r="AB1035"/>
  <c r="AC1035"/>
  <c r="AD1035"/>
  <c r="P1036"/>
  <c r="T1036"/>
  <c r="U1036"/>
  <c r="V1036"/>
  <c r="W1036"/>
  <c r="Y1036"/>
  <c r="AA1036"/>
  <c r="AB1036"/>
  <c r="AC1036"/>
  <c r="AD1036"/>
  <c r="P1037"/>
  <c r="T1037"/>
  <c r="U1037"/>
  <c r="V1037"/>
  <c r="W1037"/>
  <c r="Y1037"/>
  <c r="AA1037"/>
  <c r="AB1037"/>
  <c r="AC1037"/>
  <c r="AD1037"/>
  <c r="P1038"/>
  <c r="T1038"/>
  <c r="U1038"/>
  <c r="V1038"/>
  <c r="W1038"/>
  <c r="Y1038"/>
  <c r="AA1038"/>
  <c r="AB1038"/>
  <c r="AC1038"/>
  <c r="AD1038"/>
  <c r="P1039"/>
  <c r="T1039"/>
  <c r="U1039"/>
  <c r="V1039"/>
  <c r="W1039"/>
  <c r="Y1039"/>
  <c r="AA1039"/>
  <c r="AB1039"/>
  <c r="AC1039"/>
  <c r="AD1039"/>
  <c r="P1040"/>
  <c r="T1040"/>
  <c r="U1040"/>
  <c r="V1040"/>
  <c r="W1040"/>
  <c r="Y1040"/>
  <c r="AA1040"/>
  <c r="AB1040"/>
  <c r="AC1040"/>
  <c r="AD1040"/>
  <c r="P1041"/>
  <c r="T1041"/>
  <c r="U1041"/>
  <c r="V1041"/>
  <c r="W1041"/>
  <c r="Y1041"/>
  <c r="AA1041"/>
  <c r="AB1041"/>
  <c r="AC1041"/>
  <c r="AD1041"/>
  <c r="P1042"/>
  <c r="T1042"/>
  <c r="U1042"/>
  <c r="V1042"/>
  <c r="W1042"/>
  <c r="Y1042"/>
  <c r="AA1042"/>
  <c r="AB1042"/>
  <c r="AC1042"/>
  <c r="AD1042"/>
  <c r="P1043"/>
  <c r="T1043"/>
  <c r="U1043"/>
  <c r="V1043"/>
  <c r="W1043"/>
  <c r="Y1043"/>
  <c r="AA1043"/>
  <c r="AB1043"/>
  <c r="AC1043"/>
  <c r="AD1043"/>
  <c r="P1044"/>
  <c r="T1044"/>
  <c r="U1044"/>
  <c r="V1044"/>
  <c r="W1044"/>
  <c r="Y1044"/>
  <c r="AA1044"/>
  <c r="AB1044"/>
  <c r="AC1044"/>
  <c r="AD1044"/>
  <c r="P1045"/>
  <c r="T1045"/>
  <c r="U1045"/>
  <c r="V1045"/>
  <c r="W1045"/>
  <c r="Y1045"/>
  <c r="AA1045"/>
  <c r="AB1045"/>
  <c r="AC1045"/>
  <c r="AD1045"/>
  <c r="P1046"/>
  <c r="T1046"/>
  <c r="U1046"/>
  <c r="V1046"/>
  <c r="W1046"/>
  <c r="Y1046"/>
  <c r="AA1046"/>
  <c r="AB1046"/>
  <c r="AC1046"/>
  <c r="AD1046"/>
  <c r="P1047"/>
  <c r="T1047"/>
  <c r="U1047"/>
  <c r="V1047"/>
  <c r="W1047"/>
  <c r="Y1047"/>
  <c r="AA1047"/>
  <c r="AB1047"/>
  <c r="AC1047"/>
  <c r="AD1047"/>
  <c r="P1048"/>
  <c r="T1048"/>
  <c r="U1048"/>
  <c r="V1048"/>
  <c r="W1048"/>
  <c r="Y1048"/>
  <c r="AA1048"/>
  <c r="AB1048"/>
  <c r="AC1048"/>
  <c r="AD1048"/>
  <c r="P1049"/>
  <c r="T1049"/>
  <c r="U1049"/>
  <c r="V1049"/>
  <c r="W1049"/>
  <c r="Y1049"/>
  <c r="AA1049"/>
  <c r="AB1049"/>
  <c r="AC1049"/>
  <c r="AD1049"/>
  <c r="P1050"/>
  <c r="T1050"/>
  <c r="U1050"/>
  <c r="V1050"/>
  <c r="W1050"/>
  <c r="Y1050"/>
  <c r="AA1050"/>
  <c r="AB1050"/>
  <c r="AC1050"/>
  <c r="AD1050"/>
  <c r="P1051"/>
  <c r="T1051"/>
  <c r="U1051"/>
  <c r="V1051"/>
  <c r="W1051"/>
  <c r="Y1051"/>
  <c r="AA1051"/>
  <c r="AB1051"/>
  <c r="AC1051"/>
  <c r="AD1051"/>
  <c r="P1052"/>
  <c r="T1052"/>
  <c r="U1052"/>
  <c r="V1052"/>
  <c r="W1052"/>
  <c r="Y1052"/>
  <c r="AA1052"/>
  <c r="AB1052"/>
  <c r="AC1052"/>
  <c r="AD1052"/>
  <c r="P1053"/>
  <c r="T1053"/>
  <c r="U1053"/>
  <c r="V1053"/>
  <c r="W1053"/>
  <c r="Y1053"/>
  <c r="AA1053"/>
  <c r="AB1053"/>
  <c r="AC1053"/>
  <c r="AD1053"/>
  <c r="P1054"/>
  <c r="T1054"/>
  <c r="U1054"/>
  <c r="V1054"/>
  <c r="W1054"/>
  <c r="Y1054"/>
  <c r="AA1054"/>
  <c r="AB1054"/>
  <c r="AC1054"/>
  <c r="AD1054"/>
  <c r="P1055"/>
  <c r="T1055"/>
  <c r="U1055"/>
  <c r="V1055"/>
  <c r="W1055"/>
  <c r="Y1055"/>
  <c r="AA1055"/>
  <c r="AB1055"/>
  <c r="AC1055"/>
  <c r="AD1055"/>
  <c r="P1056"/>
  <c r="T1056"/>
  <c r="U1056"/>
  <c r="V1056"/>
  <c r="W1056"/>
  <c r="Y1056"/>
  <c r="AA1056"/>
  <c r="AB1056"/>
  <c r="AC1056"/>
  <c r="AD1056"/>
  <c r="P1057"/>
  <c r="T1057"/>
  <c r="U1057"/>
  <c r="V1057"/>
  <c r="W1057"/>
  <c r="Y1057"/>
  <c r="AA1057"/>
  <c r="AB1057"/>
  <c r="AC1057"/>
  <c r="AD1057"/>
  <c r="P1058"/>
  <c r="T1058"/>
  <c r="U1058"/>
  <c r="V1058"/>
  <c r="W1058"/>
  <c r="Y1058"/>
  <c r="AA1058"/>
  <c r="AB1058"/>
  <c r="AC1058"/>
  <c r="AD1058"/>
  <c r="P1059"/>
  <c r="T1059"/>
  <c r="U1059"/>
  <c r="V1059"/>
  <c r="W1059"/>
  <c r="Y1059"/>
  <c r="AA1059"/>
  <c r="AB1059"/>
  <c r="AC1059"/>
  <c r="AD1059"/>
  <c r="P1060"/>
  <c r="T1060"/>
  <c r="U1060"/>
  <c r="V1060"/>
  <c r="W1060"/>
  <c r="Y1060"/>
  <c r="AA1060"/>
  <c r="AB1060"/>
  <c r="AC1060"/>
  <c r="AD1060"/>
  <c r="P1061"/>
  <c r="T1061"/>
  <c r="U1061"/>
  <c r="V1061"/>
  <c r="W1061"/>
  <c r="Y1061"/>
  <c r="AA1061"/>
  <c r="AB1061"/>
  <c r="AC1061"/>
  <c r="AD1061"/>
  <c r="P1062"/>
  <c r="T1062"/>
  <c r="U1062"/>
  <c r="V1062"/>
  <c r="W1062"/>
  <c r="Y1062"/>
  <c r="AA1062"/>
  <c r="AB1062"/>
  <c r="AC1062"/>
  <c r="AD1062"/>
  <c r="P1063"/>
  <c r="T1063"/>
  <c r="U1063"/>
  <c r="V1063"/>
  <c r="W1063"/>
  <c r="Y1063"/>
  <c r="AA1063"/>
  <c r="AB1063"/>
  <c r="AC1063"/>
  <c r="AD1063"/>
  <c r="P1064"/>
  <c r="T1064"/>
  <c r="U1064"/>
  <c r="V1064"/>
  <c r="W1064"/>
  <c r="Y1064"/>
  <c r="AA1064"/>
  <c r="AB1064"/>
  <c r="AC1064"/>
  <c r="AD1064"/>
  <c r="P1065"/>
  <c r="T1065"/>
  <c r="U1065"/>
  <c r="V1065"/>
  <c r="W1065"/>
  <c r="Y1065"/>
  <c r="AA1065"/>
  <c r="AB1065"/>
  <c r="AC1065"/>
  <c r="AD1065"/>
  <c r="P1066"/>
  <c r="T1066"/>
  <c r="U1066"/>
  <c r="V1066"/>
  <c r="W1066"/>
  <c r="Y1066"/>
  <c r="AA1066"/>
  <c r="AB1066"/>
  <c r="AC1066"/>
  <c r="AD1066"/>
  <c r="P1067"/>
  <c r="T1067"/>
  <c r="U1067"/>
  <c r="V1067"/>
  <c r="W1067"/>
  <c r="Y1067"/>
  <c r="AA1067"/>
  <c r="AB1067"/>
  <c r="AC1067"/>
  <c r="AD1067"/>
  <c r="P1068"/>
  <c r="T1068"/>
  <c r="U1068"/>
  <c r="V1068"/>
  <c r="W1068"/>
  <c r="Y1068"/>
  <c r="AA1068"/>
  <c r="AB1068"/>
  <c r="AC1068"/>
  <c r="AD1068"/>
  <c r="P1069"/>
  <c r="T1069"/>
  <c r="U1069"/>
  <c r="V1069"/>
  <c r="W1069"/>
  <c r="Y1069"/>
  <c r="AA1069"/>
  <c r="AB1069"/>
  <c r="AC1069"/>
  <c r="AD1069"/>
  <c r="P1070"/>
  <c r="T1070"/>
  <c r="U1070"/>
  <c r="V1070"/>
  <c r="W1070"/>
  <c r="Y1070"/>
  <c r="AA1070"/>
  <c r="AB1070"/>
  <c r="AC1070"/>
  <c r="AD1070"/>
  <c r="P1071"/>
  <c r="T1071"/>
  <c r="U1071"/>
  <c r="V1071"/>
  <c r="W1071"/>
  <c r="Y1071"/>
  <c r="AA1071"/>
  <c r="AB1071"/>
  <c r="AC1071"/>
  <c r="AD1071"/>
  <c r="P1072"/>
  <c r="T1072"/>
  <c r="U1072"/>
  <c r="V1072"/>
  <c r="W1072"/>
  <c r="Y1072"/>
  <c r="AA1072"/>
  <c r="AB1072"/>
  <c r="AC1072"/>
  <c r="AD1072"/>
  <c r="P1073"/>
  <c r="T1073"/>
  <c r="U1073"/>
  <c r="V1073"/>
  <c r="W1073"/>
  <c r="Y1073"/>
  <c r="AA1073"/>
  <c r="AB1073"/>
  <c r="AC1073"/>
  <c r="AD1073"/>
  <c r="P1074"/>
  <c r="T1074"/>
  <c r="U1074"/>
  <c r="V1074"/>
  <c r="W1074"/>
  <c r="Y1074"/>
  <c r="AA1074"/>
  <c r="AB1074"/>
  <c r="AC1074"/>
  <c r="AD1074"/>
  <c r="P1075"/>
  <c r="T1075"/>
  <c r="U1075"/>
  <c r="V1075"/>
  <c r="W1075"/>
  <c r="Y1075"/>
  <c r="AA1075"/>
  <c r="AB1075"/>
  <c r="AC1075"/>
  <c r="AD1075"/>
  <c r="P1076"/>
  <c r="T1076"/>
  <c r="U1076"/>
  <c r="V1076"/>
  <c r="W1076"/>
  <c r="Y1076"/>
  <c r="AA1076"/>
  <c r="AB1076"/>
  <c r="AC1076"/>
  <c r="AD1076"/>
  <c r="P1077"/>
  <c r="T1077"/>
  <c r="U1077"/>
  <c r="V1077"/>
  <c r="W1077"/>
  <c r="Y1077"/>
  <c r="AA1077"/>
  <c r="AB1077"/>
  <c r="AC1077"/>
  <c r="AD1077"/>
  <c r="P1078"/>
  <c r="T1078"/>
  <c r="U1078"/>
  <c r="V1078"/>
  <c r="W1078"/>
  <c r="Y1078"/>
  <c r="AA1078"/>
  <c r="AB1078"/>
  <c r="AC1078"/>
  <c r="AD1078"/>
  <c r="P1079"/>
  <c r="T1079"/>
  <c r="U1079"/>
  <c r="V1079"/>
  <c r="W1079"/>
  <c r="Y1079"/>
  <c r="AA1079"/>
  <c r="AB1079"/>
  <c r="AC1079"/>
  <c r="AD1079"/>
  <c r="P1080"/>
  <c r="T1080"/>
  <c r="U1080"/>
  <c r="V1080"/>
  <c r="W1080"/>
  <c r="Y1080"/>
  <c r="AA1080"/>
  <c r="AB1080"/>
  <c r="AC1080"/>
  <c r="AD1080"/>
  <c r="P1081"/>
  <c r="T1081"/>
  <c r="U1081"/>
  <c r="V1081"/>
  <c r="W1081"/>
  <c r="Y1081"/>
  <c r="AA1081"/>
  <c r="AB1081"/>
  <c r="AC1081"/>
  <c r="AD1081"/>
  <c r="P1082"/>
  <c r="T1082"/>
  <c r="U1082"/>
  <c r="V1082"/>
  <c r="W1082"/>
  <c r="Y1082"/>
  <c r="AA1082"/>
  <c r="AB1082"/>
  <c r="AC1082"/>
  <c r="AD1082"/>
  <c r="P1083"/>
  <c r="T1083"/>
  <c r="U1083"/>
  <c r="V1083"/>
  <c r="W1083"/>
  <c r="Y1083"/>
  <c r="AA1083"/>
  <c r="AB1083"/>
  <c r="AC1083"/>
  <c r="AD1083"/>
  <c r="P1084"/>
  <c r="T1084"/>
  <c r="U1084"/>
  <c r="V1084"/>
  <c r="W1084"/>
  <c r="Y1084"/>
  <c r="AA1084"/>
  <c r="AB1084"/>
  <c r="AC1084"/>
  <c r="AD1084"/>
  <c r="P1085"/>
  <c r="T1085"/>
  <c r="U1085"/>
  <c r="V1085"/>
  <c r="W1085"/>
  <c r="Y1085"/>
  <c r="AA1085"/>
  <c r="AB1085"/>
  <c r="AC1085"/>
  <c r="AD1085"/>
  <c r="P1086"/>
  <c r="T1086"/>
  <c r="U1086"/>
  <c r="V1086"/>
  <c r="W1086"/>
  <c r="Y1086"/>
  <c r="AA1086"/>
  <c r="AB1086"/>
  <c r="AC1086"/>
  <c r="AD1086"/>
  <c r="P1087"/>
  <c r="T1087"/>
  <c r="U1087"/>
  <c r="V1087"/>
  <c r="W1087"/>
  <c r="Y1087"/>
  <c r="AA1087"/>
  <c r="AB1087"/>
  <c r="AC1087"/>
  <c r="AD1087"/>
  <c r="P1088"/>
  <c r="T1088"/>
  <c r="U1088"/>
  <c r="V1088"/>
  <c r="W1088"/>
  <c r="Y1088"/>
  <c r="AA1088"/>
  <c r="AB1088"/>
  <c r="AC1088"/>
  <c r="AD1088"/>
  <c r="P1089"/>
  <c r="T1089"/>
  <c r="U1089"/>
  <c r="V1089"/>
  <c r="W1089"/>
  <c r="Y1089"/>
  <c r="AA1089"/>
  <c r="AB1089"/>
  <c r="AC1089"/>
  <c r="AD1089"/>
  <c r="P1090"/>
  <c r="T1090"/>
  <c r="U1090"/>
  <c r="V1090"/>
  <c r="W1090"/>
  <c r="Y1090"/>
  <c r="AA1090"/>
  <c r="AB1090"/>
  <c r="AC1090"/>
  <c r="AD1090"/>
  <c r="P1091"/>
  <c r="T1091"/>
  <c r="U1091"/>
  <c r="V1091"/>
  <c r="W1091"/>
  <c r="Y1091"/>
  <c r="AA1091"/>
  <c r="AB1091"/>
  <c r="AC1091"/>
  <c r="AD1091"/>
  <c r="P1092"/>
  <c r="T1092"/>
  <c r="U1092"/>
  <c r="V1092"/>
  <c r="W1092"/>
  <c r="Y1092"/>
  <c r="AA1092"/>
  <c r="AB1092"/>
  <c r="AC1092"/>
  <c r="AD1092"/>
  <c r="P1093"/>
  <c r="T1093"/>
  <c r="U1093"/>
  <c r="V1093"/>
  <c r="W1093"/>
  <c r="Y1093"/>
  <c r="AA1093"/>
  <c r="AB1093"/>
  <c r="AC1093"/>
  <c r="AD1093"/>
  <c r="P1094"/>
  <c r="T1094"/>
  <c r="U1094"/>
  <c r="V1094"/>
  <c r="W1094"/>
  <c r="Y1094"/>
  <c r="AA1094"/>
  <c r="AB1094"/>
  <c r="AC1094"/>
  <c r="AD1094"/>
  <c r="P1095"/>
  <c r="T1095"/>
  <c r="U1095"/>
  <c r="V1095"/>
  <c r="W1095"/>
  <c r="Y1095"/>
  <c r="AA1095"/>
  <c r="AB1095"/>
  <c r="AC1095"/>
  <c r="AD1095"/>
  <c r="P1096"/>
  <c r="T1096"/>
  <c r="U1096"/>
  <c r="V1096"/>
  <c r="W1096"/>
  <c r="Y1096"/>
  <c r="AA1096"/>
  <c r="AB1096"/>
  <c r="AC1096"/>
  <c r="AD1096"/>
  <c r="P1097"/>
  <c r="T1097"/>
  <c r="U1097"/>
  <c r="V1097"/>
  <c r="W1097"/>
  <c r="Y1097"/>
  <c r="AA1097"/>
  <c r="AB1097"/>
  <c r="AC1097"/>
  <c r="AD1097"/>
  <c r="P1098"/>
  <c r="T1098"/>
  <c r="U1098"/>
  <c r="V1098"/>
  <c r="W1098"/>
  <c r="Y1098"/>
  <c r="AA1098"/>
  <c r="AB1098"/>
  <c r="AC1098"/>
  <c r="AD1098"/>
  <c r="P1099"/>
  <c r="T1099"/>
  <c r="U1099"/>
  <c r="V1099"/>
  <c r="W1099"/>
  <c r="Y1099"/>
  <c r="AA1099"/>
  <c r="AB1099"/>
  <c r="AC1099"/>
  <c r="AD1099"/>
  <c r="P1100"/>
  <c r="T1100"/>
  <c r="U1100"/>
  <c r="V1100"/>
  <c r="W1100"/>
  <c r="Y1100"/>
  <c r="AA1100"/>
  <c r="AB1100"/>
  <c r="AC1100"/>
  <c r="AD1100"/>
  <c r="P1101"/>
  <c r="T1101"/>
  <c r="U1101"/>
  <c r="V1101"/>
  <c r="W1101"/>
  <c r="Y1101"/>
  <c r="AA1101"/>
  <c r="AB1101"/>
  <c r="AC1101"/>
  <c r="AD1101"/>
  <c r="P1102"/>
  <c r="T1102"/>
  <c r="U1102"/>
  <c r="V1102"/>
  <c r="W1102"/>
  <c r="Y1102"/>
  <c r="AA1102"/>
  <c r="AB1102"/>
  <c r="AC1102"/>
  <c r="AD1102"/>
  <c r="P1103"/>
  <c r="T1103"/>
  <c r="U1103"/>
  <c r="V1103"/>
  <c r="W1103"/>
  <c r="Y1103"/>
  <c r="AA1103"/>
  <c r="AB1103"/>
  <c r="AC1103"/>
  <c r="AD1103"/>
  <c r="P1104"/>
  <c r="T1104"/>
  <c r="U1104"/>
  <c r="V1104"/>
  <c r="W1104"/>
  <c r="Y1104"/>
  <c r="AA1104"/>
  <c r="AB1104"/>
  <c r="AC1104"/>
  <c r="AD1104"/>
  <c r="P1105"/>
  <c r="T1105"/>
  <c r="U1105"/>
  <c r="V1105"/>
  <c r="W1105"/>
  <c r="Y1105"/>
  <c r="AA1105"/>
  <c r="AB1105"/>
  <c r="AC1105"/>
  <c r="AD1105"/>
  <c r="P1106"/>
  <c r="T1106"/>
  <c r="U1106"/>
  <c r="V1106"/>
  <c r="W1106"/>
  <c r="Y1106"/>
  <c r="AA1106"/>
  <c r="AB1106"/>
  <c r="AC1106"/>
  <c r="AD1106"/>
  <c r="P1107"/>
  <c r="T1107"/>
  <c r="U1107"/>
  <c r="V1107"/>
  <c r="W1107"/>
  <c r="Y1107"/>
  <c r="AA1107"/>
  <c r="AB1107"/>
  <c r="AC1107"/>
  <c r="AD1107"/>
  <c r="P1108"/>
  <c r="T1108"/>
  <c r="U1108"/>
  <c r="V1108"/>
  <c r="W1108"/>
  <c r="Y1108"/>
  <c r="AA1108"/>
  <c r="AB1108"/>
  <c r="AC1108"/>
  <c r="AD1108"/>
  <c r="P1109"/>
  <c r="T1109"/>
  <c r="U1109"/>
  <c r="V1109"/>
  <c r="W1109"/>
  <c r="Y1109"/>
  <c r="AA1109"/>
  <c r="AB1109"/>
  <c r="AC1109"/>
  <c r="AD1109"/>
  <c r="P1110"/>
  <c r="T1110"/>
  <c r="U1110"/>
  <c r="V1110"/>
  <c r="W1110"/>
  <c r="Y1110"/>
  <c r="AA1110"/>
  <c r="AB1110"/>
  <c r="AC1110"/>
  <c r="AD1110"/>
  <c r="P1111"/>
  <c r="T1111"/>
  <c r="U1111"/>
  <c r="V1111"/>
  <c r="W1111"/>
  <c r="Y1111"/>
  <c r="AA1111"/>
  <c r="AB1111"/>
  <c r="AC1111"/>
  <c r="AD1111"/>
  <c r="P1112"/>
  <c r="T1112"/>
  <c r="U1112"/>
  <c r="V1112"/>
  <c r="W1112"/>
  <c r="Y1112"/>
  <c r="AA1112"/>
  <c r="AB1112"/>
  <c r="AC1112"/>
  <c r="AD1112"/>
  <c r="P1113"/>
  <c r="T1113"/>
  <c r="U1113"/>
  <c r="V1113"/>
  <c r="W1113"/>
  <c r="Y1113"/>
  <c r="AA1113"/>
  <c r="AB1113"/>
  <c r="AC1113"/>
  <c r="AD1113"/>
  <c r="P1114"/>
  <c r="T1114"/>
  <c r="U1114"/>
  <c r="V1114"/>
  <c r="W1114"/>
  <c r="Y1114"/>
  <c r="AA1114"/>
  <c r="AB1114"/>
  <c r="AC1114"/>
  <c r="AD1114"/>
  <c r="P1115"/>
  <c r="T1115"/>
  <c r="U1115"/>
  <c r="V1115"/>
  <c r="W1115"/>
  <c r="Y1115"/>
  <c r="AA1115"/>
  <c r="AB1115"/>
  <c r="AC1115"/>
  <c r="AD1115"/>
  <c r="P1116"/>
  <c r="T1116"/>
  <c r="U1116"/>
  <c r="V1116"/>
  <c r="W1116"/>
  <c r="Y1116"/>
  <c r="AA1116"/>
  <c r="AB1116"/>
  <c r="AC1116"/>
  <c r="AD1116"/>
  <c r="P1117"/>
  <c r="T1117"/>
  <c r="U1117"/>
  <c r="V1117"/>
  <c r="W1117"/>
  <c r="Y1117"/>
  <c r="AA1117"/>
  <c r="AB1117"/>
  <c r="AC1117"/>
  <c r="AD1117"/>
  <c r="P1118"/>
  <c r="T1118"/>
  <c r="U1118"/>
  <c r="V1118"/>
  <c r="W1118"/>
  <c r="Y1118"/>
  <c r="AA1118"/>
  <c r="AB1118"/>
  <c r="AC1118"/>
  <c r="AD1118"/>
  <c r="P1119"/>
  <c r="T1119"/>
  <c r="U1119"/>
  <c r="V1119"/>
  <c r="W1119"/>
  <c r="Y1119"/>
  <c r="AA1119"/>
  <c r="AB1119"/>
  <c r="AC1119"/>
  <c r="AD1119"/>
  <c r="P1120"/>
  <c r="T1120"/>
  <c r="U1120"/>
  <c r="V1120"/>
  <c r="W1120"/>
  <c r="Y1120"/>
  <c r="AA1120"/>
  <c r="AB1120"/>
  <c r="AC1120"/>
  <c r="AD1120"/>
  <c r="P1121"/>
  <c r="T1121"/>
  <c r="U1121"/>
  <c r="V1121"/>
  <c r="W1121"/>
  <c r="Y1121"/>
  <c r="AA1121"/>
  <c r="AB1121"/>
  <c r="AC1121"/>
  <c r="AD1121"/>
  <c r="P1122"/>
  <c r="T1122"/>
  <c r="U1122"/>
  <c r="V1122"/>
  <c r="W1122"/>
  <c r="Y1122"/>
  <c r="AA1122"/>
  <c r="AB1122"/>
  <c r="AC1122"/>
  <c r="AD1122"/>
  <c r="P1123"/>
  <c r="T1123"/>
  <c r="U1123"/>
  <c r="V1123"/>
  <c r="W1123"/>
  <c r="Y1123"/>
  <c r="AA1123"/>
  <c r="AB1123"/>
  <c r="AC1123"/>
  <c r="AD1123"/>
  <c r="P1124"/>
  <c r="T1124"/>
  <c r="U1124"/>
  <c r="V1124"/>
  <c r="W1124"/>
  <c r="Y1124"/>
  <c r="AA1124"/>
  <c r="AB1124"/>
  <c r="AC1124"/>
  <c r="AD1124"/>
  <c r="P1125"/>
  <c r="T1125"/>
  <c r="U1125"/>
  <c r="V1125"/>
  <c r="W1125"/>
  <c r="Y1125"/>
  <c r="AA1125"/>
  <c r="AB1125"/>
  <c r="AC1125"/>
  <c r="AD1125"/>
  <c r="P1126"/>
  <c r="T1126"/>
  <c r="U1126"/>
  <c r="V1126"/>
  <c r="W1126"/>
  <c r="Y1126"/>
  <c r="AA1126"/>
  <c r="AB1126"/>
  <c r="AC1126"/>
  <c r="AD1126"/>
  <c r="P1127"/>
  <c r="T1127"/>
  <c r="U1127"/>
  <c r="V1127"/>
  <c r="W1127"/>
  <c r="Y1127"/>
  <c r="AA1127"/>
  <c r="AB1127"/>
  <c r="AC1127"/>
  <c r="AD1127"/>
  <c r="P1128"/>
  <c r="T1128"/>
  <c r="U1128"/>
  <c r="V1128"/>
  <c r="W1128"/>
  <c r="Y1128"/>
  <c r="AA1128"/>
  <c r="AB1128"/>
  <c r="AC1128"/>
  <c r="AD1128"/>
  <c r="P1129"/>
  <c r="T1129"/>
  <c r="U1129"/>
  <c r="V1129"/>
  <c r="W1129"/>
  <c r="Y1129"/>
  <c r="AA1129"/>
  <c r="AB1129"/>
  <c r="AC1129"/>
  <c r="AD1129"/>
  <c r="P1130"/>
  <c r="T1130"/>
  <c r="U1130"/>
  <c r="V1130"/>
  <c r="W1130"/>
  <c r="Y1130"/>
  <c r="AA1130"/>
  <c r="AB1130"/>
  <c r="AC1130"/>
  <c r="AD1130"/>
  <c r="P1131"/>
  <c r="T1131"/>
  <c r="U1131"/>
  <c r="V1131"/>
  <c r="W1131"/>
  <c r="Y1131"/>
  <c r="AA1131"/>
  <c r="AB1131"/>
  <c r="AC1131"/>
  <c r="AD1131"/>
  <c r="P1132"/>
  <c r="T1132"/>
  <c r="U1132"/>
  <c r="V1132"/>
  <c r="W1132"/>
  <c r="Y1132"/>
  <c r="AA1132"/>
  <c r="AB1132"/>
  <c r="AC1132"/>
  <c r="AD1132"/>
  <c r="P1133"/>
  <c r="T1133"/>
  <c r="U1133"/>
  <c r="V1133"/>
  <c r="W1133"/>
  <c r="Y1133"/>
  <c r="AA1133"/>
  <c r="AB1133"/>
  <c r="AC1133"/>
  <c r="AD1133"/>
  <c r="P1134"/>
  <c r="T1134"/>
  <c r="U1134"/>
  <c r="V1134"/>
  <c r="W1134"/>
  <c r="Y1134"/>
  <c r="AA1134"/>
  <c r="AB1134"/>
  <c r="AC1134"/>
  <c r="AD1134"/>
  <c r="P1135"/>
  <c r="T1135"/>
  <c r="U1135"/>
  <c r="V1135"/>
  <c r="W1135"/>
  <c r="Y1135"/>
  <c r="AA1135"/>
  <c r="AB1135"/>
  <c r="AC1135"/>
  <c r="AD1135"/>
  <c r="P1136"/>
  <c r="T1136"/>
  <c r="U1136"/>
  <c r="V1136"/>
  <c r="W1136"/>
  <c r="Y1136"/>
  <c r="AA1136"/>
  <c r="AB1136"/>
  <c r="AC1136"/>
  <c r="AD1136"/>
  <c r="P1137"/>
  <c r="T1137"/>
  <c r="U1137"/>
  <c r="V1137"/>
  <c r="W1137"/>
  <c r="Y1137"/>
  <c r="AA1137"/>
  <c r="AB1137"/>
  <c r="AC1137"/>
  <c r="AD1137"/>
  <c r="P1138"/>
  <c r="T1138"/>
  <c r="U1138"/>
  <c r="V1138"/>
  <c r="W1138"/>
  <c r="Y1138"/>
  <c r="AA1138"/>
  <c r="AB1138"/>
  <c r="AC1138"/>
  <c r="AD1138"/>
  <c r="P1139"/>
  <c r="T1139"/>
  <c r="U1139"/>
  <c r="V1139"/>
  <c r="W1139"/>
  <c r="Y1139"/>
  <c r="AA1139"/>
  <c r="AB1139"/>
  <c r="AC1139"/>
  <c r="AD1139"/>
  <c r="P1140"/>
  <c r="T1140"/>
  <c r="U1140"/>
  <c r="V1140"/>
  <c r="W1140"/>
  <c r="Y1140"/>
  <c r="AA1140"/>
  <c r="AB1140"/>
  <c r="AC1140"/>
  <c r="AD1140"/>
  <c r="P1141"/>
  <c r="T1141"/>
  <c r="U1141"/>
  <c r="V1141"/>
  <c r="W1141"/>
  <c r="Y1141"/>
  <c r="AA1141"/>
  <c r="AB1141"/>
  <c r="AC1141"/>
  <c r="AD1141"/>
  <c r="P1142"/>
  <c r="T1142"/>
  <c r="U1142"/>
  <c r="V1142"/>
  <c r="W1142"/>
  <c r="Y1142"/>
  <c r="AA1142"/>
  <c r="AB1142"/>
  <c r="AC1142"/>
  <c r="AD1142"/>
  <c r="P1143"/>
  <c r="T1143"/>
  <c r="U1143"/>
  <c r="V1143"/>
  <c r="W1143"/>
  <c r="Y1143"/>
  <c r="AA1143"/>
  <c r="AB1143"/>
  <c r="AC1143"/>
  <c r="AD1143"/>
  <c r="P1144"/>
  <c r="T1144"/>
  <c r="U1144"/>
  <c r="V1144"/>
  <c r="W1144"/>
  <c r="Y1144"/>
  <c r="AA1144"/>
  <c r="AB1144"/>
  <c r="AC1144"/>
  <c r="AD1144"/>
  <c r="P1145"/>
  <c r="T1145"/>
  <c r="U1145"/>
  <c r="V1145"/>
  <c r="W1145"/>
  <c r="Y1145"/>
  <c r="AA1145"/>
  <c r="AB1145"/>
  <c r="AC1145"/>
  <c r="AD1145"/>
  <c r="P1146"/>
  <c r="T1146"/>
  <c r="U1146"/>
  <c r="V1146"/>
  <c r="W1146"/>
  <c r="Y1146"/>
  <c r="AA1146"/>
  <c r="AB1146"/>
  <c r="AC1146"/>
  <c r="AD1146"/>
  <c r="P1147"/>
  <c r="T1147"/>
  <c r="U1147"/>
  <c r="V1147"/>
  <c r="W1147"/>
  <c r="Y1147"/>
  <c r="AA1147"/>
  <c r="AB1147"/>
  <c r="AC1147"/>
  <c r="AD1147"/>
  <c r="P1148"/>
  <c r="T1148"/>
  <c r="U1148"/>
  <c r="V1148"/>
  <c r="W1148"/>
  <c r="Y1148"/>
  <c r="AA1148"/>
  <c r="AB1148"/>
  <c r="AC1148"/>
  <c r="AD1148"/>
  <c r="P1149"/>
  <c r="T1149"/>
  <c r="U1149"/>
  <c r="V1149"/>
  <c r="W1149"/>
  <c r="Y1149"/>
  <c r="AA1149"/>
  <c r="AB1149"/>
  <c r="AC1149"/>
  <c r="AD1149"/>
  <c r="P1150"/>
  <c r="T1150"/>
  <c r="U1150"/>
  <c r="V1150"/>
  <c r="W1150"/>
  <c r="Y1150"/>
  <c r="AA1150"/>
  <c r="AB1150"/>
  <c r="AC1150"/>
  <c r="AD1150"/>
  <c r="P1151"/>
  <c r="T1151"/>
  <c r="U1151"/>
  <c r="V1151"/>
  <c r="W1151"/>
  <c r="Y1151"/>
  <c r="AA1151"/>
  <c r="AB1151"/>
  <c r="AC1151"/>
  <c r="AD1151"/>
  <c r="P1152"/>
  <c r="T1152"/>
  <c r="U1152"/>
  <c r="V1152"/>
  <c r="W1152"/>
  <c r="Y1152"/>
  <c r="AA1152"/>
  <c r="AB1152"/>
  <c r="AC1152"/>
  <c r="AD1152"/>
  <c r="P1153"/>
  <c r="T1153"/>
  <c r="U1153"/>
  <c r="V1153"/>
  <c r="W1153"/>
  <c r="Y1153"/>
  <c r="AA1153"/>
  <c r="AB1153"/>
  <c r="AC1153"/>
  <c r="AD1153"/>
  <c r="P1154"/>
  <c r="T1154"/>
  <c r="U1154"/>
  <c r="V1154"/>
  <c r="W1154"/>
  <c r="Y1154"/>
  <c r="AA1154"/>
  <c r="AB1154"/>
  <c r="AC1154"/>
  <c r="AD1154"/>
  <c r="P1155"/>
  <c r="T1155"/>
  <c r="U1155"/>
  <c r="V1155"/>
  <c r="W1155"/>
  <c r="Y1155"/>
  <c r="AA1155"/>
  <c r="AB1155"/>
  <c r="AC1155"/>
  <c r="AD1155"/>
  <c r="P1156"/>
  <c r="T1156"/>
  <c r="U1156"/>
  <c r="V1156"/>
  <c r="W1156"/>
  <c r="Y1156"/>
  <c r="AA1156"/>
  <c r="AB1156"/>
  <c r="AC1156"/>
  <c r="AD1156"/>
  <c r="P1157"/>
  <c r="T1157"/>
  <c r="U1157"/>
  <c r="V1157"/>
  <c r="W1157"/>
  <c r="Y1157"/>
  <c r="AA1157"/>
  <c r="AB1157"/>
  <c r="AC1157"/>
  <c r="AD1157"/>
  <c r="P1158"/>
  <c r="T1158"/>
  <c r="U1158"/>
  <c r="V1158"/>
  <c r="W1158"/>
  <c r="Y1158"/>
  <c r="AA1158"/>
  <c r="AB1158"/>
  <c r="AC1158"/>
  <c r="AD1158"/>
  <c r="P1159"/>
  <c r="T1159"/>
  <c r="U1159"/>
  <c r="V1159"/>
  <c r="W1159"/>
  <c r="Y1159"/>
  <c r="AA1159"/>
  <c r="AB1159"/>
  <c r="AC1159"/>
  <c r="AD1159"/>
  <c r="P1160"/>
  <c r="T1160"/>
  <c r="U1160"/>
  <c r="V1160"/>
  <c r="W1160"/>
  <c r="Y1160"/>
  <c r="AA1160"/>
  <c r="AB1160"/>
  <c r="AC1160"/>
  <c r="AD1160"/>
  <c r="P1161"/>
  <c r="T1161"/>
  <c r="U1161"/>
  <c r="V1161"/>
  <c r="W1161"/>
  <c r="Y1161"/>
  <c r="AA1161"/>
  <c r="AB1161"/>
  <c r="AC1161"/>
  <c r="AD1161"/>
  <c r="P1162"/>
  <c r="T1162"/>
  <c r="U1162"/>
  <c r="V1162"/>
  <c r="W1162"/>
  <c r="Y1162"/>
  <c r="AA1162"/>
  <c r="AB1162"/>
  <c r="AC1162"/>
  <c r="AD1162"/>
  <c r="P1163"/>
  <c r="T1163"/>
  <c r="U1163"/>
  <c r="V1163"/>
  <c r="W1163"/>
  <c r="Y1163"/>
  <c r="AA1163"/>
  <c r="AB1163"/>
  <c r="AC1163"/>
  <c r="AD1163"/>
  <c r="P1164"/>
  <c r="T1164"/>
  <c r="U1164"/>
  <c r="V1164"/>
  <c r="W1164"/>
  <c r="Y1164"/>
  <c r="AA1164"/>
  <c r="AB1164"/>
  <c r="AC1164"/>
  <c r="AD1164"/>
  <c r="P1165"/>
  <c r="T1165"/>
  <c r="U1165"/>
  <c r="V1165"/>
  <c r="W1165"/>
  <c r="Y1165"/>
  <c r="AA1165"/>
  <c r="AB1165"/>
  <c r="AC1165"/>
  <c r="AD1165"/>
  <c r="P1166"/>
  <c r="T1166"/>
  <c r="U1166"/>
  <c r="V1166"/>
  <c r="W1166"/>
  <c r="Y1166"/>
  <c r="AA1166"/>
  <c r="AB1166"/>
  <c r="AC1166"/>
  <c r="AD1166"/>
  <c r="P1167"/>
  <c r="T1167"/>
  <c r="U1167"/>
  <c r="V1167"/>
  <c r="W1167"/>
  <c r="Y1167"/>
  <c r="AA1167"/>
  <c r="AB1167"/>
  <c r="AC1167"/>
  <c r="AD1167"/>
  <c r="P1168"/>
  <c r="T1168"/>
  <c r="U1168"/>
  <c r="V1168"/>
  <c r="W1168"/>
  <c r="Y1168"/>
  <c r="AA1168"/>
  <c r="AB1168"/>
  <c r="AC1168"/>
  <c r="AD1168"/>
  <c r="P1169"/>
  <c r="T1169"/>
  <c r="U1169"/>
  <c r="V1169"/>
  <c r="W1169"/>
  <c r="Y1169"/>
  <c r="AA1169"/>
  <c r="AB1169"/>
  <c r="AC1169"/>
  <c r="AD1169"/>
  <c r="P1170"/>
  <c r="T1170"/>
  <c r="U1170"/>
  <c r="V1170"/>
  <c r="W1170"/>
  <c r="Y1170"/>
  <c r="AA1170"/>
  <c r="AB1170"/>
  <c r="AC1170"/>
  <c r="AD1170"/>
  <c r="P1171"/>
  <c r="T1171"/>
  <c r="U1171"/>
  <c r="V1171"/>
  <c r="W1171"/>
  <c r="Y1171"/>
  <c r="AA1171"/>
  <c r="AB1171"/>
  <c r="AC1171"/>
  <c r="AD1171"/>
  <c r="P1172"/>
  <c r="T1172"/>
  <c r="U1172"/>
  <c r="V1172"/>
  <c r="W1172"/>
  <c r="Y1172"/>
  <c r="AA1172"/>
  <c r="AB1172"/>
  <c r="AC1172"/>
  <c r="AD1172"/>
  <c r="P1173"/>
  <c r="T1173"/>
  <c r="U1173"/>
  <c r="V1173"/>
  <c r="W1173"/>
  <c r="Y1173"/>
  <c r="AA1173"/>
  <c r="AB1173"/>
  <c r="AC1173"/>
  <c r="AD1173"/>
  <c r="P1174"/>
  <c r="T1174"/>
  <c r="U1174"/>
  <c r="V1174"/>
  <c r="W1174"/>
  <c r="Y1174"/>
  <c r="AA1174"/>
  <c r="AB1174"/>
  <c r="AC1174"/>
  <c r="AD1174"/>
  <c r="P1175"/>
  <c r="T1175"/>
  <c r="U1175"/>
  <c r="V1175"/>
  <c r="W1175"/>
  <c r="Y1175"/>
  <c r="AA1175"/>
  <c r="AB1175"/>
  <c r="AC1175"/>
  <c r="AD1175"/>
  <c r="P1176"/>
  <c r="T1176"/>
  <c r="U1176"/>
  <c r="V1176"/>
  <c r="W1176"/>
  <c r="Y1176"/>
  <c r="AA1176"/>
  <c r="AB1176"/>
  <c r="AC1176"/>
  <c r="AD1176"/>
  <c r="P1177"/>
  <c r="T1177"/>
  <c r="U1177"/>
  <c r="V1177"/>
  <c r="W1177"/>
  <c r="Y1177"/>
  <c r="AA1177"/>
  <c r="AB1177"/>
  <c r="AC1177"/>
  <c r="AD1177"/>
  <c r="P1178"/>
  <c r="T1178"/>
  <c r="U1178"/>
  <c r="V1178"/>
  <c r="W1178"/>
  <c r="Y1178"/>
  <c r="AA1178"/>
  <c r="AB1178"/>
  <c r="AC1178"/>
  <c r="AD1178"/>
  <c r="P1179"/>
  <c r="T1179"/>
  <c r="U1179"/>
  <c r="V1179"/>
  <c r="W1179"/>
  <c r="Y1179"/>
  <c r="AA1179"/>
  <c r="AB1179"/>
  <c r="AC1179"/>
  <c r="AD1179"/>
  <c r="P1180"/>
  <c r="T1180"/>
  <c r="U1180"/>
  <c r="V1180"/>
  <c r="W1180"/>
  <c r="Y1180"/>
  <c r="AA1180"/>
  <c r="AB1180"/>
  <c r="AC1180"/>
  <c r="AD1180"/>
  <c r="P1181"/>
  <c r="T1181"/>
  <c r="U1181"/>
  <c r="V1181"/>
  <c r="W1181"/>
  <c r="Y1181"/>
  <c r="AA1181"/>
  <c r="AB1181"/>
  <c r="AC1181"/>
  <c r="AD1181"/>
  <c r="P1182"/>
  <c r="T1182"/>
  <c r="U1182"/>
  <c r="V1182"/>
  <c r="W1182"/>
  <c r="Y1182"/>
  <c r="AA1182"/>
  <c r="AB1182"/>
  <c r="AC1182"/>
  <c r="AD1182"/>
  <c r="P1183"/>
  <c r="T1183"/>
  <c r="U1183"/>
  <c r="V1183"/>
  <c r="W1183"/>
  <c r="Y1183"/>
  <c r="AA1183"/>
  <c r="AB1183"/>
  <c r="AC1183"/>
  <c r="AD1183"/>
  <c r="P1184"/>
  <c r="T1184"/>
  <c r="U1184"/>
  <c r="V1184"/>
  <c r="W1184"/>
  <c r="Y1184"/>
  <c r="AA1184"/>
  <c r="AB1184"/>
  <c r="AC1184"/>
  <c r="AD1184"/>
  <c r="P1185"/>
  <c r="T1185"/>
  <c r="U1185"/>
  <c r="V1185"/>
  <c r="W1185"/>
  <c r="Y1185"/>
  <c r="AA1185"/>
  <c r="AB1185"/>
  <c r="AC1185"/>
  <c r="AD1185"/>
  <c r="P1186"/>
  <c r="T1186"/>
  <c r="U1186"/>
  <c r="V1186"/>
  <c r="W1186"/>
  <c r="Y1186"/>
  <c r="AA1186"/>
  <c r="AB1186"/>
  <c r="AC1186"/>
  <c r="AD1186"/>
  <c r="P1187"/>
  <c r="T1187"/>
  <c r="U1187"/>
  <c r="V1187"/>
  <c r="W1187"/>
  <c r="Y1187"/>
  <c r="AA1187"/>
  <c r="AB1187"/>
  <c r="AC1187"/>
  <c r="AD1187"/>
  <c r="P1188"/>
  <c r="T1188"/>
  <c r="U1188"/>
  <c r="V1188"/>
  <c r="W1188"/>
  <c r="Y1188"/>
  <c r="AA1188"/>
  <c r="AB1188"/>
  <c r="AC1188"/>
  <c r="AD1188"/>
  <c r="P1189"/>
  <c r="T1189"/>
  <c r="U1189"/>
  <c r="V1189"/>
  <c r="W1189"/>
  <c r="Y1189"/>
  <c r="AA1189"/>
  <c r="AB1189"/>
  <c r="AC1189"/>
  <c r="AD1189"/>
  <c r="P1190"/>
  <c r="T1190"/>
  <c r="U1190"/>
  <c r="V1190"/>
  <c r="W1190"/>
  <c r="Y1190"/>
  <c r="AA1190"/>
  <c r="AB1190"/>
  <c r="AC1190"/>
  <c r="AD1190"/>
  <c r="P1191"/>
  <c r="T1191"/>
  <c r="U1191"/>
  <c r="V1191"/>
  <c r="W1191"/>
  <c r="Y1191"/>
  <c r="AA1191"/>
  <c r="AB1191"/>
  <c r="AC1191"/>
  <c r="AD1191"/>
  <c r="P1192"/>
  <c r="T1192"/>
  <c r="U1192"/>
  <c r="V1192"/>
  <c r="W1192"/>
  <c r="Y1192"/>
  <c r="AA1192"/>
  <c r="AB1192"/>
  <c r="AC1192"/>
  <c r="AD1192"/>
  <c r="P1193"/>
  <c r="T1193"/>
  <c r="U1193"/>
  <c r="V1193"/>
  <c r="W1193"/>
  <c r="Y1193"/>
  <c r="AA1193"/>
  <c r="AB1193"/>
  <c r="AC1193"/>
  <c r="AD1193"/>
  <c r="P1194"/>
  <c r="T1194"/>
  <c r="U1194"/>
  <c r="V1194"/>
  <c r="W1194"/>
  <c r="Y1194"/>
  <c r="AA1194"/>
  <c r="AB1194"/>
  <c r="AC1194"/>
  <c r="AD1194"/>
  <c r="P1195"/>
  <c r="T1195"/>
  <c r="U1195"/>
  <c r="V1195"/>
  <c r="W1195"/>
  <c r="Y1195"/>
  <c r="AA1195"/>
  <c r="AB1195"/>
  <c r="AC1195"/>
  <c r="AD1195"/>
  <c r="P1196"/>
  <c r="T1196"/>
  <c r="U1196"/>
  <c r="V1196"/>
  <c r="W1196"/>
  <c r="Y1196"/>
  <c r="AA1196"/>
  <c r="AB1196"/>
  <c r="AC1196"/>
  <c r="AD1196"/>
  <c r="P1197"/>
  <c r="T1197"/>
  <c r="U1197"/>
  <c r="V1197"/>
  <c r="W1197"/>
  <c r="Y1197"/>
  <c r="AA1197"/>
  <c r="AB1197"/>
  <c r="AC1197"/>
  <c r="AD1197"/>
  <c r="P1198"/>
  <c r="T1198"/>
  <c r="U1198"/>
  <c r="V1198"/>
  <c r="W1198"/>
  <c r="Y1198"/>
  <c r="AA1198"/>
  <c r="AB1198"/>
  <c r="AC1198"/>
  <c r="AD1198"/>
  <c r="P1199"/>
  <c r="T1199"/>
  <c r="U1199"/>
  <c r="V1199"/>
  <c r="W1199"/>
  <c r="Y1199"/>
  <c r="AA1199"/>
  <c r="AB1199"/>
  <c r="AC1199"/>
  <c r="AD1199"/>
  <c r="P1200"/>
  <c r="T1200"/>
  <c r="U1200"/>
  <c r="V1200"/>
  <c r="W1200"/>
  <c r="Y1200"/>
  <c r="AA1200"/>
  <c r="AB1200"/>
  <c r="AC1200"/>
  <c r="AD1200"/>
  <c r="P1201"/>
  <c r="T1201"/>
  <c r="U1201"/>
  <c r="V1201"/>
  <c r="W1201"/>
  <c r="Y1201"/>
  <c r="AA1201"/>
  <c r="AB1201"/>
  <c r="AC1201"/>
  <c r="AD1201"/>
  <c r="P1202"/>
  <c r="T1202"/>
  <c r="U1202"/>
  <c r="V1202"/>
  <c r="W1202"/>
  <c r="Y1202"/>
  <c r="AA1202"/>
  <c r="AB1202"/>
  <c r="AC1202"/>
  <c r="AD1202"/>
  <c r="P1203"/>
  <c r="T1203"/>
  <c r="U1203"/>
  <c r="V1203"/>
  <c r="W1203"/>
  <c r="Y1203"/>
  <c r="AA1203"/>
  <c r="AB1203"/>
  <c r="AC1203"/>
  <c r="AD1203"/>
  <c r="P1204"/>
  <c r="T1204"/>
  <c r="U1204"/>
  <c r="V1204"/>
  <c r="W1204"/>
  <c r="Y1204"/>
  <c r="AA1204"/>
  <c r="AB1204"/>
  <c r="AC1204"/>
  <c r="AD1204"/>
  <c r="P1205"/>
  <c r="T1205"/>
  <c r="U1205"/>
  <c r="V1205"/>
  <c r="W1205"/>
  <c r="Y1205"/>
  <c r="AA1205"/>
  <c r="AB1205"/>
  <c r="AC1205"/>
  <c r="AD1205"/>
  <c r="P1206"/>
  <c r="T1206"/>
  <c r="U1206"/>
  <c r="V1206"/>
  <c r="W1206"/>
  <c r="Y1206"/>
  <c r="AA1206"/>
  <c r="AB1206"/>
  <c r="AC1206"/>
  <c r="AD1206"/>
  <c r="P1207"/>
  <c r="T1207"/>
  <c r="U1207"/>
  <c r="V1207"/>
  <c r="W1207"/>
  <c r="Y1207"/>
  <c r="AA1207"/>
  <c r="AB1207"/>
  <c r="AC1207"/>
  <c r="AD1207"/>
  <c r="P1208"/>
  <c r="T1208"/>
  <c r="U1208"/>
  <c r="V1208"/>
  <c r="W1208"/>
  <c r="Y1208"/>
  <c r="AA1208"/>
  <c r="AB1208"/>
  <c r="AC1208"/>
  <c r="AD1208"/>
  <c r="P1209"/>
  <c r="T1209"/>
  <c r="U1209"/>
  <c r="V1209"/>
  <c r="W1209"/>
  <c r="Y1209"/>
  <c r="AA1209"/>
  <c r="AB1209"/>
  <c r="AC1209"/>
  <c r="AD1209"/>
  <c r="P1210"/>
  <c r="T1210"/>
  <c r="U1210"/>
  <c r="V1210"/>
  <c r="W1210"/>
  <c r="Y1210"/>
  <c r="AA1210"/>
  <c r="AB1210"/>
  <c r="AC1210"/>
  <c r="AD1210"/>
  <c r="P1211"/>
  <c r="T1211"/>
  <c r="U1211"/>
  <c r="V1211"/>
  <c r="W1211"/>
  <c r="Y1211"/>
  <c r="AA1211"/>
  <c r="AB1211"/>
  <c r="AC1211"/>
  <c r="AD1211"/>
  <c r="P1212"/>
  <c r="T1212"/>
  <c r="U1212"/>
  <c r="V1212"/>
  <c r="W1212"/>
  <c r="Y1212"/>
  <c r="AA1212"/>
  <c r="AB1212"/>
  <c r="AC1212"/>
  <c r="AD1212"/>
  <c r="P1213"/>
  <c r="T1213"/>
  <c r="U1213"/>
  <c r="V1213"/>
  <c r="W1213"/>
  <c r="Y1213"/>
  <c r="AA1213"/>
  <c r="AB1213"/>
  <c r="AC1213"/>
  <c r="AD1213"/>
  <c r="P1214"/>
  <c r="T1214"/>
  <c r="U1214"/>
  <c r="V1214"/>
  <c r="W1214"/>
  <c r="Y1214"/>
  <c r="AA1214"/>
  <c r="AB1214"/>
  <c r="AC1214"/>
  <c r="AD1214"/>
  <c r="P1215"/>
  <c r="T1215"/>
  <c r="U1215"/>
  <c r="V1215"/>
  <c r="W1215"/>
  <c r="Y1215"/>
  <c r="AA1215"/>
  <c r="AB1215"/>
  <c r="AC1215"/>
  <c r="AD1215"/>
  <c r="P1216"/>
  <c r="T1216"/>
  <c r="U1216"/>
  <c r="V1216"/>
  <c r="W1216"/>
  <c r="Y1216"/>
  <c r="AA1216"/>
  <c r="AB1216"/>
  <c r="AC1216"/>
  <c r="AD1216"/>
  <c r="P1217"/>
  <c r="T1217"/>
  <c r="U1217"/>
  <c r="V1217"/>
  <c r="W1217"/>
  <c r="Y1217"/>
  <c r="AA1217"/>
  <c r="AB1217"/>
  <c r="AC1217"/>
  <c r="AD1217"/>
  <c r="P1218"/>
  <c r="T1218"/>
  <c r="U1218"/>
  <c r="V1218"/>
  <c r="W1218"/>
  <c r="Y1218"/>
  <c r="AA1218"/>
  <c r="AB1218"/>
  <c r="AC1218"/>
  <c r="AD1218"/>
  <c r="P1219"/>
  <c r="T1219"/>
  <c r="U1219"/>
  <c r="V1219"/>
  <c r="W1219"/>
  <c r="Y1219"/>
  <c r="AA1219"/>
  <c r="AB1219"/>
  <c r="AC1219"/>
  <c r="AD1219"/>
  <c r="P1220"/>
  <c r="T1220"/>
  <c r="U1220"/>
  <c r="V1220"/>
  <c r="W1220"/>
  <c r="Y1220"/>
  <c r="AA1220"/>
  <c r="AB1220"/>
  <c r="AC1220"/>
  <c r="AD1220"/>
  <c r="P1221"/>
  <c r="T1221"/>
  <c r="U1221"/>
  <c r="V1221"/>
  <c r="W1221"/>
  <c r="Y1221"/>
  <c r="AA1221"/>
  <c r="AB1221"/>
  <c r="AC1221"/>
  <c r="AD1221"/>
  <c r="P1222"/>
  <c r="T1222"/>
  <c r="U1222"/>
  <c r="V1222"/>
  <c r="W1222"/>
  <c r="Y1222"/>
  <c r="AA1222"/>
  <c r="AB1222"/>
  <c r="AC1222"/>
  <c r="AD1222"/>
  <c r="P1223"/>
  <c r="T1223"/>
  <c r="U1223"/>
  <c r="V1223"/>
  <c r="W1223"/>
  <c r="Y1223"/>
  <c r="AA1223"/>
  <c r="AB1223"/>
  <c r="AC1223"/>
  <c r="AD1223"/>
  <c r="P1224"/>
  <c r="T1224"/>
  <c r="U1224"/>
  <c r="V1224"/>
  <c r="W1224"/>
  <c r="Y1224"/>
  <c r="AA1224"/>
  <c r="AB1224"/>
  <c r="AC1224"/>
  <c r="AD1224"/>
  <c r="P1225"/>
  <c r="T1225"/>
  <c r="U1225"/>
  <c r="V1225"/>
  <c r="W1225"/>
  <c r="Y1225"/>
  <c r="AA1225"/>
  <c r="AB1225"/>
  <c r="AC1225"/>
  <c r="AD1225"/>
  <c r="P1226"/>
  <c r="T1226"/>
  <c r="U1226"/>
  <c r="V1226"/>
  <c r="W1226"/>
  <c r="Y1226"/>
  <c r="AA1226"/>
  <c r="AB1226"/>
  <c r="AC1226"/>
  <c r="AD1226"/>
  <c r="P1227"/>
  <c r="T1227"/>
  <c r="U1227"/>
  <c r="V1227"/>
  <c r="W1227"/>
  <c r="Y1227"/>
  <c r="AA1227"/>
  <c r="AB1227"/>
  <c r="AC1227"/>
  <c r="AD1227"/>
  <c r="P1228"/>
  <c r="T1228"/>
  <c r="U1228"/>
  <c r="V1228"/>
  <c r="W1228"/>
  <c r="Y1228"/>
  <c r="AA1228"/>
  <c r="AB1228"/>
  <c r="AC1228"/>
  <c r="AD1228"/>
  <c r="P1229"/>
  <c r="T1229"/>
  <c r="U1229"/>
  <c r="V1229"/>
  <c r="W1229"/>
  <c r="Y1229"/>
  <c r="AA1229"/>
  <c r="AB1229"/>
  <c r="AC1229"/>
  <c r="AD1229"/>
  <c r="P1230"/>
  <c r="T1230"/>
  <c r="U1230"/>
  <c r="V1230"/>
  <c r="W1230"/>
  <c r="Y1230"/>
  <c r="AA1230"/>
  <c r="AB1230"/>
  <c r="AC1230"/>
  <c r="AD1230"/>
  <c r="P1231"/>
  <c r="T1231"/>
  <c r="U1231"/>
  <c r="V1231"/>
  <c r="W1231"/>
  <c r="Y1231"/>
  <c r="AA1231"/>
  <c r="AB1231"/>
  <c r="AC1231"/>
  <c r="AD1231"/>
  <c r="P1232"/>
  <c r="T1232"/>
  <c r="U1232"/>
  <c r="V1232"/>
  <c r="W1232"/>
  <c r="Y1232"/>
  <c r="AA1232"/>
  <c r="AB1232"/>
  <c r="AC1232"/>
  <c r="AD1232"/>
  <c r="P1233"/>
  <c r="T1233"/>
  <c r="U1233"/>
  <c r="V1233"/>
  <c r="W1233"/>
  <c r="Y1233"/>
  <c r="AA1233"/>
  <c r="AB1233"/>
  <c r="AC1233"/>
  <c r="AD1233"/>
  <c r="P1234"/>
  <c r="T1234"/>
  <c r="U1234"/>
  <c r="V1234"/>
  <c r="W1234"/>
  <c r="Y1234"/>
  <c r="AA1234"/>
  <c r="AB1234"/>
  <c r="AC1234"/>
  <c r="AD1234"/>
  <c r="P1235"/>
  <c r="T1235"/>
  <c r="U1235"/>
  <c r="V1235"/>
  <c r="W1235"/>
  <c r="Y1235"/>
  <c r="AA1235"/>
  <c r="AB1235"/>
  <c r="AC1235"/>
  <c r="AD1235"/>
  <c r="P1236"/>
  <c r="T1236"/>
  <c r="U1236"/>
  <c r="V1236"/>
  <c r="W1236"/>
  <c r="Y1236"/>
  <c r="AA1236"/>
  <c r="AB1236"/>
  <c r="AC1236"/>
  <c r="AD1236"/>
  <c r="P1237"/>
  <c r="T1237"/>
  <c r="U1237"/>
  <c r="V1237"/>
  <c r="W1237"/>
  <c r="Y1237"/>
  <c r="AA1237"/>
  <c r="AB1237"/>
  <c r="AC1237"/>
  <c r="AD1237"/>
  <c r="P1238"/>
  <c r="T1238"/>
  <c r="U1238"/>
  <c r="V1238"/>
  <c r="W1238"/>
  <c r="Y1238"/>
  <c r="AA1238"/>
  <c r="AB1238"/>
  <c r="AC1238"/>
  <c r="AD1238"/>
  <c r="P1239"/>
  <c r="T1239"/>
  <c r="U1239"/>
  <c r="V1239"/>
  <c r="W1239"/>
  <c r="Y1239"/>
  <c r="AA1239"/>
  <c r="AB1239"/>
  <c r="AC1239"/>
  <c r="AD1239"/>
  <c r="P1240"/>
  <c r="T1240"/>
  <c r="U1240"/>
  <c r="V1240"/>
  <c r="W1240"/>
  <c r="Y1240"/>
  <c r="AA1240"/>
  <c r="AB1240"/>
  <c r="AC1240"/>
  <c r="AD1240"/>
  <c r="P1241"/>
  <c r="T1241"/>
  <c r="U1241"/>
  <c r="V1241"/>
  <c r="W1241"/>
  <c r="Y1241"/>
  <c r="AA1241"/>
  <c r="AB1241"/>
  <c r="AC1241"/>
  <c r="AD1241"/>
  <c r="P1242"/>
  <c r="T1242"/>
  <c r="U1242"/>
  <c r="V1242"/>
  <c r="W1242"/>
  <c r="Y1242"/>
  <c r="AA1242"/>
  <c r="AB1242"/>
  <c r="AC1242"/>
  <c r="AD1242"/>
  <c r="P1243"/>
  <c r="T1243"/>
  <c r="U1243"/>
  <c r="V1243"/>
  <c r="W1243"/>
  <c r="Y1243"/>
  <c r="AA1243"/>
  <c r="AB1243"/>
  <c r="AC1243"/>
  <c r="AD1243"/>
  <c r="P1244"/>
  <c r="T1244"/>
  <c r="U1244"/>
  <c r="V1244"/>
  <c r="W1244"/>
  <c r="Y1244"/>
  <c r="AA1244"/>
  <c r="AB1244"/>
  <c r="AC1244"/>
  <c r="AD1244"/>
  <c r="P1245"/>
  <c r="T1245"/>
  <c r="U1245"/>
  <c r="V1245"/>
  <c r="W1245"/>
  <c r="Y1245"/>
  <c r="AA1245"/>
  <c r="AB1245"/>
  <c r="AC1245"/>
  <c r="AD1245"/>
  <c r="P1246"/>
  <c r="T1246"/>
  <c r="U1246"/>
  <c r="V1246"/>
  <c r="W1246"/>
  <c r="Y1246"/>
  <c r="AA1246"/>
  <c r="AB1246"/>
  <c r="AC1246"/>
  <c r="AD1246"/>
  <c r="P1247"/>
  <c r="T1247"/>
  <c r="U1247"/>
  <c r="V1247"/>
  <c r="W1247"/>
  <c r="Y1247"/>
  <c r="AA1247"/>
  <c r="AB1247"/>
  <c r="AC1247"/>
  <c r="AD1247"/>
  <c r="P1248"/>
  <c r="T1248"/>
  <c r="U1248"/>
  <c r="V1248"/>
  <c r="W1248"/>
  <c r="Y1248"/>
  <c r="AA1248"/>
  <c r="AB1248"/>
  <c r="AC1248"/>
  <c r="AD1248"/>
  <c r="P1249"/>
  <c r="T1249"/>
  <c r="U1249"/>
  <c r="V1249"/>
  <c r="W1249"/>
  <c r="Y1249"/>
  <c r="AA1249"/>
  <c r="AB1249"/>
  <c r="AC1249"/>
  <c r="AD1249"/>
  <c r="P1250"/>
  <c r="T1250"/>
  <c r="U1250"/>
  <c r="V1250"/>
  <c r="W1250"/>
  <c r="Y1250"/>
  <c r="AA1250"/>
  <c r="AB1250"/>
  <c r="AC1250"/>
  <c r="AD1250"/>
  <c r="P1251"/>
  <c r="T1251"/>
  <c r="U1251"/>
  <c r="V1251"/>
  <c r="W1251"/>
  <c r="Y1251"/>
  <c r="AA1251"/>
  <c r="AB1251"/>
  <c r="AC1251"/>
  <c r="AD1251"/>
  <c r="P1252"/>
  <c r="T1252"/>
  <c r="U1252"/>
  <c r="V1252"/>
  <c r="W1252"/>
  <c r="Y1252"/>
  <c r="AA1252"/>
  <c r="AB1252"/>
  <c r="AC1252"/>
  <c r="AD1252"/>
  <c r="P1253"/>
  <c r="T1253"/>
  <c r="U1253"/>
  <c r="V1253"/>
  <c r="W1253"/>
  <c r="Y1253"/>
  <c r="AA1253"/>
  <c r="AB1253"/>
  <c r="AC1253"/>
  <c r="AD1253"/>
  <c r="P1254"/>
  <c r="T1254"/>
  <c r="U1254"/>
  <c r="V1254"/>
  <c r="W1254"/>
  <c r="Y1254"/>
  <c r="AA1254"/>
  <c r="AB1254"/>
  <c r="AC1254"/>
  <c r="AD1254"/>
  <c r="P1255"/>
  <c r="T1255"/>
  <c r="U1255"/>
  <c r="V1255"/>
  <c r="W1255"/>
  <c r="Y1255"/>
  <c r="AA1255"/>
  <c r="AB1255"/>
  <c r="AC1255"/>
  <c r="AD1255"/>
  <c r="P1256"/>
  <c r="T1256"/>
  <c r="U1256"/>
  <c r="V1256"/>
  <c r="W1256"/>
  <c r="Y1256"/>
  <c r="AA1256"/>
  <c r="AB1256"/>
  <c r="AC1256"/>
  <c r="AD1256"/>
  <c r="P1257"/>
  <c r="T1257"/>
  <c r="U1257"/>
  <c r="V1257"/>
  <c r="W1257"/>
  <c r="Y1257"/>
  <c r="AA1257"/>
  <c r="AB1257"/>
  <c r="AC1257"/>
  <c r="AD1257"/>
  <c r="P1258"/>
  <c r="T1258"/>
  <c r="U1258"/>
  <c r="V1258"/>
  <c r="W1258"/>
  <c r="Y1258"/>
  <c r="AA1258"/>
  <c r="AB1258"/>
  <c r="AC1258"/>
  <c r="AD1258"/>
  <c r="P1259"/>
  <c r="T1259"/>
  <c r="U1259"/>
  <c r="V1259"/>
  <c r="W1259"/>
  <c r="Y1259"/>
  <c r="AA1259"/>
  <c r="AB1259"/>
  <c r="AC1259"/>
  <c r="AD1259"/>
  <c r="P1260"/>
  <c r="T1260"/>
  <c r="U1260"/>
  <c r="V1260"/>
  <c r="W1260"/>
  <c r="Y1260"/>
  <c r="AA1260"/>
  <c r="AB1260"/>
  <c r="AC1260"/>
  <c r="AD1260"/>
  <c r="P1261"/>
  <c r="T1261"/>
  <c r="U1261"/>
  <c r="V1261"/>
  <c r="W1261"/>
  <c r="Y1261"/>
  <c r="AA1261"/>
  <c r="AB1261"/>
  <c r="AC1261"/>
  <c r="AD1261"/>
  <c r="P1262"/>
  <c r="T1262"/>
  <c r="U1262"/>
  <c r="V1262"/>
  <c r="W1262"/>
  <c r="Y1262"/>
  <c r="AA1262"/>
  <c r="AB1262"/>
  <c r="AC1262"/>
  <c r="AD1262"/>
  <c r="P1263"/>
  <c r="T1263"/>
  <c r="U1263"/>
  <c r="V1263"/>
  <c r="W1263"/>
  <c r="Y1263"/>
  <c r="AA1263"/>
  <c r="AB1263"/>
  <c r="AC1263"/>
  <c r="AD1263"/>
  <c r="P1264"/>
  <c r="T1264"/>
  <c r="U1264"/>
  <c r="V1264"/>
  <c r="W1264"/>
  <c r="Y1264"/>
  <c r="AA1264"/>
  <c r="AB1264"/>
  <c r="AC1264"/>
  <c r="AD1264"/>
  <c r="P1265"/>
  <c r="T1265"/>
  <c r="U1265"/>
  <c r="V1265"/>
  <c r="W1265"/>
  <c r="Y1265"/>
  <c r="AA1265"/>
  <c r="AB1265"/>
  <c r="AC1265"/>
  <c r="AD1265"/>
  <c r="P1266"/>
  <c r="T1266"/>
  <c r="U1266"/>
  <c r="V1266"/>
  <c r="W1266"/>
  <c r="Y1266"/>
  <c r="AA1266"/>
  <c r="AB1266"/>
  <c r="AC1266"/>
  <c r="AD1266"/>
  <c r="P1267"/>
  <c r="T1267"/>
  <c r="U1267"/>
  <c r="V1267"/>
  <c r="W1267"/>
  <c r="Y1267"/>
  <c r="AA1267"/>
  <c r="AB1267"/>
  <c r="AC1267"/>
  <c r="AD1267"/>
  <c r="P1268"/>
  <c r="T1268"/>
  <c r="U1268"/>
  <c r="V1268"/>
  <c r="W1268"/>
  <c r="Y1268"/>
  <c r="AA1268"/>
  <c r="AB1268"/>
  <c r="AC1268"/>
  <c r="AD1268"/>
  <c r="P1269"/>
  <c r="T1269"/>
  <c r="U1269"/>
  <c r="V1269"/>
  <c r="W1269"/>
  <c r="Y1269"/>
  <c r="AA1269"/>
  <c r="AB1269"/>
  <c r="AC1269"/>
  <c r="AD1269"/>
  <c r="P1270"/>
  <c r="T1270"/>
  <c r="U1270"/>
  <c r="V1270"/>
  <c r="W1270"/>
  <c r="Y1270"/>
  <c r="AA1270"/>
  <c r="AB1270"/>
  <c r="AC1270"/>
  <c r="AD1270"/>
  <c r="P1271"/>
  <c r="T1271"/>
  <c r="U1271"/>
  <c r="V1271"/>
  <c r="W1271"/>
  <c r="Y1271"/>
  <c r="AA1271"/>
  <c r="AB1271"/>
  <c r="AC1271"/>
  <c r="AD1271"/>
  <c r="P1272"/>
  <c r="T1272"/>
  <c r="U1272"/>
  <c r="V1272"/>
  <c r="W1272"/>
  <c r="Y1272"/>
  <c r="AA1272"/>
  <c r="AB1272"/>
  <c r="AC1272"/>
  <c r="AD1272"/>
  <c r="P1273"/>
  <c r="T1273"/>
  <c r="U1273"/>
  <c r="V1273"/>
  <c r="W1273"/>
  <c r="Y1273"/>
  <c r="AA1273"/>
  <c r="AB1273"/>
  <c r="AC1273"/>
  <c r="AD1273"/>
  <c r="P1274"/>
  <c r="T1274"/>
  <c r="U1274"/>
  <c r="V1274"/>
  <c r="W1274"/>
  <c r="Y1274"/>
  <c r="AA1274"/>
  <c r="AB1274"/>
  <c r="AC1274"/>
  <c r="AD1274"/>
  <c r="P1275"/>
  <c r="T1275"/>
  <c r="U1275"/>
  <c r="V1275"/>
  <c r="W1275"/>
  <c r="Y1275"/>
  <c r="AA1275"/>
  <c r="AB1275"/>
  <c r="AC1275"/>
  <c r="AD1275"/>
  <c r="P1276"/>
  <c r="T1276"/>
  <c r="U1276"/>
  <c r="V1276"/>
  <c r="W1276"/>
  <c r="Y1276"/>
  <c r="AA1276"/>
  <c r="AB1276"/>
  <c r="AC1276"/>
  <c r="AD1276"/>
  <c r="P1277"/>
  <c r="T1277"/>
  <c r="U1277"/>
  <c r="V1277"/>
  <c r="W1277"/>
  <c r="Y1277"/>
  <c r="AA1277"/>
  <c r="AB1277"/>
  <c r="AC1277"/>
  <c r="AD1277"/>
  <c r="P1278"/>
  <c r="T1278"/>
  <c r="U1278"/>
  <c r="V1278"/>
  <c r="W1278"/>
  <c r="Y1278"/>
  <c r="AA1278"/>
  <c r="AB1278"/>
  <c r="AC1278"/>
  <c r="AD1278"/>
  <c r="P1279"/>
  <c r="T1279"/>
  <c r="U1279"/>
  <c r="V1279"/>
  <c r="W1279"/>
  <c r="Y1279"/>
  <c r="AA1279"/>
  <c r="AB1279"/>
  <c r="AC1279"/>
  <c r="AD1279"/>
  <c r="P1280"/>
  <c r="T1280"/>
  <c r="U1280"/>
  <c r="V1280"/>
  <c r="W1280"/>
  <c r="Y1280"/>
  <c r="AA1280"/>
  <c r="AB1280"/>
  <c r="AC1280"/>
  <c r="AD1280"/>
  <c r="P1281"/>
  <c r="T1281"/>
  <c r="U1281"/>
  <c r="V1281"/>
  <c r="W1281"/>
  <c r="Y1281"/>
  <c r="AA1281"/>
  <c r="AB1281"/>
  <c r="AC1281"/>
  <c r="AD1281"/>
  <c r="P1282"/>
  <c r="T1282"/>
  <c r="U1282"/>
  <c r="V1282"/>
  <c r="W1282"/>
  <c r="Y1282"/>
  <c r="AA1282"/>
  <c r="AB1282"/>
  <c r="AC1282"/>
  <c r="AD1282"/>
  <c r="P1283"/>
  <c r="T1283"/>
  <c r="U1283"/>
  <c r="V1283"/>
  <c r="W1283"/>
  <c r="Y1283"/>
  <c r="AA1283"/>
  <c r="AB1283"/>
  <c r="AC1283"/>
  <c r="AD1283"/>
  <c r="P1284"/>
  <c r="T1284"/>
  <c r="U1284"/>
  <c r="V1284"/>
  <c r="W1284"/>
  <c r="Y1284"/>
  <c r="AA1284"/>
  <c r="AB1284"/>
  <c r="AC1284"/>
  <c r="AD1284"/>
  <c r="P1285"/>
  <c r="T1285"/>
  <c r="U1285"/>
  <c r="V1285"/>
  <c r="W1285"/>
  <c r="Y1285"/>
  <c r="AA1285"/>
  <c r="AB1285"/>
  <c r="AC1285"/>
  <c r="AD1285"/>
  <c r="P1286"/>
  <c r="T1286"/>
  <c r="U1286"/>
  <c r="V1286"/>
  <c r="W1286"/>
  <c r="Y1286"/>
  <c r="AA1286"/>
  <c r="AB1286"/>
  <c r="AC1286"/>
  <c r="AD1286"/>
  <c r="P1287"/>
  <c r="T1287"/>
  <c r="U1287"/>
  <c r="V1287"/>
  <c r="W1287"/>
  <c r="Y1287"/>
  <c r="AA1287"/>
  <c r="AB1287"/>
  <c r="AC1287"/>
  <c r="AD1287"/>
  <c r="P1288"/>
  <c r="T1288"/>
  <c r="U1288"/>
  <c r="V1288"/>
  <c r="W1288"/>
  <c r="Y1288"/>
  <c r="AA1288"/>
  <c r="AB1288"/>
  <c r="AC1288"/>
  <c r="AD1288"/>
  <c r="P1289"/>
  <c r="T1289"/>
  <c r="U1289"/>
  <c r="V1289"/>
  <c r="W1289"/>
  <c r="Y1289"/>
  <c r="AA1289"/>
  <c r="AB1289"/>
  <c r="AC1289"/>
  <c r="AD1289"/>
  <c r="P1290"/>
  <c r="T1290"/>
  <c r="U1290"/>
  <c r="V1290"/>
  <c r="W1290"/>
  <c r="Y1290"/>
  <c r="AA1290"/>
  <c r="AB1290"/>
  <c r="AC1290"/>
  <c r="AD1290"/>
  <c r="P1291"/>
  <c r="T1291"/>
  <c r="U1291"/>
  <c r="V1291"/>
  <c r="W1291"/>
  <c r="Y1291"/>
  <c r="AA1291"/>
  <c r="AB1291"/>
  <c r="AC1291"/>
  <c r="AD1291"/>
  <c r="P1292"/>
  <c r="T1292"/>
  <c r="U1292"/>
  <c r="V1292"/>
  <c r="W1292"/>
  <c r="Y1292"/>
  <c r="AA1292"/>
  <c r="AB1292"/>
  <c r="AC1292"/>
  <c r="AD1292"/>
  <c r="P1293"/>
  <c r="T1293"/>
  <c r="U1293"/>
  <c r="V1293"/>
  <c r="W1293"/>
  <c r="Y1293"/>
  <c r="AA1293"/>
  <c r="AB1293"/>
  <c r="AC1293"/>
  <c r="AD1293"/>
  <c r="P1294"/>
  <c r="T1294"/>
  <c r="U1294"/>
  <c r="V1294"/>
  <c r="W1294"/>
  <c r="Y1294"/>
  <c r="AA1294"/>
  <c r="AB1294"/>
  <c r="AC1294"/>
  <c r="AD1294"/>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T1305"/>
  <c r="U1305"/>
  <c r="V1305"/>
  <c r="W1305"/>
  <c r="Y1305"/>
  <c r="AA1305"/>
  <c r="AB1305"/>
  <c r="AC1305"/>
  <c r="AD1305"/>
  <c r="P1306"/>
  <c r="T1306"/>
  <c r="U1306"/>
  <c r="V1306"/>
  <c r="W1306"/>
  <c r="Y1306"/>
  <c r="AA1306"/>
  <c r="AB1306"/>
  <c r="AC1306"/>
  <c r="AD1306"/>
  <c r="P1307"/>
  <c r="T1307"/>
  <c r="U1307"/>
  <c r="V1307"/>
  <c r="W1307"/>
  <c r="Y1307"/>
  <c r="AA1307"/>
  <c r="AB1307"/>
  <c r="AC1307"/>
  <c r="AD1307"/>
  <c r="P1308"/>
  <c r="T1308"/>
  <c r="U1308"/>
  <c r="V1308"/>
  <c r="W1308"/>
  <c r="Y1308"/>
  <c r="AA1308"/>
  <c r="AB1308"/>
  <c r="AC1308"/>
  <c r="AD1308"/>
  <c r="P1309"/>
  <c r="T1309"/>
  <c r="U1309"/>
  <c r="V1309"/>
  <c r="W1309"/>
  <c r="Y1309"/>
  <c r="AA1309"/>
  <c r="AB1309"/>
  <c r="AC1309"/>
  <c r="AD1309"/>
  <c r="P1310"/>
  <c r="T1310"/>
  <c r="U1310"/>
  <c r="V1310"/>
  <c r="W1310"/>
  <c r="Y1310"/>
  <c r="AA1310"/>
  <c r="AB1310"/>
  <c r="AC1310"/>
  <c r="AD1310"/>
  <c r="P1311"/>
  <c r="T1311"/>
  <c r="U1311"/>
  <c r="V1311"/>
  <c r="W1311"/>
  <c r="Y1311"/>
  <c r="AA1311"/>
  <c r="AB1311"/>
  <c r="AC1311"/>
  <c r="AD1311"/>
  <c r="P1312"/>
  <c r="T1312"/>
  <c r="U1312"/>
  <c r="V1312"/>
  <c r="W1312"/>
  <c r="Y1312"/>
  <c r="AA1312"/>
  <c r="AB1312"/>
  <c r="AC1312"/>
  <c r="AD1312"/>
  <c r="P1313"/>
  <c r="T1313"/>
  <c r="U1313"/>
  <c r="V1313"/>
  <c r="W1313"/>
  <c r="Y1313"/>
  <c r="AA1313"/>
  <c r="AB1313"/>
  <c r="AC1313"/>
  <c r="AD1313"/>
  <c r="P1314"/>
  <c r="T1314"/>
  <c r="U1314"/>
  <c r="V1314"/>
  <c r="W1314"/>
  <c r="Y1314"/>
  <c r="AA1314"/>
  <c r="AB1314"/>
  <c r="AC1314"/>
  <c r="AD1314"/>
  <c r="P1315"/>
  <c r="T1315"/>
  <c r="U1315"/>
  <c r="V1315"/>
  <c r="W1315"/>
  <c r="Y1315"/>
  <c r="AA1315"/>
  <c r="AB1315"/>
  <c r="AC1315"/>
  <c r="AD1315"/>
  <c r="P1316"/>
  <c r="T1316"/>
  <c r="U1316"/>
  <c r="V1316"/>
  <c r="W1316"/>
  <c r="Y1316"/>
  <c r="AA1316"/>
  <c r="AB1316"/>
  <c r="AC1316"/>
  <c r="AD1316"/>
  <c r="P1317"/>
  <c r="T1317"/>
  <c r="U1317"/>
  <c r="V1317"/>
  <c r="W1317"/>
  <c r="Y1317"/>
  <c r="AA1317"/>
  <c r="AB1317"/>
  <c r="AC1317"/>
  <c r="AD1317"/>
  <c r="P1318"/>
  <c r="T1318"/>
  <c r="U1318"/>
  <c r="V1318"/>
  <c r="W1318"/>
  <c r="Y1318"/>
  <c r="AA1318"/>
  <c r="AB1318"/>
  <c r="AC1318"/>
  <c r="AD1318"/>
  <c r="P1319"/>
  <c r="T1319"/>
  <c r="U1319"/>
  <c r="V1319"/>
  <c r="W1319"/>
  <c r="Y1319"/>
  <c r="AA1319"/>
  <c r="AB1319"/>
  <c r="AC1319"/>
  <c r="AD1319"/>
  <c r="P1320"/>
  <c r="T1320"/>
  <c r="U1320"/>
  <c r="V1320"/>
  <c r="W1320"/>
  <c r="Y1320"/>
  <c r="AA1320"/>
  <c r="AB1320"/>
  <c r="AC1320"/>
  <c r="AD1320"/>
  <c r="P1321"/>
  <c r="T1321"/>
  <c r="U1321"/>
  <c r="V1321"/>
  <c r="W1321"/>
  <c r="Y1321"/>
  <c r="AA1321"/>
  <c r="AB1321"/>
  <c r="AC1321"/>
  <c r="AD1321"/>
  <c r="P1322"/>
  <c r="T1322"/>
  <c r="U1322"/>
  <c r="V1322"/>
  <c r="W1322"/>
  <c r="Y1322"/>
  <c r="AA1322"/>
  <c r="AB1322"/>
  <c r="AC1322"/>
  <c r="AD1322"/>
  <c r="P1323"/>
  <c r="T1323"/>
  <c r="U1323"/>
  <c r="V1323"/>
  <c r="W1323"/>
  <c r="Y1323"/>
  <c r="AA1323"/>
  <c r="AB1323"/>
  <c r="AC1323"/>
  <c r="AD1323"/>
  <c r="P1324"/>
  <c r="T1324"/>
  <c r="U1324"/>
  <c r="V1324"/>
  <c r="W1324"/>
  <c r="Y1324"/>
  <c r="AA1324"/>
  <c r="AB1324"/>
  <c r="AC1324"/>
  <c r="AD1324"/>
  <c r="P1325"/>
  <c r="T1325"/>
  <c r="U1325"/>
  <c r="V1325"/>
  <c r="W1325"/>
  <c r="Y1325"/>
  <c r="AA1325"/>
  <c r="AB1325"/>
  <c r="AC1325"/>
  <c r="AD1325"/>
  <c r="P1326"/>
  <c r="T1326"/>
  <c r="U1326"/>
  <c r="V1326"/>
  <c r="W1326"/>
  <c r="Y1326"/>
  <c r="AA1326"/>
  <c r="AB1326"/>
  <c r="AC1326"/>
  <c r="AD1326"/>
  <c r="P1327"/>
  <c r="T1327"/>
  <c r="U1327"/>
  <c r="V1327"/>
  <c r="W1327"/>
  <c r="Y1327"/>
  <c r="AA1327"/>
  <c r="AB1327"/>
  <c r="AC1327"/>
  <c r="AD1327"/>
  <c r="P1328"/>
  <c r="T1328"/>
  <c r="U1328"/>
  <c r="V1328"/>
  <c r="W1328"/>
  <c r="Y1328"/>
  <c r="AA1328"/>
  <c r="AB1328"/>
  <c r="AC1328"/>
  <c r="AD1328"/>
  <c r="P1329"/>
  <c r="T1329"/>
  <c r="U1329"/>
  <c r="V1329"/>
  <c r="W1329"/>
  <c r="Y1329"/>
  <c r="AA1329"/>
  <c r="AB1329"/>
  <c r="AC1329"/>
  <c r="AD1329"/>
  <c r="P1330"/>
  <c r="T1330"/>
  <c r="U1330"/>
  <c r="V1330"/>
  <c r="W1330"/>
  <c r="Y1330"/>
  <c r="AA1330"/>
  <c r="AB1330"/>
  <c r="AC1330"/>
  <c r="AD1330"/>
  <c r="P1331"/>
  <c r="T1331"/>
  <c r="U1331"/>
  <c r="V1331"/>
  <c r="W1331"/>
  <c r="Y1331"/>
  <c r="AA1331"/>
  <c r="AB1331"/>
  <c r="AC1331"/>
  <c r="AD1331"/>
  <c r="P1332"/>
  <c r="T1332"/>
  <c r="U1332"/>
  <c r="V1332"/>
  <c r="W1332"/>
  <c r="Y1332"/>
  <c r="AA1332"/>
  <c r="AB1332"/>
  <c r="AC1332"/>
  <c r="AD1332"/>
  <c r="P1333"/>
  <c r="T1333"/>
  <c r="U1333"/>
  <c r="V1333"/>
  <c r="W1333"/>
  <c r="Y1333"/>
  <c r="AA1333"/>
  <c r="AB1333"/>
  <c r="AC1333"/>
  <c r="AD1333"/>
  <c r="P1334"/>
  <c r="T1334"/>
  <c r="U1334"/>
  <c r="V1334"/>
  <c r="W1334"/>
  <c r="Y1334"/>
  <c r="AA1334"/>
  <c r="AB1334"/>
  <c r="AC1334"/>
  <c r="AD1334"/>
  <c r="P1335"/>
  <c r="T1335"/>
  <c r="U1335"/>
  <c r="V1335"/>
  <c r="W1335"/>
  <c r="Y1335"/>
  <c r="AA1335"/>
  <c r="AB1335"/>
  <c r="AC1335"/>
  <c r="AD1335"/>
  <c r="P1336"/>
  <c r="T1336"/>
  <c r="U1336"/>
  <c r="V1336"/>
  <c r="W1336"/>
  <c r="Y1336"/>
  <c r="AA1336"/>
  <c r="AB1336"/>
  <c r="AC1336"/>
  <c r="AD1336"/>
  <c r="P1337"/>
  <c r="T1337"/>
  <c r="U1337"/>
  <c r="V1337"/>
  <c r="W1337"/>
  <c r="Y1337"/>
  <c r="AA1337"/>
  <c r="AB1337"/>
  <c r="AC1337"/>
  <c r="AD1337"/>
  <c r="P1338"/>
  <c r="T1338"/>
  <c r="U1338"/>
  <c r="V1338"/>
  <c r="W1338"/>
  <c r="Y1338"/>
  <c r="AA1338"/>
  <c r="AB1338"/>
  <c r="AC1338"/>
  <c r="AD1338"/>
  <c r="P1339"/>
  <c r="T1339"/>
  <c r="U1339"/>
  <c r="V1339"/>
  <c r="W1339"/>
  <c r="Y1339"/>
  <c r="AA1339"/>
  <c r="AB1339"/>
  <c r="AC1339"/>
  <c r="AD1339"/>
  <c r="P1340"/>
  <c r="T1340"/>
  <c r="U1340"/>
  <c r="V1340"/>
  <c r="W1340"/>
  <c r="Y1340"/>
  <c r="AA1340"/>
  <c r="AB1340"/>
  <c r="AC1340"/>
  <c r="AD1340"/>
  <c r="P1341"/>
  <c r="T1341"/>
  <c r="U1341"/>
  <c r="V1341"/>
  <c r="W1341"/>
  <c r="Y1341"/>
  <c r="AA1341"/>
  <c r="AB1341"/>
  <c r="AC1341"/>
  <c r="AD1341"/>
  <c r="P1342"/>
  <c r="T1342"/>
  <c r="U1342"/>
  <c r="V1342"/>
  <c r="W1342"/>
  <c r="Y1342"/>
  <c r="AA1342"/>
  <c r="AB1342"/>
  <c r="AC1342"/>
  <c r="AD1342"/>
  <c r="P1343"/>
  <c r="T1343"/>
  <c r="U1343"/>
  <c r="V1343"/>
  <c r="W1343"/>
  <c r="Y1343"/>
  <c r="AA1343"/>
  <c r="AB1343"/>
  <c r="AC1343"/>
  <c r="AD1343"/>
  <c r="P1344"/>
  <c r="T1344"/>
  <c r="U1344"/>
  <c r="V1344"/>
  <c r="W1344"/>
  <c r="Y1344"/>
  <c r="AA1344"/>
  <c r="AB1344"/>
  <c r="AC1344"/>
  <c r="AD1344"/>
  <c r="P1345"/>
  <c r="T1345"/>
  <c r="U1345"/>
  <c r="V1345"/>
  <c r="W1345"/>
  <c r="Y1345"/>
  <c r="AA1345"/>
  <c r="AB1345"/>
  <c r="AC1345"/>
  <c r="AD1345"/>
  <c r="P1346"/>
  <c r="T1346"/>
  <c r="U1346"/>
  <c r="V1346"/>
  <c r="W1346"/>
  <c r="Y1346"/>
  <c r="AA1346"/>
  <c r="AB1346"/>
  <c r="AC1346"/>
  <c r="AD1346"/>
  <c r="P1347"/>
  <c r="T1347"/>
  <c r="U1347"/>
  <c r="V1347"/>
  <c r="W1347"/>
  <c r="Y1347"/>
  <c r="AA1347"/>
  <c r="AB1347"/>
  <c r="AC1347"/>
  <c r="AD1347"/>
  <c r="P1348"/>
  <c r="T1348"/>
  <c r="U1348"/>
  <c r="V1348"/>
  <c r="W1348"/>
  <c r="Y1348"/>
  <c r="AA1348"/>
  <c r="AB1348"/>
  <c r="AC1348"/>
  <c r="AD1348"/>
  <c r="P1349"/>
  <c r="T1349"/>
  <c r="U1349"/>
  <c r="V1349"/>
  <c r="W1349"/>
  <c r="Y1349"/>
  <c r="AA1349"/>
  <c r="AB1349"/>
  <c r="AC1349"/>
  <c r="AD1349"/>
  <c r="P1350"/>
  <c r="T1350"/>
  <c r="U1350"/>
  <c r="V1350"/>
  <c r="W1350"/>
  <c r="Y1350"/>
  <c r="AA1350"/>
  <c r="AB1350"/>
  <c r="AC1350"/>
  <c r="AD1350"/>
  <c r="P1351"/>
  <c r="T1351"/>
  <c r="U1351"/>
  <c r="V1351"/>
  <c r="W1351"/>
  <c r="Y1351"/>
  <c r="AA1351"/>
  <c r="AB1351"/>
  <c r="AC1351"/>
  <c r="AD1351"/>
  <c r="P1352"/>
  <c r="T1352"/>
  <c r="U1352"/>
  <c r="V1352"/>
  <c r="W1352"/>
  <c r="Y1352"/>
  <c r="AA1352"/>
  <c r="AB1352"/>
  <c r="AC1352"/>
  <c r="AD1352"/>
  <c r="P1353"/>
  <c r="T1353"/>
  <c r="U1353"/>
  <c r="V1353"/>
  <c r="W1353"/>
  <c r="Y1353"/>
  <c r="AA1353"/>
  <c r="AB1353"/>
  <c r="AC1353"/>
  <c r="AD1353"/>
  <c r="P1354"/>
  <c r="T1354"/>
  <c r="U1354"/>
  <c r="V1354"/>
  <c r="W1354"/>
  <c r="Y1354"/>
  <c r="AA1354"/>
  <c r="AB1354"/>
  <c r="AC1354"/>
  <c r="AD1354"/>
  <c r="P1355"/>
  <c r="T1355"/>
  <c r="U1355"/>
  <c r="V1355"/>
  <c r="W1355"/>
  <c r="Y1355"/>
  <c r="AA1355"/>
  <c r="AB1355"/>
  <c r="AC1355"/>
  <c r="AD1355"/>
  <c r="P1356"/>
  <c r="T1356"/>
  <c r="U1356"/>
  <c r="V1356"/>
  <c r="W1356"/>
  <c r="Y1356"/>
  <c r="AA1356"/>
  <c r="AB1356"/>
  <c r="AC1356"/>
  <c r="AD1356"/>
  <c r="P1357"/>
  <c r="T1357"/>
  <c r="U1357"/>
  <c r="V1357"/>
  <c r="W1357"/>
  <c r="Y1357"/>
  <c r="AA1357"/>
  <c r="AB1357"/>
  <c r="AC1357"/>
  <c r="AD1357"/>
  <c r="P1358"/>
  <c r="T1358"/>
  <c r="U1358"/>
  <c r="V1358"/>
  <c r="W1358"/>
  <c r="Y1358"/>
  <c r="AA1358"/>
  <c r="AB1358"/>
  <c r="AC1358"/>
  <c r="AD1358"/>
  <c r="P1359"/>
  <c r="T1359"/>
  <c r="U1359"/>
  <c r="V1359"/>
  <c r="W1359"/>
  <c r="Y1359"/>
  <c r="AA1359"/>
  <c r="AB1359"/>
  <c r="AC1359"/>
  <c r="AD1359"/>
  <c r="P1360"/>
  <c r="T1360"/>
  <c r="U1360"/>
  <c r="V1360"/>
  <c r="W1360"/>
  <c r="Y1360"/>
  <c r="AA1360"/>
  <c r="AB1360"/>
  <c r="AC1360"/>
  <c r="AD1360"/>
  <c r="P1361"/>
  <c r="T1361"/>
  <c r="U1361"/>
  <c r="V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T1379"/>
  <c r="U1379"/>
  <c r="V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A1398"/>
  <c r="AB1398"/>
  <c r="AC1398"/>
  <c r="AD1398"/>
  <c r="P1399"/>
  <c r="T1399"/>
  <c r="U1399"/>
  <c r="V1399"/>
  <c r="W1399"/>
  <c r="Y1399"/>
  <c r="AA1399"/>
  <c r="AB1399"/>
  <c r="AC1399"/>
  <c r="AD1399"/>
  <c r="P1400"/>
  <c r="T1400"/>
  <c r="U1400"/>
  <c r="V1400"/>
  <c r="W1400"/>
  <c r="Y1400"/>
  <c r="AA1400"/>
  <c r="AB1400"/>
  <c r="AC1400"/>
  <c r="AD1400"/>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T1418"/>
  <c r="U1418"/>
  <c r="V1418"/>
  <c r="W1418"/>
  <c r="Y1418"/>
  <c r="AA1418"/>
  <c r="AB1418"/>
  <c r="AC1418"/>
  <c r="AD1418"/>
  <c r="P1419"/>
  <c r="T1419"/>
  <c r="U1419"/>
  <c r="V1419"/>
  <c r="W1419"/>
  <c r="Y1419"/>
  <c r="AA1419"/>
  <c r="AB1419"/>
  <c r="AC1419"/>
  <c r="AD1419"/>
  <c r="P1420"/>
  <c r="T1420"/>
  <c r="U1420"/>
  <c r="V1420"/>
  <c r="W1420"/>
  <c r="Y1420"/>
  <c r="AA1420"/>
  <c r="AB1420"/>
  <c r="AC1420"/>
  <c r="AD1420"/>
  <c r="P1421"/>
  <c r="T1421"/>
  <c r="U1421"/>
  <c r="V1421"/>
  <c r="W1421"/>
  <c r="Y1421"/>
  <c r="AA1421"/>
  <c r="AB1421"/>
  <c r="AC1421"/>
  <c r="AD1421"/>
  <c r="P1422"/>
  <c r="T1422"/>
  <c r="U1422"/>
  <c r="V1422"/>
  <c r="W1422"/>
  <c r="Y1422"/>
  <c r="AA1422"/>
  <c r="AB1422"/>
  <c r="AC1422"/>
  <c r="AD1422"/>
  <c r="P1423"/>
  <c r="T1423"/>
  <c r="U1423"/>
  <c r="V1423"/>
  <c r="W1423"/>
  <c r="Y1423"/>
  <c r="AA1423"/>
  <c r="AB1423"/>
  <c r="AC1423"/>
  <c r="AD1423"/>
  <c r="P1424"/>
  <c r="T1424"/>
  <c r="U1424"/>
  <c r="V1424"/>
  <c r="W1424"/>
  <c r="Y1424"/>
  <c r="AA1424"/>
  <c r="AB1424"/>
  <c r="AC1424"/>
  <c r="AD1424"/>
  <c r="P1425"/>
  <c r="T1425"/>
  <c r="U1425"/>
  <c r="V1425"/>
  <c r="W1425"/>
  <c r="Y1425"/>
  <c r="AA1425"/>
  <c r="AB1425"/>
  <c r="AC1425"/>
  <c r="AD1425"/>
  <c r="P1426"/>
  <c r="T1426"/>
  <c r="U1426"/>
  <c r="V1426"/>
  <c r="W1426"/>
  <c r="Y1426"/>
  <c r="AA1426"/>
  <c r="AB1426"/>
  <c r="AC1426"/>
  <c r="AD1426"/>
  <c r="P1427"/>
  <c r="T1427"/>
  <c r="U1427"/>
  <c r="V1427"/>
  <c r="W1427"/>
  <c r="Y1427"/>
  <c r="AA1427"/>
  <c r="AB1427"/>
  <c r="AC1427"/>
  <c r="AD1427"/>
  <c r="P1428"/>
  <c r="T1428"/>
  <c r="U1428"/>
  <c r="V1428"/>
  <c r="W1428"/>
  <c r="Y1428"/>
  <c r="AA1428"/>
  <c r="AB1428"/>
  <c r="AC1428"/>
  <c r="AD1428"/>
  <c r="P1429"/>
  <c r="T1429"/>
  <c r="U1429"/>
  <c r="V1429"/>
  <c r="W1429"/>
  <c r="Y1429"/>
  <c r="AA1429"/>
  <c r="AB1429"/>
  <c r="AC1429"/>
  <c r="AD1429"/>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33"/>
  <c r="T1433"/>
  <c r="U1433"/>
  <c r="V1433"/>
  <c r="W1433"/>
  <c r="Y1433"/>
  <c r="AA1433"/>
  <c r="AB1433"/>
  <c r="AC1433"/>
  <c r="AD1433"/>
  <c r="P1434"/>
  <c r="T1434"/>
  <c r="U1434"/>
  <c r="V1434"/>
  <c r="W1434"/>
  <c r="Y1434"/>
  <c r="AA1434"/>
  <c r="AB1434"/>
  <c r="AC1434"/>
  <c r="AD1434"/>
  <c r="P1435"/>
  <c r="T1435"/>
  <c r="U1435"/>
  <c r="V1435"/>
  <c r="W1435"/>
  <c r="Y1435"/>
  <c r="AA1435"/>
  <c r="AB1435"/>
  <c r="AC1435"/>
  <c r="AD1435"/>
  <c r="P1436"/>
  <c r="T1436"/>
  <c r="U1436"/>
  <c r="V1436"/>
  <c r="W1436"/>
  <c r="Y1436"/>
  <c r="AA1436"/>
  <c r="AB1436"/>
  <c r="AC1436"/>
  <c r="AD1436"/>
  <c r="P1437"/>
  <c r="T1437"/>
  <c r="U1437"/>
  <c r="V1437"/>
  <c r="W1437"/>
  <c r="Y1437"/>
  <c r="AA1437"/>
  <c r="AB1437"/>
  <c r="AC1437"/>
  <c r="AD1437"/>
  <c r="P1438"/>
  <c r="T1438"/>
  <c r="U1438"/>
  <c r="V1438"/>
  <c r="W1438"/>
  <c r="Y1438"/>
  <c r="AA1438"/>
  <c r="AB1438"/>
  <c r="AC1438"/>
  <c r="AD1438"/>
  <c r="P1439"/>
  <c r="T1439"/>
  <c r="U1439"/>
  <c r="V1439"/>
  <c r="W1439"/>
  <c r="Y1439"/>
  <c r="AA1439"/>
  <c r="AB1439"/>
  <c r="AC1439"/>
  <c r="AD1439"/>
  <c r="P1440"/>
  <c r="T1440"/>
  <c r="U1440"/>
  <c r="V1440"/>
  <c r="W1440"/>
  <c r="Y1440"/>
  <c r="AA1440"/>
  <c r="AB1440"/>
  <c r="AC1440"/>
  <c r="AD1440"/>
  <c r="P1441"/>
  <c r="T1441"/>
  <c r="U1441"/>
  <c r="V1441"/>
  <c r="W1441"/>
  <c r="Y1441"/>
  <c r="AA1441"/>
  <c r="AB1441"/>
  <c r="AC1441"/>
  <c r="AD1441"/>
  <c r="P1442"/>
  <c r="T1442"/>
  <c r="U1442"/>
  <c r="V1442"/>
  <c r="W1442"/>
  <c r="Y1442"/>
  <c r="AA1442"/>
  <c r="AB1442"/>
  <c r="AC1442"/>
  <c r="AD1442"/>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46"/>
  <c r="T1446"/>
  <c r="U1446"/>
  <c r="V1446"/>
  <c r="W1446"/>
  <c r="Y1446"/>
  <c r="AA1446"/>
  <c r="AB1446"/>
  <c r="AC1446"/>
  <c r="AD1446"/>
  <c r="P1447"/>
  <c r="T1447"/>
  <c r="U1447"/>
  <c r="V1447"/>
  <c r="W1447"/>
  <c r="Y1447"/>
  <c r="AA1447"/>
  <c r="AB1447"/>
  <c r="AC1447"/>
  <c r="AD1447"/>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51"/>
  <c r="T1451"/>
  <c r="U1451"/>
  <c r="V1451"/>
  <c r="W1451"/>
  <c r="Y1451"/>
  <c r="AA1451"/>
  <c r="AB1451"/>
  <c r="AC1451"/>
  <c r="AD1451"/>
  <c r="P1452"/>
  <c r="T1452"/>
  <c r="U1452"/>
  <c r="V1452"/>
  <c r="W1452"/>
  <c r="Y1452"/>
  <c r="AA1452"/>
  <c r="AB1452"/>
  <c r="AC1452"/>
  <c r="AD1452"/>
  <c r="P1453"/>
  <c r="T1453"/>
  <c r="U1453"/>
  <c r="V1453"/>
  <c r="W1453"/>
  <c r="Y1453"/>
  <c r="AA1453"/>
  <c r="AB1453"/>
  <c r="AC1453"/>
  <c r="AD1453"/>
  <c r="P1454"/>
  <c r="T1454"/>
  <c r="U1454"/>
  <c r="V1454"/>
  <c r="W1454"/>
  <c r="Y1454"/>
  <c r="AA1454"/>
  <c r="AB1454"/>
  <c r="AC1454"/>
  <c r="AD1454"/>
  <c r="P1455"/>
  <c r="T1455"/>
  <c r="U1455"/>
  <c r="V1455"/>
  <c r="W1455"/>
  <c r="Y1455"/>
  <c r="AA1455"/>
  <c r="AB1455"/>
  <c r="AC1455"/>
  <c r="AD1455"/>
  <c r="P1456"/>
  <c r="T1456"/>
  <c r="U1456"/>
  <c r="V1456"/>
  <c r="W1456"/>
  <c r="Y1456"/>
  <c r="AA1456"/>
  <c r="AB1456"/>
  <c r="AC1456"/>
  <c r="AD1456"/>
  <c r="P1457"/>
  <c r="T1457"/>
  <c r="U1457"/>
  <c r="V1457"/>
  <c r="W1457"/>
  <c r="Y1457"/>
  <c r="AA1457"/>
  <c r="AB1457"/>
  <c r="AC1457"/>
  <c r="AD1457"/>
  <c r="P1458"/>
  <c r="T1458"/>
  <c r="U1458"/>
  <c r="V1458"/>
  <c r="W1458"/>
  <c r="Y1458"/>
  <c r="AA1458"/>
  <c r="AB1458"/>
  <c r="AC1458"/>
  <c r="AD1458"/>
  <c r="P1459"/>
  <c r="T1459"/>
  <c r="U1459"/>
  <c r="V1459"/>
  <c r="W1459"/>
  <c r="Y1459"/>
  <c r="AA1459"/>
  <c r="AB1459"/>
  <c r="AC1459"/>
  <c r="AD1459"/>
  <c r="P1460"/>
  <c r="T1460"/>
  <c r="U1460"/>
  <c r="V1460"/>
  <c r="W1460"/>
  <c r="Y1460"/>
  <c r="AA1460"/>
  <c r="AB1460"/>
  <c r="AC1460"/>
  <c r="AD1460"/>
  <c r="P1461"/>
  <c r="T1461"/>
  <c r="U1461"/>
  <c r="V1461"/>
  <c r="W1461"/>
  <c r="Y1461"/>
  <c r="AA1461"/>
  <c r="AB1461"/>
  <c r="AC1461"/>
  <c r="AD1461"/>
  <c r="P1462"/>
  <c r="T1462"/>
  <c r="U1462"/>
  <c r="V1462"/>
  <c r="W1462"/>
  <c r="Y1462"/>
  <c r="AA1462"/>
  <c r="AB1462"/>
  <c r="AC1462"/>
  <c r="AD1462"/>
  <c r="P1463"/>
  <c r="T1463"/>
  <c r="U1463"/>
  <c r="V1463"/>
  <c r="W1463"/>
  <c r="Y1463"/>
  <c r="AA1463"/>
  <c r="AB1463"/>
  <c r="AC1463"/>
  <c r="AD1463"/>
  <c r="P1464"/>
  <c r="T1464"/>
  <c r="U1464"/>
  <c r="V1464"/>
  <c r="W1464"/>
  <c r="Y1464"/>
  <c r="AA1464"/>
  <c r="AB1464"/>
  <c r="AC1464"/>
  <c r="AD1464"/>
  <c r="P1465"/>
  <c r="T1465"/>
  <c r="U1465"/>
  <c r="V1465"/>
  <c r="W1465"/>
  <c r="Y1465"/>
  <c r="AA1465"/>
  <c r="AB1465"/>
  <c r="AC1465"/>
  <c r="AD1465"/>
  <c r="P1466"/>
  <c r="T1466"/>
  <c r="U1466"/>
  <c r="V1466"/>
  <c r="W1466"/>
  <c r="Y1466"/>
  <c r="AA1466"/>
  <c r="AB1466"/>
  <c r="AC1466"/>
  <c r="AD1466"/>
  <c r="P1467"/>
  <c r="T1467"/>
  <c r="U1467"/>
  <c r="V1467"/>
  <c r="W1467"/>
  <c r="Y1467"/>
  <c r="AA1467"/>
  <c r="AB1467"/>
  <c r="AC1467"/>
  <c r="AD1467"/>
  <c r="P1468"/>
  <c r="T1468"/>
  <c r="U1468"/>
  <c r="V1468"/>
  <c r="W1468"/>
  <c r="Y1468"/>
  <c r="AA1468"/>
  <c r="AB1468"/>
  <c r="AC1468"/>
  <c r="AD1468"/>
  <c r="P1469"/>
  <c r="T1469"/>
  <c r="U1469"/>
  <c r="V1469"/>
  <c r="W1469"/>
  <c r="Y1469"/>
  <c r="AA1469"/>
  <c r="AB1469"/>
  <c r="AC1469"/>
  <c r="AD1469"/>
  <c r="P1470"/>
  <c r="T1470"/>
  <c r="U1470"/>
  <c r="V1470"/>
  <c r="W1470"/>
  <c r="Y1470"/>
  <c r="AA1470"/>
  <c r="AB1470"/>
  <c r="AC1470"/>
  <c r="AD1470"/>
  <c r="P1471"/>
  <c r="T1471"/>
  <c r="U1471"/>
  <c r="V1471"/>
  <c r="W1471"/>
  <c r="Y1471"/>
  <c r="AA1471"/>
  <c r="AB1471"/>
  <c r="AC1471"/>
  <c r="AD1471"/>
  <c r="P1472"/>
  <c r="T1472"/>
  <c r="U1472"/>
  <c r="V1472"/>
  <c r="W1472"/>
  <c r="Y1472"/>
  <c r="AA1472"/>
  <c r="AB1472"/>
  <c r="AC1472"/>
  <c r="AD1472"/>
  <c r="P1473"/>
  <c r="T1473"/>
  <c r="U1473"/>
  <c r="V1473"/>
  <c r="W1473"/>
  <c r="Y1473"/>
  <c r="AA1473"/>
  <c r="AB1473"/>
  <c r="AC1473"/>
  <c r="AD1473"/>
  <c r="P1474"/>
  <c r="T1474"/>
  <c r="U1474"/>
  <c r="V1474"/>
  <c r="W1474"/>
  <c r="Y1474"/>
  <c r="AA1474"/>
  <c r="AB1474"/>
  <c r="AC1474"/>
  <c r="AD1474"/>
  <c r="P1475"/>
  <c r="T1475"/>
  <c r="U1475"/>
  <c r="V1475"/>
  <c r="W1475"/>
  <c r="Y1475"/>
  <c r="AA1475"/>
  <c r="AB1475"/>
  <c r="AC1475"/>
  <c r="AD1475"/>
  <c r="P1476"/>
  <c r="T1476"/>
  <c r="U1476"/>
  <c r="V1476"/>
  <c r="W1476"/>
  <c r="Y1476"/>
  <c r="AA1476"/>
  <c r="AB1476"/>
  <c r="AC1476"/>
  <c r="AD1476"/>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80"/>
  <c r="T1480"/>
  <c r="U1480"/>
  <c r="V1480"/>
  <c r="W1480"/>
  <c r="Y1480"/>
  <c r="AA1480"/>
  <c r="AB1480"/>
  <c r="AC1480"/>
  <c r="AD1480"/>
  <c r="P1481"/>
  <c r="T1481"/>
  <c r="U1481"/>
  <c r="V1481"/>
  <c r="W1481"/>
  <c r="Y1481"/>
  <c r="AA1481"/>
  <c r="AB1481"/>
  <c r="AC1481"/>
  <c r="AD1481"/>
  <c r="P1482"/>
  <c r="T1482"/>
  <c r="U1482"/>
  <c r="V1482"/>
  <c r="W1482"/>
  <c r="Y1482"/>
  <c r="AA1482"/>
  <c r="AB1482"/>
  <c r="AC1482"/>
  <c r="AD1482"/>
  <c r="P1483"/>
  <c r="T1483"/>
  <c r="U1483"/>
  <c r="V1483"/>
  <c r="W1483"/>
  <c r="Y1483"/>
  <c r="AA1483"/>
  <c r="AB1483"/>
  <c r="AC1483"/>
  <c r="AD1483"/>
  <c r="P1484"/>
  <c r="T1484"/>
  <c r="U1484"/>
  <c r="V1484"/>
  <c r="W1484"/>
  <c r="Y1484"/>
  <c r="AA1484"/>
  <c r="AB1484"/>
  <c r="AC1484"/>
  <c r="AD1484"/>
  <c r="P1485"/>
  <c r="T1485"/>
  <c r="U1485"/>
  <c r="V1485"/>
  <c r="W1485"/>
  <c r="Y1485"/>
  <c r="AA1485"/>
  <c r="AB1485"/>
  <c r="AC1485"/>
  <c r="AD1485"/>
  <c r="P1486"/>
  <c r="T1486"/>
  <c r="U1486"/>
  <c r="V1486"/>
  <c r="W1486"/>
  <c r="Y1486"/>
  <c r="AA1486"/>
  <c r="AB1486"/>
  <c r="AC1486"/>
  <c r="AD1486"/>
  <c r="P1487"/>
  <c r="T1487"/>
  <c r="U1487"/>
  <c r="V1487"/>
  <c r="W1487"/>
  <c r="Y1487"/>
  <c r="AA1487"/>
  <c r="AB1487"/>
  <c r="AC1487"/>
  <c r="AD1487"/>
  <c r="P1488"/>
  <c r="T1488"/>
  <c r="U1488"/>
  <c r="V1488"/>
  <c r="W1488"/>
  <c r="Y1488"/>
  <c r="AA1488"/>
  <c r="AB1488"/>
  <c r="AC1488"/>
  <c r="AD1488"/>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A1493"/>
  <c r="AB1493"/>
  <c r="AC1493"/>
  <c r="AD1493"/>
  <c r="P1494"/>
  <c r="T1494"/>
  <c r="U1494"/>
  <c r="V1494"/>
  <c r="W1494"/>
  <c r="Y1494"/>
  <c r="AA1494"/>
  <c r="AB1494"/>
  <c r="AC1494"/>
  <c r="AD1494"/>
  <c r="P1495"/>
  <c r="T1495"/>
  <c r="U1495"/>
  <c r="V1495"/>
  <c r="W1495"/>
  <c r="Y1495"/>
  <c r="AA1495"/>
  <c r="AB1495"/>
  <c r="AC1495"/>
  <c r="AD1495"/>
  <c r="P1496"/>
  <c r="T1496"/>
  <c r="U1496"/>
  <c r="V1496"/>
  <c r="W1496"/>
  <c r="Y1496"/>
  <c r="AA1496"/>
  <c r="AB1496"/>
  <c r="AC1496"/>
  <c r="AD1496"/>
  <c r="P1497"/>
  <c r="T1497"/>
  <c r="U1497"/>
  <c r="V1497"/>
  <c r="W1497"/>
  <c r="Y1497"/>
  <c r="AA1497"/>
  <c r="AB1497"/>
  <c r="AC1497"/>
  <c r="AD1497"/>
  <c r="P1498"/>
  <c r="T1498"/>
  <c r="U1498"/>
  <c r="V1498"/>
  <c r="W1498"/>
  <c r="Y1498"/>
  <c r="AA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6"/>
  <c r="T1506"/>
  <c r="U1506"/>
  <c r="V1506"/>
  <c r="W1506"/>
  <c r="Y1506"/>
  <c r="AA1506"/>
  <c r="AB1506"/>
  <c r="AC1506"/>
  <c r="AD1506"/>
  <c r="P1507"/>
  <c r="T1507"/>
  <c r="U1507"/>
  <c r="V1507"/>
  <c r="W1507"/>
  <c r="Y1507"/>
  <c r="AA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AD1510"/>
  <c r="P1511"/>
  <c r="T1511"/>
  <c r="U1511"/>
  <c r="V1511"/>
  <c r="W1511"/>
  <c r="Y1511"/>
  <c r="AA1511"/>
  <c r="AB1511"/>
  <c r="AC1511"/>
  <c r="AD1511"/>
  <c r="P1512"/>
  <c r="T1512"/>
  <c r="U1512"/>
  <c r="V1512"/>
  <c r="W1512"/>
  <c r="Y1512"/>
  <c r="AA1512"/>
  <c r="AB1512"/>
  <c r="AC1512"/>
  <c r="AD1512"/>
  <c r="P1513"/>
  <c r="T1513"/>
  <c r="U1513"/>
  <c r="V1513"/>
  <c r="W1513"/>
  <c r="Y1513"/>
  <c r="AA1513"/>
  <c r="AB1513"/>
  <c r="AC1513"/>
  <c r="AD1513"/>
  <c r="P1514"/>
  <c r="T1514"/>
  <c r="U1514"/>
  <c r="V1514"/>
  <c r="W1514"/>
  <c r="Y1514"/>
  <c r="AA1514"/>
  <c r="AB1514"/>
  <c r="AC1514"/>
  <c r="AD1514"/>
  <c r="P1515"/>
  <c r="T1515"/>
  <c r="U1515"/>
  <c r="V1515"/>
  <c r="W1515"/>
  <c r="Y1515"/>
  <c r="AA1515"/>
  <c r="AB1515"/>
  <c r="AC1515"/>
  <c r="AD1515"/>
  <c r="P1516"/>
  <c r="T1516"/>
  <c r="U1516"/>
  <c r="V1516"/>
  <c r="W1516"/>
  <c r="Y1516"/>
  <c r="AA1516"/>
  <c r="AB1516"/>
  <c r="AC1516"/>
  <c r="AD1516"/>
  <c r="P1517"/>
  <c r="T1517"/>
  <c r="U1517"/>
  <c r="V1517"/>
  <c r="W1517"/>
  <c r="Y1517"/>
  <c r="AA1517"/>
  <c r="AB1517"/>
  <c r="AC1517"/>
  <c r="AD1517"/>
  <c r="P1518"/>
  <c r="T1518"/>
  <c r="U1518"/>
  <c r="V1518"/>
  <c r="W1518"/>
  <c r="Y1518"/>
  <c r="AA1518"/>
  <c r="AB1518"/>
  <c r="AC1518"/>
  <c r="AD1518"/>
  <c r="P1519"/>
  <c r="T1519"/>
  <c r="U1519"/>
  <c r="V1519"/>
  <c r="W1519"/>
  <c r="Y1519"/>
  <c r="AA1519"/>
  <c r="AB1519"/>
  <c r="AC1519"/>
  <c r="AD1519"/>
  <c r="P1520"/>
  <c r="T1520"/>
  <c r="U1520"/>
  <c r="V1520"/>
  <c r="W1520"/>
  <c r="Y1520"/>
  <c r="AA1520"/>
  <c r="AB1520"/>
  <c r="AC1520"/>
  <c r="AD1520"/>
  <c r="P1521"/>
  <c r="T1521"/>
  <c r="U1521"/>
  <c r="V1521"/>
  <c r="W1521"/>
  <c r="Y1521"/>
  <c r="AA1521"/>
  <c r="AB1521"/>
  <c r="AC1521"/>
  <c r="AD1521"/>
  <c r="P1522"/>
  <c r="T1522"/>
  <c r="U1522"/>
  <c r="V1522"/>
  <c r="W1522"/>
  <c r="Y1522"/>
  <c r="AA1522"/>
  <c r="AB1522"/>
  <c r="AC1522"/>
  <c r="AD1522"/>
  <c r="P1523"/>
  <c r="T1523"/>
  <c r="U1523"/>
  <c r="V1523"/>
  <c r="W1523"/>
  <c r="Y1523"/>
  <c r="AA1523"/>
  <c r="AB1523"/>
  <c r="AC1523"/>
  <c r="AD1523"/>
  <c r="P1524"/>
  <c r="T1524"/>
  <c r="U1524"/>
  <c r="V1524"/>
  <c r="W1524"/>
  <c r="Y1524"/>
  <c r="AA1524"/>
  <c r="AB1524"/>
  <c r="AC1524"/>
  <c r="AD1524"/>
  <c r="P1525"/>
  <c r="T1525"/>
  <c r="U1525"/>
  <c r="V1525"/>
  <c r="W1525"/>
  <c r="Y1525"/>
  <c r="AA1525"/>
  <c r="AB1525"/>
  <c r="AC1525"/>
  <c r="AD1525"/>
  <c r="P1526"/>
  <c r="T1526"/>
  <c r="U1526"/>
  <c r="V1526"/>
  <c r="W1526"/>
  <c r="Y1526"/>
  <c r="AA1526"/>
  <c r="AB1526"/>
  <c r="AC1526"/>
  <c r="AD1526"/>
  <c r="P1527"/>
  <c r="T1527"/>
  <c r="U1527"/>
  <c r="V1527"/>
  <c r="W1527"/>
  <c r="Y1527"/>
  <c r="AA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A1532"/>
  <c r="AB1532"/>
  <c r="AC1532"/>
  <c r="AD1532"/>
  <c r="P1533"/>
  <c r="T1533"/>
  <c r="U1533"/>
  <c r="V1533"/>
  <c r="W1533"/>
  <c r="Y1533"/>
  <c r="AA1533"/>
  <c r="AB1533"/>
  <c r="AC1533"/>
  <c r="AD1533"/>
  <c r="P1534"/>
  <c r="T1534"/>
  <c r="U1534"/>
  <c r="V1534"/>
  <c r="W1534"/>
  <c r="Y1534"/>
  <c r="AA1534"/>
  <c r="AB1534"/>
  <c r="AC1534"/>
  <c r="AD1534"/>
  <c r="P1535"/>
  <c r="T1535"/>
  <c r="U1535"/>
  <c r="V1535"/>
  <c r="W1535"/>
  <c r="Y1535"/>
  <c r="AA1535"/>
  <c r="AB1535"/>
  <c r="AC1535"/>
  <c r="AD1535"/>
  <c r="P1536"/>
  <c r="T1536"/>
  <c r="U1536"/>
  <c r="V1536"/>
  <c r="W1536"/>
  <c r="Y1536"/>
  <c r="AA1536"/>
  <c r="AB1536"/>
  <c r="AC1536"/>
  <c r="AD1536"/>
  <c r="P1537"/>
  <c r="T1537"/>
  <c r="U1537"/>
  <c r="V1537"/>
  <c r="W1537"/>
  <c r="Y1537"/>
  <c r="AA1537"/>
  <c r="AB1537"/>
  <c r="AC1537"/>
  <c r="AD1537"/>
  <c r="P1538"/>
  <c r="T1538"/>
  <c r="U1538"/>
  <c r="V1538"/>
  <c r="W1538"/>
  <c r="Y1538"/>
  <c r="AA1538"/>
  <c r="AB1538"/>
  <c r="AC1538"/>
  <c r="AD1538"/>
  <c r="P1539"/>
  <c r="T1539"/>
  <c r="U1539"/>
  <c r="V1539"/>
  <c r="W1539"/>
  <c r="Y1539"/>
  <c r="AA1539"/>
  <c r="AB1539"/>
  <c r="AC1539"/>
  <c r="AD1539"/>
  <c r="P1540"/>
  <c r="T1540"/>
  <c r="U1540"/>
  <c r="V1540"/>
  <c r="W1540"/>
  <c r="Y1540"/>
  <c r="AA1540"/>
  <c r="AB1540"/>
  <c r="AC1540"/>
  <c r="AD1540"/>
  <c r="P1541"/>
  <c r="T1541"/>
  <c r="U1541"/>
  <c r="V1541"/>
  <c r="W1541"/>
  <c r="Y1541"/>
  <c r="AA1541"/>
  <c r="AB1541"/>
  <c r="AC1541"/>
  <c r="AD1541"/>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547"/>
  <c r="T1547"/>
  <c r="U1547"/>
  <c r="V1547"/>
  <c r="W1547"/>
  <c r="Y1547"/>
  <c r="AA1547"/>
  <c r="AB1547"/>
  <c r="AC1547"/>
  <c r="AD1547"/>
  <c r="P1548"/>
  <c r="T1548"/>
  <c r="U1548"/>
  <c r="V1548"/>
  <c r="W1548"/>
  <c r="Y1548"/>
  <c r="AA1548"/>
  <c r="AB1548"/>
  <c r="AC1548"/>
  <c r="AD1548"/>
  <c r="P1549"/>
  <c r="T1549"/>
  <c r="U1549"/>
  <c r="V1549"/>
  <c r="W1549"/>
  <c r="Y1549"/>
  <c r="AA1549"/>
  <c r="AB1549"/>
  <c r="AC1549"/>
  <c r="AD1549"/>
  <c r="P1550"/>
  <c r="T1550"/>
  <c r="U1550"/>
  <c r="V1550"/>
  <c r="W1550"/>
  <c r="Y1550"/>
  <c r="AA1550"/>
  <c r="AB1550"/>
  <c r="AC1550"/>
  <c r="AD1550"/>
  <c r="P1551"/>
  <c r="T1551"/>
  <c r="U1551"/>
  <c r="V1551"/>
  <c r="W1551"/>
  <c r="Y1551"/>
  <c r="AA1551"/>
  <c r="AB1551"/>
  <c r="AC1551"/>
  <c r="AD1551"/>
  <c r="P1552"/>
  <c r="T1552"/>
  <c r="U1552"/>
  <c r="V1552"/>
  <c r="W1552"/>
  <c r="Y1552"/>
  <c r="AA1552"/>
  <c r="AB1552"/>
  <c r="AC1552"/>
  <c r="AD1552"/>
  <c r="P1553"/>
  <c r="T1553"/>
  <c r="U1553"/>
  <c r="V1553"/>
  <c r="W1553"/>
  <c r="Y1553"/>
  <c r="AA1553"/>
  <c r="AB1553"/>
  <c r="AC1553"/>
  <c r="AD1553"/>
  <c r="P1554"/>
  <c r="T1554"/>
  <c r="U1554"/>
  <c r="V1554"/>
  <c r="W1554"/>
  <c r="Y1554"/>
  <c r="AA1554"/>
  <c r="AB1554"/>
  <c r="AC1554"/>
  <c r="AD1554"/>
  <c r="P1555"/>
  <c r="T1555"/>
  <c r="U1555"/>
  <c r="V1555"/>
  <c r="W1555"/>
  <c r="Y1555"/>
  <c r="AA1555"/>
  <c r="AB1555"/>
  <c r="AC1555"/>
  <c r="AD1555"/>
  <c r="P1556"/>
  <c r="T1556"/>
  <c r="U1556"/>
  <c r="V1556"/>
  <c r="W1556"/>
  <c r="Y1556"/>
  <c r="AA1556"/>
  <c r="AB1556"/>
  <c r="AC1556"/>
  <c r="AD1556"/>
  <c r="P1557"/>
  <c r="T1557"/>
  <c r="U1557"/>
  <c r="V1557"/>
  <c r="W1557"/>
  <c r="Y1557"/>
  <c r="AA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561"/>
  <c r="T1561"/>
  <c r="U1561"/>
  <c r="V1561"/>
  <c r="W1561"/>
  <c r="Y1561"/>
  <c r="AA1561"/>
  <c r="AB1561"/>
  <c r="AC1561"/>
  <c r="AD1561"/>
  <c r="P1562"/>
  <c r="T1562"/>
  <c r="U1562"/>
  <c r="V1562"/>
  <c r="W1562"/>
  <c r="Y1562"/>
  <c r="AA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A1565"/>
  <c r="AB1565"/>
  <c r="AC1565"/>
  <c r="AD1565"/>
  <c r="P1566"/>
  <c r="T1566"/>
  <c r="U1566"/>
  <c r="V1566"/>
  <c r="W1566"/>
  <c r="Y1566"/>
  <c r="AA1566"/>
  <c r="AB1566"/>
  <c r="AC1566"/>
  <c r="AD1566"/>
  <c r="P1567"/>
  <c r="T1567"/>
  <c r="U1567"/>
  <c r="V1567"/>
  <c r="W1567"/>
  <c r="Y1567"/>
  <c r="AA1567"/>
  <c r="AB1567"/>
  <c r="AC1567"/>
  <c r="AD1567"/>
  <c r="P1568"/>
  <c r="T1568"/>
  <c r="U1568"/>
  <c r="V1568"/>
  <c r="W1568"/>
  <c r="Y1568"/>
  <c r="AA1568"/>
  <c r="AB1568"/>
  <c r="AC1568"/>
  <c r="AD1568"/>
  <c r="P1569"/>
  <c r="T1569"/>
  <c r="U1569"/>
  <c r="V1569"/>
  <c r="W1569"/>
  <c r="Y1569"/>
  <c r="AA1569"/>
  <c r="AB1569"/>
  <c r="AC1569"/>
  <c r="AD1569"/>
  <c r="P1570"/>
  <c r="T1570"/>
  <c r="U1570"/>
  <c r="V1570"/>
  <c r="W1570"/>
  <c r="Y1570"/>
  <c r="AA1570"/>
  <c r="AB1570"/>
  <c r="AC1570"/>
  <c r="AD1570"/>
  <c r="P1571"/>
  <c r="T1571"/>
  <c r="U1571"/>
  <c r="V1571"/>
  <c r="W1571"/>
  <c r="Y1571"/>
  <c r="AA1571"/>
  <c r="AB1571"/>
  <c r="AC1571"/>
  <c r="AD1571"/>
  <c r="P1572"/>
  <c r="T1572"/>
  <c r="U1572"/>
  <c r="V1572"/>
  <c r="W1572"/>
  <c r="Y1572"/>
  <c r="AA1572"/>
  <c r="AB1572"/>
  <c r="AC1572"/>
  <c r="AD1572"/>
  <c r="P1573"/>
  <c r="T1573"/>
  <c r="U1573"/>
  <c r="V1573"/>
  <c r="W1573"/>
  <c r="Y1573"/>
  <c r="AA1573"/>
  <c r="AB1573"/>
  <c r="AC1573"/>
  <c r="AD1573"/>
  <c r="P1574"/>
  <c r="T1574"/>
  <c r="U1574"/>
  <c r="V1574"/>
  <c r="W1574"/>
  <c r="Y1574"/>
  <c r="AA1574"/>
  <c r="AB1574"/>
  <c r="AC1574"/>
  <c r="AD1574"/>
  <c r="P1575"/>
  <c r="T1575"/>
  <c r="U1575"/>
  <c r="V1575"/>
  <c r="W1575"/>
  <c r="Y1575"/>
  <c r="AA1575"/>
  <c r="AB1575"/>
  <c r="AC1575"/>
  <c r="AD1575"/>
  <c r="P1576"/>
  <c r="T1576"/>
  <c r="U1576"/>
  <c r="V1576"/>
  <c r="W1576"/>
  <c r="Y1576"/>
  <c r="AA1576"/>
  <c r="AB1576"/>
  <c r="AC1576"/>
  <c r="AD1576"/>
  <c r="P1577"/>
  <c r="T1577"/>
  <c r="U1577"/>
  <c r="V1577"/>
  <c r="W1577"/>
  <c r="Y1577"/>
  <c r="AA1577"/>
  <c r="AB1577"/>
  <c r="AC1577"/>
  <c r="AD1577"/>
  <c r="P1578"/>
  <c r="T1578"/>
  <c r="U1578"/>
  <c r="V1578"/>
  <c r="W1578"/>
  <c r="Y1578"/>
  <c r="AA1578"/>
  <c r="AB1578"/>
  <c r="AC1578"/>
  <c r="AD1578"/>
  <c r="P1579"/>
  <c r="T1579"/>
  <c r="U1579"/>
  <c r="V1579"/>
  <c r="W1579"/>
  <c r="Y1579"/>
  <c r="AA1579"/>
  <c r="AB1579"/>
  <c r="AC1579"/>
  <c r="AD1579"/>
  <c r="P1580"/>
  <c r="T1580"/>
  <c r="U1580"/>
  <c r="V1580"/>
  <c r="W1580"/>
  <c r="Y1580"/>
  <c r="AA1580"/>
  <c r="AB1580"/>
  <c r="AC1580"/>
  <c r="AD1580"/>
  <c r="P1581"/>
  <c r="T1581"/>
  <c r="U1581"/>
  <c r="V1581"/>
  <c r="W1581"/>
  <c r="Y1581"/>
  <c r="AA1581"/>
  <c r="AB1581"/>
  <c r="AC1581"/>
  <c r="AD1581"/>
  <c r="P1582"/>
  <c r="T1582"/>
  <c r="U1582"/>
  <c r="V1582"/>
  <c r="W1582"/>
  <c r="Y1582"/>
  <c r="AA1582"/>
  <c r="AB1582"/>
  <c r="AC1582"/>
  <c r="AD1582"/>
  <c r="P1583"/>
  <c r="T1583"/>
  <c r="U1583"/>
  <c r="V1583"/>
  <c r="W1583"/>
  <c r="Y1583"/>
  <c r="AA1583"/>
  <c r="AB1583"/>
  <c r="AC1583"/>
  <c r="AD1583"/>
  <c r="P1584"/>
  <c r="T1584"/>
  <c r="U1584"/>
  <c r="V1584"/>
  <c r="W1584"/>
  <c r="Y1584"/>
  <c r="AA1584"/>
  <c r="AB1584"/>
  <c r="AC1584"/>
  <c r="AD1584"/>
  <c r="P1585"/>
  <c r="T1585"/>
  <c r="U1585"/>
  <c r="V1585"/>
  <c r="W1585"/>
  <c r="Y1585"/>
  <c r="AA1585"/>
  <c r="AB1585"/>
  <c r="AC1585"/>
  <c r="AD1585"/>
  <c r="P1586"/>
  <c r="T1586"/>
  <c r="U1586"/>
  <c r="V1586"/>
  <c r="W1586"/>
  <c r="Y1586"/>
  <c r="AA1586"/>
  <c r="AB1586"/>
  <c r="AC1586"/>
  <c r="AD1586"/>
  <c r="P1587"/>
  <c r="T1587"/>
  <c r="U1587"/>
  <c r="V1587"/>
  <c r="W1587"/>
  <c r="Y1587"/>
  <c r="AA1587"/>
  <c r="AB1587"/>
  <c r="AC1587"/>
  <c r="AD1587"/>
  <c r="P1588"/>
  <c r="T1588"/>
  <c r="U1588"/>
  <c r="V1588"/>
  <c r="W1588"/>
  <c r="Y1588"/>
  <c r="AA1588"/>
  <c r="AB1588"/>
  <c r="AC1588"/>
  <c r="AD1588"/>
  <c r="P1589"/>
  <c r="T1589"/>
  <c r="U1589"/>
  <c r="V1589"/>
  <c r="W1589"/>
  <c r="Y1589"/>
  <c r="AA1589"/>
  <c r="AB1589"/>
  <c r="AC1589"/>
  <c r="AD1589"/>
  <c r="P1590"/>
  <c r="T1590"/>
  <c r="U1590"/>
  <c r="V1590"/>
  <c r="W1590"/>
  <c r="Y1590"/>
  <c r="AA1590"/>
  <c r="AB1590"/>
  <c r="AC1590"/>
  <c r="AD1590"/>
  <c r="P1591"/>
  <c r="T1591"/>
  <c r="U1591"/>
  <c r="V1591"/>
  <c r="W1591"/>
  <c r="Y1591"/>
  <c r="AA1591"/>
  <c r="AB1591"/>
  <c r="AC1591"/>
  <c r="AD1591"/>
  <c r="P1592"/>
  <c r="T1592"/>
  <c r="U1592"/>
  <c r="V1592"/>
  <c r="W1592"/>
  <c r="Y1592"/>
  <c r="AA1592"/>
  <c r="AB1592"/>
  <c r="AC1592"/>
  <c r="AD1592"/>
  <c r="P1593"/>
  <c r="T1593"/>
  <c r="U1593"/>
  <c r="V1593"/>
  <c r="W1593"/>
  <c r="Y1593"/>
  <c r="AA1593"/>
  <c r="AB1593"/>
  <c r="AC1593"/>
  <c r="AD1593"/>
  <c r="P1594"/>
  <c r="T1594"/>
  <c r="U1594"/>
  <c r="V1594"/>
  <c r="W1594"/>
  <c r="Y1594"/>
  <c r="AA1594"/>
  <c r="AB1594"/>
  <c r="AC1594"/>
  <c r="AD1594"/>
  <c r="P1595"/>
  <c r="T1595"/>
  <c r="U1595"/>
  <c r="V1595"/>
  <c r="W1595"/>
  <c r="Y1595"/>
  <c r="AA1595"/>
  <c r="AB1595"/>
  <c r="AC1595"/>
  <c r="AD1595"/>
  <c r="P1596"/>
  <c r="T1596"/>
  <c r="U1596"/>
  <c r="V1596"/>
  <c r="W1596"/>
  <c r="Y1596"/>
  <c r="AA1596"/>
  <c r="AB1596"/>
  <c r="AC1596"/>
  <c r="AD1596"/>
  <c r="P1597"/>
  <c r="T1597"/>
  <c r="U1597"/>
  <c r="V1597"/>
  <c r="W1597"/>
  <c r="Y1597"/>
  <c r="AA1597"/>
  <c r="AB1597"/>
  <c r="AC1597"/>
  <c r="AD1597"/>
  <c r="P1598"/>
  <c r="T1598"/>
  <c r="U1598"/>
  <c r="V1598"/>
  <c r="W1598"/>
  <c r="Y1598"/>
  <c r="AA1598"/>
  <c r="AB1598"/>
  <c r="AC1598"/>
  <c r="AD1598"/>
  <c r="P1599"/>
  <c r="T1599"/>
  <c r="U1599"/>
  <c r="V1599"/>
  <c r="W1599"/>
  <c r="Y1599"/>
  <c r="AA1599"/>
  <c r="AB1599"/>
  <c r="AC1599"/>
  <c r="AD1599"/>
  <c r="P1600"/>
  <c r="T1600"/>
  <c r="U1600"/>
  <c r="V1600"/>
  <c r="W1600"/>
  <c r="Y1600"/>
  <c r="AA1600"/>
  <c r="AB1600"/>
  <c r="AC1600"/>
  <c r="AD1600"/>
  <c r="P1601"/>
  <c r="T1601"/>
  <c r="U1601"/>
  <c r="V1601"/>
  <c r="W1601"/>
  <c r="Y1601"/>
  <c r="AA1601"/>
  <c r="AB1601"/>
  <c r="AC1601"/>
  <c r="AD1601"/>
  <c r="P1602"/>
  <c r="T1602"/>
  <c r="U1602"/>
  <c r="V1602"/>
  <c r="W1602"/>
  <c r="Y1602"/>
  <c r="AA1602"/>
  <c r="AB1602"/>
  <c r="AC1602"/>
  <c r="AD1602"/>
  <c r="P1603"/>
  <c r="T1603"/>
  <c r="U1603"/>
  <c r="V1603"/>
  <c r="W1603"/>
  <c r="Y1603"/>
  <c r="AA1603"/>
  <c r="AB1603"/>
  <c r="AC1603"/>
  <c r="AD1603"/>
  <c r="P1604"/>
  <c r="T1604"/>
  <c r="U1604"/>
  <c r="V1604"/>
  <c r="W1604"/>
  <c r="Y1604"/>
  <c r="AA1604"/>
  <c r="AB1604"/>
  <c r="AC1604"/>
  <c r="AD1604"/>
  <c r="P1605"/>
  <c r="T1605"/>
  <c r="U1605"/>
  <c r="V1605"/>
  <c r="W1605"/>
  <c r="Y1605"/>
  <c r="AA1605"/>
  <c r="AB1605"/>
  <c r="AC1605"/>
  <c r="AD1605"/>
  <c r="P1606"/>
  <c r="T1606"/>
  <c r="U1606"/>
  <c r="V1606"/>
  <c r="W1606"/>
  <c r="Y1606"/>
  <c r="AA1606"/>
  <c r="AB1606"/>
  <c r="AC1606"/>
  <c r="AD1606"/>
  <c r="P1607"/>
  <c r="T1607"/>
  <c r="U1607"/>
  <c r="V1607"/>
  <c r="W1607"/>
  <c r="Y1607"/>
  <c r="AA1607"/>
  <c r="AB1607"/>
  <c r="AC1607"/>
  <c r="AD1607"/>
  <c r="P1608"/>
  <c r="T1608"/>
  <c r="U1608"/>
  <c r="V1608"/>
  <c r="W1608"/>
  <c r="Y1608"/>
  <c r="AA1608"/>
  <c r="AB1608"/>
  <c r="AC1608"/>
  <c r="AD1608"/>
  <c r="P1609"/>
  <c r="T1609"/>
  <c r="U1609"/>
  <c r="V1609"/>
  <c r="W1609"/>
  <c r="Y1609"/>
  <c r="AA1609"/>
  <c r="AB1609"/>
  <c r="AC1609"/>
  <c r="AD1609"/>
  <c r="P1610"/>
  <c r="T1610"/>
  <c r="U1610"/>
  <c r="V1610"/>
  <c r="W1610"/>
  <c r="Y1610"/>
  <c r="AA1610"/>
  <c r="AB1610"/>
  <c r="AC1610"/>
  <c r="AD1610"/>
  <c r="P1611"/>
  <c r="T1611"/>
  <c r="U1611"/>
  <c r="V1611"/>
  <c r="W1611"/>
  <c r="Y1611"/>
  <c r="AA1611"/>
  <c r="AB1611"/>
  <c r="AC1611"/>
  <c r="AD1611"/>
  <c r="P1612"/>
  <c r="T1612"/>
  <c r="U1612"/>
  <c r="V1612"/>
  <c r="W1612"/>
  <c r="Y1612"/>
  <c r="AA1612"/>
  <c r="AB1612"/>
  <c r="AC1612"/>
  <c r="AD1612"/>
  <c r="P1613"/>
  <c r="T1613"/>
  <c r="U1613"/>
  <c r="V1613"/>
  <c r="W1613"/>
  <c r="Y1613"/>
  <c r="AA1613"/>
  <c r="AB1613"/>
  <c r="AC1613"/>
  <c r="AD1613"/>
  <c r="P1614"/>
  <c r="T1614"/>
  <c r="U1614"/>
  <c r="V1614"/>
  <c r="W1614"/>
  <c r="Y1614"/>
  <c r="AA1614"/>
  <c r="AB1614"/>
  <c r="AC1614"/>
  <c r="AD1614"/>
  <c r="P1615"/>
  <c r="T1615"/>
  <c r="U1615"/>
  <c r="V1615"/>
  <c r="W1615"/>
  <c r="Y1615"/>
  <c r="AA1615"/>
  <c r="AB1615"/>
  <c r="AC1615"/>
  <c r="AD1615"/>
  <c r="P1616"/>
  <c r="T1616"/>
  <c r="U1616"/>
  <c r="V1616"/>
  <c r="W1616"/>
  <c r="Y1616"/>
  <c r="AA1616"/>
  <c r="AB1616"/>
  <c r="AC1616"/>
  <c r="AD1616"/>
  <c r="P1617"/>
  <c r="T1617"/>
  <c r="U1617"/>
  <c r="V1617"/>
  <c r="W1617"/>
  <c r="Y1617"/>
  <c r="AA1617"/>
  <c r="AB1617"/>
  <c r="AC1617"/>
  <c r="AD1617"/>
  <c r="P1618"/>
  <c r="T1618"/>
  <c r="U1618"/>
  <c r="V1618"/>
  <c r="W1618"/>
  <c r="Y1618"/>
  <c r="AA1618"/>
  <c r="AB1618"/>
  <c r="AC1618"/>
  <c r="AD1618"/>
  <c r="P1619"/>
  <c r="T1619"/>
  <c r="U1619"/>
  <c r="V1619"/>
  <c r="W1619"/>
  <c r="Y1619"/>
  <c r="AA1619"/>
  <c r="AB1619"/>
  <c r="AC1619"/>
  <c r="AD1619"/>
  <c r="P1620"/>
  <c r="T1620"/>
  <c r="U1620"/>
  <c r="V1620"/>
  <c r="W1620"/>
  <c r="Y1620"/>
  <c r="AA1620"/>
  <c r="AB1620"/>
  <c r="AC1620"/>
  <c r="AD1620"/>
  <c r="P1621"/>
  <c r="T1621"/>
  <c r="U1621"/>
  <c r="V1621"/>
  <c r="W1621"/>
  <c r="Y1621"/>
  <c r="AA1621"/>
  <c r="AB1621"/>
  <c r="AC1621"/>
  <c r="AD1621"/>
  <c r="P1622"/>
  <c r="T1622"/>
  <c r="U1622"/>
  <c r="V1622"/>
  <c r="W1622"/>
  <c r="Y1622"/>
  <c r="AA1622"/>
  <c r="AB1622"/>
  <c r="AC1622"/>
  <c r="AD1622"/>
  <c r="P1623"/>
  <c r="T1623"/>
  <c r="U1623"/>
  <c r="V1623"/>
  <c r="W1623"/>
  <c r="Y1623"/>
  <c r="AA1623"/>
  <c r="AB1623"/>
  <c r="AC1623"/>
  <c r="AD1623"/>
  <c r="P1624"/>
  <c r="T1624"/>
  <c r="U1624"/>
  <c r="V1624"/>
  <c r="W1624"/>
  <c r="Y1624"/>
  <c r="AA1624"/>
  <c r="AB1624"/>
  <c r="AC1624"/>
  <c r="AD1624"/>
  <c r="P1625"/>
  <c r="T1625"/>
  <c r="U1625"/>
  <c r="V1625"/>
  <c r="W1625"/>
  <c r="Y1625"/>
  <c r="AA1625"/>
  <c r="AB1625"/>
  <c r="AC1625"/>
  <c r="AD1625"/>
  <c r="P1626"/>
  <c r="T1626"/>
  <c r="U1626"/>
  <c r="V1626"/>
  <c r="W1626"/>
  <c r="Y1626"/>
  <c r="AA1626"/>
  <c r="AB1626"/>
  <c r="AC1626"/>
  <c r="AD1626"/>
  <c r="P1627"/>
  <c r="T1627"/>
  <c r="U1627"/>
  <c r="V1627"/>
  <c r="W1627"/>
  <c r="Y1627"/>
  <c r="AA1627"/>
  <c r="AB1627"/>
  <c r="AC1627"/>
  <c r="AD1627"/>
  <c r="P1628"/>
  <c r="T1628"/>
  <c r="U1628"/>
  <c r="V1628"/>
  <c r="W1628"/>
  <c r="Y1628"/>
  <c r="AA1628"/>
  <c r="AB1628"/>
  <c r="AC1628"/>
  <c r="AD1628"/>
  <c r="P1629"/>
  <c r="T1629"/>
  <c r="U1629"/>
  <c r="V1629"/>
  <c r="W1629"/>
  <c r="Y1629"/>
  <c r="AA1629"/>
  <c r="AB1629"/>
  <c r="AC1629"/>
  <c r="AD1629"/>
  <c r="P1630"/>
  <c r="T1630"/>
  <c r="U1630"/>
  <c r="V1630"/>
  <c r="W1630"/>
  <c r="Y1630"/>
  <c r="AA1630"/>
  <c r="AB1630"/>
  <c r="AC1630"/>
  <c r="AD1630"/>
  <c r="P1631"/>
  <c r="T1631"/>
  <c r="U1631"/>
  <c r="V1631"/>
  <c r="W1631"/>
  <c r="Y1631"/>
  <c r="AA1631"/>
  <c r="AB1631"/>
  <c r="AC1631"/>
  <c r="AD1631"/>
  <c r="P1632"/>
  <c r="T1632"/>
  <c r="U1632"/>
  <c r="V1632"/>
  <c r="W1632"/>
  <c r="Y1632"/>
  <c r="AA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A1635"/>
  <c r="AB1635"/>
  <c r="AC1635"/>
  <c r="AD1635"/>
  <c r="P1636"/>
  <c r="T1636"/>
  <c r="U1636"/>
  <c r="V1636"/>
  <c r="W1636"/>
  <c r="Y1636"/>
  <c r="AA1636"/>
  <c r="AB1636"/>
  <c r="AC1636"/>
  <c r="AD1636"/>
  <c r="P1637"/>
  <c r="T1637"/>
  <c r="U1637"/>
  <c r="V1637"/>
  <c r="W1637"/>
  <c r="Y1637"/>
  <c r="AA1637"/>
  <c r="AB1637"/>
  <c r="AC1637"/>
  <c r="AD1637"/>
  <c r="P1638"/>
  <c r="T1638"/>
  <c r="U1638"/>
  <c r="V1638"/>
  <c r="W1638"/>
  <c r="Y1638"/>
  <c r="AA1638"/>
  <c r="AB1638"/>
  <c r="AC1638"/>
  <c r="AD1638"/>
  <c r="P1639"/>
  <c r="T1639"/>
  <c r="U1639"/>
  <c r="V1639"/>
  <c r="W1639"/>
  <c r="Y1639"/>
  <c r="AA1639"/>
  <c r="AB1639"/>
  <c r="AC1639"/>
  <c r="AD1639"/>
  <c r="P1640"/>
  <c r="T1640"/>
  <c r="U1640"/>
  <c r="V1640"/>
  <c r="W1640"/>
  <c r="Y1640"/>
  <c r="AA1640"/>
  <c r="AB1640"/>
  <c r="AC1640"/>
  <c r="AD1640"/>
  <c r="P1641"/>
  <c r="T1641"/>
  <c r="U1641"/>
  <c r="V1641"/>
  <c r="W1641"/>
  <c r="Y1641"/>
  <c r="AA1641"/>
  <c r="AB1641"/>
  <c r="AC1641"/>
  <c r="AD1641"/>
  <c r="P1642"/>
  <c r="T1642"/>
  <c r="U1642"/>
  <c r="V1642"/>
  <c r="W1642"/>
  <c r="Y1642"/>
  <c r="AA1642"/>
  <c r="AB1642"/>
  <c r="AC1642"/>
  <c r="AD1642"/>
  <c r="P1643"/>
  <c r="T1643"/>
  <c r="U1643"/>
  <c r="V1643"/>
  <c r="W1643"/>
  <c r="Y1643"/>
  <c r="AA1643"/>
  <c r="AB1643"/>
  <c r="AC1643"/>
  <c r="AD1643"/>
  <c r="P1644"/>
  <c r="T1644"/>
  <c r="U1644"/>
  <c r="V1644"/>
  <c r="W1644"/>
  <c r="Y1644"/>
  <c r="AA1644"/>
  <c r="AB1644"/>
  <c r="AC1644"/>
  <c r="AD1644"/>
  <c r="P1645"/>
  <c r="T1645"/>
  <c r="U1645"/>
  <c r="V1645"/>
  <c r="W1645"/>
  <c r="Y1645"/>
  <c r="AA1645"/>
  <c r="AB1645"/>
  <c r="AC1645"/>
  <c r="AD1645"/>
  <c r="P1646"/>
  <c r="T1646"/>
  <c r="U1646"/>
  <c r="V1646"/>
  <c r="W1646"/>
  <c r="Y1646"/>
  <c r="AA1646"/>
  <c r="AB1646"/>
  <c r="AC1646"/>
  <c r="AD1646"/>
  <c r="P1647"/>
  <c r="T1647"/>
  <c r="U1647"/>
  <c r="V1647"/>
  <c r="W1647"/>
  <c r="Y1647"/>
  <c r="AA1647"/>
  <c r="AB1647"/>
  <c r="AC1647"/>
  <c r="AD1647"/>
  <c r="P1648"/>
  <c r="T1648"/>
  <c r="U1648"/>
  <c r="V1648"/>
  <c r="W1648"/>
  <c r="Y1648"/>
  <c r="AA1648"/>
  <c r="AB1648"/>
  <c r="AC1648"/>
  <c r="AD1648"/>
  <c r="P1649"/>
  <c r="T1649"/>
  <c r="U1649"/>
  <c r="V1649"/>
  <c r="W1649"/>
  <c r="Y1649"/>
  <c r="AA1649"/>
  <c r="AB1649"/>
  <c r="AC1649"/>
  <c r="AD1649"/>
  <c r="P1650"/>
  <c r="T1650"/>
  <c r="U1650"/>
  <c r="V1650"/>
  <c r="W1650"/>
  <c r="Y1650"/>
  <c r="AA1650"/>
  <c r="AB1650"/>
  <c r="AC1650"/>
  <c r="AD1650"/>
  <c r="P1651"/>
  <c r="T1651"/>
  <c r="U1651"/>
  <c r="V1651"/>
  <c r="W1651"/>
  <c r="Y1651"/>
  <c r="AA1651"/>
  <c r="AB1651"/>
  <c r="AC1651"/>
  <c r="AD1651"/>
  <c r="P1652"/>
  <c r="T1652"/>
  <c r="U1652"/>
  <c r="V1652"/>
  <c r="W1652"/>
  <c r="Y1652"/>
  <c r="AA1652"/>
  <c r="AB1652"/>
  <c r="AC1652"/>
  <c r="AD1652"/>
  <c r="P1653"/>
  <c r="T1653"/>
  <c r="U1653"/>
  <c r="V1653"/>
  <c r="W1653"/>
  <c r="Y1653"/>
  <c r="AA1653"/>
  <c r="AB1653"/>
  <c r="AC1653"/>
  <c r="AD1653"/>
  <c r="P1654"/>
  <c r="T1654"/>
  <c r="U1654"/>
  <c r="V1654"/>
  <c r="W1654"/>
  <c r="Y1654"/>
  <c r="AA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61"/>
  <c r="T1661"/>
  <c r="U1661"/>
  <c r="V1661"/>
  <c r="W1661"/>
  <c r="Y1661"/>
  <c r="AA1661"/>
  <c r="AB1661"/>
  <c r="AC1661"/>
  <c r="AD1661"/>
  <c r="P1662"/>
  <c r="T1662"/>
  <c r="U1662"/>
  <c r="V1662"/>
  <c r="W1662"/>
  <c r="Y1662"/>
  <c r="AA1662"/>
  <c r="AB1662"/>
  <c r="AC1662"/>
  <c r="AD1662"/>
  <c r="P1663"/>
  <c r="T1663"/>
  <c r="U1663"/>
  <c r="V1663"/>
  <c r="W1663"/>
  <c r="Y1663"/>
  <c r="AA1663"/>
  <c r="AB1663"/>
  <c r="AC1663"/>
  <c r="AD1663"/>
  <c r="P1664"/>
  <c r="T1664"/>
  <c r="U1664"/>
  <c r="V1664"/>
  <c r="W1664"/>
  <c r="Y1664"/>
  <c r="AA1664"/>
  <c r="AB1664"/>
  <c r="AC1664"/>
  <c r="AD1664"/>
  <c r="P1665"/>
  <c r="T1665"/>
  <c r="U1665"/>
  <c r="V1665"/>
  <c r="W1665"/>
  <c r="Y1665"/>
  <c r="AA1665"/>
  <c r="AB1665"/>
  <c r="AC1665"/>
  <c r="AD1665"/>
  <c r="P1666"/>
  <c r="T1666"/>
  <c r="U1666"/>
  <c r="V1666"/>
  <c r="W1666"/>
  <c r="Y1666"/>
  <c r="AA1666"/>
  <c r="AB1666"/>
  <c r="AC1666"/>
  <c r="AD1666"/>
  <c r="P1667"/>
  <c r="T1667"/>
  <c r="U1667"/>
  <c r="V1667"/>
  <c r="W1667"/>
  <c r="Y1667"/>
  <c r="AA1667"/>
  <c r="AB1667"/>
  <c r="AC1667"/>
  <c r="AD1667"/>
  <c r="P1668"/>
  <c r="T1668"/>
  <c r="U1668"/>
  <c r="V1668"/>
  <c r="W1668"/>
  <c r="Y1668"/>
  <c r="AA1668"/>
  <c r="AB1668"/>
  <c r="AC1668"/>
  <c r="AD1668"/>
  <c r="P1669"/>
  <c r="T1669"/>
  <c r="U1669"/>
  <c r="V1669"/>
  <c r="W1669"/>
  <c r="Y1669"/>
  <c r="AA1669"/>
  <c r="AB1669"/>
  <c r="AC1669"/>
  <c r="AD1669"/>
  <c r="P1670"/>
  <c r="T1670"/>
  <c r="U1670"/>
  <c r="V1670"/>
  <c r="W1670"/>
  <c r="Y1670"/>
  <c r="AA1670"/>
  <c r="AB1670"/>
  <c r="AC1670"/>
  <c r="AD1670"/>
  <c r="P1671"/>
  <c r="T1671"/>
  <c r="U1671"/>
  <c r="V1671"/>
  <c r="W1671"/>
  <c r="Y1671"/>
  <c r="AA1671"/>
  <c r="AB1671"/>
  <c r="AC1671"/>
  <c r="AD1671"/>
  <c r="P1672"/>
  <c r="T1672"/>
  <c r="U1672"/>
  <c r="V1672"/>
  <c r="W1672"/>
  <c r="Y1672"/>
  <c r="AA1672"/>
  <c r="AB1672"/>
  <c r="AC1672"/>
  <c r="AD1672"/>
  <c r="P1673"/>
  <c r="T1673"/>
  <c r="U1673"/>
  <c r="V1673"/>
  <c r="W1673"/>
  <c r="Y1673"/>
  <c r="AA1673"/>
  <c r="AB1673"/>
  <c r="AC1673"/>
  <c r="AD1673"/>
  <c r="P1674"/>
  <c r="T1674"/>
  <c r="U1674"/>
  <c r="V1674"/>
  <c r="W1674"/>
  <c r="Y1674"/>
  <c r="AA1674"/>
  <c r="AB1674"/>
  <c r="AC1674"/>
  <c r="AD1674"/>
  <c r="P1675"/>
  <c r="T1675"/>
  <c r="U1675"/>
  <c r="V1675"/>
  <c r="W1675"/>
  <c r="Y1675"/>
  <c r="AA1675"/>
  <c r="AB1675"/>
  <c r="AC1675"/>
  <c r="AD1675"/>
  <c r="P1676"/>
  <c r="T1676"/>
  <c r="U1676"/>
  <c r="V1676"/>
  <c r="W1676"/>
  <c r="Y1676"/>
  <c r="AA1676"/>
  <c r="AB1676"/>
  <c r="AC1676"/>
  <c r="AD1676"/>
  <c r="P1677"/>
  <c r="T1677"/>
  <c r="U1677"/>
  <c r="V1677"/>
  <c r="W1677"/>
  <c r="Y1677"/>
  <c r="AA1677"/>
  <c r="AB1677"/>
  <c r="AC1677"/>
  <c r="AD1677"/>
  <c r="P1678"/>
  <c r="T1678"/>
  <c r="U1678"/>
  <c r="V1678"/>
  <c r="W1678"/>
  <c r="Y1678"/>
  <c r="AA1678"/>
  <c r="AB1678"/>
  <c r="AC1678"/>
  <c r="AD1678"/>
  <c r="P1679"/>
  <c r="T1679"/>
  <c r="U1679"/>
  <c r="V1679"/>
  <c r="W1679"/>
  <c r="Y1679"/>
  <c r="AA1679"/>
  <c r="AB1679"/>
  <c r="AC1679"/>
  <c r="AD1679"/>
  <c r="P1680"/>
  <c r="T1680"/>
  <c r="U1680"/>
  <c r="V1680"/>
  <c r="W1680"/>
  <c r="Y1680"/>
  <c r="AA1680"/>
  <c r="AB1680"/>
  <c r="AC1680"/>
  <c r="AD1680"/>
  <c r="P1681"/>
  <c r="T1681"/>
  <c r="U1681"/>
  <c r="V1681"/>
  <c r="W1681"/>
  <c r="Y1681"/>
  <c r="AA1681"/>
  <c r="AB1681"/>
  <c r="AC1681"/>
  <c r="AD1681"/>
  <c r="P1682"/>
  <c r="T1682"/>
  <c r="U1682"/>
  <c r="V1682"/>
  <c r="W1682"/>
  <c r="Y1682"/>
  <c r="AA1682"/>
  <c r="AB1682"/>
  <c r="AC1682"/>
  <c r="AD1682"/>
  <c r="P1683"/>
  <c r="T1683"/>
  <c r="U1683"/>
  <c r="V1683"/>
  <c r="W1683"/>
  <c r="Y1683"/>
  <c r="AA1683"/>
  <c r="AB1683"/>
  <c r="AC1683"/>
  <c r="AD1683"/>
  <c r="P1684"/>
  <c r="T1684"/>
  <c r="U1684"/>
  <c r="V1684"/>
  <c r="W1684"/>
  <c r="Y1684"/>
  <c r="AA1684"/>
  <c r="AB1684"/>
  <c r="AC1684"/>
  <c r="AD1684"/>
  <c r="P1685"/>
  <c r="T1685"/>
  <c r="U1685"/>
  <c r="V1685"/>
  <c r="W1685"/>
  <c r="Y1685"/>
  <c r="AA1685"/>
  <c r="AB1685"/>
  <c r="AC1685"/>
  <c r="AD1685"/>
  <c r="P1686"/>
  <c r="T1686"/>
  <c r="U1686"/>
  <c r="V1686"/>
  <c r="W1686"/>
  <c r="Y1686"/>
  <c r="AA1686"/>
  <c r="AB1686"/>
  <c r="AC1686"/>
  <c r="AD1686"/>
  <c r="P1687"/>
  <c r="T1687"/>
  <c r="U1687"/>
  <c r="V1687"/>
  <c r="W1687"/>
  <c r="Y1687"/>
  <c r="AA1687"/>
  <c r="AB1687"/>
  <c r="AC1687"/>
  <c r="AD1687"/>
  <c r="P1688"/>
  <c r="T1688"/>
  <c r="U1688"/>
  <c r="V1688"/>
  <c r="W1688"/>
  <c r="Y1688"/>
  <c r="AA1688"/>
  <c r="AB1688"/>
  <c r="AC1688"/>
  <c r="AD1688"/>
  <c r="P1689"/>
  <c r="T1689"/>
  <c r="U1689"/>
  <c r="V1689"/>
  <c r="W1689"/>
  <c r="Y1689"/>
  <c r="AA1689"/>
  <c r="AB1689"/>
  <c r="AC1689"/>
  <c r="AD1689"/>
  <c r="P1690"/>
  <c r="T1690"/>
  <c r="U1690"/>
  <c r="V1690"/>
  <c r="W1690"/>
  <c r="Y1690"/>
  <c r="AA1690"/>
  <c r="AB1690"/>
  <c r="AC1690"/>
  <c r="AD1690"/>
  <c r="P1691"/>
  <c r="T1691"/>
  <c r="U1691"/>
  <c r="V1691"/>
  <c r="W1691"/>
  <c r="Y1691"/>
  <c r="AA1691"/>
  <c r="AB1691"/>
  <c r="AC1691"/>
  <c r="AD1691"/>
  <c r="P1692"/>
  <c r="T1692"/>
  <c r="U1692"/>
  <c r="V1692"/>
  <c r="W1692"/>
  <c r="Y1692"/>
  <c r="AA1692"/>
  <c r="AB1692"/>
  <c r="AC1692"/>
  <c r="AD1692"/>
  <c r="P1693"/>
  <c r="T1693"/>
  <c r="U1693"/>
  <c r="V1693"/>
  <c r="W1693"/>
  <c r="Y1693"/>
  <c r="AA1693"/>
  <c r="AB1693"/>
  <c r="AC1693"/>
  <c r="AD1693"/>
  <c r="P1694"/>
  <c r="T1694"/>
  <c r="U1694"/>
  <c r="V1694"/>
  <c r="W1694"/>
  <c r="Y1694"/>
  <c r="AA1694"/>
  <c r="AB1694"/>
  <c r="AC1694"/>
  <c r="AD1694"/>
  <c r="P1695"/>
  <c r="T1695"/>
  <c r="U1695"/>
  <c r="V1695"/>
  <c r="W1695"/>
  <c r="Y1695"/>
  <c r="AA1695"/>
  <c r="AB1695"/>
  <c r="AC1695"/>
  <c r="AD1695"/>
  <c r="P1696"/>
  <c r="T1696"/>
  <c r="U1696"/>
  <c r="V1696"/>
  <c r="W1696"/>
  <c r="Y1696"/>
  <c r="AA1696"/>
  <c r="AB1696"/>
  <c r="AC1696"/>
  <c r="AD1696"/>
  <c r="P1697"/>
  <c r="T1697"/>
  <c r="U1697"/>
  <c r="V1697"/>
  <c r="W1697"/>
  <c r="Y1697"/>
  <c r="AA1697"/>
  <c r="AB1697"/>
  <c r="AC1697"/>
  <c r="AD1697"/>
  <c r="P1698"/>
  <c r="T1698"/>
  <c r="U1698"/>
  <c r="V1698"/>
  <c r="W1698"/>
  <c r="Y1698"/>
  <c r="AA1698"/>
  <c r="AB1698"/>
  <c r="AC1698"/>
  <c r="AD1698"/>
  <c r="P1699"/>
  <c r="T1699"/>
  <c r="U1699"/>
  <c r="V1699"/>
  <c r="W1699"/>
  <c r="Y1699"/>
  <c r="AA1699"/>
  <c r="AB1699"/>
  <c r="AC1699"/>
  <c r="AD1699"/>
  <c r="P1700"/>
  <c r="T1700"/>
  <c r="U1700"/>
  <c r="V1700"/>
  <c r="W1700"/>
  <c r="Y1700"/>
  <c r="AA1700"/>
  <c r="AB1700"/>
  <c r="AC1700"/>
  <c r="AD1700"/>
  <c r="P1701"/>
  <c r="T1701"/>
  <c r="U1701"/>
  <c r="V1701"/>
  <c r="W1701"/>
  <c r="Y1701"/>
  <c r="AA1701"/>
  <c r="AB1701"/>
  <c r="AC1701"/>
  <c r="AD1701"/>
  <c r="P1702"/>
  <c r="T1702"/>
  <c r="U1702"/>
  <c r="V1702"/>
  <c r="W1702"/>
  <c r="Y1702"/>
  <c r="AA1702"/>
  <c r="AB1702"/>
  <c r="AC1702"/>
  <c r="AD1702"/>
  <c r="P1703"/>
  <c r="T1703"/>
  <c r="U1703"/>
  <c r="V1703"/>
  <c r="W1703"/>
  <c r="Y1703"/>
  <c r="AA1703"/>
  <c r="AB1703"/>
  <c r="AC1703"/>
  <c r="AD1703"/>
  <c r="B313"/>
  <c r="E313"/>
  <c r="AA313" s="1"/>
  <c r="B312"/>
  <c r="E312"/>
  <c r="AA312" s="1"/>
  <c r="M312"/>
  <c r="M311"/>
  <c r="B310"/>
  <c r="E310"/>
  <c r="AA310" s="1"/>
  <c r="B309"/>
  <c r="E309"/>
  <c r="AA309" s="1"/>
  <c r="M309"/>
  <c r="M308"/>
  <c r="B306"/>
  <c r="E306"/>
  <c r="AA306" s="1"/>
  <c r="B307"/>
  <c r="E307"/>
  <c r="AA307" s="1"/>
  <c r="B308"/>
  <c r="E308"/>
  <c r="AA308" s="1"/>
  <c r="B311"/>
  <c r="E311"/>
  <c r="AA311" s="1"/>
  <c r="B320"/>
  <c r="A320" s="1"/>
  <c r="E320"/>
  <c r="AA320" s="1"/>
  <c r="B324"/>
  <c r="AA324"/>
  <c r="M373"/>
  <c r="E375"/>
  <c r="AA375" s="1"/>
  <c r="E374"/>
  <c r="AA374" s="1"/>
  <c r="E373"/>
  <c r="AA373" s="1"/>
  <c r="M372"/>
  <c r="E372"/>
  <c r="AA372" s="1"/>
  <c r="E371"/>
  <c r="AA371" s="1"/>
  <c r="B371"/>
  <c r="A371" s="1"/>
  <c r="E370"/>
  <c r="AA370" s="1"/>
  <c r="B370"/>
  <c r="A370" s="1"/>
  <c r="E368"/>
  <c r="AA368" s="1"/>
  <c r="B368"/>
  <c r="E367"/>
  <c r="AA367" s="1"/>
  <c r="B367"/>
  <c r="E366"/>
  <c r="AA366" s="1"/>
  <c r="B366"/>
  <c r="E365"/>
  <c r="AA365" s="1"/>
  <c r="B365"/>
  <c r="A365"/>
  <c r="B292"/>
  <c r="E292"/>
  <c r="AA292" s="1"/>
  <c r="E294"/>
  <c r="AA294" s="1"/>
  <c r="B294"/>
  <c r="E293"/>
  <c r="AA293" s="1"/>
  <c r="B293"/>
  <c r="E291"/>
  <c r="AA291" s="1"/>
  <c r="B291"/>
  <c r="B302"/>
  <c r="E302"/>
  <c r="AA302" s="1"/>
  <c r="B303"/>
  <c r="E303"/>
  <c r="AA303" s="1"/>
  <c r="B301"/>
  <c r="E301"/>
  <c r="AA301" s="1"/>
  <c r="E298"/>
  <c r="AA298" s="1"/>
  <c r="E299"/>
  <c r="AA299" s="1"/>
  <c r="E300"/>
  <c r="AA300" s="1"/>
  <c r="E304"/>
  <c r="AA304" s="1"/>
  <c r="E305"/>
  <c r="AA305" s="1"/>
  <c r="E360"/>
  <c r="AA360" s="1"/>
  <c r="E361"/>
  <c r="AA361" s="1"/>
  <c r="E362"/>
  <c r="AA362" s="1"/>
  <c r="E363"/>
  <c r="AA363" s="1"/>
  <c r="E364"/>
  <c r="AA364" s="1"/>
  <c r="E369"/>
  <c r="AA369" s="1"/>
  <c r="E258"/>
  <c r="AA258" s="1"/>
  <c r="E259"/>
  <c r="AA259" s="1"/>
  <c r="E260"/>
  <c r="AA260" s="1"/>
  <c r="E261"/>
  <c r="AA261" s="1"/>
  <c r="E262"/>
  <c r="AA262" s="1"/>
  <c r="E263"/>
  <c r="AA263" s="1"/>
  <c r="B263"/>
  <c r="B262"/>
  <c r="B261"/>
  <c r="B260"/>
  <c r="B259"/>
  <c r="B258"/>
  <c r="M275"/>
  <c r="M274"/>
  <c r="E254"/>
  <c r="AA254" s="1"/>
  <c r="E274"/>
  <c r="AA274" s="1"/>
  <c r="E275"/>
  <c r="AA275" s="1"/>
  <c r="E286"/>
  <c r="AA286" s="1"/>
  <c r="E287"/>
  <c r="AA287" s="1"/>
  <c r="E288"/>
  <c r="AA288" s="1"/>
  <c r="E289"/>
  <c r="AA289" s="1"/>
  <c r="E290"/>
  <c r="AA290" s="1"/>
  <c r="E253"/>
  <c r="AA253" s="1"/>
  <c r="E252"/>
  <c r="AA252" s="1"/>
  <c r="C33" i="62"/>
  <c r="D33"/>
  <c r="S319" i="34" l="1"/>
  <c r="A316"/>
  <c r="Q319"/>
  <c r="A321"/>
  <c r="R321"/>
  <c r="A322"/>
  <c r="R322"/>
  <c r="A323"/>
  <c r="Q323"/>
  <c r="S323"/>
  <c r="Q321"/>
  <c r="S321"/>
  <c r="Q322"/>
  <c r="S322"/>
  <c r="R323"/>
  <c r="R319"/>
  <c r="Q260"/>
  <c r="S260"/>
  <c r="R260"/>
  <c r="Q262"/>
  <c r="S262"/>
  <c r="R262"/>
  <c r="A301"/>
  <c r="R301"/>
  <c r="Q301"/>
  <c r="S301"/>
  <c r="A303"/>
  <c r="R303"/>
  <c r="Q303"/>
  <c r="S303"/>
  <c r="A302"/>
  <c r="Q302"/>
  <c r="S302"/>
  <c r="R302"/>
  <c r="Q259"/>
  <c r="S259"/>
  <c r="R259"/>
  <c r="Q258"/>
  <c r="S258"/>
  <c r="R258"/>
  <c r="Q261"/>
  <c r="S261"/>
  <c r="R261"/>
  <c r="Q263"/>
  <c r="S263"/>
  <c r="R263"/>
  <c r="Q291"/>
  <c r="S291"/>
  <c r="R291"/>
  <c r="Q293"/>
  <c r="S293"/>
  <c r="R293"/>
  <c r="R294"/>
  <c r="Q294"/>
  <c r="S294"/>
  <c r="A292"/>
  <c r="R292"/>
  <c r="Q292"/>
  <c r="S292"/>
  <c r="Q365"/>
  <c r="S365"/>
  <c r="R365"/>
  <c r="R366"/>
  <c r="Q366"/>
  <c r="S366"/>
  <c r="Q367"/>
  <c r="S367"/>
  <c r="R367"/>
  <c r="R368"/>
  <c r="Q368"/>
  <c r="S368"/>
  <c r="A309"/>
  <c r="Q309"/>
  <c r="S309"/>
  <c r="R309"/>
  <c r="A310"/>
  <c r="R310"/>
  <c r="Q310"/>
  <c r="S310"/>
  <c r="A312"/>
  <c r="Q312"/>
  <c r="S312"/>
  <c r="R312"/>
  <c r="A313"/>
  <c r="R313"/>
  <c r="Q313"/>
  <c r="S313"/>
  <c r="A260"/>
  <c r="A317"/>
  <c r="R317"/>
  <c r="A318"/>
  <c r="R318"/>
  <c r="Q317"/>
  <c r="S317"/>
  <c r="Q318"/>
  <c r="S318"/>
  <c r="O35" i="45"/>
  <c r="A315" i="34"/>
  <c r="S316"/>
  <c r="R315"/>
  <c r="A314"/>
  <c r="R314"/>
  <c r="A311"/>
  <c r="Q311"/>
  <c r="S311"/>
  <c r="R311"/>
  <c r="A308"/>
  <c r="Q308"/>
  <c r="S308"/>
  <c r="R308"/>
  <c r="Q307"/>
  <c r="S307"/>
  <c r="R307"/>
  <c r="Q371"/>
  <c r="S371"/>
  <c r="R371"/>
  <c r="A324"/>
  <c r="Q324"/>
  <c r="S324"/>
  <c r="R324"/>
  <c r="Q320"/>
  <c r="S320"/>
  <c r="R320"/>
  <c r="A306"/>
  <c r="Q306"/>
  <c r="S306"/>
  <c r="R306"/>
  <c r="A307"/>
  <c r="Q370"/>
  <c r="S370"/>
  <c r="R370"/>
  <c r="Q314"/>
  <c r="S314"/>
  <c r="Q315"/>
  <c r="S315"/>
  <c r="R316"/>
  <c r="M35" i="45"/>
  <c r="A367" i="34"/>
  <c r="A366"/>
  <c r="A368"/>
  <c r="A293"/>
  <c r="A294"/>
  <c r="A291"/>
  <c r="A262"/>
  <c r="A258"/>
  <c r="A259"/>
  <c r="A261"/>
  <c r="A263"/>
  <c r="B170"/>
  <c r="E170"/>
  <c r="AA170" s="1"/>
  <c r="B171"/>
  <c r="E171"/>
  <c r="AA171" s="1"/>
  <c r="M171"/>
  <c r="M170"/>
  <c r="B154"/>
  <c r="E154"/>
  <c r="AA154" s="1"/>
  <c r="B155"/>
  <c r="E155"/>
  <c r="AA155" s="1"/>
  <c r="M155"/>
  <c r="M154"/>
  <c r="B138"/>
  <c r="E138"/>
  <c r="AA138" s="1"/>
  <c r="B139"/>
  <c r="E139"/>
  <c r="AA139" s="1"/>
  <c r="M139"/>
  <c r="M138"/>
  <c r="B122"/>
  <c r="E122"/>
  <c r="AA122" s="1"/>
  <c r="B123"/>
  <c r="E123"/>
  <c r="AA123" s="1"/>
  <c r="M123"/>
  <c r="M122"/>
  <c r="B106"/>
  <c r="E106"/>
  <c r="AA106" s="1"/>
  <c r="B107"/>
  <c r="E107"/>
  <c r="AA107" s="1"/>
  <c r="M107"/>
  <c r="M106"/>
  <c r="B90"/>
  <c r="E90"/>
  <c r="AA90" s="1"/>
  <c r="B91"/>
  <c r="E91"/>
  <c r="AA91" s="1"/>
  <c r="M91"/>
  <c r="M90"/>
  <c r="M75"/>
  <c r="M74"/>
  <c r="B74"/>
  <c r="E74"/>
  <c r="AA74" s="1"/>
  <c r="B75"/>
  <c r="E75"/>
  <c r="AA75" s="1"/>
  <c r="M65"/>
  <c r="B3586"/>
  <c r="Q3586" s="1"/>
  <c r="AA3586"/>
  <c r="P3586"/>
  <c r="U3586"/>
  <c r="W3586"/>
  <c r="Y3586"/>
  <c r="AB3586"/>
  <c r="AC3586"/>
  <c r="AD3586"/>
  <c r="B1113"/>
  <c r="B1112"/>
  <c r="B1106"/>
  <c r="B1103"/>
  <c r="B1104"/>
  <c r="B1105"/>
  <c r="B1109"/>
  <c r="B1107"/>
  <c r="B1110"/>
  <c r="B1108"/>
  <c r="B1111"/>
  <c r="B2919"/>
  <c r="A2919" s="1"/>
  <c r="AA2919"/>
  <c r="P2919"/>
  <c r="T2919"/>
  <c r="W2919"/>
  <c r="Y2919"/>
  <c r="AB2919"/>
  <c r="AC2919"/>
  <c r="AD2919"/>
  <c r="B2920"/>
  <c r="A2920" s="1"/>
  <c r="P2920"/>
  <c r="T2920"/>
  <c r="V2920"/>
  <c r="W2920"/>
  <c r="Y2920"/>
  <c r="AA2920"/>
  <c r="AB2920"/>
  <c r="AC2920"/>
  <c r="AD2920"/>
  <c r="B2921"/>
  <c r="A2921" s="1"/>
  <c r="AA2921"/>
  <c r="P2921"/>
  <c r="T2921"/>
  <c r="W2921"/>
  <c r="Y2921"/>
  <c r="AB2921"/>
  <c r="AC2921"/>
  <c r="AD2921"/>
  <c r="B2922"/>
  <c r="A2922" s="1"/>
  <c r="P2922"/>
  <c r="T2922"/>
  <c r="V2922"/>
  <c r="W2922"/>
  <c r="Y2922"/>
  <c r="AA2922"/>
  <c r="AB2922"/>
  <c r="AC2922"/>
  <c r="AD2922"/>
  <c r="B2923"/>
  <c r="A2923" s="1"/>
  <c r="AA2923"/>
  <c r="P2923"/>
  <c r="T2923"/>
  <c r="W2923"/>
  <c r="Y2923"/>
  <c r="AB2923"/>
  <c r="AC2923"/>
  <c r="AD2923"/>
  <c r="B2924"/>
  <c r="A2924" s="1"/>
  <c r="P2924"/>
  <c r="T2924"/>
  <c r="V2924"/>
  <c r="W2924"/>
  <c r="Y2924"/>
  <c r="AA2924"/>
  <c r="AB2924"/>
  <c r="AC2924"/>
  <c r="AD2924"/>
  <c r="B2925"/>
  <c r="A2925" s="1"/>
  <c r="AA2925"/>
  <c r="P2925"/>
  <c r="T2925"/>
  <c r="V2925"/>
  <c r="W2925"/>
  <c r="Y2925"/>
  <c r="AB2925"/>
  <c r="AC2925"/>
  <c r="AD2925"/>
  <c r="B2926"/>
  <c r="A2926" s="1"/>
  <c r="P2926"/>
  <c r="T2926"/>
  <c r="V2926"/>
  <c r="W2926"/>
  <c r="Y2926"/>
  <c r="AA2926"/>
  <c r="AB2926"/>
  <c r="AC2926"/>
  <c r="AD2926"/>
  <c r="AD5023"/>
  <c r="AC5023"/>
  <c r="AB5023"/>
  <c r="Y5023"/>
  <c r="W5023"/>
  <c r="P5023"/>
  <c r="AA5023"/>
  <c r="B5023"/>
  <c r="S5023" s="1"/>
  <c r="AD5022"/>
  <c r="AC5022"/>
  <c r="AB5022"/>
  <c r="Y5022"/>
  <c r="W5022"/>
  <c r="P5022"/>
  <c r="AA5022"/>
  <c r="B5022"/>
  <c r="S5022" s="1"/>
  <c r="AD5021"/>
  <c r="AC5021"/>
  <c r="AB5021"/>
  <c r="Y5021"/>
  <c r="W5021"/>
  <c r="P5021"/>
  <c r="AA5021"/>
  <c r="B5021"/>
  <c r="AD5020"/>
  <c r="AC5020"/>
  <c r="AB5020"/>
  <c r="Y5020"/>
  <c r="W5020"/>
  <c r="P5020"/>
  <c r="AA5020"/>
  <c r="B5020"/>
  <c r="Q5020" s="1"/>
  <c r="AD5019"/>
  <c r="AC5019"/>
  <c r="AB5019"/>
  <c r="Y5019"/>
  <c r="W5019"/>
  <c r="P5019"/>
  <c r="AA5019"/>
  <c r="B5019"/>
  <c r="AD5018"/>
  <c r="AC5018"/>
  <c r="AB5018"/>
  <c r="Y5018"/>
  <c r="W5018"/>
  <c r="P5018"/>
  <c r="AA5018"/>
  <c r="B5018"/>
  <c r="B5016"/>
  <c r="A5016" s="1"/>
  <c r="P5016"/>
  <c r="W5016"/>
  <c r="Y5016"/>
  <c r="AA5016"/>
  <c r="AB5016"/>
  <c r="AC5016"/>
  <c r="AD5016"/>
  <c r="B5017"/>
  <c r="A5017" s="1"/>
  <c r="AA5017"/>
  <c r="P5017"/>
  <c r="W5017"/>
  <c r="Y5017"/>
  <c r="AB5017"/>
  <c r="AC5017"/>
  <c r="AD5017"/>
  <c r="B5014"/>
  <c r="A5014" s="1"/>
  <c r="AA5014"/>
  <c r="P5014"/>
  <c r="W5014"/>
  <c r="Y5014"/>
  <c r="AB5014"/>
  <c r="AC5014"/>
  <c r="AD5014"/>
  <c r="B5015"/>
  <c r="A5015" s="1"/>
  <c r="P5015"/>
  <c r="W5015"/>
  <c r="Y5015"/>
  <c r="AA5015"/>
  <c r="AB5015"/>
  <c r="AC5015"/>
  <c r="AD5015"/>
  <c r="AA5013"/>
  <c r="B5012"/>
  <c r="A5012" s="1"/>
  <c r="P5012"/>
  <c r="Q5012"/>
  <c r="W5012"/>
  <c r="Y5012"/>
  <c r="AA5012"/>
  <c r="AB5012"/>
  <c r="AC5012"/>
  <c r="AD5012"/>
  <c r="B5013"/>
  <c r="A5013" s="1"/>
  <c r="P5013"/>
  <c r="Q5013"/>
  <c r="W5013"/>
  <c r="Y5013"/>
  <c r="AB5013"/>
  <c r="AC5013"/>
  <c r="AD5013"/>
  <c r="B5024"/>
  <c r="A5024" s="1"/>
  <c r="P5024"/>
  <c r="Q5024"/>
  <c r="W5024"/>
  <c r="Y5024"/>
  <c r="AA5024"/>
  <c r="AB5024"/>
  <c r="AC5024"/>
  <c r="AD5024"/>
  <c r="B5025"/>
  <c r="A5025" s="1"/>
  <c r="P5025"/>
  <c r="Q5025"/>
  <c r="W5025"/>
  <c r="Y5025"/>
  <c r="AA5025"/>
  <c r="AB5025"/>
  <c r="AC5025"/>
  <c r="AD5025"/>
  <c r="B4283"/>
  <c r="A4283" s="1"/>
  <c r="P4283"/>
  <c r="W4283"/>
  <c r="Y4283"/>
  <c r="AA4283"/>
  <c r="AB4283"/>
  <c r="AC4283"/>
  <c r="AD4283"/>
  <c r="B4254"/>
  <c r="A4254" s="1"/>
  <c r="P4254"/>
  <c r="W4254"/>
  <c r="Y4254"/>
  <c r="AA4254"/>
  <c r="AB4254"/>
  <c r="AC4254"/>
  <c r="AD4254"/>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T1814"/>
  <c r="U1814"/>
  <c r="V1814"/>
  <c r="W1814"/>
  <c r="Y1814"/>
  <c r="AB1814"/>
  <c r="AC1814"/>
  <c r="AD1814"/>
  <c r="P1815"/>
  <c r="T1815"/>
  <c r="U1815"/>
  <c r="V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A1830"/>
  <c r="AB1830"/>
  <c r="AC1830"/>
  <c r="P1831"/>
  <c r="T1831"/>
  <c r="U1831"/>
  <c r="V1831"/>
  <c r="W1831"/>
  <c r="Y1831"/>
  <c r="AA1831"/>
  <c r="AB1831"/>
  <c r="AC1831"/>
  <c r="P1832"/>
  <c r="T1832"/>
  <c r="U1832"/>
  <c r="V1832"/>
  <c r="W1832"/>
  <c r="Y1832"/>
  <c r="AA1832"/>
  <c r="AB1832"/>
  <c r="AC1832"/>
  <c r="P1833"/>
  <c r="T1833"/>
  <c r="U1833"/>
  <c r="V1833"/>
  <c r="W1833"/>
  <c r="Y1833"/>
  <c r="AA1833"/>
  <c r="AB1833"/>
  <c r="AC1833"/>
  <c r="P1834"/>
  <c r="T1834"/>
  <c r="U1834"/>
  <c r="V1834"/>
  <c r="W1834"/>
  <c r="Y1834"/>
  <c r="AA1834"/>
  <c r="AB1834"/>
  <c r="AC1834"/>
  <c r="P1835"/>
  <c r="T1835"/>
  <c r="U1835"/>
  <c r="V1835"/>
  <c r="W1835"/>
  <c r="Y1835"/>
  <c r="AA1835"/>
  <c r="AB1835"/>
  <c r="AC1835"/>
  <c r="P1836"/>
  <c r="T1836"/>
  <c r="U1836"/>
  <c r="V1836"/>
  <c r="W1836"/>
  <c r="Y1836"/>
  <c r="AA1836"/>
  <c r="AB1836"/>
  <c r="AC1836"/>
  <c r="P1837"/>
  <c r="T1837"/>
  <c r="U1837"/>
  <c r="V1837"/>
  <c r="W1837"/>
  <c r="Y1837"/>
  <c r="AA1837"/>
  <c r="AB1837"/>
  <c r="AC1837"/>
  <c r="P1838"/>
  <c r="T1838"/>
  <c r="U1838"/>
  <c r="V1838"/>
  <c r="W1838"/>
  <c r="Y1838"/>
  <c r="AA1838"/>
  <c r="AB1838"/>
  <c r="AC1838"/>
  <c r="P1839"/>
  <c r="T1839"/>
  <c r="U1839"/>
  <c r="V1839"/>
  <c r="W1839"/>
  <c r="Y1839"/>
  <c r="AA1839"/>
  <c r="AB1839"/>
  <c r="AC1839"/>
  <c r="P1840"/>
  <c r="T1840"/>
  <c r="U1840"/>
  <c r="V1840"/>
  <c r="W1840"/>
  <c r="Y1840"/>
  <c r="AA1840"/>
  <c r="AB1840"/>
  <c r="AC1840"/>
  <c r="P1841"/>
  <c r="T1841"/>
  <c r="U1841"/>
  <c r="V1841"/>
  <c r="W1841"/>
  <c r="Y1841"/>
  <c r="AA1841"/>
  <c r="AB1841"/>
  <c r="AC1841"/>
  <c r="P1842"/>
  <c r="T1842"/>
  <c r="U1842"/>
  <c r="V1842"/>
  <c r="W1842"/>
  <c r="Y1842"/>
  <c r="AA1842"/>
  <c r="AB1842"/>
  <c r="AC1842"/>
  <c r="P1843"/>
  <c r="T1843"/>
  <c r="U1843"/>
  <c r="V1843"/>
  <c r="W1843"/>
  <c r="Y1843"/>
  <c r="AA1843"/>
  <c r="AB1843"/>
  <c r="AC1843"/>
  <c r="P1844"/>
  <c r="T1844"/>
  <c r="U1844"/>
  <c r="V1844"/>
  <c r="W1844"/>
  <c r="Y1844"/>
  <c r="AA1844"/>
  <c r="AB1844"/>
  <c r="AC1844"/>
  <c r="P1845"/>
  <c r="T1845"/>
  <c r="U1845"/>
  <c r="V1845"/>
  <c r="W1845"/>
  <c r="Y1845"/>
  <c r="AA1845"/>
  <c r="AB1845"/>
  <c r="AC1845"/>
  <c r="P1846"/>
  <c r="T1846"/>
  <c r="U1846"/>
  <c r="V1846"/>
  <c r="W1846"/>
  <c r="Y1846"/>
  <c r="AA1846"/>
  <c r="AB1846"/>
  <c r="AC1846"/>
  <c r="P1847"/>
  <c r="T1847"/>
  <c r="U1847"/>
  <c r="V1847"/>
  <c r="W1847"/>
  <c r="Y1847"/>
  <c r="AA1847"/>
  <c r="AB1847"/>
  <c r="AC1847"/>
  <c r="P1848"/>
  <c r="T1848"/>
  <c r="U1848"/>
  <c r="V1848"/>
  <c r="W1848"/>
  <c r="Y1848"/>
  <c r="AA1848"/>
  <c r="AB1848"/>
  <c r="AC1848"/>
  <c r="P1849"/>
  <c r="T1849"/>
  <c r="U1849"/>
  <c r="V1849"/>
  <c r="W1849"/>
  <c r="Y1849"/>
  <c r="AA1849"/>
  <c r="AB1849"/>
  <c r="AC1849"/>
  <c r="P1850"/>
  <c r="T1850"/>
  <c r="U1850"/>
  <c r="V1850"/>
  <c r="W1850"/>
  <c r="Y1850"/>
  <c r="AA1850"/>
  <c r="AB1850"/>
  <c r="AC1850"/>
  <c r="P1851"/>
  <c r="T1851"/>
  <c r="U1851"/>
  <c r="V1851"/>
  <c r="W1851"/>
  <c r="Y1851"/>
  <c r="AA1851"/>
  <c r="AB1851"/>
  <c r="AC1851"/>
  <c r="P1852"/>
  <c r="T1852"/>
  <c r="U1852"/>
  <c r="V1852"/>
  <c r="W1852"/>
  <c r="Y1852"/>
  <c r="AA1852"/>
  <c r="AB1852"/>
  <c r="AC1852"/>
  <c r="P1853"/>
  <c r="T1853"/>
  <c r="U1853"/>
  <c r="V1853"/>
  <c r="W1853"/>
  <c r="Y1853"/>
  <c r="AA1853"/>
  <c r="AB1853"/>
  <c r="AC1853"/>
  <c r="P1854"/>
  <c r="T1854"/>
  <c r="U1854"/>
  <c r="V1854"/>
  <c r="W1854"/>
  <c r="Y1854"/>
  <c r="AA1854"/>
  <c r="AB1854"/>
  <c r="AC1854"/>
  <c r="P1855"/>
  <c r="T1855"/>
  <c r="U1855"/>
  <c r="V1855"/>
  <c r="W1855"/>
  <c r="Y1855"/>
  <c r="AA1855"/>
  <c r="AB1855"/>
  <c r="AC1855"/>
  <c r="P1856"/>
  <c r="T1856"/>
  <c r="U1856"/>
  <c r="V1856"/>
  <c r="W1856"/>
  <c r="Y1856"/>
  <c r="AA1856"/>
  <c r="AB1856"/>
  <c r="AC1856"/>
  <c r="P1857"/>
  <c r="T1857"/>
  <c r="U1857"/>
  <c r="V1857"/>
  <c r="W1857"/>
  <c r="Y1857"/>
  <c r="AA1857"/>
  <c r="AB1857"/>
  <c r="AC1857"/>
  <c r="P1858"/>
  <c r="T1858"/>
  <c r="U1858"/>
  <c r="V1858"/>
  <c r="W1858"/>
  <c r="Y1858"/>
  <c r="AA1858"/>
  <c r="AB1858"/>
  <c r="AC1858"/>
  <c r="P1859"/>
  <c r="T1859"/>
  <c r="U1859"/>
  <c r="V1859"/>
  <c r="W1859"/>
  <c r="Y1859"/>
  <c r="AA1859"/>
  <c r="AB1859"/>
  <c r="AC1859"/>
  <c r="P1860"/>
  <c r="T1860"/>
  <c r="U1860"/>
  <c r="V1860"/>
  <c r="W1860"/>
  <c r="Y1860"/>
  <c r="AA1860"/>
  <c r="AB1860"/>
  <c r="AC1860"/>
  <c r="P1861"/>
  <c r="T1861"/>
  <c r="U1861"/>
  <c r="V1861"/>
  <c r="W1861"/>
  <c r="Y1861"/>
  <c r="AA1861"/>
  <c r="AB1861"/>
  <c r="AC1861"/>
  <c r="P1862"/>
  <c r="T1862"/>
  <c r="U1862"/>
  <c r="V1862"/>
  <c r="W1862"/>
  <c r="Y1862"/>
  <c r="AA1862"/>
  <c r="AB1862"/>
  <c r="AC1862"/>
  <c r="P1863"/>
  <c r="T1863"/>
  <c r="U1863"/>
  <c r="V1863"/>
  <c r="W1863"/>
  <c r="Y1863"/>
  <c r="AA1863"/>
  <c r="AB1863"/>
  <c r="AC1863"/>
  <c r="P1864"/>
  <c r="T1864"/>
  <c r="U1864"/>
  <c r="V1864"/>
  <c r="W1864"/>
  <c r="Y1864"/>
  <c r="AA1864"/>
  <c r="AB1864"/>
  <c r="AC1864"/>
  <c r="P1865"/>
  <c r="T1865"/>
  <c r="U1865"/>
  <c r="V1865"/>
  <c r="W1865"/>
  <c r="Y1865"/>
  <c r="AA1865"/>
  <c r="AB1865"/>
  <c r="AC1865"/>
  <c r="P1866"/>
  <c r="T1866"/>
  <c r="U1866"/>
  <c r="V1866"/>
  <c r="W1866"/>
  <c r="Y1866"/>
  <c r="AA1866"/>
  <c r="AB1866"/>
  <c r="AC1866"/>
  <c r="P1867"/>
  <c r="T1867"/>
  <c r="U1867"/>
  <c r="V1867"/>
  <c r="W1867"/>
  <c r="Y1867"/>
  <c r="AA1867"/>
  <c r="AB1867"/>
  <c r="AC1867"/>
  <c r="P1868"/>
  <c r="T1868"/>
  <c r="U1868"/>
  <c r="V1868"/>
  <c r="W1868"/>
  <c r="Y1868"/>
  <c r="AA1868"/>
  <c r="AB1868"/>
  <c r="AC1868"/>
  <c r="P1869"/>
  <c r="T1869"/>
  <c r="U1869"/>
  <c r="V1869"/>
  <c r="W1869"/>
  <c r="Y1869"/>
  <c r="AA1869"/>
  <c r="AB1869"/>
  <c r="AC1869"/>
  <c r="P1870"/>
  <c r="T1870"/>
  <c r="U1870"/>
  <c r="V1870"/>
  <c r="W1870"/>
  <c r="Y1870"/>
  <c r="AA1870"/>
  <c r="AB1870"/>
  <c r="AC1870"/>
  <c r="P1871"/>
  <c r="T1871"/>
  <c r="U1871"/>
  <c r="V1871"/>
  <c r="W1871"/>
  <c r="Y1871"/>
  <c r="AA1871"/>
  <c r="AB1871"/>
  <c r="AC1871"/>
  <c r="P1872"/>
  <c r="T1872"/>
  <c r="U1872"/>
  <c r="V1872"/>
  <c r="W1872"/>
  <c r="Y1872"/>
  <c r="AA1872"/>
  <c r="AB1872"/>
  <c r="AC1872"/>
  <c r="P1873"/>
  <c r="T1873"/>
  <c r="U1873"/>
  <c r="V1873"/>
  <c r="W1873"/>
  <c r="Y1873"/>
  <c r="AA1873"/>
  <c r="AB1873"/>
  <c r="AC1873"/>
  <c r="P1874"/>
  <c r="T1874"/>
  <c r="U1874"/>
  <c r="V1874"/>
  <c r="W1874"/>
  <c r="Y1874"/>
  <c r="AA1874"/>
  <c r="AB1874"/>
  <c r="AC1874"/>
  <c r="P1875"/>
  <c r="T1875"/>
  <c r="U1875"/>
  <c r="V1875"/>
  <c r="W1875"/>
  <c r="Y1875"/>
  <c r="AA1875"/>
  <c r="AB1875"/>
  <c r="AC1875"/>
  <c r="P1876"/>
  <c r="T1876"/>
  <c r="U1876"/>
  <c r="V1876"/>
  <c r="W1876"/>
  <c r="Y1876"/>
  <c r="AA1876"/>
  <c r="AB1876"/>
  <c r="AC1876"/>
  <c r="P1877"/>
  <c r="T1877"/>
  <c r="U1877"/>
  <c r="V1877"/>
  <c r="W1877"/>
  <c r="Y1877"/>
  <c r="AA1877"/>
  <c r="AB1877"/>
  <c r="AC1877"/>
  <c r="P1878"/>
  <c r="T1878"/>
  <c r="U1878"/>
  <c r="V1878"/>
  <c r="W1878"/>
  <c r="Y1878"/>
  <c r="AA1878"/>
  <c r="AB1878"/>
  <c r="AC1878"/>
  <c r="P1879"/>
  <c r="T1879"/>
  <c r="U1879"/>
  <c r="V1879"/>
  <c r="W1879"/>
  <c r="Y1879"/>
  <c r="AA1879"/>
  <c r="AB1879"/>
  <c r="AC1879"/>
  <c r="P1880"/>
  <c r="T1880"/>
  <c r="U1880"/>
  <c r="V1880"/>
  <c r="W1880"/>
  <c r="Y1880"/>
  <c r="AA1880"/>
  <c r="AB1880"/>
  <c r="AC1880"/>
  <c r="P1881"/>
  <c r="T1881"/>
  <c r="U1881"/>
  <c r="V1881"/>
  <c r="W1881"/>
  <c r="Y1881"/>
  <c r="AA1881"/>
  <c r="AB1881"/>
  <c r="AC1881"/>
  <c r="P1882"/>
  <c r="T1882"/>
  <c r="U1882"/>
  <c r="V1882"/>
  <c r="W1882"/>
  <c r="Y1882"/>
  <c r="AA1882"/>
  <c r="AB1882"/>
  <c r="AC1882"/>
  <c r="P1883"/>
  <c r="T1883"/>
  <c r="U1883"/>
  <c r="V1883"/>
  <c r="W1883"/>
  <c r="Y1883"/>
  <c r="AA1883"/>
  <c r="AB1883"/>
  <c r="AC1883"/>
  <c r="P1884"/>
  <c r="T1884"/>
  <c r="U1884"/>
  <c r="V1884"/>
  <c r="W1884"/>
  <c r="Y1884"/>
  <c r="AA1884"/>
  <c r="AB1884"/>
  <c r="AC1884"/>
  <c r="P1885"/>
  <c r="T1885"/>
  <c r="U1885"/>
  <c r="V1885"/>
  <c r="W1885"/>
  <c r="Y1885"/>
  <c r="AA1885"/>
  <c r="AB1885"/>
  <c r="AC1885"/>
  <c r="P1886"/>
  <c r="T1886"/>
  <c r="U1886"/>
  <c r="V1886"/>
  <c r="W1886"/>
  <c r="Y1886"/>
  <c r="AA1886"/>
  <c r="AB1886"/>
  <c r="AC1886"/>
  <c r="P1887"/>
  <c r="T1887"/>
  <c r="U1887"/>
  <c r="V1887"/>
  <c r="W1887"/>
  <c r="Y1887"/>
  <c r="AA1887"/>
  <c r="AB1887"/>
  <c r="AC1887"/>
  <c r="P1888"/>
  <c r="T1888"/>
  <c r="U1888"/>
  <c r="V1888"/>
  <c r="W1888"/>
  <c r="Y1888"/>
  <c r="AA1888"/>
  <c r="AB1888"/>
  <c r="AC1888"/>
  <c r="P1889"/>
  <c r="T1889"/>
  <c r="U1889"/>
  <c r="V1889"/>
  <c r="W1889"/>
  <c r="Y1889"/>
  <c r="AA1889"/>
  <c r="AB1889"/>
  <c r="AC1889"/>
  <c r="P1890"/>
  <c r="T1890"/>
  <c r="U1890"/>
  <c r="V1890"/>
  <c r="W1890"/>
  <c r="Y1890"/>
  <c r="AA1890"/>
  <c r="AB1890"/>
  <c r="AC1890"/>
  <c r="P1891"/>
  <c r="T1891"/>
  <c r="U1891"/>
  <c r="V1891"/>
  <c r="W1891"/>
  <c r="Y1891"/>
  <c r="AA1891"/>
  <c r="AB1891"/>
  <c r="AC1891"/>
  <c r="P1892"/>
  <c r="T1892"/>
  <c r="U1892"/>
  <c r="V1892"/>
  <c r="W1892"/>
  <c r="Y1892"/>
  <c r="AA1892"/>
  <c r="AB1892"/>
  <c r="AC1892"/>
  <c r="P1893"/>
  <c r="T1893"/>
  <c r="U1893"/>
  <c r="V1893"/>
  <c r="W1893"/>
  <c r="Y1893"/>
  <c r="AA1893"/>
  <c r="AB1893"/>
  <c r="AC1893"/>
  <c r="P1894"/>
  <c r="T1894"/>
  <c r="U1894"/>
  <c r="V1894"/>
  <c r="W1894"/>
  <c r="Y1894"/>
  <c r="AA1894"/>
  <c r="AB1894"/>
  <c r="AC1894"/>
  <c r="P1895"/>
  <c r="T1895"/>
  <c r="U1895"/>
  <c r="V1895"/>
  <c r="W1895"/>
  <c r="Y1895"/>
  <c r="AA1895"/>
  <c r="AB1895"/>
  <c r="AC1895"/>
  <c r="P1896"/>
  <c r="T1896"/>
  <c r="U1896"/>
  <c r="V1896"/>
  <c r="W1896"/>
  <c r="Y1896"/>
  <c r="AA1896"/>
  <c r="AB1896"/>
  <c r="AC1896"/>
  <c r="P1897"/>
  <c r="T1897"/>
  <c r="U1897"/>
  <c r="V1897"/>
  <c r="W1897"/>
  <c r="Y1897"/>
  <c r="AA1897"/>
  <c r="AB1897"/>
  <c r="AC1897"/>
  <c r="P1898"/>
  <c r="T1898"/>
  <c r="U1898"/>
  <c r="V1898"/>
  <c r="W1898"/>
  <c r="Y1898"/>
  <c r="AA1898"/>
  <c r="AB1898"/>
  <c r="AC1898"/>
  <c r="P1899"/>
  <c r="T1899"/>
  <c r="U1899"/>
  <c r="V1899"/>
  <c r="W1899"/>
  <c r="Y1899"/>
  <c r="AA1899"/>
  <c r="AB1899"/>
  <c r="AC1899"/>
  <c r="P1900"/>
  <c r="T1900"/>
  <c r="U1900"/>
  <c r="V1900"/>
  <c r="W1900"/>
  <c r="Y1900"/>
  <c r="AA1900"/>
  <c r="AB1900"/>
  <c r="AC1900"/>
  <c r="P1901"/>
  <c r="T1901"/>
  <c r="U1901"/>
  <c r="V1901"/>
  <c r="W1901"/>
  <c r="Y1901"/>
  <c r="AA1901"/>
  <c r="AB1901"/>
  <c r="AC1901"/>
  <c r="P1902"/>
  <c r="T1902"/>
  <c r="U1902"/>
  <c r="V1902"/>
  <c r="W1902"/>
  <c r="Y1902"/>
  <c r="AA1902"/>
  <c r="AB1902"/>
  <c r="AC1902"/>
  <c r="P1903"/>
  <c r="T1903"/>
  <c r="U1903"/>
  <c r="V1903"/>
  <c r="W1903"/>
  <c r="Y1903"/>
  <c r="AA1903"/>
  <c r="AB1903"/>
  <c r="AC1903"/>
  <c r="P1904"/>
  <c r="T1904"/>
  <c r="U1904"/>
  <c r="V1904"/>
  <c r="W1904"/>
  <c r="Y1904"/>
  <c r="AA1904"/>
  <c r="AB1904"/>
  <c r="AC1904"/>
  <c r="P1905"/>
  <c r="T1905"/>
  <c r="U1905"/>
  <c r="V1905"/>
  <c r="W1905"/>
  <c r="Y1905"/>
  <c r="AA1905"/>
  <c r="AB1905"/>
  <c r="AC1905"/>
  <c r="P1906"/>
  <c r="T1906"/>
  <c r="U1906"/>
  <c r="V1906"/>
  <c r="W1906"/>
  <c r="Y1906"/>
  <c r="AA1906"/>
  <c r="AB1906"/>
  <c r="AC1906"/>
  <c r="P1907"/>
  <c r="T1907"/>
  <c r="U1907"/>
  <c r="V1907"/>
  <c r="W1907"/>
  <c r="Y1907"/>
  <c r="AA1907"/>
  <c r="AB1907"/>
  <c r="AC1907"/>
  <c r="P1908"/>
  <c r="T1908"/>
  <c r="U1908"/>
  <c r="V1908"/>
  <c r="W1908"/>
  <c r="Y1908"/>
  <c r="AA1908"/>
  <c r="AB1908"/>
  <c r="AC1908"/>
  <c r="P1909"/>
  <c r="T1909"/>
  <c r="U1909"/>
  <c r="V1909"/>
  <c r="W1909"/>
  <c r="Y1909"/>
  <c r="AA1909"/>
  <c r="AB1909"/>
  <c r="AC1909"/>
  <c r="P1910"/>
  <c r="T1910"/>
  <c r="U1910"/>
  <c r="V1910"/>
  <c r="W1910"/>
  <c r="Y1910"/>
  <c r="AA1910"/>
  <c r="AB1910"/>
  <c r="AC1910"/>
  <c r="P1911"/>
  <c r="T1911"/>
  <c r="U1911"/>
  <c r="V1911"/>
  <c r="W1911"/>
  <c r="Y1911"/>
  <c r="AA1911"/>
  <c r="AB1911"/>
  <c r="AC1911"/>
  <c r="P1912"/>
  <c r="T1912"/>
  <c r="U1912"/>
  <c r="V1912"/>
  <c r="W1912"/>
  <c r="Y1912"/>
  <c r="AA1912"/>
  <c r="AB1912"/>
  <c r="AC1912"/>
  <c r="P1913"/>
  <c r="T1913"/>
  <c r="U1913"/>
  <c r="V1913"/>
  <c r="W1913"/>
  <c r="Y1913"/>
  <c r="AA1913"/>
  <c r="AB1913"/>
  <c r="AC1913"/>
  <c r="P1914"/>
  <c r="T1914"/>
  <c r="U1914"/>
  <c r="V1914"/>
  <c r="W1914"/>
  <c r="Y1914"/>
  <c r="AA1914"/>
  <c r="AB1914"/>
  <c r="AC1914"/>
  <c r="P1915"/>
  <c r="T1915"/>
  <c r="U1915"/>
  <c r="V1915"/>
  <c r="W1915"/>
  <c r="Y1915"/>
  <c r="AA1915"/>
  <c r="AB1915"/>
  <c r="AC1915"/>
  <c r="P1916"/>
  <c r="T1916"/>
  <c r="U1916"/>
  <c r="V1916"/>
  <c r="W1916"/>
  <c r="Y1916"/>
  <c r="AA1916"/>
  <c r="AB1916"/>
  <c r="AC1916"/>
  <c r="P1917"/>
  <c r="T1917"/>
  <c r="U1917"/>
  <c r="V1917"/>
  <c r="W1917"/>
  <c r="Y1917"/>
  <c r="AA1917"/>
  <c r="AB1917"/>
  <c r="AC1917"/>
  <c r="P1918"/>
  <c r="T1918"/>
  <c r="U1918"/>
  <c r="V1918"/>
  <c r="W1918"/>
  <c r="Y1918"/>
  <c r="AA1918"/>
  <c r="AB1918"/>
  <c r="AC1918"/>
  <c r="P1919"/>
  <c r="T1919"/>
  <c r="U1919"/>
  <c r="V1919"/>
  <c r="W1919"/>
  <c r="Y1919"/>
  <c r="AA1919"/>
  <c r="AB1919"/>
  <c r="AC1919"/>
  <c r="P1920"/>
  <c r="T1920"/>
  <c r="U1920"/>
  <c r="V1920"/>
  <c r="W1920"/>
  <c r="Y1920"/>
  <c r="AA1920"/>
  <c r="AB1920"/>
  <c r="AC1920"/>
  <c r="P1921"/>
  <c r="T1921"/>
  <c r="U1921"/>
  <c r="V1921"/>
  <c r="W1921"/>
  <c r="Y1921"/>
  <c r="AA1921"/>
  <c r="AB1921"/>
  <c r="AC1921"/>
  <c r="P1922"/>
  <c r="T1922"/>
  <c r="U1922"/>
  <c r="V1922"/>
  <c r="W1922"/>
  <c r="Y1922"/>
  <c r="AA1922"/>
  <c r="AB1922"/>
  <c r="AC1922"/>
  <c r="P1923"/>
  <c r="T1923"/>
  <c r="U1923"/>
  <c r="V1923"/>
  <c r="W1923"/>
  <c r="Y1923"/>
  <c r="AA1923"/>
  <c r="AB1923"/>
  <c r="AC1923"/>
  <c r="P1924"/>
  <c r="T1924"/>
  <c r="U1924"/>
  <c r="V1924"/>
  <c r="W1924"/>
  <c r="Y1924"/>
  <c r="AA1924"/>
  <c r="AB1924"/>
  <c r="AC1924"/>
  <c r="P1925"/>
  <c r="T1925"/>
  <c r="U1925"/>
  <c r="V1925"/>
  <c r="W1925"/>
  <c r="Y1925"/>
  <c r="AA1925"/>
  <c r="AB1925"/>
  <c r="AC1925"/>
  <c r="P1926"/>
  <c r="T1926"/>
  <c r="U1926"/>
  <c r="V1926"/>
  <c r="W1926"/>
  <c r="Y1926"/>
  <c r="AA1926"/>
  <c r="AB1926"/>
  <c r="AC1926"/>
  <c r="P1927"/>
  <c r="T1927"/>
  <c r="U1927"/>
  <c r="V1927"/>
  <c r="W1927"/>
  <c r="Y1927"/>
  <c r="AA1927"/>
  <c r="AB1927"/>
  <c r="AC1927"/>
  <c r="P1928"/>
  <c r="T1928"/>
  <c r="U1928"/>
  <c r="V1928"/>
  <c r="W1928"/>
  <c r="Y1928"/>
  <c r="AA1928"/>
  <c r="AB1928"/>
  <c r="AC1928"/>
  <c r="P1929"/>
  <c r="T1929"/>
  <c r="U1929"/>
  <c r="V1929"/>
  <c r="W1929"/>
  <c r="Y1929"/>
  <c r="AA1929"/>
  <c r="AB1929"/>
  <c r="AC1929"/>
  <c r="P1930"/>
  <c r="T1930"/>
  <c r="U1930"/>
  <c r="V1930"/>
  <c r="W1930"/>
  <c r="Y1930"/>
  <c r="AA1930"/>
  <c r="AB1930"/>
  <c r="AC1930"/>
  <c r="P1931"/>
  <c r="T1931"/>
  <c r="U1931"/>
  <c r="V1931"/>
  <c r="W1931"/>
  <c r="Y1931"/>
  <c r="AA1931"/>
  <c r="AB1931"/>
  <c r="AC1931"/>
  <c r="P1932"/>
  <c r="T1932"/>
  <c r="U1932"/>
  <c r="V1932"/>
  <c r="W1932"/>
  <c r="Y1932"/>
  <c r="AA1932"/>
  <c r="AB1932"/>
  <c r="AC1932"/>
  <c r="P1933"/>
  <c r="T1933"/>
  <c r="U1933"/>
  <c r="V1933"/>
  <c r="W1933"/>
  <c r="Y1933"/>
  <c r="AA1933"/>
  <c r="AB1933"/>
  <c r="AC1933"/>
  <c r="P1934"/>
  <c r="T1934"/>
  <c r="U1934"/>
  <c r="V1934"/>
  <c r="W1934"/>
  <c r="Y1934"/>
  <c r="AA1934"/>
  <c r="AB1934"/>
  <c r="AC1934"/>
  <c r="P1935"/>
  <c r="T1935"/>
  <c r="U1935"/>
  <c r="V1935"/>
  <c r="W1935"/>
  <c r="Y1935"/>
  <c r="AA1935"/>
  <c r="AB1935"/>
  <c r="AC1935"/>
  <c r="P1936"/>
  <c r="T1936"/>
  <c r="U1936"/>
  <c r="V1936"/>
  <c r="W1936"/>
  <c r="Y1936"/>
  <c r="AA1936"/>
  <c r="AB1936"/>
  <c r="AC1936"/>
  <c r="P1937"/>
  <c r="T1937"/>
  <c r="U1937"/>
  <c r="V1937"/>
  <c r="W1937"/>
  <c r="Y1937"/>
  <c r="AA1937"/>
  <c r="AB1937"/>
  <c r="AC1937"/>
  <c r="P1938"/>
  <c r="T1938"/>
  <c r="U1938"/>
  <c r="V1938"/>
  <c r="W1938"/>
  <c r="Y1938"/>
  <c r="AA1938"/>
  <c r="AB1938"/>
  <c r="AC1938"/>
  <c r="P1939"/>
  <c r="T1939"/>
  <c r="U1939"/>
  <c r="V1939"/>
  <c r="W1939"/>
  <c r="Y1939"/>
  <c r="AA1939"/>
  <c r="AB1939"/>
  <c r="AC1939"/>
  <c r="P1940"/>
  <c r="T1940"/>
  <c r="U1940"/>
  <c r="V1940"/>
  <c r="W1940"/>
  <c r="Y1940"/>
  <c r="AA1940"/>
  <c r="AB1940"/>
  <c r="AC1940"/>
  <c r="P1941"/>
  <c r="T1941"/>
  <c r="U1941"/>
  <c r="V1941"/>
  <c r="W1941"/>
  <c r="Y1941"/>
  <c r="AA1941"/>
  <c r="AB1941"/>
  <c r="AC1941"/>
  <c r="P1942"/>
  <c r="T1942"/>
  <c r="U1942"/>
  <c r="V1942"/>
  <c r="W1942"/>
  <c r="Y1942"/>
  <c r="AA1942"/>
  <c r="AB1942"/>
  <c r="AC1942"/>
  <c r="P1943"/>
  <c r="T1943"/>
  <c r="U1943"/>
  <c r="V1943"/>
  <c r="W1943"/>
  <c r="Y1943"/>
  <c r="AA1943"/>
  <c r="AB1943"/>
  <c r="AC1943"/>
  <c r="P1944"/>
  <c r="T1944"/>
  <c r="U1944"/>
  <c r="V1944"/>
  <c r="W1944"/>
  <c r="Y1944"/>
  <c r="AA1944"/>
  <c r="AB1944"/>
  <c r="AC1944"/>
  <c r="P1945"/>
  <c r="T1945"/>
  <c r="U1945"/>
  <c r="V1945"/>
  <c r="W1945"/>
  <c r="Y1945"/>
  <c r="AA1945"/>
  <c r="AB1945"/>
  <c r="AC1945"/>
  <c r="P1946"/>
  <c r="T1946"/>
  <c r="U1946"/>
  <c r="V1946"/>
  <c r="W1946"/>
  <c r="Y1946"/>
  <c r="AA1946"/>
  <c r="AB1946"/>
  <c r="AC1946"/>
  <c r="P1947"/>
  <c r="T1947"/>
  <c r="U1947"/>
  <c r="V1947"/>
  <c r="W1947"/>
  <c r="Y1947"/>
  <c r="AA1947"/>
  <c r="AB1947"/>
  <c r="AC1947"/>
  <c r="P1948"/>
  <c r="T1948"/>
  <c r="U1948"/>
  <c r="V1948"/>
  <c r="W1948"/>
  <c r="Y1948"/>
  <c r="AA1948"/>
  <c r="AB1948"/>
  <c r="AC1948"/>
  <c r="P1949"/>
  <c r="T1949"/>
  <c r="U1949"/>
  <c r="V1949"/>
  <c r="W1949"/>
  <c r="Y1949"/>
  <c r="AA1949"/>
  <c r="AB1949"/>
  <c r="AC1949"/>
  <c r="P1950"/>
  <c r="T1950"/>
  <c r="U1950"/>
  <c r="V1950"/>
  <c r="W1950"/>
  <c r="Y1950"/>
  <c r="AA1950"/>
  <c r="AB1950"/>
  <c r="AC1950"/>
  <c r="P1951"/>
  <c r="T1951"/>
  <c r="U1951"/>
  <c r="V1951"/>
  <c r="W1951"/>
  <c r="Y1951"/>
  <c r="AA1951"/>
  <c r="AB1951"/>
  <c r="AC1951"/>
  <c r="P1952"/>
  <c r="T1952"/>
  <c r="U1952"/>
  <c r="V1952"/>
  <c r="W1952"/>
  <c r="Y1952"/>
  <c r="AA1952"/>
  <c r="AB1952"/>
  <c r="AC1952"/>
  <c r="P1953"/>
  <c r="T1953"/>
  <c r="U1953"/>
  <c r="V1953"/>
  <c r="W1953"/>
  <c r="Y1953"/>
  <c r="AA1953"/>
  <c r="AB1953"/>
  <c r="AC1953"/>
  <c r="P1954"/>
  <c r="T1954"/>
  <c r="U1954"/>
  <c r="V1954"/>
  <c r="W1954"/>
  <c r="Y1954"/>
  <c r="AA1954"/>
  <c r="AB1954"/>
  <c r="AC1954"/>
  <c r="P1955"/>
  <c r="T1955"/>
  <c r="U1955"/>
  <c r="V1955"/>
  <c r="W1955"/>
  <c r="Y1955"/>
  <c r="AA1955"/>
  <c r="AB1955"/>
  <c r="AC1955"/>
  <c r="P1956"/>
  <c r="T1956"/>
  <c r="U1956"/>
  <c r="V1956"/>
  <c r="W1956"/>
  <c r="Y1956"/>
  <c r="AA1956"/>
  <c r="AB1956"/>
  <c r="AC1956"/>
  <c r="P1957"/>
  <c r="T1957"/>
  <c r="U1957"/>
  <c r="V1957"/>
  <c r="W1957"/>
  <c r="Y1957"/>
  <c r="AA1957"/>
  <c r="AB1957"/>
  <c r="AC1957"/>
  <c r="P1958"/>
  <c r="T1958"/>
  <c r="U1958"/>
  <c r="V1958"/>
  <c r="W1958"/>
  <c r="Y1958"/>
  <c r="AA1958"/>
  <c r="AB1958"/>
  <c r="AC1958"/>
  <c r="P1959"/>
  <c r="T1959"/>
  <c r="U1959"/>
  <c r="V1959"/>
  <c r="W1959"/>
  <c r="Y1959"/>
  <c r="AA1959"/>
  <c r="AB1959"/>
  <c r="AC1959"/>
  <c r="P1960"/>
  <c r="T1960"/>
  <c r="U1960"/>
  <c r="V1960"/>
  <c r="W1960"/>
  <c r="Y1960"/>
  <c r="AA1960"/>
  <c r="AB1960"/>
  <c r="AC1960"/>
  <c r="P1961"/>
  <c r="T1961"/>
  <c r="U1961"/>
  <c r="V1961"/>
  <c r="W1961"/>
  <c r="Y1961"/>
  <c r="AA1961"/>
  <c r="AB1961"/>
  <c r="AC1961"/>
  <c r="P1962"/>
  <c r="T1962"/>
  <c r="U1962"/>
  <c r="V1962"/>
  <c r="W1962"/>
  <c r="Y1962"/>
  <c r="AA1962"/>
  <c r="AB1962"/>
  <c r="AC1962"/>
  <c r="P1963"/>
  <c r="T1963"/>
  <c r="U1963"/>
  <c r="V1963"/>
  <c r="W1963"/>
  <c r="Y1963"/>
  <c r="AA1963"/>
  <c r="AB1963"/>
  <c r="AC1963"/>
  <c r="P1964"/>
  <c r="T1964"/>
  <c r="U1964"/>
  <c r="V1964"/>
  <c r="W1964"/>
  <c r="Y1964"/>
  <c r="AA1964"/>
  <c r="AB1964"/>
  <c r="AC1964"/>
  <c r="P1965"/>
  <c r="T1965"/>
  <c r="U1965"/>
  <c r="V1965"/>
  <c r="W1965"/>
  <c r="Y1965"/>
  <c r="AA1965"/>
  <c r="AB1965"/>
  <c r="AC1965"/>
  <c r="P1966"/>
  <c r="T1966"/>
  <c r="U1966"/>
  <c r="V1966"/>
  <c r="W1966"/>
  <c r="Y1966"/>
  <c r="AA1966"/>
  <c r="AB1966"/>
  <c r="AC1966"/>
  <c r="P1967"/>
  <c r="T1967"/>
  <c r="U1967"/>
  <c r="V1967"/>
  <c r="W1967"/>
  <c r="Y1967"/>
  <c r="AA1967"/>
  <c r="AB1967"/>
  <c r="AC1967"/>
  <c r="P1968"/>
  <c r="T1968"/>
  <c r="U1968"/>
  <c r="V1968"/>
  <c r="W1968"/>
  <c r="Y1968"/>
  <c r="AA1968"/>
  <c r="AB1968"/>
  <c r="AC1968"/>
  <c r="P1969"/>
  <c r="T1969"/>
  <c r="U1969"/>
  <c r="V1969"/>
  <c r="W1969"/>
  <c r="Y1969"/>
  <c r="AA1969"/>
  <c r="AB1969"/>
  <c r="AC1969"/>
  <c r="P1970"/>
  <c r="T1970"/>
  <c r="U1970"/>
  <c r="V1970"/>
  <c r="W1970"/>
  <c r="Y1970"/>
  <c r="AA1970"/>
  <c r="AB1970"/>
  <c r="AC1970"/>
  <c r="AD1970"/>
  <c r="P1971"/>
  <c r="T1971"/>
  <c r="U1971"/>
  <c r="V1971"/>
  <c r="W1971"/>
  <c r="Y1971"/>
  <c r="AA1971"/>
  <c r="AB1971"/>
  <c r="AC1971"/>
  <c r="AD1971"/>
  <c r="P1972"/>
  <c r="T1972"/>
  <c r="U1972"/>
  <c r="V1972"/>
  <c r="W1972"/>
  <c r="Y1972"/>
  <c r="AA1972"/>
  <c r="AB1972"/>
  <c r="AC1972"/>
  <c r="AD1972"/>
  <c r="P1973"/>
  <c r="T1973"/>
  <c r="U1973"/>
  <c r="V1973"/>
  <c r="W1973"/>
  <c r="Y1973"/>
  <c r="AA1973"/>
  <c r="AB1973"/>
  <c r="AC1973"/>
  <c r="AD1973"/>
  <c r="P1974"/>
  <c r="T1974"/>
  <c r="U1974"/>
  <c r="V1974"/>
  <c r="W1974"/>
  <c r="Y1974"/>
  <c r="AA1974"/>
  <c r="AB1974"/>
  <c r="AC1974"/>
  <c r="AD1974"/>
  <c r="P1975"/>
  <c r="T1975"/>
  <c r="U1975"/>
  <c r="V1975"/>
  <c r="W1975"/>
  <c r="Y1975"/>
  <c r="AA1975"/>
  <c r="AB1975"/>
  <c r="AC1975"/>
  <c r="AD1975"/>
  <c r="P1976"/>
  <c r="T1976"/>
  <c r="U1976"/>
  <c r="V1976"/>
  <c r="W1976"/>
  <c r="Y1976"/>
  <c r="AA1976"/>
  <c r="AB1976"/>
  <c r="AC1976"/>
  <c r="AD1976"/>
  <c r="P1977"/>
  <c r="T1977"/>
  <c r="U1977"/>
  <c r="V1977"/>
  <c r="W1977"/>
  <c r="Y1977"/>
  <c r="AA1977"/>
  <c r="AB1977"/>
  <c r="AC1977"/>
  <c r="AD1977"/>
  <c r="P1978"/>
  <c r="T1978"/>
  <c r="U1978"/>
  <c r="V1978"/>
  <c r="W1978"/>
  <c r="Y1978"/>
  <c r="AA1978"/>
  <c r="AB1978"/>
  <c r="AC1978"/>
  <c r="AD1978"/>
  <c r="P1979"/>
  <c r="T1979"/>
  <c r="U1979"/>
  <c r="V1979"/>
  <c r="W1979"/>
  <c r="Y1979"/>
  <c r="AA1979"/>
  <c r="AB1979"/>
  <c r="AC1979"/>
  <c r="AD1979"/>
  <c r="P1980"/>
  <c r="T1980"/>
  <c r="U1980"/>
  <c r="V1980"/>
  <c r="W1980"/>
  <c r="Y1980"/>
  <c r="AA1980"/>
  <c r="AB1980"/>
  <c r="AC1980"/>
  <c r="AD1980"/>
  <c r="P1981"/>
  <c r="T1981"/>
  <c r="U1981"/>
  <c r="V1981"/>
  <c r="W1981"/>
  <c r="Y1981"/>
  <c r="AA1981"/>
  <c r="AB1981"/>
  <c r="AC1981"/>
  <c r="AD1981"/>
  <c r="P1982"/>
  <c r="T1982"/>
  <c r="U1982"/>
  <c r="V1982"/>
  <c r="W1982"/>
  <c r="Y1982"/>
  <c r="AA1982"/>
  <c r="AB1982"/>
  <c r="AC1982"/>
  <c r="AD1982"/>
  <c r="P1983"/>
  <c r="T1983"/>
  <c r="U1983"/>
  <c r="V1983"/>
  <c r="W1983"/>
  <c r="Y1983"/>
  <c r="AA1983"/>
  <c r="AB1983"/>
  <c r="AC1983"/>
  <c r="AD1983"/>
  <c r="P1984"/>
  <c r="T1984"/>
  <c r="U1984"/>
  <c r="V1984"/>
  <c r="W1984"/>
  <c r="Y1984"/>
  <c r="AA1984"/>
  <c r="AB1984"/>
  <c r="AC1984"/>
  <c r="AD1984"/>
  <c r="P1985"/>
  <c r="T1985"/>
  <c r="U1985"/>
  <c r="V1985"/>
  <c r="W1985"/>
  <c r="Y1985"/>
  <c r="AA1985"/>
  <c r="AB1985"/>
  <c r="AC1985"/>
  <c r="AD1985"/>
  <c r="P1986"/>
  <c r="T1986"/>
  <c r="U1986"/>
  <c r="V1986"/>
  <c r="W1986"/>
  <c r="Y1986"/>
  <c r="AA1986"/>
  <c r="AB1986"/>
  <c r="AC1986"/>
  <c r="AD1986"/>
  <c r="P1987"/>
  <c r="T1987"/>
  <c r="U1987"/>
  <c r="V1987"/>
  <c r="W1987"/>
  <c r="Y1987"/>
  <c r="AA1987"/>
  <c r="AB1987"/>
  <c r="AC1987"/>
  <c r="AD1987"/>
  <c r="P1988"/>
  <c r="T1988"/>
  <c r="U1988"/>
  <c r="V1988"/>
  <c r="W1988"/>
  <c r="Y1988"/>
  <c r="AA1988"/>
  <c r="AB1988"/>
  <c r="AC1988"/>
  <c r="AD1988"/>
  <c r="P1989"/>
  <c r="T1989"/>
  <c r="U1989"/>
  <c r="V1989"/>
  <c r="W1989"/>
  <c r="Y1989"/>
  <c r="AA1989"/>
  <c r="AB1989"/>
  <c r="AC1989"/>
  <c r="AD1989"/>
  <c r="P1990"/>
  <c r="T1990"/>
  <c r="U1990"/>
  <c r="V1990"/>
  <c r="W1990"/>
  <c r="Y1990"/>
  <c r="AA1990"/>
  <c r="AB1990"/>
  <c r="AC1990"/>
  <c r="AD1990"/>
  <c r="P1991"/>
  <c r="T1991"/>
  <c r="U1991"/>
  <c r="V1991"/>
  <c r="W1991"/>
  <c r="Y1991"/>
  <c r="AA1991"/>
  <c r="AB1991"/>
  <c r="AC1991"/>
  <c r="AD1991"/>
  <c r="P1992"/>
  <c r="T1992"/>
  <c r="U1992"/>
  <c r="V1992"/>
  <c r="W1992"/>
  <c r="Y1992"/>
  <c r="AA1992"/>
  <c r="AB1992"/>
  <c r="AC1992"/>
  <c r="AD1992"/>
  <c r="P1993"/>
  <c r="T1993"/>
  <c r="U1993"/>
  <c r="V1993"/>
  <c r="W1993"/>
  <c r="Y1993"/>
  <c r="AA1993"/>
  <c r="AB1993"/>
  <c r="AC1993"/>
  <c r="AD1993"/>
  <c r="P1994"/>
  <c r="T1994"/>
  <c r="U1994"/>
  <c r="V1994"/>
  <c r="W1994"/>
  <c r="Y1994"/>
  <c r="AA1994"/>
  <c r="AB1994"/>
  <c r="AC1994"/>
  <c r="AD1994"/>
  <c r="P1995"/>
  <c r="T1995"/>
  <c r="U1995"/>
  <c r="V1995"/>
  <c r="W1995"/>
  <c r="Y1995"/>
  <c r="AA1995"/>
  <c r="AB1995"/>
  <c r="AC1995"/>
  <c r="AD1995"/>
  <c r="P1996"/>
  <c r="T1996"/>
  <c r="U1996"/>
  <c r="V1996"/>
  <c r="W1996"/>
  <c r="Y1996"/>
  <c r="AA1996"/>
  <c r="AB1996"/>
  <c r="AC1996"/>
  <c r="AD1996"/>
  <c r="P1997"/>
  <c r="T1997"/>
  <c r="U1997"/>
  <c r="V1997"/>
  <c r="W1997"/>
  <c r="Y1997"/>
  <c r="AA1997"/>
  <c r="AB1997"/>
  <c r="AC1997"/>
  <c r="AD1997"/>
  <c r="P1998"/>
  <c r="T1998"/>
  <c r="U1998"/>
  <c r="V1998"/>
  <c r="W1998"/>
  <c r="Y1998"/>
  <c r="AA1998"/>
  <c r="AB1998"/>
  <c r="AC1998"/>
  <c r="AD1998"/>
  <c r="P1999"/>
  <c r="T1999"/>
  <c r="U1999"/>
  <c r="V1999"/>
  <c r="W1999"/>
  <c r="Y1999"/>
  <c r="AA1999"/>
  <c r="AB1999"/>
  <c r="AC1999"/>
  <c r="AD1999"/>
  <c r="P2000"/>
  <c r="T2000"/>
  <c r="U2000"/>
  <c r="V2000"/>
  <c r="W2000"/>
  <c r="Y2000"/>
  <c r="AA2000"/>
  <c r="AB2000"/>
  <c r="AC2000"/>
  <c r="AD2000"/>
  <c r="P2001"/>
  <c r="T2001"/>
  <c r="U2001"/>
  <c r="V2001"/>
  <c r="W2001"/>
  <c r="Y2001"/>
  <c r="AA2001"/>
  <c r="AB2001"/>
  <c r="AC2001"/>
  <c r="AD2001"/>
  <c r="P2002"/>
  <c r="T2002"/>
  <c r="U2002"/>
  <c r="V2002"/>
  <c r="W2002"/>
  <c r="Y2002"/>
  <c r="AA2002"/>
  <c r="AB2002"/>
  <c r="AC2002"/>
  <c r="AD2002"/>
  <c r="P2003"/>
  <c r="T2003"/>
  <c r="U2003"/>
  <c r="V2003"/>
  <c r="W2003"/>
  <c r="Y2003"/>
  <c r="AA2003"/>
  <c r="AB2003"/>
  <c r="AC2003"/>
  <c r="AD2003"/>
  <c r="P2004"/>
  <c r="T2004"/>
  <c r="U2004"/>
  <c r="V2004"/>
  <c r="W2004"/>
  <c r="Y2004"/>
  <c r="AA2004"/>
  <c r="AB2004"/>
  <c r="AC2004"/>
  <c r="AD2004"/>
  <c r="P2005"/>
  <c r="T2005"/>
  <c r="U2005"/>
  <c r="V2005"/>
  <c r="W2005"/>
  <c r="Y2005"/>
  <c r="AA2005"/>
  <c r="AB2005"/>
  <c r="AC2005"/>
  <c r="AD2005"/>
  <c r="P2006"/>
  <c r="T2006"/>
  <c r="U2006"/>
  <c r="V2006"/>
  <c r="W2006"/>
  <c r="Y2006"/>
  <c r="AA2006"/>
  <c r="AB2006"/>
  <c r="AC2006"/>
  <c r="AD2006"/>
  <c r="P2007"/>
  <c r="T2007"/>
  <c r="U2007"/>
  <c r="V2007"/>
  <c r="W2007"/>
  <c r="Y2007"/>
  <c r="AA2007"/>
  <c r="AB2007"/>
  <c r="AC2007"/>
  <c r="AD2007"/>
  <c r="P2008"/>
  <c r="T2008"/>
  <c r="U2008"/>
  <c r="V2008"/>
  <c r="W2008"/>
  <c r="Y2008"/>
  <c r="AA2008"/>
  <c r="AB2008"/>
  <c r="AC2008"/>
  <c r="AD2008"/>
  <c r="P2009"/>
  <c r="T2009"/>
  <c r="U2009"/>
  <c r="V2009"/>
  <c r="W2009"/>
  <c r="Y2009"/>
  <c r="AA2009"/>
  <c r="AB2009"/>
  <c r="AC2009"/>
  <c r="AD2009"/>
  <c r="P2010"/>
  <c r="T2010"/>
  <c r="U2010"/>
  <c r="V2010"/>
  <c r="W2010"/>
  <c r="Y2010"/>
  <c r="AA2010"/>
  <c r="AB2010"/>
  <c r="AC2010"/>
  <c r="AD2010"/>
  <c r="P2011"/>
  <c r="T2011"/>
  <c r="U2011"/>
  <c r="V2011"/>
  <c r="W2011"/>
  <c r="Y2011"/>
  <c r="AA2011"/>
  <c r="AB2011"/>
  <c r="AC2011"/>
  <c r="AD2011"/>
  <c r="P2012"/>
  <c r="T2012"/>
  <c r="U2012"/>
  <c r="V2012"/>
  <c r="W2012"/>
  <c r="Y2012"/>
  <c r="AA2012"/>
  <c r="AB2012"/>
  <c r="AC2012"/>
  <c r="AD2012"/>
  <c r="P2013"/>
  <c r="T2013"/>
  <c r="U2013"/>
  <c r="V2013"/>
  <c r="W2013"/>
  <c r="Y2013"/>
  <c r="AA2013"/>
  <c r="AB2013"/>
  <c r="AC2013"/>
  <c r="AD2013"/>
  <c r="P2014"/>
  <c r="T2014"/>
  <c r="U2014"/>
  <c r="V2014"/>
  <c r="W2014"/>
  <c r="Y2014"/>
  <c r="AA2014"/>
  <c r="AB2014"/>
  <c r="AC2014"/>
  <c r="AD2014"/>
  <c r="P2015"/>
  <c r="T2015"/>
  <c r="U2015"/>
  <c r="V2015"/>
  <c r="W2015"/>
  <c r="Y2015"/>
  <c r="AA2015"/>
  <c r="AB2015"/>
  <c r="AC2015"/>
  <c r="AD2015"/>
  <c r="P2016"/>
  <c r="T2016"/>
  <c r="U2016"/>
  <c r="V2016"/>
  <c r="W2016"/>
  <c r="Y2016"/>
  <c r="AA2016"/>
  <c r="AB2016"/>
  <c r="AC2016"/>
  <c r="AD2016"/>
  <c r="P2017"/>
  <c r="T2017"/>
  <c r="U2017"/>
  <c r="V2017"/>
  <c r="W2017"/>
  <c r="Y2017"/>
  <c r="AA2017"/>
  <c r="AB2017"/>
  <c r="AC2017"/>
  <c r="AD2017"/>
  <c r="P2018"/>
  <c r="T2018"/>
  <c r="U2018"/>
  <c r="V2018"/>
  <c r="W2018"/>
  <c r="Y2018"/>
  <c r="AA2018"/>
  <c r="AB2018"/>
  <c r="AC2018"/>
  <c r="AD2018"/>
  <c r="P2019"/>
  <c r="T2019"/>
  <c r="U2019"/>
  <c r="V2019"/>
  <c r="W2019"/>
  <c r="Y2019"/>
  <c r="AA2019"/>
  <c r="AB2019"/>
  <c r="AC2019"/>
  <c r="AD2019"/>
  <c r="P2020"/>
  <c r="T2020"/>
  <c r="U2020"/>
  <c r="V2020"/>
  <c r="W2020"/>
  <c r="Y2020"/>
  <c r="AA2020"/>
  <c r="AB2020"/>
  <c r="AC2020"/>
  <c r="AD2020"/>
  <c r="P2021"/>
  <c r="T2021"/>
  <c r="U2021"/>
  <c r="V2021"/>
  <c r="W2021"/>
  <c r="Y2021"/>
  <c r="AA2021"/>
  <c r="AB2021"/>
  <c r="AC2021"/>
  <c r="AD2021"/>
  <c r="P2022"/>
  <c r="T2022"/>
  <c r="U2022"/>
  <c r="V2022"/>
  <c r="W2022"/>
  <c r="Y2022"/>
  <c r="AA2022"/>
  <c r="AB2022"/>
  <c r="AC2022"/>
  <c r="AD2022"/>
  <c r="P2023"/>
  <c r="T2023"/>
  <c r="U2023"/>
  <c r="V2023"/>
  <c r="W2023"/>
  <c r="Y2023"/>
  <c r="AA2023"/>
  <c r="AB2023"/>
  <c r="AC2023"/>
  <c r="AD2023"/>
  <c r="P2024"/>
  <c r="T2024"/>
  <c r="U2024"/>
  <c r="V2024"/>
  <c r="W2024"/>
  <c r="Y2024"/>
  <c r="AA2024"/>
  <c r="AB2024"/>
  <c r="AC2024"/>
  <c r="AD2024"/>
  <c r="P2025"/>
  <c r="T2025"/>
  <c r="U2025"/>
  <c r="V2025"/>
  <c r="W2025"/>
  <c r="Y2025"/>
  <c r="AA2025"/>
  <c r="AB2025"/>
  <c r="AC2025"/>
  <c r="AD2025"/>
  <c r="P2026"/>
  <c r="T2026"/>
  <c r="U2026"/>
  <c r="V2026"/>
  <c r="W2026"/>
  <c r="Y2026"/>
  <c r="AA2026"/>
  <c r="AB2026"/>
  <c r="AC2026"/>
  <c r="AD2026"/>
  <c r="P2027"/>
  <c r="T2027"/>
  <c r="U2027"/>
  <c r="V2027"/>
  <c r="W2027"/>
  <c r="Y2027"/>
  <c r="AA2027"/>
  <c r="AB2027"/>
  <c r="AC2027"/>
  <c r="AD2027"/>
  <c r="P2028"/>
  <c r="T2028"/>
  <c r="U2028"/>
  <c r="V2028"/>
  <c r="W2028"/>
  <c r="Y2028"/>
  <c r="AA2028"/>
  <c r="AB2028"/>
  <c r="AC2028"/>
  <c r="AD2028"/>
  <c r="P2029"/>
  <c r="T2029"/>
  <c r="U2029"/>
  <c r="V2029"/>
  <c r="W2029"/>
  <c r="Y2029"/>
  <c r="AA2029"/>
  <c r="AB2029"/>
  <c r="AC2029"/>
  <c r="AD2029"/>
  <c r="P2030"/>
  <c r="T2030"/>
  <c r="U2030"/>
  <c r="V2030"/>
  <c r="W2030"/>
  <c r="Y2030"/>
  <c r="AA2030"/>
  <c r="AB2030"/>
  <c r="AC2030"/>
  <c r="AD2030"/>
  <c r="P2031"/>
  <c r="T2031"/>
  <c r="U2031"/>
  <c r="V2031"/>
  <c r="W2031"/>
  <c r="Y2031"/>
  <c r="AA2031"/>
  <c r="AB2031"/>
  <c r="AC2031"/>
  <c r="AD2031"/>
  <c r="P2032"/>
  <c r="T2032"/>
  <c r="U2032"/>
  <c r="V2032"/>
  <c r="W2032"/>
  <c r="Y2032"/>
  <c r="AA2032"/>
  <c r="AB2032"/>
  <c r="AC2032"/>
  <c r="AD2032"/>
  <c r="P2033"/>
  <c r="T2033"/>
  <c r="U2033"/>
  <c r="V2033"/>
  <c r="W2033"/>
  <c r="Y2033"/>
  <c r="AA2033"/>
  <c r="AB2033"/>
  <c r="AC2033"/>
  <c r="AD2033"/>
  <c r="P2034"/>
  <c r="T2034"/>
  <c r="U2034"/>
  <c r="V2034"/>
  <c r="W2034"/>
  <c r="Y2034"/>
  <c r="AA2034"/>
  <c r="AB2034"/>
  <c r="AC2034"/>
  <c r="AD2034"/>
  <c r="P2035"/>
  <c r="T2035"/>
  <c r="U2035"/>
  <c r="V2035"/>
  <c r="W2035"/>
  <c r="Y2035"/>
  <c r="AA2035"/>
  <c r="AB2035"/>
  <c r="AC2035"/>
  <c r="AD2035"/>
  <c r="P2036"/>
  <c r="T2036"/>
  <c r="U2036"/>
  <c r="V2036"/>
  <c r="W2036"/>
  <c r="Y2036"/>
  <c r="AA2036"/>
  <c r="AB2036"/>
  <c r="AC2036"/>
  <c r="AD2036"/>
  <c r="P2037"/>
  <c r="T2037"/>
  <c r="U2037"/>
  <c r="V2037"/>
  <c r="W2037"/>
  <c r="Y2037"/>
  <c r="AA2037"/>
  <c r="AB2037"/>
  <c r="AC2037"/>
  <c r="AD2037"/>
  <c r="P2038"/>
  <c r="T2038"/>
  <c r="U2038"/>
  <c r="V2038"/>
  <c r="W2038"/>
  <c r="Y2038"/>
  <c r="AA2038"/>
  <c r="AB2038"/>
  <c r="AC2038"/>
  <c r="AD2038"/>
  <c r="P2039"/>
  <c r="T2039"/>
  <c r="U2039"/>
  <c r="V2039"/>
  <c r="W2039"/>
  <c r="Y2039"/>
  <c r="AA2039"/>
  <c r="AB2039"/>
  <c r="AC2039"/>
  <c r="AD2039"/>
  <c r="P2040"/>
  <c r="T2040"/>
  <c r="U2040"/>
  <c r="V2040"/>
  <c r="W2040"/>
  <c r="Y2040"/>
  <c r="AA2040"/>
  <c r="AB2040"/>
  <c r="AC2040"/>
  <c r="AD2040"/>
  <c r="P2041"/>
  <c r="T2041"/>
  <c r="U2041"/>
  <c r="V2041"/>
  <c r="W2041"/>
  <c r="Y2041"/>
  <c r="AA2041"/>
  <c r="AB2041"/>
  <c r="AC2041"/>
  <c r="AD2041"/>
  <c r="P2042"/>
  <c r="T2042"/>
  <c r="U2042"/>
  <c r="V2042"/>
  <c r="W2042"/>
  <c r="Y2042"/>
  <c r="AA2042"/>
  <c r="AB2042"/>
  <c r="AC2042"/>
  <c r="AD2042"/>
  <c r="P2043"/>
  <c r="T2043"/>
  <c r="U2043"/>
  <c r="V2043"/>
  <c r="W2043"/>
  <c r="Y2043"/>
  <c r="AA2043"/>
  <c r="AB2043"/>
  <c r="AC2043"/>
  <c r="AD2043"/>
  <c r="P2044"/>
  <c r="T2044"/>
  <c r="U2044"/>
  <c r="V2044"/>
  <c r="W2044"/>
  <c r="Y2044"/>
  <c r="AA2044"/>
  <c r="AB2044"/>
  <c r="AC2044"/>
  <c r="AD2044"/>
  <c r="P2045"/>
  <c r="T2045"/>
  <c r="U2045"/>
  <c r="V2045"/>
  <c r="W2045"/>
  <c r="Y2045"/>
  <c r="AA2045"/>
  <c r="AB2045"/>
  <c r="AC2045"/>
  <c r="AD2045"/>
  <c r="P2046"/>
  <c r="T2046"/>
  <c r="U2046"/>
  <c r="V2046"/>
  <c r="W2046"/>
  <c r="Y2046"/>
  <c r="AA2046"/>
  <c r="AB2046"/>
  <c r="AC2046"/>
  <c r="AD2046"/>
  <c r="P2047"/>
  <c r="T2047"/>
  <c r="U2047"/>
  <c r="V2047"/>
  <c r="W2047"/>
  <c r="Y2047"/>
  <c r="AA2047"/>
  <c r="AB2047"/>
  <c r="AC2047"/>
  <c r="AD2047"/>
  <c r="P2048"/>
  <c r="T2048"/>
  <c r="U2048"/>
  <c r="V2048"/>
  <c r="W2048"/>
  <c r="Y2048"/>
  <c r="AA2048"/>
  <c r="AB2048"/>
  <c r="AC2048"/>
  <c r="AD2048"/>
  <c r="P2049"/>
  <c r="T2049"/>
  <c r="U2049"/>
  <c r="V2049"/>
  <c r="W2049"/>
  <c r="Y2049"/>
  <c r="AA2049"/>
  <c r="AB2049"/>
  <c r="AC2049"/>
  <c r="AD2049"/>
  <c r="P2050"/>
  <c r="T2050"/>
  <c r="U2050"/>
  <c r="V2050"/>
  <c r="W2050"/>
  <c r="Y2050"/>
  <c r="AA2050"/>
  <c r="AB2050"/>
  <c r="AC2050"/>
  <c r="AD2050"/>
  <c r="P2051"/>
  <c r="T2051"/>
  <c r="U2051"/>
  <c r="V2051"/>
  <c r="W2051"/>
  <c r="Y2051"/>
  <c r="AA2051"/>
  <c r="AB2051"/>
  <c r="AC2051"/>
  <c r="AD2051"/>
  <c r="P2052"/>
  <c r="T2052"/>
  <c r="U2052"/>
  <c r="V2052"/>
  <c r="W2052"/>
  <c r="Y2052"/>
  <c r="AA2052"/>
  <c r="AB2052"/>
  <c r="AC2052"/>
  <c r="AD2052"/>
  <c r="P2053"/>
  <c r="T2053"/>
  <c r="U2053"/>
  <c r="V2053"/>
  <c r="W2053"/>
  <c r="Y2053"/>
  <c r="AA2053"/>
  <c r="AB2053"/>
  <c r="AC2053"/>
  <c r="AD2053"/>
  <c r="P2054"/>
  <c r="T2054"/>
  <c r="U2054"/>
  <c r="V2054"/>
  <c r="W2054"/>
  <c r="Y2054"/>
  <c r="AA2054"/>
  <c r="AB2054"/>
  <c r="AC2054"/>
  <c r="AD2054"/>
  <c r="P2055"/>
  <c r="T2055"/>
  <c r="U2055"/>
  <c r="V2055"/>
  <c r="W2055"/>
  <c r="Y2055"/>
  <c r="AA2055"/>
  <c r="AB2055"/>
  <c r="AC2055"/>
  <c r="AD2055"/>
  <c r="P2056"/>
  <c r="T2056"/>
  <c r="U2056"/>
  <c r="V2056"/>
  <c r="W2056"/>
  <c r="Y2056"/>
  <c r="AA2056"/>
  <c r="AB2056"/>
  <c r="AC2056"/>
  <c r="AD2056"/>
  <c r="P2057"/>
  <c r="T2057"/>
  <c r="U2057"/>
  <c r="V2057"/>
  <c r="W2057"/>
  <c r="Y2057"/>
  <c r="AA2057"/>
  <c r="AB2057"/>
  <c r="AC2057"/>
  <c r="AD2057"/>
  <c r="P2058"/>
  <c r="T2058"/>
  <c r="U2058"/>
  <c r="V2058"/>
  <c r="W2058"/>
  <c r="Y2058"/>
  <c r="AA2058"/>
  <c r="AB2058"/>
  <c r="AC2058"/>
  <c r="AD2058"/>
  <c r="P2059"/>
  <c r="T2059"/>
  <c r="U2059"/>
  <c r="V2059"/>
  <c r="W2059"/>
  <c r="Y2059"/>
  <c r="AA2059"/>
  <c r="AB2059"/>
  <c r="AC2059"/>
  <c r="AD2059"/>
  <c r="P2060"/>
  <c r="T2060"/>
  <c r="U2060"/>
  <c r="V2060"/>
  <c r="W2060"/>
  <c r="Y2060"/>
  <c r="AA2060"/>
  <c r="AB2060"/>
  <c r="AC2060"/>
  <c r="AD2060"/>
  <c r="P2061"/>
  <c r="T2061"/>
  <c r="U2061"/>
  <c r="V2061"/>
  <c r="W2061"/>
  <c r="Y2061"/>
  <c r="AA2061"/>
  <c r="AB2061"/>
  <c r="AC2061"/>
  <c r="AD2061"/>
  <c r="P2062"/>
  <c r="T2062"/>
  <c r="U2062"/>
  <c r="V2062"/>
  <c r="W2062"/>
  <c r="Y2062"/>
  <c r="AA2062"/>
  <c r="AB2062"/>
  <c r="AC2062"/>
  <c r="AD2062"/>
  <c r="P2063"/>
  <c r="T2063"/>
  <c r="U2063"/>
  <c r="V2063"/>
  <c r="W2063"/>
  <c r="Y2063"/>
  <c r="AA2063"/>
  <c r="AB2063"/>
  <c r="AC2063"/>
  <c r="AD2063"/>
  <c r="P2064"/>
  <c r="T2064"/>
  <c r="U2064"/>
  <c r="V2064"/>
  <c r="W2064"/>
  <c r="Y2064"/>
  <c r="AA2064"/>
  <c r="AB2064"/>
  <c r="AC2064"/>
  <c r="AD2064"/>
  <c r="P2065"/>
  <c r="T2065"/>
  <c r="U2065"/>
  <c r="V2065"/>
  <c r="W2065"/>
  <c r="Y2065"/>
  <c r="AA2065"/>
  <c r="AB2065"/>
  <c r="AC2065"/>
  <c r="AD2065"/>
  <c r="P2066"/>
  <c r="T2066"/>
  <c r="U2066"/>
  <c r="V2066"/>
  <c r="W2066"/>
  <c r="Y2066"/>
  <c r="AA2066"/>
  <c r="AB2066"/>
  <c r="AC2066"/>
  <c r="AD2066"/>
  <c r="P2067"/>
  <c r="T2067"/>
  <c r="U2067"/>
  <c r="V2067"/>
  <c r="W2067"/>
  <c r="Y2067"/>
  <c r="AA2067"/>
  <c r="AB2067"/>
  <c r="AC2067"/>
  <c r="AD2067"/>
  <c r="P2068"/>
  <c r="T2068"/>
  <c r="U2068"/>
  <c r="V2068"/>
  <c r="W2068"/>
  <c r="Y2068"/>
  <c r="AA2068"/>
  <c r="AB2068"/>
  <c r="AC2068"/>
  <c r="AD2068"/>
  <c r="P2069"/>
  <c r="T2069"/>
  <c r="U2069"/>
  <c r="V2069"/>
  <c r="W2069"/>
  <c r="Y2069"/>
  <c r="AA2069"/>
  <c r="AB2069"/>
  <c r="AC2069"/>
  <c r="AD2069"/>
  <c r="P2070"/>
  <c r="T2070"/>
  <c r="U2070"/>
  <c r="V2070"/>
  <c r="W2070"/>
  <c r="Y2070"/>
  <c r="AA2070"/>
  <c r="AB2070"/>
  <c r="AC2070"/>
  <c r="AD2070"/>
  <c r="P2071"/>
  <c r="T2071"/>
  <c r="U2071"/>
  <c r="V2071"/>
  <c r="W2071"/>
  <c r="Y2071"/>
  <c r="AA2071"/>
  <c r="AB2071"/>
  <c r="AC2071"/>
  <c r="AD2071"/>
  <c r="P2072"/>
  <c r="T2072"/>
  <c r="U2072"/>
  <c r="V2072"/>
  <c r="W2072"/>
  <c r="Y2072"/>
  <c r="AA2072"/>
  <c r="AB2072"/>
  <c r="AC2072"/>
  <c r="AD2072"/>
  <c r="P2073"/>
  <c r="T2073"/>
  <c r="U2073"/>
  <c r="V2073"/>
  <c r="W2073"/>
  <c r="Y2073"/>
  <c r="AA2073"/>
  <c r="AB2073"/>
  <c r="AC2073"/>
  <c r="AD2073"/>
  <c r="P2074"/>
  <c r="T2074"/>
  <c r="U2074"/>
  <c r="V2074"/>
  <c r="W2074"/>
  <c r="Y2074"/>
  <c r="AA2074"/>
  <c r="AB2074"/>
  <c r="AC2074"/>
  <c r="AD2074"/>
  <c r="P2075"/>
  <c r="T2075"/>
  <c r="U2075"/>
  <c r="V2075"/>
  <c r="W2075"/>
  <c r="Y2075"/>
  <c r="AA2075"/>
  <c r="AB2075"/>
  <c r="AC2075"/>
  <c r="AD2075"/>
  <c r="P2076"/>
  <c r="T2076"/>
  <c r="U2076"/>
  <c r="V2076"/>
  <c r="W2076"/>
  <c r="Y2076"/>
  <c r="AA2076"/>
  <c r="AB2076"/>
  <c r="AC2076"/>
  <c r="AD2076"/>
  <c r="P2077"/>
  <c r="T2077"/>
  <c r="U2077"/>
  <c r="V2077"/>
  <c r="W2077"/>
  <c r="Y2077"/>
  <c r="AA2077"/>
  <c r="AB2077"/>
  <c r="AC2077"/>
  <c r="AD2077"/>
  <c r="P2078"/>
  <c r="T2078"/>
  <c r="U2078"/>
  <c r="V2078"/>
  <c r="W2078"/>
  <c r="Y2078"/>
  <c r="AA2078"/>
  <c r="AB2078"/>
  <c r="AC2078"/>
  <c r="AD2078"/>
  <c r="P2079"/>
  <c r="T2079"/>
  <c r="U2079"/>
  <c r="V2079"/>
  <c r="W2079"/>
  <c r="Y2079"/>
  <c r="AA2079"/>
  <c r="AB2079"/>
  <c r="AC2079"/>
  <c r="AD2079"/>
  <c r="P2080"/>
  <c r="T2080"/>
  <c r="U2080"/>
  <c r="V2080"/>
  <c r="W2080"/>
  <c r="Y2080"/>
  <c r="AA2080"/>
  <c r="AB2080"/>
  <c r="AC2080"/>
  <c r="AD2080"/>
  <c r="P2081"/>
  <c r="T2081"/>
  <c r="U2081"/>
  <c r="V2081"/>
  <c r="W2081"/>
  <c r="Y2081"/>
  <c r="AA2081"/>
  <c r="AB2081"/>
  <c r="AC2081"/>
  <c r="AD2081"/>
  <c r="P2082"/>
  <c r="T2082"/>
  <c r="U2082"/>
  <c r="V2082"/>
  <c r="W2082"/>
  <c r="Y2082"/>
  <c r="AA2082"/>
  <c r="AB2082"/>
  <c r="AC2082"/>
  <c r="AD2082"/>
  <c r="P2083"/>
  <c r="T2083"/>
  <c r="U2083"/>
  <c r="V2083"/>
  <c r="W2083"/>
  <c r="Y2083"/>
  <c r="AA2083"/>
  <c r="AB2083"/>
  <c r="AC2083"/>
  <c r="AD2083"/>
  <c r="P2084"/>
  <c r="T2084"/>
  <c r="U2084"/>
  <c r="V2084"/>
  <c r="W2084"/>
  <c r="Y2084"/>
  <c r="AA2084"/>
  <c r="AB2084"/>
  <c r="AC2084"/>
  <c r="AD2084"/>
  <c r="P2085"/>
  <c r="T2085"/>
  <c r="U2085"/>
  <c r="V2085"/>
  <c r="W2085"/>
  <c r="Y2085"/>
  <c r="AA2085"/>
  <c r="AB2085"/>
  <c r="AC2085"/>
  <c r="AD2085"/>
  <c r="P2086"/>
  <c r="T2086"/>
  <c r="U2086"/>
  <c r="V2086"/>
  <c r="W2086"/>
  <c r="Y2086"/>
  <c r="AA2086"/>
  <c r="AB2086"/>
  <c r="AC2086"/>
  <c r="AD2086"/>
  <c r="P2087"/>
  <c r="T2087"/>
  <c r="U2087"/>
  <c r="V2087"/>
  <c r="W2087"/>
  <c r="Y2087"/>
  <c r="AA2087"/>
  <c r="AB2087"/>
  <c r="AC2087"/>
  <c r="AD2087"/>
  <c r="P2088"/>
  <c r="T2088"/>
  <c r="U2088"/>
  <c r="V2088"/>
  <c r="W2088"/>
  <c r="Y2088"/>
  <c r="AA2088"/>
  <c r="AB2088"/>
  <c r="AC2088"/>
  <c r="AD2088"/>
  <c r="P2089"/>
  <c r="T2089"/>
  <c r="U2089"/>
  <c r="V2089"/>
  <c r="W2089"/>
  <c r="Y2089"/>
  <c r="AA2089"/>
  <c r="AB2089"/>
  <c r="AC2089"/>
  <c r="AD2089"/>
  <c r="P2090"/>
  <c r="T2090"/>
  <c r="U2090"/>
  <c r="V2090"/>
  <c r="W2090"/>
  <c r="Y2090"/>
  <c r="AA2090"/>
  <c r="AB2090"/>
  <c r="AC2090"/>
  <c r="AD2090"/>
  <c r="P2091"/>
  <c r="T2091"/>
  <c r="U2091"/>
  <c r="V2091"/>
  <c r="W2091"/>
  <c r="Y2091"/>
  <c r="AA2091"/>
  <c r="AB2091"/>
  <c r="AC2091"/>
  <c r="AD2091"/>
  <c r="P2092"/>
  <c r="T2092"/>
  <c r="U2092"/>
  <c r="V2092"/>
  <c r="W2092"/>
  <c r="Y2092"/>
  <c r="AA2092"/>
  <c r="AB2092"/>
  <c r="AC2092"/>
  <c r="AD2092"/>
  <c r="P2093"/>
  <c r="T2093"/>
  <c r="U2093"/>
  <c r="V2093"/>
  <c r="W2093"/>
  <c r="Y2093"/>
  <c r="AA2093"/>
  <c r="AB2093"/>
  <c r="AC2093"/>
  <c r="AD2093"/>
  <c r="P2094"/>
  <c r="T2094"/>
  <c r="U2094"/>
  <c r="V2094"/>
  <c r="W2094"/>
  <c r="Y2094"/>
  <c r="AA2094"/>
  <c r="AB2094"/>
  <c r="AC2094"/>
  <c r="AD2094"/>
  <c r="P2095"/>
  <c r="T2095"/>
  <c r="U2095"/>
  <c r="V2095"/>
  <c r="W2095"/>
  <c r="Y2095"/>
  <c r="AA2095"/>
  <c r="AB2095"/>
  <c r="AC2095"/>
  <c r="AD2095"/>
  <c r="P2096"/>
  <c r="T2096"/>
  <c r="U2096"/>
  <c r="V2096"/>
  <c r="W2096"/>
  <c r="Y2096"/>
  <c r="AA2096"/>
  <c r="AB2096"/>
  <c r="AC2096"/>
  <c r="AD2096"/>
  <c r="P2097"/>
  <c r="T2097"/>
  <c r="U2097"/>
  <c r="V2097"/>
  <c r="W2097"/>
  <c r="Y2097"/>
  <c r="AA2097"/>
  <c r="AB2097"/>
  <c r="AC2097"/>
  <c r="AD2097"/>
  <c r="P2098"/>
  <c r="T2098"/>
  <c r="U2098"/>
  <c r="V2098"/>
  <c r="W2098"/>
  <c r="Y2098"/>
  <c r="AA2098"/>
  <c r="AB2098"/>
  <c r="AC2098"/>
  <c r="AD2098"/>
  <c r="P2099"/>
  <c r="T2099"/>
  <c r="U2099"/>
  <c r="V2099"/>
  <c r="W2099"/>
  <c r="Y2099"/>
  <c r="AA2099"/>
  <c r="AB2099"/>
  <c r="AC2099"/>
  <c r="AD2099"/>
  <c r="P2100"/>
  <c r="T2100"/>
  <c r="U2100"/>
  <c r="V2100"/>
  <c r="W2100"/>
  <c r="Y2100"/>
  <c r="AA2100"/>
  <c r="AB2100"/>
  <c r="AC2100"/>
  <c r="AD2100"/>
  <c r="P2101"/>
  <c r="T2101"/>
  <c r="U2101"/>
  <c r="V2101"/>
  <c r="W2101"/>
  <c r="Y2101"/>
  <c r="AA2101"/>
  <c r="AB2101"/>
  <c r="AC2101"/>
  <c r="AD2101"/>
  <c r="P2102"/>
  <c r="T2102"/>
  <c r="U2102"/>
  <c r="V2102"/>
  <c r="W2102"/>
  <c r="Y2102"/>
  <c r="AA2102"/>
  <c r="AB2102"/>
  <c r="AC2102"/>
  <c r="AD2102"/>
  <c r="P2103"/>
  <c r="T2103"/>
  <c r="U2103"/>
  <c r="V2103"/>
  <c r="W2103"/>
  <c r="Y2103"/>
  <c r="AA2103"/>
  <c r="AB2103"/>
  <c r="AC2103"/>
  <c r="AD2103"/>
  <c r="P2104"/>
  <c r="T2104"/>
  <c r="U2104"/>
  <c r="V2104"/>
  <c r="W2104"/>
  <c r="Y2104"/>
  <c r="AA2104"/>
  <c r="AB2104"/>
  <c r="AC2104"/>
  <c r="AD2104"/>
  <c r="P2105"/>
  <c r="T2105"/>
  <c r="U2105"/>
  <c r="V2105"/>
  <c r="W2105"/>
  <c r="Y2105"/>
  <c r="AA2105"/>
  <c r="AB2105"/>
  <c r="AC2105"/>
  <c r="AD2105"/>
  <c r="P2106"/>
  <c r="T2106"/>
  <c r="U2106"/>
  <c r="V2106"/>
  <c r="W2106"/>
  <c r="Y2106"/>
  <c r="AA2106"/>
  <c r="AB2106"/>
  <c r="AC2106"/>
  <c r="AD2106"/>
  <c r="P2107"/>
  <c r="T2107"/>
  <c r="U2107"/>
  <c r="V2107"/>
  <c r="W2107"/>
  <c r="Y2107"/>
  <c r="AA2107"/>
  <c r="AB2107"/>
  <c r="AC2107"/>
  <c r="AD2107"/>
  <c r="P2108"/>
  <c r="T2108"/>
  <c r="U2108"/>
  <c r="V2108"/>
  <c r="W2108"/>
  <c r="Y2108"/>
  <c r="AA2108"/>
  <c r="AB2108"/>
  <c r="AC2108"/>
  <c r="AD2108"/>
  <c r="P2109"/>
  <c r="T2109"/>
  <c r="U2109"/>
  <c r="V2109"/>
  <c r="W2109"/>
  <c r="Y2109"/>
  <c r="AA2109"/>
  <c r="AB2109"/>
  <c r="AC2109"/>
  <c r="AD2109"/>
  <c r="P2110"/>
  <c r="T2110"/>
  <c r="U2110"/>
  <c r="V2110"/>
  <c r="W2110"/>
  <c r="Y2110"/>
  <c r="AA2110"/>
  <c r="AB2110"/>
  <c r="AC2110"/>
  <c r="AD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AD2113"/>
  <c r="P2114"/>
  <c r="T2114"/>
  <c r="U2114"/>
  <c r="V2114"/>
  <c r="W2114"/>
  <c r="Y2114"/>
  <c r="AA2114"/>
  <c r="AB2114"/>
  <c r="AC2114"/>
  <c r="AD2114"/>
  <c r="P2115"/>
  <c r="T2115"/>
  <c r="U2115"/>
  <c r="V2115"/>
  <c r="W2115"/>
  <c r="Y2115"/>
  <c r="AA2115"/>
  <c r="AB2115"/>
  <c r="AC2115"/>
  <c r="AD2115"/>
  <c r="P2116"/>
  <c r="T2116"/>
  <c r="U2116"/>
  <c r="V2116"/>
  <c r="W2116"/>
  <c r="Y2116"/>
  <c r="AA2116"/>
  <c r="AB2116"/>
  <c r="AC2116"/>
  <c r="AD2116"/>
  <c r="P2117"/>
  <c r="T2117"/>
  <c r="U2117"/>
  <c r="V2117"/>
  <c r="W2117"/>
  <c r="Y2117"/>
  <c r="AA2117"/>
  <c r="AB2117"/>
  <c r="AC2117"/>
  <c r="AD2117"/>
  <c r="P2118"/>
  <c r="T2118"/>
  <c r="U2118"/>
  <c r="V2118"/>
  <c r="W2118"/>
  <c r="Y2118"/>
  <c r="AA2118"/>
  <c r="AB2118"/>
  <c r="AC2118"/>
  <c r="AD2118"/>
  <c r="P2119"/>
  <c r="T2119"/>
  <c r="U2119"/>
  <c r="V2119"/>
  <c r="W2119"/>
  <c r="Y2119"/>
  <c r="AA2119"/>
  <c r="AB2119"/>
  <c r="AC2119"/>
  <c r="AD2119"/>
  <c r="P2120"/>
  <c r="T2120"/>
  <c r="U2120"/>
  <c r="V2120"/>
  <c r="W2120"/>
  <c r="Y2120"/>
  <c r="AA2120"/>
  <c r="AB2120"/>
  <c r="AC2120"/>
  <c r="AD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A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AD2128"/>
  <c r="P2129"/>
  <c r="T2129"/>
  <c r="U2129"/>
  <c r="V2129"/>
  <c r="W2129"/>
  <c r="Y2129"/>
  <c r="AA2129"/>
  <c r="AB2129"/>
  <c r="AC2129"/>
  <c r="AD2129"/>
  <c r="P2130"/>
  <c r="T2130"/>
  <c r="U2130"/>
  <c r="V2130"/>
  <c r="W2130"/>
  <c r="Y2130"/>
  <c r="AA2130"/>
  <c r="AB2130"/>
  <c r="AC2130"/>
  <c r="AD2130"/>
  <c r="P2131"/>
  <c r="T2131"/>
  <c r="U2131"/>
  <c r="V2131"/>
  <c r="W2131"/>
  <c r="Y2131"/>
  <c r="AA2131"/>
  <c r="AB2131"/>
  <c r="AC2131"/>
  <c r="AD2131"/>
  <c r="P2132"/>
  <c r="T2132"/>
  <c r="U2132"/>
  <c r="V2132"/>
  <c r="W2132"/>
  <c r="Y2132"/>
  <c r="AA2132"/>
  <c r="AB2132"/>
  <c r="AC2132"/>
  <c r="AD2132"/>
  <c r="P2133"/>
  <c r="T2133"/>
  <c r="U2133"/>
  <c r="V2133"/>
  <c r="W2133"/>
  <c r="Y2133"/>
  <c r="AA2133"/>
  <c r="AB2133"/>
  <c r="AC2133"/>
  <c r="AD2133"/>
  <c r="P2134"/>
  <c r="T2134"/>
  <c r="U2134"/>
  <c r="V2134"/>
  <c r="W2134"/>
  <c r="Y2134"/>
  <c r="AB2134"/>
  <c r="AC2134"/>
  <c r="AD2134"/>
  <c r="P2135"/>
  <c r="T2135"/>
  <c r="U2135"/>
  <c r="V2135"/>
  <c r="W2135"/>
  <c r="Y2135"/>
  <c r="AB2135"/>
  <c r="AC2135"/>
  <c r="AD2135"/>
  <c r="P2136"/>
  <c r="T2136"/>
  <c r="U2136"/>
  <c r="V2136"/>
  <c r="W2136"/>
  <c r="Y2136"/>
  <c r="AA2136"/>
  <c r="AB2136"/>
  <c r="AC2136"/>
  <c r="AD2136"/>
  <c r="P2137"/>
  <c r="T2137"/>
  <c r="U2137"/>
  <c r="V2137"/>
  <c r="W2137"/>
  <c r="Y2137"/>
  <c r="AA2137"/>
  <c r="AB2137"/>
  <c r="AC2137"/>
  <c r="AD2137"/>
  <c r="P2138"/>
  <c r="T2138"/>
  <c r="U2138"/>
  <c r="V2138"/>
  <c r="W2138"/>
  <c r="Y2138"/>
  <c r="AA2138"/>
  <c r="AB2138"/>
  <c r="AC2138"/>
  <c r="AD2138"/>
  <c r="P2139"/>
  <c r="T2139"/>
  <c r="U2139"/>
  <c r="V2139"/>
  <c r="W2139"/>
  <c r="Y2139"/>
  <c r="AA2139"/>
  <c r="AB2139"/>
  <c r="AC2139"/>
  <c r="AD2139"/>
  <c r="P2140"/>
  <c r="T2140"/>
  <c r="U2140"/>
  <c r="V2140"/>
  <c r="W2140"/>
  <c r="Y2140"/>
  <c r="AA2140"/>
  <c r="AB2140"/>
  <c r="AC2140"/>
  <c r="AD2140"/>
  <c r="P2141"/>
  <c r="T2141"/>
  <c r="U2141"/>
  <c r="V2141"/>
  <c r="W2141"/>
  <c r="Y2141"/>
  <c r="AA2141"/>
  <c r="AB2141"/>
  <c r="AC2141"/>
  <c r="AD2141"/>
  <c r="P2142"/>
  <c r="T2142"/>
  <c r="U2142"/>
  <c r="V2142"/>
  <c r="W2142"/>
  <c r="Y2142"/>
  <c r="AA2142"/>
  <c r="AB2142"/>
  <c r="AC2142"/>
  <c r="AD2142"/>
  <c r="P2143"/>
  <c r="T2143"/>
  <c r="U2143"/>
  <c r="V2143"/>
  <c r="W2143"/>
  <c r="Y2143"/>
  <c r="AA2143"/>
  <c r="AB2143"/>
  <c r="AC2143"/>
  <c r="AD2143"/>
  <c r="P2144"/>
  <c r="T2144"/>
  <c r="U2144"/>
  <c r="V2144"/>
  <c r="W2144"/>
  <c r="Y2144"/>
  <c r="AA2144"/>
  <c r="AB2144"/>
  <c r="AC2144"/>
  <c r="AD2144"/>
  <c r="P2145"/>
  <c r="T2145"/>
  <c r="U2145"/>
  <c r="V2145"/>
  <c r="W2145"/>
  <c r="Y2145"/>
  <c r="AA2145"/>
  <c r="AB2145"/>
  <c r="AC2145"/>
  <c r="AD2145"/>
  <c r="P2146"/>
  <c r="T2146"/>
  <c r="U2146"/>
  <c r="V2146"/>
  <c r="W2146"/>
  <c r="Y2146"/>
  <c r="AA2146"/>
  <c r="AB2146"/>
  <c r="AC2146"/>
  <c r="AD2146"/>
  <c r="P2147"/>
  <c r="T2147"/>
  <c r="U2147"/>
  <c r="V2147"/>
  <c r="W2147"/>
  <c r="Y2147"/>
  <c r="AA2147"/>
  <c r="AB2147"/>
  <c r="AC2147"/>
  <c r="AD2147"/>
  <c r="P2148"/>
  <c r="T2148"/>
  <c r="U2148"/>
  <c r="V2148"/>
  <c r="W2148"/>
  <c r="Y2148"/>
  <c r="AA2148"/>
  <c r="AB2148"/>
  <c r="AC2148"/>
  <c r="AD2148"/>
  <c r="P2149"/>
  <c r="T2149"/>
  <c r="U2149"/>
  <c r="V2149"/>
  <c r="W2149"/>
  <c r="Y2149"/>
  <c r="AA2149"/>
  <c r="AB2149"/>
  <c r="AC2149"/>
  <c r="AD2149"/>
  <c r="P2150"/>
  <c r="T2150"/>
  <c r="U2150"/>
  <c r="V2150"/>
  <c r="W2150"/>
  <c r="Y2150"/>
  <c r="AA2150"/>
  <c r="AB2150"/>
  <c r="AC2150"/>
  <c r="AD2150"/>
  <c r="P2151"/>
  <c r="T2151"/>
  <c r="U2151"/>
  <c r="V2151"/>
  <c r="W2151"/>
  <c r="Y2151"/>
  <c r="AA2151"/>
  <c r="AB2151"/>
  <c r="AC2151"/>
  <c r="AD2151"/>
  <c r="P2152"/>
  <c r="T2152"/>
  <c r="U2152"/>
  <c r="V2152"/>
  <c r="W2152"/>
  <c r="Y2152"/>
  <c r="AA2152"/>
  <c r="AB2152"/>
  <c r="AC2152"/>
  <c r="AD2152"/>
  <c r="P2153"/>
  <c r="T2153"/>
  <c r="U2153"/>
  <c r="V2153"/>
  <c r="W2153"/>
  <c r="Y2153"/>
  <c r="AA2153"/>
  <c r="AB2153"/>
  <c r="AC2153"/>
  <c r="AD2153"/>
  <c r="P2154"/>
  <c r="T2154"/>
  <c r="U2154"/>
  <c r="V2154"/>
  <c r="W2154"/>
  <c r="Y2154"/>
  <c r="AA2154"/>
  <c r="AB2154"/>
  <c r="AC2154"/>
  <c r="AD2154"/>
  <c r="P2155"/>
  <c r="T2155"/>
  <c r="U2155"/>
  <c r="V2155"/>
  <c r="W2155"/>
  <c r="Y2155"/>
  <c r="AA2155"/>
  <c r="AB2155"/>
  <c r="AC2155"/>
  <c r="AD2155"/>
  <c r="P2156"/>
  <c r="T2156"/>
  <c r="U2156"/>
  <c r="V2156"/>
  <c r="W2156"/>
  <c r="Y2156"/>
  <c r="AA2156"/>
  <c r="AB2156"/>
  <c r="AC2156"/>
  <c r="AD2156"/>
  <c r="P2157"/>
  <c r="T2157"/>
  <c r="U2157"/>
  <c r="V2157"/>
  <c r="W2157"/>
  <c r="Y2157"/>
  <c r="AA2157"/>
  <c r="AB2157"/>
  <c r="AC2157"/>
  <c r="AD2157"/>
  <c r="P2158"/>
  <c r="T2158"/>
  <c r="U2158"/>
  <c r="V2158"/>
  <c r="W2158"/>
  <c r="Y2158"/>
  <c r="AA2158"/>
  <c r="AB2158"/>
  <c r="AC2158"/>
  <c r="AD2158"/>
  <c r="P2159"/>
  <c r="T2159"/>
  <c r="U2159"/>
  <c r="V2159"/>
  <c r="W2159"/>
  <c r="Y2159"/>
  <c r="AA2159"/>
  <c r="AB2159"/>
  <c r="AC2159"/>
  <c r="AD2159"/>
  <c r="P2160"/>
  <c r="T2160"/>
  <c r="U2160"/>
  <c r="V2160"/>
  <c r="W2160"/>
  <c r="Y2160"/>
  <c r="AA2160"/>
  <c r="AB2160"/>
  <c r="AC2160"/>
  <c r="AD2160"/>
  <c r="P2161"/>
  <c r="T2161"/>
  <c r="U2161"/>
  <c r="V2161"/>
  <c r="W2161"/>
  <c r="Y2161"/>
  <c r="AA2161"/>
  <c r="AB2161"/>
  <c r="AC2161"/>
  <c r="AD2161"/>
  <c r="P2162"/>
  <c r="T2162"/>
  <c r="U2162"/>
  <c r="V2162"/>
  <c r="W2162"/>
  <c r="Y2162"/>
  <c r="AA2162"/>
  <c r="AB2162"/>
  <c r="AC2162"/>
  <c r="AD2162"/>
  <c r="P2163"/>
  <c r="T2163"/>
  <c r="U2163"/>
  <c r="V2163"/>
  <c r="W2163"/>
  <c r="Y2163"/>
  <c r="AA2163"/>
  <c r="AB2163"/>
  <c r="AC2163"/>
  <c r="AD2163"/>
  <c r="P2164"/>
  <c r="T2164"/>
  <c r="U2164"/>
  <c r="V2164"/>
  <c r="W2164"/>
  <c r="Y2164"/>
  <c r="AA2164"/>
  <c r="AB2164"/>
  <c r="AC2164"/>
  <c r="AD2164"/>
  <c r="P2165"/>
  <c r="T2165"/>
  <c r="U2165"/>
  <c r="V2165"/>
  <c r="W2165"/>
  <c r="Y2165"/>
  <c r="AA2165"/>
  <c r="AB2165"/>
  <c r="AC2165"/>
  <c r="AD2165"/>
  <c r="P2166"/>
  <c r="T2166"/>
  <c r="U2166"/>
  <c r="V2166"/>
  <c r="W2166"/>
  <c r="Y2166"/>
  <c r="AA2166"/>
  <c r="AB2166"/>
  <c r="AC2166"/>
  <c r="AD2166"/>
  <c r="P2167"/>
  <c r="T2167"/>
  <c r="U2167"/>
  <c r="V2167"/>
  <c r="W2167"/>
  <c r="Y2167"/>
  <c r="AA2167"/>
  <c r="AB2167"/>
  <c r="AC2167"/>
  <c r="AD2167"/>
  <c r="P2168"/>
  <c r="T2168"/>
  <c r="U2168"/>
  <c r="V2168"/>
  <c r="W2168"/>
  <c r="Y2168"/>
  <c r="AA2168"/>
  <c r="AB2168"/>
  <c r="AC2168"/>
  <c r="AD2168"/>
  <c r="P2169"/>
  <c r="T2169"/>
  <c r="U2169"/>
  <c r="V2169"/>
  <c r="W2169"/>
  <c r="Y2169"/>
  <c r="AA2169"/>
  <c r="AB2169"/>
  <c r="AC2169"/>
  <c r="AD2169"/>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4"/>
  <c r="T2174"/>
  <c r="U2174"/>
  <c r="V2174"/>
  <c r="W2174"/>
  <c r="Y2174"/>
  <c r="AA2174"/>
  <c r="AB2174"/>
  <c r="AC2174"/>
  <c r="AD2174"/>
  <c r="P2175"/>
  <c r="T2175"/>
  <c r="U2175"/>
  <c r="V2175"/>
  <c r="W2175"/>
  <c r="Y2175"/>
  <c r="AA2175"/>
  <c r="AB2175"/>
  <c r="AC2175"/>
  <c r="AD2175"/>
  <c r="P2176"/>
  <c r="T2176"/>
  <c r="U2176"/>
  <c r="V2176"/>
  <c r="W2176"/>
  <c r="Y2176"/>
  <c r="AA2176"/>
  <c r="AB2176"/>
  <c r="AC2176"/>
  <c r="AD2176"/>
  <c r="P2177"/>
  <c r="T2177"/>
  <c r="U2177"/>
  <c r="V2177"/>
  <c r="W2177"/>
  <c r="Y2177"/>
  <c r="AA2177"/>
  <c r="AB2177"/>
  <c r="AC2177"/>
  <c r="AD2177"/>
  <c r="P2178"/>
  <c r="T2178"/>
  <c r="U2178"/>
  <c r="V2178"/>
  <c r="W2178"/>
  <c r="Y2178"/>
  <c r="AA2178"/>
  <c r="AB2178"/>
  <c r="AC2178"/>
  <c r="AD2178"/>
  <c r="P2179"/>
  <c r="T2179"/>
  <c r="U2179"/>
  <c r="V2179"/>
  <c r="W2179"/>
  <c r="Y2179"/>
  <c r="AA2179"/>
  <c r="AB2179"/>
  <c r="AC2179"/>
  <c r="AD2179"/>
  <c r="P2180"/>
  <c r="T2180"/>
  <c r="U2180"/>
  <c r="V2180"/>
  <c r="W2180"/>
  <c r="Y2180"/>
  <c r="AA2180"/>
  <c r="AB2180"/>
  <c r="AC2180"/>
  <c r="AD2180"/>
  <c r="P2181"/>
  <c r="T2181"/>
  <c r="U2181"/>
  <c r="V2181"/>
  <c r="W2181"/>
  <c r="Y2181"/>
  <c r="AA2181"/>
  <c r="AB2181"/>
  <c r="AC2181"/>
  <c r="AD2181"/>
  <c r="P2182"/>
  <c r="T2182"/>
  <c r="U2182"/>
  <c r="V2182"/>
  <c r="W2182"/>
  <c r="Y2182"/>
  <c r="AA2182"/>
  <c r="AB2182"/>
  <c r="AC2182"/>
  <c r="AD2182"/>
  <c r="P2183"/>
  <c r="T2183"/>
  <c r="U2183"/>
  <c r="V2183"/>
  <c r="W2183"/>
  <c r="Y2183"/>
  <c r="AB2183"/>
  <c r="AC2183"/>
  <c r="AD2183"/>
  <c r="P2184"/>
  <c r="T2184"/>
  <c r="U2184"/>
  <c r="V2184"/>
  <c r="W2184"/>
  <c r="Y2184"/>
  <c r="AB2184"/>
  <c r="AC2184"/>
  <c r="AD2184"/>
  <c r="P2185"/>
  <c r="T2185"/>
  <c r="U2185"/>
  <c r="V2185"/>
  <c r="W2185"/>
  <c r="Y2185"/>
  <c r="AA2185"/>
  <c r="AB2185"/>
  <c r="AC2185"/>
  <c r="AD2185"/>
  <c r="P2186"/>
  <c r="T2186"/>
  <c r="U2186"/>
  <c r="V2186"/>
  <c r="W2186"/>
  <c r="Y2186"/>
  <c r="AA2186"/>
  <c r="AB2186"/>
  <c r="AC2186"/>
  <c r="AD2186"/>
  <c r="P2187"/>
  <c r="T2187"/>
  <c r="U2187"/>
  <c r="V2187"/>
  <c r="W2187"/>
  <c r="Y2187"/>
  <c r="AA2187"/>
  <c r="AB2187"/>
  <c r="AC2187"/>
  <c r="AD2187"/>
  <c r="P2188"/>
  <c r="T2188"/>
  <c r="U2188"/>
  <c r="V2188"/>
  <c r="W2188"/>
  <c r="Y2188"/>
  <c r="AA2188"/>
  <c r="AB2188"/>
  <c r="AC2188"/>
  <c r="AD2188"/>
  <c r="P2189"/>
  <c r="T2189"/>
  <c r="U2189"/>
  <c r="V2189"/>
  <c r="W2189"/>
  <c r="Y2189"/>
  <c r="AA2189"/>
  <c r="AB2189"/>
  <c r="AC2189"/>
  <c r="AD2189"/>
  <c r="P2190"/>
  <c r="T2190"/>
  <c r="U2190"/>
  <c r="V2190"/>
  <c r="W2190"/>
  <c r="Y2190"/>
  <c r="AA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T2208"/>
  <c r="U2208"/>
  <c r="V2208"/>
  <c r="W2208"/>
  <c r="Y2208"/>
  <c r="AB2208"/>
  <c r="AC2208"/>
  <c r="AD2208"/>
  <c r="P2209"/>
  <c r="T2209"/>
  <c r="U2209"/>
  <c r="V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T2225"/>
  <c r="U2225"/>
  <c r="V2225"/>
  <c r="W2225"/>
  <c r="Y2225"/>
  <c r="AB2225"/>
  <c r="AC2225"/>
  <c r="AD2225"/>
  <c r="P2226"/>
  <c r="T2226"/>
  <c r="U2226"/>
  <c r="V2226"/>
  <c r="W2226"/>
  <c r="Y2226"/>
  <c r="AB2226"/>
  <c r="AC2226"/>
  <c r="AD2226"/>
  <c r="P2227"/>
  <c r="T2227"/>
  <c r="U2227"/>
  <c r="V2227"/>
  <c r="W2227"/>
  <c r="Y2227"/>
  <c r="AB2227"/>
  <c r="AC2227"/>
  <c r="AD2227"/>
  <c r="P2228"/>
  <c r="T2228"/>
  <c r="U2228"/>
  <c r="V2228"/>
  <c r="W2228"/>
  <c r="Y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T2244"/>
  <c r="U2244"/>
  <c r="V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T2252"/>
  <c r="U2252"/>
  <c r="V2252"/>
  <c r="W2252"/>
  <c r="Y2252"/>
  <c r="AB2252"/>
  <c r="AC2252"/>
  <c r="AD2252"/>
  <c r="P2253"/>
  <c r="T2253"/>
  <c r="U2253"/>
  <c r="V2253"/>
  <c r="W2253"/>
  <c r="Y2253"/>
  <c r="AB2253"/>
  <c r="AC2253"/>
  <c r="AD2253"/>
  <c r="P2254"/>
  <c r="T2254"/>
  <c r="U2254"/>
  <c r="V2254"/>
  <c r="W2254"/>
  <c r="Y2254"/>
  <c r="AB2254"/>
  <c r="AC2254"/>
  <c r="AD2254"/>
  <c r="P2255"/>
  <c r="T2255"/>
  <c r="U2255"/>
  <c r="V2255"/>
  <c r="W2255"/>
  <c r="Y2255"/>
  <c r="AB2255"/>
  <c r="AC2255"/>
  <c r="AD2255"/>
  <c r="P2256"/>
  <c r="T2256"/>
  <c r="U2256"/>
  <c r="V2256"/>
  <c r="W2256"/>
  <c r="Y2256"/>
  <c r="AB2256"/>
  <c r="AC2256"/>
  <c r="AD2256"/>
  <c r="P2257"/>
  <c r="T2257"/>
  <c r="U2257"/>
  <c r="V2257"/>
  <c r="W2257"/>
  <c r="Y2257"/>
  <c r="AB2257"/>
  <c r="AC2257"/>
  <c r="AD2257"/>
  <c r="P2258"/>
  <c r="T2258"/>
  <c r="U2258"/>
  <c r="V2258"/>
  <c r="W2258"/>
  <c r="Y2258"/>
  <c r="AB2258"/>
  <c r="AC2258"/>
  <c r="AD2258"/>
  <c r="P2259"/>
  <c r="T2259"/>
  <c r="U2259"/>
  <c r="V2259"/>
  <c r="W2259"/>
  <c r="Y2259"/>
  <c r="AB2259"/>
  <c r="AC2259"/>
  <c r="AD2259"/>
  <c r="P2260"/>
  <c r="T2260"/>
  <c r="U2260"/>
  <c r="V2260"/>
  <c r="W2260"/>
  <c r="Y2260"/>
  <c r="AB2260"/>
  <c r="AC2260"/>
  <c r="AD2260"/>
  <c r="P2261"/>
  <c r="T2261"/>
  <c r="U2261"/>
  <c r="V2261"/>
  <c r="W2261"/>
  <c r="Y2261"/>
  <c r="AB2261"/>
  <c r="AC2261"/>
  <c r="AD2261"/>
  <c r="P2262"/>
  <c r="T2262"/>
  <c r="U2262"/>
  <c r="V2262"/>
  <c r="W2262"/>
  <c r="Y2262"/>
  <c r="AB2262"/>
  <c r="AC2262"/>
  <c r="AD2262"/>
  <c r="P2263"/>
  <c r="T2263"/>
  <c r="U2263"/>
  <c r="V2263"/>
  <c r="W2263"/>
  <c r="Y2263"/>
  <c r="AB2263"/>
  <c r="AC2263"/>
  <c r="AD2263"/>
  <c r="P2264"/>
  <c r="T2264"/>
  <c r="U2264"/>
  <c r="V2264"/>
  <c r="W2264"/>
  <c r="Y2264"/>
  <c r="AA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A2278"/>
  <c r="AB2278"/>
  <c r="AC2278"/>
  <c r="AD2278"/>
  <c r="P2279"/>
  <c r="T2279"/>
  <c r="U2279"/>
  <c r="V2279"/>
  <c r="W2279"/>
  <c r="Y2279"/>
  <c r="AA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AD2282"/>
  <c r="P2283"/>
  <c r="T2283"/>
  <c r="U2283"/>
  <c r="V2283"/>
  <c r="W2283"/>
  <c r="Y2283"/>
  <c r="AA2283"/>
  <c r="AB2283"/>
  <c r="AC2283"/>
  <c r="AD2283"/>
  <c r="P2284"/>
  <c r="T2284"/>
  <c r="U2284"/>
  <c r="V2284"/>
  <c r="W2284"/>
  <c r="Y2284"/>
  <c r="AA2284"/>
  <c r="AB2284"/>
  <c r="AC2284"/>
  <c r="AD2284"/>
  <c r="P2285"/>
  <c r="T2285"/>
  <c r="U2285"/>
  <c r="V2285"/>
  <c r="W2285"/>
  <c r="Y2285"/>
  <c r="AA2285"/>
  <c r="AB2285"/>
  <c r="AC2285"/>
  <c r="AD2285"/>
  <c r="P2286"/>
  <c r="T2286"/>
  <c r="U2286"/>
  <c r="V2286"/>
  <c r="W2286"/>
  <c r="Y2286"/>
  <c r="AA2286"/>
  <c r="AB2286"/>
  <c r="AC2286"/>
  <c r="AD2286"/>
  <c r="P2287"/>
  <c r="T2287"/>
  <c r="U2287"/>
  <c r="V2287"/>
  <c r="W2287"/>
  <c r="Y2287"/>
  <c r="AA2287"/>
  <c r="AB2287"/>
  <c r="AC2287"/>
  <c r="AD2287"/>
  <c r="P2288"/>
  <c r="T2288"/>
  <c r="U2288"/>
  <c r="V2288"/>
  <c r="W2288"/>
  <c r="Y2288"/>
  <c r="AA2288"/>
  <c r="AB2288"/>
  <c r="AC2288"/>
  <c r="AD2288"/>
  <c r="P2289"/>
  <c r="T2289"/>
  <c r="U2289"/>
  <c r="V2289"/>
  <c r="W2289"/>
  <c r="Y2289"/>
  <c r="AA2289"/>
  <c r="AB2289"/>
  <c r="AC2289"/>
  <c r="AD2289"/>
  <c r="P2290"/>
  <c r="T2290"/>
  <c r="U2290"/>
  <c r="V2290"/>
  <c r="W2290"/>
  <c r="Y2290"/>
  <c r="AA2290"/>
  <c r="AB2290"/>
  <c r="AC2290"/>
  <c r="AD2290"/>
  <c r="P2291"/>
  <c r="T2291"/>
  <c r="U2291"/>
  <c r="V2291"/>
  <c r="W2291"/>
  <c r="Y2291"/>
  <c r="AA2291"/>
  <c r="AB2291"/>
  <c r="AC2291"/>
  <c r="AD2291"/>
  <c r="P2292"/>
  <c r="T2292"/>
  <c r="U2292"/>
  <c r="V2292"/>
  <c r="W2292"/>
  <c r="Y2292"/>
  <c r="AB2292"/>
  <c r="AC2292"/>
  <c r="AD2292"/>
  <c r="P2293"/>
  <c r="T2293"/>
  <c r="U2293"/>
  <c r="V2293"/>
  <c r="W2293"/>
  <c r="Y2293"/>
  <c r="AA2293"/>
  <c r="AB2293"/>
  <c r="AC2293"/>
  <c r="AD2293"/>
  <c r="P2294"/>
  <c r="T2294"/>
  <c r="U2294"/>
  <c r="V2294"/>
  <c r="W2294"/>
  <c r="Y2294"/>
  <c r="AA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A2299"/>
  <c r="AB2299"/>
  <c r="AC2299"/>
  <c r="AD2299"/>
  <c r="P2300"/>
  <c r="T2300"/>
  <c r="U2300"/>
  <c r="V2300"/>
  <c r="W2300"/>
  <c r="Y2300"/>
  <c r="AA2300"/>
  <c r="AB2300"/>
  <c r="AC2300"/>
  <c r="AD2300"/>
  <c r="P2301"/>
  <c r="T2301"/>
  <c r="U2301"/>
  <c r="V2301"/>
  <c r="W2301"/>
  <c r="Y2301"/>
  <c r="AA2301"/>
  <c r="AB2301"/>
  <c r="AC2301"/>
  <c r="AD2301"/>
  <c r="P2302"/>
  <c r="T2302"/>
  <c r="U2302"/>
  <c r="V2302"/>
  <c r="W2302"/>
  <c r="Y2302"/>
  <c r="AA2302"/>
  <c r="AB2302"/>
  <c r="AC2302"/>
  <c r="AD2302"/>
  <c r="P2303"/>
  <c r="T2303"/>
  <c r="U2303"/>
  <c r="V2303"/>
  <c r="W2303"/>
  <c r="Y2303"/>
  <c r="AA2303"/>
  <c r="AB2303"/>
  <c r="AC2303"/>
  <c r="AD2303"/>
  <c r="P2304"/>
  <c r="T2304"/>
  <c r="U2304"/>
  <c r="V2304"/>
  <c r="W2304"/>
  <c r="Y2304"/>
  <c r="AA2304"/>
  <c r="AB2304"/>
  <c r="AC2304"/>
  <c r="AD2304"/>
  <c r="P2305"/>
  <c r="T2305"/>
  <c r="U2305"/>
  <c r="V2305"/>
  <c r="W2305"/>
  <c r="Y2305"/>
  <c r="AA2305"/>
  <c r="AB2305"/>
  <c r="AC2305"/>
  <c r="AD2305"/>
  <c r="P2306"/>
  <c r="T2306"/>
  <c r="U2306"/>
  <c r="V2306"/>
  <c r="W2306"/>
  <c r="Y2306"/>
  <c r="AA2306"/>
  <c r="AB2306"/>
  <c r="AC2306"/>
  <c r="AD2306"/>
  <c r="P2307"/>
  <c r="T2307"/>
  <c r="U2307"/>
  <c r="V2307"/>
  <c r="W2307"/>
  <c r="Y2307"/>
  <c r="AA2307"/>
  <c r="AB2307"/>
  <c r="AC2307"/>
  <c r="AD2307"/>
  <c r="P2308"/>
  <c r="T2308"/>
  <c r="U2308"/>
  <c r="V2308"/>
  <c r="W2308"/>
  <c r="Y2308"/>
  <c r="AA2308"/>
  <c r="AB2308"/>
  <c r="AC2308"/>
  <c r="AD2308"/>
  <c r="P2309"/>
  <c r="T2309"/>
  <c r="U2309"/>
  <c r="V2309"/>
  <c r="W2309"/>
  <c r="Y2309"/>
  <c r="AA2309"/>
  <c r="AB2309"/>
  <c r="AC2309"/>
  <c r="AD2309"/>
  <c r="P2310"/>
  <c r="T2310"/>
  <c r="U2310"/>
  <c r="V2310"/>
  <c r="W2310"/>
  <c r="Y2310"/>
  <c r="AA2310"/>
  <c r="AB2310"/>
  <c r="AC2310"/>
  <c r="AD2310"/>
  <c r="P2311"/>
  <c r="T2311"/>
  <c r="U2311"/>
  <c r="V2311"/>
  <c r="W2311"/>
  <c r="Y2311"/>
  <c r="AA2311"/>
  <c r="AB2311"/>
  <c r="AC2311"/>
  <c r="AD2311"/>
  <c r="P2312"/>
  <c r="T2312"/>
  <c r="U2312"/>
  <c r="V2312"/>
  <c r="W2312"/>
  <c r="Y2312"/>
  <c r="AA2312"/>
  <c r="AB2312"/>
  <c r="AC2312"/>
  <c r="AD2312"/>
  <c r="P2313"/>
  <c r="T2313"/>
  <c r="U2313"/>
  <c r="V2313"/>
  <c r="W2313"/>
  <c r="Y2313"/>
  <c r="AA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T2318"/>
  <c r="U2318"/>
  <c r="V2318"/>
  <c r="W2318"/>
  <c r="Y2318"/>
  <c r="AA2318"/>
  <c r="AB2318"/>
  <c r="AC2318"/>
  <c r="AD2318"/>
  <c r="P2319"/>
  <c r="T2319"/>
  <c r="U2319"/>
  <c r="V2319"/>
  <c r="W2319"/>
  <c r="Y2319"/>
  <c r="AA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T2331"/>
  <c r="U2331"/>
  <c r="V2331"/>
  <c r="W2331"/>
  <c r="Y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B2336"/>
  <c r="AC2336"/>
  <c r="AD2336"/>
  <c r="P2337"/>
  <c r="T2337"/>
  <c r="U2337"/>
  <c r="V2337"/>
  <c r="W2337"/>
  <c r="Y2337"/>
  <c r="AA2337"/>
  <c r="AB2337"/>
  <c r="AC2337"/>
  <c r="AD2337"/>
  <c r="P2338"/>
  <c r="T2338"/>
  <c r="U2338"/>
  <c r="V2338"/>
  <c r="W2338"/>
  <c r="Y2338"/>
  <c r="AA2338"/>
  <c r="AB2338"/>
  <c r="AC2338"/>
  <c r="AD2338"/>
  <c r="P2339"/>
  <c r="T2339"/>
  <c r="U2339"/>
  <c r="V2339"/>
  <c r="W2339"/>
  <c r="Y2339"/>
  <c r="AB2339"/>
  <c r="AC2339"/>
  <c r="AD2339"/>
  <c r="P2340"/>
  <c r="T2340"/>
  <c r="U2340"/>
  <c r="V2340"/>
  <c r="W2340"/>
  <c r="Y2340"/>
  <c r="AB2340"/>
  <c r="AC2340"/>
  <c r="AD2340"/>
  <c r="P2341"/>
  <c r="T2341"/>
  <c r="U2341"/>
  <c r="V2341"/>
  <c r="W2341"/>
  <c r="Y2341"/>
  <c r="AB2341"/>
  <c r="AC2341"/>
  <c r="AD2341"/>
  <c r="P2342"/>
  <c r="T2342"/>
  <c r="U2342"/>
  <c r="V2342"/>
  <c r="W2342"/>
  <c r="Y2342"/>
  <c r="AB2342"/>
  <c r="AC2342"/>
  <c r="AD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A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AD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A2363"/>
  <c r="AB2363"/>
  <c r="AC2363"/>
  <c r="AD2363"/>
  <c r="P2364"/>
  <c r="T2364"/>
  <c r="U2364"/>
  <c r="V2364"/>
  <c r="W2364"/>
  <c r="Y2364"/>
  <c r="AA2364"/>
  <c r="AB2364"/>
  <c r="AC2364"/>
  <c r="AD2364"/>
  <c r="P2365"/>
  <c r="T2365"/>
  <c r="U2365"/>
  <c r="V2365"/>
  <c r="W2365"/>
  <c r="Y2365"/>
  <c r="AA2365"/>
  <c r="AB2365"/>
  <c r="AC2365"/>
  <c r="AD2365"/>
  <c r="P2366"/>
  <c r="T2366"/>
  <c r="U2366"/>
  <c r="V2366"/>
  <c r="W2366"/>
  <c r="Y2366"/>
  <c r="AB2366"/>
  <c r="AC2366"/>
  <c r="AD2366"/>
  <c r="P2367"/>
  <c r="T2367"/>
  <c r="U2367"/>
  <c r="V2367"/>
  <c r="W2367"/>
  <c r="Y2367"/>
  <c r="AA2367"/>
  <c r="AB2367"/>
  <c r="AC2367"/>
  <c r="AD2367"/>
  <c r="P2368"/>
  <c r="T2368"/>
  <c r="U2368"/>
  <c r="V2368"/>
  <c r="W2368"/>
  <c r="Y2368"/>
  <c r="AA2368"/>
  <c r="AB2368"/>
  <c r="AC2368"/>
  <c r="AD2368"/>
  <c r="P2369"/>
  <c r="T2369"/>
  <c r="U2369"/>
  <c r="V2369"/>
  <c r="W2369"/>
  <c r="Y2369"/>
  <c r="AA2369"/>
  <c r="AB2369"/>
  <c r="AC2369"/>
  <c r="AD2369"/>
  <c r="P2370"/>
  <c r="T2370"/>
  <c r="U2370"/>
  <c r="V2370"/>
  <c r="W2370"/>
  <c r="Y2370"/>
  <c r="AA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T2376"/>
  <c r="U2376"/>
  <c r="V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T2381"/>
  <c r="U2381"/>
  <c r="V2381"/>
  <c r="W2381"/>
  <c r="Y2381"/>
  <c r="AA2381"/>
  <c r="AB2381"/>
  <c r="AC2381"/>
  <c r="AD2381"/>
  <c r="P2382"/>
  <c r="T2382"/>
  <c r="U2382"/>
  <c r="V2382"/>
  <c r="W2382"/>
  <c r="Y2382"/>
  <c r="AA2382"/>
  <c r="AB2382"/>
  <c r="AC2382"/>
  <c r="AD2382"/>
  <c r="P2383"/>
  <c r="T2383"/>
  <c r="U2383"/>
  <c r="V2383"/>
  <c r="W2383"/>
  <c r="Y2383"/>
  <c r="AA2383"/>
  <c r="AB2383"/>
  <c r="AC2383"/>
  <c r="AD2383"/>
  <c r="P2384"/>
  <c r="T2384"/>
  <c r="U2384"/>
  <c r="V2384"/>
  <c r="W2384"/>
  <c r="Y2384"/>
  <c r="AA2384"/>
  <c r="AB2384"/>
  <c r="AC2384"/>
  <c r="AD2384"/>
  <c r="P2385"/>
  <c r="T2385"/>
  <c r="U2385"/>
  <c r="V2385"/>
  <c r="W2385"/>
  <c r="Y2385"/>
  <c r="AA2385"/>
  <c r="AB2385"/>
  <c r="AC2385"/>
  <c r="AD2385"/>
  <c r="P2386"/>
  <c r="T2386"/>
  <c r="U2386"/>
  <c r="V2386"/>
  <c r="W2386"/>
  <c r="Y2386"/>
  <c r="AA2386"/>
  <c r="AB2386"/>
  <c r="AC2386"/>
  <c r="AD2386"/>
  <c r="P2387"/>
  <c r="T2387"/>
  <c r="U2387"/>
  <c r="V2387"/>
  <c r="W2387"/>
  <c r="Y2387"/>
  <c r="AA2387"/>
  <c r="AB2387"/>
  <c r="AC2387"/>
  <c r="AD2387"/>
  <c r="P2388"/>
  <c r="T2388"/>
  <c r="U2388"/>
  <c r="V2388"/>
  <c r="W2388"/>
  <c r="Y2388"/>
  <c r="AA2388"/>
  <c r="AB2388"/>
  <c r="AC2388"/>
  <c r="AD2388"/>
  <c r="P2389"/>
  <c r="T2389"/>
  <c r="U2389"/>
  <c r="V2389"/>
  <c r="W2389"/>
  <c r="Y2389"/>
  <c r="AB2389"/>
  <c r="AC2389"/>
  <c r="AD2389"/>
  <c r="P2390"/>
  <c r="T2390"/>
  <c r="U2390"/>
  <c r="V2390"/>
  <c r="W2390"/>
  <c r="Y2390"/>
  <c r="AA2390"/>
  <c r="AB2390"/>
  <c r="AC2390"/>
  <c r="AD2390"/>
  <c r="P2391"/>
  <c r="T2391"/>
  <c r="U2391"/>
  <c r="V2391"/>
  <c r="W2391"/>
  <c r="Y2391"/>
  <c r="AA2391"/>
  <c r="AB2391"/>
  <c r="AC2391"/>
  <c r="AD2391"/>
  <c r="P2392"/>
  <c r="T2392"/>
  <c r="U2392"/>
  <c r="V2392"/>
  <c r="W2392"/>
  <c r="Y2392"/>
  <c r="AA2392"/>
  <c r="AB2392"/>
  <c r="AC2392"/>
  <c r="AD2392"/>
  <c r="P2393"/>
  <c r="T2393"/>
  <c r="U2393"/>
  <c r="V2393"/>
  <c r="W2393"/>
  <c r="Y2393"/>
  <c r="AA2393"/>
  <c r="AB2393"/>
  <c r="AC2393"/>
  <c r="AD2393"/>
  <c r="P2394"/>
  <c r="T2394"/>
  <c r="U2394"/>
  <c r="V2394"/>
  <c r="W2394"/>
  <c r="Y2394"/>
  <c r="AA2394"/>
  <c r="AB2394"/>
  <c r="AC2394"/>
  <c r="AD2394"/>
  <c r="P2395"/>
  <c r="T2395"/>
  <c r="U2395"/>
  <c r="V2395"/>
  <c r="W2395"/>
  <c r="Y2395"/>
  <c r="AA2395"/>
  <c r="AB2395"/>
  <c r="AC2395"/>
  <c r="AD2395"/>
  <c r="P2396"/>
  <c r="T2396"/>
  <c r="U2396"/>
  <c r="V2396"/>
  <c r="W2396"/>
  <c r="Y2396"/>
  <c r="AA2396"/>
  <c r="AB2396"/>
  <c r="AC2396"/>
  <c r="AD2396"/>
  <c r="P2397"/>
  <c r="T2397"/>
  <c r="U2397"/>
  <c r="V2397"/>
  <c r="W2397"/>
  <c r="Y2397"/>
  <c r="AA2397"/>
  <c r="AB2397"/>
  <c r="AC2397"/>
  <c r="AD2397"/>
  <c r="P2398"/>
  <c r="T2398"/>
  <c r="U2398"/>
  <c r="V2398"/>
  <c r="W2398"/>
  <c r="Y2398"/>
  <c r="AA2398"/>
  <c r="AB2398"/>
  <c r="AC2398"/>
  <c r="AD2398"/>
  <c r="P2399"/>
  <c r="T2399"/>
  <c r="U2399"/>
  <c r="V2399"/>
  <c r="W2399"/>
  <c r="Y2399"/>
  <c r="AA2399"/>
  <c r="AB2399"/>
  <c r="AC2399"/>
  <c r="AD2399"/>
  <c r="P2400"/>
  <c r="T2400"/>
  <c r="U2400"/>
  <c r="V2400"/>
  <c r="W2400"/>
  <c r="Y2400"/>
  <c r="AA2400"/>
  <c r="AB2400"/>
  <c r="AC2400"/>
  <c r="AD2400"/>
  <c r="P2401"/>
  <c r="T2401"/>
  <c r="U2401"/>
  <c r="V2401"/>
  <c r="W2401"/>
  <c r="Y2401"/>
  <c r="AA2401"/>
  <c r="AB2401"/>
  <c r="AC2401"/>
  <c r="AD2401"/>
  <c r="P2402"/>
  <c r="T2402"/>
  <c r="U2402"/>
  <c r="V2402"/>
  <c r="W2402"/>
  <c r="Y2402"/>
  <c r="AA2402"/>
  <c r="AB2402"/>
  <c r="AC2402"/>
  <c r="AD2402"/>
  <c r="P2403"/>
  <c r="T2403"/>
  <c r="U2403"/>
  <c r="V2403"/>
  <c r="W2403"/>
  <c r="Y2403"/>
  <c r="AA2403"/>
  <c r="AB2403"/>
  <c r="AC2403"/>
  <c r="AD2403"/>
  <c r="P2404"/>
  <c r="T2404"/>
  <c r="U2404"/>
  <c r="V2404"/>
  <c r="W2404"/>
  <c r="Y2404"/>
  <c r="AA2404"/>
  <c r="AB2404"/>
  <c r="AC2404"/>
  <c r="AD2404"/>
  <c r="P2405"/>
  <c r="T2405"/>
  <c r="U2405"/>
  <c r="V2405"/>
  <c r="W2405"/>
  <c r="Y2405"/>
  <c r="AA2405"/>
  <c r="AB2405"/>
  <c r="AC2405"/>
  <c r="AD2405"/>
  <c r="P2406"/>
  <c r="T2406"/>
  <c r="U2406"/>
  <c r="V2406"/>
  <c r="W2406"/>
  <c r="Y2406"/>
  <c r="AA2406"/>
  <c r="AB2406"/>
  <c r="AC2406"/>
  <c r="AD2406"/>
  <c r="P2407"/>
  <c r="T2407"/>
  <c r="U2407"/>
  <c r="V2407"/>
  <c r="W2407"/>
  <c r="Y2407"/>
  <c r="AA2407"/>
  <c r="AB2407"/>
  <c r="AC2407"/>
  <c r="AD2407"/>
  <c r="P2408"/>
  <c r="T2408"/>
  <c r="U2408"/>
  <c r="V2408"/>
  <c r="W2408"/>
  <c r="Y2408"/>
  <c r="AA2408"/>
  <c r="AB2408"/>
  <c r="AC2408"/>
  <c r="AD2408"/>
  <c r="P2409"/>
  <c r="T2409"/>
  <c r="U2409"/>
  <c r="V2409"/>
  <c r="W2409"/>
  <c r="Y2409"/>
  <c r="AA2409"/>
  <c r="AB2409"/>
  <c r="AC2409"/>
  <c r="AD2409"/>
  <c r="P2410"/>
  <c r="T2410"/>
  <c r="U2410"/>
  <c r="V2410"/>
  <c r="W2410"/>
  <c r="Y2410"/>
  <c r="AA2410"/>
  <c r="AB2410"/>
  <c r="AC2410"/>
  <c r="AD2410"/>
  <c r="P2411"/>
  <c r="T2411"/>
  <c r="U2411"/>
  <c r="V2411"/>
  <c r="W2411"/>
  <c r="Y2411"/>
  <c r="AA2411"/>
  <c r="AB2411"/>
  <c r="AC2411"/>
  <c r="AD2411"/>
  <c r="P2412"/>
  <c r="T2412"/>
  <c r="U2412"/>
  <c r="V2412"/>
  <c r="W2412"/>
  <c r="Y2412"/>
  <c r="AA2412"/>
  <c r="AB2412"/>
  <c r="AC2412"/>
  <c r="AD2412"/>
  <c r="P2413"/>
  <c r="T2413"/>
  <c r="U2413"/>
  <c r="V2413"/>
  <c r="W2413"/>
  <c r="Y2413"/>
  <c r="AA2413"/>
  <c r="AB2413"/>
  <c r="AC2413"/>
  <c r="AD2413"/>
  <c r="P2414"/>
  <c r="T2414"/>
  <c r="U2414"/>
  <c r="V2414"/>
  <c r="W2414"/>
  <c r="Y2414"/>
  <c r="AA2414"/>
  <c r="AB2414"/>
  <c r="AC2414"/>
  <c r="AD2414"/>
  <c r="P2415"/>
  <c r="T2415"/>
  <c r="U2415"/>
  <c r="V2415"/>
  <c r="W2415"/>
  <c r="Y2415"/>
  <c r="AA2415"/>
  <c r="AB2415"/>
  <c r="AC2415"/>
  <c r="AD2415"/>
  <c r="P2416"/>
  <c r="T2416"/>
  <c r="U2416"/>
  <c r="V2416"/>
  <c r="W2416"/>
  <c r="Y2416"/>
  <c r="AA2416"/>
  <c r="AB2416"/>
  <c r="AC2416"/>
  <c r="AD2416"/>
  <c r="P2417"/>
  <c r="T2417"/>
  <c r="U2417"/>
  <c r="V2417"/>
  <c r="W2417"/>
  <c r="Y2417"/>
  <c r="AA2417"/>
  <c r="AB2417"/>
  <c r="AC2417"/>
  <c r="AD2417"/>
  <c r="P2418"/>
  <c r="T2418"/>
  <c r="U2418"/>
  <c r="V2418"/>
  <c r="W2418"/>
  <c r="Y2418"/>
  <c r="AA2418"/>
  <c r="AB2418"/>
  <c r="AC2418"/>
  <c r="AD2418"/>
  <c r="P2419"/>
  <c r="T2419"/>
  <c r="U2419"/>
  <c r="V2419"/>
  <c r="W2419"/>
  <c r="Y2419"/>
  <c r="AA2419"/>
  <c r="AB2419"/>
  <c r="AC2419"/>
  <c r="AD2419"/>
  <c r="P2420"/>
  <c r="T2420"/>
  <c r="U2420"/>
  <c r="V2420"/>
  <c r="W2420"/>
  <c r="Y2420"/>
  <c r="AA2420"/>
  <c r="AB2420"/>
  <c r="AC2420"/>
  <c r="AD2420"/>
  <c r="P2421"/>
  <c r="T2421"/>
  <c r="U2421"/>
  <c r="V2421"/>
  <c r="W2421"/>
  <c r="Y2421"/>
  <c r="AA2421"/>
  <c r="AB2421"/>
  <c r="AC2421"/>
  <c r="AD2421"/>
  <c r="P2422"/>
  <c r="T2422"/>
  <c r="U2422"/>
  <c r="V2422"/>
  <c r="W2422"/>
  <c r="Y2422"/>
  <c r="AA2422"/>
  <c r="AB2422"/>
  <c r="AC2422"/>
  <c r="AD2422"/>
  <c r="P2423"/>
  <c r="T2423"/>
  <c r="U2423"/>
  <c r="V2423"/>
  <c r="W2423"/>
  <c r="Y2423"/>
  <c r="AA2423"/>
  <c r="AB2423"/>
  <c r="AC2423"/>
  <c r="AD2423"/>
  <c r="P2424"/>
  <c r="T2424"/>
  <c r="U2424"/>
  <c r="V2424"/>
  <c r="W2424"/>
  <c r="Y2424"/>
  <c r="AA2424"/>
  <c r="AB2424"/>
  <c r="AC2424"/>
  <c r="AD2424"/>
  <c r="P2425"/>
  <c r="T2425"/>
  <c r="U2425"/>
  <c r="V2425"/>
  <c r="W2425"/>
  <c r="Y2425"/>
  <c r="AA2425"/>
  <c r="AB2425"/>
  <c r="AC2425"/>
  <c r="AD2425"/>
  <c r="P2426"/>
  <c r="T2426"/>
  <c r="U2426"/>
  <c r="V2426"/>
  <c r="W2426"/>
  <c r="Y2426"/>
  <c r="AA2426"/>
  <c r="AB2426"/>
  <c r="AC2426"/>
  <c r="AD2426"/>
  <c r="P2427"/>
  <c r="T2427"/>
  <c r="U2427"/>
  <c r="V2427"/>
  <c r="W2427"/>
  <c r="Y2427"/>
  <c r="AA2427"/>
  <c r="AB2427"/>
  <c r="AC2427"/>
  <c r="AD2427"/>
  <c r="P2428"/>
  <c r="T2428"/>
  <c r="U2428"/>
  <c r="V2428"/>
  <c r="W2428"/>
  <c r="Y2428"/>
  <c r="AA2428"/>
  <c r="AB2428"/>
  <c r="AC2428"/>
  <c r="AD2428"/>
  <c r="P2429"/>
  <c r="T2429"/>
  <c r="U2429"/>
  <c r="V2429"/>
  <c r="W2429"/>
  <c r="Y2429"/>
  <c r="AA2429"/>
  <c r="AB2429"/>
  <c r="AC2429"/>
  <c r="AD2429"/>
  <c r="P2430"/>
  <c r="T2430"/>
  <c r="U2430"/>
  <c r="V2430"/>
  <c r="W2430"/>
  <c r="Y2430"/>
  <c r="AA2430"/>
  <c r="AB2430"/>
  <c r="AC2430"/>
  <c r="AD2430"/>
  <c r="P2431"/>
  <c r="T2431"/>
  <c r="U2431"/>
  <c r="V2431"/>
  <c r="W2431"/>
  <c r="Y2431"/>
  <c r="AA2431"/>
  <c r="AB2431"/>
  <c r="AC2431"/>
  <c r="AD2431"/>
  <c r="P2432"/>
  <c r="T2432"/>
  <c r="U2432"/>
  <c r="V2432"/>
  <c r="W2432"/>
  <c r="Y2432"/>
  <c r="AA2432"/>
  <c r="AB2432"/>
  <c r="AC2432"/>
  <c r="AD2432"/>
  <c r="P2433"/>
  <c r="T2433"/>
  <c r="U2433"/>
  <c r="V2433"/>
  <c r="W2433"/>
  <c r="Y2433"/>
  <c r="AA2433"/>
  <c r="AB2433"/>
  <c r="AC2433"/>
  <c r="AD2433"/>
  <c r="P2434"/>
  <c r="T2434"/>
  <c r="U2434"/>
  <c r="V2434"/>
  <c r="W2434"/>
  <c r="Y2434"/>
  <c r="AA2434"/>
  <c r="AB2434"/>
  <c r="AC2434"/>
  <c r="AD2434"/>
  <c r="P2435"/>
  <c r="T2435"/>
  <c r="U2435"/>
  <c r="V2435"/>
  <c r="W2435"/>
  <c r="Y2435"/>
  <c r="AA2435"/>
  <c r="AB2435"/>
  <c r="AC2435"/>
  <c r="AD2435"/>
  <c r="P2436"/>
  <c r="T2436"/>
  <c r="U2436"/>
  <c r="V2436"/>
  <c r="W2436"/>
  <c r="Y2436"/>
  <c r="AA2436"/>
  <c r="AB2436"/>
  <c r="AC2436"/>
  <c r="AD2436"/>
  <c r="P2437"/>
  <c r="T2437"/>
  <c r="U2437"/>
  <c r="V2437"/>
  <c r="W2437"/>
  <c r="Y2437"/>
  <c r="AA2437"/>
  <c r="AB2437"/>
  <c r="AC2437"/>
  <c r="AD2437"/>
  <c r="P2438"/>
  <c r="T2438"/>
  <c r="U2438"/>
  <c r="V2438"/>
  <c r="W2438"/>
  <c r="Y2438"/>
  <c r="AA2438"/>
  <c r="AB2438"/>
  <c r="AC2438"/>
  <c r="AD2438"/>
  <c r="P2439"/>
  <c r="T2439"/>
  <c r="U2439"/>
  <c r="V2439"/>
  <c r="W2439"/>
  <c r="Y2439"/>
  <c r="AB2439"/>
  <c r="AC2439"/>
  <c r="AD2439"/>
  <c r="P2440"/>
  <c r="T2440"/>
  <c r="U2440"/>
  <c r="V2440"/>
  <c r="W2440"/>
  <c r="Y2440"/>
  <c r="AB2440"/>
  <c r="AC2440"/>
  <c r="AD2440"/>
  <c r="P2441"/>
  <c r="T2441"/>
  <c r="U2441"/>
  <c r="V2441"/>
  <c r="W2441"/>
  <c r="Y2441"/>
  <c r="AB2441"/>
  <c r="AC2441"/>
  <c r="AD2441"/>
  <c r="P2442"/>
  <c r="T2442"/>
  <c r="U2442"/>
  <c r="V2442"/>
  <c r="W2442"/>
  <c r="Y2442"/>
  <c r="AA2442"/>
  <c r="AB2442"/>
  <c r="AC2442"/>
  <c r="AD2442"/>
  <c r="P2443"/>
  <c r="T2443"/>
  <c r="U2443"/>
  <c r="V2443"/>
  <c r="W2443"/>
  <c r="Y2443"/>
  <c r="AA2443"/>
  <c r="AB2443"/>
  <c r="AC2443"/>
  <c r="AD2443"/>
  <c r="P2444"/>
  <c r="T2444"/>
  <c r="U2444"/>
  <c r="V2444"/>
  <c r="W2444"/>
  <c r="Y2444"/>
  <c r="AB2444"/>
  <c r="AC2444"/>
  <c r="AD2444"/>
  <c r="P2445"/>
  <c r="T2445"/>
  <c r="U2445"/>
  <c r="V2445"/>
  <c r="W2445"/>
  <c r="Y2445"/>
  <c r="AB2445"/>
  <c r="AC2445"/>
  <c r="AD2445"/>
  <c r="P2446"/>
  <c r="T2446"/>
  <c r="U2446"/>
  <c r="V2446"/>
  <c r="W2446"/>
  <c r="Y2446"/>
  <c r="AB2446"/>
  <c r="AC2446"/>
  <c r="AD2446"/>
  <c r="P2447"/>
  <c r="T2447"/>
  <c r="U2447"/>
  <c r="V2447"/>
  <c r="W2447"/>
  <c r="Y2447"/>
  <c r="AB2447"/>
  <c r="AC2447"/>
  <c r="AD2447"/>
  <c r="P2448"/>
  <c r="T2448"/>
  <c r="U2448"/>
  <c r="V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T2452"/>
  <c r="U2452"/>
  <c r="V2452"/>
  <c r="W2452"/>
  <c r="Y2452"/>
  <c r="AB2452"/>
  <c r="AC2452"/>
  <c r="AD2452"/>
  <c r="P2453"/>
  <c r="T2453"/>
  <c r="U2453"/>
  <c r="V2453"/>
  <c r="W2453"/>
  <c r="Y2453"/>
  <c r="AB2453"/>
  <c r="AC2453"/>
  <c r="AD2453"/>
  <c r="P2454"/>
  <c r="T2454"/>
  <c r="U2454"/>
  <c r="V2454"/>
  <c r="W2454"/>
  <c r="Y2454"/>
  <c r="AB2454"/>
  <c r="AC2454"/>
  <c r="AD2454"/>
  <c r="P2455"/>
  <c r="T2455"/>
  <c r="U2455"/>
  <c r="V2455"/>
  <c r="W2455"/>
  <c r="Y2455"/>
  <c r="AA2455"/>
  <c r="AB2455"/>
  <c r="AC2455"/>
  <c r="AD2455"/>
  <c r="P2456"/>
  <c r="T2456"/>
  <c r="U2456"/>
  <c r="V2456"/>
  <c r="W2456"/>
  <c r="Y2456"/>
  <c r="AA2456"/>
  <c r="AB2456"/>
  <c r="AC2456"/>
  <c r="AD2456"/>
  <c r="P2457"/>
  <c r="T2457"/>
  <c r="U2457"/>
  <c r="V2457"/>
  <c r="W2457"/>
  <c r="Y2457"/>
  <c r="AA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A2461"/>
  <c r="AB2461"/>
  <c r="AC2461"/>
  <c r="AD2461"/>
  <c r="P2462"/>
  <c r="T2462"/>
  <c r="U2462"/>
  <c r="V2462"/>
  <c r="W2462"/>
  <c r="Y2462"/>
  <c r="AA2462"/>
  <c r="AB2462"/>
  <c r="AC2462"/>
  <c r="AD2462"/>
  <c r="P2463"/>
  <c r="T2463"/>
  <c r="U2463"/>
  <c r="V2463"/>
  <c r="W2463"/>
  <c r="Y2463"/>
  <c r="AA2463"/>
  <c r="AB2463"/>
  <c r="AC2463"/>
  <c r="AD2463"/>
  <c r="P2464"/>
  <c r="T2464"/>
  <c r="U2464"/>
  <c r="V2464"/>
  <c r="W2464"/>
  <c r="Y2464"/>
  <c r="AA2464"/>
  <c r="AB2464"/>
  <c r="AC2464"/>
  <c r="AD2464"/>
  <c r="P2465"/>
  <c r="T2465"/>
  <c r="U2465"/>
  <c r="V2465"/>
  <c r="W2465"/>
  <c r="Y2465"/>
  <c r="AA2465"/>
  <c r="AB2465"/>
  <c r="AC2465"/>
  <c r="AD2465"/>
  <c r="P2466"/>
  <c r="T2466"/>
  <c r="U2466"/>
  <c r="V2466"/>
  <c r="W2466"/>
  <c r="Y2466"/>
  <c r="AA2466"/>
  <c r="AB2466"/>
  <c r="AC2466"/>
  <c r="AD2466"/>
  <c r="P2467"/>
  <c r="T2467"/>
  <c r="U2467"/>
  <c r="V2467"/>
  <c r="W2467"/>
  <c r="Y2467"/>
  <c r="AA2467"/>
  <c r="AB2467"/>
  <c r="AC2467"/>
  <c r="AD2467"/>
  <c r="P2468"/>
  <c r="T2468"/>
  <c r="U2468"/>
  <c r="V2468"/>
  <c r="W2468"/>
  <c r="Y2468"/>
  <c r="AA2468"/>
  <c r="AB2468"/>
  <c r="AC2468"/>
  <c r="AD2468"/>
  <c r="P2469"/>
  <c r="T2469"/>
  <c r="U2469"/>
  <c r="V2469"/>
  <c r="W2469"/>
  <c r="Y2469"/>
  <c r="AA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A2474"/>
  <c r="AB2474"/>
  <c r="AC2474"/>
  <c r="AD2474"/>
  <c r="P2475"/>
  <c r="T2475"/>
  <c r="U2475"/>
  <c r="V2475"/>
  <c r="W2475"/>
  <c r="Y2475"/>
  <c r="AA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T2483"/>
  <c r="U2483"/>
  <c r="V2483"/>
  <c r="W2483"/>
  <c r="Y2483"/>
  <c r="AB2483"/>
  <c r="AC2483"/>
  <c r="AD2483"/>
  <c r="P2484"/>
  <c r="T2484"/>
  <c r="U2484"/>
  <c r="V2484"/>
  <c r="W2484"/>
  <c r="Y2484"/>
  <c r="AA2484"/>
  <c r="AB2484"/>
  <c r="AC2484"/>
  <c r="AD2484"/>
  <c r="P2485"/>
  <c r="T2485"/>
  <c r="U2485"/>
  <c r="V2485"/>
  <c r="W2485"/>
  <c r="Y2485"/>
  <c r="AA2485"/>
  <c r="AB2485"/>
  <c r="AC2485"/>
  <c r="AD2485"/>
  <c r="P2486"/>
  <c r="T2486"/>
  <c r="U2486"/>
  <c r="V2486"/>
  <c r="W2486"/>
  <c r="Y2486"/>
  <c r="AA2486"/>
  <c r="AB2486"/>
  <c r="AC2486"/>
  <c r="AD2486"/>
  <c r="P2487"/>
  <c r="T2487"/>
  <c r="U2487"/>
  <c r="V2487"/>
  <c r="W2487"/>
  <c r="Y2487"/>
  <c r="AA2487"/>
  <c r="AB2487"/>
  <c r="AC2487"/>
  <c r="AD2487"/>
  <c r="P2488"/>
  <c r="T2488"/>
  <c r="U2488"/>
  <c r="V2488"/>
  <c r="W2488"/>
  <c r="Y2488"/>
  <c r="AA2488"/>
  <c r="AB2488"/>
  <c r="AC2488"/>
  <c r="AD2488"/>
  <c r="P2489"/>
  <c r="T2489"/>
  <c r="U2489"/>
  <c r="V2489"/>
  <c r="W2489"/>
  <c r="Y2489"/>
  <c r="AA2489"/>
  <c r="AB2489"/>
  <c r="AC2489"/>
  <c r="AD2489"/>
  <c r="P2490"/>
  <c r="T2490"/>
  <c r="U2490"/>
  <c r="V2490"/>
  <c r="W2490"/>
  <c r="Y2490"/>
  <c r="AB2490"/>
  <c r="AC2490"/>
  <c r="AD2490"/>
  <c r="P2491"/>
  <c r="T2491"/>
  <c r="U2491"/>
  <c r="V2491"/>
  <c r="W2491"/>
  <c r="Y2491"/>
  <c r="AB2491"/>
  <c r="AC2491"/>
  <c r="AD2491"/>
  <c r="P2492"/>
  <c r="T2492"/>
  <c r="U2492"/>
  <c r="V2492"/>
  <c r="W2492"/>
  <c r="Y2492"/>
  <c r="AB2492"/>
  <c r="AC2492"/>
  <c r="AD2492"/>
  <c r="P2493"/>
  <c r="T2493"/>
  <c r="U2493"/>
  <c r="V2493"/>
  <c r="W2493"/>
  <c r="Y2493"/>
  <c r="AA2493"/>
  <c r="AB2493"/>
  <c r="AC2493"/>
  <c r="AD2493"/>
  <c r="P2494"/>
  <c r="T2494"/>
  <c r="U2494"/>
  <c r="V2494"/>
  <c r="W2494"/>
  <c r="Y2494"/>
  <c r="AA2494"/>
  <c r="AB2494"/>
  <c r="AC2494"/>
  <c r="AD2494"/>
  <c r="P2495"/>
  <c r="T2495"/>
  <c r="U2495"/>
  <c r="V2495"/>
  <c r="W2495"/>
  <c r="Y2495"/>
  <c r="AA2495"/>
  <c r="AB2495"/>
  <c r="AC2495"/>
  <c r="AD2495"/>
  <c r="P2496"/>
  <c r="T2496"/>
  <c r="U2496"/>
  <c r="V2496"/>
  <c r="W2496"/>
  <c r="Y2496"/>
  <c r="AA2496"/>
  <c r="AB2496"/>
  <c r="AC2496"/>
  <c r="AD2496"/>
  <c r="P2497"/>
  <c r="T2497"/>
  <c r="U2497"/>
  <c r="V2497"/>
  <c r="W2497"/>
  <c r="Y2497"/>
  <c r="AA2497"/>
  <c r="AB2497"/>
  <c r="AC2497"/>
  <c r="AD2497"/>
  <c r="P2498"/>
  <c r="T2498"/>
  <c r="U2498"/>
  <c r="V2498"/>
  <c r="W2498"/>
  <c r="Y2498"/>
  <c r="AA2498"/>
  <c r="AB2498"/>
  <c r="AC2498"/>
  <c r="AD2498"/>
  <c r="P2499"/>
  <c r="T2499"/>
  <c r="U2499"/>
  <c r="V2499"/>
  <c r="W2499"/>
  <c r="Y2499"/>
  <c r="AA2499"/>
  <c r="AB2499"/>
  <c r="AC2499"/>
  <c r="AD2499"/>
  <c r="P2500"/>
  <c r="T2500"/>
  <c r="U2500"/>
  <c r="V2500"/>
  <c r="W2500"/>
  <c r="Y2500"/>
  <c r="AA2500"/>
  <c r="AB2500"/>
  <c r="AC2500"/>
  <c r="AD2500"/>
  <c r="P2501"/>
  <c r="T2501"/>
  <c r="U2501"/>
  <c r="V2501"/>
  <c r="W2501"/>
  <c r="Y2501"/>
  <c r="AA2501"/>
  <c r="AB2501"/>
  <c r="AC2501"/>
  <c r="AD2501"/>
  <c r="P2502"/>
  <c r="T2502"/>
  <c r="U2502"/>
  <c r="V2502"/>
  <c r="W2502"/>
  <c r="Y2502"/>
  <c r="AA2502"/>
  <c r="AB2502"/>
  <c r="AC2502"/>
  <c r="AD2502"/>
  <c r="P2503"/>
  <c r="T2503"/>
  <c r="U2503"/>
  <c r="V2503"/>
  <c r="W2503"/>
  <c r="Y2503"/>
  <c r="AA2503"/>
  <c r="AB2503"/>
  <c r="AC2503"/>
  <c r="AD2503"/>
  <c r="P2504"/>
  <c r="T2504"/>
  <c r="U2504"/>
  <c r="V2504"/>
  <c r="W2504"/>
  <c r="Y2504"/>
  <c r="AA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T2510"/>
  <c r="U2510"/>
  <c r="V2510"/>
  <c r="W2510"/>
  <c r="Y2510"/>
  <c r="AB2510"/>
  <c r="AC2510"/>
  <c r="AD2510"/>
  <c r="P2511"/>
  <c r="T2511"/>
  <c r="U2511"/>
  <c r="V2511"/>
  <c r="W2511"/>
  <c r="Y2511"/>
  <c r="AB2511"/>
  <c r="AC2511"/>
  <c r="AD2511"/>
  <c r="P2512"/>
  <c r="T2512"/>
  <c r="U2512"/>
  <c r="V2512"/>
  <c r="W2512"/>
  <c r="Y2512"/>
  <c r="AA2512"/>
  <c r="AB2512"/>
  <c r="AC2512"/>
  <c r="AD2512"/>
  <c r="P2513"/>
  <c r="T2513"/>
  <c r="U2513"/>
  <c r="V2513"/>
  <c r="W2513"/>
  <c r="Y2513"/>
  <c r="AA2513"/>
  <c r="AB2513"/>
  <c r="AC2513"/>
  <c r="AD2513"/>
  <c r="P2514"/>
  <c r="T2514"/>
  <c r="U2514"/>
  <c r="V2514"/>
  <c r="W2514"/>
  <c r="Y2514"/>
  <c r="AA2514"/>
  <c r="AB2514"/>
  <c r="AC2514"/>
  <c r="AD2514"/>
  <c r="P2515"/>
  <c r="T2515"/>
  <c r="U2515"/>
  <c r="V2515"/>
  <c r="W2515"/>
  <c r="Y2515"/>
  <c r="AA2515"/>
  <c r="AB2515"/>
  <c r="AC2515"/>
  <c r="AD2515"/>
  <c r="P2516"/>
  <c r="T2516"/>
  <c r="U2516"/>
  <c r="V2516"/>
  <c r="W2516"/>
  <c r="Y2516"/>
  <c r="AA2516"/>
  <c r="AB2516"/>
  <c r="AC2516"/>
  <c r="AD2516"/>
  <c r="P2517"/>
  <c r="T2517"/>
  <c r="U2517"/>
  <c r="V2517"/>
  <c r="W2517"/>
  <c r="Y2517"/>
  <c r="AA2517"/>
  <c r="AB2517"/>
  <c r="AC2517"/>
  <c r="AD2517"/>
  <c r="P2518"/>
  <c r="T2518"/>
  <c r="U2518"/>
  <c r="V2518"/>
  <c r="W2518"/>
  <c r="Y2518"/>
  <c r="AA2518"/>
  <c r="AB2518"/>
  <c r="AC2518"/>
  <c r="AD2518"/>
  <c r="P2519"/>
  <c r="T2519"/>
  <c r="U2519"/>
  <c r="V2519"/>
  <c r="W2519"/>
  <c r="Y2519"/>
  <c r="AA2519"/>
  <c r="AB2519"/>
  <c r="AC2519"/>
  <c r="AD2519"/>
  <c r="P2520"/>
  <c r="T2520"/>
  <c r="U2520"/>
  <c r="V2520"/>
  <c r="W2520"/>
  <c r="Y2520"/>
  <c r="AA2520"/>
  <c r="AB2520"/>
  <c r="AC2520"/>
  <c r="AD2520"/>
  <c r="P2521"/>
  <c r="T2521"/>
  <c r="U2521"/>
  <c r="V2521"/>
  <c r="W2521"/>
  <c r="Y2521"/>
  <c r="AA2521"/>
  <c r="AB2521"/>
  <c r="AC2521"/>
  <c r="AD2521"/>
  <c r="P2522"/>
  <c r="T2522"/>
  <c r="U2522"/>
  <c r="V2522"/>
  <c r="W2522"/>
  <c r="Y2522"/>
  <c r="AA2522"/>
  <c r="AB2522"/>
  <c r="AC2522"/>
  <c r="AD2522"/>
  <c r="P2523"/>
  <c r="T2523"/>
  <c r="U2523"/>
  <c r="V2523"/>
  <c r="W2523"/>
  <c r="Y2523"/>
  <c r="AA2523"/>
  <c r="AB2523"/>
  <c r="AC2523"/>
  <c r="AD2523"/>
  <c r="P2524"/>
  <c r="T2524"/>
  <c r="U2524"/>
  <c r="V2524"/>
  <c r="W2524"/>
  <c r="Y2524"/>
  <c r="AA2524"/>
  <c r="AB2524"/>
  <c r="AC2524"/>
  <c r="AD2524"/>
  <c r="P2525"/>
  <c r="T2525"/>
  <c r="U2525"/>
  <c r="V2525"/>
  <c r="W2525"/>
  <c r="Y2525"/>
  <c r="AA2525"/>
  <c r="AB2525"/>
  <c r="AC2525"/>
  <c r="AD2525"/>
  <c r="P2526"/>
  <c r="T2526"/>
  <c r="U2526"/>
  <c r="V2526"/>
  <c r="W2526"/>
  <c r="Y2526"/>
  <c r="AA2526"/>
  <c r="AB2526"/>
  <c r="AC2526"/>
  <c r="AD2526"/>
  <c r="P2527"/>
  <c r="T2527"/>
  <c r="U2527"/>
  <c r="V2527"/>
  <c r="W2527"/>
  <c r="Y2527"/>
  <c r="AA2527"/>
  <c r="AB2527"/>
  <c r="AC2527"/>
  <c r="AD2527"/>
  <c r="P2528"/>
  <c r="T2528"/>
  <c r="U2528"/>
  <c r="V2528"/>
  <c r="W2528"/>
  <c r="Y2528"/>
  <c r="AA2528"/>
  <c r="AB2528"/>
  <c r="AC2528"/>
  <c r="AD2528"/>
  <c r="P2529"/>
  <c r="T2529"/>
  <c r="U2529"/>
  <c r="V2529"/>
  <c r="W2529"/>
  <c r="Y2529"/>
  <c r="AA2529"/>
  <c r="AB2529"/>
  <c r="AC2529"/>
  <c r="AD2529"/>
  <c r="P2530"/>
  <c r="T2530"/>
  <c r="U2530"/>
  <c r="V2530"/>
  <c r="W2530"/>
  <c r="Y2530"/>
  <c r="AA2530"/>
  <c r="AB2530"/>
  <c r="AC2530"/>
  <c r="AD2530"/>
  <c r="P2531"/>
  <c r="T2531"/>
  <c r="U2531"/>
  <c r="V2531"/>
  <c r="W2531"/>
  <c r="Y2531"/>
  <c r="AA2531"/>
  <c r="AB2531"/>
  <c r="AC2531"/>
  <c r="AD2531"/>
  <c r="P2532"/>
  <c r="T2532"/>
  <c r="U2532"/>
  <c r="V2532"/>
  <c r="W2532"/>
  <c r="Y2532"/>
  <c r="AA2532"/>
  <c r="AB2532"/>
  <c r="AC2532"/>
  <c r="AD2532"/>
  <c r="P2533"/>
  <c r="T2533"/>
  <c r="U2533"/>
  <c r="V2533"/>
  <c r="W2533"/>
  <c r="Y2533"/>
  <c r="AA2533"/>
  <c r="AB2533"/>
  <c r="AC2533"/>
  <c r="AD2533"/>
  <c r="P2534"/>
  <c r="T2534"/>
  <c r="U2534"/>
  <c r="V2534"/>
  <c r="W2534"/>
  <c r="Y2534"/>
  <c r="AA2534"/>
  <c r="AB2534"/>
  <c r="AC2534"/>
  <c r="AD2534"/>
  <c r="P2535"/>
  <c r="T2535"/>
  <c r="U2535"/>
  <c r="V2535"/>
  <c r="W2535"/>
  <c r="Y2535"/>
  <c r="AA2535"/>
  <c r="AB2535"/>
  <c r="AC2535"/>
  <c r="AD2535"/>
  <c r="P2536"/>
  <c r="T2536"/>
  <c r="U2536"/>
  <c r="V2536"/>
  <c r="W2536"/>
  <c r="Y2536"/>
  <c r="AA2536"/>
  <c r="AB2536"/>
  <c r="AC2536"/>
  <c r="AD2536"/>
  <c r="P2537"/>
  <c r="T2537"/>
  <c r="U2537"/>
  <c r="V2537"/>
  <c r="W2537"/>
  <c r="Y2537"/>
  <c r="AA2537"/>
  <c r="AB2537"/>
  <c r="AC2537"/>
  <c r="AD2537"/>
  <c r="P2538"/>
  <c r="T2538"/>
  <c r="U2538"/>
  <c r="V2538"/>
  <c r="W2538"/>
  <c r="Y2538"/>
  <c r="AA2538"/>
  <c r="AB2538"/>
  <c r="AC2538"/>
  <c r="AD2538"/>
  <c r="P2539"/>
  <c r="T2539"/>
  <c r="U2539"/>
  <c r="V2539"/>
  <c r="W2539"/>
  <c r="Y2539"/>
  <c r="AA2539"/>
  <c r="AB2539"/>
  <c r="AC2539"/>
  <c r="AD2539"/>
  <c r="P2540"/>
  <c r="T2540"/>
  <c r="U2540"/>
  <c r="V2540"/>
  <c r="W2540"/>
  <c r="Y2540"/>
  <c r="AA2540"/>
  <c r="AB2540"/>
  <c r="AC2540"/>
  <c r="AD2540"/>
  <c r="P2541"/>
  <c r="T2541"/>
  <c r="U2541"/>
  <c r="V2541"/>
  <c r="W2541"/>
  <c r="Y2541"/>
  <c r="AA2541"/>
  <c r="AB2541"/>
  <c r="AC2541"/>
  <c r="AD2541"/>
  <c r="P2542"/>
  <c r="T2542"/>
  <c r="U2542"/>
  <c r="V2542"/>
  <c r="W2542"/>
  <c r="Y2542"/>
  <c r="AA2542"/>
  <c r="AB2542"/>
  <c r="AC2542"/>
  <c r="AD2542"/>
  <c r="P2543"/>
  <c r="T2543"/>
  <c r="U2543"/>
  <c r="V2543"/>
  <c r="W2543"/>
  <c r="Y2543"/>
  <c r="AA2543"/>
  <c r="AB2543"/>
  <c r="AC2543"/>
  <c r="AD2543"/>
  <c r="P2544"/>
  <c r="T2544"/>
  <c r="U2544"/>
  <c r="V2544"/>
  <c r="W2544"/>
  <c r="Y2544"/>
  <c r="AA2544"/>
  <c r="AB2544"/>
  <c r="AC2544"/>
  <c r="AD2544"/>
  <c r="P2545"/>
  <c r="T2545"/>
  <c r="U2545"/>
  <c r="V2545"/>
  <c r="W2545"/>
  <c r="Y2545"/>
  <c r="AA2545"/>
  <c r="AB2545"/>
  <c r="AC2545"/>
  <c r="AD2545"/>
  <c r="P2546"/>
  <c r="T2546"/>
  <c r="U2546"/>
  <c r="V2546"/>
  <c r="W2546"/>
  <c r="Y2546"/>
  <c r="AB2546"/>
  <c r="AC2546"/>
  <c r="AD2546"/>
  <c r="P2547"/>
  <c r="T2547"/>
  <c r="U2547"/>
  <c r="V2547"/>
  <c r="W2547"/>
  <c r="Y2547"/>
  <c r="AA2547"/>
  <c r="AB2547"/>
  <c r="AC2547"/>
  <c r="AD2547"/>
  <c r="P2548"/>
  <c r="T2548"/>
  <c r="U2548"/>
  <c r="V2548"/>
  <c r="W2548"/>
  <c r="Y2548"/>
  <c r="AA2548"/>
  <c r="AB2548"/>
  <c r="AC2548"/>
  <c r="AD2548"/>
  <c r="P2549"/>
  <c r="T2549"/>
  <c r="U2549"/>
  <c r="V2549"/>
  <c r="W2549"/>
  <c r="Y2549"/>
  <c r="AA2549"/>
  <c r="AB2549"/>
  <c r="AC2549"/>
  <c r="AD2549"/>
  <c r="P2550"/>
  <c r="T2550"/>
  <c r="U2550"/>
  <c r="V2550"/>
  <c r="W2550"/>
  <c r="Y2550"/>
  <c r="AA2550"/>
  <c r="AB2550"/>
  <c r="AC2550"/>
  <c r="AD2550"/>
  <c r="P2551"/>
  <c r="T2551"/>
  <c r="U2551"/>
  <c r="V2551"/>
  <c r="W2551"/>
  <c r="Y2551"/>
  <c r="AB2551"/>
  <c r="AC2551"/>
  <c r="AD2551"/>
  <c r="P2552"/>
  <c r="T2552"/>
  <c r="U2552"/>
  <c r="V2552"/>
  <c r="W2552"/>
  <c r="Y2552"/>
  <c r="AB2552"/>
  <c r="AC2552"/>
  <c r="AD2552"/>
  <c r="P2553"/>
  <c r="T2553"/>
  <c r="U2553"/>
  <c r="V2553"/>
  <c r="W2553"/>
  <c r="Y2553"/>
  <c r="AA2553"/>
  <c r="AB2553"/>
  <c r="AC2553"/>
  <c r="AD2553"/>
  <c r="P2554"/>
  <c r="T2554"/>
  <c r="U2554"/>
  <c r="V2554"/>
  <c r="W2554"/>
  <c r="Y2554"/>
  <c r="AA2554"/>
  <c r="AB2554"/>
  <c r="AC2554"/>
  <c r="AD2554"/>
  <c r="P2555"/>
  <c r="T2555"/>
  <c r="U2555"/>
  <c r="V2555"/>
  <c r="W2555"/>
  <c r="Y2555"/>
  <c r="AA2555"/>
  <c r="AB2555"/>
  <c r="AC2555"/>
  <c r="AD2555"/>
  <c r="P2556"/>
  <c r="T2556"/>
  <c r="U2556"/>
  <c r="V2556"/>
  <c r="W2556"/>
  <c r="Y2556"/>
  <c r="AA2556"/>
  <c r="AB2556"/>
  <c r="AC2556"/>
  <c r="AD2556"/>
  <c r="P2557"/>
  <c r="T2557"/>
  <c r="U2557"/>
  <c r="V2557"/>
  <c r="W2557"/>
  <c r="Y2557"/>
  <c r="AA2557"/>
  <c r="AB2557"/>
  <c r="AC2557"/>
  <c r="AD2557"/>
  <c r="P2558"/>
  <c r="T2558"/>
  <c r="U2558"/>
  <c r="V2558"/>
  <c r="W2558"/>
  <c r="Y2558"/>
  <c r="AA2558"/>
  <c r="AB2558"/>
  <c r="AC2558"/>
  <c r="AD2558"/>
  <c r="P2559"/>
  <c r="T2559"/>
  <c r="U2559"/>
  <c r="V2559"/>
  <c r="W2559"/>
  <c r="Y2559"/>
  <c r="AA2559"/>
  <c r="AB2559"/>
  <c r="AC2559"/>
  <c r="AD2559"/>
  <c r="P2560"/>
  <c r="T2560"/>
  <c r="U2560"/>
  <c r="V2560"/>
  <c r="W2560"/>
  <c r="Y2560"/>
  <c r="AA2560"/>
  <c r="AB2560"/>
  <c r="AC2560"/>
  <c r="AD2560"/>
  <c r="P2561"/>
  <c r="T2561"/>
  <c r="U2561"/>
  <c r="V2561"/>
  <c r="W2561"/>
  <c r="Y2561"/>
  <c r="AA2561"/>
  <c r="AB2561"/>
  <c r="AC2561"/>
  <c r="AD2561"/>
  <c r="P2562"/>
  <c r="T2562"/>
  <c r="U2562"/>
  <c r="V2562"/>
  <c r="W2562"/>
  <c r="Y2562"/>
  <c r="AA2562"/>
  <c r="AB2562"/>
  <c r="AC2562"/>
  <c r="AD2562"/>
  <c r="P2563"/>
  <c r="T2563"/>
  <c r="U2563"/>
  <c r="V2563"/>
  <c r="W2563"/>
  <c r="Y2563"/>
  <c r="AA2563"/>
  <c r="AB2563"/>
  <c r="AC2563"/>
  <c r="AD2563"/>
  <c r="P2564"/>
  <c r="T2564"/>
  <c r="U2564"/>
  <c r="V2564"/>
  <c r="W2564"/>
  <c r="Y2564"/>
  <c r="AA2564"/>
  <c r="AB2564"/>
  <c r="AC2564"/>
  <c r="AD2564"/>
  <c r="P2565"/>
  <c r="T2565"/>
  <c r="U2565"/>
  <c r="V2565"/>
  <c r="W2565"/>
  <c r="Y2565"/>
  <c r="AA2565"/>
  <c r="AB2565"/>
  <c r="AC2565"/>
  <c r="AD2565"/>
  <c r="P2566"/>
  <c r="T2566"/>
  <c r="U2566"/>
  <c r="V2566"/>
  <c r="W2566"/>
  <c r="Y2566"/>
  <c r="AA2566"/>
  <c r="AB2566"/>
  <c r="AC2566"/>
  <c r="AD2566"/>
  <c r="P2567"/>
  <c r="T2567"/>
  <c r="U2567"/>
  <c r="V2567"/>
  <c r="W2567"/>
  <c r="Y2567"/>
  <c r="AB2567"/>
  <c r="AC2567"/>
  <c r="AD2567"/>
  <c r="P2568"/>
  <c r="T2568"/>
  <c r="U2568"/>
  <c r="V2568"/>
  <c r="W2568"/>
  <c r="Y2568"/>
  <c r="AA2568"/>
  <c r="AB2568"/>
  <c r="AC2568"/>
  <c r="AD2568"/>
  <c r="P2569"/>
  <c r="T2569"/>
  <c r="U2569"/>
  <c r="V2569"/>
  <c r="W2569"/>
  <c r="Y2569"/>
  <c r="AA2569"/>
  <c r="AB2569"/>
  <c r="AC2569"/>
  <c r="AD2569"/>
  <c r="P2570"/>
  <c r="T2570"/>
  <c r="U2570"/>
  <c r="V2570"/>
  <c r="W2570"/>
  <c r="Y2570"/>
  <c r="AA2570"/>
  <c r="AB2570"/>
  <c r="AC2570"/>
  <c r="AD2570"/>
  <c r="P2571"/>
  <c r="T2571"/>
  <c r="U2571"/>
  <c r="V2571"/>
  <c r="W2571"/>
  <c r="Y2571"/>
  <c r="AA2571"/>
  <c r="AB2571"/>
  <c r="AC2571"/>
  <c r="AD2571"/>
  <c r="P2572"/>
  <c r="T2572"/>
  <c r="U2572"/>
  <c r="V2572"/>
  <c r="W2572"/>
  <c r="Y2572"/>
  <c r="AA2572"/>
  <c r="AB2572"/>
  <c r="AC2572"/>
  <c r="AD2572"/>
  <c r="P2573"/>
  <c r="T2573"/>
  <c r="U2573"/>
  <c r="V2573"/>
  <c r="W2573"/>
  <c r="Y2573"/>
  <c r="AA2573"/>
  <c r="AB2573"/>
  <c r="AC2573"/>
  <c r="AD2573"/>
  <c r="P2574"/>
  <c r="T2574"/>
  <c r="U2574"/>
  <c r="V2574"/>
  <c r="W2574"/>
  <c r="Y2574"/>
  <c r="AA2574"/>
  <c r="AB2574"/>
  <c r="AC2574"/>
  <c r="AD2574"/>
  <c r="P2575"/>
  <c r="T2575"/>
  <c r="U2575"/>
  <c r="V2575"/>
  <c r="W2575"/>
  <c r="Y2575"/>
  <c r="AA2575"/>
  <c r="AB2575"/>
  <c r="AC2575"/>
  <c r="AD2575"/>
  <c r="P2576"/>
  <c r="T2576"/>
  <c r="U2576"/>
  <c r="V2576"/>
  <c r="W2576"/>
  <c r="Y2576"/>
  <c r="AA2576"/>
  <c r="AB2576"/>
  <c r="AC2576"/>
  <c r="AD2576"/>
  <c r="P2577"/>
  <c r="T2577"/>
  <c r="U2577"/>
  <c r="V2577"/>
  <c r="W2577"/>
  <c r="Y2577"/>
  <c r="AA2577"/>
  <c r="AB2577"/>
  <c r="AC2577"/>
  <c r="AD2577"/>
  <c r="P2578"/>
  <c r="T2578"/>
  <c r="U2578"/>
  <c r="V2578"/>
  <c r="W2578"/>
  <c r="Y2578"/>
  <c r="AA2578"/>
  <c r="AB2578"/>
  <c r="AC2578"/>
  <c r="AD2578"/>
  <c r="P2579"/>
  <c r="T2579"/>
  <c r="U2579"/>
  <c r="V2579"/>
  <c r="W2579"/>
  <c r="Y2579"/>
  <c r="AA2579"/>
  <c r="AB2579"/>
  <c r="AC2579"/>
  <c r="AD2579"/>
  <c r="P2580"/>
  <c r="T2580"/>
  <c r="U2580"/>
  <c r="V2580"/>
  <c r="W2580"/>
  <c r="Y2580"/>
  <c r="AA2580"/>
  <c r="AB2580"/>
  <c r="AC2580"/>
  <c r="AD2580"/>
  <c r="P2581"/>
  <c r="T2581"/>
  <c r="U2581"/>
  <c r="V2581"/>
  <c r="W2581"/>
  <c r="Y2581"/>
  <c r="AA2581"/>
  <c r="AB2581"/>
  <c r="AC2581"/>
  <c r="AD2581"/>
  <c r="P2582"/>
  <c r="T2582"/>
  <c r="U2582"/>
  <c r="V2582"/>
  <c r="W2582"/>
  <c r="Y2582"/>
  <c r="AA2582"/>
  <c r="AB2582"/>
  <c r="AC2582"/>
  <c r="AD2582"/>
  <c r="P2583"/>
  <c r="T2583"/>
  <c r="U2583"/>
  <c r="V2583"/>
  <c r="W2583"/>
  <c r="Y2583"/>
  <c r="AA2583"/>
  <c r="AB2583"/>
  <c r="AC2583"/>
  <c r="AD2583"/>
  <c r="P2584"/>
  <c r="T2584"/>
  <c r="U2584"/>
  <c r="V2584"/>
  <c r="W2584"/>
  <c r="Y2584"/>
  <c r="AA2584"/>
  <c r="AB2584"/>
  <c r="AC2584"/>
  <c r="AD2584"/>
  <c r="P2585"/>
  <c r="T2585"/>
  <c r="U2585"/>
  <c r="V2585"/>
  <c r="W2585"/>
  <c r="Y2585"/>
  <c r="AB2585"/>
  <c r="AC2585"/>
  <c r="AD2585"/>
  <c r="P2586"/>
  <c r="T2586"/>
  <c r="U2586"/>
  <c r="V2586"/>
  <c r="W2586"/>
  <c r="Y2586"/>
  <c r="AA2586"/>
  <c r="AB2586"/>
  <c r="AC2586"/>
  <c r="AD2586"/>
  <c r="P2587"/>
  <c r="T2587"/>
  <c r="U2587"/>
  <c r="V2587"/>
  <c r="W2587"/>
  <c r="Y2587"/>
  <c r="AA2587"/>
  <c r="AB2587"/>
  <c r="AC2587"/>
  <c r="AD2587"/>
  <c r="P2588"/>
  <c r="T2588"/>
  <c r="U2588"/>
  <c r="V2588"/>
  <c r="W2588"/>
  <c r="Y2588"/>
  <c r="AA2588"/>
  <c r="AB2588"/>
  <c r="AC2588"/>
  <c r="AD2588"/>
  <c r="P2589"/>
  <c r="T2589"/>
  <c r="U2589"/>
  <c r="V2589"/>
  <c r="W2589"/>
  <c r="Y2589"/>
  <c r="AA2589"/>
  <c r="AB2589"/>
  <c r="AC2589"/>
  <c r="AD2589"/>
  <c r="P2590"/>
  <c r="T2590"/>
  <c r="U2590"/>
  <c r="V2590"/>
  <c r="W2590"/>
  <c r="Y2590"/>
  <c r="AA2590"/>
  <c r="AB2590"/>
  <c r="AC2590"/>
  <c r="AD2590"/>
  <c r="P2591"/>
  <c r="T2591"/>
  <c r="U2591"/>
  <c r="V2591"/>
  <c r="W2591"/>
  <c r="Y2591"/>
  <c r="AA2591"/>
  <c r="AB2591"/>
  <c r="AC2591"/>
  <c r="AD2591"/>
  <c r="P2592"/>
  <c r="T2592"/>
  <c r="U2592"/>
  <c r="V2592"/>
  <c r="W2592"/>
  <c r="Y2592"/>
  <c r="AA2592"/>
  <c r="AB2592"/>
  <c r="AC2592"/>
  <c r="AD2592"/>
  <c r="P2593"/>
  <c r="T2593"/>
  <c r="U2593"/>
  <c r="V2593"/>
  <c r="W2593"/>
  <c r="Y2593"/>
  <c r="AA2593"/>
  <c r="AB2593"/>
  <c r="AC2593"/>
  <c r="AD2593"/>
  <c r="P2594"/>
  <c r="T2594"/>
  <c r="U2594"/>
  <c r="V2594"/>
  <c r="W2594"/>
  <c r="Y2594"/>
  <c r="AA2594"/>
  <c r="AB2594"/>
  <c r="AC2594"/>
  <c r="AD2594"/>
  <c r="P2595"/>
  <c r="T2595"/>
  <c r="U2595"/>
  <c r="V2595"/>
  <c r="W2595"/>
  <c r="Y2595"/>
  <c r="AA2595"/>
  <c r="AB2595"/>
  <c r="AC2595"/>
  <c r="AD2595"/>
  <c r="P2596"/>
  <c r="T2596"/>
  <c r="U2596"/>
  <c r="V2596"/>
  <c r="W2596"/>
  <c r="Y2596"/>
  <c r="AA2596"/>
  <c r="AB2596"/>
  <c r="AC2596"/>
  <c r="AD2596"/>
  <c r="P2597"/>
  <c r="T2597"/>
  <c r="U2597"/>
  <c r="V2597"/>
  <c r="W2597"/>
  <c r="Y2597"/>
  <c r="AA2597"/>
  <c r="AB2597"/>
  <c r="AC2597"/>
  <c r="AD2597"/>
  <c r="P2598"/>
  <c r="T2598"/>
  <c r="U2598"/>
  <c r="V2598"/>
  <c r="W2598"/>
  <c r="Y2598"/>
  <c r="AA2598"/>
  <c r="AB2598"/>
  <c r="AC2598"/>
  <c r="AD2598"/>
  <c r="P2599"/>
  <c r="T2599"/>
  <c r="U2599"/>
  <c r="V2599"/>
  <c r="W2599"/>
  <c r="Y2599"/>
  <c r="AA2599"/>
  <c r="AB2599"/>
  <c r="AC2599"/>
  <c r="AD2599"/>
  <c r="P2600"/>
  <c r="T2600"/>
  <c r="U2600"/>
  <c r="V2600"/>
  <c r="W2600"/>
  <c r="Y2600"/>
  <c r="AA2600"/>
  <c r="AB2600"/>
  <c r="AC2600"/>
  <c r="AD2600"/>
  <c r="P2601"/>
  <c r="T2601"/>
  <c r="U2601"/>
  <c r="V2601"/>
  <c r="W2601"/>
  <c r="Y2601"/>
  <c r="AA2601"/>
  <c r="AB2601"/>
  <c r="AC2601"/>
  <c r="AD2601"/>
  <c r="P2602"/>
  <c r="T2602"/>
  <c r="U2602"/>
  <c r="V2602"/>
  <c r="W2602"/>
  <c r="Y2602"/>
  <c r="AA2602"/>
  <c r="AB2602"/>
  <c r="AC2602"/>
  <c r="AD2602"/>
  <c r="P2603"/>
  <c r="T2603"/>
  <c r="U2603"/>
  <c r="V2603"/>
  <c r="W2603"/>
  <c r="Y2603"/>
  <c r="AA2603"/>
  <c r="AB2603"/>
  <c r="AC2603"/>
  <c r="AD2603"/>
  <c r="P2604"/>
  <c r="T2604"/>
  <c r="U2604"/>
  <c r="V2604"/>
  <c r="W2604"/>
  <c r="Y2604"/>
  <c r="AA2604"/>
  <c r="AB2604"/>
  <c r="AC2604"/>
  <c r="AD2604"/>
  <c r="P2605"/>
  <c r="T2605"/>
  <c r="U2605"/>
  <c r="V2605"/>
  <c r="W2605"/>
  <c r="Y2605"/>
  <c r="AA2605"/>
  <c r="AB2605"/>
  <c r="AC2605"/>
  <c r="AD2605"/>
  <c r="P2606"/>
  <c r="T2606"/>
  <c r="U2606"/>
  <c r="V2606"/>
  <c r="W2606"/>
  <c r="Y2606"/>
  <c r="AA2606"/>
  <c r="AB2606"/>
  <c r="AC2606"/>
  <c r="AD2606"/>
  <c r="P2607"/>
  <c r="T2607"/>
  <c r="U2607"/>
  <c r="V2607"/>
  <c r="W2607"/>
  <c r="Y2607"/>
  <c r="AA2607"/>
  <c r="AB2607"/>
  <c r="AC2607"/>
  <c r="AD2607"/>
  <c r="P2608"/>
  <c r="T2608"/>
  <c r="U2608"/>
  <c r="V2608"/>
  <c r="W2608"/>
  <c r="Y2608"/>
  <c r="AA2608"/>
  <c r="AB2608"/>
  <c r="AC2608"/>
  <c r="AD2608"/>
  <c r="P2609"/>
  <c r="T2609"/>
  <c r="U2609"/>
  <c r="V2609"/>
  <c r="W2609"/>
  <c r="Y2609"/>
  <c r="AA2609"/>
  <c r="AB2609"/>
  <c r="AC2609"/>
  <c r="AD2609"/>
  <c r="P2610"/>
  <c r="T2610"/>
  <c r="U2610"/>
  <c r="V2610"/>
  <c r="W2610"/>
  <c r="Y2610"/>
  <c r="AA2610"/>
  <c r="AB2610"/>
  <c r="AC2610"/>
  <c r="AD2610"/>
  <c r="P2611"/>
  <c r="T2611"/>
  <c r="U2611"/>
  <c r="V2611"/>
  <c r="W2611"/>
  <c r="Y2611"/>
  <c r="AA2611"/>
  <c r="AB2611"/>
  <c r="AC2611"/>
  <c r="AD2611"/>
  <c r="P2612"/>
  <c r="T2612"/>
  <c r="U2612"/>
  <c r="V2612"/>
  <c r="W2612"/>
  <c r="Y2612"/>
  <c r="AA2612"/>
  <c r="AB2612"/>
  <c r="AC2612"/>
  <c r="AD2612"/>
  <c r="P2613"/>
  <c r="T2613"/>
  <c r="U2613"/>
  <c r="V2613"/>
  <c r="W2613"/>
  <c r="Y2613"/>
  <c r="AA2613"/>
  <c r="AB2613"/>
  <c r="AC2613"/>
  <c r="AD2613"/>
  <c r="P2614"/>
  <c r="T2614"/>
  <c r="U2614"/>
  <c r="V2614"/>
  <c r="W2614"/>
  <c r="Y2614"/>
  <c r="AA2614"/>
  <c r="AB2614"/>
  <c r="AC2614"/>
  <c r="AD2614"/>
  <c r="P2615"/>
  <c r="T2615"/>
  <c r="U2615"/>
  <c r="V2615"/>
  <c r="W2615"/>
  <c r="Y2615"/>
  <c r="AA2615"/>
  <c r="AB2615"/>
  <c r="AC2615"/>
  <c r="AD2615"/>
  <c r="P2616"/>
  <c r="T2616"/>
  <c r="U2616"/>
  <c r="V2616"/>
  <c r="W2616"/>
  <c r="Y2616"/>
  <c r="AA2616"/>
  <c r="AB2616"/>
  <c r="AC2616"/>
  <c r="AD2616"/>
  <c r="P2617"/>
  <c r="T2617"/>
  <c r="U2617"/>
  <c r="V2617"/>
  <c r="W2617"/>
  <c r="Y2617"/>
  <c r="AB2617"/>
  <c r="AC2617"/>
  <c r="AD2617"/>
  <c r="P2618"/>
  <c r="T2618"/>
  <c r="U2618"/>
  <c r="V2618"/>
  <c r="W2618"/>
  <c r="Y2618"/>
  <c r="AB2618"/>
  <c r="AC2618"/>
  <c r="AD2618"/>
  <c r="P2619"/>
  <c r="T2619"/>
  <c r="U2619"/>
  <c r="V2619"/>
  <c r="W2619"/>
  <c r="Y2619"/>
  <c r="AA2619"/>
  <c r="AB2619"/>
  <c r="AC2619"/>
  <c r="AD2619"/>
  <c r="P2620"/>
  <c r="T2620"/>
  <c r="U2620"/>
  <c r="V2620"/>
  <c r="W2620"/>
  <c r="Y2620"/>
  <c r="AA2620"/>
  <c r="AB2620"/>
  <c r="AC2620"/>
  <c r="AD2620"/>
  <c r="P2621"/>
  <c r="T2621"/>
  <c r="U2621"/>
  <c r="V2621"/>
  <c r="W2621"/>
  <c r="Y2621"/>
  <c r="AA2621"/>
  <c r="AB2621"/>
  <c r="AC2621"/>
  <c r="AD2621"/>
  <c r="P2622"/>
  <c r="T2622"/>
  <c r="U2622"/>
  <c r="V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B2630"/>
  <c r="AC2630"/>
  <c r="AD2630"/>
  <c r="P2631"/>
  <c r="T2631"/>
  <c r="U2631"/>
  <c r="V2631"/>
  <c r="W2631"/>
  <c r="Y2631"/>
  <c r="AB2631"/>
  <c r="AC2631"/>
  <c r="AD2631"/>
  <c r="P2632"/>
  <c r="T2632"/>
  <c r="U2632"/>
  <c r="V2632"/>
  <c r="W2632"/>
  <c r="Y2632"/>
  <c r="AB2632"/>
  <c r="AC2632"/>
  <c r="AD2632"/>
  <c r="P2633"/>
  <c r="T2633"/>
  <c r="U2633"/>
  <c r="V2633"/>
  <c r="W2633"/>
  <c r="Y2633"/>
  <c r="AB2633"/>
  <c r="AC2633"/>
  <c r="AD2633"/>
  <c r="P2634"/>
  <c r="T2634"/>
  <c r="U2634"/>
  <c r="V2634"/>
  <c r="W2634"/>
  <c r="Y2634"/>
  <c r="AB2634"/>
  <c r="AC2634"/>
  <c r="AD2634"/>
  <c r="P2635"/>
  <c r="T2635"/>
  <c r="U2635"/>
  <c r="V2635"/>
  <c r="W2635"/>
  <c r="Y2635"/>
  <c r="AA2635"/>
  <c r="AB2635"/>
  <c r="AC2635"/>
  <c r="AD2635"/>
  <c r="P2636"/>
  <c r="T2636"/>
  <c r="U2636"/>
  <c r="V2636"/>
  <c r="W2636"/>
  <c r="Y2636"/>
  <c r="AB2636"/>
  <c r="AC2636"/>
  <c r="AD2636"/>
  <c r="P2637"/>
  <c r="T2637"/>
  <c r="U2637"/>
  <c r="V2637"/>
  <c r="W2637"/>
  <c r="Y2637"/>
  <c r="AB2637"/>
  <c r="AC2637"/>
  <c r="AD2637"/>
  <c r="P2638"/>
  <c r="T2638"/>
  <c r="U2638"/>
  <c r="V2638"/>
  <c r="W2638"/>
  <c r="Y2638"/>
  <c r="AB2638"/>
  <c r="AC2638"/>
  <c r="AD2638"/>
  <c r="P2639"/>
  <c r="T2639"/>
  <c r="U2639"/>
  <c r="V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A2644"/>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A2651"/>
  <c r="AB2651"/>
  <c r="AC2651"/>
  <c r="AD2651"/>
  <c r="P2652"/>
  <c r="T2652"/>
  <c r="U2652"/>
  <c r="V2652"/>
  <c r="W2652"/>
  <c r="Y2652"/>
  <c r="AA2652"/>
  <c r="AB2652"/>
  <c r="AC2652"/>
  <c r="AD2652"/>
  <c r="P2653"/>
  <c r="T2653"/>
  <c r="U2653"/>
  <c r="V2653"/>
  <c r="W2653"/>
  <c r="Y2653"/>
  <c r="AA2653"/>
  <c r="AB2653"/>
  <c r="AC2653"/>
  <c r="AD2653"/>
  <c r="P2654"/>
  <c r="T2654"/>
  <c r="U2654"/>
  <c r="V2654"/>
  <c r="W2654"/>
  <c r="Y2654"/>
  <c r="AA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T2660"/>
  <c r="U2660"/>
  <c r="V2660"/>
  <c r="W2660"/>
  <c r="Y2660"/>
  <c r="AA2660"/>
  <c r="AB2660"/>
  <c r="AC2660"/>
  <c r="AD2660"/>
  <c r="P2661"/>
  <c r="T2661"/>
  <c r="U2661"/>
  <c r="V2661"/>
  <c r="W2661"/>
  <c r="Y2661"/>
  <c r="AA2661"/>
  <c r="AB2661"/>
  <c r="AC2661"/>
  <c r="AD2661"/>
  <c r="P2662"/>
  <c r="T2662"/>
  <c r="U2662"/>
  <c r="V2662"/>
  <c r="W2662"/>
  <c r="Y2662"/>
  <c r="AA2662"/>
  <c r="AB2662"/>
  <c r="AC2662"/>
  <c r="AD2662"/>
  <c r="P2663"/>
  <c r="T2663"/>
  <c r="U2663"/>
  <c r="V2663"/>
  <c r="W2663"/>
  <c r="Y2663"/>
  <c r="AA2663"/>
  <c r="AB2663"/>
  <c r="AC2663"/>
  <c r="AD2663"/>
  <c r="P2664"/>
  <c r="T2664"/>
  <c r="U2664"/>
  <c r="V2664"/>
  <c r="W2664"/>
  <c r="Y2664"/>
  <c r="AA2664"/>
  <c r="AB2664"/>
  <c r="AC2664"/>
  <c r="AD2664"/>
  <c r="P2665"/>
  <c r="T2665"/>
  <c r="U2665"/>
  <c r="V2665"/>
  <c r="W2665"/>
  <c r="Y2665"/>
  <c r="AA2665"/>
  <c r="AB2665"/>
  <c r="AC2665"/>
  <c r="AD2665"/>
  <c r="P2666"/>
  <c r="T2666"/>
  <c r="U2666"/>
  <c r="V2666"/>
  <c r="W2666"/>
  <c r="Y2666"/>
  <c r="AA2666"/>
  <c r="AB2666"/>
  <c r="AC2666"/>
  <c r="AD2666"/>
  <c r="P2667"/>
  <c r="T2667"/>
  <c r="U2667"/>
  <c r="V2667"/>
  <c r="W2667"/>
  <c r="Y2667"/>
  <c r="AA2667"/>
  <c r="AB2667"/>
  <c r="AC2667"/>
  <c r="AD2667"/>
  <c r="P2668"/>
  <c r="T2668"/>
  <c r="U2668"/>
  <c r="V2668"/>
  <c r="W2668"/>
  <c r="Y2668"/>
  <c r="AB2668"/>
  <c r="AC2668"/>
  <c r="AD2668"/>
  <c r="P2669"/>
  <c r="T2669"/>
  <c r="U2669"/>
  <c r="V2669"/>
  <c r="W2669"/>
  <c r="Y2669"/>
  <c r="AB2669"/>
  <c r="AC2669"/>
  <c r="AD2669"/>
  <c r="P2670"/>
  <c r="T2670"/>
  <c r="U2670"/>
  <c r="V2670"/>
  <c r="W2670"/>
  <c r="Y2670"/>
  <c r="AA2670"/>
  <c r="AB2670"/>
  <c r="AC2670"/>
  <c r="AD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AD2673"/>
  <c r="P2674"/>
  <c r="T2674"/>
  <c r="U2674"/>
  <c r="V2674"/>
  <c r="W2674"/>
  <c r="Y2674"/>
  <c r="AA2674"/>
  <c r="AB2674"/>
  <c r="AC2674"/>
  <c r="AD2674"/>
  <c r="P2675"/>
  <c r="T2675"/>
  <c r="U2675"/>
  <c r="V2675"/>
  <c r="W2675"/>
  <c r="Y2675"/>
  <c r="AA2675"/>
  <c r="AB2675"/>
  <c r="AC2675"/>
  <c r="AD2675"/>
  <c r="P2676"/>
  <c r="T2676"/>
  <c r="U2676"/>
  <c r="V2676"/>
  <c r="W2676"/>
  <c r="Y2676"/>
  <c r="AA2676"/>
  <c r="AB2676"/>
  <c r="AC2676"/>
  <c r="AD2676"/>
  <c r="P2677"/>
  <c r="T2677"/>
  <c r="U2677"/>
  <c r="V2677"/>
  <c r="W2677"/>
  <c r="Y2677"/>
  <c r="AA2677"/>
  <c r="AB2677"/>
  <c r="AC2677"/>
  <c r="AD2677"/>
  <c r="P2678"/>
  <c r="T2678"/>
  <c r="U2678"/>
  <c r="V2678"/>
  <c r="W2678"/>
  <c r="Y2678"/>
  <c r="AA2678"/>
  <c r="AB2678"/>
  <c r="AC2678"/>
  <c r="AD2678"/>
  <c r="P2679"/>
  <c r="T2679"/>
  <c r="U2679"/>
  <c r="V2679"/>
  <c r="W2679"/>
  <c r="Y2679"/>
  <c r="AA2679"/>
  <c r="AB2679"/>
  <c r="AC2679"/>
  <c r="AD2679"/>
  <c r="P2680"/>
  <c r="T2680"/>
  <c r="U2680"/>
  <c r="V2680"/>
  <c r="W2680"/>
  <c r="Y2680"/>
  <c r="AA2680"/>
  <c r="AB2680"/>
  <c r="AC2680"/>
  <c r="AD2680"/>
  <c r="P2681"/>
  <c r="T2681"/>
  <c r="U2681"/>
  <c r="V2681"/>
  <c r="W2681"/>
  <c r="Y2681"/>
  <c r="AA2681"/>
  <c r="AB2681"/>
  <c r="AC2681"/>
  <c r="AD2681"/>
  <c r="P2682"/>
  <c r="T2682"/>
  <c r="U2682"/>
  <c r="V2682"/>
  <c r="W2682"/>
  <c r="Y2682"/>
  <c r="AA2682"/>
  <c r="AB2682"/>
  <c r="AC2682"/>
  <c r="AD2682"/>
  <c r="P2683"/>
  <c r="T2683"/>
  <c r="U2683"/>
  <c r="V2683"/>
  <c r="W2683"/>
  <c r="Y2683"/>
  <c r="AA2683"/>
  <c r="AB2683"/>
  <c r="AC2683"/>
  <c r="AD2683"/>
  <c r="P2684"/>
  <c r="T2684"/>
  <c r="U2684"/>
  <c r="V2684"/>
  <c r="W2684"/>
  <c r="Y2684"/>
  <c r="AA2684"/>
  <c r="AB2684"/>
  <c r="AC2684"/>
  <c r="AD2684"/>
  <c r="P2685"/>
  <c r="T2685"/>
  <c r="U2685"/>
  <c r="V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AD2688"/>
  <c r="P2689"/>
  <c r="T2689"/>
  <c r="U2689"/>
  <c r="V2689"/>
  <c r="W2689"/>
  <c r="Y2689"/>
  <c r="AA2689"/>
  <c r="AB2689"/>
  <c r="AC2689"/>
  <c r="AD2689"/>
  <c r="P2690"/>
  <c r="T2690"/>
  <c r="U2690"/>
  <c r="V2690"/>
  <c r="W2690"/>
  <c r="Y2690"/>
  <c r="AA2690"/>
  <c r="AB2690"/>
  <c r="AC2690"/>
  <c r="AD2690"/>
  <c r="P2691"/>
  <c r="T2691"/>
  <c r="U2691"/>
  <c r="V2691"/>
  <c r="W2691"/>
  <c r="Y2691"/>
  <c r="AA2691"/>
  <c r="AB2691"/>
  <c r="AC2691"/>
  <c r="AD2691"/>
  <c r="P2692"/>
  <c r="T2692"/>
  <c r="U2692"/>
  <c r="V2692"/>
  <c r="W2692"/>
  <c r="Y2692"/>
  <c r="AA2692"/>
  <c r="AB2692"/>
  <c r="AC2692"/>
  <c r="AD2692"/>
  <c r="P2693"/>
  <c r="T2693"/>
  <c r="U2693"/>
  <c r="V2693"/>
  <c r="W2693"/>
  <c r="Y2693"/>
  <c r="AA2693"/>
  <c r="AB2693"/>
  <c r="AC2693"/>
  <c r="AD2693"/>
  <c r="P2694"/>
  <c r="T2694"/>
  <c r="U2694"/>
  <c r="V2694"/>
  <c r="W2694"/>
  <c r="Y2694"/>
  <c r="AA2694"/>
  <c r="AB2694"/>
  <c r="AC2694"/>
  <c r="AD2694"/>
  <c r="P2695"/>
  <c r="T2695"/>
  <c r="U2695"/>
  <c r="V2695"/>
  <c r="W2695"/>
  <c r="Y2695"/>
  <c r="AA2695"/>
  <c r="AB2695"/>
  <c r="AC2695"/>
  <c r="AD2695"/>
  <c r="P2696"/>
  <c r="T2696"/>
  <c r="U2696"/>
  <c r="V2696"/>
  <c r="W2696"/>
  <c r="Y2696"/>
  <c r="AA2696"/>
  <c r="AB2696"/>
  <c r="AC2696"/>
  <c r="AD2696"/>
  <c r="P2697"/>
  <c r="T2697"/>
  <c r="U2697"/>
  <c r="V2697"/>
  <c r="W2697"/>
  <c r="Y2697"/>
  <c r="AA2697"/>
  <c r="AB2697"/>
  <c r="AC2697"/>
  <c r="AD2697"/>
  <c r="P2698"/>
  <c r="T2698"/>
  <c r="U2698"/>
  <c r="V2698"/>
  <c r="W2698"/>
  <c r="Y2698"/>
  <c r="AA2698"/>
  <c r="AB2698"/>
  <c r="AC2698"/>
  <c r="AD2698"/>
  <c r="P2699"/>
  <c r="T2699"/>
  <c r="U2699"/>
  <c r="V2699"/>
  <c r="W2699"/>
  <c r="Y2699"/>
  <c r="AA2699"/>
  <c r="AB2699"/>
  <c r="AC2699"/>
  <c r="AD2699"/>
  <c r="P2700"/>
  <c r="T2700"/>
  <c r="U2700"/>
  <c r="V2700"/>
  <c r="W2700"/>
  <c r="Y2700"/>
  <c r="AA2700"/>
  <c r="AB2700"/>
  <c r="AC2700"/>
  <c r="AD2700"/>
  <c r="P2701"/>
  <c r="T2701"/>
  <c r="U2701"/>
  <c r="V2701"/>
  <c r="W2701"/>
  <c r="Y2701"/>
  <c r="AA2701"/>
  <c r="AB2701"/>
  <c r="AC2701"/>
  <c r="AD2701"/>
  <c r="P2702"/>
  <c r="T2702"/>
  <c r="U2702"/>
  <c r="V2702"/>
  <c r="W2702"/>
  <c r="Y2702"/>
  <c r="AA2702"/>
  <c r="AB2702"/>
  <c r="AC2702"/>
  <c r="AD2702"/>
  <c r="P2703"/>
  <c r="T2703"/>
  <c r="U2703"/>
  <c r="V2703"/>
  <c r="W2703"/>
  <c r="Y2703"/>
  <c r="AA2703"/>
  <c r="AB2703"/>
  <c r="AC2703"/>
  <c r="AD2703"/>
  <c r="P2704"/>
  <c r="T2704"/>
  <c r="U2704"/>
  <c r="V2704"/>
  <c r="W2704"/>
  <c r="Y2704"/>
  <c r="AA2704"/>
  <c r="AB2704"/>
  <c r="AC2704"/>
  <c r="AD2704"/>
  <c r="P2705"/>
  <c r="T2705"/>
  <c r="U2705"/>
  <c r="V2705"/>
  <c r="W2705"/>
  <c r="Y2705"/>
  <c r="AA2705"/>
  <c r="AB2705"/>
  <c r="AC2705"/>
  <c r="AD2705"/>
  <c r="P2706"/>
  <c r="T2706"/>
  <c r="U2706"/>
  <c r="V2706"/>
  <c r="W2706"/>
  <c r="Y2706"/>
  <c r="AA2706"/>
  <c r="AB2706"/>
  <c r="AC2706"/>
  <c r="AD2706"/>
  <c r="P2707"/>
  <c r="T2707"/>
  <c r="U2707"/>
  <c r="V2707"/>
  <c r="W2707"/>
  <c r="Y2707"/>
  <c r="AA2707"/>
  <c r="AB2707"/>
  <c r="AC2707"/>
  <c r="AD2707"/>
  <c r="P2708"/>
  <c r="T2708"/>
  <c r="U2708"/>
  <c r="V2708"/>
  <c r="W2708"/>
  <c r="Y2708"/>
  <c r="AA2708"/>
  <c r="AB2708"/>
  <c r="AC2708"/>
  <c r="AD2708"/>
  <c r="P2709"/>
  <c r="T2709"/>
  <c r="U2709"/>
  <c r="V2709"/>
  <c r="W2709"/>
  <c r="Y2709"/>
  <c r="AA2709"/>
  <c r="AB2709"/>
  <c r="AC2709"/>
  <c r="AD2709"/>
  <c r="P2710"/>
  <c r="T2710"/>
  <c r="U2710"/>
  <c r="V2710"/>
  <c r="W2710"/>
  <c r="Y2710"/>
  <c r="AA2710"/>
  <c r="AB2710"/>
  <c r="AC2710"/>
  <c r="AD2710"/>
  <c r="P2711"/>
  <c r="T2711"/>
  <c r="U2711"/>
  <c r="V2711"/>
  <c r="W2711"/>
  <c r="Y2711"/>
  <c r="AA2711"/>
  <c r="AB2711"/>
  <c r="AC2711"/>
  <c r="AD2711"/>
  <c r="P2712"/>
  <c r="T2712"/>
  <c r="U2712"/>
  <c r="V2712"/>
  <c r="W2712"/>
  <c r="Y2712"/>
  <c r="AA2712"/>
  <c r="AB2712"/>
  <c r="AC2712"/>
  <c r="AD2712"/>
  <c r="P2713"/>
  <c r="T2713"/>
  <c r="U2713"/>
  <c r="V2713"/>
  <c r="W2713"/>
  <c r="Y2713"/>
  <c r="AA2713"/>
  <c r="AB2713"/>
  <c r="AC2713"/>
  <c r="AD2713"/>
  <c r="P2714"/>
  <c r="T2714"/>
  <c r="U2714"/>
  <c r="V2714"/>
  <c r="W2714"/>
  <c r="Y2714"/>
  <c r="AA2714"/>
  <c r="AB2714"/>
  <c r="AC2714"/>
  <c r="AD2714"/>
  <c r="P2715"/>
  <c r="T2715"/>
  <c r="U2715"/>
  <c r="V2715"/>
  <c r="W2715"/>
  <c r="Y2715"/>
  <c r="AA2715"/>
  <c r="AB2715"/>
  <c r="AC2715"/>
  <c r="AD2715"/>
  <c r="P2716"/>
  <c r="T2716"/>
  <c r="U2716"/>
  <c r="V2716"/>
  <c r="W2716"/>
  <c r="Y2716"/>
  <c r="AA2716"/>
  <c r="AB2716"/>
  <c r="AC2716"/>
  <c r="AD2716"/>
  <c r="P2717"/>
  <c r="T2717"/>
  <c r="U2717"/>
  <c r="V2717"/>
  <c r="W2717"/>
  <c r="Y2717"/>
  <c r="AA2717"/>
  <c r="AB2717"/>
  <c r="AC2717"/>
  <c r="AD2717"/>
  <c r="P2718"/>
  <c r="T2718"/>
  <c r="U2718"/>
  <c r="V2718"/>
  <c r="W2718"/>
  <c r="Y2718"/>
  <c r="AA2718"/>
  <c r="AB2718"/>
  <c r="AC2718"/>
  <c r="AD2718"/>
  <c r="P2719"/>
  <c r="T2719"/>
  <c r="U2719"/>
  <c r="V2719"/>
  <c r="W2719"/>
  <c r="Y2719"/>
  <c r="AA2719"/>
  <c r="AB2719"/>
  <c r="AC2719"/>
  <c r="AD2719"/>
  <c r="P2720"/>
  <c r="T2720"/>
  <c r="U2720"/>
  <c r="V2720"/>
  <c r="W2720"/>
  <c r="Y2720"/>
  <c r="AA2720"/>
  <c r="AB2720"/>
  <c r="AC2720"/>
  <c r="AD2720"/>
  <c r="P2721"/>
  <c r="T2721"/>
  <c r="U2721"/>
  <c r="V2721"/>
  <c r="W2721"/>
  <c r="Y2721"/>
  <c r="AA2721"/>
  <c r="AB2721"/>
  <c r="AC2721"/>
  <c r="AD2721"/>
  <c r="P2722"/>
  <c r="T2722"/>
  <c r="U2722"/>
  <c r="V2722"/>
  <c r="W2722"/>
  <c r="Y2722"/>
  <c r="AA2722"/>
  <c r="AB2722"/>
  <c r="AC2722"/>
  <c r="AD2722"/>
  <c r="P2723"/>
  <c r="T2723"/>
  <c r="U2723"/>
  <c r="V2723"/>
  <c r="W2723"/>
  <c r="Y2723"/>
  <c r="AA2723"/>
  <c r="AB2723"/>
  <c r="AC2723"/>
  <c r="AD2723"/>
  <c r="P2724"/>
  <c r="T2724"/>
  <c r="U2724"/>
  <c r="V2724"/>
  <c r="W2724"/>
  <c r="Y2724"/>
  <c r="AA2724"/>
  <c r="AB2724"/>
  <c r="AC2724"/>
  <c r="AD2724"/>
  <c r="P2725"/>
  <c r="T2725"/>
  <c r="U2725"/>
  <c r="V2725"/>
  <c r="W2725"/>
  <c r="Y2725"/>
  <c r="AA2725"/>
  <c r="AB2725"/>
  <c r="AC2725"/>
  <c r="AD2725"/>
  <c r="P2726"/>
  <c r="T2726"/>
  <c r="U2726"/>
  <c r="V2726"/>
  <c r="W2726"/>
  <c r="Y2726"/>
  <c r="AA2726"/>
  <c r="AB2726"/>
  <c r="AC2726"/>
  <c r="AD2726"/>
  <c r="P2727"/>
  <c r="T2727"/>
  <c r="U2727"/>
  <c r="V2727"/>
  <c r="W2727"/>
  <c r="Y2727"/>
  <c r="AA2727"/>
  <c r="AB2727"/>
  <c r="AC2727"/>
  <c r="AD2727"/>
  <c r="P2728"/>
  <c r="T2728"/>
  <c r="U2728"/>
  <c r="V2728"/>
  <c r="W2728"/>
  <c r="Y2728"/>
  <c r="AA2728"/>
  <c r="AB2728"/>
  <c r="AC2728"/>
  <c r="AD2728"/>
  <c r="P2729"/>
  <c r="T2729"/>
  <c r="U2729"/>
  <c r="V2729"/>
  <c r="W2729"/>
  <c r="Y2729"/>
  <c r="AA2729"/>
  <c r="AB2729"/>
  <c r="AC2729"/>
  <c r="AD2729"/>
  <c r="P2730"/>
  <c r="T2730"/>
  <c r="U2730"/>
  <c r="V2730"/>
  <c r="W2730"/>
  <c r="Y2730"/>
  <c r="AA2730"/>
  <c r="AB2730"/>
  <c r="AC2730"/>
  <c r="AD2730"/>
  <c r="P2731"/>
  <c r="T2731"/>
  <c r="U2731"/>
  <c r="V2731"/>
  <c r="W2731"/>
  <c r="Y2731"/>
  <c r="AA2731"/>
  <c r="AB2731"/>
  <c r="AC2731"/>
  <c r="AD2731"/>
  <c r="P2732"/>
  <c r="T2732"/>
  <c r="U2732"/>
  <c r="V2732"/>
  <c r="W2732"/>
  <c r="Y2732"/>
  <c r="AA2732"/>
  <c r="AB2732"/>
  <c r="AC2732"/>
  <c r="AD2732"/>
  <c r="P2733"/>
  <c r="T2733"/>
  <c r="U2733"/>
  <c r="V2733"/>
  <c r="W2733"/>
  <c r="Y2733"/>
  <c r="AA2733"/>
  <c r="AB2733"/>
  <c r="AC2733"/>
  <c r="AD2733"/>
  <c r="P2734"/>
  <c r="T2734"/>
  <c r="U2734"/>
  <c r="V2734"/>
  <c r="W2734"/>
  <c r="Y2734"/>
  <c r="AA2734"/>
  <c r="AB2734"/>
  <c r="AC2734"/>
  <c r="AD2734"/>
  <c r="P2735"/>
  <c r="T2735"/>
  <c r="U2735"/>
  <c r="V2735"/>
  <c r="W2735"/>
  <c r="Y2735"/>
  <c r="AA2735"/>
  <c r="AB2735"/>
  <c r="AC2735"/>
  <c r="AD2735"/>
  <c r="P2736"/>
  <c r="T2736"/>
  <c r="U2736"/>
  <c r="V2736"/>
  <c r="W2736"/>
  <c r="Y2736"/>
  <c r="AA2736"/>
  <c r="AB2736"/>
  <c r="AC2736"/>
  <c r="AD2736"/>
  <c r="P2737"/>
  <c r="T2737"/>
  <c r="U2737"/>
  <c r="V2737"/>
  <c r="W2737"/>
  <c r="Y2737"/>
  <c r="AA2737"/>
  <c r="AB2737"/>
  <c r="AC2737"/>
  <c r="AD2737"/>
  <c r="P2738"/>
  <c r="T2738"/>
  <c r="U2738"/>
  <c r="V2738"/>
  <c r="W2738"/>
  <c r="Y2738"/>
  <c r="AA2738"/>
  <c r="AB2738"/>
  <c r="AC2738"/>
  <c r="AD2738"/>
  <c r="P2739"/>
  <c r="T2739"/>
  <c r="U2739"/>
  <c r="V2739"/>
  <c r="W2739"/>
  <c r="Y2739"/>
  <c r="AA2739"/>
  <c r="AB2739"/>
  <c r="AC2739"/>
  <c r="AD2739"/>
  <c r="P2740"/>
  <c r="T2740"/>
  <c r="U2740"/>
  <c r="V2740"/>
  <c r="W2740"/>
  <c r="Y2740"/>
  <c r="AA2740"/>
  <c r="AB2740"/>
  <c r="AC2740"/>
  <c r="AD2740"/>
  <c r="P2741"/>
  <c r="T2741"/>
  <c r="U2741"/>
  <c r="V2741"/>
  <c r="W2741"/>
  <c r="Y2741"/>
  <c r="AA2741"/>
  <c r="AB2741"/>
  <c r="AC2741"/>
  <c r="AD2741"/>
  <c r="P2742"/>
  <c r="T2742"/>
  <c r="U2742"/>
  <c r="V2742"/>
  <c r="W2742"/>
  <c r="Y2742"/>
  <c r="AA2742"/>
  <c r="AB2742"/>
  <c r="AC2742"/>
  <c r="AD2742"/>
  <c r="P2743"/>
  <c r="T2743"/>
  <c r="U2743"/>
  <c r="V2743"/>
  <c r="W2743"/>
  <c r="Y2743"/>
  <c r="AA2743"/>
  <c r="AB2743"/>
  <c r="AC2743"/>
  <c r="AD2743"/>
  <c r="P2744"/>
  <c r="T2744"/>
  <c r="U2744"/>
  <c r="V2744"/>
  <c r="W2744"/>
  <c r="Y2744"/>
  <c r="AA2744"/>
  <c r="AB2744"/>
  <c r="AC2744"/>
  <c r="AD2744"/>
  <c r="P2745"/>
  <c r="T2745"/>
  <c r="U2745"/>
  <c r="V2745"/>
  <c r="W2745"/>
  <c r="Y2745"/>
  <c r="AA2745"/>
  <c r="AB2745"/>
  <c r="AC2745"/>
  <c r="AD2745"/>
  <c r="P2746"/>
  <c r="T2746"/>
  <c r="U2746"/>
  <c r="V2746"/>
  <c r="W2746"/>
  <c r="Y2746"/>
  <c r="AA2746"/>
  <c r="AB2746"/>
  <c r="AC2746"/>
  <c r="AD2746"/>
  <c r="P2747"/>
  <c r="T2747"/>
  <c r="U2747"/>
  <c r="V2747"/>
  <c r="W2747"/>
  <c r="Y2747"/>
  <c r="AA2747"/>
  <c r="AB2747"/>
  <c r="AC2747"/>
  <c r="AD2747"/>
  <c r="P2748"/>
  <c r="T2748"/>
  <c r="U2748"/>
  <c r="V2748"/>
  <c r="W2748"/>
  <c r="Y2748"/>
  <c r="AA2748"/>
  <c r="AB2748"/>
  <c r="AC2748"/>
  <c r="AD2748"/>
  <c r="P2749"/>
  <c r="T2749"/>
  <c r="U2749"/>
  <c r="V2749"/>
  <c r="W2749"/>
  <c r="Y2749"/>
  <c r="AA2749"/>
  <c r="AB2749"/>
  <c r="AC2749"/>
  <c r="AD2749"/>
  <c r="P2750"/>
  <c r="T2750"/>
  <c r="U2750"/>
  <c r="V2750"/>
  <c r="W2750"/>
  <c r="Y2750"/>
  <c r="AA2750"/>
  <c r="AB2750"/>
  <c r="AC2750"/>
  <c r="AD2750"/>
  <c r="P2751"/>
  <c r="T2751"/>
  <c r="U2751"/>
  <c r="V2751"/>
  <c r="W2751"/>
  <c r="Y2751"/>
  <c r="AA2751"/>
  <c r="AB2751"/>
  <c r="AC2751"/>
  <c r="AD2751"/>
  <c r="P2752"/>
  <c r="T2752"/>
  <c r="U2752"/>
  <c r="V2752"/>
  <c r="W2752"/>
  <c r="Y2752"/>
  <c r="AA2752"/>
  <c r="AB2752"/>
  <c r="AC2752"/>
  <c r="AD2752"/>
  <c r="P2753"/>
  <c r="T2753"/>
  <c r="U2753"/>
  <c r="V2753"/>
  <c r="W2753"/>
  <c r="Y2753"/>
  <c r="AA2753"/>
  <c r="AB2753"/>
  <c r="AC2753"/>
  <c r="AD2753"/>
  <c r="P2754"/>
  <c r="T2754"/>
  <c r="U2754"/>
  <c r="V2754"/>
  <c r="W2754"/>
  <c r="Y2754"/>
  <c r="AA2754"/>
  <c r="AB2754"/>
  <c r="AC2754"/>
  <c r="AD2754"/>
  <c r="P2755"/>
  <c r="T2755"/>
  <c r="U2755"/>
  <c r="V2755"/>
  <c r="W2755"/>
  <c r="Y2755"/>
  <c r="AA2755"/>
  <c r="AB2755"/>
  <c r="AC2755"/>
  <c r="AD2755"/>
  <c r="P2756"/>
  <c r="T2756"/>
  <c r="U2756"/>
  <c r="V2756"/>
  <c r="W2756"/>
  <c r="Y2756"/>
  <c r="AA2756"/>
  <c r="AB2756"/>
  <c r="AC2756"/>
  <c r="AD2756"/>
  <c r="P2757"/>
  <c r="T2757"/>
  <c r="U2757"/>
  <c r="V2757"/>
  <c r="W2757"/>
  <c r="Y2757"/>
  <c r="AA2757"/>
  <c r="AB2757"/>
  <c r="AC2757"/>
  <c r="AD2757"/>
  <c r="P2758"/>
  <c r="T2758"/>
  <c r="U2758"/>
  <c r="V2758"/>
  <c r="W2758"/>
  <c r="Y2758"/>
  <c r="AA2758"/>
  <c r="AB2758"/>
  <c r="AC2758"/>
  <c r="AD2758"/>
  <c r="P2759"/>
  <c r="T2759"/>
  <c r="U2759"/>
  <c r="V2759"/>
  <c r="W2759"/>
  <c r="Y2759"/>
  <c r="AA2759"/>
  <c r="AB2759"/>
  <c r="AC2759"/>
  <c r="AD2759"/>
  <c r="P2760"/>
  <c r="T2760"/>
  <c r="U2760"/>
  <c r="V2760"/>
  <c r="W2760"/>
  <c r="Y2760"/>
  <c r="AA2760"/>
  <c r="AB2760"/>
  <c r="AC2760"/>
  <c r="AD2760"/>
  <c r="P2761"/>
  <c r="T2761"/>
  <c r="U2761"/>
  <c r="V2761"/>
  <c r="W2761"/>
  <c r="Y2761"/>
  <c r="AA2761"/>
  <c r="AB2761"/>
  <c r="AC2761"/>
  <c r="AD2761"/>
  <c r="P2762"/>
  <c r="T2762"/>
  <c r="U2762"/>
  <c r="V2762"/>
  <c r="W2762"/>
  <c r="Y2762"/>
  <c r="AA2762"/>
  <c r="AB2762"/>
  <c r="AC2762"/>
  <c r="AD2762"/>
  <c r="P2763"/>
  <c r="T2763"/>
  <c r="U2763"/>
  <c r="V2763"/>
  <c r="W2763"/>
  <c r="Y2763"/>
  <c r="AA2763"/>
  <c r="AB2763"/>
  <c r="AC2763"/>
  <c r="AD2763"/>
  <c r="P2764"/>
  <c r="T2764"/>
  <c r="U2764"/>
  <c r="V2764"/>
  <c r="W2764"/>
  <c r="Y2764"/>
  <c r="AA2764"/>
  <c r="AB2764"/>
  <c r="AC2764"/>
  <c r="AD2764"/>
  <c r="P2765"/>
  <c r="T2765"/>
  <c r="U2765"/>
  <c r="V2765"/>
  <c r="W2765"/>
  <c r="Y2765"/>
  <c r="AA2765"/>
  <c r="AB2765"/>
  <c r="AC2765"/>
  <c r="AD2765"/>
  <c r="P2766"/>
  <c r="T2766"/>
  <c r="U2766"/>
  <c r="V2766"/>
  <c r="W2766"/>
  <c r="Y2766"/>
  <c r="AA2766"/>
  <c r="AB2766"/>
  <c r="AC2766"/>
  <c r="AD2766"/>
  <c r="P2767"/>
  <c r="T2767"/>
  <c r="U2767"/>
  <c r="V2767"/>
  <c r="W2767"/>
  <c r="Y2767"/>
  <c r="AA2767"/>
  <c r="AB2767"/>
  <c r="AC2767"/>
  <c r="AD2767"/>
  <c r="P2768"/>
  <c r="T2768"/>
  <c r="U2768"/>
  <c r="V2768"/>
  <c r="W2768"/>
  <c r="Y2768"/>
  <c r="AA2768"/>
  <c r="AB2768"/>
  <c r="AC2768"/>
  <c r="AD2768"/>
  <c r="P2769"/>
  <c r="T2769"/>
  <c r="U2769"/>
  <c r="V2769"/>
  <c r="W2769"/>
  <c r="Y2769"/>
  <c r="AA2769"/>
  <c r="AB2769"/>
  <c r="AC2769"/>
  <c r="AD2769"/>
  <c r="P2770"/>
  <c r="T2770"/>
  <c r="U2770"/>
  <c r="V2770"/>
  <c r="W2770"/>
  <c r="Y2770"/>
  <c r="AA2770"/>
  <c r="AB2770"/>
  <c r="AC2770"/>
  <c r="AD2770"/>
  <c r="P2771"/>
  <c r="T2771"/>
  <c r="U2771"/>
  <c r="V2771"/>
  <c r="W2771"/>
  <c r="Y2771"/>
  <c r="AA2771"/>
  <c r="AB2771"/>
  <c r="AC2771"/>
  <c r="AD2771"/>
  <c r="P2772"/>
  <c r="T2772"/>
  <c r="U2772"/>
  <c r="V2772"/>
  <c r="W2772"/>
  <c r="Y2772"/>
  <c r="AA2772"/>
  <c r="AB2772"/>
  <c r="AC2772"/>
  <c r="AD2772"/>
  <c r="P2773"/>
  <c r="T2773"/>
  <c r="U2773"/>
  <c r="V2773"/>
  <c r="W2773"/>
  <c r="Y2773"/>
  <c r="AA2773"/>
  <c r="AB2773"/>
  <c r="AC2773"/>
  <c r="AD2773"/>
  <c r="P2774"/>
  <c r="T2774"/>
  <c r="U2774"/>
  <c r="V2774"/>
  <c r="W2774"/>
  <c r="Y2774"/>
  <c r="AA2774"/>
  <c r="AB2774"/>
  <c r="AC2774"/>
  <c r="AD2774"/>
  <c r="P2775"/>
  <c r="T2775"/>
  <c r="U2775"/>
  <c r="V2775"/>
  <c r="W2775"/>
  <c r="Y2775"/>
  <c r="AA2775"/>
  <c r="AB2775"/>
  <c r="AC2775"/>
  <c r="AD2775"/>
  <c r="P2776"/>
  <c r="T2776"/>
  <c r="U2776"/>
  <c r="V2776"/>
  <c r="W2776"/>
  <c r="Y2776"/>
  <c r="AA2776"/>
  <c r="AB2776"/>
  <c r="AC2776"/>
  <c r="AD2776"/>
  <c r="P2777"/>
  <c r="T2777"/>
  <c r="U2777"/>
  <c r="V2777"/>
  <c r="W2777"/>
  <c r="Y2777"/>
  <c r="AA2777"/>
  <c r="AB2777"/>
  <c r="AC2777"/>
  <c r="AD2777"/>
  <c r="P2778"/>
  <c r="T2778"/>
  <c r="U2778"/>
  <c r="V2778"/>
  <c r="W2778"/>
  <c r="Y2778"/>
  <c r="AA2778"/>
  <c r="AB2778"/>
  <c r="AC2778"/>
  <c r="AD2778"/>
  <c r="P2779"/>
  <c r="T2779"/>
  <c r="U2779"/>
  <c r="V2779"/>
  <c r="W2779"/>
  <c r="Y2779"/>
  <c r="AA2779"/>
  <c r="AB2779"/>
  <c r="AC2779"/>
  <c r="AD2779"/>
  <c r="P2780"/>
  <c r="T2780"/>
  <c r="U2780"/>
  <c r="V2780"/>
  <c r="W2780"/>
  <c r="Y2780"/>
  <c r="AA2780"/>
  <c r="AB2780"/>
  <c r="AC2780"/>
  <c r="AD2780"/>
  <c r="P2781"/>
  <c r="W2781"/>
  <c r="Y2781"/>
  <c r="AA2781"/>
  <c r="AB2781"/>
  <c r="AC2781"/>
  <c r="AD2781"/>
  <c r="P2782"/>
  <c r="T2782"/>
  <c r="U2782"/>
  <c r="V2782"/>
  <c r="W2782"/>
  <c r="Y2782"/>
  <c r="AA2782"/>
  <c r="AB2782"/>
  <c r="AC2782"/>
  <c r="AD2782"/>
  <c r="P2783"/>
  <c r="T2783"/>
  <c r="U2783"/>
  <c r="V2783"/>
  <c r="W2783"/>
  <c r="Y2783"/>
  <c r="AA2783"/>
  <c r="AB2783"/>
  <c r="AC2783"/>
  <c r="AD2783"/>
  <c r="P2784"/>
  <c r="T2784"/>
  <c r="U2784"/>
  <c r="V2784"/>
  <c r="W2784"/>
  <c r="Y2784"/>
  <c r="AA2784"/>
  <c r="AB2784"/>
  <c r="AC2784"/>
  <c r="AD2784"/>
  <c r="P2785"/>
  <c r="T2785"/>
  <c r="U2785"/>
  <c r="V2785"/>
  <c r="W2785"/>
  <c r="Y2785"/>
  <c r="AA2785"/>
  <c r="AB2785"/>
  <c r="AC2785"/>
  <c r="AD2785"/>
  <c r="P2786"/>
  <c r="T2786"/>
  <c r="U2786"/>
  <c r="V2786"/>
  <c r="W2786"/>
  <c r="Y2786"/>
  <c r="AA2786"/>
  <c r="AB2786"/>
  <c r="AC2786"/>
  <c r="AD2786"/>
  <c r="P2787"/>
  <c r="T2787"/>
  <c r="U2787"/>
  <c r="V2787"/>
  <c r="W2787"/>
  <c r="Y2787"/>
  <c r="AA2787"/>
  <c r="AB2787"/>
  <c r="AC2787"/>
  <c r="AD2787"/>
  <c r="P2788"/>
  <c r="T2788"/>
  <c r="U2788"/>
  <c r="V2788"/>
  <c r="W2788"/>
  <c r="Y2788"/>
  <c r="AA2788"/>
  <c r="AB2788"/>
  <c r="AC2788"/>
  <c r="AD2788"/>
  <c r="P2789"/>
  <c r="T2789"/>
  <c r="U2789"/>
  <c r="V2789"/>
  <c r="W2789"/>
  <c r="Y2789"/>
  <c r="AA2789"/>
  <c r="AB2789"/>
  <c r="AC2789"/>
  <c r="AD2789"/>
  <c r="P2790"/>
  <c r="T2790"/>
  <c r="U2790"/>
  <c r="V2790"/>
  <c r="W2790"/>
  <c r="Y2790"/>
  <c r="AA2790"/>
  <c r="AB2790"/>
  <c r="AC2790"/>
  <c r="AD2790"/>
  <c r="P2791"/>
  <c r="T2791"/>
  <c r="U2791"/>
  <c r="V2791"/>
  <c r="W2791"/>
  <c r="Y2791"/>
  <c r="AA2791"/>
  <c r="AB2791"/>
  <c r="AC2791"/>
  <c r="AD2791"/>
  <c r="P2792"/>
  <c r="T2792"/>
  <c r="U2792"/>
  <c r="V2792"/>
  <c r="W2792"/>
  <c r="Y2792"/>
  <c r="AA2792"/>
  <c r="AB2792"/>
  <c r="AC2792"/>
  <c r="AD2792"/>
  <c r="P2793"/>
  <c r="T2793"/>
  <c r="U2793"/>
  <c r="V2793"/>
  <c r="W2793"/>
  <c r="Y2793"/>
  <c r="AA2793"/>
  <c r="AB2793"/>
  <c r="AC2793"/>
  <c r="AD2793"/>
  <c r="P2794"/>
  <c r="T2794"/>
  <c r="U2794"/>
  <c r="V2794"/>
  <c r="W2794"/>
  <c r="Y2794"/>
  <c r="AA2794"/>
  <c r="AB2794"/>
  <c r="AC2794"/>
  <c r="AD2794"/>
  <c r="P2795"/>
  <c r="T2795"/>
  <c r="U2795"/>
  <c r="V2795"/>
  <c r="W2795"/>
  <c r="Y2795"/>
  <c r="AA2795"/>
  <c r="AB2795"/>
  <c r="AC2795"/>
  <c r="AD2795"/>
  <c r="P2796"/>
  <c r="T2796"/>
  <c r="U2796"/>
  <c r="V2796"/>
  <c r="W2796"/>
  <c r="Y2796"/>
  <c r="AA2796"/>
  <c r="AB2796"/>
  <c r="AC2796"/>
  <c r="AD2796"/>
  <c r="P2797"/>
  <c r="T2797"/>
  <c r="U2797"/>
  <c r="V2797"/>
  <c r="W2797"/>
  <c r="Y2797"/>
  <c r="AA2797"/>
  <c r="AB2797"/>
  <c r="AC2797"/>
  <c r="AD2797"/>
  <c r="P2798"/>
  <c r="T2798"/>
  <c r="U2798"/>
  <c r="V2798"/>
  <c r="W2798"/>
  <c r="Y2798"/>
  <c r="AA2798"/>
  <c r="AB2798"/>
  <c r="AC2798"/>
  <c r="AD2798"/>
  <c r="P2799"/>
  <c r="T2799"/>
  <c r="U2799"/>
  <c r="V2799"/>
  <c r="W2799"/>
  <c r="Y2799"/>
  <c r="AA2799"/>
  <c r="AB2799"/>
  <c r="AC2799"/>
  <c r="AD2799"/>
  <c r="P2800"/>
  <c r="T2800"/>
  <c r="U2800"/>
  <c r="V2800"/>
  <c r="W2800"/>
  <c r="Y2800"/>
  <c r="AA2800"/>
  <c r="AB2800"/>
  <c r="AC2800"/>
  <c r="AD2800"/>
  <c r="P2801"/>
  <c r="T2801"/>
  <c r="U2801"/>
  <c r="V2801"/>
  <c r="W2801"/>
  <c r="Y2801"/>
  <c r="AA2801"/>
  <c r="AB2801"/>
  <c r="AC2801"/>
  <c r="AD2801"/>
  <c r="P2802"/>
  <c r="T2802"/>
  <c r="U2802"/>
  <c r="V2802"/>
  <c r="W2802"/>
  <c r="Y2802"/>
  <c r="AA2802"/>
  <c r="AB2802"/>
  <c r="AC2802"/>
  <c r="AD2802"/>
  <c r="P2803"/>
  <c r="T2803"/>
  <c r="U2803"/>
  <c r="V2803"/>
  <c r="W2803"/>
  <c r="Y2803"/>
  <c r="AA2803"/>
  <c r="AB2803"/>
  <c r="AC2803"/>
  <c r="AD2803"/>
  <c r="P2804"/>
  <c r="T2804"/>
  <c r="U2804"/>
  <c r="V2804"/>
  <c r="W2804"/>
  <c r="Y2804"/>
  <c r="AA2804"/>
  <c r="AB2804"/>
  <c r="AC2804"/>
  <c r="AD2804"/>
  <c r="P2805"/>
  <c r="T2805"/>
  <c r="U2805"/>
  <c r="V2805"/>
  <c r="W2805"/>
  <c r="Y2805"/>
  <c r="AA2805"/>
  <c r="AB2805"/>
  <c r="AC2805"/>
  <c r="AD2805"/>
  <c r="P2806"/>
  <c r="T2806"/>
  <c r="U2806"/>
  <c r="V2806"/>
  <c r="W2806"/>
  <c r="Y2806"/>
  <c r="AA2806"/>
  <c r="AB2806"/>
  <c r="AC2806"/>
  <c r="AD2806"/>
  <c r="P2807"/>
  <c r="T2807"/>
  <c r="U2807"/>
  <c r="V2807"/>
  <c r="W2807"/>
  <c r="Y2807"/>
  <c r="AA2807"/>
  <c r="AB2807"/>
  <c r="AC2807"/>
  <c r="AD2807"/>
  <c r="P2808"/>
  <c r="T2808"/>
  <c r="U2808"/>
  <c r="V2808"/>
  <c r="W2808"/>
  <c r="Y2808"/>
  <c r="AA2808"/>
  <c r="AB2808"/>
  <c r="AC2808"/>
  <c r="AD2808"/>
  <c r="P2809"/>
  <c r="T2809"/>
  <c r="U2809"/>
  <c r="V2809"/>
  <c r="W2809"/>
  <c r="Y2809"/>
  <c r="AA2809"/>
  <c r="AB2809"/>
  <c r="AC2809"/>
  <c r="AD2809"/>
  <c r="P2810"/>
  <c r="T2810"/>
  <c r="U2810"/>
  <c r="V2810"/>
  <c r="W2810"/>
  <c r="Y2810"/>
  <c r="AA2810"/>
  <c r="AB2810"/>
  <c r="AC2810"/>
  <c r="AD2810"/>
  <c r="P2811"/>
  <c r="T2811"/>
  <c r="U2811"/>
  <c r="V2811"/>
  <c r="W2811"/>
  <c r="Y2811"/>
  <c r="AA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A2816"/>
  <c r="AB2816"/>
  <c r="AC2816"/>
  <c r="AD2816"/>
  <c r="P2817"/>
  <c r="T2817"/>
  <c r="U2817"/>
  <c r="V2817"/>
  <c r="W2817"/>
  <c r="Y2817"/>
  <c r="AA2817"/>
  <c r="AB2817"/>
  <c r="AC2817"/>
  <c r="AD2817"/>
  <c r="P2818"/>
  <c r="T2818"/>
  <c r="U2818"/>
  <c r="V2818"/>
  <c r="W2818"/>
  <c r="Y2818"/>
  <c r="AA2818"/>
  <c r="AB2818"/>
  <c r="AC2818"/>
  <c r="AD2818"/>
  <c r="P2819"/>
  <c r="T2819"/>
  <c r="U2819"/>
  <c r="V2819"/>
  <c r="W2819"/>
  <c r="Y2819"/>
  <c r="AA2819"/>
  <c r="AB2819"/>
  <c r="AC2819"/>
  <c r="AD2819"/>
  <c r="P2820"/>
  <c r="T2820"/>
  <c r="U2820"/>
  <c r="V2820"/>
  <c r="W2820"/>
  <c r="Y2820"/>
  <c r="AA2820"/>
  <c r="AB2820"/>
  <c r="AC2820"/>
  <c r="AD2820"/>
  <c r="P2821"/>
  <c r="T2821"/>
  <c r="U2821"/>
  <c r="V2821"/>
  <c r="W2821"/>
  <c r="Y2821"/>
  <c r="AA2821"/>
  <c r="AB2821"/>
  <c r="AC2821"/>
  <c r="AD2821"/>
  <c r="P2822"/>
  <c r="T2822"/>
  <c r="U2822"/>
  <c r="V2822"/>
  <c r="W2822"/>
  <c r="Y2822"/>
  <c r="AA2822"/>
  <c r="AB2822"/>
  <c r="AC2822"/>
  <c r="AD2822"/>
  <c r="P2823"/>
  <c r="T2823"/>
  <c r="U2823"/>
  <c r="V2823"/>
  <c r="W2823"/>
  <c r="Y2823"/>
  <c r="AA2823"/>
  <c r="AB2823"/>
  <c r="AC2823"/>
  <c r="AD2823"/>
  <c r="P2824"/>
  <c r="T2824"/>
  <c r="U2824"/>
  <c r="V2824"/>
  <c r="W2824"/>
  <c r="Y2824"/>
  <c r="AA2824"/>
  <c r="AB2824"/>
  <c r="AC2824"/>
  <c r="AD2824"/>
  <c r="P2825"/>
  <c r="T2825"/>
  <c r="U2825"/>
  <c r="V2825"/>
  <c r="W2825"/>
  <c r="Y2825"/>
  <c r="AA2825"/>
  <c r="AB2825"/>
  <c r="AC2825"/>
  <c r="AD2825"/>
  <c r="P2826"/>
  <c r="T2826"/>
  <c r="U2826"/>
  <c r="V2826"/>
  <c r="W2826"/>
  <c r="Y2826"/>
  <c r="AA2826"/>
  <c r="AB2826"/>
  <c r="AC2826"/>
  <c r="AD2826"/>
  <c r="P2827"/>
  <c r="T2827"/>
  <c r="U2827"/>
  <c r="V2827"/>
  <c r="W2827"/>
  <c r="Y2827"/>
  <c r="AA2827"/>
  <c r="AB2827"/>
  <c r="AC2827"/>
  <c r="AD2827"/>
  <c r="P2828"/>
  <c r="T2828"/>
  <c r="U2828"/>
  <c r="V2828"/>
  <c r="W2828"/>
  <c r="Y2828"/>
  <c r="AA2828"/>
  <c r="AB2828"/>
  <c r="AC2828"/>
  <c r="AD2828"/>
  <c r="P2829"/>
  <c r="T2829"/>
  <c r="U2829"/>
  <c r="V2829"/>
  <c r="W2829"/>
  <c r="Y2829"/>
  <c r="AA2829"/>
  <c r="AB2829"/>
  <c r="AC2829"/>
  <c r="AD2829"/>
  <c r="P2830"/>
  <c r="T2830"/>
  <c r="U2830"/>
  <c r="V2830"/>
  <c r="W2830"/>
  <c r="Y2830"/>
  <c r="AA2830"/>
  <c r="AB2830"/>
  <c r="AC2830"/>
  <c r="AD2830"/>
  <c r="P2831"/>
  <c r="T2831"/>
  <c r="U2831"/>
  <c r="V2831"/>
  <c r="W2831"/>
  <c r="Y2831"/>
  <c r="AA2831"/>
  <c r="AB2831"/>
  <c r="AC2831"/>
  <c r="AD2831"/>
  <c r="P2832"/>
  <c r="T2832"/>
  <c r="U2832"/>
  <c r="V2832"/>
  <c r="W2832"/>
  <c r="Y2832"/>
  <c r="AA2832"/>
  <c r="AB2832"/>
  <c r="AC2832"/>
  <c r="AD2832"/>
  <c r="P2833"/>
  <c r="T2833"/>
  <c r="U2833"/>
  <c r="V2833"/>
  <c r="W2833"/>
  <c r="Y2833"/>
  <c r="AA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A2837"/>
  <c r="AB2837"/>
  <c r="AC2837"/>
  <c r="AD2837"/>
  <c r="P2838"/>
  <c r="T2838"/>
  <c r="U2838"/>
  <c r="V2838"/>
  <c r="W2838"/>
  <c r="Y2838"/>
  <c r="AA2838"/>
  <c r="AB2838"/>
  <c r="AC2838"/>
  <c r="AD2838"/>
  <c r="P2839"/>
  <c r="T2839"/>
  <c r="U2839"/>
  <c r="V2839"/>
  <c r="W2839"/>
  <c r="Y2839"/>
  <c r="AA2839"/>
  <c r="AB2839"/>
  <c r="AC2839"/>
  <c r="AD2839"/>
  <c r="P2840"/>
  <c r="T2840"/>
  <c r="U2840"/>
  <c r="V2840"/>
  <c r="W2840"/>
  <c r="Y2840"/>
  <c r="AA2840"/>
  <c r="AB2840"/>
  <c r="AC2840"/>
  <c r="AD2840"/>
  <c r="P2841"/>
  <c r="T2841"/>
  <c r="U2841"/>
  <c r="V2841"/>
  <c r="W2841"/>
  <c r="Y2841"/>
  <c r="AA2841"/>
  <c r="AB2841"/>
  <c r="AC2841"/>
  <c r="AD2841"/>
  <c r="P2842"/>
  <c r="T2842"/>
  <c r="U2842"/>
  <c r="V2842"/>
  <c r="W2842"/>
  <c r="Y2842"/>
  <c r="AA2842"/>
  <c r="AB2842"/>
  <c r="AC2842"/>
  <c r="AD2842"/>
  <c r="P2843"/>
  <c r="T2843"/>
  <c r="U2843"/>
  <c r="V2843"/>
  <c r="W2843"/>
  <c r="Y2843"/>
  <c r="AA2843"/>
  <c r="AB2843"/>
  <c r="AC2843"/>
  <c r="AD2843"/>
  <c r="P2844"/>
  <c r="T2844"/>
  <c r="U2844"/>
  <c r="V2844"/>
  <c r="W2844"/>
  <c r="Y2844"/>
  <c r="AA2844"/>
  <c r="AB2844"/>
  <c r="AC2844"/>
  <c r="AD2844"/>
  <c r="P2845"/>
  <c r="T2845"/>
  <c r="U2845"/>
  <c r="V2845"/>
  <c r="W2845"/>
  <c r="Y2845"/>
  <c r="AA2845"/>
  <c r="AB2845"/>
  <c r="AC2845"/>
  <c r="AD2845"/>
  <c r="P2846"/>
  <c r="T2846"/>
  <c r="U2846"/>
  <c r="V2846"/>
  <c r="W2846"/>
  <c r="Y2846"/>
  <c r="AA2846"/>
  <c r="AB2846"/>
  <c r="AC2846"/>
  <c r="AD2846"/>
  <c r="P2847"/>
  <c r="T2847"/>
  <c r="U2847"/>
  <c r="V2847"/>
  <c r="W2847"/>
  <c r="Y2847"/>
  <c r="AA2847"/>
  <c r="AB2847"/>
  <c r="AC2847"/>
  <c r="AD2847"/>
  <c r="P2848"/>
  <c r="T2848"/>
  <c r="U2848"/>
  <c r="V2848"/>
  <c r="W2848"/>
  <c r="Y2848"/>
  <c r="AA2848"/>
  <c r="AB2848"/>
  <c r="AC2848"/>
  <c r="AD2848"/>
  <c r="P2849"/>
  <c r="T2849"/>
  <c r="U2849"/>
  <c r="V2849"/>
  <c r="W2849"/>
  <c r="Y2849"/>
  <c r="AA2849"/>
  <c r="AB2849"/>
  <c r="AC2849"/>
  <c r="AD2849"/>
  <c r="P2850"/>
  <c r="T2850"/>
  <c r="U2850"/>
  <c r="V2850"/>
  <c r="W2850"/>
  <c r="Y2850"/>
  <c r="AA2850"/>
  <c r="AB2850"/>
  <c r="AC2850"/>
  <c r="AD2850"/>
  <c r="P2851"/>
  <c r="T2851"/>
  <c r="U2851"/>
  <c r="V2851"/>
  <c r="W2851"/>
  <c r="Y2851"/>
  <c r="AA2851"/>
  <c r="AB2851"/>
  <c r="AC2851"/>
  <c r="AD2851"/>
  <c r="P2852"/>
  <c r="T2852"/>
  <c r="U2852"/>
  <c r="V2852"/>
  <c r="W2852"/>
  <c r="Y2852"/>
  <c r="AA2852"/>
  <c r="AB2852"/>
  <c r="AC2852"/>
  <c r="AD2852"/>
  <c r="P2853"/>
  <c r="T2853"/>
  <c r="U2853"/>
  <c r="V2853"/>
  <c r="W2853"/>
  <c r="Y2853"/>
  <c r="AA2853"/>
  <c r="AB2853"/>
  <c r="AC2853"/>
  <c r="AD2853"/>
  <c r="P2854"/>
  <c r="T2854"/>
  <c r="U2854"/>
  <c r="V2854"/>
  <c r="W2854"/>
  <c r="Y2854"/>
  <c r="AA2854"/>
  <c r="AB2854"/>
  <c r="AC2854"/>
  <c r="AD2854"/>
  <c r="P2855"/>
  <c r="T2855"/>
  <c r="U2855"/>
  <c r="V2855"/>
  <c r="W2855"/>
  <c r="Y2855"/>
  <c r="AA2855"/>
  <c r="AB2855"/>
  <c r="AC2855"/>
  <c r="AD2855"/>
  <c r="P2856"/>
  <c r="T2856"/>
  <c r="U2856"/>
  <c r="V2856"/>
  <c r="W2856"/>
  <c r="Y2856"/>
  <c r="AA2856"/>
  <c r="AB2856"/>
  <c r="AC2856"/>
  <c r="AD2856"/>
  <c r="P2857"/>
  <c r="T2857"/>
  <c r="U2857"/>
  <c r="V2857"/>
  <c r="W2857"/>
  <c r="Y2857"/>
  <c r="AA2857"/>
  <c r="AB2857"/>
  <c r="AC2857"/>
  <c r="AD2857"/>
  <c r="P2858"/>
  <c r="T2858"/>
  <c r="U2858"/>
  <c r="V2858"/>
  <c r="W2858"/>
  <c r="Y2858"/>
  <c r="AA2858"/>
  <c r="AB2858"/>
  <c r="AC2858"/>
  <c r="AD2858"/>
  <c r="P2859"/>
  <c r="T2859"/>
  <c r="U2859"/>
  <c r="V2859"/>
  <c r="W2859"/>
  <c r="Y2859"/>
  <c r="AA2859"/>
  <c r="AB2859"/>
  <c r="AC2859"/>
  <c r="AD2859"/>
  <c r="P2860"/>
  <c r="T2860"/>
  <c r="U2860"/>
  <c r="V2860"/>
  <c r="W2860"/>
  <c r="Y2860"/>
  <c r="AA2860"/>
  <c r="AB2860"/>
  <c r="AC2860"/>
  <c r="AD2860"/>
  <c r="P2861"/>
  <c r="T2861"/>
  <c r="U2861"/>
  <c r="V2861"/>
  <c r="W2861"/>
  <c r="Y2861"/>
  <c r="AA2861"/>
  <c r="AB2861"/>
  <c r="AC2861"/>
  <c r="AD2861"/>
  <c r="P2862"/>
  <c r="T2862"/>
  <c r="U2862"/>
  <c r="V2862"/>
  <c r="W2862"/>
  <c r="Y2862"/>
  <c r="AA2862"/>
  <c r="AB2862"/>
  <c r="AC2862"/>
  <c r="AD2862"/>
  <c r="P2863"/>
  <c r="T2863"/>
  <c r="U2863"/>
  <c r="V2863"/>
  <c r="W2863"/>
  <c r="Y2863"/>
  <c r="AA2863"/>
  <c r="AB2863"/>
  <c r="AC2863"/>
  <c r="AD2863"/>
  <c r="P2864"/>
  <c r="T2864"/>
  <c r="U2864"/>
  <c r="V2864"/>
  <c r="W2864"/>
  <c r="Y2864"/>
  <c r="AA2864"/>
  <c r="AB2864"/>
  <c r="AC2864"/>
  <c r="AD2864"/>
  <c r="P2865"/>
  <c r="T2865"/>
  <c r="U2865"/>
  <c r="V2865"/>
  <c r="W2865"/>
  <c r="Y2865"/>
  <c r="AA2865"/>
  <c r="AB2865"/>
  <c r="AC2865"/>
  <c r="AD2865"/>
  <c r="P2866"/>
  <c r="T2866"/>
  <c r="U2866"/>
  <c r="V2866"/>
  <c r="W2866"/>
  <c r="Y2866"/>
  <c r="AA2866"/>
  <c r="AB2866"/>
  <c r="AC2866"/>
  <c r="AD2866"/>
  <c r="P2867"/>
  <c r="W2867"/>
  <c r="Y2867"/>
  <c r="AB2867"/>
  <c r="AC2867"/>
  <c r="AD2867"/>
  <c r="P2868"/>
  <c r="W2868"/>
  <c r="Y2868"/>
  <c r="AB2868"/>
  <c r="AC2868"/>
  <c r="AD2868"/>
  <c r="P2869"/>
  <c r="W2869"/>
  <c r="Y2869"/>
  <c r="AB2869"/>
  <c r="AC2869"/>
  <c r="AD2869"/>
  <c r="P2870"/>
  <c r="W2870"/>
  <c r="Y2870"/>
  <c r="AA2870"/>
  <c r="AB2870"/>
  <c r="AC2870"/>
  <c r="AD2870"/>
  <c r="P2871"/>
  <c r="W2871"/>
  <c r="Y2871"/>
  <c r="AA2871"/>
  <c r="AB2871"/>
  <c r="AC2871"/>
  <c r="AD2871"/>
  <c r="P2872"/>
  <c r="W2872"/>
  <c r="Y2872"/>
  <c r="AA2872"/>
  <c r="AB2872"/>
  <c r="AC2872"/>
  <c r="AD2872"/>
  <c r="P2873"/>
  <c r="W2873"/>
  <c r="Y2873"/>
  <c r="AA2873"/>
  <c r="AB2873"/>
  <c r="AC2873"/>
  <c r="AD2873"/>
  <c r="P2874"/>
  <c r="W2874"/>
  <c r="Y2874"/>
  <c r="AA2874"/>
  <c r="AB2874"/>
  <c r="AC2874"/>
  <c r="AD2874"/>
  <c r="P2875"/>
  <c r="W2875"/>
  <c r="Y2875"/>
  <c r="AA2875"/>
  <c r="AB2875"/>
  <c r="AC2875"/>
  <c r="AD2875"/>
  <c r="P2876"/>
  <c r="W2876"/>
  <c r="Y2876"/>
  <c r="AA2876"/>
  <c r="AB2876"/>
  <c r="AC2876"/>
  <c r="AD2876"/>
  <c r="P2877"/>
  <c r="W2877"/>
  <c r="Y2877"/>
  <c r="AA2877"/>
  <c r="AB2877"/>
  <c r="AC2877"/>
  <c r="AD2877"/>
  <c r="P2878"/>
  <c r="W2878"/>
  <c r="Y2878"/>
  <c r="AA2878"/>
  <c r="AB2878"/>
  <c r="AC2878"/>
  <c r="AD2878"/>
  <c r="P2879"/>
  <c r="W2879"/>
  <c r="Y2879"/>
  <c r="AB2879"/>
  <c r="AC2879"/>
  <c r="AD2879"/>
  <c r="P2880"/>
  <c r="W2880"/>
  <c r="Y2880"/>
  <c r="AB2880"/>
  <c r="AC2880"/>
  <c r="AD2880"/>
  <c r="P2881"/>
  <c r="W2881"/>
  <c r="Y2881"/>
  <c r="AB2881"/>
  <c r="AC2881"/>
  <c r="AD2881"/>
  <c r="P2882"/>
  <c r="W2882"/>
  <c r="Y2882"/>
  <c r="AB2882"/>
  <c r="AC2882"/>
  <c r="AD2882"/>
  <c r="P2883"/>
  <c r="W2883"/>
  <c r="Y2883"/>
  <c r="AB2883"/>
  <c r="AC2883"/>
  <c r="AD2883"/>
  <c r="P2884"/>
  <c r="W2884"/>
  <c r="Y2884"/>
  <c r="AB2884"/>
  <c r="AC2884"/>
  <c r="AD2884"/>
  <c r="P2885"/>
  <c r="W2885"/>
  <c r="Y2885"/>
  <c r="AB2885"/>
  <c r="AC2885"/>
  <c r="AD2885"/>
  <c r="P2886"/>
  <c r="W2886"/>
  <c r="Y2886"/>
  <c r="AB2886"/>
  <c r="AC2886"/>
  <c r="AD2886"/>
  <c r="P2887"/>
  <c r="W2887"/>
  <c r="Y2887"/>
  <c r="AB2887"/>
  <c r="AC2887"/>
  <c r="AD2887"/>
  <c r="P2888"/>
  <c r="W2888"/>
  <c r="Y2888"/>
  <c r="AB2888"/>
  <c r="AC2888"/>
  <c r="AD2888"/>
  <c r="P2889"/>
  <c r="W2889"/>
  <c r="Y2889"/>
  <c r="AB2889"/>
  <c r="AC2889"/>
  <c r="AD2889"/>
  <c r="P2890"/>
  <c r="W2890"/>
  <c r="Y2890"/>
  <c r="AB2890"/>
  <c r="AC2890"/>
  <c r="AD2890"/>
  <c r="P2891"/>
  <c r="W2891"/>
  <c r="Y2891"/>
  <c r="AB2891"/>
  <c r="AC2891"/>
  <c r="AD2891"/>
  <c r="P2892"/>
  <c r="W2892"/>
  <c r="Y2892"/>
  <c r="AB2892"/>
  <c r="AC2892"/>
  <c r="AD2892"/>
  <c r="P2893"/>
  <c r="W2893"/>
  <c r="Y2893"/>
  <c r="AB2893"/>
  <c r="AC2893"/>
  <c r="AD2893"/>
  <c r="P2894"/>
  <c r="W2894"/>
  <c r="Y2894"/>
  <c r="AB2894"/>
  <c r="AC2894"/>
  <c r="AD2894"/>
  <c r="P2895"/>
  <c r="W2895"/>
  <c r="Y2895"/>
  <c r="AB2895"/>
  <c r="AC2895"/>
  <c r="AD2895"/>
  <c r="P2896"/>
  <c r="W2896"/>
  <c r="Y2896"/>
  <c r="AA2896"/>
  <c r="AB2896"/>
  <c r="AC2896"/>
  <c r="AD2896"/>
  <c r="P2897"/>
  <c r="W2897"/>
  <c r="Y2897"/>
  <c r="AB2897"/>
  <c r="AC2897"/>
  <c r="AD2897"/>
  <c r="P2898"/>
  <c r="W2898"/>
  <c r="Y2898"/>
  <c r="AB2898"/>
  <c r="AC2898"/>
  <c r="AD2898"/>
  <c r="P2899"/>
  <c r="W2899"/>
  <c r="Y2899"/>
  <c r="AB2899"/>
  <c r="AC2899"/>
  <c r="AD2899"/>
  <c r="P2900"/>
  <c r="W2900"/>
  <c r="Y2900"/>
  <c r="AB2900"/>
  <c r="AC2900"/>
  <c r="AD2900"/>
  <c r="P2901"/>
  <c r="W2901"/>
  <c r="Y2901"/>
  <c r="AB2901"/>
  <c r="AC2901"/>
  <c r="AD2901"/>
  <c r="P2902"/>
  <c r="W2902"/>
  <c r="Y2902"/>
  <c r="AB2902"/>
  <c r="AC2902"/>
  <c r="AD2902"/>
  <c r="P2903"/>
  <c r="W2903"/>
  <c r="Y2903"/>
  <c r="AB2903"/>
  <c r="AC2903"/>
  <c r="AD2903"/>
  <c r="P2904"/>
  <c r="W2904"/>
  <c r="Y2904"/>
  <c r="AB2904"/>
  <c r="AC2904"/>
  <c r="AD2904"/>
  <c r="P2905"/>
  <c r="W2905"/>
  <c r="Y2905"/>
  <c r="AB2905"/>
  <c r="AC2905"/>
  <c r="AD2905"/>
  <c r="P2906"/>
  <c r="W2906"/>
  <c r="Y2906"/>
  <c r="AB2906"/>
  <c r="AC2906"/>
  <c r="AD2906"/>
  <c r="P2907"/>
  <c r="W2907"/>
  <c r="Y2907"/>
  <c r="AB2907"/>
  <c r="AC2907"/>
  <c r="AD2907"/>
  <c r="P2908"/>
  <c r="W2908"/>
  <c r="Y2908"/>
  <c r="AB2908"/>
  <c r="AC2908"/>
  <c r="AD2908"/>
  <c r="P2909"/>
  <c r="W2909"/>
  <c r="Y2909"/>
  <c r="AB2909"/>
  <c r="AC2909"/>
  <c r="AD2909"/>
  <c r="P2910"/>
  <c r="W2910"/>
  <c r="Y2910"/>
  <c r="AB2910"/>
  <c r="AC2910"/>
  <c r="AD2910"/>
  <c r="P2911"/>
  <c r="W2911"/>
  <c r="Y2911"/>
  <c r="AB2911"/>
  <c r="AC2911"/>
  <c r="AD2911"/>
  <c r="P2912"/>
  <c r="W2912"/>
  <c r="Y2912"/>
  <c r="AB2912"/>
  <c r="AC2912"/>
  <c r="AD2912"/>
  <c r="P2913"/>
  <c r="W2913"/>
  <c r="Y2913"/>
  <c r="AB2913"/>
  <c r="AC2913"/>
  <c r="AD2913"/>
  <c r="P2914"/>
  <c r="W2914"/>
  <c r="Y2914"/>
  <c r="AB2914"/>
  <c r="AC2914"/>
  <c r="AD2914"/>
  <c r="P2915"/>
  <c r="W2915"/>
  <c r="Y2915"/>
  <c r="AB2915"/>
  <c r="AC2915"/>
  <c r="AD2915"/>
  <c r="P2916"/>
  <c r="W2916"/>
  <c r="Y2916"/>
  <c r="AB2916"/>
  <c r="AC2916"/>
  <c r="AD2916"/>
  <c r="P2917"/>
  <c r="W2917"/>
  <c r="Y2917"/>
  <c r="AB2917"/>
  <c r="AC2917"/>
  <c r="AD2917"/>
  <c r="P2918"/>
  <c r="W2918"/>
  <c r="Y2918"/>
  <c r="AB2918"/>
  <c r="AC2918"/>
  <c r="AD2918"/>
  <c r="P2927"/>
  <c r="W2927"/>
  <c r="Y2927"/>
  <c r="AB2927"/>
  <c r="AC2927"/>
  <c r="AD2927"/>
  <c r="P2928"/>
  <c r="T2928"/>
  <c r="U2928"/>
  <c r="V2928"/>
  <c r="W2928"/>
  <c r="Y2928"/>
  <c r="AB2928"/>
  <c r="AC2928"/>
  <c r="AD2928"/>
  <c r="P2929"/>
  <c r="T2929"/>
  <c r="U2929"/>
  <c r="V2929"/>
  <c r="W2929"/>
  <c r="Y2929"/>
  <c r="AB2929"/>
  <c r="AC2929"/>
  <c r="AD2929"/>
  <c r="P2930"/>
  <c r="T2930"/>
  <c r="U2930"/>
  <c r="V2930"/>
  <c r="W2930"/>
  <c r="Y2930"/>
  <c r="AB2930"/>
  <c r="AC2930"/>
  <c r="AD2930"/>
  <c r="P2931"/>
  <c r="W2931"/>
  <c r="Y2931"/>
  <c r="AB2931"/>
  <c r="AC2931"/>
  <c r="AD2931"/>
  <c r="P2932"/>
  <c r="T2932"/>
  <c r="U2932"/>
  <c r="V2932"/>
  <c r="W2932"/>
  <c r="Y2932"/>
  <c r="AB2932"/>
  <c r="AC2932"/>
  <c r="AD2932"/>
  <c r="P2933"/>
  <c r="T2933"/>
  <c r="U2933"/>
  <c r="V2933"/>
  <c r="W2933"/>
  <c r="Y2933"/>
  <c r="AB2933"/>
  <c r="AC2933"/>
  <c r="AD2933"/>
  <c r="P2934"/>
  <c r="T2934"/>
  <c r="U2934"/>
  <c r="V2934"/>
  <c r="W2934"/>
  <c r="Y2934"/>
  <c r="AB2934"/>
  <c r="AC2934"/>
  <c r="AD2934"/>
  <c r="P2935"/>
  <c r="T2935"/>
  <c r="U2935"/>
  <c r="V2935"/>
  <c r="W2935"/>
  <c r="Y2935"/>
  <c r="AB2935"/>
  <c r="AC2935"/>
  <c r="AD2935"/>
  <c r="P2936"/>
  <c r="T2936"/>
  <c r="U2936"/>
  <c r="V2936"/>
  <c r="W2936"/>
  <c r="Y2936"/>
  <c r="AB2936"/>
  <c r="AC2936"/>
  <c r="AD2936"/>
  <c r="P2937"/>
  <c r="T2937"/>
  <c r="U2937"/>
  <c r="V2937"/>
  <c r="W2937"/>
  <c r="Y2937"/>
  <c r="AB2937"/>
  <c r="AC2937"/>
  <c r="AD2937"/>
  <c r="P2938"/>
  <c r="T2938"/>
  <c r="U2938"/>
  <c r="V2938"/>
  <c r="W2938"/>
  <c r="Y2938"/>
  <c r="AB2938"/>
  <c r="AC2938"/>
  <c r="AD2938"/>
  <c r="P2939"/>
  <c r="T2939"/>
  <c r="U2939"/>
  <c r="V2939"/>
  <c r="W2939"/>
  <c r="Y2939"/>
  <c r="AB2939"/>
  <c r="AC2939"/>
  <c r="AD2939"/>
  <c r="P2940"/>
  <c r="W2940"/>
  <c r="Y2940"/>
  <c r="AB2940"/>
  <c r="AC2940"/>
  <c r="AD2940"/>
  <c r="P2941"/>
  <c r="T2941"/>
  <c r="U2941"/>
  <c r="V2941"/>
  <c r="W2941"/>
  <c r="Y2941"/>
  <c r="AB2941"/>
  <c r="AC2941"/>
  <c r="AD2941"/>
  <c r="P2942"/>
  <c r="T2942"/>
  <c r="U2942"/>
  <c r="V2942"/>
  <c r="W2942"/>
  <c r="Y2942"/>
  <c r="AB2942"/>
  <c r="AC2942"/>
  <c r="AD2942"/>
  <c r="P2943"/>
  <c r="T2943"/>
  <c r="U2943"/>
  <c r="V2943"/>
  <c r="W2943"/>
  <c r="Y2943"/>
  <c r="AB2943"/>
  <c r="AC2943"/>
  <c r="AD2943"/>
  <c r="P2944"/>
  <c r="T2944"/>
  <c r="U2944"/>
  <c r="V2944"/>
  <c r="W2944"/>
  <c r="Y2944"/>
  <c r="AB2944"/>
  <c r="AC2944"/>
  <c r="AD2944"/>
  <c r="P2945"/>
  <c r="T2945"/>
  <c r="U2945"/>
  <c r="V2945"/>
  <c r="W2945"/>
  <c r="Y2945"/>
  <c r="AB2945"/>
  <c r="AC2945"/>
  <c r="AD2945"/>
  <c r="P2946"/>
  <c r="T2946"/>
  <c r="U2946"/>
  <c r="V2946"/>
  <c r="W2946"/>
  <c r="Y2946"/>
  <c r="AB2946"/>
  <c r="AC2946"/>
  <c r="AD2946"/>
  <c r="P2947"/>
  <c r="T2947"/>
  <c r="U2947"/>
  <c r="V2947"/>
  <c r="W2947"/>
  <c r="Y2947"/>
  <c r="AB2947"/>
  <c r="AC2947"/>
  <c r="AD2947"/>
  <c r="P2948"/>
  <c r="T2948"/>
  <c r="U2948"/>
  <c r="V2948"/>
  <c r="W2948"/>
  <c r="Y2948"/>
  <c r="AB2948"/>
  <c r="AC2948"/>
  <c r="AD2948"/>
  <c r="P2949"/>
  <c r="T2949"/>
  <c r="U2949"/>
  <c r="V2949"/>
  <c r="W2949"/>
  <c r="Y2949"/>
  <c r="AB2949"/>
  <c r="AC2949"/>
  <c r="AD2949"/>
  <c r="P2950"/>
  <c r="T2950"/>
  <c r="U2950"/>
  <c r="V2950"/>
  <c r="W2950"/>
  <c r="Y2950"/>
  <c r="AB2950"/>
  <c r="AC2950"/>
  <c r="AD2950"/>
  <c r="P2951"/>
  <c r="W2951"/>
  <c r="Y2951"/>
  <c r="AB2951"/>
  <c r="AC2951"/>
  <c r="AD2951"/>
  <c r="P2952"/>
  <c r="T2952"/>
  <c r="U2952"/>
  <c r="V2952"/>
  <c r="W2952"/>
  <c r="Y2952"/>
  <c r="AB2952"/>
  <c r="AC2952"/>
  <c r="AD2952"/>
  <c r="P2953"/>
  <c r="T2953"/>
  <c r="U2953"/>
  <c r="V2953"/>
  <c r="W2953"/>
  <c r="Y2953"/>
  <c r="AB2953"/>
  <c r="AC2953"/>
  <c r="AD2953"/>
  <c r="P2954"/>
  <c r="T2954"/>
  <c r="U2954"/>
  <c r="V2954"/>
  <c r="W2954"/>
  <c r="Y2954"/>
  <c r="AB2954"/>
  <c r="AC2954"/>
  <c r="AD2954"/>
  <c r="P2955"/>
  <c r="T2955"/>
  <c r="U2955"/>
  <c r="V2955"/>
  <c r="W2955"/>
  <c r="Y2955"/>
  <c r="AB2955"/>
  <c r="AC2955"/>
  <c r="AD2955"/>
  <c r="P2956"/>
  <c r="T2956"/>
  <c r="U2956"/>
  <c r="V2956"/>
  <c r="W2956"/>
  <c r="Y2956"/>
  <c r="AB2956"/>
  <c r="AC2956"/>
  <c r="AD2956"/>
  <c r="P2957"/>
  <c r="T2957"/>
  <c r="U2957"/>
  <c r="V2957"/>
  <c r="W2957"/>
  <c r="Y2957"/>
  <c r="AB2957"/>
  <c r="AC2957"/>
  <c r="AD2957"/>
  <c r="P2958"/>
  <c r="T2958"/>
  <c r="U2958"/>
  <c r="V2958"/>
  <c r="W2958"/>
  <c r="Y2958"/>
  <c r="AB2958"/>
  <c r="AC2958"/>
  <c r="AD2958"/>
  <c r="P2959"/>
  <c r="T2959"/>
  <c r="U2959"/>
  <c r="V2959"/>
  <c r="W2959"/>
  <c r="Y2959"/>
  <c r="AB2959"/>
  <c r="AC2959"/>
  <c r="AD2959"/>
  <c r="P2960"/>
  <c r="T2960"/>
  <c r="U2960"/>
  <c r="V2960"/>
  <c r="W2960"/>
  <c r="Y2960"/>
  <c r="AB2960"/>
  <c r="AC2960"/>
  <c r="AD2960"/>
  <c r="P2961"/>
  <c r="W2961"/>
  <c r="Y2961"/>
  <c r="AB2961"/>
  <c r="AC2961"/>
  <c r="AD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AD2966"/>
  <c r="P2967"/>
  <c r="T2967"/>
  <c r="U2967"/>
  <c r="V2967"/>
  <c r="W2967"/>
  <c r="Y2967"/>
  <c r="AB2967"/>
  <c r="AC2967"/>
  <c r="AD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AD2974"/>
  <c r="P2975"/>
  <c r="T2975"/>
  <c r="U2975"/>
  <c r="V2975"/>
  <c r="W2975"/>
  <c r="Y2975"/>
  <c r="AB2975"/>
  <c r="AC2975"/>
  <c r="AD2975"/>
  <c r="P2976"/>
  <c r="T2976"/>
  <c r="U2976"/>
  <c r="V2976"/>
  <c r="W2976"/>
  <c r="Y2976"/>
  <c r="AB2976"/>
  <c r="AC2976"/>
  <c r="AD2976"/>
  <c r="P2977"/>
  <c r="T2977"/>
  <c r="U2977"/>
  <c r="V2977"/>
  <c r="W2977"/>
  <c r="Y2977"/>
  <c r="AB2977"/>
  <c r="AC2977"/>
  <c r="AD2977"/>
  <c r="P2978"/>
  <c r="T2978"/>
  <c r="U2978"/>
  <c r="V2978"/>
  <c r="W2978"/>
  <c r="Y2978"/>
  <c r="AB2978"/>
  <c r="AC2978"/>
  <c r="AD2978"/>
  <c r="P2979"/>
  <c r="T2979"/>
  <c r="U2979"/>
  <c r="V2979"/>
  <c r="W2979"/>
  <c r="Y2979"/>
  <c r="AB2979"/>
  <c r="AC2979"/>
  <c r="AD2979"/>
  <c r="P2980"/>
  <c r="T2980"/>
  <c r="U2980"/>
  <c r="V2980"/>
  <c r="W2980"/>
  <c r="Y2980"/>
  <c r="AB2980"/>
  <c r="AC2980"/>
  <c r="AD2980"/>
  <c r="P2981"/>
  <c r="T2981"/>
  <c r="U2981"/>
  <c r="V2981"/>
  <c r="W2981"/>
  <c r="Y2981"/>
  <c r="AB2981"/>
  <c r="AC2981"/>
  <c r="AD2981"/>
  <c r="P2982"/>
  <c r="T2982"/>
  <c r="U2982"/>
  <c r="V2982"/>
  <c r="W2982"/>
  <c r="Y2982"/>
  <c r="AB2982"/>
  <c r="AC2982"/>
  <c r="AD2982"/>
  <c r="P2983"/>
  <c r="T2983"/>
  <c r="U2983"/>
  <c r="V2983"/>
  <c r="W2983"/>
  <c r="Y2983"/>
  <c r="AB2983"/>
  <c r="AC2983"/>
  <c r="AD2983"/>
  <c r="P2984"/>
  <c r="T2984"/>
  <c r="U2984"/>
  <c r="V2984"/>
  <c r="W2984"/>
  <c r="Y2984"/>
  <c r="AB2984"/>
  <c r="AC2984"/>
  <c r="AD2984"/>
  <c r="P2985"/>
  <c r="T2985"/>
  <c r="U2985"/>
  <c r="V2985"/>
  <c r="W2985"/>
  <c r="Y2985"/>
  <c r="AB2985"/>
  <c r="AC2985"/>
  <c r="AD2985"/>
  <c r="P2986"/>
  <c r="T2986"/>
  <c r="U2986"/>
  <c r="V2986"/>
  <c r="W2986"/>
  <c r="Y2986"/>
  <c r="AB2986"/>
  <c r="AC2986"/>
  <c r="AD2986"/>
  <c r="P2987"/>
  <c r="T2987"/>
  <c r="U2987"/>
  <c r="V2987"/>
  <c r="W2987"/>
  <c r="Y2987"/>
  <c r="AB2987"/>
  <c r="AC2987"/>
  <c r="AD2987"/>
  <c r="P2988"/>
  <c r="T2988"/>
  <c r="U2988"/>
  <c r="V2988"/>
  <c r="W2988"/>
  <c r="Y2988"/>
  <c r="AB2988"/>
  <c r="AC2988"/>
  <c r="AD2988"/>
  <c r="P2989"/>
  <c r="T2989"/>
  <c r="U2989"/>
  <c r="V2989"/>
  <c r="W2989"/>
  <c r="Y2989"/>
  <c r="AB2989"/>
  <c r="AC2989"/>
  <c r="AD2989"/>
  <c r="P2990"/>
  <c r="T2990"/>
  <c r="U2990"/>
  <c r="V2990"/>
  <c r="W2990"/>
  <c r="Y2990"/>
  <c r="AB2990"/>
  <c r="AC2990"/>
  <c r="AD2990"/>
  <c r="P2991"/>
  <c r="T2991"/>
  <c r="U2991"/>
  <c r="V2991"/>
  <c r="W2991"/>
  <c r="Y2991"/>
  <c r="AB2991"/>
  <c r="AC2991"/>
  <c r="AD2991"/>
  <c r="P2992"/>
  <c r="T2992"/>
  <c r="U2992"/>
  <c r="V2992"/>
  <c r="W2992"/>
  <c r="Y2992"/>
  <c r="AB2992"/>
  <c r="AC2992"/>
  <c r="AD2992"/>
  <c r="P2993"/>
  <c r="T2993"/>
  <c r="U2993"/>
  <c r="V2993"/>
  <c r="W2993"/>
  <c r="Y2993"/>
  <c r="AB2993"/>
  <c r="AC2993"/>
  <c r="AD2993"/>
  <c r="P2994"/>
  <c r="T2994"/>
  <c r="U2994"/>
  <c r="V2994"/>
  <c r="W2994"/>
  <c r="Y2994"/>
  <c r="AB2994"/>
  <c r="AC2994"/>
  <c r="AD2994"/>
  <c r="P2995"/>
  <c r="T2995"/>
  <c r="U2995"/>
  <c r="V2995"/>
  <c r="W2995"/>
  <c r="Y2995"/>
  <c r="AB2995"/>
  <c r="AC2995"/>
  <c r="AD2995"/>
  <c r="P2996"/>
  <c r="T2996"/>
  <c r="U2996"/>
  <c r="V2996"/>
  <c r="W2996"/>
  <c r="Y2996"/>
  <c r="AB2996"/>
  <c r="AC2996"/>
  <c r="AD2996"/>
  <c r="P2997"/>
  <c r="T2997"/>
  <c r="U2997"/>
  <c r="V2997"/>
  <c r="W2997"/>
  <c r="Y2997"/>
  <c r="AB2997"/>
  <c r="AC2997"/>
  <c r="AD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T3005"/>
  <c r="U3005"/>
  <c r="V3005"/>
  <c r="W3005"/>
  <c r="Y3005"/>
  <c r="AB3005"/>
  <c r="AC3005"/>
  <c r="AD3005"/>
  <c r="P3006"/>
  <c r="T3006"/>
  <c r="U3006"/>
  <c r="V3006"/>
  <c r="W3006"/>
  <c r="Y3006"/>
  <c r="AB3006"/>
  <c r="AC3006"/>
  <c r="AD3006"/>
  <c r="P3007"/>
  <c r="T3007"/>
  <c r="U3007"/>
  <c r="V3007"/>
  <c r="W3007"/>
  <c r="Y3007"/>
  <c r="AB3007"/>
  <c r="AC3007"/>
  <c r="AD3007"/>
  <c r="P3008"/>
  <c r="T3008"/>
  <c r="U3008"/>
  <c r="V3008"/>
  <c r="W3008"/>
  <c r="Y3008"/>
  <c r="AB3008"/>
  <c r="AC3008"/>
  <c r="AD3008"/>
  <c r="P3009"/>
  <c r="T3009"/>
  <c r="U3009"/>
  <c r="V3009"/>
  <c r="W3009"/>
  <c r="Y3009"/>
  <c r="AB3009"/>
  <c r="AC3009"/>
  <c r="AD3009"/>
  <c r="P3010"/>
  <c r="T3010"/>
  <c r="U3010"/>
  <c r="V3010"/>
  <c r="W3010"/>
  <c r="Y3010"/>
  <c r="AB3010"/>
  <c r="AC3010"/>
  <c r="AD3010"/>
  <c r="P3011"/>
  <c r="T3011"/>
  <c r="U3011"/>
  <c r="V3011"/>
  <c r="W3011"/>
  <c r="Y3011"/>
  <c r="AB3011"/>
  <c r="AC3011"/>
  <c r="AD3011"/>
  <c r="P3012"/>
  <c r="T3012"/>
  <c r="U3012"/>
  <c r="V3012"/>
  <c r="W3012"/>
  <c r="Y3012"/>
  <c r="AB3012"/>
  <c r="AC3012"/>
  <c r="AD3012"/>
  <c r="P3013"/>
  <c r="T3013"/>
  <c r="U3013"/>
  <c r="V3013"/>
  <c r="W3013"/>
  <c r="Y3013"/>
  <c r="AB3013"/>
  <c r="AC3013"/>
  <c r="AD3013"/>
  <c r="P3014"/>
  <c r="T3014"/>
  <c r="U3014"/>
  <c r="V3014"/>
  <c r="W3014"/>
  <c r="Y3014"/>
  <c r="AB3014"/>
  <c r="AC3014"/>
  <c r="AD3014"/>
  <c r="P3015"/>
  <c r="T3015"/>
  <c r="U3015"/>
  <c r="V3015"/>
  <c r="W3015"/>
  <c r="Y3015"/>
  <c r="AA3015"/>
  <c r="AB3015"/>
  <c r="AC3015"/>
  <c r="AD3015"/>
  <c r="P3016"/>
  <c r="T3016"/>
  <c r="U3016"/>
  <c r="V3016"/>
  <c r="W3016"/>
  <c r="Y3016"/>
  <c r="AB3016"/>
  <c r="AC3016"/>
  <c r="AD3016"/>
  <c r="P3017"/>
  <c r="T3017"/>
  <c r="U3017"/>
  <c r="V3017"/>
  <c r="W3017"/>
  <c r="Y3017"/>
  <c r="AB3017"/>
  <c r="AC3017"/>
  <c r="AD3017"/>
  <c r="P3018"/>
  <c r="T3018"/>
  <c r="U3018"/>
  <c r="V3018"/>
  <c r="W3018"/>
  <c r="Y3018"/>
  <c r="AB3018"/>
  <c r="AC3018"/>
  <c r="AD3018"/>
  <c r="P3019"/>
  <c r="T3019"/>
  <c r="U3019"/>
  <c r="V3019"/>
  <c r="W3019"/>
  <c r="Y3019"/>
  <c r="AB3019"/>
  <c r="AC3019"/>
  <c r="AD3019"/>
  <c r="P3020"/>
  <c r="T3020"/>
  <c r="U3020"/>
  <c r="V3020"/>
  <c r="W3020"/>
  <c r="Y3020"/>
  <c r="AB3020"/>
  <c r="AC3020"/>
  <c r="AD3020"/>
  <c r="P3021"/>
  <c r="T3021"/>
  <c r="U3021"/>
  <c r="V3021"/>
  <c r="W3021"/>
  <c r="Y3021"/>
  <c r="AB3021"/>
  <c r="AC3021"/>
  <c r="AD3021"/>
  <c r="P3022"/>
  <c r="T3022"/>
  <c r="U3022"/>
  <c r="V3022"/>
  <c r="W3022"/>
  <c r="Y3022"/>
  <c r="AB3022"/>
  <c r="AC3022"/>
  <c r="AD3022"/>
  <c r="P3023"/>
  <c r="T3023"/>
  <c r="U3023"/>
  <c r="V3023"/>
  <c r="W3023"/>
  <c r="Y3023"/>
  <c r="AB3023"/>
  <c r="AC3023"/>
  <c r="AD3023"/>
  <c r="P3024"/>
  <c r="T3024"/>
  <c r="U3024"/>
  <c r="V3024"/>
  <c r="W3024"/>
  <c r="Y3024"/>
  <c r="AB3024"/>
  <c r="AC3024"/>
  <c r="AD3024"/>
  <c r="P3025"/>
  <c r="T3025"/>
  <c r="U3025"/>
  <c r="V3025"/>
  <c r="W3025"/>
  <c r="Y3025"/>
  <c r="AB3025"/>
  <c r="AC3025"/>
  <c r="AD3025"/>
  <c r="P3026"/>
  <c r="T3026"/>
  <c r="U3026"/>
  <c r="V3026"/>
  <c r="W3026"/>
  <c r="Y3026"/>
  <c r="AB3026"/>
  <c r="AC3026"/>
  <c r="AD3026"/>
  <c r="P3027"/>
  <c r="T3027"/>
  <c r="U3027"/>
  <c r="V3027"/>
  <c r="W3027"/>
  <c r="Y3027"/>
  <c r="AB3027"/>
  <c r="AC3027"/>
  <c r="AD3027"/>
  <c r="P3028"/>
  <c r="T3028"/>
  <c r="U3028"/>
  <c r="V3028"/>
  <c r="W3028"/>
  <c r="Y3028"/>
  <c r="AB3028"/>
  <c r="AC3028"/>
  <c r="AD3028"/>
  <c r="P3029"/>
  <c r="T3029"/>
  <c r="U3029"/>
  <c r="V3029"/>
  <c r="W3029"/>
  <c r="Y3029"/>
  <c r="AB3029"/>
  <c r="AC3029"/>
  <c r="AD3029"/>
  <c r="P3030"/>
  <c r="T3030"/>
  <c r="U3030"/>
  <c r="V3030"/>
  <c r="W3030"/>
  <c r="Y3030"/>
  <c r="AB3030"/>
  <c r="AC3030"/>
  <c r="AD3030"/>
  <c r="P3031"/>
  <c r="T3031"/>
  <c r="U3031"/>
  <c r="V3031"/>
  <c r="W3031"/>
  <c r="Y3031"/>
  <c r="AB3031"/>
  <c r="AC3031"/>
  <c r="AD3031"/>
  <c r="P3032"/>
  <c r="T3032"/>
  <c r="U3032"/>
  <c r="V3032"/>
  <c r="W3032"/>
  <c r="Y3032"/>
  <c r="AB3032"/>
  <c r="AC3032"/>
  <c r="AD3032"/>
  <c r="P3033"/>
  <c r="T3033"/>
  <c r="U3033"/>
  <c r="V3033"/>
  <c r="W3033"/>
  <c r="Y3033"/>
  <c r="AB3033"/>
  <c r="AC3033"/>
  <c r="AD3033"/>
  <c r="P3034"/>
  <c r="T3034"/>
  <c r="U3034"/>
  <c r="V3034"/>
  <c r="W3034"/>
  <c r="Y3034"/>
  <c r="AB3034"/>
  <c r="AC3034"/>
  <c r="AD3034"/>
  <c r="P3035"/>
  <c r="T3035"/>
  <c r="U3035"/>
  <c r="V3035"/>
  <c r="W3035"/>
  <c r="Y3035"/>
  <c r="AB3035"/>
  <c r="AC3035"/>
  <c r="AD3035"/>
  <c r="P3036"/>
  <c r="T3036"/>
  <c r="U3036"/>
  <c r="V3036"/>
  <c r="W3036"/>
  <c r="Y3036"/>
  <c r="AB3036"/>
  <c r="AC3036"/>
  <c r="AD3036"/>
  <c r="P3037"/>
  <c r="T3037"/>
  <c r="U3037"/>
  <c r="V3037"/>
  <c r="W3037"/>
  <c r="Y3037"/>
  <c r="AB3037"/>
  <c r="AC3037"/>
  <c r="AD3037"/>
  <c r="P3038"/>
  <c r="T3038"/>
  <c r="U3038"/>
  <c r="V3038"/>
  <c r="W3038"/>
  <c r="Y3038"/>
  <c r="AB3038"/>
  <c r="AC3038"/>
  <c r="AD3038"/>
  <c r="P3039"/>
  <c r="T3039"/>
  <c r="U3039"/>
  <c r="V3039"/>
  <c r="W3039"/>
  <c r="Y3039"/>
  <c r="AB3039"/>
  <c r="AC3039"/>
  <c r="AD3039"/>
  <c r="P3040"/>
  <c r="T3040"/>
  <c r="U3040"/>
  <c r="V3040"/>
  <c r="W3040"/>
  <c r="Y3040"/>
  <c r="AB3040"/>
  <c r="AC3040"/>
  <c r="AD3040"/>
  <c r="P3041"/>
  <c r="T3041"/>
  <c r="U3041"/>
  <c r="V3041"/>
  <c r="W3041"/>
  <c r="Y3041"/>
  <c r="AB3041"/>
  <c r="AC3041"/>
  <c r="AD3041"/>
  <c r="P3042"/>
  <c r="T3042"/>
  <c r="U3042"/>
  <c r="V3042"/>
  <c r="W3042"/>
  <c r="Y3042"/>
  <c r="AB3042"/>
  <c r="AC3042"/>
  <c r="AD3042"/>
  <c r="P3043"/>
  <c r="T3043"/>
  <c r="U3043"/>
  <c r="V3043"/>
  <c r="W3043"/>
  <c r="Y3043"/>
  <c r="AB3043"/>
  <c r="AC3043"/>
  <c r="AD3043"/>
  <c r="P3044"/>
  <c r="T3044"/>
  <c r="U3044"/>
  <c r="V3044"/>
  <c r="W3044"/>
  <c r="Y3044"/>
  <c r="AB3044"/>
  <c r="AC3044"/>
  <c r="AD3044"/>
  <c r="P3045"/>
  <c r="T3045"/>
  <c r="U3045"/>
  <c r="V3045"/>
  <c r="W3045"/>
  <c r="Y3045"/>
  <c r="AB3045"/>
  <c r="AC3045"/>
  <c r="AD3045"/>
  <c r="P3046"/>
  <c r="T3046"/>
  <c r="U3046"/>
  <c r="V3046"/>
  <c r="W3046"/>
  <c r="Y3046"/>
  <c r="AB3046"/>
  <c r="AC3046"/>
  <c r="AD3046"/>
  <c r="P3047"/>
  <c r="T3047"/>
  <c r="U3047"/>
  <c r="V3047"/>
  <c r="W3047"/>
  <c r="Y3047"/>
  <c r="AB3047"/>
  <c r="AC3047"/>
  <c r="AD3047"/>
  <c r="P3048"/>
  <c r="T3048"/>
  <c r="U3048"/>
  <c r="V3048"/>
  <c r="W3048"/>
  <c r="Y3048"/>
  <c r="AB3048"/>
  <c r="AC3048"/>
  <c r="AD3048"/>
  <c r="P3049"/>
  <c r="T3049"/>
  <c r="U3049"/>
  <c r="V3049"/>
  <c r="W3049"/>
  <c r="Y3049"/>
  <c r="AB3049"/>
  <c r="AC3049"/>
  <c r="AD3049"/>
  <c r="P3050"/>
  <c r="T3050"/>
  <c r="U3050"/>
  <c r="V3050"/>
  <c r="W3050"/>
  <c r="Y3050"/>
  <c r="AB3050"/>
  <c r="AC3050"/>
  <c r="AD3050"/>
  <c r="P3051"/>
  <c r="T3051"/>
  <c r="U3051"/>
  <c r="V3051"/>
  <c r="W3051"/>
  <c r="Y3051"/>
  <c r="AB3051"/>
  <c r="AC3051"/>
  <c r="AD3051"/>
  <c r="P3052"/>
  <c r="T3052"/>
  <c r="U3052"/>
  <c r="V3052"/>
  <c r="W3052"/>
  <c r="Y3052"/>
  <c r="AB3052"/>
  <c r="AC3052"/>
  <c r="AD3052"/>
  <c r="P3053"/>
  <c r="T3053"/>
  <c r="U3053"/>
  <c r="V3053"/>
  <c r="W3053"/>
  <c r="Y3053"/>
  <c r="AB3053"/>
  <c r="AC3053"/>
  <c r="AD3053"/>
  <c r="P3054"/>
  <c r="T3054"/>
  <c r="U3054"/>
  <c r="V3054"/>
  <c r="W3054"/>
  <c r="Y3054"/>
  <c r="AA3054"/>
  <c r="AB3054"/>
  <c r="AC3054"/>
  <c r="AD3054"/>
  <c r="P3055"/>
  <c r="T3055"/>
  <c r="U3055"/>
  <c r="V3055"/>
  <c r="W3055"/>
  <c r="Y3055"/>
  <c r="AA3055"/>
  <c r="AB3055"/>
  <c r="AC3055"/>
  <c r="AD3055"/>
  <c r="P3056"/>
  <c r="T3056"/>
  <c r="U3056"/>
  <c r="V3056"/>
  <c r="W3056"/>
  <c r="Y3056"/>
  <c r="AA3056"/>
  <c r="AB3056"/>
  <c r="AC3056"/>
  <c r="AD3056"/>
  <c r="P3057"/>
  <c r="T3057"/>
  <c r="U3057"/>
  <c r="V3057"/>
  <c r="W3057"/>
  <c r="Y3057"/>
  <c r="AB3057"/>
  <c r="AC3057"/>
  <c r="AD3057"/>
  <c r="P3058"/>
  <c r="T3058"/>
  <c r="U3058"/>
  <c r="V3058"/>
  <c r="W3058"/>
  <c r="Y3058"/>
  <c r="AB3058"/>
  <c r="AC3058"/>
  <c r="AD3058"/>
  <c r="P3059"/>
  <c r="T3059"/>
  <c r="U3059"/>
  <c r="V3059"/>
  <c r="W3059"/>
  <c r="Y3059"/>
  <c r="AB3059"/>
  <c r="AC3059"/>
  <c r="AD3059"/>
  <c r="P3060"/>
  <c r="T3060"/>
  <c r="U3060"/>
  <c r="V3060"/>
  <c r="W3060"/>
  <c r="Y3060"/>
  <c r="AB3060"/>
  <c r="AC3060"/>
  <c r="AD3060"/>
  <c r="P3061"/>
  <c r="T3061"/>
  <c r="U3061"/>
  <c r="V3061"/>
  <c r="W3061"/>
  <c r="Y3061"/>
  <c r="AA3061"/>
  <c r="AB3061"/>
  <c r="AC3061"/>
  <c r="AD3061"/>
  <c r="P3062"/>
  <c r="T3062"/>
  <c r="U3062"/>
  <c r="V3062"/>
  <c r="W3062"/>
  <c r="Y3062"/>
  <c r="AB3062"/>
  <c r="AC3062"/>
  <c r="AD3062"/>
  <c r="P3063"/>
  <c r="T3063"/>
  <c r="U3063"/>
  <c r="V3063"/>
  <c r="W3063"/>
  <c r="Y3063"/>
  <c r="AB3063"/>
  <c r="AC3063"/>
  <c r="AD3063"/>
  <c r="P3064"/>
  <c r="T3064"/>
  <c r="U3064"/>
  <c r="V3064"/>
  <c r="W3064"/>
  <c r="Y3064"/>
  <c r="AB3064"/>
  <c r="AC3064"/>
  <c r="AD3064"/>
  <c r="P3065"/>
  <c r="T3065"/>
  <c r="U3065"/>
  <c r="V3065"/>
  <c r="W3065"/>
  <c r="Y3065"/>
  <c r="AA3065"/>
  <c r="AB3065"/>
  <c r="AC3065"/>
  <c r="AD3065"/>
  <c r="P3066"/>
  <c r="T3066"/>
  <c r="U3066"/>
  <c r="V3066"/>
  <c r="W3066"/>
  <c r="Y3066"/>
  <c r="AB3066"/>
  <c r="AC3066"/>
  <c r="AD3066"/>
  <c r="P3067"/>
  <c r="T3067"/>
  <c r="U3067"/>
  <c r="V3067"/>
  <c r="W3067"/>
  <c r="Y3067"/>
  <c r="AB3067"/>
  <c r="AC3067"/>
  <c r="AD3067"/>
  <c r="P3068"/>
  <c r="T3068"/>
  <c r="U3068"/>
  <c r="V3068"/>
  <c r="W3068"/>
  <c r="Y3068"/>
  <c r="AB3068"/>
  <c r="AC3068"/>
  <c r="AD3068"/>
  <c r="P3069"/>
  <c r="T3069"/>
  <c r="U3069"/>
  <c r="V3069"/>
  <c r="W3069"/>
  <c r="Y3069"/>
  <c r="AB3069"/>
  <c r="AC3069"/>
  <c r="AD3069"/>
  <c r="P3070"/>
  <c r="T3070"/>
  <c r="U3070"/>
  <c r="V3070"/>
  <c r="W3070"/>
  <c r="Y3070"/>
  <c r="AB3070"/>
  <c r="AC3070"/>
  <c r="AD3070"/>
  <c r="P3071"/>
  <c r="T3071"/>
  <c r="U3071"/>
  <c r="V3071"/>
  <c r="W3071"/>
  <c r="Y3071"/>
  <c r="AB3071"/>
  <c r="AC3071"/>
  <c r="AD3071"/>
  <c r="P3072"/>
  <c r="T3072"/>
  <c r="U3072"/>
  <c r="V3072"/>
  <c r="W3072"/>
  <c r="Y3072"/>
  <c r="AB3072"/>
  <c r="AC3072"/>
  <c r="AD3072"/>
  <c r="P3073"/>
  <c r="T3073"/>
  <c r="U3073"/>
  <c r="V3073"/>
  <c r="W3073"/>
  <c r="Y3073"/>
  <c r="AB3073"/>
  <c r="AC3073"/>
  <c r="AD3073"/>
  <c r="P3074"/>
  <c r="T3074"/>
  <c r="U3074"/>
  <c r="V3074"/>
  <c r="W3074"/>
  <c r="Y3074"/>
  <c r="AB3074"/>
  <c r="AC3074"/>
  <c r="AD3074"/>
  <c r="P3075"/>
  <c r="T3075"/>
  <c r="U3075"/>
  <c r="V3075"/>
  <c r="W3075"/>
  <c r="Y3075"/>
  <c r="AB3075"/>
  <c r="AC3075"/>
  <c r="AD3075"/>
  <c r="P3076"/>
  <c r="T3076"/>
  <c r="U3076"/>
  <c r="V3076"/>
  <c r="W3076"/>
  <c r="Y3076"/>
  <c r="AB3076"/>
  <c r="AC3076"/>
  <c r="AD3076"/>
  <c r="P3077"/>
  <c r="T3077"/>
  <c r="U3077"/>
  <c r="V3077"/>
  <c r="W3077"/>
  <c r="Y3077"/>
  <c r="AB3077"/>
  <c r="AC3077"/>
  <c r="AD3077"/>
  <c r="P3078"/>
  <c r="T3078"/>
  <c r="U3078"/>
  <c r="V3078"/>
  <c r="W3078"/>
  <c r="Y3078"/>
  <c r="AB3078"/>
  <c r="AC3078"/>
  <c r="AD3078"/>
  <c r="P3079"/>
  <c r="T3079"/>
  <c r="U3079"/>
  <c r="V3079"/>
  <c r="W3079"/>
  <c r="Y3079"/>
  <c r="AB3079"/>
  <c r="AC3079"/>
  <c r="AD3079"/>
  <c r="P3080"/>
  <c r="T3080"/>
  <c r="U3080"/>
  <c r="V3080"/>
  <c r="W3080"/>
  <c r="Y3080"/>
  <c r="AA3080"/>
  <c r="AB3080"/>
  <c r="AC3080"/>
  <c r="AD3080"/>
  <c r="P3081"/>
  <c r="T3081"/>
  <c r="U3081"/>
  <c r="V3081"/>
  <c r="W3081"/>
  <c r="Y3081"/>
  <c r="AB3081"/>
  <c r="AC3081"/>
  <c r="AD3081"/>
  <c r="P3082"/>
  <c r="T3082"/>
  <c r="U3082"/>
  <c r="V3082"/>
  <c r="W3082"/>
  <c r="Y3082"/>
  <c r="AB3082"/>
  <c r="AC3082"/>
  <c r="AD3082"/>
  <c r="P3083"/>
  <c r="T3083"/>
  <c r="U3083"/>
  <c r="V3083"/>
  <c r="W3083"/>
  <c r="Y3083"/>
  <c r="AB3083"/>
  <c r="AC3083"/>
  <c r="AD3083"/>
  <c r="P3084"/>
  <c r="T3084"/>
  <c r="U3084"/>
  <c r="V3084"/>
  <c r="W3084"/>
  <c r="Y3084"/>
  <c r="AB3084"/>
  <c r="AC3084"/>
  <c r="AD3084"/>
  <c r="P3085"/>
  <c r="T3085"/>
  <c r="U3085"/>
  <c r="V3085"/>
  <c r="W3085"/>
  <c r="Y3085"/>
  <c r="AB3085"/>
  <c r="AC3085"/>
  <c r="AD3085"/>
  <c r="P3086"/>
  <c r="T3086"/>
  <c r="U3086"/>
  <c r="V3086"/>
  <c r="W3086"/>
  <c r="Y3086"/>
  <c r="AB3086"/>
  <c r="AC3086"/>
  <c r="AD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T3092"/>
  <c r="U3092"/>
  <c r="V3092"/>
  <c r="W3092"/>
  <c r="Y3092"/>
  <c r="AB3092"/>
  <c r="AC3092"/>
  <c r="AD3092"/>
  <c r="P3093"/>
  <c r="T3093"/>
  <c r="U3093"/>
  <c r="V3093"/>
  <c r="W3093"/>
  <c r="Y3093"/>
  <c r="AB3093"/>
  <c r="AC3093"/>
  <c r="AD3093"/>
  <c r="P3094"/>
  <c r="T3094"/>
  <c r="U3094"/>
  <c r="V3094"/>
  <c r="W3094"/>
  <c r="Y3094"/>
  <c r="AB3094"/>
  <c r="AC3094"/>
  <c r="AD3094"/>
  <c r="P3095"/>
  <c r="T3095"/>
  <c r="U3095"/>
  <c r="V3095"/>
  <c r="W3095"/>
  <c r="Y3095"/>
  <c r="AB3095"/>
  <c r="AC3095"/>
  <c r="AD3095"/>
  <c r="P3096"/>
  <c r="T3096"/>
  <c r="U3096"/>
  <c r="V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T3100"/>
  <c r="U3100"/>
  <c r="V3100"/>
  <c r="W3100"/>
  <c r="Y3100"/>
  <c r="AB3100"/>
  <c r="AC3100"/>
  <c r="AD3100"/>
  <c r="P3101"/>
  <c r="T3101"/>
  <c r="U3101"/>
  <c r="V3101"/>
  <c r="W3101"/>
  <c r="Y3101"/>
  <c r="AB3101"/>
  <c r="AC3101"/>
  <c r="AD3101"/>
  <c r="P3102"/>
  <c r="T3102"/>
  <c r="U3102"/>
  <c r="V3102"/>
  <c r="W3102"/>
  <c r="Y3102"/>
  <c r="AB3102"/>
  <c r="AC3102"/>
  <c r="AD3102"/>
  <c r="P3103"/>
  <c r="T3103"/>
  <c r="U3103"/>
  <c r="V3103"/>
  <c r="W3103"/>
  <c r="Y3103"/>
  <c r="AB3103"/>
  <c r="AC3103"/>
  <c r="AD3103"/>
  <c r="P3104"/>
  <c r="T3104"/>
  <c r="U3104"/>
  <c r="V3104"/>
  <c r="W3104"/>
  <c r="Y3104"/>
  <c r="AB3104"/>
  <c r="AC3104"/>
  <c r="AD3104"/>
  <c r="P3105"/>
  <c r="T3105"/>
  <c r="U3105"/>
  <c r="V3105"/>
  <c r="W3105"/>
  <c r="Y3105"/>
  <c r="AB3105"/>
  <c r="AC3105"/>
  <c r="AD3105"/>
  <c r="P3106"/>
  <c r="T3106"/>
  <c r="U3106"/>
  <c r="V3106"/>
  <c r="W3106"/>
  <c r="Y3106"/>
  <c r="AB3106"/>
  <c r="AC3106"/>
  <c r="AD3106"/>
  <c r="P3107"/>
  <c r="T3107"/>
  <c r="U3107"/>
  <c r="V3107"/>
  <c r="W3107"/>
  <c r="Y3107"/>
  <c r="AB3107"/>
  <c r="AC3107"/>
  <c r="AD3107"/>
  <c r="P3108"/>
  <c r="T3108"/>
  <c r="U3108"/>
  <c r="V3108"/>
  <c r="W3108"/>
  <c r="Y3108"/>
  <c r="AB3108"/>
  <c r="AC3108"/>
  <c r="AD3108"/>
  <c r="P3109"/>
  <c r="T3109"/>
  <c r="U3109"/>
  <c r="V3109"/>
  <c r="W3109"/>
  <c r="Y3109"/>
  <c r="AB3109"/>
  <c r="AC3109"/>
  <c r="AD3109"/>
  <c r="P3110"/>
  <c r="T3110"/>
  <c r="U3110"/>
  <c r="V3110"/>
  <c r="W3110"/>
  <c r="Y3110"/>
  <c r="AB3110"/>
  <c r="AC3110"/>
  <c r="AD3110"/>
  <c r="P3111"/>
  <c r="T3111"/>
  <c r="U3111"/>
  <c r="V3111"/>
  <c r="W3111"/>
  <c r="Y3111"/>
  <c r="AB3111"/>
  <c r="AC3111"/>
  <c r="AD3111"/>
  <c r="P3112"/>
  <c r="T3112"/>
  <c r="U3112"/>
  <c r="V3112"/>
  <c r="W3112"/>
  <c r="Y3112"/>
  <c r="AB3112"/>
  <c r="AC3112"/>
  <c r="AD3112"/>
  <c r="P3113"/>
  <c r="T3113"/>
  <c r="U3113"/>
  <c r="V3113"/>
  <c r="W3113"/>
  <c r="Y3113"/>
  <c r="AB3113"/>
  <c r="AC3113"/>
  <c r="AD3113"/>
  <c r="P3114"/>
  <c r="T3114"/>
  <c r="U3114"/>
  <c r="V3114"/>
  <c r="W3114"/>
  <c r="Y3114"/>
  <c r="AB3114"/>
  <c r="AC3114"/>
  <c r="AD3114"/>
  <c r="P3115"/>
  <c r="T3115"/>
  <c r="U3115"/>
  <c r="V3115"/>
  <c r="W3115"/>
  <c r="Y3115"/>
  <c r="AB3115"/>
  <c r="AC3115"/>
  <c r="AD3115"/>
  <c r="P3116"/>
  <c r="T3116"/>
  <c r="U3116"/>
  <c r="V3116"/>
  <c r="W3116"/>
  <c r="Y3116"/>
  <c r="AB3116"/>
  <c r="AC3116"/>
  <c r="AD3116"/>
  <c r="P3117"/>
  <c r="T3117"/>
  <c r="U3117"/>
  <c r="V3117"/>
  <c r="W3117"/>
  <c r="Y3117"/>
  <c r="AB3117"/>
  <c r="AC3117"/>
  <c r="AD3117"/>
  <c r="P3118"/>
  <c r="T3118"/>
  <c r="U3118"/>
  <c r="V3118"/>
  <c r="W3118"/>
  <c r="Y3118"/>
  <c r="AB3118"/>
  <c r="AC3118"/>
  <c r="AD3118"/>
  <c r="P3119"/>
  <c r="T3119"/>
  <c r="U3119"/>
  <c r="V3119"/>
  <c r="W3119"/>
  <c r="Y3119"/>
  <c r="AB3119"/>
  <c r="AC3119"/>
  <c r="AD3119"/>
  <c r="P3120"/>
  <c r="T3120"/>
  <c r="U3120"/>
  <c r="V3120"/>
  <c r="W3120"/>
  <c r="Y3120"/>
  <c r="AB3120"/>
  <c r="AC3120"/>
  <c r="AD3120"/>
  <c r="P3121"/>
  <c r="T3121"/>
  <c r="U3121"/>
  <c r="V3121"/>
  <c r="W3121"/>
  <c r="Y3121"/>
  <c r="AB3121"/>
  <c r="AC3121"/>
  <c r="AD3121"/>
  <c r="P3122"/>
  <c r="T3122"/>
  <c r="U3122"/>
  <c r="V3122"/>
  <c r="W3122"/>
  <c r="Y3122"/>
  <c r="AB3122"/>
  <c r="AC3122"/>
  <c r="AD3122"/>
  <c r="P3123"/>
  <c r="T3123"/>
  <c r="U3123"/>
  <c r="V3123"/>
  <c r="W3123"/>
  <c r="Y3123"/>
  <c r="AB3123"/>
  <c r="AC3123"/>
  <c r="AD3123"/>
  <c r="P3124"/>
  <c r="T3124"/>
  <c r="U3124"/>
  <c r="V3124"/>
  <c r="W3124"/>
  <c r="Y3124"/>
  <c r="AB3124"/>
  <c r="AC3124"/>
  <c r="AD3124"/>
  <c r="P3125"/>
  <c r="T3125"/>
  <c r="U3125"/>
  <c r="V3125"/>
  <c r="W3125"/>
  <c r="Y3125"/>
  <c r="AB3125"/>
  <c r="AC3125"/>
  <c r="AD3125"/>
  <c r="P3126"/>
  <c r="T3126"/>
  <c r="U3126"/>
  <c r="V3126"/>
  <c r="W3126"/>
  <c r="Y3126"/>
  <c r="AB3126"/>
  <c r="AC3126"/>
  <c r="AD3126"/>
  <c r="P3127"/>
  <c r="T3127"/>
  <c r="U3127"/>
  <c r="V3127"/>
  <c r="W3127"/>
  <c r="Y3127"/>
  <c r="AB3127"/>
  <c r="AC3127"/>
  <c r="AD3127"/>
  <c r="P3128"/>
  <c r="T3128"/>
  <c r="U3128"/>
  <c r="V3128"/>
  <c r="W3128"/>
  <c r="Y3128"/>
  <c r="AB3128"/>
  <c r="AC3128"/>
  <c r="AD3128"/>
  <c r="P3129"/>
  <c r="T3129"/>
  <c r="U3129"/>
  <c r="V3129"/>
  <c r="W3129"/>
  <c r="Y3129"/>
  <c r="AB3129"/>
  <c r="AC3129"/>
  <c r="AD3129"/>
  <c r="P3130"/>
  <c r="T3130"/>
  <c r="U3130"/>
  <c r="V3130"/>
  <c r="W3130"/>
  <c r="Y3130"/>
  <c r="AB3130"/>
  <c r="AC3130"/>
  <c r="AD3130"/>
  <c r="P3131"/>
  <c r="T3131"/>
  <c r="U3131"/>
  <c r="V3131"/>
  <c r="W3131"/>
  <c r="Y3131"/>
  <c r="AB3131"/>
  <c r="AC3131"/>
  <c r="AD3131"/>
  <c r="P3132"/>
  <c r="T3132"/>
  <c r="U3132"/>
  <c r="V3132"/>
  <c r="W3132"/>
  <c r="Y3132"/>
  <c r="AB3132"/>
  <c r="AC3132"/>
  <c r="AD3132"/>
  <c r="P3133"/>
  <c r="T3133"/>
  <c r="U3133"/>
  <c r="V3133"/>
  <c r="W3133"/>
  <c r="Y3133"/>
  <c r="AB3133"/>
  <c r="AC3133"/>
  <c r="AD3133"/>
  <c r="P3134"/>
  <c r="T3134"/>
  <c r="U3134"/>
  <c r="V3134"/>
  <c r="W3134"/>
  <c r="Y3134"/>
  <c r="AB3134"/>
  <c r="AC3134"/>
  <c r="AD3134"/>
  <c r="P3135"/>
  <c r="T3135"/>
  <c r="U3135"/>
  <c r="V3135"/>
  <c r="W3135"/>
  <c r="Y3135"/>
  <c r="AB3135"/>
  <c r="AC3135"/>
  <c r="AD3135"/>
  <c r="P3136"/>
  <c r="T3136"/>
  <c r="U3136"/>
  <c r="V3136"/>
  <c r="W3136"/>
  <c r="Y3136"/>
  <c r="AB3136"/>
  <c r="AC3136"/>
  <c r="AD3136"/>
  <c r="P3137"/>
  <c r="T3137"/>
  <c r="U3137"/>
  <c r="V3137"/>
  <c r="W3137"/>
  <c r="Y3137"/>
  <c r="AB3137"/>
  <c r="AC3137"/>
  <c r="AD3137"/>
  <c r="P3138"/>
  <c r="T3138"/>
  <c r="U3138"/>
  <c r="V3138"/>
  <c r="W3138"/>
  <c r="Y3138"/>
  <c r="AB3138"/>
  <c r="AC3138"/>
  <c r="AD3138"/>
  <c r="P3139"/>
  <c r="T3139"/>
  <c r="U3139"/>
  <c r="V3139"/>
  <c r="W3139"/>
  <c r="Y3139"/>
  <c r="AB3139"/>
  <c r="AC3139"/>
  <c r="AD3139"/>
  <c r="P3140"/>
  <c r="T3140"/>
  <c r="U3140"/>
  <c r="V3140"/>
  <c r="W3140"/>
  <c r="Y3140"/>
  <c r="AB3140"/>
  <c r="AC3140"/>
  <c r="AD3140"/>
  <c r="P3141"/>
  <c r="T3141"/>
  <c r="U3141"/>
  <c r="V3141"/>
  <c r="W3141"/>
  <c r="Y3141"/>
  <c r="AB3141"/>
  <c r="AC3141"/>
  <c r="AD3141"/>
  <c r="P3142"/>
  <c r="T3142"/>
  <c r="U3142"/>
  <c r="V3142"/>
  <c r="W3142"/>
  <c r="Y3142"/>
  <c r="AB3142"/>
  <c r="AC3142"/>
  <c r="AD3142"/>
  <c r="P3143"/>
  <c r="T3143"/>
  <c r="U3143"/>
  <c r="V3143"/>
  <c r="W3143"/>
  <c r="Y3143"/>
  <c r="AB3143"/>
  <c r="AC3143"/>
  <c r="AD3143"/>
  <c r="P3144"/>
  <c r="T3144"/>
  <c r="U3144"/>
  <c r="V3144"/>
  <c r="W3144"/>
  <c r="Y3144"/>
  <c r="AB3144"/>
  <c r="AC3144"/>
  <c r="AD3144"/>
  <c r="P3145"/>
  <c r="T3145"/>
  <c r="U3145"/>
  <c r="V3145"/>
  <c r="W3145"/>
  <c r="Y3145"/>
  <c r="AB3145"/>
  <c r="AC3145"/>
  <c r="AD3145"/>
  <c r="P3146"/>
  <c r="T3146"/>
  <c r="U3146"/>
  <c r="V3146"/>
  <c r="W3146"/>
  <c r="Y3146"/>
  <c r="AB3146"/>
  <c r="AC3146"/>
  <c r="AD3146"/>
  <c r="P3147"/>
  <c r="T3147"/>
  <c r="U3147"/>
  <c r="V3147"/>
  <c r="W3147"/>
  <c r="Y3147"/>
  <c r="AB3147"/>
  <c r="AC3147"/>
  <c r="AD3147"/>
  <c r="P3148"/>
  <c r="T3148"/>
  <c r="U3148"/>
  <c r="V3148"/>
  <c r="W3148"/>
  <c r="Y3148"/>
  <c r="AB3148"/>
  <c r="AC3148"/>
  <c r="AD3148"/>
  <c r="P3149"/>
  <c r="T3149"/>
  <c r="U3149"/>
  <c r="V3149"/>
  <c r="W3149"/>
  <c r="Y3149"/>
  <c r="AB3149"/>
  <c r="AC3149"/>
  <c r="AD3149"/>
  <c r="P3150"/>
  <c r="T3150"/>
  <c r="U3150"/>
  <c r="V3150"/>
  <c r="W3150"/>
  <c r="Y3150"/>
  <c r="AB3150"/>
  <c r="AC3150"/>
  <c r="AD3150"/>
  <c r="P3151"/>
  <c r="T3151"/>
  <c r="U3151"/>
  <c r="V3151"/>
  <c r="W3151"/>
  <c r="Y3151"/>
  <c r="AB3151"/>
  <c r="AC3151"/>
  <c r="AD3151"/>
  <c r="P3152"/>
  <c r="T3152"/>
  <c r="U3152"/>
  <c r="V3152"/>
  <c r="W3152"/>
  <c r="Y3152"/>
  <c r="AB3152"/>
  <c r="AC3152"/>
  <c r="AD3152"/>
  <c r="P3153"/>
  <c r="T3153"/>
  <c r="U3153"/>
  <c r="V3153"/>
  <c r="W3153"/>
  <c r="Y3153"/>
  <c r="AB3153"/>
  <c r="AC3153"/>
  <c r="AD3153"/>
  <c r="P3154"/>
  <c r="T3154"/>
  <c r="U3154"/>
  <c r="V3154"/>
  <c r="W3154"/>
  <c r="Y3154"/>
  <c r="AB3154"/>
  <c r="AC3154"/>
  <c r="AD3154"/>
  <c r="P3155"/>
  <c r="T3155"/>
  <c r="U3155"/>
  <c r="V3155"/>
  <c r="W3155"/>
  <c r="Y3155"/>
  <c r="AB3155"/>
  <c r="AC3155"/>
  <c r="AD3155"/>
  <c r="P3156"/>
  <c r="T3156"/>
  <c r="U3156"/>
  <c r="V3156"/>
  <c r="W3156"/>
  <c r="Y3156"/>
  <c r="AB3156"/>
  <c r="AC3156"/>
  <c r="AD3156"/>
  <c r="P3157"/>
  <c r="T3157"/>
  <c r="U3157"/>
  <c r="V3157"/>
  <c r="W3157"/>
  <c r="Y3157"/>
  <c r="AB3157"/>
  <c r="AC3157"/>
  <c r="AD3157"/>
  <c r="P3158"/>
  <c r="T3158"/>
  <c r="U3158"/>
  <c r="V3158"/>
  <c r="W3158"/>
  <c r="Y3158"/>
  <c r="AB3158"/>
  <c r="AC3158"/>
  <c r="AD3158"/>
  <c r="P3159"/>
  <c r="T3159"/>
  <c r="U3159"/>
  <c r="V3159"/>
  <c r="W3159"/>
  <c r="Y3159"/>
  <c r="AB3159"/>
  <c r="AC3159"/>
  <c r="AD3159"/>
  <c r="P3160"/>
  <c r="T3160"/>
  <c r="U3160"/>
  <c r="V3160"/>
  <c r="W3160"/>
  <c r="Y3160"/>
  <c r="AB3160"/>
  <c r="AC3160"/>
  <c r="AD3160"/>
  <c r="P3161"/>
  <c r="T3161"/>
  <c r="U3161"/>
  <c r="V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T3166"/>
  <c r="U3166"/>
  <c r="V3166"/>
  <c r="W3166"/>
  <c r="Y3166"/>
  <c r="AB3166"/>
  <c r="AC3166"/>
  <c r="AD3166"/>
  <c r="P3167"/>
  <c r="T3167"/>
  <c r="U3167"/>
  <c r="V3167"/>
  <c r="W3167"/>
  <c r="Y3167"/>
  <c r="AB3167"/>
  <c r="AC3167"/>
  <c r="AD3167"/>
  <c r="P3168"/>
  <c r="T3168"/>
  <c r="U3168"/>
  <c r="V3168"/>
  <c r="W3168"/>
  <c r="Y3168"/>
  <c r="AB3168"/>
  <c r="AC3168"/>
  <c r="AD3168"/>
  <c r="P3169"/>
  <c r="T3169"/>
  <c r="U3169"/>
  <c r="V3169"/>
  <c r="W3169"/>
  <c r="Y3169"/>
  <c r="AB3169"/>
  <c r="AC3169"/>
  <c r="AD3169"/>
  <c r="P3170"/>
  <c r="T3170"/>
  <c r="U3170"/>
  <c r="V3170"/>
  <c r="W3170"/>
  <c r="Y3170"/>
  <c r="AB3170"/>
  <c r="AC3170"/>
  <c r="AD3170"/>
  <c r="P3171"/>
  <c r="T3171"/>
  <c r="U3171"/>
  <c r="V3171"/>
  <c r="W3171"/>
  <c r="Y3171"/>
  <c r="AB3171"/>
  <c r="AC3171"/>
  <c r="AD3171"/>
  <c r="P3172"/>
  <c r="T3172"/>
  <c r="U3172"/>
  <c r="V3172"/>
  <c r="W3172"/>
  <c r="Y3172"/>
  <c r="AB3172"/>
  <c r="AC3172"/>
  <c r="AD3172"/>
  <c r="P3173"/>
  <c r="T3173"/>
  <c r="U3173"/>
  <c r="V3173"/>
  <c r="W3173"/>
  <c r="Y3173"/>
  <c r="AB3173"/>
  <c r="AC3173"/>
  <c r="AD3173"/>
  <c r="P3174"/>
  <c r="T3174"/>
  <c r="U3174"/>
  <c r="V3174"/>
  <c r="W3174"/>
  <c r="Y3174"/>
  <c r="AB3174"/>
  <c r="AC3174"/>
  <c r="AD3174"/>
  <c r="P3175"/>
  <c r="T3175"/>
  <c r="U3175"/>
  <c r="V3175"/>
  <c r="W3175"/>
  <c r="Y3175"/>
  <c r="AB3175"/>
  <c r="AC3175"/>
  <c r="AD3175"/>
  <c r="P3176"/>
  <c r="T3176"/>
  <c r="U3176"/>
  <c r="V3176"/>
  <c r="W3176"/>
  <c r="Y3176"/>
  <c r="AB3176"/>
  <c r="AC3176"/>
  <c r="AD3176"/>
  <c r="P3177"/>
  <c r="T3177"/>
  <c r="U3177"/>
  <c r="V3177"/>
  <c r="W3177"/>
  <c r="Y3177"/>
  <c r="AB3177"/>
  <c r="AC3177"/>
  <c r="AD3177"/>
  <c r="P3178"/>
  <c r="T3178"/>
  <c r="U3178"/>
  <c r="V3178"/>
  <c r="W3178"/>
  <c r="Y3178"/>
  <c r="AB3178"/>
  <c r="AC3178"/>
  <c r="AD3178"/>
  <c r="P3179"/>
  <c r="T3179"/>
  <c r="U3179"/>
  <c r="V3179"/>
  <c r="W3179"/>
  <c r="Y3179"/>
  <c r="AB3179"/>
  <c r="AC3179"/>
  <c r="AD3179"/>
  <c r="P3180"/>
  <c r="T3180"/>
  <c r="U3180"/>
  <c r="V3180"/>
  <c r="W3180"/>
  <c r="Y3180"/>
  <c r="AB3180"/>
  <c r="AC3180"/>
  <c r="AD3180"/>
  <c r="P3181"/>
  <c r="T3181"/>
  <c r="U3181"/>
  <c r="V3181"/>
  <c r="W3181"/>
  <c r="Y3181"/>
  <c r="AB3181"/>
  <c r="AC3181"/>
  <c r="AD3181"/>
  <c r="P3182"/>
  <c r="T3182"/>
  <c r="U3182"/>
  <c r="V3182"/>
  <c r="W3182"/>
  <c r="Y3182"/>
  <c r="AB3182"/>
  <c r="AC3182"/>
  <c r="AD3182"/>
  <c r="P3183"/>
  <c r="T3183"/>
  <c r="U3183"/>
  <c r="V3183"/>
  <c r="W3183"/>
  <c r="Y3183"/>
  <c r="AB3183"/>
  <c r="AC3183"/>
  <c r="AD3183"/>
  <c r="P3184"/>
  <c r="T3184"/>
  <c r="U3184"/>
  <c r="V3184"/>
  <c r="W3184"/>
  <c r="Y3184"/>
  <c r="AB3184"/>
  <c r="AC3184"/>
  <c r="AD3184"/>
  <c r="P3185"/>
  <c r="T3185"/>
  <c r="U3185"/>
  <c r="V3185"/>
  <c r="W3185"/>
  <c r="Y3185"/>
  <c r="AB3185"/>
  <c r="AC3185"/>
  <c r="AD3185"/>
  <c r="P3186"/>
  <c r="T3186"/>
  <c r="U3186"/>
  <c r="V3186"/>
  <c r="W3186"/>
  <c r="Y3186"/>
  <c r="AB3186"/>
  <c r="AC3186"/>
  <c r="AD3186"/>
  <c r="P3187"/>
  <c r="T3187"/>
  <c r="U3187"/>
  <c r="V3187"/>
  <c r="W3187"/>
  <c r="Y3187"/>
  <c r="AB3187"/>
  <c r="AC3187"/>
  <c r="AD3187"/>
  <c r="P3188"/>
  <c r="T3188"/>
  <c r="U3188"/>
  <c r="V3188"/>
  <c r="W3188"/>
  <c r="Y3188"/>
  <c r="AB3188"/>
  <c r="AC3188"/>
  <c r="AD3188"/>
  <c r="P3189"/>
  <c r="T3189"/>
  <c r="U3189"/>
  <c r="V3189"/>
  <c r="W3189"/>
  <c r="Y3189"/>
  <c r="AB3189"/>
  <c r="AC3189"/>
  <c r="AD3189"/>
  <c r="P3190"/>
  <c r="T3190"/>
  <c r="U3190"/>
  <c r="V3190"/>
  <c r="W3190"/>
  <c r="Y3190"/>
  <c r="AB3190"/>
  <c r="AC3190"/>
  <c r="AD3190"/>
  <c r="P3191"/>
  <c r="T3191"/>
  <c r="U3191"/>
  <c r="V3191"/>
  <c r="W3191"/>
  <c r="Y3191"/>
  <c r="AB3191"/>
  <c r="AC3191"/>
  <c r="AD3191"/>
  <c r="P3192"/>
  <c r="T3192"/>
  <c r="U3192"/>
  <c r="V3192"/>
  <c r="W3192"/>
  <c r="Y3192"/>
  <c r="AB3192"/>
  <c r="AC3192"/>
  <c r="AD3192"/>
  <c r="P3193"/>
  <c r="T3193"/>
  <c r="U3193"/>
  <c r="V3193"/>
  <c r="W3193"/>
  <c r="Y3193"/>
  <c r="AB3193"/>
  <c r="AC3193"/>
  <c r="AD3193"/>
  <c r="P3194"/>
  <c r="T3194"/>
  <c r="U3194"/>
  <c r="V3194"/>
  <c r="W3194"/>
  <c r="Y3194"/>
  <c r="AB3194"/>
  <c r="AC3194"/>
  <c r="AD3194"/>
  <c r="P3195"/>
  <c r="T3195"/>
  <c r="U3195"/>
  <c r="V3195"/>
  <c r="W3195"/>
  <c r="Y3195"/>
  <c r="AB3195"/>
  <c r="AC3195"/>
  <c r="AD3195"/>
  <c r="P3196"/>
  <c r="T3196"/>
  <c r="U3196"/>
  <c r="V3196"/>
  <c r="W3196"/>
  <c r="Y3196"/>
  <c r="AB3196"/>
  <c r="AC3196"/>
  <c r="AD3196"/>
  <c r="P3197"/>
  <c r="T3197"/>
  <c r="U3197"/>
  <c r="V3197"/>
  <c r="W3197"/>
  <c r="Y3197"/>
  <c r="AB3197"/>
  <c r="AC3197"/>
  <c r="AD3197"/>
  <c r="P3198"/>
  <c r="T3198"/>
  <c r="U3198"/>
  <c r="V3198"/>
  <c r="W3198"/>
  <c r="Y3198"/>
  <c r="AB3198"/>
  <c r="AC3198"/>
  <c r="AD3198"/>
  <c r="P3199"/>
  <c r="T3199"/>
  <c r="U3199"/>
  <c r="V3199"/>
  <c r="W3199"/>
  <c r="Y3199"/>
  <c r="AB3199"/>
  <c r="AC3199"/>
  <c r="AD3199"/>
  <c r="P3200"/>
  <c r="T3200"/>
  <c r="U3200"/>
  <c r="V3200"/>
  <c r="W3200"/>
  <c r="Y3200"/>
  <c r="AB3200"/>
  <c r="AC3200"/>
  <c r="AD3200"/>
  <c r="P3201"/>
  <c r="T3201"/>
  <c r="U3201"/>
  <c r="V3201"/>
  <c r="W3201"/>
  <c r="Y3201"/>
  <c r="AB3201"/>
  <c r="AC3201"/>
  <c r="AD3201"/>
  <c r="P3202"/>
  <c r="T3202"/>
  <c r="U3202"/>
  <c r="V3202"/>
  <c r="W3202"/>
  <c r="Y3202"/>
  <c r="AB3202"/>
  <c r="AC3202"/>
  <c r="AD3202"/>
  <c r="P3203"/>
  <c r="T3203"/>
  <c r="U3203"/>
  <c r="V3203"/>
  <c r="W3203"/>
  <c r="Y3203"/>
  <c r="AB3203"/>
  <c r="AC3203"/>
  <c r="AD3203"/>
  <c r="P3204"/>
  <c r="T3204"/>
  <c r="U3204"/>
  <c r="V3204"/>
  <c r="W3204"/>
  <c r="Y3204"/>
  <c r="AB3204"/>
  <c r="AC3204"/>
  <c r="AD3204"/>
  <c r="P3205"/>
  <c r="T3205"/>
  <c r="U3205"/>
  <c r="V3205"/>
  <c r="W3205"/>
  <c r="Y3205"/>
  <c r="AB3205"/>
  <c r="AC3205"/>
  <c r="AD3205"/>
  <c r="P3206"/>
  <c r="T3206"/>
  <c r="U3206"/>
  <c r="V3206"/>
  <c r="W3206"/>
  <c r="Y3206"/>
  <c r="AB3206"/>
  <c r="AC3206"/>
  <c r="AD3206"/>
  <c r="P3207"/>
  <c r="T3207"/>
  <c r="U3207"/>
  <c r="V3207"/>
  <c r="W3207"/>
  <c r="Y3207"/>
  <c r="AB3207"/>
  <c r="AC3207"/>
  <c r="AD3207"/>
  <c r="P3208"/>
  <c r="T3208"/>
  <c r="U3208"/>
  <c r="V3208"/>
  <c r="W3208"/>
  <c r="Y3208"/>
  <c r="AB3208"/>
  <c r="AC3208"/>
  <c r="AD3208"/>
  <c r="P3209"/>
  <c r="T3209"/>
  <c r="U3209"/>
  <c r="V3209"/>
  <c r="W3209"/>
  <c r="Y3209"/>
  <c r="AB3209"/>
  <c r="AC3209"/>
  <c r="AD3209"/>
  <c r="P3210"/>
  <c r="T3210"/>
  <c r="U3210"/>
  <c r="V3210"/>
  <c r="W3210"/>
  <c r="Y3210"/>
  <c r="AB3210"/>
  <c r="AC3210"/>
  <c r="AD3210"/>
  <c r="P3211"/>
  <c r="T3211"/>
  <c r="U3211"/>
  <c r="V3211"/>
  <c r="W3211"/>
  <c r="Y3211"/>
  <c r="AB3211"/>
  <c r="AC3211"/>
  <c r="AD3211"/>
  <c r="P3212"/>
  <c r="T3212"/>
  <c r="U3212"/>
  <c r="V3212"/>
  <c r="W3212"/>
  <c r="Y3212"/>
  <c r="AB3212"/>
  <c r="AC3212"/>
  <c r="AD3212"/>
  <c r="P3213"/>
  <c r="T3213"/>
  <c r="U3213"/>
  <c r="V3213"/>
  <c r="W3213"/>
  <c r="Y3213"/>
  <c r="AB3213"/>
  <c r="AC3213"/>
  <c r="AD3213"/>
  <c r="P3214"/>
  <c r="T3214"/>
  <c r="U3214"/>
  <c r="V3214"/>
  <c r="W3214"/>
  <c r="Y3214"/>
  <c r="AB3214"/>
  <c r="AC3214"/>
  <c r="AD3214"/>
  <c r="P3215"/>
  <c r="W3215"/>
  <c r="Y3215"/>
  <c r="AA3215"/>
  <c r="AB3215"/>
  <c r="AC3215"/>
  <c r="AD3215"/>
  <c r="P3216"/>
  <c r="W3216"/>
  <c r="Y3216"/>
  <c r="AA3216"/>
  <c r="AB3216"/>
  <c r="AC3216"/>
  <c r="AD3216"/>
  <c r="P3217"/>
  <c r="W3217"/>
  <c r="Y3217"/>
  <c r="AA3217"/>
  <c r="AB3217"/>
  <c r="AC3217"/>
  <c r="AD3217"/>
  <c r="P3218"/>
  <c r="W3218"/>
  <c r="Y3218"/>
  <c r="AA3218"/>
  <c r="AB3218"/>
  <c r="AC3218"/>
  <c r="AD3218"/>
  <c r="P3219"/>
  <c r="W3219"/>
  <c r="Y3219"/>
  <c r="AA3219"/>
  <c r="AB3219"/>
  <c r="AC3219"/>
  <c r="AD3219"/>
  <c r="P3220"/>
  <c r="W3220"/>
  <c r="Y3220"/>
  <c r="AA3220"/>
  <c r="AB3220"/>
  <c r="AC3220"/>
  <c r="AD3220"/>
  <c r="P3221"/>
  <c r="W3221"/>
  <c r="Y3221"/>
  <c r="AA3221"/>
  <c r="AB3221"/>
  <c r="AC3221"/>
  <c r="AD3221"/>
  <c r="P3222"/>
  <c r="W3222"/>
  <c r="Y3222"/>
  <c r="AA3222"/>
  <c r="AB3222"/>
  <c r="AC3222"/>
  <c r="AD3222"/>
  <c r="P3223"/>
  <c r="W3223"/>
  <c r="Y3223"/>
  <c r="AA3223"/>
  <c r="AB3223"/>
  <c r="AC3223"/>
  <c r="AD3223"/>
  <c r="P3224"/>
  <c r="W3224"/>
  <c r="Y3224"/>
  <c r="AA3224"/>
  <c r="AB3224"/>
  <c r="AC3224"/>
  <c r="AD3224"/>
  <c r="P3225"/>
  <c r="W3225"/>
  <c r="Y3225"/>
  <c r="AA3225"/>
  <c r="AB3225"/>
  <c r="AC3225"/>
  <c r="AD3225"/>
  <c r="P3226"/>
  <c r="W3226"/>
  <c r="Y3226"/>
  <c r="AA3226"/>
  <c r="AB3226"/>
  <c r="AC3226"/>
  <c r="AD3226"/>
  <c r="P3227"/>
  <c r="W3227"/>
  <c r="Y3227"/>
  <c r="AA3227"/>
  <c r="AB3227"/>
  <c r="AC3227"/>
  <c r="AD3227"/>
  <c r="P3228"/>
  <c r="W3228"/>
  <c r="Y3228"/>
  <c r="AA3228"/>
  <c r="AB3228"/>
  <c r="AC3228"/>
  <c r="AD3228"/>
  <c r="P3229"/>
  <c r="W3229"/>
  <c r="Y3229"/>
  <c r="AA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W3237"/>
  <c r="Y3237"/>
  <c r="AB3237"/>
  <c r="AC3237"/>
  <c r="AD3237"/>
  <c r="P3238"/>
  <c r="W3238"/>
  <c r="Y3238"/>
  <c r="AB3238"/>
  <c r="AC3238"/>
  <c r="AD3238"/>
  <c r="P3239"/>
  <c r="W3239"/>
  <c r="Y3239"/>
  <c r="AB3239"/>
  <c r="AC3239"/>
  <c r="AD3239"/>
  <c r="P3240"/>
  <c r="W3240"/>
  <c r="Y3240"/>
  <c r="AB3240"/>
  <c r="AC3240"/>
  <c r="AD3240"/>
  <c r="P3241"/>
  <c r="W3241"/>
  <c r="Y3241"/>
  <c r="AB3241"/>
  <c r="AC3241"/>
  <c r="AD3241"/>
  <c r="P3242"/>
  <c r="W3242"/>
  <c r="Y3242"/>
  <c r="AB3242"/>
  <c r="AC3242"/>
  <c r="AD3242"/>
  <c r="P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W3252"/>
  <c r="Y3252"/>
  <c r="AB3252"/>
  <c r="AC3252"/>
  <c r="AD3252"/>
  <c r="P3253"/>
  <c r="W3253"/>
  <c r="Y3253"/>
  <c r="AB3253"/>
  <c r="AC3253"/>
  <c r="AD3253"/>
  <c r="P3254"/>
  <c r="W3254"/>
  <c r="Y3254"/>
  <c r="AB3254"/>
  <c r="AC3254"/>
  <c r="AD3254"/>
  <c r="P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W3263"/>
  <c r="Y3263"/>
  <c r="AB3263"/>
  <c r="AC3263"/>
  <c r="AD3263"/>
  <c r="P3264"/>
  <c r="W3264"/>
  <c r="Y3264"/>
  <c r="AB3264"/>
  <c r="AC3264"/>
  <c r="AD3264"/>
  <c r="P3265"/>
  <c r="W3265"/>
  <c r="Y3265"/>
  <c r="AB3265"/>
  <c r="AC3265"/>
  <c r="AD3265"/>
  <c r="P3266"/>
  <c r="W3266"/>
  <c r="Y3266"/>
  <c r="AB3266"/>
  <c r="AC3266"/>
  <c r="AD3266"/>
  <c r="P3267"/>
  <c r="W3267"/>
  <c r="Y3267"/>
  <c r="AB3267"/>
  <c r="AC3267"/>
  <c r="AD3267"/>
  <c r="P3268"/>
  <c r="W3268"/>
  <c r="Y3268"/>
  <c r="AB3268"/>
  <c r="AC3268"/>
  <c r="AD3268"/>
  <c r="P3269"/>
  <c r="W3269"/>
  <c r="Y3269"/>
  <c r="AB3269"/>
  <c r="AC3269"/>
  <c r="AD3269"/>
  <c r="P3270"/>
  <c r="W3270"/>
  <c r="Y3270"/>
  <c r="AB3270"/>
  <c r="AC3270"/>
  <c r="AD3270"/>
  <c r="P3271"/>
  <c r="W3271"/>
  <c r="Y3271"/>
  <c r="AB3271"/>
  <c r="AC3271"/>
  <c r="AD3271"/>
  <c r="P3272"/>
  <c r="W3272"/>
  <c r="Y3272"/>
  <c r="AB3272"/>
  <c r="AC3272"/>
  <c r="AD3272"/>
  <c r="P3273"/>
  <c r="W3273"/>
  <c r="Y3273"/>
  <c r="AB3273"/>
  <c r="AC3273"/>
  <c r="AD3273"/>
  <c r="P3274"/>
  <c r="W3274"/>
  <c r="Y3274"/>
  <c r="AB3274"/>
  <c r="AC3274"/>
  <c r="AD3274"/>
  <c r="P3275"/>
  <c r="W3275"/>
  <c r="Y3275"/>
  <c r="AB3275"/>
  <c r="AC3275"/>
  <c r="AD3275"/>
  <c r="P3276"/>
  <c r="W3276"/>
  <c r="Y3276"/>
  <c r="AB3276"/>
  <c r="AC3276"/>
  <c r="AD3276"/>
  <c r="P3277"/>
  <c r="W3277"/>
  <c r="Y3277"/>
  <c r="AB3277"/>
  <c r="AC3277"/>
  <c r="AD3277"/>
  <c r="P3278"/>
  <c r="W3278"/>
  <c r="Y3278"/>
  <c r="AB3278"/>
  <c r="AC3278"/>
  <c r="AD3278"/>
  <c r="P3279"/>
  <c r="W3279"/>
  <c r="Y3279"/>
  <c r="AB3279"/>
  <c r="AC3279"/>
  <c r="AD3279"/>
  <c r="P3280"/>
  <c r="W3280"/>
  <c r="Y3280"/>
  <c r="AB3280"/>
  <c r="AC3280"/>
  <c r="AD3280"/>
  <c r="P3281"/>
  <c r="W3281"/>
  <c r="Y3281"/>
  <c r="AB3281"/>
  <c r="AC3281"/>
  <c r="AD3281"/>
  <c r="P3282"/>
  <c r="W3282"/>
  <c r="Y3282"/>
  <c r="AB3282"/>
  <c r="AC3282"/>
  <c r="AD3282"/>
  <c r="P3283"/>
  <c r="W3283"/>
  <c r="Y3283"/>
  <c r="AB3283"/>
  <c r="AC3283"/>
  <c r="AD3283"/>
  <c r="P3284"/>
  <c r="W3284"/>
  <c r="Y3284"/>
  <c r="AB3284"/>
  <c r="AC3284"/>
  <c r="AD3284"/>
  <c r="P3285"/>
  <c r="W3285"/>
  <c r="Y3285"/>
  <c r="AB3285"/>
  <c r="AC3285"/>
  <c r="AD3285"/>
  <c r="P3286"/>
  <c r="W3286"/>
  <c r="Y3286"/>
  <c r="AB3286"/>
  <c r="AC3286"/>
  <c r="AD3286"/>
  <c r="P3287"/>
  <c r="W3287"/>
  <c r="Y3287"/>
  <c r="AB3287"/>
  <c r="AC3287"/>
  <c r="AD3287"/>
  <c r="P3288"/>
  <c r="W3288"/>
  <c r="Y3288"/>
  <c r="AB3288"/>
  <c r="AC3288"/>
  <c r="AD3288"/>
  <c r="P3289"/>
  <c r="W3289"/>
  <c r="Y3289"/>
  <c r="AA3289"/>
  <c r="AB3289"/>
  <c r="AC3289"/>
  <c r="AD3289"/>
  <c r="P3290"/>
  <c r="W3290"/>
  <c r="Y3290"/>
  <c r="AA3290"/>
  <c r="AB3290"/>
  <c r="AC3290"/>
  <c r="AD3290"/>
  <c r="P3291"/>
  <c r="W3291"/>
  <c r="Y3291"/>
  <c r="AA3291"/>
  <c r="AB3291"/>
  <c r="AC3291"/>
  <c r="AD3291"/>
  <c r="P3292"/>
  <c r="W3292"/>
  <c r="Y3292"/>
  <c r="AA3292"/>
  <c r="AB3292"/>
  <c r="AC3292"/>
  <c r="AD3292"/>
  <c r="P3293"/>
  <c r="W3293"/>
  <c r="Y3293"/>
  <c r="AA3293"/>
  <c r="AB3293"/>
  <c r="AC3293"/>
  <c r="AD3293"/>
  <c r="P3294"/>
  <c r="W3294"/>
  <c r="Y3294"/>
  <c r="AA3294"/>
  <c r="AB3294"/>
  <c r="AC3294"/>
  <c r="AD3294"/>
  <c r="P3295"/>
  <c r="W3295"/>
  <c r="Y3295"/>
  <c r="AA3295"/>
  <c r="AB3295"/>
  <c r="AC3295"/>
  <c r="AD3295"/>
  <c r="P3296"/>
  <c r="W3296"/>
  <c r="Y3296"/>
  <c r="AA3296"/>
  <c r="AB3296"/>
  <c r="AC3296"/>
  <c r="AD3296"/>
  <c r="P3297"/>
  <c r="W3297"/>
  <c r="Y3297"/>
  <c r="AA3297"/>
  <c r="AB3297"/>
  <c r="AC3297"/>
  <c r="AD3297"/>
  <c r="P3298"/>
  <c r="W3298"/>
  <c r="Y3298"/>
  <c r="AA3298"/>
  <c r="AB3298"/>
  <c r="AC3298"/>
  <c r="AD3298"/>
  <c r="P3299"/>
  <c r="W3299"/>
  <c r="Y3299"/>
  <c r="AA3299"/>
  <c r="AB3299"/>
  <c r="AC3299"/>
  <c r="AD3299"/>
  <c r="P3300"/>
  <c r="W3300"/>
  <c r="Y3300"/>
  <c r="AA3300"/>
  <c r="AB3300"/>
  <c r="AC3300"/>
  <c r="AD3300"/>
  <c r="P3301"/>
  <c r="W3301"/>
  <c r="Y3301"/>
  <c r="AA3301"/>
  <c r="AB3301"/>
  <c r="AC3301"/>
  <c r="AD3301"/>
  <c r="P3302"/>
  <c r="W3302"/>
  <c r="Y3302"/>
  <c r="AA3302"/>
  <c r="AB3302"/>
  <c r="AC3302"/>
  <c r="AD3302"/>
  <c r="P3303"/>
  <c r="W3303"/>
  <c r="Y3303"/>
  <c r="AA3303"/>
  <c r="AB3303"/>
  <c r="AC3303"/>
  <c r="AD3303"/>
  <c r="P3304"/>
  <c r="W3304"/>
  <c r="Y3304"/>
  <c r="AA3304"/>
  <c r="AB3304"/>
  <c r="AC3304"/>
  <c r="AD3304"/>
  <c r="P3305"/>
  <c r="W3305"/>
  <c r="Y3305"/>
  <c r="AA3305"/>
  <c r="AB3305"/>
  <c r="AC3305"/>
  <c r="AD3305"/>
  <c r="P3306"/>
  <c r="W3306"/>
  <c r="Y3306"/>
  <c r="AA3306"/>
  <c r="AB3306"/>
  <c r="AC3306"/>
  <c r="AD3306"/>
  <c r="P3307"/>
  <c r="W3307"/>
  <c r="Y3307"/>
  <c r="AA3307"/>
  <c r="AB3307"/>
  <c r="AC3307"/>
  <c r="AD3307"/>
  <c r="P3308"/>
  <c r="W3308"/>
  <c r="Y3308"/>
  <c r="AA3308"/>
  <c r="AB3308"/>
  <c r="AC3308"/>
  <c r="AD3308"/>
  <c r="P3309"/>
  <c r="W3309"/>
  <c r="Y3309"/>
  <c r="AA3309"/>
  <c r="AB3309"/>
  <c r="AC3309"/>
  <c r="AD3309"/>
  <c r="P3310"/>
  <c r="W3310"/>
  <c r="Y3310"/>
  <c r="AA3310"/>
  <c r="AB3310"/>
  <c r="AC3310"/>
  <c r="AD3310"/>
  <c r="P3311"/>
  <c r="W3311"/>
  <c r="Y3311"/>
  <c r="AA3311"/>
  <c r="AB3311"/>
  <c r="AC3311"/>
  <c r="AD3311"/>
  <c r="P3312"/>
  <c r="W3312"/>
  <c r="Y3312"/>
  <c r="AA3312"/>
  <c r="AB3312"/>
  <c r="AC3312"/>
  <c r="AD3312"/>
  <c r="P3313"/>
  <c r="W3313"/>
  <c r="Y3313"/>
  <c r="AA3313"/>
  <c r="AB3313"/>
  <c r="AC3313"/>
  <c r="AD3313"/>
  <c r="P3314"/>
  <c r="W3314"/>
  <c r="Y3314"/>
  <c r="AA3314"/>
  <c r="AB3314"/>
  <c r="AC3314"/>
  <c r="AD3314"/>
  <c r="P3315"/>
  <c r="W3315"/>
  <c r="Y3315"/>
  <c r="AA3315"/>
  <c r="AB3315"/>
  <c r="AC3315"/>
  <c r="AD3315"/>
  <c r="P3316"/>
  <c r="W3316"/>
  <c r="Y3316"/>
  <c r="AA3316"/>
  <c r="AB3316"/>
  <c r="AC3316"/>
  <c r="AD3316"/>
  <c r="P3317"/>
  <c r="W3317"/>
  <c r="Y3317"/>
  <c r="AA3317"/>
  <c r="AB3317"/>
  <c r="AC3317"/>
  <c r="AD3317"/>
  <c r="P3318"/>
  <c r="W3318"/>
  <c r="Y3318"/>
  <c r="AA3318"/>
  <c r="AB3318"/>
  <c r="AC3318"/>
  <c r="AD3318"/>
  <c r="P3319"/>
  <c r="W3319"/>
  <c r="Y3319"/>
  <c r="AA3319"/>
  <c r="AB3319"/>
  <c r="AC3319"/>
  <c r="AD3319"/>
  <c r="P3320"/>
  <c r="W3320"/>
  <c r="Y3320"/>
  <c r="AA3320"/>
  <c r="AB3320"/>
  <c r="AC3320"/>
  <c r="AD3320"/>
  <c r="P3321"/>
  <c r="W3321"/>
  <c r="Y3321"/>
  <c r="AA3321"/>
  <c r="AB3321"/>
  <c r="AC3321"/>
  <c r="AD3321"/>
  <c r="P3322"/>
  <c r="W3322"/>
  <c r="Y3322"/>
  <c r="AA3322"/>
  <c r="AB3322"/>
  <c r="AC3322"/>
  <c r="AD3322"/>
  <c r="P3323"/>
  <c r="W3323"/>
  <c r="Y3323"/>
  <c r="AA3323"/>
  <c r="AB3323"/>
  <c r="AC3323"/>
  <c r="AD3323"/>
  <c r="P3324"/>
  <c r="W3324"/>
  <c r="Y3324"/>
  <c r="AA3324"/>
  <c r="AB3324"/>
  <c r="AC3324"/>
  <c r="AD3324"/>
  <c r="P3325"/>
  <c r="W3325"/>
  <c r="Y3325"/>
  <c r="AA3325"/>
  <c r="AB3325"/>
  <c r="AC3325"/>
  <c r="AD3325"/>
  <c r="P3326"/>
  <c r="W3326"/>
  <c r="Y3326"/>
  <c r="AA3326"/>
  <c r="AB3326"/>
  <c r="AC3326"/>
  <c r="AD3326"/>
  <c r="P3327"/>
  <c r="W3327"/>
  <c r="Y3327"/>
  <c r="AA3327"/>
  <c r="AB3327"/>
  <c r="AC3327"/>
  <c r="AD3327"/>
  <c r="P3328"/>
  <c r="W3328"/>
  <c r="Y3328"/>
  <c r="AA3328"/>
  <c r="AB3328"/>
  <c r="AC3328"/>
  <c r="AD3328"/>
  <c r="P3329"/>
  <c r="W3329"/>
  <c r="Y3329"/>
  <c r="AA3329"/>
  <c r="AB3329"/>
  <c r="AC3329"/>
  <c r="AD3329"/>
  <c r="P3330"/>
  <c r="W3330"/>
  <c r="Y3330"/>
  <c r="AA3330"/>
  <c r="AB3330"/>
  <c r="AC3330"/>
  <c r="AD3330"/>
  <c r="P3331"/>
  <c r="W3331"/>
  <c r="Y3331"/>
  <c r="AA3331"/>
  <c r="AB3331"/>
  <c r="AC3331"/>
  <c r="AD3331"/>
  <c r="P3332"/>
  <c r="W3332"/>
  <c r="Y3332"/>
  <c r="AA3332"/>
  <c r="AB3332"/>
  <c r="AC3332"/>
  <c r="AD3332"/>
  <c r="P3333"/>
  <c r="W3333"/>
  <c r="Y3333"/>
  <c r="AA3333"/>
  <c r="AB3333"/>
  <c r="AC3333"/>
  <c r="AD3333"/>
  <c r="P3334"/>
  <c r="W3334"/>
  <c r="Y3334"/>
  <c r="AA3334"/>
  <c r="AB3334"/>
  <c r="AC3334"/>
  <c r="AD3334"/>
  <c r="P3335"/>
  <c r="W3335"/>
  <c r="Y3335"/>
  <c r="AA3335"/>
  <c r="AB3335"/>
  <c r="AC3335"/>
  <c r="AD3335"/>
  <c r="P3336"/>
  <c r="W3336"/>
  <c r="Y3336"/>
  <c r="AA3336"/>
  <c r="AB3336"/>
  <c r="AC3336"/>
  <c r="AD3336"/>
  <c r="P3337"/>
  <c r="W3337"/>
  <c r="Y3337"/>
  <c r="AA3337"/>
  <c r="AB3337"/>
  <c r="AC3337"/>
  <c r="AD3337"/>
  <c r="P3338"/>
  <c r="W3338"/>
  <c r="Y3338"/>
  <c r="AA3338"/>
  <c r="AB3338"/>
  <c r="AC3338"/>
  <c r="AD3338"/>
  <c r="P3339"/>
  <c r="W3339"/>
  <c r="Y3339"/>
  <c r="AA3339"/>
  <c r="AB3339"/>
  <c r="AC3339"/>
  <c r="AD3339"/>
  <c r="P3340"/>
  <c r="W3340"/>
  <c r="Y3340"/>
  <c r="AA3340"/>
  <c r="AB3340"/>
  <c r="AC3340"/>
  <c r="AD3340"/>
  <c r="P3341"/>
  <c r="W3341"/>
  <c r="Y3341"/>
  <c r="AA3341"/>
  <c r="AB3341"/>
  <c r="AC3341"/>
  <c r="AD3341"/>
  <c r="P3342"/>
  <c r="W3342"/>
  <c r="Y3342"/>
  <c r="AA3342"/>
  <c r="AB3342"/>
  <c r="AC3342"/>
  <c r="AD3342"/>
  <c r="P3343"/>
  <c r="W3343"/>
  <c r="Y3343"/>
  <c r="AA3343"/>
  <c r="AB3343"/>
  <c r="AC3343"/>
  <c r="AD3343"/>
  <c r="P3344"/>
  <c r="W3344"/>
  <c r="Y3344"/>
  <c r="AA3344"/>
  <c r="AB3344"/>
  <c r="AC3344"/>
  <c r="AD3344"/>
  <c r="P3345"/>
  <c r="W3345"/>
  <c r="Y3345"/>
  <c r="AA3345"/>
  <c r="AB3345"/>
  <c r="AC3345"/>
  <c r="AD3345"/>
  <c r="P3346"/>
  <c r="W3346"/>
  <c r="Y3346"/>
  <c r="AA3346"/>
  <c r="AB3346"/>
  <c r="AC3346"/>
  <c r="AD3346"/>
  <c r="P3347"/>
  <c r="W3347"/>
  <c r="Y3347"/>
  <c r="AA3347"/>
  <c r="AB3347"/>
  <c r="AC3347"/>
  <c r="AD3347"/>
  <c r="P3348"/>
  <c r="W3348"/>
  <c r="Y3348"/>
  <c r="AA3348"/>
  <c r="AB3348"/>
  <c r="AC3348"/>
  <c r="AD3348"/>
  <c r="P3349"/>
  <c r="W3349"/>
  <c r="Y3349"/>
  <c r="AA3349"/>
  <c r="AB3349"/>
  <c r="AC3349"/>
  <c r="AD3349"/>
  <c r="P3350"/>
  <c r="W3350"/>
  <c r="Y3350"/>
  <c r="AA3350"/>
  <c r="AB3350"/>
  <c r="AC3350"/>
  <c r="AD3350"/>
  <c r="P3351"/>
  <c r="W3351"/>
  <c r="Y3351"/>
  <c r="AA3351"/>
  <c r="AB3351"/>
  <c r="AC3351"/>
  <c r="AD3351"/>
  <c r="P3352"/>
  <c r="W3352"/>
  <c r="Y3352"/>
  <c r="AA3352"/>
  <c r="AB3352"/>
  <c r="AC3352"/>
  <c r="AD3352"/>
  <c r="P3353"/>
  <c r="W3353"/>
  <c r="Y3353"/>
  <c r="AA3353"/>
  <c r="AB3353"/>
  <c r="AC3353"/>
  <c r="AD3353"/>
  <c r="P3354"/>
  <c r="W3354"/>
  <c r="Y3354"/>
  <c r="AA3354"/>
  <c r="AB3354"/>
  <c r="AC3354"/>
  <c r="AD3354"/>
  <c r="P3355"/>
  <c r="W3355"/>
  <c r="Y3355"/>
  <c r="AA3355"/>
  <c r="AB3355"/>
  <c r="AC3355"/>
  <c r="AD3355"/>
  <c r="P3356"/>
  <c r="W3356"/>
  <c r="Y3356"/>
  <c r="AA3356"/>
  <c r="AB3356"/>
  <c r="AC3356"/>
  <c r="AD3356"/>
  <c r="P3357"/>
  <c r="W3357"/>
  <c r="Y3357"/>
  <c r="AA3357"/>
  <c r="AB3357"/>
  <c r="AC3357"/>
  <c r="AD3357"/>
  <c r="P3358"/>
  <c r="W3358"/>
  <c r="Y3358"/>
  <c r="AA3358"/>
  <c r="AB3358"/>
  <c r="AC3358"/>
  <c r="AD3358"/>
  <c r="P3359"/>
  <c r="W3359"/>
  <c r="Y3359"/>
  <c r="AA3359"/>
  <c r="AB3359"/>
  <c r="AC3359"/>
  <c r="AD3359"/>
  <c r="P3360"/>
  <c r="W3360"/>
  <c r="Y3360"/>
  <c r="AA3360"/>
  <c r="AB3360"/>
  <c r="AC3360"/>
  <c r="AD3360"/>
  <c r="P3361"/>
  <c r="W3361"/>
  <c r="Y3361"/>
  <c r="AA3361"/>
  <c r="AB3361"/>
  <c r="AC3361"/>
  <c r="AD3361"/>
  <c r="P3362"/>
  <c r="W3362"/>
  <c r="Y3362"/>
  <c r="AA3362"/>
  <c r="AB3362"/>
  <c r="AC3362"/>
  <c r="AD3362"/>
  <c r="P3363"/>
  <c r="W3363"/>
  <c r="Y3363"/>
  <c r="AA3363"/>
  <c r="AB3363"/>
  <c r="AC3363"/>
  <c r="AD3363"/>
  <c r="P3364"/>
  <c r="W3364"/>
  <c r="Y3364"/>
  <c r="AA3364"/>
  <c r="AB3364"/>
  <c r="AC3364"/>
  <c r="AD3364"/>
  <c r="P3365"/>
  <c r="W3365"/>
  <c r="Y3365"/>
  <c r="AA3365"/>
  <c r="AB3365"/>
  <c r="AC3365"/>
  <c r="AD3365"/>
  <c r="P3366"/>
  <c r="W3366"/>
  <c r="Y3366"/>
  <c r="AA3366"/>
  <c r="AB3366"/>
  <c r="AC3366"/>
  <c r="AD3366"/>
  <c r="P3367"/>
  <c r="W3367"/>
  <c r="Y3367"/>
  <c r="AA3367"/>
  <c r="AB3367"/>
  <c r="AC3367"/>
  <c r="AD3367"/>
  <c r="P3368"/>
  <c r="W3368"/>
  <c r="Y3368"/>
  <c r="AA3368"/>
  <c r="AB3368"/>
  <c r="AC3368"/>
  <c r="AD3368"/>
  <c r="P3369"/>
  <c r="W3369"/>
  <c r="Y3369"/>
  <c r="AA3369"/>
  <c r="AB3369"/>
  <c r="AC3369"/>
  <c r="AD3369"/>
  <c r="P3370"/>
  <c r="W3370"/>
  <c r="Y3370"/>
  <c r="AA3370"/>
  <c r="AB3370"/>
  <c r="AC3370"/>
  <c r="AD3370"/>
  <c r="P3371"/>
  <c r="W3371"/>
  <c r="Y3371"/>
  <c r="AA3371"/>
  <c r="AB3371"/>
  <c r="AC3371"/>
  <c r="AD3371"/>
  <c r="P3372"/>
  <c r="W3372"/>
  <c r="Y3372"/>
  <c r="AA3372"/>
  <c r="AB3372"/>
  <c r="AC3372"/>
  <c r="AD3372"/>
  <c r="P3373"/>
  <c r="W3373"/>
  <c r="Y3373"/>
  <c r="AA3373"/>
  <c r="AB3373"/>
  <c r="AC3373"/>
  <c r="AD3373"/>
  <c r="P3374"/>
  <c r="W3374"/>
  <c r="Y3374"/>
  <c r="AA3374"/>
  <c r="AB3374"/>
  <c r="AC3374"/>
  <c r="AD3374"/>
  <c r="P3375"/>
  <c r="W3375"/>
  <c r="Y3375"/>
  <c r="AA3375"/>
  <c r="AB3375"/>
  <c r="AC3375"/>
  <c r="AD3375"/>
  <c r="P3376"/>
  <c r="W3376"/>
  <c r="Y3376"/>
  <c r="AA3376"/>
  <c r="AB3376"/>
  <c r="AC3376"/>
  <c r="AD3376"/>
  <c r="P3377"/>
  <c r="W3377"/>
  <c r="Y3377"/>
  <c r="AA3377"/>
  <c r="AB3377"/>
  <c r="AC3377"/>
  <c r="AD3377"/>
  <c r="P3378"/>
  <c r="W3378"/>
  <c r="Y3378"/>
  <c r="AA3378"/>
  <c r="AB3378"/>
  <c r="AC3378"/>
  <c r="AD3378"/>
  <c r="P3379"/>
  <c r="W3379"/>
  <c r="Y3379"/>
  <c r="AA3379"/>
  <c r="AB3379"/>
  <c r="AC3379"/>
  <c r="AD3379"/>
  <c r="P3380"/>
  <c r="W3380"/>
  <c r="Y3380"/>
  <c r="AA3380"/>
  <c r="AB3380"/>
  <c r="AC3380"/>
  <c r="AD3380"/>
  <c r="P3381"/>
  <c r="W3381"/>
  <c r="Y3381"/>
  <c r="AA3381"/>
  <c r="AB3381"/>
  <c r="AC3381"/>
  <c r="AD3381"/>
  <c r="P3382"/>
  <c r="W3382"/>
  <c r="Y3382"/>
  <c r="AA3382"/>
  <c r="AB3382"/>
  <c r="AC3382"/>
  <c r="AD3382"/>
  <c r="P3383"/>
  <c r="W3383"/>
  <c r="Y3383"/>
  <c r="AA3383"/>
  <c r="AB3383"/>
  <c r="AC3383"/>
  <c r="AD3383"/>
  <c r="P3384"/>
  <c r="W3384"/>
  <c r="Y3384"/>
  <c r="AB3384"/>
  <c r="AC3384"/>
  <c r="AD3384"/>
  <c r="P3385"/>
  <c r="W3385"/>
  <c r="Y3385"/>
  <c r="AB3385"/>
  <c r="AC3385"/>
  <c r="AD3385"/>
  <c r="P3386"/>
  <c r="W3386"/>
  <c r="Y3386"/>
  <c r="AB3386"/>
  <c r="AC3386"/>
  <c r="AD3386"/>
  <c r="P3387"/>
  <c r="W3387"/>
  <c r="Y3387"/>
  <c r="AB3387"/>
  <c r="AC3387"/>
  <c r="AD3387"/>
  <c r="P3388"/>
  <c r="W3388"/>
  <c r="Y3388"/>
  <c r="AB3388"/>
  <c r="AC3388"/>
  <c r="AD3388"/>
  <c r="P3389"/>
  <c r="W3389"/>
  <c r="Y3389"/>
  <c r="AB3389"/>
  <c r="AC3389"/>
  <c r="AD3389"/>
  <c r="P3390"/>
  <c r="W3390"/>
  <c r="Y3390"/>
  <c r="AB3390"/>
  <c r="AC3390"/>
  <c r="AD3390"/>
  <c r="P3391"/>
  <c r="W3391"/>
  <c r="Y3391"/>
  <c r="AB3391"/>
  <c r="AC3391"/>
  <c r="AD3391"/>
  <c r="P3392"/>
  <c r="W3392"/>
  <c r="Y3392"/>
  <c r="AA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3"/>
  <c r="W3403"/>
  <c r="Y3403"/>
  <c r="AB3403"/>
  <c r="AC3403"/>
  <c r="AD3403"/>
  <c r="P3404"/>
  <c r="W3404"/>
  <c r="Y3404"/>
  <c r="AB3404"/>
  <c r="AC3404"/>
  <c r="AD3404"/>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A3415"/>
  <c r="AB3415"/>
  <c r="AC3415"/>
  <c r="AD3415"/>
  <c r="P3416"/>
  <c r="W3416"/>
  <c r="Y3416"/>
  <c r="AB3416"/>
  <c r="AC3416"/>
  <c r="AD3416"/>
  <c r="P3417"/>
  <c r="W3417"/>
  <c r="Y3417"/>
  <c r="AB3417"/>
  <c r="AC3417"/>
  <c r="AD3417"/>
  <c r="P3418"/>
  <c r="W3418"/>
  <c r="Y3418"/>
  <c r="AB3418"/>
  <c r="AC3418"/>
  <c r="AD3418"/>
  <c r="P3419"/>
  <c r="W3419"/>
  <c r="Y3419"/>
  <c r="AA3419"/>
  <c r="AB3419"/>
  <c r="AC3419"/>
  <c r="AD3419"/>
  <c r="P3420"/>
  <c r="W3420"/>
  <c r="Y3420"/>
  <c r="AB3420"/>
  <c r="AC3420"/>
  <c r="AD3420"/>
  <c r="P3421"/>
  <c r="W3421"/>
  <c r="Y3421"/>
  <c r="AB3421"/>
  <c r="AC3421"/>
  <c r="AD3421"/>
  <c r="P3422"/>
  <c r="W3422"/>
  <c r="Y3422"/>
  <c r="AB3422"/>
  <c r="AC3422"/>
  <c r="AD3422"/>
  <c r="P3423"/>
  <c r="W3423"/>
  <c r="Y3423"/>
  <c r="AB3423"/>
  <c r="AC3423"/>
  <c r="AD3423"/>
  <c r="P3424"/>
  <c r="W3424"/>
  <c r="Y3424"/>
  <c r="AB3424"/>
  <c r="AC3424"/>
  <c r="AD3424"/>
  <c r="P3425"/>
  <c r="W3425"/>
  <c r="Y3425"/>
  <c r="AB3425"/>
  <c r="AC3425"/>
  <c r="AD3425"/>
  <c r="P3426"/>
  <c r="W3426"/>
  <c r="Y3426"/>
  <c r="AB3426"/>
  <c r="AC3426"/>
  <c r="AD3426"/>
  <c r="P3427"/>
  <c r="W3427"/>
  <c r="Y3427"/>
  <c r="AB3427"/>
  <c r="AC3427"/>
  <c r="AD3427"/>
  <c r="P3428"/>
  <c r="W3428"/>
  <c r="Y3428"/>
  <c r="AB3428"/>
  <c r="AC3428"/>
  <c r="AD3428"/>
  <c r="P3429"/>
  <c r="W3429"/>
  <c r="Y3429"/>
  <c r="AB3429"/>
  <c r="AC3429"/>
  <c r="AD3429"/>
  <c r="P3430"/>
  <c r="W3430"/>
  <c r="Y3430"/>
  <c r="AB3430"/>
  <c r="AC3430"/>
  <c r="AD3430"/>
  <c r="P3431"/>
  <c r="W3431"/>
  <c r="Y3431"/>
  <c r="AB3431"/>
  <c r="AC3431"/>
  <c r="AD3431"/>
  <c r="P3432"/>
  <c r="W3432"/>
  <c r="Y3432"/>
  <c r="AB3432"/>
  <c r="AC3432"/>
  <c r="AD3432"/>
  <c r="P3433"/>
  <c r="W3433"/>
  <c r="Y3433"/>
  <c r="AB3433"/>
  <c r="AC3433"/>
  <c r="AD3433"/>
  <c r="P3434"/>
  <c r="W3434"/>
  <c r="Y3434"/>
  <c r="AB3434"/>
  <c r="AC3434"/>
  <c r="AD3434"/>
  <c r="P3435"/>
  <c r="W3435"/>
  <c r="Y3435"/>
  <c r="AB3435"/>
  <c r="AC3435"/>
  <c r="AD3435"/>
  <c r="P3436"/>
  <c r="W3436"/>
  <c r="Y3436"/>
  <c r="AB3436"/>
  <c r="AC3436"/>
  <c r="AD3436"/>
  <c r="P3437"/>
  <c r="W3437"/>
  <c r="Y3437"/>
  <c r="AB3437"/>
  <c r="AC3437"/>
  <c r="AD3437"/>
  <c r="P3438"/>
  <c r="W3438"/>
  <c r="Y3438"/>
  <c r="AB3438"/>
  <c r="AC3438"/>
  <c r="AD3438"/>
  <c r="P3439"/>
  <c r="W3439"/>
  <c r="Y3439"/>
  <c r="AB3439"/>
  <c r="AC3439"/>
  <c r="AD3439"/>
  <c r="P3440"/>
  <c r="W3440"/>
  <c r="Y3440"/>
  <c r="AB3440"/>
  <c r="AC3440"/>
  <c r="AD3440"/>
  <c r="P3441"/>
  <c r="W3441"/>
  <c r="Y3441"/>
  <c r="AB3441"/>
  <c r="AC3441"/>
  <c r="AD3441"/>
  <c r="P3442"/>
  <c r="W3442"/>
  <c r="Y3442"/>
  <c r="AB3442"/>
  <c r="AC3442"/>
  <c r="AD3442"/>
  <c r="P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A3459"/>
  <c r="AB3459"/>
  <c r="AC3459"/>
  <c r="AD3459"/>
  <c r="P3460"/>
  <c r="W3460"/>
  <c r="Y3460"/>
  <c r="AB3460"/>
  <c r="AC3460"/>
  <c r="AD3460"/>
  <c r="P3461"/>
  <c r="W3461"/>
  <c r="Y3461"/>
  <c r="AA3461"/>
  <c r="AB3461"/>
  <c r="AC3461"/>
  <c r="AD3461"/>
  <c r="P3462"/>
  <c r="W3462"/>
  <c r="Y3462"/>
  <c r="AB3462"/>
  <c r="AC3462"/>
  <c r="AD3462"/>
  <c r="P3463"/>
  <c r="W3463"/>
  <c r="Y3463"/>
  <c r="AB3463"/>
  <c r="AC3463"/>
  <c r="AD3463"/>
  <c r="P3464"/>
  <c r="W3464"/>
  <c r="Y3464"/>
  <c r="AB3464"/>
  <c r="AC3464"/>
  <c r="AD3464"/>
  <c r="P3465"/>
  <c r="W3465"/>
  <c r="Y3465"/>
  <c r="AA3465"/>
  <c r="AB3465"/>
  <c r="AC3465"/>
  <c r="AD3465"/>
  <c r="P3466"/>
  <c r="W3466"/>
  <c r="Y3466"/>
  <c r="AB3466"/>
  <c r="AC3466"/>
  <c r="AD3466"/>
  <c r="P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A3473"/>
  <c r="AB3473"/>
  <c r="AC3473"/>
  <c r="AD3473"/>
  <c r="P3474"/>
  <c r="W3474"/>
  <c r="Y3474"/>
  <c r="AA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W3495"/>
  <c r="Y3495"/>
  <c r="AB3495"/>
  <c r="AC3495"/>
  <c r="AD3495"/>
  <c r="P3496"/>
  <c r="W3496"/>
  <c r="Y3496"/>
  <c r="AB3496"/>
  <c r="AC3496"/>
  <c r="AD3496"/>
  <c r="P3497"/>
  <c r="W3497"/>
  <c r="Y3497"/>
  <c r="AA3497"/>
  <c r="AB3497"/>
  <c r="AC3497"/>
  <c r="AD3497"/>
  <c r="P3498"/>
  <c r="W3498"/>
  <c r="Y3498"/>
  <c r="AB3498"/>
  <c r="AC3498"/>
  <c r="AD3498"/>
  <c r="P3499"/>
  <c r="W3499"/>
  <c r="Y3499"/>
  <c r="AB3499"/>
  <c r="AC3499"/>
  <c r="AD3499"/>
  <c r="P3500"/>
  <c r="W3500"/>
  <c r="Y3500"/>
  <c r="AB3500"/>
  <c r="AC3500"/>
  <c r="AD3500"/>
  <c r="P3501"/>
  <c r="W3501"/>
  <c r="Y3501"/>
  <c r="AB3501"/>
  <c r="AC3501"/>
  <c r="AD3501"/>
  <c r="P3502"/>
  <c r="W3502"/>
  <c r="Y3502"/>
  <c r="AB3502"/>
  <c r="AC3502"/>
  <c r="AD3502"/>
  <c r="P3503"/>
  <c r="W3503"/>
  <c r="Y3503"/>
  <c r="AB3503"/>
  <c r="AC3503"/>
  <c r="AD3503"/>
  <c r="P3504"/>
  <c r="W3504"/>
  <c r="Y3504"/>
  <c r="AB3504"/>
  <c r="AC3504"/>
  <c r="AD3504"/>
  <c r="P3505"/>
  <c r="W3505"/>
  <c r="Y3505"/>
  <c r="AB3505"/>
  <c r="AC3505"/>
  <c r="AD3505"/>
  <c r="P3506"/>
  <c r="W3506"/>
  <c r="Y3506"/>
  <c r="AB3506"/>
  <c r="AC3506"/>
  <c r="AD3506"/>
  <c r="P3507"/>
  <c r="W3507"/>
  <c r="Y3507"/>
  <c r="AB3507"/>
  <c r="AC3507"/>
  <c r="AD3507"/>
  <c r="P3508"/>
  <c r="W3508"/>
  <c r="Y3508"/>
  <c r="AB3508"/>
  <c r="AC3508"/>
  <c r="AD3508"/>
  <c r="P3509"/>
  <c r="W3509"/>
  <c r="Y3509"/>
  <c r="AB3509"/>
  <c r="AC3509"/>
  <c r="AD3509"/>
  <c r="P3510"/>
  <c r="W3510"/>
  <c r="Y3510"/>
  <c r="AB3510"/>
  <c r="AC3510"/>
  <c r="AD3510"/>
  <c r="P3511"/>
  <c r="W3511"/>
  <c r="Y3511"/>
  <c r="AB3511"/>
  <c r="AC3511"/>
  <c r="AD3511"/>
  <c r="P3512"/>
  <c r="W3512"/>
  <c r="Y3512"/>
  <c r="AB3512"/>
  <c r="AC3512"/>
  <c r="AD3512"/>
  <c r="P3513"/>
  <c r="W3513"/>
  <c r="Y3513"/>
  <c r="AB3513"/>
  <c r="AC3513"/>
  <c r="AD3513"/>
  <c r="P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W3521"/>
  <c r="Y3521"/>
  <c r="AB3521"/>
  <c r="AC3521"/>
  <c r="AD3521"/>
  <c r="P3522"/>
  <c r="W3522"/>
  <c r="Y3522"/>
  <c r="AB3522"/>
  <c r="AC3522"/>
  <c r="AD3522"/>
  <c r="P3523"/>
  <c r="W3523"/>
  <c r="Y3523"/>
  <c r="AB3523"/>
  <c r="AC3523"/>
  <c r="AD3523"/>
  <c r="P3524"/>
  <c r="W3524"/>
  <c r="Y3524"/>
  <c r="AB3524"/>
  <c r="AC3524"/>
  <c r="AD3524"/>
  <c r="P3525"/>
  <c r="W3525"/>
  <c r="Y3525"/>
  <c r="AB3525"/>
  <c r="AC3525"/>
  <c r="AD3525"/>
  <c r="P3526"/>
  <c r="W3526"/>
  <c r="Y3526"/>
  <c r="AB3526"/>
  <c r="AC3526"/>
  <c r="AD3526"/>
  <c r="P3527"/>
  <c r="W3527"/>
  <c r="Y3527"/>
  <c r="AB3527"/>
  <c r="AC3527"/>
  <c r="AD3527"/>
  <c r="P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W3553"/>
  <c r="Y3553"/>
  <c r="AB3553"/>
  <c r="AC3553"/>
  <c r="AD3553"/>
  <c r="P3554"/>
  <c r="W3554"/>
  <c r="Y3554"/>
  <c r="AB3554"/>
  <c r="AC3554"/>
  <c r="AD3554"/>
  <c r="P3555"/>
  <c r="W3555"/>
  <c r="Y3555"/>
  <c r="AB3555"/>
  <c r="AC3555"/>
  <c r="AD3555"/>
  <c r="P3556"/>
  <c r="W3556"/>
  <c r="Y3556"/>
  <c r="AB3556"/>
  <c r="AC3556"/>
  <c r="AD3556"/>
  <c r="P3557"/>
  <c r="W3557"/>
  <c r="Y3557"/>
  <c r="AB3557"/>
  <c r="AC3557"/>
  <c r="AD3557"/>
  <c r="P3558"/>
  <c r="W3558"/>
  <c r="Y3558"/>
  <c r="AB3558"/>
  <c r="AC3558"/>
  <c r="AD3558"/>
  <c r="P3559"/>
  <c r="W3559"/>
  <c r="Y3559"/>
  <c r="AB3559"/>
  <c r="AC3559"/>
  <c r="AD3559"/>
  <c r="P3560"/>
  <c r="W3560"/>
  <c r="Y3560"/>
  <c r="AB3560"/>
  <c r="AC3560"/>
  <c r="AD3560"/>
  <c r="P3561"/>
  <c r="W3561"/>
  <c r="Y3561"/>
  <c r="AB3561"/>
  <c r="AC3561"/>
  <c r="AD3561"/>
  <c r="P3562"/>
  <c r="W3562"/>
  <c r="Y3562"/>
  <c r="AB3562"/>
  <c r="AC3562"/>
  <c r="AD3562"/>
  <c r="P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W3574"/>
  <c r="Y3574"/>
  <c r="AB3574"/>
  <c r="AC3574"/>
  <c r="AD3574"/>
  <c r="P3575"/>
  <c r="W3575"/>
  <c r="Y3575"/>
  <c r="AB3575"/>
  <c r="AC3575"/>
  <c r="AD3575"/>
  <c r="P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W3581"/>
  <c r="Y3581"/>
  <c r="AB3581"/>
  <c r="AC3581"/>
  <c r="AD3581"/>
  <c r="P3582"/>
  <c r="W3582"/>
  <c r="Y3582"/>
  <c r="AB3582"/>
  <c r="AC3582"/>
  <c r="AD3582"/>
  <c r="P3583"/>
  <c r="W3583"/>
  <c r="Y3583"/>
  <c r="AB3583"/>
  <c r="AC3583"/>
  <c r="AD3583"/>
  <c r="P3584"/>
  <c r="W3584"/>
  <c r="Y3584"/>
  <c r="AB3584"/>
  <c r="AC3584"/>
  <c r="AD3584"/>
  <c r="P3585"/>
  <c r="W3585"/>
  <c r="Y3585"/>
  <c r="AB3585"/>
  <c r="AC3585"/>
  <c r="AD3585"/>
  <c r="P3587"/>
  <c r="Q3587"/>
  <c r="R3587"/>
  <c r="S3587"/>
  <c r="T3587"/>
  <c r="U3587"/>
  <c r="V3587"/>
  <c r="W3587"/>
  <c r="Y3587"/>
  <c r="AA3587"/>
  <c r="AB3587"/>
  <c r="AC3587"/>
  <c r="AD3587"/>
  <c r="P3588"/>
  <c r="W3588"/>
  <c r="Y3588"/>
  <c r="AA3588"/>
  <c r="AB3588"/>
  <c r="AC3588"/>
  <c r="AD3588"/>
  <c r="P3589"/>
  <c r="W3589"/>
  <c r="Y3589"/>
  <c r="AA3589"/>
  <c r="AB3589"/>
  <c r="AC3589"/>
  <c r="AD3589"/>
  <c r="P3590"/>
  <c r="W3590"/>
  <c r="Y3590"/>
  <c r="AA3590"/>
  <c r="AB3590"/>
  <c r="AC3590"/>
  <c r="AD3590"/>
  <c r="P3591"/>
  <c r="W3591"/>
  <c r="Y3591"/>
  <c r="AA3591"/>
  <c r="AB3591"/>
  <c r="AC3591"/>
  <c r="AD3591"/>
  <c r="P3592"/>
  <c r="W3592"/>
  <c r="Y3592"/>
  <c r="AA3592"/>
  <c r="AB3592"/>
  <c r="AC3592"/>
  <c r="AD3592"/>
  <c r="P3593"/>
  <c r="W3593"/>
  <c r="Y3593"/>
  <c r="AA3593"/>
  <c r="AB3593"/>
  <c r="AC3593"/>
  <c r="AD3593"/>
  <c r="P3594"/>
  <c r="W3594"/>
  <c r="Y3594"/>
  <c r="AA3594"/>
  <c r="AB3594"/>
  <c r="AC3594"/>
  <c r="AD3594"/>
  <c r="P3595"/>
  <c r="W3595"/>
  <c r="Y3595"/>
  <c r="AA3595"/>
  <c r="AB3595"/>
  <c r="AC3595"/>
  <c r="AD3595"/>
  <c r="P3596"/>
  <c r="W3596"/>
  <c r="Y3596"/>
  <c r="AA3596"/>
  <c r="AB3596"/>
  <c r="AC3596"/>
  <c r="AD3596"/>
  <c r="P3597"/>
  <c r="W3597"/>
  <c r="Y3597"/>
  <c r="AA3597"/>
  <c r="AB3597"/>
  <c r="AC3597"/>
  <c r="AD3597"/>
  <c r="P3598"/>
  <c r="W3598"/>
  <c r="Y3598"/>
  <c r="AA3598"/>
  <c r="AB3598"/>
  <c r="AC3598"/>
  <c r="AD3598"/>
  <c r="P3599"/>
  <c r="W3599"/>
  <c r="Y3599"/>
  <c r="AA3599"/>
  <c r="AB3599"/>
  <c r="AC3599"/>
  <c r="AD3599"/>
  <c r="P3600"/>
  <c r="W3600"/>
  <c r="Y3600"/>
  <c r="AA3600"/>
  <c r="AB3600"/>
  <c r="AC3600"/>
  <c r="AD3600"/>
  <c r="P3601"/>
  <c r="W3601"/>
  <c r="Y3601"/>
  <c r="AA3601"/>
  <c r="AB3601"/>
  <c r="AC3601"/>
  <c r="AD3601"/>
  <c r="P3602"/>
  <c r="W3602"/>
  <c r="Y3602"/>
  <c r="AA3602"/>
  <c r="AB3602"/>
  <c r="AC3602"/>
  <c r="AD3602"/>
  <c r="P3603"/>
  <c r="W3603"/>
  <c r="Y3603"/>
  <c r="AA3603"/>
  <c r="AB3603"/>
  <c r="AC3603"/>
  <c r="AD3603"/>
  <c r="P3604"/>
  <c r="W3604"/>
  <c r="Y3604"/>
  <c r="AA3604"/>
  <c r="AB3604"/>
  <c r="AC3604"/>
  <c r="AD3604"/>
  <c r="P3605"/>
  <c r="W3605"/>
  <c r="Y3605"/>
  <c r="AA3605"/>
  <c r="AB3605"/>
  <c r="AC3605"/>
  <c r="AD3605"/>
  <c r="P3606"/>
  <c r="W3606"/>
  <c r="Y3606"/>
  <c r="AA3606"/>
  <c r="AB3606"/>
  <c r="AC3606"/>
  <c r="AD3606"/>
  <c r="P3607"/>
  <c r="W3607"/>
  <c r="Y3607"/>
  <c r="AA3607"/>
  <c r="AB3607"/>
  <c r="AC3607"/>
  <c r="AD3607"/>
  <c r="P3608"/>
  <c r="W3608"/>
  <c r="Y3608"/>
  <c r="AA3608"/>
  <c r="AB3608"/>
  <c r="AC3608"/>
  <c r="AD3608"/>
  <c r="P3609"/>
  <c r="W3609"/>
  <c r="Y3609"/>
  <c r="AA3609"/>
  <c r="AB3609"/>
  <c r="AC3609"/>
  <c r="AD3609"/>
  <c r="P3610"/>
  <c r="W3610"/>
  <c r="Y3610"/>
  <c r="AA3610"/>
  <c r="AB3610"/>
  <c r="AC3610"/>
  <c r="AD3610"/>
  <c r="P3611"/>
  <c r="W3611"/>
  <c r="Y3611"/>
  <c r="AA3611"/>
  <c r="AB3611"/>
  <c r="AC3611"/>
  <c r="AD3611"/>
  <c r="P3612"/>
  <c r="W3612"/>
  <c r="Y3612"/>
  <c r="AA3612"/>
  <c r="AB3612"/>
  <c r="AC3612"/>
  <c r="AD3612"/>
  <c r="P3613"/>
  <c r="W3613"/>
  <c r="Y3613"/>
  <c r="AA3613"/>
  <c r="AB3613"/>
  <c r="AC3613"/>
  <c r="AD3613"/>
  <c r="P3614"/>
  <c r="W3614"/>
  <c r="Y3614"/>
  <c r="AA3614"/>
  <c r="AB3614"/>
  <c r="AC3614"/>
  <c r="AD3614"/>
  <c r="P3615"/>
  <c r="W3615"/>
  <c r="Y3615"/>
  <c r="AA3615"/>
  <c r="AB3615"/>
  <c r="AC3615"/>
  <c r="AD3615"/>
  <c r="P3616"/>
  <c r="W3616"/>
  <c r="Y3616"/>
  <c r="AA3616"/>
  <c r="AB3616"/>
  <c r="AC3616"/>
  <c r="AD3616"/>
  <c r="P3617"/>
  <c r="W3617"/>
  <c r="Y3617"/>
  <c r="AA3617"/>
  <c r="AB3617"/>
  <c r="AC3617"/>
  <c r="AD3617"/>
  <c r="P3618"/>
  <c r="W3618"/>
  <c r="Y3618"/>
  <c r="AA3618"/>
  <c r="AB3618"/>
  <c r="AC3618"/>
  <c r="AD3618"/>
  <c r="P3619"/>
  <c r="W3619"/>
  <c r="Y3619"/>
  <c r="AA3619"/>
  <c r="AB3619"/>
  <c r="AC3619"/>
  <c r="AD3619"/>
  <c r="P3620"/>
  <c r="W3620"/>
  <c r="Y3620"/>
  <c r="AA3620"/>
  <c r="AB3620"/>
  <c r="AC3620"/>
  <c r="AD3620"/>
  <c r="P3621"/>
  <c r="W3621"/>
  <c r="Y3621"/>
  <c r="AA3621"/>
  <c r="AB3621"/>
  <c r="AC3621"/>
  <c r="AD3621"/>
  <c r="P3622"/>
  <c r="W3622"/>
  <c r="Y3622"/>
  <c r="AA3622"/>
  <c r="AB3622"/>
  <c r="AC3622"/>
  <c r="AD3622"/>
  <c r="P3623"/>
  <c r="W3623"/>
  <c r="Y3623"/>
  <c r="AA3623"/>
  <c r="AB3623"/>
  <c r="AC3623"/>
  <c r="AD3623"/>
  <c r="P3624"/>
  <c r="W3624"/>
  <c r="Y3624"/>
  <c r="AA3624"/>
  <c r="AB3624"/>
  <c r="AC3624"/>
  <c r="AD3624"/>
  <c r="P3625"/>
  <c r="W3625"/>
  <c r="Y3625"/>
  <c r="AA3625"/>
  <c r="AB3625"/>
  <c r="AC3625"/>
  <c r="AD3625"/>
  <c r="P3626"/>
  <c r="W3626"/>
  <c r="Y3626"/>
  <c r="AA3626"/>
  <c r="AB3626"/>
  <c r="AC3626"/>
  <c r="AD3626"/>
  <c r="P3627"/>
  <c r="W3627"/>
  <c r="Y3627"/>
  <c r="AA3627"/>
  <c r="AB3627"/>
  <c r="AC3627"/>
  <c r="AD3627"/>
  <c r="P3628"/>
  <c r="W3628"/>
  <c r="Y3628"/>
  <c r="AA3628"/>
  <c r="AB3628"/>
  <c r="AC3628"/>
  <c r="AD3628"/>
  <c r="P3629"/>
  <c r="W3629"/>
  <c r="Y3629"/>
  <c r="AA3629"/>
  <c r="AB3629"/>
  <c r="AC3629"/>
  <c r="AD3629"/>
  <c r="P3630"/>
  <c r="W3630"/>
  <c r="Y3630"/>
  <c r="AA3630"/>
  <c r="AB3630"/>
  <c r="AC3630"/>
  <c r="AD3630"/>
  <c r="P3631"/>
  <c r="W3631"/>
  <c r="Y3631"/>
  <c r="AA3631"/>
  <c r="AB3631"/>
  <c r="AC3631"/>
  <c r="AD3631"/>
  <c r="P3632"/>
  <c r="W3632"/>
  <c r="Y3632"/>
  <c r="AA3632"/>
  <c r="AB3632"/>
  <c r="AC3632"/>
  <c r="AD3632"/>
  <c r="P3633"/>
  <c r="W3633"/>
  <c r="Y3633"/>
  <c r="AA3633"/>
  <c r="AB3633"/>
  <c r="AC3633"/>
  <c r="AD3633"/>
  <c r="P3634"/>
  <c r="W3634"/>
  <c r="Y3634"/>
  <c r="AA3634"/>
  <c r="AB3634"/>
  <c r="AC3634"/>
  <c r="AD3634"/>
  <c r="P3635"/>
  <c r="W3635"/>
  <c r="Y3635"/>
  <c r="AA3635"/>
  <c r="AB3635"/>
  <c r="AC3635"/>
  <c r="AD3635"/>
  <c r="P3636"/>
  <c r="W3636"/>
  <c r="Y3636"/>
  <c r="AA3636"/>
  <c r="AB3636"/>
  <c r="AC3636"/>
  <c r="AD3636"/>
  <c r="P3637"/>
  <c r="W3637"/>
  <c r="Y3637"/>
  <c r="AA3637"/>
  <c r="AB3637"/>
  <c r="AC3637"/>
  <c r="AD3637"/>
  <c r="P3638"/>
  <c r="W3638"/>
  <c r="Y3638"/>
  <c r="AA3638"/>
  <c r="AB3638"/>
  <c r="AC3638"/>
  <c r="AD3638"/>
  <c r="P3639"/>
  <c r="W3639"/>
  <c r="Y3639"/>
  <c r="AA3639"/>
  <c r="AB3639"/>
  <c r="AC3639"/>
  <c r="AD3639"/>
  <c r="P3640"/>
  <c r="W3640"/>
  <c r="Y3640"/>
  <c r="AA3640"/>
  <c r="AB3640"/>
  <c r="AC3640"/>
  <c r="AD3640"/>
  <c r="P3641"/>
  <c r="W3641"/>
  <c r="Y3641"/>
  <c r="AA3641"/>
  <c r="AB3641"/>
  <c r="AC3641"/>
  <c r="AD3641"/>
  <c r="P3642"/>
  <c r="W3642"/>
  <c r="Y3642"/>
  <c r="AA3642"/>
  <c r="AB3642"/>
  <c r="AC3642"/>
  <c r="AD3642"/>
  <c r="P3643"/>
  <c r="W3643"/>
  <c r="Y3643"/>
  <c r="AA3643"/>
  <c r="AB3643"/>
  <c r="AC3643"/>
  <c r="AD3643"/>
  <c r="P3644"/>
  <c r="W3644"/>
  <c r="Y3644"/>
  <c r="AA3644"/>
  <c r="AB3644"/>
  <c r="AC3644"/>
  <c r="AD3644"/>
  <c r="P3645"/>
  <c r="W3645"/>
  <c r="Y3645"/>
  <c r="AA3645"/>
  <c r="AB3645"/>
  <c r="AC3645"/>
  <c r="AD3645"/>
  <c r="P3646"/>
  <c r="W3646"/>
  <c r="Y3646"/>
  <c r="AA3646"/>
  <c r="AB3646"/>
  <c r="AC3646"/>
  <c r="AD3646"/>
  <c r="P3647"/>
  <c r="W3647"/>
  <c r="Y3647"/>
  <c r="AA3647"/>
  <c r="AB3647"/>
  <c r="AC3647"/>
  <c r="AD3647"/>
  <c r="P3648"/>
  <c r="W3648"/>
  <c r="Y3648"/>
  <c r="AA3648"/>
  <c r="AB3648"/>
  <c r="AC3648"/>
  <c r="AD3648"/>
  <c r="P3649"/>
  <c r="W3649"/>
  <c r="Y3649"/>
  <c r="AA3649"/>
  <c r="AB3649"/>
  <c r="AC3649"/>
  <c r="AD3649"/>
  <c r="P3650"/>
  <c r="W3650"/>
  <c r="Y3650"/>
  <c r="AA3650"/>
  <c r="AB3650"/>
  <c r="AC3650"/>
  <c r="AD3650"/>
  <c r="P3651"/>
  <c r="W3651"/>
  <c r="Y3651"/>
  <c r="AA3651"/>
  <c r="AB3651"/>
  <c r="AC3651"/>
  <c r="AD3651"/>
  <c r="P3652"/>
  <c r="W3652"/>
  <c r="Y3652"/>
  <c r="AA3652"/>
  <c r="AB3652"/>
  <c r="AC3652"/>
  <c r="AD3652"/>
  <c r="P3653"/>
  <c r="W3653"/>
  <c r="Y3653"/>
  <c r="AA3653"/>
  <c r="AB3653"/>
  <c r="AC3653"/>
  <c r="AD3653"/>
  <c r="P3654"/>
  <c r="W3654"/>
  <c r="Y3654"/>
  <c r="AA3654"/>
  <c r="AB3654"/>
  <c r="AC3654"/>
  <c r="AD3654"/>
  <c r="P3655"/>
  <c r="W3655"/>
  <c r="Y3655"/>
  <c r="AA3655"/>
  <c r="AB3655"/>
  <c r="AC3655"/>
  <c r="AD3655"/>
  <c r="P3656"/>
  <c r="W3656"/>
  <c r="Y3656"/>
  <c r="AA3656"/>
  <c r="AB3656"/>
  <c r="AC3656"/>
  <c r="AD3656"/>
  <c r="P3657"/>
  <c r="W3657"/>
  <c r="Y3657"/>
  <c r="AA3657"/>
  <c r="AB3657"/>
  <c r="AC3657"/>
  <c r="AD3657"/>
  <c r="P3658"/>
  <c r="W3658"/>
  <c r="Y3658"/>
  <c r="AA3658"/>
  <c r="AB3658"/>
  <c r="AC3658"/>
  <c r="AD3658"/>
  <c r="P3659"/>
  <c r="W3659"/>
  <c r="Y3659"/>
  <c r="AA3659"/>
  <c r="AB3659"/>
  <c r="AC3659"/>
  <c r="AD3659"/>
  <c r="P3660"/>
  <c r="W3660"/>
  <c r="Y3660"/>
  <c r="AA3660"/>
  <c r="AB3660"/>
  <c r="AC3660"/>
  <c r="AD3660"/>
  <c r="P3661"/>
  <c r="W3661"/>
  <c r="Y3661"/>
  <c r="AA3661"/>
  <c r="AB3661"/>
  <c r="AC3661"/>
  <c r="AD3661"/>
  <c r="P3662"/>
  <c r="W3662"/>
  <c r="Y3662"/>
  <c r="AA3662"/>
  <c r="AB3662"/>
  <c r="AC3662"/>
  <c r="AD3662"/>
  <c r="P3663"/>
  <c r="W3663"/>
  <c r="Y3663"/>
  <c r="AA3663"/>
  <c r="AB3663"/>
  <c r="AC3663"/>
  <c r="AD3663"/>
  <c r="P3664"/>
  <c r="W3664"/>
  <c r="Y3664"/>
  <c r="AA3664"/>
  <c r="AB3664"/>
  <c r="AC3664"/>
  <c r="AD3664"/>
  <c r="P3665"/>
  <c r="W3665"/>
  <c r="Y3665"/>
  <c r="AA3665"/>
  <c r="AB3665"/>
  <c r="AC3665"/>
  <c r="AD3665"/>
  <c r="P3666"/>
  <c r="W3666"/>
  <c r="Y3666"/>
  <c r="AA3666"/>
  <c r="AB3666"/>
  <c r="AC3666"/>
  <c r="AD3666"/>
  <c r="P3667"/>
  <c r="W3667"/>
  <c r="Y3667"/>
  <c r="AA3667"/>
  <c r="AB3667"/>
  <c r="AC3667"/>
  <c r="AD3667"/>
  <c r="P3668"/>
  <c r="W3668"/>
  <c r="Y3668"/>
  <c r="AA3668"/>
  <c r="AB3668"/>
  <c r="AC3668"/>
  <c r="AD3668"/>
  <c r="P3669"/>
  <c r="W3669"/>
  <c r="Y3669"/>
  <c r="AA3669"/>
  <c r="AB3669"/>
  <c r="AC3669"/>
  <c r="AD3669"/>
  <c r="P3670"/>
  <c r="W3670"/>
  <c r="Y3670"/>
  <c r="AA3670"/>
  <c r="AB3670"/>
  <c r="AC3670"/>
  <c r="AD3670"/>
  <c r="P3671"/>
  <c r="W3671"/>
  <c r="Y3671"/>
  <c r="AA3671"/>
  <c r="AB3671"/>
  <c r="AC3671"/>
  <c r="AD3671"/>
  <c r="P3672"/>
  <c r="W3672"/>
  <c r="Y3672"/>
  <c r="AA3672"/>
  <c r="AB3672"/>
  <c r="AC3672"/>
  <c r="AD3672"/>
  <c r="P3673"/>
  <c r="W3673"/>
  <c r="Y3673"/>
  <c r="AA3673"/>
  <c r="AB3673"/>
  <c r="AC3673"/>
  <c r="AD3673"/>
  <c r="P3674"/>
  <c r="W3674"/>
  <c r="Y3674"/>
  <c r="AA3674"/>
  <c r="AB3674"/>
  <c r="AC3674"/>
  <c r="AD3674"/>
  <c r="P3675"/>
  <c r="W3675"/>
  <c r="Y3675"/>
  <c r="AA3675"/>
  <c r="AB3675"/>
  <c r="AC3675"/>
  <c r="AD3675"/>
  <c r="P3676"/>
  <c r="W3676"/>
  <c r="Y3676"/>
  <c r="AA3676"/>
  <c r="AB3676"/>
  <c r="AC3676"/>
  <c r="AD3676"/>
  <c r="P3677"/>
  <c r="W3677"/>
  <c r="Y3677"/>
  <c r="AA3677"/>
  <c r="AB3677"/>
  <c r="AC3677"/>
  <c r="AD3677"/>
  <c r="P3678"/>
  <c r="W3678"/>
  <c r="Y3678"/>
  <c r="AA3678"/>
  <c r="AB3678"/>
  <c r="AC3678"/>
  <c r="AD3678"/>
  <c r="P3679"/>
  <c r="W3679"/>
  <c r="Y3679"/>
  <c r="AA3679"/>
  <c r="AB3679"/>
  <c r="AC3679"/>
  <c r="AD3679"/>
  <c r="P3680"/>
  <c r="W3680"/>
  <c r="Y3680"/>
  <c r="AA3680"/>
  <c r="AB3680"/>
  <c r="AC3680"/>
  <c r="AD3680"/>
  <c r="P3681"/>
  <c r="W3681"/>
  <c r="Y3681"/>
  <c r="AA3681"/>
  <c r="AB3681"/>
  <c r="AC3681"/>
  <c r="AD3681"/>
  <c r="P3682"/>
  <c r="W3682"/>
  <c r="Y3682"/>
  <c r="AA3682"/>
  <c r="AB3682"/>
  <c r="AC3682"/>
  <c r="AD3682"/>
  <c r="P3683"/>
  <c r="W3683"/>
  <c r="Y3683"/>
  <c r="AA3683"/>
  <c r="AB3683"/>
  <c r="AC3683"/>
  <c r="AD3683"/>
  <c r="P3684"/>
  <c r="W3684"/>
  <c r="Y3684"/>
  <c r="AA3684"/>
  <c r="AB3684"/>
  <c r="AC3684"/>
  <c r="AD3684"/>
  <c r="P3685"/>
  <c r="W3685"/>
  <c r="Y3685"/>
  <c r="AA3685"/>
  <c r="AB3685"/>
  <c r="AC3685"/>
  <c r="AD3685"/>
  <c r="P3686"/>
  <c r="W3686"/>
  <c r="Y3686"/>
  <c r="AA3686"/>
  <c r="AB3686"/>
  <c r="AC3686"/>
  <c r="AD3686"/>
  <c r="P3687"/>
  <c r="W3687"/>
  <c r="Y3687"/>
  <c r="AA3687"/>
  <c r="AB3687"/>
  <c r="AC3687"/>
  <c r="AD3687"/>
  <c r="P3688"/>
  <c r="W3688"/>
  <c r="Y3688"/>
  <c r="AA3688"/>
  <c r="AB3688"/>
  <c r="AC3688"/>
  <c r="AD3688"/>
  <c r="P3689"/>
  <c r="W3689"/>
  <c r="Y3689"/>
  <c r="AA3689"/>
  <c r="AB3689"/>
  <c r="AC3689"/>
  <c r="AD3689"/>
  <c r="P3690"/>
  <c r="W3690"/>
  <c r="Y3690"/>
  <c r="AA3690"/>
  <c r="AB3690"/>
  <c r="AC3690"/>
  <c r="AD3690"/>
  <c r="P3691"/>
  <c r="W3691"/>
  <c r="Y3691"/>
  <c r="AA3691"/>
  <c r="AB3691"/>
  <c r="AC3691"/>
  <c r="AD3691"/>
  <c r="P3692"/>
  <c r="W3692"/>
  <c r="Y3692"/>
  <c r="AA3692"/>
  <c r="AB3692"/>
  <c r="AC3692"/>
  <c r="AD3692"/>
  <c r="P3693"/>
  <c r="W3693"/>
  <c r="Y3693"/>
  <c r="AA3693"/>
  <c r="AB3693"/>
  <c r="AC3693"/>
  <c r="AD3693"/>
  <c r="P3694"/>
  <c r="W3694"/>
  <c r="Y3694"/>
  <c r="AA3694"/>
  <c r="AB3694"/>
  <c r="AC3694"/>
  <c r="AD3694"/>
  <c r="P3695"/>
  <c r="W3695"/>
  <c r="Y3695"/>
  <c r="AA3695"/>
  <c r="AB3695"/>
  <c r="AC3695"/>
  <c r="AD3695"/>
  <c r="P3696"/>
  <c r="W3696"/>
  <c r="Y3696"/>
  <c r="AA3696"/>
  <c r="AB3696"/>
  <c r="AC3696"/>
  <c r="AD3696"/>
  <c r="P3697"/>
  <c r="W3697"/>
  <c r="Y3697"/>
  <c r="AA3697"/>
  <c r="AB3697"/>
  <c r="AC3697"/>
  <c r="AD3697"/>
  <c r="P3698"/>
  <c r="W3698"/>
  <c r="Y3698"/>
  <c r="AA3698"/>
  <c r="AB3698"/>
  <c r="AC3698"/>
  <c r="AD3698"/>
  <c r="P3699"/>
  <c r="W3699"/>
  <c r="Y3699"/>
  <c r="AA3699"/>
  <c r="AB3699"/>
  <c r="AC3699"/>
  <c r="AD3699"/>
  <c r="P3700"/>
  <c r="W3700"/>
  <c r="Y3700"/>
  <c r="AA3700"/>
  <c r="AB3700"/>
  <c r="AC3700"/>
  <c r="AD3700"/>
  <c r="P3701"/>
  <c r="W3701"/>
  <c r="Y3701"/>
  <c r="AA3701"/>
  <c r="AB3701"/>
  <c r="AC3701"/>
  <c r="AD3701"/>
  <c r="P3702"/>
  <c r="W3702"/>
  <c r="Y3702"/>
  <c r="AA3702"/>
  <c r="AB3702"/>
  <c r="AC3702"/>
  <c r="AD3702"/>
  <c r="P3703"/>
  <c r="W3703"/>
  <c r="Y3703"/>
  <c r="AA3703"/>
  <c r="AB3703"/>
  <c r="AC3703"/>
  <c r="AD3703"/>
  <c r="P3704"/>
  <c r="W3704"/>
  <c r="Y3704"/>
  <c r="AA3704"/>
  <c r="AB3704"/>
  <c r="AC3704"/>
  <c r="AD3704"/>
  <c r="P3705"/>
  <c r="W3705"/>
  <c r="Y3705"/>
  <c r="AA3705"/>
  <c r="AB3705"/>
  <c r="AC3705"/>
  <c r="AD3705"/>
  <c r="P3706"/>
  <c r="W3706"/>
  <c r="Y3706"/>
  <c r="AA3706"/>
  <c r="AB3706"/>
  <c r="AC3706"/>
  <c r="AD3706"/>
  <c r="P3707"/>
  <c r="W3707"/>
  <c r="Y3707"/>
  <c r="AA3707"/>
  <c r="AB3707"/>
  <c r="AC3707"/>
  <c r="AD3707"/>
  <c r="P3708"/>
  <c r="W3708"/>
  <c r="Y3708"/>
  <c r="AA3708"/>
  <c r="AB3708"/>
  <c r="AC3708"/>
  <c r="AD3708"/>
  <c r="P3709"/>
  <c r="W3709"/>
  <c r="Y3709"/>
  <c r="AA3709"/>
  <c r="AB3709"/>
  <c r="AC3709"/>
  <c r="AD3709"/>
  <c r="P3710"/>
  <c r="W3710"/>
  <c r="Y3710"/>
  <c r="AA3710"/>
  <c r="AB3710"/>
  <c r="AC3710"/>
  <c r="AD3710"/>
  <c r="P3711"/>
  <c r="W3711"/>
  <c r="Y3711"/>
  <c r="AA3711"/>
  <c r="AB3711"/>
  <c r="AC3711"/>
  <c r="AD3711"/>
  <c r="P3712"/>
  <c r="W3712"/>
  <c r="Y3712"/>
  <c r="AA3712"/>
  <c r="AB3712"/>
  <c r="AC3712"/>
  <c r="AD3712"/>
  <c r="P3713"/>
  <c r="W3713"/>
  <c r="Y3713"/>
  <c r="AA3713"/>
  <c r="AB3713"/>
  <c r="AC3713"/>
  <c r="AD3713"/>
  <c r="P3714"/>
  <c r="W3714"/>
  <c r="Y3714"/>
  <c r="AA3714"/>
  <c r="AB3714"/>
  <c r="AC3714"/>
  <c r="AD3714"/>
  <c r="P3715"/>
  <c r="W3715"/>
  <c r="Y3715"/>
  <c r="AA3715"/>
  <c r="AB3715"/>
  <c r="AC3715"/>
  <c r="AD3715"/>
  <c r="P3716"/>
  <c r="W3716"/>
  <c r="Y3716"/>
  <c r="AA3716"/>
  <c r="AB3716"/>
  <c r="AC3716"/>
  <c r="AD3716"/>
  <c r="P3717"/>
  <c r="W3717"/>
  <c r="Y3717"/>
  <c r="AA3717"/>
  <c r="AB3717"/>
  <c r="AC3717"/>
  <c r="AD3717"/>
  <c r="P3718"/>
  <c r="W3718"/>
  <c r="Y3718"/>
  <c r="AA3718"/>
  <c r="AB3718"/>
  <c r="AC3718"/>
  <c r="AD3718"/>
  <c r="P3719"/>
  <c r="W3719"/>
  <c r="Y3719"/>
  <c r="AA3719"/>
  <c r="AB3719"/>
  <c r="AC3719"/>
  <c r="AD3719"/>
  <c r="P3720"/>
  <c r="W3720"/>
  <c r="Y3720"/>
  <c r="AA3720"/>
  <c r="AB3720"/>
  <c r="AC3720"/>
  <c r="AD3720"/>
  <c r="P3721"/>
  <c r="W3721"/>
  <c r="Y3721"/>
  <c r="AA3721"/>
  <c r="AB3721"/>
  <c r="AC3721"/>
  <c r="AD3721"/>
  <c r="P3722"/>
  <c r="W3722"/>
  <c r="Y3722"/>
  <c r="AA3722"/>
  <c r="AB3722"/>
  <c r="AC3722"/>
  <c r="AD3722"/>
  <c r="P3723"/>
  <c r="W3723"/>
  <c r="Y3723"/>
  <c r="AA3723"/>
  <c r="AB3723"/>
  <c r="AC3723"/>
  <c r="AD3723"/>
  <c r="P3724"/>
  <c r="W3724"/>
  <c r="Y3724"/>
  <c r="AA3724"/>
  <c r="AB3724"/>
  <c r="AC3724"/>
  <c r="AD3724"/>
  <c r="P3725"/>
  <c r="W3725"/>
  <c r="Y3725"/>
  <c r="AA3725"/>
  <c r="AB3725"/>
  <c r="AC3725"/>
  <c r="AD3725"/>
  <c r="P3726"/>
  <c r="W3726"/>
  <c r="Y3726"/>
  <c r="AA3726"/>
  <c r="AB3726"/>
  <c r="AC3726"/>
  <c r="AD3726"/>
  <c r="P3727"/>
  <c r="W3727"/>
  <c r="Y3727"/>
  <c r="AA3727"/>
  <c r="AB3727"/>
  <c r="AC3727"/>
  <c r="AD3727"/>
  <c r="P3728"/>
  <c r="W3728"/>
  <c r="Y3728"/>
  <c r="AA3728"/>
  <c r="AB3728"/>
  <c r="AC3728"/>
  <c r="AD3728"/>
  <c r="P3729"/>
  <c r="W3729"/>
  <c r="Y3729"/>
  <c r="AA3729"/>
  <c r="AB3729"/>
  <c r="AC3729"/>
  <c r="AD3729"/>
  <c r="P3730"/>
  <c r="W3730"/>
  <c r="Y3730"/>
  <c r="AA3730"/>
  <c r="AB3730"/>
  <c r="AC3730"/>
  <c r="AD3730"/>
  <c r="P3731"/>
  <c r="W3731"/>
  <c r="Y3731"/>
  <c r="AA3731"/>
  <c r="AB3731"/>
  <c r="AC3731"/>
  <c r="AD3731"/>
  <c r="P3732"/>
  <c r="W3732"/>
  <c r="Y3732"/>
  <c r="AA3732"/>
  <c r="AB3732"/>
  <c r="AC3732"/>
  <c r="AD3732"/>
  <c r="P3733"/>
  <c r="W3733"/>
  <c r="Y3733"/>
  <c r="AA3733"/>
  <c r="AB3733"/>
  <c r="AC3733"/>
  <c r="AD3733"/>
  <c r="P3734"/>
  <c r="W3734"/>
  <c r="Y3734"/>
  <c r="AA3734"/>
  <c r="AB3734"/>
  <c r="AC3734"/>
  <c r="AD3734"/>
  <c r="P3735"/>
  <c r="W3735"/>
  <c r="Y3735"/>
  <c r="AA3735"/>
  <c r="AB3735"/>
  <c r="AC3735"/>
  <c r="AD3735"/>
  <c r="P3736"/>
  <c r="W3736"/>
  <c r="Y3736"/>
  <c r="AA3736"/>
  <c r="AB3736"/>
  <c r="AC3736"/>
  <c r="AD3736"/>
  <c r="P3737"/>
  <c r="W3737"/>
  <c r="Y3737"/>
  <c r="AA3737"/>
  <c r="AB3737"/>
  <c r="AC3737"/>
  <c r="AD3737"/>
  <c r="P3738"/>
  <c r="W3738"/>
  <c r="Y3738"/>
  <c r="AA3738"/>
  <c r="AB3738"/>
  <c r="AC3738"/>
  <c r="AD3738"/>
  <c r="P3739"/>
  <c r="W3739"/>
  <c r="Y3739"/>
  <c r="AA3739"/>
  <c r="AB3739"/>
  <c r="AC3739"/>
  <c r="AD3739"/>
  <c r="P3740"/>
  <c r="W3740"/>
  <c r="Y3740"/>
  <c r="AA3740"/>
  <c r="AB3740"/>
  <c r="AC3740"/>
  <c r="AD3740"/>
  <c r="P3741"/>
  <c r="W3741"/>
  <c r="Y3741"/>
  <c r="AA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W3752"/>
  <c r="Y3752"/>
  <c r="AB3752"/>
  <c r="AC3752"/>
  <c r="AD3752"/>
  <c r="P3753"/>
  <c r="W3753"/>
  <c r="Y3753"/>
  <c r="AB3753"/>
  <c r="AC3753"/>
  <c r="AD3753"/>
  <c r="P3754"/>
  <c r="W3754"/>
  <c r="Y3754"/>
  <c r="AB3754"/>
  <c r="AC3754"/>
  <c r="AD3754"/>
  <c r="P3755"/>
  <c r="W3755"/>
  <c r="Y3755"/>
  <c r="AB3755"/>
  <c r="AC3755"/>
  <c r="AD3755"/>
  <c r="P3756"/>
  <c r="W3756"/>
  <c r="Y3756"/>
  <c r="AB3756"/>
  <c r="AC3756"/>
  <c r="AD3756"/>
  <c r="P3757"/>
  <c r="W3757"/>
  <c r="Y3757"/>
  <c r="AB3757"/>
  <c r="AC3757"/>
  <c r="AD3757"/>
  <c r="P3758"/>
  <c r="W3758"/>
  <c r="Y3758"/>
  <c r="AB3758"/>
  <c r="AC3758"/>
  <c r="AD3758"/>
  <c r="P3759"/>
  <c r="W3759"/>
  <c r="Y3759"/>
  <c r="AB3759"/>
  <c r="AC3759"/>
  <c r="AD3759"/>
  <c r="P3760"/>
  <c r="W3760"/>
  <c r="Y3760"/>
  <c r="AB3760"/>
  <c r="AC3760"/>
  <c r="AD3760"/>
  <c r="P3761"/>
  <c r="W3761"/>
  <c r="Y3761"/>
  <c r="AB3761"/>
  <c r="AC3761"/>
  <c r="AD3761"/>
  <c r="P3762"/>
  <c r="W3762"/>
  <c r="Y3762"/>
  <c r="AB3762"/>
  <c r="AC3762"/>
  <c r="AD3762"/>
  <c r="P3763"/>
  <c r="W3763"/>
  <c r="Y3763"/>
  <c r="AB3763"/>
  <c r="AC3763"/>
  <c r="AD3763"/>
  <c r="P3764"/>
  <c r="W3764"/>
  <c r="Y3764"/>
  <c r="AB3764"/>
  <c r="AC3764"/>
  <c r="AD3764"/>
  <c r="P3765"/>
  <c r="W3765"/>
  <c r="Y3765"/>
  <c r="AB3765"/>
  <c r="AC3765"/>
  <c r="AD3765"/>
  <c r="P3766"/>
  <c r="W3766"/>
  <c r="Y3766"/>
  <c r="AB3766"/>
  <c r="AC3766"/>
  <c r="AD3766"/>
  <c r="P3767"/>
  <c r="W3767"/>
  <c r="Y3767"/>
  <c r="AB3767"/>
  <c r="AC3767"/>
  <c r="AD3767"/>
  <c r="P3768"/>
  <c r="W3768"/>
  <c r="Y3768"/>
  <c r="AB3768"/>
  <c r="AC3768"/>
  <c r="AD3768"/>
  <c r="P3769"/>
  <c r="W3769"/>
  <c r="Y3769"/>
  <c r="AB3769"/>
  <c r="AC3769"/>
  <c r="AD3769"/>
  <c r="P3770"/>
  <c r="W3770"/>
  <c r="Y3770"/>
  <c r="AB3770"/>
  <c r="AC3770"/>
  <c r="AD3770"/>
  <c r="P3771"/>
  <c r="W3771"/>
  <c r="Y3771"/>
  <c r="AB3771"/>
  <c r="AC3771"/>
  <c r="AD3771"/>
  <c r="P3772"/>
  <c r="W3772"/>
  <c r="Y3772"/>
  <c r="AB3772"/>
  <c r="AC3772"/>
  <c r="AD3772"/>
  <c r="P3773"/>
  <c r="W3773"/>
  <c r="Y3773"/>
  <c r="AB3773"/>
  <c r="AC3773"/>
  <c r="AD3773"/>
  <c r="P3774"/>
  <c r="W3774"/>
  <c r="Y3774"/>
  <c r="AB3774"/>
  <c r="AC3774"/>
  <c r="AD3774"/>
  <c r="P3775"/>
  <c r="W3775"/>
  <c r="Y3775"/>
  <c r="AB3775"/>
  <c r="AC3775"/>
  <c r="AD3775"/>
  <c r="P3776"/>
  <c r="W3776"/>
  <c r="Y3776"/>
  <c r="AB3776"/>
  <c r="AC3776"/>
  <c r="AD3776"/>
  <c r="P3777"/>
  <c r="W3777"/>
  <c r="Y3777"/>
  <c r="AB3777"/>
  <c r="AC3777"/>
  <c r="AD3777"/>
  <c r="P3778"/>
  <c r="W3778"/>
  <c r="Y3778"/>
  <c r="AB3778"/>
  <c r="AC3778"/>
  <c r="AD3778"/>
  <c r="P3779"/>
  <c r="W3779"/>
  <c r="Y3779"/>
  <c r="AB3779"/>
  <c r="AC3779"/>
  <c r="AD3779"/>
  <c r="P3780"/>
  <c r="W3780"/>
  <c r="Y3780"/>
  <c r="AB3780"/>
  <c r="AC3780"/>
  <c r="AD3780"/>
  <c r="P3781"/>
  <c r="W3781"/>
  <c r="Y3781"/>
  <c r="AB3781"/>
  <c r="AC3781"/>
  <c r="AD3781"/>
  <c r="P3782"/>
  <c r="W3782"/>
  <c r="Y3782"/>
  <c r="AB3782"/>
  <c r="AC3782"/>
  <c r="AD3782"/>
  <c r="P3783"/>
  <c r="W3783"/>
  <c r="Y3783"/>
  <c r="AB3783"/>
  <c r="AC3783"/>
  <c r="AD3783"/>
  <c r="P3784"/>
  <c r="W3784"/>
  <c r="Y3784"/>
  <c r="AB3784"/>
  <c r="AC3784"/>
  <c r="AD3784"/>
  <c r="P3785"/>
  <c r="W3785"/>
  <c r="Y3785"/>
  <c r="AB3785"/>
  <c r="AC3785"/>
  <c r="AD3785"/>
  <c r="P3786"/>
  <c r="W3786"/>
  <c r="Y3786"/>
  <c r="AB3786"/>
  <c r="AC3786"/>
  <c r="AD3786"/>
  <c r="P3787"/>
  <c r="W3787"/>
  <c r="Y3787"/>
  <c r="AB3787"/>
  <c r="AC3787"/>
  <c r="AD3787"/>
  <c r="P3788"/>
  <c r="W3788"/>
  <c r="Y3788"/>
  <c r="AB3788"/>
  <c r="AC3788"/>
  <c r="AD3788"/>
  <c r="P3789"/>
  <c r="W3789"/>
  <c r="Y3789"/>
  <c r="AB3789"/>
  <c r="AC3789"/>
  <c r="AD3789"/>
  <c r="P3790"/>
  <c r="W3790"/>
  <c r="Y3790"/>
  <c r="AB3790"/>
  <c r="AC3790"/>
  <c r="AD3790"/>
  <c r="P3791"/>
  <c r="W3791"/>
  <c r="Y3791"/>
  <c r="AB3791"/>
  <c r="AC3791"/>
  <c r="AD3791"/>
  <c r="P3792"/>
  <c r="W3792"/>
  <c r="Y3792"/>
  <c r="AB3792"/>
  <c r="AC3792"/>
  <c r="AD3792"/>
  <c r="P3793"/>
  <c r="W3793"/>
  <c r="Y3793"/>
  <c r="AB3793"/>
  <c r="AC3793"/>
  <c r="AD3793"/>
  <c r="P3794"/>
  <c r="W3794"/>
  <c r="Y3794"/>
  <c r="AB3794"/>
  <c r="AC3794"/>
  <c r="AD3794"/>
  <c r="P3795"/>
  <c r="W3795"/>
  <c r="Y3795"/>
  <c r="AB3795"/>
  <c r="AC3795"/>
  <c r="AD3795"/>
  <c r="P3796"/>
  <c r="W3796"/>
  <c r="Y3796"/>
  <c r="AB3796"/>
  <c r="AC3796"/>
  <c r="AD3796"/>
  <c r="P3797"/>
  <c r="W3797"/>
  <c r="Y3797"/>
  <c r="AB3797"/>
  <c r="AC3797"/>
  <c r="AD3797"/>
  <c r="P3798"/>
  <c r="W3798"/>
  <c r="Y3798"/>
  <c r="AB3798"/>
  <c r="AC3798"/>
  <c r="AD3798"/>
  <c r="P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4"/>
  <c r="W3804"/>
  <c r="Y3804"/>
  <c r="AB3804"/>
  <c r="AC3804"/>
  <c r="AD3804"/>
  <c r="P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W3837"/>
  <c r="Y3837"/>
  <c r="AB3837"/>
  <c r="AC3837"/>
  <c r="AD3837"/>
  <c r="P3838"/>
  <c r="W3838"/>
  <c r="Y3838"/>
  <c r="AB3838"/>
  <c r="AC3838"/>
  <c r="AD3838"/>
  <c r="P3839"/>
  <c r="W3839"/>
  <c r="Y3839"/>
  <c r="AB3839"/>
  <c r="AC3839"/>
  <c r="AD3839"/>
  <c r="P3840"/>
  <c r="W3840"/>
  <c r="Y3840"/>
  <c r="AB3840"/>
  <c r="AC3840"/>
  <c r="AD3840"/>
  <c r="P3841"/>
  <c r="W3841"/>
  <c r="Y3841"/>
  <c r="AB3841"/>
  <c r="AC3841"/>
  <c r="AD3841"/>
  <c r="P3842"/>
  <c r="W3842"/>
  <c r="Y3842"/>
  <c r="AB3842"/>
  <c r="AC3842"/>
  <c r="AD3842"/>
  <c r="P3843"/>
  <c r="W3843"/>
  <c r="Y3843"/>
  <c r="AB3843"/>
  <c r="AC3843"/>
  <c r="AD3843"/>
  <c r="P3844"/>
  <c r="W3844"/>
  <c r="Y3844"/>
  <c r="AB3844"/>
  <c r="AC3844"/>
  <c r="AD3844"/>
  <c r="P3845"/>
  <c r="W3845"/>
  <c r="Y3845"/>
  <c r="AB3845"/>
  <c r="AC3845"/>
  <c r="AD3845"/>
  <c r="P3846"/>
  <c r="W3846"/>
  <c r="Y3846"/>
  <c r="AB3846"/>
  <c r="AC3846"/>
  <c r="AD3846"/>
  <c r="P3847"/>
  <c r="W3847"/>
  <c r="Y3847"/>
  <c r="AB3847"/>
  <c r="AC3847"/>
  <c r="AD3847"/>
  <c r="P3848"/>
  <c r="W3848"/>
  <c r="Y3848"/>
  <c r="AB3848"/>
  <c r="AC3848"/>
  <c r="AD3848"/>
  <c r="P3849"/>
  <c r="W3849"/>
  <c r="Y3849"/>
  <c r="AB3849"/>
  <c r="AC3849"/>
  <c r="AD3849"/>
  <c r="P3850"/>
  <c r="W3850"/>
  <c r="Y3850"/>
  <c r="AB3850"/>
  <c r="AC3850"/>
  <c r="AD3850"/>
  <c r="P3851"/>
  <c r="W3851"/>
  <c r="Y3851"/>
  <c r="AB3851"/>
  <c r="AC3851"/>
  <c r="AD3851"/>
  <c r="P3852"/>
  <c r="W3852"/>
  <c r="Y3852"/>
  <c r="AB3852"/>
  <c r="AC3852"/>
  <c r="AD3852"/>
  <c r="P3853"/>
  <c r="W3853"/>
  <c r="Y3853"/>
  <c r="AB3853"/>
  <c r="AC3853"/>
  <c r="AD3853"/>
  <c r="P3854"/>
  <c r="W3854"/>
  <c r="Y3854"/>
  <c r="AB3854"/>
  <c r="AC3854"/>
  <c r="AD3854"/>
  <c r="P3855"/>
  <c r="W3855"/>
  <c r="Y3855"/>
  <c r="AB3855"/>
  <c r="AC3855"/>
  <c r="AD3855"/>
  <c r="P3856"/>
  <c r="W3856"/>
  <c r="Y3856"/>
  <c r="AB3856"/>
  <c r="AC3856"/>
  <c r="AD3856"/>
  <c r="P3857"/>
  <c r="W3857"/>
  <c r="Y3857"/>
  <c r="AA3857"/>
  <c r="AB3857"/>
  <c r="AC3857"/>
  <c r="AD3857"/>
  <c r="P3858"/>
  <c r="W3858"/>
  <c r="Y3858"/>
  <c r="AA3858"/>
  <c r="AB3858"/>
  <c r="AC3858"/>
  <c r="AD3858"/>
  <c r="P3859"/>
  <c r="W3859"/>
  <c r="Y3859"/>
  <c r="AA3859"/>
  <c r="AB3859"/>
  <c r="AC3859"/>
  <c r="AD3859"/>
  <c r="P3860"/>
  <c r="W3860"/>
  <c r="Y3860"/>
  <c r="AA3860"/>
  <c r="AB3860"/>
  <c r="AC3860"/>
  <c r="AD3860"/>
  <c r="P3861"/>
  <c r="W3861"/>
  <c r="Y3861"/>
  <c r="AA3861"/>
  <c r="AB3861"/>
  <c r="AC3861"/>
  <c r="AD3861"/>
  <c r="P3862"/>
  <c r="W3862"/>
  <c r="Y3862"/>
  <c r="AA3862"/>
  <c r="AB3862"/>
  <c r="AC3862"/>
  <c r="AD3862"/>
  <c r="P3863"/>
  <c r="W3863"/>
  <c r="Y3863"/>
  <c r="AB3863"/>
  <c r="AC3863"/>
  <c r="AD3863"/>
  <c r="P3864"/>
  <c r="W3864"/>
  <c r="Y3864"/>
  <c r="AB3864"/>
  <c r="AC3864"/>
  <c r="AD3864"/>
  <c r="P3865"/>
  <c r="W3865"/>
  <c r="Y3865"/>
  <c r="AB3865"/>
  <c r="AC3865"/>
  <c r="AD3865"/>
  <c r="P3866"/>
  <c r="W3866"/>
  <c r="Y3866"/>
  <c r="AB3866"/>
  <c r="AC3866"/>
  <c r="AD3866"/>
  <c r="P3867"/>
  <c r="W3867"/>
  <c r="Y3867"/>
  <c r="AB3867"/>
  <c r="AC3867"/>
  <c r="AD3867"/>
  <c r="P3868"/>
  <c r="W3868"/>
  <c r="Y3868"/>
  <c r="AB3868"/>
  <c r="AC3868"/>
  <c r="AD3868"/>
  <c r="P3869"/>
  <c r="W3869"/>
  <c r="Y3869"/>
  <c r="AB3869"/>
  <c r="AC3869"/>
  <c r="AD3869"/>
  <c r="P3870"/>
  <c r="W3870"/>
  <c r="Y3870"/>
  <c r="AB3870"/>
  <c r="AC3870"/>
  <c r="AD3870"/>
  <c r="P3871"/>
  <c r="W3871"/>
  <c r="Y3871"/>
  <c r="AB3871"/>
  <c r="AC3871"/>
  <c r="AD3871"/>
  <c r="P3872"/>
  <c r="W3872"/>
  <c r="Y3872"/>
  <c r="AB3872"/>
  <c r="AC3872"/>
  <c r="AD3872"/>
  <c r="P3873"/>
  <c r="W3873"/>
  <c r="Y3873"/>
  <c r="AB3873"/>
  <c r="AC3873"/>
  <c r="AD3873"/>
  <c r="P3874"/>
  <c r="W3874"/>
  <c r="Y3874"/>
  <c r="AB3874"/>
  <c r="AC3874"/>
  <c r="AD3874"/>
  <c r="P3875"/>
  <c r="W3875"/>
  <c r="Y3875"/>
  <c r="AB3875"/>
  <c r="AC3875"/>
  <c r="AD3875"/>
  <c r="P3876"/>
  <c r="W3876"/>
  <c r="Y3876"/>
  <c r="AB3876"/>
  <c r="AC3876"/>
  <c r="AD3876"/>
  <c r="P3877"/>
  <c r="W3877"/>
  <c r="Y3877"/>
  <c r="AB3877"/>
  <c r="AC3877"/>
  <c r="AD3877"/>
  <c r="P3878"/>
  <c r="W3878"/>
  <c r="Y3878"/>
  <c r="AB3878"/>
  <c r="AC3878"/>
  <c r="AD3878"/>
  <c r="P3879"/>
  <c r="W3879"/>
  <c r="Y3879"/>
  <c r="AB3879"/>
  <c r="AC3879"/>
  <c r="AD3879"/>
  <c r="P3880"/>
  <c r="W3880"/>
  <c r="Y3880"/>
  <c r="AB3880"/>
  <c r="AC3880"/>
  <c r="AD3880"/>
  <c r="P3881"/>
  <c r="W3881"/>
  <c r="Y3881"/>
  <c r="AB3881"/>
  <c r="AC3881"/>
  <c r="AD3881"/>
  <c r="P3882"/>
  <c r="W3882"/>
  <c r="Y3882"/>
  <c r="AB3882"/>
  <c r="AC3882"/>
  <c r="AD3882"/>
  <c r="P3883"/>
  <c r="W3883"/>
  <c r="Y3883"/>
  <c r="AB3883"/>
  <c r="AC3883"/>
  <c r="AD3883"/>
  <c r="P3884"/>
  <c r="W3884"/>
  <c r="Y3884"/>
  <c r="AB3884"/>
  <c r="AC3884"/>
  <c r="AD3884"/>
  <c r="P3885"/>
  <c r="W3885"/>
  <c r="Y3885"/>
  <c r="AB3885"/>
  <c r="AC3885"/>
  <c r="AD3885"/>
  <c r="P3886"/>
  <c r="W3886"/>
  <c r="Y3886"/>
  <c r="AB3886"/>
  <c r="AC3886"/>
  <c r="AD3886"/>
  <c r="P3887"/>
  <c r="W3887"/>
  <c r="Y3887"/>
  <c r="AB3887"/>
  <c r="AC3887"/>
  <c r="AD3887"/>
  <c r="P3888"/>
  <c r="W3888"/>
  <c r="Y3888"/>
  <c r="AB3888"/>
  <c r="AC3888"/>
  <c r="AD3888"/>
  <c r="P3889"/>
  <c r="W3889"/>
  <c r="Y3889"/>
  <c r="AB3889"/>
  <c r="AC3889"/>
  <c r="AD3889"/>
  <c r="P3890"/>
  <c r="W3890"/>
  <c r="Y3890"/>
  <c r="AB3890"/>
  <c r="AC3890"/>
  <c r="AD3890"/>
  <c r="P3891"/>
  <c r="W3891"/>
  <c r="Y3891"/>
  <c r="AB3891"/>
  <c r="AC3891"/>
  <c r="AD3891"/>
  <c r="P3892"/>
  <c r="W3892"/>
  <c r="Y3892"/>
  <c r="AB3892"/>
  <c r="AC3892"/>
  <c r="AD3892"/>
  <c r="P3893"/>
  <c r="W3893"/>
  <c r="Y3893"/>
  <c r="AB3893"/>
  <c r="AC3893"/>
  <c r="AD3893"/>
  <c r="P3894"/>
  <c r="W3894"/>
  <c r="Y3894"/>
  <c r="AB3894"/>
  <c r="AC3894"/>
  <c r="AD3894"/>
  <c r="P3895"/>
  <c r="W3895"/>
  <c r="Y3895"/>
  <c r="AB3895"/>
  <c r="AC3895"/>
  <c r="AD3895"/>
  <c r="P3896"/>
  <c r="W3896"/>
  <c r="Y3896"/>
  <c r="AB3896"/>
  <c r="AC3896"/>
  <c r="AD3896"/>
  <c r="P3897"/>
  <c r="W3897"/>
  <c r="Y3897"/>
  <c r="AB3897"/>
  <c r="AC3897"/>
  <c r="AD3897"/>
  <c r="P3898"/>
  <c r="W3898"/>
  <c r="Y3898"/>
  <c r="AB3898"/>
  <c r="AC3898"/>
  <c r="AD3898"/>
  <c r="P3899"/>
  <c r="W3899"/>
  <c r="Y3899"/>
  <c r="AB3899"/>
  <c r="AC3899"/>
  <c r="AD3899"/>
  <c r="P3900"/>
  <c r="W3900"/>
  <c r="Y3900"/>
  <c r="AB3900"/>
  <c r="AC3900"/>
  <c r="AD3900"/>
  <c r="P3901"/>
  <c r="W3901"/>
  <c r="Y3901"/>
  <c r="AB3901"/>
  <c r="AC3901"/>
  <c r="AD3901"/>
  <c r="P3902"/>
  <c r="W3902"/>
  <c r="Y3902"/>
  <c r="AB3902"/>
  <c r="AC3902"/>
  <c r="AD3902"/>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W4025"/>
  <c r="Y4025"/>
  <c r="AB4025"/>
  <c r="AC4025"/>
  <c r="AD4025"/>
  <c r="P4026"/>
  <c r="W4026"/>
  <c r="Y4026"/>
  <c r="AB4026"/>
  <c r="AC4026"/>
  <c r="AD4026"/>
  <c r="P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W4035"/>
  <c r="Y4035"/>
  <c r="AB4035"/>
  <c r="AC4035"/>
  <c r="AD4035"/>
  <c r="P4036"/>
  <c r="W4036"/>
  <c r="Y4036"/>
  <c r="AB4036"/>
  <c r="AC4036"/>
  <c r="AD4036"/>
  <c r="P4037"/>
  <c r="W4037"/>
  <c r="Y4037"/>
  <c r="AB4037"/>
  <c r="AC4037"/>
  <c r="AD4037"/>
  <c r="P4038"/>
  <c r="W4038"/>
  <c r="Y4038"/>
  <c r="AB4038"/>
  <c r="AC4038"/>
  <c r="AD4038"/>
  <c r="P4039"/>
  <c r="W4039"/>
  <c r="Y4039"/>
  <c r="AB4039"/>
  <c r="AC4039"/>
  <c r="AD4039"/>
  <c r="P4040"/>
  <c r="W4040"/>
  <c r="Y4040"/>
  <c r="AB4040"/>
  <c r="AC4040"/>
  <c r="AD4040"/>
  <c r="P4041"/>
  <c r="W4041"/>
  <c r="Y4041"/>
  <c r="AB4041"/>
  <c r="AC4041"/>
  <c r="AD4041"/>
  <c r="P4042"/>
  <c r="W4042"/>
  <c r="Y4042"/>
  <c r="AB4042"/>
  <c r="AC4042"/>
  <c r="AD4042"/>
  <c r="P4043"/>
  <c r="W4043"/>
  <c r="Y4043"/>
  <c r="AB4043"/>
  <c r="AC4043"/>
  <c r="AD4043"/>
  <c r="P4044"/>
  <c r="W4044"/>
  <c r="Y4044"/>
  <c r="AB4044"/>
  <c r="AC4044"/>
  <c r="AD4044"/>
  <c r="P4045"/>
  <c r="W4045"/>
  <c r="Y4045"/>
  <c r="AB4045"/>
  <c r="AC4045"/>
  <c r="AD4045"/>
  <c r="P4046"/>
  <c r="W4046"/>
  <c r="Y4046"/>
  <c r="AB4046"/>
  <c r="AC4046"/>
  <c r="AD4046"/>
  <c r="P4047"/>
  <c r="W4047"/>
  <c r="Y4047"/>
  <c r="AB4047"/>
  <c r="AC4047"/>
  <c r="AD4047"/>
  <c r="P4048"/>
  <c r="W4048"/>
  <c r="Y4048"/>
  <c r="AB4048"/>
  <c r="AC4048"/>
  <c r="AD4048"/>
  <c r="P4049"/>
  <c r="W4049"/>
  <c r="Y4049"/>
  <c r="AB4049"/>
  <c r="AC4049"/>
  <c r="AD4049"/>
  <c r="P4050"/>
  <c r="W4050"/>
  <c r="Y4050"/>
  <c r="AB4050"/>
  <c r="AC4050"/>
  <c r="AD4050"/>
  <c r="P4051"/>
  <c r="W4051"/>
  <c r="Y4051"/>
  <c r="AB4051"/>
  <c r="AC4051"/>
  <c r="AD4051"/>
  <c r="P4052"/>
  <c r="W4052"/>
  <c r="Y4052"/>
  <c r="AB4052"/>
  <c r="AC4052"/>
  <c r="AD4052"/>
  <c r="P4053"/>
  <c r="W4053"/>
  <c r="Y4053"/>
  <c r="AB4053"/>
  <c r="AC4053"/>
  <c r="AD4053"/>
  <c r="P4054"/>
  <c r="W4054"/>
  <c r="Y4054"/>
  <c r="AB4054"/>
  <c r="AC4054"/>
  <c r="AD4054"/>
  <c r="P4055"/>
  <c r="W4055"/>
  <c r="Y4055"/>
  <c r="AB4055"/>
  <c r="AC4055"/>
  <c r="AD4055"/>
  <c r="P4056"/>
  <c r="W4056"/>
  <c r="Y4056"/>
  <c r="AB4056"/>
  <c r="AC4056"/>
  <c r="AD4056"/>
  <c r="P4057"/>
  <c r="W4057"/>
  <c r="Y4057"/>
  <c r="AB4057"/>
  <c r="AC4057"/>
  <c r="AD4057"/>
  <c r="P4058"/>
  <c r="W4058"/>
  <c r="Y4058"/>
  <c r="AB4058"/>
  <c r="AC4058"/>
  <c r="AD4058"/>
  <c r="P4059"/>
  <c r="W4059"/>
  <c r="Y4059"/>
  <c r="AB4059"/>
  <c r="AC4059"/>
  <c r="AD4059"/>
  <c r="P4060"/>
  <c r="W4060"/>
  <c r="Y4060"/>
  <c r="AB4060"/>
  <c r="AC4060"/>
  <c r="AD4060"/>
  <c r="P4061"/>
  <c r="W4061"/>
  <c r="Y4061"/>
  <c r="AB4061"/>
  <c r="AC4061"/>
  <c r="AD4061"/>
  <c r="P4062"/>
  <c r="W4062"/>
  <c r="Y4062"/>
  <c r="AB4062"/>
  <c r="AC4062"/>
  <c r="AD4062"/>
  <c r="P4063"/>
  <c r="W4063"/>
  <c r="Y4063"/>
  <c r="AB4063"/>
  <c r="AC4063"/>
  <c r="AD4063"/>
  <c r="P4064"/>
  <c r="W4064"/>
  <c r="Y4064"/>
  <c r="AB4064"/>
  <c r="AC4064"/>
  <c r="AD4064"/>
  <c r="P4065"/>
  <c r="W4065"/>
  <c r="Y4065"/>
  <c r="AB4065"/>
  <c r="AC4065"/>
  <c r="AD4065"/>
  <c r="P4066"/>
  <c r="W4066"/>
  <c r="Y4066"/>
  <c r="AB4066"/>
  <c r="AC4066"/>
  <c r="AD4066"/>
  <c r="P4067"/>
  <c r="W4067"/>
  <c r="Y4067"/>
  <c r="AB4067"/>
  <c r="AC4067"/>
  <c r="AD4067"/>
  <c r="P4068"/>
  <c r="W4068"/>
  <c r="Y4068"/>
  <c r="AB4068"/>
  <c r="AC4068"/>
  <c r="AD4068"/>
  <c r="P4069"/>
  <c r="W4069"/>
  <c r="Y4069"/>
  <c r="AB4069"/>
  <c r="AC4069"/>
  <c r="AD4069"/>
  <c r="P4070"/>
  <c r="W4070"/>
  <c r="Y4070"/>
  <c r="AB4070"/>
  <c r="AC4070"/>
  <c r="AD4070"/>
  <c r="P4071"/>
  <c r="W4071"/>
  <c r="Y4071"/>
  <c r="AB4071"/>
  <c r="AC4071"/>
  <c r="AD4071"/>
  <c r="P4072"/>
  <c r="W4072"/>
  <c r="Y4072"/>
  <c r="AB4072"/>
  <c r="AC4072"/>
  <c r="AD4072"/>
  <c r="P4073"/>
  <c r="W4073"/>
  <c r="Y4073"/>
  <c r="AB4073"/>
  <c r="AC4073"/>
  <c r="AD4073"/>
  <c r="P4074"/>
  <c r="W4074"/>
  <c r="Y4074"/>
  <c r="AB4074"/>
  <c r="AC4074"/>
  <c r="AD4074"/>
  <c r="P4075"/>
  <c r="W4075"/>
  <c r="Y4075"/>
  <c r="AB4075"/>
  <c r="AC4075"/>
  <c r="AD4075"/>
  <c r="P4076"/>
  <c r="W4076"/>
  <c r="Y4076"/>
  <c r="AB4076"/>
  <c r="AC4076"/>
  <c r="AD4076"/>
  <c r="P4077"/>
  <c r="W4077"/>
  <c r="Y4077"/>
  <c r="AB4077"/>
  <c r="AC4077"/>
  <c r="AD4077"/>
  <c r="P4078"/>
  <c r="W4078"/>
  <c r="Y4078"/>
  <c r="AB4078"/>
  <c r="AC4078"/>
  <c r="AD4078"/>
  <c r="P4079"/>
  <c r="W4079"/>
  <c r="Y4079"/>
  <c r="AB4079"/>
  <c r="AC4079"/>
  <c r="AD4079"/>
  <c r="P4080"/>
  <c r="W4080"/>
  <c r="Y4080"/>
  <c r="AB4080"/>
  <c r="AC4080"/>
  <c r="AD4080"/>
  <c r="P4081"/>
  <c r="W4081"/>
  <c r="Y4081"/>
  <c r="AB4081"/>
  <c r="AC4081"/>
  <c r="AD4081"/>
  <c r="P4082"/>
  <c r="W4082"/>
  <c r="Y4082"/>
  <c r="AB4082"/>
  <c r="AC4082"/>
  <c r="AD4082"/>
  <c r="P4083"/>
  <c r="W4083"/>
  <c r="Y4083"/>
  <c r="AB4083"/>
  <c r="AC4083"/>
  <c r="AD4083"/>
  <c r="P4084"/>
  <c r="W4084"/>
  <c r="Y4084"/>
  <c r="AB4084"/>
  <c r="AC4084"/>
  <c r="AD4084"/>
  <c r="P4085"/>
  <c r="W4085"/>
  <c r="Y4085"/>
  <c r="AB4085"/>
  <c r="AC4085"/>
  <c r="AD4085"/>
  <c r="P4086"/>
  <c r="W4086"/>
  <c r="Y4086"/>
  <c r="AB4086"/>
  <c r="AC4086"/>
  <c r="AD4086"/>
  <c r="P4087"/>
  <c r="W4087"/>
  <c r="Y4087"/>
  <c r="AB4087"/>
  <c r="AC4087"/>
  <c r="AD4087"/>
  <c r="P4088"/>
  <c r="W4088"/>
  <c r="Y4088"/>
  <c r="AB4088"/>
  <c r="AC4088"/>
  <c r="AD4088"/>
  <c r="P4089"/>
  <c r="W4089"/>
  <c r="Y4089"/>
  <c r="AB4089"/>
  <c r="AC4089"/>
  <c r="AD4089"/>
  <c r="P4090"/>
  <c r="W4090"/>
  <c r="Y4090"/>
  <c r="AB4090"/>
  <c r="AC4090"/>
  <c r="AD4090"/>
  <c r="P4091"/>
  <c r="W4091"/>
  <c r="Y4091"/>
  <c r="AB4091"/>
  <c r="AC4091"/>
  <c r="AD4091"/>
  <c r="P4092"/>
  <c r="W4092"/>
  <c r="Y4092"/>
  <c r="AB4092"/>
  <c r="AC4092"/>
  <c r="AD4092"/>
  <c r="P4093"/>
  <c r="W4093"/>
  <c r="Y4093"/>
  <c r="AB4093"/>
  <c r="AC4093"/>
  <c r="AD4093"/>
  <c r="P4094"/>
  <c r="W4094"/>
  <c r="Y4094"/>
  <c r="AB4094"/>
  <c r="AC4094"/>
  <c r="AD4094"/>
  <c r="P4095"/>
  <c r="W4095"/>
  <c r="Y4095"/>
  <c r="AB4095"/>
  <c r="AC4095"/>
  <c r="AD4095"/>
  <c r="P4096"/>
  <c r="W4096"/>
  <c r="Y4096"/>
  <c r="AB4096"/>
  <c r="AC4096"/>
  <c r="AD4096"/>
  <c r="P4097"/>
  <c r="W4097"/>
  <c r="Y4097"/>
  <c r="AB4097"/>
  <c r="AC4097"/>
  <c r="AD4097"/>
  <c r="P4098"/>
  <c r="W4098"/>
  <c r="Y4098"/>
  <c r="AB4098"/>
  <c r="AC4098"/>
  <c r="AD4098"/>
  <c r="P4099"/>
  <c r="W4099"/>
  <c r="Y4099"/>
  <c r="AB4099"/>
  <c r="AC4099"/>
  <c r="AD4099"/>
  <c r="P4100"/>
  <c r="W4100"/>
  <c r="Y4100"/>
  <c r="AB4100"/>
  <c r="AC4100"/>
  <c r="AD4100"/>
  <c r="P4101"/>
  <c r="W4101"/>
  <c r="Y4101"/>
  <c r="AB4101"/>
  <c r="AC4101"/>
  <c r="AD4101"/>
  <c r="P4102"/>
  <c r="W4102"/>
  <c r="Y4102"/>
  <c r="AB4102"/>
  <c r="AC4102"/>
  <c r="AD4102"/>
  <c r="P4103"/>
  <c r="W4103"/>
  <c r="Y4103"/>
  <c r="AB4103"/>
  <c r="AC4103"/>
  <c r="AD4103"/>
  <c r="P4104"/>
  <c r="W4104"/>
  <c r="Y4104"/>
  <c r="AB4104"/>
  <c r="AC4104"/>
  <c r="AD4104"/>
  <c r="P4105"/>
  <c r="W4105"/>
  <c r="Y4105"/>
  <c r="AB4105"/>
  <c r="AC4105"/>
  <c r="AD4105"/>
  <c r="P4106"/>
  <c r="W4106"/>
  <c r="Y4106"/>
  <c r="AB4106"/>
  <c r="AC4106"/>
  <c r="AD4106"/>
  <c r="P4107"/>
  <c r="W4107"/>
  <c r="Y4107"/>
  <c r="AB4107"/>
  <c r="AC4107"/>
  <c r="AD4107"/>
  <c r="P4108"/>
  <c r="W4108"/>
  <c r="Y4108"/>
  <c r="AB4108"/>
  <c r="AC4108"/>
  <c r="AD4108"/>
  <c r="P4109"/>
  <c r="W4109"/>
  <c r="Y4109"/>
  <c r="AB4109"/>
  <c r="AC4109"/>
  <c r="AD4109"/>
  <c r="P4110"/>
  <c r="W4110"/>
  <c r="Y4110"/>
  <c r="AB4110"/>
  <c r="AC4110"/>
  <c r="AD4110"/>
  <c r="P4111"/>
  <c r="W4111"/>
  <c r="Y4111"/>
  <c r="AB4111"/>
  <c r="AC4111"/>
  <c r="AD4111"/>
  <c r="P4112"/>
  <c r="W4112"/>
  <c r="Y4112"/>
  <c r="AB4112"/>
  <c r="AC4112"/>
  <c r="AD4112"/>
  <c r="P4113"/>
  <c r="W4113"/>
  <c r="Y4113"/>
  <c r="AB4113"/>
  <c r="AC4113"/>
  <c r="AD4113"/>
  <c r="P4114"/>
  <c r="W4114"/>
  <c r="Y4114"/>
  <c r="AB4114"/>
  <c r="AC4114"/>
  <c r="AD4114"/>
  <c r="P4115"/>
  <c r="W4115"/>
  <c r="Y4115"/>
  <c r="AB4115"/>
  <c r="AC4115"/>
  <c r="AD4115"/>
  <c r="P4116"/>
  <c r="W4116"/>
  <c r="Y4116"/>
  <c r="AB4116"/>
  <c r="AC4116"/>
  <c r="AD4116"/>
  <c r="P4117"/>
  <c r="W4117"/>
  <c r="Y4117"/>
  <c r="AB4117"/>
  <c r="AC4117"/>
  <c r="AD4117"/>
  <c r="P4118"/>
  <c r="W4118"/>
  <c r="Y4118"/>
  <c r="AB4118"/>
  <c r="AC4118"/>
  <c r="AD4118"/>
  <c r="P4119"/>
  <c r="W4119"/>
  <c r="Y4119"/>
  <c r="AB4119"/>
  <c r="AC4119"/>
  <c r="AD4119"/>
  <c r="P4120"/>
  <c r="W4120"/>
  <c r="Y4120"/>
  <c r="AB4120"/>
  <c r="AC4120"/>
  <c r="AD4120"/>
  <c r="P4121"/>
  <c r="W4121"/>
  <c r="Y4121"/>
  <c r="AB4121"/>
  <c r="AC4121"/>
  <c r="AD4121"/>
  <c r="P4122"/>
  <c r="W4122"/>
  <c r="Y4122"/>
  <c r="AB4122"/>
  <c r="AC4122"/>
  <c r="AD4122"/>
  <c r="P4123"/>
  <c r="W4123"/>
  <c r="Y4123"/>
  <c r="AB4123"/>
  <c r="AC4123"/>
  <c r="AD4123"/>
  <c r="P4124"/>
  <c r="W4124"/>
  <c r="Y4124"/>
  <c r="AB4124"/>
  <c r="AC4124"/>
  <c r="AD4124"/>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39"/>
  <c r="W4139"/>
  <c r="Y4139"/>
  <c r="AB4139"/>
  <c r="AC4139"/>
  <c r="AD4139"/>
  <c r="P4140"/>
  <c r="W4140"/>
  <c r="Y4140"/>
  <c r="AB4140"/>
  <c r="AC4140"/>
  <c r="AD4140"/>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6"/>
  <c r="W4266"/>
  <c r="Y4266"/>
  <c r="AB4266"/>
  <c r="AC4266"/>
  <c r="AD4266"/>
  <c r="P4267"/>
  <c r="W4267"/>
  <c r="Y4267"/>
  <c r="AB4267"/>
  <c r="AC4267"/>
  <c r="AD4267"/>
  <c r="P4268"/>
  <c r="W4268"/>
  <c r="Y4268"/>
  <c r="AB4268"/>
  <c r="AC4268"/>
  <c r="AD4268"/>
  <c r="P4269"/>
  <c r="W4269"/>
  <c r="Y4269"/>
  <c r="AB4269"/>
  <c r="AC4269"/>
  <c r="AD4269"/>
  <c r="P4270"/>
  <c r="W4270"/>
  <c r="Y4270"/>
  <c r="AB4270"/>
  <c r="AC4270"/>
  <c r="AD4270"/>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4"/>
  <c r="T4284"/>
  <c r="U4284"/>
  <c r="V4284"/>
  <c r="W4284"/>
  <c r="Y4284"/>
  <c r="AB4284"/>
  <c r="AC4284"/>
  <c r="AD4284"/>
  <c r="P4285"/>
  <c r="T4285"/>
  <c r="U4285"/>
  <c r="V4285"/>
  <c r="W4285"/>
  <c r="Y4285"/>
  <c r="AB4285"/>
  <c r="AC4285"/>
  <c r="AD4285"/>
  <c r="P4286"/>
  <c r="T4286"/>
  <c r="U4286"/>
  <c r="V4286"/>
  <c r="W4286"/>
  <c r="Y4286"/>
  <c r="AB4286"/>
  <c r="AC4286"/>
  <c r="AD4286"/>
  <c r="P4287"/>
  <c r="T4287"/>
  <c r="U4287"/>
  <c r="V4287"/>
  <c r="W4287"/>
  <c r="Y4287"/>
  <c r="AB4287"/>
  <c r="AC4287"/>
  <c r="AD4287"/>
  <c r="P4288"/>
  <c r="W4288"/>
  <c r="Y4288"/>
  <c r="AA4288"/>
  <c r="AB4288"/>
  <c r="AC4288"/>
  <c r="AD4288"/>
  <c r="P4289"/>
  <c r="W4289"/>
  <c r="Y4289"/>
  <c r="AA4289"/>
  <c r="AB4289"/>
  <c r="AC4289"/>
  <c r="AD4289"/>
  <c r="P4290"/>
  <c r="W4290"/>
  <c r="Y4290"/>
  <c r="AA4290"/>
  <c r="AB4290"/>
  <c r="AC4290"/>
  <c r="AD4290"/>
  <c r="P4291"/>
  <c r="W4291"/>
  <c r="Y4291"/>
  <c r="AA4291"/>
  <c r="AB4291"/>
  <c r="AC4291"/>
  <c r="AD4291"/>
  <c r="P4292"/>
  <c r="W4292"/>
  <c r="Y4292"/>
  <c r="AA4292"/>
  <c r="AB4292"/>
  <c r="AC4292"/>
  <c r="AD4292"/>
  <c r="P4293"/>
  <c r="W4293"/>
  <c r="Y4293"/>
  <c r="AA4293"/>
  <c r="AB4293"/>
  <c r="AC4293"/>
  <c r="AD4293"/>
  <c r="P4294"/>
  <c r="W4294"/>
  <c r="Y4294"/>
  <c r="AA4294"/>
  <c r="AB4294"/>
  <c r="AC4294"/>
  <c r="AD4294"/>
  <c r="P4295"/>
  <c r="W4295"/>
  <c r="Y4295"/>
  <c r="AA4295"/>
  <c r="AB4295"/>
  <c r="AC4295"/>
  <c r="AD4295"/>
  <c r="P4296"/>
  <c r="W4296"/>
  <c r="Y4296"/>
  <c r="AA4296"/>
  <c r="AB4296"/>
  <c r="AC4296"/>
  <c r="AD4296"/>
  <c r="P4297"/>
  <c r="W4297"/>
  <c r="Y4297"/>
  <c r="AA4297"/>
  <c r="AB4297"/>
  <c r="AC4297"/>
  <c r="AD4297"/>
  <c r="P4298"/>
  <c r="W4298"/>
  <c r="Y4298"/>
  <c r="AA4298"/>
  <c r="AB4298"/>
  <c r="AC4298"/>
  <c r="AD4298"/>
  <c r="P4299"/>
  <c r="W4299"/>
  <c r="Y4299"/>
  <c r="AA4299"/>
  <c r="AB4299"/>
  <c r="AC4299"/>
  <c r="AD4299"/>
  <c r="P4300"/>
  <c r="W4300"/>
  <c r="Y4300"/>
  <c r="AA4300"/>
  <c r="AB4300"/>
  <c r="AC4300"/>
  <c r="AD4300"/>
  <c r="P4301"/>
  <c r="W4301"/>
  <c r="Y4301"/>
  <c r="AA4301"/>
  <c r="AB4301"/>
  <c r="AC4301"/>
  <c r="AD4301"/>
  <c r="P4302"/>
  <c r="W4302"/>
  <c r="Y4302"/>
  <c r="AA4302"/>
  <c r="AB4302"/>
  <c r="AC4302"/>
  <c r="AD4302"/>
  <c r="P4303"/>
  <c r="W4303"/>
  <c r="Y4303"/>
  <c r="AA4303"/>
  <c r="AB4303"/>
  <c r="AC4303"/>
  <c r="AD4303"/>
  <c r="P4304"/>
  <c r="W4304"/>
  <c r="Y4304"/>
  <c r="AA4304"/>
  <c r="AB4304"/>
  <c r="AC4304"/>
  <c r="AD4304"/>
  <c r="P4305"/>
  <c r="W4305"/>
  <c r="Y4305"/>
  <c r="AA4305"/>
  <c r="AB4305"/>
  <c r="AC4305"/>
  <c r="AD4305"/>
  <c r="P4306"/>
  <c r="W4306"/>
  <c r="Y4306"/>
  <c r="AA4306"/>
  <c r="AB4306"/>
  <c r="AC4306"/>
  <c r="AD4306"/>
  <c r="P4307"/>
  <c r="W4307"/>
  <c r="Y4307"/>
  <c r="AA4307"/>
  <c r="AB4307"/>
  <c r="AC4307"/>
  <c r="AD4307"/>
  <c r="P4308"/>
  <c r="W4308"/>
  <c r="Y4308"/>
  <c r="AA4308"/>
  <c r="AB4308"/>
  <c r="AC4308"/>
  <c r="AD4308"/>
  <c r="P4309"/>
  <c r="W4309"/>
  <c r="Y4309"/>
  <c r="AA4309"/>
  <c r="AB4309"/>
  <c r="AC4309"/>
  <c r="AD4309"/>
  <c r="P4310"/>
  <c r="W4310"/>
  <c r="Y4310"/>
  <c r="AA4310"/>
  <c r="AB4310"/>
  <c r="AC4310"/>
  <c r="AD4310"/>
  <c r="P4311"/>
  <c r="W4311"/>
  <c r="Y4311"/>
  <c r="AA4311"/>
  <c r="AB4311"/>
  <c r="AC4311"/>
  <c r="AD4311"/>
  <c r="P4312"/>
  <c r="W4312"/>
  <c r="Y4312"/>
  <c r="AA4312"/>
  <c r="AB4312"/>
  <c r="AC4312"/>
  <c r="AD4312"/>
  <c r="P4313"/>
  <c r="W4313"/>
  <c r="Y4313"/>
  <c r="AA4313"/>
  <c r="AB4313"/>
  <c r="AC4313"/>
  <c r="AD4313"/>
  <c r="P4314"/>
  <c r="W4314"/>
  <c r="Y4314"/>
  <c r="AA4314"/>
  <c r="AB4314"/>
  <c r="AC4314"/>
  <c r="AD4314"/>
  <c r="P4315"/>
  <c r="W4315"/>
  <c r="Y4315"/>
  <c r="AA4315"/>
  <c r="AB4315"/>
  <c r="AC4315"/>
  <c r="AD4315"/>
  <c r="P4316"/>
  <c r="W4316"/>
  <c r="Y4316"/>
  <c r="AA4316"/>
  <c r="AB4316"/>
  <c r="AC4316"/>
  <c r="AD4316"/>
  <c r="P4317"/>
  <c r="W4317"/>
  <c r="Y4317"/>
  <c r="AA4317"/>
  <c r="AB4317"/>
  <c r="AC4317"/>
  <c r="AD4317"/>
  <c r="P4318"/>
  <c r="W4318"/>
  <c r="Y4318"/>
  <c r="AA4318"/>
  <c r="AB4318"/>
  <c r="AC4318"/>
  <c r="AD4318"/>
  <c r="P4319"/>
  <c r="W4319"/>
  <c r="Y4319"/>
  <c r="AA4319"/>
  <c r="AB4319"/>
  <c r="AC4319"/>
  <c r="AD4319"/>
  <c r="P4320"/>
  <c r="W4320"/>
  <c r="Y4320"/>
  <c r="AA4320"/>
  <c r="AB4320"/>
  <c r="AC4320"/>
  <c r="AD4320"/>
  <c r="P4321"/>
  <c r="W4321"/>
  <c r="Y4321"/>
  <c r="AA4321"/>
  <c r="AB4321"/>
  <c r="AC4321"/>
  <c r="AD4321"/>
  <c r="P4322"/>
  <c r="W4322"/>
  <c r="Y4322"/>
  <c r="AA4322"/>
  <c r="AB4322"/>
  <c r="AC4322"/>
  <c r="AD4322"/>
  <c r="P4323"/>
  <c r="W4323"/>
  <c r="Y4323"/>
  <c r="AA4323"/>
  <c r="AB4323"/>
  <c r="AC4323"/>
  <c r="AD4323"/>
  <c r="P4324"/>
  <c r="W4324"/>
  <c r="Y4324"/>
  <c r="AA4324"/>
  <c r="AB4324"/>
  <c r="AC4324"/>
  <c r="AD4324"/>
  <c r="P4325"/>
  <c r="W4325"/>
  <c r="Y4325"/>
  <c r="AA4325"/>
  <c r="AB4325"/>
  <c r="AC4325"/>
  <c r="AD4325"/>
  <c r="P4326"/>
  <c r="W4326"/>
  <c r="Y4326"/>
  <c r="AA4326"/>
  <c r="AB4326"/>
  <c r="AC4326"/>
  <c r="AD4326"/>
  <c r="P4327"/>
  <c r="W4327"/>
  <c r="Y4327"/>
  <c r="AA4327"/>
  <c r="AB4327"/>
  <c r="AC4327"/>
  <c r="AD4327"/>
  <c r="P4328"/>
  <c r="W4328"/>
  <c r="Y4328"/>
  <c r="AA4328"/>
  <c r="AB4328"/>
  <c r="AC4328"/>
  <c r="AD4328"/>
  <c r="P4329"/>
  <c r="W4329"/>
  <c r="Y4329"/>
  <c r="AA4329"/>
  <c r="AB4329"/>
  <c r="AC4329"/>
  <c r="AD4329"/>
  <c r="P4330"/>
  <c r="W4330"/>
  <c r="Y4330"/>
  <c r="AA4330"/>
  <c r="AB4330"/>
  <c r="AC4330"/>
  <c r="AD4330"/>
  <c r="P4331"/>
  <c r="W4331"/>
  <c r="Y4331"/>
  <c r="AA4331"/>
  <c r="AB4331"/>
  <c r="AC4331"/>
  <c r="AD4331"/>
  <c r="P4332"/>
  <c r="W4332"/>
  <c r="Y4332"/>
  <c r="AA4332"/>
  <c r="AB4332"/>
  <c r="AC4332"/>
  <c r="AD4332"/>
  <c r="P4333"/>
  <c r="W4333"/>
  <c r="Y4333"/>
  <c r="AA4333"/>
  <c r="AB4333"/>
  <c r="AC4333"/>
  <c r="AD4333"/>
  <c r="P4334"/>
  <c r="W4334"/>
  <c r="Y4334"/>
  <c r="AA4334"/>
  <c r="AB4334"/>
  <c r="AC4334"/>
  <c r="AD4334"/>
  <c r="P4335"/>
  <c r="W4335"/>
  <c r="Y4335"/>
  <c r="AA4335"/>
  <c r="AB4335"/>
  <c r="AC4335"/>
  <c r="AD4335"/>
  <c r="P4336"/>
  <c r="W4336"/>
  <c r="Y4336"/>
  <c r="AA4336"/>
  <c r="AB4336"/>
  <c r="AC4336"/>
  <c r="AD4336"/>
  <c r="P4337"/>
  <c r="W4337"/>
  <c r="Y4337"/>
  <c r="AA4337"/>
  <c r="AB4337"/>
  <c r="AC4337"/>
  <c r="AD4337"/>
  <c r="P4338"/>
  <c r="W4338"/>
  <c r="Y4338"/>
  <c r="AA4338"/>
  <c r="AB4338"/>
  <c r="AC4338"/>
  <c r="AD4338"/>
  <c r="P4339"/>
  <c r="W4339"/>
  <c r="Y4339"/>
  <c r="AA4339"/>
  <c r="AB4339"/>
  <c r="AC4339"/>
  <c r="AD4339"/>
  <c r="P4340"/>
  <c r="W4340"/>
  <c r="Y4340"/>
  <c r="AA4340"/>
  <c r="AB4340"/>
  <c r="AC4340"/>
  <c r="AD4340"/>
  <c r="P4341"/>
  <c r="W4341"/>
  <c r="Y4341"/>
  <c r="AA4341"/>
  <c r="AB4341"/>
  <c r="AC4341"/>
  <c r="AD4341"/>
  <c r="P4342"/>
  <c r="W4342"/>
  <c r="Y4342"/>
  <c r="AA4342"/>
  <c r="AB4342"/>
  <c r="AC4342"/>
  <c r="AD4342"/>
  <c r="P4343"/>
  <c r="W4343"/>
  <c r="Y4343"/>
  <c r="AA4343"/>
  <c r="AB4343"/>
  <c r="AC4343"/>
  <c r="AD4343"/>
  <c r="P4344"/>
  <c r="W4344"/>
  <c r="Y4344"/>
  <c r="AA4344"/>
  <c r="AB4344"/>
  <c r="AC4344"/>
  <c r="AD4344"/>
  <c r="P4345"/>
  <c r="W4345"/>
  <c r="Y4345"/>
  <c r="AA4345"/>
  <c r="AB4345"/>
  <c r="AC4345"/>
  <c r="AD4345"/>
  <c r="P4346"/>
  <c r="W4346"/>
  <c r="Y4346"/>
  <c r="AA4346"/>
  <c r="AB4346"/>
  <c r="AC4346"/>
  <c r="AD4346"/>
  <c r="P4347"/>
  <c r="W4347"/>
  <c r="Y4347"/>
  <c r="AA4347"/>
  <c r="AB4347"/>
  <c r="AC4347"/>
  <c r="AD4347"/>
  <c r="P4348"/>
  <c r="W4348"/>
  <c r="Y4348"/>
  <c r="AA4348"/>
  <c r="AB4348"/>
  <c r="AC4348"/>
  <c r="AD4348"/>
  <c r="P4349"/>
  <c r="W4349"/>
  <c r="Y4349"/>
  <c r="AA4349"/>
  <c r="AB4349"/>
  <c r="AC4349"/>
  <c r="AD4349"/>
  <c r="P4350"/>
  <c r="W4350"/>
  <c r="Y4350"/>
  <c r="AA4350"/>
  <c r="AB4350"/>
  <c r="AC4350"/>
  <c r="AD4350"/>
  <c r="P4351"/>
  <c r="W4351"/>
  <c r="Y4351"/>
  <c r="AA4351"/>
  <c r="AB4351"/>
  <c r="AC4351"/>
  <c r="AD4351"/>
  <c r="P4352"/>
  <c r="W4352"/>
  <c r="Y4352"/>
  <c r="AA4352"/>
  <c r="AB4352"/>
  <c r="AC4352"/>
  <c r="AD4352"/>
  <c r="P4353"/>
  <c r="W4353"/>
  <c r="Y4353"/>
  <c r="AA4353"/>
  <c r="AB4353"/>
  <c r="AC4353"/>
  <c r="AD4353"/>
  <c r="P4354"/>
  <c r="W4354"/>
  <c r="Y4354"/>
  <c r="AA4354"/>
  <c r="AB4354"/>
  <c r="AC4354"/>
  <c r="AD4354"/>
  <c r="P4355"/>
  <c r="W4355"/>
  <c r="Y4355"/>
  <c r="AA4355"/>
  <c r="AB4355"/>
  <c r="AC4355"/>
  <c r="AD4355"/>
  <c r="P4356"/>
  <c r="W4356"/>
  <c r="Y4356"/>
  <c r="AA4356"/>
  <c r="AB4356"/>
  <c r="AC4356"/>
  <c r="AD4356"/>
  <c r="P4357"/>
  <c r="W4357"/>
  <c r="Y4357"/>
  <c r="AA4357"/>
  <c r="AB4357"/>
  <c r="AC4357"/>
  <c r="AD4357"/>
  <c r="P4358"/>
  <c r="W4358"/>
  <c r="Y4358"/>
  <c r="AA4358"/>
  <c r="AB4358"/>
  <c r="AC4358"/>
  <c r="AD4358"/>
  <c r="P4359"/>
  <c r="W4359"/>
  <c r="Y4359"/>
  <c r="AA4359"/>
  <c r="AB4359"/>
  <c r="AC4359"/>
  <c r="AD4359"/>
  <c r="P4360"/>
  <c r="W4360"/>
  <c r="Y4360"/>
  <c r="AA4360"/>
  <c r="AB4360"/>
  <c r="AC4360"/>
  <c r="AD4360"/>
  <c r="P4361"/>
  <c r="W4361"/>
  <c r="Y4361"/>
  <c r="AA4361"/>
  <c r="AB4361"/>
  <c r="AC4361"/>
  <c r="AD4361"/>
  <c r="P4362"/>
  <c r="W4362"/>
  <c r="Y4362"/>
  <c r="AA4362"/>
  <c r="AB4362"/>
  <c r="AC4362"/>
  <c r="AD4362"/>
  <c r="P4363"/>
  <c r="W4363"/>
  <c r="Y4363"/>
  <c r="AA4363"/>
  <c r="AB4363"/>
  <c r="AC4363"/>
  <c r="AD4363"/>
  <c r="P4364"/>
  <c r="W4364"/>
  <c r="Y4364"/>
  <c r="AA4364"/>
  <c r="AB4364"/>
  <c r="AC4364"/>
  <c r="AD4364"/>
  <c r="P4365"/>
  <c r="W4365"/>
  <c r="Y4365"/>
  <c r="AA4365"/>
  <c r="AB4365"/>
  <c r="AC4365"/>
  <c r="AD4365"/>
  <c r="P4366"/>
  <c r="W4366"/>
  <c r="Y4366"/>
  <c r="AA4366"/>
  <c r="AB4366"/>
  <c r="AC4366"/>
  <c r="AD4366"/>
  <c r="P4367"/>
  <c r="W4367"/>
  <c r="Y4367"/>
  <c r="AA4367"/>
  <c r="AB4367"/>
  <c r="AC4367"/>
  <c r="AD4367"/>
  <c r="P4368"/>
  <c r="W4368"/>
  <c r="Y4368"/>
  <c r="AA4368"/>
  <c r="AB4368"/>
  <c r="AC4368"/>
  <c r="AD4368"/>
  <c r="P4369"/>
  <c r="W4369"/>
  <c r="Y4369"/>
  <c r="AA4369"/>
  <c r="AB4369"/>
  <c r="AC4369"/>
  <c r="AD4369"/>
  <c r="P4370"/>
  <c r="W4370"/>
  <c r="Y4370"/>
  <c r="AA4370"/>
  <c r="AB4370"/>
  <c r="AC4370"/>
  <c r="AD4370"/>
  <c r="P4371"/>
  <c r="W4371"/>
  <c r="Y4371"/>
  <c r="AA4371"/>
  <c r="AB4371"/>
  <c r="AC4371"/>
  <c r="AD4371"/>
  <c r="P4372"/>
  <c r="W4372"/>
  <c r="Y4372"/>
  <c r="AA4372"/>
  <c r="AB4372"/>
  <c r="AC4372"/>
  <c r="AD4372"/>
  <c r="P4373"/>
  <c r="W4373"/>
  <c r="Y4373"/>
  <c r="AA4373"/>
  <c r="AB4373"/>
  <c r="AC4373"/>
  <c r="AD4373"/>
  <c r="P4374"/>
  <c r="W4374"/>
  <c r="Y4374"/>
  <c r="AA4374"/>
  <c r="AB4374"/>
  <c r="AC4374"/>
  <c r="AD4374"/>
  <c r="P4375"/>
  <c r="W4375"/>
  <c r="Y4375"/>
  <c r="AA4375"/>
  <c r="AB4375"/>
  <c r="AC4375"/>
  <c r="AD4375"/>
  <c r="P4376"/>
  <c r="W4376"/>
  <c r="Y4376"/>
  <c r="AA4376"/>
  <c r="AB4376"/>
  <c r="AC4376"/>
  <c r="AD4376"/>
  <c r="P4377"/>
  <c r="W4377"/>
  <c r="Y4377"/>
  <c r="AA4377"/>
  <c r="AB4377"/>
  <c r="AC4377"/>
  <c r="AD4377"/>
  <c r="P4378"/>
  <c r="W4378"/>
  <c r="Y4378"/>
  <c r="AA4378"/>
  <c r="AB4378"/>
  <c r="AC4378"/>
  <c r="AD4378"/>
  <c r="P4379"/>
  <c r="W4379"/>
  <c r="Y4379"/>
  <c r="AA4379"/>
  <c r="AB4379"/>
  <c r="AC4379"/>
  <c r="AD4379"/>
  <c r="P4380"/>
  <c r="W4380"/>
  <c r="Y4380"/>
  <c r="AA4380"/>
  <c r="AB4380"/>
  <c r="AC4380"/>
  <c r="AD4380"/>
  <c r="P4381"/>
  <c r="W4381"/>
  <c r="Y4381"/>
  <c r="AA4381"/>
  <c r="AB4381"/>
  <c r="AC4381"/>
  <c r="AD4381"/>
  <c r="P4382"/>
  <c r="W4382"/>
  <c r="Y4382"/>
  <c r="AA4382"/>
  <c r="AB4382"/>
  <c r="AC4382"/>
  <c r="AD4382"/>
  <c r="P4383"/>
  <c r="W4383"/>
  <c r="Y4383"/>
  <c r="AA4383"/>
  <c r="AB4383"/>
  <c r="AC4383"/>
  <c r="AD4383"/>
  <c r="P4384"/>
  <c r="W4384"/>
  <c r="Y4384"/>
  <c r="AA4384"/>
  <c r="AB4384"/>
  <c r="AC4384"/>
  <c r="AD4384"/>
  <c r="P4385"/>
  <c r="W4385"/>
  <c r="Y4385"/>
  <c r="AA4385"/>
  <c r="AB4385"/>
  <c r="AC4385"/>
  <c r="AD4385"/>
  <c r="P4386"/>
  <c r="W4386"/>
  <c r="Y4386"/>
  <c r="AA4386"/>
  <c r="AB4386"/>
  <c r="AC4386"/>
  <c r="AD4386"/>
  <c r="P4387"/>
  <c r="W4387"/>
  <c r="Y4387"/>
  <c r="AA4387"/>
  <c r="AB4387"/>
  <c r="AC4387"/>
  <c r="AD4387"/>
  <c r="P4388"/>
  <c r="W4388"/>
  <c r="Y4388"/>
  <c r="AA4388"/>
  <c r="AB4388"/>
  <c r="AC4388"/>
  <c r="AD4388"/>
  <c r="P4389"/>
  <c r="W4389"/>
  <c r="Y4389"/>
  <c r="AA4389"/>
  <c r="AB4389"/>
  <c r="AC4389"/>
  <c r="AD4389"/>
  <c r="P4390"/>
  <c r="W4390"/>
  <c r="Y4390"/>
  <c r="AA4390"/>
  <c r="AB4390"/>
  <c r="AC4390"/>
  <c r="AD4390"/>
  <c r="P4391"/>
  <c r="W4391"/>
  <c r="Y4391"/>
  <c r="AA4391"/>
  <c r="AB4391"/>
  <c r="AC4391"/>
  <c r="AD4391"/>
  <c r="P4392"/>
  <c r="W4392"/>
  <c r="Y4392"/>
  <c r="AA4392"/>
  <c r="AB4392"/>
  <c r="AC4392"/>
  <c r="AD4392"/>
  <c r="P4393"/>
  <c r="W4393"/>
  <c r="Y4393"/>
  <c r="AA4393"/>
  <c r="AB4393"/>
  <c r="AC4393"/>
  <c r="AD4393"/>
  <c r="P4394"/>
  <c r="W4394"/>
  <c r="Y4394"/>
  <c r="AA4394"/>
  <c r="AB4394"/>
  <c r="AC4394"/>
  <c r="AD4394"/>
  <c r="P4395"/>
  <c r="W4395"/>
  <c r="Y4395"/>
  <c r="AA4395"/>
  <c r="AB4395"/>
  <c r="AC4395"/>
  <c r="AD4395"/>
  <c r="P4396"/>
  <c r="W4396"/>
  <c r="Y4396"/>
  <c r="AA4396"/>
  <c r="AB4396"/>
  <c r="AC4396"/>
  <c r="AD4396"/>
  <c r="P4397"/>
  <c r="W4397"/>
  <c r="Y4397"/>
  <c r="AA4397"/>
  <c r="AB4397"/>
  <c r="AC4397"/>
  <c r="AD4397"/>
  <c r="P4398"/>
  <c r="W4398"/>
  <c r="Y4398"/>
  <c r="AA4398"/>
  <c r="AB4398"/>
  <c r="AC4398"/>
  <c r="AD4398"/>
  <c r="P4399"/>
  <c r="W4399"/>
  <c r="Y4399"/>
  <c r="AA4399"/>
  <c r="AB4399"/>
  <c r="AC4399"/>
  <c r="AD4399"/>
  <c r="P4400"/>
  <c r="W4400"/>
  <c r="Y4400"/>
  <c r="AA4400"/>
  <c r="AB4400"/>
  <c r="AC4400"/>
  <c r="AD4400"/>
  <c r="P4401"/>
  <c r="W4401"/>
  <c r="Y4401"/>
  <c r="AA4401"/>
  <c r="AB4401"/>
  <c r="AC4401"/>
  <c r="AD4401"/>
  <c r="P4402"/>
  <c r="W4402"/>
  <c r="Y4402"/>
  <c r="AA4402"/>
  <c r="AB4402"/>
  <c r="AC4402"/>
  <c r="AD4402"/>
  <c r="P4403"/>
  <c r="W4403"/>
  <c r="Y4403"/>
  <c r="AA4403"/>
  <c r="AB4403"/>
  <c r="AC4403"/>
  <c r="AD4403"/>
  <c r="P4404"/>
  <c r="W4404"/>
  <c r="Y4404"/>
  <c r="AA4404"/>
  <c r="AB4404"/>
  <c r="AC4404"/>
  <c r="AD4404"/>
  <c r="P4405"/>
  <c r="W4405"/>
  <c r="Y4405"/>
  <c r="AA4405"/>
  <c r="AB4405"/>
  <c r="AC4405"/>
  <c r="AD4405"/>
  <c r="P4406"/>
  <c r="W4406"/>
  <c r="Y4406"/>
  <c r="AA4406"/>
  <c r="AB4406"/>
  <c r="AC4406"/>
  <c r="AD4406"/>
  <c r="P4407"/>
  <c r="W4407"/>
  <c r="Y4407"/>
  <c r="AA4407"/>
  <c r="AB4407"/>
  <c r="AC4407"/>
  <c r="AD4407"/>
  <c r="P4408"/>
  <c r="W4408"/>
  <c r="Y4408"/>
  <c r="AB4408"/>
  <c r="AC4408"/>
  <c r="AD4408"/>
  <c r="P4409"/>
  <c r="W4409"/>
  <c r="Y4409"/>
  <c r="AB4409"/>
  <c r="AC4409"/>
  <c r="AD4409"/>
  <c r="P4410"/>
  <c r="W4410"/>
  <c r="Y4410"/>
  <c r="AB4410"/>
  <c r="AC4410"/>
  <c r="AD4410"/>
  <c r="P4411"/>
  <c r="W4411"/>
  <c r="Y4411"/>
  <c r="AB4411"/>
  <c r="AC4411"/>
  <c r="AD4411"/>
  <c r="P4412"/>
  <c r="W4412"/>
  <c r="Y4412"/>
  <c r="AB4412"/>
  <c r="AC4412"/>
  <c r="AD4412"/>
  <c r="P4413"/>
  <c r="W4413"/>
  <c r="Y4413"/>
  <c r="AB4413"/>
  <c r="AC4413"/>
  <c r="AD4413"/>
  <c r="P4414"/>
  <c r="W4414"/>
  <c r="Y4414"/>
  <c r="AB4414"/>
  <c r="AC4414"/>
  <c r="AD4414"/>
  <c r="P4415"/>
  <c r="W4415"/>
  <c r="Y4415"/>
  <c r="AA4415"/>
  <c r="AB4415"/>
  <c r="AC4415"/>
  <c r="AD4415"/>
  <c r="P4416"/>
  <c r="W4416"/>
  <c r="Y4416"/>
  <c r="AB4416"/>
  <c r="AC4416"/>
  <c r="AD4416"/>
  <c r="P4417"/>
  <c r="W4417"/>
  <c r="Y4417"/>
  <c r="AB4417"/>
  <c r="AC4417"/>
  <c r="AD4417"/>
  <c r="P4418"/>
  <c r="W4418"/>
  <c r="Y4418"/>
  <c r="AB4418"/>
  <c r="AC4418"/>
  <c r="AD4418"/>
  <c r="P4419"/>
  <c r="W4419"/>
  <c r="Y4419"/>
  <c r="AB4419"/>
  <c r="AC4419"/>
  <c r="AD4419"/>
  <c r="P4420"/>
  <c r="W4420"/>
  <c r="Y4420"/>
  <c r="AB4420"/>
  <c r="AC4420"/>
  <c r="AD4420"/>
  <c r="P4421"/>
  <c r="W4421"/>
  <c r="Y4421"/>
  <c r="AB4421"/>
  <c r="AC4421"/>
  <c r="AD4421"/>
  <c r="P4422"/>
  <c r="W4422"/>
  <c r="Y4422"/>
  <c r="AB4422"/>
  <c r="AC4422"/>
  <c r="AD4422"/>
  <c r="P4423"/>
  <c r="W4423"/>
  <c r="Y4423"/>
  <c r="AB4423"/>
  <c r="AC4423"/>
  <c r="AD4423"/>
  <c r="P4424"/>
  <c r="W4424"/>
  <c r="Y4424"/>
  <c r="AB4424"/>
  <c r="AC4424"/>
  <c r="AD4424"/>
  <c r="P4425"/>
  <c r="W4425"/>
  <c r="Y4425"/>
  <c r="AB4425"/>
  <c r="AC4425"/>
  <c r="AD4425"/>
  <c r="P4426"/>
  <c r="W4426"/>
  <c r="Y4426"/>
  <c r="AB4426"/>
  <c r="AC4426"/>
  <c r="AD4426"/>
  <c r="P4427"/>
  <c r="W4427"/>
  <c r="Y4427"/>
  <c r="AB4427"/>
  <c r="AC4427"/>
  <c r="AD4427"/>
  <c r="P4428"/>
  <c r="W4428"/>
  <c r="Y4428"/>
  <c r="AB4428"/>
  <c r="AC4428"/>
  <c r="AD4428"/>
  <c r="P4429"/>
  <c r="W4429"/>
  <c r="Y4429"/>
  <c r="AB4429"/>
  <c r="AC4429"/>
  <c r="AD4429"/>
  <c r="P4430"/>
  <c r="W4430"/>
  <c r="Y4430"/>
  <c r="AB4430"/>
  <c r="AC4430"/>
  <c r="AD4430"/>
  <c r="P4431"/>
  <c r="W4431"/>
  <c r="Y4431"/>
  <c r="AB4431"/>
  <c r="AC4431"/>
  <c r="AD4431"/>
  <c r="P4432"/>
  <c r="W4432"/>
  <c r="Y4432"/>
  <c r="AB4432"/>
  <c r="AC4432"/>
  <c r="AD4432"/>
  <c r="P4433"/>
  <c r="W4433"/>
  <c r="Y4433"/>
  <c r="AB4433"/>
  <c r="AC4433"/>
  <c r="AD4433"/>
  <c r="P4434"/>
  <c r="W4434"/>
  <c r="Y4434"/>
  <c r="AB4434"/>
  <c r="AC4434"/>
  <c r="AD4434"/>
  <c r="P4435"/>
  <c r="W4435"/>
  <c r="Y4435"/>
  <c r="AB4435"/>
  <c r="AC4435"/>
  <c r="AD4435"/>
  <c r="P4436"/>
  <c r="W4436"/>
  <c r="Y4436"/>
  <c r="AB4436"/>
  <c r="AC4436"/>
  <c r="AD4436"/>
  <c r="P4437"/>
  <c r="W4437"/>
  <c r="Y4437"/>
  <c r="AB4437"/>
  <c r="AC4437"/>
  <c r="AD4437"/>
  <c r="P4438"/>
  <c r="W4438"/>
  <c r="Y4438"/>
  <c r="AB4438"/>
  <c r="AC4438"/>
  <c r="AD4438"/>
  <c r="P4439"/>
  <c r="W4439"/>
  <c r="Y4439"/>
  <c r="AB4439"/>
  <c r="AC4439"/>
  <c r="AD4439"/>
  <c r="P4440"/>
  <c r="W4440"/>
  <c r="Y4440"/>
  <c r="AA4440"/>
  <c r="AB4440"/>
  <c r="AC4440"/>
  <c r="AD4440"/>
  <c r="P4441"/>
  <c r="W4441"/>
  <c r="Y4441"/>
  <c r="AB4441"/>
  <c r="AC4441"/>
  <c r="AD4441"/>
  <c r="P4442"/>
  <c r="W4442"/>
  <c r="Y4442"/>
  <c r="AB4442"/>
  <c r="AC4442"/>
  <c r="AD4442"/>
  <c r="P4443"/>
  <c r="W4443"/>
  <c r="Y4443"/>
  <c r="AB4443"/>
  <c r="AC4443"/>
  <c r="AD4443"/>
  <c r="P4444"/>
  <c r="W4444"/>
  <c r="Y4444"/>
  <c r="AB4444"/>
  <c r="AC4444"/>
  <c r="AD4444"/>
  <c r="P4445"/>
  <c r="W4445"/>
  <c r="Y4445"/>
  <c r="AB4445"/>
  <c r="AC4445"/>
  <c r="AD4445"/>
  <c r="P4446"/>
  <c r="W4446"/>
  <c r="Y4446"/>
  <c r="AB4446"/>
  <c r="AC4446"/>
  <c r="AD4446"/>
  <c r="P4447"/>
  <c r="W4447"/>
  <c r="Y4447"/>
  <c r="AA4447"/>
  <c r="AB4447"/>
  <c r="AC4447"/>
  <c r="AD4447"/>
  <c r="P4448"/>
  <c r="W4448"/>
  <c r="Y4448"/>
  <c r="AA4448"/>
  <c r="AB4448"/>
  <c r="AC4448"/>
  <c r="AD4448"/>
  <c r="P4449"/>
  <c r="W4449"/>
  <c r="Y4449"/>
  <c r="AB4449"/>
  <c r="AC4449"/>
  <c r="AD4449"/>
  <c r="P4450"/>
  <c r="W4450"/>
  <c r="Y4450"/>
  <c r="AB4450"/>
  <c r="AC4450"/>
  <c r="AD4450"/>
  <c r="P4451"/>
  <c r="W4451"/>
  <c r="Y4451"/>
  <c r="AB4451"/>
  <c r="AC4451"/>
  <c r="AD4451"/>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59"/>
  <c r="W4459"/>
  <c r="Y4459"/>
  <c r="AB4459"/>
  <c r="AC4459"/>
  <c r="AD4459"/>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A4465"/>
  <c r="AB4465"/>
  <c r="AC4465"/>
  <c r="AD4465"/>
  <c r="P4466"/>
  <c r="W4466"/>
  <c r="Y4466"/>
  <c r="AB4466"/>
  <c r="AC4466"/>
  <c r="AD4466"/>
  <c r="P4467"/>
  <c r="W4467"/>
  <c r="Y4467"/>
  <c r="AB4467"/>
  <c r="AC4467"/>
  <c r="AD4467"/>
  <c r="P4468"/>
  <c r="W4468"/>
  <c r="Y4468"/>
  <c r="AB4468"/>
  <c r="AC4468"/>
  <c r="AD4468"/>
  <c r="P4469"/>
  <c r="W4469"/>
  <c r="Y4469"/>
  <c r="AA4469"/>
  <c r="AB4469"/>
  <c r="AC4469"/>
  <c r="AD4469"/>
  <c r="P4470"/>
  <c r="W4470"/>
  <c r="Y4470"/>
  <c r="AB4470"/>
  <c r="AC4470"/>
  <c r="AD4470"/>
  <c r="P4471"/>
  <c r="W4471"/>
  <c r="Y4471"/>
  <c r="AA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0"/>
  <c r="W4480"/>
  <c r="Y4480"/>
  <c r="AA4480"/>
  <c r="AB4480"/>
  <c r="AC4480"/>
  <c r="AD4480"/>
  <c r="P4481"/>
  <c r="W4481"/>
  <c r="Y4481"/>
  <c r="AA4481"/>
  <c r="AB4481"/>
  <c r="AC4481"/>
  <c r="AD4481"/>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98"/>
  <c r="W4498"/>
  <c r="Y4498"/>
  <c r="AB4498"/>
  <c r="AC4498"/>
  <c r="AD4498"/>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A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A4521"/>
  <c r="AB4521"/>
  <c r="AC4521"/>
  <c r="AD4521"/>
  <c r="P4522"/>
  <c r="W4522"/>
  <c r="Y4522"/>
  <c r="AB4522"/>
  <c r="AC4522"/>
  <c r="AD4522"/>
  <c r="P4523"/>
  <c r="W4523"/>
  <c r="Y4523"/>
  <c r="AB4523"/>
  <c r="AC4523"/>
  <c r="AD4523"/>
  <c r="P4524"/>
  <c r="W4524"/>
  <c r="Y4524"/>
  <c r="AA4524"/>
  <c r="AB4524"/>
  <c r="AC4524"/>
  <c r="AD4524"/>
  <c r="P4525"/>
  <c r="W4525"/>
  <c r="Y4525"/>
  <c r="AB4525"/>
  <c r="AC4525"/>
  <c r="AD4525"/>
  <c r="P4526"/>
  <c r="W4526"/>
  <c r="Y4526"/>
  <c r="AB4526"/>
  <c r="AC4526"/>
  <c r="AD4526"/>
  <c r="P4527"/>
  <c r="W4527"/>
  <c r="Y4527"/>
  <c r="AB4527"/>
  <c r="AC4527"/>
  <c r="AD4527"/>
  <c r="P4528"/>
  <c r="W4528"/>
  <c r="Y4528"/>
  <c r="AB4528"/>
  <c r="AC4528"/>
  <c r="AD4528"/>
  <c r="P4529"/>
  <c r="W4529"/>
  <c r="Y4529"/>
  <c r="AB4529"/>
  <c r="AC4529"/>
  <c r="AD4529"/>
  <c r="P4530"/>
  <c r="W4530"/>
  <c r="Y4530"/>
  <c r="AB4530"/>
  <c r="AC4530"/>
  <c r="AD4530"/>
  <c r="P4531"/>
  <c r="W4531"/>
  <c r="Y4531"/>
  <c r="AB4531"/>
  <c r="AC4531"/>
  <c r="AD4531"/>
  <c r="P4532"/>
  <c r="W4532"/>
  <c r="Y4532"/>
  <c r="AB4532"/>
  <c r="AC4532"/>
  <c r="AD4532"/>
  <c r="P4533"/>
  <c r="W4533"/>
  <c r="Y4533"/>
  <c r="AB4533"/>
  <c r="AC4533"/>
  <c r="AD4533"/>
  <c r="P4534"/>
  <c r="W4534"/>
  <c r="Y4534"/>
  <c r="AB4534"/>
  <c r="AC4534"/>
  <c r="AD4534"/>
  <c r="P4535"/>
  <c r="W4535"/>
  <c r="Y4535"/>
  <c r="AA4535"/>
  <c r="AB4535"/>
  <c r="AC4535"/>
  <c r="AD4535"/>
  <c r="P4536"/>
  <c r="W4536"/>
  <c r="Y4536"/>
  <c r="AB4536"/>
  <c r="AC4536"/>
  <c r="AD4536"/>
  <c r="P4537"/>
  <c r="W4537"/>
  <c r="Y4537"/>
  <c r="AB4537"/>
  <c r="AC4537"/>
  <c r="AD4537"/>
  <c r="P4538"/>
  <c r="W4538"/>
  <c r="Y4538"/>
  <c r="AB4538"/>
  <c r="AC4538"/>
  <c r="AD4538"/>
  <c r="P4539"/>
  <c r="W4539"/>
  <c r="Y4539"/>
  <c r="AB4539"/>
  <c r="AC4539"/>
  <c r="AD4539"/>
  <c r="P4540"/>
  <c r="W4540"/>
  <c r="Y4540"/>
  <c r="AB4540"/>
  <c r="AC4540"/>
  <c r="AD4540"/>
  <c r="P4541"/>
  <c r="W4541"/>
  <c r="Y4541"/>
  <c r="AB4541"/>
  <c r="AC4541"/>
  <c r="AD4541"/>
  <c r="P4542"/>
  <c r="W4542"/>
  <c r="Y4542"/>
  <c r="AB4542"/>
  <c r="AC4542"/>
  <c r="AD4542"/>
  <c r="P4543"/>
  <c r="W4543"/>
  <c r="Y4543"/>
  <c r="AB4543"/>
  <c r="AC4543"/>
  <c r="AD4543"/>
  <c r="P4544"/>
  <c r="W4544"/>
  <c r="Y4544"/>
  <c r="AB4544"/>
  <c r="AC4544"/>
  <c r="AD4544"/>
  <c r="P4545"/>
  <c r="W4545"/>
  <c r="Y4545"/>
  <c r="AB4545"/>
  <c r="AC4545"/>
  <c r="AD4545"/>
  <c r="P4546"/>
  <c r="W4546"/>
  <c r="Y4546"/>
  <c r="AB4546"/>
  <c r="AC4546"/>
  <c r="AD4546"/>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A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A4568"/>
  <c r="AB4568"/>
  <c r="AC4568"/>
  <c r="AD4568"/>
  <c r="P4569"/>
  <c r="W4569"/>
  <c r="Y4569"/>
  <c r="AA4569"/>
  <c r="AB4569"/>
  <c r="AC4569"/>
  <c r="AD4569"/>
  <c r="P4570"/>
  <c r="W4570"/>
  <c r="Y4570"/>
  <c r="AB4570"/>
  <c r="AC4570"/>
  <c r="AD4570"/>
  <c r="P4571"/>
  <c r="W4571"/>
  <c r="Y4571"/>
  <c r="AB4571"/>
  <c r="AC4571"/>
  <c r="AD4571"/>
  <c r="P4572"/>
  <c r="W4572"/>
  <c r="Y4572"/>
  <c r="AB4572"/>
  <c r="AC4572"/>
  <c r="AD4572"/>
  <c r="P4573"/>
  <c r="W4573"/>
  <c r="Y4573"/>
  <c r="AB4573"/>
  <c r="AC4573"/>
  <c r="AD4573"/>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A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8"/>
  <c r="W4598"/>
  <c r="Y4598"/>
  <c r="AB4598"/>
  <c r="AC4598"/>
  <c r="AD4598"/>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P4605"/>
  <c r="W4605"/>
  <c r="Y4605"/>
  <c r="AB4605"/>
  <c r="AC4605"/>
  <c r="AD4605"/>
  <c r="P4606"/>
  <c r="W4606"/>
  <c r="Y4606"/>
  <c r="AB4606"/>
  <c r="AC4606"/>
  <c r="AD4606"/>
  <c r="P4607"/>
  <c r="W4607"/>
  <c r="Y4607"/>
  <c r="AB4607"/>
  <c r="AC4607"/>
  <c r="AD4607"/>
  <c r="P4608"/>
  <c r="W4608"/>
  <c r="Y4608"/>
  <c r="AB4608"/>
  <c r="AC4608"/>
  <c r="AD4608"/>
  <c r="P4609"/>
  <c r="W4609"/>
  <c r="Y4609"/>
  <c r="AB4609"/>
  <c r="AC4609"/>
  <c r="AD4609"/>
  <c r="P4610"/>
  <c r="W4610"/>
  <c r="Y4610"/>
  <c r="AB4610"/>
  <c r="AC4610"/>
  <c r="AD4610"/>
  <c r="P4611"/>
  <c r="W4611"/>
  <c r="Y4611"/>
  <c r="AB4611"/>
  <c r="AC4611"/>
  <c r="AD4611"/>
  <c r="P4612"/>
  <c r="W4612"/>
  <c r="Y4612"/>
  <c r="AB4612"/>
  <c r="AC4612"/>
  <c r="AD4612"/>
  <c r="P4613"/>
  <c r="W4613"/>
  <c r="Y4613"/>
  <c r="AB4613"/>
  <c r="AC4613"/>
  <c r="AD4613"/>
  <c r="P4614"/>
  <c r="W4614"/>
  <c r="Y4614"/>
  <c r="AB4614"/>
  <c r="AC4614"/>
  <c r="AD4614"/>
  <c r="P4615"/>
  <c r="W4615"/>
  <c r="Y4615"/>
  <c r="AB4615"/>
  <c r="AC4615"/>
  <c r="AD4615"/>
  <c r="P4616"/>
  <c r="W4616"/>
  <c r="Y4616"/>
  <c r="AB4616"/>
  <c r="AC4616"/>
  <c r="AD4616"/>
  <c r="P4617"/>
  <c r="W4617"/>
  <c r="Y4617"/>
  <c r="AB4617"/>
  <c r="AC4617"/>
  <c r="AD4617"/>
  <c r="P4618"/>
  <c r="W4618"/>
  <c r="Y4618"/>
  <c r="AB4618"/>
  <c r="AC4618"/>
  <c r="AD4618"/>
  <c r="P4619"/>
  <c r="W4619"/>
  <c r="Y4619"/>
  <c r="AB4619"/>
  <c r="AC4619"/>
  <c r="AD4619"/>
  <c r="P4620"/>
  <c r="W4620"/>
  <c r="Y4620"/>
  <c r="AB4620"/>
  <c r="AC4620"/>
  <c r="AD4620"/>
  <c r="P4621"/>
  <c r="W4621"/>
  <c r="Y4621"/>
  <c r="AB4621"/>
  <c r="AC4621"/>
  <c r="AD4621"/>
  <c r="P4622"/>
  <c r="W4622"/>
  <c r="Y4622"/>
  <c r="AA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28"/>
  <c r="W4628"/>
  <c r="Y4628"/>
  <c r="AA4628"/>
  <c r="AB4628"/>
  <c r="AC4628"/>
  <c r="AD4628"/>
  <c r="P4629"/>
  <c r="W4629"/>
  <c r="Y4629"/>
  <c r="AB4629"/>
  <c r="AC4629"/>
  <c r="AD4629"/>
  <c r="P4630"/>
  <c r="W4630"/>
  <c r="Y4630"/>
  <c r="AB4630"/>
  <c r="AC4630"/>
  <c r="AD4630"/>
  <c r="P4631"/>
  <c r="W4631"/>
  <c r="Y4631"/>
  <c r="AB4631"/>
  <c r="AC4631"/>
  <c r="AD4631"/>
  <c r="P4632"/>
  <c r="W4632"/>
  <c r="Y4632"/>
  <c r="AB4632"/>
  <c r="AC4632"/>
  <c r="AD4632"/>
  <c r="P4633"/>
  <c r="W4633"/>
  <c r="Y4633"/>
  <c r="AB4633"/>
  <c r="AC4633"/>
  <c r="AD4633"/>
  <c r="P4634"/>
  <c r="W4634"/>
  <c r="Y4634"/>
  <c r="AB4634"/>
  <c r="AC4634"/>
  <c r="AD4634"/>
  <c r="P4635"/>
  <c r="W4635"/>
  <c r="Y4635"/>
  <c r="AB4635"/>
  <c r="AC4635"/>
  <c r="AD4635"/>
  <c r="P4636"/>
  <c r="W4636"/>
  <c r="Y4636"/>
  <c r="AB4636"/>
  <c r="AC4636"/>
  <c r="AD4636"/>
  <c r="P4637"/>
  <c r="W4637"/>
  <c r="Y4637"/>
  <c r="AB4637"/>
  <c r="AC4637"/>
  <c r="AD4637"/>
  <c r="P4638"/>
  <c r="W4638"/>
  <c r="Y4638"/>
  <c r="AB4638"/>
  <c r="AC4638"/>
  <c r="AD4638"/>
  <c r="P4639"/>
  <c r="W4639"/>
  <c r="Y4639"/>
  <c r="AB4639"/>
  <c r="AC4639"/>
  <c r="AD4639"/>
  <c r="P4640"/>
  <c r="W4640"/>
  <c r="Y4640"/>
  <c r="AB4640"/>
  <c r="AC4640"/>
  <c r="AD4640"/>
  <c r="P4641"/>
  <c r="W4641"/>
  <c r="Y4641"/>
  <c r="AB4641"/>
  <c r="AC4641"/>
  <c r="AD4641"/>
  <c r="P4642"/>
  <c r="W4642"/>
  <c r="Y4642"/>
  <c r="AB4642"/>
  <c r="AC4642"/>
  <c r="AD4642"/>
  <c r="P4643"/>
  <c r="W4643"/>
  <c r="Y4643"/>
  <c r="AB4643"/>
  <c r="AC4643"/>
  <c r="AD4643"/>
  <c r="P4644"/>
  <c r="W4644"/>
  <c r="Y4644"/>
  <c r="AB4644"/>
  <c r="AC4644"/>
  <c r="AD4644"/>
  <c r="P4645"/>
  <c r="W4645"/>
  <c r="Y4645"/>
  <c r="AB4645"/>
  <c r="AC4645"/>
  <c r="AD4645"/>
  <c r="P4646"/>
  <c r="W4646"/>
  <c r="Y4646"/>
  <c r="AB4646"/>
  <c r="AC4646"/>
  <c r="AD4646"/>
  <c r="P4647"/>
  <c r="W4647"/>
  <c r="Y4647"/>
  <c r="AB4647"/>
  <c r="AC4647"/>
  <c r="AD4647"/>
  <c r="P4648"/>
  <c r="W4648"/>
  <c r="Y4648"/>
  <c r="AB4648"/>
  <c r="AC4648"/>
  <c r="AD4648"/>
  <c r="P4649"/>
  <c r="W4649"/>
  <c r="Y4649"/>
  <c r="AA4649"/>
  <c r="AB4649"/>
  <c r="AC4649"/>
  <c r="AD4649"/>
  <c r="P4650"/>
  <c r="W4650"/>
  <c r="Y4650"/>
  <c r="AB4650"/>
  <c r="AC4650"/>
  <c r="AD4650"/>
  <c r="P4651"/>
  <c r="W4651"/>
  <c r="Y4651"/>
  <c r="AB4651"/>
  <c r="AC4651"/>
  <c r="AD4651"/>
  <c r="P4652"/>
  <c r="W4652"/>
  <c r="Y4652"/>
  <c r="AB4652"/>
  <c r="AC4652"/>
  <c r="AD4652"/>
  <c r="P4653"/>
  <c r="W4653"/>
  <c r="Y4653"/>
  <c r="AB4653"/>
  <c r="AC4653"/>
  <c r="AD4653"/>
  <c r="P4654"/>
  <c r="W4654"/>
  <c r="Y4654"/>
  <c r="AB4654"/>
  <c r="AC4654"/>
  <c r="AD4654"/>
  <c r="P4655"/>
  <c r="W4655"/>
  <c r="Y4655"/>
  <c r="AB4655"/>
  <c r="AC4655"/>
  <c r="AD4655"/>
  <c r="P4656"/>
  <c r="W4656"/>
  <c r="Y4656"/>
  <c r="AB4656"/>
  <c r="AC4656"/>
  <c r="AD4656"/>
  <c r="P4657"/>
  <c r="W4657"/>
  <c r="Y4657"/>
  <c r="AB4657"/>
  <c r="AC4657"/>
  <c r="AD4657"/>
  <c r="P4658"/>
  <c r="W4658"/>
  <c r="Y4658"/>
  <c r="AB4658"/>
  <c r="AC4658"/>
  <c r="AD4658"/>
  <c r="P4659"/>
  <c r="W4659"/>
  <c r="Y4659"/>
  <c r="AB4659"/>
  <c r="AC4659"/>
  <c r="AD4659"/>
  <c r="P4660"/>
  <c r="W4660"/>
  <c r="Y4660"/>
  <c r="AB4660"/>
  <c r="AC4660"/>
  <c r="AD4660"/>
  <c r="P4661"/>
  <c r="W4661"/>
  <c r="Y4661"/>
  <c r="AB4661"/>
  <c r="AC4661"/>
  <c r="AD4661"/>
  <c r="P4662"/>
  <c r="W4662"/>
  <c r="Y4662"/>
  <c r="AB4662"/>
  <c r="AC4662"/>
  <c r="AD4662"/>
  <c r="P4663"/>
  <c r="W4663"/>
  <c r="Y4663"/>
  <c r="AB4663"/>
  <c r="AC4663"/>
  <c r="AD4663"/>
  <c r="P4664"/>
  <c r="W4664"/>
  <c r="Y4664"/>
  <c r="AB4664"/>
  <c r="AC4664"/>
  <c r="AD4664"/>
  <c r="P4665"/>
  <c r="W4665"/>
  <c r="Y4665"/>
  <c r="AA4665"/>
  <c r="AB4665"/>
  <c r="AC4665"/>
  <c r="AD4665"/>
  <c r="P4666"/>
  <c r="W4666"/>
  <c r="Y4666"/>
  <c r="AB4666"/>
  <c r="AC4666"/>
  <c r="AD4666"/>
  <c r="P4667"/>
  <c r="W4667"/>
  <c r="Y4667"/>
  <c r="AB4667"/>
  <c r="AC4667"/>
  <c r="AD4667"/>
  <c r="P4668"/>
  <c r="W4668"/>
  <c r="Y4668"/>
  <c r="AB4668"/>
  <c r="AC4668"/>
  <c r="AD4668"/>
  <c r="P4669"/>
  <c r="W4669"/>
  <c r="Y4669"/>
  <c r="AB4669"/>
  <c r="AC4669"/>
  <c r="AD4669"/>
  <c r="P4670"/>
  <c r="W4670"/>
  <c r="Y4670"/>
  <c r="AB4670"/>
  <c r="AC4670"/>
  <c r="AD4670"/>
  <c r="P4671"/>
  <c r="W4671"/>
  <c r="Y4671"/>
  <c r="AA4671"/>
  <c r="AB4671"/>
  <c r="AC4671"/>
  <c r="AD4671"/>
  <c r="P4672"/>
  <c r="W4672"/>
  <c r="Y4672"/>
  <c r="AB4672"/>
  <c r="AC4672"/>
  <c r="AD4672"/>
  <c r="P4673"/>
  <c r="W4673"/>
  <c r="Y4673"/>
  <c r="AB4673"/>
  <c r="AC4673"/>
  <c r="AD4673"/>
  <c r="P4674"/>
  <c r="W4674"/>
  <c r="Y4674"/>
  <c r="AB4674"/>
  <c r="AC4674"/>
  <c r="AD4674"/>
  <c r="P4675"/>
  <c r="W4675"/>
  <c r="Y4675"/>
  <c r="AB4675"/>
  <c r="AC4675"/>
  <c r="AD4675"/>
  <c r="P4676"/>
  <c r="W4676"/>
  <c r="Y4676"/>
  <c r="AB4676"/>
  <c r="AC4676"/>
  <c r="AD4676"/>
  <c r="P4677"/>
  <c r="W4677"/>
  <c r="Y4677"/>
  <c r="AB4677"/>
  <c r="AC4677"/>
  <c r="AD4677"/>
  <c r="P4678"/>
  <c r="W4678"/>
  <c r="Y4678"/>
  <c r="AB4678"/>
  <c r="AC4678"/>
  <c r="AD4678"/>
  <c r="P4679"/>
  <c r="W4679"/>
  <c r="Y4679"/>
  <c r="AA4679"/>
  <c r="AB4679"/>
  <c r="AC4679"/>
  <c r="AD4679"/>
  <c r="P4680"/>
  <c r="W4680"/>
  <c r="Y4680"/>
  <c r="AB4680"/>
  <c r="AC4680"/>
  <c r="AD4680"/>
  <c r="P4681"/>
  <c r="W4681"/>
  <c r="Y4681"/>
  <c r="AB4681"/>
  <c r="AC4681"/>
  <c r="AD4681"/>
  <c r="P4682"/>
  <c r="W4682"/>
  <c r="Y4682"/>
  <c r="AB4682"/>
  <c r="AC4682"/>
  <c r="AD4682"/>
  <c r="P4683"/>
  <c r="W4683"/>
  <c r="Y4683"/>
  <c r="AB4683"/>
  <c r="AC4683"/>
  <c r="AD4683"/>
  <c r="P4684"/>
  <c r="W4684"/>
  <c r="Y4684"/>
  <c r="AB4684"/>
  <c r="AC4684"/>
  <c r="AD4684"/>
  <c r="P4685"/>
  <c r="W4685"/>
  <c r="Y4685"/>
  <c r="AB4685"/>
  <c r="AC4685"/>
  <c r="AD4685"/>
  <c r="P4686"/>
  <c r="W4686"/>
  <c r="Y4686"/>
  <c r="AB4686"/>
  <c r="AC4686"/>
  <c r="AD4686"/>
  <c r="P4687"/>
  <c r="W4687"/>
  <c r="Y4687"/>
  <c r="AB4687"/>
  <c r="AC4687"/>
  <c r="AD4687"/>
  <c r="P4688"/>
  <c r="W4688"/>
  <c r="Y4688"/>
  <c r="AB4688"/>
  <c r="AC4688"/>
  <c r="AD4688"/>
  <c r="P4689"/>
  <c r="W4689"/>
  <c r="Y4689"/>
  <c r="AB4689"/>
  <c r="AC4689"/>
  <c r="AD4689"/>
  <c r="P4690"/>
  <c r="W4690"/>
  <c r="Y4690"/>
  <c r="AB4690"/>
  <c r="AC4690"/>
  <c r="AD4690"/>
  <c r="P4691"/>
  <c r="W4691"/>
  <c r="Y4691"/>
  <c r="AB4691"/>
  <c r="AC4691"/>
  <c r="AD4691"/>
  <c r="P4692"/>
  <c r="W4692"/>
  <c r="Y4692"/>
  <c r="AB4692"/>
  <c r="AC4692"/>
  <c r="AD4692"/>
  <c r="P4693"/>
  <c r="W4693"/>
  <c r="Y4693"/>
  <c r="AB4693"/>
  <c r="AC4693"/>
  <c r="AD4693"/>
  <c r="P4694"/>
  <c r="W4694"/>
  <c r="Y4694"/>
  <c r="AB4694"/>
  <c r="AC4694"/>
  <c r="AD4694"/>
  <c r="P4695"/>
  <c r="W4695"/>
  <c r="Y4695"/>
  <c r="AB4695"/>
  <c r="AC4695"/>
  <c r="AD4695"/>
  <c r="P4696"/>
  <c r="W4696"/>
  <c r="Y4696"/>
  <c r="AB4696"/>
  <c r="AC4696"/>
  <c r="AD4696"/>
  <c r="P4697"/>
  <c r="W4697"/>
  <c r="Y4697"/>
  <c r="AB4697"/>
  <c r="AC4697"/>
  <c r="AD4697"/>
  <c r="P4698"/>
  <c r="W4698"/>
  <c r="Y4698"/>
  <c r="AB4698"/>
  <c r="AC4698"/>
  <c r="AD4698"/>
  <c r="P4699"/>
  <c r="W4699"/>
  <c r="Y4699"/>
  <c r="AB4699"/>
  <c r="AC4699"/>
  <c r="AD4699"/>
  <c r="P4700"/>
  <c r="W4700"/>
  <c r="Y4700"/>
  <c r="AB4700"/>
  <c r="AC4700"/>
  <c r="AD4700"/>
  <c r="P4701"/>
  <c r="W4701"/>
  <c r="Y4701"/>
  <c r="AB4701"/>
  <c r="AC4701"/>
  <c r="AD4701"/>
  <c r="P4702"/>
  <c r="W4702"/>
  <c r="Y4702"/>
  <c r="AB4702"/>
  <c r="AC4702"/>
  <c r="AD4702"/>
  <c r="P4703"/>
  <c r="W4703"/>
  <c r="Y4703"/>
  <c r="AB4703"/>
  <c r="AC4703"/>
  <c r="AD4703"/>
  <c r="P4704"/>
  <c r="W4704"/>
  <c r="Y4704"/>
  <c r="AB4704"/>
  <c r="AC4704"/>
  <c r="AD4704"/>
  <c r="P4705"/>
  <c r="W4705"/>
  <c r="Y4705"/>
  <c r="AB4705"/>
  <c r="AC4705"/>
  <c r="AD4705"/>
  <c r="P4706"/>
  <c r="W4706"/>
  <c r="Y4706"/>
  <c r="AB4706"/>
  <c r="AC4706"/>
  <c r="AD4706"/>
  <c r="P4707"/>
  <c r="W4707"/>
  <c r="Y4707"/>
  <c r="AB4707"/>
  <c r="AC4707"/>
  <c r="AD4707"/>
  <c r="P4708"/>
  <c r="W4708"/>
  <c r="Y4708"/>
  <c r="AB4708"/>
  <c r="AC4708"/>
  <c r="AD4708"/>
  <c r="P4709"/>
  <c r="W4709"/>
  <c r="Y4709"/>
  <c r="AB4709"/>
  <c r="AC4709"/>
  <c r="AD4709"/>
  <c r="P4710"/>
  <c r="W4710"/>
  <c r="Y4710"/>
  <c r="AA4710"/>
  <c r="AB4710"/>
  <c r="AC4710"/>
  <c r="AD4710"/>
  <c r="P4711"/>
  <c r="W4711"/>
  <c r="Y4711"/>
  <c r="AA4711"/>
  <c r="AB4711"/>
  <c r="AC4711"/>
  <c r="AD4711"/>
  <c r="P4712"/>
  <c r="W4712"/>
  <c r="Y4712"/>
  <c r="AB4712"/>
  <c r="AC4712"/>
  <c r="AD4712"/>
  <c r="P4713"/>
  <c r="W4713"/>
  <c r="Y4713"/>
  <c r="AB4713"/>
  <c r="AC4713"/>
  <c r="AD4713"/>
  <c r="P4714"/>
  <c r="W4714"/>
  <c r="Y4714"/>
  <c r="AB4714"/>
  <c r="AC4714"/>
  <c r="AD4714"/>
  <c r="P4715"/>
  <c r="W4715"/>
  <c r="Y4715"/>
  <c r="AB4715"/>
  <c r="AC4715"/>
  <c r="AD4715"/>
  <c r="P4716"/>
  <c r="W4716"/>
  <c r="Y4716"/>
  <c r="AB4716"/>
  <c r="AC4716"/>
  <c r="AD4716"/>
  <c r="P4717"/>
  <c r="W4717"/>
  <c r="Y4717"/>
  <c r="AB4717"/>
  <c r="AC4717"/>
  <c r="AD4717"/>
  <c r="P4718"/>
  <c r="W4718"/>
  <c r="Y4718"/>
  <c r="AB4718"/>
  <c r="AC4718"/>
  <c r="AD4718"/>
  <c r="P4719"/>
  <c r="W4719"/>
  <c r="Y4719"/>
  <c r="AB4719"/>
  <c r="AC4719"/>
  <c r="AD4719"/>
  <c r="P4720"/>
  <c r="W4720"/>
  <c r="Y4720"/>
  <c r="AB4720"/>
  <c r="AC4720"/>
  <c r="AD4720"/>
  <c r="P4721"/>
  <c r="W4721"/>
  <c r="Y4721"/>
  <c r="AB4721"/>
  <c r="AC4721"/>
  <c r="AD4721"/>
  <c r="P4722"/>
  <c r="W4722"/>
  <c r="Y4722"/>
  <c r="AB4722"/>
  <c r="AC4722"/>
  <c r="AD4722"/>
  <c r="P4723"/>
  <c r="W4723"/>
  <c r="Y4723"/>
  <c r="AB4723"/>
  <c r="AC4723"/>
  <c r="AD4723"/>
  <c r="P4724"/>
  <c r="W4724"/>
  <c r="Y4724"/>
  <c r="AB4724"/>
  <c r="AC4724"/>
  <c r="AD4724"/>
  <c r="P4725"/>
  <c r="W4725"/>
  <c r="Y4725"/>
  <c r="AB4725"/>
  <c r="AC4725"/>
  <c r="AD4725"/>
  <c r="P4726"/>
  <c r="W4726"/>
  <c r="Y4726"/>
  <c r="AA4726"/>
  <c r="AB4726"/>
  <c r="AC4726"/>
  <c r="AD4726"/>
  <c r="P4727"/>
  <c r="W4727"/>
  <c r="Y4727"/>
  <c r="AB4727"/>
  <c r="AC4727"/>
  <c r="AD4727"/>
  <c r="P4728"/>
  <c r="W4728"/>
  <c r="Y4728"/>
  <c r="AB4728"/>
  <c r="AC4728"/>
  <c r="AD4728"/>
  <c r="P4729"/>
  <c r="W4729"/>
  <c r="Y4729"/>
  <c r="AA4729"/>
  <c r="AB4729"/>
  <c r="AC4729"/>
  <c r="AD4729"/>
  <c r="P4730"/>
  <c r="W4730"/>
  <c r="Y4730"/>
  <c r="AB4730"/>
  <c r="AC4730"/>
  <c r="AD4730"/>
  <c r="P4731"/>
  <c r="W4731"/>
  <c r="Y4731"/>
  <c r="AB4731"/>
  <c r="AC4731"/>
  <c r="AD4731"/>
  <c r="P4732"/>
  <c r="W4732"/>
  <c r="Y4732"/>
  <c r="AA4732"/>
  <c r="AB4732"/>
  <c r="AC4732"/>
  <c r="AD4732"/>
  <c r="P4733"/>
  <c r="W4733"/>
  <c r="Y4733"/>
  <c r="AB4733"/>
  <c r="AC4733"/>
  <c r="AD4733"/>
  <c r="P4734"/>
  <c r="W4734"/>
  <c r="Y4734"/>
  <c r="AB4734"/>
  <c r="AC4734"/>
  <c r="AD4734"/>
  <c r="P4735"/>
  <c r="W4735"/>
  <c r="Y4735"/>
  <c r="AB4735"/>
  <c r="AC4735"/>
  <c r="AD4735"/>
  <c r="P4736"/>
  <c r="W4736"/>
  <c r="Y4736"/>
  <c r="AB4736"/>
  <c r="AC4736"/>
  <c r="AD4736"/>
  <c r="P4737"/>
  <c r="W4737"/>
  <c r="Y4737"/>
  <c r="AB4737"/>
  <c r="AC4737"/>
  <c r="AD4737"/>
  <c r="P4738"/>
  <c r="W4738"/>
  <c r="Y4738"/>
  <c r="AB4738"/>
  <c r="AC4738"/>
  <c r="AD4738"/>
  <c r="P4739"/>
  <c r="W4739"/>
  <c r="Y4739"/>
  <c r="AB4739"/>
  <c r="AC4739"/>
  <c r="AD4739"/>
  <c r="P4740"/>
  <c r="W4740"/>
  <c r="Y4740"/>
  <c r="AB4740"/>
  <c r="AC4740"/>
  <c r="AD4740"/>
  <c r="P4741"/>
  <c r="W4741"/>
  <c r="Y4741"/>
  <c r="AB4741"/>
  <c r="AC4741"/>
  <c r="AD4741"/>
  <c r="P4742"/>
  <c r="W4742"/>
  <c r="Y4742"/>
  <c r="AB4742"/>
  <c r="AC4742"/>
  <c r="AD4742"/>
  <c r="P4743"/>
  <c r="W4743"/>
  <c r="Y4743"/>
  <c r="AB4743"/>
  <c r="AC4743"/>
  <c r="AD4743"/>
  <c r="P4744"/>
  <c r="W4744"/>
  <c r="Y4744"/>
  <c r="AB4744"/>
  <c r="AC4744"/>
  <c r="AD4744"/>
  <c r="P4745"/>
  <c r="W4745"/>
  <c r="Y4745"/>
  <c r="AB4745"/>
  <c r="AC4745"/>
  <c r="AD4745"/>
  <c r="P4746"/>
  <c r="W4746"/>
  <c r="Y4746"/>
  <c r="AB4746"/>
  <c r="AC4746"/>
  <c r="AD4746"/>
  <c r="P4747"/>
  <c r="W4747"/>
  <c r="Y4747"/>
  <c r="AB4747"/>
  <c r="AC4747"/>
  <c r="AD4747"/>
  <c r="P4748"/>
  <c r="W4748"/>
  <c r="Y4748"/>
  <c r="AB4748"/>
  <c r="AC4748"/>
  <c r="AD4748"/>
  <c r="P4749"/>
  <c r="W4749"/>
  <c r="Y4749"/>
  <c r="AB4749"/>
  <c r="AC4749"/>
  <c r="AD4749"/>
  <c r="P4750"/>
  <c r="W4750"/>
  <c r="Y4750"/>
  <c r="AB4750"/>
  <c r="AC4750"/>
  <c r="AD4750"/>
  <c r="P4751"/>
  <c r="W4751"/>
  <c r="Y4751"/>
  <c r="AA4751"/>
  <c r="AB4751"/>
  <c r="AC4751"/>
  <c r="AD4751"/>
  <c r="P4752"/>
  <c r="W4752"/>
  <c r="Y4752"/>
  <c r="AA4752"/>
  <c r="AB4752"/>
  <c r="AC4752"/>
  <c r="AD4752"/>
  <c r="P4753"/>
  <c r="W4753"/>
  <c r="Y4753"/>
  <c r="AB4753"/>
  <c r="AC4753"/>
  <c r="AD4753"/>
  <c r="P4754"/>
  <c r="W4754"/>
  <c r="Y4754"/>
  <c r="AB4754"/>
  <c r="AC4754"/>
  <c r="AD4754"/>
  <c r="P4755"/>
  <c r="W4755"/>
  <c r="Y4755"/>
  <c r="AB4755"/>
  <c r="AC4755"/>
  <c r="AD4755"/>
  <c r="P4756"/>
  <c r="W4756"/>
  <c r="Y4756"/>
  <c r="AB4756"/>
  <c r="AC4756"/>
  <c r="AD4756"/>
  <c r="P4757"/>
  <c r="W4757"/>
  <c r="Y4757"/>
  <c r="AB4757"/>
  <c r="AC4757"/>
  <c r="AD4757"/>
  <c r="P4758"/>
  <c r="W4758"/>
  <c r="Y4758"/>
  <c r="AB4758"/>
  <c r="AC4758"/>
  <c r="AD4758"/>
  <c r="P4759"/>
  <c r="W4759"/>
  <c r="Y4759"/>
  <c r="AB4759"/>
  <c r="AC4759"/>
  <c r="AD4759"/>
  <c r="P4760"/>
  <c r="W4760"/>
  <c r="Y4760"/>
  <c r="AB4760"/>
  <c r="AC4760"/>
  <c r="AD4760"/>
  <c r="P4761"/>
  <c r="W4761"/>
  <c r="Y4761"/>
  <c r="AB4761"/>
  <c r="AC4761"/>
  <c r="AD4761"/>
  <c r="P4762"/>
  <c r="W4762"/>
  <c r="Y4762"/>
  <c r="AB4762"/>
  <c r="AC4762"/>
  <c r="AD4762"/>
  <c r="P4763"/>
  <c r="W4763"/>
  <c r="Y4763"/>
  <c r="AB4763"/>
  <c r="AC4763"/>
  <c r="AD4763"/>
  <c r="P4764"/>
  <c r="W4764"/>
  <c r="Y4764"/>
  <c r="AB4764"/>
  <c r="AC4764"/>
  <c r="AD4764"/>
  <c r="P4765"/>
  <c r="W4765"/>
  <c r="Y4765"/>
  <c r="AB4765"/>
  <c r="AC4765"/>
  <c r="AD4765"/>
  <c r="P4766"/>
  <c r="W4766"/>
  <c r="Y4766"/>
  <c r="AB4766"/>
  <c r="AC4766"/>
  <c r="AD4766"/>
  <c r="P4767"/>
  <c r="W4767"/>
  <c r="Y4767"/>
  <c r="AB4767"/>
  <c r="AC4767"/>
  <c r="AD4767"/>
  <c r="P4768"/>
  <c r="W4768"/>
  <c r="Y4768"/>
  <c r="AB4768"/>
  <c r="AC4768"/>
  <c r="AD4768"/>
  <c r="P4769"/>
  <c r="W4769"/>
  <c r="Y4769"/>
  <c r="AA4769"/>
  <c r="AB4769"/>
  <c r="AC4769"/>
  <c r="AD4769"/>
  <c r="P4770"/>
  <c r="W4770"/>
  <c r="Y4770"/>
  <c r="AB4770"/>
  <c r="AC4770"/>
  <c r="AD4770"/>
  <c r="P4771"/>
  <c r="W4771"/>
  <c r="Y4771"/>
  <c r="AB4771"/>
  <c r="AC4771"/>
  <c r="AD4771"/>
  <c r="P4772"/>
  <c r="W4772"/>
  <c r="Y4772"/>
  <c r="AB4772"/>
  <c r="AC4772"/>
  <c r="AD4772"/>
  <c r="P4773"/>
  <c r="W4773"/>
  <c r="Y4773"/>
  <c r="AA4773"/>
  <c r="AB4773"/>
  <c r="AC4773"/>
  <c r="AD4773"/>
  <c r="P4774"/>
  <c r="W4774"/>
  <c r="Y4774"/>
  <c r="AB4774"/>
  <c r="AC4774"/>
  <c r="AD4774"/>
  <c r="P4775"/>
  <c r="W4775"/>
  <c r="Y4775"/>
  <c r="AB4775"/>
  <c r="AC4775"/>
  <c r="AD4775"/>
  <c r="P4776"/>
  <c r="W4776"/>
  <c r="Y4776"/>
  <c r="AB4776"/>
  <c r="AC4776"/>
  <c r="AD4776"/>
  <c r="P4777"/>
  <c r="W4777"/>
  <c r="Y4777"/>
  <c r="AB4777"/>
  <c r="AC4777"/>
  <c r="AD4777"/>
  <c r="P4778"/>
  <c r="W4778"/>
  <c r="Y4778"/>
  <c r="AB4778"/>
  <c r="AC4778"/>
  <c r="AD4778"/>
  <c r="P4779"/>
  <c r="W4779"/>
  <c r="Y4779"/>
  <c r="AB4779"/>
  <c r="AC4779"/>
  <c r="AD4779"/>
  <c r="P4780"/>
  <c r="W4780"/>
  <c r="Y4780"/>
  <c r="AB4780"/>
  <c r="AC4780"/>
  <c r="AD4780"/>
  <c r="P4781"/>
  <c r="W4781"/>
  <c r="Y4781"/>
  <c r="AB4781"/>
  <c r="AC4781"/>
  <c r="AD4781"/>
  <c r="P4782"/>
  <c r="W4782"/>
  <c r="Y4782"/>
  <c r="AB4782"/>
  <c r="AC4782"/>
  <c r="AD4782"/>
  <c r="P4783"/>
  <c r="W4783"/>
  <c r="Y4783"/>
  <c r="AB4783"/>
  <c r="AC4783"/>
  <c r="AD4783"/>
  <c r="P4784"/>
  <c r="W4784"/>
  <c r="Y4784"/>
  <c r="AB4784"/>
  <c r="AC4784"/>
  <c r="AD4784"/>
  <c r="P4785"/>
  <c r="W4785"/>
  <c r="Y4785"/>
  <c r="AB4785"/>
  <c r="AC4785"/>
  <c r="AD4785"/>
  <c r="P4786"/>
  <c r="W4786"/>
  <c r="Y4786"/>
  <c r="AB4786"/>
  <c r="AC4786"/>
  <c r="AD4786"/>
  <c r="P4787"/>
  <c r="W4787"/>
  <c r="Y4787"/>
  <c r="AB4787"/>
  <c r="AC4787"/>
  <c r="AD4787"/>
  <c r="P4788"/>
  <c r="W4788"/>
  <c r="Y4788"/>
  <c r="AB4788"/>
  <c r="AC4788"/>
  <c r="AD4788"/>
  <c r="P4789"/>
  <c r="W4789"/>
  <c r="Y4789"/>
  <c r="AB4789"/>
  <c r="AC4789"/>
  <c r="AD4789"/>
  <c r="P4790"/>
  <c r="W4790"/>
  <c r="Y4790"/>
  <c r="AB4790"/>
  <c r="AC4790"/>
  <c r="AD4790"/>
  <c r="P4791"/>
  <c r="W4791"/>
  <c r="Y4791"/>
  <c r="AB4791"/>
  <c r="AC4791"/>
  <c r="AD4791"/>
  <c r="P4792"/>
  <c r="W4792"/>
  <c r="Y4792"/>
  <c r="AB4792"/>
  <c r="AC4792"/>
  <c r="AD4792"/>
  <c r="P4793"/>
  <c r="W4793"/>
  <c r="Y4793"/>
  <c r="AB4793"/>
  <c r="AC4793"/>
  <c r="AD4793"/>
  <c r="P4794"/>
  <c r="W4794"/>
  <c r="Y4794"/>
  <c r="AB4794"/>
  <c r="AC4794"/>
  <c r="AD4794"/>
  <c r="P4795"/>
  <c r="W4795"/>
  <c r="Y4795"/>
  <c r="AB4795"/>
  <c r="AC4795"/>
  <c r="AD4795"/>
  <c r="P4796"/>
  <c r="W4796"/>
  <c r="Y4796"/>
  <c r="AB4796"/>
  <c r="AC4796"/>
  <c r="AD4796"/>
  <c r="P4797"/>
  <c r="W4797"/>
  <c r="Y4797"/>
  <c r="AB4797"/>
  <c r="AC4797"/>
  <c r="AD4797"/>
  <c r="P4798"/>
  <c r="W4798"/>
  <c r="Y4798"/>
  <c r="AB4798"/>
  <c r="AC4798"/>
  <c r="AD4798"/>
  <c r="P4799"/>
  <c r="W4799"/>
  <c r="Y4799"/>
  <c r="AB4799"/>
  <c r="AC4799"/>
  <c r="AD4799"/>
  <c r="P4800"/>
  <c r="W4800"/>
  <c r="Y4800"/>
  <c r="AB4800"/>
  <c r="AC4800"/>
  <c r="AD4800"/>
  <c r="P4801"/>
  <c r="W4801"/>
  <c r="Y4801"/>
  <c r="AB4801"/>
  <c r="AC4801"/>
  <c r="AD4801"/>
  <c r="P4802"/>
  <c r="W4802"/>
  <c r="Y4802"/>
  <c r="AB4802"/>
  <c r="AC4802"/>
  <c r="AD4802"/>
  <c r="P4803"/>
  <c r="W4803"/>
  <c r="Y4803"/>
  <c r="AB4803"/>
  <c r="AC4803"/>
  <c r="AD4803"/>
  <c r="P4804"/>
  <c r="W4804"/>
  <c r="Y4804"/>
  <c r="AB4804"/>
  <c r="AC4804"/>
  <c r="AD4804"/>
  <c r="P4805"/>
  <c r="W4805"/>
  <c r="Y4805"/>
  <c r="AB4805"/>
  <c r="AC4805"/>
  <c r="AD4805"/>
  <c r="P4806"/>
  <c r="W4806"/>
  <c r="Y4806"/>
  <c r="AB4806"/>
  <c r="AC4806"/>
  <c r="AD4806"/>
  <c r="P4807"/>
  <c r="W4807"/>
  <c r="Y4807"/>
  <c r="AB4807"/>
  <c r="AC4807"/>
  <c r="AD4807"/>
  <c r="P4808"/>
  <c r="W4808"/>
  <c r="Y4808"/>
  <c r="AB4808"/>
  <c r="AC4808"/>
  <c r="AD4808"/>
  <c r="P4809"/>
  <c r="W4809"/>
  <c r="Y4809"/>
  <c r="AB4809"/>
  <c r="AC4809"/>
  <c r="AD4809"/>
  <c r="P4810"/>
  <c r="W4810"/>
  <c r="Y4810"/>
  <c r="AB4810"/>
  <c r="AC4810"/>
  <c r="AD4810"/>
  <c r="P4811"/>
  <c r="W4811"/>
  <c r="Y4811"/>
  <c r="AB4811"/>
  <c r="AC4811"/>
  <c r="AD4811"/>
  <c r="P4812"/>
  <c r="W4812"/>
  <c r="Y4812"/>
  <c r="AB4812"/>
  <c r="AC4812"/>
  <c r="AD4812"/>
  <c r="P4813"/>
  <c r="W4813"/>
  <c r="Y4813"/>
  <c r="AB4813"/>
  <c r="AC4813"/>
  <c r="AD4813"/>
  <c r="P4814"/>
  <c r="W4814"/>
  <c r="Y4814"/>
  <c r="AB4814"/>
  <c r="AC4814"/>
  <c r="AD4814"/>
  <c r="P4815"/>
  <c r="W4815"/>
  <c r="Y4815"/>
  <c r="AB4815"/>
  <c r="AC4815"/>
  <c r="AD4815"/>
  <c r="P4816"/>
  <c r="W4816"/>
  <c r="Y4816"/>
  <c r="AB4816"/>
  <c r="AC4816"/>
  <c r="AD4816"/>
  <c r="P4817"/>
  <c r="W4817"/>
  <c r="Y4817"/>
  <c r="AB4817"/>
  <c r="AC4817"/>
  <c r="AD4817"/>
  <c r="P4818"/>
  <c r="W4818"/>
  <c r="Y4818"/>
  <c r="AB4818"/>
  <c r="AC4818"/>
  <c r="AD4818"/>
  <c r="P4819"/>
  <c r="W4819"/>
  <c r="Y4819"/>
  <c r="AB4819"/>
  <c r="AC4819"/>
  <c r="AD4819"/>
  <c r="P4820"/>
  <c r="W4820"/>
  <c r="Y4820"/>
  <c r="AB4820"/>
  <c r="AC4820"/>
  <c r="AD4820"/>
  <c r="P4821"/>
  <c r="W4821"/>
  <c r="Y4821"/>
  <c r="AB4821"/>
  <c r="AC4821"/>
  <c r="AD4821"/>
  <c r="P4822"/>
  <c r="W4822"/>
  <c r="Y4822"/>
  <c r="AB4822"/>
  <c r="AC4822"/>
  <c r="AD4822"/>
  <c r="P4823"/>
  <c r="W4823"/>
  <c r="Y4823"/>
  <c r="AB4823"/>
  <c r="AC4823"/>
  <c r="AD4823"/>
  <c r="P4824"/>
  <c r="W4824"/>
  <c r="Y4824"/>
  <c r="AB4824"/>
  <c r="AC4824"/>
  <c r="AD4824"/>
  <c r="P4825"/>
  <c r="W4825"/>
  <c r="Y4825"/>
  <c r="AB4825"/>
  <c r="AC4825"/>
  <c r="AD4825"/>
  <c r="P4826"/>
  <c r="W4826"/>
  <c r="Y4826"/>
  <c r="AB4826"/>
  <c r="AC4826"/>
  <c r="AD4826"/>
  <c r="P4827"/>
  <c r="W4827"/>
  <c r="Y4827"/>
  <c r="AB4827"/>
  <c r="AC4827"/>
  <c r="AD4827"/>
  <c r="P4828"/>
  <c r="W4828"/>
  <c r="Y4828"/>
  <c r="AB4828"/>
  <c r="AC4828"/>
  <c r="AD4828"/>
  <c r="P4829"/>
  <c r="W4829"/>
  <c r="Y4829"/>
  <c r="AB4829"/>
  <c r="AC4829"/>
  <c r="AD4829"/>
  <c r="P4830"/>
  <c r="W4830"/>
  <c r="Y4830"/>
  <c r="AB4830"/>
  <c r="AC4830"/>
  <c r="AD4830"/>
  <c r="P4831"/>
  <c r="W4831"/>
  <c r="Y4831"/>
  <c r="AB4831"/>
  <c r="AC4831"/>
  <c r="AD4831"/>
  <c r="P4832"/>
  <c r="W4832"/>
  <c r="Y4832"/>
  <c r="AB4832"/>
  <c r="AC4832"/>
  <c r="AD4832"/>
  <c r="P4833"/>
  <c r="W4833"/>
  <c r="Y4833"/>
  <c r="AB4833"/>
  <c r="AC4833"/>
  <c r="AD4833"/>
  <c r="P4834"/>
  <c r="W4834"/>
  <c r="Y4834"/>
  <c r="AB4834"/>
  <c r="AC4834"/>
  <c r="AD4834"/>
  <c r="P4835"/>
  <c r="W4835"/>
  <c r="Y4835"/>
  <c r="AB4835"/>
  <c r="AC4835"/>
  <c r="AD4835"/>
  <c r="P4836"/>
  <c r="W4836"/>
  <c r="Y4836"/>
  <c r="AB4836"/>
  <c r="AC4836"/>
  <c r="AD4836"/>
  <c r="P4837"/>
  <c r="W4837"/>
  <c r="Y4837"/>
  <c r="AB4837"/>
  <c r="AC4837"/>
  <c r="AD4837"/>
  <c r="P4838"/>
  <c r="W4838"/>
  <c r="Y4838"/>
  <c r="AB4838"/>
  <c r="AC4838"/>
  <c r="AD4838"/>
  <c r="P4839"/>
  <c r="W4839"/>
  <c r="Y4839"/>
  <c r="AB4839"/>
  <c r="AC4839"/>
  <c r="AD4839"/>
  <c r="P4840"/>
  <c r="W4840"/>
  <c r="Y4840"/>
  <c r="AB4840"/>
  <c r="AC4840"/>
  <c r="AD4840"/>
  <c r="P4841"/>
  <c r="W4841"/>
  <c r="Y4841"/>
  <c r="AB4841"/>
  <c r="AC4841"/>
  <c r="AD4841"/>
  <c r="P4842"/>
  <c r="W4842"/>
  <c r="Y4842"/>
  <c r="AB4842"/>
  <c r="AC4842"/>
  <c r="AD4842"/>
  <c r="P4843"/>
  <c r="W4843"/>
  <c r="Y4843"/>
  <c r="AB4843"/>
  <c r="AC4843"/>
  <c r="AD4843"/>
  <c r="P4844"/>
  <c r="W4844"/>
  <c r="Y4844"/>
  <c r="AB4844"/>
  <c r="AC4844"/>
  <c r="AD4844"/>
  <c r="P4845"/>
  <c r="W4845"/>
  <c r="Y4845"/>
  <c r="AB4845"/>
  <c r="AC4845"/>
  <c r="AD4845"/>
  <c r="P4846"/>
  <c r="W4846"/>
  <c r="Y4846"/>
  <c r="AB4846"/>
  <c r="AC4846"/>
  <c r="AD4846"/>
  <c r="P4847"/>
  <c r="W4847"/>
  <c r="Y4847"/>
  <c r="AB4847"/>
  <c r="AC4847"/>
  <c r="AD4847"/>
  <c r="P4848"/>
  <c r="W4848"/>
  <c r="Y4848"/>
  <c r="AB4848"/>
  <c r="AC4848"/>
  <c r="AD4848"/>
  <c r="P4849"/>
  <c r="W4849"/>
  <c r="Y4849"/>
  <c r="AB4849"/>
  <c r="AC4849"/>
  <c r="AD4849"/>
  <c r="P4850"/>
  <c r="W4850"/>
  <c r="Y4850"/>
  <c r="AB4850"/>
  <c r="AC4850"/>
  <c r="AD4850"/>
  <c r="P4851"/>
  <c r="W4851"/>
  <c r="Y4851"/>
  <c r="AB4851"/>
  <c r="AC4851"/>
  <c r="AD4851"/>
  <c r="P4852"/>
  <c r="W4852"/>
  <c r="Y4852"/>
  <c r="AB4852"/>
  <c r="AC4852"/>
  <c r="AD4852"/>
  <c r="P4853"/>
  <c r="W4853"/>
  <c r="Y4853"/>
  <c r="AB4853"/>
  <c r="AC4853"/>
  <c r="AD4853"/>
  <c r="P4854"/>
  <c r="W4854"/>
  <c r="Y4854"/>
  <c r="AB4854"/>
  <c r="AC4854"/>
  <c r="AD4854"/>
  <c r="P4855"/>
  <c r="W4855"/>
  <c r="Y4855"/>
  <c r="AB4855"/>
  <c r="AC4855"/>
  <c r="AD4855"/>
  <c r="P4856"/>
  <c r="W4856"/>
  <c r="Y4856"/>
  <c r="AB4856"/>
  <c r="AC4856"/>
  <c r="AD4856"/>
  <c r="P4857"/>
  <c r="W4857"/>
  <c r="Y4857"/>
  <c r="AB4857"/>
  <c r="AC4857"/>
  <c r="AD4857"/>
  <c r="P4858"/>
  <c r="W4858"/>
  <c r="Y4858"/>
  <c r="AB4858"/>
  <c r="AC4858"/>
  <c r="AD4858"/>
  <c r="P4859"/>
  <c r="W4859"/>
  <c r="Y4859"/>
  <c r="AB4859"/>
  <c r="AC4859"/>
  <c r="AD4859"/>
  <c r="P4860"/>
  <c r="W4860"/>
  <c r="Y4860"/>
  <c r="AB4860"/>
  <c r="AC4860"/>
  <c r="AD4860"/>
  <c r="P4861"/>
  <c r="W4861"/>
  <c r="Y4861"/>
  <c r="AB4861"/>
  <c r="AC4861"/>
  <c r="AD4861"/>
  <c r="P4862"/>
  <c r="W4862"/>
  <c r="Y4862"/>
  <c r="AB4862"/>
  <c r="AC4862"/>
  <c r="AD4862"/>
  <c r="P4863"/>
  <c r="W4863"/>
  <c r="Y4863"/>
  <c r="AB4863"/>
  <c r="AC4863"/>
  <c r="AD4863"/>
  <c r="P4864"/>
  <c r="W4864"/>
  <c r="Y4864"/>
  <c r="AB4864"/>
  <c r="AC4864"/>
  <c r="AD4864"/>
  <c r="P4865"/>
  <c r="W4865"/>
  <c r="Y4865"/>
  <c r="AB4865"/>
  <c r="AC4865"/>
  <c r="AD4865"/>
  <c r="P4866"/>
  <c r="W4866"/>
  <c r="Y4866"/>
  <c r="AB4866"/>
  <c r="AC4866"/>
  <c r="AD4866"/>
  <c r="P4867"/>
  <c r="W4867"/>
  <c r="Y4867"/>
  <c r="AB4867"/>
  <c r="AC4867"/>
  <c r="AD4867"/>
  <c r="P4868"/>
  <c r="W4868"/>
  <c r="Y4868"/>
  <c r="AB4868"/>
  <c r="AC4868"/>
  <c r="AD4868"/>
  <c r="P4869"/>
  <c r="W4869"/>
  <c r="Y4869"/>
  <c r="AB4869"/>
  <c r="AC4869"/>
  <c r="AD4869"/>
  <c r="P4870"/>
  <c r="W4870"/>
  <c r="Y4870"/>
  <c r="AB4870"/>
  <c r="AC4870"/>
  <c r="AD4870"/>
  <c r="P4871"/>
  <c r="W4871"/>
  <c r="Y4871"/>
  <c r="AB4871"/>
  <c r="AC4871"/>
  <c r="AD4871"/>
  <c r="P4872"/>
  <c r="W4872"/>
  <c r="Y4872"/>
  <c r="AB4872"/>
  <c r="AC4872"/>
  <c r="AD4872"/>
  <c r="P4873"/>
  <c r="W4873"/>
  <c r="Y4873"/>
  <c r="AB4873"/>
  <c r="AC4873"/>
  <c r="AD4873"/>
  <c r="P4874"/>
  <c r="W4874"/>
  <c r="Y4874"/>
  <c r="AB4874"/>
  <c r="AC4874"/>
  <c r="AD4874"/>
  <c r="P4875"/>
  <c r="W4875"/>
  <c r="Y4875"/>
  <c r="AB4875"/>
  <c r="AC4875"/>
  <c r="AD4875"/>
  <c r="P4876"/>
  <c r="W4876"/>
  <c r="Y4876"/>
  <c r="AB4876"/>
  <c r="AC4876"/>
  <c r="AD4876"/>
  <c r="P4877"/>
  <c r="W4877"/>
  <c r="Y4877"/>
  <c r="AB4877"/>
  <c r="AC4877"/>
  <c r="AD4877"/>
  <c r="P4878"/>
  <c r="W4878"/>
  <c r="Y4878"/>
  <c r="AB4878"/>
  <c r="AC4878"/>
  <c r="AD4878"/>
  <c r="P4879"/>
  <c r="W4879"/>
  <c r="Y4879"/>
  <c r="AB4879"/>
  <c r="AC4879"/>
  <c r="AD4879"/>
  <c r="P4880"/>
  <c r="W4880"/>
  <c r="Y4880"/>
  <c r="AB4880"/>
  <c r="AC4880"/>
  <c r="AD4880"/>
  <c r="P4881"/>
  <c r="W4881"/>
  <c r="Y4881"/>
  <c r="AB4881"/>
  <c r="AC4881"/>
  <c r="AD4881"/>
  <c r="P4882"/>
  <c r="W4882"/>
  <c r="Y4882"/>
  <c r="AB4882"/>
  <c r="AC4882"/>
  <c r="AD4882"/>
  <c r="P4883"/>
  <c r="W4883"/>
  <c r="Y4883"/>
  <c r="AB4883"/>
  <c r="AC4883"/>
  <c r="AD4883"/>
  <c r="P4884"/>
  <c r="W4884"/>
  <c r="Y4884"/>
  <c r="AB4884"/>
  <c r="AC4884"/>
  <c r="AD4884"/>
  <c r="P4885"/>
  <c r="W4885"/>
  <c r="Y4885"/>
  <c r="AB4885"/>
  <c r="AC4885"/>
  <c r="AD4885"/>
  <c r="P4886"/>
  <c r="W4886"/>
  <c r="Y4886"/>
  <c r="AB4886"/>
  <c r="AC4886"/>
  <c r="AD4886"/>
  <c r="P4887"/>
  <c r="W4887"/>
  <c r="Y4887"/>
  <c r="AB4887"/>
  <c r="AC4887"/>
  <c r="AD4887"/>
  <c r="P4888"/>
  <c r="W4888"/>
  <c r="Y4888"/>
  <c r="AB4888"/>
  <c r="AC4888"/>
  <c r="AD4888"/>
  <c r="P4889"/>
  <c r="W4889"/>
  <c r="Y4889"/>
  <c r="AB4889"/>
  <c r="AC4889"/>
  <c r="AD4889"/>
  <c r="P4890"/>
  <c r="W4890"/>
  <c r="Y4890"/>
  <c r="AB4890"/>
  <c r="AC4890"/>
  <c r="AD4890"/>
  <c r="P4891"/>
  <c r="W4891"/>
  <c r="Y4891"/>
  <c r="AB4891"/>
  <c r="AC4891"/>
  <c r="AD4891"/>
  <c r="P4892"/>
  <c r="W4892"/>
  <c r="Y4892"/>
  <c r="AB4892"/>
  <c r="AC4892"/>
  <c r="AD4892"/>
  <c r="P4893"/>
  <c r="W4893"/>
  <c r="Y4893"/>
  <c r="AB4893"/>
  <c r="AC4893"/>
  <c r="AD4893"/>
  <c r="P4894"/>
  <c r="W4894"/>
  <c r="Y4894"/>
  <c r="AB4894"/>
  <c r="AC4894"/>
  <c r="AD4894"/>
  <c r="P4895"/>
  <c r="W4895"/>
  <c r="Y4895"/>
  <c r="AB4895"/>
  <c r="AC4895"/>
  <c r="AD4895"/>
  <c r="P4896"/>
  <c r="W4896"/>
  <c r="Y4896"/>
  <c r="AB4896"/>
  <c r="AC4896"/>
  <c r="AD4896"/>
  <c r="P4897"/>
  <c r="W4897"/>
  <c r="Y4897"/>
  <c r="AB4897"/>
  <c r="AC4897"/>
  <c r="AD4897"/>
  <c r="P4898"/>
  <c r="W4898"/>
  <c r="Y4898"/>
  <c r="AB4898"/>
  <c r="AC4898"/>
  <c r="AD4898"/>
  <c r="P4899"/>
  <c r="W4899"/>
  <c r="Y4899"/>
  <c r="AB4899"/>
  <c r="AC4899"/>
  <c r="AD4899"/>
  <c r="P4900"/>
  <c r="W4900"/>
  <c r="Y4900"/>
  <c r="AB4900"/>
  <c r="AC4900"/>
  <c r="AD4900"/>
  <c r="P4901"/>
  <c r="W4901"/>
  <c r="Y4901"/>
  <c r="AB4901"/>
  <c r="AC4901"/>
  <c r="AD4901"/>
  <c r="P4902"/>
  <c r="W4902"/>
  <c r="Y4902"/>
  <c r="AB4902"/>
  <c r="AC4902"/>
  <c r="AD4902"/>
  <c r="P4903"/>
  <c r="W4903"/>
  <c r="Y4903"/>
  <c r="AB4903"/>
  <c r="AC4903"/>
  <c r="AD4903"/>
  <c r="P4904"/>
  <c r="W4904"/>
  <c r="Y4904"/>
  <c r="AB4904"/>
  <c r="AC4904"/>
  <c r="AD4904"/>
  <c r="P4905"/>
  <c r="W4905"/>
  <c r="Y4905"/>
  <c r="AB4905"/>
  <c r="AC4905"/>
  <c r="AD4905"/>
  <c r="P4906"/>
  <c r="W4906"/>
  <c r="Y4906"/>
  <c r="AB4906"/>
  <c r="AC4906"/>
  <c r="AD4906"/>
  <c r="P4907"/>
  <c r="W4907"/>
  <c r="Y4907"/>
  <c r="AB4907"/>
  <c r="AC4907"/>
  <c r="AD4907"/>
  <c r="P4908"/>
  <c r="W4908"/>
  <c r="Y4908"/>
  <c r="AB4908"/>
  <c r="AC4908"/>
  <c r="AD4908"/>
  <c r="P4909"/>
  <c r="W4909"/>
  <c r="Y4909"/>
  <c r="AB4909"/>
  <c r="AC4909"/>
  <c r="AD4909"/>
  <c r="P4910"/>
  <c r="W4910"/>
  <c r="Y4910"/>
  <c r="AB4910"/>
  <c r="AC4910"/>
  <c r="AD4910"/>
  <c r="P4911"/>
  <c r="W4911"/>
  <c r="Y4911"/>
  <c r="AB4911"/>
  <c r="AC4911"/>
  <c r="AD4911"/>
  <c r="P4912"/>
  <c r="W4912"/>
  <c r="Y4912"/>
  <c r="AB4912"/>
  <c r="AC4912"/>
  <c r="AD4912"/>
  <c r="P4913"/>
  <c r="W4913"/>
  <c r="Y4913"/>
  <c r="AB4913"/>
  <c r="AC4913"/>
  <c r="AD4913"/>
  <c r="P4914"/>
  <c r="W4914"/>
  <c r="Y4914"/>
  <c r="AB4914"/>
  <c r="AC4914"/>
  <c r="AD4914"/>
  <c r="P4915"/>
  <c r="W4915"/>
  <c r="Y4915"/>
  <c r="AB4915"/>
  <c r="AC4915"/>
  <c r="AD4915"/>
  <c r="P4916"/>
  <c r="W4916"/>
  <c r="Y4916"/>
  <c r="AB4916"/>
  <c r="AC4916"/>
  <c r="AD4916"/>
  <c r="P4917"/>
  <c r="W4917"/>
  <c r="Y4917"/>
  <c r="AB4917"/>
  <c r="AC4917"/>
  <c r="AD4917"/>
  <c r="P4918"/>
  <c r="W4918"/>
  <c r="Y4918"/>
  <c r="AB4918"/>
  <c r="AC4918"/>
  <c r="AD4918"/>
  <c r="P4919"/>
  <c r="W4919"/>
  <c r="Y4919"/>
  <c r="AB4919"/>
  <c r="AC4919"/>
  <c r="AD4919"/>
  <c r="P4920"/>
  <c r="W4920"/>
  <c r="Y4920"/>
  <c r="AB4920"/>
  <c r="AC4920"/>
  <c r="AD4920"/>
  <c r="P4921"/>
  <c r="W4921"/>
  <c r="Y4921"/>
  <c r="AB4921"/>
  <c r="AC4921"/>
  <c r="AD4921"/>
  <c r="P4922"/>
  <c r="W4922"/>
  <c r="Y4922"/>
  <c r="AB4922"/>
  <c r="AC4922"/>
  <c r="AD4922"/>
  <c r="P4923"/>
  <c r="W4923"/>
  <c r="Y4923"/>
  <c r="AB4923"/>
  <c r="AC4923"/>
  <c r="AD4923"/>
  <c r="P4924"/>
  <c r="W4924"/>
  <c r="Y4924"/>
  <c r="AB4924"/>
  <c r="AC4924"/>
  <c r="AD4924"/>
  <c r="P4925"/>
  <c r="W4925"/>
  <c r="Y4925"/>
  <c r="AB4925"/>
  <c r="AC4925"/>
  <c r="AD4925"/>
  <c r="P4926"/>
  <c r="W4926"/>
  <c r="Y4926"/>
  <c r="AB4926"/>
  <c r="AC4926"/>
  <c r="AD4926"/>
  <c r="P4927"/>
  <c r="W4927"/>
  <c r="Y4927"/>
  <c r="AB4927"/>
  <c r="AC4927"/>
  <c r="AD4927"/>
  <c r="P4928"/>
  <c r="W4928"/>
  <c r="Y4928"/>
  <c r="AB4928"/>
  <c r="AC4928"/>
  <c r="AD4928"/>
  <c r="P4929"/>
  <c r="W4929"/>
  <c r="Y4929"/>
  <c r="AB4929"/>
  <c r="AC4929"/>
  <c r="AD4929"/>
  <c r="P4930"/>
  <c r="W4930"/>
  <c r="Y4930"/>
  <c r="AB4930"/>
  <c r="AC4930"/>
  <c r="AD4930"/>
  <c r="P4931"/>
  <c r="W4931"/>
  <c r="Y4931"/>
  <c r="AB4931"/>
  <c r="AC4931"/>
  <c r="AD4931"/>
  <c r="P4932"/>
  <c r="W4932"/>
  <c r="Y4932"/>
  <c r="AB4932"/>
  <c r="AC4932"/>
  <c r="AD4932"/>
  <c r="P4933"/>
  <c r="W4933"/>
  <c r="Y4933"/>
  <c r="AB4933"/>
  <c r="AC4933"/>
  <c r="AD4933"/>
  <c r="P4934"/>
  <c r="W4934"/>
  <c r="Y4934"/>
  <c r="AB4934"/>
  <c r="AC4934"/>
  <c r="AD4934"/>
  <c r="P4935"/>
  <c r="W4935"/>
  <c r="Y4935"/>
  <c r="AB4935"/>
  <c r="AC4935"/>
  <c r="AD4935"/>
  <c r="P4936"/>
  <c r="W4936"/>
  <c r="Y4936"/>
  <c r="AB4936"/>
  <c r="AC4936"/>
  <c r="AD4936"/>
  <c r="P4937"/>
  <c r="W4937"/>
  <c r="Y4937"/>
  <c r="AB4937"/>
  <c r="AC4937"/>
  <c r="AD4937"/>
  <c r="P4938"/>
  <c r="W4938"/>
  <c r="Y4938"/>
  <c r="AB4938"/>
  <c r="AC4938"/>
  <c r="AD4938"/>
  <c r="P4939"/>
  <c r="W4939"/>
  <c r="Y4939"/>
  <c r="AB4939"/>
  <c r="AC4939"/>
  <c r="AD4939"/>
  <c r="P4940"/>
  <c r="W4940"/>
  <c r="Y4940"/>
  <c r="AB4940"/>
  <c r="AC4940"/>
  <c r="AD4940"/>
  <c r="P4941"/>
  <c r="W4941"/>
  <c r="Y4941"/>
  <c r="AB4941"/>
  <c r="AC4941"/>
  <c r="AD4941"/>
  <c r="P4942"/>
  <c r="W4942"/>
  <c r="Y4942"/>
  <c r="AB4942"/>
  <c r="AC4942"/>
  <c r="AD4942"/>
  <c r="P4943"/>
  <c r="W4943"/>
  <c r="Y4943"/>
  <c r="AB4943"/>
  <c r="AC4943"/>
  <c r="AD4943"/>
  <c r="P4944"/>
  <c r="W4944"/>
  <c r="Y4944"/>
  <c r="AB4944"/>
  <c r="AC4944"/>
  <c r="AD4944"/>
  <c r="P4945"/>
  <c r="W4945"/>
  <c r="Y4945"/>
  <c r="AB4945"/>
  <c r="AC4945"/>
  <c r="AD4945"/>
  <c r="P4946"/>
  <c r="W4946"/>
  <c r="Y4946"/>
  <c r="AB4946"/>
  <c r="AC4946"/>
  <c r="AD4946"/>
  <c r="P4947"/>
  <c r="W4947"/>
  <c r="Y4947"/>
  <c r="AB4947"/>
  <c r="AC4947"/>
  <c r="AD4947"/>
  <c r="P4948"/>
  <c r="W4948"/>
  <c r="Y4948"/>
  <c r="AB4948"/>
  <c r="AC4948"/>
  <c r="AD4948"/>
  <c r="P4949"/>
  <c r="W4949"/>
  <c r="Y4949"/>
  <c r="AB4949"/>
  <c r="AC4949"/>
  <c r="AD4949"/>
  <c r="P4950"/>
  <c r="W4950"/>
  <c r="Y4950"/>
  <c r="AB4950"/>
  <c r="AC4950"/>
  <c r="AD4950"/>
  <c r="P4951"/>
  <c r="W4951"/>
  <c r="Y4951"/>
  <c r="AB4951"/>
  <c r="AC4951"/>
  <c r="AD4951"/>
  <c r="P4952"/>
  <c r="W4952"/>
  <c r="Y4952"/>
  <c r="AB4952"/>
  <c r="AC4952"/>
  <c r="AD4952"/>
  <c r="P4953"/>
  <c r="W4953"/>
  <c r="Y4953"/>
  <c r="AB4953"/>
  <c r="AC4953"/>
  <c r="AD4953"/>
  <c r="P4954"/>
  <c r="W4954"/>
  <c r="Y4954"/>
  <c r="AB4954"/>
  <c r="AC4954"/>
  <c r="AD4954"/>
  <c r="P4955"/>
  <c r="W4955"/>
  <c r="Y4955"/>
  <c r="AB4955"/>
  <c r="AC4955"/>
  <c r="AD4955"/>
  <c r="P4956"/>
  <c r="W4956"/>
  <c r="Y4956"/>
  <c r="AB4956"/>
  <c r="AC4956"/>
  <c r="AD4956"/>
  <c r="P4957"/>
  <c r="W4957"/>
  <c r="Y4957"/>
  <c r="AB4957"/>
  <c r="AC4957"/>
  <c r="AD4957"/>
  <c r="P4958"/>
  <c r="W4958"/>
  <c r="Y4958"/>
  <c r="AB4958"/>
  <c r="AC4958"/>
  <c r="AD4958"/>
  <c r="P4959"/>
  <c r="W4959"/>
  <c r="Y4959"/>
  <c r="AB4959"/>
  <c r="AC4959"/>
  <c r="AD4959"/>
  <c r="P4960"/>
  <c r="W4960"/>
  <c r="Y4960"/>
  <c r="AB4960"/>
  <c r="AC4960"/>
  <c r="AD4960"/>
  <c r="P4961"/>
  <c r="W4961"/>
  <c r="Y4961"/>
  <c r="AB4961"/>
  <c r="AC4961"/>
  <c r="AD4961"/>
  <c r="P4962"/>
  <c r="W4962"/>
  <c r="Y4962"/>
  <c r="AB4962"/>
  <c r="AC4962"/>
  <c r="AD4962"/>
  <c r="P4963"/>
  <c r="W4963"/>
  <c r="Y4963"/>
  <c r="AB4963"/>
  <c r="AC4963"/>
  <c r="AD4963"/>
  <c r="P4964"/>
  <c r="W4964"/>
  <c r="Y4964"/>
  <c r="AB4964"/>
  <c r="AC4964"/>
  <c r="AD4964"/>
  <c r="P4965"/>
  <c r="W4965"/>
  <c r="Y4965"/>
  <c r="AB4965"/>
  <c r="AC4965"/>
  <c r="AD4965"/>
  <c r="P4966"/>
  <c r="W4966"/>
  <c r="Y4966"/>
  <c r="AB4966"/>
  <c r="AC4966"/>
  <c r="AD4966"/>
  <c r="P4967"/>
  <c r="W4967"/>
  <c r="Y4967"/>
  <c r="AB4967"/>
  <c r="AC4967"/>
  <c r="AD4967"/>
  <c r="P4968"/>
  <c r="W4968"/>
  <c r="Y4968"/>
  <c r="AB4968"/>
  <c r="AC4968"/>
  <c r="AD4968"/>
  <c r="P4969"/>
  <c r="W4969"/>
  <c r="Y4969"/>
  <c r="AB4969"/>
  <c r="AC4969"/>
  <c r="AD4969"/>
  <c r="P4970"/>
  <c r="W4970"/>
  <c r="Y4970"/>
  <c r="AB4970"/>
  <c r="AC4970"/>
  <c r="AD4970"/>
  <c r="P4971"/>
  <c r="W4971"/>
  <c r="Y4971"/>
  <c r="AB4971"/>
  <c r="AC4971"/>
  <c r="AD4971"/>
  <c r="P4972"/>
  <c r="W4972"/>
  <c r="Y4972"/>
  <c r="AB4972"/>
  <c r="AC4972"/>
  <c r="AD4972"/>
  <c r="P4973"/>
  <c r="W4973"/>
  <c r="Y4973"/>
  <c r="AB4973"/>
  <c r="AC4973"/>
  <c r="AD4973"/>
  <c r="P4974"/>
  <c r="W4974"/>
  <c r="Y4974"/>
  <c r="AB4974"/>
  <c r="AC4974"/>
  <c r="AD4974"/>
  <c r="P4975"/>
  <c r="W4975"/>
  <c r="Y4975"/>
  <c r="AB4975"/>
  <c r="AC4975"/>
  <c r="AD4975"/>
  <c r="P4976"/>
  <c r="W4976"/>
  <c r="Y4976"/>
  <c r="AB4976"/>
  <c r="AC4976"/>
  <c r="AD4976"/>
  <c r="P4977"/>
  <c r="W4977"/>
  <c r="Y4977"/>
  <c r="AB4977"/>
  <c r="AC4977"/>
  <c r="AD4977"/>
  <c r="P4978"/>
  <c r="W4978"/>
  <c r="Y4978"/>
  <c r="AB4978"/>
  <c r="AC4978"/>
  <c r="AD4978"/>
  <c r="P4979"/>
  <c r="W4979"/>
  <c r="Y4979"/>
  <c r="AB4979"/>
  <c r="AC4979"/>
  <c r="AD4979"/>
  <c r="P4980"/>
  <c r="W4980"/>
  <c r="Y4980"/>
  <c r="AB4980"/>
  <c r="AC4980"/>
  <c r="AD4980"/>
  <c r="P4981"/>
  <c r="W4981"/>
  <c r="Y4981"/>
  <c r="AB4981"/>
  <c r="AC4981"/>
  <c r="AD4981"/>
  <c r="P4982"/>
  <c r="W4982"/>
  <c r="Y4982"/>
  <c r="AB4982"/>
  <c r="AC4982"/>
  <c r="AD4982"/>
  <c r="P4983"/>
  <c r="W4983"/>
  <c r="Y4983"/>
  <c r="AB4983"/>
  <c r="AC4983"/>
  <c r="AD4983"/>
  <c r="P4984"/>
  <c r="W4984"/>
  <c r="Y4984"/>
  <c r="AB4984"/>
  <c r="AC4984"/>
  <c r="AD4984"/>
  <c r="P4985"/>
  <c r="W4985"/>
  <c r="Y4985"/>
  <c r="AB4985"/>
  <c r="AC4985"/>
  <c r="AD4985"/>
  <c r="P4986"/>
  <c r="W4986"/>
  <c r="Y4986"/>
  <c r="AB4986"/>
  <c r="AC4986"/>
  <c r="AD4986"/>
  <c r="P4987"/>
  <c r="W4987"/>
  <c r="Y4987"/>
  <c r="AB4987"/>
  <c r="AC4987"/>
  <c r="AD4987"/>
  <c r="P4988"/>
  <c r="W4988"/>
  <c r="Y4988"/>
  <c r="AB4988"/>
  <c r="AC4988"/>
  <c r="AD4988"/>
  <c r="P4989"/>
  <c r="W4989"/>
  <c r="Y4989"/>
  <c r="AB4989"/>
  <c r="AC4989"/>
  <c r="AD4989"/>
  <c r="P4990"/>
  <c r="W4990"/>
  <c r="Y4990"/>
  <c r="AB4990"/>
  <c r="AC4990"/>
  <c r="AD4990"/>
  <c r="P4991"/>
  <c r="W4991"/>
  <c r="Y4991"/>
  <c r="AB4991"/>
  <c r="AC4991"/>
  <c r="AD4991"/>
  <c r="P4992"/>
  <c r="W4992"/>
  <c r="Y4992"/>
  <c r="AB4992"/>
  <c r="AC4992"/>
  <c r="AD4992"/>
  <c r="P4993"/>
  <c r="W4993"/>
  <c r="Y4993"/>
  <c r="AB4993"/>
  <c r="AC4993"/>
  <c r="AD4993"/>
  <c r="P4994"/>
  <c r="W4994"/>
  <c r="Y4994"/>
  <c r="AB4994"/>
  <c r="AC4994"/>
  <c r="AD4994"/>
  <c r="P4995"/>
  <c r="W4995"/>
  <c r="Y4995"/>
  <c r="AB4995"/>
  <c r="AC4995"/>
  <c r="AD4995"/>
  <c r="P4996"/>
  <c r="W4996"/>
  <c r="Y4996"/>
  <c r="AB4996"/>
  <c r="AC4996"/>
  <c r="AD4996"/>
  <c r="P4997"/>
  <c r="W4997"/>
  <c r="Y4997"/>
  <c r="AB4997"/>
  <c r="AC4997"/>
  <c r="AD4997"/>
  <c r="P4998"/>
  <c r="W4998"/>
  <c r="Y4998"/>
  <c r="AB4998"/>
  <c r="AC4998"/>
  <c r="AD4998"/>
  <c r="P4999"/>
  <c r="W4999"/>
  <c r="Y4999"/>
  <c r="AB4999"/>
  <c r="AC4999"/>
  <c r="AD4999"/>
  <c r="P5000"/>
  <c r="W5000"/>
  <c r="Y5000"/>
  <c r="AB5000"/>
  <c r="AC5000"/>
  <c r="AD5000"/>
  <c r="P5001"/>
  <c r="W5001"/>
  <c r="Y5001"/>
  <c r="AB5001"/>
  <c r="AC5001"/>
  <c r="AD5001"/>
  <c r="P5002"/>
  <c r="W5002"/>
  <c r="Y5002"/>
  <c r="AB5002"/>
  <c r="AC5002"/>
  <c r="AD5002"/>
  <c r="P5003"/>
  <c r="W5003"/>
  <c r="Y5003"/>
  <c r="AB5003"/>
  <c r="AC5003"/>
  <c r="AD5003"/>
  <c r="P5004"/>
  <c r="W5004"/>
  <c r="Y5004"/>
  <c r="AB5004"/>
  <c r="AC5004"/>
  <c r="AD5004"/>
  <c r="P5005"/>
  <c r="W5005"/>
  <c r="Y5005"/>
  <c r="AB5005"/>
  <c r="AC5005"/>
  <c r="AD5005"/>
  <c r="P5006"/>
  <c r="W5006"/>
  <c r="Y5006"/>
  <c r="AB5006"/>
  <c r="AC5006"/>
  <c r="AD5006"/>
  <c r="P5007"/>
  <c r="W5007"/>
  <c r="Y5007"/>
  <c r="AB5007"/>
  <c r="AC5007"/>
  <c r="AD5007"/>
  <c r="P5008"/>
  <c r="W5008"/>
  <c r="Y5008"/>
  <c r="AB5008"/>
  <c r="AC5008"/>
  <c r="AD5008"/>
  <c r="P5009"/>
  <c r="W5009"/>
  <c r="Y5009"/>
  <c r="AB5009"/>
  <c r="AC5009"/>
  <c r="AD5009"/>
  <c r="P5010"/>
  <c r="W5010"/>
  <c r="Y5010"/>
  <c r="AB5010"/>
  <c r="AC5010"/>
  <c r="AD5010"/>
  <c r="P5011"/>
  <c r="W5011"/>
  <c r="Y5011"/>
  <c r="AB5011"/>
  <c r="AC5011"/>
  <c r="AD5011"/>
  <c r="P5026"/>
  <c r="T5026"/>
  <c r="U5026"/>
  <c r="V5026"/>
  <c r="W5026"/>
  <c r="Y5026"/>
  <c r="AA5026"/>
  <c r="AB5026"/>
  <c r="AC5026"/>
  <c r="AD5026"/>
  <c r="P5027"/>
  <c r="T5027"/>
  <c r="U5027"/>
  <c r="V5027"/>
  <c r="W5027"/>
  <c r="Y5027"/>
  <c r="AA5027"/>
  <c r="AB5027"/>
  <c r="AC5027"/>
  <c r="AD5027"/>
  <c r="P5028"/>
  <c r="T5028"/>
  <c r="U5028"/>
  <c r="V5028"/>
  <c r="W5028"/>
  <c r="Y5028"/>
  <c r="AA5028"/>
  <c r="AB5028"/>
  <c r="AC5028"/>
  <c r="AD5028"/>
  <c r="P5029"/>
  <c r="T5029"/>
  <c r="U5029"/>
  <c r="V5029"/>
  <c r="W5029"/>
  <c r="Y5029"/>
  <c r="AA5029"/>
  <c r="AB5029"/>
  <c r="AC5029"/>
  <c r="AD5029"/>
  <c r="P5030"/>
  <c r="T5030"/>
  <c r="U5030"/>
  <c r="V5030"/>
  <c r="W5030"/>
  <c r="Y5030"/>
  <c r="AA5030"/>
  <c r="AB5030"/>
  <c r="AC5030"/>
  <c r="AD5030"/>
  <c r="P5031"/>
  <c r="T5031"/>
  <c r="U5031"/>
  <c r="V5031"/>
  <c r="W5031"/>
  <c r="Y5031"/>
  <c r="AA5031"/>
  <c r="AB5031"/>
  <c r="AC5031"/>
  <c r="AD5031"/>
  <c r="P5032"/>
  <c r="T5032"/>
  <c r="U5032"/>
  <c r="V5032"/>
  <c r="W5032"/>
  <c r="Y5032"/>
  <c r="AA5032"/>
  <c r="AB5032"/>
  <c r="AC5032"/>
  <c r="AD5032"/>
  <c r="P5033"/>
  <c r="T5033"/>
  <c r="U5033"/>
  <c r="V5033"/>
  <c r="W5033"/>
  <c r="Y5033"/>
  <c r="AA5033"/>
  <c r="AB5033"/>
  <c r="AC5033"/>
  <c r="AD5033"/>
  <c r="P5034"/>
  <c r="T5034"/>
  <c r="U5034"/>
  <c r="V5034"/>
  <c r="W5034"/>
  <c r="Y5034"/>
  <c r="AA5034"/>
  <c r="AB5034"/>
  <c r="AC5034"/>
  <c r="AD5034"/>
  <c r="P5035"/>
  <c r="T5035"/>
  <c r="U5035"/>
  <c r="V5035"/>
  <c r="W5035"/>
  <c r="Y5035"/>
  <c r="AA5035"/>
  <c r="AB5035"/>
  <c r="AC5035"/>
  <c r="AD5035"/>
  <c r="P5036"/>
  <c r="T5036"/>
  <c r="U5036"/>
  <c r="V5036"/>
  <c r="W5036"/>
  <c r="Y5036"/>
  <c r="AA5036"/>
  <c r="AB5036"/>
  <c r="AC5036"/>
  <c r="AD5036"/>
  <c r="P5037"/>
  <c r="T5037"/>
  <c r="U5037"/>
  <c r="V5037"/>
  <c r="W5037"/>
  <c r="Y5037"/>
  <c r="AA5037"/>
  <c r="AB5037"/>
  <c r="AC5037"/>
  <c r="AD5037"/>
  <c r="P5038"/>
  <c r="T5038"/>
  <c r="U5038"/>
  <c r="V5038"/>
  <c r="W5038"/>
  <c r="Y5038"/>
  <c r="AA5038"/>
  <c r="AB5038"/>
  <c r="AC5038"/>
  <c r="AD5038"/>
  <c r="P5039"/>
  <c r="T5039"/>
  <c r="U5039"/>
  <c r="V5039"/>
  <c r="W5039"/>
  <c r="Y5039"/>
  <c r="AA5039"/>
  <c r="AB5039"/>
  <c r="AC5039"/>
  <c r="AD5039"/>
  <c r="P5040"/>
  <c r="T5040"/>
  <c r="U5040"/>
  <c r="V5040"/>
  <c r="W5040"/>
  <c r="Y5040"/>
  <c r="AA5040"/>
  <c r="AB5040"/>
  <c r="AC5040"/>
  <c r="AD5040"/>
  <c r="P5041"/>
  <c r="T5041"/>
  <c r="U5041"/>
  <c r="V5041"/>
  <c r="W5041"/>
  <c r="Y5041"/>
  <c r="AA5041"/>
  <c r="AB5041"/>
  <c r="AC5041"/>
  <c r="AD5041"/>
  <c r="P5042"/>
  <c r="T5042"/>
  <c r="U5042"/>
  <c r="V5042"/>
  <c r="W5042"/>
  <c r="Y5042"/>
  <c r="AA5042"/>
  <c r="AB5042"/>
  <c r="AC5042"/>
  <c r="AD5042"/>
  <c r="P5043"/>
  <c r="T5043"/>
  <c r="U5043"/>
  <c r="V5043"/>
  <c r="W5043"/>
  <c r="Y5043"/>
  <c r="AA5043"/>
  <c r="AB5043"/>
  <c r="AC5043"/>
  <c r="AD5043"/>
  <c r="P5044"/>
  <c r="T5044"/>
  <c r="U5044"/>
  <c r="V5044"/>
  <c r="W5044"/>
  <c r="Y5044"/>
  <c r="AA5044"/>
  <c r="AB5044"/>
  <c r="AC5044"/>
  <c r="AD5044"/>
  <c r="P5045"/>
  <c r="T5045"/>
  <c r="U5045"/>
  <c r="V5045"/>
  <c r="W5045"/>
  <c r="Y5045"/>
  <c r="AA5045"/>
  <c r="AB5045"/>
  <c r="AC5045"/>
  <c r="AD5045"/>
  <c r="P5046"/>
  <c r="T5046"/>
  <c r="U5046"/>
  <c r="V5046"/>
  <c r="W5046"/>
  <c r="Y5046"/>
  <c r="AA5046"/>
  <c r="AB5046"/>
  <c r="AC5046"/>
  <c r="AD5046"/>
  <c r="P5047"/>
  <c r="T5047"/>
  <c r="U5047"/>
  <c r="V5047"/>
  <c r="W5047"/>
  <c r="Y5047"/>
  <c r="AA5047"/>
  <c r="AB5047"/>
  <c r="AC5047"/>
  <c r="AD5047"/>
  <c r="P5048"/>
  <c r="T5048"/>
  <c r="U5048"/>
  <c r="V5048"/>
  <c r="W5048"/>
  <c r="Y5048"/>
  <c r="AA5048"/>
  <c r="AB5048"/>
  <c r="AC5048"/>
  <c r="AD5048"/>
  <c r="P5049"/>
  <c r="T5049"/>
  <c r="U5049"/>
  <c r="V5049"/>
  <c r="W5049"/>
  <c r="Y5049"/>
  <c r="AA5049"/>
  <c r="AB5049"/>
  <c r="AC5049"/>
  <c r="AD5049"/>
  <c r="P5050"/>
  <c r="T5050"/>
  <c r="U5050"/>
  <c r="V5050"/>
  <c r="W5050"/>
  <c r="Y5050"/>
  <c r="AA5050"/>
  <c r="AB5050"/>
  <c r="AC5050"/>
  <c r="AD5050"/>
  <c r="P5051"/>
  <c r="T5051"/>
  <c r="U5051"/>
  <c r="V5051"/>
  <c r="W5051"/>
  <c r="Y5051"/>
  <c r="AA5051"/>
  <c r="AB5051"/>
  <c r="AC5051"/>
  <c r="AD5051"/>
  <c r="P5052"/>
  <c r="T5052"/>
  <c r="U5052"/>
  <c r="V5052"/>
  <c r="W5052"/>
  <c r="Y5052"/>
  <c r="AA5052"/>
  <c r="AB5052"/>
  <c r="AC5052"/>
  <c r="AD5052"/>
  <c r="P5053"/>
  <c r="T5053"/>
  <c r="U5053"/>
  <c r="V5053"/>
  <c r="W5053"/>
  <c r="Y5053"/>
  <c r="AA5053"/>
  <c r="AB5053"/>
  <c r="AC5053"/>
  <c r="AD5053"/>
  <c r="P5054"/>
  <c r="T5054"/>
  <c r="U5054"/>
  <c r="V5054"/>
  <c r="W5054"/>
  <c r="Y5054"/>
  <c r="AA5054"/>
  <c r="AB5054"/>
  <c r="AC5054"/>
  <c r="AD5054"/>
  <c r="P5055"/>
  <c r="T5055"/>
  <c r="U5055"/>
  <c r="V5055"/>
  <c r="W5055"/>
  <c r="Y5055"/>
  <c r="AA5055"/>
  <c r="AB5055"/>
  <c r="AC5055"/>
  <c r="AD5055"/>
  <c r="P5056"/>
  <c r="T5056"/>
  <c r="U5056"/>
  <c r="V5056"/>
  <c r="W5056"/>
  <c r="Y5056"/>
  <c r="AA5056"/>
  <c r="AB5056"/>
  <c r="AC5056"/>
  <c r="AD5056"/>
  <c r="P5057"/>
  <c r="T5057"/>
  <c r="U5057"/>
  <c r="V5057"/>
  <c r="W5057"/>
  <c r="Y5057"/>
  <c r="AA5057"/>
  <c r="AB5057"/>
  <c r="AC5057"/>
  <c r="AD5057"/>
  <c r="P5058"/>
  <c r="T5058"/>
  <c r="U5058"/>
  <c r="V5058"/>
  <c r="W5058"/>
  <c r="Y5058"/>
  <c r="AA5058"/>
  <c r="AB5058"/>
  <c r="AC5058"/>
  <c r="AD5058"/>
  <c r="P5059"/>
  <c r="T5059"/>
  <c r="U5059"/>
  <c r="V5059"/>
  <c r="W5059"/>
  <c r="Y5059"/>
  <c r="AA5059"/>
  <c r="AB5059"/>
  <c r="AC5059"/>
  <c r="AD5059"/>
  <c r="P5060"/>
  <c r="T5060"/>
  <c r="U5060"/>
  <c r="V5060"/>
  <c r="W5060"/>
  <c r="Y5060"/>
  <c r="AA5060"/>
  <c r="AB5060"/>
  <c r="AC5060"/>
  <c r="AD5060"/>
  <c r="P5061"/>
  <c r="T5061"/>
  <c r="U5061"/>
  <c r="V5061"/>
  <c r="W5061"/>
  <c r="Y5061"/>
  <c r="AA5061"/>
  <c r="AB5061"/>
  <c r="AC5061"/>
  <c r="AD5061"/>
  <c r="P5062"/>
  <c r="T5062"/>
  <c r="U5062"/>
  <c r="V5062"/>
  <c r="W5062"/>
  <c r="Y5062"/>
  <c r="AA5062"/>
  <c r="AB5062"/>
  <c r="AC5062"/>
  <c r="AD5062"/>
  <c r="P5063"/>
  <c r="T5063"/>
  <c r="U5063"/>
  <c r="V5063"/>
  <c r="W5063"/>
  <c r="Y5063"/>
  <c r="AA5063"/>
  <c r="AB5063"/>
  <c r="AC5063"/>
  <c r="AD5063"/>
  <c r="P5064"/>
  <c r="T5064"/>
  <c r="U5064"/>
  <c r="V5064"/>
  <c r="W5064"/>
  <c r="Y5064"/>
  <c r="AA5064"/>
  <c r="AB5064"/>
  <c r="AC5064"/>
  <c r="AD5064"/>
  <c r="P5065"/>
  <c r="T5065"/>
  <c r="U5065"/>
  <c r="V5065"/>
  <c r="W5065"/>
  <c r="Y5065"/>
  <c r="AA5065"/>
  <c r="AB5065"/>
  <c r="AC5065"/>
  <c r="AD5065"/>
  <c r="P5066"/>
  <c r="T5066"/>
  <c r="U5066"/>
  <c r="V5066"/>
  <c r="W5066"/>
  <c r="Y5066"/>
  <c r="AA5066"/>
  <c r="AB5066"/>
  <c r="AC5066"/>
  <c r="AD5066"/>
  <c r="P5067"/>
  <c r="T5067"/>
  <c r="U5067"/>
  <c r="V5067"/>
  <c r="W5067"/>
  <c r="Y5067"/>
  <c r="AA5067"/>
  <c r="AB5067"/>
  <c r="AC5067"/>
  <c r="AD5067"/>
  <c r="P5068"/>
  <c r="T5068"/>
  <c r="U5068"/>
  <c r="V5068"/>
  <c r="W5068"/>
  <c r="Y5068"/>
  <c r="AA5068"/>
  <c r="AB5068"/>
  <c r="AC5068"/>
  <c r="AD5068"/>
  <c r="P5069"/>
  <c r="T5069"/>
  <c r="U5069"/>
  <c r="V5069"/>
  <c r="W5069"/>
  <c r="Y5069"/>
  <c r="AA5069"/>
  <c r="AB5069"/>
  <c r="AC5069"/>
  <c r="AD5069"/>
  <c r="P5070"/>
  <c r="T5070"/>
  <c r="U5070"/>
  <c r="V5070"/>
  <c r="W5070"/>
  <c r="Y5070"/>
  <c r="AA5070"/>
  <c r="AB5070"/>
  <c r="AC5070"/>
  <c r="AD5070"/>
  <c r="P5071"/>
  <c r="T5071"/>
  <c r="U5071"/>
  <c r="V5071"/>
  <c r="W5071"/>
  <c r="Y5071"/>
  <c r="AA5071"/>
  <c r="AB5071"/>
  <c r="AC5071"/>
  <c r="AD5071"/>
  <c r="P5072"/>
  <c r="T5072"/>
  <c r="U5072"/>
  <c r="V5072"/>
  <c r="W5072"/>
  <c r="Y5072"/>
  <c r="AA5072"/>
  <c r="AB5072"/>
  <c r="AC5072"/>
  <c r="AD5072"/>
  <c r="P5073"/>
  <c r="T5073"/>
  <c r="U5073"/>
  <c r="V5073"/>
  <c r="W5073"/>
  <c r="Y5073"/>
  <c r="AA5073"/>
  <c r="AB5073"/>
  <c r="AC5073"/>
  <c r="AD5073"/>
  <c r="P5074"/>
  <c r="T5074"/>
  <c r="U5074"/>
  <c r="V5074"/>
  <c r="W5074"/>
  <c r="Y5074"/>
  <c r="AA5074"/>
  <c r="AB5074"/>
  <c r="AC5074"/>
  <c r="AD5074"/>
  <c r="P5075"/>
  <c r="T5075"/>
  <c r="U5075"/>
  <c r="V5075"/>
  <c r="W5075"/>
  <c r="Y5075"/>
  <c r="AA5075"/>
  <c r="AB5075"/>
  <c r="AC5075"/>
  <c r="AD5075"/>
  <c r="P5076"/>
  <c r="T5076"/>
  <c r="U5076"/>
  <c r="V5076"/>
  <c r="W5076"/>
  <c r="Y5076"/>
  <c r="AA5076"/>
  <c r="AB5076"/>
  <c r="AC5076"/>
  <c r="AD5076"/>
  <c r="P5077"/>
  <c r="T5077"/>
  <c r="U5077"/>
  <c r="V5077"/>
  <c r="W5077"/>
  <c r="Y5077"/>
  <c r="AA5077"/>
  <c r="AB5077"/>
  <c r="AC5077"/>
  <c r="AD5077"/>
  <c r="P5078"/>
  <c r="T5078"/>
  <c r="U5078"/>
  <c r="V5078"/>
  <c r="W5078"/>
  <c r="Y5078"/>
  <c r="AA5078"/>
  <c r="AB5078"/>
  <c r="AC5078"/>
  <c r="AD5078"/>
  <c r="P5079"/>
  <c r="T5079"/>
  <c r="U5079"/>
  <c r="V5079"/>
  <c r="W5079"/>
  <c r="Y5079"/>
  <c r="AA5079"/>
  <c r="AB5079"/>
  <c r="AC5079"/>
  <c r="AD5079"/>
  <c r="P5080"/>
  <c r="T5080"/>
  <c r="U5080"/>
  <c r="V5080"/>
  <c r="W5080"/>
  <c r="Y5080"/>
  <c r="AA5080"/>
  <c r="AB5080"/>
  <c r="AC5080"/>
  <c r="AD5080"/>
  <c r="P5081"/>
  <c r="T5081"/>
  <c r="U5081"/>
  <c r="V5081"/>
  <c r="W5081"/>
  <c r="Y5081"/>
  <c r="AA5081"/>
  <c r="AB5081"/>
  <c r="AC5081"/>
  <c r="AD5081"/>
  <c r="P5082"/>
  <c r="T5082"/>
  <c r="U5082"/>
  <c r="V5082"/>
  <c r="W5082"/>
  <c r="Y5082"/>
  <c r="AA5082"/>
  <c r="AB5082"/>
  <c r="AC5082"/>
  <c r="AD5082"/>
  <c r="P5083"/>
  <c r="T5083"/>
  <c r="U5083"/>
  <c r="V5083"/>
  <c r="W5083"/>
  <c r="Y5083"/>
  <c r="AA5083"/>
  <c r="AB5083"/>
  <c r="AC5083"/>
  <c r="AD5083"/>
  <c r="P5084"/>
  <c r="T5084"/>
  <c r="U5084"/>
  <c r="V5084"/>
  <c r="W5084"/>
  <c r="Y5084"/>
  <c r="AA5084"/>
  <c r="AB5084"/>
  <c r="AC5084"/>
  <c r="AD5084"/>
  <c r="P5085"/>
  <c r="T5085"/>
  <c r="U5085"/>
  <c r="V5085"/>
  <c r="W5085"/>
  <c r="Y5085"/>
  <c r="AA5085"/>
  <c r="AB5085"/>
  <c r="AC5085"/>
  <c r="AD5085"/>
  <c r="P5086"/>
  <c r="T5086"/>
  <c r="U5086"/>
  <c r="V5086"/>
  <c r="W5086"/>
  <c r="Y5086"/>
  <c r="AA5086"/>
  <c r="AB5086"/>
  <c r="AC5086"/>
  <c r="AD5086"/>
  <c r="P5087"/>
  <c r="T5087"/>
  <c r="U5087"/>
  <c r="V5087"/>
  <c r="W5087"/>
  <c r="Y5087"/>
  <c r="AA5087"/>
  <c r="AB5087"/>
  <c r="AC5087"/>
  <c r="AD5087"/>
  <c r="P5088"/>
  <c r="T5088"/>
  <c r="U5088"/>
  <c r="V5088"/>
  <c r="W5088"/>
  <c r="Y5088"/>
  <c r="AA5088"/>
  <c r="AB5088"/>
  <c r="AC5088"/>
  <c r="AD5088"/>
  <c r="P5089"/>
  <c r="T5089"/>
  <c r="U5089"/>
  <c r="V5089"/>
  <c r="W5089"/>
  <c r="Y5089"/>
  <c r="AA5089"/>
  <c r="AB5089"/>
  <c r="AC5089"/>
  <c r="AD5089"/>
  <c r="P5090"/>
  <c r="T5090"/>
  <c r="U5090"/>
  <c r="V5090"/>
  <c r="W5090"/>
  <c r="Y5090"/>
  <c r="AA5090"/>
  <c r="AB5090"/>
  <c r="AC5090"/>
  <c r="AD5090"/>
  <c r="P5091"/>
  <c r="T5091"/>
  <c r="U5091"/>
  <c r="V5091"/>
  <c r="W5091"/>
  <c r="Y5091"/>
  <c r="AA5091"/>
  <c r="AB5091"/>
  <c r="AC5091"/>
  <c r="AD5091"/>
  <c r="P5092"/>
  <c r="T5092"/>
  <c r="U5092"/>
  <c r="V5092"/>
  <c r="W5092"/>
  <c r="Y5092"/>
  <c r="AA5092"/>
  <c r="AB5092"/>
  <c r="AC5092"/>
  <c r="AD5092"/>
  <c r="P5093"/>
  <c r="T5093"/>
  <c r="U5093"/>
  <c r="V5093"/>
  <c r="W5093"/>
  <c r="Y5093"/>
  <c r="AA5093"/>
  <c r="AB5093"/>
  <c r="AC5093"/>
  <c r="AD5093"/>
  <c r="P5094"/>
  <c r="T5094"/>
  <c r="U5094"/>
  <c r="V5094"/>
  <c r="W5094"/>
  <c r="Y5094"/>
  <c r="AA5094"/>
  <c r="AB5094"/>
  <c r="AC5094"/>
  <c r="AD5094"/>
  <c r="P5095"/>
  <c r="T5095"/>
  <c r="U5095"/>
  <c r="V5095"/>
  <c r="W5095"/>
  <c r="Y5095"/>
  <c r="AA5095"/>
  <c r="AB5095"/>
  <c r="AC5095"/>
  <c r="AD5095"/>
  <c r="P5096"/>
  <c r="T5096"/>
  <c r="U5096"/>
  <c r="V5096"/>
  <c r="W5096"/>
  <c r="Y5096"/>
  <c r="AA5096"/>
  <c r="AB5096"/>
  <c r="AC5096"/>
  <c r="AD5096"/>
  <c r="P5097"/>
  <c r="T5097"/>
  <c r="U5097"/>
  <c r="V5097"/>
  <c r="W5097"/>
  <c r="Y5097"/>
  <c r="AA5097"/>
  <c r="AB5097"/>
  <c r="AC5097"/>
  <c r="AD5097"/>
  <c r="P5098"/>
  <c r="T5098"/>
  <c r="U5098"/>
  <c r="V5098"/>
  <c r="W5098"/>
  <c r="Y5098"/>
  <c r="AA5098"/>
  <c r="AB5098"/>
  <c r="AC5098"/>
  <c r="AD5098"/>
  <c r="P5099"/>
  <c r="T5099"/>
  <c r="U5099"/>
  <c r="V5099"/>
  <c r="W5099"/>
  <c r="Y5099"/>
  <c r="AA5099"/>
  <c r="AB5099"/>
  <c r="AC5099"/>
  <c r="AD5099"/>
  <c r="P5100"/>
  <c r="T5100"/>
  <c r="U5100"/>
  <c r="V5100"/>
  <c r="W5100"/>
  <c r="Y5100"/>
  <c r="AA5100"/>
  <c r="AB5100"/>
  <c r="AC5100"/>
  <c r="AD5100"/>
  <c r="P5101"/>
  <c r="T5101"/>
  <c r="U5101"/>
  <c r="V5101"/>
  <c r="W5101"/>
  <c r="Y5101"/>
  <c r="AA5101"/>
  <c r="AB5101"/>
  <c r="AC5101"/>
  <c r="AD5101"/>
  <c r="P5102"/>
  <c r="T5102"/>
  <c r="U5102"/>
  <c r="V5102"/>
  <c r="W5102"/>
  <c r="Y5102"/>
  <c r="AA5102"/>
  <c r="AB5102"/>
  <c r="AC5102"/>
  <c r="AD5102"/>
  <c r="P5103"/>
  <c r="T5103"/>
  <c r="U5103"/>
  <c r="V5103"/>
  <c r="W5103"/>
  <c r="Y5103"/>
  <c r="AA5103"/>
  <c r="AB5103"/>
  <c r="AC5103"/>
  <c r="AD5103"/>
  <c r="P5104"/>
  <c r="T5104"/>
  <c r="U5104"/>
  <c r="V5104"/>
  <c r="W5104"/>
  <c r="Y5104"/>
  <c r="AA5104"/>
  <c r="AB5104"/>
  <c r="AC5104"/>
  <c r="AD5104"/>
  <c r="P5105"/>
  <c r="T5105"/>
  <c r="U5105"/>
  <c r="V5105"/>
  <c r="W5105"/>
  <c r="Y5105"/>
  <c r="AA5105"/>
  <c r="AB5105"/>
  <c r="AC5105"/>
  <c r="AD5105"/>
  <c r="P5106"/>
  <c r="T5106"/>
  <c r="U5106"/>
  <c r="V5106"/>
  <c r="W5106"/>
  <c r="Y5106"/>
  <c r="AA5106"/>
  <c r="AB5106"/>
  <c r="AC5106"/>
  <c r="AD5106"/>
  <c r="P5107"/>
  <c r="T5107"/>
  <c r="U5107"/>
  <c r="V5107"/>
  <c r="W5107"/>
  <c r="Y5107"/>
  <c r="AA5107"/>
  <c r="AB5107"/>
  <c r="AC5107"/>
  <c r="AD5107"/>
  <c r="P5108"/>
  <c r="T5108"/>
  <c r="U5108"/>
  <c r="V5108"/>
  <c r="W5108"/>
  <c r="Y5108"/>
  <c r="AA5108"/>
  <c r="AB5108"/>
  <c r="AC5108"/>
  <c r="AD5108"/>
  <c r="P5109"/>
  <c r="T5109"/>
  <c r="U5109"/>
  <c r="V5109"/>
  <c r="W5109"/>
  <c r="Y5109"/>
  <c r="AA5109"/>
  <c r="AB5109"/>
  <c r="AC5109"/>
  <c r="AD5109"/>
  <c r="P5110"/>
  <c r="T5110"/>
  <c r="U5110"/>
  <c r="V5110"/>
  <c r="W5110"/>
  <c r="Y5110"/>
  <c r="AA5110"/>
  <c r="AB5110"/>
  <c r="AC5110"/>
  <c r="AD5110"/>
  <c r="P5111"/>
  <c r="T5111"/>
  <c r="U5111"/>
  <c r="V5111"/>
  <c r="W5111"/>
  <c r="Y5111"/>
  <c r="AA5111"/>
  <c r="AB5111"/>
  <c r="AC5111"/>
  <c r="AD5111"/>
  <c r="P5112"/>
  <c r="T5112"/>
  <c r="U5112"/>
  <c r="V5112"/>
  <c r="W5112"/>
  <c r="Y5112"/>
  <c r="AA5112"/>
  <c r="AB5112"/>
  <c r="AC5112"/>
  <c r="AD5112"/>
  <c r="P5113"/>
  <c r="T5113"/>
  <c r="U5113"/>
  <c r="V5113"/>
  <c r="W5113"/>
  <c r="Y5113"/>
  <c r="AA5113"/>
  <c r="AB5113"/>
  <c r="AC5113"/>
  <c r="AD5113"/>
  <c r="P5114"/>
  <c r="T5114"/>
  <c r="U5114"/>
  <c r="V5114"/>
  <c r="W5114"/>
  <c r="Y5114"/>
  <c r="AA5114"/>
  <c r="AB5114"/>
  <c r="AC5114"/>
  <c r="AD5114"/>
  <c r="P5115"/>
  <c r="T5115"/>
  <c r="U5115"/>
  <c r="V5115"/>
  <c r="W5115"/>
  <c r="Y5115"/>
  <c r="AA5115"/>
  <c r="AB5115"/>
  <c r="AC5115"/>
  <c r="AD5115"/>
  <c r="P5116"/>
  <c r="T5116"/>
  <c r="U5116"/>
  <c r="V5116"/>
  <c r="W5116"/>
  <c r="Y5116"/>
  <c r="AA5116"/>
  <c r="AB5116"/>
  <c r="AC5116"/>
  <c r="AD5116"/>
  <c r="P5117"/>
  <c r="T5117"/>
  <c r="U5117"/>
  <c r="V5117"/>
  <c r="W5117"/>
  <c r="Y5117"/>
  <c r="AA5117"/>
  <c r="AB5117"/>
  <c r="AC5117"/>
  <c r="AD5117"/>
  <c r="P5118"/>
  <c r="T5118"/>
  <c r="U5118"/>
  <c r="V5118"/>
  <c r="W5118"/>
  <c r="Y5118"/>
  <c r="AA5118"/>
  <c r="AB5118"/>
  <c r="AC5118"/>
  <c r="AD5118"/>
  <c r="P5119"/>
  <c r="T5119"/>
  <c r="U5119"/>
  <c r="V5119"/>
  <c r="W5119"/>
  <c r="Y5119"/>
  <c r="AA5119"/>
  <c r="AB5119"/>
  <c r="AC5119"/>
  <c r="AD5119"/>
  <c r="P5120"/>
  <c r="T5120"/>
  <c r="U5120"/>
  <c r="V5120"/>
  <c r="W5120"/>
  <c r="Y5120"/>
  <c r="AA5120"/>
  <c r="AB5120"/>
  <c r="AC5120"/>
  <c r="AD5120"/>
  <c r="P5121"/>
  <c r="T5121"/>
  <c r="U5121"/>
  <c r="V5121"/>
  <c r="W5121"/>
  <c r="Y5121"/>
  <c r="AA5121"/>
  <c r="AB5121"/>
  <c r="AC5121"/>
  <c r="AD5121"/>
  <c r="P5122"/>
  <c r="T5122"/>
  <c r="U5122"/>
  <c r="V5122"/>
  <c r="W5122"/>
  <c r="Y5122"/>
  <c r="AA5122"/>
  <c r="AB5122"/>
  <c r="AC5122"/>
  <c r="AD5122"/>
  <c r="P5123"/>
  <c r="T5123"/>
  <c r="U5123"/>
  <c r="V5123"/>
  <c r="W5123"/>
  <c r="Y5123"/>
  <c r="AA5123"/>
  <c r="AB5123"/>
  <c r="AC5123"/>
  <c r="AD5123"/>
  <c r="P5124"/>
  <c r="T5124"/>
  <c r="U5124"/>
  <c r="V5124"/>
  <c r="W5124"/>
  <c r="Y5124"/>
  <c r="AA5124"/>
  <c r="AB5124"/>
  <c r="AC5124"/>
  <c r="AD5124"/>
  <c r="P5125"/>
  <c r="T5125"/>
  <c r="U5125"/>
  <c r="V5125"/>
  <c r="W5125"/>
  <c r="Y5125"/>
  <c r="AA5125"/>
  <c r="AB5125"/>
  <c r="AC5125"/>
  <c r="AD5125"/>
  <c r="P5126"/>
  <c r="T5126"/>
  <c r="U5126"/>
  <c r="V5126"/>
  <c r="W5126"/>
  <c r="Y5126"/>
  <c r="AA5126"/>
  <c r="AB5126"/>
  <c r="AC5126"/>
  <c r="AD5126"/>
  <c r="P5127"/>
  <c r="T5127"/>
  <c r="U5127"/>
  <c r="V5127"/>
  <c r="W5127"/>
  <c r="Y5127"/>
  <c r="AA5127"/>
  <c r="AB5127"/>
  <c r="AC5127"/>
  <c r="AD5127"/>
  <c r="P5128"/>
  <c r="T5128"/>
  <c r="U5128"/>
  <c r="V5128"/>
  <c r="W5128"/>
  <c r="Y5128"/>
  <c r="AA5128"/>
  <c r="AB5128"/>
  <c r="AC5128"/>
  <c r="AD5128"/>
  <c r="P5129"/>
  <c r="T5129"/>
  <c r="U5129"/>
  <c r="V5129"/>
  <c r="W5129"/>
  <c r="Y5129"/>
  <c r="AA5129"/>
  <c r="AB5129"/>
  <c r="AC5129"/>
  <c r="AD5129"/>
  <c r="P5130"/>
  <c r="T5130"/>
  <c r="U5130"/>
  <c r="V5130"/>
  <c r="W5130"/>
  <c r="Y5130"/>
  <c r="AA5130"/>
  <c r="AB5130"/>
  <c r="AC5130"/>
  <c r="AD5130"/>
  <c r="P5131"/>
  <c r="T5131"/>
  <c r="U5131"/>
  <c r="V5131"/>
  <c r="W5131"/>
  <c r="Y5131"/>
  <c r="AA5131"/>
  <c r="AB5131"/>
  <c r="AC5131"/>
  <c r="AD5131"/>
  <c r="P5132"/>
  <c r="T5132"/>
  <c r="U5132"/>
  <c r="V5132"/>
  <c r="W5132"/>
  <c r="Y5132"/>
  <c r="AA5132"/>
  <c r="AB5132"/>
  <c r="AC5132"/>
  <c r="AD5132"/>
  <c r="P5133"/>
  <c r="T5133"/>
  <c r="U5133"/>
  <c r="V5133"/>
  <c r="W5133"/>
  <c r="Y5133"/>
  <c r="AA5133"/>
  <c r="AB5133"/>
  <c r="AC5133"/>
  <c r="AD5133"/>
  <c r="P5134"/>
  <c r="T5134"/>
  <c r="U5134"/>
  <c r="V5134"/>
  <c r="W5134"/>
  <c r="Y5134"/>
  <c r="AA5134"/>
  <c r="AB5134"/>
  <c r="AC5134"/>
  <c r="AD5134"/>
  <c r="P5135"/>
  <c r="T5135"/>
  <c r="U5135"/>
  <c r="V5135"/>
  <c r="W5135"/>
  <c r="Y5135"/>
  <c r="AA5135"/>
  <c r="AB5135"/>
  <c r="AC5135"/>
  <c r="AD5135"/>
  <c r="P5136"/>
  <c r="T5136"/>
  <c r="U5136"/>
  <c r="V5136"/>
  <c r="W5136"/>
  <c r="Y5136"/>
  <c r="AA5136"/>
  <c r="AB5136"/>
  <c r="AC5136"/>
  <c r="AD5136"/>
  <c r="P5137"/>
  <c r="T5137"/>
  <c r="U5137"/>
  <c r="V5137"/>
  <c r="W5137"/>
  <c r="Y5137"/>
  <c r="AA5137"/>
  <c r="AB5137"/>
  <c r="AC5137"/>
  <c r="AD5137"/>
  <c r="P5138"/>
  <c r="T5138"/>
  <c r="U5138"/>
  <c r="V5138"/>
  <c r="W5138"/>
  <c r="Y5138"/>
  <c r="AA5138"/>
  <c r="AB5138"/>
  <c r="AC5138"/>
  <c r="AD5138"/>
  <c r="P5139"/>
  <c r="T5139"/>
  <c r="U5139"/>
  <c r="V5139"/>
  <c r="W5139"/>
  <c r="Y5139"/>
  <c r="AA5139"/>
  <c r="AB5139"/>
  <c r="AC5139"/>
  <c r="AD5139"/>
  <c r="P5140"/>
  <c r="T5140"/>
  <c r="U5140"/>
  <c r="V5140"/>
  <c r="W5140"/>
  <c r="Y5140"/>
  <c r="AA5140"/>
  <c r="AB5140"/>
  <c r="AC5140"/>
  <c r="AD5140"/>
  <c r="P5141"/>
  <c r="T5141"/>
  <c r="U5141"/>
  <c r="V5141"/>
  <c r="W5141"/>
  <c r="Y5141"/>
  <c r="AA5141"/>
  <c r="AB5141"/>
  <c r="AC5141"/>
  <c r="AD5141"/>
  <c r="P5142"/>
  <c r="T5142"/>
  <c r="U5142"/>
  <c r="V5142"/>
  <c r="W5142"/>
  <c r="Y5142"/>
  <c r="AA5142"/>
  <c r="AB5142"/>
  <c r="AC5142"/>
  <c r="AD5142"/>
  <c r="P5143"/>
  <c r="T5143"/>
  <c r="U5143"/>
  <c r="V5143"/>
  <c r="W5143"/>
  <c r="Y5143"/>
  <c r="AA5143"/>
  <c r="AB5143"/>
  <c r="AC5143"/>
  <c r="AD5143"/>
  <c r="P5144"/>
  <c r="T5144"/>
  <c r="U5144"/>
  <c r="V5144"/>
  <c r="W5144"/>
  <c r="Y5144"/>
  <c r="AA5144"/>
  <c r="AB5144"/>
  <c r="AC5144"/>
  <c r="AD5144"/>
  <c r="P5145"/>
  <c r="T5145"/>
  <c r="U5145"/>
  <c r="V5145"/>
  <c r="W5145"/>
  <c r="Y5145"/>
  <c r="AA5145"/>
  <c r="AB5145"/>
  <c r="AC5145"/>
  <c r="AD5145"/>
  <c r="P5146"/>
  <c r="T5146"/>
  <c r="U5146"/>
  <c r="V5146"/>
  <c r="W5146"/>
  <c r="Y5146"/>
  <c r="AA5146"/>
  <c r="AB5146"/>
  <c r="AC5146"/>
  <c r="AD5146"/>
  <c r="P5147"/>
  <c r="T5147"/>
  <c r="U5147"/>
  <c r="V5147"/>
  <c r="W5147"/>
  <c r="Y5147"/>
  <c r="AA5147"/>
  <c r="AB5147"/>
  <c r="AC5147"/>
  <c r="AD5147"/>
  <c r="P5148"/>
  <c r="T5148"/>
  <c r="U5148"/>
  <c r="V5148"/>
  <c r="W5148"/>
  <c r="Y5148"/>
  <c r="AA5148"/>
  <c r="AB5148"/>
  <c r="AC5148"/>
  <c r="AD5148"/>
  <c r="P5149"/>
  <c r="T5149"/>
  <c r="U5149"/>
  <c r="V5149"/>
  <c r="W5149"/>
  <c r="Y5149"/>
  <c r="AA5149"/>
  <c r="AB5149"/>
  <c r="AC5149"/>
  <c r="AD5149"/>
  <c r="P5150"/>
  <c r="T5150"/>
  <c r="U5150"/>
  <c r="V5150"/>
  <c r="W5150"/>
  <c r="Y5150"/>
  <c r="AA5150"/>
  <c r="AB5150"/>
  <c r="AC5150"/>
  <c r="AD5150"/>
  <c r="P5151"/>
  <c r="T5151"/>
  <c r="U5151"/>
  <c r="V5151"/>
  <c r="W5151"/>
  <c r="Y5151"/>
  <c r="AA5151"/>
  <c r="AB5151"/>
  <c r="AC5151"/>
  <c r="AD5151"/>
  <c r="P5152"/>
  <c r="T5152"/>
  <c r="U5152"/>
  <c r="V5152"/>
  <c r="W5152"/>
  <c r="Y5152"/>
  <c r="AA5152"/>
  <c r="AB5152"/>
  <c r="AC5152"/>
  <c r="AD5152"/>
  <c r="P5153"/>
  <c r="T5153"/>
  <c r="U5153"/>
  <c r="V5153"/>
  <c r="W5153"/>
  <c r="Y5153"/>
  <c r="AA5153"/>
  <c r="AB5153"/>
  <c r="AC5153"/>
  <c r="AD5153"/>
  <c r="P5154"/>
  <c r="T5154"/>
  <c r="U5154"/>
  <c r="V5154"/>
  <c r="W5154"/>
  <c r="Y5154"/>
  <c r="AA5154"/>
  <c r="AB5154"/>
  <c r="AC5154"/>
  <c r="AD5154"/>
  <c r="P5155"/>
  <c r="T5155"/>
  <c r="U5155"/>
  <c r="V5155"/>
  <c r="W5155"/>
  <c r="Y5155"/>
  <c r="AA5155"/>
  <c r="AB5155"/>
  <c r="AC5155"/>
  <c r="AD5155"/>
  <c r="P5156"/>
  <c r="T5156"/>
  <c r="U5156"/>
  <c r="V5156"/>
  <c r="W5156"/>
  <c r="Y5156"/>
  <c r="AA5156"/>
  <c r="AB5156"/>
  <c r="AC5156"/>
  <c r="AD5156"/>
  <c r="P5157"/>
  <c r="T5157"/>
  <c r="U5157"/>
  <c r="V5157"/>
  <c r="W5157"/>
  <c r="Y5157"/>
  <c r="AA5157"/>
  <c r="AB5157"/>
  <c r="AC5157"/>
  <c r="AD5157"/>
  <c r="P5158"/>
  <c r="T5158"/>
  <c r="U5158"/>
  <c r="V5158"/>
  <c r="W5158"/>
  <c r="Y5158"/>
  <c r="AA5158"/>
  <c r="AB5158"/>
  <c r="AC5158"/>
  <c r="AD5158"/>
  <c r="P5159"/>
  <c r="T5159"/>
  <c r="U5159"/>
  <c r="V5159"/>
  <c r="W5159"/>
  <c r="Y5159"/>
  <c r="AA5159"/>
  <c r="AB5159"/>
  <c r="AC5159"/>
  <c r="AD5159"/>
  <c r="P5160"/>
  <c r="T5160"/>
  <c r="U5160"/>
  <c r="V5160"/>
  <c r="W5160"/>
  <c r="Y5160"/>
  <c r="AA5160"/>
  <c r="AB5160"/>
  <c r="AC5160"/>
  <c r="AD5160"/>
  <c r="P5161"/>
  <c r="T5161"/>
  <c r="U5161"/>
  <c r="V5161"/>
  <c r="W5161"/>
  <c r="Y5161"/>
  <c r="AA5161"/>
  <c r="AB5161"/>
  <c r="AC5161"/>
  <c r="AD5161"/>
  <c r="P5162"/>
  <c r="T5162"/>
  <c r="U5162"/>
  <c r="V5162"/>
  <c r="W5162"/>
  <c r="Y5162"/>
  <c r="AA5162"/>
  <c r="AB5162"/>
  <c r="AC5162"/>
  <c r="AD5162"/>
  <c r="P5163"/>
  <c r="T5163"/>
  <c r="U5163"/>
  <c r="V5163"/>
  <c r="W5163"/>
  <c r="Y5163"/>
  <c r="AA5163"/>
  <c r="AB5163"/>
  <c r="AC5163"/>
  <c r="AD5163"/>
  <c r="P5164"/>
  <c r="T5164"/>
  <c r="U5164"/>
  <c r="V5164"/>
  <c r="W5164"/>
  <c r="Y5164"/>
  <c r="AA5164"/>
  <c r="AB5164"/>
  <c r="AC5164"/>
  <c r="AD5164"/>
  <c r="P5165"/>
  <c r="T5165"/>
  <c r="U5165"/>
  <c r="V5165"/>
  <c r="W5165"/>
  <c r="Y5165"/>
  <c r="AA5165"/>
  <c r="AB5165"/>
  <c r="AC5165"/>
  <c r="AD5165"/>
  <c r="P5166"/>
  <c r="T5166"/>
  <c r="U5166"/>
  <c r="V5166"/>
  <c r="W5166"/>
  <c r="Y5166"/>
  <c r="AA5166"/>
  <c r="AB5166"/>
  <c r="AC5166"/>
  <c r="AD5166"/>
  <c r="P5167"/>
  <c r="T5167"/>
  <c r="U5167"/>
  <c r="V5167"/>
  <c r="W5167"/>
  <c r="Y5167"/>
  <c r="AA5167"/>
  <c r="AB5167"/>
  <c r="AC5167"/>
  <c r="AD5167"/>
  <c r="P5168"/>
  <c r="T5168"/>
  <c r="U5168"/>
  <c r="V5168"/>
  <c r="W5168"/>
  <c r="Y5168"/>
  <c r="AA5168"/>
  <c r="AB5168"/>
  <c r="AC5168"/>
  <c r="AD5168"/>
  <c r="P5169"/>
  <c r="T5169"/>
  <c r="U5169"/>
  <c r="V5169"/>
  <c r="W5169"/>
  <c r="Y5169"/>
  <c r="AA5169"/>
  <c r="AB5169"/>
  <c r="AC5169"/>
  <c r="AD5169"/>
  <c r="P5170"/>
  <c r="T5170"/>
  <c r="U5170"/>
  <c r="V5170"/>
  <c r="W5170"/>
  <c r="Y5170"/>
  <c r="AA5170"/>
  <c r="AB5170"/>
  <c r="AC5170"/>
  <c r="AD5170"/>
  <c r="P5171"/>
  <c r="T5171"/>
  <c r="U5171"/>
  <c r="V5171"/>
  <c r="W5171"/>
  <c r="Y5171"/>
  <c r="AA5171"/>
  <c r="AB5171"/>
  <c r="AC5171"/>
  <c r="AD5171"/>
  <c r="P5172"/>
  <c r="T5172"/>
  <c r="U5172"/>
  <c r="V5172"/>
  <c r="W5172"/>
  <c r="Y5172"/>
  <c r="AA5172"/>
  <c r="AB5172"/>
  <c r="AC5172"/>
  <c r="AD5172"/>
  <c r="P5173"/>
  <c r="T5173"/>
  <c r="U5173"/>
  <c r="V5173"/>
  <c r="W5173"/>
  <c r="Y5173"/>
  <c r="AA5173"/>
  <c r="AB5173"/>
  <c r="AC5173"/>
  <c r="AD5173"/>
  <c r="P5174"/>
  <c r="T5174"/>
  <c r="U5174"/>
  <c r="V5174"/>
  <c r="W5174"/>
  <c r="Y5174"/>
  <c r="AA5174"/>
  <c r="AB5174"/>
  <c r="AC5174"/>
  <c r="AD5174"/>
  <c r="P5175"/>
  <c r="T5175"/>
  <c r="U5175"/>
  <c r="V5175"/>
  <c r="W5175"/>
  <c r="Y5175"/>
  <c r="AA5175"/>
  <c r="AB5175"/>
  <c r="AC5175"/>
  <c r="AD5175"/>
  <c r="P5176"/>
  <c r="T5176"/>
  <c r="U5176"/>
  <c r="V5176"/>
  <c r="W5176"/>
  <c r="Y5176"/>
  <c r="AA5176"/>
  <c r="AB5176"/>
  <c r="AC5176"/>
  <c r="AD5176"/>
  <c r="P5177"/>
  <c r="T5177"/>
  <c r="U5177"/>
  <c r="V5177"/>
  <c r="W5177"/>
  <c r="Y5177"/>
  <c r="AA5177"/>
  <c r="AB5177"/>
  <c r="AC5177"/>
  <c r="AD5177"/>
  <c r="P5178"/>
  <c r="T5178"/>
  <c r="U5178"/>
  <c r="V5178"/>
  <c r="W5178"/>
  <c r="Y5178"/>
  <c r="AA5178"/>
  <c r="AB5178"/>
  <c r="AC5178"/>
  <c r="AD5178"/>
  <c r="P5179"/>
  <c r="T5179"/>
  <c r="U5179"/>
  <c r="V5179"/>
  <c r="W5179"/>
  <c r="Y5179"/>
  <c r="AA5179"/>
  <c r="AB5179"/>
  <c r="AC5179"/>
  <c r="AD5179"/>
  <c r="P5180"/>
  <c r="T5180"/>
  <c r="U5180"/>
  <c r="V5180"/>
  <c r="W5180"/>
  <c r="Y5180"/>
  <c r="AA5180"/>
  <c r="AB5180"/>
  <c r="AC5180"/>
  <c r="AD5180"/>
  <c r="P5181"/>
  <c r="T5181"/>
  <c r="U5181"/>
  <c r="V5181"/>
  <c r="W5181"/>
  <c r="Y5181"/>
  <c r="AA5181"/>
  <c r="AB5181"/>
  <c r="AC5181"/>
  <c r="AD5181"/>
  <c r="P5182"/>
  <c r="T5182"/>
  <c r="U5182"/>
  <c r="V5182"/>
  <c r="W5182"/>
  <c r="Y5182"/>
  <c r="AA5182"/>
  <c r="AB5182"/>
  <c r="AC5182"/>
  <c r="AD5182"/>
  <c r="P5183"/>
  <c r="T5183"/>
  <c r="U5183"/>
  <c r="V5183"/>
  <c r="W5183"/>
  <c r="Y5183"/>
  <c r="AA5183"/>
  <c r="AB5183"/>
  <c r="AC5183"/>
  <c r="AD5183"/>
  <c r="P5184"/>
  <c r="T5184"/>
  <c r="U5184"/>
  <c r="V5184"/>
  <c r="W5184"/>
  <c r="Y5184"/>
  <c r="AA5184"/>
  <c r="AB5184"/>
  <c r="AC5184"/>
  <c r="AD5184"/>
  <c r="P5185"/>
  <c r="T5185"/>
  <c r="U5185"/>
  <c r="V5185"/>
  <c r="W5185"/>
  <c r="Y5185"/>
  <c r="AA5185"/>
  <c r="AB5185"/>
  <c r="AC5185"/>
  <c r="AD5185"/>
  <c r="P5186"/>
  <c r="T5186"/>
  <c r="U5186"/>
  <c r="V5186"/>
  <c r="W5186"/>
  <c r="Y5186"/>
  <c r="AA5186"/>
  <c r="AB5186"/>
  <c r="AC5186"/>
  <c r="AD5186"/>
  <c r="P5187"/>
  <c r="T5187"/>
  <c r="U5187"/>
  <c r="V5187"/>
  <c r="W5187"/>
  <c r="Y5187"/>
  <c r="AA5187"/>
  <c r="AB5187"/>
  <c r="AC5187"/>
  <c r="AD5187"/>
  <c r="P5188"/>
  <c r="T5188"/>
  <c r="U5188"/>
  <c r="V5188"/>
  <c r="W5188"/>
  <c r="Y5188"/>
  <c r="AA5188"/>
  <c r="AB5188"/>
  <c r="AC5188"/>
  <c r="AD5188"/>
  <c r="P5189"/>
  <c r="T5189"/>
  <c r="U5189"/>
  <c r="V5189"/>
  <c r="W5189"/>
  <c r="Y5189"/>
  <c r="AA5189"/>
  <c r="AB5189"/>
  <c r="AC5189"/>
  <c r="AD5189"/>
  <c r="P5190"/>
  <c r="T5190"/>
  <c r="U5190"/>
  <c r="V5190"/>
  <c r="W5190"/>
  <c r="Y5190"/>
  <c r="AA5190"/>
  <c r="AB5190"/>
  <c r="AC5190"/>
  <c r="AD5190"/>
  <c r="P5191"/>
  <c r="T5191"/>
  <c r="U5191"/>
  <c r="V5191"/>
  <c r="W5191"/>
  <c r="Y5191"/>
  <c r="AA5191"/>
  <c r="AB5191"/>
  <c r="AC5191"/>
  <c r="AD5191"/>
  <c r="P5192"/>
  <c r="T5192"/>
  <c r="U5192"/>
  <c r="V5192"/>
  <c r="W5192"/>
  <c r="Y5192"/>
  <c r="AA5192"/>
  <c r="AB5192"/>
  <c r="AC5192"/>
  <c r="AD5192"/>
  <c r="P5193"/>
  <c r="T5193"/>
  <c r="U5193"/>
  <c r="V5193"/>
  <c r="W5193"/>
  <c r="Y5193"/>
  <c r="AA5193"/>
  <c r="AB5193"/>
  <c r="AC5193"/>
  <c r="AD5193"/>
  <c r="P5194"/>
  <c r="T5194"/>
  <c r="U5194"/>
  <c r="V5194"/>
  <c r="W5194"/>
  <c r="Y5194"/>
  <c r="AA5194"/>
  <c r="AB5194"/>
  <c r="AC5194"/>
  <c r="AD5194"/>
  <c r="P5195"/>
  <c r="T5195"/>
  <c r="U5195"/>
  <c r="V5195"/>
  <c r="W5195"/>
  <c r="Y5195"/>
  <c r="AA5195"/>
  <c r="AB5195"/>
  <c r="AC5195"/>
  <c r="AD5195"/>
  <c r="P5196"/>
  <c r="T5196"/>
  <c r="U5196"/>
  <c r="V5196"/>
  <c r="W5196"/>
  <c r="Y5196"/>
  <c r="AA5196"/>
  <c r="AB5196"/>
  <c r="AC5196"/>
  <c r="AD5196"/>
  <c r="P5197"/>
  <c r="T5197"/>
  <c r="U5197"/>
  <c r="V5197"/>
  <c r="W5197"/>
  <c r="Y5197"/>
  <c r="AA5197"/>
  <c r="AB5197"/>
  <c r="AC5197"/>
  <c r="AD5197"/>
  <c r="P5198"/>
  <c r="T5198"/>
  <c r="U5198"/>
  <c r="V5198"/>
  <c r="W5198"/>
  <c r="Y5198"/>
  <c r="AA5198"/>
  <c r="AB5198"/>
  <c r="AC5198"/>
  <c r="AD5198"/>
  <c r="P5199"/>
  <c r="T5199"/>
  <c r="U5199"/>
  <c r="V5199"/>
  <c r="W5199"/>
  <c r="Y5199"/>
  <c r="AA5199"/>
  <c r="AB5199"/>
  <c r="AC5199"/>
  <c r="AD5199"/>
  <c r="P5200"/>
  <c r="T5200"/>
  <c r="U5200"/>
  <c r="V5200"/>
  <c r="W5200"/>
  <c r="Y5200"/>
  <c r="AA5200"/>
  <c r="AB5200"/>
  <c r="AC5200"/>
  <c r="AD5200"/>
  <c r="P5201"/>
  <c r="T5201"/>
  <c r="U5201"/>
  <c r="V5201"/>
  <c r="W5201"/>
  <c r="Y5201"/>
  <c r="AA5201"/>
  <c r="AB5201"/>
  <c r="AC5201"/>
  <c r="AD5201"/>
  <c r="P5202"/>
  <c r="T5202"/>
  <c r="U5202"/>
  <c r="V5202"/>
  <c r="W5202"/>
  <c r="Y5202"/>
  <c r="AA5202"/>
  <c r="AB5202"/>
  <c r="AC5202"/>
  <c r="AD5202"/>
  <c r="P5203"/>
  <c r="T5203"/>
  <c r="U5203"/>
  <c r="V5203"/>
  <c r="W5203"/>
  <c r="Y5203"/>
  <c r="AA5203"/>
  <c r="AB5203"/>
  <c r="AC5203"/>
  <c r="AD5203"/>
  <c r="P5204"/>
  <c r="T5204"/>
  <c r="U5204"/>
  <c r="V5204"/>
  <c r="W5204"/>
  <c r="Y5204"/>
  <c r="AA5204"/>
  <c r="AB5204"/>
  <c r="AC5204"/>
  <c r="AD5204"/>
  <c r="P5205"/>
  <c r="T5205"/>
  <c r="U5205"/>
  <c r="V5205"/>
  <c r="W5205"/>
  <c r="Y5205"/>
  <c r="AA5205"/>
  <c r="AB5205"/>
  <c r="AC5205"/>
  <c r="AD5205"/>
  <c r="P5206"/>
  <c r="T5206"/>
  <c r="U5206"/>
  <c r="V5206"/>
  <c r="W5206"/>
  <c r="Y5206"/>
  <c r="AA5206"/>
  <c r="AB5206"/>
  <c r="AC5206"/>
  <c r="AD5206"/>
  <c r="P5207"/>
  <c r="T5207"/>
  <c r="U5207"/>
  <c r="V5207"/>
  <c r="W5207"/>
  <c r="Y5207"/>
  <c r="AA5207"/>
  <c r="AB5207"/>
  <c r="AC5207"/>
  <c r="AD5207"/>
  <c r="P5208"/>
  <c r="T5208"/>
  <c r="U5208"/>
  <c r="V5208"/>
  <c r="W5208"/>
  <c r="Y5208"/>
  <c r="AA5208"/>
  <c r="AB5208"/>
  <c r="AC5208"/>
  <c r="AD5208"/>
  <c r="P5209"/>
  <c r="T5209"/>
  <c r="U5209"/>
  <c r="V5209"/>
  <c r="W5209"/>
  <c r="Y5209"/>
  <c r="AA5209"/>
  <c r="AB5209"/>
  <c r="AC5209"/>
  <c r="AD5209"/>
  <c r="P5210"/>
  <c r="T5210"/>
  <c r="U5210"/>
  <c r="V5210"/>
  <c r="W5210"/>
  <c r="Y5210"/>
  <c r="AA5210"/>
  <c r="AB5210"/>
  <c r="AC5210"/>
  <c r="AD5210"/>
  <c r="P5211"/>
  <c r="T5211"/>
  <c r="U5211"/>
  <c r="V5211"/>
  <c r="W5211"/>
  <c r="Y5211"/>
  <c r="AA5211"/>
  <c r="AB5211"/>
  <c r="AC5211"/>
  <c r="AD5211"/>
  <c r="P5212"/>
  <c r="T5212"/>
  <c r="U5212"/>
  <c r="V5212"/>
  <c r="W5212"/>
  <c r="Y5212"/>
  <c r="AA5212"/>
  <c r="AB5212"/>
  <c r="AC5212"/>
  <c r="AD5212"/>
  <c r="P5213"/>
  <c r="T5213"/>
  <c r="U5213"/>
  <c r="V5213"/>
  <c r="W5213"/>
  <c r="Y5213"/>
  <c r="AA5213"/>
  <c r="AB5213"/>
  <c r="AC5213"/>
  <c r="AD5213"/>
  <c r="P5214"/>
  <c r="T5214"/>
  <c r="U5214"/>
  <c r="V5214"/>
  <c r="W5214"/>
  <c r="Y5214"/>
  <c r="AA5214"/>
  <c r="AB5214"/>
  <c r="AC5214"/>
  <c r="AD5214"/>
  <c r="P5215"/>
  <c r="T5215"/>
  <c r="U5215"/>
  <c r="V5215"/>
  <c r="W5215"/>
  <c r="Y5215"/>
  <c r="AA5215"/>
  <c r="AB5215"/>
  <c r="AC5215"/>
  <c r="AD5215"/>
  <c r="P5216"/>
  <c r="T5216"/>
  <c r="U5216"/>
  <c r="V5216"/>
  <c r="W5216"/>
  <c r="Y5216"/>
  <c r="AA5216"/>
  <c r="AB5216"/>
  <c r="AC5216"/>
  <c r="AD5216"/>
  <c r="P5217"/>
  <c r="T5217"/>
  <c r="U5217"/>
  <c r="V5217"/>
  <c r="W5217"/>
  <c r="Y5217"/>
  <c r="AA5217"/>
  <c r="AB5217"/>
  <c r="AC5217"/>
  <c r="AD5217"/>
  <c r="P5218"/>
  <c r="T5218"/>
  <c r="U5218"/>
  <c r="V5218"/>
  <c r="W5218"/>
  <c r="Y5218"/>
  <c r="AA5218"/>
  <c r="AB5218"/>
  <c r="AC5218"/>
  <c r="AD5218"/>
  <c r="P5219"/>
  <c r="T5219"/>
  <c r="U5219"/>
  <c r="V5219"/>
  <c r="W5219"/>
  <c r="Y5219"/>
  <c r="AA5219"/>
  <c r="AB5219"/>
  <c r="AC5219"/>
  <c r="AD5219"/>
  <c r="P5220"/>
  <c r="T5220"/>
  <c r="U5220"/>
  <c r="V5220"/>
  <c r="W5220"/>
  <c r="Y5220"/>
  <c r="AA5220"/>
  <c r="AB5220"/>
  <c r="AC5220"/>
  <c r="AD5220"/>
  <c r="P5221"/>
  <c r="T5221"/>
  <c r="U5221"/>
  <c r="V5221"/>
  <c r="W5221"/>
  <c r="Y5221"/>
  <c r="AA5221"/>
  <c r="AB5221"/>
  <c r="AC5221"/>
  <c r="AD5221"/>
  <c r="P5222"/>
  <c r="T5222"/>
  <c r="U5222"/>
  <c r="V5222"/>
  <c r="W5222"/>
  <c r="Y5222"/>
  <c r="AA5222"/>
  <c r="AB5222"/>
  <c r="AC5222"/>
  <c r="AD5222"/>
  <c r="P5223"/>
  <c r="T5223"/>
  <c r="U5223"/>
  <c r="V5223"/>
  <c r="W5223"/>
  <c r="Y5223"/>
  <c r="AA5223"/>
  <c r="AB5223"/>
  <c r="AC5223"/>
  <c r="AD5223"/>
  <c r="P5224"/>
  <c r="T5224"/>
  <c r="U5224"/>
  <c r="V5224"/>
  <c r="W5224"/>
  <c r="Y5224"/>
  <c r="AA5224"/>
  <c r="AB5224"/>
  <c r="AC5224"/>
  <c r="AD5224"/>
  <c r="P5225"/>
  <c r="T5225"/>
  <c r="U5225"/>
  <c r="V5225"/>
  <c r="W5225"/>
  <c r="Y5225"/>
  <c r="AA5225"/>
  <c r="AB5225"/>
  <c r="AC5225"/>
  <c r="AD5225"/>
  <c r="P5226"/>
  <c r="T5226"/>
  <c r="U5226"/>
  <c r="V5226"/>
  <c r="W5226"/>
  <c r="Y5226"/>
  <c r="AA5226"/>
  <c r="AB5226"/>
  <c r="AC5226"/>
  <c r="AD5226"/>
  <c r="P5227"/>
  <c r="T5227"/>
  <c r="U5227"/>
  <c r="V5227"/>
  <c r="W5227"/>
  <c r="Y5227"/>
  <c r="AA5227"/>
  <c r="AB5227"/>
  <c r="AC5227"/>
  <c r="AD5227"/>
  <c r="P5228"/>
  <c r="T5228"/>
  <c r="U5228"/>
  <c r="V5228"/>
  <c r="W5228"/>
  <c r="Y5228"/>
  <c r="AA5228"/>
  <c r="AB5228"/>
  <c r="AC5228"/>
  <c r="AD5228"/>
  <c r="P5229"/>
  <c r="T5229"/>
  <c r="U5229"/>
  <c r="V5229"/>
  <c r="W5229"/>
  <c r="Y5229"/>
  <c r="AA5229"/>
  <c r="AB5229"/>
  <c r="AC5229"/>
  <c r="AD5229"/>
  <c r="P5230"/>
  <c r="T5230"/>
  <c r="U5230"/>
  <c r="V5230"/>
  <c r="W5230"/>
  <c r="Y5230"/>
  <c r="AA5230"/>
  <c r="AB5230"/>
  <c r="AC5230"/>
  <c r="AD5230"/>
  <c r="P5231"/>
  <c r="T5231"/>
  <c r="U5231"/>
  <c r="V5231"/>
  <c r="W5231"/>
  <c r="Y5231"/>
  <c r="AA5231"/>
  <c r="AB5231"/>
  <c r="AC5231"/>
  <c r="AD5231"/>
  <c r="P5232"/>
  <c r="T5232"/>
  <c r="U5232"/>
  <c r="V5232"/>
  <c r="W5232"/>
  <c r="Y5232"/>
  <c r="AA5232"/>
  <c r="AB5232"/>
  <c r="AC5232"/>
  <c r="AD5232"/>
  <c r="P5233"/>
  <c r="T5233"/>
  <c r="U5233"/>
  <c r="V5233"/>
  <c r="W5233"/>
  <c r="Y5233"/>
  <c r="AA5233"/>
  <c r="AB5233"/>
  <c r="AC5233"/>
  <c r="AD5233"/>
  <c r="P5234"/>
  <c r="T5234"/>
  <c r="U5234"/>
  <c r="V5234"/>
  <c r="W5234"/>
  <c r="Y5234"/>
  <c r="AA5234"/>
  <c r="AB5234"/>
  <c r="AC5234"/>
  <c r="AD5234"/>
  <c r="P5235"/>
  <c r="T5235"/>
  <c r="U5235"/>
  <c r="V5235"/>
  <c r="W5235"/>
  <c r="Y5235"/>
  <c r="AA5235"/>
  <c r="AB5235"/>
  <c r="AC5235"/>
  <c r="AD5235"/>
  <c r="P5236"/>
  <c r="T5236"/>
  <c r="U5236"/>
  <c r="V5236"/>
  <c r="W5236"/>
  <c r="Y5236"/>
  <c r="AA5236"/>
  <c r="AB5236"/>
  <c r="AC5236"/>
  <c r="AD5236"/>
  <c r="P5237"/>
  <c r="T5237"/>
  <c r="U5237"/>
  <c r="V5237"/>
  <c r="W5237"/>
  <c r="Y5237"/>
  <c r="AA5237"/>
  <c r="AB5237"/>
  <c r="AC5237"/>
  <c r="AD5237"/>
  <c r="P5238"/>
  <c r="T5238"/>
  <c r="U5238"/>
  <c r="V5238"/>
  <c r="W5238"/>
  <c r="Y5238"/>
  <c r="AA5238"/>
  <c r="AB5238"/>
  <c r="AC5238"/>
  <c r="AD5238"/>
  <c r="P5239"/>
  <c r="T5239"/>
  <c r="U5239"/>
  <c r="V5239"/>
  <c r="W5239"/>
  <c r="Y5239"/>
  <c r="AA5239"/>
  <c r="AB5239"/>
  <c r="AC5239"/>
  <c r="AD5239"/>
  <c r="P5240"/>
  <c r="T5240"/>
  <c r="U5240"/>
  <c r="V5240"/>
  <c r="W5240"/>
  <c r="Y5240"/>
  <c r="AA5240"/>
  <c r="AB5240"/>
  <c r="AC5240"/>
  <c r="AD5240"/>
  <c r="P5241"/>
  <c r="T5241"/>
  <c r="U5241"/>
  <c r="V5241"/>
  <c r="W5241"/>
  <c r="Y5241"/>
  <c r="AA5241"/>
  <c r="AB5241"/>
  <c r="AC5241"/>
  <c r="AD5241"/>
  <c r="P5242"/>
  <c r="T5242"/>
  <c r="U5242"/>
  <c r="V5242"/>
  <c r="W5242"/>
  <c r="Y5242"/>
  <c r="AA5242"/>
  <c r="AB5242"/>
  <c r="AC5242"/>
  <c r="AD5242"/>
  <c r="P5243"/>
  <c r="T5243"/>
  <c r="U5243"/>
  <c r="V5243"/>
  <c r="W5243"/>
  <c r="Y5243"/>
  <c r="AA5243"/>
  <c r="AB5243"/>
  <c r="AC5243"/>
  <c r="AD5243"/>
  <c r="P5244"/>
  <c r="T5244"/>
  <c r="U5244"/>
  <c r="V5244"/>
  <c r="W5244"/>
  <c r="Y5244"/>
  <c r="AA5244"/>
  <c r="AB5244"/>
  <c r="AC5244"/>
  <c r="AD5244"/>
  <c r="P5245"/>
  <c r="T5245"/>
  <c r="U5245"/>
  <c r="V5245"/>
  <c r="W5245"/>
  <c r="Y5245"/>
  <c r="AA5245"/>
  <c r="AB5245"/>
  <c r="AC5245"/>
  <c r="AD5245"/>
  <c r="P5246"/>
  <c r="T5246"/>
  <c r="U5246"/>
  <c r="V5246"/>
  <c r="W5246"/>
  <c r="Y5246"/>
  <c r="AA5246"/>
  <c r="AB5246"/>
  <c r="AC5246"/>
  <c r="AD5246"/>
  <c r="P5247"/>
  <c r="T5247"/>
  <c r="U5247"/>
  <c r="V5247"/>
  <c r="W5247"/>
  <c r="Y5247"/>
  <c r="AA5247"/>
  <c r="AB5247"/>
  <c r="AC5247"/>
  <c r="AD5247"/>
  <c r="P5248"/>
  <c r="T5248"/>
  <c r="U5248"/>
  <c r="V5248"/>
  <c r="W5248"/>
  <c r="Y5248"/>
  <c r="AA5248"/>
  <c r="AB5248"/>
  <c r="AC5248"/>
  <c r="AD5248"/>
  <c r="P5249"/>
  <c r="T5249"/>
  <c r="U5249"/>
  <c r="V5249"/>
  <c r="W5249"/>
  <c r="Y5249"/>
  <c r="AA5249"/>
  <c r="AB5249"/>
  <c r="AC5249"/>
  <c r="AD5249"/>
  <c r="P5250"/>
  <c r="T5250"/>
  <c r="U5250"/>
  <c r="V5250"/>
  <c r="W5250"/>
  <c r="Y5250"/>
  <c r="AA5250"/>
  <c r="AB5250"/>
  <c r="AC5250"/>
  <c r="AD5250"/>
  <c r="P5251"/>
  <c r="T5251"/>
  <c r="U5251"/>
  <c r="V5251"/>
  <c r="W5251"/>
  <c r="Y5251"/>
  <c r="AA5251"/>
  <c r="AB5251"/>
  <c r="AC5251"/>
  <c r="AD5251"/>
  <c r="P5252"/>
  <c r="T5252"/>
  <c r="U5252"/>
  <c r="V5252"/>
  <c r="W5252"/>
  <c r="Y5252"/>
  <c r="AA5252"/>
  <c r="AB5252"/>
  <c r="AC5252"/>
  <c r="AD5252"/>
  <c r="P5253"/>
  <c r="T5253"/>
  <c r="U5253"/>
  <c r="V5253"/>
  <c r="W5253"/>
  <c r="Y5253"/>
  <c r="AA5253"/>
  <c r="AB5253"/>
  <c r="AC5253"/>
  <c r="AD5253"/>
  <c r="P5254"/>
  <c r="T5254"/>
  <c r="U5254"/>
  <c r="V5254"/>
  <c r="W5254"/>
  <c r="Y5254"/>
  <c r="AA5254"/>
  <c r="AB5254"/>
  <c r="AC5254"/>
  <c r="AD5254"/>
  <c r="P5255"/>
  <c r="T5255"/>
  <c r="U5255"/>
  <c r="V5255"/>
  <c r="W5255"/>
  <c r="Y5255"/>
  <c r="AA5255"/>
  <c r="AB5255"/>
  <c r="AC5255"/>
  <c r="AD5255"/>
  <c r="P5256"/>
  <c r="T5256"/>
  <c r="U5256"/>
  <c r="V5256"/>
  <c r="W5256"/>
  <c r="Y5256"/>
  <c r="AA5256"/>
  <c r="AB5256"/>
  <c r="AC5256"/>
  <c r="AD5256"/>
  <c r="P5257"/>
  <c r="T5257"/>
  <c r="U5257"/>
  <c r="V5257"/>
  <c r="W5257"/>
  <c r="Y5257"/>
  <c r="AA5257"/>
  <c r="AB5257"/>
  <c r="AC5257"/>
  <c r="AD5257"/>
  <c r="P5258"/>
  <c r="T5258"/>
  <c r="U5258"/>
  <c r="V5258"/>
  <c r="W5258"/>
  <c r="Y5258"/>
  <c r="AA5258"/>
  <c r="AB5258"/>
  <c r="AC5258"/>
  <c r="AD5258"/>
  <c r="P5259"/>
  <c r="T5259"/>
  <c r="U5259"/>
  <c r="V5259"/>
  <c r="W5259"/>
  <c r="Y5259"/>
  <c r="AA5259"/>
  <c r="AB5259"/>
  <c r="AC5259"/>
  <c r="AD5259"/>
  <c r="P5260"/>
  <c r="T5260"/>
  <c r="U5260"/>
  <c r="V5260"/>
  <c r="W5260"/>
  <c r="Y5260"/>
  <c r="AA5260"/>
  <c r="AB5260"/>
  <c r="AC5260"/>
  <c r="AD5260"/>
  <c r="P5261"/>
  <c r="T5261"/>
  <c r="U5261"/>
  <c r="V5261"/>
  <c r="W5261"/>
  <c r="Y5261"/>
  <c r="AA5261"/>
  <c r="AB5261"/>
  <c r="AC5261"/>
  <c r="AD5261"/>
  <c r="P5262"/>
  <c r="T5262"/>
  <c r="U5262"/>
  <c r="V5262"/>
  <c r="W5262"/>
  <c r="Y5262"/>
  <c r="AA5262"/>
  <c r="AB5262"/>
  <c r="AC5262"/>
  <c r="AD5262"/>
  <c r="P5263"/>
  <c r="T5263"/>
  <c r="U5263"/>
  <c r="V5263"/>
  <c r="W5263"/>
  <c r="Y5263"/>
  <c r="AA5263"/>
  <c r="AB5263"/>
  <c r="AC5263"/>
  <c r="AD5263"/>
  <c r="P5264"/>
  <c r="T5264"/>
  <c r="U5264"/>
  <c r="V5264"/>
  <c r="W5264"/>
  <c r="Y5264"/>
  <c r="AA5264"/>
  <c r="AB5264"/>
  <c r="AC5264"/>
  <c r="AD5264"/>
  <c r="P5265"/>
  <c r="T5265"/>
  <c r="U5265"/>
  <c r="V5265"/>
  <c r="W5265"/>
  <c r="Y5265"/>
  <c r="AA5265"/>
  <c r="AB5265"/>
  <c r="AC5265"/>
  <c r="AD5265"/>
  <c r="P5266"/>
  <c r="T5266"/>
  <c r="U5266"/>
  <c r="V5266"/>
  <c r="W5266"/>
  <c r="Y5266"/>
  <c r="AA5266"/>
  <c r="AB5266"/>
  <c r="AC5266"/>
  <c r="AD5266"/>
  <c r="P5267"/>
  <c r="T5267"/>
  <c r="U5267"/>
  <c r="V5267"/>
  <c r="W5267"/>
  <c r="Y5267"/>
  <c r="AA5267"/>
  <c r="AB5267"/>
  <c r="AC5267"/>
  <c r="AD5267"/>
  <c r="P5268"/>
  <c r="T5268"/>
  <c r="U5268"/>
  <c r="V5268"/>
  <c r="W5268"/>
  <c r="Y5268"/>
  <c r="AA5268"/>
  <c r="AB5268"/>
  <c r="AC5268"/>
  <c r="AD5268"/>
  <c r="P5269"/>
  <c r="T5269"/>
  <c r="U5269"/>
  <c r="V5269"/>
  <c r="W5269"/>
  <c r="Y5269"/>
  <c r="AA5269"/>
  <c r="AB5269"/>
  <c r="AC5269"/>
  <c r="AD5269"/>
  <c r="P5270"/>
  <c r="T5270"/>
  <c r="U5270"/>
  <c r="V5270"/>
  <c r="W5270"/>
  <c r="Y5270"/>
  <c r="AA5270"/>
  <c r="AB5270"/>
  <c r="AC5270"/>
  <c r="AD5270"/>
  <c r="P5271"/>
  <c r="T5271"/>
  <c r="U5271"/>
  <c r="V5271"/>
  <c r="W5271"/>
  <c r="Y5271"/>
  <c r="AA5271"/>
  <c r="AB5271"/>
  <c r="AC5271"/>
  <c r="AD5271"/>
  <c r="P5272"/>
  <c r="T5272"/>
  <c r="U5272"/>
  <c r="V5272"/>
  <c r="W5272"/>
  <c r="Y5272"/>
  <c r="AA5272"/>
  <c r="AB5272"/>
  <c r="AC5272"/>
  <c r="AD5272"/>
  <c r="P5273"/>
  <c r="T5273"/>
  <c r="U5273"/>
  <c r="V5273"/>
  <c r="W5273"/>
  <c r="Y5273"/>
  <c r="AA5273"/>
  <c r="AB5273"/>
  <c r="AC5273"/>
  <c r="AD5273"/>
  <c r="P5274"/>
  <c r="T5274"/>
  <c r="U5274"/>
  <c r="V5274"/>
  <c r="W5274"/>
  <c r="Y5274"/>
  <c r="AA5274"/>
  <c r="AB5274"/>
  <c r="AC5274"/>
  <c r="AD5274"/>
  <c r="P5275"/>
  <c r="T5275"/>
  <c r="U5275"/>
  <c r="V5275"/>
  <c r="W5275"/>
  <c r="Y5275"/>
  <c r="AA5275"/>
  <c r="AB5275"/>
  <c r="AC5275"/>
  <c r="AD5275"/>
  <c r="P5276"/>
  <c r="T5276"/>
  <c r="U5276"/>
  <c r="V5276"/>
  <c r="W5276"/>
  <c r="Y5276"/>
  <c r="AA5276"/>
  <c r="AB5276"/>
  <c r="AC5276"/>
  <c r="AD5276"/>
  <c r="P5277"/>
  <c r="T5277"/>
  <c r="U5277"/>
  <c r="V5277"/>
  <c r="W5277"/>
  <c r="Y5277"/>
  <c r="AA5277"/>
  <c r="AB5277"/>
  <c r="AC5277"/>
  <c r="AD5277"/>
  <c r="P5278"/>
  <c r="T5278"/>
  <c r="U5278"/>
  <c r="V5278"/>
  <c r="W5278"/>
  <c r="Y5278"/>
  <c r="AA5278"/>
  <c r="AB5278"/>
  <c r="AC5278"/>
  <c r="AD5278"/>
  <c r="P5279"/>
  <c r="T5279"/>
  <c r="U5279"/>
  <c r="V5279"/>
  <c r="W5279"/>
  <c r="Y5279"/>
  <c r="AA5279"/>
  <c r="AB5279"/>
  <c r="AC5279"/>
  <c r="AD5279"/>
  <c r="P5280"/>
  <c r="T5280"/>
  <c r="U5280"/>
  <c r="V5280"/>
  <c r="W5280"/>
  <c r="Y5280"/>
  <c r="AA5280"/>
  <c r="AB5280"/>
  <c r="AC5280"/>
  <c r="AD5280"/>
  <c r="P5281"/>
  <c r="T5281"/>
  <c r="U5281"/>
  <c r="V5281"/>
  <c r="W5281"/>
  <c r="Y5281"/>
  <c r="AA5281"/>
  <c r="AB5281"/>
  <c r="AC5281"/>
  <c r="AD5281"/>
  <c r="P5282"/>
  <c r="T5282"/>
  <c r="U5282"/>
  <c r="V5282"/>
  <c r="W5282"/>
  <c r="Y5282"/>
  <c r="AA5282"/>
  <c r="AB5282"/>
  <c r="AC5282"/>
  <c r="AD5282"/>
  <c r="P5283"/>
  <c r="T5283"/>
  <c r="U5283"/>
  <c r="V5283"/>
  <c r="W5283"/>
  <c r="Y5283"/>
  <c r="AA5283"/>
  <c r="AB5283"/>
  <c r="AC5283"/>
  <c r="AD5283"/>
  <c r="P5284"/>
  <c r="T5284"/>
  <c r="U5284"/>
  <c r="V5284"/>
  <c r="W5284"/>
  <c r="Y5284"/>
  <c r="AA5284"/>
  <c r="AB5284"/>
  <c r="AC5284"/>
  <c r="AD5284"/>
  <c r="P5285"/>
  <c r="T5285"/>
  <c r="U5285"/>
  <c r="V5285"/>
  <c r="W5285"/>
  <c r="Y5285"/>
  <c r="AA5285"/>
  <c r="AB5285"/>
  <c r="AC5285"/>
  <c r="AD5285"/>
  <c r="P5286"/>
  <c r="T5286"/>
  <c r="U5286"/>
  <c r="V5286"/>
  <c r="W5286"/>
  <c r="Y5286"/>
  <c r="AA5286"/>
  <c r="AB5286"/>
  <c r="AC5286"/>
  <c r="AD5286"/>
  <c r="P5287"/>
  <c r="T5287"/>
  <c r="U5287"/>
  <c r="V5287"/>
  <c r="W5287"/>
  <c r="Y5287"/>
  <c r="AA5287"/>
  <c r="AB5287"/>
  <c r="AC5287"/>
  <c r="AD5287"/>
  <c r="P5288"/>
  <c r="T5288"/>
  <c r="U5288"/>
  <c r="V5288"/>
  <c r="W5288"/>
  <c r="Y5288"/>
  <c r="AA5288"/>
  <c r="AB5288"/>
  <c r="AC5288"/>
  <c r="AD5288"/>
  <c r="P5289"/>
  <c r="T5289"/>
  <c r="U5289"/>
  <c r="V5289"/>
  <c r="W5289"/>
  <c r="Y5289"/>
  <c r="AA5289"/>
  <c r="AB5289"/>
  <c r="AC5289"/>
  <c r="AD5289"/>
  <c r="P5290"/>
  <c r="T5290"/>
  <c r="U5290"/>
  <c r="V5290"/>
  <c r="W5290"/>
  <c r="Y5290"/>
  <c r="AA5290"/>
  <c r="AB5290"/>
  <c r="AC5290"/>
  <c r="AD5290"/>
  <c r="P5291"/>
  <c r="T5291"/>
  <c r="U5291"/>
  <c r="V5291"/>
  <c r="W5291"/>
  <c r="Y5291"/>
  <c r="AA5291"/>
  <c r="AB5291"/>
  <c r="AC5291"/>
  <c r="AD5291"/>
  <c r="P5292"/>
  <c r="T5292"/>
  <c r="U5292"/>
  <c r="V5292"/>
  <c r="W5292"/>
  <c r="Y5292"/>
  <c r="AA5292"/>
  <c r="AB5292"/>
  <c r="AC5292"/>
  <c r="AD5292"/>
  <c r="P5293"/>
  <c r="T5293"/>
  <c r="U5293"/>
  <c r="V5293"/>
  <c r="W5293"/>
  <c r="Y5293"/>
  <c r="AA5293"/>
  <c r="AB5293"/>
  <c r="AC5293"/>
  <c r="AD5293"/>
  <c r="P5294"/>
  <c r="T5294"/>
  <c r="U5294"/>
  <c r="V5294"/>
  <c r="W5294"/>
  <c r="Y5294"/>
  <c r="AA5294"/>
  <c r="AB5294"/>
  <c r="AC5294"/>
  <c r="AD5294"/>
  <c r="P5295"/>
  <c r="T5295"/>
  <c r="U5295"/>
  <c r="V5295"/>
  <c r="W5295"/>
  <c r="Y5295"/>
  <c r="AA5295"/>
  <c r="AB5295"/>
  <c r="AC5295"/>
  <c r="AD5295"/>
  <c r="P5296"/>
  <c r="T5296"/>
  <c r="U5296"/>
  <c r="V5296"/>
  <c r="W5296"/>
  <c r="Y5296"/>
  <c r="AA5296"/>
  <c r="AB5296"/>
  <c r="AC5296"/>
  <c r="AD5296"/>
  <c r="P5297"/>
  <c r="T5297"/>
  <c r="U5297"/>
  <c r="V5297"/>
  <c r="W5297"/>
  <c r="Y5297"/>
  <c r="AA5297"/>
  <c r="AB5297"/>
  <c r="AC5297"/>
  <c r="AD5297"/>
  <c r="P5298"/>
  <c r="T5298"/>
  <c r="U5298"/>
  <c r="V5298"/>
  <c r="W5298"/>
  <c r="Y5298"/>
  <c r="AA5298"/>
  <c r="AB5298"/>
  <c r="AC5298"/>
  <c r="AD5298"/>
  <c r="P5299"/>
  <c r="T5299"/>
  <c r="U5299"/>
  <c r="V5299"/>
  <c r="W5299"/>
  <c r="Y5299"/>
  <c r="AA5299"/>
  <c r="AB5299"/>
  <c r="AC5299"/>
  <c r="AD5299"/>
  <c r="P5300"/>
  <c r="T5300"/>
  <c r="U5300"/>
  <c r="V5300"/>
  <c r="W5300"/>
  <c r="Y5300"/>
  <c r="AA5300"/>
  <c r="AB5300"/>
  <c r="AC5300"/>
  <c r="AD5300"/>
  <c r="P5301"/>
  <c r="T5301"/>
  <c r="U5301"/>
  <c r="V5301"/>
  <c r="W5301"/>
  <c r="Y5301"/>
  <c r="AA5301"/>
  <c r="AB5301"/>
  <c r="AC5301"/>
  <c r="AD5301"/>
  <c r="P5302"/>
  <c r="T5302"/>
  <c r="U5302"/>
  <c r="V5302"/>
  <c r="W5302"/>
  <c r="Y5302"/>
  <c r="AA5302"/>
  <c r="AB5302"/>
  <c r="AC5302"/>
  <c r="AD5302"/>
  <c r="P5303"/>
  <c r="T5303"/>
  <c r="U5303"/>
  <c r="V5303"/>
  <c r="W5303"/>
  <c r="Y5303"/>
  <c r="AA5303"/>
  <c r="AB5303"/>
  <c r="AC5303"/>
  <c r="AD5303"/>
  <c r="P5304"/>
  <c r="T5304"/>
  <c r="U5304"/>
  <c r="V5304"/>
  <c r="W5304"/>
  <c r="Y5304"/>
  <c r="AA5304"/>
  <c r="AB5304"/>
  <c r="AC5304"/>
  <c r="AD5304"/>
  <c r="P5305"/>
  <c r="T5305"/>
  <c r="U5305"/>
  <c r="V5305"/>
  <c r="W5305"/>
  <c r="Y5305"/>
  <c r="AA5305"/>
  <c r="AB5305"/>
  <c r="AC5305"/>
  <c r="AD5305"/>
  <c r="P5306"/>
  <c r="T5306"/>
  <c r="U5306"/>
  <c r="V5306"/>
  <c r="W5306"/>
  <c r="Y5306"/>
  <c r="AA5306"/>
  <c r="AB5306"/>
  <c r="AC5306"/>
  <c r="AD5306"/>
  <c r="P5307"/>
  <c r="T5307"/>
  <c r="U5307"/>
  <c r="V5307"/>
  <c r="W5307"/>
  <c r="Y5307"/>
  <c r="AA5307"/>
  <c r="AB5307"/>
  <c r="AC5307"/>
  <c r="AD5307"/>
  <c r="P5308"/>
  <c r="T5308"/>
  <c r="U5308"/>
  <c r="V5308"/>
  <c r="W5308"/>
  <c r="Y5308"/>
  <c r="AA5308"/>
  <c r="AB5308"/>
  <c r="AC5308"/>
  <c r="AD5308"/>
  <c r="P5309"/>
  <c r="T5309"/>
  <c r="U5309"/>
  <c r="V5309"/>
  <c r="W5309"/>
  <c r="Y5309"/>
  <c r="AA5309"/>
  <c r="AB5309"/>
  <c r="AC5309"/>
  <c r="AD5309"/>
  <c r="P5310"/>
  <c r="T5310"/>
  <c r="U5310"/>
  <c r="V5310"/>
  <c r="W5310"/>
  <c r="Y5310"/>
  <c r="AA5310"/>
  <c r="AB5310"/>
  <c r="AC5310"/>
  <c r="AD5310"/>
  <c r="P5311"/>
  <c r="T5311"/>
  <c r="U5311"/>
  <c r="V5311"/>
  <c r="W5311"/>
  <c r="Y5311"/>
  <c r="AA5311"/>
  <c r="AB5311"/>
  <c r="AC5311"/>
  <c r="AD5311"/>
  <c r="P5312"/>
  <c r="T5312"/>
  <c r="U5312"/>
  <c r="V5312"/>
  <c r="W5312"/>
  <c r="Y5312"/>
  <c r="AA5312"/>
  <c r="AB5312"/>
  <c r="AC5312"/>
  <c r="AD5312"/>
  <c r="P5313"/>
  <c r="T5313"/>
  <c r="U5313"/>
  <c r="V5313"/>
  <c r="W5313"/>
  <c r="Y5313"/>
  <c r="AA5313"/>
  <c r="AB5313"/>
  <c r="AC5313"/>
  <c r="AD5313"/>
  <c r="P5314"/>
  <c r="T5314"/>
  <c r="U5314"/>
  <c r="V5314"/>
  <c r="W5314"/>
  <c r="Y5314"/>
  <c r="AA5314"/>
  <c r="AB5314"/>
  <c r="AC5314"/>
  <c r="AD5314"/>
  <c r="P5315"/>
  <c r="T5315"/>
  <c r="U5315"/>
  <c r="V5315"/>
  <c r="W5315"/>
  <c r="Y5315"/>
  <c r="AA5315"/>
  <c r="AB5315"/>
  <c r="AC5315"/>
  <c r="AD5315"/>
  <c r="P5316"/>
  <c r="T5316"/>
  <c r="U5316"/>
  <c r="V5316"/>
  <c r="W5316"/>
  <c r="Y5316"/>
  <c r="AA5316"/>
  <c r="AB5316"/>
  <c r="AC5316"/>
  <c r="AD5316"/>
  <c r="P5317"/>
  <c r="T5317"/>
  <c r="U5317"/>
  <c r="V5317"/>
  <c r="W5317"/>
  <c r="Y5317"/>
  <c r="AA5317"/>
  <c r="AB5317"/>
  <c r="AC5317"/>
  <c r="AD5317"/>
  <c r="P5318"/>
  <c r="T5318"/>
  <c r="U5318"/>
  <c r="V5318"/>
  <c r="W5318"/>
  <c r="Y5318"/>
  <c r="AA5318"/>
  <c r="AB5318"/>
  <c r="AC5318"/>
  <c r="AD5318"/>
  <c r="P5319"/>
  <c r="T5319"/>
  <c r="U5319"/>
  <c r="V5319"/>
  <c r="W5319"/>
  <c r="Y5319"/>
  <c r="AA5319"/>
  <c r="AB5319"/>
  <c r="AC5319"/>
  <c r="AD5319"/>
  <c r="P5320"/>
  <c r="T5320"/>
  <c r="U5320"/>
  <c r="V5320"/>
  <c r="W5320"/>
  <c r="Y5320"/>
  <c r="AA5320"/>
  <c r="AB5320"/>
  <c r="AC5320"/>
  <c r="AD5320"/>
  <c r="P5321"/>
  <c r="T5321"/>
  <c r="U5321"/>
  <c r="V5321"/>
  <c r="W5321"/>
  <c r="Y5321"/>
  <c r="AA5321"/>
  <c r="AB5321"/>
  <c r="AC5321"/>
  <c r="AD5321"/>
  <c r="P5322"/>
  <c r="T5322"/>
  <c r="U5322"/>
  <c r="V5322"/>
  <c r="W5322"/>
  <c r="Y5322"/>
  <c r="AA5322"/>
  <c r="AB5322"/>
  <c r="AC5322"/>
  <c r="AD5322"/>
  <c r="P5323"/>
  <c r="T5323"/>
  <c r="U5323"/>
  <c r="V5323"/>
  <c r="W5323"/>
  <c r="Y5323"/>
  <c r="AA5323"/>
  <c r="AB5323"/>
  <c r="AC5323"/>
  <c r="AD5323"/>
  <c r="P5324"/>
  <c r="T5324"/>
  <c r="U5324"/>
  <c r="V5324"/>
  <c r="W5324"/>
  <c r="Y5324"/>
  <c r="AA5324"/>
  <c r="AB5324"/>
  <c r="AC5324"/>
  <c r="AD5324"/>
  <c r="P5325"/>
  <c r="T5325"/>
  <c r="U5325"/>
  <c r="V5325"/>
  <c r="W5325"/>
  <c r="Y5325"/>
  <c r="AA5325"/>
  <c r="AB5325"/>
  <c r="AC5325"/>
  <c r="AD5325"/>
  <c r="P5326"/>
  <c r="T5326"/>
  <c r="U5326"/>
  <c r="V5326"/>
  <c r="W5326"/>
  <c r="Y5326"/>
  <c r="AA5326"/>
  <c r="AB5326"/>
  <c r="AC5326"/>
  <c r="AD5326"/>
  <c r="P5327"/>
  <c r="T5327"/>
  <c r="U5327"/>
  <c r="V5327"/>
  <c r="W5327"/>
  <c r="Y5327"/>
  <c r="AA5327"/>
  <c r="AB5327"/>
  <c r="AC5327"/>
  <c r="AD5327"/>
  <c r="P5328"/>
  <c r="T5328"/>
  <c r="U5328"/>
  <c r="V5328"/>
  <c r="W5328"/>
  <c r="Y5328"/>
  <c r="AA5328"/>
  <c r="AB5328"/>
  <c r="AC5328"/>
  <c r="AD5328"/>
  <c r="P5329"/>
  <c r="T5329"/>
  <c r="U5329"/>
  <c r="V5329"/>
  <c r="W5329"/>
  <c r="Y5329"/>
  <c r="AA5329"/>
  <c r="AB5329"/>
  <c r="AC5329"/>
  <c r="AD5329"/>
  <c r="P5330"/>
  <c r="T5330"/>
  <c r="U5330"/>
  <c r="V5330"/>
  <c r="W5330"/>
  <c r="Y5330"/>
  <c r="AA5330"/>
  <c r="AB5330"/>
  <c r="AC5330"/>
  <c r="AD5330"/>
  <c r="P5331"/>
  <c r="T5331"/>
  <c r="U5331"/>
  <c r="V5331"/>
  <c r="W5331"/>
  <c r="Y5331"/>
  <c r="AA5331"/>
  <c r="AB5331"/>
  <c r="AC5331"/>
  <c r="AD5331"/>
  <c r="P5332"/>
  <c r="T5332"/>
  <c r="U5332"/>
  <c r="V5332"/>
  <c r="W5332"/>
  <c r="Y5332"/>
  <c r="AA5332"/>
  <c r="AB5332"/>
  <c r="AC5332"/>
  <c r="AD5332"/>
  <c r="P5333"/>
  <c r="T5333"/>
  <c r="U5333"/>
  <c r="V5333"/>
  <c r="W5333"/>
  <c r="Y5333"/>
  <c r="AA5333"/>
  <c r="AB5333"/>
  <c r="AC5333"/>
  <c r="AD5333"/>
  <c r="P5334"/>
  <c r="T5334"/>
  <c r="U5334"/>
  <c r="V5334"/>
  <c r="W5334"/>
  <c r="Y5334"/>
  <c r="AA5334"/>
  <c r="AB5334"/>
  <c r="AC5334"/>
  <c r="AD5334"/>
  <c r="P5335"/>
  <c r="T5335"/>
  <c r="U5335"/>
  <c r="V5335"/>
  <c r="W5335"/>
  <c r="Y5335"/>
  <c r="AA5335"/>
  <c r="AB5335"/>
  <c r="AC5335"/>
  <c r="AD5335"/>
  <c r="P5336"/>
  <c r="T5336"/>
  <c r="U5336"/>
  <c r="V5336"/>
  <c r="W5336"/>
  <c r="Y5336"/>
  <c r="AA5336"/>
  <c r="AB5336"/>
  <c r="AC5336"/>
  <c r="AD5336"/>
  <c r="P5337"/>
  <c r="T5337"/>
  <c r="U5337"/>
  <c r="V5337"/>
  <c r="W5337"/>
  <c r="Y5337"/>
  <c r="AA5337"/>
  <c r="AB5337"/>
  <c r="AC5337"/>
  <c r="AD5337"/>
  <c r="P5338"/>
  <c r="T5338"/>
  <c r="U5338"/>
  <c r="V5338"/>
  <c r="W5338"/>
  <c r="Y5338"/>
  <c r="AA5338"/>
  <c r="AB5338"/>
  <c r="AC5338"/>
  <c r="AD5338"/>
  <c r="P5339"/>
  <c r="T5339"/>
  <c r="U5339"/>
  <c r="V5339"/>
  <c r="W5339"/>
  <c r="Y5339"/>
  <c r="AA5339"/>
  <c r="AB5339"/>
  <c r="AC5339"/>
  <c r="AD5339"/>
  <c r="P5340"/>
  <c r="T5340"/>
  <c r="U5340"/>
  <c r="V5340"/>
  <c r="W5340"/>
  <c r="Y5340"/>
  <c r="AA5340"/>
  <c r="AB5340"/>
  <c r="AC5340"/>
  <c r="AD5340"/>
  <c r="P5341"/>
  <c r="T5341"/>
  <c r="U5341"/>
  <c r="V5341"/>
  <c r="W5341"/>
  <c r="Y5341"/>
  <c r="AA5341"/>
  <c r="AB5341"/>
  <c r="AC5341"/>
  <c r="AD5341"/>
  <c r="P5342"/>
  <c r="T5342"/>
  <c r="U5342"/>
  <c r="V5342"/>
  <c r="W5342"/>
  <c r="Y5342"/>
  <c r="AA5342"/>
  <c r="AB5342"/>
  <c r="AC5342"/>
  <c r="AD5342"/>
  <c r="P5343"/>
  <c r="T5343"/>
  <c r="U5343"/>
  <c r="V5343"/>
  <c r="W5343"/>
  <c r="Y5343"/>
  <c r="AA5343"/>
  <c r="AB5343"/>
  <c r="AC5343"/>
  <c r="AD5343"/>
  <c r="P5344"/>
  <c r="T5344"/>
  <c r="U5344"/>
  <c r="V5344"/>
  <c r="W5344"/>
  <c r="Y5344"/>
  <c r="AA5344"/>
  <c r="AB5344"/>
  <c r="AC5344"/>
  <c r="AD5344"/>
  <c r="P5345"/>
  <c r="T5345"/>
  <c r="U5345"/>
  <c r="V5345"/>
  <c r="W5345"/>
  <c r="Y5345"/>
  <c r="AA5345"/>
  <c r="AB5345"/>
  <c r="AC5345"/>
  <c r="AD5345"/>
  <c r="P5346"/>
  <c r="T5346"/>
  <c r="U5346"/>
  <c r="V5346"/>
  <c r="W5346"/>
  <c r="Y5346"/>
  <c r="AA5346"/>
  <c r="AB5346"/>
  <c r="AC5346"/>
  <c r="AD5346"/>
  <c r="P5347"/>
  <c r="T5347"/>
  <c r="U5347"/>
  <c r="V5347"/>
  <c r="W5347"/>
  <c r="Y5347"/>
  <c r="AA5347"/>
  <c r="AB5347"/>
  <c r="AC5347"/>
  <c r="AD5347"/>
  <c r="P5348"/>
  <c r="T5348"/>
  <c r="U5348"/>
  <c r="V5348"/>
  <c r="W5348"/>
  <c r="Y5348"/>
  <c r="AA5348"/>
  <c r="AB5348"/>
  <c r="AC5348"/>
  <c r="AD5348"/>
  <c r="P5349"/>
  <c r="T5349"/>
  <c r="U5349"/>
  <c r="V5349"/>
  <c r="W5349"/>
  <c r="Y5349"/>
  <c r="AA5349"/>
  <c r="AB5349"/>
  <c r="AC5349"/>
  <c r="AD5349"/>
  <c r="P5350"/>
  <c r="T5350"/>
  <c r="U5350"/>
  <c r="V5350"/>
  <c r="W5350"/>
  <c r="Y5350"/>
  <c r="AA5350"/>
  <c r="AB5350"/>
  <c r="AC5350"/>
  <c r="AD5350"/>
  <c r="P5351"/>
  <c r="T5351"/>
  <c r="U5351"/>
  <c r="V5351"/>
  <c r="W5351"/>
  <c r="Y5351"/>
  <c r="AA5351"/>
  <c r="AB5351"/>
  <c r="AC5351"/>
  <c r="AD5351"/>
  <c r="P5352"/>
  <c r="T5352"/>
  <c r="U5352"/>
  <c r="V5352"/>
  <c r="W5352"/>
  <c r="Y5352"/>
  <c r="AA5352"/>
  <c r="AB5352"/>
  <c r="AC5352"/>
  <c r="AD5352"/>
  <c r="P5353"/>
  <c r="T5353"/>
  <c r="U5353"/>
  <c r="V5353"/>
  <c r="W5353"/>
  <c r="Y5353"/>
  <c r="AA5353"/>
  <c r="AB5353"/>
  <c r="AC5353"/>
  <c r="AD5353"/>
  <c r="P5354"/>
  <c r="T5354"/>
  <c r="U5354"/>
  <c r="V5354"/>
  <c r="W5354"/>
  <c r="Y5354"/>
  <c r="AA5354"/>
  <c r="AB5354"/>
  <c r="AC5354"/>
  <c r="AD5354"/>
  <c r="P5355"/>
  <c r="T5355"/>
  <c r="U5355"/>
  <c r="V5355"/>
  <c r="W5355"/>
  <c r="Y5355"/>
  <c r="AA5355"/>
  <c r="AB5355"/>
  <c r="AC5355"/>
  <c r="AD5355"/>
  <c r="P5356"/>
  <c r="T5356"/>
  <c r="U5356"/>
  <c r="V5356"/>
  <c r="W5356"/>
  <c r="Y5356"/>
  <c r="AA5356"/>
  <c r="AB5356"/>
  <c r="AC5356"/>
  <c r="AD5356"/>
  <c r="P5357"/>
  <c r="T5357"/>
  <c r="U5357"/>
  <c r="V5357"/>
  <c r="W5357"/>
  <c r="Y5357"/>
  <c r="AA5357"/>
  <c r="AB5357"/>
  <c r="AC5357"/>
  <c r="AD5357"/>
  <c r="P5358"/>
  <c r="T5358"/>
  <c r="U5358"/>
  <c r="V5358"/>
  <c r="W5358"/>
  <c r="Y5358"/>
  <c r="AA5358"/>
  <c r="AB5358"/>
  <c r="AC5358"/>
  <c r="AD5358"/>
  <c r="P5359"/>
  <c r="T5359"/>
  <c r="U5359"/>
  <c r="V5359"/>
  <c r="W5359"/>
  <c r="Y5359"/>
  <c r="AA5359"/>
  <c r="AB5359"/>
  <c r="AC5359"/>
  <c r="AD5359"/>
  <c r="P5360"/>
  <c r="T5360"/>
  <c r="U5360"/>
  <c r="V5360"/>
  <c r="W5360"/>
  <c r="Y5360"/>
  <c r="AA5360"/>
  <c r="AB5360"/>
  <c r="AC5360"/>
  <c r="AD5360"/>
  <c r="P5361"/>
  <c r="T5361"/>
  <c r="U5361"/>
  <c r="V5361"/>
  <c r="W5361"/>
  <c r="Y5361"/>
  <c r="AA5361"/>
  <c r="AB5361"/>
  <c r="AC5361"/>
  <c r="AD5361"/>
  <c r="P5362"/>
  <c r="T5362"/>
  <c r="U5362"/>
  <c r="V5362"/>
  <c r="W5362"/>
  <c r="Y5362"/>
  <c r="AA5362"/>
  <c r="AB5362"/>
  <c r="AC5362"/>
  <c r="AD5362"/>
  <c r="P5363"/>
  <c r="T5363"/>
  <c r="U5363"/>
  <c r="V5363"/>
  <c r="W5363"/>
  <c r="Y5363"/>
  <c r="AA5363"/>
  <c r="AB5363"/>
  <c r="AC5363"/>
  <c r="AD5363"/>
  <c r="P5364"/>
  <c r="T5364"/>
  <c r="U5364"/>
  <c r="V5364"/>
  <c r="W5364"/>
  <c r="Y5364"/>
  <c r="AA5364"/>
  <c r="AB5364"/>
  <c r="AC5364"/>
  <c r="AD5364"/>
  <c r="P5365"/>
  <c r="T5365"/>
  <c r="U5365"/>
  <c r="V5365"/>
  <c r="W5365"/>
  <c r="Y5365"/>
  <c r="AA5365"/>
  <c r="AB5365"/>
  <c r="AC5365"/>
  <c r="AD5365"/>
  <c r="P5366"/>
  <c r="T5366"/>
  <c r="U5366"/>
  <c r="V5366"/>
  <c r="W5366"/>
  <c r="Y5366"/>
  <c r="AA5366"/>
  <c r="AB5366"/>
  <c r="AC5366"/>
  <c r="AD5366"/>
  <c r="P5367"/>
  <c r="T5367"/>
  <c r="U5367"/>
  <c r="V5367"/>
  <c r="W5367"/>
  <c r="Y5367"/>
  <c r="AA5367"/>
  <c r="AB5367"/>
  <c r="AC5367"/>
  <c r="AD5367"/>
  <c r="P5368"/>
  <c r="T5368"/>
  <c r="U5368"/>
  <c r="V5368"/>
  <c r="W5368"/>
  <c r="Y5368"/>
  <c r="AA5368"/>
  <c r="AB5368"/>
  <c r="AC5368"/>
  <c r="AD5368"/>
  <c r="P5369"/>
  <c r="T5369"/>
  <c r="U5369"/>
  <c r="V5369"/>
  <c r="W5369"/>
  <c r="Y5369"/>
  <c r="AA5369"/>
  <c r="AB5369"/>
  <c r="AC5369"/>
  <c r="AD5369"/>
  <c r="P5370"/>
  <c r="T5370"/>
  <c r="U5370"/>
  <c r="V5370"/>
  <c r="W5370"/>
  <c r="Y5370"/>
  <c r="AA5370"/>
  <c r="AB5370"/>
  <c r="AC5370"/>
  <c r="AD5370"/>
  <c r="P5371"/>
  <c r="T5371"/>
  <c r="U5371"/>
  <c r="V5371"/>
  <c r="W5371"/>
  <c r="Y5371"/>
  <c r="AA5371"/>
  <c r="AB5371"/>
  <c r="AC5371"/>
  <c r="AD5371"/>
  <c r="P5372"/>
  <c r="T5372"/>
  <c r="U5372"/>
  <c r="V5372"/>
  <c r="W5372"/>
  <c r="Y5372"/>
  <c r="AA5372"/>
  <c r="AB5372"/>
  <c r="AC5372"/>
  <c r="AD5372"/>
  <c r="P5373"/>
  <c r="T5373"/>
  <c r="U5373"/>
  <c r="V5373"/>
  <c r="W5373"/>
  <c r="Y5373"/>
  <c r="AA5373"/>
  <c r="AB5373"/>
  <c r="AC5373"/>
  <c r="AD5373"/>
  <c r="P5374"/>
  <c r="T5374"/>
  <c r="U5374"/>
  <c r="V5374"/>
  <c r="W5374"/>
  <c r="Y5374"/>
  <c r="AA5374"/>
  <c r="AB5374"/>
  <c r="AC5374"/>
  <c r="AD5374"/>
  <c r="P5375"/>
  <c r="T5375"/>
  <c r="U5375"/>
  <c r="V5375"/>
  <c r="W5375"/>
  <c r="Y5375"/>
  <c r="AA5375"/>
  <c r="AB5375"/>
  <c r="AC5375"/>
  <c r="AD5375"/>
  <c r="P5376"/>
  <c r="T5376"/>
  <c r="U5376"/>
  <c r="V5376"/>
  <c r="W5376"/>
  <c r="Y5376"/>
  <c r="AA5376"/>
  <c r="AB5376"/>
  <c r="AC5376"/>
  <c r="AD5376"/>
  <c r="P5377"/>
  <c r="T5377"/>
  <c r="U5377"/>
  <c r="V5377"/>
  <c r="W5377"/>
  <c r="Y5377"/>
  <c r="AA5377"/>
  <c r="AB5377"/>
  <c r="AC5377"/>
  <c r="AD5377"/>
  <c r="P5378"/>
  <c r="T5378"/>
  <c r="U5378"/>
  <c r="V5378"/>
  <c r="W5378"/>
  <c r="Y5378"/>
  <c r="AA5378"/>
  <c r="AB5378"/>
  <c r="AC5378"/>
  <c r="AD5378"/>
  <c r="P5379"/>
  <c r="T5379"/>
  <c r="U5379"/>
  <c r="V5379"/>
  <c r="W5379"/>
  <c r="Y5379"/>
  <c r="AA5379"/>
  <c r="AB5379"/>
  <c r="AC5379"/>
  <c r="AD5379"/>
  <c r="P5380"/>
  <c r="T5380"/>
  <c r="U5380"/>
  <c r="V5380"/>
  <c r="W5380"/>
  <c r="Y5380"/>
  <c r="AA5380"/>
  <c r="AB5380"/>
  <c r="AC5380"/>
  <c r="AD5380"/>
  <c r="P5381"/>
  <c r="T5381"/>
  <c r="U5381"/>
  <c r="V5381"/>
  <c r="W5381"/>
  <c r="Y5381"/>
  <c r="AA5381"/>
  <c r="AB5381"/>
  <c r="AC5381"/>
  <c r="AD5381"/>
  <c r="P5382"/>
  <c r="T5382"/>
  <c r="U5382"/>
  <c r="V5382"/>
  <c r="W5382"/>
  <c r="Y5382"/>
  <c r="AA5382"/>
  <c r="AB5382"/>
  <c r="AC5382"/>
  <c r="AD5382"/>
  <c r="P5383"/>
  <c r="T5383"/>
  <c r="U5383"/>
  <c r="V5383"/>
  <c r="W5383"/>
  <c r="Y5383"/>
  <c r="AA5383"/>
  <c r="AB5383"/>
  <c r="AC5383"/>
  <c r="AD5383"/>
  <c r="P5384"/>
  <c r="T5384"/>
  <c r="U5384"/>
  <c r="V5384"/>
  <c r="W5384"/>
  <c r="Y5384"/>
  <c r="AA5384"/>
  <c r="AB5384"/>
  <c r="AC5384"/>
  <c r="AD5384"/>
  <c r="P5385"/>
  <c r="T5385"/>
  <c r="U5385"/>
  <c r="V5385"/>
  <c r="W5385"/>
  <c r="Y5385"/>
  <c r="AA5385"/>
  <c r="AB5385"/>
  <c r="AC5385"/>
  <c r="AD5385"/>
  <c r="P5386"/>
  <c r="T5386"/>
  <c r="U5386"/>
  <c r="V5386"/>
  <c r="W5386"/>
  <c r="Y5386"/>
  <c r="AA5386"/>
  <c r="AB5386"/>
  <c r="AC5386"/>
  <c r="AD5386"/>
  <c r="P5387"/>
  <c r="T5387"/>
  <c r="U5387"/>
  <c r="V5387"/>
  <c r="W5387"/>
  <c r="Y5387"/>
  <c r="AA5387"/>
  <c r="AB5387"/>
  <c r="AC5387"/>
  <c r="AD5387"/>
  <c r="P5388"/>
  <c r="T5388"/>
  <c r="U5388"/>
  <c r="V5388"/>
  <c r="W5388"/>
  <c r="Y5388"/>
  <c r="AA5388"/>
  <c r="AB5388"/>
  <c r="AC5388"/>
  <c r="AD5388"/>
  <c r="P5389"/>
  <c r="T5389"/>
  <c r="U5389"/>
  <c r="V5389"/>
  <c r="W5389"/>
  <c r="Y5389"/>
  <c r="AA5389"/>
  <c r="AB5389"/>
  <c r="AC5389"/>
  <c r="AD5389"/>
  <c r="P5390"/>
  <c r="T5390"/>
  <c r="U5390"/>
  <c r="V5390"/>
  <c r="W5390"/>
  <c r="Y5390"/>
  <c r="AA5390"/>
  <c r="AB5390"/>
  <c r="AC5390"/>
  <c r="AD5390"/>
  <c r="P5391"/>
  <c r="T5391"/>
  <c r="U5391"/>
  <c r="V5391"/>
  <c r="W5391"/>
  <c r="Y5391"/>
  <c r="AA5391"/>
  <c r="AB5391"/>
  <c r="AC5391"/>
  <c r="AD5391"/>
  <c r="P5392"/>
  <c r="T5392"/>
  <c r="U5392"/>
  <c r="V5392"/>
  <c r="W5392"/>
  <c r="Y5392"/>
  <c r="AA5392"/>
  <c r="AB5392"/>
  <c r="AC5392"/>
  <c r="AD5392"/>
  <c r="P5393"/>
  <c r="T5393"/>
  <c r="U5393"/>
  <c r="V5393"/>
  <c r="W5393"/>
  <c r="Y5393"/>
  <c r="AA5393"/>
  <c r="AB5393"/>
  <c r="AC5393"/>
  <c r="AD5393"/>
  <c r="P5394"/>
  <c r="T5394"/>
  <c r="U5394"/>
  <c r="V5394"/>
  <c r="W5394"/>
  <c r="Y5394"/>
  <c r="AA5394"/>
  <c r="AB5394"/>
  <c r="AC5394"/>
  <c r="AD5394"/>
  <c r="P5395"/>
  <c r="T5395"/>
  <c r="U5395"/>
  <c r="V5395"/>
  <c r="W5395"/>
  <c r="Y5395"/>
  <c r="AA5395"/>
  <c r="AB5395"/>
  <c r="AC5395"/>
  <c r="AD5395"/>
  <c r="P5396"/>
  <c r="T5396"/>
  <c r="U5396"/>
  <c r="V5396"/>
  <c r="W5396"/>
  <c r="Y5396"/>
  <c r="AA5396"/>
  <c r="AB5396"/>
  <c r="AC5396"/>
  <c r="AD5396"/>
  <c r="P5397"/>
  <c r="T5397"/>
  <c r="U5397"/>
  <c r="V5397"/>
  <c r="W5397"/>
  <c r="Y5397"/>
  <c r="AA5397"/>
  <c r="AB5397"/>
  <c r="AC5397"/>
  <c r="AD5397"/>
  <c r="P5398"/>
  <c r="T5398"/>
  <c r="U5398"/>
  <c r="V5398"/>
  <c r="W5398"/>
  <c r="Y5398"/>
  <c r="AA5398"/>
  <c r="AB5398"/>
  <c r="AC5398"/>
  <c r="AD5398"/>
  <c r="P5399"/>
  <c r="T5399"/>
  <c r="U5399"/>
  <c r="V5399"/>
  <c r="W5399"/>
  <c r="Y5399"/>
  <c r="AA5399"/>
  <c r="AB5399"/>
  <c r="AC5399"/>
  <c r="AD5399"/>
  <c r="P5400"/>
  <c r="T5400"/>
  <c r="U5400"/>
  <c r="V5400"/>
  <c r="W5400"/>
  <c r="Y5400"/>
  <c r="AA5400"/>
  <c r="AB5400"/>
  <c r="AC5400"/>
  <c r="AD5400"/>
  <c r="P5401"/>
  <c r="T5401"/>
  <c r="U5401"/>
  <c r="V5401"/>
  <c r="W5401"/>
  <c r="Y5401"/>
  <c r="AA5401"/>
  <c r="AB5401"/>
  <c r="AC5401"/>
  <c r="AD5401"/>
  <c r="P5402"/>
  <c r="T5402"/>
  <c r="U5402"/>
  <c r="V5402"/>
  <c r="W5402"/>
  <c r="Y5402"/>
  <c r="AA5402"/>
  <c r="AB5402"/>
  <c r="AC5402"/>
  <c r="AD5402"/>
  <c r="P5403"/>
  <c r="T5403"/>
  <c r="U5403"/>
  <c r="V5403"/>
  <c r="W5403"/>
  <c r="Y5403"/>
  <c r="AA5403"/>
  <c r="AB5403"/>
  <c r="AC5403"/>
  <c r="AD5403"/>
  <c r="P5404"/>
  <c r="T5404"/>
  <c r="U5404"/>
  <c r="V5404"/>
  <c r="W5404"/>
  <c r="Y5404"/>
  <c r="AA5404"/>
  <c r="AB5404"/>
  <c r="AC5404"/>
  <c r="AD5404"/>
  <c r="P5405"/>
  <c r="T5405"/>
  <c r="U5405"/>
  <c r="V5405"/>
  <c r="W5405"/>
  <c r="Y5405"/>
  <c r="AA5405"/>
  <c r="AB5405"/>
  <c r="AC5405"/>
  <c r="AD5405"/>
  <c r="P5406"/>
  <c r="T5406"/>
  <c r="U5406"/>
  <c r="V5406"/>
  <c r="W5406"/>
  <c r="Y5406"/>
  <c r="AA5406"/>
  <c r="AB5406"/>
  <c r="AC5406"/>
  <c r="AD5406"/>
  <c r="P5407"/>
  <c r="T5407"/>
  <c r="U5407"/>
  <c r="V5407"/>
  <c r="W5407"/>
  <c r="Y5407"/>
  <c r="AA5407"/>
  <c r="AB5407"/>
  <c r="AC5407"/>
  <c r="AD5407"/>
  <c r="P5408"/>
  <c r="T5408"/>
  <c r="U5408"/>
  <c r="V5408"/>
  <c r="W5408"/>
  <c r="Y5408"/>
  <c r="AA5408"/>
  <c r="AB5408"/>
  <c r="AC5408"/>
  <c r="AD5408"/>
  <c r="P5409"/>
  <c r="T5409"/>
  <c r="U5409"/>
  <c r="V5409"/>
  <c r="W5409"/>
  <c r="Y5409"/>
  <c r="AA5409"/>
  <c r="AB5409"/>
  <c r="AC5409"/>
  <c r="AD5409"/>
  <c r="P5410"/>
  <c r="T5410"/>
  <c r="U5410"/>
  <c r="V5410"/>
  <c r="W5410"/>
  <c r="Y5410"/>
  <c r="AA5410"/>
  <c r="AB5410"/>
  <c r="AC5410"/>
  <c r="AD5410"/>
  <c r="P5411"/>
  <c r="T5411"/>
  <c r="U5411"/>
  <c r="V5411"/>
  <c r="W5411"/>
  <c r="Y5411"/>
  <c r="AA5411"/>
  <c r="AB5411"/>
  <c r="AC5411"/>
  <c r="AD5411"/>
  <c r="P5412"/>
  <c r="T5412"/>
  <c r="U5412"/>
  <c r="V5412"/>
  <c r="W5412"/>
  <c r="Y5412"/>
  <c r="AA5412"/>
  <c r="AB5412"/>
  <c r="AC5412"/>
  <c r="AD5412"/>
  <c r="P5413"/>
  <c r="T5413"/>
  <c r="U5413"/>
  <c r="V5413"/>
  <c r="W5413"/>
  <c r="Y5413"/>
  <c r="AA5413"/>
  <c r="AB5413"/>
  <c r="AC5413"/>
  <c r="AD5413"/>
  <c r="P5414"/>
  <c r="T5414"/>
  <c r="U5414"/>
  <c r="V5414"/>
  <c r="W5414"/>
  <c r="Y5414"/>
  <c r="AA5414"/>
  <c r="AB5414"/>
  <c r="AC5414"/>
  <c r="AD5414"/>
  <c r="P5415"/>
  <c r="T5415"/>
  <c r="U5415"/>
  <c r="V5415"/>
  <c r="W5415"/>
  <c r="Y5415"/>
  <c r="AA5415"/>
  <c r="AB5415"/>
  <c r="AC5415"/>
  <c r="AD5415"/>
  <c r="P5416"/>
  <c r="T5416"/>
  <c r="U5416"/>
  <c r="V5416"/>
  <c r="W5416"/>
  <c r="Y5416"/>
  <c r="AA5416"/>
  <c r="AB5416"/>
  <c r="AC5416"/>
  <c r="AD5416"/>
  <c r="P5417"/>
  <c r="T5417"/>
  <c r="U5417"/>
  <c r="V5417"/>
  <c r="W5417"/>
  <c r="Y5417"/>
  <c r="AA5417"/>
  <c r="AB5417"/>
  <c r="AC5417"/>
  <c r="AD5417"/>
  <c r="P5418"/>
  <c r="T5418"/>
  <c r="U5418"/>
  <c r="V5418"/>
  <c r="W5418"/>
  <c r="Y5418"/>
  <c r="AA5418"/>
  <c r="AB5418"/>
  <c r="AC5418"/>
  <c r="AD5418"/>
  <c r="P5419"/>
  <c r="T5419"/>
  <c r="U5419"/>
  <c r="V5419"/>
  <c r="W5419"/>
  <c r="Y5419"/>
  <c r="AA5419"/>
  <c r="AB5419"/>
  <c r="AC5419"/>
  <c r="AD5419"/>
  <c r="P5420"/>
  <c r="T5420"/>
  <c r="U5420"/>
  <c r="V5420"/>
  <c r="W5420"/>
  <c r="Y5420"/>
  <c r="AA5420"/>
  <c r="AB5420"/>
  <c r="AC5420"/>
  <c r="AD5420"/>
  <c r="P5421"/>
  <c r="T5421"/>
  <c r="U5421"/>
  <c r="V5421"/>
  <c r="W5421"/>
  <c r="Y5421"/>
  <c r="AA5421"/>
  <c r="AB5421"/>
  <c r="AC5421"/>
  <c r="AD5421"/>
  <c r="P5422"/>
  <c r="T5422"/>
  <c r="U5422"/>
  <c r="V5422"/>
  <c r="W5422"/>
  <c r="Y5422"/>
  <c r="AA5422"/>
  <c r="AB5422"/>
  <c r="AC5422"/>
  <c r="AD5422"/>
  <c r="P5423"/>
  <c r="T5423"/>
  <c r="U5423"/>
  <c r="V5423"/>
  <c r="W5423"/>
  <c r="Y5423"/>
  <c r="AA5423"/>
  <c r="AB5423"/>
  <c r="AC5423"/>
  <c r="AD5423"/>
  <c r="P5424"/>
  <c r="T5424"/>
  <c r="U5424"/>
  <c r="V5424"/>
  <c r="W5424"/>
  <c r="Y5424"/>
  <c r="AA5424"/>
  <c r="AB5424"/>
  <c r="AC5424"/>
  <c r="AD5424"/>
  <c r="P5425"/>
  <c r="T5425"/>
  <c r="U5425"/>
  <c r="V5425"/>
  <c r="W5425"/>
  <c r="Y5425"/>
  <c r="AA5425"/>
  <c r="AB5425"/>
  <c r="AC5425"/>
  <c r="AD5425"/>
  <c r="P5426"/>
  <c r="T5426"/>
  <c r="U5426"/>
  <c r="V5426"/>
  <c r="W5426"/>
  <c r="Y5426"/>
  <c r="AA5426"/>
  <c r="AB5426"/>
  <c r="AC5426"/>
  <c r="AD5426"/>
  <c r="P5427"/>
  <c r="T5427"/>
  <c r="U5427"/>
  <c r="V5427"/>
  <c r="W5427"/>
  <c r="Y5427"/>
  <c r="AA5427"/>
  <c r="AB5427"/>
  <c r="AC5427"/>
  <c r="AD5427"/>
  <c r="P5428"/>
  <c r="T5428"/>
  <c r="U5428"/>
  <c r="V5428"/>
  <c r="W5428"/>
  <c r="Y5428"/>
  <c r="AA5428"/>
  <c r="AB5428"/>
  <c r="AC5428"/>
  <c r="AD5428"/>
  <c r="P5429"/>
  <c r="T5429"/>
  <c r="U5429"/>
  <c r="V5429"/>
  <c r="W5429"/>
  <c r="Y5429"/>
  <c r="AA5429"/>
  <c r="AB5429"/>
  <c r="AC5429"/>
  <c r="AD5429"/>
  <c r="P5430"/>
  <c r="T5430"/>
  <c r="U5430"/>
  <c r="V5430"/>
  <c r="W5430"/>
  <c r="Y5430"/>
  <c r="AA5430"/>
  <c r="AB5430"/>
  <c r="AC5430"/>
  <c r="AD5430"/>
  <c r="P5431"/>
  <c r="T5431"/>
  <c r="U5431"/>
  <c r="V5431"/>
  <c r="W5431"/>
  <c r="Y5431"/>
  <c r="AA5431"/>
  <c r="AB5431"/>
  <c r="AC5431"/>
  <c r="AD5431"/>
  <c r="P5432"/>
  <c r="T5432"/>
  <c r="U5432"/>
  <c r="V5432"/>
  <c r="W5432"/>
  <c r="Y5432"/>
  <c r="AA5432"/>
  <c r="AB5432"/>
  <c r="AC5432"/>
  <c r="AD5432"/>
  <c r="P5433"/>
  <c r="T5433"/>
  <c r="U5433"/>
  <c r="V5433"/>
  <c r="W5433"/>
  <c r="Y5433"/>
  <c r="AA5433"/>
  <c r="AB5433"/>
  <c r="AC5433"/>
  <c r="AD5433"/>
  <c r="P5434"/>
  <c r="T5434"/>
  <c r="U5434"/>
  <c r="V5434"/>
  <c r="W5434"/>
  <c r="Y5434"/>
  <c r="AA5434"/>
  <c r="AB5434"/>
  <c r="AC5434"/>
  <c r="AD5434"/>
  <c r="P5435"/>
  <c r="T5435"/>
  <c r="U5435"/>
  <c r="V5435"/>
  <c r="W5435"/>
  <c r="Y5435"/>
  <c r="AA5435"/>
  <c r="AB5435"/>
  <c r="AC5435"/>
  <c r="AD5435"/>
  <c r="P5436"/>
  <c r="T5436"/>
  <c r="U5436"/>
  <c r="V5436"/>
  <c r="W5436"/>
  <c r="Y5436"/>
  <c r="AA5436"/>
  <c r="AB5436"/>
  <c r="AC5436"/>
  <c r="AD5436"/>
  <c r="P5437"/>
  <c r="T5437"/>
  <c r="U5437"/>
  <c r="V5437"/>
  <c r="W5437"/>
  <c r="Y5437"/>
  <c r="AA5437"/>
  <c r="AB5437"/>
  <c r="AC5437"/>
  <c r="AD5437"/>
  <c r="P5438"/>
  <c r="T5438"/>
  <c r="U5438"/>
  <c r="V5438"/>
  <c r="W5438"/>
  <c r="Y5438"/>
  <c r="AA5438"/>
  <c r="AB5438"/>
  <c r="AC5438"/>
  <c r="AD5438"/>
  <c r="P5439"/>
  <c r="T5439"/>
  <c r="U5439"/>
  <c r="V5439"/>
  <c r="W5439"/>
  <c r="Y5439"/>
  <c r="AA5439"/>
  <c r="AB5439"/>
  <c r="AC5439"/>
  <c r="AD5439"/>
  <c r="P5440"/>
  <c r="T5440"/>
  <c r="U5440"/>
  <c r="V5440"/>
  <c r="W5440"/>
  <c r="Y5440"/>
  <c r="AA5440"/>
  <c r="AB5440"/>
  <c r="AC5440"/>
  <c r="AD5440"/>
  <c r="P5441"/>
  <c r="T5441"/>
  <c r="U5441"/>
  <c r="V5441"/>
  <c r="W5441"/>
  <c r="Y5441"/>
  <c r="AA5441"/>
  <c r="AB5441"/>
  <c r="AC5441"/>
  <c r="AD5441"/>
  <c r="P5442"/>
  <c r="T5442"/>
  <c r="U5442"/>
  <c r="V5442"/>
  <c r="W5442"/>
  <c r="Y5442"/>
  <c r="AA5442"/>
  <c r="AB5442"/>
  <c r="AC5442"/>
  <c r="AD5442"/>
  <c r="P5443"/>
  <c r="T5443"/>
  <c r="U5443"/>
  <c r="V5443"/>
  <c r="W5443"/>
  <c r="Y5443"/>
  <c r="AA5443"/>
  <c r="AB5443"/>
  <c r="AC5443"/>
  <c r="AD5443"/>
  <c r="P5444"/>
  <c r="T5444"/>
  <c r="U5444"/>
  <c r="V5444"/>
  <c r="W5444"/>
  <c r="Y5444"/>
  <c r="AA5444"/>
  <c r="AB5444"/>
  <c r="AC5444"/>
  <c r="AD5444"/>
  <c r="P5445"/>
  <c r="T5445"/>
  <c r="U5445"/>
  <c r="V5445"/>
  <c r="W5445"/>
  <c r="Y5445"/>
  <c r="AA5445"/>
  <c r="AB5445"/>
  <c r="AC5445"/>
  <c r="AD5445"/>
  <c r="P5446"/>
  <c r="T5446"/>
  <c r="U5446"/>
  <c r="V5446"/>
  <c r="W5446"/>
  <c r="Y5446"/>
  <c r="AA5446"/>
  <c r="AB5446"/>
  <c r="AC5446"/>
  <c r="AD5446"/>
  <c r="P5447"/>
  <c r="T5447"/>
  <c r="U5447"/>
  <c r="V5447"/>
  <c r="W5447"/>
  <c r="Y5447"/>
  <c r="AA5447"/>
  <c r="AB5447"/>
  <c r="AC5447"/>
  <c r="AD5447"/>
  <c r="P5448"/>
  <c r="T5448"/>
  <c r="U5448"/>
  <c r="V5448"/>
  <c r="W5448"/>
  <c r="Y5448"/>
  <c r="AA5448"/>
  <c r="AB5448"/>
  <c r="AC5448"/>
  <c r="AD5448"/>
  <c r="P5449"/>
  <c r="T5449"/>
  <c r="U5449"/>
  <c r="V5449"/>
  <c r="W5449"/>
  <c r="Y5449"/>
  <c r="AA5449"/>
  <c r="AB5449"/>
  <c r="AC5449"/>
  <c r="AD5449"/>
  <c r="P5450"/>
  <c r="T5450"/>
  <c r="U5450"/>
  <c r="V5450"/>
  <c r="W5450"/>
  <c r="Y5450"/>
  <c r="AA5450"/>
  <c r="AB5450"/>
  <c r="AC5450"/>
  <c r="AD5450"/>
  <c r="P5451"/>
  <c r="T5451"/>
  <c r="U5451"/>
  <c r="V5451"/>
  <c r="W5451"/>
  <c r="Y5451"/>
  <c r="AA5451"/>
  <c r="AB5451"/>
  <c r="AC5451"/>
  <c r="AD5451"/>
  <c r="P5452"/>
  <c r="T5452"/>
  <c r="U5452"/>
  <c r="V5452"/>
  <c r="W5452"/>
  <c r="Y5452"/>
  <c r="AA5452"/>
  <c r="AB5452"/>
  <c r="AC5452"/>
  <c r="AD5452"/>
  <c r="P5453"/>
  <c r="T5453"/>
  <c r="U5453"/>
  <c r="V5453"/>
  <c r="W5453"/>
  <c r="Y5453"/>
  <c r="AA5453"/>
  <c r="AB5453"/>
  <c r="AC5453"/>
  <c r="AD5453"/>
  <c r="P5454"/>
  <c r="T5454"/>
  <c r="U5454"/>
  <c r="V5454"/>
  <c r="W5454"/>
  <c r="Y5454"/>
  <c r="AA5454"/>
  <c r="AB5454"/>
  <c r="AC5454"/>
  <c r="AD5454"/>
  <c r="P5455"/>
  <c r="T5455"/>
  <c r="U5455"/>
  <c r="V5455"/>
  <c r="W5455"/>
  <c r="Y5455"/>
  <c r="AA5455"/>
  <c r="AB5455"/>
  <c r="AC5455"/>
  <c r="AD5455"/>
  <c r="P5456"/>
  <c r="T5456"/>
  <c r="U5456"/>
  <c r="V5456"/>
  <c r="W5456"/>
  <c r="Y5456"/>
  <c r="AA5456"/>
  <c r="AB5456"/>
  <c r="AC5456"/>
  <c r="AD5456"/>
  <c r="P5457"/>
  <c r="T5457"/>
  <c r="U5457"/>
  <c r="V5457"/>
  <c r="W5457"/>
  <c r="Y5457"/>
  <c r="AA5457"/>
  <c r="AB5457"/>
  <c r="AC5457"/>
  <c r="AD5457"/>
  <c r="P5458"/>
  <c r="T5458"/>
  <c r="U5458"/>
  <c r="V5458"/>
  <c r="W5458"/>
  <c r="Y5458"/>
  <c r="AA5458"/>
  <c r="AB5458"/>
  <c r="AC5458"/>
  <c r="AD5458"/>
  <c r="P5459"/>
  <c r="T5459"/>
  <c r="U5459"/>
  <c r="V5459"/>
  <c r="W5459"/>
  <c r="Y5459"/>
  <c r="AA5459"/>
  <c r="AB5459"/>
  <c r="AC5459"/>
  <c r="AD5459"/>
  <c r="P5460"/>
  <c r="T5460"/>
  <c r="U5460"/>
  <c r="V5460"/>
  <c r="W5460"/>
  <c r="Y5460"/>
  <c r="AA5460"/>
  <c r="AB5460"/>
  <c r="AC5460"/>
  <c r="AD5460"/>
  <c r="P5461"/>
  <c r="T5461"/>
  <c r="U5461"/>
  <c r="V5461"/>
  <c r="W5461"/>
  <c r="Y5461"/>
  <c r="AA5461"/>
  <c r="AB5461"/>
  <c r="AC5461"/>
  <c r="AD5461"/>
  <c r="P5462"/>
  <c r="T5462"/>
  <c r="U5462"/>
  <c r="V5462"/>
  <c r="W5462"/>
  <c r="Y5462"/>
  <c r="AA5462"/>
  <c r="AB5462"/>
  <c r="AC5462"/>
  <c r="AD5462"/>
  <c r="P5463"/>
  <c r="T5463"/>
  <c r="U5463"/>
  <c r="V5463"/>
  <c r="W5463"/>
  <c r="Y5463"/>
  <c r="AA5463"/>
  <c r="AB5463"/>
  <c r="AC5463"/>
  <c r="AD5463"/>
  <c r="P5464"/>
  <c r="T5464"/>
  <c r="U5464"/>
  <c r="V5464"/>
  <c r="W5464"/>
  <c r="Y5464"/>
  <c r="AA5464"/>
  <c r="AB5464"/>
  <c r="AC5464"/>
  <c r="AD5464"/>
  <c r="P5465"/>
  <c r="T5465"/>
  <c r="U5465"/>
  <c r="V5465"/>
  <c r="W5465"/>
  <c r="Y5465"/>
  <c r="AA5465"/>
  <c r="AB5465"/>
  <c r="AC5465"/>
  <c r="AD5465"/>
  <c r="P5466"/>
  <c r="T5466"/>
  <c r="U5466"/>
  <c r="V5466"/>
  <c r="W5466"/>
  <c r="Y5466"/>
  <c r="AA5466"/>
  <c r="AB5466"/>
  <c r="AC5466"/>
  <c r="AD5466"/>
  <c r="P5467"/>
  <c r="T5467"/>
  <c r="U5467"/>
  <c r="V5467"/>
  <c r="W5467"/>
  <c r="Y5467"/>
  <c r="AA5467"/>
  <c r="AB5467"/>
  <c r="AC5467"/>
  <c r="AD5467"/>
  <c r="P5468"/>
  <c r="T5468"/>
  <c r="U5468"/>
  <c r="V5468"/>
  <c r="W5468"/>
  <c r="Y5468"/>
  <c r="AA5468"/>
  <c r="AB5468"/>
  <c r="AC5468"/>
  <c r="AD5468"/>
  <c r="P5469"/>
  <c r="T5469"/>
  <c r="U5469"/>
  <c r="V5469"/>
  <c r="W5469"/>
  <c r="Y5469"/>
  <c r="AA5469"/>
  <c r="AB5469"/>
  <c r="AC5469"/>
  <c r="AD5469"/>
  <c r="P5470"/>
  <c r="T5470"/>
  <c r="U5470"/>
  <c r="V5470"/>
  <c r="W5470"/>
  <c r="Y5470"/>
  <c r="AA5470"/>
  <c r="AB5470"/>
  <c r="AC5470"/>
  <c r="AD5470"/>
  <c r="P5471"/>
  <c r="T5471"/>
  <c r="U5471"/>
  <c r="V5471"/>
  <c r="W5471"/>
  <c r="Y5471"/>
  <c r="AA5471"/>
  <c r="AB5471"/>
  <c r="AC5471"/>
  <c r="AD5471"/>
  <c r="P5472"/>
  <c r="T5472"/>
  <c r="U5472"/>
  <c r="V5472"/>
  <c r="W5472"/>
  <c r="Y5472"/>
  <c r="AA5472"/>
  <c r="AB5472"/>
  <c r="AC5472"/>
  <c r="AD5472"/>
  <c r="P5473"/>
  <c r="T5473"/>
  <c r="U5473"/>
  <c r="V5473"/>
  <c r="W5473"/>
  <c r="Y5473"/>
  <c r="AA5473"/>
  <c r="AB5473"/>
  <c r="AC5473"/>
  <c r="AD5473"/>
  <c r="P5474"/>
  <c r="T5474"/>
  <c r="U5474"/>
  <c r="V5474"/>
  <c r="W5474"/>
  <c r="Y5474"/>
  <c r="AA5474"/>
  <c r="AB5474"/>
  <c r="AC5474"/>
  <c r="AD5474"/>
  <c r="P5475"/>
  <c r="T5475"/>
  <c r="U5475"/>
  <c r="V5475"/>
  <c r="W5475"/>
  <c r="Y5475"/>
  <c r="AA5475"/>
  <c r="AB5475"/>
  <c r="AC5475"/>
  <c r="AD5475"/>
  <c r="P5476"/>
  <c r="T5476"/>
  <c r="U5476"/>
  <c r="V5476"/>
  <c r="W5476"/>
  <c r="Y5476"/>
  <c r="AA5476"/>
  <c r="AB5476"/>
  <c r="AC5476"/>
  <c r="AD5476"/>
  <c r="P5477"/>
  <c r="T5477"/>
  <c r="U5477"/>
  <c r="V5477"/>
  <c r="W5477"/>
  <c r="Y5477"/>
  <c r="AA5477"/>
  <c r="AB5477"/>
  <c r="AC5477"/>
  <c r="AD5477"/>
  <c r="P5478"/>
  <c r="T5478"/>
  <c r="U5478"/>
  <c r="V5478"/>
  <c r="W5478"/>
  <c r="Y5478"/>
  <c r="AA5478"/>
  <c r="AB5478"/>
  <c r="AC5478"/>
  <c r="AD5478"/>
  <c r="P5479"/>
  <c r="T5479"/>
  <c r="U5479"/>
  <c r="V5479"/>
  <c r="W5479"/>
  <c r="Y5479"/>
  <c r="AA5479"/>
  <c r="AB5479"/>
  <c r="AC5479"/>
  <c r="AD5479"/>
  <c r="P5480"/>
  <c r="T5480"/>
  <c r="U5480"/>
  <c r="V5480"/>
  <c r="W5480"/>
  <c r="Y5480"/>
  <c r="AA5480"/>
  <c r="AB5480"/>
  <c r="AC5480"/>
  <c r="AD5480"/>
  <c r="P5481"/>
  <c r="T5481"/>
  <c r="U5481"/>
  <c r="V5481"/>
  <c r="W5481"/>
  <c r="Y5481"/>
  <c r="AA5481"/>
  <c r="AB5481"/>
  <c r="AC5481"/>
  <c r="AD5481"/>
  <c r="P5482"/>
  <c r="T5482"/>
  <c r="U5482"/>
  <c r="V5482"/>
  <c r="W5482"/>
  <c r="Y5482"/>
  <c r="AA5482"/>
  <c r="AB5482"/>
  <c r="AC5482"/>
  <c r="AD5482"/>
  <c r="P5483"/>
  <c r="T5483"/>
  <c r="U5483"/>
  <c r="V5483"/>
  <c r="W5483"/>
  <c r="Y5483"/>
  <c r="AA5483"/>
  <c r="AB5483"/>
  <c r="AC5483"/>
  <c r="AD5483"/>
  <c r="P5484"/>
  <c r="T5484"/>
  <c r="U5484"/>
  <c r="V5484"/>
  <c r="W5484"/>
  <c r="Y5484"/>
  <c r="AA5484"/>
  <c r="AB5484"/>
  <c r="AC5484"/>
  <c r="AD5484"/>
  <c r="P5485"/>
  <c r="T5485"/>
  <c r="U5485"/>
  <c r="V5485"/>
  <c r="W5485"/>
  <c r="Y5485"/>
  <c r="AA5485"/>
  <c r="AB5485"/>
  <c r="AC5485"/>
  <c r="AD5485"/>
  <c r="P5486"/>
  <c r="T5486"/>
  <c r="U5486"/>
  <c r="V5486"/>
  <c r="W5486"/>
  <c r="Y5486"/>
  <c r="AA5486"/>
  <c r="AB5486"/>
  <c r="AC5486"/>
  <c r="AD5486"/>
  <c r="P5487"/>
  <c r="T5487"/>
  <c r="U5487"/>
  <c r="V5487"/>
  <c r="W5487"/>
  <c r="Y5487"/>
  <c r="AA5487"/>
  <c r="AB5487"/>
  <c r="AC5487"/>
  <c r="AD5487"/>
  <c r="P5488"/>
  <c r="T5488"/>
  <c r="U5488"/>
  <c r="V5488"/>
  <c r="W5488"/>
  <c r="Y5488"/>
  <c r="AA5488"/>
  <c r="AB5488"/>
  <c r="AC5488"/>
  <c r="AD5488"/>
  <c r="P5489"/>
  <c r="T5489"/>
  <c r="U5489"/>
  <c r="V5489"/>
  <c r="W5489"/>
  <c r="Y5489"/>
  <c r="AA5489"/>
  <c r="AB5489"/>
  <c r="AC5489"/>
  <c r="AD5489"/>
  <c r="P5490"/>
  <c r="T5490"/>
  <c r="U5490"/>
  <c r="V5490"/>
  <c r="W5490"/>
  <c r="Y5490"/>
  <c r="AA5490"/>
  <c r="AB5490"/>
  <c r="AC5490"/>
  <c r="AD5490"/>
  <c r="P5491"/>
  <c r="T5491"/>
  <c r="U5491"/>
  <c r="V5491"/>
  <c r="W5491"/>
  <c r="Y5491"/>
  <c r="AA5491"/>
  <c r="AB5491"/>
  <c r="AC5491"/>
  <c r="AD5491"/>
  <c r="P5492"/>
  <c r="T5492"/>
  <c r="U5492"/>
  <c r="V5492"/>
  <c r="W5492"/>
  <c r="Y5492"/>
  <c r="AA5492"/>
  <c r="AB5492"/>
  <c r="AC5492"/>
  <c r="AD5492"/>
  <c r="P5493"/>
  <c r="T5493"/>
  <c r="U5493"/>
  <c r="V5493"/>
  <c r="W5493"/>
  <c r="Y5493"/>
  <c r="AA5493"/>
  <c r="AB5493"/>
  <c r="AC5493"/>
  <c r="AD5493"/>
  <c r="P5494"/>
  <c r="T5494"/>
  <c r="U5494"/>
  <c r="V5494"/>
  <c r="W5494"/>
  <c r="Y5494"/>
  <c r="AA5494"/>
  <c r="AB5494"/>
  <c r="AC5494"/>
  <c r="AD5494"/>
  <c r="P5495"/>
  <c r="T5495"/>
  <c r="U5495"/>
  <c r="V5495"/>
  <c r="W5495"/>
  <c r="Y5495"/>
  <c r="AA5495"/>
  <c r="AB5495"/>
  <c r="AC5495"/>
  <c r="AD5495"/>
  <c r="P5496"/>
  <c r="T5496"/>
  <c r="U5496"/>
  <c r="V5496"/>
  <c r="W5496"/>
  <c r="Y5496"/>
  <c r="AA5496"/>
  <c r="AB5496"/>
  <c r="AC5496"/>
  <c r="AD5496"/>
  <c r="P5497"/>
  <c r="T5497"/>
  <c r="U5497"/>
  <c r="V5497"/>
  <c r="W5497"/>
  <c r="Y5497"/>
  <c r="AA5497"/>
  <c r="AB5497"/>
  <c r="AC5497"/>
  <c r="AD5497"/>
  <c r="P5498"/>
  <c r="T5498"/>
  <c r="U5498"/>
  <c r="V5498"/>
  <c r="W5498"/>
  <c r="Y5498"/>
  <c r="AA5498"/>
  <c r="AB5498"/>
  <c r="AC5498"/>
  <c r="AD5498"/>
  <c r="P5499"/>
  <c r="T5499"/>
  <c r="U5499"/>
  <c r="V5499"/>
  <c r="W5499"/>
  <c r="Y5499"/>
  <c r="AA5499"/>
  <c r="AB5499"/>
  <c r="AC5499"/>
  <c r="AD5499"/>
  <c r="P5500"/>
  <c r="T5500"/>
  <c r="U5500"/>
  <c r="V5500"/>
  <c r="W5500"/>
  <c r="Y5500"/>
  <c r="AA5500"/>
  <c r="AB5500"/>
  <c r="AC5500"/>
  <c r="AD5500"/>
  <c r="P5501"/>
  <c r="T5501"/>
  <c r="U5501"/>
  <c r="V5501"/>
  <c r="W5501"/>
  <c r="Y5501"/>
  <c r="AA5501"/>
  <c r="AB5501"/>
  <c r="AC5501"/>
  <c r="AD5501"/>
  <c r="P5502"/>
  <c r="T5502"/>
  <c r="U5502"/>
  <c r="V5502"/>
  <c r="W5502"/>
  <c r="Y5502"/>
  <c r="AA5502"/>
  <c r="AB5502"/>
  <c r="AC5502"/>
  <c r="AD5502"/>
  <c r="P5503"/>
  <c r="T5503"/>
  <c r="U5503"/>
  <c r="V5503"/>
  <c r="W5503"/>
  <c r="Y5503"/>
  <c r="AA5503"/>
  <c r="AB5503"/>
  <c r="AC5503"/>
  <c r="AD5503"/>
  <c r="P5504"/>
  <c r="T5504"/>
  <c r="U5504"/>
  <c r="V5504"/>
  <c r="W5504"/>
  <c r="Y5504"/>
  <c r="AA5504"/>
  <c r="AB5504"/>
  <c r="AC5504"/>
  <c r="AD5504"/>
  <c r="P5505"/>
  <c r="T5505"/>
  <c r="U5505"/>
  <c r="V5505"/>
  <c r="W5505"/>
  <c r="Y5505"/>
  <c r="AA5505"/>
  <c r="AB5505"/>
  <c r="AC5505"/>
  <c r="AD5505"/>
  <c r="P5506"/>
  <c r="T5506"/>
  <c r="U5506"/>
  <c r="V5506"/>
  <c r="W5506"/>
  <c r="Y5506"/>
  <c r="AA5506"/>
  <c r="AB5506"/>
  <c r="AC5506"/>
  <c r="AD5506"/>
  <c r="P5507"/>
  <c r="T5507"/>
  <c r="U5507"/>
  <c r="V5507"/>
  <c r="W5507"/>
  <c r="Y5507"/>
  <c r="AA5507"/>
  <c r="AB5507"/>
  <c r="AC5507"/>
  <c r="AD5507"/>
  <c r="P5508"/>
  <c r="T5508"/>
  <c r="U5508"/>
  <c r="V5508"/>
  <c r="W5508"/>
  <c r="Y5508"/>
  <c r="AA5508"/>
  <c r="AB5508"/>
  <c r="AC5508"/>
  <c r="AD5508"/>
  <c r="P5509"/>
  <c r="T5509"/>
  <c r="U5509"/>
  <c r="V5509"/>
  <c r="W5509"/>
  <c r="Y5509"/>
  <c r="AA5509"/>
  <c r="AB5509"/>
  <c r="AC5509"/>
  <c r="AD5509"/>
  <c r="P5510"/>
  <c r="T5510"/>
  <c r="U5510"/>
  <c r="V5510"/>
  <c r="W5510"/>
  <c r="Y5510"/>
  <c r="AA5510"/>
  <c r="AB5510"/>
  <c r="AC5510"/>
  <c r="AD5510"/>
  <c r="P5511"/>
  <c r="T5511"/>
  <c r="U5511"/>
  <c r="V5511"/>
  <c r="W5511"/>
  <c r="Y5511"/>
  <c r="AA5511"/>
  <c r="AB5511"/>
  <c r="AC5511"/>
  <c r="AD5511"/>
  <c r="P5512"/>
  <c r="T5512"/>
  <c r="U5512"/>
  <c r="V5512"/>
  <c r="W5512"/>
  <c r="Y5512"/>
  <c r="AA5512"/>
  <c r="AB5512"/>
  <c r="AC5512"/>
  <c r="AD5512"/>
  <c r="P5513"/>
  <c r="T5513"/>
  <c r="U5513"/>
  <c r="V5513"/>
  <c r="W5513"/>
  <c r="Y5513"/>
  <c r="AA5513"/>
  <c r="AB5513"/>
  <c r="AC5513"/>
  <c r="AD5513"/>
  <c r="P5514"/>
  <c r="T5514"/>
  <c r="U5514"/>
  <c r="V5514"/>
  <c r="W5514"/>
  <c r="Y5514"/>
  <c r="AA5514"/>
  <c r="AB5514"/>
  <c r="AC5514"/>
  <c r="AD5514"/>
  <c r="P5515"/>
  <c r="T5515"/>
  <c r="U5515"/>
  <c r="V5515"/>
  <c r="W5515"/>
  <c r="Y5515"/>
  <c r="AA5515"/>
  <c r="AB5515"/>
  <c r="AC5515"/>
  <c r="AD5515"/>
  <c r="P5516"/>
  <c r="T5516"/>
  <c r="U5516"/>
  <c r="V5516"/>
  <c r="W5516"/>
  <c r="Y5516"/>
  <c r="AA5516"/>
  <c r="AB5516"/>
  <c r="AC5516"/>
  <c r="AD5516"/>
  <c r="P5517"/>
  <c r="T5517"/>
  <c r="U5517"/>
  <c r="V5517"/>
  <c r="W5517"/>
  <c r="Y5517"/>
  <c r="AA5517"/>
  <c r="AB5517"/>
  <c r="AC5517"/>
  <c r="AD5517"/>
  <c r="P5518"/>
  <c r="T5518"/>
  <c r="U5518"/>
  <c r="V5518"/>
  <c r="W5518"/>
  <c r="Y5518"/>
  <c r="AA5518"/>
  <c r="AB5518"/>
  <c r="AC5518"/>
  <c r="AD5518"/>
  <c r="P5519"/>
  <c r="T5519"/>
  <c r="U5519"/>
  <c r="V5519"/>
  <c r="W5519"/>
  <c r="Y5519"/>
  <c r="AA5519"/>
  <c r="AB5519"/>
  <c r="AC5519"/>
  <c r="AD5519"/>
  <c r="P5520"/>
  <c r="T5520"/>
  <c r="U5520"/>
  <c r="V5520"/>
  <c r="W5520"/>
  <c r="Y5520"/>
  <c r="AA5520"/>
  <c r="AB5520"/>
  <c r="AC5520"/>
  <c r="AD5520"/>
  <c r="P5521"/>
  <c r="T5521"/>
  <c r="U5521"/>
  <c r="V5521"/>
  <c r="W5521"/>
  <c r="Y5521"/>
  <c r="AA5521"/>
  <c r="AB5521"/>
  <c r="AC5521"/>
  <c r="AD5521"/>
  <c r="P5522"/>
  <c r="T5522"/>
  <c r="U5522"/>
  <c r="V5522"/>
  <c r="W5522"/>
  <c r="Y5522"/>
  <c r="AA5522"/>
  <c r="AB5522"/>
  <c r="AC5522"/>
  <c r="AD5522"/>
  <c r="P5523"/>
  <c r="T5523"/>
  <c r="U5523"/>
  <c r="V5523"/>
  <c r="W5523"/>
  <c r="Y5523"/>
  <c r="AA5523"/>
  <c r="AB5523"/>
  <c r="AC5523"/>
  <c r="AD5523"/>
  <c r="P5524"/>
  <c r="T5524"/>
  <c r="U5524"/>
  <c r="V5524"/>
  <c r="W5524"/>
  <c r="Y5524"/>
  <c r="AA5524"/>
  <c r="AB5524"/>
  <c r="AC5524"/>
  <c r="AD5524"/>
  <c r="P5525"/>
  <c r="T5525"/>
  <c r="U5525"/>
  <c r="V5525"/>
  <c r="W5525"/>
  <c r="Y5525"/>
  <c r="AA5525"/>
  <c r="AB5525"/>
  <c r="AC5525"/>
  <c r="AD5525"/>
  <c r="P5526"/>
  <c r="T5526"/>
  <c r="U5526"/>
  <c r="V5526"/>
  <c r="W5526"/>
  <c r="Y5526"/>
  <c r="AA5526"/>
  <c r="AB5526"/>
  <c r="AC5526"/>
  <c r="AD5526"/>
  <c r="P5527"/>
  <c r="T5527"/>
  <c r="U5527"/>
  <c r="V5527"/>
  <c r="W5527"/>
  <c r="Y5527"/>
  <c r="AA5527"/>
  <c r="AB5527"/>
  <c r="AC5527"/>
  <c r="AD5527"/>
  <c r="P5528"/>
  <c r="T5528"/>
  <c r="U5528"/>
  <c r="V5528"/>
  <c r="W5528"/>
  <c r="Y5528"/>
  <c r="AA5528"/>
  <c r="AB5528"/>
  <c r="AC5528"/>
  <c r="AD5528"/>
  <c r="P5529"/>
  <c r="T5529"/>
  <c r="U5529"/>
  <c r="V5529"/>
  <c r="W5529"/>
  <c r="Y5529"/>
  <c r="AA5529"/>
  <c r="AB5529"/>
  <c r="AC5529"/>
  <c r="AD5529"/>
  <c r="P5530"/>
  <c r="T5530"/>
  <c r="U5530"/>
  <c r="V5530"/>
  <c r="W5530"/>
  <c r="Y5530"/>
  <c r="AA5530"/>
  <c r="AB5530"/>
  <c r="AC5530"/>
  <c r="AD5530"/>
  <c r="P5531"/>
  <c r="T5531"/>
  <c r="U5531"/>
  <c r="V5531"/>
  <c r="W5531"/>
  <c r="Y5531"/>
  <c r="AA5531"/>
  <c r="AB5531"/>
  <c r="AC5531"/>
  <c r="AD5531"/>
  <c r="P5532"/>
  <c r="T5532"/>
  <c r="U5532"/>
  <c r="V5532"/>
  <c r="W5532"/>
  <c r="Y5532"/>
  <c r="AA5532"/>
  <c r="AB5532"/>
  <c r="AC5532"/>
  <c r="AD5532"/>
  <c r="P5533"/>
  <c r="T5533"/>
  <c r="U5533"/>
  <c r="V5533"/>
  <c r="W5533"/>
  <c r="Y5533"/>
  <c r="AA5533"/>
  <c r="AB5533"/>
  <c r="AC5533"/>
  <c r="AD5533"/>
  <c r="P5534"/>
  <c r="T5534"/>
  <c r="U5534"/>
  <c r="V5534"/>
  <c r="W5534"/>
  <c r="Y5534"/>
  <c r="AA5534"/>
  <c r="AB5534"/>
  <c r="AC5534"/>
  <c r="AD5534"/>
  <c r="P5535"/>
  <c r="T5535"/>
  <c r="U5535"/>
  <c r="V5535"/>
  <c r="W5535"/>
  <c r="Y5535"/>
  <c r="AA5535"/>
  <c r="AB5535"/>
  <c r="AC5535"/>
  <c r="AD5535"/>
  <c r="P5536"/>
  <c r="T5536"/>
  <c r="U5536"/>
  <c r="V5536"/>
  <c r="W5536"/>
  <c r="Y5536"/>
  <c r="AA5536"/>
  <c r="AB5536"/>
  <c r="AC5536"/>
  <c r="AD5536"/>
  <c r="P5537"/>
  <c r="T5537"/>
  <c r="U5537"/>
  <c r="V5537"/>
  <c r="W5537"/>
  <c r="Y5537"/>
  <c r="AA5537"/>
  <c r="AB5537"/>
  <c r="AC5537"/>
  <c r="AD5537"/>
  <c r="P5538"/>
  <c r="T5538"/>
  <c r="U5538"/>
  <c r="V5538"/>
  <c r="W5538"/>
  <c r="Y5538"/>
  <c r="AA5538"/>
  <c r="AB5538"/>
  <c r="AC5538"/>
  <c r="AD5538"/>
  <c r="P5539"/>
  <c r="T5539"/>
  <c r="U5539"/>
  <c r="V5539"/>
  <c r="W5539"/>
  <c r="Y5539"/>
  <c r="AA5539"/>
  <c r="AB5539"/>
  <c r="AC5539"/>
  <c r="AD5539"/>
  <c r="P5540"/>
  <c r="T5540"/>
  <c r="U5540"/>
  <c r="V5540"/>
  <c r="W5540"/>
  <c r="Y5540"/>
  <c r="AA5540"/>
  <c r="AB5540"/>
  <c r="AC5540"/>
  <c r="AD5540"/>
  <c r="P5541"/>
  <c r="T5541"/>
  <c r="U5541"/>
  <c r="V5541"/>
  <c r="W5541"/>
  <c r="Y5541"/>
  <c r="AA5541"/>
  <c r="AB5541"/>
  <c r="AC5541"/>
  <c r="AD5541"/>
  <c r="P5542"/>
  <c r="T5542"/>
  <c r="U5542"/>
  <c r="V5542"/>
  <c r="W5542"/>
  <c r="Y5542"/>
  <c r="AA5542"/>
  <c r="AB5542"/>
  <c r="AC5542"/>
  <c r="AD5542"/>
  <c r="P5543"/>
  <c r="T5543"/>
  <c r="U5543"/>
  <c r="V5543"/>
  <c r="W5543"/>
  <c r="Y5543"/>
  <c r="AA5543"/>
  <c r="AB5543"/>
  <c r="AC5543"/>
  <c r="AD5543"/>
  <c r="P5544"/>
  <c r="T5544"/>
  <c r="U5544"/>
  <c r="V5544"/>
  <c r="W5544"/>
  <c r="Y5544"/>
  <c r="AA5544"/>
  <c r="AB5544"/>
  <c r="AC5544"/>
  <c r="AD5544"/>
  <c r="P5545"/>
  <c r="T5545"/>
  <c r="U5545"/>
  <c r="V5545"/>
  <c r="W5545"/>
  <c r="Y5545"/>
  <c r="AA5545"/>
  <c r="AB5545"/>
  <c r="AC5545"/>
  <c r="AD5545"/>
  <c r="P5546"/>
  <c r="T5546"/>
  <c r="U5546"/>
  <c r="V5546"/>
  <c r="W5546"/>
  <c r="Y5546"/>
  <c r="AA5546"/>
  <c r="AB5546"/>
  <c r="AC5546"/>
  <c r="AD5546"/>
  <c r="P5547"/>
  <c r="T5547"/>
  <c r="U5547"/>
  <c r="V5547"/>
  <c r="W5547"/>
  <c r="Y5547"/>
  <c r="AA5547"/>
  <c r="AB5547"/>
  <c r="AC5547"/>
  <c r="AD5547"/>
  <c r="P5548"/>
  <c r="T5548"/>
  <c r="U5548"/>
  <c r="V5548"/>
  <c r="W5548"/>
  <c r="Y5548"/>
  <c r="AA5548"/>
  <c r="AB5548"/>
  <c r="AC5548"/>
  <c r="AD5548"/>
  <c r="P5549"/>
  <c r="T5549"/>
  <c r="U5549"/>
  <c r="V5549"/>
  <c r="W5549"/>
  <c r="Y5549"/>
  <c r="AA5549"/>
  <c r="AB5549"/>
  <c r="AC5549"/>
  <c r="AD5549"/>
  <c r="P5550"/>
  <c r="T5550"/>
  <c r="U5550"/>
  <c r="V5550"/>
  <c r="W5550"/>
  <c r="Y5550"/>
  <c r="AA5550"/>
  <c r="AB5550"/>
  <c r="AC5550"/>
  <c r="AD5550"/>
  <c r="P5551"/>
  <c r="T5551"/>
  <c r="U5551"/>
  <c r="V5551"/>
  <c r="W5551"/>
  <c r="Y5551"/>
  <c r="AA5551"/>
  <c r="AB5551"/>
  <c r="AC5551"/>
  <c r="AD5551"/>
  <c r="P5552"/>
  <c r="T5552"/>
  <c r="U5552"/>
  <c r="V5552"/>
  <c r="W5552"/>
  <c r="Y5552"/>
  <c r="AA5552"/>
  <c r="AB5552"/>
  <c r="AC5552"/>
  <c r="AD5552"/>
  <c r="P5553"/>
  <c r="T5553"/>
  <c r="U5553"/>
  <c r="V5553"/>
  <c r="W5553"/>
  <c r="Y5553"/>
  <c r="AA5553"/>
  <c r="AB5553"/>
  <c r="AC5553"/>
  <c r="AD5553"/>
  <c r="P5554"/>
  <c r="T5554"/>
  <c r="U5554"/>
  <c r="V5554"/>
  <c r="W5554"/>
  <c r="Y5554"/>
  <c r="AA5554"/>
  <c r="AB5554"/>
  <c r="AC5554"/>
  <c r="AD5554"/>
  <c r="P5555"/>
  <c r="T5555"/>
  <c r="U5555"/>
  <c r="V5555"/>
  <c r="W5555"/>
  <c r="Y5555"/>
  <c r="AA5555"/>
  <c r="AB5555"/>
  <c r="AC5555"/>
  <c r="AD5555"/>
  <c r="P5556"/>
  <c r="T5556"/>
  <c r="U5556"/>
  <c r="V5556"/>
  <c r="W5556"/>
  <c r="Y5556"/>
  <c r="AA5556"/>
  <c r="AB5556"/>
  <c r="AC5556"/>
  <c r="AD5556"/>
  <c r="P5557"/>
  <c r="T5557"/>
  <c r="U5557"/>
  <c r="V5557"/>
  <c r="W5557"/>
  <c r="Y5557"/>
  <c r="AA5557"/>
  <c r="AB5557"/>
  <c r="AC5557"/>
  <c r="AD5557"/>
  <c r="P5558"/>
  <c r="T5558"/>
  <c r="U5558"/>
  <c r="V5558"/>
  <c r="W5558"/>
  <c r="Y5558"/>
  <c r="AA5558"/>
  <c r="AB5558"/>
  <c r="AC5558"/>
  <c r="AD5558"/>
  <c r="P5559"/>
  <c r="T5559"/>
  <c r="U5559"/>
  <c r="V5559"/>
  <c r="W5559"/>
  <c r="Y5559"/>
  <c r="AA5559"/>
  <c r="AB5559"/>
  <c r="AC5559"/>
  <c r="AD5559"/>
  <c r="P5560"/>
  <c r="T5560"/>
  <c r="U5560"/>
  <c r="V5560"/>
  <c r="W5560"/>
  <c r="Y5560"/>
  <c r="AA5560"/>
  <c r="AB5560"/>
  <c r="AC5560"/>
  <c r="AD5560"/>
  <c r="P5561"/>
  <c r="T5561"/>
  <c r="U5561"/>
  <c r="V5561"/>
  <c r="W5561"/>
  <c r="Y5561"/>
  <c r="AA5561"/>
  <c r="AB5561"/>
  <c r="AC5561"/>
  <c r="AD5561"/>
  <c r="P5562"/>
  <c r="T5562"/>
  <c r="U5562"/>
  <c r="V5562"/>
  <c r="W5562"/>
  <c r="Y5562"/>
  <c r="AA5562"/>
  <c r="AB5562"/>
  <c r="AC5562"/>
  <c r="AD5562"/>
  <c r="P5563"/>
  <c r="T5563"/>
  <c r="U5563"/>
  <c r="V5563"/>
  <c r="W5563"/>
  <c r="Y5563"/>
  <c r="AA5563"/>
  <c r="AB5563"/>
  <c r="AC5563"/>
  <c r="AD5563"/>
  <c r="P5564"/>
  <c r="T5564"/>
  <c r="U5564"/>
  <c r="V5564"/>
  <c r="W5564"/>
  <c r="Y5564"/>
  <c r="AA5564"/>
  <c r="AB5564"/>
  <c r="AC5564"/>
  <c r="AD5564"/>
  <c r="P5565"/>
  <c r="T5565"/>
  <c r="U5565"/>
  <c r="V5565"/>
  <c r="W5565"/>
  <c r="Y5565"/>
  <c r="AA5565"/>
  <c r="AB5565"/>
  <c r="AC5565"/>
  <c r="AD5565"/>
  <c r="P5566"/>
  <c r="T5566"/>
  <c r="U5566"/>
  <c r="V5566"/>
  <c r="W5566"/>
  <c r="Y5566"/>
  <c r="AA5566"/>
  <c r="AB5566"/>
  <c r="AC5566"/>
  <c r="AD5566"/>
  <c r="P5567"/>
  <c r="T5567"/>
  <c r="U5567"/>
  <c r="V5567"/>
  <c r="W5567"/>
  <c r="Y5567"/>
  <c r="AA5567"/>
  <c r="AB5567"/>
  <c r="AC5567"/>
  <c r="AD5567"/>
  <c r="P5568"/>
  <c r="T5568"/>
  <c r="U5568"/>
  <c r="V5568"/>
  <c r="W5568"/>
  <c r="Y5568"/>
  <c r="AA5568"/>
  <c r="AB5568"/>
  <c r="AC5568"/>
  <c r="AD5568"/>
  <c r="P5569"/>
  <c r="T5569"/>
  <c r="U5569"/>
  <c r="V5569"/>
  <c r="W5569"/>
  <c r="Y5569"/>
  <c r="AA5569"/>
  <c r="AB5569"/>
  <c r="AC5569"/>
  <c r="AD5569"/>
  <c r="P5570"/>
  <c r="T5570"/>
  <c r="U5570"/>
  <c r="V5570"/>
  <c r="W5570"/>
  <c r="Y5570"/>
  <c r="AA5570"/>
  <c r="AB5570"/>
  <c r="AC5570"/>
  <c r="AD5570"/>
  <c r="P5571"/>
  <c r="T5571"/>
  <c r="U5571"/>
  <c r="V5571"/>
  <c r="W5571"/>
  <c r="Y5571"/>
  <c r="AA5571"/>
  <c r="AB5571"/>
  <c r="AC5571"/>
  <c r="AD5571"/>
  <c r="P5572"/>
  <c r="T5572"/>
  <c r="U5572"/>
  <c r="V5572"/>
  <c r="W5572"/>
  <c r="Y5572"/>
  <c r="AA5572"/>
  <c r="AB5572"/>
  <c r="AC5572"/>
  <c r="AD5572"/>
  <c r="P5573"/>
  <c r="T5573"/>
  <c r="U5573"/>
  <c r="V5573"/>
  <c r="W5573"/>
  <c r="Y5573"/>
  <c r="AA5573"/>
  <c r="AB5573"/>
  <c r="AC5573"/>
  <c r="AD5573"/>
  <c r="P5574"/>
  <c r="T5574"/>
  <c r="U5574"/>
  <c r="V5574"/>
  <c r="W5574"/>
  <c r="Y5574"/>
  <c r="AA5574"/>
  <c r="AB5574"/>
  <c r="AC5574"/>
  <c r="AD5574"/>
  <c r="P5575"/>
  <c r="T5575"/>
  <c r="U5575"/>
  <c r="V5575"/>
  <c r="W5575"/>
  <c r="Y5575"/>
  <c r="AA5575"/>
  <c r="AB5575"/>
  <c r="AC5575"/>
  <c r="AD5575"/>
  <c r="P5576"/>
  <c r="T5576"/>
  <c r="U5576"/>
  <c r="V5576"/>
  <c r="W5576"/>
  <c r="Y5576"/>
  <c r="AA5576"/>
  <c r="AB5576"/>
  <c r="AC5576"/>
  <c r="AD5576"/>
  <c r="P5577"/>
  <c r="T5577"/>
  <c r="U5577"/>
  <c r="V5577"/>
  <c r="W5577"/>
  <c r="Y5577"/>
  <c r="AA5577"/>
  <c r="AB5577"/>
  <c r="AC5577"/>
  <c r="AD5577"/>
  <c r="P5578"/>
  <c r="T5578"/>
  <c r="U5578"/>
  <c r="V5578"/>
  <c r="W5578"/>
  <c r="Y5578"/>
  <c r="AA5578"/>
  <c r="AB5578"/>
  <c r="AC5578"/>
  <c r="AD5578"/>
  <c r="P5579"/>
  <c r="T5579"/>
  <c r="U5579"/>
  <c r="V5579"/>
  <c r="W5579"/>
  <c r="Y5579"/>
  <c r="AA5579"/>
  <c r="AB5579"/>
  <c r="AC5579"/>
  <c r="AD5579"/>
  <c r="P5580"/>
  <c r="T5580"/>
  <c r="U5580"/>
  <c r="V5580"/>
  <c r="W5580"/>
  <c r="Y5580"/>
  <c r="AA5580"/>
  <c r="AB5580"/>
  <c r="AC5580"/>
  <c r="AD5580"/>
  <c r="P5581"/>
  <c r="T5581"/>
  <c r="U5581"/>
  <c r="V5581"/>
  <c r="W5581"/>
  <c r="Y5581"/>
  <c r="AA5581"/>
  <c r="AB5581"/>
  <c r="AC5581"/>
  <c r="AD5581"/>
  <c r="P5582"/>
  <c r="T5582"/>
  <c r="U5582"/>
  <c r="V5582"/>
  <c r="W5582"/>
  <c r="Y5582"/>
  <c r="AA5582"/>
  <c r="AB5582"/>
  <c r="AC5582"/>
  <c r="AD5582"/>
  <c r="P5583"/>
  <c r="T5583"/>
  <c r="U5583"/>
  <c r="V5583"/>
  <c r="W5583"/>
  <c r="Y5583"/>
  <c r="AA5583"/>
  <c r="AB5583"/>
  <c r="AC5583"/>
  <c r="AD5583"/>
  <c r="P5584"/>
  <c r="T5584"/>
  <c r="U5584"/>
  <c r="V5584"/>
  <c r="W5584"/>
  <c r="Y5584"/>
  <c r="AA5584"/>
  <c r="AB5584"/>
  <c r="AC5584"/>
  <c r="AD5584"/>
  <c r="P5585"/>
  <c r="T5585"/>
  <c r="U5585"/>
  <c r="V5585"/>
  <c r="W5585"/>
  <c r="Y5585"/>
  <c r="AA5585"/>
  <c r="AB5585"/>
  <c r="AC5585"/>
  <c r="AD5585"/>
  <c r="P5586"/>
  <c r="T5586"/>
  <c r="U5586"/>
  <c r="V5586"/>
  <c r="W5586"/>
  <c r="Y5586"/>
  <c r="AA5586"/>
  <c r="AB5586"/>
  <c r="AC5586"/>
  <c r="AD5586"/>
  <c r="P5587"/>
  <c r="T5587"/>
  <c r="U5587"/>
  <c r="V5587"/>
  <c r="W5587"/>
  <c r="Y5587"/>
  <c r="AA5587"/>
  <c r="AB5587"/>
  <c r="AC5587"/>
  <c r="AD5587"/>
  <c r="P5588"/>
  <c r="T5588"/>
  <c r="U5588"/>
  <c r="V5588"/>
  <c r="W5588"/>
  <c r="Y5588"/>
  <c r="AA5588"/>
  <c r="AB5588"/>
  <c r="AC5588"/>
  <c r="AD5588"/>
  <c r="P5589"/>
  <c r="T5589"/>
  <c r="U5589"/>
  <c r="V5589"/>
  <c r="W5589"/>
  <c r="Y5589"/>
  <c r="AA5589"/>
  <c r="AB5589"/>
  <c r="AC5589"/>
  <c r="AD5589"/>
  <c r="P5590"/>
  <c r="T5590"/>
  <c r="U5590"/>
  <c r="V5590"/>
  <c r="W5590"/>
  <c r="Y5590"/>
  <c r="AA5590"/>
  <c r="AB5590"/>
  <c r="AC5590"/>
  <c r="AD5590"/>
  <c r="P5591"/>
  <c r="T5591"/>
  <c r="U5591"/>
  <c r="V5591"/>
  <c r="W5591"/>
  <c r="Y5591"/>
  <c r="AA5591"/>
  <c r="AB5591"/>
  <c r="AC5591"/>
  <c r="AD5591"/>
  <c r="P5592"/>
  <c r="T5592"/>
  <c r="U5592"/>
  <c r="V5592"/>
  <c r="W5592"/>
  <c r="Y5592"/>
  <c r="AA5592"/>
  <c r="AB5592"/>
  <c r="AC5592"/>
  <c r="AD5592"/>
  <c r="P5593"/>
  <c r="T5593"/>
  <c r="U5593"/>
  <c r="V5593"/>
  <c r="W5593"/>
  <c r="Y5593"/>
  <c r="AA5593"/>
  <c r="AB5593"/>
  <c r="AC5593"/>
  <c r="AD5593"/>
  <c r="P5594"/>
  <c r="T5594"/>
  <c r="U5594"/>
  <c r="V5594"/>
  <c r="W5594"/>
  <c r="Y5594"/>
  <c r="AA5594"/>
  <c r="AB5594"/>
  <c r="AC5594"/>
  <c r="AD5594"/>
  <c r="P5595"/>
  <c r="T5595"/>
  <c r="U5595"/>
  <c r="V5595"/>
  <c r="W5595"/>
  <c r="Y5595"/>
  <c r="AA5595"/>
  <c r="AB5595"/>
  <c r="AC5595"/>
  <c r="AD5595"/>
  <c r="P5596"/>
  <c r="T5596"/>
  <c r="U5596"/>
  <c r="V5596"/>
  <c r="W5596"/>
  <c r="Y5596"/>
  <c r="AA5596"/>
  <c r="AB5596"/>
  <c r="AC5596"/>
  <c r="AD5596"/>
  <c r="P5597"/>
  <c r="T5597"/>
  <c r="U5597"/>
  <c r="V5597"/>
  <c r="W5597"/>
  <c r="Y5597"/>
  <c r="AA5597"/>
  <c r="AB5597"/>
  <c r="AC5597"/>
  <c r="AD5597"/>
  <c r="P5598"/>
  <c r="T5598"/>
  <c r="U5598"/>
  <c r="V5598"/>
  <c r="W5598"/>
  <c r="Y5598"/>
  <c r="AA5598"/>
  <c r="AB5598"/>
  <c r="AC5598"/>
  <c r="AD5598"/>
  <c r="P5599"/>
  <c r="T5599"/>
  <c r="U5599"/>
  <c r="V5599"/>
  <c r="W5599"/>
  <c r="Y5599"/>
  <c r="AA5599"/>
  <c r="AB5599"/>
  <c r="AC5599"/>
  <c r="AD5599"/>
  <c r="P5600"/>
  <c r="T5600"/>
  <c r="U5600"/>
  <c r="V5600"/>
  <c r="W5600"/>
  <c r="Y5600"/>
  <c r="AA5600"/>
  <c r="AB5600"/>
  <c r="AC5600"/>
  <c r="AD5600"/>
  <c r="P5601"/>
  <c r="T5601"/>
  <c r="U5601"/>
  <c r="V5601"/>
  <c r="W5601"/>
  <c r="Y5601"/>
  <c r="AA5601"/>
  <c r="AB5601"/>
  <c r="AC5601"/>
  <c r="AD5601"/>
  <c r="P5602"/>
  <c r="T5602"/>
  <c r="U5602"/>
  <c r="V5602"/>
  <c r="W5602"/>
  <c r="Y5602"/>
  <c r="AA5602"/>
  <c r="AB5602"/>
  <c r="AC5602"/>
  <c r="AD5602"/>
  <c r="P5603"/>
  <c r="T5603"/>
  <c r="U5603"/>
  <c r="V5603"/>
  <c r="W5603"/>
  <c r="Y5603"/>
  <c r="AA5603"/>
  <c r="AB5603"/>
  <c r="AC5603"/>
  <c r="AD5603"/>
  <c r="P5604"/>
  <c r="T5604"/>
  <c r="U5604"/>
  <c r="V5604"/>
  <c r="W5604"/>
  <c r="Y5604"/>
  <c r="AA5604"/>
  <c r="AB5604"/>
  <c r="AC5604"/>
  <c r="AD5604"/>
  <c r="P5605"/>
  <c r="T5605"/>
  <c r="U5605"/>
  <c r="V5605"/>
  <c r="W5605"/>
  <c r="Y5605"/>
  <c r="AA5605"/>
  <c r="AB5605"/>
  <c r="AC5605"/>
  <c r="AD5605"/>
  <c r="P5606"/>
  <c r="T5606"/>
  <c r="U5606"/>
  <c r="V5606"/>
  <c r="W5606"/>
  <c r="Y5606"/>
  <c r="AA5606"/>
  <c r="AB5606"/>
  <c r="AC5606"/>
  <c r="AD5606"/>
  <c r="P5607"/>
  <c r="T5607"/>
  <c r="U5607"/>
  <c r="V5607"/>
  <c r="W5607"/>
  <c r="Y5607"/>
  <c r="AA5607"/>
  <c r="AB5607"/>
  <c r="AC5607"/>
  <c r="AD5607"/>
  <c r="P5608"/>
  <c r="T5608"/>
  <c r="U5608"/>
  <c r="V5608"/>
  <c r="W5608"/>
  <c r="Y5608"/>
  <c r="AA5608"/>
  <c r="AB5608"/>
  <c r="AC5608"/>
  <c r="AD5608"/>
  <c r="P5609"/>
  <c r="T5609"/>
  <c r="U5609"/>
  <c r="V5609"/>
  <c r="W5609"/>
  <c r="Y5609"/>
  <c r="AA5609"/>
  <c r="AB5609"/>
  <c r="AC5609"/>
  <c r="AD5609"/>
  <c r="P5610"/>
  <c r="T5610"/>
  <c r="U5610"/>
  <c r="V5610"/>
  <c r="W5610"/>
  <c r="Y5610"/>
  <c r="AA5610"/>
  <c r="AB5610"/>
  <c r="AC5610"/>
  <c r="AD5610"/>
  <c r="P5611"/>
  <c r="T5611"/>
  <c r="U5611"/>
  <c r="V5611"/>
  <c r="W5611"/>
  <c r="Y5611"/>
  <c r="AA5611"/>
  <c r="AB5611"/>
  <c r="AC5611"/>
  <c r="AD5611"/>
  <c r="P5612"/>
  <c r="T5612"/>
  <c r="U5612"/>
  <c r="V5612"/>
  <c r="W5612"/>
  <c r="Y5612"/>
  <c r="AA5612"/>
  <c r="AB5612"/>
  <c r="AC5612"/>
  <c r="AD5612"/>
  <c r="P5613"/>
  <c r="T5613"/>
  <c r="U5613"/>
  <c r="V5613"/>
  <c r="W5613"/>
  <c r="Y5613"/>
  <c r="AA5613"/>
  <c r="AB5613"/>
  <c r="AC5613"/>
  <c r="AD5613"/>
  <c r="P5614"/>
  <c r="T5614"/>
  <c r="U5614"/>
  <c r="V5614"/>
  <c r="W5614"/>
  <c r="Y5614"/>
  <c r="AA5614"/>
  <c r="AB5614"/>
  <c r="AC5614"/>
  <c r="AD5614"/>
  <c r="P5615"/>
  <c r="T5615"/>
  <c r="U5615"/>
  <c r="V5615"/>
  <c r="W5615"/>
  <c r="Y5615"/>
  <c r="AA5615"/>
  <c r="AB5615"/>
  <c r="AC5615"/>
  <c r="AD5615"/>
  <c r="P5616"/>
  <c r="T5616"/>
  <c r="U5616"/>
  <c r="V5616"/>
  <c r="W5616"/>
  <c r="Y5616"/>
  <c r="AA5616"/>
  <c r="AB5616"/>
  <c r="AC5616"/>
  <c r="AD5616"/>
  <c r="P5617"/>
  <c r="T5617"/>
  <c r="U5617"/>
  <c r="V5617"/>
  <c r="W5617"/>
  <c r="Y5617"/>
  <c r="AA5617"/>
  <c r="AB5617"/>
  <c r="AC5617"/>
  <c r="AD5617"/>
  <c r="P5618"/>
  <c r="T5618"/>
  <c r="U5618"/>
  <c r="V5618"/>
  <c r="W5618"/>
  <c r="Y5618"/>
  <c r="AA5618"/>
  <c r="AB5618"/>
  <c r="AC5618"/>
  <c r="AD5618"/>
  <c r="P5619"/>
  <c r="T5619"/>
  <c r="U5619"/>
  <c r="V5619"/>
  <c r="W5619"/>
  <c r="Y5619"/>
  <c r="AA5619"/>
  <c r="AB5619"/>
  <c r="AC5619"/>
  <c r="AD5619"/>
  <c r="P5620"/>
  <c r="T5620"/>
  <c r="U5620"/>
  <c r="V5620"/>
  <c r="W5620"/>
  <c r="Y5620"/>
  <c r="AA5620"/>
  <c r="AB5620"/>
  <c r="AC5620"/>
  <c r="AD5620"/>
  <c r="P5621"/>
  <c r="T5621"/>
  <c r="U5621"/>
  <c r="V5621"/>
  <c r="W5621"/>
  <c r="Y5621"/>
  <c r="AA5621"/>
  <c r="AB5621"/>
  <c r="AC5621"/>
  <c r="AD5621"/>
  <c r="P5622"/>
  <c r="T5622"/>
  <c r="U5622"/>
  <c r="V5622"/>
  <c r="W5622"/>
  <c r="Y5622"/>
  <c r="AA5622"/>
  <c r="AB5622"/>
  <c r="AC5622"/>
  <c r="AD5622"/>
  <c r="P5623"/>
  <c r="T5623"/>
  <c r="U5623"/>
  <c r="V5623"/>
  <c r="W5623"/>
  <c r="Y5623"/>
  <c r="AA5623"/>
  <c r="AB5623"/>
  <c r="AC5623"/>
  <c r="AD5623"/>
  <c r="P5624"/>
  <c r="T5624"/>
  <c r="U5624"/>
  <c r="V5624"/>
  <c r="W5624"/>
  <c r="Y5624"/>
  <c r="AA5624"/>
  <c r="AB5624"/>
  <c r="AC5624"/>
  <c r="AD5624"/>
  <c r="P5625"/>
  <c r="T5625"/>
  <c r="U5625"/>
  <c r="V5625"/>
  <c r="W5625"/>
  <c r="Y5625"/>
  <c r="AA5625"/>
  <c r="AB5625"/>
  <c r="AC5625"/>
  <c r="AD5625"/>
  <c r="P5626"/>
  <c r="T5626"/>
  <c r="U5626"/>
  <c r="V5626"/>
  <c r="W5626"/>
  <c r="Y5626"/>
  <c r="AA5626"/>
  <c r="AB5626"/>
  <c r="AC5626"/>
  <c r="AD5626"/>
  <c r="P5627"/>
  <c r="T5627"/>
  <c r="U5627"/>
  <c r="V5627"/>
  <c r="W5627"/>
  <c r="Y5627"/>
  <c r="AA5627"/>
  <c r="AB5627"/>
  <c r="AC5627"/>
  <c r="AD5627"/>
  <c r="P5628"/>
  <c r="T5628"/>
  <c r="U5628"/>
  <c r="V5628"/>
  <c r="W5628"/>
  <c r="Y5628"/>
  <c r="AA5628"/>
  <c r="AB5628"/>
  <c r="AC5628"/>
  <c r="AD5628"/>
  <c r="P5629"/>
  <c r="T5629"/>
  <c r="U5629"/>
  <c r="V5629"/>
  <c r="W5629"/>
  <c r="Y5629"/>
  <c r="AA5629"/>
  <c r="AB5629"/>
  <c r="AC5629"/>
  <c r="AD5629"/>
  <c r="P5630"/>
  <c r="T5630"/>
  <c r="U5630"/>
  <c r="V5630"/>
  <c r="W5630"/>
  <c r="Y5630"/>
  <c r="AA5630"/>
  <c r="AB5630"/>
  <c r="AC5630"/>
  <c r="AD5630"/>
  <c r="P5631"/>
  <c r="T5631"/>
  <c r="U5631"/>
  <c r="V5631"/>
  <c r="W5631"/>
  <c r="Y5631"/>
  <c r="AA5631"/>
  <c r="AB5631"/>
  <c r="AC5631"/>
  <c r="AD5631"/>
  <c r="P5632"/>
  <c r="T5632"/>
  <c r="U5632"/>
  <c r="V5632"/>
  <c r="W5632"/>
  <c r="Y5632"/>
  <c r="AA5632"/>
  <c r="AB5632"/>
  <c r="AC5632"/>
  <c r="AD5632"/>
  <c r="P5633"/>
  <c r="T5633"/>
  <c r="U5633"/>
  <c r="V5633"/>
  <c r="W5633"/>
  <c r="Y5633"/>
  <c r="AA5633"/>
  <c r="AB5633"/>
  <c r="AC5633"/>
  <c r="AD5633"/>
  <c r="P5634"/>
  <c r="T5634"/>
  <c r="U5634"/>
  <c r="V5634"/>
  <c r="W5634"/>
  <c r="Y5634"/>
  <c r="AA5634"/>
  <c r="AB5634"/>
  <c r="AC5634"/>
  <c r="AD5634"/>
  <c r="P5635"/>
  <c r="T5635"/>
  <c r="U5635"/>
  <c r="V5635"/>
  <c r="W5635"/>
  <c r="Y5635"/>
  <c r="AA5635"/>
  <c r="AB5635"/>
  <c r="AC5635"/>
  <c r="AD5635"/>
  <c r="P5636"/>
  <c r="T5636"/>
  <c r="U5636"/>
  <c r="V5636"/>
  <c r="W5636"/>
  <c r="Y5636"/>
  <c r="AA5636"/>
  <c r="AB5636"/>
  <c r="AC5636"/>
  <c r="AD5636"/>
  <c r="P5637"/>
  <c r="T5637"/>
  <c r="U5637"/>
  <c r="V5637"/>
  <c r="W5637"/>
  <c r="Y5637"/>
  <c r="AA5637"/>
  <c r="AB5637"/>
  <c r="AC5637"/>
  <c r="AD5637"/>
  <c r="P5638"/>
  <c r="T5638"/>
  <c r="U5638"/>
  <c r="V5638"/>
  <c r="W5638"/>
  <c r="Y5638"/>
  <c r="AA5638"/>
  <c r="AB5638"/>
  <c r="AC5638"/>
  <c r="AD5638"/>
  <c r="P5639"/>
  <c r="T5639"/>
  <c r="U5639"/>
  <c r="V5639"/>
  <c r="W5639"/>
  <c r="Y5639"/>
  <c r="AA5639"/>
  <c r="AB5639"/>
  <c r="AC5639"/>
  <c r="AD5639"/>
  <c r="P5640"/>
  <c r="T5640"/>
  <c r="U5640"/>
  <c r="V5640"/>
  <c r="W5640"/>
  <c r="Y5640"/>
  <c r="AA5640"/>
  <c r="AB5640"/>
  <c r="AC5640"/>
  <c r="AD5640"/>
  <c r="P5641"/>
  <c r="T5641"/>
  <c r="U5641"/>
  <c r="V5641"/>
  <c r="W5641"/>
  <c r="Y5641"/>
  <c r="AA5641"/>
  <c r="AB5641"/>
  <c r="AC5641"/>
  <c r="AD5641"/>
  <c r="P5642"/>
  <c r="T5642"/>
  <c r="U5642"/>
  <c r="V5642"/>
  <c r="W5642"/>
  <c r="Y5642"/>
  <c r="AA5642"/>
  <c r="AB5642"/>
  <c r="AC5642"/>
  <c r="AD5642"/>
  <c r="P5643"/>
  <c r="T5643"/>
  <c r="U5643"/>
  <c r="V5643"/>
  <c r="W5643"/>
  <c r="Y5643"/>
  <c r="AA5643"/>
  <c r="AB5643"/>
  <c r="AC5643"/>
  <c r="AD5643"/>
  <c r="P5644"/>
  <c r="T5644"/>
  <c r="U5644"/>
  <c r="V5644"/>
  <c r="W5644"/>
  <c r="Y5644"/>
  <c r="AA5644"/>
  <c r="AB5644"/>
  <c r="AC5644"/>
  <c r="AD5644"/>
  <c r="P5645"/>
  <c r="T5645"/>
  <c r="U5645"/>
  <c r="V5645"/>
  <c r="W5645"/>
  <c r="Y5645"/>
  <c r="AA5645"/>
  <c r="AB5645"/>
  <c r="AC5645"/>
  <c r="AD5645"/>
  <c r="P5646"/>
  <c r="T5646"/>
  <c r="U5646"/>
  <c r="V5646"/>
  <c r="W5646"/>
  <c r="Y5646"/>
  <c r="AA5646"/>
  <c r="AB5646"/>
  <c r="AC5646"/>
  <c r="AD5646"/>
  <c r="P5647"/>
  <c r="T5647"/>
  <c r="U5647"/>
  <c r="V5647"/>
  <c r="W5647"/>
  <c r="Y5647"/>
  <c r="AA5647"/>
  <c r="AB5647"/>
  <c r="AC5647"/>
  <c r="AD5647"/>
  <c r="P5648"/>
  <c r="T5648"/>
  <c r="U5648"/>
  <c r="V5648"/>
  <c r="W5648"/>
  <c r="Y5648"/>
  <c r="AA5648"/>
  <c r="AB5648"/>
  <c r="AC5648"/>
  <c r="AD5648"/>
  <c r="P5649"/>
  <c r="T5649"/>
  <c r="U5649"/>
  <c r="V5649"/>
  <c r="W5649"/>
  <c r="Y5649"/>
  <c r="AA5649"/>
  <c r="AB5649"/>
  <c r="AC5649"/>
  <c r="AD5649"/>
  <c r="P5650"/>
  <c r="T5650"/>
  <c r="U5650"/>
  <c r="V5650"/>
  <c r="W5650"/>
  <c r="Y5650"/>
  <c r="AA5650"/>
  <c r="AB5650"/>
  <c r="AC5650"/>
  <c r="AD5650"/>
  <c r="P5651"/>
  <c r="T5651"/>
  <c r="U5651"/>
  <c r="V5651"/>
  <c r="W5651"/>
  <c r="Y5651"/>
  <c r="AA5651"/>
  <c r="AB5651"/>
  <c r="AC5651"/>
  <c r="AD5651"/>
  <c r="P5652"/>
  <c r="T5652"/>
  <c r="U5652"/>
  <c r="V5652"/>
  <c r="W5652"/>
  <c r="Y5652"/>
  <c r="AA5652"/>
  <c r="AB5652"/>
  <c r="AC5652"/>
  <c r="AD5652"/>
  <c r="P5653"/>
  <c r="T5653"/>
  <c r="U5653"/>
  <c r="V5653"/>
  <c r="W5653"/>
  <c r="Y5653"/>
  <c r="AA5653"/>
  <c r="AB5653"/>
  <c r="AC5653"/>
  <c r="AD5653"/>
  <c r="P5654"/>
  <c r="T5654"/>
  <c r="U5654"/>
  <c r="V5654"/>
  <c r="W5654"/>
  <c r="Y5654"/>
  <c r="AA5654"/>
  <c r="AB5654"/>
  <c r="AC5654"/>
  <c r="AD5654"/>
  <c r="P5655"/>
  <c r="T5655"/>
  <c r="U5655"/>
  <c r="V5655"/>
  <c r="W5655"/>
  <c r="Y5655"/>
  <c r="AA5655"/>
  <c r="AB5655"/>
  <c r="AC5655"/>
  <c r="AD5655"/>
  <c r="P5656"/>
  <c r="T5656"/>
  <c r="U5656"/>
  <c r="V5656"/>
  <c r="W5656"/>
  <c r="Y5656"/>
  <c r="AA5656"/>
  <c r="AB5656"/>
  <c r="AC5656"/>
  <c r="AD5656"/>
  <c r="P5657"/>
  <c r="T5657"/>
  <c r="U5657"/>
  <c r="V5657"/>
  <c r="W5657"/>
  <c r="Y5657"/>
  <c r="AA5657"/>
  <c r="AB5657"/>
  <c r="AC5657"/>
  <c r="AD5657"/>
  <c r="P5658"/>
  <c r="T5658"/>
  <c r="U5658"/>
  <c r="V5658"/>
  <c r="W5658"/>
  <c r="Y5658"/>
  <c r="AA5658"/>
  <c r="AB5658"/>
  <c r="AC5658"/>
  <c r="AD5658"/>
  <c r="P5659"/>
  <c r="T5659"/>
  <c r="U5659"/>
  <c r="V5659"/>
  <c r="W5659"/>
  <c r="Y5659"/>
  <c r="AA5659"/>
  <c r="AB5659"/>
  <c r="AC5659"/>
  <c r="AD5659"/>
  <c r="P5660"/>
  <c r="T5660"/>
  <c r="U5660"/>
  <c r="V5660"/>
  <c r="W5660"/>
  <c r="Y5660"/>
  <c r="AA5660"/>
  <c r="AB5660"/>
  <c r="AC5660"/>
  <c r="AD5660"/>
  <c r="P5661"/>
  <c r="T5661"/>
  <c r="U5661"/>
  <c r="V5661"/>
  <c r="W5661"/>
  <c r="Y5661"/>
  <c r="AA5661"/>
  <c r="AB5661"/>
  <c r="AC5661"/>
  <c r="AD5661"/>
  <c r="P5662"/>
  <c r="T5662"/>
  <c r="U5662"/>
  <c r="V5662"/>
  <c r="W5662"/>
  <c r="Y5662"/>
  <c r="AA5662"/>
  <c r="AB5662"/>
  <c r="AC5662"/>
  <c r="AD5662"/>
  <c r="P5663"/>
  <c r="T5663"/>
  <c r="U5663"/>
  <c r="V5663"/>
  <c r="W5663"/>
  <c r="Y5663"/>
  <c r="AA5663"/>
  <c r="AB5663"/>
  <c r="AC5663"/>
  <c r="AD5663"/>
  <c r="P5664"/>
  <c r="T5664"/>
  <c r="U5664"/>
  <c r="V5664"/>
  <c r="W5664"/>
  <c r="Y5664"/>
  <c r="AA5664"/>
  <c r="AB5664"/>
  <c r="AC5664"/>
  <c r="AD5664"/>
  <c r="P5665"/>
  <c r="T5665"/>
  <c r="U5665"/>
  <c r="V5665"/>
  <c r="W5665"/>
  <c r="Y5665"/>
  <c r="AA5665"/>
  <c r="AB5665"/>
  <c r="AC5665"/>
  <c r="AD5665"/>
  <c r="P5666"/>
  <c r="T5666"/>
  <c r="U5666"/>
  <c r="V5666"/>
  <c r="W5666"/>
  <c r="Y5666"/>
  <c r="AA5666"/>
  <c r="AB5666"/>
  <c r="AC5666"/>
  <c r="AD5666"/>
  <c r="P5667"/>
  <c r="T5667"/>
  <c r="U5667"/>
  <c r="V5667"/>
  <c r="W5667"/>
  <c r="Y5667"/>
  <c r="AA5667"/>
  <c r="AB5667"/>
  <c r="AC5667"/>
  <c r="AD5667"/>
  <c r="P5668"/>
  <c r="T5668"/>
  <c r="U5668"/>
  <c r="V5668"/>
  <c r="W5668"/>
  <c r="Y5668"/>
  <c r="AA5668"/>
  <c r="AB5668"/>
  <c r="AC5668"/>
  <c r="AD5668"/>
  <c r="P5669"/>
  <c r="T5669"/>
  <c r="U5669"/>
  <c r="V5669"/>
  <c r="W5669"/>
  <c r="Y5669"/>
  <c r="AA5669"/>
  <c r="AB5669"/>
  <c r="AC5669"/>
  <c r="AD5669"/>
  <c r="P5670"/>
  <c r="T5670"/>
  <c r="U5670"/>
  <c r="V5670"/>
  <c r="W5670"/>
  <c r="Y5670"/>
  <c r="AA5670"/>
  <c r="AB5670"/>
  <c r="AC5670"/>
  <c r="AD5670"/>
  <c r="P5671"/>
  <c r="T5671"/>
  <c r="U5671"/>
  <c r="V5671"/>
  <c r="W5671"/>
  <c r="Y5671"/>
  <c r="AA5671"/>
  <c r="AB5671"/>
  <c r="AC5671"/>
  <c r="AD5671"/>
  <c r="P5672"/>
  <c r="T5672"/>
  <c r="U5672"/>
  <c r="V5672"/>
  <c r="W5672"/>
  <c r="Y5672"/>
  <c r="AA5672"/>
  <c r="AB5672"/>
  <c r="AC5672"/>
  <c r="AD5672"/>
  <c r="P5673"/>
  <c r="T5673"/>
  <c r="U5673"/>
  <c r="V5673"/>
  <c r="W5673"/>
  <c r="Y5673"/>
  <c r="AA5673"/>
  <c r="AB5673"/>
  <c r="AC5673"/>
  <c r="AD5673"/>
  <c r="P5674"/>
  <c r="T5674"/>
  <c r="U5674"/>
  <c r="V5674"/>
  <c r="W5674"/>
  <c r="Y5674"/>
  <c r="AA5674"/>
  <c r="AB5674"/>
  <c r="AC5674"/>
  <c r="AD5674"/>
  <c r="P5675"/>
  <c r="T5675"/>
  <c r="U5675"/>
  <c r="V5675"/>
  <c r="W5675"/>
  <c r="Y5675"/>
  <c r="AA5675"/>
  <c r="AB5675"/>
  <c r="AC5675"/>
  <c r="AD5675"/>
  <c r="P5676"/>
  <c r="T5676"/>
  <c r="U5676"/>
  <c r="V5676"/>
  <c r="W5676"/>
  <c r="Y5676"/>
  <c r="AA5676"/>
  <c r="AB5676"/>
  <c r="AC5676"/>
  <c r="AD5676"/>
  <c r="P5677"/>
  <c r="T5677"/>
  <c r="U5677"/>
  <c r="V5677"/>
  <c r="W5677"/>
  <c r="Y5677"/>
  <c r="AA5677"/>
  <c r="AB5677"/>
  <c r="AC5677"/>
  <c r="AD5677"/>
  <c r="P5678"/>
  <c r="T5678"/>
  <c r="U5678"/>
  <c r="V5678"/>
  <c r="W5678"/>
  <c r="Y5678"/>
  <c r="AA5678"/>
  <c r="AB5678"/>
  <c r="AC5678"/>
  <c r="AD5678"/>
  <c r="P5679"/>
  <c r="T5679"/>
  <c r="U5679"/>
  <c r="V5679"/>
  <c r="W5679"/>
  <c r="Y5679"/>
  <c r="AA5679"/>
  <c r="AB5679"/>
  <c r="AC5679"/>
  <c r="AD5679"/>
  <c r="P5680"/>
  <c r="T5680"/>
  <c r="U5680"/>
  <c r="V5680"/>
  <c r="W5680"/>
  <c r="Y5680"/>
  <c r="AA5680"/>
  <c r="AB5680"/>
  <c r="AC5680"/>
  <c r="AD5680"/>
  <c r="P5681"/>
  <c r="T5681"/>
  <c r="U5681"/>
  <c r="V5681"/>
  <c r="W5681"/>
  <c r="Y5681"/>
  <c r="AA5681"/>
  <c r="AB5681"/>
  <c r="AC5681"/>
  <c r="AD5681"/>
  <c r="P5682"/>
  <c r="T5682"/>
  <c r="U5682"/>
  <c r="V5682"/>
  <c r="W5682"/>
  <c r="Y5682"/>
  <c r="AA5682"/>
  <c r="AB5682"/>
  <c r="AC5682"/>
  <c r="AD5682"/>
  <c r="P5683"/>
  <c r="T5683"/>
  <c r="U5683"/>
  <c r="V5683"/>
  <c r="W5683"/>
  <c r="Y5683"/>
  <c r="AA5683"/>
  <c r="AB5683"/>
  <c r="AC5683"/>
  <c r="AD5683"/>
  <c r="P5684"/>
  <c r="T5684"/>
  <c r="U5684"/>
  <c r="V5684"/>
  <c r="W5684"/>
  <c r="Y5684"/>
  <c r="AA5684"/>
  <c r="AB5684"/>
  <c r="AC5684"/>
  <c r="AD5684"/>
  <c r="P5685"/>
  <c r="T5685"/>
  <c r="U5685"/>
  <c r="V5685"/>
  <c r="W5685"/>
  <c r="Y5685"/>
  <c r="AA5685"/>
  <c r="AB5685"/>
  <c r="AC5685"/>
  <c r="AD5685"/>
  <c r="P5686"/>
  <c r="T5686"/>
  <c r="U5686"/>
  <c r="V5686"/>
  <c r="W5686"/>
  <c r="Y5686"/>
  <c r="AA5686"/>
  <c r="AB5686"/>
  <c r="AC5686"/>
  <c r="AD5686"/>
  <c r="P5687"/>
  <c r="T5687"/>
  <c r="U5687"/>
  <c r="V5687"/>
  <c r="W5687"/>
  <c r="Y5687"/>
  <c r="AA5687"/>
  <c r="AB5687"/>
  <c r="AC5687"/>
  <c r="AD5687"/>
  <c r="P5688"/>
  <c r="T5688"/>
  <c r="U5688"/>
  <c r="V5688"/>
  <c r="W5688"/>
  <c r="Y5688"/>
  <c r="AA5688"/>
  <c r="AB5688"/>
  <c r="AC5688"/>
  <c r="AD5688"/>
  <c r="P5689"/>
  <c r="T5689"/>
  <c r="U5689"/>
  <c r="V5689"/>
  <c r="W5689"/>
  <c r="Y5689"/>
  <c r="AA5689"/>
  <c r="AB5689"/>
  <c r="AC5689"/>
  <c r="AD5689"/>
  <c r="P5690"/>
  <c r="T5690"/>
  <c r="U5690"/>
  <c r="V5690"/>
  <c r="W5690"/>
  <c r="Y5690"/>
  <c r="AA5690"/>
  <c r="AB5690"/>
  <c r="AC5690"/>
  <c r="AD5690"/>
  <c r="P5691"/>
  <c r="T5691"/>
  <c r="U5691"/>
  <c r="V5691"/>
  <c r="W5691"/>
  <c r="Y5691"/>
  <c r="AA5691"/>
  <c r="AB5691"/>
  <c r="AC5691"/>
  <c r="AD5691"/>
  <c r="P5692"/>
  <c r="T5692"/>
  <c r="U5692"/>
  <c r="V5692"/>
  <c r="W5692"/>
  <c r="Y5692"/>
  <c r="AA5692"/>
  <c r="AB5692"/>
  <c r="AC5692"/>
  <c r="AD5692"/>
  <c r="P5693"/>
  <c r="T5693"/>
  <c r="U5693"/>
  <c r="V5693"/>
  <c r="W5693"/>
  <c r="Y5693"/>
  <c r="AA5693"/>
  <c r="AB5693"/>
  <c r="AC5693"/>
  <c r="AD5693"/>
  <c r="P5694"/>
  <c r="T5694"/>
  <c r="U5694"/>
  <c r="V5694"/>
  <c r="W5694"/>
  <c r="Y5694"/>
  <c r="AA5694"/>
  <c r="AB5694"/>
  <c r="AC5694"/>
  <c r="AD5694"/>
  <c r="P5695"/>
  <c r="T5695"/>
  <c r="U5695"/>
  <c r="V5695"/>
  <c r="W5695"/>
  <c r="Y5695"/>
  <c r="AA5695"/>
  <c r="AB5695"/>
  <c r="AC5695"/>
  <c r="AD5695"/>
  <c r="P5696"/>
  <c r="T5696"/>
  <c r="U5696"/>
  <c r="V5696"/>
  <c r="W5696"/>
  <c r="Y5696"/>
  <c r="AA5696"/>
  <c r="AB5696"/>
  <c r="AC5696"/>
  <c r="AD5696"/>
  <c r="P5697"/>
  <c r="T5697"/>
  <c r="U5697"/>
  <c r="V5697"/>
  <c r="W5697"/>
  <c r="Y5697"/>
  <c r="AA5697"/>
  <c r="AB5697"/>
  <c r="AC5697"/>
  <c r="AD5697"/>
  <c r="P5698"/>
  <c r="T5698"/>
  <c r="U5698"/>
  <c r="V5698"/>
  <c r="W5698"/>
  <c r="Y5698"/>
  <c r="AA5698"/>
  <c r="AB5698"/>
  <c r="AC5698"/>
  <c r="AD5698"/>
  <c r="P5699"/>
  <c r="T5699"/>
  <c r="U5699"/>
  <c r="V5699"/>
  <c r="W5699"/>
  <c r="Y5699"/>
  <c r="AA5699"/>
  <c r="AB5699"/>
  <c r="AC5699"/>
  <c r="AD5699"/>
  <c r="P5700"/>
  <c r="T5700"/>
  <c r="U5700"/>
  <c r="V5700"/>
  <c r="W5700"/>
  <c r="Y5700"/>
  <c r="AA5700"/>
  <c r="AB5700"/>
  <c r="AC5700"/>
  <c r="AD5700"/>
  <c r="P5701"/>
  <c r="T5701"/>
  <c r="U5701"/>
  <c r="V5701"/>
  <c r="W5701"/>
  <c r="Y5701"/>
  <c r="AA5701"/>
  <c r="AB5701"/>
  <c r="AC5701"/>
  <c r="AD5701"/>
  <c r="P5702"/>
  <c r="T5702"/>
  <c r="U5702"/>
  <c r="V5702"/>
  <c r="W5702"/>
  <c r="Y5702"/>
  <c r="AA5702"/>
  <c r="AB5702"/>
  <c r="AC5702"/>
  <c r="AD5702"/>
  <c r="P5703"/>
  <c r="T5703"/>
  <c r="U5703"/>
  <c r="V5703"/>
  <c r="W5703"/>
  <c r="Y5703"/>
  <c r="AA5703"/>
  <c r="AB5703"/>
  <c r="AC5703"/>
  <c r="AD5703"/>
  <c r="P5704"/>
  <c r="T5704"/>
  <c r="U5704"/>
  <c r="V5704"/>
  <c r="W5704"/>
  <c r="Y5704"/>
  <c r="AA5704"/>
  <c r="AB5704"/>
  <c r="AC5704"/>
  <c r="AD5704"/>
  <c r="P5705"/>
  <c r="T5705"/>
  <c r="U5705"/>
  <c r="V5705"/>
  <c r="W5705"/>
  <c r="Y5705"/>
  <c r="AA5705"/>
  <c r="AB5705"/>
  <c r="AC5705"/>
  <c r="AD5705"/>
  <c r="P5706"/>
  <c r="T5706"/>
  <c r="U5706"/>
  <c r="V5706"/>
  <c r="W5706"/>
  <c r="Y5706"/>
  <c r="AA5706"/>
  <c r="AB5706"/>
  <c r="AC5706"/>
  <c r="AD5706"/>
  <c r="P5707"/>
  <c r="T5707"/>
  <c r="U5707"/>
  <c r="V5707"/>
  <c r="W5707"/>
  <c r="Y5707"/>
  <c r="AA5707"/>
  <c r="AB5707"/>
  <c r="AC5707"/>
  <c r="AD5707"/>
  <c r="P5708"/>
  <c r="T5708"/>
  <c r="U5708"/>
  <c r="V5708"/>
  <c r="W5708"/>
  <c r="Y5708"/>
  <c r="AA5708"/>
  <c r="AB5708"/>
  <c r="AC5708"/>
  <c r="AD5708"/>
  <c r="P5709"/>
  <c r="T5709"/>
  <c r="U5709"/>
  <c r="V5709"/>
  <c r="W5709"/>
  <c r="Y5709"/>
  <c r="AA5709"/>
  <c r="AB5709"/>
  <c r="AC5709"/>
  <c r="AD5709"/>
  <c r="P5710"/>
  <c r="T5710"/>
  <c r="U5710"/>
  <c r="V5710"/>
  <c r="W5710"/>
  <c r="Y5710"/>
  <c r="AA5710"/>
  <c r="AB5710"/>
  <c r="AC5710"/>
  <c r="AD5710"/>
  <c r="P5711"/>
  <c r="T5711"/>
  <c r="U5711"/>
  <c r="V5711"/>
  <c r="W5711"/>
  <c r="Y5711"/>
  <c r="AA5711"/>
  <c r="AB5711"/>
  <c r="AC5711"/>
  <c r="AD5711"/>
  <c r="P5712"/>
  <c r="T5712"/>
  <c r="U5712"/>
  <c r="V5712"/>
  <c r="W5712"/>
  <c r="Y5712"/>
  <c r="AA5712"/>
  <c r="AB5712"/>
  <c r="AC5712"/>
  <c r="AD5712"/>
  <c r="P5713"/>
  <c r="T5713"/>
  <c r="U5713"/>
  <c r="V5713"/>
  <c r="W5713"/>
  <c r="Y5713"/>
  <c r="AA5713"/>
  <c r="AB5713"/>
  <c r="AC5713"/>
  <c r="AD5713"/>
  <c r="P5714"/>
  <c r="T5714"/>
  <c r="U5714"/>
  <c r="V5714"/>
  <c r="W5714"/>
  <c r="Y5714"/>
  <c r="AA5714"/>
  <c r="AB5714"/>
  <c r="AC5714"/>
  <c r="AD5714"/>
  <c r="P5715"/>
  <c r="T5715"/>
  <c r="U5715"/>
  <c r="V5715"/>
  <c r="W5715"/>
  <c r="Y5715"/>
  <c r="AA5715"/>
  <c r="AB5715"/>
  <c r="AC5715"/>
  <c r="AD5715"/>
  <c r="P5716"/>
  <c r="T5716"/>
  <c r="U5716"/>
  <c r="V5716"/>
  <c r="W5716"/>
  <c r="Y5716"/>
  <c r="AA5716"/>
  <c r="AB5716"/>
  <c r="AC5716"/>
  <c r="AD5716"/>
  <c r="P5717"/>
  <c r="T5717"/>
  <c r="U5717"/>
  <c r="V5717"/>
  <c r="W5717"/>
  <c r="Y5717"/>
  <c r="AA5717"/>
  <c r="AB5717"/>
  <c r="AC5717"/>
  <c r="AD5717"/>
  <c r="P5718"/>
  <c r="T5718"/>
  <c r="U5718"/>
  <c r="V5718"/>
  <c r="W5718"/>
  <c r="Y5718"/>
  <c r="AA5718"/>
  <c r="AB5718"/>
  <c r="AC5718"/>
  <c r="AD5718"/>
  <c r="P5719"/>
  <c r="T5719"/>
  <c r="U5719"/>
  <c r="V5719"/>
  <c r="W5719"/>
  <c r="Y5719"/>
  <c r="AA5719"/>
  <c r="AB5719"/>
  <c r="AC5719"/>
  <c r="AD5719"/>
  <c r="P5720"/>
  <c r="T5720"/>
  <c r="U5720"/>
  <c r="V5720"/>
  <c r="W5720"/>
  <c r="Y5720"/>
  <c r="AA5720"/>
  <c r="AB5720"/>
  <c r="AC5720"/>
  <c r="AD5720"/>
  <c r="P5721"/>
  <c r="T5721"/>
  <c r="U5721"/>
  <c r="V5721"/>
  <c r="W5721"/>
  <c r="Y5721"/>
  <c r="AA5721"/>
  <c r="AB5721"/>
  <c r="AC5721"/>
  <c r="AD5721"/>
  <c r="P5722"/>
  <c r="T5722"/>
  <c r="U5722"/>
  <c r="V5722"/>
  <c r="W5722"/>
  <c r="Y5722"/>
  <c r="AA5722"/>
  <c r="AB5722"/>
  <c r="AC5722"/>
  <c r="AD5722"/>
  <c r="P5723"/>
  <c r="T5723"/>
  <c r="U5723"/>
  <c r="V5723"/>
  <c r="W5723"/>
  <c r="Y5723"/>
  <c r="AA5723"/>
  <c r="AB5723"/>
  <c r="AC5723"/>
  <c r="AD5723"/>
  <c r="P5724"/>
  <c r="T5724"/>
  <c r="U5724"/>
  <c r="V5724"/>
  <c r="W5724"/>
  <c r="Y5724"/>
  <c r="AA5724"/>
  <c r="AB5724"/>
  <c r="AC5724"/>
  <c r="AD5724"/>
  <c r="P5725"/>
  <c r="T5725"/>
  <c r="U5725"/>
  <c r="V5725"/>
  <c r="W5725"/>
  <c r="Y5725"/>
  <c r="AA5725"/>
  <c r="AB5725"/>
  <c r="AC5725"/>
  <c r="AD5725"/>
  <c r="P5726"/>
  <c r="T5726"/>
  <c r="U5726"/>
  <c r="V5726"/>
  <c r="W5726"/>
  <c r="Y5726"/>
  <c r="AA5726"/>
  <c r="AB5726"/>
  <c r="AC5726"/>
  <c r="AD5726"/>
  <c r="P5727"/>
  <c r="T5727"/>
  <c r="U5727"/>
  <c r="V5727"/>
  <c r="W5727"/>
  <c r="Y5727"/>
  <c r="AA5727"/>
  <c r="AB5727"/>
  <c r="AC5727"/>
  <c r="AD5727"/>
  <c r="P5728"/>
  <c r="T5728"/>
  <c r="U5728"/>
  <c r="V5728"/>
  <c r="W5728"/>
  <c r="Y5728"/>
  <c r="AA5728"/>
  <c r="AB5728"/>
  <c r="AC5728"/>
  <c r="AD5728"/>
  <c r="P5729"/>
  <c r="T5729"/>
  <c r="U5729"/>
  <c r="V5729"/>
  <c r="W5729"/>
  <c r="Y5729"/>
  <c r="AA5729"/>
  <c r="AB5729"/>
  <c r="AC5729"/>
  <c r="AD5729"/>
  <c r="P5730"/>
  <c r="T5730"/>
  <c r="U5730"/>
  <c r="V5730"/>
  <c r="W5730"/>
  <c r="Y5730"/>
  <c r="AA5730"/>
  <c r="AB5730"/>
  <c r="AC5730"/>
  <c r="AD5730"/>
  <c r="P5731"/>
  <c r="T5731"/>
  <c r="U5731"/>
  <c r="V5731"/>
  <c r="W5731"/>
  <c r="Y5731"/>
  <c r="AA5731"/>
  <c r="AB5731"/>
  <c r="AC5731"/>
  <c r="AD5731"/>
  <c r="P5732"/>
  <c r="T5732"/>
  <c r="U5732"/>
  <c r="V5732"/>
  <c r="W5732"/>
  <c r="Y5732"/>
  <c r="AA5732"/>
  <c r="AB5732"/>
  <c r="AC5732"/>
  <c r="AD5732"/>
  <c r="P5733"/>
  <c r="T5733"/>
  <c r="U5733"/>
  <c r="V5733"/>
  <c r="W5733"/>
  <c r="Y5733"/>
  <c r="AA5733"/>
  <c r="AB5733"/>
  <c r="AC5733"/>
  <c r="AD5733"/>
  <c r="P5734"/>
  <c r="T5734"/>
  <c r="U5734"/>
  <c r="V5734"/>
  <c r="W5734"/>
  <c r="Y5734"/>
  <c r="AA5734"/>
  <c r="AB5734"/>
  <c r="AC5734"/>
  <c r="AD5734"/>
  <c r="P5735"/>
  <c r="T5735"/>
  <c r="U5735"/>
  <c r="V5735"/>
  <c r="W5735"/>
  <c r="Y5735"/>
  <c r="AA5735"/>
  <c r="AB5735"/>
  <c r="AC5735"/>
  <c r="AD5735"/>
  <c r="P5736"/>
  <c r="T5736"/>
  <c r="U5736"/>
  <c r="V5736"/>
  <c r="W5736"/>
  <c r="Y5736"/>
  <c r="AA5736"/>
  <c r="AB5736"/>
  <c r="AC5736"/>
  <c r="AD5736"/>
  <c r="P5737"/>
  <c r="T5737"/>
  <c r="U5737"/>
  <c r="V5737"/>
  <c r="W5737"/>
  <c r="Y5737"/>
  <c r="AA5737"/>
  <c r="AB5737"/>
  <c r="AC5737"/>
  <c r="AD5737"/>
  <c r="P5738"/>
  <c r="T5738"/>
  <c r="U5738"/>
  <c r="V5738"/>
  <c r="W5738"/>
  <c r="Y5738"/>
  <c r="AA5738"/>
  <c r="AB5738"/>
  <c r="AC5738"/>
  <c r="AD5738"/>
  <c r="P5739"/>
  <c r="T5739"/>
  <c r="U5739"/>
  <c r="V5739"/>
  <c r="W5739"/>
  <c r="Y5739"/>
  <c r="AA5739"/>
  <c r="AB5739"/>
  <c r="AC5739"/>
  <c r="AD5739"/>
  <c r="P5740"/>
  <c r="T5740"/>
  <c r="U5740"/>
  <c r="V5740"/>
  <c r="W5740"/>
  <c r="Y5740"/>
  <c r="AA5740"/>
  <c r="AB5740"/>
  <c r="AC5740"/>
  <c r="AD5740"/>
  <c r="P5741"/>
  <c r="T5741"/>
  <c r="U5741"/>
  <c r="V5741"/>
  <c r="W5741"/>
  <c r="Y5741"/>
  <c r="AA5741"/>
  <c r="AB5741"/>
  <c r="AC5741"/>
  <c r="AD5741"/>
  <c r="P5742"/>
  <c r="T5742"/>
  <c r="U5742"/>
  <c r="V5742"/>
  <c r="W5742"/>
  <c r="Y5742"/>
  <c r="AA5742"/>
  <c r="AB5742"/>
  <c r="AC5742"/>
  <c r="AD5742"/>
  <c r="P5743"/>
  <c r="T5743"/>
  <c r="U5743"/>
  <c r="V5743"/>
  <c r="W5743"/>
  <c r="Y5743"/>
  <c r="AA5743"/>
  <c r="AB5743"/>
  <c r="AC5743"/>
  <c r="AD5743"/>
  <c r="P5744"/>
  <c r="T5744"/>
  <c r="U5744"/>
  <c r="V5744"/>
  <c r="W5744"/>
  <c r="Y5744"/>
  <c r="AA5744"/>
  <c r="AB5744"/>
  <c r="AC5744"/>
  <c r="AD5744"/>
  <c r="P5745"/>
  <c r="T5745"/>
  <c r="U5745"/>
  <c r="V5745"/>
  <c r="W5745"/>
  <c r="Y5745"/>
  <c r="AA5745"/>
  <c r="AB5745"/>
  <c r="AC5745"/>
  <c r="AD5745"/>
  <c r="P5746"/>
  <c r="T5746"/>
  <c r="U5746"/>
  <c r="V5746"/>
  <c r="W5746"/>
  <c r="Y5746"/>
  <c r="AA5746"/>
  <c r="AB5746"/>
  <c r="AC5746"/>
  <c r="AD5746"/>
  <c r="P5747"/>
  <c r="T5747"/>
  <c r="U5747"/>
  <c r="V5747"/>
  <c r="W5747"/>
  <c r="Y5747"/>
  <c r="AA5747"/>
  <c r="AB5747"/>
  <c r="AC5747"/>
  <c r="AD5747"/>
  <c r="P5748"/>
  <c r="T5748"/>
  <c r="U5748"/>
  <c r="V5748"/>
  <c r="W5748"/>
  <c r="Y5748"/>
  <c r="AA5748"/>
  <c r="AB5748"/>
  <c r="AC5748"/>
  <c r="AD5748"/>
  <c r="P5749"/>
  <c r="T5749"/>
  <c r="U5749"/>
  <c r="V5749"/>
  <c r="W5749"/>
  <c r="Y5749"/>
  <c r="AA5749"/>
  <c r="AB5749"/>
  <c r="AC5749"/>
  <c r="AD5749"/>
  <c r="P5750"/>
  <c r="T5750"/>
  <c r="U5750"/>
  <c r="V5750"/>
  <c r="W5750"/>
  <c r="Y5750"/>
  <c r="AA5750"/>
  <c r="AB5750"/>
  <c r="AC5750"/>
  <c r="AD5750"/>
  <c r="P5751"/>
  <c r="T5751"/>
  <c r="U5751"/>
  <c r="V5751"/>
  <c r="W5751"/>
  <c r="Y5751"/>
  <c r="AA5751"/>
  <c r="AB5751"/>
  <c r="AC5751"/>
  <c r="AD5751"/>
  <c r="P5752"/>
  <c r="T5752"/>
  <c r="U5752"/>
  <c r="V5752"/>
  <c r="W5752"/>
  <c r="Y5752"/>
  <c r="AA5752"/>
  <c r="AB5752"/>
  <c r="AC5752"/>
  <c r="AD5752"/>
  <c r="P5753"/>
  <c r="T5753"/>
  <c r="U5753"/>
  <c r="V5753"/>
  <c r="W5753"/>
  <c r="Y5753"/>
  <c r="AA5753"/>
  <c r="AB5753"/>
  <c r="AC5753"/>
  <c r="AD5753"/>
  <c r="P5754"/>
  <c r="T5754"/>
  <c r="U5754"/>
  <c r="V5754"/>
  <c r="W5754"/>
  <c r="Y5754"/>
  <c r="AA5754"/>
  <c r="AB5754"/>
  <c r="AC5754"/>
  <c r="AD5754"/>
  <c r="P5755"/>
  <c r="T5755"/>
  <c r="U5755"/>
  <c r="V5755"/>
  <c r="W5755"/>
  <c r="Y5755"/>
  <c r="AA5755"/>
  <c r="AB5755"/>
  <c r="AC5755"/>
  <c r="AD5755"/>
  <c r="P5756"/>
  <c r="T5756"/>
  <c r="U5756"/>
  <c r="V5756"/>
  <c r="W5756"/>
  <c r="Y5756"/>
  <c r="AA5756"/>
  <c r="AB5756"/>
  <c r="AC5756"/>
  <c r="AD5756"/>
  <c r="P5757"/>
  <c r="T5757"/>
  <c r="U5757"/>
  <c r="V5757"/>
  <c r="W5757"/>
  <c r="Y5757"/>
  <c r="AA5757"/>
  <c r="AB5757"/>
  <c r="AC5757"/>
  <c r="AD5757"/>
  <c r="P5758"/>
  <c r="T5758"/>
  <c r="U5758"/>
  <c r="V5758"/>
  <c r="W5758"/>
  <c r="Y5758"/>
  <c r="AA5758"/>
  <c r="AB5758"/>
  <c r="AC5758"/>
  <c r="AD5758"/>
  <c r="P5759"/>
  <c r="T5759"/>
  <c r="U5759"/>
  <c r="V5759"/>
  <c r="W5759"/>
  <c r="Y5759"/>
  <c r="AA5759"/>
  <c r="AB5759"/>
  <c r="AC5759"/>
  <c r="AD5759"/>
  <c r="P5760"/>
  <c r="T5760"/>
  <c r="U5760"/>
  <c r="V5760"/>
  <c r="W5760"/>
  <c r="Y5760"/>
  <c r="AA5760"/>
  <c r="AB5760"/>
  <c r="AC5760"/>
  <c r="AD5760"/>
  <c r="P5761"/>
  <c r="T5761"/>
  <c r="U5761"/>
  <c r="V5761"/>
  <c r="W5761"/>
  <c r="Y5761"/>
  <c r="AA5761"/>
  <c r="AB5761"/>
  <c r="AC5761"/>
  <c r="AD5761"/>
  <c r="P5762"/>
  <c r="T5762"/>
  <c r="U5762"/>
  <c r="V5762"/>
  <c r="W5762"/>
  <c r="Y5762"/>
  <c r="AA5762"/>
  <c r="AB5762"/>
  <c r="AC5762"/>
  <c r="AD5762"/>
  <c r="P5763"/>
  <c r="T5763"/>
  <c r="U5763"/>
  <c r="V5763"/>
  <c r="W5763"/>
  <c r="Y5763"/>
  <c r="AA5763"/>
  <c r="AB5763"/>
  <c r="AC5763"/>
  <c r="AD5763"/>
  <c r="P5764"/>
  <c r="T5764"/>
  <c r="U5764"/>
  <c r="V5764"/>
  <c r="W5764"/>
  <c r="Y5764"/>
  <c r="AA5764"/>
  <c r="AB5764"/>
  <c r="AC5764"/>
  <c r="AD5764"/>
  <c r="P5765"/>
  <c r="T5765"/>
  <c r="U5765"/>
  <c r="V5765"/>
  <c r="W5765"/>
  <c r="Y5765"/>
  <c r="AA5765"/>
  <c r="AB5765"/>
  <c r="AC5765"/>
  <c r="AD5765"/>
  <c r="P5766"/>
  <c r="T5766"/>
  <c r="U5766"/>
  <c r="V5766"/>
  <c r="W5766"/>
  <c r="Y5766"/>
  <c r="AA5766"/>
  <c r="AB5766"/>
  <c r="AC5766"/>
  <c r="AD5766"/>
  <c r="P5767"/>
  <c r="T5767"/>
  <c r="U5767"/>
  <c r="V5767"/>
  <c r="W5767"/>
  <c r="Y5767"/>
  <c r="AA5767"/>
  <c r="AB5767"/>
  <c r="AC5767"/>
  <c r="AD5767"/>
  <c r="P5768"/>
  <c r="T5768"/>
  <c r="U5768"/>
  <c r="V5768"/>
  <c r="W5768"/>
  <c r="Y5768"/>
  <c r="AA5768"/>
  <c r="AB5768"/>
  <c r="AC5768"/>
  <c r="AD5768"/>
  <c r="P5769"/>
  <c r="T5769"/>
  <c r="U5769"/>
  <c r="V5769"/>
  <c r="W5769"/>
  <c r="Y5769"/>
  <c r="AA5769"/>
  <c r="AB5769"/>
  <c r="AC5769"/>
  <c r="AD5769"/>
  <c r="P5770"/>
  <c r="T5770"/>
  <c r="U5770"/>
  <c r="V5770"/>
  <c r="W5770"/>
  <c r="Y5770"/>
  <c r="AA5770"/>
  <c r="AB5770"/>
  <c r="AC5770"/>
  <c r="AD5770"/>
  <c r="P5771"/>
  <c r="T5771"/>
  <c r="U5771"/>
  <c r="V5771"/>
  <c r="W5771"/>
  <c r="Y5771"/>
  <c r="AA5771"/>
  <c r="AB5771"/>
  <c r="AC5771"/>
  <c r="AD5771"/>
  <c r="P5772"/>
  <c r="T5772"/>
  <c r="U5772"/>
  <c r="V5772"/>
  <c r="W5772"/>
  <c r="Y5772"/>
  <c r="AA5772"/>
  <c r="AB5772"/>
  <c r="AC5772"/>
  <c r="AD5772"/>
  <c r="P5773"/>
  <c r="T5773"/>
  <c r="U5773"/>
  <c r="V5773"/>
  <c r="W5773"/>
  <c r="Y5773"/>
  <c r="AA5773"/>
  <c r="AB5773"/>
  <c r="AC5773"/>
  <c r="AD5773"/>
  <c r="P5774"/>
  <c r="T5774"/>
  <c r="U5774"/>
  <c r="V5774"/>
  <c r="W5774"/>
  <c r="Y5774"/>
  <c r="AA5774"/>
  <c r="AB5774"/>
  <c r="AC5774"/>
  <c r="AD5774"/>
  <c r="P5775"/>
  <c r="T5775"/>
  <c r="U5775"/>
  <c r="V5775"/>
  <c r="W5775"/>
  <c r="Y5775"/>
  <c r="AA5775"/>
  <c r="AB5775"/>
  <c r="AC5775"/>
  <c r="AD5775"/>
  <c r="P5776"/>
  <c r="T5776"/>
  <c r="U5776"/>
  <c r="V5776"/>
  <c r="W5776"/>
  <c r="Y5776"/>
  <c r="AA5776"/>
  <c r="AB5776"/>
  <c r="AC5776"/>
  <c r="AD5776"/>
  <c r="P5777"/>
  <c r="T5777"/>
  <c r="U5777"/>
  <c r="V5777"/>
  <c r="W5777"/>
  <c r="Y5777"/>
  <c r="AA5777"/>
  <c r="AB5777"/>
  <c r="AC5777"/>
  <c r="AD5777"/>
  <c r="P5778"/>
  <c r="T5778"/>
  <c r="U5778"/>
  <c r="V5778"/>
  <c r="W5778"/>
  <c r="Y5778"/>
  <c r="AA5778"/>
  <c r="AB5778"/>
  <c r="AC5778"/>
  <c r="AD5778"/>
  <c r="P5779"/>
  <c r="T5779"/>
  <c r="U5779"/>
  <c r="V5779"/>
  <c r="W5779"/>
  <c r="Y5779"/>
  <c r="AA5779"/>
  <c r="AB5779"/>
  <c r="AC5779"/>
  <c r="AD5779"/>
  <c r="P5780"/>
  <c r="T5780"/>
  <c r="U5780"/>
  <c r="V5780"/>
  <c r="W5780"/>
  <c r="Y5780"/>
  <c r="AA5780"/>
  <c r="AB5780"/>
  <c r="AC5780"/>
  <c r="AD5780"/>
  <c r="P5781"/>
  <c r="T5781"/>
  <c r="U5781"/>
  <c r="V5781"/>
  <c r="W5781"/>
  <c r="Y5781"/>
  <c r="AA5781"/>
  <c r="AB5781"/>
  <c r="AC5781"/>
  <c r="AD5781"/>
  <c r="P5782"/>
  <c r="T5782"/>
  <c r="U5782"/>
  <c r="V5782"/>
  <c r="W5782"/>
  <c r="Y5782"/>
  <c r="AA5782"/>
  <c r="AB5782"/>
  <c r="AC5782"/>
  <c r="AD5782"/>
  <c r="P5783"/>
  <c r="T5783"/>
  <c r="U5783"/>
  <c r="V5783"/>
  <c r="W5783"/>
  <c r="Y5783"/>
  <c r="AA5783"/>
  <c r="AB5783"/>
  <c r="AC5783"/>
  <c r="AD5783"/>
  <c r="P5784"/>
  <c r="T5784"/>
  <c r="U5784"/>
  <c r="V5784"/>
  <c r="W5784"/>
  <c r="Y5784"/>
  <c r="AA5784"/>
  <c r="AB5784"/>
  <c r="AC5784"/>
  <c r="AD5784"/>
  <c r="P5785"/>
  <c r="T5785"/>
  <c r="U5785"/>
  <c r="V5785"/>
  <c r="W5785"/>
  <c r="Y5785"/>
  <c r="AA5785"/>
  <c r="AB5785"/>
  <c r="AC5785"/>
  <c r="AD5785"/>
  <c r="P5786"/>
  <c r="T5786"/>
  <c r="U5786"/>
  <c r="V5786"/>
  <c r="W5786"/>
  <c r="Y5786"/>
  <c r="AA5786"/>
  <c r="AB5786"/>
  <c r="AC5786"/>
  <c r="AD5786"/>
  <c r="P5787"/>
  <c r="T5787"/>
  <c r="U5787"/>
  <c r="V5787"/>
  <c r="W5787"/>
  <c r="Y5787"/>
  <c r="AA5787"/>
  <c r="AB5787"/>
  <c r="AC5787"/>
  <c r="AD5787"/>
  <c r="P5788"/>
  <c r="T5788"/>
  <c r="U5788"/>
  <c r="V5788"/>
  <c r="W5788"/>
  <c r="Y5788"/>
  <c r="AA5788"/>
  <c r="AB5788"/>
  <c r="AC5788"/>
  <c r="AD5788"/>
  <c r="P5789"/>
  <c r="T5789"/>
  <c r="U5789"/>
  <c r="V5789"/>
  <c r="W5789"/>
  <c r="Y5789"/>
  <c r="AA5789"/>
  <c r="AB5789"/>
  <c r="AC5789"/>
  <c r="AD5789"/>
  <c r="P5790"/>
  <c r="T5790"/>
  <c r="U5790"/>
  <c r="V5790"/>
  <c r="W5790"/>
  <c r="Y5790"/>
  <c r="AA5790"/>
  <c r="AB5790"/>
  <c r="AC5790"/>
  <c r="AD5790"/>
  <c r="P5791"/>
  <c r="T5791"/>
  <c r="U5791"/>
  <c r="V5791"/>
  <c r="W5791"/>
  <c r="Y5791"/>
  <c r="AA5791"/>
  <c r="AB5791"/>
  <c r="AC5791"/>
  <c r="AD5791"/>
  <c r="P5792"/>
  <c r="T5792"/>
  <c r="U5792"/>
  <c r="V5792"/>
  <c r="W5792"/>
  <c r="Y5792"/>
  <c r="AA5792"/>
  <c r="AB5792"/>
  <c r="AC5792"/>
  <c r="AD5792"/>
  <c r="P5793"/>
  <c r="T5793"/>
  <c r="U5793"/>
  <c r="V5793"/>
  <c r="W5793"/>
  <c r="Y5793"/>
  <c r="AA5793"/>
  <c r="AB5793"/>
  <c r="AC5793"/>
  <c r="AD5793"/>
  <c r="P5794"/>
  <c r="T5794"/>
  <c r="U5794"/>
  <c r="V5794"/>
  <c r="W5794"/>
  <c r="Y5794"/>
  <c r="AA5794"/>
  <c r="AB5794"/>
  <c r="AC5794"/>
  <c r="AD5794"/>
  <c r="P5795"/>
  <c r="T5795"/>
  <c r="U5795"/>
  <c r="V5795"/>
  <c r="W5795"/>
  <c r="Y5795"/>
  <c r="AA5795"/>
  <c r="AB5795"/>
  <c r="AC5795"/>
  <c r="AD5795"/>
  <c r="P5796"/>
  <c r="T5796"/>
  <c r="U5796"/>
  <c r="V5796"/>
  <c r="W5796"/>
  <c r="Y5796"/>
  <c r="AA5796"/>
  <c r="AB5796"/>
  <c r="AC5796"/>
  <c r="AD5796"/>
  <c r="P5797"/>
  <c r="T5797"/>
  <c r="U5797"/>
  <c r="V5797"/>
  <c r="W5797"/>
  <c r="Y5797"/>
  <c r="AA5797"/>
  <c r="AB5797"/>
  <c r="AC5797"/>
  <c r="AD5797"/>
  <c r="P5798"/>
  <c r="T5798"/>
  <c r="U5798"/>
  <c r="V5798"/>
  <c r="W5798"/>
  <c r="Y5798"/>
  <c r="AA5798"/>
  <c r="AB5798"/>
  <c r="AC5798"/>
  <c r="AD5798"/>
  <c r="P5799"/>
  <c r="T5799"/>
  <c r="U5799"/>
  <c r="V5799"/>
  <c r="W5799"/>
  <c r="Y5799"/>
  <c r="AA5799"/>
  <c r="AB5799"/>
  <c r="AC5799"/>
  <c r="AD5799"/>
  <c r="P5800"/>
  <c r="T5800"/>
  <c r="U5800"/>
  <c r="V5800"/>
  <c r="W5800"/>
  <c r="Y5800"/>
  <c r="AA5800"/>
  <c r="AB5800"/>
  <c r="AC5800"/>
  <c r="AD5800"/>
  <c r="P5801"/>
  <c r="T5801"/>
  <c r="U5801"/>
  <c r="V5801"/>
  <c r="W5801"/>
  <c r="Y5801"/>
  <c r="AA5801"/>
  <c r="AB5801"/>
  <c r="AC5801"/>
  <c r="AD5801"/>
  <c r="P5802"/>
  <c r="T5802"/>
  <c r="U5802"/>
  <c r="V5802"/>
  <c r="W5802"/>
  <c r="Y5802"/>
  <c r="AA5802"/>
  <c r="AB5802"/>
  <c r="AC5802"/>
  <c r="AD5802"/>
  <c r="P5803"/>
  <c r="T5803"/>
  <c r="U5803"/>
  <c r="V5803"/>
  <c r="W5803"/>
  <c r="Y5803"/>
  <c r="AA5803"/>
  <c r="AB5803"/>
  <c r="AC5803"/>
  <c r="AD5803"/>
  <c r="P5804"/>
  <c r="T5804"/>
  <c r="U5804"/>
  <c r="V5804"/>
  <c r="W5804"/>
  <c r="Y5804"/>
  <c r="AA5804"/>
  <c r="AB5804"/>
  <c r="AC5804"/>
  <c r="AD5804"/>
  <c r="P5805"/>
  <c r="T5805"/>
  <c r="U5805"/>
  <c r="V5805"/>
  <c r="W5805"/>
  <c r="Y5805"/>
  <c r="AA5805"/>
  <c r="AB5805"/>
  <c r="AC5805"/>
  <c r="AD5805"/>
  <c r="P5806"/>
  <c r="T5806"/>
  <c r="U5806"/>
  <c r="V5806"/>
  <c r="W5806"/>
  <c r="Y5806"/>
  <c r="AA5806"/>
  <c r="AB5806"/>
  <c r="AC5806"/>
  <c r="AD5806"/>
  <c r="P5807"/>
  <c r="T5807"/>
  <c r="U5807"/>
  <c r="V5807"/>
  <c r="W5807"/>
  <c r="Y5807"/>
  <c r="AA5807"/>
  <c r="AB5807"/>
  <c r="AC5807"/>
  <c r="AD5807"/>
  <c r="P5808"/>
  <c r="T5808"/>
  <c r="U5808"/>
  <c r="V5808"/>
  <c r="W5808"/>
  <c r="Y5808"/>
  <c r="AA5808"/>
  <c r="AB5808"/>
  <c r="AC5808"/>
  <c r="AD5808"/>
  <c r="P5809"/>
  <c r="T5809"/>
  <c r="U5809"/>
  <c r="V5809"/>
  <c r="W5809"/>
  <c r="Y5809"/>
  <c r="AA5809"/>
  <c r="AB5809"/>
  <c r="AC5809"/>
  <c r="AD5809"/>
  <c r="P5810"/>
  <c r="T5810"/>
  <c r="U5810"/>
  <c r="V5810"/>
  <c r="W5810"/>
  <c r="Y5810"/>
  <c r="AA5810"/>
  <c r="AB5810"/>
  <c r="AC5810"/>
  <c r="AD5810"/>
  <c r="P5811"/>
  <c r="T5811"/>
  <c r="U5811"/>
  <c r="V5811"/>
  <c r="W5811"/>
  <c r="Y5811"/>
  <c r="AA5811"/>
  <c r="AB5811"/>
  <c r="AC5811"/>
  <c r="AD5811"/>
  <c r="P5812"/>
  <c r="T5812"/>
  <c r="U5812"/>
  <c r="V5812"/>
  <c r="W5812"/>
  <c r="Y5812"/>
  <c r="AA5812"/>
  <c r="AB5812"/>
  <c r="AC5812"/>
  <c r="AD5812"/>
  <c r="P5813"/>
  <c r="T5813"/>
  <c r="U5813"/>
  <c r="V5813"/>
  <c r="W5813"/>
  <c r="Y5813"/>
  <c r="AA5813"/>
  <c r="AB5813"/>
  <c r="AC5813"/>
  <c r="AD5813"/>
  <c r="P5814"/>
  <c r="T5814"/>
  <c r="U5814"/>
  <c r="V5814"/>
  <c r="W5814"/>
  <c r="Y5814"/>
  <c r="AA5814"/>
  <c r="AB5814"/>
  <c r="AC5814"/>
  <c r="AD5814"/>
  <c r="P5815"/>
  <c r="T5815"/>
  <c r="U5815"/>
  <c r="V5815"/>
  <c r="W5815"/>
  <c r="Y5815"/>
  <c r="AA5815"/>
  <c r="AB5815"/>
  <c r="AC5815"/>
  <c r="AD5815"/>
  <c r="P5816"/>
  <c r="T5816"/>
  <c r="U5816"/>
  <c r="V5816"/>
  <c r="W5816"/>
  <c r="Y5816"/>
  <c r="AA5816"/>
  <c r="AB5816"/>
  <c r="AC5816"/>
  <c r="AD5816"/>
  <c r="P5817"/>
  <c r="T5817"/>
  <c r="U5817"/>
  <c r="V5817"/>
  <c r="W5817"/>
  <c r="Y5817"/>
  <c r="AA5817"/>
  <c r="AB5817"/>
  <c r="AC5817"/>
  <c r="AD5817"/>
  <c r="P5818"/>
  <c r="T5818"/>
  <c r="U5818"/>
  <c r="V5818"/>
  <c r="W5818"/>
  <c r="Y5818"/>
  <c r="AA5818"/>
  <c r="AB5818"/>
  <c r="AC5818"/>
  <c r="AD5818"/>
  <c r="P5819"/>
  <c r="T5819"/>
  <c r="U5819"/>
  <c r="V5819"/>
  <c r="W5819"/>
  <c r="Y5819"/>
  <c r="AA5819"/>
  <c r="AB5819"/>
  <c r="AC5819"/>
  <c r="AD5819"/>
  <c r="P5820"/>
  <c r="T5820"/>
  <c r="U5820"/>
  <c r="V5820"/>
  <c r="W5820"/>
  <c r="Y5820"/>
  <c r="AA5820"/>
  <c r="AB5820"/>
  <c r="AC5820"/>
  <c r="AD5820"/>
  <c r="P5821"/>
  <c r="T5821"/>
  <c r="U5821"/>
  <c r="V5821"/>
  <c r="W5821"/>
  <c r="Y5821"/>
  <c r="AA5821"/>
  <c r="AB5821"/>
  <c r="AC5821"/>
  <c r="AD5821"/>
  <c r="P5822"/>
  <c r="T5822"/>
  <c r="U5822"/>
  <c r="V5822"/>
  <c r="W5822"/>
  <c r="Y5822"/>
  <c r="AA5822"/>
  <c r="AB5822"/>
  <c r="AC5822"/>
  <c r="AD5822"/>
  <c r="P5823"/>
  <c r="T5823"/>
  <c r="U5823"/>
  <c r="V5823"/>
  <c r="W5823"/>
  <c r="Y5823"/>
  <c r="AA5823"/>
  <c r="AB5823"/>
  <c r="AC5823"/>
  <c r="AD5823"/>
  <c r="P5824"/>
  <c r="T5824"/>
  <c r="U5824"/>
  <c r="V5824"/>
  <c r="W5824"/>
  <c r="Y5824"/>
  <c r="AA5824"/>
  <c r="AB5824"/>
  <c r="AC5824"/>
  <c r="AD5824"/>
  <c r="P5825"/>
  <c r="T5825"/>
  <c r="U5825"/>
  <c r="V5825"/>
  <c r="W5825"/>
  <c r="Y5825"/>
  <c r="AA5825"/>
  <c r="AB5825"/>
  <c r="AC5825"/>
  <c r="AD5825"/>
  <c r="P5826"/>
  <c r="T5826"/>
  <c r="U5826"/>
  <c r="V5826"/>
  <c r="W5826"/>
  <c r="Y5826"/>
  <c r="AA5826"/>
  <c r="AB5826"/>
  <c r="AC5826"/>
  <c r="AD5826"/>
  <c r="P5827"/>
  <c r="T5827"/>
  <c r="U5827"/>
  <c r="V5827"/>
  <c r="W5827"/>
  <c r="Y5827"/>
  <c r="AA5827"/>
  <c r="AB5827"/>
  <c r="AC5827"/>
  <c r="AD5827"/>
  <c r="P5828"/>
  <c r="T5828"/>
  <c r="U5828"/>
  <c r="V5828"/>
  <c r="W5828"/>
  <c r="Y5828"/>
  <c r="AA5828"/>
  <c r="AB5828"/>
  <c r="AC5828"/>
  <c r="AD5828"/>
  <c r="P5829"/>
  <c r="T5829"/>
  <c r="U5829"/>
  <c r="V5829"/>
  <c r="W5829"/>
  <c r="Y5829"/>
  <c r="AA5829"/>
  <c r="AB5829"/>
  <c r="AC5829"/>
  <c r="AD5829"/>
  <c r="P5830"/>
  <c r="T5830"/>
  <c r="U5830"/>
  <c r="V5830"/>
  <c r="W5830"/>
  <c r="Y5830"/>
  <c r="AA5830"/>
  <c r="AB5830"/>
  <c r="AC5830"/>
  <c r="AD5830"/>
  <c r="P5831"/>
  <c r="T5831"/>
  <c r="U5831"/>
  <c r="V5831"/>
  <c r="W5831"/>
  <c r="Y5831"/>
  <c r="AA5831"/>
  <c r="AB5831"/>
  <c r="AC5831"/>
  <c r="AD5831"/>
  <c r="P5832"/>
  <c r="T5832"/>
  <c r="U5832"/>
  <c r="V5832"/>
  <c r="W5832"/>
  <c r="Y5832"/>
  <c r="AA5832"/>
  <c r="AB5832"/>
  <c r="AC5832"/>
  <c r="AD5832"/>
  <c r="P5833"/>
  <c r="T5833"/>
  <c r="U5833"/>
  <c r="V5833"/>
  <c r="W5833"/>
  <c r="Y5833"/>
  <c r="AA5833"/>
  <c r="AB5833"/>
  <c r="AC5833"/>
  <c r="AD5833"/>
  <c r="P5834"/>
  <c r="T5834"/>
  <c r="U5834"/>
  <c r="V5834"/>
  <c r="W5834"/>
  <c r="Y5834"/>
  <c r="AA5834"/>
  <c r="AB5834"/>
  <c r="AC5834"/>
  <c r="AD5834"/>
  <c r="P5835"/>
  <c r="T5835"/>
  <c r="U5835"/>
  <c r="V5835"/>
  <c r="W5835"/>
  <c r="Y5835"/>
  <c r="AA5835"/>
  <c r="AB5835"/>
  <c r="AC5835"/>
  <c r="AD5835"/>
  <c r="P5836"/>
  <c r="T5836"/>
  <c r="U5836"/>
  <c r="V5836"/>
  <c r="W5836"/>
  <c r="Y5836"/>
  <c r="AA5836"/>
  <c r="AB5836"/>
  <c r="AC5836"/>
  <c r="AD5836"/>
  <c r="P5837"/>
  <c r="T5837"/>
  <c r="U5837"/>
  <c r="V5837"/>
  <c r="W5837"/>
  <c r="Y5837"/>
  <c r="AA5837"/>
  <c r="AB5837"/>
  <c r="AC5837"/>
  <c r="AD5837"/>
  <c r="P5838"/>
  <c r="T5838"/>
  <c r="U5838"/>
  <c r="V5838"/>
  <c r="W5838"/>
  <c r="Y5838"/>
  <c r="AA5838"/>
  <c r="AB5838"/>
  <c r="AC5838"/>
  <c r="AD5838"/>
  <c r="P5839"/>
  <c r="T5839"/>
  <c r="U5839"/>
  <c r="V5839"/>
  <c r="W5839"/>
  <c r="Y5839"/>
  <c r="AA5839"/>
  <c r="AB5839"/>
  <c r="AC5839"/>
  <c r="AD5839"/>
  <c r="P5840"/>
  <c r="T5840"/>
  <c r="U5840"/>
  <c r="V5840"/>
  <c r="W5840"/>
  <c r="Y5840"/>
  <c r="AA5840"/>
  <c r="AB5840"/>
  <c r="AC5840"/>
  <c r="AD5840"/>
  <c r="P5841"/>
  <c r="T5841"/>
  <c r="U5841"/>
  <c r="V5841"/>
  <c r="W5841"/>
  <c r="Y5841"/>
  <c r="AA5841"/>
  <c r="AB5841"/>
  <c r="AC5841"/>
  <c r="AD5841"/>
  <c r="P5842"/>
  <c r="T5842"/>
  <c r="U5842"/>
  <c r="V5842"/>
  <c r="W5842"/>
  <c r="Y5842"/>
  <c r="AA5842"/>
  <c r="AB5842"/>
  <c r="AC5842"/>
  <c r="AD5842"/>
  <c r="P5843"/>
  <c r="T5843"/>
  <c r="U5843"/>
  <c r="V5843"/>
  <c r="W5843"/>
  <c r="Y5843"/>
  <c r="AA5843"/>
  <c r="AB5843"/>
  <c r="AC5843"/>
  <c r="AD5843"/>
  <c r="P5844"/>
  <c r="T5844"/>
  <c r="U5844"/>
  <c r="V5844"/>
  <c r="W5844"/>
  <c r="Y5844"/>
  <c r="AA5844"/>
  <c r="AB5844"/>
  <c r="AC5844"/>
  <c r="AD5844"/>
  <c r="P5845"/>
  <c r="T5845"/>
  <c r="U5845"/>
  <c r="V5845"/>
  <c r="W5845"/>
  <c r="Y5845"/>
  <c r="AA5845"/>
  <c r="AB5845"/>
  <c r="AC5845"/>
  <c r="AD5845"/>
  <c r="P5846"/>
  <c r="T5846"/>
  <c r="U5846"/>
  <c r="V5846"/>
  <c r="W5846"/>
  <c r="Y5846"/>
  <c r="AA5846"/>
  <c r="AB5846"/>
  <c r="AC5846"/>
  <c r="AD5846"/>
  <c r="P5847"/>
  <c r="T5847"/>
  <c r="U5847"/>
  <c r="V5847"/>
  <c r="W5847"/>
  <c r="Y5847"/>
  <c r="AA5847"/>
  <c r="AB5847"/>
  <c r="AC5847"/>
  <c r="AD5847"/>
  <c r="P5848"/>
  <c r="T5848"/>
  <c r="U5848"/>
  <c r="V5848"/>
  <c r="W5848"/>
  <c r="Y5848"/>
  <c r="AA5848"/>
  <c r="AB5848"/>
  <c r="AC5848"/>
  <c r="AD5848"/>
  <c r="P5849"/>
  <c r="T5849"/>
  <c r="U5849"/>
  <c r="V5849"/>
  <c r="W5849"/>
  <c r="Y5849"/>
  <c r="AA5849"/>
  <c r="AB5849"/>
  <c r="AC5849"/>
  <c r="AD5849"/>
  <c r="P5850"/>
  <c r="T5850"/>
  <c r="U5850"/>
  <c r="V5850"/>
  <c r="W5850"/>
  <c r="Y5850"/>
  <c r="AA5850"/>
  <c r="AB5850"/>
  <c r="AC5850"/>
  <c r="AD5850"/>
  <c r="P5851"/>
  <c r="T5851"/>
  <c r="U5851"/>
  <c r="V5851"/>
  <c r="W5851"/>
  <c r="Y5851"/>
  <c r="AA5851"/>
  <c r="AB5851"/>
  <c r="AC5851"/>
  <c r="AD5851"/>
  <c r="P5852"/>
  <c r="T5852"/>
  <c r="U5852"/>
  <c r="V5852"/>
  <c r="W5852"/>
  <c r="Y5852"/>
  <c r="AA5852"/>
  <c r="AB5852"/>
  <c r="AC5852"/>
  <c r="AD5852"/>
  <c r="P5853"/>
  <c r="T5853"/>
  <c r="U5853"/>
  <c r="V5853"/>
  <c r="W5853"/>
  <c r="Y5853"/>
  <c r="AA5853"/>
  <c r="AB5853"/>
  <c r="AC5853"/>
  <c r="AD5853"/>
  <c r="P5854"/>
  <c r="T5854"/>
  <c r="U5854"/>
  <c r="V5854"/>
  <c r="W5854"/>
  <c r="Y5854"/>
  <c r="AA5854"/>
  <c r="AB5854"/>
  <c r="AC5854"/>
  <c r="AD5854"/>
  <c r="P5855"/>
  <c r="T5855"/>
  <c r="U5855"/>
  <c r="V5855"/>
  <c r="W5855"/>
  <c r="Y5855"/>
  <c r="AA5855"/>
  <c r="AB5855"/>
  <c r="AC5855"/>
  <c r="AD5855"/>
  <c r="P5856"/>
  <c r="T5856"/>
  <c r="U5856"/>
  <c r="V5856"/>
  <c r="W5856"/>
  <c r="Y5856"/>
  <c r="AA5856"/>
  <c r="AB5856"/>
  <c r="AC5856"/>
  <c r="AD5856"/>
  <c r="P5857"/>
  <c r="T5857"/>
  <c r="U5857"/>
  <c r="V5857"/>
  <c r="W5857"/>
  <c r="Y5857"/>
  <c r="AA5857"/>
  <c r="AB5857"/>
  <c r="AC5857"/>
  <c r="AD5857"/>
  <c r="P5858"/>
  <c r="T5858"/>
  <c r="U5858"/>
  <c r="V5858"/>
  <c r="W5858"/>
  <c r="Y5858"/>
  <c r="AA5858"/>
  <c r="AB5858"/>
  <c r="AC5858"/>
  <c r="AD5858"/>
  <c r="P5859"/>
  <c r="T5859"/>
  <c r="U5859"/>
  <c r="V5859"/>
  <c r="W5859"/>
  <c r="Y5859"/>
  <c r="AA5859"/>
  <c r="AB5859"/>
  <c r="AC5859"/>
  <c r="AD5859"/>
  <c r="P5860"/>
  <c r="T5860"/>
  <c r="U5860"/>
  <c r="V5860"/>
  <c r="W5860"/>
  <c r="Y5860"/>
  <c r="AA5860"/>
  <c r="AB5860"/>
  <c r="AC5860"/>
  <c r="AD5860"/>
  <c r="P5861"/>
  <c r="T5861"/>
  <c r="U5861"/>
  <c r="V5861"/>
  <c r="W5861"/>
  <c r="Y5861"/>
  <c r="AA5861"/>
  <c r="AB5861"/>
  <c r="AC5861"/>
  <c r="AD5861"/>
  <c r="P5862"/>
  <c r="T5862"/>
  <c r="U5862"/>
  <c r="V5862"/>
  <c r="W5862"/>
  <c r="Y5862"/>
  <c r="AA5862"/>
  <c r="AB5862"/>
  <c r="AC5862"/>
  <c r="AD5862"/>
  <c r="P5863"/>
  <c r="T5863"/>
  <c r="U5863"/>
  <c r="V5863"/>
  <c r="W5863"/>
  <c r="Y5863"/>
  <c r="AA5863"/>
  <c r="AB5863"/>
  <c r="AC5863"/>
  <c r="AD5863"/>
  <c r="P5864"/>
  <c r="T5864"/>
  <c r="U5864"/>
  <c r="V5864"/>
  <c r="W5864"/>
  <c r="Y5864"/>
  <c r="AA5864"/>
  <c r="AB5864"/>
  <c r="AC5864"/>
  <c r="AD5864"/>
  <c r="P5865"/>
  <c r="T5865"/>
  <c r="U5865"/>
  <c r="V5865"/>
  <c r="W5865"/>
  <c r="Y5865"/>
  <c r="AA5865"/>
  <c r="AB5865"/>
  <c r="AC5865"/>
  <c r="AD5865"/>
  <c r="P5866"/>
  <c r="T5866"/>
  <c r="U5866"/>
  <c r="V5866"/>
  <c r="W5866"/>
  <c r="Y5866"/>
  <c r="AA5866"/>
  <c r="AB5866"/>
  <c r="AC5866"/>
  <c r="AD5866"/>
  <c r="P5867"/>
  <c r="T5867"/>
  <c r="U5867"/>
  <c r="V5867"/>
  <c r="W5867"/>
  <c r="Y5867"/>
  <c r="AA5867"/>
  <c r="AB5867"/>
  <c r="AC5867"/>
  <c r="AD5867"/>
  <c r="P5868"/>
  <c r="T5868"/>
  <c r="U5868"/>
  <c r="V5868"/>
  <c r="W5868"/>
  <c r="Y5868"/>
  <c r="AA5868"/>
  <c r="AB5868"/>
  <c r="AC5868"/>
  <c r="AD5868"/>
  <c r="P5869"/>
  <c r="T5869"/>
  <c r="U5869"/>
  <c r="V5869"/>
  <c r="W5869"/>
  <c r="Y5869"/>
  <c r="AA5869"/>
  <c r="AB5869"/>
  <c r="AC5869"/>
  <c r="AD5869"/>
  <c r="P5870"/>
  <c r="T5870"/>
  <c r="U5870"/>
  <c r="V5870"/>
  <c r="W5870"/>
  <c r="Y5870"/>
  <c r="AA5870"/>
  <c r="AB5870"/>
  <c r="AC5870"/>
  <c r="AD5870"/>
  <c r="P5871"/>
  <c r="T5871"/>
  <c r="U5871"/>
  <c r="V5871"/>
  <c r="W5871"/>
  <c r="Y5871"/>
  <c r="AA5871"/>
  <c r="AB5871"/>
  <c r="AC5871"/>
  <c r="AD5871"/>
  <c r="P5872"/>
  <c r="T5872"/>
  <c r="U5872"/>
  <c r="V5872"/>
  <c r="W5872"/>
  <c r="Y5872"/>
  <c r="AA5872"/>
  <c r="AB5872"/>
  <c r="AC5872"/>
  <c r="AD5872"/>
  <c r="P5873"/>
  <c r="T5873"/>
  <c r="U5873"/>
  <c r="V5873"/>
  <c r="W5873"/>
  <c r="Y5873"/>
  <c r="AA5873"/>
  <c r="AB5873"/>
  <c r="AC5873"/>
  <c r="AD5873"/>
  <c r="P5874"/>
  <c r="T5874"/>
  <c r="U5874"/>
  <c r="V5874"/>
  <c r="W5874"/>
  <c r="Y5874"/>
  <c r="AA5874"/>
  <c r="AB5874"/>
  <c r="AC5874"/>
  <c r="AD5874"/>
  <c r="P5875"/>
  <c r="T5875"/>
  <c r="U5875"/>
  <c r="V5875"/>
  <c r="W5875"/>
  <c r="Y5875"/>
  <c r="AA5875"/>
  <c r="AB5875"/>
  <c r="AC5875"/>
  <c r="AD5875"/>
  <c r="P5876"/>
  <c r="T5876"/>
  <c r="U5876"/>
  <c r="V5876"/>
  <c r="W5876"/>
  <c r="Y5876"/>
  <c r="AA5876"/>
  <c r="AB5876"/>
  <c r="AC5876"/>
  <c r="AD5876"/>
  <c r="P5877"/>
  <c r="T5877"/>
  <c r="U5877"/>
  <c r="V5877"/>
  <c r="W5877"/>
  <c r="Y5877"/>
  <c r="AA5877"/>
  <c r="AB5877"/>
  <c r="AC5877"/>
  <c r="AD5877"/>
  <c r="P5878"/>
  <c r="T5878"/>
  <c r="U5878"/>
  <c r="V5878"/>
  <c r="W5878"/>
  <c r="Y5878"/>
  <c r="AA5878"/>
  <c r="AB5878"/>
  <c r="AC5878"/>
  <c r="AD5878"/>
  <c r="P5879"/>
  <c r="T5879"/>
  <c r="U5879"/>
  <c r="V5879"/>
  <c r="W5879"/>
  <c r="Y5879"/>
  <c r="AA5879"/>
  <c r="AB5879"/>
  <c r="AC5879"/>
  <c r="AD5879"/>
  <c r="P5880"/>
  <c r="T5880"/>
  <c r="U5880"/>
  <c r="V5880"/>
  <c r="W5880"/>
  <c r="Y5880"/>
  <c r="AA5880"/>
  <c r="AB5880"/>
  <c r="AC5880"/>
  <c r="AD5880"/>
  <c r="P5881"/>
  <c r="T5881"/>
  <c r="U5881"/>
  <c r="V5881"/>
  <c r="W5881"/>
  <c r="Y5881"/>
  <c r="AA5881"/>
  <c r="AB5881"/>
  <c r="AC5881"/>
  <c r="AD5881"/>
  <c r="P5882"/>
  <c r="T5882"/>
  <c r="U5882"/>
  <c r="V5882"/>
  <c r="W5882"/>
  <c r="Y5882"/>
  <c r="AA5882"/>
  <c r="AB5882"/>
  <c r="AC5882"/>
  <c r="AD5882"/>
  <c r="P5883"/>
  <c r="T5883"/>
  <c r="U5883"/>
  <c r="V5883"/>
  <c r="W5883"/>
  <c r="Y5883"/>
  <c r="AA5883"/>
  <c r="AB5883"/>
  <c r="AC5883"/>
  <c r="AD5883"/>
  <c r="P5884"/>
  <c r="T5884"/>
  <c r="U5884"/>
  <c r="V5884"/>
  <c r="W5884"/>
  <c r="Y5884"/>
  <c r="AA5884"/>
  <c r="AB5884"/>
  <c r="AC5884"/>
  <c r="AD5884"/>
  <c r="P5885"/>
  <c r="T5885"/>
  <c r="U5885"/>
  <c r="V5885"/>
  <c r="W5885"/>
  <c r="Y5885"/>
  <c r="AA5885"/>
  <c r="AB5885"/>
  <c r="AC5885"/>
  <c r="AD5885"/>
  <c r="P5886"/>
  <c r="T5886"/>
  <c r="U5886"/>
  <c r="V5886"/>
  <c r="W5886"/>
  <c r="Y5886"/>
  <c r="AA5886"/>
  <c r="AB5886"/>
  <c r="AC5886"/>
  <c r="AD5886"/>
  <c r="P5887"/>
  <c r="T5887"/>
  <c r="U5887"/>
  <c r="V5887"/>
  <c r="W5887"/>
  <c r="Y5887"/>
  <c r="AA5887"/>
  <c r="AB5887"/>
  <c r="AC5887"/>
  <c r="AD5887"/>
  <c r="P5888"/>
  <c r="T5888"/>
  <c r="U5888"/>
  <c r="V5888"/>
  <c r="W5888"/>
  <c r="Y5888"/>
  <c r="AA5888"/>
  <c r="AB5888"/>
  <c r="AC5888"/>
  <c r="AD5888"/>
  <c r="P5889"/>
  <c r="T5889"/>
  <c r="U5889"/>
  <c r="V5889"/>
  <c r="W5889"/>
  <c r="Y5889"/>
  <c r="AA5889"/>
  <c r="AB5889"/>
  <c r="AC5889"/>
  <c r="AD5889"/>
  <c r="P5890"/>
  <c r="T5890"/>
  <c r="U5890"/>
  <c r="V5890"/>
  <c r="W5890"/>
  <c r="Y5890"/>
  <c r="AA5890"/>
  <c r="AB5890"/>
  <c r="AC5890"/>
  <c r="AD5890"/>
  <c r="P5891"/>
  <c r="T5891"/>
  <c r="U5891"/>
  <c r="V5891"/>
  <c r="W5891"/>
  <c r="Y5891"/>
  <c r="AA5891"/>
  <c r="AB5891"/>
  <c r="AC5891"/>
  <c r="AD5891"/>
  <c r="P5892"/>
  <c r="T5892"/>
  <c r="U5892"/>
  <c r="V5892"/>
  <c r="W5892"/>
  <c r="Y5892"/>
  <c r="AA5892"/>
  <c r="AB5892"/>
  <c r="AC5892"/>
  <c r="AD5892"/>
  <c r="P5893"/>
  <c r="T5893"/>
  <c r="U5893"/>
  <c r="V5893"/>
  <c r="W5893"/>
  <c r="Y5893"/>
  <c r="AA5893"/>
  <c r="AB5893"/>
  <c r="AC5893"/>
  <c r="AD5893"/>
  <c r="P5894"/>
  <c r="T5894"/>
  <c r="U5894"/>
  <c r="V5894"/>
  <c r="W5894"/>
  <c r="Y5894"/>
  <c r="AA5894"/>
  <c r="AB5894"/>
  <c r="AC5894"/>
  <c r="AD5894"/>
  <c r="P5895"/>
  <c r="T5895"/>
  <c r="U5895"/>
  <c r="V5895"/>
  <c r="W5895"/>
  <c r="Y5895"/>
  <c r="AA5895"/>
  <c r="AB5895"/>
  <c r="AC5895"/>
  <c r="AD5895"/>
  <c r="P5896"/>
  <c r="T5896"/>
  <c r="U5896"/>
  <c r="V5896"/>
  <c r="W5896"/>
  <c r="Y5896"/>
  <c r="AA5896"/>
  <c r="AB5896"/>
  <c r="AC5896"/>
  <c r="AD5896"/>
  <c r="P5897"/>
  <c r="T5897"/>
  <c r="U5897"/>
  <c r="V5897"/>
  <c r="W5897"/>
  <c r="Y5897"/>
  <c r="AA5897"/>
  <c r="AB5897"/>
  <c r="AC5897"/>
  <c r="AD5897"/>
  <c r="P5898"/>
  <c r="T5898"/>
  <c r="U5898"/>
  <c r="V5898"/>
  <c r="W5898"/>
  <c r="Y5898"/>
  <c r="AA5898"/>
  <c r="AB5898"/>
  <c r="AC5898"/>
  <c r="AD5898"/>
  <c r="P5899"/>
  <c r="T5899"/>
  <c r="U5899"/>
  <c r="V5899"/>
  <c r="W5899"/>
  <c r="Y5899"/>
  <c r="AA5899"/>
  <c r="AB5899"/>
  <c r="AC5899"/>
  <c r="AD5899"/>
  <c r="P5900"/>
  <c r="T5900"/>
  <c r="U5900"/>
  <c r="V5900"/>
  <c r="W5900"/>
  <c r="Y5900"/>
  <c r="AA5900"/>
  <c r="AB5900"/>
  <c r="AC5900"/>
  <c r="AD5900"/>
  <c r="P5901"/>
  <c r="T5901"/>
  <c r="U5901"/>
  <c r="V5901"/>
  <c r="W5901"/>
  <c r="Y5901"/>
  <c r="AA5901"/>
  <c r="AB5901"/>
  <c r="AC5901"/>
  <c r="AD5901"/>
  <c r="P5902"/>
  <c r="T5902"/>
  <c r="U5902"/>
  <c r="V5902"/>
  <c r="W5902"/>
  <c r="Y5902"/>
  <c r="AA5902"/>
  <c r="AB5902"/>
  <c r="AC5902"/>
  <c r="AD5902"/>
  <c r="P5903"/>
  <c r="T5903"/>
  <c r="U5903"/>
  <c r="V5903"/>
  <c r="W5903"/>
  <c r="Y5903"/>
  <c r="AA5903"/>
  <c r="AB5903"/>
  <c r="AC5903"/>
  <c r="AD5903"/>
  <c r="P5904"/>
  <c r="T5904"/>
  <c r="U5904"/>
  <c r="V5904"/>
  <c r="W5904"/>
  <c r="Y5904"/>
  <c r="AA5904"/>
  <c r="AB5904"/>
  <c r="AC5904"/>
  <c r="AD5904"/>
  <c r="P5905"/>
  <c r="T5905"/>
  <c r="U5905"/>
  <c r="V5905"/>
  <c r="W5905"/>
  <c r="Y5905"/>
  <c r="AA5905"/>
  <c r="AB5905"/>
  <c r="AC5905"/>
  <c r="AD5905"/>
  <c r="P5906"/>
  <c r="T5906"/>
  <c r="U5906"/>
  <c r="V5906"/>
  <c r="W5906"/>
  <c r="Y5906"/>
  <c r="AA5906"/>
  <c r="AB5906"/>
  <c r="AC5906"/>
  <c r="AD5906"/>
  <c r="P5907"/>
  <c r="T5907"/>
  <c r="U5907"/>
  <c r="V5907"/>
  <c r="W5907"/>
  <c r="Y5907"/>
  <c r="AA5907"/>
  <c r="AB5907"/>
  <c r="AC5907"/>
  <c r="AD5907"/>
  <c r="P5908"/>
  <c r="T5908"/>
  <c r="U5908"/>
  <c r="V5908"/>
  <c r="W5908"/>
  <c r="Y5908"/>
  <c r="AA5908"/>
  <c r="AB5908"/>
  <c r="AC5908"/>
  <c r="AD5908"/>
  <c r="P5909"/>
  <c r="T5909"/>
  <c r="U5909"/>
  <c r="V5909"/>
  <c r="W5909"/>
  <c r="Y5909"/>
  <c r="AA5909"/>
  <c r="AB5909"/>
  <c r="AC5909"/>
  <c r="AD5909"/>
  <c r="P5910"/>
  <c r="T5910"/>
  <c r="U5910"/>
  <c r="V5910"/>
  <c r="W5910"/>
  <c r="Y5910"/>
  <c r="AA5910"/>
  <c r="AB5910"/>
  <c r="AC5910"/>
  <c r="AD5910"/>
  <c r="P5911"/>
  <c r="T5911"/>
  <c r="U5911"/>
  <c r="V5911"/>
  <c r="W5911"/>
  <c r="Y5911"/>
  <c r="AA5911"/>
  <c r="AB5911"/>
  <c r="AC5911"/>
  <c r="AD5911"/>
  <c r="P5912"/>
  <c r="T5912"/>
  <c r="U5912"/>
  <c r="V5912"/>
  <c r="W5912"/>
  <c r="Y5912"/>
  <c r="AA5912"/>
  <c r="AB5912"/>
  <c r="AC5912"/>
  <c r="AD5912"/>
  <c r="P5913"/>
  <c r="T5913"/>
  <c r="U5913"/>
  <c r="V5913"/>
  <c r="W5913"/>
  <c r="Y5913"/>
  <c r="AA5913"/>
  <c r="AB5913"/>
  <c r="AC5913"/>
  <c r="AD5913"/>
  <c r="P5914"/>
  <c r="T5914"/>
  <c r="U5914"/>
  <c r="V5914"/>
  <c r="W5914"/>
  <c r="Y5914"/>
  <c r="AA5914"/>
  <c r="AB5914"/>
  <c r="AC5914"/>
  <c r="AD5914"/>
  <c r="P5915"/>
  <c r="T5915"/>
  <c r="U5915"/>
  <c r="V5915"/>
  <c r="W5915"/>
  <c r="Y5915"/>
  <c r="AA5915"/>
  <c r="AB5915"/>
  <c r="AC5915"/>
  <c r="AD5915"/>
  <c r="P5916"/>
  <c r="T5916"/>
  <c r="U5916"/>
  <c r="V5916"/>
  <c r="W5916"/>
  <c r="Y5916"/>
  <c r="AA5916"/>
  <c r="AB5916"/>
  <c r="AC5916"/>
  <c r="AD5916"/>
  <c r="P5917"/>
  <c r="T5917"/>
  <c r="U5917"/>
  <c r="V5917"/>
  <c r="W5917"/>
  <c r="Y5917"/>
  <c r="AA5917"/>
  <c r="AB5917"/>
  <c r="AC5917"/>
  <c r="AD5917"/>
  <c r="P5918"/>
  <c r="T5918"/>
  <c r="U5918"/>
  <c r="V5918"/>
  <c r="W5918"/>
  <c r="Y5918"/>
  <c r="AA5918"/>
  <c r="AB5918"/>
  <c r="AC5918"/>
  <c r="AD5918"/>
  <c r="P5919"/>
  <c r="T5919"/>
  <c r="U5919"/>
  <c r="V5919"/>
  <c r="W5919"/>
  <c r="Y5919"/>
  <c r="AA5919"/>
  <c r="AB5919"/>
  <c r="AC5919"/>
  <c r="AD5919"/>
  <c r="P5920"/>
  <c r="T5920"/>
  <c r="U5920"/>
  <c r="V5920"/>
  <c r="W5920"/>
  <c r="Y5920"/>
  <c r="AA5920"/>
  <c r="AB5920"/>
  <c r="AC5920"/>
  <c r="AD5920"/>
  <c r="P5921"/>
  <c r="T5921"/>
  <c r="U5921"/>
  <c r="V5921"/>
  <c r="W5921"/>
  <c r="Y5921"/>
  <c r="AA5921"/>
  <c r="AB5921"/>
  <c r="AC5921"/>
  <c r="AD5921"/>
  <c r="P5922"/>
  <c r="T5922"/>
  <c r="U5922"/>
  <c r="V5922"/>
  <c r="W5922"/>
  <c r="Y5922"/>
  <c r="AA5922"/>
  <c r="AB5922"/>
  <c r="AC5922"/>
  <c r="AD5922"/>
  <c r="P5923"/>
  <c r="T5923"/>
  <c r="U5923"/>
  <c r="V5923"/>
  <c r="W5923"/>
  <c r="Y5923"/>
  <c r="AA5923"/>
  <c r="AB5923"/>
  <c r="AC5923"/>
  <c r="AD5923"/>
  <c r="P5924"/>
  <c r="T5924"/>
  <c r="U5924"/>
  <c r="V5924"/>
  <c r="W5924"/>
  <c r="Y5924"/>
  <c r="AA5924"/>
  <c r="AB5924"/>
  <c r="AC5924"/>
  <c r="AD5924"/>
  <c r="P5925"/>
  <c r="T5925"/>
  <c r="U5925"/>
  <c r="V5925"/>
  <c r="W5925"/>
  <c r="Y5925"/>
  <c r="AA5925"/>
  <c r="AB5925"/>
  <c r="AC5925"/>
  <c r="AD5925"/>
  <c r="P5926"/>
  <c r="T5926"/>
  <c r="U5926"/>
  <c r="V5926"/>
  <c r="W5926"/>
  <c r="Y5926"/>
  <c r="AA5926"/>
  <c r="AB5926"/>
  <c r="AC5926"/>
  <c r="AD5926"/>
  <c r="P5927"/>
  <c r="T5927"/>
  <c r="U5927"/>
  <c r="V5927"/>
  <c r="W5927"/>
  <c r="Y5927"/>
  <c r="AA5927"/>
  <c r="AB5927"/>
  <c r="AC5927"/>
  <c r="AD5927"/>
  <c r="P5928"/>
  <c r="T5928"/>
  <c r="U5928"/>
  <c r="V5928"/>
  <c r="W5928"/>
  <c r="Y5928"/>
  <c r="AA5928"/>
  <c r="AB5928"/>
  <c r="AC5928"/>
  <c r="AD5928"/>
  <c r="P5929"/>
  <c r="T5929"/>
  <c r="U5929"/>
  <c r="V5929"/>
  <c r="W5929"/>
  <c r="Y5929"/>
  <c r="AA5929"/>
  <c r="AB5929"/>
  <c r="AC5929"/>
  <c r="AD5929"/>
  <c r="P5930"/>
  <c r="T5930"/>
  <c r="U5930"/>
  <c r="V5930"/>
  <c r="W5930"/>
  <c r="Y5930"/>
  <c r="AA5930"/>
  <c r="AB5930"/>
  <c r="AC5930"/>
  <c r="AD5930"/>
  <c r="P5931"/>
  <c r="T5931"/>
  <c r="U5931"/>
  <c r="V5931"/>
  <c r="W5931"/>
  <c r="Y5931"/>
  <c r="AA5931"/>
  <c r="AB5931"/>
  <c r="AC5931"/>
  <c r="AD5931"/>
  <c r="P5932"/>
  <c r="T5932"/>
  <c r="U5932"/>
  <c r="V5932"/>
  <c r="W5932"/>
  <c r="Y5932"/>
  <c r="AA5932"/>
  <c r="AB5932"/>
  <c r="AC5932"/>
  <c r="AD5932"/>
  <c r="P5933"/>
  <c r="T5933"/>
  <c r="U5933"/>
  <c r="V5933"/>
  <c r="W5933"/>
  <c r="Y5933"/>
  <c r="AA5933"/>
  <c r="AB5933"/>
  <c r="AC5933"/>
  <c r="AD5933"/>
  <c r="P5934"/>
  <c r="T5934"/>
  <c r="U5934"/>
  <c r="V5934"/>
  <c r="W5934"/>
  <c r="Y5934"/>
  <c r="AA5934"/>
  <c r="AB5934"/>
  <c r="AC5934"/>
  <c r="AD5934"/>
  <c r="P5935"/>
  <c r="T5935"/>
  <c r="U5935"/>
  <c r="V5935"/>
  <c r="W5935"/>
  <c r="Y5935"/>
  <c r="AA5935"/>
  <c r="AB5935"/>
  <c r="AC5935"/>
  <c r="AD5935"/>
  <c r="P5936"/>
  <c r="T5936"/>
  <c r="U5936"/>
  <c r="V5936"/>
  <c r="W5936"/>
  <c r="Y5936"/>
  <c r="AA5936"/>
  <c r="AB5936"/>
  <c r="AC5936"/>
  <c r="AD5936"/>
  <c r="P5937"/>
  <c r="T5937"/>
  <c r="U5937"/>
  <c r="V5937"/>
  <c r="W5937"/>
  <c r="Y5937"/>
  <c r="AA5937"/>
  <c r="AB5937"/>
  <c r="AC5937"/>
  <c r="AD5937"/>
  <c r="P5938"/>
  <c r="T5938"/>
  <c r="U5938"/>
  <c r="V5938"/>
  <c r="W5938"/>
  <c r="Y5938"/>
  <c r="AA5938"/>
  <c r="AB5938"/>
  <c r="AC5938"/>
  <c r="AD5938"/>
  <c r="P5939"/>
  <c r="T5939"/>
  <c r="U5939"/>
  <c r="V5939"/>
  <c r="W5939"/>
  <c r="Y5939"/>
  <c r="AA5939"/>
  <c r="AB5939"/>
  <c r="AC5939"/>
  <c r="AD5939"/>
  <c r="P5940"/>
  <c r="T5940"/>
  <c r="U5940"/>
  <c r="V5940"/>
  <c r="W5940"/>
  <c r="Y5940"/>
  <c r="AA5940"/>
  <c r="AB5940"/>
  <c r="AC5940"/>
  <c r="AD5940"/>
  <c r="P5941"/>
  <c r="T5941"/>
  <c r="U5941"/>
  <c r="V5941"/>
  <c r="W5941"/>
  <c r="Y5941"/>
  <c r="AA5941"/>
  <c r="AB5941"/>
  <c r="AC5941"/>
  <c r="AD5941"/>
  <c r="P5942"/>
  <c r="T5942"/>
  <c r="U5942"/>
  <c r="V5942"/>
  <c r="W5942"/>
  <c r="Y5942"/>
  <c r="AA5942"/>
  <c r="AB5942"/>
  <c r="AC5942"/>
  <c r="AD5942"/>
  <c r="P5943"/>
  <c r="T5943"/>
  <c r="U5943"/>
  <c r="V5943"/>
  <c r="W5943"/>
  <c r="Y5943"/>
  <c r="AA5943"/>
  <c r="AB5943"/>
  <c r="AC5943"/>
  <c r="AD5943"/>
  <c r="P5944"/>
  <c r="T5944"/>
  <c r="U5944"/>
  <c r="V5944"/>
  <c r="W5944"/>
  <c r="Y5944"/>
  <c r="AA5944"/>
  <c r="AB5944"/>
  <c r="AC5944"/>
  <c r="AD5944"/>
  <c r="P5945"/>
  <c r="T5945"/>
  <c r="U5945"/>
  <c r="V5945"/>
  <c r="W5945"/>
  <c r="Y5945"/>
  <c r="AA5945"/>
  <c r="AB5945"/>
  <c r="AC5945"/>
  <c r="AD5945"/>
  <c r="P5946"/>
  <c r="T5946"/>
  <c r="U5946"/>
  <c r="V5946"/>
  <c r="W5946"/>
  <c r="Y5946"/>
  <c r="AA5946"/>
  <c r="AB5946"/>
  <c r="AC5946"/>
  <c r="AD5946"/>
  <c r="P5947"/>
  <c r="T5947"/>
  <c r="U5947"/>
  <c r="V5947"/>
  <c r="W5947"/>
  <c r="Y5947"/>
  <c r="AA5947"/>
  <c r="AB5947"/>
  <c r="AC5947"/>
  <c r="AD5947"/>
  <c r="P5948"/>
  <c r="T5948"/>
  <c r="U5948"/>
  <c r="V5948"/>
  <c r="W5948"/>
  <c r="Y5948"/>
  <c r="AA5948"/>
  <c r="AB5948"/>
  <c r="AC5948"/>
  <c r="AD5948"/>
  <c r="P5949"/>
  <c r="T5949"/>
  <c r="U5949"/>
  <c r="V5949"/>
  <c r="W5949"/>
  <c r="Y5949"/>
  <c r="AA5949"/>
  <c r="AB5949"/>
  <c r="AC5949"/>
  <c r="AD5949"/>
  <c r="P5950"/>
  <c r="T5950"/>
  <c r="U5950"/>
  <c r="V5950"/>
  <c r="W5950"/>
  <c r="Y5950"/>
  <c r="AA5950"/>
  <c r="AB5950"/>
  <c r="AC5950"/>
  <c r="AD5950"/>
  <c r="P5951"/>
  <c r="T5951"/>
  <c r="U5951"/>
  <c r="V5951"/>
  <c r="W5951"/>
  <c r="Y5951"/>
  <c r="AA5951"/>
  <c r="AB5951"/>
  <c r="AC5951"/>
  <c r="AD5951"/>
  <c r="P5952"/>
  <c r="T5952"/>
  <c r="U5952"/>
  <c r="V5952"/>
  <c r="W5952"/>
  <c r="Y5952"/>
  <c r="AA5952"/>
  <c r="AB5952"/>
  <c r="AC5952"/>
  <c r="AD5952"/>
  <c r="P5953"/>
  <c r="T5953"/>
  <c r="U5953"/>
  <c r="V5953"/>
  <c r="W5953"/>
  <c r="Y5953"/>
  <c r="AA5953"/>
  <c r="AB5953"/>
  <c r="AC5953"/>
  <c r="AD5953"/>
  <c r="P5954"/>
  <c r="T5954"/>
  <c r="U5954"/>
  <c r="V5954"/>
  <c r="W5954"/>
  <c r="Y5954"/>
  <c r="AA5954"/>
  <c r="AB5954"/>
  <c r="AC5954"/>
  <c r="AD5954"/>
  <c r="P5955"/>
  <c r="T5955"/>
  <c r="U5955"/>
  <c r="V5955"/>
  <c r="W5955"/>
  <c r="Y5955"/>
  <c r="AA5955"/>
  <c r="AB5955"/>
  <c r="AC5955"/>
  <c r="AD5955"/>
  <c r="P5956"/>
  <c r="T5956"/>
  <c r="U5956"/>
  <c r="V5956"/>
  <c r="W5956"/>
  <c r="Y5956"/>
  <c r="AA5956"/>
  <c r="AB5956"/>
  <c r="AC5956"/>
  <c r="AD5956"/>
  <c r="P5957"/>
  <c r="T5957"/>
  <c r="U5957"/>
  <c r="V5957"/>
  <c r="W5957"/>
  <c r="Y5957"/>
  <c r="AA5957"/>
  <c r="AB5957"/>
  <c r="AC5957"/>
  <c r="AD5957"/>
  <c r="P5958"/>
  <c r="T5958"/>
  <c r="U5958"/>
  <c r="V5958"/>
  <c r="W5958"/>
  <c r="Y5958"/>
  <c r="AA5958"/>
  <c r="AB5958"/>
  <c r="AC5958"/>
  <c r="AD5958"/>
  <c r="P5959"/>
  <c r="T5959"/>
  <c r="U5959"/>
  <c r="V5959"/>
  <c r="W5959"/>
  <c r="Y5959"/>
  <c r="AA5959"/>
  <c r="AB5959"/>
  <c r="AC5959"/>
  <c r="AD5959"/>
  <c r="P5960"/>
  <c r="T5960"/>
  <c r="U5960"/>
  <c r="V5960"/>
  <c r="W5960"/>
  <c r="Y5960"/>
  <c r="AA5960"/>
  <c r="AB5960"/>
  <c r="AC5960"/>
  <c r="AD5960"/>
  <c r="P5961"/>
  <c r="T5961"/>
  <c r="U5961"/>
  <c r="V5961"/>
  <c r="W5961"/>
  <c r="Y5961"/>
  <c r="AA5961"/>
  <c r="AB5961"/>
  <c r="AC5961"/>
  <c r="AD5961"/>
  <c r="P5962"/>
  <c r="T5962"/>
  <c r="U5962"/>
  <c r="V5962"/>
  <c r="W5962"/>
  <c r="Y5962"/>
  <c r="AA5962"/>
  <c r="AB5962"/>
  <c r="AC5962"/>
  <c r="AD5962"/>
  <c r="P5963"/>
  <c r="T5963"/>
  <c r="U5963"/>
  <c r="V5963"/>
  <c r="W5963"/>
  <c r="Y5963"/>
  <c r="AA5963"/>
  <c r="AB5963"/>
  <c r="AC5963"/>
  <c r="AD5963"/>
  <c r="P5964"/>
  <c r="T5964"/>
  <c r="U5964"/>
  <c r="V5964"/>
  <c r="W5964"/>
  <c r="Y5964"/>
  <c r="AA5964"/>
  <c r="AB5964"/>
  <c r="AC5964"/>
  <c r="AD5964"/>
  <c r="P5965"/>
  <c r="T5965"/>
  <c r="U5965"/>
  <c r="V5965"/>
  <c r="W5965"/>
  <c r="Y5965"/>
  <c r="AA5965"/>
  <c r="AB5965"/>
  <c r="AC5965"/>
  <c r="AD5965"/>
  <c r="P5966"/>
  <c r="T5966"/>
  <c r="U5966"/>
  <c r="V5966"/>
  <c r="W5966"/>
  <c r="Y5966"/>
  <c r="AA5966"/>
  <c r="AB5966"/>
  <c r="AC5966"/>
  <c r="AD5966"/>
  <c r="P5967"/>
  <c r="T5967"/>
  <c r="U5967"/>
  <c r="V5967"/>
  <c r="W5967"/>
  <c r="Y5967"/>
  <c r="AA5967"/>
  <c r="AB5967"/>
  <c r="AC5967"/>
  <c r="AD5967"/>
  <c r="P5968"/>
  <c r="T5968"/>
  <c r="U5968"/>
  <c r="V5968"/>
  <c r="W5968"/>
  <c r="Y5968"/>
  <c r="AA5968"/>
  <c r="AB5968"/>
  <c r="AC5968"/>
  <c r="AD5968"/>
  <c r="P5969"/>
  <c r="T5969"/>
  <c r="U5969"/>
  <c r="V5969"/>
  <c r="W5969"/>
  <c r="Y5969"/>
  <c r="AA5969"/>
  <c r="AB5969"/>
  <c r="AC5969"/>
  <c r="AD5969"/>
  <c r="P5970"/>
  <c r="T5970"/>
  <c r="U5970"/>
  <c r="V5970"/>
  <c r="W5970"/>
  <c r="Y5970"/>
  <c r="AA5970"/>
  <c r="AB5970"/>
  <c r="AC5970"/>
  <c r="AD5970"/>
  <c r="P5971"/>
  <c r="T5971"/>
  <c r="U5971"/>
  <c r="V5971"/>
  <c r="W5971"/>
  <c r="Y5971"/>
  <c r="AA5971"/>
  <c r="AB5971"/>
  <c r="AC5971"/>
  <c r="AD5971"/>
  <c r="P5972"/>
  <c r="T5972"/>
  <c r="U5972"/>
  <c r="V5972"/>
  <c r="W5972"/>
  <c r="Y5972"/>
  <c r="AA5972"/>
  <c r="AB5972"/>
  <c r="AC5972"/>
  <c r="AD5972"/>
  <c r="P5973"/>
  <c r="T5973"/>
  <c r="U5973"/>
  <c r="V5973"/>
  <c r="W5973"/>
  <c r="Y5973"/>
  <c r="AA5973"/>
  <c r="AB5973"/>
  <c r="AC5973"/>
  <c r="AD5973"/>
  <c r="P5974"/>
  <c r="T5974"/>
  <c r="U5974"/>
  <c r="V5974"/>
  <c r="W5974"/>
  <c r="Y5974"/>
  <c r="AA5974"/>
  <c r="AB5974"/>
  <c r="AC5974"/>
  <c r="AD5974"/>
  <c r="P5975"/>
  <c r="T5975"/>
  <c r="U5975"/>
  <c r="V5975"/>
  <c r="W5975"/>
  <c r="Y5975"/>
  <c r="AA5975"/>
  <c r="AB5975"/>
  <c r="AC5975"/>
  <c r="AD5975"/>
  <c r="P5976"/>
  <c r="T5976"/>
  <c r="U5976"/>
  <c r="V5976"/>
  <c r="W5976"/>
  <c r="Y5976"/>
  <c r="AA5976"/>
  <c r="AB5976"/>
  <c r="AC5976"/>
  <c r="AD5976"/>
  <c r="P5977"/>
  <c r="T5977"/>
  <c r="U5977"/>
  <c r="V5977"/>
  <c r="W5977"/>
  <c r="Y5977"/>
  <c r="AA5977"/>
  <c r="AB5977"/>
  <c r="AC5977"/>
  <c r="AD5977"/>
  <c r="P5978"/>
  <c r="T5978"/>
  <c r="U5978"/>
  <c r="V5978"/>
  <c r="W5978"/>
  <c r="Y5978"/>
  <c r="AA5978"/>
  <c r="AB5978"/>
  <c r="AC5978"/>
  <c r="AD5978"/>
  <c r="P5979"/>
  <c r="T5979"/>
  <c r="U5979"/>
  <c r="V5979"/>
  <c r="W5979"/>
  <c r="Y5979"/>
  <c r="AA5979"/>
  <c r="AB5979"/>
  <c r="AC5979"/>
  <c r="AD5979"/>
  <c r="P5980"/>
  <c r="T5980"/>
  <c r="U5980"/>
  <c r="V5980"/>
  <c r="W5980"/>
  <c r="Y5980"/>
  <c r="AA5980"/>
  <c r="AB5980"/>
  <c r="AC5980"/>
  <c r="AD5980"/>
  <c r="P5981"/>
  <c r="T5981"/>
  <c r="U5981"/>
  <c r="V5981"/>
  <c r="W5981"/>
  <c r="Y5981"/>
  <c r="AA5981"/>
  <c r="AB5981"/>
  <c r="AC5981"/>
  <c r="AD5981"/>
  <c r="P5982"/>
  <c r="T5982"/>
  <c r="U5982"/>
  <c r="V5982"/>
  <c r="W5982"/>
  <c r="Y5982"/>
  <c r="AA5982"/>
  <c r="AB5982"/>
  <c r="AC5982"/>
  <c r="AD5982"/>
  <c r="P5983"/>
  <c r="T5983"/>
  <c r="U5983"/>
  <c r="V5983"/>
  <c r="W5983"/>
  <c r="Y5983"/>
  <c r="AA5983"/>
  <c r="AB5983"/>
  <c r="AC5983"/>
  <c r="AD5983"/>
  <c r="P5984"/>
  <c r="T5984"/>
  <c r="U5984"/>
  <c r="V5984"/>
  <c r="W5984"/>
  <c r="Y5984"/>
  <c r="AA5984"/>
  <c r="AB5984"/>
  <c r="AC5984"/>
  <c r="AD5984"/>
  <c r="P5985"/>
  <c r="T5985"/>
  <c r="U5985"/>
  <c r="V5985"/>
  <c r="W5985"/>
  <c r="Y5985"/>
  <c r="AA5985"/>
  <c r="AB5985"/>
  <c r="AC5985"/>
  <c r="AD5985"/>
  <c r="P5986"/>
  <c r="T5986"/>
  <c r="U5986"/>
  <c r="V5986"/>
  <c r="W5986"/>
  <c r="Y5986"/>
  <c r="AA5986"/>
  <c r="AB5986"/>
  <c r="AC5986"/>
  <c r="AD5986"/>
  <c r="P5987"/>
  <c r="T5987"/>
  <c r="U5987"/>
  <c r="V5987"/>
  <c r="W5987"/>
  <c r="Y5987"/>
  <c r="AA5987"/>
  <c r="AB5987"/>
  <c r="AC5987"/>
  <c r="AD5987"/>
  <c r="P5988"/>
  <c r="T5988"/>
  <c r="U5988"/>
  <c r="V5988"/>
  <c r="W5988"/>
  <c r="Y5988"/>
  <c r="AA5988"/>
  <c r="AB5988"/>
  <c r="AC5988"/>
  <c r="AD5988"/>
  <c r="P5989"/>
  <c r="T5989"/>
  <c r="U5989"/>
  <c r="V5989"/>
  <c r="W5989"/>
  <c r="Y5989"/>
  <c r="AA5989"/>
  <c r="AB5989"/>
  <c r="AC5989"/>
  <c r="AD5989"/>
  <c r="P5990"/>
  <c r="T5990"/>
  <c r="U5990"/>
  <c r="V5990"/>
  <c r="W5990"/>
  <c r="Y5990"/>
  <c r="AA5990"/>
  <c r="AB5990"/>
  <c r="AC5990"/>
  <c r="AD5990"/>
  <c r="P5991"/>
  <c r="T5991"/>
  <c r="U5991"/>
  <c r="V5991"/>
  <c r="W5991"/>
  <c r="Y5991"/>
  <c r="AA5991"/>
  <c r="AB5991"/>
  <c r="AC5991"/>
  <c r="AD5991"/>
  <c r="P5992"/>
  <c r="T5992"/>
  <c r="U5992"/>
  <c r="V5992"/>
  <c r="W5992"/>
  <c r="Y5992"/>
  <c r="AA5992"/>
  <c r="AB5992"/>
  <c r="AC5992"/>
  <c r="AD5992"/>
  <c r="P5993"/>
  <c r="T5993"/>
  <c r="U5993"/>
  <c r="V5993"/>
  <c r="W5993"/>
  <c r="Y5993"/>
  <c r="AA5993"/>
  <c r="AB5993"/>
  <c r="AC5993"/>
  <c r="AD5993"/>
  <c r="P5994"/>
  <c r="T5994"/>
  <c r="U5994"/>
  <c r="V5994"/>
  <c r="W5994"/>
  <c r="Y5994"/>
  <c r="AA5994"/>
  <c r="AB5994"/>
  <c r="AC5994"/>
  <c r="AD5994"/>
  <c r="P5995"/>
  <c r="T5995"/>
  <c r="U5995"/>
  <c r="V5995"/>
  <c r="W5995"/>
  <c r="Y5995"/>
  <c r="AA5995"/>
  <c r="AB5995"/>
  <c r="AC5995"/>
  <c r="AD5995"/>
  <c r="P5996"/>
  <c r="T5996"/>
  <c r="U5996"/>
  <c r="V5996"/>
  <c r="W5996"/>
  <c r="Y5996"/>
  <c r="AA5996"/>
  <c r="AB5996"/>
  <c r="AC5996"/>
  <c r="AD5996"/>
  <c r="P5997"/>
  <c r="T5997"/>
  <c r="U5997"/>
  <c r="V5997"/>
  <c r="W5997"/>
  <c r="Y5997"/>
  <c r="AA5997"/>
  <c r="AB5997"/>
  <c r="AC5997"/>
  <c r="AD5997"/>
  <c r="P5998"/>
  <c r="T5998"/>
  <c r="U5998"/>
  <c r="V5998"/>
  <c r="W5998"/>
  <c r="Y5998"/>
  <c r="AA5998"/>
  <c r="AB5998"/>
  <c r="AC5998"/>
  <c r="AD5998"/>
  <c r="P5999"/>
  <c r="T5999"/>
  <c r="U5999"/>
  <c r="V5999"/>
  <c r="W5999"/>
  <c r="Y5999"/>
  <c r="AA5999"/>
  <c r="AB5999"/>
  <c r="AC5999"/>
  <c r="AD5999"/>
  <c r="P6000"/>
  <c r="T6000"/>
  <c r="U6000"/>
  <c r="V6000"/>
  <c r="W6000"/>
  <c r="Y6000"/>
  <c r="AA6000"/>
  <c r="AB6000"/>
  <c r="AC6000"/>
  <c r="AD6000"/>
  <c r="P6001"/>
  <c r="T6001"/>
  <c r="U6001"/>
  <c r="V6001"/>
  <c r="W6001"/>
  <c r="Y6001"/>
  <c r="AA6001"/>
  <c r="AB6001"/>
  <c r="AC6001"/>
  <c r="AD6001"/>
  <c r="P6002"/>
  <c r="T6002"/>
  <c r="U6002"/>
  <c r="V6002"/>
  <c r="W6002"/>
  <c r="Y6002"/>
  <c r="AA6002"/>
  <c r="AB6002"/>
  <c r="AC6002"/>
  <c r="AD6002"/>
  <c r="P6003"/>
  <c r="T6003"/>
  <c r="U6003"/>
  <c r="V6003"/>
  <c r="W6003"/>
  <c r="Y6003"/>
  <c r="AA6003"/>
  <c r="AB6003"/>
  <c r="AC6003"/>
  <c r="AD6003"/>
  <c r="P6004"/>
  <c r="T6004"/>
  <c r="U6004"/>
  <c r="V6004"/>
  <c r="W6004"/>
  <c r="Y6004"/>
  <c r="AA6004"/>
  <c r="AB6004"/>
  <c r="AC6004"/>
  <c r="AD6004"/>
  <c r="P6005"/>
  <c r="T6005"/>
  <c r="U6005"/>
  <c r="V6005"/>
  <c r="W6005"/>
  <c r="Y6005"/>
  <c r="AA6005"/>
  <c r="AB6005"/>
  <c r="AC6005"/>
  <c r="AD6005"/>
  <c r="P6006"/>
  <c r="T6006"/>
  <c r="U6006"/>
  <c r="V6006"/>
  <c r="W6006"/>
  <c r="Y6006"/>
  <c r="AA6006"/>
  <c r="AB6006"/>
  <c r="AC6006"/>
  <c r="AD6006"/>
  <c r="P6007"/>
  <c r="T6007"/>
  <c r="U6007"/>
  <c r="V6007"/>
  <c r="W6007"/>
  <c r="Y6007"/>
  <c r="AA6007"/>
  <c r="AB6007"/>
  <c r="AC6007"/>
  <c r="AD6007"/>
  <c r="P6008"/>
  <c r="T6008"/>
  <c r="U6008"/>
  <c r="V6008"/>
  <c r="W6008"/>
  <c r="Y6008"/>
  <c r="AA6008"/>
  <c r="AB6008"/>
  <c r="AC6008"/>
  <c r="AD6008"/>
  <c r="P6009"/>
  <c r="T6009"/>
  <c r="U6009"/>
  <c r="V6009"/>
  <c r="W6009"/>
  <c r="Y6009"/>
  <c r="AA6009"/>
  <c r="AB6009"/>
  <c r="AC6009"/>
  <c r="AD6009"/>
  <c r="P6010"/>
  <c r="T6010"/>
  <c r="U6010"/>
  <c r="V6010"/>
  <c r="W6010"/>
  <c r="Y6010"/>
  <c r="AA6010"/>
  <c r="AB6010"/>
  <c r="AC6010"/>
  <c r="AD6010"/>
  <c r="P6011"/>
  <c r="T6011"/>
  <c r="U6011"/>
  <c r="V6011"/>
  <c r="W6011"/>
  <c r="Y6011"/>
  <c r="AA6011"/>
  <c r="AB6011"/>
  <c r="AC6011"/>
  <c r="AD6011"/>
  <c r="P6012"/>
  <c r="T6012"/>
  <c r="U6012"/>
  <c r="V6012"/>
  <c r="W6012"/>
  <c r="Y6012"/>
  <c r="AA6012"/>
  <c r="AB6012"/>
  <c r="AC6012"/>
  <c r="AD6012"/>
  <c r="P6013"/>
  <c r="T6013"/>
  <c r="U6013"/>
  <c r="V6013"/>
  <c r="W6013"/>
  <c r="Y6013"/>
  <c r="AA6013"/>
  <c r="AB6013"/>
  <c r="AC6013"/>
  <c r="AD6013"/>
  <c r="P6014"/>
  <c r="T6014"/>
  <c r="U6014"/>
  <c r="V6014"/>
  <c r="W6014"/>
  <c r="Y6014"/>
  <c r="AA6014"/>
  <c r="AB6014"/>
  <c r="AC6014"/>
  <c r="AD6014"/>
  <c r="P6015"/>
  <c r="T6015"/>
  <c r="U6015"/>
  <c r="V6015"/>
  <c r="W6015"/>
  <c r="Y6015"/>
  <c r="AA6015"/>
  <c r="AB6015"/>
  <c r="AC6015"/>
  <c r="AD6015"/>
  <c r="P6016"/>
  <c r="T6016"/>
  <c r="U6016"/>
  <c r="V6016"/>
  <c r="W6016"/>
  <c r="Y6016"/>
  <c r="AA6016"/>
  <c r="AB6016"/>
  <c r="AC6016"/>
  <c r="AD6016"/>
  <c r="P6017"/>
  <c r="T6017"/>
  <c r="U6017"/>
  <c r="V6017"/>
  <c r="W6017"/>
  <c r="Y6017"/>
  <c r="AA6017"/>
  <c r="AB6017"/>
  <c r="AC6017"/>
  <c r="AD6017"/>
  <c r="P6018"/>
  <c r="T6018"/>
  <c r="U6018"/>
  <c r="V6018"/>
  <c r="W6018"/>
  <c r="Y6018"/>
  <c r="AA6018"/>
  <c r="AB6018"/>
  <c r="AC6018"/>
  <c r="AD6018"/>
  <c r="P6019"/>
  <c r="T6019"/>
  <c r="U6019"/>
  <c r="V6019"/>
  <c r="W6019"/>
  <c r="Y6019"/>
  <c r="AA6019"/>
  <c r="AB6019"/>
  <c r="AC6019"/>
  <c r="AD6019"/>
  <c r="P6020"/>
  <c r="T6020"/>
  <c r="U6020"/>
  <c r="V6020"/>
  <c r="W6020"/>
  <c r="Y6020"/>
  <c r="AA6020"/>
  <c r="AB6020"/>
  <c r="AC6020"/>
  <c r="AD6020"/>
  <c r="P6021"/>
  <c r="T6021"/>
  <c r="U6021"/>
  <c r="V6021"/>
  <c r="W6021"/>
  <c r="Y6021"/>
  <c r="AA6021"/>
  <c r="AB6021"/>
  <c r="AC6021"/>
  <c r="AD6021"/>
  <c r="P6022"/>
  <c r="T6022"/>
  <c r="U6022"/>
  <c r="V6022"/>
  <c r="W6022"/>
  <c r="Y6022"/>
  <c r="AA6022"/>
  <c r="AB6022"/>
  <c r="AC6022"/>
  <c r="AD6022"/>
  <c r="P6023"/>
  <c r="T6023"/>
  <c r="U6023"/>
  <c r="V6023"/>
  <c r="W6023"/>
  <c r="Y6023"/>
  <c r="AA6023"/>
  <c r="AB6023"/>
  <c r="AC6023"/>
  <c r="AD6023"/>
  <c r="P6024"/>
  <c r="T6024"/>
  <c r="U6024"/>
  <c r="V6024"/>
  <c r="W6024"/>
  <c r="Y6024"/>
  <c r="AA6024"/>
  <c r="AB6024"/>
  <c r="AC6024"/>
  <c r="AD6024"/>
  <c r="AA4279"/>
  <c r="B4279"/>
  <c r="Q1108" l="1"/>
  <c r="S1108"/>
  <c r="R1108"/>
  <c r="R1107"/>
  <c r="Q1107"/>
  <c r="S1107"/>
  <c r="R1105"/>
  <c r="Q1105"/>
  <c r="S1105"/>
  <c r="R1103"/>
  <c r="Q1103"/>
  <c r="S1103"/>
  <c r="Q1112"/>
  <c r="S1112"/>
  <c r="R1112"/>
  <c r="R1111"/>
  <c r="Q1111"/>
  <c r="S1111"/>
  <c r="Q1110"/>
  <c r="S1110"/>
  <c r="R1110"/>
  <c r="R1109"/>
  <c r="Q1109"/>
  <c r="S1109"/>
  <c r="Q1104"/>
  <c r="S1104"/>
  <c r="R1104"/>
  <c r="A1106"/>
  <c r="Q1106"/>
  <c r="S1106"/>
  <c r="R1106"/>
  <c r="R1113"/>
  <c r="Q1113"/>
  <c r="S1113"/>
  <c r="A75"/>
  <c r="R75"/>
  <c r="Q75"/>
  <c r="S75"/>
  <c r="A74"/>
  <c r="Q74"/>
  <c r="S74"/>
  <c r="R74"/>
  <c r="R91"/>
  <c r="Q91"/>
  <c r="S91"/>
  <c r="Q90"/>
  <c r="S90"/>
  <c r="R90"/>
  <c r="R107"/>
  <c r="Q107"/>
  <c r="S107"/>
  <c r="Q106"/>
  <c r="S106"/>
  <c r="R106"/>
  <c r="R123"/>
  <c r="Q123"/>
  <c r="S123"/>
  <c r="Q122"/>
  <c r="S122"/>
  <c r="R122"/>
  <c r="R139"/>
  <c r="Q139"/>
  <c r="S139"/>
  <c r="Q138"/>
  <c r="S138"/>
  <c r="R138"/>
  <c r="Q155"/>
  <c r="S155"/>
  <c r="R155"/>
  <c r="R154"/>
  <c r="Q154"/>
  <c r="S154"/>
  <c r="Q171"/>
  <c r="S171"/>
  <c r="R171"/>
  <c r="R170"/>
  <c r="Q170"/>
  <c r="S170"/>
  <c r="A170"/>
  <c r="A171"/>
  <c r="A154"/>
  <c r="A155"/>
  <c r="A138"/>
  <c r="A139"/>
  <c r="A122"/>
  <c r="A123"/>
  <c r="A106"/>
  <c r="A107"/>
  <c r="A90"/>
  <c r="A91"/>
  <c r="R5017"/>
  <c r="S5014"/>
  <c r="R5014"/>
  <c r="S5017"/>
  <c r="Q5017"/>
  <c r="V3586"/>
  <c r="T3586"/>
  <c r="R5015"/>
  <c r="R3586"/>
  <c r="Q5014"/>
  <c r="S3586"/>
  <c r="A5022"/>
  <c r="R2925"/>
  <c r="A1112"/>
  <c r="A1113"/>
  <c r="Q5022"/>
  <c r="V2923"/>
  <c r="R2923"/>
  <c r="V2921"/>
  <c r="R2921"/>
  <c r="V2919"/>
  <c r="R2919"/>
  <c r="S5020"/>
  <c r="R5023"/>
  <c r="S5013"/>
  <c r="S5015"/>
  <c r="Q5015"/>
  <c r="R5016"/>
  <c r="A5020"/>
  <c r="A5023"/>
  <c r="Q5023"/>
  <c r="U2926"/>
  <c r="R2926"/>
  <c r="U2925"/>
  <c r="S2925"/>
  <c r="Q2925"/>
  <c r="U2924"/>
  <c r="R2924"/>
  <c r="U2923"/>
  <c r="S2923"/>
  <c r="Q2923"/>
  <c r="U2922"/>
  <c r="R2922"/>
  <c r="U2921"/>
  <c r="S2921"/>
  <c r="Q2921"/>
  <c r="U2920"/>
  <c r="R2920"/>
  <c r="U2919"/>
  <c r="S2919"/>
  <c r="Q2919"/>
  <c r="A1103"/>
  <c r="A1104"/>
  <c r="A1105"/>
  <c r="A1109"/>
  <c r="A1107"/>
  <c r="A1110"/>
  <c r="A1108"/>
  <c r="A1111"/>
  <c r="S2926"/>
  <c r="Q2926"/>
  <c r="S2924"/>
  <c r="Q2924"/>
  <c r="S2922"/>
  <c r="Q2922"/>
  <c r="S2920"/>
  <c r="Q2920"/>
  <c r="R5022"/>
  <c r="A5019"/>
  <c r="Q5019"/>
  <c r="S5019"/>
  <c r="R5020"/>
  <c r="A5021"/>
  <c r="Q5021"/>
  <c r="S5021"/>
  <c r="R5013"/>
  <c r="R5019"/>
  <c r="R5021"/>
  <c r="Q5018"/>
  <c r="S5018"/>
  <c r="A5018"/>
  <c r="R5018"/>
  <c r="S5016"/>
  <c r="Q5016"/>
  <c r="U5025"/>
  <c r="U5024"/>
  <c r="S4283"/>
  <c r="S5025"/>
  <c r="S5024"/>
  <c r="V5025"/>
  <c r="T5025"/>
  <c r="R5025"/>
  <c r="V5024"/>
  <c r="T5024"/>
  <c r="R5024"/>
  <c r="Q4283"/>
  <c r="S5012"/>
  <c r="R5012"/>
  <c r="R4254"/>
  <c r="R4283"/>
  <c r="S4254"/>
  <c r="Q4254"/>
  <c r="R4279"/>
  <c r="Q4279"/>
  <c r="S4279"/>
  <c r="A4279"/>
  <c r="B3583"/>
  <c r="AA3583"/>
  <c r="B3584"/>
  <c r="AA3584"/>
  <c r="B3585"/>
  <c r="AA3585"/>
  <c r="AA5011"/>
  <c r="B5011"/>
  <c r="AA5010"/>
  <c r="B5010"/>
  <c r="A5010" s="1"/>
  <c r="B4276"/>
  <c r="AA4276"/>
  <c r="B4277"/>
  <c r="AA4277"/>
  <c r="B4275"/>
  <c r="AA4275"/>
  <c r="B1102"/>
  <c r="B1101"/>
  <c r="B1100"/>
  <c r="B1094"/>
  <c r="B1095"/>
  <c r="B1096"/>
  <c r="B1097"/>
  <c r="B1098"/>
  <c r="B1099"/>
  <c r="Q1098" l="1"/>
  <c r="S1098"/>
  <c r="R1098"/>
  <c r="A1099"/>
  <c r="R1099"/>
  <c r="Q1099"/>
  <c r="S1099"/>
  <c r="R1097"/>
  <c r="Q1097"/>
  <c r="S1097"/>
  <c r="R1095"/>
  <c r="Q1095"/>
  <c r="S1095"/>
  <c r="Q1100"/>
  <c r="S1100"/>
  <c r="R1100"/>
  <c r="Q1102"/>
  <c r="S1102"/>
  <c r="R1102"/>
  <c r="Q1096"/>
  <c r="S1096"/>
  <c r="R1096"/>
  <c r="Q1094"/>
  <c r="S1094"/>
  <c r="R1094"/>
  <c r="R1101"/>
  <c r="Q1101"/>
  <c r="S1101"/>
  <c r="T3585"/>
  <c r="V3585"/>
  <c r="U3585"/>
  <c r="U3584"/>
  <c r="T3584"/>
  <c r="V3584"/>
  <c r="T3583"/>
  <c r="V3583"/>
  <c r="U3583"/>
  <c r="A1094"/>
  <c r="A1101"/>
  <c r="A4275"/>
  <c r="R4275"/>
  <c r="Q4275"/>
  <c r="S4275"/>
  <c r="A4277"/>
  <c r="R4277"/>
  <c r="Q4277"/>
  <c r="S4277"/>
  <c r="Q3585"/>
  <c r="S3585"/>
  <c r="R3585"/>
  <c r="R3584"/>
  <c r="Q3584"/>
  <c r="S3584"/>
  <c r="Q3583"/>
  <c r="S3583"/>
  <c r="R3583"/>
  <c r="A1098"/>
  <c r="A1096"/>
  <c r="A1095"/>
  <c r="A1102"/>
  <c r="A4276"/>
  <c r="Q4276"/>
  <c r="S4276"/>
  <c r="R4276"/>
  <c r="Q5010"/>
  <c r="S5010"/>
  <c r="R5010"/>
  <c r="R5011"/>
  <c r="Q5011"/>
  <c r="S5011"/>
  <c r="A1097"/>
  <c r="A5011"/>
  <c r="A1100"/>
  <c r="B3535"/>
  <c r="B3288"/>
  <c r="B3287"/>
  <c r="A3287" s="1"/>
  <c r="B3286"/>
  <c r="B3285"/>
  <c r="B3284"/>
  <c r="A3284" s="1"/>
  <c r="A3285"/>
  <c r="AA3285"/>
  <c r="AA3284"/>
  <c r="AA3286"/>
  <c r="AA3287"/>
  <c r="AA3288"/>
  <c r="T3285" l="1"/>
  <c r="V3285"/>
  <c r="U3285"/>
  <c r="T3287"/>
  <c r="V3287"/>
  <c r="U3287"/>
  <c r="T3535"/>
  <c r="V3535"/>
  <c r="U3535"/>
  <c r="U3284"/>
  <c r="T3284"/>
  <c r="V3284"/>
  <c r="U3286"/>
  <c r="T3286"/>
  <c r="V3286"/>
  <c r="A3288"/>
  <c r="U3288"/>
  <c r="T3288"/>
  <c r="V3288"/>
  <c r="R3284"/>
  <c r="Q3284"/>
  <c r="S3284"/>
  <c r="A3286"/>
  <c r="R3286"/>
  <c r="Q3286"/>
  <c r="S3286"/>
  <c r="R3288"/>
  <c r="Q3288"/>
  <c r="S3288"/>
  <c r="Q3285"/>
  <c r="S3285"/>
  <c r="R3285"/>
  <c r="Q3287"/>
  <c r="S3287"/>
  <c r="R3287"/>
  <c r="Q3535"/>
  <c r="S3535"/>
  <c r="R3535"/>
  <c r="I55" i="15"/>
  <c r="E250" i="34"/>
  <c r="AA250" s="1"/>
  <c r="E251"/>
  <c r="AA251" s="1"/>
  <c r="B250"/>
  <c r="B251"/>
  <c r="M251"/>
  <c r="M250"/>
  <c r="M235"/>
  <c r="M234"/>
  <c r="B234"/>
  <c r="E234"/>
  <c r="AA234" s="1"/>
  <c r="B235"/>
  <c r="E235"/>
  <c r="AA235" s="1"/>
  <c r="B1093"/>
  <c r="B4274"/>
  <c r="AA4274"/>
  <c r="AA5009"/>
  <c r="B5009"/>
  <c r="AA5008"/>
  <c r="B5008"/>
  <c r="AA5007"/>
  <c r="B5007"/>
  <c r="AA5005"/>
  <c r="B5005"/>
  <c r="AA5004"/>
  <c r="B5004"/>
  <c r="B2994"/>
  <c r="AA2994"/>
  <c r="B3009"/>
  <c r="AA3009"/>
  <c r="B3001"/>
  <c r="AA3001"/>
  <c r="B4194"/>
  <c r="AA4194"/>
  <c r="B4195"/>
  <c r="AA4195"/>
  <c r="B4182"/>
  <c r="AA4182"/>
  <c r="B4183"/>
  <c r="AA4183"/>
  <c r="B4159"/>
  <c r="AA4159"/>
  <c r="B4160"/>
  <c r="AA4160"/>
  <c r="B4137"/>
  <c r="AA4137"/>
  <c r="B4103"/>
  <c r="AA4103"/>
  <c r="B4079"/>
  <c r="AA4079"/>
  <c r="B3977"/>
  <c r="AA3977"/>
  <c r="B3959"/>
  <c r="AA3959"/>
  <c r="B3913"/>
  <c r="AA3913"/>
  <c r="B3005"/>
  <c r="AA3005"/>
  <c r="B2998"/>
  <c r="AA2998"/>
  <c r="B2990"/>
  <c r="AA2990"/>
  <c r="B2987"/>
  <c r="AA2987"/>
  <c r="B2977"/>
  <c r="AA2977"/>
  <c r="B2953"/>
  <c r="AA2953"/>
  <c r="B2948"/>
  <c r="AA2948"/>
  <c r="B2944"/>
  <c r="AA2944"/>
  <c r="B2936"/>
  <c r="AA2936"/>
  <c r="B2929"/>
  <c r="AA2929"/>
  <c r="B3933"/>
  <c r="AA3933"/>
  <c r="B3927"/>
  <c r="AA3927"/>
  <c r="B3924"/>
  <c r="AA3924"/>
  <c r="B3920"/>
  <c r="AA3920"/>
  <c r="B3852"/>
  <c r="AA3852"/>
  <c r="B3905"/>
  <c r="AA3905"/>
  <c r="B3866"/>
  <c r="AA3866"/>
  <c r="B3793"/>
  <c r="AA3793"/>
  <c r="B3799"/>
  <c r="AA3799"/>
  <c r="B3745"/>
  <c r="AA3745"/>
  <c r="Q251" l="1"/>
  <c r="S251"/>
  <c r="R251"/>
  <c r="R1093"/>
  <c r="Q1093"/>
  <c r="S1093"/>
  <c r="Q235"/>
  <c r="S235"/>
  <c r="R235"/>
  <c r="R234"/>
  <c r="Q234"/>
  <c r="S234"/>
  <c r="R250"/>
  <c r="Q250"/>
  <c r="S250"/>
  <c r="A4159"/>
  <c r="Q4159"/>
  <c r="S4159"/>
  <c r="R4159"/>
  <c r="A4183"/>
  <c r="Q4183"/>
  <c r="S4183"/>
  <c r="R4183"/>
  <c r="A4194"/>
  <c r="R4194"/>
  <c r="Q4194"/>
  <c r="S4194"/>
  <c r="A3001"/>
  <c r="Q3001"/>
  <c r="S3001"/>
  <c r="R3001"/>
  <c r="A3009"/>
  <c r="Q3009"/>
  <c r="S3009"/>
  <c r="R3009"/>
  <c r="A2994"/>
  <c r="R2994"/>
  <c r="Q2994"/>
  <c r="S2994"/>
  <c r="A4274"/>
  <c r="Q4274"/>
  <c r="S4274"/>
  <c r="R4274"/>
  <c r="A3745"/>
  <c r="Q3745"/>
  <c r="S3745"/>
  <c r="R3745"/>
  <c r="A3799"/>
  <c r="Q3799"/>
  <c r="S3799"/>
  <c r="R3799"/>
  <c r="A3793"/>
  <c r="Q3793"/>
  <c r="S3793"/>
  <c r="R3793"/>
  <c r="A3866"/>
  <c r="R3866"/>
  <c r="Q3866"/>
  <c r="S3866"/>
  <c r="A3905"/>
  <c r="Q3905"/>
  <c r="S3905"/>
  <c r="R3905"/>
  <c r="A3852"/>
  <c r="R3852"/>
  <c r="Q3852"/>
  <c r="S3852"/>
  <c r="A3920"/>
  <c r="R3920"/>
  <c r="Q3920"/>
  <c r="S3920"/>
  <c r="A3924"/>
  <c r="R3924"/>
  <c r="Q3924"/>
  <c r="S3924"/>
  <c r="A3927"/>
  <c r="Q3927"/>
  <c r="S3927"/>
  <c r="R3927"/>
  <c r="A3933"/>
  <c r="Q3933"/>
  <c r="S3933"/>
  <c r="R3933"/>
  <c r="A2929"/>
  <c r="Q2929"/>
  <c r="S2929"/>
  <c r="R2929"/>
  <c r="A2936"/>
  <c r="R2936"/>
  <c r="Q2936"/>
  <c r="S2936"/>
  <c r="A2944"/>
  <c r="R2944"/>
  <c r="Q2944"/>
  <c r="S2944"/>
  <c r="A2948"/>
  <c r="R2948"/>
  <c r="Q2948"/>
  <c r="S2948"/>
  <c r="A2953"/>
  <c r="Q2953"/>
  <c r="S2953"/>
  <c r="R2953"/>
  <c r="A2977"/>
  <c r="Q2977"/>
  <c r="S2977"/>
  <c r="R2977"/>
  <c r="A2987"/>
  <c r="Q2987"/>
  <c r="S2987"/>
  <c r="R2987"/>
  <c r="A2990"/>
  <c r="R2990"/>
  <c r="Q2990"/>
  <c r="S2990"/>
  <c r="A2998"/>
  <c r="R2998"/>
  <c r="Q2998"/>
  <c r="S2998"/>
  <c r="A3005"/>
  <c r="Q3005"/>
  <c r="S3005"/>
  <c r="R3005"/>
  <c r="A3913"/>
  <c r="Q3913"/>
  <c r="S3913"/>
  <c r="R3913"/>
  <c r="A3959"/>
  <c r="Q3959"/>
  <c r="S3959"/>
  <c r="R3959"/>
  <c r="A3977"/>
  <c r="Q3977"/>
  <c r="S3977"/>
  <c r="R3977"/>
  <c r="A4079"/>
  <c r="Q4079"/>
  <c r="S4079"/>
  <c r="R4079"/>
  <c r="A4103"/>
  <c r="Q4103"/>
  <c r="S4103"/>
  <c r="R4103"/>
  <c r="A4137"/>
  <c r="Q4137"/>
  <c r="S4137"/>
  <c r="R4137"/>
  <c r="A4160"/>
  <c r="R4160"/>
  <c r="Q4160"/>
  <c r="S4160"/>
  <c r="A4182"/>
  <c r="R4182"/>
  <c r="Q4182"/>
  <c r="S4182"/>
  <c r="A4195"/>
  <c r="Q4195"/>
  <c r="S4195"/>
  <c r="R4195"/>
  <c r="Q5004"/>
  <c r="S5004"/>
  <c r="R5004"/>
  <c r="R5005"/>
  <c r="Q5005"/>
  <c r="S5005"/>
  <c r="R5007"/>
  <c r="Q5007"/>
  <c r="S5007"/>
  <c r="Q5008"/>
  <c r="S5008"/>
  <c r="R5008"/>
  <c r="R5009"/>
  <c r="Q5009"/>
  <c r="S5009"/>
  <c r="A1093"/>
  <c r="A234"/>
  <c r="A235"/>
  <c r="A5008"/>
  <c r="A5009"/>
  <c r="A5007"/>
  <c r="A5005"/>
  <c r="A250"/>
  <c r="A251"/>
  <c r="A5004"/>
  <c r="B3006"/>
  <c r="AA3006"/>
  <c r="B3010"/>
  <c r="AA3010"/>
  <c r="B3011"/>
  <c r="AA3011"/>
  <c r="B3012"/>
  <c r="AA3012"/>
  <c r="B3013"/>
  <c r="AA3013"/>
  <c r="AA3008"/>
  <c r="B3008"/>
  <c r="AA3007"/>
  <c r="B3007"/>
  <c r="AA3004"/>
  <c r="B3004"/>
  <c r="AA3003"/>
  <c r="B3003"/>
  <c r="AA3002"/>
  <c r="B3000"/>
  <c r="AA3000"/>
  <c r="AA2999"/>
  <c r="B2999"/>
  <c r="AA2997"/>
  <c r="B2997"/>
  <c r="AA2996"/>
  <c r="B2996"/>
  <c r="AA2995"/>
  <c r="B2995"/>
  <c r="B2992"/>
  <c r="AA2992"/>
  <c r="B2993"/>
  <c r="AA2993"/>
  <c r="B2989"/>
  <c r="AA2989"/>
  <c r="B2991"/>
  <c r="B3002"/>
  <c r="B3014"/>
  <c r="B2988"/>
  <c r="AA3190"/>
  <c r="B3190"/>
  <c r="AA3189"/>
  <c r="B3189"/>
  <c r="AA3188"/>
  <c r="B3188"/>
  <c r="B3187"/>
  <c r="AA3187"/>
  <c r="AA3186"/>
  <c r="B3186"/>
  <c r="AA3185"/>
  <c r="B3185"/>
  <c r="AA3184"/>
  <c r="B3184"/>
  <c r="AA3183"/>
  <c r="B3183"/>
  <c r="AA3181"/>
  <c r="B3181"/>
  <c r="AA3180"/>
  <c r="B3180"/>
  <c r="AA3179"/>
  <c r="B3179"/>
  <c r="AA3178"/>
  <c r="B3178"/>
  <c r="AA3177"/>
  <c r="B3177"/>
  <c r="AA3176"/>
  <c r="B3176"/>
  <c r="AA3175"/>
  <c r="B3175"/>
  <c r="AA3174"/>
  <c r="B3174"/>
  <c r="AA3173"/>
  <c r="B3173"/>
  <c r="AA3172"/>
  <c r="B3172"/>
  <c r="B3167"/>
  <c r="AA3167"/>
  <c r="B3168"/>
  <c r="AA3168"/>
  <c r="B3169"/>
  <c r="AA3169"/>
  <c r="AA3171"/>
  <c r="B3171"/>
  <c r="AA3170"/>
  <c r="B3170"/>
  <c r="AA3166"/>
  <c r="B3166"/>
  <c r="AA3165"/>
  <c r="B3165"/>
  <c r="AA3164"/>
  <c r="B3164"/>
  <c r="AA3163"/>
  <c r="B3163"/>
  <c r="AA3162"/>
  <c r="B3162"/>
  <c r="AA3159"/>
  <c r="B3159"/>
  <c r="AA3158"/>
  <c r="B3158"/>
  <c r="AA3157"/>
  <c r="B3157"/>
  <c r="AA3156"/>
  <c r="B3156"/>
  <c r="AA3155"/>
  <c r="B3155"/>
  <c r="AA3154"/>
  <c r="B3154"/>
  <c r="AA3153"/>
  <c r="B3153"/>
  <c r="B3152"/>
  <c r="AA3152"/>
  <c r="B3150"/>
  <c r="B3151"/>
  <c r="AA3151"/>
  <c r="AA3150"/>
  <c r="B3149"/>
  <c r="B3160"/>
  <c r="B3161"/>
  <c r="B3182"/>
  <c r="B3191"/>
  <c r="B3192"/>
  <c r="B3193"/>
  <c r="B3194"/>
  <c r="B3195"/>
  <c r="A3195" s="1"/>
  <c r="B3196"/>
  <c r="B3197"/>
  <c r="B3198"/>
  <c r="B3199"/>
  <c r="B3200"/>
  <c r="B3201"/>
  <c r="B3202"/>
  <c r="B3203"/>
  <c r="B3204"/>
  <c r="B3205"/>
  <c r="B3206"/>
  <c r="B3207"/>
  <c r="A3207" s="1"/>
  <c r="B3208"/>
  <c r="B3209"/>
  <c r="B3210"/>
  <c r="A3210" s="1"/>
  <c r="B3211"/>
  <c r="A3211" s="1"/>
  <c r="B3212"/>
  <c r="B3213"/>
  <c r="B3214"/>
  <c r="AA3160"/>
  <c r="AA3161"/>
  <c r="AA3182"/>
  <c r="AA3191"/>
  <c r="AA3192"/>
  <c r="AA3193"/>
  <c r="AA3194"/>
  <c r="AA3195"/>
  <c r="AA3196"/>
  <c r="AA3197"/>
  <c r="AA3198"/>
  <c r="AA3199"/>
  <c r="AA3200"/>
  <c r="AA3201"/>
  <c r="AA3202"/>
  <c r="AA3203"/>
  <c r="AA3204"/>
  <c r="AA3205"/>
  <c r="AA3206"/>
  <c r="AA3207"/>
  <c r="AA3208"/>
  <c r="AA3209"/>
  <c r="AA3210"/>
  <c r="AA3211"/>
  <c r="AA3212"/>
  <c r="AA3213"/>
  <c r="AA3214"/>
  <c r="B4272"/>
  <c r="AA4272"/>
  <c r="B4273"/>
  <c r="AA4273"/>
  <c r="B4278"/>
  <c r="AA4278"/>
  <c r="B4280"/>
  <c r="AA4280"/>
  <c r="B4281"/>
  <c r="AA4281"/>
  <c r="B4282"/>
  <c r="AA4282"/>
  <c r="B4284"/>
  <c r="AA4284"/>
  <c r="B4285"/>
  <c r="AA4285"/>
  <c r="B4286"/>
  <c r="AA4286"/>
  <c r="B4287"/>
  <c r="AA4287"/>
  <c r="B4258"/>
  <c r="AA4258"/>
  <c r="B4250"/>
  <c r="AA4250"/>
  <c r="B4251"/>
  <c r="AA4251"/>
  <c r="AA4257"/>
  <c r="B4257"/>
  <c r="AA4256"/>
  <c r="B4256"/>
  <c r="B4259"/>
  <c r="AA4259"/>
  <c r="B4260"/>
  <c r="AA4260"/>
  <c r="B4261"/>
  <c r="AA4261"/>
  <c r="B4262"/>
  <c r="AA4262"/>
  <c r="B4263"/>
  <c r="AA4263"/>
  <c r="B4264"/>
  <c r="AA4264"/>
  <c r="B4265"/>
  <c r="AA4265"/>
  <c r="B4266"/>
  <c r="AA4266"/>
  <c r="B4267"/>
  <c r="AA4267"/>
  <c r="B4268"/>
  <c r="AA4268"/>
  <c r="B4269"/>
  <c r="AA4269"/>
  <c r="B4270"/>
  <c r="AA4270"/>
  <c r="B4271"/>
  <c r="AA4271"/>
  <c r="AA5002"/>
  <c r="B5002"/>
  <c r="B5000"/>
  <c r="AA5000"/>
  <c r="AA4998"/>
  <c r="B4998"/>
  <c r="AA4999"/>
  <c r="B4999"/>
  <c r="AA4997"/>
  <c r="B4997"/>
  <c r="AA4996"/>
  <c r="B4996"/>
  <c r="B4995"/>
  <c r="AA4995"/>
  <c r="AA1829"/>
  <c r="B1829"/>
  <c r="AA1828"/>
  <c r="B1828"/>
  <c r="AA1827"/>
  <c r="B1827"/>
  <c r="AA1826"/>
  <c r="B1826"/>
  <c r="AA1825"/>
  <c r="B1825"/>
  <c r="B1819"/>
  <c r="B1820"/>
  <c r="B1821"/>
  <c r="B1822"/>
  <c r="B1823"/>
  <c r="B1824"/>
  <c r="AA1824"/>
  <c r="AA1823"/>
  <c r="AA1822"/>
  <c r="AA1821"/>
  <c r="AA1820"/>
  <c r="AA1819"/>
  <c r="Q1820" l="1"/>
  <c r="S1820"/>
  <c r="R1820"/>
  <c r="R1827"/>
  <c r="Q1827"/>
  <c r="S1827"/>
  <c r="R1829"/>
  <c r="Q1829"/>
  <c r="S1829"/>
  <c r="Q4996"/>
  <c r="S4996"/>
  <c r="R4996"/>
  <c r="R4997"/>
  <c r="Q4997"/>
  <c r="S4997"/>
  <c r="R4999"/>
  <c r="Q4999"/>
  <c r="S4999"/>
  <c r="Q5002"/>
  <c r="S5002"/>
  <c r="R5002"/>
  <c r="Q4256"/>
  <c r="S4256"/>
  <c r="R4256"/>
  <c r="A4251"/>
  <c r="Q4251"/>
  <c r="S4251"/>
  <c r="R4251"/>
  <c r="A3214"/>
  <c r="R3214"/>
  <c r="Q3214"/>
  <c r="S3214"/>
  <c r="A3212"/>
  <c r="R3212"/>
  <c r="Q3212"/>
  <c r="S3212"/>
  <c r="R3210"/>
  <c r="Q3210"/>
  <c r="S3210"/>
  <c r="A3208"/>
  <c r="R3208"/>
  <c r="Q3208"/>
  <c r="S3208"/>
  <c r="R3206"/>
  <c r="Q3206"/>
  <c r="S3206"/>
  <c r="A3204"/>
  <c r="R3204"/>
  <c r="Q3204"/>
  <c r="S3204"/>
  <c r="R3202"/>
  <c r="Q3202"/>
  <c r="S3202"/>
  <c r="A3200"/>
  <c r="R3200"/>
  <c r="Q3200"/>
  <c r="S3200"/>
  <c r="R3198"/>
  <c r="Q3198"/>
  <c r="S3198"/>
  <c r="R3196"/>
  <c r="Q3196"/>
  <c r="S3196"/>
  <c r="A3194"/>
  <c r="R3194"/>
  <c r="Q3194"/>
  <c r="S3194"/>
  <c r="R3192"/>
  <c r="Q3192"/>
  <c r="S3192"/>
  <c r="R3182"/>
  <c r="S3182"/>
  <c r="Q3182"/>
  <c r="R3160"/>
  <c r="Q3160"/>
  <c r="S3160"/>
  <c r="Q3151"/>
  <c r="S3151"/>
  <c r="R3151"/>
  <c r="R3152"/>
  <c r="Q3152"/>
  <c r="S3152"/>
  <c r="Q3159"/>
  <c r="S3159"/>
  <c r="R3159"/>
  <c r="R3162"/>
  <c r="Q3162"/>
  <c r="S3162"/>
  <c r="A3169"/>
  <c r="Q3169"/>
  <c r="S3169"/>
  <c r="R3169"/>
  <c r="A3168"/>
  <c r="R3168"/>
  <c r="Q3168"/>
  <c r="S3168"/>
  <c r="A3167"/>
  <c r="Q3167"/>
  <c r="S3167"/>
  <c r="R3167"/>
  <c r="Q3183"/>
  <c r="S3183"/>
  <c r="R3183"/>
  <c r="R3184"/>
  <c r="Q3184"/>
  <c r="S3184"/>
  <c r="Q3185"/>
  <c r="S3185"/>
  <c r="R3185"/>
  <c r="R3186"/>
  <c r="Q3186"/>
  <c r="S3186"/>
  <c r="R3188"/>
  <c r="Q3188"/>
  <c r="S3188"/>
  <c r="Q3189"/>
  <c r="S3189"/>
  <c r="R3189"/>
  <c r="R3190"/>
  <c r="Q3190"/>
  <c r="S3190"/>
  <c r="R2988"/>
  <c r="Q2988"/>
  <c r="S2988"/>
  <c r="R3002"/>
  <c r="Q3002"/>
  <c r="S3002"/>
  <c r="A2992"/>
  <c r="R2992"/>
  <c r="Q2992"/>
  <c r="S2992"/>
  <c r="R2996"/>
  <c r="Q2996"/>
  <c r="S2996"/>
  <c r="Q2999"/>
  <c r="S2999"/>
  <c r="R2999"/>
  <c r="Q3003"/>
  <c r="S3003"/>
  <c r="R3003"/>
  <c r="Q3007"/>
  <c r="S3007"/>
  <c r="R3007"/>
  <c r="A3013"/>
  <c r="Q3013"/>
  <c r="S3013"/>
  <c r="R3013"/>
  <c r="A3011"/>
  <c r="Q3011"/>
  <c r="S3011"/>
  <c r="R3011"/>
  <c r="A3006"/>
  <c r="R3006"/>
  <c r="Q3006"/>
  <c r="S3006"/>
  <c r="Q1824"/>
  <c r="S1824"/>
  <c r="R1824"/>
  <c r="Q1822"/>
  <c r="S1822"/>
  <c r="R1822"/>
  <c r="R1825"/>
  <c r="Q1825"/>
  <c r="S1825"/>
  <c r="R1823"/>
  <c r="Q1823"/>
  <c r="S1823"/>
  <c r="R1821"/>
  <c r="Q1821"/>
  <c r="S1821"/>
  <c r="R1819"/>
  <c r="Q1819"/>
  <c r="S1819"/>
  <c r="Q1826"/>
  <c r="S1826"/>
  <c r="R1826"/>
  <c r="Q1828"/>
  <c r="S1828"/>
  <c r="R1828"/>
  <c r="A4995"/>
  <c r="R4995"/>
  <c r="Q4995"/>
  <c r="S4995"/>
  <c r="Q4998"/>
  <c r="S4998"/>
  <c r="R4998"/>
  <c r="A5000"/>
  <c r="Q5000"/>
  <c r="S5000"/>
  <c r="R5000"/>
  <c r="A4271"/>
  <c r="R4271"/>
  <c r="Q4271"/>
  <c r="S4271"/>
  <c r="A4270"/>
  <c r="Q4270"/>
  <c r="S4270"/>
  <c r="R4270"/>
  <c r="A4269"/>
  <c r="R4269"/>
  <c r="Q4269"/>
  <c r="S4269"/>
  <c r="A4268"/>
  <c r="Q4268"/>
  <c r="S4268"/>
  <c r="R4268"/>
  <c r="A4267"/>
  <c r="R4267"/>
  <c r="Q4267"/>
  <c r="S4267"/>
  <c r="A4266"/>
  <c r="Q4266"/>
  <c r="S4266"/>
  <c r="R4266"/>
  <c r="A4265"/>
  <c r="R4265"/>
  <c r="Q4265"/>
  <c r="S4265"/>
  <c r="A4264"/>
  <c r="Q4264"/>
  <c r="S4264"/>
  <c r="R4264"/>
  <c r="A4263"/>
  <c r="R4263"/>
  <c r="Q4263"/>
  <c r="S4263"/>
  <c r="A4262"/>
  <c r="Q4262"/>
  <c r="S4262"/>
  <c r="R4262"/>
  <c r="A4261"/>
  <c r="R4261"/>
  <c r="Q4261"/>
  <c r="S4261"/>
  <c r="A4260"/>
  <c r="Q4260"/>
  <c r="S4260"/>
  <c r="R4260"/>
  <c r="A4259"/>
  <c r="R4259"/>
  <c r="Q4259"/>
  <c r="S4259"/>
  <c r="R4257"/>
  <c r="Q4257"/>
  <c r="S4257"/>
  <c r="A4250"/>
  <c r="R4250"/>
  <c r="Q4250"/>
  <c r="S4250"/>
  <c r="A4258"/>
  <c r="Q4258"/>
  <c r="S4258"/>
  <c r="R4258"/>
  <c r="A4287"/>
  <c r="R4287"/>
  <c r="Q4287"/>
  <c r="S4287"/>
  <c r="A4286"/>
  <c r="Q4286"/>
  <c r="S4286"/>
  <c r="R4286"/>
  <c r="A4285"/>
  <c r="R4285"/>
  <c r="Q4285"/>
  <c r="S4285"/>
  <c r="A4284"/>
  <c r="Q4284"/>
  <c r="S4284"/>
  <c r="R4284"/>
  <c r="A4282"/>
  <c r="Q4282"/>
  <c r="S4282"/>
  <c r="R4282"/>
  <c r="A4281"/>
  <c r="R4281"/>
  <c r="Q4281"/>
  <c r="S4281"/>
  <c r="A4280"/>
  <c r="Q4280"/>
  <c r="S4280"/>
  <c r="R4280"/>
  <c r="A4278"/>
  <c r="Q4278"/>
  <c r="S4278"/>
  <c r="R4278"/>
  <c r="A4273"/>
  <c r="R4273"/>
  <c r="Q4273"/>
  <c r="S4273"/>
  <c r="A4272"/>
  <c r="Q4272"/>
  <c r="S4272"/>
  <c r="R4272"/>
  <c r="A3213"/>
  <c r="Q3213"/>
  <c r="S3213"/>
  <c r="R3213"/>
  <c r="Q3211"/>
  <c r="S3211"/>
  <c r="R3211"/>
  <c r="A3209"/>
  <c r="Q3209"/>
  <c r="S3209"/>
  <c r="R3209"/>
  <c r="Q3207"/>
  <c r="S3207"/>
  <c r="R3207"/>
  <c r="A3205"/>
  <c r="Q3205"/>
  <c r="S3205"/>
  <c r="R3205"/>
  <c r="A3203"/>
  <c r="Q3203"/>
  <c r="S3203"/>
  <c r="R3203"/>
  <c r="A3201"/>
  <c r="Q3201"/>
  <c r="S3201"/>
  <c r="R3201"/>
  <c r="Q3199"/>
  <c r="S3199"/>
  <c r="R3199"/>
  <c r="A3197"/>
  <c r="Q3197"/>
  <c r="S3197"/>
  <c r="R3197"/>
  <c r="Q3195"/>
  <c r="S3195"/>
  <c r="R3195"/>
  <c r="A3193"/>
  <c r="Q3193"/>
  <c r="S3193"/>
  <c r="R3193"/>
  <c r="Q3191"/>
  <c r="S3191"/>
  <c r="R3191"/>
  <c r="A3161"/>
  <c r="Q3161"/>
  <c r="S3161"/>
  <c r="R3161"/>
  <c r="Q3149"/>
  <c r="S3149"/>
  <c r="R3149"/>
  <c r="R3150"/>
  <c r="Q3150"/>
  <c r="S3150"/>
  <c r="Q3153"/>
  <c r="S3153"/>
  <c r="R3153"/>
  <c r="R3154"/>
  <c r="Q3154"/>
  <c r="S3154"/>
  <c r="Q3155"/>
  <c r="S3155"/>
  <c r="R3155"/>
  <c r="R3156"/>
  <c r="Q3156"/>
  <c r="S3156"/>
  <c r="Q3157"/>
  <c r="S3157"/>
  <c r="R3157"/>
  <c r="R3158"/>
  <c r="Q3158"/>
  <c r="S3158"/>
  <c r="Q3163"/>
  <c r="S3163"/>
  <c r="R3163"/>
  <c r="R3164"/>
  <c r="Q3164"/>
  <c r="S3164"/>
  <c r="Q3165"/>
  <c r="S3165"/>
  <c r="R3165"/>
  <c r="R3166"/>
  <c r="Q3166"/>
  <c r="S3166"/>
  <c r="R3170"/>
  <c r="Q3170"/>
  <c r="S3170"/>
  <c r="Q3171"/>
  <c r="S3171"/>
  <c r="R3171"/>
  <c r="R3172"/>
  <c r="Q3172"/>
  <c r="S3172"/>
  <c r="Q3173"/>
  <c r="S3173"/>
  <c r="R3173"/>
  <c r="R3174"/>
  <c r="S3174"/>
  <c r="Q3174"/>
  <c r="Q3175"/>
  <c r="S3175"/>
  <c r="R3175"/>
  <c r="R3176"/>
  <c r="S3176"/>
  <c r="Q3176"/>
  <c r="Q3177"/>
  <c r="S3177"/>
  <c r="R3177"/>
  <c r="R3178"/>
  <c r="S3178"/>
  <c r="Q3178"/>
  <c r="Q3179"/>
  <c r="S3179"/>
  <c r="R3179"/>
  <c r="R3180"/>
  <c r="S3180"/>
  <c r="Q3180"/>
  <c r="Q3181"/>
  <c r="S3181"/>
  <c r="R3181"/>
  <c r="A3187"/>
  <c r="Q3187"/>
  <c r="S3187"/>
  <c r="R3187"/>
  <c r="R3014"/>
  <c r="Q3014"/>
  <c r="S3014"/>
  <c r="Q2991"/>
  <c r="S2991"/>
  <c r="R2991"/>
  <c r="Q2989"/>
  <c r="S2989"/>
  <c r="R2989"/>
  <c r="A2993"/>
  <c r="Q2993"/>
  <c r="S2993"/>
  <c r="R2993"/>
  <c r="Q2995"/>
  <c r="S2995"/>
  <c r="R2995"/>
  <c r="Q2997"/>
  <c r="S2997"/>
  <c r="R2997"/>
  <c r="A3000"/>
  <c r="R3000"/>
  <c r="Q3000"/>
  <c r="S3000"/>
  <c r="R3004"/>
  <c r="Q3004"/>
  <c r="S3004"/>
  <c r="R3008"/>
  <c r="Q3008"/>
  <c r="S3008"/>
  <c r="A3012"/>
  <c r="R3012"/>
  <c r="Q3012"/>
  <c r="S3012"/>
  <c r="A3010"/>
  <c r="R3010"/>
  <c r="Q3010"/>
  <c r="S3010"/>
  <c r="A3206"/>
  <c r="A4996"/>
  <c r="A4997"/>
  <c r="A4999"/>
  <c r="A5002"/>
  <c r="A4257"/>
  <c r="A4998"/>
  <c r="A4256"/>
  <c r="A3199"/>
  <c r="A3190"/>
  <c r="A3202"/>
  <c r="A3198"/>
  <c r="A3196"/>
  <c r="A3177"/>
  <c r="A3192"/>
  <c r="A3182"/>
  <c r="A3191"/>
  <c r="A3160"/>
  <c r="A3003"/>
  <c r="A3007"/>
  <c r="A3008"/>
  <c r="A3004"/>
  <c r="A2999"/>
  <c r="A2997"/>
  <c r="A2996"/>
  <c r="A2995"/>
  <c r="A2989"/>
  <c r="A3189"/>
  <c r="A3170"/>
  <c r="A3172"/>
  <c r="A3173"/>
  <c r="A3174"/>
  <c r="A3175"/>
  <c r="A3179"/>
  <c r="A3183"/>
  <c r="A3184"/>
  <c r="A3185"/>
  <c r="A3188"/>
  <c r="A3186"/>
  <c r="A3181"/>
  <c r="A3150"/>
  <c r="A3178"/>
  <c r="A3180"/>
  <c r="A3164"/>
  <c r="A3176"/>
  <c r="A3166"/>
  <c r="A3171"/>
  <c r="A3163"/>
  <c r="A3165"/>
  <c r="A3162"/>
  <c r="A3159"/>
  <c r="A3158"/>
  <c r="A3156"/>
  <c r="A3155"/>
  <c r="A3157"/>
  <c r="A3154"/>
  <c r="A3153"/>
  <c r="A3152"/>
  <c r="A3151"/>
  <c r="A1825"/>
  <c r="A1826"/>
  <c r="A1827"/>
  <c r="A1828"/>
  <c r="A1829"/>
  <c r="A1819"/>
  <c r="A1820"/>
  <c r="A1821"/>
  <c r="A1822"/>
  <c r="A1823"/>
  <c r="A1824"/>
  <c r="B839"/>
  <c r="B840"/>
  <c r="M218"/>
  <c r="B218"/>
  <c r="E218"/>
  <c r="AA218" s="1"/>
  <c r="B219"/>
  <c r="E219"/>
  <c r="AA219" s="1"/>
  <c r="M219"/>
  <c r="B1089"/>
  <c r="B1090"/>
  <c r="B1091"/>
  <c r="B1092"/>
  <c r="B1088"/>
  <c r="B4992"/>
  <c r="AA4992"/>
  <c r="B4993"/>
  <c r="AA4993"/>
  <c r="B4990"/>
  <c r="B4991"/>
  <c r="B4994"/>
  <c r="B5001"/>
  <c r="B5003"/>
  <c r="B5006"/>
  <c r="AA4990"/>
  <c r="AA4991"/>
  <c r="AA4994"/>
  <c r="AA5001"/>
  <c r="AA5003"/>
  <c r="AA5006"/>
  <c r="B4253"/>
  <c r="AA4253"/>
  <c r="B4255"/>
  <c r="AA4255"/>
  <c r="B4249"/>
  <c r="B4252"/>
  <c r="B4247"/>
  <c r="B4248"/>
  <c r="B3581"/>
  <c r="AA3581"/>
  <c r="B3580"/>
  <c r="AA3580"/>
  <c r="B3579"/>
  <c r="AA3579"/>
  <c r="B3582"/>
  <c r="AA3582"/>
  <c r="B3578"/>
  <c r="AA3578"/>
  <c r="A26" i="56"/>
  <c r="Q1092" i="34" l="1"/>
  <c r="S1092"/>
  <c r="R1092"/>
  <c r="Q1090"/>
  <c r="S1090"/>
  <c r="R1090"/>
  <c r="Q219"/>
  <c r="S219"/>
  <c r="R219"/>
  <c r="R218"/>
  <c r="Q218"/>
  <c r="S218"/>
  <c r="R840"/>
  <c r="Q840"/>
  <c r="S840"/>
  <c r="Q1088"/>
  <c r="S1088"/>
  <c r="R1088"/>
  <c r="R1091"/>
  <c r="Q1091"/>
  <c r="S1091"/>
  <c r="R1089"/>
  <c r="Q1089"/>
  <c r="S1089"/>
  <c r="Q839"/>
  <c r="S839"/>
  <c r="R839"/>
  <c r="U3578"/>
  <c r="T3578"/>
  <c r="V3578"/>
  <c r="U3582"/>
  <c r="T3582"/>
  <c r="V3582"/>
  <c r="T3579"/>
  <c r="V3579"/>
  <c r="U3579"/>
  <c r="U3580"/>
  <c r="T3580"/>
  <c r="V3580"/>
  <c r="T3581"/>
  <c r="V3581"/>
  <c r="U3581"/>
  <c r="R3582"/>
  <c r="Q3582"/>
  <c r="S3582"/>
  <c r="R3580"/>
  <c r="Q3580"/>
  <c r="S3580"/>
  <c r="A4247"/>
  <c r="Q4247"/>
  <c r="S4247"/>
  <c r="R4247"/>
  <c r="A4249"/>
  <c r="Q4249"/>
  <c r="S4249"/>
  <c r="R4249"/>
  <c r="A4255"/>
  <c r="R4255"/>
  <c r="Q4255"/>
  <c r="S4255"/>
  <c r="A4253"/>
  <c r="Q4253"/>
  <c r="S4253"/>
  <c r="R4253"/>
  <c r="A5006"/>
  <c r="Q5006"/>
  <c r="S5006"/>
  <c r="R5006"/>
  <c r="A5001"/>
  <c r="R5001"/>
  <c r="Q5001"/>
  <c r="S5001"/>
  <c r="A4991"/>
  <c r="R4991"/>
  <c r="Q4991"/>
  <c r="S4991"/>
  <c r="A1091"/>
  <c r="A1089"/>
  <c r="A839"/>
  <c r="R3578"/>
  <c r="Q3578"/>
  <c r="S3578"/>
  <c r="Q3579"/>
  <c r="S3579"/>
  <c r="R3579"/>
  <c r="Q3581"/>
  <c r="S3581"/>
  <c r="R3581"/>
  <c r="A4248"/>
  <c r="R4248"/>
  <c r="Q4248"/>
  <c r="S4248"/>
  <c r="A4252"/>
  <c r="R4252"/>
  <c r="Q4252"/>
  <c r="S4252"/>
  <c r="A5003"/>
  <c r="R5003"/>
  <c r="Q5003"/>
  <c r="S5003"/>
  <c r="A4994"/>
  <c r="Q4994"/>
  <c r="S4994"/>
  <c r="R4994"/>
  <c r="A4990"/>
  <c r="Q4990"/>
  <c r="S4990"/>
  <c r="R4990"/>
  <c r="A4993"/>
  <c r="R4993"/>
  <c r="Q4993"/>
  <c r="S4993"/>
  <c r="A4992"/>
  <c r="Q4992"/>
  <c r="S4992"/>
  <c r="R4992"/>
  <c r="A1092"/>
  <c r="A1090"/>
  <c r="A840"/>
  <c r="A218"/>
  <c r="A219"/>
  <c r="A1088"/>
  <c r="B865"/>
  <c r="B866"/>
  <c r="A865"/>
  <c r="B864"/>
  <c r="B863"/>
  <c r="B861"/>
  <c r="B862"/>
  <c r="B3576"/>
  <c r="B3577"/>
  <c r="AA3577"/>
  <c r="AA3576"/>
  <c r="B4984"/>
  <c r="B4985"/>
  <c r="B4986"/>
  <c r="B4987"/>
  <c r="B4988"/>
  <c r="B4989"/>
  <c r="AA4989"/>
  <c r="B2855"/>
  <c r="B2851"/>
  <c r="B2850"/>
  <c r="B1081"/>
  <c r="B1075"/>
  <c r="B1076"/>
  <c r="B1077"/>
  <c r="B1078"/>
  <c r="B1079"/>
  <c r="B1080"/>
  <c r="B1082"/>
  <c r="Q1080" l="1"/>
  <c r="S1080"/>
  <c r="R1080"/>
  <c r="Q1076"/>
  <c r="S1076"/>
  <c r="R1076"/>
  <c r="R1081"/>
  <c r="Q1081"/>
  <c r="S1081"/>
  <c r="Q861"/>
  <c r="S861"/>
  <c r="R861"/>
  <c r="R866"/>
  <c r="Q866"/>
  <c r="S866"/>
  <c r="Q1082"/>
  <c r="S1082"/>
  <c r="R1082"/>
  <c r="R1079"/>
  <c r="Q1079"/>
  <c r="S1079"/>
  <c r="R1077"/>
  <c r="Q1077"/>
  <c r="S1077"/>
  <c r="R1075"/>
  <c r="Q1075"/>
  <c r="S1075"/>
  <c r="R862"/>
  <c r="Q862"/>
  <c r="S862"/>
  <c r="Q863"/>
  <c r="S863"/>
  <c r="R863"/>
  <c r="Q865"/>
  <c r="S865"/>
  <c r="R865"/>
  <c r="Q1078"/>
  <c r="S1078"/>
  <c r="R1078"/>
  <c r="R864"/>
  <c r="Q864"/>
  <c r="S864"/>
  <c r="U3576"/>
  <c r="T3576"/>
  <c r="V3576"/>
  <c r="T3577"/>
  <c r="V3577"/>
  <c r="U3577"/>
  <c r="A1081"/>
  <c r="Q2850"/>
  <c r="S2850"/>
  <c r="R2850"/>
  <c r="A2855"/>
  <c r="R2855"/>
  <c r="Q2855"/>
  <c r="S2855"/>
  <c r="A4989"/>
  <c r="R4989"/>
  <c r="Q4989"/>
  <c r="S4989"/>
  <c r="A4987"/>
  <c r="R4987"/>
  <c r="Q4987"/>
  <c r="S4987"/>
  <c r="A4985"/>
  <c r="R4985"/>
  <c r="Q4985"/>
  <c r="S4985"/>
  <c r="Q3577"/>
  <c r="S3577"/>
  <c r="R3577"/>
  <c r="R2851"/>
  <c r="Q2851"/>
  <c r="S2851"/>
  <c r="A4988"/>
  <c r="Q4988"/>
  <c r="S4988"/>
  <c r="R4988"/>
  <c r="A4986"/>
  <c r="Q4986"/>
  <c r="S4986"/>
  <c r="R4986"/>
  <c r="A4984"/>
  <c r="Q4984"/>
  <c r="S4984"/>
  <c r="R4984"/>
  <c r="R3576"/>
  <c r="Q3576"/>
  <c r="S3576"/>
  <c r="A1076"/>
  <c r="A866"/>
  <c r="A864"/>
  <c r="A863"/>
  <c r="A861"/>
  <c r="A862"/>
  <c r="A1080"/>
  <c r="A2850"/>
  <c r="A2851"/>
  <c r="A1078"/>
  <c r="A1075"/>
  <c r="A1077"/>
  <c r="A1079"/>
  <c r="A1082"/>
  <c r="B858"/>
  <c r="B859"/>
  <c r="B860"/>
  <c r="B1087"/>
  <c r="AA4988"/>
  <c r="AA4985"/>
  <c r="AA4986"/>
  <c r="AA4987"/>
  <c r="AA4984"/>
  <c r="B810"/>
  <c r="B811"/>
  <c r="B2823"/>
  <c r="B2822"/>
  <c r="B2821"/>
  <c r="B2820"/>
  <c r="B2819"/>
  <c r="B2818"/>
  <c r="B2817"/>
  <c r="B2816"/>
  <c r="B2815"/>
  <c r="B2814"/>
  <c r="B2813"/>
  <c r="B2812"/>
  <c r="B2811"/>
  <c r="B2810"/>
  <c r="B1813"/>
  <c r="B1812"/>
  <c r="B1811"/>
  <c r="B1810"/>
  <c r="B1809"/>
  <c r="B1808"/>
  <c r="B1807"/>
  <c r="B1806"/>
  <c r="B1805"/>
  <c r="B1804"/>
  <c r="B1803"/>
  <c r="B1802"/>
  <c r="B1801"/>
  <c r="B1800"/>
  <c r="B1799"/>
  <c r="B1798"/>
  <c r="B1797"/>
  <c r="B1796"/>
  <c r="B1795"/>
  <c r="B1227"/>
  <c r="B1226"/>
  <c r="AA1813"/>
  <c r="AA1812"/>
  <c r="AA1809"/>
  <c r="AA1808"/>
  <c r="AA1798"/>
  <c r="AA1797"/>
  <c r="AA1796"/>
  <c r="AA1795"/>
  <c r="B4242"/>
  <c r="AA4242"/>
  <c r="B4246"/>
  <c r="AA4246"/>
  <c r="B4239"/>
  <c r="AA4239"/>
  <c r="B4238"/>
  <c r="AA4238"/>
  <c r="B4237"/>
  <c r="B4240"/>
  <c r="B4241"/>
  <c r="B4243"/>
  <c r="B4244"/>
  <c r="B4245"/>
  <c r="B4979"/>
  <c r="B4980"/>
  <c r="B4981"/>
  <c r="B4982"/>
  <c r="B4983"/>
  <c r="AA4983"/>
  <c r="AA4982"/>
  <c r="AA4981"/>
  <c r="AA4980"/>
  <c r="AA4979"/>
  <c r="B1085"/>
  <c r="B1084"/>
  <c r="B1086"/>
  <c r="B1814"/>
  <c r="B1083"/>
  <c r="B2797"/>
  <c r="B2796"/>
  <c r="B2787"/>
  <c r="B2786"/>
  <c r="B2780"/>
  <c r="B2779"/>
  <c r="B2770"/>
  <c r="B2769"/>
  <c r="B2759"/>
  <c r="B2758"/>
  <c r="B2757"/>
  <c r="B2756"/>
  <c r="B2721"/>
  <c r="B2720"/>
  <c r="B2717"/>
  <c r="B2716"/>
  <c r="B2713"/>
  <c r="B2712"/>
  <c r="B2709"/>
  <c r="B2708"/>
  <c r="B2689"/>
  <c r="B2688"/>
  <c r="B2847"/>
  <c r="B2846"/>
  <c r="B2791"/>
  <c r="B2790"/>
  <c r="B2778"/>
  <c r="B2777"/>
  <c r="B2755"/>
  <c r="B2754"/>
  <c r="B2748"/>
  <c r="B2747"/>
  <c r="B2739"/>
  <c r="B2738"/>
  <c r="B2715"/>
  <c r="B2714"/>
  <c r="B2711"/>
  <c r="B2710"/>
  <c r="B2707"/>
  <c r="B2706"/>
  <c r="B2694"/>
  <c r="B2693"/>
  <c r="B2686"/>
  <c r="B2685"/>
  <c r="B2518"/>
  <c r="B4165"/>
  <c r="AA4165"/>
  <c r="B4233"/>
  <c r="AA4233"/>
  <c r="B843"/>
  <c r="B844"/>
  <c r="B845"/>
  <c r="B846"/>
  <c r="B847"/>
  <c r="B848"/>
  <c r="B849"/>
  <c r="B850"/>
  <c r="B851"/>
  <c r="Q851" l="1"/>
  <c r="S851"/>
  <c r="R851"/>
  <c r="Q849"/>
  <c r="S849"/>
  <c r="R849"/>
  <c r="Q847"/>
  <c r="S847"/>
  <c r="R847"/>
  <c r="Q845"/>
  <c r="S845"/>
  <c r="R845"/>
  <c r="Q843"/>
  <c r="S843"/>
  <c r="R843"/>
  <c r="R1083"/>
  <c r="Q1083"/>
  <c r="S1083"/>
  <c r="Q1086"/>
  <c r="S1086"/>
  <c r="R1086"/>
  <c r="R1085"/>
  <c r="Q1085"/>
  <c r="S1085"/>
  <c r="R1227"/>
  <c r="Q1227"/>
  <c r="S1227"/>
  <c r="Q811"/>
  <c r="S811"/>
  <c r="R811"/>
  <c r="R1087"/>
  <c r="Q1087"/>
  <c r="S1087"/>
  <c r="Q859"/>
  <c r="S859"/>
  <c r="R859"/>
  <c r="R850"/>
  <c r="Q850"/>
  <c r="S850"/>
  <c r="R848"/>
  <c r="Q848"/>
  <c r="S848"/>
  <c r="R846"/>
  <c r="Q846"/>
  <c r="S846"/>
  <c r="R844"/>
  <c r="Q844"/>
  <c r="S844"/>
  <c r="Q1084"/>
  <c r="S1084"/>
  <c r="R1084"/>
  <c r="Q1226"/>
  <c r="S1226"/>
  <c r="R1226"/>
  <c r="R810"/>
  <c r="Q810"/>
  <c r="S810"/>
  <c r="R860"/>
  <c r="Q860"/>
  <c r="S860"/>
  <c r="R858"/>
  <c r="Q858"/>
  <c r="S858"/>
  <c r="A4165"/>
  <c r="Q4165"/>
  <c r="S4165"/>
  <c r="R4165"/>
  <c r="R2685"/>
  <c r="Q2685"/>
  <c r="S2685"/>
  <c r="R2693"/>
  <c r="Q2693"/>
  <c r="S2693"/>
  <c r="Q2706"/>
  <c r="S2706"/>
  <c r="R2706"/>
  <c r="Q2710"/>
  <c r="S2710"/>
  <c r="R2710"/>
  <c r="Q2714"/>
  <c r="S2714"/>
  <c r="R2714"/>
  <c r="Q2738"/>
  <c r="S2738"/>
  <c r="R2738"/>
  <c r="R2747"/>
  <c r="Q2747"/>
  <c r="S2747"/>
  <c r="Q2754"/>
  <c r="S2754"/>
  <c r="R2754"/>
  <c r="R2777"/>
  <c r="Q2777"/>
  <c r="S2777"/>
  <c r="Q2790"/>
  <c r="S2790"/>
  <c r="R2790"/>
  <c r="Q2846"/>
  <c r="S2846"/>
  <c r="R2846"/>
  <c r="Q2688"/>
  <c r="S2688"/>
  <c r="R2688"/>
  <c r="Q2708"/>
  <c r="S2708"/>
  <c r="R2708"/>
  <c r="Q2712"/>
  <c r="S2712"/>
  <c r="R2712"/>
  <c r="Q2716"/>
  <c r="S2716"/>
  <c r="R2716"/>
  <c r="Q2720"/>
  <c r="S2720"/>
  <c r="R2720"/>
  <c r="Q2756"/>
  <c r="S2756"/>
  <c r="R2756"/>
  <c r="Q2758"/>
  <c r="S2758"/>
  <c r="R2758"/>
  <c r="R2769"/>
  <c r="Q2769"/>
  <c r="S2769"/>
  <c r="R2779"/>
  <c r="Q2779"/>
  <c r="S2779"/>
  <c r="Q2786"/>
  <c r="S2786"/>
  <c r="R2786"/>
  <c r="Q2796"/>
  <c r="S2796"/>
  <c r="R2796"/>
  <c r="A1086"/>
  <c r="A1085"/>
  <c r="A4983"/>
  <c r="R4983"/>
  <c r="Q4983"/>
  <c r="S4983"/>
  <c r="R4981"/>
  <c r="Q4981"/>
  <c r="S4981"/>
  <c r="R4979"/>
  <c r="Q4979"/>
  <c r="S4979"/>
  <c r="A4244"/>
  <c r="R4244"/>
  <c r="Q4244"/>
  <c r="S4244"/>
  <c r="A4241"/>
  <c r="Q4241"/>
  <c r="S4241"/>
  <c r="R4241"/>
  <c r="A4237"/>
  <c r="Q4237"/>
  <c r="S4237"/>
  <c r="R4237"/>
  <c r="A4238"/>
  <c r="R4238"/>
  <c r="Q4238"/>
  <c r="S4238"/>
  <c r="A4239"/>
  <c r="Q4239"/>
  <c r="S4239"/>
  <c r="R4239"/>
  <c r="R1795"/>
  <c r="Q1795"/>
  <c r="S1795"/>
  <c r="R1797"/>
  <c r="Q1797"/>
  <c r="S1797"/>
  <c r="R1799"/>
  <c r="Q1799"/>
  <c r="S1799"/>
  <c r="R1801"/>
  <c r="Q1801"/>
  <c r="S1801"/>
  <c r="R1803"/>
  <c r="Q1803"/>
  <c r="S1803"/>
  <c r="R1805"/>
  <c r="Q1805"/>
  <c r="S1805"/>
  <c r="R1807"/>
  <c r="Q1807"/>
  <c r="S1807"/>
  <c r="R1809"/>
  <c r="Q1809"/>
  <c r="S1809"/>
  <c r="R1811"/>
  <c r="Q1811"/>
  <c r="S1811"/>
  <c r="R1813"/>
  <c r="Q1813"/>
  <c r="S1813"/>
  <c r="R2811"/>
  <c r="Q2811"/>
  <c r="S2811"/>
  <c r="R2813"/>
  <c r="Q2813"/>
  <c r="S2813"/>
  <c r="R2815"/>
  <c r="Q2815"/>
  <c r="S2815"/>
  <c r="R2817"/>
  <c r="Q2817"/>
  <c r="S2817"/>
  <c r="R2819"/>
  <c r="Q2819"/>
  <c r="S2819"/>
  <c r="R2821"/>
  <c r="Q2821"/>
  <c r="S2821"/>
  <c r="R2823"/>
  <c r="Q2823"/>
  <c r="S2823"/>
  <c r="A4233"/>
  <c r="Q4233"/>
  <c r="S4233"/>
  <c r="R4233"/>
  <c r="A2518"/>
  <c r="Q2518"/>
  <c r="S2518"/>
  <c r="R2518"/>
  <c r="Q2686"/>
  <c r="S2686"/>
  <c r="R2686"/>
  <c r="Q2694"/>
  <c r="S2694"/>
  <c r="R2694"/>
  <c r="R2707"/>
  <c r="Q2707"/>
  <c r="S2707"/>
  <c r="R2711"/>
  <c r="Q2711"/>
  <c r="S2711"/>
  <c r="R2715"/>
  <c r="Q2715"/>
  <c r="S2715"/>
  <c r="R2739"/>
  <c r="Q2739"/>
  <c r="S2739"/>
  <c r="Q2748"/>
  <c r="S2748"/>
  <c r="R2748"/>
  <c r="R2755"/>
  <c r="Q2755"/>
  <c r="S2755"/>
  <c r="Q2778"/>
  <c r="S2778"/>
  <c r="R2778"/>
  <c r="R2791"/>
  <c r="Q2791"/>
  <c r="S2791"/>
  <c r="R2847"/>
  <c r="Q2847"/>
  <c r="S2847"/>
  <c r="R2689"/>
  <c r="Q2689"/>
  <c r="S2689"/>
  <c r="R2709"/>
  <c r="Q2709"/>
  <c r="S2709"/>
  <c r="R2713"/>
  <c r="Q2713"/>
  <c r="S2713"/>
  <c r="R2717"/>
  <c r="Q2717"/>
  <c r="S2717"/>
  <c r="R2721"/>
  <c r="Q2721"/>
  <c r="S2721"/>
  <c r="R2757"/>
  <c r="Q2757"/>
  <c r="S2757"/>
  <c r="R2759"/>
  <c r="Q2759"/>
  <c r="S2759"/>
  <c r="Q2770"/>
  <c r="S2770"/>
  <c r="R2770"/>
  <c r="Q2780"/>
  <c r="S2780"/>
  <c r="R2780"/>
  <c r="R2787"/>
  <c r="Q2787"/>
  <c r="S2787"/>
  <c r="R2797"/>
  <c r="Q2797"/>
  <c r="S2797"/>
  <c r="Q1814"/>
  <c r="S1814"/>
  <c r="R1814"/>
  <c r="A1084"/>
  <c r="A4982"/>
  <c r="Q4982"/>
  <c r="S4982"/>
  <c r="R4982"/>
  <c r="A4980"/>
  <c r="Q4980"/>
  <c r="S4980"/>
  <c r="R4980"/>
  <c r="A4245"/>
  <c r="Q4245"/>
  <c r="S4245"/>
  <c r="R4245"/>
  <c r="A4243"/>
  <c r="Q4243"/>
  <c r="S4243"/>
  <c r="R4243"/>
  <c r="A4240"/>
  <c r="R4240"/>
  <c r="Q4240"/>
  <c r="S4240"/>
  <c r="A4246"/>
  <c r="R4246"/>
  <c r="Q4246"/>
  <c r="S4246"/>
  <c r="A4242"/>
  <c r="R4242"/>
  <c r="Q4242"/>
  <c r="S4242"/>
  <c r="Q1796"/>
  <c r="S1796"/>
  <c r="R1796"/>
  <c r="Q1798"/>
  <c r="S1798"/>
  <c r="R1798"/>
  <c r="Q1800"/>
  <c r="S1800"/>
  <c r="R1800"/>
  <c r="Q1802"/>
  <c r="S1802"/>
  <c r="R1802"/>
  <c r="Q1804"/>
  <c r="S1804"/>
  <c r="R1804"/>
  <c r="Q1806"/>
  <c r="S1806"/>
  <c r="R1806"/>
  <c r="Q1808"/>
  <c r="S1808"/>
  <c r="R1808"/>
  <c r="Q1810"/>
  <c r="S1810"/>
  <c r="R1810"/>
  <c r="Q1812"/>
  <c r="S1812"/>
  <c r="R1812"/>
  <c r="Q2810"/>
  <c r="S2810"/>
  <c r="R2810"/>
  <c r="Q2812"/>
  <c r="S2812"/>
  <c r="R2812"/>
  <c r="Q2814"/>
  <c r="S2814"/>
  <c r="R2814"/>
  <c r="Q2816"/>
  <c r="S2816"/>
  <c r="R2816"/>
  <c r="Q2818"/>
  <c r="S2818"/>
  <c r="R2818"/>
  <c r="Q2820"/>
  <c r="S2820"/>
  <c r="R2820"/>
  <c r="Q2822"/>
  <c r="S2822"/>
  <c r="R2822"/>
  <c r="A1087"/>
  <c r="A4981"/>
  <c r="A4979"/>
  <c r="A810"/>
  <c r="A2797"/>
  <c r="A811"/>
  <c r="A858"/>
  <c r="A860"/>
  <c r="A859"/>
  <c r="A2769"/>
  <c r="A1812"/>
  <c r="A1813"/>
  <c r="A1808"/>
  <c r="A1809"/>
  <c r="A1797"/>
  <c r="A1798"/>
  <c r="A1795"/>
  <c r="A1796"/>
  <c r="A2796"/>
  <c r="A2693"/>
  <c r="A2694"/>
  <c r="A2706"/>
  <c r="A2707"/>
  <c r="A2710"/>
  <c r="A2711"/>
  <c r="A2714"/>
  <c r="A2780"/>
  <c r="A2754"/>
  <c r="A2721"/>
  <c r="A2758"/>
  <c r="A2759"/>
  <c r="A2747"/>
  <c r="A2846"/>
  <c r="A2847"/>
  <c r="A2786"/>
  <c r="A2787"/>
  <c r="A2779"/>
  <c r="A2770"/>
  <c r="A2756"/>
  <c r="A2757"/>
  <c r="A2720"/>
  <c r="A2716"/>
  <c r="A2717"/>
  <c r="A2712"/>
  <c r="A2713"/>
  <c r="A2708"/>
  <c r="A2709"/>
  <c r="A2688"/>
  <c r="A2689"/>
  <c r="A2790"/>
  <c r="A2791"/>
  <c r="A2778"/>
  <c r="A2777"/>
  <c r="A2755"/>
  <c r="A2748"/>
  <c r="A2738"/>
  <c r="A2739"/>
  <c r="A2715"/>
  <c r="A2685"/>
  <c r="A2686"/>
  <c r="A851"/>
  <c r="A1083"/>
  <c r="A843"/>
  <c r="A844"/>
  <c r="A845"/>
  <c r="A846"/>
  <c r="A847"/>
  <c r="A848"/>
  <c r="A849"/>
  <c r="A850"/>
  <c r="B2785"/>
  <c r="B2784"/>
  <c r="B2767"/>
  <c r="B2768"/>
  <c r="B2581"/>
  <c r="B2580"/>
  <c r="B2795"/>
  <c r="B2794"/>
  <c r="B2737"/>
  <c r="B2736"/>
  <c r="B4978"/>
  <c r="B4977"/>
  <c r="B4976"/>
  <c r="B4975"/>
  <c r="B4974"/>
  <c r="B4973"/>
  <c r="B4972"/>
  <c r="B4971"/>
  <c r="B4970"/>
  <c r="B4969"/>
  <c r="B4968"/>
  <c r="B4967"/>
  <c r="B4236"/>
  <c r="B4235"/>
  <c r="B4234"/>
  <c r="B4232"/>
  <c r="B3575"/>
  <c r="B3574"/>
  <c r="B3573"/>
  <c r="B3572"/>
  <c r="B3571"/>
  <c r="B3570"/>
  <c r="B3148"/>
  <c r="B3147"/>
  <c r="B1818"/>
  <c r="B1817"/>
  <c r="A1817" s="1"/>
  <c r="B1816"/>
  <c r="B1815"/>
  <c r="B857"/>
  <c r="B856"/>
  <c r="B855"/>
  <c r="B854"/>
  <c r="B853"/>
  <c r="B852"/>
  <c r="AA3575"/>
  <c r="AA3574"/>
  <c r="AA3573"/>
  <c r="AA3572"/>
  <c r="AA4978"/>
  <c r="B823"/>
  <c r="B824"/>
  <c r="B3093"/>
  <c r="AA3093"/>
  <c r="B3091"/>
  <c r="AA3091"/>
  <c r="B3092"/>
  <c r="AA3092"/>
  <c r="M203"/>
  <c r="M202"/>
  <c r="E203"/>
  <c r="AA203" s="1"/>
  <c r="B203"/>
  <c r="E202"/>
  <c r="AA202" s="1"/>
  <c r="B202"/>
  <c r="M187"/>
  <c r="M186"/>
  <c r="M182"/>
  <c r="M184" s="1"/>
  <c r="E187"/>
  <c r="AA187" s="1"/>
  <c r="B187"/>
  <c r="E186"/>
  <c r="AA186" s="1"/>
  <c r="B186"/>
  <c r="M62"/>
  <c r="AA1804"/>
  <c r="AA1807"/>
  <c r="AA1806"/>
  <c r="AA1805"/>
  <c r="AA1802"/>
  <c r="AA1801"/>
  <c r="AA1803"/>
  <c r="AA1815"/>
  <c r="AA1816"/>
  <c r="AA1817"/>
  <c r="AA1818"/>
  <c r="B2601"/>
  <c r="B2602"/>
  <c r="B2603"/>
  <c r="B2600"/>
  <c r="B2845"/>
  <c r="B2844"/>
  <c r="B2842"/>
  <c r="B2841"/>
  <c r="B2838"/>
  <c r="B2837"/>
  <c r="B3028"/>
  <c r="AA3028"/>
  <c r="B3029"/>
  <c r="AA3029"/>
  <c r="B3444"/>
  <c r="AA3444"/>
  <c r="B3445"/>
  <c r="AA3445"/>
  <c r="R202" l="1"/>
  <c r="Q202"/>
  <c r="S202"/>
  <c r="Q203"/>
  <c r="S203"/>
  <c r="R203"/>
  <c r="R824"/>
  <c r="Q824"/>
  <c r="S824"/>
  <c r="Q853"/>
  <c r="S853"/>
  <c r="R853"/>
  <c r="Q855"/>
  <c r="S855"/>
  <c r="R855"/>
  <c r="Q857"/>
  <c r="S857"/>
  <c r="R857"/>
  <c r="R186"/>
  <c r="Q186"/>
  <c r="S186"/>
  <c r="Q187"/>
  <c r="S187"/>
  <c r="R187"/>
  <c r="Q823"/>
  <c r="S823"/>
  <c r="R823"/>
  <c r="R852"/>
  <c r="Q852"/>
  <c r="S852"/>
  <c r="R854"/>
  <c r="Q854"/>
  <c r="S854"/>
  <c r="R856"/>
  <c r="Q856"/>
  <c r="S856"/>
  <c r="U3445"/>
  <c r="T3445"/>
  <c r="V3445"/>
  <c r="T3444"/>
  <c r="V3444"/>
  <c r="U3444"/>
  <c r="T3571"/>
  <c r="V3571"/>
  <c r="U3571"/>
  <c r="T3573"/>
  <c r="V3573"/>
  <c r="U3573"/>
  <c r="T3575"/>
  <c r="V3575"/>
  <c r="U3575"/>
  <c r="U3570"/>
  <c r="T3570"/>
  <c r="V3570"/>
  <c r="U3572"/>
  <c r="T3572"/>
  <c r="V3572"/>
  <c r="U3574"/>
  <c r="T3574"/>
  <c r="V3574"/>
  <c r="R2837"/>
  <c r="Q2837"/>
  <c r="S2837"/>
  <c r="R2841"/>
  <c r="Q2841"/>
  <c r="S2841"/>
  <c r="Q2844"/>
  <c r="S2844"/>
  <c r="R2844"/>
  <c r="Q2600"/>
  <c r="S2600"/>
  <c r="R2600"/>
  <c r="A2602"/>
  <c r="Q2602"/>
  <c r="S2602"/>
  <c r="R2602"/>
  <c r="A3092"/>
  <c r="R3092"/>
  <c r="Q3092"/>
  <c r="S3092"/>
  <c r="A3091"/>
  <c r="Q3091"/>
  <c r="S3091"/>
  <c r="R3091"/>
  <c r="A3093"/>
  <c r="Q3093"/>
  <c r="S3093"/>
  <c r="R3093"/>
  <c r="A823"/>
  <c r="A852"/>
  <c r="A1815"/>
  <c r="R1815"/>
  <c r="Q1815"/>
  <c r="S1815"/>
  <c r="R1817"/>
  <c r="Q1817"/>
  <c r="S1817"/>
  <c r="Q3147"/>
  <c r="S3147"/>
  <c r="R3147"/>
  <c r="R3570"/>
  <c r="Q3570"/>
  <c r="S3570"/>
  <c r="R3572"/>
  <c r="Q3572"/>
  <c r="S3572"/>
  <c r="R3574"/>
  <c r="Q3574"/>
  <c r="S3574"/>
  <c r="A4232"/>
  <c r="R4232"/>
  <c r="Q4232"/>
  <c r="S4232"/>
  <c r="A4235"/>
  <c r="Q4235"/>
  <c r="S4235"/>
  <c r="R4235"/>
  <c r="A4967"/>
  <c r="R4967"/>
  <c r="Q4967"/>
  <c r="S4967"/>
  <c r="A4969"/>
  <c r="R4969"/>
  <c r="Q4969"/>
  <c r="S4969"/>
  <c r="A4971"/>
  <c r="R4971"/>
  <c r="Q4971"/>
  <c r="S4971"/>
  <c r="A4973"/>
  <c r="R4973"/>
  <c r="Q4973"/>
  <c r="S4973"/>
  <c r="A4975"/>
  <c r="R4975"/>
  <c r="Q4975"/>
  <c r="S4975"/>
  <c r="A4977"/>
  <c r="R4977"/>
  <c r="Q4977"/>
  <c r="S4977"/>
  <c r="Q2736"/>
  <c r="S2736"/>
  <c r="R2736"/>
  <c r="Q2794"/>
  <c r="S2794"/>
  <c r="R2794"/>
  <c r="Q2580"/>
  <c r="S2580"/>
  <c r="R2580"/>
  <c r="Q2768"/>
  <c r="S2768"/>
  <c r="R2768"/>
  <c r="Q2784"/>
  <c r="S2784"/>
  <c r="R2784"/>
  <c r="A3445"/>
  <c r="Q3445"/>
  <c r="S3445"/>
  <c r="R3445"/>
  <c r="A3444"/>
  <c r="R3444"/>
  <c r="Q3444"/>
  <c r="S3444"/>
  <c r="A3029"/>
  <c r="Q3029"/>
  <c r="S3029"/>
  <c r="R3029"/>
  <c r="A3028"/>
  <c r="R3028"/>
  <c r="Q3028"/>
  <c r="S3028"/>
  <c r="Q2838"/>
  <c r="S2838"/>
  <c r="R2838"/>
  <c r="Q2842"/>
  <c r="S2842"/>
  <c r="R2842"/>
  <c r="R2845"/>
  <c r="Q2845"/>
  <c r="S2845"/>
  <c r="A2603"/>
  <c r="R2603"/>
  <c r="Q2603"/>
  <c r="S2603"/>
  <c r="A2601"/>
  <c r="R2601"/>
  <c r="Q2601"/>
  <c r="S2601"/>
  <c r="A1816"/>
  <c r="Q1816"/>
  <c r="S1816"/>
  <c r="R1816"/>
  <c r="A1818"/>
  <c r="Q1818"/>
  <c r="S1818"/>
  <c r="R1818"/>
  <c r="R3148"/>
  <c r="Q3148"/>
  <c r="S3148"/>
  <c r="Q3571"/>
  <c r="S3571"/>
  <c r="R3571"/>
  <c r="Q3573"/>
  <c r="S3573"/>
  <c r="R3573"/>
  <c r="Q3575"/>
  <c r="S3575"/>
  <c r="R3575"/>
  <c r="A4234"/>
  <c r="R4234"/>
  <c r="Q4234"/>
  <c r="S4234"/>
  <c r="A4236"/>
  <c r="R4236"/>
  <c r="Q4236"/>
  <c r="S4236"/>
  <c r="A4968"/>
  <c r="Q4968"/>
  <c r="S4968"/>
  <c r="R4968"/>
  <c r="A4970"/>
  <c r="Q4970"/>
  <c r="S4970"/>
  <c r="R4970"/>
  <c r="A4972"/>
  <c r="Q4972"/>
  <c r="S4972"/>
  <c r="R4972"/>
  <c r="A4974"/>
  <c r="Q4974"/>
  <c r="S4974"/>
  <c r="R4974"/>
  <c r="A4976"/>
  <c r="Q4976"/>
  <c r="S4976"/>
  <c r="R4976"/>
  <c r="A4978"/>
  <c r="Q4978"/>
  <c r="S4978"/>
  <c r="R4978"/>
  <c r="R2737"/>
  <c r="Q2737"/>
  <c r="S2737"/>
  <c r="R2795"/>
  <c r="Q2795"/>
  <c r="S2795"/>
  <c r="R2581"/>
  <c r="Q2581"/>
  <c r="S2581"/>
  <c r="A2767"/>
  <c r="R2767"/>
  <c r="Q2767"/>
  <c r="S2767"/>
  <c r="R2785"/>
  <c r="Q2785"/>
  <c r="S2785"/>
  <c r="A2768"/>
  <c r="A2795"/>
  <c r="A2785"/>
  <c r="A2736"/>
  <c r="A2737"/>
  <c r="A2581"/>
  <c r="A2784"/>
  <c r="A2580"/>
  <c r="A2794"/>
  <c r="A853"/>
  <c r="A854"/>
  <c r="A855"/>
  <c r="A856"/>
  <c r="A857"/>
  <c r="A824"/>
  <c r="A186"/>
  <c r="A187"/>
  <c r="A202"/>
  <c r="A203"/>
  <c r="A1804"/>
  <c r="A1803"/>
  <c r="A1801"/>
  <c r="A1802"/>
  <c r="A1805"/>
  <c r="A1806"/>
  <c r="A1807"/>
  <c r="A2600"/>
  <c r="A2844"/>
  <c r="A2842"/>
  <c r="A2841"/>
  <c r="A2845"/>
  <c r="A2837"/>
  <c r="A2838"/>
  <c r="B822"/>
  <c r="B821"/>
  <c r="B820"/>
  <c r="AA1811"/>
  <c r="AA1810"/>
  <c r="AA3571"/>
  <c r="AA3570"/>
  <c r="AA4236"/>
  <c r="AA4248"/>
  <c r="AA4249"/>
  <c r="AA4252"/>
  <c r="AA4235"/>
  <c r="AA4237"/>
  <c r="AA4240"/>
  <c r="AA4241"/>
  <c r="AA4243"/>
  <c r="AA4244"/>
  <c r="AA4245"/>
  <c r="AA4247"/>
  <c r="R820" l="1"/>
  <c r="Q820"/>
  <c r="S820"/>
  <c r="R822"/>
  <c r="Q822"/>
  <c r="S822"/>
  <c r="Q821"/>
  <c r="S821"/>
  <c r="R821"/>
  <c r="A821"/>
  <c r="A820"/>
  <c r="A822"/>
  <c r="A1810"/>
  <c r="A1811"/>
  <c r="AA4977"/>
  <c r="AA4976"/>
  <c r="AA4975"/>
  <c r="AA4974"/>
  <c r="AA4973"/>
  <c r="AA4972"/>
  <c r="AA4971"/>
  <c r="AA4970"/>
  <c r="AA4969"/>
  <c r="AA4968"/>
  <c r="AA4967"/>
  <c r="B2986"/>
  <c r="AA2986"/>
  <c r="AD1830"/>
  <c r="B1071"/>
  <c r="B1072"/>
  <c r="AA1814"/>
  <c r="B842"/>
  <c r="B841"/>
  <c r="B825"/>
  <c r="B826"/>
  <c r="B827"/>
  <c r="B828"/>
  <c r="B829"/>
  <c r="B2849"/>
  <c r="B2848"/>
  <c r="B3110"/>
  <c r="B3136"/>
  <c r="B3144"/>
  <c r="B3145"/>
  <c r="P6025"/>
  <c r="T6025"/>
  <c r="U6025"/>
  <c r="V6025"/>
  <c r="W6025"/>
  <c r="Y6025"/>
  <c r="AB6025"/>
  <c r="AC6025"/>
  <c r="AD6025"/>
  <c r="P6026"/>
  <c r="T6026"/>
  <c r="U6026"/>
  <c r="V6026"/>
  <c r="W6026"/>
  <c r="Y6026"/>
  <c r="AB6026"/>
  <c r="AC6026"/>
  <c r="AD6026"/>
  <c r="P6027"/>
  <c r="T6027"/>
  <c r="U6027"/>
  <c r="V6027"/>
  <c r="W6027"/>
  <c r="Y6027"/>
  <c r="AB6027"/>
  <c r="AC6027"/>
  <c r="AD6027"/>
  <c r="P6028"/>
  <c r="T6028"/>
  <c r="U6028"/>
  <c r="V6028"/>
  <c r="W6028"/>
  <c r="Y6028"/>
  <c r="AB6028"/>
  <c r="AC6028"/>
  <c r="AD6028"/>
  <c r="P6029"/>
  <c r="T6029"/>
  <c r="U6029"/>
  <c r="V6029"/>
  <c r="W6029"/>
  <c r="Y6029"/>
  <c r="AB6029"/>
  <c r="AC6029"/>
  <c r="AD6029"/>
  <c r="P6030"/>
  <c r="T6030"/>
  <c r="U6030"/>
  <c r="V6030"/>
  <c r="W6030"/>
  <c r="Y6030"/>
  <c r="AB6030"/>
  <c r="AC6030"/>
  <c r="AD6030"/>
  <c r="P6031"/>
  <c r="T6031"/>
  <c r="U6031"/>
  <c r="V6031"/>
  <c r="W6031"/>
  <c r="Y6031"/>
  <c r="AB6031"/>
  <c r="AC6031"/>
  <c r="AD6031"/>
  <c r="P6032"/>
  <c r="T6032"/>
  <c r="U6032"/>
  <c r="V6032"/>
  <c r="W6032"/>
  <c r="Y6032"/>
  <c r="AB6032"/>
  <c r="AC6032"/>
  <c r="AD6032"/>
  <c r="P6033"/>
  <c r="T6033"/>
  <c r="U6033"/>
  <c r="V6033"/>
  <c r="W6033"/>
  <c r="Y6033"/>
  <c r="AB6033"/>
  <c r="AC6033"/>
  <c r="AD6033"/>
  <c r="P6034"/>
  <c r="T6034"/>
  <c r="U6034"/>
  <c r="V6034"/>
  <c r="W6034"/>
  <c r="Y6034"/>
  <c r="AB6034"/>
  <c r="AC6034"/>
  <c r="AD6034"/>
  <c r="P6035"/>
  <c r="T6035"/>
  <c r="U6035"/>
  <c r="V6035"/>
  <c r="W6035"/>
  <c r="Y6035"/>
  <c r="AB6035"/>
  <c r="AC6035"/>
  <c r="AD6035"/>
  <c r="P6036"/>
  <c r="T6036"/>
  <c r="U6036"/>
  <c r="V6036"/>
  <c r="W6036"/>
  <c r="Y6036"/>
  <c r="AB6036"/>
  <c r="AC6036"/>
  <c r="AD6036"/>
  <c r="P6037"/>
  <c r="T6037"/>
  <c r="U6037"/>
  <c r="V6037"/>
  <c r="W6037"/>
  <c r="Y6037"/>
  <c r="AB6037"/>
  <c r="AC6037"/>
  <c r="AD6037"/>
  <c r="P6038"/>
  <c r="T6038"/>
  <c r="U6038"/>
  <c r="V6038"/>
  <c r="W6038"/>
  <c r="Y6038"/>
  <c r="AB6038"/>
  <c r="AC6038"/>
  <c r="AD6038"/>
  <c r="P6039"/>
  <c r="T6039"/>
  <c r="U6039"/>
  <c r="V6039"/>
  <c r="W6039"/>
  <c r="Y6039"/>
  <c r="AB6039"/>
  <c r="AC6039"/>
  <c r="AD6039"/>
  <c r="P6040"/>
  <c r="T6040"/>
  <c r="U6040"/>
  <c r="V6040"/>
  <c r="W6040"/>
  <c r="Y6040"/>
  <c r="AB6040"/>
  <c r="AC6040"/>
  <c r="AD6040"/>
  <c r="P6041"/>
  <c r="T6041"/>
  <c r="U6041"/>
  <c r="V6041"/>
  <c r="W6041"/>
  <c r="Y6041"/>
  <c r="AB6041"/>
  <c r="AC6041"/>
  <c r="AD6041"/>
  <c r="P6042"/>
  <c r="T6042"/>
  <c r="U6042"/>
  <c r="V6042"/>
  <c r="W6042"/>
  <c r="Y6042"/>
  <c r="AB6042"/>
  <c r="AC6042"/>
  <c r="AD6042"/>
  <c r="P6043"/>
  <c r="T6043"/>
  <c r="U6043"/>
  <c r="V6043"/>
  <c r="W6043"/>
  <c r="Y6043"/>
  <c r="AB6043"/>
  <c r="AC6043"/>
  <c r="AD6043"/>
  <c r="P6044"/>
  <c r="T6044"/>
  <c r="U6044"/>
  <c r="V6044"/>
  <c r="W6044"/>
  <c r="Y6044"/>
  <c r="AB6044"/>
  <c r="AC6044"/>
  <c r="AD6044"/>
  <c r="P6045"/>
  <c r="T6045"/>
  <c r="U6045"/>
  <c r="V6045"/>
  <c r="W6045"/>
  <c r="Y6045"/>
  <c r="AB6045"/>
  <c r="AC6045"/>
  <c r="AD6045"/>
  <c r="P6046"/>
  <c r="T6046"/>
  <c r="U6046"/>
  <c r="V6046"/>
  <c r="W6046"/>
  <c r="Y6046"/>
  <c r="AB6046"/>
  <c r="AC6046"/>
  <c r="AD6046"/>
  <c r="P6047"/>
  <c r="T6047"/>
  <c r="U6047"/>
  <c r="V6047"/>
  <c r="W6047"/>
  <c r="Y6047"/>
  <c r="AB6047"/>
  <c r="AC6047"/>
  <c r="AD6047"/>
  <c r="P6048"/>
  <c r="T6048"/>
  <c r="U6048"/>
  <c r="V6048"/>
  <c r="W6048"/>
  <c r="Y6048"/>
  <c r="AB6048"/>
  <c r="AC6048"/>
  <c r="AD6048"/>
  <c r="P6049"/>
  <c r="T6049"/>
  <c r="U6049"/>
  <c r="V6049"/>
  <c r="W6049"/>
  <c r="Y6049"/>
  <c r="AB6049"/>
  <c r="AC6049"/>
  <c r="AD6049"/>
  <c r="P6050"/>
  <c r="T6050"/>
  <c r="U6050"/>
  <c r="V6050"/>
  <c r="W6050"/>
  <c r="Y6050"/>
  <c r="AB6050"/>
  <c r="AC6050"/>
  <c r="AD6050"/>
  <c r="P6051"/>
  <c r="T6051"/>
  <c r="U6051"/>
  <c r="V6051"/>
  <c r="W6051"/>
  <c r="Y6051"/>
  <c r="AB6051"/>
  <c r="AC6051"/>
  <c r="AD6051"/>
  <c r="P6052"/>
  <c r="T6052"/>
  <c r="U6052"/>
  <c r="V6052"/>
  <c r="W6052"/>
  <c r="Y6052"/>
  <c r="AB6052"/>
  <c r="AC6052"/>
  <c r="AD6052"/>
  <c r="P6053"/>
  <c r="T6053"/>
  <c r="U6053"/>
  <c r="V6053"/>
  <c r="W6053"/>
  <c r="Y6053"/>
  <c r="AB6053"/>
  <c r="AC6053"/>
  <c r="AD6053"/>
  <c r="P6054"/>
  <c r="T6054"/>
  <c r="U6054"/>
  <c r="V6054"/>
  <c r="W6054"/>
  <c r="Y6054"/>
  <c r="AB6054"/>
  <c r="AC6054"/>
  <c r="AD6054"/>
  <c r="P6055"/>
  <c r="T6055"/>
  <c r="U6055"/>
  <c r="V6055"/>
  <c r="W6055"/>
  <c r="Y6055"/>
  <c r="AB6055"/>
  <c r="AC6055"/>
  <c r="AD6055"/>
  <c r="P6056"/>
  <c r="T6056"/>
  <c r="U6056"/>
  <c r="V6056"/>
  <c r="W6056"/>
  <c r="Y6056"/>
  <c r="AB6056"/>
  <c r="AC6056"/>
  <c r="AD6056"/>
  <c r="P6057"/>
  <c r="T6057"/>
  <c r="U6057"/>
  <c r="V6057"/>
  <c r="W6057"/>
  <c r="Y6057"/>
  <c r="AB6057"/>
  <c r="AC6057"/>
  <c r="AD6057"/>
  <c r="P6058"/>
  <c r="T6058"/>
  <c r="U6058"/>
  <c r="V6058"/>
  <c r="W6058"/>
  <c r="Y6058"/>
  <c r="AB6058"/>
  <c r="AC6058"/>
  <c r="AD6058"/>
  <c r="P6059"/>
  <c r="T6059"/>
  <c r="U6059"/>
  <c r="V6059"/>
  <c r="W6059"/>
  <c r="Y6059"/>
  <c r="AB6059"/>
  <c r="AC6059"/>
  <c r="AD6059"/>
  <c r="P6060"/>
  <c r="T6060"/>
  <c r="U6060"/>
  <c r="V6060"/>
  <c r="W6060"/>
  <c r="Y6060"/>
  <c r="AB6060"/>
  <c r="AC6060"/>
  <c r="AD6060"/>
  <c r="P6061"/>
  <c r="T6061"/>
  <c r="U6061"/>
  <c r="V6061"/>
  <c r="W6061"/>
  <c r="Y6061"/>
  <c r="AB6061"/>
  <c r="AC6061"/>
  <c r="AD6061"/>
  <c r="P6062"/>
  <c r="T6062"/>
  <c r="U6062"/>
  <c r="V6062"/>
  <c r="W6062"/>
  <c r="Y6062"/>
  <c r="AB6062"/>
  <c r="AC6062"/>
  <c r="AD6062"/>
  <c r="P6063"/>
  <c r="T6063"/>
  <c r="U6063"/>
  <c r="V6063"/>
  <c r="W6063"/>
  <c r="Y6063"/>
  <c r="AB6063"/>
  <c r="AC6063"/>
  <c r="AD6063"/>
  <c r="P6064"/>
  <c r="T6064"/>
  <c r="U6064"/>
  <c r="V6064"/>
  <c r="W6064"/>
  <c r="Y6064"/>
  <c r="AB6064"/>
  <c r="AC6064"/>
  <c r="AD6064"/>
  <c r="P6065"/>
  <c r="T6065"/>
  <c r="U6065"/>
  <c r="V6065"/>
  <c r="W6065"/>
  <c r="Y6065"/>
  <c r="AB6065"/>
  <c r="AC6065"/>
  <c r="AD6065"/>
  <c r="P6066"/>
  <c r="T6066"/>
  <c r="U6066"/>
  <c r="V6066"/>
  <c r="W6066"/>
  <c r="Y6066"/>
  <c r="AB6066"/>
  <c r="AC6066"/>
  <c r="AD6066"/>
  <c r="P6067"/>
  <c r="T6067"/>
  <c r="U6067"/>
  <c r="V6067"/>
  <c r="W6067"/>
  <c r="Y6067"/>
  <c r="AB6067"/>
  <c r="AC6067"/>
  <c r="AD6067"/>
  <c r="P6068"/>
  <c r="T6068"/>
  <c r="U6068"/>
  <c r="V6068"/>
  <c r="W6068"/>
  <c r="Y6068"/>
  <c r="AB6068"/>
  <c r="AC6068"/>
  <c r="AD6068"/>
  <c r="P6069"/>
  <c r="T6069"/>
  <c r="U6069"/>
  <c r="V6069"/>
  <c r="W6069"/>
  <c r="Y6069"/>
  <c r="AB6069"/>
  <c r="AC6069"/>
  <c r="AD6069"/>
  <c r="P6070"/>
  <c r="T6070"/>
  <c r="U6070"/>
  <c r="V6070"/>
  <c r="W6070"/>
  <c r="Y6070"/>
  <c r="AB6070"/>
  <c r="AC6070"/>
  <c r="AD6070"/>
  <c r="P6071"/>
  <c r="T6071"/>
  <c r="U6071"/>
  <c r="V6071"/>
  <c r="W6071"/>
  <c r="Y6071"/>
  <c r="AB6071"/>
  <c r="AC6071"/>
  <c r="AD6071"/>
  <c r="P6072"/>
  <c r="T6072"/>
  <c r="U6072"/>
  <c r="V6072"/>
  <c r="W6072"/>
  <c r="Y6072"/>
  <c r="AB6072"/>
  <c r="AC6072"/>
  <c r="AD6072"/>
  <c r="P6073"/>
  <c r="T6073"/>
  <c r="U6073"/>
  <c r="V6073"/>
  <c r="W6073"/>
  <c r="Y6073"/>
  <c r="AB6073"/>
  <c r="AC6073"/>
  <c r="AD6073"/>
  <c r="P6074"/>
  <c r="T6074"/>
  <c r="U6074"/>
  <c r="V6074"/>
  <c r="W6074"/>
  <c r="Y6074"/>
  <c r="AB6074"/>
  <c r="AC6074"/>
  <c r="AD6074"/>
  <c r="P6075"/>
  <c r="T6075"/>
  <c r="U6075"/>
  <c r="V6075"/>
  <c r="W6075"/>
  <c r="Y6075"/>
  <c r="AB6075"/>
  <c r="AC6075"/>
  <c r="AD6075"/>
  <c r="P6076"/>
  <c r="T6076"/>
  <c r="U6076"/>
  <c r="V6076"/>
  <c r="W6076"/>
  <c r="Y6076"/>
  <c r="AB6076"/>
  <c r="AC6076"/>
  <c r="AD6076"/>
  <c r="P6077"/>
  <c r="T6077"/>
  <c r="U6077"/>
  <c r="V6077"/>
  <c r="W6077"/>
  <c r="Y6077"/>
  <c r="AB6077"/>
  <c r="AC6077"/>
  <c r="AD6077"/>
  <c r="P6078"/>
  <c r="T6078"/>
  <c r="U6078"/>
  <c r="V6078"/>
  <c r="W6078"/>
  <c r="Y6078"/>
  <c r="AB6078"/>
  <c r="AC6078"/>
  <c r="AD6078"/>
  <c r="P6079"/>
  <c r="T6079"/>
  <c r="U6079"/>
  <c r="V6079"/>
  <c r="W6079"/>
  <c r="Y6079"/>
  <c r="AB6079"/>
  <c r="AC6079"/>
  <c r="AD6079"/>
  <c r="P6080"/>
  <c r="T6080"/>
  <c r="U6080"/>
  <c r="V6080"/>
  <c r="W6080"/>
  <c r="Y6080"/>
  <c r="AB6080"/>
  <c r="AC6080"/>
  <c r="AD6080"/>
  <c r="P6081"/>
  <c r="T6081"/>
  <c r="U6081"/>
  <c r="V6081"/>
  <c r="W6081"/>
  <c r="Y6081"/>
  <c r="AB6081"/>
  <c r="AC6081"/>
  <c r="AD6081"/>
  <c r="P6082"/>
  <c r="T6082"/>
  <c r="U6082"/>
  <c r="V6082"/>
  <c r="W6082"/>
  <c r="Y6082"/>
  <c r="AB6082"/>
  <c r="AC6082"/>
  <c r="AD6082"/>
  <c r="P6083"/>
  <c r="T6083"/>
  <c r="U6083"/>
  <c r="V6083"/>
  <c r="W6083"/>
  <c r="Y6083"/>
  <c r="AB6083"/>
  <c r="AC6083"/>
  <c r="AD6083"/>
  <c r="P6084"/>
  <c r="T6084"/>
  <c r="U6084"/>
  <c r="V6084"/>
  <c r="W6084"/>
  <c r="Y6084"/>
  <c r="AB6084"/>
  <c r="AC6084"/>
  <c r="AD6084"/>
  <c r="P6085"/>
  <c r="T6085"/>
  <c r="U6085"/>
  <c r="V6085"/>
  <c r="W6085"/>
  <c r="Y6085"/>
  <c r="AB6085"/>
  <c r="AC6085"/>
  <c r="AD6085"/>
  <c r="P6086"/>
  <c r="T6086"/>
  <c r="U6086"/>
  <c r="V6086"/>
  <c r="W6086"/>
  <c r="Y6086"/>
  <c r="AB6086"/>
  <c r="AC6086"/>
  <c r="AD6086"/>
  <c r="P6087"/>
  <c r="T6087"/>
  <c r="U6087"/>
  <c r="V6087"/>
  <c r="W6087"/>
  <c r="Y6087"/>
  <c r="AB6087"/>
  <c r="AC6087"/>
  <c r="AD6087"/>
  <c r="P6088"/>
  <c r="T6088"/>
  <c r="U6088"/>
  <c r="V6088"/>
  <c r="W6088"/>
  <c r="Y6088"/>
  <c r="AB6088"/>
  <c r="AC6088"/>
  <c r="AD6088"/>
  <c r="P6089"/>
  <c r="T6089"/>
  <c r="U6089"/>
  <c r="V6089"/>
  <c r="W6089"/>
  <c r="Y6089"/>
  <c r="AB6089"/>
  <c r="AC6089"/>
  <c r="AD6089"/>
  <c r="P6090"/>
  <c r="T6090"/>
  <c r="U6090"/>
  <c r="V6090"/>
  <c r="W6090"/>
  <c r="Y6090"/>
  <c r="AB6090"/>
  <c r="AC6090"/>
  <c r="AD6090"/>
  <c r="P6091"/>
  <c r="T6091"/>
  <c r="U6091"/>
  <c r="V6091"/>
  <c r="W6091"/>
  <c r="Y6091"/>
  <c r="AB6091"/>
  <c r="AC6091"/>
  <c r="AD6091"/>
  <c r="P6092"/>
  <c r="T6092"/>
  <c r="U6092"/>
  <c r="V6092"/>
  <c r="W6092"/>
  <c r="Y6092"/>
  <c r="AB6092"/>
  <c r="AC6092"/>
  <c r="AD6092"/>
  <c r="P6093"/>
  <c r="T6093"/>
  <c r="U6093"/>
  <c r="V6093"/>
  <c r="W6093"/>
  <c r="Y6093"/>
  <c r="AB6093"/>
  <c r="AC6093"/>
  <c r="AD6093"/>
  <c r="P6094"/>
  <c r="T6094"/>
  <c r="U6094"/>
  <c r="V6094"/>
  <c r="W6094"/>
  <c r="Y6094"/>
  <c r="AB6094"/>
  <c r="AC6094"/>
  <c r="AD6094"/>
  <c r="P6095"/>
  <c r="T6095"/>
  <c r="U6095"/>
  <c r="V6095"/>
  <c r="W6095"/>
  <c r="Y6095"/>
  <c r="AB6095"/>
  <c r="AC6095"/>
  <c r="AD6095"/>
  <c r="P6096"/>
  <c r="T6096"/>
  <c r="U6096"/>
  <c r="V6096"/>
  <c r="W6096"/>
  <c r="Y6096"/>
  <c r="AB6096"/>
  <c r="AC6096"/>
  <c r="AD6096"/>
  <c r="P6097"/>
  <c r="T6097"/>
  <c r="U6097"/>
  <c r="V6097"/>
  <c r="W6097"/>
  <c r="Y6097"/>
  <c r="AB6097"/>
  <c r="AC6097"/>
  <c r="AD6097"/>
  <c r="P6098"/>
  <c r="T6098"/>
  <c r="U6098"/>
  <c r="V6098"/>
  <c r="W6098"/>
  <c r="Y6098"/>
  <c r="AB6098"/>
  <c r="AC6098"/>
  <c r="AD6098"/>
  <c r="P6099"/>
  <c r="T6099"/>
  <c r="U6099"/>
  <c r="V6099"/>
  <c r="W6099"/>
  <c r="Y6099"/>
  <c r="AB6099"/>
  <c r="AC6099"/>
  <c r="AD6099"/>
  <c r="P6100"/>
  <c r="T6100"/>
  <c r="U6100"/>
  <c r="V6100"/>
  <c r="W6100"/>
  <c r="Y6100"/>
  <c r="AB6100"/>
  <c r="AC6100"/>
  <c r="AD6100"/>
  <c r="P6101"/>
  <c r="T6101"/>
  <c r="U6101"/>
  <c r="V6101"/>
  <c r="W6101"/>
  <c r="Y6101"/>
  <c r="AB6101"/>
  <c r="AC6101"/>
  <c r="AD6101"/>
  <c r="P6102"/>
  <c r="T6102"/>
  <c r="U6102"/>
  <c r="V6102"/>
  <c r="W6102"/>
  <c r="Y6102"/>
  <c r="AB6102"/>
  <c r="AC6102"/>
  <c r="AD6102"/>
  <c r="P6103"/>
  <c r="T6103"/>
  <c r="U6103"/>
  <c r="V6103"/>
  <c r="W6103"/>
  <c r="Y6103"/>
  <c r="AB6103"/>
  <c r="AC6103"/>
  <c r="AD6103"/>
  <c r="P6104"/>
  <c r="T6104"/>
  <c r="U6104"/>
  <c r="V6104"/>
  <c r="W6104"/>
  <c r="Y6104"/>
  <c r="AB6104"/>
  <c r="AC6104"/>
  <c r="AD6104"/>
  <c r="P6105"/>
  <c r="T6105"/>
  <c r="U6105"/>
  <c r="V6105"/>
  <c r="W6105"/>
  <c r="Y6105"/>
  <c r="AB6105"/>
  <c r="AC6105"/>
  <c r="AD6105"/>
  <c r="P6106"/>
  <c r="T6106"/>
  <c r="U6106"/>
  <c r="V6106"/>
  <c r="W6106"/>
  <c r="Y6106"/>
  <c r="AB6106"/>
  <c r="AC6106"/>
  <c r="AD6106"/>
  <c r="P6107"/>
  <c r="T6107"/>
  <c r="U6107"/>
  <c r="V6107"/>
  <c r="W6107"/>
  <c r="Y6107"/>
  <c r="AB6107"/>
  <c r="AC6107"/>
  <c r="AD6107"/>
  <c r="P6108"/>
  <c r="T6108"/>
  <c r="U6108"/>
  <c r="V6108"/>
  <c r="W6108"/>
  <c r="Y6108"/>
  <c r="AB6108"/>
  <c r="AC6108"/>
  <c r="AD6108"/>
  <c r="P6109"/>
  <c r="T6109"/>
  <c r="U6109"/>
  <c r="V6109"/>
  <c r="W6109"/>
  <c r="Y6109"/>
  <c r="AB6109"/>
  <c r="AC6109"/>
  <c r="AD6109"/>
  <c r="P6110"/>
  <c r="T6110"/>
  <c r="U6110"/>
  <c r="V6110"/>
  <c r="W6110"/>
  <c r="Y6110"/>
  <c r="AB6110"/>
  <c r="AC6110"/>
  <c r="AD6110"/>
  <c r="P6111"/>
  <c r="T6111"/>
  <c r="U6111"/>
  <c r="V6111"/>
  <c r="W6111"/>
  <c r="Y6111"/>
  <c r="AB6111"/>
  <c r="AC6111"/>
  <c r="AD6111"/>
  <c r="P6112"/>
  <c r="T6112"/>
  <c r="U6112"/>
  <c r="V6112"/>
  <c r="W6112"/>
  <c r="Y6112"/>
  <c r="AB6112"/>
  <c r="AC6112"/>
  <c r="AD6112"/>
  <c r="P6113"/>
  <c r="T6113"/>
  <c r="U6113"/>
  <c r="V6113"/>
  <c r="W6113"/>
  <c r="Y6113"/>
  <c r="AB6113"/>
  <c r="AC6113"/>
  <c r="AD6113"/>
  <c r="P6114"/>
  <c r="T6114"/>
  <c r="U6114"/>
  <c r="V6114"/>
  <c r="W6114"/>
  <c r="Y6114"/>
  <c r="AB6114"/>
  <c r="AC6114"/>
  <c r="AD6114"/>
  <c r="P6115"/>
  <c r="T6115"/>
  <c r="U6115"/>
  <c r="V6115"/>
  <c r="W6115"/>
  <c r="Y6115"/>
  <c r="AB6115"/>
  <c r="AC6115"/>
  <c r="AD6115"/>
  <c r="P6116"/>
  <c r="T6116"/>
  <c r="U6116"/>
  <c r="V6116"/>
  <c r="W6116"/>
  <c r="Y6116"/>
  <c r="AB6116"/>
  <c r="AC6116"/>
  <c r="AD6116"/>
  <c r="P6117"/>
  <c r="T6117"/>
  <c r="U6117"/>
  <c r="V6117"/>
  <c r="W6117"/>
  <c r="Y6117"/>
  <c r="AB6117"/>
  <c r="AC6117"/>
  <c r="AD6117"/>
  <c r="P6118"/>
  <c r="T6118"/>
  <c r="U6118"/>
  <c r="V6118"/>
  <c r="W6118"/>
  <c r="Y6118"/>
  <c r="AB6118"/>
  <c r="AC6118"/>
  <c r="AD6118"/>
  <c r="P6119"/>
  <c r="T6119"/>
  <c r="U6119"/>
  <c r="V6119"/>
  <c r="W6119"/>
  <c r="Y6119"/>
  <c r="AB6119"/>
  <c r="AC6119"/>
  <c r="AD6119"/>
  <c r="P6120"/>
  <c r="T6120"/>
  <c r="U6120"/>
  <c r="V6120"/>
  <c r="W6120"/>
  <c r="Y6120"/>
  <c r="AB6120"/>
  <c r="AC6120"/>
  <c r="AD6120"/>
  <c r="P6121"/>
  <c r="T6121"/>
  <c r="U6121"/>
  <c r="V6121"/>
  <c r="W6121"/>
  <c r="Y6121"/>
  <c r="AB6121"/>
  <c r="AC6121"/>
  <c r="AD6121"/>
  <c r="P6122"/>
  <c r="T6122"/>
  <c r="U6122"/>
  <c r="V6122"/>
  <c r="W6122"/>
  <c r="Y6122"/>
  <c r="AB6122"/>
  <c r="AC6122"/>
  <c r="AD6122"/>
  <c r="P6123"/>
  <c r="T6123"/>
  <c r="U6123"/>
  <c r="V6123"/>
  <c r="W6123"/>
  <c r="Y6123"/>
  <c r="AB6123"/>
  <c r="AC6123"/>
  <c r="AD6123"/>
  <c r="P6124"/>
  <c r="T6124"/>
  <c r="U6124"/>
  <c r="V6124"/>
  <c r="W6124"/>
  <c r="Y6124"/>
  <c r="AB6124"/>
  <c r="AC6124"/>
  <c r="AD6124"/>
  <c r="P6125"/>
  <c r="T6125"/>
  <c r="U6125"/>
  <c r="V6125"/>
  <c r="W6125"/>
  <c r="Y6125"/>
  <c r="AB6125"/>
  <c r="AC6125"/>
  <c r="AD6125"/>
  <c r="P6126"/>
  <c r="T6126"/>
  <c r="U6126"/>
  <c r="V6126"/>
  <c r="W6126"/>
  <c r="Y6126"/>
  <c r="AB6126"/>
  <c r="AC6126"/>
  <c r="AD6126"/>
  <c r="P6127"/>
  <c r="T6127"/>
  <c r="U6127"/>
  <c r="V6127"/>
  <c r="W6127"/>
  <c r="Y6127"/>
  <c r="AB6127"/>
  <c r="AC6127"/>
  <c r="AD6127"/>
  <c r="P6128"/>
  <c r="T6128"/>
  <c r="U6128"/>
  <c r="V6128"/>
  <c r="W6128"/>
  <c r="Y6128"/>
  <c r="AB6128"/>
  <c r="AC6128"/>
  <c r="AD6128"/>
  <c r="P6129"/>
  <c r="T6129"/>
  <c r="U6129"/>
  <c r="V6129"/>
  <c r="W6129"/>
  <c r="Y6129"/>
  <c r="AB6129"/>
  <c r="AC6129"/>
  <c r="AD6129"/>
  <c r="P6130"/>
  <c r="T6130"/>
  <c r="U6130"/>
  <c r="V6130"/>
  <c r="W6130"/>
  <c r="Y6130"/>
  <c r="AB6130"/>
  <c r="AC6130"/>
  <c r="AD6130"/>
  <c r="P6131"/>
  <c r="T6131"/>
  <c r="U6131"/>
  <c r="V6131"/>
  <c r="W6131"/>
  <c r="Y6131"/>
  <c r="AB6131"/>
  <c r="AC6131"/>
  <c r="AD6131"/>
  <c r="P6132"/>
  <c r="T6132"/>
  <c r="U6132"/>
  <c r="V6132"/>
  <c r="W6132"/>
  <c r="Y6132"/>
  <c r="AB6132"/>
  <c r="AC6132"/>
  <c r="AD6132"/>
  <c r="P6133"/>
  <c r="T6133"/>
  <c r="U6133"/>
  <c r="V6133"/>
  <c r="W6133"/>
  <c r="Y6133"/>
  <c r="AB6133"/>
  <c r="AC6133"/>
  <c r="AD6133"/>
  <c r="P6134"/>
  <c r="T6134"/>
  <c r="U6134"/>
  <c r="V6134"/>
  <c r="W6134"/>
  <c r="Y6134"/>
  <c r="AB6134"/>
  <c r="AC6134"/>
  <c r="AD6134"/>
  <c r="P6135"/>
  <c r="T6135"/>
  <c r="U6135"/>
  <c r="V6135"/>
  <c r="W6135"/>
  <c r="Y6135"/>
  <c r="AB6135"/>
  <c r="AC6135"/>
  <c r="AD6135"/>
  <c r="P6136"/>
  <c r="T6136"/>
  <c r="U6136"/>
  <c r="V6136"/>
  <c r="W6136"/>
  <c r="Y6136"/>
  <c r="AB6136"/>
  <c r="AC6136"/>
  <c r="AD6136"/>
  <c r="P6137"/>
  <c r="T6137"/>
  <c r="U6137"/>
  <c r="V6137"/>
  <c r="W6137"/>
  <c r="Y6137"/>
  <c r="AB6137"/>
  <c r="AC6137"/>
  <c r="AD6137"/>
  <c r="P6138"/>
  <c r="T6138"/>
  <c r="U6138"/>
  <c r="V6138"/>
  <c r="W6138"/>
  <c r="Y6138"/>
  <c r="AB6138"/>
  <c r="AC6138"/>
  <c r="AD6138"/>
  <c r="P6139"/>
  <c r="T6139"/>
  <c r="U6139"/>
  <c r="V6139"/>
  <c r="W6139"/>
  <c r="Y6139"/>
  <c r="AB6139"/>
  <c r="AC6139"/>
  <c r="AD6139"/>
  <c r="P6140"/>
  <c r="T6140"/>
  <c r="U6140"/>
  <c r="V6140"/>
  <c r="W6140"/>
  <c r="Y6140"/>
  <c r="AB6140"/>
  <c r="AC6140"/>
  <c r="AD6140"/>
  <c r="P6141"/>
  <c r="T6141"/>
  <c r="U6141"/>
  <c r="V6141"/>
  <c r="W6141"/>
  <c r="Y6141"/>
  <c r="AB6141"/>
  <c r="AC6141"/>
  <c r="AD6141"/>
  <c r="P6142"/>
  <c r="T6142"/>
  <c r="U6142"/>
  <c r="V6142"/>
  <c r="W6142"/>
  <c r="Y6142"/>
  <c r="AB6142"/>
  <c r="AC6142"/>
  <c r="AD6142"/>
  <c r="P6143"/>
  <c r="T6143"/>
  <c r="U6143"/>
  <c r="V6143"/>
  <c r="W6143"/>
  <c r="Y6143"/>
  <c r="AB6143"/>
  <c r="AC6143"/>
  <c r="AD6143"/>
  <c r="P6144"/>
  <c r="T6144"/>
  <c r="U6144"/>
  <c r="V6144"/>
  <c r="W6144"/>
  <c r="Y6144"/>
  <c r="AB6144"/>
  <c r="AC6144"/>
  <c r="AD6144"/>
  <c r="P6145"/>
  <c r="T6145"/>
  <c r="U6145"/>
  <c r="V6145"/>
  <c r="W6145"/>
  <c r="Y6145"/>
  <c r="AB6145"/>
  <c r="AC6145"/>
  <c r="AD6145"/>
  <c r="P6146"/>
  <c r="T6146"/>
  <c r="U6146"/>
  <c r="V6146"/>
  <c r="W6146"/>
  <c r="Y6146"/>
  <c r="AB6146"/>
  <c r="AC6146"/>
  <c r="AD6146"/>
  <c r="P6147"/>
  <c r="T6147"/>
  <c r="U6147"/>
  <c r="V6147"/>
  <c r="W6147"/>
  <c r="Y6147"/>
  <c r="AB6147"/>
  <c r="AC6147"/>
  <c r="AD6147"/>
  <c r="P6148"/>
  <c r="T6148"/>
  <c r="U6148"/>
  <c r="V6148"/>
  <c r="W6148"/>
  <c r="Y6148"/>
  <c r="AB6148"/>
  <c r="AC6148"/>
  <c r="AD6148"/>
  <c r="P6149"/>
  <c r="T6149"/>
  <c r="U6149"/>
  <c r="V6149"/>
  <c r="W6149"/>
  <c r="Y6149"/>
  <c r="AB6149"/>
  <c r="AC6149"/>
  <c r="AD6149"/>
  <c r="P6150"/>
  <c r="T6150"/>
  <c r="U6150"/>
  <c r="V6150"/>
  <c r="W6150"/>
  <c r="Y6150"/>
  <c r="AB6150"/>
  <c r="AC6150"/>
  <c r="AD6150"/>
  <c r="P6151"/>
  <c r="T6151"/>
  <c r="U6151"/>
  <c r="V6151"/>
  <c r="W6151"/>
  <c r="Y6151"/>
  <c r="AB6151"/>
  <c r="AC6151"/>
  <c r="AD6151"/>
  <c r="P6152"/>
  <c r="T6152"/>
  <c r="U6152"/>
  <c r="V6152"/>
  <c r="W6152"/>
  <c r="Y6152"/>
  <c r="AB6152"/>
  <c r="AC6152"/>
  <c r="AD6152"/>
  <c r="P6153"/>
  <c r="T6153"/>
  <c r="U6153"/>
  <c r="V6153"/>
  <c r="W6153"/>
  <c r="Y6153"/>
  <c r="AB6153"/>
  <c r="AC6153"/>
  <c r="AD6153"/>
  <c r="P6154"/>
  <c r="T6154"/>
  <c r="U6154"/>
  <c r="V6154"/>
  <c r="W6154"/>
  <c r="Y6154"/>
  <c r="AB6154"/>
  <c r="AC6154"/>
  <c r="AD6154"/>
  <c r="P6155"/>
  <c r="T6155"/>
  <c r="U6155"/>
  <c r="V6155"/>
  <c r="W6155"/>
  <c r="Y6155"/>
  <c r="AB6155"/>
  <c r="AC6155"/>
  <c r="AD6155"/>
  <c r="P6156"/>
  <c r="T6156"/>
  <c r="U6156"/>
  <c r="V6156"/>
  <c r="W6156"/>
  <c r="Y6156"/>
  <c r="AB6156"/>
  <c r="AC6156"/>
  <c r="AD6156"/>
  <c r="P6157"/>
  <c r="T6157"/>
  <c r="U6157"/>
  <c r="V6157"/>
  <c r="W6157"/>
  <c r="Y6157"/>
  <c r="AB6157"/>
  <c r="AC6157"/>
  <c r="AD6157"/>
  <c r="P6158"/>
  <c r="T6158"/>
  <c r="U6158"/>
  <c r="V6158"/>
  <c r="W6158"/>
  <c r="Y6158"/>
  <c r="AB6158"/>
  <c r="AC6158"/>
  <c r="AD6158"/>
  <c r="P6159"/>
  <c r="T6159"/>
  <c r="U6159"/>
  <c r="V6159"/>
  <c r="W6159"/>
  <c r="Y6159"/>
  <c r="AB6159"/>
  <c r="AC6159"/>
  <c r="AD6159"/>
  <c r="P6160"/>
  <c r="T6160"/>
  <c r="U6160"/>
  <c r="V6160"/>
  <c r="W6160"/>
  <c r="Y6160"/>
  <c r="AB6160"/>
  <c r="AC6160"/>
  <c r="AD6160"/>
  <c r="P6161"/>
  <c r="T6161"/>
  <c r="U6161"/>
  <c r="V6161"/>
  <c r="W6161"/>
  <c r="Y6161"/>
  <c r="AB6161"/>
  <c r="AC6161"/>
  <c r="AD6161"/>
  <c r="P6162"/>
  <c r="T6162"/>
  <c r="U6162"/>
  <c r="V6162"/>
  <c r="W6162"/>
  <c r="Y6162"/>
  <c r="AB6162"/>
  <c r="AC6162"/>
  <c r="AD6162"/>
  <c r="P6163"/>
  <c r="T6163"/>
  <c r="U6163"/>
  <c r="V6163"/>
  <c r="W6163"/>
  <c r="Y6163"/>
  <c r="AB6163"/>
  <c r="AC6163"/>
  <c r="AD6163"/>
  <c r="P6164"/>
  <c r="T6164"/>
  <c r="U6164"/>
  <c r="V6164"/>
  <c r="W6164"/>
  <c r="Y6164"/>
  <c r="AB6164"/>
  <c r="AC6164"/>
  <c r="AD6164"/>
  <c r="P6165"/>
  <c r="T6165"/>
  <c r="U6165"/>
  <c r="V6165"/>
  <c r="W6165"/>
  <c r="Y6165"/>
  <c r="AB6165"/>
  <c r="AC6165"/>
  <c r="AD6165"/>
  <c r="P6166"/>
  <c r="T6166"/>
  <c r="U6166"/>
  <c r="V6166"/>
  <c r="W6166"/>
  <c r="Y6166"/>
  <c r="AB6166"/>
  <c r="AC6166"/>
  <c r="AD6166"/>
  <c r="P6167"/>
  <c r="T6167"/>
  <c r="U6167"/>
  <c r="V6167"/>
  <c r="W6167"/>
  <c r="Y6167"/>
  <c r="AB6167"/>
  <c r="AC6167"/>
  <c r="AD6167"/>
  <c r="P6168"/>
  <c r="T6168"/>
  <c r="U6168"/>
  <c r="V6168"/>
  <c r="W6168"/>
  <c r="Y6168"/>
  <c r="AB6168"/>
  <c r="AC6168"/>
  <c r="AD6168"/>
  <c r="P6169"/>
  <c r="T6169"/>
  <c r="U6169"/>
  <c r="V6169"/>
  <c r="W6169"/>
  <c r="Y6169"/>
  <c r="AB6169"/>
  <c r="AC6169"/>
  <c r="AD6169"/>
  <c r="P6170"/>
  <c r="T6170"/>
  <c r="U6170"/>
  <c r="V6170"/>
  <c r="W6170"/>
  <c r="Y6170"/>
  <c r="AB6170"/>
  <c r="AC6170"/>
  <c r="AD6170"/>
  <c r="P6171"/>
  <c r="T6171"/>
  <c r="U6171"/>
  <c r="V6171"/>
  <c r="W6171"/>
  <c r="Y6171"/>
  <c r="AB6171"/>
  <c r="AC6171"/>
  <c r="AD6171"/>
  <c r="P6172"/>
  <c r="T6172"/>
  <c r="U6172"/>
  <c r="V6172"/>
  <c r="W6172"/>
  <c r="Y6172"/>
  <c r="AB6172"/>
  <c r="AC6172"/>
  <c r="AD6172"/>
  <c r="P6173"/>
  <c r="T6173"/>
  <c r="U6173"/>
  <c r="V6173"/>
  <c r="W6173"/>
  <c r="Y6173"/>
  <c r="AB6173"/>
  <c r="AC6173"/>
  <c r="AD6173"/>
  <c r="P6174"/>
  <c r="T6174"/>
  <c r="U6174"/>
  <c r="V6174"/>
  <c r="W6174"/>
  <c r="Y6174"/>
  <c r="AB6174"/>
  <c r="AC6174"/>
  <c r="AD6174"/>
  <c r="P6175"/>
  <c r="T6175"/>
  <c r="U6175"/>
  <c r="V6175"/>
  <c r="W6175"/>
  <c r="Y6175"/>
  <c r="AB6175"/>
  <c r="AC6175"/>
  <c r="AD6175"/>
  <c r="P6176"/>
  <c r="T6176"/>
  <c r="U6176"/>
  <c r="V6176"/>
  <c r="W6176"/>
  <c r="Y6176"/>
  <c r="AB6176"/>
  <c r="AC6176"/>
  <c r="AD6176"/>
  <c r="P6177"/>
  <c r="T6177"/>
  <c r="U6177"/>
  <c r="V6177"/>
  <c r="W6177"/>
  <c r="Y6177"/>
  <c r="AB6177"/>
  <c r="AC6177"/>
  <c r="AD6177"/>
  <c r="P6178"/>
  <c r="T6178"/>
  <c r="U6178"/>
  <c r="V6178"/>
  <c r="W6178"/>
  <c r="Y6178"/>
  <c r="AB6178"/>
  <c r="AC6178"/>
  <c r="AD6178"/>
  <c r="P6179"/>
  <c r="T6179"/>
  <c r="U6179"/>
  <c r="V6179"/>
  <c r="W6179"/>
  <c r="Y6179"/>
  <c r="AB6179"/>
  <c r="AC6179"/>
  <c r="AD6179"/>
  <c r="P6180"/>
  <c r="T6180"/>
  <c r="U6180"/>
  <c r="V6180"/>
  <c r="W6180"/>
  <c r="Y6180"/>
  <c r="AB6180"/>
  <c r="AC6180"/>
  <c r="AD6180"/>
  <c r="P6181"/>
  <c r="T6181"/>
  <c r="U6181"/>
  <c r="V6181"/>
  <c r="W6181"/>
  <c r="Y6181"/>
  <c r="AB6181"/>
  <c r="AC6181"/>
  <c r="AD6181"/>
  <c r="P6182"/>
  <c r="T6182"/>
  <c r="U6182"/>
  <c r="V6182"/>
  <c r="W6182"/>
  <c r="Y6182"/>
  <c r="AB6182"/>
  <c r="AC6182"/>
  <c r="AD6182"/>
  <c r="P6183"/>
  <c r="T6183"/>
  <c r="U6183"/>
  <c r="V6183"/>
  <c r="W6183"/>
  <c r="Y6183"/>
  <c r="AB6183"/>
  <c r="AC6183"/>
  <c r="AD6183"/>
  <c r="P6184"/>
  <c r="T6184"/>
  <c r="U6184"/>
  <c r="V6184"/>
  <c r="W6184"/>
  <c r="Y6184"/>
  <c r="AB6184"/>
  <c r="AC6184"/>
  <c r="AD6184"/>
  <c r="P6185"/>
  <c r="T6185"/>
  <c r="U6185"/>
  <c r="V6185"/>
  <c r="W6185"/>
  <c r="Y6185"/>
  <c r="AB6185"/>
  <c r="AC6185"/>
  <c r="AD6185"/>
  <c r="P6186"/>
  <c r="T6186"/>
  <c r="U6186"/>
  <c r="V6186"/>
  <c r="W6186"/>
  <c r="Y6186"/>
  <c r="AB6186"/>
  <c r="AC6186"/>
  <c r="AD6186"/>
  <c r="P6187"/>
  <c r="T6187"/>
  <c r="U6187"/>
  <c r="V6187"/>
  <c r="W6187"/>
  <c r="Y6187"/>
  <c r="AB6187"/>
  <c r="AC6187"/>
  <c r="AD6187"/>
  <c r="P6188"/>
  <c r="T6188"/>
  <c r="U6188"/>
  <c r="V6188"/>
  <c r="W6188"/>
  <c r="Y6188"/>
  <c r="AB6188"/>
  <c r="AC6188"/>
  <c r="AD6188"/>
  <c r="P6189"/>
  <c r="T6189"/>
  <c r="U6189"/>
  <c r="V6189"/>
  <c r="W6189"/>
  <c r="Y6189"/>
  <c r="AB6189"/>
  <c r="AC6189"/>
  <c r="AD6189"/>
  <c r="P6190"/>
  <c r="T6190"/>
  <c r="U6190"/>
  <c r="V6190"/>
  <c r="W6190"/>
  <c r="Y6190"/>
  <c r="AB6190"/>
  <c r="AC6190"/>
  <c r="AD6190"/>
  <c r="P6191"/>
  <c r="T6191"/>
  <c r="U6191"/>
  <c r="V6191"/>
  <c r="W6191"/>
  <c r="Y6191"/>
  <c r="AB6191"/>
  <c r="AC6191"/>
  <c r="AD6191"/>
  <c r="P6192"/>
  <c r="T6192"/>
  <c r="U6192"/>
  <c r="V6192"/>
  <c r="W6192"/>
  <c r="Y6192"/>
  <c r="AB6192"/>
  <c r="AC6192"/>
  <c r="AD6192"/>
  <c r="P6193"/>
  <c r="T6193"/>
  <c r="U6193"/>
  <c r="V6193"/>
  <c r="W6193"/>
  <c r="Y6193"/>
  <c r="AB6193"/>
  <c r="AC6193"/>
  <c r="AD6193"/>
  <c r="P6194"/>
  <c r="T6194"/>
  <c r="U6194"/>
  <c r="V6194"/>
  <c r="W6194"/>
  <c r="Y6194"/>
  <c r="AB6194"/>
  <c r="AC6194"/>
  <c r="AD6194"/>
  <c r="P6195"/>
  <c r="T6195"/>
  <c r="U6195"/>
  <c r="V6195"/>
  <c r="W6195"/>
  <c r="Y6195"/>
  <c r="AB6195"/>
  <c r="AC6195"/>
  <c r="AD6195"/>
  <c r="P6196"/>
  <c r="T6196"/>
  <c r="U6196"/>
  <c r="V6196"/>
  <c r="W6196"/>
  <c r="Y6196"/>
  <c r="AB6196"/>
  <c r="AC6196"/>
  <c r="AD6196"/>
  <c r="P6197"/>
  <c r="T6197"/>
  <c r="U6197"/>
  <c r="V6197"/>
  <c r="W6197"/>
  <c r="Y6197"/>
  <c r="AB6197"/>
  <c r="AC6197"/>
  <c r="AD6197"/>
  <c r="P6198"/>
  <c r="T6198"/>
  <c r="U6198"/>
  <c r="V6198"/>
  <c r="W6198"/>
  <c r="Y6198"/>
  <c r="AB6198"/>
  <c r="AC6198"/>
  <c r="AD6198"/>
  <c r="P6199"/>
  <c r="T6199"/>
  <c r="U6199"/>
  <c r="V6199"/>
  <c r="W6199"/>
  <c r="Y6199"/>
  <c r="AB6199"/>
  <c r="AC6199"/>
  <c r="AD6199"/>
  <c r="P6200"/>
  <c r="T6200"/>
  <c r="U6200"/>
  <c r="V6200"/>
  <c r="W6200"/>
  <c r="Y6200"/>
  <c r="AB6200"/>
  <c r="AC6200"/>
  <c r="AD6200"/>
  <c r="P6201"/>
  <c r="T6201"/>
  <c r="U6201"/>
  <c r="V6201"/>
  <c r="W6201"/>
  <c r="Y6201"/>
  <c r="AB6201"/>
  <c r="AC6201"/>
  <c r="AD6201"/>
  <c r="P6202"/>
  <c r="T6202"/>
  <c r="U6202"/>
  <c r="V6202"/>
  <c r="W6202"/>
  <c r="Y6202"/>
  <c r="AB6202"/>
  <c r="AC6202"/>
  <c r="AD6202"/>
  <c r="P6203"/>
  <c r="T6203"/>
  <c r="U6203"/>
  <c r="V6203"/>
  <c r="W6203"/>
  <c r="Y6203"/>
  <c r="AB6203"/>
  <c r="AC6203"/>
  <c r="AD6203"/>
  <c r="P6204"/>
  <c r="T6204"/>
  <c r="U6204"/>
  <c r="V6204"/>
  <c r="W6204"/>
  <c r="Y6204"/>
  <c r="AB6204"/>
  <c r="AC6204"/>
  <c r="AD6204"/>
  <c r="P6205"/>
  <c r="T6205"/>
  <c r="U6205"/>
  <c r="V6205"/>
  <c r="W6205"/>
  <c r="Y6205"/>
  <c r="AB6205"/>
  <c r="AC6205"/>
  <c r="AD6205"/>
  <c r="P6206"/>
  <c r="T6206"/>
  <c r="U6206"/>
  <c r="V6206"/>
  <c r="W6206"/>
  <c r="Y6206"/>
  <c r="AB6206"/>
  <c r="AC6206"/>
  <c r="AD6206"/>
  <c r="P6207"/>
  <c r="T6207"/>
  <c r="U6207"/>
  <c r="V6207"/>
  <c r="W6207"/>
  <c r="Y6207"/>
  <c r="AB6207"/>
  <c r="AC6207"/>
  <c r="AD6207"/>
  <c r="P6208"/>
  <c r="T6208"/>
  <c r="U6208"/>
  <c r="V6208"/>
  <c r="W6208"/>
  <c r="Y6208"/>
  <c r="AB6208"/>
  <c r="AC6208"/>
  <c r="AD6208"/>
  <c r="P6209"/>
  <c r="T6209"/>
  <c r="U6209"/>
  <c r="V6209"/>
  <c r="W6209"/>
  <c r="Y6209"/>
  <c r="AB6209"/>
  <c r="AC6209"/>
  <c r="AD6209"/>
  <c r="P6210"/>
  <c r="T6210"/>
  <c r="U6210"/>
  <c r="V6210"/>
  <c r="W6210"/>
  <c r="Y6210"/>
  <c r="AB6210"/>
  <c r="AC6210"/>
  <c r="AD6210"/>
  <c r="P6211"/>
  <c r="T6211"/>
  <c r="U6211"/>
  <c r="V6211"/>
  <c r="W6211"/>
  <c r="Y6211"/>
  <c r="AB6211"/>
  <c r="AC6211"/>
  <c r="AD6211"/>
  <c r="P6212"/>
  <c r="T6212"/>
  <c r="U6212"/>
  <c r="V6212"/>
  <c r="W6212"/>
  <c r="Y6212"/>
  <c r="AB6212"/>
  <c r="AC6212"/>
  <c r="AD6212"/>
  <c r="P6213"/>
  <c r="T6213"/>
  <c r="U6213"/>
  <c r="V6213"/>
  <c r="W6213"/>
  <c r="Y6213"/>
  <c r="AB6213"/>
  <c r="AC6213"/>
  <c r="AD6213"/>
  <c r="P6214"/>
  <c r="T6214"/>
  <c r="U6214"/>
  <c r="V6214"/>
  <c r="W6214"/>
  <c r="Y6214"/>
  <c r="AB6214"/>
  <c r="AC6214"/>
  <c r="AD6214"/>
  <c r="P6215"/>
  <c r="T6215"/>
  <c r="U6215"/>
  <c r="V6215"/>
  <c r="W6215"/>
  <c r="Y6215"/>
  <c r="AB6215"/>
  <c r="AC6215"/>
  <c r="AD6215"/>
  <c r="P6216"/>
  <c r="T6216"/>
  <c r="U6216"/>
  <c r="V6216"/>
  <c r="W6216"/>
  <c r="Y6216"/>
  <c r="AB6216"/>
  <c r="AC6216"/>
  <c r="AD6216"/>
  <c r="P6217"/>
  <c r="T6217"/>
  <c r="U6217"/>
  <c r="V6217"/>
  <c r="W6217"/>
  <c r="Y6217"/>
  <c r="AB6217"/>
  <c r="AC6217"/>
  <c r="AD6217"/>
  <c r="P6218"/>
  <c r="T6218"/>
  <c r="U6218"/>
  <c r="V6218"/>
  <c r="W6218"/>
  <c r="Y6218"/>
  <c r="AB6218"/>
  <c r="AC6218"/>
  <c r="AD6218"/>
  <c r="P6219"/>
  <c r="T6219"/>
  <c r="U6219"/>
  <c r="V6219"/>
  <c r="W6219"/>
  <c r="Y6219"/>
  <c r="AB6219"/>
  <c r="AC6219"/>
  <c r="AD6219"/>
  <c r="P6220"/>
  <c r="T6220"/>
  <c r="U6220"/>
  <c r="V6220"/>
  <c r="W6220"/>
  <c r="Y6220"/>
  <c r="AB6220"/>
  <c r="AC6220"/>
  <c r="AD6220"/>
  <c r="P6221"/>
  <c r="T6221"/>
  <c r="U6221"/>
  <c r="V6221"/>
  <c r="W6221"/>
  <c r="Y6221"/>
  <c r="AB6221"/>
  <c r="AC6221"/>
  <c r="AD6221"/>
  <c r="P6222"/>
  <c r="T6222"/>
  <c r="U6222"/>
  <c r="V6222"/>
  <c r="W6222"/>
  <c r="Y6222"/>
  <c r="AB6222"/>
  <c r="AC6222"/>
  <c r="AD6222"/>
  <c r="P6223"/>
  <c r="T6223"/>
  <c r="U6223"/>
  <c r="V6223"/>
  <c r="W6223"/>
  <c r="Y6223"/>
  <c r="AB6223"/>
  <c r="AC6223"/>
  <c r="AD6223"/>
  <c r="P6224"/>
  <c r="T6224"/>
  <c r="U6224"/>
  <c r="V6224"/>
  <c r="W6224"/>
  <c r="Y6224"/>
  <c r="AB6224"/>
  <c r="AC6224"/>
  <c r="AD6224"/>
  <c r="P6225"/>
  <c r="T6225"/>
  <c r="U6225"/>
  <c r="V6225"/>
  <c r="W6225"/>
  <c r="Y6225"/>
  <c r="AB6225"/>
  <c r="AC6225"/>
  <c r="AD6225"/>
  <c r="P6226"/>
  <c r="T6226"/>
  <c r="U6226"/>
  <c r="V6226"/>
  <c r="W6226"/>
  <c r="Y6226"/>
  <c r="AB6226"/>
  <c r="AC6226"/>
  <c r="AD6226"/>
  <c r="P6227"/>
  <c r="T6227"/>
  <c r="U6227"/>
  <c r="V6227"/>
  <c r="W6227"/>
  <c r="Y6227"/>
  <c r="AB6227"/>
  <c r="AC6227"/>
  <c r="AD6227"/>
  <c r="P6228"/>
  <c r="T6228"/>
  <c r="U6228"/>
  <c r="V6228"/>
  <c r="W6228"/>
  <c r="Y6228"/>
  <c r="AB6228"/>
  <c r="AC6228"/>
  <c r="AD6228"/>
  <c r="P6229"/>
  <c r="T6229"/>
  <c r="U6229"/>
  <c r="V6229"/>
  <c r="W6229"/>
  <c r="Y6229"/>
  <c r="AB6229"/>
  <c r="AC6229"/>
  <c r="AD6229"/>
  <c r="P6230"/>
  <c r="T6230"/>
  <c r="U6230"/>
  <c r="V6230"/>
  <c r="W6230"/>
  <c r="Y6230"/>
  <c r="AB6230"/>
  <c r="AC6230"/>
  <c r="AD6230"/>
  <c r="P6231"/>
  <c r="T6231"/>
  <c r="U6231"/>
  <c r="V6231"/>
  <c r="W6231"/>
  <c r="Y6231"/>
  <c r="AB6231"/>
  <c r="AC6231"/>
  <c r="AD6231"/>
  <c r="P6232"/>
  <c r="T6232"/>
  <c r="U6232"/>
  <c r="V6232"/>
  <c r="W6232"/>
  <c r="Y6232"/>
  <c r="AB6232"/>
  <c r="AC6232"/>
  <c r="AD6232"/>
  <c r="P6233"/>
  <c r="T6233"/>
  <c r="U6233"/>
  <c r="V6233"/>
  <c r="W6233"/>
  <c r="Y6233"/>
  <c r="AB6233"/>
  <c r="AC6233"/>
  <c r="AD6233"/>
  <c r="P6234"/>
  <c r="T6234"/>
  <c r="U6234"/>
  <c r="V6234"/>
  <c r="W6234"/>
  <c r="Y6234"/>
  <c r="AB6234"/>
  <c r="AC6234"/>
  <c r="AD6234"/>
  <c r="P6235"/>
  <c r="T6235"/>
  <c r="U6235"/>
  <c r="V6235"/>
  <c r="W6235"/>
  <c r="Y6235"/>
  <c r="AB6235"/>
  <c r="AC6235"/>
  <c r="AD6235"/>
  <c r="P6236"/>
  <c r="T6236"/>
  <c r="U6236"/>
  <c r="V6236"/>
  <c r="W6236"/>
  <c r="Y6236"/>
  <c r="AB6236"/>
  <c r="AC6236"/>
  <c r="AD6236"/>
  <c r="P6237"/>
  <c r="T6237"/>
  <c r="U6237"/>
  <c r="V6237"/>
  <c r="W6237"/>
  <c r="Y6237"/>
  <c r="AB6237"/>
  <c r="AC6237"/>
  <c r="AD6237"/>
  <c r="P6238"/>
  <c r="T6238"/>
  <c r="U6238"/>
  <c r="V6238"/>
  <c r="W6238"/>
  <c r="Y6238"/>
  <c r="AB6238"/>
  <c r="AC6238"/>
  <c r="AD6238"/>
  <c r="P6239"/>
  <c r="T6239"/>
  <c r="U6239"/>
  <c r="V6239"/>
  <c r="W6239"/>
  <c r="Y6239"/>
  <c r="AB6239"/>
  <c r="AC6239"/>
  <c r="AD6239"/>
  <c r="P6240"/>
  <c r="T6240"/>
  <c r="U6240"/>
  <c r="V6240"/>
  <c r="W6240"/>
  <c r="Y6240"/>
  <c r="AB6240"/>
  <c r="AC6240"/>
  <c r="AD6240"/>
  <c r="P6241"/>
  <c r="T6241"/>
  <c r="U6241"/>
  <c r="V6241"/>
  <c r="W6241"/>
  <c r="Y6241"/>
  <c r="AB6241"/>
  <c r="AC6241"/>
  <c r="AD6241"/>
  <c r="P6242"/>
  <c r="T6242"/>
  <c r="U6242"/>
  <c r="V6242"/>
  <c r="W6242"/>
  <c r="Y6242"/>
  <c r="AB6242"/>
  <c r="AC6242"/>
  <c r="AD6242"/>
  <c r="P6243"/>
  <c r="T6243"/>
  <c r="U6243"/>
  <c r="V6243"/>
  <c r="W6243"/>
  <c r="Y6243"/>
  <c r="AB6243"/>
  <c r="AC6243"/>
  <c r="AD6243"/>
  <c r="P6244"/>
  <c r="T6244"/>
  <c r="U6244"/>
  <c r="V6244"/>
  <c r="W6244"/>
  <c r="Y6244"/>
  <c r="AB6244"/>
  <c r="AC6244"/>
  <c r="AD6244"/>
  <c r="P6245"/>
  <c r="T6245"/>
  <c r="U6245"/>
  <c r="V6245"/>
  <c r="W6245"/>
  <c r="Y6245"/>
  <c r="AB6245"/>
  <c r="AC6245"/>
  <c r="AD6245"/>
  <c r="P6246"/>
  <c r="T6246"/>
  <c r="U6246"/>
  <c r="V6246"/>
  <c r="W6246"/>
  <c r="Y6246"/>
  <c r="AB6246"/>
  <c r="AC6246"/>
  <c r="AD6246"/>
  <c r="P6247"/>
  <c r="T6247"/>
  <c r="U6247"/>
  <c r="V6247"/>
  <c r="W6247"/>
  <c r="Y6247"/>
  <c r="AB6247"/>
  <c r="AC6247"/>
  <c r="AD6247"/>
  <c r="P6248"/>
  <c r="T6248"/>
  <c r="U6248"/>
  <c r="V6248"/>
  <c r="W6248"/>
  <c r="Y6248"/>
  <c r="AB6248"/>
  <c r="AC6248"/>
  <c r="AD6248"/>
  <c r="P6249"/>
  <c r="T6249"/>
  <c r="U6249"/>
  <c r="V6249"/>
  <c r="W6249"/>
  <c r="Y6249"/>
  <c r="AB6249"/>
  <c r="AC6249"/>
  <c r="AD6249"/>
  <c r="P6250"/>
  <c r="T6250"/>
  <c r="U6250"/>
  <c r="V6250"/>
  <c r="W6250"/>
  <c r="Y6250"/>
  <c r="AB6250"/>
  <c r="AC6250"/>
  <c r="AD6250"/>
  <c r="P6251"/>
  <c r="T6251"/>
  <c r="U6251"/>
  <c r="V6251"/>
  <c r="W6251"/>
  <c r="Y6251"/>
  <c r="AB6251"/>
  <c r="AC6251"/>
  <c r="AD6251"/>
  <c r="P6252"/>
  <c r="T6252"/>
  <c r="U6252"/>
  <c r="V6252"/>
  <c r="W6252"/>
  <c r="Y6252"/>
  <c r="AB6252"/>
  <c r="AC6252"/>
  <c r="AD6252"/>
  <c r="P6253"/>
  <c r="T6253"/>
  <c r="U6253"/>
  <c r="V6253"/>
  <c r="W6253"/>
  <c r="Y6253"/>
  <c r="AB6253"/>
  <c r="AC6253"/>
  <c r="AD6253"/>
  <c r="P6254"/>
  <c r="T6254"/>
  <c r="U6254"/>
  <c r="V6254"/>
  <c r="W6254"/>
  <c r="Y6254"/>
  <c r="AB6254"/>
  <c r="AC6254"/>
  <c r="AD6254"/>
  <c r="P6255"/>
  <c r="T6255"/>
  <c r="U6255"/>
  <c r="V6255"/>
  <c r="W6255"/>
  <c r="Y6255"/>
  <c r="AB6255"/>
  <c r="AC6255"/>
  <c r="AD6255"/>
  <c r="P6256"/>
  <c r="T6256"/>
  <c r="U6256"/>
  <c r="V6256"/>
  <c r="W6256"/>
  <c r="Y6256"/>
  <c r="AB6256"/>
  <c r="AC6256"/>
  <c r="AD6256"/>
  <c r="P6257"/>
  <c r="T6257"/>
  <c r="U6257"/>
  <c r="V6257"/>
  <c r="W6257"/>
  <c r="Y6257"/>
  <c r="AB6257"/>
  <c r="AC6257"/>
  <c r="AD6257"/>
  <c r="P6258"/>
  <c r="T6258"/>
  <c r="U6258"/>
  <c r="V6258"/>
  <c r="W6258"/>
  <c r="Y6258"/>
  <c r="AB6258"/>
  <c r="AC6258"/>
  <c r="AD6258"/>
  <c r="P6259"/>
  <c r="T6259"/>
  <c r="U6259"/>
  <c r="V6259"/>
  <c r="W6259"/>
  <c r="Y6259"/>
  <c r="AB6259"/>
  <c r="AC6259"/>
  <c r="AD6259"/>
  <c r="P6260"/>
  <c r="T6260"/>
  <c r="U6260"/>
  <c r="V6260"/>
  <c r="W6260"/>
  <c r="Y6260"/>
  <c r="AB6260"/>
  <c r="AC6260"/>
  <c r="AD6260"/>
  <c r="P6261"/>
  <c r="T6261"/>
  <c r="U6261"/>
  <c r="V6261"/>
  <c r="W6261"/>
  <c r="Y6261"/>
  <c r="AB6261"/>
  <c r="AC6261"/>
  <c r="AD6261"/>
  <c r="P6262"/>
  <c r="T6262"/>
  <c r="U6262"/>
  <c r="V6262"/>
  <c r="W6262"/>
  <c r="Y6262"/>
  <c r="AB6262"/>
  <c r="AC6262"/>
  <c r="AD6262"/>
  <c r="P6263"/>
  <c r="T6263"/>
  <c r="U6263"/>
  <c r="V6263"/>
  <c r="W6263"/>
  <c r="Y6263"/>
  <c r="AB6263"/>
  <c r="AC6263"/>
  <c r="AD6263"/>
  <c r="P6264"/>
  <c r="T6264"/>
  <c r="U6264"/>
  <c r="V6264"/>
  <c r="W6264"/>
  <c r="Y6264"/>
  <c r="AB6264"/>
  <c r="AC6264"/>
  <c r="AD6264"/>
  <c r="P6265"/>
  <c r="T6265"/>
  <c r="U6265"/>
  <c r="V6265"/>
  <c r="W6265"/>
  <c r="Y6265"/>
  <c r="AB6265"/>
  <c r="AC6265"/>
  <c r="AD6265"/>
  <c r="P6266"/>
  <c r="T6266"/>
  <c r="U6266"/>
  <c r="V6266"/>
  <c r="W6266"/>
  <c r="Y6266"/>
  <c r="AB6266"/>
  <c r="AC6266"/>
  <c r="AD6266"/>
  <c r="P6267"/>
  <c r="T6267"/>
  <c r="U6267"/>
  <c r="V6267"/>
  <c r="W6267"/>
  <c r="Y6267"/>
  <c r="AB6267"/>
  <c r="AC6267"/>
  <c r="AD6267"/>
  <c r="P6268"/>
  <c r="T6268"/>
  <c r="U6268"/>
  <c r="V6268"/>
  <c r="W6268"/>
  <c r="Y6268"/>
  <c r="AB6268"/>
  <c r="AC6268"/>
  <c r="AD6268"/>
  <c r="P6269"/>
  <c r="T6269"/>
  <c r="U6269"/>
  <c r="V6269"/>
  <c r="W6269"/>
  <c r="Y6269"/>
  <c r="AB6269"/>
  <c r="AC6269"/>
  <c r="AD6269"/>
  <c r="P6270"/>
  <c r="T6270"/>
  <c r="U6270"/>
  <c r="V6270"/>
  <c r="W6270"/>
  <c r="Y6270"/>
  <c r="AB6270"/>
  <c r="AC6270"/>
  <c r="AD6270"/>
  <c r="P6271"/>
  <c r="T6271"/>
  <c r="U6271"/>
  <c r="V6271"/>
  <c r="W6271"/>
  <c r="Y6271"/>
  <c r="AB6271"/>
  <c r="AC6271"/>
  <c r="AD6271"/>
  <c r="P6272"/>
  <c r="T6272"/>
  <c r="U6272"/>
  <c r="V6272"/>
  <c r="W6272"/>
  <c r="Y6272"/>
  <c r="AB6272"/>
  <c r="AC6272"/>
  <c r="AD6272"/>
  <c r="P6273"/>
  <c r="T6273"/>
  <c r="U6273"/>
  <c r="V6273"/>
  <c r="W6273"/>
  <c r="Y6273"/>
  <c r="AB6273"/>
  <c r="AC6273"/>
  <c r="AD6273"/>
  <c r="P6274"/>
  <c r="T6274"/>
  <c r="U6274"/>
  <c r="V6274"/>
  <c r="W6274"/>
  <c r="Y6274"/>
  <c r="AB6274"/>
  <c r="AC6274"/>
  <c r="AD6274"/>
  <c r="P6275"/>
  <c r="T6275"/>
  <c r="U6275"/>
  <c r="V6275"/>
  <c r="W6275"/>
  <c r="Y6275"/>
  <c r="AB6275"/>
  <c r="AC6275"/>
  <c r="AD6275"/>
  <c r="P6276"/>
  <c r="T6276"/>
  <c r="U6276"/>
  <c r="V6276"/>
  <c r="W6276"/>
  <c r="Y6276"/>
  <c r="AB6276"/>
  <c r="AC6276"/>
  <c r="AD6276"/>
  <c r="P6277"/>
  <c r="T6277"/>
  <c r="U6277"/>
  <c r="V6277"/>
  <c r="W6277"/>
  <c r="Y6277"/>
  <c r="AB6277"/>
  <c r="AC6277"/>
  <c r="AD6277"/>
  <c r="P6278"/>
  <c r="T6278"/>
  <c r="U6278"/>
  <c r="V6278"/>
  <c r="W6278"/>
  <c r="Y6278"/>
  <c r="AB6278"/>
  <c r="AC6278"/>
  <c r="AD6278"/>
  <c r="P6279"/>
  <c r="T6279"/>
  <c r="U6279"/>
  <c r="V6279"/>
  <c r="W6279"/>
  <c r="Y6279"/>
  <c r="AB6279"/>
  <c r="AC6279"/>
  <c r="AD6279"/>
  <c r="P6280"/>
  <c r="T6280"/>
  <c r="U6280"/>
  <c r="V6280"/>
  <c r="W6280"/>
  <c r="Y6280"/>
  <c r="AB6280"/>
  <c r="AC6280"/>
  <c r="AD6280"/>
  <c r="P6281"/>
  <c r="T6281"/>
  <c r="U6281"/>
  <c r="V6281"/>
  <c r="W6281"/>
  <c r="Y6281"/>
  <c r="AB6281"/>
  <c r="AC6281"/>
  <c r="AD6281"/>
  <c r="P6282"/>
  <c r="T6282"/>
  <c r="U6282"/>
  <c r="V6282"/>
  <c r="W6282"/>
  <c r="Y6282"/>
  <c r="AB6282"/>
  <c r="AC6282"/>
  <c r="AD6282"/>
  <c r="P6283"/>
  <c r="T6283"/>
  <c r="U6283"/>
  <c r="V6283"/>
  <c r="W6283"/>
  <c r="Y6283"/>
  <c r="AB6283"/>
  <c r="AC6283"/>
  <c r="AD6283"/>
  <c r="P6284"/>
  <c r="T6284"/>
  <c r="U6284"/>
  <c r="V6284"/>
  <c r="W6284"/>
  <c r="Y6284"/>
  <c r="AB6284"/>
  <c r="AC6284"/>
  <c r="AD6284"/>
  <c r="P6285"/>
  <c r="T6285"/>
  <c r="U6285"/>
  <c r="V6285"/>
  <c r="W6285"/>
  <c r="Y6285"/>
  <c r="AB6285"/>
  <c r="AC6285"/>
  <c r="AD6285"/>
  <c r="P6286"/>
  <c r="T6286"/>
  <c r="U6286"/>
  <c r="V6286"/>
  <c r="W6286"/>
  <c r="Y6286"/>
  <c r="AB6286"/>
  <c r="AC6286"/>
  <c r="AD6286"/>
  <c r="P6287"/>
  <c r="T6287"/>
  <c r="U6287"/>
  <c r="V6287"/>
  <c r="W6287"/>
  <c r="Y6287"/>
  <c r="AB6287"/>
  <c r="AC6287"/>
  <c r="AD6287"/>
  <c r="P6288"/>
  <c r="T6288"/>
  <c r="U6288"/>
  <c r="V6288"/>
  <c r="W6288"/>
  <c r="Y6288"/>
  <c r="AB6288"/>
  <c r="AC6288"/>
  <c r="AD6288"/>
  <c r="P6289"/>
  <c r="T6289"/>
  <c r="U6289"/>
  <c r="V6289"/>
  <c r="W6289"/>
  <c r="Y6289"/>
  <c r="AB6289"/>
  <c r="AC6289"/>
  <c r="AD6289"/>
  <c r="P6290"/>
  <c r="T6290"/>
  <c r="U6290"/>
  <c r="V6290"/>
  <c r="W6290"/>
  <c r="Y6290"/>
  <c r="AB6290"/>
  <c r="AC6290"/>
  <c r="AD6290"/>
  <c r="P6291"/>
  <c r="T6291"/>
  <c r="U6291"/>
  <c r="V6291"/>
  <c r="W6291"/>
  <c r="Y6291"/>
  <c r="AB6291"/>
  <c r="AC6291"/>
  <c r="AD6291"/>
  <c r="P6292"/>
  <c r="T6292"/>
  <c r="U6292"/>
  <c r="V6292"/>
  <c r="W6292"/>
  <c r="Y6292"/>
  <c r="AB6292"/>
  <c r="AC6292"/>
  <c r="AD6292"/>
  <c r="P6293"/>
  <c r="T6293"/>
  <c r="U6293"/>
  <c r="V6293"/>
  <c r="W6293"/>
  <c r="Y6293"/>
  <c r="AB6293"/>
  <c r="AC6293"/>
  <c r="AD6293"/>
  <c r="P6294"/>
  <c r="T6294"/>
  <c r="U6294"/>
  <c r="V6294"/>
  <c r="W6294"/>
  <c r="Y6294"/>
  <c r="AB6294"/>
  <c r="AC6294"/>
  <c r="AD6294"/>
  <c r="P6295"/>
  <c r="T6295"/>
  <c r="U6295"/>
  <c r="V6295"/>
  <c r="W6295"/>
  <c r="Y6295"/>
  <c r="AB6295"/>
  <c r="AC6295"/>
  <c r="AD6295"/>
  <c r="P6296"/>
  <c r="T6296"/>
  <c r="U6296"/>
  <c r="V6296"/>
  <c r="W6296"/>
  <c r="Y6296"/>
  <c r="AB6296"/>
  <c r="AC6296"/>
  <c r="AD6296"/>
  <c r="P6297"/>
  <c r="T6297"/>
  <c r="U6297"/>
  <c r="V6297"/>
  <c r="W6297"/>
  <c r="Y6297"/>
  <c r="AB6297"/>
  <c r="AC6297"/>
  <c r="AD6297"/>
  <c r="P6298"/>
  <c r="T6298"/>
  <c r="U6298"/>
  <c r="V6298"/>
  <c r="W6298"/>
  <c r="Y6298"/>
  <c r="AB6298"/>
  <c r="AC6298"/>
  <c r="AD6298"/>
  <c r="P6299"/>
  <c r="T6299"/>
  <c r="U6299"/>
  <c r="V6299"/>
  <c r="W6299"/>
  <c r="Y6299"/>
  <c r="AB6299"/>
  <c r="AC6299"/>
  <c r="AD6299"/>
  <c r="P6300"/>
  <c r="T6300"/>
  <c r="U6300"/>
  <c r="V6300"/>
  <c r="W6300"/>
  <c r="Y6300"/>
  <c r="AB6300"/>
  <c r="AC6300"/>
  <c r="AD6300"/>
  <c r="P6301"/>
  <c r="T6301"/>
  <c r="U6301"/>
  <c r="V6301"/>
  <c r="W6301"/>
  <c r="Y6301"/>
  <c r="AB6301"/>
  <c r="AC6301"/>
  <c r="AD6301"/>
  <c r="P6302"/>
  <c r="T6302"/>
  <c r="U6302"/>
  <c r="V6302"/>
  <c r="W6302"/>
  <c r="Y6302"/>
  <c r="AB6302"/>
  <c r="AC6302"/>
  <c r="AD6302"/>
  <c r="P6303"/>
  <c r="T6303"/>
  <c r="U6303"/>
  <c r="V6303"/>
  <c r="W6303"/>
  <c r="Y6303"/>
  <c r="AB6303"/>
  <c r="AC6303"/>
  <c r="AD6303"/>
  <c r="P6304"/>
  <c r="T6304"/>
  <c r="U6304"/>
  <c r="V6304"/>
  <c r="W6304"/>
  <c r="Y6304"/>
  <c r="AB6304"/>
  <c r="AC6304"/>
  <c r="AD6304"/>
  <c r="P6305"/>
  <c r="T6305"/>
  <c r="U6305"/>
  <c r="V6305"/>
  <c r="W6305"/>
  <c r="Y6305"/>
  <c r="AB6305"/>
  <c r="AC6305"/>
  <c r="AD6305"/>
  <c r="P6306"/>
  <c r="T6306"/>
  <c r="U6306"/>
  <c r="V6306"/>
  <c r="W6306"/>
  <c r="Y6306"/>
  <c r="AB6306"/>
  <c r="AC6306"/>
  <c r="AD6306"/>
  <c r="P6307"/>
  <c r="T6307"/>
  <c r="U6307"/>
  <c r="V6307"/>
  <c r="W6307"/>
  <c r="Y6307"/>
  <c r="AB6307"/>
  <c r="AC6307"/>
  <c r="AD6307"/>
  <c r="P6308"/>
  <c r="T6308"/>
  <c r="U6308"/>
  <c r="V6308"/>
  <c r="W6308"/>
  <c r="Y6308"/>
  <c r="AB6308"/>
  <c r="AC6308"/>
  <c r="AD6308"/>
  <c r="P6309"/>
  <c r="T6309"/>
  <c r="U6309"/>
  <c r="V6309"/>
  <c r="W6309"/>
  <c r="Y6309"/>
  <c r="AB6309"/>
  <c r="AC6309"/>
  <c r="AD6309"/>
  <c r="P6310"/>
  <c r="T6310"/>
  <c r="U6310"/>
  <c r="V6310"/>
  <c r="W6310"/>
  <c r="Y6310"/>
  <c r="AB6310"/>
  <c r="AC6310"/>
  <c r="AD6310"/>
  <c r="P6311"/>
  <c r="T6311"/>
  <c r="U6311"/>
  <c r="V6311"/>
  <c r="W6311"/>
  <c r="Y6311"/>
  <c r="AB6311"/>
  <c r="AC6311"/>
  <c r="AD6311"/>
  <c r="P6312"/>
  <c r="T6312"/>
  <c r="U6312"/>
  <c r="V6312"/>
  <c r="W6312"/>
  <c r="Y6312"/>
  <c r="AB6312"/>
  <c r="AC6312"/>
  <c r="AD6312"/>
  <c r="P6313"/>
  <c r="T6313"/>
  <c r="U6313"/>
  <c r="V6313"/>
  <c r="W6313"/>
  <c r="Y6313"/>
  <c r="AB6313"/>
  <c r="AC6313"/>
  <c r="AD6313"/>
  <c r="P6314"/>
  <c r="T6314"/>
  <c r="U6314"/>
  <c r="V6314"/>
  <c r="W6314"/>
  <c r="Y6314"/>
  <c r="AB6314"/>
  <c r="AC6314"/>
  <c r="AD6314"/>
  <c r="P6315"/>
  <c r="T6315"/>
  <c r="U6315"/>
  <c r="V6315"/>
  <c r="W6315"/>
  <c r="Y6315"/>
  <c r="AB6315"/>
  <c r="AC6315"/>
  <c r="AD6315"/>
  <c r="P6316"/>
  <c r="T6316"/>
  <c r="U6316"/>
  <c r="V6316"/>
  <c r="W6316"/>
  <c r="Y6316"/>
  <c r="AB6316"/>
  <c r="AC6316"/>
  <c r="AD6316"/>
  <c r="P6317"/>
  <c r="T6317"/>
  <c r="U6317"/>
  <c r="V6317"/>
  <c r="W6317"/>
  <c r="Y6317"/>
  <c r="AB6317"/>
  <c r="AC6317"/>
  <c r="AD6317"/>
  <c r="P6318"/>
  <c r="T6318"/>
  <c r="U6318"/>
  <c r="V6318"/>
  <c r="W6318"/>
  <c r="Y6318"/>
  <c r="AB6318"/>
  <c r="AC6318"/>
  <c r="AD6318"/>
  <c r="P6319"/>
  <c r="T6319"/>
  <c r="U6319"/>
  <c r="V6319"/>
  <c r="W6319"/>
  <c r="Y6319"/>
  <c r="AB6319"/>
  <c r="AC6319"/>
  <c r="AD6319"/>
  <c r="P6320"/>
  <c r="T6320"/>
  <c r="U6320"/>
  <c r="V6320"/>
  <c r="W6320"/>
  <c r="Y6320"/>
  <c r="AB6320"/>
  <c r="AC6320"/>
  <c r="AD6320"/>
  <c r="P6321"/>
  <c r="T6321"/>
  <c r="U6321"/>
  <c r="V6321"/>
  <c r="W6321"/>
  <c r="Y6321"/>
  <c r="AB6321"/>
  <c r="AC6321"/>
  <c r="AD6321"/>
  <c r="P6322"/>
  <c r="T6322"/>
  <c r="U6322"/>
  <c r="V6322"/>
  <c r="W6322"/>
  <c r="Y6322"/>
  <c r="AB6322"/>
  <c r="AC6322"/>
  <c r="AD6322"/>
  <c r="P6323"/>
  <c r="T6323"/>
  <c r="U6323"/>
  <c r="V6323"/>
  <c r="W6323"/>
  <c r="Y6323"/>
  <c r="AB6323"/>
  <c r="AC6323"/>
  <c r="AD6323"/>
  <c r="P6324"/>
  <c r="T6324"/>
  <c r="U6324"/>
  <c r="V6324"/>
  <c r="W6324"/>
  <c r="Y6324"/>
  <c r="AB6324"/>
  <c r="AC6324"/>
  <c r="AD6324"/>
  <c r="P6325"/>
  <c r="T6325"/>
  <c r="U6325"/>
  <c r="V6325"/>
  <c r="W6325"/>
  <c r="Y6325"/>
  <c r="AB6325"/>
  <c r="AC6325"/>
  <c r="AD6325"/>
  <c r="P6326"/>
  <c r="T6326"/>
  <c r="U6326"/>
  <c r="V6326"/>
  <c r="W6326"/>
  <c r="Y6326"/>
  <c r="AB6326"/>
  <c r="AC6326"/>
  <c r="AD6326"/>
  <c r="P6327"/>
  <c r="T6327"/>
  <c r="U6327"/>
  <c r="V6327"/>
  <c r="W6327"/>
  <c r="Y6327"/>
  <c r="AB6327"/>
  <c r="AC6327"/>
  <c r="AD6327"/>
  <c r="P6328"/>
  <c r="T6328"/>
  <c r="U6328"/>
  <c r="V6328"/>
  <c r="W6328"/>
  <c r="Y6328"/>
  <c r="AB6328"/>
  <c r="AC6328"/>
  <c r="AD6328"/>
  <c r="P6329"/>
  <c r="T6329"/>
  <c r="U6329"/>
  <c r="V6329"/>
  <c r="W6329"/>
  <c r="Y6329"/>
  <c r="AB6329"/>
  <c r="AC6329"/>
  <c r="AD6329"/>
  <c r="P6330"/>
  <c r="T6330"/>
  <c r="U6330"/>
  <c r="V6330"/>
  <c r="W6330"/>
  <c r="Y6330"/>
  <c r="AB6330"/>
  <c r="AC6330"/>
  <c r="AD6330"/>
  <c r="P6331"/>
  <c r="T6331"/>
  <c r="U6331"/>
  <c r="V6331"/>
  <c r="W6331"/>
  <c r="Y6331"/>
  <c r="AB6331"/>
  <c r="AC6331"/>
  <c r="AD6331"/>
  <c r="P6332"/>
  <c r="T6332"/>
  <c r="U6332"/>
  <c r="V6332"/>
  <c r="W6332"/>
  <c r="Y6332"/>
  <c r="AB6332"/>
  <c r="AC6332"/>
  <c r="AD6332"/>
  <c r="P6333"/>
  <c r="T6333"/>
  <c r="U6333"/>
  <c r="V6333"/>
  <c r="W6333"/>
  <c r="Y6333"/>
  <c r="AB6333"/>
  <c r="AC6333"/>
  <c r="AD6333"/>
  <c r="P6334"/>
  <c r="T6334"/>
  <c r="U6334"/>
  <c r="V6334"/>
  <c r="W6334"/>
  <c r="Y6334"/>
  <c r="AB6334"/>
  <c r="AC6334"/>
  <c r="AD6334"/>
  <c r="P6335"/>
  <c r="T6335"/>
  <c r="U6335"/>
  <c r="V6335"/>
  <c r="W6335"/>
  <c r="Y6335"/>
  <c r="AB6335"/>
  <c r="AC6335"/>
  <c r="AD6335"/>
  <c r="P6336"/>
  <c r="T6336"/>
  <c r="U6336"/>
  <c r="V6336"/>
  <c r="W6336"/>
  <c r="Y6336"/>
  <c r="AB6336"/>
  <c r="AC6336"/>
  <c r="AD6336"/>
  <c r="P6337"/>
  <c r="T6337"/>
  <c r="U6337"/>
  <c r="V6337"/>
  <c r="W6337"/>
  <c r="Y6337"/>
  <c r="AB6337"/>
  <c r="AC6337"/>
  <c r="AD6337"/>
  <c r="P6338"/>
  <c r="T6338"/>
  <c r="U6338"/>
  <c r="V6338"/>
  <c r="W6338"/>
  <c r="Y6338"/>
  <c r="AB6338"/>
  <c r="AC6338"/>
  <c r="AD6338"/>
  <c r="P6339"/>
  <c r="T6339"/>
  <c r="U6339"/>
  <c r="V6339"/>
  <c r="W6339"/>
  <c r="Y6339"/>
  <c r="AB6339"/>
  <c r="AC6339"/>
  <c r="AD6339"/>
  <c r="P6340"/>
  <c r="T6340"/>
  <c r="U6340"/>
  <c r="V6340"/>
  <c r="W6340"/>
  <c r="Y6340"/>
  <c r="AB6340"/>
  <c r="AC6340"/>
  <c r="AD6340"/>
  <c r="P6341"/>
  <c r="T6341"/>
  <c r="U6341"/>
  <c r="V6341"/>
  <c r="W6341"/>
  <c r="Y6341"/>
  <c r="AB6341"/>
  <c r="AC6341"/>
  <c r="AD6341"/>
  <c r="P6342"/>
  <c r="T6342"/>
  <c r="U6342"/>
  <c r="V6342"/>
  <c r="W6342"/>
  <c r="Y6342"/>
  <c r="AB6342"/>
  <c r="AC6342"/>
  <c r="AD6342"/>
  <c r="P6343"/>
  <c r="T6343"/>
  <c r="U6343"/>
  <c r="V6343"/>
  <c r="W6343"/>
  <c r="Y6343"/>
  <c r="AB6343"/>
  <c r="AC6343"/>
  <c r="AD6343"/>
  <c r="P6344"/>
  <c r="T6344"/>
  <c r="U6344"/>
  <c r="V6344"/>
  <c r="W6344"/>
  <c r="Y6344"/>
  <c r="AB6344"/>
  <c r="AC6344"/>
  <c r="AD6344"/>
  <c r="P6345"/>
  <c r="T6345"/>
  <c r="U6345"/>
  <c r="V6345"/>
  <c r="W6345"/>
  <c r="Y6345"/>
  <c r="AB6345"/>
  <c r="AC6345"/>
  <c r="AD6345"/>
  <c r="P6346"/>
  <c r="T6346"/>
  <c r="U6346"/>
  <c r="V6346"/>
  <c r="W6346"/>
  <c r="Y6346"/>
  <c r="AB6346"/>
  <c r="AC6346"/>
  <c r="AD6346"/>
  <c r="P6347"/>
  <c r="T6347"/>
  <c r="U6347"/>
  <c r="V6347"/>
  <c r="W6347"/>
  <c r="Y6347"/>
  <c r="AB6347"/>
  <c r="AC6347"/>
  <c r="AD6347"/>
  <c r="P6348"/>
  <c r="T6348"/>
  <c r="U6348"/>
  <c r="V6348"/>
  <c r="W6348"/>
  <c r="Y6348"/>
  <c r="AB6348"/>
  <c r="AC6348"/>
  <c r="AD6348"/>
  <c r="P6349"/>
  <c r="T6349"/>
  <c r="U6349"/>
  <c r="V6349"/>
  <c r="W6349"/>
  <c r="Y6349"/>
  <c r="AB6349"/>
  <c r="AC6349"/>
  <c r="AD6349"/>
  <c r="P6350"/>
  <c r="T6350"/>
  <c r="U6350"/>
  <c r="V6350"/>
  <c r="W6350"/>
  <c r="Y6350"/>
  <c r="AB6350"/>
  <c r="AC6350"/>
  <c r="AD6350"/>
  <c r="P6351"/>
  <c r="T6351"/>
  <c r="U6351"/>
  <c r="V6351"/>
  <c r="W6351"/>
  <c r="Y6351"/>
  <c r="AB6351"/>
  <c r="AC6351"/>
  <c r="AD6351"/>
  <c r="P6352"/>
  <c r="T6352"/>
  <c r="U6352"/>
  <c r="V6352"/>
  <c r="W6352"/>
  <c r="Y6352"/>
  <c r="AB6352"/>
  <c r="AC6352"/>
  <c r="AD6352"/>
  <c r="P6353"/>
  <c r="T6353"/>
  <c r="U6353"/>
  <c r="V6353"/>
  <c r="W6353"/>
  <c r="Y6353"/>
  <c r="AB6353"/>
  <c r="AC6353"/>
  <c r="AD6353"/>
  <c r="P6354"/>
  <c r="T6354"/>
  <c r="U6354"/>
  <c r="V6354"/>
  <c r="W6354"/>
  <c r="Y6354"/>
  <c r="AB6354"/>
  <c r="AC6354"/>
  <c r="AD6354"/>
  <c r="P6355"/>
  <c r="T6355"/>
  <c r="U6355"/>
  <c r="V6355"/>
  <c r="W6355"/>
  <c r="Y6355"/>
  <c r="AB6355"/>
  <c r="AC6355"/>
  <c r="AD6355"/>
  <c r="P6356"/>
  <c r="T6356"/>
  <c r="U6356"/>
  <c r="V6356"/>
  <c r="W6356"/>
  <c r="Y6356"/>
  <c r="AB6356"/>
  <c r="AC6356"/>
  <c r="AD6356"/>
  <c r="P6357"/>
  <c r="T6357"/>
  <c r="U6357"/>
  <c r="V6357"/>
  <c r="W6357"/>
  <c r="Y6357"/>
  <c r="AB6357"/>
  <c r="AC6357"/>
  <c r="AD6357"/>
  <c r="P6358"/>
  <c r="T6358"/>
  <c r="U6358"/>
  <c r="V6358"/>
  <c r="W6358"/>
  <c r="Y6358"/>
  <c r="AB6358"/>
  <c r="AC6358"/>
  <c r="AD6358"/>
  <c r="P6359"/>
  <c r="T6359"/>
  <c r="U6359"/>
  <c r="V6359"/>
  <c r="W6359"/>
  <c r="Y6359"/>
  <c r="AB6359"/>
  <c r="AC6359"/>
  <c r="AD6359"/>
  <c r="P6360"/>
  <c r="T6360"/>
  <c r="U6360"/>
  <c r="V6360"/>
  <c r="W6360"/>
  <c r="Y6360"/>
  <c r="AB6360"/>
  <c r="AC6360"/>
  <c r="AD6360"/>
  <c r="P6361"/>
  <c r="T6361"/>
  <c r="U6361"/>
  <c r="V6361"/>
  <c r="W6361"/>
  <c r="Y6361"/>
  <c r="AB6361"/>
  <c r="AC6361"/>
  <c r="AD6361"/>
  <c r="P6362"/>
  <c r="T6362"/>
  <c r="U6362"/>
  <c r="V6362"/>
  <c r="W6362"/>
  <c r="Y6362"/>
  <c r="AB6362"/>
  <c r="AC6362"/>
  <c r="AD6362"/>
  <c r="P6363"/>
  <c r="T6363"/>
  <c r="U6363"/>
  <c r="V6363"/>
  <c r="W6363"/>
  <c r="Y6363"/>
  <c r="AB6363"/>
  <c r="AC6363"/>
  <c r="AD6363"/>
  <c r="P6364"/>
  <c r="T6364"/>
  <c r="U6364"/>
  <c r="V6364"/>
  <c r="W6364"/>
  <c r="Y6364"/>
  <c r="AB6364"/>
  <c r="AC6364"/>
  <c r="AD6364"/>
  <c r="P6365"/>
  <c r="T6365"/>
  <c r="U6365"/>
  <c r="V6365"/>
  <c r="W6365"/>
  <c r="Y6365"/>
  <c r="AB6365"/>
  <c r="AC6365"/>
  <c r="AD6365"/>
  <c r="P6366"/>
  <c r="T6366"/>
  <c r="U6366"/>
  <c r="V6366"/>
  <c r="W6366"/>
  <c r="Y6366"/>
  <c r="AB6366"/>
  <c r="AC6366"/>
  <c r="AD6366"/>
  <c r="P6367"/>
  <c r="T6367"/>
  <c r="U6367"/>
  <c r="V6367"/>
  <c r="W6367"/>
  <c r="Y6367"/>
  <c r="AB6367"/>
  <c r="AC6367"/>
  <c r="AD6367"/>
  <c r="P6368"/>
  <c r="T6368"/>
  <c r="U6368"/>
  <c r="V6368"/>
  <c r="W6368"/>
  <c r="Y6368"/>
  <c r="AB6368"/>
  <c r="AC6368"/>
  <c r="AD6368"/>
  <c r="P6369"/>
  <c r="T6369"/>
  <c r="U6369"/>
  <c r="V6369"/>
  <c r="W6369"/>
  <c r="Y6369"/>
  <c r="AB6369"/>
  <c r="AC6369"/>
  <c r="AD6369"/>
  <c r="P6370"/>
  <c r="T6370"/>
  <c r="U6370"/>
  <c r="V6370"/>
  <c r="W6370"/>
  <c r="Y6370"/>
  <c r="AB6370"/>
  <c r="AC6370"/>
  <c r="AD6370"/>
  <c r="P6371"/>
  <c r="T6371"/>
  <c r="U6371"/>
  <c r="V6371"/>
  <c r="W6371"/>
  <c r="Y6371"/>
  <c r="AB6371"/>
  <c r="AC6371"/>
  <c r="AD6371"/>
  <c r="P6372"/>
  <c r="T6372"/>
  <c r="U6372"/>
  <c r="V6372"/>
  <c r="W6372"/>
  <c r="Y6372"/>
  <c r="AB6372"/>
  <c r="AC6372"/>
  <c r="AD6372"/>
  <c r="P6373"/>
  <c r="T6373"/>
  <c r="U6373"/>
  <c r="V6373"/>
  <c r="W6373"/>
  <c r="Y6373"/>
  <c r="AB6373"/>
  <c r="AC6373"/>
  <c r="AD6373"/>
  <c r="P6374"/>
  <c r="T6374"/>
  <c r="U6374"/>
  <c r="V6374"/>
  <c r="W6374"/>
  <c r="Y6374"/>
  <c r="AB6374"/>
  <c r="AC6374"/>
  <c r="AD6374"/>
  <c r="P6375"/>
  <c r="T6375"/>
  <c r="U6375"/>
  <c r="V6375"/>
  <c r="W6375"/>
  <c r="Y6375"/>
  <c r="AB6375"/>
  <c r="AC6375"/>
  <c r="AD6375"/>
  <c r="P6376"/>
  <c r="T6376"/>
  <c r="U6376"/>
  <c r="V6376"/>
  <c r="W6376"/>
  <c r="Y6376"/>
  <c r="AB6376"/>
  <c r="AC6376"/>
  <c r="AD6376"/>
  <c r="P6377"/>
  <c r="T6377"/>
  <c r="U6377"/>
  <c r="V6377"/>
  <c r="W6377"/>
  <c r="Y6377"/>
  <c r="AB6377"/>
  <c r="AC6377"/>
  <c r="AD6377"/>
  <c r="P6378"/>
  <c r="T6378"/>
  <c r="U6378"/>
  <c r="V6378"/>
  <c r="W6378"/>
  <c r="Y6378"/>
  <c r="AB6378"/>
  <c r="AC6378"/>
  <c r="AD6378"/>
  <c r="P6379"/>
  <c r="T6379"/>
  <c r="U6379"/>
  <c r="V6379"/>
  <c r="W6379"/>
  <c r="Y6379"/>
  <c r="AB6379"/>
  <c r="AC6379"/>
  <c r="AD6379"/>
  <c r="P6380"/>
  <c r="T6380"/>
  <c r="U6380"/>
  <c r="V6380"/>
  <c r="W6380"/>
  <c r="Y6380"/>
  <c r="AB6380"/>
  <c r="AC6380"/>
  <c r="AD6380"/>
  <c r="P6381"/>
  <c r="T6381"/>
  <c r="U6381"/>
  <c r="V6381"/>
  <c r="W6381"/>
  <c r="Y6381"/>
  <c r="AB6381"/>
  <c r="AC6381"/>
  <c r="AD6381"/>
  <c r="P6382"/>
  <c r="T6382"/>
  <c r="U6382"/>
  <c r="V6382"/>
  <c r="W6382"/>
  <c r="Y6382"/>
  <c r="AB6382"/>
  <c r="AC6382"/>
  <c r="AD6382"/>
  <c r="P6383"/>
  <c r="T6383"/>
  <c r="U6383"/>
  <c r="V6383"/>
  <c r="W6383"/>
  <c r="Y6383"/>
  <c r="AB6383"/>
  <c r="AC6383"/>
  <c r="AD6383"/>
  <c r="P6384"/>
  <c r="T6384"/>
  <c r="U6384"/>
  <c r="V6384"/>
  <c r="W6384"/>
  <c r="Y6384"/>
  <c r="AB6384"/>
  <c r="AC6384"/>
  <c r="AD6384"/>
  <c r="P6385"/>
  <c r="T6385"/>
  <c r="U6385"/>
  <c r="V6385"/>
  <c r="W6385"/>
  <c r="Y6385"/>
  <c r="AB6385"/>
  <c r="AC6385"/>
  <c r="AD6385"/>
  <c r="P6386"/>
  <c r="T6386"/>
  <c r="U6386"/>
  <c r="V6386"/>
  <c r="W6386"/>
  <c r="Y6386"/>
  <c r="AB6386"/>
  <c r="AC6386"/>
  <c r="AD6386"/>
  <c r="P6387"/>
  <c r="T6387"/>
  <c r="U6387"/>
  <c r="V6387"/>
  <c r="W6387"/>
  <c r="Y6387"/>
  <c r="AB6387"/>
  <c r="AC6387"/>
  <c r="AD6387"/>
  <c r="P6388"/>
  <c r="T6388"/>
  <c r="U6388"/>
  <c r="V6388"/>
  <c r="W6388"/>
  <c r="Y6388"/>
  <c r="AB6388"/>
  <c r="AC6388"/>
  <c r="AD6388"/>
  <c r="P6389"/>
  <c r="T6389"/>
  <c r="U6389"/>
  <c r="V6389"/>
  <c r="W6389"/>
  <c r="Y6389"/>
  <c r="AB6389"/>
  <c r="AC6389"/>
  <c r="AD6389"/>
  <c r="P6390"/>
  <c r="T6390"/>
  <c r="U6390"/>
  <c r="V6390"/>
  <c r="W6390"/>
  <c r="Y6390"/>
  <c r="AB6390"/>
  <c r="AC6390"/>
  <c r="AD6390"/>
  <c r="P6391"/>
  <c r="T6391"/>
  <c r="U6391"/>
  <c r="V6391"/>
  <c r="W6391"/>
  <c r="Y6391"/>
  <c r="AB6391"/>
  <c r="AC6391"/>
  <c r="AD6391"/>
  <c r="P6392"/>
  <c r="T6392"/>
  <c r="U6392"/>
  <c r="V6392"/>
  <c r="W6392"/>
  <c r="Y6392"/>
  <c r="AB6392"/>
  <c r="AC6392"/>
  <c r="AD6392"/>
  <c r="P6393"/>
  <c r="T6393"/>
  <c r="U6393"/>
  <c r="V6393"/>
  <c r="W6393"/>
  <c r="Y6393"/>
  <c r="AB6393"/>
  <c r="AC6393"/>
  <c r="AD6393"/>
  <c r="P6394"/>
  <c r="T6394"/>
  <c r="U6394"/>
  <c r="V6394"/>
  <c r="W6394"/>
  <c r="Y6394"/>
  <c r="AB6394"/>
  <c r="AC6394"/>
  <c r="AD6394"/>
  <c r="P6395"/>
  <c r="T6395"/>
  <c r="U6395"/>
  <c r="V6395"/>
  <c r="W6395"/>
  <c r="Y6395"/>
  <c r="AB6395"/>
  <c r="AC6395"/>
  <c r="AD6395"/>
  <c r="P6396"/>
  <c r="T6396"/>
  <c r="U6396"/>
  <c r="V6396"/>
  <c r="W6396"/>
  <c r="Y6396"/>
  <c r="AB6396"/>
  <c r="AC6396"/>
  <c r="AD6396"/>
  <c r="P6397"/>
  <c r="T6397"/>
  <c r="U6397"/>
  <c r="V6397"/>
  <c r="W6397"/>
  <c r="Y6397"/>
  <c r="AB6397"/>
  <c r="AC6397"/>
  <c r="AD6397"/>
  <c r="P6398"/>
  <c r="T6398"/>
  <c r="U6398"/>
  <c r="V6398"/>
  <c r="W6398"/>
  <c r="Y6398"/>
  <c r="AB6398"/>
  <c r="AC6398"/>
  <c r="AD6398"/>
  <c r="P6399"/>
  <c r="T6399"/>
  <c r="U6399"/>
  <c r="V6399"/>
  <c r="W6399"/>
  <c r="Y6399"/>
  <c r="AB6399"/>
  <c r="AC6399"/>
  <c r="AD6399"/>
  <c r="P6400"/>
  <c r="T6400"/>
  <c r="U6400"/>
  <c r="V6400"/>
  <c r="W6400"/>
  <c r="Y6400"/>
  <c r="AB6400"/>
  <c r="AC6400"/>
  <c r="AD6400"/>
  <c r="P6401"/>
  <c r="T6401"/>
  <c r="U6401"/>
  <c r="V6401"/>
  <c r="W6401"/>
  <c r="Y6401"/>
  <c r="AB6401"/>
  <c r="AC6401"/>
  <c r="AD6401"/>
  <c r="P6402"/>
  <c r="T6402"/>
  <c r="U6402"/>
  <c r="V6402"/>
  <c r="W6402"/>
  <c r="Y6402"/>
  <c r="AB6402"/>
  <c r="AC6402"/>
  <c r="AD6402"/>
  <c r="P6403"/>
  <c r="T6403"/>
  <c r="U6403"/>
  <c r="V6403"/>
  <c r="W6403"/>
  <c r="Y6403"/>
  <c r="AB6403"/>
  <c r="AC6403"/>
  <c r="AD6403"/>
  <c r="P6404"/>
  <c r="T6404"/>
  <c r="U6404"/>
  <c r="V6404"/>
  <c r="W6404"/>
  <c r="Y6404"/>
  <c r="AB6404"/>
  <c r="AC6404"/>
  <c r="AD6404"/>
  <c r="P6405"/>
  <c r="T6405"/>
  <c r="U6405"/>
  <c r="V6405"/>
  <c r="W6405"/>
  <c r="Y6405"/>
  <c r="AB6405"/>
  <c r="AC6405"/>
  <c r="AD6405"/>
  <c r="P6406"/>
  <c r="T6406"/>
  <c r="U6406"/>
  <c r="V6406"/>
  <c r="W6406"/>
  <c r="Y6406"/>
  <c r="AB6406"/>
  <c r="AC6406"/>
  <c r="AD6406"/>
  <c r="P6407"/>
  <c r="T6407"/>
  <c r="U6407"/>
  <c r="V6407"/>
  <c r="W6407"/>
  <c r="Y6407"/>
  <c r="AB6407"/>
  <c r="AC6407"/>
  <c r="AD6407"/>
  <c r="P6408"/>
  <c r="T6408"/>
  <c r="U6408"/>
  <c r="V6408"/>
  <c r="W6408"/>
  <c r="Y6408"/>
  <c r="AB6408"/>
  <c r="AC6408"/>
  <c r="AD6408"/>
  <c r="P6409"/>
  <c r="T6409"/>
  <c r="U6409"/>
  <c r="V6409"/>
  <c r="W6409"/>
  <c r="Y6409"/>
  <c r="AB6409"/>
  <c r="AC6409"/>
  <c r="AD6409"/>
  <c r="P6410"/>
  <c r="T6410"/>
  <c r="U6410"/>
  <c r="V6410"/>
  <c r="W6410"/>
  <c r="Y6410"/>
  <c r="AB6410"/>
  <c r="AC6410"/>
  <c r="AD6410"/>
  <c r="P6411"/>
  <c r="T6411"/>
  <c r="U6411"/>
  <c r="V6411"/>
  <c r="W6411"/>
  <c r="Y6411"/>
  <c r="AB6411"/>
  <c r="AC6411"/>
  <c r="AD6411"/>
  <c r="P6412"/>
  <c r="T6412"/>
  <c r="U6412"/>
  <c r="V6412"/>
  <c r="W6412"/>
  <c r="Y6412"/>
  <c r="AB6412"/>
  <c r="AC6412"/>
  <c r="AD6412"/>
  <c r="P6413"/>
  <c r="T6413"/>
  <c r="U6413"/>
  <c r="V6413"/>
  <c r="W6413"/>
  <c r="Y6413"/>
  <c r="AB6413"/>
  <c r="AC6413"/>
  <c r="AD6413"/>
  <c r="P6414"/>
  <c r="T6414"/>
  <c r="U6414"/>
  <c r="V6414"/>
  <c r="W6414"/>
  <c r="Y6414"/>
  <c r="AB6414"/>
  <c r="AC6414"/>
  <c r="AD6414"/>
  <c r="P6415"/>
  <c r="T6415"/>
  <c r="U6415"/>
  <c r="V6415"/>
  <c r="W6415"/>
  <c r="Y6415"/>
  <c r="AB6415"/>
  <c r="AC6415"/>
  <c r="AD6415"/>
  <c r="P6416"/>
  <c r="T6416"/>
  <c r="U6416"/>
  <c r="V6416"/>
  <c r="W6416"/>
  <c r="Y6416"/>
  <c r="AB6416"/>
  <c r="AC6416"/>
  <c r="AD6416"/>
  <c r="P6417"/>
  <c r="T6417"/>
  <c r="U6417"/>
  <c r="V6417"/>
  <c r="W6417"/>
  <c r="Y6417"/>
  <c r="AB6417"/>
  <c r="AC6417"/>
  <c r="AD6417"/>
  <c r="P6418"/>
  <c r="T6418"/>
  <c r="U6418"/>
  <c r="V6418"/>
  <c r="W6418"/>
  <c r="Y6418"/>
  <c r="AB6418"/>
  <c r="AC6418"/>
  <c r="AD6418"/>
  <c r="P6419"/>
  <c r="T6419"/>
  <c r="U6419"/>
  <c r="V6419"/>
  <c r="W6419"/>
  <c r="Y6419"/>
  <c r="AB6419"/>
  <c r="AC6419"/>
  <c r="AD6419"/>
  <c r="P6420"/>
  <c r="T6420"/>
  <c r="U6420"/>
  <c r="V6420"/>
  <c r="W6420"/>
  <c r="Y6420"/>
  <c r="AB6420"/>
  <c r="AC6420"/>
  <c r="AD6420"/>
  <c r="P6421"/>
  <c r="T6421"/>
  <c r="U6421"/>
  <c r="V6421"/>
  <c r="W6421"/>
  <c r="Y6421"/>
  <c r="AB6421"/>
  <c r="AC6421"/>
  <c r="AD6421"/>
  <c r="P6422"/>
  <c r="T6422"/>
  <c r="U6422"/>
  <c r="V6422"/>
  <c r="W6422"/>
  <c r="Y6422"/>
  <c r="AB6422"/>
  <c r="AC6422"/>
  <c r="AD6422"/>
  <c r="P6423"/>
  <c r="T6423"/>
  <c r="U6423"/>
  <c r="V6423"/>
  <c r="W6423"/>
  <c r="Y6423"/>
  <c r="AB6423"/>
  <c r="AC6423"/>
  <c r="AD6423"/>
  <c r="P6424"/>
  <c r="T6424"/>
  <c r="U6424"/>
  <c r="V6424"/>
  <c r="W6424"/>
  <c r="Y6424"/>
  <c r="AB6424"/>
  <c r="AC6424"/>
  <c r="AD6424"/>
  <c r="P6425"/>
  <c r="T6425"/>
  <c r="U6425"/>
  <c r="V6425"/>
  <c r="W6425"/>
  <c r="Y6425"/>
  <c r="AB6425"/>
  <c r="AC6425"/>
  <c r="AD6425"/>
  <c r="P6426"/>
  <c r="T6426"/>
  <c r="U6426"/>
  <c r="V6426"/>
  <c r="W6426"/>
  <c r="Y6426"/>
  <c r="AB6426"/>
  <c r="AC6426"/>
  <c r="AD6426"/>
  <c r="P6427"/>
  <c r="T6427"/>
  <c r="U6427"/>
  <c r="V6427"/>
  <c r="W6427"/>
  <c r="Y6427"/>
  <c r="AB6427"/>
  <c r="AC6427"/>
  <c r="AD6427"/>
  <c r="P6428"/>
  <c r="T6428"/>
  <c r="U6428"/>
  <c r="V6428"/>
  <c r="W6428"/>
  <c r="Y6428"/>
  <c r="AB6428"/>
  <c r="AC6428"/>
  <c r="AD6428"/>
  <c r="P6429"/>
  <c r="T6429"/>
  <c r="U6429"/>
  <c r="V6429"/>
  <c r="W6429"/>
  <c r="Y6429"/>
  <c r="AB6429"/>
  <c r="AC6429"/>
  <c r="AD6429"/>
  <c r="P6430"/>
  <c r="T6430"/>
  <c r="U6430"/>
  <c r="V6430"/>
  <c r="W6430"/>
  <c r="Y6430"/>
  <c r="AB6430"/>
  <c r="AC6430"/>
  <c r="AD6430"/>
  <c r="P6431"/>
  <c r="T6431"/>
  <c r="U6431"/>
  <c r="V6431"/>
  <c r="W6431"/>
  <c r="Y6431"/>
  <c r="AB6431"/>
  <c r="AC6431"/>
  <c r="AD6431"/>
  <c r="P6432"/>
  <c r="T6432"/>
  <c r="U6432"/>
  <c r="V6432"/>
  <c r="W6432"/>
  <c r="Y6432"/>
  <c r="AB6432"/>
  <c r="AC6432"/>
  <c r="AD6432"/>
  <c r="P6433"/>
  <c r="T6433"/>
  <c r="U6433"/>
  <c r="V6433"/>
  <c r="W6433"/>
  <c r="Y6433"/>
  <c r="AB6433"/>
  <c r="AC6433"/>
  <c r="AD6433"/>
  <c r="P6434"/>
  <c r="T6434"/>
  <c r="U6434"/>
  <c r="V6434"/>
  <c r="W6434"/>
  <c r="Y6434"/>
  <c r="AB6434"/>
  <c r="AC6434"/>
  <c r="AD6434"/>
  <c r="P6435"/>
  <c r="T6435"/>
  <c r="U6435"/>
  <c r="V6435"/>
  <c r="W6435"/>
  <c r="Y6435"/>
  <c r="AB6435"/>
  <c r="AC6435"/>
  <c r="AD6435"/>
  <c r="P6436"/>
  <c r="T6436"/>
  <c r="U6436"/>
  <c r="V6436"/>
  <c r="W6436"/>
  <c r="Y6436"/>
  <c r="AB6436"/>
  <c r="AC6436"/>
  <c r="AD6436"/>
  <c r="P6437"/>
  <c r="T6437"/>
  <c r="U6437"/>
  <c r="V6437"/>
  <c r="W6437"/>
  <c r="Y6437"/>
  <c r="AB6437"/>
  <c r="AC6437"/>
  <c r="AD6437"/>
  <c r="P6438"/>
  <c r="T6438"/>
  <c r="U6438"/>
  <c r="V6438"/>
  <c r="W6438"/>
  <c r="Y6438"/>
  <c r="AB6438"/>
  <c r="AC6438"/>
  <c r="AD6438"/>
  <c r="P6439"/>
  <c r="T6439"/>
  <c r="U6439"/>
  <c r="V6439"/>
  <c r="W6439"/>
  <c r="Y6439"/>
  <c r="AB6439"/>
  <c r="AC6439"/>
  <c r="AD6439"/>
  <c r="P6440"/>
  <c r="T6440"/>
  <c r="U6440"/>
  <c r="V6440"/>
  <c r="W6440"/>
  <c r="Y6440"/>
  <c r="AB6440"/>
  <c r="AC6440"/>
  <c r="AD6440"/>
  <c r="P6441"/>
  <c r="T6441"/>
  <c r="U6441"/>
  <c r="V6441"/>
  <c r="W6441"/>
  <c r="Y6441"/>
  <c r="AB6441"/>
  <c r="AC6441"/>
  <c r="AD6441"/>
  <c r="P6442"/>
  <c r="T6442"/>
  <c r="U6442"/>
  <c r="V6442"/>
  <c r="W6442"/>
  <c r="Y6442"/>
  <c r="AB6442"/>
  <c r="AC6442"/>
  <c r="AD6442"/>
  <c r="P6443"/>
  <c r="T6443"/>
  <c r="U6443"/>
  <c r="V6443"/>
  <c r="W6443"/>
  <c r="Y6443"/>
  <c r="AB6443"/>
  <c r="AC6443"/>
  <c r="AD6443"/>
  <c r="P6444"/>
  <c r="T6444"/>
  <c r="U6444"/>
  <c r="V6444"/>
  <c r="W6444"/>
  <c r="Y6444"/>
  <c r="AB6444"/>
  <c r="AC6444"/>
  <c r="AD6444"/>
  <c r="P6445"/>
  <c r="T6445"/>
  <c r="U6445"/>
  <c r="V6445"/>
  <c r="W6445"/>
  <c r="Y6445"/>
  <c r="AB6445"/>
  <c r="AC6445"/>
  <c r="AD6445"/>
  <c r="P6446"/>
  <c r="T6446"/>
  <c r="U6446"/>
  <c r="V6446"/>
  <c r="W6446"/>
  <c r="Y6446"/>
  <c r="AB6446"/>
  <c r="AC6446"/>
  <c r="AD6446"/>
  <c r="P6447"/>
  <c r="T6447"/>
  <c r="U6447"/>
  <c r="V6447"/>
  <c r="W6447"/>
  <c r="Y6447"/>
  <c r="AB6447"/>
  <c r="AC6447"/>
  <c r="AD6447"/>
  <c r="P6448"/>
  <c r="T6448"/>
  <c r="U6448"/>
  <c r="V6448"/>
  <c r="W6448"/>
  <c r="Y6448"/>
  <c r="AB6448"/>
  <c r="AC6448"/>
  <c r="AD6448"/>
  <c r="P6449"/>
  <c r="T6449"/>
  <c r="U6449"/>
  <c r="V6449"/>
  <c r="W6449"/>
  <c r="Y6449"/>
  <c r="AB6449"/>
  <c r="AC6449"/>
  <c r="AD6449"/>
  <c r="P6450"/>
  <c r="T6450"/>
  <c r="U6450"/>
  <c r="V6450"/>
  <c r="W6450"/>
  <c r="Y6450"/>
  <c r="AB6450"/>
  <c r="AC6450"/>
  <c r="AD6450"/>
  <c r="P6451"/>
  <c r="T6451"/>
  <c r="U6451"/>
  <c r="V6451"/>
  <c r="W6451"/>
  <c r="Y6451"/>
  <c r="AB6451"/>
  <c r="AC6451"/>
  <c r="AD6451"/>
  <c r="P6452"/>
  <c r="T6452"/>
  <c r="U6452"/>
  <c r="V6452"/>
  <c r="W6452"/>
  <c r="Y6452"/>
  <c r="AB6452"/>
  <c r="AC6452"/>
  <c r="AD6452"/>
  <c r="P6453"/>
  <c r="T6453"/>
  <c r="U6453"/>
  <c r="V6453"/>
  <c r="W6453"/>
  <c r="Y6453"/>
  <c r="AB6453"/>
  <c r="AC6453"/>
  <c r="AD6453"/>
  <c r="P6454"/>
  <c r="T6454"/>
  <c r="U6454"/>
  <c r="V6454"/>
  <c r="W6454"/>
  <c r="Y6454"/>
  <c r="AB6454"/>
  <c r="AC6454"/>
  <c r="AD6454"/>
  <c r="P6455"/>
  <c r="T6455"/>
  <c r="U6455"/>
  <c r="V6455"/>
  <c r="W6455"/>
  <c r="Y6455"/>
  <c r="AB6455"/>
  <c r="AC6455"/>
  <c r="AD6455"/>
  <c r="P6456"/>
  <c r="T6456"/>
  <c r="U6456"/>
  <c r="V6456"/>
  <c r="W6456"/>
  <c r="Y6456"/>
  <c r="AB6456"/>
  <c r="AC6456"/>
  <c r="AD6456"/>
  <c r="P6457"/>
  <c r="T6457"/>
  <c r="U6457"/>
  <c r="V6457"/>
  <c r="W6457"/>
  <c r="Y6457"/>
  <c r="AB6457"/>
  <c r="AC6457"/>
  <c r="AD6457"/>
  <c r="P6458"/>
  <c r="T6458"/>
  <c r="U6458"/>
  <c r="V6458"/>
  <c r="W6458"/>
  <c r="Y6458"/>
  <c r="AB6458"/>
  <c r="AC6458"/>
  <c r="AD6458"/>
  <c r="P6459"/>
  <c r="T6459"/>
  <c r="U6459"/>
  <c r="V6459"/>
  <c r="W6459"/>
  <c r="Y6459"/>
  <c r="AB6459"/>
  <c r="AC6459"/>
  <c r="AD6459"/>
  <c r="P6460"/>
  <c r="T6460"/>
  <c r="U6460"/>
  <c r="V6460"/>
  <c r="W6460"/>
  <c r="Y6460"/>
  <c r="AB6460"/>
  <c r="AC6460"/>
  <c r="AD6460"/>
  <c r="P6461"/>
  <c r="T6461"/>
  <c r="U6461"/>
  <c r="V6461"/>
  <c r="W6461"/>
  <c r="Y6461"/>
  <c r="AB6461"/>
  <c r="AC6461"/>
  <c r="AD6461"/>
  <c r="P6462"/>
  <c r="T6462"/>
  <c r="U6462"/>
  <c r="V6462"/>
  <c r="W6462"/>
  <c r="Y6462"/>
  <c r="AB6462"/>
  <c r="AC6462"/>
  <c r="AD6462"/>
  <c r="P6463"/>
  <c r="T6463"/>
  <c r="U6463"/>
  <c r="V6463"/>
  <c r="W6463"/>
  <c r="Y6463"/>
  <c r="AB6463"/>
  <c r="AC6463"/>
  <c r="AD6463"/>
  <c r="P6464"/>
  <c r="T6464"/>
  <c r="U6464"/>
  <c r="V6464"/>
  <c r="W6464"/>
  <c r="Y6464"/>
  <c r="AB6464"/>
  <c r="AC6464"/>
  <c r="AD6464"/>
  <c r="P6465"/>
  <c r="T6465"/>
  <c r="U6465"/>
  <c r="V6465"/>
  <c r="W6465"/>
  <c r="Y6465"/>
  <c r="AB6465"/>
  <c r="AC6465"/>
  <c r="AD6465"/>
  <c r="P6466"/>
  <c r="T6466"/>
  <c r="U6466"/>
  <c r="V6466"/>
  <c r="W6466"/>
  <c r="Y6466"/>
  <c r="AB6466"/>
  <c r="AC6466"/>
  <c r="AD6466"/>
  <c r="P6467"/>
  <c r="T6467"/>
  <c r="U6467"/>
  <c r="V6467"/>
  <c r="W6467"/>
  <c r="Y6467"/>
  <c r="AB6467"/>
  <c r="AC6467"/>
  <c r="AD6467"/>
  <c r="P6468"/>
  <c r="T6468"/>
  <c r="U6468"/>
  <c r="V6468"/>
  <c r="W6468"/>
  <c r="Y6468"/>
  <c r="AB6468"/>
  <c r="AC6468"/>
  <c r="AD6468"/>
  <c r="P6469"/>
  <c r="T6469"/>
  <c r="U6469"/>
  <c r="V6469"/>
  <c r="W6469"/>
  <c r="Y6469"/>
  <c r="AB6469"/>
  <c r="AC6469"/>
  <c r="AD6469"/>
  <c r="P6470"/>
  <c r="T6470"/>
  <c r="U6470"/>
  <c r="V6470"/>
  <c r="W6470"/>
  <c r="Y6470"/>
  <c r="AB6470"/>
  <c r="AC6470"/>
  <c r="AD6470"/>
  <c r="P6471"/>
  <c r="T6471"/>
  <c r="U6471"/>
  <c r="V6471"/>
  <c r="W6471"/>
  <c r="Y6471"/>
  <c r="AB6471"/>
  <c r="AC6471"/>
  <c r="AD6471"/>
  <c r="P6472"/>
  <c r="T6472"/>
  <c r="U6472"/>
  <c r="V6472"/>
  <c r="W6472"/>
  <c r="Y6472"/>
  <c r="AB6472"/>
  <c r="AC6472"/>
  <c r="AD6472"/>
  <c r="P6473"/>
  <c r="T6473"/>
  <c r="U6473"/>
  <c r="V6473"/>
  <c r="W6473"/>
  <c r="Y6473"/>
  <c r="AB6473"/>
  <c r="AC6473"/>
  <c r="AD6473"/>
  <c r="P6474"/>
  <c r="T6474"/>
  <c r="U6474"/>
  <c r="V6474"/>
  <c r="W6474"/>
  <c r="Y6474"/>
  <c r="AB6474"/>
  <c r="AC6474"/>
  <c r="AD6474"/>
  <c r="P6475"/>
  <c r="T6475"/>
  <c r="U6475"/>
  <c r="V6475"/>
  <c r="W6475"/>
  <c r="Y6475"/>
  <c r="AB6475"/>
  <c r="AC6475"/>
  <c r="AD6475"/>
  <c r="P6476"/>
  <c r="T6476"/>
  <c r="U6476"/>
  <c r="V6476"/>
  <c r="W6476"/>
  <c r="Y6476"/>
  <c r="AB6476"/>
  <c r="AC6476"/>
  <c r="AD6476"/>
  <c r="P6477"/>
  <c r="T6477"/>
  <c r="U6477"/>
  <c r="V6477"/>
  <c r="W6477"/>
  <c r="Y6477"/>
  <c r="AB6477"/>
  <c r="AC6477"/>
  <c r="AD6477"/>
  <c r="P6478"/>
  <c r="T6478"/>
  <c r="U6478"/>
  <c r="V6478"/>
  <c r="W6478"/>
  <c r="Y6478"/>
  <c r="AB6478"/>
  <c r="AC6478"/>
  <c r="AD6478"/>
  <c r="P6479"/>
  <c r="T6479"/>
  <c r="U6479"/>
  <c r="V6479"/>
  <c r="W6479"/>
  <c r="Y6479"/>
  <c r="AB6479"/>
  <c r="AC6479"/>
  <c r="AD6479"/>
  <c r="P6480"/>
  <c r="T6480"/>
  <c r="U6480"/>
  <c r="V6480"/>
  <c r="W6480"/>
  <c r="Y6480"/>
  <c r="AB6480"/>
  <c r="AC6480"/>
  <c r="AD6480"/>
  <c r="P6481"/>
  <c r="T6481"/>
  <c r="U6481"/>
  <c r="V6481"/>
  <c r="W6481"/>
  <c r="Y6481"/>
  <c r="AB6481"/>
  <c r="AC6481"/>
  <c r="AD6481"/>
  <c r="P6482"/>
  <c r="T6482"/>
  <c r="U6482"/>
  <c r="V6482"/>
  <c r="W6482"/>
  <c r="Y6482"/>
  <c r="AB6482"/>
  <c r="AC6482"/>
  <c r="AD6482"/>
  <c r="P6483"/>
  <c r="T6483"/>
  <c r="U6483"/>
  <c r="V6483"/>
  <c r="W6483"/>
  <c r="Y6483"/>
  <c r="AB6483"/>
  <c r="AC6483"/>
  <c r="AD6483"/>
  <c r="P6484"/>
  <c r="T6484"/>
  <c r="U6484"/>
  <c r="V6484"/>
  <c r="W6484"/>
  <c r="Y6484"/>
  <c r="AB6484"/>
  <c r="AC6484"/>
  <c r="AD6484"/>
  <c r="P6485"/>
  <c r="T6485"/>
  <c r="U6485"/>
  <c r="V6485"/>
  <c r="W6485"/>
  <c r="Y6485"/>
  <c r="AB6485"/>
  <c r="AC6485"/>
  <c r="AD6485"/>
  <c r="P6486"/>
  <c r="T6486"/>
  <c r="U6486"/>
  <c r="V6486"/>
  <c r="W6486"/>
  <c r="Y6486"/>
  <c r="AB6486"/>
  <c r="AC6486"/>
  <c r="AD6486"/>
  <c r="P6487"/>
  <c r="T6487"/>
  <c r="U6487"/>
  <c r="V6487"/>
  <c r="W6487"/>
  <c r="Y6487"/>
  <c r="AB6487"/>
  <c r="AC6487"/>
  <c r="AD6487"/>
  <c r="P6488"/>
  <c r="T6488"/>
  <c r="U6488"/>
  <c r="V6488"/>
  <c r="W6488"/>
  <c r="Y6488"/>
  <c r="AB6488"/>
  <c r="AC6488"/>
  <c r="AD6488"/>
  <c r="P6489"/>
  <c r="T6489"/>
  <c r="U6489"/>
  <c r="V6489"/>
  <c r="W6489"/>
  <c r="Y6489"/>
  <c r="AB6489"/>
  <c r="AC6489"/>
  <c r="AD6489"/>
  <c r="P6490"/>
  <c r="T6490"/>
  <c r="U6490"/>
  <c r="V6490"/>
  <c r="W6490"/>
  <c r="Y6490"/>
  <c r="AB6490"/>
  <c r="AC6490"/>
  <c r="AD6490"/>
  <c r="P6491"/>
  <c r="T6491"/>
  <c r="U6491"/>
  <c r="V6491"/>
  <c r="W6491"/>
  <c r="Y6491"/>
  <c r="AB6491"/>
  <c r="AC6491"/>
  <c r="AD6491"/>
  <c r="P6492"/>
  <c r="T6492"/>
  <c r="U6492"/>
  <c r="V6492"/>
  <c r="W6492"/>
  <c r="Y6492"/>
  <c r="AB6492"/>
  <c r="AC6492"/>
  <c r="AD6492"/>
  <c r="P6493"/>
  <c r="T6493"/>
  <c r="U6493"/>
  <c r="V6493"/>
  <c r="W6493"/>
  <c r="Y6493"/>
  <c r="AB6493"/>
  <c r="AC6493"/>
  <c r="AD6493"/>
  <c r="P6494"/>
  <c r="T6494"/>
  <c r="U6494"/>
  <c r="V6494"/>
  <c r="W6494"/>
  <c r="Y6494"/>
  <c r="AB6494"/>
  <c r="AC6494"/>
  <c r="AD6494"/>
  <c r="P6495"/>
  <c r="T6495"/>
  <c r="U6495"/>
  <c r="V6495"/>
  <c r="W6495"/>
  <c r="Y6495"/>
  <c r="AB6495"/>
  <c r="AC6495"/>
  <c r="AD6495"/>
  <c r="P6496"/>
  <c r="T6496"/>
  <c r="U6496"/>
  <c r="V6496"/>
  <c r="W6496"/>
  <c r="Y6496"/>
  <c r="AB6496"/>
  <c r="AC6496"/>
  <c r="AD6496"/>
  <c r="P6497"/>
  <c r="T6497"/>
  <c r="U6497"/>
  <c r="V6497"/>
  <c r="W6497"/>
  <c r="Y6497"/>
  <c r="AB6497"/>
  <c r="AC6497"/>
  <c r="AD6497"/>
  <c r="P6498"/>
  <c r="T6498"/>
  <c r="U6498"/>
  <c r="V6498"/>
  <c r="W6498"/>
  <c r="Y6498"/>
  <c r="AB6498"/>
  <c r="AC6498"/>
  <c r="AD6498"/>
  <c r="P6499"/>
  <c r="T6499"/>
  <c r="U6499"/>
  <c r="V6499"/>
  <c r="W6499"/>
  <c r="Y6499"/>
  <c r="AB6499"/>
  <c r="AC6499"/>
  <c r="AD6499"/>
  <c r="P6500"/>
  <c r="T6500"/>
  <c r="U6500"/>
  <c r="V6500"/>
  <c r="W6500"/>
  <c r="Y6500"/>
  <c r="AB6500"/>
  <c r="AC6500"/>
  <c r="AD6500"/>
  <c r="P6501"/>
  <c r="T6501"/>
  <c r="U6501"/>
  <c r="V6501"/>
  <c r="W6501"/>
  <c r="Y6501"/>
  <c r="AB6501"/>
  <c r="AC6501"/>
  <c r="AD6501"/>
  <c r="P6502"/>
  <c r="T6502"/>
  <c r="U6502"/>
  <c r="V6502"/>
  <c r="W6502"/>
  <c r="Y6502"/>
  <c r="AB6502"/>
  <c r="AC6502"/>
  <c r="AD6502"/>
  <c r="P6503"/>
  <c r="T6503"/>
  <c r="U6503"/>
  <c r="V6503"/>
  <c r="W6503"/>
  <c r="Y6503"/>
  <c r="AB6503"/>
  <c r="AC6503"/>
  <c r="AD6503"/>
  <c r="P6504"/>
  <c r="T6504"/>
  <c r="U6504"/>
  <c r="V6504"/>
  <c r="W6504"/>
  <c r="Y6504"/>
  <c r="AB6504"/>
  <c r="AC6504"/>
  <c r="AD6504"/>
  <c r="P6505"/>
  <c r="T6505"/>
  <c r="U6505"/>
  <c r="V6505"/>
  <c r="W6505"/>
  <c r="Y6505"/>
  <c r="AB6505"/>
  <c r="AC6505"/>
  <c r="AD6505"/>
  <c r="P6506"/>
  <c r="T6506"/>
  <c r="U6506"/>
  <c r="V6506"/>
  <c r="W6506"/>
  <c r="Y6506"/>
  <c r="AB6506"/>
  <c r="AC6506"/>
  <c r="AD6506"/>
  <c r="P6507"/>
  <c r="T6507"/>
  <c r="U6507"/>
  <c r="V6507"/>
  <c r="W6507"/>
  <c r="Y6507"/>
  <c r="AB6507"/>
  <c r="AC6507"/>
  <c r="AD6507"/>
  <c r="P6508"/>
  <c r="T6508"/>
  <c r="U6508"/>
  <c r="V6508"/>
  <c r="W6508"/>
  <c r="Y6508"/>
  <c r="AB6508"/>
  <c r="AC6508"/>
  <c r="AD6508"/>
  <c r="P6509"/>
  <c r="T6509"/>
  <c r="U6509"/>
  <c r="V6509"/>
  <c r="W6509"/>
  <c r="Y6509"/>
  <c r="AB6509"/>
  <c r="AC6509"/>
  <c r="AD6509"/>
  <c r="P6510"/>
  <c r="T6510"/>
  <c r="U6510"/>
  <c r="V6510"/>
  <c r="W6510"/>
  <c r="Y6510"/>
  <c r="AB6510"/>
  <c r="AC6510"/>
  <c r="AD6510"/>
  <c r="P6511"/>
  <c r="T6511"/>
  <c r="U6511"/>
  <c r="V6511"/>
  <c r="W6511"/>
  <c r="Y6511"/>
  <c r="AB6511"/>
  <c r="AC6511"/>
  <c r="AD6511"/>
  <c r="P6512"/>
  <c r="T6512"/>
  <c r="U6512"/>
  <c r="V6512"/>
  <c r="W6512"/>
  <c r="Y6512"/>
  <c r="AB6512"/>
  <c r="AC6512"/>
  <c r="AD6512"/>
  <c r="P6513"/>
  <c r="T6513"/>
  <c r="U6513"/>
  <c r="V6513"/>
  <c r="W6513"/>
  <c r="Y6513"/>
  <c r="AB6513"/>
  <c r="AC6513"/>
  <c r="AD6513"/>
  <c r="P6514"/>
  <c r="T6514"/>
  <c r="U6514"/>
  <c r="V6514"/>
  <c r="W6514"/>
  <c r="Y6514"/>
  <c r="AB6514"/>
  <c r="AC6514"/>
  <c r="AD6514"/>
  <c r="P6515"/>
  <c r="T6515"/>
  <c r="U6515"/>
  <c r="V6515"/>
  <c r="W6515"/>
  <c r="Y6515"/>
  <c r="AB6515"/>
  <c r="AC6515"/>
  <c r="AD6515"/>
  <c r="P6516"/>
  <c r="T6516"/>
  <c r="U6516"/>
  <c r="V6516"/>
  <c r="W6516"/>
  <c r="Y6516"/>
  <c r="AB6516"/>
  <c r="AC6516"/>
  <c r="AD6516"/>
  <c r="P6517"/>
  <c r="T6517"/>
  <c r="U6517"/>
  <c r="V6517"/>
  <c r="W6517"/>
  <c r="Y6517"/>
  <c r="AB6517"/>
  <c r="AC6517"/>
  <c r="AD6517"/>
  <c r="P6518"/>
  <c r="T6518"/>
  <c r="U6518"/>
  <c r="V6518"/>
  <c r="W6518"/>
  <c r="Y6518"/>
  <c r="AB6518"/>
  <c r="AC6518"/>
  <c r="AD6518"/>
  <c r="P6519"/>
  <c r="T6519"/>
  <c r="U6519"/>
  <c r="V6519"/>
  <c r="W6519"/>
  <c r="Y6519"/>
  <c r="AB6519"/>
  <c r="AC6519"/>
  <c r="AD6519"/>
  <c r="P6520"/>
  <c r="T6520"/>
  <c r="U6520"/>
  <c r="V6520"/>
  <c r="W6520"/>
  <c r="Y6520"/>
  <c r="AB6520"/>
  <c r="AC6520"/>
  <c r="AD6520"/>
  <c r="P6521"/>
  <c r="T6521"/>
  <c r="U6521"/>
  <c r="V6521"/>
  <c r="W6521"/>
  <c r="Y6521"/>
  <c r="AB6521"/>
  <c r="AC6521"/>
  <c r="AD6521"/>
  <c r="P6522"/>
  <c r="T6522"/>
  <c r="U6522"/>
  <c r="V6522"/>
  <c r="W6522"/>
  <c r="Y6522"/>
  <c r="AB6522"/>
  <c r="AC6522"/>
  <c r="AD6522"/>
  <c r="P6523"/>
  <c r="T6523"/>
  <c r="U6523"/>
  <c r="V6523"/>
  <c r="W6523"/>
  <c r="Y6523"/>
  <c r="AB6523"/>
  <c r="AC6523"/>
  <c r="AD6523"/>
  <c r="P6524"/>
  <c r="T6524"/>
  <c r="U6524"/>
  <c r="V6524"/>
  <c r="W6524"/>
  <c r="Y6524"/>
  <c r="AB6524"/>
  <c r="AC6524"/>
  <c r="AD6524"/>
  <c r="P6525"/>
  <c r="T6525"/>
  <c r="U6525"/>
  <c r="V6525"/>
  <c r="W6525"/>
  <c r="Y6525"/>
  <c r="AB6525"/>
  <c r="AC6525"/>
  <c r="AD6525"/>
  <c r="P6526"/>
  <c r="T6526"/>
  <c r="U6526"/>
  <c r="V6526"/>
  <c r="W6526"/>
  <c r="Y6526"/>
  <c r="AB6526"/>
  <c r="AC6526"/>
  <c r="AD6526"/>
  <c r="P6527"/>
  <c r="T6527"/>
  <c r="U6527"/>
  <c r="V6527"/>
  <c r="W6527"/>
  <c r="Y6527"/>
  <c r="AB6527"/>
  <c r="AC6527"/>
  <c r="AD6527"/>
  <c r="P6528"/>
  <c r="T6528"/>
  <c r="U6528"/>
  <c r="V6528"/>
  <c r="W6528"/>
  <c r="Y6528"/>
  <c r="AB6528"/>
  <c r="AC6528"/>
  <c r="AD6528"/>
  <c r="P6529"/>
  <c r="T6529"/>
  <c r="U6529"/>
  <c r="V6529"/>
  <c r="W6529"/>
  <c r="Y6529"/>
  <c r="AB6529"/>
  <c r="AC6529"/>
  <c r="AD6529"/>
  <c r="P6530"/>
  <c r="T6530"/>
  <c r="U6530"/>
  <c r="V6530"/>
  <c r="W6530"/>
  <c r="Y6530"/>
  <c r="AB6530"/>
  <c r="AC6530"/>
  <c r="AD6530"/>
  <c r="P6531"/>
  <c r="T6531"/>
  <c r="U6531"/>
  <c r="V6531"/>
  <c r="W6531"/>
  <c r="Y6531"/>
  <c r="AB6531"/>
  <c r="AC6531"/>
  <c r="AD6531"/>
  <c r="P6532"/>
  <c r="T6532"/>
  <c r="U6532"/>
  <c r="V6532"/>
  <c r="W6532"/>
  <c r="Y6532"/>
  <c r="AB6532"/>
  <c r="AC6532"/>
  <c r="AD6532"/>
  <c r="P6533"/>
  <c r="T6533"/>
  <c r="U6533"/>
  <c r="V6533"/>
  <c r="W6533"/>
  <c r="Y6533"/>
  <c r="AB6533"/>
  <c r="AC6533"/>
  <c r="AD6533"/>
  <c r="P6534"/>
  <c r="T6534"/>
  <c r="U6534"/>
  <c r="V6534"/>
  <c r="W6534"/>
  <c r="Y6534"/>
  <c r="AB6534"/>
  <c r="AC6534"/>
  <c r="AD6534"/>
  <c r="P6535"/>
  <c r="T6535"/>
  <c r="U6535"/>
  <c r="V6535"/>
  <c r="W6535"/>
  <c r="Y6535"/>
  <c r="AB6535"/>
  <c r="AC6535"/>
  <c r="AD6535"/>
  <c r="P6536"/>
  <c r="T6536"/>
  <c r="U6536"/>
  <c r="V6536"/>
  <c r="W6536"/>
  <c r="Y6536"/>
  <c r="AB6536"/>
  <c r="AC6536"/>
  <c r="AD6536"/>
  <c r="P6537"/>
  <c r="T6537"/>
  <c r="U6537"/>
  <c r="V6537"/>
  <c r="W6537"/>
  <c r="Y6537"/>
  <c r="AB6537"/>
  <c r="AC6537"/>
  <c r="AD6537"/>
  <c r="P6538"/>
  <c r="T6538"/>
  <c r="U6538"/>
  <c r="V6538"/>
  <c r="W6538"/>
  <c r="Y6538"/>
  <c r="AB6538"/>
  <c r="AC6538"/>
  <c r="AD6538"/>
  <c r="P6539"/>
  <c r="T6539"/>
  <c r="U6539"/>
  <c r="V6539"/>
  <c r="W6539"/>
  <c r="Y6539"/>
  <c r="AB6539"/>
  <c r="AC6539"/>
  <c r="AD6539"/>
  <c r="P6540"/>
  <c r="T6540"/>
  <c r="U6540"/>
  <c r="V6540"/>
  <c r="W6540"/>
  <c r="Y6540"/>
  <c r="AB6540"/>
  <c r="AC6540"/>
  <c r="AD6540"/>
  <c r="P6541"/>
  <c r="T6541"/>
  <c r="U6541"/>
  <c r="V6541"/>
  <c r="W6541"/>
  <c r="Y6541"/>
  <c r="AB6541"/>
  <c r="AC6541"/>
  <c r="AD6541"/>
  <c r="P6542"/>
  <c r="T6542"/>
  <c r="U6542"/>
  <c r="V6542"/>
  <c r="W6542"/>
  <c r="Y6542"/>
  <c r="AB6542"/>
  <c r="AC6542"/>
  <c r="AD6542"/>
  <c r="P6543"/>
  <c r="T6543"/>
  <c r="U6543"/>
  <c r="V6543"/>
  <c r="W6543"/>
  <c r="Y6543"/>
  <c r="AB6543"/>
  <c r="AC6543"/>
  <c r="AD6543"/>
  <c r="P6544"/>
  <c r="T6544"/>
  <c r="U6544"/>
  <c r="V6544"/>
  <c r="W6544"/>
  <c r="Y6544"/>
  <c r="AB6544"/>
  <c r="AC6544"/>
  <c r="AD6544"/>
  <c r="P6545"/>
  <c r="T6545"/>
  <c r="U6545"/>
  <c r="V6545"/>
  <c r="W6545"/>
  <c r="Y6545"/>
  <c r="AB6545"/>
  <c r="AC6545"/>
  <c r="AD6545"/>
  <c r="P6546"/>
  <c r="T6546"/>
  <c r="U6546"/>
  <c r="V6546"/>
  <c r="W6546"/>
  <c r="Y6546"/>
  <c r="AB6546"/>
  <c r="AC6546"/>
  <c r="AD6546"/>
  <c r="P6547"/>
  <c r="T6547"/>
  <c r="U6547"/>
  <c r="V6547"/>
  <c r="W6547"/>
  <c r="Y6547"/>
  <c r="AB6547"/>
  <c r="AC6547"/>
  <c r="AD6547"/>
  <c r="P6548"/>
  <c r="T6548"/>
  <c r="U6548"/>
  <c r="V6548"/>
  <c r="W6548"/>
  <c r="Y6548"/>
  <c r="AB6548"/>
  <c r="AC6548"/>
  <c r="AD6548"/>
  <c r="P6549"/>
  <c r="T6549"/>
  <c r="U6549"/>
  <c r="V6549"/>
  <c r="W6549"/>
  <c r="Y6549"/>
  <c r="AB6549"/>
  <c r="AC6549"/>
  <c r="AD6549"/>
  <c r="P6550"/>
  <c r="T6550"/>
  <c r="U6550"/>
  <c r="V6550"/>
  <c r="W6550"/>
  <c r="Y6550"/>
  <c r="AB6550"/>
  <c r="AC6550"/>
  <c r="AD6550"/>
  <c r="P6551"/>
  <c r="T6551"/>
  <c r="U6551"/>
  <c r="V6551"/>
  <c r="W6551"/>
  <c r="Y6551"/>
  <c r="AB6551"/>
  <c r="AC6551"/>
  <c r="AD6551"/>
  <c r="P6552"/>
  <c r="T6552"/>
  <c r="U6552"/>
  <c r="V6552"/>
  <c r="W6552"/>
  <c r="Y6552"/>
  <c r="AB6552"/>
  <c r="AC6552"/>
  <c r="AD6552"/>
  <c r="P6553"/>
  <c r="T6553"/>
  <c r="U6553"/>
  <c r="V6553"/>
  <c r="W6553"/>
  <c r="Y6553"/>
  <c r="AB6553"/>
  <c r="AC6553"/>
  <c r="AD6553"/>
  <c r="P6554"/>
  <c r="T6554"/>
  <c r="U6554"/>
  <c r="V6554"/>
  <c r="W6554"/>
  <c r="Y6554"/>
  <c r="AB6554"/>
  <c r="AC6554"/>
  <c r="AD6554"/>
  <c r="P6555"/>
  <c r="T6555"/>
  <c r="U6555"/>
  <c r="V6555"/>
  <c r="W6555"/>
  <c r="Y6555"/>
  <c r="AB6555"/>
  <c r="AC6555"/>
  <c r="AD6555"/>
  <c r="P6556"/>
  <c r="T6556"/>
  <c r="U6556"/>
  <c r="V6556"/>
  <c r="W6556"/>
  <c r="Y6556"/>
  <c r="AB6556"/>
  <c r="AC6556"/>
  <c r="AD6556"/>
  <c r="P6557"/>
  <c r="T6557"/>
  <c r="U6557"/>
  <c r="V6557"/>
  <c r="W6557"/>
  <c r="Y6557"/>
  <c r="AB6557"/>
  <c r="AC6557"/>
  <c r="AD6557"/>
  <c r="P6558"/>
  <c r="T6558"/>
  <c r="U6558"/>
  <c r="V6558"/>
  <c r="W6558"/>
  <c r="Y6558"/>
  <c r="AB6558"/>
  <c r="AC6558"/>
  <c r="AD6558"/>
  <c r="P6559"/>
  <c r="T6559"/>
  <c r="U6559"/>
  <c r="V6559"/>
  <c r="W6559"/>
  <c r="Y6559"/>
  <c r="AB6559"/>
  <c r="AC6559"/>
  <c r="AD6559"/>
  <c r="P6560"/>
  <c r="T6560"/>
  <c r="U6560"/>
  <c r="V6560"/>
  <c r="W6560"/>
  <c r="Y6560"/>
  <c r="AB6560"/>
  <c r="AC6560"/>
  <c r="AD6560"/>
  <c r="P6561"/>
  <c r="T6561"/>
  <c r="U6561"/>
  <c r="V6561"/>
  <c r="W6561"/>
  <c r="Y6561"/>
  <c r="AB6561"/>
  <c r="AC6561"/>
  <c r="AD6561"/>
  <c r="P6562"/>
  <c r="T6562"/>
  <c r="U6562"/>
  <c r="V6562"/>
  <c r="W6562"/>
  <c r="Y6562"/>
  <c r="AB6562"/>
  <c r="AC6562"/>
  <c r="AD6562"/>
  <c r="P6563"/>
  <c r="T6563"/>
  <c r="U6563"/>
  <c r="V6563"/>
  <c r="W6563"/>
  <c r="Y6563"/>
  <c r="AB6563"/>
  <c r="AC6563"/>
  <c r="AD6563"/>
  <c r="P6564"/>
  <c r="T6564"/>
  <c r="U6564"/>
  <c r="V6564"/>
  <c r="W6564"/>
  <c r="Y6564"/>
  <c r="AB6564"/>
  <c r="AC6564"/>
  <c r="AD6564"/>
  <c r="P6565"/>
  <c r="T6565"/>
  <c r="U6565"/>
  <c r="V6565"/>
  <c r="W6565"/>
  <c r="Y6565"/>
  <c r="AB6565"/>
  <c r="AC6565"/>
  <c r="AD6565"/>
  <c r="P6566"/>
  <c r="T6566"/>
  <c r="U6566"/>
  <c r="V6566"/>
  <c r="W6566"/>
  <c r="Y6566"/>
  <c r="AB6566"/>
  <c r="AC6566"/>
  <c r="AD6566"/>
  <c r="P6567"/>
  <c r="T6567"/>
  <c r="U6567"/>
  <c r="V6567"/>
  <c r="W6567"/>
  <c r="Y6567"/>
  <c r="AB6567"/>
  <c r="AC6567"/>
  <c r="AD6567"/>
  <c r="P6568"/>
  <c r="T6568"/>
  <c r="U6568"/>
  <c r="V6568"/>
  <c r="W6568"/>
  <c r="Y6568"/>
  <c r="AB6568"/>
  <c r="AC6568"/>
  <c r="AD6568"/>
  <c r="P6569"/>
  <c r="T6569"/>
  <c r="U6569"/>
  <c r="V6569"/>
  <c r="W6569"/>
  <c r="Y6569"/>
  <c r="AB6569"/>
  <c r="AC6569"/>
  <c r="AD6569"/>
  <c r="P6570"/>
  <c r="T6570"/>
  <c r="U6570"/>
  <c r="V6570"/>
  <c r="W6570"/>
  <c r="Y6570"/>
  <c r="AB6570"/>
  <c r="AC6570"/>
  <c r="AD6570"/>
  <c r="P6571"/>
  <c r="T6571"/>
  <c r="U6571"/>
  <c r="V6571"/>
  <c r="W6571"/>
  <c r="Y6571"/>
  <c r="AB6571"/>
  <c r="AC6571"/>
  <c r="AD6571"/>
  <c r="P6572"/>
  <c r="T6572"/>
  <c r="U6572"/>
  <c r="V6572"/>
  <c r="W6572"/>
  <c r="Y6572"/>
  <c r="AB6572"/>
  <c r="AC6572"/>
  <c r="AD6572"/>
  <c r="P6573"/>
  <c r="T6573"/>
  <c r="U6573"/>
  <c r="V6573"/>
  <c r="W6573"/>
  <c r="Y6573"/>
  <c r="AB6573"/>
  <c r="AC6573"/>
  <c r="AD6573"/>
  <c r="P6574"/>
  <c r="T6574"/>
  <c r="U6574"/>
  <c r="V6574"/>
  <c r="W6574"/>
  <c r="Y6574"/>
  <c r="AB6574"/>
  <c r="AC6574"/>
  <c r="AD6574"/>
  <c r="P6575"/>
  <c r="T6575"/>
  <c r="U6575"/>
  <c r="V6575"/>
  <c r="W6575"/>
  <c r="Y6575"/>
  <c r="AB6575"/>
  <c r="AC6575"/>
  <c r="AD6575"/>
  <c r="P6576"/>
  <c r="T6576"/>
  <c r="U6576"/>
  <c r="V6576"/>
  <c r="W6576"/>
  <c r="Y6576"/>
  <c r="AB6576"/>
  <c r="AC6576"/>
  <c r="AD6576"/>
  <c r="P6577"/>
  <c r="T6577"/>
  <c r="U6577"/>
  <c r="V6577"/>
  <c r="W6577"/>
  <c r="Y6577"/>
  <c r="AB6577"/>
  <c r="AC6577"/>
  <c r="AD6577"/>
  <c r="P6578"/>
  <c r="T6578"/>
  <c r="U6578"/>
  <c r="V6578"/>
  <c r="W6578"/>
  <c r="Y6578"/>
  <c r="AB6578"/>
  <c r="AC6578"/>
  <c r="AD6578"/>
  <c r="P6579"/>
  <c r="T6579"/>
  <c r="U6579"/>
  <c r="V6579"/>
  <c r="W6579"/>
  <c r="Y6579"/>
  <c r="AB6579"/>
  <c r="AC6579"/>
  <c r="AD6579"/>
  <c r="P6580"/>
  <c r="T6580"/>
  <c r="U6580"/>
  <c r="V6580"/>
  <c r="W6580"/>
  <c r="Y6580"/>
  <c r="AB6580"/>
  <c r="AC6580"/>
  <c r="AD6580"/>
  <c r="P6581"/>
  <c r="T6581"/>
  <c r="U6581"/>
  <c r="V6581"/>
  <c r="W6581"/>
  <c r="Y6581"/>
  <c r="AB6581"/>
  <c r="AC6581"/>
  <c r="AD6581"/>
  <c r="P6582"/>
  <c r="T6582"/>
  <c r="U6582"/>
  <c r="V6582"/>
  <c r="W6582"/>
  <c r="Y6582"/>
  <c r="AB6582"/>
  <c r="AC6582"/>
  <c r="AD6582"/>
  <c r="P6583"/>
  <c r="T6583"/>
  <c r="U6583"/>
  <c r="V6583"/>
  <c r="W6583"/>
  <c r="Y6583"/>
  <c r="AB6583"/>
  <c r="AC6583"/>
  <c r="AD6583"/>
  <c r="P6584"/>
  <c r="T6584"/>
  <c r="U6584"/>
  <c r="V6584"/>
  <c r="W6584"/>
  <c r="Y6584"/>
  <c r="AB6584"/>
  <c r="AC6584"/>
  <c r="AD6584"/>
  <c r="P6585"/>
  <c r="T6585"/>
  <c r="U6585"/>
  <c r="V6585"/>
  <c r="W6585"/>
  <c r="Y6585"/>
  <c r="AB6585"/>
  <c r="AC6585"/>
  <c r="AD6585"/>
  <c r="P6586"/>
  <c r="T6586"/>
  <c r="U6586"/>
  <c r="V6586"/>
  <c r="W6586"/>
  <c r="Y6586"/>
  <c r="AB6586"/>
  <c r="AC6586"/>
  <c r="AD6586"/>
  <c r="P6587"/>
  <c r="T6587"/>
  <c r="U6587"/>
  <c r="V6587"/>
  <c r="W6587"/>
  <c r="Y6587"/>
  <c r="AB6587"/>
  <c r="AC6587"/>
  <c r="AD6587"/>
  <c r="P6588"/>
  <c r="T6588"/>
  <c r="U6588"/>
  <c r="V6588"/>
  <c r="W6588"/>
  <c r="Y6588"/>
  <c r="AB6588"/>
  <c r="AC6588"/>
  <c r="AD6588"/>
  <c r="P6589"/>
  <c r="T6589"/>
  <c r="U6589"/>
  <c r="V6589"/>
  <c r="W6589"/>
  <c r="Y6589"/>
  <c r="AB6589"/>
  <c r="AC6589"/>
  <c r="AD6589"/>
  <c r="P6590"/>
  <c r="T6590"/>
  <c r="U6590"/>
  <c r="V6590"/>
  <c r="W6590"/>
  <c r="Y6590"/>
  <c r="AB6590"/>
  <c r="AC6590"/>
  <c r="AD6590"/>
  <c r="P6591"/>
  <c r="T6591"/>
  <c r="U6591"/>
  <c r="V6591"/>
  <c r="W6591"/>
  <c r="Y6591"/>
  <c r="AB6591"/>
  <c r="AC6591"/>
  <c r="AD6591"/>
  <c r="P6592"/>
  <c r="T6592"/>
  <c r="U6592"/>
  <c r="V6592"/>
  <c r="W6592"/>
  <c r="Y6592"/>
  <c r="AB6592"/>
  <c r="AC6592"/>
  <c r="AD6592"/>
  <c r="P6593"/>
  <c r="T6593"/>
  <c r="U6593"/>
  <c r="V6593"/>
  <c r="W6593"/>
  <c r="Y6593"/>
  <c r="AB6593"/>
  <c r="AC6593"/>
  <c r="AD6593"/>
  <c r="P6594"/>
  <c r="T6594"/>
  <c r="U6594"/>
  <c r="V6594"/>
  <c r="W6594"/>
  <c r="Y6594"/>
  <c r="AB6594"/>
  <c r="AC6594"/>
  <c r="AD6594"/>
  <c r="P6595"/>
  <c r="T6595"/>
  <c r="U6595"/>
  <c r="V6595"/>
  <c r="W6595"/>
  <c r="Y6595"/>
  <c r="AB6595"/>
  <c r="AC6595"/>
  <c r="AD6595"/>
  <c r="P6596"/>
  <c r="T6596"/>
  <c r="U6596"/>
  <c r="V6596"/>
  <c r="W6596"/>
  <c r="Y6596"/>
  <c r="AB6596"/>
  <c r="AC6596"/>
  <c r="AD6596"/>
  <c r="P6597"/>
  <c r="T6597"/>
  <c r="U6597"/>
  <c r="V6597"/>
  <c r="W6597"/>
  <c r="Y6597"/>
  <c r="AB6597"/>
  <c r="AC6597"/>
  <c r="AD6597"/>
  <c r="P6598"/>
  <c r="T6598"/>
  <c r="U6598"/>
  <c r="V6598"/>
  <c r="W6598"/>
  <c r="Y6598"/>
  <c r="AB6598"/>
  <c r="AC6598"/>
  <c r="AD6598"/>
  <c r="P6599"/>
  <c r="T6599"/>
  <c r="U6599"/>
  <c r="V6599"/>
  <c r="W6599"/>
  <c r="Y6599"/>
  <c r="AB6599"/>
  <c r="AC6599"/>
  <c r="AD6599"/>
  <c r="P6600"/>
  <c r="T6600"/>
  <c r="U6600"/>
  <c r="V6600"/>
  <c r="W6600"/>
  <c r="Y6600"/>
  <c r="AB6600"/>
  <c r="AC6600"/>
  <c r="AD6600"/>
  <c r="P6601"/>
  <c r="T6601"/>
  <c r="U6601"/>
  <c r="V6601"/>
  <c r="W6601"/>
  <c r="Y6601"/>
  <c r="AB6601"/>
  <c r="AC6601"/>
  <c r="AD6601"/>
  <c r="P6602"/>
  <c r="T6602"/>
  <c r="U6602"/>
  <c r="V6602"/>
  <c r="W6602"/>
  <c r="Y6602"/>
  <c r="AB6602"/>
  <c r="AC6602"/>
  <c r="AD6602"/>
  <c r="P6603"/>
  <c r="T6603"/>
  <c r="U6603"/>
  <c r="V6603"/>
  <c r="W6603"/>
  <c r="Y6603"/>
  <c r="AB6603"/>
  <c r="AC6603"/>
  <c r="AD6603"/>
  <c r="P6604"/>
  <c r="T6604"/>
  <c r="U6604"/>
  <c r="V6604"/>
  <c r="W6604"/>
  <c r="Y6604"/>
  <c r="AB6604"/>
  <c r="AC6604"/>
  <c r="AD6604"/>
  <c r="P6605"/>
  <c r="T6605"/>
  <c r="U6605"/>
  <c r="V6605"/>
  <c r="W6605"/>
  <c r="Y6605"/>
  <c r="AB6605"/>
  <c r="AC6605"/>
  <c r="AD6605"/>
  <c r="P6606"/>
  <c r="T6606"/>
  <c r="U6606"/>
  <c r="V6606"/>
  <c r="W6606"/>
  <c r="Y6606"/>
  <c r="AB6606"/>
  <c r="AC6606"/>
  <c r="AD6606"/>
  <c r="P6607"/>
  <c r="T6607"/>
  <c r="U6607"/>
  <c r="V6607"/>
  <c r="W6607"/>
  <c r="Y6607"/>
  <c r="AB6607"/>
  <c r="AC6607"/>
  <c r="AD6607"/>
  <c r="P6608"/>
  <c r="T6608"/>
  <c r="U6608"/>
  <c r="V6608"/>
  <c r="W6608"/>
  <c r="Y6608"/>
  <c r="AB6608"/>
  <c r="AC6608"/>
  <c r="AD6608"/>
  <c r="P6609"/>
  <c r="T6609"/>
  <c r="U6609"/>
  <c r="V6609"/>
  <c r="W6609"/>
  <c r="Y6609"/>
  <c r="AB6609"/>
  <c r="AC6609"/>
  <c r="AD6609"/>
  <c r="P6610"/>
  <c r="T6610"/>
  <c r="U6610"/>
  <c r="V6610"/>
  <c r="W6610"/>
  <c r="Y6610"/>
  <c r="AB6610"/>
  <c r="AC6610"/>
  <c r="AD6610"/>
  <c r="P6611"/>
  <c r="T6611"/>
  <c r="U6611"/>
  <c r="V6611"/>
  <c r="W6611"/>
  <c r="Y6611"/>
  <c r="AB6611"/>
  <c r="AC6611"/>
  <c r="AD6611"/>
  <c r="P6612"/>
  <c r="T6612"/>
  <c r="U6612"/>
  <c r="V6612"/>
  <c r="W6612"/>
  <c r="Y6612"/>
  <c r="AB6612"/>
  <c r="AC6612"/>
  <c r="AD6612"/>
  <c r="P6613"/>
  <c r="T6613"/>
  <c r="U6613"/>
  <c r="V6613"/>
  <c r="W6613"/>
  <c r="Y6613"/>
  <c r="AB6613"/>
  <c r="AC6613"/>
  <c r="AD6613"/>
  <c r="P6614"/>
  <c r="T6614"/>
  <c r="U6614"/>
  <c r="V6614"/>
  <c r="W6614"/>
  <c r="Y6614"/>
  <c r="AB6614"/>
  <c r="AC6614"/>
  <c r="AD6614"/>
  <c r="P6615"/>
  <c r="T6615"/>
  <c r="U6615"/>
  <c r="V6615"/>
  <c r="W6615"/>
  <c r="Y6615"/>
  <c r="AB6615"/>
  <c r="AC6615"/>
  <c r="AD6615"/>
  <c r="P6616"/>
  <c r="T6616"/>
  <c r="U6616"/>
  <c r="V6616"/>
  <c r="W6616"/>
  <c r="Y6616"/>
  <c r="AB6616"/>
  <c r="AC6616"/>
  <c r="AD6616"/>
  <c r="P6617"/>
  <c r="T6617"/>
  <c r="U6617"/>
  <c r="V6617"/>
  <c r="W6617"/>
  <c r="Y6617"/>
  <c r="AB6617"/>
  <c r="AC6617"/>
  <c r="AD6617"/>
  <c r="P6618"/>
  <c r="T6618"/>
  <c r="U6618"/>
  <c r="V6618"/>
  <c r="W6618"/>
  <c r="Y6618"/>
  <c r="AB6618"/>
  <c r="AC6618"/>
  <c r="AD6618"/>
  <c r="P6619"/>
  <c r="T6619"/>
  <c r="U6619"/>
  <c r="V6619"/>
  <c r="W6619"/>
  <c r="Y6619"/>
  <c r="AB6619"/>
  <c r="AC6619"/>
  <c r="AD6619"/>
  <c r="P6620"/>
  <c r="T6620"/>
  <c r="U6620"/>
  <c r="V6620"/>
  <c r="W6620"/>
  <c r="Y6620"/>
  <c r="AB6620"/>
  <c r="AC6620"/>
  <c r="AD6620"/>
  <c r="P6621"/>
  <c r="T6621"/>
  <c r="U6621"/>
  <c r="V6621"/>
  <c r="W6621"/>
  <c r="Y6621"/>
  <c r="AB6621"/>
  <c r="AC6621"/>
  <c r="AD6621"/>
  <c r="P6622"/>
  <c r="T6622"/>
  <c r="U6622"/>
  <c r="V6622"/>
  <c r="W6622"/>
  <c r="Y6622"/>
  <c r="AB6622"/>
  <c r="AC6622"/>
  <c r="AD6622"/>
  <c r="P6623"/>
  <c r="T6623"/>
  <c r="U6623"/>
  <c r="V6623"/>
  <c r="W6623"/>
  <c r="Y6623"/>
  <c r="AB6623"/>
  <c r="AC6623"/>
  <c r="AD6623"/>
  <c r="P6624"/>
  <c r="T6624"/>
  <c r="U6624"/>
  <c r="V6624"/>
  <c r="W6624"/>
  <c r="Y6624"/>
  <c r="AB6624"/>
  <c r="AC6624"/>
  <c r="AD6624"/>
  <c r="P6625"/>
  <c r="T6625"/>
  <c r="U6625"/>
  <c r="V6625"/>
  <c r="W6625"/>
  <c r="Y6625"/>
  <c r="AB6625"/>
  <c r="AC6625"/>
  <c r="AD6625"/>
  <c r="P6626"/>
  <c r="T6626"/>
  <c r="U6626"/>
  <c r="V6626"/>
  <c r="W6626"/>
  <c r="Y6626"/>
  <c r="AB6626"/>
  <c r="AC6626"/>
  <c r="AD6626"/>
  <c r="P6627"/>
  <c r="T6627"/>
  <c r="U6627"/>
  <c r="V6627"/>
  <c r="W6627"/>
  <c r="Y6627"/>
  <c r="AB6627"/>
  <c r="AC6627"/>
  <c r="AD6627"/>
  <c r="P6628"/>
  <c r="T6628"/>
  <c r="U6628"/>
  <c r="V6628"/>
  <c r="W6628"/>
  <c r="Y6628"/>
  <c r="AB6628"/>
  <c r="AC6628"/>
  <c r="AD6628"/>
  <c r="P6629"/>
  <c r="T6629"/>
  <c r="U6629"/>
  <c r="V6629"/>
  <c r="W6629"/>
  <c r="Y6629"/>
  <c r="AB6629"/>
  <c r="AC6629"/>
  <c r="AD6629"/>
  <c r="P6630"/>
  <c r="T6630"/>
  <c r="U6630"/>
  <c r="V6630"/>
  <c r="W6630"/>
  <c r="Y6630"/>
  <c r="AB6630"/>
  <c r="AC6630"/>
  <c r="AD6630"/>
  <c r="P6631"/>
  <c r="T6631"/>
  <c r="U6631"/>
  <c r="V6631"/>
  <c r="W6631"/>
  <c r="Y6631"/>
  <c r="AB6631"/>
  <c r="AC6631"/>
  <c r="AD6631"/>
  <c r="P6632"/>
  <c r="T6632"/>
  <c r="U6632"/>
  <c r="V6632"/>
  <c r="W6632"/>
  <c r="Y6632"/>
  <c r="AB6632"/>
  <c r="AC6632"/>
  <c r="AD6632"/>
  <c r="P6633"/>
  <c r="T6633"/>
  <c r="U6633"/>
  <c r="V6633"/>
  <c r="W6633"/>
  <c r="Y6633"/>
  <c r="AB6633"/>
  <c r="AC6633"/>
  <c r="AD6633"/>
  <c r="P6634"/>
  <c r="T6634"/>
  <c r="U6634"/>
  <c r="V6634"/>
  <c r="W6634"/>
  <c r="Y6634"/>
  <c r="AB6634"/>
  <c r="AC6634"/>
  <c r="AD6634"/>
  <c r="P6635"/>
  <c r="T6635"/>
  <c r="U6635"/>
  <c r="V6635"/>
  <c r="W6635"/>
  <c r="Y6635"/>
  <c r="AB6635"/>
  <c r="AC6635"/>
  <c r="AD6635"/>
  <c r="P6636"/>
  <c r="T6636"/>
  <c r="U6636"/>
  <c r="V6636"/>
  <c r="W6636"/>
  <c r="Y6636"/>
  <c r="AB6636"/>
  <c r="AC6636"/>
  <c r="AD6636"/>
  <c r="P6637"/>
  <c r="T6637"/>
  <c r="U6637"/>
  <c r="V6637"/>
  <c r="W6637"/>
  <c r="Y6637"/>
  <c r="AB6637"/>
  <c r="AC6637"/>
  <c r="AD6637"/>
  <c r="P6638"/>
  <c r="T6638"/>
  <c r="U6638"/>
  <c r="V6638"/>
  <c r="W6638"/>
  <c r="Y6638"/>
  <c r="AB6638"/>
  <c r="AC6638"/>
  <c r="AD6638"/>
  <c r="P6639"/>
  <c r="T6639"/>
  <c r="U6639"/>
  <c r="V6639"/>
  <c r="W6639"/>
  <c r="Y6639"/>
  <c r="AB6639"/>
  <c r="AC6639"/>
  <c r="AD6639"/>
  <c r="P6640"/>
  <c r="T6640"/>
  <c r="U6640"/>
  <c r="V6640"/>
  <c r="W6640"/>
  <c r="Y6640"/>
  <c r="AB6640"/>
  <c r="AC6640"/>
  <c r="AD6640"/>
  <c r="P6641"/>
  <c r="T6641"/>
  <c r="U6641"/>
  <c r="V6641"/>
  <c r="W6641"/>
  <c r="Y6641"/>
  <c r="AB6641"/>
  <c r="AC6641"/>
  <c r="AD6641"/>
  <c r="P6642"/>
  <c r="T6642"/>
  <c r="U6642"/>
  <c r="V6642"/>
  <c r="W6642"/>
  <c r="Y6642"/>
  <c r="AB6642"/>
  <c r="AC6642"/>
  <c r="AD6642"/>
  <c r="P6643"/>
  <c r="T6643"/>
  <c r="U6643"/>
  <c r="V6643"/>
  <c r="W6643"/>
  <c r="Y6643"/>
  <c r="AB6643"/>
  <c r="AC6643"/>
  <c r="AD6643"/>
  <c r="P6644"/>
  <c r="T6644"/>
  <c r="U6644"/>
  <c r="V6644"/>
  <c r="W6644"/>
  <c r="Y6644"/>
  <c r="AB6644"/>
  <c r="AC6644"/>
  <c r="AD6644"/>
  <c r="P6645"/>
  <c r="T6645"/>
  <c r="U6645"/>
  <c r="V6645"/>
  <c r="W6645"/>
  <c r="Y6645"/>
  <c r="AB6645"/>
  <c r="AC6645"/>
  <c r="AD6645"/>
  <c r="P6646"/>
  <c r="T6646"/>
  <c r="U6646"/>
  <c r="V6646"/>
  <c r="W6646"/>
  <c r="Y6646"/>
  <c r="AB6646"/>
  <c r="AC6646"/>
  <c r="AD6646"/>
  <c r="P6647"/>
  <c r="T6647"/>
  <c r="U6647"/>
  <c r="V6647"/>
  <c r="W6647"/>
  <c r="Y6647"/>
  <c r="AB6647"/>
  <c r="AC6647"/>
  <c r="AD6647"/>
  <c r="P6648"/>
  <c r="T6648"/>
  <c r="U6648"/>
  <c r="V6648"/>
  <c r="W6648"/>
  <c r="Y6648"/>
  <c r="AB6648"/>
  <c r="AC6648"/>
  <c r="AD6648"/>
  <c r="P6649"/>
  <c r="T6649"/>
  <c r="U6649"/>
  <c r="V6649"/>
  <c r="W6649"/>
  <c r="Y6649"/>
  <c r="AB6649"/>
  <c r="AC6649"/>
  <c r="AD6649"/>
  <c r="P6650"/>
  <c r="T6650"/>
  <c r="U6650"/>
  <c r="V6650"/>
  <c r="W6650"/>
  <c r="Y6650"/>
  <c r="AB6650"/>
  <c r="AC6650"/>
  <c r="AD6650"/>
  <c r="P6651"/>
  <c r="T6651"/>
  <c r="U6651"/>
  <c r="V6651"/>
  <c r="W6651"/>
  <c r="Y6651"/>
  <c r="AB6651"/>
  <c r="AC6651"/>
  <c r="AD6651"/>
  <c r="P6652"/>
  <c r="T6652"/>
  <c r="U6652"/>
  <c r="V6652"/>
  <c r="W6652"/>
  <c r="Y6652"/>
  <c r="AB6652"/>
  <c r="AC6652"/>
  <c r="AD6652"/>
  <c r="P6653"/>
  <c r="T6653"/>
  <c r="U6653"/>
  <c r="V6653"/>
  <c r="W6653"/>
  <c r="Y6653"/>
  <c r="AB6653"/>
  <c r="AC6653"/>
  <c r="AD6653"/>
  <c r="P6654"/>
  <c r="T6654"/>
  <c r="U6654"/>
  <c r="V6654"/>
  <c r="W6654"/>
  <c r="Y6654"/>
  <c r="AB6654"/>
  <c r="AC6654"/>
  <c r="AD6654"/>
  <c r="P6655"/>
  <c r="T6655"/>
  <c r="U6655"/>
  <c r="V6655"/>
  <c r="W6655"/>
  <c r="Y6655"/>
  <c r="AB6655"/>
  <c r="AC6655"/>
  <c r="AD6655"/>
  <c r="P6656"/>
  <c r="T6656"/>
  <c r="U6656"/>
  <c r="V6656"/>
  <c r="W6656"/>
  <c r="Y6656"/>
  <c r="AB6656"/>
  <c r="AC6656"/>
  <c r="AD6656"/>
  <c r="P6657"/>
  <c r="T6657"/>
  <c r="U6657"/>
  <c r="V6657"/>
  <c r="W6657"/>
  <c r="Y6657"/>
  <c r="AB6657"/>
  <c r="AC6657"/>
  <c r="AD6657"/>
  <c r="P6658"/>
  <c r="T6658"/>
  <c r="U6658"/>
  <c r="V6658"/>
  <c r="W6658"/>
  <c r="Y6658"/>
  <c r="AB6658"/>
  <c r="AC6658"/>
  <c r="AD6658"/>
  <c r="P6659"/>
  <c r="T6659"/>
  <c r="U6659"/>
  <c r="V6659"/>
  <c r="W6659"/>
  <c r="Y6659"/>
  <c r="AB6659"/>
  <c r="AC6659"/>
  <c r="AD6659"/>
  <c r="P6660"/>
  <c r="T6660"/>
  <c r="U6660"/>
  <c r="V6660"/>
  <c r="W6660"/>
  <c r="Y6660"/>
  <c r="AB6660"/>
  <c r="AC6660"/>
  <c r="AD6660"/>
  <c r="P6661"/>
  <c r="T6661"/>
  <c r="U6661"/>
  <c r="V6661"/>
  <c r="W6661"/>
  <c r="Y6661"/>
  <c r="AB6661"/>
  <c r="AC6661"/>
  <c r="AD6661"/>
  <c r="P6662"/>
  <c r="T6662"/>
  <c r="U6662"/>
  <c r="V6662"/>
  <c r="W6662"/>
  <c r="Y6662"/>
  <c r="AB6662"/>
  <c r="AC6662"/>
  <c r="AD6662"/>
  <c r="P6663"/>
  <c r="T6663"/>
  <c r="U6663"/>
  <c r="V6663"/>
  <c r="W6663"/>
  <c r="Y6663"/>
  <c r="AB6663"/>
  <c r="AC6663"/>
  <c r="AD6663"/>
  <c r="P6664"/>
  <c r="T6664"/>
  <c r="U6664"/>
  <c r="V6664"/>
  <c r="W6664"/>
  <c r="Y6664"/>
  <c r="AB6664"/>
  <c r="AC6664"/>
  <c r="AD6664"/>
  <c r="P6665"/>
  <c r="T6665"/>
  <c r="U6665"/>
  <c r="V6665"/>
  <c r="W6665"/>
  <c r="Y6665"/>
  <c r="AB6665"/>
  <c r="AC6665"/>
  <c r="AD6665"/>
  <c r="P6666"/>
  <c r="T6666"/>
  <c r="U6666"/>
  <c r="V6666"/>
  <c r="W6666"/>
  <c r="Y6666"/>
  <c r="AB6666"/>
  <c r="AC6666"/>
  <c r="AD6666"/>
  <c r="P6667"/>
  <c r="T6667"/>
  <c r="U6667"/>
  <c r="V6667"/>
  <c r="W6667"/>
  <c r="Y6667"/>
  <c r="AB6667"/>
  <c r="AC6667"/>
  <c r="AD6667"/>
  <c r="P6668"/>
  <c r="T6668"/>
  <c r="U6668"/>
  <c r="V6668"/>
  <c r="W6668"/>
  <c r="Y6668"/>
  <c r="AB6668"/>
  <c r="AC6668"/>
  <c r="AD6668"/>
  <c r="P6669"/>
  <c r="T6669"/>
  <c r="U6669"/>
  <c r="V6669"/>
  <c r="W6669"/>
  <c r="Y6669"/>
  <c r="AB6669"/>
  <c r="AC6669"/>
  <c r="AD6669"/>
  <c r="P6670"/>
  <c r="T6670"/>
  <c r="U6670"/>
  <c r="V6670"/>
  <c r="W6670"/>
  <c r="Y6670"/>
  <c r="AB6670"/>
  <c r="AC6670"/>
  <c r="AD6670"/>
  <c r="P6671"/>
  <c r="T6671"/>
  <c r="U6671"/>
  <c r="V6671"/>
  <c r="W6671"/>
  <c r="Y6671"/>
  <c r="AB6671"/>
  <c r="AC6671"/>
  <c r="AD6671"/>
  <c r="P6672"/>
  <c r="T6672"/>
  <c r="U6672"/>
  <c r="V6672"/>
  <c r="W6672"/>
  <c r="Y6672"/>
  <c r="AB6672"/>
  <c r="AC6672"/>
  <c r="AD6672"/>
  <c r="P6673"/>
  <c r="T6673"/>
  <c r="U6673"/>
  <c r="V6673"/>
  <c r="W6673"/>
  <c r="Y6673"/>
  <c r="AB6673"/>
  <c r="AC6673"/>
  <c r="AD6673"/>
  <c r="P6674"/>
  <c r="T6674"/>
  <c r="U6674"/>
  <c r="V6674"/>
  <c r="W6674"/>
  <c r="Y6674"/>
  <c r="AB6674"/>
  <c r="AC6674"/>
  <c r="AD6674"/>
  <c r="P6675"/>
  <c r="T6675"/>
  <c r="U6675"/>
  <c r="V6675"/>
  <c r="W6675"/>
  <c r="Y6675"/>
  <c r="AB6675"/>
  <c r="AC6675"/>
  <c r="AD6675"/>
  <c r="P6676"/>
  <c r="T6676"/>
  <c r="U6676"/>
  <c r="V6676"/>
  <c r="W6676"/>
  <c r="Y6676"/>
  <c r="AB6676"/>
  <c r="AC6676"/>
  <c r="AD6676"/>
  <c r="P6677"/>
  <c r="T6677"/>
  <c r="U6677"/>
  <c r="V6677"/>
  <c r="W6677"/>
  <c r="Y6677"/>
  <c r="AB6677"/>
  <c r="AC6677"/>
  <c r="AD6677"/>
  <c r="P6678"/>
  <c r="T6678"/>
  <c r="U6678"/>
  <c r="V6678"/>
  <c r="W6678"/>
  <c r="Y6678"/>
  <c r="AB6678"/>
  <c r="AC6678"/>
  <c r="AD6678"/>
  <c r="P6679"/>
  <c r="T6679"/>
  <c r="U6679"/>
  <c r="V6679"/>
  <c r="W6679"/>
  <c r="Y6679"/>
  <c r="AB6679"/>
  <c r="AC6679"/>
  <c r="AD6679"/>
  <c r="P6680"/>
  <c r="T6680"/>
  <c r="U6680"/>
  <c r="V6680"/>
  <c r="W6680"/>
  <c r="Y6680"/>
  <c r="AB6680"/>
  <c r="AC6680"/>
  <c r="AD6680"/>
  <c r="P6681"/>
  <c r="T6681"/>
  <c r="U6681"/>
  <c r="V6681"/>
  <c r="W6681"/>
  <c r="Y6681"/>
  <c r="AB6681"/>
  <c r="AC6681"/>
  <c r="AD6681"/>
  <c r="P6682"/>
  <c r="T6682"/>
  <c r="U6682"/>
  <c r="V6682"/>
  <c r="W6682"/>
  <c r="Y6682"/>
  <c r="AB6682"/>
  <c r="AC6682"/>
  <c r="AD6682"/>
  <c r="P6683"/>
  <c r="T6683"/>
  <c r="U6683"/>
  <c r="V6683"/>
  <c r="W6683"/>
  <c r="Y6683"/>
  <c r="AB6683"/>
  <c r="AC6683"/>
  <c r="AD6683"/>
  <c r="P6684"/>
  <c r="T6684"/>
  <c r="U6684"/>
  <c r="V6684"/>
  <c r="W6684"/>
  <c r="Y6684"/>
  <c r="AB6684"/>
  <c r="AC6684"/>
  <c r="AD6684"/>
  <c r="P6685"/>
  <c r="T6685"/>
  <c r="U6685"/>
  <c r="V6685"/>
  <c r="W6685"/>
  <c r="Y6685"/>
  <c r="AB6685"/>
  <c r="AC6685"/>
  <c r="AD6685"/>
  <c r="P6686"/>
  <c r="T6686"/>
  <c r="U6686"/>
  <c r="V6686"/>
  <c r="W6686"/>
  <c r="Y6686"/>
  <c r="AB6686"/>
  <c r="AC6686"/>
  <c r="AD6686"/>
  <c r="P6687"/>
  <c r="T6687"/>
  <c r="U6687"/>
  <c r="V6687"/>
  <c r="W6687"/>
  <c r="Y6687"/>
  <c r="AB6687"/>
  <c r="AC6687"/>
  <c r="AD6687"/>
  <c r="P6688"/>
  <c r="T6688"/>
  <c r="U6688"/>
  <c r="V6688"/>
  <c r="W6688"/>
  <c r="Y6688"/>
  <c r="AB6688"/>
  <c r="AC6688"/>
  <c r="AD6688"/>
  <c r="P6689"/>
  <c r="T6689"/>
  <c r="U6689"/>
  <c r="V6689"/>
  <c r="W6689"/>
  <c r="Y6689"/>
  <c r="AB6689"/>
  <c r="AC6689"/>
  <c r="AD6689"/>
  <c r="P6690"/>
  <c r="T6690"/>
  <c r="U6690"/>
  <c r="V6690"/>
  <c r="W6690"/>
  <c r="Y6690"/>
  <c r="AB6690"/>
  <c r="AC6690"/>
  <c r="AD6690"/>
  <c r="P6691"/>
  <c r="T6691"/>
  <c r="U6691"/>
  <c r="V6691"/>
  <c r="W6691"/>
  <c r="Y6691"/>
  <c r="AB6691"/>
  <c r="AC6691"/>
  <c r="AD6691"/>
  <c r="P6692"/>
  <c r="T6692"/>
  <c r="U6692"/>
  <c r="V6692"/>
  <c r="W6692"/>
  <c r="Y6692"/>
  <c r="AB6692"/>
  <c r="AC6692"/>
  <c r="AD6692"/>
  <c r="P6693"/>
  <c r="T6693"/>
  <c r="U6693"/>
  <c r="V6693"/>
  <c r="W6693"/>
  <c r="Y6693"/>
  <c r="AB6693"/>
  <c r="AC6693"/>
  <c r="AD6693"/>
  <c r="P6694"/>
  <c r="T6694"/>
  <c r="U6694"/>
  <c r="V6694"/>
  <c r="W6694"/>
  <c r="Y6694"/>
  <c r="AB6694"/>
  <c r="AC6694"/>
  <c r="AD6694"/>
  <c r="P6695"/>
  <c r="T6695"/>
  <c r="U6695"/>
  <c r="V6695"/>
  <c r="W6695"/>
  <c r="Y6695"/>
  <c r="AB6695"/>
  <c r="AC6695"/>
  <c r="AD6695"/>
  <c r="P6696"/>
  <c r="T6696"/>
  <c r="U6696"/>
  <c r="V6696"/>
  <c r="W6696"/>
  <c r="Y6696"/>
  <c r="AB6696"/>
  <c r="AC6696"/>
  <c r="AD6696"/>
  <c r="P6697"/>
  <c r="T6697"/>
  <c r="U6697"/>
  <c r="V6697"/>
  <c r="W6697"/>
  <c r="Y6697"/>
  <c r="AB6697"/>
  <c r="AC6697"/>
  <c r="AD6697"/>
  <c r="P6698"/>
  <c r="T6698"/>
  <c r="U6698"/>
  <c r="V6698"/>
  <c r="W6698"/>
  <c r="Y6698"/>
  <c r="AB6698"/>
  <c r="AC6698"/>
  <c r="AD6698"/>
  <c r="P6699"/>
  <c r="T6699"/>
  <c r="U6699"/>
  <c r="V6699"/>
  <c r="W6699"/>
  <c r="Y6699"/>
  <c r="AB6699"/>
  <c r="AC6699"/>
  <c r="AD6699"/>
  <c r="P6700"/>
  <c r="T6700"/>
  <c r="U6700"/>
  <c r="V6700"/>
  <c r="W6700"/>
  <c r="Y6700"/>
  <c r="AB6700"/>
  <c r="AC6700"/>
  <c r="AD6700"/>
  <c r="P6701"/>
  <c r="T6701"/>
  <c r="U6701"/>
  <c r="V6701"/>
  <c r="W6701"/>
  <c r="Y6701"/>
  <c r="AB6701"/>
  <c r="AC6701"/>
  <c r="AD6701"/>
  <c r="P6702"/>
  <c r="T6702"/>
  <c r="U6702"/>
  <c r="V6702"/>
  <c r="W6702"/>
  <c r="Y6702"/>
  <c r="AB6702"/>
  <c r="AC6702"/>
  <c r="AD6702"/>
  <c r="P6703"/>
  <c r="T6703"/>
  <c r="U6703"/>
  <c r="V6703"/>
  <c r="W6703"/>
  <c r="Y6703"/>
  <c r="AB6703"/>
  <c r="AC6703"/>
  <c r="AD6703"/>
  <c r="P6704"/>
  <c r="T6704"/>
  <c r="U6704"/>
  <c r="V6704"/>
  <c r="W6704"/>
  <c r="Y6704"/>
  <c r="AB6704"/>
  <c r="AC6704"/>
  <c r="AD6704"/>
  <c r="P6705"/>
  <c r="T6705"/>
  <c r="U6705"/>
  <c r="V6705"/>
  <c r="W6705"/>
  <c r="Y6705"/>
  <c r="AB6705"/>
  <c r="AC6705"/>
  <c r="AD6705"/>
  <c r="P6706"/>
  <c r="T6706"/>
  <c r="U6706"/>
  <c r="V6706"/>
  <c r="W6706"/>
  <c r="Y6706"/>
  <c r="AB6706"/>
  <c r="AC6706"/>
  <c r="AD6706"/>
  <c r="P6707"/>
  <c r="T6707"/>
  <c r="U6707"/>
  <c r="V6707"/>
  <c r="W6707"/>
  <c r="Y6707"/>
  <c r="AB6707"/>
  <c r="AC6707"/>
  <c r="AD6707"/>
  <c r="P6708"/>
  <c r="T6708"/>
  <c r="U6708"/>
  <c r="V6708"/>
  <c r="W6708"/>
  <c r="Y6708"/>
  <c r="AB6708"/>
  <c r="AC6708"/>
  <c r="AD6708"/>
  <c r="P6709"/>
  <c r="T6709"/>
  <c r="U6709"/>
  <c r="V6709"/>
  <c r="W6709"/>
  <c r="Y6709"/>
  <c r="AB6709"/>
  <c r="AC6709"/>
  <c r="AD6709"/>
  <c r="P6710"/>
  <c r="T6710"/>
  <c r="U6710"/>
  <c r="V6710"/>
  <c r="W6710"/>
  <c r="Y6710"/>
  <c r="AB6710"/>
  <c r="AC6710"/>
  <c r="AD6710"/>
  <c r="P6711"/>
  <c r="T6711"/>
  <c r="U6711"/>
  <c r="V6711"/>
  <c r="W6711"/>
  <c r="Y6711"/>
  <c r="AB6711"/>
  <c r="AC6711"/>
  <c r="AD6711"/>
  <c r="P6712"/>
  <c r="T6712"/>
  <c r="U6712"/>
  <c r="V6712"/>
  <c r="W6712"/>
  <c r="Y6712"/>
  <c r="AB6712"/>
  <c r="AC6712"/>
  <c r="AD6712"/>
  <c r="P6713"/>
  <c r="T6713"/>
  <c r="U6713"/>
  <c r="V6713"/>
  <c r="W6713"/>
  <c r="Y6713"/>
  <c r="AB6713"/>
  <c r="AC6713"/>
  <c r="AD6713"/>
  <c r="P6714"/>
  <c r="T6714"/>
  <c r="U6714"/>
  <c r="V6714"/>
  <c r="W6714"/>
  <c r="Y6714"/>
  <c r="AB6714"/>
  <c r="AC6714"/>
  <c r="AD6714"/>
  <c r="P6715"/>
  <c r="T6715"/>
  <c r="U6715"/>
  <c r="V6715"/>
  <c r="W6715"/>
  <c r="Y6715"/>
  <c r="AB6715"/>
  <c r="AC6715"/>
  <c r="AD6715"/>
  <c r="P6716"/>
  <c r="T6716"/>
  <c r="U6716"/>
  <c r="V6716"/>
  <c r="W6716"/>
  <c r="Y6716"/>
  <c r="AB6716"/>
  <c r="AC6716"/>
  <c r="AD6716"/>
  <c r="P6717"/>
  <c r="T6717"/>
  <c r="U6717"/>
  <c r="V6717"/>
  <c r="W6717"/>
  <c r="Y6717"/>
  <c r="AB6717"/>
  <c r="AC6717"/>
  <c r="AD6717"/>
  <c r="P6718"/>
  <c r="T6718"/>
  <c r="U6718"/>
  <c r="V6718"/>
  <c r="W6718"/>
  <c r="Y6718"/>
  <c r="AB6718"/>
  <c r="AC6718"/>
  <c r="AD6718"/>
  <c r="P6719"/>
  <c r="T6719"/>
  <c r="U6719"/>
  <c r="V6719"/>
  <c r="W6719"/>
  <c r="Y6719"/>
  <c r="AB6719"/>
  <c r="AC6719"/>
  <c r="AD6719"/>
  <c r="P6720"/>
  <c r="T6720"/>
  <c r="U6720"/>
  <c r="V6720"/>
  <c r="W6720"/>
  <c r="Y6720"/>
  <c r="AB6720"/>
  <c r="AC6720"/>
  <c r="AD6720"/>
  <c r="P6721"/>
  <c r="T6721"/>
  <c r="U6721"/>
  <c r="V6721"/>
  <c r="W6721"/>
  <c r="Y6721"/>
  <c r="AB6721"/>
  <c r="AC6721"/>
  <c r="AD6721"/>
  <c r="P6722"/>
  <c r="T6722"/>
  <c r="U6722"/>
  <c r="V6722"/>
  <c r="W6722"/>
  <c r="Y6722"/>
  <c r="AB6722"/>
  <c r="AC6722"/>
  <c r="AD6722"/>
  <c r="P6723"/>
  <c r="T6723"/>
  <c r="U6723"/>
  <c r="V6723"/>
  <c r="W6723"/>
  <c r="Y6723"/>
  <c r="AB6723"/>
  <c r="AC6723"/>
  <c r="AD6723"/>
  <c r="P6724"/>
  <c r="T6724"/>
  <c r="U6724"/>
  <c r="V6724"/>
  <c r="W6724"/>
  <c r="Y6724"/>
  <c r="AB6724"/>
  <c r="AC6724"/>
  <c r="AD6724"/>
  <c r="P6725"/>
  <c r="T6725"/>
  <c r="U6725"/>
  <c r="V6725"/>
  <c r="W6725"/>
  <c r="Y6725"/>
  <c r="AB6725"/>
  <c r="AC6725"/>
  <c r="AD6725"/>
  <c r="P6726"/>
  <c r="T6726"/>
  <c r="U6726"/>
  <c r="V6726"/>
  <c r="W6726"/>
  <c r="Y6726"/>
  <c r="AB6726"/>
  <c r="AC6726"/>
  <c r="AD6726"/>
  <c r="P6727"/>
  <c r="T6727"/>
  <c r="U6727"/>
  <c r="V6727"/>
  <c r="W6727"/>
  <c r="Y6727"/>
  <c r="AB6727"/>
  <c r="AC6727"/>
  <c r="AD6727"/>
  <c r="P6728"/>
  <c r="T6728"/>
  <c r="U6728"/>
  <c r="V6728"/>
  <c r="W6728"/>
  <c r="Y6728"/>
  <c r="AB6728"/>
  <c r="AC6728"/>
  <c r="AD6728"/>
  <c r="P6729"/>
  <c r="T6729"/>
  <c r="U6729"/>
  <c r="V6729"/>
  <c r="W6729"/>
  <c r="Y6729"/>
  <c r="AB6729"/>
  <c r="AC6729"/>
  <c r="AD6729"/>
  <c r="P6730"/>
  <c r="T6730"/>
  <c r="U6730"/>
  <c r="V6730"/>
  <c r="W6730"/>
  <c r="Y6730"/>
  <c r="AB6730"/>
  <c r="AC6730"/>
  <c r="AD6730"/>
  <c r="P6731"/>
  <c r="T6731"/>
  <c r="U6731"/>
  <c r="V6731"/>
  <c r="W6731"/>
  <c r="Y6731"/>
  <c r="AB6731"/>
  <c r="AC6731"/>
  <c r="AD6731"/>
  <c r="P6732"/>
  <c r="T6732"/>
  <c r="U6732"/>
  <c r="V6732"/>
  <c r="W6732"/>
  <c r="Y6732"/>
  <c r="AB6732"/>
  <c r="AC6732"/>
  <c r="AD6732"/>
  <c r="P6733"/>
  <c r="T6733"/>
  <c r="U6733"/>
  <c r="V6733"/>
  <c r="W6733"/>
  <c r="Y6733"/>
  <c r="AB6733"/>
  <c r="AC6733"/>
  <c r="AD6733"/>
  <c r="P6734"/>
  <c r="T6734"/>
  <c r="U6734"/>
  <c r="V6734"/>
  <c r="W6734"/>
  <c r="Y6734"/>
  <c r="AB6734"/>
  <c r="AC6734"/>
  <c r="AD6734"/>
  <c r="P6735"/>
  <c r="T6735"/>
  <c r="U6735"/>
  <c r="V6735"/>
  <c r="W6735"/>
  <c r="Y6735"/>
  <c r="AB6735"/>
  <c r="AC6735"/>
  <c r="AD6735"/>
  <c r="P6736"/>
  <c r="T6736"/>
  <c r="U6736"/>
  <c r="V6736"/>
  <c r="W6736"/>
  <c r="Y6736"/>
  <c r="AB6736"/>
  <c r="AC6736"/>
  <c r="AD6736"/>
  <c r="P6737"/>
  <c r="T6737"/>
  <c r="U6737"/>
  <c r="V6737"/>
  <c r="W6737"/>
  <c r="Y6737"/>
  <c r="AB6737"/>
  <c r="AC6737"/>
  <c r="AD6737"/>
  <c r="P6738"/>
  <c r="T6738"/>
  <c r="U6738"/>
  <c r="V6738"/>
  <c r="W6738"/>
  <c r="Y6738"/>
  <c r="AB6738"/>
  <c r="AC6738"/>
  <c r="AD6738"/>
  <c r="P6739"/>
  <c r="T6739"/>
  <c r="U6739"/>
  <c r="V6739"/>
  <c r="W6739"/>
  <c r="Y6739"/>
  <c r="AB6739"/>
  <c r="AC6739"/>
  <c r="AD6739"/>
  <c r="P6740"/>
  <c r="T6740"/>
  <c r="U6740"/>
  <c r="V6740"/>
  <c r="W6740"/>
  <c r="Y6740"/>
  <c r="AB6740"/>
  <c r="AC6740"/>
  <c r="AD6740"/>
  <c r="P6741"/>
  <c r="T6741"/>
  <c r="U6741"/>
  <c r="V6741"/>
  <c r="W6741"/>
  <c r="Y6741"/>
  <c r="AB6741"/>
  <c r="AC6741"/>
  <c r="AD6741"/>
  <c r="P6742"/>
  <c r="T6742"/>
  <c r="U6742"/>
  <c r="V6742"/>
  <c r="W6742"/>
  <c r="Y6742"/>
  <c r="AB6742"/>
  <c r="AC6742"/>
  <c r="AD6742"/>
  <c r="P6743"/>
  <c r="T6743"/>
  <c r="U6743"/>
  <c r="V6743"/>
  <c r="W6743"/>
  <c r="Y6743"/>
  <c r="AB6743"/>
  <c r="AC6743"/>
  <c r="AD6743"/>
  <c r="P6744"/>
  <c r="T6744"/>
  <c r="U6744"/>
  <c r="V6744"/>
  <c r="W6744"/>
  <c r="Y6744"/>
  <c r="AB6744"/>
  <c r="AC6744"/>
  <c r="AD6744"/>
  <c r="P6745"/>
  <c r="T6745"/>
  <c r="U6745"/>
  <c r="V6745"/>
  <c r="W6745"/>
  <c r="Y6745"/>
  <c r="AB6745"/>
  <c r="AC6745"/>
  <c r="AD6745"/>
  <c r="P6746"/>
  <c r="T6746"/>
  <c r="U6746"/>
  <c r="V6746"/>
  <c r="W6746"/>
  <c r="Y6746"/>
  <c r="AB6746"/>
  <c r="AC6746"/>
  <c r="AD6746"/>
  <c r="P6747"/>
  <c r="T6747"/>
  <c r="U6747"/>
  <c r="V6747"/>
  <c r="W6747"/>
  <c r="Y6747"/>
  <c r="AB6747"/>
  <c r="AC6747"/>
  <c r="AD6747"/>
  <c r="P6748"/>
  <c r="T6748"/>
  <c r="U6748"/>
  <c r="V6748"/>
  <c r="W6748"/>
  <c r="Y6748"/>
  <c r="AB6748"/>
  <c r="AC6748"/>
  <c r="AD6748"/>
  <c r="P6749"/>
  <c r="T6749"/>
  <c r="U6749"/>
  <c r="V6749"/>
  <c r="W6749"/>
  <c r="Y6749"/>
  <c r="AB6749"/>
  <c r="AC6749"/>
  <c r="AD6749"/>
  <c r="P6750"/>
  <c r="T6750"/>
  <c r="U6750"/>
  <c r="V6750"/>
  <c r="W6750"/>
  <c r="Y6750"/>
  <c r="AB6750"/>
  <c r="AC6750"/>
  <c r="AD6750"/>
  <c r="P6751"/>
  <c r="T6751"/>
  <c r="U6751"/>
  <c r="V6751"/>
  <c r="W6751"/>
  <c r="Y6751"/>
  <c r="AB6751"/>
  <c r="AC6751"/>
  <c r="AD6751"/>
  <c r="P6752"/>
  <c r="T6752"/>
  <c r="U6752"/>
  <c r="V6752"/>
  <c r="W6752"/>
  <c r="Y6752"/>
  <c r="AB6752"/>
  <c r="AC6752"/>
  <c r="AD6752"/>
  <c r="P6753"/>
  <c r="T6753"/>
  <c r="U6753"/>
  <c r="V6753"/>
  <c r="W6753"/>
  <c r="Y6753"/>
  <c r="AB6753"/>
  <c r="AC6753"/>
  <c r="AD6753"/>
  <c r="P6754"/>
  <c r="T6754"/>
  <c r="U6754"/>
  <c r="V6754"/>
  <c r="W6754"/>
  <c r="Y6754"/>
  <c r="AB6754"/>
  <c r="AC6754"/>
  <c r="AD6754"/>
  <c r="P6755"/>
  <c r="T6755"/>
  <c r="U6755"/>
  <c r="V6755"/>
  <c r="W6755"/>
  <c r="Y6755"/>
  <c r="AB6755"/>
  <c r="AC6755"/>
  <c r="AD6755"/>
  <c r="P6756"/>
  <c r="T6756"/>
  <c r="U6756"/>
  <c r="V6756"/>
  <c r="W6756"/>
  <c r="Y6756"/>
  <c r="AB6756"/>
  <c r="AC6756"/>
  <c r="AD6756"/>
  <c r="P6757"/>
  <c r="T6757"/>
  <c r="U6757"/>
  <c r="V6757"/>
  <c r="W6757"/>
  <c r="Y6757"/>
  <c r="AB6757"/>
  <c r="AC6757"/>
  <c r="AD6757"/>
  <c r="P6758"/>
  <c r="T6758"/>
  <c r="U6758"/>
  <c r="V6758"/>
  <c r="W6758"/>
  <c r="Y6758"/>
  <c r="AB6758"/>
  <c r="AC6758"/>
  <c r="AD6758"/>
  <c r="P6759"/>
  <c r="T6759"/>
  <c r="U6759"/>
  <c r="V6759"/>
  <c r="W6759"/>
  <c r="Y6759"/>
  <c r="AB6759"/>
  <c r="AC6759"/>
  <c r="AD6759"/>
  <c r="P6760"/>
  <c r="T6760"/>
  <c r="U6760"/>
  <c r="V6760"/>
  <c r="W6760"/>
  <c r="Y6760"/>
  <c r="AB6760"/>
  <c r="AC6760"/>
  <c r="AD6760"/>
  <c r="P6761"/>
  <c r="T6761"/>
  <c r="U6761"/>
  <c r="V6761"/>
  <c r="W6761"/>
  <c r="Y6761"/>
  <c r="AB6761"/>
  <c r="AC6761"/>
  <c r="AD6761"/>
  <c r="P6762"/>
  <c r="T6762"/>
  <c r="U6762"/>
  <c r="V6762"/>
  <c r="W6762"/>
  <c r="Y6762"/>
  <c r="AB6762"/>
  <c r="AC6762"/>
  <c r="AD6762"/>
  <c r="P6763"/>
  <c r="T6763"/>
  <c r="U6763"/>
  <c r="V6763"/>
  <c r="W6763"/>
  <c r="Y6763"/>
  <c r="AB6763"/>
  <c r="AC6763"/>
  <c r="AD6763"/>
  <c r="P6764"/>
  <c r="T6764"/>
  <c r="U6764"/>
  <c r="V6764"/>
  <c r="W6764"/>
  <c r="Y6764"/>
  <c r="AB6764"/>
  <c r="AC6764"/>
  <c r="AD6764"/>
  <c r="P6765"/>
  <c r="T6765"/>
  <c r="U6765"/>
  <c r="V6765"/>
  <c r="W6765"/>
  <c r="Y6765"/>
  <c r="AB6765"/>
  <c r="AC6765"/>
  <c r="AD6765"/>
  <c r="P6766"/>
  <c r="T6766"/>
  <c r="U6766"/>
  <c r="V6766"/>
  <c r="W6766"/>
  <c r="Y6766"/>
  <c r="AB6766"/>
  <c r="AC6766"/>
  <c r="AD6766"/>
  <c r="P6767"/>
  <c r="T6767"/>
  <c r="U6767"/>
  <c r="V6767"/>
  <c r="W6767"/>
  <c r="Y6767"/>
  <c r="AB6767"/>
  <c r="AC6767"/>
  <c r="AD6767"/>
  <c r="P6768"/>
  <c r="T6768"/>
  <c r="U6768"/>
  <c r="V6768"/>
  <c r="W6768"/>
  <c r="Y6768"/>
  <c r="AB6768"/>
  <c r="AC6768"/>
  <c r="AD6768"/>
  <c r="P6769"/>
  <c r="T6769"/>
  <c r="U6769"/>
  <c r="V6769"/>
  <c r="W6769"/>
  <c r="Y6769"/>
  <c r="AB6769"/>
  <c r="AC6769"/>
  <c r="AD6769"/>
  <c r="P6770"/>
  <c r="T6770"/>
  <c r="U6770"/>
  <c r="V6770"/>
  <c r="W6770"/>
  <c r="Y6770"/>
  <c r="AB6770"/>
  <c r="AC6770"/>
  <c r="AD6770"/>
  <c r="P6771"/>
  <c r="T6771"/>
  <c r="U6771"/>
  <c r="V6771"/>
  <c r="W6771"/>
  <c r="Y6771"/>
  <c r="AB6771"/>
  <c r="AC6771"/>
  <c r="AD6771"/>
  <c r="P6772"/>
  <c r="T6772"/>
  <c r="U6772"/>
  <c r="V6772"/>
  <c r="W6772"/>
  <c r="Y6772"/>
  <c r="AB6772"/>
  <c r="AC6772"/>
  <c r="AD6772"/>
  <c r="P6773"/>
  <c r="T6773"/>
  <c r="U6773"/>
  <c r="V6773"/>
  <c r="W6773"/>
  <c r="Y6773"/>
  <c r="AB6773"/>
  <c r="AC6773"/>
  <c r="AD6773"/>
  <c r="P6774"/>
  <c r="T6774"/>
  <c r="U6774"/>
  <c r="V6774"/>
  <c r="W6774"/>
  <c r="Y6774"/>
  <c r="AB6774"/>
  <c r="AC6774"/>
  <c r="AD6774"/>
  <c r="P6775"/>
  <c r="T6775"/>
  <c r="U6775"/>
  <c r="V6775"/>
  <c r="W6775"/>
  <c r="Y6775"/>
  <c r="AB6775"/>
  <c r="AC6775"/>
  <c r="AD6775"/>
  <c r="P6776"/>
  <c r="T6776"/>
  <c r="U6776"/>
  <c r="V6776"/>
  <c r="W6776"/>
  <c r="Y6776"/>
  <c r="AB6776"/>
  <c r="AC6776"/>
  <c r="AD6776"/>
  <c r="P6777"/>
  <c r="T6777"/>
  <c r="U6777"/>
  <c r="V6777"/>
  <c r="W6777"/>
  <c r="Y6777"/>
  <c r="AB6777"/>
  <c r="AC6777"/>
  <c r="AD6777"/>
  <c r="P6778"/>
  <c r="T6778"/>
  <c r="U6778"/>
  <c r="V6778"/>
  <c r="W6778"/>
  <c r="Y6778"/>
  <c r="AB6778"/>
  <c r="AC6778"/>
  <c r="AD6778"/>
  <c r="P6779"/>
  <c r="T6779"/>
  <c r="U6779"/>
  <c r="V6779"/>
  <c r="W6779"/>
  <c r="Y6779"/>
  <c r="AB6779"/>
  <c r="AC6779"/>
  <c r="AD6779"/>
  <c r="P6780"/>
  <c r="T6780"/>
  <c r="U6780"/>
  <c r="V6780"/>
  <c r="W6780"/>
  <c r="Y6780"/>
  <c r="AB6780"/>
  <c r="AC6780"/>
  <c r="AD6780"/>
  <c r="P6781"/>
  <c r="T6781"/>
  <c r="U6781"/>
  <c r="V6781"/>
  <c r="W6781"/>
  <c r="Y6781"/>
  <c r="AB6781"/>
  <c r="AC6781"/>
  <c r="AD6781"/>
  <c r="P6782"/>
  <c r="T6782"/>
  <c r="U6782"/>
  <c r="V6782"/>
  <c r="W6782"/>
  <c r="Y6782"/>
  <c r="AB6782"/>
  <c r="AC6782"/>
  <c r="AD6782"/>
  <c r="P6783"/>
  <c r="T6783"/>
  <c r="U6783"/>
  <c r="V6783"/>
  <c r="W6783"/>
  <c r="Y6783"/>
  <c r="AB6783"/>
  <c r="AC6783"/>
  <c r="AD6783"/>
  <c r="P6784"/>
  <c r="T6784"/>
  <c r="U6784"/>
  <c r="V6784"/>
  <c r="W6784"/>
  <c r="Y6784"/>
  <c r="AB6784"/>
  <c r="AC6784"/>
  <c r="AD6784"/>
  <c r="P6785"/>
  <c r="T6785"/>
  <c r="U6785"/>
  <c r="V6785"/>
  <c r="W6785"/>
  <c r="Y6785"/>
  <c r="AB6785"/>
  <c r="AC6785"/>
  <c r="AD6785"/>
  <c r="P6786"/>
  <c r="T6786"/>
  <c r="U6786"/>
  <c r="V6786"/>
  <c r="W6786"/>
  <c r="Y6786"/>
  <c r="AB6786"/>
  <c r="AC6786"/>
  <c r="AD6786"/>
  <c r="P6787"/>
  <c r="T6787"/>
  <c r="U6787"/>
  <c r="V6787"/>
  <c r="W6787"/>
  <c r="Y6787"/>
  <c r="AB6787"/>
  <c r="AC6787"/>
  <c r="AD6787"/>
  <c r="P6788"/>
  <c r="T6788"/>
  <c r="U6788"/>
  <c r="V6788"/>
  <c r="W6788"/>
  <c r="Y6788"/>
  <c r="AB6788"/>
  <c r="AC6788"/>
  <c r="AD6788"/>
  <c r="P6789"/>
  <c r="T6789"/>
  <c r="U6789"/>
  <c r="V6789"/>
  <c r="W6789"/>
  <c r="Y6789"/>
  <c r="AB6789"/>
  <c r="AC6789"/>
  <c r="AD6789"/>
  <c r="P6790"/>
  <c r="T6790"/>
  <c r="U6790"/>
  <c r="V6790"/>
  <c r="W6790"/>
  <c r="Y6790"/>
  <c r="AB6790"/>
  <c r="AC6790"/>
  <c r="AD6790"/>
  <c r="P6791"/>
  <c r="T6791"/>
  <c r="U6791"/>
  <c r="V6791"/>
  <c r="W6791"/>
  <c r="Y6791"/>
  <c r="AB6791"/>
  <c r="AC6791"/>
  <c r="AD6791"/>
  <c r="P6792"/>
  <c r="T6792"/>
  <c r="U6792"/>
  <c r="V6792"/>
  <c r="W6792"/>
  <c r="Y6792"/>
  <c r="AB6792"/>
  <c r="AC6792"/>
  <c r="AD6792"/>
  <c r="P6793"/>
  <c r="T6793"/>
  <c r="U6793"/>
  <c r="V6793"/>
  <c r="W6793"/>
  <c r="Y6793"/>
  <c r="AB6793"/>
  <c r="AC6793"/>
  <c r="AD6793"/>
  <c r="P6794"/>
  <c r="T6794"/>
  <c r="U6794"/>
  <c r="V6794"/>
  <c r="W6794"/>
  <c r="Y6794"/>
  <c r="AB6794"/>
  <c r="AC6794"/>
  <c r="AD6794"/>
  <c r="P6795"/>
  <c r="T6795"/>
  <c r="U6795"/>
  <c r="V6795"/>
  <c r="W6795"/>
  <c r="Y6795"/>
  <c r="AB6795"/>
  <c r="AC6795"/>
  <c r="AD6795"/>
  <c r="P6796"/>
  <c r="T6796"/>
  <c r="U6796"/>
  <c r="V6796"/>
  <c r="W6796"/>
  <c r="Y6796"/>
  <c r="AB6796"/>
  <c r="AC6796"/>
  <c r="AD6796"/>
  <c r="P6797"/>
  <c r="T6797"/>
  <c r="U6797"/>
  <c r="V6797"/>
  <c r="W6797"/>
  <c r="Y6797"/>
  <c r="AB6797"/>
  <c r="AC6797"/>
  <c r="AD6797"/>
  <c r="P6798"/>
  <c r="T6798"/>
  <c r="U6798"/>
  <c r="V6798"/>
  <c r="W6798"/>
  <c r="Y6798"/>
  <c r="AB6798"/>
  <c r="AC6798"/>
  <c r="AD6798"/>
  <c r="P6799"/>
  <c r="T6799"/>
  <c r="U6799"/>
  <c r="V6799"/>
  <c r="W6799"/>
  <c r="Y6799"/>
  <c r="AB6799"/>
  <c r="AC6799"/>
  <c r="AD6799"/>
  <c r="P6800"/>
  <c r="T6800"/>
  <c r="U6800"/>
  <c r="V6800"/>
  <c r="W6800"/>
  <c r="Y6800"/>
  <c r="AB6800"/>
  <c r="AC6800"/>
  <c r="AD6800"/>
  <c r="P6801"/>
  <c r="T6801"/>
  <c r="U6801"/>
  <c r="V6801"/>
  <c r="W6801"/>
  <c r="Y6801"/>
  <c r="AB6801"/>
  <c r="AC6801"/>
  <c r="AD6801"/>
  <c r="P6802"/>
  <c r="T6802"/>
  <c r="U6802"/>
  <c r="V6802"/>
  <c r="W6802"/>
  <c r="Y6802"/>
  <c r="AB6802"/>
  <c r="AC6802"/>
  <c r="AD6802"/>
  <c r="P6803"/>
  <c r="T6803"/>
  <c r="U6803"/>
  <c r="V6803"/>
  <c r="W6803"/>
  <c r="Y6803"/>
  <c r="AB6803"/>
  <c r="AC6803"/>
  <c r="AD6803"/>
  <c r="P6804"/>
  <c r="T6804"/>
  <c r="U6804"/>
  <c r="V6804"/>
  <c r="W6804"/>
  <c r="Y6804"/>
  <c r="AB6804"/>
  <c r="AC6804"/>
  <c r="AD6804"/>
  <c r="P6805"/>
  <c r="T6805"/>
  <c r="U6805"/>
  <c r="V6805"/>
  <c r="W6805"/>
  <c r="Y6805"/>
  <c r="AB6805"/>
  <c r="AC6805"/>
  <c r="AD6805"/>
  <c r="P6806"/>
  <c r="T6806"/>
  <c r="U6806"/>
  <c r="V6806"/>
  <c r="W6806"/>
  <c r="Y6806"/>
  <c r="AB6806"/>
  <c r="AC6806"/>
  <c r="AD6806"/>
  <c r="P6807"/>
  <c r="T6807"/>
  <c r="U6807"/>
  <c r="V6807"/>
  <c r="W6807"/>
  <c r="Y6807"/>
  <c r="AB6807"/>
  <c r="AC6807"/>
  <c r="AD6807"/>
  <c r="P6808"/>
  <c r="T6808"/>
  <c r="U6808"/>
  <c r="V6808"/>
  <c r="W6808"/>
  <c r="Y6808"/>
  <c r="AB6808"/>
  <c r="AC6808"/>
  <c r="AD6808"/>
  <c r="P6809"/>
  <c r="T6809"/>
  <c r="U6809"/>
  <c r="V6809"/>
  <c r="W6809"/>
  <c r="Y6809"/>
  <c r="AB6809"/>
  <c r="AC6809"/>
  <c r="AD6809"/>
  <c r="P6810"/>
  <c r="T6810"/>
  <c r="U6810"/>
  <c r="V6810"/>
  <c r="W6810"/>
  <c r="Y6810"/>
  <c r="AB6810"/>
  <c r="AC6810"/>
  <c r="AD6810"/>
  <c r="P6811"/>
  <c r="T6811"/>
  <c r="U6811"/>
  <c r="V6811"/>
  <c r="W6811"/>
  <c r="Y6811"/>
  <c r="AB6811"/>
  <c r="AC6811"/>
  <c r="AD6811"/>
  <c r="P6812"/>
  <c r="T6812"/>
  <c r="U6812"/>
  <c r="V6812"/>
  <c r="W6812"/>
  <c r="Y6812"/>
  <c r="AB6812"/>
  <c r="AC6812"/>
  <c r="AD6812"/>
  <c r="P6813"/>
  <c r="T6813"/>
  <c r="U6813"/>
  <c r="V6813"/>
  <c r="W6813"/>
  <c r="Y6813"/>
  <c r="AB6813"/>
  <c r="AC6813"/>
  <c r="AD6813"/>
  <c r="P6814"/>
  <c r="T6814"/>
  <c r="U6814"/>
  <c r="V6814"/>
  <c r="W6814"/>
  <c r="Y6814"/>
  <c r="AB6814"/>
  <c r="AC6814"/>
  <c r="AD6814"/>
  <c r="P6815"/>
  <c r="T6815"/>
  <c r="U6815"/>
  <c r="V6815"/>
  <c r="W6815"/>
  <c r="Y6815"/>
  <c r="AB6815"/>
  <c r="AC6815"/>
  <c r="AD6815"/>
  <c r="P6816"/>
  <c r="T6816"/>
  <c r="U6816"/>
  <c r="V6816"/>
  <c r="W6816"/>
  <c r="Y6816"/>
  <c r="AB6816"/>
  <c r="AC6816"/>
  <c r="AD6816"/>
  <c r="P6817"/>
  <c r="T6817"/>
  <c r="U6817"/>
  <c r="V6817"/>
  <c r="W6817"/>
  <c r="Y6817"/>
  <c r="AB6817"/>
  <c r="AC6817"/>
  <c r="AD6817"/>
  <c r="P6818"/>
  <c r="T6818"/>
  <c r="U6818"/>
  <c r="V6818"/>
  <c r="W6818"/>
  <c r="Y6818"/>
  <c r="AB6818"/>
  <c r="AC6818"/>
  <c r="AD6818"/>
  <c r="P6819"/>
  <c r="T6819"/>
  <c r="U6819"/>
  <c r="V6819"/>
  <c r="W6819"/>
  <c r="Y6819"/>
  <c r="AB6819"/>
  <c r="AC6819"/>
  <c r="AD6819"/>
  <c r="P6820"/>
  <c r="T6820"/>
  <c r="U6820"/>
  <c r="V6820"/>
  <c r="W6820"/>
  <c r="Y6820"/>
  <c r="AB6820"/>
  <c r="AC6820"/>
  <c r="AD6820"/>
  <c r="P6821"/>
  <c r="T6821"/>
  <c r="U6821"/>
  <c r="V6821"/>
  <c r="W6821"/>
  <c r="Y6821"/>
  <c r="AB6821"/>
  <c r="AC6821"/>
  <c r="AD6821"/>
  <c r="P6822"/>
  <c r="T6822"/>
  <c r="U6822"/>
  <c r="V6822"/>
  <c r="W6822"/>
  <c r="Y6822"/>
  <c r="AB6822"/>
  <c r="AC6822"/>
  <c r="AD6822"/>
  <c r="P6823"/>
  <c r="T6823"/>
  <c r="U6823"/>
  <c r="V6823"/>
  <c r="W6823"/>
  <c r="Y6823"/>
  <c r="AB6823"/>
  <c r="AC6823"/>
  <c r="AD6823"/>
  <c r="P6824"/>
  <c r="T6824"/>
  <c r="U6824"/>
  <c r="V6824"/>
  <c r="W6824"/>
  <c r="Y6824"/>
  <c r="AB6824"/>
  <c r="AC6824"/>
  <c r="AD6824"/>
  <c r="P6825"/>
  <c r="T6825"/>
  <c r="U6825"/>
  <c r="V6825"/>
  <c r="W6825"/>
  <c r="Y6825"/>
  <c r="AB6825"/>
  <c r="AC6825"/>
  <c r="AD6825"/>
  <c r="P6826"/>
  <c r="T6826"/>
  <c r="U6826"/>
  <c r="V6826"/>
  <c r="W6826"/>
  <c r="Y6826"/>
  <c r="AB6826"/>
  <c r="AC6826"/>
  <c r="AD6826"/>
  <c r="P6827"/>
  <c r="T6827"/>
  <c r="U6827"/>
  <c r="V6827"/>
  <c r="W6827"/>
  <c r="Y6827"/>
  <c r="AB6827"/>
  <c r="AC6827"/>
  <c r="AD6827"/>
  <c r="P6828"/>
  <c r="T6828"/>
  <c r="U6828"/>
  <c r="V6828"/>
  <c r="W6828"/>
  <c r="Y6828"/>
  <c r="AB6828"/>
  <c r="AC6828"/>
  <c r="AD6828"/>
  <c r="P6829"/>
  <c r="T6829"/>
  <c r="U6829"/>
  <c r="V6829"/>
  <c r="W6829"/>
  <c r="Y6829"/>
  <c r="AB6829"/>
  <c r="AC6829"/>
  <c r="AD6829"/>
  <c r="P6830"/>
  <c r="T6830"/>
  <c r="U6830"/>
  <c r="V6830"/>
  <c r="W6830"/>
  <c r="Y6830"/>
  <c r="AB6830"/>
  <c r="AC6830"/>
  <c r="AD6830"/>
  <c r="P6831"/>
  <c r="T6831"/>
  <c r="U6831"/>
  <c r="V6831"/>
  <c r="W6831"/>
  <c r="Y6831"/>
  <c r="AB6831"/>
  <c r="AC6831"/>
  <c r="AD6831"/>
  <c r="P6832"/>
  <c r="T6832"/>
  <c r="U6832"/>
  <c r="V6832"/>
  <c r="W6832"/>
  <c r="Y6832"/>
  <c r="AB6832"/>
  <c r="AC6832"/>
  <c r="AD6832"/>
  <c r="P6833"/>
  <c r="T6833"/>
  <c r="U6833"/>
  <c r="V6833"/>
  <c r="W6833"/>
  <c r="Y6833"/>
  <c r="AB6833"/>
  <c r="AC6833"/>
  <c r="AD6833"/>
  <c r="P6834"/>
  <c r="T6834"/>
  <c r="U6834"/>
  <c r="V6834"/>
  <c r="W6834"/>
  <c r="Y6834"/>
  <c r="AB6834"/>
  <c r="AC6834"/>
  <c r="AD6834"/>
  <c r="P6835"/>
  <c r="T6835"/>
  <c r="U6835"/>
  <c r="V6835"/>
  <c r="W6835"/>
  <c r="Y6835"/>
  <c r="AB6835"/>
  <c r="AC6835"/>
  <c r="AD6835"/>
  <c r="P6836"/>
  <c r="T6836"/>
  <c r="U6836"/>
  <c r="V6836"/>
  <c r="W6836"/>
  <c r="Y6836"/>
  <c r="AB6836"/>
  <c r="AC6836"/>
  <c r="AD6836"/>
  <c r="P6837"/>
  <c r="T6837"/>
  <c r="U6837"/>
  <c r="V6837"/>
  <c r="W6837"/>
  <c r="Y6837"/>
  <c r="AB6837"/>
  <c r="AC6837"/>
  <c r="AD6837"/>
  <c r="P6838"/>
  <c r="T6838"/>
  <c r="U6838"/>
  <c r="V6838"/>
  <c r="W6838"/>
  <c r="Y6838"/>
  <c r="AB6838"/>
  <c r="AC6838"/>
  <c r="AD6838"/>
  <c r="P6839"/>
  <c r="T6839"/>
  <c r="U6839"/>
  <c r="V6839"/>
  <c r="W6839"/>
  <c r="Y6839"/>
  <c r="AB6839"/>
  <c r="AC6839"/>
  <c r="AD6839"/>
  <c r="P6840"/>
  <c r="T6840"/>
  <c r="U6840"/>
  <c r="V6840"/>
  <c r="W6840"/>
  <c r="Y6840"/>
  <c r="AB6840"/>
  <c r="AC6840"/>
  <c r="AD6840"/>
  <c r="P6841"/>
  <c r="T6841"/>
  <c r="U6841"/>
  <c r="V6841"/>
  <c r="W6841"/>
  <c r="Y6841"/>
  <c r="AB6841"/>
  <c r="AC6841"/>
  <c r="AD6841"/>
  <c r="P6842"/>
  <c r="T6842"/>
  <c r="U6842"/>
  <c r="V6842"/>
  <c r="W6842"/>
  <c r="Y6842"/>
  <c r="AB6842"/>
  <c r="AC6842"/>
  <c r="AD6842"/>
  <c r="P6843"/>
  <c r="T6843"/>
  <c r="U6843"/>
  <c r="V6843"/>
  <c r="W6843"/>
  <c r="Y6843"/>
  <c r="AB6843"/>
  <c r="AC6843"/>
  <c r="AD6843"/>
  <c r="P6844"/>
  <c r="T6844"/>
  <c r="U6844"/>
  <c r="V6844"/>
  <c r="W6844"/>
  <c r="Y6844"/>
  <c r="AB6844"/>
  <c r="AC6844"/>
  <c r="AD6844"/>
  <c r="P6845"/>
  <c r="T6845"/>
  <c r="U6845"/>
  <c r="V6845"/>
  <c r="W6845"/>
  <c r="Y6845"/>
  <c r="AB6845"/>
  <c r="AC6845"/>
  <c r="AD6845"/>
  <c r="P6846"/>
  <c r="T6846"/>
  <c r="U6846"/>
  <c r="V6846"/>
  <c r="W6846"/>
  <c r="Y6846"/>
  <c r="AB6846"/>
  <c r="AC6846"/>
  <c r="AD6846"/>
  <c r="P6847"/>
  <c r="T6847"/>
  <c r="U6847"/>
  <c r="V6847"/>
  <c r="W6847"/>
  <c r="Y6847"/>
  <c r="AB6847"/>
  <c r="AC6847"/>
  <c r="AD6847"/>
  <c r="P6848"/>
  <c r="T6848"/>
  <c r="U6848"/>
  <c r="V6848"/>
  <c r="W6848"/>
  <c r="Y6848"/>
  <c r="AB6848"/>
  <c r="AC6848"/>
  <c r="AD6848"/>
  <c r="P6849"/>
  <c r="T6849"/>
  <c r="U6849"/>
  <c r="V6849"/>
  <c r="W6849"/>
  <c r="Y6849"/>
  <c r="AB6849"/>
  <c r="AC6849"/>
  <c r="AD6849"/>
  <c r="P6850"/>
  <c r="T6850"/>
  <c r="U6850"/>
  <c r="V6850"/>
  <c r="W6850"/>
  <c r="Y6850"/>
  <c r="AB6850"/>
  <c r="AC6850"/>
  <c r="AD6850"/>
  <c r="P6851"/>
  <c r="T6851"/>
  <c r="U6851"/>
  <c r="V6851"/>
  <c r="W6851"/>
  <c r="Y6851"/>
  <c r="AB6851"/>
  <c r="AC6851"/>
  <c r="AD6851"/>
  <c r="P6852"/>
  <c r="T6852"/>
  <c r="U6852"/>
  <c r="V6852"/>
  <c r="W6852"/>
  <c r="Y6852"/>
  <c r="AB6852"/>
  <c r="AC6852"/>
  <c r="AD6852"/>
  <c r="P6853"/>
  <c r="T6853"/>
  <c r="U6853"/>
  <c r="V6853"/>
  <c r="W6853"/>
  <c r="Y6853"/>
  <c r="AB6853"/>
  <c r="AC6853"/>
  <c r="AD6853"/>
  <c r="P6854"/>
  <c r="T6854"/>
  <c r="U6854"/>
  <c r="V6854"/>
  <c r="W6854"/>
  <c r="Y6854"/>
  <c r="AB6854"/>
  <c r="AC6854"/>
  <c r="AD6854"/>
  <c r="P6855"/>
  <c r="T6855"/>
  <c r="U6855"/>
  <c r="V6855"/>
  <c r="W6855"/>
  <c r="Y6855"/>
  <c r="AB6855"/>
  <c r="AC6855"/>
  <c r="AD6855"/>
  <c r="P6856"/>
  <c r="T6856"/>
  <c r="U6856"/>
  <c r="V6856"/>
  <c r="W6856"/>
  <c r="Y6856"/>
  <c r="AB6856"/>
  <c r="AC6856"/>
  <c r="AD6856"/>
  <c r="P6857"/>
  <c r="T6857"/>
  <c r="U6857"/>
  <c r="V6857"/>
  <c r="W6857"/>
  <c r="Y6857"/>
  <c r="AB6857"/>
  <c r="AC6857"/>
  <c r="AD6857"/>
  <c r="P6858"/>
  <c r="T6858"/>
  <c r="U6858"/>
  <c r="V6858"/>
  <c r="W6858"/>
  <c r="Y6858"/>
  <c r="AB6858"/>
  <c r="AC6858"/>
  <c r="AD6858"/>
  <c r="P6859"/>
  <c r="T6859"/>
  <c r="U6859"/>
  <c r="V6859"/>
  <c r="W6859"/>
  <c r="Y6859"/>
  <c r="AB6859"/>
  <c r="AC6859"/>
  <c r="AD6859"/>
  <c r="P6860"/>
  <c r="T6860"/>
  <c r="U6860"/>
  <c r="V6860"/>
  <c r="W6860"/>
  <c r="Y6860"/>
  <c r="AB6860"/>
  <c r="AC6860"/>
  <c r="AD6860"/>
  <c r="P6861"/>
  <c r="T6861"/>
  <c r="U6861"/>
  <c r="V6861"/>
  <c r="W6861"/>
  <c r="Y6861"/>
  <c r="AB6861"/>
  <c r="AC6861"/>
  <c r="AD6861"/>
  <c r="P6862"/>
  <c r="T6862"/>
  <c r="U6862"/>
  <c r="V6862"/>
  <c r="W6862"/>
  <c r="Y6862"/>
  <c r="AB6862"/>
  <c r="AC6862"/>
  <c r="AD6862"/>
  <c r="P6863"/>
  <c r="T6863"/>
  <c r="U6863"/>
  <c r="V6863"/>
  <c r="W6863"/>
  <c r="Y6863"/>
  <c r="AB6863"/>
  <c r="AC6863"/>
  <c r="AD6863"/>
  <c r="P6864"/>
  <c r="T6864"/>
  <c r="U6864"/>
  <c r="V6864"/>
  <c r="W6864"/>
  <c r="Y6864"/>
  <c r="AB6864"/>
  <c r="AC6864"/>
  <c r="AD6864"/>
  <c r="P6865"/>
  <c r="T6865"/>
  <c r="U6865"/>
  <c r="V6865"/>
  <c r="W6865"/>
  <c r="Y6865"/>
  <c r="AB6865"/>
  <c r="AC6865"/>
  <c r="AD6865"/>
  <c r="P6866"/>
  <c r="T6866"/>
  <c r="U6866"/>
  <c r="V6866"/>
  <c r="W6866"/>
  <c r="Y6866"/>
  <c r="AB6866"/>
  <c r="AC6866"/>
  <c r="AD6866"/>
  <c r="P6867"/>
  <c r="T6867"/>
  <c r="U6867"/>
  <c r="V6867"/>
  <c r="W6867"/>
  <c r="Y6867"/>
  <c r="AB6867"/>
  <c r="AC6867"/>
  <c r="AD6867"/>
  <c r="P6868"/>
  <c r="T6868"/>
  <c r="U6868"/>
  <c r="V6868"/>
  <c r="W6868"/>
  <c r="Y6868"/>
  <c r="AB6868"/>
  <c r="AC6868"/>
  <c r="AD6868"/>
  <c r="P6869"/>
  <c r="T6869"/>
  <c r="U6869"/>
  <c r="V6869"/>
  <c r="W6869"/>
  <c r="Y6869"/>
  <c r="AB6869"/>
  <c r="AC6869"/>
  <c r="AD6869"/>
  <c r="P6870"/>
  <c r="T6870"/>
  <c r="U6870"/>
  <c r="V6870"/>
  <c r="W6870"/>
  <c r="Y6870"/>
  <c r="AB6870"/>
  <c r="AC6870"/>
  <c r="AD6870"/>
  <c r="P6871"/>
  <c r="T6871"/>
  <c r="U6871"/>
  <c r="V6871"/>
  <c r="W6871"/>
  <c r="Y6871"/>
  <c r="AB6871"/>
  <c r="AC6871"/>
  <c r="AD6871"/>
  <c r="P6872"/>
  <c r="T6872"/>
  <c r="U6872"/>
  <c r="V6872"/>
  <c r="W6872"/>
  <c r="Y6872"/>
  <c r="AB6872"/>
  <c r="AC6872"/>
  <c r="AD6872"/>
  <c r="P6873"/>
  <c r="T6873"/>
  <c r="U6873"/>
  <c r="V6873"/>
  <c r="W6873"/>
  <c r="Y6873"/>
  <c r="AB6873"/>
  <c r="AC6873"/>
  <c r="AD6873"/>
  <c r="P6874"/>
  <c r="T6874"/>
  <c r="U6874"/>
  <c r="V6874"/>
  <c r="W6874"/>
  <c r="Y6874"/>
  <c r="AB6874"/>
  <c r="AC6874"/>
  <c r="AD6874"/>
  <c r="P6875"/>
  <c r="T6875"/>
  <c r="U6875"/>
  <c r="V6875"/>
  <c r="W6875"/>
  <c r="Y6875"/>
  <c r="AB6875"/>
  <c r="AC6875"/>
  <c r="AD6875"/>
  <c r="P6876"/>
  <c r="T6876"/>
  <c r="U6876"/>
  <c r="V6876"/>
  <c r="W6876"/>
  <c r="Y6876"/>
  <c r="AB6876"/>
  <c r="AC6876"/>
  <c r="AD6876"/>
  <c r="P6877"/>
  <c r="T6877"/>
  <c r="U6877"/>
  <c r="V6877"/>
  <c r="W6877"/>
  <c r="Y6877"/>
  <c r="AB6877"/>
  <c r="AC6877"/>
  <c r="AD6877"/>
  <c r="P6878"/>
  <c r="T6878"/>
  <c r="U6878"/>
  <c r="V6878"/>
  <c r="W6878"/>
  <c r="Y6878"/>
  <c r="AB6878"/>
  <c r="AC6878"/>
  <c r="AD6878"/>
  <c r="P6879"/>
  <c r="T6879"/>
  <c r="U6879"/>
  <c r="V6879"/>
  <c r="W6879"/>
  <c r="Y6879"/>
  <c r="AB6879"/>
  <c r="AC6879"/>
  <c r="AD6879"/>
  <c r="P6880"/>
  <c r="T6880"/>
  <c r="U6880"/>
  <c r="V6880"/>
  <c r="W6880"/>
  <c r="Y6880"/>
  <c r="AB6880"/>
  <c r="AC6880"/>
  <c r="AD6880"/>
  <c r="P6881"/>
  <c r="T6881"/>
  <c r="U6881"/>
  <c r="V6881"/>
  <c r="W6881"/>
  <c r="Y6881"/>
  <c r="AB6881"/>
  <c r="AC6881"/>
  <c r="AD6881"/>
  <c r="P6882"/>
  <c r="T6882"/>
  <c r="U6882"/>
  <c r="V6882"/>
  <c r="W6882"/>
  <c r="Y6882"/>
  <c r="AB6882"/>
  <c r="AC6882"/>
  <c r="AD6882"/>
  <c r="P6883"/>
  <c r="T6883"/>
  <c r="U6883"/>
  <c r="V6883"/>
  <c r="W6883"/>
  <c r="Y6883"/>
  <c r="AB6883"/>
  <c r="AC6883"/>
  <c r="AD6883"/>
  <c r="P6884"/>
  <c r="T6884"/>
  <c r="U6884"/>
  <c r="V6884"/>
  <c r="W6884"/>
  <c r="Y6884"/>
  <c r="AB6884"/>
  <c r="AC6884"/>
  <c r="AD6884"/>
  <c r="P6885"/>
  <c r="T6885"/>
  <c r="U6885"/>
  <c r="V6885"/>
  <c r="W6885"/>
  <c r="Y6885"/>
  <c r="AB6885"/>
  <c r="AC6885"/>
  <c r="AD6885"/>
  <c r="P6886"/>
  <c r="T6886"/>
  <c r="U6886"/>
  <c r="V6886"/>
  <c r="W6886"/>
  <c r="Y6886"/>
  <c r="AB6886"/>
  <c r="AC6886"/>
  <c r="AD6886"/>
  <c r="P6887"/>
  <c r="T6887"/>
  <c r="U6887"/>
  <c r="V6887"/>
  <c r="W6887"/>
  <c r="Y6887"/>
  <c r="AB6887"/>
  <c r="AC6887"/>
  <c r="AD6887"/>
  <c r="P6888"/>
  <c r="T6888"/>
  <c r="U6888"/>
  <c r="V6888"/>
  <c r="W6888"/>
  <c r="Y6888"/>
  <c r="AB6888"/>
  <c r="AC6888"/>
  <c r="AD6888"/>
  <c r="P6889"/>
  <c r="T6889"/>
  <c r="U6889"/>
  <c r="V6889"/>
  <c r="W6889"/>
  <c r="Y6889"/>
  <c r="AB6889"/>
  <c r="AC6889"/>
  <c r="AD6889"/>
  <c r="P6890"/>
  <c r="T6890"/>
  <c r="U6890"/>
  <c r="V6890"/>
  <c r="W6890"/>
  <c r="Y6890"/>
  <c r="AB6890"/>
  <c r="AC6890"/>
  <c r="AD6890"/>
  <c r="P6891"/>
  <c r="T6891"/>
  <c r="U6891"/>
  <c r="V6891"/>
  <c r="W6891"/>
  <c r="Y6891"/>
  <c r="AB6891"/>
  <c r="AC6891"/>
  <c r="AD6891"/>
  <c r="P6892"/>
  <c r="T6892"/>
  <c r="U6892"/>
  <c r="V6892"/>
  <c r="W6892"/>
  <c r="Y6892"/>
  <c r="AB6892"/>
  <c r="AC6892"/>
  <c r="AD6892"/>
  <c r="P6893"/>
  <c r="T6893"/>
  <c r="U6893"/>
  <c r="V6893"/>
  <c r="W6893"/>
  <c r="Y6893"/>
  <c r="AB6893"/>
  <c r="AC6893"/>
  <c r="AD6893"/>
  <c r="P6894"/>
  <c r="T6894"/>
  <c r="U6894"/>
  <c r="V6894"/>
  <c r="W6894"/>
  <c r="Y6894"/>
  <c r="AB6894"/>
  <c r="AC6894"/>
  <c r="AD6894"/>
  <c r="P6895"/>
  <c r="T6895"/>
  <c r="U6895"/>
  <c r="V6895"/>
  <c r="W6895"/>
  <c r="Y6895"/>
  <c r="AB6895"/>
  <c r="AC6895"/>
  <c r="AD6895"/>
  <c r="P6896"/>
  <c r="T6896"/>
  <c r="U6896"/>
  <c r="V6896"/>
  <c r="W6896"/>
  <c r="Y6896"/>
  <c r="AB6896"/>
  <c r="AC6896"/>
  <c r="AD6896"/>
  <c r="P6897"/>
  <c r="T6897"/>
  <c r="U6897"/>
  <c r="V6897"/>
  <c r="W6897"/>
  <c r="Y6897"/>
  <c r="AB6897"/>
  <c r="AC6897"/>
  <c r="AD6897"/>
  <c r="P6898"/>
  <c r="T6898"/>
  <c r="U6898"/>
  <c r="V6898"/>
  <c r="W6898"/>
  <c r="Y6898"/>
  <c r="AB6898"/>
  <c r="AC6898"/>
  <c r="AD6898"/>
  <c r="P6899"/>
  <c r="T6899"/>
  <c r="U6899"/>
  <c r="V6899"/>
  <c r="W6899"/>
  <c r="Y6899"/>
  <c r="AB6899"/>
  <c r="AC6899"/>
  <c r="AD6899"/>
  <c r="P6900"/>
  <c r="T6900"/>
  <c r="U6900"/>
  <c r="V6900"/>
  <c r="W6900"/>
  <c r="Y6900"/>
  <c r="AB6900"/>
  <c r="AC6900"/>
  <c r="AD6900"/>
  <c r="P6901"/>
  <c r="T6901"/>
  <c r="U6901"/>
  <c r="V6901"/>
  <c r="W6901"/>
  <c r="Y6901"/>
  <c r="AB6901"/>
  <c r="AC6901"/>
  <c r="AD6901"/>
  <c r="P6902"/>
  <c r="T6902"/>
  <c r="U6902"/>
  <c r="V6902"/>
  <c r="W6902"/>
  <c r="Y6902"/>
  <c r="AB6902"/>
  <c r="AC6902"/>
  <c r="AD6902"/>
  <c r="P6903"/>
  <c r="T6903"/>
  <c r="U6903"/>
  <c r="V6903"/>
  <c r="W6903"/>
  <c r="Y6903"/>
  <c r="AB6903"/>
  <c r="AC6903"/>
  <c r="AD6903"/>
  <c r="P6904"/>
  <c r="T6904"/>
  <c r="U6904"/>
  <c r="V6904"/>
  <c r="W6904"/>
  <c r="Y6904"/>
  <c r="AB6904"/>
  <c r="AC6904"/>
  <c r="AD6904"/>
  <c r="P6905"/>
  <c r="T6905"/>
  <c r="U6905"/>
  <c r="V6905"/>
  <c r="W6905"/>
  <c r="Y6905"/>
  <c r="AB6905"/>
  <c r="AC6905"/>
  <c r="AD6905"/>
  <c r="P6906"/>
  <c r="T6906"/>
  <c r="U6906"/>
  <c r="V6906"/>
  <c r="W6906"/>
  <c r="Y6906"/>
  <c r="AB6906"/>
  <c r="AC6906"/>
  <c r="AD6906"/>
  <c r="P6907"/>
  <c r="T6907"/>
  <c r="U6907"/>
  <c r="V6907"/>
  <c r="W6907"/>
  <c r="Y6907"/>
  <c r="AB6907"/>
  <c r="AC6907"/>
  <c r="AD6907"/>
  <c r="P6908"/>
  <c r="T6908"/>
  <c r="U6908"/>
  <c r="V6908"/>
  <c r="W6908"/>
  <c r="Y6908"/>
  <c r="AB6908"/>
  <c r="AC6908"/>
  <c r="AD6908"/>
  <c r="P6909"/>
  <c r="T6909"/>
  <c r="U6909"/>
  <c r="V6909"/>
  <c r="W6909"/>
  <c r="Y6909"/>
  <c r="AB6909"/>
  <c r="AC6909"/>
  <c r="AD6909"/>
  <c r="P6910"/>
  <c r="T6910"/>
  <c r="U6910"/>
  <c r="V6910"/>
  <c r="W6910"/>
  <c r="Y6910"/>
  <c r="AB6910"/>
  <c r="AC6910"/>
  <c r="AD6910"/>
  <c r="P6911"/>
  <c r="T6911"/>
  <c r="U6911"/>
  <c r="V6911"/>
  <c r="W6911"/>
  <c r="Y6911"/>
  <c r="AB6911"/>
  <c r="AC6911"/>
  <c r="AD6911"/>
  <c r="P6912"/>
  <c r="T6912"/>
  <c r="U6912"/>
  <c r="V6912"/>
  <c r="W6912"/>
  <c r="Y6912"/>
  <c r="AB6912"/>
  <c r="AC6912"/>
  <c r="AD6912"/>
  <c r="P6913"/>
  <c r="T6913"/>
  <c r="U6913"/>
  <c r="V6913"/>
  <c r="W6913"/>
  <c r="Y6913"/>
  <c r="AB6913"/>
  <c r="AC6913"/>
  <c r="AD6913"/>
  <c r="P6914"/>
  <c r="T6914"/>
  <c r="U6914"/>
  <c r="V6914"/>
  <c r="W6914"/>
  <c r="Y6914"/>
  <c r="AB6914"/>
  <c r="AC6914"/>
  <c r="AD6914"/>
  <c r="P6915"/>
  <c r="T6915"/>
  <c r="U6915"/>
  <c r="V6915"/>
  <c r="W6915"/>
  <c r="Y6915"/>
  <c r="AB6915"/>
  <c r="AC6915"/>
  <c r="AD6915"/>
  <c r="P6916"/>
  <c r="T6916"/>
  <c r="U6916"/>
  <c r="V6916"/>
  <c r="W6916"/>
  <c r="Y6916"/>
  <c r="AB6916"/>
  <c r="AC6916"/>
  <c r="AD6916"/>
  <c r="P6917"/>
  <c r="T6917"/>
  <c r="U6917"/>
  <c r="V6917"/>
  <c r="W6917"/>
  <c r="Y6917"/>
  <c r="AB6917"/>
  <c r="AC6917"/>
  <c r="AD6917"/>
  <c r="P6918"/>
  <c r="T6918"/>
  <c r="U6918"/>
  <c r="V6918"/>
  <c r="W6918"/>
  <c r="Y6918"/>
  <c r="AB6918"/>
  <c r="AC6918"/>
  <c r="AD6918"/>
  <c r="P6919"/>
  <c r="T6919"/>
  <c r="U6919"/>
  <c r="V6919"/>
  <c r="W6919"/>
  <c r="Y6919"/>
  <c r="AB6919"/>
  <c r="AC6919"/>
  <c r="AD6919"/>
  <c r="P6920"/>
  <c r="T6920"/>
  <c r="U6920"/>
  <c r="V6920"/>
  <c r="W6920"/>
  <c r="Y6920"/>
  <c r="AB6920"/>
  <c r="AC6920"/>
  <c r="AD6920"/>
  <c r="P6921"/>
  <c r="T6921"/>
  <c r="U6921"/>
  <c r="V6921"/>
  <c r="W6921"/>
  <c r="Y6921"/>
  <c r="AB6921"/>
  <c r="AC6921"/>
  <c r="AD6921"/>
  <c r="P6922"/>
  <c r="T6922"/>
  <c r="U6922"/>
  <c r="V6922"/>
  <c r="W6922"/>
  <c r="Y6922"/>
  <c r="AB6922"/>
  <c r="AC6922"/>
  <c r="AD6922"/>
  <c r="P6923"/>
  <c r="T6923"/>
  <c r="U6923"/>
  <c r="V6923"/>
  <c r="W6923"/>
  <c r="Y6923"/>
  <c r="AB6923"/>
  <c r="AC6923"/>
  <c r="AD6923"/>
  <c r="P6924"/>
  <c r="T6924"/>
  <c r="U6924"/>
  <c r="V6924"/>
  <c r="W6924"/>
  <c r="Y6924"/>
  <c r="AB6924"/>
  <c r="AC6924"/>
  <c r="AD6924"/>
  <c r="P6925"/>
  <c r="T6925"/>
  <c r="U6925"/>
  <c r="V6925"/>
  <c r="W6925"/>
  <c r="Y6925"/>
  <c r="AB6925"/>
  <c r="AC6925"/>
  <c r="AD6925"/>
  <c r="P6926"/>
  <c r="T6926"/>
  <c r="U6926"/>
  <c r="V6926"/>
  <c r="W6926"/>
  <c r="Y6926"/>
  <c r="AB6926"/>
  <c r="AC6926"/>
  <c r="AD6926"/>
  <c r="P6927"/>
  <c r="T6927"/>
  <c r="U6927"/>
  <c r="V6927"/>
  <c r="W6927"/>
  <c r="Y6927"/>
  <c r="AB6927"/>
  <c r="AC6927"/>
  <c r="AD6927"/>
  <c r="P6928"/>
  <c r="T6928"/>
  <c r="U6928"/>
  <c r="V6928"/>
  <c r="W6928"/>
  <c r="Y6928"/>
  <c r="AB6928"/>
  <c r="AC6928"/>
  <c r="AD6928"/>
  <c r="P6929"/>
  <c r="T6929"/>
  <c r="U6929"/>
  <c r="V6929"/>
  <c r="W6929"/>
  <c r="Y6929"/>
  <c r="AB6929"/>
  <c r="AC6929"/>
  <c r="AD6929"/>
  <c r="P6930"/>
  <c r="T6930"/>
  <c r="U6930"/>
  <c r="V6930"/>
  <c r="W6930"/>
  <c r="Y6930"/>
  <c r="AB6930"/>
  <c r="AC6930"/>
  <c r="AD6930"/>
  <c r="P6931"/>
  <c r="T6931"/>
  <c r="U6931"/>
  <c r="V6931"/>
  <c r="W6931"/>
  <c r="Y6931"/>
  <c r="AB6931"/>
  <c r="AC6931"/>
  <c r="AD6931"/>
  <c r="P6932"/>
  <c r="T6932"/>
  <c r="U6932"/>
  <c r="V6932"/>
  <c r="W6932"/>
  <c r="Y6932"/>
  <c r="AB6932"/>
  <c r="AC6932"/>
  <c r="AD6932"/>
  <c r="P6933"/>
  <c r="T6933"/>
  <c r="U6933"/>
  <c r="V6933"/>
  <c r="W6933"/>
  <c r="Y6933"/>
  <c r="AB6933"/>
  <c r="AC6933"/>
  <c r="AD6933"/>
  <c r="P6934"/>
  <c r="T6934"/>
  <c r="U6934"/>
  <c r="V6934"/>
  <c r="W6934"/>
  <c r="Y6934"/>
  <c r="AB6934"/>
  <c r="AC6934"/>
  <c r="AD6934"/>
  <c r="P6935"/>
  <c r="T6935"/>
  <c r="U6935"/>
  <c r="V6935"/>
  <c r="W6935"/>
  <c r="Y6935"/>
  <c r="AB6935"/>
  <c r="AC6935"/>
  <c r="AD6935"/>
  <c r="P6936"/>
  <c r="T6936"/>
  <c r="U6936"/>
  <c r="V6936"/>
  <c r="W6936"/>
  <c r="Y6936"/>
  <c r="AB6936"/>
  <c r="AC6936"/>
  <c r="AD6936"/>
  <c r="P6937"/>
  <c r="T6937"/>
  <c r="U6937"/>
  <c r="V6937"/>
  <c r="W6937"/>
  <c r="Y6937"/>
  <c r="AB6937"/>
  <c r="AC6937"/>
  <c r="AD6937"/>
  <c r="P6938"/>
  <c r="T6938"/>
  <c r="U6938"/>
  <c r="V6938"/>
  <c r="W6938"/>
  <c r="Y6938"/>
  <c r="AB6938"/>
  <c r="AC6938"/>
  <c r="AD6938"/>
  <c r="P6939"/>
  <c r="T6939"/>
  <c r="U6939"/>
  <c r="V6939"/>
  <c r="W6939"/>
  <c r="Y6939"/>
  <c r="AB6939"/>
  <c r="AC6939"/>
  <c r="AD6939"/>
  <c r="P6940"/>
  <c r="T6940"/>
  <c r="U6940"/>
  <c r="V6940"/>
  <c r="W6940"/>
  <c r="Y6940"/>
  <c r="AB6940"/>
  <c r="AC6940"/>
  <c r="AD6940"/>
  <c r="P6941"/>
  <c r="T6941"/>
  <c r="U6941"/>
  <c r="V6941"/>
  <c r="W6941"/>
  <c r="Y6941"/>
  <c r="AB6941"/>
  <c r="AC6941"/>
  <c r="AD6941"/>
  <c r="P6942"/>
  <c r="T6942"/>
  <c r="U6942"/>
  <c r="V6942"/>
  <c r="W6942"/>
  <c r="Y6942"/>
  <c r="AB6942"/>
  <c r="AC6942"/>
  <c r="AD6942"/>
  <c r="P6943"/>
  <c r="T6943"/>
  <c r="U6943"/>
  <c r="V6943"/>
  <c r="W6943"/>
  <c r="Y6943"/>
  <c r="AB6943"/>
  <c r="AC6943"/>
  <c r="AD6943"/>
  <c r="P6944"/>
  <c r="T6944"/>
  <c r="U6944"/>
  <c r="V6944"/>
  <c r="W6944"/>
  <c r="Y6944"/>
  <c r="AB6944"/>
  <c r="AC6944"/>
  <c r="AD6944"/>
  <c r="P6945"/>
  <c r="T6945"/>
  <c r="U6945"/>
  <c r="V6945"/>
  <c r="W6945"/>
  <c r="Y6945"/>
  <c r="AB6945"/>
  <c r="AC6945"/>
  <c r="AD6945"/>
  <c r="P6946"/>
  <c r="T6946"/>
  <c r="U6946"/>
  <c r="V6946"/>
  <c r="W6946"/>
  <c r="Y6946"/>
  <c r="AB6946"/>
  <c r="AC6946"/>
  <c r="AD6946"/>
  <c r="P6947"/>
  <c r="T6947"/>
  <c r="U6947"/>
  <c r="V6947"/>
  <c r="W6947"/>
  <c r="Y6947"/>
  <c r="AB6947"/>
  <c r="AC6947"/>
  <c r="AD6947"/>
  <c r="P6948"/>
  <c r="T6948"/>
  <c r="U6948"/>
  <c r="V6948"/>
  <c r="W6948"/>
  <c r="Y6948"/>
  <c r="AB6948"/>
  <c r="AC6948"/>
  <c r="AD6948"/>
  <c r="P6949"/>
  <c r="T6949"/>
  <c r="U6949"/>
  <c r="V6949"/>
  <c r="W6949"/>
  <c r="Y6949"/>
  <c r="AB6949"/>
  <c r="AC6949"/>
  <c r="AD6949"/>
  <c r="P6950"/>
  <c r="T6950"/>
  <c r="U6950"/>
  <c r="V6950"/>
  <c r="W6950"/>
  <c r="Y6950"/>
  <c r="AB6950"/>
  <c r="AC6950"/>
  <c r="AD6950"/>
  <c r="P6951"/>
  <c r="T6951"/>
  <c r="U6951"/>
  <c r="V6951"/>
  <c r="W6951"/>
  <c r="Y6951"/>
  <c r="AB6951"/>
  <c r="AC6951"/>
  <c r="AD6951"/>
  <c r="P6952"/>
  <c r="T6952"/>
  <c r="U6952"/>
  <c r="V6952"/>
  <c r="W6952"/>
  <c r="Y6952"/>
  <c r="AB6952"/>
  <c r="AC6952"/>
  <c r="AD6952"/>
  <c r="P6953"/>
  <c r="T6953"/>
  <c r="U6953"/>
  <c r="V6953"/>
  <c r="W6953"/>
  <c r="Y6953"/>
  <c r="AB6953"/>
  <c r="AC6953"/>
  <c r="AD6953"/>
  <c r="P6954"/>
  <c r="T6954"/>
  <c r="U6954"/>
  <c r="V6954"/>
  <c r="W6954"/>
  <c r="Y6954"/>
  <c r="AB6954"/>
  <c r="AC6954"/>
  <c r="AD6954"/>
  <c r="P6955"/>
  <c r="T6955"/>
  <c r="U6955"/>
  <c r="V6955"/>
  <c r="W6955"/>
  <c r="Y6955"/>
  <c r="AB6955"/>
  <c r="AC6955"/>
  <c r="AD6955"/>
  <c r="P6956"/>
  <c r="T6956"/>
  <c r="U6956"/>
  <c r="V6956"/>
  <c r="W6956"/>
  <c r="Y6956"/>
  <c r="AB6956"/>
  <c r="AC6956"/>
  <c r="AD6956"/>
  <c r="P6957"/>
  <c r="T6957"/>
  <c r="U6957"/>
  <c r="V6957"/>
  <c r="W6957"/>
  <c r="Y6957"/>
  <c r="AB6957"/>
  <c r="AC6957"/>
  <c r="AD6957"/>
  <c r="P6958"/>
  <c r="T6958"/>
  <c r="U6958"/>
  <c r="V6958"/>
  <c r="W6958"/>
  <c r="Y6958"/>
  <c r="AB6958"/>
  <c r="AC6958"/>
  <c r="AD6958"/>
  <c r="P6959"/>
  <c r="T6959"/>
  <c r="U6959"/>
  <c r="V6959"/>
  <c r="W6959"/>
  <c r="Y6959"/>
  <c r="AB6959"/>
  <c r="AC6959"/>
  <c r="AD6959"/>
  <c r="P6960"/>
  <c r="T6960"/>
  <c r="U6960"/>
  <c r="V6960"/>
  <c r="W6960"/>
  <c r="Y6960"/>
  <c r="AB6960"/>
  <c r="AC6960"/>
  <c r="AD6960"/>
  <c r="P6961"/>
  <c r="T6961"/>
  <c r="U6961"/>
  <c r="V6961"/>
  <c r="W6961"/>
  <c r="Y6961"/>
  <c r="AB6961"/>
  <c r="AC6961"/>
  <c r="AD6961"/>
  <c r="P6962"/>
  <c r="T6962"/>
  <c r="U6962"/>
  <c r="V6962"/>
  <c r="W6962"/>
  <c r="Y6962"/>
  <c r="AB6962"/>
  <c r="AC6962"/>
  <c r="AD6962"/>
  <c r="P6963"/>
  <c r="T6963"/>
  <c r="U6963"/>
  <c r="V6963"/>
  <c r="W6963"/>
  <c r="Y6963"/>
  <c r="AB6963"/>
  <c r="AC6963"/>
  <c r="AD6963"/>
  <c r="P6964"/>
  <c r="T6964"/>
  <c r="U6964"/>
  <c r="V6964"/>
  <c r="W6964"/>
  <c r="Y6964"/>
  <c r="AB6964"/>
  <c r="AC6964"/>
  <c r="AD6964"/>
  <c r="P6965"/>
  <c r="T6965"/>
  <c r="U6965"/>
  <c r="V6965"/>
  <c r="W6965"/>
  <c r="Y6965"/>
  <c r="AB6965"/>
  <c r="AC6965"/>
  <c r="AD6965"/>
  <c r="P6966"/>
  <c r="T6966"/>
  <c r="U6966"/>
  <c r="V6966"/>
  <c r="W6966"/>
  <c r="Y6966"/>
  <c r="AB6966"/>
  <c r="AC6966"/>
  <c r="AD6966"/>
  <c r="P6967"/>
  <c r="T6967"/>
  <c r="U6967"/>
  <c r="V6967"/>
  <c r="W6967"/>
  <c r="Y6967"/>
  <c r="AB6967"/>
  <c r="AC6967"/>
  <c r="AD6967"/>
  <c r="P6968"/>
  <c r="T6968"/>
  <c r="U6968"/>
  <c r="V6968"/>
  <c r="W6968"/>
  <c r="Y6968"/>
  <c r="AB6968"/>
  <c r="AC6968"/>
  <c r="AD6968"/>
  <c r="P6969"/>
  <c r="T6969"/>
  <c r="U6969"/>
  <c r="V6969"/>
  <c r="W6969"/>
  <c r="Y6969"/>
  <c r="AB6969"/>
  <c r="AC6969"/>
  <c r="AD6969"/>
  <c r="P6970"/>
  <c r="T6970"/>
  <c r="U6970"/>
  <c r="V6970"/>
  <c r="W6970"/>
  <c r="Y6970"/>
  <c r="AB6970"/>
  <c r="AC6970"/>
  <c r="AD6970"/>
  <c r="P6971"/>
  <c r="T6971"/>
  <c r="U6971"/>
  <c r="V6971"/>
  <c r="W6971"/>
  <c r="Y6971"/>
  <c r="AB6971"/>
  <c r="AC6971"/>
  <c r="AD6971"/>
  <c r="P6972"/>
  <c r="T6972"/>
  <c r="U6972"/>
  <c r="V6972"/>
  <c r="W6972"/>
  <c r="Y6972"/>
  <c r="AB6972"/>
  <c r="AC6972"/>
  <c r="AD6972"/>
  <c r="P6973"/>
  <c r="T6973"/>
  <c r="U6973"/>
  <c r="V6973"/>
  <c r="W6973"/>
  <c r="Y6973"/>
  <c r="AB6973"/>
  <c r="AC6973"/>
  <c r="AD6973"/>
  <c r="P6974"/>
  <c r="T6974"/>
  <c r="U6974"/>
  <c r="V6974"/>
  <c r="W6974"/>
  <c r="Y6974"/>
  <c r="AB6974"/>
  <c r="AC6974"/>
  <c r="AD6974"/>
  <c r="P6975"/>
  <c r="T6975"/>
  <c r="U6975"/>
  <c r="V6975"/>
  <c r="W6975"/>
  <c r="Y6975"/>
  <c r="AB6975"/>
  <c r="AC6975"/>
  <c r="AD6975"/>
  <c r="P6976"/>
  <c r="T6976"/>
  <c r="U6976"/>
  <c r="V6976"/>
  <c r="W6976"/>
  <c r="Y6976"/>
  <c r="AB6976"/>
  <c r="AC6976"/>
  <c r="AD6976"/>
  <c r="P6977"/>
  <c r="T6977"/>
  <c r="U6977"/>
  <c r="V6977"/>
  <c r="W6977"/>
  <c r="Y6977"/>
  <c r="AB6977"/>
  <c r="AC6977"/>
  <c r="AD6977"/>
  <c r="P6978"/>
  <c r="T6978"/>
  <c r="U6978"/>
  <c r="V6978"/>
  <c r="W6978"/>
  <c r="Y6978"/>
  <c r="AB6978"/>
  <c r="AC6978"/>
  <c r="AD6978"/>
  <c r="P6979"/>
  <c r="T6979"/>
  <c r="U6979"/>
  <c r="V6979"/>
  <c r="W6979"/>
  <c r="Y6979"/>
  <c r="AB6979"/>
  <c r="AC6979"/>
  <c r="AD6979"/>
  <c r="P6980"/>
  <c r="T6980"/>
  <c r="U6980"/>
  <c r="V6980"/>
  <c r="W6980"/>
  <c r="Y6980"/>
  <c r="AB6980"/>
  <c r="AC6980"/>
  <c r="AD6980"/>
  <c r="P6981"/>
  <c r="T6981"/>
  <c r="U6981"/>
  <c r="V6981"/>
  <c r="W6981"/>
  <c r="Y6981"/>
  <c r="AB6981"/>
  <c r="AC6981"/>
  <c r="AD6981"/>
  <c r="P6982"/>
  <c r="T6982"/>
  <c r="U6982"/>
  <c r="V6982"/>
  <c r="W6982"/>
  <c r="Y6982"/>
  <c r="AB6982"/>
  <c r="AC6982"/>
  <c r="AD6982"/>
  <c r="P6983"/>
  <c r="T6983"/>
  <c r="U6983"/>
  <c r="V6983"/>
  <c r="W6983"/>
  <c r="Y6983"/>
  <c r="AB6983"/>
  <c r="AC6983"/>
  <c r="AD6983"/>
  <c r="P6984"/>
  <c r="T6984"/>
  <c r="U6984"/>
  <c r="V6984"/>
  <c r="W6984"/>
  <c r="Y6984"/>
  <c r="AB6984"/>
  <c r="AC6984"/>
  <c r="AD6984"/>
  <c r="P6985"/>
  <c r="T6985"/>
  <c r="U6985"/>
  <c r="V6985"/>
  <c r="W6985"/>
  <c r="Y6985"/>
  <c r="AB6985"/>
  <c r="AC6985"/>
  <c r="AD6985"/>
  <c r="P6986"/>
  <c r="T6986"/>
  <c r="U6986"/>
  <c r="V6986"/>
  <c r="W6986"/>
  <c r="Y6986"/>
  <c r="AB6986"/>
  <c r="AC6986"/>
  <c r="AD6986"/>
  <c r="P6987"/>
  <c r="T6987"/>
  <c r="U6987"/>
  <c r="V6987"/>
  <c r="W6987"/>
  <c r="Y6987"/>
  <c r="AB6987"/>
  <c r="AC6987"/>
  <c r="AD6987"/>
  <c r="P6988"/>
  <c r="T6988"/>
  <c r="U6988"/>
  <c r="V6988"/>
  <c r="W6988"/>
  <c r="Y6988"/>
  <c r="AB6988"/>
  <c r="AC6988"/>
  <c r="AD6988"/>
  <c r="P6989"/>
  <c r="T6989"/>
  <c r="U6989"/>
  <c r="V6989"/>
  <c r="W6989"/>
  <c r="Y6989"/>
  <c r="AB6989"/>
  <c r="AC6989"/>
  <c r="AD6989"/>
  <c r="P6990"/>
  <c r="T6990"/>
  <c r="U6990"/>
  <c r="V6990"/>
  <c r="W6990"/>
  <c r="Y6990"/>
  <c r="AB6990"/>
  <c r="AC6990"/>
  <c r="AD6990"/>
  <c r="P6991"/>
  <c r="T6991"/>
  <c r="U6991"/>
  <c r="V6991"/>
  <c r="W6991"/>
  <c r="Y6991"/>
  <c r="AB6991"/>
  <c r="AC6991"/>
  <c r="AD6991"/>
  <c r="P6992"/>
  <c r="T6992"/>
  <c r="U6992"/>
  <c r="V6992"/>
  <c r="W6992"/>
  <c r="Y6992"/>
  <c r="AB6992"/>
  <c r="AC6992"/>
  <c r="AD6992"/>
  <c r="P6993"/>
  <c r="T6993"/>
  <c r="U6993"/>
  <c r="V6993"/>
  <c r="W6993"/>
  <c r="Y6993"/>
  <c r="AB6993"/>
  <c r="AC6993"/>
  <c r="AD6993"/>
  <c r="P6994"/>
  <c r="T6994"/>
  <c r="U6994"/>
  <c r="V6994"/>
  <c r="W6994"/>
  <c r="Y6994"/>
  <c r="AB6994"/>
  <c r="AC6994"/>
  <c r="AD6994"/>
  <c r="P6995"/>
  <c r="T6995"/>
  <c r="U6995"/>
  <c r="V6995"/>
  <c r="W6995"/>
  <c r="Y6995"/>
  <c r="AB6995"/>
  <c r="AC6995"/>
  <c r="AD6995"/>
  <c r="P6996"/>
  <c r="T6996"/>
  <c r="U6996"/>
  <c r="V6996"/>
  <c r="W6996"/>
  <c r="Y6996"/>
  <c r="AB6996"/>
  <c r="AC6996"/>
  <c r="AD6996"/>
  <c r="P6997"/>
  <c r="T6997"/>
  <c r="U6997"/>
  <c r="V6997"/>
  <c r="W6997"/>
  <c r="Y6997"/>
  <c r="AB6997"/>
  <c r="AC6997"/>
  <c r="AD6997"/>
  <c r="P6998"/>
  <c r="T6998"/>
  <c r="U6998"/>
  <c r="V6998"/>
  <c r="W6998"/>
  <c r="Y6998"/>
  <c r="AB6998"/>
  <c r="AC6998"/>
  <c r="AD6998"/>
  <c r="P6999"/>
  <c r="T6999"/>
  <c r="U6999"/>
  <c r="V6999"/>
  <c r="W6999"/>
  <c r="Y6999"/>
  <c r="AB6999"/>
  <c r="AC6999"/>
  <c r="AD6999"/>
  <c r="P7000"/>
  <c r="T7000"/>
  <c r="U7000"/>
  <c r="V7000"/>
  <c r="W7000"/>
  <c r="Y7000"/>
  <c r="AB7000"/>
  <c r="AC7000"/>
  <c r="AD7000"/>
  <c r="P7001"/>
  <c r="T7001"/>
  <c r="U7001"/>
  <c r="V7001"/>
  <c r="W7001"/>
  <c r="Y7001"/>
  <c r="AB7001"/>
  <c r="AC7001"/>
  <c r="AD7001"/>
  <c r="P7002"/>
  <c r="T7002"/>
  <c r="U7002"/>
  <c r="V7002"/>
  <c r="W7002"/>
  <c r="Y7002"/>
  <c r="AB7002"/>
  <c r="AC7002"/>
  <c r="AD7002"/>
  <c r="P7003"/>
  <c r="T7003"/>
  <c r="U7003"/>
  <c r="V7003"/>
  <c r="W7003"/>
  <c r="Y7003"/>
  <c r="AB7003"/>
  <c r="AC7003"/>
  <c r="AD7003"/>
  <c r="P7004"/>
  <c r="T7004"/>
  <c r="U7004"/>
  <c r="V7004"/>
  <c r="W7004"/>
  <c r="Y7004"/>
  <c r="AB7004"/>
  <c r="AC7004"/>
  <c r="AD7004"/>
  <c r="P7005"/>
  <c r="T7005"/>
  <c r="U7005"/>
  <c r="V7005"/>
  <c r="W7005"/>
  <c r="Y7005"/>
  <c r="AB7005"/>
  <c r="AC7005"/>
  <c r="AD7005"/>
  <c r="P7006"/>
  <c r="T7006"/>
  <c r="U7006"/>
  <c r="V7006"/>
  <c r="W7006"/>
  <c r="Y7006"/>
  <c r="AB7006"/>
  <c r="AC7006"/>
  <c r="AD7006"/>
  <c r="P7007"/>
  <c r="T7007"/>
  <c r="U7007"/>
  <c r="V7007"/>
  <c r="W7007"/>
  <c r="Y7007"/>
  <c r="AB7007"/>
  <c r="AC7007"/>
  <c r="AD7007"/>
  <c r="P7008"/>
  <c r="T7008"/>
  <c r="U7008"/>
  <c r="V7008"/>
  <c r="W7008"/>
  <c r="Y7008"/>
  <c r="AB7008"/>
  <c r="AC7008"/>
  <c r="AD7008"/>
  <c r="P7009"/>
  <c r="T7009"/>
  <c r="U7009"/>
  <c r="V7009"/>
  <c r="W7009"/>
  <c r="Y7009"/>
  <c r="AB7009"/>
  <c r="AC7009"/>
  <c r="AD7009"/>
  <c r="P7010"/>
  <c r="T7010"/>
  <c r="U7010"/>
  <c r="V7010"/>
  <c r="W7010"/>
  <c r="Y7010"/>
  <c r="AB7010"/>
  <c r="AC7010"/>
  <c r="AD7010"/>
  <c r="P7011"/>
  <c r="T7011"/>
  <c r="U7011"/>
  <c r="V7011"/>
  <c r="W7011"/>
  <c r="Y7011"/>
  <c r="AB7011"/>
  <c r="AC7011"/>
  <c r="AD7011"/>
  <c r="P7012"/>
  <c r="T7012"/>
  <c r="U7012"/>
  <c r="V7012"/>
  <c r="W7012"/>
  <c r="Y7012"/>
  <c r="AB7012"/>
  <c r="AC7012"/>
  <c r="AD7012"/>
  <c r="P7013"/>
  <c r="T7013"/>
  <c r="U7013"/>
  <c r="V7013"/>
  <c r="W7013"/>
  <c r="Y7013"/>
  <c r="AB7013"/>
  <c r="AC7013"/>
  <c r="AD7013"/>
  <c r="P7014"/>
  <c r="T7014"/>
  <c r="U7014"/>
  <c r="V7014"/>
  <c r="W7014"/>
  <c r="Y7014"/>
  <c r="AB7014"/>
  <c r="AC7014"/>
  <c r="AD7014"/>
  <c r="P7015"/>
  <c r="T7015"/>
  <c r="U7015"/>
  <c r="V7015"/>
  <c r="W7015"/>
  <c r="Y7015"/>
  <c r="AB7015"/>
  <c r="AC7015"/>
  <c r="AD7015"/>
  <c r="P7016"/>
  <c r="T7016"/>
  <c r="U7016"/>
  <c r="V7016"/>
  <c r="W7016"/>
  <c r="Y7016"/>
  <c r="AB7016"/>
  <c r="AC7016"/>
  <c r="AD7016"/>
  <c r="P7017"/>
  <c r="T7017"/>
  <c r="U7017"/>
  <c r="V7017"/>
  <c r="W7017"/>
  <c r="Y7017"/>
  <c r="AB7017"/>
  <c r="AC7017"/>
  <c r="AD7017"/>
  <c r="P7018"/>
  <c r="T7018"/>
  <c r="U7018"/>
  <c r="V7018"/>
  <c r="W7018"/>
  <c r="Y7018"/>
  <c r="AB7018"/>
  <c r="AC7018"/>
  <c r="AD7018"/>
  <c r="P7019"/>
  <c r="T7019"/>
  <c r="U7019"/>
  <c r="V7019"/>
  <c r="W7019"/>
  <c r="Y7019"/>
  <c r="AB7019"/>
  <c r="AC7019"/>
  <c r="AD7019"/>
  <c r="P7020"/>
  <c r="T7020"/>
  <c r="U7020"/>
  <c r="V7020"/>
  <c r="W7020"/>
  <c r="Y7020"/>
  <c r="AB7020"/>
  <c r="AC7020"/>
  <c r="AD7020"/>
  <c r="P7021"/>
  <c r="T7021"/>
  <c r="U7021"/>
  <c r="V7021"/>
  <c r="W7021"/>
  <c r="Y7021"/>
  <c r="AB7021"/>
  <c r="AC7021"/>
  <c r="AD7021"/>
  <c r="P7022"/>
  <c r="T7022"/>
  <c r="U7022"/>
  <c r="V7022"/>
  <c r="W7022"/>
  <c r="Y7022"/>
  <c r="AB7022"/>
  <c r="AC7022"/>
  <c r="AD7022"/>
  <c r="P7023"/>
  <c r="T7023"/>
  <c r="U7023"/>
  <c r="V7023"/>
  <c r="W7023"/>
  <c r="Y7023"/>
  <c r="AB7023"/>
  <c r="AC7023"/>
  <c r="AD7023"/>
  <c r="P7024"/>
  <c r="T7024"/>
  <c r="U7024"/>
  <c r="V7024"/>
  <c r="W7024"/>
  <c r="Y7024"/>
  <c r="AB7024"/>
  <c r="AC7024"/>
  <c r="AD7024"/>
  <c r="P7025"/>
  <c r="T7025"/>
  <c r="U7025"/>
  <c r="V7025"/>
  <c r="W7025"/>
  <c r="Y7025"/>
  <c r="AB7025"/>
  <c r="AC7025"/>
  <c r="AD7025"/>
  <c r="P7026"/>
  <c r="T7026"/>
  <c r="U7026"/>
  <c r="V7026"/>
  <c r="W7026"/>
  <c r="Y7026"/>
  <c r="AB7026"/>
  <c r="AC7026"/>
  <c r="AD7026"/>
  <c r="P7027"/>
  <c r="T7027"/>
  <c r="U7027"/>
  <c r="V7027"/>
  <c r="W7027"/>
  <c r="Y7027"/>
  <c r="AB7027"/>
  <c r="AC7027"/>
  <c r="AD7027"/>
  <c r="P7028"/>
  <c r="T7028"/>
  <c r="U7028"/>
  <c r="V7028"/>
  <c r="W7028"/>
  <c r="Y7028"/>
  <c r="AB7028"/>
  <c r="AC7028"/>
  <c r="AD7028"/>
  <c r="P7029"/>
  <c r="T7029"/>
  <c r="U7029"/>
  <c r="V7029"/>
  <c r="W7029"/>
  <c r="Y7029"/>
  <c r="AB7029"/>
  <c r="AC7029"/>
  <c r="AD7029"/>
  <c r="P7030"/>
  <c r="T7030"/>
  <c r="U7030"/>
  <c r="V7030"/>
  <c r="W7030"/>
  <c r="Y7030"/>
  <c r="AB7030"/>
  <c r="AC7030"/>
  <c r="AD7030"/>
  <c r="P7031"/>
  <c r="T7031"/>
  <c r="U7031"/>
  <c r="V7031"/>
  <c r="W7031"/>
  <c r="Y7031"/>
  <c r="AB7031"/>
  <c r="AC7031"/>
  <c r="AD7031"/>
  <c r="P7032"/>
  <c r="T7032"/>
  <c r="U7032"/>
  <c r="V7032"/>
  <c r="W7032"/>
  <c r="Y7032"/>
  <c r="AB7032"/>
  <c r="AC7032"/>
  <c r="AD7032"/>
  <c r="P7033"/>
  <c r="T7033"/>
  <c r="U7033"/>
  <c r="V7033"/>
  <c r="W7033"/>
  <c r="Y7033"/>
  <c r="AB7033"/>
  <c r="AC7033"/>
  <c r="AD7033"/>
  <c r="P7034"/>
  <c r="T7034"/>
  <c r="U7034"/>
  <c r="V7034"/>
  <c r="W7034"/>
  <c r="Y7034"/>
  <c r="AB7034"/>
  <c r="AC7034"/>
  <c r="AD7034"/>
  <c r="P7035"/>
  <c r="T7035"/>
  <c r="U7035"/>
  <c r="V7035"/>
  <c r="W7035"/>
  <c r="Y7035"/>
  <c r="AB7035"/>
  <c r="AC7035"/>
  <c r="AD7035"/>
  <c r="P7036"/>
  <c r="T7036"/>
  <c r="U7036"/>
  <c r="V7036"/>
  <c r="W7036"/>
  <c r="Y7036"/>
  <c r="AB7036"/>
  <c r="AC7036"/>
  <c r="AD7036"/>
  <c r="P7037"/>
  <c r="T7037"/>
  <c r="U7037"/>
  <c r="V7037"/>
  <c r="W7037"/>
  <c r="Y7037"/>
  <c r="AB7037"/>
  <c r="AC7037"/>
  <c r="AD7037"/>
  <c r="P7038"/>
  <c r="T7038"/>
  <c r="U7038"/>
  <c r="V7038"/>
  <c r="W7038"/>
  <c r="Y7038"/>
  <c r="AB7038"/>
  <c r="AC7038"/>
  <c r="AD7038"/>
  <c r="P7039"/>
  <c r="T7039"/>
  <c r="U7039"/>
  <c r="V7039"/>
  <c r="W7039"/>
  <c r="Y7039"/>
  <c r="AB7039"/>
  <c r="AC7039"/>
  <c r="AD7039"/>
  <c r="P7040"/>
  <c r="T7040"/>
  <c r="U7040"/>
  <c r="V7040"/>
  <c r="W7040"/>
  <c r="Y7040"/>
  <c r="AB7040"/>
  <c r="AC7040"/>
  <c r="AD7040"/>
  <c r="P7041"/>
  <c r="T7041"/>
  <c r="U7041"/>
  <c r="V7041"/>
  <c r="W7041"/>
  <c r="Y7041"/>
  <c r="AB7041"/>
  <c r="AC7041"/>
  <c r="AD7041"/>
  <c r="P7042"/>
  <c r="T7042"/>
  <c r="U7042"/>
  <c r="V7042"/>
  <c r="W7042"/>
  <c r="Y7042"/>
  <c r="AB7042"/>
  <c r="AC7042"/>
  <c r="AD7042"/>
  <c r="P7043"/>
  <c r="T7043"/>
  <c r="U7043"/>
  <c r="V7043"/>
  <c r="W7043"/>
  <c r="Y7043"/>
  <c r="AB7043"/>
  <c r="AC7043"/>
  <c r="AD7043"/>
  <c r="P7044"/>
  <c r="T7044"/>
  <c r="U7044"/>
  <c r="V7044"/>
  <c r="W7044"/>
  <c r="Y7044"/>
  <c r="AB7044"/>
  <c r="AC7044"/>
  <c r="AD7044"/>
  <c r="P7045"/>
  <c r="T7045"/>
  <c r="U7045"/>
  <c r="V7045"/>
  <c r="W7045"/>
  <c r="Y7045"/>
  <c r="AB7045"/>
  <c r="AC7045"/>
  <c r="AD7045"/>
  <c r="P7046"/>
  <c r="T7046"/>
  <c r="U7046"/>
  <c r="V7046"/>
  <c r="W7046"/>
  <c r="Y7046"/>
  <c r="AB7046"/>
  <c r="AC7046"/>
  <c r="AD7046"/>
  <c r="P7047"/>
  <c r="T7047"/>
  <c r="U7047"/>
  <c r="V7047"/>
  <c r="W7047"/>
  <c r="Y7047"/>
  <c r="AB7047"/>
  <c r="AC7047"/>
  <c r="AD7047"/>
  <c r="P7048"/>
  <c r="T7048"/>
  <c r="U7048"/>
  <c r="V7048"/>
  <c r="W7048"/>
  <c r="Y7048"/>
  <c r="AB7048"/>
  <c r="AC7048"/>
  <c r="AD7048"/>
  <c r="P7049"/>
  <c r="T7049"/>
  <c r="U7049"/>
  <c r="V7049"/>
  <c r="W7049"/>
  <c r="Y7049"/>
  <c r="AB7049"/>
  <c r="AC7049"/>
  <c r="AD7049"/>
  <c r="P7050"/>
  <c r="T7050"/>
  <c r="U7050"/>
  <c r="V7050"/>
  <c r="W7050"/>
  <c r="Y7050"/>
  <c r="AB7050"/>
  <c r="AC7050"/>
  <c r="AD7050"/>
  <c r="P7051"/>
  <c r="T7051"/>
  <c r="U7051"/>
  <c r="V7051"/>
  <c r="W7051"/>
  <c r="Y7051"/>
  <c r="AB7051"/>
  <c r="AC7051"/>
  <c r="AD7051"/>
  <c r="P7052"/>
  <c r="T7052"/>
  <c r="U7052"/>
  <c r="V7052"/>
  <c r="W7052"/>
  <c r="Y7052"/>
  <c r="AB7052"/>
  <c r="AC7052"/>
  <c r="AD7052"/>
  <c r="P7053"/>
  <c r="T7053"/>
  <c r="U7053"/>
  <c r="V7053"/>
  <c r="W7053"/>
  <c r="Y7053"/>
  <c r="AB7053"/>
  <c r="AC7053"/>
  <c r="AD7053"/>
  <c r="P7054"/>
  <c r="T7054"/>
  <c r="U7054"/>
  <c r="V7054"/>
  <c r="W7054"/>
  <c r="Y7054"/>
  <c r="AB7054"/>
  <c r="AC7054"/>
  <c r="AD7054"/>
  <c r="P7055"/>
  <c r="T7055"/>
  <c r="U7055"/>
  <c r="V7055"/>
  <c r="W7055"/>
  <c r="Y7055"/>
  <c r="AB7055"/>
  <c r="AC7055"/>
  <c r="AD7055"/>
  <c r="P7056"/>
  <c r="T7056"/>
  <c r="U7056"/>
  <c r="V7056"/>
  <c r="W7056"/>
  <c r="Y7056"/>
  <c r="AB7056"/>
  <c r="AC7056"/>
  <c r="AD7056"/>
  <c r="P7057"/>
  <c r="T7057"/>
  <c r="U7057"/>
  <c r="V7057"/>
  <c r="W7057"/>
  <c r="Y7057"/>
  <c r="AB7057"/>
  <c r="AC7057"/>
  <c r="AD7057"/>
  <c r="P7058"/>
  <c r="T7058"/>
  <c r="U7058"/>
  <c r="V7058"/>
  <c r="W7058"/>
  <c r="Y7058"/>
  <c r="AB7058"/>
  <c r="AC7058"/>
  <c r="AD7058"/>
  <c r="P7059"/>
  <c r="T7059"/>
  <c r="U7059"/>
  <c r="V7059"/>
  <c r="W7059"/>
  <c r="Y7059"/>
  <c r="AB7059"/>
  <c r="AC7059"/>
  <c r="AD7059"/>
  <c r="P7060"/>
  <c r="T7060"/>
  <c r="U7060"/>
  <c r="V7060"/>
  <c r="W7060"/>
  <c r="Y7060"/>
  <c r="AB7060"/>
  <c r="AC7060"/>
  <c r="AD7060"/>
  <c r="P7061"/>
  <c r="T7061"/>
  <c r="U7061"/>
  <c r="V7061"/>
  <c r="W7061"/>
  <c r="Y7061"/>
  <c r="AB7061"/>
  <c r="AC7061"/>
  <c r="AD7061"/>
  <c r="P7062"/>
  <c r="T7062"/>
  <c r="U7062"/>
  <c r="V7062"/>
  <c r="W7062"/>
  <c r="Y7062"/>
  <c r="AB7062"/>
  <c r="AC7062"/>
  <c r="AD7062"/>
  <c r="P7063"/>
  <c r="T7063"/>
  <c r="U7063"/>
  <c r="V7063"/>
  <c r="W7063"/>
  <c r="Y7063"/>
  <c r="AB7063"/>
  <c r="AC7063"/>
  <c r="AD7063"/>
  <c r="P7064"/>
  <c r="T7064"/>
  <c r="U7064"/>
  <c r="V7064"/>
  <c r="W7064"/>
  <c r="Y7064"/>
  <c r="AB7064"/>
  <c r="AC7064"/>
  <c r="AD7064"/>
  <c r="P7065"/>
  <c r="T7065"/>
  <c r="U7065"/>
  <c r="V7065"/>
  <c r="W7065"/>
  <c r="Y7065"/>
  <c r="AB7065"/>
  <c r="AC7065"/>
  <c r="AD7065"/>
  <c r="P7066"/>
  <c r="T7066"/>
  <c r="U7066"/>
  <c r="V7066"/>
  <c r="W7066"/>
  <c r="Y7066"/>
  <c r="AB7066"/>
  <c r="AC7066"/>
  <c r="AD7066"/>
  <c r="P7067"/>
  <c r="T7067"/>
  <c r="U7067"/>
  <c r="V7067"/>
  <c r="W7067"/>
  <c r="Y7067"/>
  <c r="AB7067"/>
  <c r="AC7067"/>
  <c r="AD7067"/>
  <c r="P7068"/>
  <c r="T7068"/>
  <c r="U7068"/>
  <c r="V7068"/>
  <c r="W7068"/>
  <c r="Y7068"/>
  <c r="AB7068"/>
  <c r="AC7068"/>
  <c r="AD7068"/>
  <c r="P7069"/>
  <c r="T7069"/>
  <c r="U7069"/>
  <c r="V7069"/>
  <c r="W7069"/>
  <c r="Y7069"/>
  <c r="AB7069"/>
  <c r="AC7069"/>
  <c r="AD7069"/>
  <c r="P7070"/>
  <c r="T7070"/>
  <c r="U7070"/>
  <c r="V7070"/>
  <c r="W7070"/>
  <c r="Y7070"/>
  <c r="AB7070"/>
  <c r="AC7070"/>
  <c r="AD7070"/>
  <c r="P7071"/>
  <c r="T7071"/>
  <c r="U7071"/>
  <c r="V7071"/>
  <c r="W7071"/>
  <c r="Y7071"/>
  <c r="AB7071"/>
  <c r="AC7071"/>
  <c r="AD7071"/>
  <c r="P7072"/>
  <c r="T7072"/>
  <c r="U7072"/>
  <c r="V7072"/>
  <c r="W7072"/>
  <c r="Y7072"/>
  <c r="AB7072"/>
  <c r="AC7072"/>
  <c r="AD7072"/>
  <c r="P7073"/>
  <c r="T7073"/>
  <c r="U7073"/>
  <c r="V7073"/>
  <c r="W7073"/>
  <c r="Y7073"/>
  <c r="AB7073"/>
  <c r="AC7073"/>
  <c r="AD7073"/>
  <c r="P7074"/>
  <c r="T7074"/>
  <c r="U7074"/>
  <c r="V7074"/>
  <c r="W7074"/>
  <c r="Y7074"/>
  <c r="AB7074"/>
  <c r="AC7074"/>
  <c r="AD7074"/>
  <c r="P7075"/>
  <c r="T7075"/>
  <c r="U7075"/>
  <c r="V7075"/>
  <c r="W7075"/>
  <c r="Y7075"/>
  <c r="AB7075"/>
  <c r="AC7075"/>
  <c r="AD7075"/>
  <c r="P7076"/>
  <c r="T7076"/>
  <c r="U7076"/>
  <c r="V7076"/>
  <c r="W7076"/>
  <c r="Y7076"/>
  <c r="AB7076"/>
  <c r="AC7076"/>
  <c r="AD7076"/>
  <c r="P7077"/>
  <c r="T7077"/>
  <c r="U7077"/>
  <c r="V7077"/>
  <c r="W7077"/>
  <c r="Y7077"/>
  <c r="AB7077"/>
  <c r="AC7077"/>
  <c r="AD7077"/>
  <c r="P7078"/>
  <c r="T7078"/>
  <c r="U7078"/>
  <c r="V7078"/>
  <c r="W7078"/>
  <c r="Y7078"/>
  <c r="AB7078"/>
  <c r="AC7078"/>
  <c r="AD7078"/>
  <c r="P7079"/>
  <c r="T7079"/>
  <c r="U7079"/>
  <c r="V7079"/>
  <c r="W7079"/>
  <c r="Y7079"/>
  <c r="AB7079"/>
  <c r="AC7079"/>
  <c r="AD7079"/>
  <c r="P7080"/>
  <c r="T7080"/>
  <c r="U7080"/>
  <c r="V7080"/>
  <c r="W7080"/>
  <c r="Y7080"/>
  <c r="AB7080"/>
  <c r="AC7080"/>
  <c r="AD7080"/>
  <c r="P7081"/>
  <c r="T7081"/>
  <c r="U7081"/>
  <c r="V7081"/>
  <c r="W7081"/>
  <c r="Y7081"/>
  <c r="AB7081"/>
  <c r="AC7081"/>
  <c r="AD7081"/>
  <c r="P7082"/>
  <c r="T7082"/>
  <c r="U7082"/>
  <c r="V7082"/>
  <c r="W7082"/>
  <c r="Y7082"/>
  <c r="AB7082"/>
  <c r="AC7082"/>
  <c r="AD7082"/>
  <c r="P7083"/>
  <c r="T7083"/>
  <c r="U7083"/>
  <c r="V7083"/>
  <c r="W7083"/>
  <c r="Y7083"/>
  <c r="AB7083"/>
  <c r="AC7083"/>
  <c r="AD7083"/>
  <c r="P7084"/>
  <c r="T7084"/>
  <c r="U7084"/>
  <c r="V7084"/>
  <c r="W7084"/>
  <c r="Y7084"/>
  <c r="AB7084"/>
  <c r="AC7084"/>
  <c r="AD7084"/>
  <c r="P7085"/>
  <c r="T7085"/>
  <c r="U7085"/>
  <c r="V7085"/>
  <c r="W7085"/>
  <c r="Y7085"/>
  <c r="AB7085"/>
  <c r="AC7085"/>
  <c r="AD7085"/>
  <c r="P7086"/>
  <c r="T7086"/>
  <c r="U7086"/>
  <c r="V7086"/>
  <c r="W7086"/>
  <c r="Y7086"/>
  <c r="AB7086"/>
  <c r="AC7086"/>
  <c r="AD7086"/>
  <c r="P7087"/>
  <c r="T7087"/>
  <c r="U7087"/>
  <c r="V7087"/>
  <c r="W7087"/>
  <c r="Y7087"/>
  <c r="AB7087"/>
  <c r="AC7087"/>
  <c r="AD7087"/>
  <c r="P7088"/>
  <c r="T7088"/>
  <c r="U7088"/>
  <c r="V7088"/>
  <c r="W7088"/>
  <c r="Y7088"/>
  <c r="AB7088"/>
  <c r="AC7088"/>
  <c r="AD7088"/>
  <c r="P7089"/>
  <c r="T7089"/>
  <c r="U7089"/>
  <c r="V7089"/>
  <c r="W7089"/>
  <c r="Y7089"/>
  <c r="AB7089"/>
  <c r="AC7089"/>
  <c r="AD7089"/>
  <c r="P7090"/>
  <c r="T7090"/>
  <c r="U7090"/>
  <c r="V7090"/>
  <c r="W7090"/>
  <c r="Y7090"/>
  <c r="AB7090"/>
  <c r="AC7090"/>
  <c r="AD7090"/>
  <c r="P7091"/>
  <c r="T7091"/>
  <c r="U7091"/>
  <c r="V7091"/>
  <c r="W7091"/>
  <c r="Y7091"/>
  <c r="AB7091"/>
  <c r="AC7091"/>
  <c r="AD7091"/>
  <c r="P7092"/>
  <c r="T7092"/>
  <c r="U7092"/>
  <c r="V7092"/>
  <c r="W7092"/>
  <c r="Y7092"/>
  <c r="AB7092"/>
  <c r="AC7092"/>
  <c r="AD7092"/>
  <c r="P7093"/>
  <c r="T7093"/>
  <c r="U7093"/>
  <c r="V7093"/>
  <c r="W7093"/>
  <c r="Y7093"/>
  <c r="AB7093"/>
  <c r="AC7093"/>
  <c r="AD7093"/>
  <c r="P7094"/>
  <c r="T7094"/>
  <c r="U7094"/>
  <c r="V7094"/>
  <c r="W7094"/>
  <c r="Y7094"/>
  <c r="AB7094"/>
  <c r="AC7094"/>
  <c r="AD7094"/>
  <c r="P7095"/>
  <c r="T7095"/>
  <c r="U7095"/>
  <c r="V7095"/>
  <c r="W7095"/>
  <c r="Y7095"/>
  <c r="AB7095"/>
  <c r="AC7095"/>
  <c r="AD7095"/>
  <c r="P7096"/>
  <c r="T7096"/>
  <c r="U7096"/>
  <c r="V7096"/>
  <c r="W7096"/>
  <c r="Y7096"/>
  <c r="AB7096"/>
  <c r="AC7096"/>
  <c r="AD7096"/>
  <c r="P7097"/>
  <c r="T7097"/>
  <c r="U7097"/>
  <c r="V7097"/>
  <c r="W7097"/>
  <c r="Y7097"/>
  <c r="AB7097"/>
  <c r="AC7097"/>
  <c r="AD7097"/>
  <c r="P7098"/>
  <c r="T7098"/>
  <c r="U7098"/>
  <c r="V7098"/>
  <c r="W7098"/>
  <c r="Y7098"/>
  <c r="AB7098"/>
  <c r="AC7098"/>
  <c r="AD7098"/>
  <c r="P7099"/>
  <c r="T7099"/>
  <c r="U7099"/>
  <c r="V7099"/>
  <c r="W7099"/>
  <c r="Y7099"/>
  <c r="AB7099"/>
  <c r="AC7099"/>
  <c r="AD7099"/>
  <c r="P7100"/>
  <c r="T7100"/>
  <c r="U7100"/>
  <c r="V7100"/>
  <c r="W7100"/>
  <c r="Y7100"/>
  <c r="AB7100"/>
  <c r="AC7100"/>
  <c r="AD7100"/>
  <c r="P7101"/>
  <c r="T7101"/>
  <c r="U7101"/>
  <c r="V7101"/>
  <c r="W7101"/>
  <c r="Y7101"/>
  <c r="AB7101"/>
  <c r="AC7101"/>
  <c r="AD7101"/>
  <c r="P7102"/>
  <c r="T7102"/>
  <c r="U7102"/>
  <c r="V7102"/>
  <c r="W7102"/>
  <c r="Y7102"/>
  <c r="AB7102"/>
  <c r="AC7102"/>
  <c r="AD7102"/>
  <c r="P7103"/>
  <c r="T7103"/>
  <c r="U7103"/>
  <c r="V7103"/>
  <c r="W7103"/>
  <c r="Y7103"/>
  <c r="AB7103"/>
  <c r="AC7103"/>
  <c r="AD7103"/>
  <c r="P7104"/>
  <c r="T7104"/>
  <c r="U7104"/>
  <c r="V7104"/>
  <c r="W7104"/>
  <c r="Y7104"/>
  <c r="AB7104"/>
  <c r="AC7104"/>
  <c r="AD7104"/>
  <c r="P7105"/>
  <c r="T7105"/>
  <c r="U7105"/>
  <c r="V7105"/>
  <c r="W7105"/>
  <c r="Y7105"/>
  <c r="AB7105"/>
  <c r="AC7105"/>
  <c r="AD7105"/>
  <c r="P7106"/>
  <c r="T7106"/>
  <c r="U7106"/>
  <c r="V7106"/>
  <c r="W7106"/>
  <c r="Y7106"/>
  <c r="AB7106"/>
  <c r="AC7106"/>
  <c r="AD7106"/>
  <c r="P7107"/>
  <c r="T7107"/>
  <c r="U7107"/>
  <c r="V7107"/>
  <c r="W7107"/>
  <c r="Y7107"/>
  <c r="AB7107"/>
  <c r="AC7107"/>
  <c r="AD7107"/>
  <c r="P7108"/>
  <c r="T7108"/>
  <c r="U7108"/>
  <c r="V7108"/>
  <c r="W7108"/>
  <c r="Y7108"/>
  <c r="AB7108"/>
  <c r="AC7108"/>
  <c r="AD7108"/>
  <c r="P7109"/>
  <c r="T7109"/>
  <c r="U7109"/>
  <c r="V7109"/>
  <c r="W7109"/>
  <c r="Y7109"/>
  <c r="AB7109"/>
  <c r="AC7109"/>
  <c r="AD7109"/>
  <c r="P7110"/>
  <c r="T7110"/>
  <c r="U7110"/>
  <c r="V7110"/>
  <c r="W7110"/>
  <c r="Y7110"/>
  <c r="AB7110"/>
  <c r="AC7110"/>
  <c r="AD7110"/>
  <c r="P7111"/>
  <c r="T7111"/>
  <c r="U7111"/>
  <c r="V7111"/>
  <c r="W7111"/>
  <c r="Y7111"/>
  <c r="AB7111"/>
  <c r="AC7111"/>
  <c r="AD7111"/>
  <c r="P7112"/>
  <c r="T7112"/>
  <c r="U7112"/>
  <c r="V7112"/>
  <c r="W7112"/>
  <c r="Y7112"/>
  <c r="AB7112"/>
  <c r="AC7112"/>
  <c r="AD7112"/>
  <c r="P7113"/>
  <c r="T7113"/>
  <c r="U7113"/>
  <c r="V7113"/>
  <c r="W7113"/>
  <c r="Y7113"/>
  <c r="AB7113"/>
  <c r="AC7113"/>
  <c r="AD7113"/>
  <c r="P7114"/>
  <c r="T7114"/>
  <c r="U7114"/>
  <c r="V7114"/>
  <c r="W7114"/>
  <c r="Y7114"/>
  <c r="AB7114"/>
  <c r="AC7114"/>
  <c r="AD7114"/>
  <c r="P7115"/>
  <c r="T7115"/>
  <c r="U7115"/>
  <c r="V7115"/>
  <c r="W7115"/>
  <c r="Y7115"/>
  <c r="AB7115"/>
  <c r="AC7115"/>
  <c r="AD7115"/>
  <c r="P7116"/>
  <c r="T7116"/>
  <c r="U7116"/>
  <c r="V7116"/>
  <c r="W7116"/>
  <c r="Y7116"/>
  <c r="AB7116"/>
  <c r="AC7116"/>
  <c r="AD7116"/>
  <c r="P7117"/>
  <c r="T7117"/>
  <c r="U7117"/>
  <c r="V7117"/>
  <c r="W7117"/>
  <c r="Y7117"/>
  <c r="AB7117"/>
  <c r="AC7117"/>
  <c r="AD7117"/>
  <c r="P7118"/>
  <c r="T7118"/>
  <c r="U7118"/>
  <c r="V7118"/>
  <c r="W7118"/>
  <c r="Y7118"/>
  <c r="AB7118"/>
  <c r="AC7118"/>
  <c r="AD7118"/>
  <c r="P7119"/>
  <c r="T7119"/>
  <c r="U7119"/>
  <c r="V7119"/>
  <c r="W7119"/>
  <c r="Y7119"/>
  <c r="AB7119"/>
  <c r="AC7119"/>
  <c r="AD7119"/>
  <c r="P7120"/>
  <c r="T7120"/>
  <c r="U7120"/>
  <c r="V7120"/>
  <c r="W7120"/>
  <c r="Y7120"/>
  <c r="AB7120"/>
  <c r="AC7120"/>
  <c r="AD7120"/>
  <c r="P7121"/>
  <c r="T7121"/>
  <c r="U7121"/>
  <c r="V7121"/>
  <c r="W7121"/>
  <c r="Y7121"/>
  <c r="AB7121"/>
  <c r="AC7121"/>
  <c r="AD7121"/>
  <c r="P7122"/>
  <c r="T7122"/>
  <c r="U7122"/>
  <c r="V7122"/>
  <c r="W7122"/>
  <c r="Y7122"/>
  <c r="AB7122"/>
  <c r="AC7122"/>
  <c r="AD7122"/>
  <c r="P7123"/>
  <c r="T7123"/>
  <c r="U7123"/>
  <c r="V7123"/>
  <c r="W7123"/>
  <c r="Y7123"/>
  <c r="AB7123"/>
  <c r="AC7123"/>
  <c r="AD7123"/>
  <c r="P7124"/>
  <c r="T7124"/>
  <c r="U7124"/>
  <c r="V7124"/>
  <c r="W7124"/>
  <c r="Y7124"/>
  <c r="AB7124"/>
  <c r="AC7124"/>
  <c r="AD7124"/>
  <c r="P7125"/>
  <c r="T7125"/>
  <c r="U7125"/>
  <c r="V7125"/>
  <c r="W7125"/>
  <c r="Y7125"/>
  <c r="AB7125"/>
  <c r="AC7125"/>
  <c r="AD7125"/>
  <c r="P7126"/>
  <c r="T7126"/>
  <c r="U7126"/>
  <c r="V7126"/>
  <c r="W7126"/>
  <c r="Y7126"/>
  <c r="AB7126"/>
  <c r="AC7126"/>
  <c r="AD7126"/>
  <c r="P7127"/>
  <c r="T7127"/>
  <c r="U7127"/>
  <c r="V7127"/>
  <c r="W7127"/>
  <c r="Y7127"/>
  <c r="AB7127"/>
  <c r="AC7127"/>
  <c r="AD7127"/>
  <c r="P7128"/>
  <c r="T7128"/>
  <c r="U7128"/>
  <c r="V7128"/>
  <c r="W7128"/>
  <c r="Y7128"/>
  <c r="AB7128"/>
  <c r="AC7128"/>
  <c r="AD7128"/>
  <c r="P7129"/>
  <c r="T7129"/>
  <c r="U7129"/>
  <c r="V7129"/>
  <c r="W7129"/>
  <c r="Y7129"/>
  <c r="AB7129"/>
  <c r="AC7129"/>
  <c r="AD7129"/>
  <c r="P7130"/>
  <c r="T7130"/>
  <c r="U7130"/>
  <c r="V7130"/>
  <c r="W7130"/>
  <c r="Y7130"/>
  <c r="AB7130"/>
  <c r="AC7130"/>
  <c r="AD7130"/>
  <c r="P7131"/>
  <c r="T7131"/>
  <c r="U7131"/>
  <c r="V7131"/>
  <c r="W7131"/>
  <c r="Y7131"/>
  <c r="AB7131"/>
  <c r="AC7131"/>
  <c r="AD7131"/>
  <c r="P7132"/>
  <c r="T7132"/>
  <c r="U7132"/>
  <c r="V7132"/>
  <c r="W7132"/>
  <c r="Y7132"/>
  <c r="AB7132"/>
  <c r="AC7132"/>
  <c r="AD7132"/>
  <c r="P7133"/>
  <c r="T7133"/>
  <c r="U7133"/>
  <c r="V7133"/>
  <c r="W7133"/>
  <c r="Y7133"/>
  <c r="AB7133"/>
  <c r="AC7133"/>
  <c r="AD7133"/>
  <c r="P7134"/>
  <c r="T7134"/>
  <c r="U7134"/>
  <c r="V7134"/>
  <c r="W7134"/>
  <c r="Y7134"/>
  <c r="AB7134"/>
  <c r="AC7134"/>
  <c r="AD7134"/>
  <c r="P7135"/>
  <c r="T7135"/>
  <c r="U7135"/>
  <c r="V7135"/>
  <c r="W7135"/>
  <c r="Y7135"/>
  <c r="AB7135"/>
  <c r="AC7135"/>
  <c r="AD7135"/>
  <c r="P7136"/>
  <c r="T7136"/>
  <c r="U7136"/>
  <c r="V7136"/>
  <c r="W7136"/>
  <c r="Y7136"/>
  <c r="AB7136"/>
  <c r="AC7136"/>
  <c r="AD7136"/>
  <c r="P7137"/>
  <c r="T7137"/>
  <c r="U7137"/>
  <c r="V7137"/>
  <c r="W7137"/>
  <c r="Y7137"/>
  <c r="AB7137"/>
  <c r="AC7137"/>
  <c r="AD7137"/>
  <c r="P7138"/>
  <c r="T7138"/>
  <c r="U7138"/>
  <c r="V7138"/>
  <c r="W7138"/>
  <c r="Y7138"/>
  <c r="AB7138"/>
  <c r="AC7138"/>
  <c r="AD7138"/>
  <c r="P7139"/>
  <c r="T7139"/>
  <c r="U7139"/>
  <c r="V7139"/>
  <c r="W7139"/>
  <c r="Y7139"/>
  <c r="AB7139"/>
  <c r="AC7139"/>
  <c r="AD7139"/>
  <c r="P7140"/>
  <c r="T7140"/>
  <c r="U7140"/>
  <c r="V7140"/>
  <c r="W7140"/>
  <c r="Y7140"/>
  <c r="AB7140"/>
  <c r="AC7140"/>
  <c r="AD7140"/>
  <c r="P7141"/>
  <c r="T7141"/>
  <c r="U7141"/>
  <c r="V7141"/>
  <c r="W7141"/>
  <c r="Y7141"/>
  <c r="AB7141"/>
  <c r="AC7141"/>
  <c r="AD7141"/>
  <c r="P7142"/>
  <c r="T7142"/>
  <c r="U7142"/>
  <c r="V7142"/>
  <c r="W7142"/>
  <c r="Y7142"/>
  <c r="AB7142"/>
  <c r="AC7142"/>
  <c r="AD7142"/>
  <c r="P7143"/>
  <c r="T7143"/>
  <c r="U7143"/>
  <c r="V7143"/>
  <c r="W7143"/>
  <c r="Y7143"/>
  <c r="AB7143"/>
  <c r="AC7143"/>
  <c r="AD7143"/>
  <c r="P7144"/>
  <c r="T7144"/>
  <c r="U7144"/>
  <c r="V7144"/>
  <c r="W7144"/>
  <c r="Y7144"/>
  <c r="AB7144"/>
  <c r="AC7144"/>
  <c r="AD7144"/>
  <c r="P7145"/>
  <c r="T7145"/>
  <c r="U7145"/>
  <c r="V7145"/>
  <c r="W7145"/>
  <c r="Y7145"/>
  <c r="AB7145"/>
  <c r="AC7145"/>
  <c r="AD7145"/>
  <c r="P7146"/>
  <c r="T7146"/>
  <c r="U7146"/>
  <c r="V7146"/>
  <c r="W7146"/>
  <c r="Y7146"/>
  <c r="AB7146"/>
  <c r="AC7146"/>
  <c r="AD7146"/>
  <c r="P7147"/>
  <c r="T7147"/>
  <c r="U7147"/>
  <c r="V7147"/>
  <c r="W7147"/>
  <c r="Y7147"/>
  <c r="AB7147"/>
  <c r="AC7147"/>
  <c r="AD7147"/>
  <c r="P7148"/>
  <c r="T7148"/>
  <c r="U7148"/>
  <c r="V7148"/>
  <c r="W7148"/>
  <c r="Y7148"/>
  <c r="AB7148"/>
  <c r="AC7148"/>
  <c r="AD7148"/>
  <c r="P7149"/>
  <c r="T7149"/>
  <c r="U7149"/>
  <c r="V7149"/>
  <c r="W7149"/>
  <c r="Y7149"/>
  <c r="AB7149"/>
  <c r="AC7149"/>
  <c r="AD7149"/>
  <c r="P7150"/>
  <c r="T7150"/>
  <c r="U7150"/>
  <c r="V7150"/>
  <c r="W7150"/>
  <c r="Y7150"/>
  <c r="AB7150"/>
  <c r="AC7150"/>
  <c r="AD7150"/>
  <c r="P7151"/>
  <c r="T7151"/>
  <c r="U7151"/>
  <c r="V7151"/>
  <c r="W7151"/>
  <c r="Y7151"/>
  <c r="AB7151"/>
  <c r="AC7151"/>
  <c r="AD7151"/>
  <c r="P7152"/>
  <c r="T7152"/>
  <c r="U7152"/>
  <c r="V7152"/>
  <c r="W7152"/>
  <c r="Y7152"/>
  <c r="AB7152"/>
  <c r="AC7152"/>
  <c r="AD7152"/>
  <c r="P7153"/>
  <c r="T7153"/>
  <c r="U7153"/>
  <c r="V7153"/>
  <c r="W7153"/>
  <c r="Y7153"/>
  <c r="AB7153"/>
  <c r="AC7153"/>
  <c r="AD7153"/>
  <c r="P7154"/>
  <c r="T7154"/>
  <c r="U7154"/>
  <c r="V7154"/>
  <c r="W7154"/>
  <c r="Y7154"/>
  <c r="AB7154"/>
  <c r="AC7154"/>
  <c r="AD7154"/>
  <c r="P7155"/>
  <c r="T7155"/>
  <c r="U7155"/>
  <c r="V7155"/>
  <c r="W7155"/>
  <c r="Y7155"/>
  <c r="AB7155"/>
  <c r="AC7155"/>
  <c r="AD7155"/>
  <c r="P7156"/>
  <c r="T7156"/>
  <c r="U7156"/>
  <c r="V7156"/>
  <c r="W7156"/>
  <c r="Y7156"/>
  <c r="AB7156"/>
  <c r="AC7156"/>
  <c r="AD7156"/>
  <c r="P7157"/>
  <c r="T7157"/>
  <c r="U7157"/>
  <c r="V7157"/>
  <c r="W7157"/>
  <c r="Y7157"/>
  <c r="AB7157"/>
  <c r="AC7157"/>
  <c r="AD7157"/>
  <c r="P7158"/>
  <c r="T7158"/>
  <c r="U7158"/>
  <c r="V7158"/>
  <c r="W7158"/>
  <c r="Y7158"/>
  <c r="AB7158"/>
  <c r="AC7158"/>
  <c r="AD7158"/>
  <c r="P7159"/>
  <c r="T7159"/>
  <c r="U7159"/>
  <c r="V7159"/>
  <c r="W7159"/>
  <c r="Y7159"/>
  <c r="AB7159"/>
  <c r="AC7159"/>
  <c r="AD7159"/>
  <c r="P7160"/>
  <c r="T7160"/>
  <c r="U7160"/>
  <c r="V7160"/>
  <c r="W7160"/>
  <c r="Y7160"/>
  <c r="AB7160"/>
  <c r="AC7160"/>
  <c r="AD7160"/>
  <c r="P7161"/>
  <c r="T7161"/>
  <c r="U7161"/>
  <c r="V7161"/>
  <c r="W7161"/>
  <c r="Y7161"/>
  <c r="AB7161"/>
  <c r="AC7161"/>
  <c r="AD7161"/>
  <c r="P7162"/>
  <c r="T7162"/>
  <c r="U7162"/>
  <c r="V7162"/>
  <c r="W7162"/>
  <c r="Y7162"/>
  <c r="AB7162"/>
  <c r="AC7162"/>
  <c r="AD7162"/>
  <c r="P7163"/>
  <c r="T7163"/>
  <c r="U7163"/>
  <c r="V7163"/>
  <c r="W7163"/>
  <c r="Y7163"/>
  <c r="AB7163"/>
  <c r="AC7163"/>
  <c r="AD7163"/>
  <c r="P7164"/>
  <c r="T7164"/>
  <c r="U7164"/>
  <c r="V7164"/>
  <c r="W7164"/>
  <c r="Y7164"/>
  <c r="AB7164"/>
  <c r="AC7164"/>
  <c r="AD7164"/>
  <c r="P7165"/>
  <c r="T7165"/>
  <c r="U7165"/>
  <c r="V7165"/>
  <c r="W7165"/>
  <c r="Y7165"/>
  <c r="AB7165"/>
  <c r="AC7165"/>
  <c r="AD7165"/>
  <c r="P7166"/>
  <c r="T7166"/>
  <c r="U7166"/>
  <c r="V7166"/>
  <c r="W7166"/>
  <c r="Y7166"/>
  <c r="AB7166"/>
  <c r="AC7166"/>
  <c r="AD7166"/>
  <c r="P7167"/>
  <c r="T7167"/>
  <c r="U7167"/>
  <c r="V7167"/>
  <c r="W7167"/>
  <c r="Y7167"/>
  <c r="AB7167"/>
  <c r="AC7167"/>
  <c r="AD7167"/>
  <c r="P7168"/>
  <c r="T7168"/>
  <c r="U7168"/>
  <c r="V7168"/>
  <c r="W7168"/>
  <c r="Y7168"/>
  <c r="AB7168"/>
  <c r="AC7168"/>
  <c r="AD7168"/>
  <c r="P7169"/>
  <c r="T7169"/>
  <c r="U7169"/>
  <c r="V7169"/>
  <c r="W7169"/>
  <c r="Y7169"/>
  <c r="AB7169"/>
  <c r="AC7169"/>
  <c r="AD7169"/>
  <c r="P7170"/>
  <c r="T7170"/>
  <c r="U7170"/>
  <c r="V7170"/>
  <c r="W7170"/>
  <c r="Y7170"/>
  <c r="AB7170"/>
  <c r="AC7170"/>
  <c r="AD7170"/>
  <c r="P7171"/>
  <c r="T7171"/>
  <c r="U7171"/>
  <c r="V7171"/>
  <c r="W7171"/>
  <c r="Y7171"/>
  <c r="AB7171"/>
  <c r="AC7171"/>
  <c r="AD7171"/>
  <c r="P7172"/>
  <c r="T7172"/>
  <c r="U7172"/>
  <c r="V7172"/>
  <c r="W7172"/>
  <c r="Y7172"/>
  <c r="AB7172"/>
  <c r="AC7172"/>
  <c r="AD7172"/>
  <c r="P7173"/>
  <c r="T7173"/>
  <c r="U7173"/>
  <c r="V7173"/>
  <c r="W7173"/>
  <c r="Y7173"/>
  <c r="AB7173"/>
  <c r="AC7173"/>
  <c r="AD7173"/>
  <c r="P7174"/>
  <c r="T7174"/>
  <c r="U7174"/>
  <c r="V7174"/>
  <c r="W7174"/>
  <c r="Y7174"/>
  <c r="AB7174"/>
  <c r="AC7174"/>
  <c r="AD7174"/>
  <c r="B808"/>
  <c r="B809"/>
  <c r="B812"/>
  <c r="B813"/>
  <c r="A808"/>
  <c r="AA2974"/>
  <c r="B2974"/>
  <c r="AA2973"/>
  <c r="B2973"/>
  <c r="AA2976"/>
  <c r="B2976"/>
  <c r="AA2985"/>
  <c r="B2985"/>
  <c r="AA2984"/>
  <c r="AA2983"/>
  <c r="B2982"/>
  <c r="AA2982"/>
  <c r="B2981"/>
  <c r="AA2981"/>
  <c r="B2979"/>
  <c r="AA2979"/>
  <c r="B2980"/>
  <c r="AA2980"/>
  <c r="B2978"/>
  <c r="B2983"/>
  <c r="B2984"/>
  <c r="A2988"/>
  <c r="A2991"/>
  <c r="A3014"/>
  <c r="B2975"/>
  <c r="AA3014"/>
  <c r="AA2978"/>
  <c r="AA2988"/>
  <c r="AA2991"/>
  <c r="AA2975"/>
  <c r="A3148"/>
  <c r="A3147"/>
  <c r="AA3148"/>
  <c r="AA3146"/>
  <c r="B3146"/>
  <c r="AA3145"/>
  <c r="AA3144"/>
  <c r="AA3143"/>
  <c r="B3143"/>
  <c r="AA3141"/>
  <c r="B3141"/>
  <c r="AA3142"/>
  <c r="B3142"/>
  <c r="AA3140"/>
  <c r="B3140"/>
  <c r="AA3139"/>
  <c r="B3139"/>
  <c r="AA3138"/>
  <c r="B3138"/>
  <c r="AA3137"/>
  <c r="B3137"/>
  <c r="AA3136"/>
  <c r="AA3135"/>
  <c r="B3135"/>
  <c r="AA3134"/>
  <c r="B3134"/>
  <c r="AA3133"/>
  <c r="B3133"/>
  <c r="AA3132"/>
  <c r="B3132"/>
  <c r="AA3131"/>
  <c r="B3131"/>
  <c r="AA3130"/>
  <c r="B3130"/>
  <c r="AA3129"/>
  <c r="B3129"/>
  <c r="AA3128"/>
  <c r="B3128"/>
  <c r="AA3127"/>
  <c r="B3127"/>
  <c r="AA3126"/>
  <c r="B3126"/>
  <c r="AA3125"/>
  <c r="B3125"/>
  <c r="AA3124"/>
  <c r="B3124"/>
  <c r="AA3123"/>
  <c r="B3123"/>
  <c r="AA3122"/>
  <c r="B3122"/>
  <c r="AA3121"/>
  <c r="B3121"/>
  <c r="AA3120"/>
  <c r="B3120"/>
  <c r="AA3119"/>
  <c r="B3119"/>
  <c r="AA3118"/>
  <c r="B3118"/>
  <c r="AA3117"/>
  <c r="B3117"/>
  <c r="AA3116"/>
  <c r="B3116"/>
  <c r="B3111"/>
  <c r="B3112"/>
  <c r="B3113"/>
  <c r="B3114"/>
  <c r="AA3115"/>
  <c r="B3115"/>
  <c r="AA3114"/>
  <c r="AA3113"/>
  <c r="A3113"/>
  <c r="AA3112"/>
  <c r="AA3110"/>
  <c r="B3109"/>
  <c r="AA3109"/>
  <c r="B3108"/>
  <c r="AA3108"/>
  <c r="AA3107"/>
  <c r="B3107"/>
  <c r="B3106"/>
  <c r="B3105"/>
  <c r="B3104"/>
  <c r="B3103"/>
  <c r="AA3106"/>
  <c r="AA3105"/>
  <c r="AA3104"/>
  <c r="A3103"/>
  <c r="AA3103"/>
  <c r="AA3111"/>
  <c r="AA3147"/>
  <c r="AA3149"/>
  <c r="B1074"/>
  <c r="A17" i="12"/>
  <c r="AA3569" i="34"/>
  <c r="B3569"/>
  <c r="AA3568"/>
  <c r="B3568"/>
  <c r="AA3567"/>
  <c r="B3567"/>
  <c r="AA3566"/>
  <c r="B3566"/>
  <c r="AA3564"/>
  <c r="B3564"/>
  <c r="AA3563"/>
  <c r="B3563"/>
  <c r="AA3562"/>
  <c r="B3562"/>
  <c r="AA3561"/>
  <c r="B3561"/>
  <c r="AA4966"/>
  <c r="B4963"/>
  <c r="B4964"/>
  <c r="B4965"/>
  <c r="B4966"/>
  <c r="AA4965"/>
  <c r="AA4964"/>
  <c r="AA4963"/>
  <c r="B838"/>
  <c r="B837"/>
  <c r="B2854"/>
  <c r="B2853"/>
  <c r="B2852"/>
  <c r="B2843"/>
  <c r="AA1800"/>
  <c r="AA1799"/>
  <c r="AA3565"/>
  <c r="B3565"/>
  <c r="B4960"/>
  <c r="AA4960"/>
  <c r="B4961"/>
  <c r="AA4961"/>
  <c r="B4962"/>
  <c r="AA4962"/>
  <c r="B4959"/>
  <c r="AA4959"/>
  <c r="B4231"/>
  <c r="AA4231"/>
  <c r="B4958"/>
  <c r="AA4958"/>
  <c r="B4956"/>
  <c r="AA4956"/>
  <c r="B4228"/>
  <c r="B4229"/>
  <c r="B4230"/>
  <c r="B4207"/>
  <c r="AA4207"/>
  <c r="B4206"/>
  <c r="AA4206"/>
  <c r="B1073"/>
  <c r="B1069"/>
  <c r="B1068"/>
  <c r="B1067"/>
  <c r="B1070"/>
  <c r="AA4230"/>
  <c r="B4227"/>
  <c r="AA4227"/>
  <c r="B4205"/>
  <c r="B4208"/>
  <c r="B4209"/>
  <c r="B4210"/>
  <c r="B4211"/>
  <c r="B4212"/>
  <c r="B4213"/>
  <c r="B4214"/>
  <c r="B4215"/>
  <c r="B4216"/>
  <c r="B4217"/>
  <c r="B4218"/>
  <c r="B4219"/>
  <c r="B4220"/>
  <c r="B4221"/>
  <c r="B4222"/>
  <c r="B4223"/>
  <c r="B4224"/>
  <c r="B4225"/>
  <c r="B4226"/>
  <c r="B3557"/>
  <c r="B3558"/>
  <c r="B3559"/>
  <c r="B3560"/>
  <c r="AA3558"/>
  <c r="AA3559"/>
  <c r="AA3560"/>
  <c r="AA3557"/>
  <c r="B4955"/>
  <c r="AA4955"/>
  <c r="AA4951"/>
  <c r="AA4952"/>
  <c r="AA4953"/>
  <c r="AA4954"/>
  <c r="AA4957"/>
  <c r="B4950"/>
  <c r="B4951"/>
  <c r="B4952"/>
  <c r="B4953"/>
  <c r="B4954"/>
  <c r="B4957"/>
  <c r="R1067" l="1"/>
  <c r="Q1067"/>
  <c r="S1067"/>
  <c r="R1069"/>
  <c r="Q1069"/>
  <c r="S1069"/>
  <c r="R838"/>
  <c r="Q838"/>
  <c r="S838"/>
  <c r="Q1074"/>
  <c r="S1074"/>
  <c r="R1074"/>
  <c r="R812"/>
  <c r="Q812"/>
  <c r="S812"/>
  <c r="R808"/>
  <c r="Q808"/>
  <c r="S808"/>
  <c r="R828"/>
  <c r="Q828"/>
  <c r="S828"/>
  <c r="R826"/>
  <c r="Q826"/>
  <c r="S826"/>
  <c r="Q841"/>
  <c r="S841"/>
  <c r="R841"/>
  <c r="R1071"/>
  <c r="Q1071"/>
  <c r="S1071"/>
  <c r="Q1070"/>
  <c r="S1070"/>
  <c r="R1070"/>
  <c r="Q1068"/>
  <c r="S1068"/>
  <c r="R1068"/>
  <c r="R1073"/>
  <c r="Q1073"/>
  <c r="S1073"/>
  <c r="Q837"/>
  <c r="S837"/>
  <c r="R837"/>
  <c r="Q813"/>
  <c r="S813"/>
  <c r="R813"/>
  <c r="Q809"/>
  <c r="S809"/>
  <c r="R809"/>
  <c r="Q829"/>
  <c r="S829"/>
  <c r="R829"/>
  <c r="Q827"/>
  <c r="S827"/>
  <c r="R827"/>
  <c r="Q825"/>
  <c r="S825"/>
  <c r="R825"/>
  <c r="R842"/>
  <c r="Q842"/>
  <c r="S842"/>
  <c r="Q1072"/>
  <c r="S1072"/>
  <c r="R1072"/>
  <c r="T3559"/>
  <c r="V3559"/>
  <c r="U3559"/>
  <c r="T3557"/>
  <c r="V3557"/>
  <c r="U3557"/>
  <c r="U3560"/>
  <c r="T3560"/>
  <c r="V3560"/>
  <c r="U3558"/>
  <c r="T3558"/>
  <c r="V3558"/>
  <c r="T3565"/>
  <c r="V3565"/>
  <c r="U3565"/>
  <c r="T3561"/>
  <c r="V3561"/>
  <c r="U3561"/>
  <c r="U3562"/>
  <c r="T3562"/>
  <c r="V3562"/>
  <c r="T3563"/>
  <c r="V3563"/>
  <c r="U3563"/>
  <c r="U3564"/>
  <c r="T3564"/>
  <c r="V3564"/>
  <c r="U3566"/>
  <c r="T3566"/>
  <c r="V3566"/>
  <c r="T3567"/>
  <c r="V3567"/>
  <c r="U3567"/>
  <c r="U3568"/>
  <c r="T3568"/>
  <c r="V3568"/>
  <c r="T3569"/>
  <c r="V3569"/>
  <c r="U3569"/>
  <c r="A4952"/>
  <c r="Q4952"/>
  <c r="S4952"/>
  <c r="R4952"/>
  <c r="A4950"/>
  <c r="Q4950"/>
  <c r="S4950"/>
  <c r="R4950"/>
  <c r="R3560"/>
  <c r="Q3560"/>
  <c r="S3560"/>
  <c r="R3558"/>
  <c r="Q3558"/>
  <c r="S3558"/>
  <c r="A4224"/>
  <c r="R4224"/>
  <c r="Q4224"/>
  <c r="S4224"/>
  <c r="A4220"/>
  <c r="R4220"/>
  <c r="Q4220"/>
  <c r="S4220"/>
  <c r="A4216"/>
  <c r="R4216"/>
  <c r="Q4216"/>
  <c r="S4216"/>
  <c r="A4212"/>
  <c r="R4212"/>
  <c r="Q4212"/>
  <c r="S4212"/>
  <c r="A4208"/>
  <c r="R4208"/>
  <c r="Q4208"/>
  <c r="S4208"/>
  <c r="A4227"/>
  <c r="Q4227"/>
  <c r="S4227"/>
  <c r="R4227"/>
  <c r="A4228"/>
  <c r="R4228"/>
  <c r="Q4228"/>
  <c r="S4228"/>
  <c r="A4231"/>
  <c r="Q4231"/>
  <c r="S4231"/>
  <c r="R4231"/>
  <c r="A4962"/>
  <c r="Q4962"/>
  <c r="S4962"/>
  <c r="R4962"/>
  <c r="A4960"/>
  <c r="Q4960"/>
  <c r="S4960"/>
  <c r="R4960"/>
  <c r="Q2854"/>
  <c r="S2854"/>
  <c r="R2854"/>
  <c r="Q4966"/>
  <c r="S4966"/>
  <c r="R4966"/>
  <c r="Q4964"/>
  <c r="S4964"/>
  <c r="R4964"/>
  <c r="Q3561"/>
  <c r="S3561"/>
  <c r="R3561"/>
  <c r="Q3563"/>
  <c r="S3563"/>
  <c r="R3563"/>
  <c r="R3566"/>
  <c r="Q3566"/>
  <c r="S3566"/>
  <c r="R3568"/>
  <c r="Q3568"/>
  <c r="S3568"/>
  <c r="Q3105"/>
  <c r="S3105"/>
  <c r="R3105"/>
  <c r="R3108"/>
  <c r="Q3108"/>
  <c r="S3108"/>
  <c r="R3130"/>
  <c r="Q3130"/>
  <c r="S3130"/>
  <c r="R3142"/>
  <c r="Q3142"/>
  <c r="S3142"/>
  <c r="R3146"/>
  <c r="Q3146"/>
  <c r="S3146"/>
  <c r="R2978"/>
  <c r="Q2978"/>
  <c r="S2978"/>
  <c r="R2976"/>
  <c r="Q2976"/>
  <c r="S2976"/>
  <c r="R2974"/>
  <c r="Q2974"/>
  <c r="S2974"/>
  <c r="R4957"/>
  <c r="Q4957"/>
  <c r="S4957"/>
  <c r="R4953"/>
  <c r="Q4953"/>
  <c r="S4953"/>
  <c r="R4951"/>
  <c r="Q4951"/>
  <c r="S4951"/>
  <c r="R4955"/>
  <c r="Q4955"/>
  <c r="S4955"/>
  <c r="Q3559"/>
  <c r="S3559"/>
  <c r="R3559"/>
  <c r="Q3557"/>
  <c r="S3557"/>
  <c r="R3557"/>
  <c r="A4225"/>
  <c r="Q4225"/>
  <c r="S4225"/>
  <c r="R4225"/>
  <c r="A4223"/>
  <c r="Q4223"/>
  <c r="S4223"/>
  <c r="R4223"/>
  <c r="A4221"/>
  <c r="Q4221"/>
  <c r="S4221"/>
  <c r="R4221"/>
  <c r="A4219"/>
  <c r="Q4219"/>
  <c r="S4219"/>
  <c r="R4219"/>
  <c r="A4217"/>
  <c r="Q4217"/>
  <c r="S4217"/>
  <c r="R4217"/>
  <c r="A4215"/>
  <c r="Q4215"/>
  <c r="S4215"/>
  <c r="R4215"/>
  <c r="A4213"/>
  <c r="Q4213"/>
  <c r="S4213"/>
  <c r="R4213"/>
  <c r="A4211"/>
  <c r="Q4211"/>
  <c r="S4211"/>
  <c r="R4211"/>
  <c r="A4209"/>
  <c r="Q4209"/>
  <c r="S4209"/>
  <c r="R4209"/>
  <c r="A4205"/>
  <c r="Q4205"/>
  <c r="S4205"/>
  <c r="R4205"/>
  <c r="A4206"/>
  <c r="R4206"/>
  <c r="Q4206"/>
  <c r="S4206"/>
  <c r="A4207"/>
  <c r="Q4207"/>
  <c r="S4207"/>
  <c r="R4207"/>
  <c r="A4229"/>
  <c r="Q4229"/>
  <c r="S4229"/>
  <c r="R4229"/>
  <c r="R2843"/>
  <c r="Q2843"/>
  <c r="S2843"/>
  <c r="R2853"/>
  <c r="Q2853"/>
  <c r="S2853"/>
  <c r="A4965"/>
  <c r="R4965"/>
  <c r="Q4965"/>
  <c r="S4965"/>
  <c r="A4963"/>
  <c r="R4963"/>
  <c r="Q4963"/>
  <c r="S4963"/>
  <c r="R3104"/>
  <c r="Q3104"/>
  <c r="S3104"/>
  <c r="R3106"/>
  <c r="Q3106"/>
  <c r="S3106"/>
  <c r="Q3115"/>
  <c r="S3115"/>
  <c r="R3115"/>
  <c r="R3114"/>
  <c r="Q3114"/>
  <c r="S3114"/>
  <c r="A3112"/>
  <c r="R3112"/>
  <c r="Q3112"/>
  <c r="S3112"/>
  <c r="R3116"/>
  <c r="Q3116"/>
  <c r="S3116"/>
  <c r="Q3117"/>
  <c r="S3117"/>
  <c r="R3117"/>
  <c r="R3118"/>
  <c r="Q3118"/>
  <c r="S3118"/>
  <c r="Q3119"/>
  <c r="S3119"/>
  <c r="R3119"/>
  <c r="R3120"/>
  <c r="Q3120"/>
  <c r="S3120"/>
  <c r="Q3121"/>
  <c r="S3121"/>
  <c r="R3121"/>
  <c r="R3122"/>
  <c r="Q3122"/>
  <c r="S3122"/>
  <c r="Q3123"/>
  <c r="S3123"/>
  <c r="R3123"/>
  <c r="R3124"/>
  <c r="Q3124"/>
  <c r="S3124"/>
  <c r="Q3125"/>
  <c r="S3125"/>
  <c r="R3125"/>
  <c r="R3126"/>
  <c r="Q3126"/>
  <c r="S3126"/>
  <c r="Q3127"/>
  <c r="S3127"/>
  <c r="R3127"/>
  <c r="R3128"/>
  <c r="Q3128"/>
  <c r="S3128"/>
  <c r="Q3129"/>
  <c r="S3129"/>
  <c r="R3129"/>
  <c r="R3132"/>
  <c r="Q3132"/>
  <c r="S3132"/>
  <c r="Q3133"/>
  <c r="S3133"/>
  <c r="R3133"/>
  <c r="R3134"/>
  <c r="Q3134"/>
  <c r="S3134"/>
  <c r="Q3135"/>
  <c r="S3135"/>
  <c r="R3135"/>
  <c r="Q3137"/>
  <c r="S3137"/>
  <c r="R3137"/>
  <c r="R3138"/>
  <c r="Q3138"/>
  <c r="S3138"/>
  <c r="Q3139"/>
  <c r="S3139"/>
  <c r="R3139"/>
  <c r="R3140"/>
  <c r="Q3140"/>
  <c r="S3140"/>
  <c r="A2983"/>
  <c r="Q2983"/>
  <c r="S2983"/>
  <c r="R2983"/>
  <c r="R2980"/>
  <c r="Q2980"/>
  <c r="S2980"/>
  <c r="Q2981"/>
  <c r="S2981"/>
  <c r="R2981"/>
  <c r="A2985"/>
  <c r="Q2985"/>
  <c r="S2985"/>
  <c r="R2985"/>
  <c r="A2973"/>
  <c r="Q2973"/>
  <c r="S2973"/>
  <c r="R2973"/>
  <c r="A812"/>
  <c r="R3144"/>
  <c r="Q3144"/>
  <c r="S3144"/>
  <c r="R3110"/>
  <c r="Q3110"/>
  <c r="S3110"/>
  <c r="R2849"/>
  <c r="Q2849"/>
  <c r="S2849"/>
  <c r="A4954"/>
  <c r="Q4954"/>
  <c r="S4954"/>
  <c r="R4954"/>
  <c r="A4226"/>
  <c r="R4226"/>
  <c r="Q4226"/>
  <c r="S4226"/>
  <c r="A4222"/>
  <c r="R4222"/>
  <c r="Q4222"/>
  <c r="S4222"/>
  <c r="A4218"/>
  <c r="R4218"/>
  <c r="Q4218"/>
  <c r="S4218"/>
  <c r="A4214"/>
  <c r="R4214"/>
  <c r="Q4214"/>
  <c r="S4214"/>
  <c r="A4210"/>
  <c r="R4210"/>
  <c r="Q4210"/>
  <c r="S4210"/>
  <c r="A4230"/>
  <c r="R4230"/>
  <c r="Q4230"/>
  <c r="S4230"/>
  <c r="A4956"/>
  <c r="Q4956"/>
  <c r="S4956"/>
  <c r="R4956"/>
  <c r="A4958"/>
  <c r="Q4958"/>
  <c r="S4958"/>
  <c r="R4958"/>
  <c r="A4959"/>
  <c r="R4959"/>
  <c r="Q4959"/>
  <c r="S4959"/>
  <c r="A4961"/>
  <c r="R4961"/>
  <c r="Q4961"/>
  <c r="S4961"/>
  <c r="Q3565"/>
  <c r="S3565"/>
  <c r="R3565"/>
  <c r="Q2852"/>
  <c r="S2852"/>
  <c r="R2852"/>
  <c r="R3562"/>
  <c r="Q3562"/>
  <c r="S3562"/>
  <c r="R3564"/>
  <c r="Q3564"/>
  <c r="S3564"/>
  <c r="Q3567"/>
  <c r="S3567"/>
  <c r="R3567"/>
  <c r="Q3569"/>
  <c r="S3569"/>
  <c r="R3569"/>
  <c r="Q3103"/>
  <c r="S3103"/>
  <c r="R3103"/>
  <c r="Q3107"/>
  <c r="S3107"/>
  <c r="R3107"/>
  <c r="Q3109"/>
  <c r="S3109"/>
  <c r="R3109"/>
  <c r="Q3113"/>
  <c r="S3113"/>
  <c r="R3113"/>
  <c r="Q3111"/>
  <c r="S3111"/>
  <c r="R3111"/>
  <c r="Q3131"/>
  <c r="S3131"/>
  <c r="R3131"/>
  <c r="Q3141"/>
  <c r="S3141"/>
  <c r="R3141"/>
  <c r="Q3143"/>
  <c r="S3143"/>
  <c r="R3143"/>
  <c r="Q2975"/>
  <c r="S2975"/>
  <c r="R2975"/>
  <c r="A2984"/>
  <c r="R2984"/>
  <c r="Q2984"/>
  <c r="S2984"/>
  <c r="Q2979"/>
  <c r="S2979"/>
  <c r="R2979"/>
  <c r="R2982"/>
  <c r="Q2982"/>
  <c r="S2982"/>
  <c r="A809"/>
  <c r="Q3145"/>
  <c r="S3145"/>
  <c r="R3145"/>
  <c r="R3136"/>
  <c r="Q3136"/>
  <c r="S3136"/>
  <c r="Q2848"/>
  <c r="S2848"/>
  <c r="R2848"/>
  <c r="A2986"/>
  <c r="R2986"/>
  <c r="Q2986"/>
  <c r="S2986"/>
  <c r="A4957"/>
  <c r="A4953"/>
  <c r="A4951"/>
  <c r="A4955"/>
  <c r="A4966"/>
  <c r="A4964"/>
  <c r="A842"/>
  <c r="A841"/>
  <c r="A1814"/>
  <c r="A2848"/>
  <c r="A2849"/>
  <c r="A1073"/>
  <c r="A2843"/>
  <c r="A3120"/>
  <c r="A2975"/>
  <c r="A3002"/>
  <c r="A2978"/>
  <c r="A2979"/>
  <c r="A2974"/>
  <c r="A1070"/>
  <c r="A3108"/>
  <c r="A3109"/>
  <c r="A3111"/>
  <c r="A2982"/>
  <c r="A2854"/>
  <c r="A1074"/>
  <c r="A3149"/>
  <c r="A2980"/>
  <c r="A2981"/>
  <c r="A2976"/>
  <c r="A813"/>
  <c r="A3123"/>
  <c r="A3144"/>
  <c r="A3126"/>
  <c r="A3129"/>
  <c r="A3131"/>
  <c r="A3136"/>
  <c r="A3138"/>
  <c r="A3146"/>
  <c r="A3145"/>
  <c r="A3143"/>
  <c r="A3141"/>
  <c r="A3140"/>
  <c r="A3142"/>
  <c r="A3139"/>
  <c r="A3137"/>
  <c r="A3135"/>
  <c r="A3133"/>
  <c r="A3117"/>
  <c r="A3132"/>
  <c r="A3134"/>
  <c r="A3130"/>
  <c r="A3128"/>
  <c r="A3125"/>
  <c r="A3127"/>
  <c r="A3122"/>
  <c r="A3124"/>
  <c r="A3119"/>
  <c r="A3121"/>
  <c r="A3116"/>
  <c r="A3118"/>
  <c r="A3115"/>
  <c r="A3114"/>
  <c r="A3110"/>
  <c r="A3107"/>
  <c r="A3105"/>
  <c r="A3104"/>
  <c r="A3106"/>
  <c r="A837"/>
  <c r="A838"/>
  <c r="A2852"/>
  <c r="A2853"/>
  <c r="A1799"/>
  <c r="A1800"/>
  <c r="A1072"/>
  <c r="A1071"/>
  <c r="A1068"/>
  <c r="A1067"/>
  <c r="A1069"/>
  <c r="AA4950"/>
  <c r="AA4209"/>
  <c r="AA4210"/>
  <c r="AA4211"/>
  <c r="AA4212"/>
  <c r="AA4213"/>
  <c r="AA4214"/>
  <c r="AA4215"/>
  <c r="AA4216"/>
  <c r="AA4217"/>
  <c r="AA4218"/>
  <c r="AA4219"/>
  <c r="AA4220"/>
  <c r="AA4221"/>
  <c r="AA4205"/>
  <c r="AA4208"/>
  <c r="AA4222"/>
  <c r="AA4223"/>
  <c r="AA4224"/>
  <c r="AA4225"/>
  <c r="AA4226"/>
  <c r="AA4228"/>
  <c r="AA4229"/>
  <c r="AA4232"/>
  <c r="AA4234"/>
  <c r="B2840"/>
  <c r="B2839"/>
  <c r="B2911"/>
  <c r="B2836"/>
  <c r="B2835"/>
  <c r="B2834"/>
  <c r="B2833"/>
  <c r="B2832"/>
  <c r="B2831"/>
  <c r="B2830"/>
  <c r="B2829"/>
  <c r="B2828"/>
  <c r="B2827"/>
  <c r="B2826"/>
  <c r="B2825"/>
  <c r="B2824"/>
  <c r="A2835"/>
  <c r="B2863"/>
  <c r="B2864"/>
  <c r="B2865"/>
  <c r="B2856"/>
  <c r="B2857"/>
  <c r="B2858"/>
  <c r="B2859"/>
  <c r="B2860"/>
  <c r="B2861"/>
  <c r="B2862"/>
  <c r="B819"/>
  <c r="B818"/>
  <c r="B817"/>
  <c r="B1204"/>
  <c r="B1205"/>
  <c r="B1206"/>
  <c r="B1207"/>
  <c r="B1208"/>
  <c r="B1209"/>
  <c r="B1210"/>
  <c r="B1211"/>
  <c r="B1212"/>
  <c r="B1213"/>
  <c r="B1214"/>
  <c r="B1215"/>
  <c r="B1216"/>
  <c r="B1217"/>
  <c r="B1218"/>
  <c r="B1219"/>
  <c r="B2704"/>
  <c r="B2705"/>
  <c r="B835"/>
  <c r="B836"/>
  <c r="AA4949"/>
  <c r="B4949"/>
  <c r="AA4948"/>
  <c r="B4948"/>
  <c r="B2914"/>
  <c r="AA2914"/>
  <c r="B2915"/>
  <c r="AA2915"/>
  <c r="B2916"/>
  <c r="AA2916"/>
  <c r="B2917"/>
  <c r="AA2917"/>
  <c r="B2798"/>
  <c r="B2783"/>
  <c r="B2760"/>
  <c r="B2740"/>
  <c r="B2733"/>
  <c r="B2703"/>
  <c r="AA1794"/>
  <c r="B1794"/>
  <c r="AA1793"/>
  <c r="B1793"/>
  <c r="AA1790"/>
  <c r="B1790"/>
  <c r="AA1789"/>
  <c r="B1789"/>
  <c r="AA1778"/>
  <c r="B1778"/>
  <c r="AA1777"/>
  <c r="B1777"/>
  <c r="AA1764"/>
  <c r="B1764"/>
  <c r="AA1763"/>
  <c r="B1763"/>
  <c r="AA1762"/>
  <c r="B1762"/>
  <c r="AA1761"/>
  <c r="B1761"/>
  <c r="AA1756"/>
  <c r="B1756"/>
  <c r="AA1755"/>
  <c r="B1755"/>
  <c r="B1066"/>
  <c r="B1065"/>
  <c r="B2806"/>
  <c r="B2805"/>
  <c r="E31" i="60"/>
  <c r="B830" i="34"/>
  <c r="B831"/>
  <c r="B832"/>
  <c r="B833"/>
  <c r="B834"/>
  <c r="B794"/>
  <c r="B795"/>
  <c r="Q833" l="1"/>
  <c r="S833"/>
  <c r="R833"/>
  <c r="Q1066"/>
  <c r="S1066"/>
  <c r="R1066"/>
  <c r="Q835"/>
  <c r="S835"/>
  <c r="R835"/>
  <c r="Q1218"/>
  <c r="S1218"/>
  <c r="R1218"/>
  <c r="Q1216"/>
  <c r="S1216"/>
  <c r="R1216"/>
  <c r="Q1214"/>
  <c r="S1214"/>
  <c r="R1214"/>
  <c r="Q1212"/>
  <c r="S1212"/>
  <c r="R1212"/>
  <c r="Q1210"/>
  <c r="S1210"/>
  <c r="R1210"/>
  <c r="Q1208"/>
  <c r="S1208"/>
  <c r="R1208"/>
  <c r="Q1206"/>
  <c r="S1206"/>
  <c r="R1206"/>
  <c r="Q1204"/>
  <c r="S1204"/>
  <c r="R1204"/>
  <c r="R818"/>
  <c r="Q818"/>
  <c r="S818"/>
  <c r="R794"/>
  <c r="Q794"/>
  <c r="S794"/>
  <c r="Q831"/>
  <c r="S831"/>
  <c r="R831"/>
  <c r="Q795"/>
  <c r="S795"/>
  <c r="R795"/>
  <c r="R834"/>
  <c r="Q834"/>
  <c r="S834"/>
  <c r="R832"/>
  <c r="Q832"/>
  <c r="S832"/>
  <c r="R830"/>
  <c r="Q830"/>
  <c r="S830"/>
  <c r="R1065"/>
  <c r="Q1065"/>
  <c r="S1065"/>
  <c r="R836"/>
  <c r="Q836"/>
  <c r="S836"/>
  <c r="R1219"/>
  <c r="Q1219"/>
  <c r="S1219"/>
  <c r="R1217"/>
  <c r="Q1217"/>
  <c r="S1217"/>
  <c r="R1215"/>
  <c r="Q1215"/>
  <c r="S1215"/>
  <c r="R1213"/>
  <c r="Q1213"/>
  <c r="S1213"/>
  <c r="R1211"/>
  <c r="Q1211"/>
  <c r="S1211"/>
  <c r="R1209"/>
  <c r="Q1209"/>
  <c r="S1209"/>
  <c r="R1207"/>
  <c r="Q1207"/>
  <c r="S1207"/>
  <c r="R1205"/>
  <c r="Q1205"/>
  <c r="S1205"/>
  <c r="Q817"/>
  <c r="S817"/>
  <c r="R817"/>
  <c r="Q819"/>
  <c r="S819"/>
  <c r="R819"/>
  <c r="U2917"/>
  <c r="T2917"/>
  <c r="V2917"/>
  <c r="T2916"/>
  <c r="V2916"/>
  <c r="U2916"/>
  <c r="U2915"/>
  <c r="T2915"/>
  <c r="V2915"/>
  <c r="T2914"/>
  <c r="V2914"/>
  <c r="U2914"/>
  <c r="U2911"/>
  <c r="T2911"/>
  <c r="V2911"/>
  <c r="R2805"/>
  <c r="Q2805"/>
  <c r="S2805"/>
  <c r="Q1762"/>
  <c r="S1762"/>
  <c r="R1762"/>
  <c r="Q2806"/>
  <c r="S2806"/>
  <c r="R2806"/>
  <c r="Q1756"/>
  <c r="S1756"/>
  <c r="R1756"/>
  <c r="R1761"/>
  <c r="Q1761"/>
  <c r="S1761"/>
  <c r="Q1764"/>
  <c r="S1764"/>
  <c r="R1764"/>
  <c r="R1777"/>
  <c r="Q1777"/>
  <c r="S1777"/>
  <c r="Q1790"/>
  <c r="S1790"/>
  <c r="R1790"/>
  <c r="R1793"/>
  <c r="Q1793"/>
  <c r="S1793"/>
  <c r="R2733"/>
  <c r="Q2733"/>
  <c r="S2733"/>
  <c r="Q2760"/>
  <c r="S2760"/>
  <c r="R2760"/>
  <c r="Q2798"/>
  <c r="S2798"/>
  <c r="R2798"/>
  <c r="R2917"/>
  <c r="Q2917"/>
  <c r="S2917"/>
  <c r="Q2916"/>
  <c r="S2916"/>
  <c r="R2916"/>
  <c r="R2915"/>
  <c r="Q2915"/>
  <c r="S2915"/>
  <c r="Q2914"/>
  <c r="S2914"/>
  <c r="R2914"/>
  <c r="A4949"/>
  <c r="R4949"/>
  <c r="Q4949"/>
  <c r="S4949"/>
  <c r="R2705"/>
  <c r="Q2705"/>
  <c r="S2705"/>
  <c r="A1217"/>
  <c r="Q2862"/>
  <c r="S2862"/>
  <c r="R2862"/>
  <c r="Q2860"/>
  <c r="S2860"/>
  <c r="R2860"/>
  <c r="Q2858"/>
  <c r="S2858"/>
  <c r="R2858"/>
  <c r="Q2856"/>
  <c r="S2856"/>
  <c r="R2856"/>
  <c r="Q2864"/>
  <c r="S2864"/>
  <c r="R2864"/>
  <c r="R2825"/>
  <c r="Q2825"/>
  <c r="S2825"/>
  <c r="R2827"/>
  <c r="Q2827"/>
  <c r="S2827"/>
  <c r="R2829"/>
  <c r="Q2829"/>
  <c r="S2829"/>
  <c r="R2831"/>
  <c r="Q2831"/>
  <c r="S2831"/>
  <c r="R2833"/>
  <c r="Q2833"/>
  <c r="S2833"/>
  <c r="R2835"/>
  <c r="Q2835"/>
  <c r="S2835"/>
  <c r="R2911"/>
  <c r="Q2911"/>
  <c r="S2911"/>
  <c r="Q2840"/>
  <c r="S2840"/>
  <c r="R2840"/>
  <c r="R1755"/>
  <c r="Q1755"/>
  <c r="S1755"/>
  <c r="R1763"/>
  <c r="Q1763"/>
  <c r="S1763"/>
  <c r="Q1778"/>
  <c r="S1778"/>
  <c r="R1778"/>
  <c r="R1789"/>
  <c r="Q1789"/>
  <c r="S1789"/>
  <c r="Q1794"/>
  <c r="S1794"/>
  <c r="R1794"/>
  <c r="R2703"/>
  <c r="Q2703"/>
  <c r="S2703"/>
  <c r="Q2740"/>
  <c r="S2740"/>
  <c r="R2740"/>
  <c r="R2783"/>
  <c r="Q2783"/>
  <c r="S2783"/>
  <c r="A4948"/>
  <c r="Q4948"/>
  <c r="S4948"/>
  <c r="R4948"/>
  <c r="A835"/>
  <c r="Q2704"/>
  <c r="S2704"/>
  <c r="R2704"/>
  <c r="R2861"/>
  <c r="Q2861"/>
  <c r="S2861"/>
  <c r="R2859"/>
  <c r="Q2859"/>
  <c r="S2859"/>
  <c r="R2857"/>
  <c r="Q2857"/>
  <c r="S2857"/>
  <c r="R2865"/>
  <c r="Q2865"/>
  <c r="S2865"/>
  <c r="R2863"/>
  <c r="Q2863"/>
  <c r="S2863"/>
  <c r="Q2824"/>
  <c r="S2824"/>
  <c r="R2824"/>
  <c r="Q2826"/>
  <c r="S2826"/>
  <c r="R2826"/>
  <c r="Q2828"/>
  <c r="S2828"/>
  <c r="R2828"/>
  <c r="Q2830"/>
  <c r="S2830"/>
  <c r="R2830"/>
  <c r="Q2832"/>
  <c r="S2832"/>
  <c r="R2832"/>
  <c r="Q2834"/>
  <c r="S2834"/>
  <c r="R2834"/>
  <c r="Q2836"/>
  <c r="S2836"/>
  <c r="R2836"/>
  <c r="R2839"/>
  <c r="Q2839"/>
  <c r="S2839"/>
  <c r="A2821"/>
  <c r="A2825"/>
  <c r="A2833"/>
  <c r="A794"/>
  <c r="A2811"/>
  <c r="A2831"/>
  <c r="A2817"/>
  <c r="A2815"/>
  <c r="A1215"/>
  <c r="A1213"/>
  <c r="A1211"/>
  <c r="A2820"/>
  <c r="A2824"/>
  <c r="A2832"/>
  <c r="A2834"/>
  <c r="A2836"/>
  <c r="A2814"/>
  <c r="A2839"/>
  <c r="A836"/>
  <c r="A1209"/>
  <c r="A1207"/>
  <c r="A2861"/>
  <c r="A2859"/>
  <c r="A2857"/>
  <c r="A2865"/>
  <c r="A2863"/>
  <c r="A1066"/>
  <c r="A2917"/>
  <c r="A2916"/>
  <c r="A2915"/>
  <c r="A2914"/>
  <c r="A1218"/>
  <c r="A1216"/>
  <c r="A1214"/>
  <c r="A1212"/>
  <c r="A1210"/>
  <c r="A1208"/>
  <c r="A1206"/>
  <c r="A2862"/>
  <c r="A2860"/>
  <c r="A2858"/>
  <c r="A2856"/>
  <c r="A2864"/>
  <c r="A2840"/>
  <c r="A2816"/>
  <c r="A2812"/>
  <c r="A2813"/>
  <c r="A2818"/>
  <c r="A2830"/>
  <c r="A2828"/>
  <c r="A2829"/>
  <c r="A2827"/>
  <c r="A2822"/>
  <c r="A2823"/>
  <c r="A2819"/>
  <c r="A825"/>
  <c r="A817"/>
  <c r="A827"/>
  <c r="A819"/>
  <c r="A818"/>
  <c r="A826"/>
  <c r="A828"/>
  <c r="A1205"/>
  <c r="A2704"/>
  <c r="A2705"/>
  <c r="A2703"/>
  <c r="A2760"/>
  <c r="A2798"/>
  <c r="A2783"/>
  <c r="A2740"/>
  <c r="A2733"/>
  <c r="A1793"/>
  <c r="A1794"/>
  <c r="A1789"/>
  <c r="A1790"/>
  <c r="A1777"/>
  <c r="A1778"/>
  <c r="A1763"/>
  <c r="A1764"/>
  <c r="A1761"/>
  <c r="A1762"/>
  <c r="A1755"/>
  <c r="A1756"/>
  <c r="A1065"/>
  <c r="A2805"/>
  <c r="A2806"/>
  <c r="A829"/>
  <c r="A830"/>
  <c r="A831"/>
  <c r="A832"/>
  <c r="A833"/>
  <c r="A834"/>
  <c r="A795"/>
  <c r="B1203"/>
  <c r="B807"/>
  <c r="B806"/>
  <c r="B805"/>
  <c r="B804"/>
  <c r="B803"/>
  <c r="B802"/>
  <c r="B1692"/>
  <c r="B1721"/>
  <c r="B1725"/>
  <c r="B1727"/>
  <c r="B1731"/>
  <c r="B1735"/>
  <c r="B1741"/>
  <c r="B1743"/>
  <c r="B1053"/>
  <c r="B1054"/>
  <c r="B1055"/>
  <c r="B4939"/>
  <c r="B4940"/>
  <c r="B4941"/>
  <c r="B4942"/>
  <c r="B4943"/>
  <c r="B4944"/>
  <c r="B4945"/>
  <c r="B4946"/>
  <c r="AA4947"/>
  <c r="B4947"/>
  <c r="AA4946"/>
  <c r="AA4945"/>
  <c r="AA4944"/>
  <c r="AA4943"/>
  <c r="AA4942"/>
  <c r="AA4941"/>
  <c r="AA4940"/>
  <c r="AA4939"/>
  <c r="B4204"/>
  <c r="AA4204"/>
  <c r="B4203"/>
  <c r="AA4203"/>
  <c r="B4202"/>
  <c r="AA4202"/>
  <c r="B4201"/>
  <c r="AA4201"/>
  <c r="B4200"/>
  <c r="AA4200"/>
  <c r="AA4199"/>
  <c r="B4199"/>
  <c r="AA4198"/>
  <c r="B4198"/>
  <c r="AA4197"/>
  <c r="B4197"/>
  <c r="AA4196"/>
  <c r="B4196"/>
  <c r="AA4193"/>
  <c r="B4193"/>
  <c r="B4938"/>
  <c r="B4937"/>
  <c r="B4936"/>
  <c r="B4935"/>
  <c r="B4934"/>
  <c r="B4933"/>
  <c r="B4932"/>
  <c r="B4931"/>
  <c r="B4930"/>
  <c r="B4929"/>
  <c r="B4928"/>
  <c r="B4927"/>
  <c r="B4926"/>
  <c r="B4925"/>
  <c r="B4924"/>
  <c r="B4923"/>
  <c r="B4922"/>
  <c r="B4921"/>
  <c r="B4920"/>
  <c r="B4919"/>
  <c r="B4918"/>
  <c r="B4917"/>
  <c r="B4916"/>
  <c r="B4915"/>
  <c r="B4914"/>
  <c r="B4913"/>
  <c r="B4912"/>
  <c r="B4911"/>
  <c r="B4910"/>
  <c r="B4909"/>
  <c r="B4192"/>
  <c r="B4191"/>
  <c r="B4190"/>
  <c r="B4189"/>
  <c r="B4188"/>
  <c r="B4187"/>
  <c r="B4186"/>
  <c r="B4185"/>
  <c r="B4184"/>
  <c r="B4181"/>
  <c r="B4180"/>
  <c r="B4179"/>
  <c r="B4178"/>
  <c r="B4177"/>
  <c r="B4176"/>
  <c r="B4175"/>
  <c r="B4174"/>
  <c r="B4173"/>
  <c r="B4172"/>
  <c r="B4171"/>
  <c r="B4170"/>
  <c r="B4169"/>
  <c r="B4168"/>
  <c r="B4167"/>
  <c r="B4166"/>
  <c r="B4164"/>
  <c r="B4163"/>
  <c r="B4162"/>
  <c r="B4161"/>
  <c r="B4158"/>
  <c r="B3556"/>
  <c r="B3555"/>
  <c r="B3554"/>
  <c r="B3553"/>
  <c r="B3552"/>
  <c r="B3551"/>
  <c r="B3550"/>
  <c r="B3549"/>
  <c r="B3548"/>
  <c r="B3547"/>
  <c r="B3546"/>
  <c r="B3545"/>
  <c r="B3544"/>
  <c r="B3543"/>
  <c r="B3542"/>
  <c r="B3541"/>
  <c r="B3540"/>
  <c r="B3539"/>
  <c r="B3538"/>
  <c r="B3537"/>
  <c r="B3536"/>
  <c r="B2913"/>
  <c r="B2912"/>
  <c r="B1225"/>
  <c r="B1224"/>
  <c r="B1223"/>
  <c r="B1064"/>
  <c r="B1063"/>
  <c r="B1062"/>
  <c r="B1061"/>
  <c r="B1060"/>
  <c r="B1059"/>
  <c r="B1058"/>
  <c r="B1057"/>
  <c r="B1056"/>
  <c r="B816"/>
  <c r="B815"/>
  <c r="B814"/>
  <c r="B233"/>
  <c r="AA3556"/>
  <c r="AA3555"/>
  <c r="AA3554"/>
  <c r="AA3553"/>
  <c r="AA3552"/>
  <c r="AA3551"/>
  <c r="AA3550"/>
  <c r="AA3549"/>
  <c r="AA3548"/>
  <c r="AA3547"/>
  <c r="AA3546"/>
  <c r="AA3545"/>
  <c r="AA3544"/>
  <c r="AA3543"/>
  <c r="AA3542"/>
  <c r="AA3541"/>
  <c r="AA3540"/>
  <c r="AA3539"/>
  <c r="AA3538"/>
  <c r="AA3537"/>
  <c r="AA3536"/>
  <c r="AA3535"/>
  <c r="AA2911"/>
  <c r="AA2912"/>
  <c r="AA2913"/>
  <c r="AA2649"/>
  <c r="B2649"/>
  <c r="AA2648"/>
  <c r="B2648"/>
  <c r="B2692"/>
  <c r="B2691"/>
  <c r="B2804"/>
  <c r="B2803"/>
  <c r="AA2639"/>
  <c r="B2639"/>
  <c r="AA2638"/>
  <c r="B2638"/>
  <c r="B2676"/>
  <c r="B2675"/>
  <c r="B2683"/>
  <c r="B2684"/>
  <c r="B2629"/>
  <c r="B2628"/>
  <c r="B2587"/>
  <c r="B2586"/>
  <c r="B2682"/>
  <c r="B2681"/>
  <c r="B2556"/>
  <c r="B2555"/>
  <c r="B2627"/>
  <c r="B2626"/>
  <c r="AA2646"/>
  <c r="AA2647"/>
  <c r="B2647"/>
  <c r="B2646"/>
  <c r="B2674"/>
  <c r="B2673"/>
  <c r="B2613"/>
  <c r="B2612"/>
  <c r="A7" i="12"/>
  <c r="B2753" i="34"/>
  <c r="B2728"/>
  <c r="B2659"/>
  <c r="B1757"/>
  <c r="B1758"/>
  <c r="AA1758"/>
  <c r="AA1757"/>
  <c r="B1775"/>
  <c r="B1776"/>
  <c r="AA1776"/>
  <c r="AA1775"/>
  <c r="AA1728"/>
  <c r="B1728"/>
  <c r="AA1727"/>
  <c r="B1034"/>
  <c r="B1036"/>
  <c r="B2808"/>
  <c r="B2807"/>
  <c r="AA4171"/>
  <c r="Q1036" l="1"/>
  <c r="S1036"/>
  <c r="R1036"/>
  <c r="Q233"/>
  <c r="S233"/>
  <c r="R233"/>
  <c r="Q815"/>
  <c r="S815"/>
  <c r="R815"/>
  <c r="Q1056"/>
  <c r="S1056"/>
  <c r="R1056"/>
  <c r="Q1058"/>
  <c r="S1058"/>
  <c r="R1058"/>
  <c r="Q1060"/>
  <c r="S1060"/>
  <c r="R1060"/>
  <c r="Q1062"/>
  <c r="S1062"/>
  <c r="R1062"/>
  <c r="Q1064"/>
  <c r="S1064"/>
  <c r="R1064"/>
  <c r="Q1224"/>
  <c r="S1224"/>
  <c r="R1224"/>
  <c r="Q1054"/>
  <c r="S1054"/>
  <c r="R1054"/>
  <c r="R802"/>
  <c r="Q802"/>
  <c r="S802"/>
  <c r="R804"/>
  <c r="Q804"/>
  <c r="S804"/>
  <c r="R806"/>
  <c r="Q806"/>
  <c r="S806"/>
  <c r="R1203"/>
  <c r="Q1203"/>
  <c r="S1203"/>
  <c r="Q1034"/>
  <c r="S1034"/>
  <c r="R1034"/>
  <c r="R814"/>
  <c r="Q814"/>
  <c r="S814"/>
  <c r="R816"/>
  <c r="Q816"/>
  <c r="S816"/>
  <c r="R1057"/>
  <c r="Q1057"/>
  <c r="S1057"/>
  <c r="R1059"/>
  <c r="Q1059"/>
  <c r="S1059"/>
  <c r="R1061"/>
  <c r="Q1061"/>
  <c r="S1061"/>
  <c r="R1063"/>
  <c r="Q1063"/>
  <c r="S1063"/>
  <c r="R1223"/>
  <c r="Q1223"/>
  <c r="S1223"/>
  <c r="R1225"/>
  <c r="Q1225"/>
  <c r="S1225"/>
  <c r="R1055"/>
  <c r="Q1055"/>
  <c r="S1055"/>
  <c r="R1053"/>
  <c r="Q1053"/>
  <c r="S1053"/>
  <c r="R1692"/>
  <c r="Q1692"/>
  <c r="S1692"/>
  <c r="Q803"/>
  <c r="S803"/>
  <c r="R803"/>
  <c r="Q805"/>
  <c r="S805"/>
  <c r="R805"/>
  <c r="Q807"/>
  <c r="S807"/>
  <c r="R807"/>
  <c r="T3537"/>
  <c r="V3537"/>
  <c r="U3537"/>
  <c r="T3539"/>
  <c r="V3539"/>
  <c r="U3539"/>
  <c r="T3541"/>
  <c r="V3541"/>
  <c r="U3541"/>
  <c r="T3543"/>
  <c r="V3543"/>
  <c r="U3543"/>
  <c r="T3545"/>
  <c r="V3545"/>
  <c r="U3545"/>
  <c r="T3547"/>
  <c r="V3547"/>
  <c r="U3547"/>
  <c r="T3549"/>
  <c r="V3549"/>
  <c r="U3549"/>
  <c r="T3551"/>
  <c r="V3551"/>
  <c r="U3551"/>
  <c r="T3553"/>
  <c r="V3553"/>
  <c r="U3553"/>
  <c r="T3555"/>
  <c r="V3555"/>
  <c r="U3555"/>
  <c r="U3536"/>
  <c r="T3536"/>
  <c r="V3536"/>
  <c r="U3538"/>
  <c r="T3538"/>
  <c r="V3538"/>
  <c r="U3540"/>
  <c r="T3540"/>
  <c r="V3540"/>
  <c r="U3542"/>
  <c r="T3542"/>
  <c r="V3542"/>
  <c r="U3544"/>
  <c r="T3544"/>
  <c r="V3544"/>
  <c r="U3546"/>
  <c r="T3546"/>
  <c r="V3546"/>
  <c r="U3548"/>
  <c r="T3548"/>
  <c r="V3548"/>
  <c r="U3550"/>
  <c r="T3550"/>
  <c r="V3550"/>
  <c r="U3552"/>
  <c r="T3552"/>
  <c r="V3552"/>
  <c r="U3554"/>
  <c r="T3554"/>
  <c r="V3554"/>
  <c r="U3556"/>
  <c r="T3556"/>
  <c r="V3556"/>
  <c r="U2913"/>
  <c r="T2913"/>
  <c r="V2913"/>
  <c r="T2912"/>
  <c r="V2912"/>
  <c r="U2912"/>
  <c r="R2807"/>
  <c r="Q2807"/>
  <c r="S2807"/>
  <c r="Q1728"/>
  <c r="S1728"/>
  <c r="R1728"/>
  <c r="R1775"/>
  <c r="Q1775"/>
  <c r="S1775"/>
  <c r="Q1758"/>
  <c r="S1758"/>
  <c r="R1758"/>
  <c r="R2659"/>
  <c r="Q2659"/>
  <c r="S2659"/>
  <c r="R2753"/>
  <c r="Q2753"/>
  <c r="S2753"/>
  <c r="Q2612"/>
  <c r="S2612"/>
  <c r="R2612"/>
  <c r="R2673"/>
  <c r="Q2673"/>
  <c r="S2673"/>
  <c r="Q2646"/>
  <c r="S2646"/>
  <c r="R2646"/>
  <c r="Q2626"/>
  <c r="S2626"/>
  <c r="R2626"/>
  <c r="R2555"/>
  <c r="Q2555"/>
  <c r="S2555"/>
  <c r="R2681"/>
  <c r="Q2681"/>
  <c r="S2681"/>
  <c r="Q2586"/>
  <c r="S2586"/>
  <c r="R2586"/>
  <c r="Q2628"/>
  <c r="S2628"/>
  <c r="R2628"/>
  <c r="Q2684"/>
  <c r="S2684"/>
  <c r="R2684"/>
  <c r="R2675"/>
  <c r="Q2675"/>
  <c r="S2675"/>
  <c r="Q2638"/>
  <c r="S2638"/>
  <c r="R2638"/>
  <c r="R2639"/>
  <c r="Q2639"/>
  <c r="S2639"/>
  <c r="R2803"/>
  <c r="Q2803"/>
  <c r="S2803"/>
  <c r="R2691"/>
  <c r="Q2691"/>
  <c r="S2691"/>
  <c r="Q2648"/>
  <c r="S2648"/>
  <c r="R2648"/>
  <c r="R2649"/>
  <c r="Q2649"/>
  <c r="S2649"/>
  <c r="Q2912"/>
  <c r="S2912"/>
  <c r="R2912"/>
  <c r="R3536"/>
  <c r="Q3536"/>
  <c r="S3536"/>
  <c r="R3538"/>
  <c r="Q3538"/>
  <c r="S3538"/>
  <c r="R3540"/>
  <c r="Q3540"/>
  <c r="S3540"/>
  <c r="R3542"/>
  <c r="Q3542"/>
  <c r="S3542"/>
  <c r="A3544"/>
  <c r="R3544"/>
  <c r="Q3544"/>
  <c r="S3544"/>
  <c r="R3546"/>
  <c r="Q3546"/>
  <c r="S3546"/>
  <c r="R3548"/>
  <c r="Q3548"/>
  <c r="S3548"/>
  <c r="R3550"/>
  <c r="Q3550"/>
  <c r="S3550"/>
  <c r="R3552"/>
  <c r="Q3552"/>
  <c r="S3552"/>
  <c r="R3554"/>
  <c r="Q3554"/>
  <c r="S3554"/>
  <c r="R3556"/>
  <c r="Q3556"/>
  <c r="S3556"/>
  <c r="A4161"/>
  <c r="Q4161"/>
  <c r="S4161"/>
  <c r="R4161"/>
  <c r="A4163"/>
  <c r="Q4163"/>
  <c r="S4163"/>
  <c r="R4163"/>
  <c r="A4166"/>
  <c r="R4166"/>
  <c r="Q4166"/>
  <c r="S4166"/>
  <c r="A4168"/>
  <c r="R4168"/>
  <c r="Q4168"/>
  <c r="S4168"/>
  <c r="A4170"/>
  <c r="R4170"/>
  <c r="Q4170"/>
  <c r="S4170"/>
  <c r="A4172"/>
  <c r="R4172"/>
  <c r="Q4172"/>
  <c r="S4172"/>
  <c r="A4174"/>
  <c r="R4174"/>
  <c r="Q4174"/>
  <c r="S4174"/>
  <c r="A4176"/>
  <c r="R4176"/>
  <c r="Q4176"/>
  <c r="S4176"/>
  <c r="A4178"/>
  <c r="R4178"/>
  <c r="Q4178"/>
  <c r="S4178"/>
  <c r="A4180"/>
  <c r="R4180"/>
  <c r="Q4180"/>
  <c r="S4180"/>
  <c r="A4184"/>
  <c r="R4184"/>
  <c r="Q4184"/>
  <c r="S4184"/>
  <c r="A4186"/>
  <c r="R4186"/>
  <c r="Q4186"/>
  <c r="S4186"/>
  <c r="A4188"/>
  <c r="R4188"/>
  <c r="Q4188"/>
  <c r="S4188"/>
  <c r="A4190"/>
  <c r="R4190"/>
  <c r="Q4190"/>
  <c r="S4190"/>
  <c r="A4192"/>
  <c r="R4192"/>
  <c r="Q4192"/>
  <c r="S4192"/>
  <c r="A4910"/>
  <c r="Q4910"/>
  <c r="S4910"/>
  <c r="R4910"/>
  <c r="A4912"/>
  <c r="Q4912"/>
  <c r="S4912"/>
  <c r="R4912"/>
  <c r="A4914"/>
  <c r="Q4914"/>
  <c r="S4914"/>
  <c r="R4914"/>
  <c r="A4916"/>
  <c r="Q4916"/>
  <c r="S4916"/>
  <c r="R4916"/>
  <c r="A4918"/>
  <c r="Q4918"/>
  <c r="S4918"/>
  <c r="R4918"/>
  <c r="A4920"/>
  <c r="Q4920"/>
  <c r="S4920"/>
  <c r="R4920"/>
  <c r="A4922"/>
  <c r="Q4922"/>
  <c r="S4922"/>
  <c r="R4922"/>
  <c r="A4924"/>
  <c r="Q4924"/>
  <c r="S4924"/>
  <c r="R4924"/>
  <c r="A4926"/>
  <c r="Q4926"/>
  <c r="S4926"/>
  <c r="R4926"/>
  <c r="A4928"/>
  <c r="Q4928"/>
  <c r="S4928"/>
  <c r="R4928"/>
  <c r="A4930"/>
  <c r="Q4930"/>
  <c r="S4930"/>
  <c r="R4930"/>
  <c r="A4932"/>
  <c r="Q4932"/>
  <c r="S4932"/>
  <c r="R4932"/>
  <c r="A4934"/>
  <c r="Q4934"/>
  <c r="S4934"/>
  <c r="R4934"/>
  <c r="A4936"/>
  <c r="Q4936"/>
  <c r="S4936"/>
  <c r="R4936"/>
  <c r="A4938"/>
  <c r="Q4938"/>
  <c r="S4938"/>
  <c r="R4938"/>
  <c r="A4947"/>
  <c r="R4947"/>
  <c r="Q4947"/>
  <c r="S4947"/>
  <c r="A4946"/>
  <c r="Q4946"/>
  <c r="S4946"/>
  <c r="R4946"/>
  <c r="A4944"/>
  <c r="Q4944"/>
  <c r="S4944"/>
  <c r="R4944"/>
  <c r="A4942"/>
  <c r="Q4942"/>
  <c r="S4942"/>
  <c r="R4942"/>
  <c r="A4940"/>
  <c r="Q4940"/>
  <c r="S4940"/>
  <c r="R4940"/>
  <c r="R1741"/>
  <c r="Q1741"/>
  <c r="S1741"/>
  <c r="R1731"/>
  <c r="Q1731"/>
  <c r="S1731"/>
  <c r="R1725"/>
  <c r="Q1725"/>
  <c r="S1725"/>
  <c r="Q2808"/>
  <c r="S2808"/>
  <c r="R2808"/>
  <c r="Q1776"/>
  <c r="S1776"/>
  <c r="R1776"/>
  <c r="R1757"/>
  <c r="Q1757"/>
  <c r="S1757"/>
  <c r="Q2728"/>
  <c r="S2728"/>
  <c r="R2728"/>
  <c r="R2613"/>
  <c r="Q2613"/>
  <c r="S2613"/>
  <c r="Q2674"/>
  <c r="S2674"/>
  <c r="R2674"/>
  <c r="R2647"/>
  <c r="Q2647"/>
  <c r="S2647"/>
  <c r="R2627"/>
  <c r="Q2627"/>
  <c r="S2627"/>
  <c r="Q2556"/>
  <c r="S2556"/>
  <c r="R2556"/>
  <c r="Q2682"/>
  <c r="S2682"/>
  <c r="R2682"/>
  <c r="R2587"/>
  <c r="Q2587"/>
  <c r="S2587"/>
  <c r="R2629"/>
  <c r="Q2629"/>
  <c r="S2629"/>
  <c r="R2683"/>
  <c r="Q2683"/>
  <c r="S2683"/>
  <c r="Q2676"/>
  <c r="S2676"/>
  <c r="R2676"/>
  <c r="Q2804"/>
  <c r="S2804"/>
  <c r="R2804"/>
  <c r="Q2692"/>
  <c r="S2692"/>
  <c r="R2692"/>
  <c r="R2913"/>
  <c r="Q2913"/>
  <c r="S2913"/>
  <c r="Q3537"/>
  <c r="S3537"/>
  <c r="R3537"/>
  <c r="Q3539"/>
  <c r="S3539"/>
  <c r="R3539"/>
  <c r="Q3541"/>
  <c r="S3541"/>
  <c r="R3541"/>
  <c r="Q3543"/>
  <c r="S3543"/>
  <c r="R3543"/>
  <c r="Q3545"/>
  <c r="S3545"/>
  <c r="R3545"/>
  <c r="Q3547"/>
  <c r="S3547"/>
  <c r="R3547"/>
  <c r="Q3549"/>
  <c r="S3549"/>
  <c r="R3549"/>
  <c r="Q3551"/>
  <c r="S3551"/>
  <c r="R3551"/>
  <c r="Q3553"/>
  <c r="S3553"/>
  <c r="R3553"/>
  <c r="Q3555"/>
  <c r="S3555"/>
  <c r="R3555"/>
  <c r="R4158"/>
  <c r="Q4158"/>
  <c r="S4158"/>
  <c r="A4162"/>
  <c r="R4162"/>
  <c r="Q4162"/>
  <c r="S4162"/>
  <c r="A4164"/>
  <c r="R4164"/>
  <c r="Q4164"/>
  <c r="S4164"/>
  <c r="A4167"/>
  <c r="Q4167"/>
  <c r="S4167"/>
  <c r="R4167"/>
  <c r="A4169"/>
  <c r="Q4169"/>
  <c r="S4169"/>
  <c r="R4169"/>
  <c r="A4171"/>
  <c r="Q4171"/>
  <c r="S4171"/>
  <c r="R4171"/>
  <c r="A4173"/>
  <c r="Q4173"/>
  <c r="S4173"/>
  <c r="R4173"/>
  <c r="A4175"/>
  <c r="Q4175"/>
  <c r="S4175"/>
  <c r="R4175"/>
  <c r="A4177"/>
  <c r="Q4177"/>
  <c r="S4177"/>
  <c r="R4177"/>
  <c r="A4179"/>
  <c r="Q4179"/>
  <c r="S4179"/>
  <c r="R4179"/>
  <c r="A4181"/>
  <c r="Q4181"/>
  <c r="S4181"/>
  <c r="R4181"/>
  <c r="A4185"/>
  <c r="Q4185"/>
  <c r="S4185"/>
  <c r="R4185"/>
  <c r="A4187"/>
  <c r="Q4187"/>
  <c r="S4187"/>
  <c r="R4187"/>
  <c r="A4189"/>
  <c r="Q4189"/>
  <c r="S4189"/>
  <c r="R4189"/>
  <c r="A4191"/>
  <c r="Q4191"/>
  <c r="S4191"/>
  <c r="R4191"/>
  <c r="A4909"/>
  <c r="R4909"/>
  <c r="Q4909"/>
  <c r="S4909"/>
  <c r="A4911"/>
  <c r="R4911"/>
  <c r="Q4911"/>
  <c r="S4911"/>
  <c r="A4913"/>
  <c r="R4913"/>
  <c r="Q4913"/>
  <c r="S4913"/>
  <c r="A4915"/>
  <c r="R4915"/>
  <c r="Q4915"/>
  <c r="S4915"/>
  <c r="A4917"/>
  <c r="R4917"/>
  <c r="Q4917"/>
  <c r="S4917"/>
  <c r="A4919"/>
  <c r="R4919"/>
  <c r="Q4919"/>
  <c r="S4919"/>
  <c r="A4921"/>
  <c r="R4921"/>
  <c r="Q4921"/>
  <c r="S4921"/>
  <c r="A4923"/>
  <c r="R4923"/>
  <c r="Q4923"/>
  <c r="S4923"/>
  <c r="A4925"/>
  <c r="R4925"/>
  <c r="Q4925"/>
  <c r="S4925"/>
  <c r="A4927"/>
  <c r="R4927"/>
  <c r="Q4927"/>
  <c r="S4927"/>
  <c r="A4929"/>
  <c r="R4929"/>
  <c r="Q4929"/>
  <c r="S4929"/>
  <c r="A4931"/>
  <c r="R4931"/>
  <c r="Q4931"/>
  <c r="S4931"/>
  <c r="A4933"/>
  <c r="R4933"/>
  <c r="Q4933"/>
  <c r="S4933"/>
  <c r="A4935"/>
  <c r="R4935"/>
  <c r="Q4935"/>
  <c r="S4935"/>
  <c r="A4937"/>
  <c r="R4937"/>
  <c r="Q4937"/>
  <c r="S4937"/>
  <c r="A4193"/>
  <c r="Q4193"/>
  <c r="S4193"/>
  <c r="R4193"/>
  <c r="A4196"/>
  <c r="R4196"/>
  <c r="Q4196"/>
  <c r="S4196"/>
  <c r="A4197"/>
  <c r="Q4197"/>
  <c r="S4197"/>
  <c r="R4197"/>
  <c r="A4198"/>
  <c r="R4198"/>
  <c r="Q4198"/>
  <c r="S4198"/>
  <c r="A4199"/>
  <c r="Q4199"/>
  <c r="S4199"/>
  <c r="R4199"/>
  <c r="A4200"/>
  <c r="R4200"/>
  <c r="Q4200"/>
  <c r="S4200"/>
  <c r="A4201"/>
  <c r="Q4201"/>
  <c r="S4201"/>
  <c r="R4201"/>
  <c r="A4202"/>
  <c r="R4202"/>
  <c r="Q4202"/>
  <c r="S4202"/>
  <c r="A4203"/>
  <c r="Q4203"/>
  <c r="S4203"/>
  <c r="R4203"/>
  <c r="A4204"/>
  <c r="R4204"/>
  <c r="Q4204"/>
  <c r="S4204"/>
  <c r="A4945"/>
  <c r="R4945"/>
  <c r="Q4945"/>
  <c r="S4945"/>
  <c r="A4943"/>
  <c r="R4943"/>
  <c r="Q4943"/>
  <c r="S4943"/>
  <c r="A4941"/>
  <c r="R4941"/>
  <c r="Q4941"/>
  <c r="S4941"/>
  <c r="A4939"/>
  <c r="R4939"/>
  <c r="Q4939"/>
  <c r="S4939"/>
  <c r="R1743"/>
  <c r="Q1743"/>
  <c r="S1743"/>
  <c r="R1735"/>
  <c r="Q1735"/>
  <c r="S1735"/>
  <c r="R1727"/>
  <c r="Q1727"/>
  <c r="S1727"/>
  <c r="R1721"/>
  <c r="Q1721"/>
  <c r="S1721"/>
  <c r="A3550"/>
  <c r="A1054"/>
  <c r="A1053"/>
  <c r="A1055"/>
  <c r="A2683"/>
  <c r="A2912"/>
  <c r="A1036"/>
  <c r="A2728"/>
  <c r="A3541"/>
  <c r="A3547"/>
  <c r="A3555"/>
  <c r="A1034"/>
  <c r="A2682"/>
  <c r="A2913"/>
  <c r="A2911"/>
  <c r="A3553"/>
  <c r="A3554"/>
  <c r="A3556"/>
  <c r="A3551"/>
  <c r="A3548"/>
  <c r="A3545"/>
  <c r="A3542"/>
  <c r="A2648"/>
  <c r="A2649"/>
  <c r="A2803"/>
  <c r="A2804"/>
  <c r="A2691"/>
  <c r="A2692"/>
  <c r="A2647"/>
  <c r="A2628"/>
  <c r="A2629"/>
  <c r="A2684"/>
  <c r="A2673"/>
  <c r="A2807"/>
  <c r="A1727"/>
  <c r="A2638"/>
  <c r="A2639"/>
  <c r="A2681"/>
  <c r="A2675"/>
  <c r="A2676"/>
  <c r="A2587"/>
  <c r="A2586"/>
  <c r="A2556"/>
  <c r="A2612"/>
  <c r="A2613"/>
  <c r="A2627"/>
  <c r="A2555"/>
  <c r="A2626"/>
  <c r="A2646"/>
  <c r="A2674"/>
  <c r="A2753"/>
  <c r="A1728"/>
  <c r="A2659"/>
  <c r="A1757"/>
  <c r="A1758"/>
  <c r="A1775"/>
  <c r="A1776"/>
  <c r="A2808"/>
  <c r="A1064" l="1"/>
  <c r="A806"/>
  <c r="A807"/>
  <c r="A802"/>
  <c r="A803"/>
  <c r="A804"/>
  <c r="A1063"/>
  <c r="A805"/>
  <c r="A815"/>
  <c r="A814"/>
  <c r="A816"/>
  <c r="AA4164" l="1"/>
  <c r="AA4186"/>
  <c r="AA4185"/>
  <c r="AA4162"/>
  <c r="AA4163"/>
  <c r="AA4192"/>
  <c r="AA4191"/>
  <c r="AA4190"/>
  <c r="AA4189"/>
  <c r="AA4188"/>
  <c r="AA4187"/>
  <c r="AA4184"/>
  <c r="AA4181"/>
  <c r="AA4180"/>
  <c r="AA4179"/>
  <c r="AA4178"/>
  <c r="AA4177"/>
  <c r="AA4176"/>
  <c r="AA4175"/>
  <c r="AA4174"/>
  <c r="AA4173"/>
  <c r="AA4172"/>
  <c r="AA4170"/>
  <c r="AA4169"/>
  <c r="AA4168"/>
  <c r="AA4167"/>
  <c r="AA4166"/>
  <c r="AA4161"/>
  <c r="AA4158"/>
  <c r="A4158"/>
  <c r="B4904"/>
  <c r="AA4904"/>
  <c r="AA4938"/>
  <c r="AA4937"/>
  <c r="AA4936"/>
  <c r="AA4935"/>
  <c r="AA4934"/>
  <c r="A39" i="12"/>
  <c r="AA4933" i="34"/>
  <c r="AA4932"/>
  <c r="AA4931"/>
  <c r="AA4930"/>
  <c r="AA4929"/>
  <c r="AA4928"/>
  <c r="AA4927"/>
  <c r="AA4926"/>
  <c r="AA4925"/>
  <c r="AA4924"/>
  <c r="AA4923"/>
  <c r="AA4922"/>
  <c r="AA4921"/>
  <c r="AA4920"/>
  <c r="AA4919"/>
  <c r="AA4918"/>
  <c r="AA4917"/>
  <c r="AA4916"/>
  <c r="AA4915"/>
  <c r="AA4914"/>
  <c r="AA4913"/>
  <c r="AA4912"/>
  <c r="AA4911"/>
  <c r="AA4910"/>
  <c r="AA4909"/>
  <c r="AA4110"/>
  <c r="B4110"/>
  <c r="AA4109"/>
  <c r="B4109"/>
  <c r="B4018"/>
  <c r="AA4018"/>
  <c r="B4041"/>
  <c r="AA4041"/>
  <c r="B4086"/>
  <c r="AA4086"/>
  <c r="B4096"/>
  <c r="AA4096"/>
  <c r="B4100"/>
  <c r="AA4100"/>
  <c r="R4100" l="1"/>
  <c r="Q4100"/>
  <c r="S4100"/>
  <c r="R4096"/>
  <c r="Q4096"/>
  <c r="S4096"/>
  <c r="R4086"/>
  <c r="Q4086"/>
  <c r="S4086"/>
  <c r="Q4041"/>
  <c r="S4041"/>
  <c r="R4041"/>
  <c r="R4018"/>
  <c r="Q4018"/>
  <c r="S4018"/>
  <c r="Q4109"/>
  <c r="S4109"/>
  <c r="R4109"/>
  <c r="R4110"/>
  <c r="Q4110"/>
  <c r="S4110"/>
  <c r="A4904"/>
  <c r="Q4904"/>
  <c r="S4904"/>
  <c r="R4904"/>
  <c r="A1227"/>
  <c r="A1225"/>
  <c r="A1062"/>
  <c r="A1060"/>
  <c r="A1058"/>
  <c r="A4100"/>
  <c r="A4096"/>
  <c r="A4086"/>
  <c r="A4041"/>
  <c r="A4018"/>
  <c r="A1226"/>
  <c r="A1224"/>
  <c r="A1057"/>
  <c r="A1061"/>
  <c r="A1059"/>
  <c r="A1223"/>
  <c r="A1056"/>
  <c r="A1204" l="1"/>
  <c r="A1203"/>
  <c r="B2802" l="1"/>
  <c r="B2801"/>
  <c r="B2800"/>
  <c r="B2799"/>
  <c r="B2793"/>
  <c r="B2792"/>
  <c r="B2789"/>
  <c r="B2788"/>
  <c r="B2776"/>
  <c r="B2775"/>
  <c r="B2774"/>
  <c r="B2773"/>
  <c r="B2772"/>
  <c r="B2771"/>
  <c r="B2766"/>
  <c r="B2765"/>
  <c r="B2764"/>
  <c r="B2763"/>
  <c r="B2762"/>
  <c r="B2761"/>
  <c r="B2752"/>
  <c r="B2751"/>
  <c r="B2750"/>
  <c r="B2749"/>
  <c r="B2746"/>
  <c r="B2745"/>
  <c r="B2744"/>
  <c r="B2743"/>
  <c r="B2742"/>
  <c r="B2741"/>
  <c r="B2735"/>
  <c r="B2734"/>
  <c r="B2732"/>
  <c r="B2731"/>
  <c r="B2730"/>
  <c r="B2729"/>
  <c r="B2727"/>
  <c r="B2726"/>
  <c r="B2725"/>
  <c r="B2724"/>
  <c r="B2723"/>
  <c r="B2722"/>
  <c r="B2719"/>
  <c r="B2718"/>
  <c r="B2702"/>
  <c r="B2701"/>
  <c r="B2698"/>
  <c r="B2697"/>
  <c r="AA3534"/>
  <c r="B3534"/>
  <c r="B3531"/>
  <c r="B3532"/>
  <c r="B3533"/>
  <c r="AA3533"/>
  <c r="AA3532"/>
  <c r="AA3531"/>
  <c r="AA3530"/>
  <c r="B3530"/>
  <c r="AA3529"/>
  <c r="B3529"/>
  <c r="AA3528"/>
  <c r="B3528"/>
  <c r="AA3526"/>
  <c r="B3526"/>
  <c r="B3525"/>
  <c r="AA3525"/>
  <c r="B1220"/>
  <c r="B1221"/>
  <c r="B1222"/>
  <c r="B2781"/>
  <c r="B4906"/>
  <c r="AA4906"/>
  <c r="AA4903"/>
  <c r="B4903"/>
  <c r="AA4902"/>
  <c r="B4902"/>
  <c r="AA4901"/>
  <c r="B4901"/>
  <c r="AA4900"/>
  <c r="B4900"/>
  <c r="AA4899"/>
  <c r="B4899"/>
  <c r="AA4898"/>
  <c r="B4898"/>
  <c r="AA4897"/>
  <c r="B4897"/>
  <c r="AA4896"/>
  <c r="B4896"/>
  <c r="AA4895"/>
  <c r="B4895"/>
  <c r="AA4894"/>
  <c r="B4894"/>
  <c r="AA4893"/>
  <c r="B4893"/>
  <c r="AA4892"/>
  <c r="B4892"/>
  <c r="AA4891"/>
  <c r="B4891"/>
  <c r="AA4890"/>
  <c r="B4890"/>
  <c r="AA4889"/>
  <c r="B4889"/>
  <c r="AA4888"/>
  <c r="B4888"/>
  <c r="AA4887"/>
  <c r="B4887"/>
  <c r="AA4886"/>
  <c r="B4886"/>
  <c r="AA4885"/>
  <c r="B4885"/>
  <c r="AA4884"/>
  <c r="B4884"/>
  <c r="AA4883"/>
  <c r="B4883"/>
  <c r="AA4882"/>
  <c r="B4882"/>
  <c r="AA4881"/>
  <c r="B4881"/>
  <c r="AA4880"/>
  <c r="B4880"/>
  <c r="AA4879"/>
  <c r="B4879"/>
  <c r="AA4878"/>
  <c r="B4878"/>
  <c r="AA4877"/>
  <c r="B4877"/>
  <c r="AA4876"/>
  <c r="B4876"/>
  <c r="AA4875"/>
  <c r="B4875"/>
  <c r="AA4874"/>
  <c r="B4874"/>
  <c r="AA4873"/>
  <c r="B4873"/>
  <c r="AA4872"/>
  <c r="B4872"/>
  <c r="AA4871"/>
  <c r="B4871"/>
  <c r="AA4870"/>
  <c r="B4870"/>
  <c r="AA4869"/>
  <c r="B4869"/>
  <c r="AA4868"/>
  <c r="B4868"/>
  <c r="AA4867"/>
  <c r="B4867"/>
  <c r="AA4866"/>
  <c r="B4866"/>
  <c r="AA4865"/>
  <c r="B4865"/>
  <c r="AA4157"/>
  <c r="B4157"/>
  <c r="AA4156"/>
  <c r="B4156"/>
  <c r="AA4155"/>
  <c r="B4155"/>
  <c r="AA4154"/>
  <c r="B4154"/>
  <c r="AA4153"/>
  <c r="B4153"/>
  <c r="AA4152"/>
  <c r="B4152"/>
  <c r="AA4151"/>
  <c r="B4151"/>
  <c r="AA4150"/>
  <c r="B4150"/>
  <c r="AA4149"/>
  <c r="B4149"/>
  <c r="AA4148"/>
  <c r="B4148"/>
  <c r="AA4147"/>
  <c r="B4147"/>
  <c r="AA4146"/>
  <c r="B4146"/>
  <c r="AA4145"/>
  <c r="B4145"/>
  <c r="AA4144"/>
  <c r="B4144"/>
  <c r="AA4143"/>
  <c r="B4143"/>
  <c r="AA4142"/>
  <c r="B4142"/>
  <c r="AA4141"/>
  <c r="B4141"/>
  <c r="AA4140"/>
  <c r="B4140"/>
  <c r="AA4139"/>
  <c r="B4139"/>
  <c r="AA4138"/>
  <c r="B4138"/>
  <c r="AA4136"/>
  <c r="B4136"/>
  <c r="AA4135"/>
  <c r="B4135"/>
  <c r="AA4134"/>
  <c r="B4134"/>
  <c r="AA4133"/>
  <c r="B4133"/>
  <c r="AA4132"/>
  <c r="B4132"/>
  <c r="AA4131"/>
  <c r="B4131"/>
  <c r="AA4130"/>
  <c r="B4130"/>
  <c r="AA4129"/>
  <c r="B4129"/>
  <c r="AA4128"/>
  <c r="B4128"/>
  <c r="AA4127"/>
  <c r="B4127"/>
  <c r="AA4126"/>
  <c r="B4126"/>
  <c r="AA4125"/>
  <c r="B4125"/>
  <c r="AA4124"/>
  <c r="B4124"/>
  <c r="AA4123"/>
  <c r="B4123"/>
  <c r="AA4122"/>
  <c r="B4122"/>
  <c r="AA4121"/>
  <c r="B4121"/>
  <c r="AA4120"/>
  <c r="B4120"/>
  <c r="AA4119"/>
  <c r="B4119"/>
  <c r="AA4118"/>
  <c r="B4118"/>
  <c r="AA4117"/>
  <c r="B4117"/>
  <c r="AA4116"/>
  <c r="B4116"/>
  <c r="AA4115"/>
  <c r="B4115"/>
  <c r="AA4114"/>
  <c r="B4114"/>
  <c r="AA4113"/>
  <c r="B4113"/>
  <c r="AA4112"/>
  <c r="B4112"/>
  <c r="AA4111"/>
  <c r="B4111"/>
  <c r="AA4108"/>
  <c r="B4108"/>
  <c r="AA4107"/>
  <c r="B4107"/>
  <c r="AA4106"/>
  <c r="B4106"/>
  <c r="AA4105"/>
  <c r="B4105"/>
  <c r="AA4104"/>
  <c r="B4104"/>
  <c r="AA4102"/>
  <c r="B4102"/>
  <c r="AA4101"/>
  <c r="B4101"/>
  <c r="AA4099"/>
  <c r="B4099"/>
  <c r="AA2971"/>
  <c r="B2971"/>
  <c r="AA2970"/>
  <c r="B2970"/>
  <c r="AA2969"/>
  <c r="B2969"/>
  <c r="AA2968"/>
  <c r="B2968"/>
  <c r="AA2967"/>
  <c r="B2967"/>
  <c r="AA2966"/>
  <c r="B2966"/>
  <c r="AA2965"/>
  <c r="B2965"/>
  <c r="AA2964"/>
  <c r="B2964"/>
  <c r="AA3102"/>
  <c r="B3102"/>
  <c r="AA2972"/>
  <c r="B2972"/>
  <c r="AA3101"/>
  <c r="B3101"/>
  <c r="AA3100"/>
  <c r="B3100"/>
  <c r="AA3099"/>
  <c r="B3099"/>
  <c r="B742"/>
  <c r="B741"/>
  <c r="AA1792"/>
  <c r="B1792"/>
  <c r="AA1791"/>
  <c r="B1791"/>
  <c r="B1046"/>
  <c r="B1047"/>
  <c r="B1048"/>
  <c r="B1049"/>
  <c r="B1050"/>
  <c r="B1051"/>
  <c r="B1052"/>
  <c r="B1043"/>
  <c r="Q1050" l="1"/>
  <c r="S1050"/>
  <c r="R1050"/>
  <c r="Q1222"/>
  <c r="S1222"/>
  <c r="R1222"/>
  <c r="Q1220"/>
  <c r="S1220"/>
  <c r="R1220"/>
  <c r="Q1052"/>
  <c r="S1052"/>
  <c r="R1052"/>
  <c r="Q1048"/>
  <c r="S1048"/>
  <c r="R1048"/>
  <c r="Q1046"/>
  <c r="S1046"/>
  <c r="R1046"/>
  <c r="R742"/>
  <c r="Q742"/>
  <c r="S742"/>
  <c r="R1043"/>
  <c r="Q1043"/>
  <c r="S1043"/>
  <c r="R1051"/>
  <c r="Q1051"/>
  <c r="S1051"/>
  <c r="R1049"/>
  <c r="Q1049"/>
  <c r="S1049"/>
  <c r="R1047"/>
  <c r="Q1047"/>
  <c r="S1047"/>
  <c r="Q741"/>
  <c r="S741"/>
  <c r="R741"/>
  <c r="R1221"/>
  <c r="Q1221"/>
  <c r="S1221"/>
  <c r="U3532"/>
  <c r="T3532"/>
  <c r="V3532"/>
  <c r="U3534"/>
  <c r="T3534"/>
  <c r="V3534"/>
  <c r="T3525"/>
  <c r="V3525"/>
  <c r="U3525"/>
  <c r="U3526"/>
  <c r="T3526"/>
  <c r="V3526"/>
  <c r="U3528"/>
  <c r="T3528"/>
  <c r="V3528"/>
  <c r="T3529"/>
  <c r="V3529"/>
  <c r="U3529"/>
  <c r="U3530"/>
  <c r="T3530"/>
  <c r="V3530"/>
  <c r="T3533"/>
  <c r="V3533"/>
  <c r="U3533"/>
  <c r="T3531"/>
  <c r="V3531"/>
  <c r="U3531"/>
  <c r="Q1792"/>
  <c r="S1792"/>
  <c r="R1792"/>
  <c r="Q3099"/>
  <c r="S3099"/>
  <c r="R3099"/>
  <c r="Q3101"/>
  <c r="S3101"/>
  <c r="R3101"/>
  <c r="R2972"/>
  <c r="Q2972"/>
  <c r="S2972"/>
  <c r="Q2965"/>
  <c r="S2965"/>
  <c r="R2965"/>
  <c r="Q2967"/>
  <c r="S2967"/>
  <c r="R2967"/>
  <c r="Q2969"/>
  <c r="S2969"/>
  <c r="R2969"/>
  <c r="Q2971"/>
  <c r="S2971"/>
  <c r="R2971"/>
  <c r="R4102"/>
  <c r="Q4102"/>
  <c r="S4102"/>
  <c r="R4116"/>
  <c r="Q4116"/>
  <c r="S4116"/>
  <c r="Q4117"/>
  <c r="S4117"/>
  <c r="R4117"/>
  <c r="R4118"/>
  <c r="Q4118"/>
  <c r="S4118"/>
  <c r="Q4119"/>
  <c r="S4119"/>
  <c r="R4119"/>
  <c r="R4120"/>
  <c r="Q4120"/>
  <c r="S4120"/>
  <c r="Q4121"/>
  <c r="S4121"/>
  <c r="R4121"/>
  <c r="R4122"/>
  <c r="Q4122"/>
  <c r="S4122"/>
  <c r="Q4123"/>
  <c r="S4123"/>
  <c r="R4123"/>
  <c r="R4124"/>
  <c r="Q4124"/>
  <c r="S4124"/>
  <c r="Q4125"/>
  <c r="S4125"/>
  <c r="R4125"/>
  <c r="R4126"/>
  <c r="Q4126"/>
  <c r="S4126"/>
  <c r="Q4127"/>
  <c r="S4127"/>
  <c r="R4127"/>
  <c r="R4128"/>
  <c r="Q4128"/>
  <c r="S4128"/>
  <c r="Q4129"/>
  <c r="S4129"/>
  <c r="R4129"/>
  <c r="R4130"/>
  <c r="Q4130"/>
  <c r="S4130"/>
  <c r="Q4131"/>
  <c r="S4131"/>
  <c r="R4131"/>
  <c r="R4132"/>
  <c r="Q4132"/>
  <c r="S4132"/>
  <c r="Q4133"/>
  <c r="S4133"/>
  <c r="R4133"/>
  <c r="R4134"/>
  <c r="Q4134"/>
  <c r="S4134"/>
  <c r="Q4135"/>
  <c r="S4135"/>
  <c r="R4135"/>
  <c r="R4138"/>
  <c r="Q4138"/>
  <c r="S4138"/>
  <c r="Q4139"/>
  <c r="S4139"/>
  <c r="R4139"/>
  <c r="R4140"/>
  <c r="Q4140"/>
  <c r="S4140"/>
  <c r="Q4141"/>
  <c r="S4141"/>
  <c r="R4141"/>
  <c r="R4142"/>
  <c r="Q4142"/>
  <c r="S4142"/>
  <c r="Q4143"/>
  <c r="S4143"/>
  <c r="R4143"/>
  <c r="R4144"/>
  <c r="Q4144"/>
  <c r="S4144"/>
  <c r="Q4145"/>
  <c r="S4145"/>
  <c r="R4145"/>
  <c r="R4146"/>
  <c r="Q4146"/>
  <c r="S4146"/>
  <c r="Q4147"/>
  <c r="S4147"/>
  <c r="R4147"/>
  <c r="R4148"/>
  <c r="Q4148"/>
  <c r="S4148"/>
  <c r="Q4149"/>
  <c r="S4149"/>
  <c r="R4149"/>
  <c r="R4150"/>
  <c r="Q4150"/>
  <c r="S4150"/>
  <c r="Q4151"/>
  <c r="S4151"/>
  <c r="R4151"/>
  <c r="R4152"/>
  <c r="Q4152"/>
  <c r="S4152"/>
  <c r="Q4153"/>
  <c r="S4153"/>
  <c r="R4153"/>
  <c r="R4154"/>
  <c r="Q4154"/>
  <c r="S4154"/>
  <c r="Q4155"/>
  <c r="S4155"/>
  <c r="R4155"/>
  <c r="R4156"/>
  <c r="Q4156"/>
  <c r="S4156"/>
  <c r="A4880"/>
  <c r="Q4880"/>
  <c r="S4880"/>
  <c r="R4880"/>
  <c r="A4881"/>
  <c r="R4881"/>
  <c r="Q4881"/>
  <c r="S4881"/>
  <c r="A4882"/>
  <c r="Q4882"/>
  <c r="S4882"/>
  <c r="R4882"/>
  <c r="A4883"/>
  <c r="R4883"/>
  <c r="Q4883"/>
  <c r="S4883"/>
  <c r="A4884"/>
  <c r="Q4884"/>
  <c r="S4884"/>
  <c r="R4884"/>
  <c r="A4885"/>
  <c r="R4885"/>
  <c r="Q4885"/>
  <c r="S4885"/>
  <c r="A4886"/>
  <c r="Q4886"/>
  <c r="S4886"/>
  <c r="R4886"/>
  <c r="A4887"/>
  <c r="R4887"/>
  <c r="Q4887"/>
  <c r="S4887"/>
  <c r="A4888"/>
  <c r="Q4888"/>
  <c r="S4888"/>
  <c r="R4888"/>
  <c r="A4889"/>
  <c r="R4889"/>
  <c r="Q4889"/>
  <c r="S4889"/>
  <c r="A4890"/>
  <c r="Q4890"/>
  <c r="S4890"/>
  <c r="R4890"/>
  <c r="A4891"/>
  <c r="R4891"/>
  <c r="Q4891"/>
  <c r="S4891"/>
  <c r="A4892"/>
  <c r="Q4892"/>
  <c r="S4892"/>
  <c r="R4892"/>
  <c r="A4893"/>
  <c r="R4893"/>
  <c r="Q4893"/>
  <c r="S4893"/>
  <c r="A4894"/>
  <c r="Q4894"/>
  <c r="S4894"/>
  <c r="R4894"/>
  <c r="A4899"/>
  <c r="R4899"/>
  <c r="Q4899"/>
  <c r="S4899"/>
  <c r="A4900"/>
  <c r="Q4900"/>
  <c r="S4900"/>
  <c r="R4900"/>
  <c r="A4901"/>
  <c r="R4901"/>
  <c r="Q4901"/>
  <c r="S4901"/>
  <c r="A4902"/>
  <c r="Q4902"/>
  <c r="S4902"/>
  <c r="R4902"/>
  <c r="A4903"/>
  <c r="R4903"/>
  <c r="Q4903"/>
  <c r="S4903"/>
  <c r="R2781"/>
  <c r="Q2781"/>
  <c r="S2781"/>
  <c r="R3532"/>
  <c r="Q3532"/>
  <c r="S3532"/>
  <c r="R3534"/>
  <c r="Q3534"/>
  <c r="S3534"/>
  <c r="R2697"/>
  <c r="Q2697"/>
  <c r="S2697"/>
  <c r="R2701"/>
  <c r="Q2701"/>
  <c r="S2701"/>
  <c r="Q2718"/>
  <c r="S2718"/>
  <c r="R2718"/>
  <c r="Q2722"/>
  <c r="S2722"/>
  <c r="R2722"/>
  <c r="Q2724"/>
  <c r="S2724"/>
  <c r="R2724"/>
  <c r="Q2726"/>
  <c r="S2726"/>
  <c r="R2726"/>
  <c r="R2729"/>
  <c r="Q2729"/>
  <c r="S2729"/>
  <c r="R2731"/>
  <c r="Q2731"/>
  <c r="S2731"/>
  <c r="Q2734"/>
  <c r="S2734"/>
  <c r="R2734"/>
  <c r="R2741"/>
  <c r="Q2741"/>
  <c r="S2741"/>
  <c r="R2743"/>
  <c r="Q2743"/>
  <c r="S2743"/>
  <c r="R2745"/>
  <c r="Q2745"/>
  <c r="S2745"/>
  <c r="R2749"/>
  <c r="Q2749"/>
  <c r="S2749"/>
  <c r="R2751"/>
  <c r="Q2751"/>
  <c r="S2751"/>
  <c r="R2761"/>
  <c r="Q2761"/>
  <c r="S2761"/>
  <c r="R2763"/>
  <c r="Q2763"/>
  <c r="S2763"/>
  <c r="R2765"/>
  <c r="Q2765"/>
  <c r="S2765"/>
  <c r="R2771"/>
  <c r="Q2771"/>
  <c r="S2771"/>
  <c r="R2773"/>
  <c r="Q2773"/>
  <c r="S2773"/>
  <c r="R2775"/>
  <c r="Q2775"/>
  <c r="S2775"/>
  <c r="Q2788"/>
  <c r="S2788"/>
  <c r="R2788"/>
  <c r="Q2792"/>
  <c r="S2792"/>
  <c r="R2792"/>
  <c r="R2799"/>
  <c r="Q2799"/>
  <c r="S2799"/>
  <c r="R2801"/>
  <c r="Q2801"/>
  <c r="S2801"/>
  <c r="R1791"/>
  <c r="Q1791"/>
  <c r="S1791"/>
  <c r="R3100"/>
  <c r="Q3100"/>
  <c r="S3100"/>
  <c r="R3102"/>
  <c r="Q3102"/>
  <c r="S3102"/>
  <c r="R2964"/>
  <c r="Q2964"/>
  <c r="S2964"/>
  <c r="R2966"/>
  <c r="Q2966"/>
  <c r="S2966"/>
  <c r="R2968"/>
  <c r="Q2968"/>
  <c r="S2968"/>
  <c r="R2970"/>
  <c r="Q2970"/>
  <c r="S2970"/>
  <c r="Q4099"/>
  <c r="S4099"/>
  <c r="R4099"/>
  <c r="Q4101"/>
  <c r="S4101"/>
  <c r="R4101"/>
  <c r="R4104"/>
  <c r="Q4104"/>
  <c r="S4104"/>
  <c r="Q4105"/>
  <c r="S4105"/>
  <c r="R4105"/>
  <c r="R4106"/>
  <c r="Q4106"/>
  <c r="S4106"/>
  <c r="Q4107"/>
  <c r="S4107"/>
  <c r="R4107"/>
  <c r="R4108"/>
  <c r="Q4108"/>
  <c r="S4108"/>
  <c r="Q4111"/>
  <c r="S4111"/>
  <c r="R4111"/>
  <c r="R4112"/>
  <c r="Q4112"/>
  <c r="S4112"/>
  <c r="Q4113"/>
  <c r="S4113"/>
  <c r="R4113"/>
  <c r="R4114"/>
  <c r="Q4114"/>
  <c r="S4114"/>
  <c r="Q4115"/>
  <c r="S4115"/>
  <c r="R4115"/>
  <c r="R4136"/>
  <c r="Q4136"/>
  <c r="S4136"/>
  <c r="Q4157"/>
  <c r="S4157"/>
  <c r="R4157"/>
  <c r="A4865"/>
  <c r="R4865"/>
  <c r="Q4865"/>
  <c r="S4865"/>
  <c r="A4866"/>
  <c r="Q4866"/>
  <c r="S4866"/>
  <c r="R4866"/>
  <c r="A4867"/>
  <c r="R4867"/>
  <c r="Q4867"/>
  <c r="S4867"/>
  <c r="A4868"/>
  <c r="Q4868"/>
  <c r="S4868"/>
  <c r="R4868"/>
  <c r="A4869"/>
  <c r="R4869"/>
  <c r="Q4869"/>
  <c r="S4869"/>
  <c r="A4870"/>
  <c r="Q4870"/>
  <c r="S4870"/>
  <c r="R4870"/>
  <c r="A4871"/>
  <c r="R4871"/>
  <c r="Q4871"/>
  <c r="S4871"/>
  <c r="A4872"/>
  <c r="Q4872"/>
  <c r="S4872"/>
  <c r="R4872"/>
  <c r="A4873"/>
  <c r="R4873"/>
  <c r="Q4873"/>
  <c r="S4873"/>
  <c r="A4874"/>
  <c r="Q4874"/>
  <c r="S4874"/>
  <c r="R4874"/>
  <c r="A4875"/>
  <c r="R4875"/>
  <c r="Q4875"/>
  <c r="S4875"/>
  <c r="A4876"/>
  <c r="Q4876"/>
  <c r="S4876"/>
  <c r="R4876"/>
  <c r="A4877"/>
  <c r="R4877"/>
  <c r="Q4877"/>
  <c r="S4877"/>
  <c r="A4878"/>
  <c r="Q4878"/>
  <c r="S4878"/>
  <c r="R4878"/>
  <c r="A4879"/>
  <c r="R4879"/>
  <c r="Q4879"/>
  <c r="S4879"/>
  <c r="A4895"/>
  <c r="R4895"/>
  <c r="Q4895"/>
  <c r="S4895"/>
  <c r="A4896"/>
  <c r="Q4896"/>
  <c r="S4896"/>
  <c r="R4896"/>
  <c r="A4897"/>
  <c r="R4897"/>
  <c r="Q4897"/>
  <c r="S4897"/>
  <c r="A4898"/>
  <c r="Q4898"/>
  <c r="S4898"/>
  <c r="R4898"/>
  <c r="A4906"/>
  <c r="Q4906"/>
  <c r="S4906"/>
  <c r="R4906"/>
  <c r="Q3525"/>
  <c r="S3525"/>
  <c r="R3525"/>
  <c r="R3526"/>
  <c r="Q3526"/>
  <c r="S3526"/>
  <c r="R3528"/>
  <c r="Q3528"/>
  <c r="S3528"/>
  <c r="Q3529"/>
  <c r="S3529"/>
  <c r="R3529"/>
  <c r="R3530"/>
  <c r="Q3530"/>
  <c r="S3530"/>
  <c r="Q3533"/>
  <c r="S3533"/>
  <c r="R3533"/>
  <c r="Q3531"/>
  <c r="S3531"/>
  <c r="R3531"/>
  <c r="Q2698"/>
  <c r="S2698"/>
  <c r="R2698"/>
  <c r="Q2702"/>
  <c r="S2702"/>
  <c r="R2702"/>
  <c r="R2719"/>
  <c r="Q2719"/>
  <c r="S2719"/>
  <c r="R2723"/>
  <c r="Q2723"/>
  <c r="S2723"/>
  <c r="R2725"/>
  <c r="Q2725"/>
  <c r="S2725"/>
  <c r="R2727"/>
  <c r="Q2727"/>
  <c r="S2727"/>
  <c r="Q2730"/>
  <c r="S2730"/>
  <c r="R2730"/>
  <c r="Q2732"/>
  <c r="S2732"/>
  <c r="R2732"/>
  <c r="R2735"/>
  <c r="Q2735"/>
  <c r="S2735"/>
  <c r="Q2742"/>
  <c r="S2742"/>
  <c r="R2742"/>
  <c r="Q2744"/>
  <c r="S2744"/>
  <c r="R2744"/>
  <c r="Q2746"/>
  <c r="S2746"/>
  <c r="R2746"/>
  <c r="Q2750"/>
  <c r="S2750"/>
  <c r="R2750"/>
  <c r="Q2752"/>
  <c r="S2752"/>
  <c r="R2752"/>
  <c r="Q2762"/>
  <c r="S2762"/>
  <c r="R2762"/>
  <c r="Q2764"/>
  <c r="S2764"/>
  <c r="R2764"/>
  <c r="Q2766"/>
  <c r="S2766"/>
  <c r="R2766"/>
  <c r="Q2772"/>
  <c r="S2772"/>
  <c r="R2772"/>
  <c r="Q2774"/>
  <c r="S2774"/>
  <c r="R2774"/>
  <c r="Q2776"/>
  <c r="S2776"/>
  <c r="R2776"/>
  <c r="R2789"/>
  <c r="Q2789"/>
  <c r="S2789"/>
  <c r="R2793"/>
  <c r="Q2793"/>
  <c r="S2793"/>
  <c r="Q2800"/>
  <c r="S2800"/>
  <c r="R2800"/>
  <c r="Q2802"/>
  <c r="S2802"/>
  <c r="R2802"/>
  <c r="A2971"/>
  <c r="A2972"/>
  <c r="A2970"/>
  <c r="A741"/>
  <c r="A4101"/>
  <c r="A4108"/>
  <c r="A4151"/>
  <c r="A1222"/>
  <c r="A1220"/>
  <c r="A2697"/>
  <c r="A3102"/>
  <c r="A4099"/>
  <c r="A4105"/>
  <c r="A4107"/>
  <c r="A4111"/>
  <c r="A4115"/>
  <c r="A4117"/>
  <c r="A4119"/>
  <c r="A4150"/>
  <c r="A2781"/>
  <c r="A1221"/>
  <c r="A1219"/>
  <c r="A3525"/>
  <c r="A2698"/>
  <c r="A2727"/>
  <c r="A2800"/>
  <c r="A2801"/>
  <c r="A3532"/>
  <c r="A2702"/>
  <c r="A2802"/>
  <c r="A2763"/>
  <c r="A2764"/>
  <c r="A2765"/>
  <c r="A2775"/>
  <c r="A2776"/>
  <c r="A2788"/>
  <c r="A2789"/>
  <c r="A2799"/>
  <c r="A2792"/>
  <c r="A2793"/>
  <c r="A2751"/>
  <c r="A2752"/>
  <c r="A2761"/>
  <c r="A2762"/>
  <c r="A2732"/>
  <c r="A2734"/>
  <c r="A2735"/>
  <c r="A2741"/>
  <c r="A2773"/>
  <c r="A2774"/>
  <c r="A2772"/>
  <c r="A2771"/>
  <c r="A2766"/>
  <c r="A3530"/>
  <c r="A2722"/>
  <c r="A2724"/>
  <c r="A2725"/>
  <c r="A2726"/>
  <c r="A2729"/>
  <c r="A2730"/>
  <c r="A2743"/>
  <c r="A2744"/>
  <c r="A2745"/>
  <c r="A2746"/>
  <c r="A2749"/>
  <c r="A2750"/>
  <c r="A2742"/>
  <c r="A2731"/>
  <c r="A2723"/>
  <c r="A2719"/>
  <c r="A2718"/>
  <c r="A2701"/>
  <c r="A3534"/>
  <c r="A3531"/>
  <c r="A3533"/>
  <c r="A3528"/>
  <c r="A3529"/>
  <c r="A3526"/>
  <c r="A1052"/>
  <c r="A1050"/>
  <c r="A1048"/>
  <c r="A1046"/>
  <c r="A742"/>
  <c r="A3100"/>
  <c r="A4102"/>
  <c r="A4104"/>
  <c r="A4106"/>
  <c r="A4114"/>
  <c r="A4116"/>
  <c r="A4118"/>
  <c r="A4120"/>
  <c r="A4149"/>
  <c r="A1051"/>
  <c r="A1049"/>
  <c r="A1047"/>
  <c r="A4121"/>
  <c r="A4122"/>
  <c r="A4123"/>
  <c r="A4124"/>
  <c r="A4125"/>
  <c r="A4126"/>
  <c r="A4127"/>
  <c r="A4128"/>
  <c r="A4129"/>
  <c r="A4130"/>
  <c r="A4131"/>
  <c r="A4132"/>
  <c r="A4133"/>
  <c r="A4134"/>
  <c r="A4135"/>
  <c r="A4136"/>
  <c r="A4138"/>
  <c r="A4139"/>
  <c r="A4140"/>
  <c r="A4141"/>
  <c r="A4142"/>
  <c r="A4143"/>
  <c r="A4144"/>
  <c r="A4145"/>
  <c r="A4146"/>
  <c r="A4147"/>
  <c r="A4148"/>
  <c r="A4152"/>
  <c r="A4153"/>
  <c r="A4154"/>
  <c r="A4155"/>
  <c r="A4156"/>
  <c r="A4157"/>
  <c r="A3099"/>
  <c r="A3101"/>
  <c r="A2964"/>
  <c r="A2965"/>
  <c r="A2966"/>
  <c r="A2967"/>
  <c r="A2968"/>
  <c r="A2969"/>
  <c r="A1791"/>
  <c r="A1792"/>
  <c r="A1043"/>
  <c r="AA3759" l="1"/>
  <c r="B3759"/>
  <c r="AA3758"/>
  <c r="B3758"/>
  <c r="AA3757"/>
  <c r="B3757"/>
  <c r="Q3757" l="1"/>
  <c r="S3757"/>
  <c r="R3757"/>
  <c r="R3758"/>
  <c r="Q3758"/>
  <c r="S3758"/>
  <c r="Q3759"/>
  <c r="S3759"/>
  <c r="R3759"/>
  <c r="A3757"/>
  <c r="A3759"/>
  <c r="A3758"/>
  <c r="AA4093"/>
  <c r="B4093"/>
  <c r="AA4092"/>
  <c r="B4092"/>
  <c r="R4092" l="1"/>
  <c r="Q4092"/>
  <c r="S4092"/>
  <c r="Q4093"/>
  <c r="S4093"/>
  <c r="R4093"/>
  <c r="A4092"/>
  <c r="A4093"/>
  <c r="AA3825"/>
  <c r="B3825"/>
  <c r="AA3824"/>
  <c r="B3824"/>
  <c r="R3824" l="1"/>
  <c r="Q3824"/>
  <c r="S3824"/>
  <c r="Q3825"/>
  <c r="S3825"/>
  <c r="R3825"/>
  <c r="A3824"/>
  <c r="A3825"/>
  <c r="AA3807"/>
  <c r="B3807"/>
  <c r="AA3805"/>
  <c r="AA3806"/>
  <c r="B3805"/>
  <c r="B3806"/>
  <c r="R3806" l="1"/>
  <c r="Q3806"/>
  <c r="S3806"/>
  <c r="Q3805"/>
  <c r="S3805"/>
  <c r="R3805"/>
  <c r="Q3807"/>
  <c r="S3807"/>
  <c r="R3807"/>
  <c r="A3805"/>
  <c r="A3807"/>
  <c r="A3806"/>
  <c r="B3597"/>
  <c r="AA3849"/>
  <c r="B3849"/>
  <c r="AA3788"/>
  <c r="B3788"/>
  <c r="AA3814"/>
  <c r="B3814"/>
  <c r="B3714"/>
  <c r="AA3813"/>
  <c r="B3813"/>
  <c r="AA3763"/>
  <c r="B3763"/>
  <c r="AA2937"/>
  <c r="B2937"/>
  <c r="Q3763" l="1"/>
  <c r="S3763"/>
  <c r="R3763"/>
  <c r="R3714"/>
  <c r="Q3714"/>
  <c r="S3714"/>
  <c r="R3788"/>
  <c r="Q3788"/>
  <c r="S3788"/>
  <c r="Q2937"/>
  <c r="S2937"/>
  <c r="R2937"/>
  <c r="Q3813"/>
  <c r="S3813"/>
  <c r="R3813"/>
  <c r="Q3849"/>
  <c r="S3849"/>
  <c r="R3849"/>
  <c r="R3814"/>
  <c r="Q3814"/>
  <c r="S3814"/>
  <c r="Q3597"/>
  <c r="S3597"/>
  <c r="R3597"/>
  <c r="A3597"/>
  <c r="A3849"/>
  <c r="A3788"/>
  <c r="A3763"/>
  <c r="A3814"/>
  <c r="A3714"/>
  <c r="A3813"/>
  <c r="A2937"/>
  <c r="AA3976" l="1"/>
  <c r="B3976"/>
  <c r="AA3958"/>
  <c r="B3958"/>
  <c r="R3958" l="1"/>
  <c r="Q3958"/>
  <c r="S3958"/>
  <c r="R3976"/>
  <c r="Q3976"/>
  <c r="S3976"/>
  <c r="A3958"/>
  <c r="A3976"/>
  <c r="B3708"/>
  <c r="AA3834"/>
  <c r="B3834"/>
  <c r="AA3833"/>
  <c r="B3833"/>
  <c r="AA3832"/>
  <c r="B3832"/>
  <c r="AA3831"/>
  <c r="B3831"/>
  <c r="AA3830"/>
  <c r="B3830"/>
  <c r="AA3829"/>
  <c r="B3829"/>
  <c r="AA3828"/>
  <c r="B3828"/>
  <c r="AA3827"/>
  <c r="B3827"/>
  <c r="AA3826"/>
  <c r="B3826"/>
  <c r="AA3823"/>
  <c r="B3823"/>
  <c r="AA3822"/>
  <c r="B3822"/>
  <c r="AA3821"/>
  <c r="B3821"/>
  <c r="AA3820"/>
  <c r="B3820"/>
  <c r="AA3819"/>
  <c r="B3819"/>
  <c r="Q13" i="43"/>
  <c r="P13"/>
  <c r="E6"/>
  <c r="R3708" i="34" l="1"/>
  <c r="Q3708"/>
  <c r="S3708"/>
  <c r="Q3819"/>
  <c r="S3819"/>
  <c r="R3819"/>
  <c r="R3820"/>
  <c r="Q3820"/>
  <c r="S3820"/>
  <c r="Q3821"/>
  <c r="S3821"/>
  <c r="R3821"/>
  <c r="R3822"/>
  <c r="Q3822"/>
  <c r="S3822"/>
  <c r="Q3823"/>
  <c r="S3823"/>
  <c r="R3823"/>
  <c r="R3826"/>
  <c r="Q3826"/>
  <c r="S3826"/>
  <c r="Q3827"/>
  <c r="S3827"/>
  <c r="R3827"/>
  <c r="R3828"/>
  <c r="Q3828"/>
  <c r="S3828"/>
  <c r="Q3829"/>
  <c r="S3829"/>
  <c r="R3829"/>
  <c r="R3830"/>
  <c r="Q3830"/>
  <c r="S3830"/>
  <c r="Q3831"/>
  <c r="S3831"/>
  <c r="R3831"/>
  <c r="R3832"/>
  <c r="Q3832"/>
  <c r="S3832"/>
  <c r="Q3833"/>
  <c r="S3833"/>
  <c r="R3833"/>
  <c r="R3834"/>
  <c r="Q3834"/>
  <c r="S3834"/>
  <c r="A3820"/>
  <c r="A3822"/>
  <c r="A3826"/>
  <c r="A3828"/>
  <c r="A3830"/>
  <c r="A3832"/>
  <c r="A3834"/>
  <c r="A3819"/>
  <c r="A3821"/>
  <c r="A3823"/>
  <c r="A3827"/>
  <c r="A3829"/>
  <c r="A3831"/>
  <c r="A3833"/>
  <c r="A3708"/>
  <c r="AA3047" l="1"/>
  <c r="AA3045"/>
  <c r="AA3046"/>
  <c r="B3045"/>
  <c r="Q3045" l="1"/>
  <c r="S3045"/>
  <c r="R3045"/>
  <c r="A3045"/>
  <c r="H44" i="45"/>
  <c r="B1042" i="34"/>
  <c r="B1026"/>
  <c r="B1041"/>
  <c r="B1031"/>
  <c r="R1041" l="1"/>
  <c r="Q1041"/>
  <c r="S1041"/>
  <c r="Q1042"/>
  <c r="S1042"/>
  <c r="R1042"/>
  <c r="R1031"/>
  <c r="Q1031"/>
  <c r="S1031"/>
  <c r="Q1026"/>
  <c r="S1026"/>
  <c r="R1026"/>
  <c r="A1031"/>
  <c r="A1042"/>
  <c r="A1026"/>
  <c r="A1041"/>
  <c r="C79" i="15"/>
  <c r="D79"/>
  <c r="F164" i="60" l="1"/>
  <c r="C10"/>
  <c r="C11"/>
  <c r="F10"/>
  <c r="F11"/>
  <c r="F144"/>
  <c r="F131"/>
  <c r="AD1921" i="34"/>
  <c r="AD1920"/>
  <c r="AD1919"/>
  <c r="AD1918"/>
  <c r="AD1917"/>
  <c r="AD1916"/>
  <c r="AD1915"/>
  <c r="AD1914"/>
  <c r="AD1913"/>
  <c r="AD1912"/>
  <c r="AD1911"/>
  <c r="AD1910"/>
  <c r="AD1909"/>
  <c r="AD1908"/>
  <c r="AD1907"/>
  <c r="AD1906"/>
  <c r="AD1937"/>
  <c r="AD1936"/>
  <c r="AD1935"/>
  <c r="AD1934"/>
  <c r="AD1933"/>
  <c r="AD1932"/>
  <c r="AD1931"/>
  <c r="AD1930"/>
  <c r="AD1929"/>
  <c r="AD1928"/>
  <c r="AD1927"/>
  <c r="AD1926"/>
  <c r="AD1925"/>
  <c r="AD1924"/>
  <c r="AD1923"/>
  <c r="AD1922"/>
  <c r="AD1953"/>
  <c r="AD1952"/>
  <c r="AD1951"/>
  <c r="AD1950"/>
  <c r="AD1949"/>
  <c r="AD1948"/>
  <c r="AD1947"/>
  <c r="AD1946"/>
  <c r="AD1945"/>
  <c r="AD1944"/>
  <c r="AD1943"/>
  <c r="AD1942"/>
  <c r="AD1941"/>
  <c r="AD1940"/>
  <c r="AD1939"/>
  <c r="AD1938"/>
  <c r="AD1961"/>
  <c r="AD1960"/>
  <c r="AD1959"/>
  <c r="AD1958"/>
  <c r="AD1957"/>
  <c r="AD1956"/>
  <c r="AD1955"/>
  <c r="AD1954"/>
  <c r="AD1965"/>
  <c r="AD1964"/>
  <c r="AD1963"/>
  <c r="AD1962"/>
  <c r="AD1967"/>
  <c r="AD1966"/>
  <c r="AD1968"/>
  <c r="F111" i="60"/>
  <c r="AD1884" i="34"/>
  <c r="AD1883"/>
  <c r="AD1882"/>
  <c r="AD1881"/>
  <c r="AD1880"/>
  <c r="AD1879"/>
  <c r="AD1878"/>
  <c r="AD1877"/>
  <c r="AD1876"/>
  <c r="AD1875"/>
  <c r="AD1874"/>
  <c r="AD1895"/>
  <c r="AD1894"/>
  <c r="AD1893"/>
  <c r="AD1892"/>
  <c r="AD1891"/>
  <c r="AD1890"/>
  <c r="AD1889"/>
  <c r="AD1888"/>
  <c r="AD1887"/>
  <c r="AD1886"/>
  <c r="AD1885"/>
  <c r="Y99" i="60"/>
  <c r="L90" s="1"/>
  <c r="AD1868" i="34"/>
  <c r="AD1867"/>
  <c r="AD1866"/>
  <c r="AD1865"/>
  <c r="AD1864"/>
  <c r="AD1863"/>
  <c r="AD1862"/>
  <c r="AD1861"/>
  <c r="AD1898"/>
  <c r="AD1897"/>
  <c r="AD1896"/>
  <c r="AD1873"/>
  <c r="AD1872"/>
  <c r="AD1871"/>
  <c r="AD1870"/>
  <c r="AD1869"/>
  <c r="B1870" l="1"/>
  <c r="B1945"/>
  <c r="B1929"/>
  <c r="B1917"/>
  <c r="B1911"/>
  <c r="B1939"/>
  <c r="B1940"/>
  <c r="B1909"/>
  <c r="B1913"/>
  <c r="B1958"/>
  <c r="B1866"/>
  <c r="B1915"/>
  <c r="B1950"/>
  <c r="B1951"/>
  <c r="B1936"/>
  <c r="B1963"/>
  <c r="B1947"/>
  <c r="B1948"/>
  <c r="B1943"/>
  <c r="B1944"/>
  <c r="B1933"/>
  <c r="B1964"/>
  <c r="B1938"/>
  <c r="B1941"/>
  <c r="B1946"/>
  <c r="B1949"/>
  <c r="B1952"/>
  <c r="B1922"/>
  <c r="B1907"/>
  <c r="B1962"/>
  <c r="B1942"/>
  <c r="B1925"/>
  <c r="B1931"/>
  <c r="B1932"/>
  <c r="B1935"/>
  <c r="B1874"/>
  <c r="B1886"/>
  <c r="B1888"/>
  <c r="B1890"/>
  <c r="B1882"/>
  <c r="B1923"/>
  <c r="B1924"/>
  <c r="B1927"/>
  <c r="B1928"/>
  <c r="B1930"/>
  <c r="B1906"/>
  <c r="B1908"/>
  <c r="B1910"/>
  <c r="B1912"/>
  <c r="B1914"/>
  <c r="B1916"/>
  <c r="B1918"/>
  <c r="B1920"/>
  <c r="B1926"/>
  <c r="B1934"/>
  <c r="B1919"/>
  <c r="B1921"/>
  <c r="B1955"/>
  <c r="B1937"/>
  <c r="B1956"/>
  <c r="B1954"/>
  <c r="B1953"/>
  <c r="B1960"/>
  <c r="B1957"/>
  <c r="B1959"/>
  <c r="B1961"/>
  <c r="B1965"/>
  <c r="B1966"/>
  <c r="B1967"/>
  <c r="B1968"/>
  <c r="B1876"/>
  <c r="B1877"/>
  <c r="B1879"/>
  <c r="B1880"/>
  <c r="B1881"/>
  <c r="B1875"/>
  <c r="B1878"/>
  <c r="B1883"/>
  <c r="B1896"/>
  <c r="B1884"/>
  <c r="B1892"/>
  <c r="B1894"/>
  <c r="B1897"/>
  <c r="B1885"/>
  <c r="B1887"/>
  <c r="B1889"/>
  <c r="B1891"/>
  <c r="B1893"/>
  <c r="B1895"/>
  <c r="B1872"/>
  <c r="B1873"/>
  <c r="B1862"/>
  <c r="B1863"/>
  <c r="B1869"/>
  <c r="B1871"/>
  <c r="B1861"/>
  <c r="B1864"/>
  <c r="B1865"/>
  <c r="B1867"/>
  <c r="B1868"/>
  <c r="B1898"/>
  <c r="D59" i="60"/>
  <c r="G58"/>
  <c r="G57"/>
  <c r="G56"/>
  <c r="G55"/>
  <c r="Y58"/>
  <c r="L49" s="1"/>
  <c r="Y59"/>
  <c r="F50"/>
  <c r="AD1856" i="34"/>
  <c r="AD1855"/>
  <c r="AD1854"/>
  <c r="AD1853"/>
  <c r="AD1852"/>
  <c r="AD1851"/>
  <c r="AD1850"/>
  <c r="AD1849"/>
  <c r="AD1848"/>
  <c r="AD1847"/>
  <c r="AD1846"/>
  <c r="AD1845"/>
  <c r="AD1900"/>
  <c r="AD1899"/>
  <c r="AD1860"/>
  <c r="AD1859"/>
  <c r="AD1858"/>
  <c r="AD1857"/>
  <c r="AD1836"/>
  <c r="AD1835"/>
  <c r="AD1834"/>
  <c r="AD1833"/>
  <c r="AD1832"/>
  <c r="AD1831"/>
  <c r="AD1843"/>
  <c r="AD1842"/>
  <c r="AD1841"/>
  <c r="AD1840"/>
  <c r="AD1839"/>
  <c r="AD1838"/>
  <c r="AD1837"/>
  <c r="AD1901"/>
  <c r="AD1902"/>
  <c r="AD1903"/>
  <c r="AD1904"/>
  <c r="AD1905"/>
  <c r="AD1969"/>
  <c r="AD1844"/>
  <c r="Q1868" l="1"/>
  <c r="S1868"/>
  <c r="R1868"/>
  <c r="R1865"/>
  <c r="Q1865"/>
  <c r="S1865"/>
  <c r="R1861"/>
  <c r="Q1861"/>
  <c r="S1861"/>
  <c r="R1869"/>
  <c r="Q1869"/>
  <c r="S1869"/>
  <c r="Q1862"/>
  <c r="S1862"/>
  <c r="R1862"/>
  <c r="Q1872"/>
  <c r="S1872"/>
  <c r="R1872"/>
  <c r="R1893"/>
  <c r="Q1893"/>
  <c r="S1893"/>
  <c r="R1889"/>
  <c r="Q1889"/>
  <c r="S1889"/>
  <c r="R1885"/>
  <c r="Q1885"/>
  <c r="S1885"/>
  <c r="Q1894"/>
  <c r="S1894"/>
  <c r="R1894"/>
  <c r="Q1884"/>
  <c r="S1884"/>
  <c r="R1884"/>
  <c r="R1883"/>
  <c r="Q1883"/>
  <c r="S1883"/>
  <c r="R1875"/>
  <c r="Q1875"/>
  <c r="S1875"/>
  <c r="Q1880"/>
  <c r="S1880"/>
  <c r="R1880"/>
  <c r="R1877"/>
  <c r="Q1877"/>
  <c r="S1877"/>
  <c r="Q1968"/>
  <c r="S1968"/>
  <c r="R1968"/>
  <c r="Q1966"/>
  <c r="S1966"/>
  <c r="R1966"/>
  <c r="R1961"/>
  <c r="Q1961"/>
  <c r="S1961"/>
  <c r="R1957"/>
  <c r="Q1957"/>
  <c r="S1957"/>
  <c r="R1953"/>
  <c r="Q1953"/>
  <c r="S1953"/>
  <c r="Q1956"/>
  <c r="S1956"/>
  <c r="R1956"/>
  <c r="R1955"/>
  <c r="Q1955"/>
  <c r="S1955"/>
  <c r="R1919"/>
  <c r="Q1919"/>
  <c r="S1919"/>
  <c r="Q1926"/>
  <c r="S1926"/>
  <c r="R1926"/>
  <c r="Q1918"/>
  <c r="S1918"/>
  <c r="R1918"/>
  <c r="Q1914"/>
  <c r="S1914"/>
  <c r="R1914"/>
  <c r="Q1910"/>
  <c r="S1910"/>
  <c r="R1910"/>
  <c r="Q1906"/>
  <c r="S1906"/>
  <c r="R1906"/>
  <c r="Q1928"/>
  <c r="S1928"/>
  <c r="R1928"/>
  <c r="Q1924"/>
  <c r="S1924"/>
  <c r="R1924"/>
  <c r="Q1882"/>
  <c r="S1882"/>
  <c r="R1882"/>
  <c r="Q1888"/>
  <c r="S1888"/>
  <c r="R1888"/>
  <c r="Q1874"/>
  <c r="S1874"/>
  <c r="R1874"/>
  <c r="Q1932"/>
  <c r="S1932"/>
  <c r="R1932"/>
  <c r="R1925"/>
  <c r="Q1925"/>
  <c r="S1925"/>
  <c r="Q1962"/>
  <c r="S1962"/>
  <c r="R1962"/>
  <c r="Q1922"/>
  <c r="S1922"/>
  <c r="R1922"/>
  <c r="R1949"/>
  <c r="Q1949"/>
  <c r="S1949"/>
  <c r="R1941"/>
  <c r="Q1941"/>
  <c r="S1941"/>
  <c r="Q1964"/>
  <c r="S1964"/>
  <c r="R1964"/>
  <c r="Q1944"/>
  <c r="S1944"/>
  <c r="R1944"/>
  <c r="Q1948"/>
  <c r="S1948"/>
  <c r="R1948"/>
  <c r="R1963"/>
  <c r="Q1963"/>
  <c r="S1963"/>
  <c r="R1951"/>
  <c r="Q1951"/>
  <c r="S1951"/>
  <c r="R1915"/>
  <c r="Q1915"/>
  <c r="S1915"/>
  <c r="Q1958"/>
  <c r="S1958"/>
  <c r="R1958"/>
  <c r="R1909"/>
  <c r="Q1909"/>
  <c r="S1909"/>
  <c r="R1939"/>
  <c r="Q1939"/>
  <c r="S1939"/>
  <c r="R1917"/>
  <c r="Q1917"/>
  <c r="S1917"/>
  <c r="R1945"/>
  <c r="Q1945"/>
  <c r="S1945"/>
  <c r="Q1898"/>
  <c r="S1898"/>
  <c r="R1898"/>
  <c r="R1867"/>
  <c r="Q1867"/>
  <c r="S1867"/>
  <c r="Q1864"/>
  <c r="S1864"/>
  <c r="R1864"/>
  <c r="R1871"/>
  <c r="Q1871"/>
  <c r="S1871"/>
  <c r="R1863"/>
  <c r="Q1863"/>
  <c r="S1863"/>
  <c r="R1873"/>
  <c r="Q1873"/>
  <c r="S1873"/>
  <c r="R1895"/>
  <c r="Q1895"/>
  <c r="S1895"/>
  <c r="R1891"/>
  <c r="Q1891"/>
  <c r="S1891"/>
  <c r="R1887"/>
  <c r="Q1887"/>
  <c r="S1887"/>
  <c r="R1897"/>
  <c r="Q1897"/>
  <c r="S1897"/>
  <c r="Q1892"/>
  <c r="S1892"/>
  <c r="R1892"/>
  <c r="Q1896"/>
  <c r="S1896"/>
  <c r="R1896"/>
  <c r="Q1878"/>
  <c r="S1878"/>
  <c r="R1878"/>
  <c r="R1881"/>
  <c r="Q1881"/>
  <c r="S1881"/>
  <c r="R1879"/>
  <c r="Q1879"/>
  <c r="S1879"/>
  <c r="Q1876"/>
  <c r="S1876"/>
  <c r="R1876"/>
  <c r="R1967"/>
  <c r="Q1967"/>
  <c r="S1967"/>
  <c r="R1965"/>
  <c r="Q1965"/>
  <c r="S1965"/>
  <c r="R1959"/>
  <c r="Q1959"/>
  <c r="S1959"/>
  <c r="Q1960"/>
  <c r="S1960"/>
  <c r="R1960"/>
  <c r="Q1954"/>
  <c r="S1954"/>
  <c r="R1954"/>
  <c r="R1937"/>
  <c r="Q1937"/>
  <c r="S1937"/>
  <c r="R1921"/>
  <c r="Q1921"/>
  <c r="S1921"/>
  <c r="Q1934"/>
  <c r="S1934"/>
  <c r="R1934"/>
  <c r="Q1920"/>
  <c r="S1920"/>
  <c r="R1920"/>
  <c r="Q1916"/>
  <c r="S1916"/>
  <c r="R1916"/>
  <c r="Q1912"/>
  <c r="S1912"/>
  <c r="R1912"/>
  <c r="Q1908"/>
  <c r="S1908"/>
  <c r="R1908"/>
  <c r="Q1930"/>
  <c r="S1930"/>
  <c r="R1930"/>
  <c r="R1927"/>
  <c r="Q1927"/>
  <c r="S1927"/>
  <c r="R1923"/>
  <c r="Q1923"/>
  <c r="S1923"/>
  <c r="Q1890"/>
  <c r="S1890"/>
  <c r="R1890"/>
  <c r="Q1886"/>
  <c r="S1886"/>
  <c r="R1886"/>
  <c r="R1935"/>
  <c r="Q1935"/>
  <c r="S1935"/>
  <c r="R1931"/>
  <c r="Q1931"/>
  <c r="S1931"/>
  <c r="Q1942"/>
  <c r="S1942"/>
  <c r="R1942"/>
  <c r="R1907"/>
  <c r="Q1907"/>
  <c r="S1907"/>
  <c r="Q1952"/>
  <c r="S1952"/>
  <c r="R1952"/>
  <c r="Q1946"/>
  <c r="S1946"/>
  <c r="R1946"/>
  <c r="Q1938"/>
  <c r="S1938"/>
  <c r="R1938"/>
  <c r="R1933"/>
  <c r="Q1933"/>
  <c r="S1933"/>
  <c r="R1943"/>
  <c r="Q1943"/>
  <c r="S1943"/>
  <c r="R1947"/>
  <c r="Q1947"/>
  <c r="S1947"/>
  <c r="Q1936"/>
  <c r="S1936"/>
  <c r="R1936"/>
  <c r="Q1950"/>
  <c r="S1950"/>
  <c r="R1950"/>
  <c r="Q1866"/>
  <c r="S1866"/>
  <c r="R1866"/>
  <c r="R1913"/>
  <c r="Q1913"/>
  <c r="S1913"/>
  <c r="Q1940"/>
  <c r="S1940"/>
  <c r="R1940"/>
  <c r="R1911"/>
  <c r="Q1911"/>
  <c r="S1911"/>
  <c r="R1929"/>
  <c r="Q1929"/>
  <c r="S1929"/>
  <c r="Q1870"/>
  <c r="S1870"/>
  <c r="R1870"/>
  <c r="A1864"/>
  <c r="A1887"/>
  <c r="A1868"/>
  <c r="A1861"/>
  <c r="A1862"/>
  <c r="A1893"/>
  <c r="A1885"/>
  <c r="A1884"/>
  <c r="A1875"/>
  <c r="A1877"/>
  <c r="A1966"/>
  <c r="A1957"/>
  <c r="A1956"/>
  <c r="A1919"/>
  <c r="A1918"/>
  <c r="A1910"/>
  <c r="A1928"/>
  <c r="A1882"/>
  <c r="A1874"/>
  <c r="A1925"/>
  <c r="A1922"/>
  <c r="A1941"/>
  <c r="A1944"/>
  <c r="A1963"/>
  <c r="A1915"/>
  <c r="A1909"/>
  <c r="A1917"/>
  <c r="A1867"/>
  <c r="A1871"/>
  <c r="A1873"/>
  <c r="A1891"/>
  <c r="A1897"/>
  <c r="A1896"/>
  <c r="A1881"/>
  <c r="A1876"/>
  <c r="A1965"/>
  <c r="A1960"/>
  <c r="A1937"/>
  <c r="A1934"/>
  <c r="A1916"/>
  <c r="A1908"/>
  <c r="A1927"/>
  <c r="A1890"/>
  <c r="A1935"/>
  <c r="A1942"/>
  <c r="A1952"/>
  <c r="A1938"/>
  <c r="A1943"/>
  <c r="A1936"/>
  <c r="A1866"/>
  <c r="A1940"/>
  <c r="A1929"/>
  <c r="A1865"/>
  <c r="A1869"/>
  <c r="A1872"/>
  <c r="A1889"/>
  <c r="A1894"/>
  <c r="A1883"/>
  <c r="A1880"/>
  <c r="A1968"/>
  <c r="A1961"/>
  <c r="A1953"/>
  <c r="A1955"/>
  <c r="A1926"/>
  <c r="A1914"/>
  <c r="A1906"/>
  <c r="A1924"/>
  <c r="A1888"/>
  <c r="A1932"/>
  <c r="A1962"/>
  <c r="A1949"/>
  <c r="A1964"/>
  <c r="A1948"/>
  <c r="A1951"/>
  <c r="A1958"/>
  <c r="A1939"/>
  <c r="A1945"/>
  <c r="A1898"/>
  <c r="A1863"/>
  <c r="A1895"/>
  <c r="A1892"/>
  <c r="A1878"/>
  <c r="A1879"/>
  <c r="A1967"/>
  <c r="A1959"/>
  <c r="A1954"/>
  <c r="A1921"/>
  <c r="A1920"/>
  <c r="A1912"/>
  <c r="A1930"/>
  <c r="A1923"/>
  <c r="A1886"/>
  <c r="A1931"/>
  <c r="A1907"/>
  <c r="A1946"/>
  <c r="A1933"/>
  <c r="A1947"/>
  <c r="A1950"/>
  <c r="A1913"/>
  <c r="A1911"/>
  <c r="A1870"/>
  <c r="B1830"/>
  <c r="B1832"/>
  <c r="B1833"/>
  <c r="B1841"/>
  <c r="B1831"/>
  <c r="B1837"/>
  <c r="B1839"/>
  <c r="L50" i="60"/>
  <c r="L51"/>
  <c r="B1852" i="34"/>
  <c r="B1850"/>
  <c r="G59" i="60"/>
  <c r="B1848" i="34"/>
  <c r="B1846"/>
  <c r="B1845"/>
  <c r="B1847"/>
  <c r="B1849"/>
  <c r="B1851"/>
  <c r="B1853"/>
  <c r="B1855"/>
  <c r="B1854"/>
  <c r="B1856"/>
  <c r="B1857"/>
  <c r="B1859"/>
  <c r="B1899"/>
  <c r="B1858"/>
  <c r="B1860"/>
  <c r="B1900"/>
  <c r="B1843"/>
  <c r="B1835"/>
  <c r="B1834"/>
  <c r="B1836"/>
  <c r="B1838"/>
  <c r="B1840"/>
  <c r="B1842"/>
  <c r="B1969"/>
  <c r="B1905"/>
  <c r="B1904"/>
  <c r="B1903"/>
  <c r="B1902"/>
  <c r="B1901"/>
  <c r="B1844"/>
  <c r="F7" i="60"/>
  <c r="F8"/>
  <c r="F9"/>
  <c r="F12"/>
  <c r="C12"/>
  <c r="C13"/>
  <c r="C7"/>
  <c r="C8"/>
  <c r="T52"/>
  <c r="T71"/>
  <c r="T94"/>
  <c r="T136"/>
  <c r="T167"/>
  <c r="T191"/>
  <c r="T209"/>
  <c r="T210"/>
  <c r="T234"/>
  <c r="T256"/>
  <c r="T257"/>
  <c r="S183"/>
  <c r="S184"/>
  <c r="S185"/>
  <c r="S186"/>
  <c r="S187"/>
  <c r="S188"/>
  <c r="S189"/>
  <c r="S182"/>
  <c r="F184"/>
  <c r="F165"/>
  <c r="F166"/>
  <c r="F146"/>
  <c r="F112"/>
  <c r="F113"/>
  <c r="F114"/>
  <c r="F115"/>
  <c r="F116"/>
  <c r="F117"/>
  <c r="F118"/>
  <c r="F119"/>
  <c r="F120"/>
  <c r="F121"/>
  <c r="F122"/>
  <c r="F123"/>
  <c r="F124"/>
  <c r="F125"/>
  <c r="F126"/>
  <c r="F127"/>
  <c r="F128"/>
  <c r="F129"/>
  <c r="F133"/>
  <c r="F134"/>
  <c r="F135"/>
  <c r="F87"/>
  <c r="F88"/>
  <c r="F89"/>
  <c r="F90"/>
  <c r="F92"/>
  <c r="F93"/>
  <c r="F86"/>
  <c r="F67"/>
  <c r="F69"/>
  <c r="F70"/>
  <c r="F47"/>
  <c r="F51"/>
  <c r="F46"/>
  <c r="F28"/>
  <c r="F13"/>
  <c r="F14"/>
  <c r="F15"/>
  <c r="F16"/>
  <c r="S164"/>
  <c r="S165"/>
  <c r="S166"/>
  <c r="C164"/>
  <c r="C165"/>
  <c r="C166"/>
  <c r="S162"/>
  <c r="S163"/>
  <c r="S161"/>
  <c r="S144"/>
  <c r="S145"/>
  <c r="S146"/>
  <c r="S147"/>
  <c r="T147" s="1"/>
  <c r="S143"/>
  <c r="S111"/>
  <c r="S112"/>
  <c r="S113"/>
  <c r="S114"/>
  <c r="S115"/>
  <c r="S116"/>
  <c r="S117"/>
  <c r="S127"/>
  <c r="S128"/>
  <c r="S129"/>
  <c r="S130"/>
  <c r="S131"/>
  <c r="S132"/>
  <c r="S133"/>
  <c r="S134"/>
  <c r="S135"/>
  <c r="S110"/>
  <c r="S87"/>
  <c r="S88"/>
  <c r="S89"/>
  <c r="S90"/>
  <c r="S91"/>
  <c r="S92"/>
  <c r="S93"/>
  <c r="S86"/>
  <c r="M66"/>
  <c r="O66"/>
  <c r="O68" s="1"/>
  <c r="S67"/>
  <c r="C67"/>
  <c r="A67"/>
  <c r="S69"/>
  <c r="S66"/>
  <c r="S68"/>
  <c r="S65"/>
  <c r="S46"/>
  <c r="S47"/>
  <c r="S50"/>
  <c r="S48"/>
  <c r="S29"/>
  <c r="S30"/>
  <c r="T30" s="1"/>
  <c r="S28"/>
  <c r="S7"/>
  <c r="S8"/>
  <c r="S9"/>
  <c r="S10"/>
  <c r="S11"/>
  <c r="S12"/>
  <c r="S6"/>
  <c r="Y67"/>
  <c r="Y68"/>
  <c r="Y69"/>
  <c r="Y70"/>
  <c r="Y71"/>
  <c r="Y147"/>
  <c r="Y148"/>
  <c r="Y149"/>
  <c r="W193"/>
  <c r="R1901" i="34" l="1"/>
  <c r="Q1901"/>
  <c r="S1901"/>
  <c r="R1905"/>
  <c r="Q1905"/>
  <c r="S1905"/>
  <c r="Q1842"/>
  <c r="S1842"/>
  <c r="R1842"/>
  <c r="Q1834"/>
  <c r="S1834"/>
  <c r="R1834"/>
  <c r="R1843"/>
  <c r="Q1843"/>
  <c r="S1843"/>
  <c r="Q1860"/>
  <c r="S1860"/>
  <c r="R1860"/>
  <c r="R1899"/>
  <c r="Q1899"/>
  <c r="S1899"/>
  <c r="R1857"/>
  <c r="Q1857"/>
  <c r="S1857"/>
  <c r="Q1854"/>
  <c r="S1854"/>
  <c r="R1854"/>
  <c r="R1903"/>
  <c r="Q1903"/>
  <c r="S1903"/>
  <c r="Q1838"/>
  <c r="S1838"/>
  <c r="R1838"/>
  <c r="R1853"/>
  <c r="Q1853"/>
  <c r="S1853"/>
  <c r="R1849"/>
  <c r="Q1849"/>
  <c r="S1849"/>
  <c r="R1845"/>
  <c r="Q1845"/>
  <c r="S1845"/>
  <c r="Q1848"/>
  <c r="S1848"/>
  <c r="R1848"/>
  <c r="Q1850"/>
  <c r="S1850"/>
  <c r="R1850"/>
  <c r="R1839"/>
  <c r="Q1839"/>
  <c r="S1839"/>
  <c r="R1831"/>
  <c r="Q1831"/>
  <c r="S1831"/>
  <c r="R1833"/>
  <c r="Q1833"/>
  <c r="S1833"/>
  <c r="Q1830"/>
  <c r="S1830"/>
  <c r="R1830"/>
  <c r="Q1844"/>
  <c r="S1844"/>
  <c r="R1844"/>
  <c r="Q1902"/>
  <c r="S1902"/>
  <c r="R1902"/>
  <c r="Q1904"/>
  <c r="S1904"/>
  <c r="R1904"/>
  <c r="R1969"/>
  <c r="Q1969"/>
  <c r="S1969"/>
  <c r="Q1840"/>
  <c r="S1840"/>
  <c r="R1840"/>
  <c r="Q1836"/>
  <c r="S1836"/>
  <c r="R1836"/>
  <c r="R1835"/>
  <c r="Q1835"/>
  <c r="S1835"/>
  <c r="Q1900"/>
  <c r="S1900"/>
  <c r="R1900"/>
  <c r="Q1858"/>
  <c r="S1858"/>
  <c r="R1858"/>
  <c r="R1859"/>
  <c r="Q1859"/>
  <c r="S1859"/>
  <c r="Q1856"/>
  <c r="S1856"/>
  <c r="R1856"/>
  <c r="R1855"/>
  <c r="Q1855"/>
  <c r="S1855"/>
  <c r="R1851"/>
  <c r="Q1851"/>
  <c r="S1851"/>
  <c r="R1847"/>
  <c r="Q1847"/>
  <c r="S1847"/>
  <c r="Q1846"/>
  <c r="S1846"/>
  <c r="R1846"/>
  <c r="Q1852"/>
  <c r="S1852"/>
  <c r="R1852"/>
  <c r="R1837"/>
  <c r="Q1837"/>
  <c r="S1837"/>
  <c r="R1841"/>
  <c r="Q1841"/>
  <c r="S1841"/>
  <c r="Q1832"/>
  <c r="S1832"/>
  <c r="R1832"/>
  <c r="A1905"/>
  <c r="A1899"/>
  <c r="A1831"/>
  <c r="A1902"/>
  <c r="A1855"/>
  <c r="A1838"/>
  <c r="A1854"/>
  <c r="A1969"/>
  <c r="A1847"/>
  <c r="A1903"/>
  <c r="A1842"/>
  <c r="A1834"/>
  <c r="A1860"/>
  <c r="A1857"/>
  <c r="A1853"/>
  <c r="A1845"/>
  <c r="A1850"/>
  <c r="A1839"/>
  <c r="A1833"/>
  <c r="A1901"/>
  <c r="A1843"/>
  <c r="A1849"/>
  <c r="A1830"/>
  <c r="A1836"/>
  <c r="A1900"/>
  <c r="A1859"/>
  <c r="A1841"/>
  <c r="A1844"/>
  <c r="A1904"/>
  <c r="A1840"/>
  <c r="A1835"/>
  <c r="A1858"/>
  <c r="A1856"/>
  <c r="A1851"/>
  <c r="A1846"/>
  <c r="A1852"/>
  <c r="A1837"/>
  <c r="A1832"/>
  <c r="A1848"/>
  <c r="E53" i="60"/>
  <c r="E18"/>
  <c r="E162"/>
  <c r="F162" s="1"/>
  <c r="E161"/>
  <c r="E182"/>
  <c r="F182" s="1"/>
  <c r="Y195"/>
  <c r="L185" s="1"/>
  <c r="Y196"/>
  <c r="Y197"/>
  <c r="L189" s="1"/>
  <c r="Y198"/>
  <c r="L190" s="1"/>
  <c r="Y199"/>
  <c r="C185"/>
  <c r="D186"/>
  <c r="G186" s="1"/>
  <c r="C187"/>
  <c r="D187" s="1"/>
  <c r="G187" s="1"/>
  <c r="C188"/>
  <c r="C189"/>
  <c r="D189" s="1"/>
  <c r="G189" s="1"/>
  <c r="C190"/>
  <c r="Y187"/>
  <c r="Y186"/>
  <c r="W192"/>
  <c r="Z223"/>
  <c r="C184"/>
  <c r="C183"/>
  <c r="C182"/>
  <c r="W171"/>
  <c r="W172"/>
  <c r="W170"/>
  <c r="C163"/>
  <c r="C161"/>
  <c r="Y123"/>
  <c r="C123"/>
  <c r="D123" s="1"/>
  <c r="G123" s="1"/>
  <c r="C144"/>
  <c r="D144" s="1"/>
  <c r="G144" s="1"/>
  <c r="C145"/>
  <c r="D145" s="1"/>
  <c r="G145" s="1"/>
  <c r="G29"/>
  <c r="C143"/>
  <c r="D143" s="1"/>
  <c r="G143" s="1"/>
  <c r="W153"/>
  <c r="C111"/>
  <c r="D111" s="1"/>
  <c r="G111" s="1"/>
  <c r="C112"/>
  <c r="C113"/>
  <c r="C114"/>
  <c r="C115"/>
  <c r="C116"/>
  <c r="C117"/>
  <c r="C118"/>
  <c r="C119"/>
  <c r="C120"/>
  <c r="C121"/>
  <c r="C122"/>
  <c r="C124"/>
  <c r="C125"/>
  <c r="C126"/>
  <c r="C127"/>
  <c r="D127" s="1"/>
  <c r="G127" s="1"/>
  <c r="C128"/>
  <c r="D128" s="1"/>
  <c r="G128" s="1"/>
  <c r="C129"/>
  <c r="D129" s="1"/>
  <c r="G129" s="1"/>
  <c r="C130"/>
  <c r="D130" s="1"/>
  <c r="G130" s="1"/>
  <c r="C131"/>
  <c r="D131" s="1"/>
  <c r="G131" s="1"/>
  <c r="C132"/>
  <c r="C133"/>
  <c r="C134"/>
  <c r="C135"/>
  <c r="C110"/>
  <c r="C87"/>
  <c r="C88"/>
  <c r="D88" s="1"/>
  <c r="G88" s="1"/>
  <c r="C89"/>
  <c r="D89" s="1"/>
  <c r="G89" s="1"/>
  <c r="C90"/>
  <c r="D90" s="1"/>
  <c r="G90" s="1"/>
  <c r="C91"/>
  <c r="D91" s="1"/>
  <c r="G91" s="1"/>
  <c r="C92"/>
  <c r="D92" s="1"/>
  <c r="G92" s="1"/>
  <c r="C93"/>
  <c r="D93" s="1"/>
  <c r="G93" s="1"/>
  <c r="C86"/>
  <c r="D86" s="1"/>
  <c r="C66"/>
  <c r="D66" s="1"/>
  <c r="G66" s="1"/>
  <c r="C69"/>
  <c r="D69" s="1"/>
  <c r="G69" s="1"/>
  <c r="C70"/>
  <c r="D70" s="1"/>
  <c r="G70" s="1"/>
  <c r="C65"/>
  <c r="C47"/>
  <c r="C48"/>
  <c r="D48" s="1"/>
  <c r="G48" s="1"/>
  <c r="C49"/>
  <c r="D49" s="1"/>
  <c r="G49" s="1"/>
  <c r="C50"/>
  <c r="D50" s="1"/>
  <c r="G50" s="1"/>
  <c r="C51"/>
  <c r="D51" s="1"/>
  <c r="G51" s="1"/>
  <c r="C46"/>
  <c r="D46" s="1"/>
  <c r="G46" s="1"/>
  <c r="C29"/>
  <c r="C28"/>
  <c r="C9"/>
  <c r="C14"/>
  <c r="C15"/>
  <c r="C16"/>
  <c r="Y127"/>
  <c r="L135" s="1"/>
  <c r="Y128"/>
  <c r="W120"/>
  <c r="F110"/>
  <c r="O110"/>
  <c r="W119" s="1"/>
  <c r="O112"/>
  <c r="W96"/>
  <c r="O95"/>
  <c r="E95"/>
  <c r="M72"/>
  <c r="E72"/>
  <c r="F65"/>
  <c r="W55"/>
  <c r="A47"/>
  <c r="A48" s="1"/>
  <c r="A49" s="1"/>
  <c r="A50" s="1"/>
  <c r="A51" s="1"/>
  <c r="O47"/>
  <c r="W75"/>
  <c r="W76"/>
  <c r="O65"/>
  <c r="F77"/>
  <c r="E77"/>
  <c r="G76"/>
  <c r="G75"/>
  <c r="Y57"/>
  <c r="L48" s="1"/>
  <c r="A66"/>
  <c r="M53"/>
  <c r="B1445" i="34"/>
  <c r="B1444"/>
  <c r="B1443"/>
  <c r="B1442"/>
  <c r="B1441"/>
  <c r="B1440"/>
  <c r="B1439"/>
  <c r="B1438"/>
  <c r="B1437"/>
  <c r="B1373"/>
  <c r="B1372"/>
  <c r="B1371"/>
  <c r="B1370"/>
  <c r="B1369"/>
  <c r="R1371" l="1"/>
  <c r="Q1371"/>
  <c r="S1371"/>
  <c r="R1373"/>
  <c r="Q1373"/>
  <c r="S1373"/>
  <c r="Q1438"/>
  <c r="S1438"/>
  <c r="R1438"/>
  <c r="Q1440"/>
  <c r="S1440"/>
  <c r="R1440"/>
  <c r="Q1442"/>
  <c r="S1442"/>
  <c r="R1442"/>
  <c r="Q1444"/>
  <c r="S1444"/>
  <c r="R1444"/>
  <c r="R1369"/>
  <c r="Q1369"/>
  <c r="S1369"/>
  <c r="Q1370"/>
  <c r="S1370"/>
  <c r="R1370"/>
  <c r="Q1372"/>
  <c r="S1372"/>
  <c r="R1372"/>
  <c r="R1437"/>
  <c r="Q1437"/>
  <c r="S1437"/>
  <c r="R1439"/>
  <c r="Q1439"/>
  <c r="S1439"/>
  <c r="R1441"/>
  <c r="Q1441"/>
  <c r="S1441"/>
  <c r="R1443"/>
  <c r="Q1443"/>
  <c r="S1443"/>
  <c r="R1445"/>
  <c r="Q1445"/>
  <c r="S1445"/>
  <c r="L186" i="60"/>
  <c r="L187"/>
  <c r="L188"/>
  <c r="A1372" i="34"/>
  <c r="A1437"/>
  <c r="A1439"/>
  <c r="A1441"/>
  <c r="A1443"/>
  <c r="A1445"/>
  <c r="A1369"/>
  <c r="A1371"/>
  <c r="A1373"/>
  <c r="A1438"/>
  <c r="A1440"/>
  <c r="A1442"/>
  <c r="A1444"/>
  <c r="A1370"/>
  <c r="B1382"/>
  <c r="B1415"/>
  <c r="B1349"/>
  <c r="B1432"/>
  <c r="B1433"/>
  <c r="B1351"/>
  <c r="B1359"/>
  <c r="B1354"/>
  <c r="B1364"/>
  <c r="B1420"/>
  <c r="B1421"/>
  <c r="B1366"/>
  <c r="B1357"/>
  <c r="B1411"/>
  <c r="B1410"/>
  <c r="B1424"/>
  <c r="B1378"/>
  <c r="B1356"/>
  <c r="B1361"/>
  <c r="Y55" i="60"/>
  <c r="L131"/>
  <c r="L132"/>
  <c r="E168"/>
  <c r="F161"/>
  <c r="W74"/>
  <c r="W81" s="1"/>
  <c r="B1348" i="34"/>
  <c r="B1355"/>
  <c r="B1365"/>
  <c r="B1360"/>
  <c r="W177" i="60"/>
  <c r="W200"/>
  <c r="D112"/>
  <c r="D47"/>
  <c r="W121"/>
  <c r="W130" s="1"/>
  <c r="B1350" i="34"/>
  <c r="B1377"/>
  <c r="B1426"/>
  <c r="B1363"/>
  <c r="B1423"/>
  <c r="B1425"/>
  <c r="B1422"/>
  <c r="B1401"/>
  <c r="W56" i="60"/>
  <c r="Y56" s="1"/>
  <c r="L47" s="1"/>
  <c r="O72"/>
  <c r="O74" s="1"/>
  <c r="O53"/>
  <c r="B1395" i="34"/>
  <c r="B1367"/>
  <c r="B1379"/>
  <c r="B1418"/>
  <c r="B1400"/>
  <c r="B1427"/>
  <c r="B1416"/>
  <c r="B1409"/>
  <c r="B1396"/>
  <c r="B1399"/>
  <c r="B1393"/>
  <c r="B1380"/>
  <c r="R1393" l="1"/>
  <c r="Q1393"/>
  <c r="S1393"/>
  <c r="Q1396"/>
  <c r="S1396"/>
  <c r="R1396"/>
  <c r="Q1416"/>
  <c r="S1416"/>
  <c r="R1416"/>
  <c r="Q1400"/>
  <c r="S1400"/>
  <c r="R1400"/>
  <c r="R1379"/>
  <c r="Q1379"/>
  <c r="S1379"/>
  <c r="R1395"/>
  <c r="Q1395"/>
  <c r="S1395"/>
  <c r="R1401"/>
  <c r="Q1401"/>
  <c r="S1401"/>
  <c r="R1425"/>
  <c r="Q1425"/>
  <c r="S1425"/>
  <c r="R1363"/>
  <c r="Q1363"/>
  <c r="S1363"/>
  <c r="R1377"/>
  <c r="Q1377"/>
  <c r="S1377"/>
  <c r="R1365"/>
  <c r="Q1365"/>
  <c r="S1365"/>
  <c r="Q1348"/>
  <c r="S1348"/>
  <c r="R1348"/>
  <c r="Q1356"/>
  <c r="S1356"/>
  <c r="R1356"/>
  <c r="Q1424"/>
  <c r="S1424"/>
  <c r="R1424"/>
  <c r="R1411"/>
  <c r="Q1411"/>
  <c r="S1411"/>
  <c r="Q1366"/>
  <c r="S1366"/>
  <c r="R1366"/>
  <c r="Q1420"/>
  <c r="S1420"/>
  <c r="R1420"/>
  <c r="Q1354"/>
  <c r="S1354"/>
  <c r="R1354"/>
  <c r="R1351"/>
  <c r="Q1351"/>
  <c r="S1351"/>
  <c r="Q1432"/>
  <c r="S1432"/>
  <c r="R1432"/>
  <c r="R1415"/>
  <c r="Q1415"/>
  <c r="S1415"/>
  <c r="Q1380"/>
  <c r="S1380"/>
  <c r="R1380"/>
  <c r="R1399"/>
  <c r="Q1399"/>
  <c r="S1399"/>
  <c r="R1409"/>
  <c r="Q1409"/>
  <c r="S1409"/>
  <c r="R1427"/>
  <c r="Q1427"/>
  <c r="S1427"/>
  <c r="Q1418"/>
  <c r="S1418"/>
  <c r="R1418"/>
  <c r="R1367"/>
  <c r="Q1367"/>
  <c r="S1367"/>
  <c r="Q1422"/>
  <c r="S1422"/>
  <c r="R1422"/>
  <c r="R1423"/>
  <c r="Q1423"/>
  <c r="S1423"/>
  <c r="Q1426"/>
  <c r="S1426"/>
  <c r="R1426"/>
  <c r="Q1350"/>
  <c r="S1350"/>
  <c r="R1350"/>
  <c r="Q1360"/>
  <c r="S1360"/>
  <c r="R1360"/>
  <c r="R1355"/>
  <c r="Q1355"/>
  <c r="S1355"/>
  <c r="R1361"/>
  <c r="Q1361"/>
  <c r="S1361"/>
  <c r="Q1378"/>
  <c r="S1378"/>
  <c r="R1378"/>
  <c r="Q1410"/>
  <c r="S1410"/>
  <c r="R1410"/>
  <c r="R1357"/>
  <c r="Q1357"/>
  <c r="S1357"/>
  <c r="R1421"/>
  <c r="Q1421"/>
  <c r="S1421"/>
  <c r="Q1364"/>
  <c r="S1364"/>
  <c r="R1364"/>
  <c r="R1359"/>
  <c r="Q1359"/>
  <c r="S1359"/>
  <c r="R1433"/>
  <c r="Q1433"/>
  <c r="S1433"/>
  <c r="R1349"/>
  <c r="Q1349"/>
  <c r="S1349"/>
  <c r="Q1382"/>
  <c r="S1382"/>
  <c r="R1382"/>
  <c r="A1396"/>
  <c r="A1401"/>
  <c r="A1348"/>
  <c r="A1411"/>
  <c r="A1351"/>
  <c r="A1380"/>
  <c r="A1409"/>
  <c r="A1418"/>
  <c r="A1426"/>
  <c r="A1360"/>
  <c r="A1378"/>
  <c r="A1357"/>
  <c r="A1433"/>
  <c r="A1382"/>
  <c r="A1393"/>
  <c r="A1416"/>
  <c r="A1379"/>
  <c r="A1425"/>
  <c r="A1377"/>
  <c r="A1365"/>
  <c r="A1424"/>
  <c r="A1366"/>
  <c r="A1354"/>
  <c r="A1432"/>
  <c r="A1399"/>
  <c r="A1427"/>
  <c r="A1367"/>
  <c r="A1423"/>
  <c r="A1350"/>
  <c r="A1355"/>
  <c r="A1361"/>
  <c r="A1410"/>
  <c r="A1421"/>
  <c r="A1359"/>
  <c r="A1349"/>
  <c r="A1395"/>
  <c r="A1415"/>
  <c r="A1400"/>
  <c r="A1363"/>
  <c r="A1356"/>
  <c r="A1420"/>
  <c r="A1422"/>
  <c r="A1364"/>
  <c r="W60" i="60"/>
  <c r="L46"/>
  <c r="Y60"/>
  <c r="D67"/>
  <c r="G47"/>
  <c r="G53" s="1"/>
  <c r="D53"/>
  <c r="J48" s="1"/>
  <c r="G112"/>
  <c r="B1346" i="34"/>
  <c r="B1345"/>
  <c r="B1344"/>
  <c r="B1343"/>
  <c r="B1342"/>
  <c r="B1316"/>
  <c r="B1315"/>
  <c r="W38" i="60"/>
  <c r="W39"/>
  <c r="Q1316" i="34" l="1"/>
  <c r="S1316"/>
  <c r="R1316"/>
  <c r="R1343"/>
  <c r="Q1343"/>
  <c r="S1343"/>
  <c r="R1345"/>
  <c r="Q1345"/>
  <c r="S1345"/>
  <c r="R1315"/>
  <c r="Q1315"/>
  <c r="S1315"/>
  <c r="Q1342"/>
  <c r="S1342"/>
  <c r="R1342"/>
  <c r="Q1344"/>
  <c r="S1344"/>
  <c r="R1344"/>
  <c r="Q1346"/>
  <c r="S1346"/>
  <c r="R1346"/>
  <c r="A1343"/>
  <c r="A1315"/>
  <c r="A1344"/>
  <c r="A1316"/>
  <c r="A1345"/>
  <c r="A1342"/>
  <c r="A1346"/>
  <c r="B1310"/>
  <c r="B1277"/>
  <c r="B1292"/>
  <c r="B1280"/>
  <c r="B1294"/>
  <c r="B1298"/>
  <c r="B1304"/>
  <c r="B1269"/>
  <c r="B1279"/>
  <c r="B1307"/>
  <c r="G67" i="60"/>
  <c r="H46"/>
  <c r="N46" s="1"/>
  <c r="P46" s="1"/>
  <c r="T46" s="1"/>
  <c r="K51"/>
  <c r="K47"/>
  <c r="K48"/>
  <c r="H50"/>
  <c r="K49"/>
  <c r="H51"/>
  <c r="J49"/>
  <c r="J50"/>
  <c r="J51"/>
  <c r="K50"/>
  <c r="H49"/>
  <c r="H47"/>
  <c r="H48"/>
  <c r="J47"/>
  <c r="Y38"/>
  <c r="W41"/>
  <c r="B1311" i="34"/>
  <c r="B1296"/>
  <c r="B1309"/>
  <c r="B1299"/>
  <c r="B1305"/>
  <c r="B1293"/>
  <c r="B1283"/>
  <c r="B1261"/>
  <c r="B1276"/>
  <c r="B1259"/>
  <c r="B1256"/>
  <c r="B1258"/>
  <c r="B1262"/>
  <c r="B1260"/>
  <c r="B1257"/>
  <c r="Y206" i="60"/>
  <c r="Y207"/>
  <c r="Y208"/>
  <c r="Y209"/>
  <c r="Y210"/>
  <c r="Y211"/>
  <c r="R1257" i="34" l="1"/>
  <c r="Q1257"/>
  <c r="S1257"/>
  <c r="Q1262"/>
  <c r="S1262"/>
  <c r="R1262"/>
  <c r="Q1256"/>
  <c r="S1256"/>
  <c r="R1256"/>
  <c r="Q1276"/>
  <c r="S1276"/>
  <c r="R1276"/>
  <c r="R1283"/>
  <c r="Q1283"/>
  <c r="S1283"/>
  <c r="R1305"/>
  <c r="Q1305"/>
  <c r="S1305"/>
  <c r="R1309"/>
  <c r="Q1309"/>
  <c r="S1309"/>
  <c r="R1311"/>
  <c r="Q1311"/>
  <c r="S1311"/>
  <c r="R1279"/>
  <c r="Q1279"/>
  <c r="S1279"/>
  <c r="Q1304"/>
  <c r="S1304"/>
  <c r="R1304"/>
  <c r="Q1294"/>
  <c r="S1294"/>
  <c r="R1294"/>
  <c r="Q1292"/>
  <c r="S1292"/>
  <c r="R1292"/>
  <c r="Q1310"/>
  <c r="S1310"/>
  <c r="R1310"/>
  <c r="Q1260"/>
  <c r="S1260"/>
  <c r="R1260"/>
  <c r="Q1258"/>
  <c r="S1258"/>
  <c r="R1258"/>
  <c r="R1259"/>
  <c r="Q1259"/>
  <c r="S1259"/>
  <c r="R1261"/>
  <c r="Q1261"/>
  <c r="S1261"/>
  <c r="R1293"/>
  <c r="Q1293"/>
  <c r="S1293"/>
  <c r="R1299"/>
  <c r="Q1299"/>
  <c r="S1299"/>
  <c r="Q1296"/>
  <c r="S1296"/>
  <c r="R1296"/>
  <c r="R1307"/>
  <c r="Q1307"/>
  <c r="S1307"/>
  <c r="R1269"/>
  <c r="Q1269"/>
  <c r="S1269"/>
  <c r="Q1298"/>
  <c r="S1298"/>
  <c r="R1298"/>
  <c r="Q1280"/>
  <c r="S1280"/>
  <c r="R1280"/>
  <c r="R1277"/>
  <c r="Q1277"/>
  <c r="S1277"/>
  <c r="G49" i="55" a="1"/>
  <c r="G49" s="1"/>
  <c r="G48" a="1"/>
  <c r="G48" s="1"/>
  <c r="I49" a="1"/>
  <c r="I49" s="1"/>
  <c r="I48" a="1"/>
  <c r="I48" s="1"/>
  <c r="A1259" i="34"/>
  <c r="A1262"/>
  <c r="A1305"/>
  <c r="A1307"/>
  <c r="A1258"/>
  <c r="A1261"/>
  <c r="A1311"/>
  <c r="A1279"/>
  <c r="A1294"/>
  <c r="A1257"/>
  <c r="A1256"/>
  <c r="A1283"/>
  <c r="A1309"/>
  <c r="A1269"/>
  <c r="A1280"/>
  <c r="A1304"/>
  <c r="A1260"/>
  <c r="A1277"/>
  <c r="A1293"/>
  <c r="A1292"/>
  <c r="A1276"/>
  <c r="A1296"/>
  <c r="A1298"/>
  <c r="A1299"/>
  <c r="A1310"/>
  <c r="I85" i="55" a="1"/>
  <c r="I85" s="1"/>
  <c r="G85" a="1"/>
  <c r="G85" s="1"/>
  <c r="Y120" i="60"/>
  <c r="L111" s="1"/>
  <c r="Y121"/>
  <c r="L112" s="1"/>
  <c r="Y122"/>
  <c r="Y124"/>
  <c r="Y125"/>
  <c r="Y126"/>
  <c r="L134" s="1"/>
  <c r="Y129"/>
  <c r="Y111"/>
  <c r="Y112"/>
  <c r="Y113"/>
  <c r="Y114"/>
  <c r="Y115"/>
  <c r="Y116"/>
  <c r="Y98"/>
  <c r="Y100"/>
  <c r="Y101"/>
  <c r="Y102"/>
  <c r="L92" s="1"/>
  <c r="Y103"/>
  <c r="L93" s="1"/>
  <c r="Y95"/>
  <c r="Y96"/>
  <c r="W105"/>
  <c r="Y88"/>
  <c r="Y89"/>
  <c r="Y90"/>
  <c r="Y91"/>
  <c r="Y92"/>
  <c r="Y75"/>
  <c r="Y76"/>
  <c r="L68" s="1"/>
  <c r="Y77"/>
  <c r="L67" s="1"/>
  <c r="Y78"/>
  <c r="L69" s="1"/>
  <c r="Y79"/>
  <c r="L70" s="1"/>
  <c r="Y80"/>
  <c r="Y47"/>
  <c r="Y48"/>
  <c r="Y49"/>
  <c r="Y50"/>
  <c r="Y51"/>
  <c r="Y52"/>
  <c r="K49" i="55" l="1"/>
  <c r="K48"/>
  <c r="K85"/>
  <c r="L113" i="60"/>
  <c r="L120"/>
  <c r="L124"/>
  <c r="L128"/>
  <c r="L117"/>
  <c r="L121"/>
  <c r="L125"/>
  <c r="L129"/>
  <c r="L114"/>
  <c r="L118"/>
  <c r="L122"/>
  <c r="L126"/>
  <c r="L130"/>
  <c r="L115"/>
  <c r="L119"/>
  <c r="L123"/>
  <c r="L127"/>
  <c r="L116"/>
  <c r="L91"/>
  <c r="L133"/>
  <c r="L89"/>
  <c r="L88"/>
  <c r="L66"/>
  <c r="L86"/>
  <c r="B1254" i="34"/>
  <c r="B1231"/>
  <c r="D6" i="60"/>
  <c r="Q1254" i="34" l="1"/>
  <c r="S1254"/>
  <c r="R1254"/>
  <c r="R1231"/>
  <c r="Q1231"/>
  <c r="S1231"/>
  <c r="A1231"/>
  <c r="A1254"/>
  <c r="B1230"/>
  <c r="B1229"/>
  <c r="B1228"/>
  <c r="B1253"/>
  <c r="R1253" l="1"/>
  <c r="Q1253"/>
  <c r="S1253"/>
  <c r="R1229"/>
  <c r="Q1229"/>
  <c r="S1229"/>
  <c r="Q1228"/>
  <c r="S1228"/>
  <c r="R1228"/>
  <c r="Q1230"/>
  <c r="S1230"/>
  <c r="R1230"/>
  <c r="A1229"/>
  <c r="A1253"/>
  <c r="A1230"/>
  <c r="A1228"/>
  <c r="B76" i="55"/>
  <c r="B77" s="1"/>
  <c r="B78" s="1"/>
  <c r="B79" s="1"/>
  <c r="B80" s="1"/>
  <c r="B81" s="1"/>
  <c r="B82" s="1"/>
  <c r="B83" s="1"/>
  <c r="B84" s="1"/>
  <c r="B85" s="1"/>
  <c r="B86" s="1"/>
  <c r="B87" s="1"/>
  <c r="B88" s="1"/>
  <c r="B108"/>
  <c r="N82"/>
  <c r="B1458" i="34"/>
  <c r="B1457"/>
  <c r="B1456"/>
  <c r="B1455"/>
  <c r="B1454"/>
  <c r="B1453"/>
  <c r="B1452"/>
  <c r="B1451"/>
  <c r="B1450"/>
  <c r="B1449"/>
  <c r="B1448"/>
  <c r="B1447"/>
  <c r="B1446"/>
  <c r="B1436"/>
  <c r="B1435"/>
  <c r="B1434"/>
  <c r="B1431"/>
  <c r="B1430"/>
  <c r="B1429"/>
  <c r="B1428"/>
  <c r="B1419"/>
  <c r="B1417"/>
  <c r="B1414"/>
  <c r="B1413"/>
  <c r="B1412"/>
  <c r="B1408"/>
  <c r="B1407"/>
  <c r="B1406"/>
  <c r="B1405"/>
  <c r="B1404"/>
  <c r="B1403"/>
  <c r="B1402"/>
  <c r="B1398"/>
  <c r="B1397"/>
  <c r="B1394"/>
  <c r="B1392"/>
  <c r="B1391"/>
  <c r="B1390"/>
  <c r="B1389"/>
  <c r="B1388"/>
  <c r="B1387"/>
  <c r="B1386"/>
  <c r="B1385"/>
  <c r="B1384"/>
  <c r="B1383"/>
  <c r="B1381"/>
  <c r="B1376"/>
  <c r="B1375"/>
  <c r="B1374"/>
  <c r="B1368"/>
  <c r="B1362"/>
  <c r="B1358"/>
  <c r="B1353"/>
  <c r="B1352"/>
  <c r="B1347"/>
  <c r="B1341"/>
  <c r="B1340"/>
  <c r="B1339"/>
  <c r="B1338"/>
  <c r="B1337"/>
  <c r="B1336"/>
  <c r="B1335"/>
  <c r="B1334"/>
  <c r="B1333"/>
  <c r="B1332"/>
  <c r="B1331"/>
  <c r="B1330"/>
  <c r="B1329"/>
  <c r="B1328"/>
  <c r="B1327"/>
  <c r="B1326"/>
  <c r="B1325"/>
  <c r="B1324"/>
  <c r="B1323"/>
  <c r="B1322"/>
  <c r="B1321"/>
  <c r="B1320"/>
  <c r="B1319"/>
  <c r="B1318"/>
  <c r="B1317"/>
  <c r="B1314"/>
  <c r="B1313"/>
  <c r="B1312"/>
  <c r="B1308"/>
  <c r="B1306"/>
  <c r="B1303"/>
  <c r="B1302"/>
  <c r="B1301"/>
  <c r="B1300"/>
  <c r="B1297"/>
  <c r="B1295"/>
  <c r="B1291"/>
  <c r="B1290"/>
  <c r="B1289"/>
  <c r="B1288"/>
  <c r="B1287"/>
  <c r="B1286"/>
  <c r="B1285"/>
  <c r="B1284"/>
  <c r="B1282"/>
  <c r="B1281"/>
  <c r="B1278"/>
  <c r="B1275"/>
  <c r="B1274"/>
  <c r="B1273"/>
  <c r="B1272"/>
  <c r="B1271"/>
  <c r="B1270"/>
  <c r="B1268"/>
  <c r="B1267"/>
  <c r="B1266"/>
  <c r="B1265"/>
  <c r="B1264"/>
  <c r="B1263"/>
  <c r="B1255"/>
  <c r="B1251"/>
  <c r="B1250"/>
  <c r="B1249"/>
  <c r="B1248"/>
  <c r="B1247"/>
  <c r="B1246"/>
  <c r="B1245"/>
  <c r="B1244"/>
  <c r="B1243"/>
  <c r="B1242"/>
  <c r="B1241"/>
  <c r="B1240"/>
  <c r="B1239"/>
  <c r="B1238"/>
  <c r="B1237"/>
  <c r="B1236"/>
  <c r="B1235"/>
  <c r="B1234"/>
  <c r="B1233"/>
  <c r="Q1234" l="1"/>
  <c r="S1234"/>
  <c r="R1234"/>
  <c r="Q1238"/>
  <c r="S1238"/>
  <c r="R1238"/>
  <c r="Q1242"/>
  <c r="S1242"/>
  <c r="R1242"/>
  <c r="Q1244"/>
  <c r="S1244"/>
  <c r="R1244"/>
  <c r="Q1248"/>
  <c r="S1248"/>
  <c r="R1248"/>
  <c r="Q1264"/>
  <c r="S1264"/>
  <c r="R1264"/>
  <c r="Q1268"/>
  <c r="S1268"/>
  <c r="R1268"/>
  <c r="R1273"/>
  <c r="Q1273"/>
  <c r="S1273"/>
  <c r="R1281"/>
  <c r="Q1281"/>
  <c r="S1281"/>
  <c r="R1233"/>
  <c r="Q1233"/>
  <c r="S1233"/>
  <c r="R1235"/>
  <c r="Q1235"/>
  <c r="S1235"/>
  <c r="R1237"/>
  <c r="Q1237"/>
  <c r="S1237"/>
  <c r="R1239"/>
  <c r="Q1239"/>
  <c r="S1239"/>
  <c r="R1241"/>
  <c r="Q1241"/>
  <c r="S1241"/>
  <c r="R1243"/>
  <c r="Q1243"/>
  <c r="S1243"/>
  <c r="R1245"/>
  <c r="Q1245"/>
  <c r="S1245"/>
  <c r="R1247"/>
  <c r="Q1247"/>
  <c r="S1247"/>
  <c r="R1249"/>
  <c r="Q1249"/>
  <c r="S1249"/>
  <c r="R1251"/>
  <c r="Q1251"/>
  <c r="S1251"/>
  <c r="R1263"/>
  <c r="Q1263"/>
  <c r="S1263"/>
  <c r="R1265"/>
  <c r="Q1265"/>
  <c r="S1265"/>
  <c r="R1267"/>
  <c r="Q1267"/>
  <c r="S1267"/>
  <c r="Q1270"/>
  <c r="S1270"/>
  <c r="R1270"/>
  <c r="Q1272"/>
  <c r="S1272"/>
  <c r="R1272"/>
  <c r="Q1274"/>
  <c r="S1274"/>
  <c r="R1274"/>
  <c r="Q1278"/>
  <c r="S1278"/>
  <c r="R1278"/>
  <c r="Q1282"/>
  <c r="S1282"/>
  <c r="R1282"/>
  <c r="R1285"/>
  <c r="Q1285"/>
  <c r="S1285"/>
  <c r="R1287"/>
  <c r="Q1287"/>
  <c r="S1287"/>
  <c r="R1289"/>
  <c r="Q1289"/>
  <c r="S1289"/>
  <c r="R1291"/>
  <c r="Q1291"/>
  <c r="S1291"/>
  <c r="R1297"/>
  <c r="Q1297"/>
  <c r="S1297"/>
  <c r="R1301"/>
  <c r="Q1301"/>
  <c r="S1301"/>
  <c r="R1303"/>
  <c r="Q1303"/>
  <c r="S1303"/>
  <c r="Q1308"/>
  <c r="S1308"/>
  <c r="R1308"/>
  <c r="R1313"/>
  <c r="Q1313"/>
  <c r="S1313"/>
  <c r="R1317"/>
  <c r="Q1317"/>
  <c r="S1317"/>
  <c r="R1319"/>
  <c r="Q1319"/>
  <c r="S1319"/>
  <c r="R1321"/>
  <c r="Q1321"/>
  <c r="S1321"/>
  <c r="R1323"/>
  <c r="Q1323"/>
  <c r="S1323"/>
  <c r="R1325"/>
  <c r="Q1325"/>
  <c r="S1325"/>
  <c r="R1327"/>
  <c r="Q1327"/>
  <c r="S1327"/>
  <c r="R1329"/>
  <c r="Q1329"/>
  <c r="S1329"/>
  <c r="R1331"/>
  <c r="Q1331"/>
  <c r="S1331"/>
  <c r="R1333"/>
  <c r="Q1333"/>
  <c r="S1333"/>
  <c r="R1335"/>
  <c r="Q1335"/>
  <c r="S1335"/>
  <c r="R1337"/>
  <c r="Q1337"/>
  <c r="S1337"/>
  <c r="R1339"/>
  <c r="Q1339"/>
  <c r="S1339"/>
  <c r="R1341"/>
  <c r="Q1341"/>
  <c r="S1341"/>
  <c r="Q1352"/>
  <c r="S1352"/>
  <c r="R1352"/>
  <c r="Q1358"/>
  <c r="S1358"/>
  <c r="R1358"/>
  <c r="Q1368"/>
  <c r="S1368"/>
  <c r="R1368"/>
  <c r="R1375"/>
  <c r="Q1375"/>
  <c r="S1375"/>
  <c r="R1381"/>
  <c r="Q1381"/>
  <c r="S1381"/>
  <c r="Q1384"/>
  <c r="S1384"/>
  <c r="R1384"/>
  <c r="Q1386"/>
  <c r="S1386"/>
  <c r="R1386"/>
  <c r="Q1388"/>
  <c r="S1388"/>
  <c r="R1388"/>
  <c r="Q1390"/>
  <c r="S1390"/>
  <c r="R1390"/>
  <c r="Q1392"/>
  <c r="S1392"/>
  <c r="R1392"/>
  <c r="R1397"/>
  <c r="Q1397"/>
  <c r="S1397"/>
  <c r="Q1402"/>
  <c r="S1402"/>
  <c r="R1402"/>
  <c r="Q1404"/>
  <c r="S1404"/>
  <c r="R1404"/>
  <c r="Q1406"/>
  <c r="S1406"/>
  <c r="R1406"/>
  <c r="Q1408"/>
  <c r="S1408"/>
  <c r="R1408"/>
  <c r="R1413"/>
  <c r="Q1413"/>
  <c r="S1413"/>
  <c r="R1417"/>
  <c r="Q1417"/>
  <c r="S1417"/>
  <c r="Q1428"/>
  <c r="S1428"/>
  <c r="R1428"/>
  <c r="Q1430"/>
  <c r="S1430"/>
  <c r="R1430"/>
  <c r="Q1434"/>
  <c r="S1434"/>
  <c r="R1434"/>
  <c r="Q1436"/>
  <c r="S1436"/>
  <c r="R1436"/>
  <c r="R1447"/>
  <c r="Q1447"/>
  <c r="S1447"/>
  <c r="R1449"/>
  <c r="Q1449"/>
  <c r="S1449"/>
  <c r="R1451"/>
  <c r="Q1451"/>
  <c r="S1451"/>
  <c r="R1453"/>
  <c r="Q1453"/>
  <c r="S1453"/>
  <c r="R1455"/>
  <c r="Q1455"/>
  <c r="S1455"/>
  <c r="R1457"/>
  <c r="Q1457"/>
  <c r="S1457"/>
  <c r="Q1236"/>
  <c r="S1236"/>
  <c r="R1236"/>
  <c r="Q1240"/>
  <c r="S1240"/>
  <c r="R1240"/>
  <c r="Q1246"/>
  <c r="S1246"/>
  <c r="R1246"/>
  <c r="Q1250"/>
  <c r="S1250"/>
  <c r="R1250"/>
  <c r="R1255"/>
  <c r="Q1255"/>
  <c r="S1255"/>
  <c r="Q1266"/>
  <c r="S1266"/>
  <c r="R1266"/>
  <c r="R1271"/>
  <c r="Q1271"/>
  <c r="S1271"/>
  <c r="R1275"/>
  <c r="Q1275"/>
  <c r="S1275"/>
  <c r="Q1284"/>
  <c r="S1284"/>
  <c r="R1284"/>
  <c r="Q1286"/>
  <c r="S1286"/>
  <c r="R1286"/>
  <c r="Q1288"/>
  <c r="S1288"/>
  <c r="R1288"/>
  <c r="Q1290"/>
  <c r="S1290"/>
  <c r="R1290"/>
  <c r="R1295"/>
  <c r="Q1295"/>
  <c r="S1295"/>
  <c r="Q1300"/>
  <c r="S1300"/>
  <c r="R1300"/>
  <c r="Q1302"/>
  <c r="S1302"/>
  <c r="R1302"/>
  <c r="Q1306"/>
  <c r="S1306"/>
  <c r="R1306"/>
  <c r="Q1312"/>
  <c r="S1312"/>
  <c r="R1312"/>
  <c r="Q1314"/>
  <c r="S1314"/>
  <c r="R1314"/>
  <c r="Q1318"/>
  <c r="S1318"/>
  <c r="R1318"/>
  <c r="Q1320"/>
  <c r="S1320"/>
  <c r="R1320"/>
  <c r="Q1322"/>
  <c r="S1322"/>
  <c r="R1322"/>
  <c r="Q1324"/>
  <c r="S1324"/>
  <c r="R1324"/>
  <c r="Q1326"/>
  <c r="S1326"/>
  <c r="R1326"/>
  <c r="Q1328"/>
  <c r="S1328"/>
  <c r="R1328"/>
  <c r="Q1330"/>
  <c r="S1330"/>
  <c r="R1330"/>
  <c r="Q1332"/>
  <c r="S1332"/>
  <c r="R1332"/>
  <c r="Q1334"/>
  <c r="S1334"/>
  <c r="R1334"/>
  <c r="Q1336"/>
  <c r="S1336"/>
  <c r="R1336"/>
  <c r="Q1338"/>
  <c r="S1338"/>
  <c r="R1338"/>
  <c r="Q1340"/>
  <c r="S1340"/>
  <c r="R1340"/>
  <c r="R1347"/>
  <c r="Q1347"/>
  <c r="S1347"/>
  <c r="R1353"/>
  <c r="Q1353"/>
  <c r="S1353"/>
  <c r="Q1362"/>
  <c r="S1362"/>
  <c r="R1362"/>
  <c r="Q1374"/>
  <c r="S1374"/>
  <c r="R1374"/>
  <c r="Q1376"/>
  <c r="S1376"/>
  <c r="R1376"/>
  <c r="R1383"/>
  <c r="Q1383"/>
  <c r="S1383"/>
  <c r="R1385"/>
  <c r="Q1385"/>
  <c r="S1385"/>
  <c r="R1387"/>
  <c r="Q1387"/>
  <c r="S1387"/>
  <c r="R1389"/>
  <c r="Q1389"/>
  <c r="S1389"/>
  <c r="R1391"/>
  <c r="Q1391"/>
  <c r="S1391"/>
  <c r="Q1394"/>
  <c r="S1394"/>
  <c r="R1394"/>
  <c r="Q1398"/>
  <c r="S1398"/>
  <c r="R1398"/>
  <c r="R1403"/>
  <c r="Q1403"/>
  <c r="S1403"/>
  <c r="R1405"/>
  <c r="Q1405"/>
  <c r="S1405"/>
  <c r="R1407"/>
  <c r="Q1407"/>
  <c r="S1407"/>
  <c r="Q1412"/>
  <c r="S1412"/>
  <c r="R1412"/>
  <c r="Q1414"/>
  <c r="S1414"/>
  <c r="R1414"/>
  <c r="R1419"/>
  <c r="Q1419"/>
  <c r="S1419"/>
  <c r="R1429"/>
  <c r="Q1429"/>
  <c r="S1429"/>
  <c r="R1431"/>
  <c r="Q1431"/>
  <c r="S1431"/>
  <c r="R1435"/>
  <c r="Q1435"/>
  <c r="S1435"/>
  <c r="Q1446"/>
  <c r="S1446"/>
  <c r="R1446"/>
  <c r="Q1448"/>
  <c r="S1448"/>
  <c r="R1448"/>
  <c r="Q1450"/>
  <c r="S1450"/>
  <c r="R1450"/>
  <c r="Q1452"/>
  <c r="S1452"/>
  <c r="R1452"/>
  <c r="Q1454"/>
  <c r="S1454"/>
  <c r="R1454"/>
  <c r="Q1456"/>
  <c r="S1456"/>
  <c r="R1456"/>
  <c r="Q1458"/>
  <c r="S1458"/>
  <c r="R1458"/>
  <c r="A1240"/>
  <c r="A1271"/>
  <c r="A1295"/>
  <c r="A1322"/>
  <c r="A1338"/>
  <c r="A1385"/>
  <c r="A1407"/>
  <c r="A1233"/>
  <c r="A1234"/>
  <c r="A1242"/>
  <c r="A1250"/>
  <c r="A1235"/>
  <c r="A1239"/>
  <c r="A1243"/>
  <c r="A1247"/>
  <c r="A1251"/>
  <c r="A1265"/>
  <c r="A1270"/>
  <c r="A1274"/>
  <c r="A1282"/>
  <c r="A1287"/>
  <c r="A1291"/>
  <c r="A1301"/>
  <c r="A1308"/>
  <c r="A1317"/>
  <c r="A1321"/>
  <c r="A1325"/>
  <c r="A1329"/>
  <c r="A1333"/>
  <c r="A1337"/>
  <c r="A1341"/>
  <c r="A1358"/>
  <c r="A1375"/>
  <c r="A1384"/>
  <c r="A1388"/>
  <c r="A1392"/>
  <c r="A1402"/>
  <c r="A1406"/>
  <c r="A1413"/>
  <c r="A1428"/>
  <c r="A1434"/>
  <c r="A1447"/>
  <c r="A1451"/>
  <c r="A1455"/>
  <c r="A1236"/>
  <c r="A1255"/>
  <c r="A1302"/>
  <c r="A1326"/>
  <c r="A1347"/>
  <c r="A1389"/>
  <c r="A1403"/>
  <c r="A1435"/>
  <c r="A1448"/>
  <c r="A1452"/>
  <c r="A1456"/>
  <c r="A1244"/>
  <c r="A1275"/>
  <c r="A1288"/>
  <c r="A1312"/>
  <c r="A1330"/>
  <c r="A1376"/>
  <c r="A1429"/>
  <c r="A1241"/>
  <c r="A1245"/>
  <c r="A1249"/>
  <c r="A1263"/>
  <c r="A1267"/>
  <c r="A1272"/>
  <c r="A1278"/>
  <c r="A1285"/>
  <c r="A1289"/>
  <c r="A1297"/>
  <c r="A1303"/>
  <c r="A1313"/>
  <c r="A1319"/>
  <c r="A1323"/>
  <c r="A1327"/>
  <c r="A1331"/>
  <c r="A1335"/>
  <c r="A1339"/>
  <c r="A1352"/>
  <c r="A1368"/>
  <c r="A1381"/>
  <c r="A1386"/>
  <c r="A1390"/>
  <c r="A1397"/>
  <c r="A1404"/>
  <c r="A1408"/>
  <c r="A1417"/>
  <c r="A1430"/>
  <c r="A1436"/>
  <c r="A1449"/>
  <c r="A1453"/>
  <c r="A1457"/>
  <c r="A1248"/>
  <c r="A1266"/>
  <c r="A1284"/>
  <c r="A1318"/>
  <c r="A1334"/>
  <c r="A1362"/>
  <c r="A1394"/>
  <c r="A1414"/>
  <c r="A1237"/>
  <c r="A1238"/>
  <c r="A1246"/>
  <c r="A1264"/>
  <c r="A1268"/>
  <c r="A1273"/>
  <c r="A1281"/>
  <c r="A1286"/>
  <c r="A1290"/>
  <c r="A1300"/>
  <c r="A1306"/>
  <c r="A1314"/>
  <c r="A1320"/>
  <c r="A1324"/>
  <c r="A1328"/>
  <c r="A1332"/>
  <c r="A1336"/>
  <c r="A1340"/>
  <c r="A1353"/>
  <c r="A1374"/>
  <c r="A1383"/>
  <c r="A1387"/>
  <c r="A1391"/>
  <c r="A1398"/>
  <c r="A1405"/>
  <c r="A1412"/>
  <c r="A1419"/>
  <c r="A1431"/>
  <c r="A1446"/>
  <c r="A1450"/>
  <c r="A1454"/>
  <c r="A1458"/>
  <c r="B89" i="55"/>
  <c r="B90" s="1"/>
  <c r="B91" s="1"/>
  <c r="B92" s="1"/>
  <c r="B93" s="1"/>
  <c r="B94" s="1"/>
  <c r="B95" s="1"/>
  <c r="B96" s="1"/>
  <c r="B97" s="1"/>
  <c r="B98" s="1"/>
  <c r="B99" s="1"/>
  <c r="B100" s="1"/>
  <c r="B101" s="1"/>
  <c r="B102" s="1"/>
  <c r="B103" s="1"/>
  <c r="B104" s="1"/>
  <c r="B105" s="1"/>
  <c r="B106" s="1"/>
  <c r="B107" s="1"/>
  <c r="A107" s="1"/>
  <c r="A85"/>
  <c r="M18" i="60"/>
  <c r="O18"/>
  <c r="F111" i="55"/>
  <c r="E111"/>
  <c r="A110"/>
  <c r="G105" a="1"/>
  <c r="G105" s="1"/>
  <c r="I105" a="1"/>
  <c r="I105" s="1"/>
  <c r="G106" a="1"/>
  <c r="G106" s="1"/>
  <c r="I106" a="1"/>
  <c r="I106" s="1"/>
  <c r="G107" a="1"/>
  <c r="G107" s="1"/>
  <c r="I107" a="1"/>
  <c r="I107" s="1"/>
  <c r="B109"/>
  <c r="A109" s="1"/>
  <c r="G108" a="1"/>
  <c r="G108" s="1"/>
  <c r="I108" a="1"/>
  <c r="I108" s="1"/>
  <c r="G109" a="1"/>
  <c r="G109" s="1"/>
  <c r="I109" a="1"/>
  <c r="I109" s="1"/>
  <c r="Y16" i="60"/>
  <c r="Y17"/>
  <c r="Y18"/>
  <c r="L10" s="1"/>
  <c r="Y19"/>
  <c r="Y20"/>
  <c r="Y21"/>
  <c r="L12" s="1"/>
  <c r="Y22"/>
  <c r="Y23"/>
  <c r="J9" i="52"/>
  <c r="A111" i="55"/>
  <c r="A74"/>
  <c r="F73"/>
  <c r="E73"/>
  <c r="A72"/>
  <c r="A73"/>
  <c r="A52"/>
  <c r="A106" l="1"/>
  <c r="L11" i="60"/>
  <c r="L8"/>
  <c r="L9"/>
  <c r="L14"/>
  <c r="L15"/>
  <c r="L16"/>
  <c r="L13"/>
  <c r="K105" i="55"/>
  <c r="K106"/>
  <c r="K107"/>
  <c r="K108"/>
  <c r="K109"/>
  <c r="A108"/>
  <c r="F51"/>
  <c r="E51"/>
  <c r="B1140" i="34"/>
  <c r="E33" i="62"/>
  <c r="F33"/>
  <c r="A27"/>
  <c r="A28"/>
  <c r="A29"/>
  <c r="A31"/>
  <c r="A32"/>
  <c r="E25" i="34"/>
  <c r="AA25" s="1"/>
  <c r="B6" i="57"/>
  <c r="M11" i="34"/>
  <c r="Q1140" l="1"/>
  <c r="S1140"/>
  <c r="R1140"/>
  <c r="A1140"/>
  <c r="B2672"/>
  <c r="B2671"/>
  <c r="B796"/>
  <c r="B797"/>
  <c r="B798"/>
  <c r="B799"/>
  <c r="B800"/>
  <c r="B801"/>
  <c r="B4025"/>
  <c r="AA4025"/>
  <c r="B739"/>
  <c r="B740"/>
  <c r="B669"/>
  <c r="B668"/>
  <c r="B793"/>
  <c r="B792"/>
  <c r="B791"/>
  <c r="B790"/>
  <c r="B789"/>
  <c r="B788"/>
  <c r="B787"/>
  <c r="B786"/>
  <c r="B785"/>
  <c r="B784"/>
  <c r="B783"/>
  <c r="B782"/>
  <c r="B781"/>
  <c r="B780"/>
  <c r="B779"/>
  <c r="B778"/>
  <c r="B777"/>
  <c r="B776"/>
  <c r="B775"/>
  <c r="B774"/>
  <c r="B773"/>
  <c r="B772"/>
  <c r="B771"/>
  <c r="B770"/>
  <c r="B767"/>
  <c r="B768"/>
  <c r="B769"/>
  <c r="B1029"/>
  <c r="B1028"/>
  <c r="B1027"/>
  <c r="B623"/>
  <c r="B622"/>
  <c r="B4908"/>
  <c r="AA4908"/>
  <c r="B1045"/>
  <c r="B1044"/>
  <c r="B1040"/>
  <c r="B1035"/>
  <c r="B1033"/>
  <c r="B1032"/>
  <c r="B1030"/>
  <c r="B1022"/>
  <c r="B1021"/>
  <c r="B1020"/>
  <c r="B1019"/>
  <c r="AA1786"/>
  <c r="B1786"/>
  <c r="AA1785"/>
  <c r="B1785"/>
  <c r="AA1784"/>
  <c r="B1784"/>
  <c r="AA1783"/>
  <c r="B1783"/>
  <c r="AA1782"/>
  <c r="B1782"/>
  <c r="AA1781"/>
  <c r="B1781"/>
  <c r="AA1780"/>
  <c r="B1780"/>
  <c r="AA1779"/>
  <c r="B1779"/>
  <c r="B1766"/>
  <c r="B1767"/>
  <c r="B1768"/>
  <c r="B1769"/>
  <c r="B1770"/>
  <c r="B1771"/>
  <c r="B1772"/>
  <c r="B1773"/>
  <c r="B1774"/>
  <c r="AA1766"/>
  <c r="AA1767"/>
  <c r="AA1768"/>
  <c r="AA1769"/>
  <c r="AA1770"/>
  <c r="AA1771"/>
  <c r="AA1772"/>
  <c r="AA1773"/>
  <c r="AA1774"/>
  <c r="AA1765"/>
  <c r="B1765"/>
  <c r="B3527"/>
  <c r="AA3527"/>
  <c r="B764"/>
  <c r="B763"/>
  <c r="B762"/>
  <c r="B2782"/>
  <c r="B2665"/>
  <c r="B2664"/>
  <c r="AA1788"/>
  <c r="B1788"/>
  <c r="AA1787"/>
  <c r="B1787"/>
  <c r="B4907"/>
  <c r="AA4907"/>
  <c r="B761"/>
  <c r="B760"/>
  <c r="B759"/>
  <c r="B758"/>
  <c r="B757"/>
  <c r="B756"/>
  <c r="B4082"/>
  <c r="AA4082"/>
  <c r="B1011"/>
  <c r="B1010"/>
  <c r="B1009"/>
  <c r="K16" i="52"/>
  <c r="B755" i="34"/>
  <c r="B754"/>
  <c r="B753"/>
  <c r="B752"/>
  <c r="B751"/>
  <c r="B3090"/>
  <c r="AA3098"/>
  <c r="B3098"/>
  <c r="AA3097"/>
  <c r="B3097"/>
  <c r="AA3096"/>
  <c r="B3096"/>
  <c r="AA3095"/>
  <c r="B3095"/>
  <c r="AA3094"/>
  <c r="B3094"/>
  <c r="AA3090"/>
  <c r="AA3089"/>
  <c r="B3089"/>
  <c r="AA3088"/>
  <c r="B3088"/>
  <c r="AA3087"/>
  <c r="B3087"/>
  <c r="AA3086"/>
  <c r="B3086"/>
  <c r="AA3085"/>
  <c r="B3085"/>
  <c r="AA3084"/>
  <c r="AA3083"/>
  <c r="B3083"/>
  <c r="AA3082"/>
  <c r="B3082"/>
  <c r="B2910"/>
  <c r="AA2910"/>
  <c r="AA3524"/>
  <c r="B3524"/>
  <c r="AA3523"/>
  <c r="B3523"/>
  <c r="A23" i="12"/>
  <c r="B3519" i="34"/>
  <c r="AA3519"/>
  <c r="B3520"/>
  <c r="AA3520"/>
  <c r="B3518"/>
  <c r="AA3518"/>
  <c r="AA3515"/>
  <c r="AA3521"/>
  <c r="AA3522"/>
  <c r="B2918"/>
  <c r="B3514"/>
  <c r="B3515"/>
  <c r="B3521"/>
  <c r="B3522"/>
  <c r="B3084"/>
  <c r="B4098"/>
  <c r="AA4098"/>
  <c r="AA4097"/>
  <c r="B4097"/>
  <c r="AA4095"/>
  <c r="B4095"/>
  <c r="AA4094"/>
  <c r="B4094"/>
  <c r="B4089"/>
  <c r="AA4089"/>
  <c r="B4085"/>
  <c r="AA4085"/>
  <c r="B4081"/>
  <c r="AA4081"/>
  <c r="B4078"/>
  <c r="AA4078"/>
  <c r="AA4080"/>
  <c r="AA4083"/>
  <c r="AA4084"/>
  <c r="AA4088"/>
  <c r="AA4091"/>
  <c r="AA2918"/>
  <c r="AA3514"/>
  <c r="AA4077"/>
  <c r="B4905"/>
  <c r="AA4905"/>
  <c r="AA4844"/>
  <c r="B4844"/>
  <c r="AA4843"/>
  <c r="B4843"/>
  <c r="AA4842"/>
  <c r="B4842"/>
  <c r="AA4841"/>
  <c r="B4841"/>
  <c r="AA4840"/>
  <c r="B4840"/>
  <c r="B4864"/>
  <c r="AA4864"/>
  <c r="AA4090"/>
  <c r="B4090"/>
  <c r="AA4863"/>
  <c r="B4863"/>
  <c r="AA4862"/>
  <c r="B4862"/>
  <c r="AA4861"/>
  <c r="B4861"/>
  <c r="AA4860"/>
  <c r="B4860"/>
  <c r="AA4859"/>
  <c r="B4859"/>
  <c r="AA4857"/>
  <c r="B4857"/>
  <c r="AA4856"/>
  <c r="B4856"/>
  <c r="AA4855"/>
  <c r="B4855"/>
  <c r="AA4854"/>
  <c r="B4854"/>
  <c r="AA4853"/>
  <c r="B4853"/>
  <c r="AA4852"/>
  <c r="B4852"/>
  <c r="B4845"/>
  <c r="B4846"/>
  <c r="B4847"/>
  <c r="B4848"/>
  <c r="AA4846"/>
  <c r="AA4847"/>
  <c r="AA4848"/>
  <c r="AA4087"/>
  <c r="AA4850"/>
  <c r="AA4851"/>
  <c r="AA4845"/>
  <c r="AA4839"/>
  <c r="B4839"/>
  <c r="AA4838"/>
  <c r="B4838"/>
  <c r="AA4837"/>
  <c r="B4837"/>
  <c r="AA4833"/>
  <c r="B4833"/>
  <c r="AA4832"/>
  <c r="B4832"/>
  <c r="AA4834"/>
  <c r="B4834"/>
  <c r="AA4836"/>
  <c r="B4836"/>
  <c r="AA4835"/>
  <c r="B4835"/>
  <c r="AA4831"/>
  <c r="B4831"/>
  <c r="B4828"/>
  <c r="AA4828"/>
  <c r="B4829"/>
  <c r="AA4829"/>
  <c r="B4830"/>
  <c r="AA4830"/>
  <c r="B4076"/>
  <c r="AA4076"/>
  <c r="B4825"/>
  <c r="AA4825"/>
  <c r="AA2637"/>
  <c r="B2637"/>
  <c r="AA2636"/>
  <c r="B2636"/>
  <c r="B2624"/>
  <c r="B2623"/>
  <c r="B3516"/>
  <c r="AA3516"/>
  <c r="B3517"/>
  <c r="AA3517"/>
  <c r="B4858"/>
  <c r="AA4858"/>
  <c r="B2699"/>
  <c r="B2696"/>
  <c r="B2687"/>
  <c r="B2680"/>
  <c r="B2667"/>
  <c r="B2661"/>
  <c r="B2656"/>
  <c r="B2654"/>
  <c r="B2605"/>
  <c r="AA1752"/>
  <c r="B1752"/>
  <c r="AA1751"/>
  <c r="B1751"/>
  <c r="AA1750"/>
  <c r="B1750"/>
  <c r="AA1749"/>
  <c r="B1749"/>
  <c r="AA1746"/>
  <c r="B1746"/>
  <c r="AA1745"/>
  <c r="B1745"/>
  <c r="AA1742"/>
  <c r="B1742"/>
  <c r="AA1741"/>
  <c r="AA1736"/>
  <c r="B1736"/>
  <c r="AA1735"/>
  <c r="AA1732"/>
  <c r="B1732"/>
  <c r="AA1731"/>
  <c r="AA1726"/>
  <c r="B1726"/>
  <c r="AA1725"/>
  <c r="AA1722"/>
  <c r="B1722"/>
  <c r="AA1721"/>
  <c r="B1695"/>
  <c r="B1694"/>
  <c r="AA1760"/>
  <c r="B1760"/>
  <c r="AA1759"/>
  <c r="B1759"/>
  <c r="AA2902"/>
  <c r="AA2903"/>
  <c r="AA2904"/>
  <c r="AA2905"/>
  <c r="AA2906"/>
  <c r="AA2907"/>
  <c r="AA2908"/>
  <c r="AA2909"/>
  <c r="B2897"/>
  <c r="B2899"/>
  <c r="B2900"/>
  <c r="B2901"/>
  <c r="B2902"/>
  <c r="B2903"/>
  <c r="B2904"/>
  <c r="B2905"/>
  <c r="B2906"/>
  <c r="B2907"/>
  <c r="B2908"/>
  <c r="B2909"/>
  <c r="AA2901"/>
  <c r="AA2900"/>
  <c r="AA2899"/>
  <c r="AA2897"/>
  <c r="B1015"/>
  <c r="B1014"/>
  <c r="AA2669"/>
  <c r="B2669"/>
  <c r="AA2668"/>
  <c r="B2668"/>
  <c r="B2663"/>
  <c r="B2662"/>
  <c r="B2657"/>
  <c r="B2658"/>
  <c r="AA2642"/>
  <c r="AA2643"/>
  <c r="B2643"/>
  <c r="B2642"/>
  <c r="AA2641"/>
  <c r="B2641"/>
  <c r="AA2640"/>
  <c r="B2640"/>
  <c r="AA2634"/>
  <c r="B2634"/>
  <c r="AA2633"/>
  <c r="B2633"/>
  <c r="AA2631"/>
  <c r="AA2632"/>
  <c r="B2632"/>
  <c r="B2631"/>
  <c r="B2621"/>
  <c r="B2622"/>
  <c r="B2617"/>
  <c r="AA2617"/>
  <c r="B2618"/>
  <c r="AA2618"/>
  <c r="B2615"/>
  <c r="B2614"/>
  <c r="B2611"/>
  <c r="B2610"/>
  <c r="B3056"/>
  <c r="B3055"/>
  <c r="B2609"/>
  <c r="B2608"/>
  <c r="B2607"/>
  <c r="B2616"/>
  <c r="AA2960"/>
  <c r="AA2958"/>
  <c r="AA2959"/>
  <c r="AA2962"/>
  <c r="AA2963"/>
  <c r="B4069"/>
  <c r="AA4069"/>
  <c r="B4070"/>
  <c r="AA4070"/>
  <c r="B2955"/>
  <c r="AA2955"/>
  <c r="B2956"/>
  <c r="AA2956"/>
  <c r="AA2954"/>
  <c r="B2954"/>
  <c r="AA2952"/>
  <c r="B2952"/>
  <c r="B2949"/>
  <c r="AA2949"/>
  <c r="B2958"/>
  <c r="B2959"/>
  <c r="B2960"/>
  <c r="B2962"/>
  <c r="B2963"/>
  <c r="AA2947"/>
  <c r="AA3081"/>
  <c r="B3080"/>
  <c r="B3079"/>
  <c r="AA3079"/>
  <c r="AA3078"/>
  <c r="B3078"/>
  <c r="AA3077"/>
  <c r="B3077"/>
  <c r="AA3076"/>
  <c r="B3076"/>
  <c r="AA3075"/>
  <c r="B3075"/>
  <c r="AA2957"/>
  <c r="B2957"/>
  <c r="AA3074"/>
  <c r="B3074"/>
  <c r="AA3073"/>
  <c r="B3073"/>
  <c r="AA3072"/>
  <c r="B3072"/>
  <c r="AA3071"/>
  <c r="B3071"/>
  <c r="AA3070"/>
  <c r="B3070"/>
  <c r="AA3069"/>
  <c r="B3069"/>
  <c r="AA3068"/>
  <c r="B3068"/>
  <c r="AA3067"/>
  <c r="B3067"/>
  <c r="AA3066"/>
  <c r="B3066"/>
  <c r="B3065"/>
  <c r="B3064"/>
  <c r="AA3064"/>
  <c r="AA2950"/>
  <c r="B2950"/>
  <c r="B3061"/>
  <c r="AA3063"/>
  <c r="B3063"/>
  <c r="AA3062"/>
  <c r="B3062"/>
  <c r="AA3060"/>
  <c r="B3060"/>
  <c r="AA3059"/>
  <c r="B3059"/>
  <c r="AA3058"/>
  <c r="B3058"/>
  <c r="B3057"/>
  <c r="AA3057"/>
  <c r="B3054"/>
  <c r="B3053"/>
  <c r="AA3053"/>
  <c r="AA2898"/>
  <c r="AA3513"/>
  <c r="B3513"/>
  <c r="AA3512"/>
  <c r="B3512"/>
  <c r="AA3511"/>
  <c r="B3511"/>
  <c r="B2604"/>
  <c r="AA3510"/>
  <c r="AA3509"/>
  <c r="B3509"/>
  <c r="AA3508"/>
  <c r="B3508"/>
  <c r="AA3507"/>
  <c r="B3507"/>
  <c r="AA3506"/>
  <c r="B3506"/>
  <c r="AA3505"/>
  <c r="B3505"/>
  <c r="AA3504"/>
  <c r="B3504"/>
  <c r="AA3503"/>
  <c r="B3503"/>
  <c r="AA3502"/>
  <c r="B3502"/>
  <c r="AA3501"/>
  <c r="B3501"/>
  <c r="AA3500"/>
  <c r="B3500"/>
  <c r="AA3499"/>
  <c r="B3499"/>
  <c r="AA3498"/>
  <c r="B3498"/>
  <c r="B3497"/>
  <c r="B746"/>
  <c r="B747"/>
  <c r="B745"/>
  <c r="AA4824"/>
  <c r="B4824"/>
  <c r="AA4821"/>
  <c r="B4821"/>
  <c r="AA4820"/>
  <c r="B4820"/>
  <c r="AA4819"/>
  <c r="B4819"/>
  <c r="AA4818"/>
  <c r="B4818"/>
  <c r="AA4817"/>
  <c r="B4817"/>
  <c r="AA4816"/>
  <c r="B4816"/>
  <c r="Q745" l="1"/>
  <c r="S745"/>
  <c r="R745"/>
  <c r="R746"/>
  <c r="Q746"/>
  <c r="S746"/>
  <c r="R1015"/>
  <c r="Q1015"/>
  <c r="S1015"/>
  <c r="Q1695"/>
  <c r="S1695"/>
  <c r="R1695"/>
  <c r="R752"/>
  <c r="Q752"/>
  <c r="S752"/>
  <c r="R754"/>
  <c r="Q754"/>
  <c r="S754"/>
  <c r="Q1010"/>
  <c r="S1010"/>
  <c r="R1010"/>
  <c r="R756"/>
  <c r="Q756"/>
  <c r="S756"/>
  <c r="R758"/>
  <c r="Q758"/>
  <c r="S758"/>
  <c r="R760"/>
  <c r="Q760"/>
  <c r="S760"/>
  <c r="Q763"/>
  <c r="S763"/>
  <c r="R763"/>
  <c r="R1019"/>
  <c r="Q1019"/>
  <c r="S1019"/>
  <c r="R1021"/>
  <c r="Q1021"/>
  <c r="S1021"/>
  <c r="Q1030"/>
  <c r="S1030"/>
  <c r="R1030"/>
  <c r="R1033"/>
  <c r="Q1033"/>
  <c r="S1033"/>
  <c r="Q1040"/>
  <c r="S1040"/>
  <c r="R1040"/>
  <c r="R1045"/>
  <c r="Q1045"/>
  <c r="S1045"/>
  <c r="Q623"/>
  <c r="S623"/>
  <c r="R623"/>
  <c r="Q1028"/>
  <c r="S1028"/>
  <c r="R1028"/>
  <c r="Q769"/>
  <c r="S769"/>
  <c r="R769"/>
  <c r="Q767"/>
  <c r="S767"/>
  <c r="R767"/>
  <c r="Q771"/>
  <c r="S771"/>
  <c r="R771"/>
  <c r="Q773"/>
  <c r="S773"/>
  <c r="R773"/>
  <c r="Q775"/>
  <c r="S775"/>
  <c r="R775"/>
  <c r="Q777"/>
  <c r="S777"/>
  <c r="R777"/>
  <c r="Q779"/>
  <c r="S779"/>
  <c r="R779"/>
  <c r="Q781"/>
  <c r="S781"/>
  <c r="R781"/>
  <c r="Q783"/>
  <c r="S783"/>
  <c r="R783"/>
  <c r="Q785"/>
  <c r="S785"/>
  <c r="R785"/>
  <c r="Q787"/>
  <c r="S787"/>
  <c r="R787"/>
  <c r="Q789"/>
  <c r="S789"/>
  <c r="R789"/>
  <c r="Q791"/>
  <c r="S791"/>
  <c r="R791"/>
  <c r="Q793"/>
  <c r="S793"/>
  <c r="R793"/>
  <c r="Q669"/>
  <c r="S669"/>
  <c r="R669"/>
  <c r="Q739"/>
  <c r="S739"/>
  <c r="R739"/>
  <c r="R800"/>
  <c r="Q800"/>
  <c r="S800"/>
  <c r="R798"/>
  <c r="Q798"/>
  <c r="S798"/>
  <c r="R796"/>
  <c r="Q796"/>
  <c r="S796"/>
  <c r="Q747"/>
  <c r="S747"/>
  <c r="R747"/>
  <c r="Q1014"/>
  <c r="S1014"/>
  <c r="R1014"/>
  <c r="R1694"/>
  <c r="Q1694"/>
  <c r="S1694"/>
  <c r="Q751"/>
  <c r="S751"/>
  <c r="R751"/>
  <c r="Q753"/>
  <c r="S753"/>
  <c r="R753"/>
  <c r="Q755"/>
  <c r="S755"/>
  <c r="R755"/>
  <c r="R1009"/>
  <c r="Q1009"/>
  <c r="S1009"/>
  <c r="R1011"/>
  <c r="Q1011"/>
  <c r="S1011"/>
  <c r="Q757"/>
  <c r="S757"/>
  <c r="R757"/>
  <c r="Q759"/>
  <c r="S759"/>
  <c r="R759"/>
  <c r="Q761"/>
  <c r="S761"/>
  <c r="R761"/>
  <c r="R762"/>
  <c r="Q762"/>
  <c r="S762"/>
  <c r="R764"/>
  <c r="Q764"/>
  <c r="S764"/>
  <c r="Q1020"/>
  <c r="S1020"/>
  <c r="R1020"/>
  <c r="Q1022"/>
  <c r="S1022"/>
  <c r="R1022"/>
  <c r="Q1032"/>
  <c r="S1032"/>
  <c r="R1032"/>
  <c r="R1035"/>
  <c r="Q1035"/>
  <c r="S1035"/>
  <c r="Q1044"/>
  <c r="S1044"/>
  <c r="R1044"/>
  <c r="R622"/>
  <c r="Q622"/>
  <c r="S622"/>
  <c r="R1027"/>
  <c r="Q1027"/>
  <c r="S1027"/>
  <c r="R1029"/>
  <c r="Q1029"/>
  <c r="S1029"/>
  <c r="R768"/>
  <c r="Q768"/>
  <c r="S768"/>
  <c r="R770"/>
  <c r="Q770"/>
  <c r="S770"/>
  <c r="R772"/>
  <c r="Q772"/>
  <c r="S772"/>
  <c r="R774"/>
  <c r="Q774"/>
  <c r="S774"/>
  <c r="R776"/>
  <c r="Q776"/>
  <c r="S776"/>
  <c r="R778"/>
  <c r="Q778"/>
  <c r="S778"/>
  <c r="R780"/>
  <c r="Q780"/>
  <c r="S780"/>
  <c r="R782"/>
  <c r="Q782"/>
  <c r="S782"/>
  <c r="R784"/>
  <c r="Q784"/>
  <c r="S784"/>
  <c r="R786"/>
  <c r="Q786"/>
  <c r="S786"/>
  <c r="R788"/>
  <c r="Q788"/>
  <c r="S788"/>
  <c r="R790"/>
  <c r="Q790"/>
  <c r="S790"/>
  <c r="R792"/>
  <c r="Q792"/>
  <c r="S792"/>
  <c r="R668"/>
  <c r="Q668"/>
  <c r="S668"/>
  <c r="R740"/>
  <c r="Q740"/>
  <c r="S740"/>
  <c r="Q801"/>
  <c r="S801"/>
  <c r="R801"/>
  <c r="Q799"/>
  <c r="S799"/>
  <c r="R799"/>
  <c r="Q797"/>
  <c r="S797"/>
  <c r="R797"/>
  <c r="U3517"/>
  <c r="T3517"/>
  <c r="V3517"/>
  <c r="T3516"/>
  <c r="V3516"/>
  <c r="U3516"/>
  <c r="T3514"/>
  <c r="V3514"/>
  <c r="U3514"/>
  <c r="T3518"/>
  <c r="V3518"/>
  <c r="U3518"/>
  <c r="T3520"/>
  <c r="V3520"/>
  <c r="U3520"/>
  <c r="U3519"/>
  <c r="T3519"/>
  <c r="V3519"/>
  <c r="T3523"/>
  <c r="V3523"/>
  <c r="U3523"/>
  <c r="U3524"/>
  <c r="T3524"/>
  <c r="V3524"/>
  <c r="T3527"/>
  <c r="V3527"/>
  <c r="U3527"/>
  <c r="T3497"/>
  <c r="V3497"/>
  <c r="U3497"/>
  <c r="T3498"/>
  <c r="V3498"/>
  <c r="U3498"/>
  <c r="U3499"/>
  <c r="T3499"/>
  <c r="V3499"/>
  <c r="T3500"/>
  <c r="V3500"/>
  <c r="U3500"/>
  <c r="U3501"/>
  <c r="T3501"/>
  <c r="V3501"/>
  <c r="T3502"/>
  <c r="V3502"/>
  <c r="U3502"/>
  <c r="U3503"/>
  <c r="T3503"/>
  <c r="V3503"/>
  <c r="T3504"/>
  <c r="V3504"/>
  <c r="U3504"/>
  <c r="U3505"/>
  <c r="T3505"/>
  <c r="V3505"/>
  <c r="T3506"/>
  <c r="V3506"/>
  <c r="U3506"/>
  <c r="U3507"/>
  <c r="T3507"/>
  <c r="V3507"/>
  <c r="T3508"/>
  <c r="V3508"/>
  <c r="U3508"/>
  <c r="U3509"/>
  <c r="T3509"/>
  <c r="V3509"/>
  <c r="U3511"/>
  <c r="T3511"/>
  <c r="V3511"/>
  <c r="T3512"/>
  <c r="V3512"/>
  <c r="U3512"/>
  <c r="U3513"/>
  <c r="T3513"/>
  <c r="V3513"/>
  <c r="U3522"/>
  <c r="T3522"/>
  <c r="V3522"/>
  <c r="U3515"/>
  <c r="T3515"/>
  <c r="V3515"/>
  <c r="T2908"/>
  <c r="V2908"/>
  <c r="U2908"/>
  <c r="T2906"/>
  <c r="V2906"/>
  <c r="U2906"/>
  <c r="T2904"/>
  <c r="V2904"/>
  <c r="U2904"/>
  <c r="T2902"/>
  <c r="V2902"/>
  <c r="U2902"/>
  <c r="T2900"/>
  <c r="V2900"/>
  <c r="U2900"/>
  <c r="U2897"/>
  <c r="T2897"/>
  <c r="V2897"/>
  <c r="U3521"/>
  <c r="T3521"/>
  <c r="V3521"/>
  <c r="U2909"/>
  <c r="T2909"/>
  <c r="V2909"/>
  <c r="U2907"/>
  <c r="T2907"/>
  <c r="V2907"/>
  <c r="U2905"/>
  <c r="T2905"/>
  <c r="V2905"/>
  <c r="U2903"/>
  <c r="T2903"/>
  <c r="V2903"/>
  <c r="U2901"/>
  <c r="T2901"/>
  <c r="V2901"/>
  <c r="U2899"/>
  <c r="T2899"/>
  <c r="V2899"/>
  <c r="T2910"/>
  <c r="V2910"/>
  <c r="U2910"/>
  <c r="U2918"/>
  <c r="T2918"/>
  <c r="V2918"/>
  <c r="A4816"/>
  <c r="Q4816"/>
  <c r="S4816"/>
  <c r="R4816"/>
  <c r="A4817"/>
  <c r="R4817"/>
  <c r="Q4817"/>
  <c r="S4817"/>
  <c r="A4818"/>
  <c r="Q4818"/>
  <c r="S4818"/>
  <c r="R4818"/>
  <c r="A4819"/>
  <c r="R4819"/>
  <c r="Q4819"/>
  <c r="S4819"/>
  <c r="A4820"/>
  <c r="Q4820"/>
  <c r="S4820"/>
  <c r="R4820"/>
  <c r="A4821"/>
  <c r="R4821"/>
  <c r="Q4821"/>
  <c r="S4821"/>
  <c r="A4824"/>
  <c r="Q4824"/>
  <c r="S4824"/>
  <c r="R4824"/>
  <c r="R3498"/>
  <c r="Q3498"/>
  <c r="S3498"/>
  <c r="Q3499"/>
  <c r="S3499"/>
  <c r="R3499"/>
  <c r="R3500"/>
  <c r="Q3500"/>
  <c r="S3500"/>
  <c r="Q3501"/>
  <c r="S3501"/>
  <c r="R3501"/>
  <c r="R3502"/>
  <c r="Q3502"/>
  <c r="S3502"/>
  <c r="Q3503"/>
  <c r="S3503"/>
  <c r="R3503"/>
  <c r="R3504"/>
  <c r="Q3504"/>
  <c r="S3504"/>
  <c r="Q3505"/>
  <c r="S3505"/>
  <c r="R3505"/>
  <c r="R3506"/>
  <c r="Q3506"/>
  <c r="S3506"/>
  <c r="Q3507"/>
  <c r="S3507"/>
  <c r="R3507"/>
  <c r="R3508"/>
  <c r="Q3508"/>
  <c r="S3508"/>
  <c r="Q3509"/>
  <c r="S3509"/>
  <c r="R3509"/>
  <c r="Q3511"/>
  <c r="S3511"/>
  <c r="R3511"/>
  <c r="R3512"/>
  <c r="Q3512"/>
  <c r="S3512"/>
  <c r="Q3513"/>
  <c r="S3513"/>
  <c r="R3513"/>
  <c r="Q3053"/>
  <c r="S3053"/>
  <c r="R3053"/>
  <c r="R3058"/>
  <c r="Q3058"/>
  <c r="S3058"/>
  <c r="Q3059"/>
  <c r="S3059"/>
  <c r="R3059"/>
  <c r="R3060"/>
  <c r="Q3060"/>
  <c r="S3060"/>
  <c r="R3062"/>
  <c r="Q3062"/>
  <c r="S3062"/>
  <c r="Q3063"/>
  <c r="S3063"/>
  <c r="R3063"/>
  <c r="Q3061"/>
  <c r="S3061"/>
  <c r="R3061"/>
  <c r="R3064"/>
  <c r="Q3064"/>
  <c r="S3064"/>
  <c r="R3066"/>
  <c r="Q3066"/>
  <c r="S3066"/>
  <c r="Q3067"/>
  <c r="S3067"/>
  <c r="R3067"/>
  <c r="R3068"/>
  <c r="Q3068"/>
  <c r="S3068"/>
  <c r="Q3069"/>
  <c r="S3069"/>
  <c r="R3069"/>
  <c r="R3070"/>
  <c r="Q3070"/>
  <c r="S3070"/>
  <c r="Q3071"/>
  <c r="S3071"/>
  <c r="R3071"/>
  <c r="R3072"/>
  <c r="Q3072"/>
  <c r="S3072"/>
  <c r="Q3073"/>
  <c r="S3073"/>
  <c r="R3073"/>
  <c r="R3074"/>
  <c r="Q3074"/>
  <c r="S3074"/>
  <c r="Q2957"/>
  <c r="S2957"/>
  <c r="R2957"/>
  <c r="Q3075"/>
  <c r="S3075"/>
  <c r="R3075"/>
  <c r="R3076"/>
  <c r="Q3076"/>
  <c r="S3076"/>
  <c r="Q3077"/>
  <c r="S3077"/>
  <c r="R3077"/>
  <c r="R3078"/>
  <c r="Q3078"/>
  <c r="S3078"/>
  <c r="R3080"/>
  <c r="Q3080"/>
  <c r="S3080"/>
  <c r="R2962"/>
  <c r="Q2962"/>
  <c r="S2962"/>
  <c r="Q2959"/>
  <c r="S2959"/>
  <c r="R2959"/>
  <c r="R2952"/>
  <c r="Q2952"/>
  <c r="S2952"/>
  <c r="R2954"/>
  <c r="Q2954"/>
  <c r="S2954"/>
  <c r="R2607"/>
  <c r="Q2607"/>
  <c r="S2607"/>
  <c r="R2609"/>
  <c r="Q2609"/>
  <c r="S2609"/>
  <c r="R3056"/>
  <c r="Q3056"/>
  <c r="S3056"/>
  <c r="R2611"/>
  <c r="Q2611"/>
  <c r="S2611"/>
  <c r="R2615"/>
  <c r="Q2615"/>
  <c r="S2615"/>
  <c r="Q2618"/>
  <c r="S2618"/>
  <c r="R2618"/>
  <c r="R2617"/>
  <c r="Q2617"/>
  <c r="S2617"/>
  <c r="R2621"/>
  <c r="Q2621"/>
  <c r="S2621"/>
  <c r="Q2632"/>
  <c r="S2632"/>
  <c r="R2632"/>
  <c r="R2643"/>
  <c r="Q2643"/>
  <c r="S2643"/>
  <c r="R2657"/>
  <c r="Q2657"/>
  <c r="S2657"/>
  <c r="R2663"/>
  <c r="Q2663"/>
  <c r="S2663"/>
  <c r="Q2908"/>
  <c r="S2908"/>
  <c r="R2908"/>
  <c r="Q2906"/>
  <c r="S2906"/>
  <c r="R2906"/>
  <c r="Q2904"/>
  <c r="S2904"/>
  <c r="R2904"/>
  <c r="Q2902"/>
  <c r="S2902"/>
  <c r="R2902"/>
  <c r="Q2900"/>
  <c r="S2900"/>
  <c r="R2900"/>
  <c r="R2897"/>
  <c r="Q2897"/>
  <c r="S2897"/>
  <c r="Q1760"/>
  <c r="S1760"/>
  <c r="R1760"/>
  <c r="Q1746"/>
  <c r="S1746"/>
  <c r="R1746"/>
  <c r="R1749"/>
  <c r="Q1749"/>
  <c r="S1749"/>
  <c r="Q1752"/>
  <c r="S1752"/>
  <c r="R1752"/>
  <c r="R2605"/>
  <c r="Q2605"/>
  <c r="S2605"/>
  <c r="Q2656"/>
  <c r="S2656"/>
  <c r="R2656"/>
  <c r="R2667"/>
  <c r="Q2667"/>
  <c r="S2667"/>
  <c r="R2687"/>
  <c r="Q2687"/>
  <c r="S2687"/>
  <c r="R2699"/>
  <c r="Q2699"/>
  <c r="S2699"/>
  <c r="A4858"/>
  <c r="Q4858"/>
  <c r="S4858"/>
  <c r="R4858"/>
  <c r="Q3517"/>
  <c r="S3517"/>
  <c r="R3517"/>
  <c r="R3516"/>
  <c r="Q3516"/>
  <c r="S3516"/>
  <c r="Q2624"/>
  <c r="S2624"/>
  <c r="R2624"/>
  <c r="A4825"/>
  <c r="R4825"/>
  <c r="Q4825"/>
  <c r="S4825"/>
  <c r="R4076"/>
  <c r="Q4076"/>
  <c r="S4076"/>
  <c r="A4830"/>
  <c r="Q4830"/>
  <c r="S4830"/>
  <c r="R4830"/>
  <c r="A4829"/>
  <c r="R4829"/>
  <c r="Q4829"/>
  <c r="S4829"/>
  <c r="A4828"/>
  <c r="Q4828"/>
  <c r="S4828"/>
  <c r="R4828"/>
  <c r="A4848"/>
  <c r="Q4848"/>
  <c r="S4848"/>
  <c r="R4848"/>
  <c r="A4846"/>
  <c r="Q4846"/>
  <c r="S4846"/>
  <c r="R4846"/>
  <c r="A4852"/>
  <c r="Q4852"/>
  <c r="S4852"/>
  <c r="R4852"/>
  <c r="A4853"/>
  <c r="R4853"/>
  <c r="Q4853"/>
  <c r="S4853"/>
  <c r="A4854"/>
  <c r="Q4854"/>
  <c r="S4854"/>
  <c r="R4854"/>
  <c r="A4855"/>
  <c r="R4855"/>
  <c r="Q4855"/>
  <c r="S4855"/>
  <c r="A4856"/>
  <c r="Q4856"/>
  <c r="S4856"/>
  <c r="R4856"/>
  <c r="A4857"/>
  <c r="R4857"/>
  <c r="Q4857"/>
  <c r="S4857"/>
  <c r="A4859"/>
  <c r="R4859"/>
  <c r="Q4859"/>
  <c r="S4859"/>
  <c r="A4860"/>
  <c r="Q4860"/>
  <c r="S4860"/>
  <c r="R4860"/>
  <c r="A4861"/>
  <c r="R4861"/>
  <c r="Q4861"/>
  <c r="S4861"/>
  <c r="A4862"/>
  <c r="Q4862"/>
  <c r="S4862"/>
  <c r="R4862"/>
  <c r="A4863"/>
  <c r="R4863"/>
  <c r="Q4863"/>
  <c r="S4863"/>
  <c r="R4090"/>
  <c r="Q4090"/>
  <c r="S4090"/>
  <c r="A4840"/>
  <c r="Q4840"/>
  <c r="S4840"/>
  <c r="R4840"/>
  <c r="A4841"/>
  <c r="R4841"/>
  <c r="Q4841"/>
  <c r="S4841"/>
  <c r="A4842"/>
  <c r="Q4842"/>
  <c r="S4842"/>
  <c r="R4842"/>
  <c r="A4843"/>
  <c r="R4843"/>
  <c r="Q4843"/>
  <c r="S4843"/>
  <c r="A4844"/>
  <c r="Q4844"/>
  <c r="S4844"/>
  <c r="R4844"/>
  <c r="R4078"/>
  <c r="Q4078"/>
  <c r="S4078"/>
  <c r="Q4081"/>
  <c r="S4081"/>
  <c r="R4081"/>
  <c r="Q4085"/>
  <c r="S4085"/>
  <c r="R4085"/>
  <c r="Q4089"/>
  <c r="S4089"/>
  <c r="R4089"/>
  <c r="R4098"/>
  <c r="Q4098"/>
  <c r="S4098"/>
  <c r="R3522"/>
  <c r="Q3522"/>
  <c r="S3522"/>
  <c r="Q3515"/>
  <c r="S3515"/>
  <c r="R3515"/>
  <c r="R3518"/>
  <c r="Q3518"/>
  <c r="S3518"/>
  <c r="R3520"/>
  <c r="Q3520"/>
  <c r="S3520"/>
  <c r="Q3519"/>
  <c r="S3519"/>
  <c r="R3519"/>
  <c r="Q3523"/>
  <c r="S3523"/>
  <c r="R3523"/>
  <c r="R3524"/>
  <c r="Q3524"/>
  <c r="S3524"/>
  <c r="R3082"/>
  <c r="Q3082"/>
  <c r="S3082"/>
  <c r="Q3083"/>
  <c r="S3083"/>
  <c r="R3083"/>
  <c r="R3094"/>
  <c r="Q3094"/>
  <c r="S3094"/>
  <c r="Q3095"/>
  <c r="S3095"/>
  <c r="R3095"/>
  <c r="R3096"/>
  <c r="Q3096"/>
  <c r="S3096"/>
  <c r="Q3097"/>
  <c r="S3097"/>
  <c r="R3097"/>
  <c r="R3098"/>
  <c r="Q3098"/>
  <c r="S3098"/>
  <c r="R3090"/>
  <c r="Q3090"/>
  <c r="S3090"/>
  <c r="A4907"/>
  <c r="R4907"/>
  <c r="Q4907"/>
  <c r="S4907"/>
  <c r="Q1788"/>
  <c r="S1788"/>
  <c r="R1788"/>
  <c r="Q2664"/>
  <c r="S2664"/>
  <c r="R2664"/>
  <c r="Q2782"/>
  <c r="S2782"/>
  <c r="R2782"/>
  <c r="Q3527"/>
  <c r="S3527"/>
  <c r="R3527"/>
  <c r="R1773"/>
  <c r="Q1773"/>
  <c r="S1773"/>
  <c r="R1771"/>
  <c r="Q1771"/>
  <c r="S1771"/>
  <c r="R1769"/>
  <c r="Q1769"/>
  <c r="S1769"/>
  <c r="R1767"/>
  <c r="Q1767"/>
  <c r="S1767"/>
  <c r="R1779"/>
  <c r="Q1779"/>
  <c r="S1779"/>
  <c r="R1781"/>
  <c r="Q1781"/>
  <c r="S1781"/>
  <c r="R1783"/>
  <c r="Q1783"/>
  <c r="S1783"/>
  <c r="R1785"/>
  <c r="Q1785"/>
  <c r="S1785"/>
  <c r="Q4025"/>
  <c r="S4025"/>
  <c r="R4025"/>
  <c r="Q2672"/>
  <c r="S2672"/>
  <c r="R2672"/>
  <c r="Q3497"/>
  <c r="S3497"/>
  <c r="R3497"/>
  <c r="Q2604"/>
  <c r="S2604"/>
  <c r="R2604"/>
  <c r="R3054"/>
  <c r="Q3054"/>
  <c r="S3054"/>
  <c r="Q3057"/>
  <c r="S3057"/>
  <c r="R3057"/>
  <c r="R2950"/>
  <c r="Q2950"/>
  <c r="S2950"/>
  <c r="Q3065"/>
  <c r="S3065"/>
  <c r="R3065"/>
  <c r="Q3079"/>
  <c r="S3079"/>
  <c r="R3079"/>
  <c r="Q2963"/>
  <c r="S2963"/>
  <c r="R2963"/>
  <c r="R2960"/>
  <c r="Q2960"/>
  <c r="S2960"/>
  <c r="R2958"/>
  <c r="Q2958"/>
  <c r="S2958"/>
  <c r="Q2949"/>
  <c r="S2949"/>
  <c r="R2949"/>
  <c r="R2956"/>
  <c r="Q2956"/>
  <c r="S2956"/>
  <c r="Q2955"/>
  <c r="S2955"/>
  <c r="R2955"/>
  <c r="R4070"/>
  <c r="Q4070"/>
  <c r="S4070"/>
  <c r="Q4069"/>
  <c r="S4069"/>
  <c r="R4069"/>
  <c r="Q2616"/>
  <c r="S2616"/>
  <c r="R2616"/>
  <c r="Q2608"/>
  <c r="S2608"/>
  <c r="R2608"/>
  <c r="Q3055"/>
  <c r="S3055"/>
  <c r="R3055"/>
  <c r="Q2610"/>
  <c r="S2610"/>
  <c r="R2610"/>
  <c r="Q2614"/>
  <c r="S2614"/>
  <c r="R2614"/>
  <c r="Q2622"/>
  <c r="S2622"/>
  <c r="R2622"/>
  <c r="R2631"/>
  <c r="Q2631"/>
  <c r="S2631"/>
  <c r="R2633"/>
  <c r="Q2633"/>
  <c r="S2633"/>
  <c r="Q2634"/>
  <c r="S2634"/>
  <c r="R2634"/>
  <c r="Q2640"/>
  <c r="S2640"/>
  <c r="R2640"/>
  <c r="R2641"/>
  <c r="Q2641"/>
  <c r="S2641"/>
  <c r="Q2642"/>
  <c r="S2642"/>
  <c r="R2642"/>
  <c r="Q2658"/>
  <c r="S2658"/>
  <c r="R2658"/>
  <c r="Q2662"/>
  <c r="S2662"/>
  <c r="R2662"/>
  <c r="Q2668"/>
  <c r="S2668"/>
  <c r="R2668"/>
  <c r="R2669"/>
  <c r="Q2669"/>
  <c r="S2669"/>
  <c r="R2909"/>
  <c r="Q2909"/>
  <c r="S2909"/>
  <c r="R2907"/>
  <c r="Q2907"/>
  <c r="S2907"/>
  <c r="R2905"/>
  <c r="Q2905"/>
  <c r="S2905"/>
  <c r="R2903"/>
  <c r="Q2903"/>
  <c r="S2903"/>
  <c r="R2901"/>
  <c r="Q2901"/>
  <c r="S2901"/>
  <c r="R2899"/>
  <c r="Q2899"/>
  <c r="S2899"/>
  <c r="R1759"/>
  <c r="Q1759"/>
  <c r="S1759"/>
  <c r="Q1722"/>
  <c r="S1722"/>
  <c r="R1722"/>
  <c r="Q1726"/>
  <c r="S1726"/>
  <c r="R1726"/>
  <c r="Q1732"/>
  <c r="S1732"/>
  <c r="R1732"/>
  <c r="Q1736"/>
  <c r="S1736"/>
  <c r="R1736"/>
  <c r="Q1742"/>
  <c r="S1742"/>
  <c r="R1742"/>
  <c r="R1745"/>
  <c r="Q1745"/>
  <c r="S1745"/>
  <c r="Q1750"/>
  <c r="S1750"/>
  <c r="R1750"/>
  <c r="R1751"/>
  <c r="Q1751"/>
  <c r="S1751"/>
  <c r="Q2654"/>
  <c r="S2654"/>
  <c r="R2654"/>
  <c r="R2661"/>
  <c r="Q2661"/>
  <c r="S2661"/>
  <c r="Q2680"/>
  <c r="S2680"/>
  <c r="R2680"/>
  <c r="Q2696"/>
  <c r="S2696"/>
  <c r="R2696"/>
  <c r="R2623"/>
  <c r="Q2623"/>
  <c r="S2623"/>
  <c r="Q2636"/>
  <c r="S2636"/>
  <c r="R2636"/>
  <c r="R2637"/>
  <c r="Q2637"/>
  <c r="S2637"/>
  <c r="A4831"/>
  <c r="R4831"/>
  <c r="Q4831"/>
  <c r="S4831"/>
  <c r="A4835"/>
  <c r="R4835"/>
  <c r="Q4835"/>
  <c r="S4835"/>
  <c r="A4836"/>
  <c r="Q4836"/>
  <c r="S4836"/>
  <c r="R4836"/>
  <c r="A4834"/>
  <c r="Q4834"/>
  <c r="S4834"/>
  <c r="R4834"/>
  <c r="A4832"/>
  <c r="Q4832"/>
  <c r="S4832"/>
  <c r="R4832"/>
  <c r="A4833"/>
  <c r="R4833"/>
  <c r="Q4833"/>
  <c r="S4833"/>
  <c r="A4837"/>
  <c r="R4837"/>
  <c r="Q4837"/>
  <c r="S4837"/>
  <c r="A4838"/>
  <c r="Q4838"/>
  <c r="S4838"/>
  <c r="R4838"/>
  <c r="A4839"/>
  <c r="R4839"/>
  <c r="Q4839"/>
  <c r="S4839"/>
  <c r="A4847"/>
  <c r="R4847"/>
  <c r="Q4847"/>
  <c r="S4847"/>
  <c r="A4845"/>
  <c r="R4845"/>
  <c r="Q4845"/>
  <c r="S4845"/>
  <c r="A4864"/>
  <c r="Q4864"/>
  <c r="S4864"/>
  <c r="R4864"/>
  <c r="A4905"/>
  <c r="R4905"/>
  <c r="Q4905"/>
  <c r="S4905"/>
  <c r="R4094"/>
  <c r="Q4094"/>
  <c r="S4094"/>
  <c r="Q4095"/>
  <c r="S4095"/>
  <c r="R4095"/>
  <c r="Q4097"/>
  <c r="S4097"/>
  <c r="R4097"/>
  <c r="R3084"/>
  <c r="Q3084"/>
  <c r="S3084"/>
  <c r="Q3521"/>
  <c r="S3521"/>
  <c r="R3521"/>
  <c r="R3514"/>
  <c r="Q3514"/>
  <c r="S3514"/>
  <c r="Q2918"/>
  <c r="S2918"/>
  <c r="R2918"/>
  <c r="Q2910"/>
  <c r="S2910"/>
  <c r="R2910"/>
  <c r="Q3085"/>
  <c r="S3085"/>
  <c r="R3085"/>
  <c r="R3086"/>
  <c r="Q3086"/>
  <c r="S3086"/>
  <c r="Q3087"/>
  <c r="S3087"/>
  <c r="R3087"/>
  <c r="R3088"/>
  <c r="Q3088"/>
  <c r="S3088"/>
  <c r="Q3089"/>
  <c r="S3089"/>
  <c r="R3089"/>
  <c r="R4082"/>
  <c r="Q4082"/>
  <c r="S4082"/>
  <c r="R1787"/>
  <c r="Q1787"/>
  <c r="S1787"/>
  <c r="R2665"/>
  <c r="Q2665"/>
  <c r="S2665"/>
  <c r="R1765"/>
  <c r="Q1765"/>
  <c r="S1765"/>
  <c r="Q1774"/>
  <c r="S1774"/>
  <c r="R1774"/>
  <c r="Q1772"/>
  <c r="S1772"/>
  <c r="R1772"/>
  <c r="Q1770"/>
  <c r="S1770"/>
  <c r="R1770"/>
  <c r="Q1768"/>
  <c r="S1768"/>
  <c r="R1768"/>
  <c r="Q1766"/>
  <c r="S1766"/>
  <c r="R1766"/>
  <c r="Q1780"/>
  <c r="S1780"/>
  <c r="R1780"/>
  <c r="Q1782"/>
  <c r="S1782"/>
  <c r="R1782"/>
  <c r="Q1784"/>
  <c r="S1784"/>
  <c r="R1784"/>
  <c r="Q1786"/>
  <c r="S1786"/>
  <c r="R1786"/>
  <c r="A4908"/>
  <c r="Q4908"/>
  <c r="S4908"/>
  <c r="R4908"/>
  <c r="R2671"/>
  <c r="Q2671"/>
  <c r="S2671"/>
  <c r="A3054"/>
  <c r="A3079"/>
  <c r="A2963"/>
  <c r="A2956"/>
  <c r="A4070"/>
  <c r="A2616"/>
  <c r="A3055"/>
  <c r="A2614"/>
  <c r="A2631"/>
  <c r="A2633"/>
  <c r="A2640"/>
  <c r="A2642"/>
  <c r="A2658"/>
  <c r="A2668"/>
  <c r="A1014"/>
  <c r="A2907"/>
  <c r="A2903"/>
  <c r="A2899"/>
  <c r="A1721"/>
  <c r="A1726"/>
  <c r="A1741"/>
  <c r="A1746"/>
  <c r="A2605"/>
  <c r="A2667"/>
  <c r="A2699"/>
  <c r="A3517"/>
  <c r="A2624"/>
  <c r="A4076"/>
  <c r="A4078"/>
  <c r="A4085"/>
  <c r="A3535"/>
  <c r="A3514"/>
  <c r="A3085"/>
  <c r="A3087"/>
  <c r="A3089"/>
  <c r="A752"/>
  <c r="A754"/>
  <c r="A756"/>
  <c r="A758"/>
  <c r="A760"/>
  <c r="A1788"/>
  <c r="A2782"/>
  <c r="A3527"/>
  <c r="A1771"/>
  <c r="A1767"/>
  <c r="A1781"/>
  <c r="A1785"/>
  <c r="A1022"/>
  <c r="A1045"/>
  <c r="A623"/>
  <c r="A770"/>
  <c r="A774"/>
  <c r="A778"/>
  <c r="A782"/>
  <c r="A786"/>
  <c r="A790"/>
  <c r="A740"/>
  <c r="A801"/>
  <c r="A797"/>
  <c r="A2958"/>
  <c r="A745"/>
  <c r="A3498"/>
  <c r="A3500"/>
  <c r="A3502"/>
  <c r="A3504"/>
  <c r="A3506"/>
  <c r="A3508"/>
  <c r="A3512"/>
  <c r="A3059"/>
  <c r="A3062"/>
  <c r="A3061"/>
  <c r="A3064"/>
  <c r="A3067"/>
  <c r="A3069"/>
  <c r="A3071"/>
  <c r="A3073"/>
  <c r="A2957"/>
  <c r="A3076"/>
  <c r="A3078"/>
  <c r="A3080"/>
  <c r="A2962"/>
  <c r="A2954"/>
  <c r="A2607"/>
  <c r="A3056"/>
  <c r="A2615"/>
  <c r="A2617"/>
  <c r="A2632"/>
  <c r="A2643"/>
  <c r="A2657"/>
  <c r="A2906"/>
  <c r="A2902"/>
  <c r="A2897"/>
  <c r="A1760"/>
  <c r="A1725"/>
  <c r="A1732"/>
  <c r="A1745"/>
  <c r="A1750"/>
  <c r="A2654"/>
  <c r="A2680"/>
  <c r="A2636"/>
  <c r="A4095"/>
  <c r="A4098"/>
  <c r="A3522"/>
  <c r="A3520"/>
  <c r="A3523"/>
  <c r="A3083"/>
  <c r="A3095"/>
  <c r="A3097"/>
  <c r="A3090"/>
  <c r="A1010"/>
  <c r="A1787"/>
  <c r="A762"/>
  <c r="A764"/>
  <c r="A1765"/>
  <c r="A1774"/>
  <c r="A1770"/>
  <c r="A1766"/>
  <c r="A1780"/>
  <c r="A1784"/>
  <c r="A1021"/>
  <c r="A1032"/>
  <c r="A1027"/>
  <c r="A769"/>
  <c r="A771"/>
  <c r="A775"/>
  <c r="A779"/>
  <c r="A783"/>
  <c r="A787"/>
  <c r="A791"/>
  <c r="A739"/>
  <c r="A800"/>
  <c r="A796"/>
  <c r="A3497"/>
  <c r="A2604"/>
  <c r="A3057"/>
  <c r="A2950"/>
  <c r="A3065"/>
  <c r="A2960"/>
  <c r="A2949"/>
  <c r="A2955"/>
  <c r="A4069"/>
  <c r="A2608"/>
  <c r="A2610"/>
  <c r="A2622"/>
  <c r="A2634"/>
  <c r="A2641"/>
  <c r="A2662"/>
  <c r="A2669"/>
  <c r="A2909"/>
  <c r="A2905"/>
  <c r="A2901"/>
  <c r="A1759"/>
  <c r="A1695"/>
  <c r="A1731"/>
  <c r="A1736"/>
  <c r="A1749"/>
  <c r="A1752"/>
  <c r="A2656"/>
  <c r="A2687"/>
  <c r="A3516"/>
  <c r="A4090"/>
  <c r="A4081"/>
  <c r="A4089"/>
  <c r="A3084"/>
  <c r="A3521"/>
  <c r="A2918"/>
  <c r="A2910"/>
  <c r="A3086"/>
  <c r="A3088"/>
  <c r="A751"/>
  <c r="A753"/>
  <c r="A755"/>
  <c r="A1009"/>
  <c r="A4082"/>
  <c r="A757"/>
  <c r="A759"/>
  <c r="A761"/>
  <c r="A2664"/>
  <c r="A1773"/>
  <c r="A1769"/>
  <c r="A1779"/>
  <c r="A1783"/>
  <c r="A1020"/>
  <c r="A1030"/>
  <c r="A1033"/>
  <c r="A1040"/>
  <c r="A1029"/>
  <c r="A768"/>
  <c r="A772"/>
  <c r="A776"/>
  <c r="A780"/>
  <c r="A784"/>
  <c r="A788"/>
  <c r="A792"/>
  <c r="A668"/>
  <c r="A799"/>
  <c r="A2671"/>
  <c r="A747"/>
  <c r="A746"/>
  <c r="A3499"/>
  <c r="A3501"/>
  <c r="A3503"/>
  <c r="A3505"/>
  <c r="A3507"/>
  <c r="A3509"/>
  <c r="A3511"/>
  <c r="A3513"/>
  <c r="A3053"/>
  <c r="A3058"/>
  <c r="A3060"/>
  <c r="A3063"/>
  <c r="A3066"/>
  <c r="A3068"/>
  <c r="A3070"/>
  <c r="A3072"/>
  <c r="A3074"/>
  <c r="A3075"/>
  <c r="A3077"/>
  <c r="A2959"/>
  <c r="A2952"/>
  <c r="A2609"/>
  <c r="A2611"/>
  <c r="A2618"/>
  <c r="A2621"/>
  <c r="A2663"/>
  <c r="A1015"/>
  <c r="A2908"/>
  <c r="A2904"/>
  <c r="A2900"/>
  <c r="A1694"/>
  <c r="A1722"/>
  <c r="A1735"/>
  <c r="A1742"/>
  <c r="A1751"/>
  <c r="A2661"/>
  <c r="A2696"/>
  <c r="A2623"/>
  <c r="A2637"/>
  <c r="A4094"/>
  <c r="A4097"/>
  <c r="A3515"/>
  <c r="A3518"/>
  <c r="A3519"/>
  <c r="A3524"/>
  <c r="A3082"/>
  <c r="A3094"/>
  <c r="A3096"/>
  <c r="A3098"/>
  <c r="A1011"/>
  <c r="A2665"/>
  <c r="A763"/>
  <c r="A1772"/>
  <c r="A1768"/>
  <c r="A1782"/>
  <c r="A1786"/>
  <c r="A1019"/>
  <c r="A1035"/>
  <c r="A1044"/>
  <c r="A622"/>
  <c r="A1028"/>
  <c r="A767"/>
  <c r="A773"/>
  <c r="A777"/>
  <c r="A781"/>
  <c r="A785"/>
  <c r="A789"/>
  <c r="A793"/>
  <c r="A669"/>
  <c r="A4025"/>
  <c r="A798"/>
  <c r="A2672"/>
  <c r="AA4815"/>
  <c r="B4815"/>
  <c r="AA4813"/>
  <c r="B4813"/>
  <c r="AA4812"/>
  <c r="B4812"/>
  <c r="AA4811"/>
  <c r="B4811"/>
  <c r="B4809"/>
  <c r="AA4809"/>
  <c r="AA4808"/>
  <c r="B4808"/>
  <c r="AA4807"/>
  <c r="B4807"/>
  <c r="AA4806"/>
  <c r="B4806"/>
  <c r="AA4805"/>
  <c r="B4805"/>
  <c r="AA4804"/>
  <c r="B4804"/>
  <c r="AA4803"/>
  <c r="B4803"/>
  <c r="B4802"/>
  <c r="AA4802"/>
  <c r="AA4800"/>
  <c r="AA4799"/>
  <c r="B4040"/>
  <c r="AA4040"/>
  <c r="AA4075"/>
  <c r="B4075"/>
  <c r="AA4074"/>
  <c r="B4074"/>
  <c r="AA4073"/>
  <c r="B4073"/>
  <c r="AA4072"/>
  <c r="B4072"/>
  <c r="AA4071"/>
  <c r="B2961"/>
  <c r="AA2961"/>
  <c r="AA4068"/>
  <c r="B4068"/>
  <c r="AA4067"/>
  <c r="AA4066"/>
  <c r="B4066"/>
  <c r="AA4065"/>
  <c r="B4065"/>
  <c r="AA4064"/>
  <c r="B4064"/>
  <c r="AA4063"/>
  <c r="B4063"/>
  <c r="AA4062"/>
  <c r="B4062"/>
  <c r="AA4061"/>
  <c r="B4061"/>
  <c r="AA4060"/>
  <c r="B4060"/>
  <c r="AA4059"/>
  <c r="B4059"/>
  <c r="AA4058"/>
  <c r="B4058"/>
  <c r="AA4057"/>
  <c r="B4057"/>
  <c r="AA4056"/>
  <c r="B4056"/>
  <c r="AA4055"/>
  <c r="B4055"/>
  <c r="AA4054"/>
  <c r="B4054"/>
  <c r="AA4053"/>
  <c r="B4053"/>
  <c r="AA4052"/>
  <c r="B4052"/>
  <c r="AA4051"/>
  <c r="B4051"/>
  <c r="B4049"/>
  <c r="AA4049"/>
  <c r="B4050"/>
  <c r="AA4050"/>
  <c r="AA4048"/>
  <c r="B4046"/>
  <c r="AA4046"/>
  <c r="B4047"/>
  <c r="AA4047"/>
  <c r="AA4045"/>
  <c r="B2403"/>
  <c r="B2402"/>
  <c r="B2396"/>
  <c r="B2395"/>
  <c r="B2399"/>
  <c r="B2398"/>
  <c r="B2428"/>
  <c r="B2427"/>
  <c r="AA2492"/>
  <c r="B2492"/>
  <c r="AA2491"/>
  <c r="B2491"/>
  <c r="AA2509"/>
  <c r="B2509"/>
  <c r="AA2508"/>
  <c r="B2508"/>
  <c r="AA2511"/>
  <c r="B2511"/>
  <c r="AA2510"/>
  <c r="B2510"/>
  <c r="AA2506"/>
  <c r="AA2507"/>
  <c r="B2507"/>
  <c r="B2506"/>
  <c r="B2527"/>
  <c r="B2526"/>
  <c r="B2678"/>
  <c r="B2677"/>
  <c r="B2679"/>
  <c r="B766"/>
  <c r="B765"/>
  <c r="AA1740"/>
  <c r="B1740"/>
  <c r="AA1739"/>
  <c r="B1739"/>
  <c r="B750"/>
  <c r="B749"/>
  <c r="B748"/>
  <c r="B678"/>
  <c r="B677"/>
  <c r="B1186"/>
  <c r="B1190"/>
  <c r="B1191"/>
  <c r="B1195"/>
  <c r="B1199"/>
  <c r="B1200"/>
  <c r="B1201"/>
  <c r="B1202"/>
  <c r="B1184"/>
  <c r="B1198"/>
  <c r="B1185"/>
  <c r="B1187"/>
  <c r="B1188"/>
  <c r="B1189"/>
  <c r="B1192"/>
  <c r="B1194"/>
  <c r="B1197"/>
  <c r="B1183"/>
  <c r="B1182"/>
  <c r="B1181"/>
  <c r="B1180"/>
  <c r="B1179"/>
  <c r="B1175"/>
  <c r="B1174"/>
  <c r="B738"/>
  <c r="B737"/>
  <c r="B736"/>
  <c r="B735"/>
  <c r="B734"/>
  <c r="B733"/>
  <c r="B744"/>
  <c r="B743"/>
  <c r="AA4849"/>
  <c r="B4849"/>
  <c r="AA4827"/>
  <c r="B4827"/>
  <c r="AA4826"/>
  <c r="B4826"/>
  <c r="B682"/>
  <c r="B681"/>
  <c r="B76"/>
  <c r="B2871"/>
  <c r="B2870"/>
  <c r="B3220"/>
  <c r="B3219"/>
  <c r="B3218"/>
  <c r="B3216"/>
  <c r="B3217"/>
  <c r="B3215"/>
  <c r="B3311"/>
  <c r="B3310"/>
  <c r="B3309"/>
  <c r="B3308"/>
  <c r="B3307"/>
  <c r="B3306"/>
  <c r="B3305"/>
  <c r="B3304"/>
  <c r="B3303"/>
  <c r="B3302"/>
  <c r="B3301"/>
  <c r="B3300"/>
  <c r="B3299"/>
  <c r="B3298"/>
  <c r="B3297"/>
  <c r="B3296"/>
  <c r="B3295"/>
  <c r="B3294"/>
  <c r="B3293"/>
  <c r="B3292"/>
  <c r="B3290"/>
  <c r="B3624"/>
  <c r="B3623"/>
  <c r="B3622"/>
  <c r="B3621"/>
  <c r="B3620"/>
  <c r="B3619"/>
  <c r="B3618"/>
  <c r="B3617"/>
  <c r="B3616"/>
  <c r="B3615"/>
  <c r="B3614"/>
  <c r="B3613"/>
  <c r="B3612"/>
  <c r="B3611"/>
  <c r="B3610"/>
  <c r="B3609"/>
  <c r="B3608"/>
  <c r="B3607"/>
  <c r="B3606"/>
  <c r="B3605"/>
  <c r="B3604"/>
  <c r="B3603"/>
  <c r="B3602"/>
  <c r="B3601"/>
  <c r="B3599"/>
  <c r="B3598"/>
  <c r="B3596"/>
  <c r="B3595"/>
  <c r="B3594"/>
  <c r="B3593"/>
  <c r="B3592"/>
  <c r="B3591"/>
  <c r="B3589"/>
  <c r="B3588"/>
  <c r="B4338"/>
  <c r="B4337"/>
  <c r="B4336"/>
  <c r="B4335"/>
  <c r="B4332"/>
  <c r="B4331"/>
  <c r="B4330"/>
  <c r="B4329"/>
  <c r="B4328"/>
  <c r="B4327"/>
  <c r="B4326"/>
  <c r="B4325"/>
  <c r="B4324"/>
  <c r="B4323"/>
  <c r="B4322"/>
  <c r="B4321"/>
  <c r="B4320"/>
  <c r="B4319"/>
  <c r="B4318"/>
  <c r="B4317"/>
  <c r="B4316"/>
  <c r="B4315"/>
  <c r="B4314"/>
  <c r="B4313"/>
  <c r="B4312"/>
  <c r="B4311"/>
  <c r="B4309"/>
  <c r="B4308"/>
  <c r="B4307"/>
  <c r="B4306"/>
  <c r="B4303"/>
  <c r="B4302"/>
  <c r="B4301"/>
  <c r="B4300"/>
  <c r="B3600"/>
  <c r="B4299"/>
  <c r="B4297"/>
  <c r="B4296"/>
  <c r="B3590"/>
  <c r="B4295"/>
  <c r="B4294"/>
  <c r="B4293"/>
  <c r="B4292"/>
  <c r="B4291"/>
  <c r="B4290"/>
  <c r="B4289"/>
  <c r="B2030"/>
  <c r="B2029"/>
  <c r="B2028"/>
  <c r="B2027"/>
  <c r="B2026"/>
  <c r="B2025"/>
  <c r="B2024"/>
  <c r="B2023"/>
  <c r="B2022"/>
  <c r="B2021"/>
  <c r="B2020"/>
  <c r="B2019"/>
  <c r="B2018"/>
  <c r="B2017"/>
  <c r="B2016"/>
  <c r="B2015"/>
  <c r="B2014"/>
  <c r="B2013"/>
  <c r="B2012"/>
  <c r="B2011"/>
  <c r="B2010"/>
  <c r="B2009"/>
  <c r="B2008"/>
  <c r="B2007"/>
  <c r="B2006"/>
  <c r="B2005"/>
  <c r="B2004"/>
  <c r="B2003"/>
  <c r="B2002"/>
  <c r="B2001"/>
  <c r="B2000"/>
  <c r="B1999"/>
  <c r="B1998"/>
  <c r="B1997"/>
  <c r="B1996"/>
  <c r="B1995"/>
  <c r="B1994"/>
  <c r="B1993"/>
  <c r="B1992"/>
  <c r="B1991"/>
  <c r="B1990"/>
  <c r="B1989"/>
  <c r="B1988"/>
  <c r="B1987"/>
  <c r="B1986"/>
  <c r="B3289"/>
  <c r="B1985"/>
  <c r="B1984"/>
  <c r="B1983"/>
  <c r="B1982"/>
  <c r="B1981"/>
  <c r="B1980"/>
  <c r="B1979"/>
  <c r="B1978"/>
  <c r="B1977"/>
  <c r="B1976"/>
  <c r="B1975"/>
  <c r="B4288"/>
  <c r="B1974"/>
  <c r="B1973"/>
  <c r="B1972"/>
  <c r="B1971"/>
  <c r="B1970"/>
  <c r="B4334"/>
  <c r="B4333"/>
  <c r="B4310"/>
  <c r="B4305"/>
  <c r="B4304"/>
  <c r="B3291"/>
  <c r="B4298"/>
  <c r="B1483"/>
  <c r="B1482"/>
  <c r="B1481"/>
  <c r="B1480"/>
  <c r="B1479"/>
  <c r="B1478"/>
  <c r="B1477"/>
  <c r="B1476"/>
  <c r="B1475"/>
  <c r="B1474"/>
  <c r="B1473"/>
  <c r="B1472"/>
  <c r="B1471"/>
  <c r="B1470"/>
  <c r="B1469"/>
  <c r="B1468"/>
  <c r="B1467"/>
  <c r="B1466"/>
  <c r="B1465"/>
  <c r="B1464"/>
  <c r="B1463"/>
  <c r="B1462"/>
  <c r="B1461"/>
  <c r="B1460"/>
  <c r="B1459"/>
  <c r="B375"/>
  <c r="B374"/>
  <c r="B373"/>
  <c r="B372"/>
  <c r="B369"/>
  <c r="B364"/>
  <c r="B363"/>
  <c r="B362"/>
  <c r="B361"/>
  <c r="B360"/>
  <c r="B305"/>
  <c r="B304"/>
  <c r="B300"/>
  <c r="B299"/>
  <c r="B298"/>
  <c r="B290"/>
  <c r="B289"/>
  <c r="B288"/>
  <c r="B287"/>
  <c r="B286"/>
  <c r="B275"/>
  <c r="B274"/>
  <c r="B254"/>
  <c r="B253"/>
  <c r="B252"/>
  <c r="B1117"/>
  <c r="B1116"/>
  <c r="B1115"/>
  <c r="B1114"/>
  <c r="B1025"/>
  <c r="B1024"/>
  <c r="B1023"/>
  <c r="B878"/>
  <c r="B877"/>
  <c r="B876"/>
  <c r="B875"/>
  <c r="B874"/>
  <c r="B873"/>
  <c r="B872"/>
  <c r="B871"/>
  <c r="B870"/>
  <c r="B869"/>
  <c r="B868"/>
  <c r="B867"/>
  <c r="B73"/>
  <c r="B72"/>
  <c r="B71"/>
  <c r="B70"/>
  <c r="B69"/>
  <c r="B68"/>
  <c r="B67"/>
  <c r="B66"/>
  <c r="B65"/>
  <c r="B64"/>
  <c r="B63"/>
  <c r="B62"/>
  <c r="B61"/>
  <c r="B60"/>
  <c r="B4044"/>
  <c r="B4043"/>
  <c r="B4042"/>
  <c r="B2951"/>
  <c r="B4039"/>
  <c r="B4038"/>
  <c r="B4037"/>
  <c r="B4036"/>
  <c r="B4035"/>
  <c r="B4034"/>
  <c r="B4033"/>
  <c r="B4032"/>
  <c r="B4796"/>
  <c r="B4031"/>
  <c r="B4030"/>
  <c r="B4029"/>
  <c r="B4028"/>
  <c r="B4027"/>
  <c r="B4026"/>
  <c r="B4024"/>
  <c r="B4023"/>
  <c r="B4022"/>
  <c r="B4021"/>
  <c r="B4019"/>
  <c r="B4017"/>
  <c r="B4016"/>
  <c r="B4015"/>
  <c r="B4014"/>
  <c r="B4013"/>
  <c r="B4012"/>
  <c r="B4011"/>
  <c r="B4010"/>
  <c r="B4009"/>
  <c r="B3496"/>
  <c r="B3495"/>
  <c r="B3494"/>
  <c r="B3493"/>
  <c r="B3492"/>
  <c r="B3491"/>
  <c r="B3490"/>
  <c r="B3489"/>
  <c r="B3488"/>
  <c r="B3487"/>
  <c r="B3486"/>
  <c r="B3485"/>
  <c r="B3484"/>
  <c r="B3483"/>
  <c r="B3482"/>
  <c r="B3481"/>
  <c r="B3480"/>
  <c r="B3479"/>
  <c r="B3478"/>
  <c r="B3477"/>
  <c r="B3476"/>
  <c r="B3474"/>
  <c r="B3473"/>
  <c r="B4792"/>
  <c r="B4795"/>
  <c r="B4794"/>
  <c r="B4791"/>
  <c r="B4020"/>
  <c r="B4790"/>
  <c r="B4789"/>
  <c r="B4788"/>
  <c r="B4787"/>
  <c r="B4786"/>
  <c r="B4785"/>
  <c r="B4784"/>
  <c r="B4008"/>
  <c r="B2670"/>
  <c r="B2666"/>
  <c r="B2660"/>
  <c r="B2655"/>
  <c r="B2653"/>
  <c r="B2651"/>
  <c r="B2652"/>
  <c r="B2650"/>
  <c r="B2644"/>
  <c r="B2635"/>
  <c r="B2630"/>
  <c r="B2645"/>
  <c r="B2625"/>
  <c r="B2620"/>
  <c r="B2619"/>
  <c r="B2606"/>
  <c r="B4823"/>
  <c r="B4822"/>
  <c r="B4814"/>
  <c r="B4810"/>
  <c r="B4801"/>
  <c r="B4798"/>
  <c r="B4797"/>
  <c r="B4793"/>
  <c r="B3475"/>
  <c r="B4783"/>
  <c r="B1738"/>
  <c r="B1737"/>
  <c r="B1734"/>
  <c r="B1733"/>
  <c r="B1730"/>
  <c r="B1729"/>
  <c r="B1724"/>
  <c r="B1723"/>
  <c r="B1720"/>
  <c r="B1719"/>
  <c r="B1718"/>
  <c r="B1717"/>
  <c r="B1716"/>
  <c r="B1715"/>
  <c r="B1714"/>
  <c r="B1713"/>
  <c r="B1712"/>
  <c r="B1711"/>
  <c r="B1710"/>
  <c r="B1709"/>
  <c r="B1708"/>
  <c r="B1707"/>
  <c r="B1706"/>
  <c r="B1705"/>
  <c r="B1704"/>
  <c r="B1703"/>
  <c r="B1702"/>
  <c r="B1701"/>
  <c r="B1700"/>
  <c r="B1699"/>
  <c r="B1698"/>
  <c r="B1697"/>
  <c r="B1696"/>
  <c r="B1693"/>
  <c r="B732"/>
  <c r="B731"/>
  <c r="B730"/>
  <c r="B729"/>
  <c r="B728"/>
  <c r="B727"/>
  <c r="B726"/>
  <c r="B725"/>
  <c r="B724"/>
  <c r="B723"/>
  <c r="B722"/>
  <c r="B721"/>
  <c r="B720"/>
  <c r="B719"/>
  <c r="B718"/>
  <c r="B717"/>
  <c r="B716"/>
  <c r="B715"/>
  <c r="B714"/>
  <c r="B713"/>
  <c r="B712"/>
  <c r="B711"/>
  <c r="B710"/>
  <c r="B709"/>
  <c r="B708"/>
  <c r="B707"/>
  <c r="B706"/>
  <c r="B705"/>
  <c r="B704"/>
  <c r="B703"/>
  <c r="B702"/>
  <c r="B701"/>
  <c r="B700"/>
  <c r="B699"/>
  <c r="B698"/>
  <c r="B697"/>
  <c r="B696"/>
  <c r="B695"/>
  <c r="B694"/>
  <c r="B693"/>
  <c r="B692"/>
  <c r="B691"/>
  <c r="B690"/>
  <c r="B689"/>
  <c r="B688"/>
  <c r="B687"/>
  <c r="B686"/>
  <c r="B685"/>
  <c r="B684"/>
  <c r="B683"/>
  <c r="B680"/>
  <c r="B679"/>
  <c r="B676"/>
  <c r="B675"/>
  <c r="B674"/>
  <c r="B673"/>
  <c r="B672"/>
  <c r="B671"/>
  <c r="B670"/>
  <c r="B1196"/>
  <c r="B1193"/>
  <c r="B1013"/>
  <c r="B1012"/>
  <c r="B1008"/>
  <c r="B1007"/>
  <c r="B1006"/>
  <c r="B1005"/>
  <c r="B1004"/>
  <c r="B1003"/>
  <c r="B1002"/>
  <c r="B1001"/>
  <c r="B1000"/>
  <c r="B999"/>
  <c r="B998"/>
  <c r="B997"/>
  <c r="B996"/>
  <c r="B995"/>
  <c r="B994"/>
  <c r="B993"/>
  <c r="B992"/>
  <c r="B991"/>
  <c r="B990"/>
  <c r="B201"/>
  <c r="B200"/>
  <c r="B199"/>
  <c r="B198"/>
  <c r="B197"/>
  <c r="B196"/>
  <c r="B195"/>
  <c r="B194"/>
  <c r="B193"/>
  <c r="B192"/>
  <c r="B191"/>
  <c r="B190"/>
  <c r="B189"/>
  <c r="B188"/>
  <c r="B50"/>
  <c r="B49"/>
  <c r="B48"/>
  <c r="B2869"/>
  <c r="B2895"/>
  <c r="B2894"/>
  <c r="B2893"/>
  <c r="B3472"/>
  <c r="B3471"/>
  <c r="B3470"/>
  <c r="B3469"/>
  <c r="B3468"/>
  <c r="B3467"/>
  <c r="B3466"/>
  <c r="B3464"/>
  <c r="B3463"/>
  <c r="B2945"/>
  <c r="B2943"/>
  <c r="B2942"/>
  <c r="B2941"/>
  <c r="B2938"/>
  <c r="B2935"/>
  <c r="B3052"/>
  <c r="B3051"/>
  <c r="B2946"/>
  <c r="B3050"/>
  <c r="B3049"/>
  <c r="B3048"/>
  <c r="B3047"/>
  <c r="B3046"/>
  <c r="B2939"/>
  <c r="B3044"/>
  <c r="B3043"/>
  <c r="B3042"/>
  <c r="B3041"/>
  <c r="B3040"/>
  <c r="B3039"/>
  <c r="B3038"/>
  <c r="B3037"/>
  <c r="B3036"/>
  <c r="B3035"/>
  <c r="B3034"/>
  <c r="B3033"/>
  <c r="B4007"/>
  <c r="B4005"/>
  <c r="B4004"/>
  <c r="B2940"/>
  <c r="B4003"/>
  <c r="B4002"/>
  <c r="B4001"/>
  <c r="B4000"/>
  <c r="B3999"/>
  <c r="B3998"/>
  <c r="B3997"/>
  <c r="B3996"/>
  <c r="B3995"/>
  <c r="B3994"/>
  <c r="B3993"/>
  <c r="B3992"/>
  <c r="B3991"/>
  <c r="B3990"/>
  <c r="B3989"/>
  <c r="B3988"/>
  <c r="B3987"/>
  <c r="B3986"/>
  <c r="B3985"/>
  <c r="B3984"/>
  <c r="B3983"/>
  <c r="B3982"/>
  <c r="B3980"/>
  <c r="B3979"/>
  <c r="B3978"/>
  <c r="B3975"/>
  <c r="B3974"/>
  <c r="B3973"/>
  <c r="B3972"/>
  <c r="B3971"/>
  <c r="B3970"/>
  <c r="B3969"/>
  <c r="B3967"/>
  <c r="B3966"/>
  <c r="B3965"/>
  <c r="B3964"/>
  <c r="B3963"/>
  <c r="B3962"/>
  <c r="B4731"/>
  <c r="B3961"/>
  <c r="B3960"/>
  <c r="B3957"/>
  <c r="B4006"/>
  <c r="B4782"/>
  <c r="B4781"/>
  <c r="B4780"/>
  <c r="B4779"/>
  <c r="B4778"/>
  <c r="B4777"/>
  <c r="B4776"/>
  <c r="B4775"/>
  <c r="B4774"/>
  <c r="B4772"/>
  <c r="B4771"/>
  <c r="B4770"/>
  <c r="B4768"/>
  <c r="B4767"/>
  <c r="B4766"/>
  <c r="B4765"/>
  <c r="B4764"/>
  <c r="B4763"/>
  <c r="B4762"/>
  <c r="B4761"/>
  <c r="B4760"/>
  <c r="B4759"/>
  <c r="B3981"/>
  <c r="B4758"/>
  <c r="B4757"/>
  <c r="B4756"/>
  <c r="B4755"/>
  <c r="B4754"/>
  <c r="B4750"/>
  <c r="B4749"/>
  <c r="B4753"/>
  <c r="B4748"/>
  <c r="B4747"/>
  <c r="B4746"/>
  <c r="B4745"/>
  <c r="B4744"/>
  <c r="B4743"/>
  <c r="B4742"/>
  <c r="B4741"/>
  <c r="B4740"/>
  <c r="B4739"/>
  <c r="B4738"/>
  <c r="B4737"/>
  <c r="B4736"/>
  <c r="B4735"/>
  <c r="B4734"/>
  <c r="B3968"/>
  <c r="B4733"/>
  <c r="B4730"/>
  <c r="B4728"/>
  <c r="B4727"/>
  <c r="B4725"/>
  <c r="B4724"/>
  <c r="B4723"/>
  <c r="B4722"/>
  <c r="B4721"/>
  <c r="B4720"/>
  <c r="B4719"/>
  <c r="B4718"/>
  <c r="B4717"/>
  <c r="B2599"/>
  <c r="B2598"/>
  <c r="B2597"/>
  <c r="B2596"/>
  <c r="B2595"/>
  <c r="B2594"/>
  <c r="B2593"/>
  <c r="B2592"/>
  <c r="B2591"/>
  <c r="B2590"/>
  <c r="B2589"/>
  <c r="B2588"/>
  <c r="B2585"/>
  <c r="B2584"/>
  <c r="B2583"/>
  <c r="B2582"/>
  <c r="B2579"/>
  <c r="B2578"/>
  <c r="B2577"/>
  <c r="B2576"/>
  <c r="B2575"/>
  <c r="B2574"/>
  <c r="B2573"/>
  <c r="B2572"/>
  <c r="B2571"/>
  <c r="B2570"/>
  <c r="B2569"/>
  <c r="B2568"/>
  <c r="B2567"/>
  <c r="B2566"/>
  <c r="B2565"/>
  <c r="B2564"/>
  <c r="B2563"/>
  <c r="B2562"/>
  <c r="B2561"/>
  <c r="B2560"/>
  <c r="B2559"/>
  <c r="B2558"/>
  <c r="B2557"/>
  <c r="B2554"/>
  <c r="B2553"/>
  <c r="B2552"/>
  <c r="B2551"/>
  <c r="B2550"/>
  <c r="B2549"/>
  <c r="B2548"/>
  <c r="B2547"/>
  <c r="B2546"/>
  <c r="B2545"/>
  <c r="B2544"/>
  <c r="B2543"/>
  <c r="B2542"/>
  <c r="B2541"/>
  <c r="B2540"/>
  <c r="B2539"/>
  <c r="B2538"/>
  <c r="B2537"/>
  <c r="B2536"/>
  <c r="B2535"/>
  <c r="B2534"/>
  <c r="B2533"/>
  <c r="B2532"/>
  <c r="B2531"/>
  <c r="B2530"/>
  <c r="B2529"/>
  <c r="B2528"/>
  <c r="B2525"/>
  <c r="B2524"/>
  <c r="B2523"/>
  <c r="B2522"/>
  <c r="B2521"/>
  <c r="B2520"/>
  <c r="B2519"/>
  <c r="B2517"/>
  <c r="B4752"/>
  <c r="B2896"/>
  <c r="B4751"/>
  <c r="B4773"/>
  <c r="B4769"/>
  <c r="B3465"/>
  <c r="B4732"/>
  <c r="B4729"/>
  <c r="B4726"/>
  <c r="B1691"/>
  <c r="B1690"/>
  <c r="B1689"/>
  <c r="B1688"/>
  <c r="B1687"/>
  <c r="B1686"/>
  <c r="B1685"/>
  <c r="B1684"/>
  <c r="B1683"/>
  <c r="B1682"/>
  <c r="B1681"/>
  <c r="B1680"/>
  <c r="B1679"/>
  <c r="B1678"/>
  <c r="B1677"/>
  <c r="B1676"/>
  <c r="B1675"/>
  <c r="B1674"/>
  <c r="B1673"/>
  <c r="B1672"/>
  <c r="B667"/>
  <c r="B666"/>
  <c r="B665"/>
  <c r="B664"/>
  <c r="B663"/>
  <c r="B662"/>
  <c r="B661"/>
  <c r="B660"/>
  <c r="B659"/>
  <c r="B658"/>
  <c r="B657"/>
  <c r="B656"/>
  <c r="B655"/>
  <c r="B654"/>
  <c r="B653"/>
  <c r="B652"/>
  <c r="B651"/>
  <c r="B650"/>
  <c r="B649"/>
  <c r="B648"/>
  <c r="B647"/>
  <c r="B646"/>
  <c r="B645"/>
  <c r="B644"/>
  <c r="B643"/>
  <c r="B642"/>
  <c r="B641"/>
  <c r="B640"/>
  <c r="B639"/>
  <c r="B638"/>
  <c r="B637"/>
  <c r="B636"/>
  <c r="B635"/>
  <c r="B634"/>
  <c r="B633"/>
  <c r="B632"/>
  <c r="B631"/>
  <c r="B630"/>
  <c r="B629"/>
  <c r="B628"/>
  <c r="B627"/>
  <c r="B626"/>
  <c r="B625"/>
  <c r="B624"/>
  <c r="B1178"/>
  <c r="B1177"/>
  <c r="B1176"/>
  <c r="B989"/>
  <c r="B988"/>
  <c r="B987"/>
  <c r="B986"/>
  <c r="B985"/>
  <c r="B984"/>
  <c r="B983"/>
  <c r="B982"/>
  <c r="B185"/>
  <c r="B184"/>
  <c r="B183"/>
  <c r="B182"/>
  <c r="B181"/>
  <c r="B180"/>
  <c r="B179"/>
  <c r="B178"/>
  <c r="B177"/>
  <c r="B176"/>
  <c r="B175"/>
  <c r="B174"/>
  <c r="B173"/>
  <c r="B172"/>
  <c r="B47"/>
  <c r="B46"/>
  <c r="B3020"/>
  <c r="B3019"/>
  <c r="B3017"/>
  <c r="B3016"/>
  <c r="B3907"/>
  <c r="B3906"/>
  <c r="B3248"/>
  <c r="B3904"/>
  <c r="B3903"/>
  <c r="B2927"/>
  <c r="B3901"/>
  <c r="B3900"/>
  <c r="B3899"/>
  <c r="B3898"/>
  <c r="B3897"/>
  <c r="B3896"/>
  <c r="B3895"/>
  <c r="B3894"/>
  <c r="B3893"/>
  <c r="B3892"/>
  <c r="B3891"/>
  <c r="B3890"/>
  <c r="B3889"/>
  <c r="B3888"/>
  <c r="B3887"/>
  <c r="B3886"/>
  <c r="B3885"/>
  <c r="B3884"/>
  <c r="B3883"/>
  <c r="B3882"/>
  <c r="B3881"/>
  <c r="B3880"/>
  <c r="B3879"/>
  <c r="B3878"/>
  <c r="B3877"/>
  <c r="B3876"/>
  <c r="B3875"/>
  <c r="B3874"/>
  <c r="B3873"/>
  <c r="B3872"/>
  <c r="B3871"/>
  <c r="B3870"/>
  <c r="B3869"/>
  <c r="B3868"/>
  <c r="B3867"/>
  <c r="B3865"/>
  <c r="B3864"/>
  <c r="B3860"/>
  <c r="B3862"/>
  <c r="B3861"/>
  <c r="B3859"/>
  <c r="B3858"/>
  <c r="B3857"/>
  <c r="B3856"/>
  <c r="B3855"/>
  <c r="B3853"/>
  <c r="B3851"/>
  <c r="B3850"/>
  <c r="B4621"/>
  <c r="B4619"/>
  <c r="B4618"/>
  <c r="B4617"/>
  <c r="B4616"/>
  <c r="B4615"/>
  <c r="B4614"/>
  <c r="B4613"/>
  <c r="B4612"/>
  <c r="B4611"/>
  <c r="B4610"/>
  <c r="B4609"/>
  <c r="B4608"/>
  <c r="B4607"/>
  <c r="B4606"/>
  <c r="B4605"/>
  <c r="B4604"/>
  <c r="B4603"/>
  <c r="B4602"/>
  <c r="B4601"/>
  <c r="B4600"/>
  <c r="B4599"/>
  <c r="B4597"/>
  <c r="B3902"/>
  <c r="B4595"/>
  <c r="B4594"/>
  <c r="B4593"/>
  <c r="B4592"/>
  <c r="B3863"/>
  <c r="B4591"/>
  <c r="B4590"/>
  <c r="B4589"/>
  <c r="B4588"/>
  <c r="B4587"/>
  <c r="B4586"/>
  <c r="B4585"/>
  <c r="B4584"/>
  <c r="B4583"/>
  <c r="B4581"/>
  <c r="B4580"/>
  <c r="B4578"/>
  <c r="B4577"/>
  <c r="B4576"/>
  <c r="B4575"/>
  <c r="B3854"/>
  <c r="B4574"/>
  <c r="B4573"/>
  <c r="B4572"/>
  <c r="B4571"/>
  <c r="B3457"/>
  <c r="B3456"/>
  <c r="B3455"/>
  <c r="B3454"/>
  <c r="B3453"/>
  <c r="B3452"/>
  <c r="B3451"/>
  <c r="B3450"/>
  <c r="B3449"/>
  <c r="B3448"/>
  <c r="B3447"/>
  <c r="B3446"/>
  <c r="B3443"/>
  <c r="B3442"/>
  <c r="B3441"/>
  <c r="B3440"/>
  <c r="B3439"/>
  <c r="B3438"/>
  <c r="B3436"/>
  <c r="B3435"/>
  <c r="B3434"/>
  <c r="B3432"/>
  <c r="B3431"/>
  <c r="B3430"/>
  <c r="B3429"/>
  <c r="B3428"/>
  <c r="B3427"/>
  <c r="B3426"/>
  <c r="B3425"/>
  <c r="B3424"/>
  <c r="B3423"/>
  <c r="B3422"/>
  <c r="B3421"/>
  <c r="B3420"/>
  <c r="B3418"/>
  <c r="B3417"/>
  <c r="B3416"/>
  <c r="B3414"/>
  <c r="B3413"/>
  <c r="B3412"/>
  <c r="B3411"/>
  <c r="B3410"/>
  <c r="B2868"/>
  <c r="B2891"/>
  <c r="B2890"/>
  <c r="B2889"/>
  <c r="B2888"/>
  <c r="B2887"/>
  <c r="B2886"/>
  <c r="B2885"/>
  <c r="B2884"/>
  <c r="B2882"/>
  <c r="B2881"/>
  <c r="B2429"/>
  <c r="B2426"/>
  <c r="B2425"/>
  <c r="B2424"/>
  <c r="B2423"/>
  <c r="B2422"/>
  <c r="B2421"/>
  <c r="B2420"/>
  <c r="B2419"/>
  <c r="B2418"/>
  <c r="B2417"/>
  <c r="B2416"/>
  <c r="B2415"/>
  <c r="B2414"/>
  <c r="B2413"/>
  <c r="B2412"/>
  <c r="B2411"/>
  <c r="B2410"/>
  <c r="B2409"/>
  <c r="B2408"/>
  <c r="B2407"/>
  <c r="B2406"/>
  <c r="B3015"/>
  <c r="B2405"/>
  <c r="B2404"/>
  <c r="B2401"/>
  <c r="B2400"/>
  <c r="B2397"/>
  <c r="B3419"/>
  <c r="B2394"/>
  <c r="B2393"/>
  <c r="B2392"/>
  <c r="B2391"/>
  <c r="B2390"/>
  <c r="B2389"/>
  <c r="B2388"/>
  <c r="B2387"/>
  <c r="B2386"/>
  <c r="B2385"/>
  <c r="B2384"/>
  <c r="B2383"/>
  <c r="B2382"/>
  <c r="B2381"/>
  <c r="B2380"/>
  <c r="B2379"/>
  <c r="B2378"/>
  <c r="B2377"/>
  <c r="B2376"/>
  <c r="B2375"/>
  <c r="B2374"/>
  <c r="B2373"/>
  <c r="B2372"/>
  <c r="B2371"/>
  <c r="B2370"/>
  <c r="B2369"/>
  <c r="B2368"/>
  <c r="B2367"/>
  <c r="B2366"/>
  <c r="B4620"/>
  <c r="B4598"/>
  <c r="B4596"/>
  <c r="B3018"/>
  <c r="B3437"/>
  <c r="B3433"/>
  <c r="B2883"/>
  <c r="B4582"/>
  <c r="B4579"/>
  <c r="B3415"/>
  <c r="B1646"/>
  <c r="B1645"/>
  <c r="B1644"/>
  <c r="B1643"/>
  <c r="B1642"/>
  <c r="B1641"/>
  <c r="B1640"/>
  <c r="B1639"/>
  <c r="B1638"/>
  <c r="B1637"/>
  <c r="B1636"/>
  <c r="B1635"/>
  <c r="B1634"/>
  <c r="B1633"/>
  <c r="B1632"/>
  <c r="B1631"/>
  <c r="B1630"/>
  <c r="B1629"/>
  <c r="B1628"/>
  <c r="B1627"/>
  <c r="B1626"/>
  <c r="B573"/>
  <c r="B572"/>
  <c r="B571"/>
  <c r="B570"/>
  <c r="B569"/>
  <c r="B568"/>
  <c r="B567"/>
  <c r="B566"/>
  <c r="B565"/>
  <c r="B564"/>
  <c r="B563"/>
  <c r="B562"/>
  <c r="B561"/>
  <c r="B560"/>
  <c r="B559"/>
  <c r="B558"/>
  <c r="B557"/>
  <c r="B556"/>
  <c r="B555"/>
  <c r="B554"/>
  <c r="B553"/>
  <c r="B552"/>
  <c r="B551"/>
  <c r="B550"/>
  <c r="B549"/>
  <c r="B548"/>
  <c r="B547"/>
  <c r="B546"/>
  <c r="B545"/>
  <c r="B544"/>
  <c r="B543"/>
  <c r="B542"/>
  <c r="B541"/>
  <c r="B540"/>
  <c r="B539"/>
  <c r="B538"/>
  <c r="B537"/>
  <c r="B536"/>
  <c r="B535"/>
  <c r="B534"/>
  <c r="B533"/>
  <c r="B532"/>
  <c r="B531"/>
  <c r="B530"/>
  <c r="B529"/>
  <c r="B528"/>
  <c r="B527"/>
  <c r="B526"/>
  <c r="B525"/>
  <c r="B524"/>
  <c r="B523"/>
  <c r="B1147"/>
  <c r="B1146"/>
  <c r="B1145"/>
  <c r="B1144"/>
  <c r="B1143"/>
  <c r="B1142"/>
  <c r="B961"/>
  <c r="B960"/>
  <c r="B959"/>
  <c r="B958"/>
  <c r="B957"/>
  <c r="B956"/>
  <c r="B955"/>
  <c r="B954"/>
  <c r="B953"/>
  <c r="B952"/>
  <c r="B951"/>
  <c r="B950"/>
  <c r="B949"/>
  <c r="B948"/>
  <c r="B947"/>
  <c r="B946"/>
  <c r="B945"/>
  <c r="B944"/>
  <c r="B943"/>
  <c r="B942"/>
  <c r="B941"/>
  <c r="B940"/>
  <c r="B939"/>
  <c r="B938"/>
  <c r="B937"/>
  <c r="B936"/>
  <c r="B935"/>
  <c r="B934"/>
  <c r="B933"/>
  <c r="B932"/>
  <c r="B931"/>
  <c r="B930"/>
  <c r="B929"/>
  <c r="B153"/>
  <c r="B152"/>
  <c r="B151"/>
  <c r="B150"/>
  <c r="B149"/>
  <c r="B148"/>
  <c r="B147"/>
  <c r="B146"/>
  <c r="B145"/>
  <c r="B144"/>
  <c r="B143"/>
  <c r="B142"/>
  <c r="B141"/>
  <c r="B140"/>
  <c r="B41"/>
  <c r="B40"/>
  <c r="B39"/>
  <c r="B3848"/>
  <c r="B3845"/>
  <c r="B3844"/>
  <c r="B3843"/>
  <c r="B3842"/>
  <c r="B3841"/>
  <c r="B3840"/>
  <c r="B4563"/>
  <c r="B3839"/>
  <c r="B3838"/>
  <c r="B3837"/>
  <c r="B3836"/>
  <c r="B3835"/>
  <c r="B3818"/>
  <c r="B3817"/>
  <c r="B3816"/>
  <c r="B3815"/>
  <c r="B3812"/>
  <c r="B3810"/>
  <c r="B3809"/>
  <c r="B3808"/>
  <c r="B3804"/>
  <c r="B3803"/>
  <c r="B3802"/>
  <c r="B3801"/>
  <c r="B3800"/>
  <c r="B3798"/>
  <c r="B3797"/>
  <c r="B3796"/>
  <c r="B3795"/>
  <c r="B3794"/>
  <c r="B3792"/>
  <c r="B3791"/>
  <c r="B3787"/>
  <c r="B3847"/>
  <c r="B4570"/>
  <c r="B3846"/>
  <c r="B4567"/>
  <c r="B4566"/>
  <c r="B4565"/>
  <c r="B4564"/>
  <c r="B4562"/>
  <c r="B4561"/>
  <c r="B4560"/>
  <c r="B4559"/>
  <c r="B4558"/>
  <c r="B4557"/>
  <c r="B4556"/>
  <c r="B4554"/>
  <c r="B4553"/>
  <c r="B4552"/>
  <c r="B4551"/>
  <c r="B4550"/>
  <c r="B4549"/>
  <c r="B4547"/>
  <c r="B4546"/>
  <c r="B4545"/>
  <c r="B4544"/>
  <c r="B4543"/>
  <c r="B4542"/>
  <c r="B4541"/>
  <c r="B4540"/>
  <c r="B4539"/>
  <c r="B4538"/>
  <c r="B4537"/>
  <c r="B4536"/>
  <c r="B4534"/>
  <c r="B4533"/>
  <c r="B4532"/>
  <c r="B4531"/>
  <c r="B3811"/>
  <c r="B4530"/>
  <c r="B4529"/>
  <c r="B4528"/>
  <c r="B4527"/>
  <c r="B4526"/>
  <c r="B4525"/>
  <c r="B4523"/>
  <c r="B4522"/>
  <c r="B4520"/>
  <c r="B4518"/>
  <c r="B4519"/>
  <c r="B4517"/>
  <c r="B4515"/>
  <c r="B4514"/>
  <c r="B4513"/>
  <c r="B4512"/>
  <c r="B3790"/>
  <c r="B4511"/>
  <c r="B4510"/>
  <c r="B4509"/>
  <c r="B4508"/>
  <c r="B4507"/>
  <c r="B3789"/>
  <c r="B4506"/>
  <c r="B3246"/>
  <c r="B3408"/>
  <c r="B3407"/>
  <c r="B3406"/>
  <c r="B3405"/>
  <c r="B3404"/>
  <c r="B3403"/>
  <c r="B3402"/>
  <c r="B3401"/>
  <c r="B3400"/>
  <c r="B3399"/>
  <c r="B3398"/>
  <c r="B3397"/>
  <c r="B3396"/>
  <c r="B3395"/>
  <c r="B3394"/>
  <c r="B3247"/>
  <c r="B3391"/>
  <c r="B3390"/>
  <c r="B3389"/>
  <c r="B3388"/>
  <c r="B3387"/>
  <c r="B3386"/>
  <c r="B2867"/>
  <c r="B2880"/>
  <c r="B2365"/>
  <c r="B2364"/>
  <c r="B2363"/>
  <c r="B2362"/>
  <c r="B2361"/>
  <c r="B2360"/>
  <c r="B2359"/>
  <c r="B3409"/>
  <c r="B2358"/>
  <c r="B2357"/>
  <c r="B2356"/>
  <c r="B2355"/>
  <c r="B2354"/>
  <c r="B2353"/>
  <c r="B2352"/>
  <c r="B2351"/>
  <c r="B2350"/>
  <c r="B2349"/>
  <c r="B2348"/>
  <c r="B2347"/>
  <c r="B2346"/>
  <c r="B2345"/>
  <c r="B2344"/>
  <c r="B2343"/>
  <c r="B4548"/>
  <c r="B2342"/>
  <c r="B2341"/>
  <c r="B2340"/>
  <c r="B2339"/>
  <c r="B2338"/>
  <c r="B2337"/>
  <c r="B2336"/>
  <c r="B2335"/>
  <c r="B2334"/>
  <c r="B2333"/>
  <c r="B2332"/>
  <c r="B2331"/>
  <c r="B2330"/>
  <c r="B2329"/>
  <c r="B2328"/>
  <c r="B2327"/>
  <c r="B2326"/>
  <c r="B2325"/>
  <c r="B2324"/>
  <c r="B2323"/>
  <c r="B2322"/>
  <c r="B2321"/>
  <c r="B2320"/>
  <c r="B2319"/>
  <c r="B2318"/>
  <c r="B2317"/>
  <c r="B2316"/>
  <c r="B2315"/>
  <c r="B2314"/>
  <c r="B2313"/>
  <c r="B2312"/>
  <c r="B2311"/>
  <c r="B2310"/>
  <c r="B2309"/>
  <c r="B2308"/>
  <c r="B2307"/>
  <c r="B2306"/>
  <c r="B2305"/>
  <c r="B2304"/>
  <c r="B2303"/>
  <c r="B2302"/>
  <c r="B2301"/>
  <c r="B2300"/>
  <c r="B2299"/>
  <c r="B2298"/>
  <c r="B3393"/>
  <c r="B2297"/>
  <c r="B2296"/>
  <c r="B2295"/>
  <c r="B2294"/>
  <c r="B2293"/>
  <c r="B2292"/>
  <c r="B2291"/>
  <c r="B2290"/>
  <c r="B2289"/>
  <c r="B2288"/>
  <c r="B2287"/>
  <c r="B2286"/>
  <c r="B2285"/>
  <c r="B2284"/>
  <c r="B2283"/>
  <c r="B2282"/>
  <c r="B2281"/>
  <c r="B2280"/>
  <c r="B2279"/>
  <c r="B2278"/>
  <c r="B2277"/>
  <c r="B2276"/>
  <c r="B2275"/>
  <c r="B2274"/>
  <c r="B2273"/>
  <c r="B2272"/>
  <c r="B2271"/>
  <c r="B2270"/>
  <c r="B2269"/>
  <c r="B2268"/>
  <c r="B2267"/>
  <c r="B2266"/>
  <c r="B2265"/>
  <c r="B4569"/>
  <c r="B4568"/>
  <c r="B2264"/>
  <c r="B4555"/>
  <c r="B4535"/>
  <c r="B4524"/>
  <c r="B4521"/>
  <c r="B4516"/>
  <c r="B3392"/>
  <c r="B1625"/>
  <c r="B1624"/>
  <c r="B1623"/>
  <c r="B1622"/>
  <c r="B1621"/>
  <c r="B1620"/>
  <c r="B1619"/>
  <c r="B1618"/>
  <c r="B1617"/>
  <c r="B1616"/>
  <c r="B1615"/>
  <c r="B1614"/>
  <c r="B1613"/>
  <c r="B1612"/>
  <c r="B1611"/>
  <c r="B1610"/>
  <c r="B1609"/>
  <c r="B1608"/>
  <c r="B1607"/>
  <c r="B1606"/>
  <c r="B1605"/>
  <c r="B1604"/>
  <c r="B1603"/>
  <c r="B1602"/>
  <c r="B1601"/>
  <c r="B1600"/>
  <c r="B1599"/>
  <c r="B1598"/>
  <c r="B1597"/>
  <c r="B1596"/>
  <c r="B1595"/>
  <c r="B1594"/>
  <c r="B1593"/>
  <c r="B1592"/>
  <c r="B1591"/>
  <c r="B1590"/>
  <c r="B1589"/>
  <c r="B1588"/>
  <c r="B1587"/>
  <c r="B1586"/>
  <c r="B1585"/>
  <c r="B1584"/>
  <c r="B1583"/>
  <c r="B1580"/>
  <c r="B1579"/>
  <c r="B1582"/>
  <c r="B1581"/>
  <c r="B1578"/>
  <c r="B1577"/>
  <c r="B1576"/>
  <c r="B1575"/>
  <c r="B1574"/>
  <c r="B1573"/>
  <c r="B1572"/>
  <c r="B1571"/>
  <c r="B1570"/>
  <c r="B1569"/>
  <c r="B1568"/>
  <c r="B1567"/>
  <c r="B522"/>
  <c r="B521"/>
  <c r="B520"/>
  <c r="B519"/>
  <c r="B518"/>
  <c r="B517"/>
  <c r="B516"/>
  <c r="B515"/>
  <c r="B514"/>
  <c r="B513"/>
  <c r="B512"/>
  <c r="B511"/>
  <c r="B510"/>
  <c r="B509"/>
  <c r="B508"/>
  <c r="B507"/>
  <c r="B506"/>
  <c r="B505"/>
  <c r="B504"/>
  <c r="B503"/>
  <c r="B502"/>
  <c r="B501"/>
  <c r="B500"/>
  <c r="B499"/>
  <c r="B498"/>
  <c r="B497"/>
  <c r="B496"/>
  <c r="B495"/>
  <c r="B494"/>
  <c r="B493"/>
  <c r="B492"/>
  <c r="B491"/>
  <c r="B490"/>
  <c r="B489"/>
  <c r="B488"/>
  <c r="B487"/>
  <c r="B486"/>
  <c r="B485"/>
  <c r="B484"/>
  <c r="B483"/>
  <c r="B482"/>
  <c r="B481"/>
  <c r="B480"/>
  <c r="B479"/>
  <c r="B478"/>
  <c r="B477"/>
  <c r="B476"/>
  <c r="B475"/>
  <c r="B474"/>
  <c r="B473"/>
  <c r="B472"/>
  <c r="B1141"/>
  <c r="B1139"/>
  <c r="B1138"/>
  <c r="B1137"/>
  <c r="B1136"/>
  <c r="B1135"/>
  <c r="B1134"/>
  <c r="B1133"/>
  <c r="B928"/>
  <c r="B927"/>
  <c r="B926"/>
  <c r="B925"/>
  <c r="B924"/>
  <c r="B923"/>
  <c r="B922"/>
  <c r="B921"/>
  <c r="B920"/>
  <c r="B919"/>
  <c r="B918"/>
  <c r="B917"/>
  <c r="B916"/>
  <c r="B915"/>
  <c r="B914"/>
  <c r="B913"/>
  <c r="B137"/>
  <c r="B136"/>
  <c r="B135"/>
  <c r="B134"/>
  <c r="B133"/>
  <c r="B132"/>
  <c r="B131"/>
  <c r="B130"/>
  <c r="B129"/>
  <c r="B128"/>
  <c r="B127"/>
  <c r="B126"/>
  <c r="B125"/>
  <c r="B124"/>
  <c r="B38"/>
  <c r="B37"/>
  <c r="B36"/>
  <c r="B2879"/>
  <c r="B3245"/>
  <c r="B3244"/>
  <c r="B3243"/>
  <c r="B3242"/>
  <c r="B3241"/>
  <c r="B3240"/>
  <c r="B3239"/>
  <c r="B3238"/>
  <c r="B3237"/>
  <c r="B3236"/>
  <c r="B3235"/>
  <c r="B3234"/>
  <c r="B3385"/>
  <c r="B3384"/>
  <c r="B3786"/>
  <c r="B3785"/>
  <c r="B3784"/>
  <c r="B3783"/>
  <c r="B3782"/>
  <c r="B3781"/>
  <c r="B3780"/>
  <c r="B3779"/>
  <c r="B3778"/>
  <c r="B3777"/>
  <c r="B3776"/>
  <c r="B3775"/>
  <c r="B3774"/>
  <c r="B3773"/>
  <c r="B3772"/>
  <c r="B3771"/>
  <c r="B3770"/>
  <c r="B3769"/>
  <c r="B3768"/>
  <c r="B3767"/>
  <c r="B3766"/>
  <c r="B3765"/>
  <c r="B3764"/>
  <c r="B3233"/>
  <c r="B3232"/>
  <c r="B3762"/>
  <c r="B3756"/>
  <c r="B3755"/>
  <c r="B3754"/>
  <c r="B3753"/>
  <c r="B3752"/>
  <c r="B3751"/>
  <c r="B3231"/>
  <c r="B3230"/>
  <c r="B3750"/>
  <c r="B3748"/>
  <c r="B3747"/>
  <c r="B3746"/>
  <c r="B3744"/>
  <c r="B3743"/>
  <c r="B4505"/>
  <c r="B4504"/>
  <c r="B4503"/>
  <c r="B4502"/>
  <c r="B4501"/>
  <c r="B4500"/>
  <c r="B4499"/>
  <c r="B4498"/>
  <c r="B4497"/>
  <c r="B4496"/>
  <c r="B4495"/>
  <c r="B4494"/>
  <c r="B4493"/>
  <c r="B4492"/>
  <c r="B4491"/>
  <c r="B4490"/>
  <c r="B4489"/>
  <c r="B4488"/>
  <c r="B4487"/>
  <c r="B4486"/>
  <c r="B4485"/>
  <c r="B4484"/>
  <c r="B4483"/>
  <c r="B4482"/>
  <c r="B4478"/>
  <c r="B4477"/>
  <c r="B4476"/>
  <c r="B4475"/>
  <c r="B4474"/>
  <c r="B4473"/>
  <c r="B4472"/>
  <c r="B4468"/>
  <c r="B3761"/>
  <c r="B3760"/>
  <c r="B4467"/>
  <c r="B4466"/>
  <c r="B4464"/>
  <c r="B4463"/>
  <c r="B4462"/>
  <c r="B4461"/>
  <c r="B4460"/>
  <c r="B4459"/>
  <c r="B4458"/>
  <c r="B4457"/>
  <c r="B4456"/>
  <c r="B4455"/>
  <c r="B4454"/>
  <c r="B4453"/>
  <c r="B4452"/>
  <c r="B4451"/>
  <c r="B4450"/>
  <c r="B4449"/>
  <c r="B4445"/>
  <c r="B4444"/>
  <c r="B4443"/>
  <c r="B4442"/>
  <c r="B4441"/>
  <c r="B3749"/>
  <c r="B4439"/>
  <c r="B4438"/>
  <c r="B4437"/>
  <c r="B4436"/>
  <c r="B4435"/>
  <c r="B4434"/>
  <c r="B4433"/>
  <c r="B4432"/>
  <c r="B4431"/>
  <c r="B4430"/>
  <c r="B4429"/>
  <c r="B4428"/>
  <c r="B4427"/>
  <c r="B4426"/>
  <c r="B4425"/>
  <c r="B4424"/>
  <c r="B4423"/>
  <c r="B4422"/>
  <c r="B4421"/>
  <c r="B4420"/>
  <c r="B4419"/>
  <c r="B4418"/>
  <c r="B4417"/>
  <c r="B4416"/>
  <c r="B4413"/>
  <c r="B4412"/>
  <c r="B4411"/>
  <c r="B4410"/>
  <c r="B4409"/>
  <c r="B3742"/>
  <c r="B4408"/>
  <c r="B2263"/>
  <c r="B2262"/>
  <c r="B2261"/>
  <c r="B2260"/>
  <c r="B2259"/>
  <c r="B2258"/>
  <c r="B2257"/>
  <c r="B4479"/>
  <c r="B2256"/>
  <c r="B2255"/>
  <c r="B2254"/>
  <c r="B2253"/>
  <c r="B2252"/>
  <c r="B4470"/>
  <c r="B2251"/>
  <c r="B2250"/>
  <c r="B2249"/>
  <c r="B2248"/>
  <c r="B2247"/>
  <c r="B2246"/>
  <c r="B2245"/>
  <c r="B2244"/>
  <c r="B2243"/>
  <c r="B2242"/>
  <c r="B2241"/>
  <c r="B2240"/>
  <c r="B2239"/>
  <c r="B2238"/>
  <c r="B2237"/>
  <c r="B2236"/>
  <c r="B2235"/>
  <c r="B4446"/>
  <c r="B2234"/>
  <c r="B2233"/>
  <c r="B2232"/>
  <c r="B2231"/>
  <c r="B2230"/>
  <c r="B2229"/>
  <c r="B2228"/>
  <c r="B2227"/>
  <c r="B2226"/>
  <c r="B2225"/>
  <c r="B2224"/>
  <c r="B2223"/>
  <c r="B2222"/>
  <c r="B2221"/>
  <c r="B2220"/>
  <c r="B2219"/>
  <c r="B2218"/>
  <c r="B2217"/>
  <c r="B2216"/>
  <c r="B2215"/>
  <c r="B2214"/>
  <c r="B2213"/>
  <c r="B2212"/>
  <c r="B2211"/>
  <c r="B2210"/>
  <c r="B2209"/>
  <c r="B2208"/>
  <c r="B2207"/>
  <c r="B2206"/>
  <c r="B2205"/>
  <c r="B2204"/>
  <c r="B2203"/>
  <c r="B2202"/>
  <c r="B2201"/>
  <c r="B4414"/>
  <c r="B2200"/>
  <c r="B2199"/>
  <c r="B2198"/>
  <c r="B2197"/>
  <c r="B2196"/>
  <c r="B2195"/>
  <c r="B2194"/>
  <c r="B2193"/>
  <c r="B2192"/>
  <c r="B2191"/>
  <c r="B2190"/>
  <c r="B2189"/>
  <c r="B2188"/>
  <c r="B2187"/>
  <c r="B2186"/>
  <c r="B2185"/>
  <c r="B2184"/>
  <c r="B2183"/>
  <c r="B4481"/>
  <c r="B4480"/>
  <c r="B4471"/>
  <c r="B4469"/>
  <c r="B4465"/>
  <c r="B4448"/>
  <c r="B4447"/>
  <c r="B4440"/>
  <c r="B4415"/>
  <c r="B4407"/>
  <c r="B1552"/>
  <c r="B1551"/>
  <c r="B1566"/>
  <c r="B1565"/>
  <c r="B1564"/>
  <c r="B1563"/>
  <c r="B1562"/>
  <c r="B1561"/>
  <c r="B1560"/>
  <c r="B1559"/>
  <c r="B1558"/>
  <c r="B1557"/>
  <c r="B1556"/>
  <c r="B1555"/>
  <c r="B1554"/>
  <c r="B1553"/>
  <c r="B1550"/>
  <c r="B1549"/>
  <c r="B1548"/>
  <c r="B1547"/>
  <c r="B1546"/>
  <c r="B1545"/>
  <c r="B1544"/>
  <c r="B1543"/>
  <c r="B1542"/>
  <c r="B1541"/>
  <c r="B1540"/>
  <c r="B1539"/>
  <c r="B1538"/>
  <c r="B1537"/>
  <c r="B471"/>
  <c r="B470"/>
  <c r="B469"/>
  <c r="B468"/>
  <c r="B467"/>
  <c r="B466"/>
  <c r="B465"/>
  <c r="B464"/>
  <c r="B463"/>
  <c r="B462"/>
  <c r="B461"/>
  <c r="B460"/>
  <c r="B459"/>
  <c r="B458"/>
  <c r="B457"/>
  <c r="B456"/>
  <c r="B455"/>
  <c r="B454"/>
  <c r="B453"/>
  <c r="B452"/>
  <c r="B451"/>
  <c r="B450"/>
  <c r="B449"/>
  <c r="B448"/>
  <c r="B447"/>
  <c r="B446"/>
  <c r="B445"/>
  <c r="B444"/>
  <c r="B443"/>
  <c r="B442"/>
  <c r="B441"/>
  <c r="B1132"/>
  <c r="B1131"/>
  <c r="B1130"/>
  <c r="B1129"/>
  <c r="B1128"/>
  <c r="B1127"/>
  <c r="B1126"/>
  <c r="B1125"/>
  <c r="B912"/>
  <c r="B911"/>
  <c r="B910"/>
  <c r="B909"/>
  <c r="B908"/>
  <c r="B907"/>
  <c r="B906"/>
  <c r="B905"/>
  <c r="B904"/>
  <c r="B903"/>
  <c r="B902"/>
  <c r="B901"/>
  <c r="B900"/>
  <c r="B899"/>
  <c r="B898"/>
  <c r="B121"/>
  <c r="B120"/>
  <c r="B119"/>
  <c r="B118"/>
  <c r="B117"/>
  <c r="B116"/>
  <c r="B115"/>
  <c r="B114"/>
  <c r="B113"/>
  <c r="B112"/>
  <c r="B111"/>
  <c r="B110"/>
  <c r="B109"/>
  <c r="B108"/>
  <c r="B35"/>
  <c r="B34"/>
  <c r="B33"/>
  <c r="B3229"/>
  <c r="B2878"/>
  <c r="B2877"/>
  <c r="B2876"/>
  <c r="B2875"/>
  <c r="B2874"/>
  <c r="B2873"/>
  <c r="B3383"/>
  <c r="B3382"/>
  <c r="B3380"/>
  <c r="B3379"/>
  <c r="B3378"/>
  <c r="B3377"/>
  <c r="B3376"/>
  <c r="B3375"/>
  <c r="B3374"/>
  <c r="B3373"/>
  <c r="B3372"/>
  <c r="B3371"/>
  <c r="B3370"/>
  <c r="B3369"/>
  <c r="B3368"/>
  <c r="B3367"/>
  <c r="B3366"/>
  <c r="B3365"/>
  <c r="B3364"/>
  <c r="B3363"/>
  <c r="B3362"/>
  <c r="B3361"/>
  <c r="B3360"/>
  <c r="B3359"/>
  <c r="B3358"/>
  <c r="B3357"/>
  <c r="B3356"/>
  <c r="B3355"/>
  <c r="B3354"/>
  <c r="B3353"/>
  <c r="B3352"/>
  <c r="B3351"/>
  <c r="B3350"/>
  <c r="B3349"/>
  <c r="B3345"/>
  <c r="B3344"/>
  <c r="B4406"/>
  <c r="B4405"/>
  <c r="B4403"/>
  <c r="B4402"/>
  <c r="B4401"/>
  <c r="B4400"/>
  <c r="B4399"/>
  <c r="B4398"/>
  <c r="B4395"/>
  <c r="B4394"/>
  <c r="B4393"/>
  <c r="B4392"/>
  <c r="B4391"/>
  <c r="B4390"/>
  <c r="B4389"/>
  <c r="B4388"/>
  <c r="B4386"/>
  <c r="B4384"/>
  <c r="B4383"/>
  <c r="B4382"/>
  <c r="B4381"/>
  <c r="B4380"/>
  <c r="B4379"/>
  <c r="B4378"/>
  <c r="B4377"/>
  <c r="B4376"/>
  <c r="B4374"/>
  <c r="B4373"/>
  <c r="B3740"/>
  <c r="B3739"/>
  <c r="B3738"/>
  <c r="B3737"/>
  <c r="B3736"/>
  <c r="B3735"/>
  <c r="B3734"/>
  <c r="B3733"/>
  <c r="B3732"/>
  <c r="B3731"/>
  <c r="B3730"/>
  <c r="B3729"/>
  <c r="B3741"/>
  <c r="B3728"/>
  <c r="B3727"/>
  <c r="B3726"/>
  <c r="B3725"/>
  <c r="B3724"/>
  <c r="B3723"/>
  <c r="B3722"/>
  <c r="B3721"/>
  <c r="B3720"/>
  <c r="B3719"/>
  <c r="B3718"/>
  <c r="B3717"/>
  <c r="B3716"/>
  <c r="B3715"/>
  <c r="B3713"/>
  <c r="B3712"/>
  <c r="B3711"/>
  <c r="B3710"/>
  <c r="B3709"/>
  <c r="B3707"/>
  <c r="B3706"/>
  <c r="B2182"/>
  <c r="B2181"/>
  <c r="B2180"/>
  <c r="B2179"/>
  <c r="B2178"/>
  <c r="B2177"/>
  <c r="B2176"/>
  <c r="B4404"/>
  <c r="B2175"/>
  <c r="B2174"/>
  <c r="B2173"/>
  <c r="B2172"/>
  <c r="B2171"/>
  <c r="B2170"/>
  <c r="B2169"/>
  <c r="B2168"/>
  <c r="B2167"/>
  <c r="B2166"/>
  <c r="B2165"/>
  <c r="B2164"/>
  <c r="B2163"/>
  <c r="B2162"/>
  <c r="B2161"/>
  <c r="B2160"/>
  <c r="B2159"/>
  <c r="B2158"/>
  <c r="B2157"/>
  <c r="B2156"/>
  <c r="B2155"/>
  <c r="B4397"/>
  <c r="B2154"/>
  <c r="B2153"/>
  <c r="B2152"/>
  <c r="B2151"/>
  <c r="B2150"/>
  <c r="B2149"/>
  <c r="B2148"/>
  <c r="B2147"/>
  <c r="B2146"/>
  <c r="B2145"/>
  <c r="B2144"/>
  <c r="B2143"/>
  <c r="B2142"/>
  <c r="B2141"/>
  <c r="B2140"/>
  <c r="B2139"/>
  <c r="B2138"/>
  <c r="B2137"/>
  <c r="B2136"/>
  <c r="B2135"/>
  <c r="B2134"/>
  <c r="B2133"/>
  <c r="B2132"/>
  <c r="B2131"/>
  <c r="B2130"/>
  <c r="B2129"/>
  <c r="B2128"/>
  <c r="B2127"/>
  <c r="B2126"/>
  <c r="B2125"/>
  <c r="B2124"/>
  <c r="B3381"/>
  <c r="B4396"/>
  <c r="B4387"/>
  <c r="B4385"/>
  <c r="B3348"/>
  <c r="B4375"/>
  <c r="B3347"/>
  <c r="B3346"/>
  <c r="B1536"/>
  <c r="B1535"/>
  <c r="B1534"/>
  <c r="B1533"/>
  <c r="B1532"/>
  <c r="B1531"/>
  <c r="B1530"/>
  <c r="B1529"/>
  <c r="B1528"/>
  <c r="B1527"/>
  <c r="B1526"/>
  <c r="B1525"/>
  <c r="B1524"/>
  <c r="B1523"/>
  <c r="B1522"/>
  <c r="B1521"/>
  <c r="B1520"/>
  <c r="B1519"/>
  <c r="B1518"/>
  <c r="B1517"/>
  <c r="B1516"/>
  <c r="B1515"/>
  <c r="B1514"/>
  <c r="B1513"/>
  <c r="B1512"/>
  <c r="B1511"/>
  <c r="B1510"/>
  <c r="B1509"/>
  <c r="B1508"/>
  <c r="B1507"/>
  <c r="B1506"/>
  <c r="B1505"/>
  <c r="B1504"/>
  <c r="B1503"/>
  <c r="B1502"/>
  <c r="B1501"/>
  <c r="B1500"/>
  <c r="B1499"/>
  <c r="B1498"/>
  <c r="B1497"/>
  <c r="B1496"/>
  <c r="B1495"/>
  <c r="B440"/>
  <c r="B439"/>
  <c r="B438"/>
  <c r="B437"/>
  <c r="B436"/>
  <c r="B435"/>
  <c r="B434"/>
  <c r="B433"/>
  <c r="B432"/>
  <c r="B431"/>
  <c r="B430"/>
  <c r="B429"/>
  <c r="B428"/>
  <c r="B427"/>
  <c r="B426"/>
  <c r="B425"/>
  <c r="B424"/>
  <c r="B423"/>
  <c r="B422"/>
  <c r="B421"/>
  <c r="B420"/>
  <c r="B419"/>
  <c r="B418"/>
  <c r="B417"/>
  <c r="B416"/>
  <c r="B415"/>
  <c r="B414"/>
  <c r="B413"/>
  <c r="B412"/>
  <c r="B411"/>
  <c r="B410"/>
  <c r="B409"/>
  <c r="B408"/>
  <c r="B407"/>
  <c r="B406"/>
  <c r="B405"/>
  <c r="B404"/>
  <c r="B1124"/>
  <c r="B1123"/>
  <c r="B1122"/>
  <c r="B1121"/>
  <c r="B1120"/>
  <c r="B897"/>
  <c r="B896"/>
  <c r="B895"/>
  <c r="B894"/>
  <c r="B893"/>
  <c r="B892"/>
  <c r="B891"/>
  <c r="B890"/>
  <c r="B889"/>
  <c r="B888"/>
  <c r="B887"/>
  <c r="B886"/>
  <c r="B885"/>
  <c r="B884"/>
  <c r="B883"/>
  <c r="B105"/>
  <c r="B104"/>
  <c r="B103"/>
  <c r="B102"/>
  <c r="B101"/>
  <c r="B100"/>
  <c r="B99"/>
  <c r="B98"/>
  <c r="B97"/>
  <c r="B96"/>
  <c r="B95"/>
  <c r="B94"/>
  <c r="B93"/>
  <c r="B92"/>
  <c r="B32"/>
  <c r="B31"/>
  <c r="B30"/>
  <c r="B3228"/>
  <c r="B3705"/>
  <c r="B3704"/>
  <c r="B3703"/>
  <c r="B3702"/>
  <c r="B3701"/>
  <c r="B3700"/>
  <c r="B3699"/>
  <c r="B3698"/>
  <c r="B3697"/>
  <c r="B3696"/>
  <c r="B3695"/>
  <c r="B3694"/>
  <c r="B3693"/>
  <c r="B3692"/>
  <c r="B3691"/>
  <c r="B3690"/>
  <c r="B3689"/>
  <c r="B3688"/>
  <c r="B3687"/>
  <c r="B3686"/>
  <c r="B3685"/>
  <c r="B3684"/>
  <c r="B3683"/>
  <c r="B3682"/>
  <c r="B3681"/>
  <c r="B3680"/>
  <c r="B3679"/>
  <c r="B3678"/>
  <c r="B3677"/>
  <c r="B3676"/>
  <c r="B3675"/>
  <c r="B3674"/>
  <c r="B3672"/>
  <c r="B3671"/>
  <c r="B3670"/>
  <c r="B3669"/>
  <c r="B3668"/>
  <c r="B3667"/>
  <c r="B3666"/>
  <c r="B3665"/>
  <c r="B3664"/>
  <c r="B3663"/>
  <c r="B3662"/>
  <c r="B3659"/>
  <c r="B3658"/>
  <c r="B3657"/>
  <c r="B3656"/>
  <c r="B3655"/>
  <c r="B3654"/>
  <c r="B3653"/>
  <c r="B3652"/>
  <c r="B3651"/>
  <c r="B3650"/>
  <c r="B3649"/>
  <c r="B3648"/>
  <c r="B3647"/>
  <c r="B3646"/>
  <c r="B3645"/>
  <c r="B3644"/>
  <c r="B3642"/>
  <c r="B3641"/>
  <c r="B3640"/>
  <c r="B3639"/>
  <c r="B3638"/>
  <c r="B3637"/>
  <c r="B3636"/>
  <c r="B3635"/>
  <c r="B3634"/>
  <c r="B3633"/>
  <c r="B3632"/>
  <c r="B3631"/>
  <c r="B3630"/>
  <c r="B3629"/>
  <c r="B3628"/>
  <c r="B3627"/>
  <c r="B3626"/>
  <c r="B3625"/>
  <c r="B4372"/>
  <c r="B4371"/>
  <c r="B4370"/>
  <c r="B4368"/>
  <c r="B3673"/>
  <c r="B3661"/>
  <c r="B4366"/>
  <c r="B4365"/>
  <c r="B4364"/>
  <c r="B4363"/>
  <c r="B3660"/>
  <c r="B4362"/>
  <c r="B4360"/>
  <c r="B3643"/>
  <c r="B4359"/>
  <c r="B4358"/>
  <c r="B4357"/>
  <c r="B4356"/>
  <c r="B4355"/>
  <c r="B4354"/>
  <c r="B4353"/>
  <c r="B4352"/>
  <c r="B4351"/>
  <c r="B4350"/>
  <c r="B4349"/>
  <c r="B4348"/>
  <c r="B4347"/>
  <c r="B4346"/>
  <c r="B4345"/>
  <c r="B4344"/>
  <c r="B4343"/>
  <c r="B4342"/>
  <c r="B4341"/>
  <c r="B4340"/>
  <c r="B4339"/>
  <c r="B3226"/>
  <c r="B3225"/>
  <c r="B3224"/>
  <c r="B3222"/>
  <c r="B3223"/>
  <c r="B3221"/>
  <c r="B3340"/>
  <c r="B3339"/>
  <c r="B3338"/>
  <c r="B3337"/>
  <c r="B3336"/>
  <c r="B3335"/>
  <c r="B3227"/>
  <c r="B3334"/>
  <c r="B3333"/>
  <c r="B3332"/>
  <c r="B3331"/>
  <c r="B3329"/>
  <c r="B3328"/>
  <c r="B3327"/>
  <c r="B3326"/>
  <c r="B3325"/>
  <c r="B3324"/>
  <c r="B3323"/>
  <c r="B3322"/>
  <c r="B3321"/>
  <c r="B3320"/>
  <c r="B3319"/>
  <c r="B2872"/>
  <c r="B3318"/>
  <c r="B3316"/>
  <c r="B3315"/>
  <c r="B3314"/>
  <c r="B3312"/>
  <c r="B2123"/>
  <c r="B2122"/>
  <c r="B2121"/>
  <c r="B3343"/>
  <c r="B3342"/>
  <c r="B2120"/>
  <c r="B2119"/>
  <c r="B2118"/>
  <c r="B2117"/>
  <c r="B2116"/>
  <c r="B2115"/>
  <c r="B2114"/>
  <c r="B2113"/>
  <c r="B2112"/>
  <c r="B2111"/>
  <c r="B2110"/>
  <c r="B2109"/>
  <c r="B2108"/>
  <c r="B2107"/>
  <c r="B2106"/>
  <c r="B2105"/>
  <c r="B2104"/>
  <c r="B2103"/>
  <c r="B2102"/>
  <c r="B2101"/>
  <c r="B2100"/>
  <c r="B2099"/>
  <c r="B2098"/>
  <c r="B2097"/>
  <c r="B2096"/>
  <c r="B2095"/>
  <c r="B2094"/>
  <c r="B2093"/>
  <c r="B2092"/>
  <c r="B2091"/>
  <c r="B2090"/>
  <c r="B2089"/>
  <c r="B2088"/>
  <c r="B2087"/>
  <c r="B2086"/>
  <c r="B2085"/>
  <c r="B2084"/>
  <c r="B2083"/>
  <c r="B2082"/>
  <c r="B2081"/>
  <c r="B2080"/>
  <c r="B2079"/>
  <c r="B2078"/>
  <c r="B2077"/>
  <c r="B2076"/>
  <c r="B2075"/>
  <c r="B2074"/>
  <c r="B2073"/>
  <c r="B2072"/>
  <c r="B2071"/>
  <c r="B2070"/>
  <c r="B2069"/>
  <c r="B2068"/>
  <c r="B2067"/>
  <c r="B2066"/>
  <c r="B2065"/>
  <c r="B2064"/>
  <c r="B2063"/>
  <c r="B2062"/>
  <c r="B2061"/>
  <c r="B3317"/>
  <c r="B2060"/>
  <c r="B2059"/>
  <c r="B2058"/>
  <c r="B2057"/>
  <c r="B2056"/>
  <c r="B2055"/>
  <c r="B2054"/>
  <c r="B2053"/>
  <c r="B2052"/>
  <c r="B2051"/>
  <c r="B2050"/>
  <c r="B2049"/>
  <c r="B2048"/>
  <c r="B2047"/>
  <c r="B2046"/>
  <c r="B2045"/>
  <c r="B2044"/>
  <c r="B2043"/>
  <c r="B2042"/>
  <c r="B2041"/>
  <c r="B2040"/>
  <c r="B2039"/>
  <c r="B2038"/>
  <c r="B2037"/>
  <c r="B2036"/>
  <c r="B2035"/>
  <c r="B2034"/>
  <c r="B2033"/>
  <c r="B2032"/>
  <c r="B3341"/>
  <c r="B4369"/>
  <c r="B4367"/>
  <c r="B3330"/>
  <c r="B2031"/>
  <c r="B4361"/>
  <c r="B3313"/>
  <c r="B1494"/>
  <c r="B1493"/>
  <c r="B1492"/>
  <c r="B1491"/>
  <c r="B1490"/>
  <c r="B1489"/>
  <c r="B1488"/>
  <c r="B1487"/>
  <c r="B1486"/>
  <c r="B1485"/>
  <c r="B1484"/>
  <c r="B403"/>
  <c r="B1119"/>
  <c r="B1118"/>
  <c r="B882"/>
  <c r="B881"/>
  <c r="B880"/>
  <c r="B879"/>
  <c r="B89"/>
  <c r="B88"/>
  <c r="B87"/>
  <c r="B86"/>
  <c r="B85"/>
  <c r="B84"/>
  <c r="B83"/>
  <c r="B82"/>
  <c r="B81"/>
  <c r="B80"/>
  <c r="B79"/>
  <c r="B78"/>
  <c r="B77"/>
  <c r="B29"/>
  <c r="B28"/>
  <c r="B27"/>
  <c r="B26"/>
  <c r="B25"/>
  <c r="B24"/>
  <c r="B23"/>
  <c r="B22"/>
  <c r="B21"/>
  <c r="B20"/>
  <c r="B19"/>
  <c r="B18"/>
  <c r="B17"/>
  <c r="B16"/>
  <c r="B15"/>
  <c r="B14"/>
  <c r="B13"/>
  <c r="B12"/>
  <c r="B1017"/>
  <c r="B1016"/>
  <c r="B1018"/>
  <c r="B2700"/>
  <c r="B2695"/>
  <c r="B2690"/>
  <c r="AA1754"/>
  <c r="B1754"/>
  <c r="AA1753"/>
  <c r="B1753"/>
  <c r="AA1748"/>
  <c r="B1748"/>
  <c r="AA1747"/>
  <c r="B1747"/>
  <c r="AA1744"/>
  <c r="B1744"/>
  <c r="AA1743"/>
  <c r="G87" i="55" a="1"/>
  <c r="G87" s="1"/>
  <c r="I87" a="1"/>
  <c r="I87" s="1"/>
  <c r="G88" a="1"/>
  <c r="G88" s="1"/>
  <c r="I88" a="1"/>
  <c r="I88" s="1"/>
  <c r="AA1738" i="34"/>
  <c r="AA1737"/>
  <c r="AA1734"/>
  <c r="AA1733"/>
  <c r="AA1730"/>
  <c r="AA1729"/>
  <c r="AA1724"/>
  <c r="AA1723"/>
  <c r="AA1720"/>
  <c r="AA1719"/>
  <c r="AA1718"/>
  <c r="AA1717"/>
  <c r="A16" i="12"/>
  <c r="B621" i="34"/>
  <c r="B620"/>
  <c r="B71" i="55"/>
  <c r="A71" s="1"/>
  <c r="G104" a="1"/>
  <c r="G104" s="1"/>
  <c r="I104" a="1"/>
  <c r="I104" s="1"/>
  <c r="G80" a="1"/>
  <c r="G80" s="1"/>
  <c r="I80" a="1"/>
  <c r="I80" s="1"/>
  <c r="G96" a="1"/>
  <c r="G96" s="1"/>
  <c r="I96" a="1"/>
  <c r="I96" s="1"/>
  <c r="G100" a="1"/>
  <c r="G100" s="1"/>
  <c r="I100" a="1"/>
  <c r="I100" s="1"/>
  <c r="G103" a="1"/>
  <c r="G103" s="1"/>
  <c r="I103" a="1"/>
  <c r="I103" s="1"/>
  <c r="G78" a="1"/>
  <c r="G78" s="1"/>
  <c r="I78" a="1"/>
  <c r="I78" s="1"/>
  <c r="G77" a="1"/>
  <c r="G77" s="1"/>
  <c r="I77" a="1"/>
  <c r="I77" s="1"/>
  <c r="G95" a="1"/>
  <c r="G95" s="1"/>
  <c r="I95" a="1"/>
  <c r="I95" s="1"/>
  <c r="G67" a="1"/>
  <c r="G67" s="1"/>
  <c r="I67" a="1"/>
  <c r="I67" s="1"/>
  <c r="G71" a="1"/>
  <c r="G71" s="1"/>
  <c r="I71" a="1"/>
  <c r="I71" s="1"/>
  <c r="AA4814" i="34"/>
  <c r="R620" l="1"/>
  <c r="Q620"/>
  <c r="S620"/>
  <c r="Q621"/>
  <c r="S621"/>
  <c r="R621"/>
  <c r="Q1018"/>
  <c r="S1018"/>
  <c r="R1018"/>
  <c r="R1017"/>
  <c r="Q1017"/>
  <c r="S1017"/>
  <c r="R13"/>
  <c r="Q13"/>
  <c r="S13"/>
  <c r="R15"/>
  <c r="Q15"/>
  <c r="S15"/>
  <c r="R17"/>
  <c r="Q17"/>
  <c r="S17"/>
  <c r="R19"/>
  <c r="Q19"/>
  <c r="S19"/>
  <c r="R21"/>
  <c r="Q21"/>
  <c r="S21"/>
  <c r="R23"/>
  <c r="Q23"/>
  <c r="S23"/>
  <c r="R25"/>
  <c r="Q25"/>
  <c r="S25"/>
  <c r="R27"/>
  <c r="Q27"/>
  <c r="S27"/>
  <c r="R29"/>
  <c r="Q29"/>
  <c r="S29"/>
  <c r="Q78"/>
  <c r="S78"/>
  <c r="R78"/>
  <c r="Q80"/>
  <c r="S80"/>
  <c r="R80"/>
  <c r="Q82"/>
  <c r="S82"/>
  <c r="R82"/>
  <c r="Q84"/>
  <c r="S84"/>
  <c r="R84"/>
  <c r="Q86"/>
  <c r="S86"/>
  <c r="R86"/>
  <c r="Q88"/>
  <c r="S88"/>
  <c r="R88"/>
  <c r="R879"/>
  <c r="Q879"/>
  <c r="S879"/>
  <c r="R881"/>
  <c r="Q881"/>
  <c r="S881"/>
  <c r="Q1118"/>
  <c r="S1118"/>
  <c r="R1118"/>
  <c r="Q388"/>
  <c r="S388"/>
  <c r="R388"/>
  <c r="Q403"/>
  <c r="S403"/>
  <c r="R403"/>
  <c r="R1485"/>
  <c r="Q1485"/>
  <c r="S1485"/>
  <c r="R1487"/>
  <c r="S1487"/>
  <c r="Q1487"/>
  <c r="R1489"/>
  <c r="Q1489"/>
  <c r="S1489"/>
  <c r="R1491"/>
  <c r="S1491"/>
  <c r="Q1491"/>
  <c r="R1493"/>
  <c r="Q1493"/>
  <c r="S1493"/>
  <c r="R31"/>
  <c r="Q31"/>
  <c r="S31"/>
  <c r="Q92"/>
  <c r="S92"/>
  <c r="R92"/>
  <c r="Q94"/>
  <c r="S94"/>
  <c r="R94"/>
  <c r="Q96"/>
  <c r="S96"/>
  <c r="R96"/>
  <c r="Q98"/>
  <c r="S98"/>
  <c r="R98"/>
  <c r="Q100"/>
  <c r="S100"/>
  <c r="R100"/>
  <c r="Q102"/>
  <c r="S102"/>
  <c r="R102"/>
  <c r="Q104"/>
  <c r="S104"/>
  <c r="R104"/>
  <c r="R883"/>
  <c r="Q883"/>
  <c r="S883"/>
  <c r="R885"/>
  <c r="Q885"/>
  <c r="S885"/>
  <c r="R887"/>
  <c r="Q887"/>
  <c r="S887"/>
  <c r="R889"/>
  <c r="Q889"/>
  <c r="S889"/>
  <c r="R891"/>
  <c r="Q891"/>
  <c r="S891"/>
  <c r="R893"/>
  <c r="Q893"/>
  <c r="S893"/>
  <c r="R895"/>
  <c r="Q895"/>
  <c r="S895"/>
  <c r="R897"/>
  <c r="Q897"/>
  <c r="S897"/>
  <c r="R1121"/>
  <c r="Q1121"/>
  <c r="S1121"/>
  <c r="R1123"/>
  <c r="Q1123"/>
  <c r="S1123"/>
  <c r="R404"/>
  <c r="Q404"/>
  <c r="S404"/>
  <c r="R406"/>
  <c r="Q406"/>
  <c r="S406"/>
  <c r="R408"/>
  <c r="Q408"/>
  <c r="S408"/>
  <c r="R410"/>
  <c r="Q410"/>
  <c r="S410"/>
  <c r="R412"/>
  <c r="Q412"/>
  <c r="S412"/>
  <c r="R414"/>
  <c r="Q414"/>
  <c r="S414"/>
  <c r="R416"/>
  <c r="Q416"/>
  <c r="S416"/>
  <c r="R418"/>
  <c r="Q418"/>
  <c r="S418"/>
  <c r="R420"/>
  <c r="Q420"/>
  <c r="S420"/>
  <c r="R422"/>
  <c r="Q422"/>
  <c r="S422"/>
  <c r="R424"/>
  <c r="Q424"/>
  <c r="S424"/>
  <c r="R426"/>
  <c r="Q426"/>
  <c r="S426"/>
  <c r="R428"/>
  <c r="Q428"/>
  <c r="S428"/>
  <c r="R430"/>
  <c r="Q430"/>
  <c r="S430"/>
  <c r="R432"/>
  <c r="Q432"/>
  <c r="S432"/>
  <c r="R434"/>
  <c r="Q434"/>
  <c r="S434"/>
  <c r="R436"/>
  <c r="Q436"/>
  <c r="S436"/>
  <c r="R438"/>
  <c r="Q438"/>
  <c r="S438"/>
  <c r="R440"/>
  <c r="Q440"/>
  <c r="S440"/>
  <c r="Q1496"/>
  <c r="S1496"/>
  <c r="R1496"/>
  <c r="Q1498"/>
  <c r="S1498"/>
  <c r="R1498"/>
  <c r="Q1500"/>
  <c r="S1500"/>
  <c r="R1500"/>
  <c r="Q1502"/>
  <c r="S1502"/>
  <c r="R1502"/>
  <c r="Q1504"/>
  <c r="S1504"/>
  <c r="R1504"/>
  <c r="Q1506"/>
  <c r="S1506"/>
  <c r="R1506"/>
  <c r="Q1508"/>
  <c r="S1508"/>
  <c r="R1508"/>
  <c r="Q1510"/>
  <c r="S1510"/>
  <c r="R1510"/>
  <c r="Q1512"/>
  <c r="S1512"/>
  <c r="R1512"/>
  <c r="Q1514"/>
  <c r="S1514"/>
  <c r="R1514"/>
  <c r="Q1516"/>
  <c r="S1516"/>
  <c r="R1516"/>
  <c r="Q1518"/>
  <c r="S1518"/>
  <c r="R1518"/>
  <c r="Q1520"/>
  <c r="S1520"/>
  <c r="R1520"/>
  <c r="Q1522"/>
  <c r="S1522"/>
  <c r="R1522"/>
  <c r="Q1524"/>
  <c r="S1524"/>
  <c r="R1524"/>
  <c r="Q1526"/>
  <c r="S1526"/>
  <c r="R1526"/>
  <c r="Q1528"/>
  <c r="S1528"/>
  <c r="R1528"/>
  <c r="Q1530"/>
  <c r="S1530"/>
  <c r="R1530"/>
  <c r="Q1532"/>
  <c r="S1532"/>
  <c r="R1532"/>
  <c r="Q1534"/>
  <c r="S1534"/>
  <c r="R1534"/>
  <c r="Q1536"/>
  <c r="S1536"/>
  <c r="R1536"/>
  <c r="Q34"/>
  <c r="S34"/>
  <c r="R34"/>
  <c r="Q108"/>
  <c r="S108"/>
  <c r="R108"/>
  <c r="Q110"/>
  <c r="S110"/>
  <c r="R110"/>
  <c r="Q112"/>
  <c r="S112"/>
  <c r="R112"/>
  <c r="Q114"/>
  <c r="S114"/>
  <c r="R114"/>
  <c r="Q116"/>
  <c r="S116"/>
  <c r="R116"/>
  <c r="Q118"/>
  <c r="S118"/>
  <c r="R118"/>
  <c r="Q120"/>
  <c r="S120"/>
  <c r="R120"/>
  <c r="Q898"/>
  <c r="S898"/>
  <c r="R898"/>
  <c r="Q900"/>
  <c r="S900"/>
  <c r="R900"/>
  <c r="Q902"/>
  <c r="S902"/>
  <c r="R902"/>
  <c r="Q904"/>
  <c r="S904"/>
  <c r="R904"/>
  <c r="Q906"/>
  <c r="S906"/>
  <c r="R906"/>
  <c r="Q908"/>
  <c r="S908"/>
  <c r="R908"/>
  <c r="Q910"/>
  <c r="S910"/>
  <c r="R910"/>
  <c r="Q912"/>
  <c r="S912"/>
  <c r="R912"/>
  <c r="Q1126"/>
  <c r="S1126"/>
  <c r="R1126"/>
  <c r="Q1128"/>
  <c r="S1128"/>
  <c r="R1128"/>
  <c r="Q1130"/>
  <c r="S1130"/>
  <c r="R1130"/>
  <c r="Q1132"/>
  <c r="S1132"/>
  <c r="R1132"/>
  <c r="R442"/>
  <c r="Q442"/>
  <c r="S442"/>
  <c r="R444"/>
  <c r="Q444"/>
  <c r="S444"/>
  <c r="R446"/>
  <c r="Q446"/>
  <c r="S446"/>
  <c r="R448"/>
  <c r="Q448"/>
  <c r="S448"/>
  <c r="R450"/>
  <c r="Q450"/>
  <c r="S450"/>
  <c r="R452"/>
  <c r="Q452"/>
  <c r="S452"/>
  <c r="R454"/>
  <c r="Q454"/>
  <c r="S454"/>
  <c r="R456"/>
  <c r="Q456"/>
  <c r="S456"/>
  <c r="R458"/>
  <c r="Q458"/>
  <c r="S458"/>
  <c r="R460"/>
  <c r="Q460"/>
  <c r="S460"/>
  <c r="R462"/>
  <c r="Q462"/>
  <c r="S462"/>
  <c r="R464"/>
  <c r="Q464"/>
  <c r="S464"/>
  <c r="Q1016"/>
  <c r="S1016"/>
  <c r="R1016"/>
  <c r="Q12"/>
  <c r="S12"/>
  <c r="R12"/>
  <c r="Q14"/>
  <c r="S14"/>
  <c r="R14"/>
  <c r="Q16"/>
  <c r="S16"/>
  <c r="R16"/>
  <c r="Q18"/>
  <c r="S18"/>
  <c r="R18"/>
  <c r="Q20"/>
  <c r="S20"/>
  <c r="R20"/>
  <c r="Q22"/>
  <c r="S22"/>
  <c r="R22"/>
  <c r="Q24"/>
  <c r="S24"/>
  <c r="R24"/>
  <c r="Q26"/>
  <c r="S26"/>
  <c r="R26"/>
  <c r="Q28"/>
  <c r="S28"/>
  <c r="R28"/>
  <c r="R77"/>
  <c r="Q77"/>
  <c r="S77"/>
  <c r="R79"/>
  <c r="Q79"/>
  <c r="S79"/>
  <c r="R81"/>
  <c r="Q81"/>
  <c r="S81"/>
  <c r="R83"/>
  <c r="Q83"/>
  <c r="S83"/>
  <c r="R85"/>
  <c r="Q85"/>
  <c r="S85"/>
  <c r="R87"/>
  <c r="Q87"/>
  <c r="S87"/>
  <c r="R89"/>
  <c r="Q89"/>
  <c r="S89"/>
  <c r="Q880"/>
  <c r="S880"/>
  <c r="R880"/>
  <c r="Q882"/>
  <c r="S882"/>
  <c r="R882"/>
  <c r="R1119"/>
  <c r="Q1119"/>
  <c r="S1119"/>
  <c r="R389"/>
  <c r="Q389"/>
  <c r="S389"/>
  <c r="Q1484"/>
  <c r="S1484"/>
  <c r="R1484"/>
  <c r="Q1486"/>
  <c r="S1486"/>
  <c r="R1486"/>
  <c r="Q1488"/>
  <c r="S1488"/>
  <c r="R1488"/>
  <c r="Q1490"/>
  <c r="S1490"/>
  <c r="R1490"/>
  <c r="Q1492"/>
  <c r="S1492"/>
  <c r="R1492"/>
  <c r="Q1494"/>
  <c r="S1494"/>
  <c r="R1494"/>
  <c r="Q30"/>
  <c r="S30"/>
  <c r="R30"/>
  <c r="Q32"/>
  <c r="S32"/>
  <c r="R32"/>
  <c r="R93"/>
  <c r="Q93"/>
  <c r="S93"/>
  <c r="R95"/>
  <c r="Q95"/>
  <c r="S95"/>
  <c r="R97"/>
  <c r="Q97"/>
  <c r="S97"/>
  <c r="R99"/>
  <c r="Q99"/>
  <c r="S99"/>
  <c r="R101"/>
  <c r="Q101"/>
  <c r="S101"/>
  <c r="R103"/>
  <c r="Q103"/>
  <c r="S103"/>
  <c r="R105"/>
  <c r="Q105"/>
  <c r="S105"/>
  <c r="Q884"/>
  <c r="S884"/>
  <c r="R884"/>
  <c r="Q886"/>
  <c r="S886"/>
  <c r="R886"/>
  <c r="Q888"/>
  <c r="S888"/>
  <c r="R888"/>
  <c r="Q890"/>
  <c r="S890"/>
  <c r="R890"/>
  <c r="Q892"/>
  <c r="S892"/>
  <c r="R892"/>
  <c r="Q894"/>
  <c r="S894"/>
  <c r="R894"/>
  <c r="Q896"/>
  <c r="S896"/>
  <c r="R896"/>
  <c r="Q1120"/>
  <c r="S1120"/>
  <c r="R1120"/>
  <c r="Q1122"/>
  <c r="S1122"/>
  <c r="R1122"/>
  <c r="Q1124"/>
  <c r="S1124"/>
  <c r="R1124"/>
  <c r="Q405"/>
  <c r="S405"/>
  <c r="R405"/>
  <c r="Q407"/>
  <c r="S407"/>
  <c r="R407"/>
  <c r="Q409"/>
  <c r="S409"/>
  <c r="R409"/>
  <c r="Q411"/>
  <c r="S411"/>
  <c r="R411"/>
  <c r="Q413"/>
  <c r="S413"/>
  <c r="R413"/>
  <c r="Q415"/>
  <c r="S415"/>
  <c r="R415"/>
  <c r="Q417"/>
  <c r="S417"/>
  <c r="R417"/>
  <c r="Q419"/>
  <c r="S419"/>
  <c r="R419"/>
  <c r="Q421"/>
  <c r="S421"/>
  <c r="R421"/>
  <c r="Q423"/>
  <c r="S423"/>
  <c r="R423"/>
  <c r="Q425"/>
  <c r="S425"/>
  <c r="R425"/>
  <c r="Q427"/>
  <c r="S427"/>
  <c r="R427"/>
  <c r="Q429"/>
  <c r="S429"/>
  <c r="R429"/>
  <c r="Q431"/>
  <c r="S431"/>
  <c r="R431"/>
  <c r="Q433"/>
  <c r="S433"/>
  <c r="R433"/>
  <c r="Q435"/>
  <c r="S435"/>
  <c r="R435"/>
  <c r="Q437"/>
  <c r="S437"/>
  <c r="R437"/>
  <c r="Q439"/>
  <c r="S439"/>
  <c r="R439"/>
  <c r="R1495"/>
  <c r="S1495"/>
  <c r="Q1495"/>
  <c r="R1497"/>
  <c r="Q1497"/>
  <c r="S1497"/>
  <c r="R1499"/>
  <c r="S1499"/>
  <c r="Q1499"/>
  <c r="R1501"/>
  <c r="Q1501"/>
  <c r="S1501"/>
  <c r="R1503"/>
  <c r="S1503"/>
  <c r="Q1503"/>
  <c r="R1505"/>
  <c r="Q1505"/>
  <c r="S1505"/>
  <c r="R1507"/>
  <c r="S1507"/>
  <c r="Q1507"/>
  <c r="R1509"/>
  <c r="Q1509"/>
  <c r="S1509"/>
  <c r="R1511"/>
  <c r="S1511"/>
  <c r="Q1511"/>
  <c r="R1513"/>
  <c r="Q1513"/>
  <c r="S1513"/>
  <c r="R1515"/>
  <c r="S1515"/>
  <c r="Q1515"/>
  <c r="R1517"/>
  <c r="Q1517"/>
  <c r="S1517"/>
  <c r="R1519"/>
  <c r="S1519"/>
  <c r="Q1519"/>
  <c r="R1521"/>
  <c r="Q1521"/>
  <c r="S1521"/>
  <c r="R1523"/>
  <c r="S1523"/>
  <c r="Q1523"/>
  <c r="R1525"/>
  <c r="Q1525"/>
  <c r="S1525"/>
  <c r="R1527"/>
  <c r="S1527"/>
  <c r="Q1527"/>
  <c r="R1529"/>
  <c r="Q1529"/>
  <c r="S1529"/>
  <c r="R1531"/>
  <c r="S1531"/>
  <c r="Q1531"/>
  <c r="R1533"/>
  <c r="Q1533"/>
  <c r="S1533"/>
  <c r="R1535"/>
  <c r="S1535"/>
  <c r="Q1535"/>
  <c r="R33"/>
  <c r="Q33"/>
  <c r="S33"/>
  <c r="R35"/>
  <c r="Q35"/>
  <c r="S35"/>
  <c r="R109"/>
  <c r="Q109"/>
  <c r="S109"/>
  <c r="R111"/>
  <c r="Q111"/>
  <c r="S111"/>
  <c r="R113"/>
  <c r="Q113"/>
  <c r="S113"/>
  <c r="R115"/>
  <c r="Q115"/>
  <c r="S115"/>
  <c r="R117"/>
  <c r="Q117"/>
  <c r="S117"/>
  <c r="R119"/>
  <c r="Q119"/>
  <c r="S119"/>
  <c r="R121"/>
  <c r="Q121"/>
  <c r="S121"/>
  <c r="R899"/>
  <c r="Q899"/>
  <c r="S899"/>
  <c r="R901"/>
  <c r="Q901"/>
  <c r="S901"/>
  <c r="R903"/>
  <c r="Q903"/>
  <c r="S903"/>
  <c r="R905"/>
  <c r="Q905"/>
  <c r="S905"/>
  <c r="R907"/>
  <c r="Q907"/>
  <c r="S907"/>
  <c r="R909"/>
  <c r="Q909"/>
  <c r="S909"/>
  <c r="R911"/>
  <c r="Q911"/>
  <c r="S911"/>
  <c r="R1125"/>
  <c r="Q1125"/>
  <c r="S1125"/>
  <c r="R1127"/>
  <c r="Q1127"/>
  <c r="S1127"/>
  <c r="R1129"/>
  <c r="Q1129"/>
  <c r="S1129"/>
  <c r="R1131"/>
  <c r="Q1131"/>
  <c r="S1131"/>
  <c r="Q441"/>
  <c r="S441"/>
  <c r="R441"/>
  <c r="Q443"/>
  <c r="S443"/>
  <c r="R443"/>
  <c r="Q445"/>
  <c r="S445"/>
  <c r="R445"/>
  <c r="Q447"/>
  <c r="S447"/>
  <c r="R447"/>
  <c r="Q449"/>
  <c r="S449"/>
  <c r="R449"/>
  <c r="Q451"/>
  <c r="S451"/>
  <c r="R451"/>
  <c r="Q453"/>
  <c r="S453"/>
  <c r="R453"/>
  <c r="Q455"/>
  <c r="S455"/>
  <c r="R455"/>
  <c r="Q457"/>
  <c r="S457"/>
  <c r="R457"/>
  <c r="Q459"/>
  <c r="S459"/>
  <c r="R459"/>
  <c r="Q461"/>
  <c r="S461"/>
  <c r="R461"/>
  <c r="Q463"/>
  <c r="S463"/>
  <c r="R463"/>
  <c r="Q465"/>
  <c r="S465"/>
  <c r="R465"/>
  <c r="Q467"/>
  <c r="S467"/>
  <c r="R467"/>
  <c r="Q469"/>
  <c r="S469"/>
  <c r="R469"/>
  <c r="Q471"/>
  <c r="S471"/>
  <c r="R471"/>
  <c r="Q1538"/>
  <c r="S1538"/>
  <c r="R1538"/>
  <c r="Q1540"/>
  <c r="S1540"/>
  <c r="R1540"/>
  <c r="Q1542"/>
  <c r="S1542"/>
  <c r="R1542"/>
  <c r="Q1544"/>
  <c r="S1544"/>
  <c r="R1544"/>
  <c r="Q1546"/>
  <c r="S1546"/>
  <c r="R1546"/>
  <c r="Q1548"/>
  <c r="S1548"/>
  <c r="R1548"/>
  <c r="Q1550"/>
  <c r="S1550"/>
  <c r="R1550"/>
  <c r="Q1554"/>
  <c r="R1554"/>
  <c r="S1554"/>
  <c r="R1556"/>
  <c r="Q1556"/>
  <c r="S1556"/>
  <c r="R1558"/>
  <c r="Q1558"/>
  <c r="S1558"/>
  <c r="R1560"/>
  <c r="Q1560"/>
  <c r="S1560"/>
  <c r="R1562"/>
  <c r="Q1562"/>
  <c r="S1562"/>
  <c r="R1564"/>
  <c r="Q1564"/>
  <c r="S1564"/>
  <c r="R1566"/>
  <c r="Q1566"/>
  <c r="S1566"/>
  <c r="Q1552"/>
  <c r="S1552"/>
  <c r="R1552"/>
  <c r="Q36"/>
  <c r="S36"/>
  <c r="R36"/>
  <c r="Q38"/>
  <c r="S38"/>
  <c r="R38"/>
  <c r="R125"/>
  <c r="Q125"/>
  <c r="S125"/>
  <c r="R127"/>
  <c r="Q127"/>
  <c r="S127"/>
  <c r="R129"/>
  <c r="Q129"/>
  <c r="S129"/>
  <c r="R131"/>
  <c r="Q131"/>
  <c r="S131"/>
  <c r="R133"/>
  <c r="Q133"/>
  <c r="S133"/>
  <c r="R135"/>
  <c r="Q135"/>
  <c r="S135"/>
  <c r="R137"/>
  <c r="Q137"/>
  <c r="S137"/>
  <c r="Q914"/>
  <c r="S914"/>
  <c r="R914"/>
  <c r="Q916"/>
  <c r="S916"/>
  <c r="R916"/>
  <c r="Q918"/>
  <c r="S918"/>
  <c r="R918"/>
  <c r="Q920"/>
  <c r="S920"/>
  <c r="R920"/>
  <c r="Q922"/>
  <c r="S922"/>
  <c r="R922"/>
  <c r="Q924"/>
  <c r="S924"/>
  <c r="R924"/>
  <c r="Q926"/>
  <c r="S926"/>
  <c r="R926"/>
  <c r="Q928"/>
  <c r="S928"/>
  <c r="R928"/>
  <c r="Q1134"/>
  <c r="S1134"/>
  <c r="R1134"/>
  <c r="Q1136"/>
  <c r="S1136"/>
  <c r="R1136"/>
  <c r="Q1138"/>
  <c r="S1138"/>
  <c r="R1138"/>
  <c r="R1141"/>
  <c r="Q1141"/>
  <c r="S1141"/>
  <c r="Q473"/>
  <c r="S473"/>
  <c r="R473"/>
  <c r="Q475"/>
  <c r="S475"/>
  <c r="R475"/>
  <c r="Q477"/>
  <c r="S477"/>
  <c r="R477"/>
  <c r="Q479"/>
  <c r="S479"/>
  <c r="R479"/>
  <c r="Q481"/>
  <c r="S481"/>
  <c r="R481"/>
  <c r="Q483"/>
  <c r="S483"/>
  <c r="R483"/>
  <c r="Q485"/>
  <c r="S485"/>
  <c r="R485"/>
  <c r="Q487"/>
  <c r="S487"/>
  <c r="R487"/>
  <c r="Q489"/>
  <c r="S489"/>
  <c r="R489"/>
  <c r="Q491"/>
  <c r="S491"/>
  <c r="R491"/>
  <c r="Q493"/>
  <c r="S493"/>
  <c r="R493"/>
  <c r="Q495"/>
  <c r="S495"/>
  <c r="R495"/>
  <c r="Q497"/>
  <c r="S497"/>
  <c r="R497"/>
  <c r="Q499"/>
  <c r="S499"/>
  <c r="R499"/>
  <c r="Q501"/>
  <c r="S501"/>
  <c r="R501"/>
  <c r="Q503"/>
  <c r="S503"/>
  <c r="R503"/>
  <c r="Q505"/>
  <c r="S505"/>
  <c r="R505"/>
  <c r="Q507"/>
  <c r="S507"/>
  <c r="R507"/>
  <c r="Q509"/>
  <c r="S509"/>
  <c r="R509"/>
  <c r="Q511"/>
  <c r="S511"/>
  <c r="R511"/>
  <c r="Q513"/>
  <c r="S513"/>
  <c r="R513"/>
  <c r="R466"/>
  <c r="Q466"/>
  <c r="S466"/>
  <c r="R468"/>
  <c r="Q468"/>
  <c r="S468"/>
  <c r="R470"/>
  <c r="Q470"/>
  <c r="S470"/>
  <c r="R1537"/>
  <c r="Q1537"/>
  <c r="S1537"/>
  <c r="R1539"/>
  <c r="S1539"/>
  <c r="Q1539"/>
  <c r="R1541"/>
  <c r="Q1541"/>
  <c r="S1541"/>
  <c r="R1543"/>
  <c r="S1543"/>
  <c r="Q1543"/>
  <c r="R1545"/>
  <c r="Q1545"/>
  <c r="S1545"/>
  <c r="R1547"/>
  <c r="S1547"/>
  <c r="Q1547"/>
  <c r="R1549"/>
  <c r="Q1549"/>
  <c r="S1549"/>
  <c r="R1553"/>
  <c r="Q1553"/>
  <c r="S1553"/>
  <c r="Q1555"/>
  <c r="S1555"/>
  <c r="R1555"/>
  <c r="Q1557"/>
  <c r="S1557"/>
  <c r="R1557"/>
  <c r="Q1559"/>
  <c r="S1559"/>
  <c r="R1559"/>
  <c r="Q1561"/>
  <c r="S1561"/>
  <c r="R1561"/>
  <c r="Q1563"/>
  <c r="S1563"/>
  <c r="R1563"/>
  <c r="Q1565"/>
  <c r="S1565"/>
  <c r="R1565"/>
  <c r="R1551"/>
  <c r="S1551"/>
  <c r="Q1551"/>
  <c r="R37"/>
  <c r="Q37"/>
  <c r="S37"/>
  <c r="Q124"/>
  <c r="S124"/>
  <c r="R124"/>
  <c r="Q126"/>
  <c r="S126"/>
  <c r="R126"/>
  <c r="Q128"/>
  <c r="S128"/>
  <c r="R128"/>
  <c r="Q130"/>
  <c r="S130"/>
  <c r="R130"/>
  <c r="Q132"/>
  <c r="S132"/>
  <c r="R132"/>
  <c r="Q134"/>
  <c r="S134"/>
  <c r="R134"/>
  <c r="Q136"/>
  <c r="S136"/>
  <c r="R136"/>
  <c r="R913"/>
  <c r="Q913"/>
  <c r="S913"/>
  <c r="R915"/>
  <c r="Q915"/>
  <c r="S915"/>
  <c r="R917"/>
  <c r="Q917"/>
  <c r="S917"/>
  <c r="R919"/>
  <c r="Q919"/>
  <c r="S919"/>
  <c r="R921"/>
  <c r="Q921"/>
  <c r="S921"/>
  <c r="R923"/>
  <c r="Q923"/>
  <c r="S923"/>
  <c r="R925"/>
  <c r="Q925"/>
  <c r="S925"/>
  <c r="R927"/>
  <c r="Q927"/>
  <c r="S927"/>
  <c r="R1133"/>
  <c r="Q1133"/>
  <c r="S1133"/>
  <c r="R1135"/>
  <c r="Q1135"/>
  <c r="S1135"/>
  <c r="R1137"/>
  <c r="Q1137"/>
  <c r="S1137"/>
  <c r="R1139"/>
  <c r="Q1139"/>
  <c r="S1139"/>
  <c r="R472"/>
  <c r="Q472"/>
  <c r="S472"/>
  <c r="R474"/>
  <c r="Q474"/>
  <c r="S474"/>
  <c r="R476"/>
  <c r="Q476"/>
  <c r="S476"/>
  <c r="R478"/>
  <c r="Q478"/>
  <c r="S478"/>
  <c r="R480"/>
  <c r="Q480"/>
  <c r="S480"/>
  <c r="R482"/>
  <c r="Q482"/>
  <c r="S482"/>
  <c r="R484"/>
  <c r="Q484"/>
  <c r="S484"/>
  <c r="R486"/>
  <c r="Q486"/>
  <c r="S486"/>
  <c r="R488"/>
  <c r="Q488"/>
  <c r="S488"/>
  <c r="R490"/>
  <c r="Q490"/>
  <c r="S490"/>
  <c r="R492"/>
  <c r="Q492"/>
  <c r="S492"/>
  <c r="R494"/>
  <c r="Q494"/>
  <c r="S494"/>
  <c r="R496"/>
  <c r="Q496"/>
  <c r="S496"/>
  <c r="R498"/>
  <c r="Q498"/>
  <c r="S498"/>
  <c r="R500"/>
  <c r="Q500"/>
  <c r="S500"/>
  <c r="R502"/>
  <c r="Q502"/>
  <c r="S502"/>
  <c r="R504"/>
  <c r="Q504"/>
  <c r="S504"/>
  <c r="R506"/>
  <c r="Q506"/>
  <c r="S506"/>
  <c r="R508"/>
  <c r="Q508"/>
  <c r="S508"/>
  <c r="R510"/>
  <c r="Q510"/>
  <c r="S510"/>
  <c r="R512"/>
  <c r="Q512"/>
  <c r="S512"/>
  <c r="R514"/>
  <c r="Q514"/>
  <c r="S514"/>
  <c r="R516"/>
  <c r="Q516"/>
  <c r="S516"/>
  <c r="R518"/>
  <c r="Q518"/>
  <c r="S518"/>
  <c r="R520"/>
  <c r="Q520"/>
  <c r="S520"/>
  <c r="R522"/>
  <c r="Q522"/>
  <c r="S522"/>
  <c r="R1568"/>
  <c r="Q1568"/>
  <c r="S1568"/>
  <c r="R1570"/>
  <c r="Q1570"/>
  <c r="S1570"/>
  <c r="R1572"/>
  <c r="Q1572"/>
  <c r="S1572"/>
  <c r="R1574"/>
  <c r="Q1574"/>
  <c r="S1574"/>
  <c r="R1576"/>
  <c r="Q1576"/>
  <c r="S1576"/>
  <c r="R1578"/>
  <c r="Q1578"/>
  <c r="S1578"/>
  <c r="R1582"/>
  <c r="Q1582"/>
  <c r="S1582"/>
  <c r="R1580"/>
  <c r="Q1580"/>
  <c r="S1580"/>
  <c r="R1584"/>
  <c r="Q1584"/>
  <c r="S1584"/>
  <c r="R1586"/>
  <c r="Q1586"/>
  <c r="S1586"/>
  <c r="R1588"/>
  <c r="Q1588"/>
  <c r="S1588"/>
  <c r="R1590"/>
  <c r="Q1590"/>
  <c r="S1590"/>
  <c r="R1592"/>
  <c r="Q1592"/>
  <c r="S1592"/>
  <c r="R1594"/>
  <c r="Q1594"/>
  <c r="S1594"/>
  <c r="R1596"/>
  <c r="Q1596"/>
  <c r="S1596"/>
  <c r="R1598"/>
  <c r="Q1598"/>
  <c r="S1598"/>
  <c r="R1600"/>
  <c r="Q1600"/>
  <c r="S1600"/>
  <c r="R1602"/>
  <c r="Q1602"/>
  <c r="S1602"/>
  <c r="R1604"/>
  <c r="Q1604"/>
  <c r="S1604"/>
  <c r="R1606"/>
  <c r="Q1606"/>
  <c r="S1606"/>
  <c r="R1608"/>
  <c r="Q1608"/>
  <c r="S1608"/>
  <c r="R1610"/>
  <c r="Q1610"/>
  <c r="S1610"/>
  <c r="R1612"/>
  <c r="Q1612"/>
  <c r="S1612"/>
  <c r="R1614"/>
  <c r="Q1614"/>
  <c r="S1614"/>
  <c r="R1616"/>
  <c r="Q1616"/>
  <c r="S1616"/>
  <c r="R1618"/>
  <c r="Q1618"/>
  <c r="S1618"/>
  <c r="R1620"/>
  <c r="Q1620"/>
  <c r="S1620"/>
  <c r="R1622"/>
  <c r="Q1622"/>
  <c r="S1622"/>
  <c r="R1624"/>
  <c r="Q1624"/>
  <c r="S1624"/>
  <c r="Q40"/>
  <c r="S40"/>
  <c r="R40"/>
  <c r="Q140"/>
  <c r="S140"/>
  <c r="R140"/>
  <c r="Q142"/>
  <c r="S142"/>
  <c r="R142"/>
  <c r="R144"/>
  <c r="Q144"/>
  <c r="S144"/>
  <c r="R146"/>
  <c r="Q146"/>
  <c r="S146"/>
  <c r="R148"/>
  <c r="Q148"/>
  <c r="S148"/>
  <c r="R150"/>
  <c r="Q150"/>
  <c r="S150"/>
  <c r="R152"/>
  <c r="Q152"/>
  <c r="S152"/>
  <c r="R929"/>
  <c r="Q929"/>
  <c r="S929"/>
  <c r="R931"/>
  <c r="Q931"/>
  <c r="S931"/>
  <c r="R933"/>
  <c r="Q933"/>
  <c r="S933"/>
  <c r="R935"/>
  <c r="Q935"/>
  <c r="S935"/>
  <c r="R937"/>
  <c r="Q937"/>
  <c r="S937"/>
  <c r="R939"/>
  <c r="Q939"/>
  <c r="S939"/>
  <c r="R941"/>
  <c r="Q941"/>
  <c r="S941"/>
  <c r="R943"/>
  <c r="Q943"/>
  <c r="S943"/>
  <c r="R945"/>
  <c r="Q945"/>
  <c r="S945"/>
  <c r="R947"/>
  <c r="Q947"/>
  <c r="S947"/>
  <c r="R949"/>
  <c r="Q949"/>
  <c r="S949"/>
  <c r="R951"/>
  <c r="Q951"/>
  <c r="S951"/>
  <c r="R953"/>
  <c r="Q953"/>
  <c r="S953"/>
  <c r="R955"/>
  <c r="Q955"/>
  <c r="S955"/>
  <c r="R957"/>
  <c r="Q957"/>
  <c r="S957"/>
  <c r="R959"/>
  <c r="Q959"/>
  <c r="S959"/>
  <c r="R961"/>
  <c r="Q961"/>
  <c r="S961"/>
  <c r="R1143"/>
  <c r="Q1143"/>
  <c r="S1143"/>
  <c r="R1145"/>
  <c r="Q1145"/>
  <c r="S1145"/>
  <c r="R1147"/>
  <c r="Q1147"/>
  <c r="S1147"/>
  <c r="R524"/>
  <c r="Q524"/>
  <c r="S524"/>
  <c r="R526"/>
  <c r="Q526"/>
  <c r="S526"/>
  <c r="R528"/>
  <c r="Q528"/>
  <c r="S528"/>
  <c r="Q530"/>
  <c r="S530"/>
  <c r="R530"/>
  <c r="Q532"/>
  <c r="S532"/>
  <c r="R532"/>
  <c r="Q534"/>
  <c r="S534"/>
  <c r="R534"/>
  <c r="Q536"/>
  <c r="S536"/>
  <c r="R536"/>
  <c r="Q538"/>
  <c r="S538"/>
  <c r="R538"/>
  <c r="R540"/>
  <c r="Q540"/>
  <c r="S540"/>
  <c r="R542"/>
  <c r="Q542"/>
  <c r="S542"/>
  <c r="R544"/>
  <c r="Q544"/>
  <c r="S544"/>
  <c r="R546"/>
  <c r="Q546"/>
  <c r="S546"/>
  <c r="R548"/>
  <c r="Q548"/>
  <c r="S548"/>
  <c r="R550"/>
  <c r="Q550"/>
  <c r="S550"/>
  <c r="R552"/>
  <c r="Q552"/>
  <c r="S552"/>
  <c r="R554"/>
  <c r="Q554"/>
  <c r="S554"/>
  <c r="R556"/>
  <c r="Q556"/>
  <c r="S556"/>
  <c r="R558"/>
  <c r="Q558"/>
  <c r="S558"/>
  <c r="R560"/>
  <c r="Q560"/>
  <c r="S560"/>
  <c r="R562"/>
  <c r="Q562"/>
  <c r="S562"/>
  <c r="R564"/>
  <c r="Q564"/>
  <c r="S564"/>
  <c r="R566"/>
  <c r="Q566"/>
  <c r="S566"/>
  <c r="R568"/>
  <c r="Q568"/>
  <c r="S568"/>
  <c r="R570"/>
  <c r="Q570"/>
  <c r="S570"/>
  <c r="R572"/>
  <c r="Q572"/>
  <c r="S572"/>
  <c r="R1626"/>
  <c r="Q1626"/>
  <c r="S1626"/>
  <c r="R1628"/>
  <c r="Q1628"/>
  <c r="S1628"/>
  <c r="R1630"/>
  <c r="Q1630"/>
  <c r="S1630"/>
  <c r="R1632"/>
  <c r="Q1632"/>
  <c r="S1632"/>
  <c r="R1634"/>
  <c r="Q1634"/>
  <c r="S1634"/>
  <c r="R1636"/>
  <c r="Q1636"/>
  <c r="S1636"/>
  <c r="R1638"/>
  <c r="Q1638"/>
  <c r="S1638"/>
  <c r="R1640"/>
  <c r="Q1640"/>
  <c r="S1640"/>
  <c r="R1642"/>
  <c r="Q1642"/>
  <c r="S1642"/>
  <c r="R1644"/>
  <c r="Q1644"/>
  <c r="S1644"/>
  <c r="R1646"/>
  <c r="Q1646"/>
  <c r="S1646"/>
  <c r="R47"/>
  <c r="Q47"/>
  <c r="S47"/>
  <c r="Q173"/>
  <c r="S173"/>
  <c r="R173"/>
  <c r="Q175"/>
  <c r="S175"/>
  <c r="R175"/>
  <c r="Q177"/>
  <c r="S177"/>
  <c r="R177"/>
  <c r="Q179"/>
  <c r="S179"/>
  <c r="R179"/>
  <c r="Q181"/>
  <c r="S181"/>
  <c r="R181"/>
  <c r="Q183"/>
  <c r="S183"/>
  <c r="R183"/>
  <c r="Q185"/>
  <c r="S185"/>
  <c r="R185"/>
  <c r="R983"/>
  <c r="Q983"/>
  <c r="S983"/>
  <c r="R985"/>
  <c r="Q985"/>
  <c r="S985"/>
  <c r="R987"/>
  <c r="Q987"/>
  <c r="S987"/>
  <c r="R989"/>
  <c r="Q989"/>
  <c r="S989"/>
  <c r="R1177"/>
  <c r="Q1177"/>
  <c r="S1177"/>
  <c r="R624"/>
  <c r="Q624"/>
  <c r="S624"/>
  <c r="R626"/>
  <c r="Q626"/>
  <c r="S626"/>
  <c r="R628"/>
  <c r="Q628"/>
  <c r="S628"/>
  <c r="R630"/>
  <c r="Q630"/>
  <c r="S630"/>
  <c r="R632"/>
  <c r="Q632"/>
  <c r="S632"/>
  <c r="R634"/>
  <c r="Q634"/>
  <c r="S634"/>
  <c r="R636"/>
  <c r="Q636"/>
  <c r="S636"/>
  <c r="R638"/>
  <c r="Q638"/>
  <c r="S638"/>
  <c r="R640"/>
  <c r="Q640"/>
  <c r="S640"/>
  <c r="R642"/>
  <c r="Q642"/>
  <c r="S642"/>
  <c r="R644"/>
  <c r="Q644"/>
  <c r="S644"/>
  <c r="R646"/>
  <c r="Q646"/>
  <c r="S646"/>
  <c r="R648"/>
  <c r="Q648"/>
  <c r="S648"/>
  <c r="R650"/>
  <c r="Q650"/>
  <c r="S650"/>
  <c r="R652"/>
  <c r="Q652"/>
  <c r="S652"/>
  <c r="R654"/>
  <c r="Q654"/>
  <c r="S654"/>
  <c r="R656"/>
  <c r="Q656"/>
  <c r="S656"/>
  <c r="R658"/>
  <c r="Q658"/>
  <c r="S658"/>
  <c r="R660"/>
  <c r="Q660"/>
  <c r="S660"/>
  <c r="R662"/>
  <c r="Q662"/>
  <c r="S662"/>
  <c r="R664"/>
  <c r="Q664"/>
  <c r="S664"/>
  <c r="R666"/>
  <c r="Q666"/>
  <c r="S666"/>
  <c r="R1672"/>
  <c r="Q1672"/>
  <c r="S1672"/>
  <c r="R1674"/>
  <c r="Q1674"/>
  <c r="S1674"/>
  <c r="R1676"/>
  <c r="Q1676"/>
  <c r="S1676"/>
  <c r="R1678"/>
  <c r="Q1678"/>
  <c r="S1678"/>
  <c r="R1680"/>
  <c r="Q1680"/>
  <c r="S1680"/>
  <c r="R1682"/>
  <c r="Q1682"/>
  <c r="S1682"/>
  <c r="R1684"/>
  <c r="Q1684"/>
  <c r="S1684"/>
  <c r="R1686"/>
  <c r="Q1686"/>
  <c r="S1686"/>
  <c r="R1688"/>
  <c r="Q1688"/>
  <c r="S1688"/>
  <c r="R1690"/>
  <c r="Q1690"/>
  <c r="S1690"/>
  <c r="Q48"/>
  <c r="S48"/>
  <c r="R48"/>
  <c r="Q50"/>
  <c r="S50"/>
  <c r="R50"/>
  <c r="Q189"/>
  <c r="S189"/>
  <c r="R189"/>
  <c r="Q191"/>
  <c r="S191"/>
  <c r="R191"/>
  <c r="Q193"/>
  <c r="S193"/>
  <c r="R193"/>
  <c r="Q195"/>
  <c r="S195"/>
  <c r="R195"/>
  <c r="Q197"/>
  <c r="S197"/>
  <c r="R197"/>
  <c r="Q199"/>
  <c r="S199"/>
  <c r="R199"/>
  <c r="Q201"/>
  <c r="S201"/>
  <c r="R201"/>
  <c r="R991"/>
  <c r="Q991"/>
  <c r="S991"/>
  <c r="R993"/>
  <c r="Q993"/>
  <c r="S993"/>
  <c r="R995"/>
  <c r="Q995"/>
  <c r="S995"/>
  <c r="R997"/>
  <c r="Q997"/>
  <c r="S997"/>
  <c r="R999"/>
  <c r="Q999"/>
  <c r="S999"/>
  <c r="R1001"/>
  <c r="Q1001"/>
  <c r="S1001"/>
  <c r="R1003"/>
  <c r="Q1003"/>
  <c r="S1003"/>
  <c r="R1005"/>
  <c r="Q1005"/>
  <c r="S1005"/>
  <c r="R1007"/>
  <c r="Q1007"/>
  <c r="S1007"/>
  <c r="Q1012"/>
  <c r="S1012"/>
  <c r="R1012"/>
  <c r="R1193"/>
  <c r="Q1193"/>
  <c r="S1193"/>
  <c r="R670"/>
  <c r="Q670"/>
  <c r="S670"/>
  <c r="R672"/>
  <c r="Q672"/>
  <c r="S672"/>
  <c r="R674"/>
  <c r="Q674"/>
  <c r="S674"/>
  <c r="R676"/>
  <c r="Q676"/>
  <c r="S676"/>
  <c r="R680"/>
  <c r="Q680"/>
  <c r="S680"/>
  <c r="R684"/>
  <c r="Q684"/>
  <c r="S684"/>
  <c r="R686"/>
  <c r="Q686"/>
  <c r="S686"/>
  <c r="R688"/>
  <c r="Q688"/>
  <c r="S688"/>
  <c r="R690"/>
  <c r="Q690"/>
  <c r="S690"/>
  <c r="R692"/>
  <c r="Q692"/>
  <c r="S692"/>
  <c r="R694"/>
  <c r="Q694"/>
  <c r="S694"/>
  <c r="R696"/>
  <c r="Q696"/>
  <c r="S696"/>
  <c r="R698"/>
  <c r="Q698"/>
  <c r="S698"/>
  <c r="R700"/>
  <c r="Q700"/>
  <c r="S700"/>
  <c r="R702"/>
  <c r="Q702"/>
  <c r="S702"/>
  <c r="R704"/>
  <c r="Q704"/>
  <c r="S704"/>
  <c r="R706"/>
  <c r="Q706"/>
  <c r="S706"/>
  <c r="R708"/>
  <c r="Q708"/>
  <c r="S708"/>
  <c r="R710"/>
  <c r="Q710"/>
  <c r="S710"/>
  <c r="R712"/>
  <c r="Q712"/>
  <c r="S712"/>
  <c r="R714"/>
  <c r="Q714"/>
  <c r="S714"/>
  <c r="R716"/>
  <c r="Q716"/>
  <c r="S716"/>
  <c r="R718"/>
  <c r="Q718"/>
  <c r="S718"/>
  <c r="R720"/>
  <c r="Q720"/>
  <c r="S720"/>
  <c r="R722"/>
  <c r="Q722"/>
  <c r="S722"/>
  <c r="R724"/>
  <c r="Q724"/>
  <c r="S724"/>
  <c r="R726"/>
  <c r="Q726"/>
  <c r="S726"/>
  <c r="R728"/>
  <c r="Q728"/>
  <c r="S728"/>
  <c r="R730"/>
  <c r="Q730"/>
  <c r="S730"/>
  <c r="R732"/>
  <c r="Q732"/>
  <c r="S732"/>
  <c r="R1696"/>
  <c r="Q1696"/>
  <c r="S1696"/>
  <c r="R1698"/>
  <c r="Q1698"/>
  <c r="S1698"/>
  <c r="R1700"/>
  <c r="Q1700"/>
  <c r="S1700"/>
  <c r="R1702"/>
  <c r="Q1702"/>
  <c r="S1702"/>
  <c r="Q515"/>
  <c r="S515"/>
  <c r="R515"/>
  <c r="Q517"/>
  <c r="S517"/>
  <c r="R517"/>
  <c r="Q519"/>
  <c r="S519"/>
  <c r="R519"/>
  <c r="Q521"/>
  <c r="S521"/>
  <c r="R521"/>
  <c r="Q1567"/>
  <c r="S1567"/>
  <c r="R1567"/>
  <c r="Q1569"/>
  <c r="S1569"/>
  <c r="R1569"/>
  <c r="Q1571"/>
  <c r="S1571"/>
  <c r="R1571"/>
  <c r="Q1573"/>
  <c r="S1573"/>
  <c r="R1573"/>
  <c r="Q1575"/>
  <c r="S1575"/>
  <c r="R1575"/>
  <c r="Q1577"/>
  <c r="S1577"/>
  <c r="R1577"/>
  <c r="Q1581"/>
  <c r="S1581"/>
  <c r="R1581"/>
  <c r="Q1579"/>
  <c r="S1579"/>
  <c r="R1579"/>
  <c r="Q1583"/>
  <c r="S1583"/>
  <c r="R1583"/>
  <c r="Q1585"/>
  <c r="S1585"/>
  <c r="R1585"/>
  <c r="Q1587"/>
  <c r="S1587"/>
  <c r="R1587"/>
  <c r="Q1589"/>
  <c r="S1589"/>
  <c r="R1589"/>
  <c r="Q1591"/>
  <c r="S1591"/>
  <c r="R1591"/>
  <c r="Q1593"/>
  <c r="S1593"/>
  <c r="R1593"/>
  <c r="Q1595"/>
  <c r="S1595"/>
  <c r="R1595"/>
  <c r="Q1597"/>
  <c r="S1597"/>
  <c r="R1597"/>
  <c r="Q1599"/>
  <c r="S1599"/>
  <c r="R1599"/>
  <c r="Q1601"/>
  <c r="S1601"/>
  <c r="R1601"/>
  <c r="Q1603"/>
  <c r="S1603"/>
  <c r="R1603"/>
  <c r="Q1605"/>
  <c r="S1605"/>
  <c r="R1605"/>
  <c r="Q1607"/>
  <c r="S1607"/>
  <c r="R1607"/>
  <c r="Q1609"/>
  <c r="S1609"/>
  <c r="R1609"/>
  <c r="Q1611"/>
  <c r="S1611"/>
  <c r="R1611"/>
  <c r="Q1613"/>
  <c r="S1613"/>
  <c r="R1613"/>
  <c r="Q1615"/>
  <c r="S1615"/>
  <c r="R1615"/>
  <c r="Q1617"/>
  <c r="S1617"/>
  <c r="R1617"/>
  <c r="Q1619"/>
  <c r="S1619"/>
  <c r="R1619"/>
  <c r="Q1621"/>
  <c r="S1621"/>
  <c r="R1621"/>
  <c r="Q1623"/>
  <c r="S1623"/>
  <c r="R1623"/>
  <c r="Q1625"/>
  <c r="S1625"/>
  <c r="R1625"/>
  <c r="R39"/>
  <c r="Q39"/>
  <c r="S39"/>
  <c r="R41"/>
  <c r="Q41"/>
  <c r="S41"/>
  <c r="R141"/>
  <c r="Q141"/>
  <c r="S141"/>
  <c r="Q143"/>
  <c r="S143"/>
  <c r="R143"/>
  <c r="Q145"/>
  <c r="S145"/>
  <c r="R145"/>
  <c r="Q147"/>
  <c r="S147"/>
  <c r="R147"/>
  <c r="Q149"/>
  <c r="S149"/>
  <c r="R149"/>
  <c r="Q151"/>
  <c r="S151"/>
  <c r="R151"/>
  <c r="Q153"/>
  <c r="S153"/>
  <c r="R153"/>
  <c r="Q930"/>
  <c r="S930"/>
  <c r="R930"/>
  <c r="Q932"/>
  <c r="S932"/>
  <c r="R932"/>
  <c r="Q934"/>
  <c r="S934"/>
  <c r="R934"/>
  <c r="Q936"/>
  <c r="S936"/>
  <c r="R936"/>
  <c r="Q938"/>
  <c r="S938"/>
  <c r="R938"/>
  <c r="Q940"/>
  <c r="S940"/>
  <c r="R940"/>
  <c r="Q942"/>
  <c r="S942"/>
  <c r="R942"/>
  <c r="Q944"/>
  <c r="S944"/>
  <c r="R944"/>
  <c r="Q946"/>
  <c r="S946"/>
  <c r="R946"/>
  <c r="Q948"/>
  <c r="S948"/>
  <c r="R948"/>
  <c r="Q950"/>
  <c r="S950"/>
  <c r="R950"/>
  <c r="Q952"/>
  <c r="S952"/>
  <c r="R952"/>
  <c r="Q954"/>
  <c r="S954"/>
  <c r="R954"/>
  <c r="Q956"/>
  <c r="S956"/>
  <c r="R956"/>
  <c r="Q958"/>
  <c r="S958"/>
  <c r="R958"/>
  <c r="Q960"/>
  <c r="S960"/>
  <c r="R960"/>
  <c r="Q1142"/>
  <c r="S1142"/>
  <c r="R1142"/>
  <c r="Q1144"/>
  <c r="S1144"/>
  <c r="R1144"/>
  <c r="Q1146"/>
  <c r="S1146"/>
  <c r="R1146"/>
  <c r="Q523"/>
  <c r="S523"/>
  <c r="R523"/>
  <c r="Q525"/>
  <c r="S525"/>
  <c r="R525"/>
  <c r="Q527"/>
  <c r="S527"/>
  <c r="R527"/>
  <c r="Q529"/>
  <c r="R529"/>
  <c r="S529"/>
  <c r="R531"/>
  <c r="Q531"/>
  <c r="S531"/>
  <c r="R533"/>
  <c r="S533"/>
  <c r="Q533"/>
  <c r="R535"/>
  <c r="Q535"/>
  <c r="S535"/>
  <c r="R537"/>
  <c r="S537"/>
  <c r="Q537"/>
  <c r="Q539"/>
  <c r="S539"/>
  <c r="R539"/>
  <c r="Q541"/>
  <c r="S541"/>
  <c r="R541"/>
  <c r="Q543"/>
  <c r="S543"/>
  <c r="R543"/>
  <c r="Q545"/>
  <c r="S545"/>
  <c r="R545"/>
  <c r="Q547"/>
  <c r="S547"/>
  <c r="R547"/>
  <c r="Q549"/>
  <c r="S549"/>
  <c r="R549"/>
  <c r="Q551"/>
  <c r="S551"/>
  <c r="R551"/>
  <c r="Q553"/>
  <c r="S553"/>
  <c r="R553"/>
  <c r="Q555"/>
  <c r="S555"/>
  <c r="R555"/>
  <c r="Q557"/>
  <c r="S557"/>
  <c r="R557"/>
  <c r="Q559"/>
  <c r="S559"/>
  <c r="R559"/>
  <c r="Q561"/>
  <c r="S561"/>
  <c r="R561"/>
  <c r="Q563"/>
  <c r="S563"/>
  <c r="R563"/>
  <c r="Q565"/>
  <c r="S565"/>
  <c r="R565"/>
  <c r="Q567"/>
  <c r="S567"/>
  <c r="R567"/>
  <c r="Q569"/>
  <c r="S569"/>
  <c r="R569"/>
  <c r="Q571"/>
  <c r="S571"/>
  <c r="R571"/>
  <c r="Q573"/>
  <c r="S573"/>
  <c r="R573"/>
  <c r="Q1627"/>
  <c r="S1627"/>
  <c r="R1627"/>
  <c r="Q1629"/>
  <c r="S1629"/>
  <c r="R1629"/>
  <c r="Q1631"/>
  <c r="S1631"/>
  <c r="R1631"/>
  <c r="Q1633"/>
  <c r="S1633"/>
  <c r="R1633"/>
  <c r="Q1635"/>
  <c r="S1635"/>
  <c r="R1635"/>
  <c r="Q1637"/>
  <c r="S1637"/>
  <c r="R1637"/>
  <c r="Q1639"/>
  <c r="S1639"/>
  <c r="R1639"/>
  <c r="Q1641"/>
  <c r="S1641"/>
  <c r="R1641"/>
  <c r="Q1643"/>
  <c r="S1643"/>
  <c r="R1643"/>
  <c r="Q1645"/>
  <c r="S1645"/>
  <c r="R1645"/>
  <c r="Q46"/>
  <c r="S46"/>
  <c r="R46"/>
  <c r="R172"/>
  <c r="Q172"/>
  <c r="S172"/>
  <c r="R174"/>
  <c r="Q174"/>
  <c r="S174"/>
  <c r="R176"/>
  <c r="Q176"/>
  <c r="S176"/>
  <c r="R178"/>
  <c r="Q178"/>
  <c r="S178"/>
  <c r="R180"/>
  <c r="Q180"/>
  <c r="S180"/>
  <c r="R182"/>
  <c r="Q182"/>
  <c r="S182"/>
  <c r="R184"/>
  <c r="Q184"/>
  <c r="S184"/>
  <c r="Q982"/>
  <c r="S982"/>
  <c r="R982"/>
  <c r="Q984"/>
  <c r="S984"/>
  <c r="R984"/>
  <c r="Q986"/>
  <c r="S986"/>
  <c r="R986"/>
  <c r="Q988"/>
  <c r="S988"/>
  <c r="R988"/>
  <c r="Q1176"/>
  <c r="S1176"/>
  <c r="R1176"/>
  <c r="Q1178"/>
  <c r="S1178"/>
  <c r="R1178"/>
  <c r="Q625"/>
  <c r="S625"/>
  <c r="R625"/>
  <c r="Q627"/>
  <c r="S627"/>
  <c r="R627"/>
  <c r="Q629"/>
  <c r="S629"/>
  <c r="R629"/>
  <c r="Q631"/>
  <c r="S631"/>
  <c r="R631"/>
  <c r="Q633"/>
  <c r="S633"/>
  <c r="R633"/>
  <c r="Q635"/>
  <c r="S635"/>
  <c r="R635"/>
  <c r="Q637"/>
  <c r="S637"/>
  <c r="R637"/>
  <c r="Q639"/>
  <c r="S639"/>
  <c r="R639"/>
  <c r="Q641"/>
  <c r="S641"/>
  <c r="R641"/>
  <c r="Q643"/>
  <c r="S643"/>
  <c r="R643"/>
  <c r="Q645"/>
  <c r="S645"/>
  <c r="R645"/>
  <c r="Q647"/>
  <c r="S647"/>
  <c r="R647"/>
  <c r="Q649"/>
  <c r="S649"/>
  <c r="R649"/>
  <c r="Q651"/>
  <c r="S651"/>
  <c r="R651"/>
  <c r="Q653"/>
  <c r="S653"/>
  <c r="R653"/>
  <c r="Q655"/>
  <c r="S655"/>
  <c r="R655"/>
  <c r="Q657"/>
  <c r="S657"/>
  <c r="R657"/>
  <c r="Q659"/>
  <c r="S659"/>
  <c r="R659"/>
  <c r="Q661"/>
  <c r="S661"/>
  <c r="R661"/>
  <c r="Q663"/>
  <c r="S663"/>
  <c r="R663"/>
  <c r="Q665"/>
  <c r="S665"/>
  <c r="R665"/>
  <c r="Q667"/>
  <c r="S667"/>
  <c r="R667"/>
  <c r="Q1673"/>
  <c r="S1673"/>
  <c r="R1673"/>
  <c r="Q1675"/>
  <c r="S1675"/>
  <c r="R1675"/>
  <c r="Q1677"/>
  <c r="S1677"/>
  <c r="R1677"/>
  <c r="Q1679"/>
  <c r="S1679"/>
  <c r="R1679"/>
  <c r="Q1681"/>
  <c r="S1681"/>
  <c r="R1681"/>
  <c r="Q1683"/>
  <c r="S1683"/>
  <c r="R1683"/>
  <c r="Q1685"/>
  <c r="S1685"/>
  <c r="R1685"/>
  <c r="Q1687"/>
  <c r="S1687"/>
  <c r="R1687"/>
  <c r="Q1689"/>
  <c r="S1689"/>
  <c r="R1689"/>
  <c r="Q1691"/>
  <c r="S1691"/>
  <c r="R1691"/>
  <c r="R49"/>
  <c r="Q49"/>
  <c r="S49"/>
  <c r="R188"/>
  <c r="Q188"/>
  <c r="S188"/>
  <c r="R190"/>
  <c r="Q190"/>
  <c r="S190"/>
  <c r="R192"/>
  <c r="Q192"/>
  <c r="S192"/>
  <c r="R194"/>
  <c r="Q194"/>
  <c r="S194"/>
  <c r="R196"/>
  <c r="Q196"/>
  <c r="S196"/>
  <c r="R198"/>
  <c r="Q198"/>
  <c r="S198"/>
  <c r="R200"/>
  <c r="Q200"/>
  <c r="S200"/>
  <c r="Q990"/>
  <c r="S990"/>
  <c r="R990"/>
  <c r="Q992"/>
  <c r="S992"/>
  <c r="R992"/>
  <c r="Q994"/>
  <c r="S994"/>
  <c r="R994"/>
  <c r="Q996"/>
  <c r="S996"/>
  <c r="R996"/>
  <c r="Q998"/>
  <c r="S998"/>
  <c r="R998"/>
  <c r="Q1000"/>
  <c r="S1000"/>
  <c r="R1000"/>
  <c r="Q1002"/>
  <c r="S1002"/>
  <c r="R1002"/>
  <c r="Q1004"/>
  <c r="S1004"/>
  <c r="R1004"/>
  <c r="Q1006"/>
  <c r="S1006"/>
  <c r="R1006"/>
  <c r="Q1008"/>
  <c r="S1008"/>
  <c r="R1008"/>
  <c r="R1013"/>
  <c r="Q1013"/>
  <c r="S1013"/>
  <c r="Q1196"/>
  <c r="S1196"/>
  <c r="R1196"/>
  <c r="Q671"/>
  <c r="S671"/>
  <c r="R671"/>
  <c r="Q673"/>
  <c r="S673"/>
  <c r="R673"/>
  <c r="Q675"/>
  <c r="S675"/>
  <c r="R675"/>
  <c r="Q679"/>
  <c r="S679"/>
  <c r="R679"/>
  <c r="Q683"/>
  <c r="S683"/>
  <c r="R683"/>
  <c r="Q685"/>
  <c r="S685"/>
  <c r="R685"/>
  <c r="Q687"/>
  <c r="S687"/>
  <c r="R687"/>
  <c r="Q689"/>
  <c r="S689"/>
  <c r="R689"/>
  <c r="Q691"/>
  <c r="S691"/>
  <c r="R691"/>
  <c r="Q693"/>
  <c r="S693"/>
  <c r="R693"/>
  <c r="Q695"/>
  <c r="S695"/>
  <c r="R695"/>
  <c r="Q697"/>
  <c r="S697"/>
  <c r="R697"/>
  <c r="Q699"/>
  <c r="S699"/>
  <c r="R699"/>
  <c r="Q701"/>
  <c r="S701"/>
  <c r="R701"/>
  <c r="Q703"/>
  <c r="S703"/>
  <c r="R703"/>
  <c r="Q705"/>
  <c r="S705"/>
  <c r="R705"/>
  <c r="Q707"/>
  <c r="S707"/>
  <c r="R707"/>
  <c r="Q709"/>
  <c r="S709"/>
  <c r="R709"/>
  <c r="Q711"/>
  <c r="S711"/>
  <c r="R711"/>
  <c r="Q713"/>
  <c r="S713"/>
  <c r="R713"/>
  <c r="Q715"/>
  <c r="S715"/>
  <c r="R715"/>
  <c r="Q717"/>
  <c r="S717"/>
  <c r="R717"/>
  <c r="Q719"/>
  <c r="S719"/>
  <c r="R719"/>
  <c r="Q721"/>
  <c r="S721"/>
  <c r="R721"/>
  <c r="Q723"/>
  <c r="S723"/>
  <c r="R723"/>
  <c r="Q725"/>
  <c r="S725"/>
  <c r="R725"/>
  <c r="Q727"/>
  <c r="S727"/>
  <c r="R727"/>
  <c r="Q729"/>
  <c r="S729"/>
  <c r="R729"/>
  <c r="Q731"/>
  <c r="S731"/>
  <c r="R731"/>
  <c r="Q1693"/>
  <c r="S1693"/>
  <c r="R1693"/>
  <c r="Q1697"/>
  <c r="S1697"/>
  <c r="R1697"/>
  <c r="Q1699"/>
  <c r="S1699"/>
  <c r="R1699"/>
  <c r="Q1701"/>
  <c r="S1701"/>
  <c r="R1701"/>
  <c r="Q1703"/>
  <c r="S1703"/>
  <c r="R1703"/>
  <c r="R61"/>
  <c r="Q61"/>
  <c r="S61"/>
  <c r="R63"/>
  <c r="Q63"/>
  <c r="S63"/>
  <c r="R65"/>
  <c r="Q65"/>
  <c r="S65"/>
  <c r="R67"/>
  <c r="Q67"/>
  <c r="S67"/>
  <c r="R69"/>
  <c r="Q69"/>
  <c r="S69"/>
  <c r="R71"/>
  <c r="Q71"/>
  <c r="S71"/>
  <c r="R73"/>
  <c r="Q73"/>
  <c r="S73"/>
  <c r="Q868"/>
  <c r="S868"/>
  <c r="R868"/>
  <c r="Q870"/>
  <c r="S870"/>
  <c r="R870"/>
  <c r="Q872"/>
  <c r="S872"/>
  <c r="R872"/>
  <c r="Q874"/>
  <c r="S874"/>
  <c r="R874"/>
  <c r="Q876"/>
  <c r="S876"/>
  <c r="R876"/>
  <c r="Q878"/>
  <c r="S878"/>
  <c r="R878"/>
  <c r="Q1024"/>
  <c r="S1024"/>
  <c r="R1024"/>
  <c r="Q1114"/>
  <c r="S1114"/>
  <c r="R1114"/>
  <c r="Q1116"/>
  <c r="S1116"/>
  <c r="R1116"/>
  <c r="R252"/>
  <c r="Q252"/>
  <c r="S252"/>
  <c r="Q254"/>
  <c r="S254"/>
  <c r="R254"/>
  <c r="Q275"/>
  <c r="S275"/>
  <c r="R275"/>
  <c r="Q286"/>
  <c r="S286"/>
  <c r="R286"/>
  <c r="Q288"/>
  <c r="S288"/>
  <c r="R288"/>
  <c r="Q290"/>
  <c r="S290"/>
  <c r="R290"/>
  <c r="Q299"/>
  <c r="S299"/>
  <c r="R299"/>
  <c r="R1459"/>
  <c r="Q1459"/>
  <c r="S1459"/>
  <c r="R1461"/>
  <c r="Q1461"/>
  <c r="S1461"/>
  <c r="R1463"/>
  <c r="Q1463"/>
  <c r="S1463"/>
  <c r="R1465"/>
  <c r="Q1465"/>
  <c r="S1465"/>
  <c r="R1467"/>
  <c r="Q1467"/>
  <c r="S1467"/>
  <c r="R1469"/>
  <c r="Q1469"/>
  <c r="S1469"/>
  <c r="R1471"/>
  <c r="Q1471"/>
  <c r="S1471"/>
  <c r="R1473"/>
  <c r="Q1473"/>
  <c r="S1473"/>
  <c r="R1475"/>
  <c r="Q1475"/>
  <c r="S1475"/>
  <c r="R1477"/>
  <c r="Q1477"/>
  <c r="S1477"/>
  <c r="R1479"/>
  <c r="Q1479"/>
  <c r="S1479"/>
  <c r="R1481"/>
  <c r="Q1481"/>
  <c r="S1481"/>
  <c r="R1483"/>
  <c r="Q1483"/>
  <c r="S1483"/>
  <c r="Q76"/>
  <c r="S76"/>
  <c r="R76"/>
  <c r="R682"/>
  <c r="Q682"/>
  <c r="S682"/>
  <c r="R744"/>
  <c r="Q744"/>
  <c r="S744"/>
  <c r="R734"/>
  <c r="Q734"/>
  <c r="S734"/>
  <c r="R736"/>
  <c r="Q736"/>
  <c r="S736"/>
  <c r="R738"/>
  <c r="Q738"/>
  <c r="S738"/>
  <c r="R1175"/>
  <c r="Q1175"/>
  <c r="S1175"/>
  <c r="Q1180"/>
  <c r="S1180"/>
  <c r="R1180"/>
  <c r="Q1182"/>
  <c r="S1182"/>
  <c r="R1182"/>
  <c r="R1197"/>
  <c r="Q1197"/>
  <c r="S1197"/>
  <c r="Q1192"/>
  <c r="S1192"/>
  <c r="R1192"/>
  <c r="Q1188"/>
  <c r="S1188"/>
  <c r="R1188"/>
  <c r="R1185"/>
  <c r="Q1185"/>
  <c r="S1185"/>
  <c r="Q1184"/>
  <c r="S1184"/>
  <c r="R1184"/>
  <c r="R1201"/>
  <c r="Q1201"/>
  <c r="S1201"/>
  <c r="R1199"/>
  <c r="Q1199"/>
  <c r="S1199"/>
  <c r="R1191"/>
  <c r="Q1191"/>
  <c r="S1191"/>
  <c r="Q1186"/>
  <c r="S1186"/>
  <c r="R1186"/>
  <c r="R678"/>
  <c r="Q678"/>
  <c r="S678"/>
  <c r="Q749"/>
  <c r="S749"/>
  <c r="R749"/>
  <c r="Q765"/>
  <c r="S765"/>
  <c r="R765"/>
  <c r="Q60"/>
  <c r="S60"/>
  <c r="R60"/>
  <c r="Q62"/>
  <c r="S62"/>
  <c r="R62"/>
  <c r="Q64"/>
  <c r="S64"/>
  <c r="R64"/>
  <c r="Q66"/>
  <c r="S66"/>
  <c r="R66"/>
  <c r="Q68"/>
  <c r="S68"/>
  <c r="R68"/>
  <c r="Q70"/>
  <c r="S70"/>
  <c r="R70"/>
  <c r="Q72"/>
  <c r="S72"/>
  <c r="R72"/>
  <c r="Q867"/>
  <c r="S867"/>
  <c r="R867"/>
  <c r="R869"/>
  <c r="S869"/>
  <c r="Q869"/>
  <c r="R871"/>
  <c r="Q871"/>
  <c r="S871"/>
  <c r="R873"/>
  <c r="S873"/>
  <c r="Q873"/>
  <c r="R875"/>
  <c r="Q875"/>
  <c r="S875"/>
  <c r="R877"/>
  <c r="Q877"/>
  <c r="S877"/>
  <c r="R1023"/>
  <c r="Q1023"/>
  <c r="S1023"/>
  <c r="R1025"/>
  <c r="Q1025"/>
  <c r="S1025"/>
  <c r="R1115"/>
  <c r="Q1115"/>
  <c r="S1115"/>
  <c r="R1117"/>
  <c r="Q1117"/>
  <c r="S1117"/>
  <c r="Q253"/>
  <c r="S253"/>
  <c r="R253"/>
  <c r="Q274"/>
  <c r="S274"/>
  <c r="R274"/>
  <c r="Q287"/>
  <c r="S287"/>
  <c r="R287"/>
  <c r="Q289"/>
  <c r="S289"/>
  <c r="R289"/>
  <c r="Q298"/>
  <c r="S298"/>
  <c r="R298"/>
  <c r="Q1460"/>
  <c r="S1460"/>
  <c r="R1460"/>
  <c r="Q1462"/>
  <c r="S1462"/>
  <c r="R1462"/>
  <c r="Q1464"/>
  <c r="S1464"/>
  <c r="R1464"/>
  <c r="Q1466"/>
  <c r="S1466"/>
  <c r="R1466"/>
  <c r="Q1468"/>
  <c r="S1468"/>
  <c r="R1468"/>
  <c r="Q1470"/>
  <c r="S1470"/>
  <c r="R1470"/>
  <c r="Q1472"/>
  <c r="S1472"/>
  <c r="R1472"/>
  <c r="Q1474"/>
  <c r="S1474"/>
  <c r="R1474"/>
  <c r="Q1476"/>
  <c r="S1476"/>
  <c r="R1476"/>
  <c r="Q1478"/>
  <c r="S1478"/>
  <c r="R1478"/>
  <c r="Q1480"/>
  <c r="S1480"/>
  <c r="R1480"/>
  <c r="Q1482"/>
  <c r="S1482"/>
  <c r="R1482"/>
  <c r="Q681"/>
  <c r="S681"/>
  <c r="R681"/>
  <c r="Q743"/>
  <c r="S743"/>
  <c r="R743"/>
  <c r="Q733"/>
  <c r="S733"/>
  <c r="R733"/>
  <c r="Q735"/>
  <c r="S735"/>
  <c r="R735"/>
  <c r="Q737"/>
  <c r="S737"/>
  <c r="R737"/>
  <c r="Q1174"/>
  <c r="S1174"/>
  <c r="R1174"/>
  <c r="R1179"/>
  <c r="Q1179"/>
  <c r="S1179"/>
  <c r="R1181"/>
  <c r="Q1181"/>
  <c r="S1181"/>
  <c r="R1183"/>
  <c r="Q1183"/>
  <c r="S1183"/>
  <c r="Q1194"/>
  <c r="S1194"/>
  <c r="R1194"/>
  <c r="R1189"/>
  <c r="Q1189"/>
  <c r="S1189"/>
  <c r="R1187"/>
  <c r="Q1187"/>
  <c r="S1187"/>
  <c r="Q1198"/>
  <c r="S1198"/>
  <c r="R1198"/>
  <c r="Q1202"/>
  <c r="S1202"/>
  <c r="R1202"/>
  <c r="Q1200"/>
  <c r="S1200"/>
  <c r="R1200"/>
  <c r="R1195"/>
  <c r="Q1195"/>
  <c r="S1195"/>
  <c r="Q1190"/>
  <c r="S1190"/>
  <c r="R1190"/>
  <c r="Q677"/>
  <c r="S677"/>
  <c r="R677"/>
  <c r="R748"/>
  <c r="Q748"/>
  <c r="S748"/>
  <c r="R750"/>
  <c r="Q750"/>
  <c r="S750"/>
  <c r="R766"/>
  <c r="Q766"/>
  <c r="S766"/>
  <c r="Q300"/>
  <c r="S300"/>
  <c r="R300"/>
  <c r="Q305"/>
  <c r="S305"/>
  <c r="R305"/>
  <c r="Q361"/>
  <c r="S361"/>
  <c r="R361"/>
  <c r="Q363"/>
  <c r="S363"/>
  <c r="R363"/>
  <c r="Q369"/>
  <c r="S369"/>
  <c r="R369"/>
  <c r="Q373"/>
  <c r="S373"/>
  <c r="R373"/>
  <c r="Q375"/>
  <c r="S375"/>
  <c r="R375"/>
  <c r="Q387"/>
  <c r="S387"/>
  <c r="R387"/>
  <c r="Q304"/>
  <c r="S304"/>
  <c r="R304"/>
  <c r="Q360"/>
  <c r="S360"/>
  <c r="R360"/>
  <c r="Q362"/>
  <c r="S362"/>
  <c r="R362"/>
  <c r="Q364"/>
  <c r="S364"/>
  <c r="R364"/>
  <c r="Q372"/>
  <c r="S372"/>
  <c r="R372"/>
  <c r="Q374"/>
  <c r="S374"/>
  <c r="R374"/>
  <c r="Q377"/>
  <c r="S377"/>
  <c r="R377"/>
  <c r="T3313"/>
  <c r="V3313"/>
  <c r="U3313"/>
  <c r="U3341"/>
  <c r="T3341"/>
  <c r="V3341"/>
  <c r="T3317"/>
  <c r="V3317"/>
  <c r="U3317"/>
  <c r="U3343"/>
  <c r="T3343"/>
  <c r="V3343"/>
  <c r="T3312"/>
  <c r="V3312"/>
  <c r="U3312"/>
  <c r="T3315"/>
  <c r="V3315"/>
  <c r="U3315"/>
  <c r="T3318"/>
  <c r="V3318"/>
  <c r="U3318"/>
  <c r="T3319"/>
  <c r="V3319"/>
  <c r="U3319"/>
  <c r="T3321"/>
  <c r="V3321"/>
  <c r="U3321"/>
  <c r="T3323"/>
  <c r="V3323"/>
  <c r="U3323"/>
  <c r="T3325"/>
  <c r="V3325"/>
  <c r="U3325"/>
  <c r="T3327"/>
  <c r="V3327"/>
  <c r="U3327"/>
  <c r="T3329"/>
  <c r="V3329"/>
  <c r="U3329"/>
  <c r="U3334"/>
  <c r="T3334"/>
  <c r="V3334"/>
  <c r="U3335"/>
  <c r="T3335"/>
  <c r="V3335"/>
  <c r="U3337"/>
  <c r="T3337"/>
  <c r="V3337"/>
  <c r="U3339"/>
  <c r="T3339"/>
  <c r="V3339"/>
  <c r="T3221"/>
  <c r="V3221"/>
  <c r="U3221"/>
  <c r="T3222"/>
  <c r="V3222"/>
  <c r="U3222"/>
  <c r="T3225"/>
  <c r="V3225"/>
  <c r="U3225"/>
  <c r="U3347"/>
  <c r="T3347"/>
  <c r="V3347"/>
  <c r="U3348"/>
  <c r="T3348"/>
  <c r="V3348"/>
  <c r="U3381"/>
  <c r="T3381"/>
  <c r="V3381"/>
  <c r="U3344"/>
  <c r="T3344"/>
  <c r="V3344"/>
  <c r="U3349"/>
  <c r="T3349"/>
  <c r="V3349"/>
  <c r="U3351"/>
  <c r="T3351"/>
  <c r="V3351"/>
  <c r="U3353"/>
  <c r="T3353"/>
  <c r="V3353"/>
  <c r="U3355"/>
  <c r="T3355"/>
  <c r="V3355"/>
  <c r="U3357"/>
  <c r="T3357"/>
  <c r="V3357"/>
  <c r="U3359"/>
  <c r="T3359"/>
  <c r="V3359"/>
  <c r="U3361"/>
  <c r="T3361"/>
  <c r="V3361"/>
  <c r="U3363"/>
  <c r="T3363"/>
  <c r="V3363"/>
  <c r="U3365"/>
  <c r="T3365"/>
  <c r="V3365"/>
  <c r="U3367"/>
  <c r="T3367"/>
  <c r="V3367"/>
  <c r="U3369"/>
  <c r="T3369"/>
  <c r="V3369"/>
  <c r="U3371"/>
  <c r="T3371"/>
  <c r="V3371"/>
  <c r="U3373"/>
  <c r="T3373"/>
  <c r="V3373"/>
  <c r="U3375"/>
  <c r="T3375"/>
  <c r="V3375"/>
  <c r="U3377"/>
  <c r="T3377"/>
  <c r="V3377"/>
  <c r="U3379"/>
  <c r="T3379"/>
  <c r="V3379"/>
  <c r="U3382"/>
  <c r="T3382"/>
  <c r="V3382"/>
  <c r="U3229"/>
  <c r="T3229"/>
  <c r="V3229"/>
  <c r="U3230"/>
  <c r="T3230"/>
  <c r="V3230"/>
  <c r="T3233"/>
  <c r="V3233"/>
  <c r="U3233"/>
  <c r="U3384"/>
  <c r="T3384"/>
  <c r="V3384"/>
  <c r="U3234"/>
  <c r="T3234"/>
  <c r="V3234"/>
  <c r="U3236"/>
  <c r="T3236"/>
  <c r="V3236"/>
  <c r="U3238"/>
  <c r="T3238"/>
  <c r="V3238"/>
  <c r="U3240"/>
  <c r="T3240"/>
  <c r="V3240"/>
  <c r="U3242"/>
  <c r="T3242"/>
  <c r="V3242"/>
  <c r="U3244"/>
  <c r="T3244"/>
  <c r="V3244"/>
  <c r="U3392"/>
  <c r="T3392"/>
  <c r="V3392"/>
  <c r="U3393"/>
  <c r="T3393"/>
  <c r="V3393"/>
  <c r="U3387"/>
  <c r="V3387"/>
  <c r="T3387"/>
  <c r="T3389"/>
  <c r="V3389"/>
  <c r="U3389"/>
  <c r="T3391"/>
  <c r="V3391"/>
  <c r="U3391"/>
  <c r="T3394"/>
  <c r="V3394"/>
  <c r="U3394"/>
  <c r="T3396"/>
  <c r="V3396"/>
  <c r="U3396"/>
  <c r="T3398"/>
  <c r="V3398"/>
  <c r="U3398"/>
  <c r="T3400"/>
  <c r="V3400"/>
  <c r="U3400"/>
  <c r="T3402"/>
  <c r="V3402"/>
  <c r="U3402"/>
  <c r="T3404"/>
  <c r="V3404"/>
  <c r="U3404"/>
  <c r="T3406"/>
  <c r="V3406"/>
  <c r="U3406"/>
  <c r="T3408"/>
  <c r="V3408"/>
  <c r="U3408"/>
  <c r="U3437"/>
  <c r="T3437"/>
  <c r="V3437"/>
  <c r="T3419"/>
  <c r="V3419"/>
  <c r="U3419"/>
  <c r="T3410"/>
  <c r="V3410"/>
  <c r="U3410"/>
  <c r="T3412"/>
  <c r="V3412"/>
  <c r="U3412"/>
  <c r="T3414"/>
  <c r="V3414"/>
  <c r="U3414"/>
  <c r="T3417"/>
  <c r="V3417"/>
  <c r="U3417"/>
  <c r="T3420"/>
  <c r="V3420"/>
  <c r="U3420"/>
  <c r="T3422"/>
  <c r="V3422"/>
  <c r="U3422"/>
  <c r="T3424"/>
  <c r="V3424"/>
  <c r="U3424"/>
  <c r="T3426"/>
  <c r="V3426"/>
  <c r="U3426"/>
  <c r="T3428"/>
  <c r="V3428"/>
  <c r="U3428"/>
  <c r="T3430"/>
  <c r="V3430"/>
  <c r="U3430"/>
  <c r="T3432"/>
  <c r="V3432"/>
  <c r="U3432"/>
  <c r="U3435"/>
  <c r="T3435"/>
  <c r="V3435"/>
  <c r="T3438"/>
  <c r="V3438"/>
  <c r="U3438"/>
  <c r="T3440"/>
  <c r="V3440"/>
  <c r="U3440"/>
  <c r="T3442"/>
  <c r="V3442"/>
  <c r="U3442"/>
  <c r="T3446"/>
  <c r="V3446"/>
  <c r="U3446"/>
  <c r="T3448"/>
  <c r="V3448"/>
  <c r="U3448"/>
  <c r="T3450"/>
  <c r="V3450"/>
  <c r="U3450"/>
  <c r="T3452"/>
  <c r="V3452"/>
  <c r="U3452"/>
  <c r="T3454"/>
  <c r="V3454"/>
  <c r="U3454"/>
  <c r="T3456"/>
  <c r="V3456"/>
  <c r="U3456"/>
  <c r="T3464"/>
  <c r="V3464"/>
  <c r="U3464"/>
  <c r="T3467"/>
  <c r="V3467"/>
  <c r="U3467"/>
  <c r="T3469"/>
  <c r="V3469"/>
  <c r="U3469"/>
  <c r="T3471"/>
  <c r="V3471"/>
  <c r="U3471"/>
  <c r="T3475"/>
  <c r="V3475"/>
  <c r="U3475"/>
  <c r="T3473"/>
  <c r="V3473"/>
  <c r="U3473"/>
  <c r="U3476"/>
  <c r="T3476"/>
  <c r="V3476"/>
  <c r="U3478"/>
  <c r="T3478"/>
  <c r="V3478"/>
  <c r="U3480"/>
  <c r="T3480"/>
  <c r="V3480"/>
  <c r="U3482"/>
  <c r="T3482"/>
  <c r="V3482"/>
  <c r="U3484"/>
  <c r="T3484"/>
  <c r="V3484"/>
  <c r="U3486"/>
  <c r="T3486"/>
  <c r="V3486"/>
  <c r="U3488"/>
  <c r="T3488"/>
  <c r="V3488"/>
  <c r="U3490"/>
  <c r="T3490"/>
  <c r="V3490"/>
  <c r="U3492"/>
  <c r="T3492"/>
  <c r="V3492"/>
  <c r="U3494"/>
  <c r="T3494"/>
  <c r="V3494"/>
  <c r="U3496"/>
  <c r="T3496"/>
  <c r="V3496"/>
  <c r="T3291"/>
  <c r="V3291"/>
  <c r="U3291"/>
  <c r="T3292"/>
  <c r="V3292"/>
  <c r="U3292"/>
  <c r="T3294"/>
  <c r="V3294"/>
  <c r="U3294"/>
  <c r="T3296"/>
  <c r="V3296"/>
  <c r="U3296"/>
  <c r="T3298"/>
  <c r="V3298"/>
  <c r="U3298"/>
  <c r="T3300"/>
  <c r="V3300"/>
  <c r="U3300"/>
  <c r="T3302"/>
  <c r="V3302"/>
  <c r="U3302"/>
  <c r="T3304"/>
  <c r="V3304"/>
  <c r="U3304"/>
  <c r="T3306"/>
  <c r="V3306"/>
  <c r="U3306"/>
  <c r="T3308"/>
  <c r="V3308"/>
  <c r="U3308"/>
  <c r="T3310"/>
  <c r="V3310"/>
  <c r="U3310"/>
  <c r="T3215"/>
  <c r="V3215"/>
  <c r="U3215"/>
  <c r="T3216"/>
  <c r="V3216"/>
  <c r="U3216"/>
  <c r="T3219"/>
  <c r="V3219"/>
  <c r="U3219"/>
  <c r="T3330"/>
  <c r="V3330"/>
  <c r="U3330"/>
  <c r="U3342"/>
  <c r="T3342"/>
  <c r="V3342"/>
  <c r="T3314"/>
  <c r="V3314"/>
  <c r="U3314"/>
  <c r="T3316"/>
  <c r="V3316"/>
  <c r="U3316"/>
  <c r="T3320"/>
  <c r="V3320"/>
  <c r="U3320"/>
  <c r="T3322"/>
  <c r="V3322"/>
  <c r="U3322"/>
  <c r="T3324"/>
  <c r="V3324"/>
  <c r="U3324"/>
  <c r="T3326"/>
  <c r="V3326"/>
  <c r="U3326"/>
  <c r="T3328"/>
  <c r="V3328"/>
  <c r="U3328"/>
  <c r="T3331"/>
  <c r="V3331"/>
  <c r="U3331"/>
  <c r="U3333"/>
  <c r="T3333"/>
  <c r="V3333"/>
  <c r="T3227"/>
  <c r="V3227"/>
  <c r="U3227"/>
  <c r="U3336"/>
  <c r="T3336"/>
  <c r="V3336"/>
  <c r="U3338"/>
  <c r="T3338"/>
  <c r="V3338"/>
  <c r="U3340"/>
  <c r="T3340"/>
  <c r="V3340"/>
  <c r="T3223"/>
  <c r="V3223"/>
  <c r="U3223"/>
  <c r="T3224"/>
  <c r="V3224"/>
  <c r="U3224"/>
  <c r="T3226"/>
  <c r="V3226"/>
  <c r="U3226"/>
  <c r="U3346"/>
  <c r="T3346"/>
  <c r="V3346"/>
  <c r="U3345"/>
  <c r="T3345"/>
  <c r="V3345"/>
  <c r="U3350"/>
  <c r="T3350"/>
  <c r="V3350"/>
  <c r="U3352"/>
  <c r="T3352"/>
  <c r="V3352"/>
  <c r="U3354"/>
  <c r="T3354"/>
  <c r="V3354"/>
  <c r="U3356"/>
  <c r="T3356"/>
  <c r="V3356"/>
  <c r="U3358"/>
  <c r="T3358"/>
  <c r="V3358"/>
  <c r="U3360"/>
  <c r="T3360"/>
  <c r="V3360"/>
  <c r="U3362"/>
  <c r="T3362"/>
  <c r="V3362"/>
  <c r="U3364"/>
  <c r="T3364"/>
  <c r="V3364"/>
  <c r="U3366"/>
  <c r="T3366"/>
  <c r="V3366"/>
  <c r="U3368"/>
  <c r="T3368"/>
  <c r="V3368"/>
  <c r="U3370"/>
  <c r="T3370"/>
  <c r="V3370"/>
  <c r="U3372"/>
  <c r="T3372"/>
  <c r="V3372"/>
  <c r="U3374"/>
  <c r="T3374"/>
  <c r="V3374"/>
  <c r="U3376"/>
  <c r="T3376"/>
  <c r="V3376"/>
  <c r="U3378"/>
  <c r="T3378"/>
  <c r="V3378"/>
  <c r="U3380"/>
  <c r="T3380"/>
  <c r="V3380"/>
  <c r="U3383"/>
  <c r="T3383"/>
  <c r="V3383"/>
  <c r="T3231"/>
  <c r="V3231"/>
  <c r="U3231"/>
  <c r="U3232"/>
  <c r="T3232"/>
  <c r="V3232"/>
  <c r="T3385"/>
  <c r="V3385"/>
  <c r="U3385"/>
  <c r="T3235"/>
  <c r="V3235"/>
  <c r="U3235"/>
  <c r="T3237"/>
  <c r="V3237"/>
  <c r="U3237"/>
  <c r="T3239"/>
  <c r="V3239"/>
  <c r="U3239"/>
  <c r="T3241"/>
  <c r="V3241"/>
  <c r="U3241"/>
  <c r="T3243"/>
  <c r="V3243"/>
  <c r="U3243"/>
  <c r="T3245"/>
  <c r="V3245"/>
  <c r="U3245"/>
  <c r="U3409"/>
  <c r="T3409"/>
  <c r="V3409"/>
  <c r="U3386"/>
  <c r="T3386"/>
  <c r="V3386"/>
  <c r="U3388"/>
  <c r="T3388"/>
  <c r="V3388"/>
  <c r="U3390"/>
  <c r="T3390"/>
  <c r="V3390"/>
  <c r="U3247"/>
  <c r="T3247"/>
  <c r="V3247"/>
  <c r="U3395"/>
  <c r="T3395"/>
  <c r="V3395"/>
  <c r="U3397"/>
  <c r="T3397"/>
  <c r="V3397"/>
  <c r="U3399"/>
  <c r="T3399"/>
  <c r="V3399"/>
  <c r="U3401"/>
  <c r="T3401"/>
  <c r="V3401"/>
  <c r="U3403"/>
  <c r="T3403"/>
  <c r="V3403"/>
  <c r="U3405"/>
  <c r="T3405"/>
  <c r="V3405"/>
  <c r="U3407"/>
  <c r="T3407"/>
  <c r="V3407"/>
  <c r="U3415"/>
  <c r="T3415"/>
  <c r="V3415"/>
  <c r="U3433"/>
  <c r="T3433"/>
  <c r="V3433"/>
  <c r="U3411"/>
  <c r="T3411"/>
  <c r="V3411"/>
  <c r="U3413"/>
  <c r="T3413"/>
  <c r="V3413"/>
  <c r="U3416"/>
  <c r="T3416"/>
  <c r="V3416"/>
  <c r="U3418"/>
  <c r="T3418"/>
  <c r="V3418"/>
  <c r="U3421"/>
  <c r="T3421"/>
  <c r="V3421"/>
  <c r="U3423"/>
  <c r="T3423"/>
  <c r="V3423"/>
  <c r="U3425"/>
  <c r="T3425"/>
  <c r="V3425"/>
  <c r="U3427"/>
  <c r="T3427"/>
  <c r="V3427"/>
  <c r="U3429"/>
  <c r="T3429"/>
  <c r="V3429"/>
  <c r="U3431"/>
  <c r="T3431"/>
  <c r="V3431"/>
  <c r="T3434"/>
  <c r="V3434"/>
  <c r="U3434"/>
  <c r="T3436"/>
  <c r="V3436"/>
  <c r="U3436"/>
  <c r="U3439"/>
  <c r="T3439"/>
  <c r="V3439"/>
  <c r="U3441"/>
  <c r="T3441"/>
  <c r="V3441"/>
  <c r="U3443"/>
  <c r="T3443"/>
  <c r="V3443"/>
  <c r="U3447"/>
  <c r="T3447"/>
  <c r="V3447"/>
  <c r="U3449"/>
  <c r="T3449"/>
  <c r="V3449"/>
  <c r="U3451"/>
  <c r="T3451"/>
  <c r="V3451"/>
  <c r="U3453"/>
  <c r="T3453"/>
  <c r="V3453"/>
  <c r="U3455"/>
  <c r="T3455"/>
  <c r="V3455"/>
  <c r="U3457"/>
  <c r="T3457"/>
  <c r="V3457"/>
  <c r="U3465"/>
  <c r="T3465"/>
  <c r="V3465"/>
  <c r="U3463"/>
  <c r="T3463"/>
  <c r="V3463"/>
  <c r="U3466"/>
  <c r="T3466"/>
  <c r="V3466"/>
  <c r="U3468"/>
  <c r="T3468"/>
  <c r="V3468"/>
  <c r="U3470"/>
  <c r="T3470"/>
  <c r="V3470"/>
  <c r="U3472"/>
  <c r="T3472"/>
  <c r="V3472"/>
  <c r="T3474"/>
  <c r="V3474"/>
  <c r="U3474"/>
  <c r="T3477"/>
  <c r="V3477"/>
  <c r="U3477"/>
  <c r="T3479"/>
  <c r="V3479"/>
  <c r="U3479"/>
  <c r="T3481"/>
  <c r="V3481"/>
  <c r="U3481"/>
  <c r="T3483"/>
  <c r="V3483"/>
  <c r="U3483"/>
  <c r="T3485"/>
  <c r="V3485"/>
  <c r="U3485"/>
  <c r="T3487"/>
  <c r="V3487"/>
  <c r="U3487"/>
  <c r="T3489"/>
  <c r="V3489"/>
  <c r="U3489"/>
  <c r="T3491"/>
  <c r="V3491"/>
  <c r="U3491"/>
  <c r="T3493"/>
  <c r="V3493"/>
  <c r="U3493"/>
  <c r="T3495"/>
  <c r="V3495"/>
  <c r="U3495"/>
  <c r="T3289"/>
  <c r="V3289"/>
  <c r="U3289"/>
  <c r="T3290"/>
  <c r="V3290"/>
  <c r="U3290"/>
  <c r="T3293"/>
  <c r="V3293"/>
  <c r="U3293"/>
  <c r="T3295"/>
  <c r="V3295"/>
  <c r="U3295"/>
  <c r="T3297"/>
  <c r="V3297"/>
  <c r="U3297"/>
  <c r="T3299"/>
  <c r="V3299"/>
  <c r="U3299"/>
  <c r="T3301"/>
  <c r="V3301"/>
  <c r="U3301"/>
  <c r="T3303"/>
  <c r="V3303"/>
  <c r="U3303"/>
  <c r="T3305"/>
  <c r="V3305"/>
  <c r="U3305"/>
  <c r="T3307"/>
  <c r="V3307"/>
  <c r="U3307"/>
  <c r="T3309"/>
  <c r="V3309"/>
  <c r="U3309"/>
  <c r="T3311"/>
  <c r="V3311"/>
  <c r="U3311"/>
  <c r="T3217"/>
  <c r="V3217"/>
  <c r="U3217"/>
  <c r="T3218"/>
  <c r="V3218"/>
  <c r="U3218"/>
  <c r="T3220"/>
  <c r="V3220"/>
  <c r="U3220"/>
  <c r="T2872"/>
  <c r="V2872"/>
  <c r="U2872"/>
  <c r="T2874"/>
  <c r="V2874"/>
  <c r="U2874"/>
  <c r="T2876"/>
  <c r="V2876"/>
  <c r="U2876"/>
  <c r="T2878"/>
  <c r="V2878"/>
  <c r="U2878"/>
  <c r="U2880"/>
  <c r="T2880"/>
  <c r="V2880"/>
  <c r="T2881"/>
  <c r="V2881"/>
  <c r="U2881"/>
  <c r="U2884"/>
  <c r="T2884"/>
  <c r="V2884"/>
  <c r="U2886"/>
  <c r="T2886"/>
  <c r="V2886"/>
  <c r="U2888"/>
  <c r="T2888"/>
  <c r="V2888"/>
  <c r="U2890"/>
  <c r="T2890"/>
  <c r="V2890"/>
  <c r="T2868"/>
  <c r="V2868"/>
  <c r="U2868"/>
  <c r="U2896"/>
  <c r="T2896"/>
  <c r="V2896"/>
  <c r="U2894"/>
  <c r="T2894"/>
  <c r="V2894"/>
  <c r="U2869"/>
  <c r="T2869"/>
  <c r="V2869"/>
  <c r="T2871"/>
  <c r="V2871"/>
  <c r="U2871"/>
  <c r="U3332"/>
  <c r="T3332"/>
  <c r="V3332"/>
  <c r="T2873"/>
  <c r="V2873"/>
  <c r="U2873"/>
  <c r="T2875"/>
  <c r="V2875"/>
  <c r="U2875"/>
  <c r="T2877"/>
  <c r="V2877"/>
  <c r="U2877"/>
  <c r="T2879"/>
  <c r="V2879"/>
  <c r="U2879"/>
  <c r="U2867"/>
  <c r="T2867"/>
  <c r="V2867"/>
  <c r="T2883"/>
  <c r="V2883"/>
  <c r="U2883"/>
  <c r="U2882"/>
  <c r="T2882"/>
  <c r="V2882"/>
  <c r="T2885"/>
  <c r="V2885"/>
  <c r="U2885"/>
  <c r="T2887"/>
  <c r="V2887"/>
  <c r="U2887"/>
  <c r="T2889"/>
  <c r="V2889"/>
  <c r="U2889"/>
  <c r="T2891"/>
  <c r="V2891"/>
  <c r="U2891"/>
  <c r="T2893"/>
  <c r="V2893"/>
  <c r="U2893"/>
  <c r="T2895"/>
  <c r="V2895"/>
  <c r="U2895"/>
  <c r="T2870"/>
  <c r="V2870"/>
  <c r="U2870"/>
  <c r="Q1748"/>
  <c r="S1748"/>
  <c r="R1748"/>
  <c r="R1753"/>
  <c r="Q1753"/>
  <c r="S1753"/>
  <c r="R2695"/>
  <c r="Q2695"/>
  <c r="S2695"/>
  <c r="A4361"/>
  <c r="R4361"/>
  <c r="Q4361"/>
  <c r="S4361"/>
  <c r="R3330"/>
  <c r="Q3330"/>
  <c r="S3330"/>
  <c r="A4369"/>
  <c r="R4369"/>
  <c r="Q4369"/>
  <c r="S4369"/>
  <c r="Q2032"/>
  <c r="S2032"/>
  <c r="R2032"/>
  <c r="Q2034"/>
  <c r="S2034"/>
  <c r="R2034"/>
  <c r="Q2036"/>
  <c r="S2036"/>
  <c r="R2036"/>
  <c r="Q2038"/>
  <c r="S2038"/>
  <c r="R2038"/>
  <c r="Q2040"/>
  <c r="S2040"/>
  <c r="R2040"/>
  <c r="Q2042"/>
  <c r="S2042"/>
  <c r="R2042"/>
  <c r="Q2044"/>
  <c r="S2044"/>
  <c r="R2044"/>
  <c r="Q2046"/>
  <c r="S2046"/>
  <c r="R2046"/>
  <c r="Q2048"/>
  <c r="S2048"/>
  <c r="R2048"/>
  <c r="Q2050"/>
  <c r="S2050"/>
  <c r="R2050"/>
  <c r="Q2052"/>
  <c r="S2052"/>
  <c r="R2052"/>
  <c r="Q2054"/>
  <c r="S2054"/>
  <c r="R2054"/>
  <c r="Q2056"/>
  <c r="S2056"/>
  <c r="R2056"/>
  <c r="Q2058"/>
  <c r="S2058"/>
  <c r="R2058"/>
  <c r="Q2060"/>
  <c r="S2060"/>
  <c r="R2060"/>
  <c r="R2061"/>
  <c r="Q2061"/>
  <c r="S2061"/>
  <c r="R2063"/>
  <c r="Q2063"/>
  <c r="S2063"/>
  <c r="R2065"/>
  <c r="Q2065"/>
  <c r="S2065"/>
  <c r="R2067"/>
  <c r="Q2067"/>
  <c r="S2067"/>
  <c r="R2069"/>
  <c r="Q2069"/>
  <c r="S2069"/>
  <c r="R2071"/>
  <c r="Q2071"/>
  <c r="S2071"/>
  <c r="R2073"/>
  <c r="Q2073"/>
  <c r="S2073"/>
  <c r="R2075"/>
  <c r="Q2075"/>
  <c r="S2075"/>
  <c r="R2077"/>
  <c r="Q2077"/>
  <c r="S2077"/>
  <c r="R2079"/>
  <c r="Q2079"/>
  <c r="S2079"/>
  <c r="R2081"/>
  <c r="Q2081"/>
  <c r="S2081"/>
  <c r="R2083"/>
  <c r="Q2083"/>
  <c r="S2083"/>
  <c r="R2085"/>
  <c r="Q2085"/>
  <c r="S2085"/>
  <c r="R2087"/>
  <c r="Q2087"/>
  <c r="S2087"/>
  <c r="R2089"/>
  <c r="Q2089"/>
  <c r="S2089"/>
  <c r="R2091"/>
  <c r="Q2091"/>
  <c r="S2091"/>
  <c r="R2093"/>
  <c r="Q2093"/>
  <c r="S2093"/>
  <c r="R2095"/>
  <c r="Q2095"/>
  <c r="S2095"/>
  <c r="R2097"/>
  <c r="Q2097"/>
  <c r="S2097"/>
  <c r="R2099"/>
  <c r="Q2099"/>
  <c r="S2099"/>
  <c r="R2101"/>
  <c r="Q2101"/>
  <c r="S2101"/>
  <c r="R2103"/>
  <c r="Q2103"/>
  <c r="S2103"/>
  <c r="R2105"/>
  <c r="Q2105"/>
  <c r="S2105"/>
  <c r="R2107"/>
  <c r="Q2107"/>
  <c r="S2107"/>
  <c r="R2109"/>
  <c r="Q2109"/>
  <c r="S2109"/>
  <c r="R2111"/>
  <c r="Q2111"/>
  <c r="S2111"/>
  <c r="R2113"/>
  <c r="Q2113"/>
  <c r="S2113"/>
  <c r="R2115"/>
  <c r="Q2115"/>
  <c r="S2115"/>
  <c r="R2117"/>
  <c r="Q2117"/>
  <c r="S2117"/>
  <c r="R2119"/>
  <c r="Q2119"/>
  <c r="S2119"/>
  <c r="R3342"/>
  <c r="Q3342"/>
  <c r="S3342"/>
  <c r="R2121"/>
  <c r="Q2121"/>
  <c r="S2121"/>
  <c r="R2123"/>
  <c r="Q2123"/>
  <c r="S2123"/>
  <c r="R3314"/>
  <c r="Q3314"/>
  <c r="S3314"/>
  <c r="R3316"/>
  <c r="Q3316"/>
  <c r="S3316"/>
  <c r="Q2872"/>
  <c r="S2872"/>
  <c r="R2872"/>
  <c r="R3320"/>
  <c r="Q3320"/>
  <c r="S3320"/>
  <c r="R3322"/>
  <c r="Q3322"/>
  <c r="S3322"/>
  <c r="R3324"/>
  <c r="Q3324"/>
  <c r="S3324"/>
  <c r="R3326"/>
  <c r="Q3326"/>
  <c r="S3326"/>
  <c r="R3328"/>
  <c r="Q3328"/>
  <c r="S3328"/>
  <c r="Q3331"/>
  <c r="S3331"/>
  <c r="R3331"/>
  <c r="Q3333"/>
  <c r="S3333"/>
  <c r="R3333"/>
  <c r="Q3227"/>
  <c r="S3227"/>
  <c r="R3227"/>
  <c r="R3336"/>
  <c r="Q3336"/>
  <c r="S3336"/>
  <c r="R3338"/>
  <c r="Q3338"/>
  <c r="S3338"/>
  <c r="R3340"/>
  <c r="Q3340"/>
  <c r="S3340"/>
  <c r="Q3223"/>
  <c r="S3223"/>
  <c r="R3223"/>
  <c r="R3224"/>
  <c r="Q3224"/>
  <c r="S3224"/>
  <c r="R3226"/>
  <c r="Q3226"/>
  <c r="S3226"/>
  <c r="A4340"/>
  <c r="Q4340"/>
  <c r="S4340"/>
  <c r="R4340"/>
  <c r="A4342"/>
  <c r="Q4342"/>
  <c r="S4342"/>
  <c r="R4342"/>
  <c r="A4344"/>
  <c r="Q4344"/>
  <c r="S4344"/>
  <c r="R4344"/>
  <c r="A4346"/>
  <c r="Q4346"/>
  <c r="S4346"/>
  <c r="R4346"/>
  <c r="A4348"/>
  <c r="Q4348"/>
  <c r="S4348"/>
  <c r="R4348"/>
  <c r="A4350"/>
  <c r="Q4350"/>
  <c r="S4350"/>
  <c r="R4350"/>
  <c r="A4352"/>
  <c r="Q4352"/>
  <c r="S4352"/>
  <c r="R4352"/>
  <c r="A4354"/>
  <c r="Q4354"/>
  <c r="S4354"/>
  <c r="R4354"/>
  <c r="A4356"/>
  <c r="Q4356"/>
  <c r="S4356"/>
  <c r="R4356"/>
  <c r="A4358"/>
  <c r="Q4358"/>
  <c r="S4358"/>
  <c r="R4358"/>
  <c r="Q3643"/>
  <c r="S3643"/>
  <c r="R3643"/>
  <c r="A4362"/>
  <c r="Q4362"/>
  <c r="S4362"/>
  <c r="R4362"/>
  <c r="A4363"/>
  <c r="R4363"/>
  <c r="Q4363"/>
  <c r="S4363"/>
  <c r="A4365"/>
  <c r="R4365"/>
  <c r="Q4365"/>
  <c r="S4365"/>
  <c r="Q3661"/>
  <c r="S3661"/>
  <c r="R3661"/>
  <c r="A4368"/>
  <c r="Q4368"/>
  <c r="S4368"/>
  <c r="R4368"/>
  <c r="A4371"/>
  <c r="R4371"/>
  <c r="Q4371"/>
  <c r="S4371"/>
  <c r="Q3625"/>
  <c r="S3625"/>
  <c r="R3625"/>
  <c r="Q3627"/>
  <c r="S3627"/>
  <c r="R3627"/>
  <c r="Q3629"/>
  <c r="S3629"/>
  <c r="R3629"/>
  <c r="Q3631"/>
  <c r="S3631"/>
  <c r="R3631"/>
  <c r="Q3633"/>
  <c r="S3633"/>
  <c r="R3633"/>
  <c r="Q3635"/>
  <c r="S3635"/>
  <c r="R3635"/>
  <c r="Q3637"/>
  <c r="S3637"/>
  <c r="R3637"/>
  <c r="Q3639"/>
  <c r="S3639"/>
  <c r="R3639"/>
  <c r="Q3641"/>
  <c r="S3641"/>
  <c r="R3641"/>
  <c r="R3644"/>
  <c r="Q3644"/>
  <c r="S3644"/>
  <c r="R3646"/>
  <c r="Q3646"/>
  <c r="S3646"/>
  <c r="R3648"/>
  <c r="Q3648"/>
  <c r="S3648"/>
  <c r="R3650"/>
  <c r="Q3650"/>
  <c r="S3650"/>
  <c r="R3652"/>
  <c r="Q3652"/>
  <c r="S3652"/>
  <c r="R3654"/>
  <c r="Q3654"/>
  <c r="S3654"/>
  <c r="R3656"/>
  <c r="Q3656"/>
  <c r="S3656"/>
  <c r="R3658"/>
  <c r="Q3658"/>
  <c r="S3658"/>
  <c r="R3662"/>
  <c r="Q3662"/>
  <c r="S3662"/>
  <c r="R3664"/>
  <c r="Q3664"/>
  <c r="S3664"/>
  <c r="R3666"/>
  <c r="Q3666"/>
  <c r="S3666"/>
  <c r="R3668"/>
  <c r="Q3668"/>
  <c r="S3668"/>
  <c r="R3670"/>
  <c r="Q3670"/>
  <c r="S3670"/>
  <c r="R3672"/>
  <c r="Q3672"/>
  <c r="S3672"/>
  <c r="Q3675"/>
  <c r="S3675"/>
  <c r="R3675"/>
  <c r="Q3677"/>
  <c r="S3677"/>
  <c r="R3677"/>
  <c r="Q3679"/>
  <c r="S3679"/>
  <c r="R3679"/>
  <c r="Q3681"/>
  <c r="S3681"/>
  <c r="R3681"/>
  <c r="Q3683"/>
  <c r="S3683"/>
  <c r="R3683"/>
  <c r="Q3685"/>
  <c r="S3685"/>
  <c r="R3685"/>
  <c r="Q3687"/>
  <c r="S3687"/>
  <c r="R3687"/>
  <c r="Q3689"/>
  <c r="S3689"/>
  <c r="R3689"/>
  <c r="Q3691"/>
  <c r="S3691"/>
  <c r="R3691"/>
  <c r="Q3693"/>
  <c r="S3693"/>
  <c r="R3693"/>
  <c r="Q3695"/>
  <c r="S3695"/>
  <c r="R3695"/>
  <c r="Q3697"/>
  <c r="S3697"/>
  <c r="R3697"/>
  <c r="Q3699"/>
  <c r="S3699"/>
  <c r="R3699"/>
  <c r="Q3701"/>
  <c r="S3701"/>
  <c r="R3701"/>
  <c r="Q3703"/>
  <c r="S3703"/>
  <c r="R3703"/>
  <c r="Q3705"/>
  <c r="S3705"/>
  <c r="R3705"/>
  <c r="R3346"/>
  <c r="Q3346"/>
  <c r="S3346"/>
  <c r="A4375"/>
  <c r="R4375"/>
  <c r="Q4375"/>
  <c r="S4375"/>
  <c r="A4385"/>
  <c r="R4385"/>
  <c r="Q4385"/>
  <c r="S4385"/>
  <c r="A4396"/>
  <c r="Q4396"/>
  <c r="S4396"/>
  <c r="R4396"/>
  <c r="Q2124"/>
  <c r="S2124"/>
  <c r="R2124"/>
  <c r="Q2126"/>
  <c r="S2126"/>
  <c r="R2126"/>
  <c r="Q2128"/>
  <c r="S2128"/>
  <c r="R2128"/>
  <c r="Q2130"/>
  <c r="S2130"/>
  <c r="R2130"/>
  <c r="Q2132"/>
  <c r="S2132"/>
  <c r="R2132"/>
  <c r="Q2134"/>
  <c r="S2134"/>
  <c r="R2134"/>
  <c r="Q2136"/>
  <c r="S2136"/>
  <c r="R2136"/>
  <c r="Q2138"/>
  <c r="S2138"/>
  <c r="R2138"/>
  <c r="A2140"/>
  <c r="Q2140"/>
  <c r="S2140"/>
  <c r="R2140"/>
  <c r="A2142"/>
  <c r="Q2142"/>
  <c r="S2142"/>
  <c r="R2142"/>
  <c r="Q2144"/>
  <c r="S2144"/>
  <c r="R2144"/>
  <c r="Q2146"/>
  <c r="S2146"/>
  <c r="R2146"/>
  <c r="Q2148"/>
  <c r="S2148"/>
  <c r="R2148"/>
  <c r="Q2150"/>
  <c r="S2150"/>
  <c r="R2150"/>
  <c r="Q2152"/>
  <c r="S2152"/>
  <c r="R2152"/>
  <c r="Q2154"/>
  <c r="S2154"/>
  <c r="R2154"/>
  <c r="R2155"/>
  <c r="Q2155"/>
  <c r="S2155"/>
  <c r="R2157"/>
  <c r="Q2157"/>
  <c r="S2157"/>
  <c r="R2159"/>
  <c r="Q2159"/>
  <c r="S2159"/>
  <c r="R2161"/>
  <c r="Q2161"/>
  <c r="S2161"/>
  <c r="R2163"/>
  <c r="Q2163"/>
  <c r="S2163"/>
  <c r="R2165"/>
  <c r="Q2165"/>
  <c r="S2165"/>
  <c r="R2167"/>
  <c r="Q2167"/>
  <c r="S2167"/>
  <c r="R2169"/>
  <c r="Q2169"/>
  <c r="S2169"/>
  <c r="R2171"/>
  <c r="Q2171"/>
  <c r="S2171"/>
  <c r="R2173"/>
  <c r="Q2173"/>
  <c r="S2173"/>
  <c r="R2175"/>
  <c r="Q2175"/>
  <c r="S2175"/>
  <c r="Q2176"/>
  <c r="S2176"/>
  <c r="R2176"/>
  <c r="Q2178"/>
  <c r="S2178"/>
  <c r="R2178"/>
  <c r="Q2180"/>
  <c r="S2180"/>
  <c r="R2180"/>
  <c r="Q2182"/>
  <c r="S2182"/>
  <c r="R2182"/>
  <c r="Q3707"/>
  <c r="S3707"/>
  <c r="R3707"/>
  <c r="R3710"/>
  <c r="Q3710"/>
  <c r="S3710"/>
  <c r="R3712"/>
  <c r="Q3712"/>
  <c r="S3712"/>
  <c r="Q3715"/>
  <c r="S3715"/>
  <c r="R3715"/>
  <c r="Q3717"/>
  <c r="S3717"/>
  <c r="R3717"/>
  <c r="Q3719"/>
  <c r="S3719"/>
  <c r="R3719"/>
  <c r="Q3721"/>
  <c r="S3721"/>
  <c r="R3721"/>
  <c r="Q3723"/>
  <c r="S3723"/>
  <c r="R3723"/>
  <c r="Q3725"/>
  <c r="S3725"/>
  <c r="R3725"/>
  <c r="Q3727"/>
  <c r="S3727"/>
  <c r="R3727"/>
  <c r="Q3741"/>
  <c r="S3741"/>
  <c r="R3741"/>
  <c r="R3730"/>
  <c r="Q3730"/>
  <c r="S3730"/>
  <c r="R3732"/>
  <c r="Q3732"/>
  <c r="S3732"/>
  <c r="R3734"/>
  <c r="Q3734"/>
  <c r="S3734"/>
  <c r="R3736"/>
  <c r="Q3736"/>
  <c r="S3736"/>
  <c r="R3738"/>
  <c r="Q3738"/>
  <c r="S3738"/>
  <c r="R3740"/>
  <c r="Q3740"/>
  <c r="S3740"/>
  <c r="A4374"/>
  <c r="Q4374"/>
  <c r="S4374"/>
  <c r="R4374"/>
  <c r="A4377"/>
  <c r="R4377"/>
  <c r="Q4377"/>
  <c r="S4377"/>
  <c r="A4379"/>
  <c r="R4379"/>
  <c r="Q4379"/>
  <c r="S4379"/>
  <c r="A4381"/>
  <c r="R4381"/>
  <c r="Q4381"/>
  <c r="S4381"/>
  <c r="A4383"/>
  <c r="R4383"/>
  <c r="Q4383"/>
  <c r="S4383"/>
  <c r="A4386"/>
  <c r="Q4386"/>
  <c r="S4386"/>
  <c r="R4386"/>
  <c r="A4389"/>
  <c r="R4389"/>
  <c r="Q4389"/>
  <c r="S4389"/>
  <c r="A4391"/>
  <c r="R4391"/>
  <c r="Q4391"/>
  <c r="S4391"/>
  <c r="A4393"/>
  <c r="R4393"/>
  <c r="Q4393"/>
  <c r="S4393"/>
  <c r="A4395"/>
  <c r="R4395"/>
  <c r="Q4395"/>
  <c r="S4395"/>
  <c r="A4399"/>
  <c r="R4399"/>
  <c r="Q4399"/>
  <c r="S4399"/>
  <c r="A4401"/>
  <c r="R4401"/>
  <c r="Q4401"/>
  <c r="S4401"/>
  <c r="A4403"/>
  <c r="R4403"/>
  <c r="Q4403"/>
  <c r="S4403"/>
  <c r="A4406"/>
  <c r="Q4406"/>
  <c r="S4406"/>
  <c r="R4406"/>
  <c r="Q3345"/>
  <c r="S3345"/>
  <c r="R3345"/>
  <c r="R3350"/>
  <c r="Q3350"/>
  <c r="S3350"/>
  <c r="R3352"/>
  <c r="Q3352"/>
  <c r="S3352"/>
  <c r="R3354"/>
  <c r="Q3354"/>
  <c r="S3354"/>
  <c r="R3356"/>
  <c r="Q3356"/>
  <c r="S3356"/>
  <c r="R3358"/>
  <c r="Q3358"/>
  <c r="S3358"/>
  <c r="R3360"/>
  <c r="Q3360"/>
  <c r="S3360"/>
  <c r="R3362"/>
  <c r="Q3362"/>
  <c r="S3362"/>
  <c r="R3364"/>
  <c r="Q3364"/>
  <c r="S3364"/>
  <c r="R3366"/>
  <c r="Q3366"/>
  <c r="S3366"/>
  <c r="R3368"/>
  <c r="Q3368"/>
  <c r="S3368"/>
  <c r="R3370"/>
  <c r="Q3370"/>
  <c r="S3370"/>
  <c r="R3372"/>
  <c r="Q3372"/>
  <c r="S3372"/>
  <c r="R3374"/>
  <c r="Q3374"/>
  <c r="S3374"/>
  <c r="R3376"/>
  <c r="Q3376"/>
  <c r="S3376"/>
  <c r="Q1744"/>
  <c r="S1744"/>
  <c r="R1744"/>
  <c r="R1747"/>
  <c r="Q1747"/>
  <c r="S1747"/>
  <c r="Q1754"/>
  <c r="S1754"/>
  <c r="R1754"/>
  <c r="Q2690"/>
  <c r="S2690"/>
  <c r="R2690"/>
  <c r="Q2700"/>
  <c r="S2700"/>
  <c r="R2700"/>
  <c r="Q3313"/>
  <c r="S3313"/>
  <c r="R3313"/>
  <c r="R2031"/>
  <c r="Q2031"/>
  <c r="S2031"/>
  <c r="A4367"/>
  <c r="R4367"/>
  <c r="Q4367"/>
  <c r="S4367"/>
  <c r="Q3341"/>
  <c r="S3341"/>
  <c r="R3341"/>
  <c r="R2033"/>
  <c r="Q2033"/>
  <c r="S2033"/>
  <c r="R2035"/>
  <c r="Q2035"/>
  <c r="S2035"/>
  <c r="R2037"/>
  <c r="Q2037"/>
  <c r="S2037"/>
  <c r="R2039"/>
  <c r="Q2039"/>
  <c r="S2039"/>
  <c r="R2041"/>
  <c r="Q2041"/>
  <c r="S2041"/>
  <c r="R2043"/>
  <c r="Q2043"/>
  <c r="S2043"/>
  <c r="R2045"/>
  <c r="Q2045"/>
  <c r="S2045"/>
  <c r="R2047"/>
  <c r="Q2047"/>
  <c r="S2047"/>
  <c r="R2049"/>
  <c r="Q2049"/>
  <c r="S2049"/>
  <c r="R2051"/>
  <c r="Q2051"/>
  <c r="S2051"/>
  <c r="R2053"/>
  <c r="Q2053"/>
  <c r="S2053"/>
  <c r="R2055"/>
  <c r="Q2055"/>
  <c r="S2055"/>
  <c r="R2057"/>
  <c r="Q2057"/>
  <c r="S2057"/>
  <c r="R2059"/>
  <c r="Q2059"/>
  <c r="S2059"/>
  <c r="Q3317"/>
  <c r="S3317"/>
  <c r="R3317"/>
  <c r="Q2062"/>
  <c r="S2062"/>
  <c r="R2062"/>
  <c r="Q2064"/>
  <c r="S2064"/>
  <c r="R2064"/>
  <c r="Q2066"/>
  <c r="S2066"/>
  <c r="R2066"/>
  <c r="Q2068"/>
  <c r="S2068"/>
  <c r="R2068"/>
  <c r="Q2070"/>
  <c r="S2070"/>
  <c r="R2070"/>
  <c r="Q2072"/>
  <c r="S2072"/>
  <c r="R2072"/>
  <c r="Q2074"/>
  <c r="S2074"/>
  <c r="R2074"/>
  <c r="Q2076"/>
  <c r="S2076"/>
  <c r="R2076"/>
  <c r="Q2078"/>
  <c r="S2078"/>
  <c r="R2078"/>
  <c r="Q2080"/>
  <c r="S2080"/>
  <c r="R2080"/>
  <c r="Q2082"/>
  <c r="S2082"/>
  <c r="R2082"/>
  <c r="Q2084"/>
  <c r="S2084"/>
  <c r="R2084"/>
  <c r="Q2086"/>
  <c r="S2086"/>
  <c r="R2086"/>
  <c r="Q2088"/>
  <c r="S2088"/>
  <c r="R2088"/>
  <c r="Q2090"/>
  <c r="S2090"/>
  <c r="R2090"/>
  <c r="Q2092"/>
  <c r="S2092"/>
  <c r="R2092"/>
  <c r="Q2094"/>
  <c r="S2094"/>
  <c r="R2094"/>
  <c r="Q2096"/>
  <c r="S2096"/>
  <c r="R2096"/>
  <c r="Q2098"/>
  <c r="S2098"/>
  <c r="R2098"/>
  <c r="Q2100"/>
  <c r="S2100"/>
  <c r="R2100"/>
  <c r="Q2102"/>
  <c r="S2102"/>
  <c r="R2102"/>
  <c r="Q2104"/>
  <c r="S2104"/>
  <c r="R2104"/>
  <c r="Q2106"/>
  <c r="S2106"/>
  <c r="R2106"/>
  <c r="Q2108"/>
  <c r="S2108"/>
  <c r="R2108"/>
  <c r="Q2110"/>
  <c r="S2110"/>
  <c r="R2110"/>
  <c r="Q2112"/>
  <c r="S2112"/>
  <c r="R2112"/>
  <c r="Q2114"/>
  <c r="S2114"/>
  <c r="R2114"/>
  <c r="Q2116"/>
  <c r="S2116"/>
  <c r="R2116"/>
  <c r="Q2118"/>
  <c r="S2118"/>
  <c r="R2118"/>
  <c r="Q2120"/>
  <c r="S2120"/>
  <c r="R2120"/>
  <c r="Q3343"/>
  <c r="S3343"/>
  <c r="R3343"/>
  <c r="Q2122"/>
  <c r="S2122"/>
  <c r="R2122"/>
  <c r="R3312"/>
  <c r="Q3312"/>
  <c r="S3312"/>
  <c r="Q3315"/>
  <c r="S3315"/>
  <c r="R3315"/>
  <c r="R3318"/>
  <c r="Q3318"/>
  <c r="S3318"/>
  <c r="Q3319"/>
  <c r="S3319"/>
  <c r="R3319"/>
  <c r="Q3321"/>
  <c r="S3321"/>
  <c r="R3321"/>
  <c r="Q3323"/>
  <c r="S3323"/>
  <c r="R3323"/>
  <c r="Q3325"/>
  <c r="S3325"/>
  <c r="R3325"/>
  <c r="Q3327"/>
  <c r="S3327"/>
  <c r="R3327"/>
  <c r="Q3329"/>
  <c r="S3329"/>
  <c r="R3329"/>
  <c r="R3332"/>
  <c r="Q3332"/>
  <c r="S3332"/>
  <c r="R3334"/>
  <c r="Q3334"/>
  <c r="S3334"/>
  <c r="Q3335"/>
  <c r="S3335"/>
  <c r="R3335"/>
  <c r="Q3337"/>
  <c r="S3337"/>
  <c r="R3337"/>
  <c r="Q3339"/>
  <c r="S3339"/>
  <c r="R3339"/>
  <c r="Q3221"/>
  <c r="S3221"/>
  <c r="R3221"/>
  <c r="R3222"/>
  <c r="Q3222"/>
  <c r="S3222"/>
  <c r="Q3225"/>
  <c r="S3225"/>
  <c r="R3225"/>
  <c r="A4339"/>
  <c r="R4339"/>
  <c r="Q4339"/>
  <c r="S4339"/>
  <c r="A4341"/>
  <c r="R4341"/>
  <c r="Q4341"/>
  <c r="S4341"/>
  <c r="A4343"/>
  <c r="R4343"/>
  <c r="Q4343"/>
  <c r="S4343"/>
  <c r="A4345"/>
  <c r="R4345"/>
  <c r="Q4345"/>
  <c r="S4345"/>
  <c r="A4347"/>
  <c r="R4347"/>
  <c r="Q4347"/>
  <c r="S4347"/>
  <c r="A4349"/>
  <c r="R4349"/>
  <c r="Q4349"/>
  <c r="S4349"/>
  <c r="A4351"/>
  <c r="R4351"/>
  <c r="Q4351"/>
  <c r="S4351"/>
  <c r="A4353"/>
  <c r="R4353"/>
  <c r="Q4353"/>
  <c r="S4353"/>
  <c r="A4355"/>
  <c r="R4355"/>
  <c r="Q4355"/>
  <c r="S4355"/>
  <c r="A4357"/>
  <c r="R4357"/>
  <c r="Q4357"/>
  <c r="S4357"/>
  <c r="A4359"/>
  <c r="R4359"/>
  <c r="Q4359"/>
  <c r="S4359"/>
  <c r="A4360"/>
  <c r="Q4360"/>
  <c r="S4360"/>
  <c r="R4360"/>
  <c r="R3660"/>
  <c r="Q3660"/>
  <c r="S3660"/>
  <c r="A4364"/>
  <c r="Q4364"/>
  <c r="S4364"/>
  <c r="R4364"/>
  <c r="A4366"/>
  <c r="Q4366"/>
  <c r="S4366"/>
  <c r="R4366"/>
  <c r="Q3673"/>
  <c r="S3673"/>
  <c r="R3673"/>
  <c r="A4370"/>
  <c r="Q4370"/>
  <c r="S4370"/>
  <c r="R4370"/>
  <c r="A4372"/>
  <c r="Q4372"/>
  <c r="S4372"/>
  <c r="R4372"/>
  <c r="R3626"/>
  <c r="Q3626"/>
  <c r="S3626"/>
  <c r="R3628"/>
  <c r="Q3628"/>
  <c r="S3628"/>
  <c r="R3630"/>
  <c r="Q3630"/>
  <c r="S3630"/>
  <c r="R3632"/>
  <c r="Q3632"/>
  <c r="S3632"/>
  <c r="R3634"/>
  <c r="Q3634"/>
  <c r="S3634"/>
  <c r="R3636"/>
  <c r="Q3636"/>
  <c r="S3636"/>
  <c r="R3638"/>
  <c r="Q3638"/>
  <c r="S3638"/>
  <c r="R3640"/>
  <c r="Q3640"/>
  <c r="S3640"/>
  <c r="R3642"/>
  <c r="Q3642"/>
  <c r="S3642"/>
  <c r="Q3645"/>
  <c r="S3645"/>
  <c r="R3645"/>
  <c r="Q3647"/>
  <c r="S3647"/>
  <c r="R3647"/>
  <c r="Q3649"/>
  <c r="S3649"/>
  <c r="R3649"/>
  <c r="Q3651"/>
  <c r="S3651"/>
  <c r="R3651"/>
  <c r="Q3653"/>
  <c r="S3653"/>
  <c r="R3653"/>
  <c r="Q3655"/>
  <c r="S3655"/>
  <c r="R3655"/>
  <c r="Q3657"/>
  <c r="S3657"/>
  <c r="R3657"/>
  <c r="Q3659"/>
  <c r="S3659"/>
  <c r="R3659"/>
  <c r="Q3663"/>
  <c r="S3663"/>
  <c r="R3663"/>
  <c r="Q3665"/>
  <c r="S3665"/>
  <c r="R3665"/>
  <c r="Q3667"/>
  <c r="S3667"/>
  <c r="R3667"/>
  <c r="Q3669"/>
  <c r="S3669"/>
  <c r="R3669"/>
  <c r="Q3671"/>
  <c r="S3671"/>
  <c r="R3671"/>
  <c r="R3674"/>
  <c r="Q3674"/>
  <c r="S3674"/>
  <c r="R3676"/>
  <c r="Q3676"/>
  <c r="S3676"/>
  <c r="R3678"/>
  <c r="Q3678"/>
  <c r="S3678"/>
  <c r="R3680"/>
  <c r="Q3680"/>
  <c r="S3680"/>
  <c r="R3682"/>
  <c r="Q3682"/>
  <c r="S3682"/>
  <c r="R3684"/>
  <c r="Q3684"/>
  <c r="S3684"/>
  <c r="R3686"/>
  <c r="Q3686"/>
  <c r="S3686"/>
  <c r="R3688"/>
  <c r="Q3688"/>
  <c r="S3688"/>
  <c r="R3690"/>
  <c r="Q3690"/>
  <c r="S3690"/>
  <c r="R3692"/>
  <c r="Q3692"/>
  <c r="S3692"/>
  <c r="R3694"/>
  <c r="Q3694"/>
  <c r="S3694"/>
  <c r="R3696"/>
  <c r="Q3696"/>
  <c r="S3696"/>
  <c r="R3698"/>
  <c r="Q3698"/>
  <c r="S3698"/>
  <c r="R3700"/>
  <c r="Q3700"/>
  <c r="S3700"/>
  <c r="R3702"/>
  <c r="Q3702"/>
  <c r="S3702"/>
  <c r="R3704"/>
  <c r="Q3704"/>
  <c r="S3704"/>
  <c r="R3228"/>
  <c r="Q3228"/>
  <c r="S3228"/>
  <c r="Q3347"/>
  <c r="S3347"/>
  <c r="R3347"/>
  <c r="R3348"/>
  <c r="Q3348"/>
  <c r="S3348"/>
  <c r="A4387"/>
  <c r="R4387"/>
  <c r="Q4387"/>
  <c r="S4387"/>
  <c r="Q3381"/>
  <c r="S3381"/>
  <c r="R3381"/>
  <c r="R2125"/>
  <c r="Q2125"/>
  <c r="S2125"/>
  <c r="R2127"/>
  <c r="Q2127"/>
  <c r="S2127"/>
  <c r="R2129"/>
  <c r="Q2129"/>
  <c r="S2129"/>
  <c r="R2131"/>
  <c r="Q2131"/>
  <c r="S2131"/>
  <c r="R2133"/>
  <c r="Q2133"/>
  <c r="S2133"/>
  <c r="R2135"/>
  <c r="Q2135"/>
  <c r="S2135"/>
  <c r="R2137"/>
  <c r="Q2137"/>
  <c r="S2137"/>
  <c r="R2139"/>
  <c r="Q2139"/>
  <c r="S2139"/>
  <c r="A2141"/>
  <c r="R2141"/>
  <c r="Q2141"/>
  <c r="S2141"/>
  <c r="R2143"/>
  <c r="Q2143"/>
  <c r="S2143"/>
  <c r="R2145"/>
  <c r="Q2145"/>
  <c r="S2145"/>
  <c r="R2147"/>
  <c r="Q2147"/>
  <c r="S2147"/>
  <c r="R2149"/>
  <c r="Q2149"/>
  <c r="S2149"/>
  <c r="R2151"/>
  <c r="Q2151"/>
  <c r="S2151"/>
  <c r="R2153"/>
  <c r="Q2153"/>
  <c r="S2153"/>
  <c r="A4397"/>
  <c r="R4397"/>
  <c r="Q4397"/>
  <c r="S4397"/>
  <c r="Q2156"/>
  <c r="S2156"/>
  <c r="R2156"/>
  <c r="Q2158"/>
  <c r="S2158"/>
  <c r="R2158"/>
  <c r="Q2160"/>
  <c r="S2160"/>
  <c r="R2160"/>
  <c r="Q2162"/>
  <c r="S2162"/>
  <c r="R2162"/>
  <c r="Q2164"/>
  <c r="S2164"/>
  <c r="R2164"/>
  <c r="Q2166"/>
  <c r="S2166"/>
  <c r="R2166"/>
  <c r="Q2168"/>
  <c r="S2168"/>
  <c r="R2168"/>
  <c r="Q2170"/>
  <c r="S2170"/>
  <c r="R2170"/>
  <c r="Q2172"/>
  <c r="S2172"/>
  <c r="R2172"/>
  <c r="Q2174"/>
  <c r="S2174"/>
  <c r="R2174"/>
  <c r="A4404"/>
  <c r="Q4404"/>
  <c r="S4404"/>
  <c r="R4404"/>
  <c r="R2177"/>
  <c r="Q2177"/>
  <c r="S2177"/>
  <c r="R2179"/>
  <c r="Q2179"/>
  <c r="S2179"/>
  <c r="R2181"/>
  <c r="Q2181"/>
  <c r="S2181"/>
  <c r="R3706"/>
  <c r="Q3706"/>
  <c r="S3706"/>
  <c r="Q3709"/>
  <c r="S3709"/>
  <c r="R3709"/>
  <c r="Q3711"/>
  <c r="S3711"/>
  <c r="R3711"/>
  <c r="Q3713"/>
  <c r="S3713"/>
  <c r="R3713"/>
  <c r="R3716"/>
  <c r="Q3716"/>
  <c r="S3716"/>
  <c r="R3718"/>
  <c r="Q3718"/>
  <c r="S3718"/>
  <c r="R3720"/>
  <c r="Q3720"/>
  <c r="S3720"/>
  <c r="R3722"/>
  <c r="Q3722"/>
  <c r="S3722"/>
  <c r="R3724"/>
  <c r="Q3724"/>
  <c r="S3724"/>
  <c r="R3726"/>
  <c r="Q3726"/>
  <c r="S3726"/>
  <c r="R3728"/>
  <c r="Q3728"/>
  <c r="S3728"/>
  <c r="Q3729"/>
  <c r="S3729"/>
  <c r="R3729"/>
  <c r="Q3731"/>
  <c r="S3731"/>
  <c r="R3731"/>
  <c r="Q3733"/>
  <c r="S3733"/>
  <c r="R3733"/>
  <c r="Q3735"/>
  <c r="S3735"/>
  <c r="R3735"/>
  <c r="Q3737"/>
  <c r="S3737"/>
  <c r="R3737"/>
  <c r="Q3739"/>
  <c r="S3739"/>
  <c r="R3739"/>
  <c r="A4373"/>
  <c r="R4373"/>
  <c r="Q4373"/>
  <c r="S4373"/>
  <c r="A4376"/>
  <c r="Q4376"/>
  <c r="S4376"/>
  <c r="R4376"/>
  <c r="A4378"/>
  <c r="Q4378"/>
  <c r="S4378"/>
  <c r="R4378"/>
  <c r="A4380"/>
  <c r="Q4380"/>
  <c r="S4380"/>
  <c r="R4380"/>
  <c r="A4382"/>
  <c r="Q4382"/>
  <c r="S4382"/>
  <c r="R4382"/>
  <c r="A4384"/>
  <c r="Q4384"/>
  <c r="S4384"/>
  <c r="R4384"/>
  <c r="A4388"/>
  <c r="Q4388"/>
  <c r="S4388"/>
  <c r="R4388"/>
  <c r="A4390"/>
  <c r="Q4390"/>
  <c r="S4390"/>
  <c r="R4390"/>
  <c r="A4392"/>
  <c r="Q4392"/>
  <c r="S4392"/>
  <c r="R4392"/>
  <c r="A4394"/>
  <c r="Q4394"/>
  <c r="S4394"/>
  <c r="R4394"/>
  <c r="A4398"/>
  <c r="Q4398"/>
  <c r="S4398"/>
  <c r="R4398"/>
  <c r="A4400"/>
  <c r="Q4400"/>
  <c r="S4400"/>
  <c r="R4400"/>
  <c r="A4402"/>
  <c r="Q4402"/>
  <c r="S4402"/>
  <c r="R4402"/>
  <c r="A4405"/>
  <c r="R4405"/>
  <c r="Q4405"/>
  <c r="S4405"/>
  <c r="R3344"/>
  <c r="Q3344"/>
  <c r="S3344"/>
  <c r="Q3349"/>
  <c r="S3349"/>
  <c r="R3349"/>
  <c r="Q3351"/>
  <c r="S3351"/>
  <c r="R3351"/>
  <c r="Q3353"/>
  <c r="S3353"/>
  <c r="R3353"/>
  <c r="Q3355"/>
  <c r="S3355"/>
  <c r="R3355"/>
  <c r="Q3357"/>
  <c r="S3357"/>
  <c r="R3357"/>
  <c r="Q3359"/>
  <c r="S3359"/>
  <c r="R3359"/>
  <c r="Q3361"/>
  <c r="S3361"/>
  <c r="R3361"/>
  <c r="Q3363"/>
  <c r="S3363"/>
  <c r="R3363"/>
  <c r="Q3365"/>
  <c r="S3365"/>
  <c r="R3365"/>
  <c r="Q3367"/>
  <c r="S3367"/>
  <c r="R3367"/>
  <c r="Q3369"/>
  <c r="S3369"/>
  <c r="R3369"/>
  <c r="Q3371"/>
  <c r="S3371"/>
  <c r="R3371"/>
  <c r="Q3373"/>
  <c r="S3373"/>
  <c r="R3373"/>
  <c r="Q3375"/>
  <c r="S3375"/>
  <c r="R3375"/>
  <c r="Q3377"/>
  <c r="S3377"/>
  <c r="R3377"/>
  <c r="R3378"/>
  <c r="Q3378"/>
  <c r="S3378"/>
  <c r="R3380"/>
  <c r="Q3380"/>
  <c r="S3380"/>
  <c r="Q3383"/>
  <c r="S3383"/>
  <c r="R3383"/>
  <c r="Q2874"/>
  <c r="S2874"/>
  <c r="R2874"/>
  <c r="Q2876"/>
  <c r="S2876"/>
  <c r="R2876"/>
  <c r="Q2878"/>
  <c r="S2878"/>
  <c r="R2878"/>
  <c r="A4415"/>
  <c r="R4415"/>
  <c r="Q4415"/>
  <c r="S4415"/>
  <c r="A4447"/>
  <c r="R4447"/>
  <c r="Q4447"/>
  <c r="S4447"/>
  <c r="A4465"/>
  <c r="R4465"/>
  <c r="Q4465"/>
  <c r="S4465"/>
  <c r="A4471"/>
  <c r="R4471"/>
  <c r="Q4471"/>
  <c r="S4471"/>
  <c r="A4481"/>
  <c r="R4481"/>
  <c r="Q4481"/>
  <c r="S4481"/>
  <c r="Q2184"/>
  <c r="S2184"/>
  <c r="R2184"/>
  <c r="Q2186"/>
  <c r="S2186"/>
  <c r="R2186"/>
  <c r="Q2188"/>
  <c r="S2188"/>
  <c r="R2188"/>
  <c r="Q2190"/>
  <c r="S2190"/>
  <c r="R2190"/>
  <c r="Q2192"/>
  <c r="S2192"/>
  <c r="R2192"/>
  <c r="Q2194"/>
  <c r="S2194"/>
  <c r="R2194"/>
  <c r="Q2196"/>
  <c r="S2196"/>
  <c r="R2196"/>
  <c r="Q2198"/>
  <c r="S2198"/>
  <c r="R2198"/>
  <c r="Q2200"/>
  <c r="S2200"/>
  <c r="R2200"/>
  <c r="R2201"/>
  <c r="Q2201"/>
  <c r="S2201"/>
  <c r="R2203"/>
  <c r="Q2203"/>
  <c r="S2203"/>
  <c r="R2205"/>
  <c r="Q2205"/>
  <c r="S2205"/>
  <c r="R2207"/>
  <c r="Q2207"/>
  <c r="S2207"/>
  <c r="R2209"/>
  <c r="Q2209"/>
  <c r="S2209"/>
  <c r="R2211"/>
  <c r="Q2211"/>
  <c r="S2211"/>
  <c r="R2213"/>
  <c r="Q2213"/>
  <c r="S2213"/>
  <c r="R2215"/>
  <c r="Q2215"/>
  <c r="S2215"/>
  <c r="R2217"/>
  <c r="Q2217"/>
  <c r="S2217"/>
  <c r="R2219"/>
  <c r="Q2219"/>
  <c r="S2219"/>
  <c r="R2221"/>
  <c r="Q2221"/>
  <c r="S2221"/>
  <c r="R2223"/>
  <c r="Q2223"/>
  <c r="S2223"/>
  <c r="R2225"/>
  <c r="Q2225"/>
  <c r="S2225"/>
  <c r="R2227"/>
  <c r="Q2227"/>
  <c r="S2227"/>
  <c r="R2229"/>
  <c r="Q2229"/>
  <c r="S2229"/>
  <c r="R2231"/>
  <c r="Q2231"/>
  <c r="S2231"/>
  <c r="R2233"/>
  <c r="Q2233"/>
  <c r="S2233"/>
  <c r="A4446"/>
  <c r="Q4446"/>
  <c r="S4446"/>
  <c r="R4446"/>
  <c r="Q2236"/>
  <c r="S2236"/>
  <c r="R2236"/>
  <c r="Q2238"/>
  <c r="S2238"/>
  <c r="R2238"/>
  <c r="Q2240"/>
  <c r="S2240"/>
  <c r="R2240"/>
  <c r="Q2242"/>
  <c r="S2242"/>
  <c r="R2242"/>
  <c r="Q2244"/>
  <c r="S2244"/>
  <c r="R2244"/>
  <c r="Q2246"/>
  <c r="S2246"/>
  <c r="R2246"/>
  <c r="Q2248"/>
  <c r="S2248"/>
  <c r="R2248"/>
  <c r="Q2250"/>
  <c r="S2250"/>
  <c r="R2250"/>
  <c r="A4470"/>
  <c r="Q4470"/>
  <c r="S4470"/>
  <c r="R4470"/>
  <c r="R2253"/>
  <c r="Q2253"/>
  <c r="S2253"/>
  <c r="R2255"/>
  <c r="Q2255"/>
  <c r="S2255"/>
  <c r="A4479"/>
  <c r="R4479"/>
  <c r="Q4479"/>
  <c r="S4479"/>
  <c r="Q2258"/>
  <c r="S2258"/>
  <c r="R2258"/>
  <c r="Q2260"/>
  <c r="S2260"/>
  <c r="R2260"/>
  <c r="Q2262"/>
  <c r="S2262"/>
  <c r="R2262"/>
  <c r="A4408"/>
  <c r="Q4408"/>
  <c r="S4408"/>
  <c r="R4408"/>
  <c r="A4409"/>
  <c r="R4409"/>
  <c r="Q4409"/>
  <c r="S4409"/>
  <c r="A4411"/>
  <c r="R4411"/>
  <c r="Q4411"/>
  <c r="S4411"/>
  <c r="A4413"/>
  <c r="R4413"/>
  <c r="Q4413"/>
  <c r="S4413"/>
  <c r="A4417"/>
  <c r="R4417"/>
  <c r="Q4417"/>
  <c r="S4417"/>
  <c r="A4419"/>
  <c r="R4419"/>
  <c r="Q4419"/>
  <c r="S4419"/>
  <c r="A4421"/>
  <c r="R4421"/>
  <c r="Q4421"/>
  <c r="S4421"/>
  <c r="A4423"/>
  <c r="R4423"/>
  <c r="Q4423"/>
  <c r="S4423"/>
  <c r="A4425"/>
  <c r="R4425"/>
  <c r="Q4425"/>
  <c r="S4425"/>
  <c r="A4427"/>
  <c r="R4427"/>
  <c r="Q4427"/>
  <c r="S4427"/>
  <c r="A4429"/>
  <c r="R4429"/>
  <c r="Q4429"/>
  <c r="S4429"/>
  <c r="A4431"/>
  <c r="R4431"/>
  <c r="Q4431"/>
  <c r="S4431"/>
  <c r="A4433"/>
  <c r="R4433"/>
  <c r="Q4433"/>
  <c r="S4433"/>
  <c r="A4435"/>
  <c r="R4435"/>
  <c r="Q4435"/>
  <c r="S4435"/>
  <c r="A4437"/>
  <c r="R4437"/>
  <c r="Q4437"/>
  <c r="S4437"/>
  <c r="A4439"/>
  <c r="R4439"/>
  <c r="Q4439"/>
  <c r="S4439"/>
  <c r="A4441"/>
  <c r="R4441"/>
  <c r="Q4441"/>
  <c r="S4441"/>
  <c r="A4443"/>
  <c r="R4443"/>
  <c r="Q4443"/>
  <c r="S4443"/>
  <c r="A4445"/>
  <c r="R4445"/>
  <c r="Q4445"/>
  <c r="S4445"/>
  <c r="A4450"/>
  <c r="Q4450"/>
  <c r="S4450"/>
  <c r="R4450"/>
  <c r="A4452"/>
  <c r="Q4452"/>
  <c r="S4452"/>
  <c r="R4452"/>
  <c r="A4454"/>
  <c r="Q4454"/>
  <c r="S4454"/>
  <c r="R4454"/>
  <c r="A4456"/>
  <c r="Q4456"/>
  <c r="S4456"/>
  <c r="R4456"/>
  <c r="A4458"/>
  <c r="Q4458"/>
  <c r="S4458"/>
  <c r="R4458"/>
  <c r="A4460"/>
  <c r="Q4460"/>
  <c r="S4460"/>
  <c r="R4460"/>
  <c r="A4462"/>
  <c r="Q4462"/>
  <c r="S4462"/>
  <c r="R4462"/>
  <c r="A4464"/>
  <c r="Q4464"/>
  <c r="S4464"/>
  <c r="R4464"/>
  <c r="A4467"/>
  <c r="R4467"/>
  <c r="Q4467"/>
  <c r="S4467"/>
  <c r="Q3761"/>
  <c r="S3761"/>
  <c r="R3761"/>
  <c r="A4472"/>
  <c r="Q4472"/>
  <c r="S4472"/>
  <c r="R4472"/>
  <c r="A4474"/>
  <c r="Q4474"/>
  <c r="S4474"/>
  <c r="R4474"/>
  <c r="A4476"/>
  <c r="Q4476"/>
  <c r="S4476"/>
  <c r="R4476"/>
  <c r="A4478"/>
  <c r="Q4478"/>
  <c r="S4478"/>
  <c r="R4478"/>
  <c r="A4483"/>
  <c r="R4483"/>
  <c r="Q4483"/>
  <c r="S4483"/>
  <c r="A4485"/>
  <c r="R4485"/>
  <c r="Q4485"/>
  <c r="S4485"/>
  <c r="A4487"/>
  <c r="R4487"/>
  <c r="Q4487"/>
  <c r="S4487"/>
  <c r="A4489"/>
  <c r="R4489"/>
  <c r="Q4489"/>
  <c r="S4489"/>
  <c r="A4491"/>
  <c r="R4491"/>
  <c r="Q4491"/>
  <c r="S4491"/>
  <c r="A4493"/>
  <c r="R4493"/>
  <c r="Q4493"/>
  <c r="S4493"/>
  <c r="A4495"/>
  <c r="R4495"/>
  <c r="Q4495"/>
  <c r="S4495"/>
  <c r="A4497"/>
  <c r="R4497"/>
  <c r="Q4497"/>
  <c r="S4497"/>
  <c r="A4499"/>
  <c r="R4499"/>
  <c r="Q4499"/>
  <c r="S4499"/>
  <c r="A4501"/>
  <c r="R4501"/>
  <c r="Q4501"/>
  <c r="S4501"/>
  <c r="A4503"/>
  <c r="R4503"/>
  <c r="Q4503"/>
  <c r="S4503"/>
  <c r="A4505"/>
  <c r="R4505"/>
  <c r="Q4505"/>
  <c r="S4505"/>
  <c r="R3744"/>
  <c r="Q3744"/>
  <c r="S3744"/>
  <c r="Q3747"/>
  <c r="S3747"/>
  <c r="R3747"/>
  <c r="R3750"/>
  <c r="Q3750"/>
  <c r="S3750"/>
  <c r="Q3231"/>
  <c r="S3231"/>
  <c r="R3231"/>
  <c r="R3752"/>
  <c r="Q3752"/>
  <c r="S3752"/>
  <c r="R3754"/>
  <c r="Q3754"/>
  <c r="S3754"/>
  <c r="R3756"/>
  <c r="Q3756"/>
  <c r="S3756"/>
  <c r="R3232"/>
  <c r="Q3232"/>
  <c r="S3232"/>
  <c r="R3764"/>
  <c r="Q3764"/>
  <c r="S3764"/>
  <c r="R3766"/>
  <c r="Q3766"/>
  <c r="S3766"/>
  <c r="R3768"/>
  <c r="Q3768"/>
  <c r="S3768"/>
  <c r="R3770"/>
  <c r="Q3770"/>
  <c r="S3770"/>
  <c r="R3772"/>
  <c r="Q3772"/>
  <c r="S3772"/>
  <c r="R3774"/>
  <c r="Q3774"/>
  <c r="S3774"/>
  <c r="R3776"/>
  <c r="Q3776"/>
  <c r="S3776"/>
  <c r="R3778"/>
  <c r="Q3778"/>
  <c r="S3778"/>
  <c r="R3780"/>
  <c r="Q3780"/>
  <c r="S3780"/>
  <c r="R3782"/>
  <c r="Q3782"/>
  <c r="S3782"/>
  <c r="R3784"/>
  <c r="Q3784"/>
  <c r="S3784"/>
  <c r="R3786"/>
  <c r="Q3786"/>
  <c r="S3786"/>
  <c r="Q3385"/>
  <c r="S3385"/>
  <c r="R3385"/>
  <c r="Q3235"/>
  <c r="S3235"/>
  <c r="R3235"/>
  <c r="Q3237"/>
  <c r="S3237"/>
  <c r="R3237"/>
  <c r="Q3239"/>
  <c r="S3239"/>
  <c r="R3239"/>
  <c r="Q3241"/>
  <c r="S3241"/>
  <c r="R3241"/>
  <c r="Q3243"/>
  <c r="S3243"/>
  <c r="R3243"/>
  <c r="Q3245"/>
  <c r="S3245"/>
  <c r="R3245"/>
  <c r="A4516"/>
  <c r="Q4516"/>
  <c r="S4516"/>
  <c r="R4516"/>
  <c r="A4524"/>
  <c r="Q4524"/>
  <c r="S4524"/>
  <c r="R4524"/>
  <c r="A4555"/>
  <c r="R4555"/>
  <c r="Q4555"/>
  <c r="S4555"/>
  <c r="A4568"/>
  <c r="Q4568"/>
  <c r="S4568"/>
  <c r="R4568"/>
  <c r="R2265"/>
  <c r="Q2265"/>
  <c r="S2265"/>
  <c r="R2267"/>
  <c r="Q2267"/>
  <c r="S2267"/>
  <c r="R2269"/>
  <c r="Q2269"/>
  <c r="S2269"/>
  <c r="R2271"/>
  <c r="Q2271"/>
  <c r="S2271"/>
  <c r="R2273"/>
  <c r="Q2273"/>
  <c r="S2273"/>
  <c r="R2275"/>
  <c r="Q2275"/>
  <c r="S2275"/>
  <c r="R2277"/>
  <c r="Q2277"/>
  <c r="S2277"/>
  <c r="R2279"/>
  <c r="Q2279"/>
  <c r="S2279"/>
  <c r="R2281"/>
  <c r="Q2281"/>
  <c r="S2281"/>
  <c r="R2283"/>
  <c r="Q2283"/>
  <c r="S2283"/>
  <c r="R2285"/>
  <c r="Q2285"/>
  <c r="S2285"/>
  <c r="R2287"/>
  <c r="Q2287"/>
  <c r="S2287"/>
  <c r="R2289"/>
  <c r="Q2289"/>
  <c r="S2289"/>
  <c r="R2291"/>
  <c r="Q2291"/>
  <c r="S2291"/>
  <c r="R2293"/>
  <c r="Q2293"/>
  <c r="S2293"/>
  <c r="R2295"/>
  <c r="Q2295"/>
  <c r="S2295"/>
  <c r="R2297"/>
  <c r="Q2297"/>
  <c r="S2297"/>
  <c r="Q2298"/>
  <c r="S2298"/>
  <c r="R2298"/>
  <c r="Q2300"/>
  <c r="S2300"/>
  <c r="R2300"/>
  <c r="Q2302"/>
  <c r="S2302"/>
  <c r="R2302"/>
  <c r="Q2304"/>
  <c r="S2304"/>
  <c r="R2304"/>
  <c r="Q2306"/>
  <c r="S2306"/>
  <c r="R2306"/>
  <c r="Q2308"/>
  <c r="S2308"/>
  <c r="R2308"/>
  <c r="Q2310"/>
  <c r="S2310"/>
  <c r="R2310"/>
  <c r="Q2312"/>
  <c r="S2312"/>
  <c r="R2312"/>
  <c r="Q2314"/>
  <c r="S2314"/>
  <c r="R2314"/>
  <c r="Q2316"/>
  <c r="S2316"/>
  <c r="R2316"/>
  <c r="Q2318"/>
  <c r="S2318"/>
  <c r="R2318"/>
  <c r="Q2320"/>
  <c r="S2320"/>
  <c r="R2320"/>
  <c r="Q2322"/>
  <c r="S2322"/>
  <c r="R2322"/>
  <c r="Q2324"/>
  <c r="S2324"/>
  <c r="R2324"/>
  <c r="Q2326"/>
  <c r="S2326"/>
  <c r="R2326"/>
  <c r="Q2328"/>
  <c r="S2328"/>
  <c r="R2328"/>
  <c r="Q2330"/>
  <c r="S2330"/>
  <c r="R2330"/>
  <c r="Q2332"/>
  <c r="S2332"/>
  <c r="R2332"/>
  <c r="Q2334"/>
  <c r="S2334"/>
  <c r="R2334"/>
  <c r="Q2336"/>
  <c r="S2336"/>
  <c r="R2336"/>
  <c r="Q2338"/>
  <c r="S2338"/>
  <c r="R2338"/>
  <c r="Q2340"/>
  <c r="S2340"/>
  <c r="R2340"/>
  <c r="Q2342"/>
  <c r="S2342"/>
  <c r="R2342"/>
  <c r="R2343"/>
  <c r="Q2343"/>
  <c r="S2343"/>
  <c r="R2345"/>
  <c r="Q2345"/>
  <c r="S2345"/>
  <c r="R2347"/>
  <c r="Q2347"/>
  <c r="S2347"/>
  <c r="R2349"/>
  <c r="Q2349"/>
  <c r="S2349"/>
  <c r="R2351"/>
  <c r="Q2351"/>
  <c r="S2351"/>
  <c r="R2353"/>
  <c r="Q2353"/>
  <c r="S2353"/>
  <c r="R2355"/>
  <c r="Q2355"/>
  <c r="S2355"/>
  <c r="R2357"/>
  <c r="Q2357"/>
  <c r="S2357"/>
  <c r="Q3409"/>
  <c r="S3409"/>
  <c r="R3409"/>
  <c r="Q2360"/>
  <c r="S2360"/>
  <c r="R2360"/>
  <c r="Q2362"/>
  <c r="S2362"/>
  <c r="R2362"/>
  <c r="Q2364"/>
  <c r="S2364"/>
  <c r="R2364"/>
  <c r="Q2880"/>
  <c r="S2880"/>
  <c r="R2880"/>
  <c r="R3386"/>
  <c r="Q3386"/>
  <c r="S3386"/>
  <c r="R3388"/>
  <c r="Q3388"/>
  <c r="S3388"/>
  <c r="R3390"/>
  <c r="Q3390"/>
  <c r="S3390"/>
  <c r="Q3247"/>
  <c r="S3247"/>
  <c r="R3247"/>
  <c r="Q3395"/>
  <c r="S3395"/>
  <c r="R3395"/>
  <c r="Q3397"/>
  <c r="S3397"/>
  <c r="R3397"/>
  <c r="Q3399"/>
  <c r="S3399"/>
  <c r="R3399"/>
  <c r="Q3401"/>
  <c r="S3401"/>
  <c r="R3401"/>
  <c r="Q3403"/>
  <c r="S3403"/>
  <c r="R3403"/>
  <c r="Q3405"/>
  <c r="S3405"/>
  <c r="R3405"/>
  <c r="Q3407"/>
  <c r="S3407"/>
  <c r="R3407"/>
  <c r="R3246"/>
  <c r="Q3246"/>
  <c r="S3246"/>
  <c r="Q3789"/>
  <c r="S3789"/>
  <c r="R3789"/>
  <c r="A4508"/>
  <c r="Q4508"/>
  <c r="S4508"/>
  <c r="R4508"/>
  <c r="A4510"/>
  <c r="Q4510"/>
  <c r="S4510"/>
  <c r="R4510"/>
  <c r="R3790"/>
  <c r="Q3790"/>
  <c r="S3790"/>
  <c r="A4513"/>
  <c r="R4513"/>
  <c r="Q4513"/>
  <c r="S4513"/>
  <c r="A4515"/>
  <c r="R4515"/>
  <c r="Q4515"/>
  <c r="S4515"/>
  <c r="A4519"/>
  <c r="R4519"/>
  <c r="Q4519"/>
  <c r="S4519"/>
  <c r="A4520"/>
  <c r="Q4520"/>
  <c r="S4520"/>
  <c r="R4520"/>
  <c r="A4523"/>
  <c r="R4523"/>
  <c r="Q4523"/>
  <c r="S4523"/>
  <c r="A4526"/>
  <c r="Q4526"/>
  <c r="S4526"/>
  <c r="R4526"/>
  <c r="A4528"/>
  <c r="Q4528"/>
  <c r="S4528"/>
  <c r="R4528"/>
  <c r="A4530"/>
  <c r="Q4530"/>
  <c r="S4530"/>
  <c r="R4530"/>
  <c r="A4531"/>
  <c r="R4531"/>
  <c r="Q4531"/>
  <c r="S4531"/>
  <c r="A4533"/>
  <c r="R4533"/>
  <c r="Q4533"/>
  <c r="S4533"/>
  <c r="A4536"/>
  <c r="Q4536"/>
  <c r="S4536"/>
  <c r="R4536"/>
  <c r="A4538"/>
  <c r="Q4538"/>
  <c r="S4538"/>
  <c r="R4538"/>
  <c r="A4540"/>
  <c r="Q4540"/>
  <c r="S4540"/>
  <c r="R4540"/>
  <c r="A4542"/>
  <c r="Q4542"/>
  <c r="S4542"/>
  <c r="R4542"/>
  <c r="A4544"/>
  <c r="Q4544"/>
  <c r="S4544"/>
  <c r="R4544"/>
  <c r="A4546"/>
  <c r="Q4546"/>
  <c r="S4546"/>
  <c r="R4546"/>
  <c r="A4549"/>
  <c r="R4549"/>
  <c r="Q4549"/>
  <c r="S4549"/>
  <c r="A4551"/>
  <c r="R4551"/>
  <c r="Q4551"/>
  <c r="S4551"/>
  <c r="A4553"/>
  <c r="R4553"/>
  <c r="Q4553"/>
  <c r="S4553"/>
  <c r="A4556"/>
  <c r="Q4556"/>
  <c r="S4556"/>
  <c r="R4556"/>
  <c r="A4558"/>
  <c r="Q4558"/>
  <c r="S4558"/>
  <c r="R4558"/>
  <c r="A4560"/>
  <c r="Q4560"/>
  <c r="S4560"/>
  <c r="R4560"/>
  <c r="A4562"/>
  <c r="Q4562"/>
  <c r="S4562"/>
  <c r="R4562"/>
  <c r="A4565"/>
  <c r="R4565"/>
  <c r="Q4565"/>
  <c r="S4565"/>
  <c r="A4567"/>
  <c r="R4567"/>
  <c r="Q4567"/>
  <c r="S4567"/>
  <c r="A4570"/>
  <c r="Q4570"/>
  <c r="S4570"/>
  <c r="R4570"/>
  <c r="Q3787"/>
  <c r="S3787"/>
  <c r="R3787"/>
  <c r="R3792"/>
  <c r="Q3792"/>
  <c r="S3792"/>
  <c r="Q3795"/>
  <c r="S3795"/>
  <c r="R3795"/>
  <c r="Q3797"/>
  <c r="S3797"/>
  <c r="R3797"/>
  <c r="R3800"/>
  <c r="Q3800"/>
  <c r="S3800"/>
  <c r="R3802"/>
  <c r="Q3802"/>
  <c r="S3802"/>
  <c r="R3804"/>
  <c r="Q3804"/>
  <c r="S3804"/>
  <c r="Q3809"/>
  <c r="S3809"/>
  <c r="R3809"/>
  <c r="R3812"/>
  <c r="Q3812"/>
  <c r="S3812"/>
  <c r="R3816"/>
  <c r="Q3816"/>
  <c r="S3816"/>
  <c r="R3818"/>
  <c r="Q3818"/>
  <c r="S3818"/>
  <c r="R3836"/>
  <c r="Q3836"/>
  <c r="S3836"/>
  <c r="R3838"/>
  <c r="Q3838"/>
  <c r="S3838"/>
  <c r="A4563"/>
  <c r="R4563"/>
  <c r="Q4563"/>
  <c r="S4563"/>
  <c r="Q3841"/>
  <c r="S3841"/>
  <c r="R3841"/>
  <c r="Q3843"/>
  <c r="S3843"/>
  <c r="R3843"/>
  <c r="Q3845"/>
  <c r="S3845"/>
  <c r="R3845"/>
  <c r="Q3415"/>
  <c r="S3415"/>
  <c r="R3415"/>
  <c r="A4582"/>
  <c r="Q4582"/>
  <c r="S4582"/>
  <c r="R4582"/>
  <c r="Q3433"/>
  <c r="S3433"/>
  <c r="R3433"/>
  <c r="R3018"/>
  <c r="Q3018"/>
  <c r="S3018"/>
  <c r="A4598"/>
  <c r="Q4598"/>
  <c r="S4598"/>
  <c r="R4598"/>
  <c r="Q2366"/>
  <c r="S2366"/>
  <c r="R2366"/>
  <c r="Q2368"/>
  <c r="S2368"/>
  <c r="R2368"/>
  <c r="Q2370"/>
  <c r="S2370"/>
  <c r="R2370"/>
  <c r="Q2372"/>
  <c r="S2372"/>
  <c r="R2372"/>
  <c r="Q2374"/>
  <c r="S2374"/>
  <c r="R2374"/>
  <c r="Q2376"/>
  <c r="S2376"/>
  <c r="R2376"/>
  <c r="Q2378"/>
  <c r="S2378"/>
  <c r="R2378"/>
  <c r="Q2380"/>
  <c r="S2380"/>
  <c r="R2380"/>
  <c r="Q2382"/>
  <c r="S2382"/>
  <c r="R2382"/>
  <c r="Q2384"/>
  <c r="S2384"/>
  <c r="R2384"/>
  <c r="Q2386"/>
  <c r="S2386"/>
  <c r="R2386"/>
  <c r="Q2388"/>
  <c r="S2388"/>
  <c r="R2388"/>
  <c r="Q2390"/>
  <c r="S2390"/>
  <c r="R2390"/>
  <c r="Q2392"/>
  <c r="S2392"/>
  <c r="R2392"/>
  <c r="Q2394"/>
  <c r="S2394"/>
  <c r="R2394"/>
  <c r="R2397"/>
  <c r="Q2397"/>
  <c r="S2397"/>
  <c r="R2401"/>
  <c r="Q2401"/>
  <c r="S2401"/>
  <c r="R2405"/>
  <c r="Q2405"/>
  <c r="S2405"/>
  <c r="Q2406"/>
  <c r="S2406"/>
  <c r="R2406"/>
  <c r="Q2408"/>
  <c r="S2408"/>
  <c r="R2408"/>
  <c r="Q2410"/>
  <c r="S2410"/>
  <c r="R2410"/>
  <c r="Q2412"/>
  <c r="S2412"/>
  <c r="R2412"/>
  <c r="Q2414"/>
  <c r="S2414"/>
  <c r="R2414"/>
  <c r="Q2416"/>
  <c r="S2416"/>
  <c r="R2416"/>
  <c r="Q2418"/>
  <c r="S2418"/>
  <c r="R2418"/>
  <c r="Q2420"/>
  <c r="S2420"/>
  <c r="R2420"/>
  <c r="Q2422"/>
  <c r="S2422"/>
  <c r="R2422"/>
  <c r="Q2424"/>
  <c r="S2424"/>
  <c r="R2424"/>
  <c r="Q2426"/>
  <c r="S2426"/>
  <c r="R2426"/>
  <c r="R2881"/>
  <c r="Q2881"/>
  <c r="S2881"/>
  <c r="Q2884"/>
  <c r="S2884"/>
  <c r="R2884"/>
  <c r="Q2886"/>
  <c r="S2886"/>
  <c r="R2886"/>
  <c r="Q2888"/>
  <c r="S2888"/>
  <c r="R2888"/>
  <c r="Q2890"/>
  <c r="S2890"/>
  <c r="R2890"/>
  <c r="Q2868"/>
  <c r="S2868"/>
  <c r="R2868"/>
  <c r="Q3411"/>
  <c r="S3411"/>
  <c r="R3411"/>
  <c r="Q3413"/>
  <c r="S3413"/>
  <c r="R3413"/>
  <c r="R3416"/>
  <c r="Q3416"/>
  <c r="S3416"/>
  <c r="R3418"/>
  <c r="Q3418"/>
  <c r="S3418"/>
  <c r="Q3421"/>
  <c r="S3421"/>
  <c r="R3421"/>
  <c r="Q3423"/>
  <c r="S3423"/>
  <c r="R3423"/>
  <c r="Q3425"/>
  <c r="S3425"/>
  <c r="R3425"/>
  <c r="Q3427"/>
  <c r="S3427"/>
  <c r="R3427"/>
  <c r="Q3429"/>
  <c r="S3429"/>
  <c r="R3429"/>
  <c r="Q3431"/>
  <c r="S3431"/>
  <c r="R3431"/>
  <c r="R3434"/>
  <c r="Q3434"/>
  <c r="S3434"/>
  <c r="R3436"/>
  <c r="Q3436"/>
  <c r="S3436"/>
  <c r="Q3439"/>
  <c r="S3439"/>
  <c r="R3439"/>
  <c r="Q3441"/>
  <c r="S3441"/>
  <c r="R3441"/>
  <c r="Q3443"/>
  <c r="S3443"/>
  <c r="R3443"/>
  <c r="Q3447"/>
  <c r="S3447"/>
  <c r="R3447"/>
  <c r="Q3449"/>
  <c r="S3449"/>
  <c r="R3449"/>
  <c r="Q3451"/>
  <c r="S3451"/>
  <c r="R3451"/>
  <c r="Q3453"/>
  <c r="S3453"/>
  <c r="R3453"/>
  <c r="Q3455"/>
  <c r="S3455"/>
  <c r="R3455"/>
  <c r="Q3457"/>
  <c r="S3457"/>
  <c r="R3457"/>
  <c r="Q3379"/>
  <c r="S3379"/>
  <c r="R3379"/>
  <c r="R3382"/>
  <c r="Q3382"/>
  <c r="S3382"/>
  <c r="R2873"/>
  <c r="Q2873"/>
  <c r="S2873"/>
  <c r="R2875"/>
  <c r="Q2875"/>
  <c r="S2875"/>
  <c r="R2877"/>
  <c r="Q2877"/>
  <c r="S2877"/>
  <c r="Q3229"/>
  <c r="S3229"/>
  <c r="R3229"/>
  <c r="A4407"/>
  <c r="R4407"/>
  <c r="Q4407"/>
  <c r="S4407"/>
  <c r="A4440"/>
  <c r="Q4440"/>
  <c r="S4440"/>
  <c r="R4440"/>
  <c r="A4448"/>
  <c r="Q4448"/>
  <c r="S4448"/>
  <c r="R4448"/>
  <c r="A4469"/>
  <c r="R4469"/>
  <c r="Q4469"/>
  <c r="S4469"/>
  <c r="A4480"/>
  <c r="Q4480"/>
  <c r="S4480"/>
  <c r="R4480"/>
  <c r="R2183"/>
  <c r="Q2183"/>
  <c r="S2183"/>
  <c r="R2185"/>
  <c r="Q2185"/>
  <c r="S2185"/>
  <c r="R2187"/>
  <c r="Q2187"/>
  <c r="S2187"/>
  <c r="R2189"/>
  <c r="Q2189"/>
  <c r="S2189"/>
  <c r="R2191"/>
  <c r="Q2191"/>
  <c r="S2191"/>
  <c r="R2193"/>
  <c r="Q2193"/>
  <c r="S2193"/>
  <c r="R2195"/>
  <c r="Q2195"/>
  <c r="S2195"/>
  <c r="R2197"/>
  <c r="Q2197"/>
  <c r="S2197"/>
  <c r="R2199"/>
  <c r="Q2199"/>
  <c r="S2199"/>
  <c r="A4414"/>
  <c r="Q4414"/>
  <c r="S4414"/>
  <c r="R4414"/>
  <c r="Q2202"/>
  <c r="S2202"/>
  <c r="R2202"/>
  <c r="Q2204"/>
  <c r="S2204"/>
  <c r="R2204"/>
  <c r="Q2206"/>
  <c r="S2206"/>
  <c r="R2206"/>
  <c r="Q2208"/>
  <c r="S2208"/>
  <c r="R2208"/>
  <c r="Q2210"/>
  <c r="S2210"/>
  <c r="R2210"/>
  <c r="Q2212"/>
  <c r="S2212"/>
  <c r="R2212"/>
  <c r="Q2214"/>
  <c r="S2214"/>
  <c r="R2214"/>
  <c r="Q2216"/>
  <c r="S2216"/>
  <c r="R2216"/>
  <c r="Q2218"/>
  <c r="S2218"/>
  <c r="R2218"/>
  <c r="Q2220"/>
  <c r="S2220"/>
  <c r="R2220"/>
  <c r="Q2222"/>
  <c r="S2222"/>
  <c r="R2222"/>
  <c r="Q2224"/>
  <c r="S2224"/>
  <c r="R2224"/>
  <c r="Q2226"/>
  <c r="S2226"/>
  <c r="R2226"/>
  <c r="Q2228"/>
  <c r="S2228"/>
  <c r="R2228"/>
  <c r="Q2230"/>
  <c r="S2230"/>
  <c r="R2230"/>
  <c r="Q2232"/>
  <c r="S2232"/>
  <c r="R2232"/>
  <c r="Q2234"/>
  <c r="S2234"/>
  <c r="R2234"/>
  <c r="R2235"/>
  <c r="Q2235"/>
  <c r="S2235"/>
  <c r="R2237"/>
  <c r="Q2237"/>
  <c r="S2237"/>
  <c r="R2239"/>
  <c r="Q2239"/>
  <c r="S2239"/>
  <c r="R2241"/>
  <c r="Q2241"/>
  <c r="S2241"/>
  <c r="R2243"/>
  <c r="Q2243"/>
  <c r="S2243"/>
  <c r="R2245"/>
  <c r="Q2245"/>
  <c r="S2245"/>
  <c r="R2247"/>
  <c r="Q2247"/>
  <c r="S2247"/>
  <c r="R2249"/>
  <c r="Q2249"/>
  <c r="S2249"/>
  <c r="R2251"/>
  <c r="Q2251"/>
  <c r="S2251"/>
  <c r="Q2252"/>
  <c r="S2252"/>
  <c r="R2252"/>
  <c r="Q2254"/>
  <c r="S2254"/>
  <c r="R2254"/>
  <c r="Q2256"/>
  <c r="S2256"/>
  <c r="R2256"/>
  <c r="R2257"/>
  <c r="Q2257"/>
  <c r="S2257"/>
  <c r="R2259"/>
  <c r="Q2259"/>
  <c r="S2259"/>
  <c r="R2261"/>
  <c r="Q2261"/>
  <c r="S2261"/>
  <c r="R2263"/>
  <c r="Q2263"/>
  <c r="S2263"/>
  <c r="R3742"/>
  <c r="Q3742"/>
  <c r="S3742"/>
  <c r="A4410"/>
  <c r="Q4410"/>
  <c r="S4410"/>
  <c r="R4410"/>
  <c r="A4412"/>
  <c r="Q4412"/>
  <c r="S4412"/>
  <c r="R4412"/>
  <c r="A4416"/>
  <c r="Q4416"/>
  <c r="S4416"/>
  <c r="R4416"/>
  <c r="A4418"/>
  <c r="Q4418"/>
  <c r="S4418"/>
  <c r="R4418"/>
  <c r="A4420"/>
  <c r="Q4420"/>
  <c r="S4420"/>
  <c r="R4420"/>
  <c r="A4422"/>
  <c r="Q4422"/>
  <c r="S4422"/>
  <c r="R4422"/>
  <c r="A4424"/>
  <c r="Q4424"/>
  <c r="S4424"/>
  <c r="R4424"/>
  <c r="A4426"/>
  <c r="Q4426"/>
  <c r="S4426"/>
  <c r="R4426"/>
  <c r="A4428"/>
  <c r="Q4428"/>
  <c r="S4428"/>
  <c r="R4428"/>
  <c r="A4430"/>
  <c r="Q4430"/>
  <c r="S4430"/>
  <c r="R4430"/>
  <c r="A4432"/>
  <c r="Q4432"/>
  <c r="S4432"/>
  <c r="R4432"/>
  <c r="A4434"/>
  <c r="Q4434"/>
  <c r="S4434"/>
  <c r="R4434"/>
  <c r="A4436"/>
  <c r="Q4436"/>
  <c r="S4436"/>
  <c r="R4436"/>
  <c r="A4438"/>
  <c r="Q4438"/>
  <c r="S4438"/>
  <c r="R4438"/>
  <c r="Q3749"/>
  <c r="S3749"/>
  <c r="R3749"/>
  <c r="A4442"/>
  <c r="Q4442"/>
  <c r="S4442"/>
  <c r="R4442"/>
  <c r="A4444"/>
  <c r="Q4444"/>
  <c r="S4444"/>
  <c r="R4444"/>
  <c r="A4449"/>
  <c r="R4449"/>
  <c r="Q4449"/>
  <c r="S4449"/>
  <c r="A4451"/>
  <c r="R4451"/>
  <c r="Q4451"/>
  <c r="S4451"/>
  <c r="A4453"/>
  <c r="R4453"/>
  <c r="Q4453"/>
  <c r="S4453"/>
  <c r="A4455"/>
  <c r="R4455"/>
  <c r="Q4455"/>
  <c r="S4455"/>
  <c r="A4457"/>
  <c r="R4457"/>
  <c r="Q4457"/>
  <c r="S4457"/>
  <c r="A4459"/>
  <c r="R4459"/>
  <c r="Q4459"/>
  <c r="S4459"/>
  <c r="A4461"/>
  <c r="R4461"/>
  <c r="Q4461"/>
  <c r="S4461"/>
  <c r="A4463"/>
  <c r="R4463"/>
  <c r="Q4463"/>
  <c r="S4463"/>
  <c r="A4466"/>
  <c r="Q4466"/>
  <c r="S4466"/>
  <c r="R4466"/>
  <c r="R3760"/>
  <c r="Q3760"/>
  <c r="S3760"/>
  <c r="A4468"/>
  <c r="Q4468"/>
  <c r="S4468"/>
  <c r="R4468"/>
  <c r="A4473"/>
  <c r="R4473"/>
  <c r="Q4473"/>
  <c r="S4473"/>
  <c r="A4475"/>
  <c r="R4475"/>
  <c r="Q4475"/>
  <c r="S4475"/>
  <c r="A4477"/>
  <c r="R4477"/>
  <c r="Q4477"/>
  <c r="S4477"/>
  <c r="A4482"/>
  <c r="Q4482"/>
  <c r="S4482"/>
  <c r="R4482"/>
  <c r="A4484"/>
  <c r="Q4484"/>
  <c r="S4484"/>
  <c r="R4484"/>
  <c r="A4486"/>
  <c r="Q4486"/>
  <c r="S4486"/>
  <c r="R4486"/>
  <c r="A4488"/>
  <c r="Q4488"/>
  <c r="S4488"/>
  <c r="R4488"/>
  <c r="A4490"/>
  <c r="Q4490"/>
  <c r="S4490"/>
  <c r="R4490"/>
  <c r="A4492"/>
  <c r="Q4492"/>
  <c r="S4492"/>
  <c r="R4492"/>
  <c r="A4494"/>
  <c r="Q4494"/>
  <c r="S4494"/>
  <c r="R4494"/>
  <c r="A4496"/>
  <c r="Q4496"/>
  <c r="S4496"/>
  <c r="R4496"/>
  <c r="A4498"/>
  <c r="Q4498"/>
  <c r="S4498"/>
  <c r="R4498"/>
  <c r="A4500"/>
  <c r="Q4500"/>
  <c r="S4500"/>
  <c r="R4500"/>
  <c r="A4502"/>
  <c r="Q4502"/>
  <c r="S4502"/>
  <c r="R4502"/>
  <c r="A4504"/>
  <c r="Q4504"/>
  <c r="S4504"/>
  <c r="R4504"/>
  <c r="Q3743"/>
  <c r="S3743"/>
  <c r="R3743"/>
  <c r="R3746"/>
  <c r="Q3746"/>
  <c r="S3746"/>
  <c r="R3748"/>
  <c r="Q3748"/>
  <c r="S3748"/>
  <c r="R3230"/>
  <c r="Q3230"/>
  <c r="S3230"/>
  <c r="Q3751"/>
  <c r="S3751"/>
  <c r="R3751"/>
  <c r="Q3753"/>
  <c r="S3753"/>
  <c r="R3753"/>
  <c r="Q3755"/>
  <c r="S3755"/>
  <c r="R3755"/>
  <c r="R3762"/>
  <c r="Q3762"/>
  <c r="S3762"/>
  <c r="Q3233"/>
  <c r="S3233"/>
  <c r="R3233"/>
  <c r="Q3765"/>
  <c r="S3765"/>
  <c r="R3765"/>
  <c r="Q3767"/>
  <c r="S3767"/>
  <c r="R3767"/>
  <c r="Q3769"/>
  <c r="S3769"/>
  <c r="R3769"/>
  <c r="Q3771"/>
  <c r="S3771"/>
  <c r="R3771"/>
  <c r="Q3773"/>
  <c r="S3773"/>
  <c r="R3773"/>
  <c r="Q3775"/>
  <c r="S3775"/>
  <c r="R3775"/>
  <c r="Q3777"/>
  <c r="S3777"/>
  <c r="R3777"/>
  <c r="Q3779"/>
  <c r="S3779"/>
  <c r="R3779"/>
  <c r="Q3781"/>
  <c r="S3781"/>
  <c r="R3781"/>
  <c r="Q3783"/>
  <c r="S3783"/>
  <c r="R3783"/>
  <c r="Q3785"/>
  <c r="S3785"/>
  <c r="R3785"/>
  <c r="R3384"/>
  <c r="Q3384"/>
  <c r="S3384"/>
  <c r="R3234"/>
  <c r="Q3234"/>
  <c r="S3234"/>
  <c r="R3236"/>
  <c r="Q3236"/>
  <c r="S3236"/>
  <c r="R3238"/>
  <c r="Q3238"/>
  <c r="S3238"/>
  <c r="R3240"/>
  <c r="Q3240"/>
  <c r="S3240"/>
  <c r="R3242"/>
  <c r="Q3242"/>
  <c r="S3242"/>
  <c r="R3244"/>
  <c r="Q3244"/>
  <c r="S3244"/>
  <c r="R2879"/>
  <c r="Q2879"/>
  <c r="S2879"/>
  <c r="R3392"/>
  <c r="Q3392"/>
  <c r="S3392"/>
  <c r="A4521"/>
  <c r="R4521"/>
  <c r="Q4521"/>
  <c r="S4521"/>
  <c r="A4535"/>
  <c r="R4535"/>
  <c r="Q4535"/>
  <c r="S4535"/>
  <c r="Q2264"/>
  <c r="S2264"/>
  <c r="R2264"/>
  <c r="A4569"/>
  <c r="R4569"/>
  <c r="Q4569"/>
  <c r="S4569"/>
  <c r="Q2266"/>
  <c r="S2266"/>
  <c r="R2266"/>
  <c r="Q2268"/>
  <c r="S2268"/>
  <c r="R2268"/>
  <c r="Q2270"/>
  <c r="S2270"/>
  <c r="R2270"/>
  <c r="Q2272"/>
  <c r="S2272"/>
  <c r="R2272"/>
  <c r="Q2274"/>
  <c r="S2274"/>
  <c r="R2274"/>
  <c r="Q2276"/>
  <c r="S2276"/>
  <c r="R2276"/>
  <c r="Q2278"/>
  <c r="S2278"/>
  <c r="R2278"/>
  <c r="Q2280"/>
  <c r="S2280"/>
  <c r="R2280"/>
  <c r="Q2282"/>
  <c r="S2282"/>
  <c r="R2282"/>
  <c r="Q2284"/>
  <c r="S2284"/>
  <c r="R2284"/>
  <c r="Q2286"/>
  <c r="S2286"/>
  <c r="R2286"/>
  <c r="Q2288"/>
  <c r="S2288"/>
  <c r="R2288"/>
  <c r="Q2290"/>
  <c r="S2290"/>
  <c r="R2290"/>
  <c r="Q2292"/>
  <c r="S2292"/>
  <c r="R2292"/>
  <c r="Q2294"/>
  <c r="S2294"/>
  <c r="R2294"/>
  <c r="Q2296"/>
  <c r="S2296"/>
  <c r="R2296"/>
  <c r="Q3393"/>
  <c r="S3393"/>
  <c r="R3393"/>
  <c r="R2299"/>
  <c r="Q2299"/>
  <c r="S2299"/>
  <c r="R2301"/>
  <c r="Q2301"/>
  <c r="S2301"/>
  <c r="R2303"/>
  <c r="Q2303"/>
  <c r="S2303"/>
  <c r="R2305"/>
  <c r="Q2305"/>
  <c r="S2305"/>
  <c r="R2307"/>
  <c r="Q2307"/>
  <c r="S2307"/>
  <c r="R2309"/>
  <c r="Q2309"/>
  <c r="S2309"/>
  <c r="R2311"/>
  <c r="Q2311"/>
  <c r="S2311"/>
  <c r="R2313"/>
  <c r="Q2313"/>
  <c r="S2313"/>
  <c r="R2315"/>
  <c r="Q2315"/>
  <c r="S2315"/>
  <c r="R2317"/>
  <c r="Q2317"/>
  <c r="S2317"/>
  <c r="R2319"/>
  <c r="Q2319"/>
  <c r="S2319"/>
  <c r="R2321"/>
  <c r="Q2321"/>
  <c r="S2321"/>
  <c r="R2323"/>
  <c r="Q2323"/>
  <c r="S2323"/>
  <c r="R2325"/>
  <c r="Q2325"/>
  <c r="S2325"/>
  <c r="R2327"/>
  <c r="Q2327"/>
  <c r="S2327"/>
  <c r="R2329"/>
  <c r="Q2329"/>
  <c r="S2329"/>
  <c r="R2331"/>
  <c r="Q2331"/>
  <c r="S2331"/>
  <c r="R2333"/>
  <c r="Q2333"/>
  <c r="S2333"/>
  <c r="R2335"/>
  <c r="Q2335"/>
  <c r="S2335"/>
  <c r="R2337"/>
  <c r="Q2337"/>
  <c r="S2337"/>
  <c r="R2339"/>
  <c r="Q2339"/>
  <c r="S2339"/>
  <c r="R2341"/>
  <c r="Q2341"/>
  <c r="S2341"/>
  <c r="A4548"/>
  <c r="Q4548"/>
  <c r="S4548"/>
  <c r="R4548"/>
  <c r="Q2344"/>
  <c r="S2344"/>
  <c r="R2344"/>
  <c r="Q2346"/>
  <c r="S2346"/>
  <c r="R2346"/>
  <c r="Q2348"/>
  <c r="S2348"/>
  <c r="R2348"/>
  <c r="Q2350"/>
  <c r="S2350"/>
  <c r="R2350"/>
  <c r="Q2352"/>
  <c r="S2352"/>
  <c r="R2352"/>
  <c r="Q2354"/>
  <c r="S2354"/>
  <c r="R2354"/>
  <c r="Q2356"/>
  <c r="S2356"/>
  <c r="R2356"/>
  <c r="Q2358"/>
  <c r="S2358"/>
  <c r="R2358"/>
  <c r="R2359"/>
  <c r="Q2359"/>
  <c r="S2359"/>
  <c r="R2361"/>
  <c r="Q2361"/>
  <c r="S2361"/>
  <c r="R2363"/>
  <c r="Q2363"/>
  <c r="S2363"/>
  <c r="R2365"/>
  <c r="Q2365"/>
  <c r="S2365"/>
  <c r="R2867"/>
  <c r="Q2867"/>
  <c r="S2867"/>
  <c r="Q3387"/>
  <c r="S3387"/>
  <c r="R3387"/>
  <c r="Q3389"/>
  <c r="S3389"/>
  <c r="R3389"/>
  <c r="Q3391"/>
  <c r="S3391"/>
  <c r="R3391"/>
  <c r="R3394"/>
  <c r="Q3394"/>
  <c r="S3394"/>
  <c r="R3396"/>
  <c r="Q3396"/>
  <c r="S3396"/>
  <c r="R3398"/>
  <c r="Q3398"/>
  <c r="S3398"/>
  <c r="R3400"/>
  <c r="Q3400"/>
  <c r="S3400"/>
  <c r="R3402"/>
  <c r="Q3402"/>
  <c r="S3402"/>
  <c r="R3404"/>
  <c r="Q3404"/>
  <c r="S3404"/>
  <c r="R3406"/>
  <c r="Q3406"/>
  <c r="S3406"/>
  <c r="R3408"/>
  <c r="Q3408"/>
  <c r="S3408"/>
  <c r="A4506"/>
  <c r="Q4506"/>
  <c r="S4506"/>
  <c r="R4506"/>
  <c r="A4507"/>
  <c r="R4507"/>
  <c r="Q4507"/>
  <c r="S4507"/>
  <c r="A4509"/>
  <c r="R4509"/>
  <c r="Q4509"/>
  <c r="S4509"/>
  <c r="A4511"/>
  <c r="R4511"/>
  <c r="Q4511"/>
  <c r="S4511"/>
  <c r="A4512"/>
  <c r="Q4512"/>
  <c r="S4512"/>
  <c r="R4512"/>
  <c r="A4514"/>
  <c r="Q4514"/>
  <c r="S4514"/>
  <c r="R4514"/>
  <c r="A4517"/>
  <c r="R4517"/>
  <c r="Q4517"/>
  <c r="S4517"/>
  <c r="A4518"/>
  <c r="Q4518"/>
  <c r="S4518"/>
  <c r="R4518"/>
  <c r="A4522"/>
  <c r="Q4522"/>
  <c r="S4522"/>
  <c r="R4522"/>
  <c r="A4525"/>
  <c r="R4525"/>
  <c r="Q4525"/>
  <c r="S4525"/>
  <c r="A4527"/>
  <c r="R4527"/>
  <c r="Q4527"/>
  <c r="S4527"/>
  <c r="A4529"/>
  <c r="R4529"/>
  <c r="Q4529"/>
  <c r="S4529"/>
  <c r="Q3811"/>
  <c r="S3811"/>
  <c r="R3811"/>
  <c r="A4532"/>
  <c r="Q4532"/>
  <c r="S4532"/>
  <c r="R4532"/>
  <c r="A4534"/>
  <c r="Q4534"/>
  <c r="S4534"/>
  <c r="R4534"/>
  <c r="A4537"/>
  <c r="R4537"/>
  <c r="Q4537"/>
  <c r="S4537"/>
  <c r="A4539"/>
  <c r="R4539"/>
  <c r="Q4539"/>
  <c r="S4539"/>
  <c r="A4541"/>
  <c r="R4541"/>
  <c r="Q4541"/>
  <c r="S4541"/>
  <c r="A4543"/>
  <c r="R4543"/>
  <c r="Q4543"/>
  <c r="S4543"/>
  <c r="A4545"/>
  <c r="R4545"/>
  <c r="Q4545"/>
  <c r="S4545"/>
  <c r="A4547"/>
  <c r="R4547"/>
  <c r="Q4547"/>
  <c r="S4547"/>
  <c r="A4550"/>
  <c r="Q4550"/>
  <c r="S4550"/>
  <c r="R4550"/>
  <c r="A4552"/>
  <c r="Q4552"/>
  <c r="S4552"/>
  <c r="R4552"/>
  <c r="A4554"/>
  <c r="Q4554"/>
  <c r="S4554"/>
  <c r="R4554"/>
  <c r="A4557"/>
  <c r="R4557"/>
  <c r="Q4557"/>
  <c r="S4557"/>
  <c r="A4559"/>
  <c r="R4559"/>
  <c r="Q4559"/>
  <c r="S4559"/>
  <c r="A4561"/>
  <c r="R4561"/>
  <c r="Q4561"/>
  <c r="S4561"/>
  <c r="A4564"/>
  <c r="Q4564"/>
  <c r="S4564"/>
  <c r="R4564"/>
  <c r="A4566"/>
  <c r="Q4566"/>
  <c r="S4566"/>
  <c r="R4566"/>
  <c r="R3846"/>
  <c r="Q3846"/>
  <c r="S3846"/>
  <c r="Q3847"/>
  <c r="S3847"/>
  <c r="R3847"/>
  <c r="Q3791"/>
  <c r="S3791"/>
  <c r="R3791"/>
  <c r="R3794"/>
  <c r="Q3794"/>
  <c r="S3794"/>
  <c r="R3796"/>
  <c r="Q3796"/>
  <c r="S3796"/>
  <c r="R3798"/>
  <c r="Q3798"/>
  <c r="S3798"/>
  <c r="Q3801"/>
  <c r="S3801"/>
  <c r="R3801"/>
  <c r="Q3803"/>
  <c r="S3803"/>
  <c r="R3803"/>
  <c r="R3808"/>
  <c r="Q3808"/>
  <c r="S3808"/>
  <c r="R3810"/>
  <c r="Q3810"/>
  <c r="S3810"/>
  <c r="Q3815"/>
  <c r="S3815"/>
  <c r="R3815"/>
  <c r="Q3817"/>
  <c r="S3817"/>
  <c r="R3817"/>
  <c r="Q3835"/>
  <c r="S3835"/>
  <c r="R3835"/>
  <c r="Q3837"/>
  <c r="S3837"/>
  <c r="R3837"/>
  <c r="Q3839"/>
  <c r="S3839"/>
  <c r="R3839"/>
  <c r="R3840"/>
  <c r="Q3840"/>
  <c r="S3840"/>
  <c r="R3842"/>
  <c r="Q3842"/>
  <c r="S3842"/>
  <c r="R3844"/>
  <c r="Q3844"/>
  <c r="S3844"/>
  <c r="R3848"/>
  <c r="Q3848"/>
  <c r="S3848"/>
  <c r="A4579"/>
  <c r="R4579"/>
  <c r="Q4579"/>
  <c r="S4579"/>
  <c r="R2883"/>
  <c r="Q2883"/>
  <c r="S2883"/>
  <c r="Q3437"/>
  <c r="S3437"/>
  <c r="R3437"/>
  <c r="A4596"/>
  <c r="Q4596"/>
  <c r="S4596"/>
  <c r="R4596"/>
  <c r="A4620"/>
  <c r="Q4620"/>
  <c r="S4620"/>
  <c r="R4620"/>
  <c r="R2367"/>
  <c r="Q2367"/>
  <c r="S2367"/>
  <c r="R2369"/>
  <c r="Q2369"/>
  <c r="S2369"/>
  <c r="R2371"/>
  <c r="Q2371"/>
  <c r="S2371"/>
  <c r="R2373"/>
  <c r="Q2373"/>
  <c r="S2373"/>
  <c r="R2375"/>
  <c r="Q2375"/>
  <c r="S2375"/>
  <c r="R2377"/>
  <c r="Q2377"/>
  <c r="S2377"/>
  <c r="R2379"/>
  <c r="Q2379"/>
  <c r="S2379"/>
  <c r="R2381"/>
  <c r="Q2381"/>
  <c r="S2381"/>
  <c r="R2383"/>
  <c r="Q2383"/>
  <c r="S2383"/>
  <c r="R2385"/>
  <c r="Q2385"/>
  <c r="S2385"/>
  <c r="R2387"/>
  <c r="Q2387"/>
  <c r="S2387"/>
  <c r="R2389"/>
  <c r="Q2389"/>
  <c r="S2389"/>
  <c r="R2391"/>
  <c r="Q2391"/>
  <c r="S2391"/>
  <c r="R2393"/>
  <c r="Q2393"/>
  <c r="S2393"/>
  <c r="Q3419"/>
  <c r="S3419"/>
  <c r="R3419"/>
  <c r="Q2400"/>
  <c r="S2400"/>
  <c r="R2400"/>
  <c r="Q2404"/>
  <c r="S2404"/>
  <c r="R2404"/>
  <c r="Q3015"/>
  <c r="S3015"/>
  <c r="R3015"/>
  <c r="R2407"/>
  <c r="Q2407"/>
  <c r="S2407"/>
  <c r="R2409"/>
  <c r="Q2409"/>
  <c r="S2409"/>
  <c r="R2411"/>
  <c r="Q2411"/>
  <c r="S2411"/>
  <c r="R2413"/>
  <c r="Q2413"/>
  <c r="S2413"/>
  <c r="R2415"/>
  <c r="Q2415"/>
  <c r="S2415"/>
  <c r="R2417"/>
  <c r="Q2417"/>
  <c r="S2417"/>
  <c r="R2419"/>
  <c r="Q2419"/>
  <c r="S2419"/>
  <c r="R2421"/>
  <c r="Q2421"/>
  <c r="S2421"/>
  <c r="R2423"/>
  <c r="Q2423"/>
  <c r="S2423"/>
  <c r="R2425"/>
  <c r="Q2425"/>
  <c r="S2425"/>
  <c r="R2429"/>
  <c r="Q2429"/>
  <c r="S2429"/>
  <c r="Q2882"/>
  <c r="S2882"/>
  <c r="R2882"/>
  <c r="R2885"/>
  <c r="Q2885"/>
  <c r="S2885"/>
  <c r="R2887"/>
  <c r="Q2887"/>
  <c r="S2887"/>
  <c r="R2889"/>
  <c r="Q2889"/>
  <c r="S2889"/>
  <c r="R2891"/>
  <c r="Q2891"/>
  <c r="S2891"/>
  <c r="R3410"/>
  <c r="Q3410"/>
  <c r="S3410"/>
  <c r="R3412"/>
  <c r="Q3412"/>
  <c r="S3412"/>
  <c r="R3414"/>
  <c r="Q3414"/>
  <c r="S3414"/>
  <c r="Q3417"/>
  <c r="S3417"/>
  <c r="R3417"/>
  <c r="R3420"/>
  <c r="Q3420"/>
  <c r="S3420"/>
  <c r="R3422"/>
  <c r="Q3422"/>
  <c r="S3422"/>
  <c r="R3424"/>
  <c r="Q3424"/>
  <c r="S3424"/>
  <c r="R3426"/>
  <c r="Q3426"/>
  <c r="S3426"/>
  <c r="R3428"/>
  <c r="Q3428"/>
  <c r="S3428"/>
  <c r="R3430"/>
  <c r="Q3430"/>
  <c r="S3430"/>
  <c r="R3432"/>
  <c r="Q3432"/>
  <c r="S3432"/>
  <c r="Q3435"/>
  <c r="S3435"/>
  <c r="R3435"/>
  <c r="R3438"/>
  <c r="Q3438"/>
  <c r="S3438"/>
  <c r="R3440"/>
  <c r="Q3440"/>
  <c r="S3440"/>
  <c r="R3442"/>
  <c r="Q3442"/>
  <c r="S3442"/>
  <c r="R3446"/>
  <c r="Q3446"/>
  <c r="S3446"/>
  <c r="R3448"/>
  <c r="Q3448"/>
  <c r="S3448"/>
  <c r="R3450"/>
  <c r="Q3450"/>
  <c r="S3450"/>
  <c r="R3452"/>
  <c r="Q3452"/>
  <c r="S3452"/>
  <c r="R3454"/>
  <c r="Q3454"/>
  <c r="S3454"/>
  <c r="R3456"/>
  <c r="Q3456"/>
  <c r="S3456"/>
  <c r="A4571"/>
  <c r="R4571"/>
  <c r="Q4571"/>
  <c r="S4571"/>
  <c r="A4573"/>
  <c r="R4573"/>
  <c r="Q4573"/>
  <c r="S4573"/>
  <c r="R3854"/>
  <c r="Q3854"/>
  <c r="S3854"/>
  <c r="A4576"/>
  <c r="Q4576"/>
  <c r="S4576"/>
  <c r="R4576"/>
  <c r="A4578"/>
  <c r="Q4578"/>
  <c r="S4578"/>
  <c r="R4578"/>
  <c r="A4581"/>
  <c r="R4581"/>
  <c r="Q4581"/>
  <c r="S4581"/>
  <c r="A4584"/>
  <c r="Q4584"/>
  <c r="S4584"/>
  <c r="R4584"/>
  <c r="A4586"/>
  <c r="Q4586"/>
  <c r="S4586"/>
  <c r="R4586"/>
  <c r="A4588"/>
  <c r="Q4588"/>
  <c r="S4588"/>
  <c r="R4588"/>
  <c r="A4590"/>
  <c r="Q4590"/>
  <c r="S4590"/>
  <c r="R4590"/>
  <c r="Q3863"/>
  <c r="S3863"/>
  <c r="R3863"/>
  <c r="A4593"/>
  <c r="R4593"/>
  <c r="Q4593"/>
  <c r="S4593"/>
  <c r="A4595"/>
  <c r="R4595"/>
  <c r="Q4595"/>
  <c r="S4595"/>
  <c r="A4597"/>
  <c r="R4597"/>
  <c r="Q4597"/>
  <c r="S4597"/>
  <c r="A4600"/>
  <c r="Q4600"/>
  <c r="S4600"/>
  <c r="R4600"/>
  <c r="A4602"/>
  <c r="Q4602"/>
  <c r="S4602"/>
  <c r="R4602"/>
  <c r="A4604"/>
  <c r="Q4604"/>
  <c r="S4604"/>
  <c r="R4604"/>
  <c r="A4606"/>
  <c r="Q4606"/>
  <c r="S4606"/>
  <c r="R4606"/>
  <c r="A4608"/>
  <c r="Q4608"/>
  <c r="S4608"/>
  <c r="R4608"/>
  <c r="A4610"/>
  <c r="Q4610"/>
  <c r="S4610"/>
  <c r="R4610"/>
  <c r="A4572"/>
  <c r="Q4572"/>
  <c r="S4572"/>
  <c r="R4572"/>
  <c r="A4574"/>
  <c r="Q4574"/>
  <c r="S4574"/>
  <c r="R4574"/>
  <c r="A4575"/>
  <c r="R4575"/>
  <c r="Q4575"/>
  <c r="S4575"/>
  <c r="A4577"/>
  <c r="R4577"/>
  <c r="Q4577"/>
  <c r="S4577"/>
  <c r="A4580"/>
  <c r="Q4580"/>
  <c r="S4580"/>
  <c r="R4580"/>
  <c r="A4583"/>
  <c r="R4583"/>
  <c r="Q4583"/>
  <c r="S4583"/>
  <c r="A4585"/>
  <c r="R4585"/>
  <c r="Q4585"/>
  <c r="S4585"/>
  <c r="A4587"/>
  <c r="R4587"/>
  <c r="Q4587"/>
  <c r="S4587"/>
  <c r="A4589"/>
  <c r="R4589"/>
  <c r="Q4589"/>
  <c r="S4589"/>
  <c r="A4591"/>
  <c r="R4591"/>
  <c r="Q4591"/>
  <c r="S4591"/>
  <c r="A4592"/>
  <c r="Q4592"/>
  <c r="S4592"/>
  <c r="R4592"/>
  <c r="A4594"/>
  <c r="Q4594"/>
  <c r="S4594"/>
  <c r="R4594"/>
  <c r="R3902"/>
  <c r="Q3902"/>
  <c r="S3902"/>
  <c r="A4599"/>
  <c r="R4599"/>
  <c r="Q4599"/>
  <c r="S4599"/>
  <c r="A4601"/>
  <c r="R4601"/>
  <c r="Q4601"/>
  <c r="S4601"/>
  <c r="A4603"/>
  <c r="R4603"/>
  <c r="Q4603"/>
  <c r="S4603"/>
  <c r="A4605"/>
  <c r="R4605"/>
  <c r="Q4605"/>
  <c r="S4605"/>
  <c r="A4607"/>
  <c r="R4607"/>
  <c r="Q4607"/>
  <c r="S4607"/>
  <c r="A4609"/>
  <c r="R4609"/>
  <c r="Q4609"/>
  <c r="S4609"/>
  <c r="A4611"/>
  <c r="R4611"/>
  <c r="Q4611"/>
  <c r="S4611"/>
  <c r="A4613"/>
  <c r="R4613"/>
  <c r="Q4613"/>
  <c r="S4613"/>
  <c r="A4615"/>
  <c r="R4615"/>
  <c r="Q4615"/>
  <c r="S4615"/>
  <c r="A4617"/>
  <c r="R4617"/>
  <c r="Q4617"/>
  <c r="S4617"/>
  <c r="A4619"/>
  <c r="R4619"/>
  <c r="Q4619"/>
  <c r="S4619"/>
  <c r="R3850"/>
  <c r="Q3850"/>
  <c r="S3850"/>
  <c r="Q3853"/>
  <c r="S3853"/>
  <c r="R3853"/>
  <c r="R3856"/>
  <c r="Q3856"/>
  <c r="S3856"/>
  <c r="R3858"/>
  <c r="Q3858"/>
  <c r="S3858"/>
  <c r="Q3861"/>
  <c r="S3861"/>
  <c r="R3861"/>
  <c r="R3860"/>
  <c r="Q3860"/>
  <c r="S3860"/>
  <c r="Q3865"/>
  <c r="S3865"/>
  <c r="R3865"/>
  <c r="R3868"/>
  <c r="Q3868"/>
  <c r="S3868"/>
  <c r="R3870"/>
  <c r="Q3870"/>
  <c r="S3870"/>
  <c r="R3872"/>
  <c r="Q3872"/>
  <c r="S3872"/>
  <c r="R3874"/>
  <c r="Q3874"/>
  <c r="S3874"/>
  <c r="R3876"/>
  <c r="Q3876"/>
  <c r="S3876"/>
  <c r="R3878"/>
  <c r="Q3878"/>
  <c r="S3878"/>
  <c r="R3880"/>
  <c r="Q3880"/>
  <c r="S3880"/>
  <c r="R3882"/>
  <c r="Q3882"/>
  <c r="S3882"/>
  <c r="R3884"/>
  <c r="Q3884"/>
  <c r="S3884"/>
  <c r="R3886"/>
  <c r="Q3886"/>
  <c r="S3886"/>
  <c r="R3888"/>
  <c r="Q3888"/>
  <c r="S3888"/>
  <c r="R3890"/>
  <c r="Q3890"/>
  <c r="S3890"/>
  <c r="R3892"/>
  <c r="Q3892"/>
  <c r="S3892"/>
  <c r="R3894"/>
  <c r="Q3894"/>
  <c r="S3894"/>
  <c r="R3896"/>
  <c r="Q3896"/>
  <c r="S3896"/>
  <c r="R3898"/>
  <c r="Q3898"/>
  <c r="S3898"/>
  <c r="R3900"/>
  <c r="Q3900"/>
  <c r="S3900"/>
  <c r="Q2927"/>
  <c r="S2927"/>
  <c r="R2927"/>
  <c r="R3904"/>
  <c r="Q3904"/>
  <c r="S3904"/>
  <c r="R3906"/>
  <c r="Q3906"/>
  <c r="S3906"/>
  <c r="R3016"/>
  <c r="Q3016"/>
  <c r="S3016"/>
  <c r="Q3019"/>
  <c r="S3019"/>
  <c r="R3019"/>
  <c r="A4729"/>
  <c r="R4729"/>
  <c r="Q4729"/>
  <c r="S4729"/>
  <c r="Q3465"/>
  <c r="S3465"/>
  <c r="R3465"/>
  <c r="A4773"/>
  <c r="R4773"/>
  <c r="Q4773"/>
  <c r="S4773"/>
  <c r="Q2896"/>
  <c r="S2896"/>
  <c r="R2896"/>
  <c r="R2517"/>
  <c r="Q2517"/>
  <c r="S2517"/>
  <c r="Q2520"/>
  <c r="S2520"/>
  <c r="R2520"/>
  <c r="Q2522"/>
  <c r="S2522"/>
  <c r="R2522"/>
  <c r="Q2524"/>
  <c r="S2524"/>
  <c r="R2524"/>
  <c r="Q2528"/>
  <c r="S2528"/>
  <c r="R2528"/>
  <c r="Q2530"/>
  <c r="S2530"/>
  <c r="R2530"/>
  <c r="Q2532"/>
  <c r="S2532"/>
  <c r="R2532"/>
  <c r="Q2534"/>
  <c r="S2534"/>
  <c r="R2534"/>
  <c r="Q2536"/>
  <c r="S2536"/>
  <c r="R2536"/>
  <c r="Q2538"/>
  <c r="S2538"/>
  <c r="R2538"/>
  <c r="Q2540"/>
  <c r="S2540"/>
  <c r="R2540"/>
  <c r="Q2542"/>
  <c r="S2542"/>
  <c r="R2542"/>
  <c r="Q2544"/>
  <c r="S2544"/>
  <c r="R2544"/>
  <c r="Q2546"/>
  <c r="S2546"/>
  <c r="R2546"/>
  <c r="Q2548"/>
  <c r="S2548"/>
  <c r="R2548"/>
  <c r="Q2550"/>
  <c r="S2550"/>
  <c r="R2550"/>
  <c r="Q2552"/>
  <c r="S2552"/>
  <c r="R2552"/>
  <c r="Q2554"/>
  <c r="S2554"/>
  <c r="R2554"/>
  <c r="Q2558"/>
  <c r="S2558"/>
  <c r="R2558"/>
  <c r="Q2560"/>
  <c r="S2560"/>
  <c r="R2560"/>
  <c r="Q2562"/>
  <c r="S2562"/>
  <c r="R2562"/>
  <c r="Q2564"/>
  <c r="S2564"/>
  <c r="R2564"/>
  <c r="Q2566"/>
  <c r="S2566"/>
  <c r="R2566"/>
  <c r="Q2568"/>
  <c r="S2568"/>
  <c r="R2568"/>
  <c r="Q2570"/>
  <c r="S2570"/>
  <c r="R2570"/>
  <c r="Q2572"/>
  <c r="S2572"/>
  <c r="R2572"/>
  <c r="Q2574"/>
  <c r="S2574"/>
  <c r="R2574"/>
  <c r="Q2576"/>
  <c r="S2576"/>
  <c r="R2576"/>
  <c r="Q2578"/>
  <c r="S2578"/>
  <c r="R2578"/>
  <c r="Q2582"/>
  <c r="S2582"/>
  <c r="R2582"/>
  <c r="Q2584"/>
  <c r="S2584"/>
  <c r="R2584"/>
  <c r="Q2588"/>
  <c r="S2588"/>
  <c r="R2588"/>
  <c r="Q2590"/>
  <c r="S2590"/>
  <c r="R2590"/>
  <c r="Q2592"/>
  <c r="S2592"/>
  <c r="R2592"/>
  <c r="Q2594"/>
  <c r="S2594"/>
  <c r="R2594"/>
  <c r="Q2596"/>
  <c r="S2596"/>
  <c r="R2596"/>
  <c r="Q2598"/>
  <c r="S2598"/>
  <c r="R2598"/>
  <c r="A4717"/>
  <c r="R4717"/>
  <c r="Q4717"/>
  <c r="S4717"/>
  <c r="A4719"/>
  <c r="R4719"/>
  <c r="Q4719"/>
  <c r="S4719"/>
  <c r="A4721"/>
  <c r="R4721"/>
  <c r="Q4721"/>
  <c r="S4721"/>
  <c r="A4723"/>
  <c r="R4723"/>
  <c r="Q4723"/>
  <c r="S4723"/>
  <c r="A4725"/>
  <c r="R4725"/>
  <c r="Q4725"/>
  <c r="S4725"/>
  <c r="A4728"/>
  <c r="Q4728"/>
  <c r="S4728"/>
  <c r="R4728"/>
  <c r="A4733"/>
  <c r="R4733"/>
  <c r="Q4733"/>
  <c r="S4733"/>
  <c r="A4734"/>
  <c r="Q4734"/>
  <c r="S4734"/>
  <c r="R4734"/>
  <c r="A4736"/>
  <c r="Q4736"/>
  <c r="S4736"/>
  <c r="R4736"/>
  <c r="A4738"/>
  <c r="Q4738"/>
  <c r="S4738"/>
  <c r="R4738"/>
  <c r="A4740"/>
  <c r="Q4740"/>
  <c r="S4740"/>
  <c r="R4740"/>
  <c r="A4742"/>
  <c r="Q4742"/>
  <c r="S4742"/>
  <c r="R4742"/>
  <c r="A4744"/>
  <c r="Q4744"/>
  <c r="S4744"/>
  <c r="R4744"/>
  <c r="A4746"/>
  <c r="Q4746"/>
  <c r="S4746"/>
  <c r="R4746"/>
  <c r="A4748"/>
  <c r="Q4748"/>
  <c r="S4748"/>
  <c r="R4748"/>
  <c r="A4749"/>
  <c r="R4749"/>
  <c r="Q4749"/>
  <c r="S4749"/>
  <c r="A4754"/>
  <c r="Q4754"/>
  <c r="S4754"/>
  <c r="R4754"/>
  <c r="A4756"/>
  <c r="Q4756"/>
  <c r="S4756"/>
  <c r="R4756"/>
  <c r="A4758"/>
  <c r="Q4758"/>
  <c r="S4758"/>
  <c r="R4758"/>
  <c r="A4759"/>
  <c r="R4759"/>
  <c r="Q4759"/>
  <c r="S4759"/>
  <c r="A4761"/>
  <c r="R4761"/>
  <c r="Q4761"/>
  <c r="S4761"/>
  <c r="A4763"/>
  <c r="R4763"/>
  <c r="Q4763"/>
  <c r="S4763"/>
  <c r="A4765"/>
  <c r="R4765"/>
  <c r="Q4765"/>
  <c r="S4765"/>
  <c r="A4767"/>
  <c r="R4767"/>
  <c r="Q4767"/>
  <c r="S4767"/>
  <c r="A4770"/>
  <c r="Q4770"/>
  <c r="S4770"/>
  <c r="R4770"/>
  <c r="A4772"/>
  <c r="Q4772"/>
  <c r="S4772"/>
  <c r="R4772"/>
  <c r="A4775"/>
  <c r="R4775"/>
  <c r="Q4775"/>
  <c r="S4775"/>
  <c r="A4777"/>
  <c r="R4777"/>
  <c r="Q4777"/>
  <c r="S4777"/>
  <c r="A4779"/>
  <c r="R4779"/>
  <c r="Q4779"/>
  <c r="S4779"/>
  <c r="A4781"/>
  <c r="R4781"/>
  <c r="Q4781"/>
  <c r="S4781"/>
  <c r="R4006"/>
  <c r="Q4006"/>
  <c r="S4006"/>
  <c r="R3960"/>
  <c r="Q3960"/>
  <c r="S3960"/>
  <c r="A4731"/>
  <c r="R4731"/>
  <c r="Q4731"/>
  <c r="S4731"/>
  <c r="Q3963"/>
  <c r="S3963"/>
  <c r="R3963"/>
  <c r="Q3965"/>
  <c r="S3965"/>
  <c r="R3965"/>
  <c r="Q3967"/>
  <c r="S3967"/>
  <c r="R3967"/>
  <c r="R3970"/>
  <c r="Q3970"/>
  <c r="S3970"/>
  <c r="R3972"/>
  <c r="Q3972"/>
  <c r="S3972"/>
  <c r="R3974"/>
  <c r="Q3974"/>
  <c r="S3974"/>
  <c r="R3978"/>
  <c r="Q3978"/>
  <c r="S3978"/>
  <c r="R3980"/>
  <c r="S3980"/>
  <c r="Q3980"/>
  <c r="Q3983"/>
  <c r="S3983"/>
  <c r="R3983"/>
  <c r="Q3985"/>
  <c r="S3985"/>
  <c r="R3985"/>
  <c r="Q3987"/>
  <c r="S3987"/>
  <c r="R3987"/>
  <c r="Q3989"/>
  <c r="S3989"/>
  <c r="R3989"/>
  <c r="Q3991"/>
  <c r="S3991"/>
  <c r="R3991"/>
  <c r="Q3993"/>
  <c r="S3993"/>
  <c r="R3993"/>
  <c r="Q3995"/>
  <c r="S3995"/>
  <c r="R3995"/>
  <c r="Q3997"/>
  <c r="S3997"/>
  <c r="R3997"/>
  <c r="Q3999"/>
  <c r="S3999"/>
  <c r="R3999"/>
  <c r="Q4001"/>
  <c r="S4001"/>
  <c r="R4001"/>
  <c r="Q4003"/>
  <c r="S4003"/>
  <c r="R4003"/>
  <c r="R4004"/>
  <c r="Q4004"/>
  <c r="S4004"/>
  <c r="Q4007"/>
  <c r="S4007"/>
  <c r="R4007"/>
  <c r="R3034"/>
  <c r="Q3034"/>
  <c r="S3034"/>
  <c r="R3036"/>
  <c r="Q3036"/>
  <c r="S3036"/>
  <c r="R3038"/>
  <c r="Q3038"/>
  <c r="S3038"/>
  <c r="R3040"/>
  <c r="Q3040"/>
  <c r="S3040"/>
  <c r="R3042"/>
  <c r="Q3042"/>
  <c r="S3042"/>
  <c r="R3044"/>
  <c r="Q3044"/>
  <c r="S3044"/>
  <c r="R3046"/>
  <c r="Q3046"/>
  <c r="S3046"/>
  <c r="R3048"/>
  <c r="Q3048"/>
  <c r="S3048"/>
  <c r="R3050"/>
  <c r="Q3050"/>
  <c r="S3050"/>
  <c r="Q3051"/>
  <c r="S3051"/>
  <c r="R3051"/>
  <c r="Q2935"/>
  <c r="S2935"/>
  <c r="R2935"/>
  <c r="Q2941"/>
  <c r="S2941"/>
  <c r="R2941"/>
  <c r="Q2943"/>
  <c r="S2943"/>
  <c r="R2943"/>
  <c r="Q3463"/>
  <c r="S3463"/>
  <c r="R3463"/>
  <c r="R3466"/>
  <c r="Q3466"/>
  <c r="S3466"/>
  <c r="R3468"/>
  <c r="Q3468"/>
  <c r="S3468"/>
  <c r="R3470"/>
  <c r="Q3470"/>
  <c r="S3470"/>
  <c r="R3472"/>
  <c r="Q3472"/>
  <c r="S3472"/>
  <c r="Q2894"/>
  <c r="S2894"/>
  <c r="R2894"/>
  <c r="R2869"/>
  <c r="Q2869"/>
  <c r="S2869"/>
  <c r="R1705"/>
  <c r="Q1705"/>
  <c r="S1705"/>
  <c r="R1707"/>
  <c r="Q1707"/>
  <c r="S1707"/>
  <c r="R1709"/>
  <c r="Q1709"/>
  <c r="S1709"/>
  <c r="R1711"/>
  <c r="Q1711"/>
  <c r="S1711"/>
  <c r="R1713"/>
  <c r="Q1713"/>
  <c r="S1713"/>
  <c r="R1715"/>
  <c r="Q1715"/>
  <c r="S1715"/>
  <c r="R1717"/>
  <c r="Q1717"/>
  <c r="S1717"/>
  <c r="R1719"/>
  <c r="Q1719"/>
  <c r="S1719"/>
  <c r="A4612"/>
  <c r="Q4612"/>
  <c r="S4612"/>
  <c r="R4612"/>
  <c r="A4614"/>
  <c r="Q4614"/>
  <c r="S4614"/>
  <c r="R4614"/>
  <c r="A4616"/>
  <c r="Q4616"/>
  <c r="S4616"/>
  <c r="R4616"/>
  <c r="A4618"/>
  <c r="Q4618"/>
  <c r="S4618"/>
  <c r="R4618"/>
  <c r="A4621"/>
  <c r="R4621"/>
  <c r="Q4621"/>
  <c r="S4621"/>
  <c r="Q3851"/>
  <c r="S3851"/>
  <c r="R3851"/>
  <c r="Q3855"/>
  <c r="S3855"/>
  <c r="R3855"/>
  <c r="Q3857"/>
  <c r="S3857"/>
  <c r="R3857"/>
  <c r="Q3859"/>
  <c r="S3859"/>
  <c r="R3859"/>
  <c r="R3862"/>
  <c r="Q3862"/>
  <c r="S3862"/>
  <c r="R3864"/>
  <c r="Q3864"/>
  <c r="S3864"/>
  <c r="Q3867"/>
  <c r="S3867"/>
  <c r="R3867"/>
  <c r="Q3869"/>
  <c r="S3869"/>
  <c r="R3869"/>
  <c r="Q3871"/>
  <c r="S3871"/>
  <c r="R3871"/>
  <c r="Q3873"/>
  <c r="S3873"/>
  <c r="R3873"/>
  <c r="Q3875"/>
  <c r="S3875"/>
  <c r="R3875"/>
  <c r="Q3877"/>
  <c r="S3877"/>
  <c r="R3877"/>
  <c r="Q3879"/>
  <c r="S3879"/>
  <c r="R3879"/>
  <c r="Q3881"/>
  <c r="S3881"/>
  <c r="R3881"/>
  <c r="Q3883"/>
  <c r="S3883"/>
  <c r="R3883"/>
  <c r="Q3885"/>
  <c r="S3885"/>
  <c r="R3885"/>
  <c r="Q3887"/>
  <c r="S3887"/>
  <c r="R3887"/>
  <c r="Q3889"/>
  <c r="S3889"/>
  <c r="R3889"/>
  <c r="Q3891"/>
  <c r="S3891"/>
  <c r="R3891"/>
  <c r="Q3893"/>
  <c r="S3893"/>
  <c r="R3893"/>
  <c r="Q3895"/>
  <c r="S3895"/>
  <c r="R3895"/>
  <c r="Q3897"/>
  <c r="S3897"/>
  <c r="R3897"/>
  <c r="Q3899"/>
  <c r="S3899"/>
  <c r="R3899"/>
  <c r="Q3901"/>
  <c r="S3901"/>
  <c r="R3901"/>
  <c r="Q3903"/>
  <c r="S3903"/>
  <c r="R3903"/>
  <c r="R3248"/>
  <c r="Q3248"/>
  <c r="S3248"/>
  <c r="Q3907"/>
  <c r="S3907"/>
  <c r="R3907"/>
  <c r="Q3017"/>
  <c r="S3017"/>
  <c r="R3017"/>
  <c r="R3020"/>
  <c r="Q3020"/>
  <c r="S3020"/>
  <c r="A4726"/>
  <c r="Q4726"/>
  <c r="S4726"/>
  <c r="R4726"/>
  <c r="A4732"/>
  <c r="Q4732"/>
  <c r="S4732"/>
  <c r="R4732"/>
  <c r="A4769"/>
  <c r="R4769"/>
  <c r="Q4769"/>
  <c r="S4769"/>
  <c r="A4751"/>
  <c r="R4751"/>
  <c r="Q4751"/>
  <c r="S4751"/>
  <c r="A4752"/>
  <c r="Q4752"/>
  <c r="S4752"/>
  <c r="R4752"/>
  <c r="R2519"/>
  <c r="Q2519"/>
  <c r="S2519"/>
  <c r="R2521"/>
  <c r="Q2521"/>
  <c r="S2521"/>
  <c r="R2523"/>
  <c r="Q2523"/>
  <c r="S2523"/>
  <c r="R2525"/>
  <c r="Q2525"/>
  <c r="S2525"/>
  <c r="R2529"/>
  <c r="Q2529"/>
  <c r="S2529"/>
  <c r="R2531"/>
  <c r="Q2531"/>
  <c r="S2531"/>
  <c r="R2533"/>
  <c r="Q2533"/>
  <c r="S2533"/>
  <c r="R2535"/>
  <c r="Q2535"/>
  <c r="S2535"/>
  <c r="R2537"/>
  <c r="Q2537"/>
  <c r="S2537"/>
  <c r="R2539"/>
  <c r="Q2539"/>
  <c r="S2539"/>
  <c r="R2541"/>
  <c r="Q2541"/>
  <c r="S2541"/>
  <c r="R2543"/>
  <c r="Q2543"/>
  <c r="S2543"/>
  <c r="R2545"/>
  <c r="Q2545"/>
  <c r="S2545"/>
  <c r="R2547"/>
  <c r="Q2547"/>
  <c r="S2547"/>
  <c r="R2549"/>
  <c r="Q2549"/>
  <c r="S2549"/>
  <c r="R2551"/>
  <c r="Q2551"/>
  <c r="S2551"/>
  <c r="R2553"/>
  <c r="Q2553"/>
  <c r="S2553"/>
  <c r="R2557"/>
  <c r="Q2557"/>
  <c r="S2557"/>
  <c r="R2559"/>
  <c r="Q2559"/>
  <c r="S2559"/>
  <c r="R2561"/>
  <c r="Q2561"/>
  <c r="S2561"/>
  <c r="R2563"/>
  <c r="Q2563"/>
  <c r="S2563"/>
  <c r="R2565"/>
  <c r="Q2565"/>
  <c r="S2565"/>
  <c r="R2567"/>
  <c r="Q2567"/>
  <c r="S2567"/>
  <c r="R2569"/>
  <c r="Q2569"/>
  <c r="S2569"/>
  <c r="R2571"/>
  <c r="Q2571"/>
  <c r="S2571"/>
  <c r="R2573"/>
  <c r="Q2573"/>
  <c r="S2573"/>
  <c r="R2575"/>
  <c r="Q2575"/>
  <c r="S2575"/>
  <c r="R2577"/>
  <c r="Q2577"/>
  <c r="S2577"/>
  <c r="R2579"/>
  <c r="Q2579"/>
  <c r="S2579"/>
  <c r="R2583"/>
  <c r="Q2583"/>
  <c r="S2583"/>
  <c r="R2585"/>
  <c r="Q2585"/>
  <c r="S2585"/>
  <c r="R2589"/>
  <c r="Q2589"/>
  <c r="S2589"/>
  <c r="R2591"/>
  <c r="Q2591"/>
  <c r="S2591"/>
  <c r="R2593"/>
  <c r="Q2593"/>
  <c r="S2593"/>
  <c r="R2595"/>
  <c r="Q2595"/>
  <c r="S2595"/>
  <c r="R2597"/>
  <c r="Q2597"/>
  <c r="S2597"/>
  <c r="R2599"/>
  <c r="Q2599"/>
  <c r="S2599"/>
  <c r="A4718"/>
  <c r="Q4718"/>
  <c r="S4718"/>
  <c r="R4718"/>
  <c r="A4720"/>
  <c r="Q4720"/>
  <c r="S4720"/>
  <c r="R4720"/>
  <c r="A4722"/>
  <c r="Q4722"/>
  <c r="S4722"/>
  <c r="R4722"/>
  <c r="A4724"/>
  <c r="Q4724"/>
  <c r="S4724"/>
  <c r="R4724"/>
  <c r="A4727"/>
  <c r="R4727"/>
  <c r="Q4727"/>
  <c r="S4727"/>
  <c r="A4730"/>
  <c r="Q4730"/>
  <c r="S4730"/>
  <c r="R4730"/>
  <c r="R3968"/>
  <c r="Q3968"/>
  <c r="S3968"/>
  <c r="A4735"/>
  <c r="R4735"/>
  <c r="Q4735"/>
  <c r="S4735"/>
  <c r="A4737"/>
  <c r="R4737"/>
  <c r="Q4737"/>
  <c r="S4737"/>
  <c r="A4739"/>
  <c r="R4739"/>
  <c r="Q4739"/>
  <c r="S4739"/>
  <c r="A4741"/>
  <c r="R4741"/>
  <c r="Q4741"/>
  <c r="S4741"/>
  <c r="A4743"/>
  <c r="R4743"/>
  <c r="Q4743"/>
  <c r="S4743"/>
  <c r="A4745"/>
  <c r="R4745"/>
  <c r="Q4745"/>
  <c r="S4745"/>
  <c r="A4747"/>
  <c r="R4747"/>
  <c r="Q4747"/>
  <c r="S4747"/>
  <c r="A4753"/>
  <c r="R4753"/>
  <c r="Q4753"/>
  <c r="S4753"/>
  <c r="A4750"/>
  <c r="Q4750"/>
  <c r="S4750"/>
  <c r="R4750"/>
  <c r="A4755"/>
  <c r="R4755"/>
  <c r="Q4755"/>
  <c r="S4755"/>
  <c r="A4757"/>
  <c r="R4757"/>
  <c r="Q4757"/>
  <c r="S4757"/>
  <c r="Q3981"/>
  <c r="S3981"/>
  <c r="R3981"/>
  <c r="A4760"/>
  <c r="Q4760"/>
  <c r="S4760"/>
  <c r="R4760"/>
  <c r="A4762"/>
  <c r="Q4762"/>
  <c r="S4762"/>
  <c r="R4762"/>
  <c r="A4764"/>
  <c r="Q4764"/>
  <c r="S4764"/>
  <c r="R4764"/>
  <c r="A4766"/>
  <c r="Q4766"/>
  <c r="S4766"/>
  <c r="R4766"/>
  <c r="A4768"/>
  <c r="Q4768"/>
  <c r="S4768"/>
  <c r="R4768"/>
  <c r="A4771"/>
  <c r="R4771"/>
  <c r="Q4771"/>
  <c r="S4771"/>
  <c r="A4774"/>
  <c r="Q4774"/>
  <c r="S4774"/>
  <c r="R4774"/>
  <c r="A4776"/>
  <c r="Q4776"/>
  <c r="S4776"/>
  <c r="R4776"/>
  <c r="A4778"/>
  <c r="Q4778"/>
  <c r="S4778"/>
  <c r="R4778"/>
  <c r="A4780"/>
  <c r="Q4780"/>
  <c r="S4780"/>
  <c r="R4780"/>
  <c r="A4782"/>
  <c r="Q4782"/>
  <c r="S4782"/>
  <c r="R4782"/>
  <c r="Q3957"/>
  <c r="S3957"/>
  <c r="R3957"/>
  <c r="Q3961"/>
  <c r="S3961"/>
  <c r="R3961"/>
  <c r="R3962"/>
  <c r="Q3962"/>
  <c r="S3962"/>
  <c r="R3964"/>
  <c r="Q3964"/>
  <c r="S3964"/>
  <c r="R3966"/>
  <c r="Q3966"/>
  <c r="S3966"/>
  <c r="Q3969"/>
  <c r="S3969"/>
  <c r="R3969"/>
  <c r="Q3971"/>
  <c r="S3971"/>
  <c r="R3971"/>
  <c r="Q3973"/>
  <c r="S3973"/>
  <c r="R3973"/>
  <c r="Q3975"/>
  <c r="S3975"/>
  <c r="R3975"/>
  <c r="Q3979"/>
  <c r="S3979"/>
  <c r="R3979"/>
  <c r="R3982"/>
  <c r="Q3982"/>
  <c r="S3982"/>
  <c r="R3984"/>
  <c r="S3984"/>
  <c r="Q3984"/>
  <c r="R3986"/>
  <c r="Q3986"/>
  <c r="S3986"/>
  <c r="R3988"/>
  <c r="S3988"/>
  <c r="Q3988"/>
  <c r="R3990"/>
  <c r="Q3990"/>
  <c r="S3990"/>
  <c r="R3992"/>
  <c r="S3992"/>
  <c r="Q3992"/>
  <c r="R3994"/>
  <c r="Q3994"/>
  <c r="S3994"/>
  <c r="R3996"/>
  <c r="Q3996"/>
  <c r="S3996"/>
  <c r="R3998"/>
  <c r="Q3998"/>
  <c r="S3998"/>
  <c r="R4000"/>
  <c r="Q4000"/>
  <c r="S4000"/>
  <c r="R4002"/>
  <c r="Q4002"/>
  <c r="S4002"/>
  <c r="R2940"/>
  <c r="Q2940"/>
  <c r="S2940"/>
  <c r="Q4005"/>
  <c r="S4005"/>
  <c r="R4005"/>
  <c r="Q3033"/>
  <c r="S3033"/>
  <c r="R3033"/>
  <c r="Q3035"/>
  <c r="S3035"/>
  <c r="R3035"/>
  <c r="Q3037"/>
  <c r="S3037"/>
  <c r="R3037"/>
  <c r="Q3039"/>
  <c r="S3039"/>
  <c r="R3039"/>
  <c r="Q3041"/>
  <c r="S3041"/>
  <c r="R3041"/>
  <c r="Q3043"/>
  <c r="S3043"/>
  <c r="R3043"/>
  <c r="Q2939"/>
  <c r="S2939"/>
  <c r="R2939"/>
  <c r="Q3047"/>
  <c r="S3047"/>
  <c r="R3047"/>
  <c r="Q3049"/>
  <c r="S3049"/>
  <c r="R3049"/>
  <c r="R2946"/>
  <c r="Q2946"/>
  <c r="S2946"/>
  <c r="R3052"/>
  <c r="Q3052"/>
  <c r="S3052"/>
  <c r="R2938"/>
  <c r="Q2938"/>
  <c r="S2938"/>
  <c r="R2942"/>
  <c r="Q2942"/>
  <c r="S2942"/>
  <c r="Q2945"/>
  <c r="S2945"/>
  <c r="R2945"/>
  <c r="R3464"/>
  <c r="Q3464"/>
  <c r="S3464"/>
  <c r="Q3467"/>
  <c r="S3467"/>
  <c r="R3467"/>
  <c r="Q3469"/>
  <c r="S3469"/>
  <c r="R3469"/>
  <c r="Q3471"/>
  <c r="S3471"/>
  <c r="R3471"/>
  <c r="R2893"/>
  <c r="Q2893"/>
  <c r="S2893"/>
  <c r="R2895"/>
  <c r="Q2895"/>
  <c r="S2895"/>
  <c r="Q1704"/>
  <c r="S1704"/>
  <c r="R1704"/>
  <c r="Q1706"/>
  <c r="S1706"/>
  <c r="R1706"/>
  <c r="Q1708"/>
  <c r="S1708"/>
  <c r="R1708"/>
  <c r="Q1710"/>
  <c r="S1710"/>
  <c r="R1710"/>
  <c r="Q1712"/>
  <c r="S1712"/>
  <c r="R1712"/>
  <c r="Q1714"/>
  <c r="S1714"/>
  <c r="R1714"/>
  <c r="Q1716"/>
  <c r="S1716"/>
  <c r="R1716"/>
  <c r="Q1718"/>
  <c r="S1718"/>
  <c r="R1718"/>
  <c r="R1723"/>
  <c r="Q1723"/>
  <c r="S1723"/>
  <c r="R1729"/>
  <c r="Q1729"/>
  <c r="S1729"/>
  <c r="R1733"/>
  <c r="Q1733"/>
  <c r="S1733"/>
  <c r="R1737"/>
  <c r="Q1737"/>
  <c r="S1737"/>
  <c r="A4783"/>
  <c r="R4783"/>
  <c r="Q4783"/>
  <c r="S4783"/>
  <c r="A4793"/>
  <c r="R4793"/>
  <c r="Q4793"/>
  <c r="S4793"/>
  <c r="A4798"/>
  <c r="Q4798"/>
  <c r="S4798"/>
  <c r="R4798"/>
  <c r="A4810"/>
  <c r="Q4810"/>
  <c r="S4810"/>
  <c r="R4810"/>
  <c r="A4822"/>
  <c r="Q4822"/>
  <c r="S4822"/>
  <c r="R4822"/>
  <c r="Q2606"/>
  <c r="S2606"/>
  <c r="R2606"/>
  <c r="Q2620"/>
  <c r="S2620"/>
  <c r="R2620"/>
  <c r="R2645"/>
  <c r="Q2645"/>
  <c r="S2645"/>
  <c r="R2635"/>
  <c r="Q2635"/>
  <c r="S2635"/>
  <c r="Q2650"/>
  <c r="S2650"/>
  <c r="R2650"/>
  <c r="R2651"/>
  <c r="Q2651"/>
  <c r="S2651"/>
  <c r="R2655"/>
  <c r="Q2655"/>
  <c r="S2655"/>
  <c r="Q2666"/>
  <c r="S2666"/>
  <c r="R2666"/>
  <c r="R4008"/>
  <c r="Q4008"/>
  <c r="S4008"/>
  <c r="A4785"/>
  <c r="R4785"/>
  <c r="Q4785"/>
  <c r="S4785"/>
  <c r="A4787"/>
  <c r="R4787"/>
  <c r="Q4787"/>
  <c r="S4787"/>
  <c r="A4789"/>
  <c r="R4789"/>
  <c r="Q4789"/>
  <c r="S4789"/>
  <c r="R4020"/>
  <c r="Q4020"/>
  <c r="S4020"/>
  <c r="A4794"/>
  <c r="Q4794"/>
  <c r="S4794"/>
  <c r="R4794"/>
  <c r="A4792"/>
  <c r="Q4792"/>
  <c r="S4792"/>
  <c r="R4792"/>
  <c r="R3474"/>
  <c r="Q3474"/>
  <c r="S3474"/>
  <c r="Q3477"/>
  <c r="S3477"/>
  <c r="R3477"/>
  <c r="Q3479"/>
  <c r="S3479"/>
  <c r="R3479"/>
  <c r="Q3481"/>
  <c r="S3481"/>
  <c r="R3481"/>
  <c r="Q3483"/>
  <c r="S3483"/>
  <c r="R3483"/>
  <c r="Q3485"/>
  <c r="S3485"/>
  <c r="R3485"/>
  <c r="Q3487"/>
  <c r="S3487"/>
  <c r="R3487"/>
  <c r="Q3489"/>
  <c r="S3489"/>
  <c r="R3489"/>
  <c r="Q3491"/>
  <c r="S3491"/>
  <c r="R3491"/>
  <c r="Q3493"/>
  <c r="S3493"/>
  <c r="R3493"/>
  <c r="Q3495"/>
  <c r="S3495"/>
  <c r="R3495"/>
  <c r="Q4009"/>
  <c r="S4009"/>
  <c r="R4009"/>
  <c r="Q4011"/>
  <c r="S4011"/>
  <c r="R4011"/>
  <c r="Q4013"/>
  <c r="S4013"/>
  <c r="R4013"/>
  <c r="Q4015"/>
  <c r="S4015"/>
  <c r="R4015"/>
  <c r="Q4017"/>
  <c r="S4017"/>
  <c r="R4017"/>
  <c r="Q4021"/>
  <c r="S4021"/>
  <c r="R4021"/>
  <c r="Q4023"/>
  <c r="S4023"/>
  <c r="R4023"/>
  <c r="R4026"/>
  <c r="Q4026"/>
  <c r="S4026"/>
  <c r="R4028"/>
  <c r="Q4028"/>
  <c r="S4028"/>
  <c r="R4030"/>
  <c r="Q4030"/>
  <c r="S4030"/>
  <c r="A4796"/>
  <c r="Q4796"/>
  <c r="S4796"/>
  <c r="R4796"/>
  <c r="Q4033"/>
  <c r="S4033"/>
  <c r="R4033"/>
  <c r="Q4035"/>
  <c r="S4035"/>
  <c r="R4035"/>
  <c r="Q4037"/>
  <c r="S4037"/>
  <c r="R4037"/>
  <c r="Q4039"/>
  <c r="S4039"/>
  <c r="R4039"/>
  <c r="R4042"/>
  <c r="Q4042"/>
  <c r="S4042"/>
  <c r="R4044"/>
  <c r="Q4044"/>
  <c r="S4044"/>
  <c r="A4298"/>
  <c r="Q4298"/>
  <c r="S4298"/>
  <c r="R4298"/>
  <c r="A4304"/>
  <c r="Q4304"/>
  <c r="S4304"/>
  <c r="R4304"/>
  <c r="A4310"/>
  <c r="Q4310"/>
  <c r="S4310"/>
  <c r="R4310"/>
  <c r="A4334"/>
  <c r="Q4334"/>
  <c r="S4334"/>
  <c r="R4334"/>
  <c r="R1971"/>
  <c r="Q1971"/>
  <c r="S1971"/>
  <c r="R1973"/>
  <c r="Q1973"/>
  <c r="S1973"/>
  <c r="A4288"/>
  <c r="Q4288"/>
  <c r="S4288"/>
  <c r="R4288"/>
  <c r="Q1976"/>
  <c r="S1976"/>
  <c r="R1976"/>
  <c r="Q1978"/>
  <c r="S1978"/>
  <c r="R1978"/>
  <c r="R1980"/>
  <c r="S1980"/>
  <c r="Q1980"/>
  <c r="R1982"/>
  <c r="Q1982"/>
  <c r="S1982"/>
  <c r="R1984"/>
  <c r="S1984"/>
  <c r="Q1984"/>
  <c r="Q3289"/>
  <c r="S3289"/>
  <c r="R3289"/>
  <c r="R1987"/>
  <c r="Q1987"/>
  <c r="S1987"/>
  <c r="R1989"/>
  <c r="Q1989"/>
  <c r="S1989"/>
  <c r="R1991"/>
  <c r="Q1991"/>
  <c r="S1991"/>
  <c r="R1993"/>
  <c r="Q1993"/>
  <c r="S1993"/>
  <c r="R1995"/>
  <c r="Q1995"/>
  <c r="S1995"/>
  <c r="R1997"/>
  <c r="Q1997"/>
  <c r="S1997"/>
  <c r="R1999"/>
  <c r="Q1999"/>
  <c r="S1999"/>
  <c r="R2001"/>
  <c r="Q2001"/>
  <c r="S2001"/>
  <c r="R2003"/>
  <c r="Q2003"/>
  <c r="S2003"/>
  <c r="R2005"/>
  <c r="Q2005"/>
  <c r="S2005"/>
  <c r="R2007"/>
  <c r="Q2007"/>
  <c r="S2007"/>
  <c r="R2009"/>
  <c r="Q2009"/>
  <c r="S2009"/>
  <c r="R2011"/>
  <c r="Q2011"/>
  <c r="S2011"/>
  <c r="R2013"/>
  <c r="Q2013"/>
  <c r="S2013"/>
  <c r="R2015"/>
  <c r="Q2015"/>
  <c r="S2015"/>
  <c r="R2017"/>
  <c r="Q2017"/>
  <c r="S2017"/>
  <c r="R2019"/>
  <c r="Q2019"/>
  <c r="S2019"/>
  <c r="R2021"/>
  <c r="Q2021"/>
  <c r="S2021"/>
  <c r="R2023"/>
  <c r="Q2023"/>
  <c r="S2023"/>
  <c r="R2025"/>
  <c r="Q2025"/>
  <c r="S2025"/>
  <c r="R2027"/>
  <c r="Q2027"/>
  <c r="S2027"/>
  <c r="R2029"/>
  <c r="Q2029"/>
  <c r="S2029"/>
  <c r="A4289"/>
  <c r="R4289"/>
  <c r="Q4289"/>
  <c r="S4289"/>
  <c r="A4291"/>
  <c r="R4291"/>
  <c r="Q4291"/>
  <c r="S4291"/>
  <c r="A4293"/>
  <c r="R4293"/>
  <c r="Q4293"/>
  <c r="S4293"/>
  <c r="A4295"/>
  <c r="R4295"/>
  <c r="Q4295"/>
  <c r="S4295"/>
  <c r="A4296"/>
  <c r="Q4296"/>
  <c r="S4296"/>
  <c r="R4296"/>
  <c r="A4299"/>
  <c r="R4299"/>
  <c r="Q4299"/>
  <c r="S4299"/>
  <c r="A4300"/>
  <c r="Q4300"/>
  <c r="S4300"/>
  <c r="R4300"/>
  <c r="A4302"/>
  <c r="Q4302"/>
  <c r="S4302"/>
  <c r="R4302"/>
  <c r="A4306"/>
  <c r="Q4306"/>
  <c r="S4306"/>
  <c r="R4306"/>
  <c r="A4308"/>
  <c r="Q4308"/>
  <c r="S4308"/>
  <c r="R4308"/>
  <c r="A4311"/>
  <c r="R4311"/>
  <c r="Q4311"/>
  <c r="S4311"/>
  <c r="A4313"/>
  <c r="R4313"/>
  <c r="Q4313"/>
  <c r="S4313"/>
  <c r="A4315"/>
  <c r="R4315"/>
  <c r="Q4315"/>
  <c r="S4315"/>
  <c r="A4317"/>
  <c r="R4317"/>
  <c r="Q4317"/>
  <c r="S4317"/>
  <c r="A4319"/>
  <c r="R4319"/>
  <c r="Q4319"/>
  <c r="S4319"/>
  <c r="A4321"/>
  <c r="R4321"/>
  <c r="Q4321"/>
  <c r="S4321"/>
  <c r="A4323"/>
  <c r="R4323"/>
  <c r="Q4323"/>
  <c r="S4323"/>
  <c r="A4325"/>
  <c r="R4325"/>
  <c r="Q4325"/>
  <c r="S4325"/>
  <c r="A4327"/>
  <c r="R4327"/>
  <c r="Q4327"/>
  <c r="S4327"/>
  <c r="A4329"/>
  <c r="R4329"/>
  <c r="Q4329"/>
  <c r="S4329"/>
  <c r="A4331"/>
  <c r="R4331"/>
  <c r="Q4331"/>
  <c r="S4331"/>
  <c r="A4335"/>
  <c r="R4335"/>
  <c r="Q4335"/>
  <c r="S4335"/>
  <c r="A4337"/>
  <c r="R4337"/>
  <c r="Q4337"/>
  <c r="S4337"/>
  <c r="R3588"/>
  <c r="Q3588"/>
  <c r="S3588"/>
  <c r="Q3591"/>
  <c r="S3591"/>
  <c r="R3591"/>
  <c r="Q3593"/>
  <c r="S3593"/>
  <c r="R3593"/>
  <c r="Q3595"/>
  <c r="S3595"/>
  <c r="R3595"/>
  <c r="R3598"/>
  <c r="Q3598"/>
  <c r="S3598"/>
  <c r="Q3601"/>
  <c r="S3601"/>
  <c r="R3601"/>
  <c r="Q3603"/>
  <c r="S3603"/>
  <c r="R3603"/>
  <c r="Q3605"/>
  <c r="S3605"/>
  <c r="R3605"/>
  <c r="Q3607"/>
  <c r="S3607"/>
  <c r="R3607"/>
  <c r="Q3609"/>
  <c r="S3609"/>
  <c r="R3609"/>
  <c r="Q3611"/>
  <c r="S3611"/>
  <c r="R3611"/>
  <c r="Q3613"/>
  <c r="S3613"/>
  <c r="R3613"/>
  <c r="Q3615"/>
  <c r="S3615"/>
  <c r="R3615"/>
  <c r="Q3617"/>
  <c r="S3617"/>
  <c r="R3617"/>
  <c r="Q3619"/>
  <c r="S3619"/>
  <c r="R3619"/>
  <c r="Q3621"/>
  <c r="S3621"/>
  <c r="R3621"/>
  <c r="Q3623"/>
  <c r="S3623"/>
  <c r="R3623"/>
  <c r="R3290"/>
  <c r="Q3290"/>
  <c r="S3290"/>
  <c r="Q3293"/>
  <c r="S3293"/>
  <c r="R3293"/>
  <c r="Q3295"/>
  <c r="S3295"/>
  <c r="R3295"/>
  <c r="Q3297"/>
  <c r="S3297"/>
  <c r="R3297"/>
  <c r="Q3299"/>
  <c r="S3299"/>
  <c r="R3299"/>
  <c r="Q3301"/>
  <c r="S3301"/>
  <c r="R3301"/>
  <c r="Q3303"/>
  <c r="S3303"/>
  <c r="R3303"/>
  <c r="Q3305"/>
  <c r="S3305"/>
  <c r="R3305"/>
  <c r="Q3307"/>
  <c r="S3307"/>
  <c r="R3307"/>
  <c r="Q3309"/>
  <c r="S3309"/>
  <c r="R3309"/>
  <c r="Q3311"/>
  <c r="S3311"/>
  <c r="R3311"/>
  <c r="Q3217"/>
  <c r="S3217"/>
  <c r="R3217"/>
  <c r="R3218"/>
  <c r="Q3218"/>
  <c r="S3218"/>
  <c r="R3220"/>
  <c r="Q3220"/>
  <c r="S3220"/>
  <c r="R2871"/>
  <c r="Q2871"/>
  <c r="S2871"/>
  <c r="A4826"/>
  <c r="Q4826"/>
  <c r="S4826"/>
  <c r="R4826"/>
  <c r="A4827"/>
  <c r="R4827"/>
  <c r="Q4827"/>
  <c r="S4827"/>
  <c r="A4849"/>
  <c r="R4849"/>
  <c r="Q4849"/>
  <c r="S4849"/>
  <c r="R1739"/>
  <c r="Q1739"/>
  <c r="S1739"/>
  <c r="R2677"/>
  <c r="Q2677"/>
  <c r="S2677"/>
  <c r="Q2526"/>
  <c r="S2526"/>
  <c r="R2526"/>
  <c r="Q2506"/>
  <c r="S2506"/>
  <c r="R2506"/>
  <c r="Q2510"/>
  <c r="S2510"/>
  <c r="R2510"/>
  <c r="R2511"/>
  <c r="Q2511"/>
  <c r="S2511"/>
  <c r="Q2508"/>
  <c r="S2508"/>
  <c r="R2508"/>
  <c r="R2509"/>
  <c r="Q2509"/>
  <c r="S2509"/>
  <c r="R2491"/>
  <c r="Q2491"/>
  <c r="S2491"/>
  <c r="Q2492"/>
  <c r="S2492"/>
  <c r="R2492"/>
  <c r="R2427"/>
  <c r="Q2427"/>
  <c r="S2427"/>
  <c r="Q2398"/>
  <c r="S2398"/>
  <c r="R2398"/>
  <c r="R2395"/>
  <c r="Q2395"/>
  <c r="S2395"/>
  <c r="Q2402"/>
  <c r="S2402"/>
  <c r="R2402"/>
  <c r="Q4047"/>
  <c r="S4047"/>
  <c r="R4047"/>
  <c r="R4046"/>
  <c r="Q4046"/>
  <c r="S4046"/>
  <c r="Q4051"/>
  <c r="S4051"/>
  <c r="R4051"/>
  <c r="R4052"/>
  <c r="Q4052"/>
  <c r="S4052"/>
  <c r="Q4053"/>
  <c r="S4053"/>
  <c r="R4053"/>
  <c r="R4054"/>
  <c r="Q4054"/>
  <c r="S4054"/>
  <c r="Q4055"/>
  <c r="S4055"/>
  <c r="R4055"/>
  <c r="R4056"/>
  <c r="Q4056"/>
  <c r="S4056"/>
  <c r="Q4057"/>
  <c r="S4057"/>
  <c r="R4057"/>
  <c r="R4058"/>
  <c r="Q4058"/>
  <c r="S4058"/>
  <c r="Q4059"/>
  <c r="S4059"/>
  <c r="R4059"/>
  <c r="R4060"/>
  <c r="Q4060"/>
  <c r="S4060"/>
  <c r="Q4061"/>
  <c r="S4061"/>
  <c r="R4061"/>
  <c r="R4062"/>
  <c r="Q4062"/>
  <c r="S4062"/>
  <c r="Q4063"/>
  <c r="S4063"/>
  <c r="R4063"/>
  <c r="R4064"/>
  <c r="Q4064"/>
  <c r="S4064"/>
  <c r="Q4065"/>
  <c r="S4065"/>
  <c r="R4065"/>
  <c r="R4066"/>
  <c r="Q4066"/>
  <c r="S4066"/>
  <c r="Q2961"/>
  <c r="S2961"/>
  <c r="R2961"/>
  <c r="R4072"/>
  <c r="Q4072"/>
  <c r="S4072"/>
  <c r="Q4073"/>
  <c r="S4073"/>
  <c r="R4073"/>
  <c r="R4074"/>
  <c r="Q4074"/>
  <c r="S4074"/>
  <c r="Q4075"/>
  <c r="S4075"/>
  <c r="R4075"/>
  <c r="A4803"/>
  <c r="R4803"/>
  <c r="Q4803"/>
  <c r="S4803"/>
  <c r="A4804"/>
  <c r="Q4804"/>
  <c r="S4804"/>
  <c r="R4804"/>
  <c r="A4805"/>
  <c r="R4805"/>
  <c r="Q4805"/>
  <c r="S4805"/>
  <c r="A4806"/>
  <c r="Q4806"/>
  <c r="S4806"/>
  <c r="R4806"/>
  <c r="A4807"/>
  <c r="R4807"/>
  <c r="Q4807"/>
  <c r="S4807"/>
  <c r="A4808"/>
  <c r="Q4808"/>
  <c r="S4808"/>
  <c r="R4808"/>
  <c r="A4811"/>
  <c r="R4811"/>
  <c r="Q4811"/>
  <c r="S4811"/>
  <c r="A4812"/>
  <c r="Q4812"/>
  <c r="S4812"/>
  <c r="R4812"/>
  <c r="A4813"/>
  <c r="R4813"/>
  <c r="Q4813"/>
  <c r="S4813"/>
  <c r="A4815"/>
  <c r="R4815"/>
  <c r="Q4815"/>
  <c r="S4815"/>
  <c r="Q1720"/>
  <c r="S1720"/>
  <c r="R1720"/>
  <c r="Q1724"/>
  <c r="S1724"/>
  <c r="R1724"/>
  <c r="Q1730"/>
  <c r="S1730"/>
  <c r="R1730"/>
  <c r="Q1734"/>
  <c r="S1734"/>
  <c r="R1734"/>
  <c r="Q1738"/>
  <c r="S1738"/>
  <c r="R1738"/>
  <c r="Q3475"/>
  <c r="S3475"/>
  <c r="R3475"/>
  <c r="A4797"/>
  <c r="R4797"/>
  <c r="Q4797"/>
  <c r="S4797"/>
  <c r="A4801"/>
  <c r="R4801"/>
  <c r="Q4801"/>
  <c r="S4801"/>
  <c r="A4814"/>
  <c r="Q4814"/>
  <c r="S4814"/>
  <c r="R4814"/>
  <c r="A4823"/>
  <c r="R4823"/>
  <c r="Q4823"/>
  <c r="S4823"/>
  <c r="R2619"/>
  <c r="Q2619"/>
  <c r="S2619"/>
  <c r="R2625"/>
  <c r="Q2625"/>
  <c r="S2625"/>
  <c r="Q2630"/>
  <c r="S2630"/>
  <c r="R2630"/>
  <c r="Q2644"/>
  <c r="S2644"/>
  <c r="R2644"/>
  <c r="Q2652"/>
  <c r="S2652"/>
  <c r="R2652"/>
  <c r="R2653"/>
  <c r="Q2653"/>
  <c r="S2653"/>
  <c r="Q2660"/>
  <c r="S2660"/>
  <c r="R2660"/>
  <c r="Q2670"/>
  <c r="S2670"/>
  <c r="R2670"/>
  <c r="A4784"/>
  <c r="Q4784"/>
  <c r="S4784"/>
  <c r="R4784"/>
  <c r="A4786"/>
  <c r="Q4786"/>
  <c r="S4786"/>
  <c r="R4786"/>
  <c r="A4788"/>
  <c r="Q4788"/>
  <c r="S4788"/>
  <c r="R4788"/>
  <c r="A4790"/>
  <c r="Q4790"/>
  <c r="S4790"/>
  <c r="R4790"/>
  <c r="A4791"/>
  <c r="R4791"/>
  <c r="Q4791"/>
  <c r="S4791"/>
  <c r="A4795"/>
  <c r="R4795"/>
  <c r="Q4795"/>
  <c r="S4795"/>
  <c r="Q3473"/>
  <c r="S3473"/>
  <c r="R3473"/>
  <c r="R3476"/>
  <c r="Q3476"/>
  <c r="S3476"/>
  <c r="R3478"/>
  <c r="Q3478"/>
  <c r="S3478"/>
  <c r="R3480"/>
  <c r="Q3480"/>
  <c r="S3480"/>
  <c r="R3482"/>
  <c r="Q3482"/>
  <c r="S3482"/>
  <c r="R3484"/>
  <c r="Q3484"/>
  <c r="S3484"/>
  <c r="R3486"/>
  <c r="Q3486"/>
  <c r="S3486"/>
  <c r="R3488"/>
  <c r="Q3488"/>
  <c r="S3488"/>
  <c r="R3490"/>
  <c r="Q3490"/>
  <c r="S3490"/>
  <c r="R3492"/>
  <c r="Q3492"/>
  <c r="S3492"/>
  <c r="R3494"/>
  <c r="Q3494"/>
  <c r="S3494"/>
  <c r="R3496"/>
  <c r="Q3496"/>
  <c r="S3496"/>
  <c r="R4010"/>
  <c r="Q4010"/>
  <c r="S4010"/>
  <c r="R4012"/>
  <c r="Q4012"/>
  <c r="S4012"/>
  <c r="R4014"/>
  <c r="Q4014"/>
  <c r="S4014"/>
  <c r="R4016"/>
  <c r="Q4016"/>
  <c r="S4016"/>
  <c r="Q4019"/>
  <c r="S4019"/>
  <c r="R4019"/>
  <c r="R4022"/>
  <c r="Q4022"/>
  <c r="S4022"/>
  <c r="R4024"/>
  <c r="Q4024"/>
  <c r="S4024"/>
  <c r="Q4027"/>
  <c r="S4027"/>
  <c r="R4027"/>
  <c r="Q4029"/>
  <c r="S4029"/>
  <c r="R4029"/>
  <c r="Q4031"/>
  <c r="S4031"/>
  <c r="R4031"/>
  <c r="R4032"/>
  <c r="Q4032"/>
  <c r="S4032"/>
  <c r="R4034"/>
  <c r="Q4034"/>
  <c r="S4034"/>
  <c r="R4036"/>
  <c r="Q4036"/>
  <c r="S4036"/>
  <c r="R4038"/>
  <c r="Q4038"/>
  <c r="S4038"/>
  <c r="Q2951"/>
  <c r="S2951"/>
  <c r="R2951"/>
  <c r="Q4043"/>
  <c r="S4043"/>
  <c r="R4043"/>
  <c r="Q3291"/>
  <c r="S3291"/>
  <c r="R3291"/>
  <c r="A4305"/>
  <c r="R4305"/>
  <c r="Q4305"/>
  <c r="S4305"/>
  <c r="A4333"/>
  <c r="R4333"/>
  <c r="Q4333"/>
  <c r="S4333"/>
  <c r="Q1970"/>
  <c r="S1970"/>
  <c r="R1970"/>
  <c r="Q1972"/>
  <c r="S1972"/>
  <c r="R1972"/>
  <c r="Q1974"/>
  <c r="S1974"/>
  <c r="R1974"/>
  <c r="R1975"/>
  <c r="Q1975"/>
  <c r="S1975"/>
  <c r="R1977"/>
  <c r="Q1977"/>
  <c r="S1977"/>
  <c r="Q1979"/>
  <c r="S1979"/>
  <c r="R1979"/>
  <c r="Q1981"/>
  <c r="S1981"/>
  <c r="R1981"/>
  <c r="Q1983"/>
  <c r="S1983"/>
  <c r="R1983"/>
  <c r="Q1985"/>
  <c r="S1985"/>
  <c r="R1985"/>
  <c r="Q1986"/>
  <c r="S1986"/>
  <c r="R1986"/>
  <c r="Q1988"/>
  <c r="S1988"/>
  <c r="R1988"/>
  <c r="Q1990"/>
  <c r="S1990"/>
  <c r="R1990"/>
  <c r="Q1992"/>
  <c r="S1992"/>
  <c r="R1992"/>
  <c r="Q1994"/>
  <c r="S1994"/>
  <c r="R1994"/>
  <c r="Q1996"/>
  <c r="S1996"/>
  <c r="R1996"/>
  <c r="Q1998"/>
  <c r="S1998"/>
  <c r="R1998"/>
  <c r="Q2000"/>
  <c r="S2000"/>
  <c r="R2000"/>
  <c r="Q2002"/>
  <c r="S2002"/>
  <c r="R2002"/>
  <c r="Q2004"/>
  <c r="S2004"/>
  <c r="R2004"/>
  <c r="Q2006"/>
  <c r="S2006"/>
  <c r="R2006"/>
  <c r="Q2008"/>
  <c r="S2008"/>
  <c r="R2008"/>
  <c r="Q2010"/>
  <c r="S2010"/>
  <c r="R2010"/>
  <c r="Q2012"/>
  <c r="S2012"/>
  <c r="R2012"/>
  <c r="Q2014"/>
  <c r="S2014"/>
  <c r="R2014"/>
  <c r="Q2016"/>
  <c r="S2016"/>
  <c r="R2016"/>
  <c r="Q2018"/>
  <c r="S2018"/>
  <c r="R2018"/>
  <c r="Q2020"/>
  <c r="S2020"/>
  <c r="R2020"/>
  <c r="Q2022"/>
  <c r="S2022"/>
  <c r="R2022"/>
  <c r="Q2024"/>
  <c r="S2024"/>
  <c r="R2024"/>
  <c r="Q2026"/>
  <c r="S2026"/>
  <c r="R2026"/>
  <c r="Q2028"/>
  <c r="S2028"/>
  <c r="R2028"/>
  <c r="Q2030"/>
  <c r="S2030"/>
  <c r="R2030"/>
  <c r="A4290"/>
  <c r="Q4290"/>
  <c r="S4290"/>
  <c r="R4290"/>
  <c r="A4292"/>
  <c r="Q4292"/>
  <c r="S4292"/>
  <c r="R4292"/>
  <c r="A4294"/>
  <c r="Q4294"/>
  <c r="S4294"/>
  <c r="R4294"/>
  <c r="R3590"/>
  <c r="Q3590"/>
  <c r="S3590"/>
  <c r="A4297"/>
  <c r="R4297"/>
  <c r="Q4297"/>
  <c r="S4297"/>
  <c r="R3600"/>
  <c r="Q3600"/>
  <c r="S3600"/>
  <c r="A4301"/>
  <c r="R4301"/>
  <c r="Q4301"/>
  <c r="S4301"/>
  <c r="A4303"/>
  <c r="R4303"/>
  <c r="Q4303"/>
  <c r="S4303"/>
  <c r="A4307"/>
  <c r="R4307"/>
  <c r="Q4307"/>
  <c r="S4307"/>
  <c r="A4309"/>
  <c r="R4309"/>
  <c r="Q4309"/>
  <c r="S4309"/>
  <c r="A4312"/>
  <c r="Q4312"/>
  <c r="S4312"/>
  <c r="R4312"/>
  <c r="A4314"/>
  <c r="Q4314"/>
  <c r="S4314"/>
  <c r="R4314"/>
  <c r="A4316"/>
  <c r="Q4316"/>
  <c r="S4316"/>
  <c r="R4316"/>
  <c r="A4318"/>
  <c r="Q4318"/>
  <c r="S4318"/>
  <c r="R4318"/>
  <c r="A4320"/>
  <c r="Q4320"/>
  <c r="S4320"/>
  <c r="R4320"/>
  <c r="A4322"/>
  <c r="Q4322"/>
  <c r="S4322"/>
  <c r="R4322"/>
  <c r="A4324"/>
  <c r="Q4324"/>
  <c r="S4324"/>
  <c r="R4324"/>
  <c r="A4326"/>
  <c r="Q4326"/>
  <c r="S4326"/>
  <c r="R4326"/>
  <c r="A4328"/>
  <c r="Q4328"/>
  <c r="S4328"/>
  <c r="R4328"/>
  <c r="A4330"/>
  <c r="Q4330"/>
  <c r="S4330"/>
  <c r="R4330"/>
  <c r="A4332"/>
  <c r="Q4332"/>
  <c r="S4332"/>
  <c r="R4332"/>
  <c r="A4336"/>
  <c r="Q4336"/>
  <c r="S4336"/>
  <c r="R4336"/>
  <c r="A4338"/>
  <c r="Q4338"/>
  <c r="S4338"/>
  <c r="R4338"/>
  <c r="Q3589"/>
  <c r="S3589"/>
  <c r="R3589"/>
  <c r="R3592"/>
  <c r="Q3592"/>
  <c r="S3592"/>
  <c r="R3594"/>
  <c r="Q3594"/>
  <c r="S3594"/>
  <c r="R3596"/>
  <c r="Q3596"/>
  <c r="S3596"/>
  <c r="Q3599"/>
  <c r="S3599"/>
  <c r="R3599"/>
  <c r="R3602"/>
  <c r="Q3602"/>
  <c r="S3602"/>
  <c r="R3604"/>
  <c r="Q3604"/>
  <c r="S3604"/>
  <c r="R3606"/>
  <c r="Q3606"/>
  <c r="S3606"/>
  <c r="R3608"/>
  <c r="Q3608"/>
  <c r="S3608"/>
  <c r="R3610"/>
  <c r="Q3610"/>
  <c r="S3610"/>
  <c r="R3612"/>
  <c r="Q3612"/>
  <c r="S3612"/>
  <c r="R3614"/>
  <c r="Q3614"/>
  <c r="S3614"/>
  <c r="R3616"/>
  <c r="Q3616"/>
  <c r="S3616"/>
  <c r="R3618"/>
  <c r="Q3618"/>
  <c r="S3618"/>
  <c r="R3620"/>
  <c r="Q3620"/>
  <c r="S3620"/>
  <c r="R3622"/>
  <c r="Q3622"/>
  <c r="S3622"/>
  <c r="R3624"/>
  <c r="Q3624"/>
  <c r="S3624"/>
  <c r="R3292"/>
  <c r="Q3292"/>
  <c r="S3292"/>
  <c r="R3294"/>
  <c r="Q3294"/>
  <c r="S3294"/>
  <c r="R3296"/>
  <c r="Q3296"/>
  <c r="S3296"/>
  <c r="R3298"/>
  <c r="Q3298"/>
  <c r="S3298"/>
  <c r="R3300"/>
  <c r="Q3300"/>
  <c r="S3300"/>
  <c r="R3302"/>
  <c r="Q3302"/>
  <c r="S3302"/>
  <c r="R3304"/>
  <c r="Q3304"/>
  <c r="S3304"/>
  <c r="R3306"/>
  <c r="Q3306"/>
  <c r="S3306"/>
  <c r="R3308"/>
  <c r="Q3308"/>
  <c r="S3308"/>
  <c r="R3310"/>
  <c r="Q3310"/>
  <c r="S3310"/>
  <c r="Q3215"/>
  <c r="S3215"/>
  <c r="R3215"/>
  <c r="R3216"/>
  <c r="Q3216"/>
  <c r="S3216"/>
  <c r="Q3219"/>
  <c r="S3219"/>
  <c r="R3219"/>
  <c r="Q2870"/>
  <c r="S2870"/>
  <c r="R2870"/>
  <c r="Q1740"/>
  <c r="S1740"/>
  <c r="R1740"/>
  <c r="R2679"/>
  <c r="Q2679"/>
  <c r="S2679"/>
  <c r="Q2678"/>
  <c r="S2678"/>
  <c r="R2678"/>
  <c r="R2527"/>
  <c r="Q2527"/>
  <c r="S2527"/>
  <c r="R2507"/>
  <c r="Q2507"/>
  <c r="S2507"/>
  <c r="Q2428"/>
  <c r="S2428"/>
  <c r="R2428"/>
  <c r="R2399"/>
  <c r="Q2399"/>
  <c r="S2399"/>
  <c r="Q2396"/>
  <c r="S2396"/>
  <c r="R2396"/>
  <c r="R2403"/>
  <c r="Q2403"/>
  <c r="S2403"/>
  <c r="R4050"/>
  <c r="Q4050"/>
  <c r="S4050"/>
  <c r="Q4049"/>
  <c r="S4049"/>
  <c r="R4049"/>
  <c r="R4068"/>
  <c r="Q4068"/>
  <c r="S4068"/>
  <c r="R4040"/>
  <c r="Q4040"/>
  <c r="S4040"/>
  <c r="A4802"/>
  <c r="Q4802"/>
  <c r="S4802"/>
  <c r="R4802"/>
  <c r="A4809"/>
  <c r="R4809"/>
  <c r="Q4809"/>
  <c r="S4809"/>
  <c r="A620"/>
  <c r="A1744"/>
  <c r="A2690"/>
  <c r="A1017"/>
  <c r="A15"/>
  <c r="A19"/>
  <c r="A23"/>
  <c r="A27"/>
  <c r="A78"/>
  <c r="A82"/>
  <c r="A86"/>
  <c r="A879"/>
  <c r="A1118"/>
  <c r="A403"/>
  <c r="A1487"/>
  <c r="A1491"/>
  <c r="A3313"/>
  <c r="A2033"/>
  <c r="A2037"/>
  <c r="A2041"/>
  <c r="A2045"/>
  <c r="A2049"/>
  <c r="A2053"/>
  <c r="A2057"/>
  <c r="A3317"/>
  <c r="A2064"/>
  <c r="A2068"/>
  <c r="A2072"/>
  <c r="A2076"/>
  <c r="A2080"/>
  <c r="A2084"/>
  <c r="A2088"/>
  <c r="A2092"/>
  <c r="A2096"/>
  <c r="A2100"/>
  <c r="A2104"/>
  <c r="A2108"/>
  <c r="A2112"/>
  <c r="A2116"/>
  <c r="A2120"/>
  <c r="A2122"/>
  <c r="A3315"/>
  <c r="A3319"/>
  <c r="A3323"/>
  <c r="A3327"/>
  <c r="A3332"/>
  <c r="A3335"/>
  <c r="A3339"/>
  <c r="A3222"/>
  <c r="A3660"/>
  <c r="A3626"/>
  <c r="A3630"/>
  <c r="A3634"/>
  <c r="A3638"/>
  <c r="A3642"/>
  <c r="A3647"/>
  <c r="A3651"/>
  <c r="A3655"/>
  <c r="A3659"/>
  <c r="A3665"/>
  <c r="A3669"/>
  <c r="A3674"/>
  <c r="A3678"/>
  <c r="A3682"/>
  <c r="A3686"/>
  <c r="A3690"/>
  <c r="A3694"/>
  <c r="A3698"/>
  <c r="A3702"/>
  <c r="A3228"/>
  <c r="A92"/>
  <c r="A96"/>
  <c r="A100"/>
  <c r="A104"/>
  <c r="A885"/>
  <c r="A889"/>
  <c r="A893"/>
  <c r="A897"/>
  <c r="A1123"/>
  <c r="A406"/>
  <c r="A410"/>
  <c r="A414"/>
  <c r="A418"/>
  <c r="A422"/>
  <c r="A426"/>
  <c r="A430"/>
  <c r="A434"/>
  <c r="A438"/>
  <c r="A1496"/>
  <c r="A1500"/>
  <c r="A1504"/>
  <c r="A1508"/>
  <c r="A1512"/>
  <c r="A1516"/>
  <c r="A1520"/>
  <c r="A1524"/>
  <c r="A1528"/>
  <c r="A1532"/>
  <c r="A1536"/>
  <c r="A3348"/>
  <c r="A3381"/>
  <c r="A2127"/>
  <c r="A2131"/>
  <c r="A2135"/>
  <c r="A2139"/>
  <c r="A2143"/>
  <c r="A2147"/>
  <c r="A2151"/>
  <c r="A2158"/>
  <c r="A2162"/>
  <c r="A2166"/>
  <c r="A2170"/>
  <c r="A2174"/>
  <c r="A2177"/>
  <c r="A2181"/>
  <c r="A3709"/>
  <c r="A3713"/>
  <c r="A3718"/>
  <c r="A3722"/>
  <c r="A3726"/>
  <c r="A3729"/>
  <c r="A3733"/>
  <c r="A3737"/>
  <c r="A3344"/>
  <c r="A3351"/>
  <c r="A3355"/>
  <c r="A3359"/>
  <c r="A3363"/>
  <c r="A3367"/>
  <c r="A3371"/>
  <c r="A3375"/>
  <c r="A3379"/>
  <c r="A2873"/>
  <c r="A2877"/>
  <c r="A34"/>
  <c r="A110"/>
  <c r="A114"/>
  <c r="A118"/>
  <c r="A898"/>
  <c r="A902"/>
  <c r="A906"/>
  <c r="A910"/>
  <c r="A1126"/>
  <c r="A1130"/>
  <c r="A442"/>
  <c r="A446"/>
  <c r="A450"/>
  <c r="A454"/>
  <c r="A458"/>
  <c r="A462"/>
  <c r="A466"/>
  <c r="A470"/>
  <c r="A1539"/>
  <c r="A1543"/>
  <c r="A1547"/>
  <c r="A1553"/>
  <c r="A1557"/>
  <c r="A1561"/>
  <c r="A1565"/>
  <c r="A2185"/>
  <c r="A2189"/>
  <c r="A2193"/>
  <c r="A2197"/>
  <c r="A2204"/>
  <c r="A2208"/>
  <c r="A2212"/>
  <c r="A2216"/>
  <c r="A2220"/>
  <c r="A2224"/>
  <c r="A2228"/>
  <c r="A2232"/>
  <c r="A2235"/>
  <c r="A2239"/>
  <c r="A2243"/>
  <c r="A2247"/>
  <c r="A2251"/>
  <c r="A2254"/>
  <c r="A2257"/>
  <c r="A2261"/>
  <c r="A3742"/>
  <c r="A3743"/>
  <c r="A3748"/>
  <c r="A3751"/>
  <c r="A3755"/>
  <c r="A3233"/>
  <c r="A3767"/>
  <c r="A3771"/>
  <c r="A3775"/>
  <c r="A3779"/>
  <c r="A3783"/>
  <c r="A3384"/>
  <c r="A3236"/>
  <c r="A3240"/>
  <c r="A3244"/>
  <c r="A37"/>
  <c r="A126"/>
  <c r="A130"/>
  <c r="A134"/>
  <c r="A913"/>
  <c r="A917"/>
  <c r="A921"/>
  <c r="A925"/>
  <c r="A1133"/>
  <c r="A1137"/>
  <c r="A472"/>
  <c r="A476"/>
  <c r="A480"/>
  <c r="A484"/>
  <c r="A488"/>
  <c r="A492"/>
  <c r="A496"/>
  <c r="A500"/>
  <c r="A504"/>
  <c r="A508"/>
  <c r="A512"/>
  <c r="A516"/>
  <c r="A520"/>
  <c r="A1568"/>
  <c r="A1572"/>
  <c r="A1576"/>
  <c r="A1582"/>
  <c r="A1584"/>
  <c r="A1588"/>
  <c r="A1592"/>
  <c r="A1596"/>
  <c r="A1600"/>
  <c r="A1604"/>
  <c r="A1608"/>
  <c r="A1612"/>
  <c r="A1616"/>
  <c r="A1620"/>
  <c r="A1624"/>
  <c r="A2264"/>
  <c r="A2266"/>
  <c r="A2270"/>
  <c r="A2274"/>
  <c r="A2278"/>
  <c r="A2282"/>
  <c r="A2286"/>
  <c r="A2290"/>
  <c r="A2294"/>
  <c r="A3393"/>
  <c r="A2301"/>
  <c r="A2305"/>
  <c r="A2309"/>
  <c r="A2313"/>
  <c r="A2317"/>
  <c r="A2321"/>
  <c r="A2325"/>
  <c r="A2329"/>
  <c r="A2333"/>
  <c r="A2337"/>
  <c r="A2341"/>
  <c r="A2344"/>
  <c r="A2348"/>
  <c r="A2352"/>
  <c r="A2356"/>
  <c r="A2359"/>
  <c r="A2363"/>
  <c r="A2867"/>
  <c r="A3389"/>
  <c r="A3394"/>
  <c r="A3398"/>
  <c r="A3402"/>
  <c r="A3406"/>
  <c r="A3811"/>
  <c r="A3847"/>
  <c r="A3794"/>
  <c r="A3798"/>
  <c r="A3803"/>
  <c r="A3810"/>
  <c r="A3817"/>
  <c r="A3837"/>
  <c r="A3840"/>
  <c r="A3844"/>
  <c r="A40"/>
  <c r="A142"/>
  <c r="A146"/>
  <c r="A150"/>
  <c r="A929"/>
  <c r="A933"/>
  <c r="A937"/>
  <c r="A941"/>
  <c r="A945"/>
  <c r="A949"/>
  <c r="A953"/>
  <c r="A957"/>
  <c r="A961"/>
  <c r="A1145"/>
  <c r="A526"/>
  <c r="A530"/>
  <c r="A534"/>
  <c r="A538"/>
  <c r="A542"/>
  <c r="A546"/>
  <c r="A550"/>
  <c r="A554"/>
  <c r="A558"/>
  <c r="A562"/>
  <c r="A566"/>
  <c r="A570"/>
  <c r="A1626"/>
  <c r="A1630"/>
  <c r="A1634"/>
  <c r="A1638"/>
  <c r="A1642"/>
  <c r="A1646"/>
  <c r="A2883"/>
  <c r="A2367"/>
  <c r="A2371"/>
  <c r="A2375"/>
  <c r="A2379"/>
  <c r="A2383"/>
  <c r="A2387"/>
  <c r="A2391"/>
  <c r="A3419"/>
  <c r="A2404"/>
  <c r="A2407"/>
  <c r="A2411"/>
  <c r="A2415"/>
  <c r="A2419"/>
  <c r="A2423"/>
  <c r="A2429"/>
  <c r="A2885"/>
  <c r="A2889"/>
  <c r="A3410"/>
  <c r="A3414"/>
  <c r="A3420"/>
  <c r="A3424"/>
  <c r="A3428"/>
  <c r="A3432"/>
  <c r="A3438"/>
  <c r="A3442"/>
  <c r="A3448"/>
  <c r="A3452"/>
  <c r="A3456"/>
  <c r="A3851"/>
  <c r="A3857"/>
  <c r="A3862"/>
  <c r="A3867"/>
  <c r="A3871"/>
  <c r="A3875"/>
  <c r="A3879"/>
  <c r="A3883"/>
  <c r="A3887"/>
  <c r="A3891"/>
  <c r="A3895"/>
  <c r="A3899"/>
  <c r="A3903"/>
  <c r="A3907"/>
  <c r="A3020"/>
  <c r="A173"/>
  <c r="A177"/>
  <c r="A181"/>
  <c r="A185"/>
  <c r="A985"/>
  <c r="A989"/>
  <c r="A624"/>
  <c r="A628"/>
  <c r="A632"/>
  <c r="A636"/>
  <c r="A640"/>
  <c r="A644"/>
  <c r="A648"/>
  <c r="A652"/>
  <c r="A656"/>
  <c r="A660"/>
  <c r="A664"/>
  <c r="A1672"/>
  <c r="A1676"/>
  <c r="A1680"/>
  <c r="A1684"/>
  <c r="A1688"/>
  <c r="A2521"/>
  <c r="A2525"/>
  <c r="A2531"/>
  <c r="A2535"/>
  <c r="A2539"/>
  <c r="A2543"/>
  <c r="A2547"/>
  <c r="A2551"/>
  <c r="A2557"/>
  <c r="A2561"/>
  <c r="A2565"/>
  <c r="A2569"/>
  <c r="A2573"/>
  <c r="A2577"/>
  <c r="A2583"/>
  <c r="A2589"/>
  <c r="A2593"/>
  <c r="A2597"/>
  <c r="A3968"/>
  <c r="A3981"/>
  <c r="A3957"/>
  <c r="A3962"/>
  <c r="A3966"/>
  <c r="A3971"/>
  <c r="A3975"/>
  <c r="A3982"/>
  <c r="A3986"/>
  <c r="A3990"/>
  <c r="A3994"/>
  <c r="A3998"/>
  <c r="A4002"/>
  <c r="A4005"/>
  <c r="A3035"/>
  <c r="A3039"/>
  <c r="A3043"/>
  <c r="A3047"/>
  <c r="A2946"/>
  <c r="A2938"/>
  <c r="A2945"/>
  <c r="A3467"/>
  <c r="A3471"/>
  <c r="A2895"/>
  <c r="A50"/>
  <c r="A191"/>
  <c r="A195"/>
  <c r="A199"/>
  <c r="A991"/>
  <c r="A995"/>
  <c r="A999"/>
  <c r="A1003"/>
  <c r="A1007"/>
  <c r="A1193"/>
  <c r="A672"/>
  <c r="A676"/>
  <c r="A684"/>
  <c r="A688"/>
  <c r="A692"/>
  <c r="A696"/>
  <c r="A700"/>
  <c r="A704"/>
  <c r="A708"/>
  <c r="A712"/>
  <c r="A716"/>
  <c r="A720"/>
  <c r="A724"/>
  <c r="A728"/>
  <c r="A732"/>
  <c r="A1697"/>
  <c r="A1701"/>
  <c r="A1705"/>
  <c r="A1709"/>
  <c r="A1713"/>
  <c r="A1717"/>
  <c r="A1723"/>
  <c r="A1733"/>
  <c r="A2620"/>
  <c r="A2635"/>
  <c r="A2651"/>
  <c r="A2666"/>
  <c r="A3474"/>
  <c r="A3479"/>
  <c r="A3483"/>
  <c r="A3487"/>
  <c r="A3491"/>
  <c r="A3495"/>
  <c r="A4011"/>
  <c r="A4015"/>
  <c r="A4021"/>
  <c r="A4026"/>
  <c r="A4030"/>
  <c r="A4033"/>
  <c r="A4037"/>
  <c r="A4042"/>
  <c r="A61"/>
  <c r="A65"/>
  <c r="A69"/>
  <c r="A73"/>
  <c r="A870"/>
  <c r="A874"/>
  <c r="A878"/>
  <c r="A1114"/>
  <c r="A252"/>
  <c r="A288"/>
  <c r="A298"/>
  <c r="A363"/>
  <c r="A373"/>
  <c r="A387"/>
  <c r="A1462"/>
  <c r="A1466"/>
  <c r="A1470"/>
  <c r="A1474"/>
  <c r="A1478"/>
  <c r="A1482"/>
  <c r="A1973"/>
  <c r="A1976"/>
  <c r="A1980"/>
  <c r="A1984"/>
  <c r="A1987"/>
  <c r="A1991"/>
  <c r="A1995"/>
  <c r="A1999"/>
  <c r="A2003"/>
  <c r="A2007"/>
  <c r="A2011"/>
  <c r="A2015"/>
  <c r="A2019"/>
  <c r="A2023"/>
  <c r="A2027"/>
  <c r="A3591"/>
  <c r="A3595"/>
  <c r="A3601"/>
  <c r="A3605"/>
  <c r="A3609"/>
  <c r="A3613"/>
  <c r="A3617"/>
  <c r="A3621"/>
  <c r="A3290"/>
  <c r="A3295"/>
  <c r="A3299"/>
  <c r="A3303"/>
  <c r="A3307"/>
  <c r="A3311"/>
  <c r="A3218"/>
  <c r="A2871"/>
  <c r="A733"/>
  <c r="A737"/>
  <c r="A1180"/>
  <c r="A1182"/>
  <c r="A1184"/>
  <c r="A678"/>
  <c r="A749"/>
  <c r="A1739"/>
  <c r="A2677"/>
  <c r="A2506"/>
  <c r="A2510"/>
  <c r="A2508"/>
  <c r="A2491"/>
  <c r="A2427"/>
  <c r="A2395"/>
  <c r="A4046"/>
  <c r="A4052"/>
  <c r="A4054"/>
  <c r="A4056"/>
  <c r="A4058"/>
  <c r="A4060"/>
  <c r="A4062"/>
  <c r="A4064"/>
  <c r="A4066"/>
  <c r="A4072"/>
  <c r="A4074"/>
  <c r="A621"/>
  <c r="A1743"/>
  <c r="A1748"/>
  <c r="A2695"/>
  <c r="A1016"/>
  <c r="A16"/>
  <c r="A20"/>
  <c r="A24"/>
  <c r="A28"/>
  <c r="A79"/>
  <c r="A83"/>
  <c r="A87"/>
  <c r="A880"/>
  <c r="A1119"/>
  <c r="A1484"/>
  <c r="A1488"/>
  <c r="A1492"/>
  <c r="A2034"/>
  <c r="A2038"/>
  <c r="A2042"/>
  <c r="A2046"/>
  <c r="A2050"/>
  <c r="A2054"/>
  <c r="A2058"/>
  <c r="A2061"/>
  <c r="A2065"/>
  <c r="A2069"/>
  <c r="A2073"/>
  <c r="A2077"/>
  <c r="A2081"/>
  <c r="A2085"/>
  <c r="A2089"/>
  <c r="A2093"/>
  <c r="A2097"/>
  <c r="A2101"/>
  <c r="A2105"/>
  <c r="A2109"/>
  <c r="A2113"/>
  <c r="A2117"/>
  <c r="A3342"/>
  <c r="A2123"/>
  <c r="A3316"/>
  <c r="A3320"/>
  <c r="A3324"/>
  <c r="A3328"/>
  <c r="A3333"/>
  <c r="A3336"/>
  <c r="A3340"/>
  <c r="A3224"/>
  <c r="A3643"/>
  <c r="A3661"/>
  <c r="A3627"/>
  <c r="A3631"/>
  <c r="A3635"/>
  <c r="A3639"/>
  <c r="A3644"/>
  <c r="A3648"/>
  <c r="A3652"/>
  <c r="A3656"/>
  <c r="A3662"/>
  <c r="A3666"/>
  <c r="A3670"/>
  <c r="A3675"/>
  <c r="A3679"/>
  <c r="A3683"/>
  <c r="A3687"/>
  <c r="A3691"/>
  <c r="A3695"/>
  <c r="A3699"/>
  <c r="A3703"/>
  <c r="A30"/>
  <c r="A93"/>
  <c r="A97"/>
  <c r="A101"/>
  <c r="A105"/>
  <c r="A886"/>
  <c r="A890"/>
  <c r="A894"/>
  <c r="A1120"/>
  <c r="A1124"/>
  <c r="A407"/>
  <c r="A411"/>
  <c r="A415"/>
  <c r="A419"/>
  <c r="A423"/>
  <c r="A427"/>
  <c r="A431"/>
  <c r="A435"/>
  <c r="A439"/>
  <c r="A1497"/>
  <c r="A1501"/>
  <c r="A1505"/>
  <c r="A1509"/>
  <c r="A1513"/>
  <c r="A1517"/>
  <c r="A1521"/>
  <c r="A1525"/>
  <c r="A1529"/>
  <c r="A1533"/>
  <c r="A3346"/>
  <c r="A2124"/>
  <c r="A2128"/>
  <c r="A2132"/>
  <c r="A2136"/>
  <c r="A2144"/>
  <c r="A2148"/>
  <c r="A2152"/>
  <c r="A2155"/>
  <c r="A2159"/>
  <c r="A2163"/>
  <c r="A2167"/>
  <c r="A2171"/>
  <c r="A2175"/>
  <c r="A2178"/>
  <c r="A2182"/>
  <c r="A3710"/>
  <c r="A3715"/>
  <c r="A3719"/>
  <c r="A3723"/>
  <c r="A3727"/>
  <c r="A3730"/>
  <c r="A3734"/>
  <c r="A3738"/>
  <c r="A3345"/>
  <c r="A3352"/>
  <c r="A3356"/>
  <c r="A3360"/>
  <c r="A3364"/>
  <c r="A3368"/>
  <c r="A3372"/>
  <c r="A3376"/>
  <c r="A3380"/>
  <c r="A2874"/>
  <c r="A2878"/>
  <c r="A35"/>
  <c r="A111"/>
  <c r="A115"/>
  <c r="A119"/>
  <c r="A899"/>
  <c r="A903"/>
  <c r="A907"/>
  <c r="A911"/>
  <c r="A1127"/>
  <c r="A1131"/>
  <c r="A443"/>
  <c r="A447"/>
  <c r="A451"/>
  <c r="A455"/>
  <c r="A459"/>
  <c r="A463"/>
  <c r="A467"/>
  <c r="A471"/>
  <c r="A1540"/>
  <c r="A1544"/>
  <c r="A1548"/>
  <c r="A1554"/>
  <c r="A1558"/>
  <c r="A1562"/>
  <c r="A1566"/>
  <c r="A2186"/>
  <c r="A2190"/>
  <c r="A2194"/>
  <c r="A2198"/>
  <c r="A2201"/>
  <c r="A2205"/>
  <c r="A2209"/>
  <c r="A2213"/>
  <c r="A2217"/>
  <c r="A2221"/>
  <c r="A2225"/>
  <c r="A2229"/>
  <c r="A2233"/>
  <c r="A2236"/>
  <c r="A2240"/>
  <c r="A2244"/>
  <c r="A2248"/>
  <c r="A2255"/>
  <c r="A2258"/>
  <c r="A2262"/>
  <c r="A3744"/>
  <c r="A3750"/>
  <c r="A3752"/>
  <c r="A3756"/>
  <c r="A3764"/>
  <c r="A3768"/>
  <c r="A3772"/>
  <c r="A3776"/>
  <c r="A3780"/>
  <c r="A3784"/>
  <c r="A3385"/>
  <c r="A3237"/>
  <c r="A3241"/>
  <c r="A3245"/>
  <c r="A38"/>
  <c r="A127"/>
  <c r="A131"/>
  <c r="A135"/>
  <c r="A914"/>
  <c r="A918"/>
  <c r="A922"/>
  <c r="A926"/>
  <c r="A1134"/>
  <c r="A1138"/>
  <c r="A473"/>
  <c r="A477"/>
  <c r="A481"/>
  <c r="A485"/>
  <c r="A489"/>
  <c r="A493"/>
  <c r="A497"/>
  <c r="A501"/>
  <c r="A505"/>
  <c r="A509"/>
  <c r="A513"/>
  <c r="A517"/>
  <c r="A521"/>
  <c r="A1569"/>
  <c r="A1573"/>
  <c r="A1577"/>
  <c r="A1579"/>
  <c r="A1585"/>
  <c r="A1589"/>
  <c r="A1593"/>
  <c r="A1597"/>
  <c r="A1601"/>
  <c r="A1605"/>
  <c r="A1609"/>
  <c r="A1613"/>
  <c r="A1617"/>
  <c r="A1621"/>
  <c r="A1625"/>
  <c r="A2267"/>
  <c r="A2271"/>
  <c r="A2275"/>
  <c r="A2279"/>
  <c r="A2283"/>
  <c r="A2287"/>
  <c r="A2291"/>
  <c r="A2295"/>
  <c r="A2298"/>
  <c r="A2302"/>
  <c r="A2306"/>
  <c r="A2310"/>
  <c r="A2314"/>
  <c r="A2318"/>
  <c r="A2322"/>
  <c r="A2326"/>
  <c r="A2330"/>
  <c r="A2334"/>
  <c r="A2338"/>
  <c r="A2342"/>
  <c r="A2345"/>
  <c r="A2349"/>
  <c r="A2353"/>
  <c r="A2357"/>
  <c r="A2360"/>
  <c r="A2364"/>
  <c r="A3386"/>
  <c r="A3390"/>
  <c r="A3395"/>
  <c r="A3399"/>
  <c r="A3403"/>
  <c r="A3407"/>
  <c r="A3789"/>
  <c r="A3787"/>
  <c r="A3795"/>
  <c r="A3800"/>
  <c r="A3804"/>
  <c r="A3812"/>
  <c r="A3818"/>
  <c r="A3838"/>
  <c r="A3841"/>
  <c r="A3845"/>
  <c r="A41"/>
  <c r="A143"/>
  <c r="A147"/>
  <c r="A151"/>
  <c r="A930"/>
  <c r="A934"/>
  <c r="A938"/>
  <c r="A942"/>
  <c r="A946"/>
  <c r="A950"/>
  <c r="A954"/>
  <c r="A958"/>
  <c r="A1142"/>
  <c r="A1146"/>
  <c r="A523"/>
  <c r="A527"/>
  <c r="A531"/>
  <c r="A535"/>
  <c r="A539"/>
  <c r="A543"/>
  <c r="A547"/>
  <c r="A551"/>
  <c r="A555"/>
  <c r="A559"/>
  <c r="A563"/>
  <c r="A567"/>
  <c r="A571"/>
  <c r="A1627"/>
  <c r="A1631"/>
  <c r="A1635"/>
  <c r="A1639"/>
  <c r="A1643"/>
  <c r="A3415"/>
  <c r="A3433"/>
  <c r="A2368"/>
  <c r="A2372"/>
  <c r="A2376"/>
  <c r="A2380"/>
  <c r="A2384"/>
  <c r="A2388"/>
  <c r="A2392"/>
  <c r="A2397"/>
  <c r="A2405"/>
  <c r="A2408"/>
  <c r="A2412"/>
  <c r="A2416"/>
  <c r="A2420"/>
  <c r="A2424"/>
  <c r="A2881"/>
  <c r="A2886"/>
  <c r="A2890"/>
  <c r="A3411"/>
  <c r="A3416"/>
  <c r="A3421"/>
  <c r="A3425"/>
  <c r="A3429"/>
  <c r="A3434"/>
  <c r="A3439"/>
  <c r="A3443"/>
  <c r="A3449"/>
  <c r="A3453"/>
  <c r="A3457"/>
  <c r="A3853"/>
  <c r="A3858"/>
  <c r="A3860"/>
  <c r="A3868"/>
  <c r="A3872"/>
  <c r="A3876"/>
  <c r="A3880"/>
  <c r="A3884"/>
  <c r="A3888"/>
  <c r="A3892"/>
  <c r="A3896"/>
  <c r="A3900"/>
  <c r="A3904"/>
  <c r="A3016"/>
  <c r="A46"/>
  <c r="A174"/>
  <c r="A178"/>
  <c r="A182"/>
  <c r="A982"/>
  <c r="A986"/>
  <c r="A1176"/>
  <c r="A625"/>
  <c r="A629"/>
  <c r="A633"/>
  <c r="A637"/>
  <c r="A641"/>
  <c r="A645"/>
  <c r="A649"/>
  <c r="A653"/>
  <c r="A657"/>
  <c r="A661"/>
  <c r="A665"/>
  <c r="A1673"/>
  <c r="A1677"/>
  <c r="A1681"/>
  <c r="A1685"/>
  <c r="A1689"/>
  <c r="A2517"/>
  <c r="A2522"/>
  <c r="A2528"/>
  <c r="A2532"/>
  <c r="A2536"/>
  <c r="A2540"/>
  <c r="A2544"/>
  <c r="A2548"/>
  <c r="A2552"/>
  <c r="A2558"/>
  <c r="A2562"/>
  <c r="A2566"/>
  <c r="A2570"/>
  <c r="A2574"/>
  <c r="A2578"/>
  <c r="A2584"/>
  <c r="A2590"/>
  <c r="A2594"/>
  <c r="A2598"/>
  <c r="A3960"/>
  <c r="A3963"/>
  <c r="A3967"/>
  <c r="A3972"/>
  <c r="A3978"/>
  <c r="A3983"/>
  <c r="A3987"/>
  <c r="A3991"/>
  <c r="A3995"/>
  <c r="A3999"/>
  <c r="A4003"/>
  <c r="A4007"/>
  <c r="A3036"/>
  <c r="A3040"/>
  <c r="A3044"/>
  <c r="A3048"/>
  <c r="A3051"/>
  <c r="A2941"/>
  <c r="A3463"/>
  <c r="A3468"/>
  <c r="A3472"/>
  <c r="A2869"/>
  <c r="A188"/>
  <c r="A192"/>
  <c r="A196"/>
  <c r="A200"/>
  <c r="A992"/>
  <c r="A996"/>
  <c r="A1000"/>
  <c r="A1004"/>
  <c r="A1008"/>
  <c r="A1196"/>
  <c r="A673"/>
  <c r="A679"/>
  <c r="A685"/>
  <c r="A689"/>
  <c r="A693"/>
  <c r="A697"/>
  <c r="A701"/>
  <c r="A705"/>
  <c r="A709"/>
  <c r="A713"/>
  <c r="A717"/>
  <c r="A721"/>
  <c r="A725"/>
  <c r="A729"/>
  <c r="A1692"/>
  <c r="A1698"/>
  <c r="A1702"/>
  <c r="A1706"/>
  <c r="A1710"/>
  <c r="A1714"/>
  <c r="A1718"/>
  <c r="A1724"/>
  <c r="A1734"/>
  <c r="A3475"/>
  <c r="A2625"/>
  <c r="A2644"/>
  <c r="A2653"/>
  <c r="A2670"/>
  <c r="A3476"/>
  <c r="A3480"/>
  <c r="A3484"/>
  <c r="A3488"/>
  <c r="A3492"/>
  <c r="A3496"/>
  <c r="A4012"/>
  <c r="A4016"/>
  <c r="A4022"/>
  <c r="A4027"/>
  <c r="A4031"/>
  <c r="A4034"/>
  <c r="A4038"/>
  <c r="A4043"/>
  <c r="A62"/>
  <c r="A66"/>
  <c r="A70"/>
  <c r="A867"/>
  <c r="A871"/>
  <c r="A875"/>
  <c r="A1023"/>
  <c r="A1115"/>
  <c r="A253"/>
  <c r="A275"/>
  <c r="A289"/>
  <c r="A299"/>
  <c r="A360"/>
  <c r="A364"/>
  <c r="A374"/>
  <c r="A1459"/>
  <c r="A1463"/>
  <c r="A1467"/>
  <c r="A1471"/>
  <c r="A1475"/>
  <c r="A1479"/>
  <c r="A1483"/>
  <c r="A1970"/>
  <c r="A1974"/>
  <c r="A1977"/>
  <c r="A1981"/>
  <c r="A1985"/>
  <c r="A1988"/>
  <c r="A1992"/>
  <c r="A1996"/>
  <c r="A2000"/>
  <c r="A2004"/>
  <c r="A2008"/>
  <c r="A2012"/>
  <c r="A2016"/>
  <c r="A2020"/>
  <c r="A2024"/>
  <c r="A2028"/>
  <c r="A3592"/>
  <c r="A3596"/>
  <c r="A3602"/>
  <c r="A3606"/>
  <c r="A3610"/>
  <c r="A3614"/>
  <c r="A3618"/>
  <c r="A3622"/>
  <c r="A3292"/>
  <c r="A3296"/>
  <c r="A3300"/>
  <c r="A3304"/>
  <c r="A3308"/>
  <c r="A3215"/>
  <c r="A3219"/>
  <c r="A76"/>
  <c r="A734"/>
  <c r="A738"/>
  <c r="A1175"/>
  <c r="A1197"/>
  <c r="A1192"/>
  <c r="A1188"/>
  <c r="A1185"/>
  <c r="A1201"/>
  <c r="A1199"/>
  <c r="A1191"/>
  <c r="A1186"/>
  <c r="A765"/>
  <c r="A2678"/>
  <c r="A2507"/>
  <c r="A2428"/>
  <c r="A2396"/>
  <c r="A4049"/>
  <c r="A4040"/>
  <c r="A1747"/>
  <c r="A1754"/>
  <c r="A2700"/>
  <c r="A1018"/>
  <c r="A13"/>
  <c r="A17"/>
  <c r="A21"/>
  <c r="A25"/>
  <c r="A29"/>
  <c r="A80"/>
  <c r="A84"/>
  <c r="A88"/>
  <c r="A881"/>
  <c r="A388"/>
  <c r="A1485"/>
  <c r="A1489"/>
  <c r="A1493"/>
  <c r="A2031"/>
  <c r="A3341"/>
  <c r="A2035"/>
  <c r="A2039"/>
  <c r="A2043"/>
  <c r="A2047"/>
  <c r="A2051"/>
  <c r="A2055"/>
  <c r="A2059"/>
  <c r="A2062"/>
  <c r="A2066"/>
  <c r="A2070"/>
  <c r="A2074"/>
  <c r="A2078"/>
  <c r="A2082"/>
  <c r="A2086"/>
  <c r="A2090"/>
  <c r="A2094"/>
  <c r="A2098"/>
  <c r="A2102"/>
  <c r="A2106"/>
  <c r="A2110"/>
  <c r="A2114"/>
  <c r="A2118"/>
  <c r="A3343"/>
  <c r="A3312"/>
  <c r="A3318"/>
  <c r="A3321"/>
  <c r="A3325"/>
  <c r="A3329"/>
  <c r="A3334"/>
  <c r="A3337"/>
  <c r="A3221"/>
  <c r="A3225"/>
  <c r="A3673"/>
  <c r="A3628"/>
  <c r="A3632"/>
  <c r="A3636"/>
  <c r="A3640"/>
  <c r="A3645"/>
  <c r="A3649"/>
  <c r="A3653"/>
  <c r="A3657"/>
  <c r="A3663"/>
  <c r="A3667"/>
  <c r="A3671"/>
  <c r="A3676"/>
  <c r="A3680"/>
  <c r="A3684"/>
  <c r="A3688"/>
  <c r="A3692"/>
  <c r="A3696"/>
  <c r="A3700"/>
  <c r="A3704"/>
  <c r="A31"/>
  <c r="A94"/>
  <c r="A98"/>
  <c r="A102"/>
  <c r="A883"/>
  <c r="A887"/>
  <c r="A891"/>
  <c r="A895"/>
  <c r="A1121"/>
  <c r="A404"/>
  <c r="A408"/>
  <c r="A412"/>
  <c r="A416"/>
  <c r="A420"/>
  <c r="A424"/>
  <c r="A428"/>
  <c r="A432"/>
  <c r="A436"/>
  <c r="A440"/>
  <c r="A1498"/>
  <c r="A1502"/>
  <c r="A1506"/>
  <c r="A1510"/>
  <c r="A1514"/>
  <c r="A1518"/>
  <c r="A1522"/>
  <c r="A1526"/>
  <c r="A1530"/>
  <c r="A1534"/>
  <c r="A3347"/>
  <c r="A2125"/>
  <c r="A2129"/>
  <c r="A2133"/>
  <c r="A2137"/>
  <c r="A2145"/>
  <c r="A2149"/>
  <c r="A2153"/>
  <c r="A2156"/>
  <c r="A2160"/>
  <c r="A2164"/>
  <c r="A2168"/>
  <c r="A2172"/>
  <c r="A2179"/>
  <c r="A3706"/>
  <c r="A3711"/>
  <c r="A3716"/>
  <c r="A3720"/>
  <c r="A3724"/>
  <c r="A3728"/>
  <c r="A3731"/>
  <c r="A3735"/>
  <c r="A3739"/>
  <c r="A3349"/>
  <c r="A3353"/>
  <c r="A3357"/>
  <c r="A3361"/>
  <c r="A3365"/>
  <c r="A3369"/>
  <c r="A3373"/>
  <c r="A3377"/>
  <c r="A3382"/>
  <c r="A2875"/>
  <c r="A3229"/>
  <c r="A108"/>
  <c r="A112"/>
  <c r="A116"/>
  <c r="A120"/>
  <c r="A900"/>
  <c r="A904"/>
  <c r="A908"/>
  <c r="A912"/>
  <c r="A1128"/>
  <c r="A1132"/>
  <c r="A444"/>
  <c r="A448"/>
  <c r="A452"/>
  <c r="A456"/>
  <c r="A460"/>
  <c r="A464"/>
  <c r="A468"/>
  <c r="A1537"/>
  <c r="A1541"/>
  <c r="A1545"/>
  <c r="A1549"/>
  <c r="A1555"/>
  <c r="A1559"/>
  <c r="A1563"/>
  <c r="A1551"/>
  <c r="A2183"/>
  <c r="A2187"/>
  <c r="A2191"/>
  <c r="A2195"/>
  <c r="A2199"/>
  <c r="A2202"/>
  <c r="A2206"/>
  <c r="A2210"/>
  <c r="A2214"/>
  <c r="A2218"/>
  <c r="A2222"/>
  <c r="A2226"/>
  <c r="A2230"/>
  <c r="A2234"/>
  <c r="A2237"/>
  <c r="A2241"/>
  <c r="A2245"/>
  <c r="A2249"/>
  <c r="A2252"/>
  <c r="A2256"/>
  <c r="A2259"/>
  <c r="A2263"/>
  <c r="A3749"/>
  <c r="A3760"/>
  <c r="A3746"/>
  <c r="A3230"/>
  <c r="A3753"/>
  <c r="A3762"/>
  <c r="A3765"/>
  <c r="A3769"/>
  <c r="A3773"/>
  <c r="A3777"/>
  <c r="A3781"/>
  <c r="A3785"/>
  <c r="A3234"/>
  <c r="A3238"/>
  <c r="A3242"/>
  <c r="A2879"/>
  <c r="A124"/>
  <c r="A128"/>
  <c r="A132"/>
  <c r="A136"/>
  <c r="A915"/>
  <c r="A919"/>
  <c r="A923"/>
  <c r="A927"/>
  <c r="A1135"/>
  <c r="A1139"/>
  <c r="A474"/>
  <c r="A478"/>
  <c r="A482"/>
  <c r="A486"/>
  <c r="A490"/>
  <c r="A494"/>
  <c r="A498"/>
  <c r="A502"/>
  <c r="A506"/>
  <c r="A510"/>
  <c r="A514"/>
  <c r="A518"/>
  <c r="A522"/>
  <c r="A1570"/>
  <c r="A1574"/>
  <c r="A1578"/>
  <c r="A1580"/>
  <c r="A1586"/>
  <c r="A1590"/>
  <c r="A1594"/>
  <c r="A1598"/>
  <c r="A1602"/>
  <c r="A1606"/>
  <c r="A1610"/>
  <c r="A1614"/>
  <c r="A1618"/>
  <c r="A1622"/>
  <c r="A3392"/>
  <c r="A2268"/>
  <c r="A2272"/>
  <c r="A2276"/>
  <c r="A2280"/>
  <c r="A2284"/>
  <c r="A2288"/>
  <c r="A2292"/>
  <c r="A2296"/>
  <c r="A2299"/>
  <c r="A2303"/>
  <c r="A2307"/>
  <c r="A2311"/>
  <c r="A2315"/>
  <c r="A2319"/>
  <c r="A2323"/>
  <c r="A2327"/>
  <c r="A2331"/>
  <c r="A2335"/>
  <c r="A2339"/>
  <c r="A2346"/>
  <c r="A2350"/>
  <c r="A2354"/>
  <c r="A2358"/>
  <c r="A2361"/>
  <c r="A2365"/>
  <c r="A3387"/>
  <c r="A3391"/>
  <c r="A3396"/>
  <c r="A3400"/>
  <c r="A3404"/>
  <c r="A3408"/>
  <c r="A3846"/>
  <c r="A3791"/>
  <c r="A3796"/>
  <c r="A3801"/>
  <c r="A3808"/>
  <c r="A3815"/>
  <c r="A3835"/>
  <c r="A3839"/>
  <c r="A3842"/>
  <c r="A3848"/>
  <c r="A140"/>
  <c r="A144"/>
  <c r="A148"/>
  <c r="A152"/>
  <c r="A931"/>
  <c r="A935"/>
  <c r="A939"/>
  <c r="A943"/>
  <c r="A947"/>
  <c r="A951"/>
  <c r="A955"/>
  <c r="A959"/>
  <c r="A1143"/>
  <c r="A1147"/>
  <c r="A524"/>
  <c r="A528"/>
  <c r="A532"/>
  <c r="A536"/>
  <c r="A540"/>
  <c r="A544"/>
  <c r="A548"/>
  <c r="A552"/>
  <c r="A556"/>
  <c r="A560"/>
  <c r="A564"/>
  <c r="A568"/>
  <c r="A572"/>
  <c r="A1628"/>
  <c r="A1632"/>
  <c r="A1636"/>
  <c r="A1640"/>
  <c r="A1644"/>
  <c r="A3437"/>
  <c r="A2369"/>
  <c r="A2373"/>
  <c r="A2377"/>
  <c r="A2381"/>
  <c r="A2385"/>
  <c r="A2389"/>
  <c r="A2393"/>
  <c r="A2400"/>
  <c r="A3015"/>
  <c r="A2409"/>
  <c r="A2413"/>
  <c r="A2417"/>
  <c r="A2421"/>
  <c r="A2425"/>
  <c r="A2882"/>
  <c r="A2887"/>
  <c r="A2891"/>
  <c r="A3412"/>
  <c r="A3417"/>
  <c r="A3422"/>
  <c r="A3426"/>
  <c r="A3430"/>
  <c r="A3435"/>
  <c r="A3440"/>
  <c r="A3446"/>
  <c r="A3450"/>
  <c r="A3454"/>
  <c r="A3854"/>
  <c r="A3863"/>
  <c r="A3855"/>
  <c r="A3859"/>
  <c r="A3864"/>
  <c r="A3869"/>
  <c r="A3873"/>
  <c r="A3877"/>
  <c r="A3881"/>
  <c r="A3885"/>
  <c r="A3889"/>
  <c r="A3893"/>
  <c r="A3897"/>
  <c r="A3901"/>
  <c r="A3248"/>
  <c r="A3017"/>
  <c r="A47"/>
  <c r="A175"/>
  <c r="A179"/>
  <c r="A183"/>
  <c r="A983"/>
  <c r="A987"/>
  <c r="A1177"/>
  <c r="A626"/>
  <c r="A630"/>
  <c r="A634"/>
  <c r="A638"/>
  <c r="A642"/>
  <c r="A646"/>
  <c r="A650"/>
  <c r="A654"/>
  <c r="A658"/>
  <c r="A662"/>
  <c r="A666"/>
  <c r="A1674"/>
  <c r="A1678"/>
  <c r="A1682"/>
  <c r="A1686"/>
  <c r="A1690"/>
  <c r="A2519"/>
  <c r="A2523"/>
  <c r="A2529"/>
  <c r="A2533"/>
  <c r="A2537"/>
  <c r="A2541"/>
  <c r="A2545"/>
  <c r="A2549"/>
  <c r="A2553"/>
  <c r="A2559"/>
  <c r="A2563"/>
  <c r="A2567"/>
  <c r="A2571"/>
  <c r="A2575"/>
  <c r="A2579"/>
  <c r="A2585"/>
  <c r="A2591"/>
  <c r="A2595"/>
  <c r="A2599"/>
  <c r="A3961"/>
  <c r="A3964"/>
  <c r="A3969"/>
  <c r="A3973"/>
  <c r="A3979"/>
  <c r="A3984"/>
  <c r="A3988"/>
  <c r="A3992"/>
  <c r="A3996"/>
  <c r="A4000"/>
  <c r="A2940"/>
  <c r="A3033"/>
  <c r="A3037"/>
  <c r="A3041"/>
  <c r="A2939"/>
  <c r="A3049"/>
  <c r="A3052"/>
  <c r="A2942"/>
  <c r="A3464"/>
  <c r="A3469"/>
  <c r="A2893"/>
  <c r="A48"/>
  <c r="A189"/>
  <c r="A193"/>
  <c r="A197"/>
  <c r="A201"/>
  <c r="A993"/>
  <c r="A997"/>
  <c r="A1001"/>
  <c r="A1005"/>
  <c r="A1012"/>
  <c r="A670"/>
  <c r="A674"/>
  <c r="A680"/>
  <c r="A686"/>
  <c r="A690"/>
  <c r="A694"/>
  <c r="A698"/>
  <c r="A702"/>
  <c r="A706"/>
  <c r="A710"/>
  <c r="A714"/>
  <c r="A718"/>
  <c r="A722"/>
  <c r="A726"/>
  <c r="A730"/>
  <c r="A1693"/>
  <c r="A1699"/>
  <c r="A1703"/>
  <c r="A1707"/>
  <c r="A1711"/>
  <c r="A1715"/>
  <c r="A1719"/>
  <c r="A1729"/>
  <c r="A1737"/>
  <c r="A2606"/>
  <c r="A2645"/>
  <c r="A2650"/>
  <c r="A2655"/>
  <c r="A4008"/>
  <c r="A4020"/>
  <c r="A3477"/>
  <c r="A3481"/>
  <c r="A3485"/>
  <c r="A3489"/>
  <c r="A3493"/>
  <c r="A4009"/>
  <c r="A4013"/>
  <c r="A4017"/>
  <c r="A4023"/>
  <c r="A4028"/>
  <c r="A4035"/>
  <c r="A4039"/>
  <c r="A4044"/>
  <c r="A63"/>
  <c r="A67"/>
  <c r="A71"/>
  <c r="A868"/>
  <c r="A872"/>
  <c r="A876"/>
  <c r="A1024"/>
  <c r="A1116"/>
  <c r="A254"/>
  <c r="A286"/>
  <c r="A290"/>
  <c r="A300"/>
  <c r="A304"/>
  <c r="A361"/>
  <c r="A369"/>
  <c r="A375"/>
  <c r="A1460"/>
  <c r="A1464"/>
  <c r="A1468"/>
  <c r="A1472"/>
  <c r="A1476"/>
  <c r="A1480"/>
  <c r="A1971"/>
  <c r="A1978"/>
  <c r="A1982"/>
  <c r="A3289"/>
  <c r="A1989"/>
  <c r="A1993"/>
  <c r="A1997"/>
  <c r="A2001"/>
  <c r="A2005"/>
  <c r="A2009"/>
  <c r="A2013"/>
  <c r="A2017"/>
  <c r="A2021"/>
  <c r="A2025"/>
  <c r="A2029"/>
  <c r="A3588"/>
  <c r="A3593"/>
  <c r="A3598"/>
  <c r="A3603"/>
  <c r="A3607"/>
  <c r="A3611"/>
  <c r="A3615"/>
  <c r="A3619"/>
  <c r="A3623"/>
  <c r="A3293"/>
  <c r="A3297"/>
  <c r="A3301"/>
  <c r="A3305"/>
  <c r="A3309"/>
  <c r="A3217"/>
  <c r="A3220"/>
  <c r="A681"/>
  <c r="A743"/>
  <c r="A735"/>
  <c r="A1179"/>
  <c r="A1181"/>
  <c r="A1183"/>
  <c r="A677"/>
  <c r="A748"/>
  <c r="A750"/>
  <c r="A766"/>
  <c r="A2526"/>
  <c r="A2511"/>
  <c r="A2509"/>
  <c r="A2492"/>
  <c r="A2398"/>
  <c r="A2402"/>
  <c r="A4047"/>
  <c r="A4051"/>
  <c r="A4053"/>
  <c r="A4055"/>
  <c r="A4057"/>
  <c r="A4059"/>
  <c r="A4061"/>
  <c r="A4063"/>
  <c r="A4065"/>
  <c r="A2961"/>
  <c r="A4073"/>
  <c r="A4075"/>
  <c r="A1753"/>
  <c r="A14"/>
  <c r="A18"/>
  <c r="A22"/>
  <c r="A26"/>
  <c r="A77"/>
  <c r="A81"/>
  <c r="A85"/>
  <c r="A89"/>
  <c r="A882"/>
  <c r="A389"/>
  <c r="A1486"/>
  <c r="A1490"/>
  <c r="A1494"/>
  <c r="A3330"/>
  <c r="A2032"/>
  <c r="A2036"/>
  <c r="A2040"/>
  <c r="A2044"/>
  <c r="A2048"/>
  <c r="A2052"/>
  <c r="A2056"/>
  <c r="A2060"/>
  <c r="A2063"/>
  <c r="A2067"/>
  <c r="A2071"/>
  <c r="A2075"/>
  <c r="A2079"/>
  <c r="A2083"/>
  <c r="A2087"/>
  <c r="A2091"/>
  <c r="A2095"/>
  <c r="A2099"/>
  <c r="A2103"/>
  <c r="A2107"/>
  <c r="A2111"/>
  <c r="A2115"/>
  <c r="A2119"/>
  <c r="A2121"/>
  <c r="A3314"/>
  <c r="A2872"/>
  <c r="A3322"/>
  <c r="A3326"/>
  <c r="A3331"/>
  <c r="A3227"/>
  <c r="A3338"/>
  <c r="A3223"/>
  <c r="A3226"/>
  <c r="A3625"/>
  <c r="A3629"/>
  <c r="A3633"/>
  <c r="A3637"/>
  <c r="A3641"/>
  <c r="A3646"/>
  <c r="A3650"/>
  <c r="A3654"/>
  <c r="A3658"/>
  <c r="A3664"/>
  <c r="A3668"/>
  <c r="A3672"/>
  <c r="A3677"/>
  <c r="A3681"/>
  <c r="A3685"/>
  <c r="A3689"/>
  <c r="A3693"/>
  <c r="A3697"/>
  <c r="A3701"/>
  <c r="A3705"/>
  <c r="A32"/>
  <c r="A95"/>
  <c r="A99"/>
  <c r="A103"/>
  <c r="A884"/>
  <c r="A888"/>
  <c r="A892"/>
  <c r="A896"/>
  <c r="A1122"/>
  <c r="A405"/>
  <c r="A409"/>
  <c r="A413"/>
  <c r="A417"/>
  <c r="A421"/>
  <c r="A425"/>
  <c r="A429"/>
  <c r="A433"/>
  <c r="A437"/>
  <c r="A1495"/>
  <c r="A1499"/>
  <c r="A1503"/>
  <c r="A1507"/>
  <c r="A1511"/>
  <c r="A1515"/>
  <c r="A1519"/>
  <c r="A1523"/>
  <c r="A1527"/>
  <c r="A1531"/>
  <c r="A1535"/>
  <c r="A2126"/>
  <c r="A2130"/>
  <c r="A2134"/>
  <c r="A2138"/>
  <c r="A2146"/>
  <c r="A2150"/>
  <c r="A2154"/>
  <c r="A2157"/>
  <c r="A2161"/>
  <c r="A2165"/>
  <c r="A2169"/>
  <c r="A2173"/>
  <c r="A2176"/>
  <c r="A2180"/>
  <c r="A3707"/>
  <c r="A3712"/>
  <c r="A3717"/>
  <c r="A3721"/>
  <c r="A3725"/>
  <c r="A3741"/>
  <c r="A3732"/>
  <c r="A3736"/>
  <c r="A3740"/>
  <c r="A3350"/>
  <c r="A3354"/>
  <c r="A3358"/>
  <c r="A3362"/>
  <c r="A3366"/>
  <c r="A3370"/>
  <c r="A3374"/>
  <c r="A3378"/>
  <c r="A3383"/>
  <c r="A2876"/>
  <c r="A33"/>
  <c r="A109"/>
  <c r="A113"/>
  <c r="A117"/>
  <c r="A121"/>
  <c r="A901"/>
  <c r="A905"/>
  <c r="A909"/>
  <c r="A1125"/>
  <c r="A1129"/>
  <c r="A441"/>
  <c r="A445"/>
  <c r="A449"/>
  <c r="A453"/>
  <c r="A457"/>
  <c r="A461"/>
  <c r="A465"/>
  <c r="A469"/>
  <c r="A1538"/>
  <c r="A1542"/>
  <c r="A1546"/>
  <c r="A1550"/>
  <c r="A1556"/>
  <c r="A1560"/>
  <c r="A1564"/>
  <c r="A1552"/>
  <c r="A2184"/>
  <c r="A2188"/>
  <c r="A2192"/>
  <c r="A2196"/>
  <c r="A2200"/>
  <c r="A2203"/>
  <c r="A2207"/>
  <c r="A2211"/>
  <c r="A2215"/>
  <c r="A2219"/>
  <c r="A2223"/>
  <c r="A2227"/>
  <c r="A2231"/>
  <c r="A2238"/>
  <c r="A2242"/>
  <c r="A2246"/>
  <c r="A2250"/>
  <c r="A2253"/>
  <c r="A2260"/>
  <c r="A3761"/>
  <c r="A3747"/>
  <c r="A3231"/>
  <c r="A3754"/>
  <c r="A3232"/>
  <c r="A3766"/>
  <c r="A3770"/>
  <c r="A3774"/>
  <c r="A3778"/>
  <c r="A3782"/>
  <c r="A3786"/>
  <c r="A3235"/>
  <c r="A3239"/>
  <c r="A3243"/>
  <c r="A36"/>
  <c r="A125"/>
  <c r="A129"/>
  <c r="A133"/>
  <c r="A137"/>
  <c r="A916"/>
  <c r="A920"/>
  <c r="A924"/>
  <c r="A928"/>
  <c r="A1136"/>
  <c r="A1141"/>
  <c r="A475"/>
  <c r="A479"/>
  <c r="A483"/>
  <c r="A487"/>
  <c r="A491"/>
  <c r="A495"/>
  <c r="A499"/>
  <c r="A503"/>
  <c r="A507"/>
  <c r="A511"/>
  <c r="A515"/>
  <c r="A519"/>
  <c r="A1567"/>
  <c r="A1571"/>
  <c r="A1575"/>
  <c r="A1581"/>
  <c r="A1583"/>
  <c r="A1587"/>
  <c r="A1591"/>
  <c r="A1595"/>
  <c r="A1599"/>
  <c r="A1603"/>
  <c r="A1607"/>
  <c r="A1611"/>
  <c r="A1615"/>
  <c r="A1619"/>
  <c r="A1623"/>
  <c r="A2265"/>
  <c r="A2269"/>
  <c r="A2273"/>
  <c r="A2277"/>
  <c r="A2281"/>
  <c r="A2285"/>
  <c r="A2289"/>
  <c r="A2293"/>
  <c r="A2297"/>
  <c r="A2300"/>
  <c r="A2304"/>
  <c r="A2308"/>
  <c r="A2312"/>
  <c r="A2316"/>
  <c r="A2320"/>
  <c r="A2324"/>
  <c r="A2328"/>
  <c r="A2332"/>
  <c r="A2336"/>
  <c r="A2340"/>
  <c r="A2343"/>
  <c r="A2347"/>
  <c r="A2351"/>
  <c r="A2355"/>
  <c r="A3409"/>
  <c r="A2362"/>
  <c r="A2880"/>
  <c r="A3388"/>
  <c r="A3247"/>
  <c r="A3397"/>
  <c r="A3401"/>
  <c r="A3405"/>
  <c r="A3246"/>
  <c r="A3790"/>
  <c r="A3792"/>
  <c r="A3797"/>
  <c r="A3802"/>
  <c r="A3809"/>
  <c r="A3816"/>
  <c r="A3836"/>
  <c r="A3843"/>
  <c r="A39"/>
  <c r="A141"/>
  <c r="A145"/>
  <c r="A149"/>
  <c r="A153"/>
  <c r="A932"/>
  <c r="A936"/>
  <c r="A940"/>
  <c r="A944"/>
  <c r="A948"/>
  <c r="A952"/>
  <c r="A956"/>
  <c r="A960"/>
  <c r="A1144"/>
  <c r="A525"/>
  <c r="A529"/>
  <c r="A533"/>
  <c r="A537"/>
  <c r="A541"/>
  <c r="A545"/>
  <c r="A549"/>
  <c r="A553"/>
  <c r="A557"/>
  <c r="A561"/>
  <c r="A565"/>
  <c r="A569"/>
  <c r="A573"/>
  <c r="A1629"/>
  <c r="A1633"/>
  <c r="A1637"/>
  <c r="A1641"/>
  <c r="A1645"/>
  <c r="A3018"/>
  <c r="A2366"/>
  <c r="A2370"/>
  <c r="A2374"/>
  <c r="A2378"/>
  <c r="A2382"/>
  <c r="A2386"/>
  <c r="A2390"/>
  <c r="A2394"/>
  <c r="A2401"/>
  <c r="A2406"/>
  <c r="A2410"/>
  <c r="A2414"/>
  <c r="A2418"/>
  <c r="A2422"/>
  <c r="A2426"/>
  <c r="A2884"/>
  <c r="A2888"/>
  <c r="A2868"/>
  <c r="A3413"/>
  <c r="A3418"/>
  <c r="A3423"/>
  <c r="A3427"/>
  <c r="A3431"/>
  <c r="A3436"/>
  <c r="A3441"/>
  <c r="A3447"/>
  <c r="A3451"/>
  <c r="A3455"/>
  <c r="A3902"/>
  <c r="A3850"/>
  <c r="A3856"/>
  <c r="A3861"/>
  <c r="A3865"/>
  <c r="A3870"/>
  <c r="A3874"/>
  <c r="A3878"/>
  <c r="A3882"/>
  <c r="A3886"/>
  <c r="A3890"/>
  <c r="A3894"/>
  <c r="A3898"/>
  <c r="A2927"/>
  <c r="A3906"/>
  <c r="A3019"/>
  <c r="A172"/>
  <c r="A176"/>
  <c r="A180"/>
  <c r="A184"/>
  <c r="A984"/>
  <c r="A988"/>
  <c r="A1178"/>
  <c r="A627"/>
  <c r="A631"/>
  <c r="A635"/>
  <c r="A639"/>
  <c r="A643"/>
  <c r="A647"/>
  <c r="A651"/>
  <c r="A655"/>
  <c r="A659"/>
  <c r="A663"/>
  <c r="A667"/>
  <c r="A1675"/>
  <c r="A1679"/>
  <c r="A1683"/>
  <c r="A1687"/>
  <c r="A1691"/>
  <c r="A3465"/>
  <c r="A2896"/>
  <c r="A2520"/>
  <c r="A2524"/>
  <c r="A2530"/>
  <c r="A2534"/>
  <c r="A2538"/>
  <c r="A2542"/>
  <c r="A2546"/>
  <c r="A2550"/>
  <c r="A2554"/>
  <c r="A2560"/>
  <c r="A2564"/>
  <c r="A2568"/>
  <c r="A2572"/>
  <c r="A2576"/>
  <c r="A2582"/>
  <c r="A2588"/>
  <c r="A2592"/>
  <c r="A2596"/>
  <c r="A4006"/>
  <c r="A3965"/>
  <c r="A3970"/>
  <c r="A3974"/>
  <c r="A3980"/>
  <c r="A3985"/>
  <c r="A3989"/>
  <c r="A3993"/>
  <c r="A3997"/>
  <c r="A4001"/>
  <c r="A4004"/>
  <c r="A3034"/>
  <c r="A3038"/>
  <c r="A3042"/>
  <c r="A3046"/>
  <c r="A3050"/>
  <c r="A2935"/>
  <c r="A2943"/>
  <c r="A3466"/>
  <c r="A3470"/>
  <c r="A2894"/>
  <c r="A49"/>
  <c r="A190"/>
  <c r="A194"/>
  <c r="A198"/>
  <c r="A990"/>
  <c r="A994"/>
  <c r="A998"/>
  <c r="A1002"/>
  <c r="A1006"/>
  <c r="A1013"/>
  <c r="A671"/>
  <c r="A675"/>
  <c r="A683"/>
  <c r="A687"/>
  <c r="A691"/>
  <c r="A695"/>
  <c r="A699"/>
  <c r="A703"/>
  <c r="A707"/>
  <c r="A711"/>
  <c r="A715"/>
  <c r="A719"/>
  <c r="A723"/>
  <c r="A727"/>
  <c r="A731"/>
  <c r="A1696"/>
  <c r="A1700"/>
  <c r="A1704"/>
  <c r="A1708"/>
  <c r="A1712"/>
  <c r="A1716"/>
  <c r="A1720"/>
  <c r="A1730"/>
  <c r="A1738"/>
  <c r="A2619"/>
  <c r="A2630"/>
  <c r="A2652"/>
  <c r="A2660"/>
  <c r="A3473"/>
  <c r="A3478"/>
  <c r="A3482"/>
  <c r="A3486"/>
  <c r="A3490"/>
  <c r="A3494"/>
  <c r="A4010"/>
  <c r="A4014"/>
  <c r="A4019"/>
  <c r="A4024"/>
  <c r="A4029"/>
  <c r="A4032"/>
  <c r="A4036"/>
  <c r="A2951"/>
  <c r="A60"/>
  <c r="A64"/>
  <c r="A68"/>
  <c r="A72"/>
  <c r="A869"/>
  <c r="A873"/>
  <c r="A877"/>
  <c r="A1025"/>
  <c r="A1117"/>
  <c r="A274"/>
  <c r="A287"/>
  <c r="A305"/>
  <c r="A362"/>
  <c r="A372"/>
  <c r="A377"/>
  <c r="A1461"/>
  <c r="A1465"/>
  <c r="A1469"/>
  <c r="A1473"/>
  <c r="A1477"/>
  <c r="A1481"/>
  <c r="A3291"/>
  <c r="A1972"/>
  <c r="A1975"/>
  <c r="A1979"/>
  <c r="A1983"/>
  <c r="A1986"/>
  <c r="A1990"/>
  <c r="A1994"/>
  <c r="A1998"/>
  <c r="A2002"/>
  <c r="A2006"/>
  <c r="A2010"/>
  <c r="A2014"/>
  <c r="A2018"/>
  <c r="A2022"/>
  <c r="A2026"/>
  <c r="A2030"/>
  <c r="A3590"/>
  <c r="A3600"/>
  <c r="A3589"/>
  <c r="A3594"/>
  <c r="A3599"/>
  <c r="A3604"/>
  <c r="A3608"/>
  <c r="A3612"/>
  <c r="A3616"/>
  <c r="A3620"/>
  <c r="A3624"/>
  <c r="A3294"/>
  <c r="A3298"/>
  <c r="A3302"/>
  <c r="A3306"/>
  <c r="A3310"/>
  <c r="A3216"/>
  <c r="A2870"/>
  <c r="A682"/>
  <c r="A744"/>
  <c r="A736"/>
  <c r="A1174"/>
  <c r="A1194"/>
  <c r="A1189"/>
  <c r="A1187"/>
  <c r="A1198"/>
  <c r="A1202"/>
  <c r="A1200"/>
  <c r="A1195"/>
  <c r="A1190"/>
  <c r="A1740"/>
  <c r="A2679"/>
  <c r="A2527"/>
  <c r="A2399"/>
  <c r="A2403"/>
  <c r="A4050"/>
  <c r="A4068"/>
  <c r="A102" i="55"/>
  <c r="K88"/>
  <c r="K87"/>
  <c r="K104"/>
  <c r="K103"/>
  <c r="K100"/>
  <c r="K96"/>
  <c r="K80"/>
  <c r="K78"/>
  <c r="K77"/>
  <c r="K95"/>
  <c r="K71"/>
  <c r="K67"/>
  <c r="AA4801" i="34"/>
  <c r="AA4810"/>
  <c r="AA4822"/>
  <c r="AA4823"/>
  <c r="AA4798"/>
  <c r="A75" i="55" l="1"/>
  <c r="AA2585" i="34"/>
  <c r="AA2567"/>
  <c r="AA2552"/>
  <c r="AA2551"/>
  <c r="AA2546"/>
  <c r="AA2505"/>
  <c r="B2505"/>
  <c r="AA1716"/>
  <c r="AA1715"/>
  <c r="AA1712"/>
  <c r="AA1711"/>
  <c r="AA1710"/>
  <c r="AA1709"/>
  <c r="AA1706"/>
  <c r="AA1705"/>
  <c r="AA1704"/>
  <c r="B1668"/>
  <c r="B1667"/>
  <c r="AA2630"/>
  <c r="AA2650"/>
  <c r="AA2202"/>
  <c r="A8" i="12"/>
  <c r="A6"/>
  <c r="AA1714" i="34"/>
  <c r="AA1713"/>
  <c r="AA1708"/>
  <c r="AA1707"/>
  <c r="B11"/>
  <c r="A40" i="12"/>
  <c r="AA2645" i="34"/>
  <c r="B619"/>
  <c r="B618"/>
  <c r="Q619" l="1"/>
  <c r="S619"/>
  <c r="R619"/>
  <c r="R618"/>
  <c r="Q618"/>
  <c r="S618"/>
  <c r="R11"/>
  <c r="Q11"/>
  <c r="S11"/>
  <c r="Q1667"/>
  <c r="S1667"/>
  <c r="R1667"/>
  <c r="R1668"/>
  <c r="Q1668"/>
  <c r="S1668"/>
  <c r="R2505"/>
  <c r="Q2505"/>
  <c r="S2505"/>
  <c r="A11"/>
  <c r="A1667"/>
  <c r="A2505"/>
  <c r="A619"/>
  <c r="A618"/>
  <c r="A1668"/>
  <c r="AA4044"/>
  <c r="AA4043"/>
  <c r="AA4042"/>
  <c r="AA2951"/>
  <c r="AA4039"/>
  <c r="AA4038"/>
  <c r="AA4037"/>
  <c r="AA4036"/>
  <c r="AA4035"/>
  <c r="AA4034"/>
  <c r="AA4033"/>
  <c r="AA4032"/>
  <c r="AA4796"/>
  <c r="AA4029"/>
  <c r="AA4030"/>
  <c r="AA4031"/>
  <c r="AA4027"/>
  <c r="AA4026"/>
  <c r="AA4023"/>
  <c r="AA4022"/>
  <c r="AA4021"/>
  <c r="AA4015" l="1"/>
  <c r="AA4014"/>
  <c r="AA4013"/>
  <c r="AA4012"/>
  <c r="AA4010"/>
  <c r="AA4011"/>
  <c r="B1671"/>
  <c r="B1670"/>
  <c r="AA4016"/>
  <c r="AA4017"/>
  <c r="AA4019"/>
  <c r="AA4024"/>
  <c r="AA4028"/>
  <c r="AA4009"/>
  <c r="Q1671" l="1"/>
  <c r="S1671"/>
  <c r="R1671"/>
  <c r="R1670"/>
  <c r="Q1670"/>
  <c r="S1670"/>
  <c r="A1671"/>
  <c r="A1670"/>
  <c r="AA2869"/>
  <c r="AA3496"/>
  <c r="AA3495"/>
  <c r="AA3494"/>
  <c r="AA3493"/>
  <c r="AA3489"/>
  <c r="AA3490"/>
  <c r="AA3491"/>
  <c r="AA3492"/>
  <c r="AA3487"/>
  <c r="AA3488"/>
  <c r="AA3486"/>
  <c r="AA3485"/>
  <c r="AA3475"/>
  <c r="A76" i="55" l="1"/>
  <c r="AA3484" i="34"/>
  <c r="AA3483"/>
  <c r="AA3482"/>
  <c r="AA3481"/>
  <c r="AA3480"/>
  <c r="AA3479"/>
  <c r="AA3478" l="1"/>
  <c r="AA3477"/>
  <c r="AA3476"/>
  <c r="AA4797"/>
  <c r="AA4793"/>
  <c r="AA4792"/>
  <c r="AA4795"/>
  <c r="AA4794"/>
  <c r="AA4791"/>
  <c r="AA4020"/>
  <c r="AA4790"/>
  <c r="A77" i="55" l="1"/>
  <c r="AA4789" i="34" l="1"/>
  <c r="AA4788"/>
  <c r="AA4787"/>
  <c r="AA4785"/>
  <c r="AA4786"/>
  <c r="AA4784"/>
  <c r="AA4783"/>
  <c r="AA4008"/>
  <c r="M63"/>
  <c r="A78" i="55" l="1"/>
  <c r="A79" l="1"/>
  <c r="B2892" i="34" l="1"/>
  <c r="AA2892"/>
  <c r="AA2895"/>
  <c r="AA2894"/>
  <c r="A38" i="12"/>
  <c r="AA2893" i="34"/>
  <c r="AA3471"/>
  <c r="AA3472"/>
  <c r="AA3470"/>
  <c r="AA3467"/>
  <c r="AA3468"/>
  <c r="AA3469"/>
  <c r="AA3466"/>
  <c r="AA3464"/>
  <c r="AA3463"/>
  <c r="AA2945"/>
  <c r="AA2943"/>
  <c r="AA2942"/>
  <c r="AA2941"/>
  <c r="U2892" l="1"/>
  <c r="T2892"/>
  <c r="V2892"/>
  <c r="Q2892"/>
  <c r="S2892"/>
  <c r="R2892"/>
  <c r="A2892"/>
  <c r="A80" i="55"/>
  <c r="AA2938" i="34"/>
  <c r="AA2935"/>
  <c r="AA3052"/>
  <c r="AA3051"/>
  <c r="AA2946"/>
  <c r="AA3048"/>
  <c r="AA3049"/>
  <c r="AA3050"/>
  <c r="AA2939"/>
  <c r="AA3044"/>
  <c r="AA3043"/>
  <c r="AA3042"/>
  <c r="AA3041"/>
  <c r="AA3040"/>
  <c r="AA3039"/>
  <c r="AA3038"/>
  <c r="AA3037"/>
  <c r="AA3036"/>
  <c r="AA3035"/>
  <c r="AA3034"/>
  <c r="AA3033"/>
  <c r="AA4007"/>
  <c r="AA4004"/>
  <c r="AA4005"/>
  <c r="AA2940"/>
  <c r="AA4001"/>
  <c r="AA4000"/>
  <c r="AA4003"/>
  <c r="AA4002"/>
  <c r="AA3998"/>
  <c r="AA3999"/>
  <c r="AA3987"/>
  <c r="AA3988"/>
  <c r="AA3989"/>
  <c r="AA3990"/>
  <c r="AA3991"/>
  <c r="AA3992"/>
  <c r="AA3993"/>
  <c r="AA3994"/>
  <c r="AA3995"/>
  <c r="AA3996"/>
  <c r="AA3997"/>
  <c r="AA3986"/>
  <c r="AA3983"/>
  <c r="AA3984"/>
  <c r="AA3985"/>
  <c r="AA3982"/>
  <c r="AA4006"/>
  <c r="AA4782" l="1"/>
  <c r="AA4781"/>
  <c r="AA4780"/>
  <c r="AA4779"/>
  <c r="AA4778"/>
  <c r="AA4777"/>
  <c r="AA4776"/>
  <c r="AA4775"/>
  <c r="AA4774"/>
  <c r="AA4772"/>
  <c r="AA4771"/>
  <c r="AA4770"/>
  <c r="AA4768"/>
  <c r="AA3963"/>
  <c r="AA3964"/>
  <c r="A81" i="55" l="1"/>
  <c r="AA3971" i="34"/>
  <c r="AA3970"/>
  <c r="AA4767"/>
  <c r="AA4766"/>
  <c r="AA4765"/>
  <c r="AA4764"/>
  <c r="AA4763"/>
  <c r="AA4762"/>
  <c r="AA4761"/>
  <c r="AA4760"/>
  <c r="AA4759"/>
  <c r="AA3981"/>
  <c r="AA4758"/>
  <c r="AA4757"/>
  <c r="AA4756"/>
  <c r="A82" i="55" l="1"/>
  <c r="AA4755" i="34" l="1"/>
  <c r="A25" i="12"/>
  <c r="A83" i="55" l="1"/>
  <c r="B3910" i="34"/>
  <c r="AA3910"/>
  <c r="R3910" l="1"/>
  <c r="Q3910"/>
  <c r="S3910"/>
  <c r="A3910"/>
  <c r="A84" i="55"/>
  <c r="J157" i="69"/>
  <c r="A4"/>
  <c r="A86" i="55" l="1"/>
  <c r="AA2195" i="34"/>
  <c r="AA2196"/>
  <c r="AA2197"/>
  <c r="AA2198"/>
  <c r="AA2199"/>
  <c r="AA2200"/>
  <c r="AA4414"/>
  <c r="AA2201"/>
  <c r="AA2203"/>
  <c r="AA2204"/>
  <c r="AA2205"/>
  <c r="AA2206"/>
  <c r="AA2207"/>
  <c r="AA2208"/>
  <c r="AA2209"/>
  <c r="AA2210"/>
  <c r="AA2211"/>
  <c r="AA2212"/>
  <c r="AA2213"/>
  <c r="AA2214"/>
  <c r="AA2215"/>
  <c r="AA2216"/>
  <c r="AA2217"/>
  <c r="AA2218"/>
  <c r="AA2219"/>
  <c r="AA2220"/>
  <c r="AA2221"/>
  <c r="AA2222"/>
  <c r="AA2223"/>
  <c r="AA2224"/>
  <c r="AA2225"/>
  <c r="AA2226"/>
  <c r="AA2227"/>
  <c r="AA2228"/>
  <c r="AA2229"/>
  <c r="AA2230"/>
  <c r="AA2231"/>
  <c r="AA2232"/>
  <c r="AA2233"/>
  <c r="AA2234"/>
  <c r="AA4446"/>
  <c r="AA2235"/>
  <c r="AA2236"/>
  <c r="AA2237"/>
  <c r="AA2238"/>
  <c r="AA2239"/>
  <c r="AA2240"/>
  <c r="AA2241"/>
  <c r="AA2242"/>
  <c r="AA2243"/>
  <c r="AA2244"/>
  <c r="AA2245"/>
  <c r="AA2246"/>
  <c r="AA2247"/>
  <c r="AA2248"/>
  <c r="AA2249"/>
  <c r="AA2250"/>
  <c r="AA2251"/>
  <c r="AA4470"/>
  <c r="AA2252"/>
  <c r="AA2253"/>
  <c r="AA2254"/>
  <c r="AA2255"/>
  <c r="AA2256"/>
  <c r="AA4479"/>
  <c r="AA2257"/>
  <c r="AA2258"/>
  <c r="AA2259"/>
  <c r="AA2260"/>
  <c r="AA2261"/>
  <c r="AA2262"/>
  <c r="AA2263"/>
  <c r="AA2194"/>
  <c r="AA2135"/>
  <c r="AA2134"/>
  <c r="B6939"/>
  <c r="B6940"/>
  <c r="B6941"/>
  <c r="B6942"/>
  <c r="B6943"/>
  <c r="B6944"/>
  <c r="B6945"/>
  <c r="B6946"/>
  <c r="B6947"/>
  <c r="B6948"/>
  <c r="B6949"/>
  <c r="B6950"/>
  <c r="B6951"/>
  <c r="B6952"/>
  <c r="B6953"/>
  <c r="B6954"/>
  <c r="B6955"/>
  <c r="B6956"/>
  <c r="B6957"/>
  <c r="B6958"/>
  <c r="B6959"/>
  <c r="B6960"/>
  <c r="B6961"/>
  <c r="B6962"/>
  <c r="B6963"/>
  <c r="B6964"/>
  <c r="B6965"/>
  <c r="B6966"/>
  <c r="B6967"/>
  <c r="B6968"/>
  <c r="B6969"/>
  <c r="B6970"/>
  <c r="B6971"/>
  <c r="B6972"/>
  <c r="B6973"/>
  <c r="B6974"/>
  <c r="B6975"/>
  <c r="B6976"/>
  <c r="B6977"/>
  <c r="B6978"/>
  <c r="B6979"/>
  <c r="B6980"/>
  <c r="B6981"/>
  <c r="B6982"/>
  <c r="B6983"/>
  <c r="B6984"/>
  <c r="B6985"/>
  <c r="B6986"/>
  <c r="B6987"/>
  <c r="B6988"/>
  <c r="B6989"/>
  <c r="B6990"/>
  <c r="B6991"/>
  <c r="B6992"/>
  <c r="B6993"/>
  <c r="B6994"/>
  <c r="B6995"/>
  <c r="B6996"/>
  <c r="B6997"/>
  <c r="B6998"/>
  <c r="B6999"/>
  <c r="B7000"/>
  <c r="B7001"/>
  <c r="B7002"/>
  <c r="B7003"/>
  <c r="B7004"/>
  <c r="B7005"/>
  <c r="B7006"/>
  <c r="B7007"/>
  <c r="B7008"/>
  <c r="B7009"/>
  <c r="B7010"/>
  <c r="B7011"/>
  <c r="B7012"/>
  <c r="B7013"/>
  <c r="B7014"/>
  <c r="B7015"/>
  <c r="B7016"/>
  <c r="B7017"/>
  <c r="B7018"/>
  <c r="B7019"/>
  <c r="B7020"/>
  <c r="B7021"/>
  <c r="B7022"/>
  <c r="B7023"/>
  <c r="B7024"/>
  <c r="B7025"/>
  <c r="B7026"/>
  <c r="B7027"/>
  <c r="B7028"/>
  <c r="B7029"/>
  <c r="B7030"/>
  <c r="B7031"/>
  <c r="B7032"/>
  <c r="B7033"/>
  <c r="B7034"/>
  <c r="B7035"/>
  <c r="B7036"/>
  <c r="B7037"/>
  <c r="B7038"/>
  <c r="B7039"/>
  <c r="B7040"/>
  <c r="B7041"/>
  <c r="B7042"/>
  <c r="B7043"/>
  <c r="B7044"/>
  <c r="B7045"/>
  <c r="B7046"/>
  <c r="B7047"/>
  <c r="B7048"/>
  <c r="B7049"/>
  <c r="B7050"/>
  <c r="B7051"/>
  <c r="B7052"/>
  <c r="B7053"/>
  <c r="B7054"/>
  <c r="B7055"/>
  <c r="B7056"/>
  <c r="B7057"/>
  <c r="B7058"/>
  <c r="B7059"/>
  <c r="B7060"/>
  <c r="B7061"/>
  <c r="B7062"/>
  <c r="B7063"/>
  <c r="B7064"/>
  <c r="B7065"/>
  <c r="B7066"/>
  <c r="B7067"/>
  <c r="B7068"/>
  <c r="B7069"/>
  <c r="B7070"/>
  <c r="B7071"/>
  <c r="B7072"/>
  <c r="B7073"/>
  <c r="B7074"/>
  <c r="B7075"/>
  <c r="B7076"/>
  <c r="B7077"/>
  <c r="B7078"/>
  <c r="B7079"/>
  <c r="B7080"/>
  <c r="B7081"/>
  <c r="B7082"/>
  <c r="B7083"/>
  <c r="B7084"/>
  <c r="B7085"/>
  <c r="B7086"/>
  <c r="B7087"/>
  <c r="B7088"/>
  <c r="B7089"/>
  <c r="B7090"/>
  <c r="B7091"/>
  <c r="B7092"/>
  <c r="B7093"/>
  <c r="B7094"/>
  <c r="B7095"/>
  <c r="B7096"/>
  <c r="B7097"/>
  <c r="B7098"/>
  <c r="B7099"/>
  <c r="B7100"/>
  <c r="B7101"/>
  <c r="B7102"/>
  <c r="B7103"/>
  <c r="B7104"/>
  <c r="B7105"/>
  <c r="B7106"/>
  <c r="B7107"/>
  <c r="B7108"/>
  <c r="B7109"/>
  <c r="B7110"/>
  <c r="B7111"/>
  <c r="B7112"/>
  <c r="B7113"/>
  <c r="B7114"/>
  <c r="B7115"/>
  <c r="B7116"/>
  <c r="B7117"/>
  <c r="B7118"/>
  <c r="B7119"/>
  <c r="B7120"/>
  <c r="B7121"/>
  <c r="B7122"/>
  <c r="B7123"/>
  <c r="B7124"/>
  <c r="B7125"/>
  <c r="B7126"/>
  <c r="B7127"/>
  <c r="B7128"/>
  <c r="B7129"/>
  <c r="B7130"/>
  <c r="B7131"/>
  <c r="B7132"/>
  <c r="B7133"/>
  <c r="B7134"/>
  <c r="B7135"/>
  <c r="B7136"/>
  <c r="B7137"/>
  <c r="B7138"/>
  <c r="B7139"/>
  <c r="B7140"/>
  <c r="B7141"/>
  <c r="B7142"/>
  <c r="B7143"/>
  <c r="B7144"/>
  <c r="B7145"/>
  <c r="B7146"/>
  <c r="B7147"/>
  <c r="B7148"/>
  <c r="B7149"/>
  <c r="B7150"/>
  <c r="B7151"/>
  <c r="B7152"/>
  <c r="B7153"/>
  <c r="B7154"/>
  <c r="B7155"/>
  <c r="B7156"/>
  <c r="B7157"/>
  <c r="B7158"/>
  <c r="B7159"/>
  <c r="B7160"/>
  <c r="B7161"/>
  <c r="B7162"/>
  <c r="B7163"/>
  <c r="B7164"/>
  <c r="B7165"/>
  <c r="B7166"/>
  <c r="B7167"/>
  <c r="B7168"/>
  <c r="B7169"/>
  <c r="B7170"/>
  <c r="B7171"/>
  <c r="B7172"/>
  <c r="B7173"/>
  <c r="B7174"/>
  <c r="B42"/>
  <c r="B43"/>
  <c r="B44"/>
  <c r="B45"/>
  <c r="B51"/>
  <c r="B52"/>
  <c r="B53"/>
  <c r="B54"/>
  <c r="B55"/>
  <c r="B56"/>
  <c r="B57"/>
  <c r="B58"/>
  <c r="B59"/>
  <c r="B156"/>
  <c r="B157"/>
  <c r="B158"/>
  <c r="B159"/>
  <c r="B160"/>
  <c r="B161"/>
  <c r="B162"/>
  <c r="B163"/>
  <c r="B164"/>
  <c r="B165"/>
  <c r="B166"/>
  <c r="B167"/>
  <c r="B168"/>
  <c r="B169"/>
  <c r="B204"/>
  <c r="B205"/>
  <c r="B206"/>
  <c r="B207"/>
  <c r="B208"/>
  <c r="B209"/>
  <c r="B210"/>
  <c r="B211"/>
  <c r="B212"/>
  <c r="B213"/>
  <c r="B214"/>
  <c r="B215"/>
  <c r="B216"/>
  <c r="B217"/>
  <c r="B220"/>
  <c r="B221"/>
  <c r="B222"/>
  <c r="B223"/>
  <c r="B224"/>
  <c r="B225"/>
  <c r="B226"/>
  <c r="B227"/>
  <c r="B228"/>
  <c r="B229"/>
  <c r="B230"/>
  <c r="B231"/>
  <c r="B232"/>
  <c r="B236"/>
  <c r="B237"/>
  <c r="B238"/>
  <c r="B239"/>
  <c r="B240"/>
  <c r="B241"/>
  <c r="B242"/>
  <c r="B243"/>
  <c r="B244"/>
  <c r="B245"/>
  <c r="B246"/>
  <c r="B247"/>
  <c r="B248"/>
  <c r="B249"/>
  <c r="B962"/>
  <c r="B963"/>
  <c r="B964"/>
  <c r="B965"/>
  <c r="B966"/>
  <c r="B967"/>
  <c r="B968"/>
  <c r="B969"/>
  <c r="B970"/>
  <c r="B971"/>
  <c r="B972"/>
  <c r="B973"/>
  <c r="B974"/>
  <c r="B975"/>
  <c r="B976"/>
  <c r="B977"/>
  <c r="B978"/>
  <c r="B979"/>
  <c r="B980"/>
  <c r="B981"/>
  <c r="B1037"/>
  <c r="B1038"/>
  <c r="B1039"/>
  <c r="B1148"/>
  <c r="B1149"/>
  <c r="B1150"/>
  <c r="B1151"/>
  <c r="B1152"/>
  <c r="B1153"/>
  <c r="B1154"/>
  <c r="B1155"/>
  <c r="B1156"/>
  <c r="B1157"/>
  <c r="B1158"/>
  <c r="B1159"/>
  <c r="B1160"/>
  <c r="B1161"/>
  <c r="B1162"/>
  <c r="B1163"/>
  <c r="B1164"/>
  <c r="B1165"/>
  <c r="B1166"/>
  <c r="B1167"/>
  <c r="B1168"/>
  <c r="B1169"/>
  <c r="B1170"/>
  <c r="B1171"/>
  <c r="B1172"/>
  <c r="B11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1647"/>
  <c r="B1648"/>
  <c r="B1649"/>
  <c r="B1650"/>
  <c r="B1651"/>
  <c r="B1652"/>
  <c r="B1653"/>
  <c r="B1654"/>
  <c r="B1655"/>
  <c r="B1656"/>
  <c r="B1657"/>
  <c r="B1658"/>
  <c r="B1659"/>
  <c r="B1660"/>
  <c r="B1661"/>
  <c r="B1662"/>
  <c r="B1663"/>
  <c r="B1664"/>
  <c r="B1665"/>
  <c r="B1666"/>
  <c r="B1669"/>
  <c r="B4622"/>
  <c r="B3459"/>
  <c r="B4628"/>
  <c r="B3461"/>
  <c r="B4649"/>
  <c r="B4665"/>
  <c r="B4671"/>
  <c r="B4679"/>
  <c r="B4710"/>
  <c r="B4711"/>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4666"/>
  <c r="B2470"/>
  <c r="B2471"/>
  <c r="B2472"/>
  <c r="B2473"/>
  <c r="B2474"/>
  <c r="B2475"/>
  <c r="B2476"/>
  <c r="B2477"/>
  <c r="B2478"/>
  <c r="B2479"/>
  <c r="B2480"/>
  <c r="B2481"/>
  <c r="B2482"/>
  <c r="B2483"/>
  <c r="B2484"/>
  <c r="B2485"/>
  <c r="B2486"/>
  <c r="B2487"/>
  <c r="B2488"/>
  <c r="B2489"/>
  <c r="B4701"/>
  <c r="B2490"/>
  <c r="B2493"/>
  <c r="B2494"/>
  <c r="B2495"/>
  <c r="B2496"/>
  <c r="B2497"/>
  <c r="B2498"/>
  <c r="B2499"/>
  <c r="B2500"/>
  <c r="B2501"/>
  <c r="B2502"/>
  <c r="B2503"/>
  <c r="B2504"/>
  <c r="B2512"/>
  <c r="B2513"/>
  <c r="B2514"/>
  <c r="B2515"/>
  <c r="B2516"/>
  <c r="B3249"/>
  <c r="B3460"/>
  <c r="B3458"/>
  <c r="B3462"/>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4623"/>
  <c r="B4624"/>
  <c r="B4625"/>
  <c r="B4626"/>
  <c r="B4627"/>
  <c r="B3914"/>
  <c r="B4629"/>
  <c r="B4630"/>
  <c r="B4631"/>
  <c r="B4632"/>
  <c r="B4633"/>
  <c r="B4634"/>
  <c r="B4635"/>
  <c r="B4636"/>
  <c r="B4637"/>
  <c r="B4638"/>
  <c r="B4639"/>
  <c r="B4640"/>
  <c r="B4641"/>
  <c r="B4642"/>
  <c r="B4643"/>
  <c r="B4644"/>
  <c r="B3921"/>
  <c r="B4645"/>
  <c r="B4646"/>
  <c r="B4647"/>
  <c r="B4648"/>
  <c r="B4650"/>
  <c r="B4651"/>
  <c r="B4652"/>
  <c r="B4653"/>
  <c r="B4654"/>
  <c r="B4655"/>
  <c r="B4656"/>
  <c r="B4657"/>
  <c r="B4658"/>
  <c r="B4659"/>
  <c r="B4660"/>
  <c r="B4661"/>
  <c r="B4662"/>
  <c r="B4663"/>
  <c r="B4664"/>
  <c r="B4667"/>
  <c r="B4668"/>
  <c r="B4669"/>
  <c r="B4670"/>
  <c r="B4672"/>
  <c r="B3928"/>
  <c r="B4673"/>
  <c r="B4674"/>
  <c r="B4675"/>
  <c r="B4676"/>
  <c r="B4677"/>
  <c r="B4678"/>
  <c r="B4680"/>
  <c r="B3929"/>
  <c r="B4681"/>
  <c r="B4682"/>
  <c r="B4683"/>
  <c r="B4684"/>
  <c r="B4685"/>
  <c r="B4686"/>
  <c r="B4687"/>
  <c r="B4688"/>
  <c r="B4689"/>
  <c r="B4690"/>
  <c r="B4691"/>
  <c r="B4692"/>
  <c r="B4693"/>
  <c r="B4694"/>
  <c r="B3930"/>
  <c r="B4695"/>
  <c r="B4696"/>
  <c r="B4697"/>
  <c r="B4698"/>
  <c r="B4699"/>
  <c r="B4700"/>
  <c r="B4702"/>
  <c r="B4703"/>
  <c r="B4704"/>
  <c r="B4705"/>
  <c r="B4706"/>
  <c r="B3956"/>
  <c r="B4707"/>
  <c r="B4708"/>
  <c r="B4709"/>
  <c r="B4712"/>
  <c r="B4713"/>
  <c r="B4714"/>
  <c r="B4715"/>
  <c r="B4716"/>
  <c r="B3908"/>
  <c r="B3909"/>
  <c r="B3911"/>
  <c r="B3912"/>
  <c r="B3915"/>
  <c r="B3916"/>
  <c r="B3917"/>
  <c r="B3918"/>
  <c r="B3919"/>
  <c r="B3922"/>
  <c r="B3923"/>
  <c r="B3925"/>
  <c r="B3926"/>
  <c r="B3931"/>
  <c r="B3932"/>
  <c r="B3934"/>
  <c r="B3935"/>
  <c r="B3936"/>
  <c r="B3937"/>
  <c r="B3938"/>
  <c r="B3939"/>
  <c r="B3940"/>
  <c r="B3941"/>
  <c r="B3942"/>
  <c r="B3943"/>
  <c r="B3944"/>
  <c r="B3945"/>
  <c r="B3946"/>
  <c r="B3947"/>
  <c r="B3948"/>
  <c r="B3949"/>
  <c r="B3950"/>
  <c r="B3951"/>
  <c r="B3952"/>
  <c r="B3953"/>
  <c r="B3954"/>
  <c r="B3955"/>
  <c r="B2932"/>
  <c r="B3021"/>
  <c r="B3022"/>
  <c r="B3023"/>
  <c r="B3024"/>
  <c r="B3025"/>
  <c r="B3026"/>
  <c r="B3027"/>
  <c r="B3030"/>
  <c r="B3031"/>
  <c r="B2928"/>
  <c r="B2930"/>
  <c r="B2931"/>
  <c r="B2933"/>
  <c r="B2934"/>
  <c r="B3032"/>
  <c r="B4799"/>
  <c r="B4800"/>
  <c r="B3510"/>
  <c r="B2898"/>
  <c r="B4045"/>
  <c r="B4048"/>
  <c r="B4067"/>
  <c r="B4071"/>
  <c r="B3081"/>
  <c r="B2947"/>
  <c r="B4087"/>
  <c r="B4850"/>
  <c r="B4851"/>
  <c r="B2809"/>
  <c r="B2866"/>
  <c r="B4077"/>
  <c r="B4080"/>
  <c r="B4083"/>
  <c r="B4084"/>
  <c r="B4088"/>
  <c r="B4091"/>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B5138"/>
  <c r="B5139"/>
  <c r="B5140"/>
  <c r="B5141"/>
  <c r="B5142"/>
  <c r="B5143"/>
  <c r="B5144"/>
  <c r="B5145"/>
  <c r="B5146"/>
  <c r="B5147"/>
  <c r="B5148"/>
  <c r="B5149"/>
  <c r="B5150"/>
  <c r="B5151"/>
  <c r="B5152"/>
  <c r="B5153"/>
  <c r="B5154"/>
  <c r="B5155"/>
  <c r="B5156"/>
  <c r="B5157"/>
  <c r="B5158"/>
  <c r="B5159"/>
  <c r="B5160"/>
  <c r="B5161"/>
  <c r="B5162"/>
  <c r="B5163"/>
  <c r="B5164"/>
  <c r="B5165"/>
  <c r="B5166"/>
  <c r="B5167"/>
  <c r="B5168"/>
  <c r="B5169"/>
  <c r="B5170"/>
  <c r="B5171"/>
  <c r="B5172"/>
  <c r="B5173"/>
  <c r="B5174"/>
  <c r="B5175"/>
  <c r="B5176"/>
  <c r="B5177"/>
  <c r="B5178"/>
  <c r="B5179"/>
  <c r="B5180"/>
  <c r="B5181"/>
  <c r="B5182"/>
  <c r="B5183"/>
  <c r="B5184"/>
  <c r="B5185"/>
  <c r="B5186"/>
  <c r="B5187"/>
  <c r="B5188"/>
  <c r="B5189"/>
  <c r="B5190"/>
  <c r="B5191"/>
  <c r="B5192"/>
  <c r="B5193"/>
  <c r="B5194"/>
  <c r="B5195"/>
  <c r="B5196"/>
  <c r="B5197"/>
  <c r="B5198"/>
  <c r="B5199"/>
  <c r="B5200"/>
  <c r="B5201"/>
  <c r="B5202"/>
  <c r="B5203"/>
  <c r="B5204"/>
  <c r="B5205"/>
  <c r="B5206"/>
  <c r="B5207"/>
  <c r="B5208"/>
  <c r="B5209"/>
  <c r="B5210"/>
  <c r="B5211"/>
  <c r="B5212"/>
  <c r="B5213"/>
  <c r="B5214"/>
  <c r="B5215"/>
  <c r="B5216"/>
  <c r="B5217"/>
  <c r="B5218"/>
  <c r="B5219"/>
  <c r="B5220"/>
  <c r="B5221"/>
  <c r="B5222"/>
  <c r="B5223"/>
  <c r="B5224"/>
  <c r="B5225"/>
  <c r="B5226"/>
  <c r="B5227"/>
  <c r="B5228"/>
  <c r="B5229"/>
  <c r="B5230"/>
  <c r="B5231"/>
  <c r="B5232"/>
  <c r="B5233"/>
  <c r="B5234"/>
  <c r="B5235"/>
  <c r="B5236"/>
  <c r="B5237"/>
  <c r="B5238"/>
  <c r="B5239"/>
  <c r="B5240"/>
  <c r="B5241"/>
  <c r="B5242"/>
  <c r="B5243"/>
  <c r="B5244"/>
  <c r="B5245"/>
  <c r="B5246"/>
  <c r="B5247"/>
  <c r="B5248"/>
  <c r="B5249"/>
  <c r="B5250"/>
  <c r="B5251"/>
  <c r="B5252"/>
  <c r="B5253"/>
  <c r="B5254"/>
  <c r="B5255"/>
  <c r="B5256"/>
  <c r="B5257"/>
  <c r="B5258"/>
  <c r="B5259"/>
  <c r="B5260"/>
  <c r="B5261"/>
  <c r="B5262"/>
  <c r="B5263"/>
  <c r="B5264"/>
  <c r="B5265"/>
  <c r="B5266"/>
  <c r="B5267"/>
  <c r="B5268"/>
  <c r="B5269"/>
  <c r="B5270"/>
  <c r="B5271"/>
  <c r="B5272"/>
  <c r="B5273"/>
  <c r="B5274"/>
  <c r="B5275"/>
  <c r="B5276"/>
  <c r="B5277"/>
  <c r="B5278"/>
  <c r="B5279"/>
  <c r="B5280"/>
  <c r="B5281"/>
  <c r="B5282"/>
  <c r="B5283"/>
  <c r="B5284"/>
  <c r="B5285"/>
  <c r="B5286"/>
  <c r="B5287"/>
  <c r="B5288"/>
  <c r="B5289"/>
  <c r="B5290"/>
  <c r="B5291"/>
  <c r="B5292"/>
  <c r="B5293"/>
  <c r="B5294"/>
  <c r="B5295"/>
  <c r="B5296"/>
  <c r="B5297"/>
  <c r="B5298"/>
  <c r="B5299"/>
  <c r="B5300"/>
  <c r="B5301"/>
  <c r="B5302"/>
  <c r="B5303"/>
  <c r="B5304"/>
  <c r="B5305"/>
  <c r="B5306"/>
  <c r="B5307"/>
  <c r="B5308"/>
  <c r="B5309"/>
  <c r="B5310"/>
  <c r="B5311"/>
  <c r="B5312"/>
  <c r="B5313"/>
  <c r="B5314"/>
  <c r="B5315"/>
  <c r="B5316"/>
  <c r="B5317"/>
  <c r="B5318"/>
  <c r="B5319"/>
  <c r="B5320"/>
  <c r="B5321"/>
  <c r="B5322"/>
  <c r="B5323"/>
  <c r="B5324"/>
  <c r="B5325"/>
  <c r="B5326"/>
  <c r="B5327"/>
  <c r="B5328"/>
  <c r="B5329"/>
  <c r="B5330"/>
  <c r="B5331"/>
  <c r="B5332"/>
  <c r="B5333"/>
  <c r="B5334"/>
  <c r="B5335"/>
  <c r="B5336"/>
  <c r="B5337"/>
  <c r="B5338"/>
  <c r="B5339"/>
  <c r="B5340"/>
  <c r="B5341"/>
  <c r="B5342"/>
  <c r="B5343"/>
  <c r="B5344"/>
  <c r="B5345"/>
  <c r="B5346"/>
  <c r="B5347"/>
  <c r="B5348"/>
  <c r="B5349"/>
  <c r="B5350"/>
  <c r="B5351"/>
  <c r="B5352"/>
  <c r="B5353"/>
  <c r="B5354"/>
  <c r="B5355"/>
  <c r="B5356"/>
  <c r="B5357"/>
  <c r="B5358"/>
  <c r="B5359"/>
  <c r="B5360"/>
  <c r="B5361"/>
  <c r="B5362"/>
  <c r="B5363"/>
  <c r="B5364"/>
  <c r="B5365"/>
  <c r="B5366"/>
  <c r="B5367"/>
  <c r="B5368"/>
  <c r="B5369"/>
  <c r="B5370"/>
  <c r="B5371"/>
  <c r="B5372"/>
  <c r="B5373"/>
  <c r="B5374"/>
  <c r="B5375"/>
  <c r="B5376"/>
  <c r="B5377"/>
  <c r="B5378"/>
  <c r="B5379"/>
  <c r="B5380"/>
  <c r="B5381"/>
  <c r="B5382"/>
  <c r="B5383"/>
  <c r="B5384"/>
  <c r="B5385"/>
  <c r="B5386"/>
  <c r="B5387"/>
  <c r="B5388"/>
  <c r="B5389"/>
  <c r="B5390"/>
  <c r="B5391"/>
  <c r="B5392"/>
  <c r="B5393"/>
  <c r="B5394"/>
  <c r="B5395"/>
  <c r="B5396"/>
  <c r="B5397"/>
  <c r="B5398"/>
  <c r="B5399"/>
  <c r="B5400"/>
  <c r="B5401"/>
  <c r="B5402"/>
  <c r="B5403"/>
  <c r="B5404"/>
  <c r="B5405"/>
  <c r="B5406"/>
  <c r="B5407"/>
  <c r="B5408"/>
  <c r="B5409"/>
  <c r="B5410"/>
  <c r="B5411"/>
  <c r="B5412"/>
  <c r="B5413"/>
  <c r="B5414"/>
  <c r="B5415"/>
  <c r="B5416"/>
  <c r="B5417"/>
  <c r="B5418"/>
  <c r="B5419"/>
  <c r="B5420"/>
  <c r="B5421"/>
  <c r="B5422"/>
  <c r="B5423"/>
  <c r="B5424"/>
  <c r="B5425"/>
  <c r="B5426"/>
  <c r="B5427"/>
  <c r="B5428"/>
  <c r="B5429"/>
  <c r="B5430"/>
  <c r="B5431"/>
  <c r="B5432"/>
  <c r="B5433"/>
  <c r="B5434"/>
  <c r="B5435"/>
  <c r="B5436"/>
  <c r="B5437"/>
  <c r="B5438"/>
  <c r="B5439"/>
  <c r="B5440"/>
  <c r="B5441"/>
  <c r="B5442"/>
  <c r="B5443"/>
  <c r="B5444"/>
  <c r="B5445"/>
  <c r="B5446"/>
  <c r="B5447"/>
  <c r="B5448"/>
  <c r="B5449"/>
  <c r="B5450"/>
  <c r="B5451"/>
  <c r="B5452"/>
  <c r="B5453"/>
  <c r="B5454"/>
  <c r="B5455"/>
  <c r="B5456"/>
  <c r="B5457"/>
  <c r="B5458"/>
  <c r="B5459"/>
  <c r="B5460"/>
  <c r="B5461"/>
  <c r="B5462"/>
  <c r="B5463"/>
  <c r="B5464"/>
  <c r="B5465"/>
  <c r="B5466"/>
  <c r="B5467"/>
  <c r="B5468"/>
  <c r="B5469"/>
  <c r="B5470"/>
  <c r="B5471"/>
  <c r="B5472"/>
  <c r="B5473"/>
  <c r="B5474"/>
  <c r="B5475"/>
  <c r="B5476"/>
  <c r="B5477"/>
  <c r="B5478"/>
  <c r="B5479"/>
  <c r="B5480"/>
  <c r="B5481"/>
  <c r="B5482"/>
  <c r="B5483"/>
  <c r="B5484"/>
  <c r="B5485"/>
  <c r="B5486"/>
  <c r="B5487"/>
  <c r="B5488"/>
  <c r="B5489"/>
  <c r="B5490"/>
  <c r="B5491"/>
  <c r="B5492"/>
  <c r="B5493"/>
  <c r="B5494"/>
  <c r="B5495"/>
  <c r="B5496"/>
  <c r="B5497"/>
  <c r="B5498"/>
  <c r="B5499"/>
  <c r="B5500"/>
  <c r="B5501"/>
  <c r="B5502"/>
  <c r="B5503"/>
  <c r="B5504"/>
  <c r="B5505"/>
  <c r="B5506"/>
  <c r="B5507"/>
  <c r="B5508"/>
  <c r="B5509"/>
  <c r="B5510"/>
  <c r="B5511"/>
  <c r="B5512"/>
  <c r="B5513"/>
  <c r="B5514"/>
  <c r="B5515"/>
  <c r="B5516"/>
  <c r="B5517"/>
  <c r="B5518"/>
  <c r="B5519"/>
  <c r="B5520"/>
  <c r="B5521"/>
  <c r="B5522"/>
  <c r="B5523"/>
  <c r="B5524"/>
  <c r="B5525"/>
  <c r="B5526"/>
  <c r="B5527"/>
  <c r="B5528"/>
  <c r="B5529"/>
  <c r="B5530"/>
  <c r="B5531"/>
  <c r="B5532"/>
  <c r="B5533"/>
  <c r="B5534"/>
  <c r="B5535"/>
  <c r="B5536"/>
  <c r="B5537"/>
  <c r="B5538"/>
  <c r="B5539"/>
  <c r="B5540"/>
  <c r="B5541"/>
  <c r="B5542"/>
  <c r="B5543"/>
  <c r="B5544"/>
  <c r="B5545"/>
  <c r="B5546"/>
  <c r="B5547"/>
  <c r="B5548"/>
  <c r="B5549"/>
  <c r="B5550"/>
  <c r="B5551"/>
  <c r="B5552"/>
  <c r="B5553"/>
  <c r="B5554"/>
  <c r="B5555"/>
  <c r="B5556"/>
  <c r="B5557"/>
  <c r="B5558"/>
  <c r="B5559"/>
  <c r="B5560"/>
  <c r="B5561"/>
  <c r="B5562"/>
  <c r="B5563"/>
  <c r="B5564"/>
  <c r="B5565"/>
  <c r="B5566"/>
  <c r="B5567"/>
  <c r="B5568"/>
  <c r="B5569"/>
  <c r="B5570"/>
  <c r="B5571"/>
  <c r="B5572"/>
  <c r="B5573"/>
  <c r="B5574"/>
  <c r="B5575"/>
  <c r="B5576"/>
  <c r="B5577"/>
  <c r="B5578"/>
  <c r="B5579"/>
  <c r="B5580"/>
  <c r="B5581"/>
  <c r="B5582"/>
  <c r="B5583"/>
  <c r="B5584"/>
  <c r="B5585"/>
  <c r="B5586"/>
  <c r="B5587"/>
  <c r="B5588"/>
  <c r="B5589"/>
  <c r="B5590"/>
  <c r="B5591"/>
  <c r="B5592"/>
  <c r="B5593"/>
  <c r="B5594"/>
  <c r="B5595"/>
  <c r="B5596"/>
  <c r="B5597"/>
  <c r="B5598"/>
  <c r="B5599"/>
  <c r="B5600"/>
  <c r="B5601"/>
  <c r="B5602"/>
  <c r="B5603"/>
  <c r="B5604"/>
  <c r="B5605"/>
  <c r="B5606"/>
  <c r="B5607"/>
  <c r="B5608"/>
  <c r="B5609"/>
  <c r="B5610"/>
  <c r="B5611"/>
  <c r="B5612"/>
  <c r="B5613"/>
  <c r="B5614"/>
  <c r="B5615"/>
  <c r="B5616"/>
  <c r="B5617"/>
  <c r="B5618"/>
  <c r="B5619"/>
  <c r="B5620"/>
  <c r="B5621"/>
  <c r="B5622"/>
  <c r="B5623"/>
  <c r="B5624"/>
  <c r="B5625"/>
  <c r="B5626"/>
  <c r="B5627"/>
  <c r="B5628"/>
  <c r="B5629"/>
  <c r="B5630"/>
  <c r="B5631"/>
  <c r="B5632"/>
  <c r="B5633"/>
  <c r="B5634"/>
  <c r="B5635"/>
  <c r="B5636"/>
  <c r="B5637"/>
  <c r="B5638"/>
  <c r="B5639"/>
  <c r="B5640"/>
  <c r="B5641"/>
  <c r="B5642"/>
  <c r="B5643"/>
  <c r="B5644"/>
  <c r="B5645"/>
  <c r="B5646"/>
  <c r="B5647"/>
  <c r="B5648"/>
  <c r="B5649"/>
  <c r="B5650"/>
  <c r="B5651"/>
  <c r="B5652"/>
  <c r="B5653"/>
  <c r="B5654"/>
  <c r="B5655"/>
  <c r="B5656"/>
  <c r="B5657"/>
  <c r="B5658"/>
  <c r="B5659"/>
  <c r="B5660"/>
  <c r="B5661"/>
  <c r="B5662"/>
  <c r="B5663"/>
  <c r="B5664"/>
  <c r="B5665"/>
  <c r="B5666"/>
  <c r="B5667"/>
  <c r="B5668"/>
  <c r="B5669"/>
  <c r="B5670"/>
  <c r="B5671"/>
  <c r="B5672"/>
  <c r="B5673"/>
  <c r="B5674"/>
  <c r="B5675"/>
  <c r="B5676"/>
  <c r="B5677"/>
  <c r="B5678"/>
  <c r="B5679"/>
  <c r="B5680"/>
  <c r="B5681"/>
  <c r="B5682"/>
  <c r="B5683"/>
  <c r="B5684"/>
  <c r="B5685"/>
  <c r="B5686"/>
  <c r="B5687"/>
  <c r="B5688"/>
  <c r="B5689"/>
  <c r="B5690"/>
  <c r="B5691"/>
  <c r="B5692"/>
  <c r="B5693"/>
  <c r="B5694"/>
  <c r="B5695"/>
  <c r="B5696"/>
  <c r="B5697"/>
  <c r="B5698"/>
  <c r="B5699"/>
  <c r="B5700"/>
  <c r="B5701"/>
  <c r="B5702"/>
  <c r="B5703"/>
  <c r="B5704"/>
  <c r="B5705"/>
  <c r="B5706"/>
  <c r="B5707"/>
  <c r="B5708"/>
  <c r="B5709"/>
  <c r="B5710"/>
  <c r="B5711"/>
  <c r="B5712"/>
  <c r="B5713"/>
  <c r="B5714"/>
  <c r="B5715"/>
  <c r="B5716"/>
  <c r="B5717"/>
  <c r="B5718"/>
  <c r="B5719"/>
  <c r="B5720"/>
  <c r="B5721"/>
  <c r="B5722"/>
  <c r="B5723"/>
  <c r="B5724"/>
  <c r="B5725"/>
  <c r="B5726"/>
  <c r="B5727"/>
  <c r="B5728"/>
  <c r="B5729"/>
  <c r="B5730"/>
  <c r="B5731"/>
  <c r="B5732"/>
  <c r="B5733"/>
  <c r="B5734"/>
  <c r="B5735"/>
  <c r="B5736"/>
  <c r="B5737"/>
  <c r="B5738"/>
  <c r="B5739"/>
  <c r="B5740"/>
  <c r="B5741"/>
  <c r="B5742"/>
  <c r="B5743"/>
  <c r="B5744"/>
  <c r="B5745"/>
  <c r="B5746"/>
  <c r="B5747"/>
  <c r="B5748"/>
  <c r="B5749"/>
  <c r="B5750"/>
  <c r="B5751"/>
  <c r="B5752"/>
  <c r="B5753"/>
  <c r="B5754"/>
  <c r="B5755"/>
  <c r="B5756"/>
  <c r="B5757"/>
  <c r="B5758"/>
  <c r="B5759"/>
  <c r="B5760"/>
  <c r="B5761"/>
  <c r="B5762"/>
  <c r="B5763"/>
  <c r="B5764"/>
  <c r="B5765"/>
  <c r="B5766"/>
  <c r="B5767"/>
  <c r="B5768"/>
  <c r="B5769"/>
  <c r="B5770"/>
  <c r="B5771"/>
  <c r="B5772"/>
  <c r="B5773"/>
  <c r="B5774"/>
  <c r="B5775"/>
  <c r="B5776"/>
  <c r="B5777"/>
  <c r="B5778"/>
  <c r="B5779"/>
  <c r="B5780"/>
  <c r="B5781"/>
  <c r="B5782"/>
  <c r="B5783"/>
  <c r="B5784"/>
  <c r="B5785"/>
  <c r="B5786"/>
  <c r="B5787"/>
  <c r="B5788"/>
  <c r="B5789"/>
  <c r="B5790"/>
  <c r="B5791"/>
  <c r="B5792"/>
  <c r="B5793"/>
  <c r="B5794"/>
  <c r="B5795"/>
  <c r="B5796"/>
  <c r="B5797"/>
  <c r="B5798"/>
  <c r="B5799"/>
  <c r="B5800"/>
  <c r="B5801"/>
  <c r="B5802"/>
  <c r="B5803"/>
  <c r="B5804"/>
  <c r="B5805"/>
  <c r="B5806"/>
  <c r="B5807"/>
  <c r="B5808"/>
  <c r="B5809"/>
  <c r="B5810"/>
  <c r="B5811"/>
  <c r="B5812"/>
  <c r="B5813"/>
  <c r="B5814"/>
  <c r="B5815"/>
  <c r="B5816"/>
  <c r="B5817"/>
  <c r="B5818"/>
  <c r="B5819"/>
  <c r="B5820"/>
  <c r="B5821"/>
  <c r="B5822"/>
  <c r="B5823"/>
  <c r="B5824"/>
  <c r="B5825"/>
  <c r="B5826"/>
  <c r="B5827"/>
  <c r="B5828"/>
  <c r="B5829"/>
  <c r="B5830"/>
  <c r="B5831"/>
  <c r="B5832"/>
  <c r="B5833"/>
  <c r="B5834"/>
  <c r="B5835"/>
  <c r="B5836"/>
  <c r="B5837"/>
  <c r="B5838"/>
  <c r="B5839"/>
  <c r="B5840"/>
  <c r="B5841"/>
  <c r="B5842"/>
  <c r="B5843"/>
  <c r="B5844"/>
  <c r="B5845"/>
  <c r="B5846"/>
  <c r="B5847"/>
  <c r="B5848"/>
  <c r="B5849"/>
  <c r="B5850"/>
  <c r="B5851"/>
  <c r="B5852"/>
  <c r="B5853"/>
  <c r="B5854"/>
  <c r="B5855"/>
  <c r="B5856"/>
  <c r="B5857"/>
  <c r="B5858"/>
  <c r="B5859"/>
  <c r="B5860"/>
  <c r="B5861"/>
  <c r="B5862"/>
  <c r="B5863"/>
  <c r="B5864"/>
  <c r="B5865"/>
  <c r="B5866"/>
  <c r="B5867"/>
  <c r="B5868"/>
  <c r="B5869"/>
  <c r="B5870"/>
  <c r="B5871"/>
  <c r="B5872"/>
  <c r="B5873"/>
  <c r="B5874"/>
  <c r="B5875"/>
  <c r="B5876"/>
  <c r="B5877"/>
  <c r="B5878"/>
  <c r="B5879"/>
  <c r="B5880"/>
  <c r="B5881"/>
  <c r="B5882"/>
  <c r="B5883"/>
  <c r="B5884"/>
  <c r="B5885"/>
  <c r="B5886"/>
  <c r="B5887"/>
  <c r="B5888"/>
  <c r="B5889"/>
  <c r="B5890"/>
  <c r="B5891"/>
  <c r="B5892"/>
  <c r="B5893"/>
  <c r="B5894"/>
  <c r="B5895"/>
  <c r="B5896"/>
  <c r="B5897"/>
  <c r="B5898"/>
  <c r="B5899"/>
  <c r="B5900"/>
  <c r="B5901"/>
  <c r="B5902"/>
  <c r="B5903"/>
  <c r="B5904"/>
  <c r="B5905"/>
  <c r="B5906"/>
  <c r="B5907"/>
  <c r="B5908"/>
  <c r="B5909"/>
  <c r="B5910"/>
  <c r="B5911"/>
  <c r="B5912"/>
  <c r="B5913"/>
  <c r="B5914"/>
  <c r="B5915"/>
  <c r="B5916"/>
  <c r="B5917"/>
  <c r="B5918"/>
  <c r="B5919"/>
  <c r="B5920"/>
  <c r="B5921"/>
  <c r="B5922"/>
  <c r="B5923"/>
  <c r="B5924"/>
  <c r="B5925"/>
  <c r="B5926"/>
  <c r="B5927"/>
  <c r="B5928"/>
  <c r="B5929"/>
  <c r="B5930"/>
  <c r="B5931"/>
  <c r="B5932"/>
  <c r="B5933"/>
  <c r="B5934"/>
  <c r="B5935"/>
  <c r="B5936"/>
  <c r="B5937"/>
  <c r="B5938"/>
  <c r="B5939"/>
  <c r="B5940"/>
  <c r="B5941"/>
  <c r="B5942"/>
  <c r="B5943"/>
  <c r="B5944"/>
  <c r="B5945"/>
  <c r="B5946"/>
  <c r="B5947"/>
  <c r="B5948"/>
  <c r="B5949"/>
  <c r="B5950"/>
  <c r="B5951"/>
  <c r="B5952"/>
  <c r="B5953"/>
  <c r="B5954"/>
  <c r="B5955"/>
  <c r="B5956"/>
  <c r="B5957"/>
  <c r="B5958"/>
  <c r="B5959"/>
  <c r="B5960"/>
  <c r="B5961"/>
  <c r="B5962"/>
  <c r="B5963"/>
  <c r="B5964"/>
  <c r="B5965"/>
  <c r="B5966"/>
  <c r="B5967"/>
  <c r="B5968"/>
  <c r="B5969"/>
  <c r="B5970"/>
  <c r="B5971"/>
  <c r="B5972"/>
  <c r="B5973"/>
  <c r="B5974"/>
  <c r="B5975"/>
  <c r="B5976"/>
  <c r="B5977"/>
  <c r="B5978"/>
  <c r="B5979"/>
  <c r="B5980"/>
  <c r="B5981"/>
  <c r="B5982"/>
  <c r="B5983"/>
  <c r="B5984"/>
  <c r="B5985"/>
  <c r="B5986"/>
  <c r="B5987"/>
  <c r="B5988"/>
  <c r="B5989"/>
  <c r="B5990"/>
  <c r="B5991"/>
  <c r="B5992"/>
  <c r="B5993"/>
  <c r="B5994"/>
  <c r="B5995"/>
  <c r="B5996"/>
  <c r="B5997"/>
  <c r="B5998"/>
  <c r="B5999"/>
  <c r="B6000"/>
  <c r="B6001"/>
  <c r="B6002"/>
  <c r="B6003"/>
  <c r="B6004"/>
  <c r="B6005"/>
  <c r="B6006"/>
  <c r="B6007"/>
  <c r="B6008"/>
  <c r="B6009"/>
  <c r="B6010"/>
  <c r="B6011"/>
  <c r="B6012"/>
  <c r="B6013"/>
  <c r="B6014"/>
  <c r="B6015"/>
  <c r="B6016"/>
  <c r="B6017"/>
  <c r="B6018"/>
  <c r="B6019"/>
  <c r="B6020"/>
  <c r="B6021"/>
  <c r="B6022"/>
  <c r="B6023"/>
  <c r="B6024"/>
  <c r="B6025"/>
  <c r="B6026"/>
  <c r="B6027"/>
  <c r="B6028"/>
  <c r="B6029"/>
  <c r="B6030"/>
  <c r="B6031"/>
  <c r="B6032"/>
  <c r="B6033"/>
  <c r="B6034"/>
  <c r="B6035"/>
  <c r="B6036"/>
  <c r="B6037"/>
  <c r="B6038"/>
  <c r="B6039"/>
  <c r="B6040"/>
  <c r="B6041"/>
  <c r="B6042"/>
  <c r="B6043"/>
  <c r="B6044"/>
  <c r="B6045"/>
  <c r="B6046"/>
  <c r="B6047"/>
  <c r="B6048"/>
  <c r="B6049"/>
  <c r="B6050"/>
  <c r="B6051"/>
  <c r="B6052"/>
  <c r="B6053"/>
  <c r="B6054"/>
  <c r="B6055"/>
  <c r="B6056"/>
  <c r="B6057"/>
  <c r="B6058"/>
  <c r="B6059"/>
  <c r="B6060"/>
  <c r="B6061"/>
  <c r="B6062"/>
  <c r="B6063"/>
  <c r="B6064"/>
  <c r="B6065"/>
  <c r="B6066"/>
  <c r="B6067"/>
  <c r="B6068"/>
  <c r="B6069"/>
  <c r="B6070"/>
  <c r="B6071"/>
  <c r="B6072"/>
  <c r="B6073"/>
  <c r="B6074"/>
  <c r="B6075"/>
  <c r="B6076"/>
  <c r="B6077"/>
  <c r="B6078"/>
  <c r="B6079"/>
  <c r="B6080"/>
  <c r="B6081"/>
  <c r="B6082"/>
  <c r="B6083"/>
  <c r="B6084"/>
  <c r="B6085"/>
  <c r="B6086"/>
  <c r="B6087"/>
  <c r="B6088"/>
  <c r="B6089"/>
  <c r="B6090"/>
  <c r="B6091"/>
  <c r="B6092"/>
  <c r="B6093"/>
  <c r="B6094"/>
  <c r="B6095"/>
  <c r="B6096"/>
  <c r="B6097"/>
  <c r="B6098"/>
  <c r="B6099"/>
  <c r="B6100"/>
  <c r="B6101"/>
  <c r="B6102"/>
  <c r="B6103"/>
  <c r="B6104"/>
  <c r="B6105"/>
  <c r="B6106"/>
  <c r="B6107"/>
  <c r="B6108"/>
  <c r="B6109"/>
  <c r="B6110"/>
  <c r="B6111"/>
  <c r="B6112"/>
  <c r="B6113"/>
  <c r="B6114"/>
  <c r="B6115"/>
  <c r="B6116"/>
  <c r="B6117"/>
  <c r="B6118"/>
  <c r="B6119"/>
  <c r="B6120"/>
  <c r="B6121"/>
  <c r="B6122"/>
  <c r="B6123"/>
  <c r="B6124"/>
  <c r="B6125"/>
  <c r="B6126"/>
  <c r="B6127"/>
  <c r="B6128"/>
  <c r="B6129"/>
  <c r="B6130"/>
  <c r="B6131"/>
  <c r="B6132"/>
  <c r="B6133"/>
  <c r="B6134"/>
  <c r="B6135"/>
  <c r="B6136"/>
  <c r="B6137"/>
  <c r="B6138"/>
  <c r="B6139"/>
  <c r="B6140"/>
  <c r="B6141"/>
  <c r="B6142"/>
  <c r="B6143"/>
  <c r="B6144"/>
  <c r="B6145"/>
  <c r="B6146"/>
  <c r="B6147"/>
  <c r="B6148"/>
  <c r="B6149"/>
  <c r="B6150"/>
  <c r="B6151"/>
  <c r="B6152"/>
  <c r="B6153"/>
  <c r="B6154"/>
  <c r="B6155"/>
  <c r="B6156"/>
  <c r="B6157"/>
  <c r="B6158"/>
  <c r="B6159"/>
  <c r="B6160"/>
  <c r="B6161"/>
  <c r="B6162"/>
  <c r="B6163"/>
  <c r="B6164"/>
  <c r="B6165"/>
  <c r="B6166"/>
  <c r="B6167"/>
  <c r="B6168"/>
  <c r="B6169"/>
  <c r="B6170"/>
  <c r="B6171"/>
  <c r="B6172"/>
  <c r="B6173"/>
  <c r="B6174"/>
  <c r="B6175"/>
  <c r="B6176"/>
  <c r="B6177"/>
  <c r="B6178"/>
  <c r="B6179"/>
  <c r="B6180"/>
  <c r="B6181"/>
  <c r="B6182"/>
  <c r="B6183"/>
  <c r="B6184"/>
  <c r="B6185"/>
  <c r="B6186"/>
  <c r="B6187"/>
  <c r="B6188"/>
  <c r="B6189"/>
  <c r="B6190"/>
  <c r="B6191"/>
  <c r="B6192"/>
  <c r="B6193"/>
  <c r="B6194"/>
  <c r="B6195"/>
  <c r="B6196"/>
  <c r="B6197"/>
  <c r="B6198"/>
  <c r="B6199"/>
  <c r="B6200"/>
  <c r="B6201"/>
  <c r="B6202"/>
  <c r="B6203"/>
  <c r="B6204"/>
  <c r="B6205"/>
  <c r="B6206"/>
  <c r="B6207"/>
  <c r="B6208"/>
  <c r="B6209"/>
  <c r="B6210"/>
  <c r="B6211"/>
  <c r="B6212"/>
  <c r="B6213"/>
  <c r="B6214"/>
  <c r="B6215"/>
  <c r="B6216"/>
  <c r="B6217"/>
  <c r="B6218"/>
  <c r="B6219"/>
  <c r="B6220"/>
  <c r="B6221"/>
  <c r="B6222"/>
  <c r="B6223"/>
  <c r="B6224"/>
  <c r="B6225"/>
  <c r="B6226"/>
  <c r="B6227"/>
  <c r="B6228"/>
  <c r="B6229"/>
  <c r="B6230"/>
  <c r="B6231"/>
  <c r="B6232"/>
  <c r="B6233"/>
  <c r="B6234"/>
  <c r="B6235"/>
  <c r="B6236"/>
  <c r="B6237"/>
  <c r="B6238"/>
  <c r="B6239"/>
  <c r="B6240"/>
  <c r="B6241"/>
  <c r="B6242"/>
  <c r="B6243"/>
  <c r="B6244"/>
  <c r="B6245"/>
  <c r="B6246"/>
  <c r="B6247"/>
  <c r="B6248"/>
  <c r="B6249"/>
  <c r="B6250"/>
  <c r="B6251"/>
  <c r="B6252"/>
  <c r="B6253"/>
  <c r="B6254"/>
  <c r="B6255"/>
  <c r="B6256"/>
  <c r="B6257"/>
  <c r="B6258"/>
  <c r="B6259"/>
  <c r="B6260"/>
  <c r="B6261"/>
  <c r="B6262"/>
  <c r="B6263"/>
  <c r="B6264"/>
  <c r="B6265"/>
  <c r="B6266"/>
  <c r="B6267"/>
  <c r="B6268"/>
  <c r="B6269"/>
  <c r="B6270"/>
  <c r="B6271"/>
  <c r="B6272"/>
  <c r="B6273"/>
  <c r="B6274"/>
  <c r="B6275"/>
  <c r="B6276"/>
  <c r="B6277"/>
  <c r="B6278"/>
  <c r="B6279"/>
  <c r="B6280"/>
  <c r="B6281"/>
  <c r="B6282"/>
  <c r="B6283"/>
  <c r="B6284"/>
  <c r="B6285"/>
  <c r="B6286"/>
  <c r="B6287"/>
  <c r="B6288"/>
  <c r="B6289"/>
  <c r="B6290"/>
  <c r="B6291"/>
  <c r="B6292"/>
  <c r="B6293"/>
  <c r="B6294"/>
  <c r="B6295"/>
  <c r="B6296"/>
  <c r="B6297"/>
  <c r="B6298"/>
  <c r="B6299"/>
  <c r="B6300"/>
  <c r="B6301"/>
  <c r="B6302"/>
  <c r="B6303"/>
  <c r="B6304"/>
  <c r="B6305"/>
  <c r="B6306"/>
  <c r="B6307"/>
  <c r="B6308"/>
  <c r="B6309"/>
  <c r="B6310"/>
  <c r="B6311"/>
  <c r="B6312"/>
  <c r="B6313"/>
  <c r="B6314"/>
  <c r="B6315"/>
  <c r="B6316"/>
  <c r="B6317"/>
  <c r="B6318"/>
  <c r="B6319"/>
  <c r="B6320"/>
  <c r="B6321"/>
  <c r="B6322"/>
  <c r="B6323"/>
  <c r="B6324"/>
  <c r="B6325"/>
  <c r="B6326"/>
  <c r="B6327"/>
  <c r="B6328"/>
  <c r="B6329"/>
  <c r="B6330"/>
  <c r="B6331"/>
  <c r="B6332"/>
  <c r="B6333"/>
  <c r="B6334"/>
  <c r="B6335"/>
  <c r="B6336"/>
  <c r="B6337"/>
  <c r="B6338"/>
  <c r="B6339"/>
  <c r="B6340"/>
  <c r="B6341"/>
  <c r="B6342"/>
  <c r="B6343"/>
  <c r="B6344"/>
  <c r="B6345"/>
  <c r="B6346"/>
  <c r="B6347"/>
  <c r="B6348"/>
  <c r="B6349"/>
  <c r="B6350"/>
  <c r="B6351"/>
  <c r="B6352"/>
  <c r="B6353"/>
  <c r="B6354"/>
  <c r="B6355"/>
  <c r="B6356"/>
  <c r="B6357"/>
  <c r="B6358"/>
  <c r="B6359"/>
  <c r="B6360"/>
  <c r="B6361"/>
  <c r="B6362"/>
  <c r="B6363"/>
  <c r="B6364"/>
  <c r="B6365"/>
  <c r="B6366"/>
  <c r="B6367"/>
  <c r="B6368"/>
  <c r="B6369"/>
  <c r="B6370"/>
  <c r="B6371"/>
  <c r="B6372"/>
  <c r="B6373"/>
  <c r="B6374"/>
  <c r="B6375"/>
  <c r="B6376"/>
  <c r="B6377"/>
  <c r="B6378"/>
  <c r="B6379"/>
  <c r="B6380"/>
  <c r="B6381"/>
  <c r="B6382"/>
  <c r="B6383"/>
  <c r="B6384"/>
  <c r="B6385"/>
  <c r="B6386"/>
  <c r="B6387"/>
  <c r="B6388"/>
  <c r="B6389"/>
  <c r="B6390"/>
  <c r="B6391"/>
  <c r="B6392"/>
  <c r="B6393"/>
  <c r="B6394"/>
  <c r="B6395"/>
  <c r="B6396"/>
  <c r="B6397"/>
  <c r="B6398"/>
  <c r="B6399"/>
  <c r="B6400"/>
  <c r="B6401"/>
  <c r="B6402"/>
  <c r="B6403"/>
  <c r="B6404"/>
  <c r="B6405"/>
  <c r="B6406"/>
  <c r="B6407"/>
  <c r="B6408"/>
  <c r="B6409"/>
  <c r="B6410"/>
  <c r="B6411"/>
  <c r="B6412"/>
  <c r="B6413"/>
  <c r="B6414"/>
  <c r="B6415"/>
  <c r="B6416"/>
  <c r="B6417"/>
  <c r="B6418"/>
  <c r="B6419"/>
  <c r="B6420"/>
  <c r="B6421"/>
  <c r="B6422"/>
  <c r="B6423"/>
  <c r="B6424"/>
  <c r="B6425"/>
  <c r="B6426"/>
  <c r="B6427"/>
  <c r="B6428"/>
  <c r="B6429"/>
  <c r="B6430"/>
  <c r="B6431"/>
  <c r="B6432"/>
  <c r="B6433"/>
  <c r="B6434"/>
  <c r="B6435"/>
  <c r="B6436"/>
  <c r="B6437"/>
  <c r="B6438"/>
  <c r="B6439"/>
  <c r="B6440"/>
  <c r="B6441"/>
  <c r="B6442"/>
  <c r="B6443"/>
  <c r="B6444"/>
  <c r="B6445"/>
  <c r="B6446"/>
  <c r="B6447"/>
  <c r="B6448"/>
  <c r="B6449"/>
  <c r="B6450"/>
  <c r="B6451"/>
  <c r="B6452"/>
  <c r="B6453"/>
  <c r="B6454"/>
  <c r="B6455"/>
  <c r="B6456"/>
  <c r="B6457"/>
  <c r="B6458"/>
  <c r="B6459"/>
  <c r="B6460"/>
  <c r="B6461"/>
  <c r="B6462"/>
  <c r="B6463"/>
  <c r="B6464"/>
  <c r="B6465"/>
  <c r="B6466"/>
  <c r="B6467"/>
  <c r="B6468"/>
  <c r="B6469"/>
  <c r="B6470"/>
  <c r="B6471"/>
  <c r="B6472"/>
  <c r="B6473"/>
  <c r="B6474"/>
  <c r="B6475"/>
  <c r="B6476"/>
  <c r="B6477"/>
  <c r="B6478"/>
  <c r="B6479"/>
  <c r="B6480"/>
  <c r="B6481"/>
  <c r="B6482"/>
  <c r="B6483"/>
  <c r="B6484"/>
  <c r="B6485"/>
  <c r="B6486"/>
  <c r="B6487"/>
  <c r="B6488"/>
  <c r="B6489"/>
  <c r="B6490"/>
  <c r="B6491"/>
  <c r="B6492"/>
  <c r="B6493"/>
  <c r="B6494"/>
  <c r="B6495"/>
  <c r="B6496"/>
  <c r="B6497"/>
  <c r="B6498"/>
  <c r="B6499"/>
  <c r="B6500"/>
  <c r="B6501"/>
  <c r="B6502"/>
  <c r="B6503"/>
  <c r="B6504"/>
  <c r="B6505"/>
  <c r="B6506"/>
  <c r="B6507"/>
  <c r="B6508"/>
  <c r="B6509"/>
  <c r="B6510"/>
  <c r="B6511"/>
  <c r="B6512"/>
  <c r="B6513"/>
  <c r="B6514"/>
  <c r="B6515"/>
  <c r="B6516"/>
  <c r="B6517"/>
  <c r="B6518"/>
  <c r="B6519"/>
  <c r="B6520"/>
  <c r="B6521"/>
  <c r="B6522"/>
  <c r="B6523"/>
  <c r="B6524"/>
  <c r="B6525"/>
  <c r="B6526"/>
  <c r="B6527"/>
  <c r="B6528"/>
  <c r="B6529"/>
  <c r="B6530"/>
  <c r="B6531"/>
  <c r="B6532"/>
  <c r="B6533"/>
  <c r="B6534"/>
  <c r="B6535"/>
  <c r="B6536"/>
  <c r="B6537"/>
  <c r="B6538"/>
  <c r="B6539"/>
  <c r="B6540"/>
  <c r="B6541"/>
  <c r="B6542"/>
  <c r="B6543"/>
  <c r="B6544"/>
  <c r="B6545"/>
  <c r="B6546"/>
  <c r="B6547"/>
  <c r="B6548"/>
  <c r="B6549"/>
  <c r="B6550"/>
  <c r="B6551"/>
  <c r="B6552"/>
  <c r="B6553"/>
  <c r="B6554"/>
  <c r="B6555"/>
  <c r="B6556"/>
  <c r="B6557"/>
  <c r="B6558"/>
  <c r="B6559"/>
  <c r="B6560"/>
  <c r="B6561"/>
  <c r="B6562"/>
  <c r="B6563"/>
  <c r="B6564"/>
  <c r="B6565"/>
  <c r="B6566"/>
  <c r="B6567"/>
  <c r="B6568"/>
  <c r="B6569"/>
  <c r="B6570"/>
  <c r="B6571"/>
  <c r="B6572"/>
  <c r="B6573"/>
  <c r="B6574"/>
  <c r="B6575"/>
  <c r="B6576"/>
  <c r="B6577"/>
  <c r="B6578"/>
  <c r="B6579"/>
  <c r="B6580"/>
  <c r="B6581"/>
  <c r="B6582"/>
  <c r="B6583"/>
  <c r="B6584"/>
  <c r="B6585"/>
  <c r="B6586"/>
  <c r="B6587"/>
  <c r="B6588"/>
  <c r="B6589"/>
  <c r="B6590"/>
  <c r="B6591"/>
  <c r="B6592"/>
  <c r="B6593"/>
  <c r="B6594"/>
  <c r="B6595"/>
  <c r="B6596"/>
  <c r="B6597"/>
  <c r="B6598"/>
  <c r="B6599"/>
  <c r="B6600"/>
  <c r="B6601"/>
  <c r="B6602"/>
  <c r="B6603"/>
  <c r="B6604"/>
  <c r="B6605"/>
  <c r="B6606"/>
  <c r="B6607"/>
  <c r="B6608"/>
  <c r="B6609"/>
  <c r="B6610"/>
  <c r="B6611"/>
  <c r="B6612"/>
  <c r="B6613"/>
  <c r="B6614"/>
  <c r="B6615"/>
  <c r="B6616"/>
  <c r="B6617"/>
  <c r="B6618"/>
  <c r="B6619"/>
  <c r="B6620"/>
  <c r="B6621"/>
  <c r="B6622"/>
  <c r="B6623"/>
  <c r="B6624"/>
  <c r="B6625"/>
  <c r="B6626"/>
  <c r="B6627"/>
  <c r="B6628"/>
  <c r="B6629"/>
  <c r="B6630"/>
  <c r="B6631"/>
  <c r="B6632"/>
  <c r="B6633"/>
  <c r="B6634"/>
  <c r="B6635"/>
  <c r="B6636"/>
  <c r="B6637"/>
  <c r="B6638"/>
  <c r="B6639"/>
  <c r="B6640"/>
  <c r="B6641"/>
  <c r="B6642"/>
  <c r="B6643"/>
  <c r="B6644"/>
  <c r="B6645"/>
  <c r="B6646"/>
  <c r="B6647"/>
  <c r="B6648"/>
  <c r="B6649"/>
  <c r="B6650"/>
  <c r="B6651"/>
  <c r="B6652"/>
  <c r="B6653"/>
  <c r="B6654"/>
  <c r="B6655"/>
  <c r="B6656"/>
  <c r="B6657"/>
  <c r="B6658"/>
  <c r="B6659"/>
  <c r="B6660"/>
  <c r="B6661"/>
  <c r="B6662"/>
  <c r="B6663"/>
  <c r="B6664"/>
  <c r="B6665"/>
  <c r="B6666"/>
  <c r="B6667"/>
  <c r="B6668"/>
  <c r="B6669"/>
  <c r="B6670"/>
  <c r="B6671"/>
  <c r="B6672"/>
  <c r="B6673"/>
  <c r="B6674"/>
  <c r="B6675"/>
  <c r="B6676"/>
  <c r="B6677"/>
  <c r="B6678"/>
  <c r="B6679"/>
  <c r="B6680"/>
  <c r="B6681"/>
  <c r="B6682"/>
  <c r="B6683"/>
  <c r="B6684"/>
  <c r="B6685"/>
  <c r="B6686"/>
  <c r="B6687"/>
  <c r="B6688"/>
  <c r="B6689"/>
  <c r="B6690"/>
  <c r="B6691"/>
  <c r="B6692"/>
  <c r="B6693"/>
  <c r="B6694"/>
  <c r="B6695"/>
  <c r="B6696"/>
  <c r="B6697"/>
  <c r="B6698"/>
  <c r="B6699"/>
  <c r="B6700"/>
  <c r="B6701"/>
  <c r="B6702"/>
  <c r="B6703"/>
  <c r="B6704"/>
  <c r="B6705"/>
  <c r="B6706"/>
  <c r="B6707"/>
  <c r="B6708"/>
  <c r="B6709"/>
  <c r="B6710"/>
  <c r="B6711"/>
  <c r="B6712"/>
  <c r="B6713"/>
  <c r="B6714"/>
  <c r="B6715"/>
  <c r="B6716"/>
  <c r="B6717"/>
  <c r="B6718"/>
  <c r="B6719"/>
  <c r="B6720"/>
  <c r="B6721"/>
  <c r="B6722"/>
  <c r="B6723"/>
  <c r="B6724"/>
  <c r="B6725"/>
  <c r="B6726"/>
  <c r="B6727"/>
  <c r="B6728"/>
  <c r="B6729"/>
  <c r="B6730"/>
  <c r="B6731"/>
  <c r="B6732"/>
  <c r="B6733"/>
  <c r="B6734"/>
  <c r="B6735"/>
  <c r="B6736"/>
  <c r="B6737"/>
  <c r="B6738"/>
  <c r="B6739"/>
  <c r="B6740"/>
  <c r="B6741"/>
  <c r="B6742"/>
  <c r="B6743"/>
  <c r="B6744"/>
  <c r="B6745"/>
  <c r="B6746"/>
  <c r="B6747"/>
  <c r="B6748"/>
  <c r="B6749"/>
  <c r="B6750"/>
  <c r="B6751"/>
  <c r="B6752"/>
  <c r="B6753"/>
  <c r="B6754"/>
  <c r="B6755"/>
  <c r="B6756"/>
  <c r="B6757"/>
  <c r="B6758"/>
  <c r="B6759"/>
  <c r="B6760"/>
  <c r="B6761"/>
  <c r="B6762"/>
  <c r="B6763"/>
  <c r="B6764"/>
  <c r="B6765"/>
  <c r="B6766"/>
  <c r="B6767"/>
  <c r="B6768"/>
  <c r="B6769"/>
  <c r="B6770"/>
  <c r="B6771"/>
  <c r="B6772"/>
  <c r="B6773"/>
  <c r="B6774"/>
  <c r="B6775"/>
  <c r="B6776"/>
  <c r="B6777"/>
  <c r="B6778"/>
  <c r="B6779"/>
  <c r="B6780"/>
  <c r="B6781"/>
  <c r="B6782"/>
  <c r="B6783"/>
  <c r="B6784"/>
  <c r="B6785"/>
  <c r="B6786"/>
  <c r="B6787"/>
  <c r="B6788"/>
  <c r="B6789"/>
  <c r="B6790"/>
  <c r="B6791"/>
  <c r="B6792"/>
  <c r="B6793"/>
  <c r="B6794"/>
  <c r="B6795"/>
  <c r="B6796"/>
  <c r="B6797"/>
  <c r="B6798"/>
  <c r="B6799"/>
  <c r="B6800"/>
  <c r="B6801"/>
  <c r="B6802"/>
  <c r="B6803"/>
  <c r="B6804"/>
  <c r="B6805"/>
  <c r="B6806"/>
  <c r="B6807"/>
  <c r="B6808"/>
  <c r="B6809"/>
  <c r="B6810"/>
  <c r="B6811"/>
  <c r="B6812"/>
  <c r="B6813"/>
  <c r="B6814"/>
  <c r="B6815"/>
  <c r="B6816"/>
  <c r="B6817"/>
  <c r="B6818"/>
  <c r="B6819"/>
  <c r="B6820"/>
  <c r="B6821"/>
  <c r="B6822"/>
  <c r="B6823"/>
  <c r="B6824"/>
  <c r="B6825"/>
  <c r="B6826"/>
  <c r="B6827"/>
  <c r="B6828"/>
  <c r="B6829"/>
  <c r="B6830"/>
  <c r="B6831"/>
  <c r="B6832"/>
  <c r="B6833"/>
  <c r="B6834"/>
  <c r="B6835"/>
  <c r="B6836"/>
  <c r="B6837"/>
  <c r="B6838"/>
  <c r="B6839"/>
  <c r="B6840"/>
  <c r="B6841"/>
  <c r="B6842"/>
  <c r="B6843"/>
  <c r="B6844"/>
  <c r="B6845"/>
  <c r="B6846"/>
  <c r="B6847"/>
  <c r="B6848"/>
  <c r="B6849"/>
  <c r="B6850"/>
  <c r="B6851"/>
  <c r="B6852"/>
  <c r="B6853"/>
  <c r="B6854"/>
  <c r="B6855"/>
  <c r="B6856"/>
  <c r="B6857"/>
  <c r="B6858"/>
  <c r="B6859"/>
  <c r="B6860"/>
  <c r="B6861"/>
  <c r="B6862"/>
  <c r="B6863"/>
  <c r="B6864"/>
  <c r="B6865"/>
  <c r="B6866"/>
  <c r="B6867"/>
  <c r="B6868"/>
  <c r="B6869"/>
  <c r="B6870"/>
  <c r="B6871"/>
  <c r="B6872"/>
  <c r="B6873"/>
  <c r="B6874"/>
  <c r="B6875"/>
  <c r="B6876"/>
  <c r="B6877"/>
  <c r="B6878"/>
  <c r="B6879"/>
  <c r="B6880"/>
  <c r="B6881"/>
  <c r="B6882"/>
  <c r="B6883"/>
  <c r="B6884"/>
  <c r="B6885"/>
  <c r="B6886"/>
  <c r="B6887"/>
  <c r="B6888"/>
  <c r="B6889"/>
  <c r="B6890"/>
  <c r="B6891"/>
  <c r="B6892"/>
  <c r="B6893"/>
  <c r="B6894"/>
  <c r="B6895"/>
  <c r="B6896"/>
  <c r="B6897"/>
  <c r="B6898"/>
  <c r="B6899"/>
  <c r="B6900"/>
  <c r="B6901"/>
  <c r="B6902"/>
  <c r="B6903"/>
  <c r="B6904"/>
  <c r="B6905"/>
  <c r="B6906"/>
  <c r="B6907"/>
  <c r="B6908"/>
  <c r="B6909"/>
  <c r="B6910"/>
  <c r="B6911"/>
  <c r="B6912"/>
  <c r="B6913"/>
  <c r="B6914"/>
  <c r="B6915"/>
  <c r="B6916"/>
  <c r="B6917"/>
  <c r="B6918"/>
  <c r="B6919"/>
  <c r="B6920"/>
  <c r="B6921"/>
  <c r="B6922"/>
  <c r="B6923"/>
  <c r="B6924"/>
  <c r="B6925"/>
  <c r="B6926"/>
  <c r="B6927"/>
  <c r="B6928"/>
  <c r="B6929"/>
  <c r="B6930"/>
  <c r="B6931"/>
  <c r="B6932"/>
  <c r="B6933"/>
  <c r="B6934"/>
  <c r="B6935"/>
  <c r="B6936"/>
  <c r="B6937"/>
  <c r="B6938"/>
  <c r="R1666" l="1"/>
  <c r="Q1666"/>
  <c r="S1666"/>
  <c r="R1664"/>
  <c r="Q1664"/>
  <c r="S1664"/>
  <c r="R1662"/>
  <c r="Q1662"/>
  <c r="S1662"/>
  <c r="R1660"/>
  <c r="Q1660"/>
  <c r="S1660"/>
  <c r="R1658"/>
  <c r="Q1658"/>
  <c r="S1658"/>
  <c r="R1656"/>
  <c r="Q1656"/>
  <c r="S1656"/>
  <c r="R1654"/>
  <c r="Q1654"/>
  <c r="S1654"/>
  <c r="R1652"/>
  <c r="Q1652"/>
  <c r="S1652"/>
  <c r="R1650"/>
  <c r="Q1650"/>
  <c r="S1650"/>
  <c r="R1648"/>
  <c r="Q1648"/>
  <c r="S1648"/>
  <c r="Q617"/>
  <c r="S617"/>
  <c r="R617"/>
  <c r="Q615"/>
  <c r="S615"/>
  <c r="R615"/>
  <c r="Q613"/>
  <c r="S613"/>
  <c r="R613"/>
  <c r="Q611"/>
  <c r="S611"/>
  <c r="R611"/>
  <c r="Q609"/>
  <c r="S609"/>
  <c r="R609"/>
  <c r="Q607"/>
  <c r="S607"/>
  <c r="R607"/>
  <c r="Q605"/>
  <c r="S605"/>
  <c r="R605"/>
  <c r="Q603"/>
  <c r="S603"/>
  <c r="R603"/>
  <c r="Q601"/>
  <c r="S601"/>
  <c r="R601"/>
  <c r="Q599"/>
  <c r="S599"/>
  <c r="R599"/>
  <c r="Q597"/>
  <c r="S597"/>
  <c r="R597"/>
  <c r="Q595"/>
  <c r="S595"/>
  <c r="R595"/>
  <c r="Q593"/>
  <c r="S593"/>
  <c r="R593"/>
  <c r="Q591"/>
  <c r="S591"/>
  <c r="R591"/>
  <c r="Q589"/>
  <c r="S589"/>
  <c r="R589"/>
  <c r="Q587"/>
  <c r="S587"/>
  <c r="R587"/>
  <c r="Q585"/>
  <c r="S585"/>
  <c r="R585"/>
  <c r="Q583"/>
  <c r="S583"/>
  <c r="R583"/>
  <c r="Q581"/>
  <c r="S581"/>
  <c r="R581"/>
  <c r="Q579"/>
  <c r="S579"/>
  <c r="R579"/>
  <c r="Q577"/>
  <c r="S577"/>
  <c r="R577"/>
  <c r="Q575"/>
  <c r="S575"/>
  <c r="R575"/>
  <c r="R1173"/>
  <c r="Q1173"/>
  <c r="S1173"/>
  <c r="R1171"/>
  <c r="Q1171"/>
  <c r="S1171"/>
  <c r="R1169"/>
  <c r="Q1169"/>
  <c r="S1169"/>
  <c r="R1167"/>
  <c r="Q1167"/>
  <c r="S1167"/>
  <c r="R1165"/>
  <c r="Q1165"/>
  <c r="S1165"/>
  <c r="R1163"/>
  <c r="Q1163"/>
  <c r="S1163"/>
  <c r="R1161"/>
  <c r="Q1161"/>
  <c r="S1161"/>
  <c r="R1159"/>
  <c r="Q1159"/>
  <c r="S1159"/>
  <c r="R1157"/>
  <c r="Q1157"/>
  <c r="S1157"/>
  <c r="R1155"/>
  <c r="Q1155"/>
  <c r="S1155"/>
  <c r="R1153"/>
  <c r="Q1153"/>
  <c r="S1153"/>
  <c r="R1151"/>
  <c r="Q1151"/>
  <c r="S1151"/>
  <c r="R1149"/>
  <c r="Q1149"/>
  <c r="S1149"/>
  <c r="R1039"/>
  <c r="Q1039"/>
  <c r="S1039"/>
  <c r="R1037"/>
  <c r="Q1037"/>
  <c r="S1037"/>
  <c r="Q980"/>
  <c r="S980"/>
  <c r="R980"/>
  <c r="Q978"/>
  <c r="S978"/>
  <c r="R978"/>
  <c r="Q976"/>
  <c r="S976"/>
  <c r="R976"/>
  <c r="Q974"/>
  <c r="S974"/>
  <c r="R974"/>
  <c r="Q972"/>
  <c r="S972"/>
  <c r="R972"/>
  <c r="Q970"/>
  <c r="S970"/>
  <c r="R970"/>
  <c r="Q968"/>
  <c r="S968"/>
  <c r="R968"/>
  <c r="Q966"/>
  <c r="S966"/>
  <c r="R966"/>
  <c r="Q964"/>
  <c r="S964"/>
  <c r="R964"/>
  <c r="Q962"/>
  <c r="S962"/>
  <c r="R962"/>
  <c r="R248"/>
  <c r="Q248"/>
  <c r="S248"/>
  <c r="R246"/>
  <c r="Q246"/>
  <c r="S246"/>
  <c r="R244"/>
  <c r="Q244"/>
  <c r="S244"/>
  <c r="R242"/>
  <c r="Q242"/>
  <c r="S242"/>
  <c r="R240"/>
  <c r="Q240"/>
  <c r="S240"/>
  <c r="R238"/>
  <c r="Q238"/>
  <c r="S238"/>
  <c r="R236"/>
  <c r="Q236"/>
  <c r="S236"/>
  <c r="Q231"/>
  <c r="S231"/>
  <c r="R231"/>
  <c r="Q229"/>
  <c r="S229"/>
  <c r="R229"/>
  <c r="Q227"/>
  <c r="S227"/>
  <c r="R227"/>
  <c r="Q225"/>
  <c r="S225"/>
  <c r="R225"/>
  <c r="Q223"/>
  <c r="S223"/>
  <c r="R223"/>
  <c r="Q221"/>
  <c r="S221"/>
  <c r="R221"/>
  <c r="Q217"/>
  <c r="S217"/>
  <c r="R217"/>
  <c r="Q215"/>
  <c r="S215"/>
  <c r="R215"/>
  <c r="Q213"/>
  <c r="S213"/>
  <c r="R213"/>
  <c r="Q211"/>
  <c r="S211"/>
  <c r="R211"/>
  <c r="Q209"/>
  <c r="S209"/>
  <c r="R209"/>
  <c r="Q207"/>
  <c r="S207"/>
  <c r="R207"/>
  <c r="Q205"/>
  <c r="S205"/>
  <c r="R205"/>
  <c r="Q169"/>
  <c r="S169"/>
  <c r="R169"/>
  <c r="Q167"/>
  <c r="S167"/>
  <c r="R167"/>
  <c r="Q165"/>
  <c r="S165"/>
  <c r="R165"/>
  <c r="Q163"/>
  <c r="S163"/>
  <c r="R163"/>
  <c r="Q161"/>
  <c r="S161"/>
  <c r="R161"/>
  <c r="Q159"/>
  <c r="S159"/>
  <c r="R159"/>
  <c r="Q157"/>
  <c r="S157"/>
  <c r="R157"/>
  <c r="R59"/>
  <c r="Q59"/>
  <c r="S59"/>
  <c r="R57"/>
  <c r="Q57"/>
  <c r="S57"/>
  <c r="R55"/>
  <c r="Q55"/>
  <c r="S55"/>
  <c r="R53"/>
  <c r="Q53"/>
  <c r="S53"/>
  <c r="R51"/>
  <c r="Q51"/>
  <c r="S51"/>
  <c r="Q44"/>
  <c r="S44"/>
  <c r="R44"/>
  <c r="Q42"/>
  <c r="S42"/>
  <c r="R42"/>
  <c r="Q1669"/>
  <c r="S1669"/>
  <c r="R1669"/>
  <c r="Q1665"/>
  <c r="S1665"/>
  <c r="R1665"/>
  <c r="Q1663"/>
  <c r="S1663"/>
  <c r="R1663"/>
  <c r="Q1661"/>
  <c r="S1661"/>
  <c r="R1661"/>
  <c r="Q1659"/>
  <c r="S1659"/>
  <c r="R1659"/>
  <c r="Q1657"/>
  <c r="S1657"/>
  <c r="R1657"/>
  <c r="Q1655"/>
  <c r="S1655"/>
  <c r="R1655"/>
  <c r="Q1653"/>
  <c r="S1653"/>
  <c r="R1653"/>
  <c r="Q1651"/>
  <c r="S1651"/>
  <c r="R1651"/>
  <c r="Q1649"/>
  <c r="S1649"/>
  <c r="R1649"/>
  <c r="Q1647"/>
  <c r="S1647"/>
  <c r="R1647"/>
  <c r="R616"/>
  <c r="Q616"/>
  <c r="S616"/>
  <c r="R614"/>
  <c r="Q614"/>
  <c r="S614"/>
  <c r="R612"/>
  <c r="Q612"/>
  <c r="S612"/>
  <c r="R610"/>
  <c r="Q610"/>
  <c r="S610"/>
  <c r="R608"/>
  <c r="Q608"/>
  <c r="S608"/>
  <c r="R606"/>
  <c r="Q606"/>
  <c r="S606"/>
  <c r="R604"/>
  <c r="Q604"/>
  <c r="S604"/>
  <c r="R602"/>
  <c r="Q602"/>
  <c r="S602"/>
  <c r="R600"/>
  <c r="Q600"/>
  <c r="S600"/>
  <c r="R598"/>
  <c r="Q598"/>
  <c r="S598"/>
  <c r="R596"/>
  <c r="Q596"/>
  <c r="S596"/>
  <c r="R594"/>
  <c r="Q594"/>
  <c r="S594"/>
  <c r="R592"/>
  <c r="Q592"/>
  <c r="S592"/>
  <c r="R590"/>
  <c r="Q590"/>
  <c r="S590"/>
  <c r="R588"/>
  <c r="Q588"/>
  <c r="S588"/>
  <c r="R586"/>
  <c r="Q586"/>
  <c r="S586"/>
  <c r="R584"/>
  <c r="Q584"/>
  <c r="S584"/>
  <c r="R582"/>
  <c r="Q582"/>
  <c r="S582"/>
  <c r="R580"/>
  <c r="Q580"/>
  <c r="S580"/>
  <c r="R578"/>
  <c r="Q578"/>
  <c r="S578"/>
  <c r="R576"/>
  <c r="Q576"/>
  <c r="S576"/>
  <c r="R574"/>
  <c r="Q574"/>
  <c r="S574"/>
  <c r="Q1172"/>
  <c r="S1172"/>
  <c r="R1172"/>
  <c r="Q1170"/>
  <c r="S1170"/>
  <c r="R1170"/>
  <c r="Q1168"/>
  <c r="S1168"/>
  <c r="R1168"/>
  <c r="Q1166"/>
  <c r="S1166"/>
  <c r="R1166"/>
  <c r="Q1164"/>
  <c r="S1164"/>
  <c r="R1164"/>
  <c r="Q1162"/>
  <c r="S1162"/>
  <c r="R1162"/>
  <c r="Q1160"/>
  <c r="S1160"/>
  <c r="R1160"/>
  <c r="Q1158"/>
  <c r="S1158"/>
  <c r="R1158"/>
  <c r="Q1156"/>
  <c r="S1156"/>
  <c r="R1156"/>
  <c r="Q1154"/>
  <c r="S1154"/>
  <c r="R1154"/>
  <c r="Q1152"/>
  <c r="S1152"/>
  <c r="R1152"/>
  <c r="Q1150"/>
  <c r="S1150"/>
  <c r="R1150"/>
  <c r="Q1148"/>
  <c r="S1148"/>
  <c r="R1148"/>
  <c r="Q1038"/>
  <c r="S1038"/>
  <c r="R1038"/>
  <c r="R981"/>
  <c r="Q981"/>
  <c r="S981"/>
  <c r="R979"/>
  <c r="Q979"/>
  <c r="S979"/>
  <c r="R977"/>
  <c r="Q977"/>
  <c r="S977"/>
  <c r="R975"/>
  <c r="Q975"/>
  <c r="S975"/>
  <c r="R973"/>
  <c r="Q973"/>
  <c r="S973"/>
  <c r="R971"/>
  <c r="Q971"/>
  <c r="S971"/>
  <c r="R969"/>
  <c r="Q969"/>
  <c r="S969"/>
  <c r="R967"/>
  <c r="Q967"/>
  <c r="S967"/>
  <c r="R965"/>
  <c r="Q965"/>
  <c r="S965"/>
  <c r="R963"/>
  <c r="Q963"/>
  <c r="S963"/>
  <c r="Q249"/>
  <c r="S249"/>
  <c r="R249"/>
  <c r="Q247"/>
  <c r="S247"/>
  <c r="R247"/>
  <c r="Q245"/>
  <c r="S245"/>
  <c r="R245"/>
  <c r="Q243"/>
  <c r="S243"/>
  <c r="R243"/>
  <c r="Q241"/>
  <c r="S241"/>
  <c r="R241"/>
  <c r="Q239"/>
  <c r="S239"/>
  <c r="R239"/>
  <c r="Q237"/>
  <c r="S237"/>
  <c r="R237"/>
  <c r="R232"/>
  <c r="Q232"/>
  <c r="S232"/>
  <c r="R230"/>
  <c r="Q230"/>
  <c r="S230"/>
  <c r="R228"/>
  <c r="Q228"/>
  <c r="S228"/>
  <c r="R226"/>
  <c r="Q226"/>
  <c r="S226"/>
  <c r="R224"/>
  <c r="Q224"/>
  <c r="S224"/>
  <c r="R222"/>
  <c r="Q222"/>
  <c r="S222"/>
  <c r="R220"/>
  <c r="Q220"/>
  <c r="S220"/>
  <c r="R216"/>
  <c r="Q216"/>
  <c r="S216"/>
  <c r="R214"/>
  <c r="Q214"/>
  <c r="S214"/>
  <c r="R212"/>
  <c r="Q212"/>
  <c r="S212"/>
  <c r="R210"/>
  <c r="Q210"/>
  <c r="S210"/>
  <c r="R208"/>
  <c r="Q208"/>
  <c r="S208"/>
  <c r="R206"/>
  <c r="Q206"/>
  <c r="S206"/>
  <c r="R204"/>
  <c r="Q204"/>
  <c r="S204"/>
  <c r="R168"/>
  <c r="Q168"/>
  <c r="S168"/>
  <c r="R166"/>
  <c r="Q166"/>
  <c r="S166"/>
  <c r="R164"/>
  <c r="Q164"/>
  <c r="S164"/>
  <c r="R162"/>
  <c r="Q162"/>
  <c r="S162"/>
  <c r="R160"/>
  <c r="Q160"/>
  <c r="S160"/>
  <c r="R158"/>
  <c r="Q158"/>
  <c r="S158"/>
  <c r="R156"/>
  <c r="Q156"/>
  <c r="S156"/>
  <c r="Q58"/>
  <c r="S58"/>
  <c r="R58"/>
  <c r="Q56"/>
  <c r="S56"/>
  <c r="R56"/>
  <c r="Q54"/>
  <c r="S54"/>
  <c r="R54"/>
  <c r="Q52"/>
  <c r="S52"/>
  <c r="R52"/>
  <c r="R45"/>
  <c r="Q45"/>
  <c r="S45"/>
  <c r="R43"/>
  <c r="Q43"/>
  <c r="S43"/>
  <c r="T3283"/>
  <c r="V3283"/>
  <c r="U3283"/>
  <c r="T3281"/>
  <c r="V3281"/>
  <c r="U3281"/>
  <c r="T3279"/>
  <c r="V3279"/>
  <c r="U3279"/>
  <c r="T3277"/>
  <c r="V3277"/>
  <c r="U3277"/>
  <c r="T3275"/>
  <c r="V3275"/>
  <c r="U3275"/>
  <c r="T3273"/>
  <c r="V3273"/>
  <c r="U3273"/>
  <c r="T3271"/>
  <c r="V3271"/>
  <c r="U3271"/>
  <c r="T3269"/>
  <c r="V3269"/>
  <c r="U3269"/>
  <c r="T3267"/>
  <c r="V3267"/>
  <c r="U3267"/>
  <c r="T3265"/>
  <c r="V3265"/>
  <c r="U3265"/>
  <c r="T3263"/>
  <c r="V3263"/>
  <c r="U3263"/>
  <c r="T3261"/>
  <c r="V3261"/>
  <c r="U3261"/>
  <c r="T3259"/>
  <c r="V3259"/>
  <c r="U3259"/>
  <c r="T3257"/>
  <c r="V3257"/>
  <c r="U3257"/>
  <c r="T3255"/>
  <c r="V3255"/>
  <c r="U3255"/>
  <c r="T3253"/>
  <c r="V3253"/>
  <c r="U3253"/>
  <c r="T3251"/>
  <c r="V3251"/>
  <c r="U3251"/>
  <c r="T3462"/>
  <c r="V3462"/>
  <c r="U3462"/>
  <c r="U3460"/>
  <c r="T3460"/>
  <c r="V3460"/>
  <c r="T3461"/>
  <c r="V3461"/>
  <c r="U3461"/>
  <c r="U3459"/>
  <c r="T3459"/>
  <c r="V3459"/>
  <c r="T3510"/>
  <c r="V3510"/>
  <c r="U3510"/>
  <c r="T2931"/>
  <c r="V2931"/>
  <c r="U2931"/>
  <c r="U3282"/>
  <c r="T3282"/>
  <c r="V3282"/>
  <c r="U3280"/>
  <c r="T3280"/>
  <c r="V3280"/>
  <c r="U3278"/>
  <c r="T3278"/>
  <c r="V3278"/>
  <c r="U3276"/>
  <c r="T3276"/>
  <c r="V3276"/>
  <c r="U3274"/>
  <c r="T3274"/>
  <c r="V3274"/>
  <c r="U3272"/>
  <c r="T3272"/>
  <c r="V3272"/>
  <c r="U3270"/>
  <c r="T3270"/>
  <c r="V3270"/>
  <c r="U3268"/>
  <c r="T3268"/>
  <c r="V3268"/>
  <c r="U3266"/>
  <c r="T3266"/>
  <c r="V3266"/>
  <c r="U3264"/>
  <c r="T3264"/>
  <c r="V3264"/>
  <c r="U3262"/>
  <c r="T3262"/>
  <c r="V3262"/>
  <c r="U3260"/>
  <c r="T3260"/>
  <c r="V3260"/>
  <c r="U3258"/>
  <c r="T3258"/>
  <c r="V3258"/>
  <c r="U3256"/>
  <c r="T3256"/>
  <c r="V3256"/>
  <c r="U3254"/>
  <c r="T3254"/>
  <c r="V3254"/>
  <c r="U3252"/>
  <c r="T3252"/>
  <c r="V3252"/>
  <c r="U3250"/>
  <c r="T3250"/>
  <c r="V3250"/>
  <c r="T3458"/>
  <c r="V3458"/>
  <c r="U3458"/>
  <c r="T3249"/>
  <c r="V3249"/>
  <c r="U3249"/>
  <c r="T2898"/>
  <c r="V2898"/>
  <c r="U2898"/>
  <c r="R6024"/>
  <c r="Q6024"/>
  <c r="S6024"/>
  <c r="R6022"/>
  <c r="Q6022"/>
  <c r="S6022"/>
  <c r="R6020"/>
  <c r="Q6020"/>
  <c r="S6020"/>
  <c r="R6018"/>
  <c r="Q6018"/>
  <c r="S6018"/>
  <c r="Q6016"/>
  <c r="S6016"/>
  <c r="R6016"/>
  <c r="Q6014"/>
  <c r="S6014"/>
  <c r="R6014"/>
  <c r="R6012"/>
  <c r="Q6012"/>
  <c r="S6012"/>
  <c r="Q6010"/>
  <c r="S6010"/>
  <c r="R6010"/>
  <c r="R6008"/>
  <c r="Q6008"/>
  <c r="S6008"/>
  <c r="Q6006"/>
  <c r="S6006"/>
  <c r="R6006"/>
  <c r="R6004"/>
  <c r="Q6004"/>
  <c r="S6004"/>
  <c r="R6002"/>
  <c r="Q6002"/>
  <c r="S6002"/>
  <c r="R6000"/>
  <c r="Q6000"/>
  <c r="S6000"/>
  <c r="R5998"/>
  <c r="Q5998"/>
  <c r="S5998"/>
  <c r="R5996"/>
  <c r="Q5996"/>
  <c r="S5996"/>
  <c r="Q5994"/>
  <c r="S5994"/>
  <c r="R5994"/>
  <c r="Q5992"/>
  <c r="S5992"/>
  <c r="R5992"/>
  <c r="R5990"/>
  <c r="Q5990"/>
  <c r="S5990"/>
  <c r="R5988"/>
  <c r="Q5988"/>
  <c r="S5988"/>
  <c r="R5986"/>
  <c r="Q5986"/>
  <c r="S5986"/>
  <c r="R5984"/>
  <c r="Q5984"/>
  <c r="S5984"/>
  <c r="R5982"/>
  <c r="Q5982"/>
  <c r="S5982"/>
  <c r="R5980"/>
  <c r="Q5980"/>
  <c r="S5980"/>
  <c r="R5978"/>
  <c r="Q5978"/>
  <c r="S5978"/>
  <c r="R5976"/>
  <c r="Q5976"/>
  <c r="S5976"/>
  <c r="R5974"/>
  <c r="Q5974"/>
  <c r="S5974"/>
  <c r="R5972"/>
  <c r="Q5972"/>
  <c r="S5972"/>
  <c r="R5970"/>
  <c r="Q5970"/>
  <c r="S5970"/>
  <c r="R5968"/>
  <c r="Q5968"/>
  <c r="S5968"/>
  <c r="R5966"/>
  <c r="Q5966"/>
  <c r="S5966"/>
  <c r="R5964"/>
  <c r="Q5964"/>
  <c r="S5964"/>
  <c r="R5962"/>
  <c r="Q5962"/>
  <c r="S5962"/>
  <c r="R5960"/>
  <c r="Q5960"/>
  <c r="S5960"/>
  <c r="R5958"/>
  <c r="Q5958"/>
  <c r="S5958"/>
  <c r="R5956"/>
  <c r="Q5956"/>
  <c r="S5956"/>
  <c r="R5954"/>
  <c r="Q5954"/>
  <c r="S5954"/>
  <c r="R5952"/>
  <c r="Q5952"/>
  <c r="S5952"/>
  <c r="R5950"/>
  <c r="Q5950"/>
  <c r="S5950"/>
  <c r="R5948"/>
  <c r="Q5948"/>
  <c r="S5948"/>
  <c r="R5946"/>
  <c r="Q5946"/>
  <c r="S5946"/>
  <c r="R5944"/>
  <c r="Q5944"/>
  <c r="S5944"/>
  <c r="R5942"/>
  <c r="Q5942"/>
  <c r="S5942"/>
  <c r="R5940"/>
  <c r="Q5940"/>
  <c r="S5940"/>
  <c r="R5938"/>
  <c r="Q5938"/>
  <c r="S5938"/>
  <c r="R5936"/>
  <c r="Q5936"/>
  <c r="S5936"/>
  <c r="R5934"/>
  <c r="Q5934"/>
  <c r="S5934"/>
  <c r="R5932"/>
  <c r="Q5932"/>
  <c r="S5932"/>
  <c r="R5930"/>
  <c r="Q5930"/>
  <c r="S5930"/>
  <c r="R5928"/>
  <c r="Q5928"/>
  <c r="S5928"/>
  <c r="R5926"/>
  <c r="Q5926"/>
  <c r="S5926"/>
  <c r="R5924"/>
  <c r="Q5924"/>
  <c r="S5924"/>
  <c r="R5922"/>
  <c r="Q5922"/>
  <c r="S5922"/>
  <c r="R5920"/>
  <c r="Q5920"/>
  <c r="S5920"/>
  <c r="R5918"/>
  <c r="Q5918"/>
  <c r="S5918"/>
  <c r="R5916"/>
  <c r="Q5916"/>
  <c r="S5916"/>
  <c r="R5914"/>
  <c r="Q5914"/>
  <c r="S5914"/>
  <c r="R5912"/>
  <c r="Q5912"/>
  <c r="S5912"/>
  <c r="R5910"/>
  <c r="Q5910"/>
  <c r="S5910"/>
  <c r="R5908"/>
  <c r="Q5908"/>
  <c r="S5908"/>
  <c r="R5906"/>
  <c r="Q5906"/>
  <c r="S5906"/>
  <c r="R5904"/>
  <c r="Q5904"/>
  <c r="S5904"/>
  <c r="R5902"/>
  <c r="Q5902"/>
  <c r="S5902"/>
  <c r="R5900"/>
  <c r="Q5900"/>
  <c r="S5900"/>
  <c r="R5898"/>
  <c r="Q5898"/>
  <c r="S5898"/>
  <c r="R5896"/>
  <c r="Q5896"/>
  <c r="S5896"/>
  <c r="R5894"/>
  <c r="Q5894"/>
  <c r="S5894"/>
  <c r="R5892"/>
  <c r="Q5892"/>
  <c r="S5892"/>
  <c r="R5890"/>
  <c r="Q5890"/>
  <c r="S5890"/>
  <c r="R5888"/>
  <c r="Q5888"/>
  <c r="S5888"/>
  <c r="R5886"/>
  <c r="Q5886"/>
  <c r="S5886"/>
  <c r="R5884"/>
  <c r="Q5884"/>
  <c r="S5884"/>
  <c r="R5882"/>
  <c r="Q5882"/>
  <c r="S5882"/>
  <c r="R5880"/>
  <c r="Q5880"/>
  <c r="S5880"/>
  <c r="R5878"/>
  <c r="Q5878"/>
  <c r="S5878"/>
  <c r="R5876"/>
  <c r="Q5876"/>
  <c r="S5876"/>
  <c r="R5874"/>
  <c r="Q5874"/>
  <c r="S5874"/>
  <c r="R5872"/>
  <c r="Q5872"/>
  <c r="S5872"/>
  <c r="R5870"/>
  <c r="Q5870"/>
  <c r="S5870"/>
  <c r="R5868"/>
  <c r="Q5868"/>
  <c r="S5868"/>
  <c r="R5866"/>
  <c r="Q5866"/>
  <c r="S5866"/>
  <c r="R5864"/>
  <c r="Q5864"/>
  <c r="S5864"/>
  <c r="R5862"/>
  <c r="Q5862"/>
  <c r="S5862"/>
  <c r="R5860"/>
  <c r="Q5860"/>
  <c r="S5860"/>
  <c r="R5858"/>
  <c r="Q5858"/>
  <c r="S5858"/>
  <c r="R5856"/>
  <c r="Q5856"/>
  <c r="S5856"/>
  <c r="R5854"/>
  <c r="Q5854"/>
  <c r="S5854"/>
  <c r="R5852"/>
  <c r="Q5852"/>
  <c r="S5852"/>
  <c r="R5850"/>
  <c r="Q5850"/>
  <c r="S5850"/>
  <c r="R5848"/>
  <c r="Q5848"/>
  <c r="S5848"/>
  <c r="R5846"/>
  <c r="Q5846"/>
  <c r="S5846"/>
  <c r="R5844"/>
  <c r="Q5844"/>
  <c r="S5844"/>
  <c r="R5842"/>
  <c r="Q5842"/>
  <c r="S5842"/>
  <c r="R5840"/>
  <c r="Q5840"/>
  <c r="S5840"/>
  <c r="R5838"/>
  <c r="Q5838"/>
  <c r="S5838"/>
  <c r="R5836"/>
  <c r="Q5836"/>
  <c r="S5836"/>
  <c r="R5834"/>
  <c r="Q5834"/>
  <c r="S5834"/>
  <c r="R5832"/>
  <c r="Q5832"/>
  <c r="S5832"/>
  <c r="R5830"/>
  <c r="Q5830"/>
  <c r="S5830"/>
  <c r="R5828"/>
  <c r="Q5828"/>
  <c r="S5828"/>
  <c r="R5826"/>
  <c r="Q5826"/>
  <c r="S5826"/>
  <c r="R5824"/>
  <c r="Q5824"/>
  <c r="S5824"/>
  <c r="R5822"/>
  <c r="Q5822"/>
  <c r="S5822"/>
  <c r="R5820"/>
  <c r="Q5820"/>
  <c r="S5820"/>
  <c r="R5818"/>
  <c r="Q5818"/>
  <c r="S5818"/>
  <c r="R5816"/>
  <c r="Q5816"/>
  <c r="S5816"/>
  <c r="R5814"/>
  <c r="Q5814"/>
  <c r="S5814"/>
  <c r="R5812"/>
  <c r="Q5812"/>
  <c r="S5812"/>
  <c r="R5810"/>
  <c r="Q5810"/>
  <c r="S5810"/>
  <c r="R5808"/>
  <c r="Q5808"/>
  <c r="S5808"/>
  <c r="R5806"/>
  <c r="Q5806"/>
  <c r="S5806"/>
  <c r="R5804"/>
  <c r="Q5804"/>
  <c r="S5804"/>
  <c r="R5802"/>
  <c r="Q5802"/>
  <c r="S5802"/>
  <c r="R5800"/>
  <c r="Q5800"/>
  <c r="S5800"/>
  <c r="R5798"/>
  <c r="Q5798"/>
  <c r="S5798"/>
  <c r="R5796"/>
  <c r="Q5796"/>
  <c r="S5796"/>
  <c r="R5794"/>
  <c r="Q5794"/>
  <c r="S5794"/>
  <c r="R5792"/>
  <c r="Q5792"/>
  <c r="S5792"/>
  <c r="R5790"/>
  <c r="Q5790"/>
  <c r="S5790"/>
  <c r="R5788"/>
  <c r="Q5788"/>
  <c r="S5788"/>
  <c r="R5786"/>
  <c r="Q5786"/>
  <c r="S5786"/>
  <c r="R5784"/>
  <c r="Q5784"/>
  <c r="S5784"/>
  <c r="R5782"/>
  <c r="Q5782"/>
  <c r="S5782"/>
  <c r="R5780"/>
  <c r="Q5780"/>
  <c r="S5780"/>
  <c r="R5778"/>
  <c r="Q5778"/>
  <c r="S5778"/>
  <c r="R5776"/>
  <c r="Q5776"/>
  <c r="S5776"/>
  <c r="R5774"/>
  <c r="Q5774"/>
  <c r="S5774"/>
  <c r="R5772"/>
  <c r="Q5772"/>
  <c r="S5772"/>
  <c r="R5770"/>
  <c r="Q5770"/>
  <c r="S5770"/>
  <c r="R5768"/>
  <c r="Q5768"/>
  <c r="S5768"/>
  <c r="R5766"/>
  <c r="Q5766"/>
  <c r="S5766"/>
  <c r="R5764"/>
  <c r="Q5764"/>
  <c r="S5764"/>
  <c r="R5762"/>
  <c r="Q5762"/>
  <c r="S5762"/>
  <c r="R5760"/>
  <c r="Q5760"/>
  <c r="S5760"/>
  <c r="R5758"/>
  <c r="Q5758"/>
  <c r="S5758"/>
  <c r="R5756"/>
  <c r="Q5756"/>
  <c r="S5756"/>
  <c r="R5754"/>
  <c r="Q5754"/>
  <c r="S5754"/>
  <c r="R5752"/>
  <c r="Q5752"/>
  <c r="S5752"/>
  <c r="R5750"/>
  <c r="Q5750"/>
  <c r="S5750"/>
  <c r="R5748"/>
  <c r="Q5748"/>
  <c r="S5748"/>
  <c r="R5746"/>
  <c r="Q5746"/>
  <c r="S5746"/>
  <c r="R5744"/>
  <c r="Q5744"/>
  <c r="S5744"/>
  <c r="R5742"/>
  <c r="Q5742"/>
  <c r="S5742"/>
  <c r="R5740"/>
  <c r="Q5740"/>
  <c r="S5740"/>
  <c r="R5738"/>
  <c r="Q5738"/>
  <c r="S5738"/>
  <c r="R5736"/>
  <c r="Q5736"/>
  <c r="S5736"/>
  <c r="R5734"/>
  <c r="Q5734"/>
  <c r="S5734"/>
  <c r="R5732"/>
  <c r="Q5732"/>
  <c r="S5732"/>
  <c r="R5730"/>
  <c r="Q5730"/>
  <c r="S5730"/>
  <c r="R5728"/>
  <c r="Q5728"/>
  <c r="S5728"/>
  <c r="R5726"/>
  <c r="Q5726"/>
  <c r="S5726"/>
  <c r="R5724"/>
  <c r="Q5724"/>
  <c r="S5724"/>
  <c r="R5722"/>
  <c r="Q5722"/>
  <c r="S5722"/>
  <c r="R5720"/>
  <c r="Q5720"/>
  <c r="S5720"/>
  <c r="R5718"/>
  <c r="Q5718"/>
  <c r="S5718"/>
  <c r="R5716"/>
  <c r="Q5716"/>
  <c r="S5716"/>
  <c r="R5714"/>
  <c r="Q5714"/>
  <c r="S5714"/>
  <c r="R5712"/>
  <c r="Q5712"/>
  <c r="S5712"/>
  <c r="R5710"/>
  <c r="Q5710"/>
  <c r="S5710"/>
  <c r="R5708"/>
  <c r="Q5708"/>
  <c r="S5708"/>
  <c r="R5706"/>
  <c r="Q5706"/>
  <c r="S5706"/>
  <c r="R5704"/>
  <c r="Q5704"/>
  <c r="S5704"/>
  <c r="R5702"/>
  <c r="Q5702"/>
  <c r="S5702"/>
  <c r="R5700"/>
  <c r="Q5700"/>
  <c r="S5700"/>
  <c r="R5698"/>
  <c r="Q5698"/>
  <c r="S5698"/>
  <c r="R5696"/>
  <c r="Q5696"/>
  <c r="S5696"/>
  <c r="R5694"/>
  <c r="Q5694"/>
  <c r="S5694"/>
  <c r="R5692"/>
  <c r="Q5692"/>
  <c r="S5692"/>
  <c r="R5690"/>
  <c r="Q5690"/>
  <c r="S5690"/>
  <c r="R5688"/>
  <c r="Q5688"/>
  <c r="S5688"/>
  <c r="R5686"/>
  <c r="Q5686"/>
  <c r="S5686"/>
  <c r="R5684"/>
  <c r="Q5684"/>
  <c r="S5684"/>
  <c r="R5682"/>
  <c r="Q5682"/>
  <c r="S5682"/>
  <c r="R5680"/>
  <c r="Q5680"/>
  <c r="S5680"/>
  <c r="R5678"/>
  <c r="Q5678"/>
  <c r="S5678"/>
  <c r="R5676"/>
  <c r="Q5676"/>
  <c r="S5676"/>
  <c r="R5674"/>
  <c r="Q5674"/>
  <c r="S5674"/>
  <c r="R5672"/>
  <c r="Q5672"/>
  <c r="S5672"/>
  <c r="R5670"/>
  <c r="Q5670"/>
  <c r="S5670"/>
  <c r="R5668"/>
  <c r="Q5668"/>
  <c r="S5668"/>
  <c r="R5666"/>
  <c r="Q5666"/>
  <c r="S5666"/>
  <c r="R5664"/>
  <c r="Q5664"/>
  <c r="S5664"/>
  <c r="R5662"/>
  <c r="Q5662"/>
  <c r="S5662"/>
  <c r="R5660"/>
  <c r="Q5660"/>
  <c r="S5660"/>
  <c r="R5658"/>
  <c r="Q5658"/>
  <c r="S5658"/>
  <c r="R5656"/>
  <c r="Q5656"/>
  <c r="S5656"/>
  <c r="R5654"/>
  <c r="Q5654"/>
  <c r="S5654"/>
  <c r="R5652"/>
  <c r="Q5652"/>
  <c r="S5652"/>
  <c r="R5650"/>
  <c r="Q5650"/>
  <c r="S5650"/>
  <c r="R5648"/>
  <c r="Q5648"/>
  <c r="S5648"/>
  <c r="R5646"/>
  <c r="Q5646"/>
  <c r="S5646"/>
  <c r="R5644"/>
  <c r="Q5644"/>
  <c r="S5644"/>
  <c r="R5642"/>
  <c r="Q5642"/>
  <c r="S5642"/>
  <c r="R5640"/>
  <c r="Q5640"/>
  <c r="S5640"/>
  <c r="R5638"/>
  <c r="Q5638"/>
  <c r="S5638"/>
  <c r="R5636"/>
  <c r="Q5636"/>
  <c r="S5636"/>
  <c r="R5634"/>
  <c r="Q5634"/>
  <c r="S5634"/>
  <c r="R5632"/>
  <c r="Q5632"/>
  <c r="S5632"/>
  <c r="R5630"/>
  <c r="Q5630"/>
  <c r="S5630"/>
  <c r="R5628"/>
  <c r="Q5628"/>
  <c r="S5628"/>
  <c r="R5626"/>
  <c r="Q5626"/>
  <c r="S5626"/>
  <c r="R5624"/>
  <c r="Q5624"/>
  <c r="S5624"/>
  <c r="R5622"/>
  <c r="Q5622"/>
  <c r="S5622"/>
  <c r="R5620"/>
  <c r="Q5620"/>
  <c r="S5620"/>
  <c r="R5618"/>
  <c r="Q5618"/>
  <c r="S5618"/>
  <c r="R5616"/>
  <c r="Q5616"/>
  <c r="S5616"/>
  <c r="R5614"/>
  <c r="Q5614"/>
  <c r="S5614"/>
  <c r="R5612"/>
  <c r="Q5612"/>
  <c r="S5612"/>
  <c r="R5610"/>
  <c r="Q5610"/>
  <c r="S5610"/>
  <c r="R5608"/>
  <c r="Q5608"/>
  <c r="S5608"/>
  <c r="R5606"/>
  <c r="Q5606"/>
  <c r="S5606"/>
  <c r="R5604"/>
  <c r="Q5604"/>
  <c r="S5604"/>
  <c r="R5602"/>
  <c r="Q5602"/>
  <c r="S5602"/>
  <c r="R5600"/>
  <c r="Q5600"/>
  <c r="S5600"/>
  <c r="R5598"/>
  <c r="Q5598"/>
  <c r="S5598"/>
  <c r="R5596"/>
  <c r="Q5596"/>
  <c r="S5596"/>
  <c r="R5594"/>
  <c r="Q5594"/>
  <c r="S5594"/>
  <c r="R5592"/>
  <c r="Q5592"/>
  <c r="S5592"/>
  <c r="R5590"/>
  <c r="Q5590"/>
  <c r="S5590"/>
  <c r="R5588"/>
  <c r="Q5588"/>
  <c r="S5588"/>
  <c r="R5586"/>
  <c r="Q5586"/>
  <c r="S5586"/>
  <c r="R5584"/>
  <c r="Q5584"/>
  <c r="S5584"/>
  <c r="R5582"/>
  <c r="Q5582"/>
  <c r="S5582"/>
  <c r="R5580"/>
  <c r="Q5580"/>
  <c r="S5580"/>
  <c r="R5578"/>
  <c r="Q5578"/>
  <c r="S5578"/>
  <c r="R5576"/>
  <c r="Q5576"/>
  <c r="S5576"/>
  <c r="R5574"/>
  <c r="Q5574"/>
  <c r="S5574"/>
  <c r="R5572"/>
  <c r="Q5572"/>
  <c r="S5572"/>
  <c r="R5570"/>
  <c r="Q5570"/>
  <c r="S5570"/>
  <c r="R5568"/>
  <c r="Q5568"/>
  <c r="S5568"/>
  <c r="R5566"/>
  <c r="Q5566"/>
  <c r="S5566"/>
  <c r="R5564"/>
  <c r="Q5564"/>
  <c r="S5564"/>
  <c r="R5562"/>
  <c r="Q5562"/>
  <c r="S5562"/>
  <c r="R5560"/>
  <c r="Q5560"/>
  <c r="S5560"/>
  <c r="R5558"/>
  <c r="Q5558"/>
  <c r="S5558"/>
  <c r="R5556"/>
  <c r="Q5556"/>
  <c r="S5556"/>
  <c r="R5554"/>
  <c r="Q5554"/>
  <c r="S5554"/>
  <c r="R5552"/>
  <c r="Q5552"/>
  <c r="S5552"/>
  <c r="Q6023"/>
  <c r="R6023"/>
  <c r="S6023"/>
  <c r="Q6021"/>
  <c r="R6021"/>
  <c r="S6021"/>
  <c r="R6019"/>
  <c r="Q6019"/>
  <c r="S6019"/>
  <c r="R6017"/>
  <c r="Q6017"/>
  <c r="S6017"/>
  <c r="S6015"/>
  <c r="R6015"/>
  <c r="Q6015"/>
  <c r="S6013"/>
  <c r="R6013"/>
  <c r="Q6013"/>
  <c r="R6011"/>
  <c r="Q6011"/>
  <c r="S6011"/>
  <c r="Q6009"/>
  <c r="R6009"/>
  <c r="S6009"/>
  <c r="S6007"/>
  <c r="R6007"/>
  <c r="Q6007"/>
  <c r="Q6005"/>
  <c r="R6005"/>
  <c r="S6005"/>
  <c r="R6003"/>
  <c r="Q6003"/>
  <c r="S6003"/>
  <c r="R6001"/>
  <c r="Q6001"/>
  <c r="S6001"/>
  <c r="Q5999"/>
  <c r="S5999"/>
  <c r="R5999"/>
  <c r="Q5997"/>
  <c r="R5997"/>
  <c r="S5997"/>
  <c r="S5995"/>
  <c r="R5995"/>
  <c r="Q5995"/>
  <c r="S5993"/>
  <c r="R5993"/>
  <c r="Q5993"/>
  <c r="S5991"/>
  <c r="R5991"/>
  <c r="Q5991"/>
  <c r="Q5989"/>
  <c r="R5989"/>
  <c r="S5989"/>
  <c r="R5987"/>
  <c r="Q5987"/>
  <c r="S5987"/>
  <c r="Q5985"/>
  <c r="S5985"/>
  <c r="R5985"/>
  <c r="Q5983"/>
  <c r="S5983"/>
  <c r="R5983"/>
  <c r="Q5981"/>
  <c r="S5981"/>
  <c r="R5981"/>
  <c r="Q5979"/>
  <c r="S5979"/>
  <c r="R5979"/>
  <c r="Q5977"/>
  <c r="S5977"/>
  <c r="R5977"/>
  <c r="Q5975"/>
  <c r="S5975"/>
  <c r="R5975"/>
  <c r="Q5973"/>
  <c r="S5973"/>
  <c r="R5973"/>
  <c r="Q5971"/>
  <c r="S5971"/>
  <c r="R5971"/>
  <c r="Q5969"/>
  <c r="S5969"/>
  <c r="R5969"/>
  <c r="Q5967"/>
  <c r="S5967"/>
  <c r="R5967"/>
  <c r="Q5965"/>
  <c r="S5965"/>
  <c r="R5965"/>
  <c r="Q5963"/>
  <c r="S5963"/>
  <c r="R5963"/>
  <c r="Q5961"/>
  <c r="S5961"/>
  <c r="R5961"/>
  <c r="Q5959"/>
  <c r="S5959"/>
  <c r="R5959"/>
  <c r="Q5957"/>
  <c r="S5957"/>
  <c r="R5957"/>
  <c r="Q5955"/>
  <c r="S5955"/>
  <c r="R5955"/>
  <c r="Q5953"/>
  <c r="S5953"/>
  <c r="R5953"/>
  <c r="Q5951"/>
  <c r="S5951"/>
  <c r="R5951"/>
  <c r="Q5949"/>
  <c r="S5949"/>
  <c r="R5949"/>
  <c r="Q5947"/>
  <c r="S5947"/>
  <c r="R5947"/>
  <c r="Q5945"/>
  <c r="S5945"/>
  <c r="R5945"/>
  <c r="Q5943"/>
  <c r="S5943"/>
  <c r="R5943"/>
  <c r="Q5941"/>
  <c r="S5941"/>
  <c r="R5941"/>
  <c r="Q5939"/>
  <c r="S5939"/>
  <c r="R5939"/>
  <c r="Q5937"/>
  <c r="S5937"/>
  <c r="R5937"/>
  <c r="Q5935"/>
  <c r="S5935"/>
  <c r="R5935"/>
  <c r="Q5933"/>
  <c r="S5933"/>
  <c r="R5933"/>
  <c r="Q5931"/>
  <c r="S5931"/>
  <c r="R5931"/>
  <c r="Q5929"/>
  <c r="S5929"/>
  <c r="R5929"/>
  <c r="Q5927"/>
  <c r="S5927"/>
  <c r="R5927"/>
  <c r="Q5925"/>
  <c r="S5925"/>
  <c r="R5925"/>
  <c r="Q5923"/>
  <c r="S5923"/>
  <c r="R5923"/>
  <c r="Q5921"/>
  <c r="S5921"/>
  <c r="R5921"/>
  <c r="Q5919"/>
  <c r="S5919"/>
  <c r="R5919"/>
  <c r="Q5917"/>
  <c r="S5917"/>
  <c r="R5917"/>
  <c r="Q5915"/>
  <c r="S5915"/>
  <c r="R5915"/>
  <c r="Q5913"/>
  <c r="S5913"/>
  <c r="R5913"/>
  <c r="Q5911"/>
  <c r="S5911"/>
  <c r="R5911"/>
  <c r="Q5909"/>
  <c r="S5909"/>
  <c r="R5909"/>
  <c r="Q5907"/>
  <c r="S5907"/>
  <c r="R5907"/>
  <c r="Q5905"/>
  <c r="S5905"/>
  <c r="R5905"/>
  <c r="Q5903"/>
  <c r="S5903"/>
  <c r="R5903"/>
  <c r="Q5901"/>
  <c r="S5901"/>
  <c r="R5901"/>
  <c r="Q5899"/>
  <c r="S5899"/>
  <c r="R5899"/>
  <c r="Q5897"/>
  <c r="S5897"/>
  <c r="R5897"/>
  <c r="Q5895"/>
  <c r="S5895"/>
  <c r="R5895"/>
  <c r="Q5893"/>
  <c r="S5893"/>
  <c r="R5893"/>
  <c r="Q5891"/>
  <c r="S5891"/>
  <c r="R5891"/>
  <c r="Q5889"/>
  <c r="S5889"/>
  <c r="R5889"/>
  <c r="Q5887"/>
  <c r="S5887"/>
  <c r="R5887"/>
  <c r="Q5885"/>
  <c r="S5885"/>
  <c r="R5885"/>
  <c r="Q5883"/>
  <c r="S5883"/>
  <c r="R5883"/>
  <c r="Q5881"/>
  <c r="S5881"/>
  <c r="R5881"/>
  <c r="Q5879"/>
  <c r="S5879"/>
  <c r="R5879"/>
  <c r="Q5877"/>
  <c r="S5877"/>
  <c r="R5877"/>
  <c r="Q5875"/>
  <c r="S5875"/>
  <c r="R5875"/>
  <c r="Q5873"/>
  <c r="S5873"/>
  <c r="R5873"/>
  <c r="Q5871"/>
  <c r="S5871"/>
  <c r="R5871"/>
  <c r="Q5869"/>
  <c r="S5869"/>
  <c r="R5869"/>
  <c r="Q5867"/>
  <c r="S5867"/>
  <c r="R5867"/>
  <c r="Q5865"/>
  <c r="S5865"/>
  <c r="R5865"/>
  <c r="Q5863"/>
  <c r="S5863"/>
  <c r="R5863"/>
  <c r="Q5861"/>
  <c r="S5861"/>
  <c r="R5861"/>
  <c r="Q5859"/>
  <c r="S5859"/>
  <c r="R5859"/>
  <c r="Q5857"/>
  <c r="S5857"/>
  <c r="R5857"/>
  <c r="Q5855"/>
  <c r="S5855"/>
  <c r="R5855"/>
  <c r="Q5853"/>
  <c r="S5853"/>
  <c r="R5853"/>
  <c r="Q5851"/>
  <c r="S5851"/>
  <c r="R5851"/>
  <c r="Q5849"/>
  <c r="S5849"/>
  <c r="R5849"/>
  <c r="Q5847"/>
  <c r="S5847"/>
  <c r="R5847"/>
  <c r="Q5845"/>
  <c r="S5845"/>
  <c r="R5845"/>
  <c r="Q5843"/>
  <c r="S5843"/>
  <c r="R5843"/>
  <c r="Q5841"/>
  <c r="S5841"/>
  <c r="R5841"/>
  <c r="Q5839"/>
  <c r="S5839"/>
  <c r="R5839"/>
  <c r="Q5837"/>
  <c r="S5837"/>
  <c r="R5837"/>
  <c r="Q5835"/>
  <c r="S5835"/>
  <c r="R5835"/>
  <c r="Q5833"/>
  <c r="S5833"/>
  <c r="R5833"/>
  <c r="Q5831"/>
  <c r="S5831"/>
  <c r="R5831"/>
  <c r="Q5829"/>
  <c r="S5829"/>
  <c r="R5829"/>
  <c r="Q5827"/>
  <c r="S5827"/>
  <c r="R5827"/>
  <c r="Q5825"/>
  <c r="S5825"/>
  <c r="R5825"/>
  <c r="Q5823"/>
  <c r="S5823"/>
  <c r="R5823"/>
  <c r="Q5821"/>
  <c r="S5821"/>
  <c r="R5821"/>
  <c r="Q5819"/>
  <c r="S5819"/>
  <c r="R5819"/>
  <c r="Q5817"/>
  <c r="S5817"/>
  <c r="R5817"/>
  <c r="Q5815"/>
  <c r="S5815"/>
  <c r="R5815"/>
  <c r="Q5813"/>
  <c r="S5813"/>
  <c r="R5813"/>
  <c r="Q5811"/>
  <c r="S5811"/>
  <c r="R5811"/>
  <c r="Q5809"/>
  <c r="S5809"/>
  <c r="R5809"/>
  <c r="Q5807"/>
  <c r="S5807"/>
  <c r="R5807"/>
  <c r="Q5805"/>
  <c r="S5805"/>
  <c r="R5805"/>
  <c r="Q5803"/>
  <c r="S5803"/>
  <c r="R5803"/>
  <c r="Q5801"/>
  <c r="S5801"/>
  <c r="R5801"/>
  <c r="Q5799"/>
  <c r="S5799"/>
  <c r="R5799"/>
  <c r="Q5797"/>
  <c r="S5797"/>
  <c r="R5797"/>
  <c r="Q5795"/>
  <c r="S5795"/>
  <c r="R5795"/>
  <c r="Q5793"/>
  <c r="S5793"/>
  <c r="R5793"/>
  <c r="Q5791"/>
  <c r="S5791"/>
  <c r="R5791"/>
  <c r="Q5789"/>
  <c r="S5789"/>
  <c r="R5789"/>
  <c r="Q5787"/>
  <c r="S5787"/>
  <c r="R5787"/>
  <c r="Q5785"/>
  <c r="S5785"/>
  <c r="R5785"/>
  <c r="Q5783"/>
  <c r="S5783"/>
  <c r="R5783"/>
  <c r="Q5781"/>
  <c r="S5781"/>
  <c r="R5781"/>
  <c r="Q5779"/>
  <c r="S5779"/>
  <c r="R5779"/>
  <c r="Q5777"/>
  <c r="S5777"/>
  <c r="R5777"/>
  <c r="Q5775"/>
  <c r="S5775"/>
  <c r="R5775"/>
  <c r="Q5773"/>
  <c r="S5773"/>
  <c r="R5773"/>
  <c r="Q5771"/>
  <c r="S5771"/>
  <c r="R5771"/>
  <c r="Q5769"/>
  <c r="S5769"/>
  <c r="R5769"/>
  <c r="Q5767"/>
  <c r="S5767"/>
  <c r="R5767"/>
  <c r="Q5765"/>
  <c r="S5765"/>
  <c r="R5765"/>
  <c r="Q5763"/>
  <c r="S5763"/>
  <c r="R5763"/>
  <c r="Q5761"/>
  <c r="S5761"/>
  <c r="R5761"/>
  <c r="Q5759"/>
  <c r="S5759"/>
  <c r="R5759"/>
  <c r="Q5757"/>
  <c r="S5757"/>
  <c r="R5757"/>
  <c r="Q5755"/>
  <c r="S5755"/>
  <c r="R5755"/>
  <c r="Q5753"/>
  <c r="S5753"/>
  <c r="R5753"/>
  <c r="Q5751"/>
  <c r="S5751"/>
  <c r="R5751"/>
  <c r="Q5749"/>
  <c r="S5749"/>
  <c r="R5749"/>
  <c r="Q5747"/>
  <c r="S5747"/>
  <c r="R5747"/>
  <c r="Q5745"/>
  <c r="S5745"/>
  <c r="R5745"/>
  <c r="Q5743"/>
  <c r="S5743"/>
  <c r="R5743"/>
  <c r="Q5741"/>
  <c r="S5741"/>
  <c r="R5741"/>
  <c r="Q5739"/>
  <c r="S5739"/>
  <c r="R5739"/>
  <c r="Q5737"/>
  <c r="S5737"/>
  <c r="R5737"/>
  <c r="Q5735"/>
  <c r="S5735"/>
  <c r="R5735"/>
  <c r="Q5733"/>
  <c r="S5733"/>
  <c r="R5733"/>
  <c r="Q5731"/>
  <c r="S5731"/>
  <c r="R5731"/>
  <c r="Q5729"/>
  <c r="S5729"/>
  <c r="R5729"/>
  <c r="Q5727"/>
  <c r="S5727"/>
  <c r="R5727"/>
  <c r="Q5725"/>
  <c r="S5725"/>
  <c r="R5725"/>
  <c r="Q5723"/>
  <c r="S5723"/>
  <c r="R5723"/>
  <c r="Q5721"/>
  <c r="S5721"/>
  <c r="R5721"/>
  <c r="Q5719"/>
  <c r="S5719"/>
  <c r="R5719"/>
  <c r="Q5717"/>
  <c r="S5717"/>
  <c r="R5717"/>
  <c r="Q5715"/>
  <c r="S5715"/>
  <c r="R5715"/>
  <c r="Q5713"/>
  <c r="S5713"/>
  <c r="R5713"/>
  <c r="Q5711"/>
  <c r="S5711"/>
  <c r="R5711"/>
  <c r="Q5709"/>
  <c r="S5709"/>
  <c r="R5709"/>
  <c r="Q5707"/>
  <c r="S5707"/>
  <c r="R5707"/>
  <c r="Q5705"/>
  <c r="S5705"/>
  <c r="R5705"/>
  <c r="Q5703"/>
  <c r="S5703"/>
  <c r="R5703"/>
  <c r="Q5701"/>
  <c r="S5701"/>
  <c r="R5701"/>
  <c r="Q5699"/>
  <c r="S5699"/>
  <c r="R5699"/>
  <c r="Q5697"/>
  <c r="S5697"/>
  <c r="R5697"/>
  <c r="Q5695"/>
  <c r="S5695"/>
  <c r="R5695"/>
  <c r="Q5693"/>
  <c r="S5693"/>
  <c r="R5693"/>
  <c r="Q5691"/>
  <c r="S5691"/>
  <c r="R5691"/>
  <c r="Q5689"/>
  <c r="S5689"/>
  <c r="R5689"/>
  <c r="Q5687"/>
  <c r="S5687"/>
  <c r="R5687"/>
  <c r="Q5685"/>
  <c r="S5685"/>
  <c r="R5685"/>
  <c r="Q5683"/>
  <c r="S5683"/>
  <c r="R5683"/>
  <c r="Q5681"/>
  <c r="S5681"/>
  <c r="R5681"/>
  <c r="Q5679"/>
  <c r="S5679"/>
  <c r="R5679"/>
  <c r="Q5677"/>
  <c r="S5677"/>
  <c r="R5677"/>
  <c r="Q5675"/>
  <c r="S5675"/>
  <c r="R5675"/>
  <c r="Q5673"/>
  <c r="S5673"/>
  <c r="R5673"/>
  <c r="Q5671"/>
  <c r="S5671"/>
  <c r="R5671"/>
  <c r="Q5669"/>
  <c r="S5669"/>
  <c r="R5669"/>
  <c r="Q5667"/>
  <c r="S5667"/>
  <c r="R5667"/>
  <c r="Q5665"/>
  <c r="S5665"/>
  <c r="R5665"/>
  <c r="Q5663"/>
  <c r="S5663"/>
  <c r="R5663"/>
  <c r="Q5661"/>
  <c r="S5661"/>
  <c r="R5661"/>
  <c r="Q5659"/>
  <c r="S5659"/>
  <c r="R5659"/>
  <c r="Q5657"/>
  <c r="S5657"/>
  <c r="R5657"/>
  <c r="Q5655"/>
  <c r="S5655"/>
  <c r="R5655"/>
  <c r="Q5653"/>
  <c r="S5653"/>
  <c r="R5653"/>
  <c r="Q5651"/>
  <c r="S5651"/>
  <c r="R5651"/>
  <c r="Q5649"/>
  <c r="S5649"/>
  <c r="R5649"/>
  <c r="Q5647"/>
  <c r="S5647"/>
  <c r="R5647"/>
  <c r="Q5645"/>
  <c r="S5645"/>
  <c r="R5645"/>
  <c r="Q5643"/>
  <c r="S5643"/>
  <c r="R5643"/>
  <c r="Q5641"/>
  <c r="S5641"/>
  <c r="R5641"/>
  <c r="Q5639"/>
  <c r="S5639"/>
  <c r="R5639"/>
  <c r="Q5637"/>
  <c r="S5637"/>
  <c r="R5637"/>
  <c r="Q5635"/>
  <c r="S5635"/>
  <c r="R5635"/>
  <c r="Q5633"/>
  <c r="S5633"/>
  <c r="R5633"/>
  <c r="Q5631"/>
  <c r="S5631"/>
  <c r="R5631"/>
  <c r="Q5629"/>
  <c r="S5629"/>
  <c r="R5629"/>
  <c r="Q5627"/>
  <c r="S5627"/>
  <c r="R5627"/>
  <c r="Q5625"/>
  <c r="S5625"/>
  <c r="R5625"/>
  <c r="Q5623"/>
  <c r="S5623"/>
  <c r="R5623"/>
  <c r="Q5621"/>
  <c r="S5621"/>
  <c r="R5621"/>
  <c r="Q5619"/>
  <c r="S5619"/>
  <c r="R5619"/>
  <c r="Q5617"/>
  <c r="S5617"/>
  <c r="R5617"/>
  <c r="Q5615"/>
  <c r="S5615"/>
  <c r="R5615"/>
  <c r="Q5613"/>
  <c r="S5613"/>
  <c r="R5613"/>
  <c r="Q5611"/>
  <c r="S5611"/>
  <c r="R5611"/>
  <c r="Q5609"/>
  <c r="S5609"/>
  <c r="R5609"/>
  <c r="Q5607"/>
  <c r="S5607"/>
  <c r="R5607"/>
  <c r="Q5605"/>
  <c r="S5605"/>
  <c r="R5605"/>
  <c r="Q5603"/>
  <c r="S5603"/>
  <c r="R5603"/>
  <c r="Q5601"/>
  <c r="S5601"/>
  <c r="R5601"/>
  <c r="Q5599"/>
  <c r="S5599"/>
  <c r="R5599"/>
  <c r="Q5597"/>
  <c r="S5597"/>
  <c r="R5597"/>
  <c r="Q5595"/>
  <c r="S5595"/>
  <c r="R5595"/>
  <c r="Q5593"/>
  <c r="S5593"/>
  <c r="R5593"/>
  <c r="Q5591"/>
  <c r="S5591"/>
  <c r="R5591"/>
  <c r="Q5589"/>
  <c r="S5589"/>
  <c r="R5589"/>
  <c r="Q5587"/>
  <c r="S5587"/>
  <c r="R5587"/>
  <c r="Q5585"/>
  <c r="S5585"/>
  <c r="R5585"/>
  <c r="Q5583"/>
  <c r="S5583"/>
  <c r="R5583"/>
  <c r="Q5581"/>
  <c r="S5581"/>
  <c r="R5581"/>
  <c r="Q5579"/>
  <c r="S5579"/>
  <c r="R5579"/>
  <c r="Q5577"/>
  <c r="S5577"/>
  <c r="R5577"/>
  <c r="Q5575"/>
  <c r="S5575"/>
  <c r="R5575"/>
  <c r="Q5573"/>
  <c r="S5573"/>
  <c r="R5573"/>
  <c r="Q5571"/>
  <c r="S5571"/>
  <c r="R5571"/>
  <c r="Q5569"/>
  <c r="S5569"/>
  <c r="R5569"/>
  <c r="Q5567"/>
  <c r="S5567"/>
  <c r="R5567"/>
  <c r="Q5565"/>
  <c r="S5565"/>
  <c r="R5565"/>
  <c r="Q5563"/>
  <c r="S5563"/>
  <c r="R5563"/>
  <c r="Q5561"/>
  <c r="S5561"/>
  <c r="R5561"/>
  <c r="Q5559"/>
  <c r="S5559"/>
  <c r="R5559"/>
  <c r="Q5557"/>
  <c r="S5557"/>
  <c r="R5557"/>
  <c r="Q5555"/>
  <c r="S5555"/>
  <c r="R5555"/>
  <c r="Q5553"/>
  <c r="S5553"/>
  <c r="R5553"/>
  <c r="Q5551"/>
  <c r="S5551"/>
  <c r="R5551"/>
  <c r="R5550"/>
  <c r="Q5550"/>
  <c r="S5550"/>
  <c r="R5548"/>
  <c r="Q5548"/>
  <c r="S5548"/>
  <c r="R5546"/>
  <c r="Q5546"/>
  <c r="S5546"/>
  <c r="R5544"/>
  <c r="Q5544"/>
  <c r="S5544"/>
  <c r="R5542"/>
  <c r="Q5542"/>
  <c r="S5542"/>
  <c r="R5540"/>
  <c r="Q5540"/>
  <c r="S5540"/>
  <c r="R5538"/>
  <c r="Q5538"/>
  <c r="S5538"/>
  <c r="R5536"/>
  <c r="Q5536"/>
  <c r="S5536"/>
  <c r="R5534"/>
  <c r="Q5534"/>
  <c r="S5534"/>
  <c r="R5532"/>
  <c r="Q5532"/>
  <c r="S5532"/>
  <c r="R5530"/>
  <c r="Q5530"/>
  <c r="S5530"/>
  <c r="R5528"/>
  <c r="Q5528"/>
  <c r="S5528"/>
  <c r="R5526"/>
  <c r="Q5526"/>
  <c r="S5526"/>
  <c r="R5524"/>
  <c r="Q5524"/>
  <c r="S5524"/>
  <c r="R5522"/>
  <c r="Q5522"/>
  <c r="S5522"/>
  <c r="R5520"/>
  <c r="Q5520"/>
  <c r="S5520"/>
  <c r="R5518"/>
  <c r="Q5518"/>
  <c r="S5518"/>
  <c r="R5516"/>
  <c r="Q5516"/>
  <c r="S5516"/>
  <c r="R5514"/>
  <c r="Q5514"/>
  <c r="S5514"/>
  <c r="R5512"/>
  <c r="Q5512"/>
  <c r="S5512"/>
  <c r="R5510"/>
  <c r="Q5510"/>
  <c r="S5510"/>
  <c r="R5508"/>
  <c r="Q5508"/>
  <c r="S5508"/>
  <c r="R5506"/>
  <c r="Q5506"/>
  <c r="S5506"/>
  <c r="R5504"/>
  <c r="Q5504"/>
  <c r="S5504"/>
  <c r="R5502"/>
  <c r="Q5502"/>
  <c r="S5502"/>
  <c r="R5500"/>
  <c r="Q5500"/>
  <c r="S5500"/>
  <c r="R5498"/>
  <c r="Q5498"/>
  <c r="S5498"/>
  <c r="R5496"/>
  <c r="Q5496"/>
  <c r="S5496"/>
  <c r="R5494"/>
  <c r="Q5494"/>
  <c r="S5494"/>
  <c r="R5492"/>
  <c r="Q5492"/>
  <c r="S5492"/>
  <c r="R5490"/>
  <c r="Q5490"/>
  <c r="S5490"/>
  <c r="R5488"/>
  <c r="Q5488"/>
  <c r="S5488"/>
  <c r="R5486"/>
  <c r="Q5486"/>
  <c r="S5486"/>
  <c r="R5484"/>
  <c r="Q5484"/>
  <c r="S5484"/>
  <c r="R5482"/>
  <c r="Q5482"/>
  <c r="S5482"/>
  <c r="R5480"/>
  <c r="Q5480"/>
  <c r="S5480"/>
  <c r="R5478"/>
  <c r="Q5478"/>
  <c r="S5478"/>
  <c r="R5476"/>
  <c r="Q5476"/>
  <c r="S5476"/>
  <c r="R5474"/>
  <c r="Q5474"/>
  <c r="S5474"/>
  <c r="R5472"/>
  <c r="Q5472"/>
  <c r="S5472"/>
  <c r="R5470"/>
  <c r="Q5470"/>
  <c r="S5470"/>
  <c r="R5468"/>
  <c r="Q5468"/>
  <c r="S5468"/>
  <c r="R5466"/>
  <c r="Q5466"/>
  <c r="S5466"/>
  <c r="R5464"/>
  <c r="Q5464"/>
  <c r="S5464"/>
  <c r="R5462"/>
  <c r="Q5462"/>
  <c r="S5462"/>
  <c r="R5460"/>
  <c r="Q5460"/>
  <c r="S5460"/>
  <c r="R5458"/>
  <c r="Q5458"/>
  <c r="S5458"/>
  <c r="R5456"/>
  <c r="Q5456"/>
  <c r="S5456"/>
  <c r="R5454"/>
  <c r="Q5454"/>
  <c r="S5454"/>
  <c r="R5452"/>
  <c r="Q5452"/>
  <c r="S5452"/>
  <c r="R5450"/>
  <c r="Q5450"/>
  <c r="S5450"/>
  <c r="R5448"/>
  <c r="Q5448"/>
  <c r="S5448"/>
  <c r="R5446"/>
  <c r="Q5446"/>
  <c r="S5446"/>
  <c r="R5444"/>
  <c r="Q5444"/>
  <c r="S5444"/>
  <c r="R5442"/>
  <c r="Q5442"/>
  <c r="S5442"/>
  <c r="R5440"/>
  <c r="Q5440"/>
  <c r="S5440"/>
  <c r="R5438"/>
  <c r="Q5438"/>
  <c r="S5438"/>
  <c r="R5436"/>
  <c r="Q5436"/>
  <c r="S5436"/>
  <c r="R5434"/>
  <c r="Q5434"/>
  <c r="S5434"/>
  <c r="R5432"/>
  <c r="Q5432"/>
  <c r="S5432"/>
  <c r="R5430"/>
  <c r="Q5430"/>
  <c r="S5430"/>
  <c r="R5428"/>
  <c r="Q5428"/>
  <c r="S5428"/>
  <c r="R5426"/>
  <c r="Q5426"/>
  <c r="S5426"/>
  <c r="R5424"/>
  <c r="Q5424"/>
  <c r="S5424"/>
  <c r="R5422"/>
  <c r="Q5422"/>
  <c r="S5422"/>
  <c r="R5420"/>
  <c r="Q5420"/>
  <c r="S5420"/>
  <c r="R5418"/>
  <c r="Q5418"/>
  <c r="S5418"/>
  <c r="R5416"/>
  <c r="Q5416"/>
  <c r="S5416"/>
  <c r="R5414"/>
  <c r="Q5414"/>
  <c r="S5414"/>
  <c r="R5412"/>
  <c r="Q5412"/>
  <c r="S5412"/>
  <c r="R5410"/>
  <c r="Q5410"/>
  <c r="S5410"/>
  <c r="R5408"/>
  <c r="S5408"/>
  <c r="Q5408"/>
  <c r="R5406"/>
  <c r="Q5406"/>
  <c r="S5406"/>
  <c r="R5404"/>
  <c r="S5404"/>
  <c r="Q5404"/>
  <c r="R5402"/>
  <c r="Q5402"/>
  <c r="S5402"/>
  <c r="R5400"/>
  <c r="S5400"/>
  <c r="Q5400"/>
  <c r="R5398"/>
  <c r="Q5398"/>
  <c r="S5398"/>
  <c r="R5396"/>
  <c r="S5396"/>
  <c r="Q5396"/>
  <c r="R5394"/>
  <c r="Q5394"/>
  <c r="S5394"/>
  <c r="R5392"/>
  <c r="S5392"/>
  <c r="Q5392"/>
  <c r="R5390"/>
  <c r="Q5390"/>
  <c r="S5390"/>
  <c r="R5388"/>
  <c r="S5388"/>
  <c r="Q5388"/>
  <c r="R5386"/>
  <c r="Q5386"/>
  <c r="S5386"/>
  <c r="R5384"/>
  <c r="S5384"/>
  <c r="Q5384"/>
  <c r="R5382"/>
  <c r="Q5382"/>
  <c r="S5382"/>
  <c r="R5380"/>
  <c r="S5380"/>
  <c r="Q5380"/>
  <c r="R5378"/>
  <c r="Q5378"/>
  <c r="S5378"/>
  <c r="R5376"/>
  <c r="S5376"/>
  <c r="Q5376"/>
  <c r="R5374"/>
  <c r="Q5374"/>
  <c r="S5374"/>
  <c r="R5372"/>
  <c r="S5372"/>
  <c r="Q5372"/>
  <c r="R5370"/>
  <c r="Q5370"/>
  <c r="S5370"/>
  <c r="R5368"/>
  <c r="S5368"/>
  <c r="Q5368"/>
  <c r="R5366"/>
  <c r="Q5366"/>
  <c r="S5366"/>
  <c r="R5364"/>
  <c r="S5364"/>
  <c r="Q5364"/>
  <c r="R5362"/>
  <c r="Q5362"/>
  <c r="S5362"/>
  <c r="R5360"/>
  <c r="S5360"/>
  <c r="Q5360"/>
  <c r="R5358"/>
  <c r="Q5358"/>
  <c r="S5358"/>
  <c r="Q5356"/>
  <c r="S5356"/>
  <c r="R5356"/>
  <c r="Q5354"/>
  <c r="S5354"/>
  <c r="R5354"/>
  <c r="Q5352"/>
  <c r="S5352"/>
  <c r="R5352"/>
  <c r="Q5350"/>
  <c r="S5350"/>
  <c r="R5350"/>
  <c r="Q5348"/>
  <c r="S5348"/>
  <c r="R5348"/>
  <c r="Q5346"/>
  <c r="S5346"/>
  <c r="R5346"/>
  <c r="Q5344"/>
  <c r="S5344"/>
  <c r="R5344"/>
  <c r="Q5342"/>
  <c r="S5342"/>
  <c r="R5342"/>
  <c r="Q5340"/>
  <c r="S5340"/>
  <c r="R5340"/>
  <c r="Q5338"/>
  <c r="S5338"/>
  <c r="R5338"/>
  <c r="Q5336"/>
  <c r="S5336"/>
  <c r="R5336"/>
  <c r="Q5334"/>
  <c r="S5334"/>
  <c r="R5334"/>
  <c r="Q5332"/>
  <c r="S5332"/>
  <c r="R5332"/>
  <c r="Q5330"/>
  <c r="S5330"/>
  <c r="R5330"/>
  <c r="Q5328"/>
  <c r="S5328"/>
  <c r="R5328"/>
  <c r="Q5326"/>
  <c r="S5326"/>
  <c r="R5326"/>
  <c r="Q5324"/>
  <c r="S5324"/>
  <c r="R5324"/>
  <c r="Q5322"/>
  <c r="S5322"/>
  <c r="R5322"/>
  <c r="Q5320"/>
  <c r="S5320"/>
  <c r="R5320"/>
  <c r="Q5318"/>
  <c r="S5318"/>
  <c r="R5318"/>
  <c r="Q5316"/>
  <c r="S5316"/>
  <c r="R5316"/>
  <c r="Q5314"/>
  <c r="S5314"/>
  <c r="R5314"/>
  <c r="Q5312"/>
  <c r="S5312"/>
  <c r="R5312"/>
  <c r="Q5310"/>
  <c r="S5310"/>
  <c r="R5310"/>
  <c r="Q5308"/>
  <c r="S5308"/>
  <c r="R5308"/>
  <c r="Q5306"/>
  <c r="S5306"/>
  <c r="R5306"/>
  <c r="Q5304"/>
  <c r="S5304"/>
  <c r="R5304"/>
  <c r="Q5302"/>
  <c r="S5302"/>
  <c r="R5302"/>
  <c r="Q5300"/>
  <c r="S5300"/>
  <c r="R5300"/>
  <c r="Q5298"/>
  <c r="S5298"/>
  <c r="R5298"/>
  <c r="Q5296"/>
  <c r="S5296"/>
  <c r="R5296"/>
  <c r="Q5294"/>
  <c r="S5294"/>
  <c r="R5294"/>
  <c r="Q5292"/>
  <c r="S5292"/>
  <c r="R5292"/>
  <c r="Q5290"/>
  <c r="S5290"/>
  <c r="R5290"/>
  <c r="Q5288"/>
  <c r="S5288"/>
  <c r="R5288"/>
  <c r="Q5286"/>
  <c r="S5286"/>
  <c r="R5286"/>
  <c r="Q5284"/>
  <c r="S5284"/>
  <c r="R5284"/>
  <c r="Q5282"/>
  <c r="S5282"/>
  <c r="R5282"/>
  <c r="Q5280"/>
  <c r="S5280"/>
  <c r="R5280"/>
  <c r="Q5278"/>
  <c r="S5278"/>
  <c r="R5278"/>
  <c r="Q5276"/>
  <c r="S5276"/>
  <c r="R5276"/>
  <c r="Q5274"/>
  <c r="S5274"/>
  <c r="R5274"/>
  <c r="Q5272"/>
  <c r="S5272"/>
  <c r="R5272"/>
  <c r="Q5270"/>
  <c r="S5270"/>
  <c r="R5270"/>
  <c r="Q5268"/>
  <c r="S5268"/>
  <c r="R5268"/>
  <c r="Q5266"/>
  <c r="S5266"/>
  <c r="R5266"/>
  <c r="Q5264"/>
  <c r="S5264"/>
  <c r="R5264"/>
  <c r="Q5262"/>
  <c r="S5262"/>
  <c r="R5262"/>
  <c r="Q5260"/>
  <c r="S5260"/>
  <c r="R5260"/>
  <c r="Q5258"/>
  <c r="S5258"/>
  <c r="R5258"/>
  <c r="Q5256"/>
  <c r="S5256"/>
  <c r="R5256"/>
  <c r="Q5254"/>
  <c r="S5254"/>
  <c r="R5254"/>
  <c r="Q5252"/>
  <c r="S5252"/>
  <c r="R5252"/>
  <c r="Q5250"/>
  <c r="S5250"/>
  <c r="R5250"/>
  <c r="Q5248"/>
  <c r="S5248"/>
  <c r="R5248"/>
  <c r="Q5246"/>
  <c r="S5246"/>
  <c r="R5246"/>
  <c r="Q5244"/>
  <c r="S5244"/>
  <c r="R5244"/>
  <c r="Q5242"/>
  <c r="S5242"/>
  <c r="R5242"/>
  <c r="Q5240"/>
  <c r="S5240"/>
  <c r="R5240"/>
  <c r="Q5238"/>
  <c r="S5238"/>
  <c r="R5238"/>
  <c r="Q5236"/>
  <c r="S5236"/>
  <c r="R5236"/>
  <c r="Q5234"/>
  <c r="S5234"/>
  <c r="R5234"/>
  <c r="Q5232"/>
  <c r="S5232"/>
  <c r="R5232"/>
  <c r="Q5230"/>
  <c r="S5230"/>
  <c r="R5230"/>
  <c r="Q5228"/>
  <c r="S5228"/>
  <c r="R5228"/>
  <c r="Q5226"/>
  <c r="S5226"/>
  <c r="R5226"/>
  <c r="Q5224"/>
  <c r="S5224"/>
  <c r="R5224"/>
  <c r="Q5222"/>
  <c r="S5222"/>
  <c r="R5222"/>
  <c r="Q5220"/>
  <c r="S5220"/>
  <c r="R5220"/>
  <c r="Q5218"/>
  <c r="S5218"/>
  <c r="R5218"/>
  <c r="Q5216"/>
  <c r="S5216"/>
  <c r="R5216"/>
  <c r="Q5214"/>
  <c r="S5214"/>
  <c r="R5214"/>
  <c r="Q5212"/>
  <c r="S5212"/>
  <c r="R5212"/>
  <c r="Q5210"/>
  <c r="S5210"/>
  <c r="R5210"/>
  <c r="Q5208"/>
  <c r="S5208"/>
  <c r="R5208"/>
  <c r="Q5206"/>
  <c r="S5206"/>
  <c r="R5206"/>
  <c r="Q5204"/>
  <c r="S5204"/>
  <c r="R5204"/>
  <c r="Q5202"/>
  <c r="S5202"/>
  <c r="R5202"/>
  <c r="Q5200"/>
  <c r="S5200"/>
  <c r="R5200"/>
  <c r="Q5198"/>
  <c r="S5198"/>
  <c r="R5198"/>
  <c r="Q5196"/>
  <c r="S5196"/>
  <c r="R5196"/>
  <c r="A5194"/>
  <c r="Q5194"/>
  <c r="S5194"/>
  <c r="R5194"/>
  <c r="A5192"/>
  <c r="Q5192"/>
  <c r="S5192"/>
  <c r="R5192"/>
  <c r="A5190"/>
  <c r="Q5190"/>
  <c r="S5190"/>
  <c r="R5190"/>
  <c r="A5188"/>
  <c r="Q5188"/>
  <c r="S5188"/>
  <c r="R5188"/>
  <c r="A5186"/>
  <c r="Q5186"/>
  <c r="S5186"/>
  <c r="R5186"/>
  <c r="A5184"/>
  <c r="Q5184"/>
  <c r="S5184"/>
  <c r="R5184"/>
  <c r="A5182"/>
  <c r="Q5182"/>
  <c r="S5182"/>
  <c r="R5182"/>
  <c r="A5180"/>
  <c r="Q5180"/>
  <c r="S5180"/>
  <c r="R5180"/>
  <c r="A5178"/>
  <c r="Q5178"/>
  <c r="S5178"/>
  <c r="R5178"/>
  <c r="A5176"/>
  <c r="Q5176"/>
  <c r="S5176"/>
  <c r="R5176"/>
  <c r="A5174"/>
  <c r="Q5174"/>
  <c r="S5174"/>
  <c r="R5174"/>
  <c r="A5172"/>
  <c r="Q5172"/>
  <c r="S5172"/>
  <c r="R5172"/>
  <c r="A5170"/>
  <c r="Q5170"/>
  <c r="S5170"/>
  <c r="R5170"/>
  <c r="A5168"/>
  <c r="Q5168"/>
  <c r="S5168"/>
  <c r="R5168"/>
  <c r="A5166"/>
  <c r="Q5166"/>
  <c r="S5166"/>
  <c r="R5166"/>
  <c r="A5164"/>
  <c r="Q5164"/>
  <c r="S5164"/>
  <c r="R5164"/>
  <c r="A5162"/>
  <c r="Q5162"/>
  <c r="S5162"/>
  <c r="R5162"/>
  <c r="A5160"/>
  <c r="Q5160"/>
  <c r="S5160"/>
  <c r="R5160"/>
  <c r="A5158"/>
  <c r="Q5158"/>
  <c r="S5158"/>
  <c r="R5158"/>
  <c r="A5156"/>
  <c r="Q5156"/>
  <c r="S5156"/>
  <c r="R5156"/>
  <c r="A5154"/>
  <c r="Q5154"/>
  <c r="S5154"/>
  <c r="R5154"/>
  <c r="A5152"/>
  <c r="Q5152"/>
  <c r="S5152"/>
  <c r="R5152"/>
  <c r="A5150"/>
  <c r="Q5150"/>
  <c r="S5150"/>
  <c r="R5150"/>
  <c r="A5148"/>
  <c r="Q5148"/>
  <c r="S5148"/>
  <c r="R5148"/>
  <c r="A5146"/>
  <c r="Q5146"/>
  <c r="S5146"/>
  <c r="R5146"/>
  <c r="A5144"/>
  <c r="Q5144"/>
  <c r="S5144"/>
  <c r="R5144"/>
  <c r="A5142"/>
  <c r="Q5142"/>
  <c r="S5142"/>
  <c r="R5142"/>
  <c r="A5140"/>
  <c r="Q5140"/>
  <c r="S5140"/>
  <c r="R5140"/>
  <c r="A5138"/>
  <c r="Q5138"/>
  <c r="S5138"/>
  <c r="R5138"/>
  <c r="A5136"/>
  <c r="Q5136"/>
  <c r="S5136"/>
  <c r="R5136"/>
  <c r="A5134"/>
  <c r="Q5134"/>
  <c r="S5134"/>
  <c r="R5134"/>
  <c r="A5132"/>
  <c r="Q5132"/>
  <c r="S5132"/>
  <c r="R5132"/>
  <c r="A5130"/>
  <c r="Q5130"/>
  <c r="S5130"/>
  <c r="R5130"/>
  <c r="A5128"/>
  <c r="Q5128"/>
  <c r="S5128"/>
  <c r="R5128"/>
  <c r="A5126"/>
  <c r="Q5126"/>
  <c r="S5126"/>
  <c r="R5126"/>
  <c r="A5124"/>
  <c r="Q5124"/>
  <c r="S5124"/>
  <c r="R5124"/>
  <c r="A5122"/>
  <c r="Q5122"/>
  <c r="S5122"/>
  <c r="R5122"/>
  <c r="A5120"/>
  <c r="Q5120"/>
  <c r="S5120"/>
  <c r="R5120"/>
  <c r="A5118"/>
  <c r="Q5118"/>
  <c r="S5118"/>
  <c r="R5118"/>
  <c r="A5116"/>
  <c r="Q5116"/>
  <c r="S5116"/>
  <c r="R5116"/>
  <c r="A5114"/>
  <c r="Q5114"/>
  <c r="S5114"/>
  <c r="R5114"/>
  <c r="A5112"/>
  <c r="Q5112"/>
  <c r="S5112"/>
  <c r="R5112"/>
  <c r="A5110"/>
  <c r="Q5110"/>
  <c r="S5110"/>
  <c r="R5110"/>
  <c r="A5108"/>
  <c r="Q5108"/>
  <c r="S5108"/>
  <c r="R5108"/>
  <c r="A5106"/>
  <c r="Q5106"/>
  <c r="S5106"/>
  <c r="R5106"/>
  <c r="A5104"/>
  <c r="Q5104"/>
  <c r="S5104"/>
  <c r="R5104"/>
  <c r="A5102"/>
  <c r="Q5102"/>
  <c r="S5102"/>
  <c r="R5102"/>
  <c r="A5100"/>
  <c r="Q5100"/>
  <c r="S5100"/>
  <c r="R5100"/>
  <c r="A5098"/>
  <c r="Q5098"/>
  <c r="S5098"/>
  <c r="R5098"/>
  <c r="A5096"/>
  <c r="Q5096"/>
  <c r="S5096"/>
  <c r="R5096"/>
  <c r="A5094"/>
  <c r="Q5094"/>
  <c r="S5094"/>
  <c r="R5094"/>
  <c r="A5092"/>
  <c r="Q5092"/>
  <c r="S5092"/>
  <c r="R5092"/>
  <c r="A5090"/>
  <c r="Q5090"/>
  <c r="S5090"/>
  <c r="R5090"/>
  <c r="A5088"/>
  <c r="Q5088"/>
  <c r="S5088"/>
  <c r="R5088"/>
  <c r="A5086"/>
  <c r="Q5086"/>
  <c r="S5086"/>
  <c r="R5086"/>
  <c r="A5084"/>
  <c r="Q5084"/>
  <c r="S5084"/>
  <c r="R5084"/>
  <c r="A5082"/>
  <c r="Q5082"/>
  <c r="S5082"/>
  <c r="R5082"/>
  <c r="A5080"/>
  <c r="Q5080"/>
  <c r="S5080"/>
  <c r="R5080"/>
  <c r="A5078"/>
  <c r="Q5078"/>
  <c r="S5078"/>
  <c r="R5078"/>
  <c r="A5076"/>
  <c r="Q5076"/>
  <c r="S5076"/>
  <c r="R5076"/>
  <c r="A5074"/>
  <c r="Q5074"/>
  <c r="S5074"/>
  <c r="R5074"/>
  <c r="A5072"/>
  <c r="Q5072"/>
  <c r="S5072"/>
  <c r="R5072"/>
  <c r="A5070"/>
  <c r="Q5070"/>
  <c r="S5070"/>
  <c r="R5070"/>
  <c r="A5068"/>
  <c r="Q5068"/>
  <c r="S5068"/>
  <c r="R5068"/>
  <c r="A5066"/>
  <c r="Q5066"/>
  <c r="S5066"/>
  <c r="R5066"/>
  <c r="A5064"/>
  <c r="Q5064"/>
  <c r="S5064"/>
  <c r="R5064"/>
  <c r="A5062"/>
  <c r="Q5062"/>
  <c r="S5062"/>
  <c r="R5062"/>
  <c r="A5060"/>
  <c r="Q5060"/>
  <c r="S5060"/>
  <c r="R5060"/>
  <c r="A5058"/>
  <c r="Q5058"/>
  <c r="S5058"/>
  <c r="R5058"/>
  <c r="A5056"/>
  <c r="Q5056"/>
  <c r="S5056"/>
  <c r="R5056"/>
  <c r="A5054"/>
  <c r="Q5054"/>
  <c r="S5054"/>
  <c r="R5054"/>
  <c r="A5052"/>
  <c r="Q5052"/>
  <c r="S5052"/>
  <c r="R5052"/>
  <c r="A5050"/>
  <c r="Q5050"/>
  <c r="S5050"/>
  <c r="R5050"/>
  <c r="A5048"/>
  <c r="Q5048"/>
  <c r="S5048"/>
  <c r="R5048"/>
  <c r="A5046"/>
  <c r="Q5046"/>
  <c r="S5046"/>
  <c r="R5046"/>
  <c r="A5044"/>
  <c r="Q5044"/>
  <c r="S5044"/>
  <c r="R5044"/>
  <c r="A5042"/>
  <c r="Q5042"/>
  <c r="S5042"/>
  <c r="R5042"/>
  <c r="A5040"/>
  <c r="Q5040"/>
  <c r="S5040"/>
  <c r="R5040"/>
  <c r="A5038"/>
  <c r="Q5038"/>
  <c r="S5038"/>
  <c r="R5038"/>
  <c r="A5036"/>
  <c r="Q5036"/>
  <c r="S5036"/>
  <c r="R5036"/>
  <c r="A5034"/>
  <c r="Q5034"/>
  <c r="S5034"/>
  <c r="R5034"/>
  <c r="A5032"/>
  <c r="Q5032"/>
  <c r="S5032"/>
  <c r="R5032"/>
  <c r="A5030"/>
  <c r="Q5030"/>
  <c r="S5030"/>
  <c r="R5030"/>
  <c r="A5028"/>
  <c r="Q5028"/>
  <c r="S5028"/>
  <c r="R5028"/>
  <c r="A5026"/>
  <c r="Q5026"/>
  <c r="S5026"/>
  <c r="R5026"/>
  <c r="R4088"/>
  <c r="Q4088"/>
  <c r="S4088"/>
  <c r="Q4083"/>
  <c r="S4083"/>
  <c r="R4083"/>
  <c r="Q4077"/>
  <c r="S4077"/>
  <c r="R4077"/>
  <c r="R2809"/>
  <c r="Q2809"/>
  <c r="S2809"/>
  <c r="A4850"/>
  <c r="Q4850"/>
  <c r="S4850"/>
  <c r="R4850"/>
  <c r="Q2947"/>
  <c r="S2947"/>
  <c r="R2947"/>
  <c r="Q4071"/>
  <c r="S4071"/>
  <c r="R4071"/>
  <c r="R4048"/>
  <c r="Q4048"/>
  <c r="S4048"/>
  <c r="Q2898"/>
  <c r="S2898"/>
  <c r="R2898"/>
  <c r="A4800"/>
  <c r="Q4800"/>
  <c r="S4800"/>
  <c r="R4800"/>
  <c r="R3032"/>
  <c r="Q3032"/>
  <c r="S3032"/>
  <c r="Q2933"/>
  <c r="S2933"/>
  <c r="R2933"/>
  <c r="R2930"/>
  <c r="Q2930"/>
  <c r="S2930"/>
  <c r="Q3031"/>
  <c r="S3031"/>
  <c r="R3031"/>
  <c r="Q3027"/>
  <c r="S3027"/>
  <c r="R3027"/>
  <c r="Q3025"/>
  <c r="S3025"/>
  <c r="R3025"/>
  <c r="Q3023"/>
  <c r="S3023"/>
  <c r="R3023"/>
  <c r="Q3021"/>
  <c r="S3021"/>
  <c r="R3021"/>
  <c r="Q3955"/>
  <c r="S3955"/>
  <c r="R3955"/>
  <c r="Q3953"/>
  <c r="S3953"/>
  <c r="R3953"/>
  <c r="Q3951"/>
  <c r="S3951"/>
  <c r="R3951"/>
  <c r="Q3949"/>
  <c r="S3949"/>
  <c r="R3949"/>
  <c r="Q3947"/>
  <c r="S3947"/>
  <c r="R3947"/>
  <c r="Q3945"/>
  <c r="S3945"/>
  <c r="R3945"/>
  <c r="Q3943"/>
  <c r="S3943"/>
  <c r="R3943"/>
  <c r="Q3941"/>
  <c r="S3941"/>
  <c r="R3941"/>
  <c r="Q3939"/>
  <c r="S3939"/>
  <c r="R3939"/>
  <c r="Q3937"/>
  <c r="S3937"/>
  <c r="R3937"/>
  <c r="Q3935"/>
  <c r="S3935"/>
  <c r="R3935"/>
  <c r="R3932"/>
  <c r="Q3932"/>
  <c r="S3932"/>
  <c r="R3926"/>
  <c r="Q3926"/>
  <c r="S3926"/>
  <c r="Q3923"/>
  <c r="S3923"/>
  <c r="R3923"/>
  <c r="Q3919"/>
  <c r="S3919"/>
  <c r="R3919"/>
  <c r="Q3917"/>
  <c r="S3917"/>
  <c r="R3917"/>
  <c r="Q3915"/>
  <c r="S3915"/>
  <c r="R3915"/>
  <c r="Q3911"/>
  <c r="S3911"/>
  <c r="R3911"/>
  <c r="R3908"/>
  <c r="Q3908"/>
  <c r="S3908"/>
  <c r="A4715"/>
  <c r="R4715"/>
  <c r="Q4715"/>
  <c r="S4715"/>
  <c r="A4713"/>
  <c r="R4713"/>
  <c r="Q4713"/>
  <c r="S4713"/>
  <c r="A4709"/>
  <c r="R4709"/>
  <c r="Q4709"/>
  <c r="S4709"/>
  <c r="A4707"/>
  <c r="R4707"/>
  <c r="Q4707"/>
  <c r="S4707"/>
  <c r="A4706"/>
  <c r="Q4706"/>
  <c r="S4706"/>
  <c r="R4706"/>
  <c r="A4704"/>
  <c r="Q4704"/>
  <c r="S4704"/>
  <c r="R4704"/>
  <c r="A4702"/>
  <c r="Q4702"/>
  <c r="S4702"/>
  <c r="R4702"/>
  <c r="A4699"/>
  <c r="R4699"/>
  <c r="Q4699"/>
  <c r="S4699"/>
  <c r="A4697"/>
  <c r="R4697"/>
  <c r="Q4697"/>
  <c r="S4697"/>
  <c r="A4695"/>
  <c r="R4695"/>
  <c r="Q4695"/>
  <c r="S4695"/>
  <c r="A4694"/>
  <c r="Q4694"/>
  <c r="S4694"/>
  <c r="R4694"/>
  <c r="A4692"/>
  <c r="Q4692"/>
  <c r="S4692"/>
  <c r="R4692"/>
  <c r="A4690"/>
  <c r="Q4690"/>
  <c r="S4690"/>
  <c r="R4690"/>
  <c r="A4688"/>
  <c r="Q4688"/>
  <c r="S4688"/>
  <c r="R4688"/>
  <c r="A4686"/>
  <c r="Q4686"/>
  <c r="S4686"/>
  <c r="R4686"/>
  <c r="A4684"/>
  <c r="Q4684"/>
  <c r="S4684"/>
  <c r="R4684"/>
  <c r="A4682"/>
  <c r="Q4682"/>
  <c r="S4682"/>
  <c r="R4682"/>
  <c r="Q3929"/>
  <c r="S3929"/>
  <c r="R3929"/>
  <c r="A4678"/>
  <c r="Q4678"/>
  <c r="S4678"/>
  <c r="R4678"/>
  <c r="A4676"/>
  <c r="Q4676"/>
  <c r="S4676"/>
  <c r="R4676"/>
  <c r="A4674"/>
  <c r="Q4674"/>
  <c r="S4674"/>
  <c r="R4674"/>
  <c r="R3928"/>
  <c r="Q3928"/>
  <c r="S3928"/>
  <c r="A4670"/>
  <c r="Q4670"/>
  <c r="S4670"/>
  <c r="R4670"/>
  <c r="A4668"/>
  <c r="Q4668"/>
  <c r="S4668"/>
  <c r="R4668"/>
  <c r="A4664"/>
  <c r="Q4664"/>
  <c r="S4664"/>
  <c r="R4664"/>
  <c r="A4662"/>
  <c r="Q4662"/>
  <c r="S4662"/>
  <c r="R4662"/>
  <c r="A4660"/>
  <c r="Q4660"/>
  <c r="S4660"/>
  <c r="R4660"/>
  <c r="A4658"/>
  <c r="Q4658"/>
  <c r="S4658"/>
  <c r="R4658"/>
  <c r="A4656"/>
  <c r="Q4656"/>
  <c r="S4656"/>
  <c r="R4656"/>
  <c r="A4654"/>
  <c r="Q4654"/>
  <c r="S4654"/>
  <c r="R4654"/>
  <c r="A4652"/>
  <c r="Q4652"/>
  <c r="S4652"/>
  <c r="R4652"/>
  <c r="A4650"/>
  <c r="Q4650"/>
  <c r="S4650"/>
  <c r="R4650"/>
  <c r="A4647"/>
  <c r="R4647"/>
  <c r="Q4647"/>
  <c r="S4647"/>
  <c r="A4645"/>
  <c r="R4645"/>
  <c r="Q4645"/>
  <c r="S4645"/>
  <c r="A4644"/>
  <c r="Q4644"/>
  <c r="S4644"/>
  <c r="R4644"/>
  <c r="A4642"/>
  <c r="Q4642"/>
  <c r="S4642"/>
  <c r="R4642"/>
  <c r="A4640"/>
  <c r="Q4640"/>
  <c r="S4640"/>
  <c r="R4640"/>
  <c r="A4638"/>
  <c r="Q4638"/>
  <c r="S4638"/>
  <c r="R4638"/>
  <c r="A4636"/>
  <c r="Q4636"/>
  <c r="S4636"/>
  <c r="R4636"/>
  <c r="A4634"/>
  <c r="Q4634"/>
  <c r="S4634"/>
  <c r="R4634"/>
  <c r="A4632"/>
  <c r="Q4632"/>
  <c r="S4632"/>
  <c r="R4632"/>
  <c r="A4630"/>
  <c r="Q4630"/>
  <c r="S4630"/>
  <c r="R4630"/>
  <c r="R3914"/>
  <c r="Q3914"/>
  <c r="S3914"/>
  <c r="A4626"/>
  <c r="Q4626"/>
  <c r="S4626"/>
  <c r="R4626"/>
  <c r="A4624"/>
  <c r="Q4624"/>
  <c r="S4624"/>
  <c r="R4624"/>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Q3255"/>
  <c r="S3255"/>
  <c r="R3255"/>
  <c r="Q3253"/>
  <c r="S3253"/>
  <c r="R3253"/>
  <c r="Q3251"/>
  <c r="S3251"/>
  <c r="R3251"/>
  <c r="R3462"/>
  <c r="Q3462"/>
  <c r="S3462"/>
  <c r="R3460"/>
  <c r="Q3460"/>
  <c r="S3460"/>
  <c r="Q2516"/>
  <c r="S2516"/>
  <c r="R2516"/>
  <c r="Q2514"/>
  <c r="S2514"/>
  <c r="R2514"/>
  <c r="Q2512"/>
  <c r="S2512"/>
  <c r="R2512"/>
  <c r="R2503"/>
  <c r="Q2503"/>
  <c r="S2503"/>
  <c r="R2501"/>
  <c r="Q2501"/>
  <c r="S2501"/>
  <c r="R2499"/>
  <c r="Q2499"/>
  <c r="S2499"/>
  <c r="R2497"/>
  <c r="Q2497"/>
  <c r="S2497"/>
  <c r="R2495"/>
  <c r="Q2495"/>
  <c r="S2495"/>
  <c r="R2493"/>
  <c r="Q2493"/>
  <c r="S2493"/>
  <c r="A4701"/>
  <c r="R4701"/>
  <c r="Q4701"/>
  <c r="S4701"/>
  <c r="Q2488"/>
  <c r="S2488"/>
  <c r="R2488"/>
  <c r="Q2486"/>
  <c r="S2486"/>
  <c r="R2486"/>
  <c r="Q2484"/>
  <c r="S2484"/>
  <c r="R2484"/>
  <c r="Q2482"/>
  <c r="S2482"/>
  <c r="R2482"/>
  <c r="Q2480"/>
  <c r="S2480"/>
  <c r="R2480"/>
  <c r="Q2478"/>
  <c r="S2478"/>
  <c r="R2478"/>
  <c r="Q2476"/>
  <c r="S2476"/>
  <c r="R2476"/>
  <c r="Q2474"/>
  <c r="S2474"/>
  <c r="R2474"/>
  <c r="Q2472"/>
  <c r="S2472"/>
  <c r="R2472"/>
  <c r="Q2470"/>
  <c r="S2470"/>
  <c r="R2470"/>
  <c r="R2469"/>
  <c r="Q2469"/>
  <c r="S2469"/>
  <c r="R2467"/>
  <c r="Q2467"/>
  <c r="S2467"/>
  <c r="R2465"/>
  <c r="Q2465"/>
  <c r="S2465"/>
  <c r="R2463"/>
  <c r="Q2463"/>
  <c r="S2463"/>
  <c r="R2461"/>
  <c r="Q2461"/>
  <c r="S2461"/>
  <c r="R2459"/>
  <c r="Q2459"/>
  <c r="S2459"/>
  <c r="R2457"/>
  <c r="Q2457"/>
  <c r="S2457"/>
  <c r="R2455"/>
  <c r="Q2455"/>
  <c r="S2455"/>
  <c r="R2453"/>
  <c r="Q2453"/>
  <c r="S2453"/>
  <c r="R2451"/>
  <c r="Q2451"/>
  <c r="S2451"/>
  <c r="R2449"/>
  <c r="Q2449"/>
  <c r="S2449"/>
  <c r="R2447"/>
  <c r="Q2447"/>
  <c r="S2447"/>
  <c r="R2445"/>
  <c r="Q2445"/>
  <c r="S2445"/>
  <c r="R2443"/>
  <c r="Q2443"/>
  <c r="S2443"/>
  <c r="R2441"/>
  <c r="Q2441"/>
  <c r="S2441"/>
  <c r="R2439"/>
  <c r="Q2439"/>
  <c r="S2439"/>
  <c r="R2437"/>
  <c r="Q2437"/>
  <c r="S2437"/>
  <c r="R2435"/>
  <c r="Q2435"/>
  <c r="S2435"/>
  <c r="R2433"/>
  <c r="Q2433"/>
  <c r="S2433"/>
  <c r="R2431"/>
  <c r="Q2431"/>
  <c r="S2431"/>
  <c r="A4711"/>
  <c r="R4711"/>
  <c r="Q4711"/>
  <c r="S4711"/>
  <c r="A4679"/>
  <c r="R4679"/>
  <c r="Q4679"/>
  <c r="S4679"/>
  <c r="A4665"/>
  <c r="R4665"/>
  <c r="Q4665"/>
  <c r="S4665"/>
  <c r="Q3461"/>
  <c r="S3461"/>
  <c r="R3461"/>
  <c r="Q3459"/>
  <c r="S3459"/>
  <c r="R3459"/>
  <c r="Q5549"/>
  <c r="S5549"/>
  <c r="R5549"/>
  <c r="Q5547"/>
  <c r="S5547"/>
  <c r="R5547"/>
  <c r="Q5545"/>
  <c r="S5545"/>
  <c r="R5545"/>
  <c r="Q5543"/>
  <c r="S5543"/>
  <c r="R5543"/>
  <c r="Q5541"/>
  <c r="S5541"/>
  <c r="R5541"/>
  <c r="Q5539"/>
  <c r="S5539"/>
  <c r="R5539"/>
  <c r="Q5537"/>
  <c r="S5537"/>
  <c r="R5537"/>
  <c r="Q5535"/>
  <c r="S5535"/>
  <c r="R5535"/>
  <c r="Q5533"/>
  <c r="S5533"/>
  <c r="R5533"/>
  <c r="Q5531"/>
  <c r="S5531"/>
  <c r="R5531"/>
  <c r="Q5529"/>
  <c r="S5529"/>
  <c r="R5529"/>
  <c r="Q5527"/>
  <c r="S5527"/>
  <c r="R5527"/>
  <c r="Q5525"/>
  <c r="S5525"/>
  <c r="R5525"/>
  <c r="Q5523"/>
  <c r="S5523"/>
  <c r="R5523"/>
  <c r="Q5521"/>
  <c r="S5521"/>
  <c r="R5521"/>
  <c r="Q5519"/>
  <c r="S5519"/>
  <c r="R5519"/>
  <c r="Q5517"/>
  <c r="S5517"/>
  <c r="R5517"/>
  <c r="Q5515"/>
  <c r="S5515"/>
  <c r="R5515"/>
  <c r="Q5513"/>
  <c r="S5513"/>
  <c r="R5513"/>
  <c r="Q5511"/>
  <c r="S5511"/>
  <c r="R5511"/>
  <c r="Q5509"/>
  <c r="S5509"/>
  <c r="R5509"/>
  <c r="Q5507"/>
  <c r="S5507"/>
  <c r="R5507"/>
  <c r="Q5505"/>
  <c r="S5505"/>
  <c r="R5505"/>
  <c r="Q5503"/>
  <c r="S5503"/>
  <c r="R5503"/>
  <c r="Q5501"/>
  <c r="S5501"/>
  <c r="R5501"/>
  <c r="Q5499"/>
  <c r="S5499"/>
  <c r="R5499"/>
  <c r="Q5497"/>
  <c r="S5497"/>
  <c r="R5497"/>
  <c r="Q5495"/>
  <c r="S5495"/>
  <c r="R5495"/>
  <c r="Q5493"/>
  <c r="S5493"/>
  <c r="R5493"/>
  <c r="Q5491"/>
  <c r="S5491"/>
  <c r="R5491"/>
  <c r="Q5489"/>
  <c r="S5489"/>
  <c r="R5489"/>
  <c r="Q5487"/>
  <c r="S5487"/>
  <c r="R5487"/>
  <c r="Q5485"/>
  <c r="S5485"/>
  <c r="R5485"/>
  <c r="Q5483"/>
  <c r="S5483"/>
  <c r="R5483"/>
  <c r="Q5481"/>
  <c r="S5481"/>
  <c r="R5481"/>
  <c r="Q5479"/>
  <c r="S5479"/>
  <c r="R5479"/>
  <c r="Q5477"/>
  <c r="S5477"/>
  <c r="R5477"/>
  <c r="Q5475"/>
  <c r="S5475"/>
  <c r="R5475"/>
  <c r="Q5473"/>
  <c r="S5473"/>
  <c r="R5473"/>
  <c r="Q5471"/>
  <c r="S5471"/>
  <c r="R5471"/>
  <c r="Q5469"/>
  <c r="S5469"/>
  <c r="R5469"/>
  <c r="Q5467"/>
  <c r="S5467"/>
  <c r="R5467"/>
  <c r="Q5465"/>
  <c r="S5465"/>
  <c r="R5465"/>
  <c r="Q5463"/>
  <c r="S5463"/>
  <c r="R5463"/>
  <c r="Q5461"/>
  <c r="S5461"/>
  <c r="R5461"/>
  <c r="Q5459"/>
  <c r="S5459"/>
  <c r="R5459"/>
  <c r="Q5457"/>
  <c r="S5457"/>
  <c r="R5457"/>
  <c r="Q5455"/>
  <c r="S5455"/>
  <c r="R5455"/>
  <c r="Q5453"/>
  <c r="S5453"/>
  <c r="R5453"/>
  <c r="Q5451"/>
  <c r="S5451"/>
  <c r="R5451"/>
  <c r="Q5449"/>
  <c r="S5449"/>
  <c r="R5449"/>
  <c r="Q5447"/>
  <c r="S5447"/>
  <c r="R5447"/>
  <c r="Q5445"/>
  <c r="S5445"/>
  <c r="R5445"/>
  <c r="Q5443"/>
  <c r="S5443"/>
  <c r="R5443"/>
  <c r="Q5441"/>
  <c r="S5441"/>
  <c r="R5441"/>
  <c r="Q5439"/>
  <c r="S5439"/>
  <c r="R5439"/>
  <c r="Q5437"/>
  <c r="S5437"/>
  <c r="R5437"/>
  <c r="Q5435"/>
  <c r="S5435"/>
  <c r="R5435"/>
  <c r="Q5433"/>
  <c r="S5433"/>
  <c r="R5433"/>
  <c r="Q5431"/>
  <c r="S5431"/>
  <c r="R5431"/>
  <c r="Q5429"/>
  <c r="S5429"/>
  <c r="R5429"/>
  <c r="Q5427"/>
  <c r="S5427"/>
  <c r="R5427"/>
  <c r="Q5425"/>
  <c r="S5425"/>
  <c r="R5425"/>
  <c r="Q5423"/>
  <c r="S5423"/>
  <c r="R5423"/>
  <c r="Q5421"/>
  <c r="S5421"/>
  <c r="R5421"/>
  <c r="Q5419"/>
  <c r="S5419"/>
  <c r="R5419"/>
  <c r="Q5417"/>
  <c r="S5417"/>
  <c r="R5417"/>
  <c r="Q5415"/>
  <c r="S5415"/>
  <c r="R5415"/>
  <c r="Q5413"/>
  <c r="S5413"/>
  <c r="R5413"/>
  <c r="Q5411"/>
  <c r="S5411"/>
  <c r="R5411"/>
  <c r="Q5409"/>
  <c r="S5409"/>
  <c r="R5409"/>
  <c r="Q5407"/>
  <c r="S5407"/>
  <c r="R5407"/>
  <c r="Q5405"/>
  <c r="S5405"/>
  <c r="R5405"/>
  <c r="Q5403"/>
  <c r="S5403"/>
  <c r="R5403"/>
  <c r="Q5401"/>
  <c r="S5401"/>
  <c r="R5401"/>
  <c r="Q5399"/>
  <c r="S5399"/>
  <c r="R5399"/>
  <c r="Q5397"/>
  <c r="S5397"/>
  <c r="R5397"/>
  <c r="Q5395"/>
  <c r="S5395"/>
  <c r="R5395"/>
  <c r="Q5393"/>
  <c r="S5393"/>
  <c r="R5393"/>
  <c r="Q5391"/>
  <c r="S5391"/>
  <c r="R5391"/>
  <c r="Q5389"/>
  <c r="S5389"/>
  <c r="R5389"/>
  <c r="Q5387"/>
  <c r="S5387"/>
  <c r="R5387"/>
  <c r="Q5385"/>
  <c r="S5385"/>
  <c r="R5385"/>
  <c r="Q5383"/>
  <c r="S5383"/>
  <c r="R5383"/>
  <c r="Q5381"/>
  <c r="S5381"/>
  <c r="R5381"/>
  <c r="Q5379"/>
  <c r="S5379"/>
  <c r="R5379"/>
  <c r="Q5377"/>
  <c r="S5377"/>
  <c r="R5377"/>
  <c r="Q5375"/>
  <c r="S5375"/>
  <c r="R5375"/>
  <c r="Q5373"/>
  <c r="S5373"/>
  <c r="R5373"/>
  <c r="Q5371"/>
  <c r="S5371"/>
  <c r="R5371"/>
  <c r="Q5369"/>
  <c r="S5369"/>
  <c r="R5369"/>
  <c r="Q5367"/>
  <c r="S5367"/>
  <c r="R5367"/>
  <c r="Q5365"/>
  <c r="S5365"/>
  <c r="R5365"/>
  <c r="Q5363"/>
  <c r="S5363"/>
  <c r="R5363"/>
  <c r="Q5361"/>
  <c r="S5361"/>
  <c r="R5361"/>
  <c r="Q5359"/>
  <c r="S5359"/>
  <c r="R5359"/>
  <c r="R5357"/>
  <c r="Q5357"/>
  <c r="S5357"/>
  <c r="R5355"/>
  <c r="Q5355"/>
  <c r="S5355"/>
  <c r="R5353"/>
  <c r="Q5353"/>
  <c r="S5353"/>
  <c r="R5351"/>
  <c r="Q5351"/>
  <c r="S5351"/>
  <c r="R5349"/>
  <c r="Q5349"/>
  <c r="S5349"/>
  <c r="R5347"/>
  <c r="Q5347"/>
  <c r="S5347"/>
  <c r="R5345"/>
  <c r="Q5345"/>
  <c r="S5345"/>
  <c r="R5343"/>
  <c r="Q5343"/>
  <c r="S5343"/>
  <c r="R5341"/>
  <c r="Q5341"/>
  <c r="S5341"/>
  <c r="R5339"/>
  <c r="Q5339"/>
  <c r="S5339"/>
  <c r="R5337"/>
  <c r="Q5337"/>
  <c r="S5337"/>
  <c r="R5335"/>
  <c r="Q5335"/>
  <c r="S5335"/>
  <c r="R5333"/>
  <c r="Q5333"/>
  <c r="S5333"/>
  <c r="R5331"/>
  <c r="Q5331"/>
  <c r="S5331"/>
  <c r="R5329"/>
  <c r="Q5329"/>
  <c r="S5329"/>
  <c r="R5327"/>
  <c r="Q5327"/>
  <c r="S5327"/>
  <c r="R5325"/>
  <c r="Q5325"/>
  <c r="S5325"/>
  <c r="R5323"/>
  <c r="Q5323"/>
  <c r="S5323"/>
  <c r="R5321"/>
  <c r="Q5321"/>
  <c r="S5321"/>
  <c r="R5319"/>
  <c r="Q5319"/>
  <c r="S5319"/>
  <c r="R5317"/>
  <c r="Q5317"/>
  <c r="S5317"/>
  <c r="R5315"/>
  <c r="Q5315"/>
  <c r="S5315"/>
  <c r="R5313"/>
  <c r="Q5313"/>
  <c r="S5313"/>
  <c r="R5311"/>
  <c r="Q5311"/>
  <c r="S5311"/>
  <c r="R5309"/>
  <c r="Q5309"/>
  <c r="S5309"/>
  <c r="R5307"/>
  <c r="Q5307"/>
  <c r="S5307"/>
  <c r="R5305"/>
  <c r="Q5305"/>
  <c r="S5305"/>
  <c r="R5303"/>
  <c r="Q5303"/>
  <c r="S5303"/>
  <c r="R5301"/>
  <c r="Q5301"/>
  <c r="S5301"/>
  <c r="R5299"/>
  <c r="Q5299"/>
  <c r="S5299"/>
  <c r="R5297"/>
  <c r="Q5297"/>
  <c r="S5297"/>
  <c r="R5295"/>
  <c r="Q5295"/>
  <c r="S5295"/>
  <c r="R5293"/>
  <c r="Q5293"/>
  <c r="S5293"/>
  <c r="R5291"/>
  <c r="Q5291"/>
  <c r="S5291"/>
  <c r="R5289"/>
  <c r="Q5289"/>
  <c r="S5289"/>
  <c r="R5287"/>
  <c r="Q5287"/>
  <c r="S5287"/>
  <c r="R5285"/>
  <c r="Q5285"/>
  <c r="S5285"/>
  <c r="R5283"/>
  <c r="Q5283"/>
  <c r="S5283"/>
  <c r="R5281"/>
  <c r="Q5281"/>
  <c r="S5281"/>
  <c r="R5279"/>
  <c r="Q5279"/>
  <c r="S5279"/>
  <c r="R5277"/>
  <c r="Q5277"/>
  <c r="S5277"/>
  <c r="R5275"/>
  <c r="Q5275"/>
  <c r="S5275"/>
  <c r="R5273"/>
  <c r="Q5273"/>
  <c r="S5273"/>
  <c r="R5271"/>
  <c r="Q5271"/>
  <c r="S5271"/>
  <c r="R5269"/>
  <c r="Q5269"/>
  <c r="S5269"/>
  <c r="R5267"/>
  <c r="Q5267"/>
  <c r="S5267"/>
  <c r="R5265"/>
  <c r="Q5265"/>
  <c r="S5265"/>
  <c r="R5263"/>
  <c r="Q5263"/>
  <c r="S5263"/>
  <c r="R5261"/>
  <c r="Q5261"/>
  <c r="S5261"/>
  <c r="R5259"/>
  <c r="Q5259"/>
  <c r="S5259"/>
  <c r="R5257"/>
  <c r="Q5257"/>
  <c r="S5257"/>
  <c r="R5255"/>
  <c r="Q5255"/>
  <c r="S5255"/>
  <c r="R5253"/>
  <c r="Q5253"/>
  <c r="S5253"/>
  <c r="R5251"/>
  <c r="Q5251"/>
  <c r="S5251"/>
  <c r="R5249"/>
  <c r="Q5249"/>
  <c r="S5249"/>
  <c r="R5247"/>
  <c r="Q5247"/>
  <c r="S5247"/>
  <c r="R5245"/>
  <c r="Q5245"/>
  <c r="S5245"/>
  <c r="R5243"/>
  <c r="Q5243"/>
  <c r="S5243"/>
  <c r="R5241"/>
  <c r="Q5241"/>
  <c r="S5241"/>
  <c r="R5239"/>
  <c r="Q5239"/>
  <c r="S5239"/>
  <c r="R5237"/>
  <c r="Q5237"/>
  <c r="S5237"/>
  <c r="R5235"/>
  <c r="Q5235"/>
  <c r="S5235"/>
  <c r="R5233"/>
  <c r="Q5233"/>
  <c r="S5233"/>
  <c r="R5231"/>
  <c r="Q5231"/>
  <c r="S5231"/>
  <c r="R5229"/>
  <c r="Q5229"/>
  <c r="S5229"/>
  <c r="R5227"/>
  <c r="Q5227"/>
  <c r="S5227"/>
  <c r="R5225"/>
  <c r="Q5225"/>
  <c r="S5225"/>
  <c r="R5223"/>
  <c r="Q5223"/>
  <c r="S5223"/>
  <c r="R5221"/>
  <c r="Q5221"/>
  <c r="S5221"/>
  <c r="R5219"/>
  <c r="Q5219"/>
  <c r="S5219"/>
  <c r="R5217"/>
  <c r="Q5217"/>
  <c r="S5217"/>
  <c r="R5215"/>
  <c r="Q5215"/>
  <c r="S5215"/>
  <c r="R5213"/>
  <c r="Q5213"/>
  <c r="S5213"/>
  <c r="R5211"/>
  <c r="Q5211"/>
  <c r="S5211"/>
  <c r="R5209"/>
  <c r="Q5209"/>
  <c r="S5209"/>
  <c r="R5207"/>
  <c r="Q5207"/>
  <c r="S5207"/>
  <c r="R5205"/>
  <c r="Q5205"/>
  <c r="S5205"/>
  <c r="R5203"/>
  <c r="Q5203"/>
  <c r="S5203"/>
  <c r="R5201"/>
  <c r="Q5201"/>
  <c r="S5201"/>
  <c r="R5199"/>
  <c r="Q5199"/>
  <c r="S5199"/>
  <c r="R5197"/>
  <c r="Q5197"/>
  <c r="S5197"/>
  <c r="A5195"/>
  <c r="R5195"/>
  <c r="Q5195"/>
  <c r="S5195"/>
  <c r="A5193"/>
  <c r="R5193"/>
  <c r="Q5193"/>
  <c r="S5193"/>
  <c r="A5191"/>
  <c r="R5191"/>
  <c r="Q5191"/>
  <c r="S5191"/>
  <c r="A5189"/>
  <c r="R5189"/>
  <c r="Q5189"/>
  <c r="S5189"/>
  <c r="A5187"/>
  <c r="R5187"/>
  <c r="Q5187"/>
  <c r="S5187"/>
  <c r="A5185"/>
  <c r="R5185"/>
  <c r="Q5185"/>
  <c r="S5185"/>
  <c r="A5183"/>
  <c r="R5183"/>
  <c r="Q5183"/>
  <c r="S5183"/>
  <c r="A5181"/>
  <c r="R5181"/>
  <c r="Q5181"/>
  <c r="S5181"/>
  <c r="A5179"/>
  <c r="R5179"/>
  <c r="Q5179"/>
  <c r="S5179"/>
  <c r="A5177"/>
  <c r="R5177"/>
  <c r="Q5177"/>
  <c r="S5177"/>
  <c r="A5175"/>
  <c r="R5175"/>
  <c r="Q5175"/>
  <c r="S5175"/>
  <c r="A5173"/>
  <c r="R5173"/>
  <c r="Q5173"/>
  <c r="S5173"/>
  <c r="A5171"/>
  <c r="R5171"/>
  <c r="Q5171"/>
  <c r="S5171"/>
  <c r="A5169"/>
  <c r="R5169"/>
  <c r="Q5169"/>
  <c r="S5169"/>
  <c r="A5167"/>
  <c r="R5167"/>
  <c r="Q5167"/>
  <c r="S5167"/>
  <c r="A5165"/>
  <c r="R5165"/>
  <c r="Q5165"/>
  <c r="S5165"/>
  <c r="A5163"/>
  <c r="R5163"/>
  <c r="Q5163"/>
  <c r="S5163"/>
  <c r="A5161"/>
  <c r="R5161"/>
  <c r="Q5161"/>
  <c r="S5161"/>
  <c r="A5159"/>
  <c r="R5159"/>
  <c r="Q5159"/>
  <c r="S5159"/>
  <c r="A5157"/>
  <c r="R5157"/>
  <c r="Q5157"/>
  <c r="S5157"/>
  <c r="A5155"/>
  <c r="R5155"/>
  <c r="Q5155"/>
  <c r="S5155"/>
  <c r="A5153"/>
  <c r="R5153"/>
  <c r="Q5153"/>
  <c r="S5153"/>
  <c r="A5151"/>
  <c r="R5151"/>
  <c r="Q5151"/>
  <c r="S5151"/>
  <c r="A5149"/>
  <c r="R5149"/>
  <c r="Q5149"/>
  <c r="S5149"/>
  <c r="A5147"/>
  <c r="R5147"/>
  <c r="Q5147"/>
  <c r="S5147"/>
  <c r="A5145"/>
  <c r="R5145"/>
  <c r="Q5145"/>
  <c r="S5145"/>
  <c r="A5143"/>
  <c r="R5143"/>
  <c r="Q5143"/>
  <c r="S5143"/>
  <c r="A5141"/>
  <c r="R5141"/>
  <c r="Q5141"/>
  <c r="S5141"/>
  <c r="A5139"/>
  <c r="R5139"/>
  <c r="Q5139"/>
  <c r="S5139"/>
  <c r="A5137"/>
  <c r="R5137"/>
  <c r="Q5137"/>
  <c r="S5137"/>
  <c r="A5135"/>
  <c r="R5135"/>
  <c r="Q5135"/>
  <c r="S5135"/>
  <c r="A5133"/>
  <c r="R5133"/>
  <c r="Q5133"/>
  <c r="S5133"/>
  <c r="A5131"/>
  <c r="R5131"/>
  <c r="Q5131"/>
  <c r="S5131"/>
  <c r="A5129"/>
  <c r="R5129"/>
  <c r="Q5129"/>
  <c r="S5129"/>
  <c r="A5127"/>
  <c r="R5127"/>
  <c r="Q5127"/>
  <c r="S5127"/>
  <c r="A5125"/>
  <c r="R5125"/>
  <c r="Q5125"/>
  <c r="S5125"/>
  <c r="A5123"/>
  <c r="R5123"/>
  <c r="Q5123"/>
  <c r="S5123"/>
  <c r="A5121"/>
  <c r="R5121"/>
  <c r="Q5121"/>
  <c r="S5121"/>
  <c r="A5119"/>
  <c r="R5119"/>
  <c r="Q5119"/>
  <c r="S5119"/>
  <c r="A5117"/>
  <c r="R5117"/>
  <c r="Q5117"/>
  <c r="S5117"/>
  <c r="A5115"/>
  <c r="R5115"/>
  <c r="Q5115"/>
  <c r="S5115"/>
  <c r="A5113"/>
  <c r="R5113"/>
  <c r="Q5113"/>
  <c r="S5113"/>
  <c r="A5111"/>
  <c r="R5111"/>
  <c r="Q5111"/>
  <c r="S5111"/>
  <c r="A5109"/>
  <c r="R5109"/>
  <c r="Q5109"/>
  <c r="S5109"/>
  <c r="A5107"/>
  <c r="R5107"/>
  <c r="Q5107"/>
  <c r="S5107"/>
  <c r="A5105"/>
  <c r="R5105"/>
  <c r="Q5105"/>
  <c r="S5105"/>
  <c r="A5103"/>
  <c r="R5103"/>
  <c r="Q5103"/>
  <c r="S5103"/>
  <c r="A5101"/>
  <c r="R5101"/>
  <c r="Q5101"/>
  <c r="S5101"/>
  <c r="A5099"/>
  <c r="R5099"/>
  <c r="Q5099"/>
  <c r="S5099"/>
  <c r="A5097"/>
  <c r="R5097"/>
  <c r="Q5097"/>
  <c r="S5097"/>
  <c r="A5095"/>
  <c r="R5095"/>
  <c r="Q5095"/>
  <c r="S5095"/>
  <c r="A5093"/>
  <c r="R5093"/>
  <c r="Q5093"/>
  <c r="S5093"/>
  <c r="A5091"/>
  <c r="R5091"/>
  <c r="Q5091"/>
  <c r="S5091"/>
  <c r="A5089"/>
  <c r="R5089"/>
  <c r="Q5089"/>
  <c r="S5089"/>
  <c r="A5087"/>
  <c r="R5087"/>
  <c r="Q5087"/>
  <c r="S5087"/>
  <c r="A5085"/>
  <c r="R5085"/>
  <c r="Q5085"/>
  <c r="S5085"/>
  <c r="A5083"/>
  <c r="R5083"/>
  <c r="Q5083"/>
  <c r="S5083"/>
  <c r="A5081"/>
  <c r="R5081"/>
  <c r="Q5081"/>
  <c r="S5081"/>
  <c r="A5079"/>
  <c r="R5079"/>
  <c r="Q5079"/>
  <c r="S5079"/>
  <c r="A5077"/>
  <c r="R5077"/>
  <c r="Q5077"/>
  <c r="S5077"/>
  <c r="A5075"/>
  <c r="R5075"/>
  <c r="Q5075"/>
  <c r="S5075"/>
  <c r="A5073"/>
  <c r="R5073"/>
  <c r="Q5073"/>
  <c r="S5073"/>
  <c r="A5071"/>
  <c r="R5071"/>
  <c r="Q5071"/>
  <c r="S5071"/>
  <c r="A5069"/>
  <c r="R5069"/>
  <c r="Q5069"/>
  <c r="S5069"/>
  <c r="A5067"/>
  <c r="R5067"/>
  <c r="Q5067"/>
  <c r="S5067"/>
  <c r="A5065"/>
  <c r="R5065"/>
  <c r="Q5065"/>
  <c r="S5065"/>
  <c r="A5063"/>
  <c r="R5063"/>
  <c r="Q5063"/>
  <c r="S5063"/>
  <c r="A5061"/>
  <c r="R5061"/>
  <c r="Q5061"/>
  <c r="S5061"/>
  <c r="A5059"/>
  <c r="R5059"/>
  <c r="Q5059"/>
  <c r="S5059"/>
  <c r="A5057"/>
  <c r="R5057"/>
  <c r="Q5057"/>
  <c r="S5057"/>
  <c r="A5055"/>
  <c r="R5055"/>
  <c r="Q5055"/>
  <c r="S5055"/>
  <c r="A5053"/>
  <c r="R5053"/>
  <c r="Q5053"/>
  <c r="S5053"/>
  <c r="A5051"/>
  <c r="R5051"/>
  <c r="Q5051"/>
  <c r="S5051"/>
  <c r="A5049"/>
  <c r="R5049"/>
  <c r="Q5049"/>
  <c r="S5049"/>
  <c r="A5047"/>
  <c r="R5047"/>
  <c r="Q5047"/>
  <c r="S5047"/>
  <c r="A5045"/>
  <c r="R5045"/>
  <c r="Q5045"/>
  <c r="S5045"/>
  <c r="A5043"/>
  <c r="R5043"/>
  <c r="Q5043"/>
  <c r="S5043"/>
  <c r="A5041"/>
  <c r="R5041"/>
  <c r="Q5041"/>
  <c r="S5041"/>
  <c r="A5039"/>
  <c r="R5039"/>
  <c r="Q5039"/>
  <c r="S5039"/>
  <c r="A5037"/>
  <c r="R5037"/>
  <c r="Q5037"/>
  <c r="S5037"/>
  <c r="A5035"/>
  <c r="R5035"/>
  <c r="Q5035"/>
  <c r="S5035"/>
  <c r="A5033"/>
  <c r="R5033"/>
  <c r="Q5033"/>
  <c r="S5033"/>
  <c r="A5031"/>
  <c r="R5031"/>
  <c r="Q5031"/>
  <c r="S5031"/>
  <c r="A5029"/>
  <c r="R5029"/>
  <c r="Q5029"/>
  <c r="S5029"/>
  <c r="A5027"/>
  <c r="R5027"/>
  <c r="Q5027"/>
  <c r="S5027"/>
  <c r="Q4091"/>
  <c r="S4091"/>
  <c r="R4091"/>
  <c r="R4084"/>
  <c r="Q4084"/>
  <c r="S4084"/>
  <c r="R4080"/>
  <c r="Q4080"/>
  <c r="S4080"/>
  <c r="Q2866"/>
  <c r="S2866"/>
  <c r="R2866"/>
  <c r="A4851"/>
  <c r="R4851"/>
  <c r="Q4851"/>
  <c r="S4851"/>
  <c r="Q4087"/>
  <c r="S4087"/>
  <c r="R4087"/>
  <c r="Q3081"/>
  <c r="S3081"/>
  <c r="R3081"/>
  <c r="Q4067"/>
  <c r="S4067"/>
  <c r="R4067"/>
  <c r="Q4045"/>
  <c r="S4045"/>
  <c r="R4045"/>
  <c r="R3510"/>
  <c r="Q3510"/>
  <c r="S3510"/>
  <c r="A4799"/>
  <c r="R4799"/>
  <c r="Q4799"/>
  <c r="S4799"/>
  <c r="R2934"/>
  <c r="Q2934"/>
  <c r="S2934"/>
  <c r="Q2931"/>
  <c r="S2931"/>
  <c r="R2931"/>
  <c r="R2928"/>
  <c r="Q2928"/>
  <c r="S2928"/>
  <c r="R3030"/>
  <c r="Q3030"/>
  <c r="S3030"/>
  <c r="R3026"/>
  <c r="Q3026"/>
  <c r="S3026"/>
  <c r="R3024"/>
  <c r="Q3024"/>
  <c r="S3024"/>
  <c r="R3022"/>
  <c r="Q3022"/>
  <c r="S3022"/>
  <c r="R2932"/>
  <c r="Q2932"/>
  <c r="S2932"/>
  <c r="R3954"/>
  <c r="Q3954"/>
  <c r="S3954"/>
  <c r="R3952"/>
  <c r="Q3952"/>
  <c r="S3952"/>
  <c r="R3950"/>
  <c r="Q3950"/>
  <c r="S3950"/>
  <c r="R3948"/>
  <c r="Q3948"/>
  <c r="S3948"/>
  <c r="R3946"/>
  <c r="Q3946"/>
  <c r="S3946"/>
  <c r="R3944"/>
  <c r="Q3944"/>
  <c r="S3944"/>
  <c r="R3942"/>
  <c r="Q3942"/>
  <c r="S3942"/>
  <c r="R3940"/>
  <c r="Q3940"/>
  <c r="S3940"/>
  <c r="R3938"/>
  <c r="Q3938"/>
  <c r="S3938"/>
  <c r="R3936"/>
  <c r="Q3936"/>
  <c r="S3936"/>
  <c r="R3934"/>
  <c r="Q3934"/>
  <c r="S3934"/>
  <c r="Q3931"/>
  <c r="S3931"/>
  <c r="R3931"/>
  <c r="Q3925"/>
  <c r="S3925"/>
  <c r="R3925"/>
  <c r="R3922"/>
  <c r="Q3922"/>
  <c r="S3922"/>
  <c r="R3918"/>
  <c r="Q3918"/>
  <c r="S3918"/>
  <c r="R3916"/>
  <c r="Q3916"/>
  <c r="S3916"/>
  <c r="R3912"/>
  <c r="Q3912"/>
  <c r="S3912"/>
  <c r="Q3909"/>
  <c r="S3909"/>
  <c r="R3909"/>
  <c r="A4716"/>
  <c r="Q4716"/>
  <c r="S4716"/>
  <c r="R4716"/>
  <c r="A4714"/>
  <c r="Q4714"/>
  <c r="S4714"/>
  <c r="R4714"/>
  <c r="A4712"/>
  <c r="Q4712"/>
  <c r="S4712"/>
  <c r="R4712"/>
  <c r="A4708"/>
  <c r="Q4708"/>
  <c r="S4708"/>
  <c r="R4708"/>
  <c r="R3956"/>
  <c r="Q3956"/>
  <c r="S3956"/>
  <c r="A4705"/>
  <c r="R4705"/>
  <c r="Q4705"/>
  <c r="S4705"/>
  <c r="A4703"/>
  <c r="R4703"/>
  <c r="Q4703"/>
  <c r="S4703"/>
  <c r="A4700"/>
  <c r="Q4700"/>
  <c r="S4700"/>
  <c r="R4700"/>
  <c r="A4698"/>
  <c r="Q4698"/>
  <c r="S4698"/>
  <c r="R4698"/>
  <c r="A4696"/>
  <c r="Q4696"/>
  <c r="S4696"/>
  <c r="R4696"/>
  <c r="R3930"/>
  <c r="Q3930"/>
  <c r="S3930"/>
  <c r="A4693"/>
  <c r="R4693"/>
  <c r="Q4693"/>
  <c r="S4693"/>
  <c r="A4691"/>
  <c r="R4691"/>
  <c r="Q4691"/>
  <c r="S4691"/>
  <c r="A4689"/>
  <c r="R4689"/>
  <c r="Q4689"/>
  <c r="S4689"/>
  <c r="A4687"/>
  <c r="R4687"/>
  <c r="Q4687"/>
  <c r="S4687"/>
  <c r="A4685"/>
  <c r="R4685"/>
  <c r="Q4685"/>
  <c r="S4685"/>
  <c r="A4683"/>
  <c r="R4683"/>
  <c r="Q4683"/>
  <c r="S4683"/>
  <c r="A4681"/>
  <c r="R4681"/>
  <c r="Q4681"/>
  <c r="S4681"/>
  <c r="A4680"/>
  <c r="Q4680"/>
  <c r="S4680"/>
  <c r="R4680"/>
  <c r="A4677"/>
  <c r="R4677"/>
  <c r="Q4677"/>
  <c r="S4677"/>
  <c r="A4675"/>
  <c r="R4675"/>
  <c r="Q4675"/>
  <c r="S4675"/>
  <c r="A4673"/>
  <c r="R4673"/>
  <c r="Q4673"/>
  <c r="S4673"/>
  <c r="A4672"/>
  <c r="Q4672"/>
  <c r="S4672"/>
  <c r="R4672"/>
  <c r="A4669"/>
  <c r="R4669"/>
  <c r="Q4669"/>
  <c r="S4669"/>
  <c r="A4667"/>
  <c r="R4667"/>
  <c r="Q4667"/>
  <c r="S4667"/>
  <c r="A4663"/>
  <c r="R4663"/>
  <c r="Q4663"/>
  <c r="S4663"/>
  <c r="A4661"/>
  <c r="R4661"/>
  <c r="Q4661"/>
  <c r="S4661"/>
  <c r="A4659"/>
  <c r="R4659"/>
  <c r="Q4659"/>
  <c r="S4659"/>
  <c r="A4657"/>
  <c r="R4657"/>
  <c r="Q4657"/>
  <c r="S4657"/>
  <c r="A4655"/>
  <c r="R4655"/>
  <c r="Q4655"/>
  <c r="S4655"/>
  <c r="A4653"/>
  <c r="R4653"/>
  <c r="Q4653"/>
  <c r="S4653"/>
  <c r="A4651"/>
  <c r="R4651"/>
  <c r="Q4651"/>
  <c r="S4651"/>
  <c r="A4648"/>
  <c r="Q4648"/>
  <c r="S4648"/>
  <c r="R4648"/>
  <c r="A4646"/>
  <c r="Q4646"/>
  <c r="S4646"/>
  <c r="R4646"/>
  <c r="Q3921"/>
  <c r="S3921"/>
  <c r="R3921"/>
  <c r="A4643"/>
  <c r="R4643"/>
  <c r="Q4643"/>
  <c r="S4643"/>
  <c r="A4641"/>
  <c r="R4641"/>
  <c r="Q4641"/>
  <c r="S4641"/>
  <c r="A4639"/>
  <c r="R4639"/>
  <c r="Q4639"/>
  <c r="S4639"/>
  <c r="A4637"/>
  <c r="R4637"/>
  <c r="Q4637"/>
  <c r="S4637"/>
  <c r="A4635"/>
  <c r="R4635"/>
  <c r="Q4635"/>
  <c r="S4635"/>
  <c r="A4633"/>
  <c r="R4633"/>
  <c r="Q4633"/>
  <c r="S4633"/>
  <c r="A4631"/>
  <c r="R4631"/>
  <c r="Q4631"/>
  <c r="S4631"/>
  <c r="A4629"/>
  <c r="R4629"/>
  <c r="Q4629"/>
  <c r="S4629"/>
  <c r="A4627"/>
  <c r="R4627"/>
  <c r="Q4627"/>
  <c r="S4627"/>
  <c r="A4625"/>
  <c r="R4625"/>
  <c r="Q4625"/>
  <c r="S4625"/>
  <c r="A4623"/>
  <c r="R4623"/>
  <c r="Q4623"/>
  <c r="S4623"/>
  <c r="R3282"/>
  <c r="Q3282"/>
  <c r="S3282"/>
  <c r="R3280"/>
  <c r="Q3280"/>
  <c r="S3280"/>
  <c r="R3278"/>
  <c r="Q3278"/>
  <c r="S3278"/>
  <c r="R3276"/>
  <c r="Q3276"/>
  <c r="S3276"/>
  <c r="R3274"/>
  <c r="Q3274"/>
  <c r="S3274"/>
  <c r="R3272"/>
  <c r="Q3272"/>
  <c r="S3272"/>
  <c r="R3270"/>
  <c r="Q3270"/>
  <c r="S3270"/>
  <c r="R3268"/>
  <c r="Q3268"/>
  <c r="S3268"/>
  <c r="R3266"/>
  <c r="Q3266"/>
  <c r="S3266"/>
  <c r="R3264"/>
  <c r="Q3264"/>
  <c r="S3264"/>
  <c r="R3262"/>
  <c r="Q3262"/>
  <c r="S3262"/>
  <c r="R3260"/>
  <c r="Q3260"/>
  <c r="S3260"/>
  <c r="R3258"/>
  <c r="Q3258"/>
  <c r="S3258"/>
  <c r="R3256"/>
  <c r="Q3256"/>
  <c r="S3256"/>
  <c r="R3254"/>
  <c r="Q3254"/>
  <c r="S3254"/>
  <c r="R3252"/>
  <c r="Q3252"/>
  <c r="S3252"/>
  <c r="R3250"/>
  <c r="Q3250"/>
  <c r="S3250"/>
  <c r="R3458"/>
  <c r="Q3458"/>
  <c r="S3458"/>
  <c r="Q3249"/>
  <c r="S3249"/>
  <c r="R3249"/>
  <c r="R2515"/>
  <c r="Q2515"/>
  <c r="S2515"/>
  <c r="R2513"/>
  <c r="Q2513"/>
  <c r="S2513"/>
  <c r="Q2504"/>
  <c r="S2504"/>
  <c r="R2504"/>
  <c r="Q2502"/>
  <c r="S2502"/>
  <c r="R2502"/>
  <c r="Q2500"/>
  <c r="S2500"/>
  <c r="R2500"/>
  <c r="Q2498"/>
  <c r="S2498"/>
  <c r="R2498"/>
  <c r="Q2496"/>
  <c r="S2496"/>
  <c r="R2496"/>
  <c r="Q2494"/>
  <c r="S2494"/>
  <c r="R2494"/>
  <c r="Q2490"/>
  <c r="S2490"/>
  <c r="R2490"/>
  <c r="R2489"/>
  <c r="Q2489"/>
  <c r="S2489"/>
  <c r="R2487"/>
  <c r="Q2487"/>
  <c r="S2487"/>
  <c r="R2485"/>
  <c r="Q2485"/>
  <c r="S2485"/>
  <c r="R2483"/>
  <c r="Q2483"/>
  <c r="S2483"/>
  <c r="R2481"/>
  <c r="Q2481"/>
  <c r="S2481"/>
  <c r="R2479"/>
  <c r="Q2479"/>
  <c r="S2479"/>
  <c r="R2477"/>
  <c r="Q2477"/>
  <c r="S2477"/>
  <c r="R2475"/>
  <c r="Q2475"/>
  <c r="S2475"/>
  <c r="R2473"/>
  <c r="Q2473"/>
  <c r="S2473"/>
  <c r="R2471"/>
  <c r="Q2471"/>
  <c r="S2471"/>
  <c r="A4666"/>
  <c r="Q4666"/>
  <c r="S4666"/>
  <c r="R4666"/>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R2446"/>
  <c r="Q2444"/>
  <c r="S2444"/>
  <c r="R2444"/>
  <c r="Q2442"/>
  <c r="S2442"/>
  <c r="R2442"/>
  <c r="Q2440"/>
  <c r="S2440"/>
  <c r="R2440"/>
  <c r="Q2438"/>
  <c r="S2438"/>
  <c r="R2438"/>
  <c r="Q2436"/>
  <c r="S2436"/>
  <c r="R2436"/>
  <c r="Q2434"/>
  <c r="S2434"/>
  <c r="R2434"/>
  <c r="Q2432"/>
  <c r="S2432"/>
  <c r="R2432"/>
  <c r="Q2430"/>
  <c r="S2430"/>
  <c r="R2430"/>
  <c r="A4710"/>
  <c r="Q4710"/>
  <c r="S4710"/>
  <c r="R4710"/>
  <c r="A4671"/>
  <c r="R4671"/>
  <c r="Q4671"/>
  <c r="S4671"/>
  <c r="A4649"/>
  <c r="R4649"/>
  <c r="Q4649"/>
  <c r="S4649"/>
  <c r="A4628"/>
  <c r="Q4628"/>
  <c r="S4628"/>
  <c r="R4628"/>
  <c r="A4622"/>
  <c r="Q4622"/>
  <c r="S4622"/>
  <c r="R4622"/>
  <c r="Q6937"/>
  <c r="S6937"/>
  <c r="R6937"/>
  <c r="Q6935"/>
  <c r="S6935"/>
  <c r="R6935"/>
  <c r="Q6933"/>
  <c r="S6933"/>
  <c r="R6933"/>
  <c r="Q6931"/>
  <c r="S6931"/>
  <c r="R6931"/>
  <c r="Q6929"/>
  <c r="S6929"/>
  <c r="R6929"/>
  <c r="Q6927"/>
  <c r="S6927"/>
  <c r="R6927"/>
  <c r="Q6925"/>
  <c r="S6925"/>
  <c r="R6925"/>
  <c r="Q6923"/>
  <c r="S6923"/>
  <c r="R6923"/>
  <c r="Q6921"/>
  <c r="S6921"/>
  <c r="R6921"/>
  <c r="Q6919"/>
  <c r="S6919"/>
  <c r="R6919"/>
  <c r="Q6917"/>
  <c r="S6917"/>
  <c r="R6917"/>
  <c r="Q6915"/>
  <c r="S6915"/>
  <c r="R6915"/>
  <c r="Q6913"/>
  <c r="S6913"/>
  <c r="R6913"/>
  <c r="Q6911"/>
  <c r="S6911"/>
  <c r="R6911"/>
  <c r="Q6909"/>
  <c r="S6909"/>
  <c r="R6909"/>
  <c r="Q6907"/>
  <c r="S6907"/>
  <c r="R6907"/>
  <c r="Q6905"/>
  <c r="S6905"/>
  <c r="R6905"/>
  <c r="Q6903"/>
  <c r="S6903"/>
  <c r="R6903"/>
  <c r="Q6901"/>
  <c r="S6901"/>
  <c r="R6901"/>
  <c r="Q6899"/>
  <c r="S6899"/>
  <c r="R6899"/>
  <c r="Q6897"/>
  <c r="S6897"/>
  <c r="R6897"/>
  <c r="Q6895"/>
  <c r="S6895"/>
  <c r="R6895"/>
  <c r="Q6893"/>
  <c r="S6893"/>
  <c r="R6893"/>
  <c r="Q6891"/>
  <c r="S6891"/>
  <c r="R6891"/>
  <c r="Q6889"/>
  <c r="S6889"/>
  <c r="R6889"/>
  <c r="Q6887"/>
  <c r="S6887"/>
  <c r="R6887"/>
  <c r="Q6885"/>
  <c r="S6885"/>
  <c r="R6885"/>
  <c r="Q6883"/>
  <c r="S6883"/>
  <c r="R6883"/>
  <c r="Q6881"/>
  <c r="S6881"/>
  <c r="R6881"/>
  <c r="Q6879"/>
  <c r="S6879"/>
  <c r="R6879"/>
  <c r="Q6877"/>
  <c r="S6877"/>
  <c r="R6877"/>
  <c r="Q6875"/>
  <c r="S6875"/>
  <c r="R6875"/>
  <c r="Q6873"/>
  <c r="S6873"/>
  <c r="R6873"/>
  <c r="Q6871"/>
  <c r="S6871"/>
  <c r="R6871"/>
  <c r="Q6869"/>
  <c r="S6869"/>
  <c r="R6869"/>
  <c r="Q6867"/>
  <c r="S6867"/>
  <c r="R6867"/>
  <c r="Q6865"/>
  <c r="S6865"/>
  <c r="R6865"/>
  <c r="Q6863"/>
  <c r="S6863"/>
  <c r="R6863"/>
  <c r="Q6861"/>
  <c r="S6861"/>
  <c r="R6861"/>
  <c r="Q6859"/>
  <c r="S6859"/>
  <c r="R6859"/>
  <c r="Q6857"/>
  <c r="S6857"/>
  <c r="R6857"/>
  <c r="Q6855"/>
  <c r="S6855"/>
  <c r="R6855"/>
  <c r="Q6853"/>
  <c r="S6853"/>
  <c r="R6853"/>
  <c r="Q6851"/>
  <c r="S6851"/>
  <c r="R6851"/>
  <c r="Q6849"/>
  <c r="S6849"/>
  <c r="R6849"/>
  <c r="Q6847"/>
  <c r="S6847"/>
  <c r="R6847"/>
  <c r="Q6845"/>
  <c r="S6845"/>
  <c r="R6845"/>
  <c r="Q6843"/>
  <c r="S6843"/>
  <c r="R6843"/>
  <c r="Q6841"/>
  <c r="S6841"/>
  <c r="R6841"/>
  <c r="Q6839"/>
  <c r="S6839"/>
  <c r="R6839"/>
  <c r="Q6837"/>
  <c r="S6837"/>
  <c r="R6837"/>
  <c r="Q6835"/>
  <c r="S6835"/>
  <c r="R6835"/>
  <c r="Q6833"/>
  <c r="S6833"/>
  <c r="R6833"/>
  <c r="Q6831"/>
  <c r="S6831"/>
  <c r="R6831"/>
  <c r="Q6829"/>
  <c r="S6829"/>
  <c r="R6829"/>
  <c r="Q6827"/>
  <c r="S6827"/>
  <c r="R6827"/>
  <c r="Q6825"/>
  <c r="S6825"/>
  <c r="R6825"/>
  <c r="Q6823"/>
  <c r="S6823"/>
  <c r="R6823"/>
  <c r="Q6821"/>
  <c r="S6821"/>
  <c r="R6821"/>
  <c r="Q6819"/>
  <c r="S6819"/>
  <c r="R6819"/>
  <c r="Q6817"/>
  <c r="S6817"/>
  <c r="R6817"/>
  <c r="Q6815"/>
  <c r="S6815"/>
  <c r="R6815"/>
  <c r="Q6813"/>
  <c r="S6813"/>
  <c r="R6813"/>
  <c r="Q6811"/>
  <c r="S6811"/>
  <c r="R6811"/>
  <c r="Q6809"/>
  <c r="S6809"/>
  <c r="R6809"/>
  <c r="Q6807"/>
  <c r="S6807"/>
  <c r="R6807"/>
  <c r="Q6805"/>
  <c r="S6805"/>
  <c r="R6805"/>
  <c r="Q6803"/>
  <c r="S6803"/>
  <c r="R6803"/>
  <c r="Q6801"/>
  <c r="S6801"/>
  <c r="R6801"/>
  <c r="Q6799"/>
  <c r="S6799"/>
  <c r="R6799"/>
  <c r="Q6797"/>
  <c r="S6797"/>
  <c r="R6797"/>
  <c r="Q6795"/>
  <c r="S6795"/>
  <c r="R6795"/>
  <c r="Q6793"/>
  <c r="S6793"/>
  <c r="R6793"/>
  <c r="Q6791"/>
  <c r="S6791"/>
  <c r="R6791"/>
  <c r="Q6789"/>
  <c r="S6789"/>
  <c r="R6789"/>
  <c r="Q6787"/>
  <c r="S6787"/>
  <c r="R6787"/>
  <c r="Q6785"/>
  <c r="S6785"/>
  <c r="R6785"/>
  <c r="Q6783"/>
  <c r="S6783"/>
  <c r="R6783"/>
  <c r="Q6781"/>
  <c r="S6781"/>
  <c r="R6781"/>
  <c r="Q6779"/>
  <c r="S6779"/>
  <c r="R6779"/>
  <c r="Q6777"/>
  <c r="S6777"/>
  <c r="R6777"/>
  <c r="Q6775"/>
  <c r="S6775"/>
  <c r="R6775"/>
  <c r="Q6773"/>
  <c r="S6773"/>
  <c r="R6773"/>
  <c r="Q6771"/>
  <c r="S6771"/>
  <c r="R6771"/>
  <c r="Q6769"/>
  <c r="S6769"/>
  <c r="R6769"/>
  <c r="Q6767"/>
  <c r="S6767"/>
  <c r="R6767"/>
  <c r="Q6765"/>
  <c r="S6765"/>
  <c r="R6765"/>
  <c r="Q6763"/>
  <c r="S6763"/>
  <c r="R6763"/>
  <c r="Q6761"/>
  <c r="S6761"/>
  <c r="R6761"/>
  <c r="Q6759"/>
  <c r="S6759"/>
  <c r="R6759"/>
  <c r="Q6757"/>
  <c r="S6757"/>
  <c r="R6757"/>
  <c r="Q6755"/>
  <c r="S6755"/>
  <c r="R6755"/>
  <c r="Q6753"/>
  <c r="S6753"/>
  <c r="R6753"/>
  <c r="Q6751"/>
  <c r="S6751"/>
  <c r="R6751"/>
  <c r="Q6749"/>
  <c r="S6749"/>
  <c r="R6749"/>
  <c r="Q6747"/>
  <c r="S6747"/>
  <c r="R6747"/>
  <c r="Q6745"/>
  <c r="S6745"/>
  <c r="R6745"/>
  <c r="Q6743"/>
  <c r="S6743"/>
  <c r="R6743"/>
  <c r="Q6741"/>
  <c r="S6741"/>
  <c r="R6741"/>
  <c r="Q6739"/>
  <c r="S6739"/>
  <c r="R6739"/>
  <c r="Q6737"/>
  <c r="S6737"/>
  <c r="R6737"/>
  <c r="Q6735"/>
  <c r="S6735"/>
  <c r="R6735"/>
  <c r="Q6733"/>
  <c r="S6733"/>
  <c r="R6733"/>
  <c r="Q6731"/>
  <c r="S6731"/>
  <c r="R6731"/>
  <c r="Q6729"/>
  <c r="S6729"/>
  <c r="R6729"/>
  <c r="Q6727"/>
  <c r="S6727"/>
  <c r="R6727"/>
  <c r="Q6725"/>
  <c r="S6725"/>
  <c r="R6725"/>
  <c r="Q6723"/>
  <c r="S6723"/>
  <c r="R6723"/>
  <c r="Q6721"/>
  <c r="S6721"/>
  <c r="R6721"/>
  <c r="Q6719"/>
  <c r="S6719"/>
  <c r="R6719"/>
  <c r="Q6717"/>
  <c r="S6717"/>
  <c r="R6717"/>
  <c r="Q6715"/>
  <c r="S6715"/>
  <c r="R6715"/>
  <c r="Q6713"/>
  <c r="S6713"/>
  <c r="R6713"/>
  <c r="Q6711"/>
  <c r="S6711"/>
  <c r="R6711"/>
  <c r="Q6709"/>
  <c r="S6709"/>
  <c r="R6709"/>
  <c r="Q6707"/>
  <c r="S6707"/>
  <c r="R6707"/>
  <c r="Q6705"/>
  <c r="S6705"/>
  <c r="R6705"/>
  <c r="Q6703"/>
  <c r="S6703"/>
  <c r="R6703"/>
  <c r="Q6701"/>
  <c r="S6701"/>
  <c r="R6701"/>
  <c r="Q6699"/>
  <c r="S6699"/>
  <c r="R6699"/>
  <c r="Q6697"/>
  <c r="S6697"/>
  <c r="R6697"/>
  <c r="Q6695"/>
  <c r="S6695"/>
  <c r="R6695"/>
  <c r="Q6693"/>
  <c r="S6693"/>
  <c r="R6693"/>
  <c r="Q6691"/>
  <c r="S6691"/>
  <c r="R6691"/>
  <c r="Q6689"/>
  <c r="S6689"/>
  <c r="R6689"/>
  <c r="Q6687"/>
  <c r="S6687"/>
  <c r="R6687"/>
  <c r="Q6685"/>
  <c r="S6685"/>
  <c r="R6685"/>
  <c r="Q6683"/>
  <c r="S6683"/>
  <c r="R6683"/>
  <c r="Q6681"/>
  <c r="S6681"/>
  <c r="R6681"/>
  <c r="Q6679"/>
  <c r="S6679"/>
  <c r="R6679"/>
  <c r="Q6677"/>
  <c r="S6677"/>
  <c r="R6677"/>
  <c r="Q6675"/>
  <c r="S6675"/>
  <c r="R6675"/>
  <c r="Q6673"/>
  <c r="S6673"/>
  <c r="R6673"/>
  <c r="Q6671"/>
  <c r="S6671"/>
  <c r="R6671"/>
  <c r="Q6669"/>
  <c r="S6669"/>
  <c r="R6669"/>
  <c r="Q6667"/>
  <c r="S6667"/>
  <c r="R6667"/>
  <c r="Q6665"/>
  <c r="S6665"/>
  <c r="R6665"/>
  <c r="Q6663"/>
  <c r="S6663"/>
  <c r="R6663"/>
  <c r="Q6661"/>
  <c r="S6661"/>
  <c r="R6661"/>
  <c r="Q6659"/>
  <c r="S6659"/>
  <c r="R6659"/>
  <c r="Q6657"/>
  <c r="S6657"/>
  <c r="R6657"/>
  <c r="Q6655"/>
  <c r="S6655"/>
  <c r="R6655"/>
  <c r="Q6653"/>
  <c r="S6653"/>
  <c r="R6653"/>
  <c r="Q6651"/>
  <c r="S6651"/>
  <c r="R6651"/>
  <c r="Q6649"/>
  <c r="S6649"/>
  <c r="R6649"/>
  <c r="Q6647"/>
  <c r="S6647"/>
  <c r="R6647"/>
  <c r="Q6645"/>
  <c r="S6645"/>
  <c r="R6645"/>
  <c r="Q6643"/>
  <c r="S6643"/>
  <c r="R6643"/>
  <c r="Q6641"/>
  <c r="S6641"/>
  <c r="R6641"/>
  <c r="Q6639"/>
  <c r="S6639"/>
  <c r="R6639"/>
  <c r="Q6637"/>
  <c r="S6637"/>
  <c r="R6637"/>
  <c r="Q6635"/>
  <c r="S6635"/>
  <c r="R6635"/>
  <c r="Q6633"/>
  <c r="S6633"/>
  <c r="R6633"/>
  <c r="Q6631"/>
  <c r="S6631"/>
  <c r="R6631"/>
  <c r="Q6629"/>
  <c r="S6629"/>
  <c r="R6629"/>
  <c r="Q6627"/>
  <c r="S6627"/>
  <c r="R6627"/>
  <c r="Q6625"/>
  <c r="S6625"/>
  <c r="R6625"/>
  <c r="Q6623"/>
  <c r="S6623"/>
  <c r="R6623"/>
  <c r="Q6621"/>
  <c r="S6621"/>
  <c r="R6621"/>
  <c r="Q6619"/>
  <c r="S6619"/>
  <c r="R6619"/>
  <c r="Q6617"/>
  <c r="S6617"/>
  <c r="R6617"/>
  <c r="Q6615"/>
  <c r="S6615"/>
  <c r="R6615"/>
  <c r="Q6613"/>
  <c r="S6613"/>
  <c r="R6613"/>
  <c r="Q6611"/>
  <c r="S6611"/>
  <c r="R6611"/>
  <c r="Q6609"/>
  <c r="S6609"/>
  <c r="R6609"/>
  <c r="Q6607"/>
  <c r="S6607"/>
  <c r="R6607"/>
  <c r="Q6605"/>
  <c r="S6605"/>
  <c r="R6605"/>
  <c r="Q6603"/>
  <c r="S6603"/>
  <c r="R6603"/>
  <c r="Q6601"/>
  <c r="S6601"/>
  <c r="R6601"/>
  <c r="Q6599"/>
  <c r="S6599"/>
  <c r="R6599"/>
  <c r="Q6597"/>
  <c r="S6597"/>
  <c r="R6597"/>
  <c r="Q6595"/>
  <c r="S6595"/>
  <c r="R6595"/>
  <c r="Q6593"/>
  <c r="S6593"/>
  <c r="R6593"/>
  <c r="Q6591"/>
  <c r="S6591"/>
  <c r="R6591"/>
  <c r="Q6589"/>
  <c r="S6589"/>
  <c r="R6589"/>
  <c r="Q6587"/>
  <c r="S6587"/>
  <c r="R6587"/>
  <c r="Q6585"/>
  <c r="S6585"/>
  <c r="R6585"/>
  <c r="Q6583"/>
  <c r="S6583"/>
  <c r="R6583"/>
  <c r="Q6581"/>
  <c r="S6581"/>
  <c r="R6581"/>
  <c r="Q6579"/>
  <c r="S6579"/>
  <c r="R6579"/>
  <c r="Q6577"/>
  <c r="S6577"/>
  <c r="R6577"/>
  <c r="Q6575"/>
  <c r="S6575"/>
  <c r="R6575"/>
  <c r="Q6573"/>
  <c r="S6573"/>
  <c r="R6573"/>
  <c r="Q6571"/>
  <c r="S6571"/>
  <c r="R6571"/>
  <c r="Q6569"/>
  <c r="S6569"/>
  <c r="R6569"/>
  <c r="Q6567"/>
  <c r="S6567"/>
  <c r="R6567"/>
  <c r="Q6565"/>
  <c r="S6565"/>
  <c r="R6565"/>
  <c r="Q6563"/>
  <c r="S6563"/>
  <c r="R6563"/>
  <c r="Q6561"/>
  <c r="S6561"/>
  <c r="R6561"/>
  <c r="Q6559"/>
  <c r="S6559"/>
  <c r="R6559"/>
  <c r="Q6557"/>
  <c r="S6557"/>
  <c r="R6557"/>
  <c r="Q6555"/>
  <c r="S6555"/>
  <c r="R6555"/>
  <c r="Q6553"/>
  <c r="S6553"/>
  <c r="R6553"/>
  <c r="Q6551"/>
  <c r="S6551"/>
  <c r="R6551"/>
  <c r="Q6549"/>
  <c r="S6549"/>
  <c r="R6549"/>
  <c r="Q6547"/>
  <c r="S6547"/>
  <c r="R6547"/>
  <c r="Q6545"/>
  <c r="S6545"/>
  <c r="R6545"/>
  <c r="Q6543"/>
  <c r="S6543"/>
  <c r="R6543"/>
  <c r="Q6541"/>
  <c r="S6541"/>
  <c r="R6541"/>
  <c r="Q6539"/>
  <c r="S6539"/>
  <c r="R6539"/>
  <c r="Q6537"/>
  <c r="S6537"/>
  <c r="R6537"/>
  <c r="Q6535"/>
  <c r="S6535"/>
  <c r="R6535"/>
  <c r="Q6533"/>
  <c r="S6533"/>
  <c r="R6533"/>
  <c r="Q6531"/>
  <c r="S6531"/>
  <c r="R6531"/>
  <c r="Q6529"/>
  <c r="S6529"/>
  <c r="R6529"/>
  <c r="Q6527"/>
  <c r="S6527"/>
  <c r="R6527"/>
  <c r="Q6525"/>
  <c r="S6525"/>
  <c r="R6525"/>
  <c r="Q6523"/>
  <c r="S6523"/>
  <c r="R6523"/>
  <c r="Q6521"/>
  <c r="S6521"/>
  <c r="R6521"/>
  <c r="Q6519"/>
  <c r="S6519"/>
  <c r="R6519"/>
  <c r="Q6517"/>
  <c r="S6517"/>
  <c r="R6517"/>
  <c r="Q6515"/>
  <c r="S6515"/>
  <c r="R6515"/>
  <c r="Q6513"/>
  <c r="S6513"/>
  <c r="R6513"/>
  <c r="Q6511"/>
  <c r="S6511"/>
  <c r="R6511"/>
  <c r="Q6509"/>
  <c r="S6509"/>
  <c r="R6509"/>
  <c r="Q6507"/>
  <c r="S6507"/>
  <c r="R6507"/>
  <c r="Q6505"/>
  <c r="S6505"/>
  <c r="R6505"/>
  <c r="Q6503"/>
  <c r="S6503"/>
  <c r="R6503"/>
  <c r="Q6501"/>
  <c r="S6501"/>
  <c r="R6501"/>
  <c r="Q6499"/>
  <c r="S6499"/>
  <c r="R6499"/>
  <c r="Q6497"/>
  <c r="S6497"/>
  <c r="R6497"/>
  <c r="Q6495"/>
  <c r="S6495"/>
  <c r="R6495"/>
  <c r="Q6493"/>
  <c r="S6493"/>
  <c r="R6493"/>
  <c r="Q6491"/>
  <c r="S6491"/>
  <c r="R6491"/>
  <c r="Q6489"/>
  <c r="S6489"/>
  <c r="R6489"/>
  <c r="Q6487"/>
  <c r="S6487"/>
  <c r="R6487"/>
  <c r="Q6485"/>
  <c r="S6485"/>
  <c r="R6485"/>
  <c r="Q6483"/>
  <c r="S6483"/>
  <c r="R6483"/>
  <c r="Q6481"/>
  <c r="S6481"/>
  <c r="R6481"/>
  <c r="Q6479"/>
  <c r="S6479"/>
  <c r="R6479"/>
  <c r="Q6477"/>
  <c r="S6477"/>
  <c r="R6477"/>
  <c r="Q6475"/>
  <c r="S6475"/>
  <c r="R6475"/>
  <c r="Q6473"/>
  <c r="S6473"/>
  <c r="R6473"/>
  <c r="Q6471"/>
  <c r="S6471"/>
  <c r="R6471"/>
  <c r="Q6469"/>
  <c r="S6469"/>
  <c r="R6469"/>
  <c r="Q6467"/>
  <c r="S6467"/>
  <c r="R6467"/>
  <c r="Q6465"/>
  <c r="S6465"/>
  <c r="R6465"/>
  <c r="Q6463"/>
  <c r="S6463"/>
  <c r="R6463"/>
  <c r="Q6461"/>
  <c r="S6461"/>
  <c r="R6461"/>
  <c r="Q6459"/>
  <c r="S6459"/>
  <c r="R6459"/>
  <c r="Q6457"/>
  <c r="S6457"/>
  <c r="R6457"/>
  <c r="Q6455"/>
  <c r="S6455"/>
  <c r="R6455"/>
  <c r="Q6453"/>
  <c r="S6453"/>
  <c r="R6453"/>
  <c r="Q6451"/>
  <c r="S6451"/>
  <c r="R6451"/>
  <c r="Q6449"/>
  <c r="S6449"/>
  <c r="R6449"/>
  <c r="Q6447"/>
  <c r="S6447"/>
  <c r="R6447"/>
  <c r="Q6445"/>
  <c r="S6445"/>
  <c r="R6445"/>
  <c r="Q6443"/>
  <c r="S6443"/>
  <c r="R6443"/>
  <c r="Q6441"/>
  <c r="S6441"/>
  <c r="R6441"/>
  <c r="Q6439"/>
  <c r="S6439"/>
  <c r="R6439"/>
  <c r="Q6437"/>
  <c r="S6437"/>
  <c r="R6437"/>
  <c r="Q6435"/>
  <c r="S6435"/>
  <c r="R6435"/>
  <c r="Q6433"/>
  <c r="S6433"/>
  <c r="R6433"/>
  <c r="Q6431"/>
  <c r="S6431"/>
  <c r="R6431"/>
  <c r="Q6429"/>
  <c r="S6429"/>
  <c r="R6429"/>
  <c r="Q6427"/>
  <c r="S6427"/>
  <c r="R6427"/>
  <c r="Q6425"/>
  <c r="S6425"/>
  <c r="R6425"/>
  <c r="Q6423"/>
  <c r="S6423"/>
  <c r="R6423"/>
  <c r="Q6421"/>
  <c r="S6421"/>
  <c r="R6421"/>
  <c r="Q6419"/>
  <c r="S6419"/>
  <c r="R6419"/>
  <c r="Q6417"/>
  <c r="S6417"/>
  <c r="R6417"/>
  <c r="Q6415"/>
  <c r="S6415"/>
  <c r="R6415"/>
  <c r="Q6413"/>
  <c r="S6413"/>
  <c r="R6413"/>
  <c r="Q6411"/>
  <c r="S6411"/>
  <c r="R6411"/>
  <c r="Q6409"/>
  <c r="S6409"/>
  <c r="R6409"/>
  <c r="Q6407"/>
  <c r="S6407"/>
  <c r="R6407"/>
  <c r="Q6405"/>
  <c r="S6405"/>
  <c r="R6405"/>
  <c r="Q6403"/>
  <c r="S6403"/>
  <c r="R6403"/>
  <c r="Q6401"/>
  <c r="S6401"/>
  <c r="R6401"/>
  <c r="Q6399"/>
  <c r="S6399"/>
  <c r="R6399"/>
  <c r="Q6397"/>
  <c r="S6397"/>
  <c r="R6397"/>
  <c r="Q6395"/>
  <c r="S6395"/>
  <c r="R6395"/>
  <c r="Q6393"/>
  <c r="S6393"/>
  <c r="R6393"/>
  <c r="Q6391"/>
  <c r="S6391"/>
  <c r="R6391"/>
  <c r="Q6389"/>
  <c r="S6389"/>
  <c r="R6389"/>
  <c r="Q6387"/>
  <c r="S6387"/>
  <c r="R6387"/>
  <c r="Q6385"/>
  <c r="S6385"/>
  <c r="R6385"/>
  <c r="Q6383"/>
  <c r="S6383"/>
  <c r="R6383"/>
  <c r="Q6381"/>
  <c r="S6381"/>
  <c r="R6381"/>
  <c r="Q6379"/>
  <c r="S6379"/>
  <c r="R6379"/>
  <c r="Q6377"/>
  <c r="S6377"/>
  <c r="R6377"/>
  <c r="Q6375"/>
  <c r="S6375"/>
  <c r="R6375"/>
  <c r="Q6373"/>
  <c r="S6373"/>
  <c r="R6373"/>
  <c r="Q6371"/>
  <c r="S6371"/>
  <c r="R6371"/>
  <c r="Q6369"/>
  <c r="S6369"/>
  <c r="R6369"/>
  <c r="Q6367"/>
  <c r="S6367"/>
  <c r="R6367"/>
  <c r="Q6365"/>
  <c r="S6365"/>
  <c r="R6365"/>
  <c r="Q6363"/>
  <c r="S6363"/>
  <c r="R6363"/>
  <c r="Q6361"/>
  <c r="S6361"/>
  <c r="R6361"/>
  <c r="Q6359"/>
  <c r="S6359"/>
  <c r="R6359"/>
  <c r="Q6357"/>
  <c r="S6357"/>
  <c r="R6357"/>
  <c r="Q6355"/>
  <c r="S6355"/>
  <c r="R6355"/>
  <c r="Q6353"/>
  <c r="S6353"/>
  <c r="R6353"/>
  <c r="Q6351"/>
  <c r="S6351"/>
  <c r="R6351"/>
  <c r="Q6349"/>
  <c r="S6349"/>
  <c r="R6349"/>
  <c r="Q6347"/>
  <c r="S6347"/>
  <c r="R6347"/>
  <c r="Q6345"/>
  <c r="S6345"/>
  <c r="R6345"/>
  <c r="Q6343"/>
  <c r="S6343"/>
  <c r="R6343"/>
  <c r="Q6341"/>
  <c r="S6341"/>
  <c r="R6341"/>
  <c r="Q6339"/>
  <c r="S6339"/>
  <c r="R6339"/>
  <c r="Q6337"/>
  <c r="S6337"/>
  <c r="R6337"/>
  <c r="Q6335"/>
  <c r="S6335"/>
  <c r="R6335"/>
  <c r="Q6333"/>
  <c r="S6333"/>
  <c r="R6333"/>
  <c r="Q6331"/>
  <c r="S6331"/>
  <c r="R6331"/>
  <c r="Q6329"/>
  <c r="S6329"/>
  <c r="R6329"/>
  <c r="Q6327"/>
  <c r="S6327"/>
  <c r="R6327"/>
  <c r="Q6325"/>
  <c r="S6325"/>
  <c r="R6325"/>
  <c r="Q6323"/>
  <c r="S6323"/>
  <c r="R6323"/>
  <c r="Q6321"/>
  <c r="S6321"/>
  <c r="R6321"/>
  <c r="Q6319"/>
  <c r="S6319"/>
  <c r="R6319"/>
  <c r="Q6317"/>
  <c r="S6317"/>
  <c r="R6317"/>
  <c r="Q6315"/>
  <c r="S6315"/>
  <c r="R6315"/>
  <c r="Q6313"/>
  <c r="S6313"/>
  <c r="R6313"/>
  <c r="Q6311"/>
  <c r="S6311"/>
  <c r="R6311"/>
  <c r="Q6309"/>
  <c r="S6309"/>
  <c r="R6309"/>
  <c r="Q6307"/>
  <c r="S6307"/>
  <c r="R6307"/>
  <c r="Q6305"/>
  <c r="S6305"/>
  <c r="R6305"/>
  <c r="Q6303"/>
  <c r="S6303"/>
  <c r="R6303"/>
  <c r="Q6301"/>
  <c r="S6301"/>
  <c r="R6301"/>
  <c r="Q6299"/>
  <c r="S6299"/>
  <c r="R6299"/>
  <c r="Q6297"/>
  <c r="S6297"/>
  <c r="R6297"/>
  <c r="Q6295"/>
  <c r="S6295"/>
  <c r="R6295"/>
  <c r="Q6293"/>
  <c r="S6293"/>
  <c r="R6293"/>
  <c r="Q6291"/>
  <c r="S6291"/>
  <c r="R6291"/>
  <c r="Q6289"/>
  <c r="S6289"/>
  <c r="R6289"/>
  <c r="Q6287"/>
  <c r="S6287"/>
  <c r="R6287"/>
  <c r="Q6285"/>
  <c r="S6285"/>
  <c r="R6285"/>
  <c r="Q6283"/>
  <c r="S6283"/>
  <c r="R6283"/>
  <c r="Q6281"/>
  <c r="S6281"/>
  <c r="R6281"/>
  <c r="Q6279"/>
  <c r="S6279"/>
  <c r="R6279"/>
  <c r="Q6277"/>
  <c r="S6277"/>
  <c r="R6277"/>
  <c r="Q6275"/>
  <c r="S6275"/>
  <c r="R6275"/>
  <c r="Q6273"/>
  <c r="S6273"/>
  <c r="R6273"/>
  <c r="Q6271"/>
  <c r="S6271"/>
  <c r="R6271"/>
  <c r="Q6269"/>
  <c r="S6269"/>
  <c r="R6269"/>
  <c r="Q6267"/>
  <c r="S6267"/>
  <c r="R6267"/>
  <c r="Q6265"/>
  <c r="S6265"/>
  <c r="R6265"/>
  <c r="Q6263"/>
  <c r="S6263"/>
  <c r="R6263"/>
  <c r="Q6261"/>
  <c r="S6261"/>
  <c r="R6261"/>
  <c r="Q6259"/>
  <c r="S6259"/>
  <c r="R6259"/>
  <c r="Q6257"/>
  <c r="S6257"/>
  <c r="R6257"/>
  <c r="Q6255"/>
  <c r="S6255"/>
  <c r="R6255"/>
  <c r="Q6253"/>
  <c r="S6253"/>
  <c r="R6253"/>
  <c r="Q6251"/>
  <c r="S6251"/>
  <c r="R6251"/>
  <c r="Q6249"/>
  <c r="S6249"/>
  <c r="R6249"/>
  <c r="Q6247"/>
  <c r="S6247"/>
  <c r="R6247"/>
  <c r="Q6245"/>
  <c r="S6245"/>
  <c r="R6245"/>
  <c r="Q6243"/>
  <c r="S6243"/>
  <c r="R6243"/>
  <c r="Q6241"/>
  <c r="S6241"/>
  <c r="R6241"/>
  <c r="Q6239"/>
  <c r="S6239"/>
  <c r="R6239"/>
  <c r="Q6237"/>
  <c r="S6237"/>
  <c r="R6237"/>
  <c r="Q6235"/>
  <c r="S6235"/>
  <c r="R6235"/>
  <c r="Q6233"/>
  <c r="S6233"/>
  <c r="R6233"/>
  <c r="Q6231"/>
  <c r="S6231"/>
  <c r="R6231"/>
  <c r="Q6229"/>
  <c r="S6229"/>
  <c r="R6229"/>
  <c r="Q6227"/>
  <c r="S6227"/>
  <c r="R6227"/>
  <c r="Q6225"/>
  <c r="S6225"/>
  <c r="R6225"/>
  <c r="Q6223"/>
  <c r="S6223"/>
  <c r="R6223"/>
  <c r="Q6221"/>
  <c r="S6221"/>
  <c r="R6221"/>
  <c r="Q6219"/>
  <c r="S6219"/>
  <c r="R6219"/>
  <c r="Q6217"/>
  <c r="S6217"/>
  <c r="R6217"/>
  <c r="Q6215"/>
  <c r="S6215"/>
  <c r="R6215"/>
  <c r="Q6213"/>
  <c r="S6213"/>
  <c r="R6213"/>
  <c r="Q6211"/>
  <c r="S6211"/>
  <c r="R6211"/>
  <c r="Q6209"/>
  <c r="S6209"/>
  <c r="R6209"/>
  <c r="Q6207"/>
  <c r="S6207"/>
  <c r="R6207"/>
  <c r="Q6205"/>
  <c r="S6205"/>
  <c r="R6205"/>
  <c r="Q6203"/>
  <c r="S6203"/>
  <c r="R6203"/>
  <c r="Q6201"/>
  <c r="S6201"/>
  <c r="R6201"/>
  <c r="Q6199"/>
  <c r="S6199"/>
  <c r="R6199"/>
  <c r="Q6197"/>
  <c r="S6197"/>
  <c r="R6197"/>
  <c r="Q6195"/>
  <c r="S6195"/>
  <c r="R6195"/>
  <c r="Q6193"/>
  <c r="S6193"/>
  <c r="R6193"/>
  <c r="Q6191"/>
  <c r="S6191"/>
  <c r="R6191"/>
  <c r="Q6189"/>
  <c r="S6189"/>
  <c r="R6189"/>
  <c r="Q6187"/>
  <c r="S6187"/>
  <c r="R6187"/>
  <c r="Q6185"/>
  <c r="S6185"/>
  <c r="R6185"/>
  <c r="Q6183"/>
  <c r="S6183"/>
  <c r="R6183"/>
  <c r="Q6181"/>
  <c r="S6181"/>
  <c r="R6181"/>
  <c r="Q6179"/>
  <c r="S6179"/>
  <c r="R6179"/>
  <c r="Q6177"/>
  <c r="S6177"/>
  <c r="R6177"/>
  <c r="Q6175"/>
  <c r="S6175"/>
  <c r="R6175"/>
  <c r="Q6173"/>
  <c r="S6173"/>
  <c r="R6173"/>
  <c r="Q6171"/>
  <c r="S6171"/>
  <c r="R6171"/>
  <c r="Q6169"/>
  <c r="S6169"/>
  <c r="R6169"/>
  <c r="Q6167"/>
  <c r="S6167"/>
  <c r="R6167"/>
  <c r="Q6165"/>
  <c r="S6165"/>
  <c r="R6165"/>
  <c r="Q6163"/>
  <c r="S6163"/>
  <c r="R6163"/>
  <c r="Q6161"/>
  <c r="S6161"/>
  <c r="R6161"/>
  <c r="Q6159"/>
  <c r="S6159"/>
  <c r="R6159"/>
  <c r="Q6157"/>
  <c r="S6157"/>
  <c r="R6157"/>
  <c r="Q6155"/>
  <c r="S6155"/>
  <c r="R6155"/>
  <c r="Q6153"/>
  <c r="S6153"/>
  <c r="R6153"/>
  <c r="Q6151"/>
  <c r="S6151"/>
  <c r="R6151"/>
  <c r="Q6149"/>
  <c r="S6149"/>
  <c r="R6149"/>
  <c r="Q6147"/>
  <c r="S6147"/>
  <c r="R6147"/>
  <c r="Q6145"/>
  <c r="S6145"/>
  <c r="R6145"/>
  <c r="Q6143"/>
  <c r="S6143"/>
  <c r="R6143"/>
  <c r="Q6141"/>
  <c r="S6141"/>
  <c r="R6141"/>
  <c r="Q6139"/>
  <c r="S6139"/>
  <c r="R6139"/>
  <c r="Q6137"/>
  <c r="S6137"/>
  <c r="R6137"/>
  <c r="Q6135"/>
  <c r="S6135"/>
  <c r="R6135"/>
  <c r="Q6133"/>
  <c r="S6133"/>
  <c r="R6133"/>
  <c r="Q6131"/>
  <c r="S6131"/>
  <c r="R6131"/>
  <c r="Q6129"/>
  <c r="S6129"/>
  <c r="R6129"/>
  <c r="Q6127"/>
  <c r="S6127"/>
  <c r="R6127"/>
  <c r="Q6125"/>
  <c r="S6125"/>
  <c r="R6125"/>
  <c r="Q6123"/>
  <c r="S6123"/>
  <c r="R6123"/>
  <c r="Q6121"/>
  <c r="S6121"/>
  <c r="R6121"/>
  <c r="Q6119"/>
  <c r="S6119"/>
  <c r="R6119"/>
  <c r="Q6117"/>
  <c r="S6117"/>
  <c r="R6117"/>
  <c r="Q6115"/>
  <c r="S6115"/>
  <c r="R6115"/>
  <c r="Q6113"/>
  <c r="S6113"/>
  <c r="R6113"/>
  <c r="Q6111"/>
  <c r="S6111"/>
  <c r="R6111"/>
  <c r="Q6109"/>
  <c r="S6109"/>
  <c r="R6109"/>
  <c r="Q6107"/>
  <c r="S6107"/>
  <c r="R6107"/>
  <c r="Q6105"/>
  <c r="S6105"/>
  <c r="R6105"/>
  <c r="Q6103"/>
  <c r="S6103"/>
  <c r="R6103"/>
  <c r="Q6101"/>
  <c r="S6101"/>
  <c r="R6101"/>
  <c r="Q6099"/>
  <c r="S6099"/>
  <c r="R6099"/>
  <c r="Q6097"/>
  <c r="S6097"/>
  <c r="R6097"/>
  <c r="Q6095"/>
  <c r="S6095"/>
  <c r="R6095"/>
  <c r="Q6093"/>
  <c r="S6093"/>
  <c r="R6093"/>
  <c r="Q6091"/>
  <c r="S6091"/>
  <c r="R6091"/>
  <c r="Q6089"/>
  <c r="S6089"/>
  <c r="R6089"/>
  <c r="Q6087"/>
  <c r="S6087"/>
  <c r="R6087"/>
  <c r="Q6085"/>
  <c r="S6085"/>
  <c r="R6085"/>
  <c r="Q6083"/>
  <c r="S6083"/>
  <c r="R6083"/>
  <c r="Q6081"/>
  <c r="S6081"/>
  <c r="R6081"/>
  <c r="Q6079"/>
  <c r="S6079"/>
  <c r="R6079"/>
  <c r="Q6077"/>
  <c r="S6077"/>
  <c r="R6077"/>
  <c r="Q6075"/>
  <c r="S6075"/>
  <c r="R6075"/>
  <c r="Q6073"/>
  <c r="S6073"/>
  <c r="R6073"/>
  <c r="Q6071"/>
  <c r="S6071"/>
  <c r="R6071"/>
  <c r="Q6069"/>
  <c r="S6069"/>
  <c r="R6069"/>
  <c r="Q6067"/>
  <c r="S6067"/>
  <c r="R6067"/>
  <c r="Q6065"/>
  <c r="S6065"/>
  <c r="R6065"/>
  <c r="Q6063"/>
  <c r="S6063"/>
  <c r="R6063"/>
  <c r="Q6061"/>
  <c r="S6061"/>
  <c r="R6061"/>
  <c r="Q6059"/>
  <c r="S6059"/>
  <c r="R6059"/>
  <c r="Q6057"/>
  <c r="S6057"/>
  <c r="R6057"/>
  <c r="Q6055"/>
  <c r="S6055"/>
  <c r="R6055"/>
  <c r="Q6053"/>
  <c r="S6053"/>
  <c r="R6053"/>
  <c r="Q6051"/>
  <c r="S6051"/>
  <c r="R6051"/>
  <c r="Q6049"/>
  <c r="S6049"/>
  <c r="R6049"/>
  <c r="Q6047"/>
  <c r="S6047"/>
  <c r="R6047"/>
  <c r="Q6045"/>
  <c r="S6045"/>
  <c r="R6045"/>
  <c r="Q6043"/>
  <c r="S6043"/>
  <c r="R6043"/>
  <c r="Q6041"/>
  <c r="S6041"/>
  <c r="R6041"/>
  <c r="Q6039"/>
  <c r="S6039"/>
  <c r="R6039"/>
  <c r="Q6037"/>
  <c r="S6037"/>
  <c r="R6037"/>
  <c r="Q6035"/>
  <c r="S6035"/>
  <c r="R6035"/>
  <c r="Q6033"/>
  <c r="S6033"/>
  <c r="R6033"/>
  <c r="Q6031"/>
  <c r="S6031"/>
  <c r="R6031"/>
  <c r="Q6029"/>
  <c r="S6029"/>
  <c r="R6029"/>
  <c r="Q6027"/>
  <c r="S6027"/>
  <c r="R6027"/>
  <c r="Q6025"/>
  <c r="S6025"/>
  <c r="R6025"/>
  <c r="Q6938"/>
  <c r="S6938"/>
  <c r="R6938"/>
  <c r="Q6936"/>
  <c r="S6936"/>
  <c r="R6936"/>
  <c r="Q6934"/>
  <c r="S6934"/>
  <c r="R6934"/>
  <c r="Q6932"/>
  <c r="S6932"/>
  <c r="R6932"/>
  <c r="Q6930"/>
  <c r="S6930"/>
  <c r="R6930"/>
  <c r="Q6928"/>
  <c r="S6928"/>
  <c r="R6928"/>
  <c r="Q6926"/>
  <c r="S6926"/>
  <c r="R6926"/>
  <c r="Q6924"/>
  <c r="S6924"/>
  <c r="R6924"/>
  <c r="Q6922"/>
  <c r="S6922"/>
  <c r="R6922"/>
  <c r="Q6920"/>
  <c r="S6920"/>
  <c r="R6920"/>
  <c r="Q6918"/>
  <c r="S6918"/>
  <c r="R6918"/>
  <c r="Q6916"/>
  <c r="S6916"/>
  <c r="R6916"/>
  <c r="Q6914"/>
  <c r="S6914"/>
  <c r="R6914"/>
  <c r="Q6912"/>
  <c r="S6912"/>
  <c r="R6912"/>
  <c r="Q6910"/>
  <c r="S6910"/>
  <c r="R6910"/>
  <c r="Q6908"/>
  <c r="S6908"/>
  <c r="R6908"/>
  <c r="Q6906"/>
  <c r="S6906"/>
  <c r="R6906"/>
  <c r="Q6904"/>
  <c r="S6904"/>
  <c r="R6904"/>
  <c r="Q6902"/>
  <c r="S6902"/>
  <c r="R6902"/>
  <c r="Q6900"/>
  <c r="S6900"/>
  <c r="R6900"/>
  <c r="Q6898"/>
  <c r="S6898"/>
  <c r="R6898"/>
  <c r="Q6896"/>
  <c r="S6896"/>
  <c r="R6896"/>
  <c r="Q6894"/>
  <c r="S6894"/>
  <c r="R6894"/>
  <c r="Q6892"/>
  <c r="S6892"/>
  <c r="R6892"/>
  <c r="Q6890"/>
  <c r="S6890"/>
  <c r="R6890"/>
  <c r="Q6888"/>
  <c r="S6888"/>
  <c r="R6888"/>
  <c r="Q6886"/>
  <c r="S6886"/>
  <c r="R6886"/>
  <c r="Q6884"/>
  <c r="S6884"/>
  <c r="R6884"/>
  <c r="Q6882"/>
  <c r="S6882"/>
  <c r="R6882"/>
  <c r="Q6880"/>
  <c r="S6880"/>
  <c r="R6880"/>
  <c r="Q6878"/>
  <c r="S6878"/>
  <c r="R6878"/>
  <c r="Q6876"/>
  <c r="S6876"/>
  <c r="R6876"/>
  <c r="Q6874"/>
  <c r="S6874"/>
  <c r="R6874"/>
  <c r="Q6872"/>
  <c r="S6872"/>
  <c r="R6872"/>
  <c r="Q6870"/>
  <c r="S6870"/>
  <c r="R6870"/>
  <c r="Q6868"/>
  <c r="S6868"/>
  <c r="R6868"/>
  <c r="Q6866"/>
  <c r="S6866"/>
  <c r="R6866"/>
  <c r="Q6864"/>
  <c r="S6864"/>
  <c r="R6864"/>
  <c r="Q6862"/>
  <c r="S6862"/>
  <c r="R6862"/>
  <c r="Q6860"/>
  <c r="S6860"/>
  <c r="R6860"/>
  <c r="Q6858"/>
  <c r="S6858"/>
  <c r="R6858"/>
  <c r="Q6856"/>
  <c r="S6856"/>
  <c r="R6856"/>
  <c r="Q6854"/>
  <c r="S6854"/>
  <c r="R6854"/>
  <c r="Q6852"/>
  <c r="S6852"/>
  <c r="R6852"/>
  <c r="Q6850"/>
  <c r="S6850"/>
  <c r="R6850"/>
  <c r="Q6848"/>
  <c r="S6848"/>
  <c r="R6848"/>
  <c r="Q6846"/>
  <c r="S6846"/>
  <c r="R6846"/>
  <c r="Q6844"/>
  <c r="S6844"/>
  <c r="R6844"/>
  <c r="Q6842"/>
  <c r="S6842"/>
  <c r="R6842"/>
  <c r="Q6840"/>
  <c r="S6840"/>
  <c r="R6840"/>
  <c r="Q6838"/>
  <c r="S6838"/>
  <c r="R6838"/>
  <c r="Q6836"/>
  <c r="S6836"/>
  <c r="R6836"/>
  <c r="Q6834"/>
  <c r="S6834"/>
  <c r="R6834"/>
  <c r="Q6832"/>
  <c r="S6832"/>
  <c r="R6832"/>
  <c r="Q6830"/>
  <c r="S6830"/>
  <c r="R6830"/>
  <c r="Q6828"/>
  <c r="S6828"/>
  <c r="R6828"/>
  <c r="Q6826"/>
  <c r="S6826"/>
  <c r="R6826"/>
  <c r="Q6824"/>
  <c r="S6824"/>
  <c r="R6824"/>
  <c r="Q6822"/>
  <c r="S6822"/>
  <c r="R6822"/>
  <c r="Q6820"/>
  <c r="S6820"/>
  <c r="R6820"/>
  <c r="Q6818"/>
  <c r="S6818"/>
  <c r="R6818"/>
  <c r="Q6816"/>
  <c r="S6816"/>
  <c r="R6816"/>
  <c r="Q6814"/>
  <c r="S6814"/>
  <c r="R6814"/>
  <c r="Q6812"/>
  <c r="S6812"/>
  <c r="R6812"/>
  <c r="Q6810"/>
  <c r="S6810"/>
  <c r="R6810"/>
  <c r="Q6808"/>
  <c r="S6808"/>
  <c r="R6808"/>
  <c r="Q6806"/>
  <c r="S6806"/>
  <c r="R6806"/>
  <c r="Q6804"/>
  <c r="S6804"/>
  <c r="R6804"/>
  <c r="Q6802"/>
  <c r="S6802"/>
  <c r="R6802"/>
  <c r="Q6800"/>
  <c r="S6800"/>
  <c r="R6800"/>
  <c r="Q6798"/>
  <c r="S6798"/>
  <c r="R6798"/>
  <c r="Q6796"/>
  <c r="S6796"/>
  <c r="R6796"/>
  <c r="Q6794"/>
  <c r="S6794"/>
  <c r="R6794"/>
  <c r="Q6792"/>
  <c r="S6792"/>
  <c r="R6792"/>
  <c r="Q6790"/>
  <c r="S6790"/>
  <c r="R6790"/>
  <c r="Q6788"/>
  <c r="S6788"/>
  <c r="R6788"/>
  <c r="Q6786"/>
  <c r="S6786"/>
  <c r="R6786"/>
  <c r="Q6784"/>
  <c r="S6784"/>
  <c r="R6784"/>
  <c r="Q6782"/>
  <c r="S6782"/>
  <c r="R6782"/>
  <c r="Q6780"/>
  <c r="S6780"/>
  <c r="R6780"/>
  <c r="Q6778"/>
  <c r="S6778"/>
  <c r="R6778"/>
  <c r="Q6776"/>
  <c r="S6776"/>
  <c r="R6776"/>
  <c r="Q6774"/>
  <c r="S6774"/>
  <c r="R6774"/>
  <c r="Q6772"/>
  <c r="S6772"/>
  <c r="R6772"/>
  <c r="Q6770"/>
  <c r="S6770"/>
  <c r="R6770"/>
  <c r="Q6768"/>
  <c r="S6768"/>
  <c r="R6768"/>
  <c r="Q6766"/>
  <c r="S6766"/>
  <c r="R6766"/>
  <c r="Q6764"/>
  <c r="S6764"/>
  <c r="R6764"/>
  <c r="Q6762"/>
  <c r="S6762"/>
  <c r="R6762"/>
  <c r="Q6760"/>
  <c r="S6760"/>
  <c r="R6760"/>
  <c r="Q6758"/>
  <c r="S6758"/>
  <c r="R6758"/>
  <c r="Q6756"/>
  <c r="S6756"/>
  <c r="R6756"/>
  <c r="Q6754"/>
  <c r="S6754"/>
  <c r="R6754"/>
  <c r="Q6752"/>
  <c r="S6752"/>
  <c r="R6752"/>
  <c r="Q6750"/>
  <c r="S6750"/>
  <c r="R6750"/>
  <c r="Q6748"/>
  <c r="S6748"/>
  <c r="R6748"/>
  <c r="Q6746"/>
  <c r="S6746"/>
  <c r="R6746"/>
  <c r="Q6744"/>
  <c r="S6744"/>
  <c r="R6744"/>
  <c r="Q6742"/>
  <c r="S6742"/>
  <c r="R6742"/>
  <c r="Q6740"/>
  <c r="S6740"/>
  <c r="R6740"/>
  <c r="Q6738"/>
  <c r="S6738"/>
  <c r="R6738"/>
  <c r="Q6736"/>
  <c r="S6736"/>
  <c r="R6736"/>
  <c r="Q6734"/>
  <c r="S6734"/>
  <c r="R6734"/>
  <c r="Q6732"/>
  <c r="S6732"/>
  <c r="R6732"/>
  <c r="Q6730"/>
  <c r="S6730"/>
  <c r="R6730"/>
  <c r="Q6728"/>
  <c r="S6728"/>
  <c r="R6728"/>
  <c r="Q6726"/>
  <c r="S6726"/>
  <c r="R6726"/>
  <c r="Q6724"/>
  <c r="S6724"/>
  <c r="R6724"/>
  <c r="Q6722"/>
  <c r="S6722"/>
  <c r="R6722"/>
  <c r="Q6720"/>
  <c r="S6720"/>
  <c r="R6720"/>
  <c r="Q6718"/>
  <c r="S6718"/>
  <c r="R6718"/>
  <c r="Q6716"/>
  <c r="S6716"/>
  <c r="R6716"/>
  <c r="Q6714"/>
  <c r="S6714"/>
  <c r="R6714"/>
  <c r="Q6712"/>
  <c r="S6712"/>
  <c r="R6712"/>
  <c r="Q6710"/>
  <c r="S6710"/>
  <c r="R6710"/>
  <c r="Q6708"/>
  <c r="S6708"/>
  <c r="R6708"/>
  <c r="Q6706"/>
  <c r="S6706"/>
  <c r="R6706"/>
  <c r="Q6704"/>
  <c r="S6704"/>
  <c r="R6704"/>
  <c r="Q6702"/>
  <c r="S6702"/>
  <c r="R6702"/>
  <c r="Q6700"/>
  <c r="S6700"/>
  <c r="R6700"/>
  <c r="Q6698"/>
  <c r="S6698"/>
  <c r="R6698"/>
  <c r="Q6696"/>
  <c r="S6696"/>
  <c r="R6696"/>
  <c r="Q6694"/>
  <c r="S6694"/>
  <c r="R6694"/>
  <c r="Q6692"/>
  <c r="S6692"/>
  <c r="R6692"/>
  <c r="Q6690"/>
  <c r="S6690"/>
  <c r="R6690"/>
  <c r="Q6688"/>
  <c r="S6688"/>
  <c r="R6688"/>
  <c r="Q6686"/>
  <c r="S6686"/>
  <c r="R6686"/>
  <c r="Q6684"/>
  <c r="S6684"/>
  <c r="R6684"/>
  <c r="Q6682"/>
  <c r="S6682"/>
  <c r="R6682"/>
  <c r="Q6680"/>
  <c r="S6680"/>
  <c r="R6680"/>
  <c r="Q6678"/>
  <c r="S6678"/>
  <c r="R6678"/>
  <c r="Q6676"/>
  <c r="S6676"/>
  <c r="R6676"/>
  <c r="Q6674"/>
  <c r="S6674"/>
  <c r="R6674"/>
  <c r="Q6672"/>
  <c r="S6672"/>
  <c r="R6672"/>
  <c r="Q6670"/>
  <c r="S6670"/>
  <c r="R6670"/>
  <c r="Q6668"/>
  <c r="S6668"/>
  <c r="R6668"/>
  <c r="Q6666"/>
  <c r="S6666"/>
  <c r="R6666"/>
  <c r="Q6664"/>
  <c r="S6664"/>
  <c r="R6664"/>
  <c r="Q6662"/>
  <c r="S6662"/>
  <c r="R6662"/>
  <c r="Q6660"/>
  <c r="S6660"/>
  <c r="R6660"/>
  <c r="Q6658"/>
  <c r="S6658"/>
  <c r="R6658"/>
  <c r="Q6656"/>
  <c r="S6656"/>
  <c r="R6656"/>
  <c r="Q6654"/>
  <c r="S6654"/>
  <c r="R6654"/>
  <c r="Q6652"/>
  <c r="S6652"/>
  <c r="R6652"/>
  <c r="Q6650"/>
  <c r="S6650"/>
  <c r="R6650"/>
  <c r="Q6648"/>
  <c r="S6648"/>
  <c r="R6648"/>
  <c r="Q6646"/>
  <c r="S6646"/>
  <c r="R6646"/>
  <c r="Q6644"/>
  <c r="S6644"/>
  <c r="R6644"/>
  <c r="Q6642"/>
  <c r="S6642"/>
  <c r="R6642"/>
  <c r="Q6640"/>
  <c r="S6640"/>
  <c r="R6640"/>
  <c r="Q6638"/>
  <c r="S6638"/>
  <c r="R6638"/>
  <c r="Q6636"/>
  <c r="S6636"/>
  <c r="R6636"/>
  <c r="Q6634"/>
  <c r="S6634"/>
  <c r="R6634"/>
  <c r="Q6632"/>
  <c r="S6632"/>
  <c r="R6632"/>
  <c r="Q6630"/>
  <c r="S6630"/>
  <c r="R6630"/>
  <c r="Q6628"/>
  <c r="S6628"/>
  <c r="R6628"/>
  <c r="Q6626"/>
  <c r="S6626"/>
  <c r="R6626"/>
  <c r="Q6624"/>
  <c r="S6624"/>
  <c r="R6624"/>
  <c r="Q6622"/>
  <c r="S6622"/>
  <c r="R6622"/>
  <c r="Q6620"/>
  <c r="S6620"/>
  <c r="R6620"/>
  <c r="Q6618"/>
  <c r="S6618"/>
  <c r="R6618"/>
  <c r="Q6616"/>
  <c r="S6616"/>
  <c r="R6616"/>
  <c r="Q6614"/>
  <c r="S6614"/>
  <c r="R6614"/>
  <c r="Q6612"/>
  <c r="S6612"/>
  <c r="R6612"/>
  <c r="Q6610"/>
  <c r="S6610"/>
  <c r="R6610"/>
  <c r="Q6608"/>
  <c r="S6608"/>
  <c r="R6608"/>
  <c r="Q6606"/>
  <c r="S6606"/>
  <c r="R6606"/>
  <c r="Q6604"/>
  <c r="S6604"/>
  <c r="R6604"/>
  <c r="Q6602"/>
  <c r="S6602"/>
  <c r="R6602"/>
  <c r="Q6600"/>
  <c r="S6600"/>
  <c r="R6600"/>
  <c r="Q6598"/>
  <c r="S6598"/>
  <c r="R6598"/>
  <c r="Q6596"/>
  <c r="S6596"/>
  <c r="R6596"/>
  <c r="Q6594"/>
  <c r="S6594"/>
  <c r="R6594"/>
  <c r="Q6592"/>
  <c r="S6592"/>
  <c r="R6592"/>
  <c r="Q6590"/>
  <c r="S6590"/>
  <c r="R6590"/>
  <c r="Q6588"/>
  <c r="S6588"/>
  <c r="R6588"/>
  <c r="Q6586"/>
  <c r="S6586"/>
  <c r="R6586"/>
  <c r="Q6584"/>
  <c r="S6584"/>
  <c r="R6584"/>
  <c r="Q6582"/>
  <c r="S6582"/>
  <c r="R6582"/>
  <c r="Q6580"/>
  <c r="S6580"/>
  <c r="R6580"/>
  <c r="Q6578"/>
  <c r="S6578"/>
  <c r="R6578"/>
  <c r="Q6576"/>
  <c r="S6576"/>
  <c r="R6576"/>
  <c r="Q6574"/>
  <c r="S6574"/>
  <c r="R6574"/>
  <c r="Q6572"/>
  <c r="S6572"/>
  <c r="R6572"/>
  <c r="Q6570"/>
  <c r="S6570"/>
  <c r="R6570"/>
  <c r="Q6568"/>
  <c r="S6568"/>
  <c r="R6568"/>
  <c r="Q6566"/>
  <c r="S6566"/>
  <c r="R6566"/>
  <c r="Q6564"/>
  <c r="S6564"/>
  <c r="R6564"/>
  <c r="Q6562"/>
  <c r="S6562"/>
  <c r="R6562"/>
  <c r="Q6560"/>
  <c r="S6560"/>
  <c r="R6560"/>
  <c r="Q6558"/>
  <c r="S6558"/>
  <c r="R6558"/>
  <c r="Q6556"/>
  <c r="S6556"/>
  <c r="R6556"/>
  <c r="Q6554"/>
  <c r="S6554"/>
  <c r="R6554"/>
  <c r="Q6552"/>
  <c r="S6552"/>
  <c r="R6552"/>
  <c r="Q6550"/>
  <c r="S6550"/>
  <c r="R6550"/>
  <c r="Q6548"/>
  <c r="S6548"/>
  <c r="R6548"/>
  <c r="Q6546"/>
  <c r="S6546"/>
  <c r="R6546"/>
  <c r="Q6544"/>
  <c r="S6544"/>
  <c r="R6544"/>
  <c r="Q6542"/>
  <c r="S6542"/>
  <c r="R6542"/>
  <c r="Q6540"/>
  <c r="S6540"/>
  <c r="R6540"/>
  <c r="Q6538"/>
  <c r="S6538"/>
  <c r="R6538"/>
  <c r="Q6536"/>
  <c r="S6536"/>
  <c r="R6536"/>
  <c r="Q6534"/>
  <c r="S6534"/>
  <c r="R6534"/>
  <c r="Q6532"/>
  <c r="S6532"/>
  <c r="R6532"/>
  <c r="Q6530"/>
  <c r="S6530"/>
  <c r="R6530"/>
  <c r="Q6528"/>
  <c r="S6528"/>
  <c r="R6528"/>
  <c r="Q6526"/>
  <c r="S6526"/>
  <c r="R6526"/>
  <c r="Q6524"/>
  <c r="S6524"/>
  <c r="R6524"/>
  <c r="Q6522"/>
  <c r="S6522"/>
  <c r="R6522"/>
  <c r="Q6520"/>
  <c r="S6520"/>
  <c r="R6520"/>
  <c r="Q6518"/>
  <c r="S6518"/>
  <c r="R6518"/>
  <c r="Q6516"/>
  <c r="S6516"/>
  <c r="R6516"/>
  <c r="Q6514"/>
  <c r="S6514"/>
  <c r="R6514"/>
  <c r="Q6512"/>
  <c r="S6512"/>
  <c r="R6512"/>
  <c r="Q6510"/>
  <c r="S6510"/>
  <c r="R6510"/>
  <c r="Q6508"/>
  <c r="S6508"/>
  <c r="R6508"/>
  <c r="Q6506"/>
  <c r="S6506"/>
  <c r="R6506"/>
  <c r="Q6504"/>
  <c r="S6504"/>
  <c r="R6504"/>
  <c r="Q6502"/>
  <c r="S6502"/>
  <c r="R6502"/>
  <c r="Q6500"/>
  <c r="S6500"/>
  <c r="R6500"/>
  <c r="Q6498"/>
  <c r="S6498"/>
  <c r="R6498"/>
  <c r="Q6496"/>
  <c r="S6496"/>
  <c r="R6496"/>
  <c r="Q6494"/>
  <c r="S6494"/>
  <c r="R6494"/>
  <c r="Q6492"/>
  <c r="S6492"/>
  <c r="R6492"/>
  <c r="Q6490"/>
  <c r="S6490"/>
  <c r="R6490"/>
  <c r="Q6488"/>
  <c r="S6488"/>
  <c r="R6488"/>
  <c r="Q6486"/>
  <c r="S6486"/>
  <c r="R6486"/>
  <c r="Q6484"/>
  <c r="S6484"/>
  <c r="R6484"/>
  <c r="Q6482"/>
  <c r="S6482"/>
  <c r="R6482"/>
  <c r="Q6480"/>
  <c r="S6480"/>
  <c r="R6480"/>
  <c r="Q6478"/>
  <c r="S6478"/>
  <c r="R6478"/>
  <c r="Q6476"/>
  <c r="S6476"/>
  <c r="R6476"/>
  <c r="Q6474"/>
  <c r="S6474"/>
  <c r="R6474"/>
  <c r="Q6472"/>
  <c r="S6472"/>
  <c r="R6472"/>
  <c r="Q6470"/>
  <c r="S6470"/>
  <c r="R6470"/>
  <c r="Q6468"/>
  <c r="S6468"/>
  <c r="R6468"/>
  <c r="Q6466"/>
  <c r="S6466"/>
  <c r="R6466"/>
  <c r="Q6464"/>
  <c r="S6464"/>
  <c r="R6464"/>
  <c r="Q6462"/>
  <c r="S6462"/>
  <c r="R6462"/>
  <c r="Q6460"/>
  <c r="S6460"/>
  <c r="R6460"/>
  <c r="Q6458"/>
  <c r="S6458"/>
  <c r="R6458"/>
  <c r="Q6456"/>
  <c r="S6456"/>
  <c r="R6456"/>
  <c r="Q6454"/>
  <c r="S6454"/>
  <c r="R6454"/>
  <c r="Q6452"/>
  <c r="S6452"/>
  <c r="R6452"/>
  <c r="Q6450"/>
  <c r="S6450"/>
  <c r="R6450"/>
  <c r="Q6448"/>
  <c r="S6448"/>
  <c r="R6448"/>
  <c r="Q6446"/>
  <c r="S6446"/>
  <c r="R6446"/>
  <c r="Q6444"/>
  <c r="S6444"/>
  <c r="R6444"/>
  <c r="Q6442"/>
  <c r="S6442"/>
  <c r="R6442"/>
  <c r="Q6440"/>
  <c r="S6440"/>
  <c r="R6440"/>
  <c r="Q6438"/>
  <c r="S6438"/>
  <c r="R6438"/>
  <c r="Q6436"/>
  <c r="S6436"/>
  <c r="R6436"/>
  <c r="Q6434"/>
  <c r="S6434"/>
  <c r="R6434"/>
  <c r="Q6432"/>
  <c r="S6432"/>
  <c r="R6432"/>
  <c r="Q6430"/>
  <c r="S6430"/>
  <c r="R6430"/>
  <c r="Q6428"/>
  <c r="S6428"/>
  <c r="R6428"/>
  <c r="Q6426"/>
  <c r="S6426"/>
  <c r="R6426"/>
  <c r="Q6424"/>
  <c r="S6424"/>
  <c r="R6424"/>
  <c r="Q6422"/>
  <c r="S6422"/>
  <c r="R6422"/>
  <c r="Q6420"/>
  <c r="S6420"/>
  <c r="R6420"/>
  <c r="Q6418"/>
  <c r="S6418"/>
  <c r="R6418"/>
  <c r="Q6416"/>
  <c r="S6416"/>
  <c r="R6416"/>
  <c r="Q6414"/>
  <c r="S6414"/>
  <c r="R6414"/>
  <c r="Q6412"/>
  <c r="S6412"/>
  <c r="R6412"/>
  <c r="Q6410"/>
  <c r="S6410"/>
  <c r="R6410"/>
  <c r="Q6408"/>
  <c r="S6408"/>
  <c r="R6408"/>
  <c r="Q6406"/>
  <c r="S6406"/>
  <c r="R6406"/>
  <c r="Q6404"/>
  <c r="S6404"/>
  <c r="R6404"/>
  <c r="Q6402"/>
  <c r="S6402"/>
  <c r="R6402"/>
  <c r="Q6400"/>
  <c r="S6400"/>
  <c r="R6400"/>
  <c r="Q6398"/>
  <c r="S6398"/>
  <c r="R6398"/>
  <c r="Q6396"/>
  <c r="S6396"/>
  <c r="R6396"/>
  <c r="Q6394"/>
  <c r="S6394"/>
  <c r="R6394"/>
  <c r="Q6392"/>
  <c r="S6392"/>
  <c r="R6392"/>
  <c r="Q6390"/>
  <c r="S6390"/>
  <c r="R6390"/>
  <c r="Q6388"/>
  <c r="S6388"/>
  <c r="R6388"/>
  <c r="Q6386"/>
  <c r="S6386"/>
  <c r="R6386"/>
  <c r="Q6384"/>
  <c r="S6384"/>
  <c r="R6384"/>
  <c r="Q6382"/>
  <c r="S6382"/>
  <c r="R6382"/>
  <c r="Q6380"/>
  <c r="S6380"/>
  <c r="R6380"/>
  <c r="Q6378"/>
  <c r="S6378"/>
  <c r="R6378"/>
  <c r="Q6376"/>
  <c r="S6376"/>
  <c r="R6376"/>
  <c r="Q6374"/>
  <c r="S6374"/>
  <c r="R6374"/>
  <c r="Q6372"/>
  <c r="S6372"/>
  <c r="R6372"/>
  <c r="Q6370"/>
  <c r="S6370"/>
  <c r="R6370"/>
  <c r="Q6368"/>
  <c r="S6368"/>
  <c r="R6368"/>
  <c r="Q6366"/>
  <c r="S6366"/>
  <c r="R6366"/>
  <c r="Q6364"/>
  <c r="S6364"/>
  <c r="R6364"/>
  <c r="Q6362"/>
  <c r="S6362"/>
  <c r="R6362"/>
  <c r="Q6360"/>
  <c r="S6360"/>
  <c r="R6360"/>
  <c r="Q6358"/>
  <c r="S6358"/>
  <c r="R6358"/>
  <c r="Q6356"/>
  <c r="S6356"/>
  <c r="R6356"/>
  <c r="Q6354"/>
  <c r="S6354"/>
  <c r="R6354"/>
  <c r="Q6352"/>
  <c r="S6352"/>
  <c r="R6352"/>
  <c r="Q6350"/>
  <c r="S6350"/>
  <c r="R6350"/>
  <c r="Q6348"/>
  <c r="S6348"/>
  <c r="R6348"/>
  <c r="Q6346"/>
  <c r="S6346"/>
  <c r="R6346"/>
  <c r="Q6344"/>
  <c r="S6344"/>
  <c r="R6344"/>
  <c r="Q6342"/>
  <c r="S6342"/>
  <c r="R6342"/>
  <c r="Q6340"/>
  <c r="S6340"/>
  <c r="R6340"/>
  <c r="Q6338"/>
  <c r="S6338"/>
  <c r="R6338"/>
  <c r="Q6336"/>
  <c r="S6336"/>
  <c r="R6336"/>
  <c r="Q6334"/>
  <c r="S6334"/>
  <c r="R6334"/>
  <c r="Q6332"/>
  <c r="S6332"/>
  <c r="R6332"/>
  <c r="Q6330"/>
  <c r="S6330"/>
  <c r="R6330"/>
  <c r="Q6328"/>
  <c r="S6328"/>
  <c r="R6328"/>
  <c r="Q6326"/>
  <c r="S6326"/>
  <c r="R6326"/>
  <c r="Q6324"/>
  <c r="S6324"/>
  <c r="R6324"/>
  <c r="Q6322"/>
  <c r="S6322"/>
  <c r="R6322"/>
  <c r="Q6320"/>
  <c r="S6320"/>
  <c r="R6320"/>
  <c r="Q6318"/>
  <c r="S6318"/>
  <c r="R6318"/>
  <c r="Q6316"/>
  <c r="S6316"/>
  <c r="R6316"/>
  <c r="Q6314"/>
  <c r="S6314"/>
  <c r="R6314"/>
  <c r="Q6312"/>
  <c r="S6312"/>
  <c r="R6312"/>
  <c r="Q6310"/>
  <c r="S6310"/>
  <c r="R6310"/>
  <c r="Q6308"/>
  <c r="S6308"/>
  <c r="R6308"/>
  <c r="Q6306"/>
  <c r="S6306"/>
  <c r="R6306"/>
  <c r="Q6304"/>
  <c r="S6304"/>
  <c r="R6304"/>
  <c r="Q6302"/>
  <c r="S6302"/>
  <c r="R6302"/>
  <c r="Q6300"/>
  <c r="S6300"/>
  <c r="R6300"/>
  <c r="Q6298"/>
  <c r="S6298"/>
  <c r="R6298"/>
  <c r="Q6296"/>
  <c r="S6296"/>
  <c r="R6296"/>
  <c r="Q6294"/>
  <c r="S6294"/>
  <c r="R6294"/>
  <c r="Q6292"/>
  <c r="S6292"/>
  <c r="R6292"/>
  <c r="Q6290"/>
  <c r="S6290"/>
  <c r="R6290"/>
  <c r="Q6288"/>
  <c r="S6288"/>
  <c r="R6288"/>
  <c r="Q6286"/>
  <c r="S6286"/>
  <c r="R6286"/>
  <c r="Q6284"/>
  <c r="S6284"/>
  <c r="R6284"/>
  <c r="Q6282"/>
  <c r="S6282"/>
  <c r="R6282"/>
  <c r="Q6280"/>
  <c r="S6280"/>
  <c r="R6280"/>
  <c r="Q6278"/>
  <c r="S6278"/>
  <c r="R6278"/>
  <c r="Q6276"/>
  <c r="S6276"/>
  <c r="R6276"/>
  <c r="Q6274"/>
  <c r="S6274"/>
  <c r="R6274"/>
  <c r="Q6272"/>
  <c r="S6272"/>
  <c r="R6272"/>
  <c r="Q6270"/>
  <c r="S6270"/>
  <c r="R6270"/>
  <c r="Q6268"/>
  <c r="S6268"/>
  <c r="R6268"/>
  <c r="Q6266"/>
  <c r="S6266"/>
  <c r="R6266"/>
  <c r="Q6264"/>
  <c r="S6264"/>
  <c r="R6264"/>
  <c r="Q6262"/>
  <c r="S6262"/>
  <c r="R6262"/>
  <c r="Q6260"/>
  <c r="S6260"/>
  <c r="R6260"/>
  <c r="Q6258"/>
  <c r="S6258"/>
  <c r="R6258"/>
  <c r="Q6256"/>
  <c r="S6256"/>
  <c r="R6256"/>
  <c r="Q6254"/>
  <c r="S6254"/>
  <c r="R6254"/>
  <c r="Q6252"/>
  <c r="S6252"/>
  <c r="R6252"/>
  <c r="Q6250"/>
  <c r="S6250"/>
  <c r="R6250"/>
  <c r="Q6248"/>
  <c r="S6248"/>
  <c r="R6248"/>
  <c r="Q6246"/>
  <c r="S6246"/>
  <c r="R6246"/>
  <c r="Q6244"/>
  <c r="S6244"/>
  <c r="R6244"/>
  <c r="Q6242"/>
  <c r="S6242"/>
  <c r="R6242"/>
  <c r="Q6240"/>
  <c r="S6240"/>
  <c r="R6240"/>
  <c r="Q6238"/>
  <c r="S6238"/>
  <c r="R6238"/>
  <c r="Q6236"/>
  <c r="S6236"/>
  <c r="R6236"/>
  <c r="Q6234"/>
  <c r="S6234"/>
  <c r="R6234"/>
  <c r="Q6232"/>
  <c r="S6232"/>
  <c r="R6232"/>
  <c r="Q6230"/>
  <c r="S6230"/>
  <c r="R6230"/>
  <c r="Q6228"/>
  <c r="S6228"/>
  <c r="R6228"/>
  <c r="Q6226"/>
  <c r="S6226"/>
  <c r="R6226"/>
  <c r="Q6224"/>
  <c r="S6224"/>
  <c r="R6224"/>
  <c r="Q6222"/>
  <c r="S6222"/>
  <c r="R6222"/>
  <c r="Q6220"/>
  <c r="S6220"/>
  <c r="R6220"/>
  <c r="Q6218"/>
  <c r="S6218"/>
  <c r="R6218"/>
  <c r="Q6216"/>
  <c r="S6216"/>
  <c r="R6216"/>
  <c r="Q6214"/>
  <c r="S6214"/>
  <c r="R6214"/>
  <c r="Q6212"/>
  <c r="S6212"/>
  <c r="R6212"/>
  <c r="Q6210"/>
  <c r="S6210"/>
  <c r="R6210"/>
  <c r="Q6208"/>
  <c r="S6208"/>
  <c r="R6208"/>
  <c r="Q6206"/>
  <c r="S6206"/>
  <c r="R6206"/>
  <c r="Q6204"/>
  <c r="S6204"/>
  <c r="R6204"/>
  <c r="Q6202"/>
  <c r="S6202"/>
  <c r="R6202"/>
  <c r="Q6200"/>
  <c r="S6200"/>
  <c r="R6200"/>
  <c r="Q6198"/>
  <c r="S6198"/>
  <c r="R6198"/>
  <c r="Q6196"/>
  <c r="S6196"/>
  <c r="R6196"/>
  <c r="Q6194"/>
  <c r="S6194"/>
  <c r="R6194"/>
  <c r="Q6192"/>
  <c r="S6192"/>
  <c r="R6192"/>
  <c r="Q6190"/>
  <c r="S6190"/>
  <c r="R6190"/>
  <c r="Q6188"/>
  <c r="S6188"/>
  <c r="R6188"/>
  <c r="Q6186"/>
  <c r="S6186"/>
  <c r="R6186"/>
  <c r="Q6184"/>
  <c r="S6184"/>
  <c r="R6184"/>
  <c r="Q6182"/>
  <c r="S6182"/>
  <c r="R6182"/>
  <c r="Q6180"/>
  <c r="S6180"/>
  <c r="R6180"/>
  <c r="Q6178"/>
  <c r="S6178"/>
  <c r="R6178"/>
  <c r="Q6176"/>
  <c r="S6176"/>
  <c r="R6176"/>
  <c r="Q6174"/>
  <c r="S6174"/>
  <c r="R6174"/>
  <c r="Q6172"/>
  <c r="S6172"/>
  <c r="R6172"/>
  <c r="Q6170"/>
  <c r="S6170"/>
  <c r="R6170"/>
  <c r="Q6168"/>
  <c r="S6168"/>
  <c r="R6168"/>
  <c r="Q6166"/>
  <c r="S6166"/>
  <c r="R6166"/>
  <c r="Q6164"/>
  <c r="S6164"/>
  <c r="R6164"/>
  <c r="Q6162"/>
  <c r="S6162"/>
  <c r="R6162"/>
  <c r="Q6160"/>
  <c r="S6160"/>
  <c r="R6160"/>
  <c r="Q6158"/>
  <c r="S6158"/>
  <c r="R6158"/>
  <c r="Q6156"/>
  <c r="S6156"/>
  <c r="R6156"/>
  <c r="Q6154"/>
  <c r="S6154"/>
  <c r="R6154"/>
  <c r="Q6152"/>
  <c r="S6152"/>
  <c r="R6152"/>
  <c r="Q6150"/>
  <c r="S6150"/>
  <c r="R6150"/>
  <c r="Q6148"/>
  <c r="S6148"/>
  <c r="R6148"/>
  <c r="Q6146"/>
  <c r="S6146"/>
  <c r="R6146"/>
  <c r="Q6144"/>
  <c r="S6144"/>
  <c r="R6144"/>
  <c r="Q6142"/>
  <c r="S6142"/>
  <c r="R6142"/>
  <c r="Q6140"/>
  <c r="S6140"/>
  <c r="R6140"/>
  <c r="Q6138"/>
  <c r="S6138"/>
  <c r="R6138"/>
  <c r="Q6136"/>
  <c r="S6136"/>
  <c r="R6136"/>
  <c r="Q6134"/>
  <c r="S6134"/>
  <c r="R6134"/>
  <c r="Q6132"/>
  <c r="S6132"/>
  <c r="R6132"/>
  <c r="Q6130"/>
  <c r="S6130"/>
  <c r="R6130"/>
  <c r="Q6128"/>
  <c r="S6128"/>
  <c r="R6128"/>
  <c r="Q6126"/>
  <c r="S6126"/>
  <c r="R6126"/>
  <c r="Q6124"/>
  <c r="S6124"/>
  <c r="R6124"/>
  <c r="Q6122"/>
  <c r="S6122"/>
  <c r="R6122"/>
  <c r="Q6120"/>
  <c r="S6120"/>
  <c r="R6120"/>
  <c r="Q6118"/>
  <c r="S6118"/>
  <c r="R6118"/>
  <c r="Q6116"/>
  <c r="S6116"/>
  <c r="R6116"/>
  <c r="Q6114"/>
  <c r="S6114"/>
  <c r="R6114"/>
  <c r="Q6112"/>
  <c r="S6112"/>
  <c r="R6112"/>
  <c r="Q6110"/>
  <c r="S6110"/>
  <c r="R6110"/>
  <c r="Q6108"/>
  <c r="S6108"/>
  <c r="R6108"/>
  <c r="Q6106"/>
  <c r="S6106"/>
  <c r="R6106"/>
  <c r="Q6104"/>
  <c r="S6104"/>
  <c r="R6104"/>
  <c r="Q6102"/>
  <c r="S6102"/>
  <c r="R6102"/>
  <c r="Q6100"/>
  <c r="S6100"/>
  <c r="R6100"/>
  <c r="Q6098"/>
  <c r="S6098"/>
  <c r="R6098"/>
  <c r="Q6096"/>
  <c r="S6096"/>
  <c r="R6096"/>
  <c r="Q6094"/>
  <c r="S6094"/>
  <c r="R6094"/>
  <c r="Q6092"/>
  <c r="S6092"/>
  <c r="R6092"/>
  <c r="Q6090"/>
  <c r="S6090"/>
  <c r="R6090"/>
  <c r="Q6088"/>
  <c r="S6088"/>
  <c r="R6088"/>
  <c r="Q6086"/>
  <c r="S6086"/>
  <c r="R6086"/>
  <c r="Q6084"/>
  <c r="S6084"/>
  <c r="R6084"/>
  <c r="Q6082"/>
  <c r="S6082"/>
  <c r="R6082"/>
  <c r="Q6080"/>
  <c r="S6080"/>
  <c r="R6080"/>
  <c r="Q6078"/>
  <c r="S6078"/>
  <c r="R6078"/>
  <c r="Q6076"/>
  <c r="S6076"/>
  <c r="R6076"/>
  <c r="Q6074"/>
  <c r="S6074"/>
  <c r="R6074"/>
  <c r="Q6072"/>
  <c r="S6072"/>
  <c r="R6072"/>
  <c r="Q6070"/>
  <c r="S6070"/>
  <c r="R6070"/>
  <c r="Q6068"/>
  <c r="S6068"/>
  <c r="R6068"/>
  <c r="Q6066"/>
  <c r="S6066"/>
  <c r="R6066"/>
  <c r="Q6064"/>
  <c r="S6064"/>
  <c r="R6064"/>
  <c r="Q6062"/>
  <c r="S6062"/>
  <c r="R6062"/>
  <c r="Q6060"/>
  <c r="S6060"/>
  <c r="R6060"/>
  <c r="Q6058"/>
  <c r="S6058"/>
  <c r="R6058"/>
  <c r="Q6056"/>
  <c r="S6056"/>
  <c r="R6056"/>
  <c r="Q6054"/>
  <c r="S6054"/>
  <c r="R6054"/>
  <c r="Q6052"/>
  <c r="S6052"/>
  <c r="R6052"/>
  <c r="Q6050"/>
  <c r="S6050"/>
  <c r="R6050"/>
  <c r="Q6048"/>
  <c r="S6048"/>
  <c r="R6048"/>
  <c r="Q6046"/>
  <c r="S6046"/>
  <c r="R6046"/>
  <c r="Q6044"/>
  <c r="S6044"/>
  <c r="R6044"/>
  <c r="Q6042"/>
  <c r="S6042"/>
  <c r="R6042"/>
  <c r="Q6040"/>
  <c r="S6040"/>
  <c r="R6040"/>
  <c r="Q6038"/>
  <c r="S6038"/>
  <c r="R6038"/>
  <c r="Q6036"/>
  <c r="S6036"/>
  <c r="R6036"/>
  <c r="Q6034"/>
  <c r="S6034"/>
  <c r="R6034"/>
  <c r="Q6032"/>
  <c r="S6032"/>
  <c r="R6032"/>
  <c r="Q6030"/>
  <c r="S6030"/>
  <c r="R6030"/>
  <c r="Q6028"/>
  <c r="S6028"/>
  <c r="R6028"/>
  <c r="Q6026"/>
  <c r="S6026"/>
  <c r="R6026"/>
  <c r="R7174"/>
  <c r="S7174"/>
  <c r="Q7174"/>
  <c r="R7172"/>
  <c r="S7172"/>
  <c r="Q7172"/>
  <c r="R7170"/>
  <c r="S7170"/>
  <c r="Q7170"/>
  <c r="R7168"/>
  <c r="S7168"/>
  <c r="Q7168"/>
  <c r="R7166"/>
  <c r="S7166"/>
  <c r="Q7166"/>
  <c r="R7164"/>
  <c r="S7164"/>
  <c r="Q7164"/>
  <c r="R7162"/>
  <c r="S7162"/>
  <c r="Q7162"/>
  <c r="R7160"/>
  <c r="S7160"/>
  <c r="Q7160"/>
  <c r="R7158"/>
  <c r="S7158"/>
  <c r="Q7158"/>
  <c r="R7156"/>
  <c r="S7156"/>
  <c r="Q7156"/>
  <c r="R7154"/>
  <c r="S7154"/>
  <c r="Q7154"/>
  <c r="R7152"/>
  <c r="S7152"/>
  <c r="Q7152"/>
  <c r="R7150"/>
  <c r="S7150"/>
  <c r="Q7150"/>
  <c r="R7148"/>
  <c r="S7148"/>
  <c r="Q7148"/>
  <c r="R7146"/>
  <c r="S7146"/>
  <c r="Q7146"/>
  <c r="R7144"/>
  <c r="S7144"/>
  <c r="Q7144"/>
  <c r="R7142"/>
  <c r="S7142"/>
  <c r="Q7142"/>
  <c r="Q7140"/>
  <c r="R7140"/>
  <c r="S7140"/>
  <c r="R7138"/>
  <c r="Q7138"/>
  <c r="S7138"/>
  <c r="R7136"/>
  <c r="Q7136"/>
  <c r="S7136"/>
  <c r="R7134"/>
  <c r="Q7134"/>
  <c r="S7134"/>
  <c r="R7132"/>
  <c r="Q7132"/>
  <c r="S7132"/>
  <c r="R7130"/>
  <c r="Q7130"/>
  <c r="S7130"/>
  <c r="R7128"/>
  <c r="Q7128"/>
  <c r="S7128"/>
  <c r="Q7126"/>
  <c r="S7126"/>
  <c r="R7126"/>
  <c r="Q7124"/>
  <c r="S7124"/>
  <c r="R7124"/>
  <c r="Q7122"/>
  <c r="S7122"/>
  <c r="R7122"/>
  <c r="Q7120"/>
  <c r="S7120"/>
  <c r="R7120"/>
  <c r="R7118"/>
  <c r="Q7118"/>
  <c r="S7118"/>
  <c r="Q7116"/>
  <c r="S7116"/>
  <c r="R7116"/>
  <c r="Q7114"/>
  <c r="S7114"/>
  <c r="R7114"/>
  <c r="Q7112"/>
  <c r="S7112"/>
  <c r="R7112"/>
  <c r="R7110"/>
  <c r="Q7110"/>
  <c r="S7110"/>
  <c r="R7108"/>
  <c r="Q7108"/>
  <c r="S7108"/>
  <c r="Q7106"/>
  <c r="S7106"/>
  <c r="R7106"/>
  <c r="Q7104"/>
  <c r="S7104"/>
  <c r="R7104"/>
  <c r="Q7102"/>
  <c r="S7102"/>
  <c r="R7102"/>
  <c r="Q7100"/>
  <c r="S7100"/>
  <c r="R7100"/>
  <c r="Q7098"/>
  <c r="S7098"/>
  <c r="R7098"/>
  <c r="Q7096"/>
  <c r="S7096"/>
  <c r="R7096"/>
  <c r="Q7094"/>
  <c r="S7094"/>
  <c r="R7094"/>
  <c r="R7092"/>
  <c r="Q7092"/>
  <c r="S7092"/>
  <c r="R7090"/>
  <c r="Q7090"/>
  <c r="S7090"/>
  <c r="Q7088"/>
  <c r="S7088"/>
  <c r="R7088"/>
  <c r="R7086"/>
  <c r="Q7086"/>
  <c r="S7086"/>
  <c r="Q7084"/>
  <c r="S7084"/>
  <c r="R7084"/>
  <c r="R7082"/>
  <c r="Q7082"/>
  <c r="S7082"/>
  <c r="Q7080"/>
  <c r="S7080"/>
  <c r="R7080"/>
  <c r="Q7078"/>
  <c r="S7078"/>
  <c r="R7078"/>
  <c r="Q7076"/>
  <c r="S7076"/>
  <c r="R7076"/>
  <c r="Q7074"/>
  <c r="S7074"/>
  <c r="R7074"/>
  <c r="Q7072"/>
  <c r="S7072"/>
  <c r="R7072"/>
  <c r="Q7070"/>
  <c r="S7070"/>
  <c r="R7070"/>
  <c r="Q7068"/>
  <c r="S7068"/>
  <c r="R7068"/>
  <c r="R7066"/>
  <c r="Q7066"/>
  <c r="S7066"/>
  <c r="R7064"/>
  <c r="Q7064"/>
  <c r="S7064"/>
  <c r="R7062"/>
  <c r="Q7062"/>
  <c r="S7062"/>
  <c r="Q7060"/>
  <c r="S7060"/>
  <c r="R7060"/>
  <c r="Q7058"/>
  <c r="S7058"/>
  <c r="R7058"/>
  <c r="R7056"/>
  <c r="Q7056"/>
  <c r="S7056"/>
  <c r="Q7054"/>
  <c r="S7054"/>
  <c r="R7054"/>
  <c r="Q7052"/>
  <c r="S7052"/>
  <c r="R7052"/>
  <c r="Q7050"/>
  <c r="S7050"/>
  <c r="R7050"/>
  <c r="Q7048"/>
  <c r="S7048"/>
  <c r="R7048"/>
  <c r="Q7046"/>
  <c r="S7046"/>
  <c r="R7046"/>
  <c r="Q7044"/>
  <c r="S7044"/>
  <c r="R7044"/>
  <c r="Q7042"/>
  <c r="S7042"/>
  <c r="R7042"/>
  <c r="Q7040"/>
  <c r="S7040"/>
  <c r="R7040"/>
  <c r="Q7038"/>
  <c r="S7038"/>
  <c r="R7038"/>
  <c r="Q7036"/>
  <c r="S7036"/>
  <c r="R7036"/>
  <c r="Q7034"/>
  <c r="S7034"/>
  <c r="R7034"/>
  <c r="Q7032"/>
  <c r="S7032"/>
  <c r="R7032"/>
  <c r="Q7030"/>
  <c r="S7030"/>
  <c r="R7030"/>
  <c r="R7028"/>
  <c r="Q7028"/>
  <c r="S7028"/>
  <c r="Q7026"/>
  <c r="S7026"/>
  <c r="R7026"/>
  <c r="Q7024"/>
  <c r="S7024"/>
  <c r="R7024"/>
  <c r="Q7022"/>
  <c r="S7022"/>
  <c r="R7022"/>
  <c r="Q7020"/>
  <c r="S7020"/>
  <c r="R7020"/>
  <c r="R7018"/>
  <c r="Q7018"/>
  <c r="S7018"/>
  <c r="R7016"/>
  <c r="Q7016"/>
  <c r="S7016"/>
  <c r="Q7014"/>
  <c r="S7014"/>
  <c r="R7014"/>
  <c r="Q7012"/>
  <c r="S7012"/>
  <c r="R7012"/>
  <c r="R7010"/>
  <c r="Q7010"/>
  <c r="S7010"/>
  <c r="Q7008"/>
  <c r="S7008"/>
  <c r="R7008"/>
  <c r="Q7006"/>
  <c r="S7006"/>
  <c r="R7006"/>
  <c r="Q7004"/>
  <c r="S7004"/>
  <c r="R7004"/>
  <c r="Q7002"/>
  <c r="S7002"/>
  <c r="R7002"/>
  <c r="R7000"/>
  <c r="Q7000"/>
  <c r="S7000"/>
  <c r="Q6998"/>
  <c r="S6998"/>
  <c r="R6998"/>
  <c r="Q6996"/>
  <c r="S6996"/>
  <c r="R6996"/>
  <c r="R6994"/>
  <c r="Q6994"/>
  <c r="S6994"/>
  <c r="Q6992"/>
  <c r="S6992"/>
  <c r="R6992"/>
  <c r="Q6990"/>
  <c r="S6990"/>
  <c r="R6990"/>
  <c r="R6988"/>
  <c r="Q6988"/>
  <c r="S6988"/>
  <c r="Q6986"/>
  <c r="S6986"/>
  <c r="R6986"/>
  <c r="Q6984"/>
  <c r="S6984"/>
  <c r="R6984"/>
  <c r="Q6982"/>
  <c r="S6982"/>
  <c r="R6982"/>
  <c r="Q6980"/>
  <c r="S6980"/>
  <c r="R6980"/>
  <c r="Q6978"/>
  <c r="S6978"/>
  <c r="R6978"/>
  <c r="Q6976"/>
  <c r="S6976"/>
  <c r="R6976"/>
  <c r="R6974"/>
  <c r="Q6974"/>
  <c r="S6974"/>
  <c r="Q6972"/>
  <c r="S6972"/>
  <c r="R6972"/>
  <c r="R6970"/>
  <c r="Q6970"/>
  <c r="S6970"/>
  <c r="R6968"/>
  <c r="Q6968"/>
  <c r="S6968"/>
  <c r="Q6966"/>
  <c r="S6966"/>
  <c r="R6966"/>
  <c r="R6964"/>
  <c r="Q6964"/>
  <c r="S6964"/>
  <c r="Q6962"/>
  <c r="S6962"/>
  <c r="R6962"/>
  <c r="R6960"/>
  <c r="Q6960"/>
  <c r="S6960"/>
  <c r="Q6958"/>
  <c r="S6958"/>
  <c r="R6958"/>
  <c r="Q6956"/>
  <c r="S6956"/>
  <c r="R6956"/>
  <c r="Q6954"/>
  <c r="S6954"/>
  <c r="R6954"/>
  <c r="Q6952"/>
  <c r="S6952"/>
  <c r="R6952"/>
  <c r="S6950"/>
  <c r="R6950"/>
  <c r="Q6950"/>
  <c r="Q6948"/>
  <c r="S6948"/>
  <c r="R6948"/>
  <c r="Q6946"/>
  <c r="S6946"/>
  <c r="R6946"/>
  <c r="Q6944"/>
  <c r="S6944"/>
  <c r="R6944"/>
  <c r="Q6942"/>
  <c r="S6942"/>
  <c r="R6942"/>
  <c r="Q6940"/>
  <c r="S6940"/>
  <c r="R6940"/>
  <c r="R7173"/>
  <c r="S7173"/>
  <c r="Q7173"/>
  <c r="R7171"/>
  <c r="S7171"/>
  <c r="Q7171"/>
  <c r="R7169"/>
  <c r="S7169"/>
  <c r="Q7169"/>
  <c r="R7167"/>
  <c r="S7167"/>
  <c r="Q7167"/>
  <c r="R7165"/>
  <c r="S7165"/>
  <c r="Q7165"/>
  <c r="R7163"/>
  <c r="S7163"/>
  <c r="Q7163"/>
  <c r="R7161"/>
  <c r="S7161"/>
  <c r="Q7161"/>
  <c r="R7159"/>
  <c r="S7159"/>
  <c r="Q7159"/>
  <c r="R7157"/>
  <c r="S7157"/>
  <c r="Q7157"/>
  <c r="R7155"/>
  <c r="S7155"/>
  <c r="Q7155"/>
  <c r="R7153"/>
  <c r="S7153"/>
  <c r="Q7153"/>
  <c r="R7151"/>
  <c r="S7151"/>
  <c r="Q7151"/>
  <c r="R7149"/>
  <c r="S7149"/>
  <c r="Q7149"/>
  <c r="R7147"/>
  <c r="S7147"/>
  <c r="Q7147"/>
  <c r="R7145"/>
  <c r="S7145"/>
  <c r="Q7145"/>
  <c r="R7143"/>
  <c r="S7143"/>
  <c r="Q7143"/>
  <c r="R7141"/>
  <c r="S7141"/>
  <c r="Q7141"/>
  <c r="Q7139"/>
  <c r="S7139"/>
  <c r="R7139"/>
  <c r="Q7137"/>
  <c r="S7137"/>
  <c r="R7137"/>
  <c r="Q7135"/>
  <c r="S7135"/>
  <c r="R7135"/>
  <c r="Q7133"/>
  <c r="S7133"/>
  <c r="R7133"/>
  <c r="Q7131"/>
  <c r="S7131"/>
  <c r="R7131"/>
  <c r="R7129"/>
  <c r="Q7129"/>
  <c r="S7129"/>
  <c r="Q7127"/>
  <c r="S7127"/>
  <c r="R7127"/>
  <c r="R7125"/>
  <c r="Q7125"/>
  <c r="S7125"/>
  <c r="Q7123"/>
  <c r="S7123"/>
  <c r="R7123"/>
  <c r="Q7121"/>
  <c r="S7121"/>
  <c r="R7121"/>
  <c r="R7119"/>
  <c r="Q7119"/>
  <c r="S7119"/>
  <c r="Q7117"/>
  <c r="S7117"/>
  <c r="R7117"/>
  <c r="Q7115"/>
  <c r="S7115"/>
  <c r="R7115"/>
  <c r="Q7113"/>
  <c r="S7113"/>
  <c r="R7113"/>
  <c r="Q7111"/>
  <c r="S7111"/>
  <c r="R7111"/>
  <c r="Q7109"/>
  <c r="S7109"/>
  <c r="R7109"/>
  <c r="Q7107"/>
  <c r="S7107"/>
  <c r="R7107"/>
  <c r="Q7105"/>
  <c r="S7105"/>
  <c r="R7105"/>
  <c r="Q7103"/>
  <c r="S7103"/>
  <c r="R7103"/>
  <c r="R7101"/>
  <c r="Q7101"/>
  <c r="S7101"/>
  <c r="R7099"/>
  <c r="Q7099"/>
  <c r="S7099"/>
  <c r="R7097"/>
  <c r="Q7097"/>
  <c r="S7097"/>
  <c r="R7095"/>
  <c r="Q7095"/>
  <c r="S7095"/>
  <c r="R7093"/>
  <c r="Q7093"/>
  <c r="S7093"/>
  <c r="Q7091"/>
  <c r="S7091"/>
  <c r="R7091"/>
  <c r="Q7089"/>
  <c r="S7089"/>
  <c r="R7089"/>
  <c r="R7087"/>
  <c r="Q7087"/>
  <c r="S7087"/>
  <c r="Q7085"/>
  <c r="S7085"/>
  <c r="R7085"/>
  <c r="Q7083"/>
  <c r="S7083"/>
  <c r="R7083"/>
  <c r="Q7081"/>
  <c r="S7081"/>
  <c r="R7081"/>
  <c r="R7079"/>
  <c r="Q7079"/>
  <c r="S7079"/>
  <c r="R7077"/>
  <c r="Q7077"/>
  <c r="S7077"/>
  <c r="Q7075"/>
  <c r="S7075"/>
  <c r="R7075"/>
  <c r="Q7073"/>
  <c r="S7073"/>
  <c r="R7073"/>
  <c r="R7071"/>
  <c r="Q7071"/>
  <c r="S7071"/>
  <c r="R7069"/>
  <c r="Q7069"/>
  <c r="S7069"/>
  <c r="R7067"/>
  <c r="Q7067"/>
  <c r="S7067"/>
  <c r="Q7065"/>
  <c r="S7065"/>
  <c r="R7065"/>
  <c r="Q7063"/>
  <c r="S7063"/>
  <c r="R7063"/>
  <c r="R7061"/>
  <c r="Q7061"/>
  <c r="S7061"/>
  <c r="Q7059"/>
  <c r="S7059"/>
  <c r="R7059"/>
  <c r="R7057"/>
  <c r="Q7057"/>
  <c r="S7057"/>
  <c r="Q7055"/>
  <c r="S7055"/>
  <c r="R7055"/>
  <c r="R7053"/>
  <c r="Q7053"/>
  <c r="S7053"/>
  <c r="R7051"/>
  <c r="Q7051"/>
  <c r="S7051"/>
  <c r="R7049"/>
  <c r="Q7049"/>
  <c r="S7049"/>
  <c r="Q7047"/>
  <c r="S7047"/>
  <c r="R7047"/>
  <c r="R7045"/>
  <c r="Q7045"/>
  <c r="S7045"/>
  <c r="R7043"/>
  <c r="Q7043"/>
  <c r="S7043"/>
  <c r="R7041"/>
  <c r="Q7041"/>
  <c r="S7041"/>
  <c r="Q7039"/>
  <c r="S7039"/>
  <c r="R7039"/>
  <c r="Q7037"/>
  <c r="S7037"/>
  <c r="R7037"/>
  <c r="R7035"/>
  <c r="Q7035"/>
  <c r="S7035"/>
  <c r="R7033"/>
  <c r="Q7033"/>
  <c r="S7033"/>
  <c r="R7031"/>
  <c r="Q7031"/>
  <c r="S7031"/>
  <c r="Q7029"/>
  <c r="S7029"/>
  <c r="R7029"/>
  <c r="Q7027"/>
  <c r="S7027"/>
  <c r="R7027"/>
  <c r="Q7025"/>
  <c r="S7025"/>
  <c r="R7025"/>
  <c r="R7023"/>
  <c r="Q7023"/>
  <c r="S7023"/>
  <c r="Q7021"/>
  <c r="S7021"/>
  <c r="R7021"/>
  <c r="Q7019"/>
  <c r="S7019"/>
  <c r="R7019"/>
  <c r="Q7017"/>
  <c r="S7017"/>
  <c r="R7017"/>
  <c r="R7015"/>
  <c r="Q7015"/>
  <c r="S7015"/>
  <c r="Q7013"/>
  <c r="S7013"/>
  <c r="R7013"/>
  <c r="R7011"/>
  <c r="Q7011"/>
  <c r="S7011"/>
  <c r="Q7009"/>
  <c r="S7009"/>
  <c r="R7009"/>
  <c r="Q7007"/>
  <c r="S7007"/>
  <c r="R7007"/>
  <c r="Q7005"/>
  <c r="S7005"/>
  <c r="R7005"/>
  <c r="Q7003"/>
  <c r="S7003"/>
  <c r="R7003"/>
  <c r="Q7001"/>
  <c r="S7001"/>
  <c r="R7001"/>
  <c r="Q6999"/>
  <c r="S6999"/>
  <c r="R6999"/>
  <c r="Q6997"/>
  <c r="S6997"/>
  <c r="R6997"/>
  <c r="R6995"/>
  <c r="Q6995"/>
  <c r="S6995"/>
  <c r="Q6993"/>
  <c r="S6993"/>
  <c r="R6993"/>
  <c r="Q6991"/>
  <c r="S6991"/>
  <c r="R6991"/>
  <c r="Q6989"/>
  <c r="S6989"/>
  <c r="R6989"/>
  <c r="R6987"/>
  <c r="Q6987"/>
  <c r="S6987"/>
  <c r="Q6985"/>
  <c r="S6985"/>
  <c r="R6985"/>
  <c r="Q6983"/>
  <c r="S6983"/>
  <c r="R6983"/>
  <c r="Q6981"/>
  <c r="S6981"/>
  <c r="R6981"/>
  <c r="Q6979"/>
  <c r="S6979"/>
  <c r="R6979"/>
  <c r="R6977"/>
  <c r="Q6977"/>
  <c r="S6977"/>
  <c r="Q6975"/>
  <c r="R6975"/>
  <c r="S6975"/>
  <c r="Q6973"/>
  <c r="S6973"/>
  <c r="R6973"/>
  <c r="Q6971"/>
  <c r="S6971"/>
  <c r="R6971"/>
  <c r="Q6969"/>
  <c r="S6969"/>
  <c r="R6969"/>
  <c r="R6967"/>
  <c r="Q6967"/>
  <c r="S6967"/>
  <c r="Q6965"/>
  <c r="S6965"/>
  <c r="R6965"/>
  <c r="R6963"/>
  <c r="Q6963"/>
  <c r="S6963"/>
  <c r="Q6961"/>
  <c r="S6961"/>
  <c r="R6961"/>
  <c r="R6959"/>
  <c r="Q6959"/>
  <c r="S6959"/>
  <c r="Q6957"/>
  <c r="S6957"/>
  <c r="R6957"/>
  <c r="Q6955"/>
  <c r="S6955"/>
  <c r="R6955"/>
  <c r="Q6953"/>
  <c r="S6953"/>
  <c r="R6953"/>
  <c r="Q6951"/>
  <c r="S6951"/>
  <c r="R6951"/>
  <c r="Q6949"/>
  <c r="S6949"/>
  <c r="R6949"/>
  <c r="Q6947"/>
  <c r="S6947"/>
  <c r="R6947"/>
  <c r="Q6945"/>
  <c r="S6945"/>
  <c r="R6945"/>
  <c r="Q6943"/>
  <c r="S6943"/>
  <c r="R6943"/>
  <c r="Q6941"/>
  <c r="S6941"/>
  <c r="R6941"/>
  <c r="Q6939"/>
  <c r="S6939"/>
  <c r="R6939"/>
  <c r="A6934"/>
  <c r="A6922"/>
  <c r="A6910"/>
  <c r="A6898"/>
  <c r="A6882"/>
  <c r="A6870"/>
  <c r="A6854"/>
  <c r="A6838"/>
  <c r="A6826"/>
  <c r="A6790"/>
  <c r="A6937"/>
  <c r="A6933"/>
  <c r="A6929"/>
  <c r="A6925"/>
  <c r="A6921"/>
  <c r="A6917"/>
  <c r="A6913"/>
  <c r="A6909"/>
  <c r="A6905"/>
  <c r="A6901"/>
  <c r="A6897"/>
  <c r="A6893"/>
  <c r="A6889"/>
  <c r="A6885"/>
  <c r="A6881"/>
  <c r="A6877"/>
  <c r="A6873"/>
  <c r="A6869"/>
  <c r="A6865"/>
  <c r="A6861"/>
  <c r="A6857"/>
  <c r="A6853"/>
  <c r="A6849"/>
  <c r="A6845"/>
  <c r="A6841"/>
  <c r="A6837"/>
  <c r="A6833"/>
  <c r="A6829"/>
  <c r="A6825"/>
  <c r="A6821"/>
  <c r="A6817"/>
  <c r="A6813"/>
  <c r="A6809"/>
  <c r="A6805"/>
  <c r="A6801"/>
  <c r="A6797"/>
  <c r="A6793"/>
  <c r="A6789"/>
  <c r="A6785"/>
  <c r="A6781"/>
  <c r="A6777"/>
  <c r="A6773"/>
  <c r="A6769"/>
  <c r="A6765"/>
  <c r="A6761"/>
  <c r="A6757"/>
  <c r="A6753"/>
  <c r="A6749"/>
  <c r="A6745"/>
  <c r="A6741"/>
  <c r="A6737"/>
  <c r="A6733"/>
  <c r="A6729"/>
  <c r="A6725"/>
  <c r="A6721"/>
  <c r="A6717"/>
  <c r="A6713"/>
  <c r="A6709"/>
  <c r="A6705"/>
  <c r="A6701"/>
  <c r="A6697"/>
  <c r="A6693"/>
  <c r="A6689"/>
  <c r="A6685"/>
  <c r="A6681"/>
  <c r="A6677"/>
  <c r="A6673"/>
  <c r="A6669"/>
  <c r="A6665"/>
  <c r="A6661"/>
  <c r="A6657"/>
  <c r="A6653"/>
  <c r="A6649"/>
  <c r="A6645"/>
  <c r="A6641"/>
  <c r="A6637"/>
  <c r="A6633"/>
  <c r="A6629"/>
  <c r="A6625"/>
  <c r="A6621"/>
  <c r="A6617"/>
  <c r="A6613"/>
  <c r="A6609"/>
  <c r="A6605"/>
  <c r="A6601"/>
  <c r="A6597"/>
  <c r="A6593"/>
  <c r="A6589"/>
  <c r="A6585"/>
  <c r="A6581"/>
  <c r="A6577"/>
  <c r="A6573"/>
  <c r="A6569"/>
  <c r="A6565"/>
  <c r="A6561"/>
  <c r="A6557"/>
  <c r="A6553"/>
  <c r="A6549"/>
  <c r="A6545"/>
  <c r="A6541"/>
  <c r="A6537"/>
  <c r="A6533"/>
  <c r="A6529"/>
  <c r="A6525"/>
  <c r="A6521"/>
  <c r="A6517"/>
  <c r="A6513"/>
  <c r="A6509"/>
  <c r="A6505"/>
  <c r="A6501"/>
  <c r="A6497"/>
  <c r="A6493"/>
  <c r="A6489"/>
  <c r="A6485"/>
  <c r="A6481"/>
  <c r="A6477"/>
  <c r="A6473"/>
  <c r="A6469"/>
  <c r="A6465"/>
  <c r="A6461"/>
  <c r="A6457"/>
  <c r="A6453"/>
  <c r="A6449"/>
  <c r="A6445"/>
  <c r="A6441"/>
  <c r="A6437"/>
  <c r="A6433"/>
  <c r="A6429"/>
  <c r="A6425"/>
  <c r="A6421"/>
  <c r="A6417"/>
  <c r="A6413"/>
  <c r="A6409"/>
  <c r="A6405"/>
  <c r="A6401"/>
  <c r="A6397"/>
  <c r="A6393"/>
  <c r="A6389"/>
  <c r="A6385"/>
  <c r="A6381"/>
  <c r="A6377"/>
  <c r="A6373"/>
  <c r="A6369"/>
  <c r="A6365"/>
  <c r="A6361"/>
  <c r="A6357"/>
  <c r="A6353"/>
  <c r="A6349"/>
  <c r="A6345"/>
  <c r="A6341"/>
  <c r="A6337"/>
  <c r="A6333"/>
  <c r="A6329"/>
  <c r="A6325"/>
  <c r="A6321"/>
  <c r="A6317"/>
  <c r="A6313"/>
  <c r="A6309"/>
  <c r="A6305"/>
  <c r="A6301"/>
  <c r="A6297"/>
  <c r="A6293"/>
  <c r="A6289"/>
  <c r="A6285"/>
  <c r="A6281"/>
  <c r="A6277"/>
  <c r="A6273"/>
  <c r="A6269"/>
  <c r="A6265"/>
  <c r="A6261"/>
  <c r="A6257"/>
  <c r="A6253"/>
  <c r="A6249"/>
  <c r="A6245"/>
  <c r="A6241"/>
  <c r="A6237"/>
  <c r="A6233"/>
  <c r="A6229"/>
  <c r="A6225"/>
  <c r="A6221"/>
  <c r="A6217"/>
  <c r="A6213"/>
  <c r="A6209"/>
  <c r="A6205"/>
  <c r="A6201"/>
  <c r="A6197"/>
  <c r="A6193"/>
  <c r="A6189"/>
  <c r="A6185"/>
  <c r="A6181"/>
  <c r="A6177"/>
  <c r="A6173"/>
  <c r="A6169"/>
  <c r="A6165"/>
  <c r="A6161"/>
  <c r="A6157"/>
  <c r="A6153"/>
  <c r="A6149"/>
  <c r="A6145"/>
  <c r="A6141"/>
  <c r="A6137"/>
  <c r="A6133"/>
  <c r="A6129"/>
  <c r="A6125"/>
  <c r="A6121"/>
  <c r="A6117"/>
  <c r="A6113"/>
  <c r="A6109"/>
  <c r="A6105"/>
  <c r="A6101"/>
  <c r="A6097"/>
  <c r="A6093"/>
  <c r="A6089"/>
  <c r="A6085"/>
  <c r="A6081"/>
  <c r="A6077"/>
  <c r="A6073"/>
  <c r="A6069"/>
  <c r="A6065"/>
  <c r="A6061"/>
  <c r="A6057"/>
  <c r="A6053"/>
  <c r="A6049"/>
  <c r="A6045"/>
  <c r="A6041"/>
  <c r="A6037"/>
  <c r="A6033"/>
  <c r="A6029"/>
  <c r="A6025"/>
  <c r="A6021"/>
  <c r="A6017"/>
  <c r="A6013"/>
  <c r="A6009"/>
  <c r="A6005"/>
  <c r="A6001"/>
  <c r="A5997"/>
  <c r="A5993"/>
  <c r="A5989"/>
  <c r="A5985"/>
  <c r="A5981"/>
  <c r="A5977"/>
  <c r="A5973"/>
  <c r="A5969"/>
  <c r="A5965"/>
  <c r="A5961"/>
  <c r="A5957"/>
  <c r="A5953"/>
  <c r="A5949"/>
  <c r="A5945"/>
  <c r="A5941"/>
  <c r="A5937"/>
  <c r="A5933"/>
  <c r="A5929"/>
  <c r="A5925"/>
  <c r="A5921"/>
  <c r="A5917"/>
  <c r="A5913"/>
  <c r="A5909"/>
  <c r="A5905"/>
  <c r="A5901"/>
  <c r="A5897"/>
  <c r="A5893"/>
  <c r="A5889"/>
  <c r="A5885"/>
  <c r="A5881"/>
  <c r="A5877"/>
  <c r="A5873"/>
  <c r="A5869"/>
  <c r="A5865"/>
  <c r="A5861"/>
  <c r="A5857"/>
  <c r="A5853"/>
  <c r="A5849"/>
  <c r="A5845"/>
  <c r="A5841"/>
  <c r="A5837"/>
  <c r="A5833"/>
  <c r="A5829"/>
  <c r="A5825"/>
  <c r="A5821"/>
  <c r="A5817"/>
  <c r="A5813"/>
  <c r="A5809"/>
  <c r="A5805"/>
  <c r="A5801"/>
  <c r="A5797"/>
  <c r="A5793"/>
  <c r="A5789"/>
  <c r="A5785"/>
  <c r="A5781"/>
  <c r="A5777"/>
  <c r="A5773"/>
  <c r="A5769"/>
  <c r="A5765"/>
  <c r="A5761"/>
  <c r="A5757"/>
  <c r="A5753"/>
  <c r="A5749"/>
  <c r="A5745"/>
  <c r="A5741"/>
  <c r="A5737"/>
  <c r="A5733"/>
  <c r="A5729"/>
  <c r="A5725"/>
  <c r="A5721"/>
  <c r="A5717"/>
  <c r="A5713"/>
  <c r="A5709"/>
  <c r="A5705"/>
  <c r="A5701"/>
  <c r="A5697"/>
  <c r="A5693"/>
  <c r="A5689"/>
  <c r="A5685"/>
  <c r="A5681"/>
  <c r="A5677"/>
  <c r="A5673"/>
  <c r="A5669"/>
  <c r="A5665"/>
  <c r="A5661"/>
  <c r="A5657"/>
  <c r="A5653"/>
  <c r="A5649"/>
  <c r="A5645"/>
  <c r="A5641"/>
  <c r="A5637"/>
  <c r="A5633"/>
  <c r="A5629"/>
  <c r="A5625"/>
  <c r="A5621"/>
  <c r="A5617"/>
  <c r="A5613"/>
  <c r="A5609"/>
  <c r="A5605"/>
  <c r="A5601"/>
  <c r="A5597"/>
  <c r="A5593"/>
  <c r="A5589"/>
  <c r="A5585"/>
  <c r="A5581"/>
  <c r="A5577"/>
  <c r="A5573"/>
  <c r="A5569"/>
  <c r="A5565"/>
  <c r="A5561"/>
  <c r="A5557"/>
  <c r="A5553"/>
  <c r="A5549"/>
  <c r="A5545"/>
  <c r="A5541"/>
  <c r="A5537"/>
  <c r="A5533"/>
  <c r="A5529"/>
  <c r="A5525"/>
  <c r="A5521"/>
  <c r="A5517"/>
  <c r="A5513"/>
  <c r="A5509"/>
  <c r="A5505"/>
  <c r="A5501"/>
  <c r="A5497"/>
  <c r="A5493"/>
  <c r="A5489"/>
  <c r="A5485"/>
  <c r="A5481"/>
  <c r="A5477"/>
  <c r="A5473"/>
  <c r="A5469"/>
  <c r="A5465"/>
  <c r="A5461"/>
  <c r="A5457"/>
  <c r="A5453"/>
  <c r="A5449"/>
  <c r="A5445"/>
  <c r="A5441"/>
  <c r="A5437"/>
  <c r="A5433"/>
  <c r="A5429"/>
  <c r="A5425"/>
  <c r="A5421"/>
  <c r="A5417"/>
  <c r="A5413"/>
  <c r="A5409"/>
  <c r="A5405"/>
  <c r="A5401"/>
  <c r="A5397"/>
  <c r="A5393"/>
  <c r="A5389"/>
  <c r="A5385"/>
  <c r="A5381"/>
  <c r="A5377"/>
  <c r="A5373"/>
  <c r="A5369"/>
  <c r="A5365"/>
  <c r="A5361"/>
  <c r="A5357"/>
  <c r="A5353"/>
  <c r="A5349"/>
  <c r="A5345"/>
  <c r="A5341"/>
  <c r="A5337"/>
  <c r="A5333"/>
  <c r="A5329"/>
  <c r="A5325"/>
  <c r="A5321"/>
  <c r="A5317"/>
  <c r="A5313"/>
  <c r="A5309"/>
  <c r="A5305"/>
  <c r="A5301"/>
  <c r="A5297"/>
  <c r="A5293"/>
  <c r="A5289"/>
  <c r="A5285"/>
  <c r="A5281"/>
  <c r="A5277"/>
  <c r="A5273"/>
  <c r="A5269"/>
  <c r="A5265"/>
  <c r="A5261"/>
  <c r="A5257"/>
  <c r="A5253"/>
  <c r="A5249"/>
  <c r="A5245"/>
  <c r="A5241"/>
  <c r="A5237"/>
  <c r="A5233"/>
  <c r="A5229"/>
  <c r="A5225"/>
  <c r="A5221"/>
  <c r="A5217"/>
  <c r="A5213"/>
  <c r="A5209"/>
  <c r="A5205"/>
  <c r="A5201"/>
  <c r="A5197"/>
  <c r="A4084"/>
  <c r="A2866"/>
  <c r="A2809"/>
  <c r="A3081"/>
  <c r="A4045"/>
  <c r="A2931"/>
  <c r="A3030"/>
  <c r="A3024"/>
  <c r="A2932"/>
  <c r="A3952"/>
  <c r="A3948"/>
  <c r="A3944"/>
  <c r="A3940"/>
  <c r="A3936"/>
  <c r="A3931"/>
  <c r="A3922"/>
  <c r="A3916"/>
  <c r="A3909"/>
  <c r="A3280"/>
  <c r="A3276"/>
  <c r="A3272"/>
  <c r="A3268"/>
  <c r="A3264"/>
  <c r="A3260"/>
  <c r="A3256"/>
  <c r="A3252"/>
  <c r="A3458"/>
  <c r="A2515"/>
  <c r="A2504"/>
  <c r="A2500"/>
  <c r="A2496"/>
  <c r="A2490"/>
  <c r="A2487"/>
  <c r="A2483"/>
  <c r="A2479"/>
  <c r="A2475"/>
  <c r="A2471"/>
  <c r="A2468"/>
  <c r="A2464"/>
  <c r="A2460"/>
  <c r="A2456"/>
  <c r="A2452"/>
  <c r="A2448"/>
  <c r="A2444"/>
  <c r="A2440"/>
  <c r="A2436"/>
  <c r="A2432"/>
  <c r="A1664"/>
  <c r="A1660"/>
  <c r="A1656"/>
  <c r="A1652"/>
  <c r="A1648"/>
  <c r="A615"/>
  <c r="A611"/>
  <c r="A607"/>
  <c r="A603"/>
  <c r="A599"/>
  <c r="A595"/>
  <c r="A591"/>
  <c r="A587"/>
  <c r="A583"/>
  <c r="A579"/>
  <c r="A575"/>
  <c r="A1171"/>
  <c r="A1167"/>
  <c r="A1163"/>
  <c r="A1159"/>
  <c r="A1155"/>
  <c r="A1151"/>
  <c r="A1039"/>
  <c r="A980"/>
  <c r="A976"/>
  <c r="A972"/>
  <c r="A968"/>
  <c r="A964"/>
  <c r="A248"/>
  <c r="A244"/>
  <c r="A240"/>
  <c r="A236"/>
  <c r="A230"/>
  <c r="A226"/>
  <c r="A222"/>
  <c r="A216"/>
  <c r="A212"/>
  <c r="A208"/>
  <c r="A204"/>
  <c r="A166"/>
  <c r="A162"/>
  <c r="A158"/>
  <c r="A58"/>
  <c r="A54"/>
  <c r="A45"/>
  <c r="A7172"/>
  <c r="A7168"/>
  <c r="A7164"/>
  <c r="A7160"/>
  <c r="A7156"/>
  <c r="A7152"/>
  <c r="A7148"/>
  <c r="A7144"/>
  <c r="A7140"/>
  <c r="A7136"/>
  <c r="A7132"/>
  <c r="A7128"/>
  <c r="A7124"/>
  <c r="A7120"/>
  <c r="A7116"/>
  <c r="A7112"/>
  <c r="A7108"/>
  <c r="A7104"/>
  <c r="A7100"/>
  <c r="A7096"/>
  <c r="A7092"/>
  <c r="A7088"/>
  <c r="A7084"/>
  <c r="A7080"/>
  <c r="A7076"/>
  <c r="A7072"/>
  <c r="A7068"/>
  <c r="A7064"/>
  <c r="A7060"/>
  <c r="A7056"/>
  <c r="A7052"/>
  <c r="A7048"/>
  <c r="A7044"/>
  <c r="A7040"/>
  <c r="A7036"/>
  <c r="A7032"/>
  <c r="A7028"/>
  <c r="A7024"/>
  <c r="A7020"/>
  <c r="A7016"/>
  <c r="A7012"/>
  <c r="A7008"/>
  <c r="A7004"/>
  <c r="A7000"/>
  <c r="A6996"/>
  <c r="A6992"/>
  <c r="A6988"/>
  <c r="A6984"/>
  <c r="A6980"/>
  <c r="A6976"/>
  <c r="A6972"/>
  <c r="A6968"/>
  <c r="A6964"/>
  <c r="A6960"/>
  <c r="A6956"/>
  <c r="A6952"/>
  <c r="A6948"/>
  <c r="A6944"/>
  <c r="A6940"/>
  <c r="A6938"/>
  <c r="A6918"/>
  <c r="A6906"/>
  <c r="A6894"/>
  <c r="A6874"/>
  <c r="A6858"/>
  <c r="A6850"/>
  <c r="A6834"/>
  <c r="A6810"/>
  <c r="A6936"/>
  <c r="A6932"/>
  <c r="A6928"/>
  <c r="A6924"/>
  <c r="A6920"/>
  <c r="A6916"/>
  <c r="A6912"/>
  <c r="A6908"/>
  <c r="A6904"/>
  <c r="A6900"/>
  <c r="A6896"/>
  <c r="A6892"/>
  <c r="A6888"/>
  <c r="A6884"/>
  <c r="A6880"/>
  <c r="A6876"/>
  <c r="A6872"/>
  <c r="A6868"/>
  <c r="A6864"/>
  <c r="A6860"/>
  <c r="A6856"/>
  <c r="A6852"/>
  <c r="A6848"/>
  <c r="A6844"/>
  <c r="A6840"/>
  <c r="A6836"/>
  <c r="A6832"/>
  <c r="A6828"/>
  <c r="A6824"/>
  <c r="A6820"/>
  <c r="A6816"/>
  <c r="A6812"/>
  <c r="A6808"/>
  <c r="A6804"/>
  <c r="A6800"/>
  <c r="A6796"/>
  <c r="A6792"/>
  <c r="A6788"/>
  <c r="A6784"/>
  <c r="A6780"/>
  <c r="A6776"/>
  <c r="A6772"/>
  <c r="A6768"/>
  <c r="A6764"/>
  <c r="A6760"/>
  <c r="A6756"/>
  <c r="A6752"/>
  <c r="A6748"/>
  <c r="A6744"/>
  <c r="A6740"/>
  <c r="A6736"/>
  <c r="A6732"/>
  <c r="A6728"/>
  <c r="A6724"/>
  <c r="A6720"/>
  <c r="A6716"/>
  <c r="A6712"/>
  <c r="A6708"/>
  <c r="A6704"/>
  <c r="A6700"/>
  <c r="A6696"/>
  <c r="A6692"/>
  <c r="A6688"/>
  <c r="A6684"/>
  <c r="A6680"/>
  <c r="A6676"/>
  <c r="A6672"/>
  <c r="A6668"/>
  <c r="A6664"/>
  <c r="A6660"/>
  <c r="A6656"/>
  <c r="A6652"/>
  <c r="A6648"/>
  <c r="A6644"/>
  <c r="A6640"/>
  <c r="A6636"/>
  <c r="A6632"/>
  <c r="A6628"/>
  <c r="A6624"/>
  <c r="A6620"/>
  <c r="A6616"/>
  <c r="A6612"/>
  <c r="A6608"/>
  <c r="A6604"/>
  <c r="A6600"/>
  <c r="A6596"/>
  <c r="A6592"/>
  <c r="A6588"/>
  <c r="A6584"/>
  <c r="A6580"/>
  <c r="A6576"/>
  <c r="A6572"/>
  <c r="A6568"/>
  <c r="A6564"/>
  <c r="A6560"/>
  <c r="A6556"/>
  <c r="A6552"/>
  <c r="A6548"/>
  <c r="A6544"/>
  <c r="A6540"/>
  <c r="A6536"/>
  <c r="A6532"/>
  <c r="A6528"/>
  <c r="A6524"/>
  <c r="A6520"/>
  <c r="A6516"/>
  <c r="A6512"/>
  <c r="A6508"/>
  <c r="A6504"/>
  <c r="A6500"/>
  <c r="A6496"/>
  <c r="A6492"/>
  <c r="A6488"/>
  <c r="A6484"/>
  <c r="A6480"/>
  <c r="A6476"/>
  <c r="A6472"/>
  <c r="A6468"/>
  <c r="A6464"/>
  <c r="A6460"/>
  <c r="A6456"/>
  <c r="A6452"/>
  <c r="A6448"/>
  <c r="A6444"/>
  <c r="A6440"/>
  <c r="A6436"/>
  <c r="A6432"/>
  <c r="A6428"/>
  <c r="A6424"/>
  <c r="A6420"/>
  <c r="A6416"/>
  <c r="A6412"/>
  <c r="A6408"/>
  <c r="A6404"/>
  <c r="A6400"/>
  <c r="A6396"/>
  <c r="A6392"/>
  <c r="A6388"/>
  <c r="A6384"/>
  <c r="A6380"/>
  <c r="A6376"/>
  <c r="A6372"/>
  <c r="A6368"/>
  <c r="A6364"/>
  <c r="A6360"/>
  <c r="A6356"/>
  <c r="A6352"/>
  <c r="A6348"/>
  <c r="A6344"/>
  <c r="A6340"/>
  <c r="A6336"/>
  <c r="A6332"/>
  <c r="A6328"/>
  <c r="A6324"/>
  <c r="A6320"/>
  <c r="A6316"/>
  <c r="A6312"/>
  <c r="A6308"/>
  <c r="A6304"/>
  <c r="A6300"/>
  <c r="A6296"/>
  <c r="A6292"/>
  <c r="A6288"/>
  <c r="A6284"/>
  <c r="A6280"/>
  <c r="A6276"/>
  <c r="A6272"/>
  <c r="A6268"/>
  <c r="A6264"/>
  <c r="A6260"/>
  <c r="A6256"/>
  <c r="A6252"/>
  <c r="A6248"/>
  <c r="A6244"/>
  <c r="A6240"/>
  <c r="A6236"/>
  <c r="A6232"/>
  <c r="A6228"/>
  <c r="A6224"/>
  <c r="A6220"/>
  <c r="A6216"/>
  <c r="A6212"/>
  <c r="A6208"/>
  <c r="A6204"/>
  <c r="A6200"/>
  <c r="A6196"/>
  <c r="A6192"/>
  <c r="A6188"/>
  <c r="A6184"/>
  <c r="A6180"/>
  <c r="A6176"/>
  <c r="A6172"/>
  <c r="A6168"/>
  <c r="A6164"/>
  <c r="A6160"/>
  <c r="A6156"/>
  <c r="A6152"/>
  <c r="A6148"/>
  <c r="A6144"/>
  <c r="A6140"/>
  <c r="A6136"/>
  <c r="A6132"/>
  <c r="A6128"/>
  <c r="A6124"/>
  <c r="A6120"/>
  <c r="A6116"/>
  <c r="A6112"/>
  <c r="A6108"/>
  <c r="A6104"/>
  <c r="A6100"/>
  <c r="A6096"/>
  <c r="A6092"/>
  <c r="A6088"/>
  <c r="A6084"/>
  <c r="A6080"/>
  <c r="A6076"/>
  <c r="A6072"/>
  <c r="A6068"/>
  <c r="A6064"/>
  <c r="A6060"/>
  <c r="A6056"/>
  <c r="A6052"/>
  <c r="A6048"/>
  <c r="A6044"/>
  <c r="A6040"/>
  <c r="A6036"/>
  <c r="A6032"/>
  <c r="A6028"/>
  <c r="A6024"/>
  <c r="A6020"/>
  <c r="A6016"/>
  <c r="A6012"/>
  <c r="A6008"/>
  <c r="A6004"/>
  <c r="A6000"/>
  <c r="A5996"/>
  <c r="A5992"/>
  <c r="A5988"/>
  <c r="A5984"/>
  <c r="A5980"/>
  <c r="A5976"/>
  <c r="A5972"/>
  <c r="A5968"/>
  <c r="A5964"/>
  <c r="A5960"/>
  <c r="A5956"/>
  <c r="A5952"/>
  <c r="A5948"/>
  <c r="A5944"/>
  <c r="A5940"/>
  <c r="A5936"/>
  <c r="A5932"/>
  <c r="A5928"/>
  <c r="A5924"/>
  <c r="A5920"/>
  <c r="A5916"/>
  <c r="A5912"/>
  <c r="A5908"/>
  <c r="A5904"/>
  <c r="A5900"/>
  <c r="A5896"/>
  <c r="A5892"/>
  <c r="A5888"/>
  <c r="A5884"/>
  <c r="A5880"/>
  <c r="A5876"/>
  <c r="A5872"/>
  <c r="A5868"/>
  <c r="A5864"/>
  <c r="A5860"/>
  <c r="A5856"/>
  <c r="A5852"/>
  <c r="A5848"/>
  <c r="A5844"/>
  <c r="A5840"/>
  <c r="A5836"/>
  <c r="A5832"/>
  <c r="A5828"/>
  <c r="A5824"/>
  <c r="A5820"/>
  <c r="A5816"/>
  <c r="A5812"/>
  <c r="A5808"/>
  <c r="A5804"/>
  <c r="A5800"/>
  <c r="A5796"/>
  <c r="A5792"/>
  <c r="A5788"/>
  <c r="A5784"/>
  <c r="A5780"/>
  <c r="A5776"/>
  <c r="A5772"/>
  <c r="A5768"/>
  <c r="A5764"/>
  <c r="A5760"/>
  <c r="A5756"/>
  <c r="A5752"/>
  <c r="A5748"/>
  <c r="A5744"/>
  <c r="A5740"/>
  <c r="A5736"/>
  <c r="A5732"/>
  <c r="A5728"/>
  <c r="A5724"/>
  <c r="A5720"/>
  <c r="A5716"/>
  <c r="A5712"/>
  <c r="A5708"/>
  <c r="A5704"/>
  <c r="A5700"/>
  <c r="A5696"/>
  <c r="A5692"/>
  <c r="A5688"/>
  <c r="A5684"/>
  <c r="A5680"/>
  <c r="A5676"/>
  <c r="A5672"/>
  <c r="A5668"/>
  <c r="A5664"/>
  <c r="A5660"/>
  <c r="A5656"/>
  <c r="A5652"/>
  <c r="A5648"/>
  <c r="A5644"/>
  <c r="A5640"/>
  <c r="A5636"/>
  <c r="A5632"/>
  <c r="A5628"/>
  <c r="A5624"/>
  <c r="A5620"/>
  <c r="A5616"/>
  <c r="A5612"/>
  <c r="A5608"/>
  <c r="A5604"/>
  <c r="A5600"/>
  <c r="A5596"/>
  <c r="A5592"/>
  <c r="A5588"/>
  <c r="A5584"/>
  <c r="A5580"/>
  <c r="A5576"/>
  <c r="A5572"/>
  <c r="A5568"/>
  <c r="A5564"/>
  <c r="A5560"/>
  <c r="A5556"/>
  <c r="A5552"/>
  <c r="A5548"/>
  <c r="A5544"/>
  <c r="A5540"/>
  <c r="A5536"/>
  <c r="A5532"/>
  <c r="A5528"/>
  <c r="A5524"/>
  <c r="A5520"/>
  <c r="A5516"/>
  <c r="A5512"/>
  <c r="A5508"/>
  <c r="A5504"/>
  <c r="A5500"/>
  <c r="A5496"/>
  <c r="A5492"/>
  <c r="A5488"/>
  <c r="A5484"/>
  <c r="A5480"/>
  <c r="A5476"/>
  <c r="A5472"/>
  <c r="A5468"/>
  <c r="A5464"/>
  <c r="A5460"/>
  <c r="A5456"/>
  <c r="A5452"/>
  <c r="A5448"/>
  <c r="A5444"/>
  <c r="A5440"/>
  <c r="A5436"/>
  <c r="A5432"/>
  <c r="A5428"/>
  <c r="A5424"/>
  <c r="A5420"/>
  <c r="A5416"/>
  <c r="A5412"/>
  <c r="A5408"/>
  <c r="A5404"/>
  <c r="A5400"/>
  <c r="A5396"/>
  <c r="A5392"/>
  <c r="A5388"/>
  <c r="A5384"/>
  <c r="A5380"/>
  <c r="A5376"/>
  <c r="A5372"/>
  <c r="A5368"/>
  <c r="A5364"/>
  <c r="A5360"/>
  <c r="A5356"/>
  <c r="A5352"/>
  <c r="A5348"/>
  <c r="A5344"/>
  <c r="A5340"/>
  <c r="A5336"/>
  <c r="A5332"/>
  <c r="A5328"/>
  <c r="A5324"/>
  <c r="A5320"/>
  <c r="A5316"/>
  <c r="A5312"/>
  <c r="A5308"/>
  <c r="A5304"/>
  <c r="A5300"/>
  <c r="A5296"/>
  <c r="A5292"/>
  <c r="A5288"/>
  <c r="A5284"/>
  <c r="A5280"/>
  <c r="A5276"/>
  <c r="A5272"/>
  <c r="A5268"/>
  <c r="A5264"/>
  <c r="A5260"/>
  <c r="A5256"/>
  <c r="A5252"/>
  <c r="A5248"/>
  <c r="A5244"/>
  <c r="A5240"/>
  <c r="A5236"/>
  <c r="A5232"/>
  <c r="A5228"/>
  <c r="A5224"/>
  <c r="A5220"/>
  <c r="A5216"/>
  <c r="A5212"/>
  <c r="A5208"/>
  <c r="A5204"/>
  <c r="A5200"/>
  <c r="A5196"/>
  <c r="A4083"/>
  <c r="A4071"/>
  <c r="A2898"/>
  <c r="A3032"/>
  <c r="A2930"/>
  <c r="A3027"/>
  <c r="A3023"/>
  <c r="A3955"/>
  <c r="A3951"/>
  <c r="A3947"/>
  <c r="A3943"/>
  <c r="A3939"/>
  <c r="A3935"/>
  <c r="A3926"/>
  <c r="A3919"/>
  <c r="A3915"/>
  <c r="A3908"/>
  <c r="A3929"/>
  <c r="A3928"/>
  <c r="A3283"/>
  <c r="A3279"/>
  <c r="A3275"/>
  <c r="A3271"/>
  <c r="A3267"/>
  <c r="A3263"/>
  <c r="A3259"/>
  <c r="A3255"/>
  <c r="A3251"/>
  <c r="A3460"/>
  <c r="A2514"/>
  <c r="A2503"/>
  <c r="A2499"/>
  <c r="A2495"/>
  <c r="A2486"/>
  <c r="A2482"/>
  <c r="A2478"/>
  <c r="A2474"/>
  <c r="A2470"/>
  <c r="A2467"/>
  <c r="A2463"/>
  <c r="A2459"/>
  <c r="A2455"/>
  <c r="A2451"/>
  <c r="A2447"/>
  <c r="A2443"/>
  <c r="A2439"/>
  <c r="A2435"/>
  <c r="A2431"/>
  <c r="A3461"/>
  <c r="A1669"/>
  <c r="A1663"/>
  <c r="A1659"/>
  <c r="A1655"/>
  <c r="A1651"/>
  <c r="A1647"/>
  <c r="A614"/>
  <c r="A610"/>
  <c r="A606"/>
  <c r="A602"/>
  <c r="A598"/>
  <c r="A594"/>
  <c r="A590"/>
  <c r="A586"/>
  <c r="A582"/>
  <c r="A578"/>
  <c r="A574"/>
  <c r="A1170"/>
  <c r="A1166"/>
  <c r="A1162"/>
  <c r="A1158"/>
  <c r="A1154"/>
  <c r="A1150"/>
  <c r="A1038"/>
  <c r="A979"/>
  <c r="A975"/>
  <c r="A971"/>
  <c r="A967"/>
  <c r="A963"/>
  <c r="A247"/>
  <c r="A243"/>
  <c r="A239"/>
  <c r="A233"/>
  <c r="A229"/>
  <c r="A225"/>
  <c r="A221"/>
  <c r="A215"/>
  <c r="A211"/>
  <c r="A207"/>
  <c r="A169"/>
  <c r="A165"/>
  <c r="A161"/>
  <c r="A157"/>
  <c r="A57"/>
  <c r="A53"/>
  <c r="A44"/>
  <c r="A7171"/>
  <c r="A7167"/>
  <c r="A7163"/>
  <c r="A7159"/>
  <c r="A7155"/>
  <c r="A7151"/>
  <c r="A7147"/>
  <c r="A7143"/>
  <c r="A7139"/>
  <c r="A7135"/>
  <c r="A7131"/>
  <c r="A7127"/>
  <c r="A7123"/>
  <c r="A7119"/>
  <c r="A7115"/>
  <c r="A7111"/>
  <c r="A7107"/>
  <c r="A7103"/>
  <c r="A7099"/>
  <c r="A7095"/>
  <c r="A7091"/>
  <c r="A7087"/>
  <c r="A7083"/>
  <c r="A7079"/>
  <c r="A7075"/>
  <c r="A7071"/>
  <c r="A7067"/>
  <c r="A7063"/>
  <c r="A7059"/>
  <c r="A7055"/>
  <c r="A7051"/>
  <c r="A7047"/>
  <c r="A7043"/>
  <c r="A7039"/>
  <c r="A7035"/>
  <c r="A7031"/>
  <c r="A7027"/>
  <c r="A7023"/>
  <c r="A7019"/>
  <c r="A7015"/>
  <c r="A7011"/>
  <c r="A7007"/>
  <c r="A7003"/>
  <c r="A6999"/>
  <c r="A6995"/>
  <c r="A6991"/>
  <c r="A6987"/>
  <c r="A6983"/>
  <c r="A6979"/>
  <c r="A6975"/>
  <c r="A6971"/>
  <c r="A6967"/>
  <c r="A6963"/>
  <c r="A6959"/>
  <c r="A6955"/>
  <c r="A6951"/>
  <c r="A6947"/>
  <c r="A6943"/>
  <c r="A6939"/>
  <c r="A6930"/>
  <c r="A6914"/>
  <c r="A6890"/>
  <c r="A6878"/>
  <c r="A6862"/>
  <c r="A6842"/>
  <c r="A6806"/>
  <c r="A6935"/>
  <c r="A6931"/>
  <c r="A6927"/>
  <c r="A6923"/>
  <c r="A6919"/>
  <c r="A6915"/>
  <c r="A6911"/>
  <c r="A6907"/>
  <c r="A6903"/>
  <c r="A6899"/>
  <c r="A6895"/>
  <c r="A6891"/>
  <c r="A6887"/>
  <c r="A6883"/>
  <c r="A6879"/>
  <c r="A6875"/>
  <c r="A6871"/>
  <c r="A6867"/>
  <c r="A6863"/>
  <c r="A6859"/>
  <c r="A6855"/>
  <c r="A6851"/>
  <c r="A6847"/>
  <c r="A6843"/>
  <c r="A6839"/>
  <c r="A6835"/>
  <c r="A6831"/>
  <c r="A6827"/>
  <c r="A6823"/>
  <c r="A6819"/>
  <c r="A6815"/>
  <c r="A6811"/>
  <c r="A6807"/>
  <c r="A6803"/>
  <c r="A6799"/>
  <c r="A6795"/>
  <c r="A6791"/>
  <c r="A6787"/>
  <c r="A6783"/>
  <c r="A6779"/>
  <c r="A6775"/>
  <c r="A6771"/>
  <c r="A6767"/>
  <c r="A6763"/>
  <c r="A6759"/>
  <c r="A6755"/>
  <c r="A6751"/>
  <c r="A6747"/>
  <c r="A6743"/>
  <c r="A6739"/>
  <c r="A6735"/>
  <c r="A6731"/>
  <c r="A6727"/>
  <c r="A6723"/>
  <c r="A6719"/>
  <c r="A6715"/>
  <c r="A6711"/>
  <c r="A6707"/>
  <c r="A6703"/>
  <c r="A6699"/>
  <c r="A6695"/>
  <c r="A6691"/>
  <c r="A6687"/>
  <c r="A6683"/>
  <c r="A6679"/>
  <c r="A6675"/>
  <c r="A6671"/>
  <c r="A6667"/>
  <c r="A6663"/>
  <c r="A6659"/>
  <c r="A6655"/>
  <c r="A6651"/>
  <c r="A6647"/>
  <c r="A6643"/>
  <c r="A6639"/>
  <c r="A6635"/>
  <c r="A6631"/>
  <c r="A6627"/>
  <c r="A6623"/>
  <c r="A6619"/>
  <c r="A6615"/>
  <c r="A6611"/>
  <c r="A6607"/>
  <c r="A6603"/>
  <c r="A6599"/>
  <c r="A6595"/>
  <c r="A6591"/>
  <c r="A6587"/>
  <c r="A6583"/>
  <c r="A6579"/>
  <c r="A6575"/>
  <c r="A6571"/>
  <c r="A6567"/>
  <c r="A6563"/>
  <c r="A6559"/>
  <c r="A6555"/>
  <c r="A6551"/>
  <c r="A6547"/>
  <c r="A6543"/>
  <c r="A6539"/>
  <c r="A6535"/>
  <c r="A6531"/>
  <c r="A6527"/>
  <c r="A6523"/>
  <c r="A6519"/>
  <c r="A6515"/>
  <c r="A6511"/>
  <c r="A6507"/>
  <c r="A6503"/>
  <c r="A6499"/>
  <c r="A6495"/>
  <c r="A6491"/>
  <c r="A6487"/>
  <c r="A6483"/>
  <c r="A6479"/>
  <c r="A6475"/>
  <c r="A6471"/>
  <c r="A6467"/>
  <c r="A6463"/>
  <c r="A6459"/>
  <c r="A6455"/>
  <c r="A6451"/>
  <c r="A6447"/>
  <c r="A6443"/>
  <c r="A6439"/>
  <c r="A6435"/>
  <c r="A6431"/>
  <c r="A6427"/>
  <c r="A6423"/>
  <c r="A6419"/>
  <c r="A6415"/>
  <c r="A6411"/>
  <c r="A6407"/>
  <c r="A6403"/>
  <c r="A6399"/>
  <c r="A6395"/>
  <c r="A6391"/>
  <c r="A6387"/>
  <c r="A6383"/>
  <c r="A6379"/>
  <c r="A6375"/>
  <c r="A6371"/>
  <c r="A6367"/>
  <c r="A6363"/>
  <c r="A6359"/>
  <c r="A6355"/>
  <c r="A6351"/>
  <c r="A6347"/>
  <c r="A6343"/>
  <c r="A6339"/>
  <c r="A6335"/>
  <c r="A6331"/>
  <c r="A6327"/>
  <c r="A6323"/>
  <c r="A6319"/>
  <c r="A6315"/>
  <c r="A6311"/>
  <c r="A6307"/>
  <c r="A6303"/>
  <c r="A6299"/>
  <c r="A6295"/>
  <c r="A6291"/>
  <c r="A6287"/>
  <c r="A6283"/>
  <c r="A6279"/>
  <c r="A6275"/>
  <c r="A6271"/>
  <c r="A6267"/>
  <c r="A6263"/>
  <c r="A6259"/>
  <c r="A6255"/>
  <c r="A6251"/>
  <c r="A6247"/>
  <c r="A6243"/>
  <c r="A6239"/>
  <c r="A6235"/>
  <c r="A6231"/>
  <c r="A6227"/>
  <c r="A6223"/>
  <c r="A6219"/>
  <c r="A6215"/>
  <c r="A6211"/>
  <c r="A6207"/>
  <c r="A6203"/>
  <c r="A6199"/>
  <c r="A6195"/>
  <c r="A6191"/>
  <c r="A6187"/>
  <c r="A6183"/>
  <c r="A6179"/>
  <c r="A6175"/>
  <c r="A6171"/>
  <c r="A6167"/>
  <c r="A6163"/>
  <c r="A6159"/>
  <c r="A6155"/>
  <c r="A6151"/>
  <c r="A6147"/>
  <c r="A6143"/>
  <c r="A6139"/>
  <c r="A6135"/>
  <c r="A6131"/>
  <c r="A6127"/>
  <c r="A6123"/>
  <c r="A6119"/>
  <c r="A6115"/>
  <c r="A6111"/>
  <c r="A6107"/>
  <c r="A6103"/>
  <c r="A6099"/>
  <c r="A6095"/>
  <c r="A6091"/>
  <c r="A6087"/>
  <c r="A6083"/>
  <c r="A6079"/>
  <c r="A6075"/>
  <c r="A6071"/>
  <c r="A6067"/>
  <c r="A6063"/>
  <c r="A6059"/>
  <c r="A6055"/>
  <c r="A6051"/>
  <c r="A6047"/>
  <c r="A6043"/>
  <c r="A6039"/>
  <c r="A6035"/>
  <c r="A6031"/>
  <c r="A6027"/>
  <c r="A6023"/>
  <c r="A6019"/>
  <c r="A6015"/>
  <c r="A6011"/>
  <c r="A6007"/>
  <c r="A6003"/>
  <c r="A5999"/>
  <c r="A5995"/>
  <c r="A5991"/>
  <c r="A5987"/>
  <c r="A5983"/>
  <c r="A5979"/>
  <c r="A5975"/>
  <c r="A5971"/>
  <c r="A5967"/>
  <c r="A5963"/>
  <c r="A5959"/>
  <c r="A5955"/>
  <c r="A5951"/>
  <c r="A5947"/>
  <c r="A5943"/>
  <c r="A5939"/>
  <c r="A5935"/>
  <c r="A5931"/>
  <c r="A5927"/>
  <c r="A5923"/>
  <c r="A5919"/>
  <c r="A5915"/>
  <c r="A5911"/>
  <c r="A5907"/>
  <c r="A5903"/>
  <c r="A5899"/>
  <c r="A5895"/>
  <c r="A5891"/>
  <c r="A5887"/>
  <c r="A5883"/>
  <c r="A5879"/>
  <c r="A5875"/>
  <c r="A5871"/>
  <c r="A5867"/>
  <c r="A5863"/>
  <c r="A5859"/>
  <c r="A5855"/>
  <c r="A5851"/>
  <c r="A5847"/>
  <c r="A5843"/>
  <c r="A5839"/>
  <c r="A5835"/>
  <c r="A5831"/>
  <c r="A5827"/>
  <c r="A5823"/>
  <c r="A5819"/>
  <c r="A5815"/>
  <c r="A5811"/>
  <c r="A5807"/>
  <c r="A5803"/>
  <c r="A5799"/>
  <c r="A5795"/>
  <c r="A5791"/>
  <c r="A5787"/>
  <c r="A5783"/>
  <c r="A5779"/>
  <c r="A5775"/>
  <c r="A5771"/>
  <c r="A5767"/>
  <c r="A5763"/>
  <c r="A5759"/>
  <c r="A5755"/>
  <c r="A5751"/>
  <c r="A5747"/>
  <c r="A5743"/>
  <c r="A5739"/>
  <c r="A5735"/>
  <c r="A5731"/>
  <c r="A5727"/>
  <c r="A5723"/>
  <c r="A5719"/>
  <c r="A5715"/>
  <c r="A5711"/>
  <c r="A5707"/>
  <c r="A5703"/>
  <c r="A5699"/>
  <c r="A5695"/>
  <c r="A5691"/>
  <c r="A5687"/>
  <c r="A5683"/>
  <c r="A5679"/>
  <c r="A5675"/>
  <c r="A5671"/>
  <c r="A5667"/>
  <c r="A5663"/>
  <c r="A5659"/>
  <c r="A5655"/>
  <c r="A5651"/>
  <c r="A5647"/>
  <c r="A5643"/>
  <c r="A5639"/>
  <c r="A5635"/>
  <c r="A5631"/>
  <c r="A5627"/>
  <c r="A5623"/>
  <c r="A5619"/>
  <c r="A5615"/>
  <c r="A5611"/>
  <c r="A5607"/>
  <c r="A5603"/>
  <c r="A5599"/>
  <c r="A5595"/>
  <c r="A5591"/>
  <c r="A5587"/>
  <c r="A5583"/>
  <c r="A5579"/>
  <c r="A5575"/>
  <c r="A5571"/>
  <c r="A5567"/>
  <c r="A5563"/>
  <c r="A5559"/>
  <c r="A5555"/>
  <c r="A5551"/>
  <c r="A5547"/>
  <c r="A5543"/>
  <c r="A5539"/>
  <c r="A5535"/>
  <c r="A5531"/>
  <c r="A5527"/>
  <c r="A5523"/>
  <c r="A5519"/>
  <c r="A5515"/>
  <c r="A5511"/>
  <c r="A5507"/>
  <c r="A5503"/>
  <c r="A5499"/>
  <c r="A5495"/>
  <c r="A5491"/>
  <c r="A5487"/>
  <c r="A5483"/>
  <c r="A5479"/>
  <c r="A5475"/>
  <c r="A5471"/>
  <c r="A5467"/>
  <c r="A5463"/>
  <c r="A5459"/>
  <c r="A5455"/>
  <c r="A5451"/>
  <c r="A5447"/>
  <c r="A5443"/>
  <c r="A5439"/>
  <c r="A5435"/>
  <c r="A5431"/>
  <c r="A5427"/>
  <c r="A5423"/>
  <c r="A5419"/>
  <c r="A5415"/>
  <c r="A5411"/>
  <c r="A5407"/>
  <c r="A5403"/>
  <c r="A5399"/>
  <c r="A5395"/>
  <c r="A5391"/>
  <c r="A5387"/>
  <c r="A5383"/>
  <c r="A5379"/>
  <c r="A5375"/>
  <c r="A5371"/>
  <c r="A5367"/>
  <c r="A5363"/>
  <c r="A5359"/>
  <c r="A5355"/>
  <c r="A5351"/>
  <c r="A5347"/>
  <c r="A5343"/>
  <c r="A5339"/>
  <c r="A5335"/>
  <c r="A5331"/>
  <c r="A5327"/>
  <c r="A5323"/>
  <c r="A5319"/>
  <c r="A5315"/>
  <c r="A5311"/>
  <c r="A5307"/>
  <c r="A5303"/>
  <c r="A5299"/>
  <c r="A5295"/>
  <c r="A5291"/>
  <c r="A5287"/>
  <c r="A5283"/>
  <c r="A5279"/>
  <c r="A5275"/>
  <c r="A5271"/>
  <c r="A5267"/>
  <c r="A5263"/>
  <c r="A5259"/>
  <c r="A5255"/>
  <c r="A5251"/>
  <c r="A5247"/>
  <c r="A5243"/>
  <c r="A5239"/>
  <c r="A5235"/>
  <c r="A5231"/>
  <c r="A5227"/>
  <c r="A5223"/>
  <c r="A5219"/>
  <c r="A5215"/>
  <c r="A5211"/>
  <c r="A5207"/>
  <c r="A5203"/>
  <c r="A5199"/>
  <c r="A4091"/>
  <c r="A4080"/>
  <c r="A4087"/>
  <c r="A4067"/>
  <c r="A3510"/>
  <c r="A2934"/>
  <c r="A2928"/>
  <c r="A3026"/>
  <c r="A3022"/>
  <c r="A3954"/>
  <c r="A3950"/>
  <c r="A3946"/>
  <c r="A3942"/>
  <c r="A3938"/>
  <c r="A3934"/>
  <c r="A3925"/>
  <c r="A3918"/>
  <c r="A3912"/>
  <c r="A3956"/>
  <c r="A3930"/>
  <c r="A3921"/>
  <c r="A3282"/>
  <c r="A3278"/>
  <c r="A3274"/>
  <c r="A3270"/>
  <c r="A3266"/>
  <c r="A3262"/>
  <c r="A3258"/>
  <c r="A3254"/>
  <c r="A3250"/>
  <c r="A3249"/>
  <c r="A2513"/>
  <c r="A2502"/>
  <c r="A2498"/>
  <c r="A2494"/>
  <c r="A2489"/>
  <c r="A2485"/>
  <c r="A2481"/>
  <c r="A2477"/>
  <c r="A2473"/>
  <c r="A2466"/>
  <c r="A2462"/>
  <c r="A2458"/>
  <c r="A2454"/>
  <c r="A2450"/>
  <c r="A2446"/>
  <c r="A2442"/>
  <c r="A2438"/>
  <c r="A2434"/>
  <c r="A2430"/>
  <c r="A1666"/>
  <c r="A1662"/>
  <c r="A1658"/>
  <c r="A1654"/>
  <c r="A1650"/>
  <c r="A617"/>
  <c r="A613"/>
  <c r="A609"/>
  <c r="A605"/>
  <c r="A601"/>
  <c r="A597"/>
  <c r="A593"/>
  <c r="A589"/>
  <c r="A585"/>
  <c r="A581"/>
  <c r="A577"/>
  <c r="A1173"/>
  <c r="A1169"/>
  <c r="A1165"/>
  <c r="A1161"/>
  <c r="A1157"/>
  <c r="A1153"/>
  <c r="A1149"/>
  <c r="A1037"/>
  <c r="A978"/>
  <c r="A974"/>
  <c r="A970"/>
  <c r="A966"/>
  <c r="A962"/>
  <c r="A246"/>
  <c r="A242"/>
  <c r="A238"/>
  <c r="A232"/>
  <c r="A228"/>
  <c r="A224"/>
  <c r="A220"/>
  <c r="A214"/>
  <c r="A210"/>
  <c r="A206"/>
  <c r="A168"/>
  <c r="A164"/>
  <c r="A160"/>
  <c r="A156"/>
  <c r="A56"/>
  <c r="A52"/>
  <c r="A43"/>
  <c r="A7174"/>
  <c r="A7170"/>
  <c r="A7166"/>
  <c r="A7162"/>
  <c r="A7158"/>
  <c r="A7154"/>
  <c r="A7150"/>
  <c r="A7146"/>
  <c r="A7142"/>
  <c r="A7138"/>
  <c r="A7134"/>
  <c r="A7130"/>
  <c r="A7126"/>
  <c r="A7122"/>
  <c r="A7118"/>
  <c r="A7114"/>
  <c r="A7110"/>
  <c r="A7106"/>
  <c r="A7102"/>
  <c r="A7098"/>
  <c r="A7094"/>
  <c r="A7090"/>
  <c r="A7086"/>
  <c r="A7082"/>
  <c r="A7078"/>
  <c r="A7074"/>
  <c r="A7070"/>
  <c r="A7066"/>
  <c r="A7062"/>
  <c r="A7058"/>
  <c r="A7054"/>
  <c r="A7050"/>
  <c r="A7046"/>
  <c r="A7042"/>
  <c r="A7038"/>
  <c r="A7034"/>
  <c r="A7030"/>
  <c r="A7026"/>
  <c r="A7022"/>
  <c r="A7018"/>
  <c r="A7014"/>
  <c r="A7010"/>
  <c r="A7006"/>
  <c r="A7002"/>
  <c r="A6998"/>
  <c r="A6994"/>
  <c r="A6990"/>
  <c r="A6986"/>
  <c r="A6982"/>
  <c r="A6978"/>
  <c r="A6974"/>
  <c r="A6970"/>
  <c r="A6966"/>
  <c r="A6962"/>
  <c r="A6958"/>
  <c r="A6954"/>
  <c r="A6950"/>
  <c r="A6946"/>
  <c r="A6942"/>
  <c r="A6926"/>
  <c r="A6902"/>
  <c r="A6886"/>
  <c r="A6866"/>
  <c r="A6846"/>
  <c r="A6830"/>
  <c r="A6822"/>
  <c r="A6818"/>
  <c r="A6814"/>
  <c r="A6802"/>
  <c r="A6798"/>
  <c r="A6794"/>
  <c r="A6786"/>
  <c r="A6782"/>
  <c r="A6778"/>
  <c r="A6774"/>
  <c r="A6770"/>
  <c r="A6766"/>
  <c r="A6762"/>
  <c r="A6758"/>
  <c r="A6754"/>
  <c r="A6750"/>
  <c r="A6746"/>
  <c r="A6742"/>
  <c r="A6738"/>
  <c r="A6734"/>
  <c r="A6730"/>
  <c r="A6726"/>
  <c r="A6722"/>
  <c r="A6718"/>
  <c r="A6714"/>
  <c r="A6710"/>
  <c r="A6706"/>
  <c r="A6702"/>
  <c r="A6698"/>
  <c r="A6694"/>
  <c r="A6690"/>
  <c r="A6686"/>
  <c r="A6682"/>
  <c r="A6678"/>
  <c r="A6674"/>
  <c r="A6670"/>
  <c r="A6666"/>
  <c r="A6662"/>
  <c r="A6658"/>
  <c r="A6654"/>
  <c r="A6650"/>
  <c r="A6646"/>
  <c r="A6642"/>
  <c r="A6638"/>
  <c r="A6634"/>
  <c r="A6630"/>
  <c r="A6626"/>
  <c r="A6622"/>
  <c r="A6618"/>
  <c r="A6614"/>
  <c r="A6610"/>
  <c r="A6606"/>
  <c r="A6602"/>
  <c r="A6598"/>
  <c r="A6594"/>
  <c r="A6590"/>
  <c r="A6586"/>
  <c r="A6582"/>
  <c r="A6578"/>
  <c r="A6574"/>
  <c r="A6570"/>
  <c r="A6566"/>
  <c r="A6562"/>
  <c r="A6558"/>
  <c r="A6554"/>
  <c r="A6550"/>
  <c r="A6546"/>
  <c r="A6542"/>
  <c r="A6538"/>
  <c r="A6534"/>
  <c r="A6530"/>
  <c r="A6526"/>
  <c r="A6522"/>
  <c r="A6518"/>
  <c r="A6514"/>
  <c r="A6510"/>
  <c r="A6506"/>
  <c r="A6502"/>
  <c r="A6498"/>
  <c r="A6494"/>
  <c r="A6490"/>
  <c r="A6486"/>
  <c r="A6482"/>
  <c r="A6478"/>
  <c r="A6474"/>
  <c r="A6470"/>
  <c r="A6466"/>
  <c r="A6462"/>
  <c r="A6458"/>
  <c r="A6454"/>
  <c r="A6450"/>
  <c r="A6446"/>
  <c r="A6442"/>
  <c r="A6438"/>
  <c r="A6434"/>
  <c r="A6430"/>
  <c r="A6426"/>
  <c r="A6422"/>
  <c r="A6418"/>
  <c r="A6414"/>
  <c r="A6410"/>
  <c r="A6406"/>
  <c r="A6402"/>
  <c r="A6398"/>
  <c r="A6394"/>
  <c r="A6390"/>
  <c r="A6386"/>
  <c r="A6382"/>
  <c r="A6378"/>
  <c r="A6374"/>
  <c r="A6370"/>
  <c r="A6366"/>
  <c r="A6362"/>
  <c r="A6358"/>
  <c r="A6354"/>
  <c r="A6350"/>
  <c r="A6346"/>
  <c r="A6342"/>
  <c r="A6338"/>
  <c r="A6334"/>
  <c r="A6330"/>
  <c r="A6326"/>
  <c r="A6322"/>
  <c r="A6318"/>
  <c r="A6314"/>
  <c r="A6310"/>
  <c r="A6306"/>
  <c r="A6302"/>
  <c r="A6298"/>
  <c r="A6294"/>
  <c r="A6290"/>
  <c r="A6286"/>
  <c r="A6282"/>
  <c r="A6278"/>
  <c r="A6274"/>
  <c r="A6270"/>
  <c r="A6266"/>
  <c r="A6262"/>
  <c r="A6258"/>
  <c r="A6254"/>
  <c r="A6250"/>
  <c r="A6246"/>
  <c r="A6242"/>
  <c r="A6238"/>
  <c r="A6234"/>
  <c r="A6230"/>
  <c r="A6226"/>
  <c r="A6222"/>
  <c r="A6218"/>
  <c r="A6214"/>
  <c r="A6210"/>
  <c r="A6206"/>
  <c r="A6202"/>
  <c r="A6198"/>
  <c r="A6194"/>
  <c r="A6190"/>
  <c r="A6186"/>
  <c r="A6182"/>
  <c r="A6178"/>
  <c r="A6174"/>
  <c r="A6170"/>
  <c r="A6166"/>
  <c r="A6162"/>
  <c r="A6158"/>
  <c r="A6154"/>
  <c r="A6150"/>
  <c r="A6146"/>
  <c r="A6142"/>
  <c r="A6138"/>
  <c r="A6134"/>
  <c r="A6130"/>
  <c r="A6126"/>
  <c r="A6122"/>
  <c r="A6118"/>
  <c r="A6114"/>
  <c r="A6110"/>
  <c r="A6106"/>
  <c r="A6102"/>
  <c r="A6098"/>
  <c r="A6094"/>
  <c r="A6090"/>
  <c r="A6086"/>
  <c r="A6082"/>
  <c r="A6078"/>
  <c r="A6074"/>
  <c r="A6070"/>
  <c r="A6066"/>
  <c r="A6062"/>
  <c r="A6058"/>
  <c r="A6054"/>
  <c r="A6050"/>
  <c r="A6046"/>
  <c r="A6042"/>
  <c r="A6038"/>
  <c r="A6034"/>
  <c r="A6030"/>
  <c r="A6026"/>
  <c r="A6022"/>
  <c r="A6018"/>
  <c r="A6014"/>
  <c r="A6010"/>
  <c r="A6006"/>
  <c r="A6002"/>
  <c r="A5998"/>
  <c r="A5994"/>
  <c r="A5990"/>
  <c r="A5986"/>
  <c r="A5982"/>
  <c r="A5978"/>
  <c r="A5974"/>
  <c r="A5970"/>
  <c r="A5966"/>
  <c r="A5962"/>
  <c r="A5958"/>
  <c r="A5954"/>
  <c r="A5950"/>
  <c r="A5946"/>
  <c r="A5942"/>
  <c r="A5938"/>
  <c r="A5934"/>
  <c r="A5930"/>
  <c r="A5926"/>
  <c r="A5922"/>
  <c r="A5918"/>
  <c r="A5914"/>
  <c r="A5910"/>
  <c r="A5906"/>
  <c r="A5902"/>
  <c r="A5898"/>
  <c r="A5894"/>
  <c r="A5890"/>
  <c r="A5886"/>
  <c r="A5882"/>
  <c r="A5878"/>
  <c r="A5874"/>
  <c r="A5870"/>
  <c r="A5866"/>
  <c r="A5862"/>
  <c r="A5858"/>
  <c r="A5854"/>
  <c r="A5850"/>
  <c r="A5846"/>
  <c r="A5842"/>
  <c r="A5838"/>
  <c r="A5834"/>
  <c r="A5830"/>
  <c r="A5826"/>
  <c r="A5822"/>
  <c r="A5818"/>
  <c r="A5814"/>
  <c r="A5810"/>
  <c r="A5806"/>
  <c r="A5802"/>
  <c r="A5798"/>
  <c r="A5794"/>
  <c r="A5790"/>
  <c r="A5786"/>
  <c r="A5782"/>
  <c r="A5778"/>
  <c r="A5774"/>
  <c r="A5770"/>
  <c r="A5766"/>
  <c r="A5762"/>
  <c r="A5758"/>
  <c r="A5754"/>
  <c r="A5750"/>
  <c r="A5746"/>
  <c r="A5742"/>
  <c r="A5738"/>
  <c r="A5734"/>
  <c r="A5730"/>
  <c r="A5726"/>
  <c r="A5722"/>
  <c r="A5718"/>
  <c r="A5714"/>
  <c r="A5710"/>
  <c r="A5706"/>
  <c r="A5702"/>
  <c r="A5698"/>
  <c r="A5694"/>
  <c r="A5690"/>
  <c r="A5686"/>
  <c r="A5682"/>
  <c r="A5678"/>
  <c r="A5674"/>
  <c r="A5670"/>
  <c r="A5666"/>
  <c r="A5662"/>
  <c r="A5658"/>
  <c r="A5654"/>
  <c r="A5650"/>
  <c r="A5646"/>
  <c r="A5642"/>
  <c r="A5638"/>
  <c r="A5634"/>
  <c r="A5630"/>
  <c r="A5626"/>
  <c r="A5622"/>
  <c r="A5618"/>
  <c r="A5614"/>
  <c r="A5610"/>
  <c r="A5606"/>
  <c r="A5602"/>
  <c r="A5598"/>
  <c r="A5594"/>
  <c r="A5590"/>
  <c r="A5586"/>
  <c r="A5582"/>
  <c r="A5578"/>
  <c r="A5574"/>
  <c r="A5570"/>
  <c r="A5566"/>
  <c r="A5562"/>
  <c r="A5558"/>
  <c r="A5554"/>
  <c r="A5550"/>
  <c r="A5546"/>
  <c r="A5542"/>
  <c r="A5538"/>
  <c r="A5534"/>
  <c r="A5530"/>
  <c r="A5526"/>
  <c r="A5522"/>
  <c r="A5518"/>
  <c r="A5514"/>
  <c r="A5510"/>
  <c r="A5506"/>
  <c r="A5502"/>
  <c r="A5498"/>
  <c r="A5494"/>
  <c r="A5490"/>
  <c r="A5486"/>
  <c r="A5482"/>
  <c r="A5478"/>
  <c r="A5474"/>
  <c r="A5470"/>
  <c r="A5466"/>
  <c r="A5462"/>
  <c r="A5458"/>
  <c r="A5454"/>
  <c r="A5450"/>
  <c r="A5446"/>
  <c r="A5442"/>
  <c r="A5438"/>
  <c r="A5434"/>
  <c r="A5430"/>
  <c r="A5426"/>
  <c r="A5422"/>
  <c r="A5418"/>
  <c r="A5414"/>
  <c r="A5410"/>
  <c r="A5406"/>
  <c r="A5402"/>
  <c r="A5398"/>
  <c r="A5394"/>
  <c r="A5390"/>
  <c r="A5386"/>
  <c r="A5382"/>
  <c r="A5378"/>
  <c r="A5374"/>
  <c r="A5370"/>
  <c r="A5366"/>
  <c r="A5362"/>
  <c r="A5358"/>
  <c r="A5354"/>
  <c r="A5350"/>
  <c r="A5346"/>
  <c r="A5342"/>
  <c r="A5338"/>
  <c r="A5334"/>
  <c r="A5330"/>
  <c r="A5326"/>
  <c r="A5322"/>
  <c r="A5318"/>
  <c r="A5314"/>
  <c r="A5310"/>
  <c r="A5306"/>
  <c r="A5302"/>
  <c r="A5298"/>
  <c r="A5294"/>
  <c r="A5290"/>
  <c r="A5286"/>
  <c r="A5282"/>
  <c r="A5278"/>
  <c r="A5274"/>
  <c r="A5270"/>
  <c r="A5266"/>
  <c r="A5262"/>
  <c r="A5258"/>
  <c r="A5254"/>
  <c r="A5250"/>
  <c r="A5246"/>
  <c r="A5242"/>
  <c r="A5238"/>
  <c r="A5234"/>
  <c r="A5230"/>
  <c r="A5226"/>
  <c r="A5222"/>
  <c r="A5218"/>
  <c r="A5214"/>
  <c r="A5210"/>
  <c r="A5206"/>
  <c r="A5202"/>
  <c r="A5198"/>
  <c r="A4088"/>
  <c r="A4077"/>
  <c r="A2826"/>
  <c r="A2810"/>
  <c r="A2947"/>
  <c r="A4048"/>
  <c r="A2933"/>
  <c r="A3031"/>
  <c r="A3025"/>
  <c r="A3021"/>
  <c r="A3953"/>
  <c r="A3949"/>
  <c r="A3945"/>
  <c r="A3941"/>
  <c r="A3937"/>
  <c r="A3932"/>
  <c r="A3923"/>
  <c r="A3917"/>
  <c r="A3911"/>
  <c r="A3914"/>
  <c r="A3281"/>
  <c r="A3277"/>
  <c r="A3273"/>
  <c r="A3269"/>
  <c r="A3265"/>
  <c r="A3261"/>
  <c r="A3257"/>
  <c r="A3253"/>
  <c r="A3462"/>
  <c r="A2516"/>
  <c r="A2512"/>
  <c r="A2501"/>
  <c r="A2497"/>
  <c r="A2493"/>
  <c r="A2488"/>
  <c r="A2484"/>
  <c r="A2480"/>
  <c r="A2476"/>
  <c r="A2472"/>
  <c r="A2469"/>
  <c r="A2465"/>
  <c r="A2461"/>
  <c r="A2457"/>
  <c r="A2453"/>
  <c r="A2449"/>
  <c r="A2445"/>
  <c r="A2441"/>
  <c r="A2437"/>
  <c r="A2433"/>
  <c r="A3459"/>
  <c r="A1665"/>
  <c r="A1661"/>
  <c r="A1657"/>
  <c r="A1653"/>
  <c r="A1649"/>
  <c r="A616"/>
  <c r="A612"/>
  <c r="A608"/>
  <c r="A604"/>
  <c r="A600"/>
  <c r="A596"/>
  <c r="A592"/>
  <c r="A588"/>
  <c r="A584"/>
  <c r="A580"/>
  <c r="A576"/>
  <c r="A1172"/>
  <c r="A1168"/>
  <c r="A1164"/>
  <c r="A1160"/>
  <c r="A1156"/>
  <c r="A1152"/>
  <c r="A1148"/>
  <c r="A981"/>
  <c r="A977"/>
  <c r="A973"/>
  <c r="A969"/>
  <c r="A965"/>
  <c r="A249"/>
  <c r="A245"/>
  <c r="A241"/>
  <c r="A237"/>
  <c r="A231"/>
  <c r="A227"/>
  <c r="A223"/>
  <c r="A217"/>
  <c r="A213"/>
  <c r="A209"/>
  <c r="A205"/>
  <c r="A167"/>
  <c r="A163"/>
  <c r="A159"/>
  <c r="A59"/>
  <c r="A55"/>
  <c r="A51"/>
  <c r="A42"/>
  <c r="A7173"/>
  <c r="A7169"/>
  <c r="A7165"/>
  <c r="A7161"/>
  <c r="A7157"/>
  <c r="A7153"/>
  <c r="A7149"/>
  <c r="A7145"/>
  <c r="A7141"/>
  <c r="A7137"/>
  <c r="A7133"/>
  <c r="A7129"/>
  <c r="A7125"/>
  <c r="A7121"/>
  <c r="A7117"/>
  <c r="A7113"/>
  <c r="A7109"/>
  <c r="A7105"/>
  <c r="A7101"/>
  <c r="A7097"/>
  <c r="A7093"/>
  <c r="A7089"/>
  <c r="A7085"/>
  <c r="A7081"/>
  <c r="A7077"/>
  <c r="A7073"/>
  <c r="A7069"/>
  <c r="A7065"/>
  <c r="A7061"/>
  <c r="A7057"/>
  <c r="A7053"/>
  <c r="A7049"/>
  <c r="A7045"/>
  <c r="A7041"/>
  <c r="A7037"/>
  <c r="A7033"/>
  <c r="A7029"/>
  <c r="A7025"/>
  <c r="A7021"/>
  <c r="A7017"/>
  <c r="A7013"/>
  <c r="A7009"/>
  <c r="A7005"/>
  <c r="A7001"/>
  <c r="A6997"/>
  <c r="A6993"/>
  <c r="A6989"/>
  <c r="A6985"/>
  <c r="A6981"/>
  <c r="A6977"/>
  <c r="A6973"/>
  <c r="A6969"/>
  <c r="A6965"/>
  <c r="A6961"/>
  <c r="A6957"/>
  <c r="A6953"/>
  <c r="A6949"/>
  <c r="A6945"/>
  <c r="A6941"/>
  <c r="A12"/>
  <c r="Y146" i="60"/>
  <c r="B10" i="34"/>
  <c r="E148" i="60" l="1"/>
  <c r="Y155"/>
  <c r="L145" s="1"/>
  <c r="Y154"/>
  <c r="Y153"/>
  <c r="Y152"/>
  <c r="G66" i="55" a="1"/>
  <c r="G66" s="1"/>
  <c r="I66" a="1"/>
  <c r="I66" s="1"/>
  <c r="G55" a="1"/>
  <c r="G55" s="1"/>
  <c r="I55" a="1"/>
  <c r="I55" s="1"/>
  <c r="G70" a="1"/>
  <c r="G70" s="1"/>
  <c r="I70" a="1"/>
  <c r="I70" s="1"/>
  <c r="L144" i="60" l="1"/>
  <c r="L146"/>
  <c r="L143"/>
  <c r="A87" i="55"/>
  <c r="K70"/>
  <c r="K55"/>
  <c r="K66"/>
  <c r="A88" l="1"/>
  <c r="A144" i="60"/>
  <c r="A145" s="1"/>
  <c r="A146" s="1"/>
  <c r="A89" i="55" l="1"/>
  <c r="A90" l="1"/>
  <c r="A91" l="1"/>
  <c r="Y97" i="60"/>
  <c r="L87" s="1"/>
  <c r="Z94"/>
  <c r="D87"/>
  <c r="G87" s="1"/>
  <c r="G86"/>
  <c r="Y87"/>
  <c r="Y86"/>
  <c r="Y74"/>
  <c r="L65" s="1"/>
  <c r="L72" s="1"/>
  <c r="Z73"/>
  <c r="A68"/>
  <c r="A69" s="1"/>
  <c r="A70" s="1"/>
  <c r="Y66"/>
  <c r="Y65"/>
  <c r="A52"/>
  <c r="Z54"/>
  <c r="Y46"/>
  <c r="Y54" s="1"/>
  <c r="Y39"/>
  <c r="L29" s="1"/>
  <c r="Y37"/>
  <c r="Z36"/>
  <c r="O31"/>
  <c r="M31"/>
  <c r="Y34"/>
  <c r="A30"/>
  <c r="Y33"/>
  <c r="Y32"/>
  <c r="D28"/>
  <c r="G28" s="1"/>
  <c r="Y31"/>
  <c r="Y30"/>
  <c r="Y29"/>
  <c r="Y28"/>
  <c r="W24"/>
  <c r="Y15"/>
  <c r="L7" s="1"/>
  <c r="Z14"/>
  <c r="P17"/>
  <c r="A17"/>
  <c r="D16"/>
  <c r="G16" s="1"/>
  <c r="D15"/>
  <c r="G15" s="1"/>
  <c r="D14"/>
  <c r="G14" s="1"/>
  <c r="D13"/>
  <c r="G13" s="1"/>
  <c r="D12"/>
  <c r="G12" s="1"/>
  <c r="Y12"/>
  <c r="D11"/>
  <c r="G11" s="1"/>
  <c r="Y11"/>
  <c r="D10"/>
  <c r="G10" s="1"/>
  <c r="Y10"/>
  <c r="D9"/>
  <c r="G9" s="1"/>
  <c r="Y9"/>
  <c r="D8"/>
  <c r="G8" s="1"/>
  <c r="Y8"/>
  <c r="D7"/>
  <c r="Y7"/>
  <c r="G6"/>
  <c r="Y6"/>
  <c r="M12" i="34"/>
  <c r="Y36" i="60" l="1"/>
  <c r="I31" s="1"/>
  <c r="Y14"/>
  <c r="I18" s="1"/>
  <c r="Y94"/>
  <c r="I95" s="1"/>
  <c r="G7"/>
  <c r="G18" s="1"/>
  <c r="D18"/>
  <c r="Y73"/>
  <c r="A87"/>
  <c r="A88" s="1"/>
  <c r="A89" s="1"/>
  <c r="A90" s="1"/>
  <c r="A91" s="1"/>
  <c r="A92" s="1"/>
  <c r="A93" s="1"/>
  <c r="G95"/>
  <c r="D95"/>
  <c r="L28"/>
  <c r="L31" s="1"/>
  <c r="Y41"/>
  <c r="Y81"/>
  <c r="Y105"/>
  <c r="L95" s="1"/>
  <c r="L18"/>
  <c r="A92" i="55"/>
  <c r="I53" i="60"/>
  <c r="I47" s="1"/>
  <c r="L53"/>
  <c r="Y24"/>
  <c r="D31"/>
  <c r="N6"/>
  <c r="P6" s="1"/>
  <c r="T6" s="1"/>
  <c r="G21" l="1"/>
  <c r="K9"/>
  <c r="H12"/>
  <c r="K14"/>
  <c r="H7"/>
  <c r="H10"/>
  <c r="K12"/>
  <c r="H15"/>
  <c r="H8"/>
  <c r="K10"/>
  <c r="K13"/>
  <c r="H16"/>
  <c r="K8"/>
  <c r="H11"/>
  <c r="H14"/>
  <c r="K16"/>
  <c r="H9"/>
  <c r="J11"/>
  <c r="K15"/>
  <c r="J7"/>
  <c r="J13"/>
  <c r="J9"/>
  <c r="H13"/>
  <c r="J16"/>
  <c r="J12"/>
  <c r="K11"/>
  <c r="J15"/>
  <c r="K7"/>
  <c r="J8"/>
  <c r="J14"/>
  <c r="J10"/>
  <c r="I11"/>
  <c r="I13"/>
  <c r="I8"/>
  <c r="I15"/>
  <c r="I7"/>
  <c r="I12"/>
  <c r="I9"/>
  <c r="I16"/>
  <c r="I10"/>
  <c r="I14"/>
  <c r="K28"/>
  <c r="H29"/>
  <c r="N29" s="1"/>
  <c r="P29" s="1"/>
  <c r="T29" s="1"/>
  <c r="H88"/>
  <c r="H92"/>
  <c r="H89"/>
  <c r="H93"/>
  <c r="H86"/>
  <c r="H90"/>
  <c r="H87"/>
  <c r="H91"/>
  <c r="I88"/>
  <c r="K89"/>
  <c r="I90"/>
  <c r="K91"/>
  <c r="I92"/>
  <c r="K93"/>
  <c r="J88"/>
  <c r="J90"/>
  <c r="J92"/>
  <c r="K88"/>
  <c r="I89"/>
  <c r="K90"/>
  <c r="I91"/>
  <c r="K92"/>
  <c r="I93"/>
  <c r="J89"/>
  <c r="J91"/>
  <c r="J93"/>
  <c r="I50"/>
  <c r="N50" s="1"/>
  <c r="P50" s="1"/>
  <c r="T50" s="1"/>
  <c r="I49"/>
  <c r="N49" s="1"/>
  <c r="P49" s="1"/>
  <c r="T49" s="1"/>
  <c r="N47"/>
  <c r="P47" s="1"/>
  <c r="T47" s="1"/>
  <c r="I48"/>
  <c r="N48" s="1"/>
  <c r="P48" s="1"/>
  <c r="T48" s="1"/>
  <c r="I51"/>
  <c r="N51" s="1"/>
  <c r="P51" s="1"/>
  <c r="T51" s="1"/>
  <c r="I72"/>
  <c r="J28"/>
  <c r="I28"/>
  <c r="G77"/>
  <c r="A93" i="55"/>
  <c r="H28" i="60"/>
  <c r="J87"/>
  <c r="J86"/>
  <c r="K87"/>
  <c r="I87"/>
  <c r="K86"/>
  <c r="I86"/>
  <c r="G31"/>
  <c r="G34"/>
  <c r="N92" l="1"/>
  <c r="P92" s="1"/>
  <c r="T92" s="1"/>
  <c r="N88"/>
  <c r="P88" s="1"/>
  <c r="T88" s="1"/>
  <c r="N90"/>
  <c r="P90" s="1"/>
  <c r="T90" s="1"/>
  <c r="N91"/>
  <c r="P91" s="1"/>
  <c r="T91" s="1"/>
  <c r="N89"/>
  <c r="P89" s="1"/>
  <c r="T89" s="1"/>
  <c r="N93"/>
  <c r="P93" s="1"/>
  <c r="T93" s="1"/>
  <c r="N15"/>
  <c r="N16"/>
  <c r="N28"/>
  <c r="P28" s="1"/>
  <c r="T28" s="1"/>
  <c r="N86"/>
  <c r="P86" s="1"/>
  <c r="T86" s="1"/>
  <c r="N87"/>
  <c r="P87" s="1"/>
  <c r="T87" s="1"/>
  <c r="N31" l="1"/>
  <c r="A94" i="55"/>
  <c r="N95" i="60"/>
  <c r="A95" i="55" l="1"/>
  <c r="Y110" i="60"/>
  <c r="Y118" s="1"/>
  <c r="J87" i="12"/>
  <c r="A90"/>
  <c r="A89"/>
  <c r="A88"/>
  <c r="A87"/>
  <c r="A86"/>
  <c r="A85"/>
  <c r="A84"/>
  <c r="A83"/>
  <c r="A82"/>
  <c r="A81"/>
  <c r="A93"/>
  <c r="A92"/>
  <c r="A91"/>
  <c r="A80"/>
  <c r="A96" i="55" l="1"/>
  <c r="D132" i="60"/>
  <c r="G132" s="1"/>
  <c r="D133"/>
  <c r="G133" s="1"/>
  <c r="D134"/>
  <c r="G134" s="1"/>
  <c r="D135"/>
  <c r="G135" s="1"/>
  <c r="A97" i="55" l="1"/>
  <c r="AA3032" i="34" l="1"/>
  <c r="AA3836"/>
  <c r="AA3837"/>
  <c r="AA3868"/>
  <c r="AA3869"/>
  <c r="AA3951"/>
  <c r="O16" i="63"/>
  <c r="N16"/>
  <c r="M16"/>
  <c r="AA3279" i="34"/>
  <c r="AA3278"/>
  <c r="AA3277"/>
  <c r="AA3276"/>
  <c r="AA3275"/>
  <c r="AA3274"/>
  <c r="AA3273"/>
  <c r="AA3272"/>
  <c r="AA3271"/>
  <c r="AA3269"/>
  <c r="AA3268"/>
  <c r="AA3267"/>
  <c r="AA3266"/>
  <c r="AA3265"/>
  <c r="AA3264"/>
  <c r="AA3263"/>
  <c r="AA3262"/>
  <c r="AA3261"/>
  <c r="AA3259"/>
  <c r="AA3258"/>
  <c r="AA3251"/>
  <c r="AA3252"/>
  <c r="AA3253"/>
  <c r="AA3254"/>
  <c r="AA3255"/>
  <c r="AA3256"/>
  <c r="AA3257"/>
  <c r="A98" i="55" l="1"/>
  <c r="AA3980" i="34"/>
  <c r="AA3979"/>
  <c r="AA3978"/>
  <c r="AA3975"/>
  <c r="AA3974"/>
  <c r="AA3973"/>
  <c r="AA3972"/>
  <c r="AA3969"/>
  <c r="AA4731"/>
  <c r="AA3966"/>
  <c r="AA3965"/>
  <c r="AA4754"/>
  <c r="AA3957"/>
  <c r="AA3960"/>
  <c r="AA3961"/>
  <c r="AA3962"/>
  <c r="AA3967"/>
  <c r="A26" i="62"/>
  <c r="AA4746" i="34"/>
  <c r="AA4750"/>
  <c r="AA4749"/>
  <c r="AA4753"/>
  <c r="AA4748"/>
  <c r="AA4747"/>
  <c r="AA4745"/>
  <c r="AA4744"/>
  <c r="AA4743"/>
  <c r="AA4742"/>
  <c r="AA4741"/>
  <c r="AA4740"/>
  <c r="AA4739"/>
  <c r="AA4738"/>
  <c r="AA4737"/>
  <c r="AA4736"/>
  <c r="AA4735"/>
  <c r="AA4734"/>
  <c r="AA3968"/>
  <c r="AA4733"/>
  <c r="AA4730"/>
  <c r="AA4728"/>
  <c r="AA4727"/>
  <c r="AA2454"/>
  <c r="AA2453"/>
  <c r="A105" i="55" l="1"/>
  <c r="A99"/>
  <c r="AA4725" i="34"/>
  <c r="AA4724"/>
  <c r="AA4723"/>
  <c r="AA4722"/>
  <c r="AA4721"/>
  <c r="AA4720"/>
  <c r="AA4718"/>
  <c r="AA4719"/>
  <c r="AA4717"/>
  <c r="A100" i="55" l="1"/>
  <c r="AA2490" i="34"/>
  <c r="AA2473"/>
  <c r="AA2472"/>
  <c r="AA2471"/>
  <c r="AA2440"/>
  <c r="AA2439"/>
  <c r="AA2451"/>
  <c r="AA2450"/>
  <c r="AA2449"/>
  <c r="AA2448"/>
  <c r="AA2447"/>
  <c r="AA2446"/>
  <c r="AA2445"/>
  <c r="AA2444"/>
  <c r="A101" i="55" l="1"/>
  <c r="D121" i="60"/>
  <c r="G121" s="1"/>
  <c r="D122"/>
  <c r="G122" s="1"/>
  <c r="D126"/>
  <c r="G126" s="1"/>
  <c r="D125"/>
  <c r="G125" s="1"/>
  <c r="D124"/>
  <c r="G124" s="1"/>
  <c r="D120"/>
  <c r="G120" s="1"/>
  <c r="D119"/>
  <c r="G119" s="1"/>
  <c r="D118"/>
  <c r="G118" s="1"/>
  <c r="D117"/>
  <c r="G117" s="1"/>
  <c r="D116"/>
  <c r="G116" s="1"/>
  <c r="D115"/>
  <c r="G115" s="1"/>
  <c r="D114"/>
  <c r="G114" s="1"/>
  <c r="D113"/>
  <c r="Y119"/>
  <c r="G113" l="1"/>
  <c r="G137" s="1"/>
  <c r="D137"/>
  <c r="Y130"/>
  <c r="L110"/>
  <c r="J123" l="1"/>
  <c r="K123"/>
  <c r="J127"/>
  <c r="K127"/>
  <c r="J131"/>
  <c r="K130"/>
  <c r="J130"/>
  <c r="K129"/>
  <c r="J128"/>
  <c r="J129"/>
  <c r="K128"/>
  <c r="K131"/>
  <c r="K112"/>
  <c r="J112"/>
  <c r="A103" i="55"/>
  <c r="J132" i="60"/>
  <c r="K133"/>
  <c r="J134"/>
  <c r="K135"/>
  <c r="K132"/>
  <c r="J133"/>
  <c r="K134"/>
  <c r="J135"/>
  <c r="K121"/>
  <c r="J121"/>
  <c r="A104" i="55" l="1"/>
  <c r="AA3955" i="34"/>
  <c r="AA3845"/>
  <c r="AA4563"/>
  <c r="AA3917"/>
  <c r="AA4716" l="1"/>
  <c r="AA4715"/>
  <c r="AA4714"/>
  <c r="AA4713"/>
  <c r="AA4712"/>
  <c r="AA3280"/>
  <c r="AA3281"/>
  <c r="AA3282"/>
  <c r="AA3283"/>
  <c r="AA2934"/>
  <c r="AA2933"/>
  <c r="AA2931"/>
  <c r="AA2930"/>
  <c r="AA2928"/>
  <c r="AA3020"/>
  <c r="AA3018"/>
  <c r="AA3019"/>
  <c r="AA3017"/>
  <c r="AA3016"/>
  <c r="AA3031"/>
  <c r="AA3030"/>
  <c r="AA3027"/>
  <c r="AA3026"/>
  <c r="AA3025"/>
  <c r="AA3024"/>
  <c r="AA3023"/>
  <c r="AA3022"/>
  <c r="AA3021"/>
  <c r="AA2932"/>
  <c r="AA3954"/>
  <c r="AA3953"/>
  <c r="AA3932"/>
  <c r="AA3931"/>
  <c r="AA3952"/>
  <c r="AA3950"/>
  <c r="AA3949"/>
  <c r="AA3947"/>
  <c r="AA3948"/>
  <c r="AA3946"/>
  <c r="AA3945"/>
  <c r="AA3944"/>
  <c r="AA3943"/>
  <c r="AA3942"/>
  <c r="AA3941"/>
  <c r="AA3940"/>
  <c r="AA3939"/>
  <c r="AA3938"/>
  <c r="AA3937"/>
  <c r="AA3936"/>
  <c r="AA3935"/>
  <c r="AA3934"/>
  <c r="AA3926"/>
  <c r="AA3925"/>
  <c r="AA3923"/>
  <c r="AA3922"/>
  <c r="AA3919"/>
  <c r="AA3918"/>
  <c r="AA3916" l="1"/>
  <c r="AA3915"/>
  <c r="AA3912"/>
  <c r="AA3911"/>
  <c r="AA3909"/>
  <c r="AA3908"/>
  <c r="AA4709"/>
  <c r="AA4708"/>
  <c r="AA4707"/>
  <c r="AA3956"/>
  <c r="AA4700"/>
  <c r="AA4699"/>
  <c r="AA4697"/>
  <c r="AA4696"/>
  <c r="AA4706" l="1"/>
  <c r="AA4705"/>
  <c r="AA4704"/>
  <c r="AA4703"/>
  <c r="AA4702"/>
  <c r="AA4698"/>
  <c r="AA4695"/>
  <c r="AA4701"/>
  <c r="AA3930"/>
  <c r="AA4694"/>
  <c r="AA4693"/>
  <c r="AA2483"/>
  <c r="AA4692"/>
  <c r="AA4691"/>
  <c r="AA4690"/>
  <c r="AA4666"/>
  <c r="AA4689"/>
  <c r="AA4688"/>
  <c r="AA4687"/>
  <c r="AA4686"/>
  <c r="AA4685"/>
  <c r="AA4684"/>
  <c r="AA4683"/>
  <c r="AA4682"/>
  <c r="AA4681"/>
  <c r="AA3929"/>
  <c r="AA4680"/>
  <c r="AA4678"/>
  <c r="AA4677"/>
  <c r="AA4676"/>
  <c r="AA4675"/>
  <c r="AA4674"/>
  <c r="AA4673"/>
  <c r="AA3928"/>
  <c r="AA4672"/>
  <c r="AA4670"/>
  <c r="AA4669"/>
  <c r="AA4668"/>
  <c r="AA4667"/>
  <c r="AA4664"/>
  <c r="AA4663"/>
  <c r="AA4662"/>
  <c r="AA4661"/>
  <c r="AA4660"/>
  <c r="AA4659"/>
  <c r="AA4658"/>
  <c r="AA4657"/>
  <c r="AA4656"/>
  <c r="AA4655"/>
  <c r="AA4654"/>
  <c r="AA4653"/>
  <c r="AA4652"/>
  <c r="AA4651"/>
  <c r="AA4650"/>
  <c r="AA4648"/>
  <c r="AA4647"/>
  <c r="AA4646"/>
  <c r="AA4645"/>
  <c r="AA3921"/>
  <c r="AA4644"/>
  <c r="AA4643"/>
  <c r="AA4642"/>
  <c r="AA4641"/>
  <c r="AA4640"/>
  <c r="AA4639"/>
  <c r="AA4638"/>
  <c r="AA4637"/>
  <c r="AA4636"/>
  <c r="AA4635"/>
  <c r="AA4634"/>
  <c r="AA4633"/>
  <c r="AA4632"/>
  <c r="AA4631"/>
  <c r="AA4630"/>
  <c r="AA4629" l="1"/>
  <c r="AA3914"/>
  <c r="AA4627"/>
  <c r="AA4626"/>
  <c r="AA4625"/>
  <c r="AA4624"/>
  <c r="AA4623"/>
  <c r="AA3270"/>
  <c r="AA3260"/>
  <c r="AA3250"/>
  <c r="AA3462"/>
  <c r="AA3458"/>
  <c r="AA3460"/>
  <c r="AA3249"/>
  <c r="AA3457"/>
  <c r="AA3456"/>
  <c r="AA3455"/>
  <c r="AA3454"/>
  <c r="AA3453"/>
  <c r="AA3452"/>
  <c r="AA3451"/>
  <c r="AA3450"/>
  <c r="AA3449"/>
  <c r="AA3448"/>
  <c r="AA3447"/>
  <c r="AA3446"/>
  <c r="AA3443"/>
  <c r="AA3442"/>
  <c r="A5" i="43"/>
  <c r="AA2374" i="34"/>
  <c r="AA2375"/>
  <c r="AA2373"/>
  <c r="AA2372"/>
  <c r="AA2371"/>
  <c r="AA2379"/>
  <c r="AA2378"/>
  <c r="AA2377"/>
  <c r="AA2452"/>
  <c r="AA2458"/>
  <c r="AA2459"/>
  <c r="AA2460"/>
  <c r="AA2470"/>
  <c r="AA2441"/>
  <c r="AA2362"/>
  <c r="AA2341"/>
  <c r="AA2323"/>
  <c r="A15" i="12"/>
  <c r="A25" i="62"/>
  <c r="AA3798" i="34"/>
  <c r="AA4621"/>
  <c r="AA4618"/>
  <c r="AA4619"/>
  <c r="AA4617"/>
  <c r="AA4616"/>
  <c r="AA4615"/>
  <c r="AA4614"/>
  <c r="AA4613"/>
  <c r="AA4612"/>
  <c r="AA4611"/>
  <c r="AA4610"/>
  <c r="AA4609"/>
  <c r="AA4608"/>
  <c r="AA4607"/>
  <c r="AA4606"/>
  <c r="AA4605"/>
  <c r="AA4604"/>
  <c r="AA4603"/>
  <c r="AA4602"/>
  <c r="AA4601"/>
  <c r="AA4600"/>
  <c r="AA4599"/>
  <c r="AA3907"/>
  <c r="AA3906"/>
  <c r="AA3248"/>
  <c r="B49" i="55"/>
  <c r="A49" s="1"/>
  <c r="AA3904" i="34"/>
  <c r="AA3865"/>
  <c r="AA3851"/>
  <c r="AA3810"/>
  <c r="AA3792"/>
  <c r="AA4620"/>
  <c r="AA3903"/>
  <c r="AA3842"/>
  <c r="AA3841"/>
  <c r="AA2867"/>
  <c r="AA2868"/>
  <c r="AA2885"/>
  <c r="AA2886"/>
  <c r="AA2887"/>
  <c r="AA2888"/>
  <c r="AA2889"/>
  <c r="AA2890"/>
  <c r="AA2891"/>
  <c r="AA2882"/>
  <c r="AA2884"/>
  <c r="A24" i="62"/>
  <c r="AA3786" i="34"/>
  <c r="AA3802"/>
  <c r="AA3796"/>
  <c r="AA2927"/>
  <c r="AA3901"/>
  <c r="AA3900"/>
  <c r="AA3888"/>
  <c r="AA3889"/>
  <c r="AA3890"/>
  <c r="AA3891"/>
  <c r="AA3892"/>
  <c r="AA3893"/>
  <c r="AA3894"/>
  <c r="AA3895"/>
  <c r="AA3896"/>
  <c r="AA3897"/>
  <c r="AA3898"/>
  <c r="AA3899"/>
  <c r="AA3887"/>
  <c r="AA3886"/>
  <c r="AA3883"/>
  <c r="AA3880"/>
  <c r="AA3882"/>
  <c r="AA3881"/>
  <c r="AA3877"/>
  <c r="AA3878"/>
  <c r="AA3879"/>
  <c r="AA3884"/>
  <c r="AA3885"/>
  <c r="AA3870"/>
  <c r="AA3871"/>
  <c r="AA3872"/>
  <c r="AA3873"/>
  <c r="AA3874"/>
  <c r="AA3875"/>
  <c r="AA3876"/>
  <c r="AA3867"/>
  <c r="AA3864"/>
  <c r="AA3856"/>
  <c r="AA3855"/>
  <c r="AA3853"/>
  <c r="AA3850"/>
  <c r="AA4596"/>
  <c r="AA4598"/>
  <c r="AA3433"/>
  <c r="AA4597" l="1"/>
  <c r="AA3902"/>
  <c r="AA4595"/>
  <c r="AA4594"/>
  <c r="AA4593"/>
  <c r="AA4592"/>
  <c r="AA3863"/>
  <c r="AA4591"/>
  <c r="AA4590"/>
  <c r="AA4589"/>
  <c r="AA4588"/>
  <c r="AA4587"/>
  <c r="AA4586"/>
  <c r="AA4585"/>
  <c r="AA4582"/>
  <c r="AA4584"/>
  <c r="AA4583"/>
  <c r="AA4581"/>
  <c r="AA4580"/>
  <c r="AA4578"/>
  <c r="AA4577"/>
  <c r="AA4576"/>
  <c r="AA4575"/>
  <c r="AA3854"/>
  <c r="AA4574"/>
  <c r="AA4573"/>
  <c r="AA4572"/>
  <c r="AA4571"/>
  <c r="AA3441"/>
  <c r="AA3440"/>
  <c r="AA3439"/>
  <c r="AA3437"/>
  <c r="AA3438"/>
  <c r="AA3435"/>
  <c r="AA3436"/>
  <c r="AA2883"/>
  <c r="AA3434"/>
  <c r="AA3429"/>
  <c r="AA3430"/>
  <c r="AA3431"/>
  <c r="AA3432"/>
  <c r="AA3423"/>
  <c r="AA3424"/>
  <c r="AA3425"/>
  <c r="AA3426"/>
  <c r="AA3427"/>
  <c r="AA3428"/>
  <c r="AA3422"/>
  <c r="AA3421"/>
  <c r="AA3420"/>
  <c r="AA3418"/>
  <c r="AA3417"/>
  <c r="AA3416"/>
  <c r="AA3414"/>
  <c r="AA3413"/>
  <c r="AA3411"/>
  <c r="AA3412"/>
  <c r="AA3410"/>
  <c r="A23" i="62"/>
  <c r="AA2276" i="34" l="1"/>
  <c r="AA2277"/>
  <c r="AA2268"/>
  <c r="AA3848" l="1"/>
  <c r="AA3844"/>
  <c r="AA3843"/>
  <c r="AA3840"/>
  <c r="AA3839"/>
  <c r="AA3838"/>
  <c r="AA3835"/>
  <c r="AA3812"/>
  <c r="AA3809"/>
  <c r="AA3801"/>
  <c r="AA3800"/>
  <c r="AA3797"/>
  <c r="AA4567" l="1"/>
  <c r="AA3846"/>
  <c r="AA4570"/>
  <c r="AA3847"/>
  <c r="AA3787"/>
  <c r="AA3791"/>
  <c r="AA3794"/>
  <c r="AA3795"/>
  <c r="AA3803"/>
  <c r="AA3804"/>
  <c r="AA3808"/>
  <c r="AA3815"/>
  <c r="AA3816"/>
  <c r="AA3817"/>
  <c r="AA3818"/>
  <c r="AA4511"/>
  <c r="AA4566"/>
  <c r="AA4565"/>
  <c r="AA4564"/>
  <c r="AA4562"/>
  <c r="AA4561"/>
  <c r="AA4560"/>
  <c r="AA4559"/>
  <c r="AA4558"/>
  <c r="AA4557"/>
  <c r="AA4556"/>
  <c r="AA4554"/>
  <c r="AA4553"/>
  <c r="AA4552"/>
  <c r="AA4551"/>
  <c r="AA4550"/>
  <c r="AA4549"/>
  <c r="AA4547"/>
  <c r="AA4546"/>
  <c r="AA4545"/>
  <c r="AA4544"/>
  <c r="AA4543"/>
  <c r="AA4542"/>
  <c r="AA4541"/>
  <c r="AA4540"/>
  <c r="AA4539"/>
  <c r="AA4538"/>
  <c r="AA4537"/>
  <c r="AA4536"/>
  <c r="AA4534"/>
  <c r="AA4533"/>
  <c r="AA4532"/>
  <c r="AA4531"/>
  <c r="AA3811"/>
  <c r="AA4530"/>
  <c r="AA4529"/>
  <c r="AA4528"/>
  <c r="AA4527"/>
  <c r="AA4526"/>
  <c r="AA4525"/>
  <c r="AA4523"/>
  <c r="AA4522"/>
  <c r="AA4520"/>
  <c r="AA4518"/>
  <c r="AA4519"/>
  <c r="AA4517"/>
  <c r="AA4515"/>
  <c r="AA4514"/>
  <c r="AA4513"/>
  <c r="AA4512"/>
  <c r="AA3790"/>
  <c r="AA4510"/>
  <c r="AA4508"/>
  <c r="AA4509"/>
  <c r="AA4507"/>
  <c r="AA3789"/>
  <c r="AA4506"/>
  <c r="A11" i="62"/>
  <c r="A13"/>
  <c r="A14"/>
  <c r="A15"/>
  <c r="A5"/>
  <c r="A16"/>
  <c r="A17"/>
  <c r="A6"/>
  <c r="A8"/>
  <c r="A7"/>
  <c r="A18"/>
  <c r="A9"/>
  <c r="A19"/>
  <c r="A20"/>
  <c r="A21"/>
  <c r="A22"/>
  <c r="G94" i="55" a="1"/>
  <c r="G94" s="1"/>
  <c r="I94" a="1"/>
  <c r="I94" s="1"/>
  <c r="G97" a="1"/>
  <c r="G97" s="1"/>
  <c r="I97" a="1"/>
  <c r="I97" s="1"/>
  <c r="G84" a="1"/>
  <c r="G84" s="1"/>
  <c r="K97" l="1"/>
  <c r="K94"/>
  <c r="I84" a="1"/>
  <c r="I84" s="1"/>
  <c r="K84" s="1"/>
  <c r="G83" a="1"/>
  <c r="G83" s="1"/>
  <c r="I83" a="1"/>
  <c r="I83" s="1"/>
  <c r="G90" a="1"/>
  <c r="G90" s="1"/>
  <c r="I90" a="1"/>
  <c r="I90" s="1"/>
  <c r="G101" a="1"/>
  <c r="G101" s="1"/>
  <c r="I101" a="1"/>
  <c r="I101" s="1"/>
  <c r="G75" a="1"/>
  <c r="G75" s="1"/>
  <c r="I75" a="1"/>
  <c r="I75" s="1"/>
  <c r="G89" a="1"/>
  <c r="G89" s="1"/>
  <c r="I89" a="1"/>
  <c r="I89" s="1"/>
  <c r="G91" a="1"/>
  <c r="G91" s="1"/>
  <c r="I91" a="1"/>
  <c r="I91" s="1"/>
  <c r="G92" a="1"/>
  <c r="G92" s="1"/>
  <c r="I92" a="1"/>
  <c r="I92" s="1"/>
  <c r="G76" a="1"/>
  <c r="G76" s="1"/>
  <c r="I76" a="1"/>
  <c r="I76" s="1"/>
  <c r="G79" a="1"/>
  <c r="G79" s="1"/>
  <c r="I79" a="1"/>
  <c r="I79" s="1"/>
  <c r="G93" a="1"/>
  <c r="G93" s="1"/>
  <c r="I93" a="1"/>
  <c r="I93" s="1"/>
  <c r="G98" a="1"/>
  <c r="G98" s="1"/>
  <c r="I98" a="1"/>
  <c r="I98" s="1"/>
  <c r="G81" a="1"/>
  <c r="G81" s="1"/>
  <c r="I81" a="1"/>
  <c r="I81" s="1"/>
  <c r="G82" a="1"/>
  <c r="G82" s="1"/>
  <c r="I82" a="1"/>
  <c r="I82" s="1"/>
  <c r="G99" a="1"/>
  <c r="G99" s="1"/>
  <c r="I99" a="1"/>
  <c r="I99" s="1"/>
  <c r="G102" a="1"/>
  <c r="G102" s="1"/>
  <c r="I102" a="1"/>
  <c r="I102" s="1"/>
  <c r="G86" a="1"/>
  <c r="G86" s="1"/>
  <c r="I86" a="1"/>
  <c r="I86" s="1"/>
  <c r="AA3246" i="34"/>
  <c r="AA3408"/>
  <c r="AA3407"/>
  <c r="AA3406"/>
  <c r="AA3405"/>
  <c r="AA3404"/>
  <c r="AA3403"/>
  <c r="AA3402"/>
  <c r="AA3401"/>
  <c r="AA3400"/>
  <c r="AA3399"/>
  <c r="AA3398"/>
  <c r="AA3396"/>
  <c r="AA3397"/>
  <c r="AA3395"/>
  <c r="AA2881"/>
  <c r="AA3394"/>
  <c r="AA3393"/>
  <c r="AA3247"/>
  <c r="AA3390"/>
  <c r="AA3391"/>
  <c r="AA3389"/>
  <c r="AA3388"/>
  <c r="AA3387"/>
  <c r="AA3386"/>
  <c r="I111" i="55" l="1"/>
  <c r="G111"/>
  <c r="K86"/>
  <c r="K102"/>
  <c r="K99"/>
  <c r="K82"/>
  <c r="K81"/>
  <c r="K98"/>
  <c r="K93"/>
  <c r="K79"/>
  <c r="K76"/>
  <c r="K92"/>
  <c r="K91"/>
  <c r="K89"/>
  <c r="K75"/>
  <c r="K101"/>
  <c r="K90"/>
  <c r="K83"/>
  <c r="K111" l="1"/>
  <c r="AA2360" i="34"/>
  <c r="AA2359"/>
  <c r="AA3409"/>
  <c r="AA2358"/>
  <c r="AA2357"/>
  <c r="AA2356"/>
  <c r="AA2355"/>
  <c r="AA2349"/>
  <c r="AA2348"/>
  <c r="AA2346"/>
  <c r="AA2345"/>
  <c r="AA2344"/>
  <c r="AA4548"/>
  <c r="AA2335"/>
  <c r="AA2334"/>
  <c r="AA2332"/>
  <c r="AA2331"/>
  <c r="AA2330"/>
  <c r="AA2329"/>
  <c r="AA2328"/>
  <c r="AA2327"/>
  <c r="AA2325"/>
  <c r="AA2324"/>
  <c r="AA2296"/>
  <c r="AA2295"/>
  <c r="AA2282"/>
  <c r="AA2281"/>
  <c r="AA2321"/>
  <c r="AA2320"/>
  <c r="AA2315"/>
  <c r="AA2314"/>
  <c r="AA2275"/>
  <c r="AA2274"/>
  <c r="AA2273"/>
  <c r="AA2272"/>
  <c r="AA2270"/>
  <c r="AA2269"/>
  <c r="AA2266"/>
  <c r="AA2267"/>
  <c r="AA2333"/>
  <c r="AA2336"/>
  <c r="AA2339"/>
  <c r="AA2340"/>
  <c r="AA2342"/>
  <c r="AA2343"/>
  <c r="AA2347"/>
  <c r="AA2350"/>
  <c r="AA2351"/>
  <c r="AA2353"/>
  <c r="AA2354"/>
  <c r="AA2361"/>
  <c r="AA2366"/>
  <c r="AA2376"/>
  <c r="AA2380"/>
  <c r="AA2389"/>
  <c r="AA2326"/>
  <c r="AA2322"/>
  <c r="A32" i="12"/>
  <c r="AA2880" i="34"/>
  <c r="AA2879"/>
  <c r="AA2292" l="1"/>
  <c r="AA2297"/>
  <c r="AA2317"/>
  <c r="AA2280"/>
  <c r="AA2298"/>
  <c r="AA2316"/>
  <c r="AA2265"/>
  <c r="AA2271"/>
  <c r="AA2184"/>
  <c r="M78" l="1"/>
  <c r="M111" l="1"/>
  <c r="AA3236"/>
  <c r="AA3239"/>
  <c r="AA3242"/>
  <c r="AA3245"/>
  <c r="AA3244"/>
  <c r="AA3241"/>
  <c r="AA3238"/>
  <c r="AA3235"/>
  <c r="AA3237"/>
  <c r="AA3240"/>
  <c r="AA3243"/>
  <c r="AA3234"/>
  <c r="AA3385"/>
  <c r="AA3384"/>
  <c r="AA3752"/>
  <c r="AA3784"/>
  <c r="AA3785"/>
  <c r="AA3783" l="1"/>
  <c r="AA3782"/>
  <c r="AA3781"/>
  <c r="AA3780"/>
  <c r="AA3779"/>
  <c r="AA3768"/>
  <c r="AA3769"/>
  <c r="AA3770"/>
  <c r="AA3771"/>
  <c r="AA3772"/>
  <c r="AA3773"/>
  <c r="AA3774"/>
  <c r="AA3775"/>
  <c r="AA3776"/>
  <c r="AA3777"/>
  <c r="AA3778"/>
  <c r="AA3767"/>
  <c r="AA3766"/>
  <c r="AA3765"/>
  <c r="AA3764"/>
  <c r="AA3233"/>
  <c r="AA3232"/>
  <c r="AA3762"/>
  <c r="AA3756"/>
  <c r="AA3755"/>
  <c r="AA3754"/>
  <c r="AA3753"/>
  <c r="AA3230"/>
  <c r="AA3231"/>
  <c r="AA3748"/>
  <c r="AA3744"/>
  <c r="AA4421"/>
  <c r="AA4420"/>
  <c r="AA4505"/>
  <c r="AA4504"/>
  <c r="AA4503"/>
  <c r="AA4502"/>
  <c r="AA4501"/>
  <c r="AA4500"/>
  <c r="AA4499"/>
  <c r="AA4498"/>
  <c r="AA4497"/>
  <c r="AA4496"/>
  <c r="AA4495"/>
  <c r="AA4494"/>
  <c r="AA4493"/>
  <c r="AA4492"/>
  <c r="AA4491"/>
  <c r="AA4490"/>
  <c r="AA4489"/>
  <c r="AA4488"/>
  <c r="AA4487"/>
  <c r="AA4486"/>
  <c r="AA4485"/>
  <c r="AA4484" l="1"/>
  <c r="AA4483"/>
  <c r="AA4482"/>
  <c r="AA4478"/>
  <c r="AA4477"/>
  <c r="AA4476"/>
  <c r="AA4475"/>
  <c r="AA4474"/>
  <c r="AA4473"/>
  <c r="AA4472"/>
  <c r="AA3761"/>
  <c r="AA3760"/>
  <c r="AA4467"/>
  <c r="AA4466"/>
  <c r="AA4464"/>
  <c r="AA4463"/>
  <c r="AA4462"/>
  <c r="AA4461"/>
  <c r="AA4460"/>
  <c r="AA4459"/>
  <c r="AA4458"/>
  <c r="AA4457"/>
  <c r="AA4456"/>
  <c r="AA4453"/>
  <c r="AA4449"/>
  <c r="AA4450"/>
  <c r="AA4451"/>
  <c r="AA4452"/>
  <c r="AA4445"/>
  <c r="AA4441"/>
  <c r="AA3749"/>
  <c r="AA4438"/>
  <c r="AA4437"/>
  <c r="AA4436"/>
  <c r="AA4434"/>
  <c r="AA4435"/>
  <c r="AA4433"/>
  <c r="AA4432"/>
  <c r="AA4431"/>
  <c r="AA4430"/>
  <c r="AA4429"/>
  <c r="AA4428"/>
  <c r="AA4427"/>
  <c r="AA4426"/>
  <c r="AA4425"/>
  <c r="AA4424"/>
  <c r="AA4423"/>
  <c r="AA4422"/>
  <c r="AA4419"/>
  <c r="AA4413"/>
  <c r="AA3742"/>
  <c r="AA4409"/>
  <c r="AA4410"/>
  <c r="AA4411"/>
  <c r="AA4412"/>
  <c r="AA4416"/>
  <c r="AA4417"/>
  <c r="AA4418"/>
  <c r="AA4439"/>
  <c r="AA4442"/>
  <c r="AA4443"/>
  <c r="AA4444"/>
  <c r="AA4454"/>
  <c r="AA4455"/>
  <c r="AA4468"/>
  <c r="AA3743"/>
  <c r="AA3746"/>
  <c r="AA3747"/>
  <c r="AA3750"/>
  <c r="AA3751"/>
  <c r="AA4408"/>
  <c r="B48" i="55"/>
  <c r="A48" s="1"/>
  <c r="B44"/>
  <c r="A44" s="1"/>
  <c r="G22" a="1"/>
  <c r="G22" s="1"/>
  <c r="I22" a="1"/>
  <c r="I22" s="1"/>
  <c r="B47"/>
  <c r="A47" s="1"/>
  <c r="G43" a="1"/>
  <c r="G43" s="1"/>
  <c r="I43" a="1"/>
  <c r="I43" s="1"/>
  <c r="Q33" i="64"/>
  <c r="Q32"/>
  <c r="K22" i="55" l="1"/>
  <c r="K43"/>
  <c r="AA2183" i="34" l="1"/>
  <c r="Q65" i="64"/>
  <c r="Q24"/>
  <c r="Q22"/>
  <c r="T16"/>
  <c r="T17" s="1"/>
  <c r="S18"/>
  <c r="S19" s="1"/>
  <c r="Q18"/>
  <c r="Q23"/>
  <c r="Q15"/>
  <c r="Q16"/>
  <c r="Q17"/>
  <c r="Q19"/>
  <c r="Q20"/>
  <c r="Q21"/>
  <c r="Q25"/>
  <c r="Q26"/>
  <c r="Q27"/>
  <c r="Q28"/>
  <c r="Q29"/>
  <c r="Q30"/>
  <c r="Q31"/>
  <c r="Q14"/>
  <c r="Q44" l="1"/>
  <c r="Q45" s="1"/>
  <c r="T18"/>
  <c r="D95" i="12"/>
  <c r="I59" i="55" l="1" a="1"/>
  <c r="I59" s="1"/>
  <c r="G59" a="1"/>
  <c r="G59" s="1"/>
  <c r="I64" a="1"/>
  <c r="I64" s="1"/>
  <c r="G64" a="1"/>
  <c r="G64" s="1"/>
  <c r="I68" a="1"/>
  <c r="I68" s="1"/>
  <c r="G68" a="1"/>
  <c r="G68" s="1"/>
  <c r="K59" l="1"/>
  <c r="K64"/>
  <c r="K68"/>
  <c r="E248" i="34" l="1"/>
  <c r="AA248" s="1"/>
  <c r="E249"/>
  <c r="AA249" s="1"/>
  <c r="G17" i="55" l="1" a="1"/>
  <c r="G17" s="1"/>
  <c r="I17" a="1"/>
  <c r="I17" s="1"/>
  <c r="Y250" i="60" l="1"/>
  <c r="Y251"/>
  <c r="Y252"/>
  <c r="Y238"/>
  <c r="Y239"/>
  <c r="Y240"/>
  <c r="Y241"/>
  <c r="Y242"/>
  <c r="Y229"/>
  <c r="Y230"/>
  <c r="Y231"/>
  <c r="Y232"/>
  <c r="Y233"/>
  <c r="Y234"/>
  <c r="A230"/>
  <c r="A231"/>
  <c r="A232"/>
  <c r="A233"/>
  <c r="A229"/>
  <c r="D252" l="1"/>
  <c r="D253"/>
  <c r="D254"/>
  <c r="D255"/>
  <c r="C228"/>
  <c r="C229"/>
  <c r="C230"/>
  <c r="P17" i="64" l="1"/>
  <c r="L17"/>
  <c r="I34" i="45" l="1" a="1"/>
  <c r="I34" s="1"/>
  <c r="K33" a="1"/>
  <c r="K33" s="1"/>
  <c r="K34" a="1"/>
  <c r="K34" s="1"/>
  <c r="O34" s="1"/>
  <c r="I33" a="1"/>
  <c r="I33" s="1"/>
  <c r="M33" s="1"/>
  <c r="I14" a="1"/>
  <c r="I14" s="1"/>
  <c r="K14" a="1"/>
  <c r="K14" s="1"/>
  <c r="I16" a="1"/>
  <c r="I16" s="1"/>
  <c r="K16" a="1"/>
  <c r="K16" s="1"/>
  <c r="I15" a="1"/>
  <c r="I15" s="1"/>
  <c r="K15" a="1"/>
  <c r="K15" s="1"/>
  <c r="I17" a="1"/>
  <c r="I17" s="1"/>
  <c r="K17" a="1"/>
  <c r="K17" s="1"/>
  <c r="K31" a="1"/>
  <c r="K31" s="1"/>
  <c r="I32" a="1"/>
  <c r="I32" s="1"/>
  <c r="I31" a="1"/>
  <c r="I31" s="1"/>
  <c r="M31" s="1"/>
  <c r="K32" a="1"/>
  <c r="K32" s="1"/>
  <c r="I30" a="1"/>
  <c r="I30" s="1"/>
  <c r="K30" a="1"/>
  <c r="K30" s="1"/>
  <c r="I10" a="1"/>
  <c r="I10" s="1"/>
  <c r="K11" a="1"/>
  <c r="K11" s="1"/>
  <c r="I12" a="1"/>
  <c r="I12" s="1"/>
  <c r="K13" a="1"/>
  <c r="K13" s="1"/>
  <c r="K18" a="1"/>
  <c r="K18" s="1"/>
  <c r="I18" a="1"/>
  <c r="I18" s="1"/>
  <c r="K10" a="1"/>
  <c r="K10" s="1"/>
  <c r="I11" a="1"/>
  <c r="I11" s="1"/>
  <c r="K12" a="1"/>
  <c r="K12" s="1"/>
  <c r="I13" a="1"/>
  <c r="I13" s="1"/>
  <c r="I28" a="1"/>
  <c r="I28" s="1"/>
  <c r="I29" a="1"/>
  <c r="I29" s="1"/>
  <c r="K28" a="1"/>
  <c r="K28" s="1"/>
  <c r="K29" a="1"/>
  <c r="K29" s="1"/>
  <c r="I27" a="1"/>
  <c r="I27" s="1"/>
  <c r="K27" a="1"/>
  <c r="K27" s="1"/>
  <c r="I24" a="1"/>
  <c r="I24" s="1"/>
  <c r="I26" a="1"/>
  <c r="I26" s="1"/>
  <c r="K24" a="1"/>
  <c r="K24" s="1"/>
  <c r="O24" s="1"/>
  <c r="I25" a="1"/>
  <c r="I25" s="1"/>
  <c r="K25" a="1"/>
  <c r="K25" s="1"/>
  <c r="K26" a="1"/>
  <c r="K26" s="1"/>
  <c r="O26" s="1"/>
  <c r="I5" a="1"/>
  <c r="I5" s="1"/>
  <c r="I6" a="1"/>
  <c r="I6" s="1"/>
  <c r="K6" a="1"/>
  <c r="K6" s="1"/>
  <c r="I9" a="1"/>
  <c r="I9" s="1"/>
  <c r="I7" a="1"/>
  <c r="I7" s="1"/>
  <c r="I8" a="1"/>
  <c r="I8" s="1"/>
  <c r="K5" a="1"/>
  <c r="K5" s="1"/>
  <c r="K9" a="1"/>
  <c r="K9" s="1"/>
  <c r="K7" a="1"/>
  <c r="K7" s="1"/>
  <c r="K8" a="1"/>
  <c r="K8" s="1"/>
  <c r="G29" i="62" a="1"/>
  <c r="G29" s="1"/>
  <c r="G31" a="1"/>
  <c r="G31" s="1"/>
  <c r="I28" a="1"/>
  <c r="I28" s="1"/>
  <c r="I31" a="1"/>
  <c r="I31" s="1"/>
  <c r="I29" a="1"/>
  <c r="I29" s="1"/>
  <c r="G28" a="1"/>
  <c r="G28" s="1"/>
  <c r="I23" i="45" a="1"/>
  <c r="I23" s="1"/>
  <c r="K23" a="1"/>
  <c r="K23" s="1"/>
  <c r="I21" a="1"/>
  <c r="I21" s="1"/>
  <c r="K21" a="1"/>
  <c r="K21" s="1"/>
  <c r="I22" a="1"/>
  <c r="I22" s="1"/>
  <c r="K22" a="1"/>
  <c r="K22" s="1"/>
  <c r="I19" a="1"/>
  <c r="I19" s="1"/>
  <c r="K19" a="1"/>
  <c r="K19" s="1"/>
  <c r="I20" a="1"/>
  <c r="I20" s="1"/>
  <c r="K20" a="1"/>
  <c r="K20" s="1"/>
  <c r="I27" i="62" a="1"/>
  <c r="I27" s="1"/>
  <c r="G27" a="1"/>
  <c r="G27" s="1"/>
  <c r="I26" a="1"/>
  <c r="I26" s="1"/>
  <c r="G26" a="1"/>
  <c r="G26" s="1"/>
  <c r="G25" a="1"/>
  <c r="G25" s="1"/>
  <c r="I25" a="1"/>
  <c r="I25" s="1"/>
  <c r="I24" a="1"/>
  <c r="I24" s="1"/>
  <c r="G24" a="1"/>
  <c r="G24" s="1"/>
  <c r="I23" a="1"/>
  <c r="I23" s="1"/>
  <c r="G23" a="1"/>
  <c r="G23" s="1"/>
  <c r="G22" a="1"/>
  <c r="G22" s="1"/>
  <c r="I22" a="1"/>
  <c r="I22" s="1"/>
  <c r="G21" a="1"/>
  <c r="G21" s="1"/>
  <c r="I21" a="1"/>
  <c r="I21" s="1"/>
  <c r="G20" a="1"/>
  <c r="G20" s="1"/>
  <c r="I20" a="1"/>
  <c r="I20" s="1"/>
  <c r="G19" a="1"/>
  <c r="G19" s="1"/>
  <c r="I19" a="1"/>
  <c r="I19" s="1"/>
  <c r="G9" a="1"/>
  <c r="G9" s="1"/>
  <c r="I9" a="1"/>
  <c r="I9" s="1"/>
  <c r="G18" a="1"/>
  <c r="G18" s="1"/>
  <c r="I18" a="1"/>
  <c r="I18" s="1"/>
  <c r="F52" i="55"/>
  <c r="B46"/>
  <c r="A46" s="1"/>
  <c r="G42" a="1"/>
  <c r="G42" s="1"/>
  <c r="I42" a="1"/>
  <c r="I42" s="1"/>
  <c r="K43" i="45" l="1"/>
  <c r="I43"/>
  <c r="M34"/>
  <c r="O33"/>
  <c r="O30"/>
  <c r="O32"/>
  <c r="M15"/>
  <c r="M17"/>
  <c r="M14"/>
  <c r="O17"/>
  <c r="O15"/>
  <c r="O14"/>
  <c r="O16"/>
  <c r="M16"/>
  <c r="O31"/>
  <c r="M32"/>
  <c r="M30"/>
  <c r="M29" i="62"/>
  <c r="O12" i="45"/>
  <c r="O10"/>
  <c r="M13"/>
  <c r="M11"/>
  <c r="M18"/>
  <c r="M12"/>
  <c r="M10"/>
  <c r="O18"/>
  <c r="O13"/>
  <c r="O11"/>
  <c r="O28"/>
  <c r="O29"/>
  <c r="M29"/>
  <c r="M28"/>
  <c r="O9"/>
  <c r="O27"/>
  <c r="M27"/>
  <c r="O25"/>
  <c r="M26"/>
  <c r="M25"/>
  <c r="M24"/>
  <c r="O5"/>
  <c r="O8"/>
  <c r="O7"/>
  <c r="O6"/>
  <c r="K28" i="62"/>
  <c r="M8" i="45"/>
  <c r="M6"/>
  <c r="M7"/>
  <c r="M9"/>
  <c r="M5"/>
  <c r="M31" i="62"/>
  <c r="M28"/>
  <c r="K31"/>
  <c r="K29"/>
  <c r="M23" i="45"/>
  <c r="O23"/>
  <c r="M22"/>
  <c r="M21"/>
  <c r="O22"/>
  <c r="O21"/>
  <c r="M19"/>
  <c r="M20"/>
  <c r="O20"/>
  <c r="O19"/>
  <c r="K27" i="62"/>
  <c r="M27"/>
  <c r="K26"/>
  <c r="M26"/>
  <c r="K25"/>
  <c r="M25"/>
  <c r="M24"/>
  <c r="K24"/>
  <c r="M23"/>
  <c r="K23"/>
  <c r="K22"/>
  <c r="M22"/>
  <c r="K21"/>
  <c r="M21"/>
  <c r="M20"/>
  <c r="K20"/>
  <c r="K19"/>
  <c r="M19"/>
  <c r="M9"/>
  <c r="K9"/>
  <c r="K18"/>
  <c r="M18"/>
  <c r="K42" i="55"/>
  <c r="M43" i="45" l="1"/>
  <c r="O43"/>
  <c r="M257" i="60"/>
  <c r="Y255" l="1"/>
  <c r="Y256"/>
  <c r="O257"/>
  <c r="E257" l="1"/>
  <c r="G253"/>
  <c r="G252"/>
  <c r="Y268"/>
  <c r="G254" l="1"/>
  <c r="G255"/>
  <c r="D250"/>
  <c r="G250" s="1"/>
  <c r="N250" s="1"/>
  <c r="D251"/>
  <c r="A51" i="55"/>
  <c r="B13"/>
  <c r="A13" s="1"/>
  <c r="B14"/>
  <c r="A14" s="1"/>
  <c r="B15"/>
  <c r="A15" s="1"/>
  <c r="B16"/>
  <c r="A16" s="1"/>
  <c r="B17"/>
  <c r="A17" s="1"/>
  <c r="B18"/>
  <c r="A18" s="1"/>
  <c r="B19"/>
  <c r="A19" s="1"/>
  <c r="B20"/>
  <c r="A20" s="1"/>
  <c r="B21"/>
  <c r="A21" s="1"/>
  <c r="B22"/>
  <c r="A22" s="1"/>
  <c r="B23"/>
  <c r="A23" s="1"/>
  <c r="B24"/>
  <c r="A24" s="1"/>
  <c r="B25"/>
  <c r="A25" s="1"/>
  <c r="O235" i="60"/>
  <c r="M235"/>
  <c r="E210"/>
  <c r="E235"/>
  <c r="M247" i="34"/>
  <c r="M249" s="1"/>
  <c r="E247"/>
  <c r="AA247" s="1"/>
  <c r="M246"/>
  <c r="M248" s="1"/>
  <c r="E246"/>
  <c r="AA246" s="1"/>
  <c r="M245"/>
  <c r="E245"/>
  <c r="AA245" s="1"/>
  <c r="M244"/>
  <c r="E244"/>
  <c r="AA244" s="1"/>
  <c r="M243"/>
  <c r="E243"/>
  <c r="AA243" s="1"/>
  <c r="M242"/>
  <c r="E242"/>
  <c r="AA242" s="1"/>
  <c r="M241"/>
  <c r="E241"/>
  <c r="AA241" s="1"/>
  <c r="M240"/>
  <c r="E240"/>
  <c r="AA240" s="1"/>
  <c r="M239"/>
  <c r="E239"/>
  <c r="AA239" s="1"/>
  <c r="M238"/>
  <c r="E238"/>
  <c r="AA238" s="1"/>
  <c r="E237"/>
  <c r="AA237" s="1"/>
  <c r="E236"/>
  <c r="AA236" s="1"/>
  <c r="E59"/>
  <c r="AA59" s="1"/>
  <c r="E58"/>
  <c r="AA58" s="1"/>
  <c r="E57"/>
  <c r="AA57" s="1"/>
  <c r="G257" i="60" l="1"/>
  <c r="D257"/>
  <c r="K252" l="1"/>
  <c r="J252"/>
  <c r="H251"/>
  <c r="H252"/>
  <c r="Y267"/>
  <c r="Y266"/>
  <c r="Y265"/>
  <c r="Y264"/>
  <c r="Y263"/>
  <c r="Y262"/>
  <c r="Y261"/>
  <c r="Y260"/>
  <c r="Y259"/>
  <c r="Y254"/>
  <c r="Y253"/>
  <c r="A234"/>
  <c r="A31" i="12"/>
  <c r="D183" i="60" l="1"/>
  <c r="D184"/>
  <c r="D185"/>
  <c r="D188"/>
  <c r="D190"/>
  <c r="A208"/>
  <c r="A18" i="12"/>
  <c r="D192" i="60" l="1"/>
  <c r="C95" i="12"/>
  <c r="M227" i="34" l="1"/>
  <c r="M226"/>
  <c r="M211"/>
  <c r="M210"/>
  <c r="M195"/>
  <c r="M194"/>
  <c r="M179"/>
  <c r="M178"/>
  <c r="M163"/>
  <c r="M162"/>
  <c r="M147"/>
  <c r="M146"/>
  <c r="M130"/>
  <c r="M115"/>
  <c r="M114"/>
  <c r="M98"/>
  <c r="M82"/>
  <c r="M79"/>
  <c r="M80"/>
  <c r="M81"/>
  <c r="M71"/>
  <c r="M73" s="1"/>
  <c r="M70"/>
  <c r="M69"/>
  <c r="M68"/>
  <c r="M67"/>
  <c r="M66"/>
  <c r="M64"/>
  <c r="M208"/>
  <c r="M207"/>
  <c r="M206"/>
  <c r="A13" i="12"/>
  <c r="A14"/>
  <c r="E56" i="34" l="1"/>
  <c r="AA56" s="1"/>
  <c r="E55"/>
  <c r="AA55" s="1"/>
  <c r="E54"/>
  <c r="AA54" s="1"/>
  <c r="J13" i="14"/>
  <c r="I13"/>
  <c r="Y219" i="60"/>
  <c r="Y218"/>
  <c r="Y217"/>
  <c r="Y216"/>
  <c r="Y215"/>
  <c r="Y214"/>
  <c r="Z213"/>
  <c r="Y205"/>
  <c r="Y237"/>
  <c r="Y244" s="1"/>
  <c r="Z236"/>
  <c r="Y228"/>
  <c r="Y236" s="1"/>
  <c r="I235" s="1"/>
  <c r="A228"/>
  <c r="E233" i="34"/>
  <c r="AA233" s="1"/>
  <c r="E232"/>
  <c r="AA232" s="1"/>
  <c r="M231"/>
  <c r="M233" s="1"/>
  <c r="E231"/>
  <c r="AA231" s="1"/>
  <c r="M230"/>
  <c r="M232" s="1"/>
  <c r="E230"/>
  <c r="AA230" s="1"/>
  <c r="M229"/>
  <c r="E229"/>
  <c r="AA229" s="1"/>
  <c r="M228"/>
  <c r="E228"/>
  <c r="AA228" s="1"/>
  <c r="E227"/>
  <c r="AA227" s="1"/>
  <c r="E226"/>
  <c r="AA226" s="1"/>
  <c r="M225"/>
  <c r="E225"/>
  <c r="AA225" s="1"/>
  <c r="M224"/>
  <c r="E224"/>
  <c r="AA224" s="1"/>
  <c r="M223"/>
  <c r="E223"/>
  <c r="AA223" s="1"/>
  <c r="M222"/>
  <c r="E222"/>
  <c r="AA222" s="1"/>
  <c r="E221"/>
  <c r="AA221" s="1"/>
  <c r="E220"/>
  <c r="AA220" s="1"/>
  <c r="Y220" i="60" l="1"/>
  <c r="Y213"/>
  <c r="I210" s="1"/>
  <c r="L235" l="1"/>
  <c r="L210"/>
  <c r="A34" i="12"/>
  <c r="D229" i="60" l="1"/>
  <c r="C231"/>
  <c r="C232"/>
  <c r="D232" s="1"/>
  <c r="G232" s="1"/>
  <c r="C233"/>
  <c r="D233" s="1"/>
  <c r="G233" s="1"/>
  <c r="G229" l="1"/>
  <c r="D231" l="1"/>
  <c r="G231" l="1"/>
  <c r="A36" i="12" l="1"/>
  <c r="D228" i="60"/>
  <c r="M174" i="34"/>
  <c r="G228" i="60" l="1"/>
  <c r="N228" s="1"/>
  <c r="P228" s="1"/>
  <c r="T228" s="1"/>
  <c r="I79" i="12"/>
  <c r="A79"/>
  <c r="I78"/>
  <c r="A78"/>
  <c r="I77"/>
  <c r="A77"/>
  <c r="I76"/>
  <c r="A76"/>
  <c r="I74"/>
  <c r="A74"/>
  <c r="I75"/>
  <c r="A75"/>
  <c r="I72"/>
  <c r="A72"/>
  <c r="E53" i="34"/>
  <c r="AA53" s="1"/>
  <c r="E52"/>
  <c r="AA52" s="1"/>
  <c r="E51"/>
  <c r="AA51" s="1"/>
  <c r="E50"/>
  <c r="AA50" s="1"/>
  <c r="E49"/>
  <c r="AA49" s="1"/>
  <c r="E48"/>
  <c r="AA48" s="1"/>
  <c r="E217"/>
  <c r="AA217" s="1"/>
  <c r="E216"/>
  <c r="AA216" s="1"/>
  <c r="E215"/>
  <c r="AA215" s="1"/>
  <c r="M214"/>
  <c r="M216" s="1"/>
  <c r="E214"/>
  <c r="AA214" s="1"/>
  <c r="E213"/>
  <c r="AA213" s="1"/>
  <c r="M212"/>
  <c r="E212"/>
  <c r="AA212" s="1"/>
  <c r="E211"/>
  <c r="AA211" s="1"/>
  <c r="E210"/>
  <c r="AA210" s="1"/>
  <c r="E209"/>
  <c r="AA209" s="1"/>
  <c r="E208"/>
  <c r="AA208" s="1"/>
  <c r="E207"/>
  <c r="AA207" s="1"/>
  <c r="E206"/>
  <c r="AA206" s="1"/>
  <c r="E205"/>
  <c r="AA205" s="1"/>
  <c r="E204"/>
  <c r="AA204" s="1"/>
  <c r="E201"/>
  <c r="AA201" s="1"/>
  <c r="E200"/>
  <c r="AA200" s="1"/>
  <c r="E199"/>
  <c r="AA199" s="1"/>
  <c r="M198"/>
  <c r="M200" s="1"/>
  <c r="E198"/>
  <c r="AA198" s="1"/>
  <c r="E197"/>
  <c r="AA197" s="1"/>
  <c r="M196"/>
  <c r="E196"/>
  <c r="AA196" s="1"/>
  <c r="E195"/>
  <c r="AA195" s="1"/>
  <c r="E194"/>
  <c r="AA194" s="1"/>
  <c r="E193"/>
  <c r="AA193" s="1"/>
  <c r="M192"/>
  <c r="E192"/>
  <c r="AA192" s="1"/>
  <c r="E191"/>
  <c r="AA191" s="1"/>
  <c r="M190"/>
  <c r="E190"/>
  <c r="AA190" s="1"/>
  <c r="E189"/>
  <c r="AA189" s="1"/>
  <c r="E188"/>
  <c r="AA188" s="1"/>
  <c r="M209" l="1"/>
  <c r="M213"/>
  <c r="M215"/>
  <c r="M217" s="1"/>
  <c r="M191"/>
  <c r="M193"/>
  <c r="M197"/>
  <c r="M199"/>
  <c r="M201" s="1"/>
  <c r="Y194" i="60" l="1"/>
  <c r="A35" i="12"/>
  <c r="I42" l="1"/>
  <c r="I43"/>
  <c r="I44"/>
  <c r="I46"/>
  <c r="I47"/>
  <c r="I48"/>
  <c r="I49"/>
  <c r="I50"/>
  <c r="I51"/>
  <c r="I52"/>
  <c r="I54"/>
  <c r="I55"/>
  <c r="I56"/>
  <c r="I57"/>
  <c r="I58"/>
  <c r="I59"/>
  <c r="I60"/>
  <c r="I61"/>
  <c r="I62"/>
  <c r="I63"/>
  <c r="I65"/>
  <c r="I66"/>
  <c r="I67"/>
  <c r="I68"/>
  <c r="I69"/>
  <c r="I70"/>
  <c r="I71"/>
  <c r="I73"/>
  <c r="C208" i="60" l="1"/>
  <c r="D208" s="1"/>
  <c r="D207"/>
  <c r="G207" s="1"/>
  <c r="D206"/>
  <c r="A182"/>
  <c r="G185"/>
  <c r="Y185"/>
  <c r="G184"/>
  <c r="Y184"/>
  <c r="G183"/>
  <c r="G208" l="1"/>
  <c r="A183"/>
  <c r="A184" s="1"/>
  <c r="G206"/>
  <c r="A191" l="1"/>
  <c r="A185"/>
  <c r="A186" s="1"/>
  <c r="A187" s="1"/>
  <c r="A188" s="1"/>
  <c r="A189" s="1"/>
  <c r="A190" s="1"/>
  <c r="B37" i="55"/>
  <c r="A37" s="1"/>
  <c r="B32"/>
  <c r="A32" s="1"/>
  <c r="B31"/>
  <c r="A31" s="1"/>
  <c r="M126" i="34" l="1"/>
  <c r="M110"/>
  <c r="M175" l="1"/>
  <c r="M127"/>
  <c r="M168" i="60" l="1"/>
  <c r="D166"/>
  <c r="A47" i="12"/>
  <c r="A45"/>
  <c r="A59"/>
  <c r="A55"/>
  <c r="A60"/>
  <c r="A63"/>
  <c r="A62"/>
  <c r="A64"/>
  <c r="A44"/>
  <c r="A67"/>
  <c r="A53"/>
  <c r="A48"/>
  <c r="A56"/>
  <c r="A66"/>
  <c r="A73"/>
  <c r="G166" i="60" l="1"/>
  <c r="E137" l="1"/>
  <c r="M148"/>
  <c r="D165"/>
  <c r="G165" s="1"/>
  <c r="D164"/>
  <c r="G164" s="1"/>
  <c r="D163"/>
  <c r="G163" l="1"/>
  <c r="D168"/>
  <c r="H127"/>
  <c r="H123"/>
  <c r="H129"/>
  <c r="H131"/>
  <c r="H130"/>
  <c r="H128"/>
  <c r="H111"/>
  <c r="H110"/>
  <c r="H112"/>
  <c r="H115"/>
  <c r="H119"/>
  <c r="H132"/>
  <c r="H116"/>
  <c r="H120"/>
  <c r="H124"/>
  <c r="H133"/>
  <c r="H113"/>
  <c r="H117"/>
  <c r="H121"/>
  <c r="H125"/>
  <c r="H134"/>
  <c r="H114"/>
  <c r="H118"/>
  <c r="H122"/>
  <c r="H126"/>
  <c r="H135"/>
  <c r="J166" l="1"/>
  <c r="J165"/>
  <c r="K166"/>
  <c r="J164"/>
  <c r="K165"/>
  <c r="J163"/>
  <c r="K164"/>
  <c r="K163"/>
  <c r="Y173"/>
  <c r="L164" s="1"/>
  <c r="Y167" l="1"/>
  <c r="AB10" i="34"/>
  <c r="Y161" i="60"/>
  <c r="Y162"/>
  <c r="Y163"/>
  <c r="Y164"/>
  <c r="Y165"/>
  <c r="Y166"/>
  <c r="E185" i="34"/>
  <c r="AA185" s="1"/>
  <c r="E184"/>
  <c r="AA184" s="1"/>
  <c r="M183"/>
  <c r="M185" s="1"/>
  <c r="E183"/>
  <c r="AA183" s="1"/>
  <c r="E182"/>
  <c r="AA182" s="1"/>
  <c r="M181"/>
  <c r="E181"/>
  <c r="AA181" s="1"/>
  <c r="M180"/>
  <c r="E180"/>
  <c r="AA180" s="1"/>
  <c r="E179"/>
  <c r="AA179" s="1"/>
  <c r="E178"/>
  <c r="AA178" s="1"/>
  <c r="M177"/>
  <c r="E177"/>
  <c r="AA177" s="1"/>
  <c r="M176"/>
  <c r="E176"/>
  <c r="AA176" s="1"/>
  <c r="E175"/>
  <c r="AA175" s="1"/>
  <c r="E174"/>
  <c r="AA174" s="1"/>
  <c r="E173"/>
  <c r="AA173" s="1"/>
  <c r="E172"/>
  <c r="AA172" s="1"/>
  <c r="E169"/>
  <c r="AA169" s="1"/>
  <c r="E168"/>
  <c r="AA168" s="1"/>
  <c r="M167"/>
  <c r="M169" s="1"/>
  <c r="E167"/>
  <c r="AA167" s="1"/>
  <c r="M166"/>
  <c r="M168" s="1"/>
  <c r="E166"/>
  <c r="AA166" s="1"/>
  <c r="M165"/>
  <c r="E165"/>
  <c r="AA165" s="1"/>
  <c r="M164"/>
  <c r="E164"/>
  <c r="AA164" s="1"/>
  <c r="E163"/>
  <c r="AA163" s="1"/>
  <c r="E162"/>
  <c r="AA162" s="1"/>
  <c r="M161"/>
  <c r="E161"/>
  <c r="AA161" s="1"/>
  <c r="M160"/>
  <c r="E160"/>
  <c r="AA160" s="1"/>
  <c r="M159"/>
  <c r="E159"/>
  <c r="AA159" s="1"/>
  <c r="M158"/>
  <c r="E158"/>
  <c r="AA158" s="1"/>
  <c r="E157"/>
  <c r="AA157" s="1"/>
  <c r="E156"/>
  <c r="AA156" s="1"/>
  <c r="E47"/>
  <c r="AA47" s="1"/>
  <c r="E46"/>
  <c r="AA46" s="1"/>
  <c r="E45"/>
  <c r="AA45" s="1"/>
  <c r="E44"/>
  <c r="AA44" s="1"/>
  <c r="E43"/>
  <c r="AA43" s="1"/>
  <c r="E42"/>
  <c r="AA42" s="1"/>
  <c r="E32"/>
  <c r="AA32" s="1"/>
  <c r="E33"/>
  <c r="AA33" s="1"/>
  <c r="E41"/>
  <c r="AA41" s="1"/>
  <c r="E40"/>
  <c r="AA40" s="1"/>
  <c r="E39"/>
  <c r="AA39" s="1"/>
  <c r="E38"/>
  <c r="AA38" s="1"/>
  <c r="E37"/>
  <c r="AA37" s="1"/>
  <c r="E36"/>
  <c r="AA36" s="1"/>
  <c r="E35"/>
  <c r="AA35" s="1"/>
  <c r="E34"/>
  <c r="AA34" s="1"/>
  <c r="B116" i="57" l="1"/>
  <c r="F117"/>
  <c r="D119"/>
  <c r="D116"/>
  <c r="D118"/>
  <c r="C116"/>
  <c r="C118"/>
  <c r="B117"/>
  <c r="G119"/>
  <c r="I117"/>
  <c r="F119"/>
  <c r="G117"/>
  <c r="F118"/>
  <c r="C119"/>
  <c r="D117"/>
  <c r="B119"/>
  <c r="C117"/>
  <c r="B118"/>
  <c r="I119"/>
  <c r="I116"/>
  <c r="I118"/>
  <c r="G116"/>
  <c r="G118"/>
  <c r="F116"/>
  <c r="C97"/>
  <c r="C101"/>
  <c r="D102"/>
  <c r="F104"/>
  <c r="G105"/>
  <c r="I106"/>
  <c r="B108"/>
  <c r="C109"/>
  <c r="D110"/>
  <c r="F112"/>
  <c r="G113"/>
  <c r="I114"/>
  <c r="G97"/>
  <c r="G103"/>
  <c r="D108"/>
  <c r="I112"/>
  <c r="B106"/>
  <c r="F110"/>
  <c r="C115"/>
  <c r="D98"/>
  <c r="F100"/>
  <c r="G101"/>
  <c r="I102"/>
  <c r="B104"/>
  <c r="C105"/>
  <c r="D106"/>
  <c r="F108"/>
  <c r="G109"/>
  <c r="I110"/>
  <c r="B112"/>
  <c r="C113"/>
  <c r="D114"/>
  <c r="I100"/>
  <c r="B102"/>
  <c r="D104"/>
  <c r="F106"/>
  <c r="I108"/>
  <c r="C111"/>
  <c r="G115"/>
  <c r="B100"/>
  <c r="I104"/>
  <c r="B114"/>
  <c r="I98"/>
  <c r="C103"/>
  <c r="G107"/>
  <c r="B110"/>
  <c r="D112"/>
  <c r="F114"/>
  <c r="F102"/>
  <c r="C107"/>
  <c r="G111"/>
  <c r="D100"/>
  <c r="B115"/>
  <c r="F105"/>
  <c r="C100"/>
  <c r="C98"/>
  <c r="I115"/>
  <c r="C106"/>
  <c r="D101"/>
  <c r="I99"/>
  <c r="F97"/>
  <c r="C112"/>
  <c r="D109"/>
  <c r="B107"/>
  <c r="C104"/>
  <c r="C99"/>
  <c r="C114"/>
  <c r="F109"/>
  <c r="H109" s="1"/>
  <c r="D103"/>
  <c r="B99"/>
  <c r="B97"/>
  <c r="D115"/>
  <c r="D111"/>
  <c r="I107"/>
  <c r="B105"/>
  <c r="F101"/>
  <c r="H101" s="1"/>
  <c r="G99"/>
  <c r="I113"/>
  <c r="F111"/>
  <c r="G108"/>
  <c r="F103"/>
  <c r="G100"/>
  <c r="F113"/>
  <c r="H113" s="1"/>
  <c r="B109"/>
  <c r="G102"/>
  <c r="D99"/>
  <c r="F98"/>
  <c r="G114"/>
  <c r="G110"/>
  <c r="D107"/>
  <c r="B101"/>
  <c r="I97"/>
  <c r="D113"/>
  <c r="B111"/>
  <c r="C108"/>
  <c r="D105"/>
  <c r="B103"/>
  <c r="F99"/>
  <c r="I109"/>
  <c r="G104"/>
  <c r="I101"/>
  <c r="F115"/>
  <c r="I111"/>
  <c r="G106"/>
  <c r="C102"/>
  <c r="G98"/>
  <c r="B98"/>
  <c r="B113"/>
  <c r="C110"/>
  <c r="I105"/>
  <c r="I103"/>
  <c r="D97"/>
  <c r="G112"/>
  <c r="F107"/>
  <c r="B16"/>
  <c r="F16"/>
  <c r="C17"/>
  <c r="G17"/>
  <c r="D18"/>
  <c r="I18"/>
  <c r="B20"/>
  <c r="F20"/>
  <c r="C21"/>
  <c r="G21"/>
  <c r="D22"/>
  <c r="I22"/>
  <c r="B24"/>
  <c r="F24"/>
  <c r="C25"/>
  <c r="G25"/>
  <c r="D26"/>
  <c r="I26"/>
  <c r="B28"/>
  <c r="F28"/>
  <c r="C29"/>
  <c r="G29"/>
  <c r="D30"/>
  <c r="I30"/>
  <c r="B32"/>
  <c r="F32"/>
  <c r="C33"/>
  <c r="G33"/>
  <c r="D34"/>
  <c r="I34"/>
  <c r="B36"/>
  <c r="F36"/>
  <c r="C37"/>
  <c r="G37"/>
  <c r="D38"/>
  <c r="I38"/>
  <c r="B40"/>
  <c r="F40"/>
  <c r="C41"/>
  <c r="G41"/>
  <c r="D42"/>
  <c r="I42"/>
  <c r="B44"/>
  <c r="F44"/>
  <c r="C45"/>
  <c r="G45"/>
  <c r="D46"/>
  <c r="I46"/>
  <c r="B48"/>
  <c r="F48"/>
  <c r="B49"/>
  <c r="F49"/>
  <c r="C50"/>
  <c r="G50"/>
  <c r="C51"/>
  <c r="G51"/>
  <c r="C52"/>
  <c r="G52"/>
  <c r="C53"/>
  <c r="G53"/>
  <c r="C54"/>
  <c r="G54"/>
  <c r="C55"/>
  <c r="G55"/>
  <c r="C56"/>
  <c r="G56"/>
  <c r="C57"/>
  <c r="G57"/>
  <c r="C16"/>
  <c r="G16"/>
  <c r="D17"/>
  <c r="I17"/>
  <c r="B19"/>
  <c r="F19"/>
  <c r="C20"/>
  <c r="G20"/>
  <c r="D21"/>
  <c r="I21"/>
  <c r="B23"/>
  <c r="F23"/>
  <c r="C24"/>
  <c r="G24"/>
  <c r="D25"/>
  <c r="I25"/>
  <c r="B27"/>
  <c r="F27"/>
  <c r="C28"/>
  <c r="G28"/>
  <c r="D29"/>
  <c r="I29"/>
  <c r="B31"/>
  <c r="F31"/>
  <c r="C32"/>
  <c r="G32"/>
  <c r="D33"/>
  <c r="I33"/>
  <c r="B35"/>
  <c r="F35"/>
  <c r="C36"/>
  <c r="G36"/>
  <c r="D37"/>
  <c r="I37"/>
  <c r="B39"/>
  <c r="F39"/>
  <c r="C40"/>
  <c r="G40"/>
  <c r="D41"/>
  <c r="I41"/>
  <c r="B43"/>
  <c r="F43"/>
  <c r="C44"/>
  <c r="G44"/>
  <c r="D45"/>
  <c r="I45"/>
  <c r="B47"/>
  <c r="F47"/>
  <c r="C48"/>
  <c r="G48"/>
  <c r="C49"/>
  <c r="G49"/>
  <c r="D50"/>
  <c r="I50"/>
  <c r="D51"/>
  <c r="I51"/>
  <c r="D52"/>
  <c r="I52"/>
  <c r="D53"/>
  <c r="I53"/>
  <c r="D54"/>
  <c r="I54"/>
  <c r="D55"/>
  <c r="I55"/>
  <c r="D56"/>
  <c r="I56"/>
  <c r="D16"/>
  <c r="I16"/>
  <c r="B18"/>
  <c r="F18"/>
  <c r="C19"/>
  <c r="G19"/>
  <c r="D20"/>
  <c r="I20"/>
  <c r="J20" s="1"/>
  <c r="B22"/>
  <c r="F22"/>
  <c r="C23"/>
  <c r="G23"/>
  <c r="D24"/>
  <c r="I24"/>
  <c r="B26"/>
  <c r="F26"/>
  <c r="C27"/>
  <c r="G27"/>
  <c r="D28"/>
  <c r="I28"/>
  <c r="B30"/>
  <c r="F30"/>
  <c r="C31"/>
  <c r="G31"/>
  <c r="D32"/>
  <c r="I32"/>
  <c r="B34"/>
  <c r="F34"/>
  <c r="C35"/>
  <c r="G35"/>
  <c r="D36"/>
  <c r="I36"/>
  <c r="B38"/>
  <c r="F38"/>
  <c r="C39"/>
  <c r="G39"/>
  <c r="D40"/>
  <c r="I40"/>
  <c r="B42"/>
  <c r="F42"/>
  <c r="C43"/>
  <c r="G43"/>
  <c r="D44"/>
  <c r="I44"/>
  <c r="B46"/>
  <c r="F46"/>
  <c r="C47"/>
  <c r="G47"/>
  <c r="D48"/>
  <c r="I48"/>
  <c r="D49"/>
  <c r="I49"/>
  <c r="B17"/>
  <c r="F17"/>
  <c r="H17" s="1"/>
  <c r="C18"/>
  <c r="G18"/>
  <c r="D19"/>
  <c r="I19"/>
  <c r="B21"/>
  <c r="F21"/>
  <c r="C22"/>
  <c r="G22"/>
  <c r="D23"/>
  <c r="I23"/>
  <c r="B25"/>
  <c r="F25"/>
  <c r="C26"/>
  <c r="G26"/>
  <c r="D27"/>
  <c r="I27"/>
  <c r="B29"/>
  <c r="F29"/>
  <c r="C30"/>
  <c r="G30"/>
  <c r="D31"/>
  <c r="I31"/>
  <c r="B33"/>
  <c r="F33"/>
  <c r="H33" s="1"/>
  <c r="C34"/>
  <c r="G34"/>
  <c r="D35"/>
  <c r="I35"/>
  <c r="B37"/>
  <c r="F37"/>
  <c r="C38"/>
  <c r="G38"/>
  <c r="D39"/>
  <c r="I39"/>
  <c r="B41"/>
  <c r="F41"/>
  <c r="C42"/>
  <c r="G42"/>
  <c r="D43"/>
  <c r="I43"/>
  <c r="B45"/>
  <c r="F45"/>
  <c r="C46"/>
  <c r="G46"/>
  <c r="D47"/>
  <c r="I47"/>
  <c r="B50"/>
  <c r="F50"/>
  <c r="B51"/>
  <c r="F51"/>
  <c r="B52"/>
  <c r="F52"/>
  <c r="B53"/>
  <c r="F53"/>
  <c r="B54"/>
  <c r="F54"/>
  <c r="B55"/>
  <c r="F55"/>
  <c r="B56"/>
  <c r="F56"/>
  <c r="B57"/>
  <c r="F57"/>
  <c r="B58"/>
  <c r="D57"/>
  <c r="F58"/>
  <c r="C59"/>
  <c r="I59"/>
  <c r="F60"/>
  <c r="C61"/>
  <c r="I61"/>
  <c r="F62"/>
  <c r="B63"/>
  <c r="F63"/>
  <c r="B64"/>
  <c r="F64"/>
  <c r="B65"/>
  <c r="F65"/>
  <c r="B66"/>
  <c r="F66"/>
  <c r="B67"/>
  <c r="F67"/>
  <c r="B68"/>
  <c r="F68"/>
  <c r="B69"/>
  <c r="F69"/>
  <c r="B70"/>
  <c r="F70"/>
  <c r="B71"/>
  <c r="F71"/>
  <c r="B72"/>
  <c r="F72"/>
  <c r="B73"/>
  <c r="F73"/>
  <c r="B74"/>
  <c r="F74"/>
  <c r="B75"/>
  <c r="F75"/>
  <c r="B76"/>
  <c r="F76"/>
  <c r="B77"/>
  <c r="F77"/>
  <c r="B78"/>
  <c r="F78"/>
  <c r="C79"/>
  <c r="G79"/>
  <c r="D80"/>
  <c r="I80"/>
  <c r="B82"/>
  <c r="F82"/>
  <c r="C83"/>
  <c r="G83"/>
  <c r="D84"/>
  <c r="I84"/>
  <c r="B87"/>
  <c r="F87"/>
  <c r="B88"/>
  <c r="F88"/>
  <c r="B89"/>
  <c r="F89"/>
  <c r="B90"/>
  <c r="F90"/>
  <c r="B91"/>
  <c r="F91"/>
  <c r="B92"/>
  <c r="F92"/>
  <c r="B93"/>
  <c r="F93"/>
  <c r="B94"/>
  <c r="F94"/>
  <c r="B95"/>
  <c r="F95"/>
  <c r="B96"/>
  <c r="F96"/>
  <c r="I57"/>
  <c r="G58"/>
  <c r="D59"/>
  <c r="B60"/>
  <c r="G60"/>
  <c r="D61"/>
  <c r="B62"/>
  <c r="G62"/>
  <c r="C63"/>
  <c r="G63"/>
  <c r="C64"/>
  <c r="G64"/>
  <c r="C65"/>
  <c r="G65"/>
  <c r="C66"/>
  <c r="G66"/>
  <c r="C67"/>
  <c r="G67"/>
  <c r="C68"/>
  <c r="G68"/>
  <c r="C69"/>
  <c r="G69"/>
  <c r="C70"/>
  <c r="G70"/>
  <c r="C71"/>
  <c r="G71"/>
  <c r="C72"/>
  <c r="G72"/>
  <c r="C73"/>
  <c r="G73"/>
  <c r="C74"/>
  <c r="G74"/>
  <c r="C75"/>
  <c r="G75"/>
  <c r="C76"/>
  <c r="G76"/>
  <c r="C77"/>
  <c r="G77"/>
  <c r="C78"/>
  <c r="G78"/>
  <c r="D79"/>
  <c r="I79"/>
  <c r="B81"/>
  <c r="F81"/>
  <c r="C82"/>
  <c r="G82"/>
  <c r="D83"/>
  <c r="I83"/>
  <c r="B85"/>
  <c r="F85"/>
  <c r="B86"/>
  <c r="F86"/>
  <c r="C87"/>
  <c r="G87"/>
  <c r="C88"/>
  <c r="G88"/>
  <c r="C89"/>
  <c r="G89"/>
  <c r="C90"/>
  <c r="G90"/>
  <c r="C91"/>
  <c r="G91"/>
  <c r="C92"/>
  <c r="G92"/>
  <c r="C93"/>
  <c r="G93"/>
  <c r="C94"/>
  <c r="G94"/>
  <c r="C95"/>
  <c r="G95"/>
  <c r="C96"/>
  <c r="G96"/>
  <c r="C58"/>
  <c r="I58"/>
  <c r="F59"/>
  <c r="C60"/>
  <c r="I60"/>
  <c r="F61"/>
  <c r="C62"/>
  <c r="I62"/>
  <c r="D63"/>
  <c r="I63"/>
  <c r="D64"/>
  <c r="I64"/>
  <c r="D65"/>
  <c r="I65"/>
  <c r="D66"/>
  <c r="I66"/>
  <c r="D67"/>
  <c r="I67"/>
  <c r="D68"/>
  <c r="I68"/>
  <c r="D69"/>
  <c r="I69"/>
  <c r="D70"/>
  <c r="I70"/>
  <c r="D71"/>
  <c r="I71"/>
  <c r="D72"/>
  <c r="I72"/>
  <c r="D73"/>
  <c r="I73"/>
  <c r="D74"/>
  <c r="I74"/>
  <c r="D75"/>
  <c r="I75"/>
  <c r="D76"/>
  <c r="I76"/>
  <c r="D77"/>
  <c r="I77"/>
  <c r="D78"/>
  <c r="I78"/>
  <c r="B80"/>
  <c r="F80"/>
  <c r="C81"/>
  <c r="G81"/>
  <c r="D82"/>
  <c r="I82"/>
  <c r="B84"/>
  <c r="F84"/>
  <c r="C85"/>
  <c r="G85"/>
  <c r="C86"/>
  <c r="G86"/>
  <c r="D87"/>
  <c r="I87"/>
  <c r="D88"/>
  <c r="I88"/>
  <c r="D89"/>
  <c r="I89"/>
  <c r="D90"/>
  <c r="I90"/>
  <c r="D91"/>
  <c r="I91"/>
  <c r="D92"/>
  <c r="I92"/>
  <c r="D93"/>
  <c r="I93"/>
  <c r="D94"/>
  <c r="I94"/>
  <c r="D95"/>
  <c r="D96"/>
  <c r="I96"/>
  <c r="D58"/>
  <c r="B59"/>
  <c r="G59"/>
  <c r="D60"/>
  <c r="B61"/>
  <c r="G61"/>
  <c r="D62"/>
  <c r="B79"/>
  <c r="F79"/>
  <c r="C80"/>
  <c r="G80"/>
  <c r="D81"/>
  <c r="I81"/>
  <c r="B83"/>
  <c r="F83"/>
  <c r="C84"/>
  <c r="G84"/>
  <c r="D85"/>
  <c r="I85"/>
  <c r="D86"/>
  <c r="I86"/>
  <c r="I95"/>
  <c r="I137" i="60"/>
  <c r="J40" i="57" l="1"/>
  <c r="J24"/>
  <c r="J97"/>
  <c r="H100"/>
  <c r="H45"/>
  <c r="J31"/>
  <c r="H29"/>
  <c r="J36"/>
  <c r="J47"/>
  <c r="J49"/>
  <c r="J109"/>
  <c r="J81"/>
  <c r="H79"/>
  <c r="J39"/>
  <c r="J23"/>
  <c r="H105"/>
  <c r="J78"/>
  <c r="H41"/>
  <c r="H25"/>
  <c r="J32"/>
  <c r="J16"/>
  <c r="H37"/>
  <c r="H21"/>
  <c r="J44"/>
  <c r="J28"/>
  <c r="J101"/>
  <c r="I127" i="60"/>
  <c r="N127" s="1"/>
  <c r="P127" s="1"/>
  <c r="T127" s="1"/>
  <c r="I123"/>
  <c r="N123" s="1"/>
  <c r="P123" s="1"/>
  <c r="T123" s="1"/>
  <c r="I129"/>
  <c r="N129" s="1"/>
  <c r="P129" s="1"/>
  <c r="T129" s="1"/>
  <c r="I131"/>
  <c r="N131" s="1"/>
  <c r="P131" s="1"/>
  <c r="T131" s="1"/>
  <c r="I112"/>
  <c r="N112" s="1"/>
  <c r="I128"/>
  <c r="N128" s="1"/>
  <c r="P128" s="1"/>
  <c r="T128" s="1"/>
  <c r="N111"/>
  <c r="P111" s="1"/>
  <c r="T111" s="1"/>
  <c r="I130"/>
  <c r="N130" s="1"/>
  <c r="P130" s="1"/>
  <c r="T130" s="1"/>
  <c r="H83" i="57"/>
  <c r="J35"/>
  <c r="J19"/>
  <c r="J105"/>
  <c r="H108"/>
  <c r="J82"/>
  <c r="J43"/>
  <c r="J27"/>
  <c r="H97"/>
  <c r="J118"/>
  <c r="H116"/>
  <c r="J116"/>
  <c r="H118"/>
  <c r="J117"/>
  <c r="H117"/>
  <c r="J119"/>
  <c r="H119"/>
  <c r="J113"/>
  <c r="J108"/>
  <c r="J106"/>
  <c r="H106"/>
  <c r="J100"/>
  <c r="H107"/>
  <c r="J107"/>
  <c r="J115"/>
  <c r="H115"/>
  <c r="H99"/>
  <c r="J99"/>
  <c r="H98"/>
  <c r="J98"/>
  <c r="H103"/>
  <c r="J103"/>
  <c r="H111"/>
  <c r="J111"/>
  <c r="J102"/>
  <c r="H102"/>
  <c r="J114"/>
  <c r="H114"/>
  <c r="H110"/>
  <c r="J110"/>
  <c r="J112"/>
  <c r="H112"/>
  <c r="J104"/>
  <c r="H104"/>
  <c r="H80"/>
  <c r="H59"/>
  <c r="J59"/>
  <c r="J83"/>
  <c r="H81"/>
  <c r="H77"/>
  <c r="J77"/>
  <c r="H75"/>
  <c r="J75"/>
  <c r="H73"/>
  <c r="J73"/>
  <c r="H71"/>
  <c r="J71"/>
  <c r="H69"/>
  <c r="J69"/>
  <c r="H67"/>
  <c r="J67"/>
  <c r="H65"/>
  <c r="J65"/>
  <c r="H63"/>
  <c r="J63"/>
  <c r="J58"/>
  <c r="H58"/>
  <c r="H46"/>
  <c r="H30"/>
  <c r="H47"/>
  <c r="J33"/>
  <c r="H31"/>
  <c r="J17"/>
  <c r="H49"/>
  <c r="J42"/>
  <c r="H40"/>
  <c r="J26"/>
  <c r="H24"/>
  <c r="J84"/>
  <c r="H84"/>
  <c r="H61"/>
  <c r="J61"/>
  <c r="J85"/>
  <c r="H85"/>
  <c r="H96"/>
  <c r="J96"/>
  <c r="J94"/>
  <c r="H94"/>
  <c r="J92"/>
  <c r="H92"/>
  <c r="J90"/>
  <c r="H90"/>
  <c r="J88"/>
  <c r="H88"/>
  <c r="H60"/>
  <c r="J60"/>
  <c r="J56"/>
  <c r="H56"/>
  <c r="J54"/>
  <c r="H54"/>
  <c r="J52"/>
  <c r="H52"/>
  <c r="J50"/>
  <c r="H50"/>
  <c r="H34"/>
  <c r="H18"/>
  <c r="J37"/>
  <c r="H35"/>
  <c r="J21"/>
  <c r="H19"/>
  <c r="J46"/>
  <c r="H44"/>
  <c r="J30"/>
  <c r="H28"/>
  <c r="J80"/>
  <c r="H78"/>
  <c r="H76"/>
  <c r="J76"/>
  <c r="H74"/>
  <c r="J74"/>
  <c r="H72"/>
  <c r="J72"/>
  <c r="H70"/>
  <c r="J70"/>
  <c r="H68"/>
  <c r="J68"/>
  <c r="H66"/>
  <c r="J66"/>
  <c r="H64"/>
  <c r="J64"/>
  <c r="H62"/>
  <c r="J62"/>
  <c r="H38"/>
  <c r="H22"/>
  <c r="J41"/>
  <c r="H39"/>
  <c r="J25"/>
  <c r="H23"/>
  <c r="H48"/>
  <c r="J48"/>
  <c r="J34"/>
  <c r="H32"/>
  <c r="J18"/>
  <c r="H16"/>
  <c r="J86"/>
  <c r="H86"/>
  <c r="J79"/>
  <c r="J95"/>
  <c r="H95"/>
  <c r="J93"/>
  <c r="H93"/>
  <c r="J91"/>
  <c r="H91"/>
  <c r="J89"/>
  <c r="H89"/>
  <c r="J87"/>
  <c r="H87"/>
  <c r="H82"/>
  <c r="J57"/>
  <c r="H57"/>
  <c r="J55"/>
  <c r="H55"/>
  <c r="J53"/>
  <c r="H53"/>
  <c r="J51"/>
  <c r="H51"/>
  <c r="H42"/>
  <c r="H26"/>
  <c r="J45"/>
  <c r="H43"/>
  <c r="J29"/>
  <c r="H27"/>
  <c r="J38"/>
  <c r="H36"/>
  <c r="J22"/>
  <c r="H20"/>
  <c r="I132" i="60"/>
  <c r="N132" s="1"/>
  <c r="P132" s="1"/>
  <c r="T132" s="1"/>
  <c r="I119"/>
  <c r="I115"/>
  <c r="I135"/>
  <c r="N135" s="1"/>
  <c r="P135" s="1"/>
  <c r="T135" s="1"/>
  <c r="I126"/>
  <c r="I122"/>
  <c r="I118"/>
  <c r="I114"/>
  <c r="I134"/>
  <c r="N134" s="1"/>
  <c r="P134" s="1"/>
  <c r="T134" s="1"/>
  <c r="I125"/>
  <c r="I121"/>
  <c r="N121" s="1"/>
  <c r="P121" s="1"/>
  <c r="T121" s="1"/>
  <c r="I117"/>
  <c r="I113"/>
  <c r="I133"/>
  <c r="N133" s="1"/>
  <c r="P133" s="1"/>
  <c r="T133" s="1"/>
  <c r="I124"/>
  <c r="I120"/>
  <c r="I116"/>
  <c r="A30" i="12" l="1"/>
  <c r="A20"/>
  <c r="B43" i="55"/>
  <c r="A43" s="1"/>
  <c r="B45"/>
  <c r="A45" s="1"/>
  <c r="B41"/>
  <c r="A41" s="1"/>
  <c r="B42"/>
  <c r="A42" s="1"/>
  <c r="B39"/>
  <c r="A39" s="1"/>
  <c r="B38"/>
  <c r="A38" s="1"/>
  <c r="B36"/>
  <c r="A36" s="1"/>
  <c r="A37" i="12"/>
  <c r="B29" i="55" l="1"/>
  <c r="A29" s="1"/>
  <c r="B30"/>
  <c r="A30" s="1"/>
  <c r="B33"/>
  <c r="A33" s="1"/>
  <c r="B34"/>
  <c r="A34" s="1"/>
  <c r="B35"/>
  <c r="A35" s="1"/>
  <c r="B40"/>
  <c r="A40" s="1"/>
  <c r="A33" i="12" l="1"/>
  <c r="E153" i="34" l="1"/>
  <c r="AA153" s="1"/>
  <c r="E152"/>
  <c r="AA152" s="1"/>
  <c r="M151"/>
  <c r="M153" s="1"/>
  <c r="E151"/>
  <c r="AA151" s="1"/>
  <c r="M150"/>
  <c r="M152" s="1"/>
  <c r="E150"/>
  <c r="AA150" s="1"/>
  <c r="M149"/>
  <c r="E149"/>
  <c r="AA149" s="1"/>
  <c r="M148"/>
  <c r="E148"/>
  <c r="AA148" s="1"/>
  <c r="E147"/>
  <c r="AA147" s="1"/>
  <c r="E146"/>
  <c r="AA146" s="1"/>
  <c r="M145"/>
  <c r="E145"/>
  <c r="AA145" s="1"/>
  <c r="M144"/>
  <c r="E144"/>
  <c r="AA144" s="1"/>
  <c r="M143"/>
  <c r="E143"/>
  <c r="AA143" s="1"/>
  <c r="M142"/>
  <c r="E142"/>
  <c r="AA142" s="1"/>
  <c r="E141"/>
  <c r="AA141" s="1"/>
  <c r="E140"/>
  <c r="AA140" s="1"/>
  <c r="E137"/>
  <c r="AA137" s="1"/>
  <c r="E136"/>
  <c r="AA136" s="1"/>
  <c r="M135"/>
  <c r="M137" s="1"/>
  <c r="E135"/>
  <c r="AA135" s="1"/>
  <c r="M134"/>
  <c r="M136" s="1"/>
  <c r="E134"/>
  <c r="AA134" s="1"/>
  <c r="M133"/>
  <c r="E133"/>
  <c r="AA133" s="1"/>
  <c r="M132"/>
  <c r="E132"/>
  <c r="AA132" s="1"/>
  <c r="M131"/>
  <c r="E131"/>
  <c r="AA131" s="1"/>
  <c r="E130"/>
  <c r="AA130" s="1"/>
  <c r="M129"/>
  <c r="E129"/>
  <c r="AA129" s="1"/>
  <c r="M128"/>
  <c r="E128"/>
  <c r="AA128" s="1"/>
  <c r="E127"/>
  <c r="AA127" s="1"/>
  <c r="E126"/>
  <c r="AA126" s="1"/>
  <c r="E125"/>
  <c r="AA125" s="1"/>
  <c r="E124"/>
  <c r="AA124" s="1"/>
  <c r="E121"/>
  <c r="AA121" s="1"/>
  <c r="E120"/>
  <c r="AA120" s="1"/>
  <c r="M119"/>
  <c r="M121" s="1"/>
  <c r="E119"/>
  <c r="AA119" s="1"/>
  <c r="M118"/>
  <c r="M120" s="1"/>
  <c r="E118"/>
  <c r="AA118" s="1"/>
  <c r="M117"/>
  <c r="E117"/>
  <c r="AA117" s="1"/>
  <c r="M116"/>
  <c r="E116"/>
  <c r="AA116" s="1"/>
  <c r="E115"/>
  <c r="AA115" s="1"/>
  <c r="E114"/>
  <c r="AA114" s="1"/>
  <c r="M113"/>
  <c r="E113"/>
  <c r="AA113" s="1"/>
  <c r="M112"/>
  <c r="E112"/>
  <c r="AA112" s="1"/>
  <c r="E111"/>
  <c r="AA111" s="1"/>
  <c r="E110"/>
  <c r="AA110" s="1"/>
  <c r="E109"/>
  <c r="AA109" s="1"/>
  <c r="E108"/>
  <c r="AA108" s="1"/>
  <c r="M94" l="1"/>
  <c r="E105"/>
  <c r="AA105" s="1"/>
  <c r="E104"/>
  <c r="AA104" s="1"/>
  <c r="M103"/>
  <c r="M105" s="1"/>
  <c r="E103"/>
  <c r="AA103" s="1"/>
  <c r="M102"/>
  <c r="M104" s="1"/>
  <c r="E102"/>
  <c r="AA102" s="1"/>
  <c r="M101"/>
  <c r="E101"/>
  <c r="AA101" s="1"/>
  <c r="M100"/>
  <c r="E100"/>
  <c r="AA100" s="1"/>
  <c r="M99"/>
  <c r="E99"/>
  <c r="AA99" s="1"/>
  <c r="E98"/>
  <c r="AA98" s="1"/>
  <c r="M97"/>
  <c r="E97"/>
  <c r="AA97" s="1"/>
  <c r="M96"/>
  <c r="E96"/>
  <c r="AA96" s="1"/>
  <c r="M95"/>
  <c r="E95"/>
  <c r="AA95" s="1"/>
  <c r="E94"/>
  <c r="AA94" s="1"/>
  <c r="E93"/>
  <c r="AA93" s="1"/>
  <c r="E92"/>
  <c r="AA92" s="1"/>
  <c r="E89"/>
  <c r="AA89" s="1"/>
  <c r="E88"/>
  <c r="AA88" s="1"/>
  <c r="M87"/>
  <c r="M89" s="1"/>
  <c r="E87"/>
  <c r="AA87" s="1"/>
  <c r="M86"/>
  <c r="M88" s="1"/>
  <c r="E86"/>
  <c r="AA86" s="1"/>
  <c r="M85"/>
  <c r="E85"/>
  <c r="AA85" s="1"/>
  <c r="M84"/>
  <c r="E84"/>
  <c r="AA84" s="1"/>
  <c r="M83"/>
  <c r="E83"/>
  <c r="AA83" s="1"/>
  <c r="E82"/>
  <c r="AA82" s="1"/>
  <c r="E81"/>
  <c r="AA81" s="1"/>
  <c r="E80"/>
  <c r="AA80" s="1"/>
  <c r="E79"/>
  <c r="AA79" s="1"/>
  <c r="E78"/>
  <c r="AA78" s="1"/>
  <c r="E77"/>
  <c r="AA77" s="1"/>
  <c r="E76"/>
  <c r="AA76" s="1"/>
  <c r="E73"/>
  <c r="AA73" s="1"/>
  <c r="E72"/>
  <c r="AA72" s="1"/>
  <c r="E71"/>
  <c r="AA71" s="1"/>
  <c r="M72"/>
  <c r="E70"/>
  <c r="AA70" s="1"/>
  <c r="E69"/>
  <c r="AA69" s="1"/>
  <c r="E68"/>
  <c r="AA68" s="1"/>
  <c r="E67"/>
  <c r="AA67" s="1"/>
  <c r="E66"/>
  <c r="AA66" s="1"/>
  <c r="E65"/>
  <c r="AA65" s="1"/>
  <c r="E64"/>
  <c r="AA64" s="1"/>
  <c r="E63"/>
  <c r="AA63" s="1"/>
  <c r="E62"/>
  <c r="AA62" s="1"/>
  <c r="E61"/>
  <c r="AA61" s="1"/>
  <c r="E60"/>
  <c r="AA60" s="1"/>
  <c r="P27" i="64" l="1"/>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G22" l="1"/>
  <c r="H22" s="1"/>
  <c r="F23" s="1"/>
  <c r="A10" i="62"/>
  <c r="A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15" i="55" a="1"/>
  <c r="G15" s="1"/>
  <c r="I15" a="1"/>
  <c r="I15" s="1"/>
  <c r="I57" a="1"/>
  <c r="I57" s="1"/>
  <c r="G57" a="1"/>
  <c r="G57" s="1"/>
  <c r="I41" a="1"/>
  <c r="I41" s="1"/>
  <c r="G45" a="1"/>
  <c r="G45" s="1"/>
  <c r="I39" a="1"/>
  <c r="I39" s="1"/>
  <c r="G41" a="1"/>
  <c r="G41" s="1"/>
  <c r="I45" a="1"/>
  <c r="I45" s="1"/>
  <c r="G39" a="1"/>
  <c r="G39" s="1"/>
  <c r="I61" a="1"/>
  <c r="I61" s="1"/>
  <c r="G61" a="1"/>
  <c r="G61" s="1"/>
  <c r="G58" a="1"/>
  <c r="G58" s="1"/>
  <c r="I58" a="1"/>
  <c r="I58" s="1"/>
  <c r="I56" a="1"/>
  <c r="I56" s="1"/>
  <c r="G69" a="1"/>
  <c r="G69" s="1"/>
  <c r="I65" a="1"/>
  <c r="I65" s="1"/>
  <c r="G62" a="1"/>
  <c r="G62" s="1"/>
  <c r="I69" a="1"/>
  <c r="I69" s="1"/>
  <c r="G65" a="1"/>
  <c r="G65" s="1"/>
  <c r="I62" a="1"/>
  <c r="I62" s="1"/>
  <c r="G56" a="1"/>
  <c r="G56" s="1"/>
  <c r="I44" a="1"/>
  <c r="I44" s="1"/>
  <c r="G25" a="1"/>
  <c r="G25" s="1"/>
  <c r="G27" a="1"/>
  <c r="G27" s="1"/>
  <c r="I25" a="1"/>
  <c r="I25" s="1"/>
  <c r="I27" a="1"/>
  <c r="I27" s="1"/>
  <c r="G44" a="1"/>
  <c r="G44" s="1"/>
  <c r="I36" a="1"/>
  <c r="I36" s="1"/>
  <c r="I33" a="1"/>
  <c r="I33" s="1"/>
  <c r="G47" a="1"/>
  <c r="G47" s="1"/>
  <c r="I47" a="1"/>
  <c r="I47" s="1"/>
  <c r="G33" a="1"/>
  <c r="G33" s="1"/>
  <c r="G34" a="1"/>
  <c r="G34" s="1"/>
  <c r="I34" a="1"/>
  <c r="I34" s="1"/>
  <c r="G36" a="1"/>
  <c r="G36" s="1"/>
  <c r="I26" a="1"/>
  <c r="I26" s="1"/>
  <c r="I38" a="1"/>
  <c r="I38" s="1"/>
  <c r="I46" a="1"/>
  <c r="I46" s="1"/>
  <c r="I28" a="1"/>
  <c r="I28" s="1"/>
  <c r="I32" a="1"/>
  <c r="I32" s="1"/>
  <c r="I40" a="1"/>
  <c r="I40" s="1"/>
  <c r="G26" a="1"/>
  <c r="G26" s="1"/>
  <c r="G38" a="1"/>
  <c r="G38" s="1"/>
  <c r="G46" a="1"/>
  <c r="G46" s="1"/>
  <c r="G28" a="1"/>
  <c r="G28" s="1"/>
  <c r="G32" a="1"/>
  <c r="G32" s="1"/>
  <c r="G40" a="1"/>
  <c r="G40" s="1"/>
  <c r="G25" i="68" l="1"/>
  <c r="H25" s="1"/>
  <c r="F26" s="1"/>
  <c r="K15" i="55"/>
  <c r="K57"/>
  <c r="K39"/>
  <c r="K41"/>
  <c r="K45"/>
  <c r="K56"/>
  <c r="K61"/>
  <c r="K58"/>
  <c r="K65"/>
  <c r="K69"/>
  <c r="K62"/>
  <c r="K44"/>
  <c r="K25"/>
  <c r="K27"/>
  <c r="K36"/>
  <c r="K46"/>
  <c r="K28"/>
  <c r="K40"/>
  <c r="K32"/>
  <c r="K26"/>
  <c r="K33"/>
  <c r="K47"/>
  <c r="K34"/>
  <c r="K38"/>
  <c r="G26" i="68" l="1"/>
  <c r="H26" s="1"/>
  <c r="F27" s="1"/>
  <c r="G27" l="1"/>
  <c r="H27" s="1"/>
  <c r="F28" l="1"/>
  <c r="G28" l="1"/>
  <c r="U10" i="34"/>
  <c r="V10"/>
  <c r="T10"/>
  <c r="I6" i="43"/>
  <c r="U390" i="34" l="1"/>
  <c r="T391"/>
  <c r="T392"/>
  <c r="V392"/>
  <c r="T390"/>
  <c r="V390"/>
  <c r="V391"/>
  <c r="U392"/>
  <c r="V393"/>
  <c r="V395"/>
  <c r="V394"/>
  <c r="T393"/>
  <c r="T394"/>
  <c r="U395"/>
  <c r="T395"/>
  <c r="U393"/>
  <c r="U394"/>
  <c r="U391"/>
  <c r="T345"/>
  <c r="V345"/>
  <c r="U345"/>
  <c r="U346"/>
  <c r="T346"/>
  <c r="V346"/>
  <c r="T382"/>
  <c r="T341"/>
  <c r="V341"/>
  <c r="T342"/>
  <c r="U341"/>
  <c r="U343"/>
  <c r="V344"/>
  <c r="V342"/>
  <c r="T343"/>
  <c r="U382"/>
  <c r="U344"/>
  <c r="T344"/>
  <c r="V382"/>
  <c r="V343"/>
  <c r="U342"/>
  <c r="U387"/>
  <c r="U388"/>
  <c r="U389"/>
  <c r="T387"/>
  <c r="V387"/>
  <c r="T388"/>
  <c r="V388"/>
  <c r="T389"/>
  <c r="V389"/>
  <c r="V338"/>
  <c r="T338"/>
  <c r="U337"/>
  <c r="U336"/>
  <c r="T332"/>
  <c r="V332"/>
  <c r="T333"/>
  <c r="V333"/>
  <c r="U334"/>
  <c r="U335"/>
  <c r="T339"/>
  <c r="V339"/>
  <c r="U340"/>
  <c r="U338"/>
  <c r="V337"/>
  <c r="T337"/>
  <c r="V336"/>
  <c r="T336"/>
  <c r="U332"/>
  <c r="U333"/>
  <c r="T334"/>
  <c r="V334"/>
  <c r="T335"/>
  <c r="V335"/>
  <c r="U339"/>
  <c r="T340"/>
  <c r="V340"/>
  <c r="V384"/>
  <c r="V386"/>
  <c r="U385"/>
  <c r="U330"/>
  <c r="V331"/>
  <c r="T383"/>
  <c r="U384"/>
  <c r="T385"/>
  <c r="U386"/>
  <c r="V329"/>
  <c r="V330"/>
  <c r="V383"/>
  <c r="V385"/>
  <c r="U383"/>
  <c r="U329"/>
  <c r="T331"/>
  <c r="T329"/>
  <c r="T330"/>
  <c r="U331"/>
  <c r="T384"/>
  <c r="T386"/>
  <c r="U297"/>
  <c r="T297"/>
  <c r="V297"/>
  <c r="U295"/>
  <c r="U296"/>
  <c r="T295"/>
  <c r="V295"/>
  <c r="T296"/>
  <c r="V296"/>
  <c r="T292"/>
  <c r="V292"/>
  <c r="U293"/>
  <c r="T294"/>
  <c r="V294"/>
  <c r="U298"/>
  <c r="U292"/>
  <c r="T293"/>
  <c r="V293"/>
  <c r="U294"/>
  <c r="T298"/>
  <c r="V298"/>
  <c r="U327"/>
  <c r="U328"/>
  <c r="V327"/>
  <c r="V328"/>
  <c r="T327"/>
  <c r="T328"/>
  <c r="T376"/>
  <c r="U376"/>
  <c r="V376"/>
  <c r="U377"/>
  <c r="T377"/>
  <c r="V377"/>
  <c r="U324"/>
  <c r="T324"/>
  <c r="V324"/>
  <c r="V381"/>
  <c r="T381"/>
  <c r="V380"/>
  <c r="T380"/>
  <c r="V379"/>
  <c r="T379"/>
  <c r="V378"/>
  <c r="U381"/>
  <c r="U380"/>
  <c r="U379"/>
  <c r="T378"/>
  <c r="U326"/>
  <c r="V326"/>
  <c r="U325"/>
  <c r="U378"/>
  <c r="V325"/>
  <c r="T326"/>
  <c r="T325"/>
  <c r="V319"/>
  <c r="U316"/>
  <c r="U319"/>
  <c r="U318"/>
  <c r="U315"/>
  <c r="U317"/>
  <c r="V323"/>
  <c r="T321"/>
  <c r="T322"/>
  <c r="V320"/>
  <c r="T319"/>
  <c r="U365"/>
  <c r="T365"/>
  <c r="V366"/>
  <c r="U367"/>
  <c r="T367"/>
  <c r="V368"/>
  <c r="V309"/>
  <c r="V310"/>
  <c r="V312"/>
  <c r="V313"/>
  <c r="V317"/>
  <c r="V318"/>
  <c r="V315"/>
  <c r="T314"/>
  <c r="U311"/>
  <c r="T311"/>
  <c r="V308"/>
  <c r="U371"/>
  <c r="T371"/>
  <c r="V370"/>
  <c r="U314"/>
  <c r="U322"/>
  <c r="V316"/>
  <c r="U321"/>
  <c r="U320"/>
  <c r="V321"/>
  <c r="V322"/>
  <c r="U323"/>
  <c r="T320"/>
  <c r="T323"/>
  <c r="V365"/>
  <c r="T366"/>
  <c r="U366"/>
  <c r="V367"/>
  <c r="T368"/>
  <c r="U368"/>
  <c r="U309"/>
  <c r="T309"/>
  <c r="T310"/>
  <c r="U310"/>
  <c r="U312"/>
  <c r="T312"/>
  <c r="T313"/>
  <c r="U313"/>
  <c r="T317"/>
  <c r="T318"/>
  <c r="T315"/>
  <c r="V311"/>
  <c r="U308"/>
  <c r="T308"/>
  <c r="V371"/>
  <c r="U370"/>
  <c r="T370"/>
  <c r="V314"/>
  <c r="T316"/>
  <c r="V361"/>
  <c r="V363"/>
  <c r="V369"/>
  <c r="V373"/>
  <c r="V375"/>
  <c r="V360"/>
  <c r="V362"/>
  <c r="V364"/>
  <c r="V372"/>
  <c r="V374"/>
  <c r="U361"/>
  <c r="T361"/>
  <c r="U363"/>
  <c r="T363"/>
  <c r="U369"/>
  <c r="T369"/>
  <c r="U373"/>
  <c r="T373"/>
  <c r="U375"/>
  <c r="T375"/>
  <c r="U360"/>
  <c r="T360"/>
  <c r="U362"/>
  <c r="T362"/>
  <c r="U364"/>
  <c r="T364"/>
  <c r="U372"/>
  <c r="T372"/>
  <c r="U374"/>
  <c r="T374"/>
  <c r="V5023"/>
  <c r="T5023"/>
  <c r="U5022"/>
  <c r="U5020"/>
  <c r="V5016"/>
  <c r="T5017"/>
  <c r="V5017"/>
  <c r="U5014"/>
  <c r="U5015"/>
  <c r="U5012"/>
  <c r="U5013"/>
  <c r="U5023"/>
  <c r="T5016"/>
  <c r="U5017"/>
  <c r="T5014"/>
  <c r="V5014"/>
  <c r="T5015"/>
  <c r="V5015"/>
  <c r="T5013"/>
  <c r="V5013"/>
  <c r="V5020"/>
  <c r="V5018"/>
  <c r="T5019"/>
  <c r="T5021"/>
  <c r="T5018"/>
  <c r="T5012"/>
  <c r="V5019"/>
  <c r="V5022"/>
  <c r="V5021"/>
  <c r="T5022"/>
  <c r="U5019"/>
  <c r="T5020"/>
  <c r="U5021"/>
  <c r="U5018"/>
  <c r="U5016"/>
  <c r="V5012"/>
  <c r="T4283"/>
  <c r="V4283"/>
  <c r="U4254"/>
  <c r="U4283"/>
  <c r="T4254"/>
  <c r="V4254"/>
  <c r="V4279"/>
  <c r="T4279"/>
  <c r="U4279"/>
  <c r="T4275"/>
  <c r="U4275"/>
  <c r="V4277"/>
  <c r="V4276"/>
  <c r="V5010"/>
  <c r="T5011"/>
  <c r="U5011"/>
  <c r="V4275"/>
  <c r="T4277"/>
  <c r="U4277"/>
  <c r="U4276"/>
  <c r="T4276"/>
  <c r="U5010"/>
  <c r="T5010"/>
  <c r="V5011"/>
  <c r="U4159"/>
  <c r="T4159"/>
  <c r="V4183"/>
  <c r="V4194"/>
  <c r="V4274"/>
  <c r="U3745"/>
  <c r="T3745"/>
  <c r="V3799"/>
  <c r="U3793"/>
  <c r="T3793"/>
  <c r="T3866"/>
  <c r="U3866"/>
  <c r="U3905"/>
  <c r="T3905"/>
  <c r="T3852"/>
  <c r="U3852"/>
  <c r="V3920"/>
  <c r="T3924"/>
  <c r="U3924"/>
  <c r="U3927"/>
  <c r="T3927"/>
  <c r="V3933"/>
  <c r="U3913"/>
  <c r="T3913"/>
  <c r="V3959"/>
  <c r="U3977"/>
  <c r="T3977"/>
  <c r="V4079"/>
  <c r="U4103"/>
  <c r="T4103"/>
  <c r="V4137"/>
  <c r="V4160"/>
  <c r="T4182"/>
  <c r="U4182"/>
  <c r="U4195"/>
  <c r="T4195"/>
  <c r="U5004"/>
  <c r="T5004"/>
  <c r="V5005"/>
  <c r="V5007"/>
  <c r="U5008"/>
  <c r="T5008"/>
  <c r="V5009"/>
  <c r="V4159"/>
  <c r="U4183"/>
  <c r="T4183"/>
  <c r="T4194"/>
  <c r="U4194"/>
  <c r="U4274"/>
  <c r="T4274"/>
  <c r="V3745"/>
  <c r="U3799"/>
  <c r="T3799"/>
  <c r="V3793"/>
  <c r="V3866"/>
  <c r="V3905"/>
  <c r="V3852"/>
  <c r="T3920"/>
  <c r="U3920"/>
  <c r="V3924"/>
  <c r="V3927"/>
  <c r="U3933"/>
  <c r="T3933"/>
  <c r="V3913"/>
  <c r="U3959"/>
  <c r="T3959"/>
  <c r="V3977"/>
  <c r="U4079"/>
  <c r="T4079"/>
  <c r="V4103"/>
  <c r="U4137"/>
  <c r="T4137"/>
  <c r="T4160"/>
  <c r="U4160"/>
  <c r="V4182"/>
  <c r="V4195"/>
  <c r="V5004"/>
  <c r="T5005"/>
  <c r="U5005"/>
  <c r="T5007"/>
  <c r="U5007"/>
  <c r="V5008"/>
  <c r="T5009"/>
  <c r="U5009"/>
  <c r="U4996"/>
  <c r="T4996"/>
  <c r="V4997"/>
  <c r="V4999"/>
  <c r="U5002"/>
  <c r="T5002"/>
  <c r="U4256"/>
  <c r="T4256"/>
  <c r="V4251"/>
  <c r="T4995"/>
  <c r="U4995"/>
  <c r="V4998"/>
  <c r="U5000"/>
  <c r="T5000"/>
  <c r="T4271"/>
  <c r="U4271"/>
  <c r="U4270"/>
  <c r="T4270"/>
  <c r="T4269"/>
  <c r="U4269"/>
  <c r="U4268"/>
  <c r="T4268"/>
  <c r="T4267"/>
  <c r="U4267"/>
  <c r="U4266"/>
  <c r="T4266"/>
  <c r="T4265"/>
  <c r="U4265"/>
  <c r="U4264"/>
  <c r="T4264"/>
  <c r="T4263"/>
  <c r="U4263"/>
  <c r="U4262"/>
  <c r="T4262"/>
  <c r="T4261"/>
  <c r="U4261"/>
  <c r="U4260"/>
  <c r="T4260"/>
  <c r="T4259"/>
  <c r="U4259"/>
  <c r="T4257"/>
  <c r="U4257"/>
  <c r="V4250"/>
  <c r="V4258"/>
  <c r="U4282"/>
  <c r="T4282"/>
  <c r="T4281"/>
  <c r="U4281"/>
  <c r="U4280"/>
  <c r="T4280"/>
  <c r="V4278"/>
  <c r="V4273"/>
  <c r="V4272"/>
  <c r="V4996"/>
  <c r="T4997"/>
  <c r="U4997"/>
  <c r="T4999"/>
  <c r="U4999"/>
  <c r="V5002"/>
  <c r="V4256"/>
  <c r="U4251"/>
  <c r="T4251"/>
  <c r="V4995"/>
  <c r="U4998"/>
  <c r="T4998"/>
  <c r="V5000"/>
  <c r="V4271"/>
  <c r="V4270"/>
  <c r="V4269"/>
  <c r="V4268"/>
  <c r="V4267"/>
  <c r="V4266"/>
  <c r="V4265"/>
  <c r="V4264"/>
  <c r="V4263"/>
  <c r="V4262"/>
  <c r="V4261"/>
  <c r="V4260"/>
  <c r="V4259"/>
  <c r="V4257"/>
  <c r="T4250"/>
  <c r="U4250"/>
  <c r="U4258"/>
  <c r="T4258"/>
  <c r="V4282"/>
  <c r="V4281"/>
  <c r="V4280"/>
  <c r="U4278"/>
  <c r="T4278"/>
  <c r="T4273"/>
  <c r="U4273"/>
  <c r="U4272"/>
  <c r="T4272"/>
  <c r="U4247"/>
  <c r="T4247"/>
  <c r="V4249"/>
  <c r="V4255"/>
  <c r="V4253"/>
  <c r="U5006"/>
  <c r="T5006"/>
  <c r="T5001"/>
  <c r="U5001"/>
  <c r="V4991"/>
  <c r="T4248"/>
  <c r="U4248"/>
  <c r="V4252"/>
  <c r="T5003"/>
  <c r="U5003"/>
  <c r="U4994"/>
  <c r="T4994"/>
  <c r="V4990"/>
  <c r="V4993"/>
  <c r="V4992"/>
  <c r="V4247"/>
  <c r="U4249"/>
  <c r="T4249"/>
  <c r="T4255"/>
  <c r="U4255"/>
  <c r="U4253"/>
  <c r="T4253"/>
  <c r="V5006"/>
  <c r="V5001"/>
  <c r="T4991"/>
  <c r="U4991"/>
  <c r="V4248"/>
  <c r="T4252"/>
  <c r="U4252"/>
  <c r="V5003"/>
  <c r="V4994"/>
  <c r="U4990"/>
  <c r="T4990"/>
  <c r="T4993"/>
  <c r="U4993"/>
  <c r="U4992"/>
  <c r="T4992"/>
  <c r="T4989"/>
  <c r="U4989"/>
  <c r="V4987"/>
  <c r="T4985"/>
  <c r="U4985"/>
  <c r="U4988"/>
  <c r="T4988"/>
  <c r="V4986"/>
  <c r="U4984"/>
  <c r="T4984"/>
  <c r="V4989"/>
  <c r="T4987"/>
  <c r="U4987"/>
  <c r="V4985"/>
  <c r="V4988"/>
  <c r="U4986"/>
  <c r="T4986"/>
  <c r="V4984"/>
  <c r="U4165"/>
  <c r="T4165"/>
  <c r="V4983"/>
  <c r="V4981"/>
  <c r="V4979"/>
  <c r="T4244"/>
  <c r="U4244"/>
  <c r="U4241"/>
  <c r="T4241"/>
  <c r="V4237"/>
  <c r="V4238"/>
  <c r="V4239"/>
  <c r="V4233"/>
  <c r="V4982"/>
  <c r="U4980"/>
  <c r="T4980"/>
  <c r="V4245"/>
  <c r="U4243"/>
  <c r="T4243"/>
  <c r="T4240"/>
  <c r="U4240"/>
  <c r="V4246"/>
  <c r="T4242"/>
  <c r="U4242"/>
  <c r="V4165"/>
  <c r="T4983"/>
  <c r="U4983"/>
  <c r="T4981"/>
  <c r="U4981"/>
  <c r="T4979"/>
  <c r="U4979"/>
  <c r="V4244"/>
  <c r="V4241"/>
  <c r="U4237"/>
  <c r="T4237"/>
  <c r="T4238"/>
  <c r="U4238"/>
  <c r="U4239"/>
  <c r="T4239"/>
  <c r="U4233"/>
  <c r="T4233"/>
  <c r="U4982"/>
  <c r="T4982"/>
  <c r="V4980"/>
  <c r="U4245"/>
  <c r="T4245"/>
  <c r="V4243"/>
  <c r="V4240"/>
  <c r="T4246"/>
  <c r="U4246"/>
  <c r="V4242"/>
  <c r="T4232"/>
  <c r="U4232"/>
  <c r="U4235"/>
  <c r="T4235"/>
  <c r="T4967"/>
  <c r="U4967"/>
  <c r="V4969"/>
  <c r="T4971"/>
  <c r="U4971"/>
  <c r="V4973"/>
  <c r="T4975"/>
  <c r="U4975"/>
  <c r="V4977"/>
  <c r="V4234"/>
  <c r="T4236"/>
  <c r="U4236"/>
  <c r="U4968"/>
  <c r="T4968"/>
  <c r="V4970"/>
  <c r="U4972"/>
  <c r="T4972"/>
  <c r="V4974"/>
  <c r="U4976"/>
  <c r="T4976"/>
  <c r="V4978"/>
  <c r="V4232"/>
  <c r="V4235"/>
  <c r="V4967"/>
  <c r="T4969"/>
  <c r="U4969"/>
  <c r="V4971"/>
  <c r="T4973"/>
  <c r="U4973"/>
  <c r="V4975"/>
  <c r="T4977"/>
  <c r="U4977"/>
  <c r="T4234"/>
  <c r="U4234"/>
  <c r="V4236"/>
  <c r="V4968"/>
  <c r="U4970"/>
  <c r="T4970"/>
  <c r="V4972"/>
  <c r="U4974"/>
  <c r="T4974"/>
  <c r="V4976"/>
  <c r="U4978"/>
  <c r="T4978"/>
  <c r="U4952"/>
  <c r="T4952"/>
  <c r="V4950"/>
  <c r="V4224"/>
  <c r="T4220"/>
  <c r="U4220"/>
  <c r="V4216"/>
  <c r="T4212"/>
  <c r="U4212"/>
  <c r="V4208"/>
  <c r="V4227"/>
  <c r="T4228"/>
  <c r="U4228"/>
  <c r="U4231"/>
  <c r="T4231"/>
  <c r="V4962"/>
  <c r="U4960"/>
  <c r="T4960"/>
  <c r="U4966"/>
  <c r="T4966"/>
  <c r="U4964"/>
  <c r="T4964"/>
  <c r="V4957"/>
  <c r="V4953"/>
  <c r="V4951"/>
  <c r="V4955"/>
  <c r="V4225"/>
  <c r="U4223"/>
  <c r="T4223"/>
  <c r="V4221"/>
  <c r="U4219"/>
  <c r="T4219"/>
  <c r="V4217"/>
  <c r="U4215"/>
  <c r="T4215"/>
  <c r="V4213"/>
  <c r="U4211"/>
  <c r="T4211"/>
  <c r="V4209"/>
  <c r="U4205"/>
  <c r="T4205"/>
  <c r="T4206"/>
  <c r="U4206"/>
  <c r="U4207"/>
  <c r="T4207"/>
  <c r="V4229"/>
  <c r="T4965"/>
  <c r="U4965"/>
  <c r="V4963"/>
  <c r="V4954"/>
  <c r="V4226"/>
  <c r="T4222"/>
  <c r="U4222"/>
  <c r="V4218"/>
  <c r="T4214"/>
  <c r="U4214"/>
  <c r="V4210"/>
  <c r="T4230"/>
  <c r="U4230"/>
  <c r="U4956"/>
  <c r="T4956"/>
  <c r="V4958"/>
  <c r="V4959"/>
  <c r="T4961"/>
  <c r="U4961"/>
  <c r="V4952"/>
  <c r="U4950"/>
  <c r="T4950"/>
  <c r="T4224"/>
  <c r="U4224"/>
  <c r="V4220"/>
  <c r="T4216"/>
  <c r="U4216"/>
  <c r="V4212"/>
  <c r="T4208"/>
  <c r="U4208"/>
  <c r="U4227"/>
  <c r="T4227"/>
  <c r="V4228"/>
  <c r="V4231"/>
  <c r="U4962"/>
  <c r="T4962"/>
  <c r="V4960"/>
  <c r="V4966"/>
  <c r="V4964"/>
  <c r="T4957"/>
  <c r="U4957"/>
  <c r="T4953"/>
  <c r="U4953"/>
  <c r="T4951"/>
  <c r="U4951"/>
  <c r="T4955"/>
  <c r="U4955"/>
  <c r="U4225"/>
  <c r="T4225"/>
  <c r="V4223"/>
  <c r="U4221"/>
  <c r="T4221"/>
  <c r="V4219"/>
  <c r="U4217"/>
  <c r="T4217"/>
  <c r="V4215"/>
  <c r="U4213"/>
  <c r="T4213"/>
  <c r="V4211"/>
  <c r="U4209"/>
  <c r="T4209"/>
  <c r="V4205"/>
  <c r="V4206"/>
  <c r="V4207"/>
  <c r="U4229"/>
  <c r="T4229"/>
  <c r="V4965"/>
  <c r="T4963"/>
  <c r="U4963"/>
  <c r="U4954"/>
  <c r="T4954"/>
  <c r="T4226"/>
  <c r="U4226"/>
  <c r="V4222"/>
  <c r="T4218"/>
  <c r="U4218"/>
  <c r="V4214"/>
  <c r="T4210"/>
  <c r="U4210"/>
  <c r="V4230"/>
  <c r="V4956"/>
  <c r="U4958"/>
  <c r="T4958"/>
  <c r="T4959"/>
  <c r="U4959"/>
  <c r="V4961"/>
  <c r="V4949"/>
  <c r="V4948"/>
  <c r="T4949"/>
  <c r="U4949"/>
  <c r="U4948"/>
  <c r="T4948"/>
  <c r="U4161"/>
  <c r="T4161"/>
  <c r="V4163"/>
  <c r="V4166"/>
  <c r="T4168"/>
  <c r="U4168"/>
  <c r="V4170"/>
  <c r="T4172"/>
  <c r="U4172"/>
  <c r="V4174"/>
  <c r="T4176"/>
  <c r="U4176"/>
  <c r="V4178"/>
  <c r="T4180"/>
  <c r="U4180"/>
  <c r="V4184"/>
  <c r="T4186"/>
  <c r="U4186"/>
  <c r="V4188"/>
  <c r="T4190"/>
  <c r="U4190"/>
  <c r="V4192"/>
  <c r="V4910"/>
  <c r="U4912"/>
  <c r="T4912"/>
  <c r="V4914"/>
  <c r="U4916"/>
  <c r="T4916"/>
  <c r="V4918"/>
  <c r="U4920"/>
  <c r="T4920"/>
  <c r="V4922"/>
  <c r="U4924"/>
  <c r="T4924"/>
  <c r="V4926"/>
  <c r="U4928"/>
  <c r="T4928"/>
  <c r="V4930"/>
  <c r="U4932"/>
  <c r="T4932"/>
  <c r="V4934"/>
  <c r="U4936"/>
  <c r="T4936"/>
  <c r="V4938"/>
  <c r="V4947"/>
  <c r="V4946"/>
  <c r="U4944"/>
  <c r="T4944"/>
  <c r="V4942"/>
  <c r="U4940"/>
  <c r="T4940"/>
  <c r="T4158"/>
  <c r="U4158"/>
  <c r="V4162"/>
  <c r="T4164"/>
  <c r="U4164"/>
  <c r="U4167"/>
  <c r="T4167"/>
  <c r="V4169"/>
  <c r="U4171"/>
  <c r="T4171"/>
  <c r="V4173"/>
  <c r="U4175"/>
  <c r="T4175"/>
  <c r="V4177"/>
  <c r="U4179"/>
  <c r="T4179"/>
  <c r="V4181"/>
  <c r="U4185"/>
  <c r="T4185"/>
  <c r="V4187"/>
  <c r="U4189"/>
  <c r="T4189"/>
  <c r="V4191"/>
  <c r="V4909"/>
  <c r="T4911"/>
  <c r="U4911"/>
  <c r="V4913"/>
  <c r="T4915"/>
  <c r="U4915"/>
  <c r="V4917"/>
  <c r="T4919"/>
  <c r="U4919"/>
  <c r="V4921"/>
  <c r="T4923"/>
  <c r="U4923"/>
  <c r="V4925"/>
  <c r="T4927"/>
  <c r="U4927"/>
  <c r="V4929"/>
  <c r="T4931"/>
  <c r="U4931"/>
  <c r="V4933"/>
  <c r="T4935"/>
  <c r="U4935"/>
  <c r="V4937"/>
  <c r="V4193"/>
  <c r="V4196"/>
  <c r="V4197"/>
  <c r="V4198"/>
  <c r="V4199"/>
  <c r="V4200"/>
  <c r="V4201"/>
  <c r="V4202"/>
  <c r="V4203"/>
  <c r="V4204"/>
  <c r="T4945"/>
  <c r="U4945"/>
  <c r="V4943"/>
  <c r="T4941"/>
  <c r="U4941"/>
  <c r="V4939"/>
  <c r="V4161"/>
  <c r="U4163"/>
  <c r="T4163"/>
  <c r="T4166"/>
  <c r="U4166"/>
  <c r="V4168"/>
  <c r="T4170"/>
  <c r="U4170"/>
  <c r="V4172"/>
  <c r="T4174"/>
  <c r="U4174"/>
  <c r="V4176"/>
  <c r="T4178"/>
  <c r="U4178"/>
  <c r="V4180"/>
  <c r="T4184"/>
  <c r="U4184"/>
  <c r="V4186"/>
  <c r="T4188"/>
  <c r="U4188"/>
  <c r="V4190"/>
  <c r="T4192"/>
  <c r="U4192"/>
  <c r="U4910"/>
  <c r="T4910"/>
  <c r="V4912"/>
  <c r="U4914"/>
  <c r="T4914"/>
  <c r="V4916"/>
  <c r="U4918"/>
  <c r="T4918"/>
  <c r="V4920"/>
  <c r="U4922"/>
  <c r="T4922"/>
  <c r="V4924"/>
  <c r="U4926"/>
  <c r="T4926"/>
  <c r="V4928"/>
  <c r="U4930"/>
  <c r="T4930"/>
  <c r="V4932"/>
  <c r="U4934"/>
  <c r="T4934"/>
  <c r="V4936"/>
  <c r="U4938"/>
  <c r="T4938"/>
  <c r="T4947"/>
  <c r="U4947"/>
  <c r="U4946"/>
  <c r="T4946"/>
  <c r="V4944"/>
  <c r="U4942"/>
  <c r="T4942"/>
  <c r="V4940"/>
  <c r="V4158"/>
  <c r="T4162"/>
  <c r="U4162"/>
  <c r="V4164"/>
  <c r="V4167"/>
  <c r="U4169"/>
  <c r="T4169"/>
  <c r="V4171"/>
  <c r="U4173"/>
  <c r="T4173"/>
  <c r="V4175"/>
  <c r="U4177"/>
  <c r="T4177"/>
  <c r="V4179"/>
  <c r="U4181"/>
  <c r="T4181"/>
  <c r="V4185"/>
  <c r="U4187"/>
  <c r="T4187"/>
  <c r="V4189"/>
  <c r="U4191"/>
  <c r="T4191"/>
  <c r="T4909"/>
  <c r="U4909"/>
  <c r="V4911"/>
  <c r="T4913"/>
  <c r="U4913"/>
  <c r="V4915"/>
  <c r="T4917"/>
  <c r="U4917"/>
  <c r="V4919"/>
  <c r="T4921"/>
  <c r="U4921"/>
  <c r="V4923"/>
  <c r="T4925"/>
  <c r="U4925"/>
  <c r="V4927"/>
  <c r="T4929"/>
  <c r="U4929"/>
  <c r="V4931"/>
  <c r="T4933"/>
  <c r="U4933"/>
  <c r="V4935"/>
  <c r="T4937"/>
  <c r="U4937"/>
  <c r="U4193"/>
  <c r="T4193"/>
  <c r="T4196"/>
  <c r="U4196"/>
  <c r="U4197"/>
  <c r="T4197"/>
  <c r="T4198"/>
  <c r="U4198"/>
  <c r="U4199"/>
  <c r="T4199"/>
  <c r="T4200"/>
  <c r="U4200"/>
  <c r="U4201"/>
  <c r="T4201"/>
  <c r="T4202"/>
  <c r="U4202"/>
  <c r="U4203"/>
  <c r="T4203"/>
  <c r="T4204"/>
  <c r="U4204"/>
  <c r="V4945"/>
  <c r="T4943"/>
  <c r="U4943"/>
  <c r="V4941"/>
  <c r="T4939"/>
  <c r="U4939"/>
  <c r="T4100"/>
  <c r="U4100"/>
  <c r="T4096"/>
  <c r="U4096"/>
  <c r="T4086"/>
  <c r="U4086"/>
  <c r="V4041"/>
  <c r="T4018"/>
  <c r="U4018"/>
  <c r="V4109"/>
  <c r="T4110"/>
  <c r="U4110"/>
  <c r="U4904"/>
  <c r="T4904"/>
  <c r="V4100"/>
  <c r="V4096"/>
  <c r="V4086"/>
  <c r="U4041"/>
  <c r="T4041"/>
  <c r="V4018"/>
  <c r="U4109"/>
  <c r="T4109"/>
  <c r="V4110"/>
  <c r="V4904"/>
  <c r="V4102"/>
  <c r="V4116"/>
  <c r="U4117"/>
  <c r="T4117"/>
  <c r="V4118"/>
  <c r="U4119"/>
  <c r="T4119"/>
  <c r="V4120"/>
  <c r="U4121"/>
  <c r="T4121"/>
  <c r="V4122"/>
  <c r="U4123"/>
  <c r="T4123"/>
  <c r="V4124"/>
  <c r="U4125"/>
  <c r="T4125"/>
  <c r="V4126"/>
  <c r="U4127"/>
  <c r="T4127"/>
  <c r="V4128"/>
  <c r="U4129"/>
  <c r="T4129"/>
  <c r="V4130"/>
  <c r="U4131"/>
  <c r="T4131"/>
  <c r="V4132"/>
  <c r="U4133"/>
  <c r="T4133"/>
  <c r="V4134"/>
  <c r="U4135"/>
  <c r="T4135"/>
  <c r="V4138"/>
  <c r="U4139"/>
  <c r="T4139"/>
  <c r="V4140"/>
  <c r="U4141"/>
  <c r="T4141"/>
  <c r="V4142"/>
  <c r="U4143"/>
  <c r="T4143"/>
  <c r="V4144"/>
  <c r="U4145"/>
  <c r="T4145"/>
  <c r="V4146"/>
  <c r="U4147"/>
  <c r="T4147"/>
  <c r="V4148"/>
  <c r="U4149"/>
  <c r="T4149"/>
  <c r="V4150"/>
  <c r="U4151"/>
  <c r="T4151"/>
  <c r="V4152"/>
  <c r="U4153"/>
  <c r="T4153"/>
  <c r="V4154"/>
  <c r="U4155"/>
  <c r="T4155"/>
  <c r="V4156"/>
  <c r="V4880"/>
  <c r="V4881"/>
  <c r="V4882"/>
  <c r="V4883"/>
  <c r="V4884"/>
  <c r="V4885"/>
  <c r="V4886"/>
  <c r="V4887"/>
  <c r="V4888"/>
  <c r="V4889"/>
  <c r="V4890"/>
  <c r="V4891"/>
  <c r="V4892"/>
  <c r="V4893"/>
  <c r="V4894"/>
  <c r="V4899"/>
  <c r="V4900"/>
  <c r="V4901"/>
  <c r="V4902"/>
  <c r="V4903"/>
  <c r="V2781"/>
  <c r="V4099"/>
  <c r="V4101"/>
  <c r="T4104"/>
  <c r="U4104"/>
  <c r="V4105"/>
  <c r="T4106"/>
  <c r="U4106"/>
  <c r="V4107"/>
  <c r="T4108"/>
  <c r="U4108"/>
  <c r="V4111"/>
  <c r="T4112"/>
  <c r="U4112"/>
  <c r="V4113"/>
  <c r="T4114"/>
  <c r="U4114"/>
  <c r="V4115"/>
  <c r="T4136"/>
  <c r="U4136"/>
  <c r="V4157"/>
  <c r="V4865"/>
  <c r="V4866"/>
  <c r="V4867"/>
  <c r="V4868"/>
  <c r="V4869"/>
  <c r="V4870"/>
  <c r="V4871"/>
  <c r="V4872"/>
  <c r="V4873"/>
  <c r="V4874"/>
  <c r="V4875"/>
  <c r="V4876"/>
  <c r="V4877"/>
  <c r="V4878"/>
  <c r="V4879"/>
  <c r="T4895"/>
  <c r="U4895"/>
  <c r="U4896"/>
  <c r="T4896"/>
  <c r="T4897"/>
  <c r="U4897"/>
  <c r="U4898"/>
  <c r="T4898"/>
  <c r="V4906"/>
  <c r="V4898"/>
  <c r="T4906"/>
  <c r="T4102"/>
  <c r="U4102"/>
  <c r="T4116"/>
  <c r="U4116"/>
  <c r="V4117"/>
  <c r="T4118"/>
  <c r="U4118"/>
  <c r="V4119"/>
  <c r="T4120"/>
  <c r="U4120"/>
  <c r="V4121"/>
  <c r="T4122"/>
  <c r="U4122"/>
  <c r="V4123"/>
  <c r="T4124"/>
  <c r="U4124"/>
  <c r="V4125"/>
  <c r="T4126"/>
  <c r="U4126"/>
  <c r="V4127"/>
  <c r="T4128"/>
  <c r="U4128"/>
  <c r="V4129"/>
  <c r="T4130"/>
  <c r="U4130"/>
  <c r="V4131"/>
  <c r="T4132"/>
  <c r="U4132"/>
  <c r="V4133"/>
  <c r="T4134"/>
  <c r="U4134"/>
  <c r="V4135"/>
  <c r="T4138"/>
  <c r="U4138"/>
  <c r="V4139"/>
  <c r="T4140"/>
  <c r="U4140"/>
  <c r="V4141"/>
  <c r="T4142"/>
  <c r="U4142"/>
  <c r="V4143"/>
  <c r="T4144"/>
  <c r="U4144"/>
  <c r="V4145"/>
  <c r="T4146"/>
  <c r="U4146"/>
  <c r="V4147"/>
  <c r="T4148"/>
  <c r="U4148"/>
  <c r="V4149"/>
  <c r="T4150"/>
  <c r="U4150"/>
  <c r="V4151"/>
  <c r="T4152"/>
  <c r="U4152"/>
  <c r="V4153"/>
  <c r="T4154"/>
  <c r="U4154"/>
  <c r="V4155"/>
  <c r="T4156"/>
  <c r="U4156"/>
  <c r="U4880"/>
  <c r="T4880"/>
  <c r="T4881"/>
  <c r="U4881"/>
  <c r="U4882"/>
  <c r="T4882"/>
  <c r="T4883"/>
  <c r="U4883"/>
  <c r="U4884"/>
  <c r="T4884"/>
  <c r="T4885"/>
  <c r="U4885"/>
  <c r="U4886"/>
  <c r="T4886"/>
  <c r="T4887"/>
  <c r="U4887"/>
  <c r="U4888"/>
  <c r="T4888"/>
  <c r="T4889"/>
  <c r="U4889"/>
  <c r="U4890"/>
  <c r="T4890"/>
  <c r="T4891"/>
  <c r="U4891"/>
  <c r="U4892"/>
  <c r="T4892"/>
  <c r="T4893"/>
  <c r="U4893"/>
  <c r="U4894"/>
  <c r="T4894"/>
  <c r="T4899"/>
  <c r="U4899"/>
  <c r="U4900"/>
  <c r="T4900"/>
  <c r="T4901"/>
  <c r="U4901"/>
  <c r="U4902"/>
  <c r="T4902"/>
  <c r="T4903"/>
  <c r="U4903"/>
  <c r="T2781"/>
  <c r="U2781"/>
  <c r="U4099"/>
  <c r="T4099"/>
  <c r="U4101"/>
  <c r="T4101"/>
  <c r="V4104"/>
  <c r="U4105"/>
  <c r="T4105"/>
  <c r="V4106"/>
  <c r="U4107"/>
  <c r="T4107"/>
  <c r="V4108"/>
  <c r="U4111"/>
  <c r="T4111"/>
  <c r="V4112"/>
  <c r="U4113"/>
  <c r="T4113"/>
  <c r="V4114"/>
  <c r="U4115"/>
  <c r="T4115"/>
  <c r="V4136"/>
  <c r="U4157"/>
  <c r="T4157"/>
  <c r="T4865"/>
  <c r="U4865"/>
  <c r="U4866"/>
  <c r="T4866"/>
  <c r="T4867"/>
  <c r="U4867"/>
  <c r="U4868"/>
  <c r="T4868"/>
  <c r="T4869"/>
  <c r="U4869"/>
  <c r="U4870"/>
  <c r="T4870"/>
  <c r="T4871"/>
  <c r="U4871"/>
  <c r="U4872"/>
  <c r="T4872"/>
  <c r="T4873"/>
  <c r="U4873"/>
  <c r="U4874"/>
  <c r="T4874"/>
  <c r="T4875"/>
  <c r="U4875"/>
  <c r="U4876"/>
  <c r="T4876"/>
  <c r="T4877"/>
  <c r="U4877"/>
  <c r="U4878"/>
  <c r="T4878"/>
  <c r="T4879"/>
  <c r="U4879"/>
  <c r="V4895"/>
  <c r="V4896"/>
  <c r="V4897"/>
  <c r="U4906"/>
  <c r="V3757"/>
  <c r="T3758"/>
  <c r="U3758"/>
  <c r="V3759"/>
  <c r="U3757"/>
  <c r="T3757"/>
  <c r="V3758"/>
  <c r="U3759"/>
  <c r="T3759"/>
  <c r="T4092"/>
  <c r="U4092"/>
  <c r="V4093"/>
  <c r="V4092"/>
  <c r="U4093"/>
  <c r="T4093"/>
  <c r="T3824"/>
  <c r="U3824"/>
  <c r="V3825"/>
  <c r="V3824"/>
  <c r="U3825"/>
  <c r="T3825"/>
  <c r="T3806"/>
  <c r="U3806"/>
  <c r="V3805"/>
  <c r="V3807"/>
  <c r="V3806"/>
  <c r="U3805"/>
  <c r="T3805"/>
  <c r="U3807"/>
  <c r="T3807"/>
  <c r="V3763"/>
  <c r="T3714"/>
  <c r="U3714"/>
  <c r="T3788"/>
  <c r="U3788"/>
  <c r="U3813"/>
  <c r="T3813"/>
  <c r="U3849"/>
  <c r="T3849"/>
  <c r="V3814"/>
  <c r="U3597"/>
  <c r="T3597"/>
  <c r="U3763"/>
  <c r="T3763"/>
  <c r="V3714"/>
  <c r="V3788"/>
  <c r="V3813"/>
  <c r="V3849"/>
  <c r="T3814"/>
  <c r="U3814"/>
  <c r="V3597"/>
  <c r="T3958"/>
  <c r="U3958"/>
  <c r="T3976"/>
  <c r="U3976"/>
  <c r="V3958"/>
  <c r="V3976"/>
  <c r="T3708"/>
  <c r="U3708"/>
  <c r="V3819"/>
  <c r="T3820"/>
  <c r="U3820"/>
  <c r="V3821"/>
  <c r="T3822"/>
  <c r="U3822"/>
  <c r="V3823"/>
  <c r="T3826"/>
  <c r="V3827"/>
  <c r="U3828"/>
  <c r="T3830"/>
  <c r="T3832"/>
  <c r="V3833"/>
  <c r="U3834"/>
  <c r="V3708"/>
  <c r="U3819"/>
  <c r="T3819"/>
  <c r="V3820"/>
  <c r="U3821"/>
  <c r="T3821"/>
  <c r="V3822"/>
  <c r="U3823"/>
  <c r="T3823"/>
  <c r="V3826"/>
  <c r="U3827"/>
  <c r="T3827"/>
  <c r="V3828"/>
  <c r="U3829"/>
  <c r="T3829"/>
  <c r="V3830"/>
  <c r="U3831"/>
  <c r="T3831"/>
  <c r="V3832"/>
  <c r="U3833"/>
  <c r="T3833"/>
  <c r="V3834"/>
  <c r="U3826"/>
  <c r="T3828"/>
  <c r="V3829"/>
  <c r="U3830"/>
  <c r="V3831"/>
  <c r="U3832"/>
  <c r="T3834"/>
  <c r="V4816"/>
  <c r="V4817"/>
  <c r="V4818"/>
  <c r="V4819"/>
  <c r="V4820"/>
  <c r="V4821"/>
  <c r="V4824"/>
  <c r="U4858"/>
  <c r="T4858"/>
  <c r="V4825"/>
  <c r="V4076"/>
  <c r="V4830"/>
  <c r="V4829"/>
  <c r="V4828"/>
  <c r="U4848"/>
  <c r="T4848"/>
  <c r="V4846"/>
  <c r="U4852"/>
  <c r="T4852"/>
  <c r="T4853"/>
  <c r="U4853"/>
  <c r="U4854"/>
  <c r="T4854"/>
  <c r="T4855"/>
  <c r="U4855"/>
  <c r="U4856"/>
  <c r="T4856"/>
  <c r="T4857"/>
  <c r="U4857"/>
  <c r="V4859"/>
  <c r="V4860"/>
  <c r="V4861"/>
  <c r="V4862"/>
  <c r="V4863"/>
  <c r="V4090"/>
  <c r="V4840"/>
  <c r="V4841"/>
  <c r="V4842"/>
  <c r="V4843"/>
  <c r="V4844"/>
  <c r="T4078"/>
  <c r="U4078"/>
  <c r="V4081"/>
  <c r="V4085"/>
  <c r="V4089"/>
  <c r="T4098"/>
  <c r="U4098"/>
  <c r="V4907"/>
  <c r="U4025"/>
  <c r="T4025"/>
  <c r="T4070"/>
  <c r="U4070"/>
  <c r="V4069"/>
  <c r="V4831"/>
  <c r="T4835"/>
  <c r="U4835"/>
  <c r="U4836"/>
  <c r="T4836"/>
  <c r="V4834"/>
  <c r="U4832"/>
  <c r="T4832"/>
  <c r="T4833"/>
  <c r="U4833"/>
  <c r="V4837"/>
  <c r="V4838"/>
  <c r="V4839"/>
  <c r="T4847"/>
  <c r="U4847"/>
  <c r="V4845"/>
  <c r="V4864"/>
  <c r="V4905"/>
  <c r="V4094"/>
  <c r="U4095"/>
  <c r="T4095"/>
  <c r="U4097"/>
  <c r="T4097"/>
  <c r="V4082"/>
  <c r="U4908"/>
  <c r="T4908"/>
  <c r="U4816"/>
  <c r="T4816"/>
  <c r="T4817"/>
  <c r="U4817"/>
  <c r="U4818"/>
  <c r="T4818"/>
  <c r="T4819"/>
  <c r="U4819"/>
  <c r="U4820"/>
  <c r="T4820"/>
  <c r="T4821"/>
  <c r="U4821"/>
  <c r="U4824"/>
  <c r="T4824"/>
  <c r="V4858"/>
  <c r="T4825"/>
  <c r="U4825"/>
  <c r="T4076"/>
  <c r="U4076"/>
  <c r="U4830"/>
  <c r="T4830"/>
  <c r="T4829"/>
  <c r="U4829"/>
  <c r="U4828"/>
  <c r="T4828"/>
  <c r="V4848"/>
  <c r="U4846"/>
  <c r="T4846"/>
  <c r="V4852"/>
  <c r="V4853"/>
  <c r="V4854"/>
  <c r="V4855"/>
  <c r="V4856"/>
  <c r="V4857"/>
  <c r="T4859"/>
  <c r="U4859"/>
  <c r="U4860"/>
  <c r="T4860"/>
  <c r="T4861"/>
  <c r="U4861"/>
  <c r="U4862"/>
  <c r="T4862"/>
  <c r="T4863"/>
  <c r="U4863"/>
  <c r="T4090"/>
  <c r="U4090"/>
  <c r="U4840"/>
  <c r="T4840"/>
  <c r="T4841"/>
  <c r="U4841"/>
  <c r="U4842"/>
  <c r="T4842"/>
  <c r="T4843"/>
  <c r="U4843"/>
  <c r="U4844"/>
  <c r="T4844"/>
  <c r="V4078"/>
  <c r="U4081"/>
  <c r="T4081"/>
  <c r="U4085"/>
  <c r="T4085"/>
  <c r="U4089"/>
  <c r="T4089"/>
  <c r="V4098"/>
  <c r="T4907"/>
  <c r="U4907"/>
  <c r="V4025"/>
  <c r="V4070"/>
  <c r="U4069"/>
  <c r="T4069"/>
  <c r="T4831"/>
  <c r="U4831"/>
  <c r="V4835"/>
  <c r="V4836"/>
  <c r="U4834"/>
  <c r="T4834"/>
  <c r="V4832"/>
  <c r="V4833"/>
  <c r="T4837"/>
  <c r="U4837"/>
  <c r="U4838"/>
  <c r="T4838"/>
  <c r="T4839"/>
  <c r="U4839"/>
  <c r="V4847"/>
  <c r="T4845"/>
  <c r="U4845"/>
  <c r="U4864"/>
  <c r="T4864"/>
  <c r="T4905"/>
  <c r="U4905"/>
  <c r="T4094"/>
  <c r="U4094"/>
  <c r="V4095"/>
  <c r="V4097"/>
  <c r="T4082"/>
  <c r="U4082"/>
  <c r="V4908"/>
  <c r="T4361"/>
  <c r="U4361"/>
  <c r="T4369"/>
  <c r="U4369"/>
  <c r="V4340"/>
  <c r="U4342"/>
  <c r="T4342"/>
  <c r="V4344"/>
  <c r="U4346"/>
  <c r="T4346"/>
  <c r="V4348"/>
  <c r="U4350"/>
  <c r="T4350"/>
  <c r="V4352"/>
  <c r="U4354"/>
  <c r="T4354"/>
  <c r="V4356"/>
  <c r="U4358"/>
  <c r="T4358"/>
  <c r="U3643"/>
  <c r="T3643"/>
  <c r="V4362"/>
  <c r="V4363"/>
  <c r="T4365"/>
  <c r="U4365"/>
  <c r="V3661"/>
  <c r="U4368"/>
  <c r="T4368"/>
  <c r="T4371"/>
  <c r="U4371"/>
  <c r="V3625"/>
  <c r="V3627"/>
  <c r="V3629"/>
  <c r="V3631"/>
  <c r="V3633"/>
  <c r="V3635"/>
  <c r="V3637"/>
  <c r="V3639"/>
  <c r="V3641"/>
  <c r="T3644"/>
  <c r="U3644"/>
  <c r="T3646"/>
  <c r="U3646"/>
  <c r="T3648"/>
  <c r="U3648"/>
  <c r="T3650"/>
  <c r="U3650"/>
  <c r="T3652"/>
  <c r="U3652"/>
  <c r="T3654"/>
  <c r="U3654"/>
  <c r="T3656"/>
  <c r="U3656"/>
  <c r="T3658"/>
  <c r="U3658"/>
  <c r="T3662"/>
  <c r="U3662"/>
  <c r="T3664"/>
  <c r="U3664"/>
  <c r="T3666"/>
  <c r="U3666"/>
  <c r="T3668"/>
  <c r="U3668"/>
  <c r="T3670"/>
  <c r="U3670"/>
  <c r="T3672"/>
  <c r="U3672"/>
  <c r="V3675"/>
  <c r="V3677"/>
  <c r="V3679"/>
  <c r="V3681"/>
  <c r="V3683"/>
  <c r="V3685"/>
  <c r="V3687"/>
  <c r="V3689"/>
  <c r="V3691"/>
  <c r="V3693"/>
  <c r="V3695"/>
  <c r="V3697"/>
  <c r="V3699"/>
  <c r="V3701"/>
  <c r="V3703"/>
  <c r="V3705"/>
  <c r="T4375"/>
  <c r="U4375"/>
  <c r="V4385"/>
  <c r="V4396"/>
  <c r="U3707"/>
  <c r="T3707"/>
  <c r="V3710"/>
  <c r="V3712"/>
  <c r="U3715"/>
  <c r="T3715"/>
  <c r="U3717"/>
  <c r="T3717"/>
  <c r="U3719"/>
  <c r="T3719"/>
  <c r="U3721"/>
  <c r="T3721"/>
  <c r="U3723"/>
  <c r="T3723"/>
  <c r="U3725"/>
  <c r="T3725"/>
  <c r="U3727"/>
  <c r="T3727"/>
  <c r="U3741"/>
  <c r="T3741"/>
  <c r="V3730"/>
  <c r="V3732"/>
  <c r="V3734"/>
  <c r="V3736"/>
  <c r="V3738"/>
  <c r="V3740"/>
  <c r="V4374"/>
  <c r="V4377"/>
  <c r="T4379"/>
  <c r="U4379"/>
  <c r="V4381"/>
  <c r="T4383"/>
  <c r="U4383"/>
  <c r="U4386"/>
  <c r="T4386"/>
  <c r="T4389"/>
  <c r="U4389"/>
  <c r="V4391"/>
  <c r="T4393"/>
  <c r="U4393"/>
  <c r="V4395"/>
  <c r="T4399"/>
  <c r="U4399"/>
  <c r="V4401"/>
  <c r="T4403"/>
  <c r="U4403"/>
  <c r="U4406"/>
  <c r="T4406"/>
  <c r="T4367"/>
  <c r="U4367"/>
  <c r="T4339"/>
  <c r="U4339"/>
  <c r="V4341"/>
  <c r="T4343"/>
  <c r="U4343"/>
  <c r="V4345"/>
  <c r="T4347"/>
  <c r="U4347"/>
  <c r="V4349"/>
  <c r="T4351"/>
  <c r="U4351"/>
  <c r="V4353"/>
  <c r="T4355"/>
  <c r="U4355"/>
  <c r="V4357"/>
  <c r="T4359"/>
  <c r="U4359"/>
  <c r="U4360"/>
  <c r="T4360"/>
  <c r="V3660"/>
  <c r="V4364"/>
  <c r="U4366"/>
  <c r="T4366"/>
  <c r="U3673"/>
  <c r="T3673"/>
  <c r="V4370"/>
  <c r="U4372"/>
  <c r="T4372"/>
  <c r="V3626"/>
  <c r="V3628"/>
  <c r="V3630"/>
  <c r="V3632"/>
  <c r="V3634"/>
  <c r="V3636"/>
  <c r="V3638"/>
  <c r="V3640"/>
  <c r="V3642"/>
  <c r="U3645"/>
  <c r="T3645"/>
  <c r="U3647"/>
  <c r="T3647"/>
  <c r="U3649"/>
  <c r="T3649"/>
  <c r="U3651"/>
  <c r="T3651"/>
  <c r="U3653"/>
  <c r="T3653"/>
  <c r="U3655"/>
  <c r="T3655"/>
  <c r="U3657"/>
  <c r="T3657"/>
  <c r="U3659"/>
  <c r="T3659"/>
  <c r="U3663"/>
  <c r="T3663"/>
  <c r="U3665"/>
  <c r="T3665"/>
  <c r="U3667"/>
  <c r="T3667"/>
  <c r="U3669"/>
  <c r="T3669"/>
  <c r="U3671"/>
  <c r="T3671"/>
  <c r="V3674"/>
  <c r="V3676"/>
  <c r="V3678"/>
  <c r="V3680"/>
  <c r="V3682"/>
  <c r="V3684"/>
  <c r="V3686"/>
  <c r="V3688"/>
  <c r="V3690"/>
  <c r="V3692"/>
  <c r="V3694"/>
  <c r="V3696"/>
  <c r="V3698"/>
  <c r="V3700"/>
  <c r="V3702"/>
  <c r="V3704"/>
  <c r="V3228"/>
  <c r="T4387"/>
  <c r="U4387"/>
  <c r="T4397"/>
  <c r="U4397"/>
  <c r="U4404"/>
  <c r="T4404"/>
  <c r="T3706"/>
  <c r="U3706"/>
  <c r="V3709"/>
  <c r="V3711"/>
  <c r="V3713"/>
  <c r="T3716"/>
  <c r="U3716"/>
  <c r="T3718"/>
  <c r="U3718"/>
  <c r="T3720"/>
  <c r="U3720"/>
  <c r="T3722"/>
  <c r="U3722"/>
  <c r="T3724"/>
  <c r="U3724"/>
  <c r="T3726"/>
  <c r="U3726"/>
  <c r="T3728"/>
  <c r="U3728"/>
  <c r="V3729"/>
  <c r="V3731"/>
  <c r="V4361"/>
  <c r="V4369"/>
  <c r="U4340"/>
  <c r="T4340"/>
  <c r="V4342"/>
  <c r="U4344"/>
  <c r="T4344"/>
  <c r="V4346"/>
  <c r="U4348"/>
  <c r="T4348"/>
  <c r="V4350"/>
  <c r="U4352"/>
  <c r="T4352"/>
  <c r="V4354"/>
  <c r="U4356"/>
  <c r="T4356"/>
  <c r="V4358"/>
  <c r="V3643"/>
  <c r="U4362"/>
  <c r="T4362"/>
  <c r="T4363"/>
  <c r="U4363"/>
  <c r="V4365"/>
  <c r="U3661"/>
  <c r="T3661"/>
  <c r="V4368"/>
  <c r="V4371"/>
  <c r="U3625"/>
  <c r="T3625"/>
  <c r="U3627"/>
  <c r="T3627"/>
  <c r="U3629"/>
  <c r="T3629"/>
  <c r="U3631"/>
  <c r="T3631"/>
  <c r="U3633"/>
  <c r="T3633"/>
  <c r="U3635"/>
  <c r="T3635"/>
  <c r="U3637"/>
  <c r="T3637"/>
  <c r="U3639"/>
  <c r="T3639"/>
  <c r="U3641"/>
  <c r="T3641"/>
  <c r="V3644"/>
  <c r="V3646"/>
  <c r="V3648"/>
  <c r="V3650"/>
  <c r="V3652"/>
  <c r="V3654"/>
  <c r="V3656"/>
  <c r="V3658"/>
  <c r="V3662"/>
  <c r="V3664"/>
  <c r="V3666"/>
  <c r="V3668"/>
  <c r="V3670"/>
  <c r="V3672"/>
  <c r="U3675"/>
  <c r="T3675"/>
  <c r="U3677"/>
  <c r="T3677"/>
  <c r="U3679"/>
  <c r="T3679"/>
  <c r="U3681"/>
  <c r="T3681"/>
  <c r="U3683"/>
  <c r="T3683"/>
  <c r="U3685"/>
  <c r="T3685"/>
  <c r="U3687"/>
  <c r="T3687"/>
  <c r="U3689"/>
  <c r="T3689"/>
  <c r="U3691"/>
  <c r="T3691"/>
  <c r="U3693"/>
  <c r="T3693"/>
  <c r="U3695"/>
  <c r="T3695"/>
  <c r="U3697"/>
  <c r="T3697"/>
  <c r="U3699"/>
  <c r="T3699"/>
  <c r="U3701"/>
  <c r="T3701"/>
  <c r="U3703"/>
  <c r="T3703"/>
  <c r="U3705"/>
  <c r="T3705"/>
  <c r="V4375"/>
  <c r="T4385"/>
  <c r="U4385"/>
  <c r="U4396"/>
  <c r="T4396"/>
  <c r="V3707"/>
  <c r="T3710"/>
  <c r="U3710"/>
  <c r="T3712"/>
  <c r="U3712"/>
  <c r="V3715"/>
  <c r="V3717"/>
  <c r="V3719"/>
  <c r="V3721"/>
  <c r="V3723"/>
  <c r="V3725"/>
  <c r="V3727"/>
  <c r="V3741"/>
  <c r="T3730"/>
  <c r="U3730"/>
  <c r="T3732"/>
  <c r="U3732"/>
  <c r="T3734"/>
  <c r="U3734"/>
  <c r="T3736"/>
  <c r="U3736"/>
  <c r="T3738"/>
  <c r="U3738"/>
  <c r="T3740"/>
  <c r="U3740"/>
  <c r="U4374"/>
  <c r="T4374"/>
  <c r="T4377"/>
  <c r="U4377"/>
  <c r="V4379"/>
  <c r="T4381"/>
  <c r="U4381"/>
  <c r="V4383"/>
  <c r="V4386"/>
  <c r="V4389"/>
  <c r="T4391"/>
  <c r="U4391"/>
  <c r="V4393"/>
  <c r="T4395"/>
  <c r="U4395"/>
  <c r="V4399"/>
  <c r="T4401"/>
  <c r="U4401"/>
  <c r="V4403"/>
  <c r="V4406"/>
  <c r="V4367"/>
  <c r="V4339"/>
  <c r="T4341"/>
  <c r="U4341"/>
  <c r="V4343"/>
  <c r="T4345"/>
  <c r="U4345"/>
  <c r="V4347"/>
  <c r="T4349"/>
  <c r="U4349"/>
  <c r="V4351"/>
  <c r="T4353"/>
  <c r="U4353"/>
  <c r="V4355"/>
  <c r="T4357"/>
  <c r="U4357"/>
  <c r="V4359"/>
  <c r="V4360"/>
  <c r="T3660"/>
  <c r="U3660"/>
  <c r="U4364"/>
  <c r="T4364"/>
  <c r="V4366"/>
  <c r="V3673"/>
  <c r="U4370"/>
  <c r="T4370"/>
  <c r="V4372"/>
  <c r="T3626"/>
  <c r="U3626"/>
  <c r="T3628"/>
  <c r="U3628"/>
  <c r="T3630"/>
  <c r="U3630"/>
  <c r="T3632"/>
  <c r="U3632"/>
  <c r="T3634"/>
  <c r="U3634"/>
  <c r="T3636"/>
  <c r="U3636"/>
  <c r="T3638"/>
  <c r="U3638"/>
  <c r="T3640"/>
  <c r="U3640"/>
  <c r="T3642"/>
  <c r="U3642"/>
  <c r="V3645"/>
  <c r="V3647"/>
  <c r="V3649"/>
  <c r="V3651"/>
  <c r="V3653"/>
  <c r="V3655"/>
  <c r="V3657"/>
  <c r="V3659"/>
  <c r="V3663"/>
  <c r="V3665"/>
  <c r="V3667"/>
  <c r="V3669"/>
  <c r="V3671"/>
  <c r="T3674"/>
  <c r="U3674"/>
  <c r="T3676"/>
  <c r="U3676"/>
  <c r="T3678"/>
  <c r="U3678"/>
  <c r="T3680"/>
  <c r="U3680"/>
  <c r="T3682"/>
  <c r="U3682"/>
  <c r="T3684"/>
  <c r="U3684"/>
  <c r="T3686"/>
  <c r="U3686"/>
  <c r="T3688"/>
  <c r="U3688"/>
  <c r="T3690"/>
  <c r="U3690"/>
  <c r="T3692"/>
  <c r="U3692"/>
  <c r="T3694"/>
  <c r="U3694"/>
  <c r="T3696"/>
  <c r="U3696"/>
  <c r="T3698"/>
  <c r="U3698"/>
  <c r="T3700"/>
  <c r="U3700"/>
  <c r="T3702"/>
  <c r="U3702"/>
  <c r="T3704"/>
  <c r="U3704"/>
  <c r="T3228"/>
  <c r="U3228"/>
  <c r="V4387"/>
  <c r="V4397"/>
  <c r="V4404"/>
  <c r="V3706"/>
  <c r="U3709"/>
  <c r="T3709"/>
  <c r="U3711"/>
  <c r="T3711"/>
  <c r="U3713"/>
  <c r="T3713"/>
  <c r="V3716"/>
  <c r="V3718"/>
  <c r="V3720"/>
  <c r="V3722"/>
  <c r="V3724"/>
  <c r="V3726"/>
  <c r="V3728"/>
  <c r="U3729"/>
  <c r="T3729"/>
  <c r="U3731"/>
  <c r="T3731"/>
  <c r="U3733"/>
  <c r="T3733"/>
  <c r="V3733"/>
  <c r="V3735"/>
  <c r="V3737"/>
  <c r="V3739"/>
  <c r="V4373"/>
  <c r="V4376"/>
  <c r="U4378"/>
  <c r="T4378"/>
  <c r="V4380"/>
  <c r="U4382"/>
  <c r="T4382"/>
  <c r="V4384"/>
  <c r="U4388"/>
  <c r="T4388"/>
  <c r="V4390"/>
  <c r="U4392"/>
  <c r="T4392"/>
  <c r="V4394"/>
  <c r="U4398"/>
  <c r="T4398"/>
  <c r="V4400"/>
  <c r="U4402"/>
  <c r="T4402"/>
  <c r="T4405"/>
  <c r="U4405"/>
  <c r="T4415"/>
  <c r="U4415"/>
  <c r="V4447"/>
  <c r="T4465"/>
  <c r="U4465"/>
  <c r="V4471"/>
  <c r="T4481"/>
  <c r="U4481"/>
  <c r="U4446"/>
  <c r="T4446"/>
  <c r="V4470"/>
  <c r="V4479"/>
  <c r="U4408"/>
  <c r="T4408"/>
  <c r="T4409"/>
  <c r="U4409"/>
  <c r="V4411"/>
  <c r="T4413"/>
  <c r="U4413"/>
  <c r="V4417"/>
  <c r="T4419"/>
  <c r="U4419"/>
  <c r="V4421"/>
  <c r="T4423"/>
  <c r="U4423"/>
  <c r="V4425"/>
  <c r="T4427"/>
  <c r="U4427"/>
  <c r="V4429"/>
  <c r="T4431"/>
  <c r="U4431"/>
  <c r="V4433"/>
  <c r="T4435"/>
  <c r="U4435"/>
  <c r="V4437"/>
  <c r="T4439"/>
  <c r="U4439"/>
  <c r="V4441"/>
  <c r="T4443"/>
  <c r="U4443"/>
  <c r="V4445"/>
  <c r="V4450"/>
  <c r="U4452"/>
  <c r="T4452"/>
  <c r="V4454"/>
  <c r="U4456"/>
  <c r="T4456"/>
  <c r="V4458"/>
  <c r="U4460"/>
  <c r="T4460"/>
  <c r="V4462"/>
  <c r="U4464"/>
  <c r="T4464"/>
  <c r="T4467"/>
  <c r="U4467"/>
  <c r="V3761"/>
  <c r="U4472"/>
  <c r="T4472"/>
  <c r="V4474"/>
  <c r="U4476"/>
  <c r="T4476"/>
  <c r="V4478"/>
  <c r="V4483"/>
  <c r="T4485"/>
  <c r="U4485"/>
  <c r="V4487"/>
  <c r="T4489"/>
  <c r="U4489"/>
  <c r="V4491"/>
  <c r="T4493"/>
  <c r="U4493"/>
  <c r="V4495"/>
  <c r="T4497"/>
  <c r="U4497"/>
  <c r="V4499"/>
  <c r="T4501"/>
  <c r="U4501"/>
  <c r="V4503"/>
  <c r="T4505"/>
  <c r="U4505"/>
  <c r="T3744"/>
  <c r="U3744"/>
  <c r="V3747"/>
  <c r="T3750"/>
  <c r="U3750"/>
  <c r="V3752"/>
  <c r="V3754"/>
  <c r="V3756"/>
  <c r="T3764"/>
  <c r="U3764"/>
  <c r="T3766"/>
  <c r="U3766"/>
  <c r="T3768"/>
  <c r="U3768"/>
  <c r="T3770"/>
  <c r="U3770"/>
  <c r="T3772"/>
  <c r="U3772"/>
  <c r="T3774"/>
  <c r="U3774"/>
  <c r="T3776"/>
  <c r="U3776"/>
  <c r="T3778"/>
  <c r="U3778"/>
  <c r="T3780"/>
  <c r="U3780"/>
  <c r="T3782"/>
  <c r="U3782"/>
  <c r="T3784"/>
  <c r="U3784"/>
  <c r="T3786"/>
  <c r="U3786"/>
  <c r="V4516"/>
  <c r="U4524"/>
  <c r="T4524"/>
  <c r="T4555"/>
  <c r="U4555"/>
  <c r="U4568"/>
  <c r="T4568"/>
  <c r="V3246"/>
  <c r="U3789"/>
  <c r="T3789"/>
  <c r="V4508"/>
  <c r="U4510"/>
  <c r="T4510"/>
  <c r="V3790"/>
  <c r="T4513"/>
  <c r="U4513"/>
  <c r="V4515"/>
  <c r="T4519"/>
  <c r="U4519"/>
  <c r="U4520"/>
  <c r="T4520"/>
  <c r="T4523"/>
  <c r="U4523"/>
  <c r="U4526"/>
  <c r="T4526"/>
  <c r="V4528"/>
  <c r="U4530"/>
  <c r="T4530"/>
  <c r="T4531"/>
  <c r="U4531"/>
  <c r="V4533"/>
  <c r="V4536"/>
  <c r="U4538"/>
  <c r="T4538"/>
  <c r="V4540"/>
  <c r="U4542"/>
  <c r="T4542"/>
  <c r="V4544"/>
  <c r="U4546"/>
  <c r="T4546"/>
  <c r="T4549"/>
  <c r="U4549"/>
  <c r="V4551"/>
  <c r="T4553"/>
  <c r="U4553"/>
  <c r="U4556"/>
  <c r="T4556"/>
  <c r="V4558"/>
  <c r="U4560"/>
  <c r="T4560"/>
  <c r="V4562"/>
  <c r="V4565"/>
  <c r="T4567"/>
  <c r="U4567"/>
  <c r="U4570"/>
  <c r="T4570"/>
  <c r="U3787"/>
  <c r="T3787"/>
  <c r="V3792"/>
  <c r="U3795"/>
  <c r="T3795"/>
  <c r="U3797"/>
  <c r="T3797"/>
  <c r="V3800"/>
  <c r="V3802"/>
  <c r="V3804"/>
  <c r="U3809"/>
  <c r="T3809"/>
  <c r="V3812"/>
  <c r="V3816"/>
  <c r="V3818"/>
  <c r="V3836"/>
  <c r="V3838"/>
  <c r="T4563"/>
  <c r="U4563"/>
  <c r="V3841"/>
  <c r="V3843"/>
  <c r="V3845"/>
  <c r="V4582"/>
  <c r="U4598"/>
  <c r="T4598"/>
  <c r="T4407"/>
  <c r="U4407"/>
  <c r="U4440"/>
  <c r="T4440"/>
  <c r="V4448"/>
  <c r="V4469"/>
  <c r="V4480"/>
  <c r="V4414"/>
  <c r="V3742"/>
  <c r="V4410"/>
  <c r="U4412"/>
  <c r="T4412"/>
  <c r="V4416"/>
  <c r="U4418"/>
  <c r="T4418"/>
  <c r="V4420"/>
  <c r="U4422"/>
  <c r="T4422"/>
  <c r="V4424"/>
  <c r="U4426"/>
  <c r="T4426"/>
  <c r="V4428"/>
  <c r="U4430"/>
  <c r="T4430"/>
  <c r="V4432"/>
  <c r="U4434"/>
  <c r="T4434"/>
  <c r="V4436"/>
  <c r="U4438"/>
  <c r="T4438"/>
  <c r="U3749"/>
  <c r="T3749"/>
  <c r="V4442"/>
  <c r="U4444"/>
  <c r="T4444"/>
  <c r="T4449"/>
  <c r="U4449"/>
  <c r="V4451"/>
  <c r="U3735"/>
  <c r="T3735"/>
  <c r="U3737"/>
  <c r="T3737"/>
  <c r="U3739"/>
  <c r="T3739"/>
  <c r="T4373"/>
  <c r="U4373"/>
  <c r="U4376"/>
  <c r="T4376"/>
  <c r="V4378"/>
  <c r="U4380"/>
  <c r="T4380"/>
  <c r="V4382"/>
  <c r="U4384"/>
  <c r="T4384"/>
  <c r="V4388"/>
  <c r="U4390"/>
  <c r="T4390"/>
  <c r="V4392"/>
  <c r="U4394"/>
  <c r="T4394"/>
  <c r="V4398"/>
  <c r="U4400"/>
  <c r="T4400"/>
  <c r="V4402"/>
  <c r="V4405"/>
  <c r="V4415"/>
  <c r="T4447"/>
  <c r="U4447"/>
  <c r="V4465"/>
  <c r="T4471"/>
  <c r="U4471"/>
  <c r="V4481"/>
  <c r="V4446"/>
  <c r="U4470"/>
  <c r="T4470"/>
  <c r="T4479"/>
  <c r="U4479"/>
  <c r="V4408"/>
  <c r="V4409"/>
  <c r="T4411"/>
  <c r="U4411"/>
  <c r="V4413"/>
  <c r="T4417"/>
  <c r="U4417"/>
  <c r="V4419"/>
  <c r="T4421"/>
  <c r="U4421"/>
  <c r="V4423"/>
  <c r="T4425"/>
  <c r="U4425"/>
  <c r="V4427"/>
  <c r="T4429"/>
  <c r="U4429"/>
  <c r="V4431"/>
  <c r="T4433"/>
  <c r="U4433"/>
  <c r="V4435"/>
  <c r="T4437"/>
  <c r="U4437"/>
  <c r="V4439"/>
  <c r="T4441"/>
  <c r="U4441"/>
  <c r="V4443"/>
  <c r="T4445"/>
  <c r="U4445"/>
  <c r="U4450"/>
  <c r="T4450"/>
  <c r="V4452"/>
  <c r="U4454"/>
  <c r="T4454"/>
  <c r="V4456"/>
  <c r="U4458"/>
  <c r="T4458"/>
  <c r="V4460"/>
  <c r="U4462"/>
  <c r="T4462"/>
  <c r="V4464"/>
  <c r="V4467"/>
  <c r="U3761"/>
  <c r="T3761"/>
  <c r="V4472"/>
  <c r="U4474"/>
  <c r="T4474"/>
  <c r="V4476"/>
  <c r="U4478"/>
  <c r="T4478"/>
  <c r="T4483"/>
  <c r="U4483"/>
  <c r="V4485"/>
  <c r="T4487"/>
  <c r="U4487"/>
  <c r="V4489"/>
  <c r="T4491"/>
  <c r="U4491"/>
  <c r="V4493"/>
  <c r="T4495"/>
  <c r="U4495"/>
  <c r="V4497"/>
  <c r="T4499"/>
  <c r="U4499"/>
  <c r="V4501"/>
  <c r="T4503"/>
  <c r="U4503"/>
  <c r="V4505"/>
  <c r="V3744"/>
  <c r="U3747"/>
  <c r="T3747"/>
  <c r="V3750"/>
  <c r="T3752"/>
  <c r="U3752"/>
  <c r="T3754"/>
  <c r="U3754"/>
  <c r="T3756"/>
  <c r="U3756"/>
  <c r="V3764"/>
  <c r="V3766"/>
  <c r="V3768"/>
  <c r="V3770"/>
  <c r="V3772"/>
  <c r="V3774"/>
  <c r="V3776"/>
  <c r="V3778"/>
  <c r="V3780"/>
  <c r="V3782"/>
  <c r="V3784"/>
  <c r="V3786"/>
  <c r="U4516"/>
  <c r="T4516"/>
  <c r="V4524"/>
  <c r="V4555"/>
  <c r="V4568"/>
  <c r="T3246"/>
  <c r="U3246"/>
  <c r="V3789"/>
  <c r="U4508"/>
  <c r="T4508"/>
  <c r="V4510"/>
  <c r="T3790"/>
  <c r="U3790"/>
  <c r="V4513"/>
  <c r="T4515"/>
  <c r="U4515"/>
  <c r="V4519"/>
  <c r="V4520"/>
  <c r="V4523"/>
  <c r="V4526"/>
  <c r="U4528"/>
  <c r="T4528"/>
  <c r="V4530"/>
  <c r="V4531"/>
  <c r="T4533"/>
  <c r="U4533"/>
  <c r="U4536"/>
  <c r="T4536"/>
  <c r="V4538"/>
  <c r="U4540"/>
  <c r="T4540"/>
  <c r="V4542"/>
  <c r="U4544"/>
  <c r="T4544"/>
  <c r="V4546"/>
  <c r="V4549"/>
  <c r="T4551"/>
  <c r="U4551"/>
  <c r="V4553"/>
  <c r="V4556"/>
  <c r="U4558"/>
  <c r="T4558"/>
  <c r="V4560"/>
  <c r="U4562"/>
  <c r="T4562"/>
  <c r="T4565"/>
  <c r="U4565"/>
  <c r="V4567"/>
  <c r="V4570"/>
  <c r="V3787"/>
  <c r="T3792"/>
  <c r="U3792"/>
  <c r="V3795"/>
  <c r="V3797"/>
  <c r="T3800"/>
  <c r="U3800"/>
  <c r="T3802"/>
  <c r="U3802"/>
  <c r="T3804"/>
  <c r="U3804"/>
  <c r="V3809"/>
  <c r="T3812"/>
  <c r="U3812"/>
  <c r="T3816"/>
  <c r="U3816"/>
  <c r="T3818"/>
  <c r="U3818"/>
  <c r="T3836"/>
  <c r="U3836"/>
  <c r="T3838"/>
  <c r="U3838"/>
  <c r="V4563"/>
  <c r="U3841"/>
  <c r="T3841"/>
  <c r="U3843"/>
  <c r="T3843"/>
  <c r="U3845"/>
  <c r="T3845"/>
  <c r="U4582"/>
  <c r="T4582"/>
  <c r="V4598"/>
  <c r="V4407"/>
  <c r="V4440"/>
  <c r="U4448"/>
  <c r="T4448"/>
  <c r="T4469"/>
  <c r="U4469"/>
  <c r="U4480"/>
  <c r="T4480"/>
  <c r="U4414"/>
  <c r="T4414"/>
  <c r="T3742"/>
  <c r="U3742"/>
  <c r="U4410"/>
  <c r="T4410"/>
  <c r="V4412"/>
  <c r="U4416"/>
  <c r="T4416"/>
  <c r="V4418"/>
  <c r="U4420"/>
  <c r="T4420"/>
  <c r="V4426"/>
  <c r="U4428"/>
  <c r="T4428"/>
  <c r="V4434"/>
  <c r="U4436"/>
  <c r="T4436"/>
  <c r="V4444"/>
  <c r="T4451"/>
  <c r="T4453"/>
  <c r="U4453"/>
  <c r="V4455"/>
  <c r="T4457"/>
  <c r="U4457"/>
  <c r="V4459"/>
  <c r="T4461"/>
  <c r="U4461"/>
  <c r="V4463"/>
  <c r="V4466"/>
  <c r="T3760"/>
  <c r="U3760"/>
  <c r="U4468"/>
  <c r="T4468"/>
  <c r="T4473"/>
  <c r="U4473"/>
  <c r="V4475"/>
  <c r="T4477"/>
  <c r="U4477"/>
  <c r="U4482"/>
  <c r="T4482"/>
  <c r="V4484"/>
  <c r="U4486"/>
  <c r="T4486"/>
  <c r="V4488"/>
  <c r="U4490"/>
  <c r="T4490"/>
  <c r="V4492"/>
  <c r="U4494"/>
  <c r="T4494"/>
  <c r="V4496"/>
  <c r="U4498"/>
  <c r="T4498"/>
  <c r="V4500"/>
  <c r="U4502"/>
  <c r="T4502"/>
  <c r="V4504"/>
  <c r="V3743"/>
  <c r="T3746"/>
  <c r="U3746"/>
  <c r="T3748"/>
  <c r="U3748"/>
  <c r="U3751"/>
  <c r="T3751"/>
  <c r="U3753"/>
  <c r="T3753"/>
  <c r="U3755"/>
  <c r="T3755"/>
  <c r="V3762"/>
  <c r="V3765"/>
  <c r="V3767"/>
  <c r="V3769"/>
  <c r="V3771"/>
  <c r="V3773"/>
  <c r="V3775"/>
  <c r="V3777"/>
  <c r="V3779"/>
  <c r="V3781"/>
  <c r="V3783"/>
  <c r="V3785"/>
  <c r="V4521"/>
  <c r="T4535"/>
  <c r="U4535"/>
  <c r="T4569"/>
  <c r="U4569"/>
  <c r="V4548"/>
  <c r="U4506"/>
  <c r="T4506"/>
  <c r="T4507"/>
  <c r="U4507"/>
  <c r="V4509"/>
  <c r="T4511"/>
  <c r="U4511"/>
  <c r="U4512"/>
  <c r="T4512"/>
  <c r="V4514"/>
  <c r="V4517"/>
  <c r="V4518"/>
  <c r="U4522"/>
  <c r="T4522"/>
  <c r="T4525"/>
  <c r="U4525"/>
  <c r="V4527"/>
  <c r="T4529"/>
  <c r="U4529"/>
  <c r="V3811"/>
  <c r="U4532"/>
  <c r="T4532"/>
  <c r="V4534"/>
  <c r="V4537"/>
  <c r="T4539"/>
  <c r="U4539"/>
  <c r="V4541"/>
  <c r="T4543"/>
  <c r="U4543"/>
  <c r="V4545"/>
  <c r="T4547"/>
  <c r="U4547"/>
  <c r="U4550"/>
  <c r="T4550"/>
  <c r="V4552"/>
  <c r="U4554"/>
  <c r="T4554"/>
  <c r="T4557"/>
  <c r="U4557"/>
  <c r="V4559"/>
  <c r="T4561"/>
  <c r="U4561"/>
  <c r="U4564"/>
  <c r="T4564"/>
  <c r="V4566"/>
  <c r="T3846"/>
  <c r="U3846"/>
  <c r="V3847"/>
  <c r="V3791"/>
  <c r="T3794"/>
  <c r="U3794"/>
  <c r="T3796"/>
  <c r="U3796"/>
  <c r="T3798"/>
  <c r="U3798"/>
  <c r="V3801"/>
  <c r="V3803"/>
  <c r="T3808"/>
  <c r="U3808"/>
  <c r="T3810"/>
  <c r="U3810"/>
  <c r="V3815"/>
  <c r="V3817"/>
  <c r="V3835"/>
  <c r="V3837"/>
  <c r="V3839"/>
  <c r="T3840"/>
  <c r="U3840"/>
  <c r="T3842"/>
  <c r="U3842"/>
  <c r="T3844"/>
  <c r="U3844"/>
  <c r="T3848"/>
  <c r="U3848"/>
  <c r="V4579"/>
  <c r="V4596"/>
  <c r="U4620"/>
  <c r="T4620"/>
  <c r="V4571"/>
  <c r="T4573"/>
  <c r="U4573"/>
  <c r="T3854"/>
  <c r="U3854"/>
  <c r="U4576"/>
  <c r="T4576"/>
  <c r="V4578"/>
  <c r="V4581"/>
  <c r="V4584"/>
  <c r="U4586"/>
  <c r="T4586"/>
  <c r="V4588"/>
  <c r="U4590"/>
  <c r="T4590"/>
  <c r="U3863"/>
  <c r="T3863"/>
  <c r="T4593"/>
  <c r="U4593"/>
  <c r="V4595"/>
  <c r="T4597"/>
  <c r="U4597"/>
  <c r="U4600"/>
  <c r="T4600"/>
  <c r="V4602"/>
  <c r="U4604"/>
  <c r="T4604"/>
  <c r="V4606"/>
  <c r="U4608"/>
  <c r="T4608"/>
  <c r="V4610"/>
  <c r="U4572"/>
  <c r="T4572"/>
  <c r="V4574"/>
  <c r="V4575"/>
  <c r="T4577"/>
  <c r="U4577"/>
  <c r="U4580"/>
  <c r="T4580"/>
  <c r="T4583"/>
  <c r="U4583"/>
  <c r="V4585"/>
  <c r="T4587"/>
  <c r="U4587"/>
  <c r="V4589"/>
  <c r="T4591"/>
  <c r="U4591"/>
  <c r="U4592"/>
  <c r="T4592"/>
  <c r="V4594"/>
  <c r="T3902"/>
  <c r="U3902"/>
  <c r="V4599"/>
  <c r="T4601"/>
  <c r="U4601"/>
  <c r="V4603"/>
  <c r="T4605"/>
  <c r="U4605"/>
  <c r="V4607"/>
  <c r="T4609"/>
  <c r="U4609"/>
  <c r="V4611"/>
  <c r="T4613"/>
  <c r="U4613"/>
  <c r="V4615"/>
  <c r="T4617"/>
  <c r="U4617"/>
  <c r="V4619"/>
  <c r="V3850"/>
  <c r="U3853"/>
  <c r="T3853"/>
  <c r="V3856"/>
  <c r="V3858"/>
  <c r="U3861"/>
  <c r="T3861"/>
  <c r="V3860"/>
  <c r="U3865"/>
  <c r="T3865"/>
  <c r="V3868"/>
  <c r="V3870"/>
  <c r="V3872"/>
  <c r="V3874"/>
  <c r="V3876"/>
  <c r="V3878"/>
  <c r="V3880"/>
  <c r="V3882"/>
  <c r="V3884"/>
  <c r="V3886"/>
  <c r="V3888"/>
  <c r="V3890"/>
  <c r="V3892"/>
  <c r="V3894"/>
  <c r="V3896"/>
  <c r="V3898"/>
  <c r="V3900"/>
  <c r="U2927"/>
  <c r="T2927"/>
  <c r="V3904"/>
  <c r="V3906"/>
  <c r="T4729"/>
  <c r="U4729"/>
  <c r="T4773"/>
  <c r="U4773"/>
  <c r="V4717"/>
  <c r="T4719"/>
  <c r="U4719"/>
  <c r="V4721"/>
  <c r="T4723"/>
  <c r="U4723"/>
  <c r="V4725"/>
  <c r="V4728"/>
  <c r="V4733"/>
  <c r="V4734"/>
  <c r="U4736"/>
  <c r="T4736"/>
  <c r="V4738"/>
  <c r="U4740"/>
  <c r="T4740"/>
  <c r="V4742"/>
  <c r="U4744"/>
  <c r="T4744"/>
  <c r="V4746"/>
  <c r="U4748"/>
  <c r="T4748"/>
  <c r="T4749"/>
  <c r="U4749"/>
  <c r="U4754"/>
  <c r="T4754"/>
  <c r="V4756"/>
  <c r="U4758"/>
  <c r="T4758"/>
  <c r="T4759"/>
  <c r="U4759"/>
  <c r="V4761"/>
  <c r="T4763"/>
  <c r="U4763"/>
  <c r="V4765"/>
  <c r="T4767"/>
  <c r="U4767"/>
  <c r="U4770"/>
  <c r="T4770"/>
  <c r="V4772"/>
  <c r="V4775"/>
  <c r="T4777"/>
  <c r="U4777"/>
  <c r="V4779"/>
  <c r="T4781"/>
  <c r="U4781"/>
  <c r="T4006"/>
  <c r="U4006"/>
  <c r="T3960"/>
  <c r="U3960"/>
  <c r="V4731"/>
  <c r="U3963"/>
  <c r="T3963"/>
  <c r="U3965"/>
  <c r="T3965"/>
  <c r="U3967"/>
  <c r="T3967"/>
  <c r="V3970"/>
  <c r="V3972"/>
  <c r="V3974"/>
  <c r="V3978"/>
  <c r="U3978"/>
  <c r="V3980"/>
  <c r="U3983"/>
  <c r="V3983"/>
  <c r="U3985"/>
  <c r="U3987"/>
  <c r="V3987"/>
  <c r="U3989"/>
  <c r="U3991"/>
  <c r="V3991"/>
  <c r="U3993"/>
  <c r="T3993"/>
  <c r="U3995"/>
  <c r="T3995"/>
  <c r="U3997"/>
  <c r="T3997"/>
  <c r="U3999"/>
  <c r="T3999"/>
  <c r="U4001"/>
  <c r="T4001"/>
  <c r="U4003"/>
  <c r="T4003"/>
  <c r="V4004"/>
  <c r="U4007"/>
  <c r="T4007"/>
  <c r="V4612"/>
  <c r="U4614"/>
  <c r="T4614"/>
  <c r="V4616"/>
  <c r="U4618"/>
  <c r="T4618"/>
  <c r="T4621"/>
  <c r="U4621"/>
  <c r="V3851"/>
  <c r="V3855"/>
  <c r="V3857"/>
  <c r="V3859"/>
  <c r="T3862"/>
  <c r="U3862"/>
  <c r="T3864"/>
  <c r="U3864"/>
  <c r="V3867"/>
  <c r="V3869"/>
  <c r="V3871"/>
  <c r="V3873"/>
  <c r="V3875"/>
  <c r="V3877"/>
  <c r="V3879"/>
  <c r="V3881"/>
  <c r="V3883"/>
  <c r="V3885"/>
  <c r="V3887"/>
  <c r="V3889"/>
  <c r="V3891"/>
  <c r="V3893"/>
  <c r="V3895"/>
  <c r="V3897"/>
  <c r="V3899"/>
  <c r="V3901"/>
  <c r="V3903"/>
  <c r="T3248"/>
  <c r="U3248"/>
  <c r="V3907"/>
  <c r="V4726"/>
  <c r="U4732"/>
  <c r="T4732"/>
  <c r="T4769"/>
  <c r="U4769"/>
  <c r="V4751"/>
  <c r="V4752"/>
  <c r="V4718"/>
  <c r="U4720"/>
  <c r="T4720"/>
  <c r="V4722"/>
  <c r="U4724"/>
  <c r="T4724"/>
  <c r="T4727"/>
  <c r="U4727"/>
  <c r="U4730"/>
  <c r="T4730"/>
  <c r="V3968"/>
  <c r="T4735"/>
  <c r="U4735"/>
  <c r="V4737"/>
  <c r="T4739"/>
  <c r="U4739"/>
  <c r="V4741"/>
  <c r="T4743"/>
  <c r="U4743"/>
  <c r="V4745"/>
  <c r="T4747"/>
  <c r="U4747"/>
  <c r="V4753"/>
  <c r="V4750"/>
  <c r="V4755"/>
  <c r="T4757"/>
  <c r="U4757"/>
  <c r="T3981"/>
  <c r="V3981"/>
  <c r="U4760"/>
  <c r="T4760"/>
  <c r="V4762"/>
  <c r="U4764"/>
  <c r="T4764"/>
  <c r="V4766"/>
  <c r="U4768"/>
  <c r="T4768"/>
  <c r="T4771"/>
  <c r="U4771"/>
  <c r="U4774"/>
  <c r="T4774"/>
  <c r="V4776"/>
  <c r="U4778"/>
  <c r="T4778"/>
  <c r="V4780"/>
  <c r="U4782"/>
  <c r="T4782"/>
  <c r="U3957"/>
  <c r="T3957"/>
  <c r="U3961"/>
  <c r="T3961"/>
  <c r="V3962"/>
  <c r="V3964"/>
  <c r="V3966"/>
  <c r="U3969"/>
  <c r="T3969"/>
  <c r="U3971"/>
  <c r="T3971"/>
  <c r="U3973"/>
  <c r="T3973"/>
  <c r="U3975"/>
  <c r="T3975"/>
  <c r="U3979"/>
  <c r="V3979"/>
  <c r="V3982"/>
  <c r="U3982"/>
  <c r="V3984"/>
  <c r="V3986"/>
  <c r="U3986"/>
  <c r="V3988"/>
  <c r="V3990"/>
  <c r="U3990"/>
  <c r="V3994"/>
  <c r="V3996"/>
  <c r="V3998"/>
  <c r="V4000"/>
  <c r="V4002"/>
  <c r="V2940"/>
  <c r="U4005"/>
  <c r="T4005"/>
  <c r="T4783"/>
  <c r="U4783"/>
  <c r="V4793"/>
  <c r="V4798"/>
  <c r="U4810"/>
  <c r="T4810"/>
  <c r="V4822"/>
  <c r="T4008"/>
  <c r="U4008"/>
  <c r="V4785"/>
  <c r="T4787"/>
  <c r="U4787"/>
  <c r="V4789"/>
  <c r="V4020"/>
  <c r="V4422"/>
  <c r="U4424"/>
  <c r="T4424"/>
  <c r="V4430"/>
  <c r="U4432"/>
  <c r="T4432"/>
  <c r="V4438"/>
  <c r="V3749"/>
  <c r="U4442"/>
  <c r="T4442"/>
  <c r="V4449"/>
  <c r="U4451"/>
  <c r="V4453"/>
  <c r="T4455"/>
  <c r="U4455"/>
  <c r="V4457"/>
  <c r="T4459"/>
  <c r="U4459"/>
  <c r="V4461"/>
  <c r="T4463"/>
  <c r="U4463"/>
  <c r="U4466"/>
  <c r="T4466"/>
  <c r="V3760"/>
  <c r="V4468"/>
  <c r="V4473"/>
  <c r="T4475"/>
  <c r="U4475"/>
  <c r="V4477"/>
  <c r="V4482"/>
  <c r="U4484"/>
  <c r="T4484"/>
  <c r="V4486"/>
  <c r="U4488"/>
  <c r="T4488"/>
  <c r="V4490"/>
  <c r="U4492"/>
  <c r="T4492"/>
  <c r="V4494"/>
  <c r="U4496"/>
  <c r="T4496"/>
  <c r="V4498"/>
  <c r="U4500"/>
  <c r="T4500"/>
  <c r="V4502"/>
  <c r="U4504"/>
  <c r="T4504"/>
  <c r="U3743"/>
  <c r="T3743"/>
  <c r="V3746"/>
  <c r="V3748"/>
  <c r="V3751"/>
  <c r="V3753"/>
  <c r="V3755"/>
  <c r="T3762"/>
  <c r="U3762"/>
  <c r="U3765"/>
  <c r="T3765"/>
  <c r="U3767"/>
  <c r="T3767"/>
  <c r="U3769"/>
  <c r="T3769"/>
  <c r="U3771"/>
  <c r="T3771"/>
  <c r="U3773"/>
  <c r="T3773"/>
  <c r="U3775"/>
  <c r="T3775"/>
  <c r="U3777"/>
  <c r="T3777"/>
  <c r="U3779"/>
  <c r="T3779"/>
  <c r="U3781"/>
  <c r="T3781"/>
  <c r="U3783"/>
  <c r="T3783"/>
  <c r="U3785"/>
  <c r="T3785"/>
  <c r="T4521"/>
  <c r="U4521"/>
  <c r="V4535"/>
  <c r="V4569"/>
  <c r="U4548"/>
  <c r="T4548"/>
  <c r="V4506"/>
  <c r="V4507"/>
  <c r="T4509"/>
  <c r="U4509"/>
  <c r="V4511"/>
  <c r="V4512"/>
  <c r="U4514"/>
  <c r="T4514"/>
  <c r="T4517"/>
  <c r="U4517"/>
  <c r="U4518"/>
  <c r="T4518"/>
  <c r="V4522"/>
  <c r="V4525"/>
  <c r="T4527"/>
  <c r="U4527"/>
  <c r="V4529"/>
  <c r="U3811"/>
  <c r="T3811"/>
  <c r="V4532"/>
  <c r="U4534"/>
  <c r="T4534"/>
  <c r="T4537"/>
  <c r="U4537"/>
  <c r="V4539"/>
  <c r="T4541"/>
  <c r="U4541"/>
  <c r="V4543"/>
  <c r="T4545"/>
  <c r="U4545"/>
  <c r="V4547"/>
  <c r="V4550"/>
  <c r="U4552"/>
  <c r="T4552"/>
  <c r="V4554"/>
  <c r="V4557"/>
  <c r="T4559"/>
  <c r="U4559"/>
  <c r="V4561"/>
  <c r="V4564"/>
  <c r="U4566"/>
  <c r="T4566"/>
  <c r="V3846"/>
  <c r="U3847"/>
  <c r="T3847"/>
  <c r="U3791"/>
  <c r="T3791"/>
  <c r="V3794"/>
  <c r="V3796"/>
  <c r="V3798"/>
  <c r="U3801"/>
  <c r="T3801"/>
  <c r="U3803"/>
  <c r="T3803"/>
  <c r="V3808"/>
  <c r="V3810"/>
  <c r="U3815"/>
  <c r="T3815"/>
  <c r="U3817"/>
  <c r="T3817"/>
  <c r="U3835"/>
  <c r="T3835"/>
  <c r="U3837"/>
  <c r="T3837"/>
  <c r="U3839"/>
  <c r="T3839"/>
  <c r="V3840"/>
  <c r="V3842"/>
  <c r="V3844"/>
  <c r="V3848"/>
  <c r="T4579"/>
  <c r="U4579"/>
  <c r="U4596"/>
  <c r="T4596"/>
  <c r="V4620"/>
  <c r="T4571"/>
  <c r="U4571"/>
  <c r="V4573"/>
  <c r="V3854"/>
  <c r="V4576"/>
  <c r="U4578"/>
  <c r="T4578"/>
  <c r="T4581"/>
  <c r="U4581"/>
  <c r="U4584"/>
  <c r="T4584"/>
  <c r="V4586"/>
  <c r="U4588"/>
  <c r="T4588"/>
  <c r="V4590"/>
  <c r="V3863"/>
  <c r="V4593"/>
  <c r="T4595"/>
  <c r="U4595"/>
  <c r="V4597"/>
  <c r="V4600"/>
  <c r="U4602"/>
  <c r="T4602"/>
  <c r="V4604"/>
  <c r="U4606"/>
  <c r="T4606"/>
  <c r="V4608"/>
  <c r="U4610"/>
  <c r="T4610"/>
  <c r="V4572"/>
  <c r="U4574"/>
  <c r="T4574"/>
  <c r="T4575"/>
  <c r="U4575"/>
  <c r="V4577"/>
  <c r="V4580"/>
  <c r="V4583"/>
  <c r="T4585"/>
  <c r="U4585"/>
  <c r="V4587"/>
  <c r="T4589"/>
  <c r="U4589"/>
  <c r="V4591"/>
  <c r="V4592"/>
  <c r="U4594"/>
  <c r="T4594"/>
  <c r="V3902"/>
  <c r="T4599"/>
  <c r="U4599"/>
  <c r="V4601"/>
  <c r="T4603"/>
  <c r="U4603"/>
  <c r="V4605"/>
  <c r="T4607"/>
  <c r="U4607"/>
  <c r="V4609"/>
  <c r="T4611"/>
  <c r="U4611"/>
  <c r="V4613"/>
  <c r="T4615"/>
  <c r="U4615"/>
  <c r="V4617"/>
  <c r="T4619"/>
  <c r="U4619"/>
  <c r="T3850"/>
  <c r="U3850"/>
  <c r="V3853"/>
  <c r="T3856"/>
  <c r="U3856"/>
  <c r="T3858"/>
  <c r="U3858"/>
  <c r="V3861"/>
  <c r="T3860"/>
  <c r="U3860"/>
  <c r="V3865"/>
  <c r="T3868"/>
  <c r="U3868"/>
  <c r="T3870"/>
  <c r="U3870"/>
  <c r="T3872"/>
  <c r="U3872"/>
  <c r="T3874"/>
  <c r="U3874"/>
  <c r="T3876"/>
  <c r="U3876"/>
  <c r="T3878"/>
  <c r="U3878"/>
  <c r="T3880"/>
  <c r="U3880"/>
  <c r="T3882"/>
  <c r="U3882"/>
  <c r="T3884"/>
  <c r="U3884"/>
  <c r="T3886"/>
  <c r="U3886"/>
  <c r="T3888"/>
  <c r="U3888"/>
  <c r="T3890"/>
  <c r="U3890"/>
  <c r="T3892"/>
  <c r="U3892"/>
  <c r="T3894"/>
  <c r="U3894"/>
  <c r="T3896"/>
  <c r="U3896"/>
  <c r="T3898"/>
  <c r="U3898"/>
  <c r="T3900"/>
  <c r="U3900"/>
  <c r="V2927"/>
  <c r="T3904"/>
  <c r="U3904"/>
  <c r="T3906"/>
  <c r="U3906"/>
  <c r="V4729"/>
  <c r="V4773"/>
  <c r="T4717"/>
  <c r="U4717"/>
  <c r="V4719"/>
  <c r="T4721"/>
  <c r="U4721"/>
  <c r="V4723"/>
  <c r="T4725"/>
  <c r="U4725"/>
  <c r="U4728"/>
  <c r="T4728"/>
  <c r="T4733"/>
  <c r="U4733"/>
  <c r="U4734"/>
  <c r="T4734"/>
  <c r="V4736"/>
  <c r="U4738"/>
  <c r="T4738"/>
  <c r="V4740"/>
  <c r="U4742"/>
  <c r="T4742"/>
  <c r="V4744"/>
  <c r="U4746"/>
  <c r="T4746"/>
  <c r="V4748"/>
  <c r="V4749"/>
  <c r="V4754"/>
  <c r="U4756"/>
  <c r="T4756"/>
  <c r="V4758"/>
  <c r="V4759"/>
  <c r="T4761"/>
  <c r="U4761"/>
  <c r="V4763"/>
  <c r="T4765"/>
  <c r="U4765"/>
  <c r="V4767"/>
  <c r="V4770"/>
  <c r="U4772"/>
  <c r="T4772"/>
  <c r="T4775"/>
  <c r="U4775"/>
  <c r="V4777"/>
  <c r="T4779"/>
  <c r="U4779"/>
  <c r="V4781"/>
  <c r="V4006"/>
  <c r="V3960"/>
  <c r="T4731"/>
  <c r="U4731"/>
  <c r="V3963"/>
  <c r="V3965"/>
  <c r="V3967"/>
  <c r="T3970"/>
  <c r="U3970"/>
  <c r="T3972"/>
  <c r="U3972"/>
  <c r="T3974"/>
  <c r="U3974"/>
  <c r="T3978"/>
  <c r="T3980"/>
  <c r="U3980"/>
  <c r="T3983"/>
  <c r="T3985"/>
  <c r="V3985"/>
  <c r="T3987"/>
  <c r="T3989"/>
  <c r="V3989"/>
  <c r="T3991"/>
  <c r="V3993"/>
  <c r="V3995"/>
  <c r="V3997"/>
  <c r="V3999"/>
  <c r="V4001"/>
  <c r="V4003"/>
  <c r="T4004"/>
  <c r="U4004"/>
  <c r="V4007"/>
  <c r="U4612"/>
  <c r="T4612"/>
  <c r="V4614"/>
  <c r="U4616"/>
  <c r="T4616"/>
  <c r="V4618"/>
  <c r="V4621"/>
  <c r="U3851"/>
  <c r="T3851"/>
  <c r="U3855"/>
  <c r="T3855"/>
  <c r="U3857"/>
  <c r="T3857"/>
  <c r="U3859"/>
  <c r="T3859"/>
  <c r="V3862"/>
  <c r="V3864"/>
  <c r="U3867"/>
  <c r="T3867"/>
  <c r="U3869"/>
  <c r="T3869"/>
  <c r="U3871"/>
  <c r="T3871"/>
  <c r="U3873"/>
  <c r="T3873"/>
  <c r="U3875"/>
  <c r="T3875"/>
  <c r="U3877"/>
  <c r="T3877"/>
  <c r="U3879"/>
  <c r="T3879"/>
  <c r="U3881"/>
  <c r="T3881"/>
  <c r="U3883"/>
  <c r="T3883"/>
  <c r="U3885"/>
  <c r="T3885"/>
  <c r="U3887"/>
  <c r="T3887"/>
  <c r="U3889"/>
  <c r="T3889"/>
  <c r="U3891"/>
  <c r="T3891"/>
  <c r="U3893"/>
  <c r="T3893"/>
  <c r="U3895"/>
  <c r="T3895"/>
  <c r="U3897"/>
  <c r="T3897"/>
  <c r="U3899"/>
  <c r="T3899"/>
  <c r="U3901"/>
  <c r="T3901"/>
  <c r="U3903"/>
  <c r="T3903"/>
  <c r="V3248"/>
  <c r="U3907"/>
  <c r="T3907"/>
  <c r="U4726"/>
  <c r="T4726"/>
  <c r="V4732"/>
  <c r="V4769"/>
  <c r="T4751"/>
  <c r="U4751"/>
  <c r="U4752"/>
  <c r="T4752"/>
  <c r="U4718"/>
  <c r="T4718"/>
  <c r="V4720"/>
  <c r="U4722"/>
  <c r="T4722"/>
  <c r="V4724"/>
  <c r="V4727"/>
  <c r="V4730"/>
  <c r="T3968"/>
  <c r="U3968"/>
  <c r="V4735"/>
  <c r="T4737"/>
  <c r="U4737"/>
  <c r="V4739"/>
  <c r="T4741"/>
  <c r="U4741"/>
  <c r="V4743"/>
  <c r="T4745"/>
  <c r="U4745"/>
  <c r="V4747"/>
  <c r="T4753"/>
  <c r="U4753"/>
  <c r="U4750"/>
  <c r="T4750"/>
  <c r="T4755"/>
  <c r="U4755"/>
  <c r="V4757"/>
  <c r="U3981"/>
  <c r="V4760"/>
  <c r="U4762"/>
  <c r="T4762"/>
  <c r="V4764"/>
  <c r="U4766"/>
  <c r="T4766"/>
  <c r="V4768"/>
  <c r="V4771"/>
  <c r="V4774"/>
  <c r="U4776"/>
  <c r="T4776"/>
  <c r="V4778"/>
  <c r="U4780"/>
  <c r="T4780"/>
  <c r="V4782"/>
  <c r="V3957"/>
  <c r="V3961"/>
  <c r="T3962"/>
  <c r="U3962"/>
  <c r="T3964"/>
  <c r="U3964"/>
  <c r="T3966"/>
  <c r="U3966"/>
  <c r="V3969"/>
  <c r="V3971"/>
  <c r="V3973"/>
  <c r="V3975"/>
  <c r="T3979"/>
  <c r="T3982"/>
  <c r="T3984"/>
  <c r="U3984"/>
  <c r="T3986"/>
  <c r="T3988"/>
  <c r="U3988"/>
  <c r="T3990"/>
  <c r="T3992"/>
  <c r="V3992"/>
  <c r="U3992"/>
  <c r="T3994"/>
  <c r="U3994"/>
  <c r="T3996"/>
  <c r="U3996"/>
  <c r="T3998"/>
  <c r="U3998"/>
  <c r="T4000"/>
  <c r="U4000"/>
  <c r="T4002"/>
  <c r="U4002"/>
  <c r="T2940"/>
  <c r="U2940"/>
  <c r="V4005"/>
  <c r="V4783"/>
  <c r="T4793"/>
  <c r="U4793"/>
  <c r="U4798"/>
  <c r="T4798"/>
  <c r="V4810"/>
  <c r="U4822"/>
  <c r="T4822"/>
  <c r="V4008"/>
  <c r="T4785"/>
  <c r="U4785"/>
  <c r="V4787"/>
  <c r="T4789"/>
  <c r="U4789"/>
  <c r="T4020"/>
  <c r="V4794"/>
  <c r="U4792"/>
  <c r="T4792"/>
  <c r="V4009"/>
  <c r="V4011"/>
  <c r="V4013"/>
  <c r="V4015"/>
  <c r="V4017"/>
  <c r="V4021"/>
  <c r="V4023"/>
  <c r="T4026"/>
  <c r="U4026"/>
  <c r="T4028"/>
  <c r="U4028"/>
  <c r="T4030"/>
  <c r="U4030"/>
  <c r="U4796"/>
  <c r="T4796"/>
  <c r="U4033"/>
  <c r="T4033"/>
  <c r="U4035"/>
  <c r="T4035"/>
  <c r="U4037"/>
  <c r="T4037"/>
  <c r="U4039"/>
  <c r="T4039"/>
  <c r="V4042"/>
  <c r="V4044"/>
  <c r="U4298"/>
  <c r="T4298"/>
  <c r="V4304"/>
  <c r="U4310"/>
  <c r="T4310"/>
  <c r="V4334"/>
  <c r="U4288"/>
  <c r="T4288"/>
  <c r="T4289"/>
  <c r="U4289"/>
  <c r="V4291"/>
  <c r="T4293"/>
  <c r="U4293"/>
  <c r="V4295"/>
  <c r="V4296"/>
  <c r="V4299"/>
  <c r="V4300"/>
  <c r="U4302"/>
  <c r="T4302"/>
  <c r="V4306"/>
  <c r="U4308"/>
  <c r="T4308"/>
  <c r="T4311"/>
  <c r="U4311"/>
  <c r="V4313"/>
  <c r="T4315"/>
  <c r="U4315"/>
  <c r="V4317"/>
  <c r="T4319"/>
  <c r="U4319"/>
  <c r="V4321"/>
  <c r="T4323"/>
  <c r="U4323"/>
  <c r="V4325"/>
  <c r="T4327"/>
  <c r="U4327"/>
  <c r="V4329"/>
  <c r="T4331"/>
  <c r="U4331"/>
  <c r="V4335"/>
  <c r="T4337"/>
  <c r="U4337"/>
  <c r="T3588"/>
  <c r="U3588"/>
  <c r="V3591"/>
  <c r="V3593"/>
  <c r="V3595"/>
  <c r="T3598"/>
  <c r="U3598"/>
  <c r="V3601"/>
  <c r="V3603"/>
  <c r="V3605"/>
  <c r="V3607"/>
  <c r="V3609"/>
  <c r="V3611"/>
  <c r="V3613"/>
  <c r="V3615"/>
  <c r="V3617"/>
  <c r="V3619"/>
  <c r="V3621"/>
  <c r="V3623"/>
  <c r="U4826"/>
  <c r="T4826"/>
  <c r="T4827"/>
  <c r="U4827"/>
  <c r="V4849"/>
  <c r="U4047"/>
  <c r="T4047"/>
  <c r="V4046"/>
  <c r="U4051"/>
  <c r="T4051"/>
  <c r="V4052"/>
  <c r="U4053"/>
  <c r="T4053"/>
  <c r="V4054"/>
  <c r="U4055"/>
  <c r="T4055"/>
  <c r="V4056"/>
  <c r="U4057"/>
  <c r="T4057"/>
  <c r="V4058"/>
  <c r="U4059"/>
  <c r="T4059"/>
  <c r="V4060"/>
  <c r="U4061"/>
  <c r="T4061"/>
  <c r="V4062"/>
  <c r="U4063"/>
  <c r="T4063"/>
  <c r="V4064"/>
  <c r="U4065"/>
  <c r="T4065"/>
  <c r="V4066"/>
  <c r="U2961"/>
  <c r="T2961"/>
  <c r="V4072"/>
  <c r="U4073"/>
  <c r="T4073"/>
  <c r="V4074"/>
  <c r="U4075"/>
  <c r="T4075"/>
  <c r="T4803"/>
  <c r="U4803"/>
  <c r="U4804"/>
  <c r="T4804"/>
  <c r="T4805"/>
  <c r="U4805"/>
  <c r="U4806"/>
  <c r="T4806"/>
  <c r="T4807"/>
  <c r="U4807"/>
  <c r="U4808"/>
  <c r="T4808"/>
  <c r="T4811"/>
  <c r="U4811"/>
  <c r="U4812"/>
  <c r="T4812"/>
  <c r="T4813"/>
  <c r="U4813"/>
  <c r="V4815"/>
  <c r="T4797"/>
  <c r="U4797"/>
  <c r="V4801"/>
  <c r="V4814"/>
  <c r="V4823"/>
  <c r="V4784"/>
  <c r="U4786"/>
  <c r="T4786"/>
  <c r="V4788"/>
  <c r="U4790"/>
  <c r="T4790"/>
  <c r="T4791"/>
  <c r="U4791"/>
  <c r="V4795"/>
  <c r="V4010"/>
  <c r="V4012"/>
  <c r="V4014"/>
  <c r="V4016"/>
  <c r="U4027"/>
  <c r="T4029"/>
  <c r="T4031"/>
  <c r="V4034"/>
  <c r="U2951"/>
  <c r="U4043"/>
  <c r="T4333"/>
  <c r="T4290"/>
  <c r="V4292"/>
  <c r="T4294"/>
  <c r="T4297"/>
  <c r="T3600"/>
  <c r="T4303"/>
  <c r="U4303"/>
  <c r="U4309"/>
  <c r="U4312"/>
  <c r="U4316"/>
  <c r="V4318"/>
  <c r="T4320"/>
  <c r="V4322"/>
  <c r="T4324"/>
  <c r="U4328"/>
  <c r="U4332"/>
  <c r="V4336"/>
  <c r="T4338"/>
  <c r="U3589"/>
  <c r="V3594"/>
  <c r="V3596"/>
  <c r="T3599"/>
  <c r="V3606"/>
  <c r="V3612"/>
  <c r="V3616"/>
  <c r="V3622"/>
  <c r="V4050"/>
  <c r="T4049"/>
  <c r="V4040"/>
  <c r="V4802"/>
  <c r="U4020"/>
  <c r="U4794"/>
  <c r="T4794"/>
  <c r="V4792"/>
  <c r="U4009"/>
  <c r="T4009"/>
  <c r="U4011"/>
  <c r="T4011"/>
  <c r="U4013"/>
  <c r="T4013"/>
  <c r="U4015"/>
  <c r="T4015"/>
  <c r="U4017"/>
  <c r="T4017"/>
  <c r="U4021"/>
  <c r="T4021"/>
  <c r="U4023"/>
  <c r="T4023"/>
  <c r="V4026"/>
  <c r="V4028"/>
  <c r="V4030"/>
  <c r="V4796"/>
  <c r="V4033"/>
  <c r="V4035"/>
  <c r="V4037"/>
  <c r="V4039"/>
  <c r="T4042"/>
  <c r="U4042"/>
  <c r="T4044"/>
  <c r="U4044"/>
  <c r="V4298"/>
  <c r="U4304"/>
  <c r="T4304"/>
  <c r="V4310"/>
  <c r="U4334"/>
  <c r="T4334"/>
  <c r="V4288"/>
  <c r="V4289"/>
  <c r="T4291"/>
  <c r="U4291"/>
  <c r="V4293"/>
  <c r="T4295"/>
  <c r="U4295"/>
  <c r="U4296"/>
  <c r="T4296"/>
  <c r="T4299"/>
  <c r="U4299"/>
  <c r="U4300"/>
  <c r="T4300"/>
  <c r="V4302"/>
  <c r="U4306"/>
  <c r="T4306"/>
  <c r="V4308"/>
  <c r="V4311"/>
  <c r="T4313"/>
  <c r="U4313"/>
  <c r="V4315"/>
  <c r="T4317"/>
  <c r="U4317"/>
  <c r="V4319"/>
  <c r="T4321"/>
  <c r="U4321"/>
  <c r="V4323"/>
  <c r="T4325"/>
  <c r="U4325"/>
  <c r="V4327"/>
  <c r="T4329"/>
  <c r="U4329"/>
  <c r="V4331"/>
  <c r="T4335"/>
  <c r="U4335"/>
  <c r="V4337"/>
  <c r="V3588"/>
  <c r="U3591"/>
  <c r="T3591"/>
  <c r="U3593"/>
  <c r="T3593"/>
  <c r="U3595"/>
  <c r="T3595"/>
  <c r="V3598"/>
  <c r="U3601"/>
  <c r="T3601"/>
  <c r="U3603"/>
  <c r="T3603"/>
  <c r="U3605"/>
  <c r="T3605"/>
  <c r="U3607"/>
  <c r="T3607"/>
  <c r="U3609"/>
  <c r="T3609"/>
  <c r="U3611"/>
  <c r="T3611"/>
  <c r="U3613"/>
  <c r="T3613"/>
  <c r="U3615"/>
  <c r="T3615"/>
  <c r="U3617"/>
  <c r="T3617"/>
  <c r="U3619"/>
  <c r="T3619"/>
  <c r="U3621"/>
  <c r="T3621"/>
  <c r="U3623"/>
  <c r="T3623"/>
  <c r="V4826"/>
  <c r="V4827"/>
  <c r="T4849"/>
  <c r="U4849"/>
  <c r="V4047"/>
  <c r="T4046"/>
  <c r="U4046"/>
  <c r="V4051"/>
  <c r="T4052"/>
  <c r="U4052"/>
  <c r="V4053"/>
  <c r="T4054"/>
  <c r="U4054"/>
  <c r="V4055"/>
  <c r="T4056"/>
  <c r="U4056"/>
  <c r="V4057"/>
  <c r="T4058"/>
  <c r="U4058"/>
  <c r="V4059"/>
  <c r="T4060"/>
  <c r="U4060"/>
  <c r="V4061"/>
  <c r="T4062"/>
  <c r="U4062"/>
  <c r="V4063"/>
  <c r="T4064"/>
  <c r="U4064"/>
  <c r="V4065"/>
  <c r="T4066"/>
  <c r="U4066"/>
  <c r="V2961"/>
  <c r="T4072"/>
  <c r="U4072"/>
  <c r="V4073"/>
  <c r="T4074"/>
  <c r="U4074"/>
  <c r="V4075"/>
  <c r="V4803"/>
  <c r="V4804"/>
  <c r="V4805"/>
  <c r="V4806"/>
  <c r="V4807"/>
  <c r="V4808"/>
  <c r="V4811"/>
  <c r="V4812"/>
  <c r="V4813"/>
  <c r="T4815"/>
  <c r="U4815"/>
  <c r="V4797"/>
  <c r="T4801"/>
  <c r="U4801"/>
  <c r="U4814"/>
  <c r="T4814"/>
  <c r="T4823"/>
  <c r="U4823"/>
  <c r="U4784"/>
  <c r="T4784"/>
  <c r="V4786"/>
  <c r="U4788"/>
  <c r="T4788"/>
  <c r="V4790"/>
  <c r="V4791"/>
  <c r="T4795"/>
  <c r="U4795"/>
  <c r="T4010"/>
  <c r="U4010"/>
  <c r="T4012"/>
  <c r="U4012"/>
  <c r="T4014"/>
  <c r="U4014"/>
  <c r="T4016"/>
  <c r="U4016"/>
  <c r="V4019"/>
  <c r="T4022"/>
  <c r="U4022"/>
  <c r="T4024"/>
  <c r="U4024"/>
  <c r="V4027"/>
  <c r="V4029"/>
  <c r="V4031"/>
  <c r="T4032"/>
  <c r="U4032"/>
  <c r="T4034"/>
  <c r="U4034"/>
  <c r="T4036"/>
  <c r="U4036"/>
  <c r="T4038"/>
  <c r="U4038"/>
  <c r="V2951"/>
  <c r="V4043"/>
  <c r="T4305"/>
  <c r="U4305"/>
  <c r="V4333"/>
  <c r="V4290"/>
  <c r="U4292"/>
  <c r="T4292"/>
  <c r="V4294"/>
  <c r="T3590"/>
  <c r="U3590"/>
  <c r="V4297"/>
  <c r="V3600"/>
  <c r="T4301"/>
  <c r="U4301"/>
  <c r="V4303"/>
  <c r="T4307"/>
  <c r="U4307"/>
  <c r="V4309"/>
  <c r="V4312"/>
  <c r="U4314"/>
  <c r="T4314"/>
  <c r="V4316"/>
  <c r="U4318"/>
  <c r="T4318"/>
  <c r="V4320"/>
  <c r="U4322"/>
  <c r="T4322"/>
  <c r="V4324"/>
  <c r="U4326"/>
  <c r="T4326"/>
  <c r="V4328"/>
  <c r="U4330"/>
  <c r="T4330"/>
  <c r="V4332"/>
  <c r="U4336"/>
  <c r="T4336"/>
  <c r="V4338"/>
  <c r="V3589"/>
  <c r="T3592"/>
  <c r="U3592"/>
  <c r="T3594"/>
  <c r="U3594"/>
  <c r="T3596"/>
  <c r="U3596"/>
  <c r="V3599"/>
  <c r="T3602"/>
  <c r="U3602"/>
  <c r="T3604"/>
  <c r="U3604"/>
  <c r="T3606"/>
  <c r="U3606"/>
  <c r="T3608"/>
  <c r="U3608"/>
  <c r="T3610"/>
  <c r="U3610"/>
  <c r="T3612"/>
  <c r="U3612"/>
  <c r="T3614"/>
  <c r="U3614"/>
  <c r="T3616"/>
  <c r="U3616"/>
  <c r="T3618"/>
  <c r="U3618"/>
  <c r="T3620"/>
  <c r="U3620"/>
  <c r="T3622"/>
  <c r="U3622"/>
  <c r="T3624"/>
  <c r="U3624"/>
  <c r="T4050"/>
  <c r="U4050"/>
  <c r="V4049"/>
  <c r="T4068"/>
  <c r="U4068"/>
  <c r="T4040"/>
  <c r="U4040"/>
  <c r="U4802"/>
  <c r="T4802"/>
  <c r="T4809"/>
  <c r="U4809"/>
  <c r="U4019"/>
  <c r="T4019"/>
  <c r="V4022"/>
  <c r="V4024"/>
  <c r="T4027"/>
  <c r="U4029"/>
  <c r="U4031"/>
  <c r="V4032"/>
  <c r="V4036"/>
  <c r="V4038"/>
  <c r="T2951"/>
  <c r="T4043"/>
  <c r="V4305"/>
  <c r="U4333"/>
  <c r="U4290"/>
  <c r="U4294"/>
  <c r="V3590"/>
  <c r="U4297"/>
  <c r="U3600"/>
  <c r="V4301"/>
  <c r="V4307"/>
  <c r="T4309"/>
  <c r="T4312"/>
  <c r="V4314"/>
  <c r="T4316"/>
  <c r="U4320"/>
  <c r="U4324"/>
  <c r="V4326"/>
  <c r="T4328"/>
  <c r="V4330"/>
  <c r="T4332"/>
  <c r="U4338"/>
  <c r="T3589"/>
  <c r="V3592"/>
  <c r="U3599"/>
  <c r="V3602"/>
  <c r="V3604"/>
  <c r="V3608"/>
  <c r="V3610"/>
  <c r="V3614"/>
  <c r="V3618"/>
  <c r="V3620"/>
  <c r="V3624"/>
  <c r="U4049"/>
  <c r="V4068"/>
  <c r="V4809"/>
  <c r="U3910"/>
  <c r="V3910"/>
  <c r="T3910"/>
  <c r="T4088"/>
  <c r="U4088"/>
  <c r="V4083"/>
  <c r="V4077"/>
  <c r="V4850"/>
  <c r="U4071"/>
  <c r="T4071"/>
  <c r="V4048"/>
  <c r="U4800"/>
  <c r="T4800"/>
  <c r="U3955"/>
  <c r="T3955"/>
  <c r="U3953"/>
  <c r="T3953"/>
  <c r="U3951"/>
  <c r="T3951"/>
  <c r="U3949"/>
  <c r="T3949"/>
  <c r="U3947"/>
  <c r="T3947"/>
  <c r="U3945"/>
  <c r="T3945"/>
  <c r="U3943"/>
  <c r="T3943"/>
  <c r="U3941"/>
  <c r="T3941"/>
  <c r="U3939"/>
  <c r="T3939"/>
  <c r="U3937"/>
  <c r="T3937"/>
  <c r="U3935"/>
  <c r="T3935"/>
  <c r="V3932"/>
  <c r="V3926"/>
  <c r="U3923"/>
  <c r="T3923"/>
  <c r="U3919"/>
  <c r="T3919"/>
  <c r="U3917"/>
  <c r="T3917"/>
  <c r="U3915"/>
  <c r="T3915"/>
  <c r="U3911"/>
  <c r="T3911"/>
  <c r="V3908"/>
  <c r="T4715"/>
  <c r="U4715"/>
  <c r="V4713"/>
  <c r="T4709"/>
  <c r="U4709"/>
  <c r="V4707"/>
  <c r="V4706"/>
  <c r="U4704"/>
  <c r="T4704"/>
  <c r="V4702"/>
  <c r="V4699"/>
  <c r="T4697"/>
  <c r="U4697"/>
  <c r="V4695"/>
  <c r="V4694"/>
  <c r="U4692"/>
  <c r="T4692"/>
  <c r="V4690"/>
  <c r="U4688"/>
  <c r="T4688"/>
  <c r="V4686"/>
  <c r="U4684"/>
  <c r="T4684"/>
  <c r="V4682"/>
  <c r="V3929"/>
  <c r="U4678"/>
  <c r="T4678"/>
  <c r="V4676"/>
  <c r="U4674"/>
  <c r="T4674"/>
  <c r="V3928"/>
  <c r="V4670"/>
  <c r="U4668"/>
  <c r="T4668"/>
  <c r="V4664"/>
  <c r="U4662"/>
  <c r="T4662"/>
  <c r="V4660"/>
  <c r="U4658"/>
  <c r="T4658"/>
  <c r="V4656"/>
  <c r="U4654"/>
  <c r="T4654"/>
  <c r="V4652"/>
  <c r="U4650"/>
  <c r="T4650"/>
  <c r="T4647"/>
  <c r="U4647"/>
  <c r="V4645"/>
  <c r="V4644"/>
  <c r="U4642"/>
  <c r="T4642"/>
  <c r="V4640"/>
  <c r="U4638"/>
  <c r="T4638"/>
  <c r="V4636"/>
  <c r="U4634"/>
  <c r="T4634"/>
  <c r="V4632"/>
  <c r="U4630"/>
  <c r="T4630"/>
  <c r="V3914"/>
  <c r="V4626"/>
  <c r="U4624"/>
  <c r="T4624"/>
  <c r="T4701"/>
  <c r="U4701"/>
  <c r="V4711"/>
  <c r="T4679"/>
  <c r="U4679"/>
  <c r="V4665"/>
  <c r="V4091"/>
  <c r="T4084"/>
  <c r="U4084"/>
  <c r="T4080"/>
  <c r="U4080"/>
  <c r="T4851"/>
  <c r="U4851"/>
  <c r="V4087"/>
  <c r="U4067"/>
  <c r="T4067"/>
  <c r="U4045"/>
  <c r="T4045"/>
  <c r="V4799"/>
  <c r="V3954"/>
  <c r="V3952"/>
  <c r="V3950"/>
  <c r="V3948"/>
  <c r="V3946"/>
  <c r="V3944"/>
  <c r="V3942"/>
  <c r="V3940"/>
  <c r="V3938"/>
  <c r="V3936"/>
  <c r="V3934"/>
  <c r="U3931"/>
  <c r="T3931"/>
  <c r="U3925"/>
  <c r="T3925"/>
  <c r="V3922"/>
  <c r="V3918"/>
  <c r="V3916"/>
  <c r="V3912"/>
  <c r="U3909"/>
  <c r="T3909"/>
  <c r="V4716"/>
  <c r="U4714"/>
  <c r="T4714"/>
  <c r="V4712"/>
  <c r="U4708"/>
  <c r="T4708"/>
  <c r="V3956"/>
  <c r="T4705"/>
  <c r="U4705"/>
  <c r="V4703"/>
  <c r="V4700"/>
  <c r="U4698"/>
  <c r="T4698"/>
  <c r="V4696"/>
  <c r="T3930"/>
  <c r="U3930"/>
  <c r="V4693"/>
  <c r="T4691"/>
  <c r="U4691"/>
  <c r="V4689"/>
  <c r="T4687"/>
  <c r="U4687"/>
  <c r="V4685"/>
  <c r="T4683"/>
  <c r="U4683"/>
  <c r="V4681"/>
  <c r="V4680"/>
  <c r="V4677"/>
  <c r="T4675"/>
  <c r="U4675"/>
  <c r="V4673"/>
  <c r="V4672"/>
  <c r="V4669"/>
  <c r="T4667"/>
  <c r="U4667"/>
  <c r="V4663"/>
  <c r="T4661"/>
  <c r="U4661"/>
  <c r="V4659"/>
  <c r="T4657"/>
  <c r="U4657"/>
  <c r="V4655"/>
  <c r="T4653"/>
  <c r="U4653"/>
  <c r="V4651"/>
  <c r="V4648"/>
  <c r="U4646"/>
  <c r="T4646"/>
  <c r="U3921"/>
  <c r="T3921"/>
  <c r="T4643"/>
  <c r="U4643"/>
  <c r="V4641"/>
  <c r="T4639"/>
  <c r="U4639"/>
  <c r="V4637"/>
  <c r="T4635"/>
  <c r="U4635"/>
  <c r="V4633"/>
  <c r="T4631"/>
  <c r="U4631"/>
  <c r="V4629"/>
  <c r="T4627"/>
  <c r="U4627"/>
  <c r="V4625"/>
  <c r="T4623"/>
  <c r="U4623"/>
  <c r="U4666"/>
  <c r="T4666"/>
  <c r="V4710"/>
  <c r="V4671"/>
  <c r="T4649"/>
  <c r="U4649"/>
  <c r="U4628"/>
  <c r="T4628"/>
  <c r="V4622"/>
  <c r="V4088"/>
  <c r="U4083"/>
  <c r="T4083"/>
  <c r="U4077"/>
  <c r="T4077"/>
  <c r="U4850"/>
  <c r="T4850"/>
  <c r="V4071"/>
  <c r="T4048"/>
  <c r="U4048"/>
  <c r="V4800"/>
  <c r="V3955"/>
  <c r="V3953"/>
  <c r="V3951"/>
  <c r="V3949"/>
  <c r="V3947"/>
  <c r="V3945"/>
  <c r="V3943"/>
  <c r="V3941"/>
  <c r="V3939"/>
  <c r="V3937"/>
  <c r="V3935"/>
  <c r="T3932"/>
  <c r="U3932"/>
  <c r="T3926"/>
  <c r="U3926"/>
  <c r="V3923"/>
  <c r="V3919"/>
  <c r="V3917"/>
  <c r="V3915"/>
  <c r="V3911"/>
  <c r="T3908"/>
  <c r="U3908"/>
  <c r="V4715"/>
  <c r="T4713"/>
  <c r="U4713"/>
  <c r="V4709"/>
  <c r="T4707"/>
  <c r="U4707"/>
  <c r="U4706"/>
  <c r="T4706"/>
  <c r="V4704"/>
  <c r="U4702"/>
  <c r="T4702"/>
  <c r="T4699"/>
  <c r="U4699"/>
  <c r="V4697"/>
  <c r="T4695"/>
  <c r="U4695"/>
  <c r="U4694"/>
  <c r="T4694"/>
  <c r="V4692"/>
  <c r="U4690"/>
  <c r="T4690"/>
  <c r="V4688"/>
  <c r="U4686"/>
  <c r="T4686"/>
  <c r="V4684"/>
  <c r="U4682"/>
  <c r="T4682"/>
  <c r="U3929"/>
  <c r="T3929"/>
  <c r="V4678"/>
  <c r="U4676"/>
  <c r="T4676"/>
  <c r="V4674"/>
  <c r="T3928"/>
  <c r="U3928"/>
  <c r="U4670"/>
  <c r="T4670"/>
  <c r="V4668"/>
  <c r="U4664"/>
  <c r="T4664"/>
  <c r="V4662"/>
  <c r="U4660"/>
  <c r="T4660"/>
  <c r="V4658"/>
  <c r="U4656"/>
  <c r="T4656"/>
  <c r="V4654"/>
  <c r="U4652"/>
  <c r="T4652"/>
  <c r="V4650"/>
  <c r="V4647"/>
  <c r="T4645"/>
  <c r="U4645"/>
  <c r="U4644"/>
  <c r="T4644"/>
  <c r="V4642"/>
  <c r="U4640"/>
  <c r="T4640"/>
  <c r="V4638"/>
  <c r="U4636"/>
  <c r="T4636"/>
  <c r="V4634"/>
  <c r="U4632"/>
  <c r="T4632"/>
  <c r="V4630"/>
  <c r="T3914"/>
  <c r="U3914"/>
  <c r="U4626"/>
  <c r="T4626"/>
  <c r="V4624"/>
  <c r="V4701"/>
  <c r="T4711"/>
  <c r="U4711"/>
  <c r="V4679"/>
  <c r="T4665"/>
  <c r="U4665"/>
  <c r="U4091"/>
  <c r="T4091"/>
  <c r="V4084"/>
  <c r="V4080"/>
  <c r="V4851"/>
  <c r="U4087"/>
  <c r="T4087"/>
  <c r="V4067"/>
  <c r="V4045"/>
  <c r="T4799"/>
  <c r="U4799"/>
  <c r="T3954"/>
  <c r="U3954"/>
  <c r="T3952"/>
  <c r="U3952"/>
  <c r="T3950"/>
  <c r="U3950"/>
  <c r="T3948"/>
  <c r="U3948"/>
  <c r="T3946"/>
  <c r="U3946"/>
  <c r="T3944"/>
  <c r="U3944"/>
  <c r="T3942"/>
  <c r="U3942"/>
  <c r="T3940"/>
  <c r="U3940"/>
  <c r="T3938"/>
  <c r="U3938"/>
  <c r="T3936"/>
  <c r="U3936"/>
  <c r="T3934"/>
  <c r="U3934"/>
  <c r="V3931"/>
  <c r="V3925"/>
  <c r="T3922"/>
  <c r="U3922"/>
  <c r="T3918"/>
  <c r="U3918"/>
  <c r="T3916"/>
  <c r="U3916"/>
  <c r="T3912"/>
  <c r="U3912"/>
  <c r="V3909"/>
  <c r="U4716"/>
  <c r="T4716"/>
  <c r="V4714"/>
  <c r="U4712"/>
  <c r="T4712"/>
  <c r="V4708"/>
  <c r="T3956"/>
  <c r="U3956"/>
  <c r="V4705"/>
  <c r="T4703"/>
  <c r="U4703"/>
  <c r="U4700"/>
  <c r="T4700"/>
  <c r="V4698"/>
  <c r="U4696"/>
  <c r="T4696"/>
  <c r="V3930"/>
  <c r="T4693"/>
  <c r="U4693"/>
  <c r="V4691"/>
  <c r="T4689"/>
  <c r="U4689"/>
  <c r="V4687"/>
  <c r="T4685"/>
  <c r="U4685"/>
  <c r="V4683"/>
  <c r="T4681"/>
  <c r="U4681"/>
  <c r="U4680"/>
  <c r="T4680"/>
  <c r="T4677"/>
  <c r="U4677"/>
  <c r="V4675"/>
  <c r="T4673"/>
  <c r="U4673"/>
  <c r="U4672"/>
  <c r="T4672"/>
  <c r="T4669"/>
  <c r="U4669"/>
  <c r="V4667"/>
  <c r="T4663"/>
  <c r="U4663"/>
  <c r="V4661"/>
  <c r="T4659"/>
  <c r="U4659"/>
  <c r="V4657"/>
  <c r="T4655"/>
  <c r="U4655"/>
  <c r="V4653"/>
  <c r="T4651"/>
  <c r="U4651"/>
  <c r="U4648"/>
  <c r="T4648"/>
  <c r="V4646"/>
  <c r="V3921"/>
  <c r="V4643"/>
  <c r="T4641"/>
  <c r="U4641"/>
  <c r="V4639"/>
  <c r="T4637"/>
  <c r="U4637"/>
  <c r="V4635"/>
  <c r="T4633"/>
  <c r="U4633"/>
  <c r="V4631"/>
  <c r="T4629"/>
  <c r="U4629"/>
  <c r="V4627"/>
  <c r="T4625"/>
  <c r="U4625"/>
  <c r="V4623"/>
  <c r="V4666"/>
  <c r="U4710"/>
  <c r="T4710"/>
  <c r="T4671"/>
  <c r="U4671"/>
  <c r="V4649"/>
  <c r="V4628"/>
  <c r="U4622"/>
  <c r="T4622"/>
  <c r="H28" i="68"/>
  <c r="F29" s="1"/>
  <c r="G30"/>
  <c r="E31" i="34"/>
  <c r="AA31" s="1"/>
  <c r="E30"/>
  <c r="AA30" s="1"/>
  <c r="E29"/>
  <c r="AA29" s="1"/>
  <c r="E28"/>
  <c r="AA28" s="1"/>
  <c r="E27"/>
  <c r="AA27" s="1"/>
  <c r="F28" i="43" l="1"/>
  <c r="B39"/>
  <c r="A38"/>
  <c r="G36"/>
  <c r="F35"/>
  <c r="E34"/>
  <c r="D33"/>
  <c r="C32"/>
  <c r="B31"/>
  <c r="A30"/>
  <c r="G28"/>
  <c r="G39"/>
  <c r="F38"/>
  <c r="E37"/>
  <c r="D36"/>
  <c r="C35"/>
  <c r="B34"/>
  <c r="A33"/>
  <c r="G31"/>
  <c r="F30"/>
  <c r="E29"/>
  <c r="D28"/>
  <c r="G38"/>
  <c r="F37"/>
  <c r="E36"/>
  <c r="D35"/>
  <c r="C34"/>
  <c r="B33"/>
  <c r="A32"/>
  <c r="G30"/>
  <c r="F29"/>
  <c r="E28"/>
  <c r="E39"/>
  <c r="D38"/>
  <c r="C37"/>
  <c r="B36"/>
  <c r="A35"/>
  <c r="G33"/>
  <c r="F32"/>
  <c r="E31"/>
  <c r="D30"/>
  <c r="C29"/>
  <c r="B28"/>
  <c r="F39"/>
  <c r="E38"/>
  <c r="D37"/>
  <c r="C36"/>
  <c r="B35"/>
  <c r="A34"/>
  <c r="G32"/>
  <c r="F31"/>
  <c r="E30"/>
  <c r="D29"/>
  <c r="C28"/>
  <c r="C39"/>
  <c r="B38"/>
  <c r="A37"/>
  <c r="G35"/>
  <c r="F34"/>
  <c r="E33"/>
  <c r="D32"/>
  <c r="C31"/>
  <c r="B30"/>
  <c r="A29"/>
  <c r="D39"/>
  <c r="C38"/>
  <c r="B37"/>
  <c r="A36"/>
  <c r="G34"/>
  <c r="F33"/>
  <c r="E32"/>
  <c r="D31"/>
  <c r="C30"/>
  <c r="B29"/>
  <c r="A28"/>
  <c r="A39"/>
  <c r="G37"/>
  <c r="F36"/>
  <c r="E35"/>
  <c r="D34"/>
  <c r="C33"/>
  <c r="B32"/>
  <c r="A31"/>
  <c r="G29"/>
  <c r="G7" i="62" a="1"/>
  <c r="G7" s="1"/>
  <c r="I7" a="1"/>
  <c r="I7" s="1"/>
  <c r="G8" a="1"/>
  <c r="G8" s="1"/>
  <c r="I8" a="1"/>
  <c r="I8" s="1"/>
  <c r="K7176" i="34"/>
  <c r="I6" i="62" a="1"/>
  <c r="I6" s="1"/>
  <c r="G6" a="1"/>
  <c r="G6" s="1"/>
  <c r="I17" a="1"/>
  <c r="I17" s="1"/>
  <c r="G17" a="1"/>
  <c r="G17" s="1"/>
  <c r="I5" a="1"/>
  <c r="I5" s="1"/>
  <c r="G16" a="1"/>
  <c r="G16" s="1"/>
  <c r="I16" a="1"/>
  <c r="I16" s="1"/>
  <c r="G5" a="1"/>
  <c r="G5" s="1"/>
  <c r="G14" a="1"/>
  <c r="G14" s="1"/>
  <c r="G15" a="1"/>
  <c r="G15" s="1"/>
  <c r="I14" a="1"/>
  <c r="I14" s="1"/>
  <c r="I15" a="1"/>
  <c r="I15"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7" i="62" l="1"/>
  <c r="M7"/>
  <c r="K8"/>
  <c r="M8"/>
  <c r="K6"/>
  <c r="M6"/>
  <c r="K17"/>
  <c r="M17"/>
  <c r="K5"/>
  <c r="M16"/>
  <c r="K16"/>
  <c r="M5"/>
  <c r="M15"/>
  <c r="M14"/>
  <c r="K15"/>
  <c r="K14"/>
  <c r="CB39" i="48"/>
  <c r="A5" i="12" l="1"/>
  <c r="A10"/>
  <c r="A11"/>
  <c r="A12"/>
  <c r="A19"/>
  <c r="A24"/>
  <c r="A26"/>
  <c r="A27"/>
  <c r="A28"/>
  <c r="A21"/>
  <c r="A4"/>
  <c r="A22"/>
  <c r="A70"/>
  <c r="A71"/>
  <c r="A51"/>
  <c r="A52"/>
  <c r="A29"/>
  <c r="A43"/>
  <c r="A61"/>
  <c r="A46"/>
  <c r="A42"/>
  <c r="A68"/>
  <c r="A54"/>
  <c r="A50"/>
  <c r="A57"/>
  <c r="A49"/>
  <c r="A58"/>
  <c r="A65"/>
  <c r="A41"/>
  <c r="A69"/>
  <c r="A9"/>
  <c r="G54" i="55" l="1" a="1"/>
  <c r="G54" s="1"/>
  <c r="G60" a="1"/>
  <c r="G60" s="1"/>
  <c r="G63" a="1"/>
  <c r="G63" s="1"/>
  <c r="B26"/>
  <c r="A26" s="1"/>
  <c r="B27"/>
  <c r="A27" s="1"/>
  <c r="B28"/>
  <c r="A28" s="1"/>
  <c r="B12"/>
  <c r="A12" s="1"/>
  <c r="M20" i="34" l="1"/>
  <c r="M18"/>
  <c r="M19"/>
  <c r="M16"/>
  <c r="M17"/>
  <c r="M10" l="1"/>
  <c r="AD10"/>
  <c r="G7" i="57" l="1"/>
  <c r="D97" i="12"/>
  <c r="E119" i="57" l="1"/>
  <c r="E118"/>
  <c r="E116"/>
  <c r="E99"/>
  <c r="E111"/>
  <c r="E101"/>
  <c r="E115"/>
  <c r="E112"/>
  <c r="E114"/>
  <c r="E98"/>
  <c r="E97"/>
  <c r="E31"/>
  <c r="E39"/>
  <c r="E47"/>
  <c r="E34"/>
  <c r="E42"/>
  <c r="E33"/>
  <c r="E41"/>
  <c r="E50"/>
  <c r="E52"/>
  <c r="E54"/>
  <c r="E56"/>
  <c r="E58"/>
  <c r="E60"/>
  <c r="E62"/>
  <c r="E36"/>
  <c r="E44"/>
  <c r="E49"/>
  <c r="E81"/>
  <c r="E86"/>
  <c r="E84"/>
  <c r="E83"/>
  <c r="E64"/>
  <c r="E66"/>
  <c r="E68"/>
  <c r="E70"/>
  <c r="E72"/>
  <c r="E74"/>
  <c r="E89"/>
  <c r="E93"/>
  <c r="E96"/>
  <c r="E117"/>
  <c r="E103"/>
  <c r="E107"/>
  <c r="E113"/>
  <c r="E109"/>
  <c r="E105"/>
  <c r="E110"/>
  <c r="E108"/>
  <c r="E106"/>
  <c r="E104"/>
  <c r="E100"/>
  <c r="E102"/>
  <c r="E35"/>
  <c r="E43"/>
  <c r="E30"/>
  <c r="E38"/>
  <c r="E46"/>
  <c r="E37"/>
  <c r="E45"/>
  <c r="E51"/>
  <c r="E53"/>
  <c r="E55"/>
  <c r="E57"/>
  <c r="E59"/>
  <c r="E61"/>
  <c r="E32"/>
  <c r="E40"/>
  <c r="E48"/>
  <c r="E85"/>
  <c r="E80"/>
  <c r="E79"/>
  <c r="E63"/>
  <c r="E65"/>
  <c r="E67"/>
  <c r="E69"/>
  <c r="E71"/>
  <c r="E73"/>
  <c r="E75"/>
  <c r="E77"/>
  <c r="E82"/>
  <c r="E88"/>
  <c r="E90"/>
  <c r="E92"/>
  <c r="E94"/>
  <c r="E76"/>
  <c r="E78"/>
  <c r="E87"/>
  <c r="E91"/>
  <c r="E95"/>
  <c r="E22"/>
  <c r="E21"/>
  <c r="E16"/>
  <c r="E27"/>
  <c r="E18"/>
  <c r="E17"/>
  <c r="E28"/>
  <c r="E23"/>
  <c r="E29"/>
  <c r="E24"/>
  <c r="E19"/>
  <c r="E26"/>
  <c r="E25"/>
  <c r="E20"/>
  <c r="I126" i="42"/>
  <c r="G129" i="43"/>
  <c r="E16" i="61" l="1"/>
  <c r="B11"/>
  <c r="D5"/>
  <c r="Z258" i="60"/>
  <c r="D230"/>
  <c r="D235" s="1"/>
  <c r="O210"/>
  <c r="A209"/>
  <c r="M210"/>
  <c r="D205"/>
  <c r="A205"/>
  <c r="A206" s="1"/>
  <c r="A207" s="1"/>
  <c r="Y193"/>
  <c r="L184" s="1"/>
  <c r="Y192"/>
  <c r="L183" s="1"/>
  <c r="Y191"/>
  <c r="L182" s="1"/>
  <c r="Z190"/>
  <c r="O192"/>
  <c r="E192"/>
  <c r="G190"/>
  <c r="Y188"/>
  <c r="G188"/>
  <c r="Y183"/>
  <c r="Y182"/>
  <c r="M192"/>
  <c r="D182"/>
  <c r="Y176"/>
  <c r="Y175"/>
  <c r="L166" s="1"/>
  <c r="Y174"/>
  <c r="L165" s="1"/>
  <c r="Y172"/>
  <c r="L163" s="1"/>
  <c r="Y171"/>
  <c r="L162" s="1"/>
  <c r="Y170"/>
  <c r="Z169"/>
  <c r="O168"/>
  <c r="C167"/>
  <c r="A167"/>
  <c r="A161"/>
  <c r="A162" s="1"/>
  <c r="A163" s="1"/>
  <c r="A164" s="1"/>
  <c r="A165" s="1"/>
  <c r="A166" s="1"/>
  <c r="Z151"/>
  <c r="O148"/>
  <c r="Y145"/>
  <c r="Y144"/>
  <c r="Y143"/>
  <c r="L137"/>
  <c r="Z118"/>
  <c r="O137"/>
  <c r="A136"/>
  <c r="A31" i="58"/>
  <c r="I13"/>
  <c r="C8"/>
  <c r="L13" i="57"/>
  <c r="K13"/>
  <c r="I7"/>
  <c r="A27" i="56"/>
  <c r="A12"/>
  <c r="D7"/>
  <c r="C7"/>
  <c r="D5"/>
  <c r="F74" i="55"/>
  <c r="I63" a="1"/>
  <c r="I63" s="1"/>
  <c r="I60" a="1"/>
  <c r="I60" s="1"/>
  <c r="I54" a="1"/>
  <c r="I54" s="1"/>
  <c r="I53" a="1"/>
  <c r="I53" s="1"/>
  <c r="G53" a="1"/>
  <c r="G53" s="1"/>
  <c r="G73" s="1"/>
  <c r="B53"/>
  <c r="A53" s="1"/>
  <c r="I31" a="1"/>
  <c r="I31" s="1"/>
  <c r="G31" a="1"/>
  <c r="G31" s="1"/>
  <c r="I35" a="1"/>
  <c r="I35" s="1"/>
  <c r="G35" a="1"/>
  <c r="G35" s="1"/>
  <c r="I37" a="1"/>
  <c r="I37" s="1"/>
  <c r="G37" a="1"/>
  <c r="G37" s="1"/>
  <c r="I24" a="1"/>
  <c r="I24" s="1"/>
  <c r="G24" a="1"/>
  <c r="G24" s="1"/>
  <c r="I30" a="1"/>
  <c r="I30" s="1"/>
  <c r="G30" a="1"/>
  <c r="G30" s="1"/>
  <c r="I29" a="1"/>
  <c r="I29" s="1"/>
  <c r="G29" a="1"/>
  <c r="G29" s="1"/>
  <c r="I23" a="1"/>
  <c r="I23" s="1"/>
  <c r="G23" a="1"/>
  <c r="G23" s="1"/>
  <c r="I21" a="1"/>
  <c r="I21" s="1"/>
  <c r="G21" a="1"/>
  <c r="G21" s="1"/>
  <c r="I20" a="1"/>
  <c r="I20" s="1"/>
  <c r="G20" a="1"/>
  <c r="G20" s="1"/>
  <c r="I19" a="1"/>
  <c r="I19" s="1"/>
  <c r="G19" a="1"/>
  <c r="G19" s="1"/>
  <c r="I18" a="1"/>
  <c r="I18" s="1"/>
  <c r="G18" a="1"/>
  <c r="G18" s="1"/>
  <c r="I16" a="1"/>
  <c r="I16" s="1"/>
  <c r="G16" a="1"/>
  <c r="G16" s="1"/>
  <c r="I14" a="1"/>
  <c r="I14" s="1"/>
  <c r="G14" a="1"/>
  <c r="G14" s="1"/>
  <c r="I13" a="1"/>
  <c r="I13" s="1"/>
  <c r="G13" a="1"/>
  <c r="G13" s="1"/>
  <c r="I12" a="1"/>
  <c r="I12" s="1"/>
  <c r="G12" a="1"/>
  <c r="G12" s="1"/>
  <c r="L13" i="54"/>
  <c r="L18" s="1"/>
  <c r="A27" i="52"/>
  <c r="N16"/>
  <c r="M16"/>
  <c r="L16"/>
  <c r="A8"/>
  <c r="I13" i="62" a="1"/>
  <c r="I13" s="1"/>
  <c r="G13" a="1"/>
  <c r="G13" s="1"/>
  <c r="I11" a="1"/>
  <c r="I11" s="1"/>
  <c r="G11" a="1"/>
  <c r="G11" s="1"/>
  <c r="I12" a="1"/>
  <c r="I12" s="1"/>
  <c r="G12" a="1"/>
  <c r="G12" s="1"/>
  <c r="I10" a="1"/>
  <c r="I10" s="1"/>
  <c r="G10" a="1"/>
  <c r="G10"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26" i="34"/>
  <c r="AA26" s="1"/>
  <c r="E24"/>
  <c r="AA24" s="1"/>
  <c r="AC10"/>
  <c r="AA10"/>
  <c r="Y10"/>
  <c r="W10"/>
  <c r="P10"/>
  <c r="A10"/>
  <c r="X7"/>
  <c r="X390" s="1"/>
  <c r="C12" i="61"/>
  <c r="H12"/>
  <c r="X394" i="34" l="1"/>
  <c r="X391"/>
  <c r="X392"/>
  <c r="X397"/>
  <c r="X398"/>
  <c r="X401"/>
  <c r="X402"/>
  <c r="X396"/>
  <c r="X399"/>
  <c r="X395"/>
  <c r="X393"/>
  <c r="X400"/>
  <c r="X273"/>
  <c r="X349"/>
  <c r="X351"/>
  <c r="X353"/>
  <c r="X355"/>
  <c r="X357"/>
  <c r="X350"/>
  <c r="X352"/>
  <c r="X354"/>
  <c r="X356"/>
  <c r="X358"/>
  <c r="X345"/>
  <c r="X284"/>
  <c r="X346"/>
  <c r="X285"/>
  <c r="X257"/>
  <c r="X255"/>
  <c r="X256"/>
  <c r="X272"/>
  <c r="X283"/>
  <c r="X382"/>
  <c r="X344"/>
  <c r="X348"/>
  <c r="X359"/>
  <c r="X347"/>
  <c r="X386"/>
  <c r="X384"/>
  <c r="X385"/>
  <c r="X383"/>
  <c r="X338"/>
  <c r="X337"/>
  <c r="X336"/>
  <c r="X331"/>
  <c r="X297"/>
  <c r="X330"/>
  <c r="X329"/>
  <c r="X270"/>
  <c r="X295"/>
  <c r="X296"/>
  <c r="X269"/>
  <c r="X271"/>
  <c r="X328"/>
  <c r="X327"/>
  <c r="X381"/>
  <c r="X379"/>
  <c r="X380"/>
  <c r="X378"/>
  <c r="X326"/>
  <c r="X325"/>
  <c r="X332"/>
  <c r="X334"/>
  <c r="X339"/>
  <c r="X341"/>
  <c r="X343"/>
  <c r="X333"/>
  <c r="X335"/>
  <c r="X340"/>
  <c r="X342"/>
  <c r="X266"/>
  <c r="X268"/>
  <c r="X267"/>
  <c r="X264"/>
  <c r="X265"/>
  <c r="X282"/>
  <c r="X281"/>
  <c r="X280"/>
  <c r="X376"/>
  <c r="X279"/>
  <c r="X278"/>
  <c r="X277"/>
  <c r="X276"/>
  <c r="X323"/>
  <c r="X322"/>
  <c r="X321"/>
  <c r="X319"/>
  <c r="X318"/>
  <c r="X317"/>
  <c r="X316"/>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315"/>
  <c r="X314"/>
  <c r="X258"/>
  <c r="X259"/>
  <c r="X260"/>
  <c r="X261"/>
  <c r="X262"/>
  <c r="X263"/>
  <c r="X274"/>
  <c r="X275"/>
  <c r="X286"/>
  <c r="X287"/>
  <c r="X288"/>
  <c r="X289"/>
  <c r="X290"/>
  <c r="X291"/>
  <c r="X292"/>
  <c r="X293"/>
  <c r="X294"/>
  <c r="X298"/>
  <c r="X299"/>
  <c r="X300"/>
  <c r="X301"/>
  <c r="X302"/>
  <c r="X303"/>
  <c r="X304"/>
  <c r="X305"/>
  <c r="X306"/>
  <c r="X307"/>
  <c r="X308"/>
  <c r="X309"/>
  <c r="X310"/>
  <c r="X311"/>
  <c r="X312"/>
  <c r="X313"/>
  <c r="X320"/>
  <c r="X324"/>
  <c r="X360"/>
  <c r="X361"/>
  <c r="X362"/>
  <c r="X363"/>
  <c r="X364"/>
  <c r="X365"/>
  <c r="X366"/>
  <c r="X367"/>
  <c r="X368"/>
  <c r="X369"/>
  <c r="X370"/>
  <c r="X371"/>
  <c r="X372"/>
  <c r="X373"/>
  <c r="X374"/>
  <c r="X375"/>
  <c r="X377"/>
  <c r="X387"/>
  <c r="X388"/>
  <c r="X389"/>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3"/>
  <c r="X1534"/>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3586"/>
  <c r="X2919"/>
  <c r="X2921"/>
  <c r="X2923"/>
  <c r="X2925"/>
  <c r="X2920"/>
  <c r="X2922"/>
  <c r="X2924"/>
  <c r="X2926"/>
  <c r="X5023"/>
  <c r="X5022"/>
  <c r="X5021"/>
  <c r="X5019"/>
  <c r="X5020"/>
  <c r="X4254"/>
  <c r="X5018"/>
  <c r="X5016"/>
  <c r="X5015"/>
  <c r="X5012"/>
  <c r="X5024"/>
  <c r="X5025"/>
  <c r="X4283"/>
  <c r="X5017"/>
  <c r="X5014"/>
  <c r="X501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4"/>
  <c r="X2195"/>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7"/>
  <c r="X3178"/>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4"/>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1"/>
  <c r="X3682"/>
  <c r="X3683"/>
  <c r="X3684"/>
  <c r="X3685"/>
  <c r="X3686"/>
  <c r="X3687"/>
  <c r="X3688"/>
  <c r="X3689"/>
  <c r="X3690"/>
  <c r="X3691"/>
  <c r="X3692"/>
  <c r="X3693"/>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56"/>
  <c r="X3757"/>
  <c r="X3758"/>
  <c r="X3759"/>
  <c r="X3760"/>
  <c r="X3761"/>
  <c r="X3762"/>
  <c r="X3763"/>
  <c r="X3764"/>
  <c r="X3765"/>
  <c r="X3766"/>
  <c r="X3767"/>
  <c r="X3768"/>
  <c r="X3769"/>
  <c r="X3770"/>
  <c r="X3771"/>
  <c r="X3772"/>
  <c r="X3773"/>
  <c r="X3774"/>
  <c r="X3775"/>
  <c r="X3776"/>
  <c r="X3777"/>
  <c r="X3778"/>
  <c r="X3779"/>
  <c r="X3780"/>
  <c r="X3781"/>
  <c r="X3782"/>
  <c r="X3783"/>
  <c r="X3784"/>
  <c r="X3785"/>
  <c r="X3786"/>
  <c r="X3787"/>
  <c r="X3788"/>
  <c r="X3789"/>
  <c r="X3790"/>
  <c r="X3791"/>
  <c r="X3792"/>
  <c r="X3793"/>
  <c r="X3794"/>
  <c r="X3795"/>
  <c r="X3796"/>
  <c r="X3797"/>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39"/>
  <c r="X3840"/>
  <c r="X3841"/>
  <c r="X3842"/>
  <c r="X3843"/>
  <c r="X3844"/>
  <c r="X3845"/>
  <c r="X3846"/>
  <c r="X3847"/>
  <c r="X3848"/>
  <c r="X3849"/>
  <c r="X3850"/>
  <c r="X3851"/>
  <c r="X3852"/>
  <c r="X3853"/>
  <c r="X3854"/>
  <c r="X3855"/>
  <c r="X3856"/>
  <c r="X3857"/>
  <c r="X3858"/>
  <c r="X3859"/>
  <c r="X3860"/>
  <c r="X3861"/>
  <c r="X3862"/>
  <c r="X3863"/>
  <c r="X3864"/>
  <c r="X3865"/>
  <c r="X3866"/>
  <c r="X3867"/>
  <c r="X3868"/>
  <c r="X3869"/>
  <c r="X3870"/>
  <c r="X3871"/>
  <c r="X3872"/>
  <c r="X3873"/>
  <c r="X3874"/>
  <c r="X3875"/>
  <c r="X3876"/>
  <c r="X3877"/>
  <c r="X3878"/>
  <c r="X3879"/>
  <c r="X3880"/>
  <c r="X3881"/>
  <c r="X3882"/>
  <c r="X3883"/>
  <c r="X3884"/>
  <c r="X3885"/>
  <c r="X3886"/>
  <c r="X3887"/>
  <c r="X3888"/>
  <c r="X3889"/>
  <c r="X3890"/>
  <c r="X3891"/>
  <c r="X3892"/>
  <c r="X3893"/>
  <c r="X3894"/>
  <c r="X3895"/>
  <c r="X3896"/>
  <c r="X3897"/>
  <c r="X3898"/>
  <c r="X3899"/>
  <c r="X3900"/>
  <c r="X3901"/>
  <c r="X3902"/>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5"/>
  <c r="X4046"/>
  <c r="X4047"/>
  <c r="X4048"/>
  <c r="X4049"/>
  <c r="X4050"/>
  <c r="X4051"/>
  <c r="X4052"/>
  <c r="X4053"/>
  <c r="X4054"/>
  <c r="X4055"/>
  <c r="X4056"/>
  <c r="X4057"/>
  <c r="X4058"/>
  <c r="X4059"/>
  <c r="X4060"/>
  <c r="X4061"/>
  <c r="X4062"/>
  <c r="X4063"/>
  <c r="X4064"/>
  <c r="X4065"/>
  <c r="X4066"/>
  <c r="X4067"/>
  <c r="X4068"/>
  <c r="X4069"/>
  <c r="X4070"/>
  <c r="X4071"/>
  <c r="X4072"/>
  <c r="X4073"/>
  <c r="X4074"/>
  <c r="X4075"/>
  <c r="X4076"/>
  <c r="X4077"/>
  <c r="X4078"/>
  <c r="X4079"/>
  <c r="X4080"/>
  <c r="X4081"/>
  <c r="X4082"/>
  <c r="X4083"/>
  <c r="X4084"/>
  <c r="X4085"/>
  <c r="X4086"/>
  <c r="X4087"/>
  <c r="X4088"/>
  <c r="X4089"/>
  <c r="X4090"/>
  <c r="X4091"/>
  <c r="X4092"/>
  <c r="X4093"/>
  <c r="X4094"/>
  <c r="X4095"/>
  <c r="X4096"/>
  <c r="X4097"/>
  <c r="X4098"/>
  <c r="X4099"/>
  <c r="X4100"/>
  <c r="X4101"/>
  <c r="X4102"/>
  <c r="X4103"/>
  <c r="X4104"/>
  <c r="X4105"/>
  <c r="X4106"/>
  <c r="X4107"/>
  <c r="X4108"/>
  <c r="X4109"/>
  <c r="X4110"/>
  <c r="X4111"/>
  <c r="X4112"/>
  <c r="X4113"/>
  <c r="X4114"/>
  <c r="X4115"/>
  <c r="X4116"/>
  <c r="X4117"/>
  <c r="X4118"/>
  <c r="X4119"/>
  <c r="X4120"/>
  <c r="X4121"/>
  <c r="X4122"/>
  <c r="X4123"/>
  <c r="X4124"/>
  <c r="X4125"/>
  <c r="X4126"/>
  <c r="X4127"/>
  <c r="X4128"/>
  <c r="X4129"/>
  <c r="X4130"/>
  <c r="X4131"/>
  <c r="X4132"/>
  <c r="X4133"/>
  <c r="X4134"/>
  <c r="X4135"/>
  <c r="X4136"/>
  <c r="X4137"/>
  <c r="X4138"/>
  <c r="X4139"/>
  <c r="X4140"/>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5"/>
  <c r="X4256"/>
  <c r="X4257"/>
  <c r="X4258"/>
  <c r="X4259"/>
  <c r="X4260"/>
  <c r="X4261"/>
  <c r="X4262"/>
  <c r="X4263"/>
  <c r="X4264"/>
  <c r="X4265"/>
  <c r="X4266"/>
  <c r="X4267"/>
  <c r="X4268"/>
  <c r="X4269"/>
  <c r="X4270"/>
  <c r="X4271"/>
  <c r="X4272"/>
  <c r="X4273"/>
  <c r="X4274"/>
  <c r="X4275"/>
  <c r="X4276"/>
  <c r="X4277"/>
  <c r="X4278"/>
  <c r="X4279"/>
  <c r="X4280"/>
  <c r="X4281"/>
  <c r="X4282"/>
  <c r="X4284"/>
  <c r="X4285"/>
  <c r="X4286"/>
  <c r="X4287"/>
  <c r="X4288"/>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4"/>
  <c r="X4335"/>
  <c r="X4336"/>
  <c r="X4337"/>
  <c r="X4338"/>
  <c r="X4339"/>
  <c r="X4340"/>
  <c r="X4341"/>
  <c r="X4342"/>
  <c r="X4343"/>
  <c r="X4344"/>
  <c r="X4345"/>
  <c r="X4346"/>
  <c r="X4347"/>
  <c r="X4348"/>
  <c r="X4349"/>
  <c r="X4350"/>
  <c r="X4351"/>
  <c r="X4352"/>
  <c r="X4353"/>
  <c r="X4354"/>
  <c r="X4355"/>
  <c r="X4356"/>
  <c r="X4357"/>
  <c r="X4358"/>
  <c r="X4359"/>
  <c r="X4360"/>
  <c r="X4361"/>
  <c r="X4362"/>
  <c r="X4363"/>
  <c r="X4364"/>
  <c r="X4365"/>
  <c r="X4366"/>
  <c r="X4367"/>
  <c r="X4368"/>
  <c r="X4369"/>
  <c r="X4370"/>
  <c r="X4371"/>
  <c r="X4372"/>
  <c r="X4373"/>
  <c r="X4374"/>
  <c r="X4375"/>
  <c r="X4376"/>
  <c r="X4377"/>
  <c r="X4378"/>
  <c r="X4379"/>
  <c r="X4380"/>
  <c r="X4381"/>
  <c r="X4382"/>
  <c r="X4383"/>
  <c r="X4384"/>
  <c r="X4385"/>
  <c r="X4386"/>
  <c r="X4387"/>
  <c r="X4388"/>
  <c r="X4389"/>
  <c r="X4390"/>
  <c r="X4391"/>
  <c r="X4392"/>
  <c r="X4393"/>
  <c r="X4394"/>
  <c r="X4395"/>
  <c r="X4396"/>
  <c r="X4397"/>
  <c r="X4398"/>
  <c r="X4399"/>
  <c r="X4400"/>
  <c r="X4401"/>
  <c r="X4402"/>
  <c r="X4403"/>
  <c r="X4404"/>
  <c r="X4405"/>
  <c r="X4406"/>
  <c r="X4407"/>
  <c r="X4408"/>
  <c r="X4409"/>
  <c r="X4410"/>
  <c r="X4411"/>
  <c r="X4412"/>
  <c r="X4413"/>
  <c r="X4414"/>
  <c r="X4415"/>
  <c r="X4416"/>
  <c r="X4417"/>
  <c r="X4418"/>
  <c r="X4419"/>
  <c r="X4420"/>
  <c r="X4421"/>
  <c r="X4422"/>
  <c r="X4423"/>
  <c r="X4424"/>
  <c r="X4425"/>
  <c r="X4426"/>
  <c r="X4427"/>
  <c r="X4428"/>
  <c r="X4429"/>
  <c r="X4430"/>
  <c r="X4431"/>
  <c r="X4432"/>
  <c r="X4433"/>
  <c r="X4434"/>
  <c r="X4435"/>
  <c r="X4436"/>
  <c r="X4437"/>
  <c r="X4438"/>
  <c r="X4439"/>
  <c r="X4440"/>
  <c r="X4441"/>
  <c r="X4442"/>
  <c r="X4443"/>
  <c r="X4444"/>
  <c r="X4445"/>
  <c r="X4446"/>
  <c r="X4447"/>
  <c r="X4448"/>
  <c r="X4449"/>
  <c r="X4450"/>
  <c r="X4451"/>
  <c r="X4452"/>
  <c r="X4453"/>
  <c r="X4454"/>
  <c r="X4455"/>
  <c r="X4456"/>
  <c r="X4457"/>
  <c r="X4458"/>
  <c r="X4459"/>
  <c r="X4460"/>
  <c r="X4461"/>
  <c r="X4462"/>
  <c r="X4463"/>
  <c r="X4464"/>
  <c r="X4465"/>
  <c r="X4466"/>
  <c r="X4467"/>
  <c r="X4468"/>
  <c r="X4469"/>
  <c r="X4470"/>
  <c r="X4471"/>
  <c r="X4472"/>
  <c r="X4473"/>
  <c r="X4474"/>
  <c r="X4475"/>
  <c r="X4476"/>
  <c r="X4477"/>
  <c r="X4478"/>
  <c r="X4479"/>
  <c r="X4480"/>
  <c r="X4481"/>
  <c r="X4482"/>
  <c r="X4483"/>
  <c r="X4484"/>
  <c r="X4485"/>
  <c r="X4486"/>
  <c r="X4487"/>
  <c r="X4488"/>
  <c r="X4489"/>
  <c r="X4490"/>
  <c r="X4491"/>
  <c r="X4492"/>
  <c r="X4493"/>
  <c r="X4494"/>
  <c r="X4495"/>
  <c r="X4496"/>
  <c r="X4497"/>
  <c r="X4498"/>
  <c r="X4499"/>
  <c r="X4500"/>
  <c r="X4501"/>
  <c r="X4502"/>
  <c r="X4503"/>
  <c r="X4504"/>
  <c r="X4505"/>
  <c r="X4506"/>
  <c r="X4507"/>
  <c r="X4508"/>
  <c r="X4509"/>
  <c r="X4510"/>
  <c r="X4511"/>
  <c r="X4512"/>
  <c r="X4513"/>
  <c r="X4514"/>
  <c r="X4515"/>
  <c r="X4516"/>
  <c r="X4517"/>
  <c r="X4518"/>
  <c r="X4519"/>
  <c r="X4520"/>
  <c r="X4521"/>
  <c r="X4522"/>
  <c r="X4523"/>
  <c r="X4524"/>
  <c r="X4525"/>
  <c r="X4526"/>
  <c r="X4527"/>
  <c r="X4528"/>
  <c r="X4529"/>
  <c r="X4530"/>
  <c r="X4531"/>
  <c r="X4532"/>
  <c r="X4533"/>
  <c r="X4534"/>
  <c r="X4535"/>
  <c r="X4536"/>
  <c r="X4537"/>
  <c r="X4538"/>
  <c r="X4539"/>
  <c r="X4540"/>
  <c r="X4541"/>
  <c r="X4542"/>
  <c r="X4543"/>
  <c r="X4544"/>
  <c r="X4545"/>
  <c r="X4546"/>
  <c r="X4547"/>
  <c r="X4548"/>
  <c r="X4549"/>
  <c r="X4550"/>
  <c r="X4551"/>
  <c r="X4552"/>
  <c r="X4553"/>
  <c r="X4554"/>
  <c r="X4555"/>
  <c r="X4556"/>
  <c r="X4557"/>
  <c r="X4558"/>
  <c r="X4559"/>
  <c r="X4560"/>
  <c r="X4561"/>
  <c r="X4562"/>
  <c r="X4563"/>
  <c r="X4564"/>
  <c r="X4565"/>
  <c r="X4566"/>
  <c r="X4567"/>
  <c r="X4568"/>
  <c r="X4569"/>
  <c r="X4570"/>
  <c r="X4571"/>
  <c r="X4572"/>
  <c r="X4573"/>
  <c r="X4574"/>
  <c r="X4575"/>
  <c r="X4576"/>
  <c r="X4577"/>
  <c r="X4578"/>
  <c r="X4579"/>
  <c r="X4580"/>
  <c r="X4581"/>
  <c r="X4582"/>
  <c r="X4583"/>
  <c r="X4584"/>
  <c r="X4585"/>
  <c r="X4586"/>
  <c r="X4587"/>
  <c r="X4588"/>
  <c r="X4589"/>
  <c r="X4590"/>
  <c r="X4591"/>
  <c r="X4592"/>
  <c r="X4593"/>
  <c r="X4594"/>
  <c r="X4595"/>
  <c r="X4596"/>
  <c r="X4597"/>
  <c r="X4598"/>
  <c r="X4599"/>
  <c r="X4600"/>
  <c r="X4601"/>
  <c r="X4602"/>
  <c r="X4603"/>
  <c r="X4604"/>
  <c r="X4605"/>
  <c r="X4606"/>
  <c r="X4607"/>
  <c r="X4608"/>
  <c r="X4609"/>
  <c r="X4610"/>
  <c r="X4611"/>
  <c r="X4612"/>
  <c r="X4613"/>
  <c r="X4614"/>
  <c r="X4615"/>
  <c r="X4616"/>
  <c r="X4617"/>
  <c r="X4618"/>
  <c r="X4619"/>
  <c r="X4620"/>
  <c r="X4621"/>
  <c r="X4622"/>
  <c r="X4623"/>
  <c r="X4624"/>
  <c r="X4625"/>
  <c r="X4626"/>
  <c r="X4627"/>
  <c r="X4628"/>
  <c r="X4629"/>
  <c r="X4630"/>
  <c r="X4631"/>
  <c r="X4632"/>
  <c r="X4633"/>
  <c r="X4634"/>
  <c r="X4635"/>
  <c r="X4636"/>
  <c r="X4637"/>
  <c r="X4638"/>
  <c r="X4639"/>
  <c r="X4640"/>
  <c r="X4641"/>
  <c r="X4642"/>
  <c r="X4643"/>
  <c r="X4644"/>
  <c r="X4645"/>
  <c r="X4646"/>
  <c r="X4647"/>
  <c r="X4648"/>
  <c r="X4649"/>
  <c r="X4650"/>
  <c r="X4651"/>
  <c r="X4652"/>
  <c r="X4653"/>
  <c r="X4654"/>
  <c r="X4655"/>
  <c r="X4656"/>
  <c r="X4657"/>
  <c r="X4658"/>
  <c r="X4659"/>
  <c r="X4660"/>
  <c r="X4661"/>
  <c r="X4662"/>
  <c r="X4663"/>
  <c r="X4664"/>
  <c r="X4665"/>
  <c r="X4666"/>
  <c r="X4667"/>
  <c r="X4668"/>
  <c r="X4669"/>
  <c r="X4670"/>
  <c r="X4671"/>
  <c r="X4672"/>
  <c r="X4673"/>
  <c r="X4674"/>
  <c r="X4675"/>
  <c r="X4676"/>
  <c r="X4677"/>
  <c r="X4678"/>
  <c r="X4679"/>
  <c r="X4680"/>
  <c r="X4681"/>
  <c r="X4682"/>
  <c r="X4683"/>
  <c r="X4684"/>
  <c r="X4685"/>
  <c r="X4686"/>
  <c r="X4687"/>
  <c r="X4688"/>
  <c r="X4689"/>
  <c r="X4690"/>
  <c r="X4691"/>
  <c r="X4692"/>
  <c r="X4693"/>
  <c r="X4694"/>
  <c r="X4695"/>
  <c r="X4696"/>
  <c r="X4697"/>
  <c r="X4698"/>
  <c r="X4699"/>
  <c r="X4700"/>
  <c r="X4701"/>
  <c r="X4702"/>
  <c r="X4703"/>
  <c r="X4704"/>
  <c r="X4705"/>
  <c r="X4706"/>
  <c r="X4707"/>
  <c r="X4708"/>
  <c r="X4709"/>
  <c r="X4710"/>
  <c r="X4711"/>
  <c r="X4712"/>
  <c r="X4713"/>
  <c r="X4714"/>
  <c r="X4715"/>
  <c r="X4716"/>
  <c r="X4717"/>
  <c r="X4718"/>
  <c r="X4719"/>
  <c r="X4720"/>
  <c r="X4721"/>
  <c r="X4722"/>
  <c r="X4723"/>
  <c r="X4724"/>
  <c r="X4725"/>
  <c r="X4726"/>
  <c r="X4727"/>
  <c r="X4728"/>
  <c r="X4729"/>
  <c r="X4730"/>
  <c r="X4731"/>
  <c r="X4732"/>
  <c r="X4733"/>
  <c r="X4734"/>
  <c r="X4735"/>
  <c r="X4736"/>
  <c r="X4737"/>
  <c r="X4738"/>
  <c r="X4739"/>
  <c r="X4740"/>
  <c r="X4741"/>
  <c r="X4742"/>
  <c r="X4743"/>
  <c r="X4744"/>
  <c r="X4745"/>
  <c r="X4746"/>
  <c r="X4747"/>
  <c r="X4748"/>
  <c r="X4749"/>
  <c r="X4750"/>
  <c r="X4751"/>
  <c r="X4752"/>
  <c r="X4753"/>
  <c r="X4754"/>
  <c r="X4755"/>
  <c r="X4756"/>
  <c r="X4757"/>
  <c r="X4758"/>
  <c r="X4759"/>
  <c r="X4760"/>
  <c r="X4761"/>
  <c r="X4762"/>
  <c r="X4763"/>
  <c r="X4764"/>
  <c r="X4765"/>
  <c r="X4766"/>
  <c r="X4767"/>
  <c r="X4768"/>
  <c r="X4769"/>
  <c r="X4770"/>
  <c r="X4771"/>
  <c r="X4772"/>
  <c r="X4773"/>
  <c r="X4774"/>
  <c r="X4775"/>
  <c r="X4776"/>
  <c r="X4777"/>
  <c r="X4778"/>
  <c r="X4779"/>
  <c r="X4780"/>
  <c r="X4781"/>
  <c r="X4782"/>
  <c r="X4783"/>
  <c r="X4784"/>
  <c r="X4785"/>
  <c r="X4786"/>
  <c r="X4787"/>
  <c r="X4788"/>
  <c r="X4789"/>
  <c r="X4790"/>
  <c r="X4791"/>
  <c r="X4792"/>
  <c r="X4793"/>
  <c r="X4794"/>
  <c r="X4795"/>
  <c r="X4796"/>
  <c r="X4797"/>
  <c r="X4798"/>
  <c r="X4799"/>
  <c r="X4800"/>
  <c r="X4801"/>
  <c r="X4802"/>
  <c r="X4803"/>
  <c r="X4804"/>
  <c r="X4805"/>
  <c r="X4806"/>
  <c r="X4807"/>
  <c r="X4808"/>
  <c r="X4809"/>
  <c r="X4810"/>
  <c r="X4811"/>
  <c r="X4812"/>
  <c r="X4813"/>
  <c r="X4814"/>
  <c r="X4815"/>
  <c r="X4816"/>
  <c r="X4817"/>
  <c r="X4818"/>
  <c r="X4819"/>
  <c r="X4820"/>
  <c r="X4821"/>
  <c r="X4822"/>
  <c r="X4823"/>
  <c r="X4824"/>
  <c r="X4825"/>
  <c r="X4826"/>
  <c r="X4827"/>
  <c r="X4828"/>
  <c r="X4829"/>
  <c r="X4830"/>
  <c r="X4831"/>
  <c r="X4832"/>
  <c r="X4833"/>
  <c r="X4834"/>
  <c r="X4835"/>
  <c r="X4836"/>
  <c r="X4837"/>
  <c r="X4838"/>
  <c r="X4839"/>
  <c r="X4840"/>
  <c r="X4841"/>
  <c r="X4842"/>
  <c r="X4843"/>
  <c r="X4844"/>
  <c r="X4845"/>
  <c r="X4846"/>
  <c r="X4847"/>
  <c r="X4848"/>
  <c r="X4849"/>
  <c r="X4850"/>
  <c r="X4851"/>
  <c r="X4852"/>
  <c r="X4853"/>
  <c r="X4854"/>
  <c r="X4855"/>
  <c r="X4856"/>
  <c r="X4857"/>
  <c r="X4858"/>
  <c r="X4859"/>
  <c r="X4860"/>
  <c r="X4861"/>
  <c r="X4862"/>
  <c r="X4863"/>
  <c r="X4864"/>
  <c r="X4865"/>
  <c r="X4866"/>
  <c r="X4867"/>
  <c r="X4868"/>
  <c r="X4869"/>
  <c r="X4870"/>
  <c r="X4871"/>
  <c r="X4872"/>
  <c r="X4873"/>
  <c r="X4874"/>
  <c r="X4875"/>
  <c r="X4876"/>
  <c r="X4877"/>
  <c r="X4878"/>
  <c r="X4879"/>
  <c r="X4880"/>
  <c r="X4881"/>
  <c r="X4882"/>
  <c r="X4883"/>
  <c r="X4884"/>
  <c r="X4885"/>
  <c r="X4886"/>
  <c r="X4887"/>
  <c r="X4888"/>
  <c r="X4889"/>
  <c r="X4890"/>
  <c r="X4891"/>
  <c r="X4892"/>
  <c r="X4893"/>
  <c r="X4894"/>
  <c r="X4895"/>
  <c r="X4896"/>
  <c r="X4897"/>
  <c r="X4898"/>
  <c r="X4899"/>
  <c r="X4900"/>
  <c r="X4901"/>
  <c r="X4902"/>
  <c r="X4903"/>
  <c r="X4904"/>
  <c r="X4905"/>
  <c r="X4906"/>
  <c r="X4907"/>
  <c r="X4908"/>
  <c r="X4909"/>
  <c r="X4910"/>
  <c r="X4911"/>
  <c r="X4912"/>
  <c r="X4913"/>
  <c r="X4914"/>
  <c r="X4915"/>
  <c r="X4916"/>
  <c r="X4917"/>
  <c r="X4918"/>
  <c r="X4919"/>
  <c r="X4920"/>
  <c r="X4921"/>
  <c r="X4922"/>
  <c r="X4923"/>
  <c r="X4924"/>
  <c r="X4925"/>
  <c r="X4926"/>
  <c r="X4927"/>
  <c r="X4928"/>
  <c r="X4929"/>
  <c r="X4930"/>
  <c r="X4931"/>
  <c r="X4932"/>
  <c r="X4933"/>
  <c r="X4934"/>
  <c r="X4935"/>
  <c r="X4936"/>
  <c r="X4937"/>
  <c r="X4938"/>
  <c r="X4939"/>
  <c r="X4940"/>
  <c r="X4941"/>
  <c r="X4942"/>
  <c r="X4943"/>
  <c r="X4944"/>
  <c r="X4945"/>
  <c r="X4946"/>
  <c r="X4947"/>
  <c r="X4948"/>
  <c r="X4949"/>
  <c r="X4950"/>
  <c r="X4951"/>
  <c r="X4952"/>
  <c r="X4953"/>
  <c r="X4954"/>
  <c r="X4955"/>
  <c r="X4956"/>
  <c r="X4957"/>
  <c r="X4958"/>
  <c r="X4959"/>
  <c r="X4960"/>
  <c r="X4961"/>
  <c r="X4962"/>
  <c r="X4963"/>
  <c r="X4964"/>
  <c r="X4965"/>
  <c r="X4966"/>
  <c r="X4967"/>
  <c r="X4968"/>
  <c r="X4969"/>
  <c r="X4970"/>
  <c r="X4971"/>
  <c r="X4972"/>
  <c r="X4973"/>
  <c r="X4974"/>
  <c r="X4975"/>
  <c r="X4976"/>
  <c r="X4977"/>
  <c r="X4978"/>
  <c r="X4979"/>
  <c r="X4980"/>
  <c r="X4981"/>
  <c r="X4982"/>
  <c r="X4983"/>
  <c r="X4984"/>
  <c r="X4985"/>
  <c r="X4986"/>
  <c r="X4987"/>
  <c r="X4988"/>
  <c r="X4989"/>
  <c r="X4990"/>
  <c r="X4991"/>
  <c r="X4992"/>
  <c r="X4993"/>
  <c r="X4994"/>
  <c r="X4995"/>
  <c r="X4996"/>
  <c r="X4997"/>
  <c r="X4998"/>
  <c r="X4999"/>
  <c r="X5000"/>
  <c r="X5001"/>
  <c r="X5002"/>
  <c r="X5003"/>
  <c r="X5004"/>
  <c r="X5005"/>
  <c r="X5006"/>
  <c r="X5007"/>
  <c r="X5008"/>
  <c r="X5009"/>
  <c r="X5010"/>
  <c r="X5011"/>
  <c r="X5026"/>
  <c r="X5027"/>
  <c r="X5028"/>
  <c r="X5029"/>
  <c r="X5030"/>
  <c r="X5031"/>
  <c r="X5032"/>
  <c r="X5033"/>
  <c r="X5034"/>
  <c r="X5035"/>
  <c r="X5036"/>
  <c r="X5037"/>
  <c r="X5038"/>
  <c r="X5039"/>
  <c r="X5040"/>
  <c r="X5041"/>
  <c r="X5042"/>
  <c r="X5043"/>
  <c r="X5044"/>
  <c r="X5045"/>
  <c r="X5046"/>
  <c r="X5047"/>
  <c r="X5048"/>
  <c r="X5049"/>
  <c r="X5050"/>
  <c r="X5051"/>
  <c r="X5052"/>
  <c r="X5053"/>
  <c r="X5054"/>
  <c r="X5055"/>
  <c r="X5056"/>
  <c r="X5057"/>
  <c r="X5058"/>
  <c r="X5059"/>
  <c r="X5060"/>
  <c r="X5061"/>
  <c r="X5062"/>
  <c r="X5063"/>
  <c r="X5064"/>
  <c r="X5065"/>
  <c r="X5066"/>
  <c r="X5067"/>
  <c r="X5068"/>
  <c r="X5069"/>
  <c r="X5070"/>
  <c r="X5071"/>
  <c r="X5072"/>
  <c r="X5073"/>
  <c r="X5074"/>
  <c r="X5075"/>
  <c r="X5076"/>
  <c r="X5077"/>
  <c r="X5078"/>
  <c r="X5079"/>
  <c r="X5080"/>
  <c r="X5081"/>
  <c r="X5082"/>
  <c r="X5083"/>
  <c r="X5084"/>
  <c r="X5085"/>
  <c r="X5086"/>
  <c r="X5087"/>
  <c r="X5088"/>
  <c r="X5089"/>
  <c r="X5090"/>
  <c r="X5091"/>
  <c r="X5092"/>
  <c r="X5093"/>
  <c r="X5094"/>
  <c r="X5095"/>
  <c r="X5096"/>
  <c r="X5097"/>
  <c r="X5098"/>
  <c r="X5099"/>
  <c r="X5100"/>
  <c r="X5101"/>
  <c r="X5102"/>
  <c r="X5103"/>
  <c r="X5104"/>
  <c r="X5105"/>
  <c r="X5106"/>
  <c r="X5107"/>
  <c r="X5108"/>
  <c r="X5109"/>
  <c r="X5110"/>
  <c r="X5111"/>
  <c r="X5112"/>
  <c r="X5113"/>
  <c r="X5114"/>
  <c r="X5115"/>
  <c r="X5116"/>
  <c r="X5117"/>
  <c r="X5118"/>
  <c r="X5119"/>
  <c r="X5120"/>
  <c r="X5121"/>
  <c r="X5122"/>
  <c r="X5123"/>
  <c r="X5124"/>
  <c r="X5125"/>
  <c r="X5126"/>
  <c r="X5127"/>
  <c r="X5128"/>
  <c r="X5129"/>
  <c r="X5130"/>
  <c r="X5131"/>
  <c r="X5132"/>
  <c r="X5133"/>
  <c r="X5134"/>
  <c r="X5135"/>
  <c r="X5136"/>
  <c r="X5137"/>
  <c r="X5138"/>
  <c r="X5139"/>
  <c r="X5140"/>
  <c r="X5141"/>
  <c r="X5142"/>
  <c r="X5143"/>
  <c r="X5144"/>
  <c r="X5145"/>
  <c r="X5146"/>
  <c r="X5147"/>
  <c r="X5148"/>
  <c r="X5149"/>
  <c r="X5150"/>
  <c r="X5151"/>
  <c r="X5152"/>
  <c r="X5153"/>
  <c r="X5154"/>
  <c r="X5155"/>
  <c r="X5156"/>
  <c r="X5157"/>
  <c r="X5158"/>
  <c r="X5159"/>
  <c r="X5160"/>
  <c r="X5161"/>
  <c r="X5162"/>
  <c r="X5163"/>
  <c r="X5164"/>
  <c r="X5165"/>
  <c r="X5166"/>
  <c r="X5167"/>
  <c r="X5168"/>
  <c r="X5169"/>
  <c r="X5170"/>
  <c r="X5171"/>
  <c r="X5172"/>
  <c r="X5173"/>
  <c r="X5174"/>
  <c r="X5175"/>
  <c r="X5176"/>
  <c r="X5177"/>
  <c r="X5178"/>
  <c r="X5179"/>
  <c r="X5180"/>
  <c r="X5181"/>
  <c r="X5182"/>
  <c r="X5183"/>
  <c r="X5184"/>
  <c r="X5185"/>
  <c r="X5186"/>
  <c r="X5187"/>
  <c r="X5188"/>
  <c r="X5189"/>
  <c r="X5190"/>
  <c r="X5191"/>
  <c r="X5192"/>
  <c r="X5193"/>
  <c r="X5194"/>
  <c r="X5195"/>
  <c r="X5196"/>
  <c r="X5197"/>
  <c r="X5198"/>
  <c r="X5199"/>
  <c r="X5200"/>
  <c r="X5201"/>
  <c r="X5202"/>
  <c r="X5203"/>
  <c r="X5204"/>
  <c r="X5205"/>
  <c r="X5206"/>
  <c r="X5207"/>
  <c r="X5208"/>
  <c r="X5209"/>
  <c r="X5210"/>
  <c r="X5211"/>
  <c r="X5212"/>
  <c r="X5213"/>
  <c r="X5214"/>
  <c r="X5215"/>
  <c r="X5216"/>
  <c r="X5217"/>
  <c r="X5218"/>
  <c r="X5219"/>
  <c r="X5220"/>
  <c r="X5221"/>
  <c r="X5222"/>
  <c r="X5223"/>
  <c r="X5224"/>
  <c r="X5225"/>
  <c r="X5226"/>
  <c r="X5227"/>
  <c r="X5228"/>
  <c r="X5229"/>
  <c r="X5230"/>
  <c r="X5231"/>
  <c r="X5232"/>
  <c r="X5233"/>
  <c r="X5234"/>
  <c r="X5235"/>
  <c r="X5236"/>
  <c r="X5237"/>
  <c r="X5238"/>
  <c r="X5239"/>
  <c r="X5240"/>
  <c r="X5241"/>
  <c r="X5242"/>
  <c r="X5243"/>
  <c r="X5244"/>
  <c r="X5245"/>
  <c r="X5246"/>
  <c r="X5247"/>
  <c r="X5248"/>
  <c r="X5249"/>
  <c r="X5250"/>
  <c r="X5251"/>
  <c r="X5252"/>
  <c r="X5253"/>
  <c r="X5254"/>
  <c r="X5255"/>
  <c r="X5256"/>
  <c r="X5257"/>
  <c r="X5258"/>
  <c r="X5259"/>
  <c r="X5260"/>
  <c r="X5261"/>
  <c r="X5262"/>
  <c r="X5263"/>
  <c r="X5264"/>
  <c r="X5265"/>
  <c r="X5266"/>
  <c r="X5267"/>
  <c r="X5268"/>
  <c r="X5269"/>
  <c r="X5270"/>
  <c r="X5271"/>
  <c r="X5272"/>
  <c r="X5273"/>
  <c r="X5274"/>
  <c r="X5275"/>
  <c r="X5276"/>
  <c r="X5277"/>
  <c r="X5278"/>
  <c r="X5279"/>
  <c r="X5280"/>
  <c r="X5281"/>
  <c r="X5282"/>
  <c r="X5283"/>
  <c r="X5284"/>
  <c r="X5285"/>
  <c r="X5286"/>
  <c r="X5287"/>
  <c r="X5288"/>
  <c r="X5289"/>
  <c r="X5290"/>
  <c r="X5291"/>
  <c r="X5292"/>
  <c r="X5293"/>
  <c r="X5294"/>
  <c r="X5295"/>
  <c r="X5296"/>
  <c r="X5297"/>
  <c r="X5298"/>
  <c r="X5299"/>
  <c r="X5300"/>
  <c r="X5301"/>
  <c r="X5302"/>
  <c r="X5303"/>
  <c r="X5304"/>
  <c r="X5305"/>
  <c r="X5306"/>
  <c r="X5307"/>
  <c r="X5308"/>
  <c r="X5309"/>
  <c r="X5310"/>
  <c r="X5311"/>
  <c r="X5312"/>
  <c r="X5313"/>
  <c r="X5314"/>
  <c r="X5315"/>
  <c r="X5316"/>
  <c r="X5317"/>
  <c r="X5318"/>
  <c r="X5319"/>
  <c r="X5320"/>
  <c r="X5321"/>
  <c r="X5322"/>
  <c r="X5323"/>
  <c r="X5324"/>
  <c r="X5325"/>
  <c r="X5326"/>
  <c r="X5327"/>
  <c r="X5328"/>
  <c r="X5329"/>
  <c r="X5330"/>
  <c r="X5331"/>
  <c r="X5332"/>
  <c r="X5333"/>
  <c r="X5334"/>
  <c r="X5335"/>
  <c r="X5336"/>
  <c r="X5337"/>
  <c r="X5338"/>
  <c r="X5339"/>
  <c r="X5340"/>
  <c r="X5341"/>
  <c r="X5342"/>
  <c r="X5343"/>
  <c r="X5344"/>
  <c r="X5345"/>
  <c r="X5346"/>
  <c r="X5347"/>
  <c r="X5348"/>
  <c r="X5349"/>
  <c r="X5350"/>
  <c r="X5351"/>
  <c r="X5352"/>
  <c r="X5353"/>
  <c r="X5354"/>
  <c r="X5355"/>
  <c r="X5356"/>
  <c r="X5357"/>
  <c r="X5358"/>
  <c r="X5359"/>
  <c r="X5360"/>
  <c r="X5361"/>
  <c r="X5362"/>
  <c r="X5363"/>
  <c r="X5364"/>
  <c r="X5365"/>
  <c r="X5366"/>
  <c r="X5367"/>
  <c r="X5368"/>
  <c r="X5369"/>
  <c r="X5370"/>
  <c r="X5371"/>
  <c r="X5372"/>
  <c r="X5373"/>
  <c r="X5374"/>
  <c r="X5375"/>
  <c r="X5376"/>
  <c r="X5377"/>
  <c r="X5378"/>
  <c r="X5379"/>
  <c r="X5380"/>
  <c r="X5381"/>
  <c r="X5382"/>
  <c r="X5383"/>
  <c r="X5384"/>
  <c r="X5385"/>
  <c r="X5386"/>
  <c r="X5387"/>
  <c r="X5388"/>
  <c r="X5389"/>
  <c r="X5390"/>
  <c r="X5391"/>
  <c r="X5392"/>
  <c r="X5393"/>
  <c r="X5394"/>
  <c r="X5395"/>
  <c r="X5396"/>
  <c r="X5397"/>
  <c r="X5398"/>
  <c r="X5399"/>
  <c r="X5400"/>
  <c r="X5401"/>
  <c r="X5402"/>
  <c r="X5403"/>
  <c r="X5404"/>
  <c r="X5405"/>
  <c r="X5406"/>
  <c r="X5407"/>
  <c r="X5408"/>
  <c r="X5409"/>
  <c r="X5410"/>
  <c r="X5411"/>
  <c r="X5412"/>
  <c r="X5413"/>
  <c r="X5414"/>
  <c r="X5415"/>
  <c r="X5416"/>
  <c r="X5417"/>
  <c r="X5418"/>
  <c r="X5419"/>
  <c r="X5420"/>
  <c r="X5421"/>
  <c r="X5422"/>
  <c r="X5423"/>
  <c r="X5424"/>
  <c r="X5425"/>
  <c r="X5426"/>
  <c r="X5427"/>
  <c r="X5428"/>
  <c r="X5429"/>
  <c r="X5430"/>
  <c r="X5431"/>
  <c r="X5432"/>
  <c r="X5433"/>
  <c r="X5434"/>
  <c r="X5435"/>
  <c r="X5436"/>
  <c r="X5437"/>
  <c r="X5438"/>
  <c r="X5439"/>
  <c r="X5440"/>
  <c r="X5441"/>
  <c r="X5442"/>
  <c r="X5443"/>
  <c r="X5444"/>
  <c r="X5445"/>
  <c r="X5446"/>
  <c r="X5447"/>
  <c r="X5448"/>
  <c r="X5449"/>
  <c r="X5450"/>
  <c r="X5451"/>
  <c r="X5452"/>
  <c r="X5453"/>
  <c r="X5454"/>
  <c r="X5455"/>
  <c r="X5456"/>
  <c r="X5457"/>
  <c r="X5458"/>
  <c r="X5459"/>
  <c r="X5460"/>
  <c r="X5461"/>
  <c r="X5462"/>
  <c r="X5463"/>
  <c r="X5464"/>
  <c r="X5465"/>
  <c r="X5466"/>
  <c r="X5467"/>
  <c r="X5468"/>
  <c r="X5469"/>
  <c r="X5470"/>
  <c r="X5471"/>
  <c r="X5472"/>
  <c r="X5473"/>
  <c r="X5474"/>
  <c r="X5475"/>
  <c r="X5476"/>
  <c r="X5477"/>
  <c r="X5478"/>
  <c r="X5479"/>
  <c r="X5480"/>
  <c r="X5481"/>
  <c r="X5482"/>
  <c r="X5483"/>
  <c r="X5484"/>
  <c r="X5485"/>
  <c r="X5486"/>
  <c r="X5487"/>
  <c r="X5488"/>
  <c r="X5489"/>
  <c r="X5490"/>
  <c r="X5491"/>
  <c r="X5492"/>
  <c r="X5493"/>
  <c r="X5494"/>
  <c r="X5495"/>
  <c r="X5496"/>
  <c r="X5497"/>
  <c r="X5498"/>
  <c r="X5499"/>
  <c r="X5500"/>
  <c r="X5501"/>
  <c r="X5502"/>
  <c r="X5503"/>
  <c r="X5504"/>
  <c r="X5505"/>
  <c r="X5506"/>
  <c r="X5507"/>
  <c r="X5508"/>
  <c r="X5509"/>
  <c r="X5510"/>
  <c r="X5511"/>
  <c r="X5512"/>
  <c r="X5513"/>
  <c r="X5514"/>
  <c r="X5515"/>
  <c r="X5516"/>
  <c r="X5517"/>
  <c r="X5518"/>
  <c r="X5519"/>
  <c r="X5520"/>
  <c r="X5521"/>
  <c r="X5522"/>
  <c r="X5523"/>
  <c r="X5524"/>
  <c r="X5525"/>
  <c r="X5526"/>
  <c r="X5527"/>
  <c r="X5528"/>
  <c r="X5529"/>
  <c r="X5530"/>
  <c r="X5531"/>
  <c r="X5532"/>
  <c r="X5533"/>
  <c r="X5534"/>
  <c r="X5535"/>
  <c r="X5536"/>
  <c r="X5537"/>
  <c r="X5538"/>
  <c r="X5539"/>
  <c r="X5540"/>
  <c r="X5541"/>
  <c r="X5542"/>
  <c r="X5543"/>
  <c r="X5544"/>
  <c r="X5545"/>
  <c r="X5546"/>
  <c r="X5547"/>
  <c r="X5548"/>
  <c r="X5549"/>
  <c r="X5550"/>
  <c r="X5551"/>
  <c r="X5552"/>
  <c r="X5553"/>
  <c r="X5554"/>
  <c r="X5555"/>
  <c r="X5556"/>
  <c r="X5557"/>
  <c r="X5558"/>
  <c r="X5559"/>
  <c r="X5560"/>
  <c r="X5561"/>
  <c r="X5562"/>
  <c r="X5563"/>
  <c r="X5564"/>
  <c r="X5565"/>
  <c r="X5566"/>
  <c r="X5567"/>
  <c r="X5568"/>
  <c r="X5569"/>
  <c r="X5570"/>
  <c r="X5571"/>
  <c r="X5572"/>
  <c r="X5573"/>
  <c r="X5574"/>
  <c r="X5575"/>
  <c r="X5576"/>
  <c r="X5577"/>
  <c r="X5578"/>
  <c r="X5579"/>
  <c r="X5580"/>
  <c r="X5581"/>
  <c r="X5582"/>
  <c r="X5583"/>
  <c r="X5584"/>
  <c r="X5585"/>
  <c r="X5586"/>
  <c r="X5587"/>
  <c r="X5588"/>
  <c r="X5589"/>
  <c r="X5590"/>
  <c r="X5591"/>
  <c r="X5592"/>
  <c r="X5593"/>
  <c r="X5594"/>
  <c r="X5595"/>
  <c r="X5596"/>
  <c r="X5597"/>
  <c r="X5598"/>
  <c r="X5599"/>
  <c r="X5600"/>
  <c r="X5601"/>
  <c r="X5602"/>
  <c r="X5603"/>
  <c r="X5604"/>
  <c r="X5605"/>
  <c r="X5606"/>
  <c r="X5607"/>
  <c r="X5608"/>
  <c r="X5609"/>
  <c r="X5610"/>
  <c r="X5611"/>
  <c r="X5612"/>
  <c r="X5613"/>
  <c r="X5614"/>
  <c r="X5615"/>
  <c r="X5616"/>
  <c r="X5617"/>
  <c r="X5618"/>
  <c r="X5619"/>
  <c r="X5620"/>
  <c r="X5621"/>
  <c r="X5622"/>
  <c r="X5623"/>
  <c r="X5624"/>
  <c r="X5625"/>
  <c r="X5626"/>
  <c r="X5627"/>
  <c r="X5628"/>
  <c r="X5629"/>
  <c r="X5630"/>
  <c r="X5631"/>
  <c r="X5632"/>
  <c r="X5633"/>
  <c r="X5634"/>
  <c r="X5635"/>
  <c r="X5636"/>
  <c r="X5637"/>
  <c r="X5638"/>
  <c r="X5639"/>
  <c r="X5640"/>
  <c r="X5641"/>
  <c r="X5642"/>
  <c r="X5643"/>
  <c r="X5644"/>
  <c r="X5645"/>
  <c r="X5646"/>
  <c r="X5647"/>
  <c r="X5648"/>
  <c r="X5649"/>
  <c r="X5650"/>
  <c r="X5651"/>
  <c r="X5652"/>
  <c r="X5653"/>
  <c r="X5654"/>
  <c r="X5655"/>
  <c r="X5656"/>
  <c r="X5657"/>
  <c r="X5658"/>
  <c r="X5659"/>
  <c r="X5660"/>
  <c r="X5661"/>
  <c r="X5662"/>
  <c r="X5663"/>
  <c r="X5664"/>
  <c r="X5665"/>
  <c r="X5666"/>
  <c r="X5667"/>
  <c r="X5668"/>
  <c r="X5669"/>
  <c r="X5670"/>
  <c r="X5671"/>
  <c r="X5672"/>
  <c r="X5673"/>
  <c r="X5674"/>
  <c r="X5675"/>
  <c r="X5676"/>
  <c r="X5677"/>
  <c r="X5678"/>
  <c r="X5679"/>
  <c r="X5680"/>
  <c r="X5681"/>
  <c r="X5682"/>
  <c r="X5683"/>
  <c r="X5684"/>
  <c r="X5685"/>
  <c r="X5686"/>
  <c r="X5687"/>
  <c r="X5688"/>
  <c r="X5689"/>
  <c r="X5690"/>
  <c r="X5691"/>
  <c r="X5692"/>
  <c r="X5693"/>
  <c r="X5694"/>
  <c r="X5695"/>
  <c r="X5696"/>
  <c r="X5697"/>
  <c r="X5698"/>
  <c r="X5699"/>
  <c r="X5700"/>
  <c r="X5701"/>
  <c r="X5702"/>
  <c r="X5703"/>
  <c r="X5704"/>
  <c r="X5705"/>
  <c r="X5706"/>
  <c r="X5707"/>
  <c r="X5708"/>
  <c r="X5709"/>
  <c r="X5710"/>
  <c r="X5711"/>
  <c r="X5712"/>
  <c r="X5713"/>
  <c r="X5714"/>
  <c r="X5715"/>
  <c r="X5716"/>
  <c r="X5717"/>
  <c r="X5718"/>
  <c r="X5719"/>
  <c r="X5720"/>
  <c r="X5721"/>
  <c r="X5722"/>
  <c r="X5723"/>
  <c r="X5724"/>
  <c r="X5725"/>
  <c r="X5726"/>
  <c r="X5727"/>
  <c r="X5728"/>
  <c r="X5729"/>
  <c r="X5730"/>
  <c r="X5731"/>
  <c r="X5732"/>
  <c r="X5733"/>
  <c r="X5734"/>
  <c r="X5735"/>
  <c r="X5736"/>
  <c r="X5737"/>
  <c r="X5738"/>
  <c r="X5739"/>
  <c r="X5740"/>
  <c r="X5741"/>
  <c r="X5742"/>
  <c r="X5743"/>
  <c r="X5744"/>
  <c r="X5745"/>
  <c r="X5746"/>
  <c r="X5747"/>
  <c r="X5748"/>
  <c r="X5749"/>
  <c r="X5750"/>
  <c r="X5751"/>
  <c r="X5752"/>
  <c r="X5753"/>
  <c r="X5754"/>
  <c r="X5755"/>
  <c r="X5756"/>
  <c r="X5757"/>
  <c r="X5758"/>
  <c r="X5759"/>
  <c r="X5760"/>
  <c r="X5761"/>
  <c r="X5762"/>
  <c r="X5763"/>
  <c r="X5764"/>
  <c r="X5765"/>
  <c r="X5766"/>
  <c r="X5767"/>
  <c r="X5768"/>
  <c r="X5769"/>
  <c r="X5770"/>
  <c r="X5771"/>
  <c r="X5772"/>
  <c r="X5773"/>
  <c r="X5774"/>
  <c r="X5775"/>
  <c r="X5776"/>
  <c r="X5777"/>
  <c r="X5778"/>
  <c r="X5779"/>
  <c r="X5780"/>
  <c r="X5781"/>
  <c r="X5782"/>
  <c r="X5783"/>
  <c r="X5784"/>
  <c r="X5785"/>
  <c r="X5786"/>
  <c r="X5787"/>
  <c r="X5788"/>
  <c r="X5789"/>
  <c r="X5790"/>
  <c r="X5791"/>
  <c r="X5792"/>
  <c r="X5793"/>
  <c r="X5794"/>
  <c r="X5795"/>
  <c r="X5796"/>
  <c r="X5797"/>
  <c r="X5798"/>
  <c r="X5799"/>
  <c r="X5800"/>
  <c r="X5801"/>
  <c r="X5802"/>
  <c r="X5803"/>
  <c r="X5804"/>
  <c r="X5805"/>
  <c r="X5806"/>
  <c r="X5807"/>
  <c r="X5808"/>
  <c r="X5809"/>
  <c r="X5810"/>
  <c r="X5811"/>
  <c r="X5812"/>
  <c r="X5813"/>
  <c r="X5814"/>
  <c r="X5815"/>
  <c r="X5816"/>
  <c r="X5817"/>
  <c r="X5818"/>
  <c r="X5819"/>
  <c r="X5820"/>
  <c r="X5821"/>
  <c r="X5822"/>
  <c r="X5823"/>
  <c r="X5824"/>
  <c r="X5825"/>
  <c r="X5826"/>
  <c r="X5827"/>
  <c r="X5828"/>
  <c r="X5829"/>
  <c r="X5830"/>
  <c r="X5831"/>
  <c r="X5832"/>
  <c r="X5833"/>
  <c r="X5834"/>
  <c r="X5835"/>
  <c r="X5836"/>
  <c r="X5837"/>
  <c r="X5838"/>
  <c r="X5839"/>
  <c r="X5840"/>
  <c r="X5841"/>
  <c r="X5842"/>
  <c r="X5843"/>
  <c r="X5844"/>
  <c r="X5845"/>
  <c r="X5846"/>
  <c r="X5847"/>
  <c r="X5848"/>
  <c r="X5849"/>
  <c r="X5850"/>
  <c r="X5851"/>
  <c r="X5852"/>
  <c r="X5853"/>
  <c r="X5854"/>
  <c r="X5855"/>
  <c r="X5856"/>
  <c r="X5857"/>
  <c r="X5858"/>
  <c r="X5859"/>
  <c r="X5860"/>
  <c r="X5861"/>
  <c r="X5862"/>
  <c r="X5863"/>
  <c r="X5864"/>
  <c r="X5865"/>
  <c r="X5866"/>
  <c r="X5867"/>
  <c r="X5868"/>
  <c r="X5869"/>
  <c r="X5870"/>
  <c r="X5871"/>
  <c r="X5872"/>
  <c r="X5873"/>
  <c r="X5874"/>
  <c r="X5875"/>
  <c r="X5876"/>
  <c r="X5877"/>
  <c r="X5878"/>
  <c r="X5879"/>
  <c r="X5880"/>
  <c r="X5881"/>
  <c r="X5882"/>
  <c r="X5883"/>
  <c r="X5884"/>
  <c r="X5885"/>
  <c r="X5886"/>
  <c r="X5887"/>
  <c r="X5888"/>
  <c r="X5889"/>
  <c r="X5890"/>
  <c r="X5891"/>
  <c r="X5892"/>
  <c r="X5893"/>
  <c r="X5894"/>
  <c r="X5895"/>
  <c r="X5896"/>
  <c r="X5897"/>
  <c r="X5898"/>
  <c r="X5899"/>
  <c r="X5900"/>
  <c r="X5901"/>
  <c r="X5902"/>
  <c r="X5903"/>
  <c r="X5904"/>
  <c r="X5905"/>
  <c r="X5906"/>
  <c r="X5907"/>
  <c r="X5908"/>
  <c r="X5909"/>
  <c r="X5910"/>
  <c r="X5911"/>
  <c r="X5912"/>
  <c r="X5913"/>
  <c r="X5914"/>
  <c r="X5915"/>
  <c r="X5916"/>
  <c r="X5917"/>
  <c r="X5918"/>
  <c r="X5919"/>
  <c r="X5920"/>
  <c r="X5921"/>
  <c r="X5922"/>
  <c r="X5923"/>
  <c r="X5924"/>
  <c r="X5925"/>
  <c r="X5926"/>
  <c r="X5927"/>
  <c r="X5928"/>
  <c r="X5929"/>
  <c r="X5930"/>
  <c r="X5931"/>
  <c r="X5932"/>
  <c r="X5933"/>
  <c r="X5934"/>
  <c r="X5935"/>
  <c r="X5936"/>
  <c r="X5937"/>
  <c r="X5938"/>
  <c r="X5939"/>
  <c r="X5940"/>
  <c r="X5941"/>
  <c r="X5942"/>
  <c r="X5943"/>
  <c r="X5944"/>
  <c r="X5945"/>
  <c r="X5946"/>
  <c r="X5947"/>
  <c r="X5948"/>
  <c r="X5949"/>
  <c r="X5950"/>
  <c r="X5951"/>
  <c r="X5952"/>
  <c r="X5953"/>
  <c r="X5954"/>
  <c r="X5955"/>
  <c r="X5956"/>
  <c r="X5957"/>
  <c r="X5958"/>
  <c r="X5959"/>
  <c r="X5960"/>
  <c r="X5961"/>
  <c r="X5962"/>
  <c r="X5963"/>
  <c r="X5964"/>
  <c r="X5965"/>
  <c r="X5966"/>
  <c r="X5967"/>
  <c r="X5968"/>
  <c r="X5969"/>
  <c r="X5970"/>
  <c r="X5971"/>
  <c r="X5972"/>
  <c r="X5973"/>
  <c r="X5974"/>
  <c r="X5975"/>
  <c r="X5976"/>
  <c r="X5977"/>
  <c r="X5978"/>
  <c r="X5979"/>
  <c r="X5980"/>
  <c r="X5981"/>
  <c r="X5982"/>
  <c r="X5983"/>
  <c r="X5984"/>
  <c r="X5985"/>
  <c r="X5986"/>
  <c r="X5987"/>
  <c r="X5988"/>
  <c r="X5989"/>
  <c r="X5990"/>
  <c r="X5991"/>
  <c r="X5992"/>
  <c r="X5993"/>
  <c r="X5994"/>
  <c r="X5995"/>
  <c r="X5996"/>
  <c r="X5997"/>
  <c r="X5998"/>
  <c r="X5999"/>
  <c r="X6000"/>
  <c r="X6001"/>
  <c r="X6002"/>
  <c r="X6003"/>
  <c r="X6004"/>
  <c r="X6005"/>
  <c r="X6006"/>
  <c r="X6007"/>
  <c r="X6008"/>
  <c r="X6009"/>
  <c r="X6010"/>
  <c r="X6011"/>
  <c r="X6012"/>
  <c r="X6013"/>
  <c r="X6014"/>
  <c r="X6015"/>
  <c r="X6016"/>
  <c r="X6017"/>
  <c r="X6018"/>
  <c r="X6019"/>
  <c r="X6020"/>
  <c r="X6021"/>
  <c r="X6022"/>
  <c r="X6023"/>
  <c r="X6024"/>
  <c r="AA6026"/>
  <c r="AA6028"/>
  <c r="AA6030"/>
  <c r="AA6032"/>
  <c r="AA6034"/>
  <c r="AA6036"/>
  <c r="AA6038"/>
  <c r="AA6040"/>
  <c r="AA6042"/>
  <c r="AA6044"/>
  <c r="AA6046"/>
  <c r="AA6048"/>
  <c r="AA6050"/>
  <c r="AA6052"/>
  <c r="AA6054"/>
  <c r="AA6056"/>
  <c r="AA6058"/>
  <c r="AA6060"/>
  <c r="AA6062"/>
  <c r="AA6064"/>
  <c r="AA6066"/>
  <c r="AA6068"/>
  <c r="AA6070"/>
  <c r="AA6072"/>
  <c r="AA6074"/>
  <c r="AA6076"/>
  <c r="AA6078"/>
  <c r="AA6080"/>
  <c r="AA6082"/>
  <c r="AA6084"/>
  <c r="AA6086"/>
  <c r="AA6088"/>
  <c r="AA6090"/>
  <c r="AA6092"/>
  <c r="AA6094"/>
  <c r="AA6096"/>
  <c r="AA6098"/>
  <c r="AA6100"/>
  <c r="AA6102"/>
  <c r="AA6104"/>
  <c r="AA6106"/>
  <c r="AA6108"/>
  <c r="AA6110"/>
  <c r="AA6112"/>
  <c r="AA6114"/>
  <c r="AA6116"/>
  <c r="AA6118"/>
  <c r="AA6120"/>
  <c r="AA6122"/>
  <c r="AA6124"/>
  <c r="AA6126"/>
  <c r="AA6128"/>
  <c r="AA6130"/>
  <c r="AA6132"/>
  <c r="AA6134"/>
  <c r="AA6136"/>
  <c r="AA6138"/>
  <c r="AA6140"/>
  <c r="AA6142"/>
  <c r="AA6144"/>
  <c r="AA6146"/>
  <c r="AA6148"/>
  <c r="AA6150"/>
  <c r="AA6152"/>
  <c r="AA6154"/>
  <c r="AA6156"/>
  <c r="AA6158"/>
  <c r="AA6160"/>
  <c r="AA6162"/>
  <c r="AA6164"/>
  <c r="AA6166"/>
  <c r="AA6168"/>
  <c r="AA6170"/>
  <c r="AA6172"/>
  <c r="AA6174"/>
  <c r="AA6176"/>
  <c r="AA6178"/>
  <c r="AA6180"/>
  <c r="AA6182"/>
  <c r="AA6184"/>
  <c r="AA6186"/>
  <c r="AA6188"/>
  <c r="AA6190"/>
  <c r="AA6192"/>
  <c r="AA6194"/>
  <c r="AA6196"/>
  <c r="AA6198"/>
  <c r="AA6200"/>
  <c r="AA6202"/>
  <c r="AA6204"/>
  <c r="AA6206"/>
  <c r="AA6208"/>
  <c r="AA6210"/>
  <c r="AA6212"/>
  <c r="AA6214"/>
  <c r="AA6216"/>
  <c r="AA6218"/>
  <c r="AA6220"/>
  <c r="AA6222"/>
  <c r="AA6224"/>
  <c r="AA6226"/>
  <c r="AA6228"/>
  <c r="AA6230"/>
  <c r="AA6232"/>
  <c r="AA6234"/>
  <c r="AA6236"/>
  <c r="AA6238"/>
  <c r="AA6240"/>
  <c r="AA6242"/>
  <c r="AA6244"/>
  <c r="AA6246"/>
  <c r="AA6248"/>
  <c r="AA6250"/>
  <c r="AA6252"/>
  <c r="AA6254"/>
  <c r="AA6256"/>
  <c r="AA6258"/>
  <c r="AA6260"/>
  <c r="AA6262"/>
  <c r="AA6264"/>
  <c r="AA6266"/>
  <c r="AA6268"/>
  <c r="AA6025"/>
  <c r="AA6027"/>
  <c r="AA6029"/>
  <c r="AA6031"/>
  <c r="AA6033"/>
  <c r="AA6035"/>
  <c r="AA6037"/>
  <c r="AA6039"/>
  <c r="AA6041"/>
  <c r="AA6043"/>
  <c r="AA6045"/>
  <c r="AA6047"/>
  <c r="AA6049"/>
  <c r="AA6051"/>
  <c r="AA6053"/>
  <c r="AA6055"/>
  <c r="AA6057"/>
  <c r="AA6059"/>
  <c r="AA6061"/>
  <c r="AA6063"/>
  <c r="AA6065"/>
  <c r="AA6067"/>
  <c r="AA6069"/>
  <c r="AA6071"/>
  <c r="AA6073"/>
  <c r="AA6075"/>
  <c r="AA6077"/>
  <c r="AA6079"/>
  <c r="AA6081"/>
  <c r="AA6083"/>
  <c r="AA6085"/>
  <c r="AA6087"/>
  <c r="AA6089"/>
  <c r="AA6091"/>
  <c r="AA6093"/>
  <c r="AA6095"/>
  <c r="AA6097"/>
  <c r="AA6099"/>
  <c r="AA6101"/>
  <c r="AA6103"/>
  <c r="AA6105"/>
  <c r="AA6107"/>
  <c r="AA6109"/>
  <c r="AA6111"/>
  <c r="AA6113"/>
  <c r="AA6115"/>
  <c r="AA6117"/>
  <c r="AA6119"/>
  <c r="AA6121"/>
  <c r="AA6123"/>
  <c r="AA6125"/>
  <c r="AA6127"/>
  <c r="AA6129"/>
  <c r="AA6131"/>
  <c r="AA6133"/>
  <c r="AA6135"/>
  <c r="AA6137"/>
  <c r="AA6139"/>
  <c r="AA6141"/>
  <c r="AA6143"/>
  <c r="AA6145"/>
  <c r="AA6147"/>
  <c r="AA6149"/>
  <c r="AA6151"/>
  <c r="AA6153"/>
  <c r="AA6155"/>
  <c r="AA6157"/>
  <c r="AA6159"/>
  <c r="AA6161"/>
  <c r="AA6163"/>
  <c r="AA6165"/>
  <c r="AA6167"/>
  <c r="AA6169"/>
  <c r="AA6171"/>
  <c r="AA6173"/>
  <c r="AA6175"/>
  <c r="AA6177"/>
  <c r="AA6179"/>
  <c r="AA6181"/>
  <c r="AA6183"/>
  <c r="AA6185"/>
  <c r="AA6187"/>
  <c r="AA6189"/>
  <c r="AA6191"/>
  <c r="AA6193"/>
  <c r="AA6195"/>
  <c r="AA6197"/>
  <c r="AA6199"/>
  <c r="AA6201"/>
  <c r="AA6203"/>
  <c r="AA6205"/>
  <c r="AA6207"/>
  <c r="AA6209"/>
  <c r="AA6211"/>
  <c r="AA6213"/>
  <c r="AA6215"/>
  <c r="AA6217"/>
  <c r="AA6219"/>
  <c r="AA6221"/>
  <c r="AA6223"/>
  <c r="AA6225"/>
  <c r="AA6227"/>
  <c r="AA6229"/>
  <c r="AA6231"/>
  <c r="AA6233"/>
  <c r="AA6235"/>
  <c r="AA6237"/>
  <c r="AA6239"/>
  <c r="AA6241"/>
  <c r="AA6243"/>
  <c r="AA6245"/>
  <c r="AA6247"/>
  <c r="AA6249"/>
  <c r="AA6257"/>
  <c r="AA6265"/>
  <c r="AA6270"/>
  <c r="AA6272"/>
  <c r="AA6274"/>
  <c r="AA6276"/>
  <c r="AA6278"/>
  <c r="AA6280"/>
  <c r="AA6282"/>
  <c r="AA6284"/>
  <c r="AA6286"/>
  <c r="AA6288"/>
  <c r="AA6290"/>
  <c r="AA6292"/>
  <c r="AA6294"/>
  <c r="AA6296"/>
  <c r="AA6298"/>
  <c r="AA6300"/>
  <c r="AA6302"/>
  <c r="AA6304"/>
  <c r="AA6306"/>
  <c r="AA6308"/>
  <c r="AA6310"/>
  <c r="AA6312"/>
  <c r="AA6314"/>
  <c r="AA6316"/>
  <c r="AA6318"/>
  <c r="AA6320"/>
  <c r="AA6322"/>
  <c r="AA6324"/>
  <c r="AA6326"/>
  <c r="AA6328"/>
  <c r="AA6330"/>
  <c r="AA6332"/>
  <c r="AA6334"/>
  <c r="AA6336"/>
  <c r="AA6338"/>
  <c r="AA6340"/>
  <c r="AA6342"/>
  <c r="AA6344"/>
  <c r="AA6346"/>
  <c r="AA6348"/>
  <c r="AA6350"/>
  <c r="AA6352"/>
  <c r="AA6354"/>
  <c r="AA6356"/>
  <c r="AA6358"/>
  <c r="AA6360"/>
  <c r="AA6362"/>
  <c r="AA6364"/>
  <c r="AA6366"/>
  <c r="AA6368"/>
  <c r="AA6370"/>
  <c r="AA6372"/>
  <c r="AA6374"/>
  <c r="AA6376"/>
  <c r="AA6378"/>
  <c r="AA6380"/>
  <c r="AA6382"/>
  <c r="AA6384"/>
  <c r="AA6386"/>
  <c r="AA6388"/>
  <c r="AA6390"/>
  <c r="AA6392"/>
  <c r="AA6394"/>
  <c r="AA6396"/>
  <c r="AA6398"/>
  <c r="AA6400"/>
  <c r="AA6402"/>
  <c r="AA6404"/>
  <c r="AA6406"/>
  <c r="AA6408"/>
  <c r="AA6410"/>
  <c r="AA6412"/>
  <c r="AA6414"/>
  <c r="AA6416"/>
  <c r="AA6418"/>
  <c r="AA6420"/>
  <c r="AA6422"/>
  <c r="AA6424"/>
  <c r="AA6426"/>
  <c r="AA6428"/>
  <c r="AA6430"/>
  <c r="AA6432"/>
  <c r="AA6434"/>
  <c r="AA6436"/>
  <c r="AA6438"/>
  <c r="AA6440"/>
  <c r="AA6442"/>
  <c r="AA6444"/>
  <c r="AA6446"/>
  <c r="AA6448"/>
  <c r="AA6450"/>
  <c r="AA6452"/>
  <c r="AA6454"/>
  <c r="AA6456"/>
  <c r="AA6458"/>
  <c r="AA6460"/>
  <c r="AA6462"/>
  <c r="AA6464"/>
  <c r="AA6466"/>
  <c r="AA6468"/>
  <c r="AA6470"/>
  <c r="AA6472"/>
  <c r="AA6474"/>
  <c r="AA6476"/>
  <c r="AA6478"/>
  <c r="AA6480"/>
  <c r="AA6482"/>
  <c r="AA6484"/>
  <c r="AA6486"/>
  <c r="AA6488"/>
  <c r="AA6490"/>
  <c r="AA6492"/>
  <c r="AA6494"/>
  <c r="AA6496"/>
  <c r="AA6498"/>
  <c r="AA6500"/>
  <c r="AA6502"/>
  <c r="AA6504"/>
  <c r="AA6506"/>
  <c r="AA6508"/>
  <c r="AA6510"/>
  <c r="AA6512"/>
  <c r="AA6514"/>
  <c r="AA6516"/>
  <c r="AA6518"/>
  <c r="AA6520"/>
  <c r="AA6522"/>
  <c r="AA6524"/>
  <c r="AA6526"/>
  <c r="AA6528"/>
  <c r="AA6530"/>
  <c r="AA6532"/>
  <c r="AA6534"/>
  <c r="AA6536"/>
  <c r="AA6538"/>
  <c r="AA6540"/>
  <c r="AA6542"/>
  <c r="AA6544"/>
  <c r="AA6546"/>
  <c r="AA6548"/>
  <c r="AA6550"/>
  <c r="AA6552"/>
  <c r="AA6554"/>
  <c r="AA6556"/>
  <c r="AA6558"/>
  <c r="AA6560"/>
  <c r="AA6562"/>
  <c r="AA6564"/>
  <c r="AA6566"/>
  <c r="AA6568"/>
  <c r="AA6570"/>
  <c r="AA6572"/>
  <c r="AA6574"/>
  <c r="AA6576"/>
  <c r="AA6578"/>
  <c r="AA6580"/>
  <c r="AA6582"/>
  <c r="AA6584"/>
  <c r="AA6586"/>
  <c r="AA6588"/>
  <c r="AA6590"/>
  <c r="AA6592"/>
  <c r="AA6594"/>
  <c r="AA6596"/>
  <c r="AA6598"/>
  <c r="AA6600"/>
  <c r="AA6602"/>
  <c r="AA6604"/>
  <c r="AA6606"/>
  <c r="AA6255"/>
  <c r="AA6263"/>
  <c r="AA6253"/>
  <c r="AA6261"/>
  <c r="AA6269"/>
  <c r="AA6271"/>
  <c r="AA6273"/>
  <c r="AA6275"/>
  <c r="AA6277"/>
  <c r="AA6279"/>
  <c r="AA6281"/>
  <c r="AA6283"/>
  <c r="AA6285"/>
  <c r="AA6287"/>
  <c r="AA6289"/>
  <c r="AA6291"/>
  <c r="AA6293"/>
  <c r="AA6295"/>
  <c r="AA6297"/>
  <c r="AA6299"/>
  <c r="AA6301"/>
  <c r="AA6303"/>
  <c r="AA6305"/>
  <c r="AA6307"/>
  <c r="AA6309"/>
  <c r="AA6311"/>
  <c r="AA6313"/>
  <c r="AA6315"/>
  <c r="AA6317"/>
  <c r="AA6319"/>
  <c r="AA6321"/>
  <c r="AA6323"/>
  <c r="AA6325"/>
  <c r="AA6327"/>
  <c r="AA6329"/>
  <c r="AA6331"/>
  <c r="AA6333"/>
  <c r="AA6335"/>
  <c r="AA6337"/>
  <c r="AA6339"/>
  <c r="AA6341"/>
  <c r="AA6343"/>
  <c r="AA6345"/>
  <c r="AA6347"/>
  <c r="AA6349"/>
  <c r="AA6351"/>
  <c r="AA6353"/>
  <c r="AA6355"/>
  <c r="AA6357"/>
  <c r="AA6359"/>
  <c r="AA6361"/>
  <c r="AA6363"/>
  <c r="AA6365"/>
  <c r="AA6367"/>
  <c r="AA6369"/>
  <c r="AA6371"/>
  <c r="AA6373"/>
  <c r="AA6375"/>
  <c r="AA6377"/>
  <c r="AA6379"/>
  <c r="AA6381"/>
  <c r="AA6383"/>
  <c r="AA6385"/>
  <c r="AA6387"/>
  <c r="AA6389"/>
  <c r="AA6391"/>
  <c r="AA6393"/>
  <c r="AA6395"/>
  <c r="AA6397"/>
  <c r="AA6399"/>
  <c r="AA6401"/>
  <c r="AA6403"/>
  <c r="AA6405"/>
  <c r="AA6407"/>
  <c r="AA6409"/>
  <c r="AA6411"/>
  <c r="AA6413"/>
  <c r="AA6415"/>
  <c r="AA6417"/>
  <c r="AA6419"/>
  <c r="AA6421"/>
  <c r="AA6423"/>
  <c r="AA6425"/>
  <c r="AA6427"/>
  <c r="AA6429"/>
  <c r="AA6431"/>
  <c r="AA6433"/>
  <c r="AA6435"/>
  <c r="AA6437"/>
  <c r="AA6439"/>
  <c r="AA6441"/>
  <c r="AA6443"/>
  <c r="AA6445"/>
  <c r="AA6447"/>
  <c r="AA6449"/>
  <c r="AA6451"/>
  <c r="AA6453"/>
  <c r="AA6455"/>
  <c r="AA6457"/>
  <c r="AA6459"/>
  <c r="AA6461"/>
  <c r="AA6463"/>
  <c r="AA6465"/>
  <c r="AA6467"/>
  <c r="AA6469"/>
  <c r="AA6471"/>
  <c r="AA6473"/>
  <c r="AA6475"/>
  <c r="AA6477"/>
  <c r="AA6479"/>
  <c r="AA6481"/>
  <c r="AA6483"/>
  <c r="AA6485"/>
  <c r="AA6487"/>
  <c r="AA6489"/>
  <c r="AA6491"/>
  <c r="AA6493"/>
  <c r="AA6495"/>
  <c r="AA6497"/>
  <c r="AA6499"/>
  <c r="AA6501"/>
  <c r="AA6503"/>
  <c r="AA6505"/>
  <c r="AA6507"/>
  <c r="AA6509"/>
  <c r="AA6511"/>
  <c r="AA6513"/>
  <c r="AA6515"/>
  <c r="AA6517"/>
  <c r="AA6519"/>
  <c r="AA6521"/>
  <c r="AA6523"/>
  <c r="AA6525"/>
  <c r="AA6527"/>
  <c r="AA6529"/>
  <c r="AA6531"/>
  <c r="AA6533"/>
  <c r="AA6535"/>
  <c r="AA6537"/>
  <c r="AA6539"/>
  <c r="AA6541"/>
  <c r="AA6543"/>
  <c r="AA6545"/>
  <c r="AA6547"/>
  <c r="AA6549"/>
  <c r="AA6551"/>
  <c r="AA6553"/>
  <c r="AA6555"/>
  <c r="AA6557"/>
  <c r="AA6559"/>
  <c r="AA6561"/>
  <c r="AA6563"/>
  <c r="AA6565"/>
  <c r="AA6567"/>
  <c r="AA6569"/>
  <c r="AA6571"/>
  <c r="AA6573"/>
  <c r="AA6575"/>
  <c r="AA6577"/>
  <c r="AA6579"/>
  <c r="AA6581"/>
  <c r="AA6583"/>
  <c r="AA6585"/>
  <c r="AA6587"/>
  <c r="AA6589"/>
  <c r="AA6591"/>
  <c r="AA6593"/>
  <c r="AA6595"/>
  <c r="AA6597"/>
  <c r="AA6599"/>
  <c r="AA6601"/>
  <c r="AA6603"/>
  <c r="AA6251"/>
  <c r="AA6259"/>
  <c r="AA6267"/>
  <c r="AA6605"/>
  <c r="AA6608"/>
  <c r="AA6610"/>
  <c r="AA6612"/>
  <c r="AA6614"/>
  <c r="AA6616"/>
  <c r="AA6618"/>
  <c r="AA6620"/>
  <c r="AA6622"/>
  <c r="AA6624"/>
  <c r="AA6626"/>
  <c r="AA6628"/>
  <c r="AA6630"/>
  <c r="AA6632"/>
  <c r="AA6634"/>
  <c r="AA6636"/>
  <c r="AA6638"/>
  <c r="AA6640"/>
  <c r="AA6642"/>
  <c r="AA6644"/>
  <c r="AA6646"/>
  <c r="AA6648"/>
  <c r="AA6650"/>
  <c r="AA6652"/>
  <c r="AA6654"/>
  <c r="AA6656"/>
  <c r="AA6658"/>
  <c r="AA6660"/>
  <c r="AA6662"/>
  <c r="AA6664"/>
  <c r="AA6666"/>
  <c r="AA6668"/>
  <c r="AA6670"/>
  <c r="AA6672"/>
  <c r="AA6674"/>
  <c r="AA6676"/>
  <c r="AA6678"/>
  <c r="AA6680"/>
  <c r="AA6682"/>
  <c r="AA6684"/>
  <c r="AA6686"/>
  <c r="AA6688"/>
  <c r="AA6690"/>
  <c r="AA6692"/>
  <c r="AA6694"/>
  <c r="AA6696"/>
  <c r="AA6698"/>
  <c r="AA6700"/>
  <c r="AA6702"/>
  <c r="AA6704"/>
  <c r="AA6706"/>
  <c r="AA6708"/>
  <c r="AA6710"/>
  <c r="AA6712"/>
  <c r="AA6714"/>
  <c r="AA6716"/>
  <c r="AA6718"/>
  <c r="AA6720"/>
  <c r="AA6722"/>
  <c r="AA6724"/>
  <c r="AA6726"/>
  <c r="AA6728"/>
  <c r="AA6730"/>
  <c r="AA6732"/>
  <c r="AA6734"/>
  <c r="AA6736"/>
  <c r="AA6738"/>
  <c r="AA6740"/>
  <c r="AA6742"/>
  <c r="AA6744"/>
  <c r="AA6746"/>
  <c r="AA6748"/>
  <c r="AA6750"/>
  <c r="AA6752"/>
  <c r="AA6754"/>
  <c r="AA6756"/>
  <c r="AA6758"/>
  <c r="AA6760"/>
  <c r="AA6762"/>
  <c r="AA6764"/>
  <c r="AA6766"/>
  <c r="AA6768"/>
  <c r="AA6770"/>
  <c r="AA6772"/>
  <c r="AA6774"/>
  <c r="AA6776"/>
  <c r="AA6778"/>
  <c r="AA6780"/>
  <c r="AA6782"/>
  <c r="AA6784"/>
  <c r="AA6786"/>
  <c r="AA6788"/>
  <c r="AA6790"/>
  <c r="AA6792"/>
  <c r="AA6794"/>
  <c r="AA6796"/>
  <c r="AA6798"/>
  <c r="AA6800"/>
  <c r="AA6802"/>
  <c r="AA6804"/>
  <c r="AA6806"/>
  <c r="AA6808"/>
  <c r="AA6810"/>
  <c r="AA6812"/>
  <c r="AA6814"/>
  <c r="AA6816"/>
  <c r="AA6818"/>
  <c r="AA6820"/>
  <c r="AA6822"/>
  <c r="AA6824"/>
  <c r="AA6826"/>
  <c r="AA6828"/>
  <c r="AA6830"/>
  <c r="AA6832"/>
  <c r="AA6834"/>
  <c r="AA6836"/>
  <c r="AA6838"/>
  <c r="AA6840"/>
  <c r="AA6842"/>
  <c r="AA6844"/>
  <c r="AA6846"/>
  <c r="AA6848"/>
  <c r="AA6850"/>
  <c r="AA6852"/>
  <c r="AA6854"/>
  <c r="AA6856"/>
  <c r="AA6858"/>
  <c r="AA6860"/>
  <c r="AA6862"/>
  <c r="AA6864"/>
  <c r="AA6866"/>
  <c r="AA6868"/>
  <c r="AA6870"/>
  <c r="AA6872"/>
  <c r="AA6874"/>
  <c r="AA6876"/>
  <c r="AA6878"/>
  <c r="AA6880"/>
  <c r="AA6882"/>
  <c r="AA6884"/>
  <c r="AA6886"/>
  <c r="AA6888"/>
  <c r="AA6890"/>
  <c r="AA6892"/>
  <c r="AA6894"/>
  <c r="AA6896"/>
  <c r="AA6898"/>
  <c r="AA6900"/>
  <c r="AA6902"/>
  <c r="AA6904"/>
  <c r="AA6906"/>
  <c r="AA6908"/>
  <c r="AA6910"/>
  <c r="AA6912"/>
  <c r="AA6914"/>
  <c r="AA6916"/>
  <c r="AA6918"/>
  <c r="AA6920"/>
  <c r="AA6922"/>
  <c r="AA6924"/>
  <c r="AA6926"/>
  <c r="AA6928"/>
  <c r="AA6930"/>
  <c r="AA6932"/>
  <c r="AA6934"/>
  <c r="AA6936"/>
  <c r="AA6938"/>
  <c r="AA6940"/>
  <c r="AA6942"/>
  <c r="AA6944"/>
  <c r="AA6946"/>
  <c r="AA6948"/>
  <c r="AA6950"/>
  <c r="AA6952"/>
  <c r="AA6954"/>
  <c r="AA6956"/>
  <c r="AA6958"/>
  <c r="AA6960"/>
  <c r="AA6962"/>
  <c r="AA6964"/>
  <c r="AA6966"/>
  <c r="AA6968"/>
  <c r="AA6970"/>
  <c r="AA6972"/>
  <c r="AA6974"/>
  <c r="AA6976"/>
  <c r="AA6978"/>
  <c r="AA6980"/>
  <c r="AA6982"/>
  <c r="AA6984"/>
  <c r="AA6986"/>
  <c r="AA6988"/>
  <c r="AA6990"/>
  <c r="AA6992"/>
  <c r="AA6994"/>
  <c r="AA6996"/>
  <c r="AA6998"/>
  <c r="AA7000"/>
  <c r="AA7002"/>
  <c r="AA7004"/>
  <c r="AA7006"/>
  <c r="AA7008"/>
  <c r="AA7010"/>
  <c r="AA7012"/>
  <c r="AA7014"/>
  <c r="AA7016"/>
  <c r="AA7018"/>
  <c r="AA7020"/>
  <c r="AA7022"/>
  <c r="AA7024"/>
  <c r="AA7026"/>
  <c r="AA7028"/>
  <c r="AA7030"/>
  <c r="AA7032"/>
  <c r="AA7034"/>
  <c r="AA7036"/>
  <c r="AA7038"/>
  <c r="AA7040"/>
  <c r="AA7042"/>
  <c r="AA7044"/>
  <c r="AA7046"/>
  <c r="AA7048"/>
  <c r="AA7050"/>
  <c r="AA7052"/>
  <c r="AA7054"/>
  <c r="AA7056"/>
  <c r="AA7058"/>
  <c r="AA7060"/>
  <c r="AA7062"/>
  <c r="AA7064"/>
  <c r="AA7066"/>
  <c r="AA7068"/>
  <c r="AA7070"/>
  <c r="AA7072"/>
  <c r="AA7074"/>
  <c r="AA7076"/>
  <c r="AA7078"/>
  <c r="AA7080"/>
  <c r="AA7082"/>
  <c r="AA7084"/>
  <c r="AA7086"/>
  <c r="AA7088"/>
  <c r="AA7090"/>
  <c r="AA7092"/>
  <c r="AA7094"/>
  <c r="AA7096"/>
  <c r="AA7098"/>
  <c r="AA7100"/>
  <c r="AA7102"/>
  <c r="AA7104"/>
  <c r="AA7106"/>
  <c r="AA7108"/>
  <c r="AA7110"/>
  <c r="AA7112"/>
  <c r="AA7114"/>
  <c r="AA7116"/>
  <c r="AA7118"/>
  <c r="AA7120"/>
  <c r="AA7122"/>
  <c r="AA7124"/>
  <c r="AA7126"/>
  <c r="AA7128"/>
  <c r="AA7130"/>
  <c r="AA7132"/>
  <c r="AA7134"/>
  <c r="AA7136"/>
  <c r="AA7138"/>
  <c r="AA7140"/>
  <c r="AA7142"/>
  <c r="AA7144"/>
  <c r="AA7146"/>
  <c r="AA7148"/>
  <c r="AA7150"/>
  <c r="AA7152"/>
  <c r="AA7154"/>
  <c r="AA7156"/>
  <c r="AA7158"/>
  <c r="AA7160"/>
  <c r="AA7162"/>
  <c r="AA7164"/>
  <c r="AA7166"/>
  <c r="AA7168"/>
  <c r="AA7170"/>
  <c r="AA7172"/>
  <c r="AA7174"/>
  <c r="AA6607"/>
  <c r="AA6609"/>
  <c r="AA6611"/>
  <c r="AA6613"/>
  <c r="AA6615"/>
  <c r="AA6617"/>
  <c r="AA6619"/>
  <c r="AA6621"/>
  <c r="AA6623"/>
  <c r="AA6625"/>
  <c r="AA6627"/>
  <c r="AA6629"/>
  <c r="AA6631"/>
  <c r="AA6633"/>
  <c r="AA6635"/>
  <c r="AA6637"/>
  <c r="AA6639"/>
  <c r="AA6641"/>
  <c r="AA6643"/>
  <c r="AA6645"/>
  <c r="AA6647"/>
  <c r="AA6649"/>
  <c r="AA6651"/>
  <c r="AA6653"/>
  <c r="AA6655"/>
  <c r="AA6657"/>
  <c r="AA6659"/>
  <c r="AA6661"/>
  <c r="AA6663"/>
  <c r="AA6665"/>
  <c r="AA6667"/>
  <c r="AA6669"/>
  <c r="AA6671"/>
  <c r="AA6673"/>
  <c r="AA6675"/>
  <c r="AA6677"/>
  <c r="AA6679"/>
  <c r="AA6681"/>
  <c r="AA6683"/>
  <c r="AA6685"/>
  <c r="AA6687"/>
  <c r="AA6689"/>
  <c r="AA6691"/>
  <c r="AA6693"/>
  <c r="AA6695"/>
  <c r="AA6697"/>
  <c r="AA6699"/>
  <c r="AA6701"/>
  <c r="AA6703"/>
  <c r="AA6705"/>
  <c r="AA6707"/>
  <c r="AA6709"/>
  <c r="AA6711"/>
  <c r="AA6713"/>
  <c r="AA6715"/>
  <c r="AA6717"/>
  <c r="AA6719"/>
  <c r="AA6721"/>
  <c r="AA6723"/>
  <c r="AA6725"/>
  <c r="AA6727"/>
  <c r="AA6729"/>
  <c r="AA6731"/>
  <c r="AA6733"/>
  <c r="AA6735"/>
  <c r="AA6737"/>
  <c r="AA6739"/>
  <c r="AA6741"/>
  <c r="AA6743"/>
  <c r="AA6745"/>
  <c r="AA6747"/>
  <c r="AA6749"/>
  <c r="AA6751"/>
  <c r="AA6753"/>
  <c r="AA6755"/>
  <c r="AA6757"/>
  <c r="AA6759"/>
  <c r="AA6761"/>
  <c r="AA6763"/>
  <c r="AA6765"/>
  <c r="AA6767"/>
  <c r="AA6769"/>
  <c r="AA6771"/>
  <c r="AA6773"/>
  <c r="AA6775"/>
  <c r="AA6777"/>
  <c r="AA6779"/>
  <c r="AA6781"/>
  <c r="AA6783"/>
  <c r="AA6785"/>
  <c r="AA6787"/>
  <c r="AA6789"/>
  <c r="AA6791"/>
  <c r="AA6793"/>
  <c r="AA6795"/>
  <c r="AA6797"/>
  <c r="AA6799"/>
  <c r="AA6801"/>
  <c r="AA6803"/>
  <c r="AA6805"/>
  <c r="AA6807"/>
  <c r="AA6809"/>
  <c r="AA6811"/>
  <c r="AA6813"/>
  <c r="AA6815"/>
  <c r="AA6817"/>
  <c r="AA6819"/>
  <c r="AA6821"/>
  <c r="AA6823"/>
  <c r="AA6825"/>
  <c r="AA6827"/>
  <c r="AA6829"/>
  <c r="AA6831"/>
  <c r="AA6833"/>
  <c r="AA6835"/>
  <c r="AA6837"/>
  <c r="AA6839"/>
  <c r="AA6841"/>
  <c r="AA6843"/>
  <c r="AA6845"/>
  <c r="AA6847"/>
  <c r="AA6849"/>
  <c r="AA6851"/>
  <c r="AA6853"/>
  <c r="AA6855"/>
  <c r="AA6857"/>
  <c r="AA6859"/>
  <c r="AA6861"/>
  <c r="AA6863"/>
  <c r="AA6865"/>
  <c r="AA6867"/>
  <c r="AA6869"/>
  <c r="AA6871"/>
  <c r="AA6873"/>
  <c r="AA6875"/>
  <c r="AA6877"/>
  <c r="AA6879"/>
  <c r="AA6881"/>
  <c r="AA6883"/>
  <c r="AA6885"/>
  <c r="AA6887"/>
  <c r="AA6889"/>
  <c r="AA6891"/>
  <c r="AA6893"/>
  <c r="AA6895"/>
  <c r="AA6897"/>
  <c r="AA6899"/>
  <c r="AA6901"/>
  <c r="AA6903"/>
  <c r="AA6905"/>
  <c r="AA6907"/>
  <c r="AA6909"/>
  <c r="AA6911"/>
  <c r="AA6913"/>
  <c r="AA6915"/>
  <c r="AA6917"/>
  <c r="AA6919"/>
  <c r="AA6921"/>
  <c r="AA6923"/>
  <c r="AA6925"/>
  <c r="AA6927"/>
  <c r="AA6929"/>
  <c r="AA6931"/>
  <c r="AA6933"/>
  <c r="AA6935"/>
  <c r="AA6937"/>
  <c r="AA6939"/>
  <c r="AA6941"/>
  <c r="AA6943"/>
  <c r="AA6945"/>
  <c r="AA6947"/>
  <c r="AA6949"/>
  <c r="AA6951"/>
  <c r="AA6953"/>
  <c r="AA6955"/>
  <c r="AA6957"/>
  <c r="AA6959"/>
  <c r="AA6961"/>
  <c r="AA6963"/>
  <c r="AA6965"/>
  <c r="AA6967"/>
  <c r="AA6969"/>
  <c r="AA6971"/>
  <c r="AA6973"/>
  <c r="AA6975"/>
  <c r="AA6977"/>
  <c r="AA6979"/>
  <c r="AA6981"/>
  <c r="AA6983"/>
  <c r="AA6985"/>
  <c r="AA6987"/>
  <c r="AA6989"/>
  <c r="AA6991"/>
  <c r="AA6993"/>
  <c r="AA6995"/>
  <c r="AA6997"/>
  <c r="AA6999"/>
  <c r="AA7001"/>
  <c r="AA7003"/>
  <c r="AA7005"/>
  <c r="AA7007"/>
  <c r="AA7009"/>
  <c r="AA7011"/>
  <c r="AA7013"/>
  <c r="AA7015"/>
  <c r="AA7017"/>
  <c r="AA7019"/>
  <c r="AA7021"/>
  <c r="AA7023"/>
  <c r="AA7025"/>
  <c r="AA7027"/>
  <c r="AA7029"/>
  <c r="AA7031"/>
  <c r="AA7033"/>
  <c r="AA7035"/>
  <c r="AA7037"/>
  <c r="AA7039"/>
  <c r="AA7041"/>
  <c r="AA7043"/>
  <c r="AA7045"/>
  <c r="AA7047"/>
  <c r="AA7049"/>
  <c r="AA7051"/>
  <c r="AA7053"/>
  <c r="AA7055"/>
  <c r="AA7057"/>
  <c r="AA7059"/>
  <c r="AA7061"/>
  <c r="AA7063"/>
  <c r="AA7065"/>
  <c r="AA7067"/>
  <c r="AA7069"/>
  <c r="AA7071"/>
  <c r="AA7073"/>
  <c r="AA7075"/>
  <c r="AA7077"/>
  <c r="AA7079"/>
  <c r="AA7081"/>
  <c r="AA7083"/>
  <c r="AA7085"/>
  <c r="AA7087"/>
  <c r="AA7089"/>
  <c r="AA7091"/>
  <c r="AA7093"/>
  <c r="AA7095"/>
  <c r="AA7097"/>
  <c r="AA7099"/>
  <c r="AA7101"/>
  <c r="AA7103"/>
  <c r="AA7105"/>
  <c r="AA7107"/>
  <c r="AA7109"/>
  <c r="AA7111"/>
  <c r="AA7113"/>
  <c r="AA7115"/>
  <c r="AA7117"/>
  <c r="AA7119"/>
  <c r="AA7121"/>
  <c r="AA7123"/>
  <c r="AA7125"/>
  <c r="AA7127"/>
  <c r="AA7129"/>
  <c r="AA7131"/>
  <c r="AA7133"/>
  <c r="AA7135"/>
  <c r="AA7137"/>
  <c r="AA7139"/>
  <c r="AA7141"/>
  <c r="AA7143"/>
  <c r="AA7145"/>
  <c r="AA7147"/>
  <c r="AA7149"/>
  <c r="AA7151"/>
  <c r="AA7153"/>
  <c r="AA7155"/>
  <c r="AA7157"/>
  <c r="AA7159"/>
  <c r="AA7161"/>
  <c r="AA7163"/>
  <c r="AA7165"/>
  <c r="AA7167"/>
  <c r="AA7169"/>
  <c r="AA7171"/>
  <c r="AA7173"/>
  <c r="B200" i="14"/>
  <c r="D200"/>
  <c r="G200"/>
  <c r="A201"/>
  <c r="C201"/>
  <c r="E201"/>
  <c r="H201"/>
  <c r="B202"/>
  <c r="D202"/>
  <c r="G202"/>
  <c r="A203"/>
  <c r="C203"/>
  <c r="E203"/>
  <c r="H203"/>
  <c r="B204"/>
  <c r="D204"/>
  <c r="G204"/>
  <c r="A205"/>
  <c r="C205"/>
  <c r="E205"/>
  <c r="H205"/>
  <c r="B206"/>
  <c r="D206"/>
  <c r="G206"/>
  <c r="A207"/>
  <c r="C207"/>
  <c r="E207"/>
  <c r="H207"/>
  <c r="B208"/>
  <c r="D208"/>
  <c r="G208"/>
  <c r="A209"/>
  <c r="C209"/>
  <c r="E209"/>
  <c r="H209"/>
  <c r="A200"/>
  <c r="C200"/>
  <c r="E200"/>
  <c r="H200"/>
  <c r="B201"/>
  <c r="D201"/>
  <c r="G201"/>
  <c r="A202"/>
  <c r="C202"/>
  <c r="E202"/>
  <c r="H202"/>
  <c r="B203"/>
  <c r="D203"/>
  <c r="G203"/>
  <c r="A204"/>
  <c r="C204"/>
  <c r="E204"/>
  <c r="H204"/>
  <c r="B205"/>
  <c r="D205"/>
  <c r="G205"/>
  <c r="A206"/>
  <c r="C206"/>
  <c r="E206"/>
  <c r="H206"/>
  <c r="B207"/>
  <c r="D207"/>
  <c r="G207"/>
  <c r="A208"/>
  <c r="C208"/>
  <c r="E208"/>
  <c r="H208"/>
  <c r="B209"/>
  <c r="D209"/>
  <c r="G209"/>
  <c r="B110"/>
  <c r="D110"/>
  <c r="G110"/>
  <c r="A111"/>
  <c r="C111"/>
  <c r="E111"/>
  <c r="H111"/>
  <c r="B112"/>
  <c r="D112"/>
  <c r="G112"/>
  <c r="A113"/>
  <c r="C113"/>
  <c r="E113"/>
  <c r="H113"/>
  <c r="B114"/>
  <c r="D114"/>
  <c r="G114"/>
  <c r="A115"/>
  <c r="C115"/>
  <c r="E115"/>
  <c r="H115"/>
  <c r="B116"/>
  <c r="D116"/>
  <c r="G116"/>
  <c r="A117"/>
  <c r="C117"/>
  <c r="E117"/>
  <c r="H117"/>
  <c r="B118"/>
  <c r="D118"/>
  <c r="G118"/>
  <c r="A119"/>
  <c r="C119"/>
  <c r="E119"/>
  <c r="H119"/>
  <c r="B120"/>
  <c r="D120"/>
  <c r="G120"/>
  <c r="A121"/>
  <c r="C121"/>
  <c r="E121"/>
  <c r="H121"/>
  <c r="B122"/>
  <c r="D122"/>
  <c r="G122"/>
  <c r="A123"/>
  <c r="C123"/>
  <c r="E123"/>
  <c r="H123"/>
  <c r="B124"/>
  <c r="D124"/>
  <c r="G124"/>
  <c r="A125"/>
  <c r="C125"/>
  <c r="E125"/>
  <c r="H125"/>
  <c r="B126"/>
  <c r="D126"/>
  <c r="G126"/>
  <c r="A127"/>
  <c r="C127"/>
  <c r="E127"/>
  <c r="H127"/>
  <c r="B128"/>
  <c r="D128"/>
  <c r="G128"/>
  <c r="A129"/>
  <c r="C129"/>
  <c r="E129"/>
  <c r="H129"/>
  <c r="B130"/>
  <c r="D130"/>
  <c r="G130"/>
  <c r="A131"/>
  <c r="C131"/>
  <c r="E131"/>
  <c r="H131"/>
  <c r="B132"/>
  <c r="D132"/>
  <c r="G132"/>
  <c r="A133"/>
  <c r="C133"/>
  <c r="E133"/>
  <c r="H133"/>
  <c r="B134"/>
  <c r="D134"/>
  <c r="G134"/>
  <c r="A135"/>
  <c r="C135"/>
  <c r="E135"/>
  <c r="H135"/>
  <c r="B136"/>
  <c r="D136"/>
  <c r="G136"/>
  <c r="A137"/>
  <c r="C137"/>
  <c r="E137"/>
  <c r="H137"/>
  <c r="B138"/>
  <c r="D138"/>
  <c r="G138"/>
  <c r="A139"/>
  <c r="C139"/>
  <c r="E139"/>
  <c r="H139"/>
  <c r="B140"/>
  <c r="D140"/>
  <c r="G140"/>
  <c r="A141"/>
  <c r="C141"/>
  <c r="E141"/>
  <c r="H141"/>
  <c r="B142"/>
  <c r="D142"/>
  <c r="G142"/>
  <c r="A143"/>
  <c r="C143"/>
  <c r="E143"/>
  <c r="H143"/>
  <c r="B144"/>
  <c r="D144"/>
  <c r="G144"/>
  <c r="A145"/>
  <c r="C145"/>
  <c r="E145"/>
  <c r="H145"/>
  <c r="B146"/>
  <c r="D146"/>
  <c r="G146"/>
  <c r="A147"/>
  <c r="C147"/>
  <c r="E147"/>
  <c r="H147"/>
  <c r="B148"/>
  <c r="D148"/>
  <c r="G148"/>
  <c r="A149"/>
  <c r="C149"/>
  <c r="E149"/>
  <c r="H149"/>
  <c r="B150"/>
  <c r="D150"/>
  <c r="G150"/>
  <c r="A151"/>
  <c r="C151"/>
  <c r="E151"/>
  <c r="H151"/>
  <c r="B152"/>
  <c r="D152"/>
  <c r="G152"/>
  <c r="A153"/>
  <c r="C153"/>
  <c r="E153"/>
  <c r="H153"/>
  <c r="B154"/>
  <c r="D154"/>
  <c r="G154"/>
  <c r="A155"/>
  <c r="C155"/>
  <c r="E155"/>
  <c r="H155"/>
  <c r="B156"/>
  <c r="D156"/>
  <c r="G156"/>
  <c r="A157"/>
  <c r="C157"/>
  <c r="E157"/>
  <c r="H157"/>
  <c r="B158"/>
  <c r="D158"/>
  <c r="G158"/>
  <c r="A159"/>
  <c r="C159"/>
  <c r="E159"/>
  <c r="H159"/>
  <c r="B160"/>
  <c r="D160"/>
  <c r="G160"/>
  <c r="A161"/>
  <c r="C161"/>
  <c r="E161"/>
  <c r="H161"/>
  <c r="B162"/>
  <c r="D162"/>
  <c r="G162"/>
  <c r="A163"/>
  <c r="C163"/>
  <c r="E163"/>
  <c r="H163"/>
  <c r="B164"/>
  <c r="D164"/>
  <c r="G164"/>
  <c r="A165"/>
  <c r="C165"/>
  <c r="E165"/>
  <c r="H165"/>
  <c r="B166"/>
  <c r="D166"/>
  <c r="G166"/>
  <c r="A110"/>
  <c r="C110"/>
  <c r="E110"/>
  <c r="H110"/>
  <c r="B111"/>
  <c r="D111"/>
  <c r="G111"/>
  <c r="A112"/>
  <c r="C112"/>
  <c r="E112"/>
  <c r="H112"/>
  <c r="B113"/>
  <c r="D113"/>
  <c r="G113"/>
  <c r="A114"/>
  <c r="C114"/>
  <c r="E114"/>
  <c r="H114"/>
  <c r="B115"/>
  <c r="D115"/>
  <c r="G115"/>
  <c r="A116"/>
  <c r="C116"/>
  <c r="E116"/>
  <c r="H116"/>
  <c r="B117"/>
  <c r="D117"/>
  <c r="G117"/>
  <c r="A118"/>
  <c r="C118"/>
  <c r="E118"/>
  <c r="H118"/>
  <c r="B119"/>
  <c r="D119"/>
  <c r="G119"/>
  <c r="A120"/>
  <c r="C120"/>
  <c r="E120"/>
  <c r="H120"/>
  <c r="B121"/>
  <c r="D121"/>
  <c r="G121"/>
  <c r="A122"/>
  <c r="C122"/>
  <c r="E122"/>
  <c r="H122"/>
  <c r="B123"/>
  <c r="D123"/>
  <c r="G123"/>
  <c r="A124"/>
  <c r="C124"/>
  <c r="E124"/>
  <c r="H124"/>
  <c r="B125"/>
  <c r="D125"/>
  <c r="G125"/>
  <c r="A126"/>
  <c r="C126"/>
  <c r="E126"/>
  <c r="H126"/>
  <c r="B127"/>
  <c r="D127"/>
  <c r="G127"/>
  <c r="A128"/>
  <c r="C128"/>
  <c r="E128"/>
  <c r="H128"/>
  <c r="B129"/>
  <c r="D129"/>
  <c r="G129"/>
  <c r="A130"/>
  <c r="C130"/>
  <c r="E130"/>
  <c r="H130"/>
  <c r="B131"/>
  <c r="D131"/>
  <c r="G131"/>
  <c r="A132"/>
  <c r="C132"/>
  <c r="E132"/>
  <c r="H132"/>
  <c r="B133"/>
  <c r="D133"/>
  <c r="G133"/>
  <c r="A134"/>
  <c r="C134"/>
  <c r="E134"/>
  <c r="H134"/>
  <c r="B135"/>
  <c r="D135"/>
  <c r="G135"/>
  <c r="A136"/>
  <c r="C136"/>
  <c r="E136"/>
  <c r="H136"/>
  <c r="B137"/>
  <c r="D137"/>
  <c r="G137"/>
  <c r="A138"/>
  <c r="C138"/>
  <c r="E138"/>
  <c r="H138"/>
  <c r="B139"/>
  <c r="D139"/>
  <c r="G139"/>
  <c r="A140"/>
  <c r="C140"/>
  <c r="E140"/>
  <c r="H140"/>
  <c r="B141"/>
  <c r="D141"/>
  <c r="G141"/>
  <c r="A142"/>
  <c r="C142"/>
  <c r="E142"/>
  <c r="H142"/>
  <c r="B143"/>
  <c r="D143"/>
  <c r="G143"/>
  <c r="A144"/>
  <c r="C144"/>
  <c r="E144"/>
  <c r="H144"/>
  <c r="B145"/>
  <c r="D145"/>
  <c r="G145"/>
  <c r="A146"/>
  <c r="C146"/>
  <c r="E146"/>
  <c r="H146"/>
  <c r="B147"/>
  <c r="D147"/>
  <c r="G147"/>
  <c r="A148"/>
  <c r="C148"/>
  <c r="E148"/>
  <c r="H148"/>
  <c r="B149"/>
  <c r="D149"/>
  <c r="G149"/>
  <c r="A150"/>
  <c r="C150"/>
  <c r="E150"/>
  <c r="H150"/>
  <c r="B151"/>
  <c r="D151"/>
  <c r="G151"/>
  <c r="A152"/>
  <c r="C152"/>
  <c r="E152"/>
  <c r="H152"/>
  <c r="B153"/>
  <c r="D153"/>
  <c r="G153"/>
  <c r="A154"/>
  <c r="C154"/>
  <c r="E154"/>
  <c r="H154"/>
  <c r="B155"/>
  <c r="D155"/>
  <c r="G155"/>
  <c r="A156"/>
  <c r="C156"/>
  <c r="E156"/>
  <c r="H156"/>
  <c r="B157"/>
  <c r="D157"/>
  <c r="G157"/>
  <c r="A158"/>
  <c r="C158"/>
  <c r="E158"/>
  <c r="H158"/>
  <c r="B159"/>
  <c r="D159"/>
  <c r="G159"/>
  <c r="A160"/>
  <c r="C160"/>
  <c r="E160"/>
  <c r="H160"/>
  <c r="B161"/>
  <c r="D161"/>
  <c r="G161"/>
  <c r="A162"/>
  <c r="C162"/>
  <c r="E162"/>
  <c r="H162"/>
  <c r="B163"/>
  <c r="D163"/>
  <c r="G163"/>
  <c r="A164"/>
  <c r="C164"/>
  <c r="E164"/>
  <c r="H164"/>
  <c r="B165"/>
  <c r="D165"/>
  <c r="G165"/>
  <c r="A166"/>
  <c r="C166"/>
  <c r="E166"/>
  <c r="H166"/>
  <c r="A167"/>
  <c r="C167"/>
  <c r="E167"/>
  <c r="H167"/>
  <c r="B168"/>
  <c r="D168"/>
  <c r="G168"/>
  <c r="A169"/>
  <c r="C169"/>
  <c r="E169"/>
  <c r="H169"/>
  <c r="B170"/>
  <c r="D170"/>
  <c r="G170"/>
  <c r="A171"/>
  <c r="C171"/>
  <c r="E171"/>
  <c r="H171"/>
  <c r="B172"/>
  <c r="D172"/>
  <c r="G172"/>
  <c r="A173"/>
  <c r="C173"/>
  <c r="E173"/>
  <c r="H173"/>
  <c r="B174"/>
  <c r="D174"/>
  <c r="G174"/>
  <c r="A175"/>
  <c r="C175"/>
  <c r="E175"/>
  <c r="H175"/>
  <c r="B176"/>
  <c r="D176"/>
  <c r="G176"/>
  <c r="A177"/>
  <c r="C177"/>
  <c r="E177"/>
  <c r="H177"/>
  <c r="B178"/>
  <c r="D178"/>
  <c r="G178"/>
  <c r="A179"/>
  <c r="C179"/>
  <c r="E179"/>
  <c r="H179"/>
  <c r="B180"/>
  <c r="D180"/>
  <c r="G180"/>
  <c r="A181"/>
  <c r="C181"/>
  <c r="E181"/>
  <c r="H181"/>
  <c r="B182"/>
  <c r="D182"/>
  <c r="G182"/>
  <c r="A183"/>
  <c r="C183"/>
  <c r="E183"/>
  <c r="H183"/>
  <c r="B184"/>
  <c r="D184"/>
  <c r="G184"/>
  <c r="A185"/>
  <c r="C185"/>
  <c r="E185"/>
  <c r="H185"/>
  <c r="B186"/>
  <c r="D186"/>
  <c r="G186"/>
  <c r="A187"/>
  <c r="C187"/>
  <c r="E187"/>
  <c r="H187"/>
  <c r="B188"/>
  <c r="D188"/>
  <c r="G188"/>
  <c r="A189"/>
  <c r="C189"/>
  <c r="E189"/>
  <c r="H189"/>
  <c r="B190"/>
  <c r="D190"/>
  <c r="G190"/>
  <c r="A191"/>
  <c r="C191"/>
  <c r="E191"/>
  <c r="H191"/>
  <c r="B192"/>
  <c r="D192"/>
  <c r="G192"/>
  <c r="A193"/>
  <c r="C193"/>
  <c r="E193"/>
  <c r="H193"/>
  <c r="B194"/>
  <c r="D194"/>
  <c r="G194"/>
  <c r="A195"/>
  <c r="C195"/>
  <c r="E195"/>
  <c r="H195"/>
  <c r="B196"/>
  <c r="D196"/>
  <c r="G196"/>
  <c r="A197"/>
  <c r="C197"/>
  <c r="E197"/>
  <c r="H197"/>
  <c r="B198"/>
  <c r="D198"/>
  <c r="G198"/>
  <c r="A199"/>
  <c r="C199"/>
  <c r="E199"/>
  <c r="H199"/>
  <c r="D210"/>
  <c r="B167"/>
  <c r="D167"/>
  <c r="G167"/>
  <c r="A168"/>
  <c r="C168"/>
  <c r="E168"/>
  <c r="H168"/>
  <c r="B169"/>
  <c r="D169"/>
  <c r="G169"/>
  <c r="A170"/>
  <c r="C170"/>
  <c r="E170"/>
  <c r="H170"/>
  <c r="B171"/>
  <c r="D171"/>
  <c r="G171"/>
  <c r="A172"/>
  <c r="C172"/>
  <c r="E172"/>
  <c r="H172"/>
  <c r="B173"/>
  <c r="D173"/>
  <c r="G173"/>
  <c r="A174"/>
  <c r="C174"/>
  <c r="E174"/>
  <c r="H174"/>
  <c r="B175"/>
  <c r="D175"/>
  <c r="G175"/>
  <c r="A176"/>
  <c r="C176"/>
  <c r="E176"/>
  <c r="H176"/>
  <c r="B177"/>
  <c r="D177"/>
  <c r="G177"/>
  <c r="A178"/>
  <c r="C178"/>
  <c r="E178"/>
  <c r="H178"/>
  <c r="B179"/>
  <c r="D179"/>
  <c r="G179"/>
  <c r="A180"/>
  <c r="C180"/>
  <c r="E180"/>
  <c r="H180"/>
  <c r="B181"/>
  <c r="D181"/>
  <c r="G181"/>
  <c r="A182"/>
  <c r="C182"/>
  <c r="E182"/>
  <c r="H182"/>
  <c r="B183"/>
  <c r="D183"/>
  <c r="G183"/>
  <c r="A184"/>
  <c r="C184"/>
  <c r="E184"/>
  <c r="H184"/>
  <c r="B185"/>
  <c r="D185"/>
  <c r="G185"/>
  <c r="A186"/>
  <c r="C186"/>
  <c r="E186"/>
  <c r="H186"/>
  <c r="B187"/>
  <c r="D187"/>
  <c r="G187"/>
  <c r="A188"/>
  <c r="C188"/>
  <c r="E188"/>
  <c r="H188"/>
  <c r="B189"/>
  <c r="D189"/>
  <c r="G189"/>
  <c r="A190"/>
  <c r="C190"/>
  <c r="E190"/>
  <c r="H190"/>
  <c r="B191"/>
  <c r="D191"/>
  <c r="G191"/>
  <c r="A192"/>
  <c r="C192"/>
  <c r="E192"/>
  <c r="H192"/>
  <c r="B193"/>
  <c r="D193"/>
  <c r="G193"/>
  <c r="A194"/>
  <c r="C194"/>
  <c r="E194"/>
  <c r="H194"/>
  <c r="B195"/>
  <c r="D195"/>
  <c r="G195"/>
  <c r="A196"/>
  <c r="C196"/>
  <c r="E196"/>
  <c r="H196"/>
  <c r="B197"/>
  <c r="D197"/>
  <c r="G197"/>
  <c r="A198"/>
  <c r="C198"/>
  <c r="E198"/>
  <c r="H198"/>
  <c r="B199"/>
  <c r="D199"/>
  <c r="G199"/>
  <c r="A210"/>
  <c r="C210"/>
  <c r="E210"/>
  <c r="H210"/>
  <c r="B210"/>
  <c r="G210"/>
  <c r="X6025" i="34"/>
  <c r="X6026"/>
  <c r="X6027"/>
  <c r="X6028"/>
  <c r="X6029"/>
  <c r="X6030"/>
  <c r="X6031"/>
  <c r="X6032"/>
  <c r="X6033"/>
  <c r="X6034"/>
  <c r="X6035"/>
  <c r="X6036"/>
  <c r="X6037"/>
  <c r="X6038"/>
  <c r="X6039"/>
  <c r="X6040"/>
  <c r="X6041"/>
  <c r="X6042"/>
  <c r="X6043"/>
  <c r="X6044"/>
  <c r="X6045"/>
  <c r="X6046"/>
  <c r="X6047"/>
  <c r="X6048"/>
  <c r="X6049"/>
  <c r="X6050"/>
  <c r="X6051"/>
  <c r="X6052"/>
  <c r="X6053"/>
  <c r="X6054"/>
  <c r="X6055"/>
  <c r="X6056"/>
  <c r="X6057"/>
  <c r="X6058"/>
  <c r="X6059"/>
  <c r="X6060"/>
  <c r="X6061"/>
  <c r="X6062"/>
  <c r="X6063"/>
  <c r="X6064"/>
  <c r="X6065"/>
  <c r="X6066"/>
  <c r="X6067"/>
  <c r="X6068"/>
  <c r="X6069"/>
  <c r="X6070"/>
  <c r="X6071"/>
  <c r="X6072"/>
  <c r="X6073"/>
  <c r="X6074"/>
  <c r="X6075"/>
  <c r="X6076"/>
  <c r="X6077"/>
  <c r="X6078"/>
  <c r="X6079"/>
  <c r="X6080"/>
  <c r="X6081"/>
  <c r="X6082"/>
  <c r="X6083"/>
  <c r="X6084"/>
  <c r="X6085"/>
  <c r="X6086"/>
  <c r="X6087"/>
  <c r="X6088"/>
  <c r="X6089"/>
  <c r="X6090"/>
  <c r="X6091"/>
  <c r="X6092"/>
  <c r="X6093"/>
  <c r="X6094"/>
  <c r="X6095"/>
  <c r="X6096"/>
  <c r="X6097"/>
  <c r="X6098"/>
  <c r="X6099"/>
  <c r="X6100"/>
  <c r="X6101"/>
  <c r="X6102"/>
  <c r="X6103"/>
  <c r="X6104"/>
  <c r="X6105"/>
  <c r="X6106"/>
  <c r="X6107"/>
  <c r="X6108"/>
  <c r="X6109"/>
  <c r="X6110"/>
  <c r="X6111"/>
  <c r="X6112"/>
  <c r="X6113"/>
  <c r="X6114"/>
  <c r="X6115"/>
  <c r="X6116"/>
  <c r="X6117"/>
  <c r="X6118"/>
  <c r="X6119"/>
  <c r="X6120"/>
  <c r="X6121"/>
  <c r="X6122"/>
  <c r="X6123"/>
  <c r="X6124"/>
  <c r="X6125"/>
  <c r="X6126"/>
  <c r="X6127"/>
  <c r="X6128"/>
  <c r="X6129"/>
  <c r="X6130"/>
  <c r="X6131"/>
  <c r="X6132"/>
  <c r="X6133"/>
  <c r="X6134"/>
  <c r="X6135"/>
  <c r="X6136"/>
  <c r="X6137"/>
  <c r="X6138"/>
  <c r="X6139"/>
  <c r="X6140"/>
  <c r="X6141"/>
  <c r="X6142"/>
  <c r="X6143"/>
  <c r="X6144"/>
  <c r="X6145"/>
  <c r="X6146"/>
  <c r="X6147"/>
  <c r="X6148"/>
  <c r="X6149"/>
  <c r="X6150"/>
  <c r="X6151"/>
  <c r="X6152"/>
  <c r="X6153"/>
  <c r="X6154"/>
  <c r="X6155"/>
  <c r="X6156"/>
  <c r="X6157"/>
  <c r="X6158"/>
  <c r="X6159"/>
  <c r="X6160"/>
  <c r="X6161"/>
  <c r="X6162"/>
  <c r="X6163"/>
  <c r="X6164"/>
  <c r="X6165"/>
  <c r="X6166"/>
  <c r="X6167"/>
  <c r="X6168"/>
  <c r="X6169"/>
  <c r="X6170"/>
  <c r="X6171"/>
  <c r="X6172"/>
  <c r="X6173"/>
  <c r="X6174"/>
  <c r="X6175"/>
  <c r="X6176"/>
  <c r="X6177"/>
  <c r="X6178"/>
  <c r="X6179"/>
  <c r="X6180"/>
  <c r="X6181"/>
  <c r="X6182"/>
  <c r="X6183"/>
  <c r="X6184"/>
  <c r="X6185"/>
  <c r="X6186"/>
  <c r="X6187"/>
  <c r="X6188"/>
  <c r="X6189"/>
  <c r="X6190"/>
  <c r="X6191"/>
  <c r="X6192"/>
  <c r="X6193"/>
  <c r="X6194"/>
  <c r="X6195"/>
  <c r="X6196"/>
  <c r="X6197"/>
  <c r="X6198"/>
  <c r="X6199"/>
  <c r="X6200"/>
  <c r="X6201"/>
  <c r="X6202"/>
  <c r="X6203"/>
  <c r="X6204"/>
  <c r="X6205"/>
  <c r="X6206"/>
  <c r="X6207"/>
  <c r="X6208"/>
  <c r="X6209"/>
  <c r="X6210"/>
  <c r="X6211"/>
  <c r="X6212"/>
  <c r="X6213"/>
  <c r="X6214"/>
  <c r="X6215"/>
  <c r="X6216"/>
  <c r="X6217"/>
  <c r="X6218"/>
  <c r="X6219"/>
  <c r="X6220"/>
  <c r="X6221"/>
  <c r="X6222"/>
  <c r="X6223"/>
  <c r="X6224"/>
  <c r="X6225"/>
  <c r="X6226"/>
  <c r="X6227"/>
  <c r="X6228"/>
  <c r="X6229"/>
  <c r="X6230"/>
  <c r="X6231"/>
  <c r="X6232"/>
  <c r="X6233"/>
  <c r="X6234"/>
  <c r="X6235"/>
  <c r="X6236"/>
  <c r="X6237"/>
  <c r="X6238"/>
  <c r="X6239"/>
  <c r="X6240"/>
  <c r="X6241"/>
  <c r="X6242"/>
  <c r="X6243"/>
  <c r="X6244"/>
  <c r="X6245"/>
  <c r="X6246"/>
  <c r="X6247"/>
  <c r="X6248"/>
  <c r="X6249"/>
  <c r="X6250"/>
  <c r="X6251"/>
  <c r="X6252"/>
  <c r="X6253"/>
  <c r="X6254"/>
  <c r="X6255"/>
  <c r="X6256"/>
  <c r="X6257"/>
  <c r="X6258"/>
  <c r="X6259"/>
  <c r="X6260"/>
  <c r="X6261"/>
  <c r="X6262"/>
  <c r="X6263"/>
  <c r="X6264"/>
  <c r="X6265"/>
  <c r="X6266"/>
  <c r="X6267"/>
  <c r="X6268"/>
  <c r="X6269"/>
  <c r="X6270"/>
  <c r="X6271"/>
  <c r="X6272"/>
  <c r="X6273"/>
  <c r="X6274"/>
  <c r="X6275"/>
  <c r="X6276"/>
  <c r="X6277"/>
  <c r="X6278"/>
  <c r="X6279"/>
  <c r="X6280"/>
  <c r="X6281"/>
  <c r="X6282"/>
  <c r="X6283"/>
  <c r="X6284"/>
  <c r="X6285"/>
  <c r="X6286"/>
  <c r="X6287"/>
  <c r="X6288"/>
  <c r="X6289"/>
  <c r="X6290"/>
  <c r="X6291"/>
  <c r="X6292"/>
  <c r="X6293"/>
  <c r="X6294"/>
  <c r="X6295"/>
  <c r="X6296"/>
  <c r="X6297"/>
  <c r="X6298"/>
  <c r="X6299"/>
  <c r="X6300"/>
  <c r="X6301"/>
  <c r="X6302"/>
  <c r="X6303"/>
  <c r="X6304"/>
  <c r="X6305"/>
  <c r="X6306"/>
  <c r="X6307"/>
  <c r="X6308"/>
  <c r="X6309"/>
  <c r="X6310"/>
  <c r="X6311"/>
  <c r="X6312"/>
  <c r="X6313"/>
  <c r="X6314"/>
  <c r="X6315"/>
  <c r="X6316"/>
  <c r="X6317"/>
  <c r="X6318"/>
  <c r="X6319"/>
  <c r="X6320"/>
  <c r="X6321"/>
  <c r="X6322"/>
  <c r="X6323"/>
  <c r="X6324"/>
  <c r="X6325"/>
  <c r="X6326"/>
  <c r="X6327"/>
  <c r="X6328"/>
  <c r="X6329"/>
  <c r="X6330"/>
  <c r="X6331"/>
  <c r="X6332"/>
  <c r="X6333"/>
  <c r="X6334"/>
  <c r="X6335"/>
  <c r="X6336"/>
  <c r="X6337"/>
  <c r="X6338"/>
  <c r="X6339"/>
  <c r="X6340"/>
  <c r="X6341"/>
  <c r="X6342"/>
  <c r="X6343"/>
  <c r="X6344"/>
  <c r="X6345"/>
  <c r="X6346"/>
  <c r="X6347"/>
  <c r="X6348"/>
  <c r="X6349"/>
  <c r="X6350"/>
  <c r="X6351"/>
  <c r="X6352"/>
  <c r="X6353"/>
  <c r="X6354"/>
  <c r="X6355"/>
  <c r="X6356"/>
  <c r="X6357"/>
  <c r="X6358"/>
  <c r="X6359"/>
  <c r="X6360"/>
  <c r="X6361"/>
  <c r="X6362"/>
  <c r="X6363"/>
  <c r="X6364"/>
  <c r="X6365"/>
  <c r="X6366"/>
  <c r="X6367"/>
  <c r="X6368"/>
  <c r="X6369"/>
  <c r="X6370"/>
  <c r="X6371"/>
  <c r="X6372"/>
  <c r="X6373"/>
  <c r="X6374"/>
  <c r="X6375"/>
  <c r="X6376"/>
  <c r="X6377"/>
  <c r="X6378"/>
  <c r="X6379"/>
  <c r="X6380"/>
  <c r="X6381"/>
  <c r="X6382"/>
  <c r="X6383"/>
  <c r="X6384"/>
  <c r="X6385"/>
  <c r="X6386"/>
  <c r="X6387"/>
  <c r="X6388"/>
  <c r="X6389"/>
  <c r="X6390"/>
  <c r="X6391"/>
  <c r="X6392"/>
  <c r="X6393"/>
  <c r="X6394"/>
  <c r="X6395"/>
  <c r="X6396"/>
  <c r="X6397"/>
  <c r="X6398"/>
  <c r="X6399"/>
  <c r="X6400"/>
  <c r="X6401"/>
  <c r="X6402"/>
  <c r="X6403"/>
  <c r="X6404"/>
  <c r="X6405"/>
  <c r="X6406"/>
  <c r="X6407"/>
  <c r="X6408"/>
  <c r="X6409"/>
  <c r="X6410"/>
  <c r="X6411"/>
  <c r="X6412"/>
  <c r="X6413"/>
  <c r="X6414"/>
  <c r="X6415"/>
  <c r="X6416"/>
  <c r="X6417"/>
  <c r="X6418"/>
  <c r="X6419"/>
  <c r="X6420"/>
  <c r="X6421"/>
  <c r="X6422"/>
  <c r="X6423"/>
  <c r="X6424"/>
  <c r="X6425"/>
  <c r="X6426"/>
  <c r="X6427"/>
  <c r="X6428"/>
  <c r="X6429"/>
  <c r="X6430"/>
  <c r="X6431"/>
  <c r="X6432"/>
  <c r="X6433"/>
  <c r="X6434"/>
  <c r="X6435"/>
  <c r="X6436"/>
  <c r="X6437"/>
  <c r="X6438"/>
  <c r="X6439"/>
  <c r="X6440"/>
  <c r="X6441"/>
  <c r="X6442"/>
  <c r="X6443"/>
  <c r="X6444"/>
  <c r="X6445"/>
  <c r="X6446"/>
  <c r="X6447"/>
  <c r="X6448"/>
  <c r="X6449"/>
  <c r="X6450"/>
  <c r="X6451"/>
  <c r="X6452"/>
  <c r="X6453"/>
  <c r="X6454"/>
  <c r="X6455"/>
  <c r="X6456"/>
  <c r="X6457"/>
  <c r="X6458"/>
  <c r="X6459"/>
  <c r="X6460"/>
  <c r="X6461"/>
  <c r="X6462"/>
  <c r="X6463"/>
  <c r="X6464"/>
  <c r="X6465"/>
  <c r="X6466"/>
  <c r="X6467"/>
  <c r="X6468"/>
  <c r="X6469"/>
  <c r="X6470"/>
  <c r="X6471"/>
  <c r="X6472"/>
  <c r="X6473"/>
  <c r="X6474"/>
  <c r="X6475"/>
  <c r="X6476"/>
  <c r="X6477"/>
  <c r="X6478"/>
  <c r="X6479"/>
  <c r="X6480"/>
  <c r="X6481"/>
  <c r="X6482"/>
  <c r="X6483"/>
  <c r="X6484"/>
  <c r="X6485"/>
  <c r="X6486"/>
  <c r="X6487"/>
  <c r="X6488"/>
  <c r="X6489"/>
  <c r="X6490"/>
  <c r="X6491"/>
  <c r="X6492"/>
  <c r="X6493"/>
  <c r="X6494"/>
  <c r="X6495"/>
  <c r="X6496"/>
  <c r="X6497"/>
  <c r="X6498"/>
  <c r="X6499"/>
  <c r="X6500"/>
  <c r="X6501"/>
  <c r="X6502"/>
  <c r="X6503"/>
  <c r="X6504"/>
  <c r="X6505"/>
  <c r="X6506"/>
  <c r="X6507"/>
  <c r="X6508"/>
  <c r="X6509"/>
  <c r="X6510"/>
  <c r="X6511"/>
  <c r="X6512"/>
  <c r="X6513"/>
  <c r="X6514"/>
  <c r="X6515"/>
  <c r="X6516"/>
  <c r="X6517"/>
  <c r="X6518"/>
  <c r="X6519"/>
  <c r="X6520"/>
  <c r="X6521"/>
  <c r="X6522"/>
  <c r="X6523"/>
  <c r="X6524"/>
  <c r="X6525"/>
  <c r="X6526"/>
  <c r="X6527"/>
  <c r="X6528"/>
  <c r="X6529"/>
  <c r="X6530"/>
  <c r="X6531"/>
  <c r="X6532"/>
  <c r="X6533"/>
  <c r="X6534"/>
  <c r="X6535"/>
  <c r="X6536"/>
  <c r="X6537"/>
  <c r="X6538"/>
  <c r="X6539"/>
  <c r="X6540"/>
  <c r="X6541"/>
  <c r="X6542"/>
  <c r="X6543"/>
  <c r="X6544"/>
  <c r="X6545"/>
  <c r="X6546"/>
  <c r="X6547"/>
  <c r="X6548"/>
  <c r="X6549"/>
  <c r="X6550"/>
  <c r="X6551"/>
  <c r="X6552"/>
  <c r="X6553"/>
  <c r="X6554"/>
  <c r="X6555"/>
  <c r="X6556"/>
  <c r="X6557"/>
  <c r="X6558"/>
  <c r="X6559"/>
  <c r="X6560"/>
  <c r="X6561"/>
  <c r="X6562"/>
  <c r="X6563"/>
  <c r="X6564"/>
  <c r="X6565"/>
  <c r="X6566"/>
  <c r="X6567"/>
  <c r="X6568"/>
  <c r="X6569"/>
  <c r="X6570"/>
  <c r="X6571"/>
  <c r="X6572"/>
  <c r="X6573"/>
  <c r="X6574"/>
  <c r="X6575"/>
  <c r="X6576"/>
  <c r="X6577"/>
  <c r="X6578"/>
  <c r="X6579"/>
  <c r="X6580"/>
  <c r="X6581"/>
  <c r="X6582"/>
  <c r="X6583"/>
  <c r="X6584"/>
  <c r="X6585"/>
  <c r="X6586"/>
  <c r="X6587"/>
  <c r="X6588"/>
  <c r="X6589"/>
  <c r="X6590"/>
  <c r="X6591"/>
  <c r="X6592"/>
  <c r="X6593"/>
  <c r="X6594"/>
  <c r="X6595"/>
  <c r="X6596"/>
  <c r="X6597"/>
  <c r="X6598"/>
  <c r="X6599"/>
  <c r="X6600"/>
  <c r="X6601"/>
  <c r="X6602"/>
  <c r="X6603"/>
  <c r="X6604"/>
  <c r="X6605"/>
  <c r="X6606"/>
  <c r="X6607"/>
  <c r="X6608"/>
  <c r="X6609"/>
  <c r="X6610"/>
  <c r="X6611"/>
  <c r="X6612"/>
  <c r="X6613"/>
  <c r="X6614"/>
  <c r="X6615"/>
  <c r="X6616"/>
  <c r="X6617"/>
  <c r="X6618"/>
  <c r="X6619"/>
  <c r="X6620"/>
  <c r="X6621"/>
  <c r="X6622"/>
  <c r="X6623"/>
  <c r="X6624"/>
  <c r="X6625"/>
  <c r="X6626"/>
  <c r="X6627"/>
  <c r="X6628"/>
  <c r="X6629"/>
  <c r="X6630"/>
  <c r="X6631"/>
  <c r="X6632"/>
  <c r="X6633"/>
  <c r="X6634"/>
  <c r="X6635"/>
  <c r="X6636"/>
  <c r="X6637"/>
  <c r="X6638"/>
  <c r="X6639"/>
  <c r="X6640"/>
  <c r="X6641"/>
  <c r="X6642"/>
  <c r="X6643"/>
  <c r="X6644"/>
  <c r="X6645"/>
  <c r="X6646"/>
  <c r="X6647"/>
  <c r="X6648"/>
  <c r="X6649"/>
  <c r="X6650"/>
  <c r="X6651"/>
  <c r="X6652"/>
  <c r="X6653"/>
  <c r="X6654"/>
  <c r="X6655"/>
  <c r="X6656"/>
  <c r="X6657"/>
  <c r="X6658"/>
  <c r="X6659"/>
  <c r="X6660"/>
  <c r="X6661"/>
  <c r="X6662"/>
  <c r="X6663"/>
  <c r="X6664"/>
  <c r="X6665"/>
  <c r="X6666"/>
  <c r="X6667"/>
  <c r="X6668"/>
  <c r="X6669"/>
  <c r="X6670"/>
  <c r="X6671"/>
  <c r="X6672"/>
  <c r="X6673"/>
  <c r="X6674"/>
  <c r="X6675"/>
  <c r="X6676"/>
  <c r="X6677"/>
  <c r="X6678"/>
  <c r="X6679"/>
  <c r="X6680"/>
  <c r="X6681"/>
  <c r="X6682"/>
  <c r="X6683"/>
  <c r="X6684"/>
  <c r="X6685"/>
  <c r="X6686"/>
  <c r="X6687"/>
  <c r="X6688"/>
  <c r="X6689"/>
  <c r="X6690"/>
  <c r="X6691"/>
  <c r="X6692"/>
  <c r="X6693"/>
  <c r="X6694"/>
  <c r="X6695"/>
  <c r="X6696"/>
  <c r="X6697"/>
  <c r="X6698"/>
  <c r="X6699"/>
  <c r="X6700"/>
  <c r="X6701"/>
  <c r="X6702"/>
  <c r="X6703"/>
  <c r="X6704"/>
  <c r="X6705"/>
  <c r="X6706"/>
  <c r="X6707"/>
  <c r="X6708"/>
  <c r="X6709"/>
  <c r="X6710"/>
  <c r="X6711"/>
  <c r="X6712"/>
  <c r="X6713"/>
  <c r="X6714"/>
  <c r="X6715"/>
  <c r="X6716"/>
  <c r="X6717"/>
  <c r="X6718"/>
  <c r="X6719"/>
  <c r="X6720"/>
  <c r="X6721"/>
  <c r="X6722"/>
  <c r="X6723"/>
  <c r="X6724"/>
  <c r="X6725"/>
  <c r="X6726"/>
  <c r="X6727"/>
  <c r="X6728"/>
  <c r="X6729"/>
  <c r="X6730"/>
  <c r="X6731"/>
  <c r="X6732"/>
  <c r="X6733"/>
  <c r="X6734"/>
  <c r="X6735"/>
  <c r="X6736"/>
  <c r="X6737"/>
  <c r="X6738"/>
  <c r="X6739"/>
  <c r="X6740"/>
  <c r="X6741"/>
  <c r="X6742"/>
  <c r="X6743"/>
  <c r="X6744"/>
  <c r="X6745"/>
  <c r="X6746"/>
  <c r="X6747"/>
  <c r="X6748"/>
  <c r="X6749"/>
  <c r="X6750"/>
  <c r="X6751"/>
  <c r="X6752"/>
  <c r="X6753"/>
  <c r="X6754"/>
  <c r="X6755"/>
  <c r="X6756"/>
  <c r="X6757"/>
  <c r="X6758"/>
  <c r="X6759"/>
  <c r="X6760"/>
  <c r="X6761"/>
  <c r="X6762"/>
  <c r="X6763"/>
  <c r="X6764"/>
  <c r="X6765"/>
  <c r="X6766"/>
  <c r="X6767"/>
  <c r="X6768"/>
  <c r="X6769"/>
  <c r="X6770"/>
  <c r="X6771"/>
  <c r="X6772"/>
  <c r="X6773"/>
  <c r="X6774"/>
  <c r="X6775"/>
  <c r="X6776"/>
  <c r="X6777"/>
  <c r="X6778"/>
  <c r="X6779"/>
  <c r="X6780"/>
  <c r="X6781"/>
  <c r="X6782"/>
  <c r="X6783"/>
  <c r="X6784"/>
  <c r="X6785"/>
  <c r="X6786"/>
  <c r="X6787"/>
  <c r="X6788"/>
  <c r="X6789"/>
  <c r="X6790"/>
  <c r="X6791"/>
  <c r="X6792"/>
  <c r="X6793"/>
  <c r="X6794"/>
  <c r="X6795"/>
  <c r="X6796"/>
  <c r="X6797"/>
  <c r="X6798"/>
  <c r="X6799"/>
  <c r="X6800"/>
  <c r="X6801"/>
  <c r="X6802"/>
  <c r="X6803"/>
  <c r="X6804"/>
  <c r="X6805"/>
  <c r="X6806"/>
  <c r="X6807"/>
  <c r="X6808"/>
  <c r="X6809"/>
  <c r="X6810"/>
  <c r="X6811"/>
  <c r="X6812"/>
  <c r="X6813"/>
  <c r="X6814"/>
  <c r="X6815"/>
  <c r="X6816"/>
  <c r="X6817"/>
  <c r="X6818"/>
  <c r="X6819"/>
  <c r="X6820"/>
  <c r="X6821"/>
  <c r="X6822"/>
  <c r="X6823"/>
  <c r="X6824"/>
  <c r="X6825"/>
  <c r="X6826"/>
  <c r="X6827"/>
  <c r="X6828"/>
  <c r="X6829"/>
  <c r="X6830"/>
  <c r="X6831"/>
  <c r="X6832"/>
  <c r="X6833"/>
  <c r="X6834"/>
  <c r="X6835"/>
  <c r="X6836"/>
  <c r="X6837"/>
  <c r="X6838"/>
  <c r="X6839"/>
  <c r="X6840"/>
  <c r="X6841"/>
  <c r="X6842"/>
  <c r="X6843"/>
  <c r="X6844"/>
  <c r="X6845"/>
  <c r="X6846"/>
  <c r="X6847"/>
  <c r="X6848"/>
  <c r="X6849"/>
  <c r="X6850"/>
  <c r="X6851"/>
  <c r="X6852"/>
  <c r="X6853"/>
  <c r="X6854"/>
  <c r="X6855"/>
  <c r="X6856"/>
  <c r="X6857"/>
  <c r="X6858"/>
  <c r="X6859"/>
  <c r="X6860"/>
  <c r="X6861"/>
  <c r="X6862"/>
  <c r="X6863"/>
  <c r="X6864"/>
  <c r="X6865"/>
  <c r="X6866"/>
  <c r="X6867"/>
  <c r="X6868"/>
  <c r="X6869"/>
  <c r="X6870"/>
  <c r="X6871"/>
  <c r="X6872"/>
  <c r="X6873"/>
  <c r="X6874"/>
  <c r="X6875"/>
  <c r="X6876"/>
  <c r="X6877"/>
  <c r="X6878"/>
  <c r="X6879"/>
  <c r="X6880"/>
  <c r="X6881"/>
  <c r="X6882"/>
  <c r="X6883"/>
  <c r="X6884"/>
  <c r="X6885"/>
  <c r="X6886"/>
  <c r="X6887"/>
  <c r="X6888"/>
  <c r="X6889"/>
  <c r="X6890"/>
  <c r="X6891"/>
  <c r="X6892"/>
  <c r="X6893"/>
  <c r="X6894"/>
  <c r="X6895"/>
  <c r="X6896"/>
  <c r="X6897"/>
  <c r="X6898"/>
  <c r="X6899"/>
  <c r="X6900"/>
  <c r="X6901"/>
  <c r="X6902"/>
  <c r="X6903"/>
  <c r="X6904"/>
  <c r="X6905"/>
  <c r="X6906"/>
  <c r="X6907"/>
  <c r="X6908"/>
  <c r="X6909"/>
  <c r="X6910"/>
  <c r="X6911"/>
  <c r="X6912"/>
  <c r="X6913"/>
  <c r="X6914"/>
  <c r="X6915"/>
  <c r="X6916"/>
  <c r="X6917"/>
  <c r="X6918"/>
  <c r="X6919"/>
  <c r="X6920"/>
  <c r="X6921"/>
  <c r="X6922"/>
  <c r="X6923"/>
  <c r="X6924"/>
  <c r="X6925"/>
  <c r="X6926"/>
  <c r="X6927"/>
  <c r="X6928"/>
  <c r="X6929"/>
  <c r="X6930"/>
  <c r="X6931"/>
  <c r="X6932"/>
  <c r="X6933"/>
  <c r="X6934"/>
  <c r="X6935"/>
  <c r="X6936"/>
  <c r="X6937"/>
  <c r="X6938"/>
  <c r="X6939"/>
  <c r="X6940"/>
  <c r="X6941"/>
  <c r="X6942"/>
  <c r="X6943"/>
  <c r="X6944"/>
  <c r="X6945"/>
  <c r="X6946"/>
  <c r="X6947"/>
  <c r="X6948"/>
  <c r="X6949"/>
  <c r="X6950"/>
  <c r="X6951"/>
  <c r="X6952"/>
  <c r="X6953"/>
  <c r="X6954"/>
  <c r="X6955"/>
  <c r="X6956"/>
  <c r="X6957"/>
  <c r="X6958"/>
  <c r="X6959"/>
  <c r="X6960"/>
  <c r="X6961"/>
  <c r="X6962"/>
  <c r="X6963"/>
  <c r="X6964"/>
  <c r="X6965"/>
  <c r="X6966"/>
  <c r="X6967"/>
  <c r="X6968"/>
  <c r="X6969"/>
  <c r="X6970"/>
  <c r="X6971"/>
  <c r="X6972"/>
  <c r="X6973"/>
  <c r="X6974"/>
  <c r="X6975"/>
  <c r="X6976"/>
  <c r="X6977"/>
  <c r="X6978"/>
  <c r="X6979"/>
  <c r="X6980"/>
  <c r="X6981"/>
  <c r="X6982"/>
  <c r="X6983"/>
  <c r="X6984"/>
  <c r="X6985"/>
  <c r="X6986"/>
  <c r="X6987"/>
  <c r="X6988"/>
  <c r="X6989"/>
  <c r="X6990"/>
  <c r="X6991"/>
  <c r="X6992"/>
  <c r="X6993"/>
  <c r="X6994"/>
  <c r="X6995"/>
  <c r="X6996"/>
  <c r="X6997"/>
  <c r="X6998"/>
  <c r="X6999"/>
  <c r="X7000"/>
  <c r="X7001"/>
  <c r="X7002"/>
  <c r="X7003"/>
  <c r="X7004"/>
  <c r="X7005"/>
  <c r="X7006"/>
  <c r="X7007"/>
  <c r="X7008"/>
  <c r="X7009"/>
  <c r="X7010"/>
  <c r="X7011"/>
  <c r="X7012"/>
  <c r="X7013"/>
  <c r="X7014"/>
  <c r="X7015"/>
  <c r="X7016"/>
  <c r="X7017"/>
  <c r="X7018"/>
  <c r="X7019"/>
  <c r="X7020"/>
  <c r="X7021"/>
  <c r="X7022"/>
  <c r="X7023"/>
  <c r="X7024"/>
  <c r="X7025"/>
  <c r="X7026"/>
  <c r="X7027"/>
  <c r="X7028"/>
  <c r="X7029"/>
  <c r="X7030"/>
  <c r="X7031"/>
  <c r="X7032"/>
  <c r="X7033"/>
  <c r="X7034"/>
  <c r="X7035"/>
  <c r="X7036"/>
  <c r="X7037"/>
  <c r="X7038"/>
  <c r="X7039"/>
  <c r="X7040"/>
  <c r="X7041"/>
  <c r="X7042"/>
  <c r="X7043"/>
  <c r="X7044"/>
  <c r="X7045"/>
  <c r="X7046"/>
  <c r="X7047"/>
  <c r="X7048"/>
  <c r="X7049"/>
  <c r="X7050"/>
  <c r="X7051"/>
  <c r="X7052"/>
  <c r="X7053"/>
  <c r="X7054"/>
  <c r="X7055"/>
  <c r="X7056"/>
  <c r="X7057"/>
  <c r="X7058"/>
  <c r="X7059"/>
  <c r="X7060"/>
  <c r="X7061"/>
  <c r="X7062"/>
  <c r="X7063"/>
  <c r="X7064"/>
  <c r="X7065"/>
  <c r="X7066"/>
  <c r="X7067"/>
  <c r="X7068"/>
  <c r="X7069"/>
  <c r="X7070"/>
  <c r="X7071"/>
  <c r="X7072"/>
  <c r="X7073"/>
  <c r="X7074"/>
  <c r="X7075"/>
  <c r="X7076"/>
  <c r="X7077"/>
  <c r="X7078"/>
  <c r="X7079"/>
  <c r="X7080"/>
  <c r="X7081"/>
  <c r="X7082"/>
  <c r="X7083"/>
  <c r="X7084"/>
  <c r="X7085"/>
  <c r="X7086"/>
  <c r="X7087"/>
  <c r="X7088"/>
  <c r="X7089"/>
  <c r="X7090"/>
  <c r="X7091"/>
  <c r="X7092"/>
  <c r="X7093"/>
  <c r="X7094"/>
  <c r="X7095"/>
  <c r="X7096"/>
  <c r="X7097"/>
  <c r="X7098"/>
  <c r="X7099"/>
  <c r="X7100"/>
  <c r="X7101"/>
  <c r="X7102"/>
  <c r="X7103"/>
  <c r="X7104"/>
  <c r="X7105"/>
  <c r="X7106"/>
  <c r="X7107"/>
  <c r="X7108"/>
  <c r="X7109"/>
  <c r="X7110"/>
  <c r="X7111"/>
  <c r="X7112"/>
  <c r="X7113"/>
  <c r="X7114"/>
  <c r="X7115"/>
  <c r="X7116"/>
  <c r="X7117"/>
  <c r="X7118"/>
  <c r="X7119"/>
  <c r="X7120"/>
  <c r="X7121"/>
  <c r="X7122"/>
  <c r="X7123"/>
  <c r="X7124"/>
  <c r="X7125"/>
  <c r="X7126"/>
  <c r="X7127"/>
  <c r="X7128"/>
  <c r="X7129"/>
  <c r="X7130"/>
  <c r="X7131"/>
  <c r="X7132"/>
  <c r="X7133"/>
  <c r="X7134"/>
  <c r="X7135"/>
  <c r="X7136"/>
  <c r="X7137"/>
  <c r="X7138"/>
  <c r="X7139"/>
  <c r="X7140"/>
  <c r="X7141"/>
  <c r="X7142"/>
  <c r="X7143"/>
  <c r="X7144"/>
  <c r="X7145"/>
  <c r="X7146"/>
  <c r="X7147"/>
  <c r="X7148"/>
  <c r="X7149"/>
  <c r="X7150"/>
  <c r="X7151"/>
  <c r="X7152"/>
  <c r="X7153"/>
  <c r="X7154"/>
  <c r="X7155"/>
  <c r="X7156"/>
  <c r="X7157"/>
  <c r="X7158"/>
  <c r="X7159"/>
  <c r="X7160"/>
  <c r="X7161"/>
  <c r="X7162"/>
  <c r="X7163"/>
  <c r="X7164"/>
  <c r="X7165"/>
  <c r="X7166"/>
  <c r="X7167"/>
  <c r="X7168"/>
  <c r="X7169"/>
  <c r="X7170"/>
  <c r="X7171"/>
  <c r="X7172"/>
  <c r="X7173"/>
  <c r="X7174"/>
  <c r="B107" i="63"/>
  <c r="D107"/>
  <c r="F107"/>
  <c r="I107"/>
  <c r="K107"/>
  <c r="B108"/>
  <c r="D108"/>
  <c r="F108"/>
  <c r="I108"/>
  <c r="K108"/>
  <c r="B109"/>
  <c r="D109"/>
  <c r="F109"/>
  <c r="I109"/>
  <c r="K109"/>
  <c r="B110"/>
  <c r="D110"/>
  <c r="F110"/>
  <c r="I110"/>
  <c r="K110"/>
  <c r="B111"/>
  <c r="D111"/>
  <c r="F111"/>
  <c r="I111"/>
  <c r="K111"/>
  <c r="B112"/>
  <c r="D112"/>
  <c r="F112"/>
  <c r="I112"/>
  <c r="K112"/>
  <c r="B113"/>
  <c r="D113"/>
  <c r="F113"/>
  <c r="I113"/>
  <c r="K113"/>
  <c r="B114"/>
  <c r="D114"/>
  <c r="F114"/>
  <c r="I114"/>
  <c r="K114"/>
  <c r="B115"/>
  <c r="D115"/>
  <c r="F115"/>
  <c r="I115"/>
  <c r="K115"/>
  <c r="B116"/>
  <c r="D116"/>
  <c r="F116"/>
  <c r="I116"/>
  <c r="K116"/>
  <c r="B117"/>
  <c r="D117"/>
  <c r="F117"/>
  <c r="I117"/>
  <c r="K117"/>
  <c r="B118"/>
  <c r="D118"/>
  <c r="F118"/>
  <c r="I118"/>
  <c r="K118"/>
  <c r="B119"/>
  <c r="D119"/>
  <c r="F119"/>
  <c r="I119"/>
  <c r="K119"/>
  <c r="B120"/>
  <c r="D120"/>
  <c r="F120"/>
  <c r="I120"/>
  <c r="K120"/>
  <c r="B121"/>
  <c r="D121"/>
  <c r="F121"/>
  <c r="I121"/>
  <c r="K121"/>
  <c r="B122"/>
  <c r="D122"/>
  <c r="F122"/>
  <c r="I122"/>
  <c r="K122"/>
  <c r="B123"/>
  <c r="D123"/>
  <c r="F123"/>
  <c r="I123"/>
  <c r="K123"/>
  <c r="B124"/>
  <c r="D124"/>
  <c r="F124"/>
  <c r="I124"/>
  <c r="K124"/>
  <c r="B125"/>
  <c r="D125"/>
  <c r="F125"/>
  <c r="I125"/>
  <c r="K125"/>
  <c r="B126"/>
  <c r="D126"/>
  <c r="F126"/>
  <c r="I126"/>
  <c r="K126"/>
  <c r="B127"/>
  <c r="D127"/>
  <c r="F127"/>
  <c r="I127"/>
  <c r="K127"/>
  <c r="B128"/>
  <c r="D128"/>
  <c r="F128"/>
  <c r="I128"/>
  <c r="K128"/>
  <c r="B129"/>
  <c r="D129"/>
  <c r="F129"/>
  <c r="I129"/>
  <c r="K129"/>
  <c r="B130"/>
  <c r="D130"/>
  <c r="F130"/>
  <c r="I130"/>
  <c r="K130"/>
  <c r="B131"/>
  <c r="D131"/>
  <c r="F131"/>
  <c r="I131"/>
  <c r="K131"/>
  <c r="B132"/>
  <c r="D132"/>
  <c r="F132"/>
  <c r="I132"/>
  <c r="K132"/>
  <c r="B133"/>
  <c r="D133"/>
  <c r="F133"/>
  <c r="I133"/>
  <c r="K133"/>
  <c r="B134"/>
  <c r="D134"/>
  <c r="F134"/>
  <c r="I134"/>
  <c r="K134"/>
  <c r="B135"/>
  <c r="D135"/>
  <c r="F135"/>
  <c r="I135"/>
  <c r="K135"/>
  <c r="B136"/>
  <c r="D136"/>
  <c r="F136"/>
  <c r="I136"/>
  <c r="K136"/>
  <c r="B137"/>
  <c r="D137"/>
  <c r="F137"/>
  <c r="I137"/>
  <c r="K137"/>
  <c r="B138"/>
  <c r="D138"/>
  <c r="F138"/>
  <c r="I138"/>
  <c r="K138"/>
  <c r="B139"/>
  <c r="D139"/>
  <c r="F139"/>
  <c r="I139"/>
  <c r="K139"/>
  <c r="B140"/>
  <c r="D140"/>
  <c r="F140"/>
  <c r="I140"/>
  <c r="K140"/>
  <c r="B141"/>
  <c r="C107"/>
  <c r="A107" s="1"/>
  <c r="E107"/>
  <c r="H107"/>
  <c r="J107"/>
  <c r="C108"/>
  <c r="A108" s="1"/>
  <c r="E108"/>
  <c r="H108"/>
  <c r="J108"/>
  <c r="C109"/>
  <c r="A109" s="1"/>
  <c r="E109"/>
  <c r="H109"/>
  <c r="J109"/>
  <c r="C110"/>
  <c r="A110" s="1"/>
  <c r="E110"/>
  <c r="H110"/>
  <c r="J110"/>
  <c r="C111"/>
  <c r="A111" s="1"/>
  <c r="E111"/>
  <c r="H111"/>
  <c r="J111"/>
  <c r="C112"/>
  <c r="A112" s="1"/>
  <c r="E112"/>
  <c r="H112"/>
  <c r="J112"/>
  <c r="C113"/>
  <c r="A113" s="1"/>
  <c r="E113"/>
  <c r="H113"/>
  <c r="J113"/>
  <c r="C114"/>
  <c r="A114" s="1"/>
  <c r="E114"/>
  <c r="H114"/>
  <c r="J114"/>
  <c r="C115"/>
  <c r="A115" s="1"/>
  <c r="E115"/>
  <c r="H115"/>
  <c r="J115"/>
  <c r="C116"/>
  <c r="A116" s="1"/>
  <c r="E116"/>
  <c r="H116"/>
  <c r="J116"/>
  <c r="C117"/>
  <c r="A117" s="1"/>
  <c r="E117"/>
  <c r="H117"/>
  <c r="J117"/>
  <c r="C118"/>
  <c r="A118" s="1"/>
  <c r="E118"/>
  <c r="H118"/>
  <c r="J118"/>
  <c r="C119"/>
  <c r="A119" s="1"/>
  <c r="E119"/>
  <c r="H119"/>
  <c r="J119"/>
  <c r="C120"/>
  <c r="A120" s="1"/>
  <c r="E120"/>
  <c r="H120"/>
  <c r="J120"/>
  <c r="C121"/>
  <c r="A121" s="1"/>
  <c r="E121"/>
  <c r="H121"/>
  <c r="J121"/>
  <c r="C122"/>
  <c r="A122" s="1"/>
  <c r="E122"/>
  <c r="H122"/>
  <c r="J122"/>
  <c r="C123"/>
  <c r="A123" s="1"/>
  <c r="E123"/>
  <c r="H123"/>
  <c r="J123"/>
  <c r="C124"/>
  <c r="A124" s="1"/>
  <c r="E124"/>
  <c r="H124"/>
  <c r="J124"/>
  <c r="C125"/>
  <c r="A125" s="1"/>
  <c r="E125"/>
  <c r="H125"/>
  <c r="J125"/>
  <c r="C126"/>
  <c r="A126" s="1"/>
  <c r="E126"/>
  <c r="H126"/>
  <c r="J126"/>
  <c r="C127"/>
  <c r="A127" s="1"/>
  <c r="E127"/>
  <c r="H127"/>
  <c r="J127"/>
  <c r="C128"/>
  <c r="A128" s="1"/>
  <c r="E128"/>
  <c r="H128"/>
  <c r="J128"/>
  <c r="C129"/>
  <c r="A129" s="1"/>
  <c r="E129"/>
  <c r="H129"/>
  <c r="J129"/>
  <c r="C130"/>
  <c r="A130" s="1"/>
  <c r="E130"/>
  <c r="H130"/>
  <c r="J130"/>
  <c r="C131"/>
  <c r="A131" s="1"/>
  <c r="E131"/>
  <c r="H131"/>
  <c r="J131"/>
  <c r="C132"/>
  <c r="A132" s="1"/>
  <c r="E132"/>
  <c r="H132"/>
  <c r="J132"/>
  <c r="C133"/>
  <c r="A133" s="1"/>
  <c r="E133"/>
  <c r="H133"/>
  <c r="J133"/>
  <c r="C134"/>
  <c r="A134" s="1"/>
  <c r="E134"/>
  <c r="H134"/>
  <c r="J134"/>
  <c r="C135"/>
  <c r="A135" s="1"/>
  <c r="E135"/>
  <c r="H135"/>
  <c r="J135"/>
  <c r="C136"/>
  <c r="A136" s="1"/>
  <c r="E136"/>
  <c r="H136"/>
  <c r="J136"/>
  <c r="C137"/>
  <c r="A137" s="1"/>
  <c r="E137"/>
  <c r="H137"/>
  <c r="J137"/>
  <c r="C138"/>
  <c r="A138" s="1"/>
  <c r="E138"/>
  <c r="H138"/>
  <c r="J138"/>
  <c r="C139"/>
  <c r="A139" s="1"/>
  <c r="E139"/>
  <c r="H139"/>
  <c r="J139"/>
  <c r="C140"/>
  <c r="A140" s="1"/>
  <c r="E140"/>
  <c r="H140"/>
  <c r="J140"/>
  <c r="C141"/>
  <c r="A141" s="1"/>
  <c r="E141"/>
  <c r="H141"/>
  <c r="J141"/>
  <c r="C142"/>
  <c r="A142" s="1"/>
  <c r="E142"/>
  <c r="H142"/>
  <c r="J142"/>
  <c r="C143"/>
  <c r="A143" s="1"/>
  <c r="E143"/>
  <c r="H143"/>
  <c r="F141"/>
  <c r="K141"/>
  <c r="D142"/>
  <c r="I142"/>
  <c r="B143"/>
  <c r="F143"/>
  <c r="J143"/>
  <c r="C144"/>
  <c r="A144" s="1"/>
  <c r="E144"/>
  <c r="H144"/>
  <c r="J144"/>
  <c r="C145"/>
  <c r="A145" s="1"/>
  <c r="E145"/>
  <c r="H145"/>
  <c r="J145"/>
  <c r="C146"/>
  <c r="A146" s="1"/>
  <c r="E146"/>
  <c r="H146"/>
  <c r="J146"/>
  <c r="C147"/>
  <c r="A147" s="1"/>
  <c r="E147"/>
  <c r="H147"/>
  <c r="J147"/>
  <c r="C148"/>
  <c r="A148" s="1"/>
  <c r="E148"/>
  <c r="H148"/>
  <c r="J148"/>
  <c r="C149"/>
  <c r="A149" s="1"/>
  <c r="E149"/>
  <c r="H149"/>
  <c r="J149"/>
  <c r="C150"/>
  <c r="A150" s="1"/>
  <c r="E150"/>
  <c r="H150"/>
  <c r="J150"/>
  <c r="C151"/>
  <c r="A151" s="1"/>
  <c r="E151"/>
  <c r="H151"/>
  <c r="J151"/>
  <c r="C152"/>
  <c r="A152" s="1"/>
  <c r="E152"/>
  <c r="H152"/>
  <c r="J152"/>
  <c r="C153"/>
  <c r="A153" s="1"/>
  <c r="E153"/>
  <c r="H153"/>
  <c r="J153"/>
  <c r="C154"/>
  <c r="A154" s="1"/>
  <c r="E154"/>
  <c r="H154"/>
  <c r="J154"/>
  <c r="C155"/>
  <c r="A155" s="1"/>
  <c r="E155"/>
  <c r="H155"/>
  <c r="J155"/>
  <c r="C156"/>
  <c r="A156" s="1"/>
  <c r="E156"/>
  <c r="H156"/>
  <c r="J156"/>
  <c r="C157"/>
  <c r="A157" s="1"/>
  <c r="E157"/>
  <c r="H157"/>
  <c r="J157"/>
  <c r="C158"/>
  <c r="A158" s="1"/>
  <c r="E158"/>
  <c r="H158"/>
  <c r="J158"/>
  <c r="C159"/>
  <c r="A159" s="1"/>
  <c r="E159"/>
  <c r="H159"/>
  <c r="J159"/>
  <c r="C160"/>
  <c r="A160" s="1"/>
  <c r="E160"/>
  <c r="H160"/>
  <c r="J160"/>
  <c r="C161"/>
  <c r="A161" s="1"/>
  <c r="E161"/>
  <c r="H161"/>
  <c r="J161"/>
  <c r="C162"/>
  <c r="A162" s="1"/>
  <c r="E162"/>
  <c r="H162"/>
  <c r="J162"/>
  <c r="C163"/>
  <c r="A163" s="1"/>
  <c r="E163"/>
  <c r="H163"/>
  <c r="J163"/>
  <c r="C164"/>
  <c r="A164" s="1"/>
  <c r="E164"/>
  <c r="H164"/>
  <c r="J164"/>
  <c r="C165"/>
  <c r="A165" s="1"/>
  <c r="E165"/>
  <c r="H165"/>
  <c r="J165"/>
  <c r="C166"/>
  <c r="A166" s="1"/>
  <c r="E166"/>
  <c r="H166"/>
  <c r="J166"/>
  <c r="C167"/>
  <c r="A167" s="1"/>
  <c r="E167"/>
  <c r="H167"/>
  <c r="J167"/>
  <c r="C168"/>
  <c r="A168" s="1"/>
  <c r="E168"/>
  <c r="H168"/>
  <c r="J168"/>
  <c r="C169"/>
  <c r="A169" s="1"/>
  <c r="E169"/>
  <c r="H169"/>
  <c r="J169"/>
  <c r="C170"/>
  <c r="A170" s="1"/>
  <c r="E170"/>
  <c r="H170"/>
  <c r="J170"/>
  <c r="C171"/>
  <c r="A171" s="1"/>
  <c r="E171"/>
  <c r="H171"/>
  <c r="J171"/>
  <c r="C172"/>
  <c r="A172" s="1"/>
  <c r="E172"/>
  <c r="H172"/>
  <c r="J172"/>
  <c r="C173"/>
  <c r="A173" s="1"/>
  <c r="E173"/>
  <c r="H173"/>
  <c r="J173"/>
  <c r="C174"/>
  <c r="A174" s="1"/>
  <c r="E174"/>
  <c r="H174"/>
  <c r="J174"/>
  <c r="C175"/>
  <c r="A175" s="1"/>
  <c r="E175"/>
  <c r="H175"/>
  <c r="J175"/>
  <c r="C176"/>
  <c r="A176" s="1"/>
  <c r="E176"/>
  <c r="H176"/>
  <c r="J176"/>
  <c r="C177"/>
  <c r="A177" s="1"/>
  <c r="E177"/>
  <c r="H177"/>
  <c r="J177"/>
  <c r="C178"/>
  <c r="A178" s="1"/>
  <c r="E178"/>
  <c r="H178"/>
  <c r="J178"/>
  <c r="D141"/>
  <c r="I141"/>
  <c r="B142"/>
  <c r="F142"/>
  <c r="K142"/>
  <c r="D143"/>
  <c r="I143"/>
  <c r="K143"/>
  <c r="B144"/>
  <c r="D144"/>
  <c r="F144"/>
  <c r="I144"/>
  <c r="K144"/>
  <c r="B145"/>
  <c r="D145"/>
  <c r="F145"/>
  <c r="I145"/>
  <c r="K145"/>
  <c r="B146"/>
  <c r="D146"/>
  <c r="F146"/>
  <c r="I146"/>
  <c r="K146"/>
  <c r="B147"/>
  <c r="D147"/>
  <c r="F147"/>
  <c r="I147"/>
  <c r="K147"/>
  <c r="B148"/>
  <c r="D148"/>
  <c r="F148"/>
  <c r="I148"/>
  <c r="K148"/>
  <c r="B149"/>
  <c r="D149"/>
  <c r="F149"/>
  <c r="I149"/>
  <c r="K149"/>
  <c r="B150"/>
  <c r="D150"/>
  <c r="F150"/>
  <c r="I150"/>
  <c r="K150"/>
  <c r="B151"/>
  <c r="D151"/>
  <c r="F151"/>
  <c r="I151"/>
  <c r="K151"/>
  <c r="B152"/>
  <c r="D152"/>
  <c r="F152"/>
  <c r="I152"/>
  <c r="K152"/>
  <c r="B153"/>
  <c r="D153"/>
  <c r="F153"/>
  <c r="I153"/>
  <c r="K153"/>
  <c r="B154"/>
  <c r="D154"/>
  <c r="F154"/>
  <c r="I154"/>
  <c r="K154"/>
  <c r="B155"/>
  <c r="D155"/>
  <c r="F155"/>
  <c r="I155"/>
  <c r="K155"/>
  <c r="B156"/>
  <c r="D156"/>
  <c r="F156"/>
  <c r="I156"/>
  <c r="K156"/>
  <c r="B157"/>
  <c r="D157"/>
  <c r="F157"/>
  <c r="I157"/>
  <c r="K157"/>
  <c r="B158"/>
  <c r="D158"/>
  <c r="F158"/>
  <c r="I158"/>
  <c r="K158"/>
  <c r="B159"/>
  <c r="D159"/>
  <c r="F159"/>
  <c r="I159"/>
  <c r="K159"/>
  <c r="B160"/>
  <c r="D160"/>
  <c r="F160"/>
  <c r="I160"/>
  <c r="K160"/>
  <c r="B161"/>
  <c r="D161"/>
  <c r="F161"/>
  <c r="I161"/>
  <c r="K161"/>
  <c r="B162"/>
  <c r="D162"/>
  <c r="F162"/>
  <c r="I162"/>
  <c r="K162"/>
  <c r="B163"/>
  <c r="D163"/>
  <c r="F163"/>
  <c r="I163"/>
  <c r="K163"/>
  <c r="B164"/>
  <c r="D164"/>
  <c r="F164"/>
  <c r="I164"/>
  <c r="K164"/>
  <c r="B165"/>
  <c r="D165"/>
  <c r="F165"/>
  <c r="I165"/>
  <c r="K165"/>
  <c r="B166"/>
  <c r="D166"/>
  <c r="F166"/>
  <c r="I166"/>
  <c r="K166"/>
  <c r="B167"/>
  <c r="D167"/>
  <c r="F167"/>
  <c r="I167"/>
  <c r="K167"/>
  <c r="B168"/>
  <c r="D168"/>
  <c r="F168"/>
  <c r="I168"/>
  <c r="K168"/>
  <c r="B169"/>
  <c r="D169"/>
  <c r="F169"/>
  <c r="I169"/>
  <c r="K169"/>
  <c r="B170"/>
  <c r="D170"/>
  <c r="F170"/>
  <c r="I170"/>
  <c r="K170"/>
  <c r="B171"/>
  <c r="D171"/>
  <c r="F171"/>
  <c r="I171"/>
  <c r="K171"/>
  <c r="B172"/>
  <c r="F172"/>
  <c r="K172"/>
  <c r="D173"/>
  <c r="I173"/>
  <c r="B174"/>
  <c r="F174"/>
  <c r="K174"/>
  <c r="D175"/>
  <c r="I175"/>
  <c r="B176"/>
  <c r="F176"/>
  <c r="K176"/>
  <c r="D177"/>
  <c r="I177"/>
  <c r="B178"/>
  <c r="F178"/>
  <c r="K178"/>
  <c r="B179"/>
  <c r="D179"/>
  <c r="F179"/>
  <c r="I179"/>
  <c r="K179"/>
  <c r="B180"/>
  <c r="D180"/>
  <c r="F180"/>
  <c r="I180"/>
  <c r="K180"/>
  <c r="B181"/>
  <c r="D181"/>
  <c r="F181"/>
  <c r="I181"/>
  <c r="K181"/>
  <c r="B182"/>
  <c r="D182"/>
  <c r="I182"/>
  <c r="D172"/>
  <c r="I172"/>
  <c r="B173"/>
  <c r="F173"/>
  <c r="K173"/>
  <c r="D174"/>
  <c r="I174"/>
  <c r="B175"/>
  <c r="F175"/>
  <c r="K175"/>
  <c r="D176"/>
  <c r="I176"/>
  <c r="B177"/>
  <c r="F177"/>
  <c r="K177"/>
  <c r="D178"/>
  <c r="I178"/>
  <c r="C179"/>
  <c r="A179" s="1"/>
  <c r="E179"/>
  <c r="H179"/>
  <c r="J179"/>
  <c r="C180"/>
  <c r="A180" s="1"/>
  <c r="E180"/>
  <c r="H180"/>
  <c r="J180"/>
  <c r="C181"/>
  <c r="A181" s="1"/>
  <c r="E181"/>
  <c r="H181"/>
  <c r="J181"/>
  <c r="C182"/>
  <c r="A182" s="1"/>
  <c r="E182"/>
  <c r="H182"/>
  <c r="J182"/>
  <c r="F182"/>
  <c r="K182"/>
  <c r="C93"/>
  <c r="A93" s="1"/>
  <c r="E93"/>
  <c r="H93"/>
  <c r="J93"/>
  <c r="B94"/>
  <c r="D94"/>
  <c r="F94"/>
  <c r="I94"/>
  <c r="K94"/>
  <c r="C95"/>
  <c r="A95" s="1"/>
  <c r="E95"/>
  <c r="H95"/>
  <c r="J95"/>
  <c r="B96"/>
  <c r="D96"/>
  <c r="F96"/>
  <c r="I96"/>
  <c r="K96"/>
  <c r="C97"/>
  <c r="A97" s="1"/>
  <c r="E97"/>
  <c r="H97"/>
  <c r="J97"/>
  <c r="B98"/>
  <c r="D98"/>
  <c r="F98"/>
  <c r="I98"/>
  <c r="K98"/>
  <c r="C99"/>
  <c r="A99" s="1"/>
  <c r="E99"/>
  <c r="H99"/>
  <c r="J99"/>
  <c r="B100"/>
  <c r="D100"/>
  <c r="F100"/>
  <c r="I100"/>
  <c r="K100"/>
  <c r="C101"/>
  <c r="A101" s="1"/>
  <c r="E101"/>
  <c r="H101"/>
  <c r="J101"/>
  <c r="B102"/>
  <c r="D102"/>
  <c r="F102"/>
  <c r="I102"/>
  <c r="K102"/>
  <c r="C103"/>
  <c r="A103" s="1"/>
  <c r="E103"/>
  <c r="H103"/>
  <c r="J103"/>
  <c r="B104"/>
  <c r="D104"/>
  <c r="F104"/>
  <c r="I104"/>
  <c r="K104"/>
  <c r="C105"/>
  <c r="A105" s="1"/>
  <c r="E105"/>
  <c r="H105"/>
  <c r="J105"/>
  <c r="B106"/>
  <c r="D106"/>
  <c r="F106"/>
  <c r="I106"/>
  <c r="K106"/>
  <c r="B93"/>
  <c r="D93"/>
  <c r="F93"/>
  <c r="I93"/>
  <c r="K93"/>
  <c r="C94"/>
  <c r="A94" s="1"/>
  <c r="E94"/>
  <c r="H94"/>
  <c r="J94"/>
  <c r="B95"/>
  <c r="D95"/>
  <c r="F95"/>
  <c r="I95"/>
  <c r="K95"/>
  <c r="C96"/>
  <c r="A96" s="1"/>
  <c r="E96"/>
  <c r="H96"/>
  <c r="J96"/>
  <c r="B97"/>
  <c r="D97"/>
  <c r="F97"/>
  <c r="I97"/>
  <c r="K97"/>
  <c r="C98"/>
  <c r="A98" s="1"/>
  <c r="E98"/>
  <c r="H98"/>
  <c r="J98"/>
  <c r="B99"/>
  <c r="D99"/>
  <c r="F99"/>
  <c r="I99"/>
  <c r="K99"/>
  <c r="C100"/>
  <c r="A100" s="1"/>
  <c r="E100"/>
  <c r="H100"/>
  <c r="J100"/>
  <c r="B101"/>
  <c r="D101"/>
  <c r="F101"/>
  <c r="I101"/>
  <c r="K101"/>
  <c r="C102"/>
  <c r="A102" s="1"/>
  <c r="E102"/>
  <c r="H102"/>
  <c r="J102"/>
  <c r="B103"/>
  <c r="D103"/>
  <c r="F103"/>
  <c r="I103"/>
  <c r="K103"/>
  <c r="C104"/>
  <c r="A104" s="1"/>
  <c r="E104"/>
  <c r="H104"/>
  <c r="J104"/>
  <c r="B105"/>
  <c r="D105"/>
  <c r="F105"/>
  <c r="I105"/>
  <c r="K105"/>
  <c r="C106"/>
  <c r="A106" s="1"/>
  <c r="E106"/>
  <c r="H106"/>
  <c r="J106"/>
  <c r="B54"/>
  <c r="D54"/>
  <c r="F54"/>
  <c r="I54"/>
  <c r="K54"/>
  <c r="B55"/>
  <c r="D55"/>
  <c r="F55"/>
  <c r="I55"/>
  <c r="K55"/>
  <c r="B56"/>
  <c r="D56"/>
  <c r="F56"/>
  <c r="I56"/>
  <c r="K56"/>
  <c r="B57"/>
  <c r="D57"/>
  <c r="F57"/>
  <c r="I57"/>
  <c r="K57"/>
  <c r="B58"/>
  <c r="D58"/>
  <c r="F58"/>
  <c r="I58"/>
  <c r="K58"/>
  <c r="B59"/>
  <c r="D59"/>
  <c r="F59"/>
  <c r="I59"/>
  <c r="K59"/>
  <c r="B60"/>
  <c r="D60"/>
  <c r="F60"/>
  <c r="I60"/>
  <c r="K60"/>
  <c r="B61"/>
  <c r="D61"/>
  <c r="F61"/>
  <c r="I61"/>
  <c r="K61"/>
  <c r="B62"/>
  <c r="D62"/>
  <c r="F62"/>
  <c r="I62"/>
  <c r="K62"/>
  <c r="B63"/>
  <c r="D63"/>
  <c r="F63"/>
  <c r="I63"/>
  <c r="K63"/>
  <c r="B64"/>
  <c r="D64"/>
  <c r="F64"/>
  <c r="I64"/>
  <c r="K64"/>
  <c r="B65"/>
  <c r="D65"/>
  <c r="F65"/>
  <c r="I65"/>
  <c r="K65"/>
  <c r="B66"/>
  <c r="D66"/>
  <c r="F66"/>
  <c r="I66"/>
  <c r="K66"/>
  <c r="B67"/>
  <c r="D67"/>
  <c r="F67"/>
  <c r="I67"/>
  <c r="K67"/>
  <c r="B68"/>
  <c r="D68"/>
  <c r="F68"/>
  <c r="I68"/>
  <c r="K68"/>
  <c r="B69"/>
  <c r="D69"/>
  <c r="F69"/>
  <c r="I69"/>
  <c r="K69"/>
  <c r="B70"/>
  <c r="D70"/>
  <c r="F70"/>
  <c r="I70"/>
  <c r="K70"/>
  <c r="B71"/>
  <c r="D71"/>
  <c r="F71"/>
  <c r="I71"/>
  <c r="K71"/>
  <c r="B72"/>
  <c r="D72"/>
  <c r="F72"/>
  <c r="I72"/>
  <c r="K72"/>
  <c r="B73"/>
  <c r="D73"/>
  <c r="F73"/>
  <c r="I73"/>
  <c r="K73"/>
  <c r="B74"/>
  <c r="D74"/>
  <c r="F74"/>
  <c r="I74"/>
  <c r="K74"/>
  <c r="B75"/>
  <c r="D75"/>
  <c r="F75"/>
  <c r="I75"/>
  <c r="K75"/>
  <c r="B76"/>
  <c r="D76"/>
  <c r="F76"/>
  <c r="I76"/>
  <c r="K76"/>
  <c r="B77"/>
  <c r="D77"/>
  <c r="F77"/>
  <c r="I77"/>
  <c r="K77"/>
  <c r="B78"/>
  <c r="D78"/>
  <c r="F78"/>
  <c r="I78"/>
  <c r="K78"/>
  <c r="B79"/>
  <c r="D79"/>
  <c r="F79"/>
  <c r="I79"/>
  <c r="K79"/>
  <c r="B80"/>
  <c r="D80"/>
  <c r="F80"/>
  <c r="I80"/>
  <c r="K80"/>
  <c r="B81"/>
  <c r="D81"/>
  <c r="F81"/>
  <c r="I81"/>
  <c r="K81"/>
  <c r="B82"/>
  <c r="D82"/>
  <c r="F82"/>
  <c r="I82"/>
  <c r="K82"/>
  <c r="B83"/>
  <c r="D83"/>
  <c r="F83"/>
  <c r="I83"/>
  <c r="K83"/>
  <c r="B84"/>
  <c r="D84"/>
  <c r="F84"/>
  <c r="C54"/>
  <c r="A54" s="1"/>
  <c r="E54"/>
  <c r="H54"/>
  <c r="J54"/>
  <c r="C55"/>
  <c r="A55" s="1"/>
  <c r="E55"/>
  <c r="H55"/>
  <c r="J55"/>
  <c r="C56"/>
  <c r="A56" s="1"/>
  <c r="E56"/>
  <c r="H56"/>
  <c r="J56"/>
  <c r="C57"/>
  <c r="A57" s="1"/>
  <c r="E57"/>
  <c r="H57"/>
  <c r="J57"/>
  <c r="C58"/>
  <c r="A58" s="1"/>
  <c r="E58"/>
  <c r="H58"/>
  <c r="J58"/>
  <c r="C59"/>
  <c r="A59" s="1"/>
  <c r="E59"/>
  <c r="H59"/>
  <c r="J59"/>
  <c r="C60"/>
  <c r="A60" s="1"/>
  <c r="E60"/>
  <c r="H60"/>
  <c r="J60"/>
  <c r="C61"/>
  <c r="A61" s="1"/>
  <c r="E61"/>
  <c r="H61"/>
  <c r="J61"/>
  <c r="C62"/>
  <c r="A62" s="1"/>
  <c r="E62"/>
  <c r="H62"/>
  <c r="J62"/>
  <c r="C63"/>
  <c r="A63" s="1"/>
  <c r="E63"/>
  <c r="H63"/>
  <c r="J63"/>
  <c r="C64"/>
  <c r="A64" s="1"/>
  <c r="E64"/>
  <c r="H64"/>
  <c r="J64"/>
  <c r="C65"/>
  <c r="A65" s="1"/>
  <c r="E65"/>
  <c r="H65"/>
  <c r="J65"/>
  <c r="C66"/>
  <c r="A66" s="1"/>
  <c r="E66"/>
  <c r="H66"/>
  <c r="J66"/>
  <c r="C67"/>
  <c r="A67" s="1"/>
  <c r="E67"/>
  <c r="H67"/>
  <c r="J67"/>
  <c r="C68"/>
  <c r="A68" s="1"/>
  <c r="E68"/>
  <c r="H68"/>
  <c r="J68"/>
  <c r="C69"/>
  <c r="A69" s="1"/>
  <c r="E69"/>
  <c r="H69"/>
  <c r="J69"/>
  <c r="C70"/>
  <c r="A70" s="1"/>
  <c r="E70"/>
  <c r="H70"/>
  <c r="J70"/>
  <c r="C71"/>
  <c r="A71" s="1"/>
  <c r="E71"/>
  <c r="H71"/>
  <c r="J71"/>
  <c r="C72"/>
  <c r="A72" s="1"/>
  <c r="E72"/>
  <c r="H72"/>
  <c r="J72"/>
  <c r="C73"/>
  <c r="A73" s="1"/>
  <c r="E73"/>
  <c r="H73"/>
  <c r="J73"/>
  <c r="C74"/>
  <c r="A74" s="1"/>
  <c r="E74"/>
  <c r="H74"/>
  <c r="J74"/>
  <c r="C75"/>
  <c r="A75" s="1"/>
  <c r="E75"/>
  <c r="H75"/>
  <c r="J75"/>
  <c r="C76"/>
  <c r="A76" s="1"/>
  <c r="E76"/>
  <c r="H76"/>
  <c r="J76"/>
  <c r="C77"/>
  <c r="A77" s="1"/>
  <c r="E77"/>
  <c r="H77"/>
  <c r="J77"/>
  <c r="C78"/>
  <c r="A78" s="1"/>
  <c r="E78"/>
  <c r="H78"/>
  <c r="J78"/>
  <c r="C79"/>
  <c r="A79" s="1"/>
  <c r="E79"/>
  <c r="H79"/>
  <c r="J79"/>
  <c r="C80"/>
  <c r="A80" s="1"/>
  <c r="E80"/>
  <c r="H80"/>
  <c r="J80"/>
  <c r="C81"/>
  <c r="A81" s="1"/>
  <c r="E81"/>
  <c r="H81"/>
  <c r="J81"/>
  <c r="C82"/>
  <c r="A82" s="1"/>
  <c r="E82"/>
  <c r="H82"/>
  <c r="J82"/>
  <c r="C83"/>
  <c r="A83" s="1"/>
  <c r="E83"/>
  <c r="H83"/>
  <c r="J83"/>
  <c r="C84"/>
  <c r="A84" s="1"/>
  <c r="E84"/>
  <c r="H84"/>
  <c r="J84"/>
  <c r="C85"/>
  <c r="A85" s="1"/>
  <c r="E85"/>
  <c r="H85"/>
  <c r="J85"/>
  <c r="C86"/>
  <c r="A86" s="1"/>
  <c r="E86"/>
  <c r="H86"/>
  <c r="J86"/>
  <c r="C87"/>
  <c r="A87" s="1"/>
  <c r="E87"/>
  <c r="H87"/>
  <c r="J87"/>
  <c r="C88"/>
  <c r="A88" s="1"/>
  <c r="E88"/>
  <c r="H88"/>
  <c r="J88"/>
  <c r="C89"/>
  <c r="A89" s="1"/>
  <c r="E89"/>
  <c r="H89"/>
  <c r="J89"/>
  <c r="C90"/>
  <c r="A90" s="1"/>
  <c r="E90"/>
  <c r="H90"/>
  <c r="K84"/>
  <c r="D85"/>
  <c r="I85"/>
  <c r="B86"/>
  <c r="F86"/>
  <c r="K86"/>
  <c r="D87"/>
  <c r="I87"/>
  <c r="B88"/>
  <c r="F88"/>
  <c r="K88"/>
  <c r="D89"/>
  <c r="I89"/>
  <c r="B90"/>
  <c r="F90"/>
  <c r="J90"/>
  <c r="C91"/>
  <c r="A91" s="1"/>
  <c r="E91"/>
  <c r="H91"/>
  <c r="J91"/>
  <c r="C92"/>
  <c r="A92" s="1"/>
  <c r="E92"/>
  <c r="H92"/>
  <c r="J92"/>
  <c r="I90"/>
  <c r="B91"/>
  <c r="F91"/>
  <c r="K91"/>
  <c r="D92"/>
  <c r="F92"/>
  <c r="K92"/>
  <c r="I84"/>
  <c r="B85"/>
  <c r="F85"/>
  <c r="K85"/>
  <c r="D86"/>
  <c r="I86"/>
  <c r="B87"/>
  <c r="F87"/>
  <c r="K87"/>
  <c r="D88"/>
  <c r="I88"/>
  <c r="B89"/>
  <c r="F89"/>
  <c r="K89"/>
  <c r="D90"/>
  <c r="K90"/>
  <c r="D91"/>
  <c r="I91"/>
  <c r="B92"/>
  <c r="I92"/>
  <c r="B72" i="14"/>
  <c r="D72"/>
  <c r="G72"/>
  <c r="A73"/>
  <c r="C73"/>
  <c r="E73"/>
  <c r="H73"/>
  <c r="B74"/>
  <c r="D74"/>
  <c r="G74"/>
  <c r="A75"/>
  <c r="C75"/>
  <c r="E75"/>
  <c r="H75"/>
  <c r="B76"/>
  <c r="D76"/>
  <c r="G76"/>
  <c r="A77"/>
  <c r="C77"/>
  <c r="E77"/>
  <c r="H77"/>
  <c r="B78"/>
  <c r="D78"/>
  <c r="G78"/>
  <c r="A79"/>
  <c r="C79"/>
  <c r="E79"/>
  <c r="H79"/>
  <c r="B80"/>
  <c r="D80"/>
  <c r="G80"/>
  <c r="A81"/>
  <c r="C81"/>
  <c r="E81"/>
  <c r="H81"/>
  <c r="B82"/>
  <c r="D82"/>
  <c r="G82"/>
  <c r="A83"/>
  <c r="C83"/>
  <c r="E83"/>
  <c r="H83"/>
  <c r="B84"/>
  <c r="D84"/>
  <c r="G84"/>
  <c r="A85"/>
  <c r="C85"/>
  <c r="E85"/>
  <c r="H85"/>
  <c r="B86"/>
  <c r="D86"/>
  <c r="G86"/>
  <c r="A87"/>
  <c r="C87"/>
  <c r="E87"/>
  <c r="H87"/>
  <c r="B88"/>
  <c r="D88"/>
  <c r="G88"/>
  <c r="A89"/>
  <c r="C89"/>
  <c r="E89"/>
  <c r="H89"/>
  <c r="B90"/>
  <c r="D90"/>
  <c r="G90"/>
  <c r="A91"/>
  <c r="C91"/>
  <c r="E91"/>
  <c r="H91"/>
  <c r="B92"/>
  <c r="D92"/>
  <c r="G92"/>
  <c r="A93"/>
  <c r="C93"/>
  <c r="E93"/>
  <c r="H93"/>
  <c r="B94"/>
  <c r="D94"/>
  <c r="G94"/>
  <c r="A95"/>
  <c r="C95"/>
  <c r="E95"/>
  <c r="H95"/>
  <c r="B96"/>
  <c r="D96"/>
  <c r="G96"/>
  <c r="A97"/>
  <c r="C97"/>
  <c r="E97"/>
  <c r="H97"/>
  <c r="B98"/>
  <c r="D98"/>
  <c r="G98"/>
  <c r="A99"/>
  <c r="C99"/>
  <c r="E99"/>
  <c r="H99"/>
  <c r="B100"/>
  <c r="D100"/>
  <c r="G100"/>
  <c r="A101"/>
  <c r="C101"/>
  <c r="E101"/>
  <c r="H101"/>
  <c r="B102"/>
  <c r="D102"/>
  <c r="G102"/>
  <c r="A103"/>
  <c r="C103"/>
  <c r="E103"/>
  <c r="H103"/>
  <c r="B104"/>
  <c r="D104"/>
  <c r="G104"/>
  <c r="A105"/>
  <c r="C105"/>
  <c r="E105"/>
  <c r="H105"/>
  <c r="B106"/>
  <c r="D106"/>
  <c r="G106"/>
  <c r="A107"/>
  <c r="C107"/>
  <c r="E107"/>
  <c r="H107"/>
  <c r="B108"/>
  <c r="D108"/>
  <c r="G108"/>
  <c r="A109"/>
  <c r="C109"/>
  <c r="E109"/>
  <c r="H109"/>
  <c r="A72"/>
  <c r="C72"/>
  <c r="E72"/>
  <c r="H72"/>
  <c r="B73"/>
  <c r="D73"/>
  <c r="G73"/>
  <c r="A74"/>
  <c r="C74"/>
  <c r="E74"/>
  <c r="H74"/>
  <c r="B75"/>
  <c r="D75"/>
  <c r="G75"/>
  <c r="A76"/>
  <c r="C76"/>
  <c r="E76"/>
  <c r="H76"/>
  <c r="B77"/>
  <c r="D77"/>
  <c r="G77"/>
  <c r="A78"/>
  <c r="C78"/>
  <c r="E78"/>
  <c r="H78"/>
  <c r="B79"/>
  <c r="D79"/>
  <c r="G79"/>
  <c r="A80"/>
  <c r="C80"/>
  <c r="E80"/>
  <c r="H80"/>
  <c r="B81"/>
  <c r="D81"/>
  <c r="G81"/>
  <c r="A82"/>
  <c r="C82"/>
  <c r="E82"/>
  <c r="H82"/>
  <c r="B83"/>
  <c r="D83"/>
  <c r="G83"/>
  <c r="A84"/>
  <c r="C84"/>
  <c r="E84"/>
  <c r="H84"/>
  <c r="B85"/>
  <c r="D85"/>
  <c r="G85"/>
  <c r="A86"/>
  <c r="C86"/>
  <c r="E86"/>
  <c r="H86"/>
  <c r="B87"/>
  <c r="D87"/>
  <c r="G87"/>
  <c r="A88"/>
  <c r="C88"/>
  <c r="E88"/>
  <c r="H88"/>
  <c r="B89"/>
  <c r="D89"/>
  <c r="G89"/>
  <c r="A90"/>
  <c r="C90"/>
  <c r="E90"/>
  <c r="H90"/>
  <c r="B91"/>
  <c r="D91"/>
  <c r="G91"/>
  <c r="A92"/>
  <c r="C92"/>
  <c r="E92"/>
  <c r="H92"/>
  <c r="B93"/>
  <c r="D93"/>
  <c r="G93"/>
  <c r="A94"/>
  <c r="C94"/>
  <c r="E94"/>
  <c r="H94"/>
  <c r="B95"/>
  <c r="D95"/>
  <c r="G95"/>
  <c r="A96"/>
  <c r="C96"/>
  <c r="E96"/>
  <c r="H96"/>
  <c r="B97"/>
  <c r="D97"/>
  <c r="G97"/>
  <c r="A98"/>
  <c r="C98"/>
  <c r="E98"/>
  <c r="H98"/>
  <c r="B99"/>
  <c r="D99"/>
  <c r="G99"/>
  <c r="A100"/>
  <c r="C100"/>
  <c r="E100"/>
  <c r="H100"/>
  <c r="B101"/>
  <c r="D101"/>
  <c r="G101"/>
  <c r="A102"/>
  <c r="C102"/>
  <c r="E102"/>
  <c r="H102"/>
  <c r="B103"/>
  <c r="D103"/>
  <c r="G103"/>
  <c r="A104"/>
  <c r="C104"/>
  <c r="E104"/>
  <c r="H104"/>
  <c r="B105"/>
  <c r="D105"/>
  <c r="G105"/>
  <c r="A106"/>
  <c r="C106"/>
  <c r="E106"/>
  <c r="H106"/>
  <c r="B107"/>
  <c r="D107"/>
  <c r="G107"/>
  <c r="A108"/>
  <c r="C108"/>
  <c r="E108"/>
  <c r="H108"/>
  <c r="B109"/>
  <c r="D109"/>
  <c r="G109"/>
  <c r="B65"/>
  <c r="D65"/>
  <c r="G65"/>
  <c r="A66"/>
  <c r="C66"/>
  <c r="E66"/>
  <c r="H66"/>
  <c r="B67"/>
  <c r="D67"/>
  <c r="G67"/>
  <c r="A68"/>
  <c r="C68"/>
  <c r="E68"/>
  <c r="H68"/>
  <c r="B69"/>
  <c r="D69"/>
  <c r="G69"/>
  <c r="A70"/>
  <c r="C70"/>
  <c r="E70"/>
  <c r="H70"/>
  <c r="B71"/>
  <c r="D71"/>
  <c r="G71"/>
  <c r="A65"/>
  <c r="C65"/>
  <c r="E65"/>
  <c r="H65"/>
  <c r="B66"/>
  <c r="D66"/>
  <c r="G66"/>
  <c r="A67"/>
  <c r="C67"/>
  <c r="E67"/>
  <c r="H67"/>
  <c r="B68"/>
  <c r="D68"/>
  <c r="G68"/>
  <c r="A69"/>
  <c r="C69"/>
  <c r="E69"/>
  <c r="H69"/>
  <c r="B70"/>
  <c r="D70"/>
  <c r="G70"/>
  <c r="A71"/>
  <c r="C71"/>
  <c r="E71"/>
  <c r="H71"/>
  <c r="B60"/>
  <c r="D60"/>
  <c r="G60"/>
  <c r="A61"/>
  <c r="C61"/>
  <c r="E61"/>
  <c r="H61"/>
  <c r="B62"/>
  <c r="D62"/>
  <c r="G62"/>
  <c r="A63"/>
  <c r="C63"/>
  <c r="E63"/>
  <c r="H63"/>
  <c r="B64"/>
  <c r="D64"/>
  <c r="G64"/>
  <c r="A54"/>
  <c r="C54"/>
  <c r="E54"/>
  <c r="H54"/>
  <c r="B55"/>
  <c r="D55"/>
  <c r="G55"/>
  <c r="A56"/>
  <c r="C56"/>
  <c r="E56"/>
  <c r="H56"/>
  <c r="B57"/>
  <c r="D57"/>
  <c r="G57"/>
  <c r="A58"/>
  <c r="C58"/>
  <c r="E58"/>
  <c r="H58"/>
  <c r="B59"/>
  <c r="D59"/>
  <c r="G59"/>
  <c r="G51"/>
  <c r="G52"/>
  <c r="G53"/>
  <c r="A60"/>
  <c r="C60"/>
  <c r="E60"/>
  <c r="H60"/>
  <c r="B61"/>
  <c r="D61"/>
  <c r="G61"/>
  <c r="A62"/>
  <c r="C62"/>
  <c r="E62"/>
  <c r="H62"/>
  <c r="B63"/>
  <c r="D63"/>
  <c r="G63"/>
  <c r="A64"/>
  <c r="C64"/>
  <c r="E64"/>
  <c r="H64"/>
  <c r="B54"/>
  <c r="D54"/>
  <c r="G54"/>
  <c r="A55"/>
  <c r="C55"/>
  <c r="E55"/>
  <c r="H55"/>
  <c r="B56"/>
  <c r="D56"/>
  <c r="G56"/>
  <c r="A57"/>
  <c r="C57"/>
  <c r="E57"/>
  <c r="H57"/>
  <c r="B58"/>
  <c r="D58"/>
  <c r="G58"/>
  <c r="A59"/>
  <c r="C59"/>
  <c r="E59"/>
  <c r="H59"/>
  <c r="H51"/>
  <c r="H52"/>
  <c r="H53"/>
  <c r="B39"/>
  <c r="D39"/>
  <c r="G39"/>
  <c r="A40"/>
  <c r="C40"/>
  <c r="E40"/>
  <c r="H40"/>
  <c r="B41"/>
  <c r="D41"/>
  <c r="G41"/>
  <c r="A42"/>
  <c r="C42"/>
  <c r="E42"/>
  <c r="H42"/>
  <c r="B43"/>
  <c r="D43"/>
  <c r="G43"/>
  <c r="A44"/>
  <c r="C44"/>
  <c r="E44"/>
  <c r="H44"/>
  <c r="B45"/>
  <c r="D45"/>
  <c r="G45"/>
  <c r="A46"/>
  <c r="C46"/>
  <c r="E46"/>
  <c r="H46"/>
  <c r="B47"/>
  <c r="D47"/>
  <c r="G47"/>
  <c r="A48"/>
  <c r="C48"/>
  <c r="E48"/>
  <c r="H48"/>
  <c r="B49"/>
  <c r="D49"/>
  <c r="G49"/>
  <c r="A50"/>
  <c r="C50"/>
  <c r="E50"/>
  <c r="H50"/>
  <c r="B51"/>
  <c r="D51"/>
  <c r="A52"/>
  <c r="C52"/>
  <c r="E52"/>
  <c r="B53"/>
  <c r="D53"/>
  <c r="A39"/>
  <c r="C39"/>
  <c r="E39"/>
  <c r="H39"/>
  <c r="B40"/>
  <c r="D40"/>
  <c r="G40"/>
  <c r="A41"/>
  <c r="C41"/>
  <c r="E41"/>
  <c r="H41"/>
  <c r="B42"/>
  <c r="D42"/>
  <c r="G42"/>
  <c r="A43"/>
  <c r="C43"/>
  <c r="E43"/>
  <c r="H43"/>
  <c r="B44"/>
  <c r="D44"/>
  <c r="G44"/>
  <c r="A45"/>
  <c r="C45"/>
  <c r="E45"/>
  <c r="H45"/>
  <c r="B46"/>
  <c r="D46"/>
  <c r="G46"/>
  <c r="A47"/>
  <c r="C47"/>
  <c r="E47"/>
  <c r="H47"/>
  <c r="B48"/>
  <c r="D48"/>
  <c r="G48"/>
  <c r="A49"/>
  <c r="C49"/>
  <c r="E49"/>
  <c r="H49"/>
  <c r="B50"/>
  <c r="D50"/>
  <c r="G50"/>
  <c r="A51"/>
  <c r="C51"/>
  <c r="E51"/>
  <c r="B52"/>
  <c r="D52"/>
  <c r="A53"/>
  <c r="C53"/>
  <c r="E53"/>
  <c r="B46" i="63"/>
  <c r="F46"/>
  <c r="K46"/>
  <c r="E47"/>
  <c r="J47"/>
  <c r="D48"/>
  <c r="I48"/>
  <c r="C49"/>
  <c r="A49" s="1"/>
  <c r="H49"/>
  <c r="B50"/>
  <c r="F50"/>
  <c r="K50"/>
  <c r="C51"/>
  <c r="A51" s="1"/>
  <c r="H51"/>
  <c r="B52"/>
  <c r="F52"/>
  <c r="K52"/>
  <c r="C53"/>
  <c r="A53" s="1"/>
  <c r="H53"/>
  <c r="C46"/>
  <c r="A46" s="1"/>
  <c r="H46"/>
  <c r="B47"/>
  <c r="F47"/>
  <c r="K47"/>
  <c r="E48"/>
  <c r="J48"/>
  <c r="D49"/>
  <c r="I49"/>
  <c r="C50"/>
  <c r="A50" s="1"/>
  <c r="H50"/>
  <c r="D51"/>
  <c r="I51"/>
  <c r="C52"/>
  <c r="A52" s="1"/>
  <c r="H52"/>
  <c r="D53"/>
  <c r="I53"/>
  <c r="D46"/>
  <c r="I46"/>
  <c r="C47"/>
  <c r="A47" s="1"/>
  <c r="H47"/>
  <c r="B48"/>
  <c r="F48"/>
  <c r="K48"/>
  <c r="E49"/>
  <c r="J49"/>
  <c r="D50"/>
  <c r="I50"/>
  <c r="E51"/>
  <c r="J51"/>
  <c r="D52"/>
  <c r="I52"/>
  <c r="E53"/>
  <c r="J53"/>
  <c r="E46"/>
  <c r="J46"/>
  <c r="D47"/>
  <c r="I47"/>
  <c r="C48"/>
  <c r="A48" s="1"/>
  <c r="H48"/>
  <c r="B49"/>
  <c r="F49"/>
  <c r="K49"/>
  <c r="E50"/>
  <c r="J50"/>
  <c r="B51"/>
  <c r="F51"/>
  <c r="K51"/>
  <c r="E52"/>
  <c r="J52"/>
  <c r="B53"/>
  <c r="F53"/>
  <c r="K53"/>
  <c r="D40"/>
  <c r="I40"/>
  <c r="C41"/>
  <c r="A41" s="1"/>
  <c r="H41"/>
  <c r="B42"/>
  <c r="F42"/>
  <c r="K42"/>
  <c r="E43"/>
  <c r="J43"/>
  <c r="D44"/>
  <c r="I44"/>
  <c r="C45"/>
  <c r="A45" s="1"/>
  <c r="H45"/>
  <c r="E40"/>
  <c r="J40"/>
  <c r="D41"/>
  <c r="I41"/>
  <c r="C42"/>
  <c r="A42" s="1"/>
  <c r="H42"/>
  <c r="B43"/>
  <c r="F43"/>
  <c r="K43"/>
  <c r="E44"/>
  <c r="J44"/>
  <c r="D45"/>
  <c r="I45"/>
  <c r="B40"/>
  <c r="F40"/>
  <c r="K40"/>
  <c r="E41"/>
  <c r="J41"/>
  <c r="D42"/>
  <c r="I42"/>
  <c r="C43"/>
  <c r="A43" s="1"/>
  <c r="H43"/>
  <c r="B44"/>
  <c r="F44"/>
  <c r="K44"/>
  <c r="E45"/>
  <c r="J45"/>
  <c r="C40"/>
  <c r="A40" s="1"/>
  <c r="H40"/>
  <c r="B41"/>
  <c r="F41"/>
  <c r="K41"/>
  <c r="E42"/>
  <c r="J42"/>
  <c r="D43"/>
  <c r="I43"/>
  <c r="C44"/>
  <c r="A44" s="1"/>
  <c r="H44"/>
  <c r="B45"/>
  <c r="F45"/>
  <c r="K45"/>
  <c r="Y190" i="60"/>
  <c r="I192" s="1"/>
  <c r="I183" s="1"/>
  <c r="D210"/>
  <c r="I207" s="1"/>
  <c r="Y200"/>
  <c r="Y177"/>
  <c r="L161"/>
  <c r="I73" i="55"/>
  <c r="G51"/>
  <c r="I51"/>
  <c r="I33" i="62"/>
  <c r="G33"/>
  <c r="D31" i="63"/>
  <c r="D33"/>
  <c r="D30"/>
  <c r="D32"/>
  <c r="D34"/>
  <c r="D25"/>
  <c r="B27"/>
  <c r="D27"/>
  <c r="F27"/>
  <c r="I27"/>
  <c r="K27"/>
  <c r="B28"/>
  <c r="D28"/>
  <c r="F28"/>
  <c r="I28"/>
  <c r="K28"/>
  <c r="B30"/>
  <c r="F30"/>
  <c r="I30"/>
  <c r="K30"/>
  <c r="B31"/>
  <c r="F31"/>
  <c r="I31"/>
  <c r="K31"/>
  <c r="B32"/>
  <c r="F32"/>
  <c r="I32"/>
  <c r="K32"/>
  <c r="B33"/>
  <c r="F33"/>
  <c r="I33"/>
  <c r="K33"/>
  <c r="B34"/>
  <c r="F34"/>
  <c r="I34"/>
  <c r="K34"/>
  <c r="B36"/>
  <c r="D36"/>
  <c r="F36"/>
  <c r="I36"/>
  <c r="K36"/>
  <c r="C27"/>
  <c r="A27" s="1"/>
  <c r="E27"/>
  <c r="H27"/>
  <c r="J27"/>
  <c r="C28"/>
  <c r="A28" s="1"/>
  <c r="E28"/>
  <c r="H28"/>
  <c r="J28"/>
  <c r="C30"/>
  <c r="A30" s="1"/>
  <c r="E30"/>
  <c r="H30"/>
  <c r="J30"/>
  <c r="C31"/>
  <c r="A31" s="1"/>
  <c r="E31"/>
  <c r="H31"/>
  <c r="J31"/>
  <c r="C32"/>
  <c r="A32" s="1"/>
  <c r="E32"/>
  <c r="H32"/>
  <c r="J32"/>
  <c r="C33"/>
  <c r="A33" s="1"/>
  <c r="E33"/>
  <c r="H33"/>
  <c r="J33"/>
  <c r="C34"/>
  <c r="A34" s="1"/>
  <c r="E34"/>
  <c r="H34"/>
  <c r="J34"/>
  <c r="C36"/>
  <c r="A36" s="1"/>
  <c r="E36"/>
  <c r="H36"/>
  <c r="J36"/>
  <c r="A16" i="14"/>
  <c r="E16"/>
  <c r="B17"/>
  <c r="G17"/>
  <c r="C18"/>
  <c r="H18"/>
  <c r="D19"/>
  <c r="A20"/>
  <c r="E20"/>
  <c r="B21"/>
  <c r="G21"/>
  <c r="C22"/>
  <c r="H22"/>
  <c r="D23"/>
  <c r="A24"/>
  <c r="E24"/>
  <c r="B25"/>
  <c r="G25"/>
  <c r="C26"/>
  <c r="H26"/>
  <c r="D27"/>
  <c r="A28"/>
  <c r="E28"/>
  <c r="B29"/>
  <c r="G29"/>
  <c r="C30"/>
  <c r="H30"/>
  <c r="D31"/>
  <c r="A32"/>
  <c r="E32"/>
  <c r="B33"/>
  <c r="G33"/>
  <c r="C34"/>
  <c r="H34"/>
  <c r="D35"/>
  <c r="A36"/>
  <c r="E36"/>
  <c r="B37"/>
  <c r="G37"/>
  <c r="C38"/>
  <c r="H38"/>
  <c r="B16"/>
  <c r="G16"/>
  <c r="C17"/>
  <c r="H17"/>
  <c r="D18"/>
  <c r="A19"/>
  <c r="E19"/>
  <c r="B20"/>
  <c r="G20"/>
  <c r="C21"/>
  <c r="H21"/>
  <c r="D22"/>
  <c r="A23"/>
  <c r="E23"/>
  <c r="B24"/>
  <c r="G24"/>
  <c r="C25"/>
  <c r="H25"/>
  <c r="D26"/>
  <c r="A27"/>
  <c r="E27"/>
  <c r="B28"/>
  <c r="G28"/>
  <c r="C29"/>
  <c r="H29"/>
  <c r="D30"/>
  <c r="A31"/>
  <c r="E31"/>
  <c r="B32"/>
  <c r="G32"/>
  <c r="C33"/>
  <c r="H33"/>
  <c r="D34"/>
  <c r="A35"/>
  <c r="E35"/>
  <c r="B36"/>
  <c r="G36"/>
  <c r="C37"/>
  <c r="H37"/>
  <c r="D38"/>
  <c r="C16"/>
  <c r="H16"/>
  <c r="D17"/>
  <c r="A18"/>
  <c r="E18"/>
  <c r="B19"/>
  <c r="G19"/>
  <c r="C20"/>
  <c r="H20"/>
  <c r="D21"/>
  <c r="A22"/>
  <c r="E22"/>
  <c r="B23"/>
  <c r="G23"/>
  <c r="C24"/>
  <c r="H24"/>
  <c r="D25"/>
  <c r="A26"/>
  <c r="E26"/>
  <c r="B27"/>
  <c r="G27"/>
  <c r="C28"/>
  <c r="H28"/>
  <c r="D29"/>
  <c r="A30"/>
  <c r="E30"/>
  <c r="B31"/>
  <c r="G31"/>
  <c r="C32"/>
  <c r="H32"/>
  <c r="D33"/>
  <c r="A34"/>
  <c r="E34"/>
  <c r="B35"/>
  <c r="G35"/>
  <c r="C36"/>
  <c r="H36"/>
  <c r="D37"/>
  <c r="A38"/>
  <c r="E38"/>
  <c r="D16"/>
  <c r="A17"/>
  <c r="E17"/>
  <c r="B18"/>
  <c r="G18"/>
  <c r="C19"/>
  <c r="H19"/>
  <c r="D20"/>
  <c r="A21"/>
  <c r="E21"/>
  <c r="B22"/>
  <c r="G22"/>
  <c r="C23"/>
  <c r="H23"/>
  <c r="D24"/>
  <c r="A25"/>
  <c r="E25"/>
  <c r="B26"/>
  <c r="G26"/>
  <c r="C27"/>
  <c r="H27"/>
  <c r="D28"/>
  <c r="A29"/>
  <c r="E29"/>
  <c r="B30"/>
  <c r="G30"/>
  <c r="C31"/>
  <c r="H31"/>
  <c r="D32"/>
  <c r="A33"/>
  <c r="E33"/>
  <c r="B34"/>
  <c r="G34"/>
  <c r="C35"/>
  <c r="H35"/>
  <c r="D36"/>
  <c r="A37"/>
  <c r="E37"/>
  <c r="B38"/>
  <c r="G38"/>
  <c r="M12" i="62"/>
  <c r="K12"/>
  <c r="M13"/>
  <c r="K13"/>
  <c r="M11"/>
  <c r="K11"/>
  <c r="M9" i="39"/>
  <c r="H229" i="60"/>
  <c r="I229"/>
  <c r="Y258"/>
  <c r="H253"/>
  <c r="G230"/>
  <c r="G235" s="1"/>
  <c r="F29" i="56"/>
  <c r="A11"/>
  <c r="F30"/>
  <c r="G2"/>
  <c r="A10"/>
  <c r="F15"/>
  <c r="H30"/>
  <c r="Y169" i="60"/>
  <c r="I168" s="1"/>
  <c r="Y151"/>
  <c r="I148" s="1"/>
  <c r="F13" i="57"/>
  <c r="M14" i="34"/>
  <c r="M15"/>
  <c r="M13"/>
  <c r="B54" i="55"/>
  <c r="A54" s="1"/>
  <c r="G205" i="60"/>
  <c r="H205"/>
  <c r="S10" i="34"/>
  <c r="R10"/>
  <c r="Q10"/>
  <c r="X10"/>
  <c r="K16" i="55"/>
  <c r="K23"/>
  <c r="K20"/>
  <c r="K37"/>
  <c r="K31"/>
  <c r="K14"/>
  <c r="K18"/>
  <c r="K19"/>
  <c r="K29"/>
  <c r="K30"/>
  <c r="K54"/>
  <c r="K60"/>
  <c r="K13"/>
  <c r="K17"/>
  <c r="K21"/>
  <c r="K35"/>
  <c r="K63"/>
  <c r="K12"/>
  <c r="K24"/>
  <c r="K53"/>
  <c r="M10" i="62"/>
  <c r="K10"/>
  <c r="H13" i="61"/>
  <c r="H14" s="1"/>
  <c r="C13"/>
  <c r="C14" s="1"/>
  <c r="F12"/>
  <c r="D12"/>
  <c r="E12"/>
  <c r="H30" i="62" l="1" a="1"/>
  <c r="H30" s="1"/>
  <c r="J30" a="1"/>
  <c r="J30" s="1"/>
  <c r="H24" a="1"/>
  <c r="H24" s="1"/>
  <c r="L37" i="45" a="1"/>
  <c r="L37" s="1"/>
  <c r="L38" a="1"/>
  <c r="L38" s="1"/>
  <c r="L39" a="1"/>
  <c r="L39" s="1"/>
  <c r="L40" a="1"/>
  <c r="L40" s="1"/>
  <c r="L41" a="1"/>
  <c r="L41" s="1"/>
  <c r="L42" a="1"/>
  <c r="L42" s="1"/>
  <c r="L36" a="1"/>
  <c r="L36" s="1"/>
  <c r="J37" a="1"/>
  <c r="J37" s="1"/>
  <c r="N37" s="1"/>
  <c r="J38" a="1"/>
  <c r="J38" s="1"/>
  <c r="J39" a="1"/>
  <c r="J39" s="1"/>
  <c r="N39" s="1"/>
  <c r="J40" a="1"/>
  <c r="J40" s="1"/>
  <c r="J41" a="1"/>
  <c r="J41" s="1"/>
  <c r="N41" s="1"/>
  <c r="J42" a="1"/>
  <c r="J42" s="1"/>
  <c r="J36" a="1"/>
  <c r="J36" s="1"/>
  <c r="N36" s="1"/>
  <c r="L35" a="1"/>
  <c r="L35" s="1"/>
  <c r="J35" a="1"/>
  <c r="J35" s="1"/>
  <c r="J209" i="14"/>
  <c r="I209"/>
  <c r="J207"/>
  <c r="I207"/>
  <c r="J205"/>
  <c r="I205"/>
  <c r="J203"/>
  <c r="I203"/>
  <c r="J201"/>
  <c r="I201"/>
  <c r="I208"/>
  <c r="J208"/>
  <c r="I206"/>
  <c r="J206"/>
  <c r="I204"/>
  <c r="J204"/>
  <c r="I202"/>
  <c r="J202"/>
  <c r="I200"/>
  <c r="J200"/>
  <c r="I210"/>
  <c r="J210"/>
  <c r="L178" i="63"/>
  <c r="N178"/>
  <c r="O178"/>
  <c r="M178"/>
  <c r="L176"/>
  <c r="N176"/>
  <c r="O176"/>
  <c r="M176"/>
  <c r="L174"/>
  <c r="N174"/>
  <c r="O174"/>
  <c r="M174"/>
  <c r="L172"/>
  <c r="N172"/>
  <c r="O172"/>
  <c r="M172"/>
  <c r="M182"/>
  <c r="O182"/>
  <c r="L182"/>
  <c r="N182"/>
  <c r="M181"/>
  <c r="O181"/>
  <c r="L181"/>
  <c r="N181"/>
  <c r="M180"/>
  <c r="O180"/>
  <c r="L180"/>
  <c r="N180"/>
  <c r="M179"/>
  <c r="O179"/>
  <c r="L179"/>
  <c r="N179"/>
  <c r="L177"/>
  <c r="N177"/>
  <c r="M177"/>
  <c r="O177"/>
  <c r="L175"/>
  <c r="N175"/>
  <c r="M175"/>
  <c r="O175"/>
  <c r="L173"/>
  <c r="N173"/>
  <c r="M173"/>
  <c r="O173"/>
  <c r="L171"/>
  <c r="N171"/>
  <c r="M171"/>
  <c r="O171"/>
  <c r="L170"/>
  <c r="N170"/>
  <c r="M170"/>
  <c r="O170"/>
  <c r="L169"/>
  <c r="N169"/>
  <c r="M169"/>
  <c r="O169"/>
  <c r="L168"/>
  <c r="N168"/>
  <c r="M168"/>
  <c r="O168"/>
  <c r="L167"/>
  <c r="N167"/>
  <c r="M167"/>
  <c r="O167"/>
  <c r="L166"/>
  <c r="N166"/>
  <c r="M166"/>
  <c r="O166"/>
  <c r="L165"/>
  <c r="N165"/>
  <c r="M165"/>
  <c r="O165"/>
  <c r="L164"/>
  <c r="N164"/>
  <c r="M164"/>
  <c r="O164"/>
  <c r="L163"/>
  <c r="N163"/>
  <c r="M163"/>
  <c r="O163"/>
  <c r="L162"/>
  <c r="N162"/>
  <c r="M162"/>
  <c r="O162"/>
  <c r="L161"/>
  <c r="N161"/>
  <c r="M161"/>
  <c r="O161"/>
  <c r="L160"/>
  <c r="N160"/>
  <c r="M160"/>
  <c r="O160"/>
  <c r="I166" i="60"/>
  <c r="I164"/>
  <c r="I165"/>
  <c r="I163"/>
  <c r="I252"/>
  <c r="I257"/>
  <c r="J189"/>
  <c r="I189"/>
  <c r="H189"/>
  <c r="K189"/>
  <c r="J187"/>
  <c r="H186"/>
  <c r="I187"/>
  <c r="K186"/>
  <c r="H187"/>
  <c r="J186"/>
  <c r="K187"/>
  <c r="I186"/>
  <c r="K73" i="55"/>
  <c r="K51"/>
  <c r="K33" i="62"/>
  <c r="M33"/>
  <c r="L148" i="60"/>
  <c r="B55" i="55"/>
  <c r="A55" s="1"/>
  <c r="N252" i="60"/>
  <c r="K253"/>
  <c r="H254"/>
  <c r="J253"/>
  <c r="H255"/>
  <c r="I253"/>
  <c r="K254"/>
  <c r="K255"/>
  <c r="J251"/>
  <c r="I251"/>
  <c r="K251"/>
  <c r="I254"/>
  <c r="I255"/>
  <c r="J254"/>
  <c r="J255"/>
  <c r="I230"/>
  <c r="K232"/>
  <c r="K233"/>
  <c r="H230"/>
  <c r="I231"/>
  <c r="H233"/>
  <c r="J229"/>
  <c r="I232"/>
  <c r="I233"/>
  <c r="H231"/>
  <c r="K229"/>
  <c r="J232"/>
  <c r="J230"/>
  <c r="K231"/>
  <c r="H232"/>
  <c r="K230"/>
  <c r="J233"/>
  <c r="J231"/>
  <c r="L192"/>
  <c r="H183"/>
  <c r="H185"/>
  <c r="H182"/>
  <c r="H184"/>
  <c r="H188"/>
  <c r="H190"/>
  <c r="I208"/>
  <c r="H207"/>
  <c r="K206"/>
  <c r="H208"/>
  <c r="K207"/>
  <c r="J206"/>
  <c r="K208"/>
  <c r="J207"/>
  <c r="I206"/>
  <c r="J208"/>
  <c r="H206"/>
  <c r="J185"/>
  <c r="I184"/>
  <c r="I185"/>
  <c r="K183"/>
  <c r="K184"/>
  <c r="J183"/>
  <c r="K185"/>
  <c r="J184"/>
  <c r="J190"/>
  <c r="I190"/>
  <c r="K188"/>
  <c r="J188"/>
  <c r="K190"/>
  <c r="I188"/>
  <c r="K205"/>
  <c r="J205"/>
  <c r="I205"/>
  <c r="G192"/>
  <c r="G210"/>
  <c r="D13" i="61"/>
  <c r="D14" s="1"/>
  <c r="F13"/>
  <c r="F14" s="1"/>
  <c r="E13"/>
  <c r="E14" s="1"/>
  <c r="L30" i="62" l="1"/>
  <c r="N30"/>
  <c r="N42" i="45"/>
  <c r="N40"/>
  <c r="N38"/>
  <c r="P36"/>
  <c r="P41"/>
  <c r="P39"/>
  <c r="P37"/>
  <c r="P42"/>
  <c r="P40"/>
  <c r="P38"/>
  <c r="P35"/>
  <c r="N35"/>
  <c r="N189" i="60"/>
  <c r="P189" s="1"/>
  <c r="T189" s="1"/>
  <c r="N187"/>
  <c r="P187" s="1"/>
  <c r="T187" s="1"/>
  <c r="N186"/>
  <c r="P186" s="1"/>
  <c r="T186" s="1"/>
  <c r="N229"/>
  <c r="B56" i="55"/>
  <c r="A56" s="1"/>
  <c r="P252" i="60"/>
  <c r="T252" s="1"/>
  <c r="N251"/>
  <c r="P251" s="1"/>
  <c r="T251" s="1"/>
  <c r="N253"/>
  <c r="P253" s="1"/>
  <c r="T253" s="1"/>
  <c r="N254"/>
  <c r="P254" s="1"/>
  <c r="T254" s="1"/>
  <c r="P250"/>
  <c r="T250" s="1"/>
  <c r="N255"/>
  <c r="P255" s="1"/>
  <c r="T255" s="1"/>
  <c r="N233"/>
  <c r="P233" s="1"/>
  <c r="T233" s="1"/>
  <c r="N206"/>
  <c r="P206" s="1"/>
  <c r="T206" s="1"/>
  <c r="N205"/>
  <c r="N182"/>
  <c r="P182" s="1"/>
  <c r="T182" s="1"/>
  <c r="N232"/>
  <c r="P232" s="1"/>
  <c r="T232" s="1"/>
  <c r="N231"/>
  <c r="P231" s="1"/>
  <c r="T231" s="1"/>
  <c r="N230"/>
  <c r="P230" s="1"/>
  <c r="T230" s="1"/>
  <c r="N207"/>
  <c r="P207" s="1"/>
  <c r="T207" s="1"/>
  <c r="N208"/>
  <c r="P208" s="1"/>
  <c r="T208" s="1"/>
  <c r="N184"/>
  <c r="P184" s="1"/>
  <c r="T184" s="1"/>
  <c r="N183"/>
  <c r="P183" s="1"/>
  <c r="T183" s="1"/>
  <c r="N185"/>
  <c r="P185" s="1"/>
  <c r="T185" s="1"/>
  <c r="N188"/>
  <c r="P188" s="1"/>
  <c r="T188" s="1"/>
  <c r="N190"/>
  <c r="P190" s="1"/>
  <c r="T190" s="1"/>
  <c r="B57" i="55" l="1"/>
  <c r="N257" i="60"/>
  <c r="N235"/>
  <c r="P229"/>
  <c r="T229" s="1"/>
  <c r="N210"/>
  <c r="P205"/>
  <c r="T205" s="1"/>
  <c r="N192"/>
  <c r="B58" i="55" l="1"/>
  <c r="A57"/>
  <c r="B59" l="1"/>
  <c r="A58"/>
  <c r="B60" l="1"/>
  <c r="A59"/>
  <c r="B61" l="1"/>
  <c r="A60"/>
  <c r="B62" l="1"/>
  <c r="A61"/>
  <c r="K113" i="60"/>
  <c r="J125"/>
  <c r="K115"/>
  <c r="J126"/>
  <c r="K122"/>
  <c r="K126"/>
  <c r="K117"/>
  <c r="J116"/>
  <c r="J120"/>
  <c r="J114"/>
  <c r="J122"/>
  <c r="N110"/>
  <c r="P110" s="1"/>
  <c r="T110" s="1"/>
  <c r="N122" l="1"/>
  <c r="P122" s="1"/>
  <c r="T122" s="1"/>
  <c r="B63" i="55"/>
  <c r="A62"/>
  <c r="N126" i="60"/>
  <c r="P126" s="1"/>
  <c r="T126" s="1"/>
  <c r="J115"/>
  <c r="N115" s="1"/>
  <c r="P115" s="1"/>
  <c r="T115" s="1"/>
  <c r="J119"/>
  <c r="K125"/>
  <c r="N125" s="1"/>
  <c r="P125" s="1"/>
  <c r="T125" s="1"/>
  <c r="K124"/>
  <c r="J124"/>
  <c r="J113"/>
  <c r="N113" s="1"/>
  <c r="P113" s="1"/>
  <c r="T113" s="1"/>
  <c r="K118"/>
  <c r="K120"/>
  <c r="N120" s="1"/>
  <c r="P120" s="1"/>
  <c r="T120" s="1"/>
  <c r="K116"/>
  <c r="J117"/>
  <c r="J118"/>
  <c r="K119"/>
  <c r="K114"/>
  <c r="N114" s="1"/>
  <c r="P114" s="1"/>
  <c r="T114" s="1"/>
  <c r="A63" i="55" l="1"/>
  <c r="B64"/>
  <c r="N116" i="60"/>
  <c r="P116" s="1"/>
  <c r="T116" s="1"/>
  <c r="N117"/>
  <c r="P117" s="1"/>
  <c r="T117" s="1"/>
  <c r="N124"/>
  <c r="P124" s="1"/>
  <c r="T124" s="1"/>
  <c r="N118"/>
  <c r="P118" s="1"/>
  <c r="T118" s="1"/>
  <c r="N119"/>
  <c r="P119" s="1"/>
  <c r="T119" s="1"/>
  <c r="A64" i="55" l="1"/>
  <c r="B65"/>
  <c r="P112" i="60"/>
  <c r="T112" s="1"/>
  <c r="N137"/>
  <c r="A65" i="55" l="1"/>
  <c r="B66"/>
  <c r="A66" l="1"/>
  <c r="B67"/>
  <c r="B68" l="1"/>
  <c r="A67"/>
  <c r="I45" i="12"/>
  <c r="B19" i="58"/>
  <c r="I17" i="52"/>
  <c r="G19" i="48"/>
  <c r="C14" i="39"/>
  <c r="B69" i="55" l="1"/>
  <c r="A68"/>
  <c r="H18" i="63"/>
  <c r="A61" i="43"/>
  <c r="D44"/>
  <c r="A45"/>
  <c r="E45"/>
  <c r="B46"/>
  <c r="F46"/>
  <c r="C47"/>
  <c r="G47"/>
  <c r="D48"/>
  <c r="A49"/>
  <c r="E49"/>
  <c r="B50"/>
  <c r="F50"/>
  <c r="C51"/>
  <c r="G51"/>
  <c r="D52"/>
  <c r="A53"/>
  <c r="E53"/>
  <c r="B54"/>
  <c r="F54"/>
  <c r="C55"/>
  <c r="G55"/>
  <c r="C44"/>
  <c r="G44"/>
  <c r="D45"/>
  <c r="A46"/>
  <c r="E46"/>
  <c r="B47"/>
  <c r="F47"/>
  <c r="C48"/>
  <c r="G48"/>
  <c r="D49"/>
  <c r="A50"/>
  <c r="E50"/>
  <c r="B51"/>
  <c r="F51"/>
  <c r="C52"/>
  <c r="G52"/>
  <c r="D53"/>
  <c r="A54"/>
  <c r="E54"/>
  <c r="B55"/>
  <c r="F55"/>
  <c r="B44"/>
  <c r="F44"/>
  <c r="C45"/>
  <c r="G45"/>
  <c r="D46"/>
  <c r="A47"/>
  <c r="E47"/>
  <c r="B48"/>
  <c r="F48"/>
  <c r="C49"/>
  <c r="G49"/>
  <c r="D50"/>
  <c r="A51"/>
  <c r="E51"/>
  <c r="B52"/>
  <c r="F52"/>
  <c r="C53"/>
  <c r="G53"/>
  <c r="D54"/>
  <c r="A55"/>
  <c r="E55"/>
  <c r="A44"/>
  <c r="E44"/>
  <c r="B45"/>
  <c r="F45"/>
  <c r="C46"/>
  <c r="G46"/>
  <c r="D47"/>
  <c r="A48"/>
  <c r="E48"/>
  <c r="B49"/>
  <c r="F49"/>
  <c r="C50"/>
  <c r="G50"/>
  <c r="D51"/>
  <c r="A52"/>
  <c r="E52"/>
  <c r="B53"/>
  <c r="F53"/>
  <c r="C54"/>
  <c r="G54"/>
  <c r="D55"/>
  <c r="E26" i="63"/>
  <c r="J25"/>
  <c r="H26"/>
  <c r="C25"/>
  <c r="A25" s="1"/>
  <c r="J26"/>
  <c r="E25"/>
  <c r="B26"/>
  <c r="K26"/>
  <c r="K25"/>
  <c r="F25"/>
  <c r="F26"/>
  <c r="C26"/>
  <c r="A26" s="1"/>
  <c r="H25"/>
  <c r="I25"/>
  <c r="B25"/>
  <c r="D26"/>
  <c r="I26"/>
  <c r="D21"/>
  <c r="G14" i="14"/>
  <c r="B24" i="58"/>
  <c r="A13" i="43"/>
  <c r="B15" i="58"/>
  <c r="F15" s="1"/>
  <c r="B30"/>
  <c r="F30" s="1"/>
  <c r="A64" i="43"/>
  <c r="B14" i="58"/>
  <c r="A14" s="1"/>
  <c r="F19"/>
  <c r="H17" i="48"/>
  <c r="AW17" s="1"/>
  <c r="D37" i="63"/>
  <c r="C15" i="48"/>
  <c r="C18"/>
  <c r="D20" i="63"/>
  <c r="C29" i="48"/>
  <c r="G13"/>
  <c r="AB13" s="1"/>
  <c r="A22" i="43"/>
  <c r="A69"/>
  <c r="B22" i="58"/>
  <c r="D35" i="63"/>
  <c r="J17"/>
  <c r="G11" i="48"/>
  <c r="BX11" s="1"/>
  <c r="H11"/>
  <c r="CE11" s="1"/>
  <c r="D29" i="63"/>
  <c r="B25" i="58"/>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G33"/>
  <c r="C35"/>
  <c r="G2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15" i="14"/>
  <c r="B14"/>
  <c r="B15"/>
  <c r="E15"/>
  <c r="E14"/>
  <c r="G15"/>
  <c r="H15"/>
  <c r="A14"/>
  <c r="A15"/>
  <c r="C14"/>
  <c r="D15"/>
  <c r="D14"/>
  <c r="H14"/>
  <c r="C24" i="48"/>
  <c r="H20"/>
  <c r="H14"/>
  <c r="A42" i="43"/>
  <c r="A56"/>
  <c r="A70"/>
  <c r="C19" i="48"/>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20" i="63"/>
  <c r="F18"/>
  <c r="J24"/>
  <c r="H23"/>
  <c r="H24"/>
  <c r="B19"/>
  <c r="I19"/>
  <c r="F29"/>
  <c r="H39"/>
  <c r="E35"/>
  <c r="H21"/>
  <c r="E29"/>
  <c r="K20"/>
  <c r="J35"/>
  <c r="H38"/>
  <c r="B29"/>
  <c r="J29"/>
  <c r="B35"/>
  <c r="I22"/>
  <c r="B18"/>
  <c r="B23"/>
  <c r="B20"/>
  <c r="K23"/>
  <c r="C21"/>
  <c r="A21" s="1"/>
  <c r="C18"/>
  <c r="A18" s="1"/>
  <c r="F22"/>
  <c r="K18"/>
  <c r="I35"/>
  <c r="K37"/>
  <c r="F19"/>
  <c r="K19"/>
  <c r="H20"/>
  <c r="J23"/>
  <c r="F24"/>
  <c r="I18"/>
  <c r="H35"/>
  <c r="K21"/>
  <c r="I23"/>
  <c r="B39"/>
  <c r="E18"/>
  <c r="E38"/>
  <c r="H22"/>
  <c r="K39"/>
  <c r="J19"/>
  <c r="F20"/>
  <c r="C39"/>
  <c r="A39" s="1"/>
  <c r="C37"/>
  <c r="A37" s="1"/>
  <c r="C23"/>
  <c r="A23" s="1"/>
  <c r="C20"/>
  <c r="A20" s="1"/>
  <c r="C17"/>
  <c r="A17" s="1"/>
  <c r="E39"/>
  <c r="E23"/>
  <c r="E20"/>
  <c r="J21"/>
  <c r="E37"/>
  <c r="B17"/>
  <c r="B21"/>
  <c r="K22"/>
  <c r="F35"/>
  <c r="K24"/>
  <c r="I39"/>
  <c r="E21"/>
  <c r="B24"/>
  <c r="E22"/>
  <c r="J38"/>
  <c r="F17"/>
  <c r="B38"/>
  <c r="I38"/>
  <c r="J22"/>
  <c r="C22"/>
  <c r="A22" s="1"/>
  <c r="C38"/>
  <c r="A38" s="1"/>
  <c r="I21"/>
  <c r="B22"/>
  <c r="I37"/>
  <c r="H37"/>
  <c r="H19"/>
  <c r="F37"/>
  <c r="E19"/>
  <c r="J18"/>
  <c r="E17"/>
  <c r="K29"/>
  <c r="F23"/>
  <c r="J20"/>
  <c r="K35"/>
  <c r="J39"/>
  <c r="J37"/>
  <c r="F21"/>
  <c r="B37"/>
  <c r="I29"/>
  <c r="F39"/>
  <c r="E24"/>
  <c r="H29"/>
  <c r="I24"/>
  <c r="F38"/>
  <c r="K38"/>
  <c r="C19"/>
  <c r="A19" s="1"/>
  <c r="C35"/>
  <c r="A35" s="1"/>
  <c r="C29"/>
  <c r="A29" s="1"/>
  <c r="C24"/>
  <c r="A24" s="1"/>
  <c r="K17"/>
  <c r="D39"/>
  <c r="I17"/>
  <c r="D38"/>
  <c r="D22"/>
  <c r="D19"/>
  <c r="D23"/>
  <c r="D17"/>
  <c r="H17"/>
  <c r="D24"/>
  <c r="G11" i="49"/>
  <c r="J17" i="52"/>
  <c r="E14" i="57"/>
  <c r="I15"/>
  <c r="G15"/>
  <c r="C15"/>
  <c r="E15"/>
  <c r="I14"/>
  <c r="B14"/>
  <c r="A14" s="1"/>
  <c r="B15"/>
  <c r="G14"/>
  <c r="C14"/>
  <c r="B123" s="1"/>
  <c r="F15"/>
  <c r="F14"/>
  <c r="B82" i="43"/>
  <c r="D41"/>
  <c r="F60"/>
  <c r="B56"/>
  <c r="E109"/>
  <c r="F104"/>
  <c r="D105"/>
  <c r="B107"/>
  <c r="E94"/>
  <c r="E119"/>
  <c r="G68"/>
  <c r="B23"/>
  <c r="E102"/>
  <c r="B108"/>
  <c r="E60"/>
  <c r="D109"/>
  <c r="B12"/>
  <c r="F120"/>
  <c r="E63"/>
  <c r="B22"/>
  <c r="C20"/>
  <c r="C73"/>
  <c r="B116"/>
  <c r="F74"/>
  <c r="B40"/>
  <c r="F81"/>
  <c r="F100"/>
  <c r="C72"/>
  <c r="E107"/>
  <c r="D64"/>
  <c r="D13"/>
  <c r="C113"/>
  <c r="G98"/>
  <c r="G73"/>
  <c r="D113"/>
  <c r="B110"/>
  <c r="E64"/>
  <c r="C65"/>
  <c r="C118"/>
  <c r="D56"/>
  <c r="B20"/>
  <c r="C64"/>
  <c r="G66"/>
  <c r="G69"/>
  <c r="E26"/>
  <c r="C78"/>
  <c r="E42"/>
  <c r="E24"/>
  <c r="F93"/>
  <c r="B83"/>
  <c r="B24"/>
  <c r="C84"/>
  <c r="F109"/>
  <c r="B102"/>
  <c r="C62"/>
  <c r="C86"/>
  <c r="E108"/>
  <c r="B15"/>
  <c r="G87"/>
  <c r="G99"/>
  <c r="E122"/>
  <c r="C14"/>
  <c r="D70"/>
  <c r="C66"/>
  <c r="B59"/>
  <c r="G116"/>
  <c r="E88"/>
  <c r="C88"/>
  <c r="E75"/>
  <c r="G18"/>
  <c r="F73"/>
  <c r="F108"/>
  <c r="D110"/>
  <c r="C120"/>
  <c r="D79"/>
  <c r="G22"/>
  <c r="B103"/>
  <c r="E76"/>
  <c r="D75"/>
  <c r="F20"/>
  <c r="F91"/>
  <c r="E59"/>
  <c r="D69"/>
  <c r="F89"/>
  <c r="G78"/>
  <c r="E72"/>
  <c r="C94"/>
  <c r="E68"/>
  <c r="F121"/>
  <c r="C15"/>
  <c r="G112"/>
  <c r="B62"/>
  <c r="C100"/>
  <c r="G121"/>
  <c r="D102"/>
  <c r="G62"/>
  <c r="B66"/>
  <c r="C122"/>
  <c r="B114"/>
  <c r="F99"/>
  <c r="F58"/>
  <c r="D93"/>
  <c r="E16"/>
  <c r="B78"/>
  <c r="F123"/>
  <c r="G76"/>
  <c r="C75"/>
  <c r="B120"/>
  <c r="G103"/>
  <c r="G27"/>
  <c r="F110"/>
  <c r="F113"/>
  <c r="D98"/>
  <c r="F114"/>
  <c r="D77"/>
  <c r="G94"/>
  <c r="D122"/>
  <c r="F102"/>
  <c r="B95"/>
  <c r="B69"/>
  <c r="C67"/>
  <c r="F79"/>
  <c r="F103"/>
  <c r="C105"/>
  <c r="C85"/>
  <c r="C22"/>
  <c r="F106"/>
  <c r="E105"/>
  <c r="D26"/>
  <c r="E43"/>
  <c r="D65"/>
  <c r="D106"/>
  <c r="C59"/>
  <c r="F18"/>
  <c r="C112"/>
  <c r="G72"/>
  <c r="G114"/>
  <c r="C82"/>
  <c r="D100"/>
  <c r="G96"/>
  <c r="G19"/>
  <c r="D114"/>
  <c r="D25"/>
  <c r="F92"/>
  <c r="D112"/>
  <c r="B88"/>
  <c r="G109"/>
  <c r="F107"/>
  <c r="E77"/>
  <c r="C98"/>
  <c r="F22"/>
  <c r="D84"/>
  <c r="B17"/>
  <c r="D78"/>
  <c r="B70"/>
  <c r="B99"/>
  <c r="E73"/>
  <c r="G97"/>
  <c r="D68"/>
  <c r="G118"/>
  <c r="D97"/>
  <c r="B63"/>
  <c r="F66"/>
  <c r="C76"/>
  <c r="C60"/>
  <c r="G90"/>
  <c r="G122"/>
  <c r="B74"/>
  <c r="B18"/>
  <c r="D22"/>
  <c r="D72"/>
  <c r="B119"/>
  <c r="G57"/>
  <c r="D76"/>
  <c r="F56"/>
  <c r="F25"/>
  <c r="D99"/>
  <c r="B121"/>
  <c r="D92"/>
  <c r="G23"/>
  <c r="G82"/>
  <c r="E56"/>
  <c r="C117"/>
  <c r="E115"/>
  <c r="E96"/>
  <c r="E66"/>
  <c r="G60"/>
  <c r="D61"/>
  <c r="D67"/>
  <c r="F62"/>
  <c r="E74"/>
  <c r="B43"/>
  <c r="G91"/>
  <c r="G67"/>
  <c r="B80"/>
  <c r="F122"/>
  <c r="B91"/>
  <c r="G24"/>
  <c r="C27"/>
  <c r="B71"/>
  <c r="B111"/>
  <c r="C123"/>
  <c r="F19"/>
  <c r="G26"/>
  <c r="B106"/>
  <c r="B81"/>
  <c r="G41"/>
  <c r="B87"/>
  <c r="F65"/>
  <c r="G102"/>
  <c r="D42"/>
  <c r="E41"/>
  <c r="G113"/>
  <c r="B93"/>
  <c r="D27"/>
  <c r="F90"/>
  <c r="D57"/>
  <c r="E101"/>
  <c r="B41"/>
  <c r="G75"/>
  <c r="F83"/>
  <c r="D117"/>
  <c r="F71"/>
  <c r="B84"/>
  <c r="B75"/>
  <c r="E91"/>
  <c r="G101"/>
  <c r="D118"/>
  <c r="F111"/>
  <c r="C79"/>
  <c r="C111"/>
  <c r="F105"/>
  <c r="G56"/>
  <c r="E92"/>
  <c r="F101"/>
  <c r="G84"/>
  <c r="E86"/>
  <c r="G20"/>
  <c r="B115"/>
  <c r="C107"/>
  <c r="D121"/>
  <c r="G93"/>
  <c r="D85"/>
  <c r="B96"/>
  <c r="F57"/>
  <c r="F26"/>
  <c r="C81"/>
  <c r="C121"/>
  <c r="G14"/>
  <c r="E19"/>
  <c r="D21"/>
  <c r="B79"/>
  <c r="C103"/>
  <c r="F75"/>
  <c r="B98"/>
  <c r="E111"/>
  <c r="B26"/>
  <c r="C41"/>
  <c r="D123"/>
  <c r="F64"/>
  <c r="D94"/>
  <c r="C23"/>
  <c r="E79"/>
  <c r="E61"/>
  <c r="E121"/>
  <c r="D103"/>
  <c r="E106"/>
  <c r="E15"/>
  <c r="D58"/>
  <c r="F95"/>
  <c r="D107"/>
  <c r="D66"/>
  <c r="G71"/>
  <c r="G117"/>
  <c r="C13"/>
  <c r="C69"/>
  <c r="C17"/>
  <c r="G42"/>
  <c r="E90"/>
  <c r="G110"/>
  <c r="F115"/>
  <c r="G16"/>
  <c r="F70"/>
  <c r="B73"/>
  <c r="E40"/>
  <c r="G65"/>
  <c r="E117"/>
  <c r="D17"/>
  <c r="E120"/>
  <c r="E82"/>
  <c r="E85"/>
  <c r="E110"/>
  <c r="E12"/>
  <c r="D73"/>
  <c r="F84"/>
  <c r="E65"/>
  <c r="F59"/>
  <c r="C87"/>
  <c r="D80"/>
  <c r="G100"/>
  <c r="E58"/>
  <c r="C93"/>
  <c r="G43"/>
  <c r="D24"/>
  <c r="F94"/>
  <c r="C109"/>
  <c r="F27"/>
  <c r="D19"/>
  <c r="B21"/>
  <c r="C95"/>
  <c r="G89"/>
  <c r="D116"/>
  <c r="B42"/>
  <c r="D83"/>
  <c r="B105"/>
  <c r="B123"/>
  <c r="G40"/>
  <c r="E14"/>
  <c r="B13"/>
  <c r="E57"/>
  <c r="E98"/>
  <c r="C61"/>
  <c r="D87"/>
  <c r="F97"/>
  <c r="D43"/>
  <c r="C71"/>
  <c r="C74"/>
  <c r="C97"/>
  <c r="B72"/>
  <c r="E100"/>
  <c r="G80"/>
  <c r="B67"/>
  <c r="E83"/>
  <c r="C40"/>
  <c r="G92"/>
  <c r="C114"/>
  <c r="E123"/>
  <c r="B64"/>
  <c r="E80"/>
  <c r="E71"/>
  <c r="C77"/>
  <c r="B14"/>
  <c r="D71"/>
  <c r="E20"/>
  <c r="C43"/>
  <c r="F68"/>
  <c r="B97"/>
  <c r="E87"/>
  <c r="D81"/>
  <c r="F69"/>
  <c r="C104"/>
  <c r="F23"/>
  <c r="B86"/>
  <c r="C102"/>
  <c r="G119"/>
  <c r="B77"/>
  <c r="C83"/>
  <c r="E70"/>
  <c r="G95"/>
  <c r="E112"/>
  <c r="D12"/>
  <c r="E95"/>
  <c r="B65"/>
  <c r="C26"/>
  <c r="D88"/>
  <c r="E78"/>
  <c r="D115"/>
  <c r="D16"/>
  <c r="D14"/>
  <c r="E27"/>
  <c r="B61"/>
  <c r="G120"/>
  <c r="D74"/>
  <c r="C119"/>
  <c r="C115"/>
  <c r="D96"/>
  <c r="C19"/>
  <c r="G107"/>
  <c r="G104"/>
  <c r="B101"/>
  <c r="C42"/>
  <c r="G81"/>
  <c r="B68"/>
  <c r="F117"/>
  <c r="C80"/>
  <c r="D60"/>
  <c r="B122"/>
  <c r="C25"/>
  <c r="G86"/>
  <c r="B117"/>
  <c r="F67"/>
  <c r="C68"/>
  <c r="C108"/>
  <c r="C89"/>
  <c r="G58"/>
  <c r="E67"/>
  <c r="G77"/>
  <c r="C101"/>
  <c r="C58"/>
  <c r="C91"/>
  <c r="G85"/>
  <c r="G123"/>
  <c r="F63"/>
  <c r="D89"/>
  <c r="C99"/>
  <c r="F43"/>
  <c r="F119"/>
  <c r="B100"/>
  <c r="D101"/>
  <c r="C24"/>
  <c r="C63"/>
  <c r="D104"/>
  <c r="B94"/>
  <c r="D120"/>
  <c r="D18"/>
  <c r="F80"/>
  <c r="C90"/>
  <c r="E18"/>
  <c r="E103"/>
  <c r="C116"/>
  <c r="G111"/>
  <c r="F78"/>
  <c r="D62"/>
  <c r="B85"/>
  <c r="F77"/>
  <c r="D119"/>
  <c r="G63"/>
  <c r="F85"/>
  <c r="F24"/>
  <c r="E17"/>
  <c r="D90"/>
  <c r="F118"/>
  <c r="D23"/>
  <c r="G17"/>
  <c r="C21"/>
  <c r="G106"/>
  <c r="F16"/>
  <c r="C106"/>
  <c r="E23"/>
  <c r="E116"/>
  <c r="F61"/>
  <c r="D59"/>
  <c r="C96"/>
  <c r="E25"/>
  <c r="E104"/>
  <c r="G25"/>
  <c r="B25"/>
  <c r="C56"/>
  <c r="G64"/>
  <c r="E62"/>
  <c r="B104"/>
  <c r="C70"/>
  <c r="E22"/>
  <c r="E69"/>
  <c r="F88"/>
  <c r="B89"/>
  <c r="F86"/>
  <c r="E13"/>
  <c r="G13"/>
  <c r="G83"/>
  <c r="E93"/>
  <c r="C12"/>
  <c r="G70"/>
  <c r="E89"/>
  <c r="D95"/>
  <c r="B57"/>
  <c r="D20"/>
  <c r="F116"/>
  <c r="F42"/>
  <c r="D91"/>
  <c r="C92"/>
  <c r="G61"/>
  <c r="D82"/>
  <c r="D63"/>
  <c r="G74"/>
  <c r="E114"/>
  <c r="B19"/>
  <c r="E97"/>
  <c r="B60"/>
  <c r="G15"/>
  <c r="G115"/>
  <c r="E99"/>
  <c r="F76"/>
  <c r="E118"/>
  <c r="B27"/>
  <c r="F41"/>
  <c r="G21"/>
  <c r="F72"/>
  <c r="E21"/>
  <c r="E113"/>
  <c r="B58"/>
  <c r="B90"/>
  <c r="D111"/>
  <c r="B109"/>
  <c r="B112"/>
  <c r="F98"/>
  <c r="G79"/>
  <c r="C16"/>
  <c r="C57"/>
  <c r="G59"/>
  <c r="B16"/>
  <c r="F40"/>
  <c r="B118"/>
  <c r="F112"/>
  <c r="F87"/>
  <c r="D40"/>
  <c r="E84"/>
  <c r="C18"/>
  <c r="D86"/>
  <c r="F82"/>
  <c r="C110"/>
  <c r="B113"/>
  <c r="E81"/>
  <c r="G88"/>
  <c r="D108"/>
  <c r="D15"/>
  <c r="G105"/>
  <c r="G108"/>
  <c r="B76"/>
  <c r="F21"/>
  <c r="F96"/>
  <c r="A106"/>
  <c r="A104"/>
  <c r="A74"/>
  <c r="A99"/>
  <c r="A89"/>
  <c r="A115"/>
  <c r="A92"/>
  <c r="A112"/>
  <c r="A119"/>
  <c r="H119" s="1"/>
  <c r="A88"/>
  <c r="A81"/>
  <c r="A110"/>
  <c r="A111"/>
  <c r="A120"/>
  <c r="H120" s="1"/>
  <c r="A113"/>
  <c r="A90"/>
  <c r="A103"/>
  <c r="A91"/>
  <c r="G12"/>
  <c r="A86"/>
  <c r="A95"/>
  <c r="A79"/>
  <c r="A108"/>
  <c r="A123"/>
  <c r="H123" s="1"/>
  <c r="A82"/>
  <c r="A121"/>
  <c r="H121" s="1"/>
  <c r="A97"/>
  <c r="A93"/>
  <c r="A80"/>
  <c r="A100"/>
  <c r="A94"/>
  <c r="B92"/>
  <c r="A96"/>
  <c r="A109"/>
  <c r="A87"/>
  <c r="A102"/>
  <c r="A118"/>
  <c r="H118" s="1"/>
  <c r="A84"/>
  <c r="A75"/>
  <c r="A116"/>
  <c r="H116" s="1"/>
  <c r="A85"/>
  <c r="A77"/>
  <c r="A76"/>
  <c r="A117"/>
  <c r="H117" s="1"/>
  <c r="A107"/>
  <c r="A101"/>
  <c r="A83"/>
  <c r="A105"/>
  <c r="A122"/>
  <c r="H122" s="1"/>
  <c r="A98"/>
  <c r="A78"/>
  <c r="A114"/>
  <c r="A71"/>
  <c r="A67"/>
  <c r="A63"/>
  <c r="A59"/>
  <c r="A43"/>
  <c r="A27"/>
  <c r="A23"/>
  <c r="A19"/>
  <c r="A15"/>
  <c r="A65"/>
  <c r="A17"/>
  <c r="A73"/>
  <c r="A68"/>
  <c r="A62"/>
  <c r="A20"/>
  <c r="A14"/>
  <c r="A12"/>
  <c r="A57"/>
  <c r="A40"/>
  <c r="A26"/>
  <c r="A18"/>
  <c r="A66"/>
  <c r="A60"/>
  <c r="A24"/>
  <c r="D18" i="63"/>
  <c r="D14" i="57"/>
  <c r="AN13" i="48"/>
  <c r="AG17"/>
  <c r="C30"/>
  <c r="A16" i="43"/>
  <c r="A58"/>
  <c r="A72"/>
  <c r="A25"/>
  <c r="D15" i="57"/>
  <c r="A30" i="58"/>
  <c r="C17"/>
  <c r="D14"/>
  <c r="G29"/>
  <c r="C28"/>
  <c r="G19"/>
  <c r="H26"/>
  <c r="G22"/>
  <c r="D24"/>
  <c r="D23"/>
  <c r="D26"/>
  <c r="D18"/>
  <c r="D20"/>
  <c r="H23"/>
  <c r="H28"/>
  <c r="C18"/>
  <c r="G15"/>
  <c r="D22"/>
  <c r="E17"/>
  <c r="E23"/>
  <c r="E24"/>
  <c r="H20"/>
  <c r="G27"/>
  <c r="C30"/>
  <c r="C23"/>
  <c r="C26"/>
  <c r="G25"/>
  <c r="C21"/>
  <c r="G26"/>
  <c r="G17"/>
  <c r="D17"/>
  <c r="C25"/>
  <c r="D28"/>
  <c r="H22"/>
  <c r="H29"/>
  <c r="D21"/>
  <c r="D29"/>
  <c r="D27"/>
  <c r="C19"/>
  <c r="H16"/>
  <c r="G30"/>
  <c r="H17"/>
  <c r="G18"/>
  <c r="H15"/>
  <c r="H24"/>
  <c r="C24"/>
  <c r="H21"/>
  <c r="C15"/>
  <c r="C16"/>
  <c r="C20"/>
  <c r="E18"/>
  <c r="E28"/>
  <c r="C14"/>
  <c r="D19"/>
  <c r="G28"/>
  <c r="C29"/>
  <c r="C27"/>
  <c r="D25"/>
  <c r="H25"/>
  <c r="G16"/>
  <c r="C22"/>
  <c r="G24"/>
  <c r="H19"/>
  <c r="G21"/>
  <c r="D30"/>
  <c r="E26"/>
  <c r="D16"/>
  <c r="H18"/>
  <c r="H30"/>
  <c r="D15"/>
  <c r="H27"/>
  <c r="G23"/>
  <c r="G20"/>
  <c r="E20"/>
  <c r="E29"/>
  <c r="E14"/>
  <c r="E30"/>
  <c r="I30" s="1"/>
  <c r="E16"/>
  <c r="E21"/>
  <c r="E25"/>
  <c r="E15"/>
  <c r="E22"/>
  <c r="E19"/>
  <c r="E27"/>
  <c r="B18"/>
  <c r="B27"/>
  <c r="B26"/>
  <c r="B28"/>
  <c r="G14"/>
  <c r="H14"/>
  <c r="B29"/>
  <c r="B20"/>
  <c r="B16"/>
  <c r="B23"/>
  <c r="B17"/>
  <c r="B21"/>
  <c r="Y17" i="48" l="1"/>
  <c r="H212" i="14"/>
  <c r="G212"/>
  <c r="H184" i="63"/>
  <c r="I184"/>
  <c r="K184"/>
  <c r="J184"/>
  <c r="A15" i="58"/>
  <c r="A16" s="1"/>
  <c r="A17" s="1"/>
  <c r="A18" s="1"/>
  <c r="A19" s="1"/>
  <c r="A20" s="1"/>
  <c r="A21" s="1"/>
  <c r="A22" s="1"/>
  <c r="A23" s="1"/>
  <c r="A24" s="1"/>
  <c r="A25" s="1"/>
  <c r="A26" s="1"/>
  <c r="A27" s="1"/>
  <c r="A28" s="1"/>
  <c r="A29" s="1"/>
  <c r="CQ11" i="48"/>
  <c r="I121" i="57"/>
  <c r="G121"/>
  <c r="B70" i="55"/>
  <c r="A70" s="1"/>
  <c r="A69"/>
  <c r="CH11" i="48"/>
  <c r="F14" i="58"/>
  <c r="BT13" i="48"/>
  <c r="L17" i="63"/>
  <c r="M17"/>
  <c r="CD11" i="48"/>
  <c r="N17" i="63"/>
  <c r="O17"/>
  <c r="BJ13" i="48"/>
  <c r="CM17"/>
  <c r="BO11"/>
  <c r="AO17"/>
  <c r="BY17"/>
  <c r="CA17"/>
  <c r="S17"/>
  <c r="U17"/>
  <c r="CK17"/>
  <c r="BU17"/>
  <c r="AN11"/>
  <c r="L11"/>
  <c r="AB11"/>
  <c r="AV11"/>
  <c r="BR11"/>
  <c r="BZ11"/>
  <c r="AZ11"/>
  <c r="AT11"/>
  <c r="BD11"/>
  <c r="P11"/>
  <c r="BH11"/>
  <c r="BK17"/>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CA11"/>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CV13" i="48"/>
  <c r="W11"/>
  <c r="AG11"/>
  <c r="AQ11"/>
  <c r="CG11"/>
  <c r="AS11"/>
  <c r="AC11"/>
  <c r="I14" i="58"/>
  <c r="I15" s="1"/>
  <c r="I16" s="1"/>
  <c r="I17" s="1"/>
  <c r="I18" s="1"/>
  <c r="I19" s="1"/>
  <c r="I20" s="1"/>
  <c r="I21" s="1"/>
  <c r="I22" s="1"/>
  <c r="I23" s="1"/>
  <c r="I24" s="1"/>
  <c r="I25" s="1"/>
  <c r="I26" s="1"/>
  <c r="I27" s="1"/>
  <c r="I28" s="1"/>
  <c r="I29" s="1"/>
  <c r="AD11" i="48"/>
  <c r="CZ11"/>
  <c r="CR11"/>
  <c r="CT11"/>
  <c r="CF11"/>
  <c r="AJ11"/>
  <c r="BL11"/>
  <c r="CB11"/>
  <c r="AH11"/>
  <c r="CL11"/>
  <c r="BT11"/>
  <c r="T11"/>
  <c r="CX11"/>
  <c r="AF11"/>
  <c r="J11"/>
  <c r="BF11"/>
  <c r="CP11"/>
  <c r="BB11"/>
  <c r="BN11"/>
  <c r="BJ11"/>
  <c r="G23" i="52"/>
  <c r="A24" i="48" a="1"/>
  <c r="A24" s="1"/>
  <c r="I24" s="1"/>
  <c r="X11"/>
  <c r="AL11"/>
  <c r="R11"/>
  <c r="AP11"/>
  <c r="Z11"/>
  <c r="F25" i="58"/>
  <c r="DA11" i="48"/>
  <c r="CW11"/>
  <c r="BG11"/>
  <c r="BB13"/>
  <c r="CL13"/>
  <c r="N11"/>
  <c r="CV11"/>
  <c r="V11"/>
  <c r="A29" a="1"/>
  <c r="A29" s="1"/>
  <c r="I29" s="1"/>
  <c r="A17" a="1"/>
  <c r="A17" s="1"/>
  <c r="I17" s="1"/>
  <c r="H23" i="52"/>
  <c r="I23"/>
  <c r="A16" i="48" a="1"/>
  <c r="A16" s="1"/>
  <c r="I16" s="1"/>
  <c r="A14" a="1"/>
  <c r="A14" s="1"/>
  <c r="I14" s="1"/>
  <c r="F29" i="58"/>
  <c r="H15" i="57"/>
  <c r="J15"/>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F27"/>
  <c r="H14" i="57"/>
  <c r="J14"/>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F23"/>
  <c r="G32"/>
  <c r="G125" i="43"/>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Q22"/>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F26" i="58"/>
  <c r="H32"/>
  <c r="F16"/>
  <c r="F18"/>
  <c r="A128" i="43"/>
  <c r="F20" i="58"/>
  <c r="F28"/>
  <c r="K14" i="57"/>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CS20"/>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A15" a="1"/>
  <c r="A15" s="1"/>
  <c r="I15" s="1"/>
  <c r="K121" i="57" l="1"/>
  <c r="J121"/>
  <c r="H121"/>
  <c r="K15"/>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K84" s="1"/>
  <c r="K85" s="1"/>
  <c r="K86" s="1"/>
  <c r="K87" s="1"/>
  <c r="K88" s="1"/>
  <c r="K89" s="1"/>
  <c r="K90" s="1"/>
  <c r="K91" s="1"/>
  <c r="K92" s="1"/>
  <c r="K93" s="1"/>
  <c r="K94" s="1"/>
  <c r="K95" s="1"/>
  <c r="K96" s="1"/>
  <c r="K97" s="1"/>
  <c r="K98" s="1"/>
  <c r="K99" s="1"/>
  <c r="K100" s="1"/>
  <c r="K101" s="1"/>
  <c r="K102" s="1"/>
  <c r="K103" s="1"/>
  <c r="K104" s="1"/>
  <c r="K105" s="1"/>
  <c r="K106" s="1"/>
  <c r="K107" s="1"/>
  <c r="K108" s="1"/>
  <c r="K109" s="1"/>
  <c r="K110" s="1"/>
  <c r="K111" s="1"/>
  <c r="K112" s="1"/>
  <c r="K113" s="1"/>
  <c r="K114" s="1"/>
  <c r="K115" s="1"/>
  <c r="K116" s="1"/>
  <c r="K117" s="1"/>
  <c r="K118" s="1"/>
  <c r="K119" s="1"/>
  <c r="N18" i="63"/>
  <c r="M18"/>
  <c r="O18"/>
  <c r="L18"/>
  <c r="N24" i="52"/>
  <c r="J213" i="14"/>
  <c r="I15"/>
  <c r="J15"/>
  <c r="L14" i="57"/>
  <c r="M185" i="63"/>
  <c r="M24" i="52"/>
  <c r="BS52" i="48"/>
  <c r="BS54" s="1"/>
  <c r="BS54" i="49" s="1"/>
  <c r="BS54" i="50" s="1"/>
  <c r="BS54" i="51" s="1"/>
  <c r="Q52" i="48"/>
  <c r="Q54" s="1"/>
  <c r="Q54" i="49" s="1"/>
  <c r="Q54" i="50" s="1"/>
  <c r="Q54" i="51" s="1"/>
  <c r="K24" i="52"/>
  <c r="N185"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185"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F42" i="50"/>
  <c r="AS52" i="48"/>
  <c r="AC52"/>
  <c r="AG52"/>
  <c r="F44" i="51"/>
  <c r="BT52" i="48"/>
  <c r="CV52"/>
  <c r="F47" i="50"/>
  <c r="F44" i="49"/>
  <c r="F49"/>
  <c r="W52" i="48"/>
  <c r="BG52"/>
  <c r="F41" i="51"/>
  <c r="J52" i="48"/>
  <c r="F48" i="50"/>
  <c r="F49"/>
  <c r="F46" i="51"/>
  <c r="F48"/>
  <c r="F42" i="49"/>
  <c r="F41"/>
  <c r="F40"/>
  <c r="F47"/>
  <c r="F48"/>
  <c r="F50" i="50"/>
  <c r="F44"/>
  <c r="AQ52" i="48"/>
  <c r="F50" i="51"/>
  <c r="F42"/>
  <c r="F43"/>
  <c r="I32" i="58"/>
  <c r="V52" i="48"/>
  <c r="F47" i="51"/>
  <c r="O185" i="63"/>
  <c r="F43" i="49"/>
  <c r="F46"/>
  <c r="I213" i="14"/>
  <c r="L121" i="57" l="1"/>
  <c r="L15"/>
  <c r="L16" s="1"/>
  <c r="L17" s="1"/>
  <c r="L18" s="1"/>
  <c r="L19" s="1"/>
  <c r="L20" s="1"/>
  <c r="L19" i="63"/>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K20" s="1"/>
  <c r="AK53" i="48"/>
  <c r="AK10" i="49" s="1"/>
  <c r="BR53" i="48"/>
  <c r="BR10" i="49" s="1"/>
  <c r="AH53" i="48"/>
  <c r="AH10" i="49" s="1"/>
  <c r="BO53" i="48"/>
  <c r="BO10" i="49" s="1"/>
  <c r="BN53" s="1"/>
  <c r="BN10" i="50"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L21" i="57" l="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L84" s="1"/>
  <c r="L85" s="1"/>
  <c r="L86" s="1"/>
  <c r="L87" s="1"/>
  <c r="L88" s="1"/>
  <c r="L89" s="1"/>
  <c r="L90" s="1"/>
  <c r="L91" s="1"/>
  <c r="L92" s="1"/>
  <c r="L93" s="1"/>
  <c r="L94" s="1"/>
  <c r="L95" s="1"/>
  <c r="L96" s="1"/>
  <c r="L97" s="1"/>
  <c r="L98" s="1"/>
  <c r="L99" s="1"/>
  <c r="L100" s="1"/>
  <c r="L101" s="1"/>
  <c r="L102" s="1"/>
  <c r="L103" s="1"/>
  <c r="L104" s="1"/>
  <c r="L105" s="1"/>
  <c r="L106" s="1"/>
  <c r="L107" s="1"/>
  <c r="L108" s="1"/>
  <c r="L109" s="1"/>
  <c r="L110" s="1"/>
  <c r="L111" s="1"/>
  <c r="L112" s="1"/>
  <c r="L113" s="1"/>
  <c r="L114" s="1"/>
  <c r="L115" s="1"/>
  <c r="L116" s="1"/>
  <c r="L117" s="1"/>
  <c r="L118" s="1"/>
  <c r="L119" s="1"/>
  <c r="AM53" i="49"/>
  <c r="AM10" i="50" s="1"/>
  <c r="L20" i="63"/>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BX53" l="1"/>
  <c r="BX10" i="51" s="1"/>
  <c r="AK53" i="50"/>
  <c r="AK10" i="51" s="1"/>
  <c r="L21" i="63"/>
  <c r="M21"/>
  <c r="N21"/>
  <c r="O21"/>
  <c r="I18" i="14"/>
  <c r="J18"/>
  <c r="AO53" i="50"/>
  <c r="AO10" i="51" s="1"/>
  <c r="AJ53" i="50"/>
  <c r="AJ10" i="51" s="1"/>
  <c r="AJ53" s="1"/>
  <c r="P53" i="50"/>
  <c r="P10" i="51" s="1"/>
  <c r="AM53" i="50"/>
  <c r="AM10" i="51" s="1"/>
  <c r="AL53" s="1"/>
  <c r="BE53" i="50"/>
  <c r="BE10" i="51" s="1"/>
  <c r="CK53" i="50"/>
  <c r="CK10" i="51" s="1"/>
  <c r="BZ53" i="50"/>
  <c r="BZ10" i="51" s="1"/>
  <c r="K21" i="52"/>
  <c r="K22" s="1"/>
  <c r="N21"/>
  <c r="N2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BN53" s="1"/>
  <c r="AA53" i="50"/>
  <c r="AA10" i="51" s="1"/>
  <c r="CA53" i="50"/>
  <c r="CA10" i="51" s="1"/>
  <c r="BY53" i="50"/>
  <c r="BY10" i="51"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L22" i="52" l="1"/>
  <c r="M22"/>
  <c r="BX53" i="51"/>
  <c r="BE53"/>
  <c r="O22" i="63"/>
  <c r="L22"/>
  <c r="M22"/>
  <c r="N22"/>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O23" i="63" l="1"/>
  <c r="N23"/>
  <c r="M23"/>
  <c r="L23"/>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M24" i="63" l="1"/>
  <c r="N24"/>
  <c r="O24"/>
  <c r="L24"/>
  <c r="I21" i="14"/>
  <c r="J21"/>
  <c r="CN53" i="51"/>
  <c r="CO53"/>
  <c r="CR53"/>
  <c r="CZ53" i="50"/>
  <c r="CZ10" i="51" s="1"/>
  <c r="CZ53" s="1"/>
  <c r="CV53"/>
  <c r="CE53"/>
  <c r="CF53"/>
  <c r="CG53"/>
  <c r="CW53"/>
  <c r="CD53"/>
  <c r="O25" i="63" l="1"/>
  <c r="N25"/>
  <c r="M25"/>
  <c r="L25"/>
  <c r="J22" i="14"/>
  <c r="I22"/>
  <c r="DA53" i="51"/>
  <c r="M26" i="63" l="1"/>
  <c r="L26"/>
  <c r="O26"/>
  <c r="N26"/>
  <c r="I23" i="14"/>
  <c r="J23"/>
  <c r="M27" i="63" l="1"/>
  <c r="N27"/>
  <c r="O27"/>
  <c r="L27"/>
  <c r="J24" i="14"/>
  <c r="I24"/>
  <c r="M28" i="63" l="1"/>
  <c r="O28"/>
  <c r="N28"/>
  <c r="L28"/>
  <c r="I25" i="14"/>
  <c r="J25"/>
  <c r="L29" i="63" l="1"/>
  <c r="N29"/>
  <c r="O29"/>
  <c r="M29"/>
  <c r="J26" i="14"/>
  <c r="I26"/>
  <c r="L30" i="63" l="1"/>
  <c r="N30"/>
  <c r="M30"/>
  <c r="O30"/>
  <c r="I27" i="14"/>
  <c r="J27"/>
  <c r="N31" i="63" l="1"/>
  <c r="O31"/>
  <c r="L31"/>
  <c r="M31"/>
  <c r="J28" i="14"/>
  <c r="I28"/>
  <c r="N32" i="63" l="1"/>
  <c r="M32"/>
  <c r="L32"/>
  <c r="L33" s="1"/>
  <c r="O32"/>
  <c r="I29" i="14"/>
  <c r="J29"/>
  <c r="O33" i="63" l="1"/>
  <c r="N33"/>
  <c r="N34" s="1"/>
  <c r="M33"/>
  <c r="J30" i="14"/>
  <c r="I30"/>
  <c r="M34" i="63" l="1"/>
  <c r="L34"/>
  <c r="L35" s="1"/>
  <c r="O34"/>
  <c r="O35" s="1"/>
  <c r="I31" i="14"/>
  <c r="J31"/>
  <c r="N35" i="63" l="1"/>
  <c r="N36" s="1"/>
  <c r="M35"/>
  <c r="M36" s="1"/>
  <c r="J32" i="14"/>
  <c r="I32"/>
  <c r="L36" i="63" l="1"/>
  <c r="N37" s="1"/>
  <c r="O36"/>
  <c r="O37" s="1"/>
  <c r="I33" i="14"/>
  <c r="J33"/>
  <c r="L37" i="63" l="1"/>
  <c r="L38" s="1"/>
  <c r="M37"/>
  <c r="M38" s="1"/>
  <c r="J34" i="14"/>
  <c r="I34"/>
  <c r="N38" i="63" l="1"/>
  <c r="N39" s="1"/>
  <c r="O38"/>
  <c r="I35" i="14"/>
  <c r="J35"/>
  <c r="L39" i="63" l="1"/>
  <c r="L40" s="1"/>
  <c r="O39"/>
  <c r="M39"/>
  <c r="J36" i="14"/>
  <c r="I36"/>
  <c r="N40" i="63" l="1"/>
  <c r="N41" s="1"/>
  <c r="M40"/>
  <c r="L41"/>
  <c r="O40"/>
  <c r="I37" i="14"/>
  <c r="J37"/>
  <c r="L42" i="63" l="1"/>
  <c r="O41"/>
  <c r="N42"/>
  <c r="N43" s="1"/>
  <c r="M41"/>
  <c r="J38" i="14"/>
  <c r="I38"/>
  <c r="M42" i="63" l="1"/>
  <c r="J39" i="14"/>
  <c r="I39"/>
  <c r="L43" i="63"/>
  <c r="L44" s="1"/>
  <c r="O42"/>
  <c r="O43" l="1"/>
  <c r="I40" i="14"/>
  <c r="J40"/>
  <c r="N44" i="63"/>
  <c r="N45" s="1"/>
  <c r="M43"/>
  <c r="M44" l="1"/>
  <c r="J41" i="14"/>
  <c r="I41"/>
  <c r="L45" i="63"/>
  <c r="L46" s="1"/>
  <c r="O44"/>
  <c r="O45" s="1"/>
  <c r="I42" i="14" l="1"/>
  <c r="J42"/>
  <c r="N46" i="63"/>
  <c r="N47" s="1"/>
  <c r="M45"/>
  <c r="M46" s="1"/>
  <c r="J43" i="14" l="1"/>
  <c r="I43"/>
  <c r="L47" i="63"/>
  <c r="L48" s="1"/>
  <c r="O46"/>
  <c r="O47" s="1"/>
  <c r="I44" i="14" l="1"/>
  <c r="J44"/>
  <c r="M47" i="63"/>
  <c r="M48" s="1"/>
  <c r="N48"/>
  <c r="N49" s="1"/>
  <c r="J45" i="14" l="1"/>
  <c r="I45"/>
  <c r="L49" i="63"/>
  <c r="L50" s="1"/>
  <c r="O48"/>
  <c r="O49" s="1"/>
  <c r="I46" i="14" l="1"/>
  <c r="J46"/>
  <c r="N50" i="63"/>
  <c r="N51" s="1"/>
  <c r="M49"/>
  <c r="M50" s="1"/>
  <c r="J47" i="14" l="1"/>
  <c r="I47"/>
  <c r="L51" i="63"/>
  <c r="L52" s="1"/>
  <c r="O50"/>
  <c r="O51" s="1"/>
  <c r="N52" l="1"/>
  <c r="N53" s="1"/>
  <c r="I48" i="14"/>
  <c r="J48"/>
  <c r="M51" i="63"/>
  <c r="M52" s="1"/>
  <c r="L53"/>
  <c r="L54" s="1"/>
  <c r="N54" l="1"/>
  <c r="N55" s="1"/>
  <c r="J49" i="14"/>
  <c r="I49"/>
  <c r="O52" i="63"/>
  <c r="O53" s="1"/>
  <c r="L55" l="1"/>
  <c r="L56" s="1"/>
  <c r="J50" i="14"/>
  <c r="I50"/>
  <c r="M53" i="63"/>
  <c r="M54" s="1"/>
  <c r="N56" l="1"/>
  <c r="N57" s="1"/>
  <c r="O54"/>
  <c r="O55" s="1"/>
  <c r="I51" i="14"/>
  <c r="J51"/>
  <c r="L57" i="63" l="1"/>
  <c r="L58" s="1"/>
  <c r="M55"/>
  <c r="M56" s="1"/>
  <c r="J52" i="14"/>
  <c r="I52"/>
  <c r="N58" i="63" l="1"/>
  <c r="N59" s="1"/>
  <c r="O56"/>
  <c r="O57" s="1"/>
  <c r="I53" i="14"/>
  <c r="J53"/>
  <c r="L59" i="63" l="1"/>
  <c r="L60" s="1"/>
  <c r="M57"/>
  <c r="M58" s="1"/>
  <c r="J54" i="14"/>
  <c r="I54"/>
  <c r="N81" i="55"/>
  <c r="I39" i="12" l="1"/>
  <c r="I17"/>
  <c r="I7"/>
  <c r="O58" i="63"/>
  <c r="O59" s="1"/>
  <c r="N60"/>
  <c r="N61" s="1"/>
  <c r="I55" i="14"/>
  <c r="J55"/>
  <c r="I22" i="12"/>
  <c r="I6"/>
  <c r="I14"/>
  <c r="I28"/>
  <c r="I34"/>
  <c r="I25"/>
  <c r="I4"/>
  <c r="I64"/>
  <c r="M59" i="63" l="1"/>
  <c r="M60" s="1"/>
  <c r="L61"/>
  <c r="J56" i="14"/>
  <c r="I56"/>
  <c r="I36" i="12"/>
  <c r="I23"/>
  <c r="I33"/>
  <c r="I15"/>
  <c r="I38"/>
  <c r="I40"/>
  <c r="I35"/>
  <c r="I18"/>
  <c r="I31"/>
  <c r="I13"/>
  <c r="I29"/>
  <c r="I8"/>
  <c r="I21"/>
  <c r="I32"/>
  <c r="I41"/>
  <c r="I16"/>
  <c r="O60" i="63" l="1"/>
  <c r="O61" s="1"/>
  <c r="M61"/>
  <c r="M62" s="1"/>
  <c r="L62"/>
  <c r="N62"/>
  <c r="J57" i="14"/>
  <c r="I57"/>
  <c r="O62" i="63" l="1"/>
  <c r="O63" s="1"/>
  <c r="L63"/>
  <c r="N63"/>
  <c r="I58" i="14"/>
  <c r="J58"/>
  <c r="M63" i="63" l="1"/>
  <c r="M64" s="1"/>
  <c r="N64"/>
  <c r="L64"/>
  <c r="J59" i="14"/>
  <c r="I59"/>
  <c r="O64" i="63" l="1"/>
  <c r="O65" s="1"/>
  <c r="L65"/>
  <c r="N65"/>
  <c r="I60" i="14"/>
  <c r="J60"/>
  <c r="M65" i="63" l="1"/>
  <c r="O66" s="1"/>
  <c r="N66"/>
  <c r="L66"/>
  <c r="I61" i="14"/>
  <c r="J61"/>
  <c r="M66" i="63" l="1"/>
  <c r="M67" s="1"/>
  <c r="L67"/>
  <c r="N67"/>
  <c r="I62" i="14"/>
  <c r="J62"/>
  <c r="O67" i="63" l="1"/>
  <c r="O68" s="1"/>
  <c r="N68"/>
  <c r="L68"/>
  <c r="J63" i="14"/>
  <c r="I63"/>
  <c r="P15" i="60"/>
  <c r="T15" s="1"/>
  <c r="P16"/>
  <c r="T16" s="1"/>
  <c r="N8"/>
  <c r="P8" s="1"/>
  <c r="T8" s="1"/>
  <c r="G12" i="61"/>
  <c r="B13"/>
  <c r="M68" i="63" l="1"/>
  <c r="M69" s="1"/>
  <c r="L69"/>
  <c r="N69"/>
  <c r="J64" i="14"/>
  <c r="I64"/>
  <c r="N10" i="60"/>
  <c r="P10" s="1"/>
  <c r="T10" s="1"/>
  <c r="N12"/>
  <c r="P12" s="1"/>
  <c r="T12" s="1"/>
  <c r="N13"/>
  <c r="P13" s="1"/>
  <c r="T13" s="1"/>
  <c r="N11"/>
  <c r="P11" s="1"/>
  <c r="T11" s="1"/>
  <c r="N14"/>
  <c r="P14" s="1"/>
  <c r="T14" s="1"/>
  <c r="N9"/>
  <c r="P9" s="1"/>
  <c r="T9" s="1"/>
  <c r="N7"/>
  <c r="G13" i="61"/>
  <c r="G14" s="1"/>
  <c r="B12"/>
  <c r="B14" s="1"/>
  <c r="B1232" i="34"/>
  <c r="Q1232" l="1"/>
  <c r="S1232"/>
  <c r="R1232"/>
  <c r="O69" i="63"/>
  <c r="M70" s="1"/>
  <c r="N70"/>
  <c r="L70"/>
  <c r="J65" i="14"/>
  <c r="I65"/>
  <c r="A1232" i="34"/>
  <c r="P7" i="60"/>
  <c r="T7" s="1"/>
  <c r="N18"/>
  <c r="F18" i="56"/>
  <c r="O70" i="63" l="1"/>
  <c r="O71" s="1"/>
  <c r="L71"/>
  <c r="N71"/>
  <c r="J66" i="14"/>
  <c r="I66"/>
  <c r="D113" i="69"/>
  <c r="D100"/>
  <c r="I134"/>
  <c r="I148"/>
  <c r="A119"/>
  <c r="D101"/>
  <c r="D140"/>
  <c r="G113"/>
  <c r="I128"/>
  <c r="I151"/>
  <c r="H112"/>
  <c r="A102"/>
  <c r="A144"/>
  <c r="I143"/>
  <c r="D123"/>
  <c r="H103"/>
  <c r="H129"/>
  <c r="I127"/>
  <c r="I97"/>
  <c r="D98"/>
  <c r="H123"/>
  <c r="H118"/>
  <c r="D117"/>
  <c r="A149"/>
  <c r="A124"/>
  <c r="H101"/>
  <c r="A107"/>
  <c r="D126"/>
  <c r="A139"/>
  <c r="A99"/>
  <c r="I144"/>
  <c r="A114"/>
  <c r="A108"/>
  <c r="I106"/>
  <c r="I135"/>
  <c r="H99"/>
  <c r="D145"/>
  <c r="G136"/>
  <c r="H131"/>
  <c r="I81"/>
  <c r="I51"/>
  <c r="G124"/>
  <c r="D137"/>
  <c r="G108"/>
  <c r="I146"/>
  <c r="A117"/>
  <c r="A104"/>
  <c r="G102"/>
  <c r="I138"/>
  <c r="H117"/>
  <c r="D143"/>
  <c r="I131"/>
  <c r="H130"/>
  <c r="D112"/>
  <c r="A95"/>
  <c r="D136"/>
  <c r="H121"/>
  <c r="H143"/>
  <c r="I103"/>
  <c r="A112"/>
  <c r="G99"/>
  <c r="H138"/>
  <c r="G132"/>
  <c r="D120"/>
  <c r="D151"/>
  <c r="G128"/>
  <c r="D116"/>
  <c r="I114"/>
  <c r="D150"/>
  <c r="A115"/>
  <c r="H107"/>
  <c r="D146"/>
  <c r="A145"/>
  <c r="A123"/>
  <c r="G107"/>
  <c r="A131"/>
  <c r="G127"/>
  <c r="A109"/>
  <c r="H119"/>
  <c r="A132"/>
  <c r="H71"/>
  <c r="G121"/>
  <c r="A120"/>
  <c r="G118"/>
  <c r="H135"/>
  <c r="H114"/>
  <c r="A101"/>
  <c r="G148"/>
  <c r="I115"/>
  <c r="I126"/>
  <c r="H102"/>
  <c r="I129"/>
  <c r="I98"/>
  <c r="H98"/>
  <c r="D97"/>
  <c r="A129"/>
  <c r="I95"/>
  <c r="H147"/>
  <c r="H137"/>
  <c r="A136"/>
  <c r="G104"/>
  <c r="D138"/>
  <c r="G126"/>
  <c r="A125"/>
  <c r="A146"/>
  <c r="I122"/>
  <c r="I96"/>
  <c r="A98"/>
  <c r="H106"/>
  <c r="I124"/>
  <c r="I102"/>
  <c r="I149"/>
  <c r="A135"/>
  <c r="D104"/>
  <c r="H95"/>
  <c r="G147"/>
  <c r="I123"/>
  <c r="G105"/>
  <c r="A153"/>
  <c r="H151"/>
  <c r="A137"/>
  <c r="H115"/>
  <c r="A70"/>
  <c r="I107"/>
  <c r="I77"/>
  <c r="A106"/>
  <c r="D59"/>
  <c r="H68"/>
  <c r="H72"/>
  <c r="G149"/>
  <c r="H79"/>
  <c r="D84"/>
  <c r="H153"/>
  <c r="G152"/>
  <c r="G123"/>
  <c r="A150"/>
  <c r="G138"/>
  <c r="A127"/>
  <c r="H125"/>
  <c r="H144"/>
  <c r="I61"/>
  <c r="D86"/>
  <c r="D58"/>
  <c r="H139"/>
  <c r="G114"/>
  <c r="A96"/>
  <c r="G153"/>
  <c r="A116"/>
  <c r="G115"/>
  <c r="I152"/>
  <c r="G133"/>
  <c r="H96"/>
  <c r="H148"/>
  <c r="D147"/>
  <c r="D127"/>
  <c r="I99"/>
  <c r="G134"/>
  <c r="H142"/>
  <c r="G141"/>
  <c r="I113"/>
  <c r="D109"/>
  <c r="H22"/>
  <c r="G68"/>
  <c r="D67"/>
  <c r="D71"/>
  <c r="A151"/>
  <c r="A128"/>
  <c r="D83"/>
  <c r="A147"/>
  <c r="H145"/>
  <c r="G122"/>
  <c r="G103"/>
  <c r="G131"/>
  <c r="I139"/>
  <c r="A105"/>
  <c r="D95"/>
  <c r="I130"/>
  <c r="D121"/>
  <c r="I145"/>
  <c r="D141"/>
  <c r="A140"/>
  <c r="D119"/>
  <c r="A62"/>
  <c r="G76"/>
  <c r="A82"/>
  <c r="A111"/>
  <c r="I68"/>
  <c r="D63"/>
  <c r="D87"/>
  <c r="D90"/>
  <c r="G142"/>
  <c r="D106"/>
  <c r="D148"/>
  <c r="I136"/>
  <c r="D135"/>
  <c r="G98"/>
  <c r="D152"/>
  <c r="A141"/>
  <c r="G119"/>
  <c r="I153"/>
  <c r="G144"/>
  <c r="G140"/>
  <c r="H128"/>
  <c r="I125"/>
  <c r="H146"/>
  <c r="G139"/>
  <c r="A118"/>
  <c r="A148"/>
  <c r="H126"/>
  <c r="D134"/>
  <c r="G96"/>
  <c r="H133"/>
  <c r="I117"/>
  <c r="D118"/>
  <c r="I116"/>
  <c r="D111"/>
  <c r="D88"/>
  <c r="H109"/>
  <c r="A74"/>
  <c r="G80"/>
  <c r="D89"/>
  <c r="A138"/>
  <c r="D124"/>
  <c r="H124"/>
  <c r="D103"/>
  <c r="I57"/>
  <c r="D115"/>
  <c r="D99"/>
  <c r="H64"/>
  <c r="A91"/>
  <c r="A143"/>
  <c r="G64"/>
  <c r="H80"/>
  <c r="D144"/>
  <c r="H91"/>
  <c r="H134"/>
  <c r="A65"/>
  <c r="A152"/>
  <c r="G130"/>
  <c r="G129"/>
  <c r="I137"/>
  <c r="G73"/>
  <c r="G116"/>
  <c r="G150"/>
  <c r="D129"/>
  <c r="A142"/>
  <c r="I100"/>
  <c r="A92"/>
  <c r="D125"/>
  <c r="H120"/>
  <c r="I120"/>
  <c r="A78"/>
  <c r="D79"/>
  <c r="D102"/>
  <c r="G72"/>
  <c r="D85"/>
  <c r="I73"/>
  <c r="H132"/>
  <c r="H60"/>
  <c r="A42"/>
  <c r="A134"/>
  <c r="I150"/>
  <c r="I141"/>
  <c r="H97"/>
  <c r="D132"/>
  <c r="I147"/>
  <c r="A126"/>
  <c r="A97"/>
  <c r="H140"/>
  <c r="D122"/>
  <c r="A121"/>
  <c r="G109"/>
  <c r="D75"/>
  <c r="I112"/>
  <c r="D108"/>
  <c r="H104"/>
  <c r="I69"/>
  <c r="G145"/>
  <c r="A66"/>
  <c r="I65"/>
  <c r="I46"/>
  <c r="D107"/>
  <c r="I133"/>
  <c r="I121"/>
  <c r="D128"/>
  <c r="G95"/>
  <c r="G135"/>
  <c r="I119"/>
  <c r="G106"/>
  <c r="D105"/>
  <c r="H141"/>
  <c r="G120"/>
  <c r="H108"/>
  <c r="H152"/>
  <c r="D96"/>
  <c r="G112"/>
  <c r="G146"/>
  <c r="H136"/>
  <c r="A103"/>
  <c r="H150"/>
  <c r="D149"/>
  <c r="I118"/>
  <c r="G151"/>
  <c r="I132"/>
  <c r="A130"/>
  <c r="G97"/>
  <c r="D130"/>
  <c r="A122"/>
  <c r="G100"/>
  <c r="H105"/>
  <c r="D139"/>
  <c r="H116"/>
  <c r="I105"/>
  <c r="I140"/>
  <c r="D114"/>
  <c r="H127"/>
  <c r="A58"/>
  <c r="H122"/>
  <c r="I104"/>
  <c r="I101"/>
  <c r="H100"/>
  <c r="G137"/>
  <c r="D61"/>
  <c r="A80"/>
  <c r="H58"/>
  <c r="A76"/>
  <c r="A110"/>
  <c r="G40"/>
  <c r="G53"/>
  <c r="I54"/>
  <c r="D42"/>
  <c r="A52"/>
  <c r="D46"/>
  <c r="H78"/>
  <c r="H66"/>
  <c r="H110"/>
  <c r="I63"/>
  <c r="D73"/>
  <c r="I58"/>
  <c r="I40"/>
  <c r="A55"/>
  <c r="H53"/>
  <c r="A133"/>
  <c r="H24"/>
  <c r="H26"/>
  <c r="D27"/>
  <c r="I25"/>
  <c r="I30"/>
  <c r="G18"/>
  <c r="A30"/>
  <c r="A47"/>
  <c r="A50"/>
  <c r="D44"/>
  <c r="I55"/>
  <c r="A32"/>
  <c r="G35"/>
  <c r="H39"/>
  <c r="I36"/>
  <c r="H30"/>
  <c r="G22"/>
  <c r="D17"/>
  <c r="H16"/>
  <c r="D23"/>
  <c r="A113"/>
  <c r="G90"/>
  <c r="G44"/>
  <c r="G88"/>
  <c r="G75"/>
  <c r="G86"/>
  <c r="I111"/>
  <c r="D110"/>
  <c r="I80"/>
  <c r="H63"/>
  <c r="D78"/>
  <c r="H89"/>
  <c r="D53"/>
  <c r="A41"/>
  <c r="I50"/>
  <c r="G94"/>
  <c r="D48"/>
  <c r="D65"/>
  <c r="H74"/>
  <c r="H62"/>
  <c r="G82"/>
  <c r="G125"/>
  <c r="I85"/>
  <c r="I93"/>
  <c r="I83"/>
  <c r="I71"/>
  <c r="D81"/>
  <c r="I88"/>
  <c r="D57"/>
  <c r="G74"/>
  <c r="H54"/>
  <c r="G70"/>
  <c r="G91"/>
  <c r="A46"/>
  <c r="I89"/>
  <c r="G43"/>
  <c r="I87"/>
  <c r="G41"/>
  <c r="H84"/>
  <c r="I110"/>
  <c r="H81"/>
  <c r="H69"/>
  <c r="H37"/>
  <c r="A20"/>
  <c r="G23"/>
  <c r="H59"/>
  <c r="A36"/>
  <c r="I109"/>
  <c r="D66"/>
  <c r="A43"/>
  <c r="D26"/>
  <c r="H40"/>
  <c r="H25"/>
  <c r="D93"/>
  <c r="A26"/>
  <c r="D91"/>
  <c r="I76"/>
  <c r="I64"/>
  <c r="D74"/>
  <c r="H83"/>
  <c r="D49"/>
  <c r="G93"/>
  <c r="A81"/>
  <c r="G101"/>
  <c r="D133"/>
  <c r="D80"/>
  <c r="D68"/>
  <c r="H77"/>
  <c r="H65"/>
  <c r="I74"/>
  <c r="H49"/>
  <c r="I49"/>
  <c r="D47"/>
  <c r="I90"/>
  <c r="I44"/>
  <c r="G56"/>
  <c r="G61"/>
  <c r="H86"/>
  <c r="H73"/>
  <c r="I82"/>
  <c r="H94"/>
  <c r="I56"/>
  <c r="A45"/>
  <c r="A54"/>
  <c r="I42"/>
  <c r="G111"/>
  <c r="H23"/>
  <c r="G26"/>
  <c r="A19"/>
  <c r="I32"/>
  <c r="G21"/>
  <c r="D35"/>
  <c r="I14"/>
  <c r="D21"/>
  <c r="D36"/>
  <c r="D25"/>
  <c r="G33"/>
  <c r="D94"/>
  <c r="G34"/>
  <c r="D37"/>
  <c r="G37"/>
  <c r="G20"/>
  <c r="H75"/>
  <c r="G54"/>
  <c r="I72"/>
  <c r="I60"/>
  <c r="D142"/>
  <c r="G59"/>
  <c r="H85"/>
  <c r="H111"/>
  <c r="D82"/>
  <c r="H93"/>
  <c r="I22"/>
  <c r="H67"/>
  <c r="D54"/>
  <c r="H55"/>
  <c r="H28"/>
  <c r="D62"/>
  <c r="G84"/>
  <c r="G67"/>
  <c r="D92"/>
  <c r="G63"/>
  <c r="A77"/>
  <c r="G66"/>
  <c r="I47"/>
  <c r="G62"/>
  <c r="H43"/>
  <c r="I78"/>
  <c r="H90"/>
  <c r="G32"/>
  <c r="H38"/>
  <c r="I23"/>
  <c r="A14"/>
  <c r="D24"/>
  <c r="H19"/>
  <c r="D32"/>
  <c r="H21"/>
  <c r="D20"/>
  <c r="G25"/>
  <c r="D19"/>
  <c r="A18"/>
  <c r="I15"/>
  <c r="D14"/>
  <c r="H34"/>
  <c r="H18"/>
  <c r="A15"/>
  <c r="D31"/>
  <c r="G15"/>
  <c r="A100"/>
  <c r="I142"/>
  <c r="A60"/>
  <c r="H41"/>
  <c r="I45"/>
  <c r="A56"/>
  <c r="H50"/>
  <c r="G87"/>
  <c r="A73"/>
  <c r="G85"/>
  <c r="A69"/>
  <c r="G83"/>
  <c r="A72"/>
  <c r="G92"/>
  <c r="A68"/>
  <c r="G49"/>
  <c r="A64"/>
  <c r="G78"/>
  <c r="G42"/>
  <c r="I86"/>
  <c r="I75"/>
  <c r="H149"/>
  <c r="D131"/>
  <c r="I27"/>
  <c r="H52"/>
  <c r="A39"/>
  <c r="H48"/>
  <c r="I37"/>
  <c r="D40"/>
  <c r="I48"/>
  <c r="A94"/>
  <c r="A83"/>
  <c r="A90"/>
  <c r="I43"/>
  <c r="I24"/>
  <c r="I39"/>
  <c r="H56"/>
  <c r="D15"/>
  <c r="D16"/>
  <c r="G30"/>
  <c r="A16"/>
  <c r="A22"/>
  <c r="I108"/>
  <c r="G60"/>
  <c r="G39"/>
  <c r="H33"/>
  <c r="G16"/>
  <c r="G17"/>
  <c r="I17"/>
  <c r="H31"/>
  <c r="I18"/>
  <c r="D30"/>
  <c r="G38"/>
  <c r="I38"/>
  <c r="I19"/>
  <c r="I28"/>
  <c r="H20"/>
  <c r="H35"/>
  <c r="G36"/>
  <c r="H15"/>
  <c r="A49"/>
  <c r="A48"/>
  <c r="I35"/>
  <c r="G45"/>
  <c r="G58"/>
  <c r="H14"/>
  <c r="G19"/>
  <c r="A85"/>
  <c r="G69"/>
  <c r="I92"/>
  <c r="G65"/>
  <c r="A79"/>
  <c r="D76"/>
  <c r="D64"/>
  <c r="A51"/>
  <c r="H61"/>
  <c r="I70"/>
  <c r="A93"/>
  <c r="G81"/>
  <c r="A89"/>
  <c r="G77"/>
  <c r="A87"/>
  <c r="A21"/>
  <c r="H29"/>
  <c r="I34"/>
  <c r="G55"/>
  <c r="H76"/>
  <c r="H44"/>
  <c r="D41"/>
  <c r="A44"/>
  <c r="I26"/>
  <c r="G14"/>
  <c r="H51"/>
  <c r="A33"/>
  <c r="A37"/>
  <c r="D29"/>
  <c r="G29"/>
  <c r="I33"/>
  <c r="A53"/>
  <c r="A38"/>
  <c r="D50"/>
  <c r="G50"/>
  <c r="G47"/>
  <c r="A29"/>
  <c r="G79"/>
  <c r="A61"/>
  <c r="H87"/>
  <c r="H113"/>
  <c r="G143"/>
  <c r="I53"/>
  <c r="G52"/>
  <c r="I94"/>
  <c r="G48"/>
  <c r="H46"/>
  <c r="H82"/>
  <c r="H70"/>
  <c r="I79"/>
  <c r="I67"/>
  <c r="D77"/>
  <c r="I62"/>
  <c r="D72"/>
  <c r="D60"/>
  <c r="D45"/>
  <c r="H57"/>
  <c r="I66"/>
  <c r="A88"/>
  <c r="A75"/>
  <c r="G57"/>
  <c r="G117"/>
  <c r="D153"/>
  <c r="I52"/>
  <c r="I41"/>
  <c r="A86"/>
  <c r="G110"/>
  <c r="H47"/>
  <c r="A67"/>
  <c r="I91"/>
  <c r="A63"/>
  <c r="H88"/>
  <c r="A59"/>
  <c r="H45"/>
  <c r="D56"/>
  <c r="H42"/>
  <c r="G46"/>
  <c r="D55"/>
  <c r="G51"/>
  <c r="D39"/>
  <c r="D34"/>
  <c r="A17"/>
  <c r="I29"/>
  <c r="A40"/>
  <c r="D18"/>
  <c r="D22"/>
  <c r="I31"/>
  <c r="H17"/>
  <c r="A24"/>
  <c r="A57"/>
  <c r="G71"/>
  <c r="G24"/>
  <c r="I59"/>
  <c r="D69"/>
  <c r="A23"/>
  <c r="H27"/>
  <c r="G28"/>
  <c r="A34"/>
  <c r="H36"/>
  <c r="A35"/>
  <c r="A25"/>
  <c r="D70"/>
  <c r="I21"/>
  <c r="A31"/>
  <c r="D52"/>
  <c r="G27"/>
  <c r="G31"/>
  <c r="D51"/>
  <c r="D38"/>
  <c r="H32"/>
  <c r="I20"/>
  <c r="A28"/>
  <c r="A27"/>
  <c r="G89"/>
  <c r="D43"/>
  <c r="D33"/>
  <c r="I84"/>
  <c r="H92"/>
  <c r="I16"/>
  <c r="A71"/>
  <c r="A84"/>
  <c r="D28"/>
  <c r="B25"/>
  <c r="B88"/>
  <c r="B92"/>
  <c r="B114"/>
  <c r="B49"/>
  <c r="B82"/>
  <c r="B34"/>
  <c r="B109"/>
  <c r="B79"/>
  <c r="B21"/>
  <c r="B144"/>
  <c r="B139"/>
  <c r="B54"/>
  <c r="B98"/>
  <c r="B116"/>
  <c r="B90"/>
  <c r="B153"/>
  <c r="B38"/>
  <c r="B75"/>
  <c r="B69"/>
  <c r="B96"/>
  <c r="B142"/>
  <c r="B133"/>
  <c r="B29"/>
  <c r="B18"/>
  <c r="B93"/>
  <c r="B119"/>
  <c r="B111"/>
  <c r="B123"/>
  <c r="B74"/>
  <c r="B15"/>
  <c r="B32"/>
  <c r="B100"/>
  <c r="B132"/>
  <c r="B141"/>
  <c r="B40"/>
  <c r="B52"/>
  <c r="B91"/>
  <c r="B46"/>
  <c r="B23"/>
  <c r="B61"/>
  <c r="B112"/>
  <c r="B89"/>
  <c r="B73"/>
  <c r="B117"/>
  <c r="B146"/>
  <c r="B16"/>
  <c r="B134"/>
  <c r="B56"/>
  <c r="B55"/>
  <c r="B86"/>
  <c r="B147"/>
  <c r="B95"/>
  <c r="B59"/>
  <c r="B71"/>
  <c r="B20"/>
  <c r="B33"/>
  <c r="B108"/>
  <c r="B113"/>
  <c r="B57"/>
  <c r="B104"/>
  <c r="B128"/>
  <c r="B70"/>
  <c r="B131"/>
  <c r="B37"/>
  <c r="B67"/>
  <c r="B45"/>
  <c r="B125"/>
  <c r="B135"/>
  <c r="B102"/>
  <c r="B22"/>
  <c r="B24"/>
  <c r="B42"/>
  <c r="B87"/>
  <c r="B121"/>
  <c r="B31"/>
  <c r="B110"/>
  <c r="B83"/>
  <c r="B44"/>
  <c r="B103"/>
  <c r="B151"/>
  <c r="B64"/>
  <c r="B145"/>
  <c r="B130"/>
  <c r="B48"/>
  <c r="B72"/>
  <c r="B122"/>
  <c r="B77"/>
  <c r="B60"/>
  <c r="B80"/>
  <c r="B62"/>
  <c r="B129"/>
  <c r="B120"/>
  <c r="B138"/>
  <c r="B136"/>
  <c r="B105"/>
  <c r="B50"/>
  <c r="B149"/>
  <c r="B126"/>
  <c r="B17"/>
  <c r="B30"/>
  <c r="B84"/>
  <c r="B106"/>
  <c r="B51"/>
  <c r="B107"/>
  <c r="B68"/>
  <c r="B81"/>
  <c r="B101"/>
  <c r="B143"/>
  <c r="B150"/>
  <c r="B66"/>
  <c r="B137"/>
  <c r="B152"/>
  <c r="B99"/>
  <c r="B28"/>
  <c r="B78"/>
  <c r="B76"/>
  <c r="B85"/>
  <c r="B118"/>
  <c r="B127"/>
  <c r="B14"/>
  <c r="B27"/>
  <c r="B148"/>
  <c r="B140"/>
  <c r="B41"/>
  <c r="B35"/>
  <c r="B63"/>
  <c r="B124"/>
  <c r="B115"/>
  <c r="B39"/>
  <c r="B36"/>
  <c r="B26"/>
  <c r="B58"/>
  <c r="B94"/>
  <c r="B53"/>
  <c r="B47"/>
  <c r="B43"/>
  <c r="B19"/>
  <c r="B65"/>
  <c r="B97"/>
  <c r="B1252" i="34"/>
  <c r="G18" i="56"/>
  <c r="H18" s="1"/>
  <c r="G19"/>
  <c r="G7"/>
  <c r="F21"/>
  <c r="H21" s="1"/>
  <c r="G23"/>
  <c r="A9"/>
  <c r="G8"/>
  <c r="F23"/>
  <c r="H23" s="1"/>
  <c r="G21"/>
  <c r="G17"/>
  <c r="G20"/>
  <c r="F19"/>
  <c r="H19" s="1"/>
  <c r="G22"/>
  <c r="D6"/>
  <c r="F28" s="1"/>
  <c r="F20"/>
  <c r="H20" s="1"/>
  <c r="F22"/>
  <c r="H22" s="1"/>
  <c r="B20"/>
  <c r="B19"/>
  <c r="B22"/>
  <c r="B18"/>
  <c r="B23"/>
  <c r="B21"/>
  <c r="B17"/>
  <c r="F17"/>
  <c r="Q1252" i="34" l="1"/>
  <c r="S1252"/>
  <c r="R1252"/>
  <c r="M71" i="63"/>
  <c r="N72"/>
  <c r="L72"/>
  <c r="M72"/>
  <c r="O72"/>
  <c r="J67" i="14"/>
  <c r="I67"/>
  <c r="A1252" i="34"/>
  <c r="F26" i="69"/>
  <c r="E26"/>
  <c r="J26"/>
  <c r="C26"/>
  <c r="E140"/>
  <c r="J140"/>
  <c r="C140"/>
  <c r="F140"/>
  <c r="F137"/>
  <c r="E137"/>
  <c r="J137"/>
  <c r="C137"/>
  <c r="C101"/>
  <c r="J101"/>
  <c r="F101"/>
  <c r="E101"/>
  <c r="C51"/>
  <c r="E51"/>
  <c r="F51"/>
  <c r="J51"/>
  <c r="C17"/>
  <c r="J17"/>
  <c r="F17"/>
  <c r="E17"/>
  <c r="E105"/>
  <c r="J105"/>
  <c r="C105"/>
  <c r="F105"/>
  <c r="E129"/>
  <c r="F129"/>
  <c r="C129"/>
  <c r="J129"/>
  <c r="J77"/>
  <c r="C77"/>
  <c r="F77"/>
  <c r="E77"/>
  <c r="J130"/>
  <c r="C130"/>
  <c r="F130"/>
  <c r="E130"/>
  <c r="E103"/>
  <c r="F103"/>
  <c r="J103"/>
  <c r="C103"/>
  <c r="C31"/>
  <c r="J31"/>
  <c r="E31"/>
  <c r="F31"/>
  <c r="F24"/>
  <c r="J24"/>
  <c r="E24"/>
  <c r="C24"/>
  <c r="F125"/>
  <c r="J125"/>
  <c r="E125"/>
  <c r="C125"/>
  <c r="F131"/>
  <c r="J131"/>
  <c r="C131"/>
  <c r="E131"/>
  <c r="J57"/>
  <c r="F57"/>
  <c r="C57"/>
  <c r="E57"/>
  <c r="E20"/>
  <c r="J20"/>
  <c r="F20"/>
  <c r="C20"/>
  <c r="C147"/>
  <c r="J147"/>
  <c r="F147"/>
  <c r="E147"/>
  <c r="F134"/>
  <c r="J134"/>
  <c r="C134"/>
  <c r="E134"/>
  <c r="C73"/>
  <c r="F73"/>
  <c r="E73"/>
  <c r="J73"/>
  <c r="J23"/>
  <c r="E23"/>
  <c r="C23"/>
  <c r="F23"/>
  <c r="F40"/>
  <c r="C40"/>
  <c r="E40"/>
  <c r="J40"/>
  <c r="J32"/>
  <c r="C32"/>
  <c r="E32"/>
  <c r="F32"/>
  <c r="F111"/>
  <c r="C111"/>
  <c r="J111"/>
  <c r="E111"/>
  <c r="F29"/>
  <c r="E29"/>
  <c r="J29"/>
  <c r="C29"/>
  <c r="F69"/>
  <c r="C69"/>
  <c r="J69"/>
  <c r="E69"/>
  <c r="C90"/>
  <c r="E90"/>
  <c r="F90"/>
  <c r="J90"/>
  <c r="J139"/>
  <c r="E139"/>
  <c r="C139"/>
  <c r="F139"/>
  <c r="E109"/>
  <c r="J109"/>
  <c r="F109"/>
  <c r="C109"/>
  <c r="F114"/>
  <c r="E114"/>
  <c r="C114"/>
  <c r="J114"/>
  <c r="C97"/>
  <c r="F97"/>
  <c r="E97"/>
  <c r="J97"/>
  <c r="J127"/>
  <c r="E127"/>
  <c r="F127"/>
  <c r="C127"/>
  <c r="A20" i="56"/>
  <c r="D20"/>
  <c r="E53" i="69"/>
  <c r="F53"/>
  <c r="J53"/>
  <c r="C53"/>
  <c r="E148"/>
  <c r="C148"/>
  <c r="J148"/>
  <c r="F148"/>
  <c r="C66"/>
  <c r="E66"/>
  <c r="J66"/>
  <c r="F66"/>
  <c r="C62"/>
  <c r="E62"/>
  <c r="F62"/>
  <c r="J62"/>
  <c r="F122"/>
  <c r="J122"/>
  <c r="C122"/>
  <c r="E122"/>
  <c r="C145"/>
  <c r="J145"/>
  <c r="E145"/>
  <c r="F145"/>
  <c r="F44"/>
  <c r="C44"/>
  <c r="E44"/>
  <c r="J44"/>
  <c r="F121"/>
  <c r="J121"/>
  <c r="E121"/>
  <c r="C121"/>
  <c r="J22"/>
  <c r="E22"/>
  <c r="F22"/>
  <c r="C22"/>
  <c r="E45"/>
  <c r="J45"/>
  <c r="F45"/>
  <c r="C45"/>
  <c r="J70"/>
  <c r="E70"/>
  <c r="F70"/>
  <c r="C70"/>
  <c r="F113"/>
  <c r="C113"/>
  <c r="J113"/>
  <c r="E113"/>
  <c r="C71"/>
  <c r="F71"/>
  <c r="J71"/>
  <c r="E71"/>
  <c r="C86"/>
  <c r="J86"/>
  <c r="F86"/>
  <c r="E86"/>
  <c r="J16"/>
  <c r="E16"/>
  <c r="C16"/>
  <c r="F16"/>
  <c r="J89"/>
  <c r="F89"/>
  <c r="E89"/>
  <c r="C89"/>
  <c r="E46"/>
  <c r="C46"/>
  <c r="J46"/>
  <c r="F46"/>
  <c r="J141"/>
  <c r="C141"/>
  <c r="F141"/>
  <c r="E141"/>
  <c r="J15"/>
  <c r="F15"/>
  <c r="E15"/>
  <c r="C15"/>
  <c r="E119"/>
  <c r="C119"/>
  <c r="F119"/>
  <c r="J119"/>
  <c r="F133"/>
  <c r="E133"/>
  <c r="C133"/>
  <c r="J133"/>
  <c r="C75"/>
  <c r="F75"/>
  <c r="J75"/>
  <c r="E75"/>
  <c r="C116"/>
  <c r="F116"/>
  <c r="E116"/>
  <c r="J116"/>
  <c r="E144"/>
  <c r="C144"/>
  <c r="J144"/>
  <c r="F144"/>
  <c r="F34"/>
  <c r="C34"/>
  <c r="E34"/>
  <c r="J34"/>
  <c r="C92"/>
  <c r="E92"/>
  <c r="F92"/>
  <c r="J92"/>
  <c r="J47"/>
  <c r="C47"/>
  <c r="E47"/>
  <c r="F47"/>
  <c r="E78"/>
  <c r="C78"/>
  <c r="J78"/>
  <c r="F78"/>
  <c r="E36"/>
  <c r="J36"/>
  <c r="C36"/>
  <c r="F36"/>
  <c r="F118"/>
  <c r="E118"/>
  <c r="J118"/>
  <c r="C118"/>
  <c r="C81"/>
  <c r="J81"/>
  <c r="E81"/>
  <c r="F81"/>
  <c r="F126"/>
  <c r="J126"/>
  <c r="C126"/>
  <c r="E126"/>
  <c r="H17" i="56"/>
  <c r="H24" s="1"/>
  <c r="C19" i="69"/>
  <c r="J19"/>
  <c r="F19"/>
  <c r="E19"/>
  <c r="C35"/>
  <c r="F35"/>
  <c r="J35"/>
  <c r="E35"/>
  <c r="E85"/>
  <c r="J85"/>
  <c r="F85"/>
  <c r="C85"/>
  <c r="J150"/>
  <c r="C150"/>
  <c r="E150"/>
  <c r="F150"/>
  <c r="F84"/>
  <c r="E84"/>
  <c r="J84"/>
  <c r="C84"/>
  <c r="C80"/>
  <c r="E80"/>
  <c r="J80"/>
  <c r="F80"/>
  <c r="E64"/>
  <c r="F64"/>
  <c r="J64"/>
  <c r="C64"/>
  <c r="J87"/>
  <c r="F87"/>
  <c r="E87"/>
  <c r="C87"/>
  <c r="E67"/>
  <c r="J67"/>
  <c r="C67"/>
  <c r="F67"/>
  <c r="F59"/>
  <c r="J59"/>
  <c r="C59"/>
  <c r="E59"/>
  <c r="F146"/>
  <c r="E146"/>
  <c r="C146"/>
  <c r="J146"/>
  <c r="F91"/>
  <c r="C91"/>
  <c r="J91"/>
  <c r="E91"/>
  <c r="E74"/>
  <c r="C74"/>
  <c r="J74"/>
  <c r="F74"/>
  <c r="E142"/>
  <c r="C142"/>
  <c r="J142"/>
  <c r="F142"/>
  <c r="C38"/>
  <c r="J38"/>
  <c r="F38"/>
  <c r="E38"/>
  <c r="E98"/>
  <c r="J98"/>
  <c r="C98"/>
  <c r="F98"/>
  <c r="C21"/>
  <c r="F21"/>
  <c r="E21"/>
  <c r="J21"/>
  <c r="C82"/>
  <c r="J82"/>
  <c r="F82"/>
  <c r="E82"/>
  <c r="E88"/>
  <c r="F88"/>
  <c r="J88"/>
  <c r="C88"/>
  <c r="D21" i="56"/>
  <c r="A21"/>
  <c r="A19"/>
  <c r="D19"/>
  <c r="C124" i="69"/>
  <c r="E124"/>
  <c r="F124"/>
  <c r="J124"/>
  <c r="D23" i="56"/>
  <c r="A23"/>
  <c r="F65" i="69"/>
  <c r="J65"/>
  <c r="E65"/>
  <c r="C65"/>
  <c r="F63"/>
  <c r="E63"/>
  <c r="J63"/>
  <c r="C63"/>
  <c r="C28"/>
  <c r="E28"/>
  <c r="J28"/>
  <c r="F28"/>
  <c r="C106"/>
  <c r="E106"/>
  <c r="J106"/>
  <c r="F106"/>
  <c r="J136"/>
  <c r="F136"/>
  <c r="C136"/>
  <c r="E136"/>
  <c r="D18" i="56"/>
  <c r="E94" i="69"/>
  <c r="F94"/>
  <c r="J94"/>
  <c r="C94"/>
  <c r="C39"/>
  <c r="J39"/>
  <c r="F39"/>
  <c r="E39"/>
  <c r="E27"/>
  <c r="C27"/>
  <c r="J27"/>
  <c r="F27"/>
  <c r="C99"/>
  <c r="E99"/>
  <c r="J99"/>
  <c r="F99"/>
  <c r="E68"/>
  <c r="C68"/>
  <c r="J68"/>
  <c r="F68"/>
  <c r="E149"/>
  <c r="C149"/>
  <c r="J149"/>
  <c r="F149"/>
  <c r="E138"/>
  <c r="C138"/>
  <c r="F138"/>
  <c r="J138"/>
  <c r="J72"/>
  <c r="F72"/>
  <c r="E72"/>
  <c r="C72"/>
  <c r="J83"/>
  <c r="C83"/>
  <c r="F83"/>
  <c r="E83"/>
  <c r="F102"/>
  <c r="C102"/>
  <c r="E102"/>
  <c r="J102"/>
  <c r="C128"/>
  <c r="F128"/>
  <c r="J128"/>
  <c r="E128"/>
  <c r="J108"/>
  <c r="C108"/>
  <c r="F108"/>
  <c r="E108"/>
  <c r="C55"/>
  <c r="J55"/>
  <c r="F55"/>
  <c r="E55"/>
  <c r="F112"/>
  <c r="C112"/>
  <c r="J112"/>
  <c r="E112"/>
  <c r="C132"/>
  <c r="E132"/>
  <c r="F132"/>
  <c r="J132"/>
  <c r="E93"/>
  <c r="C93"/>
  <c r="F93"/>
  <c r="J93"/>
  <c r="A17" i="56"/>
  <c r="A18" s="1"/>
  <c r="D17"/>
  <c r="A22"/>
  <c r="D22"/>
  <c r="C43" i="69"/>
  <c r="F43"/>
  <c r="E43"/>
  <c r="J43"/>
  <c r="C58"/>
  <c r="J58"/>
  <c r="E58"/>
  <c r="F58"/>
  <c r="E115"/>
  <c r="F115"/>
  <c r="C115"/>
  <c r="J115"/>
  <c r="C41"/>
  <c r="J41"/>
  <c r="E41"/>
  <c r="F41"/>
  <c r="J14"/>
  <c r="E14"/>
  <c r="C14"/>
  <c r="F14"/>
  <c r="F76"/>
  <c r="J76"/>
  <c r="E76"/>
  <c r="C76"/>
  <c r="E152"/>
  <c r="C152"/>
  <c r="F152"/>
  <c r="J152"/>
  <c r="J143"/>
  <c r="F143"/>
  <c r="E143"/>
  <c r="C143"/>
  <c r="C107"/>
  <c r="J107"/>
  <c r="E107"/>
  <c r="F107"/>
  <c r="C30"/>
  <c r="J30"/>
  <c r="F30"/>
  <c r="E30"/>
  <c r="J50"/>
  <c r="C50"/>
  <c r="E50"/>
  <c r="F50"/>
  <c r="C120"/>
  <c r="E120"/>
  <c r="J120"/>
  <c r="F120"/>
  <c r="C60"/>
  <c r="F60"/>
  <c r="J60"/>
  <c r="E60"/>
  <c r="E48"/>
  <c r="J48"/>
  <c r="C48"/>
  <c r="F48"/>
  <c r="C151"/>
  <c r="E151"/>
  <c r="J151"/>
  <c r="F151"/>
  <c r="J110"/>
  <c r="E110"/>
  <c r="C110"/>
  <c r="F110"/>
  <c r="F42"/>
  <c r="J42"/>
  <c r="E42"/>
  <c r="C42"/>
  <c r="E135"/>
  <c r="C135"/>
  <c r="J135"/>
  <c r="F135"/>
  <c r="E37"/>
  <c r="C37"/>
  <c r="J37"/>
  <c r="F37"/>
  <c r="C104"/>
  <c r="J104"/>
  <c r="E104"/>
  <c r="F104"/>
  <c r="J33"/>
  <c r="F33"/>
  <c r="E33"/>
  <c r="C33"/>
  <c r="E95"/>
  <c r="C95"/>
  <c r="J95"/>
  <c r="F95"/>
  <c r="F56"/>
  <c r="C56"/>
  <c r="E56"/>
  <c r="J56"/>
  <c r="E117"/>
  <c r="J117"/>
  <c r="C117"/>
  <c r="F117"/>
  <c r="E61"/>
  <c r="F61"/>
  <c r="C61"/>
  <c r="J61"/>
  <c r="J52"/>
  <c r="C52"/>
  <c r="F52"/>
  <c r="E52"/>
  <c r="F100"/>
  <c r="J100"/>
  <c r="E100"/>
  <c r="C100"/>
  <c r="C123"/>
  <c r="F123"/>
  <c r="J123"/>
  <c r="E123"/>
  <c r="C18"/>
  <c r="J18"/>
  <c r="F18"/>
  <c r="E18"/>
  <c r="J96"/>
  <c r="F96"/>
  <c r="E96"/>
  <c r="C96"/>
  <c r="C153"/>
  <c r="E153"/>
  <c r="F153"/>
  <c r="J153"/>
  <c r="E54"/>
  <c r="F54"/>
  <c r="C54"/>
  <c r="J54"/>
  <c r="F79"/>
  <c r="J79"/>
  <c r="E79"/>
  <c r="C79"/>
  <c r="F49"/>
  <c r="C49"/>
  <c r="J49"/>
  <c r="E49"/>
  <c r="F25"/>
  <c r="E25"/>
  <c r="J25"/>
  <c r="C25"/>
  <c r="L73" i="63" l="1"/>
  <c r="O73"/>
  <c r="I13" i="42"/>
  <c r="N73" i="63"/>
  <c r="M73"/>
  <c r="I68" i="14"/>
  <c r="J68"/>
  <c r="E156" i="69"/>
  <c r="N156"/>
  <c r="C15" i="39"/>
  <c r="H5"/>
  <c r="M16" s="1"/>
  <c r="M8"/>
  <c r="C12"/>
  <c r="C10"/>
  <c r="F92" i="42"/>
  <c r="F55"/>
  <c r="D72"/>
  <c r="B17"/>
  <c r="F26"/>
  <c r="F113"/>
  <c r="C66"/>
  <c r="A105"/>
  <c r="F44"/>
  <c r="A71"/>
  <c r="B29"/>
  <c r="H94"/>
  <c r="H17"/>
  <c r="B49"/>
  <c r="H50"/>
  <c r="B87"/>
  <c r="G98"/>
  <c r="F60"/>
  <c r="B105"/>
  <c r="B112"/>
  <c r="C76"/>
  <c r="A38"/>
  <c r="D111"/>
  <c r="D92"/>
  <c r="G21"/>
  <c r="G16"/>
  <c r="C36"/>
  <c r="F77"/>
  <c r="F43"/>
  <c r="F71"/>
  <c r="G42"/>
  <c r="H100"/>
  <c r="D32"/>
  <c r="A107"/>
  <c r="C90"/>
  <c r="C92"/>
  <c r="B36"/>
  <c r="G63"/>
  <c r="H31"/>
  <c r="D57"/>
  <c r="A75"/>
  <c r="D101"/>
  <c r="B34"/>
  <c r="B115"/>
  <c r="B94"/>
  <c r="D34"/>
  <c r="B28"/>
  <c r="H108"/>
  <c r="B60"/>
  <c r="C93"/>
  <c r="H71"/>
  <c r="D61"/>
  <c r="C57"/>
  <c r="H53"/>
  <c r="D79"/>
  <c r="D43"/>
  <c r="C67"/>
  <c r="B22"/>
  <c r="G61"/>
  <c r="G39"/>
  <c r="F76"/>
  <c r="H98"/>
  <c r="C112"/>
  <c r="H87"/>
  <c r="C97"/>
  <c r="B100"/>
  <c r="B114"/>
  <c r="G65"/>
  <c r="D62"/>
  <c r="C43"/>
  <c r="G31"/>
  <c r="C28"/>
  <c r="C95"/>
  <c r="D98"/>
  <c r="B50"/>
  <c r="D42"/>
  <c r="G83"/>
  <c r="A35"/>
  <c r="A66"/>
  <c r="D102"/>
  <c r="G99"/>
  <c r="A39"/>
  <c r="A18"/>
  <c r="H55"/>
  <c r="H77"/>
  <c r="C98"/>
  <c r="F75"/>
  <c r="B80"/>
  <c r="D90"/>
  <c r="A31"/>
  <c r="F90"/>
  <c r="B55"/>
  <c r="H34"/>
  <c r="B113"/>
  <c r="B59"/>
  <c r="F74"/>
  <c r="B54"/>
  <c r="F110"/>
  <c r="C103"/>
  <c r="B61"/>
  <c r="B69"/>
  <c r="F23"/>
  <c r="F115"/>
  <c r="F61"/>
  <c r="D59"/>
  <c r="H97"/>
  <c r="C69"/>
  <c r="F86"/>
  <c r="A83"/>
  <c r="F69"/>
  <c r="H67"/>
  <c r="G80"/>
  <c r="G22"/>
  <c r="F48"/>
  <c r="H111"/>
  <c r="C87"/>
  <c r="G54"/>
  <c r="F106"/>
  <c r="D22"/>
  <c r="B48"/>
  <c r="A62"/>
  <c r="C18"/>
  <c r="C80"/>
  <c r="A95"/>
  <c r="H88"/>
  <c r="C44"/>
  <c r="A30"/>
  <c r="B64"/>
  <c r="F19"/>
  <c r="G64"/>
  <c r="D75"/>
  <c r="C84"/>
  <c r="D108"/>
  <c r="D64"/>
  <c r="A69"/>
  <c r="G62"/>
  <c r="H16"/>
  <c r="A108"/>
  <c r="D67"/>
  <c r="G91"/>
  <c r="C111"/>
  <c r="B90"/>
  <c r="C110"/>
  <c r="C82"/>
  <c r="B27"/>
  <c r="H37"/>
  <c r="B56"/>
  <c r="H102"/>
  <c r="F35"/>
  <c r="D50"/>
  <c r="F103"/>
  <c r="F107"/>
  <c r="F56"/>
  <c r="F108"/>
  <c r="H116"/>
  <c r="B71"/>
  <c r="H85"/>
  <c r="D47"/>
  <c r="H61"/>
  <c r="B85"/>
  <c r="A20"/>
  <c r="D87"/>
  <c r="H62"/>
  <c r="C20"/>
  <c r="A91"/>
  <c r="F20"/>
  <c r="B42"/>
  <c r="C94"/>
  <c r="B68"/>
  <c r="H36"/>
  <c r="D24"/>
  <c r="C58"/>
  <c r="F81"/>
  <c r="A78"/>
  <c r="H40"/>
  <c r="D105"/>
  <c r="F32"/>
  <c r="D33"/>
  <c r="A27"/>
  <c r="H80"/>
  <c r="H41"/>
  <c r="G17"/>
  <c r="F84"/>
  <c r="B86"/>
  <c r="D63"/>
  <c r="G28"/>
  <c r="H74"/>
  <c r="F97"/>
  <c r="A87"/>
  <c r="B74"/>
  <c r="F83"/>
  <c r="F100"/>
  <c r="G113"/>
  <c r="C54"/>
  <c r="A37"/>
  <c r="H42"/>
  <c r="B25"/>
  <c r="B44"/>
  <c r="H103"/>
  <c r="F15"/>
  <c r="A115"/>
  <c r="C46"/>
  <c r="D55"/>
  <c r="G107"/>
  <c r="B98"/>
  <c r="B57"/>
  <c r="H99"/>
  <c r="A104"/>
  <c r="G26"/>
  <c r="G102"/>
  <c r="A100"/>
  <c r="G35"/>
  <c r="F109"/>
  <c r="A109"/>
  <c r="G77"/>
  <c r="F93"/>
  <c r="G25"/>
  <c r="B75"/>
  <c r="A60"/>
  <c r="D21"/>
  <c r="C60"/>
  <c r="D15"/>
  <c r="H78"/>
  <c r="H45"/>
  <c r="C41"/>
  <c r="B66"/>
  <c r="D31"/>
  <c r="A112"/>
  <c r="G41"/>
  <c r="F72"/>
  <c r="F33"/>
  <c r="H73"/>
  <c r="H105"/>
  <c r="A49"/>
  <c r="H76"/>
  <c r="B116"/>
  <c r="G55"/>
  <c r="G109"/>
  <c r="B40"/>
  <c r="G32"/>
  <c r="C56"/>
  <c r="C35"/>
  <c r="H113"/>
  <c r="F85"/>
  <c r="C31"/>
  <c r="D73"/>
  <c r="A88"/>
  <c r="A82"/>
  <c r="D106"/>
  <c r="H57"/>
  <c r="F21"/>
  <c r="D58"/>
  <c r="C79"/>
  <c r="B110"/>
  <c r="D109"/>
  <c r="A45"/>
  <c r="D91"/>
  <c r="D35"/>
  <c r="G53"/>
  <c r="A68"/>
  <c r="H63"/>
  <c r="D86"/>
  <c r="D107"/>
  <c r="C15"/>
  <c r="D54"/>
  <c r="C71"/>
  <c r="B104"/>
  <c r="F30"/>
  <c r="B91"/>
  <c r="A90"/>
  <c r="H84"/>
  <c r="H20"/>
  <c r="B99"/>
  <c r="A54"/>
  <c r="F64"/>
  <c r="H22"/>
  <c r="C52"/>
  <c r="F17"/>
  <c r="G105"/>
  <c r="C50"/>
  <c r="F68"/>
  <c r="F37"/>
  <c r="D113"/>
  <c r="H56"/>
  <c r="B16"/>
  <c r="A50"/>
  <c r="C91"/>
  <c r="F67"/>
  <c r="C64"/>
  <c r="A111"/>
  <c r="G79"/>
  <c r="G92"/>
  <c r="A44"/>
  <c r="C107"/>
  <c r="A114"/>
  <c r="B73"/>
  <c r="A85"/>
  <c r="G84"/>
  <c r="H79"/>
  <c r="F95"/>
  <c r="C61"/>
  <c r="D49"/>
  <c r="D110"/>
  <c r="C115"/>
  <c r="B101"/>
  <c r="G82"/>
  <c r="G100"/>
  <c r="D85"/>
  <c r="H51"/>
  <c r="F41"/>
  <c r="G71"/>
  <c r="B65"/>
  <c r="C48"/>
  <c r="A21"/>
  <c r="A17"/>
  <c r="H82"/>
  <c r="D44"/>
  <c r="B20"/>
  <c r="D81"/>
  <c r="F65"/>
  <c r="F39"/>
  <c r="B21"/>
  <c r="C22"/>
  <c r="H65"/>
  <c r="H91"/>
  <c r="A80"/>
  <c r="B70"/>
  <c r="F22"/>
  <c r="F78"/>
  <c r="A25"/>
  <c r="C40"/>
  <c r="H24"/>
  <c r="C104"/>
  <c r="F59"/>
  <c r="G85"/>
  <c r="F101"/>
  <c r="F36"/>
  <c r="H27"/>
  <c r="B24"/>
  <c r="G49"/>
  <c r="H104"/>
  <c r="A65"/>
  <c r="B14"/>
  <c r="G51"/>
  <c r="B97"/>
  <c r="A76"/>
  <c r="A22"/>
  <c r="C86"/>
  <c r="B84"/>
  <c r="C101"/>
  <c r="B78"/>
  <c r="A99"/>
  <c r="G73"/>
  <c r="C39"/>
  <c r="A46"/>
  <c r="A81"/>
  <c r="A42"/>
  <c r="D53"/>
  <c r="A116"/>
  <c r="H92"/>
  <c r="D66"/>
  <c r="F82"/>
  <c r="D95"/>
  <c r="B63"/>
  <c r="F45"/>
  <c r="C37"/>
  <c r="H86"/>
  <c r="F42"/>
  <c r="D46"/>
  <c r="G29"/>
  <c r="G57"/>
  <c r="F116"/>
  <c r="C63"/>
  <c r="C100"/>
  <c r="H90"/>
  <c r="D99"/>
  <c r="B58"/>
  <c r="D97"/>
  <c r="H54"/>
  <c r="H75"/>
  <c r="H93"/>
  <c r="B67"/>
  <c r="B88"/>
  <c r="G68"/>
  <c r="A103"/>
  <c r="G37"/>
  <c r="D93"/>
  <c r="D84"/>
  <c r="D65"/>
  <c r="G30"/>
  <c r="C30"/>
  <c r="A32"/>
  <c r="G97"/>
  <c r="A96"/>
  <c r="H28"/>
  <c r="C16"/>
  <c r="G46"/>
  <c r="B89"/>
  <c r="C114"/>
  <c r="F88"/>
  <c r="C29"/>
  <c r="B106"/>
  <c r="G104"/>
  <c r="B53"/>
  <c r="H39"/>
  <c r="B46"/>
  <c r="D19"/>
  <c r="H96"/>
  <c r="D114"/>
  <c r="C96"/>
  <c r="H69"/>
  <c r="B79"/>
  <c r="F29"/>
  <c r="H26"/>
  <c r="B37"/>
  <c r="G70"/>
  <c r="G69"/>
  <c r="G108"/>
  <c r="D60"/>
  <c r="H83"/>
  <c r="D112"/>
  <c r="G74"/>
  <c r="C74"/>
  <c r="H106"/>
  <c r="C113"/>
  <c r="G56"/>
  <c r="D69"/>
  <c r="B47"/>
  <c r="G23"/>
  <c r="A113"/>
  <c r="B30"/>
  <c r="H21"/>
  <c r="H114"/>
  <c r="C89"/>
  <c r="G24"/>
  <c r="F34"/>
  <c r="D76"/>
  <c r="F38"/>
  <c r="F111"/>
  <c r="G66"/>
  <c r="C42"/>
  <c r="B76"/>
  <c r="A47"/>
  <c r="D51"/>
  <c r="A89"/>
  <c r="F91"/>
  <c r="A29"/>
  <c r="D27"/>
  <c r="B41"/>
  <c r="H101"/>
  <c r="D28"/>
  <c r="D29"/>
  <c r="A16"/>
  <c r="A52"/>
  <c r="H112"/>
  <c r="F40"/>
  <c r="C27"/>
  <c r="H47"/>
  <c r="A34"/>
  <c r="C45"/>
  <c r="D104"/>
  <c r="A102"/>
  <c r="H59"/>
  <c r="F102"/>
  <c r="C106"/>
  <c r="D70"/>
  <c r="D78"/>
  <c r="G45"/>
  <c r="H43"/>
  <c r="C26"/>
  <c r="A57"/>
  <c r="A28"/>
  <c r="C102"/>
  <c r="B109"/>
  <c r="B31"/>
  <c r="A74"/>
  <c r="B108"/>
  <c r="F70"/>
  <c r="F46"/>
  <c r="A48"/>
  <c r="C32"/>
  <c r="B15"/>
  <c r="A40"/>
  <c r="G34"/>
  <c r="D52"/>
  <c r="G20"/>
  <c r="B92"/>
  <c r="A55"/>
  <c r="F27"/>
  <c r="G81"/>
  <c r="C25"/>
  <c r="B33"/>
  <c r="G103"/>
  <c r="H109"/>
  <c r="C62"/>
  <c r="C108"/>
  <c r="C68"/>
  <c r="F66"/>
  <c r="F112"/>
  <c r="C65"/>
  <c r="B83"/>
  <c r="C51"/>
  <c r="H29"/>
  <c r="H25"/>
  <c r="G78"/>
  <c r="F52"/>
  <c r="B95"/>
  <c r="C72"/>
  <c r="D94"/>
  <c r="F53"/>
  <c r="C24"/>
  <c r="D103"/>
  <c r="A56"/>
  <c r="A79"/>
  <c r="A73"/>
  <c r="C75"/>
  <c r="H33"/>
  <c r="C38"/>
  <c r="D68"/>
  <c r="G52"/>
  <c r="F96"/>
  <c r="A84"/>
  <c r="F89"/>
  <c r="G86"/>
  <c r="G50"/>
  <c r="F14"/>
  <c r="B43"/>
  <c r="D77"/>
  <c r="D45"/>
  <c r="H44"/>
  <c r="A33"/>
  <c r="B81"/>
  <c r="D115"/>
  <c r="F104"/>
  <c r="A86"/>
  <c r="F62"/>
  <c r="B18"/>
  <c r="C19"/>
  <c r="H60"/>
  <c r="G90"/>
  <c r="D83"/>
  <c r="H46"/>
  <c r="D56"/>
  <c r="G47"/>
  <c r="G112"/>
  <c r="G60"/>
  <c r="B82"/>
  <c r="A51"/>
  <c r="G88"/>
  <c r="A67"/>
  <c r="D88"/>
  <c r="A58"/>
  <c r="G36"/>
  <c r="D82"/>
  <c r="F16"/>
  <c r="F47"/>
  <c r="H38"/>
  <c r="B26"/>
  <c r="C109"/>
  <c r="B38"/>
  <c r="H35"/>
  <c r="G95"/>
  <c r="H68"/>
  <c r="F28"/>
  <c r="A53"/>
  <c r="F94"/>
  <c r="C81"/>
  <c r="A93"/>
  <c r="G115"/>
  <c r="B96"/>
  <c r="F51"/>
  <c r="B107"/>
  <c r="D16"/>
  <c r="G40"/>
  <c r="H107"/>
  <c r="A63"/>
  <c r="F49"/>
  <c r="D37"/>
  <c r="C78"/>
  <c r="C105"/>
  <c r="H72"/>
  <c r="C116"/>
  <c r="C47"/>
  <c r="A64"/>
  <c r="G111"/>
  <c r="C17"/>
  <c r="A15"/>
  <c r="A94"/>
  <c r="D23"/>
  <c r="C77"/>
  <c r="A101"/>
  <c r="F73"/>
  <c r="C23"/>
  <c r="D26"/>
  <c r="A41"/>
  <c r="G67"/>
  <c r="D36"/>
  <c r="C55"/>
  <c r="G19"/>
  <c r="H23"/>
  <c r="D17"/>
  <c r="G72"/>
  <c r="H115"/>
  <c r="H95"/>
  <c r="D116"/>
  <c r="C73"/>
  <c r="F58"/>
  <c r="F25"/>
  <c r="D30"/>
  <c r="C59"/>
  <c r="B51"/>
  <c r="A92"/>
  <c r="F57"/>
  <c r="B102"/>
  <c r="H70"/>
  <c r="D39"/>
  <c r="A43"/>
  <c r="D14"/>
  <c r="F114"/>
  <c r="C21"/>
  <c r="A61"/>
  <c r="D38"/>
  <c r="C85"/>
  <c r="G114"/>
  <c r="G96"/>
  <c r="A23"/>
  <c r="F18"/>
  <c r="A106"/>
  <c r="B77"/>
  <c r="C34"/>
  <c r="G75"/>
  <c r="G93"/>
  <c r="B19"/>
  <c r="H49"/>
  <c r="B23"/>
  <c r="B93"/>
  <c r="H64"/>
  <c r="D96"/>
  <c r="B62"/>
  <c r="H66"/>
  <c r="B103"/>
  <c r="D80"/>
  <c r="F54"/>
  <c r="G76"/>
  <c r="G106"/>
  <c r="G59"/>
  <c r="G94"/>
  <c r="D71"/>
  <c r="G43"/>
  <c r="F63"/>
  <c r="A77"/>
  <c r="G33"/>
  <c r="G89"/>
  <c r="H110"/>
  <c r="D100"/>
  <c r="G27"/>
  <c r="A26"/>
  <c r="H48"/>
  <c r="A19"/>
  <c r="H30"/>
  <c r="C49"/>
  <c r="G15"/>
  <c r="F87"/>
  <c r="A70"/>
  <c r="F80"/>
  <c r="C53"/>
  <c r="B52"/>
  <c r="H32"/>
  <c r="C70"/>
  <c r="H58"/>
  <c r="C33"/>
  <c r="E102"/>
  <c r="E109"/>
  <c r="I109" s="1"/>
  <c r="E108"/>
  <c r="E104"/>
  <c r="E100"/>
  <c r="E115"/>
  <c r="I115" s="1"/>
  <c r="E113"/>
  <c r="I113" s="1"/>
  <c r="A14"/>
  <c r="A125" s="1"/>
  <c r="F24"/>
  <c r="A98"/>
  <c r="G58"/>
  <c r="G48"/>
  <c r="A24"/>
  <c r="H81"/>
  <c r="A97"/>
  <c r="A59"/>
  <c r="A36"/>
  <c r="D74"/>
  <c r="B45"/>
  <c r="D40"/>
  <c r="B39"/>
  <c r="C14"/>
  <c r="B32"/>
  <c r="G18"/>
  <c r="H52"/>
  <c r="B111"/>
  <c r="G110"/>
  <c r="G116"/>
  <c r="H18"/>
  <c r="B35"/>
  <c r="F31"/>
  <c r="F98"/>
  <c r="B72"/>
  <c r="D48"/>
  <c r="G87"/>
  <c r="D25"/>
  <c r="H19"/>
  <c r="F99"/>
  <c r="A72"/>
  <c r="E105"/>
  <c r="E112"/>
  <c r="I112" s="1"/>
  <c r="E111"/>
  <c r="I111" s="1"/>
  <c r="E101"/>
  <c r="E106"/>
  <c r="E116"/>
  <c r="I116" s="1"/>
  <c r="E103"/>
  <c r="E114"/>
  <c r="I114" s="1"/>
  <c r="C88"/>
  <c r="F79"/>
  <c r="D20"/>
  <c r="D41"/>
  <c r="F50"/>
  <c r="D18"/>
  <c r="D89"/>
  <c r="A110"/>
  <c r="F105"/>
  <c r="H15"/>
  <c r="C99"/>
  <c r="G38"/>
  <c r="G44"/>
  <c r="G101"/>
  <c r="H89"/>
  <c r="C83"/>
  <c r="H14"/>
  <c r="E110"/>
  <c r="I110" s="1"/>
  <c r="E98"/>
  <c r="E94"/>
  <c r="E90"/>
  <c r="E86"/>
  <c r="E82"/>
  <c r="E78"/>
  <c r="E74"/>
  <c r="E70"/>
  <c r="E66"/>
  <c r="E58"/>
  <c r="E50"/>
  <c r="E42"/>
  <c r="E34"/>
  <c r="E26"/>
  <c r="E18"/>
  <c r="E15"/>
  <c r="E96"/>
  <c r="E88"/>
  <c r="E80"/>
  <c r="E72"/>
  <c r="E64"/>
  <c r="E56"/>
  <c r="E48"/>
  <c r="E40"/>
  <c r="E32"/>
  <c r="E24"/>
  <c r="E16"/>
  <c r="E99"/>
  <c r="E95"/>
  <c r="E91"/>
  <c r="E87"/>
  <c r="E83"/>
  <c r="E79"/>
  <c r="E71"/>
  <c r="E63"/>
  <c r="E55"/>
  <c r="E47"/>
  <c r="E39"/>
  <c r="E31"/>
  <c r="E23"/>
  <c r="E49"/>
  <c r="E37"/>
  <c r="E25"/>
  <c r="E107"/>
  <c r="G14"/>
  <c r="E92"/>
  <c r="E84"/>
  <c r="E76"/>
  <c r="E68"/>
  <c r="E60"/>
  <c r="E52"/>
  <c r="E44"/>
  <c r="E36"/>
  <c r="E28"/>
  <c r="E20"/>
  <c r="E75"/>
  <c r="E67"/>
  <c r="E59"/>
  <c r="E51"/>
  <c r="E43"/>
  <c r="E35"/>
  <c r="E27"/>
  <c r="E19"/>
  <c r="E45"/>
  <c r="E33"/>
  <c r="E21"/>
  <c r="E62"/>
  <c r="E54"/>
  <c r="E46"/>
  <c r="E38"/>
  <c r="E30"/>
  <c r="E22"/>
  <c r="E14"/>
  <c r="E97"/>
  <c r="E93"/>
  <c r="E89"/>
  <c r="E85"/>
  <c r="E81"/>
  <c r="E77"/>
  <c r="E73"/>
  <c r="E69"/>
  <c r="E65"/>
  <c r="E61"/>
  <c r="E57"/>
  <c r="E53"/>
  <c r="E41"/>
  <c r="E29"/>
  <c r="E17"/>
  <c r="N74" i="63" l="1"/>
  <c r="O74"/>
  <c r="L74"/>
  <c r="M74"/>
  <c r="J69" i="14"/>
  <c r="I69"/>
  <c r="H121" i="42"/>
  <c r="I14"/>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G121"/>
  <c r="L75" i="63" l="1"/>
  <c r="M75"/>
  <c r="N75"/>
  <c r="N76" s="1"/>
  <c r="O75"/>
  <c r="I70" i="14"/>
  <c r="J70"/>
  <c r="I122" i="42"/>
  <c r="M76" i="63" l="1"/>
  <c r="L76"/>
  <c r="L77" s="1"/>
  <c r="O76"/>
  <c r="J71" i="14"/>
  <c r="I71"/>
  <c r="N53" i="60"/>
  <c r="C146"/>
  <c r="D146" s="1"/>
  <c r="O77" i="63" l="1"/>
  <c r="N77"/>
  <c r="N78" s="1"/>
  <c r="M77"/>
  <c r="I72" i="14"/>
  <c r="J72"/>
  <c r="G146" i="60"/>
  <c r="D148"/>
  <c r="M78" i="63" l="1"/>
  <c r="L78"/>
  <c r="L79" s="1"/>
  <c r="O78"/>
  <c r="O79" s="1"/>
  <c r="J73" i="14"/>
  <c r="I73"/>
  <c r="H144" i="60"/>
  <c r="H146"/>
  <c r="I143"/>
  <c r="K143"/>
  <c r="K144"/>
  <c r="H145"/>
  <c r="I145"/>
  <c r="I146"/>
  <c r="J146"/>
  <c r="J143"/>
  <c r="J145"/>
  <c r="J144"/>
  <c r="K146"/>
  <c r="I144"/>
  <c r="K145"/>
  <c r="H143"/>
  <c r="G148"/>
  <c r="N79" i="63" l="1"/>
  <c r="N80" s="1"/>
  <c r="M79"/>
  <c r="M80" s="1"/>
  <c r="I74" i="14"/>
  <c r="J74"/>
  <c r="N143" i="60"/>
  <c r="P143" s="1"/>
  <c r="T143" s="1"/>
  <c r="N146"/>
  <c r="P146" s="1"/>
  <c r="T146" s="1"/>
  <c r="N145"/>
  <c r="P145" s="1"/>
  <c r="T145" s="1"/>
  <c r="N144"/>
  <c r="P144" s="1"/>
  <c r="T144" s="1"/>
  <c r="L80" i="63" l="1"/>
  <c r="L81" s="1"/>
  <c r="O80"/>
  <c r="O81" s="1"/>
  <c r="J75" i="14"/>
  <c r="I75"/>
  <c r="N148" i="60"/>
  <c r="C162"/>
  <c r="N81" i="63" l="1"/>
  <c r="N82" s="1"/>
  <c r="M81"/>
  <c r="M82" s="1"/>
  <c r="I76" i="14"/>
  <c r="J76"/>
  <c r="G168" i="60"/>
  <c r="L82" i="63" l="1"/>
  <c r="L83" s="1"/>
  <c r="O82"/>
  <c r="O83" s="1"/>
  <c r="I77" i="14"/>
  <c r="J77"/>
  <c r="H166" i="60"/>
  <c r="H165"/>
  <c r="H161"/>
  <c r="N161" s="1"/>
  <c r="H162"/>
  <c r="N162" s="1"/>
  <c r="P162" s="1"/>
  <c r="T162" s="1"/>
  <c r="H164"/>
  <c r="N164" s="1"/>
  <c r="P164" s="1"/>
  <c r="T164" s="1"/>
  <c r="H163"/>
  <c r="N166"/>
  <c r="P166" s="1"/>
  <c r="T166" s="1"/>
  <c r="J78" i="14" l="1"/>
  <c r="N83" i="63"/>
  <c r="N84" s="1"/>
  <c r="M83"/>
  <c r="M84" s="1"/>
  <c r="I78" i="14"/>
  <c r="P161" i="60"/>
  <c r="T161" s="1"/>
  <c r="N163"/>
  <c r="P163" s="1"/>
  <c r="T163" s="1"/>
  <c r="N165"/>
  <c r="P165" s="1"/>
  <c r="T165" s="1"/>
  <c r="I79" i="14" l="1"/>
  <c r="L84" i="63"/>
  <c r="L85" s="1"/>
  <c r="O84"/>
  <c r="O85" s="1"/>
  <c r="J79" i="14"/>
  <c r="N168" i="60"/>
  <c r="I80" i="14" l="1"/>
  <c r="N85" i="63"/>
  <c r="N86" s="1"/>
  <c r="M85"/>
  <c r="M86" s="1"/>
  <c r="J80" i="14"/>
  <c r="C68" i="60"/>
  <c r="D68" s="1"/>
  <c r="D72" s="1"/>
  <c r="I81" i="14" l="1"/>
  <c r="L86" i="63"/>
  <c r="N87" s="1"/>
  <c r="O86"/>
  <c r="O87" s="1"/>
  <c r="J81" i="14"/>
  <c r="I67" i="60"/>
  <c r="J67"/>
  <c r="K67"/>
  <c r="G68"/>
  <c r="I82" i="14" l="1"/>
  <c r="L87" i="63"/>
  <c r="L88" s="1"/>
  <c r="M87"/>
  <c r="M88" s="1"/>
  <c r="J82" i="14"/>
  <c r="I70" i="60"/>
  <c r="J70"/>
  <c r="H70"/>
  <c r="K69"/>
  <c r="H68"/>
  <c r="I68"/>
  <c r="H69"/>
  <c r="K70"/>
  <c r="J68"/>
  <c r="H65"/>
  <c r="N65" s="1"/>
  <c r="H66"/>
  <c r="N66" s="1"/>
  <c r="P66" s="1"/>
  <c r="T66" s="1"/>
  <c r="I69"/>
  <c r="J69"/>
  <c r="K68"/>
  <c r="H67"/>
  <c r="G72"/>
  <c r="J83" i="14" l="1"/>
  <c r="O88" i="63"/>
  <c r="O89" s="1"/>
  <c r="N88"/>
  <c r="N89" s="1"/>
  <c r="I83" i="14"/>
  <c r="N68" i="60"/>
  <c r="P68" s="1"/>
  <c r="T68" s="1"/>
  <c r="N70"/>
  <c r="P70" s="1"/>
  <c r="T70" s="1"/>
  <c r="P65"/>
  <c r="T65" s="1"/>
  <c r="N67"/>
  <c r="P67" s="1"/>
  <c r="T67" s="1"/>
  <c r="N69"/>
  <c r="P69" s="1"/>
  <c r="T69" s="1"/>
  <c r="I84" i="14" l="1"/>
  <c r="M89" i="63"/>
  <c r="M90" s="1"/>
  <c r="L89"/>
  <c r="L90" s="1"/>
  <c r="J84" i="14"/>
  <c r="N72" i="60"/>
  <c r="O90" i="63" l="1"/>
  <c r="O91" s="1"/>
  <c r="N90"/>
  <c r="N91" s="1"/>
  <c r="I85" i="14"/>
  <c r="J85"/>
  <c r="F15" i="43"/>
  <c r="F17"/>
  <c r="M91" i="63" l="1"/>
  <c r="M92" s="1"/>
  <c r="L91"/>
  <c r="L92" s="1"/>
  <c r="I86" i="14"/>
  <c r="J86"/>
  <c r="H115" i="43"/>
  <c r="O92" i="63" l="1"/>
  <c r="O93" s="1"/>
  <c r="N92"/>
  <c r="N93" s="1"/>
  <c r="M93"/>
  <c r="J87" i="14"/>
  <c r="I87"/>
  <c r="F12" i="43"/>
  <c r="H113"/>
  <c r="H114"/>
  <c r="J88" i="14" l="1"/>
  <c r="L93" i="63"/>
  <c r="L94" s="1"/>
  <c r="O94"/>
  <c r="M94"/>
  <c r="I88" i="14"/>
  <c r="F13" i="43"/>
  <c r="N94" i="63" l="1"/>
  <c r="N95" s="1"/>
  <c r="M95"/>
  <c r="O95"/>
  <c r="I89" i="14"/>
  <c r="J89"/>
  <c r="M7176" i="34"/>
  <c r="J34" i="45" l="1" a="1"/>
  <c r="J34" s="1"/>
  <c r="L34" a="1"/>
  <c r="L34" s="1"/>
  <c r="L33" a="1"/>
  <c r="L33" s="1"/>
  <c r="J33" a="1"/>
  <c r="J33" s="1"/>
  <c r="L17" a="1"/>
  <c r="L17" s="1"/>
  <c r="J17" a="1"/>
  <c r="J17" s="1"/>
  <c r="L15" a="1"/>
  <c r="L15" s="1"/>
  <c r="J15" a="1"/>
  <c r="J15" s="1"/>
  <c r="J14" a="1"/>
  <c r="J14" s="1"/>
  <c r="L16" a="1"/>
  <c r="L16" s="1"/>
  <c r="J16" a="1"/>
  <c r="J16" s="1"/>
  <c r="L14" a="1"/>
  <c r="L14" s="1"/>
  <c r="L31" a="1"/>
  <c r="L31" s="1"/>
  <c r="J31" a="1"/>
  <c r="J31" s="1"/>
  <c r="J32" a="1"/>
  <c r="J32" s="1"/>
  <c r="L32" a="1"/>
  <c r="L32" s="1"/>
  <c r="J49" i="55" a="1"/>
  <c r="J49" s="1"/>
  <c r="H48" a="1"/>
  <c r="H48" s="1"/>
  <c r="J48" a="1"/>
  <c r="J48" s="1"/>
  <c r="H49" a="1"/>
  <c r="H49" s="1"/>
  <c r="I90" i="14"/>
  <c r="J30" i="45" a="1"/>
  <c r="J30" s="1"/>
  <c r="L30" a="1"/>
  <c r="L30" s="1"/>
  <c r="L95" i="63"/>
  <c r="J13" i="45" a="1"/>
  <c r="J13" s="1"/>
  <c r="J10" a="1"/>
  <c r="J10" s="1"/>
  <c r="J18" a="1"/>
  <c r="J18" s="1"/>
  <c r="J12" a="1"/>
  <c r="J12" s="1"/>
  <c r="L11" a="1"/>
  <c r="L11" s="1"/>
  <c r="L12" a="1"/>
  <c r="L12" s="1"/>
  <c r="P12" s="1"/>
  <c r="L13" a="1"/>
  <c r="L13" s="1"/>
  <c r="L10" a="1"/>
  <c r="L10" s="1"/>
  <c r="P10" s="1"/>
  <c r="J11" a="1"/>
  <c r="J11" s="1"/>
  <c r="L18" a="1"/>
  <c r="L18" s="1"/>
  <c r="H109" i="55" a="1"/>
  <c r="H109" s="1"/>
  <c r="F17" i="12" a="1"/>
  <c r="F17" s="1"/>
  <c r="E17" a="1"/>
  <c r="E17" s="1"/>
  <c r="O96" i="63"/>
  <c r="E7" i="12" a="1"/>
  <c r="E7" s="1"/>
  <c r="F7" a="1"/>
  <c r="F7" s="1"/>
  <c r="M96" i="63"/>
  <c r="J29" i="45" a="1"/>
  <c r="J29" s="1"/>
  <c r="L29" a="1"/>
  <c r="L29" s="1"/>
  <c r="J28" a="1"/>
  <c r="J28" s="1"/>
  <c r="L28" a="1"/>
  <c r="L28" s="1"/>
  <c r="J90" i="14"/>
  <c r="J27" i="45" a="1"/>
  <c r="J27" s="1"/>
  <c r="L27" a="1"/>
  <c r="L27" s="1"/>
  <c r="H86" i="55" a="1"/>
  <c r="H86" s="1"/>
  <c r="E39" i="12" a="1"/>
  <c r="E39" s="1"/>
  <c r="F39" a="1"/>
  <c r="F39" s="1"/>
  <c r="J107" i="55" a="1"/>
  <c r="J107" s="1"/>
  <c r="H108" a="1"/>
  <c r="H108" s="1"/>
  <c r="J104" a="1"/>
  <c r="J104" s="1"/>
  <c r="J100" a="1"/>
  <c r="J100" s="1"/>
  <c r="J96" a="1"/>
  <c r="J96" s="1"/>
  <c r="J92" a="1"/>
  <c r="J92" s="1"/>
  <c r="E10" i="15" a="1"/>
  <c r="E10" s="1"/>
  <c r="E11" s="1"/>
  <c r="H11" i="43"/>
  <c r="H12" s="1"/>
  <c r="H13" s="1"/>
  <c r="J103" i="55" a="1"/>
  <c r="J103" s="1"/>
  <c r="J99" a="1"/>
  <c r="J99" s="1"/>
  <c r="J95" a="1"/>
  <c r="J95" s="1"/>
  <c r="J91" a="1"/>
  <c r="J91" s="1"/>
  <c r="J84" a="1"/>
  <c r="J84" s="1"/>
  <c r="H102" a="1"/>
  <c r="H102" s="1"/>
  <c r="H98" a="1"/>
  <c r="H98" s="1"/>
  <c r="H94" a="1"/>
  <c r="H94" s="1"/>
  <c r="H90" a="1"/>
  <c r="H90" s="1"/>
  <c r="H82" a="1"/>
  <c r="H82" s="1"/>
  <c r="H106" a="1"/>
  <c r="H106" s="1"/>
  <c r="J108" a="1"/>
  <c r="J108" s="1"/>
  <c r="H105" a="1"/>
  <c r="H105" s="1"/>
  <c r="H101" a="1"/>
  <c r="H101" s="1"/>
  <c r="H97" a="1"/>
  <c r="H97" s="1"/>
  <c r="H93" a="1"/>
  <c r="H93" s="1"/>
  <c r="J88" a="1"/>
  <c r="J88" s="1"/>
  <c r="J80" a="1"/>
  <c r="J80" s="1"/>
  <c r="H78" a="1"/>
  <c r="H78" s="1"/>
  <c r="J76" a="1"/>
  <c r="J76" s="1"/>
  <c r="J71" a="1"/>
  <c r="J71" s="1"/>
  <c r="H69" a="1"/>
  <c r="H69" s="1"/>
  <c r="J67" a="1"/>
  <c r="J67" s="1"/>
  <c r="H65" a="1"/>
  <c r="H65" s="1"/>
  <c r="J63" a="1"/>
  <c r="J63" s="1"/>
  <c r="H61" a="1"/>
  <c r="H61" s="1"/>
  <c r="J59" a="1"/>
  <c r="J59" s="1"/>
  <c r="H57" a="1"/>
  <c r="H57" s="1"/>
  <c r="J55" a="1"/>
  <c r="J55" s="1"/>
  <c r="H53" a="1"/>
  <c r="H53" s="1"/>
  <c r="J46" a="1"/>
  <c r="J46" s="1"/>
  <c r="H45" a="1"/>
  <c r="H45" s="1"/>
  <c r="J44" a="1"/>
  <c r="J44" s="1"/>
  <c r="H43" a="1"/>
  <c r="H43" s="1"/>
  <c r="J42" a="1"/>
  <c r="J42" s="1"/>
  <c r="H40" a="1"/>
  <c r="H40" s="1"/>
  <c r="J39" a="1"/>
  <c r="J39" s="1"/>
  <c r="H38" a="1"/>
  <c r="H38" s="1"/>
  <c r="J36" a="1"/>
  <c r="J36" s="1"/>
  <c r="H34" a="1"/>
  <c r="H34" s="1"/>
  <c r="J32" a="1"/>
  <c r="J32" s="1"/>
  <c r="H30" a="1"/>
  <c r="H30" s="1"/>
  <c r="H25" a="1"/>
  <c r="H25" s="1"/>
  <c r="H24" a="1"/>
  <c r="H24" s="1"/>
  <c r="H23" a="1"/>
  <c r="H23" s="1"/>
  <c r="J15" a="1"/>
  <c r="J15" s="1"/>
  <c r="J14" a="1"/>
  <c r="J14" s="1"/>
  <c r="J13" a="1"/>
  <c r="J13" s="1"/>
  <c r="F74" i="15" a="1"/>
  <c r="F74" s="1"/>
  <c r="F73" a="1"/>
  <c r="F73" s="1"/>
  <c r="F72" a="1"/>
  <c r="F72" s="1"/>
  <c r="F68" a="1"/>
  <c r="F68" s="1"/>
  <c r="F64" a="1"/>
  <c r="F64" s="1"/>
  <c r="F62" a="1"/>
  <c r="F62" s="1"/>
  <c r="F61" a="1"/>
  <c r="F61" s="1"/>
  <c r="F59" a="1"/>
  <c r="F59" s="1"/>
  <c r="F56" a="1"/>
  <c r="F56" s="1"/>
  <c r="F53" a="1"/>
  <c r="F53" s="1"/>
  <c r="F52" a="1"/>
  <c r="F52" s="1"/>
  <c r="F49" a="1"/>
  <c r="F49" s="1"/>
  <c r="E46" a="1"/>
  <c r="E46" s="1"/>
  <c r="F44" a="1"/>
  <c r="F44" s="1"/>
  <c r="F41" a="1"/>
  <c r="F41" s="1"/>
  <c r="F40" a="1"/>
  <c r="F40" s="1"/>
  <c r="F38" a="1"/>
  <c r="F38" s="1"/>
  <c r="F35" a="1"/>
  <c r="F35" s="1"/>
  <c r="E31" a="1"/>
  <c r="E31" s="1"/>
  <c r="F23" a="1"/>
  <c r="F23" s="1"/>
  <c r="F17" a="1"/>
  <c r="F17" s="1"/>
  <c r="E13" a="1"/>
  <c r="E13" s="1"/>
  <c r="H89" i="55" a="1"/>
  <c r="H89" s="1"/>
  <c r="J87" a="1"/>
  <c r="J87" s="1"/>
  <c r="H85" a="1"/>
  <c r="H85" s="1"/>
  <c r="J83" a="1"/>
  <c r="J83" s="1"/>
  <c r="H81" a="1"/>
  <c r="H81" s="1"/>
  <c r="J79" a="1"/>
  <c r="J79" s="1"/>
  <c r="H77" a="1"/>
  <c r="H77" s="1"/>
  <c r="J75" a="1"/>
  <c r="J75" s="1"/>
  <c r="J70" a="1"/>
  <c r="J70" s="1"/>
  <c r="H68" a="1"/>
  <c r="H68" s="1"/>
  <c r="J66" a="1"/>
  <c r="J66" s="1"/>
  <c r="H64" a="1"/>
  <c r="H64" s="1"/>
  <c r="J62" a="1"/>
  <c r="J62" s="1"/>
  <c r="H60" a="1"/>
  <c r="H60" s="1"/>
  <c r="J58" a="1"/>
  <c r="J58" s="1"/>
  <c r="H56" a="1"/>
  <c r="H56" s="1"/>
  <c r="J54" a="1"/>
  <c r="J54" s="1"/>
  <c r="H47" a="1"/>
  <c r="H47" s="1"/>
  <c r="J41" a="1"/>
  <c r="J41" s="1"/>
  <c r="H37" a="1"/>
  <c r="H37" s="1"/>
  <c r="J35" a="1"/>
  <c r="J35" s="1"/>
  <c r="H33" a="1"/>
  <c r="H33" s="1"/>
  <c r="J31" a="1"/>
  <c r="J31" s="1"/>
  <c r="H29" a="1"/>
  <c r="H29" s="1"/>
  <c r="H28" a="1"/>
  <c r="H28" s="1"/>
  <c r="H27" a="1"/>
  <c r="H27" s="1"/>
  <c r="J19" a="1"/>
  <c r="J19" s="1"/>
  <c r="J18" a="1"/>
  <c r="J18" s="1"/>
  <c r="J17" a="1"/>
  <c r="J17" s="1"/>
  <c r="H13" a="1"/>
  <c r="H13" s="1"/>
  <c r="H12" a="1"/>
  <c r="H12" s="1"/>
  <c r="F77" i="15" a="1"/>
  <c r="F77" s="1"/>
  <c r="F76" a="1"/>
  <c r="F76" s="1"/>
  <c r="E72" a="1"/>
  <c r="E72" s="1"/>
  <c r="E71" a="1"/>
  <c r="E71" s="1"/>
  <c r="E62" a="1"/>
  <c r="E62" s="1"/>
  <c r="E59" a="1"/>
  <c r="E59" s="1"/>
  <c r="E57" a="1"/>
  <c r="E57" s="1"/>
  <c r="E56" a="1"/>
  <c r="E56" s="1"/>
  <c r="E54" a="1"/>
  <c r="E54" s="1"/>
  <c r="E53" a="1"/>
  <c r="E53" s="1"/>
  <c r="F51" a="1"/>
  <c r="F51" s="1"/>
  <c r="E45" a="1"/>
  <c r="E45" s="1"/>
  <c r="E44" a="1"/>
  <c r="E44" s="1"/>
  <c r="E42" a="1"/>
  <c r="E42" s="1"/>
  <c r="E41" a="1"/>
  <c r="E41" s="1"/>
  <c r="E38" a="1"/>
  <c r="E38" s="1"/>
  <c r="E36" a="1"/>
  <c r="E36" s="1"/>
  <c r="E35" a="1"/>
  <c r="E35" s="1"/>
  <c r="E33" a="1"/>
  <c r="E33" s="1"/>
  <c r="F28" a="1"/>
  <c r="F28" s="1"/>
  <c r="F27" a="1"/>
  <c r="F27" s="1"/>
  <c r="F26" a="1"/>
  <c r="F26" s="1"/>
  <c r="J102" i="55" a="1"/>
  <c r="J102" s="1"/>
  <c r="L102" s="1"/>
  <c r="J98" a="1"/>
  <c r="J98" s="1"/>
  <c r="L98" s="1"/>
  <c r="H92" a="1"/>
  <c r="H92" s="1"/>
  <c r="L92" s="1"/>
  <c r="H88" a="1"/>
  <c r="H88" s="1"/>
  <c r="L88" s="1"/>
  <c r="J82" a="1"/>
  <c r="J82" s="1"/>
  <c r="L82" s="1"/>
  <c r="J78" a="1"/>
  <c r="J78" s="1"/>
  <c r="H71" a="1"/>
  <c r="H71" s="1"/>
  <c r="J65" a="1"/>
  <c r="J65" s="1"/>
  <c r="H63" a="1"/>
  <c r="H63" s="1"/>
  <c r="J61" a="1"/>
  <c r="J61" s="1"/>
  <c r="H59" a="1"/>
  <c r="H59" s="1"/>
  <c r="J57" a="1"/>
  <c r="J57" s="1"/>
  <c r="H55" a="1"/>
  <c r="H55" s="1"/>
  <c r="J53" a="1"/>
  <c r="J53" s="1"/>
  <c r="H46" a="1"/>
  <c r="H46" s="1"/>
  <c r="J45" a="1"/>
  <c r="J45" s="1"/>
  <c r="H44" a="1"/>
  <c r="H44" s="1"/>
  <c r="J43" a="1"/>
  <c r="J43" s="1"/>
  <c r="H42" a="1"/>
  <c r="H42" s="1"/>
  <c r="J40" a="1"/>
  <c r="J40" s="1"/>
  <c r="H39" a="1"/>
  <c r="H39" s="1"/>
  <c r="J38" a="1"/>
  <c r="J38" s="1"/>
  <c r="H36" a="1"/>
  <c r="H36" s="1"/>
  <c r="J34" a="1"/>
  <c r="J34" s="1"/>
  <c r="H32" a="1"/>
  <c r="H32" s="1"/>
  <c r="J30" a="1"/>
  <c r="J30" s="1"/>
  <c r="J23" a="1"/>
  <c r="J23" s="1"/>
  <c r="J22" a="1"/>
  <c r="J22" s="1"/>
  <c r="J21" a="1"/>
  <c r="J21" s="1"/>
  <c r="H17" a="1"/>
  <c r="H17" s="1"/>
  <c r="H16" a="1"/>
  <c r="H16" s="1"/>
  <c r="H15" a="1"/>
  <c r="H15" s="1"/>
  <c r="D13" i="39"/>
  <c r="E78" i="15" a="1"/>
  <c r="E78" s="1"/>
  <c r="E76" a="1"/>
  <c r="E76" s="1"/>
  <c r="E75" a="1"/>
  <c r="E75" s="1"/>
  <c r="E74" a="1"/>
  <c r="E74" s="1"/>
  <c r="E69" a="1"/>
  <c r="E69" s="1"/>
  <c r="E68" a="1"/>
  <c r="E68" s="1"/>
  <c r="I68" s="1"/>
  <c r="E65" a="1"/>
  <c r="E65" s="1"/>
  <c r="E64" a="1"/>
  <c r="E64" s="1"/>
  <c r="E61" a="1"/>
  <c r="E61" s="1"/>
  <c r="G61" s="1"/>
  <c r="E52" a="1"/>
  <c r="E52" s="1"/>
  <c r="E51" a="1"/>
  <c r="E51" s="1"/>
  <c r="E49" a="1"/>
  <c r="E49" s="1"/>
  <c r="E40" a="1"/>
  <c r="E40" s="1"/>
  <c r="F22" a="1"/>
  <c r="F22" s="1"/>
  <c r="F20" a="1"/>
  <c r="F20" s="1"/>
  <c r="H5" i="62" a="1"/>
  <c r="H5" s="1"/>
  <c r="J6" a="1"/>
  <c r="J6" s="1"/>
  <c r="H7" a="1"/>
  <c r="H7" s="1"/>
  <c r="J8" a="1"/>
  <c r="J8" s="1"/>
  <c r="H9" a="1"/>
  <c r="H9" s="1"/>
  <c r="J10" a="1"/>
  <c r="J10" s="1"/>
  <c r="H11" a="1"/>
  <c r="H11" s="1"/>
  <c r="J12" a="1"/>
  <c r="J12" s="1"/>
  <c r="H13" a="1"/>
  <c r="H13" s="1"/>
  <c r="J14" a="1"/>
  <c r="J14" s="1"/>
  <c r="H15" a="1"/>
  <c r="H15" s="1"/>
  <c r="J16" a="1"/>
  <c r="J16" s="1"/>
  <c r="H17" a="1"/>
  <c r="H17" s="1"/>
  <c r="J18" a="1"/>
  <c r="J18" s="1"/>
  <c r="H19" a="1"/>
  <c r="H19" s="1"/>
  <c r="J20" a="1"/>
  <c r="J20" s="1"/>
  <c r="H21" a="1"/>
  <c r="H21" s="1"/>
  <c r="J22" a="1"/>
  <c r="J22" s="1"/>
  <c r="H23" a="1"/>
  <c r="H23" s="1"/>
  <c r="F14" i="43"/>
  <c r="F4" i="12" a="1"/>
  <c r="F4" s="1"/>
  <c r="E5" a="1"/>
  <c r="E5" s="1"/>
  <c r="F6" a="1"/>
  <c r="F6" s="1"/>
  <c r="E8" a="1"/>
  <c r="E8" s="1"/>
  <c r="F9" a="1"/>
  <c r="F9" s="1"/>
  <c r="E10" a="1"/>
  <c r="E10" s="1"/>
  <c r="F11" a="1"/>
  <c r="F11" s="1"/>
  <c r="E12" a="1"/>
  <c r="E12" s="1"/>
  <c r="F13" a="1"/>
  <c r="F13" s="1"/>
  <c r="E14" a="1"/>
  <c r="E14" s="1"/>
  <c r="F15" a="1"/>
  <c r="F15" s="1"/>
  <c r="J5" i="62" a="1"/>
  <c r="J5" s="1"/>
  <c r="H6" a="1"/>
  <c r="H6" s="1"/>
  <c r="J7" a="1"/>
  <c r="J7" s="1"/>
  <c r="H8" a="1"/>
  <c r="H8" s="1"/>
  <c r="J9" a="1"/>
  <c r="J9" s="1"/>
  <c r="H10" a="1"/>
  <c r="H10" s="1"/>
  <c r="J11" a="1"/>
  <c r="J11" s="1"/>
  <c r="H12" a="1"/>
  <c r="H12" s="1"/>
  <c r="J13" a="1"/>
  <c r="J13" s="1"/>
  <c r="H14" a="1"/>
  <c r="H14" s="1"/>
  <c r="J15" a="1"/>
  <c r="J15" s="1"/>
  <c r="H16" a="1"/>
  <c r="H16" s="1"/>
  <c r="J17" a="1"/>
  <c r="J17" s="1"/>
  <c r="E4" i="12" a="1"/>
  <c r="E4" s="1"/>
  <c r="F5" a="1"/>
  <c r="F5" s="1"/>
  <c r="H5" s="1"/>
  <c r="E6" a="1"/>
  <c r="E6" s="1"/>
  <c r="G6" s="1"/>
  <c r="F8" a="1"/>
  <c r="F8" s="1"/>
  <c r="H8" s="1"/>
  <c r="E9" a="1"/>
  <c r="E9" s="1"/>
  <c r="G9" s="1"/>
  <c r="F10" a="1"/>
  <c r="F10" s="1"/>
  <c r="H10" s="1"/>
  <c r="E11" a="1"/>
  <c r="E11" s="1"/>
  <c r="G11" s="1"/>
  <c r="F12" a="1"/>
  <c r="F12" s="1"/>
  <c r="H12" s="1"/>
  <c r="E13" a="1"/>
  <c r="E13" s="1"/>
  <c r="G13" s="1"/>
  <c r="F14" a="1"/>
  <c r="F14" s="1"/>
  <c r="H14" s="1"/>
  <c r="E15" a="1"/>
  <c r="E15" s="1"/>
  <c r="G15" s="1"/>
  <c r="F16" a="1"/>
  <c r="F16" s="1"/>
  <c r="E18" a="1"/>
  <c r="E18" s="1"/>
  <c r="H20" i="62" a="1"/>
  <c r="H20" s="1"/>
  <c r="J24" a="1"/>
  <c r="J24" s="1"/>
  <c r="H27" a="1"/>
  <c r="H27" s="1"/>
  <c r="J28" a="1"/>
  <c r="J28" s="1"/>
  <c r="H18" a="1"/>
  <c r="H18" s="1"/>
  <c r="L18" s="1"/>
  <c r="J23" a="1"/>
  <c r="J23" s="1"/>
  <c r="N23" s="1"/>
  <c r="H26" a="1"/>
  <c r="H26" s="1"/>
  <c r="J21" a="1"/>
  <c r="J21" s="1"/>
  <c r="N21" s="1"/>
  <c r="H25" a="1"/>
  <c r="H25" s="1"/>
  <c r="J26" a="1"/>
  <c r="J26" s="1"/>
  <c r="J19" a="1"/>
  <c r="J19" s="1"/>
  <c r="H22" a="1"/>
  <c r="H22" s="1"/>
  <c r="J29" a="1"/>
  <c r="J29" s="1"/>
  <c r="F18" i="12" a="1"/>
  <c r="F18" s="1"/>
  <c r="F19" a="1"/>
  <c r="F19" s="1"/>
  <c r="E21" a="1"/>
  <c r="E21" s="1"/>
  <c r="E22" a="1"/>
  <c r="E22" s="1"/>
  <c r="F25" a="1"/>
  <c r="F25" s="1"/>
  <c r="F26" a="1"/>
  <c r="F26" s="1"/>
  <c r="E28" a="1"/>
  <c r="E28" s="1"/>
  <c r="E29" a="1"/>
  <c r="E29" s="1"/>
  <c r="F33" a="1"/>
  <c r="F33" s="1"/>
  <c r="F34" a="1"/>
  <c r="F34" s="1"/>
  <c r="E36" a="1"/>
  <c r="E36" s="1"/>
  <c r="E37" a="1"/>
  <c r="E37" s="1"/>
  <c r="F42" a="1"/>
  <c r="F42" s="1"/>
  <c r="F43" a="1"/>
  <c r="F43" s="1"/>
  <c r="E45" a="1"/>
  <c r="E45" s="1"/>
  <c r="E46" a="1"/>
  <c r="E46" s="1"/>
  <c r="F50" a="1"/>
  <c r="F50" s="1"/>
  <c r="F51" a="1"/>
  <c r="F51" s="1"/>
  <c r="E53" a="1"/>
  <c r="E53" s="1"/>
  <c r="E54" a="1"/>
  <c r="E54" s="1"/>
  <c r="F58" a="1"/>
  <c r="F58" s="1"/>
  <c r="F59" a="1"/>
  <c r="F59" s="1"/>
  <c r="E61" a="1"/>
  <c r="E61" s="1"/>
  <c r="E62" a="1"/>
  <c r="E62" s="1"/>
  <c r="J25" i="62" a="1"/>
  <c r="J25" s="1"/>
  <c r="H28" a="1"/>
  <c r="H28" s="1"/>
  <c r="H31" a="1"/>
  <c r="H31" s="1"/>
  <c r="F20" i="12" a="1"/>
  <c r="F20" s="1"/>
  <c r="F21" a="1"/>
  <c r="F21" s="1"/>
  <c r="E23" a="1"/>
  <c r="E23" s="1"/>
  <c r="F27" a="1"/>
  <c r="F27" s="1"/>
  <c r="F28" a="1"/>
  <c r="F28" s="1"/>
  <c r="E30" a="1"/>
  <c r="E30" s="1"/>
  <c r="E31" a="1"/>
  <c r="E31" s="1"/>
  <c r="F35" a="1"/>
  <c r="F35" s="1"/>
  <c r="F36" a="1"/>
  <c r="F36" s="1"/>
  <c r="E38" a="1"/>
  <c r="E38" s="1"/>
  <c r="E40" a="1"/>
  <c r="E40" s="1"/>
  <c r="F44" a="1"/>
  <c r="F44" s="1"/>
  <c r="F45" a="1"/>
  <c r="F45" s="1"/>
  <c r="E47" a="1"/>
  <c r="E47" s="1"/>
  <c r="E48" a="1"/>
  <c r="E48" s="1"/>
  <c r="F52" a="1"/>
  <c r="F52" s="1"/>
  <c r="F53" a="1"/>
  <c r="F53" s="1"/>
  <c r="E55" a="1"/>
  <c r="E55" s="1"/>
  <c r="E56" a="1"/>
  <c r="E56" s="1"/>
  <c r="F60" a="1"/>
  <c r="F60" s="1"/>
  <c r="J31" i="62" a="1"/>
  <c r="J31" s="1"/>
  <c r="F22" i="12" a="1"/>
  <c r="F22" s="1"/>
  <c r="F23" a="1"/>
  <c r="F23" s="1"/>
  <c r="E24" a="1"/>
  <c r="E24" s="1"/>
  <c r="E25" a="1"/>
  <c r="E25" s="1"/>
  <c r="G25" s="1"/>
  <c r="F29" a="1"/>
  <c r="F29" s="1"/>
  <c r="H29" s="1"/>
  <c r="F30" a="1"/>
  <c r="F30" s="1"/>
  <c r="E32" a="1"/>
  <c r="E32" s="1"/>
  <c r="E33" a="1"/>
  <c r="E33" s="1"/>
  <c r="G33" s="1"/>
  <c r="F37" a="1"/>
  <c r="F37" s="1"/>
  <c r="F38" a="1"/>
  <c r="F38" s="1"/>
  <c r="E41" a="1"/>
  <c r="E41" s="1"/>
  <c r="E42" a="1"/>
  <c r="E42" s="1"/>
  <c r="G42" s="1"/>
  <c r="F46" a="1"/>
  <c r="F46" s="1"/>
  <c r="F47" a="1"/>
  <c r="F47" s="1"/>
  <c r="E49" a="1"/>
  <c r="E49" s="1"/>
  <c r="E50" a="1"/>
  <c r="E50" s="1"/>
  <c r="G50" s="1"/>
  <c r="F54" a="1"/>
  <c r="F54" s="1"/>
  <c r="F55" a="1"/>
  <c r="F55" s="1"/>
  <c r="E57" a="1"/>
  <c r="E57" s="1"/>
  <c r="E58" a="1"/>
  <c r="E58" s="1"/>
  <c r="G58" s="1"/>
  <c r="F62" a="1"/>
  <c r="F62" s="1"/>
  <c r="J27" i="62" a="1"/>
  <c r="J27" s="1"/>
  <c r="H29" a="1"/>
  <c r="H29" s="1"/>
  <c r="E16" i="12" a="1"/>
  <c r="E16" s="1"/>
  <c r="G16" s="1"/>
  <c r="E19" a="1"/>
  <c r="E19" s="1"/>
  <c r="E20" a="1"/>
  <c r="E20" s="1"/>
  <c r="F24" a="1"/>
  <c r="F24" s="1"/>
  <c r="E26" a="1"/>
  <c r="E26" s="1"/>
  <c r="E27" a="1"/>
  <c r="E27" s="1"/>
  <c r="F31" a="1"/>
  <c r="F31" s="1"/>
  <c r="H31" s="1"/>
  <c r="F32" a="1"/>
  <c r="F32" s="1"/>
  <c r="H32" s="1"/>
  <c r="E34" a="1"/>
  <c r="E34" s="1"/>
  <c r="E35" a="1"/>
  <c r="E35" s="1"/>
  <c r="F40" a="1"/>
  <c r="F40" s="1"/>
  <c r="F41" a="1"/>
  <c r="F41" s="1"/>
  <c r="E43" a="1"/>
  <c r="E43" s="1"/>
  <c r="E44" a="1"/>
  <c r="E44" s="1"/>
  <c r="F48" a="1"/>
  <c r="F48" s="1"/>
  <c r="F49" a="1"/>
  <c r="F49" s="1"/>
  <c r="E51" a="1"/>
  <c r="E51" s="1"/>
  <c r="E52" a="1"/>
  <c r="E52" s="1"/>
  <c r="F56" a="1"/>
  <c r="F56" s="1"/>
  <c r="F57" a="1"/>
  <c r="F57" s="1"/>
  <c r="E64" a="1"/>
  <c r="E64" s="1"/>
  <c r="F65" a="1"/>
  <c r="F65" s="1"/>
  <c r="E68" a="1"/>
  <c r="E68" s="1"/>
  <c r="F69" a="1"/>
  <c r="F69" s="1"/>
  <c r="E72" a="1"/>
  <c r="E72" s="1"/>
  <c r="F73" a="1"/>
  <c r="F73" s="1"/>
  <c r="E76" a="1"/>
  <c r="E76" s="1"/>
  <c r="F77" a="1"/>
  <c r="F77" s="1"/>
  <c r="F81" a="1"/>
  <c r="F81" s="1"/>
  <c r="F82" a="1"/>
  <c r="F82" s="1"/>
  <c r="E84" a="1"/>
  <c r="E84" s="1"/>
  <c r="E85" a="1"/>
  <c r="E85" s="1"/>
  <c r="F89" a="1"/>
  <c r="F89" s="1"/>
  <c r="F90" a="1"/>
  <c r="F90" s="1"/>
  <c r="E92" a="1"/>
  <c r="E92" s="1"/>
  <c r="E93" a="1"/>
  <c r="E93" s="1"/>
  <c r="E28" i="15" a="1"/>
  <c r="E28" s="1"/>
  <c r="F29" a="1"/>
  <c r="F29" s="1"/>
  <c r="E30" a="1"/>
  <c r="E30" s="1"/>
  <c r="F61" i="12" a="1"/>
  <c r="F61" s="1"/>
  <c r="E63" a="1"/>
  <c r="E63" s="1"/>
  <c r="F64" a="1"/>
  <c r="F64" s="1"/>
  <c r="E67" a="1"/>
  <c r="E67" s="1"/>
  <c r="F68" a="1"/>
  <c r="F68" s="1"/>
  <c r="E71" a="1"/>
  <c r="E71" s="1"/>
  <c r="F72" a="1"/>
  <c r="F72" s="1"/>
  <c r="E75" a="1"/>
  <c r="E75" s="1"/>
  <c r="F76" a="1"/>
  <c r="F76" s="1"/>
  <c r="E79" a="1"/>
  <c r="E79" s="1"/>
  <c r="F83" a="1"/>
  <c r="F83" s="1"/>
  <c r="F84" a="1"/>
  <c r="F84" s="1"/>
  <c r="E86" a="1"/>
  <c r="E86" s="1"/>
  <c r="E87" a="1"/>
  <c r="E87" s="1"/>
  <c r="F91" a="1"/>
  <c r="F91" s="1"/>
  <c r="F92" a="1"/>
  <c r="F92" s="1"/>
  <c r="E59" a="1"/>
  <c r="E59" s="1"/>
  <c r="G59" s="1"/>
  <c r="F63" a="1"/>
  <c r="F63" s="1"/>
  <c r="H63" s="1"/>
  <c r="E66" a="1"/>
  <c r="E66" s="1"/>
  <c r="F67" a="1"/>
  <c r="F67" s="1"/>
  <c r="H67" s="1"/>
  <c r="E70" a="1"/>
  <c r="E70" s="1"/>
  <c r="F71" a="1"/>
  <c r="F71" s="1"/>
  <c r="H71" s="1"/>
  <c r="E74" a="1"/>
  <c r="E74" s="1"/>
  <c r="F75" a="1"/>
  <c r="F75" s="1"/>
  <c r="H75" s="1"/>
  <c r="E78" a="1"/>
  <c r="E78" s="1"/>
  <c r="E80" a="1"/>
  <c r="E80" s="1"/>
  <c r="E81" a="1"/>
  <c r="E81" s="1"/>
  <c r="F85" a="1"/>
  <c r="F85" s="1"/>
  <c r="F86" a="1"/>
  <c r="F86" s="1"/>
  <c r="E88" a="1"/>
  <c r="E88" s="1"/>
  <c r="E89" a="1"/>
  <c r="E89" s="1"/>
  <c r="E60" a="1"/>
  <c r="E60" s="1"/>
  <c r="E65" a="1"/>
  <c r="E65" s="1"/>
  <c r="G65" s="1"/>
  <c r="F66" a="1"/>
  <c r="F66" s="1"/>
  <c r="E69" a="1"/>
  <c r="E69" s="1"/>
  <c r="G69" s="1"/>
  <c r="F70" a="1"/>
  <c r="F70" s="1"/>
  <c r="E73" a="1"/>
  <c r="E73" s="1"/>
  <c r="G73" s="1"/>
  <c r="F74" a="1"/>
  <c r="F74" s="1"/>
  <c r="E77" a="1"/>
  <c r="E77" s="1"/>
  <c r="G77" s="1"/>
  <c r="F78" a="1"/>
  <c r="F78" s="1"/>
  <c r="F79" a="1"/>
  <c r="F79" s="1"/>
  <c r="F80" a="1"/>
  <c r="F80" s="1"/>
  <c r="H80" s="1"/>
  <c r="E82" a="1"/>
  <c r="E82" s="1"/>
  <c r="E83" a="1"/>
  <c r="E83" s="1"/>
  <c r="F87" a="1"/>
  <c r="F87" s="1"/>
  <c r="F88" a="1"/>
  <c r="F88" s="1"/>
  <c r="H88" s="1"/>
  <c r="L5" i="45" a="1"/>
  <c r="L5" s="1"/>
  <c r="J7" a="1"/>
  <c r="J7" s="1"/>
  <c r="J8" a="1"/>
  <c r="J8" s="1"/>
  <c r="J20" a="1"/>
  <c r="J20" s="1"/>
  <c r="L22" a="1"/>
  <c r="L22" s="1"/>
  <c r="L23" a="1"/>
  <c r="L23" s="1"/>
  <c r="L25" a="1"/>
  <c r="L25" s="1"/>
  <c r="J26" a="1"/>
  <c r="J26" s="1"/>
  <c r="E12" i="15" a="1"/>
  <c r="E12" s="1"/>
  <c r="E15" a="1"/>
  <c r="E15" s="1"/>
  <c r="E17" a="1"/>
  <c r="E17" s="1"/>
  <c r="G17" s="1"/>
  <c r="E18" a="1"/>
  <c r="E18" s="1"/>
  <c r="E20" a="1"/>
  <c r="E20" s="1"/>
  <c r="E23" a="1"/>
  <c r="E23" s="1"/>
  <c r="E24" a="1"/>
  <c r="E24" s="1"/>
  <c r="E26" a="1"/>
  <c r="E26" s="1"/>
  <c r="G26" s="1"/>
  <c r="E27" a="1"/>
  <c r="E27" s="1"/>
  <c r="F30" a="1"/>
  <c r="F30" s="1"/>
  <c r="F65" a="1"/>
  <c r="F65" s="1"/>
  <c r="F69" a="1"/>
  <c r="F69" s="1"/>
  <c r="F71" a="1"/>
  <c r="F71" s="1"/>
  <c r="E73" a="1"/>
  <c r="E73" s="1"/>
  <c r="I73" s="1"/>
  <c r="F75" a="1"/>
  <c r="F75" s="1"/>
  <c r="E77" a="1"/>
  <c r="E77" s="1"/>
  <c r="I77" s="1"/>
  <c r="F78" a="1"/>
  <c r="F78" s="1"/>
  <c r="J12" i="55" a="1"/>
  <c r="J12" s="1"/>
  <c r="H14" a="1"/>
  <c r="H14" s="1"/>
  <c r="L14" s="1"/>
  <c r="J16" a="1"/>
  <c r="J16" s="1"/>
  <c r="H18" a="1"/>
  <c r="H18" s="1"/>
  <c r="J20" a="1"/>
  <c r="J20" s="1"/>
  <c r="H22" a="1"/>
  <c r="H22" s="1"/>
  <c r="J24" a="1"/>
  <c r="J24" s="1"/>
  <c r="H26" a="1"/>
  <c r="H26" s="1"/>
  <c r="J28" a="1"/>
  <c r="J28" s="1"/>
  <c r="E91" i="12" a="1"/>
  <c r="E91" s="1"/>
  <c r="L6" i="45" a="1"/>
  <c r="L6" s="1"/>
  <c r="L7" a="1"/>
  <c r="L7" s="1"/>
  <c r="J9" a="1"/>
  <c r="J9" s="1"/>
  <c r="L19" a="1"/>
  <c r="L19" s="1"/>
  <c r="L20" a="1"/>
  <c r="L20" s="1"/>
  <c r="J24" a="1"/>
  <c r="J24" s="1"/>
  <c r="L26" a="1"/>
  <c r="L26" s="1"/>
  <c r="L8" a="1"/>
  <c r="L8" s="1"/>
  <c r="L9" a="1"/>
  <c r="L9" s="1"/>
  <c r="J21" a="1"/>
  <c r="J21" s="1"/>
  <c r="J22" a="1"/>
  <c r="J22" s="1"/>
  <c r="L24" a="1"/>
  <c r="L24" s="1"/>
  <c r="J25" a="1"/>
  <c r="J25" s="1"/>
  <c r="F10" i="15" a="1"/>
  <c r="F10" s="1"/>
  <c r="F12" a="1"/>
  <c r="F12" s="1"/>
  <c r="F13" a="1"/>
  <c r="F13" s="1"/>
  <c r="H13" s="1"/>
  <c r="F15" a="1"/>
  <c r="F15" s="1"/>
  <c r="F18" a="1"/>
  <c r="F18" s="1"/>
  <c r="F24" a="1"/>
  <c r="F24" s="1"/>
  <c r="E90" i="12" a="1"/>
  <c r="E90" s="1"/>
  <c r="F93" a="1"/>
  <c r="F93" s="1"/>
  <c r="J5" i="45" a="1"/>
  <c r="J5" s="1"/>
  <c r="J6" a="1"/>
  <c r="J6" s="1"/>
  <c r="J19" a="1"/>
  <c r="J19" s="1"/>
  <c r="L21" a="1"/>
  <c r="L21" s="1"/>
  <c r="J23" a="1"/>
  <c r="J23" s="1"/>
  <c r="N23" s="1"/>
  <c r="J106" i="55" a="1"/>
  <c r="J106" s="1"/>
  <c r="L106" s="1"/>
  <c r="H104" a="1"/>
  <c r="H104" s="1"/>
  <c r="L104" s="1"/>
  <c r="H100" a="1"/>
  <c r="H100" s="1"/>
  <c r="L100" s="1"/>
  <c r="H96" a="1"/>
  <c r="H96" s="1"/>
  <c r="L96" s="1"/>
  <c r="J94" a="1"/>
  <c r="J94" s="1"/>
  <c r="L94" s="1"/>
  <c r="J90" a="1"/>
  <c r="J90" s="1"/>
  <c r="L90" s="1"/>
  <c r="J86" a="1"/>
  <c r="J86" s="1"/>
  <c r="L86" s="1"/>
  <c r="H84" a="1"/>
  <c r="H84" s="1"/>
  <c r="L84" s="1"/>
  <c r="H80" a="1"/>
  <c r="H80" s="1"/>
  <c r="L80" s="1"/>
  <c r="H76" a="1"/>
  <c r="H76" s="1"/>
  <c r="L76" s="1"/>
  <c r="J69" a="1"/>
  <c r="J69" s="1"/>
  <c r="H67" a="1"/>
  <c r="H67" s="1"/>
  <c r="L67" s="1"/>
  <c r="J109" a="1"/>
  <c r="J109" s="1"/>
  <c r="L109" s="1"/>
  <c r="H107" a="1"/>
  <c r="H107" s="1"/>
  <c r="L107" s="1"/>
  <c r="J105" a="1"/>
  <c r="J105" s="1"/>
  <c r="L105" s="1"/>
  <c r="H103" a="1"/>
  <c r="H103" s="1"/>
  <c r="L103" s="1"/>
  <c r="J101" a="1"/>
  <c r="J101" s="1"/>
  <c r="L101" s="1"/>
  <c r="H99" a="1"/>
  <c r="H99" s="1"/>
  <c r="L99" s="1"/>
  <c r="J97" a="1"/>
  <c r="J97" s="1"/>
  <c r="L97" s="1"/>
  <c r="H95" a="1"/>
  <c r="H95" s="1"/>
  <c r="L95" s="1"/>
  <c r="J93" a="1"/>
  <c r="J93" s="1"/>
  <c r="L93" s="1"/>
  <c r="H91" a="1"/>
  <c r="H91" s="1"/>
  <c r="L91" s="1"/>
  <c r="J89" a="1"/>
  <c r="J89" s="1"/>
  <c r="H87" a="1"/>
  <c r="H87" s="1"/>
  <c r="L87" s="1"/>
  <c r="J85" a="1"/>
  <c r="J85" s="1"/>
  <c r="H83" a="1"/>
  <c r="H83" s="1"/>
  <c r="L83" s="1"/>
  <c r="J81" a="1"/>
  <c r="J81" s="1"/>
  <c r="H79" a="1"/>
  <c r="H79" s="1"/>
  <c r="L79" s="1"/>
  <c r="J77" a="1"/>
  <c r="J77" s="1"/>
  <c r="H75" a="1"/>
  <c r="H75" s="1"/>
  <c r="H70" a="1"/>
  <c r="H70" s="1"/>
  <c r="L70" s="1"/>
  <c r="J68" a="1"/>
  <c r="J68" s="1"/>
  <c r="H66" a="1"/>
  <c r="H66" s="1"/>
  <c r="L66" s="1"/>
  <c r="J64" a="1"/>
  <c r="J64" s="1"/>
  <c r="H62" a="1"/>
  <c r="H62" s="1"/>
  <c r="L62" s="1"/>
  <c r="J60" a="1"/>
  <c r="J60" s="1"/>
  <c r="H58" a="1"/>
  <c r="H58" s="1"/>
  <c r="L58" s="1"/>
  <c r="J56" a="1"/>
  <c r="J56" s="1"/>
  <c r="H54" a="1"/>
  <c r="H54" s="1"/>
  <c r="L54" s="1"/>
  <c r="J47" a="1"/>
  <c r="J47" s="1"/>
  <c r="H41" a="1"/>
  <c r="H41" s="1"/>
  <c r="L41" s="1"/>
  <c r="J37" a="1"/>
  <c r="J37" s="1"/>
  <c r="H35" a="1"/>
  <c r="H35" s="1"/>
  <c r="L35" s="1"/>
  <c r="J33" a="1"/>
  <c r="J33" s="1"/>
  <c r="H31" a="1"/>
  <c r="H31" s="1"/>
  <c r="L31" s="1"/>
  <c r="J29" a="1"/>
  <c r="J29" s="1"/>
  <c r="J27" a="1"/>
  <c r="J27" s="1"/>
  <c r="J26" a="1"/>
  <c r="J26" s="1"/>
  <c r="J25" a="1"/>
  <c r="J25" s="1"/>
  <c r="H21" a="1"/>
  <c r="H21" s="1"/>
  <c r="L21" s="1"/>
  <c r="H20" a="1"/>
  <c r="H20" s="1"/>
  <c r="H19" a="1"/>
  <c r="H19" s="1"/>
  <c r="L19" s="1"/>
  <c r="F57" i="15" a="1"/>
  <c r="F57" s="1"/>
  <c r="H57" s="1"/>
  <c r="F54" a="1"/>
  <c r="F54" s="1"/>
  <c r="H54" s="1"/>
  <c r="J54" s="1"/>
  <c r="F46" a="1"/>
  <c r="F46" s="1"/>
  <c r="F45" a="1"/>
  <c r="F45" s="1"/>
  <c r="H45" s="1"/>
  <c r="F42" a="1"/>
  <c r="F42" s="1"/>
  <c r="H42" s="1"/>
  <c r="F36" a="1"/>
  <c r="F36" s="1"/>
  <c r="H36" s="1"/>
  <c r="F33" a="1"/>
  <c r="F33" s="1"/>
  <c r="F31" a="1"/>
  <c r="F31" s="1"/>
  <c r="H31" s="1"/>
  <c r="E29" a="1"/>
  <c r="E29" s="1"/>
  <c r="E22" a="1"/>
  <c r="E22" s="1"/>
  <c r="J43" i="45" l="1"/>
  <c r="L43"/>
  <c r="H28" i="12"/>
  <c r="N5" i="45"/>
  <c r="H30" i="12"/>
  <c r="P34" i="45"/>
  <c r="N34"/>
  <c r="P33"/>
  <c r="N33"/>
  <c r="P28"/>
  <c r="P13"/>
  <c r="G22" i="15"/>
  <c r="L18" i="55"/>
  <c r="G27" i="15"/>
  <c r="J27" s="1"/>
  <c r="P14" i="45"/>
  <c r="L42" i="55"/>
  <c r="M42" s="1"/>
  <c r="L44"/>
  <c r="M44" s="1"/>
  <c r="L46"/>
  <c r="N16" i="45"/>
  <c r="P17"/>
  <c r="G53" i="15"/>
  <c r="P18" i="45"/>
  <c r="N15"/>
  <c r="N17"/>
  <c r="P31"/>
  <c r="P15"/>
  <c r="N14"/>
  <c r="P16"/>
  <c r="J91" i="14"/>
  <c r="P32" i="45"/>
  <c r="N31"/>
  <c r="N32"/>
  <c r="I76" i="15"/>
  <c r="I72"/>
  <c r="L49" i="55"/>
  <c r="L48"/>
  <c r="H51"/>
  <c r="H52" s="1"/>
  <c r="G28" i="15"/>
  <c r="L63" i="55"/>
  <c r="L71"/>
  <c r="L36"/>
  <c r="L39"/>
  <c r="M39" s="1"/>
  <c r="N30" i="45"/>
  <c r="P30"/>
  <c r="G40" i="15"/>
  <c r="L15" i="55"/>
  <c r="L55"/>
  <c r="L59"/>
  <c r="N11" i="45"/>
  <c r="N96" i="63"/>
  <c r="L96"/>
  <c r="N12" i="45"/>
  <c r="N13"/>
  <c r="P11"/>
  <c r="N18"/>
  <c r="N10"/>
  <c r="G17" i="12"/>
  <c r="H17"/>
  <c r="H39"/>
  <c r="G52" i="15"/>
  <c r="I74"/>
  <c r="L32" i="55"/>
  <c r="H7" i="12"/>
  <c r="G7"/>
  <c r="M97" i="63"/>
  <c r="O97"/>
  <c r="L22" i="55"/>
  <c r="P29" i="45"/>
  <c r="N27" i="62"/>
  <c r="L108" i="55"/>
  <c r="P8" i="45"/>
  <c r="N28"/>
  <c r="N29"/>
  <c r="G82" i="12"/>
  <c r="N19" i="45"/>
  <c r="N6"/>
  <c r="H30" i="15"/>
  <c r="H61" i="12"/>
  <c r="N25" i="62"/>
  <c r="L22"/>
  <c r="L14"/>
  <c r="L10"/>
  <c r="L6"/>
  <c r="N31"/>
  <c r="I91" i="14"/>
  <c r="P27" i="45"/>
  <c r="N27"/>
  <c r="G39" i="12"/>
  <c r="G90"/>
  <c r="H53"/>
  <c r="H45"/>
  <c r="H36"/>
  <c r="H21"/>
  <c r="H86"/>
  <c r="L20" i="55"/>
  <c r="H93" i="12"/>
  <c r="N25" i="45"/>
  <c r="N22"/>
  <c r="G91" i="12"/>
  <c r="G34"/>
  <c r="G26"/>
  <c r="G19"/>
  <c r="L29" i="62"/>
  <c r="H22" i="12"/>
  <c r="N19" i="62"/>
  <c r="L17" i="55"/>
  <c r="G44" i="15"/>
  <c r="L13" i="55"/>
  <c r="G89" i="12"/>
  <c r="G81"/>
  <c r="H72"/>
  <c r="H64"/>
  <c r="H57"/>
  <c r="H49"/>
  <c r="H41"/>
  <c r="H24"/>
  <c r="H48"/>
  <c r="H40"/>
  <c r="N17" i="62"/>
  <c r="N13"/>
  <c r="N9"/>
  <c r="H56" i="12"/>
  <c r="P21" i="45"/>
  <c r="G76" i="12"/>
  <c r="H18"/>
  <c r="L26" i="62"/>
  <c r="H83" i="12"/>
  <c r="G85"/>
  <c r="G92"/>
  <c r="G84"/>
  <c r="H66"/>
  <c r="N24" i="45"/>
  <c r="N9"/>
  <c r="G24" i="15"/>
  <c r="H74" i="12"/>
  <c r="P26" i="45"/>
  <c r="P20"/>
  <c r="P7"/>
  <c r="G78" i="12"/>
  <c r="G70"/>
  <c r="G52"/>
  <c r="G44"/>
  <c r="G35"/>
  <c r="G27"/>
  <c r="G20"/>
  <c r="H55"/>
  <c r="H47"/>
  <c r="H38"/>
  <c r="H23"/>
  <c r="N24" i="62"/>
  <c r="L16"/>
  <c r="L12"/>
  <c r="L8"/>
  <c r="N28"/>
  <c r="G87" i="12"/>
  <c r="G79"/>
  <c r="G68"/>
  <c r="N20" i="62"/>
  <c r="L15"/>
  <c r="L11"/>
  <c r="L7"/>
  <c r="H60" i="12"/>
  <c r="H51"/>
  <c r="H43"/>
  <c r="G62"/>
  <c r="G54"/>
  <c r="G46"/>
  <c r="G37"/>
  <c r="F19" i="15"/>
  <c r="H18"/>
  <c r="H19" s="1"/>
  <c r="H10"/>
  <c r="H11" s="1"/>
  <c r="F11"/>
  <c r="H69"/>
  <c r="F70"/>
  <c r="G18"/>
  <c r="G19" s="1"/>
  <c r="E19"/>
  <c r="N26" i="45"/>
  <c r="N20"/>
  <c r="N7"/>
  <c r="G74" i="12"/>
  <c r="G66"/>
  <c r="H91"/>
  <c r="F32" i="15"/>
  <c r="H29"/>
  <c r="G93" i="12"/>
  <c r="H77"/>
  <c r="H69"/>
  <c r="H59"/>
  <c r="H34"/>
  <c r="H26"/>
  <c r="H19"/>
  <c r="G18"/>
  <c r="G4"/>
  <c r="E95"/>
  <c r="E97" s="1"/>
  <c r="H13"/>
  <c r="H9"/>
  <c r="H4"/>
  <c r="F95"/>
  <c r="F97" s="1"/>
  <c r="L21" i="62"/>
  <c r="L17"/>
  <c r="L13"/>
  <c r="L9"/>
  <c r="L5"/>
  <c r="H33"/>
  <c r="H35" s="1"/>
  <c r="G49" i="15"/>
  <c r="E50"/>
  <c r="I64"/>
  <c r="E66"/>
  <c r="J73" i="55"/>
  <c r="J74" s="1"/>
  <c r="H28" i="15"/>
  <c r="G38"/>
  <c r="E39"/>
  <c r="G45"/>
  <c r="G56"/>
  <c r="E58"/>
  <c r="I71"/>
  <c r="L12" i="55"/>
  <c r="L56"/>
  <c r="L64"/>
  <c r="J111"/>
  <c r="J112" s="1"/>
  <c r="G13" i="15"/>
  <c r="H35"/>
  <c r="H37" s="1"/>
  <c r="F37"/>
  <c r="H44"/>
  <c r="H53"/>
  <c r="J53" s="1"/>
  <c r="H62"/>
  <c r="F63"/>
  <c r="L30" i="55"/>
  <c r="L38"/>
  <c r="M38" s="1"/>
  <c r="L43"/>
  <c r="M43" s="1"/>
  <c r="L78"/>
  <c r="F16" i="15"/>
  <c r="H15"/>
  <c r="H16" s="1"/>
  <c r="P23" i="45"/>
  <c r="P5"/>
  <c r="G88" i="12"/>
  <c r="G80"/>
  <c r="G71"/>
  <c r="G63"/>
  <c r="G57"/>
  <c r="G49"/>
  <c r="G41"/>
  <c r="G32"/>
  <c r="G24"/>
  <c r="H52"/>
  <c r="H44"/>
  <c r="H35"/>
  <c r="H27"/>
  <c r="H20"/>
  <c r="H58"/>
  <c r="H50"/>
  <c r="H42"/>
  <c r="H33"/>
  <c r="H25"/>
  <c r="L27" i="62"/>
  <c r="H16" i="12"/>
  <c r="N5" i="62"/>
  <c r="J33"/>
  <c r="J35" s="1"/>
  <c r="G12" i="12"/>
  <c r="G8"/>
  <c r="F125" i="43"/>
  <c r="H125" s="1"/>
  <c r="H126" s="1"/>
  <c r="H14"/>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N16" i="62"/>
  <c r="N12"/>
  <c r="N8"/>
  <c r="H20" i="15"/>
  <c r="H21" s="1"/>
  <c r="F21"/>
  <c r="G51"/>
  <c r="E55"/>
  <c r="I65"/>
  <c r="I75"/>
  <c r="G33"/>
  <c r="G34" s="1"/>
  <c r="E34"/>
  <c r="G41"/>
  <c r="E43"/>
  <c r="H51"/>
  <c r="J51" s="1"/>
  <c r="F55"/>
  <c r="G57"/>
  <c r="L27" i="55"/>
  <c r="L33"/>
  <c r="L47"/>
  <c r="L77"/>
  <c r="L85"/>
  <c r="H17" i="15"/>
  <c r="H38"/>
  <c r="F39"/>
  <c r="G46"/>
  <c r="G47" s="1"/>
  <c r="E47"/>
  <c r="H56"/>
  <c r="H58" s="1"/>
  <c r="F58"/>
  <c r="F66"/>
  <c r="F67" s="1"/>
  <c r="L23" i="55"/>
  <c r="H73"/>
  <c r="H74" s="1"/>
  <c r="L53"/>
  <c r="L61"/>
  <c r="L69"/>
  <c r="J51"/>
  <c r="J52" s="1"/>
  <c r="G23" i="15"/>
  <c r="E25"/>
  <c r="G15"/>
  <c r="G16" s="1"/>
  <c r="E16"/>
  <c r="P25" i="45"/>
  <c r="P22"/>
  <c r="H87" i="12"/>
  <c r="H79"/>
  <c r="G86"/>
  <c r="H76"/>
  <c r="H68"/>
  <c r="H90"/>
  <c r="H82"/>
  <c r="H73"/>
  <c r="H65"/>
  <c r="G56"/>
  <c r="G48"/>
  <c r="G40"/>
  <c r="G31"/>
  <c r="L31" i="62"/>
  <c r="G29" i="12"/>
  <c r="G22"/>
  <c r="N29" i="62"/>
  <c r="N26"/>
  <c r="H15" i="12"/>
  <c r="H11"/>
  <c r="H6"/>
  <c r="L23" i="62"/>
  <c r="L19"/>
  <c r="H22" i="15"/>
  <c r="L16" i="55"/>
  <c r="H26" i="15"/>
  <c r="G35"/>
  <c r="E37"/>
  <c r="G42"/>
  <c r="G59"/>
  <c r="E60"/>
  <c r="L28" i="55"/>
  <c r="L60"/>
  <c r="L68"/>
  <c r="H23" i="15"/>
  <c r="F25"/>
  <c r="H40"/>
  <c r="F50"/>
  <c r="H49"/>
  <c r="H59"/>
  <c r="F60"/>
  <c r="L24" i="55"/>
  <c r="L34"/>
  <c r="L40"/>
  <c r="L45"/>
  <c r="M45" s="1"/>
  <c r="G10" i="15"/>
  <c r="G11" s="1"/>
  <c r="G29"/>
  <c r="E32"/>
  <c r="L75" i="55"/>
  <c r="H111"/>
  <c r="H112" s="1"/>
  <c r="N21" i="45"/>
  <c r="F34" i="15"/>
  <c r="H33"/>
  <c r="H34" s="1"/>
  <c r="H46"/>
  <c r="H47" s="1"/>
  <c r="F47"/>
  <c r="H24"/>
  <c r="H12"/>
  <c r="H14" s="1"/>
  <c r="F14"/>
  <c r="P24" i="45"/>
  <c r="P9"/>
  <c r="P19"/>
  <c r="P6"/>
  <c r="L26" i="55"/>
  <c r="E21" i="15"/>
  <c r="G20"/>
  <c r="G21" s="1"/>
  <c r="E14"/>
  <c r="G12"/>
  <c r="N8" i="45"/>
  <c r="G83" i="12"/>
  <c r="H78"/>
  <c r="H70"/>
  <c r="G60"/>
  <c r="H85"/>
  <c r="H92"/>
  <c r="H84"/>
  <c r="G75"/>
  <c r="G67"/>
  <c r="G30" i="15"/>
  <c r="H89" i="12"/>
  <c r="H81"/>
  <c r="G72"/>
  <c r="G64"/>
  <c r="G51"/>
  <c r="G43"/>
  <c r="H62"/>
  <c r="H54"/>
  <c r="H46"/>
  <c r="H37"/>
  <c r="G55"/>
  <c r="G47"/>
  <c r="G38"/>
  <c r="G30"/>
  <c r="G23"/>
  <c r="L28" i="62"/>
  <c r="G61" i="12"/>
  <c r="G53"/>
  <c r="G45"/>
  <c r="G36"/>
  <c r="G28"/>
  <c r="G21"/>
  <c r="L24" i="62"/>
  <c r="L25"/>
  <c r="L20"/>
  <c r="N15"/>
  <c r="N11"/>
  <c r="N7"/>
  <c r="G14" i="12"/>
  <c r="G10"/>
  <c r="G5"/>
  <c r="N22" i="62"/>
  <c r="N18"/>
  <c r="N14"/>
  <c r="N10"/>
  <c r="N6"/>
  <c r="I69" i="15"/>
  <c r="G69"/>
  <c r="E70"/>
  <c r="I78"/>
  <c r="H27"/>
  <c r="G36"/>
  <c r="G54"/>
  <c r="G62"/>
  <c r="G63" s="1"/>
  <c r="E63"/>
  <c r="L29" i="55"/>
  <c r="L37"/>
  <c r="L81"/>
  <c r="L89"/>
  <c r="G31" i="15"/>
  <c r="H41"/>
  <c r="H43" s="1"/>
  <c r="F43"/>
  <c r="H52"/>
  <c r="J52" s="1"/>
  <c r="H61"/>
  <c r="L25" i="55"/>
  <c r="L57"/>
  <c r="L65"/>
  <c r="N43" i="45" l="1"/>
  <c r="P43"/>
  <c r="J44"/>
  <c r="F48" i="15"/>
  <c r="F79" s="1"/>
  <c r="H32"/>
  <c r="H50"/>
  <c r="L97" i="63"/>
  <c r="N97"/>
  <c r="O98"/>
  <c r="M98"/>
  <c r="P44" i="45"/>
  <c r="H48" i="15"/>
  <c r="J92" i="14"/>
  <c r="I92"/>
  <c r="H39" i="15"/>
  <c r="G25"/>
  <c r="G14"/>
  <c r="H25"/>
  <c r="G60"/>
  <c r="G43"/>
  <c r="G48" s="1"/>
  <c r="G37"/>
  <c r="E48"/>
  <c r="L73" i="55"/>
  <c r="L74" s="1"/>
  <c r="H63" i="15"/>
  <c r="L33" i="62"/>
  <c r="H70" i="15"/>
  <c r="G58"/>
  <c r="G50"/>
  <c r="N33" i="62"/>
  <c r="L44" i="45"/>
  <c r="L51" i="55"/>
  <c r="L52" s="1"/>
  <c r="H95" i="12"/>
  <c r="G95"/>
  <c r="G70" i="15"/>
  <c r="I70"/>
  <c r="G32"/>
  <c r="L111" i="55"/>
  <c r="L112" s="1"/>
  <c r="H60" i="15"/>
  <c r="H55"/>
  <c r="J55" s="1"/>
  <c r="G55"/>
  <c r="G39"/>
  <c r="I66"/>
  <c r="E67"/>
  <c r="J93" i="14" l="1"/>
  <c r="L98" i="63"/>
  <c r="N98"/>
  <c r="M99"/>
  <c r="O99"/>
  <c r="I93" i="14"/>
  <c r="H79" i="15"/>
  <c r="G79"/>
  <c r="H97" i="12"/>
  <c r="N35" i="62"/>
  <c r="I67" i="15"/>
  <c r="J77"/>
  <c r="E79"/>
  <c r="F81" s="1"/>
  <c r="I94" i="14" l="1"/>
  <c r="L99" i="63"/>
  <c r="N99"/>
  <c r="O100"/>
  <c r="M100"/>
  <c r="J94" i="14"/>
  <c r="H81" i="15"/>
  <c r="J95" i="14" l="1"/>
  <c r="N100" i="63"/>
  <c r="L100"/>
  <c r="M101"/>
  <c r="O101"/>
  <c r="I95" i="14"/>
  <c r="L101" i="63" l="1"/>
  <c r="I96" i="14"/>
  <c r="J96"/>
  <c r="N101" i="63"/>
  <c r="O102"/>
  <c r="M102"/>
  <c r="N102" l="1"/>
  <c r="J97" i="14"/>
  <c r="I97"/>
  <c r="L102" i="63"/>
  <c r="M103"/>
  <c r="O103"/>
  <c r="L103" l="1"/>
  <c r="I98" i="14"/>
  <c r="J98"/>
  <c r="N103" i="63"/>
  <c r="M104"/>
  <c r="O104"/>
  <c r="N104" l="1"/>
  <c r="J99" i="14"/>
  <c r="I99"/>
  <c r="L104" i="63"/>
  <c r="O105"/>
  <c r="M105"/>
  <c r="L105" l="1"/>
  <c r="I100" i="14"/>
  <c r="J100"/>
  <c r="N105" i="63"/>
  <c r="M106"/>
  <c r="O106"/>
  <c r="N106" l="1"/>
  <c r="J101" i="14"/>
  <c r="I101"/>
  <c r="L106" i="63"/>
  <c r="O107"/>
  <c r="M107"/>
  <c r="L107" l="1"/>
  <c r="I102" i="14"/>
  <c r="J102"/>
  <c r="N107" i="63"/>
  <c r="M108"/>
  <c r="O108"/>
  <c r="N108" l="1"/>
  <c r="J103" i="14"/>
  <c r="I103"/>
  <c r="L108" i="63"/>
  <c r="O109"/>
  <c r="M109"/>
  <c r="L109" l="1"/>
  <c r="I104" i="14"/>
  <c r="J104"/>
  <c r="N109" i="63"/>
  <c r="M110"/>
  <c r="O110"/>
  <c r="N110" l="1"/>
  <c r="J105" i="14"/>
  <c r="I105"/>
  <c r="L110" i="63"/>
  <c r="O111"/>
  <c r="M111"/>
  <c r="L111" l="1"/>
  <c r="I106" i="14"/>
  <c r="J106"/>
  <c r="N111" i="63"/>
  <c r="M112"/>
  <c r="O112"/>
  <c r="N112" l="1"/>
  <c r="J107" i="14"/>
  <c r="I107"/>
  <c r="O113" i="63"/>
  <c r="L112"/>
  <c r="L113" s="1"/>
  <c r="M113"/>
  <c r="M114" s="1"/>
  <c r="I108" i="14" l="1"/>
  <c r="J108"/>
  <c r="N113" i="63"/>
  <c r="L114" s="1"/>
  <c r="O114"/>
  <c r="O115" s="1"/>
  <c r="J109" i="14" l="1"/>
  <c r="I109"/>
  <c r="N114" i="63"/>
  <c r="N115" s="1"/>
  <c r="M115"/>
  <c r="M116" s="1"/>
  <c r="I110" i="14" l="1"/>
  <c r="J110"/>
  <c r="L115" i="63"/>
  <c r="L116" s="1"/>
  <c r="O116"/>
  <c r="O117" s="1"/>
  <c r="J111" i="14" l="1"/>
  <c r="I111"/>
  <c r="N116" i="63"/>
  <c r="N117" s="1"/>
  <c r="M117"/>
  <c r="M118" s="1"/>
  <c r="I112" i="14" l="1"/>
  <c r="J112"/>
  <c r="L117" i="63"/>
  <c r="L118" s="1"/>
  <c r="O118"/>
  <c r="O119" s="1"/>
  <c r="J113" i="14" l="1"/>
  <c r="I113"/>
  <c r="N118" i="63"/>
  <c r="N119" s="1"/>
  <c r="M119"/>
  <c r="M120" s="1"/>
  <c r="I114" i="14" l="1"/>
  <c r="J114"/>
  <c r="L119" i="63"/>
  <c r="L120" s="1"/>
  <c r="O120"/>
  <c r="O121" s="1"/>
  <c r="J115" i="14" l="1"/>
  <c r="I115"/>
  <c r="N120" i="63"/>
  <c r="N121" s="1"/>
  <c r="M121"/>
  <c r="M122" s="1"/>
  <c r="I116" i="14" l="1"/>
  <c r="J116"/>
  <c r="L121" i="63"/>
  <c r="L122" s="1"/>
  <c r="O122"/>
  <c r="O123" s="1"/>
  <c r="J117" i="14" l="1"/>
  <c r="I117"/>
  <c r="N122" i="63"/>
  <c r="N123" s="1"/>
  <c r="M123"/>
  <c r="M124" s="1"/>
  <c r="I118" i="14" l="1"/>
  <c r="J118"/>
  <c r="L123" i="63"/>
  <c r="L124" s="1"/>
  <c r="O124"/>
  <c r="O125" s="1"/>
  <c r="J119" i="14" l="1"/>
  <c r="I119"/>
  <c r="N124" i="63"/>
  <c r="N125" s="1"/>
  <c r="M125"/>
  <c r="M126" s="1"/>
  <c r="O126" l="1"/>
  <c r="O127" s="1"/>
  <c r="I120" i="14"/>
  <c r="J120"/>
  <c r="L125" i="63"/>
  <c r="L126" s="1"/>
  <c r="N126" l="1"/>
  <c r="N127" s="1"/>
  <c r="M127"/>
  <c r="M128" s="1"/>
  <c r="J121" i="14"/>
  <c r="I121"/>
  <c r="O128" i="63" l="1"/>
  <c r="O129" s="1"/>
  <c r="L127"/>
  <c r="L128" s="1"/>
  <c r="I122" i="14"/>
  <c r="J122"/>
  <c r="M129" i="63" l="1"/>
  <c r="M130" s="1"/>
  <c r="N128"/>
  <c r="N129" s="1"/>
  <c r="J123" i="14"/>
  <c r="I123"/>
  <c r="O130" i="63" l="1"/>
  <c r="O131" s="1"/>
  <c r="L129"/>
  <c r="L130" s="1"/>
  <c r="I124" i="14"/>
  <c r="J124"/>
  <c r="M131" i="63" l="1"/>
  <c r="M132" s="1"/>
  <c r="N130"/>
  <c r="N131" s="1"/>
  <c r="J125" i="14"/>
  <c r="I125"/>
  <c r="O132" i="63" l="1"/>
  <c r="O133" s="1"/>
  <c r="L131"/>
  <c r="L132" s="1"/>
  <c r="I126" i="14"/>
  <c r="J126"/>
  <c r="M133" i="63" l="1"/>
  <c r="M134" s="1"/>
  <c r="N132"/>
  <c r="N133" s="1"/>
  <c r="J127" i="14"/>
  <c r="I127"/>
  <c r="O134" i="63" l="1"/>
  <c r="O135" s="1"/>
  <c r="L133"/>
  <c r="L134" s="1"/>
  <c r="I128" i="14"/>
  <c r="J128"/>
  <c r="M135" i="63" l="1"/>
  <c r="M136" s="1"/>
  <c r="N134"/>
  <c r="N135" s="1"/>
  <c r="J129" i="14"/>
  <c r="I129"/>
  <c r="O136" i="63" l="1"/>
  <c r="O137" s="1"/>
  <c r="L135"/>
  <c r="L136" s="1"/>
  <c r="I130" i="14"/>
  <c r="J130"/>
  <c r="M137" i="63" l="1"/>
  <c r="M138" s="1"/>
  <c r="N136"/>
  <c r="N137" s="1"/>
  <c r="J131" i="14"/>
  <c r="I131"/>
  <c r="O138" i="63" l="1"/>
  <c r="O139" s="1"/>
  <c r="L137"/>
  <c r="L138" s="1"/>
  <c r="I132" i="14"/>
  <c r="J132"/>
  <c r="M139" i="63" l="1"/>
  <c r="M140" s="1"/>
  <c r="N138"/>
  <c r="N139" s="1"/>
  <c r="J133" i="14"/>
  <c r="I133"/>
  <c r="O140" i="63" l="1"/>
  <c r="O141" s="1"/>
  <c r="L139"/>
  <c r="L140" s="1"/>
  <c r="I134" i="14"/>
  <c r="J134"/>
  <c r="M141" i="63" l="1"/>
  <c r="M142" s="1"/>
  <c r="N140"/>
  <c r="N141" s="1"/>
  <c r="J135" i="14"/>
  <c r="I135"/>
  <c r="O142" i="63" l="1"/>
  <c r="O143" s="1"/>
  <c r="L141"/>
  <c r="L142" s="1"/>
  <c r="I136" i="14"/>
  <c r="J136"/>
  <c r="M143" i="63" l="1"/>
  <c r="M144" s="1"/>
  <c r="N142"/>
  <c r="N143" s="1"/>
  <c r="J137" i="14"/>
  <c r="I137"/>
  <c r="O144" i="63" l="1"/>
  <c r="O145" s="1"/>
  <c r="L143"/>
  <c r="L144" s="1"/>
  <c r="I138" i="14"/>
  <c r="J138"/>
  <c r="M145" i="63" l="1"/>
  <c r="M146" s="1"/>
  <c r="N144"/>
  <c r="N145" s="1"/>
  <c r="J139" i="14"/>
  <c r="I139"/>
  <c r="O146" i="63" l="1"/>
  <c r="O147" s="1"/>
  <c r="L145"/>
  <c r="L146" s="1"/>
  <c r="I140" i="14"/>
  <c r="J140"/>
  <c r="M147" i="63" l="1"/>
  <c r="M148" s="1"/>
  <c r="N146"/>
  <c r="N147" s="1"/>
  <c r="J141" i="14"/>
  <c r="I141"/>
  <c r="O148" i="63" l="1"/>
  <c r="O149" s="1"/>
  <c r="L147"/>
  <c r="L148" s="1"/>
  <c r="I142" i="14"/>
  <c r="J142"/>
  <c r="M149" i="63" l="1"/>
  <c r="M150" s="1"/>
  <c r="N148"/>
  <c r="N149" s="1"/>
  <c r="J143" i="14"/>
  <c r="I143"/>
  <c r="O150" i="63" l="1"/>
  <c r="O151" s="1"/>
  <c r="L149"/>
  <c r="L150" s="1"/>
  <c r="I144" i="14"/>
  <c r="J144"/>
  <c r="M151" i="63" l="1"/>
  <c r="M152" s="1"/>
  <c r="N150"/>
  <c r="N151" s="1"/>
  <c r="J145" i="14"/>
  <c r="I145"/>
  <c r="O152" i="63" l="1"/>
  <c r="O153" s="1"/>
  <c r="L151"/>
  <c r="L152" s="1"/>
  <c r="I146" i="14"/>
  <c r="J146"/>
  <c r="M153" i="63" l="1"/>
  <c r="M154" s="1"/>
  <c r="N152"/>
  <c r="N153" s="1"/>
  <c r="J147" i="14"/>
  <c r="I147"/>
  <c r="O154" i="63" l="1"/>
  <c r="O155" s="1"/>
  <c r="L153"/>
  <c r="L154" s="1"/>
  <c r="I148" i="14"/>
  <c r="J148"/>
  <c r="M155" i="63" l="1"/>
  <c r="M156" s="1"/>
  <c r="N154"/>
  <c r="N155" s="1"/>
  <c r="J149" i="14"/>
  <c r="I149"/>
  <c r="O156" i="63" l="1"/>
  <c r="O157" s="1"/>
  <c r="L155"/>
  <c r="L156" s="1"/>
  <c r="I150" i="14"/>
  <c r="J150"/>
  <c r="M157" i="63" l="1"/>
  <c r="M158" s="1"/>
  <c r="N156"/>
  <c r="N157" s="1"/>
  <c r="J151" i="14"/>
  <c r="I151"/>
  <c r="O158" i="63" l="1"/>
  <c r="O159" s="1"/>
  <c r="L157"/>
  <c r="L158" s="1"/>
  <c r="I152" i="14"/>
  <c r="J152"/>
  <c r="M159" i="63" l="1"/>
  <c r="N158"/>
  <c r="N159" s="1"/>
  <c r="J153" i="14"/>
  <c r="I153"/>
  <c r="L159" i="63" l="1"/>
  <c r="I154" i="14"/>
  <c r="J154"/>
  <c r="J155" l="1"/>
  <c r="I155"/>
  <c r="I156" l="1"/>
  <c r="J156"/>
  <c r="J157" l="1"/>
  <c r="I157"/>
  <c r="I158" l="1"/>
  <c r="J158"/>
  <c r="J159" l="1"/>
  <c r="I159"/>
  <c r="I160" l="1"/>
  <c r="J160"/>
  <c r="I161" l="1"/>
  <c r="J161"/>
  <c r="I162" l="1"/>
  <c r="J162"/>
  <c r="J163" l="1"/>
  <c r="I163"/>
  <c r="I164" l="1"/>
  <c r="J164"/>
  <c r="J165" l="1"/>
  <c r="I165"/>
  <c r="I166" l="1"/>
  <c r="J166"/>
  <c r="J167" l="1"/>
  <c r="I167"/>
  <c r="I168" l="1"/>
  <c r="J168"/>
  <c r="J169" l="1"/>
  <c r="I169"/>
  <c r="J170" l="1"/>
  <c r="I170"/>
  <c r="I171" l="1"/>
  <c r="J171"/>
  <c r="J172" l="1"/>
  <c r="I172"/>
  <c r="I173" l="1"/>
  <c r="J173"/>
  <c r="I174" l="1"/>
  <c r="J174"/>
  <c r="I175" l="1"/>
  <c r="J175"/>
  <c r="J176" l="1"/>
  <c r="I176"/>
  <c r="I177" l="1"/>
  <c r="J177"/>
  <c r="J178" l="1"/>
  <c r="I178"/>
  <c r="I179" l="1"/>
  <c r="J179"/>
  <c r="J180" l="1"/>
  <c r="I180"/>
  <c r="I181" l="1"/>
  <c r="J181"/>
  <c r="J182" l="1"/>
  <c r="I182"/>
  <c r="I183" l="1"/>
  <c r="J183"/>
  <c r="J184" l="1"/>
  <c r="I184"/>
  <c r="I185" l="1"/>
  <c r="J185"/>
  <c r="J186" l="1"/>
  <c r="I186"/>
  <c r="I187" l="1"/>
  <c r="J187"/>
  <c r="J188" l="1"/>
  <c r="I188"/>
  <c r="I189" l="1"/>
  <c r="J189"/>
  <c r="J190" l="1"/>
  <c r="I190"/>
  <c r="I191" l="1"/>
  <c r="J191"/>
  <c r="J192" l="1"/>
  <c r="I192"/>
  <c r="I193" l="1"/>
  <c r="J193"/>
  <c r="J194" l="1"/>
  <c r="I194"/>
  <c r="I195" l="1"/>
  <c r="J195"/>
  <c r="J196" l="1"/>
  <c r="I196"/>
  <c r="I199"/>
  <c r="I197" l="1"/>
  <c r="J197"/>
  <c r="J198" l="1"/>
  <c r="J199" s="1"/>
  <c r="I198"/>
  <c r="G27" i="47" l="1"/>
  <c r="G23"/>
  <c r="F22"/>
  <c r="E30"/>
  <c r="D27"/>
  <c r="C22"/>
  <c r="G16"/>
  <c r="A24"/>
  <c r="B28"/>
  <c r="C29"/>
  <c r="B17"/>
  <c r="C18"/>
  <c r="D19"/>
  <c r="I19" s="1"/>
  <c r="E21"/>
  <c r="F25"/>
  <c r="G26"/>
  <c r="F16"/>
  <c r="G20"/>
  <c r="A28"/>
  <c r="B29"/>
  <c r="A17"/>
  <c r="B18"/>
  <c r="C19"/>
  <c r="D21"/>
  <c r="I21" s="1"/>
  <c r="E25"/>
  <c r="F26"/>
  <c r="E16"/>
  <c r="F20"/>
  <c r="G24"/>
  <c r="A29"/>
  <c r="D17"/>
  <c r="H17" s="1"/>
  <c r="E18"/>
  <c r="F19"/>
  <c r="G21"/>
  <c r="A26"/>
  <c r="D16"/>
  <c r="I16" s="1"/>
  <c r="E20"/>
  <c r="F24"/>
  <c r="G28"/>
  <c r="C17"/>
  <c r="D18"/>
  <c r="H18" s="1"/>
  <c r="H19" s="1"/>
  <c r="E19"/>
  <c r="F21"/>
  <c r="G25"/>
  <c r="F30"/>
  <c r="E27"/>
  <c r="E23"/>
  <c r="D22"/>
  <c r="I22" s="1"/>
  <c r="C30"/>
  <c r="B27"/>
  <c r="B23"/>
  <c r="A22"/>
  <c r="D30"/>
  <c r="C27"/>
  <c r="C23"/>
  <c r="B22"/>
  <c r="A30"/>
  <c r="D23"/>
  <c r="H23" s="1"/>
  <c r="C16"/>
  <c r="D20"/>
  <c r="H20" s="1"/>
  <c r="H21" s="1"/>
  <c r="E24"/>
  <c r="F28"/>
  <c r="G29"/>
  <c r="F17"/>
  <c r="G18"/>
  <c r="A21"/>
  <c r="B25"/>
  <c r="C26"/>
  <c r="B16"/>
  <c r="C20"/>
  <c r="D24"/>
  <c r="I24" s="1"/>
  <c r="E28"/>
  <c r="F29"/>
  <c r="E17"/>
  <c r="F18"/>
  <c r="G19"/>
  <c r="A25"/>
  <c r="B26"/>
  <c r="A16"/>
  <c r="B20"/>
  <c r="C24"/>
  <c r="D28"/>
  <c r="E29"/>
  <c r="A18"/>
  <c r="B19"/>
  <c r="C21"/>
  <c r="D25"/>
  <c r="H25" s="1"/>
  <c r="E26"/>
  <c r="A20"/>
  <c r="B24"/>
  <c r="C28"/>
  <c r="D29"/>
  <c r="G17"/>
  <c r="A19"/>
  <c r="B21"/>
  <c r="C25"/>
  <c r="D26"/>
  <c r="B30"/>
  <c r="A27"/>
  <c r="A23"/>
  <c r="G30"/>
  <c r="F27"/>
  <c r="F23"/>
  <c r="E22"/>
  <c r="A15"/>
  <c r="E15"/>
  <c r="F15"/>
  <c r="B15"/>
  <c r="G15"/>
  <c r="C15"/>
  <c r="D15"/>
  <c r="G22"/>
  <c r="H22" s="1"/>
  <c r="F32" l="1"/>
  <c r="I17"/>
  <c r="G32"/>
  <c r="I33" s="1"/>
  <c r="I25"/>
  <c r="I18"/>
  <c r="I20"/>
  <c r="H24"/>
  <c r="I23"/>
  <c r="I15"/>
  <c r="H15"/>
  <c r="H16" s="1"/>
  <c r="I26"/>
  <c r="H26"/>
  <c r="I29"/>
  <c r="H29"/>
  <c r="H28"/>
  <c r="I28"/>
  <c r="H30"/>
  <c r="I30"/>
  <c r="I27"/>
  <c r="H27"/>
  <c r="H33" l="1"/>
</calcChain>
</file>

<file path=xl/comments1.xml><?xml version="1.0" encoding="utf-8"?>
<comments xmlns="http://schemas.openxmlformats.org/spreadsheetml/2006/main">
  <authors>
    <author>User</author>
  </authors>
  <commentList>
    <comment ref="M5326" authorId="0">
      <text>
        <r>
          <rPr>
            <b/>
            <sz val="9"/>
            <color indexed="81"/>
            <rFont val="Tahoma"/>
            <family val="2"/>
          </rPr>
          <t>User:</t>
        </r>
        <r>
          <rPr>
            <sz val="9"/>
            <color indexed="81"/>
            <rFont val="Tahoma"/>
            <family val="2"/>
          </rPr>
          <t xml:space="preserve">
1.935.564
</t>
        </r>
      </text>
    </comment>
    <comment ref="M5345" authorId="0">
      <text>
        <r>
          <rPr>
            <b/>
            <sz val="9"/>
            <color indexed="81"/>
            <rFont val="Tahoma"/>
            <family val="2"/>
          </rPr>
          <t>User:</t>
        </r>
        <r>
          <rPr>
            <sz val="9"/>
            <color indexed="81"/>
            <rFont val="Tahoma"/>
            <family val="2"/>
          </rPr>
          <t xml:space="preserve">
1.296.080</t>
        </r>
      </text>
    </comment>
    <comment ref="M7043"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<sst xmlns="http://schemas.openxmlformats.org/spreadsheetml/2006/main" count="4813" uniqueCount="1052">
  <si>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</si>
  <si>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</si>
  <si>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</si>
  <si>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</si>
  <si>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</si>
  <si>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</si>
  <si>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</si>
  <si>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</si>
  <si>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</si>
  <si>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</si>
  <si>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</si>
  <si>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</si>
  <si>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</si>
  <si>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</si>
  <si>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</si>
  <si>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</si>
  <si>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</si>
  <si>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</si>
  <si>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</si>
  <si>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</si>
  <si>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</si>
  <si>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</si>
  <si>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</si>
  <si>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</si>
  <si>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</si>
  <si>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</si>
  <si>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</si>
  <si>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</si>
  <si>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</si>
  <si>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</si>
  <si>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</si>
  <si>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</si>
  <si>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</si>
  <si>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</si>
  <si>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</si>
  <si>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</si>
  <si>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</si>
  <si>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</si>
  <si>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</si>
  <si>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</si>
  <si>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</si>
  <si>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</si>
  <si>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</si>
  <si>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</si>
  <si>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</si>
  <si>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</si>
  <si>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</si>
  <si>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</si>
  <si>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</si>
  <si>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</si>
  <si>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</si>
  <si>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</si>
  <si>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</si>
  <si>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</si>
  <si>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</si>
  <si>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</si>
  <si>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</si>
  <si>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</si>
  <si>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</si>
  <si>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</si>
  <si>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</si>
  <si>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</si>
  <si>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</si>
  <si>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</si>
  <si>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</si>
  <si>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</si>
  <si>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</si>
  <si>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</si>
  <si>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</si>
  <si>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</si>
  <si>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</si>
  <si>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</si>
  <si>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</si>
  <si>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</si>
  <si>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</si>
  <si>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</si>
  <si>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</si>
  <si>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</si>
  <si>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</si>
  <si>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</si>
  <si>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</si>
  <si>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</si>
  <si>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</si>
  <si>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</si>
  <si>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</si>
  <si>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</si>
  <si>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</si>
  <si>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</si>
  <si>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</si>
  <si>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</si>
  <si>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</si>
  <si>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</si>
  <si>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</si>
  <si>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</si>
  <si>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</si>
  <si>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</si>
  <si>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</si>
  <si>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</si>
  <si>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</si>
  <si>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</si>
  <si>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</si>
  <si>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</si>
  <si>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</si>
  <si>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</si>
  <si>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</si>
  <si>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</si>
  <si>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</si>
  <si>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</si>
  <si>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</si>
  <si>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</si>
  <si>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</si>
  <si>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</si>
  <si>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</si>
  <si>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</si>
  <si>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</si>
  <si>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</si>
  <si>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</si>
  <si>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</si>
  <si>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</si>
  <si>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</si>
  <si>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</si>
  <si>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</si>
  <si>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</si>
  <si>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</si>
  <si>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</si>
  <si>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</si>
  <si>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</si>
  <si>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</si>
  <si>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</si>
  <si>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</si>
  <si>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</si>
  <si>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</si>
  <si>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</si>
  <si>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</si>
  <si>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</si>
  <si>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</si>
  <si>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</si>
  <si>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</si>
  <si>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</si>
  <si>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</si>
  <si>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</si>
  <si>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</si>
  <si>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</si>
  <si>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</si>
  <si>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</si>
  <si>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</si>
  <si>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</si>
  <si>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</si>
  <si>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</si>
  <si>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</si>
  <si>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</si>
  <si>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</si>
  <si>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</si>
  <si>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</si>
  <si>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</si>
  <si>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</si>
  <si>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</si>
  <si>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</si>
  <si>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</si>
  <si>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</si>
  <si>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</si>
  <si>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</si>
  <si>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</si>
  <si>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</si>
  <si>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</si>
  <si>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</si>
  <si>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</si>
  <si>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</si>
  <si>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</si>
  <si>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</si>
  <si>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</si>
  <si>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</si>
  <si>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</si>
  <si>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</si>
  <si>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</si>
  <si>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</si>
  <si>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</si>
  <si>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</si>
  <si>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</si>
  <si>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</si>
  <si>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</si>
  <si>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</si>
  <si>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</si>
  <si>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</si>
  <si>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</si>
  <si>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</si>
  <si>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</si>
  <si>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</si>
  <si>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</si>
  <si>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</si>
  <si>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</si>
  <si>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</si>
  <si>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</si>
  <si>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</si>
  <si>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</si>
  <si>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</si>
  <si>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</si>
  <si>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</si>
  <si>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</si>
  <si>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</si>
  <si>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</si>
  <si>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</si>
  <si>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</si>
  <si>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</si>
  <si>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</si>
  <si>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</si>
  <si>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</si>
  <si>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</si>
  <si>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</si>
  <si>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</si>
  <si>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</si>
  <si>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</si>
  <si>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</si>
  <si>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</si>
  <si>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</si>
  <si>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</si>
  <si>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</si>
  <si>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</si>
  <si>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</si>
  <si>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</si>
  <si>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</si>
  <si>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</si>
  <si>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</si>
  <si>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</si>
  <si>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</si>
  <si>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</si>
  <si>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</si>
  <si>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</si>
  <si>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</si>
  <si>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</si>
  <si>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</si>
  <si>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</si>
  <si>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</si>
  <si>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</si>
  <si>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</si>
  <si>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</si>
  <si>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</si>
  <si>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</si>
  <si>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</si>
  <si>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</si>
  <si>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</si>
  <si>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</si>
  <si>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</si>
  <si>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</si>
  <si>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</si>
  <si>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</si>
  <si>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</si>
  <si>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</si>
  <si>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</si>
  <si>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</si>
  <si>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</si>
  <si>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</si>
  <si>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</si>
  <si>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</si>
  <si>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</si>
  <si>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</si>
  <si>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</si>
  <si>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</si>
  <si>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</si>
  <si>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</si>
  <si>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</si>
  <si>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</si>
  <si>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</si>
  <si>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</si>
  <si>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</si>
  <si>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</si>
  <si>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</si>
  <si>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</si>
  <si>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</si>
  <si>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</si>
  <si>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</si>
  <si>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</si>
  <si>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</si>
  <si>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</si>
  <si>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</si>
  <si>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</si>
  <si>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</si>
  <si>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</si>
  <si>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</si>
  <si>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</si>
  <si>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</si>
  <si>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</si>
  <si>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</si>
  <si>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</si>
  <si>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</si>
  <si>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</si>
  <si>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</si>
  <si>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</si>
  <si>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</si>
  <si>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</si>
  <si>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</si>
  <si>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</si>
  <si>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</si>
  <si>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</si>
  <si>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</si>
  <si>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</si>
  <si>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</si>
  <si>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</si>
  <si>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</si>
  <si>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</si>
  <si>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</si>
  <si>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</si>
  <si>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</si>
  <si>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</si>
  <si>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</si>
  <si>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</si>
  <si>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</si>
  <si>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</si>
  <si>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</si>
  <si>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</si>
  <si>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</si>
  <si>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</si>
  <si>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</si>
  <si>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</si>
  <si>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</si>
  <si>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</si>
  <si>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</si>
  <si>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</si>
  <si>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</si>
  <si>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</si>
  <si>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</si>
  <si>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</si>
  <si>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</si>
  <si>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</si>
  <si>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</si>
  <si>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</si>
  <si>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</si>
  <si>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</si>
  <si>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</si>
  <si>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</si>
  <si>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</si>
  <si>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</si>
  <si>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</si>
  <si>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</si>
  <si>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</si>
  <si>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</si>
  <si>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</si>
  <si>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</si>
  <si>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</si>
  <si>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</si>
  <si>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</si>
  <si>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</si>
  <si>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</si>
  <si>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</si>
  <si>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</si>
  <si>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</si>
  <si>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</si>
  <si>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</si>
  <si>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</si>
  <si>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</si>
  <si>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</si>
  <si>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</si>
  <si>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</si>
  <si>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</si>
  <si>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</si>
  <si>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</si>
  <si>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</si>
  <si>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</si>
  <si>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</si>
  <si>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</si>
  <si>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</si>
  <si>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</si>
  <si>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</si>
  <si>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</si>
  <si>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</si>
  <si>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</si>
  <si>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</si>
  <si>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</si>
  <si>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</si>
  <si>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</si>
  <si>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</si>
  <si>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</si>
  <si>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</si>
  <si>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</si>
  <si>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</si>
  <si>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</si>
  <si>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</si>
  <si>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</si>
  <si>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</si>
  <si>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</si>
  <si>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</si>
  <si>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</si>
  <si>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</si>
  <si>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</si>
  <si>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</si>
  <si>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</si>
  <si>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</si>
  <si>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</si>
  <si>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</si>
  <si>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</si>
  <si>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</si>
  <si>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</si>
  <si>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</si>
  <si>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</si>
  <si>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</si>
  <si>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</si>
  <si>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</si>
  <si>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</si>
  <si>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</si>
  <si>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</si>
  <si>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</si>
  <si>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</si>
  <si>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</si>
  <si>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</si>
  <si>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</si>
  <si>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</si>
  <si>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</si>
  <si>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</si>
  <si>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</si>
  <si>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</si>
  <si>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</si>
  <si>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</si>
  <si>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</si>
  <si>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</si>
  <si>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</si>
  <si>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</si>
  <si>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</si>
  <si>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</si>
  <si>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</si>
  <si>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</si>
  <si>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</si>
  <si>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</si>
  <si>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</si>
  <si>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</si>
  <si>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</si>
  <si>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Tân Phước - Long Điền</t>
  </si>
  <si>
    <t>Xuất SX</t>
  </si>
  <si>
    <t>Mực TP</t>
  </si>
  <si>
    <t>Ghẹ khô tẩm TP</t>
  </si>
  <si>
    <t>Tổng cộng TP</t>
  </si>
  <si>
    <t>Ngày  31  tháng   12  năm   2016</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</si>
  <si>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</si>
  <si>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</si>
  <si>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</si>
  <si>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</si>
  <si>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</si>
  <si>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</si>
  <si>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</si>
  <si>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</si>
  <si>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</si>
  <si>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</si>
  <si>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</si>
  <si>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</si>
  <si>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</si>
  <si>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</si>
  <si>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</si>
  <si>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</si>
  <si>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</si>
  <si>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</si>
  <si>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</si>
  <si>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</si>
  <si>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</si>
  <si>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</si>
  <si>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</si>
  <si>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</si>
  <si>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</si>
  <si>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</si>
  <si>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</si>
  <si>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</si>
  <si>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</si>
  <si>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</si>
  <si>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</si>
  <si>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</si>
  <si>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</si>
  <si>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</si>
  <si>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</si>
  <si>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</si>
  <si>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</si>
  <si>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</si>
  <si>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</si>
  <si>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</si>
  <si>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</si>
  <si>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</si>
  <si>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</si>
  <si>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</si>
  <si>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</si>
  <si>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</si>
  <si>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</si>
  <si>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</si>
  <si>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</si>
  <si>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</si>
  <si>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</si>
  <si>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</si>
  <si>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</si>
  <si>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</si>
  <si>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</si>
  <si>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</si>
  <si>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</si>
  <si>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</si>
  <si>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</si>
  <si>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</si>
  <si>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</si>
  <si>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</si>
  <si>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</si>
  <si>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</si>
  <si>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</si>
  <si>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</si>
  <si>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</si>
  <si>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</si>
  <si>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</si>
  <si>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</si>
  <si>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</si>
  <si>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</si>
  <si>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</si>
  <si>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</si>
  <si>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</si>
  <si>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</si>
  <si>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</si>
  <si>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</si>
  <si>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</si>
  <si>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</si>
  <si>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</si>
  <si>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</si>
  <si>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</si>
  <si>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</si>
  <si>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</si>
  <si>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</si>
  <si>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</si>
  <si>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</si>
  <si>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</si>
  <si>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</si>
  <si>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</si>
  <si>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</si>
  <si>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</si>
  <si>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</si>
  <si>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</si>
  <si>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</si>
  <si>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</si>
  <si>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</si>
  <si>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</si>
  <si>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</si>
  <si>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</si>
  <si>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</si>
  <si>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</si>
  <si>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1.5%</t>
  </si>
  <si>
    <t>3%</t>
  </si>
  <si>
    <t>1%</t>
  </si>
  <si>
    <t>131</t>
  </si>
  <si>
    <t>2143</t>
  </si>
  <si>
    <t>2141</t>
  </si>
  <si>
    <t>641</t>
  </si>
  <si>
    <t>3341</t>
  </si>
  <si>
    <t>3383</t>
  </si>
  <si>
    <t>3384</t>
  </si>
  <si>
    <t>3386</t>
  </si>
  <si>
    <t>SAY D.S CO., LTD</t>
  </si>
  <si>
    <t>BIOVITAL COMPANY</t>
  </si>
  <si>
    <t>TOKAI DENPUN</t>
  </si>
  <si>
    <t>MARKOV K.A.</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</si>
  <si>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</si>
  <si>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</si>
  <si>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</si>
  <si>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</si>
  <si>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</si>
  <si>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</si>
  <si>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</si>
  <si>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</si>
  <si>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</si>
  <si>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</si>
  <si>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</si>
  <si>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</si>
  <si>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</si>
  <si>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</si>
  <si>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</si>
  <si>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</si>
  <si>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</si>
  <si>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</si>
  <si>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</si>
  <si>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</si>
  <si>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</si>
  <si>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</si>
  <si>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</si>
  <si>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</si>
  <si>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</si>
  <si>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</si>
  <si>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</si>
  <si>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</si>
  <si>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</si>
  <si>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</si>
  <si>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</si>
  <si>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</si>
  <si>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</si>
  <si>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</si>
  <si>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</si>
  <si>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</si>
  <si>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</si>
  <si>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</si>
  <si>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</si>
  <si>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</si>
  <si>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</si>
  <si>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</si>
  <si>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</si>
  <si>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</si>
  <si>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</si>
  <si>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</si>
  <si>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</si>
  <si>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</si>
  <si>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</si>
  <si>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</si>
  <si>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</si>
  <si>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</si>
  <si>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</si>
  <si>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</si>
  <si>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</si>
  <si>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</si>
  <si>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</si>
  <si>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</si>
  <si>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</si>
  <si>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</si>
  <si>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</si>
  <si>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</si>
  <si>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</si>
  <si>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</si>
  <si>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</si>
  <si>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</si>
  <si>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</si>
  <si>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</si>
  <si>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</si>
  <si>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</si>
  <si>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</si>
  <si>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</si>
  <si>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</si>
  <si>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</si>
  <si>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</si>
  <si>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</si>
  <si>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</si>
  <si>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</si>
  <si>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</si>
  <si>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</si>
  <si>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</si>
  <si>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</si>
  <si>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</si>
  <si>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</si>
  <si>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</si>
  <si>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</si>
  <si>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</si>
  <si>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</si>
  <si>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</si>
  <si>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</si>
  <si>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</si>
  <si>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</si>
  <si>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</si>
  <si>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</si>
  <si>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</si>
  <si>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</si>
  <si>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</si>
  <si>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</si>
  <si>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</si>
  <si>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</si>
  <si>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</si>
  <si>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</si>
  <si>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</si>
  <si>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</si>
  <si>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</si>
  <si>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</si>
  <si>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</si>
  <si>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</si>
  <si>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</si>
  <si>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</si>
  <si>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</si>
  <si>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</si>
  <si>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</si>
  <si>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</si>
  <si>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</si>
  <si>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</si>
  <si>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</si>
  <si>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</si>
  <si>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</si>
  <si>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</si>
  <si>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</si>
  <si>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</si>
  <si>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</si>
  <si>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</si>
  <si>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</si>
  <si>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</si>
  <si>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</si>
  <si>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</si>
  <si>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</si>
  <si>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</si>
  <si>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</si>
  <si>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</si>
  <si>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</si>
  <si>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</si>
  <si>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</si>
  <si>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</si>
  <si>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</si>
  <si>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</si>
  <si>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</si>
  <si>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</si>
  <si>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</si>
  <si>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</si>
  <si>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</si>
  <si>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</si>
  <si>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</si>
  <si>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</si>
  <si>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</si>
  <si>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</si>
  <si>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</si>
  <si>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</si>
  <si>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</si>
  <si>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</si>
  <si>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</si>
  <si>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</si>
  <si>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</si>
  <si>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</si>
  <si>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</si>
  <si>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</si>
  <si>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</si>
  <si>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</si>
  <si>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</si>
  <si>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</si>
  <si>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</si>
  <si>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</si>
  <si>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</si>
  <si>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</si>
  <si>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</si>
  <si>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</si>
  <si>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</si>
  <si>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</si>
  <si>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</si>
  <si>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</si>
  <si>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</si>
  <si>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</si>
  <si>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</si>
  <si>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</si>
  <si>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</si>
  <si>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</si>
  <si>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</si>
  <si>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</si>
  <si>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</si>
  <si>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</si>
  <si>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</si>
  <si>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</si>
  <si>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</si>
  <si>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</si>
  <si>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</si>
  <si>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</si>
  <si>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</si>
  <si>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</si>
  <si>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</si>
  <si>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</si>
  <si>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Cty TNHH Asia Shiping Logistics And Warehousse Vietnam</t>
  </si>
  <si>
    <t>Thùng carton 50x30x14</t>
  </si>
  <si>
    <t>Thùng carton 50x30x16</t>
  </si>
  <si>
    <t>Thùng carton 49x37x11</t>
  </si>
  <si>
    <t>CHUNG HAE WON CO., LTD</t>
  </si>
  <si>
    <t>PV</t>
  </si>
  <si>
    <t>33312</t>
  </si>
  <si>
    <t>Cty CP Bảo Hiểm Viễn Đông (VASS)</t>
  </si>
  <si>
    <t>Cty TNHH TM Dịch Vụ Hải Trung Anh</t>
  </si>
  <si>
    <t>XN Chế Biến Thuỷ Sản Xuất Khẩu III - Chi Nhánh</t>
  </si>
  <si>
    <t>Thùng carton 48x32.5x15</t>
  </si>
  <si>
    <t>Cty TNHH TM Thuỷ Giang Sơn</t>
  </si>
  <si>
    <t>Cty TNHH DV Giao Nhận AAAS</t>
  </si>
  <si>
    <t>ZHOUSHAN FAR EAST NANYANG AQUATIC PRODUCT</t>
  </si>
  <si>
    <t>Cá đổng NL</t>
  </si>
  <si>
    <t>Cá đuối NL</t>
  </si>
  <si>
    <t>Cá đục NL</t>
  </si>
  <si>
    <t>Cá chai NL</t>
  </si>
  <si>
    <t>Mực NL</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</si>
  <si>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</si>
  <si>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</si>
  <si>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</si>
  <si>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</si>
  <si>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</si>
  <si>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</si>
  <si>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</si>
  <si>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</si>
  <si>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</si>
  <si>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</si>
  <si>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</si>
  <si>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</si>
  <si>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</si>
  <si>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</si>
  <si>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</si>
  <si>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</si>
  <si>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</si>
  <si>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</si>
  <si>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</si>
  <si>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HAECHEONG FOOD CO., LTD</t>
  </si>
  <si>
    <t>Long Điền - Vũng Tàu</t>
  </si>
  <si>
    <t>Cá chỉ vàng</t>
  </si>
  <si>
    <t>Mực</t>
  </si>
  <si>
    <t>DNTN Hải Sản Kim Châu</t>
  </si>
  <si>
    <t>Cá chỉ vàng NL</t>
  </si>
  <si>
    <t>DNTN Thuỷ Đồng</t>
  </si>
  <si>
    <t>Cty CP XNK Thực Phẩm Sài Gòn</t>
  </si>
  <si>
    <t>Khô cá chai tẩm TP</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</si>
  <si>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</si>
  <si>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</si>
  <si>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</si>
  <si>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</si>
  <si>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</si>
  <si>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</si>
  <si>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</si>
  <si>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Bánh cá surimi</t>
  </si>
  <si>
    <t>Cty TNHH Thuỷ Sản Việt Kim</t>
  </si>
  <si>
    <t>Cty TNHH TM Thành Long</t>
  </si>
  <si>
    <t>Mè trắng</t>
  </si>
  <si>
    <t>DNTN Anh Long</t>
  </si>
  <si>
    <t>Thùng carton 50x35x25</t>
  </si>
  <si>
    <t>Thùng carton 54x41x2</t>
  </si>
  <si>
    <t>TỔNG HỢP TÀI KHOẢN 341 - 2017</t>
  </si>
  <si>
    <t>5212</t>
  </si>
  <si>
    <t>Nhà vòm 2</t>
  </si>
  <si>
    <t>03/10</t>
  </si>
  <si>
    <t>04/10</t>
  </si>
  <si>
    <t>05/10</t>
  </si>
  <si>
    <t>01/13</t>
  </si>
  <si>
    <t>SX 01/16</t>
  </si>
  <si>
    <t>06/2016</t>
  </si>
  <si>
    <t>01/16</t>
  </si>
  <si>
    <t>Vô Hình</t>
  </si>
  <si>
    <t>NVL</t>
  </si>
  <si>
    <t>Trả lãi vay</t>
  </si>
  <si>
    <t>Công Ty TNHH Bosgaurus Coffee</t>
  </si>
  <si>
    <t>Khô cá đục tẩm TP</t>
  </si>
  <si>
    <t>Cá sặc NL</t>
  </si>
  <si>
    <t>Cá lóc NL</t>
  </si>
  <si>
    <t>Cá đù NL</t>
  </si>
  <si>
    <t>SNACK DEPOT, INC.</t>
  </si>
  <si>
    <t>Khô cá chỉ vàng tẩm mặn TP</t>
  </si>
  <si>
    <t>Khô cá chỉ vàng tẩm ngọt TP</t>
  </si>
  <si>
    <t xml:space="preserve">Sorbitol </t>
  </si>
  <si>
    <t>Khô cá cơm trắng B TP</t>
  </si>
  <si>
    <t>Thùng carton 50x35x12.5</t>
  </si>
  <si>
    <t>Thùng carton 50x30x13</t>
  </si>
  <si>
    <t>Thùng carton 50x35x11</t>
  </si>
  <si>
    <t>BAYON TRADING PTE. LTD</t>
  </si>
  <si>
    <t>Cá cơm trắng NL</t>
  </si>
  <si>
    <t>Khô cá mai tẩm TP</t>
  </si>
  <si>
    <t>WORLD FOODS CORPORATION LTD.</t>
  </si>
  <si>
    <t>Khô cá đù TP</t>
  </si>
  <si>
    <t>Cty TNHH Khoa Kỹ Sinh Vật Thăng Long</t>
  </si>
  <si>
    <t>Thùng carton 54x30x30</t>
  </si>
  <si>
    <t>Khô cá mao ếch tẩm nướng TP</t>
  </si>
  <si>
    <t>Khô cá mối tẩm nướng TP</t>
  </si>
  <si>
    <t>Khô cá mao ếch TP</t>
  </si>
  <si>
    <t>JIN WON CO., LTD</t>
  </si>
  <si>
    <t>TỔNG HỢP TÀI KHOẢN 131 - 2017</t>
  </si>
  <si>
    <t>Khô cá đổng tẩm TP</t>
  </si>
  <si>
    <t>Khô cá đuối tẩm TP</t>
  </si>
  <si>
    <t>Ghẹ khô lạt TP</t>
  </si>
  <si>
    <t>Khô cá bò tẩm TP</t>
  </si>
  <si>
    <t>DAE YEONG FOOD CO., LTD</t>
  </si>
  <si>
    <t>Tôm khô</t>
  </si>
  <si>
    <t>Mực Daruma</t>
  </si>
  <si>
    <t>Tôm mẫu</t>
  </si>
  <si>
    <t>Khô cá chạch TP</t>
  </si>
  <si>
    <t>Khô cá chỉ ngọt TP</t>
  </si>
  <si>
    <t>Mực khô</t>
  </si>
  <si>
    <t>Xương cá bò TP</t>
  </si>
  <si>
    <t>SEJIN DISTRIBUTION COMPANY</t>
  </si>
  <si>
    <t>Thùng carton 45x31x11</t>
  </si>
  <si>
    <t>GOODSEA .CORP</t>
  </si>
  <si>
    <t>Cty TNHH MTV Khởi Nguyên An</t>
  </si>
  <si>
    <t>VP</t>
  </si>
  <si>
    <t>Khô cá bò tẩm xé bướm TP</t>
  </si>
  <si>
    <t>NH VP Bank</t>
  </si>
  <si>
    <t>Thùng carton 47x35.5x20</t>
  </si>
  <si>
    <t>LD1722005872</t>
  </si>
  <si>
    <t>HUNAN TIANHONG BIOENERGY TECHNOLOGY DEVELOPMENT CO., LTD</t>
  </si>
  <si>
    <t>Nguyễn Thị Ngọc Thanh</t>
  </si>
  <si>
    <t>Hoàng Thăng Thành</t>
  </si>
  <si>
    <t>Nguyễn Đình Nguyên</t>
  </si>
  <si>
    <t>Trần Thị Bích Vân</t>
  </si>
  <si>
    <t>Trần Thanh Hợi</t>
  </si>
  <si>
    <t>Dương Quý Phương</t>
  </si>
  <si>
    <t>Nguyễn Văn Quốc</t>
  </si>
  <si>
    <t>Nguyễn Thị Thanh Thuỷ</t>
  </si>
  <si>
    <t>Hồ Thiên Trang</t>
  </si>
  <si>
    <t>Nguyễn Thị Cúc</t>
  </si>
  <si>
    <t>Long Đức Tâm</t>
  </si>
  <si>
    <t>Đoàn Thị Hằng</t>
  </si>
  <si>
    <t>Nguyễn Minh Tâm</t>
  </si>
  <si>
    <t>Phương Tâm Đan</t>
  </si>
  <si>
    <t>Nhiên</t>
  </si>
  <si>
    <t>NAMKYUNG FOOD CO., LTD</t>
  </si>
  <si>
    <t>Cá mối NL</t>
  </si>
  <si>
    <t>Cá mao ếch NL</t>
  </si>
  <si>
    <t>Cá chạch NL</t>
  </si>
  <si>
    <t>Tôm NL</t>
  </si>
  <si>
    <t>Thùng carton 49x30x10 5 lớp</t>
  </si>
  <si>
    <t>Ngày 31 tháng  12  năm  2017</t>
  </si>
  <si>
    <t>- Ngày mở sổ: 02/01/2017</t>
  </si>
  <si>
    <t>CQ Quản Lý Chất Lượng Nông Lâm Sản &amp; Thuỷ Sản Nam Bộ</t>
  </si>
  <si>
    <t>LD 1722 725 170</t>
  </si>
  <si>
    <t>Cty TNHH Thanh Phú - La Gi</t>
  </si>
  <si>
    <t>Ngày   31   tháng    12    năm   2017</t>
  </si>
  <si>
    <t>HWA LIM INDUSTRIAL CO</t>
  </si>
  <si>
    <t>Cty TNHH DL Và TM Thành Thành Phát</t>
  </si>
  <si>
    <t>Nhãn 13x10</t>
  </si>
  <si>
    <t>Ngày  31  tháng   12  năm   2017</t>
  </si>
  <si>
    <t>Cty TNHH SX - TM Bao Bì Thiên Thành</t>
  </si>
  <si>
    <t>Cty Bảo Hiểm Bưu Điện Phú Mỹ Hưng</t>
  </si>
  <si>
    <t>LD 172 510 0091</t>
  </si>
  <si>
    <t>LD 1726338999</t>
  </si>
  <si>
    <t>LD 1726941340</t>
  </si>
  <si>
    <t>Thùng carton 48x35.5x20</t>
  </si>
  <si>
    <t>Thùng carton 50x35x13</t>
  </si>
  <si>
    <t>Thùng carton 50x35x22</t>
  </si>
  <si>
    <t>BẢNG TÍNH GIÁ THÀNH SP T01/2017</t>
  </si>
  <si>
    <t>Khô cá cơm tẩm TP</t>
  </si>
  <si>
    <t>BẢNG TÍNH GIÁ THÀNH SP T02/2017</t>
  </si>
  <si>
    <t>GC</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</si>
  <si>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</si>
  <si>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</si>
  <si>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</si>
  <si>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</si>
  <si>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</si>
  <si>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</si>
  <si>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</si>
  <si>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</si>
  <si>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</si>
  <si>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</si>
  <si>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</si>
  <si>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A TP</t>
  </si>
  <si>
    <t>Khô cá bò tẩm B TP</t>
  </si>
  <si>
    <t>Khô cá bò tẩm C TP</t>
  </si>
  <si>
    <t>Ghẹ khô lạt B TP</t>
  </si>
  <si>
    <t>Giảm trừ doanh thu</t>
  </si>
  <si>
    <t>521</t>
  </si>
  <si>
    <t>Các khoản giảm trừ doanh thu</t>
  </si>
  <si>
    <t>VPbank - LD1717700461</t>
  </si>
  <si>
    <t>VPbank - LD 1725601020</t>
  </si>
  <si>
    <t>VPbank - LD 1723500395</t>
  </si>
  <si>
    <t>VPbank - LD 1724800499</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</si>
  <si>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</si>
  <si>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</si>
  <si>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</si>
  <si>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</si>
  <si>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</si>
  <si>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</si>
  <si>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</si>
  <si>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</si>
  <si>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</si>
  <si>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</si>
  <si>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</si>
  <si>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</si>
  <si>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</si>
  <si>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</si>
  <si>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</si>
  <si>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</si>
  <si>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</si>
  <si>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CK 1727013707</t>
  </si>
  <si>
    <t>LD 1729602661</t>
  </si>
  <si>
    <t>LD 1730320093</t>
  </si>
  <si>
    <t>Cty TNHH XK Thuỷ Sản Hải Việt</t>
  </si>
  <si>
    <t>LD 1731061035</t>
  </si>
  <si>
    <t>LD 1731813552</t>
  </si>
  <si>
    <t>Cty TNHH SX TM Và DV An Xuân Phát</t>
  </si>
  <si>
    <t>LD 1733206701</t>
  </si>
  <si>
    <t>Cty TNHH MTV BTFood</t>
  </si>
  <si>
    <t>LD 1733800695</t>
  </si>
  <si>
    <t>BHTNLĐ phải trả cho Văn Phòng</t>
  </si>
  <si>
    <t>BHTNLĐ phải trả cho BP Phân Xưởng &amp; CN</t>
  </si>
  <si>
    <t>0.5%</t>
  </si>
  <si>
    <t>17%</t>
  </si>
  <si>
    <t>LD 1734778206</t>
  </si>
  <si>
    <t>SEOREA FOOD CO., LTD</t>
  </si>
  <si>
    <t>Thùng carton 46.5x34x26.5</t>
  </si>
  <si>
    <t>Thùng carton 48x33x15</t>
  </si>
  <si>
    <t>LD 1735654094</t>
  </si>
  <si>
    <t>CK 1735647632</t>
  </si>
  <si>
    <t>VPbank - LD 1733401682</t>
  </si>
  <si>
    <t>VPbank - LD 1734101453</t>
  </si>
  <si>
    <t>VPbank - LD 1732801235</t>
  </si>
  <si>
    <t>VPbank - LD 1731901860</t>
  </si>
  <si>
    <t>CK 1736200174</t>
  </si>
  <si>
    <t>CK 1736305502</t>
  </si>
  <si>
    <t>LLC SNACK PRODUCTION</t>
  </si>
  <si>
    <t>Phí xếp dỡ, niêm chì, chứng từ</t>
  </si>
  <si>
    <t>VAT Phí xếp dỡ, niêm chì, chứng từ</t>
  </si>
  <si>
    <t>0008453</t>
  </si>
  <si>
    <t>0008454</t>
  </si>
  <si>
    <t>VL/N01</t>
  </si>
  <si>
    <t>VL/N02</t>
  </si>
  <si>
    <t>0000376</t>
  </si>
  <si>
    <t>0000382</t>
  </si>
  <si>
    <t>Tiền điện kỳ 1 T1/2018</t>
  </si>
  <si>
    <t>VAT Tiền điện kỳ 1 T1/2018</t>
  </si>
  <si>
    <t>Tiền điện kỳ 2 T1/2018</t>
  </si>
  <si>
    <t>VAT Tiền điện kỳ 2 T1/2018</t>
  </si>
  <si>
    <t>Tiền điện kỳ 3 T1/2018</t>
  </si>
  <si>
    <t>VAT Tiền điện kỳ 3 T1/2018</t>
  </si>
  <si>
    <t>GBN</t>
  </si>
  <si>
    <t>Chuyển VND</t>
  </si>
  <si>
    <t>Q11,Q4</t>
  </si>
  <si>
    <t>NH Eximbank CN Q4</t>
  </si>
  <si>
    <t>GBC</t>
  </si>
  <si>
    <t>Lãi tiền gửi</t>
  </si>
  <si>
    <t>Thanh toán tiền nước, phí CSHT</t>
  </si>
  <si>
    <t>Thanh toán tiền sorbitol</t>
  </si>
  <si>
    <t>Phí ngân hàng</t>
  </si>
  <si>
    <t>VAT Phí ngân hàng</t>
  </si>
  <si>
    <t>Rút tiền gửi NH nhập quỹ TM</t>
  </si>
  <si>
    <t>Phạm Thị Đông</t>
  </si>
  <si>
    <t>Nộp thuế môn bài 2018</t>
  </si>
  <si>
    <t>NH Eximbank CN Q11</t>
  </si>
  <si>
    <t>Phí thuế môn bài 2018</t>
  </si>
  <si>
    <t>Phí tài trợ thương mại</t>
  </si>
  <si>
    <t>VAT Phí tài trợ thương mại</t>
  </si>
  <si>
    <t>NH PV Com Bank</t>
  </si>
  <si>
    <t>Thanh toán tiền hàng</t>
  </si>
  <si>
    <t>Bán NT</t>
  </si>
  <si>
    <t>VPbank - LD 1733401726</t>
  </si>
  <si>
    <t>Thu tiền hàng</t>
  </si>
  <si>
    <t>Phí ngân hàng nước ngoài giảm trừ</t>
  </si>
  <si>
    <t>Chênh lệch tỷ giá</t>
  </si>
  <si>
    <t>Trả gốc vay</t>
  </si>
  <si>
    <t>CK 1800451503</t>
  </si>
  <si>
    <t>LD 1800565098</t>
  </si>
  <si>
    <t>VL/N03</t>
  </si>
  <si>
    <t>0000388</t>
  </si>
  <si>
    <t>VAT Đường</t>
  </si>
  <si>
    <t>VL/N04</t>
  </si>
  <si>
    <t>VAT Bột ngọt</t>
  </si>
  <si>
    <t>0000389</t>
  </si>
  <si>
    <t>VL/N06</t>
  </si>
  <si>
    <t>VL/N05</t>
  </si>
  <si>
    <t>0000396</t>
  </si>
  <si>
    <t>VAT Băng keo</t>
  </si>
  <si>
    <t>0000970</t>
  </si>
  <si>
    <t>TP/X01</t>
  </si>
  <si>
    <t>301693770510</t>
  </si>
  <si>
    <t>HUNAN HUANHAI TRADING COMPANY LTD</t>
  </si>
  <si>
    <t>TP/X02</t>
  </si>
  <si>
    <t>Khô cá bò size 2L TP</t>
  </si>
  <si>
    <t>Khô cá bò size M TP</t>
  </si>
  <si>
    <t>301692857230</t>
  </si>
  <si>
    <t>KOJUBU B AND F CO., LTD</t>
  </si>
  <si>
    <t>TP/X03</t>
  </si>
  <si>
    <t>301702171800</t>
  </si>
  <si>
    <t>TP/X04</t>
  </si>
  <si>
    <t>Khô cá mai tẩm nướng TP</t>
  </si>
  <si>
    <t>0000304</t>
  </si>
  <si>
    <t>VAT Khô cá mai</t>
  </si>
  <si>
    <t>Thanh toán LC nhờ thu</t>
  </si>
  <si>
    <t>Phí DHL</t>
  </si>
  <si>
    <t xml:space="preserve">                                                                                                                                          </t>
  </si>
  <si>
    <t>LD 1801518698</t>
  </si>
  <si>
    <t>TP/X05</t>
  </si>
  <si>
    <t>301713578520</t>
  </si>
  <si>
    <t>VL/N07</t>
  </si>
  <si>
    <t>Cước vận tải quốc tế</t>
  </si>
  <si>
    <t>0008612</t>
  </si>
  <si>
    <t>0008613</t>
  </si>
  <si>
    <t>TP/X06</t>
  </si>
  <si>
    <t>301716531710</t>
  </si>
  <si>
    <t>Vay chiết khấu - Kojubu 01</t>
  </si>
  <si>
    <t>Vay chiết khấu - Tokai 01</t>
  </si>
  <si>
    <t>CK 1035100864</t>
  </si>
</sst>
</file>

<file path=xl/styles.xml><?xml version="1.0" encoding="utf-8"?>
<styleSheet xmlns="http://schemas.openxmlformats.org/spreadsheetml/2006/main">
  <numFmts count="15">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0000FF"/>
      <name val="Times New Roman"/>
      <family val="1"/>
    </font>
    <font>
      <sz val="10"/>
      <color rgb="FF0000FF"/>
      <name val="Arial"/>
      <family val="2"/>
    </font>
    <font>
      <sz val="10"/>
      <color rgb="FF7030A0"/>
      <name val="Arial"/>
      <family val="2"/>
    </font>
  </fonts>
  <fills count="4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5" tint="-0.249977111117893"/>
        <bgColor indexed="64"/>
      </patternFill>
    </fill>
    <fill>
      <patternFill patternType="solid">
        <fgColor rgb="FFFFC000"/>
        <bgColor indexed="64"/>
      </patternFill>
    </fill>
    <fill>
      <patternFill patternType="solid">
        <fgColor rgb="FFFF0000"/>
        <bgColor indexed="64"/>
      </patternFill>
    </fill>
    <fill>
      <patternFill patternType="solid">
        <fgColor rgb="FF7030A0"/>
        <bgColor indexed="64"/>
      </patternFill>
    </fill>
    <fill>
      <patternFill patternType="solid">
        <fgColor theme="4" tint="-0.249977111117893"/>
        <bgColor indexed="64"/>
      </patternFill>
    </fill>
    <fill>
      <patternFill patternType="solid">
        <fgColor theme="6" tint="-0.249977111117893"/>
        <bgColor indexed="64"/>
      </patternFill>
    </fill>
    <fill>
      <patternFill patternType="solid">
        <fgColor theme="7"/>
        <bgColor indexed="64"/>
      </patternFill>
    </fill>
    <fill>
      <patternFill patternType="solid">
        <fgColor theme="8" tint="0.39997558519241921"/>
        <bgColor indexed="64"/>
      </patternFill>
    </fill>
    <fill>
      <patternFill patternType="solid">
        <fgColor theme="2" tint="-0.499984740745262"/>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9" fillId="0" borderId="0"/>
    <xf numFmtId="43" fontId="3" fillId="0" borderId="0" applyFont="0" applyFill="0" applyBorder="0" applyAlignment="0" applyProtection="0"/>
    <xf numFmtId="0" fontId="3" fillId="0" borderId="0"/>
  </cellStyleXfs>
  <cellXfs count="1559">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9"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0"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8"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3" fillId="0" borderId="16" xfId="0" applyFont="1" applyFill="1" applyBorder="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87" fillId="0" borderId="0" xfId="100" applyFont="1" applyAlignment="1">
      <alignment vertical="center"/>
    </xf>
    <xf numFmtId="164" fontId="73" fillId="0" borderId="0" xfId="29" applyNumberFormat="1" applyFont="1" applyAlignment="1">
      <alignment vertical="center"/>
    </xf>
    <xf numFmtId="0" fontId="88"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9"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0" fillId="0" borderId="16" xfId="54" applyNumberFormat="1" applyFont="1" applyFill="1" applyBorder="1" applyAlignment="1">
      <alignment horizontal="center" vertical="center"/>
    </xf>
    <xf numFmtId="164" fontId="90" fillId="0" borderId="16" xfId="54" applyNumberFormat="1" applyFont="1" applyFill="1" applyBorder="1" applyAlignment="1">
      <alignment horizontal="left" vertical="center"/>
    </xf>
    <xf numFmtId="164" fontId="90" fillId="0" borderId="16" xfId="0" applyNumberFormat="1" applyFont="1" applyFill="1" applyBorder="1" applyAlignment="1">
      <alignment vertical="center"/>
    </xf>
    <xf numFmtId="14" fontId="92" fillId="0" borderId="16" xfId="54" applyNumberFormat="1" applyFont="1" applyFill="1" applyBorder="1" applyAlignment="1">
      <alignment horizontal="center" vertical="center"/>
    </xf>
    <xf numFmtId="1" fontId="90" fillId="0" borderId="16" xfId="54" quotePrefix="1" applyNumberFormat="1" applyFont="1" applyFill="1" applyBorder="1" applyAlignment="1">
      <alignment horizontal="center" vertical="center"/>
    </xf>
    <xf numFmtId="1" fontId="90" fillId="0" borderId="16" xfId="54" applyNumberFormat="1" applyFont="1" applyFill="1" applyBorder="1" applyAlignment="1">
      <alignment horizontal="center" vertical="center"/>
    </xf>
    <xf numFmtId="0" fontId="90" fillId="0" borderId="16" xfId="54"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0" fontId="92" fillId="0" borderId="16" xfId="54" quotePrefix="1" applyNumberFormat="1" applyFont="1" applyFill="1" applyBorder="1" applyAlignment="1">
      <alignment horizontal="center" vertical="center"/>
    </xf>
    <xf numFmtId="1" fontId="92" fillId="0" borderId="16" xfId="54" quotePrefix="1" applyNumberFormat="1" applyFont="1" applyFill="1" applyBorder="1" applyAlignment="1">
      <alignment horizontal="center" vertical="center"/>
    </xf>
    <xf numFmtId="1" fontId="92"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8" fillId="0" borderId="16" xfId="29"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0"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6"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3" fillId="0" borderId="2" xfId="95" applyFont="1" applyBorder="1" applyAlignment="1">
      <alignment horizontal="center" vertical="center"/>
    </xf>
    <xf numFmtId="164" fontId="93" fillId="0" borderId="2" xfId="96" applyNumberFormat="1" applyFont="1" applyBorder="1" applyAlignment="1">
      <alignment horizontal="center" vertical="center"/>
    </xf>
    <xf numFmtId="0" fontId="93"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4"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3" fillId="0" borderId="16" xfId="95" applyFont="1" applyBorder="1" applyAlignment="1">
      <alignment horizontal="center" vertical="center"/>
    </xf>
    <xf numFmtId="0" fontId="34" fillId="0" borderId="16" xfId="95" applyFont="1" applyBorder="1" applyAlignment="1">
      <alignment horizontal="center" vertical="center"/>
    </xf>
    <xf numFmtId="0" fontId="93" fillId="0" borderId="21" xfId="95" applyFont="1" applyBorder="1" applyAlignment="1">
      <alignment horizontal="center" vertical="center"/>
    </xf>
    <xf numFmtId="0" fontId="93" fillId="0" borderId="21" xfId="95" applyFont="1" applyBorder="1" applyAlignment="1">
      <alignment horizontal="left" vertical="center"/>
    </xf>
    <xf numFmtId="0" fontId="93"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3"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3"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2" fillId="0" borderId="0" xfId="95" applyFont="1" applyAlignment="1">
      <alignment vertical="center"/>
    </xf>
    <xf numFmtId="0" fontId="95" fillId="0" borderId="0" xfId="95" applyFont="1" applyAlignment="1">
      <alignment vertical="center"/>
    </xf>
    <xf numFmtId="0" fontId="81" fillId="0" borderId="0" xfId="95" applyFont="1" applyAlignment="1">
      <alignment vertical="center" wrapText="1"/>
    </xf>
    <xf numFmtId="0" fontId="96" fillId="0" borderId="0" xfId="95" applyFont="1" applyAlignment="1">
      <alignment vertical="center"/>
    </xf>
    <xf numFmtId="0" fontId="97"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8" fillId="0" borderId="0" xfId="95" applyFont="1" applyAlignment="1">
      <alignment vertical="center"/>
    </xf>
    <xf numFmtId="0" fontId="87"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4" fillId="0" borderId="0" xfId="29" applyNumberFormat="1" applyFont="1" applyAlignment="1">
      <alignment vertical="center"/>
    </xf>
    <xf numFmtId="41" fontId="84"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7"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99"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0" fillId="0" borderId="16" xfId="54" applyNumberFormat="1" applyFont="1" applyFill="1" applyBorder="1" applyAlignment="1">
      <alignment horizontal="left" vertical="center"/>
    </xf>
    <xf numFmtId="14" fontId="92"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99" fillId="0" borderId="16" xfId="90" applyNumberFormat="1" applyFont="1" applyFill="1" applyBorder="1" applyAlignment="1">
      <alignment horizontal="center" vertical="center"/>
    </xf>
    <xf numFmtId="0" fontId="99" fillId="0" borderId="16" xfId="0" applyFont="1" applyFill="1" applyBorder="1" applyAlignment="1">
      <alignment vertical="center"/>
    </xf>
    <xf numFmtId="164" fontId="99" fillId="0" borderId="16" xfId="0" quotePrefix="1" applyNumberFormat="1" applyFont="1" applyFill="1" applyBorder="1" applyAlignment="1">
      <alignment horizontal="left" vertical="center"/>
    </xf>
    <xf numFmtId="164" fontId="99" fillId="0" borderId="16" xfId="29" applyNumberFormat="1" applyFont="1" applyFill="1" applyBorder="1" applyAlignment="1">
      <alignment horizontal="left" vertical="center"/>
    </xf>
    <xf numFmtId="43" fontId="99" fillId="0" borderId="16" xfId="29" applyNumberFormat="1" applyFont="1" applyFill="1" applyBorder="1" applyAlignment="1">
      <alignment horizontal="left" vertical="center"/>
    </xf>
    <xf numFmtId="43" fontId="99" fillId="0" borderId="16" xfId="29" applyFont="1" applyFill="1" applyBorder="1" applyAlignment="1">
      <alignment horizontal="left" vertical="center"/>
    </xf>
    <xf numFmtId="164" fontId="99" fillId="0" borderId="16" xfId="0" applyNumberFormat="1" applyFont="1" applyFill="1" applyBorder="1" applyAlignment="1">
      <alignment vertical="center"/>
    </xf>
    <xf numFmtId="0" fontId="99"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34" fillId="0" borderId="21" xfId="0" applyFont="1" applyFill="1" applyBorder="1" applyAlignment="1">
      <alignment vertical="center"/>
    </xf>
    <xf numFmtId="3" fontId="99"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0" borderId="0" xfId="29" applyNumberFormat="1" applyFont="1" applyBorder="1" applyAlignment="1">
      <alignmen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90"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1" fillId="0" borderId="23" xfId="101" applyFont="1" applyFill="1" applyBorder="1" applyAlignment="1">
      <alignment vertical="center"/>
    </xf>
    <xf numFmtId="175" fontId="91" fillId="0" borderId="23" xfId="29" applyNumberFormat="1" applyFont="1" applyBorder="1" applyAlignment="1">
      <alignment vertical="center"/>
    </xf>
    <xf numFmtId="164" fontId="91" fillId="0" borderId="23" xfId="29" applyNumberFormat="1" applyFont="1" applyFill="1" applyBorder="1" applyAlignment="1">
      <alignment vertical="center"/>
    </xf>
    <xf numFmtId="164" fontId="91" fillId="29" borderId="23" xfId="29" applyNumberFormat="1" applyFont="1" applyFill="1" applyBorder="1" applyAlignment="1">
      <alignment horizontal="right" vertical="center"/>
    </xf>
    <xf numFmtId="164" fontId="91" fillId="0" borderId="23" xfId="29" applyNumberFormat="1" applyFont="1" applyBorder="1" applyAlignment="1">
      <alignment vertical="center"/>
    </xf>
    <xf numFmtId="43" fontId="91"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1" fillId="0" borderId="19" xfId="101" applyFont="1" applyFill="1" applyBorder="1" applyAlignment="1">
      <alignment vertical="center"/>
    </xf>
    <xf numFmtId="175" fontId="91" fillId="0" borderId="19" xfId="29" applyNumberFormat="1" applyFont="1" applyBorder="1" applyAlignment="1">
      <alignment vertical="center"/>
    </xf>
    <xf numFmtId="164" fontId="91" fillId="0" borderId="19" xfId="29" applyNumberFormat="1" applyFont="1" applyFill="1" applyBorder="1" applyAlignment="1">
      <alignment vertical="center"/>
    </xf>
    <xf numFmtId="164" fontId="91" fillId="29" borderId="19" xfId="29" applyNumberFormat="1" applyFont="1" applyFill="1" applyBorder="1" applyAlignment="1">
      <alignment horizontal="right" vertical="center"/>
    </xf>
    <xf numFmtId="164" fontId="91" fillId="0" borderId="19" xfId="29" applyNumberFormat="1" applyFont="1" applyBorder="1" applyAlignment="1">
      <alignment vertical="center"/>
    </xf>
    <xf numFmtId="43" fontId="91"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0"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0" fillId="0" borderId="12" xfId="29" applyNumberFormat="1" applyFont="1" applyBorder="1" applyAlignment="1">
      <alignment vertical="center"/>
    </xf>
    <xf numFmtId="43" fontId="90" fillId="0" borderId="19" xfId="29" applyNumberFormat="1" applyFont="1" applyBorder="1" applyAlignment="1">
      <alignment vertical="center"/>
    </xf>
    <xf numFmtId="0" fontId="3" fillId="0" borderId="0" xfId="0" applyFont="1"/>
    <xf numFmtId="0" fontId="50" fillId="0" borderId="0" xfId="0" applyFont="1"/>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49" fontId="99" fillId="0" borderId="16" xfId="90" applyNumberFormat="1" applyFont="1" applyFill="1" applyBorder="1" applyAlignment="1">
      <alignment horizontal="left" vertical="center"/>
    </xf>
    <xf numFmtId="0" fontId="34" fillId="35" borderId="16" xfId="77" applyNumberFormat="1" applyFont="1" applyFill="1" applyBorder="1" applyAlignment="1">
      <alignment horizontal="center"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164" fontId="49" fillId="0" borderId="16" xfId="54" applyNumberFormat="1" applyFont="1" applyFill="1" applyBorder="1" applyAlignment="1">
      <alignment horizontal="left" vertical="center"/>
    </xf>
    <xf numFmtId="0" fontId="48" fillId="0" borderId="16" xfId="0" applyFont="1" applyFill="1" applyBorder="1" applyAlignment="1">
      <alignment vertical="center"/>
    </xf>
    <xf numFmtId="0" fontId="48" fillId="0" borderId="16" xfId="101" applyFont="1" applyFill="1" applyBorder="1" applyAlignment="1">
      <alignment vertical="center"/>
    </xf>
    <xf numFmtId="164" fontId="49" fillId="0" borderId="21" xfId="90" applyNumberFormat="1" applyFont="1" applyFill="1" applyBorder="1" applyAlignment="1">
      <alignment horizontal="left" vertical="center"/>
    </xf>
    <xf numFmtId="3" fontId="49" fillId="0" borderId="16" xfId="46" applyFont="1" applyBorder="1" applyAlignment="1">
      <alignment vertical="center"/>
    </xf>
    <xf numFmtId="0" fontId="33" fillId="0" borderId="0" xfId="87" applyFont="1" applyFill="1" applyAlignment="1">
      <alignment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64" fontId="34" fillId="0" borderId="21" xfId="29" applyNumberFormat="1" applyFont="1" applyFill="1" applyBorder="1" applyAlignment="1">
      <alignment horizontal="center" vertical="center" wrapText="1"/>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49" fontId="99" fillId="0" borderId="16" xfId="76" applyNumberFormat="1" applyFont="1" applyFill="1" applyBorder="1" applyAlignment="1">
      <alignment horizontal="left" vertical="center" wrapText="1"/>
    </xf>
    <xf numFmtId="164" fontId="49" fillId="0" borderId="16" xfId="29" applyNumberFormat="1" applyFont="1" applyBorder="1" applyAlignment="1">
      <alignment vertic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64" fontId="33" fillId="0" borderId="0" xfId="52" applyNumberFormat="1" applyFont="1" applyFill="1" applyAlignment="1">
      <alignment vertical="center"/>
    </xf>
    <xf numFmtId="3" fontId="49" fillId="0" borderId="16" xfId="46" applyFont="1" applyBorder="1" applyAlignment="1">
      <alignment horizontal="center" vertical="center"/>
    </xf>
    <xf numFmtId="164" fontId="49" fillId="0" borderId="21" xfId="29" applyNumberFormat="1" applyFont="1" applyBorder="1" applyAlignment="1">
      <alignment horizontal="center" vertical="center"/>
    </xf>
    <xf numFmtId="164" fontId="34" fillId="25" borderId="16" xfId="29" applyNumberFormat="1" applyFont="1" applyFill="1" applyBorder="1" applyAlignment="1">
      <alignment vertical="center"/>
    </xf>
    <xf numFmtId="0" fontId="34" fillId="25" borderId="16" xfId="0" applyFont="1" applyFill="1" applyBorder="1" applyAlignment="1">
      <alignment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4" fontId="34" fillId="0" borderId="16" xfId="90" quotePrefix="1" applyNumberFormat="1" applyFont="1" applyFill="1" applyBorder="1" applyAlignment="1">
      <alignment horizontal="center" vertical="center"/>
    </xf>
    <xf numFmtId="164" fontId="34" fillId="0" borderId="21" xfId="90"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4" borderId="16" xfId="77" applyNumberFormat="1" applyFont="1" applyFill="1" applyBorder="1" applyAlignment="1">
      <alignment horizontal="center" vertical="center"/>
    </xf>
    <xf numFmtId="0" fontId="34" fillId="37" borderId="16" xfId="77" applyNumberFormat="1" applyFont="1" applyFill="1" applyBorder="1" applyAlignment="1">
      <alignment horizontal="center" vertical="center"/>
    </xf>
    <xf numFmtId="0" fontId="34" fillId="38" borderId="16" xfId="77" applyNumberFormat="1" applyFont="1" applyFill="1" applyBorder="1" applyAlignment="1">
      <alignment horizontal="center" vertical="center"/>
    </xf>
    <xf numFmtId="0" fontId="34" fillId="31" borderId="16" xfId="77" applyNumberFormat="1" applyFont="1" applyFill="1" applyBorder="1" applyAlignment="1">
      <alignment horizontal="center" vertical="center"/>
    </xf>
    <xf numFmtId="43" fontId="33" fillId="34" borderId="16" xfId="74" quotePrefix="1" applyNumberFormat="1" applyFont="1" applyFill="1" applyBorder="1" applyAlignment="1">
      <alignment horizontal="center" vertical="center"/>
    </xf>
    <xf numFmtId="0" fontId="34" fillId="0" borderId="0" xfId="52" applyFont="1" applyAlignment="1">
      <alignment horizontal="center" vertical="center"/>
    </xf>
    <xf numFmtId="49" fontId="48" fillId="25" borderId="16" xfId="76" applyNumberFormat="1" applyFont="1" applyFill="1" applyBorder="1" applyAlignment="1">
      <alignment horizontal="left" vertical="center" wrapText="1"/>
    </xf>
    <xf numFmtId="49" fontId="49" fillId="0" borderId="21" xfId="76" applyNumberFormat="1" applyFont="1" applyFill="1" applyBorder="1" applyAlignment="1">
      <alignment horizontal="left" vertical="center"/>
    </xf>
    <xf numFmtId="0" fontId="99" fillId="0" borderId="16" xfId="76" quotePrefix="1" applyNumberFormat="1" applyFont="1" applyFill="1" applyBorder="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0" fontId="34" fillId="36" borderId="16" xfId="77" applyNumberFormat="1" applyFont="1" applyFill="1" applyBorder="1" applyAlignment="1">
      <alignment horizontal="center"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0" fontId="34" fillId="39" borderId="16" xfId="77" applyNumberFormat="1" applyFont="1" applyFill="1" applyBorder="1" applyAlignment="1">
      <alignment horizontal="center" vertical="center"/>
    </xf>
    <xf numFmtId="49" fontId="49" fillId="0" borderId="16" xfId="76" applyNumberFormat="1" applyFont="1" applyFill="1" applyBorder="1" applyAlignment="1">
      <alignment horizontal="left" vertical="center" wrapText="1"/>
    </xf>
    <xf numFmtId="3" fontId="48" fillId="0" borderId="16" xfId="46" applyFont="1" applyBorder="1" applyAlignment="1">
      <alignment horizontal="center" vertical="center"/>
    </xf>
    <xf numFmtId="3" fontId="99" fillId="0" borderId="16" xfId="46" applyFont="1" applyBorder="1" applyAlignment="1">
      <alignment horizontal="center" vertical="center"/>
    </xf>
    <xf numFmtId="164" fontId="99" fillId="0" borderId="16" xfId="29" applyNumberFormat="1" applyFont="1" applyBorder="1" applyAlignment="1">
      <alignment vertical="center"/>
    </xf>
    <xf numFmtId="164" fontId="99" fillId="0" borderId="21" xfId="29" applyNumberFormat="1" applyFont="1" applyBorder="1" applyAlignment="1">
      <alignment horizontal="center" vertical="center"/>
    </xf>
    <xf numFmtId="0" fontId="99" fillId="0" borderId="0" xfId="53" applyFont="1" applyAlignment="1">
      <alignment vertical="center"/>
    </xf>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102" fillId="0" borderId="16" xfId="53" applyFont="1" applyFill="1" applyBorder="1" applyAlignment="1">
      <alignment vertical="center"/>
    </xf>
    <xf numFmtId="164" fontId="34" fillId="21" borderId="2" xfId="74" applyNumberFormat="1" applyFont="1" applyFill="1" applyBorder="1" applyAlignment="1">
      <alignment vertical="center"/>
    </xf>
    <xf numFmtId="49" fontId="48" fillId="0" borderId="16" xfId="76" applyNumberFormat="1" applyFont="1" applyFill="1" applyBorder="1" applyAlignment="1">
      <alignment horizontal="left" vertical="center" wrapText="1"/>
    </xf>
    <xf numFmtId="14" fontId="99" fillId="0" borderId="16" xfId="76" applyNumberFormat="1" applyFont="1" applyFill="1" applyBorder="1" applyAlignment="1">
      <alignment horizontal="center" vertical="center"/>
    </xf>
    <xf numFmtId="164" fontId="99" fillId="0" borderId="16" xfId="76" applyNumberFormat="1" applyFont="1" applyFill="1" applyBorder="1" applyAlignment="1">
      <alignment horizontal="left" vertical="center"/>
    </xf>
    <xf numFmtId="164" fontId="99" fillId="0" borderId="16" xfId="77" applyNumberFormat="1" applyFont="1" applyFill="1" applyBorder="1" applyAlignment="1">
      <alignment vertical="center"/>
    </xf>
    <xf numFmtId="164" fontId="99" fillId="0" borderId="16" xfId="76" quotePrefix="1" applyNumberFormat="1" applyFont="1" applyFill="1" applyBorder="1" applyAlignment="1">
      <alignment horizontal="left" vertical="center"/>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164" fontId="34" fillId="25" borderId="0" xfId="29" applyNumberFormat="1" applyFont="1" applyFill="1" applyAlignment="1">
      <alignment vertical="center"/>
    </xf>
    <xf numFmtId="0" fontId="34" fillId="25" borderId="16" xfId="99" applyFont="1" applyFill="1" applyBorder="1" applyAlignment="1">
      <alignment horizontal="center" vertical="center"/>
    </xf>
    <xf numFmtId="0" fontId="34" fillId="25" borderId="16" xfId="0" applyFont="1" applyFill="1" applyBorder="1" applyAlignment="1">
      <alignment horizontal="center" vertical="center"/>
    </xf>
    <xf numFmtId="164" fontId="34" fillId="25" borderId="21" xfId="29" applyNumberFormat="1" applyFont="1" applyFill="1" applyBorder="1" applyAlignment="1">
      <alignment vertical="center"/>
    </xf>
    <xf numFmtId="0" fontId="34" fillId="25" borderId="21" xfId="0" applyFont="1" applyFill="1" applyBorder="1" applyAlignment="1">
      <alignment vertical="center"/>
    </xf>
    <xf numFmtId="0" fontId="34" fillId="25" borderId="43" xfId="0" applyFont="1" applyFill="1" applyBorder="1" applyAlignment="1">
      <alignment vertical="center"/>
    </xf>
    <xf numFmtId="0" fontId="34" fillId="25" borderId="0" xfId="0" applyFont="1" applyFill="1" applyAlignment="1">
      <alignment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14" fontId="34" fillId="0" borderId="16" xfId="96" applyNumberFormat="1" applyFont="1" applyFill="1" applyBorder="1" applyAlignment="1">
      <alignment horizontal="center"/>
    </xf>
    <xf numFmtId="0" fontId="48" fillId="0" borderId="21" xfId="103" applyFont="1" applyFill="1" applyBorder="1" applyAlignment="1">
      <alignment vertical="center"/>
    </xf>
    <xf numFmtId="164" fontId="48" fillId="0" borderId="21" xfId="76" applyNumberFormat="1" applyFont="1" applyFill="1" applyBorder="1" applyAlignment="1">
      <alignment horizontal="left" vertical="center"/>
    </xf>
    <xf numFmtId="43" fontId="48" fillId="0" borderId="16" xfId="29" applyFont="1" applyFill="1" applyBorder="1" applyAlignment="1">
      <alignment horizontal="center"/>
    </xf>
    <xf numFmtId="164" fontId="48" fillId="0" borderId="16" xfId="29" applyNumberFormat="1" applyFont="1" applyFill="1" applyBorder="1" applyAlignment="1">
      <alignment horizontal="center"/>
    </xf>
    <xf numFmtId="14" fontId="34" fillId="0" borderId="21" xfId="90" applyNumberFormat="1" applyFont="1" applyFill="1" applyBorder="1" applyAlignment="1">
      <alignment horizontal="center" vertic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14" fontId="34" fillId="0" borderId="21" xfId="76" applyNumberFormat="1" applyFont="1" applyFill="1" applyBorder="1" applyAlignment="1">
      <alignment horizontal="center" vertical="center"/>
    </xf>
    <xf numFmtId="0" fontId="39" fillId="21" borderId="2" xfId="34" applyFont="1" applyBorder="1" applyAlignment="1">
      <alignment horizontal="center" vertical="center" wrapText="1"/>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1" fontId="48" fillId="0" borderId="16" xfId="76" quotePrefix="1" applyNumberFormat="1" applyFont="1" applyFill="1" applyBorder="1" applyAlignment="1">
      <alignment horizontal="center" vertical="center"/>
    </xf>
    <xf numFmtId="14" fontId="48" fillId="0" borderId="16" xfId="96" applyNumberFormat="1" applyFont="1" applyFill="1" applyBorder="1" applyAlignment="1">
      <alignment horizontal="center"/>
    </xf>
    <xf numFmtId="14" fontId="48" fillId="0" borderId="16" xfId="46" applyNumberFormat="1" applyFont="1" applyFill="1" applyBorder="1" applyAlignment="1">
      <alignment horizontal="center"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43" fontId="23" fillId="0" borderId="2" xfId="29" applyFont="1" applyBorder="1"/>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164" fontId="23" fillId="0" borderId="2" xfId="29" applyNumberFormat="1" applyFont="1" applyBorder="1"/>
    <xf numFmtId="14" fontId="48" fillId="0" borderId="21" xfId="76" applyNumberFormat="1" applyFont="1" applyFill="1" applyBorder="1" applyAlignment="1">
      <alignment horizontal="center" vertical="center"/>
    </xf>
    <xf numFmtId="43" fontId="48" fillId="0" borderId="21" xfId="29" applyFont="1" applyFill="1" applyBorder="1" applyAlignment="1">
      <alignment horizontal="left" vertical="center"/>
    </xf>
    <xf numFmtId="43" fontId="48" fillId="0" borderId="21" xfId="29" applyNumberFormat="1" applyFont="1" applyFill="1" applyBorder="1" applyAlignment="1">
      <alignment horizontal="left" vertical="center"/>
    </xf>
    <xf numFmtId="49" fontId="48" fillId="0" borderId="16" xfId="82" applyNumberFormat="1" applyFont="1" applyFill="1" applyBorder="1" applyAlignment="1">
      <alignment vertical="center"/>
    </xf>
    <xf numFmtId="164" fontId="48" fillId="0" borderId="21" xfId="29" applyNumberFormat="1" applyFont="1" applyFill="1" applyBorder="1" applyAlignment="1">
      <alignment horizontal="left" vertical="center"/>
    </xf>
    <xf numFmtId="0" fontId="48" fillId="0" borderId="16" xfId="95" applyFont="1" applyFill="1" applyBorder="1" applyAlignment="1">
      <alignment vertical="center"/>
    </xf>
    <xf numFmtId="164" fontId="48" fillId="0" borderId="16" xfId="96" applyNumberFormat="1" applyFont="1" applyFill="1" applyBorder="1" applyAlignment="1">
      <alignment horizontal="center"/>
    </xf>
    <xf numFmtId="0" fontId="48" fillId="0" borderId="16" xfId="103" applyFont="1" applyFill="1" applyBorder="1" applyAlignment="1">
      <alignment vertical="center"/>
    </xf>
    <xf numFmtId="164" fontId="34" fillId="0" borderId="2" xfId="29" applyNumberFormat="1" applyFont="1" applyBorder="1" applyAlignment="1">
      <alignment horizontal="center"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34" fillId="40" borderId="16" xfId="77" applyNumberFormat="1" applyFont="1" applyFill="1" applyBorder="1" applyAlignment="1">
      <alignment horizontal="center"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0" fontId="34" fillId="43" borderId="16" xfId="77" applyNumberFormat="1" applyFont="1" applyFill="1" applyBorder="1" applyAlignment="1">
      <alignment horizontal="center" vertical="center"/>
    </xf>
    <xf numFmtId="0" fontId="34" fillId="44" borderId="16" xfId="77" applyNumberFormat="1" applyFont="1" applyFill="1" applyBorder="1" applyAlignment="1">
      <alignment horizontal="center" vertical="center"/>
    </xf>
    <xf numFmtId="164" fontId="0" fillId="0" borderId="0" xfId="0" applyNumberFormat="1"/>
    <xf numFmtId="164" fontId="39" fillId="21" borderId="2" xfId="29" applyNumberFormat="1" applyFont="1" applyFill="1" applyBorder="1" applyAlignment="1">
      <alignment horizontal="centerContinuous" vertical="center" wrapText="1"/>
    </xf>
    <xf numFmtId="164" fontId="39" fillId="21" borderId="2" xfId="29" applyNumberFormat="1" applyFont="1" applyFill="1" applyBorder="1" applyAlignment="1">
      <alignment horizontal="center" vertical="center" wrapText="1"/>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0"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0" fontId="48" fillId="0" borderId="16" xfId="0" applyFont="1" applyFill="1" applyBorder="1" applyAlignment="1">
      <alignment horizontal="center"/>
    </xf>
    <xf numFmtId="0" fontId="103" fillId="0" borderId="0" xfId="0" applyFont="1"/>
    <xf numFmtId="0" fontId="34" fillId="25" borderId="16" xfId="0" applyFont="1" applyFill="1" applyBorder="1" applyAlignment="1">
      <alignment horizontal="center"/>
    </xf>
    <xf numFmtId="0" fontId="0" fillId="25" borderId="0" xfId="0" applyFill="1"/>
    <xf numFmtId="164" fontId="34" fillId="0" borderId="2" xfId="29" applyNumberFormat="1" applyFont="1" applyBorder="1" applyAlignment="1">
      <alignment horizontal="center" vertical="center"/>
    </xf>
    <xf numFmtId="49" fontId="34" fillId="0" borderId="16" xfId="90" quotePrefix="1" applyNumberFormat="1" applyFont="1" applyFill="1" applyBorder="1" applyAlignment="1">
      <alignment horizontal="left" vertical="center"/>
    </xf>
    <xf numFmtId="3" fontId="48" fillId="0" borderId="16" xfId="46" quotePrefix="1" applyFont="1" applyFill="1" applyBorder="1" applyAlignment="1">
      <alignment vertical="center"/>
    </xf>
    <xf numFmtId="164" fontId="49" fillId="0" borderId="16" xfId="76"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99" fillId="0" borderId="16" xfId="0" applyFont="1" applyFill="1" applyBorder="1" applyAlignment="1">
      <alignment horizontal="center"/>
    </xf>
    <xf numFmtId="164" fontId="99" fillId="0" borderId="16" xfId="90" applyNumberFormat="1" applyFont="1" applyFill="1" applyBorder="1" applyAlignment="1">
      <alignment horizontal="left" vertical="center"/>
    </xf>
    <xf numFmtId="0" fontId="104" fillId="0" borderId="0" xfId="0" applyFont="1"/>
    <xf numFmtId="0" fontId="49" fillId="0" borderId="16" xfId="0" applyFont="1" applyFill="1" applyBorder="1" applyAlignment="1">
      <alignment horizont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34" fillId="0" borderId="0" xfId="52"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2"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left"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78"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4"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4"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6"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22" fillId="0" borderId="0" xfId="78" applyFont="1" applyAlignment="1">
      <alignment horizontal="center" vertical="center"/>
    </xf>
    <xf numFmtId="0" fontId="84" fillId="0" borderId="0" xfId="78" applyFont="1" applyAlignment="1">
      <alignment horizontal="center" vertical="center"/>
    </xf>
    <xf numFmtId="0" fontId="84"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K%2015.5.17/NKSC%20-%2017%20-%20new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02.KE-TOAN/AN-LAC-LA/SO%20SACH/2016%20-%202018/2017/NKSC%20-%2017%20-%20n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KSC%20-%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TH"/>
      <sheetName val="SC-II"/>
      <sheetName val="SC-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 val="Sheet2"/>
    </sheetNames>
    <sheetDataSet>
      <sheetData sheetId="0">
        <row r="21">
          <cell r="F21">
            <v>82832491000</v>
          </cell>
        </row>
        <row r="25">
          <cell r="G25">
            <v>3043340000.1761475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TH"/>
      <sheetName val="SC-I"/>
      <sheetName val="SC-II"/>
      <sheetName val="SC-III"/>
      <sheetName val="SC-IV"/>
      <sheetName val="CTTK"/>
      <sheetName val="IN-TC"/>
      <sheetName val="111"/>
      <sheetName val="112"/>
      <sheetName val="331"/>
      <sheetName val="331-CT"/>
      <sheetName val="131"/>
      <sheetName val="131-CT"/>
      <sheetName val="131-Zhoushan"/>
      <sheetName val="NXT"/>
      <sheetName val="152-CT"/>
      <sheetName val="341"/>
      <sheetName val="341-CT"/>
      <sheetName val="411"/>
      <sheetName val="IN-NX"/>
      <sheetName val="TK"/>
      <sheetName val="BTGT"/>
      <sheetName val="THEGT"/>
      <sheetName val="BK-NL"/>
      <sheetName val="SO-TS"/>
      <sheetName val="THE-TS"/>
    </sheetNames>
    <sheetDataSet>
      <sheetData sheetId="0"/>
      <sheetData sheetId="1">
        <row r="256">
          <cell r="D256" t="str">
            <v>CTGS</v>
          </cell>
          <cell r="N256" t="str">
            <v>3341</v>
          </cell>
          <cell r="O256" t="str">
            <v>3386</v>
          </cell>
        </row>
        <row r="257">
          <cell r="D257" t="str">
            <v>CTGS</v>
          </cell>
          <cell r="N257" t="str">
            <v>641</v>
          </cell>
          <cell r="O257" t="str">
            <v>3386</v>
          </cell>
        </row>
        <row r="258">
          <cell r="D258" t="str">
            <v>CTGS</v>
          </cell>
          <cell r="N258" t="str">
            <v>154</v>
          </cell>
          <cell r="O258" t="str">
            <v>3386</v>
          </cell>
        </row>
        <row r="259">
          <cell r="D259" t="str">
            <v>CTGS</v>
          </cell>
          <cell r="N259" t="str">
            <v>641</v>
          </cell>
          <cell r="O259" t="str">
            <v>3388</v>
          </cell>
        </row>
        <row r="260">
          <cell r="D260" t="str">
            <v>CTGS</v>
          </cell>
          <cell r="N260" t="str">
            <v>154</v>
          </cell>
          <cell r="O260" t="str">
            <v>3388</v>
          </cell>
        </row>
        <row r="261">
          <cell r="D261" t="str">
            <v>CTGS</v>
          </cell>
          <cell r="N261" t="str">
            <v>811</v>
          </cell>
          <cell r="O261" t="str">
            <v>3383</v>
          </cell>
        </row>
        <row r="262">
          <cell r="D262" t="str">
            <v>CTGS</v>
          </cell>
          <cell r="N262" t="str">
            <v>811</v>
          </cell>
          <cell r="O262" t="str">
            <v>3384</v>
          </cell>
        </row>
        <row r="263">
          <cell r="D263" t="str">
            <v>CTGS</v>
          </cell>
          <cell r="N263" t="str">
            <v>811</v>
          </cell>
          <cell r="O263" t="str">
            <v>3386</v>
          </cell>
        </row>
        <row r="264">
          <cell r="D264" t="str">
            <v>CTGS</v>
          </cell>
          <cell r="N264" t="str">
            <v>811</v>
          </cell>
          <cell r="O264" t="str">
            <v>3388</v>
          </cell>
        </row>
        <row r="265">
          <cell r="D265" t="str">
            <v>CTGS</v>
          </cell>
          <cell r="N265" t="str">
            <v>641</v>
          </cell>
          <cell r="O265" t="str">
            <v>3341</v>
          </cell>
        </row>
        <row r="266">
          <cell r="D266" t="str">
            <v>CTGS</v>
          </cell>
          <cell r="N266" t="str">
            <v>154</v>
          </cell>
          <cell r="O266" t="str">
            <v>3341</v>
          </cell>
        </row>
        <row r="267">
          <cell r="D267" t="str">
            <v>CTGS</v>
          </cell>
          <cell r="N267" t="str">
            <v>3341</v>
          </cell>
          <cell r="O267" t="str">
            <v>3383</v>
          </cell>
        </row>
        <row r="268">
          <cell r="D268" t="str">
            <v>CTGS</v>
          </cell>
          <cell r="N268" t="str">
            <v>3341</v>
          </cell>
          <cell r="O268" t="str">
            <v>3383</v>
          </cell>
        </row>
        <row r="269">
          <cell r="D269" t="str">
            <v>CTGS</v>
          </cell>
          <cell r="N269" t="str">
            <v>641</v>
          </cell>
          <cell r="O269" t="str">
            <v>3383</v>
          </cell>
        </row>
        <row r="271">
          <cell r="D271" t="str">
            <v>CTGS</v>
          </cell>
          <cell r="N271" t="str">
            <v>3341</v>
          </cell>
          <cell r="O271" t="str">
            <v>3384</v>
          </cell>
        </row>
      </sheetData>
      <sheetData sheetId="2"/>
      <sheetData sheetId="3"/>
      <sheetData sheetId="4"/>
      <sheetData sheetId="5"/>
      <sheetData sheetId="6"/>
      <sheetData sheetId="7">
        <row r="4">
          <cell r="S4">
            <v>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DPS"/>
      <sheetName val="TH"/>
      <sheetName val="SC-I"/>
      <sheetName val="SC-II"/>
      <sheetName val="SC-III"/>
      <sheetName val="SC-IV"/>
      <sheetName val="CTTK"/>
      <sheetName val="IN-TC"/>
      <sheetName val="111"/>
      <sheetName val="112"/>
      <sheetName val="331"/>
      <sheetName val="331-CT"/>
      <sheetName val="131"/>
      <sheetName val="131-CT"/>
      <sheetName val="131-Zhoushan"/>
      <sheetName val="NXT"/>
      <sheetName val="152-CT"/>
      <sheetName val="341"/>
      <sheetName val="341-CT"/>
      <sheetName val="411"/>
      <sheetName val="IN-NX"/>
      <sheetName val="TK"/>
      <sheetName val="BTGT"/>
      <sheetName val="THEGT"/>
      <sheetName val="BK-NL"/>
      <sheetName val="SO-TS"/>
      <sheetName val="THE-TS"/>
    </sheetNames>
    <sheetDataSet>
      <sheetData sheetId="0"/>
      <sheetData sheetId="1">
        <row r="2513">
          <cell r="D2513" t="str">
            <v>VL/N08</v>
          </cell>
          <cell r="N2513" t="str">
            <v>1522</v>
          </cell>
          <cell r="O2513" t="str">
            <v>331</v>
          </cell>
        </row>
        <row r="2514">
          <cell r="D2514" t="str">
            <v>VL/N08</v>
          </cell>
          <cell r="N2514" t="str">
            <v>1331</v>
          </cell>
          <cell r="O2514" t="str">
            <v>331</v>
          </cell>
        </row>
        <row r="2515">
          <cell r="D2515" t="str">
            <v>VL/N09</v>
          </cell>
          <cell r="N2515" t="str">
            <v>1522</v>
          </cell>
          <cell r="O2515" t="str">
            <v>331</v>
          </cell>
        </row>
        <row r="2516">
          <cell r="D2516" t="str">
            <v>VL/N09</v>
          </cell>
          <cell r="N2516" t="str">
            <v>1331</v>
          </cell>
          <cell r="O2516" t="str">
            <v>331</v>
          </cell>
        </row>
        <row r="2517">
          <cell r="D2517" t="str">
            <v>VL/N10</v>
          </cell>
          <cell r="N2517" t="str">
            <v>1522</v>
          </cell>
          <cell r="O2517" t="str">
            <v>331</v>
          </cell>
        </row>
        <row r="2518">
          <cell r="D2518" t="str">
            <v>VL/N10</v>
          </cell>
          <cell r="N2518" t="str">
            <v>1331</v>
          </cell>
          <cell r="O2518" t="str">
            <v>331</v>
          </cell>
        </row>
        <row r="2519">
          <cell r="D2519" t="str">
            <v>VL/N12</v>
          </cell>
          <cell r="N2519" t="str">
            <v>1522</v>
          </cell>
          <cell r="O2519" t="str">
            <v>331</v>
          </cell>
        </row>
        <row r="2520">
          <cell r="D2520" t="str">
            <v>VL/N12</v>
          </cell>
          <cell r="N2520" t="str">
            <v>1331</v>
          </cell>
          <cell r="O2520" t="str">
            <v>331</v>
          </cell>
        </row>
        <row r="2521">
          <cell r="D2521">
            <v>0</v>
          </cell>
          <cell r="N2521" t="str">
            <v>642</v>
          </cell>
          <cell r="O2521" t="str">
            <v>1111</v>
          </cell>
        </row>
        <row r="2522">
          <cell r="D2522" t="str">
            <v>VL/N13</v>
          </cell>
          <cell r="N2522" t="str">
            <v>1522</v>
          </cell>
          <cell r="O2522" t="str">
            <v>331</v>
          </cell>
        </row>
        <row r="2523">
          <cell r="D2523">
            <v>0</v>
          </cell>
          <cell r="N2523" t="str">
            <v>331</v>
          </cell>
          <cell r="O2523" t="str">
            <v>1111</v>
          </cell>
        </row>
        <row r="2524">
          <cell r="D2524">
            <v>0</v>
          </cell>
          <cell r="N2524" t="str">
            <v>331</v>
          </cell>
          <cell r="O2524" t="str">
            <v>1111</v>
          </cell>
        </row>
        <row r="2525">
          <cell r="D2525">
            <v>0</v>
          </cell>
          <cell r="N2525" t="str">
            <v>642</v>
          </cell>
          <cell r="O2525" t="str">
            <v>1111</v>
          </cell>
        </row>
        <row r="2526">
          <cell r="D2526">
            <v>0</v>
          </cell>
          <cell r="N2526" t="str">
            <v>1331</v>
          </cell>
          <cell r="O2526" t="str">
            <v>1111</v>
          </cell>
        </row>
        <row r="2527">
          <cell r="D2527">
            <v>0</v>
          </cell>
          <cell r="N2527" t="str">
            <v>641</v>
          </cell>
          <cell r="O2527" t="str">
            <v>1111</v>
          </cell>
        </row>
        <row r="2528">
          <cell r="D2528">
            <v>0</v>
          </cell>
          <cell r="N2528" t="str">
            <v>1331</v>
          </cell>
          <cell r="O2528" t="str">
            <v>1111</v>
          </cell>
        </row>
        <row r="2529">
          <cell r="D2529">
            <v>0</v>
          </cell>
          <cell r="N2529" t="str">
            <v>642</v>
          </cell>
          <cell r="O2529" t="str">
            <v>1111</v>
          </cell>
        </row>
        <row r="2530">
          <cell r="D2530">
            <v>0</v>
          </cell>
          <cell r="N2530" t="str">
            <v>1331</v>
          </cell>
          <cell r="O2530" t="str">
            <v>1111</v>
          </cell>
        </row>
        <row r="2531">
          <cell r="D2531">
            <v>0</v>
          </cell>
          <cell r="N2531" t="str">
            <v>331</v>
          </cell>
          <cell r="O2531" t="str">
            <v>1111</v>
          </cell>
        </row>
        <row r="2533">
          <cell r="D2533">
            <v>0</v>
          </cell>
          <cell r="N2533" t="str">
            <v>1331</v>
          </cell>
          <cell r="O2533" t="str">
            <v>1111</v>
          </cell>
        </row>
        <row r="2534">
          <cell r="D2534">
            <v>0</v>
          </cell>
          <cell r="N2534" t="str">
            <v>331</v>
          </cell>
          <cell r="O2534" t="str">
            <v>1111</v>
          </cell>
        </row>
        <row r="2535">
          <cell r="D2535">
            <v>0</v>
          </cell>
          <cell r="N2535" t="str">
            <v>642</v>
          </cell>
          <cell r="O2535" t="str">
            <v>1111</v>
          </cell>
        </row>
        <row r="2536">
          <cell r="D2536">
            <v>0</v>
          </cell>
          <cell r="N2536" t="str">
            <v>1331</v>
          </cell>
          <cell r="O2536" t="str">
            <v>1111</v>
          </cell>
        </row>
        <row r="2537">
          <cell r="D2537">
            <v>0</v>
          </cell>
          <cell r="N2537" t="str">
            <v>331</v>
          </cell>
          <cell r="O2537" t="str">
            <v>1111</v>
          </cell>
        </row>
        <row r="2538">
          <cell r="D2538">
            <v>0</v>
          </cell>
          <cell r="N2538" t="str">
            <v>642</v>
          </cell>
          <cell r="O2538" t="str">
            <v>1111</v>
          </cell>
        </row>
        <row r="2539">
          <cell r="D2539">
            <v>0</v>
          </cell>
          <cell r="N2539" t="str">
            <v>1331</v>
          </cell>
          <cell r="O2539" t="str">
            <v>1111</v>
          </cell>
        </row>
        <row r="2540">
          <cell r="D2540">
            <v>0</v>
          </cell>
          <cell r="N2540" t="str">
            <v>331</v>
          </cell>
          <cell r="O2540" t="str">
            <v>1111</v>
          </cell>
        </row>
        <row r="2541">
          <cell r="D2541">
            <v>0</v>
          </cell>
          <cell r="N2541" t="str">
            <v>641</v>
          </cell>
          <cell r="O2541" t="str">
            <v>1111</v>
          </cell>
        </row>
        <row r="3335">
          <cell r="D3335" t="str">
            <v>GBN</v>
          </cell>
          <cell r="N3335" t="str">
            <v>642</v>
          </cell>
          <cell r="O3335" t="str">
            <v>1121</v>
          </cell>
        </row>
        <row r="3336">
          <cell r="N3336" t="str">
            <v>331</v>
          </cell>
          <cell r="O3336" t="str">
            <v>1111</v>
          </cell>
        </row>
        <row r="3337">
          <cell r="D3337" t="str">
            <v>GBN</v>
          </cell>
          <cell r="N3337" t="str">
            <v>1331</v>
          </cell>
          <cell r="O3337" t="str">
            <v>1121</v>
          </cell>
        </row>
        <row r="3338">
          <cell r="D3338" t="str">
            <v>GBN</v>
          </cell>
          <cell r="N3338" t="str">
            <v>331</v>
          </cell>
          <cell r="O3338" t="str">
            <v>1121</v>
          </cell>
        </row>
        <row r="3339">
          <cell r="D3339" t="str">
            <v>GBN</v>
          </cell>
          <cell r="N3339" t="str">
            <v>1331</v>
          </cell>
          <cell r="O3339" t="str">
            <v>1121</v>
          </cell>
        </row>
        <row r="3340">
          <cell r="D3340" t="str">
            <v>GBN</v>
          </cell>
          <cell r="N3340" t="str">
            <v>642</v>
          </cell>
          <cell r="O3340" t="str">
            <v>1121</v>
          </cell>
        </row>
        <row r="3341">
          <cell r="N3341" t="str">
            <v>331</v>
          </cell>
          <cell r="O3341" t="str">
            <v>1111</v>
          </cell>
        </row>
        <row r="3342">
          <cell r="D3342" t="str">
            <v>GBN</v>
          </cell>
          <cell r="N3342" t="str">
            <v>1331</v>
          </cell>
          <cell r="O3342" t="str">
            <v>1121</v>
          </cell>
        </row>
        <row r="3343">
          <cell r="D3343" t="str">
            <v>GBN</v>
          </cell>
          <cell r="N3343" t="str">
            <v>642</v>
          </cell>
          <cell r="O3343" t="str">
            <v>1121</v>
          </cell>
        </row>
        <row r="3344">
          <cell r="D3344" t="str">
            <v>GBN</v>
          </cell>
          <cell r="N3344" t="str">
            <v>1331</v>
          </cell>
          <cell r="O3344" t="str">
            <v>1121</v>
          </cell>
        </row>
        <row r="3347">
          <cell r="D3347" t="str">
            <v>GBN</v>
          </cell>
          <cell r="N3347" t="str">
            <v>642</v>
          </cell>
          <cell r="O3347" t="str">
            <v>1121</v>
          </cell>
        </row>
        <row r="3348">
          <cell r="D3348" t="str">
            <v>GBN</v>
          </cell>
          <cell r="N3348" t="str">
            <v>1331</v>
          </cell>
          <cell r="O3348" t="str">
            <v>1121</v>
          </cell>
        </row>
        <row r="3349">
          <cell r="D3349" t="str">
            <v>GBN</v>
          </cell>
          <cell r="N3349" t="str">
            <v>642</v>
          </cell>
          <cell r="O3349" t="str">
            <v>1121</v>
          </cell>
        </row>
        <row r="3350">
          <cell r="D3350" t="str">
            <v>GBN</v>
          </cell>
          <cell r="N3350" t="str">
            <v>1331</v>
          </cell>
          <cell r="O3350" t="str">
            <v>1121</v>
          </cell>
        </row>
        <row r="3351">
          <cell r="D3351" t="str">
            <v>GBN</v>
          </cell>
          <cell r="N3351" t="str">
            <v>642</v>
          </cell>
          <cell r="O3351" t="str">
            <v>1121</v>
          </cell>
        </row>
        <row r="3352">
          <cell r="N3352" t="str">
            <v>331</v>
          </cell>
          <cell r="O3352" t="str">
            <v>1111</v>
          </cell>
        </row>
        <row r="3353">
          <cell r="D3353" t="str">
            <v>GBN</v>
          </cell>
          <cell r="N3353" t="str">
            <v>1331</v>
          </cell>
          <cell r="O3353" t="str">
            <v>1121</v>
          </cell>
        </row>
        <row r="3354">
          <cell r="D3354" t="str">
            <v>GBN</v>
          </cell>
          <cell r="N3354" t="str">
            <v>642</v>
          </cell>
          <cell r="O3354" t="str">
            <v>1121</v>
          </cell>
        </row>
        <row r="3355">
          <cell r="N3355" t="str">
            <v>331</v>
          </cell>
          <cell r="O3355" t="str">
            <v>1111</v>
          </cell>
        </row>
        <row r="3356">
          <cell r="D3356" t="str">
            <v>GBN</v>
          </cell>
          <cell r="N3356" t="str">
            <v>1331</v>
          </cell>
          <cell r="O3356" t="str">
            <v>1121</v>
          </cell>
        </row>
        <row r="3357">
          <cell r="D3357" t="str">
            <v>GBN</v>
          </cell>
          <cell r="N3357" t="str">
            <v>642</v>
          </cell>
          <cell r="O3357" t="str">
            <v>1121</v>
          </cell>
        </row>
        <row r="3358">
          <cell r="N3358" t="str">
            <v>331</v>
          </cell>
          <cell r="O3358" t="str">
            <v>1111</v>
          </cell>
        </row>
        <row r="3359">
          <cell r="N3359" t="str">
            <v>331</v>
          </cell>
          <cell r="O3359" t="str">
            <v>1111</v>
          </cell>
        </row>
        <row r="3360">
          <cell r="N3360" t="str">
            <v>331</v>
          </cell>
          <cell r="O3360" t="str">
            <v>1111</v>
          </cell>
        </row>
        <row r="3361">
          <cell r="N3361" t="str">
            <v>331</v>
          </cell>
          <cell r="O3361" t="str">
            <v>1111</v>
          </cell>
        </row>
        <row r="3362">
          <cell r="D3362" t="str">
            <v>GBN</v>
          </cell>
          <cell r="N3362" t="str">
            <v>1331</v>
          </cell>
          <cell r="O3362" t="str">
            <v>1121</v>
          </cell>
        </row>
        <row r="3363">
          <cell r="D3363" t="str">
            <v>GBN</v>
          </cell>
          <cell r="N3363" t="str">
            <v>642</v>
          </cell>
          <cell r="O3363" t="str">
            <v>1121</v>
          </cell>
        </row>
        <row r="3364">
          <cell r="N3364" t="str">
            <v>331</v>
          </cell>
          <cell r="O3364" t="str">
            <v>1111</v>
          </cell>
        </row>
        <row r="3365">
          <cell r="D3365" t="str">
            <v>GBN</v>
          </cell>
          <cell r="N3365" t="str">
            <v>1331</v>
          </cell>
          <cell r="O3365" t="str">
            <v>1121</v>
          </cell>
        </row>
        <row r="3366">
          <cell r="D3366" t="str">
            <v>GBN</v>
          </cell>
          <cell r="N3366" t="str">
            <v>642</v>
          </cell>
          <cell r="O3366" t="str">
            <v>1121</v>
          </cell>
        </row>
        <row r="3367">
          <cell r="N3367" t="str">
            <v>331</v>
          </cell>
          <cell r="O3367" t="str">
            <v>1111</v>
          </cell>
        </row>
        <row r="3368">
          <cell r="D3368" t="str">
            <v>GBN</v>
          </cell>
          <cell r="N3368" t="str">
            <v>1331</v>
          </cell>
          <cell r="O3368" t="str">
            <v>1121</v>
          </cell>
        </row>
        <row r="3369">
          <cell r="D3369" t="str">
            <v>GBN</v>
          </cell>
          <cell r="N3369" t="str">
            <v>642</v>
          </cell>
          <cell r="O3369" t="str">
            <v>1121</v>
          </cell>
        </row>
        <row r="3370">
          <cell r="D3370" t="str">
            <v>GBN</v>
          </cell>
          <cell r="N3370" t="str">
            <v>642</v>
          </cell>
          <cell r="O3370" t="str">
            <v>1121</v>
          </cell>
        </row>
        <row r="3371">
          <cell r="N3371" t="str">
            <v>331</v>
          </cell>
          <cell r="O3371" t="str">
            <v>1111</v>
          </cell>
        </row>
        <row r="3372">
          <cell r="N3372" t="str">
            <v>642</v>
          </cell>
          <cell r="O3372" t="str">
            <v>1111</v>
          </cell>
        </row>
        <row r="3373">
          <cell r="D3373" t="str">
            <v>GBN</v>
          </cell>
          <cell r="N3373" t="str">
            <v>1331</v>
          </cell>
          <cell r="O3373" t="str">
            <v>1121</v>
          </cell>
        </row>
        <row r="3374">
          <cell r="D3374" t="str">
            <v>GBN</v>
          </cell>
          <cell r="N3374" t="str">
            <v>642</v>
          </cell>
          <cell r="O3374" t="str">
            <v>1121</v>
          </cell>
        </row>
        <row r="3375">
          <cell r="N3375" t="str">
            <v>331</v>
          </cell>
          <cell r="O3375" t="str">
            <v>1111</v>
          </cell>
        </row>
        <row r="3376">
          <cell r="D3376" t="str">
            <v>GBN</v>
          </cell>
          <cell r="N3376" t="str">
            <v>1331</v>
          </cell>
          <cell r="O3376" t="str">
            <v>1121</v>
          </cell>
        </row>
        <row r="3377">
          <cell r="D3377" t="str">
            <v>CTGS</v>
          </cell>
          <cell r="N3377" t="str">
            <v>641</v>
          </cell>
          <cell r="O3377" t="str">
            <v>331</v>
          </cell>
        </row>
        <row r="3378">
          <cell r="D3378" t="str">
            <v>CTGS</v>
          </cell>
          <cell r="N3378" t="str">
            <v>1331</v>
          </cell>
          <cell r="O3378" t="str">
            <v>331</v>
          </cell>
        </row>
        <row r="3379">
          <cell r="D3379" t="str">
            <v>CTGS</v>
          </cell>
          <cell r="N3379" t="str">
            <v>641</v>
          </cell>
          <cell r="O3379" t="str">
            <v>331</v>
          </cell>
        </row>
        <row r="3380">
          <cell r="D3380" t="str">
            <v>CTGS</v>
          </cell>
          <cell r="N3380" t="str">
            <v>1331</v>
          </cell>
          <cell r="O3380" t="str">
            <v>331</v>
          </cell>
        </row>
        <row r="3381">
          <cell r="D3381" t="str">
            <v>CTGS</v>
          </cell>
          <cell r="N3381" t="str">
            <v>641</v>
          </cell>
          <cell r="O3381" t="str">
            <v>331</v>
          </cell>
        </row>
        <row r="3382">
          <cell r="D3382" t="str">
            <v>CTGS</v>
          </cell>
          <cell r="N3382" t="str">
            <v>1331</v>
          </cell>
          <cell r="O3382" t="str">
            <v>331</v>
          </cell>
        </row>
        <row r="3383">
          <cell r="D3383" t="str">
            <v>CTGS</v>
          </cell>
          <cell r="N3383" t="str">
            <v>641</v>
          </cell>
          <cell r="O3383" t="str">
            <v>331</v>
          </cell>
        </row>
        <row r="3384">
          <cell r="N3384" t="str">
            <v>331</v>
          </cell>
          <cell r="O3384" t="str">
            <v>1111</v>
          </cell>
        </row>
        <row r="3385">
          <cell r="N3385" t="str">
            <v>331</v>
          </cell>
          <cell r="O3385" t="str">
            <v>1111</v>
          </cell>
        </row>
        <row r="3386">
          <cell r="D3386" t="str">
            <v>CTGS</v>
          </cell>
          <cell r="N3386" t="str">
            <v>1331</v>
          </cell>
          <cell r="O3386" t="str">
            <v>331</v>
          </cell>
        </row>
        <row r="3387">
          <cell r="D3387" t="str">
            <v>CTGS</v>
          </cell>
          <cell r="N3387" t="str">
            <v>641</v>
          </cell>
          <cell r="O3387" t="str">
            <v>331</v>
          </cell>
        </row>
        <row r="3388">
          <cell r="N3388" t="str">
            <v>331</v>
          </cell>
          <cell r="O3388" t="str">
            <v>1111</v>
          </cell>
        </row>
        <row r="3389">
          <cell r="D3389" t="str">
            <v>CTGS</v>
          </cell>
          <cell r="N3389" t="str">
            <v>1331</v>
          </cell>
          <cell r="O3389" t="str">
            <v>331</v>
          </cell>
        </row>
        <row r="3390">
          <cell r="D3390" t="str">
            <v>CTGS</v>
          </cell>
          <cell r="N3390" t="str">
            <v>641</v>
          </cell>
          <cell r="O3390" t="str">
            <v>331</v>
          </cell>
        </row>
        <row r="3391">
          <cell r="N3391" t="str">
            <v>1121</v>
          </cell>
          <cell r="O3391" t="str">
            <v>1111</v>
          </cell>
        </row>
        <row r="3392">
          <cell r="D3392" t="str">
            <v>GBN</v>
          </cell>
          <cell r="N3392" t="str">
            <v>642</v>
          </cell>
          <cell r="O3392" t="str">
            <v>1121</v>
          </cell>
        </row>
        <row r="3393">
          <cell r="D3393" t="str">
            <v>CHI</v>
          </cell>
          <cell r="N3393" t="str">
            <v>1121</v>
          </cell>
          <cell r="O3393" t="str">
            <v>1111</v>
          </cell>
        </row>
        <row r="3394">
          <cell r="D3394" t="str">
            <v>GBN</v>
          </cell>
          <cell r="N3394" t="str">
            <v>331</v>
          </cell>
          <cell r="O3394" t="str">
            <v>1121</v>
          </cell>
        </row>
        <row r="3395">
          <cell r="D3395" t="str">
            <v>GBN</v>
          </cell>
          <cell r="N3395" t="str">
            <v>642</v>
          </cell>
          <cell r="O3395" t="str">
            <v>1121</v>
          </cell>
        </row>
        <row r="3396">
          <cell r="D3396" t="str">
            <v>GBN</v>
          </cell>
          <cell r="N3396" t="str">
            <v>1331</v>
          </cell>
          <cell r="O3396" t="str">
            <v>1121</v>
          </cell>
        </row>
        <row r="3397">
          <cell r="D3397" t="str">
            <v>CHI</v>
          </cell>
          <cell r="N3397" t="str">
            <v>1121</v>
          </cell>
          <cell r="O3397" t="str">
            <v>1111</v>
          </cell>
        </row>
        <row r="3398">
          <cell r="D3398" t="str">
            <v>GBN</v>
          </cell>
          <cell r="N3398" t="str">
            <v>331</v>
          </cell>
          <cell r="O3398" t="str">
            <v>1121</v>
          </cell>
        </row>
        <row r="3399">
          <cell r="D3399" t="str">
            <v>GBN</v>
          </cell>
          <cell r="N3399" t="str">
            <v>642</v>
          </cell>
          <cell r="O3399" t="str">
            <v>1121</v>
          </cell>
        </row>
        <row r="3400">
          <cell r="D3400" t="str">
            <v>GBN</v>
          </cell>
          <cell r="N3400" t="str">
            <v>1331</v>
          </cell>
          <cell r="O3400" t="str">
            <v>1121</v>
          </cell>
        </row>
        <row r="3401">
          <cell r="D3401" t="str">
            <v>GBN</v>
          </cell>
          <cell r="N3401" t="str">
            <v>331</v>
          </cell>
          <cell r="O3401" t="str">
            <v>1121</v>
          </cell>
        </row>
        <row r="3402">
          <cell r="D3402" t="str">
            <v>GBN</v>
          </cell>
          <cell r="N3402" t="str">
            <v>642</v>
          </cell>
          <cell r="O3402" t="str">
            <v>1121</v>
          </cell>
        </row>
        <row r="3403">
          <cell r="D3403" t="str">
            <v>GBN</v>
          </cell>
          <cell r="N3403" t="str">
            <v>1331</v>
          </cell>
          <cell r="O3403" t="str">
            <v>1121</v>
          </cell>
        </row>
        <row r="3404">
          <cell r="D3404" t="str">
            <v>GBN</v>
          </cell>
          <cell r="N3404" t="str">
            <v>331</v>
          </cell>
          <cell r="O3404" t="str">
            <v>1121</v>
          </cell>
        </row>
        <row r="3405">
          <cell r="D3405" t="str">
            <v>GBN</v>
          </cell>
          <cell r="N3405" t="str">
            <v>642</v>
          </cell>
          <cell r="O3405" t="str">
            <v>1121</v>
          </cell>
        </row>
        <row r="3406">
          <cell r="D3406" t="str">
            <v>GBN</v>
          </cell>
          <cell r="N3406" t="str">
            <v>1331</v>
          </cell>
          <cell r="O3406" t="str">
            <v>1121</v>
          </cell>
        </row>
        <row r="3407">
          <cell r="D3407" t="str">
            <v>GBN</v>
          </cell>
          <cell r="N3407" t="str">
            <v>331</v>
          </cell>
          <cell r="O3407" t="str">
            <v>1121</v>
          </cell>
        </row>
        <row r="3408">
          <cell r="D3408" t="str">
            <v>GBN</v>
          </cell>
          <cell r="N3408" t="str">
            <v>642</v>
          </cell>
          <cell r="O3408" t="str">
            <v>1121</v>
          </cell>
        </row>
        <row r="3409">
          <cell r="D3409" t="str">
            <v>GBN</v>
          </cell>
          <cell r="N3409" t="str">
            <v>1331</v>
          </cell>
          <cell r="O3409" t="str">
            <v>1121</v>
          </cell>
        </row>
        <row r="3410">
          <cell r="D3410" t="str">
            <v>GBC</v>
          </cell>
          <cell r="N3410" t="str">
            <v>1121</v>
          </cell>
          <cell r="O3410" t="str">
            <v>131</v>
          </cell>
        </row>
        <row r="3411">
          <cell r="D3411" t="str">
            <v>GBN</v>
          </cell>
          <cell r="N3411" t="str">
            <v>331</v>
          </cell>
          <cell r="O3411" t="str">
            <v>1121</v>
          </cell>
        </row>
        <row r="3412">
          <cell r="D3412" t="str">
            <v>GBN</v>
          </cell>
          <cell r="N3412" t="str">
            <v>642</v>
          </cell>
          <cell r="O3412" t="str">
            <v>1121</v>
          </cell>
        </row>
        <row r="3413">
          <cell r="D3413" t="str">
            <v>GBN</v>
          </cell>
          <cell r="N3413" t="str">
            <v>1331</v>
          </cell>
          <cell r="O3413" t="str">
            <v>1121</v>
          </cell>
        </row>
        <row r="3414">
          <cell r="D3414" t="str">
            <v>GBC</v>
          </cell>
          <cell r="N3414" t="str">
            <v>1121</v>
          </cell>
          <cell r="O3414" t="str">
            <v>515</v>
          </cell>
        </row>
        <row r="3415">
          <cell r="D3415" t="str">
            <v>GBC</v>
          </cell>
          <cell r="N3415" t="str">
            <v>1121</v>
          </cell>
          <cell r="O3415" t="str">
            <v>131</v>
          </cell>
        </row>
        <row r="3416">
          <cell r="D3416" t="str">
            <v>T04</v>
          </cell>
          <cell r="N3416" t="str">
            <v>1111</v>
          </cell>
          <cell r="O3416" t="str">
            <v>1121</v>
          </cell>
        </row>
        <row r="3417">
          <cell r="D3417" t="str">
            <v>T05</v>
          </cell>
          <cell r="N3417" t="str">
            <v>1111</v>
          </cell>
          <cell r="O3417" t="str">
            <v>1121</v>
          </cell>
        </row>
        <row r="3418">
          <cell r="D3418" t="str">
            <v>GBC</v>
          </cell>
          <cell r="N3418" t="str">
            <v>1121</v>
          </cell>
          <cell r="O3418" t="str">
            <v>131</v>
          </cell>
        </row>
        <row r="3419">
          <cell r="D3419" t="str">
            <v>GBN</v>
          </cell>
          <cell r="N3419" t="str">
            <v>642</v>
          </cell>
          <cell r="O3419" t="str">
            <v>1121</v>
          </cell>
        </row>
        <row r="3420">
          <cell r="D3420" t="str">
            <v>GBN</v>
          </cell>
          <cell r="N3420" t="str">
            <v>1331</v>
          </cell>
          <cell r="O3420" t="str">
            <v>1121</v>
          </cell>
        </row>
        <row r="3421">
          <cell r="D3421" t="str">
            <v>GBC</v>
          </cell>
          <cell r="N3421" t="str">
            <v>1121</v>
          </cell>
          <cell r="O3421" t="str">
            <v>1121</v>
          </cell>
        </row>
        <row r="3422">
          <cell r="D3422" t="str">
            <v>GBN</v>
          </cell>
          <cell r="N3422" t="str">
            <v>331</v>
          </cell>
          <cell r="O3422" t="str">
            <v>1121</v>
          </cell>
        </row>
        <row r="3423">
          <cell r="D3423" t="str">
            <v>GBN</v>
          </cell>
          <cell r="N3423" t="str">
            <v>642</v>
          </cell>
          <cell r="O3423" t="str">
            <v>1121</v>
          </cell>
        </row>
        <row r="3424">
          <cell r="D3424" t="str">
            <v>GBN</v>
          </cell>
          <cell r="N3424" t="str">
            <v>1331</v>
          </cell>
          <cell r="O3424" t="str">
            <v>1121</v>
          </cell>
        </row>
        <row r="3425">
          <cell r="D3425" t="str">
            <v>GBC</v>
          </cell>
          <cell r="N3425" t="str">
            <v>1121</v>
          </cell>
          <cell r="O3425" t="str">
            <v>1122</v>
          </cell>
        </row>
        <row r="3426">
          <cell r="D3426" t="str">
            <v>GBN</v>
          </cell>
          <cell r="N3426" t="str">
            <v>331</v>
          </cell>
          <cell r="O3426" t="str">
            <v>1121</v>
          </cell>
        </row>
        <row r="3427">
          <cell r="D3427" t="str">
            <v>T09</v>
          </cell>
          <cell r="N3427" t="str">
            <v>1111</v>
          </cell>
          <cell r="O3427" t="str">
            <v>1121</v>
          </cell>
        </row>
        <row r="3428">
          <cell r="D3428" t="str">
            <v>GBN</v>
          </cell>
          <cell r="N3428" t="str">
            <v>642</v>
          </cell>
          <cell r="O3428" t="str">
            <v>1121</v>
          </cell>
        </row>
        <row r="3429">
          <cell r="D3429" t="str">
            <v>GBN</v>
          </cell>
          <cell r="N3429" t="str">
            <v>1331</v>
          </cell>
          <cell r="O3429" t="str">
            <v>1121</v>
          </cell>
        </row>
        <row r="3430">
          <cell r="D3430" t="str">
            <v>GBC</v>
          </cell>
          <cell r="N3430" t="str">
            <v>1121</v>
          </cell>
          <cell r="O3430" t="str">
            <v>1122</v>
          </cell>
        </row>
        <row r="3431">
          <cell r="D3431" t="str">
            <v>GBN</v>
          </cell>
          <cell r="N3431" t="str">
            <v>331</v>
          </cell>
          <cell r="O3431" t="str">
            <v>1121</v>
          </cell>
        </row>
        <row r="3432">
          <cell r="D3432" t="str">
            <v>GBN</v>
          </cell>
          <cell r="N3432" t="str">
            <v>642</v>
          </cell>
          <cell r="O3432" t="str">
            <v>1121</v>
          </cell>
        </row>
        <row r="3433">
          <cell r="D3433" t="str">
            <v>GBN</v>
          </cell>
          <cell r="N3433" t="str">
            <v>1331</v>
          </cell>
          <cell r="O3433" t="str">
            <v>1121</v>
          </cell>
        </row>
        <row r="3434">
          <cell r="D3434" t="str">
            <v>GBN</v>
          </cell>
          <cell r="N3434" t="str">
            <v>331</v>
          </cell>
          <cell r="O3434" t="str">
            <v>1121</v>
          </cell>
        </row>
        <row r="3435">
          <cell r="D3435" t="str">
            <v>GBC</v>
          </cell>
          <cell r="N3435" t="str">
            <v>1121</v>
          </cell>
          <cell r="O3435" t="str">
            <v>515</v>
          </cell>
        </row>
        <row r="3436">
          <cell r="D3436" t="str">
            <v>GBC</v>
          </cell>
          <cell r="N3436" t="str">
            <v>1121</v>
          </cell>
          <cell r="O3436" t="str">
            <v>1122</v>
          </cell>
        </row>
        <row r="3437">
          <cell r="D3437" t="str">
            <v>GBN</v>
          </cell>
          <cell r="N3437" t="str">
            <v>331</v>
          </cell>
          <cell r="O3437" t="str">
            <v>1121</v>
          </cell>
        </row>
        <row r="3438">
          <cell r="D3438" t="str">
            <v>CHI</v>
          </cell>
          <cell r="N3438" t="str">
            <v>1121</v>
          </cell>
          <cell r="O3438" t="str">
            <v>1111</v>
          </cell>
        </row>
        <row r="3439">
          <cell r="D3439" t="str">
            <v>GBC</v>
          </cell>
          <cell r="N3439" t="str">
            <v>1121</v>
          </cell>
          <cell r="O3439" t="str">
            <v>131</v>
          </cell>
        </row>
        <row r="3440">
          <cell r="D3440" t="str">
            <v>GBN</v>
          </cell>
          <cell r="N3440" t="str">
            <v>331</v>
          </cell>
          <cell r="O3440" t="str">
            <v>1121</v>
          </cell>
        </row>
        <row r="3441">
          <cell r="D3441" t="str">
            <v>GBN</v>
          </cell>
          <cell r="N3441" t="str">
            <v>642</v>
          </cell>
          <cell r="O3441" t="str">
            <v>1121</v>
          </cell>
        </row>
        <row r="3442">
          <cell r="D3442" t="str">
            <v>GBN</v>
          </cell>
          <cell r="N3442" t="str">
            <v>1331</v>
          </cell>
          <cell r="O3442" t="str">
            <v>1121</v>
          </cell>
        </row>
        <row r="3443">
          <cell r="D3443" t="str">
            <v>GBN</v>
          </cell>
          <cell r="N3443" t="str">
            <v>331</v>
          </cell>
          <cell r="O3443" t="str">
            <v>1121</v>
          </cell>
        </row>
        <row r="3444">
          <cell r="D3444" t="str">
            <v>GBN</v>
          </cell>
          <cell r="N3444" t="str">
            <v>642</v>
          </cell>
          <cell r="O3444" t="str">
            <v>1121</v>
          </cell>
        </row>
        <row r="3445">
          <cell r="D3445" t="str">
            <v>GBN</v>
          </cell>
          <cell r="N3445" t="str">
            <v>1331</v>
          </cell>
          <cell r="O3445" t="str">
            <v>1121</v>
          </cell>
        </row>
        <row r="3446">
          <cell r="D3446" t="str">
            <v>GBN</v>
          </cell>
          <cell r="N3446" t="str">
            <v>331</v>
          </cell>
          <cell r="O3446" t="str">
            <v>1121</v>
          </cell>
        </row>
        <row r="3447">
          <cell r="D3447" t="str">
            <v>GBN</v>
          </cell>
          <cell r="N3447" t="str">
            <v>642</v>
          </cell>
          <cell r="O3447" t="str">
            <v>1121</v>
          </cell>
        </row>
        <row r="3448">
          <cell r="D3448" t="str">
            <v>GBN</v>
          </cell>
          <cell r="N3448" t="str">
            <v>1331</v>
          </cell>
          <cell r="O3448" t="str">
            <v>1121</v>
          </cell>
        </row>
        <row r="3449">
          <cell r="D3449" t="str">
            <v>GBN</v>
          </cell>
          <cell r="N3449" t="str">
            <v>331</v>
          </cell>
          <cell r="O3449" t="str">
            <v>1121</v>
          </cell>
        </row>
        <row r="3450">
          <cell r="D3450" t="str">
            <v>GBN</v>
          </cell>
          <cell r="N3450" t="str">
            <v>642</v>
          </cell>
          <cell r="O3450" t="str">
            <v>1121</v>
          </cell>
        </row>
        <row r="3451">
          <cell r="D3451" t="str">
            <v>GBN</v>
          </cell>
          <cell r="N3451" t="str">
            <v>1331</v>
          </cell>
          <cell r="O3451" t="str">
            <v>1121</v>
          </cell>
        </row>
        <row r="3452">
          <cell r="D3452" t="str">
            <v>GBN</v>
          </cell>
          <cell r="N3452" t="str">
            <v>331</v>
          </cell>
          <cell r="O3452" t="str">
            <v>1121</v>
          </cell>
        </row>
        <row r="3453">
          <cell r="D3453" t="str">
            <v>GBN</v>
          </cell>
          <cell r="N3453" t="str">
            <v>642</v>
          </cell>
          <cell r="O3453" t="str">
            <v>1121</v>
          </cell>
        </row>
        <row r="3454">
          <cell r="D3454" t="str">
            <v>GBN</v>
          </cell>
          <cell r="N3454" t="str">
            <v>1331</v>
          </cell>
          <cell r="O3454" t="str">
            <v>1121</v>
          </cell>
        </row>
        <row r="3455">
          <cell r="D3455" t="str">
            <v>GBN</v>
          </cell>
          <cell r="N3455" t="str">
            <v>642</v>
          </cell>
          <cell r="O3455" t="str">
            <v>1121</v>
          </cell>
        </row>
        <row r="3456">
          <cell r="D3456" t="str">
            <v>GBN</v>
          </cell>
          <cell r="N3456" t="str">
            <v>1331</v>
          </cell>
          <cell r="O3456" t="str">
            <v>1121</v>
          </cell>
        </row>
        <row r="3457">
          <cell r="D3457" t="str">
            <v>CHI</v>
          </cell>
          <cell r="N3457" t="str">
            <v>1121</v>
          </cell>
          <cell r="O3457" t="str">
            <v>1111</v>
          </cell>
        </row>
        <row r="3458">
          <cell r="D3458" t="str">
            <v>GBC</v>
          </cell>
          <cell r="N3458" t="str">
            <v>331</v>
          </cell>
          <cell r="O3458" t="str">
            <v>1121</v>
          </cell>
        </row>
        <row r="3459">
          <cell r="D3459" t="str">
            <v>GBC</v>
          </cell>
          <cell r="N3459" t="str">
            <v>642</v>
          </cell>
          <cell r="O3459" t="str">
            <v>1121</v>
          </cell>
        </row>
        <row r="3460">
          <cell r="D3460" t="str">
            <v>GBC</v>
          </cell>
          <cell r="N3460" t="str">
            <v>1331</v>
          </cell>
          <cell r="O3460" t="str">
            <v>1121</v>
          </cell>
        </row>
        <row r="3461">
          <cell r="D3461" t="str">
            <v>GBC</v>
          </cell>
          <cell r="N3461" t="str">
            <v>1121</v>
          </cell>
          <cell r="O3461" t="str">
            <v>1388</v>
          </cell>
        </row>
        <row r="3462">
          <cell r="D3462" t="str">
            <v>GBC</v>
          </cell>
          <cell r="N3462" t="str">
            <v>331</v>
          </cell>
          <cell r="O3462" t="str">
            <v>1121</v>
          </cell>
        </row>
        <row r="3463">
          <cell r="D3463" t="str">
            <v>GBC</v>
          </cell>
          <cell r="N3463" t="str">
            <v>642</v>
          </cell>
          <cell r="O3463" t="str">
            <v>1121</v>
          </cell>
        </row>
        <row r="3464">
          <cell r="D3464" t="str">
            <v>GBC</v>
          </cell>
          <cell r="N3464" t="str">
            <v>1331</v>
          </cell>
          <cell r="O3464" t="str">
            <v>1121</v>
          </cell>
        </row>
        <row r="3465">
          <cell r="D3465" t="str">
            <v>CHI</v>
          </cell>
          <cell r="N3465" t="str">
            <v>1121</v>
          </cell>
          <cell r="O3465" t="str">
            <v>1111</v>
          </cell>
        </row>
        <row r="3466">
          <cell r="D3466" t="str">
            <v>GBC</v>
          </cell>
          <cell r="N3466" t="str">
            <v>331</v>
          </cell>
          <cell r="O3466" t="str">
            <v>1121</v>
          </cell>
        </row>
        <row r="3467">
          <cell r="D3467" t="str">
            <v>GBC</v>
          </cell>
          <cell r="N3467" t="str">
            <v>642</v>
          </cell>
          <cell r="O3467" t="str">
            <v>1121</v>
          </cell>
        </row>
        <row r="3468">
          <cell r="D3468" t="str">
            <v>GBC</v>
          </cell>
          <cell r="N3468" t="str">
            <v>1331</v>
          </cell>
          <cell r="O3468" t="str">
            <v>1121</v>
          </cell>
        </row>
        <row r="3469">
          <cell r="D3469" t="str">
            <v>GBC</v>
          </cell>
          <cell r="N3469" t="str">
            <v>1121</v>
          </cell>
          <cell r="O3469" t="str">
            <v>131</v>
          </cell>
        </row>
        <row r="3470">
          <cell r="D3470" t="str">
            <v>T02</v>
          </cell>
          <cell r="N3470" t="str">
            <v>1111</v>
          </cell>
          <cell r="O3470" t="str">
            <v>1121</v>
          </cell>
        </row>
        <row r="3471">
          <cell r="D3471" t="str">
            <v>GBC</v>
          </cell>
          <cell r="N3471" t="str">
            <v>1121</v>
          </cell>
          <cell r="O3471" t="str">
            <v>515</v>
          </cell>
        </row>
        <row r="3472">
          <cell r="D3472" t="str">
            <v>CHI</v>
          </cell>
          <cell r="N3472" t="str">
            <v>1121</v>
          </cell>
          <cell r="O3472" t="str">
            <v>1111</v>
          </cell>
        </row>
        <row r="3473">
          <cell r="D3473" t="str">
            <v>GBC</v>
          </cell>
          <cell r="N3473" t="str">
            <v>331</v>
          </cell>
          <cell r="O3473" t="str">
            <v>1121</v>
          </cell>
        </row>
        <row r="3474">
          <cell r="D3474" t="str">
            <v>GBC</v>
          </cell>
          <cell r="N3474" t="str">
            <v>642</v>
          </cell>
          <cell r="O3474" t="str">
            <v>1121</v>
          </cell>
        </row>
        <row r="3475">
          <cell r="D3475" t="str">
            <v>GBC</v>
          </cell>
          <cell r="N3475" t="str">
            <v>1331</v>
          </cell>
          <cell r="O3475" t="str">
            <v>1121</v>
          </cell>
        </row>
        <row r="3476">
          <cell r="D3476" t="str">
            <v>GBC</v>
          </cell>
          <cell r="N3476" t="str">
            <v>1121</v>
          </cell>
          <cell r="O3476" t="str">
            <v>131</v>
          </cell>
        </row>
        <row r="3477">
          <cell r="D3477" t="str">
            <v>GBC</v>
          </cell>
          <cell r="N3477" t="str">
            <v>1121</v>
          </cell>
          <cell r="O3477" t="str">
            <v>131</v>
          </cell>
        </row>
        <row r="3478">
          <cell r="D3478" t="str">
            <v>GBN</v>
          </cell>
          <cell r="N3478" t="str">
            <v>331</v>
          </cell>
          <cell r="O3478" t="str">
            <v>1121</v>
          </cell>
        </row>
        <row r="3479">
          <cell r="D3479" t="str">
            <v>GBN</v>
          </cell>
          <cell r="N3479" t="str">
            <v>331</v>
          </cell>
          <cell r="O3479" t="str">
            <v>1121</v>
          </cell>
        </row>
        <row r="3480">
          <cell r="D3480" t="str">
            <v>GBN</v>
          </cell>
          <cell r="N3480" t="str">
            <v>642</v>
          </cell>
          <cell r="O3480" t="str">
            <v>1121</v>
          </cell>
        </row>
        <row r="3481">
          <cell r="D3481" t="str">
            <v>GBN</v>
          </cell>
          <cell r="N3481" t="str">
            <v>1331</v>
          </cell>
          <cell r="O3481" t="str">
            <v>1121</v>
          </cell>
        </row>
        <row r="3482">
          <cell r="D3482">
            <v>0</v>
          </cell>
          <cell r="N3482">
            <v>0</v>
          </cell>
          <cell r="O3482">
            <v>0</v>
          </cell>
        </row>
        <row r="3483">
          <cell r="D3483">
            <v>0</v>
          </cell>
          <cell r="N3483">
            <v>0</v>
          </cell>
          <cell r="O3483">
            <v>0</v>
          </cell>
        </row>
        <row r="3484">
          <cell r="D3484">
            <v>0</v>
          </cell>
          <cell r="N3484">
            <v>0</v>
          </cell>
          <cell r="O3484">
            <v>0</v>
          </cell>
        </row>
        <row r="3485">
          <cell r="D3485" t="str">
            <v>GBN</v>
          </cell>
          <cell r="N3485" t="str">
            <v>635</v>
          </cell>
          <cell r="O3485" t="str">
            <v>1122</v>
          </cell>
        </row>
        <row r="3486">
          <cell r="D3486" t="str">
            <v>GBN</v>
          </cell>
          <cell r="N3486" t="str">
            <v>3412</v>
          </cell>
          <cell r="O3486" t="str">
            <v>1122</v>
          </cell>
        </row>
        <row r="3487">
          <cell r="D3487" t="str">
            <v>CHI</v>
          </cell>
          <cell r="N3487" t="str">
            <v>1121</v>
          </cell>
          <cell r="O3487" t="str">
            <v>1111</v>
          </cell>
        </row>
        <row r="3488">
          <cell r="D3488" t="str">
            <v>GBC</v>
          </cell>
          <cell r="N3488" t="str">
            <v>1122</v>
          </cell>
          <cell r="O3488" t="str">
            <v>131</v>
          </cell>
        </row>
        <row r="3489">
          <cell r="D3489" t="str">
            <v>CTGS</v>
          </cell>
          <cell r="N3489" t="str">
            <v>642</v>
          </cell>
          <cell r="O3489" t="str">
            <v>131</v>
          </cell>
        </row>
        <row r="3490">
          <cell r="D3490" t="str">
            <v>GBC</v>
          </cell>
          <cell r="N3490" t="str">
            <v>1122</v>
          </cell>
          <cell r="O3490" t="str">
            <v>1122</v>
          </cell>
        </row>
        <row r="3491">
          <cell r="D3491" t="str">
            <v>GBN</v>
          </cell>
          <cell r="N3491" t="str">
            <v>642</v>
          </cell>
          <cell r="O3491" t="str">
            <v>1122</v>
          </cell>
        </row>
        <row r="3492">
          <cell r="D3492" t="str">
            <v>GBN</v>
          </cell>
          <cell r="N3492" t="str">
            <v>1331</v>
          </cell>
          <cell r="O3492" t="str">
            <v>1122</v>
          </cell>
        </row>
        <row r="3493">
          <cell r="D3493" t="str">
            <v>GBN</v>
          </cell>
          <cell r="N3493" t="str">
            <v>3412</v>
          </cell>
          <cell r="O3493" t="str">
            <v>1122</v>
          </cell>
        </row>
        <row r="3494">
          <cell r="D3494" t="str">
            <v>GBN</v>
          </cell>
          <cell r="N3494" t="str">
            <v>635</v>
          </cell>
          <cell r="O3494" t="str">
            <v>1122</v>
          </cell>
        </row>
        <row r="3495">
          <cell r="D3495" t="str">
            <v>CTGS</v>
          </cell>
          <cell r="N3495" t="str">
            <v>635</v>
          </cell>
          <cell r="O3495" t="str">
            <v>3412</v>
          </cell>
        </row>
        <row r="3496">
          <cell r="D3496" t="str">
            <v>GBN</v>
          </cell>
          <cell r="N3496" t="str">
            <v>642</v>
          </cell>
          <cell r="O3496" t="str">
            <v>1122</v>
          </cell>
        </row>
        <row r="3497">
          <cell r="D3497" t="str">
            <v>GBN</v>
          </cell>
          <cell r="N3497" t="str">
            <v>1121</v>
          </cell>
          <cell r="O3497" t="str">
            <v>1122</v>
          </cell>
        </row>
        <row r="3498">
          <cell r="D3498" t="str">
            <v>GBC</v>
          </cell>
          <cell r="N3498" t="str">
            <v>1122</v>
          </cell>
          <cell r="O3498" t="str">
            <v>131</v>
          </cell>
        </row>
        <row r="3499">
          <cell r="D3499" t="str">
            <v>CTGS</v>
          </cell>
          <cell r="N3499" t="str">
            <v>642</v>
          </cell>
          <cell r="O3499" t="str">
            <v>131</v>
          </cell>
        </row>
        <row r="3500">
          <cell r="D3500" t="str">
            <v>GBN</v>
          </cell>
          <cell r="N3500" t="str">
            <v>642</v>
          </cell>
          <cell r="O3500" t="str">
            <v>1122</v>
          </cell>
        </row>
        <row r="3501">
          <cell r="D3501" t="str">
            <v>GBN</v>
          </cell>
          <cell r="N3501" t="str">
            <v>635</v>
          </cell>
          <cell r="O3501" t="str">
            <v>1122</v>
          </cell>
        </row>
        <row r="3502">
          <cell r="D3502" t="str">
            <v>GBC</v>
          </cell>
          <cell r="N3502" t="str">
            <v>1122</v>
          </cell>
          <cell r="O3502" t="str">
            <v>131</v>
          </cell>
        </row>
        <row r="3503">
          <cell r="D3503" t="str">
            <v>CTGS</v>
          </cell>
          <cell r="N3503" t="str">
            <v>642</v>
          </cell>
          <cell r="O3503" t="str">
            <v>131</v>
          </cell>
        </row>
        <row r="3504">
          <cell r="D3504" t="str">
            <v>CTGS</v>
          </cell>
          <cell r="N3504" t="str">
            <v>635</v>
          </cell>
          <cell r="O3504" t="str">
            <v>131</v>
          </cell>
        </row>
        <row r="3505">
          <cell r="D3505" t="str">
            <v>GBN</v>
          </cell>
          <cell r="N3505" t="str">
            <v>3412</v>
          </cell>
          <cell r="O3505" t="str">
            <v>1122</v>
          </cell>
        </row>
        <row r="3506">
          <cell r="D3506" t="str">
            <v>CTGS</v>
          </cell>
          <cell r="N3506" t="str">
            <v>642</v>
          </cell>
          <cell r="O3506" t="str">
            <v>131</v>
          </cell>
        </row>
        <row r="3507">
          <cell r="D3507" t="str">
            <v>GBC</v>
          </cell>
          <cell r="N3507" t="str">
            <v>1121</v>
          </cell>
          <cell r="O3507" t="str">
            <v>131</v>
          </cell>
        </row>
        <row r="3508">
          <cell r="D3508" t="str">
            <v>GBN</v>
          </cell>
          <cell r="N3508" t="str">
            <v>331</v>
          </cell>
          <cell r="O3508" t="str">
            <v>1121</v>
          </cell>
        </row>
        <row r="3509">
          <cell r="D3509" t="str">
            <v>GBN</v>
          </cell>
          <cell r="N3509" t="str">
            <v>331</v>
          </cell>
          <cell r="O3509" t="str">
            <v>1121</v>
          </cell>
        </row>
        <row r="3510">
          <cell r="D3510" t="str">
            <v>GBN</v>
          </cell>
          <cell r="N3510" t="str">
            <v>635</v>
          </cell>
          <cell r="O3510" t="str">
            <v>1122</v>
          </cell>
        </row>
        <row r="3511">
          <cell r="D3511" t="str">
            <v>GBN</v>
          </cell>
          <cell r="N3511" t="str">
            <v>1331</v>
          </cell>
          <cell r="O3511" t="str">
            <v>1121</v>
          </cell>
        </row>
        <row r="3512">
          <cell r="D3512" t="str">
            <v>GBN</v>
          </cell>
          <cell r="N3512" t="str">
            <v>635</v>
          </cell>
          <cell r="O3512" t="str">
            <v>1122</v>
          </cell>
        </row>
        <row r="3513">
          <cell r="D3513" t="str">
            <v>GBN</v>
          </cell>
          <cell r="N3513" t="str">
            <v>635</v>
          </cell>
          <cell r="O3513" t="str">
            <v>1122</v>
          </cell>
        </row>
        <row r="3514">
          <cell r="D3514" t="str">
            <v>GBN</v>
          </cell>
          <cell r="N3514" t="str">
            <v>642</v>
          </cell>
          <cell r="O3514" t="str">
            <v>1121</v>
          </cell>
        </row>
        <row r="3515">
          <cell r="D3515" t="str">
            <v>GBN</v>
          </cell>
          <cell r="N3515" t="str">
            <v>635</v>
          </cell>
          <cell r="O3515" t="str">
            <v>1122</v>
          </cell>
        </row>
        <row r="3516">
          <cell r="D3516" t="str">
            <v>GBN</v>
          </cell>
          <cell r="N3516" t="str">
            <v>635</v>
          </cell>
          <cell r="O3516" t="str">
            <v>1122</v>
          </cell>
        </row>
        <row r="3517">
          <cell r="D3517" t="str">
            <v>GBN</v>
          </cell>
          <cell r="N3517" t="str">
            <v>635</v>
          </cell>
          <cell r="O3517" t="str">
            <v>1122</v>
          </cell>
        </row>
        <row r="3518">
          <cell r="D3518" t="str">
            <v>GBN</v>
          </cell>
          <cell r="N3518" t="str">
            <v>635</v>
          </cell>
          <cell r="O3518" t="str">
            <v>1122</v>
          </cell>
        </row>
        <row r="3519">
          <cell r="D3519" t="str">
            <v>GBN</v>
          </cell>
          <cell r="N3519" t="str">
            <v>635</v>
          </cell>
          <cell r="O3519" t="str">
            <v>1122</v>
          </cell>
        </row>
        <row r="3520">
          <cell r="D3520" t="str">
            <v>GBN</v>
          </cell>
          <cell r="N3520" t="str">
            <v>635</v>
          </cell>
          <cell r="O3520" t="str">
            <v>1122</v>
          </cell>
        </row>
        <row r="3521">
          <cell r="D3521" t="str">
            <v>GBN</v>
          </cell>
          <cell r="N3521" t="str">
            <v>635</v>
          </cell>
          <cell r="O3521" t="str">
            <v>1122</v>
          </cell>
        </row>
        <row r="3522">
          <cell r="D3522" t="str">
            <v>GBC</v>
          </cell>
          <cell r="N3522" t="str">
            <v>1122</v>
          </cell>
          <cell r="O3522" t="str">
            <v>131</v>
          </cell>
        </row>
        <row r="3523">
          <cell r="D3523" t="str">
            <v>CTGS</v>
          </cell>
          <cell r="N3523" t="str">
            <v>642</v>
          </cell>
          <cell r="O3523" t="str">
            <v>131</v>
          </cell>
        </row>
        <row r="3524">
          <cell r="D3524" t="str">
            <v>CTGS</v>
          </cell>
          <cell r="N3524" t="str">
            <v>131</v>
          </cell>
          <cell r="O3524" t="str">
            <v>515</v>
          </cell>
        </row>
        <row r="3525">
          <cell r="D3525" t="str">
            <v>GBC</v>
          </cell>
          <cell r="N3525" t="str">
            <v>1122</v>
          </cell>
          <cell r="O3525" t="str">
            <v>131</v>
          </cell>
        </row>
        <row r="3526">
          <cell r="D3526" t="str">
            <v>CTGS</v>
          </cell>
          <cell r="N3526" t="str">
            <v>642</v>
          </cell>
          <cell r="O3526" t="str">
            <v>131</v>
          </cell>
        </row>
        <row r="3527">
          <cell r="D3527" t="str">
            <v>CTGS</v>
          </cell>
          <cell r="N3527" t="str">
            <v>131</v>
          </cell>
          <cell r="O3527" t="str">
            <v>515</v>
          </cell>
        </row>
        <row r="3528">
          <cell r="D3528" t="str">
            <v>GBC</v>
          </cell>
          <cell r="N3528" t="str">
            <v>1122</v>
          </cell>
          <cell r="O3528" t="str">
            <v>131</v>
          </cell>
        </row>
        <row r="3529">
          <cell r="D3529" t="str">
            <v>CTGS</v>
          </cell>
          <cell r="N3529" t="str">
            <v>642</v>
          </cell>
          <cell r="O3529" t="str">
            <v>131</v>
          </cell>
        </row>
        <row r="3530">
          <cell r="D3530" t="str">
            <v>CTGS</v>
          </cell>
          <cell r="N3530" t="str">
            <v>131</v>
          </cell>
          <cell r="O3530" t="str">
            <v>515</v>
          </cell>
        </row>
        <row r="3531">
          <cell r="D3531" t="str">
            <v>GBN</v>
          </cell>
          <cell r="N3531" t="str">
            <v>3412</v>
          </cell>
          <cell r="O3531" t="str">
            <v>1122</v>
          </cell>
        </row>
        <row r="3532">
          <cell r="D3532" t="str">
            <v>GBN</v>
          </cell>
          <cell r="N3532" t="str">
            <v>635</v>
          </cell>
          <cell r="O3532" t="str">
            <v>1122</v>
          </cell>
        </row>
        <row r="3533">
          <cell r="D3533" t="str">
            <v>CTGS</v>
          </cell>
          <cell r="N3533" t="str">
            <v>635</v>
          </cell>
          <cell r="O3533" t="str">
            <v>3412</v>
          </cell>
        </row>
        <row r="3534">
          <cell r="D3534" t="str">
            <v>GBN</v>
          </cell>
          <cell r="N3534" t="str">
            <v>3412</v>
          </cell>
          <cell r="O3534" t="str">
            <v>1122</v>
          </cell>
        </row>
        <row r="3535">
          <cell r="D3535" t="str">
            <v>GBN</v>
          </cell>
          <cell r="N3535" t="str">
            <v>635</v>
          </cell>
          <cell r="O3535" t="str">
            <v>1122</v>
          </cell>
        </row>
        <row r="3536">
          <cell r="D3536" t="str">
            <v>CTGS</v>
          </cell>
          <cell r="N3536" t="str">
            <v>635</v>
          </cell>
          <cell r="O3536" t="str">
            <v>3412</v>
          </cell>
        </row>
        <row r="3537">
          <cell r="D3537" t="str">
            <v>GBN</v>
          </cell>
          <cell r="N3537" t="str">
            <v>3412</v>
          </cell>
          <cell r="O3537" t="str">
            <v>1122</v>
          </cell>
        </row>
        <row r="3538">
          <cell r="D3538" t="str">
            <v>GBN</v>
          </cell>
          <cell r="N3538" t="str">
            <v>635</v>
          </cell>
          <cell r="O3538" t="str">
            <v>1122</v>
          </cell>
        </row>
        <row r="3539">
          <cell r="D3539" t="str">
            <v>CTGS</v>
          </cell>
          <cell r="N3539" t="str">
            <v>635</v>
          </cell>
          <cell r="O3539" t="str">
            <v>3412</v>
          </cell>
        </row>
        <row r="3540">
          <cell r="D3540" t="str">
            <v>GBN</v>
          </cell>
          <cell r="N3540" t="str">
            <v>1121</v>
          </cell>
          <cell r="O3540" t="str">
            <v>1122</v>
          </cell>
        </row>
        <row r="3541">
          <cell r="D3541" t="str">
            <v>GBC</v>
          </cell>
          <cell r="N3541" t="str">
            <v>1122</v>
          </cell>
          <cell r="O3541" t="str">
            <v>131</v>
          </cell>
        </row>
        <row r="3542">
          <cell r="D3542" t="str">
            <v>CTGS</v>
          </cell>
          <cell r="N3542" t="str">
            <v>642</v>
          </cell>
          <cell r="O3542" t="str">
            <v>131</v>
          </cell>
        </row>
        <row r="3543">
          <cell r="D3543" t="str">
            <v>GBC</v>
          </cell>
          <cell r="N3543" t="str">
            <v>1122</v>
          </cell>
          <cell r="O3543" t="str">
            <v>131</v>
          </cell>
        </row>
        <row r="3544">
          <cell r="D3544" t="str">
            <v>CTGS</v>
          </cell>
          <cell r="N3544" t="str">
            <v>642</v>
          </cell>
          <cell r="O3544" t="str">
            <v>131</v>
          </cell>
        </row>
        <row r="3545">
          <cell r="D3545" t="str">
            <v>CTGS</v>
          </cell>
          <cell r="N3545" t="str">
            <v>131</v>
          </cell>
          <cell r="O3545" t="str">
            <v>515</v>
          </cell>
        </row>
        <row r="3546">
          <cell r="D3546" t="str">
            <v>GBC</v>
          </cell>
          <cell r="N3546" t="str">
            <v>1122</v>
          </cell>
          <cell r="O3546" t="str">
            <v>1122</v>
          </cell>
        </row>
        <row r="3547">
          <cell r="D3547" t="str">
            <v>GBN</v>
          </cell>
          <cell r="N3547" t="str">
            <v>642</v>
          </cell>
          <cell r="O3547" t="str">
            <v>1122</v>
          </cell>
        </row>
        <row r="3548">
          <cell r="D3548" t="str">
            <v>GBN</v>
          </cell>
          <cell r="N3548" t="str">
            <v>1331</v>
          </cell>
          <cell r="O3548" t="str">
            <v>1122</v>
          </cell>
        </row>
        <row r="3549">
          <cell r="D3549" t="str">
            <v>GBN</v>
          </cell>
          <cell r="N3549" t="str">
            <v>3412</v>
          </cell>
          <cell r="O3549" t="str">
            <v>1122</v>
          </cell>
        </row>
        <row r="3550">
          <cell r="D3550" t="str">
            <v>GBN</v>
          </cell>
          <cell r="N3550" t="str">
            <v>635</v>
          </cell>
          <cell r="O3550" t="str">
            <v>1122</v>
          </cell>
        </row>
        <row r="3551">
          <cell r="D3551" t="str">
            <v>GBN</v>
          </cell>
          <cell r="N3551" t="str">
            <v>635</v>
          </cell>
          <cell r="O3551" t="str">
            <v>3412</v>
          </cell>
        </row>
        <row r="3552">
          <cell r="D3552" t="str">
            <v>GBN</v>
          </cell>
          <cell r="N3552" t="str">
            <v>3412</v>
          </cell>
          <cell r="O3552" t="str">
            <v>1122</v>
          </cell>
        </row>
        <row r="3553">
          <cell r="D3553" t="str">
            <v>GBN</v>
          </cell>
          <cell r="N3553" t="str">
            <v>635</v>
          </cell>
          <cell r="O3553" t="str">
            <v>1122</v>
          </cell>
        </row>
        <row r="3554">
          <cell r="D3554" t="str">
            <v>CTGS</v>
          </cell>
          <cell r="N3554" t="str">
            <v>635</v>
          </cell>
          <cell r="O3554" t="str">
            <v>3412</v>
          </cell>
        </row>
        <row r="3555">
          <cell r="D3555" t="str">
            <v>GBC</v>
          </cell>
          <cell r="N3555" t="str">
            <v>1122</v>
          </cell>
          <cell r="O3555" t="str">
            <v>131</v>
          </cell>
        </row>
        <row r="3556">
          <cell r="D3556" t="str">
            <v>CTGS</v>
          </cell>
          <cell r="N3556" t="str">
            <v>642</v>
          </cell>
          <cell r="O3556" t="str">
            <v>131</v>
          </cell>
        </row>
        <row r="3557">
          <cell r="D3557" t="str">
            <v>GBN</v>
          </cell>
          <cell r="N3557" t="str">
            <v>1121</v>
          </cell>
          <cell r="O3557" t="str">
            <v>1122</v>
          </cell>
        </row>
        <row r="3558">
          <cell r="D3558" t="str">
            <v>GBN</v>
          </cell>
          <cell r="N3558" t="str">
            <v>1121</v>
          </cell>
          <cell r="O3558" t="str">
            <v>1122</v>
          </cell>
        </row>
        <row r="3559">
          <cell r="D3559" t="str">
            <v>GBC</v>
          </cell>
          <cell r="N3559" t="str">
            <v>1122</v>
          </cell>
          <cell r="O3559" t="str">
            <v>131</v>
          </cell>
        </row>
        <row r="3560">
          <cell r="D3560" t="str">
            <v>CTGS</v>
          </cell>
          <cell r="N3560" t="str">
            <v>642</v>
          </cell>
          <cell r="O3560" t="str">
            <v>131</v>
          </cell>
        </row>
        <row r="3561">
          <cell r="D3561" t="str">
            <v>GBN</v>
          </cell>
          <cell r="N3561" t="str">
            <v>635</v>
          </cell>
          <cell r="O3561" t="str">
            <v>1122</v>
          </cell>
        </row>
        <row r="3562">
          <cell r="D3562" t="str">
            <v>GBN</v>
          </cell>
          <cell r="N3562" t="str">
            <v>635</v>
          </cell>
          <cell r="O3562" t="str">
            <v>1122</v>
          </cell>
        </row>
        <row r="3563">
          <cell r="D3563" t="str">
            <v>GBN</v>
          </cell>
          <cell r="N3563" t="str">
            <v>635</v>
          </cell>
          <cell r="O3563" t="str">
            <v>1122</v>
          </cell>
        </row>
        <row r="3564">
          <cell r="D3564" t="str">
            <v>GBN</v>
          </cell>
          <cell r="N3564" t="str">
            <v>635</v>
          </cell>
          <cell r="O3564" t="str">
            <v>1122</v>
          </cell>
        </row>
        <row r="3565">
          <cell r="D3565" t="str">
            <v>GBN</v>
          </cell>
          <cell r="N3565" t="str">
            <v>635</v>
          </cell>
          <cell r="O3565" t="str">
            <v>1122</v>
          </cell>
        </row>
        <row r="3566">
          <cell r="D3566" t="str">
            <v>GBN</v>
          </cell>
          <cell r="N3566" t="str">
            <v>635</v>
          </cell>
          <cell r="O3566" t="str">
            <v>1122</v>
          </cell>
        </row>
        <row r="3567">
          <cell r="D3567" t="str">
            <v>GBN</v>
          </cell>
          <cell r="N3567" t="str">
            <v>635</v>
          </cell>
          <cell r="O3567" t="str">
            <v>1122</v>
          </cell>
        </row>
        <row r="3568">
          <cell r="D3568" t="str">
            <v>GBN</v>
          </cell>
          <cell r="N3568" t="str">
            <v>635</v>
          </cell>
          <cell r="O3568" t="str">
            <v>1122</v>
          </cell>
        </row>
        <row r="3569">
          <cell r="D3569" t="str">
            <v>GBN</v>
          </cell>
          <cell r="N3569" t="str">
            <v>635</v>
          </cell>
          <cell r="O3569" t="str">
            <v>1122</v>
          </cell>
        </row>
        <row r="3570">
          <cell r="D3570" t="str">
            <v>GBN</v>
          </cell>
          <cell r="N3570" t="str">
            <v>1121</v>
          </cell>
          <cell r="O3570" t="str">
            <v>1122</v>
          </cell>
        </row>
        <row r="3571">
          <cell r="D3571" t="str">
            <v>GBC</v>
          </cell>
          <cell r="N3571" t="str">
            <v>1122</v>
          </cell>
          <cell r="O3571" t="str">
            <v>131</v>
          </cell>
        </row>
        <row r="3572">
          <cell r="D3572" t="str">
            <v>CTGS</v>
          </cell>
          <cell r="N3572" t="str">
            <v>642</v>
          </cell>
          <cell r="O3572" t="str">
            <v>131</v>
          </cell>
        </row>
        <row r="3573">
          <cell r="D3573" t="str">
            <v>GBN</v>
          </cell>
          <cell r="N3573" t="str">
            <v>642</v>
          </cell>
          <cell r="O3573" t="str">
            <v>1122</v>
          </cell>
        </row>
        <row r="3574">
          <cell r="D3574" t="str">
            <v>GBN</v>
          </cell>
          <cell r="N3574" t="str">
            <v>1331</v>
          </cell>
          <cell r="O3574" t="str">
            <v>1122</v>
          </cell>
        </row>
        <row r="3575">
          <cell r="D3575" t="str">
            <v>GBN</v>
          </cell>
          <cell r="N3575" t="str">
            <v>635</v>
          </cell>
          <cell r="O3575" t="str">
            <v>1122</v>
          </cell>
        </row>
        <row r="3576">
          <cell r="D3576" t="str">
            <v>GBN</v>
          </cell>
          <cell r="N3576" t="str">
            <v>3412</v>
          </cell>
          <cell r="O3576" t="str">
            <v>1122</v>
          </cell>
        </row>
        <row r="3577">
          <cell r="D3577" t="str">
            <v>CTGS</v>
          </cell>
          <cell r="N3577" t="str">
            <v>635</v>
          </cell>
          <cell r="O3577" t="str">
            <v>3412</v>
          </cell>
        </row>
        <row r="3578">
          <cell r="D3578" t="str">
            <v>GBN</v>
          </cell>
          <cell r="N3578" t="str">
            <v>635</v>
          </cell>
          <cell r="O3578" t="str">
            <v>1122</v>
          </cell>
        </row>
        <row r="3579">
          <cell r="D3579" t="str">
            <v>GBN</v>
          </cell>
          <cell r="N3579" t="str">
            <v>635</v>
          </cell>
          <cell r="O3579" t="str">
            <v>1122</v>
          </cell>
        </row>
        <row r="3580">
          <cell r="D3580" t="str">
            <v>GBN</v>
          </cell>
          <cell r="N3580" t="str">
            <v>635</v>
          </cell>
          <cell r="O3580" t="str">
            <v>1122</v>
          </cell>
        </row>
        <row r="3581">
          <cell r="D3581" t="str">
            <v>GBN</v>
          </cell>
          <cell r="N3581" t="str">
            <v>635</v>
          </cell>
          <cell r="O3581" t="str">
            <v>1122</v>
          </cell>
        </row>
        <row r="3582">
          <cell r="D3582" t="str">
            <v>GBN</v>
          </cell>
          <cell r="N3582" t="str">
            <v>635</v>
          </cell>
          <cell r="O3582" t="str">
            <v>1122</v>
          </cell>
        </row>
        <row r="3583">
          <cell r="D3583" t="str">
            <v>GBN</v>
          </cell>
          <cell r="N3583" t="str">
            <v>635</v>
          </cell>
          <cell r="O3583" t="str">
            <v>1122</v>
          </cell>
        </row>
        <row r="3584">
          <cell r="D3584" t="str">
            <v>GBN</v>
          </cell>
          <cell r="N3584" t="str">
            <v>635</v>
          </cell>
          <cell r="O3584" t="str">
            <v>1122</v>
          </cell>
        </row>
        <row r="3585">
          <cell r="D3585" t="str">
            <v>GBN</v>
          </cell>
          <cell r="N3585" t="str">
            <v>635</v>
          </cell>
          <cell r="O3585" t="str">
            <v>1122</v>
          </cell>
        </row>
        <row r="3586">
          <cell r="D3586" t="str">
            <v>GBN</v>
          </cell>
          <cell r="N3586" t="str">
            <v>635</v>
          </cell>
          <cell r="O3586" t="str">
            <v>1122</v>
          </cell>
        </row>
        <row r="3587">
          <cell r="D3587" t="str">
            <v>GBN</v>
          </cell>
          <cell r="N3587" t="str">
            <v>635</v>
          </cell>
          <cell r="O3587" t="str">
            <v>1122</v>
          </cell>
        </row>
        <row r="3588">
          <cell r="D3588" t="str">
            <v>GBN</v>
          </cell>
          <cell r="N3588" t="str">
            <v>635</v>
          </cell>
          <cell r="O3588" t="str">
            <v>1122</v>
          </cell>
        </row>
        <row r="3589">
          <cell r="D3589" t="str">
            <v>GBN</v>
          </cell>
          <cell r="N3589" t="str">
            <v>635</v>
          </cell>
          <cell r="O3589" t="str">
            <v>1122</v>
          </cell>
        </row>
        <row r="3590">
          <cell r="D3590" t="str">
            <v>GBN</v>
          </cell>
          <cell r="N3590" t="str">
            <v>635</v>
          </cell>
          <cell r="O3590" t="str">
            <v>1122</v>
          </cell>
        </row>
        <row r="3591">
          <cell r="D3591" t="str">
            <v>GBN</v>
          </cell>
          <cell r="N3591" t="str">
            <v>635</v>
          </cell>
          <cell r="O3591" t="str">
            <v>1122</v>
          </cell>
        </row>
        <row r="3592">
          <cell r="D3592" t="str">
            <v>GBN</v>
          </cell>
          <cell r="N3592" t="str">
            <v>635</v>
          </cell>
          <cell r="O3592" t="str">
            <v>1122</v>
          </cell>
        </row>
        <row r="3593">
          <cell r="D3593" t="str">
            <v>GBN</v>
          </cell>
          <cell r="N3593" t="str">
            <v>635</v>
          </cell>
          <cell r="O3593" t="str">
            <v>1122</v>
          </cell>
        </row>
        <row r="3594">
          <cell r="D3594" t="str">
            <v>GBN</v>
          </cell>
          <cell r="N3594" t="str">
            <v>635</v>
          </cell>
          <cell r="O3594" t="str">
            <v>1122</v>
          </cell>
        </row>
        <row r="3595">
          <cell r="D3595" t="str">
            <v>GBN</v>
          </cell>
          <cell r="N3595" t="str">
            <v>635</v>
          </cell>
          <cell r="O3595" t="str">
            <v>1122</v>
          </cell>
        </row>
        <row r="3596">
          <cell r="D3596" t="str">
            <v>GBN</v>
          </cell>
          <cell r="N3596" t="str">
            <v>635</v>
          </cell>
          <cell r="O3596" t="str">
            <v>1122</v>
          </cell>
        </row>
        <row r="3597">
          <cell r="D3597" t="str">
            <v>GBN</v>
          </cell>
          <cell r="N3597" t="str">
            <v>635</v>
          </cell>
          <cell r="O3597" t="str">
            <v>1122</v>
          </cell>
        </row>
        <row r="3598">
          <cell r="D3598" t="str">
            <v>GBN</v>
          </cell>
          <cell r="N3598" t="str">
            <v>635</v>
          </cell>
          <cell r="O3598" t="str">
            <v>1122</v>
          </cell>
        </row>
        <row r="3599">
          <cell r="D3599" t="str">
            <v>GBC</v>
          </cell>
          <cell r="N3599" t="str">
            <v>1122</v>
          </cell>
          <cell r="O3599" t="str">
            <v>131</v>
          </cell>
        </row>
        <row r="3600">
          <cell r="D3600" t="str">
            <v>CTGS</v>
          </cell>
          <cell r="N3600" t="str">
            <v>642</v>
          </cell>
          <cell r="O3600" t="str">
            <v>131</v>
          </cell>
        </row>
        <row r="3601">
          <cell r="D3601" t="str">
            <v>GBN</v>
          </cell>
          <cell r="N3601" t="str">
            <v>642</v>
          </cell>
          <cell r="O3601" t="str">
            <v>1122</v>
          </cell>
        </row>
        <row r="3602">
          <cell r="D3602" t="str">
            <v>GBN</v>
          </cell>
          <cell r="N3602" t="str">
            <v>1331</v>
          </cell>
          <cell r="O3602" t="str">
            <v>1122</v>
          </cell>
        </row>
        <row r="3603">
          <cell r="D3603" t="str">
            <v>GBC</v>
          </cell>
          <cell r="N3603" t="str">
            <v>1122</v>
          </cell>
          <cell r="O3603" t="str">
            <v>131</v>
          </cell>
        </row>
        <row r="3604">
          <cell r="D3604" t="str">
            <v>CTGS</v>
          </cell>
          <cell r="N3604" t="str">
            <v>642</v>
          </cell>
          <cell r="O3604" t="str">
            <v>131</v>
          </cell>
        </row>
        <row r="3605">
          <cell r="D3605" t="str">
            <v>CTGS</v>
          </cell>
          <cell r="N3605" t="str">
            <v>635</v>
          </cell>
          <cell r="O3605" t="str">
            <v>131</v>
          </cell>
        </row>
        <row r="3606">
          <cell r="D3606" t="str">
            <v>GBN</v>
          </cell>
          <cell r="N3606" t="str">
            <v>635</v>
          </cell>
          <cell r="O3606" t="str">
            <v>1122</v>
          </cell>
        </row>
        <row r="3607">
          <cell r="D3607" t="str">
            <v>GBN</v>
          </cell>
          <cell r="N3607" t="str">
            <v>3412</v>
          </cell>
          <cell r="O3607" t="str">
            <v>1122</v>
          </cell>
        </row>
        <row r="3608">
          <cell r="D3608" t="str">
            <v>GBN</v>
          </cell>
          <cell r="N3608" t="str">
            <v>635</v>
          </cell>
          <cell r="O3608" t="str">
            <v>3412</v>
          </cell>
        </row>
        <row r="3609">
          <cell r="D3609" t="str">
            <v>GBN</v>
          </cell>
          <cell r="N3609" t="str">
            <v>1121</v>
          </cell>
          <cell r="O3609" t="str">
            <v>1122</v>
          </cell>
        </row>
        <row r="3610">
          <cell r="D3610" t="str">
            <v>GBC</v>
          </cell>
          <cell r="N3610" t="str">
            <v>1122</v>
          </cell>
          <cell r="O3610" t="str">
            <v>131</v>
          </cell>
        </row>
        <row r="3611">
          <cell r="D3611" t="str">
            <v>CTGS</v>
          </cell>
          <cell r="N3611" t="str">
            <v>642</v>
          </cell>
          <cell r="O3611" t="str">
            <v>131</v>
          </cell>
        </row>
        <row r="3612">
          <cell r="D3612" t="str">
            <v>GBN</v>
          </cell>
          <cell r="N3612" t="str">
            <v>1121</v>
          </cell>
          <cell r="O3612" t="str">
            <v>1122</v>
          </cell>
        </row>
        <row r="3613">
          <cell r="D3613" t="str">
            <v>GBC</v>
          </cell>
          <cell r="N3613" t="str">
            <v>1122</v>
          </cell>
          <cell r="O3613" t="str">
            <v>131</v>
          </cell>
        </row>
        <row r="3614">
          <cell r="D3614" t="str">
            <v>CTGS</v>
          </cell>
          <cell r="N3614" t="str">
            <v>642</v>
          </cell>
          <cell r="O3614" t="str">
            <v>131</v>
          </cell>
        </row>
        <row r="3615">
          <cell r="D3615" t="str">
            <v>CTGS</v>
          </cell>
          <cell r="N3615" t="str">
            <v>635</v>
          </cell>
          <cell r="O3615" t="str">
            <v>131</v>
          </cell>
        </row>
        <row r="3616">
          <cell r="D3616" t="str">
            <v>GBN</v>
          </cell>
          <cell r="N3616" t="str">
            <v>635</v>
          </cell>
          <cell r="O3616" t="str">
            <v>1122</v>
          </cell>
        </row>
        <row r="3617">
          <cell r="D3617" t="str">
            <v>GBN</v>
          </cell>
          <cell r="N3617" t="str">
            <v>3412</v>
          </cell>
          <cell r="O3617" t="str">
            <v>1122</v>
          </cell>
        </row>
        <row r="3618">
          <cell r="D3618" t="str">
            <v>CTGS</v>
          </cell>
          <cell r="N3618" t="str">
            <v>3412</v>
          </cell>
          <cell r="O3618" t="str">
            <v>515</v>
          </cell>
        </row>
        <row r="3619">
          <cell r="D3619" t="str">
            <v>GBN</v>
          </cell>
          <cell r="N3619" t="str">
            <v>635</v>
          </cell>
          <cell r="O3619" t="str">
            <v>1122</v>
          </cell>
        </row>
        <row r="3620">
          <cell r="D3620" t="str">
            <v>GBN</v>
          </cell>
          <cell r="N3620" t="str">
            <v>635</v>
          </cell>
          <cell r="O3620" t="str">
            <v>1122</v>
          </cell>
        </row>
        <row r="3621">
          <cell r="D3621" t="str">
            <v>GBN</v>
          </cell>
          <cell r="N3621" t="str">
            <v>635</v>
          </cell>
          <cell r="O3621" t="str">
            <v>1122</v>
          </cell>
        </row>
        <row r="3622">
          <cell r="D3622" t="str">
            <v>GBN</v>
          </cell>
          <cell r="N3622" t="str">
            <v>635</v>
          </cell>
          <cell r="O3622" t="str">
            <v>1122</v>
          </cell>
        </row>
        <row r="3623">
          <cell r="D3623" t="str">
            <v>GBN</v>
          </cell>
          <cell r="N3623" t="str">
            <v>635</v>
          </cell>
          <cell r="O3623" t="str">
            <v>1122</v>
          </cell>
        </row>
        <row r="3624">
          <cell r="D3624" t="str">
            <v>GBN</v>
          </cell>
          <cell r="N3624" t="str">
            <v>635</v>
          </cell>
          <cell r="O3624" t="str">
            <v>1122</v>
          </cell>
        </row>
        <row r="3625">
          <cell r="D3625" t="str">
            <v>GBN</v>
          </cell>
          <cell r="N3625" t="str">
            <v>635</v>
          </cell>
          <cell r="O3625" t="str">
            <v>1122</v>
          </cell>
        </row>
        <row r="3626">
          <cell r="D3626" t="str">
            <v>GBN</v>
          </cell>
          <cell r="N3626" t="str">
            <v>131</v>
          </cell>
          <cell r="O3626" t="str">
            <v>1122</v>
          </cell>
        </row>
        <row r="3627">
          <cell r="D3627" t="str">
            <v>CTGS</v>
          </cell>
          <cell r="N3627" t="str">
            <v>635</v>
          </cell>
          <cell r="O3627" t="str">
            <v>131</v>
          </cell>
        </row>
        <row r="3628">
          <cell r="D3628" t="str">
            <v>GBN</v>
          </cell>
          <cell r="N3628" t="str">
            <v>635</v>
          </cell>
          <cell r="O3628" t="str">
            <v>1122</v>
          </cell>
        </row>
        <row r="3629">
          <cell r="D3629" t="str">
            <v>GBN</v>
          </cell>
          <cell r="N3629" t="str">
            <v>635</v>
          </cell>
          <cell r="O3629" t="str">
            <v>1122</v>
          </cell>
        </row>
        <row r="3630">
          <cell r="D3630" t="str">
            <v>GBN</v>
          </cell>
          <cell r="N3630" t="str">
            <v>635</v>
          </cell>
          <cell r="O3630" t="str">
            <v>1122</v>
          </cell>
        </row>
        <row r="3631">
          <cell r="D3631" t="str">
            <v>GBN</v>
          </cell>
          <cell r="N3631" t="str">
            <v>635</v>
          </cell>
          <cell r="O3631" t="str">
            <v>1122</v>
          </cell>
        </row>
        <row r="3632">
          <cell r="D3632" t="str">
            <v>GBN</v>
          </cell>
          <cell r="N3632" t="str">
            <v>635</v>
          </cell>
          <cell r="O3632" t="str">
            <v>1122</v>
          </cell>
        </row>
        <row r="3633">
          <cell r="D3633" t="str">
            <v>GBN</v>
          </cell>
          <cell r="N3633" t="str">
            <v>635</v>
          </cell>
          <cell r="O3633" t="str">
            <v>1122</v>
          </cell>
        </row>
        <row r="3634">
          <cell r="D3634" t="str">
            <v>GBN</v>
          </cell>
          <cell r="N3634" t="str">
            <v>635</v>
          </cell>
          <cell r="O3634" t="str">
            <v>1122</v>
          </cell>
        </row>
        <row r="3635">
          <cell r="D3635" t="str">
            <v>GBN</v>
          </cell>
          <cell r="N3635" t="str">
            <v>635</v>
          </cell>
          <cell r="O3635" t="str">
            <v>1122</v>
          </cell>
        </row>
        <row r="3636">
          <cell r="D3636" t="str">
            <v>GBN</v>
          </cell>
          <cell r="N3636" t="str">
            <v>635</v>
          </cell>
          <cell r="O3636" t="str">
            <v>1122</v>
          </cell>
        </row>
        <row r="3637">
          <cell r="D3637" t="str">
            <v>GBN</v>
          </cell>
          <cell r="N3637" t="str">
            <v>635</v>
          </cell>
          <cell r="O3637" t="str">
            <v>1122</v>
          </cell>
        </row>
        <row r="3638">
          <cell r="D3638" t="str">
            <v>GBC</v>
          </cell>
          <cell r="N3638" t="str">
            <v>1122</v>
          </cell>
          <cell r="O3638" t="str">
            <v>1121</v>
          </cell>
        </row>
        <row r="3639">
          <cell r="D3639" t="str">
            <v>GBN</v>
          </cell>
          <cell r="N3639" t="str">
            <v>1121</v>
          </cell>
          <cell r="O3639" t="str">
            <v>1122</v>
          </cell>
        </row>
        <row r="3640">
          <cell r="D3640" t="str">
            <v>GBC</v>
          </cell>
          <cell r="N3640" t="str">
            <v>1122</v>
          </cell>
          <cell r="O3640" t="str">
            <v>131</v>
          </cell>
        </row>
        <row r="3641">
          <cell r="D3641" t="str">
            <v>CTGS</v>
          </cell>
          <cell r="N3641" t="str">
            <v>642</v>
          </cell>
          <cell r="O3641" t="str">
            <v>131</v>
          </cell>
        </row>
        <row r="3642">
          <cell r="D3642" t="str">
            <v>CTGS</v>
          </cell>
          <cell r="N3642" t="str">
            <v>635</v>
          </cell>
          <cell r="O3642" t="str">
            <v>131</v>
          </cell>
        </row>
        <row r="3643">
          <cell r="D3643" t="str">
            <v>GBN</v>
          </cell>
          <cell r="N3643" t="str">
            <v>3412</v>
          </cell>
          <cell r="O3643" t="str">
            <v>1122</v>
          </cell>
        </row>
        <row r="3644">
          <cell r="D3644" t="str">
            <v>GBN</v>
          </cell>
          <cell r="N3644" t="str">
            <v>635</v>
          </cell>
          <cell r="O3644" t="str">
            <v>1122</v>
          </cell>
        </row>
        <row r="3645">
          <cell r="D3645" t="str">
            <v>CTGS</v>
          </cell>
          <cell r="N3645" t="str">
            <v>635</v>
          </cell>
          <cell r="O3645" t="str">
            <v>3412</v>
          </cell>
        </row>
        <row r="3646">
          <cell r="D3646" t="str">
            <v>GBN</v>
          </cell>
          <cell r="N3646" t="str">
            <v>1121</v>
          </cell>
          <cell r="O3646" t="str">
            <v>1122</v>
          </cell>
        </row>
        <row r="3647">
          <cell r="D3647" t="str">
            <v>GBC</v>
          </cell>
          <cell r="N3647" t="str">
            <v>1122</v>
          </cell>
          <cell r="O3647" t="str">
            <v>1122</v>
          </cell>
        </row>
        <row r="3648">
          <cell r="D3648" t="str">
            <v>GBN</v>
          </cell>
          <cell r="N3648" t="str">
            <v>635</v>
          </cell>
          <cell r="O3648" t="str">
            <v>1122</v>
          </cell>
        </row>
        <row r="3649">
          <cell r="D3649" t="str">
            <v>GBN</v>
          </cell>
          <cell r="N3649" t="str">
            <v>3412</v>
          </cell>
          <cell r="O3649" t="str">
            <v>1122</v>
          </cell>
        </row>
        <row r="3650">
          <cell r="D3650" t="str">
            <v>GBC</v>
          </cell>
          <cell r="N3650" t="str">
            <v>1122</v>
          </cell>
          <cell r="O3650" t="str">
            <v>3412</v>
          </cell>
        </row>
        <row r="3651">
          <cell r="D3651" t="str">
            <v>GBN</v>
          </cell>
          <cell r="N3651" t="str">
            <v>3412</v>
          </cell>
          <cell r="O3651" t="str">
            <v>1122</v>
          </cell>
        </row>
        <row r="3652">
          <cell r="D3652" t="str">
            <v>GBN</v>
          </cell>
          <cell r="N3652" t="str">
            <v>3412</v>
          </cell>
          <cell r="O3652" t="str">
            <v>1122</v>
          </cell>
        </row>
        <row r="3653">
          <cell r="D3653" t="str">
            <v>CTGS</v>
          </cell>
          <cell r="N3653" t="str">
            <v>635</v>
          </cell>
          <cell r="O3653" t="str">
            <v>3412</v>
          </cell>
        </row>
        <row r="3654">
          <cell r="D3654" t="str">
            <v>GBN</v>
          </cell>
          <cell r="N3654" t="str">
            <v>1122</v>
          </cell>
          <cell r="O3654" t="str">
            <v>3412</v>
          </cell>
        </row>
        <row r="3655">
          <cell r="D3655" t="str">
            <v>GBN</v>
          </cell>
          <cell r="N3655" t="str">
            <v>331</v>
          </cell>
          <cell r="O3655" t="str">
            <v>1122</v>
          </cell>
        </row>
        <row r="3656">
          <cell r="D3656" t="str">
            <v>CTGS</v>
          </cell>
          <cell r="N3656" t="str">
            <v>635</v>
          </cell>
          <cell r="O3656" t="str">
            <v>331</v>
          </cell>
        </row>
        <row r="3657">
          <cell r="D3657" t="str">
            <v>GBN</v>
          </cell>
          <cell r="N3657" t="str">
            <v>1121</v>
          </cell>
          <cell r="O3657" t="str">
            <v>1122</v>
          </cell>
        </row>
        <row r="3658">
          <cell r="D3658" t="str">
            <v>GBN</v>
          </cell>
          <cell r="N3658" t="str">
            <v>1121</v>
          </cell>
          <cell r="O3658" t="str">
            <v>1122</v>
          </cell>
        </row>
        <row r="3659">
          <cell r="D3659" t="str">
            <v>GBC</v>
          </cell>
          <cell r="N3659" t="str">
            <v>1122</v>
          </cell>
          <cell r="O3659" t="str">
            <v>131</v>
          </cell>
        </row>
        <row r="3660">
          <cell r="D3660" t="str">
            <v>GBC</v>
          </cell>
          <cell r="N3660" t="str">
            <v>642</v>
          </cell>
          <cell r="O3660" t="str">
            <v>131</v>
          </cell>
        </row>
        <row r="3661">
          <cell r="D3661" t="str">
            <v>GBC</v>
          </cell>
          <cell r="N3661" t="str">
            <v>1122</v>
          </cell>
          <cell r="O3661" t="str">
            <v>131</v>
          </cell>
        </row>
        <row r="3662">
          <cell r="D3662" t="str">
            <v>CTGS</v>
          </cell>
          <cell r="N3662" t="str">
            <v>642</v>
          </cell>
          <cell r="O3662" t="str">
            <v>131</v>
          </cell>
        </row>
        <row r="3663">
          <cell r="D3663" t="str">
            <v>GBN</v>
          </cell>
          <cell r="N3663" t="str">
            <v>3412</v>
          </cell>
          <cell r="O3663" t="str">
            <v>1122</v>
          </cell>
        </row>
        <row r="3664">
          <cell r="D3664" t="str">
            <v>GBN</v>
          </cell>
          <cell r="N3664" t="str">
            <v>635</v>
          </cell>
          <cell r="O3664" t="str">
            <v>1122</v>
          </cell>
        </row>
        <row r="3665">
          <cell r="D3665" t="str">
            <v>GBN</v>
          </cell>
          <cell r="N3665" t="str">
            <v>635</v>
          </cell>
          <cell r="O3665" t="str">
            <v>1122</v>
          </cell>
        </row>
        <row r="3666">
          <cell r="D3666" t="str">
            <v>GBN</v>
          </cell>
          <cell r="N3666" t="str">
            <v>635</v>
          </cell>
          <cell r="O3666" t="str">
            <v>1122</v>
          </cell>
        </row>
        <row r="3667">
          <cell r="D3667" t="str">
            <v>GBN</v>
          </cell>
          <cell r="N3667" t="str">
            <v>635</v>
          </cell>
          <cell r="O3667" t="str">
            <v>1122</v>
          </cell>
        </row>
        <row r="3668">
          <cell r="D3668" t="str">
            <v>GBN</v>
          </cell>
          <cell r="N3668" t="str">
            <v>635</v>
          </cell>
          <cell r="O3668" t="str">
            <v>1122</v>
          </cell>
        </row>
        <row r="3669">
          <cell r="D3669" t="str">
            <v>GBN</v>
          </cell>
          <cell r="N3669" t="str">
            <v>635</v>
          </cell>
          <cell r="O3669" t="str">
            <v>1122</v>
          </cell>
        </row>
        <row r="3670">
          <cell r="D3670" t="str">
            <v>GBN</v>
          </cell>
          <cell r="N3670" t="str">
            <v>635</v>
          </cell>
          <cell r="O3670" t="str">
            <v>1122</v>
          </cell>
        </row>
        <row r="3671">
          <cell r="D3671" t="str">
            <v>GBN</v>
          </cell>
          <cell r="N3671" t="str">
            <v>635</v>
          </cell>
          <cell r="O3671" t="str">
            <v>1122</v>
          </cell>
        </row>
        <row r="3672">
          <cell r="D3672" t="str">
            <v>GBN</v>
          </cell>
          <cell r="N3672" t="str">
            <v>635</v>
          </cell>
          <cell r="O3672" t="str">
            <v>1122</v>
          </cell>
        </row>
        <row r="3673">
          <cell r="D3673" t="str">
            <v>GBN</v>
          </cell>
          <cell r="N3673" t="str">
            <v>635</v>
          </cell>
          <cell r="O3673" t="str">
            <v>1122</v>
          </cell>
        </row>
        <row r="3674">
          <cell r="D3674" t="str">
            <v>GBN</v>
          </cell>
          <cell r="N3674" t="str">
            <v>635</v>
          </cell>
          <cell r="O3674" t="str">
            <v>1122</v>
          </cell>
        </row>
        <row r="3675">
          <cell r="D3675" t="str">
            <v>GBN</v>
          </cell>
          <cell r="N3675" t="str">
            <v>635</v>
          </cell>
          <cell r="O3675" t="str">
            <v>1122</v>
          </cell>
        </row>
        <row r="3676">
          <cell r="D3676" t="str">
            <v>GBN</v>
          </cell>
          <cell r="N3676" t="str">
            <v>635</v>
          </cell>
          <cell r="O3676" t="str">
            <v>1122</v>
          </cell>
        </row>
        <row r="3677">
          <cell r="D3677" t="str">
            <v>GBN</v>
          </cell>
          <cell r="N3677" t="str">
            <v>642</v>
          </cell>
          <cell r="O3677" t="str">
            <v>1122</v>
          </cell>
        </row>
        <row r="3678">
          <cell r="D3678" t="str">
            <v>GBC</v>
          </cell>
          <cell r="N3678" t="str">
            <v>1122</v>
          </cell>
          <cell r="O3678" t="str">
            <v>131</v>
          </cell>
        </row>
        <row r="3679">
          <cell r="D3679" t="str">
            <v>CTGS</v>
          </cell>
          <cell r="N3679" t="str">
            <v>642</v>
          </cell>
          <cell r="O3679" t="str">
            <v>131</v>
          </cell>
        </row>
        <row r="3680">
          <cell r="D3680" t="str">
            <v>CTGS</v>
          </cell>
          <cell r="N3680" t="str">
            <v>131</v>
          </cell>
          <cell r="O3680" t="str">
            <v>515</v>
          </cell>
        </row>
        <row r="3681">
          <cell r="D3681" t="str">
            <v>GBN</v>
          </cell>
          <cell r="N3681" t="str">
            <v>3412</v>
          </cell>
          <cell r="O3681" t="str">
            <v>1122</v>
          </cell>
        </row>
        <row r="3682">
          <cell r="D3682" t="str">
            <v>GBN</v>
          </cell>
          <cell r="N3682" t="str">
            <v>635</v>
          </cell>
          <cell r="O3682" t="str">
            <v>1122</v>
          </cell>
        </row>
        <row r="3683">
          <cell r="D3683" t="str">
            <v>CTGS</v>
          </cell>
          <cell r="N3683" t="str">
            <v>3412</v>
          </cell>
          <cell r="O3683" t="str">
            <v>515</v>
          </cell>
        </row>
        <row r="3684">
          <cell r="D3684" t="str">
            <v>GBC</v>
          </cell>
          <cell r="N3684" t="str">
            <v>1122</v>
          </cell>
          <cell r="O3684" t="str">
            <v>131</v>
          </cell>
        </row>
        <row r="3685">
          <cell r="D3685" t="str">
            <v>CTGS</v>
          </cell>
          <cell r="N3685" t="str">
            <v>642</v>
          </cell>
          <cell r="O3685" t="str">
            <v>131</v>
          </cell>
        </row>
        <row r="3686">
          <cell r="D3686" t="str">
            <v>GBN</v>
          </cell>
          <cell r="N3686" t="str">
            <v>1121</v>
          </cell>
          <cell r="O3686" t="str">
            <v>1122</v>
          </cell>
        </row>
        <row r="3687">
          <cell r="D3687" t="str">
            <v>GBN</v>
          </cell>
          <cell r="N3687" t="str">
            <v>1121</v>
          </cell>
          <cell r="O3687" t="str">
            <v>1122</v>
          </cell>
        </row>
        <row r="3688">
          <cell r="D3688" t="str">
            <v>GBC</v>
          </cell>
          <cell r="N3688" t="str">
            <v>1122</v>
          </cell>
          <cell r="O3688" t="str">
            <v>131</v>
          </cell>
        </row>
        <row r="3689">
          <cell r="D3689" t="str">
            <v>CTGS</v>
          </cell>
          <cell r="N3689" t="str">
            <v>642</v>
          </cell>
          <cell r="O3689" t="str">
            <v>131</v>
          </cell>
        </row>
        <row r="3690">
          <cell r="D3690" t="str">
            <v>CTGS</v>
          </cell>
          <cell r="N3690" t="str">
            <v>131</v>
          </cell>
          <cell r="O3690" t="str">
            <v>515</v>
          </cell>
        </row>
        <row r="3691">
          <cell r="D3691" t="str">
            <v>GBN</v>
          </cell>
          <cell r="N3691" t="str">
            <v>635</v>
          </cell>
          <cell r="O3691" t="str">
            <v>1122</v>
          </cell>
        </row>
        <row r="3692">
          <cell r="D3692" t="str">
            <v>GBN</v>
          </cell>
          <cell r="N3692" t="str">
            <v>3412</v>
          </cell>
          <cell r="O3692" t="str">
            <v>1122</v>
          </cell>
        </row>
        <row r="3693">
          <cell r="D3693" t="str">
            <v>CTGS</v>
          </cell>
          <cell r="N3693" t="str">
            <v>635</v>
          </cell>
          <cell r="O3693" t="str">
            <v>3412</v>
          </cell>
        </row>
        <row r="3694">
          <cell r="D3694" t="str">
            <v>GBC</v>
          </cell>
          <cell r="N3694" t="str">
            <v>1122</v>
          </cell>
          <cell r="O3694" t="str">
            <v>131</v>
          </cell>
        </row>
        <row r="3695">
          <cell r="D3695" t="str">
            <v>CTGS</v>
          </cell>
          <cell r="N3695" t="str">
            <v>642</v>
          </cell>
          <cell r="O3695" t="str">
            <v>131</v>
          </cell>
        </row>
        <row r="3696">
          <cell r="D3696" t="str">
            <v>CTGS</v>
          </cell>
          <cell r="N3696" t="str">
            <v>635</v>
          </cell>
          <cell r="O3696" t="str">
            <v>131</v>
          </cell>
        </row>
        <row r="3697">
          <cell r="D3697" t="str">
            <v>GBN</v>
          </cell>
          <cell r="N3697" t="str">
            <v>3412</v>
          </cell>
          <cell r="O3697" t="str">
            <v>1122</v>
          </cell>
        </row>
        <row r="3698">
          <cell r="D3698" t="str">
            <v>GBN</v>
          </cell>
          <cell r="N3698" t="str">
            <v>635</v>
          </cell>
          <cell r="O3698" t="str">
            <v>1122</v>
          </cell>
        </row>
        <row r="3699">
          <cell r="D3699" t="str">
            <v>GBN</v>
          </cell>
          <cell r="N3699" t="str">
            <v>635</v>
          </cell>
          <cell r="O3699" t="str">
            <v>3412</v>
          </cell>
        </row>
        <row r="3700">
          <cell r="D3700" t="str">
            <v>GBN</v>
          </cell>
          <cell r="N3700" t="str">
            <v>642</v>
          </cell>
          <cell r="O3700" t="str">
            <v>1122</v>
          </cell>
        </row>
        <row r="3701">
          <cell r="D3701" t="str">
            <v>GBN</v>
          </cell>
          <cell r="N3701" t="str">
            <v>1331</v>
          </cell>
          <cell r="O3701" t="str">
            <v>1122</v>
          </cell>
        </row>
        <row r="3702">
          <cell r="D3702" t="str">
            <v>GBN</v>
          </cell>
          <cell r="N3702" t="str">
            <v>1122</v>
          </cell>
          <cell r="O3702" t="str">
            <v>3412</v>
          </cell>
        </row>
        <row r="3703">
          <cell r="D3703" t="str">
            <v>GBN</v>
          </cell>
          <cell r="N3703" t="str">
            <v>3412</v>
          </cell>
          <cell r="O3703" t="str">
            <v>1122</v>
          </cell>
        </row>
        <row r="3704">
          <cell r="D3704" t="str">
            <v>GBN</v>
          </cell>
          <cell r="N3704" t="str">
            <v>635</v>
          </cell>
          <cell r="O3704" t="str">
            <v>3412</v>
          </cell>
        </row>
        <row r="3705">
          <cell r="D3705" t="str">
            <v>GBN</v>
          </cell>
          <cell r="N3705" t="str">
            <v>635</v>
          </cell>
          <cell r="O3705" t="str">
            <v>1122</v>
          </cell>
        </row>
        <row r="3706">
          <cell r="D3706" t="str">
            <v>GBC</v>
          </cell>
          <cell r="N3706" t="str">
            <v>1122</v>
          </cell>
          <cell r="O3706" t="str">
            <v>131</v>
          </cell>
        </row>
        <row r="3707">
          <cell r="D3707" t="str">
            <v>CTGS</v>
          </cell>
          <cell r="N3707" t="str">
            <v>642</v>
          </cell>
          <cell r="O3707" t="str">
            <v>131</v>
          </cell>
        </row>
        <row r="3708">
          <cell r="D3708" t="str">
            <v>GBN</v>
          </cell>
          <cell r="N3708" t="str">
            <v>1121</v>
          </cell>
          <cell r="O3708" t="str">
            <v>1122</v>
          </cell>
        </row>
        <row r="3709">
          <cell r="D3709" t="str">
            <v>GBC</v>
          </cell>
          <cell r="N3709" t="str">
            <v>1122</v>
          </cell>
          <cell r="O3709" t="str">
            <v>131</v>
          </cell>
        </row>
        <row r="3710">
          <cell r="D3710" t="str">
            <v>CTGS</v>
          </cell>
          <cell r="N3710" t="str">
            <v>642</v>
          </cell>
          <cell r="O3710" t="str">
            <v>131</v>
          </cell>
        </row>
        <row r="3711">
          <cell r="D3711" t="str">
            <v>CTGS</v>
          </cell>
          <cell r="N3711" t="str">
            <v>131</v>
          </cell>
          <cell r="O3711" t="str">
            <v>515</v>
          </cell>
        </row>
        <row r="3712">
          <cell r="D3712" t="str">
            <v>GBN</v>
          </cell>
          <cell r="N3712" t="str">
            <v>635</v>
          </cell>
          <cell r="O3712" t="str">
            <v>1122</v>
          </cell>
        </row>
        <row r="3713">
          <cell r="D3713" t="str">
            <v>GBN</v>
          </cell>
          <cell r="N3713" t="str">
            <v>635</v>
          </cell>
          <cell r="O3713" t="str">
            <v>1122</v>
          </cell>
        </row>
        <row r="3714">
          <cell r="D3714" t="str">
            <v>GBN</v>
          </cell>
          <cell r="N3714" t="str">
            <v>635</v>
          </cell>
          <cell r="O3714" t="str">
            <v>1122</v>
          </cell>
        </row>
        <row r="3715">
          <cell r="D3715" t="str">
            <v>GBN</v>
          </cell>
          <cell r="N3715" t="str">
            <v>635</v>
          </cell>
          <cell r="O3715" t="str">
            <v>1122</v>
          </cell>
        </row>
        <row r="3716">
          <cell r="D3716" t="str">
            <v>GBC</v>
          </cell>
          <cell r="N3716" t="str">
            <v>1122</v>
          </cell>
          <cell r="O3716" t="str">
            <v>131</v>
          </cell>
        </row>
        <row r="3717">
          <cell r="D3717" t="str">
            <v>CTGS</v>
          </cell>
          <cell r="N3717" t="str">
            <v>642</v>
          </cell>
          <cell r="O3717" t="str">
            <v>131</v>
          </cell>
        </row>
        <row r="3718">
          <cell r="D3718" t="str">
            <v>CTGS</v>
          </cell>
          <cell r="N3718" t="str">
            <v>131</v>
          </cell>
          <cell r="O3718" t="str">
            <v>515</v>
          </cell>
        </row>
        <row r="3719">
          <cell r="D3719" t="str">
            <v>GBN</v>
          </cell>
          <cell r="N3719" t="str">
            <v>635</v>
          </cell>
          <cell r="O3719" t="str">
            <v>1122</v>
          </cell>
        </row>
        <row r="3720">
          <cell r="D3720" t="str">
            <v>GBN</v>
          </cell>
          <cell r="N3720" t="str">
            <v>3412</v>
          </cell>
          <cell r="O3720" t="str">
            <v>1122</v>
          </cell>
        </row>
        <row r="3721">
          <cell r="D3721" t="str">
            <v>GBN</v>
          </cell>
          <cell r="N3721" t="str">
            <v>635</v>
          </cell>
          <cell r="O3721" t="str">
            <v>1122</v>
          </cell>
        </row>
        <row r="3722">
          <cell r="D3722" t="str">
            <v>CTGS</v>
          </cell>
          <cell r="N3722" t="str">
            <v>635</v>
          </cell>
          <cell r="O3722" t="str">
            <v>3412</v>
          </cell>
        </row>
        <row r="3723">
          <cell r="D3723" t="str">
            <v>GBN</v>
          </cell>
          <cell r="N3723" t="str">
            <v>635</v>
          </cell>
          <cell r="O3723" t="str">
            <v>1122</v>
          </cell>
        </row>
        <row r="3724">
          <cell r="D3724" t="str">
            <v>GBN</v>
          </cell>
          <cell r="N3724" t="str">
            <v>635</v>
          </cell>
          <cell r="O3724" t="str">
            <v>1122</v>
          </cell>
        </row>
        <row r="3725">
          <cell r="D3725" t="str">
            <v>GBN</v>
          </cell>
          <cell r="N3725" t="str">
            <v>635</v>
          </cell>
          <cell r="O3725" t="str">
            <v>1122</v>
          </cell>
        </row>
        <row r="3726">
          <cell r="D3726" t="str">
            <v>GBN</v>
          </cell>
          <cell r="N3726" t="str">
            <v>635</v>
          </cell>
          <cell r="O3726" t="str">
            <v>1122</v>
          </cell>
        </row>
        <row r="3727">
          <cell r="D3727" t="str">
            <v>GBN</v>
          </cell>
          <cell r="N3727" t="str">
            <v>635</v>
          </cell>
          <cell r="O3727" t="str">
            <v>1122</v>
          </cell>
        </row>
        <row r="3728">
          <cell r="D3728" t="str">
            <v>GBN</v>
          </cell>
          <cell r="N3728" t="str">
            <v>635</v>
          </cell>
          <cell r="O3728" t="str">
            <v>1122</v>
          </cell>
        </row>
        <row r="3729">
          <cell r="D3729" t="str">
            <v>GBN</v>
          </cell>
          <cell r="N3729" t="str">
            <v>635</v>
          </cell>
          <cell r="O3729" t="str">
            <v>1122</v>
          </cell>
        </row>
        <row r="3730">
          <cell r="D3730" t="str">
            <v>GBN</v>
          </cell>
          <cell r="N3730" t="str">
            <v>635</v>
          </cell>
          <cell r="O3730" t="str">
            <v>1122</v>
          </cell>
        </row>
        <row r="3731">
          <cell r="D3731" t="str">
            <v>GBN</v>
          </cell>
          <cell r="N3731" t="str">
            <v>635</v>
          </cell>
          <cell r="O3731" t="str">
            <v>1122</v>
          </cell>
        </row>
        <row r="3732">
          <cell r="D3732" t="str">
            <v>GBC</v>
          </cell>
          <cell r="N3732" t="str">
            <v>1122</v>
          </cell>
          <cell r="O3732" t="str">
            <v>131</v>
          </cell>
        </row>
        <row r="3733">
          <cell r="D3733" t="str">
            <v>CTGS</v>
          </cell>
          <cell r="N3733" t="str">
            <v>642</v>
          </cell>
          <cell r="O3733" t="str">
            <v>131</v>
          </cell>
        </row>
        <row r="3734">
          <cell r="D3734" t="str">
            <v>CTGS</v>
          </cell>
          <cell r="N3734" t="str">
            <v>131</v>
          </cell>
          <cell r="O3734" t="str">
            <v>515</v>
          </cell>
        </row>
        <row r="3735">
          <cell r="D3735" t="str">
            <v>GBN</v>
          </cell>
          <cell r="N3735" t="str">
            <v>635</v>
          </cell>
          <cell r="O3735" t="str">
            <v>1122</v>
          </cell>
        </row>
        <row r="3736">
          <cell r="D3736" t="str">
            <v>GBN</v>
          </cell>
          <cell r="N3736" t="str">
            <v>3412</v>
          </cell>
          <cell r="O3736" t="str">
            <v>1122</v>
          </cell>
        </row>
        <row r="3737">
          <cell r="D3737" t="str">
            <v>GBC</v>
          </cell>
          <cell r="N3737" t="str">
            <v>1122</v>
          </cell>
          <cell r="O3737" t="str">
            <v>131</v>
          </cell>
        </row>
        <row r="3738">
          <cell r="D3738" t="str">
            <v>CTGS</v>
          </cell>
          <cell r="N3738" t="str">
            <v>642</v>
          </cell>
          <cell r="O3738" t="str">
            <v>131</v>
          </cell>
        </row>
        <row r="3739">
          <cell r="D3739" t="str">
            <v>CTGS</v>
          </cell>
          <cell r="N3739" t="str">
            <v>131</v>
          </cell>
          <cell r="O3739" t="str">
            <v>515</v>
          </cell>
        </row>
        <row r="3740">
          <cell r="D3740" t="str">
            <v>GBN</v>
          </cell>
          <cell r="N3740" t="str">
            <v>635</v>
          </cell>
          <cell r="O3740" t="str">
            <v>1122</v>
          </cell>
        </row>
        <row r="3741">
          <cell r="D3741" t="str">
            <v>GBN</v>
          </cell>
          <cell r="N3741" t="str">
            <v>3412</v>
          </cell>
          <cell r="O3741" t="str">
            <v>1122</v>
          </cell>
        </row>
        <row r="3742">
          <cell r="D3742" t="str">
            <v>CTGS</v>
          </cell>
          <cell r="N3742" t="str">
            <v>635</v>
          </cell>
          <cell r="O3742" t="str">
            <v>3412</v>
          </cell>
        </row>
        <row r="3743">
          <cell r="D3743" t="str">
            <v>GBN</v>
          </cell>
          <cell r="N3743" t="str">
            <v>1121</v>
          </cell>
          <cell r="O3743" t="str">
            <v>1122</v>
          </cell>
        </row>
        <row r="3744">
          <cell r="D3744" t="str">
            <v>GBN</v>
          </cell>
          <cell r="N3744" t="str">
            <v>1121</v>
          </cell>
          <cell r="O3744" t="str">
            <v>1122</v>
          </cell>
        </row>
        <row r="3745">
          <cell r="D3745" t="str">
            <v>GBC</v>
          </cell>
          <cell r="N3745" t="str">
            <v>1122</v>
          </cell>
          <cell r="O3745" t="str">
            <v>131</v>
          </cell>
        </row>
        <row r="3746">
          <cell r="D3746" t="str">
            <v>CTGS</v>
          </cell>
          <cell r="N3746" t="str">
            <v>642</v>
          </cell>
          <cell r="O3746" t="str">
            <v>131</v>
          </cell>
        </row>
        <row r="3747">
          <cell r="D3747" t="str">
            <v>GBC</v>
          </cell>
          <cell r="N3747" t="str">
            <v>1122</v>
          </cell>
          <cell r="O3747" t="str">
            <v>131</v>
          </cell>
        </row>
        <row r="3748">
          <cell r="D3748" t="str">
            <v>CTGS</v>
          </cell>
          <cell r="N3748" t="str">
            <v>642</v>
          </cell>
          <cell r="O3748" t="str">
            <v>131</v>
          </cell>
        </row>
        <row r="3749">
          <cell r="D3749" t="str">
            <v>CTGS</v>
          </cell>
          <cell r="N3749" t="str">
            <v>131</v>
          </cell>
          <cell r="O3749" t="str">
            <v>515</v>
          </cell>
        </row>
        <row r="3750">
          <cell r="D3750" t="str">
            <v>GBN</v>
          </cell>
          <cell r="N3750" t="str">
            <v>3412</v>
          </cell>
          <cell r="O3750" t="str">
            <v>1122</v>
          </cell>
        </row>
        <row r="3751">
          <cell r="D3751" t="str">
            <v>GBN</v>
          </cell>
          <cell r="N3751" t="str">
            <v>1121</v>
          </cell>
          <cell r="O3751" t="str">
            <v>1122</v>
          </cell>
        </row>
        <row r="3752">
          <cell r="D3752" t="str">
            <v>GBC</v>
          </cell>
          <cell r="N3752" t="str">
            <v>1122</v>
          </cell>
          <cell r="O3752" t="str">
            <v>3412</v>
          </cell>
        </row>
        <row r="3753">
          <cell r="D3753" t="str">
            <v>GBN</v>
          </cell>
          <cell r="N3753" t="str">
            <v>635</v>
          </cell>
          <cell r="O3753" t="str">
            <v>1122</v>
          </cell>
        </row>
        <row r="3754">
          <cell r="D3754" t="str">
            <v>GBN</v>
          </cell>
          <cell r="N3754" t="str">
            <v>3412</v>
          </cell>
          <cell r="O3754" t="str">
            <v>1122</v>
          </cell>
        </row>
        <row r="3755">
          <cell r="D3755" t="str">
            <v>CTGS</v>
          </cell>
          <cell r="N3755" t="str">
            <v>3412</v>
          </cell>
          <cell r="O3755" t="str">
            <v>515</v>
          </cell>
        </row>
        <row r="3756">
          <cell r="D3756" t="str">
            <v>GBN</v>
          </cell>
          <cell r="N3756" t="str">
            <v>3412</v>
          </cell>
          <cell r="O3756" t="str">
            <v>1122</v>
          </cell>
        </row>
        <row r="3757">
          <cell r="D3757" t="str">
            <v>GBN</v>
          </cell>
          <cell r="N3757" t="str">
            <v>3412</v>
          </cell>
          <cell r="O3757" t="str">
            <v>1122</v>
          </cell>
        </row>
        <row r="3758">
          <cell r="D3758" t="str">
            <v>GBC</v>
          </cell>
          <cell r="N3758" t="str">
            <v>1122</v>
          </cell>
          <cell r="O3758" t="str">
            <v>131</v>
          </cell>
        </row>
        <row r="3759">
          <cell r="D3759" t="str">
            <v>GBN</v>
          </cell>
          <cell r="N3759" t="str">
            <v>642</v>
          </cell>
          <cell r="O3759" t="str">
            <v>131</v>
          </cell>
        </row>
        <row r="3760">
          <cell r="D3760" t="str">
            <v>GBN</v>
          </cell>
          <cell r="N3760" t="str">
            <v>1121</v>
          </cell>
          <cell r="O3760" t="str">
            <v>1122</v>
          </cell>
        </row>
        <row r="3761">
          <cell r="D3761" t="str">
            <v>GBC</v>
          </cell>
          <cell r="N3761" t="str">
            <v>1122</v>
          </cell>
          <cell r="O3761" t="str">
            <v>131</v>
          </cell>
        </row>
        <row r="3762">
          <cell r="D3762" t="str">
            <v>CTGS</v>
          </cell>
          <cell r="N3762" t="str">
            <v>642</v>
          </cell>
          <cell r="O3762" t="str">
            <v>131</v>
          </cell>
        </row>
        <row r="3763">
          <cell r="D3763" t="str">
            <v>CTGS</v>
          </cell>
          <cell r="N3763" t="str">
            <v>635</v>
          </cell>
          <cell r="O3763" t="str">
            <v>131</v>
          </cell>
        </row>
        <row r="3764">
          <cell r="D3764" t="str">
            <v>GBC</v>
          </cell>
          <cell r="N3764" t="str">
            <v>1122</v>
          </cell>
          <cell r="O3764" t="str">
            <v>131</v>
          </cell>
        </row>
        <row r="3765">
          <cell r="D3765" t="str">
            <v>CTGS</v>
          </cell>
          <cell r="N3765" t="str">
            <v>642</v>
          </cell>
          <cell r="O3765" t="str">
            <v>131</v>
          </cell>
        </row>
        <row r="3766">
          <cell r="D3766" t="str">
            <v>CTGS</v>
          </cell>
          <cell r="N3766" t="str">
            <v>131</v>
          </cell>
          <cell r="O3766" t="str">
            <v>515</v>
          </cell>
        </row>
        <row r="3767">
          <cell r="D3767" t="str">
            <v>GBN</v>
          </cell>
          <cell r="N3767" t="str">
            <v>642</v>
          </cell>
          <cell r="O3767" t="str">
            <v>1122</v>
          </cell>
        </row>
        <row r="3768">
          <cell r="D3768" t="str">
            <v>GBN</v>
          </cell>
          <cell r="N3768" t="str">
            <v>1331</v>
          </cell>
          <cell r="O3768" t="str">
            <v>1122</v>
          </cell>
        </row>
        <row r="3769">
          <cell r="D3769" t="str">
            <v>GBN</v>
          </cell>
          <cell r="N3769" t="str">
            <v>642</v>
          </cell>
          <cell r="O3769" t="str">
            <v>1122</v>
          </cell>
        </row>
        <row r="3770">
          <cell r="D3770" t="str">
            <v>GBN</v>
          </cell>
          <cell r="N3770" t="str">
            <v>1331</v>
          </cell>
          <cell r="O3770" t="str">
            <v>1122</v>
          </cell>
        </row>
        <row r="3771">
          <cell r="D3771" t="str">
            <v>GBN</v>
          </cell>
          <cell r="N3771" t="str">
            <v>642</v>
          </cell>
          <cell r="O3771" t="str">
            <v>1122</v>
          </cell>
        </row>
        <row r="3772">
          <cell r="D3772" t="str">
            <v>GBN</v>
          </cell>
          <cell r="N3772" t="str">
            <v>1331</v>
          </cell>
          <cell r="O3772" t="str">
            <v>1122</v>
          </cell>
        </row>
        <row r="3773">
          <cell r="D3773" t="str">
            <v>GBN</v>
          </cell>
          <cell r="N3773" t="str">
            <v>635</v>
          </cell>
          <cell r="O3773" t="str">
            <v>1122</v>
          </cell>
        </row>
        <row r="3774">
          <cell r="D3774" t="str">
            <v>GBN</v>
          </cell>
          <cell r="N3774" t="str">
            <v>635</v>
          </cell>
          <cell r="O3774" t="str">
            <v>1122</v>
          </cell>
        </row>
        <row r="3775">
          <cell r="D3775" t="str">
            <v>GBN</v>
          </cell>
          <cell r="N3775" t="str">
            <v>635</v>
          </cell>
          <cell r="O3775" t="str">
            <v>1122</v>
          </cell>
        </row>
        <row r="3776">
          <cell r="D3776" t="str">
            <v>GBN</v>
          </cell>
          <cell r="N3776" t="str">
            <v>3412</v>
          </cell>
          <cell r="O3776" t="str">
            <v>1122</v>
          </cell>
        </row>
        <row r="3777">
          <cell r="D3777" t="str">
            <v>CTGS</v>
          </cell>
          <cell r="N3777" t="str">
            <v>635</v>
          </cell>
          <cell r="O3777" t="str">
            <v>3412</v>
          </cell>
        </row>
        <row r="3778">
          <cell r="D3778" t="str">
            <v>GBN</v>
          </cell>
          <cell r="N3778" t="str">
            <v>635</v>
          </cell>
          <cell r="O3778" t="str">
            <v>1122</v>
          </cell>
        </row>
        <row r="3779">
          <cell r="D3779" t="str">
            <v>GBN</v>
          </cell>
          <cell r="N3779" t="str">
            <v>3412</v>
          </cell>
          <cell r="O3779" t="str">
            <v>1122</v>
          </cell>
        </row>
        <row r="3780">
          <cell r="D3780" t="str">
            <v>CTGS</v>
          </cell>
          <cell r="N3780" t="str">
            <v>635</v>
          </cell>
          <cell r="O3780" t="str">
            <v>3412</v>
          </cell>
        </row>
        <row r="3781">
          <cell r="D3781" t="str">
            <v>GBN</v>
          </cell>
          <cell r="N3781" t="str">
            <v>635</v>
          </cell>
          <cell r="O3781" t="str">
            <v>1122</v>
          </cell>
        </row>
        <row r="3782">
          <cell r="D3782" t="str">
            <v>GBN</v>
          </cell>
          <cell r="N3782" t="str">
            <v>3412</v>
          </cell>
          <cell r="O3782" t="str">
            <v>1122</v>
          </cell>
        </row>
        <row r="3783">
          <cell r="D3783" t="str">
            <v>CTGS</v>
          </cell>
          <cell r="N3783" t="str">
            <v>3412</v>
          </cell>
          <cell r="O3783" t="str">
            <v>515</v>
          </cell>
        </row>
        <row r="3784">
          <cell r="D3784" t="str">
            <v>GBN</v>
          </cell>
          <cell r="N3784" t="str">
            <v>635</v>
          </cell>
          <cell r="O3784" t="str">
            <v>1122</v>
          </cell>
        </row>
        <row r="3785">
          <cell r="D3785" t="str">
            <v>GBN</v>
          </cell>
          <cell r="N3785" t="str">
            <v>635</v>
          </cell>
          <cell r="O3785" t="str">
            <v>1122</v>
          </cell>
        </row>
        <row r="3786">
          <cell r="D3786" t="str">
            <v>GBN</v>
          </cell>
          <cell r="N3786" t="str">
            <v>635</v>
          </cell>
          <cell r="O3786" t="str">
            <v>1122</v>
          </cell>
        </row>
        <row r="3787">
          <cell r="D3787" t="str">
            <v>GBN</v>
          </cell>
          <cell r="N3787" t="str">
            <v>635</v>
          </cell>
          <cell r="O3787" t="str">
            <v>1122</v>
          </cell>
        </row>
        <row r="3788">
          <cell r="D3788" t="str">
            <v>GBN</v>
          </cell>
          <cell r="N3788" t="str">
            <v>635</v>
          </cell>
          <cell r="O3788" t="str">
            <v>1122</v>
          </cell>
        </row>
        <row r="3789">
          <cell r="D3789" t="str">
            <v>GBN</v>
          </cell>
          <cell r="N3789" t="str">
            <v>635</v>
          </cell>
          <cell r="O3789" t="str">
            <v>1122</v>
          </cell>
        </row>
        <row r="3790">
          <cell r="D3790" t="str">
            <v>GBN</v>
          </cell>
          <cell r="N3790" t="str">
            <v>635</v>
          </cell>
          <cell r="O3790" t="str">
            <v>1122</v>
          </cell>
        </row>
        <row r="3791">
          <cell r="D3791" t="str">
            <v>GBN</v>
          </cell>
          <cell r="N3791" t="str">
            <v>635</v>
          </cell>
          <cell r="O3791" t="str">
            <v>1122</v>
          </cell>
        </row>
        <row r="3792">
          <cell r="D3792" t="str">
            <v>GBN</v>
          </cell>
          <cell r="N3792" t="str">
            <v>635</v>
          </cell>
          <cell r="O3792" t="str">
            <v>1122</v>
          </cell>
        </row>
        <row r="3793">
          <cell r="D3793" t="str">
            <v>GBN</v>
          </cell>
          <cell r="N3793" t="str">
            <v>635</v>
          </cell>
          <cell r="O3793" t="str">
            <v>1122</v>
          </cell>
        </row>
        <row r="3794">
          <cell r="D3794" t="str">
            <v>GBN</v>
          </cell>
          <cell r="N3794" t="str">
            <v>635</v>
          </cell>
          <cell r="O3794" t="str">
            <v>1122</v>
          </cell>
        </row>
        <row r="3795">
          <cell r="D3795" t="str">
            <v>GBN</v>
          </cell>
          <cell r="N3795" t="str">
            <v>635</v>
          </cell>
          <cell r="O3795" t="str">
            <v>1122</v>
          </cell>
        </row>
        <row r="3796">
          <cell r="D3796" t="str">
            <v>GBN</v>
          </cell>
          <cell r="N3796" t="str">
            <v>635</v>
          </cell>
          <cell r="O3796" t="str">
            <v>1122</v>
          </cell>
        </row>
        <row r="3797">
          <cell r="D3797" t="str">
            <v>GBN</v>
          </cell>
          <cell r="N3797" t="str">
            <v>642</v>
          </cell>
          <cell r="O3797" t="str">
            <v>1122</v>
          </cell>
        </row>
        <row r="3798">
          <cell r="D3798" t="str">
            <v>GBN</v>
          </cell>
          <cell r="N3798" t="str">
            <v>1331</v>
          </cell>
          <cell r="O3798" t="str">
            <v>1122</v>
          </cell>
        </row>
        <row r="3799">
          <cell r="D3799" t="str">
            <v>GBN</v>
          </cell>
          <cell r="N3799" t="str">
            <v>1121</v>
          </cell>
          <cell r="O3799" t="str">
            <v>1122</v>
          </cell>
        </row>
        <row r="3800">
          <cell r="D3800" t="str">
            <v>GBC</v>
          </cell>
          <cell r="N3800" t="str">
            <v>1122</v>
          </cell>
          <cell r="O3800" t="str">
            <v>131</v>
          </cell>
        </row>
        <row r="3801">
          <cell r="D3801" t="str">
            <v>CTGS</v>
          </cell>
          <cell r="N3801" t="str">
            <v>642</v>
          </cell>
          <cell r="O3801" t="str">
            <v>131</v>
          </cell>
        </row>
        <row r="3802">
          <cell r="D3802" t="str">
            <v>CTGS</v>
          </cell>
          <cell r="N3802" t="str">
            <v>131</v>
          </cell>
          <cell r="O3802" t="str">
            <v>515</v>
          </cell>
        </row>
        <row r="3803">
          <cell r="D3803" t="str">
            <v>GBN</v>
          </cell>
          <cell r="N3803" t="str">
            <v>642</v>
          </cell>
          <cell r="O3803" t="str">
            <v>1122</v>
          </cell>
        </row>
        <row r="3804">
          <cell r="D3804" t="str">
            <v>GBN</v>
          </cell>
          <cell r="N3804" t="str">
            <v>1331</v>
          </cell>
          <cell r="O3804" t="str">
            <v>1122</v>
          </cell>
        </row>
        <row r="3805">
          <cell r="D3805" t="str">
            <v>GBC</v>
          </cell>
          <cell r="N3805" t="str">
            <v>1122</v>
          </cell>
          <cell r="O3805" t="str">
            <v>131</v>
          </cell>
        </row>
        <row r="3806">
          <cell r="D3806" t="str">
            <v>CTGS</v>
          </cell>
          <cell r="N3806" t="str">
            <v>642</v>
          </cell>
          <cell r="O3806" t="str">
            <v>131</v>
          </cell>
        </row>
        <row r="3807">
          <cell r="D3807" t="str">
            <v>CTGS</v>
          </cell>
          <cell r="N3807" t="str">
            <v>131</v>
          </cell>
          <cell r="O3807" t="str">
            <v>515</v>
          </cell>
        </row>
        <row r="3808">
          <cell r="D3808" t="str">
            <v>GBC</v>
          </cell>
          <cell r="N3808" t="str">
            <v>1122</v>
          </cell>
          <cell r="O3808" t="str">
            <v>131</v>
          </cell>
        </row>
        <row r="3809">
          <cell r="D3809" t="str">
            <v>CTGS</v>
          </cell>
          <cell r="N3809" t="str">
            <v>642</v>
          </cell>
          <cell r="O3809" t="str">
            <v>131</v>
          </cell>
        </row>
        <row r="3810">
          <cell r="D3810" t="str">
            <v>CTGS</v>
          </cell>
          <cell r="N3810" t="str">
            <v>131</v>
          </cell>
          <cell r="O3810" t="str">
            <v>515</v>
          </cell>
        </row>
        <row r="3811">
          <cell r="D3811" t="str">
            <v>GBN</v>
          </cell>
          <cell r="N3811" t="str">
            <v>1121</v>
          </cell>
          <cell r="O3811" t="str">
            <v>1122</v>
          </cell>
        </row>
        <row r="3812">
          <cell r="D3812" t="str">
            <v>GBN</v>
          </cell>
          <cell r="N3812" t="str">
            <v>635</v>
          </cell>
          <cell r="O3812" t="str">
            <v>1122</v>
          </cell>
        </row>
        <row r="3813">
          <cell r="D3813" t="str">
            <v>GBN</v>
          </cell>
          <cell r="N3813" t="str">
            <v>3412</v>
          </cell>
          <cell r="O3813" t="str">
            <v>1122</v>
          </cell>
        </row>
        <row r="3814">
          <cell r="D3814" t="str">
            <v>CTGS</v>
          </cell>
          <cell r="N3814" t="str">
            <v>635</v>
          </cell>
          <cell r="O3814" t="str">
            <v>3412</v>
          </cell>
        </row>
        <row r="3815">
          <cell r="D3815" t="str">
            <v>GBC</v>
          </cell>
          <cell r="N3815" t="str">
            <v>1122</v>
          </cell>
          <cell r="O3815" t="str">
            <v>131</v>
          </cell>
        </row>
        <row r="3816">
          <cell r="D3816" t="str">
            <v>CTGS</v>
          </cell>
          <cell r="N3816" t="str">
            <v>642</v>
          </cell>
          <cell r="O3816" t="str">
            <v>131</v>
          </cell>
        </row>
        <row r="3817">
          <cell r="D3817" t="str">
            <v>CTGS</v>
          </cell>
          <cell r="N3817" t="str">
            <v>131</v>
          </cell>
          <cell r="O3817" t="str">
            <v>515</v>
          </cell>
        </row>
        <row r="3818">
          <cell r="D3818" t="str">
            <v>GBN</v>
          </cell>
          <cell r="N3818" t="str">
            <v>1121</v>
          </cell>
          <cell r="O3818" t="str">
            <v>1122</v>
          </cell>
        </row>
        <row r="3819">
          <cell r="D3819" t="str">
            <v>GBC</v>
          </cell>
          <cell r="N3819" t="str">
            <v>1122</v>
          </cell>
          <cell r="O3819" t="str">
            <v>131</v>
          </cell>
        </row>
        <row r="3820">
          <cell r="D3820" t="str">
            <v>CTGS</v>
          </cell>
          <cell r="N3820" t="str">
            <v>642</v>
          </cell>
          <cell r="O3820" t="str">
            <v>131</v>
          </cell>
        </row>
        <row r="3821">
          <cell r="D3821" t="str">
            <v>CTGS</v>
          </cell>
          <cell r="N3821" t="str">
            <v>131</v>
          </cell>
          <cell r="O3821" t="str">
            <v>515</v>
          </cell>
        </row>
        <row r="3822">
          <cell r="D3822" t="str">
            <v>GBC</v>
          </cell>
          <cell r="N3822" t="str">
            <v>1122</v>
          </cell>
          <cell r="O3822" t="str">
            <v>131</v>
          </cell>
        </row>
        <row r="3823">
          <cell r="D3823" t="str">
            <v>CTGS</v>
          </cell>
          <cell r="N3823" t="str">
            <v>642</v>
          </cell>
          <cell r="O3823" t="str">
            <v>131</v>
          </cell>
        </row>
        <row r="3824">
          <cell r="D3824" t="str">
            <v>CTGS</v>
          </cell>
          <cell r="N3824" t="str">
            <v>131</v>
          </cell>
          <cell r="O3824" t="str">
            <v>515</v>
          </cell>
        </row>
        <row r="3825">
          <cell r="D3825" t="str">
            <v>GBN</v>
          </cell>
          <cell r="N3825" t="str">
            <v>1121</v>
          </cell>
          <cell r="O3825" t="str">
            <v>1122</v>
          </cell>
        </row>
        <row r="3826">
          <cell r="D3826" t="str">
            <v>GBN</v>
          </cell>
          <cell r="N3826" t="str">
            <v>1121</v>
          </cell>
          <cell r="O3826" t="str">
            <v>1122</v>
          </cell>
        </row>
        <row r="3827">
          <cell r="D3827" t="str">
            <v>GBN</v>
          </cell>
          <cell r="N3827" t="str">
            <v>1121</v>
          </cell>
          <cell r="O3827" t="str">
            <v>1122</v>
          </cell>
        </row>
        <row r="3828">
          <cell r="D3828" t="str">
            <v>GBC</v>
          </cell>
          <cell r="N3828" t="str">
            <v>1122</v>
          </cell>
          <cell r="O3828" t="str">
            <v>131</v>
          </cell>
        </row>
        <row r="3829">
          <cell r="D3829" t="str">
            <v>CTGS</v>
          </cell>
          <cell r="N3829" t="str">
            <v>642</v>
          </cell>
          <cell r="O3829" t="str">
            <v>131</v>
          </cell>
        </row>
        <row r="3830">
          <cell r="D3830" t="str">
            <v>CTGS</v>
          </cell>
          <cell r="N3830" t="str">
            <v>131</v>
          </cell>
          <cell r="O3830" t="str">
            <v>515</v>
          </cell>
        </row>
        <row r="3831">
          <cell r="D3831" t="str">
            <v>GBN</v>
          </cell>
          <cell r="N3831" t="str">
            <v>635</v>
          </cell>
          <cell r="O3831" t="str">
            <v>1122</v>
          </cell>
        </row>
        <row r="3832">
          <cell r="D3832" t="str">
            <v>GBN</v>
          </cell>
          <cell r="N3832" t="str">
            <v>635</v>
          </cell>
          <cell r="O3832" t="str">
            <v>1122</v>
          </cell>
        </row>
        <row r="3833">
          <cell r="D3833" t="str">
            <v>GBN</v>
          </cell>
          <cell r="N3833" t="str">
            <v>635</v>
          </cell>
          <cell r="O3833" t="str">
            <v>1122</v>
          </cell>
        </row>
        <row r="3834">
          <cell r="D3834" t="str">
            <v>GBN</v>
          </cell>
          <cell r="N3834" t="str">
            <v>635</v>
          </cell>
          <cell r="O3834" t="str">
            <v>1122</v>
          </cell>
        </row>
        <row r="3835">
          <cell r="D3835" t="str">
            <v>GBN</v>
          </cell>
          <cell r="N3835" t="str">
            <v>635</v>
          </cell>
          <cell r="O3835" t="str">
            <v>1122</v>
          </cell>
        </row>
        <row r="3836">
          <cell r="D3836" t="str">
            <v>GBN</v>
          </cell>
          <cell r="N3836" t="str">
            <v>635</v>
          </cell>
          <cell r="O3836" t="str">
            <v>1122</v>
          </cell>
        </row>
        <row r="3837">
          <cell r="D3837" t="str">
            <v>GBN</v>
          </cell>
          <cell r="N3837" t="str">
            <v>635</v>
          </cell>
          <cell r="O3837" t="str">
            <v>1122</v>
          </cell>
        </row>
        <row r="3838">
          <cell r="D3838" t="str">
            <v>GBN</v>
          </cell>
          <cell r="N3838" t="str">
            <v>635</v>
          </cell>
          <cell r="O3838" t="str">
            <v>1122</v>
          </cell>
        </row>
        <row r="3839">
          <cell r="D3839" t="str">
            <v>GBN</v>
          </cell>
          <cell r="N3839" t="str">
            <v>635</v>
          </cell>
          <cell r="O3839" t="str">
            <v>1122</v>
          </cell>
        </row>
        <row r="3840">
          <cell r="D3840" t="str">
            <v>GBN</v>
          </cell>
          <cell r="N3840" t="str">
            <v>635</v>
          </cell>
          <cell r="O3840" t="str">
            <v>1122</v>
          </cell>
        </row>
        <row r="3841">
          <cell r="D3841" t="str">
            <v>GBN</v>
          </cell>
          <cell r="N3841" t="str">
            <v>635</v>
          </cell>
          <cell r="O3841" t="str">
            <v>1122</v>
          </cell>
        </row>
        <row r="3842">
          <cell r="D3842" t="str">
            <v>GBN</v>
          </cell>
          <cell r="N3842" t="str">
            <v>635</v>
          </cell>
          <cell r="O3842" t="str">
            <v>1122</v>
          </cell>
        </row>
        <row r="3843">
          <cell r="D3843" t="str">
            <v>GBN</v>
          </cell>
          <cell r="N3843" t="str">
            <v>635</v>
          </cell>
          <cell r="O3843" t="str">
            <v>1122</v>
          </cell>
        </row>
        <row r="3844">
          <cell r="D3844" t="str">
            <v>GBN</v>
          </cell>
          <cell r="N3844" t="str">
            <v>635</v>
          </cell>
          <cell r="O3844" t="str">
            <v>1122</v>
          </cell>
        </row>
        <row r="3845">
          <cell r="D3845" t="str">
            <v>GBN</v>
          </cell>
          <cell r="N3845" t="str">
            <v>635</v>
          </cell>
          <cell r="O3845" t="str">
            <v>1122</v>
          </cell>
        </row>
        <row r="3846">
          <cell r="D3846" t="str">
            <v>GBC</v>
          </cell>
          <cell r="N3846" t="str">
            <v>1122</v>
          </cell>
          <cell r="O3846" t="str">
            <v>131</v>
          </cell>
        </row>
        <row r="3847">
          <cell r="D3847" t="str">
            <v>CTGS</v>
          </cell>
          <cell r="N3847" t="str">
            <v>642</v>
          </cell>
          <cell r="O3847" t="str">
            <v>131</v>
          </cell>
        </row>
        <row r="3848">
          <cell r="D3848" t="str">
            <v>CTGS</v>
          </cell>
          <cell r="N3848" t="str">
            <v>131</v>
          </cell>
          <cell r="O3848" t="str">
            <v>515</v>
          </cell>
        </row>
        <row r="3849">
          <cell r="D3849" t="str">
            <v>GBC</v>
          </cell>
          <cell r="N3849" t="str">
            <v>1122</v>
          </cell>
          <cell r="O3849" t="str">
            <v>1122</v>
          </cell>
        </row>
        <row r="3850">
          <cell r="D3850" t="str">
            <v>GBN</v>
          </cell>
          <cell r="N3850" t="str">
            <v>635</v>
          </cell>
          <cell r="O3850" t="str">
            <v>1122</v>
          </cell>
        </row>
        <row r="3851">
          <cell r="D3851" t="str">
            <v>GBN</v>
          </cell>
          <cell r="N3851" t="str">
            <v>3412</v>
          </cell>
          <cell r="O3851" t="str">
            <v>1122</v>
          </cell>
        </row>
        <row r="3852">
          <cell r="D3852" t="str">
            <v>CTGS</v>
          </cell>
          <cell r="N3852" t="str">
            <v>635</v>
          </cell>
          <cell r="O3852" t="str">
            <v>3412</v>
          </cell>
        </row>
        <row r="3853">
          <cell r="D3853" t="str">
            <v>GBN</v>
          </cell>
          <cell r="N3853" t="str">
            <v>1121</v>
          </cell>
          <cell r="O3853" t="str">
            <v>1122</v>
          </cell>
        </row>
        <row r="3854">
          <cell r="D3854" t="str">
            <v>GBC</v>
          </cell>
          <cell r="N3854" t="str">
            <v>1122</v>
          </cell>
          <cell r="O3854" t="str">
            <v>131</v>
          </cell>
        </row>
        <row r="3855">
          <cell r="D3855" t="str">
            <v>CTGS</v>
          </cell>
          <cell r="N3855" t="str">
            <v>642</v>
          </cell>
          <cell r="O3855" t="str">
            <v>131</v>
          </cell>
        </row>
        <row r="3856">
          <cell r="D3856" t="str">
            <v>CTGS</v>
          </cell>
          <cell r="N3856" t="str">
            <v>131</v>
          </cell>
          <cell r="O3856" t="str">
            <v>515</v>
          </cell>
        </row>
        <row r="3857">
          <cell r="D3857" t="str">
            <v>GBN</v>
          </cell>
          <cell r="N3857" t="str">
            <v>635</v>
          </cell>
          <cell r="O3857" t="str">
            <v>1122</v>
          </cell>
        </row>
        <row r="3858">
          <cell r="D3858" t="str">
            <v>GBN</v>
          </cell>
          <cell r="N3858" t="str">
            <v>3412</v>
          </cell>
          <cell r="O3858" t="str">
            <v>1122</v>
          </cell>
        </row>
        <row r="3859">
          <cell r="D3859" t="str">
            <v>GBC</v>
          </cell>
          <cell r="N3859" t="str">
            <v>1122</v>
          </cell>
          <cell r="O3859" t="str">
            <v>131</v>
          </cell>
        </row>
        <row r="3860">
          <cell r="D3860" t="str">
            <v>CTGS</v>
          </cell>
          <cell r="N3860" t="str">
            <v>642</v>
          </cell>
          <cell r="O3860" t="str">
            <v>131</v>
          </cell>
        </row>
        <row r="3861">
          <cell r="D3861" t="str">
            <v>CTGS</v>
          </cell>
          <cell r="N3861" t="str">
            <v>642</v>
          </cell>
          <cell r="O3861" t="str">
            <v>131</v>
          </cell>
        </row>
        <row r="3862">
          <cell r="D3862" t="str">
            <v>GBN</v>
          </cell>
          <cell r="N3862" t="str">
            <v>635</v>
          </cell>
          <cell r="O3862" t="str">
            <v>1122</v>
          </cell>
        </row>
        <row r="3863">
          <cell r="D3863" t="str">
            <v>GBN</v>
          </cell>
          <cell r="N3863" t="str">
            <v>3412</v>
          </cell>
          <cell r="O3863" t="str">
            <v>1122</v>
          </cell>
        </row>
        <row r="3864">
          <cell r="D3864" t="str">
            <v>CTGS</v>
          </cell>
          <cell r="N3864" t="str">
            <v>3412</v>
          </cell>
          <cell r="O3864" t="str">
            <v>515</v>
          </cell>
        </row>
        <row r="3865">
          <cell r="D3865" t="str">
            <v>GBN</v>
          </cell>
          <cell r="N3865" t="str">
            <v>1121</v>
          </cell>
          <cell r="O3865" t="str">
            <v>1122</v>
          </cell>
        </row>
        <row r="3866">
          <cell r="D3866" t="str">
            <v>GBC</v>
          </cell>
          <cell r="N3866" t="str">
            <v>1122</v>
          </cell>
          <cell r="O3866" t="str">
            <v>131</v>
          </cell>
        </row>
        <row r="3867">
          <cell r="D3867" t="str">
            <v>CTGS</v>
          </cell>
          <cell r="N3867" t="str">
            <v>642</v>
          </cell>
          <cell r="O3867" t="str">
            <v>131</v>
          </cell>
        </row>
        <row r="3868">
          <cell r="D3868" t="str">
            <v>CTGS</v>
          </cell>
          <cell r="N3868" t="str">
            <v>635</v>
          </cell>
          <cell r="O3868" t="str">
            <v>131</v>
          </cell>
        </row>
        <row r="3869">
          <cell r="D3869" t="str">
            <v>GBN</v>
          </cell>
          <cell r="N3869" t="str">
            <v>635</v>
          </cell>
          <cell r="O3869" t="str">
            <v>1122</v>
          </cell>
        </row>
        <row r="3870">
          <cell r="D3870" t="str">
            <v>GBN</v>
          </cell>
          <cell r="N3870" t="str">
            <v>3412</v>
          </cell>
          <cell r="O3870" t="str">
            <v>1122</v>
          </cell>
        </row>
        <row r="3871">
          <cell r="D3871" t="str">
            <v>CTGS</v>
          </cell>
          <cell r="N3871" t="str">
            <v>3412</v>
          </cell>
          <cell r="O3871" t="str">
            <v>515</v>
          </cell>
        </row>
        <row r="3872">
          <cell r="D3872" t="str">
            <v>GBC</v>
          </cell>
          <cell r="N3872" t="str">
            <v>1122</v>
          </cell>
          <cell r="O3872" t="str">
            <v>131</v>
          </cell>
        </row>
        <row r="3873">
          <cell r="D3873" t="str">
            <v>CTGS</v>
          </cell>
          <cell r="N3873" t="str">
            <v>642</v>
          </cell>
          <cell r="O3873" t="str">
            <v>131</v>
          </cell>
        </row>
        <row r="3874">
          <cell r="D3874" t="str">
            <v>CTGS</v>
          </cell>
          <cell r="N3874" t="str">
            <v>131</v>
          </cell>
          <cell r="O3874" t="str">
            <v>515</v>
          </cell>
        </row>
        <row r="3875">
          <cell r="D3875" t="str">
            <v>GBN</v>
          </cell>
          <cell r="N3875" t="str">
            <v>635</v>
          </cell>
          <cell r="O3875" t="str">
            <v>1122</v>
          </cell>
        </row>
        <row r="3876">
          <cell r="D3876" t="str">
            <v>GBN</v>
          </cell>
          <cell r="N3876" t="str">
            <v>3412</v>
          </cell>
          <cell r="O3876" t="str">
            <v>1122</v>
          </cell>
        </row>
        <row r="3877">
          <cell r="D3877" t="str">
            <v>CTGS</v>
          </cell>
          <cell r="N3877" t="str">
            <v>3412</v>
          </cell>
          <cell r="O3877" t="str">
            <v>515</v>
          </cell>
        </row>
        <row r="3878">
          <cell r="D3878" t="str">
            <v>GBN</v>
          </cell>
          <cell r="N3878" t="str">
            <v>1121</v>
          </cell>
          <cell r="O3878" t="str">
            <v>1122</v>
          </cell>
        </row>
        <row r="3879">
          <cell r="D3879" t="str">
            <v>GBN</v>
          </cell>
          <cell r="N3879" t="str">
            <v>635</v>
          </cell>
          <cell r="O3879" t="str">
            <v>1122</v>
          </cell>
        </row>
        <row r="3880">
          <cell r="D3880" t="str">
            <v>GBN</v>
          </cell>
          <cell r="N3880" t="str">
            <v>635</v>
          </cell>
          <cell r="O3880" t="str">
            <v>1122</v>
          </cell>
        </row>
        <row r="3881">
          <cell r="D3881" t="str">
            <v>GBN</v>
          </cell>
          <cell r="N3881" t="str">
            <v>635</v>
          </cell>
          <cell r="O3881" t="str">
            <v>1122</v>
          </cell>
        </row>
        <row r="3882">
          <cell r="D3882" t="str">
            <v>GBN</v>
          </cell>
          <cell r="N3882" t="str">
            <v>635</v>
          </cell>
          <cell r="O3882" t="str">
            <v>1122</v>
          </cell>
        </row>
        <row r="3883">
          <cell r="D3883" t="str">
            <v>GBC</v>
          </cell>
          <cell r="N3883" t="str">
            <v>1122</v>
          </cell>
          <cell r="O3883" t="str">
            <v>3412</v>
          </cell>
        </row>
        <row r="3884">
          <cell r="D3884" t="str">
            <v>GBN</v>
          </cell>
          <cell r="N3884" t="str">
            <v>635</v>
          </cell>
          <cell r="O3884" t="str">
            <v>1122</v>
          </cell>
        </row>
        <row r="3885">
          <cell r="D3885" t="str">
            <v>GBN</v>
          </cell>
          <cell r="N3885" t="str">
            <v>635</v>
          </cell>
          <cell r="O3885" t="str">
            <v>1122</v>
          </cell>
        </row>
        <row r="3886">
          <cell r="D3886" t="str">
            <v>GBN</v>
          </cell>
          <cell r="N3886" t="str">
            <v>635</v>
          </cell>
          <cell r="O3886" t="str">
            <v>1122</v>
          </cell>
        </row>
        <row r="3887">
          <cell r="D3887" t="str">
            <v>GBN</v>
          </cell>
          <cell r="N3887" t="str">
            <v>635</v>
          </cell>
          <cell r="O3887" t="str">
            <v>1122</v>
          </cell>
        </row>
        <row r="3888">
          <cell r="D3888" t="str">
            <v>GBN</v>
          </cell>
          <cell r="N3888" t="str">
            <v>635</v>
          </cell>
          <cell r="O3888" t="str">
            <v>1122</v>
          </cell>
        </row>
        <row r="3889">
          <cell r="D3889" t="str">
            <v>GBN</v>
          </cell>
          <cell r="N3889" t="str">
            <v>635</v>
          </cell>
          <cell r="O3889" t="str">
            <v>1122</v>
          </cell>
        </row>
        <row r="3890">
          <cell r="D3890" t="str">
            <v>GBN</v>
          </cell>
          <cell r="N3890" t="str">
            <v>635</v>
          </cell>
          <cell r="O3890" t="str">
            <v>1122</v>
          </cell>
        </row>
        <row r="3891">
          <cell r="D3891" t="str">
            <v>GBN</v>
          </cell>
          <cell r="N3891" t="str">
            <v>635</v>
          </cell>
          <cell r="O3891" t="str">
            <v>1122</v>
          </cell>
        </row>
        <row r="3892">
          <cell r="D3892" t="str">
            <v>GBN</v>
          </cell>
          <cell r="N3892" t="str">
            <v>635</v>
          </cell>
          <cell r="O3892" t="str">
            <v>1122</v>
          </cell>
        </row>
        <row r="3893">
          <cell r="D3893" t="str">
            <v>GBN</v>
          </cell>
          <cell r="N3893" t="str">
            <v>635</v>
          </cell>
          <cell r="O3893" t="str">
            <v>1122</v>
          </cell>
        </row>
        <row r="3894">
          <cell r="D3894" t="str">
            <v>GBN</v>
          </cell>
          <cell r="N3894" t="str">
            <v>635</v>
          </cell>
          <cell r="O3894" t="str">
            <v>1122</v>
          </cell>
        </row>
        <row r="3895">
          <cell r="D3895" t="str">
            <v>GBN</v>
          </cell>
          <cell r="N3895" t="str">
            <v>635</v>
          </cell>
          <cell r="O3895" t="str">
            <v>1122</v>
          </cell>
        </row>
        <row r="3896">
          <cell r="D3896" t="str">
            <v>GBC</v>
          </cell>
          <cell r="N3896" t="str">
            <v>1122</v>
          </cell>
          <cell r="O3896" t="str">
            <v>131</v>
          </cell>
        </row>
        <row r="3897">
          <cell r="D3897" t="str">
            <v>CTGS</v>
          </cell>
          <cell r="N3897" t="str">
            <v>642</v>
          </cell>
          <cell r="O3897" t="str">
            <v>131</v>
          </cell>
        </row>
        <row r="3898">
          <cell r="D3898" t="str">
            <v>CTGS</v>
          </cell>
          <cell r="N3898" t="str">
            <v>131</v>
          </cell>
          <cell r="O3898" t="str">
            <v>515</v>
          </cell>
        </row>
        <row r="3899">
          <cell r="D3899" t="str">
            <v>GBN</v>
          </cell>
          <cell r="N3899" t="str">
            <v>635</v>
          </cell>
          <cell r="O3899" t="str">
            <v>1122</v>
          </cell>
        </row>
        <row r="3900">
          <cell r="D3900" t="str">
            <v>GBN</v>
          </cell>
          <cell r="N3900" t="str">
            <v>3412</v>
          </cell>
          <cell r="O3900" t="str">
            <v>1122</v>
          </cell>
        </row>
        <row r="3901">
          <cell r="D3901" t="str">
            <v>GBN</v>
          </cell>
          <cell r="N3901" t="str">
            <v>642</v>
          </cell>
          <cell r="O3901" t="str">
            <v>1122</v>
          </cell>
        </row>
        <row r="3902">
          <cell r="D3902" t="str">
            <v>GBN</v>
          </cell>
          <cell r="N3902" t="str">
            <v>1331</v>
          </cell>
          <cell r="O3902" t="str">
            <v>1122</v>
          </cell>
        </row>
        <row r="3903">
          <cell r="D3903" t="str">
            <v>GBN</v>
          </cell>
          <cell r="N3903" t="str">
            <v>1121</v>
          </cell>
          <cell r="O3903" t="str">
            <v>1122</v>
          </cell>
        </row>
        <row r="3904">
          <cell r="D3904" t="str">
            <v>GBC</v>
          </cell>
          <cell r="N3904" t="str">
            <v>1122</v>
          </cell>
          <cell r="O3904" t="str">
            <v>3412</v>
          </cell>
        </row>
        <row r="3905">
          <cell r="D3905" t="str">
            <v>GBN</v>
          </cell>
          <cell r="N3905" t="str">
            <v>1121</v>
          </cell>
          <cell r="O3905" t="str">
            <v>1122</v>
          </cell>
        </row>
        <row r="3906">
          <cell r="D3906" t="str">
            <v>GBC</v>
          </cell>
          <cell r="N3906" t="str">
            <v>1122</v>
          </cell>
          <cell r="O3906" t="str">
            <v>131</v>
          </cell>
        </row>
        <row r="3907">
          <cell r="D3907" t="str">
            <v>CTGS</v>
          </cell>
          <cell r="N3907" t="str">
            <v>642</v>
          </cell>
          <cell r="O3907" t="str">
            <v>131</v>
          </cell>
        </row>
        <row r="3908">
          <cell r="D3908" t="str">
            <v>CTGS</v>
          </cell>
          <cell r="N3908" t="str">
            <v>131</v>
          </cell>
          <cell r="O3908" t="str">
            <v>515</v>
          </cell>
        </row>
        <row r="3909">
          <cell r="D3909" t="str">
            <v>GBN</v>
          </cell>
          <cell r="N3909" t="str">
            <v>642</v>
          </cell>
          <cell r="O3909" t="str">
            <v>1122</v>
          </cell>
        </row>
        <row r="3910">
          <cell r="D3910" t="str">
            <v>GBN</v>
          </cell>
          <cell r="N3910" t="str">
            <v>1331</v>
          </cell>
          <cell r="O3910" t="str">
            <v>1122</v>
          </cell>
        </row>
        <row r="3911">
          <cell r="D3911" t="str">
            <v>GBN</v>
          </cell>
          <cell r="N3911" t="str">
            <v>642</v>
          </cell>
          <cell r="O3911" t="str">
            <v>1122</v>
          </cell>
        </row>
        <row r="3912">
          <cell r="D3912" t="str">
            <v>GBN</v>
          </cell>
          <cell r="N3912" t="str">
            <v>1331</v>
          </cell>
          <cell r="O3912" t="str">
            <v>1122</v>
          </cell>
        </row>
        <row r="3913">
          <cell r="D3913" t="str">
            <v>GBN</v>
          </cell>
          <cell r="N3913" t="str">
            <v>635</v>
          </cell>
          <cell r="O3913" t="str">
            <v>1122</v>
          </cell>
        </row>
        <row r="3914">
          <cell r="D3914" t="str">
            <v>GBN</v>
          </cell>
          <cell r="N3914" t="str">
            <v>3412</v>
          </cell>
          <cell r="O3914" t="str">
            <v>1122</v>
          </cell>
        </row>
        <row r="3915">
          <cell r="D3915" t="str">
            <v>CTGS</v>
          </cell>
          <cell r="N3915" t="str">
            <v>3412</v>
          </cell>
          <cell r="O3915" t="str">
            <v>515</v>
          </cell>
        </row>
        <row r="3916">
          <cell r="D3916" t="str">
            <v>GBN</v>
          </cell>
          <cell r="N3916" t="str">
            <v>3412</v>
          </cell>
          <cell r="O3916" t="str">
            <v>1122</v>
          </cell>
        </row>
        <row r="3917">
          <cell r="D3917" t="str">
            <v>GBN</v>
          </cell>
          <cell r="N3917" t="str">
            <v>1121</v>
          </cell>
          <cell r="O3917" t="str">
            <v>1122</v>
          </cell>
        </row>
        <row r="3918">
          <cell r="D3918" t="str">
            <v>GBC</v>
          </cell>
          <cell r="N3918" t="str">
            <v>1122</v>
          </cell>
          <cell r="O3918" t="str">
            <v>131</v>
          </cell>
        </row>
        <row r="3919">
          <cell r="D3919" t="str">
            <v>CTGS</v>
          </cell>
          <cell r="N3919" t="str">
            <v>642</v>
          </cell>
          <cell r="O3919" t="str">
            <v>131</v>
          </cell>
        </row>
        <row r="3920">
          <cell r="D3920" t="str">
            <v>CTGS</v>
          </cell>
          <cell r="N3920" t="str">
            <v>131</v>
          </cell>
          <cell r="O3920" t="str">
            <v>515</v>
          </cell>
        </row>
        <row r="3921">
          <cell r="D3921" t="str">
            <v>GBN</v>
          </cell>
          <cell r="N3921" t="str">
            <v>331</v>
          </cell>
          <cell r="O3921" t="str">
            <v>1122</v>
          </cell>
        </row>
        <row r="3922">
          <cell r="D3922" t="str">
            <v>CTGS</v>
          </cell>
          <cell r="N3922" t="str">
            <v>635</v>
          </cell>
          <cell r="O3922" t="str">
            <v>331</v>
          </cell>
        </row>
        <row r="3923">
          <cell r="D3923" t="str">
            <v>GBN</v>
          </cell>
          <cell r="N3923" t="str">
            <v>3412</v>
          </cell>
          <cell r="O3923" t="str">
            <v>1122</v>
          </cell>
        </row>
        <row r="3924">
          <cell r="D3924" t="str">
            <v>GBC</v>
          </cell>
          <cell r="N3924" t="str">
            <v>1122</v>
          </cell>
          <cell r="O3924" t="str">
            <v>3412</v>
          </cell>
        </row>
        <row r="3925">
          <cell r="D3925" t="str">
            <v>GBN</v>
          </cell>
          <cell r="N3925" t="str">
            <v>635</v>
          </cell>
          <cell r="O3925" t="str">
            <v>1122</v>
          </cell>
        </row>
        <row r="3926">
          <cell r="D3926" t="str">
            <v>GBN</v>
          </cell>
          <cell r="N3926" t="str">
            <v>635</v>
          </cell>
          <cell r="O3926" t="str">
            <v>1122</v>
          </cell>
        </row>
        <row r="3927">
          <cell r="D3927" t="str">
            <v>GBN</v>
          </cell>
          <cell r="N3927" t="str">
            <v>635</v>
          </cell>
          <cell r="O3927" t="str">
            <v>1122</v>
          </cell>
        </row>
        <row r="3928">
          <cell r="D3928" t="str">
            <v>GBN</v>
          </cell>
          <cell r="N3928" t="str">
            <v>3412</v>
          </cell>
          <cell r="O3928" t="str">
            <v>1122</v>
          </cell>
        </row>
        <row r="3929">
          <cell r="D3929" t="str">
            <v>GBC</v>
          </cell>
          <cell r="N3929" t="str">
            <v>1122</v>
          </cell>
          <cell r="O3929" t="str">
            <v>131</v>
          </cell>
        </row>
        <row r="3930">
          <cell r="D3930" t="str">
            <v>CTGS</v>
          </cell>
          <cell r="N3930" t="str">
            <v>642</v>
          </cell>
          <cell r="O3930" t="str">
            <v>131</v>
          </cell>
        </row>
        <row r="3931">
          <cell r="D3931" t="str">
            <v>CTGS</v>
          </cell>
          <cell r="N3931" t="str">
            <v>131</v>
          </cell>
          <cell r="O3931" t="str">
            <v>515</v>
          </cell>
        </row>
        <row r="3932">
          <cell r="D3932" t="str">
            <v>GBN</v>
          </cell>
          <cell r="N3932" t="str">
            <v>642</v>
          </cell>
          <cell r="O3932" t="str">
            <v>1122</v>
          </cell>
        </row>
        <row r="3933">
          <cell r="D3933" t="str">
            <v>GBN</v>
          </cell>
          <cell r="N3933" t="str">
            <v>1331</v>
          </cell>
          <cell r="O3933" t="str">
            <v>1122</v>
          </cell>
        </row>
        <row r="3934">
          <cell r="D3934" t="str">
            <v>GBN</v>
          </cell>
          <cell r="N3934" t="str">
            <v>642</v>
          </cell>
          <cell r="O3934" t="str">
            <v>1122</v>
          </cell>
        </row>
        <row r="3935">
          <cell r="D3935" t="str">
            <v>GBN</v>
          </cell>
          <cell r="N3935" t="str">
            <v>1331</v>
          </cell>
          <cell r="O3935" t="str">
            <v>1122</v>
          </cell>
        </row>
        <row r="3936">
          <cell r="D3936" t="str">
            <v>GBN</v>
          </cell>
          <cell r="N3936" t="str">
            <v>3412</v>
          </cell>
          <cell r="O3936" t="str">
            <v>1122</v>
          </cell>
        </row>
        <row r="3937">
          <cell r="D3937" t="str">
            <v>GBN</v>
          </cell>
          <cell r="N3937" t="str">
            <v>635</v>
          </cell>
          <cell r="O3937" t="str">
            <v>1122</v>
          </cell>
        </row>
        <row r="3938">
          <cell r="D3938" t="str">
            <v>CTGS</v>
          </cell>
          <cell r="N3938" t="str">
            <v>3412</v>
          </cell>
          <cell r="O3938" t="str">
            <v>515</v>
          </cell>
        </row>
        <row r="3939">
          <cell r="D3939" t="str">
            <v>GBN</v>
          </cell>
          <cell r="N3939" t="str">
            <v>635</v>
          </cell>
          <cell r="O3939" t="str">
            <v>1122</v>
          </cell>
        </row>
        <row r="3940">
          <cell r="D3940" t="str">
            <v>GBN</v>
          </cell>
          <cell r="N3940" t="str">
            <v>3412</v>
          </cell>
          <cell r="O3940" t="str">
            <v>1122</v>
          </cell>
        </row>
        <row r="3941">
          <cell r="D3941" t="str">
            <v>CTGS</v>
          </cell>
          <cell r="N3941" t="str">
            <v>3412</v>
          </cell>
          <cell r="O3941" t="str">
            <v>515</v>
          </cell>
        </row>
        <row r="3942">
          <cell r="D3942" t="str">
            <v>GBC</v>
          </cell>
          <cell r="N3942" t="str">
            <v>1122</v>
          </cell>
          <cell r="O3942" t="str">
            <v>131</v>
          </cell>
        </row>
        <row r="3943">
          <cell r="D3943" t="str">
            <v>CTGS</v>
          </cell>
          <cell r="N3943" t="str">
            <v>642</v>
          </cell>
          <cell r="O3943" t="str">
            <v>131</v>
          </cell>
        </row>
        <row r="3944">
          <cell r="D3944" t="str">
            <v>CTGS</v>
          </cell>
          <cell r="N3944" t="str">
            <v>131</v>
          </cell>
          <cell r="O3944" t="str">
            <v>515</v>
          </cell>
        </row>
        <row r="3945">
          <cell r="D3945" t="str">
            <v>GBN</v>
          </cell>
          <cell r="N3945" t="str">
            <v>1121</v>
          </cell>
          <cell r="O3945" t="str">
            <v>1122</v>
          </cell>
        </row>
        <row r="3946">
          <cell r="D3946" t="str">
            <v>GBN</v>
          </cell>
          <cell r="N3946" t="str">
            <v>635</v>
          </cell>
          <cell r="O3946" t="str">
            <v>1122</v>
          </cell>
        </row>
        <row r="3947">
          <cell r="D3947" t="str">
            <v>GBN</v>
          </cell>
          <cell r="N3947" t="str">
            <v>635</v>
          </cell>
          <cell r="O3947" t="str">
            <v>1122</v>
          </cell>
        </row>
        <row r="3948">
          <cell r="D3948" t="str">
            <v>GBC</v>
          </cell>
          <cell r="N3948" t="str">
            <v>1122</v>
          </cell>
          <cell r="O3948" t="str">
            <v>131</v>
          </cell>
        </row>
        <row r="3949">
          <cell r="D3949" t="str">
            <v>CTGS</v>
          </cell>
          <cell r="N3949" t="str">
            <v>642</v>
          </cell>
          <cell r="O3949" t="str">
            <v>131</v>
          </cell>
        </row>
        <row r="3950">
          <cell r="D3950" t="str">
            <v>CTGS</v>
          </cell>
          <cell r="N3950" t="str">
            <v>131</v>
          </cell>
          <cell r="O3950" t="str">
            <v>515</v>
          </cell>
        </row>
        <row r="3951">
          <cell r="D3951" t="str">
            <v>GBN</v>
          </cell>
          <cell r="N3951" t="str">
            <v>635</v>
          </cell>
          <cell r="O3951" t="str">
            <v>1122</v>
          </cell>
        </row>
        <row r="3952">
          <cell r="D3952" t="str">
            <v>GBN</v>
          </cell>
          <cell r="N3952" t="str">
            <v>635</v>
          </cell>
          <cell r="O3952" t="str">
            <v>1122</v>
          </cell>
        </row>
        <row r="3953">
          <cell r="D3953" t="str">
            <v>GBN</v>
          </cell>
          <cell r="N3953" t="str">
            <v>635</v>
          </cell>
          <cell r="O3953" t="str">
            <v>1122</v>
          </cell>
        </row>
        <row r="3954">
          <cell r="D3954" t="str">
            <v>GBN</v>
          </cell>
          <cell r="N3954" t="str">
            <v>635</v>
          </cell>
          <cell r="O3954" t="str">
            <v>1122</v>
          </cell>
        </row>
        <row r="3955">
          <cell r="D3955" t="str">
            <v>GBN</v>
          </cell>
          <cell r="N3955" t="str">
            <v>635</v>
          </cell>
          <cell r="O3955" t="str">
            <v>1122</v>
          </cell>
        </row>
        <row r="3956">
          <cell r="D3956" t="str">
            <v>GBN</v>
          </cell>
          <cell r="N3956" t="str">
            <v>635</v>
          </cell>
          <cell r="O3956" t="str">
            <v>1122</v>
          </cell>
        </row>
        <row r="3957">
          <cell r="D3957" t="str">
            <v>GBN</v>
          </cell>
          <cell r="N3957" t="str">
            <v>635</v>
          </cell>
          <cell r="O3957" t="str">
            <v>1122</v>
          </cell>
        </row>
        <row r="3958">
          <cell r="D3958" t="str">
            <v>GBN</v>
          </cell>
          <cell r="N3958" t="str">
            <v>635</v>
          </cell>
          <cell r="O3958" t="str">
            <v>1122</v>
          </cell>
        </row>
        <row r="3959">
          <cell r="D3959" t="str">
            <v>GBN</v>
          </cell>
          <cell r="N3959" t="str">
            <v>635</v>
          </cell>
          <cell r="O3959" t="str">
            <v>1122</v>
          </cell>
        </row>
        <row r="3960">
          <cell r="D3960" t="str">
            <v>GBN</v>
          </cell>
          <cell r="N3960" t="str">
            <v>635</v>
          </cell>
          <cell r="O3960" t="str">
            <v>1122</v>
          </cell>
        </row>
        <row r="3961">
          <cell r="D3961" t="str">
            <v>GBN</v>
          </cell>
          <cell r="N3961" t="str">
            <v>635</v>
          </cell>
          <cell r="O3961" t="str">
            <v>1122</v>
          </cell>
        </row>
        <row r="3962">
          <cell r="D3962" t="str">
            <v>GBN</v>
          </cell>
          <cell r="N3962" t="str">
            <v>635</v>
          </cell>
          <cell r="O3962" t="str">
            <v>1122</v>
          </cell>
        </row>
        <row r="3963">
          <cell r="D3963" t="str">
            <v>GBN</v>
          </cell>
          <cell r="N3963" t="str">
            <v>635</v>
          </cell>
          <cell r="O3963" t="str">
            <v>1122</v>
          </cell>
        </row>
        <row r="3964">
          <cell r="D3964" t="str">
            <v>GBN</v>
          </cell>
          <cell r="N3964" t="str">
            <v>3412</v>
          </cell>
          <cell r="O3964" t="str">
            <v>1122</v>
          </cell>
        </row>
        <row r="3965">
          <cell r="D3965" t="str">
            <v>GBN</v>
          </cell>
          <cell r="N3965" t="str">
            <v>1121</v>
          </cell>
          <cell r="O3965" t="str">
            <v>1122</v>
          </cell>
        </row>
        <row r="3966">
          <cell r="D3966" t="str">
            <v>GBN</v>
          </cell>
          <cell r="N3966" t="str">
            <v>642</v>
          </cell>
          <cell r="O3966" t="str">
            <v>1122</v>
          </cell>
        </row>
        <row r="3967">
          <cell r="D3967" t="str">
            <v>GBN</v>
          </cell>
          <cell r="N3967" t="str">
            <v>1331</v>
          </cell>
          <cell r="O3967" t="str">
            <v>1122</v>
          </cell>
        </row>
        <row r="3968">
          <cell r="D3968" t="str">
            <v>GBC</v>
          </cell>
          <cell r="N3968" t="str">
            <v>1122</v>
          </cell>
          <cell r="O3968" t="str">
            <v>3412</v>
          </cell>
        </row>
        <row r="3969">
          <cell r="D3969" t="str">
            <v>GBN</v>
          </cell>
          <cell r="N3969" t="str">
            <v>3412</v>
          </cell>
          <cell r="O3969" t="str">
            <v>1122</v>
          </cell>
        </row>
        <row r="3970">
          <cell r="D3970" t="str">
            <v>GBC</v>
          </cell>
          <cell r="N3970" t="str">
            <v>1122</v>
          </cell>
          <cell r="O3970" t="str">
            <v>131</v>
          </cell>
        </row>
        <row r="3971">
          <cell r="D3971" t="str">
            <v>CTGS</v>
          </cell>
          <cell r="N3971" t="str">
            <v>642</v>
          </cell>
          <cell r="O3971" t="str">
            <v>131</v>
          </cell>
        </row>
        <row r="3972">
          <cell r="D3972" t="str">
            <v>CTGS</v>
          </cell>
          <cell r="N3972" t="str">
            <v>131</v>
          </cell>
          <cell r="O3972" t="str">
            <v>515</v>
          </cell>
        </row>
        <row r="3973">
          <cell r="D3973" t="str">
            <v>GBN</v>
          </cell>
          <cell r="N3973" t="str">
            <v>1121</v>
          </cell>
          <cell r="O3973" t="str">
            <v>1122</v>
          </cell>
        </row>
        <row r="3974">
          <cell r="D3974" t="str">
            <v>GBC</v>
          </cell>
          <cell r="N3974" t="str">
            <v>1122</v>
          </cell>
          <cell r="O3974" t="str">
            <v>131</v>
          </cell>
        </row>
        <row r="3975">
          <cell r="D3975" t="str">
            <v>CTGS</v>
          </cell>
          <cell r="N3975" t="str">
            <v>642</v>
          </cell>
          <cell r="O3975" t="str">
            <v>131</v>
          </cell>
        </row>
        <row r="3976">
          <cell r="D3976" t="str">
            <v>CTGS</v>
          </cell>
          <cell r="N3976" t="str">
            <v>131</v>
          </cell>
          <cell r="O3976" t="str">
            <v>515</v>
          </cell>
        </row>
        <row r="3977">
          <cell r="D3977" t="str">
            <v>GBC</v>
          </cell>
          <cell r="N3977" t="str">
            <v>1122</v>
          </cell>
          <cell r="O3977" t="str">
            <v>131</v>
          </cell>
        </row>
        <row r="3978">
          <cell r="D3978" t="str">
            <v>CTGS</v>
          </cell>
          <cell r="N3978" t="str">
            <v>642</v>
          </cell>
          <cell r="O3978" t="str">
            <v>131</v>
          </cell>
        </row>
        <row r="3979">
          <cell r="D3979" t="str">
            <v>CTGS</v>
          </cell>
          <cell r="N3979" t="str">
            <v>131</v>
          </cell>
          <cell r="O3979" t="str">
            <v>515</v>
          </cell>
        </row>
        <row r="3980">
          <cell r="D3980" t="str">
            <v>GBC</v>
          </cell>
          <cell r="N3980" t="str">
            <v>1122</v>
          </cell>
          <cell r="O3980" t="str">
            <v>131</v>
          </cell>
        </row>
        <row r="3981">
          <cell r="D3981" t="str">
            <v>GBN</v>
          </cell>
          <cell r="N3981" t="str">
            <v>635</v>
          </cell>
          <cell r="O3981" t="str">
            <v>1122</v>
          </cell>
        </row>
        <row r="3982">
          <cell r="D3982" t="str">
            <v>GBN</v>
          </cell>
          <cell r="N3982" t="str">
            <v>3412</v>
          </cell>
          <cell r="O3982" t="str">
            <v>1122</v>
          </cell>
        </row>
        <row r="3983">
          <cell r="D3983" t="str">
            <v>CTGS</v>
          </cell>
          <cell r="N3983" t="str">
            <v>635</v>
          </cell>
          <cell r="O3983" t="str">
            <v>3412</v>
          </cell>
        </row>
        <row r="3984">
          <cell r="D3984" t="str">
            <v>GBN</v>
          </cell>
          <cell r="N3984" t="str">
            <v>1121</v>
          </cell>
          <cell r="O3984" t="str">
            <v>1122</v>
          </cell>
        </row>
        <row r="3985">
          <cell r="D3985" t="str">
            <v>GBC</v>
          </cell>
          <cell r="N3985" t="str">
            <v>1122</v>
          </cell>
          <cell r="O3985" t="str">
            <v>3412</v>
          </cell>
        </row>
        <row r="3986">
          <cell r="D3986" t="str">
            <v>GBN</v>
          </cell>
          <cell r="N3986" t="str">
            <v>3412</v>
          </cell>
          <cell r="O3986" t="str">
            <v>1122</v>
          </cell>
        </row>
        <row r="3987">
          <cell r="D3987" t="str">
            <v>GBN</v>
          </cell>
          <cell r="N3987" t="str">
            <v>1121</v>
          </cell>
          <cell r="O3987" t="str">
            <v>1122</v>
          </cell>
        </row>
        <row r="3988">
          <cell r="D3988" t="str">
            <v>GBC</v>
          </cell>
          <cell r="N3988" t="str">
            <v>1122</v>
          </cell>
          <cell r="O3988" t="str">
            <v>131</v>
          </cell>
        </row>
        <row r="3989">
          <cell r="D3989" t="str">
            <v>CTGS</v>
          </cell>
          <cell r="N3989" t="str">
            <v>642</v>
          </cell>
          <cell r="O3989" t="str">
            <v>131</v>
          </cell>
        </row>
        <row r="3990">
          <cell r="D3990" t="str">
            <v>CTGS</v>
          </cell>
          <cell r="N3990" t="str">
            <v>131</v>
          </cell>
          <cell r="O3990" t="str">
            <v>515</v>
          </cell>
        </row>
        <row r="3991">
          <cell r="D3991" t="str">
            <v>GBN</v>
          </cell>
          <cell r="N3991" t="str">
            <v>635</v>
          </cell>
          <cell r="O3991" t="str">
            <v>1122</v>
          </cell>
        </row>
        <row r="3992">
          <cell r="D3992" t="str">
            <v>GBN</v>
          </cell>
          <cell r="N3992" t="str">
            <v>3412</v>
          </cell>
          <cell r="O3992" t="str">
            <v>1122</v>
          </cell>
        </row>
        <row r="3993">
          <cell r="D3993" t="str">
            <v>CTGS</v>
          </cell>
          <cell r="N3993" t="str">
            <v>635</v>
          </cell>
          <cell r="O3993" t="str">
            <v>3412</v>
          </cell>
        </row>
        <row r="3994">
          <cell r="D3994" t="str">
            <v>GBC</v>
          </cell>
          <cell r="N3994" t="str">
            <v>1122</v>
          </cell>
          <cell r="O3994" t="str">
            <v>131</v>
          </cell>
        </row>
        <row r="3995">
          <cell r="D3995" t="str">
            <v>CTGS</v>
          </cell>
          <cell r="N3995" t="str">
            <v>642</v>
          </cell>
          <cell r="O3995" t="str">
            <v>131</v>
          </cell>
        </row>
        <row r="3996">
          <cell r="D3996" t="str">
            <v>GBN</v>
          </cell>
          <cell r="N3996" t="str">
            <v>3412</v>
          </cell>
          <cell r="O3996" t="str">
            <v>1122</v>
          </cell>
        </row>
        <row r="3997">
          <cell r="D3997" t="str">
            <v>CTGS</v>
          </cell>
          <cell r="N3997" t="str">
            <v>635</v>
          </cell>
          <cell r="O3997" t="str">
            <v>3412</v>
          </cell>
        </row>
        <row r="3998">
          <cell r="D3998" t="str">
            <v>GBC</v>
          </cell>
          <cell r="N3998" t="str">
            <v>1122</v>
          </cell>
          <cell r="O3998" t="str">
            <v>131</v>
          </cell>
        </row>
        <row r="3999">
          <cell r="D3999" t="str">
            <v>CTGS</v>
          </cell>
          <cell r="N3999" t="str">
            <v>642</v>
          </cell>
          <cell r="O3999" t="str">
            <v>131</v>
          </cell>
        </row>
        <row r="4000">
          <cell r="D4000" t="str">
            <v>CTGS</v>
          </cell>
          <cell r="N4000" t="str">
            <v>131</v>
          </cell>
          <cell r="O4000" t="str">
            <v>515</v>
          </cell>
        </row>
        <row r="4001">
          <cell r="D4001" t="str">
            <v>GBN</v>
          </cell>
          <cell r="N4001" t="str">
            <v>635</v>
          </cell>
          <cell r="O4001" t="str">
            <v>1122</v>
          </cell>
        </row>
        <row r="4002">
          <cell r="D4002" t="str">
            <v>GBN</v>
          </cell>
          <cell r="N4002" t="str">
            <v>635</v>
          </cell>
          <cell r="O4002" t="str">
            <v>1122</v>
          </cell>
        </row>
        <row r="4003">
          <cell r="D4003" t="str">
            <v>GBN</v>
          </cell>
          <cell r="N4003" t="str">
            <v>635</v>
          </cell>
          <cell r="O4003" t="str">
            <v>1122</v>
          </cell>
        </row>
        <row r="4004">
          <cell r="D4004" t="str">
            <v>GBN</v>
          </cell>
          <cell r="N4004" t="str">
            <v>3412</v>
          </cell>
          <cell r="O4004" t="str">
            <v>1122</v>
          </cell>
        </row>
        <row r="4005">
          <cell r="D4005" t="str">
            <v>GBN</v>
          </cell>
          <cell r="N4005" t="str">
            <v>1122</v>
          </cell>
          <cell r="O4005" t="str">
            <v>1122</v>
          </cell>
        </row>
        <row r="4006">
          <cell r="D4006" t="str">
            <v>GBN</v>
          </cell>
          <cell r="N4006" t="str">
            <v>642</v>
          </cell>
          <cell r="O4006" t="str">
            <v>1122</v>
          </cell>
        </row>
        <row r="4007">
          <cell r="D4007" t="str">
            <v>GBN</v>
          </cell>
          <cell r="N4007" t="str">
            <v>1331</v>
          </cell>
          <cell r="O4007" t="str">
            <v>1122</v>
          </cell>
        </row>
        <row r="4008">
          <cell r="D4008" t="str">
            <v>GBN</v>
          </cell>
          <cell r="N4008" t="str">
            <v>1122</v>
          </cell>
          <cell r="O4008" t="str">
            <v>1122</v>
          </cell>
        </row>
        <row r="4009">
          <cell r="D4009" t="str">
            <v>GBN</v>
          </cell>
          <cell r="N4009" t="str">
            <v>642</v>
          </cell>
          <cell r="O4009" t="str">
            <v>1122</v>
          </cell>
        </row>
        <row r="4010">
          <cell r="D4010" t="str">
            <v>GBN</v>
          </cell>
          <cell r="N4010" t="str">
            <v>1331</v>
          </cell>
          <cell r="O4010" t="str">
            <v>1122</v>
          </cell>
        </row>
        <row r="4011">
          <cell r="D4011" t="str">
            <v>GBN</v>
          </cell>
          <cell r="N4011" t="str">
            <v>635</v>
          </cell>
          <cell r="O4011" t="str">
            <v>1122</v>
          </cell>
        </row>
        <row r="4012">
          <cell r="D4012" t="str">
            <v>GBN</v>
          </cell>
          <cell r="N4012" t="str">
            <v>1122</v>
          </cell>
          <cell r="O4012" t="str">
            <v>3412</v>
          </cell>
        </row>
        <row r="4013">
          <cell r="D4013" t="str">
            <v>GBN</v>
          </cell>
          <cell r="N4013" t="str">
            <v>635</v>
          </cell>
          <cell r="O4013" t="str">
            <v>1122</v>
          </cell>
        </row>
        <row r="4014">
          <cell r="D4014" t="str">
            <v>GBN</v>
          </cell>
          <cell r="N4014" t="str">
            <v>635</v>
          </cell>
          <cell r="O4014" t="str">
            <v>1122</v>
          </cell>
        </row>
        <row r="4015">
          <cell r="D4015" t="str">
            <v>GBN</v>
          </cell>
          <cell r="N4015" t="str">
            <v>635</v>
          </cell>
          <cell r="O4015" t="str">
            <v>1122</v>
          </cell>
        </row>
        <row r="4016">
          <cell r="D4016" t="str">
            <v>GBN</v>
          </cell>
          <cell r="N4016" t="str">
            <v>3412</v>
          </cell>
          <cell r="O4016" t="str">
            <v>1122</v>
          </cell>
        </row>
        <row r="4017">
          <cell r="D4017" t="str">
            <v>GBN</v>
          </cell>
          <cell r="N4017" t="str">
            <v>3412</v>
          </cell>
          <cell r="O4017" t="str">
            <v>515</v>
          </cell>
        </row>
        <row r="4018">
          <cell r="D4018" t="str">
            <v>GBN</v>
          </cell>
          <cell r="N4018" t="str">
            <v>635</v>
          </cell>
          <cell r="O4018" t="str">
            <v>1122</v>
          </cell>
        </row>
        <row r="4019">
          <cell r="D4019" t="str">
            <v>GBN</v>
          </cell>
          <cell r="N4019" t="str">
            <v>635</v>
          </cell>
          <cell r="O4019" t="str">
            <v>1122</v>
          </cell>
        </row>
        <row r="4020">
          <cell r="D4020" t="str">
            <v>GBN</v>
          </cell>
          <cell r="N4020" t="str">
            <v>635</v>
          </cell>
          <cell r="O4020" t="str">
            <v>1122</v>
          </cell>
        </row>
        <row r="4021">
          <cell r="D4021" t="str">
            <v>GBN</v>
          </cell>
          <cell r="N4021" t="str">
            <v>635</v>
          </cell>
          <cell r="O4021" t="str">
            <v>1122</v>
          </cell>
        </row>
        <row r="4022">
          <cell r="D4022" t="str">
            <v>GBN</v>
          </cell>
          <cell r="N4022" t="str">
            <v>635</v>
          </cell>
          <cell r="O4022" t="str">
            <v>1122</v>
          </cell>
        </row>
        <row r="4023">
          <cell r="D4023" t="str">
            <v>GBN</v>
          </cell>
          <cell r="N4023" t="str">
            <v>635</v>
          </cell>
          <cell r="O4023" t="str">
            <v>1122</v>
          </cell>
        </row>
        <row r="4024">
          <cell r="D4024" t="str">
            <v>GBN</v>
          </cell>
          <cell r="N4024" t="str">
            <v>635</v>
          </cell>
          <cell r="O4024" t="str">
            <v>1122</v>
          </cell>
        </row>
        <row r="4025">
          <cell r="D4025" t="str">
            <v>GBN</v>
          </cell>
          <cell r="N4025" t="str">
            <v>635</v>
          </cell>
          <cell r="O4025" t="str">
            <v>1122</v>
          </cell>
        </row>
        <row r="4026">
          <cell r="D4026" t="str">
            <v>GBN</v>
          </cell>
          <cell r="N4026" t="str">
            <v>635</v>
          </cell>
          <cell r="O4026" t="str">
            <v>1122</v>
          </cell>
        </row>
        <row r="4027">
          <cell r="D4027" t="str">
            <v>GBN</v>
          </cell>
          <cell r="N4027" t="str">
            <v>635</v>
          </cell>
          <cell r="O4027" t="str">
            <v>1122</v>
          </cell>
        </row>
        <row r="4028">
          <cell r="D4028" t="str">
            <v>GBN</v>
          </cell>
          <cell r="N4028" t="str">
            <v>635</v>
          </cell>
          <cell r="O4028" t="str">
            <v>1122</v>
          </cell>
        </row>
        <row r="4029">
          <cell r="D4029" t="str">
            <v>GBN</v>
          </cell>
          <cell r="N4029" t="str">
            <v>635</v>
          </cell>
          <cell r="O4029" t="str">
            <v>1122</v>
          </cell>
        </row>
        <row r="4030">
          <cell r="D4030" t="str">
            <v>GBN</v>
          </cell>
          <cell r="N4030" t="str">
            <v>635</v>
          </cell>
          <cell r="O4030" t="str">
            <v>1122</v>
          </cell>
        </row>
        <row r="4031">
          <cell r="D4031" t="str">
            <v>GBN</v>
          </cell>
          <cell r="N4031" t="str">
            <v>635</v>
          </cell>
          <cell r="O4031" t="str">
            <v>1122</v>
          </cell>
        </row>
        <row r="4032">
          <cell r="D4032" t="str">
            <v>GBC</v>
          </cell>
          <cell r="N4032" t="str">
            <v>1122</v>
          </cell>
          <cell r="O4032" t="str">
            <v>131</v>
          </cell>
        </row>
        <row r="4033">
          <cell r="D4033" t="str">
            <v>CTGS</v>
          </cell>
          <cell r="N4033" t="str">
            <v>642</v>
          </cell>
          <cell r="O4033" t="str">
            <v>131</v>
          </cell>
        </row>
        <row r="4034">
          <cell r="D4034" t="str">
            <v>CTGS</v>
          </cell>
          <cell r="N4034" t="str">
            <v>131</v>
          </cell>
          <cell r="O4034" t="str">
            <v>515</v>
          </cell>
        </row>
        <row r="4035">
          <cell r="D4035" t="str">
            <v>GBN</v>
          </cell>
          <cell r="N4035" t="str">
            <v>1122</v>
          </cell>
          <cell r="O4035" t="str">
            <v>1122</v>
          </cell>
        </row>
        <row r="4036">
          <cell r="D4036" t="str">
            <v>GBN</v>
          </cell>
          <cell r="N4036" t="str">
            <v>642</v>
          </cell>
          <cell r="O4036" t="str">
            <v>1122</v>
          </cell>
        </row>
        <row r="4037">
          <cell r="D4037" t="str">
            <v>GBN</v>
          </cell>
          <cell r="N4037" t="str">
            <v>1331</v>
          </cell>
          <cell r="O4037" t="str">
            <v>1122</v>
          </cell>
        </row>
        <row r="4038">
          <cell r="D4038" t="str">
            <v>GBN</v>
          </cell>
          <cell r="N4038" t="str">
            <v>1122</v>
          </cell>
          <cell r="O4038" t="str">
            <v>1122</v>
          </cell>
        </row>
        <row r="4039">
          <cell r="D4039" t="str">
            <v>GBN</v>
          </cell>
          <cell r="N4039" t="str">
            <v>642</v>
          </cell>
          <cell r="O4039" t="str">
            <v>1122</v>
          </cell>
        </row>
        <row r="4040">
          <cell r="D4040" t="str">
            <v>GBN</v>
          </cell>
          <cell r="N4040" t="str">
            <v>1331</v>
          </cell>
          <cell r="O4040" t="str">
            <v>1122</v>
          </cell>
        </row>
        <row r="4041">
          <cell r="D4041" t="str">
            <v>GBN</v>
          </cell>
          <cell r="N4041" t="str">
            <v>635</v>
          </cell>
          <cell r="O4041" t="str">
            <v>1122</v>
          </cell>
        </row>
        <row r="4042">
          <cell r="D4042" t="str">
            <v>GBN</v>
          </cell>
          <cell r="N4042" t="str">
            <v>3412</v>
          </cell>
          <cell r="O4042" t="str">
            <v>1122</v>
          </cell>
        </row>
        <row r="4043">
          <cell r="D4043" t="str">
            <v>GBN</v>
          </cell>
          <cell r="N4043" t="str">
            <v>635</v>
          </cell>
          <cell r="O4043" t="str">
            <v>1122</v>
          </cell>
        </row>
        <row r="4044">
          <cell r="D4044" t="str">
            <v>GBN</v>
          </cell>
          <cell r="N4044" t="str">
            <v>3412</v>
          </cell>
          <cell r="O4044" t="str">
            <v>1122</v>
          </cell>
        </row>
        <row r="4045">
          <cell r="D4045" t="str">
            <v>CTGS</v>
          </cell>
          <cell r="N4045" t="str">
            <v>635</v>
          </cell>
          <cell r="O4045" t="str">
            <v>3412</v>
          </cell>
        </row>
        <row r="4046">
          <cell r="D4046" t="str">
            <v>GBN</v>
          </cell>
          <cell r="N4046" t="str">
            <v>635</v>
          </cell>
          <cell r="O4046" t="str">
            <v>1122</v>
          </cell>
        </row>
        <row r="4047">
          <cell r="D4047" t="str">
            <v>GBN</v>
          </cell>
          <cell r="N4047" t="str">
            <v>3412</v>
          </cell>
          <cell r="O4047" t="str">
            <v>1122</v>
          </cell>
        </row>
        <row r="4048">
          <cell r="D4048" t="str">
            <v>CTGS</v>
          </cell>
          <cell r="N4048" t="str">
            <v>635</v>
          </cell>
          <cell r="O4048" t="str">
            <v>3412</v>
          </cell>
        </row>
        <row r="4049">
          <cell r="D4049" t="str">
            <v>GBN</v>
          </cell>
          <cell r="N4049" t="str">
            <v>635</v>
          </cell>
          <cell r="O4049" t="str">
            <v>1122</v>
          </cell>
        </row>
        <row r="4050">
          <cell r="D4050" t="str">
            <v>GBN</v>
          </cell>
          <cell r="N4050" t="str">
            <v>3412</v>
          </cell>
          <cell r="O4050" t="str">
            <v>1122</v>
          </cell>
        </row>
        <row r="4051">
          <cell r="D4051" t="str">
            <v>GBN</v>
          </cell>
          <cell r="N4051" t="str">
            <v>635</v>
          </cell>
          <cell r="O4051" t="str">
            <v>1122</v>
          </cell>
        </row>
        <row r="4052">
          <cell r="D4052" t="str">
            <v>GBC</v>
          </cell>
          <cell r="N4052" t="str">
            <v>1122</v>
          </cell>
          <cell r="O4052" t="str">
            <v>131</v>
          </cell>
        </row>
        <row r="4053">
          <cell r="D4053" t="str">
            <v>CTGS</v>
          </cell>
          <cell r="N4053" t="str">
            <v>642</v>
          </cell>
          <cell r="O4053" t="str">
            <v>131</v>
          </cell>
        </row>
        <row r="4054">
          <cell r="D4054" t="str">
            <v>CTGS</v>
          </cell>
          <cell r="N4054" t="str">
            <v>131</v>
          </cell>
          <cell r="O4054" t="str">
            <v>515</v>
          </cell>
        </row>
        <row r="4055">
          <cell r="D4055" t="str">
            <v>GBC</v>
          </cell>
          <cell r="N4055" t="str">
            <v>1122</v>
          </cell>
          <cell r="O4055" t="str">
            <v>131</v>
          </cell>
        </row>
        <row r="4056">
          <cell r="D4056" t="str">
            <v>CTGS</v>
          </cell>
          <cell r="N4056" t="str">
            <v>642</v>
          </cell>
          <cell r="O4056" t="str">
            <v>131</v>
          </cell>
        </row>
        <row r="4057">
          <cell r="D4057" t="str">
            <v>CTGS</v>
          </cell>
          <cell r="N4057" t="str">
            <v>131</v>
          </cell>
          <cell r="O4057" t="str">
            <v>515</v>
          </cell>
        </row>
        <row r="4058">
          <cell r="D4058" t="str">
            <v>GBN</v>
          </cell>
          <cell r="N4058" t="str">
            <v>1122</v>
          </cell>
          <cell r="O4058" t="str">
            <v>1122</v>
          </cell>
        </row>
        <row r="4059">
          <cell r="D4059" t="str">
            <v>GBN</v>
          </cell>
          <cell r="N4059" t="str">
            <v>642</v>
          </cell>
          <cell r="O4059" t="str">
            <v>1122</v>
          </cell>
        </row>
        <row r="4060">
          <cell r="D4060" t="str">
            <v>GBN</v>
          </cell>
          <cell r="N4060" t="str">
            <v>1331</v>
          </cell>
          <cell r="O4060" t="str">
            <v>1122</v>
          </cell>
        </row>
        <row r="4061">
          <cell r="D4061" t="str">
            <v>GBC</v>
          </cell>
          <cell r="N4061" t="str">
            <v>1122</v>
          </cell>
          <cell r="O4061" t="str">
            <v>131</v>
          </cell>
        </row>
        <row r="4062">
          <cell r="D4062" t="str">
            <v>CTGS</v>
          </cell>
          <cell r="N4062" t="str">
            <v>642</v>
          </cell>
          <cell r="O4062" t="str">
            <v>131</v>
          </cell>
        </row>
        <row r="4063">
          <cell r="D4063" t="str">
            <v>GBC</v>
          </cell>
          <cell r="N4063" t="str">
            <v>1122</v>
          </cell>
          <cell r="O4063" t="str">
            <v>131</v>
          </cell>
        </row>
        <row r="4064">
          <cell r="D4064" t="str">
            <v>CTGS</v>
          </cell>
          <cell r="N4064" t="str">
            <v>642</v>
          </cell>
          <cell r="O4064" t="str">
            <v>131</v>
          </cell>
        </row>
        <row r="4065">
          <cell r="D4065" t="str">
            <v>CTGS</v>
          </cell>
          <cell r="N4065" t="str">
            <v>131</v>
          </cell>
          <cell r="O4065" t="str">
            <v>515</v>
          </cell>
        </row>
        <row r="4066">
          <cell r="D4066" t="str">
            <v>GBN</v>
          </cell>
          <cell r="N4066" t="str">
            <v>3412</v>
          </cell>
          <cell r="O4066" t="str">
            <v>1122</v>
          </cell>
        </row>
        <row r="4067">
          <cell r="D4067" t="str">
            <v>GBN</v>
          </cell>
          <cell r="N4067" t="str">
            <v>635</v>
          </cell>
          <cell r="O4067" t="str">
            <v>1122</v>
          </cell>
        </row>
        <row r="4068">
          <cell r="D4068" t="str">
            <v>CTGS</v>
          </cell>
          <cell r="N4068" t="str">
            <v>635</v>
          </cell>
          <cell r="O4068" t="str">
            <v>3412</v>
          </cell>
        </row>
        <row r="4069">
          <cell r="D4069" t="str">
            <v>GBN</v>
          </cell>
          <cell r="N4069" t="str">
            <v>3412</v>
          </cell>
          <cell r="O4069" t="str">
            <v>1122</v>
          </cell>
        </row>
        <row r="4070">
          <cell r="D4070" t="str">
            <v>GBN</v>
          </cell>
          <cell r="N4070" t="str">
            <v>635</v>
          </cell>
          <cell r="O4070" t="str">
            <v>1122</v>
          </cell>
        </row>
        <row r="4071">
          <cell r="D4071" t="str">
            <v>CTGS</v>
          </cell>
          <cell r="N4071" t="str">
            <v>3412</v>
          </cell>
          <cell r="O4071" t="str">
            <v>515</v>
          </cell>
        </row>
        <row r="4072">
          <cell r="D4072" t="str">
            <v>GBC</v>
          </cell>
          <cell r="N4072" t="str">
            <v>1122</v>
          </cell>
          <cell r="O4072" t="str">
            <v>131</v>
          </cell>
        </row>
        <row r="4073">
          <cell r="D4073" t="str">
            <v>CTGS</v>
          </cell>
          <cell r="N4073" t="str">
            <v>642</v>
          </cell>
          <cell r="O4073" t="str">
            <v>131</v>
          </cell>
        </row>
        <row r="4074">
          <cell r="D4074" t="str">
            <v>CTGS</v>
          </cell>
          <cell r="N4074" t="str">
            <v>131</v>
          </cell>
          <cell r="O4074" t="str">
            <v>515</v>
          </cell>
        </row>
        <row r="4075">
          <cell r="D4075" t="str">
            <v>GBN</v>
          </cell>
          <cell r="N4075" t="str">
            <v>3412</v>
          </cell>
          <cell r="O4075" t="str">
            <v>1122</v>
          </cell>
        </row>
        <row r="4076">
          <cell r="D4076" t="str">
            <v>GBN</v>
          </cell>
          <cell r="N4076" t="str">
            <v>635</v>
          </cell>
          <cell r="O4076" t="str">
            <v>1122</v>
          </cell>
        </row>
        <row r="4077">
          <cell r="D4077" t="str">
            <v>CTGS</v>
          </cell>
          <cell r="N4077" t="str">
            <v>635</v>
          </cell>
          <cell r="O4077" t="str">
            <v>3412</v>
          </cell>
        </row>
        <row r="4078">
          <cell r="D4078" t="str">
            <v>GBC</v>
          </cell>
          <cell r="N4078" t="str">
            <v>1122</v>
          </cell>
          <cell r="O4078" t="str">
            <v>131</v>
          </cell>
        </row>
        <row r="4079">
          <cell r="D4079" t="str">
            <v>CTGS</v>
          </cell>
          <cell r="N4079" t="str">
            <v>642</v>
          </cell>
          <cell r="O4079" t="str">
            <v>131</v>
          </cell>
        </row>
        <row r="4080">
          <cell r="D4080" t="str">
            <v>CTGS</v>
          </cell>
          <cell r="N4080" t="str">
            <v>131</v>
          </cell>
          <cell r="O4080" t="str">
            <v>515</v>
          </cell>
        </row>
        <row r="4081">
          <cell r="D4081" t="str">
            <v>GBN</v>
          </cell>
          <cell r="N4081" t="str">
            <v>1122</v>
          </cell>
          <cell r="O4081" t="str">
            <v>1122</v>
          </cell>
        </row>
        <row r="4082">
          <cell r="D4082" t="str">
            <v>GBN</v>
          </cell>
          <cell r="N4082" t="str">
            <v>642</v>
          </cell>
          <cell r="O4082" t="str">
            <v>1122</v>
          </cell>
        </row>
        <row r="4083">
          <cell r="D4083" t="str">
            <v>GBN</v>
          </cell>
          <cell r="N4083" t="str">
            <v>1331</v>
          </cell>
          <cell r="O4083" t="str">
            <v>1122</v>
          </cell>
        </row>
        <row r="4084">
          <cell r="D4084" t="str">
            <v>GBN</v>
          </cell>
          <cell r="N4084" t="str">
            <v>3412</v>
          </cell>
          <cell r="O4084" t="str">
            <v>1122</v>
          </cell>
        </row>
        <row r="4085">
          <cell r="D4085" t="str">
            <v>GBC</v>
          </cell>
          <cell r="N4085" t="str">
            <v>1122</v>
          </cell>
          <cell r="O4085" t="str">
            <v>3412</v>
          </cell>
        </row>
        <row r="4086">
          <cell r="D4086" t="str">
            <v>GBN</v>
          </cell>
          <cell r="N4086" t="str">
            <v>635</v>
          </cell>
          <cell r="O4086" t="str">
            <v>1122</v>
          </cell>
        </row>
        <row r="4087">
          <cell r="D4087" t="str">
            <v>GBN</v>
          </cell>
          <cell r="N4087" t="str">
            <v>635</v>
          </cell>
          <cell r="O4087" t="str">
            <v>1122</v>
          </cell>
        </row>
        <row r="4088">
          <cell r="D4088" t="str">
            <v>GBN</v>
          </cell>
          <cell r="N4088" t="str">
            <v>3412</v>
          </cell>
          <cell r="O4088" t="str">
            <v>1122</v>
          </cell>
        </row>
        <row r="4089">
          <cell r="D4089" t="str">
            <v>CTGS</v>
          </cell>
          <cell r="N4089" t="str">
            <v>635</v>
          </cell>
          <cell r="O4089" t="str">
            <v>3412</v>
          </cell>
        </row>
        <row r="4090">
          <cell r="D4090" t="str">
            <v>GBC</v>
          </cell>
          <cell r="N4090" t="str">
            <v>1122</v>
          </cell>
          <cell r="O4090" t="str">
            <v>131</v>
          </cell>
        </row>
        <row r="4091">
          <cell r="D4091" t="str">
            <v>CTGS</v>
          </cell>
          <cell r="N4091" t="str">
            <v>642</v>
          </cell>
          <cell r="O4091" t="str">
            <v>131</v>
          </cell>
        </row>
        <row r="4092">
          <cell r="D4092" t="str">
            <v>CTGS</v>
          </cell>
          <cell r="N4092" t="str">
            <v>131</v>
          </cell>
          <cell r="O4092" t="str">
            <v>515</v>
          </cell>
        </row>
        <row r="4093">
          <cell r="D4093" t="str">
            <v>GBN</v>
          </cell>
          <cell r="N4093" t="str">
            <v>1122</v>
          </cell>
          <cell r="O4093" t="str">
            <v>1122</v>
          </cell>
        </row>
        <row r="4094">
          <cell r="D4094" t="str">
            <v>GBN</v>
          </cell>
          <cell r="N4094" t="str">
            <v>642</v>
          </cell>
          <cell r="O4094" t="str">
            <v>1122</v>
          </cell>
        </row>
        <row r="4095">
          <cell r="D4095" t="str">
            <v>GBN</v>
          </cell>
          <cell r="N4095" t="str">
            <v>1331</v>
          </cell>
          <cell r="O4095" t="str">
            <v>1122</v>
          </cell>
        </row>
        <row r="4096">
          <cell r="D4096" t="str">
            <v>GBC</v>
          </cell>
          <cell r="N4096" t="str">
            <v>1122</v>
          </cell>
          <cell r="O4096" t="str">
            <v>131</v>
          </cell>
        </row>
        <row r="4097">
          <cell r="D4097" t="str">
            <v>CTGS</v>
          </cell>
          <cell r="N4097" t="str">
            <v>642</v>
          </cell>
          <cell r="O4097" t="str">
            <v>131</v>
          </cell>
        </row>
        <row r="4098">
          <cell r="D4098" t="str">
            <v>CTGS</v>
          </cell>
          <cell r="N4098" t="str">
            <v>131</v>
          </cell>
          <cell r="O4098" t="str">
            <v>515</v>
          </cell>
        </row>
        <row r="4099">
          <cell r="D4099" t="str">
            <v>GBN</v>
          </cell>
          <cell r="N4099" t="str">
            <v>635</v>
          </cell>
          <cell r="O4099" t="str">
            <v>1122</v>
          </cell>
        </row>
        <row r="4100">
          <cell r="D4100" t="str">
            <v>GBN</v>
          </cell>
          <cell r="N4100" t="str">
            <v>3412</v>
          </cell>
          <cell r="O4100" t="str">
            <v>1122</v>
          </cell>
        </row>
        <row r="4101">
          <cell r="D4101" t="str">
            <v>CTGS</v>
          </cell>
          <cell r="N4101" t="str">
            <v>635</v>
          </cell>
          <cell r="O4101" t="str">
            <v>3412</v>
          </cell>
        </row>
        <row r="4102">
          <cell r="D4102" t="str">
            <v>GBC</v>
          </cell>
          <cell r="N4102" t="str">
            <v>1122</v>
          </cell>
          <cell r="O4102" t="str">
            <v>131</v>
          </cell>
        </row>
        <row r="4103">
          <cell r="D4103" t="str">
            <v>CTGS</v>
          </cell>
          <cell r="N4103" t="str">
            <v>642</v>
          </cell>
          <cell r="O4103" t="str">
            <v>131</v>
          </cell>
        </row>
        <row r="4104">
          <cell r="D4104" t="str">
            <v>CTGS</v>
          </cell>
          <cell r="N4104" t="str">
            <v>131</v>
          </cell>
          <cell r="O4104" t="str">
            <v>515</v>
          </cell>
        </row>
        <row r="4105">
          <cell r="D4105" t="str">
            <v>GBN</v>
          </cell>
          <cell r="N4105" t="str">
            <v>1122</v>
          </cell>
          <cell r="O4105" t="str">
            <v>1122</v>
          </cell>
        </row>
        <row r="4106">
          <cell r="D4106" t="str">
            <v>GBN</v>
          </cell>
          <cell r="N4106" t="str">
            <v>642</v>
          </cell>
          <cell r="O4106" t="str">
            <v>1122</v>
          </cell>
        </row>
        <row r="4107">
          <cell r="D4107" t="str">
            <v>GBN</v>
          </cell>
          <cell r="N4107" t="str">
            <v>1331</v>
          </cell>
          <cell r="O4107" t="str">
            <v>1122</v>
          </cell>
        </row>
        <row r="4108">
          <cell r="D4108" t="str">
            <v>GBN</v>
          </cell>
          <cell r="N4108" t="str">
            <v>635</v>
          </cell>
          <cell r="O4108" t="str">
            <v>1122</v>
          </cell>
        </row>
        <row r="4109">
          <cell r="D4109" t="str">
            <v>GBN</v>
          </cell>
          <cell r="N4109" t="str">
            <v>635</v>
          </cell>
          <cell r="O4109" t="str">
            <v>1122</v>
          </cell>
        </row>
        <row r="4110">
          <cell r="D4110" t="str">
            <v>GBN</v>
          </cell>
          <cell r="N4110" t="str">
            <v>635</v>
          </cell>
          <cell r="O4110" t="str">
            <v>1122</v>
          </cell>
        </row>
        <row r="4111">
          <cell r="D4111" t="str">
            <v>GBN</v>
          </cell>
          <cell r="N4111" t="str">
            <v>635</v>
          </cell>
          <cell r="O4111" t="str">
            <v>1122</v>
          </cell>
        </row>
        <row r="4112">
          <cell r="D4112" t="str">
            <v>GBN</v>
          </cell>
          <cell r="N4112" t="str">
            <v>635</v>
          </cell>
          <cell r="O4112" t="str">
            <v>1122</v>
          </cell>
        </row>
        <row r="4113">
          <cell r="D4113" t="str">
            <v>GBN</v>
          </cell>
          <cell r="N4113" t="str">
            <v>635</v>
          </cell>
          <cell r="O4113" t="str">
            <v>1122</v>
          </cell>
        </row>
        <row r="4114">
          <cell r="D4114" t="str">
            <v>GBN</v>
          </cell>
          <cell r="N4114" t="str">
            <v>635</v>
          </cell>
          <cell r="O4114" t="str">
            <v>1122</v>
          </cell>
        </row>
        <row r="4115">
          <cell r="D4115" t="str">
            <v>GBN</v>
          </cell>
          <cell r="N4115" t="str">
            <v>635</v>
          </cell>
          <cell r="O4115" t="str">
            <v>1122</v>
          </cell>
        </row>
        <row r="4116">
          <cell r="D4116" t="str">
            <v>GBN</v>
          </cell>
          <cell r="N4116" t="str">
            <v>635</v>
          </cell>
          <cell r="O4116" t="str">
            <v>1122</v>
          </cell>
        </row>
        <row r="4117">
          <cell r="D4117" t="str">
            <v>GBN</v>
          </cell>
          <cell r="N4117" t="str">
            <v>635</v>
          </cell>
          <cell r="O4117" t="str">
            <v>1122</v>
          </cell>
        </row>
        <row r="4118">
          <cell r="D4118" t="str">
            <v>GBN</v>
          </cell>
          <cell r="N4118" t="str">
            <v>635</v>
          </cell>
          <cell r="O4118" t="str">
            <v>1122</v>
          </cell>
        </row>
        <row r="4119">
          <cell r="D4119" t="str">
            <v>GBN</v>
          </cell>
          <cell r="N4119" t="str">
            <v>635</v>
          </cell>
          <cell r="O4119" t="str">
            <v>1122</v>
          </cell>
        </row>
        <row r="4120">
          <cell r="D4120" t="str">
            <v>GBN</v>
          </cell>
          <cell r="N4120" t="str">
            <v>635</v>
          </cell>
          <cell r="O4120" t="str">
            <v>1122</v>
          </cell>
        </row>
        <row r="4121">
          <cell r="D4121" t="str">
            <v>GBN</v>
          </cell>
          <cell r="N4121" t="str">
            <v>635</v>
          </cell>
          <cell r="O4121" t="str">
            <v>1122</v>
          </cell>
        </row>
        <row r="4122">
          <cell r="D4122" t="str">
            <v>GBC</v>
          </cell>
          <cell r="N4122" t="str">
            <v>1121</v>
          </cell>
          <cell r="O4122" t="str">
            <v>1122</v>
          </cell>
        </row>
        <row r="4123">
          <cell r="D4123" t="str">
            <v>GBC</v>
          </cell>
          <cell r="N4123" t="str">
            <v>1122</v>
          </cell>
          <cell r="O4123" t="str">
            <v>131</v>
          </cell>
        </row>
        <row r="4124">
          <cell r="D4124" t="str">
            <v>CTGS</v>
          </cell>
          <cell r="N4124" t="str">
            <v>642</v>
          </cell>
          <cell r="O4124" t="str">
            <v>131</v>
          </cell>
        </row>
        <row r="4125">
          <cell r="D4125" t="str">
            <v>GBN</v>
          </cell>
          <cell r="N4125" t="str">
            <v>3412</v>
          </cell>
          <cell r="O4125" t="str">
            <v>1122</v>
          </cell>
        </row>
        <row r="4126">
          <cell r="D4126" t="str">
            <v>GBN</v>
          </cell>
          <cell r="N4126" t="str">
            <v>635</v>
          </cell>
          <cell r="O4126" t="str">
            <v>1122</v>
          </cell>
        </row>
        <row r="4127">
          <cell r="D4127" t="str">
            <v>CTGS</v>
          </cell>
          <cell r="N4127" t="str">
            <v>635</v>
          </cell>
          <cell r="O4127" t="str">
            <v>3412</v>
          </cell>
        </row>
        <row r="4128">
          <cell r="D4128" t="str">
            <v>GBC</v>
          </cell>
          <cell r="N4128" t="str">
            <v>1122</v>
          </cell>
          <cell r="O4128" t="str">
            <v>131</v>
          </cell>
        </row>
        <row r="4129">
          <cell r="D4129" t="str">
            <v>GBC</v>
          </cell>
          <cell r="N4129" t="str">
            <v>1122</v>
          </cell>
          <cell r="O4129" t="str">
            <v>131</v>
          </cell>
        </row>
        <row r="4130">
          <cell r="D4130" t="str">
            <v>CTGS</v>
          </cell>
          <cell r="N4130" t="str">
            <v>642</v>
          </cell>
          <cell r="O4130" t="str">
            <v>131</v>
          </cell>
        </row>
        <row r="4131">
          <cell r="D4131" t="str">
            <v>GBN</v>
          </cell>
          <cell r="N4131" t="str">
            <v>635</v>
          </cell>
          <cell r="O4131" t="str">
            <v>1122</v>
          </cell>
        </row>
        <row r="4132">
          <cell r="D4132" t="str">
            <v>GBN</v>
          </cell>
          <cell r="N4132" t="str">
            <v>3412</v>
          </cell>
          <cell r="O4132" t="str">
            <v>1122</v>
          </cell>
        </row>
        <row r="4133">
          <cell r="D4133" t="str">
            <v>GBN</v>
          </cell>
          <cell r="N4133" t="str">
            <v>635</v>
          </cell>
          <cell r="O4133" t="str">
            <v>3412</v>
          </cell>
        </row>
        <row r="4134">
          <cell r="D4134" t="str">
            <v>GBC</v>
          </cell>
          <cell r="N4134" t="str">
            <v>1122</v>
          </cell>
          <cell r="O4134" t="str">
            <v>131</v>
          </cell>
        </row>
        <row r="4135">
          <cell r="D4135" t="str">
            <v>CTGS</v>
          </cell>
          <cell r="N4135" t="str">
            <v>642</v>
          </cell>
          <cell r="O4135" t="str">
            <v>131</v>
          </cell>
        </row>
        <row r="4136">
          <cell r="D4136" t="str">
            <v>CTGS</v>
          </cell>
          <cell r="N4136" t="str">
            <v>131</v>
          </cell>
          <cell r="O4136" t="str">
            <v>515</v>
          </cell>
        </row>
        <row r="4137">
          <cell r="D4137" t="str">
            <v>GBN</v>
          </cell>
          <cell r="N4137" t="str">
            <v>635</v>
          </cell>
          <cell r="O4137" t="str">
            <v>1122</v>
          </cell>
        </row>
        <row r="4138">
          <cell r="D4138" t="str">
            <v>GBN</v>
          </cell>
          <cell r="N4138" t="str">
            <v>3412</v>
          </cell>
          <cell r="O4138" t="str">
            <v>1122</v>
          </cell>
        </row>
        <row r="4139">
          <cell r="D4139" t="str">
            <v>CTGS</v>
          </cell>
          <cell r="N4139" t="str">
            <v>635</v>
          </cell>
          <cell r="O4139" t="str">
            <v>3412</v>
          </cell>
        </row>
        <row r="4140">
          <cell r="D4140" t="str">
            <v>GBC</v>
          </cell>
          <cell r="N4140" t="str">
            <v>1122</v>
          </cell>
          <cell r="O4140" t="str">
            <v>131</v>
          </cell>
        </row>
        <row r="4141">
          <cell r="D4141" t="str">
            <v>GBN</v>
          </cell>
          <cell r="N4141" t="str">
            <v>635</v>
          </cell>
          <cell r="O4141" t="str">
            <v>1122</v>
          </cell>
        </row>
        <row r="4142">
          <cell r="D4142" t="str">
            <v>GBN</v>
          </cell>
          <cell r="N4142" t="str">
            <v>3412</v>
          </cell>
          <cell r="O4142" t="str">
            <v>1122</v>
          </cell>
        </row>
        <row r="4143">
          <cell r="D4143" t="str">
            <v>CTGS</v>
          </cell>
          <cell r="N4143" t="str">
            <v>3412</v>
          </cell>
          <cell r="O4143" t="str">
            <v>515</v>
          </cell>
        </row>
        <row r="4144">
          <cell r="D4144" t="str">
            <v>GBC</v>
          </cell>
          <cell r="N4144" t="str">
            <v>1122</v>
          </cell>
          <cell r="O4144" t="str">
            <v>131</v>
          </cell>
        </row>
        <row r="4145">
          <cell r="D4145" t="str">
            <v>GBC</v>
          </cell>
          <cell r="N4145" t="str">
            <v>1121</v>
          </cell>
          <cell r="O4145" t="str">
            <v>1122</v>
          </cell>
        </row>
        <row r="4146">
          <cell r="D4146" t="str">
            <v>GBC</v>
          </cell>
          <cell r="N4146" t="str">
            <v>1122</v>
          </cell>
          <cell r="O4146" t="str">
            <v>131</v>
          </cell>
        </row>
        <row r="4147">
          <cell r="D4147" t="str">
            <v>CTGS</v>
          </cell>
          <cell r="N4147" t="str">
            <v>642</v>
          </cell>
          <cell r="O4147" t="str">
            <v>131</v>
          </cell>
        </row>
        <row r="4148">
          <cell r="D4148" t="str">
            <v>CTGS</v>
          </cell>
          <cell r="N4148" t="str">
            <v>131</v>
          </cell>
          <cell r="O4148" t="str">
            <v>515</v>
          </cell>
        </row>
        <row r="4149">
          <cell r="D4149" t="str">
            <v>GBN</v>
          </cell>
          <cell r="N4149" t="str">
            <v>635</v>
          </cell>
          <cell r="O4149" t="str">
            <v>1122</v>
          </cell>
        </row>
        <row r="4150">
          <cell r="D4150" t="str">
            <v>GBN</v>
          </cell>
          <cell r="N4150" t="str">
            <v>3412</v>
          </cell>
          <cell r="O4150" t="str">
            <v>1122</v>
          </cell>
        </row>
        <row r="4151">
          <cell r="D4151" t="str">
            <v>GBC</v>
          </cell>
          <cell r="N4151" t="str">
            <v>1122</v>
          </cell>
          <cell r="O4151" t="str">
            <v>1122</v>
          </cell>
        </row>
        <row r="4152">
          <cell r="D4152" t="str">
            <v>GBN</v>
          </cell>
          <cell r="N4152" t="str">
            <v>635</v>
          </cell>
          <cell r="O4152" t="str">
            <v>1122</v>
          </cell>
        </row>
        <row r="4153">
          <cell r="D4153" t="str">
            <v>GBN</v>
          </cell>
          <cell r="N4153" t="str">
            <v>3412</v>
          </cell>
          <cell r="O4153" t="str">
            <v>1122</v>
          </cell>
        </row>
        <row r="4154">
          <cell r="D4154" t="str">
            <v>CTGS</v>
          </cell>
          <cell r="N4154" t="str">
            <v>3412</v>
          </cell>
          <cell r="O4154" t="str">
            <v>515</v>
          </cell>
        </row>
        <row r="4155">
          <cell r="D4155" t="str">
            <v>GBC</v>
          </cell>
          <cell r="N4155" t="str">
            <v>1122</v>
          </cell>
          <cell r="O4155" t="str">
            <v>3412</v>
          </cell>
        </row>
        <row r="4156">
          <cell r="D4156" t="str">
            <v>GBN</v>
          </cell>
          <cell r="N4156" t="str">
            <v>635</v>
          </cell>
          <cell r="O4156" t="str">
            <v>1122</v>
          </cell>
        </row>
        <row r="4157">
          <cell r="D4157" t="str">
            <v>GBN</v>
          </cell>
          <cell r="N4157" t="str">
            <v>635</v>
          </cell>
          <cell r="O4157" t="str">
            <v>1122</v>
          </cell>
        </row>
        <row r="4158">
          <cell r="D4158" t="str">
            <v>GBN</v>
          </cell>
          <cell r="N4158" t="str">
            <v>635</v>
          </cell>
          <cell r="O4158" t="str">
            <v>1122</v>
          </cell>
        </row>
        <row r="4159">
          <cell r="D4159" t="str">
            <v>GBN</v>
          </cell>
          <cell r="N4159" t="str">
            <v>635</v>
          </cell>
          <cell r="O4159" t="str">
            <v>1122</v>
          </cell>
        </row>
        <row r="4160">
          <cell r="D4160" t="str">
            <v>GBN</v>
          </cell>
          <cell r="N4160" t="str">
            <v>635</v>
          </cell>
          <cell r="O4160" t="str">
            <v>1122</v>
          </cell>
        </row>
        <row r="4161">
          <cell r="D4161" t="str">
            <v>GBN</v>
          </cell>
          <cell r="N4161" t="str">
            <v>635</v>
          </cell>
          <cell r="O4161" t="str">
            <v>1122</v>
          </cell>
        </row>
        <row r="4162">
          <cell r="D4162" t="str">
            <v>GBN</v>
          </cell>
          <cell r="N4162" t="str">
            <v>635</v>
          </cell>
          <cell r="O4162" t="str">
            <v>1122</v>
          </cell>
        </row>
        <row r="4163">
          <cell r="D4163" t="str">
            <v>GBN</v>
          </cell>
          <cell r="N4163" t="str">
            <v>635</v>
          </cell>
          <cell r="O4163" t="str">
            <v>1122</v>
          </cell>
        </row>
        <row r="4164">
          <cell r="D4164" t="str">
            <v>GBN</v>
          </cell>
          <cell r="N4164" t="str">
            <v>635</v>
          </cell>
          <cell r="O4164" t="str">
            <v>1122</v>
          </cell>
        </row>
        <row r="4165">
          <cell r="D4165" t="str">
            <v>GBN</v>
          </cell>
          <cell r="N4165" t="str">
            <v>635</v>
          </cell>
          <cell r="O4165" t="str">
            <v>1122</v>
          </cell>
        </row>
        <row r="4166">
          <cell r="D4166" t="str">
            <v>GBN</v>
          </cell>
          <cell r="N4166" t="str">
            <v>635</v>
          </cell>
          <cell r="O4166" t="str">
            <v>1122</v>
          </cell>
        </row>
        <row r="4167">
          <cell r="D4167" t="str">
            <v>GBN</v>
          </cell>
          <cell r="N4167" t="str">
            <v>635</v>
          </cell>
          <cell r="O4167" t="str">
            <v>1122</v>
          </cell>
        </row>
        <row r="4168">
          <cell r="D4168" t="str">
            <v>GBN</v>
          </cell>
          <cell r="N4168" t="str">
            <v>635</v>
          </cell>
          <cell r="O4168" t="str">
            <v>1122</v>
          </cell>
        </row>
        <row r="4169">
          <cell r="D4169">
            <v>0</v>
          </cell>
          <cell r="N4169">
            <v>0</v>
          </cell>
          <cell r="O4169">
            <v>0</v>
          </cell>
        </row>
        <row r="4170">
          <cell r="D4170">
            <v>0</v>
          </cell>
          <cell r="N4170">
            <v>0</v>
          </cell>
          <cell r="O4170">
            <v>0</v>
          </cell>
        </row>
        <row r="4171">
          <cell r="D4171">
            <v>0</v>
          </cell>
          <cell r="N4171">
            <v>0</v>
          </cell>
          <cell r="O4171">
            <v>0</v>
          </cell>
        </row>
        <row r="4172">
          <cell r="D4172">
            <v>0</v>
          </cell>
          <cell r="N4172">
            <v>0</v>
          </cell>
          <cell r="O4172">
            <v>0</v>
          </cell>
        </row>
        <row r="4173">
          <cell r="D4173">
            <v>0</v>
          </cell>
          <cell r="N4173">
            <v>0</v>
          </cell>
          <cell r="O4173">
            <v>0</v>
          </cell>
        </row>
        <row r="4174">
          <cell r="D4174">
            <v>0</v>
          </cell>
          <cell r="N4174">
            <v>0</v>
          </cell>
          <cell r="O4174">
            <v>0</v>
          </cell>
        </row>
        <row r="4175">
          <cell r="D4175">
            <v>0</v>
          </cell>
          <cell r="N4175">
            <v>0</v>
          </cell>
          <cell r="O4175">
            <v>0</v>
          </cell>
        </row>
        <row r="4176">
          <cell r="D4176">
            <v>0</v>
          </cell>
          <cell r="N4176">
            <v>0</v>
          </cell>
          <cell r="O4176">
            <v>0</v>
          </cell>
        </row>
        <row r="4177">
          <cell r="D4177">
            <v>0</v>
          </cell>
          <cell r="N4177">
            <v>0</v>
          </cell>
          <cell r="O4177">
            <v>0</v>
          </cell>
        </row>
        <row r="4178">
          <cell r="D4178">
            <v>0</v>
          </cell>
          <cell r="N4178">
            <v>0</v>
          </cell>
          <cell r="O4178">
            <v>0</v>
          </cell>
        </row>
        <row r="4179">
          <cell r="D4179">
            <v>0</v>
          </cell>
          <cell r="N4179">
            <v>0</v>
          </cell>
          <cell r="O4179">
            <v>0</v>
          </cell>
        </row>
        <row r="4180">
          <cell r="D4180">
            <v>0</v>
          </cell>
          <cell r="N4180">
            <v>0</v>
          </cell>
          <cell r="O4180">
            <v>0</v>
          </cell>
        </row>
        <row r="4181">
          <cell r="D4181">
            <v>0</v>
          </cell>
          <cell r="N4181">
            <v>0</v>
          </cell>
          <cell r="O4181">
            <v>0</v>
          </cell>
        </row>
        <row r="4182">
          <cell r="D4182">
            <v>0</v>
          </cell>
          <cell r="N4182">
            <v>0</v>
          </cell>
          <cell r="O4182">
            <v>0</v>
          </cell>
        </row>
        <row r="4183">
          <cell r="D4183" t="str">
            <v>C04</v>
          </cell>
          <cell r="N4183" t="str">
            <v>1121</v>
          </cell>
          <cell r="O4183" t="str">
            <v>1111</v>
          </cell>
        </row>
        <row r="4184">
          <cell r="D4184" t="str">
            <v>GBN</v>
          </cell>
          <cell r="N4184" t="str">
            <v>331</v>
          </cell>
          <cell r="O4184" t="str">
            <v>1121</v>
          </cell>
        </row>
        <row r="4185">
          <cell r="D4185" t="str">
            <v>GBN</v>
          </cell>
          <cell r="N4185" t="str">
            <v>642</v>
          </cell>
          <cell r="O4185" t="str">
            <v>1121</v>
          </cell>
        </row>
        <row r="4186">
          <cell r="D4186" t="str">
            <v>GBN</v>
          </cell>
          <cell r="N4186" t="str">
            <v>1331</v>
          </cell>
          <cell r="O4186" t="str">
            <v>1121</v>
          </cell>
        </row>
        <row r="4187">
          <cell r="D4187" t="str">
            <v>GBN</v>
          </cell>
          <cell r="N4187" t="str">
            <v>331</v>
          </cell>
          <cell r="O4187" t="str">
            <v>1121</v>
          </cell>
        </row>
        <row r="4188">
          <cell r="D4188" t="str">
            <v>GBN</v>
          </cell>
          <cell r="N4188" t="str">
            <v>642</v>
          </cell>
          <cell r="O4188" t="str">
            <v>1121</v>
          </cell>
        </row>
        <row r="4189">
          <cell r="D4189" t="str">
            <v>GBN</v>
          </cell>
          <cell r="N4189" t="str">
            <v>1331</v>
          </cell>
          <cell r="O4189" t="str">
            <v>1121</v>
          </cell>
        </row>
        <row r="4190">
          <cell r="D4190" t="str">
            <v>GBN</v>
          </cell>
          <cell r="N4190" t="str">
            <v>642</v>
          </cell>
          <cell r="O4190" t="str">
            <v>1121</v>
          </cell>
        </row>
        <row r="4191">
          <cell r="D4191" t="str">
            <v>GBC</v>
          </cell>
          <cell r="N4191" t="str">
            <v>1121</v>
          </cell>
          <cell r="O4191" t="str">
            <v>3412</v>
          </cell>
        </row>
        <row r="4192">
          <cell r="D4192" t="str">
            <v>GBN</v>
          </cell>
          <cell r="N4192" t="str">
            <v>642</v>
          </cell>
          <cell r="O4192" t="str">
            <v>1121</v>
          </cell>
        </row>
        <row r="4193">
          <cell r="D4193" t="str">
            <v>T01</v>
          </cell>
          <cell r="N4193" t="str">
            <v>1111</v>
          </cell>
          <cell r="O4193" t="str">
            <v>1121</v>
          </cell>
        </row>
        <row r="4194">
          <cell r="D4194" t="str">
            <v>GBN</v>
          </cell>
          <cell r="N4194" t="str">
            <v>642</v>
          </cell>
          <cell r="O4194" t="str">
            <v>1121</v>
          </cell>
        </row>
        <row r="4195">
          <cell r="D4195" t="str">
            <v>GBN</v>
          </cell>
          <cell r="N4195" t="str">
            <v>331</v>
          </cell>
          <cell r="O4195" t="str">
            <v>1121</v>
          </cell>
        </row>
        <row r="4196">
          <cell r="D4196" t="str">
            <v>GBN</v>
          </cell>
          <cell r="N4196" t="str">
            <v>642</v>
          </cell>
          <cell r="O4196" t="str">
            <v>1121</v>
          </cell>
        </row>
        <row r="4197">
          <cell r="D4197" t="str">
            <v>GBN</v>
          </cell>
          <cell r="N4197" t="str">
            <v>1331</v>
          </cell>
          <cell r="O4197" t="str">
            <v>1121</v>
          </cell>
        </row>
        <row r="4198">
          <cell r="D4198" t="str">
            <v>GBC</v>
          </cell>
          <cell r="N4198" t="str">
            <v>1121</v>
          </cell>
          <cell r="O4198" t="str">
            <v>3412</v>
          </cell>
        </row>
        <row r="4199">
          <cell r="D4199" t="str">
            <v>T03</v>
          </cell>
          <cell r="N4199" t="str">
            <v>1111</v>
          </cell>
          <cell r="O4199" t="str">
            <v>1121</v>
          </cell>
        </row>
        <row r="4200">
          <cell r="D4200" t="str">
            <v>T04</v>
          </cell>
          <cell r="N4200" t="str">
            <v>1111</v>
          </cell>
          <cell r="O4200" t="str">
            <v>1121</v>
          </cell>
        </row>
        <row r="4201">
          <cell r="D4201" t="str">
            <v>GBN</v>
          </cell>
          <cell r="N4201" t="str">
            <v>642</v>
          </cell>
          <cell r="O4201" t="str">
            <v>1121</v>
          </cell>
        </row>
        <row r="4202">
          <cell r="D4202" t="str">
            <v>GBC</v>
          </cell>
          <cell r="N4202" t="str">
            <v>1121</v>
          </cell>
          <cell r="O4202" t="str">
            <v>3412</v>
          </cell>
        </row>
        <row r="4203">
          <cell r="D4203" t="str">
            <v>GBN</v>
          </cell>
          <cell r="N4203" t="str">
            <v>642</v>
          </cell>
          <cell r="O4203" t="str">
            <v>1121</v>
          </cell>
        </row>
        <row r="4204">
          <cell r="D4204" t="str">
            <v>GBN</v>
          </cell>
          <cell r="N4204" t="str">
            <v>642</v>
          </cell>
          <cell r="O4204" t="str">
            <v>1121</v>
          </cell>
        </row>
        <row r="4205">
          <cell r="D4205" t="str">
            <v>T05</v>
          </cell>
          <cell r="N4205" t="str">
            <v>1111</v>
          </cell>
          <cell r="O4205" t="str">
            <v>1121</v>
          </cell>
        </row>
        <row r="4206">
          <cell r="D4206" t="str">
            <v>GBN</v>
          </cell>
          <cell r="N4206" t="str">
            <v>642</v>
          </cell>
          <cell r="O4206" t="str">
            <v>1121</v>
          </cell>
        </row>
        <row r="4207">
          <cell r="D4207" t="str">
            <v>GBC</v>
          </cell>
          <cell r="N4207" t="str">
            <v>1121</v>
          </cell>
          <cell r="O4207" t="str">
            <v>3412</v>
          </cell>
        </row>
        <row r="4208">
          <cell r="D4208" t="str">
            <v>GBC</v>
          </cell>
          <cell r="N4208" t="str">
            <v>1121</v>
          </cell>
          <cell r="O4208" t="str">
            <v>3412</v>
          </cell>
        </row>
        <row r="4209">
          <cell r="D4209" t="str">
            <v>GBN</v>
          </cell>
          <cell r="N4209" t="str">
            <v>331</v>
          </cell>
          <cell r="O4209" t="str">
            <v>1121</v>
          </cell>
        </row>
        <row r="4210">
          <cell r="D4210" t="str">
            <v>GBN</v>
          </cell>
          <cell r="N4210" t="str">
            <v>642</v>
          </cell>
          <cell r="O4210" t="str">
            <v>1121</v>
          </cell>
        </row>
        <row r="4211">
          <cell r="D4211" t="str">
            <v>GBN</v>
          </cell>
          <cell r="N4211" t="str">
            <v>1331</v>
          </cell>
          <cell r="O4211" t="str">
            <v>1121</v>
          </cell>
        </row>
        <row r="4212">
          <cell r="D4212" t="str">
            <v>GBN</v>
          </cell>
          <cell r="N4212" t="str">
            <v>331</v>
          </cell>
          <cell r="O4212" t="str">
            <v>1121</v>
          </cell>
        </row>
        <row r="4213">
          <cell r="D4213" t="str">
            <v>GBN</v>
          </cell>
          <cell r="N4213" t="str">
            <v>642</v>
          </cell>
          <cell r="O4213" t="str">
            <v>1121</v>
          </cell>
        </row>
        <row r="4214">
          <cell r="D4214" t="str">
            <v>GBN</v>
          </cell>
          <cell r="N4214" t="str">
            <v>1331</v>
          </cell>
          <cell r="O4214" t="str">
            <v>1121</v>
          </cell>
        </row>
        <row r="4215">
          <cell r="D4215" t="str">
            <v>GBN</v>
          </cell>
          <cell r="N4215" t="str">
            <v>331</v>
          </cell>
          <cell r="O4215" t="str">
            <v>1121</v>
          </cell>
        </row>
        <row r="4216">
          <cell r="D4216" t="str">
            <v>GBN</v>
          </cell>
          <cell r="N4216" t="str">
            <v>642</v>
          </cell>
          <cell r="O4216" t="str">
            <v>1121</v>
          </cell>
        </row>
        <row r="4217">
          <cell r="D4217" t="str">
            <v>GBN</v>
          </cell>
          <cell r="N4217" t="str">
            <v>1331</v>
          </cell>
          <cell r="O4217" t="str">
            <v>1121</v>
          </cell>
        </row>
        <row r="4218">
          <cell r="D4218" t="str">
            <v>GBC</v>
          </cell>
          <cell r="N4218" t="str">
            <v>1121</v>
          </cell>
          <cell r="O4218" t="str">
            <v>3412</v>
          </cell>
        </row>
        <row r="4219">
          <cell r="D4219" t="str">
            <v>GBN</v>
          </cell>
          <cell r="N4219" t="str">
            <v>331</v>
          </cell>
          <cell r="O4219" t="str">
            <v>1121</v>
          </cell>
        </row>
        <row r="4220">
          <cell r="D4220" t="str">
            <v>GBN</v>
          </cell>
          <cell r="N4220" t="str">
            <v>642</v>
          </cell>
          <cell r="O4220" t="str">
            <v>1121</v>
          </cell>
        </row>
        <row r="4221">
          <cell r="D4221" t="str">
            <v>GBN</v>
          </cell>
          <cell r="N4221" t="str">
            <v>1331</v>
          </cell>
          <cell r="O4221" t="str">
            <v>1121</v>
          </cell>
        </row>
        <row r="4222">
          <cell r="D4222" t="str">
            <v>GBN</v>
          </cell>
          <cell r="N4222" t="str">
            <v>331</v>
          </cell>
          <cell r="O4222" t="str">
            <v>1121</v>
          </cell>
        </row>
        <row r="4223">
          <cell r="D4223" t="str">
            <v>GBN</v>
          </cell>
          <cell r="N4223" t="str">
            <v>642</v>
          </cell>
          <cell r="O4223" t="str">
            <v>1121</v>
          </cell>
        </row>
        <row r="4224">
          <cell r="D4224" t="str">
            <v>GBN</v>
          </cell>
          <cell r="N4224" t="str">
            <v>1331</v>
          </cell>
          <cell r="O4224" t="str">
            <v>1121</v>
          </cell>
        </row>
        <row r="4225">
          <cell r="D4225" t="str">
            <v>GBN</v>
          </cell>
          <cell r="N4225" t="str">
            <v>331</v>
          </cell>
          <cell r="O4225" t="str">
            <v>1121</v>
          </cell>
        </row>
        <row r="4226">
          <cell r="D4226" t="str">
            <v>GBN</v>
          </cell>
          <cell r="N4226" t="str">
            <v>642</v>
          </cell>
          <cell r="O4226" t="str">
            <v>1121</v>
          </cell>
        </row>
        <row r="4227">
          <cell r="D4227" t="str">
            <v>GBN</v>
          </cell>
          <cell r="N4227" t="str">
            <v>1331</v>
          </cell>
          <cell r="O4227" t="str">
            <v>1121</v>
          </cell>
        </row>
        <row r="4228">
          <cell r="D4228" t="str">
            <v>T06</v>
          </cell>
          <cell r="N4228" t="str">
            <v>1111</v>
          </cell>
          <cell r="O4228" t="str">
            <v>1121</v>
          </cell>
        </row>
        <row r="4229">
          <cell r="D4229" t="str">
            <v>T07</v>
          </cell>
          <cell r="N4229" t="str">
            <v>1111</v>
          </cell>
          <cell r="O4229" t="str">
            <v>1121</v>
          </cell>
        </row>
        <row r="4230">
          <cell r="D4230" t="str">
            <v>GBC</v>
          </cell>
          <cell r="N4230" t="str">
            <v>1121</v>
          </cell>
          <cell r="O4230" t="str">
            <v>515</v>
          </cell>
        </row>
        <row r="4231">
          <cell r="D4231" t="str">
            <v>GBN</v>
          </cell>
          <cell r="N4231" t="str">
            <v>642</v>
          </cell>
          <cell r="O4231" t="str">
            <v>1121</v>
          </cell>
        </row>
        <row r="4232">
          <cell r="D4232" t="str">
            <v>GBN</v>
          </cell>
          <cell r="N4232" t="str">
            <v>642</v>
          </cell>
          <cell r="O4232" t="str">
            <v>1121</v>
          </cell>
        </row>
        <row r="4233">
          <cell r="D4233" t="str">
            <v>GBC</v>
          </cell>
          <cell r="N4233" t="str">
            <v>1121</v>
          </cell>
          <cell r="O4233" t="str">
            <v>3412</v>
          </cell>
        </row>
        <row r="4234">
          <cell r="D4234" t="str">
            <v>GBN</v>
          </cell>
          <cell r="N4234" t="str">
            <v>642</v>
          </cell>
          <cell r="O4234" t="str">
            <v>1121</v>
          </cell>
        </row>
        <row r="4235">
          <cell r="D4235" t="str">
            <v>GBN</v>
          </cell>
          <cell r="N4235" t="str">
            <v>642</v>
          </cell>
          <cell r="O4235" t="str">
            <v>1121</v>
          </cell>
        </row>
        <row r="4236">
          <cell r="D4236" t="str">
            <v>GBC</v>
          </cell>
          <cell r="N4236" t="str">
            <v>1121</v>
          </cell>
          <cell r="O4236" t="str">
            <v>3412</v>
          </cell>
        </row>
        <row r="4237">
          <cell r="D4237" t="str">
            <v>GBN</v>
          </cell>
          <cell r="N4237" t="str">
            <v>642</v>
          </cell>
          <cell r="O4237" t="str">
            <v>1121</v>
          </cell>
        </row>
        <row r="4238">
          <cell r="D4238" t="str">
            <v>GBN</v>
          </cell>
          <cell r="N4238" t="str">
            <v>1331</v>
          </cell>
          <cell r="O4238" t="str">
            <v>1121</v>
          </cell>
        </row>
        <row r="4239">
          <cell r="D4239" t="str">
            <v>GBN</v>
          </cell>
          <cell r="N4239" t="str">
            <v>642</v>
          </cell>
          <cell r="O4239" t="str">
            <v>1121</v>
          </cell>
        </row>
        <row r="4240">
          <cell r="D4240" t="str">
            <v>GBN</v>
          </cell>
          <cell r="N4240" t="str">
            <v>1331</v>
          </cell>
          <cell r="O4240" t="str">
            <v>1121</v>
          </cell>
        </row>
        <row r="4241">
          <cell r="D4241" t="str">
            <v>GBN</v>
          </cell>
          <cell r="N4241" t="str">
            <v>1331</v>
          </cell>
          <cell r="O4241" t="str">
            <v>1121</v>
          </cell>
        </row>
        <row r="4242">
          <cell r="D4242" t="str">
            <v>GBN</v>
          </cell>
          <cell r="N4242" t="str">
            <v>331</v>
          </cell>
          <cell r="O4242" t="str">
            <v>1121</v>
          </cell>
        </row>
        <row r="4243">
          <cell r="D4243" t="str">
            <v>GBC</v>
          </cell>
          <cell r="N4243" t="str">
            <v>1121</v>
          </cell>
          <cell r="O4243" t="str">
            <v>3412</v>
          </cell>
        </row>
        <row r="4244">
          <cell r="D4244" t="str">
            <v>GBN</v>
          </cell>
          <cell r="N4244" t="str">
            <v>331</v>
          </cell>
          <cell r="O4244" t="str">
            <v>1121</v>
          </cell>
        </row>
        <row r="4245">
          <cell r="D4245" t="str">
            <v>GBN</v>
          </cell>
          <cell r="N4245" t="str">
            <v>642</v>
          </cell>
          <cell r="O4245" t="str">
            <v>1121</v>
          </cell>
        </row>
        <row r="4246">
          <cell r="D4246" t="str">
            <v>GBN</v>
          </cell>
          <cell r="N4246" t="str">
            <v>1331</v>
          </cell>
          <cell r="O4246" t="str">
            <v>1121</v>
          </cell>
        </row>
        <row r="4247">
          <cell r="D4247" t="str">
            <v>GBN</v>
          </cell>
          <cell r="N4247" t="str">
            <v>331</v>
          </cell>
          <cell r="O4247" t="str">
            <v>1121</v>
          </cell>
        </row>
        <row r="4248">
          <cell r="D4248" t="str">
            <v>GBN</v>
          </cell>
          <cell r="N4248" t="str">
            <v>642</v>
          </cell>
          <cell r="O4248" t="str">
            <v>1121</v>
          </cell>
        </row>
        <row r="4249">
          <cell r="D4249" t="str">
            <v>GBN</v>
          </cell>
          <cell r="N4249" t="str">
            <v>1331</v>
          </cell>
          <cell r="O4249" t="str">
            <v>1121</v>
          </cell>
        </row>
        <row r="4250">
          <cell r="D4250" t="str">
            <v>GBN</v>
          </cell>
          <cell r="N4250" t="str">
            <v>331</v>
          </cell>
          <cell r="O4250" t="str">
            <v>1121</v>
          </cell>
        </row>
        <row r="4251">
          <cell r="D4251" t="str">
            <v>GBN</v>
          </cell>
          <cell r="N4251" t="str">
            <v>642</v>
          </cell>
          <cell r="O4251" t="str">
            <v>1121</v>
          </cell>
        </row>
        <row r="4252">
          <cell r="D4252" t="str">
            <v>GBN</v>
          </cell>
          <cell r="N4252" t="str">
            <v>1331</v>
          </cell>
          <cell r="O4252" t="str">
            <v>1121</v>
          </cell>
        </row>
        <row r="4253">
          <cell r="D4253" t="str">
            <v>GBC</v>
          </cell>
          <cell r="N4253" t="str">
            <v>1121</v>
          </cell>
          <cell r="O4253" t="str">
            <v>3412</v>
          </cell>
        </row>
        <row r="4254">
          <cell r="D4254" t="str">
            <v>GBN</v>
          </cell>
          <cell r="N4254" t="str">
            <v>331</v>
          </cell>
          <cell r="O4254" t="str">
            <v>1121</v>
          </cell>
        </row>
        <row r="4255">
          <cell r="D4255" t="str">
            <v>GBC</v>
          </cell>
          <cell r="N4255" t="str">
            <v>1121</v>
          </cell>
          <cell r="O4255" t="str">
            <v>3412</v>
          </cell>
        </row>
        <row r="4256">
          <cell r="D4256" t="str">
            <v>T02</v>
          </cell>
          <cell r="N4256" t="str">
            <v>1111</v>
          </cell>
          <cell r="O4256" t="str">
            <v>1121</v>
          </cell>
        </row>
        <row r="4257">
          <cell r="D4257" t="str">
            <v>GBN</v>
          </cell>
          <cell r="N4257" t="str">
            <v>642</v>
          </cell>
          <cell r="O4257" t="str">
            <v>1121</v>
          </cell>
        </row>
        <row r="4258">
          <cell r="D4258" t="str">
            <v>GBN</v>
          </cell>
          <cell r="N4258" t="str">
            <v>331</v>
          </cell>
          <cell r="O4258" t="str">
            <v>1121</v>
          </cell>
        </row>
        <row r="4259">
          <cell r="D4259" t="str">
            <v>GBN</v>
          </cell>
          <cell r="N4259" t="str">
            <v>642</v>
          </cell>
          <cell r="O4259" t="str">
            <v>1121</v>
          </cell>
        </row>
        <row r="4260">
          <cell r="D4260" t="str">
            <v>GBN</v>
          </cell>
          <cell r="N4260" t="str">
            <v>1331</v>
          </cell>
          <cell r="O4260" t="str">
            <v>1121</v>
          </cell>
        </row>
        <row r="4261">
          <cell r="D4261" t="str">
            <v>GBN</v>
          </cell>
          <cell r="N4261" t="str">
            <v>642</v>
          </cell>
          <cell r="O4261" t="str">
            <v>1121</v>
          </cell>
        </row>
        <row r="4262">
          <cell r="D4262" t="str">
            <v>T05</v>
          </cell>
          <cell r="N4262" t="str">
            <v>1111</v>
          </cell>
          <cell r="O4262" t="str">
            <v>1121</v>
          </cell>
        </row>
        <row r="4263">
          <cell r="D4263" t="str">
            <v>GBC</v>
          </cell>
          <cell r="N4263" t="str">
            <v>1121</v>
          </cell>
          <cell r="O4263" t="str">
            <v>3412</v>
          </cell>
        </row>
        <row r="4264">
          <cell r="D4264" t="str">
            <v>T06</v>
          </cell>
          <cell r="N4264" t="str">
            <v>1111</v>
          </cell>
          <cell r="O4264" t="str">
            <v>1121</v>
          </cell>
        </row>
        <row r="4265">
          <cell r="D4265" t="str">
            <v>GBN</v>
          </cell>
          <cell r="N4265" t="str">
            <v>642</v>
          </cell>
          <cell r="O4265" t="str">
            <v>1121</v>
          </cell>
        </row>
        <row r="4266">
          <cell r="D4266" t="str">
            <v>GBN</v>
          </cell>
          <cell r="N4266" t="str">
            <v>1331</v>
          </cell>
          <cell r="O4266" t="str">
            <v>1121</v>
          </cell>
        </row>
        <row r="4267">
          <cell r="D4267" t="str">
            <v>GBC</v>
          </cell>
          <cell r="N4267" t="str">
            <v>1121</v>
          </cell>
          <cell r="O4267" t="str">
            <v>515</v>
          </cell>
        </row>
        <row r="4268">
          <cell r="D4268" t="str">
            <v>GBN</v>
          </cell>
          <cell r="N4268" t="str">
            <v>642</v>
          </cell>
          <cell r="O4268" t="str">
            <v>1121</v>
          </cell>
        </row>
        <row r="4269">
          <cell r="D4269" t="str">
            <v>GBC</v>
          </cell>
          <cell r="N4269" t="str">
            <v>1121</v>
          </cell>
          <cell r="O4269" t="str">
            <v>3412</v>
          </cell>
        </row>
        <row r="4270">
          <cell r="D4270" t="str">
            <v>T03</v>
          </cell>
          <cell r="N4270" t="str">
            <v>1111</v>
          </cell>
          <cell r="O4270" t="str">
            <v>1121</v>
          </cell>
        </row>
        <row r="4271">
          <cell r="D4271" t="str">
            <v>GBN</v>
          </cell>
          <cell r="N4271" t="str">
            <v>642</v>
          </cell>
          <cell r="O4271" t="str">
            <v>1121</v>
          </cell>
        </row>
        <row r="4272">
          <cell r="D4272" t="str">
            <v>GBC</v>
          </cell>
          <cell r="N4272" t="str">
            <v>1121</v>
          </cell>
          <cell r="O4272" t="str">
            <v>3412</v>
          </cell>
        </row>
        <row r="4273">
          <cell r="D4273" t="str">
            <v>GBN</v>
          </cell>
          <cell r="N4273" t="str">
            <v>642</v>
          </cell>
          <cell r="O4273" t="str">
            <v>1121</v>
          </cell>
        </row>
        <row r="4274">
          <cell r="D4274" t="str">
            <v>GBN</v>
          </cell>
          <cell r="N4274" t="str">
            <v>331</v>
          </cell>
          <cell r="O4274" t="str">
            <v>1121</v>
          </cell>
        </row>
        <row r="4275">
          <cell r="D4275" t="str">
            <v>GBN</v>
          </cell>
          <cell r="N4275" t="str">
            <v>642</v>
          </cell>
          <cell r="O4275" t="str">
            <v>1121</v>
          </cell>
        </row>
        <row r="4276">
          <cell r="D4276" t="str">
            <v>GBN</v>
          </cell>
          <cell r="N4276" t="str">
            <v>1331</v>
          </cell>
          <cell r="O4276" t="str">
            <v>1121</v>
          </cell>
        </row>
        <row r="4277">
          <cell r="D4277" t="str">
            <v>GBN</v>
          </cell>
          <cell r="N4277" t="str">
            <v>331</v>
          </cell>
          <cell r="O4277" t="str">
            <v>1121</v>
          </cell>
        </row>
        <row r="4278">
          <cell r="D4278" t="str">
            <v>GBN</v>
          </cell>
          <cell r="N4278" t="str">
            <v>642</v>
          </cell>
          <cell r="O4278" t="str">
            <v>1121</v>
          </cell>
        </row>
        <row r="4279">
          <cell r="D4279" t="str">
            <v>GBN</v>
          </cell>
          <cell r="N4279" t="str">
            <v>1331</v>
          </cell>
          <cell r="O4279" t="str">
            <v>1121</v>
          </cell>
        </row>
        <row r="4280">
          <cell r="D4280" t="str">
            <v>T05</v>
          </cell>
          <cell r="N4280" t="str">
            <v>1111</v>
          </cell>
          <cell r="O4280" t="str">
            <v>1121</v>
          </cell>
        </row>
        <row r="4281">
          <cell r="D4281" t="str">
            <v>GBN</v>
          </cell>
          <cell r="N4281" t="str">
            <v>642</v>
          </cell>
          <cell r="O4281" t="str">
            <v>1121</v>
          </cell>
        </row>
        <row r="4282">
          <cell r="D4282" t="str">
            <v>T06</v>
          </cell>
          <cell r="N4282" t="str">
            <v>1111</v>
          </cell>
          <cell r="O4282" t="str">
            <v>1121</v>
          </cell>
        </row>
        <row r="4283">
          <cell r="D4283" t="str">
            <v>GBN</v>
          </cell>
          <cell r="N4283" t="str">
            <v>642</v>
          </cell>
          <cell r="O4283" t="str">
            <v>1121</v>
          </cell>
        </row>
        <row r="4284">
          <cell r="D4284" t="str">
            <v>GBN</v>
          </cell>
          <cell r="N4284" t="str">
            <v>1331</v>
          </cell>
          <cell r="O4284" t="str">
            <v>1121</v>
          </cell>
        </row>
        <row r="4285">
          <cell r="D4285" t="str">
            <v>GBN</v>
          </cell>
          <cell r="N4285" t="str">
            <v>642</v>
          </cell>
          <cell r="O4285" t="str">
            <v>1121</v>
          </cell>
        </row>
        <row r="4286">
          <cell r="D4286" t="str">
            <v>GBN</v>
          </cell>
          <cell r="N4286" t="str">
            <v>1331</v>
          </cell>
          <cell r="O4286" t="str">
            <v>1121</v>
          </cell>
        </row>
        <row r="4287">
          <cell r="D4287" t="str">
            <v>GBN</v>
          </cell>
          <cell r="N4287" t="str">
            <v>642</v>
          </cell>
          <cell r="O4287" t="str">
            <v>1121</v>
          </cell>
        </row>
        <row r="4288">
          <cell r="D4288" t="str">
            <v>GBN</v>
          </cell>
          <cell r="N4288" t="str">
            <v>642</v>
          </cell>
          <cell r="O4288" t="str">
            <v>1121</v>
          </cell>
        </row>
        <row r="4289">
          <cell r="D4289" t="str">
            <v>GBN</v>
          </cell>
          <cell r="N4289" t="str">
            <v>642</v>
          </cell>
          <cell r="O4289" t="str">
            <v>1121</v>
          </cell>
        </row>
        <row r="4290">
          <cell r="D4290" t="str">
            <v>GBC</v>
          </cell>
          <cell r="N4290" t="str">
            <v>1121</v>
          </cell>
          <cell r="O4290" t="str">
            <v>3412</v>
          </cell>
        </row>
        <row r="4291">
          <cell r="D4291" t="str">
            <v>T07</v>
          </cell>
          <cell r="N4291" t="str">
            <v>1111</v>
          </cell>
          <cell r="O4291" t="str">
            <v>1121</v>
          </cell>
        </row>
        <row r="4292">
          <cell r="D4292" t="str">
            <v>C21</v>
          </cell>
          <cell r="N4292" t="str">
            <v>1121</v>
          </cell>
          <cell r="O4292" t="str">
            <v>1111</v>
          </cell>
        </row>
        <row r="4293">
          <cell r="D4293" t="str">
            <v>GBN</v>
          </cell>
          <cell r="N4293" t="str">
            <v>331</v>
          </cell>
          <cell r="O4293" t="str">
            <v>1121</v>
          </cell>
        </row>
        <row r="4294">
          <cell r="D4294" t="str">
            <v>GBN</v>
          </cell>
          <cell r="N4294" t="str">
            <v>642</v>
          </cell>
          <cell r="O4294" t="str">
            <v>1121</v>
          </cell>
        </row>
        <row r="4295">
          <cell r="D4295" t="str">
            <v>GBN</v>
          </cell>
          <cell r="N4295" t="str">
            <v>1331</v>
          </cell>
          <cell r="O4295" t="str">
            <v>1121</v>
          </cell>
        </row>
        <row r="4296">
          <cell r="D4296" t="str">
            <v>GBN</v>
          </cell>
          <cell r="N4296" t="str">
            <v>642</v>
          </cell>
          <cell r="O4296" t="str">
            <v>1121</v>
          </cell>
        </row>
        <row r="4297">
          <cell r="D4297" t="str">
            <v>GBN</v>
          </cell>
          <cell r="N4297" t="str">
            <v>1331</v>
          </cell>
          <cell r="O4297" t="str">
            <v>1121</v>
          </cell>
        </row>
        <row r="4298">
          <cell r="D4298" t="str">
            <v>GBC</v>
          </cell>
          <cell r="N4298" t="str">
            <v>1121</v>
          </cell>
          <cell r="O4298" t="str">
            <v>515</v>
          </cell>
        </row>
        <row r="4299">
          <cell r="D4299" t="str">
            <v>C36</v>
          </cell>
          <cell r="N4299" t="str">
            <v>1121</v>
          </cell>
          <cell r="O4299" t="str">
            <v>1111</v>
          </cell>
        </row>
        <row r="4300">
          <cell r="D4300" t="str">
            <v>GBN</v>
          </cell>
          <cell r="N4300" t="str">
            <v>642</v>
          </cell>
          <cell r="O4300" t="str">
            <v>1121</v>
          </cell>
        </row>
        <row r="4301">
          <cell r="D4301" t="str">
            <v>GBN</v>
          </cell>
          <cell r="N4301" t="str">
            <v>642</v>
          </cell>
          <cell r="O4301" t="str">
            <v>1121</v>
          </cell>
        </row>
        <row r="4302">
          <cell r="D4302" t="str">
            <v>T01</v>
          </cell>
          <cell r="N4302" t="str">
            <v>1111</v>
          </cell>
          <cell r="O4302" t="str">
            <v>1121</v>
          </cell>
        </row>
        <row r="4303">
          <cell r="D4303" t="str">
            <v>GBN</v>
          </cell>
          <cell r="N4303" t="str">
            <v>642</v>
          </cell>
          <cell r="O4303" t="str">
            <v>1121</v>
          </cell>
        </row>
        <row r="4304">
          <cell r="D4304" t="str">
            <v>GBN</v>
          </cell>
          <cell r="N4304" t="str">
            <v>331</v>
          </cell>
          <cell r="O4304" t="str">
            <v>1121</v>
          </cell>
        </row>
        <row r="4305">
          <cell r="D4305" t="str">
            <v>GBN</v>
          </cell>
          <cell r="N4305" t="str">
            <v>642</v>
          </cell>
          <cell r="O4305" t="str">
            <v>1121</v>
          </cell>
        </row>
        <row r="4306">
          <cell r="D4306" t="str">
            <v>GBN</v>
          </cell>
          <cell r="N4306" t="str">
            <v>1331</v>
          </cell>
          <cell r="O4306" t="str">
            <v>1121</v>
          </cell>
        </row>
        <row r="4307">
          <cell r="D4307" t="str">
            <v>GBN</v>
          </cell>
          <cell r="N4307" t="str">
            <v>1121</v>
          </cell>
          <cell r="O4307" t="str">
            <v>3412</v>
          </cell>
        </row>
        <row r="4308">
          <cell r="D4308" t="str">
            <v>GBN</v>
          </cell>
          <cell r="N4308" t="str">
            <v>642</v>
          </cell>
          <cell r="O4308" t="str">
            <v>1121</v>
          </cell>
        </row>
        <row r="4309">
          <cell r="D4309" t="str">
            <v>C11</v>
          </cell>
          <cell r="N4309" t="str">
            <v>1121</v>
          </cell>
          <cell r="O4309" t="str">
            <v>1111</v>
          </cell>
        </row>
        <row r="4310">
          <cell r="D4310" t="str">
            <v>T02</v>
          </cell>
          <cell r="N4310" t="str">
            <v>1111</v>
          </cell>
          <cell r="O4310" t="str">
            <v>1121</v>
          </cell>
        </row>
        <row r="4311">
          <cell r="D4311" t="str">
            <v>GBN</v>
          </cell>
          <cell r="N4311" t="str">
            <v>331</v>
          </cell>
          <cell r="O4311" t="str">
            <v>1121</v>
          </cell>
        </row>
        <row r="4312">
          <cell r="D4312" t="str">
            <v>GBN</v>
          </cell>
          <cell r="N4312" t="str">
            <v>642</v>
          </cell>
          <cell r="O4312" t="str">
            <v>1121</v>
          </cell>
        </row>
        <row r="4313">
          <cell r="D4313" t="str">
            <v>GBN</v>
          </cell>
          <cell r="N4313" t="str">
            <v>1331</v>
          </cell>
          <cell r="O4313" t="str">
            <v>1121</v>
          </cell>
        </row>
        <row r="4314">
          <cell r="D4314" t="str">
            <v>GBN</v>
          </cell>
          <cell r="N4314" t="str">
            <v>331</v>
          </cell>
          <cell r="O4314" t="str">
            <v>1121</v>
          </cell>
        </row>
        <row r="4315">
          <cell r="D4315" t="str">
            <v>GBN</v>
          </cell>
          <cell r="N4315" t="str">
            <v>642</v>
          </cell>
          <cell r="O4315" t="str">
            <v>1121</v>
          </cell>
        </row>
        <row r="4316">
          <cell r="D4316" t="str">
            <v>GBN</v>
          </cell>
          <cell r="N4316" t="str">
            <v>1331</v>
          </cell>
          <cell r="O4316" t="str">
            <v>1121</v>
          </cell>
        </row>
        <row r="4317">
          <cell r="D4317" t="str">
            <v>GBN</v>
          </cell>
          <cell r="N4317" t="str">
            <v>331</v>
          </cell>
          <cell r="O4317" t="str">
            <v>1121</v>
          </cell>
        </row>
        <row r="4318">
          <cell r="D4318" t="str">
            <v>GBN</v>
          </cell>
          <cell r="N4318" t="str">
            <v>642</v>
          </cell>
          <cell r="O4318" t="str">
            <v>1121</v>
          </cell>
        </row>
        <row r="4319">
          <cell r="D4319" t="str">
            <v>GBN</v>
          </cell>
          <cell r="N4319" t="str">
            <v>1331</v>
          </cell>
          <cell r="O4319" t="str">
            <v>1121</v>
          </cell>
        </row>
        <row r="4320">
          <cell r="D4320" t="str">
            <v>GBN</v>
          </cell>
          <cell r="N4320" t="str">
            <v>331</v>
          </cell>
          <cell r="O4320" t="str">
            <v>1121</v>
          </cell>
        </row>
        <row r="4321">
          <cell r="D4321" t="str">
            <v>GBN</v>
          </cell>
          <cell r="N4321" t="str">
            <v>642</v>
          </cell>
          <cell r="O4321" t="str">
            <v>1121</v>
          </cell>
        </row>
        <row r="4322">
          <cell r="D4322" t="str">
            <v>GBN</v>
          </cell>
          <cell r="N4322" t="str">
            <v>1331</v>
          </cell>
          <cell r="O4322" t="str">
            <v>1121</v>
          </cell>
        </row>
        <row r="4323">
          <cell r="D4323" t="str">
            <v>GBN</v>
          </cell>
          <cell r="N4323" t="str">
            <v>331</v>
          </cell>
          <cell r="O4323" t="str">
            <v>1121</v>
          </cell>
        </row>
        <row r="4324">
          <cell r="D4324" t="str">
            <v>GBN</v>
          </cell>
          <cell r="N4324" t="str">
            <v>642</v>
          </cell>
          <cell r="O4324" t="str">
            <v>1121</v>
          </cell>
        </row>
        <row r="4325">
          <cell r="D4325" t="str">
            <v>GBN</v>
          </cell>
          <cell r="N4325" t="str">
            <v>1331</v>
          </cell>
          <cell r="O4325" t="str">
            <v>1121</v>
          </cell>
        </row>
        <row r="4326">
          <cell r="D4326" t="str">
            <v>GBN</v>
          </cell>
          <cell r="N4326" t="str">
            <v>331</v>
          </cell>
          <cell r="O4326" t="str">
            <v>1121</v>
          </cell>
        </row>
        <row r="4327">
          <cell r="D4327" t="str">
            <v>GBN</v>
          </cell>
          <cell r="N4327" t="str">
            <v>642</v>
          </cell>
          <cell r="O4327" t="str">
            <v>1121</v>
          </cell>
        </row>
        <row r="4328">
          <cell r="D4328" t="str">
            <v>GBN</v>
          </cell>
          <cell r="N4328" t="str">
            <v>1331</v>
          </cell>
          <cell r="O4328" t="str">
            <v>1121</v>
          </cell>
        </row>
        <row r="4329">
          <cell r="D4329" t="str">
            <v>GBN</v>
          </cell>
          <cell r="N4329" t="str">
            <v>642</v>
          </cell>
          <cell r="O4329" t="str">
            <v>1121</v>
          </cell>
        </row>
        <row r="4330">
          <cell r="D4330" t="str">
            <v>GBN</v>
          </cell>
          <cell r="N4330" t="str">
            <v>1331</v>
          </cell>
          <cell r="O4330" t="str">
            <v>1121</v>
          </cell>
        </row>
        <row r="4331">
          <cell r="D4331" t="str">
            <v>GBN</v>
          </cell>
          <cell r="N4331" t="str">
            <v>331</v>
          </cell>
          <cell r="O4331" t="str">
            <v>1121</v>
          </cell>
        </row>
        <row r="4332">
          <cell r="D4332" t="str">
            <v>GBN</v>
          </cell>
          <cell r="N4332" t="str">
            <v>642</v>
          </cell>
          <cell r="O4332" t="str">
            <v>1121</v>
          </cell>
        </row>
        <row r="4333">
          <cell r="D4333" t="str">
            <v>GBN</v>
          </cell>
          <cell r="N4333" t="str">
            <v>1331</v>
          </cell>
          <cell r="O4333" t="str">
            <v>1121</v>
          </cell>
        </row>
        <row r="4334">
          <cell r="D4334" t="str">
            <v>GBN</v>
          </cell>
          <cell r="N4334" t="str">
            <v>642</v>
          </cell>
          <cell r="O4334" t="str">
            <v>1121</v>
          </cell>
        </row>
        <row r="4335">
          <cell r="D4335" t="str">
            <v>T03</v>
          </cell>
          <cell r="N4335" t="str">
            <v>1111</v>
          </cell>
          <cell r="O4335" t="str">
            <v>1121</v>
          </cell>
        </row>
        <row r="4336">
          <cell r="D4336" t="str">
            <v>GBN</v>
          </cell>
          <cell r="N4336" t="str">
            <v>1121</v>
          </cell>
          <cell r="O4336" t="str">
            <v>3412</v>
          </cell>
        </row>
        <row r="4337">
          <cell r="D4337" t="str">
            <v>GBN</v>
          </cell>
          <cell r="N4337" t="str">
            <v>331</v>
          </cell>
          <cell r="O4337" t="str">
            <v>1121</v>
          </cell>
        </row>
        <row r="4338">
          <cell r="D4338" t="str">
            <v>GBN</v>
          </cell>
          <cell r="N4338" t="str">
            <v>642</v>
          </cell>
          <cell r="O4338" t="str">
            <v>1121</v>
          </cell>
        </row>
        <row r="4339">
          <cell r="D4339" t="str">
            <v>GBN</v>
          </cell>
          <cell r="N4339" t="str">
            <v>1331</v>
          </cell>
          <cell r="O4339" t="str">
            <v>1121</v>
          </cell>
        </row>
        <row r="4340">
          <cell r="D4340" t="str">
            <v>GBN</v>
          </cell>
          <cell r="N4340" t="str">
            <v>642</v>
          </cell>
          <cell r="O4340" t="str">
            <v>1121</v>
          </cell>
        </row>
        <row r="4341">
          <cell r="D4341" t="str">
            <v>C32</v>
          </cell>
          <cell r="N4341" t="str">
            <v>1121</v>
          </cell>
          <cell r="O4341" t="str">
            <v>1111</v>
          </cell>
        </row>
        <row r="4342">
          <cell r="D4342" t="str">
            <v>T04</v>
          </cell>
          <cell r="N4342" t="str">
            <v>1111</v>
          </cell>
          <cell r="O4342" t="str">
            <v>1121</v>
          </cell>
        </row>
        <row r="4343">
          <cell r="D4343" t="str">
            <v>T05</v>
          </cell>
          <cell r="N4343" t="str">
            <v>1111</v>
          </cell>
          <cell r="O4343" t="str">
            <v>1121</v>
          </cell>
        </row>
        <row r="4344">
          <cell r="D4344" t="str">
            <v>GBN</v>
          </cell>
          <cell r="N4344" t="str">
            <v>642</v>
          </cell>
          <cell r="O4344" t="str">
            <v>1121</v>
          </cell>
        </row>
        <row r="4345">
          <cell r="D4345" t="str">
            <v>GBN</v>
          </cell>
          <cell r="N4345" t="str">
            <v>1331</v>
          </cell>
          <cell r="O4345" t="str">
            <v>1121</v>
          </cell>
        </row>
        <row r="4346">
          <cell r="D4346" t="str">
            <v>GBN</v>
          </cell>
          <cell r="N4346" t="str">
            <v>642</v>
          </cell>
          <cell r="O4346" t="str">
            <v>1121</v>
          </cell>
        </row>
        <row r="4347">
          <cell r="D4347" t="str">
            <v>GBN</v>
          </cell>
          <cell r="N4347" t="str">
            <v>1331</v>
          </cell>
          <cell r="O4347" t="str">
            <v>1121</v>
          </cell>
        </row>
        <row r="4348">
          <cell r="D4348" t="str">
            <v>GBN</v>
          </cell>
          <cell r="N4348" t="str">
            <v>1121</v>
          </cell>
          <cell r="O4348" t="str">
            <v>3412</v>
          </cell>
        </row>
        <row r="4349">
          <cell r="D4349" t="str">
            <v>GBN</v>
          </cell>
          <cell r="N4349" t="str">
            <v>642</v>
          </cell>
          <cell r="O4349" t="str">
            <v>1121</v>
          </cell>
        </row>
        <row r="4350">
          <cell r="D4350" t="str">
            <v>GBN</v>
          </cell>
          <cell r="N4350" t="str">
            <v>1331</v>
          </cell>
          <cell r="O4350" t="str">
            <v>1121</v>
          </cell>
        </row>
        <row r="4351">
          <cell r="D4351" t="str">
            <v>GBN</v>
          </cell>
          <cell r="N4351" t="str">
            <v>331</v>
          </cell>
          <cell r="O4351" t="str">
            <v>1121</v>
          </cell>
        </row>
        <row r="4352">
          <cell r="D4352" t="str">
            <v>GBN</v>
          </cell>
          <cell r="N4352" t="str">
            <v>642</v>
          </cell>
          <cell r="O4352" t="str">
            <v>1121</v>
          </cell>
        </row>
        <row r="4353">
          <cell r="D4353" t="str">
            <v>GBN</v>
          </cell>
          <cell r="N4353" t="str">
            <v>1331</v>
          </cell>
          <cell r="O4353" t="str">
            <v>1121</v>
          </cell>
        </row>
        <row r="4354">
          <cell r="D4354" t="str">
            <v>GBN</v>
          </cell>
          <cell r="N4354" t="str">
            <v>331</v>
          </cell>
          <cell r="O4354" t="str">
            <v>1121</v>
          </cell>
        </row>
        <row r="4355">
          <cell r="D4355" t="str">
            <v>GBN</v>
          </cell>
          <cell r="N4355" t="str">
            <v>642</v>
          </cell>
          <cell r="O4355" t="str">
            <v>1121</v>
          </cell>
        </row>
        <row r="4356">
          <cell r="D4356" t="str">
            <v>GBN</v>
          </cell>
          <cell r="N4356" t="str">
            <v>1331</v>
          </cell>
          <cell r="O4356" t="str">
            <v>1121</v>
          </cell>
        </row>
        <row r="4357">
          <cell r="D4357" t="str">
            <v>GBN</v>
          </cell>
          <cell r="N4357" t="str">
            <v>331</v>
          </cell>
          <cell r="O4357" t="str">
            <v>1121</v>
          </cell>
        </row>
        <row r="4358">
          <cell r="D4358" t="str">
            <v>GBN</v>
          </cell>
          <cell r="N4358" t="str">
            <v>642</v>
          </cell>
          <cell r="O4358" t="str">
            <v>1121</v>
          </cell>
        </row>
        <row r="4359">
          <cell r="D4359" t="str">
            <v>GBN</v>
          </cell>
          <cell r="N4359" t="str">
            <v>1331</v>
          </cell>
          <cell r="O4359" t="str">
            <v>1121</v>
          </cell>
        </row>
        <row r="4360">
          <cell r="D4360" t="str">
            <v>T06</v>
          </cell>
          <cell r="N4360" t="str">
            <v>1111</v>
          </cell>
          <cell r="O4360" t="str">
            <v>1121</v>
          </cell>
        </row>
        <row r="4361">
          <cell r="D4361" t="str">
            <v>GBN</v>
          </cell>
          <cell r="N4361" t="str">
            <v>642</v>
          </cell>
          <cell r="O4361" t="str">
            <v>1121</v>
          </cell>
        </row>
        <row r="4362">
          <cell r="D4362" t="str">
            <v>GBN</v>
          </cell>
          <cell r="N4362" t="str">
            <v>642</v>
          </cell>
          <cell r="O4362" t="str">
            <v>1121</v>
          </cell>
        </row>
        <row r="4363">
          <cell r="D4363" t="str">
            <v>GBC</v>
          </cell>
          <cell r="N4363" t="str">
            <v>1121</v>
          </cell>
          <cell r="O4363" t="str">
            <v>515</v>
          </cell>
        </row>
        <row r="4364">
          <cell r="D4364" t="str">
            <v>T07</v>
          </cell>
          <cell r="N4364" t="str">
            <v>1111</v>
          </cell>
          <cell r="O4364" t="str">
            <v>1121</v>
          </cell>
        </row>
        <row r="4365">
          <cell r="D4365" t="str">
            <v>C40</v>
          </cell>
          <cell r="N4365" t="str">
            <v>1121</v>
          </cell>
          <cell r="O4365" t="str">
            <v>1111</v>
          </cell>
        </row>
        <row r="4366">
          <cell r="D4366" t="str">
            <v>T08</v>
          </cell>
          <cell r="N4366" t="str">
            <v>1111</v>
          </cell>
          <cell r="O4366" t="str">
            <v>1121</v>
          </cell>
        </row>
        <row r="4367">
          <cell r="D4367" t="str">
            <v>GBN</v>
          </cell>
          <cell r="N4367" t="str">
            <v>331</v>
          </cell>
          <cell r="O4367" t="str">
            <v>1121</v>
          </cell>
        </row>
        <row r="4368">
          <cell r="D4368" t="str">
            <v>GBN</v>
          </cell>
          <cell r="N4368" t="str">
            <v>642</v>
          </cell>
          <cell r="O4368" t="str">
            <v>1121</v>
          </cell>
        </row>
        <row r="4369">
          <cell r="D4369" t="str">
            <v>GBN</v>
          </cell>
          <cell r="N4369" t="str">
            <v>1331</v>
          </cell>
          <cell r="O4369" t="str">
            <v>1121</v>
          </cell>
        </row>
        <row r="4370">
          <cell r="D4370" t="str">
            <v>GBC</v>
          </cell>
          <cell r="N4370" t="str">
            <v>1121</v>
          </cell>
          <cell r="O4370" t="str">
            <v>3412</v>
          </cell>
        </row>
        <row r="4371">
          <cell r="D4371" t="str">
            <v>GBC</v>
          </cell>
          <cell r="N4371" t="str">
            <v>1121</v>
          </cell>
          <cell r="O4371" t="str">
            <v>3412</v>
          </cell>
        </row>
        <row r="4372">
          <cell r="D4372" t="str">
            <v>GBN</v>
          </cell>
          <cell r="N4372" t="str">
            <v>642</v>
          </cell>
          <cell r="O4372" t="str">
            <v>1121</v>
          </cell>
        </row>
        <row r="4373">
          <cell r="D4373" t="str">
            <v>GBN</v>
          </cell>
          <cell r="N4373" t="str">
            <v>1331</v>
          </cell>
          <cell r="O4373" t="str">
            <v>1121</v>
          </cell>
        </row>
        <row r="4374">
          <cell r="D4374" t="str">
            <v>C45</v>
          </cell>
          <cell r="N4374" t="str">
            <v>1121</v>
          </cell>
          <cell r="O4374" t="str">
            <v>1111</v>
          </cell>
        </row>
        <row r="4375">
          <cell r="D4375" t="str">
            <v>T09</v>
          </cell>
          <cell r="N4375" t="str">
            <v>1111</v>
          </cell>
          <cell r="O4375" t="str">
            <v>1121</v>
          </cell>
        </row>
        <row r="4376">
          <cell r="D4376" t="str">
            <v>T10</v>
          </cell>
          <cell r="N4376" t="str">
            <v>1111</v>
          </cell>
          <cell r="O4376" t="str">
            <v>1121</v>
          </cell>
        </row>
        <row r="4377">
          <cell r="D4377" t="str">
            <v>GBN</v>
          </cell>
          <cell r="N4377" t="str">
            <v>642</v>
          </cell>
          <cell r="O4377" t="str">
            <v>1121</v>
          </cell>
        </row>
        <row r="4378">
          <cell r="D4378" t="str">
            <v>GBN</v>
          </cell>
          <cell r="N4378" t="str">
            <v>1331</v>
          </cell>
          <cell r="O4378" t="str">
            <v>1121</v>
          </cell>
        </row>
        <row r="4379">
          <cell r="D4379" t="str">
            <v>GBC</v>
          </cell>
          <cell r="N4379" t="str">
            <v>1121</v>
          </cell>
          <cell r="O4379" t="str">
            <v>3412</v>
          </cell>
        </row>
        <row r="4380">
          <cell r="D4380" t="str">
            <v>GBN</v>
          </cell>
          <cell r="N4380" t="str">
            <v>331</v>
          </cell>
          <cell r="O4380" t="str">
            <v>1121</v>
          </cell>
        </row>
        <row r="4381">
          <cell r="D4381" t="str">
            <v>GBN</v>
          </cell>
          <cell r="N4381" t="str">
            <v>642</v>
          </cell>
          <cell r="O4381" t="str">
            <v>1121</v>
          </cell>
        </row>
        <row r="4382">
          <cell r="D4382" t="str">
            <v>GBN</v>
          </cell>
          <cell r="N4382" t="str">
            <v>1331</v>
          </cell>
          <cell r="O4382" t="str">
            <v>1121</v>
          </cell>
        </row>
        <row r="4383">
          <cell r="D4383" t="str">
            <v>GBN</v>
          </cell>
          <cell r="N4383" t="str">
            <v>331</v>
          </cell>
          <cell r="O4383" t="str">
            <v>1121</v>
          </cell>
        </row>
        <row r="4384">
          <cell r="D4384" t="str">
            <v>GBN</v>
          </cell>
          <cell r="N4384" t="str">
            <v>642</v>
          </cell>
          <cell r="O4384" t="str">
            <v>1121</v>
          </cell>
        </row>
        <row r="4385">
          <cell r="D4385" t="str">
            <v>GBN</v>
          </cell>
          <cell r="N4385" t="str">
            <v>1331</v>
          </cell>
          <cell r="O4385" t="str">
            <v>1121</v>
          </cell>
        </row>
        <row r="4386">
          <cell r="D4386" t="str">
            <v>GBN</v>
          </cell>
          <cell r="N4386" t="str">
            <v>331</v>
          </cell>
          <cell r="O4386" t="str">
            <v>1121</v>
          </cell>
        </row>
        <row r="4387">
          <cell r="D4387" t="str">
            <v>GBN</v>
          </cell>
          <cell r="N4387" t="str">
            <v>642</v>
          </cell>
          <cell r="O4387" t="str">
            <v>1121</v>
          </cell>
        </row>
        <row r="4388">
          <cell r="D4388" t="str">
            <v>GBN</v>
          </cell>
          <cell r="N4388" t="str">
            <v>1331</v>
          </cell>
          <cell r="O4388" t="str">
            <v>1121</v>
          </cell>
        </row>
        <row r="4389">
          <cell r="D4389" t="str">
            <v>GBN</v>
          </cell>
          <cell r="N4389" t="str">
            <v>331</v>
          </cell>
          <cell r="O4389" t="str">
            <v>1121</v>
          </cell>
        </row>
        <row r="4390">
          <cell r="D4390" t="str">
            <v>GBN</v>
          </cell>
          <cell r="N4390" t="str">
            <v>642</v>
          </cell>
          <cell r="O4390" t="str">
            <v>1121</v>
          </cell>
        </row>
        <row r="4391">
          <cell r="D4391" t="str">
            <v>GBN</v>
          </cell>
          <cell r="N4391" t="str">
            <v>1331</v>
          </cell>
          <cell r="O4391" t="str">
            <v>1121</v>
          </cell>
        </row>
        <row r="4392">
          <cell r="D4392" t="str">
            <v>GBN</v>
          </cell>
          <cell r="N4392" t="str">
            <v>331</v>
          </cell>
          <cell r="O4392" t="str">
            <v>1121</v>
          </cell>
        </row>
        <row r="4393">
          <cell r="D4393" t="str">
            <v>GBN</v>
          </cell>
          <cell r="N4393" t="str">
            <v>642</v>
          </cell>
          <cell r="O4393" t="str">
            <v>1121</v>
          </cell>
        </row>
        <row r="4394">
          <cell r="D4394" t="str">
            <v>GBN</v>
          </cell>
          <cell r="N4394" t="str">
            <v>1331</v>
          </cell>
          <cell r="O4394" t="str">
            <v>1121</v>
          </cell>
        </row>
        <row r="4395">
          <cell r="D4395" t="str">
            <v>GBN</v>
          </cell>
          <cell r="N4395" t="str">
            <v>641</v>
          </cell>
          <cell r="O4395" t="str">
            <v>1121</v>
          </cell>
        </row>
        <row r="4396">
          <cell r="D4396" t="str">
            <v>GBN</v>
          </cell>
          <cell r="N4396" t="str">
            <v>642</v>
          </cell>
          <cell r="O4396" t="str">
            <v>1121</v>
          </cell>
        </row>
        <row r="4397">
          <cell r="D4397" t="str">
            <v>GBN</v>
          </cell>
          <cell r="N4397" t="str">
            <v>1331</v>
          </cell>
          <cell r="O4397" t="str">
            <v>1121</v>
          </cell>
        </row>
        <row r="4398">
          <cell r="D4398" t="str">
            <v>GBN</v>
          </cell>
          <cell r="N4398" t="str">
            <v>331</v>
          </cell>
          <cell r="O4398" t="str">
            <v>1121</v>
          </cell>
        </row>
        <row r="4399">
          <cell r="D4399" t="str">
            <v>GBN</v>
          </cell>
          <cell r="N4399" t="str">
            <v>642</v>
          </cell>
          <cell r="O4399" t="str">
            <v>1121</v>
          </cell>
        </row>
        <row r="4400">
          <cell r="D4400" t="str">
            <v>GBN</v>
          </cell>
          <cell r="N4400" t="str">
            <v>1331</v>
          </cell>
          <cell r="O4400" t="str">
            <v>1121</v>
          </cell>
        </row>
        <row r="4401">
          <cell r="D4401" t="str">
            <v>GBN</v>
          </cell>
          <cell r="N4401" t="str">
            <v>642</v>
          </cell>
          <cell r="O4401" t="str">
            <v>1121</v>
          </cell>
        </row>
        <row r="4402">
          <cell r="D4402" t="str">
            <v>GBN</v>
          </cell>
          <cell r="N4402" t="str">
            <v>331</v>
          </cell>
          <cell r="O4402" t="str">
            <v>1121</v>
          </cell>
        </row>
        <row r="4403">
          <cell r="D4403" t="str">
            <v>GBN</v>
          </cell>
          <cell r="N4403" t="str">
            <v>642</v>
          </cell>
          <cell r="O4403" t="str">
            <v>1121</v>
          </cell>
        </row>
        <row r="4404">
          <cell r="D4404" t="str">
            <v>GBN</v>
          </cell>
          <cell r="N4404" t="str">
            <v>1331</v>
          </cell>
          <cell r="O4404" t="str">
            <v>1121</v>
          </cell>
        </row>
        <row r="4405">
          <cell r="D4405" t="str">
            <v>GBN</v>
          </cell>
          <cell r="N4405" t="str">
            <v>642</v>
          </cell>
          <cell r="O4405" t="str">
            <v>1121</v>
          </cell>
        </row>
        <row r="4406">
          <cell r="D4406" t="str">
            <v>GBN</v>
          </cell>
          <cell r="N4406" t="str">
            <v>642</v>
          </cell>
          <cell r="O4406" t="str">
            <v>1121</v>
          </cell>
        </row>
        <row r="4407">
          <cell r="D4407" t="str">
            <v>GBN</v>
          </cell>
          <cell r="N4407" t="str">
            <v>331</v>
          </cell>
          <cell r="O4407" t="str">
            <v>1121</v>
          </cell>
        </row>
        <row r="4408">
          <cell r="D4408" t="str">
            <v>GBN</v>
          </cell>
          <cell r="N4408" t="str">
            <v>642</v>
          </cell>
          <cell r="O4408" t="str">
            <v>1121</v>
          </cell>
        </row>
        <row r="4409">
          <cell r="D4409" t="str">
            <v>GBN</v>
          </cell>
          <cell r="N4409" t="str">
            <v>1331</v>
          </cell>
          <cell r="O4409" t="str">
            <v>1121</v>
          </cell>
        </row>
        <row r="4410">
          <cell r="D4410" t="str">
            <v>GBC</v>
          </cell>
          <cell r="N4410" t="str">
            <v>1121</v>
          </cell>
          <cell r="O4410" t="str">
            <v>3412</v>
          </cell>
        </row>
        <row r="4411">
          <cell r="D4411" t="str">
            <v>T02</v>
          </cell>
          <cell r="N4411" t="str">
            <v>1111</v>
          </cell>
          <cell r="O4411" t="str">
            <v>1121</v>
          </cell>
        </row>
        <row r="4412">
          <cell r="D4412" t="str">
            <v>GBN</v>
          </cell>
          <cell r="N4412" t="str">
            <v>642</v>
          </cell>
          <cell r="O4412" t="str">
            <v>1121</v>
          </cell>
        </row>
        <row r="4413">
          <cell r="D4413" t="str">
            <v>GBN</v>
          </cell>
          <cell r="N4413" t="str">
            <v>642</v>
          </cell>
          <cell r="O4413" t="str">
            <v>1121</v>
          </cell>
        </row>
        <row r="4414">
          <cell r="D4414" t="str">
            <v>GBN</v>
          </cell>
          <cell r="N4414" t="str">
            <v>642</v>
          </cell>
          <cell r="O4414" t="str">
            <v>1121</v>
          </cell>
        </row>
        <row r="4415">
          <cell r="D4415" t="str">
            <v>GBC</v>
          </cell>
          <cell r="N4415" t="str">
            <v>1121</v>
          </cell>
          <cell r="O4415" t="str">
            <v>3412</v>
          </cell>
        </row>
        <row r="4416">
          <cell r="D4416" t="str">
            <v>T03</v>
          </cell>
          <cell r="N4416" t="str">
            <v>1111</v>
          </cell>
          <cell r="O4416" t="str">
            <v>1121</v>
          </cell>
        </row>
        <row r="4417">
          <cell r="D4417" t="str">
            <v>GBN</v>
          </cell>
          <cell r="N4417" t="str">
            <v>642</v>
          </cell>
          <cell r="O4417" t="str">
            <v>1121</v>
          </cell>
        </row>
      </sheetData>
      <sheetData sheetId="2"/>
      <sheetData sheetId="3"/>
      <sheetData sheetId="4"/>
      <sheetData sheetId="5"/>
      <sheetData sheetId="6"/>
      <sheetData sheetId="7">
        <row r="4">
          <cell r="S4">
            <v>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sheetPr>
    <tabColor rgb="FFFFC000"/>
  </sheetPr>
  <dimension ref="A1:L83"/>
  <sheetViews>
    <sheetView topLeftCell="A7" workbookViewId="0">
      <pane ySplit="3" topLeftCell="A10" activePane="bottomLeft" state="frozen"/>
      <selection activeCell="P41" sqref="P41"/>
      <selection pane="bottomLeft" activeCell="B36" sqref="B36"/>
    </sheetView>
  </sheetViews>
  <sheetFormatPr defaultColWidth="8" defaultRowHeight="13.5"/>
  <cols>
    <col min="1" max="1" width="7.42578125" style="32" customWidth="1"/>
    <col min="2" max="2" width="35.42578125" style="32" customWidth="1"/>
    <col min="3" max="4" width="15.42578125" style="1269" customWidth="1"/>
    <col min="5" max="8" width="18.42578125"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1270"/>
      <c r="D5" s="1270"/>
      <c r="E5" s="33"/>
      <c r="F5" s="33"/>
      <c r="G5" s="33"/>
      <c r="H5" s="33"/>
    </row>
    <row r="6" spans="1:12" ht="19.5">
      <c r="A6" s="34" t="s">
        <v>55</v>
      </c>
      <c r="B6" s="33"/>
      <c r="C6" s="1270"/>
      <c r="D6" s="1270"/>
      <c r="E6" s="33"/>
      <c r="F6" s="33"/>
      <c r="G6" s="33"/>
      <c r="H6" s="33"/>
    </row>
    <row r="7" spans="1:12" ht="6" customHeight="1"/>
    <row r="8" spans="1:12">
      <c r="A8" s="35"/>
      <c r="B8" s="35" t="s">
        <v>56</v>
      </c>
      <c r="C8" s="1271" t="s">
        <v>57</v>
      </c>
      <c r="D8" s="1271"/>
      <c r="E8" s="36" t="s">
        <v>58</v>
      </c>
      <c r="F8" s="36"/>
      <c r="G8" s="36" t="s">
        <v>59</v>
      </c>
      <c r="H8" s="36"/>
    </row>
    <row r="9" spans="1:12">
      <c r="A9" s="37" t="s">
        <v>60</v>
      </c>
      <c r="B9" s="37"/>
      <c r="C9" s="1271" t="s">
        <v>61</v>
      </c>
      <c r="D9" s="1271" t="s">
        <v>62</v>
      </c>
      <c r="E9" s="36" t="s">
        <v>61</v>
      </c>
      <c r="F9" s="36" t="s">
        <v>62</v>
      </c>
      <c r="G9" s="36" t="s">
        <v>61</v>
      </c>
      <c r="H9" s="36" t="s">
        <v>62</v>
      </c>
    </row>
    <row r="10" spans="1:12" s="31" customFormat="1">
      <c r="A10" s="38" t="s">
        <v>63</v>
      </c>
      <c r="B10" s="39" t="s">
        <v>64</v>
      </c>
      <c r="C10" s="950"/>
      <c r="D10" s="950"/>
      <c r="E10" s="950">
        <f t="array" ref="E10">SUM(IF(A10=KHN,TH))</f>
        <v>11230000000</v>
      </c>
      <c r="F10" s="950">
        <f t="array" ref="F10">SUM(IF(A10=KHC,TH))</f>
        <v>0</v>
      </c>
      <c r="G10" s="41">
        <f>MAX(C10+E10-D10-F10,0)</f>
        <v>11230000000</v>
      </c>
      <c r="H10" s="41">
        <f>MAX(D10+F10-E10-C10,0)</f>
        <v>0</v>
      </c>
      <c r="K10" s="42"/>
      <c r="L10" s="42"/>
    </row>
    <row r="11" spans="1:12" s="31" customFormat="1">
      <c r="A11" s="43" t="s">
        <v>18</v>
      </c>
      <c r="B11" s="44" t="s">
        <v>65</v>
      </c>
      <c r="C11" s="951"/>
      <c r="D11" s="951"/>
      <c r="E11" s="951">
        <f t="shared" ref="E11:H11" si="0">E10</f>
        <v>11230000000</v>
      </c>
      <c r="F11" s="951">
        <f t="shared" si="0"/>
        <v>0</v>
      </c>
      <c r="G11" s="951">
        <f t="shared" si="0"/>
        <v>11230000000</v>
      </c>
      <c r="H11" s="951">
        <f t="shared" si="0"/>
        <v>0</v>
      </c>
    </row>
    <row r="12" spans="1:12" s="31" customFormat="1">
      <c r="A12" s="46" t="s">
        <v>26</v>
      </c>
      <c r="B12" s="39" t="s">
        <v>66</v>
      </c>
      <c r="C12" s="950"/>
      <c r="D12" s="950"/>
      <c r="E12" s="950">
        <f t="array" ref="E12">SUM(IF(A12=KHN,TH))</f>
        <v>9392549753</v>
      </c>
      <c r="F12" s="950">
        <f t="array" ref="F12">SUM(IF(A12=KHC,TH))</f>
        <v>12667474890</v>
      </c>
      <c r="G12" s="41">
        <f>MAX(C12+E12-D12-F12,0)</f>
        <v>0</v>
      </c>
      <c r="H12" s="41">
        <f>MAX(D12+F12-E12-C12,0)</f>
        <v>3274925137</v>
      </c>
      <c r="K12" s="42"/>
      <c r="L12" s="42"/>
    </row>
    <row r="13" spans="1:12" s="31" customFormat="1">
      <c r="A13" s="46" t="s">
        <v>256</v>
      </c>
      <c r="B13" s="39" t="s">
        <v>257</v>
      </c>
      <c r="C13" s="950"/>
      <c r="D13" s="950"/>
      <c r="E13" s="950">
        <f t="array" ref="E13">SUM(IF(A13=KHN,TH))</f>
        <v>11254940724</v>
      </c>
      <c r="F13" s="950">
        <f t="array" ref="F13">SUM(IF(A13=KHC,TH))</f>
        <v>11664849541</v>
      </c>
      <c r="G13" s="41">
        <f>MAX(C13+E13-D13-F13,0)</f>
        <v>0</v>
      </c>
      <c r="H13" s="41">
        <f>MAX(D13+F13-E13-C13,0)</f>
        <v>409908817</v>
      </c>
      <c r="K13" s="42"/>
      <c r="L13" s="42"/>
    </row>
    <row r="14" spans="1:12" s="31" customFormat="1">
      <c r="A14" s="43" t="s">
        <v>67</v>
      </c>
      <c r="B14" s="44" t="s">
        <v>68</v>
      </c>
      <c r="C14" s="951"/>
      <c r="D14" s="951"/>
      <c r="E14" s="951">
        <f t="shared" ref="E14:H14" si="1">E12+E13</f>
        <v>20647490477</v>
      </c>
      <c r="F14" s="951">
        <f t="shared" si="1"/>
        <v>24332324431</v>
      </c>
      <c r="G14" s="951">
        <f t="shared" si="1"/>
        <v>0</v>
      </c>
      <c r="H14" s="951">
        <f t="shared" si="1"/>
        <v>3684833954</v>
      </c>
    </row>
    <row r="15" spans="1:12" s="31" customFormat="1">
      <c r="A15" s="38" t="s">
        <v>929</v>
      </c>
      <c r="B15" s="39" t="s">
        <v>930</v>
      </c>
      <c r="C15" s="950"/>
      <c r="D15" s="950"/>
      <c r="E15" s="950">
        <f t="array" ref="E15">SUM(IF(A15=KHN,TH))</f>
        <v>0</v>
      </c>
      <c r="F15" s="950">
        <f t="array" ref="F15">SUM(IF(A15=KHC,TH))</f>
        <v>0</v>
      </c>
      <c r="G15" s="41">
        <f>MAX(C15+E15-D15-F15,0)</f>
        <v>0</v>
      </c>
      <c r="H15" s="41">
        <f>MAX(D15+F15-E15-C15,0)</f>
        <v>0</v>
      </c>
      <c r="K15" s="42"/>
      <c r="L15" s="42"/>
    </row>
    <row r="16" spans="1:12" s="31" customFormat="1">
      <c r="A16" s="47" t="s">
        <v>928</v>
      </c>
      <c r="B16" s="44" t="s">
        <v>931</v>
      </c>
      <c r="C16" s="951"/>
      <c r="D16" s="951"/>
      <c r="E16" s="951">
        <f t="shared" ref="E16:H16" si="2">E15</f>
        <v>0</v>
      </c>
      <c r="F16" s="951">
        <f t="shared" si="2"/>
        <v>0</v>
      </c>
      <c r="G16" s="951">
        <f t="shared" si="2"/>
        <v>0</v>
      </c>
      <c r="H16" s="951">
        <f t="shared" si="2"/>
        <v>0</v>
      </c>
    </row>
    <row r="17" spans="1:10" s="31" customFormat="1">
      <c r="A17" s="43" t="s">
        <v>537</v>
      </c>
      <c r="B17" s="44" t="s">
        <v>584</v>
      </c>
      <c r="C17" s="952"/>
      <c r="D17" s="952"/>
      <c r="E17" s="952">
        <f t="array" ref="E17">SUM(IF(A17=KHN,TH))</f>
        <v>6340169352</v>
      </c>
      <c r="F17" s="952">
        <f t="array" ref="F17">SUM(IF(A17=KHC,TH))</f>
        <v>11171761042</v>
      </c>
      <c r="G17" s="45">
        <f>MAX(C17+E17-D17-F17,0)</f>
        <v>0</v>
      </c>
      <c r="H17" s="45">
        <f>MAX(D17+F17-E17-C17,0)</f>
        <v>4831591690</v>
      </c>
    </row>
    <row r="18" spans="1:10" s="31" customFormat="1">
      <c r="A18" s="46" t="s">
        <v>1039</v>
      </c>
      <c r="B18" s="39" t="s">
        <v>69</v>
      </c>
      <c r="C18" s="950"/>
      <c r="D18" s="950"/>
      <c r="E18" s="950">
        <f t="array" ref="E18">SUM(IF(A18=KHN,TH))</f>
        <v>0</v>
      </c>
      <c r="F18" s="950">
        <f t="array" ref="F18">SUM(IF(A18=KHC,TH))</f>
        <v>0</v>
      </c>
      <c r="G18" s="41">
        <f>MAX(C18+E18-D18-F18,0)</f>
        <v>0</v>
      </c>
      <c r="H18" s="41">
        <f>MAX(D18+F18-E18-C18,0)</f>
        <v>0</v>
      </c>
    </row>
    <row r="19" spans="1:10" s="31" customFormat="1">
      <c r="A19" s="43" t="s">
        <v>70</v>
      </c>
      <c r="B19" s="44" t="s">
        <v>71</v>
      </c>
      <c r="C19" s="951"/>
      <c r="D19" s="951"/>
      <c r="E19" s="951">
        <f t="shared" ref="E19:H19" si="3">E18</f>
        <v>0</v>
      </c>
      <c r="F19" s="951">
        <f t="shared" si="3"/>
        <v>0</v>
      </c>
      <c r="G19" s="951">
        <f t="shared" si="3"/>
        <v>0</v>
      </c>
      <c r="H19" s="951">
        <f t="shared" si="3"/>
        <v>0</v>
      </c>
    </row>
    <row r="20" spans="1:10" s="31" customFormat="1">
      <c r="A20" s="46" t="s">
        <v>72</v>
      </c>
      <c r="B20" s="39" t="s">
        <v>73</v>
      </c>
      <c r="C20" s="950"/>
      <c r="D20" s="950"/>
      <c r="E20" s="950">
        <f t="array" ref="E20">SUM(IF(A20=KHN,TH))</f>
        <v>0</v>
      </c>
      <c r="F20" s="950">
        <f t="array" ref="F20">SUM(IF(A20=KHC,TH))</f>
        <v>0</v>
      </c>
      <c r="G20" s="41">
        <f t="shared" ref="G20:G46" si="4">MAX(C20+E20-D20-F20,0)</f>
        <v>0</v>
      </c>
      <c r="H20" s="41">
        <f t="shared" ref="H20:H46" si="5">MAX(D20+F20-E20-C20,0)</f>
        <v>0</v>
      </c>
    </row>
    <row r="21" spans="1:10" s="31" customFormat="1">
      <c r="A21" s="43" t="s">
        <v>74</v>
      </c>
      <c r="B21" s="44" t="s">
        <v>75</v>
      </c>
      <c r="C21" s="951"/>
      <c r="D21" s="951"/>
      <c r="E21" s="951">
        <f t="shared" ref="E21:H21" si="6">E20</f>
        <v>0</v>
      </c>
      <c r="F21" s="951">
        <f t="shared" si="6"/>
        <v>0</v>
      </c>
      <c r="G21" s="951">
        <f t="shared" si="6"/>
        <v>0</v>
      </c>
      <c r="H21" s="951">
        <f t="shared" si="6"/>
        <v>0</v>
      </c>
    </row>
    <row r="22" spans="1:10" s="31" customFormat="1">
      <c r="A22" s="43" t="s">
        <v>262</v>
      </c>
      <c r="B22" s="44" t="s">
        <v>263</v>
      </c>
      <c r="C22" s="952"/>
      <c r="D22" s="952"/>
      <c r="E22" s="952">
        <f t="array" ref="E22">SUM(IF(A22=KHN,TH))</f>
        <v>0</v>
      </c>
      <c r="F22" s="952">
        <f t="array" ref="F22">SUM(IF(A22=KHC,TH))</f>
        <v>0</v>
      </c>
      <c r="G22" s="45">
        <f t="shared" si="4"/>
        <v>0</v>
      </c>
      <c r="H22" s="45">
        <f t="shared" si="5"/>
        <v>0</v>
      </c>
    </row>
    <row r="23" spans="1:10" s="31" customFormat="1">
      <c r="A23" s="46" t="s">
        <v>264</v>
      </c>
      <c r="B23" s="39" t="s">
        <v>265</v>
      </c>
      <c r="C23" s="950"/>
      <c r="D23" s="950"/>
      <c r="E23" s="950">
        <f t="array" ref="E23">SUM(IF(A23=KHN,TH))</f>
        <v>0</v>
      </c>
      <c r="F23" s="950">
        <f t="array" ref="F23">SUM(IF(A23=KHC,TH))</f>
        <v>0</v>
      </c>
      <c r="G23" s="41">
        <f t="shared" si="4"/>
        <v>0</v>
      </c>
      <c r="H23" s="41">
        <f t="shared" si="5"/>
        <v>0</v>
      </c>
    </row>
    <row r="24" spans="1:10" s="31" customFormat="1">
      <c r="A24" s="46" t="s">
        <v>266</v>
      </c>
      <c r="B24" s="39" t="s">
        <v>267</v>
      </c>
      <c r="C24" s="950"/>
      <c r="D24" s="950"/>
      <c r="E24" s="950">
        <f t="array" ref="E24">SUM(IF(A24=KHN,TH))</f>
        <v>66069632</v>
      </c>
      <c r="F24" s="950">
        <f t="array" ref="F24">SUM(IF(A24=KHC,TH))</f>
        <v>0</v>
      </c>
      <c r="G24" s="40">
        <f t="shared" si="4"/>
        <v>66069632</v>
      </c>
      <c r="H24" s="40">
        <f t="shared" si="5"/>
        <v>0</v>
      </c>
    </row>
    <row r="25" spans="1:10" s="31" customFormat="1">
      <c r="A25" s="43" t="s">
        <v>268</v>
      </c>
      <c r="B25" s="44" t="s">
        <v>269</v>
      </c>
      <c r="C25" s="951"/>
      <c r="D25" s="951"/>
      <c r="E25" s="951">
        <f t="shared" ref="E25:H25" si="7">E23+E24</f>
        <v>66069632</v>
      </c>
      <c r="F25" s="951">
        <f t="shared" si="7"/>
        <v>0</v>
      </c>
      <c r="G25" s="951">
        <f t="shared" si="7"/>
        <v>66069632</v>
      </c>
      <c r="H25" s="951">
        <f t="shared" si="7"/>
        <v>0</v>
      </c>
    </row>
    <row r="26" spans="1:10" s="31" customFormat="1">
      <c r="A26" s="43" t="s">
        <v>270</v>
      </c>
      <c r="B26" s="44" t="s">
        <v>271</v>
      </c>
      <c r="C26" s="952"/>
      <c r="D26" s="952"/>
      <c r="E26" s="952">
        <f t="array" ref="E26">SUM(IF(A26=KHN,TH))</f>
        <v>0</v>
      </c>
      <c r="F26" s="952">
        <f t="array" ref="F26">SUM(IF(A26=KHC,TH))</f>
        <v>0</v>
      </c>
      <c r="G26" s="45">
        <f t="shared" si="4"/>
        <v>0</v>
      </c>
      <c r="H26" s="45">
        <f t="shared" si="5"/>
        <v>0</v>
      </c>
    </row>
    <row r="27" spans="1:10" s="31" customFormat="1">
      <c r="A27" s="43" t="s">
        <v>272</v>
      </c>
      <c r="B27" s="44" t="s">
        <v>273</v>
      </c>
      <c r="C27" s="952"/>
      <c r="D27" s="952"/>
      <c r="E27" s="952">
        <f t="array" ref="E27">SUM(IF(A27=KHN,TH))</f>
        <v>739643468</v>
      </c>
      <c r="F27" s="952">
        <f t="array" ref="F27">SUM(IF(A27=KHC,TH))</f>
        <v>0</v>
      </c>
      <c r="G27" s="45">
        <f>MAX(C27+E27-D27-F27,0)</f>
        <v>739643468</v>
      </c>
      <c r="H27" s="45">
        <f t="shared" si="5"/>
        <v>0</v>
      </c>
      <c r="J27" s="31">
        <f>G27-[1]CDPS!$G$25</f>
        <v>-2303696532.1761475</v>
      </c>
    </row>
    <row r="28" spans="1:10" s="31" customFormat="1">
      <c r="A28" s="43" t="s">
        <v>274</v>
      </c>
      <c r="B28" s="44" t="s">
        <v>275</v>
      </c>
      <c r="C28" s="952"/>
      <c r="D28" s="952"/>
      <c r="E28" s="952">
        <f t="array" ref="E28">SUM(IF(A28=KHN,TH))</f>
        <v>0</v>
      </c>
      <c r="F28" s="952">
        <f t="array" ref="F28">SUM(IF(A28=KHC,TH))</f>
        <v>0</v>
      </c>
      <c r="G28" s="45">
        <f t="shared" si="4"/>
        <v>0</v>
      </c>
      <c r="H28" s="45">
        <f t="shared" si="5"/>
        <v>0</v>
      </c>
    </row>
    <row r="29" spans="1:10" s="31" customFormat="1">
      <c r="A29" s="400" t="s">
        <v>276</v>
      </c>
      <c r="B29" s="401" t="s">
        <v>277</v>
      </c>
      <c r="C29" s="950"/>
      <c r="D29" s="950"/>
      <c r="E29" s="950">
        <f t="array" ref="E29">SUM(IF(A29=KHN,TH))</f>
        <v>0</v>
      </c>
      <c r="F29" s="950">
        <f t="array" ref="F29">SUM(IF(A29=KHC,TH))</f>
        <v>0</v>
      </c>
      <c r="G29" s="402">
        <f t="shared" si="4"/>
        <v>0</v>
      </c>
      <c r="H29" s="402">
        <f t="shared" si="5"/>
        <v>0</v>
      </c>
    </row>
    <row r="30" spans="1:10" s="31" customFormat="1">
      <c r="A30" s="403" t="s">
        <v>278</v>
      </c>
      <c r="B30" s="404" t="s">
        <v>279</v>
      </c>
      <c r="C30" s="950"/>
      <c r="D30" s="950"/>
      <c r="E30" s="950">
        <f t="array" ref="E30">SUM(IF(A30=KHN,TH))</f>
        <v>0</v>
      </c>
      <c r="F30" s="950">
        <f t="array" ref="F30">SUM(IF(A30=KHC,TH))</f>
        <v>0</v>
      </c>
      <c r="G30" s="405">
        <f t="shared" si="4"/>
        <v>0</v>
      </c>
      <c r="H30" s="405">
        <f t="shared" si="5"/>
        <v>0</v>
      </c>
    </row>
    <row r="31" spans="1:10" s="31" customFormat="1">
      <c r="A31" s="403" t="s">
        <v>280</v>
      </c>
      <c r="B31" s="404" t="s">
        <v>281</v>
      </c>
      <c r="C31" s="950"/>
      <c r="D31" s="950"/>
      <c r="E31" s="950">
        <f t="array" ref="E31">SUM(IF(A31=KHN,TH))</f>
        <v>0</v>
      </c>
      <c r="F31" s="950">
        <f t="array" ref="F31">SUM(IF(A31=KHC,TH))</f>
        <v>0</v>
      </c>
      <c r="G31" s="405">
        <f t="shared" si="4"/>
        <v>0</v>
      </c>
      <c r="H31" s="405">
        <f t="shared" si="5"/>
        <v>0</v>
      </c>
    </row>
    <row r="32" spans="1:10" s="31" customFormat="1">
      <c r="A32" s="43" t="s">
        <v>282</v>
      </c>
      <c r="B32" s="44" t="s">
        <v>283</v>
      </c>
      <c r="C32" s="951"/>
      <c r="D32" s="951"/>
      <c r="E32" s="951">
        <f t="shared" ref="E32:H32" si="8">SUM(E29:E31)</f>
        <v>0</v>
      </c>
      <c r="F32" s="951">
        <f t="shared" si="8"/>
        <v>0</v>
      </c>
      <c r="G32" s="951">
        <f t="shared" si="8"/>
        <v>0</v>
      </c>
      <c r="H32" s="951">
        <f t="shared" si="8"/>
        <v>0</v>
      </c>
    </row>
    <row r="33" spans="1:8" s="31" customFormat="1">
      <c r="A33" s="403" t="s">
        <v>576</v>
      </c>
      <c r="B33" s="404" t="s">
        <v>577</v>
      </c>
      <c r="C33" s="950"/>
      <c r="D33" s="950"/>
      <c r="E33" s="950">
        <f t="array" ref="E33">SUM(IF(A33=KHN,TH))</f>
        <v>0</v>
      </c>
      <c r="F33" s="950">
        <f t="array" ref="F33">SUM(IF(A33=KHC,TH))</f>
        <v>0</v>
      </c>
      <c r="G33" s="405">
        <f>MAX(C33+E33-D33-F33,0)</f>
        <v>0</v>
      </c>
      <c r="H33" s="405">
        <f>MAX(D33+F33-E33-C33,0)</f>
        <v>0</v>
      </c>
    </row>
    <row r="34" spans="1:8" s="31" customFormat="1">
      <c r="A34" s="47" t="s">
        <v>578</v>
      </c>
      <c r="B34" s="44" t="s">
        <v>579</v>
      </c>
      <c r="C34" s="951"/>
      <c r="D34" s="951"/>
      <c r="E34" s="951">
        <f t="shared" ref="E34:H34" si="9">E33</f>
        <v>0</v>
      </c>
      <c r="F34" s="951">
        <f t="shared" si="9"/>
        <v>0</v>
      </c>
      <c r="G34" s="951">
        <f t="shared" si="9"/>
        <v>0</v>
      </c>
      <c r="H34" s="951">
        <f t="shared" si="9"/>
        <v>0</v>
      </c>
    </row>
    <row r="35" spans="1:8" s="31" customFormat="1">
      <c r="A35" s="46" t="s">
        <v>539</v>
      </c>
      <c r="B35" s="39" t="s">
        <v>580</v>
      </c>
      <c r="C35" s="950"/>
      <c r="D35" s="950"/>
      <c r="E35" s="950">
        <f t="array" ref="E35">SUM(IF(A35=KHN,TH))</f>
        <v>0</v>
      </c>
      <c r="F35" s="950">
        <f t="array" ref="F35">SUM(IF(A35=KHC,TH))</f>
        <v>631720089</v>
      </c>
      <c r="G35" s="40">
        <f>MAX(C35+E35-D35-F35,0)</f>
        <v>0</v>
      </c>
      <c r="H35" s="40">
        <f>MAX(D35+F35-E35-C35,0)</f>
        <v>631720089</v>
      </c>
    </row>
    <row r="36" spans="1:8" s="31" customFormat="1">
      <c r="A36" s="38" t="s">
        <v>538</v>
      </c>
      <c r="B36" s="39" t="s">
        <v>581</v>
      </c>
      <c r="C36" s="950"/>
      <c r="D36" s="950"/>
      <c r="E36" s="950">
        <f t="array" ref="E36">SUM(IF(A36=KHN,TH))</f>
        <v>0</v>
      </c>
      <c r="F36" s="950">
        <f t="array" ref="F36">SUM(IF(A36=KHC,TH))</f>
        <v>120128473</v>
      </c>
      <c r="G36" s="40">
        <f>MAX(C36+E36-D36-F36,0)</f>
        <v>0</v>
      </c>
      <c r="H36" s="40">
        <f>MAX(D36+F36-E36-C36,0)</f>
        <v>120128473</v>
      </c>
    </row>
    <row r="37" spans="1:8" s="31" customFormat="1" ht="12.75" customHeight="1">
      <c r="A37" s="43" t="s">
        <v>582</v>
      </c>
      <c r="B37" s="44" t="s">
        <v>583</v>
      </c>
      <c r="C37" s="951"/>
      <c r="D37" s="951"/>
      <c r="E37" s="951">
        <f t="shared" ref="E37" si="10">E35+E36</f>
        <v>0</v>
      </c>
      <c r="F37" s="951">
        <f>F35+F36</f>
        <v>751848562</v>
      </c>
      <c r="G37" s="45">
        <f t="shared" ref="G37:H37" si="11">G35+G36</f>
        <v>0</v>
      </c>
      <c r="H37" s="45">
        <f t="shared" si="11"/>
        <v>751848562</v>
      </c>
    </row>
    <row r="38" spans="1:8" s="31" customFormat="1">
      <c r="A38" s="38" t="s">
        <v>162</v>
      </c>
      <c r="B38" s="39" t="s">
        <v>163</v>
      </c>
      <c r="C38" s="950"/>
      <c r="D38" s="950"/>
      <c r="E38" s="950">
        <f t="array" ref="E38">SUM(IF(A38=KHN,TH))</f>
        <v>0</v>
      </c>
      <c r="F38" s="950">
        <f t="array" ref="F38">SUM(IF(A38=KHC,TH))</f>
        <v>0</v>
      </c>
      <c r="G38" s="41">
        <f t="shared" si="4"/>
        <v>0</v>
      </c>
      <c r="H38" s="41">
        <f t="shared" si="5"/>
        <v>0</v>
      </c>
    </row>
    <row r="39" spans="1:8" s="31" customFormat="1">
      <c r="A39" s="47" t="s">
        <v>223</v>
      </c>
      <c r="B39" s="44" t="s">
        <v>164</v>
      </c>
      <c r="C39" s="951"/>
      <c r="D39" s="951"/>
      <c r="E39" s="951">
        <f>E38</f>
        <v>0</v>
      </c>
      <c r="F39" s="951">
        <f>F38</f>
        <v>0</v>
      </c>
      <c r="G39" s="45">
        <f t="shared" si="4"/>
        <v>0</v>
      </c>
      <c r="H39" s="45">
        <f t="shared" si="5"/>
        <v>0</v>
      </c>
    </row>
    <row r="40" spans="1:8" s="31" customFormat="1">
      <c r="A40" s="43" t="s">
        <v>8</v>
      </c>
      <c r="B40" s="44" t="s">
        <v>76</v>
      </c>
      <c r="C40" s="952"/>
      <c r="D40" s="952"/>
      <c r="E40" s="952">
        <f t="array" ref="E40">SUM(IF(A40=KHN,TH))</f>
        <v>1566923378</v>
      </c>
      <c r="F40" s="952">
        <f t="array" ref="F40">SUM(IF(A40=KHC,TH))</f>
        <v>140271693</v>
      </c>
      <c r="G40" s="45">
        <f t="shared" si="4"/>
        <v>1426651685</v>
      </c>
      <c r="H40" s="45">
        <f t="shared" si="5"/>
        <v>0</v>
      </c>
    </row>
    <row r="41" spans="1:8" s="31" customFormat="1">
      <c r="A41" s="406" t="s">
        <v>595</v>
      </c>
      <c r="B41" s="407" t="s">
        <v>769</v>
      </c>
      <c r="C41" s="953"/>
      <c r="D41" s="953"/>
      <c r="E41" s="953">
        <f t="array" ref="E41">SUM(IF(A41=KHN,TH))</f>
        <v>121125000</v>
      </c>
      <c r="F41" s="953">
        <f t="array" ref="F41">SUM(IF(A41=KHC,TH))</f>
        <v>121125000</v>
      </c>
      <c r="G41" s="402">
        <f t="shared" si="4"/>
        <v>0</v>
      </c>
      <c r="H41" s="402">
        <f t="shared" si="5"/>
        <v>0</v>
      </c>
    </row>
    <row r="42" spans="1:8" s="31" customFormat="1">
      <c r="A42" s="406" t="s">
        <v>747</v>
      </c>
      <c r="B42" s="407" t="s">
        <v>770</v>
      </c>
      <c r="C42" s="953"/>
      <c r="D42" s="953"/>
      <c r="E42" s="953">
        <f t="array" ref="E42">SUM(IF(A42=KHN,TH))</f>
        <v>0</v>
      </c>
      <c r="F42" s="953">
        <f t="array" ref="F42">SUM(IF(A42=KHC,TH))</f>
        <v>0</v>
      </c>
      <c r="G42" s="48">
        <f t="shared" si="4"/>
        <v>0</v>
      </c>
      <c r="H42" s="48">
        <f t="shared" si="5"/>
        <v>0</v>
      </c>
    </row>
    <row r="43" spans="1:8" s="31" customFormat="1">
      <c r="A43" s="46" t="s">
        <v>771</v>
      </c>
      <c r="B43" s="39" t="s">
        <v>772</v>
      </c>
      <c r="C43" s="950"/>
      <c r="D43" s="950"/>
      <c r="E43" s="950">
        <f t="shared" ref="E43:H43" si="12">E41+E42</f>
        <v>121125000</v>
      </c>
      <c r="F43" s="950">
        <f t="shared" si="12"/>
        <v>121125000</v>
      </c>
      <c r="G43" s="40">
        <f t="shared" si="12"/>
        <v>0</v>
      </c>
      <c r="H43" s="40">
        <f t="shared" si="12"/>
        <v>0</v>
      </c>
    </row>
    <row r="44" spans="1:8" s="31" customFormat="1">
      <c r="A44" s="46" t="s">
        <v>77</v>
      </c>
      <c r="B44" s="39" t="s">
        <v>78</v>
      </c>
      <c r="C44" s="950"/>
      <c r="D44" s="950"/>
      <c r="E44" s="950">
        <f t="array" ref="E44">SUM(IF(A44=KHN,TH))</f>
        <v>0</v>
      </c>
      <c r="F44" s="950">
        <f t="array" ref="F44">SUM(IF(A44=KHC,TH))</f>
        <v>0</v>
      </c>
      <c r="G44" s="40">
        <f t="shared" si="4"/>
        <v>0</v>
      </c>
      <c r="H44" s="40">
        <f t="shared" si="5"/>
        <v>0</v>
      </c>
    </row>
    <row r="45" spans="1:8" s="31" customFormat="1">
      <c r="A45" s="46" t="s">
        <v>574</v>
      </c>
      <c r="B45" s="39" t="s">
        <v>575</v>
      </c>
      <c r="C45" s="950"/>
      <c r="D45" s="950"/>
      <c r="E45" s="950">
        <f t="array" ref="E45">SUM(IF(A45=KHN,TH))</f>
        <v>0</v>
      </c>
      <c r="F45" s="950">
        <f t="array" ref="F45">SUM(IF(A45=KHC,TH))</f>
        <v>0</v>
      </c>
      <c r="G45" s="40">
        <f t="shared" si="4"/>
        <v>0</v>
      </c>
      <c r="H45" s="40">
        <f t="shared" si="5"/>
        <v>0</v>
      </c>
    </row>
    <row r="46" spans="1:8" s="31" customFormat="1">
      <c r="A46" s="49" t="s">
        <v>79</v>
      </c>
      <c r="B46" s="50" t="s">
        <v>80</v>
      </c>
      <c r="C46" s="954"/>
      <c r="D46" s="954"/>
      <c r="E46" s="954">
        <f t="array" ref="E46">SUM(IF(A46=KHN,TH))</f>
        <v>2000000</v>
      </c>
      <c r="F46" s="954">
        <f t="array" ref="F46">SUM(IF(A46=KHC,TH))</f>
        <v>2000000</v>
      </c>
      <c r="G46" s="48">
        <f t="shared" si="4"/>
        <v>0</v>
      </c>
      <c r="H46" s="48">
        <f t="shared" si="5"/>
        <v>0</v>
      </c>
    </row>
    <row r="47" spans="1:8" s="31" customFormat="1">
      <c r="A47" s="46" t="s">
        <v>20</v>
      </c>
      <c r="B47" s="39" t="s">
        <v>81</v>
      </c>
      <c r="C47" s="950"/>
      <c r="D47" s="950"/>
      <c r="E47" s="950">
        <f>E46</f>
        <v>2000000</v>
      </c>
      <c r="F47" s="950">
        <f>F46</f>
        <v>2000000</v>
      </c>
      <c r="G47" s="40">
        <f>G46</f>
        <v>0</v>
      </c>
      <c r="H47" s="40">
        <f>H46</f>
        <v>0</v>
      </c>
    </row>
    <row r="48" spans="1:8" s="31" customFormat="1">
      <c r="A48" s="43" t="s">
        <v>82</v>
      </c>
      <c r="B48" s="44" t="s">
        <v>83</v>
      </c>
      <c r="C48" s="951"/>
      <c r="D48" s="951"/>
      <c r="E48" s="951">
        <f>E43+E44+E45+E47</f>
        <v>123125000</v>
      </c>
      <c r="F48" s="951">
        <f t="shared" ref="F48:H48" si="13">F43+F44+F45+F47</f>
        <v>123125000</v>
      </c>
      <c r="G48" s="45">
        <f t="shared" si="13"/>
        <v>0</v>
      </c>
      <c r="H48" s="45">
        <f t="shared" si="13"/>
        <v>0</v>
      </c>
    </row>
    <row r="49" spans="1:10" s="31" customFormat="1">
      <c r="A49" s="46" t="s">
        <v>541</v>
      </c>
      <c r="B49" s="39" t="s">
        <v>571</v>
      </c>
      <c r="C49" s="950"/>
      <c r="D49" s="950"/>
      <c r="E49" s="950">
        <f t="array" ref="E49">SUM(IF(A49=KHN,TH))</f>
        <v>0</v>
      </c>
      <c r="F49" s="950">
        <f t="array" ref="F49">SUM(IF(A49=KHC,TH))</f>
        <v>0</v>
      </c>
      <c r="G49" s="40">
        <f t="shared" ref="G49:G54" si="14">MAX(C49+E49-D49-F49,0)</f>
        <v>0</v>
      </c>
      <c r="H49" s="40">
        <f t="shared" ref="H49:H54" si="15">MAX(D49+F49-E49-C49,0)</f>
        <v>0</v>
      </c>
    </row>
    <row r="50" spans="1:10" s="31" customFormat="1">
      <c r="A50" s="43" t="s">
        <v>572</v>
      </c>
      <c r="B50" s="44" t="s">
        <v>573</v>
      </c>
      <c r="C50" s="951"/>
      <c r="D50" s="951"/>
      <c r="E50" s="951">
        <f>E49</f>
        <v>0</v>
      </c>
      <c r="F50" s="951">
        <f>F49</f>
        <v>0</v>
      </c>
      <c r="G50" s="45">
        <f t="shared" si="14"/>
        <v>0</v>
      </c>
      <c r="H50" s="45">
        <f t="shared" si="15"/>
        <v>0</v>
      </c>
    </row>
    <row r="51" spans="1:10" s="31" customFormat="1" ht="12.75" customHeight="1">
      <c r="A51" s="38" t="s">
        <v>542</v>
      </c>
      <c r="B51" s="39" t="s">
        <v>568</v>
      </c>
      <c r="C51" s="950"/>
      <c r="D51" s="950"/>
      <c r="E51" s="950">
        <f t="array" ref="E51">SUM(IF(A51=KHN,TH))</f>
        <v>0</v>
      </c>
      <c r="F51" s="950">
        <f t="array" ref="F51">SUM(IF(A51=KHC,TH))</f>
        <v>0</v>
      </c>
      <c r="G51" s="40">
        <f t="shared" si="14"/>
        <v>0</v>
      </c>
      <c r="H51" s="40">
        <f t="shared" si="15"/>
        <v>0</v>
      </c>
      <c r="I51" s="31">
        <v>19262890</v>
      </c>
      <c r="J51" s="31">
        <f>H51-I51</f>
        <v>-19262890</v>
      </c>
    </row>
    <row r="52" spans="1:10" s="31" customFormat="1">
      <c r="A52" s="46" t="s">
        <v>543</v>
      </c>
      <c r="B52" s="39" t="s">
        <v>569</v>
      </c>
      <c r="C52" s="950"/>
      <c r="D52" s="950"/>
      <c r="E52" s="950">
        <f t="array" ref="E52">SUM(IF(A52=KHN,TH))</f>
        <v>0</v>
      </c>
      <c r="F52" s="950">
        <f t="array" ref="F52">SUM(IF(A52=KHC,TH))</f>
        <v>0</v>
      </c>
      <c r="G52" s="40">
        <f t="shared" si="14"/>
        <v>0</v>
      </c>
      <c r="H52" s="40">
        <f t="shared" si="15"/>
        <v>0</v>
      </c>
      <c r="I52" s="31">
        <v>2972042</v>
      </c>
      <c r="J52" s="31">
        <f t="shared" ref="J52:J55" si="16">H52-I52</f>
        <v>-2972042</v>
      </c>
    </row>
    <row r="53" spans="1:10" s="31" customFormat="1">
      <c r="A53" s="38" t="s">
        <v>544</v>
      </c>
      <c r="B53" s="39" t="s">
        <v>570</v>
      </c>
      <c r="C53" s="950"/>
      <c r="D53" s="950"/>
      <c r="E53" s="950">
        <f t="array" ref="E53">SUM(IF(A53=KHN,TH))</f>
        <v>0</v>
      </c>
      <c r="F53" s="950">
        <f t="array" ref="F53">SUM(IF(A53=KHC,TH))</f>
        <v>0</v>
      </c>
      <c r="G53" s="40">
        <f t="shared" si="14"/>
        <v>0</v>
      </c>
      <c r="H53" s="40">
        <f t="shared" si="15"/>
        <v>0</v>
      </c>
      <c r="I53" s="31">
        <v>1327589</v>
      </c>
      <c r="J53" s="31">
        <f t="shared" si="16"/>
        <v>-1327589</v>
      </c>
    </row>
    <row r="54" spans="1:10" s="31" customFormat="1">
      <c r="A54" s="46" t="s">
        <v>19</v>
      </c>
      <c r="B54" s="39" t="s">
        <v>84</v>
      </c>
      <c r="C54" s="950"/>
      <c r="D54" s="950"/>
      <c r="E54" s="950">
        <f t="array" ref="E54">SUM(IF(A54=KHN,TH))</f>
        <v>0</v>
      </c>
      <c r="F54" s="950">
        <f t="array" ref="F54">SUM(IF(A54=KHC,TH))</f>
        <v>0</v>
      </c>
      <c r="G54" s="40">
        <f t="shared" si="14"/>
        <v>0</v>
      </c>
      <c r="H54" s="40">
        <f t="shared" si="15"/>
        <v>0</v>
      </c>
      <c r="I54" s="31">
        <v>279319</v>
      </c>
      <c r="J54" s="31">
        <f t="shared" si="16"/>
        <v>-279319</v>
      </c>
    </row>
    <row r="55" spans="1:10" s="31" customFormat="1">
      <c r="A55" s="43" t="s">
        <v>85</v>
      </c>
      <c r="B55" s="44" t="s">
        <v>86</v>
      </c>
      <c r="C55" s="951"/>
      <c r="D55" s="951"/>
      <c r="E55" s="951">
        <f t="shared" ref="E55:I55" si="17">SUM(E51:E54)</f>
        <v>0</v>
      </c>
      <c r="F55" s="951">
        <f t="shared" si="17"/>
        <v>0</v>
      </c>
      <c r="G55" s="45">
        <f t="shared" si="17"/>
        <v>0</v>
      </c>
      <c r="H55" s="45">
        <f t="shared" si="17"/>
        <v>0</v>
      </c>
      <c r="I55" s="45">
        <f t="shared" si="17"/>
        <v>23841840</v>
      </c>
      <c r="J55" s="31">
        <f t="shared" si="16"/>
        <v>-23841840</v>
      </c>
    </row>
    <row r="56" spans="1:10" s="31" customFormat="1">
      <c r="A56" s="38" t="s">
        <v>87</v>
      </c>
      <c r="B56" s="39" t="s">
        <v>251</v>
      </c>
      <c r="C56" s="950"/>
      <c r="D56" s="950"/>
      <c r="E56" s="950">
        <f t="array" ref="E56">SUM(IF(A56=KHN,TH))</f>
        <v>0</v>
      </c>
      <c r="F56" s="950">
        <f t="array" ref="F56">SUM(IF(A56=KHC,TH))</f>
        <v>0</v>
      </c>
      <c r="G56" s="41">
        <f>MAX(C56+E56-D56-F56,0)</f>
        <v>0</v>
      </c>
      <c r="H56" s="41">
        <f>MAX(D56+F56-E56-C56,0)</f>
        <v>0</v>
      </c>
    </row>
    <row r="57" spans="1:10" s="31" customFormat="1">
      <c r="A57" s="38" t="s">
        <v>250</v>
      </c>
      <c r="B57" s="39" t="s">
        <v>252</v>
      </c>
      <c r="C57" s="950"/>
      <c r="D57" s="950"/>
      <c r="E57" s="950">
        <f t="array" ref="E57">SUM(IF(A57=KHN,TH))</f>
        <v>9145754780</v>
      </c>
      <c r="F57" s="950">
        <f t="array" ref="F57">SUM(IF(A57=KHC,TH))</f>
        <v>7133005000</v>
      </c>
      <c r="G57" s="40">
        <f>MAX(C57+E57-D57-F57,0)</f>
        <v>2012749780</v>
      </c>
      <c r="H57" s="40">
        <f>MAX(D57+F57-E57-C57,0)</f>
        <v>0</v>
      </c>
    </row>
    <row r="58" spans="1:10" s="31" customFormat="1">
      <c r="A58" s="47" t="s">
        <v>42</v>
      </c>
      <c r="B58" s="44" t="s">
        <v>88</v>
      </c>
      <c r="C58" s="951"/>
      <c r="D58" s="951"/>
      <c r="E58" s="951">
        <f t="shared" ref="E58:H58" si="18">SUM(E56:E57)</f>
        <v>9145754780</v>
      </c>
      <c r="F58" s="951">
        <f t="shared" si="18"/>
        <v>7133005000</v>
      </c>
      <c r="G58" s="45">
        <f t="shared" si="18"/>
        <v>2012749780</v>
      </c>
      <c r="H58" s="45">
        <f t="shared" si="18"/>
        <v>0</v>
      </c>
    </row>
    <row r="59" spans="1:10" s="31" customFormat="1">
      <c r="A59" s="46" t="s">
        <v>27</v>
      </c>
      <c r="B59" s="39" t="s">
        <v>89</v>
      </c>
      <c r="C59" s="950"/>
      <c r="D59" s="950"/>
      <c r="E59" s="950">
        <f t="array" ref="E59">SUM(IF(A59=KHN,TH))</f>
        <v>0</v>
      </c>
      <c r="F59" s="950">
        <f t="array" ref="F59">SUM(IF(A59=KHC,TH))</f>
        <v>0</v>
      </c>
      <c r="G59" s="41">
        <f>MAX(C59+E59-D59-F59,0)</f>
        <v>0</v>
      </c>
      <c r="H59" s="41">
        <f>MAX(D59+F59-E59-C59,0)</f>
        <v>0</v>
      </c>
    </row>
    <row r="60" spans="1:10" s="31" customFormat="1">
      <c r="A60" s="43" t="s">
        <v>90</v>
      </c>
      <c r="B60" s="44" t="s">
        <v>91</v>
      </c>
      <c r="C60" s="951"/>
      <c r="D60" s="951"/>
      <c r="E60" s="951">
        <f>E59</f>
        <v>0</v>
      </c>
      <c r="F60" s="951">
        <f>F59</f>
        <v>0</v>
      </c>
      <c r="G60" s="45">
        <f>MAX(C60+E60-D60-F60,0)</f>
        <v>0</v>
      </c>
      <c r="H60" s="45">
        <f>MAX(D60+F60-E60-C60,0)</f>
        <v>0</v>
      </c>
    </row>
    <row r="61" spans="1:10" s="31" customFormat="1">
      <c r="A61" s="38" t="s">
        <v>92</v>
      </c>
      <c r="B61" s="39" t="s">
        <v>93</v>
      </c>
      <c r="C61" s="950"/>
      <c r="D61" s="950"/>
      <c r="E61" s="950">
        <f t="array" ref="E61">SUM(IF(A61=KHN,TH))</f>
        <v>0</v>
      </c>
      <c r="F61" s="950">
        <f t="array" ref="F61">SUM(IF(A61=KHC,TH))</f>
        <v>0</v>
      </c>
      <c r="G61" s="41">
        <f>MAX(C61+E61-D61-F61,0)</f>
        <v>0</v>
      </c>
      <c r="H61" s="41">
        <f>MAX(D61+F61-E61-C61,0)</f>
        <v>0</v>
      </c>
    </row>
    <row r="62" spans="1:10" s="31" customFormat="1">
      <c r="A62" s="46" t="s">
        <v>94</v>
      </c>
      <c r="B62" s="39" t="s">
        <v>95</v>
      </c>
      <c r="C62" s="950"/>
      <c r="D62" s="950"/>
      <c r="E62" s="950">
        <f t="array" ref="E62">SUM(IF(A62=TH!$N$10:$N$6883,TH!$M$10:$M$6883))</f>
        <v>0</v>
      </c>
      <c r="F62" s="950">
        <f t="array" ref="F62">SUM(IF(A62=TH!$O$10:$O$6883,TH!$M$10:$M$6883))</f>
        <v>0</v>
      </c>
      <c r="G62" s="40">
        <f>MAX(C62+E62-D62-F62,0)</f>
        <v>0</v>
      </c>
      <c r="H62" s="40">
        <f>MAX(D62+F62-E62-C62,0)</f>
        <v>0</v>
      </c>
    </row>
    <row r="63" spans="1:10" s="31" customFormat="1">
      <c r="A63" s="43" t="s">
        <v>96</v>
      </c>
      <c r="B63" s="44" t="s">
        <v>97</v>
      </c>
      <c r="C63" s="951"/>
      <c r="D63" s="951"/>
      <c r="E63" s="951">
        <f>E62+E61</f>
        <v>0</v>
      </c>
      <c r="F63" s="951">
        <f>F62+F61</f>
        <v>0</v>
      </c>
      <c r="G63" s="45">
        <f>G62+G61</f>
        <v>0</v>
      </c>
      <c r="H63" s="45">
        <f>H62+H61</f>
        <v>0</v>
      </c>
    </row>
    <row r="64" spans="1:10" s="31" customFormat="1" ht="12.75" customHeight="1">
      <c r="A64" s="406" t="s">
        <v>286</v>
      </c>
      <c r="B64" s="407" t="s">
        <v>287</v>
      </c>
      <c r="C64" s="953"/>
      <c r="D64" s="953"/>
      <c r="E64" s="953">
        <f t="array" ref="E64">SUM(IF(A64=KHN,TH))</f>
        <v>1211250000</v>
      </c>
      <c r="F64" s="953">
        <f t="array" ref="F64">SUM(IF(A64=KHC,TH))</f>
        <v>1211250000</v>
      </c>
      <c r="G64" s="408"/>
      <c r="H64" s="408"/>
      <c r="I64" s="31">
        <f t="shared" ref="I64:I78" si="19">E64-F64</f>
        <v>0</v>
      </c>
    </row>
    <row r="65" spans="1:10" s="31" customFormat="1">
      <c r="A65" s="406" t="s">
        <v>288</v>
      </c>
      <c r="B65" s="407" t="s">
        <v>289</v>
      </c>
      <c r="C65" s="953"/>
      <c r="D65" s="953"/>
      <c r="E65" s="953">
        <f t="array" ref="E65">SUM(IF(A65=KHN,TH))</f>
        <v>5001334050</v>
      </c>
      <c r="F65" s="953">
        <f t="array" ref="F65">SUM(IF(A65=KHC,TH))</f>
        <v>5001334050</v>
      </c>
      <c r="G65" s="408"/>
      <c r="H65" s="408"/>
      <c r="I65" s="31">
        <f t="shared" si="19"/>
        <v>0</v>
      </c>
    </row>
    <row r="66" spans="1:10" s="31" customFormat="1">
      <c r="A66" s="38" t="s">
        <v>290</v>
      </c>
      <c r="B66" s="39" t="s">
        <v>291</v>
      </c>
      <c r="C66" s="950"/>
      <c r="D66" s="950"/>
      <c r="E66" s="950">
        <f>E64+E65</f>
        <v>6212584050</v>
      </c>
      <c r="F66" s="950">
        <f>F64+F65</f>
        <v>6212584050</v>
      </c>
      <c r="G66" s="40"/>
      <c r="H66" s="40"/>
      <c r="I66" s="31">
        <f t="shared" si="19"/>
        <v>0</v>
      </c>
    </row>
    <row r="67" spans="1:10" s="31" customFormat="1">
      <c r="A67" s="43" t="s">
        <v>292</v>
      </c>
      <c r="B67" s="44" t="s">
        <v>293</v>
      </c>
      <c r="C67" s="951"/>
      <c r="D67" s="951"/>
      <c r="E67" s="951">
        <f>E66</f>
        <v>6212584050</v>
      </c>
      <c r="F67" s="951">
        <f>F66</f>
        <v>6212584050</v>
      </c>
      <c r="G67" s="45"/>
      <c r="H67" s="45"/>
      <c r="I67" s="31">
        <f t="shared" si="19"/>
        <v>0</v>
      </c>
    </row>
    <row r="68" spans="1:10" s="31" customFormat="1">
      <c r="A68" s="43" t="s">
        <v>43</v>
      </c>
      <c r="B68" s="44" t="s">
        <v>98</v>
      </c>
      <c r="C68" s="952"/>
      <c r="D68" s="952"/>
      <c r="E68" s="952">
        <f t="array" ref="E68">SUM(IF(A68=KHN,TH))</f>
        <v>9470125</v>
      </c>
      <c r="F68" s="952">
        <f t="array" ref="F68">SUM(IF(A68=KHC,TH))</f>
        <v>9470125</v>
      </c>
      <c r="G68" s="45"/>
      <c r="H68" s="45"/>
      <c r="I68" s="31">
        <f t="shared" si="19"/>
        <v>0</v>
      </c>
    </row>
    <row r="69" spans="1:10" s="31" customFormat="1">
      <c r="A69" s="1243" t="s">
        <v>803</v>
      </c>
      <c r="B69" s="1244" t="s">
        <v>920</v>
      </c>
      <c r="C69" s="950"/>
      <c r="D69" s="950"/>
      <c r="E69" s="950">
        <f t="array" ref="E69">SUM(IF(A69=KHN,TH))</f>
        <v>0</v>
      </c>
      <c r="F69" s="950">
        <f t="array" ref="F69">SUM(IF(A69=KHC,TH))</f>
        <v>0</v>
      </c>
      <c r="G69" s="41">
        <f>MAX(C69+E69-D69-F69,0)</f>
        <v>0</v>
      </c>
      <c r="H69" s="41">
        <f>MAX(D69+F69-E69-C69,0)</f>
        <v>0</v>
      </c>
      <c r="I69" s="31">
        <f t="shared" si="19"/>
        <v>0</v>
      </c>
    </row>
    <row r="70" spans="1:10" s="31" customFormat="1" ht="14.25" customHeight="1">
      <c r="A70" s="1245" t="s">
        <v>921</v>
      </c>
      <c r="B70" s="1246" t="s">
        <v>922</v>
      </c>
      <c r="C70" s="951"/>
      <c r="D70" s="951"/>
      <c r="E70" s="951">
        <f>E69</f>
        <v>0</v>
      </c>
      <c r="F70" s="951">
        <f>F69</f>
        <v>0</v>
      </c>
      <c r="G70" s="45">
        <f>MAX(C70+E70-D70-F70,0)</f>
        <v>0</v>
      </c>
      <c r="H70" s="45">
        <f>MAX(D70+F70-E70-C70,0)</f>
        <v>0</v>
      </c>
      <c r="I70" s="31">
        <f t="shared" si="19"/>
        <v>0</v>
      </c>
    </row>
    <row r="71" spans="1:10" s="31" customFormat="1" ht="12.75" customHeight="1">
      <c r="A71" s="43" t="s">
        <v>284</v>
      </c>
      <c r="B71" s="44" t="s">
        <v>285</v>
      </c>
      <c r="C71" s="952"/>
      <c r="D71" s="952"/>
      <c r="E71" s="952">
        <f t="array" ref="E71">SUM(IF(A71=KHN,TH))</f>
        <v>0</v>
      </c>
      <c r="F71" s="952">
        <f t="array" ref="F71">SUM(IF(A71=KHC,TH))</f>
        <v>0</v>
      </c>
      <c r="G71" s="45"/>
      <c r="H71" s="45"/>
      <c r="I71" s="31">
        <f t="shared" si="19"/>
        <v>0</v>
      </c>
    </row>
    <row r="72" spans="1:10" s="31" customFormat="1" ht="12.75" customHeight="1">
      <c r="A72" s="43" t="s">
        <v>99</v>
      </c>
      <c r="B72" s="44" t="s">
        <v>100</v>
      </c>
      <c r="C72" s="952"/>
      <c r="D72" s="952"/>
      <c r="E72" s="952">
        <f t="array" ref="E72">SUM(IF(A72=KHN,TH))</f>
        <v>12429260</v>
      </c>
      <c r="F72" s="952">
        <f t="array" ref="F72">SUM(IF(A72=KHC,TH))</f>
        <v>12429260</v>
      </c>
      <c r="G72" s="45"/>
      <c r="H72" s="45"/>
      <c r="I72" s="31">
        <f t="shared" si="19"/>
        <v>0</v>
      </c>
    </row>
    <row r="73" spans="1:10" s="31" customFormat="1" ht="12.75" customHeight="1">
      <c r="A73" s="47" t="s">
        <v>540</v>
      </c>
      <c r="B73" s="44" t="s">
        <v>736</v>
      </c>
      <c r="C73" s="952"/>
      <c r="D73" s="952"/>
      <c r="E73" s="952">
        <f t="array" ref="E73">SUM(IF(A73=KHN,TH))</f>
        <v>37018670</v>
      </c>
      <c r="F73" s="952">
        <f t="array" ref="F73">SUM(IF(A73=KHC,TH))</f>
        <v>37018670</v>
      </c>
      <c r="G73" s="45"/>
      <c r="H73" s="45"/>
      <c r="I73" s="31">
        <f t="shared" si="19"/>
        <v>0</v>
      </c>
    </row>
    <row r="74" spans="1:10" s="31" customFormat="1" ht="12.75" customHeight="1">
      <c r="A74" s="43" t="s">
        <v>101</v>
      </c>
      <c r="B74" s="44" t="s">
        <v>102</v>
      </c>
      <c r="C74" s="952"/>
      <c r="D74" s="952"/>
      <c r="E74" s="952">
        <f t="array" ref="E74">SUM(IF(A74=KHN,TH))</f>
        <v>80663808</v>
      </c>
      <c r="F74" s="952">
        <f t="array" ref="F74">SUM(IF(A74=KHC,TH))</f>
        <v>80663808</v>
      </c>
      <c r="G74" s="45"/>
      <c r="H74" s="45"/>
      <c r="I74" s="31">
        <f t="shared" si="19"/>
        <v>0</v>
      </c>
    </row>
    <row r="75" spans="1:10" s="31" customFormat="1" ht="12.75" customHeight="1">
      <c r="A75" s="47" t="s">
        <v>103</v>
      </c>
      <c r="B75" s="44" t="s">
        <v>104</v>
      </c>
      <c r="C75" s="952"/>
      <c r="D75" s="952"/>
      <c r="E75" s="952">
        <f t="array" ref="E75">SUM(IF(A75=KHN,TH))</f>
        <v>0</v>
      </c>
      <c r="F75" s="952">
        <f t="array" ref="F75">SUM(IF(A75=KHC,TH))</f>
        <v>0</v>
      </c>
      <c r="G75" s="45"/>
      <c r="H75" s="45"/>
      <c r="I75" s="31">
        <f t="shared" si="19"/>
        <v>0</v>
      </c>
    </row>
    <row r="76" spans="1:10" s="31" customFormat="1" ht="12.75" customHeight="1">
      <c r="A76" s="43" t="s">
        <v>105</v>
      </c>
      <c r="B76" s="44" t="s">
        <v>106</v>
      </c>
      <c r="C76" s="952"/>
      <c r="D76" s="952"/>
      <c r="E76" s="952">
        <f t="array" ref="E76">SUM(IF(A76=KHN,TH))</f>
        <v>0</v>
      </c>
      <c r="F76" s="952">
        <f t="array" ref="F76">SUM(IF(A76=KHC,TH))</f>
        <v>0</v>
      </c>
      <c r="G76" s="45"/>
      <c r="H76" s="45"/>
      <c r="I76" s="31">
        <f t="shared" si="19"/>
        <v>0</v>
      </c>
    </row>
    <row r="77" spans="1:10" s="31" customFormat="1" ht="12.75" customHeight="1">
      <c r="A77" s="47" t="s">
        <v>107</v>
      </c>
      <c r="B77" s="44" t="s">
        <v>108</v>
      </c>
      <c r="C77" s="952"/>
      <c r="D77" s="952"/>
      <c r="E77" s="952">
        <f t="array" ref="E77">SUM(IF(A77=KHN,TH))</f>
        <v>0</v>
      </c>
      <c r="F77" s="952">
        <f t="array" ref="F77">SUM(IF(A77=KHC,TH))</f>
        <v>0</v>
      </c>
      <c r="G77" s="45"/>
      <c r="H77" s="45"/>
      <c r="I77" s="31">
        <f t="shared" si="19"/>
        <v>0</v>
      </c>
      <c r="J77" s="31">
        <f>E67+E68-E72-I72-E74+E75-BTGT!N77</f>
        <v>6128961107</v>
      </c>
    </row>
    <row r="78" spans="1:10" s="31" customFormat="1">
      <c r="A78" s="43" t="s">
        <v>109</v>
      </c>
      <c r="B78" s="44" t="s">
        <v>110</v>
      </c>
      <c r="C78" s="955"/>
      <c r="D78" s="955"/>
      <c r="E78" s="955">
        <f t="array" ref="E78">SUM(IF(A78=KHN,TH))</f>
        <v>130111738</v>
      </c>
      <c r="F78" s="955">
        <f t="array" ref="F78">SUM(IF(A78=TH!$O$10:$O$6883,TH!$M$10:$M$6883))</f>
        <v>6222054175</v>
      </c>
      <c r="G78" s="45"/>
      <c r="H78" s="45"/>
      <c r="I78" s="31">
        <f t="shared" si="19"/>
        <v>-6091942437</v>
      </c>
    </row>
    <row r="79" spans="1:10" s="31" customFormat="1">
      <c r="A79" s="51" t="s">
        <v>111</v>
      </c>
      <c r="B79" s="51"/>
      <c r="C79" s="1272">
        <f>C11+C14+C17+C19+C21+C22+C25+C26+C27+C28+C32+C34+C37+C39+C40+C48+C50+C55+C58+C60+C63+C67+C68+C71+C72+C73+C74+C75+C76+C77+C78+C70+C16</f>
        <v>0</v>
      </c>
      <c r="D79" s="1272">
        <f t="shared" ref="D79:H79" si="20">D11+D14+D17+D19+D21+D22+D25+D26+D27+D28+D32+D34+D37+D39+D40+D48+D50+D55+D58+D60+D63+D67+D68+D71+D72+D73+D74+D75+D76+D77+D78+D70+D16</f>
        <v>0</v>
      </c>
      <c r="E79" s="1268">
        <f t="shared" si="20"/>
        <v>56341453738</v>
      </c>
      <c r="F79" s="1268">
        <f t="shared" si="20"/>
        <v>56226555816</v>
      </c>
      <c r="G79" s="1268">
        <f t="shared" si="20"/>
        <v>15475114565</v>
      </c>
      <c r="H79" s="1268">
        <f t="shared" si="20"/>
        <v>9268274206</v>
      </c>
    </row>
    <row r="80" spans="1:10">
      <c r="E80" s="52"/>
      <c r="F80" s="53"/>
    </row>
    <row r="81" spans="5:8">
      <c r="E81" s="53"/>
      <c r="F81" s="53">
        <f>E79-F79</f>
        <v>114897922</v>
      </c>
      <c r="H81" s="53">
        <f>H79-G79</f>
        <v>-6206840359</v>
      </c>
    </row>
    <row r="82" spans="5:8">
      <c r="E82" s="54"/>
      <c r="F82" s="54"/>
    </row>
    <row r="83" spans="5:8">
      <c r="E83" s="54"/>
      <c r="F83" s="54"/>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E7179"/>
  <sheetViews>
    <sheetView topLeftCell="D7" workbookViewId="0">
      <pane ySplit="3" topLeftCell="A383" activePane="bottomLeft" state="frozen"/>
      <selection activeCell="P41" sqref="P41"/>
      <selection pane="bottomLeft" activeCell="J405" sqref="J405"/>
    </sheetView>
  </sheetViews>
  <sheetFormatPr defaultColWidth="8.140625" defaultRowHeight="12.75"/>
  <cols>
    <col min="1" max="1" width="4.7109375" style="313" customWidth="1"/>
    <col min="2" max="2" width="4.28515625" style="1101" customWidth="1"/>
    <col min="3" max="3" width="9.140625" customWidth="1"/>
    <col min="4" max="4" width="7.42578125" customWidth="1"/>
    <col min="5" max="5" width="9.140625" customWidth="1"/>
    <col min="6" max="6" width="33.28515625" customWidth="1"/>
    <col min="7" max="7" width="12.7109375" customWidth="1"/>
    <col min="8" max="8" width="37" customWidth="1"/>
    <col min="9" max="9" width="11.42578125" style="1196" customWidth="1"/>
    <col min="10" max="12" width="11.42578125" customWidth="1"/>
    <col min="13" max="13" width="15.5703125" customWidth="1"/>
    <col min="14" max="15" width="6.5703125" customWidth="1"/>
    <col min="16" max="23" width="3.85546875" hidden="1" customWidth="1"/>
    <col min="24" max="24" width="4.85546875" hidden="1" customWidth="1"/>
    <col min="25" max="30" width="3.85546875" hidden="1" customWidth="1"/>
    <col min="31" max="31" width="5" customWidth="1"/>
    <col min="32" max="32" width="12" bestFit="1" customWidth="1"/>
  </cols>
  <sheetData>
    <row r="1" spans="1:30">
      <c r="A1" s="319"/>
      <c r="B1" s="55"/>
      <c r="C1" s="962" t="s">
        <v>121</v>
      </c>
      <c r="D1" s="56"/>
      <c r="E1" s="959"/>
      <c r="F1" s="57"/>
      <c r="G1" s="764"/>
      <c r="H1" s="82"/>
      <c r="I1" s="1188"/>
      <c r="J1" s="82"/>
      <c r="K1" s="82"/>
      <c r="L1" s="82"/>
      <c r="M1" s="66"/>
      <c r="N1" s="58"/>
      <c r="O1" s="58"/>
      <c r="P1" s="58"/>
      <c r="Q1" s="58"/>
      <c r="R1" s="58"/>
      <c r="S1" s="58"/>
      <c r="T1" s="58"/>
      <c r="U1" s="58"/>
      <c r="V1" s="58"/>
      <c r="W1" s="58"/>
      <c r="X1" s="58"/>
      <c r="Y1" s="58"/>
      <c r="Z1" s="313"/>
      <c r="AA1" s="58"/>
      <c r="AB1" s="58"/>
      <c r="AC1" s="58"/>
      <c r="AD1" s="58"/>
    </row>
    <row r="2" spans="1:30">
      <c r="A2" s="319"/>
      <c r="B2" s="55"/>
      <c r="C2" s="962" t="s">
        <v>122</v>
      </c>
      <c r="D2" s="56"/>
      <c r="E2" s="959"/>
      <c r="F2" s="56"/>
      <c r="G2" s="764"/>
      <c r="H2" s="83"/>
      <c r="I2" s="1189"/>
      <c r="J2" s="83"/>
      <c r="K2" s="83"/>
      <c r="L2" s="83"/>
      <c r="M2" s="66"/>
      <c r="N2" s="58"/>
      <c r="O2" s="58"/>
      <c r="P2" s="58"/>
      <c r="Q2" s="58"/>
      <c r="R2" s="58"/>
      <c r="S2" s="58"/>
      <c r="T2" s="58"/>
      <c r="U2" s="58"/>
      <c r="V2" s="58"/>
      <c r="W2" s="58"/>
      <c r="X2" s="58"/>
      <c r="Y2" s="58"/>
      <c r="Z2" s="313"/>
      <c r="AA2" s="58"/>
      <c r="AB2" s="58"/>
      <c r="AC2" s="58"/>
      <c r="AD2" s="58"/>
    </row>
    <row r="3" spans="1:30">
      <c r="A3" s="319"/>
      <c r="B3" s="56"/>
      <c r="C3" s="959"/>
      <c r="D3" s="56"/>
      <c r="E3" s="959"/>
      <c r="F3" s="56"/>
      <c r="G3" s="764"/>
      <c r="H3" s="83"/>
      <c r="I3" s="1189"/>
      <c r="J3" s="83"/>
      <c r="K3" s="83"/>
      <c r="L3" s="83"/>
      <c r="M3" s="65"/>
      <c r="N3" s="59"/>
      <c r="O3" s="59"/>
      <c r="P3" s="59"/>
      <c r="Q3" s="59"/>
      <c r="R3" s="59"/>
      <c r="S3" s="59"/>
      <c r="T3" s="59"/>
      <c r="U3" s="59"/>
      <c r="V3" s="59"/>
      <c r="W3" s="59"/>
      <c r="X3" s="59"/>
      <c r="Y3" s="59"/>
      <c r="Z3" s="313"/>
      <c r="AA3" s="59"/>
      <c r="AB3" s="59"/>
      <c r="AC3" s="59"/>
      <c r="AD3" s="59"/>
    </row>
    <row r="4" spans="1:30" ht="22.5">
      <c r="A4" s="319"/>
      <c r="B4" s="66"/>
      <c r="C4" s="1338" t="s">
        <v>112</v>
      </c>
      <c r="D4" s="1339"/>
      <c r="E4" s="1338"/>
      <c r="F4" s="1339"/>
      <c r="G4" s="1339"/>
      <c r="H4" s="1339"/>
      <c r="I4" s="1339"/>
      <c r="J4" s="1339"/>
      <c r="K4" s="1339"/>
      <c r="L4" s="1339"/>
      <c r="M4" s="1339"/>
      <c r="N4" s="1339"/>
      <c r="O4" s="1339"/>
      <c r="P4" s="313"/>
      <c r="Q4" s="313"/>
      <c r="R4" s="313"/>
      <c r="S4" s="313"/>
      <c r="T4" s="313"/>
      <c r="U4" s="313"/>
      <c r="V4" s="313"/>
      <c r="W4" s="313"/>
      <c r="X4" s="313"/>
      <c r="Y4" s="313"/>
      <c r="Z4" s="313"/>
      <c r="AA4" s="313"/>
      <c r="AB4" s="313"/>
      <c r="AC4" s="313"/>
      <c r="AD4" s="313"/>
    </row>
    <row r="5" spans="1:30" ht="14.25">
      <c r="A5" s="319"/>
      <c r="B5" s="66"/>
      <c r="C5" s="1340"/>
      <c r="D5" s="1341"/>
      <c r="E5" s="1340"/>
      <c r="F5" s="1341"/>
      <c r="G5" s="1341"/>
      <c r="H5" s="1341"/>
      <c r="I5" s="1341"/>
      <c r="J5" s="1341"/>
      <c r="K5" s="1341"/>
      <c r="L5" s="1341"/>
      <c r="M5" s="1341"/>
      <c r="N5" s="1341"/>
      <c r="O5" s="1341"/>
      <c r="P5" s="313"/>
      <c r="Q5" s="313"/>
      <c r="R5" s="313"/>
      <c r="S5" s="313"/>
      <c r="T5" s="313"/>
      <c r="U5" s="313"/>
      <c r="V5" s="313"/>
      <c r="W5" s="313"/>
      <c r="X5" s="313"/>
      <c r="Y5" s="313"/>
      <c r="Z5" s="313"/>
      <c r="AA5" s="313"/>
      <c r="AB5" s="313"/>
      <c r="AC5" s="313"/>
      <c r="AD5" s="313"/>
    </row>
    <row r="6" spans="1:30">
      <c r="A6" s="319"/>
      <c r="B6" s="66"/>
      <c r="C6" s="960"/>
      <c r="D6" s="66"/>
      <c r="E6" s="960"/>
      <c r="F6" s="66"/>
      <c r="G6" s="55"/>
      <c r="H6" s="67"/>
      <c r="I6" s="1190"/>
      <c r="J6" s="67"/>
      <c r="K6" s="67"/>
      <c r="L6" s="67"/>
      <c r="M6" s="66"/>
      <c r="N6" s="58"/>
      <c r="O6" s="58"/>
      <c r="P6" s="58"/>
      <c r="Q6" s="58"/>
      <c r="R6" s="58"/>
      <c r="S6" s="58"/>
      <c r="T6" s="58"/>
      <c r="U6" s="58"/>
      <c r="V6" s="58"/>
      <c r="W6" s="58"/>
      <c r="X6" s="58"/>
      <c r="Y6" s="58"/>
      <c r="Z6" s="313"/>
      <c r="AA6" s="58"/>
      <c r="AB6" s="58"/>
      <c r="AC6" s="58"/>
      <c r="AD6" s="58"/>
    </row>
    <row r="7" spans="1:30" ht="24.75" customHeight="1">
      <c r="A7" s="1318" t="s">
        <v>141</v>
      </c>
      <c r="B7" s="1320" t="s">
        <v>123</v>
      </c>
      <c r="C7" s="1342" t="s">
        <v>22</v>
      </c>
      <c r="D7" s="1343" t="s">
        <v>1</v>
      </c>
      <c r="E7" s="1344"/>
      <c r="F7" s="1323" t="s">
        <v>814</v>
      </c>
      <c r="G7" s="1346" t="s">
        <v>140</v>
      </c>
      <c r="H7" s="1322" t="s">
        <v>47</v>
      </c>
      <c r="I7" s="1336" t="s">
        <v>530</v>
      </c>
      <c r="J7" s="1337"/>
      <c r="K7" s="1323" t="s">
        <v>255</v>
      </c>
      <c r="L7" s="1323"/>
      <c r="M7" s="1323" t="s">
        <v>254</v>
      </c>
      <c r="N7" s="1345" t="s">
        <v>114</v>
      </c>
      <c r="O7" s="1345"/>
      <c r="P7" s="1328" t="s">
        <v>8</v>
      </c>
      <c r="Q7" s="1330" t="s">
        <v>63</v>
      </c>
      <c r="R7" s="1331"/>
      <c r="S7" s="1332"/>
      <c r="T7" s="1330" t="s">
        <v>67</v>
      </c>
      <c r="U7" s="1331"/>
      <c r="V7" s="1332"/>
      <c r="W7" s="1328" t="s">
        <v>42</v>
      </c>
      <c r="X7" s="1326" t="str">
        <f>CTTK!$E$7</f>
        <v>1388</v>
      </c>
      <c r="Y7" s="1326" t="s">
        <v>537</v>
      </c>
      <c r="Z7" s="1324" t="s">
        <v>222</v>
      </c>
      <c r="AA7" s="1330" t="s">
        <v>268</v>
      </c>
      <c r="AB7" s="1331"/>
      <c r="AC7" s="1331"/>
      <c r="AD7" s="1332"/>
    </row>
    <row r="8" spans="1:30" ht="24.75" customHeight="1">
      <c r="A8" s="1319"/>
      <c r="B8" s="1321"/>
      <c r="C8" s="1342"/>
      <c r="D8" s="944" t="s">
        <v>17</v>
      </c>
      <c r="E8" s="1004" t="s">
        <v>34</v>
      </c>
      <c r="F8" s="1323"/>
      <c r="G8" s="1347"/>
      <c r="H8" s="1322"/>
      <c r="I8" s="1191" t="s">
        <v>435</v>
      </c>
      <c r="J8" s="1007" t="s">
        <v>436</v>
      </c>
      <c r="K8" s="1005" t="s">
        <v>261</v>
      </c>
      <c r="L8" s="1005" t="s">
        <v>259</v>
      </c>
      <c r="M8" s="1323"/>
      <c r="N8" s="1006" t="s">
        <v>24</v>
      </c>
      <c r="O8" s="1006" t="s">
        <v>25</v>
      </c>
      <c r="P8" s="1329"/>
      <c r="Q8" s="1333"/>
      <c r="R8" s="1334"/>
      <c r="S8" s="1335"/>
      <c r="T8" s="1333"/>
      <c r="U8" s="1334"/>
      <c r="V8" s="1335"/>
      <c r="W8" s="1329"/>
      <c r="X8" s="1327"/>
      <c r="Y8" s="1327"/>
      <c r="Z8" s="1325"/>
      <c r="AA8" s="1333"/>
      <c r="AB8" s="1334"/>
      <c r="AC8" s="1334"/>
      <c r="AD8" s="1335"/>
    </row>
    <row r="9" spans="1:30">
      <c r="A9" s="1013">
        <v>1</v>
      </c>
      <c r="B9" s="1014">
        <v>2</v>
      </c>
      <c r="C9" s="1014">
        <v>3</v>
      </c>
      <c r="D9" s="1014">
        <v>4</v>
      </c>
      <c r="E9" s="1014">
        <v>5</v>
      </c>
      <c r="F9" s="1014">
        <v>6</v>
      </c>
      <c r="G9" s="1015" t="s">
        <v>486</v>
      </c>
      <c r="H9" s="1014">
        <v>8</v>
      </c>
      <c r="I9" s="1192">
        <v>9</v>
      </c>
      <c r="J9" s="1014">
        <v>10</v>
      </c>
      <c r="K9" s="1016">
        <v>11</v>
      </c>
      <c r="L9" s="1014">
        <v>12</v>
      </c>
      <c r="M9" s="1016">
        <v>13</v>
      </c>
      <c r="N9" s="1014">
        <v>14</v>
      </c>
      <c r="O9" s="1016">
        <v>15</v>
      </c>
      <c r="P9" s="1014">
        <v>16</v>
      </c>
      <c r="Q9" s="1016">
        <v>17</v>
      </c>
      <c r="R9" s="1014">
        <v>18</v>
      </c>
      <c r="S9" s="1016">
        <v>19</v>
      </c>
      <c r="T9" s="1014">
        <v>20</v>
      </c>
      <c r="U9" s="1014"/>
      <c r="V9" s="1014"/>
      <c r="W9" s="1014">
        <v>26</v>
      </c>
      <c r="X9" s="1016">
        <v>27</v>
      </c>
      <c r="Y9" s="1016"/>
      <c r="Z9" s="1014">
        <v>24</v>
      </c>
      <c r="AA9" s="1014">
        <v>19</v>
      </c>
      <c r="AB9" s="1014">
        <v>20</v>
      </c>
      <c r="AC9" s="1014"/>
      <c r="AD9" s="1014">
        <v>21</v>
      </c>
    </row>
    <row r="10" spans="1:30" ht="16.5" customHeight="1">
      <c r="A10" s="318" t="str">
        <f>IF(B10&lt;&gt;"",IF(AND(B10='IN-TC'!$S$4,OR(TH!N10="1111",TH!O10="1111")),TH!D10,""),"")</f>
        <v/>
      </c>
      <c r="B10" s="1187">
        <f t="shared" ref="B10:B86" si="0">IF(C10&lt;&gt;"",MONTH(C10),"")</f>
        <v>12</v>
      </c>
      <c r="C10" s="75">
        <v>43465</v>
      </c>
      <c r="D10" s="75" t="s">
        <v>115</v>
      </c>
      <c r="E10" s="75">
        <v>43100</v>
      </c>
      <c r="F10" s="76" t="s">
        <v>211</v>
      </c>
      <c r="G10" s="76"/>
      <c r="H10" s="77"/>
      <c r="I10" s="383"/>
      <c r="J10" s="390"/>
      <c r="K10" s="383"/>
      <c r="L10" s="390"/>
      <c r="M10" s="78">
        <f>CDPS!D62</f>
        <v>0</v>
      </c>
      <c r="N10" s="79" t="s">
        <v>94</v>
      </c>
      <c r="O10" s="79" t="s">
        <v>92</v>
      </c>
      <c r="P10" s="79" t="str">
        <f>IF(AND('331-CT'!$E$7=TH!H10,OR(N10="331",O10="331")),"x","")</f>
        <v/>
      </c>
      <c r="Q10" s="79" t="str">
        <f>IF(AND(B10='111'!$L$11,OR($N10=$Q$7,$O10=$Q$7)),"x","")</f>
        <v/>
      </c>
      <c r="R10" s="79" t="str">
        <f>IF(AND($N10=$Q$7,$B10&lt;'111'!$L$11),"x","")</f>
        <v/>
      </c>
      <c r="S10" s="79" t="str">
        <f>IF(AND($O10=$Q$7,$B10&lt;'111'!$L$11),"x","")</f>
        <v/>
      </c>
      <c r="T10" s="79" t="str">
        <f>IF(ISERROR(FIND('112'!$M$9,G10,1)),"",IF((AND(FIND('112'!$M$9,G10,1)&gt;=1,B10='112'!$K$9,OR($N10='112'!$I$6,$O10='112'!$I$6))),"x",""))</f>
        <v/>
      </c>
      <c r="U10" s="79" t="str">
        <f>IF(ISERROR(FIND('112'!$M$9,G10,1)),"",IF((AND(LEFT(G10,2)=LEFT('112'!$M$9,2),B10&lt;'112'!$K$9,$N10='112'!$I$6)),"x",""))</f>
        <v/>
      </c>
      <c r="V10" s="79" t="str">
        <f>IF(ISERROR(FIND('112'!$M$9,G10,1)),"",IF((AND(RIGHT(G10,2)=RIGHT('112'!$M$9,2),B10&lt;'112'!$K$9,$O10='112'!$I$6)),"x",""))</f>
        <v/>
      </c>
      <c r="W10" s="79" t="str">
        <f>IF(AND('341-CT'!$H$9=H10,OR(LEFT(N10,3)=$W$7,LEFT(O10,3)=$W$7)),"x","")</f>
        <v/>
      </c>
      <c r="X10" s="79" t="str">
        <f>IF(OR(TH!N10=TH!$X$7,O10=TH!$X$7),"x","")</f>
        <v/>
      </c>
      <c r="Y10" s="79" t="str">
        <f>IF(AND(OR(N10="131",O10="131"),H10='131-CT'!$H$9),"x","")</f>
        <v/>
      </c>
      <c r="Z10" s="79"/>
      <c r="AA10" s="79" t="str">
        <f>IF(AND(MONTH(E10)='IN-NX'!$J$5,'IN-NX'!$D$7=D10),"x","")</f>
        <v/>
      </c>
      <c r="AB10" s="79" t="str">
        <f>IF(AND(OR(LEFT(TH!N10,2)="15",LEFT(TH!O10,2)="15"),LEFT(TH!O10,3)&lt;&gt;"111",'152-CT'!$J$8=TH!F10),"x","")</f>
        <v/>
      </c>
      <c r="AC10" s="79" t="str">
        <f>IF(AND(OR(LEFT(TH!N10,2)="15",LEFT(TH!O10,2)="15"),TK!$E$7=TH!F10),"x","")</f>
        <v/>
      </c>
      <c r="AD10" s="79" t="str">
        <f>IF(AND(N10="1521",MONTH(C10)='BK-NL'!$M$11),"x","")</f>
        <v/>
      </c>
    </row>
    <row r="11" spans="1:30" ht="16.5" customHeight="1">
      <c r="A11" s="318" t="str">
        <f>IF(B11&lt;&gt;"",IF(AND(B11='IN-TC'!$S$4,OR(TH!N11="1111",TH!O11="1111")),TH!D11,""),"")</f>
        <v/>
      </c>
      <c r="B11" s="1187">
        <f t="shared" ref="B11" si="1">IF(C11&lt;&gt;"",MONTH(C11),"")</f>
        <v>12</v>
      </c>
      <c r="C11" s="75">
        <v>43465</v>
      </c>
      <c r="D11" s="75" t="s">
        <v>115</v>
      </c>
      <c r="E11" s="75">
        <v>43100</v>
      </c>
      <c r="F11" s="76" t="s">
        <v>590</v>
      </c>
      <c r="G11" s="76"/>
      <c r="H11" s="77"/>
      <c r="I11" s="383"/>
      <c r="J11" s="390"/>
      <c r="K11" s="383"/>
      <c r="L11" s="390"/>
      <c r="M11" s="78">
        <f>SUMIF(KHC,N11,TH)</f>
        <v>121125000</v>
      </c>
      <c r="N11" s="79" t="s">
        <v>595</v>
      </c>
      <c r="O11" s="79" t="s">
        <v>9</v>
      </c>
      <c r="P11" s="79" t="str">
        <f>IF(AND('331-CT'!$E$7=TH!H11,OR(N11="331",O11="331")),"x","")</f>
        <v/>
      </c>
      <c r="Q11" s="79" t="str">
        <f>IF(AND(B11='111'!$L$11,OR($N11=$Q$7,$O11=$Q$7)),"x","")</f>
        <v/>
      </c>
      <c r="R11" s="79" t="str">
        <f>IF(AND($N11=$Q$7,$B11&lt;'111'!$L$11),"x","")</f>
        <v/>
      </c>
      <c r="S11" s="79" t="str">
        <f>IF(AND($O11=$Q$7,$B11&lt;'111'!$L$11),"x","")</f>
        <v/>
      </c>
      <c r="T11" s="79" t="str">
        <f>IF(ISERROR(FIND('112'!$M$9,G11,1)),"",IF((AND(FIND('112'!$M$9,G11,1)&gt;=1,B11='112'!$K$9,OR($N11='112'!$I$6,$O11='112'!$I$6))),"x",""))</f>
        <v/>
      </c>
      <c r="U11" s="79" t="str">
        <f>IF(ISERROR(FIND('112'!$M$9,G11,1)),"",IF((AND(LEFT(G11,2)=LEFT('112'!$M$9,2),B11&lt;'112'!$K$9,$N11='112'!$I$6)),"x",""))</f>
        <v/>
      </c>
      <c r="V11" s="79" t="str">
        <f>IF(ISERROR(FIND('112'!$M$9,G11,1)),"",IF((AND(RIGHT(G11,2)=RIGHT('112'!$M$9,2),B11&lt;'112'!$K$9,$O11='112'!$I$6)),"x",""))</f>
        <v/>
      </c>
      <c r="W11" s="79" t="str">
        <f>IF(AND('341-CT'!$H$9=H11,OR(LEFT(N11,3)=$W$7,LEFT(O11,3)=$W$7)),"x","")</f>
        <v/>
      </c>
      <c r="X11" s="79" t="str">
        <f>IF(OR(TH!N11=TH!$X$7,O11=TH!$X$7),"x","")</f>
        <v/>
      </c>
      <c r="Y11" s="79" t="str">
        <f>IF(AND(OR(N11="131",O11="131"),H11='131-CT'!$H$9),"x","")</f>
        <v/>
      </c>
      <c r="Z11" s="79"/>
      <c r="AA11" s="79" t="str">
        <f>IF(AND(MONTH(E11)='IN-NX'!$J$5,'IN-NX'!$D$7=D11),"x","")</f>
        <v/>
      </c>
      <c r="AB11" s="79" t="str">
        <f>IF(AND(OR(LEFT(TH!N11,2)="15",LEFT(TH!O11,2)="15"),LEFT(TH!O11,3)&lt;&gt;"111",'152-CT'!$J$8=TH!F11),"x","")</f>
        <v/>
      </c>
      <c r="AC11" s="79" t="str">
        <f>IF(AND(OR(LEFT(TH!N11,2)="15",LEFT(TH!O11,2)="15"),TK!$E$7=TH!F11),"x","")</f>
        <v/>
      </c>
      <c r="AD11" s="79" t="str">
        <f>IF(AND(N11="1521",MONTH(C11)='BK-NL'!$M$11),"x","")</f>
        <v/>
      </c>
    </row>
    <row r="12" spans="1:30" ht="16.5" customHeight="1">
      <c r="A12" s="318" t="str">
        <f>IF(B12&lt;&gt;"",IF(AND(B12='IN-TC'!$S$4,OR(TH!N12="1111",TH!O12="1111")),TH!D12,""),"")</f>
        <v/>
      </c>
      <c r="B12" s="1187">
        <f t="shared" si="0"/>
        <v>12</v>
      </c>
      <c r="C12" s="75">
        <v>43465</v>
      </c>
      <c r="D12" s="75" t="s">
        <v>115</v>
      </c>
      <c r="E12" s="75">
        <v>43100</v>
      </c>
      <c r="F12" s="76" t="s">
        <v>591</v>
      </c>
      <c r="G12" s="76"/>
      <c r="H12" s="77"/>
      <c r="I12" s="383"/>
      <c r="J12" s="390"/>
      <c r="K12" s="383"/>
      <c r="L12" s="390"/>
      <c r="M12" s="78">
        <f>SUMIF(KHN,O12,TH)</f>
        <v>0</v>
      </c>
      <c r="N12" s="79" t="s">
        <v>109</v>
      </c>
      <c r="O12" s="79" t="s">
        <v>284</v>
      </c>
      <c r="P12" s="79" t="str">
        <f>IF(AND('331-CT'!$E$7=TH!H12,OR(N12="331",O12="331")),"x","")</f>
        <v/>
      </c>
      <c r="Q12" s="79" t="str">
        <f>IF(AND(B12='111'!$L$11,OR($N12=$Q$7,$O12=$Q$7)),"x","")</f>
        <v/>
      </c>
      <c r="R12" s="79" t="str">
        <f>IF(AND($N12=$Q$7,$B12&lt;'111'!$L$11),"x","")</f>
        <v/>
      </c>
      <c r="S12" s="79" t="str">
        <f>IF(AND($O12=$Q$7,$B12&lt;'111'!$L$11),"x","")</f>
        <v/>
      </c>
      <c r="T12" s="79" t="str">
        <f>IF(ISERROR(FIND('112'!$M$9,G12,1)),"",IF((AND(FIND('112'!$M$9,G12,1)&gt;=1,B12='112'!$K$9,OR($N12='112'!$I$6,$O12='112'!$I$6))),"x",""))</f>
        <v/>
      </c>
      <c r="U12" s="79" t="str">
        <f>IF(ISERROR(FIND('112'!$M$9,G12,1)),"",IF((AND(LEFT(G12,2)=LEFT('112'!$M$9,2),B12&lt;'112'!$K$9,$N12='112'!$I$6)),"x",""))</f>
        <v/>
      </c>
      <c r="V12" s="79" t="str">
        <f>IF(ISERROR(FIND('112'!$M$9,G12,1)),"",IF((AND(RIGHT(G12,2)=RIGHT('112'!$M$9,2),B12&lt;'112'!$K$9,$O12='112'!$I$6)),"x",""))</f>
        <v/>
      </c>
      <c r="W12" s="79" t="str">
        <f>IF(AND('341-CT'!$H$9=H12,OR(LEFT(N12,3)=$W$7,LEFT(O12,3)=$W$7)),"x","")</f>
        <v/>
      </c>
      <c r="X12" s="79" t="str">
        <f>IF(OR(TH!N12=TH!$X$7,O12=TH!$X$7),"x","")</f>
        <v/>
      </c>
      <c r="Y12" s="79" t="str">
        <f>IF(AND(OR(N12="131",O12="131"),H12='131-CT'!$H$9),"x","")</f>
        <v/>
      </c>
      <c r="Z12" s="79"/>
      <c r="AA12" s="79" t="str">
        <f>IF(AND(MONTH(E12)='IN-NX'!$J$5,'IN-NX'!$D$7=D12),"x","")</f>
        <v/>
      </c>
      <c r="AB12" s="79" t="str">
        <f>IF(AND(OR(LEFT(TH!N12,2)="15",LEFT(TH!O12,2)="15"),LEFT(TH!O12,3)&lt;&gt;"111",'152-CT'!$J$8=TH!F12),"x","")</f>
        <v/>
      </c>
      <c r="AC12" s="79" t="str">
        <f>IF(AND(OR(LEFT(TH!N12,2)="15",LEFT(TH!O12,2)="15"),TK!$E$7=TH!F12),"x","")</f>
        <v/>
      </c>
      <c r="AD12" s="79" t="str">
        <f>IF(AND(N12="1521",MONTH(C12)='BK-NL'!$M$11),"x","")</f>
        <v/>
      </c>
    </row>
    <row r="13" spans="1:30" ht="16.5" customHeight="1">
      <c r="A13" s="318" t="str">
        <f>IF(B13&lt;&gt;"",IF(AND(B13='IN-TC'!$S$4,OR(TH!N13="1111",TH!O13="1111")),TH!D13,""),"")</f>
        <v/>
      </c>
      <c r="B13" s="1187">
        <f t="shared" si="0"/>
        <v>12</v>
      </c>
      <c r="C13" s="75">
        <v>43465</v>
      </c>
      <c r="D13" s="75" t="s">
        <v>115</v>
      </c>
      <c r="E13" s="75">
        <v>43100</v>
      </c>
      <c r="F13" s="76" t="s">
        <v>116</v>
      </c>
      <c r="G13" s="76"/>
      <c r="H13" s="80"/>
      <c r="I13" s="384"/>
      <c r="J13" s="391"/>
      <c r="K13" s="384"/>
      <c r="L13" s="391"/>
      <c r="M13" s="78">
        <f>SUMIF(KHN,O13,TH)</f>
        <v>12429260</v>
      </c>
      <c r="N13" s="79" t="s">
        <v>109</v>
      </c>
      <c r="O13" s="79" t="s">
        <v>99</v>
      </c>
      <c r="P13" s="79" t="str">
        <f>IF(AND('331-CT'!$E$7=TH!H13,OR(N13="331",O13="331")),"x","")</f>
        <v/>
      </c>
      <c r="Q13" s="79" t="str">
        <f>IF(AND(B13='111'!$L$11,OR($N13=$Q$7,$O13=$Q$7)),"x","")</f>
        <v/>
      </c>
      <c r="R13" s="79" t="str">
        <f>IF(AND($N13=$Q$7,$B13&lt;'111'!$L$11),"x","")</f>
        <v/>
      </c>
      <c r="S13" s="79" t="str">
        <f>IF(AND($O13=$Q$7,$B13&lt;'111'!$L$11),"x","")</f>
        <v/>
      </c>
      <c r="T13" s="79" t="str">
        <f>IF(ISERROR(FIND('112'!$M$9,G13,1)),"",IF((AND(FIND('112'!$M$9,G13,1)&gt;=1,B13='112'!$K$9,OR($N13='112'!$I$6,$O13='112'!$I$6))),"x",""))</f>
        <v/>
      </c>
      <c r="U13" s="79" t="str">
        <f>IF(ISERROR(FIND('112'!$M$9,G13,1)),"",IF((AND(LEFT(G13,2)=LEFT('112'!$M$9,2),B13&lt;'112'!$K$9,$N13='112'!$I$6)),"x",""))</f>
        <v/>
      </c>
      <c r="V13" s="79" t="str">
        <f>IF(ISERROR(FIND('112'!$M$9,G13,1)),"",IF((AND(RIGHT(G13,2)=RIGHT('112'!$M$9,2),B13&lt;'112'!$K$9,$O13='112'!$I$6)),"x",""))</f>
        <v/>
      </c>
      <c r="W13" s="79" t="str">
        <f>IF(AND('341-CT'!$H$9=H13,OR(LEFT(N13,3)=$W$7,LEFT(O13,3)=$W$7)),"x","")</f>
        <v/>
      </c>
      <c r="X13" s="79" t="str">
        <f>IF(OR(TH!N13=TH!$X$7,O13=TH!$X$7),"x","")</f>
        <v/>
      </c>
      <c r="Y13" s="79" t="str">
        <f>IF(AND(OR(N13="131",O13="131"),H13='131-CT'!$H$9),"x","")</f>
        <v/>
      </c>
      <c r="Z13" s="79"/>
      <c r="AA13" s="79" t="str">
        <f>IF(AND(MONTH(E13)='IN-NX'!$J$5,'IN-NX'!$D$7=D13),"x","")</f>
        <v/>
      </c>
      <c r="AB13" s="79" t="str">
        <f>IF(AND(OR(LEFT(TH!N13,2)="15",LEFT(TH!O13,2)="15"),LEFT(TH!O13,3)&lt;&gt;"111",'152-CT'!$J$8=TH!F13),"x","")</f>
        <v/>
      </c>
      <c r="AC13" s="79" t="str">
        <f>IF(AND(OR(LEFT(TH!N13,2)="15",LEFT(TH!O13,2)="15"),TK!$E$7=TH!F13),"x","")</f>
        <v/>
      </c>
      <c r="AD13" s="79" t="str">
        <f>IF(AND(N13="1521",MONTH(C13)='BK-NL'!$M$11),"x","")</f>
        <v/>
      </c>
    </row>
    <row r="14" spans="1:30" ht="16.5" customHeight="1">
      <c r="A14" s="318" t="str">
        <f>IF(B14&lt;&gt;"",IF(AND(B14='IN-TC'!$S$4,OR(TH!N14="1111",TH!O14="1111")),TH!D14,""),"")</f>
        <v/>
      </c>
      <c r="B14" s="1187">
        <f t="shared" si="0"/>
        <v>12</v>
      </c>
      <c r="C14" s="75">
        <v>43465</v>
      </c>
      <c r="D14" s="75" t="s">
        <v>115</v>
      </c>
      <c r="E14" s="75">
        <v>43100</v>
      </c>
      <c r="F14" s="76" t="s">
        <v>592</v>
      </c>
      <c r="G14" s="76"/>
      <c r="H14" s="77"/>
      <c r="I14" s="383"/>
      <c r="J14" s="390"/>
      <c r="K14" s="383"/>
      <c r="L14" s="390"/>
      <c r="M14" s="78">
        <f>SUMIF(KHN,O14,TH)</f>
        <v>37018670</v>
      </c>
      <c r="N14" s="79" t="s">
        <v>109</v>
      </c>
      <c r="O14" s="79" t="s">
        <v>540</v>
      </c>
      <c r="P14" s="79" t="str">
        <f>IF(AND('331-CT'!$E$7=TH!H14,OR(N14="331",O14="331")),"x","")</f>
        <v/>
      </c>
      <c r="Q14" s="79" t="str">
        <f>IF(AND(B14='111'!$L$11,OR($N14=$Q$7,$O14=$Q$7)),"x","")</f>
        <v/>
      </c>
      <c r="R14" s="79" t="str">
        <f>IF(AND($N14=$Q$7,$B14&lt;'111'!$L$11),"x","")</f>
        <v/>
      </c>
      <c r="S14" s="79" t="str">
        <f>IF(AND($O14=$Q$7,$B14&lt;'111'!$L$11),"x","")</f>
        <v/>
      </c>
      <c r="T14" s="79" t="str">
        <f>IF(ISERROR(FIND('112'!$M$9,G14,1)),"",IF((AND(FIND('112'!$M$9,G14,1)&gt;=1,B14='112'!$K$9,OR($N14='112'!$I$6,$O14='112'!$I$6))),"x",""))</f>
        <v/>
      </c>
      <c r="U14" s="79" t="str">
        <f>IF(ISERROR(FIND('112'!$M$9,G14,1)),"",IF((AND(LEFT(G14,2)=LEFT('112'!$M$9,2),B14&lt;'112'!$K$9,$N14='112'!$I$6)),"x",""))</f>
        <v/>
      </c>
      <c r="V14" s="79" t="str">
        <f>IF(ISERROR(FIND('112'!$M$9,G14,1)),"",IF((AND(RIGHT(G14,2)=RIGHT('112'!$M$9,2),B14&lt;'112'!$K$9,$O14='112'!$I$6)),"x",""))</f>
        <v/>
      </c>
      <c r="W14" s="79" t="str">
        <f>IF(AND('341-CT'!$H$9=H14,OR(LEFT(N14,3)=$W$7,LEFT(O14,3)=$W$7)),"x","")</f>
        <v/>
      </c>
      <c r="X14" s="79" t="str">
        <f>IF(OR(TH!N14=TH!$X$7,O14=TH!$X$7),"x","")</f>
        <v/>
      </c>
      <c r="Y14" s="79" t="str">
        <f>IF(AND(OR(N14="131",O14="131"),H14='131-CT'!$H$9),"x","")</f>
        <v/>
      </c>
      <c r="Z14" s="79"/>
      <c r="AA14" s="79" t="str">
        <f>IF(AND(MONTH(E14)='IN-NX'!$J$5,'IN-NX'!$D$7=D14),"x","")</f>
        <v/>
      </c>
      <c r="AB14" s="79" t="str">
        <f>IF(AND(OR(LEFT(TH!N14,2)="15",LEFT(TH!O14,2)="15"),LEFT(TH!O14,3)&lt;&gt;"111",'152-CT'!$J$8=TH!F14),"x","")</f>
        <v/>
      </c>
      <c r="AC14" s="79" t="str">
        <f>IF(AND(OR(LEFT(TH!N14,2)="15",LEFT(TH!O14,2)="15"),TK!$E$7=TH!F14),"x","")</f>
        <v/>
      </c>
      <c r="AD14" s="79" t="str">
        <f>IF(AND(N14="1521",MONTH(C14)='BK-NL'!$M$11),"x","")</f>
        <v/>
      </c>
    </row>
    <row r="15" spans="1:30" ht="16.5" customHeight="1">
      <c r="A15" s="318" t="str">
        <f>IF(B15&lt;&gt;"",IF(AND(B15='IN-TC'!$S$4,OR(TH!N15="1111",TH!O15="1111")),TH!D15,""),"")</f>
        <v/>
      </c>
      <c r="B15" s="1187">
        <f t="shared" si="0"/>
        <v>12</v>
      </c>
      <c r="C15" s="75">
        <v>43465</v>
      </c>
      <c r="D15" s="75" t="s">
        <v>115</v>
      </c>
      <c r="E15" s="75">
        <v>43100</v>
      </c>
      <c r="F15" s="76" t="s">
        <v>117</v>
      </c>
      <c r="G15" s="76"/>
      <c r="H15" s="77"/>
      <c r="I15" s="383"/>
      <c r="J15" s="390"/>
      <c r="K15" s="383"/>
      <c r="L15" s="390"/>
      <c r="M15" s="78">
        <f>SUMIF(KHN,O15,TH)</f>
        <v>80663808</v>
      </c>
      <c r="N15" s="79" t="s">
        <v>109</v>
      </c>
      <c r="O15" s="79" t="s">
        <v>101</v>
      </c>
      <c r="P15" s="79" t="str">
        <f>IF(AND('331-CT'!$E$7=TH!H15,OR(N15="331",O15="331")),"x","")</f>
        <v/>
      </c>
      <c r="Q15" s="79" t="str">
        <f>IF(AND(B15='111'!$L$11,OR($N15=$Q$7,$O15=$Q$7)),"x","")</f>
        <v/>
      </c>
      <c r="R15" s="79" t="str">
        <f>IF(AND($N15=$Q$7,$B15&lt;'111'!$L$11),"x","")</f>
        <v/>
      </c>
      <c r="S15" s="79" t="str">
        <f>IF(AND($O15=$Q$7,$B15&lt;'111'!$L$11),"x","")</f>
        <v/>
      </c>
      <c r="T15" s="79" t="str">
        <f>IF(ISERROR(FIND('112'!$M$9,G15,1)),"",IF((AND(FIND('112'!$M$9,G15,1)&gt;=1,B15='112'!$K$9,OR($N15='112'!$I$6,$O15='112'!$I$6))),"x",""))</f>
        <v/>
      </c>
      <c r="U15" s="79" t="str">
        <f>IF(ISERROR(FIND('112'!$M$9,G15,1)),"",IF((AND(LEFT(G15,2)=LEFT('112'!$M$9,2),B15&lt;'112'!$K$9,$N15='112'!$I$6)),"x",""))</f>
        <v/>
      </c>
      <c r="V15" s="79" t="str">
        <f>IF(ISERROR(FIND('112'!$M$9,G15,1)),"",IF((AND(RIGHT(G15,2)=RIGHT('112'!$M$9,2),B15&lt;'112'!$K$9,$O15='112'!$I$6)),"x",""))</f>
        <v/>
      </c>
      <c r="W15" s="79" t="str">
        <f>IF(AND('341-CT'!$H$9=H15,OR(LEFT(N15,3)=$W$7,LEFT(O15,3)=$W$7)),"x","")</f>
        <v/>
      </c>
      <c r="X15" s="79" t="str">
        <f>IF(OR(TH!N15=TH!$X$7,O15=TH!$X$7),"x","")</f>
        <v/>
      </c>
      <c r="Y15" s="79" t="str">
        <f>IF(AND(OR(N15="131",O15="131"),H15='131-CT'!$H$9),"x","")</f>
        <v/>
      </c>
      <c r="Z15" s="79"/>
      <c r="AA15" s="79" t="str">
        <f>IF(AND(MONTH(E15)='IN-NX'!$J$5,'IN-NX'!$D$7=D15),"x","")</f>
        <v/>
      </c>
      <c r="AB15" s="79" t="str">
        <f>IF(AND(OR(LEFT(TH!N15,2)="15",LEFT(TH!O15,2)="15"),LEFT(TH!O15,3)&lt;&gt;"111",'152-CT'!$J$8=TH!F15),"x","")</f>
        <v/>
      </c>
      <c r="AC15" s="79" t="str">
        <f>IF(AND(OR(LEFT(TH!N15,2)="15",LEFT(TH!O15,2)="15"),TK!$E$7=TH!F15),"x","")</f>
        <v/>
      </c>
      <c r="AD15" s="79" t="str">
        <f>IF(AND(N15="1521",MONTH(C15)='BK-NL'!$M$11),"x","")</f>
        <v/>
      </c>
    </row>
    <row r="16" spans="1:30" ht="16.5" customHeight="1">
      <c r="A16" s="318" t="str">
        <f>IF(B16&lt;&gt;"",IF(AND(B16='IN-TC'!$S$4,OR(TH!N16="1111",TH!O16="1111")),TH!D16,""),"")</f>
        <v/>
      </c>
      <c r="B16" s="1187">
        <f t="shared" si="0"/>
        <v>12</v>
      </c>
      <c r="C16" s="75">
        <v>43465</v>
      </c>
      <c r="D16" s="75" t="s">
        <v>115</v>
      </c>
      <c r="E16" s="75">
        <v>43100</v>
      </c>
      <c r="F16" s="76" t="s">
        <v>118</v>
      </c>
      <c r="G16" s="76"/>
      <c r="H16" s="77"/>
      <c r="I16" s="383"/>
      <c r="J16" s="390"/>
      <c r="K16" s="383"/>
      <c r="L16" s="390"/>
      <c r="M16" s="78">
        <f>SUMIF(KHC,N16,TH)</f>
        <v>9470125</v>
      </c>
      <c r="N16" s="79" t="s">
        <v>43</v>
      </c>
      <c r="O16" s="79" t="s">
        <v>109</v>
      </c>
      <c r="P16" s="79" t="str">
        <f>IF(AND('331-CT'!$E$7=TH!H16,OR(N16="331",O16="331")),"x","")</f>
        <v/>
      </c>
      <c r="Q16" s="79" t="str">
        <f>IF(AND(B16='111'!$L$11,OR($N16=$Q$7,$O16=$Q$7)),"x","")</f>
        <v/>
      </c>
      <c r="R16" s="79" t="str">
        <f>IF(AND($N16=$Q$7,$B16&lt;'111'!$L$11),"x","")</f>
        <v/>
      </c>
      <c r="S16" s="79" t="str">
        <f>IF(AND($O16=$Q$7,$B16&lt;'111'!$L$11),"x","")</f>
        <v/>
      </c>
      <c r="T16" s="79" t="str">
        <f>IF(ISERROR(FIND('112'!$M$9,G16,1)),"",IF((AND(FIND('112'!$M$9,G16,1)&gt;=1,B16='112'!$K$9,OR($N16='112'!$I$6,$O16='112'!$I$6))),"x",""))</f>
        <v/>
      </c>
      <c r="U16" s="79" t="str">
        <f>IF(ISERROR(FIND('112'!$M$9,G16,1)),"",IF((AND(LEFT(G16,2)=LEFT('112'!$M$9,2),B16&lt;'112'!$K$9,$N16='112'!$I$6)),"x",""))</f>
        <v/>
      </c>
      <c r="V16" s="79" t="str">
        <f>IF(ISERROR(FIND('112'!$M$9,G16,1)),"",IF((AND(RIGHT(G16,2)=RIGHT('112'!$M$9,2),B16&lt;'112'!$K$9,$O16='112'!$I$6)),"x",""))</f>
        <v/>
      </c>
      <c r="W16" s="79" t="str">
        <f>IF(AND('341-CT'!$H$9=H16,OR(LEFT(N16,3)=$W$7,LEFT(O16,3)=$W$7)),"x","")</f>
        <v/>
      </c>
      <c r="X16" s="79" t="str">
        <f>IF(OR(TH!N16=TH!$X$7,O16=TH!$X$7),"x","")</f>
        <v/>
      </c>
      <c r="Y16" s="79" t="str">
        <f>IF(AND(OR(N16="131",O16="131"),H16='131-CT'!$H$9),"x","")</f>
        <v/>
      </c>
      <c r="Z16" s="79"/>
      <c r="AA16" s="79" t="str">
        <f>IF(AND(MONTH(E16)='IN-NX'!$J$5,'IN-NX'!$D$7=D16),"x","")</f>
        <v/>
      </c>
      <c r="AB16" s="79" t="str">
        <f>IF(AND(OR(LEFT(TH!N16,2)="15",LEFT(TH!O16,2)="15"),LEFT(TH!O16,3)&lt;&gt;"111",'152-CT'!$J$8=TH!F16),"x","")</f>
        <v/>
      </c>
      <c r="AC16" s="79" t="str">
        <f>IF(AND(OR(LEFT(TH!N16,2)="15",LEFT(TH!O16,2)="15"),TK!$E$7=TH!F16),"x","")</f>
        <v/>
      </c>
      <c r="AD16" s="79" t="str">
        <f>IF(AND(N16="1521",MONTH(C16)='BK-NL'!$M$11),"x","")</f>
        <v/>
      </c>
    </row>
    <row r="17" spans="1:30" ht="16.5" customHeight="1">
      <c r="A17" s="318" t="str">
        <f>IF(B17&lt;&gt;"",IF(AND(B17='IN-TC'!$S$4,OR(TH!N17="1111",TH!O17="1111")),TH!D17,""),"")</f>
        <v/>
      </c>
      <c r="B17" s="1187">
        <f t="shared" si="0"/>
        <v>12</v>
      </c>
      <c r="C17" s="75">
        <v>43465</v>
      </c>
      <c r="D17" s="75" t="s">
        <v>115</v>
      </c>
      <c r="E17" s="75">
        <v>43100</v>
      </c>
      <c r="F17" s="76" t="s">
        <v>593</v>
      </c>
      <c r="G17" s="76"/>
      <c r="H17" s="80"/>
      <c r="I17" s="384"/>
      <c r="J17" s="391"/>
      <c r="K17" s="384"/>
      <c r="L17" s="391"/>
      <c r="M17" s="78">
        <f>SUMIF(KHC,N17,TH)</f>
        <v>1211250000</v>
      </c>
      <c r="N17" s="79" t="s">
        <v>286</v>
      </c>
      <c r="O17" s="79" t="s">
        <v>109</v>
      </c>
      <c r="P17" s="79" t="str">
        <f>IF(AND('331-CT'!$E$7=TH!H17,OR(N17="331",O17="331")),"x","")</f>
        <v/>
      </c>
      <c r="Q17" s="79" t="str">
        <f>IF(AND(B17='111'!$L$11,OR($N17=$Q$7,$O17=$Q$7)),"x","")</f>
        <v/>
      </c>
      <c r="R17" s="79" t="str">
        <f>IF(AND($N17=$Q$7,$B17&lt;'111'!$L$11),"x","")</f>
        <v/>
      </c>
      <c r="S17" s="79" t="str">
        <f>IF(AND($O17=$Q$7,$B17&lt;'111'!$L$11),"x","")</f>
        <v/>
      </c>
      <c r="T17" s="79" t="str">
        <f>IF(ISERROR(FIND('112'!$M$9,G17,1)),"",IF((AND(FIND('112'!$M$9,G17,1)&gt;=1,B17='112'!$K$9,OR($N17='112'!$I$6,$O17='112'!$I$6))),"x",""))</f>
        <v/>
      </c>
      <c r="U17" s="79" t="str">
        <f>IF(ISERROR(FIND('112'!$M$9,G17,1)),"",IF((AND(LEFT(G17,2)=LEFT('112'!$M$9,2),B17&lt;'112'!$K$9,$N17='112'!$I$6)),"x",""))</f>
        <v/>
      </c>
      <c r="V17" s="79" t="str">
        <f>IF(ISERROR(FIND('112'!$M$9,G17,1)),"",IF((AND(RIGHT(G17,2)=RIGHT('112'!$M$9,2),B17&lt;'112'!$K$9,$O17='112'!$I$6)),"x",""))</f>
        <v/>
      </c>
      <c r="W17" s="79" t="str">
        <f>IF(AND('341-CT'!$H$9=H17,OR(LEFT(N17,3)=$W$7,LEFT(O17,3)=$W$7)),"x","")</f>
        <v/>
      </c>
      <c r="X17" s="79" t="str">
        <f>IF(OR(TH!N17=TH!$X$7,O17=TH!$X$7),"x","")</f>
        <v/>
      </c>
      <c r="Y17" s="79" t="str">
        <f>IF(AND(OR(N17="131",O17="131"),H17='131-CT'!$H$9),"x","")</f>
        <v/>
      </c>
      <c r="Z17" s="79"/>
      <c r="AA17" s="79" t="str">
        <f>IF(AND(MONTH(E17)='IN-NX'!$J$5,'IN-NX'!$D$7=D17),"x","")</f>
        <v/>
      </c>
      <c r="AB17" s="79" t="str">
        <f>IF(AND(OR(LEFT(TH!N17,2)="15",LEFT(TH!O17,2)="15"),LEFT(TH!O17,3)&lt;&gt;"111",'152-CT'!$J$8=TH!F17),"x","")</f>
        <v/>
      </c>
      <c r="AC17" s="79" t="str">
        <f>IF(AND(OR(LEFT(TH!N17,2)="15",LEFT(TH!O17,2)="15"),TK!$E$7=TH!F17),"x","")</f>
        <v/>
      </c>
      <c r="AD17" s="79" t="str">
        <f>IF(AND(N17="1521",MONTH(C17)='BK-NL'!$M$11),"x","")</f>
        <v/>
      </c>
    </row>
    <row r="18" spans="1:30" ht="16.5" customHeight="1">
      <c r="A18" s="318" t="str">
        <f>IF(B18&lt;&gt;"",IF(AND(B18='IN-TC'!$S$4,OR(TH!N18="1111",TH!O18="1111")),TH!D18,""),"")</f>
        <v/>
      </c>
      <c r="B18" s="1187">
        <f t="shared" si="0"/>
        <v>12</v>
      </c>
      <c r="C18" s="75">
        <v>43465</v>
      </c>
      <c r="D18" s="75" t="s">
        <v>115</v>
      </c>
      <c r="E18" s="75">
        <v>43100</v>
      </c>
      <c r="F18" s="76" t="s">
        <v>594</v>
      </c>
      <c r="G18" s="76"/>
      <c r="H18" s="77"/>
      <c r="I18" s="383"/>
      <c r="J18" s="390"/>
      <c r="K18" s="383"/>
      <c r="L18" s="390"/>
      <c r="M18" s="78">
        <f>SUMIF(KHC,N18,TH)</f>
        <v>5001334050</v>
      </c>
      <c r="N18" s="79" t="s">
        <v>288</v>
      </c>
      <c r="O18" s="79" t="s">
        <v>109</v>
      </c>
      <c r="P18" s="79" t="str">
        <f>IF(AND('331-CT'!$E$7=TH!H18,OR(N18="331",O18="331")),"x","")</f>
        <v/>
      </c>
      <c r="Q18" s="79" t="str">
        <f>IF(AND(B18='111'!$L$11,OR($N18=$Q$7,$O18=$Q$7)),"x","")</f>
        <v/>
      </c>
      <c r="R18" s="79" t="str">
        <f>IF(AND($N18=$Q$7,$B18&lt;'111'!$L$11),"x","")</f>
        <v/>
      </c>
      <c r="S18" s="79" t="str">
        <f>IF(AND($O18=$Q$7,$B18&lt;'111'!$L$11),"x","")</f>
        <v/>
      </c>
      <c r="T18" s="79" t="str">
        <f>IF(ISERROR(FIND('112'!$M$9,G18,1)),"",IF((AND(FIND('112'!$M$9,G18,1)&gt;=1,B18='112'!$K$9,OR($N18='112'!$I$6,$O18='112'!$I$6))),"x",""))</f>
        <v/>
      </c>
      <c r="U18" s="79" t="str">
        <f>IF(ISERROR(FIND('112'!$M$9,G18,1)),"",IF((AND(LEFT(G18,2)=LEFT('112'!$M$9,2),B18&lt;'112'!$K$9,$N18='112'!$I$6)),"x",""))</f>
        <v/>
      </c>
      <c r="V18" s="79" t="str">
        <f>IF(ISERROR(FIND('112'!$M$9,G18,1)),"",IF((AND(RIGHT(G18,2)=RIGHT('112'!$M$9,2),B18&lt;'112'!$K$9,$O18='112'!$I$6)),"x",""))</f>
        <v/>
      </c>
      <c r="W18" s="79" t="str">
        <f>IF(AND('341-CT'!$H$9=H18,OR(LEFT(N18,3)=$W$7,LEFT(O18,3)=$W$7)),"x","")</f>
        <v/>
      </c>
      <c r="X18" s="79" t="str">
        <f>IF(OR(TH!N18=TH!$X$7,O18=TH!$X$7),"x","")</f>
        <v/>
      </c>
      <c r="Y18" s="79" t="str">
        <f>IF(AND(OR(N18="131",O18="131"),H18='131-CT'!$H$9),"x","")</f>
        <v/>
      </c>
      <c r="Z18" s="79"/>
      <c r="AA18" s="79" t="str">
        <f>IF(AND(MONTH(E18)='IN-NX'!$J$5,'IN-NX'!$D$7=D18),"x","")</f>
        <v/>
      </c>
      <c r="AB18" s="79" t="str">
        <f>IF(AND(OR(LEFT(TH!N18,2)="15",LEFT(TH!O18,2)="15"),LEFT(TH!O18,3)&lt;&gt;"111",'152-CT'!$J$8=TH!F18),"x","")</f>
        <v/>
      </c>
      <c r="AC18" s="79" t="str">
        <f>IF(AND(OR(LEFT(TH!N18,2)="15",LEFT(TH!O18,2)="15"),TK!$E$7=TH!F18),"x","")</f>
        <v/>
      </c>
      <c r="AD18" s="79" t="str">
        <f>IF(AND(N18="1521",MONTH(C18)='BK-NL'!$M$11),"x","")</f>
        <v/>
      </c>
    </row>
    <row r="19" spans="1:30" ht="16.5" customHeight="1">
      <c r="A19" s="318" t="str">
        <f>IF(B19&lt;&gt;"",IF(AND(B19='IN-TC'!$S$4,OR(TH!N19="1111",TH!O19="1111")),TH!D19,""),"")</f>
        <v/>
      </c>
      <c r="B19" s="1187">
        <f t="shared" si="0"/>
        <v>12</v>
      </c>
      <c r="C19" s="75">
        <v>43465</v>
      </c>
      <c r="D19" s="75" t="s">
        <v>115</v>
      </c>
      <c r="E19" s="75">
        <v>43100</v>
      </c>
      <c r="F19" s="76" t="s">
        <v>119</v>
      </c>
      <c r="G19" s="76"/>
      <c r="H19" s="77"/>
      <c r="I19" s="383"/>
      <c r="J19" s="390"/>
      <c r="K19" s="383"/>
      <c r="L19" s="390"/>
      <c r="M19" s="78">
        <f>SUMIF(KHC,N19,TH)</f>
        <v>0</v>
      </c>
      <c r="N19" s="79" t="s">
        <v>103</v>
      </c>
      <c r="O19" s="79" t="s">
        <v>109</v>
      </c>
      <c r="P19" s="79" t="str">
        <f>IF(AND('331-CT'!$E$7=TH!H19,OR(N19="331",O19="331")),"x","")</f>
        <v/>
      </c>
      <c r="Q19" s="79" t="str">
        <f>IF(AND(B19='111'!$L$11,OR($N19=$Q$7,$O19=$Q$7)),"x","")</f>
        <v/>
      </c>
      <c r="R19" s="79" t="str">
        <f>IF(AND($N19=$Q$7,$B19&lt;'111'!$L$11),"x","")</f>
        <v/>
      </c>
      <c r="S19" s="79" t="str">
        <f>IF(AND($O19=$Q$7,$B19&lt;'111'!$L$11),"x","")</f>
        <v/>
      </c>
      <c r="T19" s="79" t="str">
        <f>IF(ISERROR(FIND('112'!$M$9,G19,1)),"",IF((AND(FIND('112'!$M$9,G19,1)&gt;=1,B19='112'!$K$9,OR($N19='112'!$I$6,$O19='112'!$I$6))),"x",""))</f>
        <v/>
      </c>
      <c r="U19" s="79" t="str">
        <f>IF(ISERROR(FIND('112'!$M$9,G19,1)),"",IF((AND(LEFT(G19,2)=LEFT('112'!$M$9,2),B19&lt;'112'!$K$9,$N19='112'!$I$6)),"x",""))</f>
        <v/>
      </c>
      <c r="V19" s="79" t="str">
        <f>IF(ISERROR(FIND('112'!$M$9,G19,1)),"",IF((AND(RIGHT(G19,2)=RIGHT('112'!$M$9,2),B19&lt;'112'!$K$9,$O19='112'!$I$6)),"x",""))</f>
        <v/>
      </c>
      <c r="W19" s="79" t="str">
        <f>IF(AND('341-CT'!$H$9=H19,OR(LEFT(N19,3)=$W$7,LEFT(O19,3)=$W$7)),"x","")</f>
        <v/>
      </c>
      <c r="X19" s="79" t="str">
        <f>IF(OR(TH!N19=TH!$X$7,O19=TH!$X$7),"x","")</f>
        <v/>
      </c>
      <c r="Y19" s="79" t="str">
        <f>IF(AND(OR(N19="131",O19="131"),H19='131-CT'!$H$9),"x","")</f>
        <v/>
      </c>
      <c r="Z19" s="79"/>
      <c r="AA19" s="79" t="str">
        <f>IF(AND(MONTH(E19)='IN-NX'!$J$5,'IN-NX'!$D$7=D19),"x","")</f>
        <v/>
      </c>
      <c r="AB19" s="79" t="str">
        <f>IF(AND(OR(LEFT(TH!N19,2)="15",LEFT(TH!O19,2)="15"),LEFT(TH!O19,3)&lt;&gt;"111",'152-CT'!$J$8=TH!F19),"x","")</f>
        <v/>
      </c>
      <c r="AC19" s="79" t="str">
        <f>IF(AND(OR(LEFT(TH!N19,2)="15",LEFT(TH!O19,2)="15"),TK!$E$7=TH!F19),"x","")</f>
        <v/>
      </c>
      <c r="AD19" s="79" t="str">
        <f>IF(AND(N19="1521",MONTH(C19)='BK-NL'!$M$11),"x","")</f>
        <v/>
      </c>
    </row>
    <row r="20" spans="1:30" ht="16.5" customHeight="1">
      <c r="A20" s="318" t="str">
        <f>IF(B20&lt;&gt;"",IF(AND(B20='IN-TC'!$S$4,OR(TH!N20="1111",TH!O20="1111")),TH!D20,""),"")</f>
        <v/>
      </c>
      <c r="B20" s="1187">
        <f t="shared" si="0"/>
        <v>12</v>
      </c>
      <c r="C20" s="75">
        <v>43465</v>
      </c>
      <c r="D20" s="75" t="s">
        <v>115</v>
      </c>
      <c r="E20" s="75">
        <v>43100</v>
      </c>
      <c r="F20" s="76" t="s">
        <v>120</v>
      </c>
      <c r="G20" s="76"/>
      <c r="H20" s="77"/>
      <c r="I20" s="383"/>
      <c r="J20" s="390"/>
      <c r="K20" s="383"/>
      <c r="L20" s="390"/>
      <c r="M20" s="78">
        <f>SUMIF(KHN,O20,TH)</f>
        <v>0</v>
      </c>
      <c r="N20" s="79" t="s">
        <v>109</v>
      </c>
      <c r="O20" s="79" t="s">
        <v>105</v>
      </c>
      <c r="P20" s="79" t="str">
        <f>IF(AND('331-CT'!$E$7=TH!H20,OR(N20="331",O20="331")),"x","")</f>
        <v/>
      </c>
      <c r="Q20" s="79" t="str">
        <f>IF(AND(B20='111'!$L$11,OR($N20=$Q$7,$O20=$Q$7)),"x","")</f>
        <v/>
      </c>
      <c r="R20" s="79" t="str">
        <f>IF(AND($N20=$Q$7,$B20&lt;'111'!$L$11),"x","")</f>
        <v/>
      </c>
      <c r="S20" s="79" t="str">
        <f>IF(AND($O20=$Q$7,$B20&lt;'111'!$L$11),"x","")</f>
        <v/>
      </c>
      <c r="T20" s="79" t="str">
        <f>IF(ISERROR(FIND('112'!$M$9,G20,1)),"",IF((AND(FIND('112'!$M$9,G20,1)&gt;=1,B20='112'!$K$9,OR($N20='112'!$I$6,$O20='112'!$I$6))),"x",""))</f>
        <v/>
      </c>
      <c r="U20" s="79" t="str">
        <f>IF(ISERROR(FIND('112'!$M$9,G20,1)),"",IF((AND(LEFT(G20,2)=LEFT('112'!$M$9,2),B20&lt;'112'!$K$9,$N20='112'!$I$6)),"x",""))</f>
        <v/>
      </c>
      <c r="V20" s="79" t="str">
        <f>IF(ISERROR(FIND('112'!$M$9,G20,1)),"",IF((AND(RIGHT(G20,2)=RIGHT('112'!$M$9,2),B20&lt;'112'!$K$9,$O20='112'!$I$6)),"x",""))</f>
        <v/>
      </c>
      <c r="W20" s="79" t="str">
        <f>IF(AND('341-CT'!$H$9=H20,OR(LEFT(N20,3)=$W$7,LEFT(O20,3)=$W$7)),"x","")</f>
        <v/>
      </c>
      <c r="X20" s="79" t="str">
        <f>IF(OR(TH!N20=TH!$X$7,O20=TH!$X$7),"x","")</f>
        <v/>
      </c>
      <c r="Y20" s="79" t="str">
        <f>IF(AND(OR(N20="131",O20="131"),H20='131-CT'!$H$9),"x","")</f>
        <v/>
      </c>
      <c r="Z20" s="79"/>
      <c r="AA20" s="79" t="str">
        <f>IF(AND(MONTH(E20)='IN-NX'!$J$5,'IN-NX'!$D$7=D20),"x","")</f>
        <v/>
      </c>
      <c r="AB20" s="79" t="str">
        <f>IF(AND(OR(LEFT(TH!N20,2)="15",LEFT(TH!O20,2)="15"),LEFT(TH!O20,3)&lt;&gt;"111",'152-CT'!$J$8=TH!F20),"x","")</f>
        <v/>
      </c>
      <c r="AC20" s="79" t="str">
        <f>IF(AND(OR(LEFT(TH!N20,2)="15",LEFT(TH!O20,2)="15"),TK!$E$7=TH!F20),"x","")</f>
        <v/>
      </c>
      <c r="AD20" s="79" t="str">
        <f>IF(AND(N20="1521",MONTH(C20)='BK-NL'!$M$11),"x","")</f>
        <v/>
      </c>
    </row>
    <row r="21" spans="1:30" ht="16.5" customHeight="1">
      <c r="A21" s="318" t="str">
        <f>IF(B21&lt;&gt;"",IF(AND(B21='IN-TC'!$S$4,OR(TH!N21="1111",TH!O21="1111")),TH!D21,""),"")</f>
        <v/>
      </c>
      <c r="B21" s="1187">
        <f t="shared" si="0"/>
        <v>12</v>
      </c>
      <c r="C21" s="75">
        <v>43465</v>
      </c>
      <c r="D21" s="75" t="s">
        <v>115</v>
      </c>
      <c r="E21" s="75">
        <v>43100</v>
      </c>
      <c r="F21" s="76" t="s">
        <v>737</v>
      </c>
      <c r="G21" s="76"/>
      <c r="H21" s="77"/>
      <c r="I21" s="383"/>
      <c r="J21" s="390"/>
      <c r="K21" s="383"/>
      <c r="L21" s="390"/>
      <c r="M21" s="78"/>
      <c r="N21" s="79" t="s">
        <v>109</v>
      </c>
      <c r="O21" s="79" t="s">
        <v>94</v>
      </c>
      <c r="P21" s="79" t="str">
        <f>IF(AND('331-CT'!$E$7=TH!H21,OR(N21="331",O21="331")),"x","")</f>
        <v/>
      </c>
      <c r="Q21" s="79" t="str">
        <f>IF(AND(B21='111'!$L$11,OR($N21=$Q$7,$O21=$Q$7)),"x","")</f>
        <v/>
      </c>
      <c r="R21" s="79" t="str">
        <f>IF(AND($N21=$Q$7,$B21&lt;'111'!$L$11),"x","")</f>
        <v/>
      </c>
      <c r="S21" s="79" t="str">
        <f>IF(AND($O21=$Q$7,$B21&lt;'111'!$L$11),"x","")</f>
        <v/>
      </c>
      <c r="T21" s="79" t="str">
        <f>IF(ISERROR(FIND('112'!$M$9,G21,1)),"",IF((AND(FIND('112'!$M$9,G21,1)&gt;=1,B21='112'!$K$9,OR($N21='112'!$I$6,$O21='112'!$I$6))),"x",""))</f>
        <v/>
      </c>
      <c r="U21" s="79" t="str">
        <f>IF(ISERROR(FIND('112'!$M$9,G21,1)),"",IF((AND(LEFT(G21,2)=LEFT('112'!$M$9,2),B21&lt;'112'!$K$9,$N21='112'!$I$6)),"x",""))</f>
        <v/>
      </c>
      <c r="V21" s="79" t="str">
        <f>IF(ISERROR(FIND('112'!$M$9,G21,1)),"",IF((AND(RIGHT(G21,2)=RIGHT('112'!$M$9,2),B21&lt;'112'!$K$9,$O21='112'!$I$6)),"x",""))</f>
        <v/>
      </c>
      <c r="W21" s="79" t="str">
        <f>IF(AND('341-CT'!$H$9=H21,OR(LEFT(N21,3)=$W$7,LEFT(O21,3)=$W$7)),"x","")</f>
        <v/>
      </c>
      <c r="X21" s="79" t="str">
        <f>IF(OR(TH!N21=TH!$X$7,O21=TH!$X$7),"x","")</f>
        <v/>
      </c>
      <c r="Y21" s="79" t="str">
        <f>IF(AND(OR(N21="131",O21="131"),H21='131-CT'!$H$9),"x","")</f>
        <v/>
      </c>
      <c r="Z21" s="79"/>
      <c r="AA21" s="79" t="str">
        <f>IF(AND(MONTH(E21)='IN-NX'!$J$5,'IN-NX'!$D$7=D21),"x","")</f>
        <v/>
      </c>
      <c r="AB21" s="79" t="str">
        <f>IF(AND(OR(LEFT(TH!N21,2)="15",LEFT(TH!O21,2)="15"),LEFT(TH!O21,3)&lt;&gt;"111",'152-CT'!$J$8=TH!F21),"x","")</f>
        <v/>
      </c>
      <c r="AC21" s="79" t="str">
        <f>IF(AND(OR(LEFT(TH!N21,2)="15",LEFT(TH!O21,2)="15"),TK!$E$7=TH!F21),"x","")</f>
        <v/>
      </c>
      <c r="AD21" s="79" t="str">
        <f>IF(AND(N21="1521",MONTH(C21)='BK-NL'!$M$11),"x","")</f>
        <v/>
      </c>
    </row>
    <row r="22" spans="1:30" ht="16.5" customHeight="1">
      <c r="A22" s="318" t="str">
        <f>IF(B22&lt;&gt;"",IF(AND(B22='IN-TC'!$S$4,OR(TH!N22="1111",TH!O22="1111")),TH!D22,""),"")</f>
        <v/>
      </c>
      <c r="B22" s="1187">
        <f t="shared" si="0"/>
        <v>12</v>
      </c>
      <c r="C22" s="75">
        <v>43465</v>
      </c>
      <c r="D22" s="75" t="s">
        <v>115</v>
      </c>
      <c r="E22" s="75">
        <v>43100</v>
      </c>
      <c r="F22" s="76" t="s">
        <v>774</v>
      </c>
      <c r="G22" s="76"/>
      <c r="H22" s="77"/>
      <c r="I22" s="383"/>
      <c r="J22" s="390"/>
      <c r="K22" s="383"/>
      <c r="L22" s="390"/>
      <c r="M22" s="78"/>
      <c r="N22" s="79" t="s">
        <v>107</v>
      </c>
      <c r="O22" s="79" t="s">
        <v>77</v>
      </c>
      <c r="P22" s="79" t="str">
        <f>IF(AND('331-CT'!$E$7=TH!H22,OR(N22="331",O22="331")),"x","")</f>
        <v/>
      </c>
      <c r="Q22" s="79" t="str">
        <f>IF(AND(B22='111'!$L$11,OR($N22=$Q$7,$O22=$Q$7)),"x","")</f>
        <v/>
      </c>
      <c r="R22" s="79" t="str">
        <f>IF(AND($N22=$Q$7,$B22&lt;'111'!$L$11),"x","")</f>
        <v/>
      </c>
      <c r="S22" s="79" t="str">
        <f>IF(AND($O22=$Q$7,$B22&lt;'111'!$L$11),"x","")</f>
        <v/>
      </c>
      <c r="T22" s="79" t="str">
        <f>IF(ISERROR(FIND('112'!$M$9,G22,1)),"",IF((AND(FIND('112'!$M$9,G22,1)&gt;=1,B22='112'!$K$9,OR($N22='112'!$I$6,$O22='112'!$I$6))),"x",""))</f>
        <v/>
      </c>
      <c r="U22" s="79" t="str">
        <f>IF(ISERROR(FIND('112'!$M$9,G22,1)),"",IF((AND(LEFT(G22,2)=LEFT('112'!$M$9,2),B22&lt;'112'!$K$9,$N22='112'!$I$6)),"x",""))</f>
        <v/>
      </c>
      <c r="V22" s="79" t="str">
        <f>IF(ISERROR(FIND('112'!$M$9,G22,1)),"",IF((AND(RIGHT(G22,2)=RIGHT('112'!$M$9,2),B22&lt;'112'!$K$9,$O22='112'!$I$6)),"x",""))</f>
        <v/>
      </c>
      <c r="W22" s="79" t="str">
        <f>IF(AND('341-CT'!$H$9=H22,OR(LEFT(N22,3)=$W$7,LEFT(O22,3)=$W$7)),"x","")</f>
        <v/>
      </c>
      <c r="X22" s="79" t="str">
        <f>IF(OR(TH!N22=TH!$X$7,O22=TH!$X$7),"x","")</f>
        <v/>
      </c>
      <c r="Y22" s="79" t="str">
        <f>IF(AND(OR(N22="131",O22="131"),H22='131-CT'!$H$9),"x","")</f>
        <v/>
      </c>
      <c r="Z22" s="79"/>
      <c r="AA22" s="79" t="str">
        <f>IF(AND(MONTH(E22)='IN-NX'!$J$5,'IN-NX'!$D$7=D22),"x","")</f>
        <v/>
      </c>
      <c r="AB22" s="79" t="str">
        <f>IF(AND(OR(LEFT(TH!N22,2)="15",LEFT(TH!O22,2)="15"),LEFT(TH!O22,3)&lt;&gt;"111",'152-CT'!$J$8=TH!F22),"x","")</f>
        <v/>
      </c>
      <c r="AC22" s="79" t="str">
        <f>IF(AND(OR(LEFT(TH!N22,2)="15",LEFT(TH!O22,2)="15"),TK!$E$7=TH!F22),"x","")</f>
        <v/>
      </c>
      <c r="AD22" s="79" t="str">
        <f>IF(AND(N22="1521",MONTH(C22)='BK-NL'!$M$11),"x","")</f>
        <v/>
      </c>
    </row>
    <row r="23" spans="1:30" ht="16.5" customHeight="1">
      <c r="A23" s="318" t="str">
        <f>IF(B23&lt;&gt;"",IF(AND(B23='IN-TC'!$S$4,OR(TH!N23="1111",TH!O23="1111")),TH!D23,""),"")</f>
        <v/>
      </c>
      <c r="B23" s="1187">
        <f t="shared" si="0"/>
        <v>12</v>
      </c>
      <c r="C23" s="75">
        <v>43465</v>
      </c>
      <c r="D23" s="75" t="s">
        <v>115</v>
      </c>
      <c r="E23" s="75">
        <v>43100</v>
      </c>
      <c r="F23" s="76" t="s">
        <v>775</v>
      </c>
      <c r="G23" s="76"/>
      <c r="H23" s="77"/>
      <c r="I23" s="383"/>
      <c r="J23" s="390"/>
      <c r="K23" s="383"/>
      <c r="L23" s="390"/>
      <c r="M23" s="78"/>
      <c r="N23" s="79" t="s">
        <v>109</v>
      </c>
      <c r="O23" s="79" t="s">
        <v>107</v>
      </c>
      <c r="P23" s="79" t="str">
        <f>IF(AND('331-CT'!$E$7=TH!H23,OR(N23="331",O23="331")),"x","")</f>
        <v/>
      </c>
      <c r="Q23" s="79" t="str">
        <f>IF(AND(B23='111'!$L$11,OR($N23=$Q$7,$O23=$Q$7)),"x","")</f>
        <v/>
      </c>
      <c r="R23" s="79" t="str">
        <f>IF(AND($N23=$Q$7,$B23&lt;'111'!$L$11),"x","")</f>
        <v/>
      </c>
      <c r="S23" s="79" t="str">
        <f>IF(AND($O23=$Q$7,$B23&lt;'111'!$L$11),"x","")</f>
        <v/>
      </c>
      <c r="T23" s="79" t="str">
        <f>IF(ISERROR(FIND('112'!$M$9,G23,1)),"",IF((AND(FIND('112'!$M$9,G23,1)&gt;=1,B23='112'!$K$9,OR($N23='112'!$I$6,$O23='112'!$I$6))),"x",""))</f>
        <v/>
      </c>
      <c r="U23" s="79" t="str">
        <f>IF(ISERROR(FIND('112'!$M$9,G23,1)),"",IF((AND(LEFT(G23,2)=LEFT('112'!$M$9,2),B23&lt;'112'!$K$9,$N23='112'!$I$6)),"x",""))</f>
        <v/>
      </c>
      <c r="V23" s="79" t="str">
        <f>IF(ISERROR(FIND('112'!$M$9,G23,1)),"",IF((AND(RIGHT(G23,2)=RIGHT('112'!$M$9,2),B23&lt;'112'!$K$9,$O23='112'!$I$6)),"x",""))</f>
        <v/>
      </c>
      <c r="W23" s="79" t="str">
        <f>IF(AND('341-CT'!$H$9=H23,OR(LEFT(N23,3)=$W$7,LEFT(O23,3)=$W$7)),"x","")</f>
        <v/>
      </c>
      <c r="X23" s="79" t="str">
        <f>IF(OR(TH!N23=TH!$X$7,O23=TH!$X$7),"x","")</f>
        <v/>
      </c>
      <c r="Y23" s="79" t="str">
        <f>IF(AND(OR(N23="131",O23="131"),H23='131-CT'!$H$9),"x","")</f>
        <v/>
      </c>
      <c r="Z23" s="79"/>
      <c r="AA23" s="79" t="str">
        <f>IF(AND(MONTH(E23)='IN-NX'!$J$5,'IN-NX'!$D$7=D23),"x","")</f>
        <v/>
      </c>
      <c r="AB23" s="79" t="str">
        <f>IF(AND(OR(LEFT(TH!N23,2)="15",LEFT(TH!O23,2)="15"),LEFT(TH!O23,3)&lt;&gt;"111",'152-CT'!$J$8=TH!F23),"x","")</f>
        <v/>
      </c>
      <c r="AC23" s="79" t="str">
        <f>IF(AND(OR(LEFT(TH!N23,2)="15",LEFT(TH!O23,2)="15"),TK!$E$7=TH!F23),"x","")</f>
        <v/>
      </c>
      <c r="AD23" s="79" t="str">
        <f>IF(AND(N23="1521",MONTH(C23)='BK-NL'!$M$11),"x","")</f>
        <v/>
      </c>
    </row>
    <row r="24" spans="1:30" ht="16.5" customHeight="1">
      <c r="A24" s="318" t="str">
        <f>IF(B24&lt;&gt;"",IF(AND(B24='IN-TC'!$S$4,OR(TH!N24="1111",TH!O24="1111")),TH!D24,""),"")</f>
        <v/>
      </c>
      <c r="B24" s="1106">
        <f t="shared" si="0"/>
        <v>1</v>
      </c>
      <c r="C24" s="679">
        <v>43131</v>
      </c>
      <c r="D24" s="679" t="s">
        <v>532</v>
      </c>
      <c r="E24" s="679">
        <f t="shared" ref="E24:E67" si="2">C24</f>
        <v>43131</v>
      </c>
      <c r="F24" s="942" t="s">
        <v>714</v>
      </c>
      <c r="G24" s="680"/>
      <c r="H24" s="69"/>
      <c r="I24" s="385"/>
      <c r="J24" s="392"/>
      <c r="K24" s="385"/>
      <c r="L24" s="392"/>
      <c r="M24" s="681">
        <v>10010706</v>
      </c>
      <c r="N24" s="685" t="s">
        <v>272</v>
      </c>
      <c r="O24" s="685" t="s">
        <v>538</v>
      </c>
      <c r="P24" s="79" t="str">
        <f>IF(AND('331-CT'!$E$7=TH!H24,OR(N24="331",O24="331")),"x","")</f>
        <v/>
      </c>
      <c r="Q24" s="79" t="str">
        <f>IF(AND(B24='111'!$L$11,OR($N24=$Q$7,$O24=$Q$7)),"x","")</f>
        <v/>
      </c>
      <c r="R24" s="79" t="str">
        <f>IF(AND($N24=$Q$7,$B24&lt;'111'!$L$11),"x","")</f>
        <v/>
      </c>
      <c r="S24" s="79" t="str">
        <f>IF(AND($O24=$Q$7,$B24&lt;'111'!$L$11),"x","")</f>
        <v/>
      </c>
      <c r="T24" s="79" t="str">
        <f>IF(ISERROR(FIND('112'!$M$9,G24,1)),"",IF((AND(FIND('112'!$M$9,G24,1)&gt;=1,B24='112'!$K$9,OR($N24='112'!$I$6,$O24='112'!$I$6))),"x",""))</f>
        <v/>
      </c>
      <c r="U24" s="79" t="str">
        <f>IF(ISERROR(FIND('112'!$M$9,G24,1)),"",IF((AND(LEFT(G24,2)=LEFT('112'!$M$9,2),B24&lt;'112'!$K$9,$N24='112'!$I$6)),"x",""))</f>
        <v/>
      </c>
      <c r="V24" s="79" t="str">
        <f>IF(ISERROR(FIND('112'!$M$9,G24,1)),"",IF((AND(RIGHT(G24,2)=RIGHT('112'!$M$9,2),B24&lt;'112'!$K$9,$O24='112'!$I$6)),"x",""))</f>
        <v/>
      </c>
      <c r="W24" s="79" t="str">
        <f>IF(AND('341-CT'!$H$9=H24,OR(LEFT(N24,3)=$W$7,LEFT(O24,3)=$W$7)),"x","")</f>
        <v/>
      </c>
      <c r="X24" s="79" t="str">
        <f>IF(OR(TH!N24=TH!$X$7,O24=TH!$X$7),"x","")</f>
        <v/>
      </c>
      <c r="Y24" s="79" t="str">
        <f>IF(AND(OR(N24="131",O24="131"),H24='131-CT'!$H$9),"x","")</f>
        <v/>
      </c>
      <c r="Z24" s="79"/>
      <c r="AA24" s="79" t="str">
        <f>IF(AND(MONTH(E24)='IN-NX'!$J$5,'IN-NX'!$D$7=D24),"x","")</f>
        <v/>
      </c>
      <c r="AB24" s="79" t="str">
        <f>IF(AND(OR(LEFT(TH!N24,2)="15",LEFT(TH!O24,2)="15"),LEFT(TH!O24,3)&lt;&gt;"111",'152-CT'!$J$8=TH!F24),"x","")</f>
        <v/>
      </c>
      <c r="AC24" s="79" t="str">
        <f>IF(AND(OR(LEFT(TH!N24,2)="15",LEFT(TH!O24,2)="15"),TK!$E$7=TH!F24),"x","")</f>
        <v/>
      </c>
      <c r="AD24" s="79" t="str">
        <f>IF(AND(N24="1521",MONTH(C24)='BK-NL'!$M$11),"x","")</f>
        <v/>
      </c>
    </row>
    <row r="25" spans="1:30" ht="16.5" customHeight="1">
      <c r="A25" s="318" t="str">
        <f>IF(B25&lt;&gt;"",IF(AND(B25='IN-TC'!$S$4,OR(TH!N25="1111",TH!O25="1111")),TH!D25,""),"")</f>
        <v/>
      </c>
      <c r="B25" s="1106">
        <f t="shared" si="0"/>
        <v>1</v>
      </c>
      <c r="C25" s="679">
        <v>43131</v>
      </c>
      <c r="D25" s="679" t="s">
        <v>532</v>
      </c>
      <c r="E25" s="679">
        <f>C25</f>
        <v>43131</v>
      </c>
      <c r="F25" s="942" t="s">
        <v>715</v>
      </c>
      <c r="G25" s="765"/>
      <c r="H25" s="68"/>
      <c r="I25" s="386"/>
      <c r="J25" s="393"/>
      <c r="K25" s="386"/>
      <c r="L25" s="393"/>
      <c r="M25" s="681">
        <v>3671166</v>
      </c>
      <c r="N25" s="685" t="s">
        <v>101</v>
      </c>
      <c r="O25" s="685" t="s">
        <v>539</v>
      </c>
      <c r="P25" s="79" t="str">
        <f>IF(AND('331-CT'!$E$7=TH!H25,OR(N25="331",O25="331")),"x","")</f>
        <v/>
      </c>
      <c r="Q25" s="79" t="str">
        <f>IF(AND(B25='111'!$L$11,OR($N25=$Q$7,$O25=$Q$7)),"x","")</f>
        <v/>
      </c>
      <c r="R25" s="79" t="str">
        <f>IF(AND($N25=$Q$7,$B25&lt;'111'!$L$11),"x","")</f>
        <v/>
      </c>
      <c r="S25" s="79" t="str">
        <f>IF(AND($O25=$Q$7,$B25&lt;'111'!$L$11),"x","")</f>
        <v/>
      </c>
      <c r="T25" s="79" t="str">
        <f>IF(ISERROR(FIND('112'!$M$9,G25,1)),"",IF((AND(FIND('112'!$M$9,G25,1)&gt;=1,B25='112'!$K$9,OR($N25='112'!$I$6,$O25='112'!$I$6))),"x",""))</f>
        <v/>
      </c>
      <c r="U25" s="79" t="str">
        <f>IF(ISERROR(FIND('112'!$M$9,G25,1)),"",IF((AND(LEFT(G25,2)=LEFT('112'!$M$9,2),B25&lt;'112'!$K$9,$N25='112'!$I$6)),"x",""))</f>
        <v/>
      </c>
      <c r="V25" s="79" t="str">
        <f>IF(ISERROR(FIND('112'!$M$9,G25,1)),"",IF((AND(RIGHT(G25,2)=RIGHT('112'!$M$9,2),B25&lt;'112'!$K$9,$O25='112'!$I$6)),"x",""))</f>
        <v/>
      </c>
      <c r="W25" s="79" t="str">
        <f>IF(AND('341-CT'!$H$9=H25,OR(LEFT(N25,3)=$W$7,LEFT(O25,3)=$W$7)),"x","")</f>
        <v/>
      </c>
      <c r="X25" s="79" t="str">
        <f>IF(OR(TH!N25=TH!$X$7,O25=TH!$X$7),"x","")</f>
        <v/>
      </c>
      <c r="Y25" s="79" t="str">
        <f>IF(AND(OR(N25="131",O25="131"),H25='131-CT'!$H$9),"x","")</f>
        <v/>
      </c>
      <c r="Z25" s="79"/>
      <c r="AA25" s="79" t="str">
        <f>IF(AND(MONTH(E25)='IN-NX'!$J$5,'IN-NX'!$D$7=D25),"x","")</f>
        <v/>
      </c>
      <c r="AB25" s="79" t="str">
        <f>IF(AND(OR(LEFT(TH!N25,2)="15",LEFT(TH!O25,2)="15"),LEFT(TH!O25,3)&lt;&gt;"111",'152-CT'!$J$8=TH!F25),"x","")</f>
        <v/>
      </c>
      <c r="AC25" s="79" t="str">
        <f>IF(AND(OR(LEFT(TH!N25,2)="15",LEFT(TH!O25,2)="15"),TK!$E$7=TH!F25),"x","")</f>
        <v/>
      </c>
      <c r="AD25" s="79" t="str">
        <f>IF(AND(N25="1521",MONTH(C25)='BK-NL'!$M$11),"x","")</f>
        <v/>
      </c>
    </row>
    <row r="26" spans="1:30" ht="16.5" customHeight="1">
      <c r="A26" s="318" t="str">
        <f>IF(B26&lt;&gt;"",IF(AND(B26='IN-TC'!$S$4,OR(TH!N26="1111",TH!O26="1111")),TH!D26,""),"")</f>
        <v/>
      </c>
      <c r="B26" s="1106">
        <f t="shared" si="0"/>
        <v>1</v>
      </c>
      <c r="C26" s="679">
        <v>43131</v>
      </c>
      <c r="D26" s="679" t="s">
        <v>532</v>
      </c>
      <c r="E26" s="679">
        <f t="shared" si="2"/>
        <v>43131</v>
      </c>
      <c r="F26" s="942" t="s">
        <v>715</v>
      </c>
      <c r="G26" s="680"/>
      <c r="H26" s="68"/>
      <c r="I26" s="386"/>
      <c r="J26" s="393"/>
      <c r="K26" s="386"/>
      <c r="L26" s="393"/>
      <c r="M26" s="681">
        <v>49458285</v>
      </c>
      <c r="N26" s="685" t="s">
        <v>272</v>
      </c>
      <c r="O26" s="685" t="s">
        <v>539</v>
      </c>
      <c r="P26" s="79" t="str">
        <f>IF(AND('331-CT'!$E$7=TH!H26,OR(N26="331",O26="331")),"x","")</f>
        <v/>
      </c>
      <c r="Q26" s="79" t="str">
        <f>IF(AND(B26='111'!$L$11,OR($N26=$Q$7,$O26=$Q$7)),"x","")</f>
        <v/>
      </c>
      <c r="R26" s="79" t="str">
        <f>IF(AND($N26=$Q$7,$B26&lt;'111'!$L$11),"x","")</f>
        <v/>
      </c>
      <c r="S26" s="79" t="str">
        <f>IF(AND($O26=$Q$7,$B26&lt;'111'!$L$11),"x","")</f>
        <v/>
      </c>
      <c r="T26" s="79" t="str">
        <f>IF(ISERROR(FIND('112'!$M$9,G26,1)),"",IF((AND(FIND('112'!$M$9,G26,1)&gt;=1,B26='112'!$K$9,OR($N26='112'!$I$6,$O26='112'!$I$6))),"x",""))</f>
        <v/>
      </c>
      <c r="U26" s="79" t="str">
        <f>IF(ISERROR(FIND('112'!$M$9,G26,1)),"",IF((AND(LEFT(G26,2)=LEFT('112'!$M$9,2),B26&lt;'112'!$K$9,$N26='112'!$I$6)),"x",""))</f>
        <v/>
      </c>
      <c r="V26" s="79" t="str">
        <f>IF(ISERROR(FIND('112'!$M$9,G26,1)),"",IF((AND(RIGHT(G26,2)=RIGHT('112'!$M$9,2),B26&lt;'112'!$K$9,$O26='112'!$I$6)),"x",""))</f>
        <v/>
      </c>
      <c r="W26" s="79" t="str">
        <f>IF(AND('341-CT'!$H$9=H26,OR(LEFT(N26,3)=$W$7,LEFT(O26,3)=$W$7)),"x","")</f>
        <v/>
      </c>
      <c r="X26" s="79" t="str">
        <f>IF(OR(TH!N26=TH!$X$7,O26=TH!$X$7),"x","")</f>
        <v/>
      </c>
      <c r="Y26" s="79" t="str">
        <f>IF(AND(OR(N26="131",O26="131"),H26='131-CT'!$H$9),"x","")</f>
        <v/>
      </c>
      <c r="Z26" s="79"/>
      <c r="AA26" s="79" t="str">
        <f>IF(AND(MONTH(E26)='IN-NX'!$J$5,'IN-NX'!$D$7=D26),"x","")</f>
        <v/>
      </c>
      <c r="AB26" s="79" t="str">
        <f>IF(AND(OR(LEFT(TH!N26,2)="15",LEFT(TH!O26,2)="15"),LEFT(TH!O26,3)&lt;&gt;"111",'152-CT'!$J$8=TH!F26),"x","")</f>
        <v/>
      </c>
      <c r="AC26" s="79" t="str">
        <f>IF(AND(OR(LEFT(TH!N26,2)="15",LEFT(TH!O26,2)="15"),TK!$E$7=TH!F26),"x","")</f>
        <v/>
      </c>
      <c r="AD26" s="79" t="str">
        <f>IF(AND(N26="1521",MONTH(C26)='BK-NL'!$M$11),"x","")</f>
        <v/>
      </c>
    </row>
    <row r="27" spans="1:30" ht="16.5" customHeight="1">
      <c r="A27" s="318" t="str">
        <f>IF(B27&lt;&gt;"",IF(AND(B27='IN-TC'!$S$4,OR(TH!N27="1111",TH!O27="1111")),TH!D27,""),"")</f>
        <v/>
      </c>
      <c r="B27" s="1166">
        <f t="shared" si="0"/>
        <v>2</v>
      </c>
      <c r="C27" s="679">
        <v>43159</v>
      </c>
      <c r="D27" s="679" t="s">
        <v>532</v>
      </c>
      <c r="E27" s="679">
        <f t="shared" si="2"/>
        <v>43159</v>
      </c>
      <c r="F27" s="942" t="s">
        <v>714</v>
      </c>
      <c r="G27" s="680"/>
      <c r="H27" s="69"/>
      <c r="I27" s="385"/>
      <c r="J27" s="392"/>
      <c r="K27" s="385"/>
      <c r="L27" s="392"/>
      <c r="M27" s="681">
        <v>10010706</v>
      </c>
      <c r="N27" s="685" t="s">
        <v>272</v>
      </c>
      <c r="O27" s="685" t="s">
        <v>538</v>
      </c>
      <c r="P27" s="79" t="str">
        <f>IF(AND('331-CT'!$E$7=TH!H27,OR(N27="331",O27="331")),"x","")</f>
        <v/>
      </c>
      <c r="Q27" s="79" t="str">
        <f>IF(AND(B27='111'!$L$11,OR($N27=$Q$7,$O27=$Q$7)),"x","")</f>
        <v/>
      </c>
      <c r="R27" s="79" t="str">
        <f>IF(AND($N27=$Q$7,$B27&lt;'111'!$L$11),"x","")</f>
        <v/>
      </c>
      <c r="S27" s="79" t="str">
        <f>IF(AND($O27=$Q$7,$B27&lt;'111'!$L$11),"x","")</f>
        <v/>
      </c>
      <c r="T27" s="79" t="str">
        <f>IF(ISERROR(FIND('112'!$M$9,G27,1)),"",IF((AND(FIND('112'!$M$9,G27,1)&gt;=1,B27='112'!$K$9,OR($N27='112'!$I$6,$O27='112'!$I$6))),"x",""))</f>
        <v/>
      </c>
      <c r="U27" s="79" t="str">
        <f>IF(ISERROR(FIND('112'!$M$9,G27,1)),"",IF((AND(LEFT(G27,2)=LEFT('112'!$M$9,2),B27&lt;'112'!$K$9,$N27='112'!$I$6)),"x",""))</f>
        <v/>
      </c>
      <c r="V27" s="79" t="str">
        <f>IF(ISERROR(FIND('112'!$M$9,G27,1)),"",IF((AND(RIGHT(G27,2)=RIGHT('112'!$M$9,2),B27&lt;'112'!$K$9,$O27='112'!$I$6)),"x",""))</f>
        <v/>
      </c>
      <c r="W27" s="79" t="str">
        <f>IF(AND('341-CT'!$H$9=H27,OR(LEFT(N27,3)=$W$7,LEFT(O27,3)=$W$7)),"x","")</f>
        <v/>
      </c>
      <c r="X27" s="79" t="str">
        <f>IF(OR(TH!N27=TH!$X$7,O27=TH!$X$7),"x","")</f>
        <v/>
      </c>
      <c r="Y27" s="79" t="str">
        <f>IF(AND(OR(N27="131",O27="131"),H27='131-CT'!$H$9),"x","")</f>
        <v/>
      </c>
      <c r="Z27" s="79"/>
      <c r="AA27" s="79" t="str">
        <f>IF(AND(MONTH(E27)='IN-NX'!$J$5,'IN-NX'!$D$7=D27),"x","")</f>
        <v/>
      </c>
      <c r="AB27" s="79" t="str">
        <f>IF(AND(OR(LEFT(TH!N27,2)="15",LEFT(TH!O27,2)="15"),LEFT(TH!O27,3)&lt;&gt;"111",'152-CT'!$J$8=TH!F27),"x","")</f>
        <v/>
      </c>
      <c r="AC27" s="79" t="str">
        <f>IF(AND(OR(LEFT(TH!N27,2)="15",LEFT(TH!O27,2)="15"),TK!$E$7=TH!F27),"x","")</f>
        <v/>
      </c>
      <c r="AD27" s="79" t="str">
        <f>IF(AND(N27="1521",MONTH(C27)='BK-NL'!$M$11),"x","")</f>
        <v/>
      </c>
    </row>
    <row r="28" spans="1:30" ht="16.5" customHeight="1">
      <c r="A28" s="318" t="str">
        <f>IF(B28&lt;&gt;"",IF(AND(B28='IN-TC'!$S$4,OR(TH!N28="1111",TH!O28="1111")),TH!D28,""),"")</f>
        <v/>
      </c>
      <c r="B28" s="1166">
        <f t="shared" si="0"/>
        <v>2</v>
      </c>
      <c r="C28" s="679">
        <v>43159</v>
      </c>
      <c r="D28" s="679" t="s">
        <v>532</v>
      </c>
      <c r="E28" s="679">
        <f t="shared" si="2"/>
        <v>43159</v>
      </c>
      <c r="F28" s="942" t="s">
        <v>715</v>
      </c>
      <c r="G28" s="765"/>
      <c r="H28" s="68"/>
      <c r="I28" s="386"/>
      <c r="J28" s="393"/>
      <c r="K28" s="386"/>
      <c r="L28" s="393"/>
      <c r="M28" s="681">
        <v>3671166</v>
      </c>
      <c r="N28" s="685" t="s">
        <v>101</v>
      </c>
      <c r="O28" s="685" t="s">
        <v>539</v>
      </c>
      <c r="P28" s="79" t="str">
        <f>IF(AND('331-CT'!$E$7=TH!H28,OR(N28="331",O28="331")),"x","")</f>
        <v/>
      </c>
      <c r="Q28" s="79" t="str">
        <f>IF(AND(B28='111'!$L$11,OR($N28=$Q$7,$O28=$Q$7)),"x","")</f>
        <v/>
      </c>
      <c r="R28" s="79" t="str">
        <f>IF(AND($N28=$Q$7,$B28&lt;'111'!$L$11),"x","")</f>
        <v/>
      </c>
      <c r="S28" s="79" t="str">
        <f>IF(AND($O28=$Q$7,$B28&lt;'111'!$L$11),"x","")</f>
        <v/>
      </c>
      <c r="T28" s="79" t="str">
        <f>IF(ISERROR(FIND('112'!$M$9,G28,1)),"",IF((AND(FIND('112'!$M$9,G28,1)&gt;=1,B28='112'!$K$9,OR($N28='112'!$I$6,$O28='112'!$I$6))),"x",""))</f>
        <v/>
      </c>
      <c r="U28" s="79" t="str">
        <f>IF(ISERROR(FIND('112'!$M$9,G28,1)),"",IF((AND(LEFT(G28,2)=LEFT('112'!$M$9,2),B28&lt;'112'!$K$9,$N28='112'!$I$6)),"x",""))</f>
        <v/>
      </c>
      <c r="V28" s="79" t="str">
        <f>IF(ISERROR(FIND('112'!$M$9,G28,1)),"",IF((AND(RIGHT(G28,2)=RIGHT('112'!$M$9,2),B28&lt;'112'!$K$9,$O28='112'!$I$6)),"x",""))</f>
        <v/>
      </c>
      <c r="W28" s="79" t="str">
        <f>IF(AND('341-CT'!$H$9=H28,OR(LEFT(N28,3)=$W$7,LEFT(O28,3)=$W$7)),"x","")</f>
        <v/>
      </c>
      <c r="X28" s="79" t="str">
        <f>IF(OR(TH!N28=TH!$X$7,O28=TH!$X$7),"x","")</f>
        <v/>
      </c>
      <c r="Y28" s="79" t="str">
        <f>IF(AND(OR(N28="131",O28="131"),H28='131-CT'!$H$9),"x","")</f>
        <v/>
      </c>
      <c r="Z28" s="79"/>
      <c r="AA28" s="79" t="str">
        <f>IF(AND(MONTH(E28)='IN-NX'!$J$5,'IN-NX'!$D$7=D28),"x","")</f>
        <v/>
      </c>
      <c r="AB28" s="79" t="str">
        <f>IF(AND(OR(LEFT(TH!N28,2)="15",LEFT(TH!O28,2)="15"),LEFT(TH!O28,3)&lt;&gt;"111",'152-CT'!$J$8=TH!F28),"x","")</f>
        <v/>
      </c>
      <c r="AC28" s="79" t="str">
        <f>IF(AND(OR(LEFT(TH!N28,2)="15",LEFT(TH!O28,2)="15"),TK!$E$7=TH!F28),"x","")</f>
        <v/>
      </c>
      <c r="AD28" s="79" t="str">
        <f>IF(AND(N28="1521",MONTH(C28)='BK-NL'!$M$11),"x","")</f>
        <v/>
      </c>
    </row>
    <row r="29" spans="1:30" ht="16.5" customHeight="1">
      <c r="A29" s="318" t="str">
        <f>IF(B29&lt;&gt;"",IF(AND(B29='IN-TC'!$S$4,OR(TH!N29="1111",TH!O29="1111")),TH!D29,""),"")</f>
        <v/>
      </c>
      <c r="B29" s="1166">
        <f t="shared" si="0"/>
        <v>2</v>
      </c>
      <c r="C29" s="679">
        <v>43159</v>
      </c>
      <c r="D29" s="679" t="s">
        <v>532</v>
      </c>
      <c r="E29" s="679">
        <f t="shared" si="2"/>
        <v>43159</v>
      </c>
      <c r="F29" s="942" t="s">
        <v>715</v>
      </c>
      <c r="G29" s="680"/>
      <c r="H29" s="68"/>
      <c r="I29" s="386"/>
      <c r="J29" s="393"/>
      <c r="K29" s="386"/>
      <c r="L29" s="393"/>
      <c r="M29" s="681">
        <v>49458285</v>
      </c>
      <c r="N29" s="685" t="s">
        <v>272</v>
      </c>
      <c r="O29" s="685" t="s">
        <v>539</v>
      </c>
      <c r="P29" s="79" t="str">
        <f>IF(AND('331-CT'!$E$7=TH!H29,OR(N29="331",O29="331")),"x","")</f>
        <v/>
      </c>
      <c r="Q29" s="79" t="str">
        <f>IF(AND(B29='111'!$L$11,OR($N29=$Q$7,$O29=$Q$7)),"x","")</f>
        <v/>
      </c>
      <c r="R29" s="79" t="str">
        <f>IF(AND($N29=$Q$7,$B29&lt;'111'!$L$11),"x","")</f>
        <v/>
      </c>
      <c r="S29" s="79" t="str">
        <f>IF(AND($O29=$Q$7,$B29&lt;'111'!$L$11),"x","")</f>
        <v/>
      </c>
      <c r="T29" s="79" t="str">
        <f>IF(ISERROR(FIND('112'!$M$9,G29,1)),"",IF((AND(FIND('112'!$M$9,G29,1)&gt;=1,B29='112'!$K$9,OR($N29='112'!$I$6,$O29='112'!$I$6))),"x",""))</f>
        <v/>
      </c>
      <c r="U29" s="79" t="str">
        <f>IF(ISERROR(FIND('112'!$M$9,G29,1)),"",IF((AND(LEFT(G29,2)=LEFT('112'!$M$9,2),B29&lt;'112'!$K$9,$N29='112'!$I$6)),"x",""))</f>
        <v/>
      </c>
      <c r="V29" s="79" t="str">
        <f>IF(ISERROR(FIND('112'!$M$9,G29,1)),"",IF((AND(RIGHT(G29,2)=RIGHT('112'!$M$9,2),B29&lt;'112'!$K$9,$O29='112'!$I$6)),"x",""))</f>
        <v/>
      </c>
      <c r="W29" s="79" t="str">
        <f>IF(AND('341-CT'!$H$9=H29,OR(LEFT(N29,3)=$W$7,LEFT(O29,3)=$W$7)),"x","")</f>
        <v/>
      </c>
      <c r="X29" s="79" t="str">
        <f>IF(OR(TH!N29=TH!$X$7,O29=TH!$X$7),"x","")</f>
        <v/>
      </c>
      <c r="Y29" s="79" t="str">
        <f>IF(AND(OR(N29="131",O29="131"),H29='131-CT'!$H$9),"x","")</f>
        <v/>
      </c>
      <c r="Z29" s="79"/>
      <c r="AA29" s="79" t="str">
        <f>IF(AND(MONTH(E29)='IN-NX'!$J$5,'IN-NX'!$D$7=D29),"x","")</f>
        <v/>
      </c>
      <c r="AB29" s="79" t="str">
        <f>IF(AND(OR(LEFT(TH!N29,2)="15",LEFT(TH!O29,2)="15"),LEFT(TH!O29,3)&lt;&gt;"111",'152-CT'!$J$8=TH!F29),"x","")</f>
        <v/>
      </c>
      <c r="AC29" s="79" t="str">
        <f>IF(AND(OR(LEFT(TH!N29,2)="15",LEFT(TH!O29,2)="15"),TK!$E$7=TH!F29),"x","")</f>
        <v/>
      </c>
      <c r="AD29" s="79" t="str">
        <f>IF(AND(N29="1521",MONTH(C29)='BK-NL'!$M$11),"x","")</f>
        <v/>
      </c>
    </row>
    <row r="30" spans="1:30" ht="16.5" customHeight="1">
      <c r="A30" s="318" t="str">
        <f>IF(B30&lt;&gt;"",IF(AND(B30='IN-TC'!$S$4,OR(TH!N30="1111",TH!O30="1111")),TH!D30,""),"")</f>
        <v/>
      </c>
      <c r="B30" s="1197">
        <f t="shared" si="0"/>
        <v>3</v>
      </c>
      <c r="C30" s="679">
        <v>43190</v>
      </c>
      <c r="D30" s="679" t="s">
        <v>532</v>
      </c>
      <c r="E30" s="679">
        <f t="shared" si="2"/>
        <v>43190</v>
      </c>
      <c r="F30" s="942" t="s">
        <v>714</v>
      </c>
      <c r="G30" s="680"/>
      <c r="H30" s="69"/>
      <c r="I30" s="385"/>
      <c r="J30" s="392"/>
      <c r="K30" s="385"/>
      <c r="L30" s="392"/>
      <c r="M30" s="681">
        <v>10010706</v>
      </c>
      <c r="N30" s="685" t="s">
        <v>272</v>
      </c>
      <c r="O30" s="685" t="s">
        <v>538</v>
      </c>
      <c r="P30" s="79" t="str">
        <f>IF(AND('331-CT'!$E$7=TH!H30,OR(N30="331",O30="331")),"x","")</f>
        <v/>
      </c>
      <c r="Q30" s="79" t="str">
        <f>IF(AND(B30='111'!$L$11,OR($N30=$Q$7,$O30=$Q$7)),"x","")</f>
        <v/>
      </c>
      <c r="R30" s="79" t="str">
        <f>IF(AND($N30=$Q$7,$B30&lt;'111'!$L$11),"x","")</f>
        <v/>
      </c>
      <c r="S30" s="79" t="str">
        <f>IF(AND($O30=$Q$7,$B30&lt;'111'!$L$11),"x","")</f>
        <v/>
      </c>
      <c r="T30" s="79" t="str">
        <f>IF(ISERROR(FIND('112'!$M$9,G30,1)),"",IF((AND(FIND('112'!$M$9,G30,1)&gt;=1,B30='112'!$K$9,OR($N30='112'!$I$6,$O30='112'!$I$6))),"x",""))</f>
        <v/>
      </c>
      <c r="U30" s="79" t="str">
        <f>IF(ISERROR(FIND('112'!$M$9,G30,1)),"",IF((AND(LEFT(G30,2)=LEFT('112'!$M$9,2),B30&lt;'112'!$K$9,$N30='112'!$I$6)),"x",""))</f>
        <v/>
      </c>
      <c r="V30" s="79" t="str">
        <f>IF(ISERROR(FIND('112'!$M$9,G30,1)),"",IF((AND(RIGHT(G30,2)=RIGHT('112'!$M$9,2),B30&lt;'112'!$K$9,$O30='112'!$I$6)),"x",""))</f>
        <v/>
      </c>
      <c r="W30" s="79" t="str">
        <f>IF(AND('341-CT'!$H$9=H30,OR(LEFT(N30,3)=$W$7,LEFT(O30,3)=$W$7)),"x","")</f>
        <v/>
      </c>
      <c r="X30" s="79" t="str">
        <f>IF(OR(TH!N30=TH!$X$7,O30=TH!$X$7),"x","")</f>
        <v/>
      </c>
      <c r="Y30" s="79" t="str">
        <f>IF(AND(OR(N30="131",O30="131"),H30='131-CT'!$H$9),"x","")</f>
        <v/>
      </c>
      <c r="Z30" s="79"/>
      <c r="AA30" s="79" t="str">
        <f>IF(AND(MONTH(E30)='IN-NX'!$J$5,'IN-NX'!$D$7=D30),"x","")</f>
        <v/>
      </c>
      <c r="AB30" s="79" t="str">
        <f>IF(AND(OR(LEFT(TH!N30,2)="15",LEFT(TH!O30,2)="15"),LEFT(TH!O30,3)&lt;&gt;"111",'152-CT'!$J$8=TH!F30),"x","")</f>
        <v/>
      </c>
      <c r="AC30" s="79" t="str">
        <f>IF(AND(OR(LEFT(TH!N30,2)="15",LEFT(TH!O30,2)="15"),TK!$E$7=TH!F30),"x","")</f>
        <v/>
      </c>
      <c r="AD30" s="79" t="str">
        <f>IF(AND(N30="1521",MONTH(C30)='BK-NL'!$M$11),"x","")</f>
        <v/>
      </c>
    </row>
    <row r="31" spans="1:30" ht="16.5" customHeight="1">
      <c r="A31" s="318" t="str">
        <f>IF(B31&lt;&gt;"",IF(AND(B31='IN-TC'!$S$4,OR(TH!N31="1111",TH!O31="1111")),TH!D31,""),"")</f>
        <v/>
      </c>
      <c r="B31" s="1197">
        <f t="shared" si="0"/>
        <v>3</v>
      </c>
      <c r="C31" s="679">
        <v>43190</v>
      </c>
      <c r="D31" s="679" t="s">
        <v>532</v>
      </c>
      <c r="E31" s="679">
        <f t="shared" si="2"/>
        <v>43190</v>
      </c>
      <c r="F31" s="942" t="s">
        <v>715</v>
      </c>
      <c r="G31" s="765"/>
      <c r="H31" s="68"/>
      <c r="I31" s="386"/>
      <c r="J31" s="393"/>
      <c r="K31" s="386"/>
      <c r="L31" s="393"/>
      <c r="M31" s="681">
        <v>3671166</v>
      </c>
      <c r="N31" s="685" t="s">
        <v>101</v>
      </c>
      <c r="O31" s="685" t="s">
        <v>539</v>
      </c>
      <c r="P31" s="79" t="str">
        <f>IF(AND('331-CT'!$E$7=TH!H31,OR(N31="331",O31="331")),"x","")</f>
        <v/>
      </c>
      <c r="Q31" s="79" t="str">
        <f>IF(AND(B31='111'!$L$11,OR($N31=$Q$7,$O31=$Q$7)),"x","")</f>
        <v/>
      </c>
      <c r="R31" s="79" t="str">
        <f>IF(AND($N31=$Q$7,$B31&lt;'111'!$L$11),"x","")</f>
        <v/>
      </c>
      <c r="S31" s="79" t="str">
        <f>IF(AND($O31=$Q$7,$B31&lt;'111'!$L$11),"x","")</f>
        <v/>
      </c>
      <c r="T31" s="79" t="str">
        <f>IF(ISERROR(FIND('112'!$M$9,G31,1)),"",IF((AND(FIND('112'!$M$9,G31,1)&gt;=1,B31='112'!$K$9,OR($N31='112'!$I$6,$O31='112'!$I$6))),"x",""))</f>
        <v/>
      </c>
      <c r="U31" s="79" t="str">
        <f>IF(ISERROR(FIND('112'!$M$9,G31,1)),"",IF((AND(LEFT(G31,2)=LEFT('112'!$M$9,2),B31&lt;'112'!$K$9,$N31='112'!$I$6)),"x",""))</f>
        <v/>
      </c>
      <c r="V31" s="79" t="str">
        <f>IF(ISERROR(FIND('112'!$M$9,G31,1)),"",IF((AND(RIGHT(G31,2)=RIGHT('112'!$M$9,2),B31&lt;'112'!$K$9,$O31='112'!$I$6)),"x",""))</f>
        <v/>
      </c>
      <c r="W31" s="79" t="str">
        <f>IF(AND('341-CT'!$H$9=H31,OR(LEFT(N31,3)=$W$7,LEFT(O31,3)=$W$7)),"x","")</f>
        <v/>
      </c>
      <c r="X31" s="79" t="str">
        <f>IF(OR(TH!N31=TH!$X$7,O31=TH!$X$7),"x","")</f>
        <v/>
      </c>
      <c r="Y31" s="79" t="str">
        <f>IF(AND(OR(N31="131",O31="131"),H31='131-CT'!$H$9),"x","")</f>
        <v/>
      </c>
      <c r="Z31" s="79"/>
      <c r="AA31" s="79" t="str">
        <f>IF(AND(MONTH(E31)='IN-NX'!$J$5,'IN-NX'!$D$7=D31),"x","")</f>
        <v/>
      </c>
      <c r="AB31" s="79" t="str">
        <f>IF(AND(OR(LEFT(TH!N31,2)="15",LEFT(TH!O31,2)="15"),LEFT(TH!O31,3)&lt;&gt;"111",'152-CT'!$J$8=TH!F31),"x","")</f>
        <v/>
      </c>
      <c r="AC31" s="79" t="str">
        <f>IF(AND(OR(LEFT(TH!N31,2)="15",LEFT(TH!O31,2)="15"),TK!$E$7=TH!F31),"x","")</f>
        <v/>
      </c>
      <c r="AD31" s="79" t="str">
        <f>IF(AND(N31="1521",MONTH(C31)='BK-NL'!$M$11),"x","")</f>
        <v/>
      </c>
    </row>
    <row r="32" spans="1:30" ht="16.5" customHeight="1">
      <c r="A32" s="318" t="str">
        <f>IF(B32&lt;&gt;"",IF(AND(B32='IN-TC'!$S$4,OR(TH!N32="1111",TH!O32="1111")),TH!D32,""),"")</f>
        <v/>
      </c>
      <c r="B32" s="1197">
        <f t="shared" si="0"/>
        <v>3</v>
      </c>
      <c r="C32" s="679">
        <v>43190</v>
      </c>
      <c r="D32" s="679" t="s">
        <v>532</v>
      </c>
      <c r="E32" s="679">
        <f t="shared" si="2"/>
        <v>43190</v>
      </c>
      <c r="F32" s="942" t="s">
        <v>715</v>
      </c>
      <c r="G32" s="680"/>
      <c r="H32" s="68"/>
      <c r="I32" s="386"/>
      <c r="J32" s="393"/>
      <c r="K32" s="386"/>
      <c r="L32" s="393"/>
      <c r="M32" s="681">
        <v>49458285</v>
      </c>
      <c r="N32" s="685" t="s">
        <v>272</v>
      </c>
      <c r="O32" s="685" t="s">
        <v>539</v>
      </c>
      <c r="P32" s="79" t="str">
        <f>IF(AND('331-CT'!$E$7=TH!H32,OR(N32="331",O32="331")),"x","")</f>
        <v/>
      </c>
      <c r="Q32" s="79" t="str">
        <f>IF(AND(B32='111'!$L$11,OR($N32=$Q$7,$O32=$Q$7)),"x","")</f>
        <v/>
      </c>
      <c r="R32" s="79" t="str">
        <f>IF(AND($N32=$Q$7,$B32&lt;'111'!$L$11),"x","")</f>
        <v/>
      </c>
      <c r="S32" s="79" t="str">
        <f>IF(AND($O32=$Q$7,$B32&lt;'111'!$L$11),"x","")</f>
        <v/>
      </c>
      <c r="T32" s="79" t="str">
        <f>IF(ISERROR(FIND('112'!$M$9,G32,1)),"",IF((AND(FIND('112'!$M$9,G32,1)&gt;=1,B32='112'!$K$9,OR($N32='112'!$I$6,$O32='112'!$I$6))),"x",""))</f>
        <v/>
      </c>
      <c r="U32" s="79" t="str">
        <f>IF(ISERROR(FIND('112'!$M$9,G32,1)),"",IF((AND(LEFT(G32,2)=LEFT('112'!$M$9,2),B32&lt;'112'!$K$9,$N32='112'!$I$6)),"x",""))</f>
        <v/>
      </c>
      <c r="V32" s="79" t="str">
        <f>IF(ISERROR(FIND('112'!$M$9,G32,1)),"",IF((AND(RIGHT(G32,2)=RIGHT('112'!$M$9,2),B32&lt;'112'!$K$9,$O32='112'!$I$6)),"x",""))</f>
        <v/>
      </c>
      <c r="W32" s="79" t="str">
        <f>IF(AND('341-CT'!$H$9=H32,OR(LEFT(N32,3)=$W$7,LEFT(O32,3)=$W$7)),"x","")</f>
        <v/>
      </c>
      <c r="X32" s="79" t="str">
        <f>IF(OR(TH!N32=TH!$X$7,O32=TH!$X$7),"x","")</f>
        <v/>
      </c>
      <c r="Y32" s="79" t="str">
        <f>IF(AND(OR(N32="131",O32="131"),H32='131-CT'!$H$9),"x","")</f>
        <v/>
      </c>
      <c r="Z32" s="79"/>
      <c r="AA32" s="79" t="str">
        <f>IF(AND(MONTH(E32)='IN-NX'!$J$5,'IN-NX'!$D$7=D32),"x","")</f>
        <v/>
      </c>
      <c r="AB32" s="79" t="str">
        <f>IF(AND(OR(LEFT(TH!N32,2)="15",LEFT(TH!O32,2)="15"),LEFT(TH!O32,3)&lt;&gt;"111",'152-CT'!$J$8=TH!F32),"x","")</f>
        <v/>
      </c>
      <c r="AC32" s="79" t="str">
        <f>IF(AND(OR(LEFT(TH!N32,2)="15",LEFT(TH!O32,2)="15"),TK!$E$7=TH!F32),"x","")</f>
        <v/>
      </c>
      <c r="AD32" s="79" t="str">
        <f>IF(AND(N32="1521",MONTH(C32)='BK-NL'!$M$11),"x","")</f>
        <v/>
      </c>
    </row>
    <row r="33" spans="1:30" ht="16.5" customHeight="1">
      <c r="A33" s="318" t="str">
        <f>IF(B33&lt;&gt;"",IF(AND(B33='IN-TC'!$S$4,OR(TH!N33="1111",TH!O33="1111")),TH!D33,""),"")</f>
        <v/>
      </c>
      <c r="B33" s="1287">
        <f t="shared" si="0"/>
        <v>4</v>
      </c>
      <c r="C33" s="679">
        <v>43220</v>
      </c>
      <c r="D33" s="679" t="s">
        <v>532</v>
      </c>
      <c r="E33" s="679">
        <f t="shared" si="2"/>
        <v>43220</v>
      </c>
      <c r="F33" s="942" t="s">
        <v>714</v>
      </c>
      <c r="G33" s="680"/>
      <c r="H33" s="69"/>
      <c r="I33" s="385"/>
      <c r="J33" s="392"/>
      <c r="K33" s="385"/>
      <c r="L33" s="392"/>
      <c r="M33" s="681">
        <v>10010706</v>
      </c>
      <c r="N33" s="685" t="s">
        <v>272</v>
      </c>
      <c r="O33" s="683" t="s">
        <v>538</v>
      </c>
      <c r="P33" s="79" t="str">
        <f>IF(AND('331-CT'!$E$7=TH!H33,OR(N33="331",O33="331")),"x","")</f>
        <v/>
      </c>
      <c r="Q33" s="79" t="str">
        <f>IF(AND(B33='111'!$L$11,OR($N33=$Q$7,$O33=$Q$7)),"x","")</f>
        <v/>
      </c>
      <c r="R33" s="79" t="str">
        <f>IF(AND($N33=$Q$7,$B33&lt;'111'!$L$11),"x","")</f>
        <v/>
      </c>
      <c r="S33" s="79" t="str">
        <f>IF(AND($O33=$Q$7,$B33&lt;'111'!$L$11),"x","")</f>
        <v/>
      </c>
      <c r="T33" s="79" t="str">
        <f>IF(ISERROR(FIND('112'!$M$9,G33,1)),"",IF((AND(FIND('112'!$M$9,G33,1)&gt;=1,B33='112'!$K$9,OR($N33='112'!$I$6,$O33='112'!$I$6))),"x",""))</f>
        <v/>
      </c>
      <c r="U33" s="79" t="str">
        <f>IF(ISERROR(FIND('112'!$M$9,G33,1)),"",IF((AND(LEFT(G33,2)=LEFT('112'!$M$9,2),B33&lt;'112'!$K$9,$N33='112'!$I$6)),"x",""))</f>
        <v/>
      </c>
      <c r="V33" s="79" t="str">
        <f>IF(ISERROR(FIND('112'!$M$9,G33,1)),"",IF((AND(RIGHT(G33,2)=RIGHT('112'!$M$9,2),B33&lt;'112'!$K$9,$O33='112'!$I$6)),"x",""))</f>
        <v/>
      </c>
      <c r="W33" s="79" t="str">
        <f>IF(AND('341-CT'!$H$9=H33,OR(LEFT(N33,3)=$W$7,LEFT(O33,3)=$W$7)),"x","")</f>
        <v/>
      </c>
      <c r="X33" s="79" t="str">
        <f>IF(OR(TH!N33=TH!$X$7,O33=TH!$X$7),"x","")</f>
        <v/>
      </c>
      <c r="Y33" s="79" t="str">
        <f>IF(AND(OR(N33="131",O33="131"),H33='131-CT'!$H$9),"x","")</f>
        <v/>
      </c>
      <c r="Z33" s="79"/>
      <c r="AA33" s="79" t="str">
        <f>IF(AND(MONTH(E33)='IN-NX'!$J$5,'IN-NX'!$D$7=D33),"x","")</f>
        <v/>
      </c>
      <c r="AB33" s="79" t="str">
        <f>IF(AND(OR(LEFT(TH!N33,2)="15",LEFT(TH!O33,2)="15"),LEFT(TH!O33,3)&lt;&gt;"111",'152-CT'!$J$8=TH!F33),"x","")</f>
        <v/>
      </c>
      <c r="AC33" s="79" t="str">
        <f>IF(AND(OR(LEFT(TH!N33,2)="15",LEFT(TH!O33,2)="15"),TK!$E$7=TH!F33),"x","")</f>
        <v/>
      </c>
      <c r="AD33" s="79" t="str">
        <f>IF(AND(N33="1521",MONTH(C33)='BK-NL'!$M$11),"x","")</f>
        <v/>
      </c>
    </row>
    <row r="34" spans="1:30" ht="16.5" customHeight="1">
      <c r="A34" s="318" t="str">
        <f>IF(B34&lt;&gt;"",IF(AND(B34='IN-TC'!$S$4,OR(TH!N34="1111",TH!O34="1111")),TH!D34,""),"")</f>
        <v/>
      </c>
      <c r="B34" s="1287">
        <f t="shared" si="0"/>
        <v>4</v>
      </c>
      <c r="C34" s="679">
        <v>43220</v>
      </c>
      <c r="D34" s="679" t="s">
        <v>532</v>
      </c>
      <c r="E34" s="679">
        <f t="shared" si="2"/>
        <v>43220</v>
      </c>
      <c r="F34" s="942" t="s">
        <v>715</v>
      </c>
      <c r="G34" s="765"/>
      <c r="H34" s="68"/>
      <c r="I34" s="386"/>
      <c r="J34" s="393"/>
      <c r="K34" s="386"/>
      <c r="L34" s="393"/>
      <c r="M34" s="681">
        <v>3671166</v>
      </c>
      <c r="N34" s="685" t="s">
        <v>101</v>
      </c>
      <c r="O34" s="685" t="s">
        <v>539</v>
      </c>
      <c r="P34" s="79" t="str">
        <f>IF(AND('331-CT'!$E$7=TH!H34,OR(N34="331",O34="331")),"x","")</f>
        <v/>
      </c>
      <c r="Q34" s="79" t="str">
        <f>IF(AND(B34='111'!$L$11,OR($N34=$Q$7,$O34=$Q$7)),"x","")</f>
        <v/>
      </c>
      <c r="R34" s="79" t="str">
        <f>IF(AND($N34=$Q$7,$B34&lt;'111'!$L$11),"x","")</f>
        <v/>
      </c>
      <c r="S34" s="79" t="str">
        <f>IF(AND($O34=$Q$7,$B34&lt;'111'!$L$11),"x","")</f>
        <v/>
      </c>
      <c r="T34" s="79" t="str">
        <f>IF(ISERROR(FIND('112'!$M$9,G34,1)),"",IF((AND(FIND('112'!$M$9,G34,1)&gt;=1,B34='112'!$K$9,OR($N34='112'!$I$6,$O34='112'!$I$6))),"x",""))</f>
        <v/>
      </c>
      <c r="U34" s="79" t="str">
        <f>IF(ISERROR(FIND('112'!$M$9,G34,1)),"",IF((AND(LEFT(G34,2)=LEFT('112'!$M$9,2),B34&lt;'112'!$K$9,$N34='112'!$I$6)),"x",""))</f>
        <v/>
      </c>
      <c r="V34" s="79" t="str">
        <f>IF(ISERROR(FIND('112'!$M$9,G34,1)),"",IF((AND(RIGHT(G34,2)=RIGHT('112'!$M$9,2),B34&lt;'112'!$K$9,$O34='112'!$I$6)),"x",""))</f>
        <v/>
      </c>
      <c r="W34" s="79" t="str">
        <f>IF(AND('341-CT'!$H$9=H34,OR(LEFT(N34,3)=$W$7,LEFT(O34,3)=$W$7)),"x","")</f>
        <v/>
      </c>
      <c r="X34" s="79" t="str">
        <f>IF(OR(TH!N34=TH!$X$7,O34=TH!$X$7),"x","")</f>
        <v/>
      </c>
      <c r="Y34" s="79" t="str">
        <f>IF(AND(OR(N34="131",O34="131"),H34='131-CT'!$H$9),"x","")</f>
        <v/>
      </c>
      <c r="Z34" s="79"/>
      <c r="AA34" s="79" t="str">
        <f>IF(AND(MONTH(E34)='IN-NX'!$J$5,'IN-NX'!$D$7=D34),"x","")</f>
        <v/>
      </c>
      <c r="AB34" s="79" t="str">
        <f>IF(AND(OR(LEFT(TH!N34,2)="15",LEFT(TH!O34,2)="15"),LEFT(TH!O34,3)&lt;&gt;"111",'152-CT'!$J$8=TH!F34),"x","")</f>
        <v/>
      </c>
      <c r="AC34" s="79" t="str">
        <f>IF(AND(OR(LEFT(TH!N34,2)="15",LEFT(TH!O34,2)="15"),TK!$E$7=TH!F34),"x","")</f>
        <v/>
      </c>
      <c r="AD34" s="79" t="str">
        <f>IF(AND(N34="1521",MONTH(C34)='BK-NL'!$M$11),"x","")</f>
        <v/>
      </c>
    </row>
    <row r="35" spans="1:30" ht="16.5" customHeight="1">
      <c r="A35" s="318" t="str">
        <f>IF(B35&lt;&gt;"",IF(AND(B35='IN-TC'!$S$4,OR(TH!N35="1111",TH!O35="1111")),TH!D35,""),"")</f>
        <v/>
      </c>
      <c r="B35" s="1287">
        <f t="shared" si="0"/>
        <v>4</v>
      </c>
      <c r="C35" s="679">
        <v>43220</v>
      </c>
      <c r="D35" s="679" t="s">
        <v>532</v>
      </c>
      <c r="E35" s="679">
        <f t="shared" si="2"/>
        <v>43220</v>
      </c>
      <c r="F35" s="942" t="s">
        <v>715</v>
      </c>
      <c r="G35" s="680"/>
      <c r="H35" s="68"/>
      <c r="I35" s="386"/>
      <c r="J35" s="393"/>
      <c r="K35" s="386"/>
      <c r="L35" s="393"/>
      <c r="M35" s="681">
        <v>49458285</v>
      </c>
      <c r="N35" s="685" t="s">
        <v>272</v>
      </c>
      <c r="O35" s="685" t="s">
        <v>539</v>
      </c>
      <c r="P35" s="79" t="str">
        <f>IF(AND('331-CT'!$E$7=TH!H35,OR(N35="331",O35="331")),"x","")</f>
        <v/>
      </c>
      <c r="Q35" s="79" t="str">
        <f>IF(AND(B35='111'!$L$11,OR($N35=$Q$7,$O35=$Q$7)),"x","")</f>
        <v/>
      </c>
      <c r="R35" s="79" t="str">
        <f>IF(AND($N35=$Q$7,$B35&lt;'111'!$L$11),"x","")</f>
        <v/>
      </c>
      <c r="S35" s="79" t="str">
        <f>IF(AND($O35=$Q$7,$B35&lt;'111'!$L$11),"x","")</f>
        <v/>
      </c>
      <c r="T35" s="79" t="str">
        <f>IF(ISERROR(FIND('112'!$M$9,G35,1)),"",IF((AND(FIND('112'!$M$9,G35,1)&gt;=1,B35='112'!$K$9,OR($N35='112'!$I$6,$O35='112'!$I$6))),"x",""))</f>
        <v/>
      </c>
      <c r="U35" s="79" t="str">
        <f>IF(ISERROR(FIND('112'!$M$9,G35,1)),"",IF((AND(LEFT(G35,2)=LEFT('112'!$M$9,2),B35&lt;'112'!$K$9,$N35='112'!$I$6)),"x",""))</f>
        <v/>
      </c>
      <c r="V35" s="79" t="str">
        <f>IF(ISERROR(FIND('112'!$M$9,G35,1)),"",IF((AND(RIGHT(G35,2)=RIGHT('112'!$M$9,2),B35&lt;'112'!$K$9,$O35='112'!$I$6)),"x",""))</f>
        <v/>
      </c>
      <c r="W35" s="79" t="str">
        <f>IF(AND('341-CT'!$H$9=H35,OR(LEFT(N35,3)=$W$7,LEFT(O35,3)=$W$7)),"x","")</f>
        <v/>
      </c>
      <c r="X35" s="79" t="str">
        <f>IF(OR(TH!N35=TH!$X$7,O35=TH!$X$7),"x","")</f>
        <v/>
      </c>
      <c r="Y35" s="79" t="str">
        <f>IF(AND(OR(N35="131",O35="131"),H35='131-CT'!$H$9),"x","")</f>
        <v/>
      </c>
      <c r="Z35" s="79"/>
      <c r="AA35" s="79" t="str">
        <f>IF(AND(MONTH(E35)='IN-NX'!$J$5,'IN-NX'!$D$7=D35),"x","")</f>
        <v/>
      </c>
      <c r="AB35" s="79" t="str">
        <f>IF(AND(OR(LEFT(TH!N35,2)="15",LEFT(TH!O35,2)="15"),LEFT(TH!O35,3)&lt;&gt;"111",'152-CT'!$J$8=TH!F35),"x","")</f>
        <v/>
      </c>
      <c r="AC35" s="79" t="str">
        <f>IF(AND(OR(LEFT(TH!N35,2)="15",LEFT(TH!O35,2)="15"),TK!$E$7=TH!F35),"x","")</f>
        <v/>
      </c>
      <c r="AD35" s="79" t="str">
        <f>IF(AND(N35="1521",MONTH(C35)='BK-NL'!$M$11),"x","")</f>
        <v/>
      </c>
    </row>
    <row r="36" spans="1:30" ht="16.5" customHeight="1">
      <c r="A36" s="318" t="str">
        <f>IF(B36&lt;&gt;"",IF(AND(B36='IN-TC'!$S$4,OR(TH!N36="1111",TH!O36="1111")),TH!D36,""),"")</f>
        <v/>
      </c>
      <c r="B36" s="1288">
        <f t="shared" si="0"/>
        <v>5</v>
      </c>
      <c r="C36" s="679">
        <v>43251</v>
      </c>
      <c r="D36" s="679" t="s">
        <v>532</v>
      </c>
      <c r="E36" s="679">
        <f t="shared" si="2"/>
        <v>43251</v>
      </c>
      <c r="F36" s="942" t="s">
        <v>714</v>
      </c>
      <c r="G36" s="680"/>
      <c r="H36" s="69"/>
      <c r="I36" s="385"/>
      <c r="J36" s="392"/>
      <c r="K36" s="385"/>
      <c r="L36" s="392"/>
      <c r="M36" s="681">
        <v>10010706</v>
      </c>
      <c r="N36" s="683" t="s">
        <v>272</v>
      </c>
      <c r="O36" s="684" t="s">
        <v>538</v>
      </c>
      <c r="P36" s="79" t="str">
        <f>IF(AND('331-CT'!$E$7=TH!H36,OR(N36="331",O36="331")),"x","")</f>
        <v/>
      </c>
      <c r="Q36" s="79" t="str">
        <f>IF(AND(B36='111'!$L$11,OR($N36=$Q$7,$O36=$Q$7)),"x","")</f>
        <v/>
      </c>
      <c r="R36" s="79" t="str">
        <f>IF(AND($N36=$Q$7,$B36&lt;'111'!$L$11),"x","")</f>
        <v/>
      </c>
      <c r="S36" s="79" t="str">
        <f>IF(AND($O36=$Q$7,$B36&lt;'111'!$L$11),"x","")</f>
        <v/>
      </c>
      <c r="T36" s="79" t="str">
        <f>IF(ISERROR(FIND('112'!$M$9,G36,1)),"",IF((AND(FIND('112'!$M$9,G36,1)&gt;=1,B36='112'!$K$9,OR($N36='112'!$I$6,$O36='112'!$I$6))),"x",""))</f>
        <v/>
      </c>
      <c r="U36" s="79" t="str">
        <f>IF(ISERROR(FIND('112'!$M$9,G36,1)),"",IF((AND(LEFT(G36,2)=LEFT('112'!$M$9,2),B36&lt;'112'!$K$9,$N36='112'!$I$6)),"x",""))</f>
        <v/>
      </c>
      <c r="V36" s="79" t="str">
        <f>IF(ISERROR(FIND('112'!$M$9,G36,1)),"",IF((AND(RIGHT(G36,2)=RIGHT('112'!$M$9,2),B36&lt;'112'!$K$9,$O36='112'!$I$6)),"x",""))</f>
        <v/>
      </c>
      <c r="W36" s="79" t="str">
        <f>IF(AND('341-CT'!$H$9=H36,OR(LEFT(N36,3)=$W$7,LEFT(O36,3)=$W$7)),"x","")</f>
        <v/>
      </c>
      <c r="X36" s="79" t="str">
        <f>IF(OR(TH!N36=TH!$X$7,O36=TH!$X$7),"x","")</f>
        <v/>
      </c>
      <c r="Y36" s="79" t="str">
        <f>IF(AND(OR(N36="131",O36="131"),H36='131-CT'!$H$9),"x","")</f>
        <v/>
      </c>
      <c r="Z36" s="79"/>
      <c r="AA36" s="79" t="str">
        <f>IF(AND(MONTH(E36)='IN-NX'!$J$5,'IN-NX'!$D$7=D36),"x","")</f>
        <v/>
      </c>
      <c r="AB36" s="79" t="str">
        <f>IF(AND(OR(LEFT(TH!N36,2)="15",LEFT(TH!O36,2)="15"),LEFT(TH!O36,3)&lt;&gt;"111",'152-CT'!$J$8=TH!F36),"x","")</f>
        <v/>
      </c>
      <c r="AC36" s="79" t="str">
        <f>IF(AND(OR(LEFT(TH!N36,2)="15",LEFT(TH!O36,2)="15"),TK!$E$7=TH!F36),"x","")</f>
        <v/>
      </c>
      <c r="AD36" s="79" t="str">
        <f>IF(AND(N36="1521",MONTH(C36)='BK-NL'!$M$11),"x","")</f>
        <v/>
      </c>
    </row>
    <row r="37" spans="1:30" ht="16.5" customHeight="1">
      <c r="A37" s="318" t="str">
        <f>IF(B37&lt;&gt;"",IF(AND(B37='IN-TC'!$S$4,OR(TH!N37="1111",TH!O37="1111")),TH!D37,""),"")</f>
        <v/>
      </c>
      <c r="B37" s="1288">
        <f t="shared" si="0"/>
        <v>5</v>
      </c>
      <c r="C37" s="679">
        <v>43251</v>
      </c>
      <c r="D37" s="679" t="s">
        <v>532</v>
      </c>
      <c r="E37" s="679">
        <f t="shared" si="2"/>
        <v>43251</v>
      </c>
      <c r="F37" s="942" t="s">
        <v>715</v>
      </c>
      <c r="G37" s="765"/>
      <c r="H37" s="68"/>
      <c r="I37" s="386"/>
      <c r="J37" s="393"/>
      <c r="K37" s="386"/>
      <c r="L37" s="393"/>
      <c r="M37" s="681">
        <v>3671166</v>
      </c>
      <c r="N37" s="685" t="s">
        <v>101</v>
      </c>
      <c r="O37" s="685" t="s">
        <v>539</v>
      </c>
      <c r="P37" s="79" t="str">
        <f>IF(AND('331-CT'!$E$7=TH!H37,OR(N37="331",O37="331")),"x","")</f>
        <v/>
      </c>
      <c r="Q37" s="79" t="str">
        <f>IF(AND(B37='111'!$L$11,OR($N37=$Q$7,$O37=$Q$7)),"x","")</f>
        <v/>
      </c>
      <c r="R37" s="79" t="str">
        <f>IF(AND($N37=$Q$7,$B37&lt;'111'!$L$11),"x","")</f>
        <v/>
      </c>
      <c r="S37" s="79" t="str">
        <f>IF(AND($O37=$Q$7,$B37&lt;'111'!$L$11),"x","")</f>
        <v/>
      </c>
      <c r="T37" s="79" t="str">
        <f>IF(ISERROR(FIND('112'!$M$9,G37,1)),"",IF((AND(FIND('112'!$M$9,G37,1)&gt;=1,B37='112'!$K$9,OR($N37='112'!$I$6,$O37='112'!$I$6))),"x",""))</f>
        <v/>
      </c>
      <c r="U37" s="79" t="str">
        <f>IF(ISERROR(FIND('112'!$M$9,G37,1)),"",IF((AND(LEFT(G37,2)=LEFT('112'!$M$9,2),B37&lt;'112'!$K$9,$N37='112'!$I$6)),"x",""))</f>
        <v/>
      </c>
      <c r="V37" s="79" t="str">
        <f>IF(ISERROR(FIND('112'!$M$9,G37,1)),"",IF((AND(RIGHT(G37,2)=RIGHT('112'!$M$9,2),B37&lt;'112'!$K$9,$O37='112'!$I$6)),"x",""))</f>
        <v/>
      </c>
      <c r="W37" s="79" t="str">
        <f>IF(AND('341-CT'!$H$9=H37,OR(LEFT(N37,3)=$W$7,LEFT(O37,3)=$W$7)),"x","")</f>
        <v/>
      </c>
      <c r="X37" s="79" t="str">
        <f>IF(OR(TH!N37=TH!$X$7,O37=TH!$X$7),"x","")</f>
        <v/>
      </c>
      <c r="Y37" s="79" t="str">
        <f>IF(AND(OR(N37="131",O37="131"),H37='131-CT'!$H$9),"x","")</f>
        <v/>
      </c>
      <c r="Z37" s="79"/>
      <c r="AA37" s="79" t="str">
        <f>IF(AND(MONTH(E37)='IN-NX'!$J$5,'IN-NX'!$D$7=D37),"x","")</f>
        <v/>
      </c>
      <c r="AB37" s="79" t="str">
        <f>IF(AND(OR(LEFT(TH!N37,2)="15",LEFT(TH!O37,2)="15"),LEFT(TH!O37,3)&lt;&gt;"111",'152-CT'!$J$8=TH!F37),"x","")</f>
        <v/>
      </c>
      <c r="AC37" s="79" t="str">
        <f>IF(AND(OR(LEFT(TH!N37,2)="15",LEFT(TH!O37,2)="15"),TK!$E$7=TH!F37),"x","")</f>
        <v/>
      </c>
      <c r="AD37" s="79" t="str">
        <f>IF(AND(N37="1521",MONTH(C37)='BK-NL'!$M$11),"x","")</f>
        <v/>
      </c>
    </row>
    <row r="38" spans="1:30" ht="16.5" customHeight="1">
      <c r="A38" s="318" t="str">
        <f>IF(B38&lt;&gt;"",IF(AND(B38='IN-TC'!$S$4,OR(TH!N38="1111",TH!O38="1111")),TH!D38,""),"")</f>
        <v/>
      </c>
      <c r="B38" s="1288">
        <f t="shared" si="0"/>
        <v>5</v>
      </c>
      <c r="C38" s="679">
        <v>43251</v>
      </c>
      <c r="D38" s="679" t="s">
        <v>532</v>
      </c>
      <c r="E38" s="679">
        <f t="shared" si="2"/>
        <v>43251</v>
      </c>
      <c r="F38" s="942" t="s">
        <v>715</v>
      </c>
      <c r="G38" s="680"/>
      <c r="H38" s="68"/>
      <c r="I38" s="386"/>
      <c r="J38" s="393"/>
      <c r="K38" s="386"/>
      <c r="L38" s="393"/>
      <c r="M38" s="681">
        <v>49458285</v>
      </c>
      <c r="N38" s="685" t="s">
        <v>272</v>
      </c>
      <c r="O38" s="685" t="s">
        <v>539</v>
      </c>
      <c r="P38" s="79" t="str">
        <f>IF(AND('331-CT'!$E$7=TH!H38,OR(N38="331",O38="331")),"x","")</f>
        <v/>
      </c>
      <c r="Q38" s="79" t="str">
        <f>IF(AND(B38='111'!$L$11,OR($N38=$Q$7,$O38=$Q$7)),"x","")</f>
        <v/>
      </c>
      <c r="R38" s="79" t="str">
        <f>IF(AND($N38=$Q$7,$B38&lt;'111'!$L$11),"x","")</f>
        <v/>
      </c>
      <c r="S38" s="79" t="str">
        <f>IF(AND($O38=$Q$7,$B38&lt;'111'!$L$11),"x","")</f>
        <v/>
      </c>
      <c r="T38" s="79" t="str">
        <f>IF(ISERROR(FIND('112'!$M$9,G38,1)),"",IF((AND(FIND('112'!$M$9,G38,1)&gt;=1,B38='112'!$K$9,OR($N38='112'!$I$6,$O38='112'!$I$6))),"x",""))</f>
        <v/>
      </c>
      <c r="U38" s="79" t="str">
        <f>IF(ISERROR(FIND('112'!$M$9,G38,1)),"",IF((AND(LEFT(G38,2)=LEFT('112'!$M$9,2),B38&lt;'112'!$K$9,$N38='112'!$I$6)),"x",""))</f>
        <v/>
      </c>
      <c r="V38" s="79" t="str">
        <f>IF(ISERROR(FIND('112'!$M$9,G38,1)),"",IF((AND(RIGHT(G38,2)=RIGHT('112'!$M$9,2),B38&lt;'112'!$K$9,$O38='112'!$I$6)),"x",""))</f>
        <v/>
      </c>
      <c r="W38" s="79" t="str">
        <f>IF(AND('341-CT'!$H$9=H38,OR(LEFT(N38,3)=$W$7,LEFT(O38,3)=$W$7)),"x","")</f>
        <v/>
      </c>
      <c r="X38" s="79" t="str">
        <f>IF(OR(TH!N38=TH!$X$7,O38=TH!$X$7),"x","")</f>
        <v/>
      </c>
      <c r="Y38" s="79" t="str">
        <f>IF(AND(OR(N38="131",O38="131"),H38='131-CT'!$H$9),"x","")</f>
        <v/>
      </c>
      <c r="Z38" s="79"/>
      <c r="AA38" s="79" t="str">
        <f>IF(AND(MONTH(E38)='IN-NX'!$J$5,'IN-NX'!$D$7=D38),"x","")</f>
        <v/>
      </c>
      <c r="AB38" s="79" t="str">
        <f>IF(AND(OR(LEFT(TH!N38,2)="15",LEFT(TH!O38,2)="15"),LEFT(TH!O38,3)&lt;&gt;"111",'152-CT'!$J$8=TH!F38),"x","")</f>
        <v/>
      </c>
      <c r="AC38" s="79" t="str">
        <f>IF(AND(OR(LEFT(TH!N38,2)="15",LEFT(TH!O38,2)="15"),TK!$E$7=TH!F38),"x","")</f>
        <v/>
      </c>
      <c r="AD38" s="79" t="str">
        <f>IF(AND(N38="1521",MONTH(C38)='BK-NL'!$M$11),"x","")</f>
        <v/>
      </c>
    </row>
    <row r="39" spans="1:30" ht="16.5" customHeight="1">
      <c r="A39" s="318" t="str">
        <f>IF(B39&lt;&gt;"",IF(AND(B39='IN-TC'!$S$4,OR(TH!N39="1111",TH!O39="1111")),TH!D39,""),"")</f>
        <v/>
      </c>
      <c r="B39" s="1165">
        <f t="shared" si="0"/>
        <v>6</v>
      </c>
      <c r="C39" s="679">
        <v>43281</v>
      </c>
      <c r="D39" s="679" t="s">
        <v>532</v>
      </c>
      <c r="E39" s="679">
        <f t="shared" si="2"/>
        <v>43281</v>
      </c>
      <c r="F39" s="942" t="s">
        <v>714</v>
      </c>
      <c r="G39" s="680"/>
      <c r="H39" s="69"/>
      <c r="I39" s="385"/>
      <c r="J39" s="392"/>
      <c r="K39" s="385"/>
      <c r="L39" s="392"/>
      <c r="M39" s="681">
        <v>10010706</v>
      </c>
      <c r="N39" s="683" t="s">
        <v>272</v>
      </c>
      <c r="O39" s="684" t="s">
        <v>538</v>
      </c>
      <c r="P39" s="79" t="str">
        <f>IF(AND('331-CT'!$E$7=TH!H39,OR(N39="331",O39="331")),"x","")</f>
        <v/>
      </c>
      <c r="Q39" s="79" t="str">
        <f>IF(AND(B39='111'!$L$11,OR($N39=$Q$7,$O39=$Q$7)),"x","")</f>
        <v/>
      </c>
      <c r="R39" s="79" t="str">
        <f>IF(AND($N39=$Q$7,$B39&lt;'111'!$L$11),"x","")</f>
        <v/>
      </c>
      <c r="S39" s="79" t="str">
        <f>IF(AND($O39=$Q$7,$B39&lt;'111'!$L$11),"x","")</f>
        <v/>
      </c>
      <c r="T39" s="79" t="str">
        <f>IF(ISERROR(FIND('112'!$M$9,G39,1)),"",IF((AND(FIND('112'!$M$9,G39,1)&gt;=1,B39='112'!$K$9,OR($N39='112'!$I$6,$O39='112'!$I$6))),"x",""))</f>
        <v/>
      </c>
      <c r="U39" s="79" t="str">
        <f>IF(ISERROR(FIND('112'!$M$9,G39,1)),"",IF((AND(LEFT(G39,2)=LEFT('112'!$M$9,2),B39&lt;'112'!$K$9,$N39='112'!$I$6)),"x",""))</f>
        <v/>
      </c>
      <c r="V39" s="79" t="str">
        <f>IF(ISERROR(FIND('112'!$M$9,G39,1)),"",IF((AND(RIGHT(G39,2)=RIGHT('112'!$M$9,2),B39&lt;'112'!$K$9,$O39='112'!$I$6)),"x",""))</f>
        <v/>
      </c>
      <c r="W39" s="79" t="str">
        <f>IF(AND('341-CT'!$H$9=H39,OR(LEFT(N39,3)=$W$7,LEFT(O39,3)=$W$7)),"x","")</f>
        <v/>
      </c>
      <c r="X39" s="79" t="str">
        <f>IF(OR(TH!N39=TH!$X$7,O39=TH!$X$7),"x","")</f>
        <v/>
      </c>
      <c r="Y39" s="79" t="str">
        <f>IF(AND(OR(N39="131",O39="131"),H39='131-CT'!$H$9),"x","")</f>
        <v/>
      </c>
      <c r="Z39" s="79"/>
      <c r="AA39" s="79" t="str">
        <f>IF(AND(MONTH(E39)='IN-NX'!$J$5,'IN-NX'!$D$7=D39),"x","")</f>
        <v/>
      </c>
      <c r="AB39" s="79" t="str">
        <f>IF(AND(OR(LEFT(TH!N39,2)="15",LEFT(TH!O39,2)="15"),LEFT(TH!O39,3)&lt;&gt;"111",'152-CT'!$J$8=TH!F39),"x","")</f>
        <v/>
      </c>
      <c r="AC39" s="79" t="str">
        <f>IF(AND(OR(LEFT(TH!N39,2)="15",LEFT(TH!O39,2)="15"),TK!$E$7=TH!F39),"x","")</f>
        <v/>
      </c>
      <c r="AD39" s="79" t="str">
        <f>IF(AND(N39="1521",MONTH(C39)='BK-NL'!$M$11),"x","")</f>
        <v/>
      </c>
    </row>
    <row r="40" spans="1:30" ht="16.5" customHeight="1">
      <c r="A40" s="318" t="str">
        <f>IF(B40&lt;&gt;"",IF(AND(B40='IN-TC'!$S$4,OR(TH!N40="1111",TH!O40="1111")),TH!D40,""),"")</f>
        <v/>
      </c>
      <c r="B40" s="1165">
        <f t="shared" si="0"/>
        <v>6</v>
      </c>
      <c r="C40" s="679">
        <v>43281</v>
      </c>
      <c r="D40" s="679" t="s">
        <v>532</v>
      </c>
      <c r="E40" s="679">
        <f t="shared" si="2"/>
        <v>43281</v>
      </c>
      <c r="F40" s="942" t="s">
        <v>715</v>
      </c>
      <c r="G40" s="765"/>
      <c r="H40" s="68"/>
      <c r="I40" s="386"/>
      <c r="J40" s="393"/>
      <c r="K40" s="386"/>
      <c r="L40" s="393"/>
      <c r="M40" s="681">
        <v>3671166</v>
      </c>
      <c r="N40" s="685" t="s">
        <v>101</v>
      </c>
      <c r="O40" s="685" t="s">
        <v>539</v>
      </c>
      <c r="P40" s="79" t="str">
        <f>IF(AND('331-CT'!$E$7=TH!H40,OR(N40="331",O40="331")),"x","")</f>
        <v/>
      </c>
      <c r="Q40" s="79" t="str">
        <f>IF(AND(B40='111'!$L$11,OR($N40=$Q$7,$O40=$Q$7)),"x","")</f>
        <v/>
      </c>
      <c r="R40" s="79" t="str">
        <f>IF(AND($N40=$Q$7,$B40&lt;'111'!$L$11),"x","")</f>
        <v/>
      </c>
      <c r="S40" s="79" t="str">
        <f>IF(AND($O40=$Q$7,$B40&lt;'111'!$L$11),"x","")</f>
        <v/>
      </c>
      <c r="T40" s="79" t="str">
        <f>IF(ISERROR(FIND('112'!$M$9,G40,1)),"",IF((AND(FIND('112'!$M$9,G40,1)&gt;=1,B40='112'!$K$9,OR($N40='112'!$I$6,$O40='112'!$I$6))),"x",""))</f>
        <v/>
      </c>
      <c r="U40" s="79" t="str">
        <f>IF(ISERROR(FIND('112'!$M$9,G40,1)),"",IF((AND(LEFT(G40,2)=LEFT('112'!$M$9,2),B40&lt;'112'!$K$9,$N40='112'!$I$6)),"x",""))</f>
        <v/>
      </c>
      <c r="V40" s="79" t="str">
        <f>IF(ISERROR(FIND('112'!$M$9,G40,1)),"",IF((AND(RIGHT(G40,2)=RIGHT('112'!$M$9,2),B40&lt;'112'!$K$9,$O40='112'!$I$6)),"x",""))</f>
        <v/>
      </c>
      <c r="W40" s="79" t="str">
        <f>IF(AND('341-CT'!$H$9=H40,OR(LEFT(N40,3)=$W$7,LEFT(O40,3)=$W$7)),"x","")</f>
        <v/>
      </c>
      <c r="X40" s="79" t="str">
        <f>IF(OR(TH!N40=TH!$X$7,O40=TH!$X$7),"x","")</f>
        <v/>
      </c>
      <c r="Y40" s="79" t="str">
        <f>IF(AND(OR(N40="131",O40="131"),H40='131-CT'!$H$9),"x","")</f>
        <v/>
      </c>
      <c r="Z40" s="79"/>
      <c r="AA40" s="79" t="str">
        <f>IF(AND(MONTH(E40)='IN-NX'!$J$5,'IN-NX'!$D$7=D40),"x","")</f>
        <v/>
      </c>
      <c r="AB40" s="79" t="str">
        <f>IF(AND(OR(LEFT(TH!N40,2)="15",LEFT(TH!O40,2)="15"),LEFT(TH!O40,3)&lt;&gt;"111",'152-CT'!$J$8=TH!F40),"x","")</f>
        <v/>
      </c>
      <c r="AC40" s="79" t="str">
        <f>IF(AND(OR(LEFT(TH!N40,2)="15",LEFT(TH!O40,2)="15"),TK!$E$7=TH!F40),"x","")</f>
        <v/>
      </c>
      <c r="AD40" s="79" t="str">
        <f>IF(AND(N40="1521",MONTH(C40)='BK-NL'!$M$11),"x","")</f>
        <v/>
      </c>
    </row>
    <row r="41" spans="1:30" ht="16.5" customHeight="1">
      <c r="A41" s="318" t="str">
        <f>IF(B41&lt;&gt;"",IF(AND(B41='IN-TC'!$S$4,OR(TH!N41="1111",TH!O41="1111")),TH!D41,""),"")</f>
        <v/>
      </c>
      <c r="B41" s="1165">
        <f t="shared" si="0"/>
        <v>6</v>
      </c>
      <c r="C41" s="679">
        <v>43281</v>
      </c>
      <c r="D41" s="679" t="s">
        <v>532</v>
      </c>
      <c r="E41" s="679">
        <f t="shared" si="2"/>
        <v>43281</v>
      </c>
      <c r="F41" s="942" t="s">
        <v>715</v>
      </c>
      <c r="G41" s="680"/>
      <c r="H41" s="68"/>
      <c r="I41" s="386"/>
      <c r="J41" s="393"/>
      <c r="K41" s="386"/>
      <c r="L41" s="393"/>
      <c r="M41" s="681">
        <v>49458285</v>
      </c>
      <c r="N41" s="685" t="s">
        <v>272</v>
      </c>
      <c r="O41" s="685" t="s">
        <v>539</v>
      </c>
      <c r="P41" s="79" t="str">
        <f>IF(AND('331-CT'!$E$7=TH!H41,OR(N41="331",O41="331")),"x","")</f>
        <v/>
      </c>
      <c r="Q41" s="79" t="str">
        <f>IF(AND(B41='111'!$L$11,OR($N41=$Q$7,$O41=$Q$7)),"x","")</f>
        <v/>
      </c>
      <c r="R41" s="79" t="str">
        <f>IF(AND($N41=$Q$7,$B41&lt;'111'!$L$11),"x","")</f>
        <v/>
      </c>
      <c r="S41" s="79" t="str">
        <f>IF(AND($O41=$Q$7,$B41&lt;'111'!$L$11),"x","")</f>
        <v/>
      </c>
      <c r="T41" s="79" t="str">
        <f>IF(ISERROR(FIND('112'!$M$9,G41,1)),"",IF((AND(FIND('112'!$M$9,G41,1)&gt;=1,B41='112'!$K$9,OR($N41='112'!$I$6,$O41='112'!$I$6))),"x",""))</f>
        <v/>
      </c>
      <c r="U41" s="79" t="str">
        <f>IF(ISERROR(FIND('112'!$M$9,G41,1)),"",IF((AND(LEFT(G41,2)=LEFT('112'!$M$9,2),B41&lt;'112'!$K$9,$N41='112'!$I$6)),"x",""))</f>
        <v/>
      </c>
      <c r="V41" s="79" t="str">
        <f>IF(ISERROR(FIND('112'!$M$9,G41,1)),"",IF((AND(RIGHT(G41,2)=RIGHT('112'!$M$9,2),B41&lt;'112'!$K$9,$O41='112'!$I$6)),"x",""))</f>
        <v/>
      </c>
      <c r="W41" s="79" t="str">
        <f>IF(AND('341-CT'!$H$9=H41,OR(LEFT(N41,3)=$W$7,LEFT(O41,3)=$W$7)),"x","")</f>
        <v/>
      </c>
      <c r="X41" s="79" t="str">
        <f>IF(OR(TH!N41=TH!$X$7,O41=TH!$X$7),"x","")</f>
        <v/>
      </c>
      <c r="Y41" s="79" t="str">
        <f>IF(AND(OR(N41="131",O41="131"),H41='131-CT'!$H$9),"x","")</f>
        <v/>
      </c>
      <c r="Z41" s="79"/>
      <c r="AA41" s="79" t="str">
        <f>IF(AND(MONTH(E41)='IN-NX'!$J$5,'IN-NX'!$D$7=D41),"x","")</f>
        <v/>
      </c>
      <c r="AB41" s="79" t="str">
        <f>IF(AND(OR(LEFT(TH!N41,2)="15",LEFT(TH!O41,2)="15"),LEFT(TH!O41,3)&lt;&gt;"111",'152-CT'!$J$8=TH!F41),"x","")</f>
        <v/>
      </c>
      <c r="AC41" s="79" t="str">
        <f>IF(AND(OR(LEFT(TH!N41,2)="15",LEFT(TH!O41,2)="15"),TK!$E$7=TH!F41),"x","")</f>
        <v/>
      </c>
      <c r="AD41" s="79" t="str">
        <f>IF(AND(N41="1521",MONTH(C41)='BK-NL'!$M$11),"x","")</f>
        <v/>
      </c>
    </row>
    <row r="42" spans="1:30" ht="16.5" customHeight="1">
      <c r="A42" s="318" t="str">
        <f>IF(B42&lt;&gt;"",IF(AND(B42='IN-TC'!$S$4,OR(TH!N42="1111",TH!O42="1111")),TH!D42,""),"")</f>
        <v/>
      </c>
      <c r="B42" s="1289">
        <f t="shared" si="0"/>
        <v>7</v>
      </c>
      <c r="C42" s="679">
        <v>43312</v>
      </c>
      <c r="D42" s="679" t="s">
        <v>532</v>
      </c>
      <c r="E42" s="679">
        <f t="shared" si="2"/>
        <v>43312</v>
      </c>
      <c r="F42" s="942" t="s">
        <v>714</v>
      </c>
      <c r="G42" s="680"/>
      <c r="H42" s="69"/>
      <c r="I42" s="385"/>
      <c r="J42" s="392"/>
      <c r="K42" s="385"/>
      <c r="L42" s="392"/>
      <c r="M42" s="681">
        <v>10010706</v>
      </c>
      <c r="N42" s="683" t="s">
        <v>272</v>
      </c>
      <c r="O42" s="684" t="s">
        <v>538</v>
      </c>
      <c r="P42" s="79" t="str">
        <f>IF(AND('331-CT'!$E$7=TH!H42,OR(N42="331",O42="331")),"x","")</f>
        <v/>
      </c>
      <c r="Q42" s="79" t="str">
        <f>IF(AND(B42='111'!$L$11,OR($N42=$Q$7,$O42=$Q$7)),"x","")</f>
        <v/>
      </c>
      <c r="R42" s="79" t="str">
        <f>IF(AND($N42=$Q$7,$B42&lt;'111'!$L$11),"x","")</f>
        <v/>
      </c>
      <c r="S42" s="79" t="str">
        <f>IF(AND($O42=$Q$7,$B42&lt;'111'!$L$11),"x","")</f>
        <v/>
      </c>
      <c r="T42" s="79" t="str">
        <f>IF(ISERROR(FIND('112'!$M$9,G42,1)),"",IF((AND(FIND('112'!$M$9,G42,1)&gt;=1,B42='112'!$K$9,OR($N42='112'!$I$6,$O42='112'!$I$6))),"x",""))</f>
        <v/>
      </c>
      <c r="U42" s="79" t="str">
        <f>IF(ISERROR(FIND('112'!$M$9,G42,1)),"",IF((AND(LEFT(G42,2)=LEFT('112'!$M$9,2),B42&lt;'112'!$K$9,$N42='112'!$I$6)),"x",""))</f>
        <v/>
      </c>
      <c r="V42" s="79" t="str">
        <f>IF(ISERROR(FIND('112'!$M$9,G42,1)),"",IF((AND(RIGHT(G42,2)=RIGHT('112'!$M$9,2),B42&lt;'112'!$K$9,$O42='112'!$I$6)),"x",""))</f>
        <v/>
      </c>
      <c r="W42" s="79" t="str">
        <f>IF(AND('341-CT'!$H$9=H42,OR(LEFT(N42,3)=$W$7,LEFT(O42,3)=$W$7)),"x","")</f>
        <v/>
      </c>
      <c r="X42" s="79" t="str">
        <f>IF(OR(TH!N42=TH!$X$7,O42=TH!$X$7),"x","")</f>
        <v/>
      </c>
      <c r="Y42" s="79" t="str">
        <f>IF(AND(OR(N42="131",O42="131"),H42='131-CT'!$H$9),"x","")</f>
        <v/>
      </c>
      <c r="Z42" s="79"/>
      <c r="AA42" s="79" t="str">
        <f>IF(AND(MONTH(E42)='IN-NX'!$J$5,'IN-NX'!$D$7=D42),"x","")</f>
        <v/>
      </c>
      <c r="AB42" s="79" t="str">
        <f>IF(AND(OR(LEFT(TH!N42,2)="15",LEFT(TH!O42,2)="15"),LEFT(TH!O42,3)&lt;&gt;"111",'152-CT'!$J$8=TH!F42),"x","")</f>
        <v/>
      </c>
      <c r="AC42" s="79" t="str">
        <f>IF(AND(OR(LEFT(TH!N42,2)="15",LEFT(TH!O42,2)="15"),TK!$E$7=TH!F42),"x","")</f>
        <v/>
      </c>
      <c r="AD42" s="79" t="str">
        <f>IF(AND(N42="1521",MONTH(C42)='BK-NL'!$M$11),"x","")</f>
        <v/>
      </c>
    </row>
    <row r="43" spans="1:30" ht="16.5" customHeight="1">
      <c r="A43" s="318" t="str">
        <f>IF(B43&lt;&gt;"",IF(AND(B43='IN-TC'!$S$4,OR(TH!N43="1111",TH!O43="1111")),TH!D43,""),"")</f>
        <v/>
      </c>
      <c r="B43" s="1289">
        <f t="shared" si="0"/>
        <v>7</v>
      </c>
      <c r="C43" s="679">
        <v>43312</v>
      </c>
      <c r="D43" s="679" t="s">
        <v>532</v>
      </c>
      <c r="E43" s="679">
        <f t="shared" si="2"/>
        <v>43312</v>
      </c>
      <c r="F43" s="942" t="s">
        <v>715</v>
      </c>
      <c r="G43" s="765"/>
      <c r="H43" s="68"/>
      <c r="I43" s="386"/>
      <c r="J43" s="393"/>
      <c r="K43" s="386"/>
      <c r="L43" s="393"/>
      <c r="M43" s="681">
        <v>3671166</v>
      </c>
      <c r="N43" s="685" t="s">
        <v>101</v>
      </c>
      <c r="O43" s="685" t="s">
        <v>539</v>
      </c>
      <c r="P43" s="79" t="str">
        <f>IF(AND('331-CT'!$E$7=TH!H43,OR(N43="331",O43="331")),"x","")</f>
        <v/>
      </c>
      <c r="Q43" s="79" t="str">
        <f>IF(AND(B43='111'!$L$11,OR($N43=$Q$7,$O43=$Q$7)),"x","")</f>
        <v/>
      </c>
      <c r="R43" s="79" t="str">
        <f>IF(AND($N43=$Q$7,$B43&lt;'111'!$L$11),"x","")</f>
        <v/>
      </c>
      <c r="S43" s="79" t="str">
        <f>IF(AND($O43=$Q$7,$B43&lt;'111'!$L$11),"x","")</f>
        <v/>
      </c>
      <c r="T43" s="79" t="str">
        <f>IF(ISERROR(FIND('112'!$M$9,G43,1)),"",IF((AND(FIND('112'!$M$9,G43,1)&gt;=1,B43='112'!$K$9,OR($N43='112'!$I$6,$O43='112'!$I$6))),"x",""))</f>
        <v/>
      </c>
      <c r="U43" s="79" t="str">
        <f>IF(ISERROR(FIND('112'!$M$9,G43,1)),"",IF((AND(LEFT(G43,2)=LEFT('112'!$M$9,2),B43&lt;'112'!$K$9,$N43='112'!$I$6)),"x",""))</f>
        <v/>
      </c>
      <c r="V43" s="79" t="str">
        <f>IF(ISERROR(FIND('112'!$M$9,G43,1)),"",IF((AND(RIGHT(G43,2)=RIGHT('112'!$M$9,2),B43&lt;'112'!$K$9,$O43='112'!$I$6)),"x",""))</f>
        <v/>
      </c>
      <c r="W43" s="79" t="str">
        <f>IF(AND('341-CT'!$H$9=H43,OR(LEFT(N43,3)=$W$7,LEFT(O43,3)=$W$7)),"x","")</f>
        <v/>
      </c>
      <c r="X43" s="79" t="str">
        <f>IF(OR(TH!N43=TH!$X$7,O43=TH!$X$7),"x","")</f>
        <v/>
      </c>
      <c r="Y43" s="79" t="str">
        <f>IF(AND(OR(N43="131",O43="131"),H43='131-CT'!$H$9),"x","")</f>
        <v/>
      </c>
      <c r="Z43" s="79"/>
      <c r="AA43" s="79" t="str">
        <f>IF(AND(MONTH(E43)='IN-NX'!$J$5,'IN-NX'!$D$7=D43),"x","")</f>
        <v/>
      </c>
      <c r="AB43" s="79" t="str">
        <f>IF(AND(OR(LEFT(TH!N43,2)="15",LEFT(TH!O43,2)="15"),LEFT(TH!O43,3)&lt;&gt;"111",'152-CT'!$J$8=TH!F43),"x","")</f>
        <v/>
      </c>
      <c r="AC43" s="79" t="str">
        <f>IF(AND(OR(LEFT(TH!N43,2)="15",LEFT(TH!O43,2)="15"),TK!$E$7=TH!F43),"x","")</f>
        <v/>
      </c>
      <c r="AD43" s="79" t="str">
        <f>IF(AND(N43="1521",MONTH(C43)='BK-NL'!$M$11),"x","")</f>
        <v/>
      </c>
    </row>
    <row r="44" spans="1:30" ht="16.5" customHeight="1">
      <c r="A44" s="318" t="str">
        <f>IF(B44&lt;&gt;"",IF(AND(B44='IN-TC'!$S$4,OR(TH!N44="1111",TH!O44="1111")),TH!D44,""),"")</f>
        <v/>
      </c>
      <c r="B44" s="1289">
        <f t="shared" si="0"/>
        <v>7</v>
      </c>
      <c r="C44" s="679">
        <v>43312</v>
      </c>
      <c r="D44" s="679" t="s">
        <v>532</v>
      </c>
      <c r="E44" s="679">
        <f t="shared" si="2"/>
        <v>43312</v>
      </c>
      <c r="F44" s="942" t="s">
        <v>715</v>
      </c>
      <c r="G44" s="680"/>
      <c r="H44" s="68"/>
      <c r="I44" s="386"/>
      <c r="J44" s="393"/>
      <c r="K44" s="386"/>
      <c r="L44" s="393"/>
      <c r="M44" s="681">
        <v>49458285</v>
      </c>
      <c r="N44" s="685" t="s">
        <v>272</v>
      </c>
      <c r="O44" s="685" t="s">
        <v>539</v>
      </c>
      <c r="P44" s="79" t="str">
        <f>IF(AND('331-CT'!$E$7=TH!H44,OR(N44="331",O44="331")),"x","")</f>
        <v/>
      </c>
      <c r="Q44" s="79" t="str">
        <f>IF(AND(B44='111'!$L$11,OR($N44=$Q$7,$O44=$Q$7)),"x","")</f>
        <v/>
      </c>
      <c r="R44" s="79" t="str">
        <f>IF(AND($N44=$Q$7,$B44&lt;'111'!$L$11),"x","")</f>
        <v/>
      </c>
      <c r="S44" s="79" t="str">
        <f>IF(AND($O44=$Q$7,$B44&lt;'111'!$L$11),"x","")</f>
        <v/>
      </c>
      <c r="T44" s="79" t="str">
        <f>IF(ISERROR(FIND('112'!$M$9,G44,1)),"",IF((AND(FIND('112'!$M$9,G44,1)&gt;=1,B44='112'!$K$9,OR($N44='112'!$I$6,$O44='112'!$I$6))),"x",""))</f>
        <v/>
      </c>
      <c r="U44" s="79" t="str">
        <f>IF(ISERROR(FIND('112'!$M$9,G44,1)),"",IF((AND(LEFT(G44,2)=LEFT('112'!$M$9,2),B44&lt;'112'!$K$9,$N44='112'!$I$6)),"x",""))</f>
        <v/>
      </c>
      <c r="V44" s="79" t="str">
        <f>IF(ISERROR(FIND('112'!$M$9,G44,1)),"",IF((AND(RIGHT(G44,2)=RIGHT('112'!$M$9,2),B44&lt;'112'!$K$9,$O44='112'!$I$6)),"x",""))</f>
        <v/>
      </c>
      <c r="W44" s="79" t="str">
        <f>IF(AND('341-CT'!$H$9=H44,OR(LEFT(N44,3)=$W$7,LEFT(O44,3)=$W$7)),"x","")</f>
        <v/>
      </c>
      <c r="X44" s="79" t="str">
        <f>IF(OR(TH!N44=TH!$X$7,O44=TH!$X$7),"x","")</f>
        <v/>
      </c>
      <c r="Y44" s="79" t="str">
        <f>IF(AND(OR(N44="131",O44="131"),H44='131-CT'!$H$9),"x","")</f>
        <v/>
      </c>
      <c r="Z44" s="79"/>
      <c r="AA44" s="79" t="str">
        <f>IF(AND(MONTH(E44)='IN-NX'!$J$5,'IN-NX'!$D$7=D44),"x","")</f>
        <v/>
      </c>
      <c r="AB44" s="79" t="str">
        <f>IF(AND(OR(LEFT(TH!N44,2)="15",LEFT(TH!O44,2)="15"),LEFT(TH!O44,3)&lt;&gt;"111",'152-CT'!$J$8=TH!F44),"x","")</f>
        <v/>
      </c>
      <c r="AC44" s="79" t="str">
        <f>IF(AND(OR(LEFT(TH!N44,2)="15",LEFT(TH!O44,2)="15"),TK!$E$7=TH!F44),"x","")</f>
        <v/>
      </c>
      <c r="AD44" s="79" t="str">
        <f>IF(AND(N44="1521",MONTH(C44)='BK-NL'!$M$11),"x","")</f>
        <v/>
      </c>
    </row>
    <row r="45" spans="1:30" ht="16.5" customHeight="1">
      <c r="A45" s="318" t="str">
        <f>IF(B45&lt;&gt;"",IF(AND(B45='IN-TC'!$S$4,OR(TH!N45="1111",TH!O45="1111")),TH!D45,""),"")</f>
        <v/>
      </c>
      <c r="B45" s="1164">
        <f t="shared" si="0"/>
        <v>8</v>
      </c>
      <c r="C45" s="679">
        <v>43343</v>
      </c>
      <c r="D45" s="679" t="s">
        <v>532</v>
      </c>
      <c r="E45" s="679">
        <f t="shared" si="2"/>
        <v>43343</v>
      </c>
      <c r="F45" s="942" t="s">
        <v>714</v>
      </c>
      <c r="G45" s="680"/>
      <c r="H45" s="69"/>
      <c r="I45" s="385"/>
      <c r="J45" s="392"/>
      <c r="K45" s="385"/>
      <c r="L45" s="392"/>
      <c r="M45" s="681">
        <v>10010706</v>
      </c>
      <c r="N45" s="683" t="s">
        <v>272</v>
      </c>
      <c r="O45" s="684" t="s">
        <v>538</v>
      </c>
      <c r="P45" s="79" t="str">
        <f>IF(AND('331-CT'!$E$7=TH!H45,OR(N45="331",O45="331")),"x","")</f>
        <v/>
      </c>
      <c r="Q45" s="79" t="str">
        <f>IF(AND(B45='111'!$L$11,OR($N45=$Q$7,$O45=$Q$7)),"x","")</f>
        <v/>
      </c>
      <c r="R45" s="79" t="str">
        <f>IF(AND($N45=$Q$7,$B45&lt;'111'!$L$11),"x","")</f>
        <v/>
      </c>
      <c r="S45" s="79" t="str">
        <f>IF(AND($O45=$Q$7,$B45&lt;'111'!$L$11),"x","")</f>
        <v/>
      </c>
      <c r="T45" s="79" t="str">
        <f>IF(ISERROR(FIND('112'!$M$9,G45,1)),"",IF((AND(FIND('112'!$M$9,G45,1)&gt;=1,B45='112'!$K$9,OR($N45='112'!$I$6,$O45='112'!$I$6))),"x",""))</f>
        <v/>
      </c>
      <c r="U45" s="79" t="str">
        <f>IF(ISERROR(FIND('112'!$M$9,G45,1)),"",IF((AND(LEFT(G45,2)=LEFT('112'!$M$9,2),B45&lt;'112'!$K$9,$N45='112'!$I$6)),"x",""))</f>
        <v/>
      </c>
      <c r="V45" s="79" t="str">
        <f>IF(ISERROR(FIND('112'!$M$9,G45,1)),"",IF((AND(RIGHT(G45,2)=RIGHT('112'!$M$9,2),B45&lt;'112'!$K$9,$O45='112'!$I$6)),"x",""))</f>
        <v/>
      </c>
      <c r="W45" s="79" t="str">
        <f>IF(AND('341-CT'!$H$9=H45,OR(LEFT(N45,3)=$W$7,LEFT(O45,3)=$W$7)),"x","")</f>
        <v/>
      </c>
      <c r="X45" s="79" t="str">
        <f>IF(OR(TH!N45=TH!$X$7,O45=TH!$X$7),"x","")</f>
        <v/>
      </c>
      <c r="Y45" s="79" t="str">
        <f>IF(AND(OR(N45="131",O45="131"),H45='131-CT'!$H$9),"x","")</f>
        <v/>
      </c>
      <c r="Z45" s="79"/>
      <c r="AA45" s="79" t="str">
        <f>IF(AND(MONTH(E45)='IN-NX'!$J$5,'IN-NX'!$D$7=D45),"x","")</f>
        <v/>
      </c>
      <c r="AB45" s="79" t="str">
        <f>IF(AND(OR(LEFT(TH!N45,2)="15",LEFT(TH!O45,2)="15"),LEFT(TH!O45,3)&lt;&gt;"111",'152-CT'!$J$8=TH!F45),"x","")</f>
        <v/>
      </c>
      <c r="AC45" s="79" t="str">
        <f>IF(AND(OR(LEFT(TH!N45,2)="15",LEFT(TH!O45,2)="15"),TK!$E$7=TH!F45),"x","")</f>
        <v/>
      </c>
      <c r="AD45" s="79" t="str">
        <f>IF(AND(N45="1521",MONTH(C45)='BK-NL'!$M$11),"x","")</f>
        <v/>
      </c>
    </row>
    <row r="46" spans="1:30" ht="16.5" customHeight="1">
      <c r="A46" s="318" t="str">
        <f>IF(B46&lt;&gt;"",IF(AND(B46='IN-TC'!$S$4,OR(TH!N46="1111",TH!O46="1111")),TH!D46,""),"")</f>
        <v/>
      </c>
      <c r="B46" s="1164">
        <f t="shared" si="0"/>
        <v>8</v>
      </c>
      <c r="C46" s="679">
        <v>43343</v>
      </c>
      <c r="D46" s="679" t="s">
        <v>532</v>
      </c>
      <c r="E46" s="679">
        <f t="shared" si="2"/>
        <v>43343</v>
      </c>
      <c r="F46" s="942" t="s">
        <v>715</v>
      </c>
      <c r="G46" s="765"/>
      <c r="H46" s="68"/>
      <c r="I46" s="386"/>
      <c r="J46" s="393"/>
      <c r="K46" s="386"/>
      <c r="L46" s="393"/>
      <c r="M46" s="681">
        <v>3671166</v>
      </c>
      <c r="N46" s="685" t="s">
        <v>101</v>
      </c>
      <c r="O46" s="685" t="s">
        <v>539</v>
      </c>
      <c r="P46" s="79" t="str">
        <f>IF(AND('331-CT'!$E$7=TH!H46,OR(N46="331",O46="331")),"x","")</f>
        <v/>
      </c>
      <c r="Q46" s="79" t="str">
        <f>IF(AND(B46='111'!$L$11,OR($N46=$Q$7,$O46=$Q$7)),"x","")</f>
        <v/>
      </c>
      <c r="R46" s="79" t="str">
        <f>IF(AND($N46=$Q$7,$B46&lt;'111'!$L$11),"x","")</f>
        <v/>
      </c>
      <c r="S46" s="79" t="str">
        <f>IF(AND($O46=$Q$7,$B46&lt;'111'!$L$11),"x","")</f>
        <v/>
      </c>
      <c r="T46" s="79" t="str">
        <f>IF(ISERROR(FIND('112'!$M$9,G46,1)),"",IF((AND(FIND('112'!$M$9,G46,1)&gt;=1,B46='112'!$K$9,OR($N46='112'!$I$6,$O46='112'!$I$6))),"x",""))</f>
        <v/>
      </c>
      <c r="U46" s="79" t="str">
        <f>IF(ISERROR(FIND('112'!$M$9,G46,1)),"",IF((AND(LEFT(G46,2)=LEFT('112'!$M$9,2),B46&lt;'112'!$K$9,$N46='112'!$I$6)),"x",""))</f>
        <v/>
      </c>
      <c r="V46" s="79" t="str">
        <f>IF(ISERROR(FIND('112'!$M$9,G46,1)),"",IF((AND(RIGHT(G46,2)=RIGHT('112'!$M$9,2),B46&lt;'112'!$K$9,$O46='112'!$I$6)),"x",""))</f>
        <v/>
      </c>
      <c r="W46" s="79" t="str">
        <f>IF(AND('341-CT'!$H$9=H46,OR(LEFT(N46,3)=$W$7,LEFT(O46,3)=$W$7)),"x","")</f>
        <v/>
      </c>
      <c r="X46" s="79" t="str">
        <f>IF(OR(TH!N46=TH!$X$7,O46=TH!$X$7),"x","")</f>
        <v/>
      </c>
      <c r="Y46" s="79" t="str">
        <f>IF(AND(OR(N46="131",O46="131"),H46='131-CT'!$H$9),"x","")</f>
        <v/>
      </c>
      <c r="Z46" s="79"/>
      <c r="AA46" s="79" t="str">
        <f>IF(AND(MONTH(E46)='IN-NX'!$J$5,'IN-NX'!$D$7=D46),"x","")</f>
        <v/>
      </c>
      <c r="AB46" s="79" t="str">
        <f>IF(AND(OR(LEFT(TH!N46,2)="15",LEFT(TH!O46,2)="15"),LEFT(TH!O46,3)&lt;&gt;"111",'152-CT'!$J$8=TH!F46),"x","")</f>
        <v/>
      </c>
      <c r="AC46" s="79" t="str">
        <f>IF(AND(OR(LEFT(TH!N46,2)="15",LEFT(TH!O46,2)="15"),TK!$E$7=TH!F46),"x","")</f>
        <v/>
      </c>
      <c r="AD46" s="79" t="str">
        <f>IF(AND(N46="1521",MONTH(C46)='BK-NL'!$M$11),"x","")</f>
        <v/>
      </c>
    </row>
    <row r="47" spans="1:30" ht="16.5" customHeight="1">
      <c r="A47" s="318" t="str">
        <f>IF(B47&lt;&gt;"",IF(AND(B47='IN-TC'!$S$4,OR(TH!N47="1111",TH!O47="1111")),TH!D47,""),"")</f>
        <v/>
      </c>
      <c r="B47" s="1164">
        <f t="shared" si="0"/>
        <v>8</v>
      </c>
      <c r="C47" s="679">
        <v>43343</v>
      </c>
      <c r="D47" s="679" t="s">
        <v>532</v>
      </c>
      <c r="E47" s="679">
        <f t="shared" si="2"/>
        <v>43343</v>
      </c>
      <c r="F47" s="942" t="s">
        <v>715</v>
      </c>
      <c r="G47" s="680"/>
      <c r="H47" s="68"/>
      <c r="I47" s="386"/>
      <c r="J47" s="393"/>
      <c r="K47" s="386"/>
      <c r="L47" s="393"/>
      <c r="M47" s="681">
        <v>49458285</v>
      </c>
      <c r="N47" s="685" t="s">
        <v>272</v>
      </c>
      <c r="O47" s="685" t="s">
        <v>539</v>
      </c>
      <c r="P47" s="79" t="str">
        <f>IF(AND('331-CT'!$E$7=TH!H47,OR(N47="331",O47="331")),"x","")</f>
        <v/>
      </c>
      <c r="Q47" s="79" t="str">
        <f>IF(AND(B47='111'!$L$11,OR($N47=$Q$7,$O47=$Q$7)),"x","")</f>
        <v/>
      </c>
      <c r="R47" s="79" t="str">
        <f>IF(AND($N47=$Q$7,$B47&lt;'111'!$L$11),"x","")</f>
        <v/>
      </c>
      <c r="S47" s="79" t="str">
        <f>IF(AND($O47=$Q$7,$B47&lt;'111'!$L$11),"x","")</f>
        <v/>
      </c>
      <c r="T47" s="79" t="str">
        <f>IF(ISERROR(FIND('112'!$M$9,G47,1)),"",IF((AND(FIND('112'!$M$9,G47,1)&gt;=1,B47='112'!$K$9,OR($N47='112'!$I$6,$O47='112'!$I$6))),"x",""))</f>
        <v/>
      </c>
      <c r="U47" s="79" t="str">
        <f>IF(ISERROR(FIND('112'!$M$9,G47,1)),"",IF((AND(LEFT(G47,2)=LEFT('112'!$M$9,2),B47&lt;'112'!$K$9,$N47='112'!$I$6)),"x",""))</f>
        <v/>
      </c>
      <c r="V47" s="79" t="str">
        <f>IF(ISERROR(FIND('112'!$M$9,G47,1)),"",IF((AND(RIGHT(G47,2)=RIGHT('112'!$M$9,2),B47&lt;'112'!$K$9,$O47='112'!$I$6)),"x",""))</f>
        <v/>
      </c>
      <c r="W47" s="79" t="str">
        <f>IF(AND('341-CT'!$H$9=H47,OR(LEFT(N47,3)=$W$7,LEFT(O47,3)=$W$7)),"x","")</f>
        <v/>
      </c>
      <c r="X47" s="79" t="str">
        <f>IF(OR(TH!N47=TH!$X$7,O47=TH!$X$7),"x","")</f>
        <v/>
      </c>
      <c r="Y47" s="79" t="str">
        <f>IF(AND(OR(N47="131",O47="131"),H47='131-CT'!$H$9),"x","")</f>
        <v/>
      </c>
      <c r="Z47" s="79"/>
      <c r="AA47" s="79" t="str">
        <f>IF(AND(MONTH(E47)='IN-NX'!$J$5,'IN-NX'!$D$7=D47),"x","")</f>
        <v/>
      </c>
      <c r="AB47" s="79" t="str">
        <f>IF(AND(OR(LEFT(TH!N47,2)="15",LEFT(TH!O47,2)="15"),LEFT(TH!O47,3)&lt;&gt;"111",'152-CT'!$J$8=TH!F47),"x","")</f>
        <v/>
      </c>
      <c r="AC47" s="79" t="str">
        <f>IF(AND(OR(LEFT(TH!N47,2)="15",LEFT(TH!O47,2)="15"),TK!$E$7=TH!F47),"x","")</f>
        <v/>
      </c>
      <c r="AD47" s="79" t="str">
        <f>IF(AND(N47="1521",MONTH(C47)='BK-NL'!$M$11),"x","")</f>
        <v/>
      </c>
    </row>
    <row r="48" spans="1:30" ht="16.5" customHeight="1">
      <c r="A48" s="318" t="str">
        <f>IF(B48&lt;&gt;"",IF(AND(B48='IN-TC'!$S$4,OR(TH!N48="1111",TH!O48="1111")),TH!D48,""),"")</f>
        <v/>
      </c>
      <c r="B48" s="1288">
        <f t="shared" si="0"/>
        <v>9</v>
      </c>
      <c r="C48" s="679">
        <v>43373</v>
      </c>
      <c r="D48" s="679" t="s">
        <v>532</v>
      </c>
      <c r="E48" s="679">
        <f t="shared" ref="E48:E50" si="3">C48</f>
        <v>43373</v>
      </c>
      <c r="F48" s="942" t="s">
        <v>714</v>
      </c>
      <c r="G48" s="680"/>
      <c r="H48" s="69"/>
      <c r="I48" s="385"/>
      <c r="J48" s="392"/>
      <c r="K48" s="385"/>
      <c r="L48" s="392"/>
      <c r="M48" s="681">
        <v>10010706</v>
      </c>
      <c r="N48" s="683" t="s">
        <v>272</v>
      </c>
      <c r="O48" s="684" t="s">
        <v>538</v>
      </c>
      <c r="P48" s="79" t="str">
        <f>IF(AND('331-CT'!$E$7=TH!H48,OR(N48="331",O48="331")),"x","")</f>
        <v/>
      </c>
      <c r="Q48" s="79" t="str">
        <f>IF(AND(B48='111'!$L$11,OR($N48=$Q$7,$O48=$Q$7)),"x","")</f>
        <v/>
      </c>
      <c r="R48" s="79" t="str">
        <f>IF(AND($N48=$Q$7,$B48&lt;'111'!$L$11),"x","")</f>
        <v/>
      </c>
      <c r="S48" s="79" t="str">
        <f>IF(AND($O48=$Q$7,$B48&lt;'111'!$L$11),"x","")</f>
        <v/>
      </c>
      <c r="T48" s="79" t="str">
        <f>IF(ISERROR(FIND('112'!$M$9,G48,1)),"",IF((AND(FIND('112'!$M$9,G48,1)&gt;=1,B48='112'!$K$9,OR($N48='112'!$I$6,$O48='112'!$I$6))),"x",""))</f>
        <v/>
      </c>
      <c r="U48" s="79" t="str">
        <f>IF(ISERROR(FIND('112'!$M$9,G48,1)),"",IF((AND(LEFT(G48,2)=LEFT('112'!$M$9,2),B48&lt;'112'!$K$9,$N48='112'!$I$6)),"x",""))</f>
        <v/>
      </c>
      <c r="V48" s="79" t="str">
        <f>IF(ISERROR(FIND('112'!$M$9,G48,1)),"",IF((AND(RIGHT(G48,2)=RIGHT('112'!$M$9,2),B48&lt;'112'!$K$9,$O48='112'!$I$6)),"x",""))</f>
        <v/>
      </c>
      <c r="W48" s="79" t="str">
        <f>IF(AND('341-CT'!$H$9=H48,OR(LEFT(N48,3)=$W$7,LEFT(O48,3)=$W$7)),"x","")</f>
        <v/>
      </c>
      <c r="X48" s="79" t="str">
        <f>IF(OR(TH!N48=TH!$X$7,O48=TH!$X$7),"x","")</f>
        <v/>
      </c>
      <c r="Y48" s="79" t="str">
        <f>IF(AND(OR(N48="131",O48="131"),H48='131-CT'!$H$9),"x","")</f>
        <v/>
      </c>
      <c r="Z48" s="79"/>
      <c r="AA48" s="79" t="str">
        <f>IF(AND(MONTH(E48)='IN-NX'!$J$5,'IN-NX'!$D$7=D48),"x","")</f>
        <v/>
      </c>
      <c r="AB48" s="79" t="str">
        <f>IF(AND(OR(LEFT(TH!N48,2)="15",LEFT(TH!O48,2)="15"),LEFT(TH!O48,3)&lt;&gt;"111",'152-CT'!$J$8=TH!F48),"x","")</f>
        <v/>
      </c>
      <c r="AC48" s="79" t="str">
        <f>IF(AND(OR(LEFT(TH!N48,2)="15",LEFT(TH!O48,2)="15"),TK!$E$7=TH!F48),"x","")</f>
        <v/>
      </c>
      <c r="AD48" s="79" t="str">
        <f>IF(AND(N48="1521",MONTH(C48)='BK-NL'!$M$11),"x","")</f>
        <v/>
      </c>
    </row>
    <row r="49" spans="1:30" ht="16.5" customHeight="1">
      <c r="A49" s="318" t="str">
        <f>IF(B49&lt;&gt;"",IF(AND(B49='IN-TC'!$S$4,OR(TH!N49="1111",TH!O49="1111")),TH!D49,""),"")</f>
        <v/>
      </c>
      <c r="B49" s="1288">
        <f t="shared" si="0"/>
        <v>9</v>
      </c>
      <c r="C49" s="679">
        <v>43373</v>
      </c>
      <c r="D49" s="679" t="s">
        <v>532</v>
      </c>
      <c r="E49" s="679">
        <f t="shared" si="3"/>
        <v>43373</v>
      </c>
      <c r="F49" s="942" t="s">
        <v>715</v>
      </c>
      <c r="G49" s="765"/>
      <c r="H49" s="68"/>
      <c r="I49" s="386"/>
      <c r="J49" s="393"/>
      <c r="K49" s="386"/>
      <c r="L49" s="393"/>
      <c r="M49" s="681">
        <v>3671166</v>
      </c>
      <c r="N49" s="685" t="s">
        <v>101</v>
      </c>
      <c r="O49" s="685" t="s">
        <v>539</v>
      </c>
      <c r="P49" s="79" t="str">
        <f>IF(AND('331-CT'!$E$7=TH!H49,OR(N49="331",O49="331")),"x","")</f>
        <v/>
      </c>
      <c r="Q49" s="79" t="str">
        <f>IF(AND(B49='111'!$L$11,OR($N49=$Q$7,$O49=$Q$7)),"x","")</f>
        <v/>
      </c>
      <c r="R49" s="79" t="str">
        <f>IF(AND($N49=$Q$7,$B49&lt;'111'!$L$11),"x","")</f>
        <v/>
      </c>
      <c r="S49" s="79" t="str">
        <f>IF(AND($O49=$Q$7,$B49&lt;'111'!$L$11),"x","")</f>
        <v/>
      </c>
      <c r="T49" s="79" t="str">
        <f>IF(ISERROR(FIND('112'!$M$9,G49,1)),"",IF((AND(FIND('112'!$M$9,G49,1)&gt;=1,B49='112'!$K$9,OR($N49='112'!$I$6,$O49='112'!$I$6))),"x",""))</f>
        <v/>
      </c>
      <c r="U49" s="79" t="str">
        <f>IF(ISERROR(FIND('112'!$M$9,G49,1)),"",IF((AND(LEFT(G49,2)=LEFT('112'!$M$9,2),B49&lt;'112'!$K$9,$N49='112'!$I$6)),"x",""))</f>
        <v/>
      </c>
      <c r="V49" s="79" t="str">
        <f>IF(ISERROR(FIND('112'!$M$9,G49,1)),"",IF((AND(RIGHT(G49,2)=RIGHT('112'!$M$9,2),B49&lt;'112'!$K$9,$O49='112'!$I$6)),"x",""))</f>
        <v/>
      </c>
      <c r="W49" s="79" t="str">
        <f>IF(AND('341-CT'!$H$9=H49,OR(LEFT(N49,3)=$W$7,LEFT(O49,3)=$W$7)),"x","")</f>
        <v/>
      </c>
      <c r="X49" s="79" t="str">
        <f>IF(OR(TH!N49=TH!$X$7,O49=TH!$X$7),"x","")</f>
        <v/>
      </c>
      <c r="Y49" s="79" t="str">
        <f>IF(AND(OR(N49="131",O49="131"),H49='131-CT'!$H$9),"x","")</f>
        <v/>
      </c>
      <c r="Z49" s="79"/>
      <c r="AA49" s="79" t="str">
        <f>IF(AND(MONTH(E49)='IN-NX'!$J$5,'IN-NX'!$D$7=D49),"x","")</f>
        <v/>
      </c>
      <c r="AB49" s="79" t="str">
        <f>IF(AND(OR(LEFT(TH!N49,2)="15",LEFT(TH!O49,2)="15"),LEFT(TH!O49,3)&lt;&gt;"111",'152-CT'!$J$8=TH!F49),"x","")</f>
        <v/>
      </c>
      <c r="AC49" s="79" t="str">
        <f>IF(AND(OR(LEFT(TH!N49,2)="15",LEFT(TH!O49,2)="15"),TK!$E$7=TH!F49),"x","")</f>
        <v/>
      </c>
      <c r="AD49" s="79" t="str">
        <f>IF(AND(N49="1521",MONTH(C49)='BK-NL'!$M$11),"x","")</f>
        <v/>
      </c>
    </row>
    <row r="50" spans="1:30" ht="16.5" customHeight="1">
      <c r="A50" s="318" t="str">
        <f>IF(B50&lt;&gt;"",IF(AND(B50='IN-TC'!$S$4,OR(TH!N50="1111",TH!O50="1111")),TH!D50,""),"")</f>
        <v/>
      </c>
      <c r="B50" s="1288">
        <f t="shared" si="0"/>
        <v>9</v>
      </c>
      <c r="C50" s="679">
        <v>43373</v>
      </c>
      <c r="D50" s="679" t="s">
        <v>532</v>
      </c>
      <c r="E50" s="679">
        <f t="shared" si="3"/>
        <v>43373</v>
      </c>
      <c r="F50" s="942" t="s">
        <v>715</v>
      </c>
      <c r="G50" s="680"/>
      <c r="H50" s="68"/>
      <c r="I50" s="386"/>
      <c r="J50" s="393"/>
      <c r="K50" s="386"/>
      <c r="L50" s="393"/>
      <c r="M50" s="681">
        <v>49458290</v>
      </c>
      <c r="N50" s="685" t="s">
        <v>272</v>
      </c>
      <c r="O50" s="685" t="s">
        <v>539</v>
      </c>
      <c r="P50" s="79" t="str">
        <f>IF(AND('331-CT'!$E$7=TH!H50,OR(N50="331",O50="331")),"x","")</f>
        <v/>
      </c>
      <c r="Q50" s="79" t="str">
        <f>IF(AND(B50='111'!$L$11,OR($N50=$Q$7,$O50=$Q$7)),"x","")</f>
        <v/>
      </c>
      <c r="R50" s="79" t="str">
        <f>IF(AND($N50=$Q$7,$B50&lt;'111'!$L$11),"x","")</f>
        <v/>
      </c>
      <c r="S50" s="79" t="str">
        <f>IF(AND($O50=$Q$7,$B50&lt;'111'!$L$11),"x","")</f>
        <v/>
      </c>
      <c r="T50" s="79" t="str">
        <f>IF(ISERROR(FIND('112'!$M$9,G50,1)),"",IF((AND(FIND('112'!$M$9,G50,1)&gt;=1,B50='112'!$K$9,OR($N50='112'!$I$6,$O50='112'!$I$6))),"x",""))</f>
        <v/>
      </c>
      <c r="U50" s="79" t="str">
        <f>IF(ISERROR(FIND('112'!$M$9,G50,1)),"",IF((AND(LEFT(G50,2)=LEFT('112'!$M$9,2),B50&lt;'112'!$K$9,$N50='112'!$I$6)),"x",""))</f>
        <v/>
      </c>
      <c r="V50" s="79" t="str">
        <f>IF(ISERROR(FIND('112'!$M$9,G50,1)),"",IF((AND(RIGHT(G50,2)=RIGHT('112'!$M$9,2),B50&lt;'112'!$K$9,$O50='112'!$I$6)),"x",""))</f>
        <v/>
      </c>
      <c r="W50" s="79" t="str">
        <f>IF(AND('341-CT'!$H$9=H50,OR(LEFT(N50,3)=$W$7,LEFT(O50,3)=$W$7)),"x","")</f>
        <v/>
      </c>
      <c r="X50" s="79" t="str">
        <f>IF(OR(TH!N50=TH!$X$7,O50=TH!$X$7),"x","")</f>
        <v/>
      </c>
      <c r="Y50" s="79" t="str">
        <f>IF(AND(OR(N50="131",O50="131"),H50='131-CT'!$H$9),"x","")</f>
        <v/>
      </c>
      <c r="Z50" s="79"/>
      <c r="AA50" s="79" t="str">
        <f>IF(AND(MONTH(E50)='IN-NX'!$J$5,'IN-NX'!$D$7=D50),"x","")</f>
        <v/>
      </c>
      <c r="AB50" s="79" t="str">
        <f>IF(AND(OR(LEFT(TH!N50,2)="15",LEFT(TH!O50,2)="15"),LEFT(TH!O50,3)&lt;&gt;"111",'152-CT'!$J$8=TH!F50),"x","")</f>
        <v/>
      </c>
      <c r="AC50" s="79" t="str">
        <f>IF(AND(OR(LEFT(TH!N50,2)="15",LEFT(TH!O50,2)="15"),TK!$E$7=TH!F50),"x","")</f>
        <v/>
      </c>
      <c r="AD50" s="79" t="str">
        <f>IF(AND(N50="1521",MONTH(C50)='BK-NL'!$M$11),"x","")</f>
        <v/>
      </c>
    </row>
    <row r="51" spans="1:30" ht="16.5" customHeight="1">
      <c r="A51" s="318" t="str">
        <f>IF(B51&lt;&gt;"",IF(AND(B51='IN-TC'!$S$4,OR(TH!N51="1111",TH!O51="1111")),TH!D51,""),"")</f>
        <v/>
      </c>
      <c r="B51" s="1290">
        <f t="shared" si="0"/>
        <v>10</v>
      </c>
      <c r="C51" s="679">
        <v>43404</v>
      </c>
      <c r="D51" s="679" t="s">
        <v>532</v>
      </c>
      <c r="E51" s="679">
        <f t="shared" ref="E51:E53" si="4">C51</f>
        <v>43404</v>
      </c>
      <c r="F51" s="942" t="s">
        <v>714</v>
      </c>
      <c r="G51" s="680"/>
      <c r="H51" s="69"/>
      <c r="I51" s="385"/>
      <c r="J51" s="392"/>
      <c r="K51" s="385"/>
      <c r="L51" s="392"/>
      <c r="M51" s="681">
        <v>10010706</v>
      </c>
      <c r="N51" s="683" t="s">
        <v>272</v>
      </c>
      <c r="O51" s="684" t="s">
        <v>538</v>
      </c>
      <c r="P51" s="79" t="str">
        <f>IF(AND('331-CT'!$E$7=TH!H51,OR(N51="331",O51="331")),"x","")</f>
        <v/>
      </c>
      <c r="Q51" s="79" t="str">
        <f>IF(AND(B51='111'!$L$11,OR($N51=$Q$7,$O51=$Q$7)),"x","")</f>
        <v/>
      </c>
      <c r="R51" s="79" t="str">
        <f>IF(AND($N51=$Q$7,$B51&lt;'111'!$L$11),"x","")</f>
        <v/>
      </c>
      <c r="S51" s="79" t="str">
        <f>IF(AND($O51=$Q$7,$B51&lt;'111'!$L$11),"x","")</f>
        <v/>
      </c>
      <c r="T51" s="79" t="str">
        <f>IF(ISERROR(FIND('112'!$M$9,G51,1)),"",IF((AND(FIND('112'!$M$9,G51,1)&gt;=1,B51='112'!$K$9,OR($N51='112'!$I$6,$O51='112'!$I$6))),"x",""))</f>
        <v/>
      </c>
      <c r="U51" s="79" t="str">
        <f>IF(ISERROR(FIND('112'!$M$9,G51,1)),"",IF((AND(LEFT(G51,2)=LEFT('112'!$M$9,2),B51&lt;'112'!$K$9,$N51='112'!$I$6)),"x",""))</f>
        <v/>
      </c>
      <c r="V51" s="79" t="str">
        <f>IF(ISERROR(FIND('112'!$M$9,G51,1)),"",IF((AND(RIGHT(G51,2)=RIGHT('112'!$M$9,2),B51&lt;'112'!$K$9,$O51='112'!$I$6)),"x",""))</f>
        <v/>
      </c>
      <c r="W51" s="79" t="str">
        <f>IF(AND('341-CT'!$H$9=H51,OR(LEFT(N51,3)=$W$7,LEFT(O51,3)=$W$7)),"x","")</f>
        <v/>
      </c>
      <c r="X51" s="79" t="str">
        <f>IF(OR(TH!N51=TH!$X$7,O51=TH!$X$7),"x","")</f>
        <v/>
      </c>
      <c r="Y51" s="79" t="str">
        <f>IF(AND(OR(N51="131",O51="131"),H51='131-CT'!$H$9),"x","")</f>
        <v/>
      </c>
      <c r="Z51" s="79"/>
      <c r="AA51" s="79" t="str">
        <f>IF(AND(MONTH(E51)='IN-NX'!$J$5,'IN-NX'!$D$7=D51),"x","")</f>
        <v/>
      </c>
      <c r="AB51" s="79" t="str">
        <f>IF(AND(OR(LEFT(TH!N51,2)="15",LEFT(TH!O51,2)="15"),LEFT(TH!O51,3)&lt;&gt;"111",'152-CT'!$J$8=TH!F51),"x","")</f>
        <v/>
      </c>
      <c r="AC51" s="79" t="str">
        <f>IF(AND(OR(LEFT(TH!N51,2)="15",LEFT(TH!O51,2)="15"),TK!$E$7=TH!F51),"x","")</f>
        <v/>
      </c>
      <c r="AD51" s="79" t="str">
        <f>IF(AND(N51="1521",MONTH(C51)='BK-NL'!$M$11),"x","")</f>
        <v/>
      </c>
    </row>
    <row r="52" spans="1:30" ht="16.5" customHeight="1">
      <c r="A52" s="318" t="str">
        <f>IF(B52&lt;&gt;"",IF(AND(B52='IN-TC'!$S$4,OR(TH!N52="1111",TH!O52="1111")),TH!D52,""),"")</f>
        <v/>
      </c>
      <c r="B52" s="1290">
        <f t="shared" si="0"/>
        <v>10</v>
      </c>
      <c r="C52" s="679">
        <v>43404</v>
      </c>
      <c r="D52" s="679" t="s">
        <v>532</v>
      </c>
      <c r="E52" s="679">
        <f t="shared" si="4"/>
        <v>43404</v>
      </c>
      <c r="F52" s="942" t="s">
        <v>715</v>
      </c>
      <c r="G52" s="765"/>
      <c r="H52" s="68"/>
      <c r="I52" s="386"/>
      <c r="J52" s="393"/>
      <c r="K52" s="386"/>
      <c r="L52" s="393"/>
      <c r="M52" s="681">
        <v>3671166</v>
      </c>
      <c r="N52" s="685" t="s">
        <v>101</v>
      </c>
      <c r="O52" s="685" t="s">
        <v>539</v>
      </c>
      <c r="P52" s="79" t="str">
        <f>IF(AND('331-CT'!$E$7=TH!H52,OR(N52="331",O52="331")),"x","")</f>
        <v/>
      </c>
      <c r="Q52" s="79" t="str">
        <f>IF(AND(B52='111'!$L$11,OR($N52=$Q$7,$O52=$Q$7)),"x","")</f>
        <v/>
      </c>
      <c r="R52" s="79" t="str">
        <f>IF(AND($N52=$Q$7,$B52&lt;'111'!$L$11),"x","")</f>
        <v/>
      </c>
      <c r="S52" s="79" t="str">
        <f>IF(AND($O52=$Q$7,$B52&lt;'111'!$L$11),"x","")</f>
        <v/>
      </c>
      <c r="T52" s="79" t="str">
        <f>IF(ISERROR(FIND('112'!$M$9,G52,1)),"",IF((AND(FIND('112'!$M$9,G52,1)&gt;=1,B52='112'!$K$9,OR($N52='112'!$I$6,$O52='112'!$I$6))),"x",""))</f>
        <v/>
      </c>
      <c r="U52" s="79" t="str">
        <f>IF(ISERROR(FIND('112'!$M$9,G52,1)),"",IF((AND(LEFT(G52,2)=LEFT('112'!$M$9,2),B52&lt;'112'!$K$9,$N52='112'!$I$6)),"x",""))</f>
        <v/>
      </c>
      <c r="V52" s="79" t="str">
        <f>IF(ISERROR(FIND('112'!$M$9,G52,1)),"",IF((AND(RIGHT(G52,2)=RIGHT('112'!$M$9,2),B52&lt;'112'!$K$9,$O52='112'!$I$6)),"x",""))</f>
        <v/>
      </c>
      <c r="W52" s="79" t="str">
        <f>IF(AND('341-CT'!$H$9=H52,OR(LEFT(N52,3)=$W$7,LEFT(O52,3)=$W$7)),"x","")</f>
        <v/>
      </c>
      <c r="X52" s="79" t="str">
        <f>IF(OR(TH!N52=TH!$X$7,O52=TH!$X$7),"x","")</f>
        <v/>
      </c>
      <c r="Y52" s="79" t="str">
        <f>IF(AND(OR(N52="131",O52="131"),H52='131-CT'!$H$9),"x","")</f>
        <v/>
      </c>
      <c r="Z52" s="79"/>
      <c r="AA52" s="79" t="str">
        <f>IF(AND(MONTH(E52)='IN-NX'!$J$5,'IN-NX'!$D$7=D52),"x","")</f>
        <v/>
      </c>
      <c r="AB52" s="79" t="str">
        <f>IF(AND(OR(LEFT(TH!N52,2)="15",LEFT(TH!O52,2)="15"),LEFT(TH!O52,3)&lt;&gt;"111",'152-CT'!$J$8=TH!F52),"x","")</f>
        <v/>
      </c>
      <c r="AC52" s="79" t="str">
        <f>IF(AND(OR(LEFT(TH!N52,2)="15",LEFT(TH!O52,2)="15"),TK!$E$7=TH!F52),"x","")</f>
        <v/>
      </c>
      <c r="AD52" s="79" t="str">
        <f>IF(AND(N52="1521",MONTH(C52)='BK-NL'!$M$11),"x","")</f>
        <v/>
      </c>
    </row>
    <row r="53" spans="1:30" ht="16.5" customHeight="1">
      <c r="A53" s="318" t="str">
        <f>IF(B53&lt;&gt;"",IF(AND(B53='IN-TC'!$S$4,OR(TH!N53="1111",TH!O53="1111")),TH!D53,""),"")</f>
        <v/>
      </c>
      <c r="B53" s="1290">
        <f t="shared" si="0"/>
        <v>10</v>
      </c>
      <c r="C53" s="679">
        <v>43404</v>
      </c>
      <c r="D53" s="679" t="s">
        <v>532</v>
      </c>
      <c r="E53" s="679">
        <f t="shared" si="4"/>
        <v>43404</v>
      </c>
      <c r="F53" s="942" t="s">
        <v>715</v>
      </c>
      <c r="G53" s="680"/>
      <c r="H53" s="68"/>
      <c r="I53" s="386"/>
      <c r="J53" s="393"/>
      <c r="K53" s="386"/>
      <c r="L53" s="393"/>
      <c r="M53" s="681">
        <v>47513841</v>
      </c>
      <c r="N53" s="685" t="s">
        <v>272</v>
      </c>
      <c r="O53" s="685" t="s">
        <v>539</v>
      </c>
      <c r="P53" s="79" t="str">
        <f>IF(AND('331-CT'!$E$7=TH!H53,OR(N53="331",O53="331")),"x","")</f>
        <v/>
      </c>
      <c r="Q53" s="79" t="str">
        <f>IF(AND(B53='111'!$L$11,OR($N53=$Q$7,$O53=$Q$7)),"x","")</f>
        <v/>
      </c>
      <c r="R53" s="79" t="str">
        <f>IF(AND($N53=$Q$7,$B53&lt;'111'!$L$11),"x","")</f>
        <v/>
      </c>
      <c r="S53" s="79" t="str">
        <f>IF(AND($O53=$Q$7,$B53&lt;'111'!$L$11),"x","")</f>
        <v/>
      </c>
      <c r="T53" s="79" t="str">
        <f>IF(ISERROR(FIND('112'!$M$9,G53,1)),"",IF((AND(FIND('112'!$M$9,G53,1)&gt;=1,B53='112'!$K$9,OR($N53='112'!$I$6,$O53='112'!$I$6))),"x",""))</f>
        <v/>
      </c>
      <c r="U53" s="79" t="str">
        <f>IF(ISERROR(FIND('112'!$M$9,G53,1)),"",IF((AND(LEFT(G53,2)=LEFT('112'!$M$9,2),B53&lt;'112'!$K$9,$N53='112'!$I$6)),"x",""))</f>
        <v/>
      </c>
      <c r="V53" s="79" t="str">
        <f>IF(ISERROR(FIND('112'!$M$9,G53,1)),"",IF((AND(RIGHT(G53,2)=RIGHT('112'!$M$9,2),B53&lt;'112'!$K$9,$O53='112'!$I$6)),"x",""))</f>
        <v/>
      </c>
      <c r="W53" s="79" t="str">
        <f>IF(AND('341-CT'!$H$9=H53,OR(LEFT(N53,3)=$W$7,LEFT(O53,3)=$W$7)),"x","")</f>
        <v/>
      </c>
      <c r="X53" s="79" t="str">
        <f>IF(OR(TH!N53=TH!$X$7,O53=TH!$X$7),"x","")</f>
        <v/>
      </c>
      <c r="Y53" s="79" t="str">
        <f>IF(AND(OR(N53="131",O53="131"),H53='131-CT'!$H$9),"x","")</f>
        <v/>
      </c>
      <c r="Z53" s="79"/>
      <c r="AA53" s="79" t="str">
        <f>IF(AND(MONTH(E53)='IN-NX'!$J$5,'IN-NX'!$D$7=D53),"x","")</f>
        <v/>
      </c>
      <c r="AB53" s="79" t="str">
        <f>IF(AND(OR(LEFT(TH!N53,2)="15",LEFT(TH!O53,2)="15"),LEFT(TH!O53,3)&lt;&gt;"111",'152-CT'!$J$8=TH!F53),"x","")</f>
        <v/>
      </c>
      <c r="AC53" s="79" t="str">
        <f>IF(AND(OR(LEFT(TH!N53,2)="15",LEFT(TH!O53,2)="15"),TK!$E$7=TH!F53),"x","")</f>
        <v/>
      </c>
      <c r="AD53" s="79" t="str">
        <f>IF(AND(N53="1521",MONTH(C53)='BK-NL'!$M$11),"x","")</f>
        <v/>
      </c>
    </row>
    <row r="54" spans="1:30" ht="16.5" customHeight="1">
      <c r="A54" s="318" t="str">
        <f>IF(B54&lt;&gt;"",IF(AND(B54='IN-TC'!$S$4,OR(TH!N54="1111",TH!O54="1111")),TH!D54,""),"")</f>
        <v/>
      </c>
      <c r="B54" s="1291">
        <f t="shared" si="0"/>
        <v>11</v>
      </c>
      <c r="C54" s="679">
        <v>43434</v>
      </c>
      <c r="D54" s="679" t="s">
        <v>532</v>
      </c>
      <c r="E54" s="679">
        <f t="shared" ref="E54:E56" si="5">C54</f>
        <v>43434</v>
      </c>
      <c r="F54" s="942" t="s">
        <v>714</v>
      </c>
      <c r="G54" s="680"/>
      <c r="H54" s="69"/>
      <c r="I54" s="385"/>
      <c r="J54" s="392"/>
      <c r="K54" s="385"/>
      <c r="L54" s="392"/>
      <c r="M54" s="681">
        <v>10010706</v>
      </c>
      <c r="N54" s="683" t="s">
        <v>272</v>
      </c>
      <c r="O54" s="684" t="s">
        <v>538</v>
      </c>
      <c r="P54" s="79" t="str">
        <f>IF(AND('331-CT'!$E$7=TH!H54,OR(N54="331",O54="331")),"x","")</f>
        <v/>
      </c>
      <c r="Q54" s="79" t="str">
        <f>IF(AND(B54='111'!$L$11,OR($N54=$Q$7,$O54=$Q$7)),"x","")</f>
        <v/>
      </c>
      <c r="R54" s="79" t="str">
        <f>IF(AND($N54=$Q$7,$B54&lt;'111'!$L$11),"x","")</f>
        <v/>
      </c>
      <c r="S54" s="79" t="str">
        <f>IF(AND($O54=$Q$7,$B54&lt;'111'!$L$11),"x","")</f>
        <v/>
      </c>
      <c r="T54" s="79" t="str">
        <f>IF(ISERROR(FIND('112'!$M$9,G54,1)),"",IF((AND(FIND('112'!$M$9,G54,1)&gt;=1,B54='112'!$K$9,OR($N54='112'!$I$6,$O54='112'!$I$6))),"x",""))</f>
        <v/>
      </c>
      <c r="U54" s="79" t="str">
        <f>IF(ISERROR(FIND('112'!$M$9,G54,1)),"",IF((AND(LEFT(G54,2)=LEFT('112'!$M$9,2),B54&lt;'112'!$K$9,$N54='112'!$I$6)),"x",""))</f>
        <v/>
      </c>
      <c r="V54" s="79" t="str">
        <f>IF(ISERROR(FIND('112'!$M$9,G54,1)),"",IF((AND(RIGHT(G54,2)=RIGHT('112'!$M$9,2),B54&lt;'112'!$K$9,$O54='112'!$I$6)),"x",""))</f>
        <v/>
      </c>
      <c r="W54" s="79" t="str">
        <f>IF(AND('341-CT'!$H$9=H54,OR(LEFT(N54,3)=$W$7,LEFT(O54,3)=$W$7)),"x","")</f>
        <v/>
      </c>
      <c r="X54" s="79" t="str">
        <f>IF(OR(TH!N54=TH!$X$7,O54=TH!$X$7),"x","")</f>
        <v/>
      </c>
      <c r="Y54" s="79" t="str">
        <f>IF(AND(OR(N54="131",O54="131"),H54='131-CT'!$H$9),"x","")</f>
        <v/>
      </c>
      <c r="Z54" s="79"/>
      <c r="AA54" s="79" t="str">
        <f>IF(AND(MONTH(E54)='IN-NX'!$J$5,'IN-NX'!$D$7=D54),"x","")</f>
        <v/>
      </c>
      <c r="AB54" s="79" t="str">
        <f>IF(AND(OR(LEFT(TH!N54,2)="15",LEFT(TH!O54,2)="15"),LEFT(TH!O54,3)&lt;&gt;"111",'152-CT'!$J$8=TH!F54),"x","")</f>
        <v/>
      </c>
      <c r="AC54" s="79" t="str">
        <f>IF(AND(OR(LEFT(TH!N54,2)="15",LEFT(TH!O54,2)="15"),TK!$E$7=TH!F54),"x","")</f>
        <v/>
      </c>
      <c r="AD54" s="79" t="str">
        <f>IF(AND(N54="1521",MONTH(C54)='BK-NL'!$M$11),"x","")</f>
        <v/>
      </c>
    </row>
    <row r="55" spans="1:30" ht="16.5" customHeight="1">
      <c r="A55" s="318" t="str">
        <f>IF(B55&lt;&gt;"",IF(AND(B55='IN-TC'!$S$4,OR(TH!N55="1111",TH!O55="1111")),TH!D55,""),"")</f>
        <v/>
      </c>
      <c r="B55" s="1291">
        <f t="shared" si="0"/>
        <v>11</v>
      </c>
      <c r="C55" s="679">
        <v>43434</v>
      </c>
      <c r="D55" s="679" t="s">
        <v>532</v>
      </c>
      <c r="E55" s="679">
        <f t="shared" si="5"/>
        <v>43434</v>
      </c>
      <c r="F55" s="942" t="s">
        <v>715</v>
      </c>
      <c r="G55" s="765"/>
      <c r="H55" s="68"/>
      <c r="I55" s="386"/>
      <c r="J55" s="393"/>
      <c r="K55" s="386"/>
      <c r="L55" s="393"/>
      <c r="M55" s="681">
        <v>3671167</v>
      </c>
      <c r="N55" s="685" t="s">
        <v>101</v>
      </c>
      <c r="O55" s="685" t="s">
        <v>539</v>
      </c>
      <c r="P55" s="79" t="str">
        <f>IF(AND('331-CT'!$E$7=TH!H55,OR(N55="331",O55="331")),"x","")</f>
        <v/>
      </c>
      <c r="Q55" s="79" t="str">
        <f>IF(AND(B55='111'!$L$11,OR($N55=$Q$7,$O55=$Q$7)),"x","")</f>
        <v/>
      </c>
      <c r="R55" s="79" t="str">
        <f>IF(AND($N55=$Q$7,$B55&lt;'111'!$L$11),"x","")</f>
        <v/>
      </c>
      <c r="S55" s="79" t="str">
        <f>IF(AND($O55=$Q$7,$B55&lt;'111'!$L$11),"x","")</f>
        <v/>
      </c>
      <c r="T55" s="79" t="str">
        <f>IF(ISERROR(FIND('112'!$M$9,G55,1)),"",IF((AND(FIND('112'!$M$9,G55,1)&gt;=1,B55='112'!$K$9,OR($N55='112'!$I$6,$O55='112'!$I$6))),"x",""))</f>
        <v/>
      </c>
      <c r="U55" s="79" t="str">
        <f>IF(ISERROR(FIND('112'!$M$9,G55,1)),"",IF((AND(LEFT(G55,2)=LEFT('112'!$M$9,2),B55&lt;'112'!$K$9,$N55='112'!$I$6)),"x",""))</f>
        <v/>
      </c>
      <c r="V55" s="79" t="str">
        <f>IF(ISERROR(FIND('112'!$M$9,G55,1)),"",IF((AND(RIGHT(G55,2)=RIGHT('112'!$M$9,2),B55&lt;'112'!$K$9,$O55='112'!$I$6)),"x",""))</f>
        <v/>
      </c>
      <c r="W55" s="79" t="str">
        <f>IF(AND('341-CT'!$H$9=H55,OR(LEFT(N55,3)=$W$7,LEFT(O55,3)=$W$7)),"x","")</f>
        <v/>
      </c>
      <c r="X55" s="79" t="str">
        <f>IF(OR(TH!N55=TH!$X$7,O55=TH!$X$7),"x","")</f>
        <v/>
      </c>
      <c r="Y55" s="79" t="str">
        <f>IF(AND(OR(N55="131",O55="131"),H55='131-CT'!$H$9),"x","")</f>
        <v/>
      </c>
      <c r="Z55" s="79"/>
      <c r="AA55" s="79" t="str">
        <f>IF(AND(MONTH(E55)='IN-NX'!$J$5,'IN-NX'!$D$7=D55),"x","")</f>
        <v/>
      </c>
      <c r="AB55" s="79" t="str">
        <f>IF(AND(OR(LEFT(TH!N55,2)="15",LEFT(TH!O55,2)="15"),LEFT(TH!O55,3)&lt;&gt;"111",'152-CT'!$J$8=TH!F55),"x","")</f>
        <v/>
      </c>
      <c r="AC55" s="79" t="str">
        <f>IF(AND(OR(LEFT(TH!N55,2)="15",LEFT(TH!O55,2)="15"),TK!$E$7=TH!F55),"x","")</f>
        <v/>
      </c>
      <c r="AD55" s="79" t="str">
        <f>IF(AND(N55="1521",MONTH(C55)='BK-NL'!$M$11),"x","")</f>
        <v/>
      </c>
    </row>
    <row r="56" spans="1:30" ht="16.5" customHeight="1">
      <c r="A56" s="318" t="str">
        <f>IF(B56&lt;&gt;"",IF(AND(B56='IN-TC'!$S$4,OR(TH!N56="1111",TH!O56="1111")),TH!D56,""),"")</f>
        <v/>
      </c>
      <c r="B56" s="1291">
        <f t="shared" si="0"/>
        <v>11</v>
      </c>
      <c r="C56" s="679">
        <v>43434</v>
      </c>
      <c r="D56" s="679" t="s">
        <v>532</v>
      </c>
      <c r="E56" s="679">
        <f t="shared" si="5"/>
        <v>43434</v>
      </c>
      <c r="F56" s="942" t="s">
        <v>715</v>
      </c>
      <c r="G56" s="680"/>
      <c r="H56" s="68"/>
      <c r="I56" s="386"/>
      <c r="J56" s="393"/>
      <c r="K56" s="386"/>
      <c r="L56" s="393"/>
      <c r="M56" s="681">
        <v>47513842</v>
      </c>
      <c r="N56" s="685" t="s">
        <v>272</v>
      </c>
      <c r="O56" s="685" t="s">
        <v>539</v>
      </c>
      <c r="P56" s="79" t="str">
        <f>IF(AND('331-CT'!$E$7=TH!H56,OR(N56="331",O56="331")),"x","")</f>
        <v/>
      </c>
      <c r="Q56" s="79" t="str">
        <f>IF(AND(B56='111'!$L$11,OR($N56=$Q$7,$O56=$Q$7)),"x","")</f>
        <v/>
      </c>
      <c r="R56" s="79" t="str">
        <f>IF(AND($N56=$Q$7,$B56&lt;'111'!$L$11),"x","")</f>
        <v/>
      </c>
      <c r="S56" s="79" t="str">
        <f>IF(AND($O56=$Q$7,$B56&lt;'111'!$L$11),"x","")</f>
        <v/>
      </c>
      <c r="T56" s="79" t="str">
        <f>IF(ISERROR(FIND('112'!$M$9,G56,1)),"",IF((AND(FIND('112'!$M$9,G56,1)&gt;=1,B56='112'!$K$9,OR($N56='112'!$I$6,$O56='112'!$I$6))),"x",""))</f>
        <v/>
      </c>
      <c r="U56" s="79" t="str">
        <f>IF(ISERROR(FIND('112'!$M$9,G56,1)),"",IF((AND(LEFT(G56,2)=LEFT('112'!$M$9,2),B56&lt;'112'!$K$9,$N56='112'!$I$6)),"x",""))</f>
        <v/>
      </c>
      <c r="V56" s="79" t="str">
        <f>IF(ISERROR(FIND('112'!$M$9,G56,1)),"",IF((AND(RIGHT(G56,2)=RIGHT('112'!$M$9,2),B56&lt;'112'!$K$9,$O56='112'!$I$6)),"x",""))</f>
        <v/>
      </c>
      <c r="W56" s="79" t="str">
        <f>IF(AND('341-CT'!$H$9=H56,OR(LEFT(N56,3)=$W$7,LEFT(O56,3)=$W$7)),"x","")</f>
        <v/>
      </c>
      <c r="X56" s="79" t="str">
        <f>IF(OR(TH!N56=TH!$X$7,O56=TH!$X$7),"x","")</f>
        <v/>
      </c>
      <c r="Y56" s="79" t="str">
        <f>IF(AND(OR(N56="131",O56="131"),H56='131-CT'!$H$9),"x","")</f>
        <v/>
      </c>
      <c r="Z56" s="79"/>
      <c r="AA56" s="79" t="str">
        <f>IF(AND(MONTH(E56)='IN-NX'!$J$5,'IN-NX'!$D$7=D56),"x","")</f>
        <v/>
      </c>
      <c r="AB56" s="79" t="str">
        <f>IF(AND(OR(LEFT(TH!N56,2)="15",LEFT(TH!O56,2)="15"),LEFT(TH!O56,3)&lt;&gt;"111",'152-CT'!$J$8=TH!F56),"x","")</f>
        <v/>
      </c>
      <c r="AC56" s="79" t="str">
        <f>IF(AND(OR(LEFT(TH!N56,2)="15",LEFT(TH!O56,2)="15"),TK!$E$7=TH!F56),"x","")</f>
        <v/>
      </c>
      <c r="AD56" s="79" t="str">
        <f>IF(AND(N56="1521",MONTH(C56)='BK-NL'!$M$11),"x","")</f>
        <v/>
      </c>
    </row>
    <row r="57" spans="1:30" ht="16.5" customHeight="1">
      <c r="A57" s="318" t="str">
        <f>IF(B57&lt;&gt;"",IF(AND(B57='IN-TC'!$S$4,OR(TH!N57="1111",TH!O57="1111")),TH!D57,""),"")</f>
        <v/>
      </c>
      <c r="B57" s="1187">
        <f t="shared" si="0"/>
        <v>12</v>
      </c>
      <c r="C57" s="679">
        <v>43465</v>
      </c>
      <c r="D57" s="679" t="s">
        <v>532</v>
      </c>
      <c r="E57" s="679">
        <f t="shared" ref="E57:E59" si="6">C57</f>
        <v>43465</v>
      </c>
      <c r="F57" s="942" t="s">
        <v>714</v>
      </c>
      <c r="G57" s="680"/>
      <c r="H57" s="69"/>
      <c r="I57" s="385"/>
      <c r="J57" s="392"/>
      <c r="K57" s="385"/>
      <c r="L57" s="392"/>
      <c r="M57" s="681">
        <v>10010707</v>
      </c>
      <c r="N57" s="683" t="s">
        <v>272</v>
      </c>
      <c r="O57" s="684" t="s">
        <v>538</v>
      </c>
      <c r="P57" s="79" t="str">
        <f>IF(AND('331-CT'!$E$7=TH!H57,OR(N57="331",O57="331")),"x","")</f>
        <v/>
      </c>
      <c r="Q57" s="79" t="str">
        <f>IF(AND(B57='111'!$L$11,OR($N57=$Q$7,$O57=$Q$7)),"x","")</f>
        <v/>
      </c>
      <c r="R57" s="79" t="str">
        <f>IF(AND($N57=$Q$7,$B57&lt;'111'!$L$11),"x","")</f>
        <v/>
      </c>
      <c r="S57" s="79" t="str">
        <f>IF(AND($O57=$Q$7,$B57&lt;'111'!$L$11),"x","")</f>
        <v/>
      </c>
      <c r="T57" s="79" t="str">
        <f>IF(ISERROR(FIND('112'!$M$9,G57,1)),"",IF((AND(FIND('112'!$M$9,G57,1)&gt;=1,B57='112'!$K$9,OR($N57='112'!$I$6,$O57='112'!$I$6))),"x",""))</f>
        <v/>
      </c>
      <c r="U57" s="79" t="str">
        <f>IF(ISERROR(FIND('112'!$M$9,G57,1)),"",IF((AND(LEFT(G57,2)=LEFT('112'!$M$9,2),B57&lt;'112'!$K$9,$N57='112'!$I$6)),"x",""))</f>
        <v/>
      </c>
      <c r="V57" s="79" t="str">
        <f>IF(ISERROR(FIND('112'!$M$9,G57,1)),"",IF((AND(RIGHT(G57,2)=RIGHT('112'!$M$9,2),B57&lt;'112'!$K$9,$O57='112'!$I$6)),"x",""))</f>
        <v/>
      </c>
      <c r="W57" s="79" t="str">
        <f>IF(AND('341-CT'!$H$9=H57,OR(LEFT(N57,3)=$W$7,LEFT(O57,3)=$W$7)),"x","")</f>
        <v/>
      </c>
      <c r="X57" s="79" t="str">
        <f>IF(OR(TH!N57=TH!$X$7,O57=TH!$X$7),"x","")</f>
        <v/>
      </c>
      <c r="Y57" s="79" t="str">
        <f>IF(AND(OR(N57="131",O57="131"),H57='131-CT'!$H$9),"x","")</f>
        <v/>
      </c>
      <c r="Z57" s="79"/>
      <c r="AA57" s="79" t="str">
        <f>IF(AND(MONTH(E57)='IN-NX'!$J$5,'IN-NX'!$D$7=D57),"x","")</f>
        <v/>
      </c>
      <c r="AB57" s="79" t="str">
        <f>IF(AND(OR(LEFT(TH!N57,2)="15",LEFT(TH!O57,2)="15"),LEFT(TH!O57,3)&lt;&gt;"111",'152-CT'!$J$8=TH!F57),"x","")</f>
        <v/>
      </c>
      <c r="AC57" s="79" t="str">
        <f>IF(AND(OR(LEFT(TH!N57,2)="15",LEFT(TH!O57,2)="15"),TK!$E$7=TH!F57),"x","")</f>
        <v/>
      </c>
      <c r="AD57" s="79" t="str">
        <f>IF(AND(N57="1521",MONTH(C57)='BK-NL'!$M$11),"x","")</f>
        <v/>
      </c>
    </row>
    <row r="58" spans="1:30" ht="16.5" customHeight="1">
      <c r="A58" s="318" t="str">
        <f>IF(B58&lt;&gt;"",IF(AND(B58='IN-TC'!$S$4,OR(TH!N58="1111",TH!O58="1111")),TH!D58,""),"")</f>
        <v/>
      </c>
      <c r="B58" s="1187">
        <f t="shared" si="0"/>
        <v>12</v>
      </c>
      <c r="C58" s="679">
        <v>43465</v>
      </c>
      <c r="D58" s="679" t="s">
        <v>532</v>
      </c>
      <c r="E58" s="679">
        <f t="shared" si="6"/>
        <v>43465</v>
      </c>
      <c r="F58" s="942" t="s">
        <v>715</v>
      </c>
      <c r="G58" s="765"/>
      <c r="H58" s="68"/>
      <c r="I58" s="386"/>
      <c r="J58" s="393"/>
      <c r="K58" s="386"/>
      <c r="L58" s="393"/>
      <c r="M58" s="681">
        <v>3671167</v>
      </c>
      <c r="N58" s="685" t="s">
        <v>101</v>
      </c>
      <c r="O58" s="685" t="s">
        <v>539</v>
      </c>
      <c r="P58" s="79" t="str">
        <f>IF(AND('331-CT'!$E$7=TH!H58,OR(N58="331",O58="331")),"x","")</f>
        <v/>
      </c>
      <c r="Q58" s="79" t="str">
        <f>IF(AND(B58='111'!$L$11,OR($N58=$Q$7,$O58=$Q$7)),"x","")</f>
        <v/>
      </c>
      <c r="R58" s="79" t="str">
        <f>IF(AND($N58=$Q$7,$B58&lt;'111'!$L$11),"x","")</f>
        <v/>
      </c>
      <c r="S58" s="79" t="str">
        <f>IF(AND($O58=$Q$7,$B58&lt;'111'!$L$11),"x","")</f>
        <v/>
      </c>
      <c r="T58" s="79" t="str">
        <f>IF(ISERROR(FIND('112'!$M$9,G58,1)),"",IF((AND(FIND('112'!$M$9,G58,1)&gt;=1,B58='112'!$K$9,OR($N58='112'!$I$6,$O58='112'!$I$6))),"x",""))</f>
        <v/>
      </c>
      <c r="U58" s="79" t="str">
        <f>IF(ISERROR(FIND('112'!$M$9,G58,1)),"",IF((AND(LEFT(G58,2)=LEFT('112'!$M$9,2),B58&lt;'112'!$K$9,$N58='112'!$I$6)),"x",""))</f>
        <v/>
      </c>
      <c r="V58" s="79" t="str">
        <f>IF(ISERROR(FIND('112'!$M$9,G58,1)),"",IF((AND(RIGHT(G58,2)=RIGHT('112'!$M$9,2),B58&lt;'112'!$K$9,$O58='112'!$I$6)),"x",""))</f>
        <v/>
      </c>
      <c r="W58" s="79" t="str">
        <f>IF(AND('341-CT'!$H$9=H58,OR(LEFT(N58,3)=$W$7,LEFT(O58,3)=$W$7)),"x","")</f>
        <v/>
      </c>
      <c r="X58" s="79" t="str">
        <f>IF(OR(TH!N58=TH!$X$7,O58=TH!$X$7),"x","")</f>
        <v/>
      </c>
      <c r="Y58" s="79" t="str">
        <f>IF(AND(OR(N58="131",O58="131"),H58='131-CT'!$H$9),"x","")</f>
        <v/>
      </c>
      <c r="Z58" s="79"/>
      <c r="AA58" s="79" t="str">
        <f>IF(AND(MONTH(E58)='IN-NX'!$J$5,'IN-NX'!$D$7=D58),"x","")</f>
        <v/>
      </c>
      <c r="AB58" s="79" t="str">
        <f>IF(AND(OR(LEFT(TH!N58,2)="15",LEFT(TH!O58,2)="15"),LEFT(TH!O58,3)&lt;&gt;"111",'152-CT'!$J$8=TH!F58),"x","")</f>
        <v/>
      </c>
      <c r="AC58" s="79" t="str">
        <f>IF(AND(OR(LEFT(TH!N58,2)="15",LEFT(TH!O58,2)="15"),TK!$E$7=TH!F58),"x","")</f>
        <v/>
      </c>
      <c r="AD58" s="79" t="str">
        <f>IF(AND(N58="1521",MONTH(C58)='BK-NL'!$M$11),"x","")</f>
        <v/>
      </c>
    </row>
    <row r="59" spans="1:30" ht="16.5" customHeight="1">
      <c r="A59" s="318" t="str">
        <f>IF(B59&lt;&gt;"",IF(AND(B59='IN-TC'!$S$4,OR(TH!N59="1111",TH!O59="1111")),TH!D59,""),"")</f>
        <v/>
      </c>
      <c r="B59" s="1187">
        <f t="shared" si="0"/>
        <v>12</v>
      </c>
      <c r="C59" s="679">
        <v>43465</v>
      </c>
      <c r="D59" s="679" t="s">
        <v>532</v>
      </c>
      <c r="E59" s="679">
        <f t="shared" si="6"/>
        <v>43465</v>
      </c>
      <c r="F59" s="942" t="s">
        <v>715</v>
      </c>
      <c r="G59" s="680"/>
      <c r="H59" s="68"/>
      <c r="I59" s="386"/>
      <c r="J59" s="393"/>
      <c r="K59" s="386"/>
      <c r="L59" s="393"/>
      <c r="M59" s="681">
        <v>47513842</v>
      </c>
      <c r="N59" s="685" t="s">
        <v>272</v>
      </c>
      <c r="O59" s="685" t="s">
        <v>539</v>
      </c>
      <c r="P59" s="79" t="str">
        <f>IF(AND('331-CT'!$E$7=TH!H59,OR(N59="331",O59="331")),"x","")</f>
        <v/>
      </c>
      <c r="Q59" s="79" t="str">
        <f>IF(AND(B59='111'!$L$11,OR($N59=$Q$7,$O59=$Q$7)),"x","")</f>
        <v/>
      </c>
      <c r="R59" s="79" t="str">
        <f>IF(AND($N59=$Q$7,$B59&lt;'111'!$L$11),"x","")</f>
        <v/>
      </c>
      <c r="S59" s="79" t="str">
        <f>IF(AND($O59=$Q$7,$B59&lt;'111'!$L$11),"x","")</f>
        <v/>
      </c>
      <c r="T59" s="79" t="str">
        <f>IF(ISERROR(FIND('112'!$M$9,G59,1)),"",IF((AND(FIND('112'!$M$9,G59,1)&gt;=1,B59='112'!$K$9,OR($N59='112'!$I$6,$O59='112'!$I$6))),"x",""))</f>
        <v/>
      </c>
      <c r="U59" s="79" t="str">
        <f>IF(ISERROR(FIND('112'!$M$9,G59,1)),"",IF((AND(LEFT(G59,2)=LEFT('112'!$M$9,2),B59&lt;'112'!$K$9,$N59='112'!$I$6)),"x",""))</f>
        <v/>
      </c>
      <c r="V59" s="79" t="str">
        <f>IF(ISERROR(FIND('112'!$M$9,G59,1)),"",IF((AND(RIGHT(G59,2)=RIGHT('112'!$M$9,2),B59&lt;'112'!$K$9,$O59='112'!$I$6)),"x",""))</f>
        <v/>
      </c>
      <c r="W59" s="79" t="str">
        <f>IF(AND('341-CT'!$H$9=H59,OR(LEFT(N59,3)=$W$7,LEFT(O59,3)=$W$7)),"x","")</f>
        <v/>
      </c>
      <c r="X59" s="79" t="str">
        <f>IF(OR(TH!N59=TH!$X$7,O59=TH!$X$7),"x","")</f>
        <v/>
      </c>
      <c r="Y59" s="79" t="str">
        <f>IF(AND(OR(N59="131",O59="131"),H59='131-CT'!$H$9),"x","")</f>
        <v/>
      </c>
      <c r="Z59" s="79"/>
      <c r="AA59" s="79" t="str">
        <f>IF(AND(MONTH(E59)='IN-NX'!$J$5,'IN-NX'!$D$7=D59),"x","")</f>
        <v/>
      </c>
      <c r="AB59" s="79" t="str">
        <f>IF(AND(OR(LEFT(TH!N59,2)="15",LEFT(TH!O59,2)="15"),LEFT(TH!O59,3)&lt;&gt;"111",'152-CT'!$J$8=TH!F59),"x","")</f>
        <v/>
      </c>
      <c r="AC59" s="79" t="str">
        <f>IF(AND(OR(LEFT(TH!N59,2)="15",LEFT(TH!O59,2)="15"),TK!$E$7=TH!F59),"x","")</f>
        <v/>
      </c>
      <c r="AD59" s="79" t="str">
        <f>IF(AND(N59="1521",MONTH(C59)='BK-NL'!$M$11),"x","")</f>
        <v/>
      </c>
    </row>
    <row r="60" spans="1:30" ht="16.5" customHeight="1">
      <c r="A60" s="318" t="str">
        <f>IF(B60&lt;&gt;"",IF(AND(B60='IN-TC'!$S$4,OR(TH!N60="1111",TH!O60="1111")),TH!D60,""),"")</f>
        <v/>
      </c>
      <c r="B60" s="1106">
        <f t="shared" si="0"/>
        <v>1</v>
      </c>
      <c r="C60" s="682">
        <v>43131</v>
      </c>
      <c r="D60" s="682" t="s">
        <v>532</v>
      </c>
      <c r="E60" s="682">
        <f t="shared" si="2"/>
        <v>43131</v>
      </c>
      <c r="F60" s="943" t="s">
        <v>722</v>
      </c>
      <c r="G60" s="259"/>
      <c r="H60" s="303"/>
      <c r="I60" s="385"/>
      <c r="J60" s="392"/>
      <c r="K60" s="385"/>
      <c r="L60" s="392"/>
      <c r="M60" s="686"/>
      <c r="N60" s="687" t="s">
        <v>540</v>
      </c>
      <c r="O60" s="687" t="s">
        <v>541</v>
      </c>
      <c r="P60" s="79" t="str">
        <f>IF(AND('331-CT'!$E$7=TH!H60,OR(N60="331",O60="331")),"x","")</f>
        <v/>
      </c>
      <c r="Q60" s="79" t="str">
        <f>IF(AND(B60='111'!$L$11,OR($N60=$Q$7,$O60=$Q$7)),"x","")</f>
        <v/>
      </c>
      <c r="R60" s="79" t="str">
        <f>IF(AND($N60=$Q$7,$B60&lt;'111'!$L$11),"x","")</f>
        <v/>
      </c>
      <c r="S60" s="79" t="str">
        <f>IF(AND($O60=$Q$7,$B60&lt;'111'!$L$11),"x","")</f>
        <v/>
      </c>
      <c r="T60" s="79" t="str">
        <f>IF(ISERROR(FIND('112'!$M$9,G60,1)),"",IF((AND(FIND('112'!$M$9,G60,1)&gt;=1,B60='112'!$K$9,OR($N60='112'!$I$6,$O60='112'!$I$6))),"x",""))</f>
        <v/>
      </c>
      <c r="U60" s="79" t="str">
        <f>IF(ISERROR(FIND('112'!$M$9,G60,1)),"",IF((AND(LEFT(G60,2)=LEFT('112'!$M$9,2),B60&lt;'112'!$K$9,$N60='112'!$I$6)),"x",""))</f>
        <v/>
      </c>
      <c r="V60" s="79" t="str">
        <f>IF(ISERROR(FIND('112'!$M$9,G60,1)),"",IF((AND(RIGHT(G60,2)=RIGHT('112'!$M$9,2),B60&lt;'112'!$K$9,$O60='112'!$I$6)),"x",""))</f>
        <v/>
      </c>
      <c r="W60" s="79" t="str">
        <f>IF(AND('341-CT'!$H$9=H60,OR(LEFT(N60,3)=$W$7,LEFT(O60,3)=$W$7)),"x","")</f>
        <v/>
      </c>
      <c r="X60" s="79" t="str">
        <f>IF(OR(TH!N60=TH!$X$7,O60=TH!$X$7),"x","")</f>
        <v/>
      </c>
      <c r="Y60" s="79" t="str">
        <f>IF(AND(OR(N60="131",O60="131"),H60='131-CT'!$H$9),"x","")</f>
        <v/>
      </c>
      <c r="Z60" s="79"/>
      <c r="AA60" s="79" t="str">
        <f>IF(AND(MONTH(E60)='IN-NX'!$J$5,'IN-NX'!$D$7=D60),"x","")</f>
        <v/>
      </c>
      <c r="AB60" s="79" t="str">
        <f>IF(AND(OR(LEFT(TH!N60,2)="15",LEFT(TH!O60,2)="15"),LEFT(TH!O60,3)&lt;&gt;"111",'152-CT'!$J$8=TH!F60),"x","")</f>
        <v/>
      </c>
      <c r="AC60" s="79" t="str">
        <f>IF(AND(OR(LEFT(TH!N60,2)="15",LEFT(TH!O60,2)="15"),TK!$E$7=TH!F60),"x","")</f>
        <v/>
      </c>
      <c r="AD60" s="79" t="str">
        <f>IF(AND(N60="1521",MONTH(C60)='BK-NL'!$M$11),"x","")</f>
        <v/>
      </c>
    </row>
    <row r="61" spans="1:30" ht="16.5" customHeight="1">
      <c r="A61" s="318" t="str">
        <f>IF(B61&lt;&gt;"",IF(AND(B61='IN-TC'!$S$4,OR(TH!N61="1111",TH!O61="1111")),TH!D61,""),"")</f>
        <v/>
      </c>
      <c r="B61" s="1106">
        <f t="shared" si="0"/>
        <v>1</v>
      </c>
      <c r="C61" s="682">
        <v>43131</v>
      </c>
      <c r="D61" s="682" t="s">
        <v>532</v>
      </c>
      <c r="E61" s="682">
        <f t="shared" si="2"/>
        <v>43131</v>
      </c>
      <c r="F61" s="943" t="s">
        <v>723</v>
      </c>
      <c r="G61" s="259"/>
      <c r="H61" s="303"/>
      <c r="I61" s="385"/>
      <c r="J61" s="392"/>
      <c r="K61" s="385"/>
      <c r="L61" s="392"/>
      <c r="M61" s="686"/>
      <c r="N61" s="687" t="s">
        <v>272</v>
      </c>
      <c r="O61" s="687" t="s">
        <v>541</v>
      </c>
      <c r="P61" s="79" t="str">
        <f>IF(AND('331-CT'!$E$7=TH!H61,OR(N61="331",O61="331")),"x","")</f>
        <v/>
      </c>
      <c r="Q61" s="79" t="str">
        <f>IF(AND(B61='111'!$L$11,OR($N61=$Q$7,$O61=$Q$7)),"x","")</f>
        <v/>
      </c>
      <c r="R61" s="79" t="str">
        <f>IF(AND($N61=$Q$7,$B61&lt;'111'!$L$11),"x","")</f>
        <v/>
      </c>
      <c r="S61" s="79" t="str">
        <f>IF(AND($O61=$Q$7,$B61&lt;'111'!$L$11),"x","")</f>
        <v/>
      </c>
      <c r="T61" s="79" t="str">
        <f>IF(ISERROR(FIND('112'!$M$9,G61,1)),"",IF((AND(FIND('112'!$M$9,G61,1)&gt;=1,B61='112'!$K$9,OR($N61='112'!$I$6,$O61='112'!$I$6))),"x",""))</f>
        <v/>
      </c>
      <c r="U61" s="79" t="str">
        <f>IF(ISERROR(FIND('112'!$M$9,G61,1)),"",IF((AND(LEFT(G61,2)=LEFT('112'!$M$9,2),B61&lt;'112'!$K$9,$N61='112'!$I$6)),"x",""))</f>
        <v/>
      </c>
      <c r="V61" s="79" t="str">
        <f>IF(ISERROR(FIND('112'!$M$9,G61,1)),"",IF((AND(RIGHT(G61,2)=RIGHT('112'!$M$9,2),B61&lt;'112'!$K$9,$O61='112'!$I$6)),"x",""))</f>
        <v/>
      </c>
      <c r="W61" s="79" t="str">
        <f>IF(AND('341-CT'!$H$9=H61,OR(LEFT(N61,3)=$W$7,LEFT(O61,3)=$W$7)),"x","")</f>
        <v/>
      </c>
      <c r="X61" s="79" t="str">
        <f>IF(OR(TH!N61=TH!$X$7,O61=TH!$X$7),"x","")</f>
        <v/>
      </c>
      <c r="Y61" s="79" t="str">
        <f>IF(AND(OR(N61="131",O61="131"),H61='131-CT'!$H$9),"x","")</f>
        <v/>
      </c>
      <c r="Z61" s="79"/>
      <c r="AA61" s="79" t="str">
        <f>IF(AND(MONTH(E61)='IN-NX'!$J$5,'IN-NX'!$D$7=D61),"x","")</f>
        <v/>
      </c>
      <c r="AB61" s="79" t="str">
        <f>IF(AND(OR(LEFT(TH!N61,2)="15",LEFT(TH!O61,2)="15"),LEFT(TH!O61,3)&lt;&gt;"111",'152-CT'!$J$8=TH!F61),"x","")</f>
        <v/>
      </c>
      <c r="AC61" s="79" t="str">
        <f>IF(AND(OR(LEFT(TH!N61,2)="15",LEFT(TH!O61,2)="15"),TK!$E$7=TH!F61),"x","")</f>
        <v/>
      </c>
      <c r="AD61" s="79" t="str">
        <f>IF(AND(N61="1521",MONTH(C61)='BK-NL'!$M$11),"x","")</f>
        <v/>
      </c>
    </row>
    <row r="62" spans="1:30" ht="16.5" customHeight="1">
      <c r="A62" s="318" t="str">
        <f>IF(B62&lt;&gt;"",IF(AND(B62='IN-TC'!$S$4,OR(TH!N62="1111",TH!O62="1111")),TH!D62,""),"")</f>
        <v/>
      </c>
      <c r="B62" s="1106">
        <f t="shared" si="0"/>
        <v>1</v>
      </c>
      <c r="C62" s="682">
        <v>43131</v>
      </c>
      <c r="D62" s="682" t="s">
        <v>532</v>
      </c>
      <c r="E62" s="682">
        <f t="shared" si="2"/>
        <v>43131</v>
      </c>
      <c r="F62" s="943" t="s">
        <v>724</v>
      </c>
      <c r="G62" s="763" t="s">
        <v>533</v>
      </c>
      <c r="H62" s="303"/>
      <c r="I62" s="385"/>
      <c r="J62" s="392"/>
      <c r="K62" s="385"/>
      <c r="L62" s="392"/>
      <c r="M62" s="686">
        <f>ROUND(G60*$G62,0)</f>
        <v>0</v>
      </c>
      <c r="N62" s="687" t="s">
        <v>541</v>
      </c>
      <c r="O62" s="687" t="s">
        <v>542</v>
      </c>
      <c r="P62" s="79" t="str">
        <f>IF(AND('331-CT'!$E$7=TH!H62,OR(N62="331",O62="331")),"x","")</f>
        <v/>
      </c>
      <c r="Q62" s="79" t="str">
        <f>IF(AND(B62='111'!$L$11,OR($N62=$Q$7,$O62=$Q$7)),"x","")</f>
        <v/>
      </c>
      <c r="R62" s="79" t="str">
        <f>IF(AND($N62=$Q$7,$B62&lt;'111'!$L$11),"x","")</f>
        <v/>
      </c>
      <c r="S62" s="79" t="str">
        <f>IF(AND($O62=$Q$7,$B62&lt;'111'!$L$11),"x","")</f>
        <v/>
      </c>
      <c r="T62" s="79" t="str">
        <f>IF(ISERROR(FIND('112'!$M$9,G62,1)),"",IF((AND(FIND('112'!$M$9,G62,1)&gt;=1,B62='112'!$K$9,OR($N62='112'!$I$6,$O62='112'!$I$6))),"x",""))</f>
        <v/>
      </c>
      <c r="U62" s="79" t="str">
        <f>IF(ISERROR(FIND('112'!$M$9,G62,1)),"",IF((AND(LEFT(G62,2)=LEFT('112'!$M$9,2),B62&lt;'112'!$K$9,$N62='112'!$I$6)),"x",""))</f>
        <v/>
      </c>
      <c r="V62" s="79" t="str">
        <f>IF(ISERROR(FIND('112'!$M$9,G62,1)),"",IF((AND(RIGHT(G62,2)=RIGHT('112'!$M$9,2),B62&lt;'112'!$K$9,$O62='112'!$I$6)),"x",""))</f>
        <v/>
      </c>
      <c r="W62" s="79" t="str">
        <f>IF(AND('341-CT'!$H$9=H62,OR(LEFT(N62,3)=$W$7,LEFT(O62,3)=$W$7)),"x","")</f>
        <v/>
      </c>
      <c r="X62" s="79" t="str">
        <f>IF(OR(TH!N62=TH!$X$7,O62=TH!$X$7),"x","")</f>
        <v/>
      </c>
      <c r="Y62" s="79" t="str">
        <f>IF(AND(OR(N62="131",O62="131"),H62='131-CT'!$H$9),"x","")</f>
        <v/>
      </c>
      <c r="Z62" s="79"/>
      <c r="AA62" s="79" t="str">
        <f>IF(AND(MONTH(E62)='IN-NX'!$J$5,'IN-NX'!$D$7=D62),"x","")</f>
        <v/>
      </c>
      <c r="AB62" s="79" t="str">
        <f>IF(AND(OR(LEFT(TH!N62,2)="15",LEFT(TH!O62,2)="15"),LEFT(TH!O62,3)&lt;&gt;"111",'152-CT'!$J$8=TH!F62),"x","")</f>
        <v/>
      </c>
      <c r="AC62" s="79" t="str">
        <f>IF(AND(OR(LEFT(TH!N62,2)="15",LEFT(TH!O62,2)="15"),TK!$E$7=TH!F62),"x","")</f>
        <v/>
      </c>
      <c r="AD62" s="79" t="str">
        <f>IF(AND(N62="1521",MONTH(C62)='BK-NL'!$M$11),"x","")</f>
        <v/>
      </c>
    </row>
    <row r="63" spans="1:30" ht="16.5" customHeight="1">
      <c r="A63" s="318" t="str">
        <f>IF(B63&lt;&gt;"",IF(AND(B63='IN-TC'!$S$4,OR(TH!N63="1111",TH!O63="1111")),TH!D63,""),"")</f>
        <v/>
      </c>
      <c r="B63" s="1106">
        <f t="shared" si="0"/>
        <v>1</v>
      </c>
      <c r="C63" s="682">
        <v>43131</v>
      </c>
      <c r="D63" s="682" t="s">
        <v>532</v>
      </c>
      <c r="E63" s="682">
        <f t="shared" si="2"/>
        <v>43131</v>
      </c>
      <c r="F63" s="943" t="s">
        <v>725</v>
      </c>
      <c r="G63" s="259"/>
      <c r="H63" s="303"/>
      <c r="I63" s="385"/>
      <c r="J63" s="392"/>
      <c r="K63" s="385"/>
      <c r="L63" s="392"/>
      <c r="M63" s="686">
        <f>ROUND(G61*$G62,0)</f>
        <v>0</v>
      </c>
      <c r="N63" s="688" t="s">
        <v>541</v>
      </c>
      <c r="O63" s="689" t="s">
        <v>542</v>
      </c>
      <c r="P63" s="79" t="str">
        <f>IF(AND('331-CT'!$E$7=TH!H63,OR(N63="331",O63="331")),"x","")</f>
        <v/>
      </c>
      <c r="Q63" s="79" t="str">
        <f>IF(AND(B63='111'!$L$11,OR($N63=$Q$7,$O63=$Q$7)),"x","")</f>
        <v/>
      </c>
      <c r="R63" s="79" t="str">
        <f>IF(AND($N63=$Q$7,$B63&lt;'111'!$L$11),"x","")</f>
        <v/>
      </c>
      <c r="S63" s="79" t="str">
        <f>IF(AND($O63=$Q$7,$B63&lt;'111'!$L$11),"x","")</f>
        <v/>
      </c>
      <c r="T63" s="79" t="str">
        <f>IF(ISERROR(FIND('112'!$M$9,G63,1)),"",IF((AND(FIND('112'!$M$9,G63,1)&gt;=1,B63='112'!$K$9,OR($N63='112'!$I$6,$O63='112'!$I$6))),"x",""))</f>
        <v/>
      </c>
      <c r="U63" s="79" t="str">
        <f>IF(ISERROR(FIND('112'!$M$9,G63,1)),"",IF((AND(LEFT(G63,2)=LEFT('112'!$M$9,2),B63&lt;'112'!$K$9,$N63='112'!$I$6)),"x",""))</f>
        <v/>
      </c>
      <c r="V63" s="79" t="str">
        <f>IF(ISERROR(FIND('112'!$M$9,G63,1)),"",IF((AND(RIGHT(G63,2)=RIGHT('112'!$M$9,2),B63&lt;'112'!$K$9,$O63='112'!$I$6)),"x",""))</f>
        <v/>
      </c>
      <c r="W63" s="79" t="str">
        <f>IF(AND('341-CT'!$H$9=H63,OR(LEFT(N63,3)=$W$7,LEFT(O63,3)=$W$7)),"x","")</f>
        <v/>
      </c>
      <c r="X63" s="79" t="str">
        <f>IF(OR(TH!N63=TH!$X$7,O63=TH!$X$7),"x","")</f>
        <v/>
      </c>
      <c r="Y63" s="79" t="str">
        <f>IF(AND(OR(N63="131",O63="131"),H63='131-CT'!$H$9),"x","")</f>
        <v/>
      </c>
      <c r="Z63" s="79"/>
      <c r="AA63" s="79" t="str">
        <f>IF(AND(MONTH(E63)='IN-NX'!$J$5,'IN-NX'!$D$7=D63),"x","")</f>
        <v/>
      </c>
      <c r="AB63" s="79" t="str">
        <f>IF(AND(OR(LEFT(TH!N63,2)="15",LEFT(TH!O63,2)="15"),LEFT(TH!O63,3)&lt;&gt;"111",'152-CT'!$J$8=TH!F63),"x","")</f>
        <v/>
      </c>
      <c r="AC63" s="79" t="str">
        <f>IF(AND(OR(LEFT(TH!N63,2)="15",LEFT(TH!O63,2)="15"),TK!$E$7=TH!F63),"x","")</f>
        <v/>
      </c>
      <c r="AD63" s="79" t="str">
        <f>IF(AND(N63="1521",MONTH(C63)='BK-NL'!$M$11),"x","")</f>
        <v/>
      </c>
    </row>
    <row r="64" spans="1:30" ht="16.5" customHeight="1">
      <c r="A64" s="318" t="str">
        <f>IF(B64&lt;&gt;"",IF(AND(B64='IN-TC'!$S$4,OR(TH!N64="1111",TH!O64="1111")),TH!D64,""),"")</f>
        <v/>
      </c>
      <c r="B64" s="1106">
        <f t="shared" si="0"/>
        <v>1</v>
      </c>
      <c r="C64" s="682">
        <v>43131</v>
      </c>
      <c r="D64" s="682" t="s">
        <v>532</v>
      </c>
      <c r="E64" s="682">
        <f t="shared" si="2"/>
        <v>43131</v>
      </c>
      <c r="F64" s="943" t="s">
        <v>726</v>
      </c>
      <c r="G64" s="763" t="s">
        <v>957</v>
      </c>
      <c r="H64" s="303"/>
      <c r="I64" s="385"/>
      <c r="J64" s="392"/>
      <c r="K64" s="385"/>
      <c r="L64" s="392"/>
      <c r="M64" s="686">
        <f>ROUND(G60*$G64,0)</f>
        <v>0</v>
      </c>
      <c r="N64" s="687" t="s">
        <v>540</v>
      </c>
      <c r="O64" s="687" t="s">
        <v>542</v>
      </c>
      <c r="P64" s="79" t="str">
        <f>IF(AND('331-CT'!$E$7=TH!H64,OR(N64="331",O64="331")),"x","")</f>
        <v/>
      </c>
      <c r="Q64" s="79" t="str">
        <f>IF(AND(B64='111'!$L$11,OR($N64=$Q$7,$O64=$Q$7)),"x","")</f>
        <v/>
      </c>
      <c r="R64" s="79" t="str">
        <f>IF(AND($N64=$Q$7,$B64&lt;'111'!$L$11),"x","")</f>
        <v/>
      </c>
      <c r="S64" s="79" t="str">
        <f>IF(AND($O64=$Q$7,$B64&lt;'111'!$L$11),"x","")</f>
        <v/>
      </c>
      <c r="T64" s="79" t="str">
        <f>IF(ISERROR(FIND('112'!$M$9,G64,1)),"",IF((AND(FIND('112'!$M$9,G64,1)&gt;=1,B64='112'!$K$9,OR($N64='112'!$I$6,$O64='112'!$I$6))),"x",""))</f>
        <v/>
      </c>
      <c r="U64" s="79" t="str">
        <f>IF(ISERROR(FIND('112'!$M$9,G64,1)),"",IF((AND(LEFT(G64,2)=LEFT('112'!$M$9,2),B64&lt;'112'!$K$9,$N64='112'!$I$6)),"x",""))</f>
        <v/>
      </c>
      <c r="V64" s="79" t="str">
        <f>IF(ISERROR(FIND('112'!$M$9,G64,1)),"",IF((AND(RIGHT(G64,2)=RIGHT('112'!$M$9,2),B64&lt;'112'!$K$9,$O64='112'!$I$6)),"x",""))</f>
        <v/>
      </c>
      <c r="W64" s="79" t="str">
        <f>IF(AND('341-CT'!$H$9=H64,OR(LEFT(N64,3)=$W$7,LEFT(O64,3)=$W$7)),"x","")</f>
        <v/>
      </c>
      <c r="X64" s="79" t="str">
        <f>IF(OR(TH!N64=TH!$X$7,O64=TH!$X$7),"x","")</f>
        <v/>
      </c>
      <c r="Y64" s="79" t="str">
        <f>IF(AND(OR(N64="131",O64="131"),H64='131-CT'!$H$9),"x","")</f>
        <v/>
      </c>
      <c r="Z64" s="79"/>
      <c r="AA64" s="79" t="str">
        <f>IF(AND(MONTH(E64)='IN-NX'!$J$5,'IN-NX'!$D$7=D64),"x","")</f>
        <v/>
      </c>
      <c r="AB64" s="79" t="str">
        <f>IF(AND(OR(LEFT(TH!N64,2)="15",LEFT(TH!O64,2)="15"),LEFT(TH!O64,3)&lt;&gt;"111",'152-CT'!$J$8=TH!F64),"x","")</f>
        <v/>
      </c>
      <c r="AC64" s="79" t="str">
        <f>IF(AND(OR(LEFT(TH!N64,2)="15",LEFT(TH!O64,2)="15"),TK!$E$7=TH!F64),"x","")</f>
        <v/>
      </c>
      <c r="AD64" s="79" t="str">
        <f>IF(AND(N64="1521",MONTH(C64)='BK-NL'!$M$11),"x","")</f>
        <v/>
      </c>
    </row>
    <row r="65" spans="1:30" ht="16.5" customHeight="1">
      <c r="A65" s="318" t="str">
        <f>IF(B65&lt;&gt;"",IF(AND(B65='IN-TC'!$S$4,OR(TH!N65="1111",TH!O65="1111")),TH!D65,""),"")</f>
        <v/>
      </c>
      <c r="B65" s="1106">
        <f t="shared" si="0"/>
        <v>1</v>
      </c>
      <c r="C65" s="682">
        <v>43131</v>
      </c>
      <c r="D65" s="682" t="s">
        <v>532</v>
      </c>
      <c r="E65" s="682">
        <f t="shared" si="2"/>
        <v>43131</v>
      </c>
      <c r="F65" s="943" t="s">
        <v>727</v>
      </c>
      <c r="G65" s="259"/>
      <c r="H65" s="303"/>
      <c r="I65" s="385"/>
      <c r="J65" s="392"/>
      <c r="K65" s="385"/>
      <c r="L65" s="392"/>
      <c r="M65" s="686">
        <f>G61*$G64</f>
        <v>0</v>
      </c>
      <c r="N65" s="687" t="s">
        <v>272</v>
      </c>
      <c r="O65" s="687" t="s">
        <v>542</v>
      </c>
      <c r="P65" s="79" t="str">
        <f>IF(AND('331-CT'!$E$7=TH!H65,OR(N65="331",O65="331")),"x","")</f>
        <v/>
      </c>
      <c r="Q65" s="79" t="str">
        <f>IF(AND(B65='111'!$L$11,OR($N65=$Q$7,$O65=$Q$7)),"x","")</f>
        <v/>
      </c>
      <c r="R65" s="79" t="str">
        <f>IF(AND($N65=$Q$7,$B65&lt;'111'!$L$11),"x","")</f>
        <v/>
      </c>
      <c r="S65" s="79" t="str">
        <f>IF(AND($O65=$Q$7,$B65&lt;'111'!$L$11),"x","")</f>
        <v/>
      </c>
      <c r="T65" s="79" t="str">
        <f>IF(ISERROR(FIND('112'!$M$9,G65,1)),"",IF((AND(FIND('112'!$M$9,G65,1)&gt;=1,B65='112'!$K$9,OR($N65='112'!$I$6,$O65='112'!$I$6))),"x",""))</f>
        <v/>
      </c>
      <c r="U65" s="79" t="str">
        <f>IF(ISERROR(FIND('112'!$M$9,G65,1)),"",IF((AND(LEFT(G65,2)=LEFT('112'!$M$9,2),B65&lt;'112'!$K$9,$N65='112'!$I$6)),"x",""))</f>
        <v/>
      </c>
      <c r="V65" s="79" t="str">
        <f>IF(ISERROR(FIND('112'!$M$9,G65,1)),"",IF((AND(RIGHT(G65,2)=RIGHT('112'!$M$9,2),B65&lt;'112'!$K$9,$O65='112'!$I$6)),"x",""))</f>
        <v/>
      </c>
      <c r="W65" s="79" t="str">
        <f>IF(AND('341-CT'!$H$9=H65,OR(LEFT(N65,3)=$W$7,LEFT(O65,3)=$W$7)),"x","")</f>
        <v/>
      </c>
      <c r="X65" s="79" t="str">
        <f>IF(OR(TH!N65=TH!$X$7,O65=TH!$X$7),"x","")</f>
        <v/>
      </c>
      <c r="Y65" s="79" t="str">
        <f>IF(AND(OR(N65="131",O65="131"),H65='131-CT'!$H$9),"x","")</f>
        <v/>
      </c>
      <c r="Z65" s="79"/>
      <c r="AA65" s="79" t="str">
        <f>IF(AND(MONTH(E65)='IN-NX'!$J$5,'IN-NX'!$D$7=D65),"x","")</f>
        <v/>
      </c>
      <c r="AB65" s="79" t="str">
        <f>IF(AND(OR(LEFT(TH!N65,2)="15",LEFT(TH!O65,2)="15"),LEFT(TH!O65,3)&lt;&gt;"111",'152-CT'!$J$8=TH!F65),"x","")</f>
        <v/>
      </c>
      <c r="AC65" s="79" t="str">
        <f>IF(AND(OR(LEFT(TH!N65,2)="15",LEFT(TH!O65,2)="15"),TK!$E$7=TH!F65),"x","")</f>
        <v/>
      </c>
      <c r="AD65" s="79" t="str">
        <f>IF(AND(N65="1521",MONTH(C65)='BK-NL'!$M$11),"x","")</f>
        <v/>
      </c>
    </row>
    <row r="66" spans="1:30" ht="16.5" customHeight="1">
      <c r="A66" s="318" t="str">
        <f>IF(B66&lt;&gt;"",IF(AND(B66='IN-TC'!$S$4,OR(TH!N66="1111",TH!O66="1111")),TH!D66,""),"")</f>
        <v/>
      </c>
      <c r="B66" s="1106">
        <f t="shared" si="0"/>
        <v>1</v>
      </c>
      <c r="C66" s="682">
        <v>43131</v>
      </c>
      <c r="D66" s="682" t="s">
        <v>532</v>
      </c>
      <c r="E66" s="682">
        <f t="shared" si="2"/>
        <v>43131</v>
      </c>
      <c r="F66" s="943" t="s">
        <v>728</v>
      </c>
      <c r="G66" s="763" t="s">
        <v>534</v>
      </c>
      <c r="H66" s="305"/>
      <c r="I66" s="383"/>
      <c r="J66" s="390"/>
      <c r="K66" s="383"/>
      <c r="L66" s="390"/>
      <c r="M66" s="686">
        <f>ROUND(G60*$G66,0)</f>
        <v>0</v>
      </c>
      <c r="N66" s="687" t="s">
        <v>541</v>
      </c>
      <c r="O66" s="687" t="s">
        <v>543</v>
      </c>
      <c r="P66" s="79" t="str">
        <f>IF(AND('331-CT'!$E$7=TH!H66,OR(N66="331",O66="331")),"x","")</f>
        <v/>
      </c>
      <c r="Q66" s="79" t="str">
        <f>IF(AND(B66='111'!$L$11,OR($N66=$Q$7,$O66=$Q$7)),"x","")</f>
        <v/>
      </c>
      <c r="R66" s="79" t="str">
        <f>IF(AND($N66=$Q$7,$B66&lt;'111'!$L$11),"x","")</f>
        <v/>
      </c>
      <c r="S66" s="79" t="str">
        <f>IF(AND($O66=$Q$7,$B66&lt;'111'!$L$11),"x","")</f>
        <v/>
      </c>
      <c r="T66" s="79" t="str">
        <f>IF(ISERROR(FIND('112'!$M$9,G66,1)),"",IF((AND(FIND('112'!$M$9,G66,1)&gt;=1,B66='112'!$K$9,OR($N66='112'!$I$6,$O66='112'!$I$6))),"x",""))</f>
        <v/>
      </c>
      <c r="U66" s="79" t="str">
        <f>IF(ISERROR(FIND('112'!$M$9,G66,1)),"",IF((AND(LEFT(G66,2)=LEFT('112'!$M$9,2),B66&lt;'112'!$K$9,$N66='112'!$I$6)),"x",""))</f>
        <v/>
      </c>
      <c r="V66" s="79" t="str">
        <f>IF(ISERROR(FIND('112'!$M$9,G66,1)),"",IF((AND(RIGHT(G66,2)=RIGHT('112'!$M$9,2),B66&lt;'112'!$K$9,$O66='112'!$I$6)),"x",""))</f>
        <v/>
      </c>
      <c r="W66" s="79" t="str">
        <f>IF(AND('341-CT'!$H$9=H66,OR(LEFT(N66,3)=$W$7,LEFT(O66,3)=$W$7)),"x","")</f>
        <v/>
      </c>
      <c r="X66" s="79" t="str">
        <f>IF(OR(TH!N66=TH!$X$7,O66=TH!$X$7),"x","")</f>
        <v/>
      </c>
      <c r="Y66" s="79" t="str">
        <f>IF(AND(OR(N66="131",O66="131"),H66='131-CT'!$H$9),"x","")</f>
        <v/>
      </c>
      <c r="Z66" s="79"/>
      <c r="AA66" s="79" t="str">
        <f>IF(AND(MONTH(E66)='IN-NX'!$J$5,'IN-NX'!$D$7=D66),"x","")</f>
        <v/>
      </c>
      <c r="AB66" s="79" t="str">
        <f>IF(AND(OR(LEFT(TH!N66,2)="15",LEFT(TH!O66,2)="15"),LEFT(TH!O66,3)&lt;&gt;"111",'152-CT'!$J$8=TH!F66),"x","")</f>
        <v/>
      </c>
      <c r="AC66" s="79" t="str">
        <f>IF(AND(OR(LEFT(TH!N66,2)="15",LEFT(TH!O66,2)="15"),TK!$E$7=TH!F66),"x","")</f>
        <v/>
      </c>
      <c r="AD66" s="79" t="str">
        <f>IF(AND(N66="1521",MONTH(C66)='BK-NL'!$M$11),"x","")</f>
        <v/>
      </c>
    </row>
    <row r="67" spans="1:30" ht="16.5" customHeight="1">
      <c r="A67" s="318" t="str">
        <f>IF(B67&lt;&gt;"",IF(AND(B67='IN-TC'!$S$4,OR(TH!N67="1111",TH!O67="1111")),TH!D67,""),"")</f>
        <v/>
      </c>
      <c r="B67" s="1106">
        <f t="shared" si="0"/>
        <v>1</v>
      </c>
      <c r="C67" s="682">
        <v>43131</v>
      </c>
      <c r="D67" s="682" t="s">
        <v>532</v>
      </c>
      <c r="E67" s="682">
        <f t="shared" si="2"/>
        <v>43131</v>
      </c>
      <c r="F67" s="943" t="s">
        <v>729</v>
      </c>
      <c r="G67" s="259"/>
      <c r="H67" s="305"/>
      <c r="I67" s="383"/>
      <c r="J67" s="390"/>
      <c r="K67" s="383"/>
      <c r="L67" s="390"/>
      <c r="M67" s="686">
        <f>ROUND(G61*$G66,0)</f>
        <v>0</v>
      </c>
      <c r="N67" s="687" t="s">
        <v>541</v>
      </c>
      <c r="O67" s="687" t="s">
        <v>543</v>
      </c>
      <c r="P67" s="79" t="str">
        <f>IF(AND('331-CT'!$E$7=TH!H67,OR(N67="331",O67="331")),"x","")</f>
        <v/>
      </c>
      <c r="Q67" s="79" t="str">
        <f>IF(AND(B67='111'!$L$11,OR($N67=$Q$7,$O67=$Q$7)),"x","")</f>
        <v/>
      </c>
      <c r="R67" s="79" t="str">
        <f>IF(AND($N67=$Q$7,$B67&lt;'111'!$L$11),"x","")</f>
        <v/>
      </c>
      <c r="S67" s="79" t="str">
        <f>IF(AND($O67=$Q$7,$B67&lt;'111'!$L$11),"x","")</f>
        <v/>
      </c>
      <c r="T67" s="79" t="str">
        <f>IF(ISERROR(FIND('112'!$M$9,G67,1)),"",IF((AND(FIND('112'!$M$9,G67,1)&gt;=1,B67='112'!$K$9,OR($N67='112'!$I$6,$O67='112'!$I$6))),"x",""))</f>
        <v/>
      </c>
      <c r="U67" s="79" t="str">
        <f>IF(ISERROR(FIND('112'!$M$9,G67,1)),"",IF((AND(LEFT(G67,2)=LEFT('112'!$M$9,2),B67&lt;'112'!$K$9,$N67='112'!$I$6)),"x",""))</f>
        <v/>
      </c>
      <c r="V67" s="79" t="str">
        <f>IF(ISERROR(FIND('112'!$M$9,G67,1)),"",IF((AND(RIGHT(G67,2)=RIGHT('112'!$M$9,2),B67&lt;'112'!$K$9,$O67='112'!$I$6)),"x",""))</f>
        <v/>
      </c>
      <c r="W67" s="79" t="str">
        <f>IF(AND('341-CT'!$H$9=H67,OR(LEFT(N67,3)=$W$7,LEFT(O67,3)=$W$7)),"x","")</f>
        <v/>
      </c>
      <c r="X67" s="79" t="str">
        <f>IF(OR(TH!N67=TH!$X$7,O67=TH!$X$7),"x","")</f>
        <v/>
      </c>
      <c r="Y67" s="79" t="str">
        <f>IF(AND(OR(N67="131",O67="131"),H67='131-CT'!$H$9),"x","")</f>
        <v/>
      </c>
      <c r="Z67" s="79"/>
      <c r="AA67" s="79" t="str">
        <f>IF(AND(MONTH(E67)='IN-NX'!$J$5,'IN-NX'!$D$7=D67),"x","")</f>
        <v/>
      </c>
      <c r="AB67" s="79" t="str">
        <f>IF(AND(OR(LEFT(TH!N67,2)="15",LEFT(TH!O67,2)="15"),LEFT(TH!O67,3)&lt;&gt;"111",'152-CT'!$J$8=TH!F67),"x","")</f>
        <v/>
      </c>
      <c r="AC67" s="79" t="str">
        <f>IF(AND(OR(LEFT(TH!N67,2)="15",LEFT(TH!O67,2)="15"),TK!$E$7=TH!F67),"x","")</f>
        <v/>
      </c>
      <c r="AD67" s="79" t="str">
        <f>IF(AND(N67="1521",MONTH(C67)='BK-NL'!$M$11),"x","")</f>
        <v/>
      </c>
    </row>
    <row r="68" spans="1:30" ht="16.5" customHeight="1">
      <c r="A68" s="318" t="str">
        <f>IF(B68&lt;&gt;"",IF(AND(B68='IN-TC'!$S$4,OR(TH!N68="1111",TH!O68="1111")),TH!D68,""),"")</f>
        <v/>
      </c>
      <c r="B68" s="1106">
        <f t="shared" si="0"/>
        <v>1</v>
      </c>
      <c r="C68" s="682">
        <v>43131</v>
      </c>
      <c r="D68" s="682" t="s">
        <v>532</v>
      </c>
      <c r="E68" s="682">
        <f t="shared" ref="E68:E103" si="7">C68</f>
        <v>43131</v>
      </c>
      <c r="F68" s="943" t="s">
        <v>730</v>
      </c>
      <c r="G68" s="763" t="s">
        <v>535</v>
      </c>
      <c r="H68" s="303"/>
      <c r="I68" s="385"/>
      <c r="J68" s="392"/>
      <c r="K68" s="385"/>
      <c r="L68" s="392"/>
      <c r="M68" s="686">
        <f>ROUND(G60*$G68,0)</f>
        <v>0</v>
      </c>
      <c r="N68" s="687" t="s">
        <v>540</v>
      </c>
      <c r="O68" s="687" t="s">
        <v>543</v>
      </c>
      <c r="P68" s="79" t="str">
        <f>IF(AND('331-CT'!$E$7=TH!H68,OR(N68="331",O68="331")),"x","")</f>
        <v/>
      </c>
      <c r="Q68" s="79" t="str">
        <f>IF(AND(B68='111'!$L$11,OR($N68=$Q$7,$O68=$Q$7)),"x","")</f>
        <v/>
      </c>
      <c r="R68" s="79" t="str">
        <f>IF(AND($N68=$Q$7,$B68&lt;'111'!$L$11),"x","")</f>
        <v/>
      </c>
      <c r="S68" s="79" t="str">
        <f>IF(AND($O68=$Q$7,$B68&lt;'111'!$L$11),"x","")</f>
        <v/>
      </c>
      <c r="T68" s="79" t="str">
        <f>IF(ISERROR(FIND('112'!$M$9,G68,1)),"",IF((AND(FIND('112'!$M$9,G68,1)&gt;=1,B68='112'!$K$9,OR($N68='112'!$I$6,$O68='112'!$I$6))),"x",""))</f>
        <v/>
      </c>
      <c r="U68" s="79" t="str">
        <f>IF(ISERROR(FIND('112'!$M$9,G68,1)),"",IF((AND(LEFT(G68,2)=LEFT('112'!$M$9,2),B68&lt;'112'!$K$9,$N68='112'!$I$6)),"x",""))</f>
        <v/>
      </c>
      <c r="V68" s="79" t="str">
        <f>IF(ISERROR(FIND('112'!$M$9,G68,1)),"",IF((AND(RIGHT(G68,2)=RIGHT('112'!$M$9,2),B68&lt;'112'!$K$9,$O68='112'!$I$6)),"x",""))</f>
        <v/>
      </c>
      <c r="W68" s="79" t="str">
        <f>IF(AND('341-CT'!$H$9=H68,OR(LEFT(N68,3)=$W$7,LEFT(O68,3)=$W$7)),"x","")</f>
        <v/>
      </c>
      <c r="X68" s="79" t="str">
        <f>IF(OR(TH!N68=TH!$X$7,O68=TH!$X$7),"x","")</f>
        <v/>
      </c>
      <c r="Y68" s="79" t="str">
        <f>IF(AND(OR(N68="131",O68="131"),H68='131-CT'!$H$9),"x","")</f>
        <v/>
      </c>
      <c r="Z68" s="79"/>
      <c r="AA68" s="79" t="str">
        <f>IF(AND(MONTH(E68)='IN-NX'!$J$5,'IN-NX'!$D$7=D68),"x","")</f>
        <v/>
      </c>
      <c r="AB68" s="79" t="str">
        <f>IF(AND(OR(LEFT(TH!N68,2)="15",LEFT(TH!O68,2)="15"),LEFT(TH!O68,3)&lt;&gt;"111",'152-CT'!$J$8=TH!F68),"x","")</f>
        <v/>
      </c>
      <c r="AC68" s="79" t="str">
        <f>IF(AND(OR(LEFT(TH!N68,2)="15",LEFT(TH!O68,2)="15"),TK!$E$7=TH!F68),"x","")</f>
        <v/>
      </c>
      <c r="AD68" s="79" t="str">
        <f>IF(AND(N68="1521",MONTH(C68)='BK-NL'!$M$11),"x","")</f>
        <v/>
      </c>
    </row>
    <row r="69" spans="1:30" ht="16.5" customHeight="1">
      <c r="A69" s="318" t="str">
        <f>IF(B69&lt;&gt;"",IF(AND(B69='IN-TC'!$S$4,OR(TH!N69="1111",TH!O69="1111")),TH!D69,""),"")</f>
        <v/>
      </c>
      <c r="B69" s="1106">
        <f t="shared" si="0"/>
        <v>1</v>
      </c>
      <c r="C69" s="682">
        <v>43131</v>
      </c>
      <c r="D69" s="682" t="s">
        <v>532</v>
      </c>
      <c r="E69" s="682">
        <f t="shared" si="7"/>
        <v>43131</v>
      </c>
      <c r="F69" s="943" t="s">
        <v>731</v>
      </c>
      <c r="G69" s="259"/>
      <c r="H69" s="303"/>
      <c r="I69" s="385"/>
      <c r="J69" s="392"/>
      <c r="K69" s="385"/>
      <c r="L69" s="392"/>
      <c r="M69" s="686">
        <f>ROUND(G61*$G68,0)</f>
        <v>0</v>
      </c>
      <c r="N69" s="687" t="s">
        <v>272</v>
      </c>
      <c r="O69" s="687" t="s">
        <v>543</v>
      </c>
      <c r="P69" s="79" t="str">
        <f>IF(AND('331-CT'!$E$7=TH!H69,OR(N69="331",O69="331")),"x","")</f>
        <v/>
      </c>
      <c r="Q69" s="79" t="str">
        <f>IF(AND(B69='111'!$L$11,OR($N69=$Q$7,$O69=$Q$7)),"x","")</f>
        <v/>
      </c>
      <c r="R69" s="79" t="str">
        <f>IF(AND($N69=$Q$7,$B69&lt;'111'!$L$11),"x","")</f>
        <v/>
      </c>
      <c r="S69" s="79" t="str">
        <f>IF(AND($O69=$Q$7,$B69&lt;'111'!$L$11),"x","")</f>
        <v/>
      </c>
      <c r="T69" s="79" t="str">
        <f>IF(ISERROR(FIND('112'!$M$9,G69,1)),"",IF((AND(FIND('112'!$M$9,G69,1)&gt;=1,B69='112'!$K$9,OR($N69='112'!$I$6,$O69='112'!$I$6))),"x",""))</f>
        <v/>
      </c>
      <c r="U69" s="79" t="str">
        <f>IF(ISERROR(FIND('112'!$M$9,G69,1)),"",IF((AND(LEFT(G69,2)=LEFT('112'!$M$9,2),B69&lt;'112'!$K$9,$N69='112'!$I$6)),"x",""))</f>
        <v/>
      </c>
      <c r="V69" s="79" t="str">
        <f>IF(ISERROR(FIND('112'!$M$9,G69,1)),"",IF((AND(RIGHT(G69,2)=RIGHT('112'!$M$9,2),B69&lt;'112'!$K$9,$O69='112'!$I$6)),"x",""))</f>
        <v/>
      </c>
      <c r="W69" s="79" t="str">
        <f>IF(AND('341-CT'!$H$9=H69,OR(LEFT(N69,3)=$W$7,LEFT(O69,3)=$W$7)),"x","")</f>
        <v/>
      </c>
      <c r="X69" s="79" t="str">
        <f>IF(OR(TH!N69=TH!$X$7,O69=TH!$X$7),"x","")</f>
        <v/>
      </c>
      <c r="Y69" s="79" t="str">
        <f>IF(AND(OR(N69="131",O69="131"),H69='131-CT'!$H$9),"x","")</f>
        <v/>
      </c>
      <c r="Z69" s="79"/>
      <c r="AA69" s="79" t="str">
        <f>IF(AND(MONTH(E69)='IN-NX'!$J$5,'IN-NX'!$D$7=D69),"x","")</f>
        <v/>
      </c>
      <c r="AB69" s="79" t="str">
        <f>IF(AND(OR(LEFT(TH!N69,2)="15",LEFT(TH!O69,2)="15"),LEFT(TH!O69,3)&lt;&gt;"111",'152-CT'!$J$8=TH!F69),"x","")</f>
        <v/>
      </c>
      <c r="AC69" s="79" t="str">
        <f>IF(AND(OR(LEFT(TH!N69,2)="15",LEFT(TH!O69,2)="15"),TK!$E$7=TH!F69),"x","")</f>
        <v/>
      </c>
      <c r="AD69" s="79" t="str">
        <f>IF(AND(N69="1521",MONTH(C69)='BK-NL'!$M$11),"x","")</f>
        <v/>
      </c>
    </row>
    <row r="70" spans="1:30" ht="16.5" customHeight="1">
      <c r="A70" s="318" t="str">
        <f>IF(B70&lt;&gt;"",IF(AND(B70='IN-TC'!$S$4,OR(TH!N70="1111",TH!O70="1111")),TH!D70,""),"")</f>
        <v/>
      </c>
      <c r="B70" s="1106">
        <f t="shared" si="0"/>
        <v>1</v>
      </c>
      <c r="C70" s="682">
        <v>43131</v>
      </c>
      <c r="D70" s="682" t="s">
        <v>532</v>
      </c>
      <c r="E70" s="682">
        <f t="shared" si="7"/>
        <v>43131</v>
      </c>
      <c r="F70" s="943" t="s">
        <v>732</v>
      </c>
      <c r="G70" s="763" t="s">
        <v>536</v>
      </c>
      <c r="H70" s="303"/>
      <c r="I70" s="385"/>
      <c r="J70" s="392"/>
      <c r="K70" s="385"/>
      <c r="L70" s="392"/>
      <c r="M70" s="686">
        <f>ROUND(G60*$G70,0)</f>
        <v>0</v>
      </c>
      <c r="N70" s="687" t="s">
        <v>541</v>
      </c>
      <c r="O70" s="687" t="s">
        <v>544</v>
      </c>
      <c r="P70" s="79" t="str">
        <f>IF(AND('331-CT'!$E$7=TH!H70,OR(N70="331",O70="331")),"x","")</f>
        <v/>
      </c>
      <c r="Q70" s="79" t="str">
        <f>IF(AND(B70='111'!$L$11,OR($N70=$Q$7,$O70=$Q$7)),"x","")</f>
        <v/>
      </c>
      <c r="R70" s="79" t="str">
        <f>IF(AND($N70=$Q$7,$B70&lt;'111'!$L$11),"x","")</f>
        <v/>
      </c>
      <c r="S70" s="79" t="str">
        <f>IF(AND($O70=$Q$7,$B70&lt;'111'!$L$11),"x","")</f>
        <v/>
      </c>
      <c r="T70" s="79" t="str">
        <f>IF(ISERROR(FIND('112'!$M$9,G70,1)),"",IF((AND(FIND('112'!$M$9,G70,1)&gt;=1,B70='112'!$K$9,OR($N70='112'!$I$6,$O70='112'!$I$6))),"x",""))</f>
        <v/>
      </c>
      <c r="U70" s="79" t="str">
        <f>IF(ISERROR(FIND('112'!$M$9,G70,1)),"",IF((AND(LEFT(G70,2)=LEFT('112'!$M$9,2),B70&lt;'112'!$K$9,$N70='112'!$I$6)),"x",""))</f>
        <v/>
      </c>
      <c r="V70" s="79" t="str">
        <f>IF(ISERROR(FIND('112'!$M$9,G70,1)),"",IF((AND(RIGHT(G70,2)=RIGHT('112'!$M$9,2),B70&lt;'112'!$K$9,$O70='112'!$I$6)),"x",""))</f>
        <v/>
      </c>
      <c r="W70" s="79" t="str">
        <f>IF(AND('341-CT'!$H$9=H70,OR(LEFT(N70,3)=$W$7,LEFT(O70,3)=$W$7)),"x","")</f>
        <v/>
      </c>
      <c r="X70" s="79" t="str">
        <f>IF(OR(TH!N70=TH!$X$7,O70=TH!$X$7),"x","")</f>
        <v/>
      </c>
      <c r="Y70" s="79" t="str">
        <f>IF(AND(OR(N70="131",O70="131"),H70='131-CT'!$H$9),"x","")</f>
        <v/>
      </c>
      <c r="Z70" s="79"/>
      <c r="AA70" s="79" t="str">
        <f>IF(AND(MONTH(E70)='IN-NX'!$J$5,'IN-NX'!$D$7=D70),"x","")</f>
        <v/>
      </c>
      <c r="AB70" s="79" t="str">
        <f>IF(AND(OR(LEFT(TH!N70,2)="15",LEFT(TH!O70,2)="15"),LEFT(TH!O70,3)&lt;&gt;"111",'152-CT'!$J$8=TH!F70),"x","")</f>
        <v/>
      </c>
      <c r="AC70" s="79" t="str">
        <f>IF(AND(OR(LEFT(TH!N70,2)="15",LEFT(TH!O70,2)="15"),TK!$E$7=TH!F70),"x","")</f>
        <v/>
      </c>
      <c r="AD70" s="79" t="str">
        <f>IF(AND(N70="1521",MONTH(C70)='BK-NL'!$M$11),"x","")</f>
        <v/>
      </c>
    </row>
    <row r="71" spans="1:30" ht="16.5" customHeight="1">
      <c r="A71" s="318" t="str">
        <f>IF(B71&lt;&gt;"",IF(AND(B71='IN-TC'!$S$4,OR(TH!N71="1111",TH!O71="1111")),TH!D71,""),"")</f>
        <v/>
      </c>
      <c r="B71" s="1106">
        <f t="shared" si="0"/>
        <v>1</v>
      </c>
      <c r="C71" s="682">
        <v>43131</v>
      </c>
      <c r="D71" s="682" t="s">
        <v>532</v>
      </c>
      <c r="E71" s="682">
        <f t="shared" si="7"/>
        <v>43131</v>
      </c>
      <c r="F71" s="943" t="s">
        <v>733</v>
      </c>
      <c r="G71" s="259"/>
      <c r="H71" s="303"/>
      <c r="I71" s="385"/>
      <c r="J71" s="392"/>
      <c r="K71" s="385"/>
      <c r="L71" s="392"/>
      <c r="M71" s="686">
        <f>ROUND(G61*$G70,0)</f>
        <v>0</v>
      </c>
      <c r="N71" s="687" t="s">
        <v>541</v>
      </c>
      <c r="O71" s="687" t="s">
        <v>544</v>
      </c>
      <c r="P71" s="79" t="str">
        <f>IF(AND('331-CT'!$E$7=TH!H71,OR(N71="331",O71="331")),"x","")</f>
        <v/>
      </c>
      <c r="Q71" s="79" t="str">
        <f>IF(AND(B71='111'!$L$11,OR($N71=$Q$7,$O71=$Q$7)),"x","")</f>
        <v/>
      </c>
      <c r="R71" s="79" t="str">
        <f>IF(AND($N71=$Q$7,$B71&lt;'111'!$L$11),"x","")</f>
        <v/>
      </c>
      <c r="S71" s="79" t="str">
        <f>IF(AND($O71=$Q$7,$B71&lt;'111'!$L$11),"x","")</f>
        <v/>
      </c>
      <c r="T71" s="79" t="str">
        <f>IF(ISERROR(FIND('112'!$M$9,G71,1)),"",IF((AND(FIND('112'!$M$9,G71,1)&gt;=1,B71='112'!$K$9,OR($N71='112'!$I$6,$O71='112'!$I$6))),"x",""))</f>
        <v/>
      </c>
      <c r="U71" s="79" t="str">
        <f>IF(ISERROR(FIND('112'!$M$9,G71,1)),"",IF((AND(LEFT(G71,2)=LEFT('112'!$M$9,2),B71&lt;'112'!$K$9,$N71='112'!$I$6)),"x",""))</f>
        <v/>
      </c>
      <c r="V71" s="79" t="str">
        <f>IF(ISERROR(FIND('112'!$M$9,G71,1)),"",IF((AND(RIGHT(G71,2)=RIGHT('112'!$M$9,2),B71&lt;'112'!$K$9,$O71='112'!$I$6)),"x",""))</f>
        <v/>
      </c>
      <c r="W71" s="79" t="str">
        <f>IF(AND('341-CT'!$H$9=H71,OR(LEFT(N71,3)=$W$7,LEFT(O71,3)=$W$7)),"x","")</f>
        <v/>
      </c>
      <c r="X71" s="79" t="str">
        <f>IF(OR(TH!N71=TH!$X$7,O71=TH!$X$7),"x","")</f>
        <v/>
      </c>
      <c r="Y71" s="79" t="str">
        <f>IF(AND(OR(N71="131",O71="131"),H71='131-CT'!$H$9),"x","")</f>
        <v/>
      </c>
      <c r="Z71" s="79"/>
      <c r="AA71" s="79" t="str">
        <f>IF(AND(MONTH(E71)='IN-NX'!$J$5,'IN-NX'!$D$7=D71),"x","")</f>
        <v/>
      </c>
      <c r="AB71" s="79" t="str">
        <f>IF(AND(OR(LEFT(TH!N71,2)="15",LEFT(TH!O71,2)="15"),LEFT(TH!O71,3)&lt;&gt;"111",'152-CT'!$J$8=TH!F71),"x","")</f>
        <v/>
      </c>
      <c r="AC71" s="79" t="str">
        <f>IF(AND(OR(LEFT(TH!N71,2)="15",LEFT(TH!O71,2)="15"),TK!$E$7=TH!F71),"x","")</f>
        <v/>
      </c>
      <c r="AD71" s="79" t="str">
        <f>IF(AND(N71="1521",MONTH(C71)='BK-NL'!$M$11),"x","")</f>
        <v/>
      </c>
    </row>
    <row r="72" spans="1:30" ht="16.5" customHeight="1">
      <c r="A72" s="318" t="str">
        <f>IF(B72&lt;&gt;"",IF(AND(B72='IN-TC'!$S$4,OR(TH!N72="1111",TH!O72="1111")),TH!D72,""),"")</f>
        <v/>
      </c>
      <c r="B72" s="1106">
        <f t="shared" si="0"/>
        <v>1</v>
      </c>
      <c r="C72" s="682">
        <v>43131</v>
      </c>
      <c r="D72" s="682" t="s">
        <v>532</v>
      </c>
      <c r="E72" s="682">
        <f t="shared" si="7"/>
        <v>43131</v>
      </c>
      <c r="F72" s="943" t="s">
        <v>734</v>
      </c>
      <c r="G72" s="763" t="s">
        <v>536</v>
      </c>
      <c r="H72" s="901"/>
      <c r="I72" s="386"/>
      <c r="J72" s="393"/>
      <c r="K72" s="386"/>
      <c r="L72" s="393"/>
      <c r="M72" s="686">
        <f>M70</f>
        <v>0</v>
      </c>
      <c r="N72" s="687" t="s">
        <v>540</v>
      </c>
      <c r="O72" s="687" t="s">
        <v>544</v>
      </c>
      <c r="P72" s="79" t="str">
        <f>IF(AND('331-CT'!$E$7=TH!H72,OR(N72="331",O72="331")),"x","")</f>
        <v/>
      </c>
      <c r="Q72" s="79" t="str">
        <f>IF(AND(B72='111'!$L$11,OR($N72=$Q$7,$O72=$Q$7)),"x","")</f>
        <v/>
      </c>
      <c r="R72" s="79" t="str">
        <f>IF(AND($N72=$Q$7,$B72&lt;'111'!$L$11),"x","")</f>
        <v/>
      </c>
      <c r="S72" s="79" t="str">
        <f>IF(AND($O72=$Q$7,$B72&lt;'111'!$L$11),"x","")</f>
        <v/>
      </c>
      <c r="T72" s="79" t="str">
        <f>IF(ISERROR(FIND('112'!$M$9,G72,1)),"",IF((AND(FIND('112'!$M$9,G72,1)&gt;=1,B72='112'!$K$9,OR($N72='112'!$I$6,$O72='112'!$I$6))),"x",""))</f>
        <v/>
      </c>
      <c r="U72" s="79" t="str">
        <f>IF(ISERROR(FIND('112'!$M$9,G72,1)),"",IF((AND(LEFT(G72,2)=LEFT('112'!$M$9,2),B72&lt;'112'!$K$9,$N72='112'!$I$6)),"x",""))</f>
        <v/>
      </c>
      <c r="V72" s="79" t="str">
        <f>IF(ISERROR(FIND('112'!$M$9,G72,1)),"",IF((AND(RIGHT(G72,2)=RIGHT('112'!$M$9,2),B72&lt;'112'!$K$9,$O72='112'!$I$6)),"x",""))</f>
        <v/>
      </c>
      <c r="W72" s="79" t="str">
        <f>IF(AND('341-CT'!$H$9=H72,OR(LEFT(N72,3)=$W$7,LEFT(O72,3)=$W$7)),"x","")</f>
        <v/>
      </c>
      <c r="X72" s="79" t="str">
        <f>IF(OR(TH!N72=TH!$X$7,O72=TH!$X$7),"x","")</f>
        <v/>
      </c>
      <c r="Y72" s="79" t="str">
        <f>IF(AND(OR(N72="131",O72="131"),H72='131-CT'!$H$9),"x","")</f>
        <v/>
      </c>
      <c r="Z72" s="79"/>
      <c r="AA72" s="79" t="str">
        <f>IF(AND(MONTH(E72)='IN-NX'!$J$5,'IN-NX'!$D$7=D72),"x","")</f>
        <v/>
      </c>
      <c r="AB72" s="79" t="str">
        <f>IF(AND(OR(LEFT(TH!N72,2)="15",LEFT(TH!O72,2)="15"),LEFT(TH!O72,3)&lt;&gt;"111",'152-CT'!$J$8=TH!F72),"x","")</f>
        <v/>
      </c>
      <c r="AC72" s="79" t="str">
        <f>IF(AND(OR(LEFT(TH!N72,2)="15",LEFT(TH!O72,2)="15"),TK!$E$7=TH!F72),"x","")</f>
        <v/>
      </c>
      <c r="AD72" s="79" t="str">
        <f>IF(AND(N72="1521",MONTH(C72)='BK-NL'!$M$11),"x","")</f>
        <v/>
      </c>
    </row>
    <row r="73" spans="1:30" ht="16.5" customHeight="1">
      <c r="A73" s="318" t="str">
        <f>IF(B73&lt;&gt;"",IF(AND(B73='IN-TC'!$S$4,OR(TH!N73="1111",TH!O73="1111")),TH!D73,""),"")</f>
        <v/>
      </c>
      <c r="B73" s="1106">
        <f t="shared" si="0"/>
        <v>1</v>
      </c>
      <c r="C73" s="682">
        <v>43131</v>
      </c>
      <c r="D73" s="682" t="s">
        <v>532</v>
      </c>
      <c r="E73" s="682">
        <f t="shared" si="7"/>
        <v>43131</v>
      </c>
      <c r="F73" s="943" t="s">
        <v>735</v>
      </c>
      <c r="G73" s="259"/>
      <c r="H73" s="303"/>
      <c r="I73" s="385"/>
      <c r="J73" s="392"/>
      <c r="K73" s="385"/>
      <c r="L73" s="392"/>
      <c r="M73" s="686">
        <f>M71</f>
        <v>0</v>
      </c>
      <c r="N73" s="687" t="s">
        <v>272</v>
      </c>
      <c r="O73" s="687" t="s">
        <v>544</v>
      </c>
      <c r="P73" s="79" t="str">
        <f>IF(AND('331-CT'!$E$7=TH!H73,OR(N73="331",O73="331")),"x","")</f>
        <v/>
      </c>
      <c r="Q73" s="79" t="str">
        <f>IF(AND(B73='111'!$L$11,OR($N73=$Q$7,$O73=$Q$7)),"x","")</f>
        <v/>
      </c>
      <c r="R73" s="79" t="str">
        <f>IF(AND($N73=$Q$7,$B73&lt;'111'!$L$11),"x","")</f>
        <v/>
      </c>
      <c r="S73" s="79" t="str">
        <f>IF(AND($O73=$Q$7,$B73&lt;'111'!$L$11),"x","")</f>
        <v/>
      </c>
      <c r="T73" s="79" t="str">
        <f>IF(ISERROR(FIND('112'!$M$9,G73,1)),"",IF((AND(FIND('112'!$M$9,G73,1)&gt;=1,B73='112'!$K$9,OR($N73='112'!$I$6,$O73='112'!$I$6))),"x",""))</f>
        <v/>
      </c>
      <c r="U73" s="79" t="str">
        <f>IF(ISERROR(FIND('112'!$M$9,G73,1)),"",IF((AND(LEFT(G73,2)=LEFT('112'!$M$9,2),B73&lt;'112'!$K$9,$N73='112'!$I$6)),"x",""))</f>
        <v/>
      </c>
      <c r="V73" s="79" t="str">
        <f>IF(ISERROR(FIND('112'!$M$9,G73,1)),"",IF((AND(RIGHT(G73,2)=RIGHT('112'!$M$9,2),B73&lt;'112'!$K$9,$O73='112'!$I$6)),"x",""))</f>
        <v/>
      </c>
      <c r="W73" s="79" t="str">
        <f>IF(AND('341-CT'!$H$9=H73,OR(LEFT(N73,3)=$W$7,LEFT(O73,3)=$W$7)),"x","")</f>
        <v/>
      </c>
      <c r="X73" s="79" t="str">
        <f>IF(OR(TH!N73=TH!$X$7,O73=TH!$X$7),"x","")</f>
        <v/>
      </c>
      <c r="Y73" s="79" t="str">
        <f>IF(AND(OR(N73="131",O73="131"),H73='131-CT'!$H$9),"x","")</f>
        <v/>
      </c>
      <c r="Z73" s="79"/>
      <c r="AA73" s="79" t="str">
        <f>IF(AND(MONTH(E73)='IN-NX'!$J$5,'IN-NX'!$D$7=D73),"x","")</f>
        <v/>
      </c>
      <c r="AB73" s="79" t="str">
        <f>IF(AND(OR(LEFT(TH!N73,2)="15",LEFT(TH!O73,2)="15"),LEFT(TH!O73,3)&lt;&gt;"111",'152-CT'!$J$8=TH!F73),"x","")</f>
        <v/>
      </c>
      <c r="AC73" s="79" t="str">
        <f>IF(AND(OR(LEFT(TH!N73,2)="15",LEFT(TH!O73,2)="15"),TK!$E$7=TH!F73),"x","")</f>
        <v/>
      </c>
      <c r="AD73" s="79" t="str">
        <f>IF(AND(N73="1521",MONTH(C73)='BK-NL'!$M$11),"x","")</f>
        <v/>
      </c>
    </row>
    <row r="74" spans="1:30" ht="16.5" customHeight="1">
      <c r="A74" s="318" t="str">
        <f>IF(B74&lt;&gt;"",IF(AND(B74='IN-TC'!$S$4,OR(TH!N74="1111",TH!O74="1111")),TH!D74,""),"")</f>
        <v/>
      </c>
      <c r="B74" s="1106">
        <f t="shared" ref="B74:B75" si="8">IF(C74&lt;&gt;"",MONTH(C74),"")</f>
        <v>1</v>
      </c>
      <c r="C74" s="682">
        <v>43131</v>
      </c>
      <c r="D74" s="682" t="s">
        <v>532</v>
      </c>
      <c r="E74" s="682">
        <f t="shared" ref="E74:E75" si="9">C74</f>
        <v>43131</v>
      </c>
      <c r="F74" s="943" t="s">
        <v>954</v>
      </c>
      <c r="G74" s="763" t="s">
        <v>956</v>
      </c>
      <c r="H74" s="303"/>
      <c r="I74" s="385"/>
      <c r="J74" s="392"/>
      <c r="K74" s="385"/>
      <c r="L74" s="392"/>
      <c r="M74" s="686">
        <f>G60*$G74</f>
        <v>0</v>
      </c>
      <c r="N74" s="687" t="s">
        <v>540</v>
      </c>
      <c r="O74" s="687" t="s">
        <v>19</v>
      </c>
      <c r="P74" s="79" t="str">
        <f>IF(AND('331-CT'!$E$7=TH!H74,OR(N74="331",O74="331")),"x","")</f>
        <v/>
      </c>
      <c r="Q74" s="79" t="str">
        <f>IF(AND(B74='111'!$L$11,OR($N74=$Q$7,$O74=$Q$7)),"x","")</f>
        <v/>
      </c>
      <c r="R74" s="79" t="str">
        <f>IF(AND($N74=$Q$7,$B74&lt;'111'!$L$11),"x","")</f>
        <v/>
      </c>
      <c r="S74" s="79" t="str">
        <f>IF(AND($O74=$Q$7,$B74&lt;'111'!$L$11),"x","")</f>
        <v/>
      </c>
      <c r="T74" s="79" t="str">
        <f>IF(ISERROR(FIND('112'!$M$9,G74,1)),"",IF((AND(FIND('112'!$M$9,G74,1)&gt;=1,B74='112'!$K$9,OR($N74='112'!$I$6,$O74='112'!$I$6))),"x",""))</f>
        <v/>
      </c>
      <c r="U74" s="79" t="str">
        <f>IF(ISERROR(FIND('112'!$M$9,G74,1)),"",IF((AND(LEFT(G74,2)=LEFT('112'!$M$9,2),B74&lt;'112'!$K$9,$N74='112'!$I$6)),"x",""))</f>
        <v/>
      </c>
      <c r="V74" s="79" t="str">
        <f>IF(ISERROR(FIND('112'!$M$9,G74,1)),"",IF((AND(RIGHT(G74,2)=RIGHT('112'!$M$9,2),B74&lt;'112'!$K$9,$O74='112'!$I$6)),"x",""))</f>
        <v/>
      </c>
      <c r="W74" s="79" t="str">
        <f>IF(AND('341-CT'!$H$9=H74,OR(LEFT(N74,3)=$W$7,LEFT(O74,3)=$W$7)),"x","")</f>
        <v/>
      </c>
      <c r="X74" s="79" t="str">
        <f>IF(OR(TH!N74=TH!$X$7,O74=TH!$X$7),"x","")</f>
        <v/>
      </c>
      <c r="Y74" s="79" t="str">
        <f>IF(AND(OR(N74="131",O74="131"),H74='131-CT'!$H$9),"x","")</f>
        <v/>
      </c>
      <c r="Z74" s="79"/>
      <c r="AA74" s="79" t="str">
        <f>IF(AND(MONTH(E74)='IN-NX'!$J$5,'IN-NX'!$D$7=D74),"x","")</f>
        <v/>
      </c>
      <c r="AB74" s="79" t="str">
        <f>IF(AND(OR(LEFT(TH!N74,2)="15",LEFT(TH!O74,2)="15"),LEFT(TH!O74,3)&lt;&gt;"111",'152-CT'!$J$8=TH!F74),"x","")</f>
        <v/>
      </c>
      <c r="AC74" s="79" t="str">
        <f>IF(AND(OR(LEFT(TH!N74,2)="15",LEFT(TH!O74,2)="15"),TK!$E$7=TH!F74),"x","")</f>
        <v/>
      </c>
      <c r="AD74" s="79" t="str">
        <f>IF(AND(N74="1521",MONTH(C74)='BK-NL'!$M$11),"x","")</f>
        <v/>
      </c>
    </row>
    <row r="75" spans="1:30" ht="16.5" customHeight="1">
      <c r="A75" s="318" t="str">
        <f>IF(B75&lt;&gt;"",IF(AND(B75='IN-TC'!$S$4,OR(TH!N75="1111",TH!O75="1111")),TH!D75,""),"")</f>
        <v/>
      </c>
      <c r="B75" s="1106">
        <f t="shared" si="8"/>
        <v>1</v>
      </c>
      <c r="C75" s="682">
        <v>43131</v>
      </c>
      <c r="D75" s="682" t="s">
        <v>532</v>
      </c>
      <c r="E75" s="682">
        <f t="shared" si="9"/>
        <v>43131</v>
      </c>
      <c r="F75" s="943" t="s">
        <v>955</v>
      </c>
      <c r="G75" s="259"/>
      <c r="H75" s="303"/>
      <c r="I75" s="385"/>
      <c r="J75" s="392"/>
      <c r="K75" s="385"/>
      <c r="L75" s="392"/>
      <c r="M75" s="686">
        <f>G61*$G74</f>
        <v>0</v>
      </c>
      <c r="N75" s="687" t="s">
        <v>272</v>
      </c>
      <c r="O75" s="687" t="s">
        <v>19</v>
      </c>
      <c r="P75" s="79" t="str">
        <f>IF(AND('331-CT'!$E$7=TH!H75,OR(N75="331",O75="331")),"x","")</f>
        <v/>
      </c>
      <c r="Q75" s="79" t="str">
        <f>IF(AND(B75='111'!$L$11,OR($N75=$Q$7,$O75=$Q$7)),"x","")</f>
        <v/>
      </c>
      <c r="R75" s="79" t="str">
        <f>IF(AND($N75=$Q$7,$B75&lt;'111'!$L$11),"x","")</f>
        <v/>
      </c>
      <c r="S75" s="79" t="str">
        <f>IF(AND($O75=$Q$7,$B75&lt;'111'!$L$11),"x","")</f>
        <v/>
      </c>
      <c r="T75" s="79" t="str">
        <f>IF(ISERROR(FIND('112'!$M$9,G75,1)),"",IF((AND(FIND('112'!$M$9,G75,1)&gt;=1,B75='112'!$K$9,OR($N75='112'!$I$6,$O75='112'!$I$6))),"x",""))</f>
        <v/>
      </c>
      <c r="U75" s="79" t="str">
        <f>IF(ISERROR(FIND('112'!$M$9,G75,1)),"",IF((AND(LEFT(G75,2)=LEFT('112'!$M$9,2),B75&lt;'112'!$K$9,$N75='112'!$I$6)),"x",""))</f>
        <v/>
      </c>
      <c r="V75" s="79" t="str">
        <f>IF(ISERROR(FIND('112'!$M$9,G75,1)),"",IF((AND(RIGHT(G75,2)=RIGHT('112'!$M$9,2),B75&lt;'112'!$K$9,$O75='112'!$I$6)),"x",""))</f>
        <v/>
      </c>
      <c r="W75" s="79" t="str">
        <f>IF(AND('341-CT'!$H$9=H75,OR(LEFT(N75,3)=$W$7,LEFT(O75,3)=$W$7)),"x","")</f>
        <v/>
      </c>
      <c r="X75" s="79" t="str">
        <f>IF(OR(TH!N75=TH!$X$7,O75=TH!$X$7),"x","")</f>
        <v/>
      </c>
      <c r="Y75" s="79" t="str">
        <f>IF(AND(OR(N75="131",O75="131"),H75='131-CT'!$H$9),"x","")</f>
        <v/>
      </c>
      <c r="Z75" s="79"/>
      <c r="AA75" s="79" t="str">
        <f>IF(AND(MONTH(E75)='IN-NX'!$J$5,'IN-NX'!$D$7=D75),"x","")</f>
        <v/>
      </c>
      <c r="AB75" s="79" t="str">
        <f>IF(AND(OR(LEFT(TH!N75,2)="15",LEFT(TH!O75,2)="15"),LEFT(TH!O75,3)&lt;&gt;"111",'152-CT'!$J$8=TH!F75),"x","")</f>
        <v/>
      </c>
      <c r="AC75" s="79" t="str">
        <f>IF(AND(OR(LEFT(TH!N75,2)="15",LEFT(TH!O75,2)="15"),TK!$E$7=TH!F75),"x","")</f>
        <v/>
      </c>
      <c r="AD75" s="79" t="str">
        <f>IF(AND(N75="1521",MONTH(C75)='BK-NL'!$M$11),"x","")</f>
        <v/>
      </c>
    </row>
    <row r="76" spans="1:30" ht="16.5" customHeight="1">
      <c r="A76" s="318" t="str">
        <f>IF(B76&lt;&gt;"",IF(AND(B76='IN-TC'!$S$4,OR(TH!N76="1111",TH!O76="1111")),TH!D76,""),"")</f>
        <v/>
      </c>
      <c r="B76" s="1166">
        <f t="shared" si="0"/>
        <v>2</v>
      </c>
      <c r="C76" s="682">
        <v>43159</v>
      </c>
      <c r="D76" s="682" t="s">
        <v>532</v>
      </c>
      <c r="E76" s="682">
        <f t="shared" si="7"/>
        <v>43159</v>
      </c>
      <c r="F76" s="943" t="s">
        <v>722</v>
      </c>
      <c r="G76" s="259"/>
      <c r="H76" s="303"/>
      <c r="I76" s="385"/>
      <c r="J76" s="392"/>
      <c r="K76" s="385"/>
      <c r="L76" s="392"/>
      <c r="M76" s="686"/>
      <c r="N76" s="687" t="s">
        <v>540</v>
      </c>
      <c r="O76" s="687" t="s">
        <v>541</v>
      </c>
      <c r="P76" s="79" t="str">
        <f>IF(AND('331-CT'!$E$7=TH!H76,OR(N76="331",O76="331")),"x","")</f>
        <v/>
      </c>
      <c r="Q76" s="79" t="str">
        <f>IF(AND(B76='111'!$L$11,OR($N76=$Q$7,$O76=$Q$7)),"x","")</f>
        <v/>
      </c>
      <c r="R76" s="79" t="str">
        <f>IF(AND($N76=$Q$7,$B76&lt;'111'!$L$11),"x","")</f>
        <v/>
      </c>
      <c r="S76" s="79" t="str">
        <f>IF(AND($O76=$Q$7,$B76&lt;'111'!$L$11),"x","")</f>
        <v/>
      </c>
      <c r="T76" s="79" t="str">
        <f>IF(ISERROR(FIND('112'!$M$9,G76,1)),"",IF((AND(FIND('112'!$M$9,G76,1)&gt;=1,B76='112'!$K$9,OR($N76='112'!$I$6,$O76='112'!$I$6))),"x",""))</f>
        <v/>
      </c>
      <c r="U76" s="79" t="str">
        <f>IF(ISERROR(FIND('112'!$M$9,G76,1)),"",IF((AND(LEFT(G76,2)=LEFT('112'!$M$9,2),B76&lt;'112'!$K$9,$N76='112'!$I$6)),"x",""))</f>
        <v/>
      </c>
      <c r="V76" s="79" t="str">
        <f>IF(ISERROR(FIND('112'!$M$9,G76,1)),"",IF((AND(RIGHT(G76,2)=RIGHT('112'!$M$9,2),B76&lt;'112'!$K$9,$O76='112'!$I$6)),"x",""))</f>
        <v/>
      </c>
      <c r="W76" s="79" t="str">
        <f>IF(AND('341-CT'!$H$9=H76,OR(LEFT(N76,3)=$W$7,LEFT(O76,3)=$W$7)),"x","")</f>
        <v/>
      </c>
      <c r="X76" s="79" t="str">
        <f>IF(OR(TH!N76=TH!$X$7,O76=TH!$X$7),"x","")</f>
        <v/>
      </c>
      <c r="Y76" s="79" t="str">
        <f>IF(AND(OR(N76="131",O76="131"),H76='131-CT'!$H$9),"x","")</f>
        <v/>
      </c>
      <c r="Z76" s="79"/>
      <c r="AA76" s="79" t="str">
        <f>IF(AND(MONTH(E76)='IN-NX'!$J$5,'IN-NX'!$D$7=D76),"x","")</f>
        <v/>
      </c>
      <c r="AB76" s="79" t="str">
        <f>IF(AND(OR(LEFT(TH!N76,2)="15",LEFT(TH!O76,2)="15"),LEFT(TH!O76,3)&lt;&gt;"111",'152-CT'!$J$8=TH!F76),"x","")</f>
        <v/>
      </c>
      <c r="AC76" s="79" t="str">
        <f>IF(AND(OR(LEFT(TH!N76,2)="15",LEFT(TH!O76,2)="15"),TK!$E$7=TH!F76),"x","")</f>
        <v/>
      </c>
      <c r="AD76" s="79" t="str">
        <f>IF(AND(N76="1521",MONTH(C76)='BK-NL'!$M$11),"x","")</f>
        <v/>
      </c>
    </row>
    <row r="77" spans="1:30" ht="16.5" customHeight="1">
      <c r="A77" s="318" t="str">
        <f>IF(B77&lt;&gt;"",IF(AND(B77='IN-TC'!$S$4,OR(TH!N77="1111",TH!O77="1111")),TH!D77,""),"")</f>
        <v/>
      </c>
      <c r="B77" s="1166">
        <f t="shared" si="0"/>
        <v>2</v>
      </c>
      <c r="C77" s="682">
        <v>43159</v>
      </c>
      <c r="D77" s="682" t="s">
        <v>532</v>
      </c>
      <c r="E77" s="682">
        <f t="shared" si="7"/>
        <v>43159</v>
      </c>
      <c r="F77" s="943" t="s">
        <v>723</v>
      </c>
      <c r="G77" s="259"/>
      <c r="H77" s="303"/>
      <c r="I77" s="385"/>
      <c r="J77" s="392"/>
      <c r="K77" s="385"/>
      <c r="L77" s="392"/>
      <c r="M77" s="686"/>
      <c r="N77" s="687" t="s">
        <v>272</v>
      </c>
      <c r="O77" s="687" t="s">
        <v>541</v>
      </c>
      <c r="P77" s="79" t="str">
        <f>IF(AND('331-CT'!$E$7=TH!H77,OR(N77="331",O77="331")),"x","")</f>
        <v/>
      </c>
      <c r="Q77" s="79" t="str">
        <f>IF(AND(B77='111'!$L$11,OR($N77=$Q$7,$O77=$Q$7)),"x","")</f>
        <v/>
      </c>
      <c r="R77" s="79" t="str">
        <f>IF(AND($N77=$Q$7,$B77&lt;'111'!$L$11),"x","")</f>
        <v/>
      </c>
      <c r="S77" s="79" t="str">
        <f>IF(AND($O77=$Q$7,$B77&lt;'111'!$L$11),"x","")</f>
        <v/>
      </c>
      <c r="T77" s="79" t="str">
        <f>IF(ISERROR(FIND('112'!$M$9,G77,1)),"",IF((AND(FIND('112'!$M$9,G77,1)&gt;=1,B77='112'!$K$9,OR($N77='112'!$I$6,$O77='112'!$I$6))),"x",""))</f>
        <v/>
      </c>
      <c r="U77" s="79" t="str">
        <f>IF(ISERROR(FIND('112'!$M$9,G77,1)),"",IF((AND(LEFT(G77,2)=LEFT('112'!$M$9,2),B77&lt;'112'!$K$9,$N77='112'!$I$6)),"x",""))</f>
        <v/>
      </c>
      <c r="V77" s="79" t="str">
        <f>IF(ISERROR(FIND('112'!$M$9,G77,1)),"",IF((AND(RIGHT(G77,2)=RIGHT('112'!$M$9,2),B77&lt;'112'!$K$9,$O77='112'!$I$6)),"x",""))</f>
        <v/>
      </c>
      <c r="W77" s="79" t="str">
        <f>IF(AND('341-CT'!$H$9=H77,OR(LEFT(N77,3)=$W$7,LEFT(O77,3)=$W$7)),"x","")</f>
        <v/>
      </c>
      <c r="X77" s="79" t="str">
        <f>IF(OR(TH!N77=TH!$X$7,O77=TH!$X$7),"x","")</f>
        <v/>
      </c>
      <c r="Y77" s="79" t="str">
        <f>IF(AND(OR(N77="131",O77="131"),H77='131-CT'!$H$9),"x","")</f>
        <v/>
      </c>
      <c r="Z77" s="79"/>
      <c r="AA77" s="79" t="str">
        <f>IF(AND(MONTH(E77)='IN-NX'!$J$5,'IN-NX'!$D$7=D77),"x","")</f>
        <v/>
      </c>
      <c r="AB77" s="79" t="str">
        <f>IF(AND(OR(LEFT(TH!N77,2)="15",LEFT(TH!O77,2)="15"),LEFT(TH!O77,3)&lt;&gt;"111",'152-CT'!$J$8=TH!F77),"x","")</f>
        <v/>
      </c>
      <c r="AC77" s="79" t="str">
        <f>IF(AND(OR(LEFT(TH!N77,2)="15",LEFT(TH!O77,2)="15"),TK!$E$7=TH!F77),"x","")</f>
        <v/>
      </c>
      <c r="AD77" s="79" t="str">
        <f>IF(AND(N77="1521",MONTH(C77)='BK-NL'!$M$11),"x","")</f>
        <v/>
      </c>
    </row>
    <row r="78" spans="1:30" ht="16.5" customHeight="1">
      <c r="A78" s="318" t="str">
        <f>IF(B78&lt;&gt;"",IF(AND(B78='IN-TC'!$S$4,OR(TH!N78="1111",TH!O78="1111")),TH!D78,""),"")</f>
        <v/>
      </c>
      <c r="B78" s="1166">
        <f t="shared" si="0"/>
        <v>2</v>
      </c>
      <c r="C78" s="682">
        <v>43159</v>
      </c>
      <c r="D78" s="682" t="s">
        <v>532</v>
      </c>
      <c r="E78" s="682">
        <f t="shared" si="7"/>
        <v>43159</v>
      </c>
      <c r="F78" s="943" t="s">
        <v>724</v>
      </c>
      <c r="G78" s="763" t="s">
        <v>533</v>
      </c>
      <c r="H78" s="303"/>
      <c r="I78" s="385"/>
      <c r="J78" s="392"/>
      <c r="K78" s="385"/>
      <c r="L78" s="392"/>
      <c r="M78" s="686">
        <f>ROUND(G76*$G78,0)</f>
        <v>0</v>
      </c>
      <c r="N78" s="687" t="s">
        <v>541</v>
      </c>
      <c r="O78" s="687" t="s">
        <v>542</v>
      </c>
      <c r="P78" s="79" t="str">
        <f>IF(AND('331-CT'!$E$7=TH!H78,OR(N78="331",O78="331")),"x","")</f>
        <v/>
      </c>
      <c r="Q78" s="79" t="str">
        <f>IF(AND(B78='111'!$L$11,OR($N78=$Q$7,$O78=$Q$7)),"x","")</f>
        <v/>
      </c>
      <c r="R78" s="79" t="str">
        <f>IF(AND($N78=$Q$7,$B78&lt;'111'!$L$11),"x","")</f>
        <v/>
      </c>
      <c r="S78" s="79" t="str">
        <f>IF(AND($O78=$Q$7,$B78&lt;'111'!$L$11),"x","")</f>
        <v/>
      </c>
      <c r="T78" s="79" t="str">
        <f>IF(ISERROR(FIND('112'!$M$9,G78,1)),"",IF((AND(FIND('112'!$M$9,G78,1)&gt;=1,B78='112'!$K$9,OR($N78='112'!$I$6,$O78='112'!$I$6))),"x",""))</f>
        <v/>
      </c>
      <c r="U78" s="79" t="str">
        <f>IF(ISERROR(FIND('112'!$M$9,G78,1)),"",IF((AND(LEFT(G78,2)=LEFT('112'!$M$9,2),B78&lt;'112'!$K$9,$N78='112'!$I$6)),"x",""))</f>
        <v/>
      </c>
      <c r="V78" s="79" t="str">
        <f>IF(ISERROR(FIND('112'!$M$9,G78,1)),"",IF((AND(RIGHT(G78,2)=RIGHT('112'!$M$9,2),B78&lt;'112'!$K$9,$O78='112'!$I$6)),"x",""))</f>
        <v/>
      </c>
      <c r="W78" s="79" t="str">
        <f>IF(AND('341-CT'!$H$9=H78,OR(LEFT(N78,3)=$W$7,LEFT(O78,3)=$W$7)),"x","")</f>
        <v/>
      </c>
      <c r="X78" s="79" t="str">
        <f>IF(OR(TH!N78=TH!$X$7,O78=TH!$X$7),"x","")</f>
        <v/>
      </c>
      <c r="Y78" s="79" t="str">
        <f>IF(AND(OR(N78="131",O78="131"),H78='131-CT'!$H$9),"x","")</f>
        <v/>
      </c>
      <c r="Z78" s="79"/>
      <c r="AA78" s="79" t="str">
        <f>IF(AND(MONTH(E78)='IN-NX'!$J$5,'IN-NX'!$D$7=D78),"x","")</f>
        <v/>
      </c>
      <c r="AB78" s="79" t="str">
        <f>IF(AND(OR(LEFT(TH!N78,2)="15",LEFT(TH!O78,2)="15"),LEFT(TH!O78,3)&lt;&gt;"111",'152-CT'!$J$8=TH!F78),"x","")</f>
        <v/>
      </c>
      <c r="AC78" s="79" t="str">
        <f>IF(AND(OR(LEFT(TH!N78,2)="15",LEFT(TH!O78,2)="15"),TK!$E$7=TH!F78),"x","")</f>
        <v/>
      </c>
      <c r="AD78" s="79" t="str">
        <f>IF(AND(N78="1521",MONTH(C78)='BK-NL'!$M$11),"x","")</f>
        <v/>
      </c>
    </row>
    <row r="79" spans="1:30" ht="16.5" customHeight="1">
      <c r="A79" s="318" t="str">
        <f>IF(B79&lt;&gt;"",IF(AND(B79='IN-TC'!$S$4,OR(TH!N79="1111",TH!O79="1111")),TH!D79,""),"")</f>
        <v/>
      </c>
      <c r="B79" s="1166">
        <f t="shared" si="0"/>
        <v>2</v>
      </c>
      <c r="C79" s="682">
        <v>43159</v>
      </c>
      <c r="D79" s="682" t="s">
        <v>532</v>
      </c>
      <c r="E79" s="682">
        <f t="shared" si="7"/>
        <v>43159</v>
      </c>
      <c r="F79" s="943" t="s">
        <v>725</v>
      </c>
      <c r="G79" s="259"/>
      <c r="H79" s="303"/>
      <c r="I79" s="385"/>
      <c r="J79" s="392"/>
      <c r="K79" s="385"/>
      <c r="L79" s="392"/>
      <c r="M79" s="686">
        <f>ROUND(G77*$G78,0)</f>
        <v>0</v>
      </c>
      <c r="N79" s="688" t="s">
        <v>541</v>
      </c>
      <c r="O79" s="689" t="s">
        <v>542</v>
      </c>
      <c r="P79" s="79" t="str">
        <f>IF(AND('331-CT'!$E$7=TH!H79,OR(N79="331",O79="331")),"x","")</f>
        <v/>
      </c>
      <c r="Q79" s="79" t="str">
        <f>IF(AND(B79='111'!$L$11,OR($N79=$Q$7,$O79=$Q$7)),"x","")</f>
        <v/>
      </c>
      <c r="R79" s="79" t="str">
        <f>IF(AND($N79=$Q$7,$B79&lt;'111'!$L$11),"x","")</f>
        <v/>
      </c>
      <c r="S79" s="79" t="str">
        <f>IF(AND($O79=$Q$7,$B79&lt;'111'!$L$11),"x","")</f>
        <v/>
      </c>
      <c r="T79" s="79" t="str">
        <f>IF(ISERROR(FIND('112'!$M$9,G79,1)),"",IF((AND(FIND('112'!$M$9,G79,1)&gt;=1,B79='112'!$K$9,OR($N79='112'!$I$6,$O79='112'!$I$6))),"x",""))</f>
        <v/>
      </c>
      <c r="U79" s="79" t="str">
        <f>IF(ISERROR(FIND('112'!$M$9,G79,1)),"",IF((AND(LEFT(G79,2)=LEFT('112'!$M$9,2),B79&lt;'112'!$K$9,$N79='112'!$I$6)),"x",""))</f>
        <v/>
      </c>
      <c r="V79" s="79" t="str">
        <f>IF(ISERROR(FIND('112'!$M$9,G79,1)),"",IF((AND(RIGHT(G79,2)=RIGHT('112'!$M$9,2),B79&lt;'112'!$K$9,$O79='112'!$I$6)),"x",""))</f>
        <v/>
      </c>
      <c r="W79" s="79" t="str">
        <f>IF(AND('341-CT'!$H$9=H79,OR(LEFT(N79,3)=$W$7,LEFT(O79,3)=$W$7)),"x","")</f>
        <v/>
      </c>
      <c r="X79" s="79" t="str">
        <f>IF(OR(TH!N79=TH!$X$7,O79=TH!$X$7),"x","")</f>
        <v/>
      </c>
      <c r="Y79" s="79" t="str">
        <f>IF(AND(OR(N79="131",O79="131"),H79='131-CT'!$H$9),"x","")</f>
        <v/>
      </c>
      <c r="Z79" s="79"/>
      <c r="AA79" s="79" t="str">
        <f>IF(AND(MONTH(E79)='IN-NX'!$J$5,'IN-NX'!$D$7=D79),"x","")</f>
        <v/>
      </c>
      <c r="AB79" s="79" t="str">
        <f>IF(AND(OR(LEFT(TH!N79,2)="15",LEFT(TH!O79,2)="15"),LEFT(TH!O79,3)&lt;&gt;"111",'152-CT'!$J$8=TH!F79),"x","")</f>
        <v/>
      </c>
      <c r="AC79" s="79" t="str">
        <f>IF(AND(OR(LEFT(TH!N79,2)="15",LEFT(TH!O79,2)="15"),TK!$E$7=TH!F79),"x","")</f>
        <v/>
      </c>
      <c r="AD79" s="79" t="str">
        <f>IF(AND(N79="1521",MONTH(C79)='BK-NL'!$M$11),"x","")</f>
        <v/>
      </c>
    </row>
    <row r="80" spans="1:30" ht="16.5" customHeight="1">
      <c r="A80" s="318" t="str">
        <f>IF(B80&lt;&gt;"",IF(AND(B80='IN-TC'!$S$4,OR(TH!N80="1111",TH!O80="1111")),TH!D80,""),"")</f>
        <v/>
      </c>
      <c r="B80" s="1166">
        <f t="shared" si="0"/>
        <v>2</v>
      </c>
      <c r="C80" s="682">
        <v>43159</v>
      </c>
      <c r="D80" s="682" t="s">
        <v>532</v>
      </c>
      <c r="E80" s="682">
        <f t="shared" si="7"/>
        <v>43159</v>
      </c>
      <c r="F80" s="943" t="s">
        <v>726</v>
      </c>
      <c r="G80" s="763" t="s">
        <v>957</v>
      </c>
      <c r="H80" s="303"/>
      <c r="I80" s="385"/>
      <c r="J80" s="392"/>
      <c r="K80" s="385"/>
      <c r="L80" s="392"/>
      <c r="M80" s="686">
        <f>ROUND(G76*$G80,0)</f>
        <v>0</v>
      </c>
      <c r="N80" s="687" t="s">
        <v>540</v>
      </c>
      <c r="O80" s="687" t="s">
        <v>542</v>
      </c>
      <c r="P80" s="79" t="str">
        <f>IF(AND('331-CT'!$E$7=TH!H80,OR(N80="331",O80="331")),"x","")</f>
        <v/>
      </c>
      <c r="Q80" s="79" t="str">
        <f>IF(AND(B80='111'!$L$11,OR($N80=$Q$7,$O80=$Q$7)),"x","")</f>
        <v/>
      </c>
      <c r="R80" s="79" t="str">
        <f>IF(AND($N80=$Q$7,$B80&lt;'111'!$L$11),"x","")</f>
        <v/>
      </c>
      <c r="S80" s="79" t="str">
        <f>IF(AND($O80=$Q$7,$B80&lt;'111'!$L$11),"x","")</f>
        <v/>
      </c>
      <c r="T80" s="79" t="str">
        <f>IF(ISERROR(FIND('112'!$M$9,G80,1)),"",IF((AND(FIND('112'!$M$9,G80,1)&gt;=1,B80='112'!$K$9,OR($N80='112'!$I$6,$O80='112'!$I$6))),"x",""))</f>
        <v/>
      </c>
      <c r="U80" s="79" t="str">
        <f>IF(ISERROR(FIND('112'!$M$9,G80,1)),"",IF((AND(LEFT(G80,2)=LEFT('112'!$M$9,2),B80&lt;'112'!$K$9,$N80='112'!$I$6)),"x",""))</f>
        <v/>
      </c>
      <c r="V80" s="79" t="str">
        <f>IF(ISERROR(FIND('112'!$M$9,G80,1)),"",IF((AND(RIGHT(G80,2)=RIGHT('112'!$M$9,2),B80&lt;'112'!$K$9,$O80='112'!$I$6)),"x",""))</f>
        <v/>
      </c>
      <c r="W80" s="79" t="str">
        <f>IF(AND('341-CT'!$H$9=H80,OR(LEFT(N80,3)=$W$7,LEFT(O80,3)=$W$7)),"x","")</f>
        <v/>
      </c>
      <c r="X80" s="79" t="str">
        <f>IF(OR(TH!N80=TH!$X$7,O80=TH!$X$7),"x","")</f>
        <v/>
      </c>
      <c r="Y80" s="79" t="str">
        <f>IF(AND(OR(N80="131",O80="131"),H80='131-CT'!$H$9),"x","")</f>
        <v/>
      </c>
      <c r="Z80" s="79"/>
      <c r="AA80" s="79" t="str">
        <f>IF(AND(MONTH(E80)='IN-NX'!$J$5,'IN-NX'!$D$7=D80),"x","")</f>
        <v/>
      </c>
      <c r="AB80" s="79" t="str">
        <f>IF(AND(OR(LEFT(TH!N80,2)="15",LEFT(TH!O80,2)="15"),LEFT(TH!O80,3)&lt;&gt;"111",'152-CT'!$J$8=TH!F80),"x","")</f>
        <v/>
      </c>
      <c r="AC80" s="79" t="str">
        <f>IF(AND(OR(LEFT(TH!N80,2)="15",LEFT(TH!O80,2)="15"),TK!$E$7=TH!F80),"x","")</f>
        <v/>
      </c>
      <c r="AD80" s="79" t="str">
        <f>IF(AND(N80="1521",MONTH(C80)='BK-NL'!$M$11),"x","")</f>
        <v/>
      </c>
    </row>
    <row r="81" spans="1:30" ht="16.5" customHeight="1">
      <c r="A81" s="318" t="str">
        <f>IF(B81&lt;&gt;"",IF(AND(B81='IN-TC'!$S$4,OR(TH!N81="1111",TH!O81="1111")),TH!D81,""),"")</f>
        <v/>
      </c>
      <c r="B81" s="1166">
        <f t="shared" si="0"/>
        <v>2</v>
      </c>
      <c r="C81" s="682">
        <v>43159</v>
      </c>
      <c r="D81" s="682" t="s">
        <v>532</v>
      </c>
      <c r="E81" s="682">
        <f t="shared" si="7"/>
        <v>43159</v>
      </c>
      <c r="F81" s="943" t="s">
        <v>727</v>
      </c>
      <c r="G81" s="259"/>
      <c r="H81" s="303"/>
      <c r="I81" s="385"/>
      <c r="J81" s="392"/>
      <c r="K81" s="385"/>
      <c r="L81" s="392"/>
      <c r="M81" s="686">
        <f>ROUND(G77*$G80,0)</f>
        <v>0</v>
      </c>
      <c r="N81" s="687" t="s">
        <v>272</v>
      </c>
      <c r="O81" s="687" t="s">
        <v>542</v>
      </c>
      <c r="P81" s="79" t="str">
        <f>IF(AND('331-CT'!$E$7=TH!H81,OR(N81="331",O81="331")),"x","")</f>
        <v/>
      </c>
      <c r="Q81" s="79" t="str">
        <f>IF(AND(B81='111'!$L$11,OR($N81=$Q$7,$O81=$Q$7)),"x","")</f>
        <v/>
      </c>
      <c r="R81" s="79" t="str">
        <f>IF(AND($N81=$Q$7,$B81&lt;'111'!$L$11),"x","")</f>
        <v/>
      </c>
      <c r="S81" s="79" t="str">
        <f>IF(AND($O81=$Q$7,$B81&lt;'111'!$L$11),"x","")</f>
        <v/>
      </c>
      <c r="T81" s="79" t="str">
        <f>IF(ISERROR(FIND('112'!$M$9,G81,1)),"",IF((AND(FIND('112'!$M$9,G81,1)&gt;=1,B81='112'!$K$9,OR($N81='112'!$I$6,$O81='112'!$I$6))),"x",""))</f>
        <v/>
      </c>
      <c r="U81" s="79" t="str">
        <f>IF(ISERROR(FIND('112'!$M$9,G81,1)),"",IF((AND(LEFT(G81,2)=LEFT('112'!$M$9,2),B81&lt;'112'!$K$9,$N81='112'!$I$6)),"x",""))</f>
        <v/>
      </c>
      <c r="V81" s="79" t="str">
        <f>IF(ISERROR(FIND('112'!$M$9,G81,1)),"",IF((AND(RIGHT(G81,2)=RIGHT('112'!$M$9,2),B81&lt;'112'!$K$9,$O81='112'!$I$6)),"x",""))</f>
        <v/>
      </c>
      <c r="W81" s="79" t="str">
        <f>IF(AND('341-CT'!$H$9=H81,OR(LEFT(N81,3)=$W$7,LEFT(O81,3)=$W$7)),"x","")</f>
        <v/>
      </c>
      <c r="X81" s="79" t="str">
        <f>IF(OR(TH!N81=TH!$X$7,O81=TH!$X$7),"x","")</f>
        <v/>
      </c>
      <c r="Y81" s="79" t="str">
        <f>IF(AND(OR(N81="131",O81="131"),H81='131-CT'!$H$9),"x","")</f>
        <v/>
      </c>
      <c r="Z81" s="79"/>
      <c r="AA81" s="79" t="str">
        <f>IF(AND(MONTH(E81)='IN-NX'!$J$5,'IN-NX'!$D$7=D81),"x","")</f>
        <v/>
      </c>
      <c r="AB81" s="79" t="str">
        <f>IF(AND(OR(LEFT(TH!N81,2)="15",LEFT(TH!O81,2)="15"),LEFT(TH!O81,3)&lt;&gt;"111",'152-CT'!$J$8=TH!F81),"x","")</f>
        <v/>
      </c>
      <c r="AC81" s="79" t="str">
        <f>IF(AND(OR(LEFT(TH!N81,2)="15",LEFT(TH!O81,2)="15"),TK!$E$7=TH!F81),"x","")</f>
        <v/>
      </c>
      <c r="AD81" s="79" t="str">
        <f>IF(AND(N81="1521",MONTH(C81)='BK-NL'!$M$11),"x","")</f>
        <v/>
      </c>
    </row>
    <row r="82" spans="1:30" ht="16.5" customHeight="1">
      <c r="A82" s="318" t="str">
        <f>IF(B82&lt;&gt;"",IF(AND(B82='IN-TC'!$S$4,OR(TH!N82="1111",TH!O82="1111")),TH!D82,""),"")</f>
        <v/>
      </c>
      <c r="B82" s="1166">
        <f t="shared" si="0"/>
        <v>2</v>
      </c>
      <c r="C82" s="682">
        <v>43159</v>
      </c>
      <c r="D82" s="682" t="s">
        <v>532</v>
      </c>
      <c r="E82" s="682">
        <f t="shared" si="7"/>
        <v>43159</v>
      </c>
      <c r="F82" s="943" t="s">
        <v>728</v>
      </c>
      <c r="G82" s="763" t="s">
        <v>534</v>
      </c>
      <c r="H82" s="305"/>
      <c r="I82" s="383"/>
      <c r="J82" s="390"/>
      <c r="K82" s="383"/>
      <c r="L82" s="390"/>
      <c r="M82" s="686">
        <f>ROUND(G76*$G82,0)</f>
        <v>0</v>
      </c>
      <c r="N82" s="687" t="s">
        <v>541</v>
      </c>
      <c r="O82" s="687" t="s">
        <v>543</v>
      </c>
      <c r="P82" s="79" t="str">
        <f>IF(AND('331-CT'!$E$7=TH!H82,OR(N82="331",O82="331")),"x","")</f>
        <v/>
      </c>
      <c r="Q82" s="79" t="str">
        <f>IF(AND(B82='111'!$L$11,OR($N82=$Q$7,$O82=$Q$7)),"x","")</f>
        <v/>
      </c>
      <c r="R82" s="79" t="str">
        <f>IF(AND($N82=$Q$7,$B82&lt;'111'!$L$11),"x","")</f>
        <v/>
      </c>
      <c r="S82" s="79" t="str">
        <f>IF(AND($O82=$Q$7,$B82&lt;'111'!$L$11),"x","")</f>
        <v/>
      </c>
      <c r="T82" s="79" t="str">
        <f>IF(ISERROR(FIND('112'!$M$9,G82,1)),"",IF((AND(FIND('112'!$M$9,G82,1)&gt;=1,B82='112'!$K$9,OR($N82='112'!$I$6,$O82='112'!$I$6))),"x",""))</f>
        <v/>
      </c>
      <c r="U82" s="79" t="str">
        <f>IF(ISERROR(FIND('112'!$M$9,G82,1)),"",IF((AND(LEFT(G82,2)=LEFT('112'!$M$9,2),B82&lt;'112'!$K$9,$N82='112'!$I$6)),"x",""))</f>
        <v/>
      </c>
      <c r="V82" s="79" t="str">
        <f>IF(ISERROR(FIND('112'!$M$9,G82,1)),"",IF((AND(RIGHT(G82,2)=RIGHT('112'!$M$9,2),B82&lt;'112'!$K$9,$O82='112'!$I$6)),"x",""))</f>
        <v/>
      </c>
      <c r="W82" s="79" t="str">
        <f>IF(AND('341-CT'!$H$9=H82,OR(LEFT(N82,3)=$W$7,LEFT(O82,3)=$W$7)),"x","")</f>
        <v/>
      </c>
      <c r="X82" s="79" t="str">
        <f>IF(OR(TH!N82=TH!$X$7,O82=TH!$X$7),"x","")</f>
        <v/>
      </c>
      <c r="Y82" s="79" t="str">
        <f>IF(AND(OR(N82="131",O82="131"),H82='131-CT'!$H$9),"x","")</f>
        <v/>
      </c>
      <c r="Z82" s="79"/>
      <c r="AA82" s="79" t="str">
        <f>IF(AND(MONTH(E82)='IN-NX'!$J$5,'IN-NX'!$D$7=D82),"x","")</f>
        <v/>
      </c>
      <c r="AB82" s="79" t="str">
        <f>IF(AND(OR(LEFT(TH!N82,2)="15",LEFT(TH!O82,2)="15"),LEFT(TH!O82,3)&lt;&gt;"111",'152-CT'!$J$8=TH!F82),"x","")</f>
        <v/>
      </c>
      <c r="AC82" s="79" t="str">
        <f>IF(AND(OR(LEFT(TH!N82,2)="15",LEFT(TH!O82,2)="15"),TK!$E$7=TH!F82),"x","")</f>
        <v/>
      </c>
      <c r="AD82" s="79" t="str">
        <f>IF(AND(N82="1521",MONTH(C82)='BK-NL'!$M$11),"x","")</f>
        <v/>
      </c>
    </row>
    <row r="83" spans="1:30" ht="16.5" customHeight="1">
      <c r="A83" s="318" t="str">
        <f>IF(B83&lt;&gt;"",IF(AND(B83='IN-TC'!$S$4,OR(TH!N83="1111",TH!O83="1111")),TH!D83,""),"")</f>
        <v/>
      </c>
      <c r="B83" s="1166">
        <f t="shared" si="0"/>
        <v>2</v>
      </c>
      <c r="C83" s="682">
        <v>43159</v>
      </c>
      <c r="D83" s="682" t="s">
        <v>532</v>
      </c>
      <c r="E83" s="682">
        <f t="shared" si="7"/>
        <v>43159</v>
      </c>
      <c r="F83" s="943" t="s">
        <v>729</v>
      </c>
      <c r="G83" s="259"/>
      <c r="H83" s="305"/>
      <c r="I83" s="383"/>
      <c r="J83" s="390"/>
      <c r="K83" s="383"/>
      <c r="L83" s="390"/>
      <c r="M83" s="686">
        <f>G77*$G82</f>
        <v>0</v>
      </c>
      <c r="N83" s="687" t="s">
        <v>541</v>
      </c>
      <c r="O83" s="687" t="s">
        <v>543</v>
      </c>
      <c r="P83" s="79" t="str">
        <f>IF(AND('331-CT'!$E$7=TH!H83,OR(N83="331",O83="331")),"x","")</f>
        <v/>
      </c>
      <c r="Q83" s="79" t="str">
        <f>IF(AND(B83='111'!$L$11,OR($N83=$Q$7,$O83=$Q$7)),"x","")</f>
        <v/>
      </c>
      <c r="R83" s="79" t="str">
        <f>IF(AND($N83=$Q$7,$B83&lt;'111'!$L$11),"x","")</f>
        <v/>
      </c>
      <c r="S83" s="79" t="str">
        <f>IF(AND($O83=$Q$7,$B83&lt;'111'!$L$11),"x","")</f>
        <v/>
      </c>
      <c r="T83" s="79" t="str">
        <f>IF(ISERROR(FIND('112'!$M$9,G83,1)),"",IF((AND(FIND('112'!$M$9,G83,1)&gt;=1,B83='112'!$K$9,OR($N83='112'!$I$6,$O83='112'!$I$6))),"x",""))</f>
        <v/>
      </c>
      <c r="U83" s="79" t="str">
        <f>IF(ISERROR(FIND('112'!$M$9,G83,1)),"",IF((AND(LEFT(G83,2)=LEFT('112'!$M$9,2),B83&lt;'112'!$K$9,$N83='112'!$I$6)),"x",""))</f>
        <v/>
      </c>
      <c r="V83" s="79" t="str">
        <f>IF(ISERROR(FIND('112'!$M$9,G83,1)),"",IF((AND(RIGHT(G83,2)=RIGHT('112'!$M$9,2),B83&lt;'112'!$K$9,$O83='112'!$I$6)),"x",""))</f>
        <v/>
      </c>
      <c r="W83" s="79" t="str">
        <f>IF(AND('341-CT'!$H$9=H83,OR(LEFT(N83,3)=$W$7,LEFT(O83,3)=$W$7)),"x","")</f>
        <v/>
      </c>
      <c r="X83" s="79" t="str">
        <f>IF(OR(TH!N83=TH!$X$7,O83=TH!$X$7),"x","")</f>
        <v/>
      </c>
      <c r="Y83" s="79" t="str">
        <f>IF(AND(OR(N83="131",O83="131"),H83='131-CT'!$H$9),"x","")</f>
        <v/>
      </c>
      <c r="Z83" s="79"/>
      <c r="AA83" s="79" t="str">
        <f>IF(AND(MONTH(E83)='IN-NX'!$J$5,'IN-NX'!$D$7=D83),"x","")</f>
        <v/>
      </c>
      <c r="AB83" s="79" t="str">
        <f>IF(AND(OR(LEFT(TH!N83,2)="15",LEFT(TH!O83,2)="15"),LEFT(TH!O83,3)&lt;&gt;"111",'152-CT'!$J$8=TH!F83),"x","")</f>
        <v/>
      </c>
      <c r="AC83" s="79" t="str">
        <f>IF(AND(OR(LEFT(TH!N83,2)="15",LEFT(TH!O83,2)="15"),TK!$E$7=TH!F83),"x","")</f>
        <v/>
      </c>
      <c r="AD83" s="79" t="str">
        <f>IF(AND(N83="1521",MONTH(C83)='BK-NL'!$M$11),"x","")</f>
        <v/>
      </c>
    </row>
    <row r="84" spans="1:30" ht="16.5" customHeight="1">
      <c r="A84" s="318" t="str">
        <f>IF(B84&lt;&gt;"",IF(AND(B84='IN-TC'!$S$4,OR(TH!N84="1111",TH!O84="1111")),TH!D84,""),"")</f>
        <v/>
      </c>
      <c r="B84" s="1166">
        <f t="shared" si="0"/>
        <v>2</v>
      </c>
      <c r="C84" s="682">
        <v>43159</v>
      </c>
      <c r="D84" s="682" t="s">
        <v>532</v>
      </c>
      <c r="E84" s="682">
        <f t="shared" si="7"/>
        <v>43159</v>
      </c>
      <c r="F84" s="943" t="s">
        <v>730</v>
      </c>
      <c r="G84" s="763" t="s">
        <v>535</v>
      </c>
      <c r="H84" s="303"/>
      <c r="I84" s="385"/>
      <c r="J84" s="392"/>
      <c r="K84" s="385"/>
      <c r="L84" s="392"/>
      <c r="M84" s="686">
        <f>G76*$G84</f>
        <v>0</v>
      </c>
      <c r="N84" s="687" t="s">
        <v>540</v>
      </c>
      <c r="O84" s="687" t="s">
        <v>543</v>
      </c>
      <c r="P84" s="79" t="str">
        <f>IF(AND('331-CT'!$E$7=TH!H84,OR(N84="331",O84="331")),"x","")</f>
        <v/>
      </c>
      <c r="Q84" s="79" t="str">
        <f>IF(AND(B84='111'!$L$11,OR($N84=$Q$7,$O84=$Q$7)),"x","")</f>
        <v/>
      </c>
      <c r="R84" s="79" t="str">
        <f>IF(AND($N84=$Q$7,$B84&lt;'111'!$L$11),"x","")</f>
        <v/>
      </c>
      <c r="S84" s="79" t="str">
        <f>IF(AND($O84=$Q$7,$B84&lt;'111'!$L$11),"x","")</f>
        <v/>
      </c>
      <c r="T84" s="79" t="str">
        <f>IF(ISERROR(FIND('112'!$M$9,G84,1)),"",IF((AND(FIND('112'!$M$9,G84,1)&gt;=1,B84='112'!$K$9,OR($N84='112'!$I$6,$O84='112'!$I$6))),"x",""))</f>
        <v/>
      </c>
      <c r="U84" s="79" t="str">
        <f>IF(ISERROR(FIND('112'!$M$9,G84,1)),"",IF((AND(LEFT(G84,2)=LEFT('112'!$M$9,2),B84&lt;'112'!$K$9,$N84='112'!$I$6)),"x",""))</f>
        <v/>
      </c>
      <c r="V84" s="79" t="str">
        <f>IF(ISERROR(FIND('112'!$M$9,G84,1)),"",IF((AND(RIGHT(G84,2)=RIGHT('112'!$M$9,2),B84&lt;'112'!$K$9,$O84='112'!$I$6)),"x",""))</f>
        <v/>
      </c>
      <c r="W84" s="79" t="str">
        <f>IF(AND('341-CT'!$H$9=H84,OR(LEFT(N84,3)=$W$7,LEFT(O84,3)=$W$7)),"x","")</f>
        <v/>
      </c>
      <c r="X84" s="79" t="str">
        <f>IF(OR(TH!N84=TH!$X$7,O84=TH!$X$7),"x","")</f>
        <v/>
      </c>
      <c r="Y84" s="79" t="str">
        <f>IF(AND(OR(N84="131",O84="131"),H84='131-CT'!$H$9),"x","")</f>
        <v/>
      </c>
      <c r="Z84" s="79"/>
      <c r="AA84" s="79" t="str">
        <f>IF(AND(MONTH(E84)='IN-NX'!$J$5,'IN-NX'!$D$7=D84),"x","")</f>
        <v/>
      </c>
      <c r="AB84" s="79" t="str">
        <f>IF(AND(OR(LEFT(TH!N84,2)="15",LEFT(TH!O84,2)="15"),LEFT(TH!O84,3)&lt;&gt;"111",'152-CT'!$J$8=TH!F84),"x","")</f>
        <v/>
      </c>
      <c r="AC84" s="79" t="str">
        <f>IF(AND(OR(LEFT(TH!N84,2)="15",LEFT(TH!O84,2)="15"),TK!$E$7=TH!F84),"x","")</f>
        <v/>
      </c>
      <c r="AD84" s="79" t="str">
        <f>IF(AND(N84="1521",MONTH(C84)='BK-NL'!$M$11),"x","")</f>
        <v/>
      </c>
    </row>
    <row r="85" spans="1:30" ht="16.5" customHeight="1">
      <c r="A85" s="318" t="str">
        <f>IF(B85&lt;&gt;"",IF(AND(B85='IN-TC'!$S$4,OR(TH!N85="1111",TH!O85="1111")),TH!D85,""),"")</f>
        <v/>
      </c>
      <c r="B85" s="1166">
        <f t="shared" si="0"/>
        <v>2</v>
      </c>
      <c r="C85" s="682">
        <v>43159</v>
      </c>
      <c r="D85" s="682" t="s">
        <v>532</v>
      </c>
      <c r="E85" s="682">
        <f t="shared" si="7"/>
        <v>43159</v>
      </c>
      <c r="F85" s="943" t="s">
        <v>731</v>
      </c>
      <c r="G85" s="259"/>
      <c r="H85" s="303"/>
      <c r="I85" s="385"/>
      <c r="J85" s="392"/>
      <c r="K85" s="385"/>
      <c r="L85" s="392"/>
      <c r="M85" s="686">
        <f>G77*$G84</f>
        <v>0</v>
      </c>
      <c r="N85" s="687" t="s">
        <v>272</v>
      </c>
      <c r="O85" s="687" t="s">
        <v>543</v>
      </c>
      <c r="P85" s="79" t="str">
        <f>IF(AND('331-CT'!$E$7=TH!H85,OR(N85="331",O85="331")),"x","")</f>
        <v/>
      </c>
      <c r="Q85" s="79" t="str">
        <f>IF(AND(B85='111'!$L$11,OR($N85=$Q$7,$O85=$Q$7)),"x","")</f>
        <v/>
      </c>
      <c r="R85" s="79" t="str">
        <f>IF(AND($N85=$Q$7,$B85&lt;'111'!$L$11),"x","")</f>
        <v/>
      </c>
      <c r="S85" s="79" t="str">
        <f>IF(AND($O85=$Q$7,$B85&lt;'111'!$L$11),"x","")</f>
        <v/>
      </c>
      <c r="T85" s="79" t="str">
        <f>IF(ISERROR(FIND('112'!$M$9,G85,1)),"",IF((AND(FIND('112'!$M$9,G85,1)&gt;=1,B85='112'!$K$9,OR($N85='112'!$I$6,$O85='112'!$I$6))),"x",""))</f>
        <v/>
      </c>
      <c r="U85" s="79" t="str">
        <f>IF(ISERROR(FIND('112'!$M$9,G85,1)),"",IF((AND(LEFT(G85,2)=LEFT('112'!$M$9,2),B85&lt;'112'!$K$9,$N85='112'!$I$6)),"x",""))</f>
        <v/>
      </c>
      <c r="V85" s="79" t="str">
        <f>IF(ISERROR(FIND('112'!$M$9,G85,1)),"",IF((AND(RIGHT(G85,2)=RIGHT('112'!$M$9,2),B85&lt;'112'!$K$9,$O85='112'!$I$6)),"x",""))</f>
        <v/>
      </c>
      <c r="W85" s="79" t="str">
        <f>IF(AND('341-CT'!$H$9=H85,OR(LEFT(N85,3)=$W$7,LEFT(O85,3)=$W$7)),"x","")</f>
        <v/>
      </c>
      <c r="X85" s="79" t="str">
        <f>IF(OR(TH!N85=TH!$X$7,O85=TH!$X$7),"x","")</f>
        <v/>
      </c>
      <c r="Y85" s="79" t="str">
        <f>IF(AND(OR(N85="131",O85="131"),H85='131-CT'!$H$9),"x","")</f>
        <v/>
      </c>
      <c r="Z85" s="79"/>
      <c r="AA85" s="79" t="str">
        <f>IF(AND(MONTH(E85)='IN-NX'!$J$5,'IN-NX'!$D$7=D85),"x","")</f>
        <v/>
      </c>
      <c r="AB85" s="79" t="str">
        <f>IF(AND(OR(LEFT(TH!N85,2)="15",LEFT(TH!O85,2)="15"),LEFT(TH!O85,3)&lt;&gt;"111",'152-CT'!$J$8=TH!F85),"x","")</f>
        <v/>
      </c>
      <c r="AC85" s="79" t="str">
        <f>IF(AND(OR(LEFT(TH!N85,2)="15",LEFT(TH!O85,2)="15"),TK!$E$7=TH!F85),"x","")</f>
        <v/>
      </c>
      <c r="AD85" s="79" t="str">
        <f>IF(AND(N85="1521",MONTH(C85)='BK-NL'!$M$11),"x","")</f>
        <v/>
      </c>
    </row>
    <row r="86" spans="1:30" ht="16.5" customHeight="1">
      <c r="A86" s="318" t="str">
        <f>IF(B86&lt;&gt;"",IF(AND(B86='IN-TC'!$S$4,OR(TH!N86="1111",TH!O86="1111")),TH!D86,""),"")</f>
        <v/>
      </c>
      <c r="B86" s="1166">
        <f t="shared" si="0"/>
        <v>2</v>
      </c>
      <c r="C86" s="682">
        <v>43159</v>
      </c>
      <c r="D86" s="682" t="s">
        <v>532</v>
      </c>
      <c r="E86" s="682">
        <f t="shared" si="7"/>
        <v>43159</v>
      </c>
      <c r="F86" s="943" t="s">
        <v>732</v>
      </c>
      <c r="G86" s="763" t="s">
        <v>536</v>
      </c>
      <c r="H86" s="303"/>
      <c r="I86" s="385"/>
      <c r="J86" s="392"/>
      <c r="K86" s="385"/>
      <c r="L86" s="392"/>
      <c r="M86" s="686">
        <f>G76*$G86</f>
        <v>0</v>
      </c>
      <c r="N86" s="687" t="s">
        <v>541</v>
      </c>
      <c r="O86" s="687" t="s">
        <v>544</v>
      </c>
      <c r="P86" s="79" t="str">
        <f>IF(AND('331-CT'!$E$7=TH!H86,OR(N86="331",O86="331")),"x","")</f>
        <v/>
      </c>
      <c r="Q86" s="79" t="str">
        <f>IF(AND(B86='111'!$L$11,OR($N86=$Q$7,$O86=$Q$7)),"x","")</f>
        <v/>
      </c>
      <c r="R86" s="79" t="str">
        <f>IF(AND($N86=$Q$7,$B86&lt;'111'!$L$11),"x","")</f>
        <v/>
      </c>
      <c r="S86" s="79" t="str">
        <f>IF(AND($O86=$Q$7,$B86&lt;'111'!$L$11),"x","")</f>
        <v/>
      </c>
      <c r="T86" s="79" t="str">
        <f>IF(ISERROR(FIND('112'!$M$9,G86,1)),"",IF((AND(FIND('112'!$M$9,G86,1)&gt;=1,B86='112'!$K$9,OR($N86='112'!$I$6,$O86='112'!$I$6))),"x",""))</f>
        <v/>
      </c>
      <c r="U86" s="79" t="str">
        <f>IF(ISERROR(FIND('112'!$M$9,G86,1)),"",IF((AND(LEFT(G86,2)=LEFT('112'!$M$9,2),B86&lt;'112'!$K$9,$N86='112'!$I$6)),"x",""))</f>
        <v/>
      </c>
      <c r="V86" s="79" t="str">
        <f>IF(ISERROR(FIND('112'!$M$9,G86,1)),"",IF((AND(RIGHT(G86,2)=RIGHT('112'!$M$9,2),B86&lt;'112'!$K$9,$O86='112'!$I$6)),"x",""))</f>
        <v/>
      </c>
      <c r="W86" s="79" t="str">
        <f>IF(AND('341-CT'!$H$9=H86,OR(LEFT(N86,3)=$W$7,LEFT(O86,3)=$W$7)),"x","")</f>
        <v/>
      </c>
      <c r="X86" s="79" t="str">
        <f>IF(OR(TH!N86=TH!$X$7,O86=TH!$X$7),"x","")</f>
        <v/>
      </c>
      <c r="Y86" s="79" t="str">
        <f>IF(AND(OR(N86="131",O86="131"),H86='131-CT'!$H$9),"x","")</f>
        <v/>
      </c>
      <c r="Z86" s="79"/>
      <c r="AA86" s="79" t="str">
        <f>IF(AND(MONTH(E86)='IN-NX'!$J$5,'IN-NX'!$D$7=D86),"x","")</f>
        <v/>
      </c>
      <c r="AB86" s="79" t="str">
        <f>IF(AND(OR(LEFT(TH!N86,2)="15",LEFT(TH!O86,2)="15"),LEFT(TH!O86,3)&lt;&gt;"111",'152-CT'!$J$8=TH!F86),"x","")</f>
        <v/>
      </c>
      <c r="AC86" s="79" t="str">
        <f>IF(AND(OR(LEFT(TH!N86,2)="15",LEFT(TH!O86,2)="15"),TK!$E$7=TH!F86),"x","")</f>
        <v/>
      </c>
      <c r="AD86" s="79" t="str">
        <f>IF(AND(N86="1521",MONTH(C86)='BK-NL'!$M$11),"x","")</f>
        <v/>
      </c>
    </row>
    <row r="87" spans="1:30" ht="16.5" customHeight="1">
      <c r="A87" s="318" t="str">
        <f>IF(B87&lt;&gt;"",IF(AND(B87='IN-TC'!$S$4,OR(TH!N87="1111",TH!O87="1111")),TH!D87,""),"")</f>
        <v/>
      </c>
      <c r="B87" s="1166">
        <f t="shared" ref="B87:B153" si="10">IF(C87&lt;&gt;"",MONTH(C87),"")</f>
        <v>2</v>
      </c>
      <c r="C87" s="682">
        <v>43159</v>
      </c>
      <c r="D87" s="682" t="s">
        <v>532</v>
      </c>
      <c r="E87" s="682">
        <f t="shared" si="7"/>
        <v>43159</v>
      </c>
      <c r="F87" s="943" t="s">
        <v>733</v>
      </c>
      <c r="G87" s="259"/>
      <c r="H87" s="303"/>
      <c r="I87" s="385"/>
      <c r="J87" s="392"/>
      <c r="K87" s="385"/>
      <c r="L87" s="392"/>
      <c r="M87" s="686">
        <f>G77*$G86</f>
        <v>0</v>
      </c>
      <c r="N87" s="687" t="s">
        <v>541</v>
      </c>
      <c r="O87" s="687" t="s">
        <v>544</v>
      </c>
      <c r="P87" s="79" t="str">
        <f>IF(AND('331-CT'!$E$7=TH!H87,OR(N87="331",O87="331")),"x","")</f>
        <v/>
      </c>
      <c r="Q87" s="79" t="str">
        <f>IF(AND(B87='111'!$L$11,OR($N87=$Q$7,$O87=$Q$7)),"x","")</f>
        <v/>
      </c>
      <c r="R87" s="79" t="str">
        <f>IF(AND($N87=$Q$7,$B87&lt;'111'!$L$11),"x","")</f>
        <v/>
      </c>
      <c r="S87" s="79" t="str">
        <f>IF(AND($O87=$Q$7,$B87&lt;'111'!$L$11),"x","")</f>
        <v/>
      </c>
      <c r="T87" s="79" t="str">
        <f>IF(ISERROR(FIND('112'!$M$9,G87,1)),"",IF((AND(FIND('112'!$M$9,G87,1)&gt;=1,B87='112'!$K$9,OR($N87='112'!$I$6,$O87='112'!$I$6))),"x",""))</f>
        <v/>
      </c>
      <c r="U87" s="79" t="str">
        <f>IF(ISERROR(FIND('112'!$M$9,G87,1)),"",IF((AND(LEFT(G87,2)=LEFT('112'!$M$9,2),B87&lt;'112'!$K$9,$N87='112'!$I$6)),"x",""))</f>
        <v/>
      </c>
      <c r="V87" s="79" t="str">
        <f>IF(ISERROR(FIND('112'!$M$9,G87,1)),"",IF((AND(RIGHT(G87,2)=RIGHT('112'!$M$9,2),B87&lt;'112'!$K$9,$O87='112'!$I$6)),"x",""))</f>
        <v/>
      </c>
      <c r="W87" s="79" t="str">
        <f>IF(AND('341-CT'!$H$9=H87,OR(LEFT(N87,3)=$W$7,LEFT(O87,3)=$W$7)),"x","")</f>
        <v/>
      </c>
      <c r="X87" s="79" t="str">
        <f>IF(OR(TH!N87=TH!$X$7,O87=TH!$X$7),"x","")</f>
        <v/>
      </c>
      <c r="Y87" s="79" t="str">
        <f>IF(AND(OR(N87="131",O87="131"),H87='131-CT'!$H$9),"x","")</f>
        <v/>
      </c>
      <c r="Z87" s="79"/>
      <c r="AA87" s="79" t="str">
        <f>IF(AND(MONTH(E87)='IN-NX'!$J$5,'IN-NX'!$D$7=D87),"x","")</f>
        <v/>
      </c>
      <c r="AB87" s="79" t="str">
        <f>IF(AND(OR(LEFT(TH!N87,2)="15",LEFT(TH!O87,2)="15"),LEFT(TH!O87,3)&lt;&gt;"111",'152-CT'!$J$8=TH!F87),"x","")</f>
        <v/>
      </c>
      <c r="AC87" s="79" t="str">
        <f>IF(AND(OR(LEFT(TH!N87,2)="15",LEFT(TH!O87,2)="15"),TK!$E$7=TH!F87),"x","")</f>
        <v/>
      </c>
      <c r="AD87" s="79" t="str">
        <f>IF(AND(N87="1521",MONTH(C87)='BK-NL'!$M$11),"x","")</f>
        <v/>
      </c>
    </row>
    <row r="88" spans="1:30" ht="16.5" customHeight="1">
      <c r="A88" s="318" t="str">
        <f>IF(B88&lt;&gt;"",IF(AND(B88='IN-TC'!$S$4,OR(TH!N88="1111",TH!O88="1111")),TH!D88,""),"")</f>
        <v/>
      </c>
      <c r="B88" s="1166">
        <f t="shared" si="10"/>
        <v>2</v>
      </c>
      <c r="C88" s="682">
        <v>43159</v>
      </c>
      <c r="D88" s="682" t="s">
        <v>532</v>
      </c>
      <c r="E88" s="682">
        <f t="shared" si="7"/>
        <v>43159</v>
      </c>
      <c r="F88" s="943" t="s">
        <v>734</v>
      </c>
      <c r="G88" s="763" t="s">
        <v>536</v>
      </c>
      <c r="H88" s="901"/>
      <c r="I88" s="386"/>
      <c r="J88" s="393"/>
      <c r="K88" s="386"/>
      <c r="L88" s="393"/>
      <c r="M88" s="686">
        <f>M86</f>
        <v>0</v>
      </c>
      <c r="N88" s="687" t="s">
        <v>540</v>
      </c>
      <c r="O88" s="687" t="s">
        <v>544</v>
      </c>
      <c r="P88" s="79" t="str">
        <f>IF(AND('331-CT'!$E$7=TH!H88,OR(N88="331",O88="331")),"x","")</f>
        <v/>
      </c>
      <c r="Q88" s="79" t="str">
        <f>IF(AND(B88='111'!$L$11,OR($N88=$Q$7,$O88=$Q$7)),"x","")</f>
        <v/>
      </c>
      <c r="R88" s="79" t="str">
        <f>IF(AND($N88=$Q$7,$B88&lt;'111'!$L$11),"x","")</f>
        <v/>
      </c>
      <c r="S88" s="79" t="str">
        <f>IF(AND($O88=$Q$7,$B88&lt;'111'!$L$11),"x","")</f>
        <v/>
      </c>
      <c r="T88" s="79" t="str">
        <f>IF(ISERROR(FIND('112'!$M$9,G88,1)),"",IF((AND(FIND('112'!$M$9,G88,1)&gt;=1,B88='112'!$K$9,OR($N88='112'!$I$6,$O88='112'!$I$6))),"x",""))</f>
        <v/>
      </c>
      <c r="U88" s="79" t="str">
        <f>IF(ISERROR(FIND('112'!$M$9,G88,1)),"",IF((AND(LEFT(G88,2)=LEFT('112'!$M$9,2),B88&lt;'112'!$K$9,$N88='112'!$I$6)),"x",""))</f>
        <v/>
      </c>
      <c r="V88" s="79" t="str">
        <f>IF(ISERROR(FIND('112'!$M$9,G88,1)),"",IF((AND(RIGHT(G88,2)=RIGHT('112'!$M$9,2),B88&lt;'112'!$K$9,$O88='112'!$I$6)),"x",""))</f>
        <v/>
      </c>
      <c r="W88" s="79" t="str">
        <f>IF(AND('341-CT'!$H$9=H88,OR(LEFT(N88,3)=$W$7,LEFT(O88,3)=$W$7)),"x","")</f>
        <v/>
      </c>
      <c r="X88" s="79" t="str">
        <f>IF(OR(TH!N88=TH!$X$7,O88=TH!$X$7),"x","")</f>
        <v/>
      </c>
      <c r="Y88" s="79" t="str">
        <f>IF(AND(OR(N88="131",O88="131"),H88='131-CT'!$H$9),"x","")</f>
        <v/>
      </c>
      <c r="Z88" s="79"/>
      <c r="AA88" s="79" t="str">
        <f>IF(AND(MONTH(E88)='IN-NX'!$J$5,'IN-NX'!$D$7=D88),"x","")</f>
        <v/>
      </c>
      <c r="AB88" s="79" t="str">
        <f>IF(AND(OR(LEFT(TH!N88,2)="15",LEFT(TH!O88,2)="15"),LEFT(TH!O88,3)&lt;&gt;"111",'152-CT'!$J$8=TH!F88),"x","")</f>
        <v/>
      </c>
      <c r="AC88" s="79" t="str">
        <f>IF(AND(OR(LEFT(TH!N88,2)="15",LEFT(TH!O88,2)="15"),TK!$E$7=TH!F88),"x","")</f>
        <v/>
      </c>
      <c r="AD88" s="79" t="str">
        <f>IF(AND(N88="1521",MONTH(C88)='BK-NL'!$M$11),"x","")</f>
        <v/>
      </c>
    </row>
    <row r="89" spans="1:30" ht="16.5" customHeight="1">
      <c r="A89" s="318" t="str">
        <f>IF(B89&lt;&gt;"",IF(AND(B89='IN-TC'!$S$4,OR(TH!N89="1111",TH!O89="1111")),TH!D89,""),"")</f>
        <v/>
      </c>
      <c r="B89" s="1166">
        <f t="shared" si="10"/>
        <v>2</v>
      </c>
      <c r="C89" s="682">
        <v>43159</v>
      </c>
      <c r="D89" s="682" t="s">
        <v>532</v>
      </c>
      <c r="E89" s="682">
        <f t="shared" si="7"/>
        <v>43159</v>
      </c>
      <c r="F89" s="943" t="s">
        <v>735</v>
      </c>
      <c r="G89" s="259"/>
      <c r="H89" s="303"/>
      <c r="I89" s="385"/>
      <c r="J89" s="392"/>
      <c r="K89" s="385"/>
      <c r="L89" s="392"/>
      <c r="M89" s="686">
        <f>M87</f>
        <v>0</v>
      </c>
      <c r="N89" s="687" t="s">
        <v>272</v>
      </c>
      <c r="O89" s="687" t="s">
        <v>544</v>
      </c>
      <c r="P89" s="79" t="str">
        <f>IF(AND('331-CT'!$E$7=TH!H89,OR(N89="331",O89="331")),"x","")</f>
        <v/>
      </c>
      <c r="Q89" s="79" t="str">
        <f>IF(AND(B89='111'!$L$11,OR($N89=$Q$7,$O89=$Q$7)),"x","")</f>
        <v/>
      </c>
      <c r="R89" s="79" t="str">
        <f>IF(AND($N89=$Q$7,$B89&lt;'111'!$L$11),"x","")</f>
        <v/>
      </c>
      <c r="S89" s="79" t="str">
        <f>IF(AND($O89=$Q$7,$B89&lt;'111'!$L$11),"x","")</f>
        <v/>
      </c>
      <c r="T89" s="79" t="str">
        <f>IF(ISERROR(FIND('112'!$M$9,G89,1)),"",IF((AND(FIND('112'!$M$9,G89,1)&gt;=1,B89='112'!$K$9,OR($N89='112'!$I$6,$O89='112'!$I$6))),"x",""))</f>
        <v/>
      </c>
      <c r="U89" s="79" t="str">
        <f>IF(ISERROR(FIND('112'!$M$9,G89,1)),"",IF((AND(LEFT(G89,2)=LEFT('112'!$M$9,2),B89&lt;'112'!$K$9,$N89='112'!$I$6)),"x",""))</f>
        <v/>
      </c>
      <c r="V89" s="79" t="str">
        <f>IF(ISERROR(FIND('112'!$M$9,G89,1)),"",IF((AND(RIGHT(G89,2)=RIGHT('112'!$M$9,2),B89&lt;'112'!$K$9,$O89='112'!$I$6)),"x",""))</f>
        <v/>
      </c>
      <c r="W89" s="79" t="str">
        <f>IF(AND('341-CT'!$H$9=H89,OR(LEFT(N89,3)=$W$7,LEFT(O89,3)=$W$7)),"x","")</f>
        <v/>
      </c>
      <c r="X89" s="79" t="str">
        <f>IF(OR(TH!N89=TH!$X$7,O89=TH!$X$7),"x","")</f>
        <v/>
      </c>
      <c r="Y89" s="79" t="str">
        <f>IF(AND(OR(N89="131",O89="131"),H89='131-CT'!$H$9),"x","")</f>
        <v/>
      </c>
      <c r="Z89" s="79"/>
      <c r="AA89" s="79" t="str">
        <f>IF(AND(MONTH(E89)='IN-NX'!$J$5,'IN-NX'!$D$7=D89),"x","")</f>
        <v/>
      </c>
      <c r="AB89" s="79" t="str">
        <f>IF(AND(OR(LEFT(TH!N89,2)="15",LEFT(TH!O89,2)="15"),LEFT(TH!O89,3)&lt;&gt;"111",'152-CT'!$J$8=TH!F89),"x","")</f>
        <v/>
      </c>
      <c r="AC89" s="79" t="str">
        <f>IF(AND(OR(LEFT(TH!N89,2)="15",LEFT(TH!O89,2)="15"),TK!$E$7=TH!F89),"x","")</f>
        <v/>
      </c>
      <c r="AD89" s="79" t="str">
        <f>IF(AND(N89="1521",MONTH(C89)='BK-NL'!$M$11),"x","")</f>
        <v/>
      </c>
    </row>
    <row r="90" spans="1:30" ht="16.5" customHeight="1">
      <c r="A90" s="318" t="str">
        <f>IF(B90&lt;&gt;"",IF(AND(B90='IN-TC'!$S$4,OR(TH!N90="1111",TH!O90="1111")),TH!D90,""),"")</f>
        <v/>
      </c>
      <c r="B90" s="1166">
        <f t="shared" ref="B90:B91" si="11">IF(C90&lt;&gt;"",MONTH(C90),"")</f>
        <v>2</v>
      </c>
      <c r="C90" s="682">
        <v>43159</v>
      </c>
      <c r="D90" s="682" t="s">
        <v>532</v>
      </c>
      <c r="E90" s="682">
        <f t="shared" ref="E90:E91" si="12">C90</f>
        <v>43159</v>
      </c>
      <c r="F90" s="943" t="s">
        <v>954</v>
      </c>
      <c r="G90" s="763" t="s">
        <v>956</v>
      </c>
      <c r="H90" s="303"/>
      <c r="I90" s="385"/>
      <c r="J90" s="392"/>
      <c r="K90" s="385"/>
      <c r="L90" s="392"/>
      <c r="M90" s="686">
        <f>G76*$G90</f>
        <v>0</v>
      </c>
      <c r="N90" s="687" t="s">
        <v>540</v>
      </c>
      <c r="O90" s="687" t="s">
        <v>19</v>
      </c>
      <c r="P90" s="79" t="str">
        <f>IF(AND('331-CT'!$E$7=TH!H90,OR(N90="331",O90="331")),"x","")</f>
        <v/>
      </c>
      <c r="Q90" s="79" t="str">
        <f>IF(AND(B90='111'!$L$11,OR($N90=$Q$7,$O90=$Q$7)),"x","")</f>
        <v/>
      </c>
      <c r="R90" s="79" t="str">
        <f>IF(AND($N90=$Q$7,$B90&lt;'111'!$L$11),"x","")</f>
        <v/>
      </c>
      <c r="S90" s="79" t="str">
        <f>IF(AND($O90=$Q$7,$B90&lt;'111'!$L$11),"x","")</f>
        <v/>
      </c>
      <c r="T90" s="79" t="str">
        <f>IF(ISERROR(FIND('112'!$M$9,G90,1)),"",IF((AND(FIND('112'!$M$9,G90,1)&gt;=1,B90='112'!$K$9,OR($N90='112'!$I$6,$O90='112'!$I$6))),"x",""))</f>
        <v/>
      </c>
      <c r="U90" s="79" t="str">
        <f>IF(ISERROR(FIND('112'!$M$9,G90,1)),"",IF((AND(LEFT(G90,2)=LEFT('112'!$M$9,2),B90&lt;'112'!$K$9,$N90='112'!$I$6)),"x",""))</f>
        <v/>
      </c>
      <c r="V90" s="79" t="str">
        <f>IF(ISERROR(FIND('112'!$M$9,G90,1)),"",IF((AND(RIGHT(G90,2)=RIGHT('112'!$M$9,2),B90&lt;'112'!$K$9,$O90='112'!$I$6)),"x",""))</f>
        <v/>
      </c>
      <c r="W90" s="79" t="str">
        <f>IF(AND('341-CT'!$H$9=H90,OR(LEFT(N90,3)=$W$7,LEFT(O90,3)=$W$7)),"x","")</f>
        <v/>
      </c>
      <c r="X90" s="79" t="str">
        <f>IF(OR(TH!N90=TH!$X$7,O90=TH!$X$7),"x","")</f>
        <v/>
      </c>
      <c r="Y90" s="79" t="str">
        <f>IF(AND(OR(N90="131",O90="131"),H90='131-CT'!$H$9),"x","")</f>
        <v/>
      </c>
      <c r="Z90" s="79"/>
      <c r="AA90" s="79" t="str">
        <f>IF(AND(MONTH(E90)='IN-NX'!$J$5,'IN-NX'!$D$7=D90),"x","")</f>
        <v/>
      </c>
      <c r="AB90" s="79" t="str">
        <f>IF(AND(OR(LEFT(TH!N90,2)="15",LEFT(TH!O90,2)="15"),LEFT(TH!O90,3)&lt;&gt;"111",'152-CT'!$J$8=TH!F90),"x","")</f>
        <v/>
      </c>
      <c r="AC90" s="79" t="str">
        <f>IF(AND(OR(LEFT(TH!N90,2)="15",LEFT(TH!O90,2)="15"),TK!$E$7=TH!F90),"x","")</f>
        <v/>
      </c>
      <c r="AD90" s="79" t="str">
        <f>IF(AND(N90="1521",MONTH(C90)='BK-NL'!$M$11),"x","")</f>
        <v/>
      </c>
    </row>
    <row r="91" spans="1:30" ht="16.5" customHeight="1">
      <c r="A91" s="318" t="str">
        <f>IF(B91&lt;&gt;"",IF(AND(B91='IN-TC'!$S$4,OR(TH!N91="1111",TH!O91="1111")),TH!D91,""),"")</f>
        <v/>
      </c>
      <c r="B91" s="1166">
        <f t="shared" si="11"/>
        <v>2</v>
      </c>
      <c r="C91" s="682">
        <v>43159</v>
      </c>
      <c r="D91" s="682" t="s">
        <v>532</v>
      </c>
      <c r="E91" s="682">
        <f t="shared" si="12"/>
        <v>43159</v>
      </c>
      <c r="F91" s="943" t="s">
        <v>955</v>
      </c>
      <c r="G91" s="259"/>
      <c r="H91" s="303"/>
      <c r="I91" s="385"/>
      <c r="J91" s="392"/>
      <c r="K91" s="385"/>
      <c r="L91" s="392"/>
      <c r="M91" s="686">
        <f>G77*$G90</f>
        <v>0</v>
      </c>
      <c r="N91" s="687" t="s">
        <v>272</v>
      </c>
      <c r="O91" s="687" t="s">
        <v>19</v>
      </c>
      <c r="P91" s="79" t="str">
        <f>IF(AND('331-CT'!$E$7=TH!H91,OR(N91="331",O91="331")),"x","")</f>
        <v/>
      </c>
      <c r="Q91" s="79" t="str">
        <f>IF(AND(B91='111'!$L$11,OR($N91=$Q$7,$O91=$Q$7)),"x","")</f>
        <v/>
      </c>
      <c r="R91" s="79" t="str">
        <f>IF(AND($N91=$Q$7,$B91&lt;'111'!$L$11),"x","")</f>
        <v/>
      </c>
      <c r="S91" s="79" t="str">
        <f>IF(AND($O91=$Q$7,$B91&lt;'111'!$L$11),"x","")</f>
        <v/>
      </c>
      <c r="T91" s="79" t="str">
        <f>IF(ISERROR(FIND('112'!$M$9,G91,1)),"",IF((AND(FIND('112'!$M$9,G91,1)&gt;=1,B91='112'!$K$9,OR($N91='112'!$I$6,$O91='112'!$I$6))),"x",""))</f>
        <v/>
      </c>
      <c r="U91" s="79" t="str">
        <f>IF(ISERROR(FIND('112'!$M$9,G91,1)),"",IF((AND(LEFT(G91,2)=LEFT('112'!$M$9,2),B91&lt;'112'!$K$9,$N91='112'!$I$6)),"x",""))</f>
        <v/>
      </c>
      <c r="V91" s="79" t="str">
        <f>IF(ISERROR(FIND('112'!$M$9,G91,1)),"",IF((AND(RIGHT(G91,2)=RIGHT('112'!$M$9,2),B91&lt;'112'!$K$9,$O91='112'!$I$6)),"x",""))</f>
        <v/>
      </c>
      <c r="W91" s="79" t="str">
        <f>IF(AND('341-CT'!$H$9=H91,OR(LEFT(N91,3)=$W$7,LEFT(O91,3)=$W$7)),"x","")</f>
        <v/>
      </c>
      <c r="X91" s="79" t="str">
        <f>IF(OR(TH!N91=TH!$X$7,O91=TH!$X$7),"x","")</f>
        <v/>
      </c>
      <c r="Y91" s="79" t="str">
        <f>IF(AND(OR(N91="131",O91="131"),H91='131-CT'!$H$9),"x","")</f>
        <v/>
      </c>
      <c r="Z91" s="79"/>
      <c r="AA91" s="79" t="str">
        <f>IF(AND(MONTH(E91)='IN-NX'!$J$5,'IN-NX'!$D$7=D91),"x","")</f>
        <v/>
      </c>
      <c r="AB91" s="79" t="str">
        <f>IF(AND(OR(LEFT(TH!N91,2)="15",LEFT(TH!O91,2)="15"),LEFT(TH!O91,3)&lt;&gt;"111",'152-CT'!$J$8=TH!F91),"x","")</f>
        <v/>
      </c>
      <c r="AC91" s="79" t="str">
        <f>IF(AND(OR(LEFT(TH!N91,2)="15",LEFT(TH!O91,2)="15"),TK!$E$7=TH!F91),"x","")</f>
        <v/>
      </c>
      <c r="AD91" s="79" t="str">
        <f>IF(AND(N91="1521",MONTH(C91)='BK-NL'!$M$11),"x","")</f>
        <v/>
      </c>
    </row>
    <row r="92" spans="1:30" ht="16.5" customHeight="1">
      <c r="A92" s="318" t="str">
        <f>IF(B92&lt;&gt;"",IF(AND(B92='IN-TC'!$S$4,OR(TH!N92="1111",TH!O92="1111")),TH!D92,""),"")</f>
        <v/>
      </c>
      <c r="B92" s="1197">
        <f t="shared" si="10"/>
        <v>3</v>
      </c>
      <c r="C92" s="682">
        <v>43190</v>
      </c>
      <c r="D92" s="682" t="s">
        <v>532</v>
      </c>
      <c r="E92" s="682">
        <f t="shared" si="7"/>
        <v>43190</v>
      </c>
      <c r="F92" s="943" t="s">
        <v>722</v>
      </c>
      <c r="G92" s="259"/>
      <c r="H92" s="303"/>
      <c r="I92" s="385"/>
      <c r="J92" s="392"/>
      <c r="K92" s="385"/>
      <c r="L92" s="392"/>
      <c r="M92" s="686"/>
      <c r="N92" s="687" t="s">
        <v>540</v>
      </c>
      <c r="O92" s="687" t="s">
        <v>541</v>
      </c>
      <c r="P92" s="79" t="str">
        <f>IF(AND('331-CT'!$E$7=TH!H92,OR(N92="331",O92="331")),"x","")</f>
        <v/>
      </c>
      <c r="Q92" s="79" t="str">
        <f>IF(AND(B92='111'!$L$11,OR($N92=$Q$7,$O92=$Q$7)),"x","")</f>
        <v/>
      </c>
      <c r="R92" s="79" t="str">
        <f>IF(AND($N92=$Q$7,$B92&lt;'111'!$L$11),"x","")</f>
        <v/>
      </c>
      <c r="S92" s="79" t="str">
        <f>IF(AND($O92=$Q$7,$B92&lt;'111'!$L$11),"x","")</f>
        <v/>
      </c>
      <c r="T92" s="79" t="str">
        <f>IF(ISERROR(FIND('112'!$M$9,G92,1)),"",IF((AND(FIND('112'!$M$9,G92,1)&gt;=1,B92='112'!$K$9,OR($N92='112'!$I$6,$O92='112'!$I$6))),"x",""))</f>
        <v/>
      </c>
      <c r="U92" s="79" t="str">
        <f>IF(ISERROR(FIND('112'!$M$9,G92,1)),"",IF((AND(LEFT(G92,2)=LEFT('112'!$M$9,2),B92&lt;'112'!$K$9,$N92='112'!$I$6)),"x",""))</f>
        <v/>
      </c>
      <c r="V92" s="79" t="str">
        <f>IF(ISERROR(FIND('112'!$M$9,G92,1)),"",IF((AND(RIGHT(G92,2)=RIGHT('112'!$M$9,2),B92&lt;'112'!$K$9,$O92='112'!$I$6)),"x",""))</f>
        <v/>
      </c>
      <c r="W92" s="79" t="str">
        <f>IF(AND('341-CT'!$H$9=H92,OR(LEFT(N92,3)=$W$7,LEFT(O92,3)=$W$7)),"x","")</f>
        <v/>
      </c>
      <c r="X92" s="79" t="str">
        <f>IF(OR(TH!N92=TH!$X$7,O92=TH!$X$7),"x","")</f>
        <v/>
      </c>
      <c r="Y92" s="79" t="str">
        <f>IF(AND(OR(N92="131",O92="131"),H92='131-CT'!$H$9),"x","")</f>
        <v/>
      </c>
      <c r="Z92" s="79"/>
      <c r="AA92" s="79" t="str">
        <f>IF(AND(MONTH(E92)='IN-NX'!$J$5,'IN-NX'!$D$7=D92),"x","")</f>
        <v/>
      </c>
      <c r="AB92" s="79" t="str">
        <f>IF(AND(OR(LEFT(TH!N92,2)="15",LEFT(TH!O92,2)="15"),LEFT(TH!O92,3)&lt;&gt;"111",'152-CT'!$J$8=TH!F92),"x","")</f>
        <v/>
      </c>
      <c r="AC92" s="79" t="str">
        <f>IF(AND(OR(LEFT(TH!N92,2)="15",LEFT(TH!O92,2)="15"),TK!$E$7=TH!F92),"x","")</f>
        <v/>
      </c>
      <c r="AD92" s="79" t="str">
        <f>IF(AND(N92="1521",MONTH(C92)='BK-NL'!$M$11),"x","")</f>
        <v/>
      </c>
    </row>
    <row r="93" spans="1:30" ht="16.5" customHeight="1">
      <c r="A93" s="318" t="str">
        <f>IF(B93&lt;&gt;"",IF(AND(B93='IN-TC'!$S$4,OR(TH!N93="1111",TH!O93="1111")),TH!D93,""),"")</f>
        <v/>
      </c>
      <c r="B93" s="1197">
        <f t="shared" si="10"/>
        <v>3</v>
      </c>
      <c r="C93" s="682">
        <v>43190</v>
      </c>
      <c r="D93" s="682" t="s">
        <v>532</v>
      </c>
      <c r="E93" s="682">
        <f t="shared" si="7"/>
        <v>43190</v>
      </c>
      <c r="F93" s="943" t="s">
        <v>723</v>
      </c>
      <c r="G93" s="259"/>
      <c r="H93" s="303"/>
      <c r="I93" s="385"/>
      <c r="J93" s="392"/>
      <c r="K93" s="385"/>
      <c r="L93" s="392"/>
      <c r="M93" s="686"/>
      <c r="N93" s="687" t="s">
        <v>272</v>
      </c>
      <c r="O93" s="687" t="s">
        <v>541</v>
      </c>
      <c r="P93" s="79" t="str">
        <f>IF(AND('331-CT'!$E$7=TH!H93,OR(N93="331",O93="331")),"x","")</f>
        <v/>
      </c>
      <c r="Q93" s="79" t="str">
        <f>IF(AND(B93='111'!$L$11,OR($N93=$Q$7,$O93=$Q$7)),"x","")</f>
        <v/>
      </c>
      <c r="R93" s="79" t="str">
        <f>IF(AND($N93=$Q$7,$B93&lt;'111'!$L$11),"x","")</f>
        <v/>
      </c>
      <c r="S93" s="79" t="str">
        <f>IF(AND($O93=$Q$7,$B93&lt;'111'!$L$11),"x","")</f>
        <v/>
      </c>
      <c r="T93" s="79" t="str">
        <f>IF(ISERROR(FIND('112'!$M$9,G93,1)),"",IF((AND(FIND('112'!$M$9,G93,1)&gt;=1,B93='112'!$K$9,OR($N93='112'!$I$6,$O93='112'!$I$6))),"x",""))</f>
        <v/>
      </c>
      <c r="U93" s="79" t="str">
        <f>IF(ISERROR(FIND('112'!$M$9,G93,1)),"",IF((AND(LEFT(G93,2)=LEFT('112'!$M$9,2),B93&lt;'112'!$K$9,$N93='112'!$I$6)),"x",""))</f>
        <v/>
      </c>
      <c r="V93" s="79" t="str">
        <f>IF(ISERROR(FIND('112'!$M$9,G93,1)),"",IF((AND(RIGHT(G93,2)=RIGHT('112'!$M$9,2),B93&lt;'112'!$K$9,$O93='112'!$I$6)),"x",""))</f>
        <v/>
      </c>
      <c r="W93" s="79" t="str">
        <f>IF(AND('341-CT'!$H$9=H93,OR(LEFT(N93,3)=$W$7,LEFT(O93,3)=$W$7)),"x","")</f>
        <v/>
      </c>
      <c r="X93" s="79" t="str">
        <f>IF(OR(TH!N93=TH!$X$7,O93=TH!$X$7),"x","")</f>
        <v/>
      </c>
      <c r="Y93" s="79" t="str">
        <f>IF(AND(OR(N93="131",O93="131"),H93='131-CT'!$H$9),"x","")</f>
        <v/>
      </c>
      <c r="Z93" s="79"/>
      <c r="AA93" s="79" t="str">
        <f>IF(AND(MONTH(E93)='IN-NX'!$J$5,'IN-NX'!$D$7=D93),"x","")</f>
        <v/>
      </c>
      <c r="AB93" s="79" t="str">
        <f>IF(AND(OR(LEFT(TH!N93,2)="15",LEFT(TH!O93,2)="15"),LEFT(TH!O93,3)&lt;&gt;"111",'152-CT'!$J$8=TH!F93),"x","")</f>
        <v/>
      </c>
      <c r="AC93" s="79" t="str">
        <f>IF(AND(OR(LEFT(TH!N93,2)="15",LEFT(TH!O93,2)="15"),TK!$E$7=TH!F93),"x","")</f>
        <v/>
      </c>
      <c r="AD93" s="79" t="str">
        <f>IF(AND(N93="1521",MONTH(C93)='BK-NL'!$M$11),"x","")</f>
        <v/>
      </c>
    </row>
    <row r="94" spans="1:30" ht="16.5" customHeight="1">
      <c r="A94" s="318" t="str">
        <f>IF(B94&lt;&gt;"",IF(AND(B94='IN-TC'!$S$4,OR(TH!N94="1111",TH!O94="1111")),TH!D94,""),"")</f>
        <v/>
      </c>
      <c r="B94" s="1197">
        <f t="shared" si="10"/>
        <v>3</v>
      </c>
      <c r="C94" s="682">
        <v>43190</v>
      </c>
      <c r="D94" s="682" t="s">
        <v>532</v>
      </c>
      <c r="E94" s="682">
        <f t="shared" si="7"/>
        <v>43190</v>
      </c>
      <c r="F94" s="943" t="s">
        <v>724</v>
      </c>
      <c r="G94" s="763" t="s">
        <v>533</v>
      </c>
      <c r="H94" s="303"/>
      <c r="I94" s="385"/>
      <c r="J94" s="392"/>
      <c r="K94" s="385"/>
      <c r="L94" s="392"/>
      <c r="M94" s="686">
        <f>G92*$G94</f>
        <v>0</v>
      </c>
      <c r="N94" s="687" t="s">
        <v>541</v>
      </c>
      <c r="O94" s="687" t="s">
        <v>542</v>
      </c>
      <c r="P94" s="79" t="str">
        <f>IF(AND('331-CT'!$E$7=TH!H94,OR(N94="331",O94="331")),"x","")</f>
        <v/>
      </c>
      <c r="Q94" s="79" t="str">
        <f>IF(AND(B94='111'!$L$11,OR($N94=$Q$7,$O94=$Q$7)),"x","")</f>
        <v/>
      </c>
      <c r="R94" s="79" t="str">
        <f>IF(AND($N94=$Q$7,$B94&lt;'111'!$L$11),"x","")</f>
        <v/>
      </c>
      <c r="S94" s="79" t="str">
        <f>IF(AND($O94=$Q$7,$B94&lt;'111'!$L$11),"x","")</f>
        <v/>
      </c>
      <c r="T94" s="79" t="str">
        <f>IF(ISERROR(FIND('112'!$M$9,G94,1)),"",IF((AND(FIND('112'!$M$9,G94,1)&gt;=1,B94='112'!$K$9,OR($N94='112'!$I$6,$O94='112'!$I$6))),"x",""))</f>
        <v/>
      </c>
      <c r="U94" s="79" t="str">
        <f>IF(ISERROR(FIND('112'!$M$9,G94,1)),"",IF((AND(LEFT(G94,2)=LEFT('112'!$M$9,2),B94&lt;'112'!$K$9,$N94='112'!$I$6)),"x",""))</f>
        <v/>
      </c>
      <c r="V94" s="79" t="str">
        <f>IF(ISERROR(FIND('112'!$M$9,G94,1)),"",IF((AND(RIGHT(G94,2)=RIGHT('112'!$M$9,2),B94&lt;'112'!$K$9,$O94='112'!$I$6)),"x",""))</f>
        <v/>
      </c>
      <c r="W94" s="79" t="str">
        <f>IF(AND('341-CT'!$H$9=H94,OR(LEFT(N94,3)=$W$7,LEFT(O94,3)=$W$7)),"x","")</f>
        <v/>
      </c>
      <c r="X94" s="79" t="str">
        <f>IF(OR(TH!N94=TH!$X$7,O94=TH!$X$7),"x","")</f>
        <v/>
      </c>
      <c r="Y94" s="79" t="str">
        <f>IF(AND(OR(N94="131",O94="131"),H94='131-CT'!$H$9),"x","")</f>
        <v/>
      </c>
      <c r="Z94" s="79"/>
      <c r="AA94" s="79" t="str">
        <f>IF(AND(MONTH(E94)='IN-NX'!$J$5,'IN-NX'!$D$7=D94),"x","")</f>
        <v/>
      </c>
      <c r="AB94" s="79" t="str">
        <f>IF(AND(OR(LEFT(TH!N94,2)="15",LEFT(TH!O94,2)="15"),LEFT(TH!O94,3)&lt;&gt;"111",'152-CT'!$J$8=TH!F94),"x","")</f>
        <v/>
      </c>
      <c r="AC94" s="79" t="str">
        <f>IF(AND(OR(LEFT(TH!N94,2)="15",LEFT(TH!O94,2)="15"),TK!$E$7=TH!F94),"x","")</f>
        <v/>
      </c>
      <c r="AD94" s="79" t="str">
        <f>IF(AND(N94="1521",MONTH(C94)='BK-NL'!$M$11),"x","")</f>
        <v/>
      </c>
    </row>
    <row r="95" spans="1:30" ht="16.5" customHeight="1">
      <c r="A95" s="318" t="str">
        <f>IF(B95&lt;&gt;"",IF(AND(B95='IN-TC'!$S$4,OR(TH!N95="1111",TH!O95="1111")),TH!D95,""),"")</f>
        <v/>
      </c>
      <c r="B95" s="1197">
        <f t="shared" si="10"/>
        <v>3</v>
      </c>
      <c r="C95" s="682">
        <v>43190</v>
      </c>
      <c r="D95" s="682" t="s">
        <v>532</v>
      </c>
      <c r="E95" s="682">
        <f t="shared" si="7"/>
        <v>43190</v>
      </c>
      <c r="F95" s="943" t="s">
        <v>725</v>
      </c>
      <c r="G95" s="259"/>
      <c r="H95" s="303"/>
      <c r="I95" s="385"/>
      <c r="J95" s="392"/>
      <c r="K95" s="385"/>
      <c r="L95" s="392"/>
      <c r="M95" s="686">
        <f>G93*$G94</f>
        <v>0</v>
      </c>
      <c r="N95" s="688" t="s">
        <v>541</v>
      </c>
      <c r="O95" s="689" t="s">
        <v>542</v>
      </c>
      <c r="P95" s="79" t="str">
        <f>IF(AND('331-CT'!$E$7=TH!H95,OR(N95="331",O95="331")),"x","")</f>
        <v/>
      </c>
      <c r="Q95" s="79" t="str">
        <f>IF(AND(B95='111'!$L$11,OR($N95=$Q$7,$O95=$Q$7)),"x","")</f>
        <v/>
      </c>
      <c r="R95" s="79" t="str">
        <f>IF(AND($N95=$Q$7,$B95&lt;'111'!$L$11),"x","")</f>
        <v/>
      </c>
      <c r="S95" s="79" t="str">
        <f>IF(AND($O95=$Q$7,$B95&lt;'111'!$L$11),"x","")</f>
        <v/>
      </c>
      <c r="T95" s="79" t="str">
        <f>IF(ISERROR(FIND('112'!$M$9,G95,1)),"",IF((AND(FIND('112'!$M$9,G95,1)&gt;=1,B95='112'!$K$9,OR($N95='112'!$I$6,$O95='112'!$I$6))),"x",""))</f>
        <v/>
      </c>
      <c r="U95" s="79" t="str">
        <f>IF(ISERROR(FIND('112'!$M$9,G95,1)),"",IF((AND(LEFT(G95,2)=LEFT('112'!$M$9,2),B95&lt;'112'!$K$9,$N95='112'!$I$6)),"x",""))</f>
        <v/>
      </c>
      <c r="V95" s="79" t="str">
        <f>IF(ISERROR(FIND('112'!$M$9,G95,1)),"",IF((AND(RIGHT(G95,2)=RIGHT('112'!$M$9,2),B95&lt;'112'!$K$9,$O95='112'!$I$6)),"x",""))</f>
        <v/>
      </c>
      <c r="W95" s="79" t="str">
        <f>IF(AND('341-CT'!$H$9=H95,OR(LEFT(N95,3)=$W$7,LEFT(O95,3)=$W$7)),"x","")</f>
        <v/>
      </c>
      <c r="X95" s="79" t="str">
        <f>IF(OR(TH!N95=TH!$X$7,O95=TH!$X$7),"x","")</f>
        <v/>
      </c>
      <c r="Y95" s="79" t="str">
        <f>IF(AND(OR(N95="131",O95="131"),H95='131-CT'!$H$9),"x","")</f>
        <v/>
      </c>
      <c r="Z95" s="79"/>
      <c r="AA95" s="79" t="str">
        <f>IF(AND(MONTH(E95)='IN-NX'!$J$5,'IN-NX'!$D$7=D95),"x","")</f>
        <v/>
      </c>
      <c r="AB95" s="79" t="str">
        <f>IF(AND(OR(LEFT(TH!N95,2)="15",LEFT(TH!O95,2)="15"),LEFT(TH!O95,3)&lt;&gt;"111",'152-CT'!$J$8=TH!F95),"x","")</f>
        <v/>
      </c>
      <c r="AC95" s="79" t="str">
        <f>IF(AND(OR(LEFT(TH!N95,2)="15",LEFT(TH!O95,2)="15"),TK!$E$7=TH!F95),"x","")</f>
        <v/>
      </c>
      <c r="AD95" s="79" t="str">
        <f>IF(AND(N95="1521",MONTH(C95)='BK-NL'!$M$11),"x","")</f>
        <v/>
      </c>
    </row>
    <row r="96" spans="1:30" ht="16.5" customHeight="1">
      <c r="A96" s="318" t="str">
        <f>IF(B96&lt;&gt;"",IF(AND(B96='IN-TC'!$S$4,OR(TH!N96="1111",TH!O96="1111")),TH!D96,""),"")</f>
        <v/>
      </c>
      <c r="B96" s="1197">
        <f t="shared" si="10"/>
        <v>3</v>
      </c>
      <c r="C96" s="682">
        <v>43190</v>
      </c>
      <c r="D96" s="682" t="s">
        <v>532</v>
      </c>
      <c r="E96" s="682">
        <f t="shared" si="7"/>
        <v>43190</v>
      </c>
      <c r="F96" s="943" t="s">
        <v>726</v>
      </c>
      <c r="G96" s="763" t="s">
        <v>957</v>
      </c>
      <c r="H96" s="303"/>
      <c r="I96" s="385"/>
      <c r="J96" s="392"/>
      <c r="K96" s="385"/>
      <c r="L96" s="392"/>
      <c r="M96" s="686">
        <f>G92*$G96</f>
        <v>0</v>
      </c>
      <c r="N96" s="687" t="s">
        <v>540</v>
      </c>
      <c r="O96" s="687" t="s">
        <v>542</v>
      </c>
      <c r="P96" s="79" t="str">
        <f>IF(AND('331-CT'!$E$7=TH!H96,OR(N96="331",O96="331")),"x","")</f>
        <v/>
      </c>
      <c r="Q96" s="79" t="str">
        <f>IF(AND(B96='111'!$L$11,OR($N96=$Q$7,$O96=$Q$7)),"x","")</f>
        <v/>
      </c>
      <c r="R96" s="79" t="str">
        <f>IF(AND($N96=$Q$7,$B96&lt;'111'!$L$11),"x","")</f>
        <v/>
      </c>
      <c r="S96" s="79" t="str">
        <f>IF(AND($O96=$Q$7,$B96&lt;'111'!$L$11),"x","")</f>
        <v/>
      </c>
      <c r="T96" s="79" t="str">
        <f>IF(ISERROR(FIND('112'!$M$9,G96,1)),"",IF((AND(FIND('112'!$M$9,G96,1)&gt;=1,B96='112'!$K$9,OR($N96='112'!$I$6,$O96='112'!$I$6))),"x",""))</f>
        <v/>
      </c>
      <c r="U96" s="79" t="str">
        <f>IF(ISERROR(FIND('112'!$M$9,G96,1)),"",IF((AND(LEFT(G96,2)=LEFT('112'!$M$9,2),B96&lt;'112'!$K$9,$N96='112'!$I$6)),"x",""))</f>
        <v/>
      </c>
      <c r="V96" s="79" t="str">
        <f>IF(ISERROR(FIND('112'!$M$9,G96,1)),"",IF((AND(RIGHT(G96,2)=RIGHT('112'!$M$9,2),B96&lt;'112'!$K$9,$O96='112'!$I$6)),"x",""))</f>
        <v/>
      </c>
      <c r="W96" s="79" t="str">
        <f>IF(AND('341-CT'!$H$9=H96,OR(LEFT(N96,3)=$W$7,LEFT(O96,3)=$W$7)),"x","")</f>
        <v/>
      </c>
      <c r="X96" s="79" t="str">
        <f>IF(OR(TH!N96=TH!$X$7,O96=TH!$X$7),"x","")</f>
        <v/>
      </c>
      <c r="Y96" s="79" t="str">
        <f>IF(AND(OR(N96="131",O96="131"),H96='131-CT'!$H$9),"x","")</f>
        <v/>
      </c>
      <c r="Z96" s="79"/>
      <c r="AA96" s="79" t="str">
        <f>IF(AND(MONTH(E96)='IN-NX'!$J$5,'IN-NX'!$D$7=D96),"x","")</f>
        <v/>
      </c>
      <c r="AB96" s="79" t="str">
        <f>IF(AND(OR(LEFT(TH!N96,2)="15",LEFT(TH!O96,2)="15"),LEFT(TH!O96,3)&lt;&gt;"111",'152-CT'!$J$8=TH!F96),"x","")</f>
        <v/>
      </c>
      <c r="AC96" s="79" t="str">
        <f>IF(AND(OR(LEFT(TH!N96,2)="15",LEFT(TH!O96,2)="15"),TK!$E$7=TH!F96),"x","")</f>
        <v/>
      </c>
      <c r="AD96" s="79" t="str">
        <f>IF(AND(N96="1521",MONTH(C96)='BK-NL'!$M$11),"x","")</f>
        <v/>
      </c>
    </row>
    <row r="97" spans="1:30" ht="16.5" customHeight="1">
      <c r="A97" s="318" t="str">
        <f>IF(B97&lt;&gt;"",IF(AND(B97='IN-TC'!$S$4,OR(TH!N97="1111",TH!O97="1111")),TH!D97,""),"")</f>
        <v/>
      </c>
      <c r="B97" s="1197">
        <f t="shared" si="10"/>
        <v>3</v>
      </c>
      <c r="C97" s="682">
        <v>43190</v>
      </c>
      <c r="D97" s="682" t="s">
        <v>532</v>
      </c>
      <c r="E97" s="682">
        <f t="shared" si="7"/>
        <v>43190</v>
      </c>
      <c r="F97" s="943" t="s">
        <v>727</v>
      </c>
      <c r="G97" s="259"/>
      <c r="H97" s="303"/>
      <c r="I97" s="385"/>
      <c r="J97" s="392"/>
      <c r="K97" s="385"/>
      <c r="L97" s="392"/>
      <c r="M97" s="686">
        <f>G93*$G96</f>
        <v>0</v>
      </c>
      <c r="N97" s="687" t="s">
        <v>272</v>
      </c>
      <c r="O97" s="687" t="s">
        <v>542</v>
      </c>
      <c r="P97" s="79" t="str">
        <f>IF(AND('331-CT'!$E$7=TH!H97,OR(N97="331",O97="331")),"x","")</f>
        <v/>
      </c>
      <c r="Q97" s="79" t="str">
        <f>IF(AND(B97='111'!$L$11,OR($N97=$Q$7,$O97=$Q$7)),"x","")</f>
        <v/>
      </c>
      <c r="R97" s="79" t="str">
        <f>IF(AND($N97=$Q$7,$B97&lt;'111'!$L$11),"x","")</f>
        <v/>
      </c>
      <c r="S97" s="79" t="str">
        <f>IF(AND($O97=$Q$7,$B97&lt;'111'!$L$11),"x","")</f>
        <v/>
      </c>
      <c r="T97" s="79" t="str">
        <f>IF(ISERROR(FIND('112'!$M$9,G97,1)),"",IF((AND(FIND('112'!$M$9,G97,1)&gt;=1,B97='112'!$K$9,OR($N97='112'!$I$6,$O97='112'!$I$6))),"x",""))</f>
        <v/>
      </c>
      <c r="U97" s="79" t="str">
        <f>IF(ISERROR(FIND('112'!$M$9,G97,1)),"",IF((AND(LEFT(G97,2)=LEFT('112'!$M$9,2),B97&lt;'112'!$K$9,$N97='112'!$I$6)),"x",""))</f>
        <v/>
      </c>
      <c r="V97" s="79" t="str">
        <f>IF(ISERROR(FIND('112'!$M$9,G97,1)),"",IF((AND(RIGHT(G97,2)=RIGHT('112'!$M$9,2),B97&lt;'112'!$K$9,$O97='112'!$I$6)),"x",""))</f>
        <v/>
      </c>
      <c r="W97" s="79" t="str">
        <f>IF(AND('341-CT'!$H$9=H97,OR(LEFT(N97,3)=$W$7,LEFT(O97,3)=$W$7)),"x","")</f>
        <v/>
      </c>
      <c r="X97" s="79" t="str">
        <f>IF(OR(TH!N97=TH!$X$7,O97=TH!$X$7),"x","")</f>
        <v/>
      </c>
      <c r="Y97" s="79" t="str">
        <f>IF(AND(OR(N97="131",O97="131"),H97='131-CT'!$H$9),"x","")</f>
        <v/>
      </c>
      <c r="Z97" s="79"/>
      <c r="AA97" s="79" t="str">
        <f>IF(AND(MONTH(E97)='IN-NX'!$J$5,'IN-NX'!$D$7=D97),"x","")</f>
        <v/>
      </c>
      <c r="AB97" s="79" t="str">
        <f>IF(AND(OR(LEFT(TH!N97,2)="15",LEFT(TH!O97,2)="15"),LEFT(TH!O97,3)&lt;&gt;"111",'152-CT'!$J$8=TH!F97),"x","")</f>
        <v/>
      </c>
      <c r="AC97" s="79" t="str">
        <f>IF(AND(OR(LEFT(TH!N97,2)="15",LEFT(TH!O97,2)="15"),TK!$E$7=TH!F97),"x","")</f>
        <v/>
      </c>
      <c r="AD97" s="79" t="str">
        <f>IF(AND(N97="1521",MONTH(C97)='BK-NL'!$M$11),"x","")</f>
        <v/>
      </c>
    </row>
    <row r="98" spans="1:30" ht="16.5" customHeight="1">
      <c r="A98" s="318" t="str">
        <f>IF(B98&lt;&gt;"",IF(AND(B98='IN-TC'!$S$4,OR(TH!N98="1111",TH!O98="1111")),TH!D98,""),"")</f>
        <v/>
      </c>
      <c r="B98" s="1197">
        <f t="shared" si="10"/>
        <v>3</v>
      </c>
      <c r="C98" s="682">
        <v>43190</v>
      </c>
      <c r="D98" s="682" t="s">
        <v>532</v>
      </c>
      <c r="E98" s="682">
        <f t="shared" si="7"/>
        <v>43190</v>
      </c>
      <c r="F98" s="943" t="s">
        <v>728</v>
      </c>
      <c r="G98" s="763" t="s">
        <v>534</v>
      </c>
      <c r="H98" s="305"/>
      <c r="I98" s="383"/>
      <c r="J98" s="390"/>
      <c r="K98" s="383"/>
      <c r="L98" s="390"/>
      <c r="M98" s="686">
        <f>ROUND(G92*$G98,0)</f>
        <v>0</v>
      </c>
      <c r="N98" s="687" t="s">
        <v>541</v>
      </c>
      <c r="O98" s="687" t="s">
        <v>543</v>
      </c>
      <c r="P98" s="79" t="str">
        <f>IF(AND('331-CT'!$E$7=TH!H98,OR(N98="331",O98="331")),"x","")</f>
        <v/>
      </c>
      <c r="Q98" s="79" t="str">
        <f>IF(AND(B98='111'!$L$11,OR($N98=$Q$7,$O98=$Q$7)),"x","")</f>
        <v/>
      </c>
      <c r="R98" s="79" t="str">
        <f>IF(AND($N98=$Q$7,$B98&lt;'111'!$L$11),"x","")</f>
        <v/>
      </c>
      <c r="S98" s="79" t="str">
        <f>IF(AND($O98=$Q$7,$B98&lt;'111'!$L$11),"x","")</f>
        <v/>
      </c>
      <c r="T98" s="79" t="str">
        <f>IF(ISERROR(FIND('112'!$M$9,G98,1)),"",IF((AND(FIND('112'!$M$9,G98,1)&gt;=1,B98='112'!$K$9,OR($N98='112'!$I$6,$O98='112'!$I$6))),"x",""))</f>
        <v/>
      </c>
      <c r="U98" s="79" t="str">
        <f>IF(ISERROR(FIND('112'!$M$9,G98,1)),"",IF((AND(LEFT(G98,2)=LEFT('112'!$M$9,2),B98&lt;'112'!$K$9,$N98='112'!$I$6)),"x",""))</f>
        <v/>
      </c>
      <c r="V98" s="79" t="str">
        <f>IF(ISERROR(FIND('112'!$M$9,G98,1)),"",IF((AND(RIGHT(G98,2)=RIGHT('112'!$M$9,2),B98&lt;'112'!$K$9,$O98='112'!$I$6)),"x",""))</f>
        <v/>
      </c>
      <c r="W98" s="79" t="str">
        <f>IF(AND('341-CT'!$H$9=H98,OR(LEFT(N98,3)=$W$7,LEFT(O98,3)=$W$7)),"x","")</f>
        <v/>
      </c>
      <c r="X98" s="79" t="str">
        <f>IF(OR(TH!N98=TH!$X$7,O98=TH!$X$7),"x","")</f>
        <v/>
      </c>
      <c r="Y98" s="79" t="str">
        <f>IF(AND(OR(N98="131",O98="131"),H98='131-CT'!$H$9),"x","")</f>
        <v/>
      </c>
      <c r="Z98" s="79"/>
      <c r="AA98" s="79" t="str">
        <f>IF(AND(MONTH(E98)='IN-NX'!$J$5,'IN-NX'!$D$7=D98),"x","")</f>
        <v/>
      </c>
      <c r="AB98" s="79" t="str">
        <f>IF(AND(OR(LEFT(TH!N98,2)="15",LEFT(TH!O98,2)="15"),LEFT(TH!O98,3)&lt;&gt;"111",'152-CT'!$J$8=TH!F98),"x","")</f>
        <v/>
      </c>
      <c r="AC98" s="79" t="str">
        <f>IF(AND(OR(LEFT(TH!N98,2)="15",LEFT(TH!O98,2)="15"),TK!$E$7=TH!F98),"x","")</f>
        <v/>
      </c>
      <c r="AD98" s="79" t="str">
        <f>IF(AND(N98="1521",MONTH(C98)='BK-NL'!$M$11),"x","")</f>
        <v/>
      </c>
    </row>
    <row r="99" spans="1:30" ht="16.5" customHeight="1">
      <c r="A99" s="318" t="str">
        <f>IF(B99&lt;&gt;"",IF(AND(B99='IN-TC'!$S$4,OR(TH!N99="1111",TH!O99="1111")),TH!D99,""),"")</f>
        <v/>
      </c>
      <c r="B99" s="1197">
        <f t="shared" si="10"/>
        <v>3</v>
      </c>
      <c r="C99" s="682">
        <v>43190</v>
      </c>
      <c r="D99" s="682" t="s">
        <v>532</v>
      </c>
      <c r="E99" s="682">
        <f t="shared" si="7"/>
        <v>43190</v>
      </c>
      <c r="F99" s="943" t="s">
        <v>729</v>
      </c>
      <c r="G99" s="259"/>
      <c r="H99" s="305"/>
      <c r="I99" s="383"/>
      <c r="J99" s="390"/>
      <c r="K99" s="383"/>
      <c r="L99" s="390"/>
      <c r="M99" s="686">
        <f>G93*$G98</f>
        <v>0</v>
      </c>
      <c r="N99" s="687" t="s">
        <v>541</v>
      </c>
      <c r="O99" s="687" t="s">
        <v>543</v>
      </c>
      <c r="P99" s="79" t="str">
        <f>IF(AND('331-CT'!$E$7=TH!H99,OR(N99="331",O99="331")),"x","")</f>
        <v/>
      </c>
      <c r="Q99" s="79" t="str">
        <f>IF(AND(B99='111'!$L$11,OR($N99=$Q$7,$O99=$Q$7)),"x","")</f>
        <v/>
      </c>
      <c r="R99" s="79" t="str">
        <f>IF(AND($N99=$Q$7,$B99&lt;'111'!$L$11),"x","")</f>
        <v/>
      </c>
      <c r="S99" s="79" t="str">
        <f>IF(AND($O99=$Q$7,$B99&lt;'111'!$L$11),"x","")</f>
        <v/>
      </c>
      <c r="T99" s="79" t="str">
        <f>IF(ISERROR(FIND('112'!$M$9,G99,1)),"",IF((AND(FIND('112'!$M$9,G99,1)&gt;=1,B99='112'!$K$9,OR($N99='112'!$I$6,$O99='112'!$I$6))),"x",""))</f>
        <v/>
      </c>
      <c r="U99" s="79" t="str">
        <f>IF(ISERROR(FIND('112'!$M$9,G99,1)),"",IF((AND(LEFT(G99,2)=LEFT('112'!$M$9,2),B99&lt;'112'!$K$9,$N99='112'!$I$6)),"x",""))</f>
        <v/>
      </c>
      <c r="V99" s="79" t="str">
        <f>IF(ISERROR(FIND('112'!$M$9,G99,1)),"",IF((AND(RIGHT(G99,2)=RIGHT('112'!$M$9,2),B99&lt;'112'!$K$9,$O99='112'!$I$6)),"x",""))</f>
        <v/>
      </c>
      <c r="W99" s="79" t="str">
        <f>IF(AND('341-CT'!$H$9=H99,OR(LEFT(N99,3)=$W$7,LEFT(O99,3)=$W$7)),"x","")</f>
        <v/>
      </c>
      <c r="X99" s="79" t="str">
        <f>IF(OR(TH!N99=TH!$X$7,O99=TH!$X$7),"x","")</f>
        <v/>
      </c>
      <c r="Y99" s="79" t="str">
        <f>IF(AND(OR(N99="131",O99="131"),H99='131-CT'!$H$9),"x","")</f>
        <v/>
      </c>
      <c r="Z99" s="79"/>
      <c r="AA99" s="79" t="str">
        <f>IF(AND(MONTH(E99)='IN-NX'!$J$5,'IN-NX'!$D$7=D99),"x","")</f>
        <v/>
      </c>
      <c r="AB99" s="79" t="str">
        <f>IF(AND(OR(LEFT(TH!N99,2)="15",LEFT(TH!O99,2)="15"),LEFT(TH!O99,3)&lt;&gt;"111",'152-CT'!$J$8=TH!F99),"x","")</f>
        <v/>
      </c>
      <c r="AC99" s="79" t="str">
        <f>IF(AND(OR(LEFT(TH!N99,2)="15",LEFT(TH!O99,2)="15"),TK!$E$7=TH!F99),"x","")</f>
        <v/>
      </c>
      <c r="AD99" s="79" t="str">
        <f>IF(AND(N99="1521",MONTH(C99)='BK-NL'!$M$11),"x","")</f>
        <v/>
      </c>
    </row>
    <row r="100" spans="1:30" ht="16.5" customHeight="1">
      <c r="A100" s="318" t="str">
        <f>IF(B100&lt;&gt;"",IF(AND(B100='IN-TC'!$S$4,OR(TH!N100="1111",TH!O100="1111")),TH!D100,""),"")</f>
        <v/>
      </c>
      <c r="B100" s="1197">
        <f t="shared" si="10"/>
        <v>3</v>
      </c>
      <c r="C100" s="682">
        <v>43190</v>
      </c>
      <c r="D100" s="682" t="s">
        <v>532</v>
      </c>
      <c r="E100" s="682">
        <f t="shared" si="7"/>
        <v>43190</v>
      </c>
      <c r="F100" s="943" t="s">
        <v>730</v>
      </c>
      <c r="G100" s="763" t="s">
        <v>535</v>
      </c>
      <c r="H100" s="303"/>
      <c r="I100" s="385"/>
      <c r="J100" s="392"/>
      <c r="K100" s="385"/>
      <c r="L100" s="392"/>
      <c r="M100" s="686">
        <f>G92*$G100</f>
        <v>0</v>
      </c>
      <c r="N100" s="687" t="s">
        <v>540</v>
      </c>
      <c r="O100" s="687" t="s">
        <v>543</v>
      </c>
      <c r="P100" s="79" t="str">
        <f>IF(AND('331-CT'!$E$7=TH!H100,OR(N100="331",O100="331")),"x","")</f>
        <v/>
      </c>
      <c r="Q100" s="79" t="str">
        <f>IF(AND(B100='111'!$L$11,OR($N100=$Q$7,$O100=$Q$7)),"x","")</f>
        <v/>
      </c>
      <c r="R100" s="79" t="str">
        <f>IF(AND($N100=$Q$7,$B100&lt;'111'!$L$11),"x","")</f>
        <v/>
      </c>
      <c r="S100" s="79" t="str">
        <f>IF(AND($O100=$Q$7,$B100&lt;'111'!$L$11),"x","")</f>
        <v/>
      </c>
      <c r="T100" s="79" t="str">
        <f>IF(ISERROR(FIND('112'!$M$9,G100,1)),"",IF((AND(FIND('112'!$M$9,G100,1)&gt;=1,B100='112'!$K$9,OR($N100='112'!$I$6,$O100='112'!$I$6))),"x",""))</f>
        <v/>
      </c>
      <c r="U100" s="79" t="str">
        <f>IF(ISERROR(FIND('112'!$M$9,G100,1)),"",IF((AND(LEFT(G100,2)=LEFT('112'!$M$9,2),B100&lt;'112'!$K$9,$N100='112'!$I$6)),"x",""))</f>
        <v/>
      </c>
      <c r="V100" s="79" t="str">
        <f>IF(ISERROR(FIND('112'!$M$9,G100,1)),"",IF((AND(RIGHT(G100,2)=RIGHT('112'!$M$9,2),B100&lt;'112'!$K$9,$O100='112'!$I$6)),"x",""))</f>
        <v/>
      </c>
      <c r="W100" s="79" t="str">
        <f>IF(AND('341-CT'!$H$9=H100,OR(LEFT(N100,3)=$W$7,LEFT(O100,3)=$W$7)),"x","")</f>
        <v/>
      </c>
      <c r="X100" s="79" t="str">
        <f>IF(OR(TH!N100=TH!$X$7,O100=TH!$X$7),"x","")</f>
        <v/>
      </c>
      <c r="Y100" s="79" t="str">
        <f>IF(AND(OR(N100="131",O100="131"),H100='131-CT'!$H$9),"x","")</f>
        <v/>
      </c>
      <c r="Z100" s="79"/>
      <c r="AA100" s="79" t="str">
        <f>IF(AND(MONTH(E100)='IN-NX'!$J$5,'IN-NX'!$D$7=D100),"x","")</f>
        <v/>
      </c>
      <c r="AB100" s="79" t="str">
        <f>IF(AND(OR(LEFT(TH!N100,2)="15",LEFT(TH!O100,2)="15"),LEFT(TH!O100,3)&lt;&gt;"111",'152-CT'!$J$8=TH!F100),"x","")</f>
        <v/>
      </c>
      <c r="AC100" s="79" t="str">
        <f>IF(AND(OR(LEFT(TH!N100,2)="15",LEFT(TH!O100,2)="15"),TK!$E$7=TH!F100),"x","")</f>
        <v/>
      </c>
      <c r="AD100" s="79" t="str">
        <f>IF(AND(N100="1521",MONTH(C100)='BK-NL'!$M$11),"x","")</f>
        <v/>
      </c>
    </row>
    <row r="101" spans="1:30" ht="16.5" customHeight="1">
      <c r="A101" s="318" t="str">
        <f>IF(B101&lt;&gt;"",IF(AND(B101='IN-TC'!$S$4,OR(TH!N101="1111",TH!O101="1111")),TH!D101,""),"")</f>
        <v/>
      </c>
      <c r="B101" s="1197">
        <f t="shared" si="10"/>
        <v>3</v>
      </c>
      <c r="C101" s="682">
        <v>43190</v>
      </c>
      <c r="D101" s="682" t="s">
        <v>532</v>
      </c>
      <c r="E101" s="682">
        <f t="shared" si="7"/>
        <v>43190</v>
      </c>
      <c r="F101" s="943" t="s">
        <v>731</v>
      </c>
      <c r="G101" s="259"/>
      <c r="H101" s="303"/>
      <c r="I101" s="385"/>
      <c r="J101" s="392"/>
      <c r="K101" s="385"/>
      <c r="L101" s="392"/>
      <c r="M101" s="686">
        <f>G93*$G100</f>
        <v>0</v>
      </c>
      <c r="N101" s="687" t="s">
        <v>272</v>
      </c>
      <c r="O101" s="687" t="s">
        <v>543</v>
      </c>
      <c r="P101" s="79" t="str">
        <f>IF(AND('331-CT'!$E$7=TH!H101,OR(N101="331",O101="331")),"x","")</f>
        <v/>
      </c>
      <c r="Q101" s="79" t="str">
        <f>IF(AND(B101='111'!$L$11,OR($N101=$Q$7,$O101=$Q$7)),"x","")</f>
        <v/>
      </c>
      <c r="R101" s="79" t="str">
        <f>IF(AND($N101=$Q$7,$B101&lt;'111'!$L$11),"x","")</f>
        <v/>
      </c>
      <c r="S101" s="79" t="str">
        <f>IF(AND($O101=$Q$7,$B101&lt;'111'!$L$11),"x","")</f>
        <v/>
      </c>
      <c r="T101" s="79" t="str">
        <f>IF(ISERROR(FIND('112'!$M$9,G101,1)),"",IF((AND(FIND('112'!$M$9,G101,1)&gt;=1,B101='112'!$K$9,OR($N101='112'!$I$6,$O101='112'!$I$6))),"x",""))</f>
        <v/>
      </c>
      <c r="U101" s="79" t="str">
        <f>IF(ISERROR(FIND('112'!$M$9,G101,1)),"",IF((AND(LEFT(G101,2)=LEFT('112'!$M$9,2),B101&lt;'112'!$K$9,$N101='112'!$I$6)),"x",""))</f>
        <v/>
      </c>
      <c r="V101" s="79" t="str">
        <f>IF(ISERROR(FIND('112'!$M$9,G101,1)),"",IF((AND(RIGHT(G101,2)=RIGHT('112'!$M$9,2),B101&lt;'112'!$K$9,$O101='112'!$I$6)),"x",""))</f>
        <v/>
      </c>
      <c r="W101" s="79" t="str">
        <f>IF(AND('341-CT'!$H$9=H101,OR(LEFT(N101,3)=$W$7,LEFT(O101,3)=$W$7)),"x","")</f>
        <v/>
      </c>
      <c r="X101" s="79" t="str">
        <f>IF(OR(TH!N101=TH!$X$7,O101=TH!$X$7),"x","")</f>
        <v/>
      </c>
      <c r="Y101" s="79" t="str">
        <f>IF(AND(OR(N101="131",O101="131"),H101='131-CT'!$H$9),"x","")</f>
        <v/>
      </c>
      <c r="Z101" s="79"/>
      <c r="AA101" s="79" t="str">
        <f>IF(AND(MONTH(E101)='IN-NX'!$J$5,'IN-NX'!$D$7=D101),"x","")</f>
        <v/>
      </c>
      <c r="AB101" s="79" t="str">
        <f>IF(AND(OR(LEFT(TH!N101,2)="15",LEFT(TH!O101,2)="15"),LEFT(TH!O101,3)&lt;&gt;"111",'152-CT'!$J$8=TH!F101),"x","")</f>
        <v/>
      </c>
      <c r="AC101" s="79" t="str">
        <f>IF(AND(OR(LEFT(TH!N101,2)="15",LEFT(TH!O101,2)="15"),TK!$E$7=TH!F101),"x","")</f>
        <v/>
      </c>
      <c r="AD101" s="79" t="str">
        <f>IF(AND(N101="1521",MONTH(C101)='BK-NL'!$M$11),"x","")</f>
        <v/>
      </c>
    </row>
    <row r="102" spans="1:30" ht="16.5" customHeight="1">
      <c r="A102" s="318" t="str">
        <f>IF(B102&lt;&gt;"",IF(AND(B102='IN-TC'!$S$4,OR(TH!N102="1111",TH!O102="1111")),TH!D102,""),"")</f>
        <v/>
      </c>
      <c r="B102" s="1197">
        <f t="shared" si="10"/>
        <v>3</v>
      </c>
      <c r="C102" s="682">
        <v>43190</v>
      </c>
      <c r="D102" s="682" t="s">
        <v>532</v>
      </c>
      <c r="E102" s="682">
        <f t="shared" si="7"/>
        <v>43190</v>
      </c>
      <c r="F102" s="943" t="s">
        <v>732</v>
      </c>
      <c r="G102" s="763" t="s">
        <v>536</v>
      </c>
      <c r="H102" s="303"/>
      <c r="I102" s="385"/>
      <c r="J102" s="392"/>
      <c r="K102" s="385"/>
      <c r="L102" s="392"/>
      <c r="M102" s="686">
        <f>G92*$G102</f>
        <v>0</v>
      </c>
      <c r="N102" s="687" t="s">
        <v>541</v>
      </c>
      <c r="O102" s="687" t="s">
        <v>544</v>
      </c>
      <c r="P102" s="79" t="str">
        <f>IF(AND('331-CT'!$E$7=TH!H102,OR(N102="331",O102="331")),"x","")</f>
        <v/>
      </c>
      <c r="Q102" s="79" t="str">
        <f>IF(AND(B102='111'!$L$11,OR($N102=$Q$7,$O102=$Q$7)),"x","")</f>
        <v/>
      </c>
      <c r="R102" s="79" t="str">
        <f>IF(AND($N102=$Q$7,$B102&lt;'111'!$L$11),"x","")</f>
        <v/>
      </c>
      <c r="S102" s="79" t="str">
        <f>IF(AND($O102=$Q$7,$B102&lt;'111'!$L$11),"x","")</f>
        <v/>
      </c>
      <c r="T102" s="79" t="str">
        <f>IF(ISERROR(FIND('112'!$M$9,G102,1)),"",IF((AND(FIND('112'!$M$9,G102,1)&gt;=1,B102='112'!$K$9,OR($N102='112'!$I$6,$O102='112'!$I$6))),"x",""))</f>
        <v/>
      </c>
      <c r="U102" s="79" t="str">
        <f>IF(ISERROR(FIND('112'!$M$9,G102,1)),"",IF((AND(LEFT(G102,2)=LEFT('112'!$M$9,2),B102&lt;'112'!$K$9,$N102='112'!$I$6)),"x",""))</f>
        <v/>
      </c>
      <c r="V102" s="79" t="str">
        <f>IF(ISERROR(FIND('112'!$M$9,G102,1)),"",IF((AND(RIGHT(G102,2)=RIGHT('112'!$M$9,2),B102&lt;'112'!$K$9,$O102='112'!$I$6)),"x",""))</f>
        <v/>
      </c>
      <c r="W102" s="79" t="str">
        <f>IF(AND('341-CT'!$H$9=H102,OR(LEFT(N102,3)=$W$7,LEFT(O102,3)=$W$7)),"x","")</f>
        <v/>
      </c>
      <c r="X102" s="79" t="str">
        <f>IF(OR(TH!N102=TH!$X$7,O102=TH!$X$7),"x","")</f>
        <v/>
      </c>
      <c r="Y102" s="79" t="str">
        <f>IF(AND(OR(N102="131",O102="131"),H102='131-CT'!$H$9),"x","")</f>
        <v/>
      </c>
      <c r="Z102" s="79"/>
      <c r="AA102" s="79" t="str">
        <f>IF(AND(MONTH(E102)='IN-NX'!$J$5,'IN-NX'!$D$7=D102),"x","")</f>
        <v/>
      </c>
      <c r="AB102" s="79" t="str">
        <f>IF(AND(OR(LEFT(TH!N102,2)="15",LEFT(TH!O102,2)="15"),LEFT(TH!O102,3)&lt;&gt;"111",'152-CT'!$J$8=TH!F102),"x","")</f>
        <v/>
      </c>
      <c r="AC102" s="79" t="str">
        <f>IF(AND(OR(LEFT(TH!N102,2)="15",LEFT(TH!O102,2)="15"),TK!$E$7=TH!F102),"x","")</f>
        <v/>
      </c>
      <c r="AD102" s="79" t="str">
        <f>IF(AND(N102="1521",MONTH(C102)='BK-NL'!$M$11),"x","")</f>
        <v/>
      </c>
    </row>
    <row r="103" spans="1:30" ht="16.5" customHeight="1">
      <c r="A103" s="318" t="str">
        <f>IF(B103&lt;&gt;"",IF(AND(B103='IN-TC'!$S$4,OR(TH!N103="1111",TH!O103="1111")),TH!D103,""),"")</f>
        <v/>
      </c>
      <c r="B103" s="1197">
        <f t="shared" si="10"/>
        <v>3</v>
      </c>
      <c r="C103" s="682">
        <v>43190</v>
      </c>
      <c r="D103" s="682" t="s">
        <v>532</v>
      </c>
      <c r="E103" s="682">
        <f t="shared" si="7"/>
        <v>43190</v>
      </c>
      <c r="F103" s="943" t="s">
        <v>733</v>
      </c>
      <c r="G103" s="259"/>
      <c r="H103" s="303"/>
      <c r="I103" s="385"/>
      <c r="J103" s="392"/>
      <c r="K103" s="385"/>
      <c r="L103" s="392"/>
      <c r="M103" s="686">
        <f>G93*$G102</f>
        <v>0</v>
      </c>
      <c r="N103" s="687" t="s">
        <v>541</v>
      </c>
      <c r="O103" s="687" t="s">
        <v>544</v>
      </c>
      <c r="P103" s="79" t="str">
        <f>IF(AND('331-CT'!$E$7=TH!H103,OR(N103="331",O103="331")),"x","")</f>
        <v/>
      </c>
      <c r="Q103" s="79" t="str">
        <f>IF(AND(B103='111'!$L$11,OR($N103=$Q$7,$O103=$Q$7)),"x","")</f>
        <v/>
      </c>
      <c r="R103" s="79" t="str">
        <f>IF(AND($N103=$Q$7,$B103&lt;'111'!$L$11),"x","")</f>
        <v/>
      </c>
      <c r="S103" s="79" t="str">
        <f>IF(AND($O103=$Q$7,$B103&lt;'111'!$L$11),"x","")</f>
        <v/>
      </c>
      <c r="T103" s="79" t="str">
        <f>IF(ISERROR(FIND('112'!$M$9,G103,1)),"",IF((AND(FIND('112'!$M$9,G103,1)&gt;=1,B103='112'!$K$9,OR($N103='112'!$I$6,$O103='112'!$I$6))),"x",""))</f>
        <v/>
      </c>
      <c r="U103" s="79" t="str">
        <f>IF(ISERROR(FIND('112'!$M$9,G103,1)),"",IF((AND(LEFT(G103,2)=LEFT('112'!$M$9,2),B103&lt;'112'!$K$9,$N103='112'!$I$6)),"x",""))</f>
        <v/>
      </c>
      <c r="V103" s="79" t="str">
        <f>IF(ISERROR(FIND('112'!$M$9,G103,1)),"",IF((AND(RIGHT(G103,2)=RIGHT('112'!$M$9,2),B103&lt;'112'!$K$9,$O103='112'!$I$6)),"x",""))</f>
        <v/>
      </c>
      <c r="W103" s="79" t="str">
        <f>IF(AND('341-CT'!$H$9=H103,OR(LEFT(N103,3)=$W$7,LEFT(O103,3)=$W$7)),"x","")</f>
        <v/>
      </c>
      <c r="X103" s="79" t="str">
        <f>IF(OR(TH!N103=TH!$X$7,O103=TH!$X$7),"x","")</f>
        <v/>
      </c>
      <c r="Y103" s="79" t="str">
        <f>IF(AND(OR(N103="131",O103="131"),H103='131-CT'!$H$9),"x","")</f>
        <v/>
      </c>
      <c r="Z103" s="79"/>
      <c r="AA103" s="79" t="str">
        <f>IF(AND(MONTH(E103)='IN-NX'!$J$5,'IN-NX'!$D$7=D103),"x","")</f>
        <v/>
      </c>
      <c r="AB103" s="79" t="str">
        <f>IF(AND(OR(LEFT(TH!N103,2)="15",LEFT(TH!O103,2)="15"),LEFT(TH!O103,3)&lt;&gt;"111",'152-CT'!$J$8=TH!F103),"x","")</f>
        <v/>
      </c>
      <c r="AC103" s="79" t="str">
        <f>IF(AND(OR(LEFT(TH!N103,2)="15",LEFT(TH!O103,2)="15"),TK!$E$7=TH!F103),"x","")</f>
        <v/>
      </c>
      <c r="AD103" s="79" t="str">
        <f>IF(AND(N103="1521",MONTH(C103)='BK-NL'!$M$11),"x","")</f>
        <v/>
      </c>
    </row>
    <row r="104" spans="1:30" ht="16.5" customHeight="1">
      <c r="A104" s="318" t="str">
        <f>IF(B104&lt;&gt;"",IF(AND(B104='IN-TC'!$S$4,OR(TH!N104="1111",TH!O104="1111")),TH!D104,""),"")</f>
        <v/>
      </c>
      <c r="B104" s="1197">
        <f t="shared" si="10"/>
        <v>3</v>
      </c>
      <c r="C104" s="682">
        <v>43190</v>
      </c>
      <c r="D104" s="682" t="s">
        <v>532</v>
      </c>
      <c r="E104" s="682">
        <f t="shared" ref="E104:E141" si="13">C104</f>
        <v>43190</v>
      </c>
      <c r="F104" s="943" t="s">
        <v>734</v>
      </c>
      <c r="G104" s="763" t="s">
        <v>536</v>
      </c>
      <c r="H104" s="901"/>
      <c r="I104" s="386"/>
      <c r="J104" s="393"/>
      <c r="K104" s="386"/>
      <c r="L104" s="393"/>
      <c r="M104" s="686">
        <f>M102</f>
        <v>0</v>
      </c>
      <c r="N104" s="687" t="s">
        <v>540</v>
      </c>
      <c r="O104" s="687" t="s">
        <v>544</v>
      </c>
      <c r="P104" s="79" t="str">
        <f>IF(AND('331-CT'!$E$7=TH!H104,OR(N104="331",O104="331")),"x","")</f>
        <v/>
      </c>
      <c r="Q104" s="79" t="str">
        <f>IF(AND(B104='111'!$L$11,OR($N104=$Q$7,$O104=$Q$7)),"x","")</f>
        <v/>
      </c>
      <c r="R104" s="79" t="str">
        <f>IF(AND($N104=$Q$7,$B104&lt;'111'!$L$11),"x","")</f>
        <v/>
      </c>
      <c r="S104" s="79" t="str">
        <f>IF(AND($O104=$Q$7,$B104&lt;'111'!$L$11),"x","")</f>
        <v/>
      </c>
      <c r="T104" s="79" t="str">
        <f>IF(ISERROR(FIND('112'!$M$9,G104,1)),"",IF((AND(FIND('112'!$M$9,G104,1)&gt;=1,B104='112'!$K$9,OR($N104='112'!$I$6,$O104='112'!$I$6))),"x",""))</f>
        <v/>
      </c>
      <c r="U104" s="79" t="str">
        <f>IF(ISERROR(FIND('112'!$M$9,G104,1)),"",IF((AND(LEFT(G104,2)=LEFT('112'!$M$9,2),B104&lt;'112'!$K$9,$N104='112'!$I$6)),"x",""))</f>
        <v/>
      </c>
      <c r="V104" s="79" t="str">
        <f>IF(ISERROR(FIND('112'!$M$9,G104,1)),"",IF((AND(RIGHT(G104,2)=RIGHT('112'!$M$9,2),B104&lt;'112'!$K$9,$O104='112'!$I$6)),"x",""))</f>
        <v/>
      </c>
      <c r="W104" s="79" t="str">
        <f>IF(AND('341-CT'!$H$9=H104,OR(LEFT(N104,3)=$W$7,LEFT(O104,3)=$W$7)),"x","")</f>
        <v/>
      </c>
      <c r="X104" s="79" t="str">
        <f>IF(OR(TH!N104=TH!$X$7,O104=TH!$X$7),"x","")</f>
        <v/>
      </c>
      <c r="Y104" s="79" t="str">
        <f>IF(AND(OR(N104="131",O104="131"),H104='131-CT'!$H$9),"x","")</f>
        <v/>
      </c>
      <c r="Z104" s="79"/>
      <c r="AA104" s="79" t="str">
        <f>IF(AND(MONTH(E104)='IN-NX'!$J$5,'IN-NX'!$D$7=D104),"x","")</f>
        <v/>
      </c>
      <c r="AB104" s="79" t="str">
        <f>IF(AND(OR(LEFT(TH!N104,2)="15",LEFT(TH!O104,2)="15"),LEFT(TH!O104,3)&lt;&gt;"111",'152-CT'!$J$8=TH!F104),"x","")</f>
        <v/>
      </c>
      <c r="AC104" s="79" t="str">
        <f>IF(AND(OR(LEFT(TH!N104,2)="15",LEFT(TH!O104,2)="15"),TK!$E$7=TH!F104),"x","")</f>
        <v/>
      </c>
      <c r="AD104" s="79" t="str">
        <f>IF(AND(N104="1521",MONTH(C104)='BK-NL'!$M$11),"x","")</f>
        <v/>
      </c>
    </row>
    <row r="105" spans="1:30" ht="16.5" customHeight="1">
      <c r="A105" s="318" t="str">
        <f>IF(B105&lt;&gt;"",IF(AND(B105='IN-TC'!$S$4,OR(TH!N105="1111",TH!O105="1111")),TH!D105,""),"")</f>
        <v/>
      </c>
      <c r="B105" s="1197">
        <f t="shared" si="10"/>
        <v>3</v>
      </c>
      <c r="C105" s="682">
        <v>43190</v>
      </c>
      <c r="D105" s="682" t="s">
        <v>532</v>
      </c>
      <c r="E105" s="682">
        <f t="shared" si="13"/>
        <v>43190</v>
      </c>
      <c r="F105" s="943" t="s">
        <v>735</v>
      </c>
      <c r="G105" s="259"/>
      <c r="H105" s="303"/>
      <c r="I105" s="385"/>
      <c r="J105" s="392"/>
      <c r="K105" s="385"/>
      <c r="L105" s="392"/>
      <c r="M105" s="686">
        <f>M103</f>
        <v>0</v>
      </c>
      <c r="N105" s="687" t="s">
        <v>272</v>
      </c>
      <c r="O105" s="687" t="s">
        <v>544</v>
      </c>
      <c r="P105" s="79" t="str">
        <f>IF(AND('331-CT'!$E$7=TH!H105,OR(N105="331",O105="331")),"x","")</f>
        <v/>
      </c>
      <c r="Q105" s="79" t="str">
        <f>IF(AND(B105='111'!$L$11,OR($N105=$Q$7,$O105=$Q$7)),"x","")</f>
        <v/>
      </c>
      <c r="R105" s="79" t="str">
        <f>IF(AND($N105=$Q$7,$B105&lt;'111'!$L$11),"x","")</f>
        <v/>
      </c>
      <c r="S105" s="79" t="str">
        <f>IF(AND($O105=$Q$7,$B105&lt;'111'!$L$11),"x","")</f>
        <v/>
      </c>
      <c r="T105" s="79" t="str">
        <f>IF(ISERROR(FIND('112'!$M$9,G105,1)),"",IF((AND(FIND('112'!$M$9,G105,1)&gt;=1,B105='112'!$K$9,OR($N105='112'!$I$6,$O105='112'!$I$6))),"x",""))</f>
        <v/>
      </c>
      <c r="U105" s="79" t="str">
        <f>IF(ISERROR(FIND('112'!$M$9,G105,1)),"",IF((AND(LEFT(G105,2)=LEFT('112'!$M$9,2),B105&lt;'112'!$K$9,$N105='112'!$I$6)),"x",""))</f>
        <v/>
      </c>
      <c r="V105" s="79" t="str">
        <f>IF(ISERROR(FIND('112'!$M$9,G105,1)),"",IF((AND(RIGHT(G105,2)=RIGHT('112'!$M$9,2),B105&lt;'112'!$K$9,$O105='112'!$I$6)),"x",""))</f>
        <v/>
      </c>
      <c r="W105" s="79" t="str">
        <f>IF(AND('341-CT'!$H$9=H105,OR(LEFT(N105,3)=$W$7,LEFT(O105,3)=$W$7)),"x","")</f>
        <v/>
      </c>
      <c r="X105" s="79" t="str">
        <f>IF(OR(TH!N105=TH!$X$7,O105=TH!$X$7),"x","")</f>
        <v/>
      </c>
      <c r="Y105" s="79" t="str">
        <f>IF(AND(OR(N105="131",O105="131"),H105='131-CT'!$H$9),"x","")</f>
        <v/>
      </c>
      <c r="Z105" s="79"/>
      <c r="AA105" s="79" t="str">
        <f>IF(AND(MONTH(E105)='IN-NX'!$J$5,'IN-NX'!$D$7=D105),"x","")</f>
        <v/>
      </c>
      <c r="AB105" s="79" t="str">
        <f>IF(AND(OR(LEFT(TH!N105,2)="15",LEFT(TH!O105,2)="15"),LEFT(TH!O105,3)&lt;&gt;"111",'152-CT'!$J$8=TH!F105),"x","")</f>
        <v/>
      </c>
      <c r="AC105" s="79" t="str">
        <f>IF(AND(OR(LEFT(TH!N105,2)="15",LEFT(TH!O105,2)="15"),TK!$E$7=TH!F105),"x","")</f>
        <v/>
      </c>
      <c r="AD105" s="79" t="str">
        <f>IF(AND(N105="1521",MONTH(C105)='BK-NL'!$M$11),"x","")</f>
        <v/>
      </c>
    </row>
    <row r="106" spans="1:30" ht="16.5" customHeight="1">
      <c r="A106" s="318" t="str">
        <f>IF(B106&lt;&gt;"",IF(AND(B106='IN-TC'!$S$4,OR(TH!N106="1111",TH!O106="1111")),TH!D106,""),"")</f>
        <v/>
      </c>
      <c r="B106" s="1197">
        <f t="shared" ref="B106:B107" si="14">IF(C106&lt;&gt;"",MONTH(C106),"")</f>
        <v>3</v>
      </c>
      <c r="C106" s="682">
        <v>43190</v>
      </c>
      <c r="D106" s="682" t="s">
        <v>532</v>
      </c>
      <c r="E106" s="682">
        <f t="shared" ref="E106:E107" si="15">C106</f>
        <v>43190</v>
      </c>
      <c r="F106" s="943" t="s">
        <v>954</v>
      </c>
      <c r="G106" s="763" t="s">
        <v>956</v>
      </c>
      <c r="H106" s="303"/>
      <c r="I106" s="385"/>
      <c r="J106" s="392"/>
      <c r="K106" s="385"/>
      <c r="L106" s="392"/>
      <c r="M106" s="686">
        <f>G92*$G106</f>
        <v>0</v>
      </c>
      <c r="N106" s="687" t="s">
        <v>540</v>
      </c>
      <c r="O106" s="687" t="s">
        <v>19</v>
      </c>
      <c r="P106" s="79" t="str">
        <f>IF(AND('331-CT'!$E$7=TH!H106,OR(N106="331",O106="331")),"x","")</f>
        <v/>
      </c>
      <c r="Q106" s="79" t="str">
        <f>IF(AND(B106='111'!$L$11,OR($N106=$Q$7,$O106=$Q$7)),"x","")</f>
        <v/>
      </c>
      <c r="R106" s="79" t="str">
        <f>IF(AND($N106=$Q$7,$B106&lt;'111'!$L$11),"x","")</f>
        <v/>
      </c>
      <c r="S106" s="79" t="str">
        <f>IF(AND($O106=$Q$7,$B106&lt;'111'!$L$11),"x","")</f>
        <v/>
      </c>
      <c r="T106" s="79" t="str">
        <f>IF(ISERROR(FIND('112'!$M$9,G106,1)),"",IF((AND(FIND('112'!$M$9,G106,1)&gt;=1,B106='112'!$K$9,OR($N106='112'!$I$6,$O106='112'!$I$6))),"x",""))</f>
        <v/>
      </c>
      <c r="U106" s="79" t="str">
        <f>IF(ISERROR(FIND('112'!$M$9,G106,1)),"",IF((AND(LEFT(G106,2)=LEFT('112'!$M$9,2),B106&lt;'112'!$K$9,$N106='112'!$I$6)),"x",""))</f>
        <v/>
      </c>
      <c r="V106" s="79" t="str">
        <f>IF(ISERROR(FIND('112'!$M$9,G106,1)),"",IF((AND(RIGHT(G106,2)=RIGHT('112'!$M$9,2),B106&lt;'112'!$K$9,$O106='112'!$I$6)),"x",""))</f>
        <v/>
      </c>
      <c r="W106" s="79" t="str">
        <f>IF(AND('341-CT'!$H$9=H106,OR(LEFT(N106,3)=$W$7,LEFT(O106,3)=$W$7)),"x","")</f>
        <v/>
      </c>
      <c r="X106" s="79" t="str">
        <f>IF(OR(TH!N106=TH!$X$7,O106=TH!$X$7),"x","")</f>
        <v/>
      </c>
      <c r="Y106" s="79" t="str">
        <f>IF(AND(OR(N106="131",O106="131"),H106='131-CT'!$H$9),"x","")</f>
        <v/>
      </c>
      <c r="Z106" s="79"/>
      <c r="AA106" s="79" t="str">
        <f>IF(AND(MONTH(E106)='IN-NX'!$J$5,'IN-NX'!$D$7=D106),"x","")</f>
        <v/>
      </c>
      <c r="AB106" s="79" t="str">
        <f>IF(AND(OR(LEFT(TH!N106,2)="15",LEFT(TH!O106,2)="15"),LEFT(TH!O106,3)&lt;&gt;"111",'152-CT'!$J$8=TH!F106),"x","")</f>
        <v/>
      </c>
      <c r="AC106" s="79" t="str">
        <f>IF(AND(OR(LEFT(TH!N106,2)="15",LEFT(TH!O106,2)="15"),TK!$E$7=TH!F106),"x","")</f>
        <v/>
      </c>
      <c r="AD106" s="79" t="str">
        <f>IF(AND(N106="1521",MONTH(C106)='BK-NL'!$M$11),"x","")</f>
        <v/>
      </c>
    </row>
    <row r="107" spans="1:30" ht="16.5" customHeight="1">
      <c r="A107" s="318" t="str">
        <f>IF(B107&lt;&gt;"",IF(AND(B107='IN-TC'!$S$4,OR(TH!N107="1111",TH!O107="1111")),TH!D107,""),"")</f>
        <v/>
      </c>
      <c r="B107" s="1197">
        <f t="shared" si="14"/>
        <v>3</v>
      </c>
      <c r="C107" s="682">
        <v>43190</v>
      </c>
      <c r="D107" s="682" t="s">
        <v>532</v>
      </c>
      <c r="E107" s="682">
        <f t="shared" si="15"/>
        <v>43190</v>
      </c>
      <c r="F107" s="943" t="s">
        <v>955</v>
      </c>
      <c r="G107" s="259"/>
      <c r="H107" s="303"/>
      <c r="I107" s="385"/>
      <c r="J107" s="392"/>
      <c r="K107" s="385"/>
      <c r="L107" s="392"/>
      <c r="M107" s="686">
        <f>G93*$G106</f>
        <v>0</v>
      </c>
      <c r="N107" s="687" t="s">
        <v>272</v>
      </c>
      <c r="O107" s="687" t="s">
        <v>19</v>
      </c>
      <c r="P107" s="79" t="str">
        <f>IF(AND('331-CT'!$E$7=TH!H107,OR(N107="331",O107="331")),"x","")</f>
        <v/>
      </c>
      <c r="Q107" s="79" t="str">
        <f>IF(AND(B107='111'!$L$11,OR($N107=$Q$7,$O107=$Q$7)),"x","")</f>
        <v/>
      </c>
      <c r="R107" s="79" t="str">
        <f>IF(AND($N107=$Q$7,$B107&lt;'111'!$L$11),"x","")</f>
        <v/>
      </c>
      <c r="S107" s="79" t="str">
        <f>IF(AND($O107=$Q$7,$B107&lt;'111'!$L$11),"x","")</f>
        <v/>
      </c>
      <c r="T107" s="79" t="str">
        <f>IF(ISERROR(FIND('112'!$M$9,G107,1)),"",IF((AND(FIND('112'!$M$9,G107,1)&gt;=1,B107='112'!$K$9,OR($N107='112'!$I$6,$O107='112'!$I$6))),"x",""))</f>
        <v/>
      </c>
      <c r="U107" s="79" t="str">
        <f>IF(ISERROR(FIND('112'!$M$9,G107,1)),"",IF((AND(LEFT(G107,2)=LEFT('112'!$M$9,2),B107&lt;'112'!$K$9,$N107='112'!$I$6)),"x",""))</f>
        <v/>
      </c>
      <c r="V107" s="79" t="str">
        <f>IF(ISERROR(FIND('112'!$M$9,G107,1)),"",IF((AND(RIGHT(G107,2)=RIGHT('112'!$M$9,2),B107&lt;'112'!$K$9,$O107='112'!$I$6)),"x",""))</f>
        <v/>
      </c>
      <c r="W107" s="79" t="str">
        <f>IF(AND('341-CT'!$H$9=H107,OR(LEFT(N107,3)=$W$7,LEFT(O107,3)=$W$7)),"x","")</f>
        <v/>
      </c>
      <c r="X107" s="79" t="str">
        <f>IF(OR(TH!N107=TH!$X$7,O107=TH!$X$7),"x","")</f>
        <v/>
      </c>
      <c r="Y107" s="79" t="str">
        <f>IF(AND(OR(N107="131",O107="131"),H107='131-CT'!$H$9),"x","")</f>
        <v/>
      </c>
      <c r="Z107" s="79"/>
      <c r="AA107" s="79" t="str">
        <f>IF(AND(MONTH(E107)='IN-NX'!$J$5,'IN-NX'!$D$7=D107),"x","")</f>
        <v/>
      </c>
      <c r="AB107" s="79" t="str">
        <f>IF(AND(OR(LEFT(TH!N107,2)="15",LEFT(TH!O107,2)="15"),LEFT(TH!O107,3)&lt;&gt;"111",'152-CT'!$J$8=TH!F107),"x","")</f>
        <v/>
      </c>
      <c r="AC107" s="79" t="str">
        <f>IF(AND(OR(LEFT(TH!N107,2)="15",LEFT(TH!O107,2)="15"),TK!$E$7=TH!F107),"x","")</f>
        <v/>
      </c>
      <c r="AD107" s="79" t="str">
        <f>IF(AND(N107="1521",MONTH(C107)='BK-NL'!$M$11),"x","")</f>
        <v/>
      </c>
    </row>
    <row r="108" spans="1:30" ht="16.5" customHeight="1">
      <c r="A108" s="318" t="str">
        <f>IF(B108&lt;&gt;"",IF(AND(B108='IN-TC'!$S$4,OR(TH!N108="1111",TH!O108="1111")),TH!D108,""),"")</f>
        <v/>
      </c>
      <c r="B108" s="1287">
        <f t="shared" si="10"/>
        <v>4</v>
      </c>
      <c r="C108" s="682">
        <v>43219</v>
      </c>
      <c r="D108" s="682" t="s">
        <v>532</v>
      </c>
      <c r="E108" s="682">
        <f t="shared" si="13"/>
        <v>43219</v>
      </c>
      <c r="F108" s="943" t="s">
        <v>722</v>
      </c>
      <c r="G108" s="259"/>
      <c r="H108" s="303"/>
      <c r="I108" s="385"/>
      <c r="J108" s="392"/>
      <c r="K108" s="385"/>
      <c r="L108" s="392"/>
      <c r="M108" s="686"/>
      <c r="N108" s="687" t="s">
        <v>540</v>
      </c>
      <c r="O108" s="687" t="s">
        <v>541</v>
      </c>
      <c r="P108" s="79" t="str">
        <f>IF(AND('331-CT'!$E$7=TH!H108,OR(N108="331",O108="331")),"x","")</f>
        <v/>
      </c>
      <c r="Q108" s="79" t="str">
        <f>IF(AND(B108='111'!$L$11,OR($N108=$Q$7,$O108=$Q$7)),"x","")</f>
        <v/>
      </c>
      <c r="R108" s="79" t="str">
        <f>IF(AND($N108=$Q$7,$B108&lt;'111'!$L$11),"x","")</f>
        <v/>
      </c>
      <c r="S108" s="79" t="str">
        <f>IF(AND($O108=$Q$7,$B108&lt;'111'!$L$11),"x","")</f>
        <v/>
      </c>
      <c r="T108" s="79" t="str">
        <f>IF(ISERROR(FIND('112'!$M$9,G108,1)),"",IF((AND(FIND('112'!$M$9,G108,1)&gt;=1,B108='112'!$K$9,OR($N108='112'!$I$6,$O108='112'!$I$6))),"x",""))</f>
        <v/>
      </c>
      <c r="U108" s="79" t="str">
        <f>IF(ISERROR(FIND('112'!$M$9,G108,1)),"",IF((AND(LEFT(G108,2)=LEFT('112'!$M$9,2),B108&lt;'112'!$K$9,$N108='112'!$I$6)),"x",""))</f>
        <v/>
      </c>
      <c r="V108" s="79" t="str">
        <f>IF(ISERROR(FIND('112'!$M$9,G108,1)),"",IF((AND(RIGHT(G108,2)=RIGHT('112'!$M$9,2),B108&lt;'112'!$K$9,$O108='112'!$I$6)),"x",""))</f>
        <v/>
      </c>
      <c r="W108" s="79" t="str">
        <f>IF(AND('341-CT'!$H$9=H108,OR(LEFT(N108,3)=$W$7,LEFT(O108,3)=$W$7)),"x","")</f>
        <v/>
      </c>
      <c r="X108" s="79" t="str">
        <f>IF(OR(TH!N108=TH!$X$7,O108=TH!$X$7),"x","")</f>
        <v/>
      </c>
      <c r="Y108" s="79" t="str">
        <f>IF(AND(OR(N108="131",O108="131"),H108='131-CT'!$H$9),"x","")</f>
        <v/>
      </c>
      <c r="Z108" s="79"/>
      <c r="AA108" s="79" t="str">
        <f>IF(AND(MONTH(E108)='IN-NX'!$J$5,'IN-NX'!$D$7=D108),"x","")</f>
        <v/>
      </c>
      <c r="AB108" s="79" t="str">
        <f>IF(AND(OR(LEFT(TH!N108,2)="15",LEFT(TH!O108,2)="15"),LEFT(TH!O108,3)&lt;&gt;"111",'152-CT'!$J$8=TH!F108),"x","")</f>
        <v/>
      </c>
      <c r="AC108" s="79" t="str">
        <f>IF(AND(OR(LEFT(TH!N108,2)="15",LEFT(TH!O108,2)="15"),TK!$E$7=TH!F108),"x","")</f>
        <v/>
      </c>
      <c r="AD108" s="79" t="str">
        <f>IF(AND(N108="1521",MONTH(C108)='BK-NL'!$M$11),"x","")</f>
        <v/>
      </c>
    </row>
    <row r="109" spans="1:30" ht="16.5" customHeight="1">
      <c r="A109" s="318" t="str">
        <f>IF(B109&lt;&gt;"",IF(AND(B109='IN-TC'!$S$4,OR(TH!N109="1111",TH!O109="1111")),TH!D109,""),"")</f>
        <v/>
      </c>
      <c r="B109" s="1287">
        <f t="shared" si="10"/>
        <v>4</v>
      </c>
      <c r="C109" s="682">
        <v>43219</v>
      </c>
      <c r="D109" s="682" t="s">
        <v>532</v>
      </c>
      <c r="E109" s="682">
        <f t="shared" si="13"/>
        <v>43219</v>
      </c>
      <c r="F109" s="943" t="s">
        <v>723</v>
      </c>
      <c r="G109" s="259"/>
      <c r="H109" s="303"/>
      <c r="I109" s="385"/>
      <c r="J109" s="392"/>
      <c r="K109" s="385"/>
      <c r="L109" s="392"/>
      <c r="M109" s="686"/>
      <c r="N109" s="687" t="s">
        <v>272</v>
      </c>
      <c r="O109" s="687" t="s">
        <v>541</v>
      </c>
      <c r="P109" s="79" t="str">
        <f>IF(AND('331-CT'!$E$7=TH!H109,OR(N109="331",O109="331")),"x","")</f>
        <v/>
      </c>
      <c r="Q109" s="79" t="str">
        <f>IF(AND(B109='111'!$L$11,OR($N109=$Q$7,$O109=$Q$7)),"x","")</f>
        <v/>
      </c>
      <c r="R109" s="79" t="str">
        <f>IF(AND($N109=$Q$7,$B109&lt;'111'!$L$11),"x","")</f>
        <v/>
      </c>
      <c r="S109" s="79" t="str">
        <f>IF(AND($O109=$Q$7,$B109&lt;'111'!$L$11),"x","")</f>
        <v/>
      </c>
      <c r="T109" s="79" t="str">
        <f>IF(ISERROR(FIND('112'!$M$9,G109,1)),"",IF((AND(FIND('112'!$M$9,G109,1)&gt;=1,B109='112'!$K$9,OR($N109='112'!$I$6,$O109='112'!$I$6))),"x",""))</f>
        <v/>
      </c>
      <c r="U109" s="79" t="str">
        <f>IF(ISERROR(FIND('112'!$M$9,G109,1)),"",IF((AND(LEFT(G109,2)=LEFT('112'!$M$9,2),B109&lt;'112'!$K$9,$N109='112'!$I$6)),"x",""))</f>
        <v/>
      </c>
      <c r="V109" s="79" t="str">
        <f>IF(ISERROR(FIND('112'!$M$9,G109,1)),"",IF((AND(RIGHT(G109,2)=RIGHT('112'!$M$9,2),B109&lt;'112'!$K$9,$O109='112'!$I$6)),"x",""))</f>
        <v/>
      </c>
      <c r="W109" s="79" t="str">
        <f>IF(AND('341-CT'!$H$9=H109,OR(LEFT(N109,3)=$W$7,LEFT(O109,3)=$W$7)),"x","")</f>
        <v/>
      </c>
      <c r="X109" s="79" t="str">
        <f>IF(OR(TH!N109=TH!$X$7,O109=TH!$X$7),"x","")</f>
        <v/>
      </c>
      <c r="Y109" s="79" t="str">
        <f>IF(AND(OR(N109="131",O109="131"),H109='131-CT'!$H$9),"x","")</f>
        <v/>
      </c>
      <c r="Z109" s="79"/>
      <c r="AA109" s="79" t="str">
        <f>IF(AND(MONTH(E109)='IN-NX'!$J$5,'IN-NX'!$D$7=D109),"x","")</f>
        <v/>
      </c>
      <c r="AB109" s="79" t="str">
        <f>IF(AND(OR(LEFT(TH!N109,2)="15",LEFT(TH!O109,2)="15"),LEFT(TH!O109,3)&lt;&gt;"111",'152-CT'!$J$8=TH!F109),"x","")</f>
        <v/>
      </c>
      <c r="AC109" s="79" t="str">
        <f>IF(AND(OR(LEFT(TH!N109,2)="15",LEFT(TH!O109,2)="15"),TK!$E$7=TH!F109),"x","")</f>
        <v/>
      </c>
      <c r="AD109" s="79" t="str">
        <f>IF(AND(N109="1521",MONTH(C109)='BK-NL'!$M$11),"x","")</f>
        <v/>
      </c>
    </row>
    <row r="110" spans="1:30" ht="16.5" customHeight="1">
      <c r="A110" s="318" t="str">
        <f>IF(B110&lt;&gt;"",IF(AND(B110='IN-TC'!$S$4,OR(TH!N110="1111",TH!O110="1111")),TH!D110,""),"")</f>
        <v/>
      </c>
      <c r="B110" s="1287">
        <f t="shared" si="10"/>
        <v>4</v>
      </c>
      <c r="C110" s="682">
        <v>43219</v>
      </c>
      <c r="D110" s="682" t="s">
        <v>532</v>
      </c>
      <c r="E110" s="682">
        <f t="shared" si="13"/>
        <v>43219</v>
      </c>
      <c r="F110" s="943" t="s">
        <v>724</v>
      </c>
      <c r="G110" s="763" t="s">
        <v>533</v>
      </c>
      <c r="H110" s="303"/>
      <c r="I110" s="385"/>
      <c r="J110" s="392"/>
      <c r="K110" s="385"/>
      <c r="L110" s="392"/>
      <c r="M110" s="686">
        <f>G108*$G110</f>
        <v>0</v>
      </c>
      <c r="N110" s="687" t="s">
        <v>541</v>
      </c>
      <c r="O110" s="687" t="s">
        <v>542</v>
      </c>
      <c r="P110" s="79" t="str">
        <f>IF(AND('331-CT'!$E$7=TH!H110,OR(N110="331",O110="331")),"x","")</f>
        <v/>
      </c>
      <c r="Q110" s="79" t="str">
        <f>IF(AND(B110='111'!$L$11,OR($N110=$Q$7,$O110=$Q$7)),"x","")</f>
        <v/>
      </c>
      <c r="R110" s="79" t="str">
        <f>IF(AND($N110=$Q$7,$B110&lt;'111'!$L$11),"x","")</f>
        <v/>
      </c>
      <c r="S110" s="79" t="str">
        <f>IF(AND($O110=$Q$7,$B110&lt;'111'!$L$11),"x","")</f>
        <v/>
      </c>
      <c r="T110" s="79" t="str">
        <f>IF(ISERROR(FIND('112'!$M$9,G110,1)),"",IF((AND(FIND('112'!$M$9,G110,1)&gt;=1,B110='112'!$K$9,OR($N110='112'!$I$6,$O110='112'!$I$6))),"x",""))</f>
        <v/>
      </c>
      <c r="U110" s="79" t="str">
        <f>IF(ISERROR(FIND('112'!$M$9,G110,1)),"",IF((AND(LEFT(G110,2)=LEFT('112'!$M$9,2),B110&lt;'112'!$K$9,$N110='112'!$I$6)),"x",""))</f>
        <v/>
      </c>
      <c r="V110" s="79" t="str">
        <f>IF(ISERROR(FIND('112'!$M$9,G110,1)),"",IF((AND(RIGHT(G110,2)=RIGHT('112'!$M$9,2),B110&lt;'112'!$K$9,$O110='112'!$I$6)),"x",""))</f>
        <v/>
      </c>
      <c r="W110" s="79" t="str">
        <f>IF(AND('341-CT'!$H$9=H110,OR(LEFT(N110,3)=$W$7,LEFT(O110,3)=$W$7)),"x","")</f>
        <v/>
      </c>
      <c r="X110" s="79" t="str">
        <f>IF(OR(TH!N110=TH!$X$7,O110=TH!$X$7),"x","")</f>
        <v/>
      </c>
      <c r="Y110" s="79" t="str">
        <f>IF(AND(OR(N110="131",O110="131"),H110='131-CT'!$H$9),"x","")</f>
        <v/>
      </c>
      <c r="Z110" s="79"/>
      <c r="AA110" s="79" t="str">
        <f>IF(AND(MONTH(E110)='IN-NX'!$J$5,'IN-NX'!$D$7=D110),"x","")</f>
        <v/>
      </c>
      <c r="AB110" s="79" t="str">
        <f>IF(AND(OR(LEFT(TH!N110,2)="15",LEFT(TH!O110,2)="15"),LEFT(TH!O110,3)&lt;&gt;"111",'152-CT'!$J$8=TH!F110),"x","")</f>
        <v/>
      </c>
      <c r="AC110" s="79" t="str">
        <f>IF(AND(OR(LEFT(TH!N110,2)="15",LEFT(TH!O110,2)="15"),TK!$E$7=TH!F110),"x","")</f>
        <v/>
      </c>
      <c r="AD110" s="79" t="str">
        <f>IF(AND(N110="1521",MONTH(C110)='BK-NL'!$M$11),"x","")</f>
        <v/>
      </c>
    </row>
    <row r="111" spans="1:30" ht="16.5" customHeight="1">
      <c r="A111" s="318" t="str">
        <f>IF(B111&lt;&gt;"",IF(AND(B111='IN-TC'!$S$4,OR(TH!N111="1111",TH!O111="1111")),TH!D111,""),"")</f>
        <v/>
      </c>
      <c r="B111" s="1287">
        <f t="shared" si="10"/>
        <v>4</v>
      </c>
      <c r="C111" s="682">
        <v>43219</v>
      </c>
      <c r="D111" s="682" t="s">
        <v>532</v>
      </c>
      <c r="E111" s="682">
        <f t="shared" si="13"/>
        <v>43219</v>
      </c>
      <c r="F111" s="943" t="s">
        <v>725</v>
      </c>
      <c r="G111" s="259"/>
      <c r="H111" s="303"/>
      <c r="I111" s="385"/>
      <c r="J111" s="392"/>
      <c r="K111" s="385"/>
      <c r="L111" s="392"/>
      <c r="M111" s="686">
        <f>G109*$G110</f>
        <v>0</v>
      </c>
      <c r="N111" s="688" t="s">
        <v>541</v>
      </c>
      <c r="O111" s="689" t="s">
        <v>542</v>
      </c>
      <c r="P111" s="79" t="str">
        <f>IF(AND('331-CT'!$E$7=TH!H111,OR(N111="331",O111="331")),"x","")</f>
        <v/>
      </c>
      <c r="Q111" s="79" t="str">
        <f>IF(AND(B111='111'!$L$11,OR($N111=$Q$7,$O111=$Q$7)),"x","")</f>
        <v/>
      </c>
      <c r="R111" s="79" t="str">
        <f>IF(AND($N111=$Q$7,$B111&lt;'111'!$L$11),"x","")</f>
        <v/>
      </c>
      <c r="S111" s="79" t="str">
        <f>IF(AND($O111=$Q$7,$B111&lt;'111'!$L$11),"x","")</f>
        <v/>
      </c>
      <c r="T111" s="79" t="str">
        <f>IF(ISERROR(FIND('112'!$M$9,G111,1)),"",IF((AND(FIND('112'!$M$9,G111,1)&gt;=1,B111='112'!$K$9,OR($N111='112'!$I$6,$O111='112'!$I$6))),"x",""))</f>
        <v/>
      </c>
      <c r="U111" s="79" t="str">
        <f>IF(ISERROR(FIND('112'!$M$9,G111,1)),"",IF((AND(LEFT(G111,2)=LEFT('112'!$M$9,2),B111&lt;'112'!$K$9,$N111='112'!$I$6)),"x",""))</f>
        <v/>
      </c>
      <c r="V111" s="79" t="str">
        <f>IF(ISERROR(FIND('112'!$M$9,G111,1)),"",IF((AND(RIGHT(G111,2)=RIGHT('112'!$M$9,2),B111&lt;'112'!$K$9,$O111='112'!$I$6)),"x",""))</f>
        <v/>
      </c>
      <c r="W111" s="79" t="str">
        <f>IF(AND('341-CT'!$H$9=H111,OR(LEFT(N111,3)=$W$7,LEFT(O111,3)=$W$7)),"x","")</f>
        <v/>
      </c>
      <c r="X111" s="79" t="str">
        <f>IF(OR(TH!N111=TH!$X$7,O111=TH!$X$7),"x","")</f>
        <v/>
      </c>
      <c r="Y111" s="79" t="str">
        <f>IF(AND(OR(N111="131",O111="131"),H111='131-CT'!$H$9),"x","")</f>
        <v/>
      </c>
      <c r="Z111" s="79"/>
      <c r="AA111" s="79" t="str">
        <f>IF(AND(MONTH(E111)='IN-NX'!$J$5,'IN-NX'!$D$7=D111),"x","")</f>
        <v/>
      </c>
      <c r="AB111" s="79" t="str">
        <f>IF(AND(OR(LEFT(TH!N111,2)="15",LEFT(TH!O111,2)="15"),LEFT(TH!O111,3)&lt;&gt;"111",'152-CT'!$J$8=TH!F111),"x","")</f>
        <v/>
      </c>
      <c r="AC111" s="79" t="str">
        <f>IF(AND(OR(LEFT(TH!N111,2)="15",LEFT(TH!O111,2)="15"),TK!$E$7=TH!F111),"x","")</f>
        <v/>
      </c>
      <c r="AD111" s="79" t="str">
        <f>IF(AND(N111="1521",MONTH(C111)='BK-NL'!$M$11),"x","")</f>
        <v/>
      </c>
    </row>
    <row r="112" spans="1:30" ht="16.5" customHeight="1">
      <c r="A112" s="318" t="str">
        <f>IF(B112&lt;&gt;"",IF(AND(B112='IN-TC'!$S$4,OR(TH!N112="1111",TH!O112="1111")),TH!D112,""),"")</f>
        <v/>
      </c>
      <c r="B112" s="1287">
        <f t="shared" si="10"/>
        <v>4</v>
      </c>
      <c r="C112" s="682">
        <v>43219</v>
      </c>
      <c r="D112" s="682" t="s">
        <v>532</v>
      </c>
      <c r="E112" s="682">
        <f t="shared" si="13"/>
        <v>43219</v>
      </c>
      <c r="F112" s="943" t="s">
        <v>726</v>
      </c>
      <c r="G112" s="763" t="s">
        <v>957</v>
      </c>
      <c r="H112" s="303"/>
      <c r="I112" s="385"/>
      <c r="J112" s="392"/>
      <c r="K112" s="385"/>
      <c r="L112" s="392"/>
      <c r="M112" s="686">
        <f>G108*$G112</f>
        <v>0</v>
      </c>
      <c r="N112" s="687" t="s">
        <v>540</v>
      </c>
      <c r="O112" s="687" t="s">
        <v>542</v>
      </c>
      <c r="P112" s="79" t="str">
        <f>IF(AND('331-CT'!$E$7=TH!H112,OR(N112="331",O112="331")),"x","")</f>
        <v/>
      </c>
      <c r="Q112" s="79" t="str">
        <f>IF(AND(B112='111'!$L$11,OR($N112=$Q$7,$O112=$Q$7)),"x","")</f>
        <v/>
      </c>
      <c r="R112" s="79" t="str">
        <f>IF(AND($N112=$Q$7,$B112&lt;'111'!$L$11),"x","")</f>
        <v/>
      </c>
      <c r="S112" s="79" t="str">
        <f>IF(AND($O112=$Q$7,$B112&lt;'111'!$L$11),"x","")</f>
        <v/>
      </c>
      <c r="T112" s="79" t="str">
        <f>IF(ISERROR(FIND('112'!$M$9,G112,1)),"",IF((AND(FIND('112'!$M$9,G112,1)&gt;=1,B112='112'!$K$9,OR($N112='112'!$I$6,$O112='112'!$I$6))),"x",""))</f>
        <v/>
      </c>
      <c r="U112" s="79" t="str">
        <f>IF(ISERROR(FIND('112'!$M$9,G112,1)),"",IF((AND(LEFT(G112,2)=LEFT('112'!$M$9,2),B112&lt;'112'!$K$9,$N112='112'!$I$6)),"x",""))</f>
        <v/>
      </c>
      <c r="V112" s="79" t="str">
        <f>IF(ISERROR(FIND('112'!$M$9,G112,1)),"",IF((AND(RIGHT(G112,2)=RIGHT('112'!$M$9,2),B112&lt;'112'!$K$9,$O112='112'!$I$6)),"x",""))</f>
        <v/>
      </c>
      <c r="W112" s="79" t="str">
        <f>IF(AND('341-CT'!$H$9=H112,OR(LEFT(N112,3)=$W$7,LEFT(O112,3)=$W$7)),"x","")</f>
        <v/>
      </c>
      <c r="X112" s="79" t="str">
        <f>IF(OR(TH!N112=TH!$X$7,O112=TH!$X$7),"x","")</f>
        <v/>
      </c>
      <c r="Y112" s="79" t="str">
        <f>IF(AND(OR(N112="131",O112="131"),H112='131-CT'!$H$9),"x","")</f>
        <v/>
      </c>
      <c r="Z112" s="79"/>
      <c r="AA112" s="79" t="str">
        <f>IF(AND(MONTH(E112)='IN-NX'!$J$5,'IN-NX'!$D$7=D112),"x","")</f>
        <v/>
      </c>
      <c r="AB112" s="79" t="str">
        <f>IF(AND(OR(LEFT(TH!N112,2)="15",LEFT(TH!O112,2)="15"),LEFT(TH!O112,3)&lt;&gt;"111",'152-CT'!$J$8=TH!F112),"x","")</f>
        <v/>
      </c>
      <c r="AC112" s="79" t="str">
        <f>IF(AND(OR(LEFT(TH!N112,2)="15",LEFT(TH!O112,2)="15"),TK!$E$7=TH!F112),"x","")</f>
        <v/>
      </c>
      <c r="AD112" s="79" t="str">
        <f>IF(AND(N112="1521",MONTH(C112)='BK-NL'!$M$11),"x","")</f>
        <v/>
      </c>
    </row>
    <row r="113" spans="1:30" ht="16.5" customHeight="1">
      <c r="A113" s="318" t="str">
        <f>IF(B113&lt;&gt;"",IF(AND(B113='IN-TC'!$S$4,OR(TH!N113="1111",TH!O113="1111")),TH!D113,""),"")</f>
        <v/>
      </c>
      <c r="B113" s="1287">
        <f t="shared" si="10"/>
        <v>4</v>
      </c>
      <c r="C113" s="682">
        <v>43219</v>
      </c>
      <c r="D113" s="682" t="s">
        <v>532</v>
      </c>
      <c r="E113" s="682">
        <f t="shared" si="13"/>
        <v>43219</v>
      </c>
      <c r="F113" s="943" t="s">
        <v>727</v>
      </c>
      <c r="G113" s="259"/>
      <c r="H113" s="303"/>
      <c r="I113" s="385"/>
      <c r="J113" s="392"/>
      <c r="K113" s="385"/>
      <c r="L113" s="392"/>
      <c r="M113" s="686">
        <f>G109*$G112</f>
        <v>0</v>
      </c>
      <c r="N113" s="687" t="s">
        <v>272</v>
      </c>
      <c r="O113" s="687" t="s">
        <v>542</v>
      </c>
      <c r="P113" s="79" t="str">
        <f>IF(AND('331-CT'!$E$7=TH!H113,OR(N113="331",O113="331")),"x","")</f>
        <v/>
      </c>
      <c r="Q113" s="79" t="str">
        <f>IF(AND(B113='111'!$L$11,OR($N113=$Q$7,$O113=$Q$7)),"x","")</f>
        <v/>
      </c>
      <c r="R113" s="79" t="str">
        <f>IF(AND($N113=$Q$7,$B113&lt;'111'!$L$11),"x","")</f>
        <v/>
      </c>
      <c r="S113" s="79" t="str">
        <f>IF(AND($O113=$Q$7,$B113&lt;'111'!$L$11),"x","")</f>
        <v/>
      </c>
      <c r="T113" s="79" t="str">
        <f>IF(ISERROR(FIND('112'!$M$9,G113,1)),"",IF((AND(FIND('112'!$M$9,G113,1)&gt;=1,B113='112'!$K$9,OR($N113='112'!$I$6,$O113='112'!$I$6))),"x",""))</f>
        <v/>
      </c>
      <c r="U113" s="79" t="str">
        <f>IF(ISERROR(FIND('112'!$M$9,G113,1)),"",IF((AND(LEFT(G113,2)=LEFT('112'!$M$9,2),B113&lt;'112'!$K$9,$N113='112'!$I$6)),"x",""))</f>
        <v/>
      </c>
      <c r="V113" s="79" t="str">
        <f>IF(ISERROR(FIND('112'!$M$9,G113,1)),"",IF((AND(RIGHT(G113,2)=RIGHT('112'!$M$9,2),B113&lt;'112'!$K$9,$O113='112'!$I$6)),"x",""))</f>
        <v/>
      </c>
      <c r="W113" s="79" t="str">
        <f>IF(AND('341-CT'!$H$9=H113,OR(LEFT(N113,3)=$W$7,LEFT(O113,3)=$W$7)),"x","")</f>
        <v/>
      </c>
      <c r="X113" s="79" t="str">
        <f>IF(OR(TH!N113=TH!$X$7,O113=TH!$X$7),"x","")</f>
        <v/>
      </c>
      <c r="Y113" s="79" t="str">
        <f>IF(AND(OR(N113="131",O113="131"),H113='131-CT'!$H$9),"x","")</f>
        <v/>
      </c>
      <c r="Z113" s="79"/>
      <c r="AA113" s="79" t="str">
        <f>IF(AND(MONTH(E113)='IN-NX'!$J$5,'IN-NX'!$D$7=D113),"x","")</f>
        <v/>
      </c>
      <c r="AB113" s="79" t="str">
        <f>IF(AND(OR(LEFT(TH!N113,2)="15",LEFT(TH!O113,2)="15"),LEFT(TH!O113,3)&lt;&gt;"111",'152-CT'!$J$8=TH!F113),"x","")</f>
        <v/>
      </c>
      <c r="AC113" s="79" t="str">
        <f>IF(AND(OR(LEFT(TH!N113,2)="15",LEFT(TH!O113,2)="15"),TK!$E$7=TH!F113),"x","")</f>
        <v/>
      </c>
      <c r="AD113" s="79" t="str">
        <f>IF(AND(N113="1521",MONTH(C113)='BK-NL'!$M$11),"x","")</f>
        <v/>
      </c>
    </row>
    <row r="114" spans="1:30" ht="16.5" customHeight="1">
      <c r="A114" s="318" t="str">
        <f>IF(B114&lt;&gt;"",IF(AND(B114='IN-TC'!$S$4,OR(TH!N114="1111",TH!O114="1111")),TH!D114,""),"")</f>
        <v/>
      </c>
      <c r="B114" s="1287">
        <f t="shared" si="10"/>
        <v>4</v>
      </c>
      <c r="C114" s="682">
        <v>43219</v>
      </c>
      <c r="D114" s="682" t="s">
        <v>532</v>
      </c>
      <c r="E114" s="682">
        <f t="shared" si="13"/>
        <v>43219</v>
      </c>
      <c r="F114" s="943" t="s">
        <v>728</v>
      </c>
      <c r="G114" s="763" t="s">
        <v>534</v>
      </c>
      <c r="H114" s="305"/>
      <c r="I114" s="383"/>
      <c r="J114" s="390"/>
      <c r="K114" s="383"/>
      <c r="L114" s="390"/>
      <c r="M114" s="686">
        <f>ROUND(G108*$G114,0)</f>
        <v>0</v>
      </c>
      <c r="N114" s="687" t="s">
        <v>541</v>
      </c>
      <c r="O114" s="687" t="s">
        <v>543</v>
      </c>
      <c r="P114" s="79" t="str">
        <f>IF(AND('331-CT'!$E$7=TH!H114,OR(N114="331",O114="331")),"x","")</f>
        <v/>
      </c>
      <c r="Q114" s="79" t="str">
        <f>IF(AND(B114='111'!$L$11,OR($N114=$Q$7,$O114=$Q$7)),"x","")</f>
        <v/>
      </c>
      <c r="R114" s="79" t="str">
        <f>IF(AND($N114=$Q$7,$B114&lt;'111'!$L$11),"x","")</f>
        <v/>
      </c>
      <c r="S114" s="79" t="str">
        <f>IF(AND($O114=$Q$7,$B114&lt;'111'!$L$11),"x","")</f>
        <v/>
      </c>
      <c r="T114" s="79" t="str">
        <f>IF(ISERROR(FIND('112'!$M$9,G114,1)),"",IF((AND(FIND('112'!$M$9,G114,1)&gt;=1,B114='112'!$K$9,OR($N114='112'!$I$6,$O114='112'!$I$6))),"x",""))</f>
        <v/>
      </c>
      <c r="U114" s="79" t="str">
        <f>IF(ISERROR(FIND('112'!$M$9,G114,1)),"",IF((AND(LEFT(G114,2)=LEFT('112'!$M$9,2),B114&lt;'112'!$K$9,$N114='112'!$I$6)),"x",""))</f>
        <v/>
      </c>
      <c r="V114" s="79" t="str">
        <f>IF(ISERROR(FIND('112'!$M$9,G114,1)),"",IF((AND(RIGHT(G114,2)=RIGHT('112'!$M$9,2),B114&lt;'112'!$K$9,$O114='112'!$I$6)),"x",""))</f>
        <v/>
      </c>
      <c r="W114" s="79" t="str">
        <f>IF(AND('341-CT'!$H$9=H114,OR(LEFT(N114,3)=$W$7,LEFT(O114,3)=$W$7)),"x","")</f>
        <v/>
      </c>
      <c r="X114" s="79" t="str">
        <f>IF(OR(TH!N114=TH!$X$7,O114=TH!$X$7),"x","")</f>
        <v/>
      </c>
      <c r="Y114" s="79" t="str">
        <f>IF(AND(OR(N114="131",O114="131"),H114='131-CT'!$H$9),"x","")</f>
        <v/>
      </c>
      <c r="Z114" s="79"/>
      <c r="AA114" s="79" t="str">
        <f>IF(AND(MONTH(E114)='IN-NX'!$J$5,'IN-NX'!$D$7=D114),"x","")</f>
        <v/>
      </c>
      <c r="AB114" s="79" t="str">
        <f>IF(AND(OR(LEFT(TH!N114,2)="15",LEFT(TH!O114,2)="15"),LEFT(TH!O114,3)&lt;&gt;"111",'152-CT'!$J$8=TH!F114),"x","")</f>
        <v/>
      </c>
      <c r="AC114" s="79" t="str">
        <f>IF(AND(OR(LEFT(TH!N114,2)="15",LEFT(TH!O114,2)="15"),TK!$E$7=TH!F114),"x","")</f>
        <v/>
      </c>
      <c r="AD114" s="79" t="str">
        <f>IF(AND(N114="1521",MONTH(C114)='BK-NL'!$M$11),"x","")</f>
        <v/>
      </c>
    </row>
    <row r="115" spans="1:30" ht="16.5" customHeight="1">
      <c r="A115" s="318" t="str">
        <f>IF(B115&lt;&gt;"",IF(AND(B115='IN-TC'!$S$4,OR(TH!N115="1111",TH!O115="1111")),TH!D115,""),"")</f>
        <v/>
      </c>
      <c r="B115" s="1287">
        <f t="shared" si="10"/>
        <v>4</v>
      </c>
      <c r="C115" s="682">
        <v>43219</v>
      </c>
      <c r="D115" s="682" t="s">
        <v>532</v>
      </c>
      <c r="E115" s="682">
        <f t="shared" si="13"/>
        <v>43219</v>
      </c>
      <c r="F115" s="943" t="s">
        <v>729</v>
      </c>
      <c r="G115" s="259"/>
      <c r="H115" s="305"/>
      <c r="I115" s="383"/>
      <c r="J115" s="390"/>
      <c r="K115" s="383"/>
      <c r="L115" s="390"/>
      <c r="M115" s="686">
        <f>ROUND(G109*$G114,0)</f>
        <v>0</v>
      </c>
      <c r="N115" s="687" t="s">
        <v>541</v>
      </c>
      <c r="O115" s="687" t="s">
        <v>543</v>
      </c>
      <c r="P115" s="79" t="str">
        <f>IF(AND('331-CT'!$E$7=TH!H115,OR(N115="331",O115="331")),"x","")</f>
        <v/>
      </c>
      <c r="Q115" s="79" t="str">
        <f>IF(AND(B115='111'!$L$11,OR($N115=$Q$7,$O115=$Q$7)),"x","")</f>
        <v/>
      </c>
      <c r="R115" s="79" t="str">
        <f>IF(AND($N115=$Q$7,$B115&lt;'111'!$L$11),"x","")</f>
        <v/>
      </c>
      <c r="S115" s="79" t="str">
        <f>IF(AND($O115=$Q$7,$B115&lt;'111'!$L$11),"x","")</f>
        <v/>
      </c>
      <c r="T115" s="79" t="str">
        <f>IF(ISERROR(FIND('112'!$M$9,G115,1)),"",IF((AND(FIND('112'!$M$9,G115,1)&gt;=1,B115='112'!$K$9,OR($N115='112'!$I$6,$O115='112'!$I$6))),"x",""))</f>
        <v/>
      </c>
      <c r="U115" s="79" t="str">
        <f>IF(ISERROR(FIND('112'!$M$9,G115,1)),"",IF((AND(LEFT(G115,2)=LEFT('112'!$M$9,2),B115&lt;'112'!$K$9,$N115='112'!$I$6)),"x",""))</f>
        <v/>
      </c>
      <c r="V115" s="79" t="str">
        <f>IF(ISERROR(FIND('112'!$M$9,G115,1)),"",IF((AND(RIGHT(G115,2)=RIGHT('112'!$M$9,2),B115&lt;'112'!$K$9,$O115='112'!$I$6)),"x",""))</f>
        <v/>
      </c>
      <c r="W115" s="79" t="str">
        <f>IF(AND('341-CT'!$H$9=H115,OR(LEFT(N115,3)=$W$7,LEFT(O115,3)=$W$7)),"x","")</f>
        <v/>
      </c>
      <c r="X115" s="79" t="str">
        <f>IF(OR(TH!N115=TH!$X$7,O115=TH!$X$7),"x","")</f>
        <v/>
      </c>
      <c r="Y115" s="79" t="str">
        <f>IF(AND(OR(N115="131",O115="131"),H115='131-CT'!$H$9),"x","")</f>
        <v/>
      </c>
      <c r="Z115" s="79"/>
      <c r="AA115" s="79" t="str">
        <f>IF(AND(MONTH(E115)='IN-NX'!$J$5,'IN-NX'!$D$7=D115),"x","")</f>
        <v/>
      </c>
      <c r="AB115" s="79" t="str">
        <f>IF(AND(OR(LEFT(TH!N115,2)="15",LEFT(TH!O115,2)="15"),LEFT(TH!O115,3)&lt;&gt;"111",'152-CT'!$J$8=TH!F115),"x","")</f>
        <v/>
      </c>
      <c r="AC115" s="79" t="str">
        <f>IF(AND(OR(LEFT(TH!N115,2)="15",LEFT(TH!O115,2)="15"),TK!$E$7=TH!F115),"x","")</f>
        <v/>
      </c>
      <c r="AD115" s="79" t="str">
        <f>IF(AND(N115="1521",MONTH(C115)='BK-NL'!$M$11),"x","")</f>
        <v/>
      </c>
    </row>
    <row r="116" spans="1:30" ht="16.5" customHeight="1">
      <c r="A116" s="318" t="str">
        <f>IF(B116&lt;&gt;"",IF(AND(B116='IN-TC'!$S$4,OR(TH!N116="1111",TH!O116="1111")),TH!D116,""),"")</f>
        <v/>
      </c>
      <c r="B116" s="1287">
        <f t="shared" si="10"/>
        <v>4</v>
      </c>
      <c r="C116" s="682">
        <v>43219</v>
      </c>
      <c r="D116" s="682" t="s">
        <v>532</v>
      </c>
      <c r="E116" s="682">
        <f t="shared" si="13"/>
        <v>43219</v>
      </c>
      <c r="F116" s="943" t="s">
        <v>730</v>
      </c>
      <c r="G116" s="763" t="s">
        <v>535</v>
      </c>
      <c r="H116" s="303"/>
      <c r="I116" s="385"/>
      <c r="J116" s="392"/>
      <c r="K116" s="385"/>
      <c r="L116" s="392"/>
      <c r="M116" s="686">
        <f>G108*$G116</f>
        <v>0</v>
      </c>
      <c r="N116" s="687" t="s">
        <v>540</v>
      </c>
      <c r="O116" s="687" t="s">
        <v>543</v>
      </c>
      <c r="P116" s="79" t="str">
        <f>IF(AND('331-CT'!$E$7=TH!H116,OR(N116="331",O116="331")),"x","")</f>
        <v/>
      </c>
      <c r="Q116" s="79" t="str">
        <f>IF(AND(B116='111'!$L$11,OR($N116=$Q$7,$O116=$Q$7)),"x","")</f>
        <v/>
      </c>
      <c r="R116" s="79" t="str">
        <f>IF(AND($N116=$Q$7,$B116&lt;'111'!$L$11),"x","")</f>
        <v/>
      </c>
      <c r="S116" s="79" t="str">
        <f>IF(AND($O116=$Q$7,$B116&lt;'111'!$L$11),"x","")</f>
        <v/>
      </c>
      <c r="T116" s="79" t="str">
        <f>IF(ISERROR(FIND('112'!$M$9,G116,1)),"",IF((AND(FIND('112'!$M$9,G116,1)&gt;=1,B116='112'!$K$9,OR($N116='112'!$I$6,$O116='112'!$I$6))),"x",""))</f>
        <v/>
      </c>
      <c r="U116" s="79" t="str">
        <f>IF(ISERROR(FIND('112'!$M$9,G116,1)),"",IF((AND(LEFT(G116,2)=LEFT('112'!$M$9,2),B116&lt;'112'!$K$9,$N116='112'!$I$6)),"x",""))</f>
        <v/>
      </c>
      <c r="V116" s="79" t="str">
        <f>IF(ISERROR(FIND('112'!$M$9,G116,1)),"",IF((AND(RIGHT(G116,2)=RIGHT('112'!$M$9,2),B116&lt;'112'!$K$9,$O116='112'!$I$6)),"x",""))</f>
        <v/>
      </c>
      <c r="W116" s="79" t="str">
        <f>IF(AND('341-CT'!$H$9=H116,OR(LEFT(N116,3)=$W$7,LEFT(O116,3)=$W$7)),"x","")</f>
        <v/>
      </c>
      <c r="X116" s="79" t="str">
        <f>IF(OR(TH!N116=TH!$X$7,O116=TH!$X$7),"x","")</f>
        <v/>
      </c>
      <c r="Y116" s="79" t="str">
        <f>IF(AND(OR(N116="131",O116="131"),H116='131-CT'!$H$9),"x","")</f>
        <v/>
      </c>
      <c r="Z116" s="79"/>
      <c r="AA116" s="79" t="str">
        <f>IF(AND(MONTH(E116)='IN-NX'!$J$5,'IN-NX'!$D$7=D116),"x","")</f>
        <v/>
      </c>
      <c r="AB116" s="79" t="str">
        <f>IF(AND(OR(LEFT(TH!N116,2)="15",LEFT(TH!O116,2)="15"),LEFT(TH!O116,3)&lt;&gt;"111",'152-CT'!$J$8=TH!F116),"x","")</f>
        <v/>
      </c>
      <c r="AC116" s="79" t="str">
        <f>IF(AND(OR(LEFT(TH!N116,2)="15",LEFT(TH!O116,2)="15"),TK!$E$7=TH!F116),"x","")</f>
        <v/>
      </c>
      <c r="AD116" s="79" t="str">
        <f>IF(AND(N116="1521",MONTH(C116)='BK-NL'!$M$11),"x","")</f>
        <v/>
      </c>
    </row>
    <row r="117" spans="1:30" ht="16.5" customHeight="1">
      <c r="A117" s="318" t="str">
        <f>IF(B117&lt;&gt;"",IF(AND(B117='IN-TC'!$S$4,OR(TH!N117="1111",TH!O117="1111")),TH!D117,""),"")</f>
        <v/>
      </c>
      <c r="B117" s="1287">
        <f t="shared" si="10"/>
        <v>4</v>
      </c>
      <c r="C117" s="682">
        <v>43219</v>
      </c>
      <c r="D117" s="682" t="s">
        <v>532</v>
      </c>
      <c r="E117" s="682">
        <f t="shared" si="13"/>
        <v>43219</v>
      </c>
      <c r="F117" s="943" t="s">
        <v>731</v>
      </c>
      <c r="G117" s="259"/>
      <c r="H117" s="303"/>
      <c r="I117" s="385"/>
      <c r="J117" s="392"/>
      <c r="K117" s="385"/>
      <c r="L117" s="392"/>
      <c r="M117" s="686">
        <f>G109*$G116</f>
        <v>0</v>
      </c>
      <c r="N117" s="687" t="s">
        <v>272</v>
      </c>
      <c r="O117" s="687" t="s">
        <v>543</v>
      </c>
      <c r="P117" s="79" t="str">
        <f>IF(AND('331-CT'!$E$7=TH!H117,OR(N117="331",O117="331")),"x","")</f>
        <v/>
      </c>
      <c r="Q117" s="79" t="str">
        <f>IF(AND(B117='111'!$L$11,OR($N117=$Q$7,$O117=$Q$7)),"x","")</f>
        <v/>
      </c>
      <c r="R117" s="79" t="str">
        <f>IF(AND($N117=$Q$7,$B117&lt;'111'!$L$11),"x","")</f>
        <v/>
      </c>
      <c r="S117" s="79" t="str">
        <f>IF(AND($O117=$Q$7,$B117&lt;'111'!$L$11),"x","")</f>
        <v/>
      </c>
      <c r="T117" s="79" t="str">
        <f>IF(ISERROR(FIND('112'!$M$9,G117,1)),"",IF((AND(FIND('112'!$M$9,G117,1)&gt;=1,B117='112'!$K$9,OR($N117='112'!$I$6,$O117='112'!$I$6))),"x",""))</f>
        <v/>
      </c>
      <c r="U117" s="79" t="str">
        <f>IF(ISERROR(FIND('112'!$M$9,G117,1)),"",IF((AND(LEFT(G117,2)=LEFT('112'!$M$9,2),B117&lt;'112'!$K$9,$N117='112'!$I$6)),"x",""))</f>
        <v/>
      </c>
      <c r="V117" s="79" t="str">
        <f>IF(ISERROR(FIND('112'!$M$9,G117,1)),"",IF((AND(RIGHT(G117,2)=RIGHT('112'!$M$9,2),B117&lt;'112'!$K$9,$O117='112'!$I$6)),"x",""))</f>
        <v/>
      </c>
      <c r="W117" s="79" t="str">
        <f>IF(AND('341-CT'!$H$9=H117,OR(LEFT(N117,3)=$W$7,LEFT(O117,3)=$W$7)),"x","")</f>
        <v/>
      </c>
      <c r="X117" s="79" t="str">
        <f>IF(OR(TH!N117=TH!$X$7,O117=TH!$X$7),"x","")</f>
        <v/>
      </c>
      <c r="Y117" s="79" t="str">
        <f>IF(AND(OR(N117="131",O117="131"),H117='131-CT'!$H$9),"x","")</f>
        <v/>
      </c>
      <c r="Z117" s="79"/>
      <c r="AA117" s="79" t="str">
        <f>IF(AND(MONTH(E117)='IN-NX'!$J$5,'IN-NX'!$D$7=D117),"x","")</f>
        <v/>
      </c>
      <c r="AB117" s="79" t="str">
        <f>IF(AND(OR(LEFT(TH!N117,2)="15",LEFT(TH!O117,2)="15"),LEFT(TH!O117,3)&lt;&gt;"111",'152-CT'!$J$8=TH!F117),"x","")</f>
        <v/>
      </c>
      <c r="AC117" s="79" t="str">
        <f>IF(AND(OR(LEFT(TH!N117,2)="15",LEFT(TH!O117,2)="15"),TK!$E$7=TH!F117),"x","")</f>
        <v/>
      </c>
      <c r="AD117" s="79" t="str">
        <f>IF(AND(N117="1521",MONTH(C117)='BK-NL'!$M$11),"x","")</f>
        <v/>
      </c>
    </row>
    <row r="118" spans="1:30" ht="16.5" customHeight="1">
      <c r="A118" s="318" t="str">
        <f>IF(B118&lt;&gt;"",IF(AND(B118='IN-TC'!$S$4,OR(TH!N118="1111",TH!O118="1111")),TH!D118,""),"")</f>
        <v/>
      </c>
      <c r="B118" s="1287">
        <f t="shared" si="10"/>
        <v>4</v>
      </c>
      <c r="C118" s="682">
        <v>43219</v>
      </c>
      <c r="D118" s="682" t="s">
        <v>532</v>
      </c>
      <c r="E118" s="682">
        <f t="shared" si="13"/>
        <v>43219</v>
      </c>
      <c r="F118" s="943" t="s">
        <v>732</v>
      </c>
      <c r="G118" s="763" t="s">
        <v>536</v>
      </c>
      <c r="H118" s="303"/>
      <c r="I118" s="385"/>
      <c r="J118" s="392"/>
      <c r="K118" s="385"/>
      <c r="L118" s="392"/>
      <c r="M118" s="686">
        <f>G108*$G118</f>
        <v>0</v>
      </c>
      <c r="N118" s="687" t="s">
        <v>541</v>
      </c>
      <c r="O118" s="687" t="s">
        <v>544</v>
      </c>
      <c r="P118" s="79" t="str">
        <f>IF(AND('331-CT'!$E$7=TH!H118,OR(N118="331",O118="331")),"x","")</f>
        <v/>
      </c>
      <c r="Q118" s="79" t="str">
        <f>IF(AND(B118='111'!$L$11,OR($N118=$Q$7,$O118=$Q$7)),"x","")</f>
        <v/>
      </c>
      <c r="R118" s="79" t="str">
        <f>IF(AND($N118=$Q$7,$B118&lt;'111'!$L$11),"x","")</f>
        <v/>
      </c>
      <c r="S118" s="79" t="str">
        <f>IF(AND($O118=$Q$7,$B118&lt;'111'!$L$11),"x","")</f>
        <v/>
      </c>
      <c r="T118" s="79" t="str">
        <f>IF(ISERROR(FIND('112'!$M$9,G118,1)),"",IF((AND(FIND('112'!$M$9,G118,1)&gt;=1,B118='112'!$K$9,OR($N118='112'!$I$6,$O118='112'!$I$6))),"x",""))</f>
        <v/>
      </c>
      <c r="U118" s="79" t="str">
        <f>IF(ISERROR(FIND('112'!$M$9,G118,1)),"",IF((AND(LEFT(G118,2)=LEFT('112'!$M$9,2),B118&lt;'112'!$K$9,$N118='112'!$I$6)),"x",""))</f>
        <v/>
      </c>
      <c r="V118" s="79" t="str">
        <f>IF(ISERROR(FIND('112'!$M$9,G118,1)),"",IF((AND(RIGHT(G118,2)=RIGHT('112'!$M$9,2),B118&lt;'112'!$K$9,$O118='112'!$I$6)),"x",""))</f>
        <v/>
      </c>
      <c r="W118" s="79" t="str">
        <f>IF(AND('341-CT'!$H$9=H118,OR(LEFT(N118,3)=$W$7,LEFT(O118,3)=$W$7)),"x","")</f>
        <v/>
      </c>
      <c r="X118" s="79" t="str">
        <f>IF(OR(TH!N118=TH!$X$7,O118=TH!$X$7),"x","")</f>
        <v/>
      </c>
      <c r="Y118" s="79" t="str">
        <f>IF(AND(OR(N118="131",O118="131"),H118='131-CT'!$H$9),"x","")</f>
        <v/>
      </c>
      <c r="Z118" s="79"/>
      <c r="AA118" s="79" t="str">
        <f>IF(AND(MONTH(E118)='IN-NX'!$J$5,'IN-NX'!$D$7=D118),"x","")</f>
        <v/>
      </c>
      <c r="AB118" s="79" t="str">
        <f>IF(AND(OR(LEFT(TH!N118,2)="15",LEFT(TH!O118,2)="15"),LEFT(TH!O118,3)&lt;&gt;"111",'152-CT'!$J$8=TH!F118),"x","")</f>
        <v/>
      </c>
      <c r="AC118" s="79" t="str">
        <f>IF(AND(OR(LEFT(TH!N118,2)="15",LEFT(TH!O118,2)="15"),TK!$E$7=TH!F118),"x","")</f>
        <v/>
      </c>
      <c r="AD118" s="79" t="str">
        <f>IF(AND(N118="1521",MONTH(C118)='BK-NL'!$M$11),"x","")</f>
        <v/>
      </c>
    </row>
    <row r="119" spans="1:30" ht="16.5" customHeight="1">
      <c r="A119" s="318" t="str">
        <f>IF(B119&lt;&gt;"",IF(AND(B119='IN-TC'!$S$4,OR(TH!N119="1111",TH!O119="1111")),TH!D119,""),"")</f>
        <v/>
      </c>
      <c r="B119" s="1287">
        <f t="shared" si="10"/>
        <v>4</v>
      </c>
      <c r="C119" s="682">
        <v>43219</v>
      </c>
      <c r="D119" s="682" t="s">
        <v>532</v>
      </c>
      <c r="E119" s="682">
        <f t="shared" si="13"/>
        <v>43219</v>
      </c>
      <c r="F119" s="943" t="s">
        <v>733</v>
      </c>
      <c r="G119" s="259"/>
      <c r="H119" s="303"/>
      <c r="I119" s="385"/>
      <c r="J119" s="392"/>
      <c r="K119" s="385"/>
      <c r="L119" s="392"/>
      <c r="M119" s="686">
        <f>G109*$G118</f>
        <v>0</v>
      </c>
      <c r="N119" s="687" t="s">
        <v>541</v>
      </c>
      <c r="O119" s="687" t="s">
        <v>544</v>
      </c>
      <c r="P119" s="79" t="str">
        <f>IF(AND('331-CT'!$E$7=TH!H119,OR(N119="331",O119="331")),"x","")</f>
        <v/>
      </c>
      <c r="Q119" s="79" t="str">
        <f>IF(AND(B119='111'!$L$11,OR($N119=$Q$7,$O119=$Q$7)),"x","")</f>
        <v/>
      </c>
      <c r="R119" s="79" t="str">
        <f>IF(AND($N119=$Q$7,$B119&lt;'111'!$L$11),"x","")</f>
        <v/>
      </c>
      <c r="S119" s="79" t="str">
        <f>IF(AND($O119=$Q$7,$B119&lt;'111'!$L$11),"x","")</f>
        <v/>
      </c>
      <c r="T119" s="79" t="str">
        <f>IF(ISERROR(FIND('112'!$M$9,G119,1)),"",IF((AND(FIND('112'!$M$9,G119,1)&gt;=1,B119='112'!$K$9,OR($N119='112'!$I$6,$O119='112'!$I$6))),"x",""))</f>
        <v/>
      </c>
      <c r="U119" s="79" t="str">
        <f>IF(ISERROR(FIND('112'!$M$9,G119,1)),"",IF((AND(LEFT(G119,2)=LEFT('112'!$M$9,2),B119&lt;'112'!$K$9,$N119='112'!$I$6)),"x",""))</f>
        <v/>
      </c>
      <c r="V119" s="79" t="str">
        <f>IF(ISERROR(FIND('112'!$M$9,G119,1)),"",IF((AND(RIGHT(G119,2)=RIGHT('112'!$M$9,2),B119&lt;'112'!$K$9,$O119='112'!$I$6)),"x",""))</f>
        <v/>
      </c>
      <c r="W119" s="79" t="str">
        <f>IF(AND('341-CT'!$H$9=H119,OR(LEFT(N119,3)=$W$7,LEFT(O119,3)=$W$7)),"x","")</f>
        <v/>
      </c>
      <c r="X119" s="79" t="str">
        <f>IF(OR(TH!N119=TH!$X$7,O119=TH!$X$7),"x","")</f>
        <v/>
      </c>
      <c r="Y119" s="79" t="str">
        <f>IF(AND(OR(N119="131",O119="131"),H119='131-CT'!$H$9),"x","")</f>
        <v/>
      </c>
      <c r="Z119" s="79"/>
      <c r="AA119" s="79" t="str">
        <f>IF(AND(MONTH(E119)='IN-NX'!$J$5,'IN-NX'!$D$7=D119),"x","")</f>
        <v/>
      </c>
      <c r="AB119" s="79" t="str">
        <f>IF(AND(OR(LEFT(TH!N119,2)="15",LEFT(TH!O119,2)="15"),LEFT(TH!O119,3)&lt;&gt;"111",'152-CT'!$J$8=TH!F119),"x","")</f>
        <v/>
      </c>
      <c r="AC119" s="79" t="str">
        <f>IF(AND(OR(LEFT(TH!N119,2)="15",LEFT(TH!O119,2)="15"),TK!$E$7=TH!F119),"x","")</f>
        <v/>
      </c>
      <c r="AD119" s="79" t="str">
        <f>IF(AND(N119="1521",MONTH(C119)='BK-NL'!$M$11),"x","")</f>
        <v/>
      </c>
    </row>
    <row r="120" spans="1:30" ht="16.5" customHeight="1">
      <c r="A120" s="318" t="str">
        <f>IF(B120&lt;&gt;"",IF(AND(B120='IN-TC'!$S$4,OR(TH!N120="1111",TH!O120="1111")),TH!D120,""),"")</f>
        <v/>
      </c>
      <c r="B120" s="1287">
        <f t="shared" si="10"/>
        <v>4</v>
      </c>
      <c r="C120" s="682">
        <v>43219</v>
      </c>
      <c r="D120" s="682" t="s">
        <v>532</v>
      </c>
      <c r="E120" s="682">
        <f t="shared" si="13"/>
        <v>43219</v>
      </c>
      <c r="F120" s="943" t="s">
        <v>734</v>
      </c>
      <c r="G120" s="763" t="s">
        <v>536</v>
      </c>
      <c r="H120" s="901"/>
      <c r="I120" s="386"/>
      <c r="J120" s="393"/>
      <c r="K120" s="386"/>
      <c r="L120" s="393"/>
      <c r="M120" s="686">
        <f>M118</f>
        <v>0</v>
      </c>
      <c r="N120" s="687" t="s">
        <v>540</v>
      </c>
      <c r="O120" s="687" t="s">
        <v>544</v>
      </c>
      <c r="P120" s="79" t="str">
        <f>IF(AND('331-CT'!$E$7=TH!H120,OR(N120="331",O120="331")),"x","")</f>
        <v/>
      </c>
      <c r="Q120" s="79" t="str">
        <f>IF(AND(B120='111'!$L$11,OR($N120=$Q$7,$O120=$Q$7)),"x","")</f>
        <v/>
      </c>
      <c r="R120" s="79" t="str">
        <f>IF(AND($N120=$Q$7,$B120&lt;'111'!$L$11),"x","")</f>
        <v/>
      </c>
      <c r="S120" s="79" t="str">
        <f>IF(AND($O120=$Q$7,$B120&lt;'111'!$L$11),"x","")</f>
        <v/>
      </c>
      <c r="T120" s="79" t="str">
        <f>IF(ISERROR(FIND('112'!$M$9,G120,1)),"",IF((AND(FIND('112'!$M$9,G120,1)&gt;=1,B120='112'!$K$9,OR($N120='112'!$I$6,$O120='112'!$I$6))),"x",""))</f>
        <v/>
      </c>
      <c r="U120" s="79" t="str">
        <f>IF(ISERROR(FIND('112'!$M$9,G120,1)),"",IF((AND(LEFT(G120,2)=LEFT('112'!$M$9,2),B120&lt;'112'!$K$9,$N120='112'!$I$6)),"x",""))</f>
        <v/>
      </c>
      <c r="V120" s="79" t="str">
        <f>IF(ISERROR(FIND('112'!$M$9,G120,1)),"",IF((AND(RIGHT(G120,2)=RIGHT('112'!$M$9,2),B120&lt;'112'!$K$9,$O120='112'!$I$6)),"x",""))</f>
        <v/>
      </c>
      <c r="W120" s="79" t="str">
        <f>IF(AND('341-CT'!$H$9=H120,OR(LEFT(N120,3)=$W$7,LEFT(O120,3)=$W$7)),"x","")</f>
        <v/>
      </c>
      <c r="X120" s="79" t="str">
        <f>IF(OR(TH!N120=TH!$X$7,O120=TH!$X$7),"x","")</f>
        <v/>
      </c>
      <c r="Y120" s="79" t="str">
        <f>IF(AND(OR(N120="131",O120="131"),H120='131-CT'!$H$9),"x","")</f>
        <v/>
      </c>
      <c r="Z120" s="79"/>
      <c r="AA120" s="79" t="str">
        <f>IF(AND(MONTH(E120)='IN-NX'!$J$5,'IN-NX'!$D$7=D120),"x","")</f>
        <v/>
      </c>
      <c r="AB120" s="79" t="str">
        <f>IF(AND(OR(LEFT(TH!N120,2)="15",LEFT(TH!O120,2)="15"),LEFT(TH!O120,3)&lt;&gt;"111",'152-CT'!$J$8=TH!F120),"x","")</f>
        <v/>
      </c>
      <c r="AC120" s="79" t="str">
        <f>IF(AND(OR(LEFT(TH!N120,2)="15",LEFT(TH!O120,2)="15"),TK!$E$7=TH!F120),"x","")</f>
        <v/>
      </c>
      <c r="AD120" s="79" t="str">
        <f>IF(AND(N120="1521",MONTH(C120)='BK-NL'!$M$11),"x","")</f>
        <v/>
      </c>
    </row>
    <row r="121" spans="1:30" ht="16.5" customHeight="1">
      <c r="A121" s="318" t="str">
        <f>IF(B121&lt;&gt;"",IF(AND(B121='IN-TC'!$S$4,OR(TH!N121="1111",TH!O121="1111")),TH!D121,""),"")</f>
        <v/>
      </c>
      <c r="B121" s="1287">
        <f t="shared" si="10"/>
        <v>4</v>
      </c>
      <c r="C121" s="682">
        <v>43219</v>
      </c>
      <c r="D121" s="682" t="s">
        <v>532</v>
      </c>
      <c r="E121" s="682">
        <f t="shared" si="13"/>
        <v>43219</v>
      </c>
      <c r="F121" s="943" t="s">
        <v>735</v>
      </c>
      <c r="G121" s="259"/>
      <c r="H121" s="303"/>
      <c r="I121" s="385"/>
      <c r="J121" s="392"/>
      <c r="K121" s="385"/>
      <c r="L121" s="392"/>
      <c r="M121" s="686">
        <f>M119</f>
        <v>0</v>
      </c>
      <c r="N121" s="687" t="s">
        <v>272</v>
      </c>
      <c r="O121" s="687" t="s">
        <v>544</v>
      </c>
      <c r="P121" s="79" t="str">
        <f>IF(AND('331-CT'!$E$7=TH!H121,OR(N121="331",O121="331")),"x","")</f>
        <v/>
      </c>
      <c r="Q121" s="79" t="str">
        <f>IF(AND(B121='111'!$L$11,OR($N121=$Q$7,$O121=$Q$7)),"x","")</f>
        <v/>
      </c>
      <c r="R121" s="79" t="str">
        <f>IF(AND($N121=$Q$7,$B121&lt;'111'!$L$11),"x","")</f>
        <v/>
      </c>
      <c r="S121" s="79" t="str">
        <f>IF(AND($O121=$Q$7,$B121&lt;'111'!$L$11),"x","")</f>
        <v/>
      </c>
      <c r="T121" s="79" t="str">
        <f>IF(ISERROR(FIND('112'!$M$9,G121,1)),"",IF((AND(FIND('112'!$M$9,G121,1)&gt;=1,B121='112'!$K$9,OR($N121='112'!$I$6,$O121='112'!$I$6))),"x",""))</f>
        <v/>
      </c>
      <c r="U121" s="79" t="str">
        <f>IF(ISERROR(FIND('112'!$M$9,G121,1)),"",IF((AND(LEFT(G121,2)=LEFT('112'!$M$9,2),B121&lt;'112'!$K$9,$N121='112'!$I$6)),"x",""))</f>
        <v/>
      </c>
      <c r="V121" s="79" t="str">
        <f>IF(ISERROR(FIND('112'!$M$9,G121,1)),"",IF((AND(RIGHT(G121,2)=RIGHT('112'!$M$9,2),B121&lt;'112'!$K$9,$O121='112'!$I$6)),"x",""))</f>
        <v/>
      </c>
      <c r="W121" s="79" t="str">
        <f>IF(AND('341-CT'!$H$9=H121,OR(LEFT(N121,3)=$W$7,LEFT(O121,3)=$W$7)),"x","")</f>
        <v/>
      </c>
      <c r="X121" s="79" t="str">
        <f>IF(OR(TH!N121=TH!$X$7,O121=TH!$X$7),"x","")</f>
        <v/>
      </c>
      <c r="Y121" s="79" t="str">
        <f>IF(AND(OR(N121="131",O121="131"),H121='131-CT'!$H$9),"x","")</f>
        <v/>
      </c>
      <c r="Z121" s="79"/>
      <c r="AA121" s="79" t="str">
        <f>IF(AND(MONTH(E121)='IN-NX'!$J$5,'IN-NX'!$D$7=D121),"x","")</f>
        <v/>
      </c>
      <c r="AB121" s="79" t="str">
        <f>IF(AND(OR(LEFT(TH!N121,2)="15",LEFT(TH!O121,2)="15"),LEFT(TH!O121,3)&lt;&gt;"111",'152-CT'!$J$8=TH!F121),"x","")</f>
        <v/>
      </c>
      <c r="AC121" s="79" t="str">
        <f>IF(AND(OR(LEFT(TH!N121,2)="15",LEFT(TH!O121,2)="15"),TK!$E$7=TH!F121),"x","")</f>
        <v/>
      </c>
      <c r="AD121" s="79" t="str">
        <f>IF(AND(N121="1521",MONTH(C121)='BK-NL'!$M$11),"x","")</f>
        <v/>
      </c>
    </row>
    <row r="122" spans="1:30" ht="16.5" customHeight="1">
      <c r="A122" s="318" t="str">
        <f>IF(B122&lt;&gt;"",IF(AND(B122='IN-TC'!$S$4,OR(TH!N122="1111",TH!O122="1111")),TH!D122,""),"")</f>
        <v/>
      </c>
      <c r="B122" s="1287">
        <f t="shared" ref="B122:B123" si="16">IF(C122&lt;&gt;"",MONTH(C122),"")</f>
        <v>4</v>
      </c>
      <c r="C122" s="682">
        <v>43219</v>
      </c>
      <c r="D122" s="682" t="s">
        <v>532</v>
      </c>
      <c r="E122" s="682">
        <f t="shared" ref="E122:E123" si="17">C122</f>
        <v>43219</v>
      </c>
      <c r="F122" s="943" t="s">
        <v>954</v>
      </c>
      <c r="G122" s="763" t="s">
        <v>956</v>
      </c>
      <c r="H122" s="303"/>
      <c r="I122" s="385"/>
      <c r="J122" s="392"/>
      <c r="K122" s="385"/>
      <c r="L122" s="392"/>
      <c r="M122" s="686">
        <f>G108*$G122</f>
        <v>0</v>
      </c>
      <c r="N122" s="687" t="s">
        <v>540</v>
      </c>
      <c r="O122" s="687" t="s">
        <v>19</v>
      </c>
      <c r="P122" s="79" t="str">
        <f>IF(AND('331-CT'!$E$7=TH!H122,OR(N122="331",O122="331")),"x","")</f>
        <v/>
      </c>
      <c r="Q122" s="79" t="str">
        <f>IF(AND(B122='111'!$L$11,OR($N122=$Q$7,$O122=$Q$7)),"x","")</f>
        <v/>
      </c>
      <c r="R122" s="79" t="str">
        <f>IF(AND($N122=$Q$7,$B122&lt;'111'!$L$11),"x","")</f>
        <v/>
      </c>
      <c r="S122" s="79" t="str">
        <f>IF(AND($O122=$Q$7,$B122&lt;'111'!$L$11),"x","")</f>
        <v/>
      </c>
      <c r="T122" s="79" t="str">
        <f>IF(ISERROR(FIND('112'!$M$9,G122,1)),"",IF((AND(FIND('112'!$M$9,G122,1)&gt;=1,B122='112'!$K$9,OR($N122='112'!$I$6,$O122='112'!$I$6))),"x",""))</f>
        <v/>
      </c>
      <c r="U122" s="79" t="str">
        <f>IF(ISERROR(FIND('112'!$M$9,G122,1)),"",IF((AND(LEFT(G122,2)=LEFT('112'!$M$9,2),B122&lt;'112'!$K$9,$N122='112'!$I$6)),"x",""))</f>
        <v/>
      </c>
      <c r="V122" s="79" t="str">
        <f>IF(ISERROR(FIND('112'!$M$9,G122,1)),"",IF((AND(RIGHT(G122,2)=RIGHT('112'!$M$9,2),B122&lt;'112'!$K$9,$O122='112'!$I$6)),"x",""))</f>
        <v/>
      </c>
      <c r="W122" s="79" t="str">
        <f>IF(AND('341-CT'!$H$9=H122,OR(LEFT(N122,3)=$W$7,LEFT(O122,3)=$W$7)),"x","")</f>
        <v/>
      </c>
      <c r="X122" s="79" t="str">
        <f>IF(OR(TH!N122=TH!$X$7,O122=TH!$X$7),"x","")</f>
        <v/>
      </c>
      <c r="Y122" s="79" t="str">
        <f>IF(AND(OR(N122="131",O122="131"),H122='131-CT'!$H$9),"x","")</f>
        <v/>
      </c>
      <c r="Z122" s="79"/>
      <c r="AA122" s="79" t="str">
        <f>IF(AND(MONTH(E122)='IN-NX'!$J$5,'IN-NX'!$D$7=D122),"x","")</f>
        <v/>
      </c>
      <c r="AB122" s="79" t="str">
        <f>IF(AND(OR(LEFT(TH!N122,2)="15",LEFT(TH!O122,2)="15"),LEFT(TH!O122,3)&lt;&gt;"111",'152-CT'!$J$8=TH!F122),"x","")</f>
        <v/>
      </c>
      <c r="AC122" s="79" t="str">
        <f>IF(AND(OR(LEFT(TH!N122,2)="15",LEFT(TH!O122,2)="15"),TK!$E$7=TH!F122),"x","")</f>
        <v/>
      </c>
      <c r="AD122" s="79" t="str">
        <f>IF(AND(N122="1521",MONTH(C122)='BK-NL'!$M$11),"x","")</f>
        <v/>
      </c>
    </row>
    <row r="123" spans="1:30" ht="16.5" customHeight="1">
      <c r="A123" s="318" t="str">
        <f>IF(B123&lt;&gt;"",IF(AND(B123='IN-TC'!$S$4,OR(TH!N123="1111",TH!O123="1111")),TH!D123,""),"")</f>
        <v/>
      </c>
      <c r="B123" s="1287">
        <f t="shared" si="16"/>
        <v>4</v>
      </c>
      <c r="C123" s="682">
        <v>43219</v>
      </c>
      <c r="D123" s="682" t="s">
        <v>532</v>
      </c>
      <c r="E123" s="682">
        <f t="shared" si="17"/>
        <v>43219</v>
      </c>
      <c r="F123" s="943" t="s">
        <v>955</v>
      </c>
      <c r="G123" s="259"/>
      <c r="H123" s="303"/>
      <c r="I123" s="385"/>
      <c r="J123" s="392"/>
      <c r="K123" s="385"/>
      <c r="L123" s="392"/>
      <c r="M123" s="686">
        <f>G109*$G122</f>
        <v>0</v>
      </c>
      <c r="N123" s="687" t="s">
        <v>272</v>
      </c>
      <c r="O123" s="687" t="s">
        <v>19</v>
      </c>
      <c r="P123" s="79" t="str">
        <f>IF(AND('331-CT'!$E$7=TH!H123,OR(N123="331",O123="331")),"x","")</f>
        <v/>
      </c>
      <c r="Q123" s="79" t="str">
        <f>IF(AND(B123='111'!$L$11,OR($N123=$Q$7,$O123=$Q$7)),"x","")</f>
        <v/>
      </c>
      <c r="R123" s="79" t="str">
        <f>IF(AND($N123=$Q$7,$B123&lt;'111'!$L$11),"x","")</f>
        <v/>
      </c>
      <c r="S123" s="79" t="str">
        <f>IF(AND($O123=$Q$7,$B123&lt;'111'!$L$11),"x","")</f>
        <v/>
      </c>
      <c r="T123" s="79" t="str">
        <f>IF(ISERROR(FIND('112'!$M$9,G123,1)),"",IF((AND(FIND('112'!$M$9,G123,1)&gt;=1,B123='112'!$K$9,OR($N123='112'!$I$6,$O123='112'!$I$6))),"x",""))</f>
        <v/>
      </c>
      <c r="U123" s="79" t="str">
        <f>IF(ISERROR(FIND('112'!$M$9,G123,1)),"",IF((AND(LEFT(G123,2)=LEFT('112'!$M$9,2),B123&lt;'112'!$K$9,$N123='112'!$I$6)),"x",""))</f>
        <v/>
      </c>
      <c r="V123" s="79" t="str">
        <f>IF(ISERROR(FIND('112'!$M$9,G123,1)),"",IF((AND(RIGHT(G123,2)=RIGHT('112'!$M$9,2),B123&lt;'112'!$K$9,$O123='112'!$I$6)),"x",""))</f>
        <v/>
      </c>
      <c r="W123" s="79" t="str">
        <f>IF(AND('341-CT'!$H$9=H123,OR(LEFT(N123,3)=$W$7,LEFT(O123,3)=$W$7)),"x","")</f>
        <v/>
      </c>
      <c r="X123" s="79" t="str">
        <f>IF(OR(TH!N123=TH!$X$7,O123=TH!$X$7),"x","")</f>
        <v/>
      </c>
      <c r="Y123" s="79" t="str">
        <f>IF(AND(OR(N123="131",O123="131"),H123='131-CT'!$H$9),"x","")</f>
        <v/>
      </c>
      <c r="Z123" s="79"/>
      <c r="AA123" s="79" t="str">
        <f>IF(AND(MONTH(E123)='IN-NX'!$J$5,'IN-NX'!$D$7=D123),"x","")</f>
        <v/>
      </c>
      <c r="AB123" s="79" t="str">
        <f>IF(AND(OR(LEFT(TH!N123,2)="15",LEFT(TH!O123,2)="15"),LEFT(TH!O123,3)&lt;&gt;"111",'152-CT'!$J$8=TH!F123),"x","")</f>
        <v/>
      </c>
      <c r="AC123" s="79" t="str">
        <f>IF(AND(OR(LEFT(TH!N123,2)="15",LEFT(TH!O123,2)="15"),TK!$E$7=TH!F123),"x","")</f>
        <v/>
      </c>
      <c r="AD123" s="79" t="str">
        <f>IF(AND(N123="1521",MONTH(C123)='BK-NL'!$M$11),"x","")</f>
        <v/>
      </c>
    </row>
    <row r="124" spans="1:30" ht="16.5" customHeight="1">
      <c r="A124" s="318" t="str">
        <f>IF(B124&lt;&gt;"",IF(AND(B124='IN-TC'!$S$4,OR(TH!N124="1111",TH!O124="1111")),TH!D124,""),"")</f>
        <v/>
      </c>
      <c r="B124" s="1288">
        <f t="shared" si="10"/>
        <v>5</v>
      </c>
      <c r="C124" s="682">
        <v>43251</v>
      </c>
      <c r="D124" s="682" t="s">
        <v>532</v>
      </c>
      <c r="E124" s="682">
        <f t="shared" si="13"/>
        <v>43251</v>
      </c>
      <c r="F124" s="943" t="s">
        <v>722</v>
      </c>
      <c r="G124" s="259"/>
      <c r="H124" s="303"/>
      <c r="I124" s="385"/>
      <c r="J124" s="392"/>
      <c r="K124" s="385"/>
      <c r="L124" s="392"/>
      <c r="M124" s="686"/>
      <c r="N124" s="687" t="s">
        <v>540</v>
      </c>
      <c r="O124" s="687" t="s">
        <v>541</v>
      </c>
      <c r="P124" s="79" t="str">
        <f>IF(AND('331-CT'!$E$7=TH!H124,OR(N124="331",O124="331")),"x","")</f>
        <v/>
      </c>
      <c r="Q124" s="79" t="str">
        <f>IF(AND(B124='111'!$L$11,OR($N124=$Q$7,$O124=$Q$7)),"x","")</f>
        <v/>
      </c>
      <c r="R124" s="79" t="str">
        <f>IF(AND($N124=$Q$7,$B124&lt;'111'!$L$11),"x","")</f>
        <v/>
      </c>
      <c r="S124" s="79" t="str">
        <f>IF(AND($O124=$Q$7,$B124&lt;'111'!$L$11),"x","")</f>
        <v/>
      </c>
      <c r="T124" s="79" t="str">
        <f>IF(ISERROR(FIND('112'!$M$9,G124,1)),"",IF((AND(FIND('112'!$M$9,G124,1)&gt;=1,B124='112'!$K$9,OR($N124='112'!$I$6,$O124='112'!$I$6))),"x",""))</f>
        <v/>
      </c>
      <c r="U124" s="79" t="str">
        <f>IF(ISERROR(FIND('112'!$M$9,G124,1)),"",IF((AND(LEFT(G124,2)=LEFT('112'!$M$9,2),B124&lt;'112'!$K$9,$N124='112'!$I$6)),"x",""))</f>
        <v/>
      </c>
      <c r="V124" s="79" t="str">
        <f>IF(ISERROR(FIND('112'!$M$9,G124,1)),"",IF((AND(RIGHT(G124,2)=RIGHT('112'!$M$9,2),B124&lt;'112'!$K$9,$O124='112'!$I$6)),"x",""))</f>
        <v/>
      </c>
      <c r="W124" s="79" t="str">
        <f>IF(AND('341-CT'!$H$9=H124,OR(LEFT(N124,3)=$W$7,LEFT(O124,3)=$W$7)),"x","")</f>
        <v/>
      </c>
      <c r="X124" s="79" t="str">
        <f>IF(OR(TH!N124=TH!$X$7,O124=TH!$X$7),"x","")</f>
        <v/>
      </c>
      <c r="Y124" s="79" t="str">
        <f>IF(AND(OR(N124="131",O124="131"),H124='131-CT'!$H$9),"x","")</f>
        <v/>
      </c>
      <c r="Z124" s="79"/>
      <c r="AA124" s="79" t="str">
        <f>IF(AND(MONTH(E124)='IN-NX'!$J$5,'IN-NX'!$D$7=D124),"x","")</f>
        <v/>
      </c>
      <c r="AB124" s="79" t="str">
        <f>IF(AND(OR(LEFT(TH!N124,2)="15",LEFT(TH!O124,2)="15"),LEFT(TH!O124,3)&lt;&gt;"111",'152-CT'!$J$8=TH!F124),"x","")</f>
        <v/>
      </c>
      <c r="AC124" s="79" t="str">
        <f>IF(AND(OR(LEFT(TH!N124,2)="15",LEFT(TH!O124,2)="15"),TK!$E$7=TH!F124),"x","")</f>
        <v/>
      </c>
      <c r="AD124" s="79" t="str">
        <f>IF(AND(N124="1521",MONTH(C124)='BK-NL'!$M$11),"x","")</f>
        <v/>
      </c>
    </row>
    <row r="125" spans="1:30" ht="16.5" customHeight="1">
      <c r="A125" s="318" t="str">
        <f>IF(B125&lt;&gt;"",IF(AND(B125='IN-TC'!$S$4,OR(TH!N125="1111",TH!O125="1111")),TH!D125,""),"")</f>
        <v/>
      </c>
      <c r="B125" s="1288">
        <f t="shared" si="10"/>
        <v>5</v>
      </c>
      <c r="C125" s="682">
        <v>43251</v>
      </c>
      <c r="D125" s="682" t="s">
        <v>532</v>
      </c>
      <c r="E125" s="682">
        <f t="shared" si="13"/>
        <v>43251</v>
      </c>
      <c r="F125" s="943" t="s">
        <v>723</v>
      </c>
      <c r="G125" s="259"/>
      <c r="H125" s="303"/>
      <c r="I125" s="385"/>
      <c r="J125" s="392"/>
      <c r="K125" s="385"/>
      <c r="L125" s="392"/>
      <c r="M125" s="686"/>
      <c r="N125" s="687" t="s">
        <v>272</v>
      </c>
      <c r="O125" s="687" t="s">
        <v>541</v>
      </c>
      <c r="P125" s="79" t="str">
        <f>IF(AND('331-CT'!$E$7=TH!H125,OR(N125="331",O125="331")),"x","")</f>
        <v/>
      </c>
      <c r="Q125" s="79" t="str">
        <f>IF(AND(B125='111'!$L$11,OR($N125=$Q$7,$O125=$Q$7)),"x","")</f>
        <v/>
      </c>
      <c r="R125" s="79" t="str">
        <f>IF(AND($N125=$Q$7,$B125&lt;'111'!$L$11),"x","")</f>
        <v/>
      </c>
      <c r="S125" s="79" t="str">
        <f>IF(AND($O125=$Q$7,$B125&lt;'111'!$L$11),"x","")</f>
        <v/>
      </c>
      <c r="T125" s="79" t="str">
        <f>IF(ISERROR(FIND('112'!$M$9,G125,1)),"",IF((AND(FIND('112'!$M$9,G125,1)&gt;=1,B125='112'!$K$9,OR($N125='112'!$I$6,$O125='112'!$I$6))),"x",""))</f>
        <v/>
      </c>
      <c r="U125" s="79" t="str">
        <f>IF(ISERROR(FIND('112'!$M$9,G125,1)),"",IF((AND(LEFT(G125,2)=LEFT('112'!$M$9,2),B125&lt;'112'!$K$9,$N125='112'!$I$6)),"x",""))</f>
        <v/>
      </c>
      <c r="V125" s="79" t="str">
        <f>IF(ISERROR(FIND('112'!$M$9,G125,1)),"",IF((AND(RIGHT(G125,2)=RIGHT('112'!$M$9,2),B125&lt;'112'!$K$9,$O125='112'!$I$6)),"x",""))</f>
        <v/>
      </c>
      <c r="W125" s="79" t="str">
        <f>IF(AND('341-CT'!$H$9=H125,OR(LEFT(N125,3)=$W$7,LEFT(O125,3)=$W$7)),"x","")</f>
        <v/>
      </c>
      <c r="X125" s="79" t="str">
        <f>IF(OR(TH!N125=TH!$X$7,O125=TH!$X$7),"x","")</f>
        <v/>
      </c>
      <c r="Y125" s="79" t="str">
        <f>IF(AND(OR(N125="131",O125="131"),H125='131-CT'!$H$9),"x","")</f>
        <v/>
      </c>
      <c r="Z125" s="79"/>
      <c r="AA125" s="79" t="str">
        <f>IF(AND(MONTH(E125)='IN-NX'!$J$5,'IN-NX'!$D$7=D125),"x","")</f>
        <v/>
      </c>
      <c r="AB125" s="79" t="str">
        <f>IF(AND(OR(LEFT(TH!N125,2)="15",LEFT(TH!O125,2)="15"),LEFT(TH!O125,3)&lt;&gt;"111",'152-CT'!$J$8=TH!F125),"x","")</f>
        <v/>
      </c>
      <c r="AC125" s="79" t="str">
        <f>IF(AND(OR(LEFT(TH!N125,2)="15",LEFT(TH!O125,2)="15"),TK!$E$7=TH!F125),"x","")</f>
        <v/>
      </c>
      <c r="AD125" s="79" t="str">
        <f>IF(AND(N125="1521",MONTH(C125)='BK-NL'!$M$11),"x","")</f>
        <v/>
      </c>
    </row>
    <row r="126" spans="1:30" ht="16.5" customHeight="1">
      <c r="A126" s="318" t="str">
        <f>IF(B126&lt;&gt;"",IF(AND(B126='IN-TC'!$S$4,OR(TH!N126="1111",TH!O126="1111")),TH!D126,""),"")</f>
        <v/>
      </c>
      <c r="B126" s="1288">
        <f t="shared" si="10"/>
        <v>5</v>
      </c>
      <c r="C126" s="682">
        <v>43251</v>
      </c>
      <c r="D126" s="682" t="s">
        <v>532</v>
      </c>
      <c r="E126" s="682">
        <f t="shared" si="13"/>
        <v>43251</v>
      </c>
      <c r="F126" s="943" t="s">
        <v>724</v>
      </c>
      <c r="G126" s="763" t="s">
        <v>533</v>
      </c>
      <c r="H126" s="303"/>
      <c r="I126" s="385"/>
      <c r="J126" s="392"/>
      <c r="K126" s="385"/>
      <c r="L126" s="392"/>
      <c r="M126" s="686">
        <f>G124*$G126</f>
        <v>0</v>
      </c>
      <c r="N126" s="687" t="s">
        <v>541</v>
      </c>
      <c r="O126" s="687" t="s">
        <v>542</v>
      </c>
      <c r="P126" s="79" t="str">
        <f>IF(AND('331-CT'!$E$7=TH!H126,OR(N126="331",O126="331")),"x","")</f>
        <v/>
      </c>
      <c r="Q126" s="79" t="str">
        <f>IF(AND(B126='111'!$L$11,OR($N126=$Q$7,$O126=$Q$7)),"x","")</f>
        <v/>
      </c>
      <c r="R126" s="79" t="str">
        <f>IF(AND($N126=$Q$7,$B126&lt;'111'!$L$11),"x","")</f>
        <v/>
      </c>
      <c r="S126" s="79" t="str">
        <f>IF(AND($O126=$Q$7,$B126&lt;'111'!$L$11),"x","")</f>
        <v/>
      </c>
      <c r="T126" s="79" t="str">
        <f>IF(ISERROR(FIND('112'!$M$9,G126,1)),"",IF((AND(FIND('112'!$M$9,G126,1)&gt;=1,B126='112'!$K$9,OR($N126='112'!$I$6,$O126='112'!$I$6))),"x",""))</f>
        <v/>
      </c>
      <c r="U126" s="79" t="str">
        <f>IF(ISERROR(FIND('112'!$M$9,G126,1)),"",IF((AND(LEFT(G126,2)=LEFT('112'!$M$9,2),B126&lt;'112'!$K$9,$N126='112'!$I$6)),"x",""))</f>
        <v/>
      </c>
      <c r="V126" s="79" t="str">
        <f>IF(ISERROR(FIND('112'!$M$9,G126,1)),"",IF((AND(RIGHT(G126,2)=RIGHT('112'!$M$9,2),B126&lt;'112'!$K$9,$O126='112'!$I$6)),"x",""))</f>
        <v/>
      </c>
      <c r="W126" s="79" t="str">
        <f>IF(AND('341-CT'!$H$9=H126,OR(LEFT(N126,3)=$W$7,LEFT(O126,3)=$W$7)),"x","")</f>
        <v/>
      </c>
      <c r="X126" s="79" t="str">
        <f>IF(OR(TH!N126=TH!$X$7,O126=TH!$X$7),"x","")</f>
        <v/>
      </c>
      <c r="Y126" s="79" t="str">
        <f>IF(AND(OR(N126="131",O126="131"),H126='131-CT'!$H$9),"x","")</f>
        <v/>
      </c>
      <c r="Z126" s="79"/>
      <c r="AA126" s="79" t="str">
        <f>IF(AND(MONTH(E126)='IN-NX'!$J$5,'IN-NX'!$D$7=D126),"x","")</f>
        <v/>
      </c>
      <c r="AB126" s="79" t="str">
        <f>IF(AND(OR(LEFT(TH!N126,2)="15",LEFT(TH!O126,2)="15"),LEFT(TH!O126,3)&lt;&gt;"111",'152-CT'!$J$8=TH!F126),"x","")</f>
        <v/>
      </c>
      <c r="AC126" s="79" t="str">
        <f>IF(AND(OR(LEFT(TH!N126,2)="15",LEFT(TH!O126,2)="15"),TK!$E$7=TH!F126),"x","")</f>
        <v/>
      </c>
      <c r="AD126" s="79" t="str">
        <f>IF(AND(N126="1521",MONTH(C126)='BK-NL'!$M$11),"x","")</f>
        <v/>
      </c>
    </row>
    <row r="127" spans="1:30" ht="16.5" customHeight="1">
      <c r="A127" s="318" t="str">
        <f>IF(B127&lt;&gt;"",IF(AND(B127='IN-TC'!$S$4,OR(TH!N127="1111",TH!O127="1111")),TH!D127,""),"")</f>
        <v/>
      </c>
      <c r="B127" s="1288">
        <f t="shared" si="10"/>
        <v>5</v>
      </c>
      <c r="C127" s="682">
        <v>43251</v>
      </c>
      <c r="D127" s="682" t="s">
        <v>532</v>
      </c>
      <c r="E127" s="682">
        <f t="shared" si="13"/>
        <v>43251</v>
      </c>
      <c r="F127" s="943" t="s">
        <v>725</v>
      </c>
      <c r="G127" s="259"/>
      <c r="H127" s="303"/>
      <c r="I127" s="385"/>
      <c r="J127" s="392"/>
      <c r="K127" s="385"/>
      <c r="L127" s="392"/>
      <c r="M127" s="686">
        <f>G125*$G126</f>
        <v>0</v>
      </c>
      <c r="N127" s="688" t="s">
        <v>541</v>
      </c>
      <c r="O127" s="689" t="s">
        <v>542</v>
      </c>
      <c r="P127" s="79" t="str">
        <f>IF(AND('331-CT'!$E$7=TH!H127,OR(N127="331",O127="331")),"x","")</f>
        <v/>
      </c>
      <c r="Q127" s="79" t="str">
        <f>IF(AND(B127='111'!$L$11,OR($N127=$Q$7,$O127=$Q$7)),"x","")</f>
        <v/>
      </c>
      <c r="R127" s="79" t="str">
        <f>IF(AND($N127=$Q$7,$B127&lt;'111'!$L$11),"x","")</f>
        <v/>
      </c>
      <c r="S127" s="79" t="str">
        <f>IF(AND($O127=$Q$7,$B127&lt;'111'!$L$11),"x","")</f>
        <v/>
      </c>
      <c r="T127" s="79" t="str">
        <f>IF(ISERROR(FIND('112'!$M$9,G127,1)),"",IF((AND(FIND('112'!$M$9,G127,1)&gt;=1,B127='112'!$K$9,OR($N127='112'!$I$6,$O127='112'!$I$6))),"x",""))</f>
        <v/>
      </c>
      <c r="U127" s="79" t="str">
        <f>IF(ISERROR(FIND('112'!$M$9,G127,1)),"",IF((AND(LEFT(G127,2)=LEFT('112'!$M$9,2),B127&lt;'112'!$K$9,$N127='112'!$I$6)),"x",""))</f>
        <v/>
      </c>
      <c r="V127" s="79" t="str">
        <f>IF(ISERROR(FIND('112'!$M$9,G127,1)),"",IF((AND(RIGHT(G127,2)=RIGHT('112'!$M$9,2),B127&lt;'112'!$K$9,$O127='112'!$I$6)),"x",""))</f>
        <v/>
      </c>
      <c r="W127" s="79" t="str">
        <f>IF(AND('341-CT'!$H$9=H127,OR(LEFT(N127,3)=$W$7,LEFT(O127,3)=$W$7)),"x","")</f>
        <v/>
      </c>
      <c r="X127" s="79" t="str">
        <f>IF(OR(TH!N127=TH!$X$7,O127=TH!$X$7),"x","")</f>
        <v/>
      </c>
      <c r="Y127" s="79" t="str">
        <f>IF(AND(OR(N127="131",O127="131"),H127='131-CT'!$H$9),"x","")</f>
        <v/>
      </c>
      <c r="Z127" s="79"/>
      <c r="AA127" s="79" t="str">
        <f>IF(AND(MONTH(E127)='IN-NX'!$J$5,'IN-NX'!$D$7=D127),"x","")</f>
        <v/>
      </c>
      <c r="AB127" s="79" t="str">
        <f>IF(AND(OR(LEFT(TH!N127,2)="15",LEFT(TH!O127,2)="15"),LEFT(TH!O127,3)&lt;&gt;"111",'152-CT'!$J$8=TH!F127),"x","")</f>
        <v/>
      </c>
      <c r="AC127" s="79" t="str">
        <f>IF(AND(OR(LEFT(TH!N127,2)="15",LEFT(TH!O127,2)="15"),TK!$E$7=TH!F127),"x","")</f>
        <v/>
      </c>
      <c r="AD127" s="79" t="str">
        <f>IF(AND(N127="1521",MONTH(C127)='BK-NL'!$M$11),"x","")</f>
        <v/>
      </c>
    </row>
    <row r="128" spans="1:30" ht="16.5" customHeight="1">
      <c r="A128" s="318" t="str">
        <f>IF(B128&lt;&gt;"",IF(AND(B128='IN-TC'!$S$4,OR(TH!N128="1111",TH!O128="1111")),TH!D128,""),"")</f>
        <v/>
      </c>
      <c r="B128" s="1288">
        <f t="shared" si="10"/>
        <v>5</v>
      </c>
      <c r="C128" s="682">
        <v>43251</v>
      </c>
      <c r="D128" s="682" t="s">
        <v>532</v>
      </c>
      <c r="E128" s="682">
        <f t="shared" si="13"/>
        <v>43251</v>
      </c>
      <c r="F128" s="943" t="s">
        <v>726</v>
      </c>
      <c r="G128" s="763" t="s">
        <v>957</v>
      </c>
      <c r="H128" s="303"/>
      <c r="I128" s="385"/>
      <c r="J128" s="392"/>
      <c r="K128" s="385"/>
      <c r="L128" s="392"/>
      <c r="M128" s="686">
        <f>G124*$G128</f>
        <v>0</v>
      </c>
      <c r="N128" s="687" t="s">
        <v>540</v>
      </c>
      <c r="O128" s="687" t="s">
        <v>542</v>
      </c>
      <c r="P128" s="79" t="str">
        <f>IF(AND('331-CT'!$E$7=TH!H128,OR(N128="331",O128="331")),"x","")</f>
        <v/>
      </c>
      <c r="Q128" s="79" t="str">
        <f>IF(AND(B128='111'!$L$11,OR($N128=$Q$7,$O128=$Q$7)),"x","")</f>
        <v/>
      </c>
      <c r="R128" s="79" t="str">
        <f>IF(AND($N128=$Q$7,$B128&lt;'111'!$L$11),"x","")</f>
        <v/>
      </c>
      <c r="S128" s="79" t="str">
        <f>IF(AND($O128=$Q$7,$B128&lt;'111'!$L$11),"x","")</f>
        <v/>
      </c>
      <c r="T128" s="79" t="str">
        <f>IF(ISERROR(FIND('112'!$M$9,G128,1)),"",IF((AND(FIND('112'!$M$9,G128,1)&gt;=1,B128='112'!$K$9,OR($N128='112'!$I$6,$O128='112'!$I$6))),"x",""))</f>
        <v/>
      </c>
      <c r="U128" s="79" t="str">
        <f>IF(ISERROR(FIND('112'!$M$9,G128,1)),"",IF((AND(LEFT(G128,2)=LEFT('112'!$M$9,2),B128&lt;'112'!$K$9,$N128='112'!$I$6)),"x",""))</f>
        <v/>
      </c>
      <c r="V128" s="79" t="str">
        <f>IF(ISERROR(FIND('112'!$M$9,G128,1)),"",IF((AND(RIGHT(G128,2)=RIGHT('112'!$M$9,2),B128&lt;'112'!$K$9,$O128='112'!$I$6)),"x",""))</f>
        <v/>
      </c>
      <c r="W128" s="79" t="str">
        <f>IF(AND('341-CT'!$H$9=H128,OR(LEFT(N128,3)=$W$7,LEFT(O128,3)=$W$7)),"x","")</f>
        <v/>
      </c>
      <c r="X128" s="79" t="str">
        <f>IF(OR(TH!N128=TH!$X$7,O128=TH!$X$7),"x","")</f>
        <v/>
      </c>
      <c r="Y128" s="79" t="str">
        <f>IF(AND(OR(N128="131",O128="131"),H128='131-CT'!$H$9),"x","")</f>
        <v/>
      </c>
      <c r="Z128" s="79"/>
      <c r="AA128" s="79" t="str">
        <f>IF(AND(MONTH(E128)='IN-NX'!$J$5,'IN-NX'!$D$7=D128),"x","")</f>
        <v/>
      </c>
      <c r="AB128" s="79" t="str">
        <f>IF(AND(OR(LEFT(TH!N128,2)="15",LEFT(TH!O128,2)="15"),LEFT(TH!O128,3)&lt;&gt;"111",'152-CT'!$J$8=TH!F128),"x","")</f>
        <v/>
      </c>
      <c r="AC128" s="79" t="str">
        <f>IF(AND(OR(LEFT(TH!N128,2)="15",LEFT(TH!O128,2)="15"),TK!$E$7=TH!F128),"x","")</f>
        <v/>
      </c>
      <c r="AD128" s="79" t="str">
        <f>IF(AND(N128="1521",MONTH(C128)='BK-NL'!$M$11),"x","")</f>
        <v/>
      </c>
    </row>
    <row r="129" spans="1:30" ht="16.5" customHeight="1">
      <c r="A129" s="318" t="str">
        <f>IF(B129&lt;&gt;"",IF(AND(B129='IN-TC'!$S$4,OR(TH!N129="1111",TH!O129="1111")),TH!D129,""),"")</f>
        <v/>
      </c>
      <c r="B129" s="1288">
        <f t="shared" si="10"/>
        <v>5</v>
      </c>
      <c r="C129" s="682">
        <v>43251</v>
      </c>
      <c r="D129" s="682" t="s">
        <v>532</v>
      </c>
      <c r="E129" s="682">
        <f t="shared" si="13"/>
        <v>43251</v>
      </c>
      <c r="F129" s="943" t="s">
        <v>727</v>
      </c>
      <c r="G129" s="259"/>
      <c r="H129" s="303"/>
      <c r="I129" s="385"/>
      <c r="J129" s="392"/>
      <c r="K129" s="385"/>
      <c r="L129" s="392"/>
      <c r="M129" s="686">
        <f>G125*$G128</f>
        <v>0</v>
      </c>
      <c r="N129" s="687" t="s">
        <v>272</v>
      </c>
      <c r="O129" s="687" t="s">
        <v>542</v>
      </c>
      <c r="P129" s="79" t="str">
        <f>IF(AND('331-CT'!$E$7=TH!H129,OR(N129="331",O129="331")),"x","")</f>
        <v/>
      </c>
      <c r="Q129" s="79" t="str">
        <f>IF(AND(B129='111'!$L$11,OR($N129=$Q$7,$O129=$Q$7)),"x","")</f>
        <v/>
      </c>
      <c r="R129" s="79" t="str">
        <f>IF(AND($N129=$Q$7,$B129&lt;'111'!$L$11),"x","")</f>
        <v/>
      </c>
      <c r="S129" s="79" t="str">
        <f>IF(AND($O129=$Q$7,$B129&lt;'111'!$L$11),"x","")</f>
        <v/>
      </c>
      <c r="T129" s="79" t="str">
        <f>IF(ISERROR(FIND('112'!$M$9,G129,1)),"",IF((AND(FIND('112'!$M$9,G129,1)&gt;=1,B129='112'!$K$9,OR($N129='112'!$I$6,$O129='112'!$I$6))),"x",""))</f>
        <v/>
      </c>
      <c r="U129" s="79" t="str">
        <f>IF(ISERROR(FIND('112'!$M$9,G129,1)),"",IF((AND(LEFT(G129,2)=LEFT('112'!$M$9,2),B129&lt;'112'!$K$9,$N129='112'!$I$6)),"x",""))</f>
        <v/>
      </c>
      <c r="V129" s="79" t="str">
        <f>IF(ISERROR(FIND('112'!$M$9,G129,1)),"",IF((AND(RIGHT(G129,2)=RIGHT('112'!$M$9,2),B129&lt;'112'!$K$9,$O129='112'!$I$6)),"x",""))</f>
        <v/>
      </c>
      <c r="W129" s="79" t="str">
        <f>IF(AND('341-CT'!$H$9=H129,OR(LEFT(N129,3)=$W$7,LEFT(O129,3)=$W$7)),"x","")</f>
        <v/>
      </c>
      <c r="X129" s="79" t="str">
        <f>IF(OR(TH!N129=TH!$X$7,O129=TH!$X$7),"x","")</f>
        <v/>
      </c>
      <c r="Y129" s="79" t="str">
        <f>IF(AND(OR(N129="131",O129="131"),H129='131-CT'!$H$9),"x","")</f>
        <v/>
      </c>
      <c r="Z129" s="79"/>
      <c r="AA129" s="79" t="str">
        <f>IF(AND(MONTH(E129)='IN-NX'!$J$5,'IN-NX'!$D$7=D129),"x","")</f>
        <v/>
      </c>
      <c r="AB129" s="79" t="str">
        <f>IF(AND(OR(LEFT(TH!N129,2)="15",LEFT(TH!O129,2)="15"),LEFT(TH!O129,3)&lt;&gt;"111",'152-CT'!$J$8=TH!F129),"x","")</f>
        <v/>
      </c>
      <c r="AC129" s="79" t="str">
        <f>IF(AND(OR(LEFT(TH!N129,2)="15",LEFT(TH!O129,2)="15"),TK!$E$7=TH!F129),"x","")</f>
        <v/>
      </c>
      <c r="AD129" s="79" t="str">
        <f>IF(AND(N129="1521",MONTH(C129)='BK-NL'!$M$11),"x","")</f>
        <v/>
      </c>
    </row>
    <row r="130" spans="1:30" ht="16.5" customHeight="1">
      <c r="A130" s="318" t="str">
        <f>IF(B130&lt;&gt;"",IF(AND(B130='IN-TC'!$S$4,OR(TH!N130="1111",TH!O130="1111")),TH!D130,""),"")</f>
        <v/>
      </c>
      <c r="B130" s="1288">
        <f t="shared" si="10"/>
        <v>5</v>
      </c>
      <c r="C130" s="682">
        <v>43251</v>
      </c>
      <c r="D130" s="682" t="s">
        <v>532</v>
      </c>
      <c r="E130" s="682">
        <f t="shared" si="13"/>
        <v>43251</v>
      </c>
      <c r="F130" s="943" t="s">
        <v>728</v>
      </c>
      <c r="G130" s="763" t="s">
        <v>534</v>
      </c>
      <c r="H130" s="305"/>
      <c r="I130" s="383"/>
      <c r="J130" s="390"/>
      <c r="K130" s="383"/>
      <c r="L130" s="390"/>
      <c r="M130" s="686">
        <f>ROUND(G124*$G130,0)</f>
        <v>0</v>
      </c>
      <c r="N130" s="687" t="s">
        <v>541</v>
      </c>
      <c r="O130" s="687" t="s">
        <v>543</v>
      </c>
      <c r="P130" s="79" t="str">
        <f>IF(AND('331-CT'!$E$7=TH!H130,OR(N130="331",O130="331")),"x","")</f>
        <v/>
      </c>
      <c r="Q130" s="79" t="str">
        <f>IF(AND(B130='111'!$L$11,OR($N130=$Q$7,$O130=$Q$7)),"x","")</f>
        <v/>
      </c>
      <c r="R130" s="79" t="str">
        <f>IF(AND($N130=$Q$7,$B130&lt;'111'!$L$11),"x","")</f>
        <v/>
      </c>
      <c r="S130" s="79" t="str">
        <f>IF(AND($O130=$Q$7,$B130&lt;'111'!$L$11),"x","")</f>
        <v/>
      </c>
      <c r="T130" s="79" t="str">
        <f>IF(ISERROR(FIND('112'!$M$9,G130,1)),"",IF((AND(FIND('112'!$M$9,G130,1)&gt;=1,B130='112'!$K$9,OR($N130='112'!$I$6,$O130='112'!$I$6))),"x",""))</f>
        <v/>
      </c>
      <c r="U130" s="79" t="str">
        <f>IF(ISERROR(FIND('112'!$M$9,G130,1)),"",IF((AND(LEFT(G130,2)=LEFT('112'!$M$9,2),B130&lt;'112'!$K$9,$N130='112'!$I$6)),"x",""))</f>
        <v/>
      </c>
      <c r="V130" s="79" t="str">
        <f>IF(ISERROR(FIND('112'!$M$9,G130,1)),"",IF((AND(RIGHT(G130,2)=RIGHT('112'!$M$9,2),B130&lt;'112'!$K$9,$O130='112'!$I$6)),"x",""))</f>
        <v/>
      </c>
      <c r="W130" s="79" t="str">
        <f>IF(AND('341-CT'!$H$9=H130,OR(LEFT(N130,3)=$W$7,LEFT(O130,3)=$W$7)),"x","")</f>
        <v/>
      </c>
      <c r="X130" s="79" t="str">
        <f>IF(OR(TH!N130=TH!$X$7,O130=TH!$X$7),"x","")</f>
        <v/>
      </c>
      <c r="Y130" s="79" t="str">
        <f>IF(AND(OR(N130="131",O130="131"),H130='131-CT'!$H$9),"x","")</f>
        <v/>
      </c>
      <c r="Z130" s="79"/>
      <c r="AA130" s="79" t="str">
        <f>IF(AND(MONTH(E130)='IN-NX'!$J$5,'IN-NX'!$D$7=D130),"x","")</f>
        <v/>
      </c>
      <c r="AB130" s="79" t="str">
        <f>IF(AND(OR(LEFT(TH!N130,2)="15",LEFT(TH!O130,2)="15"),LEFT(TH!O130,3)&lt;&gt;"111",'152-CT'!$J$8=TH!F130),"x","")</f>
        <v/>
      </c>
      <c r="AC130" s="79" t="str">
        <f>IF(AND(OR(LEFT(TH!N130,2)="15",LEFT(TH!O130,2)="15"),TK!$E$7=TH!F130),"x","")</f>
        <v/>
      </c>
      <c r="AD130" s="79" t="str">
        <f>IF(AND(N130="1521",MONTH(C130)='BK-NL'!$M$11),"x","")</f>
        <v/>
      </c>
    </row>
    <row r="131" spans="1:30" ht="16.5" customHeight="1">
      <c r="A131" s="318" t="str">
        <f>IF(B131&lt;&gt;"",IF(AND(B131='IN-TC'!$S$4,OR(TH!N131="1111",TH!O131="1111")),TH!D131,""),"")</f>
        <v/>
      </c>
      <c r="B131" s="1288">
        <f t="shared" si="10"/>
        <v>5</v>
      </c>
      <c r="C131" s="682">
        <v>43251</v>
      </c>
      <c r="D131" s="682" t="s">
        <v>532</v>
      </c>
      <c r="E131" s="682">
        <f t="shared" si="13"/>
        <v>43251</v>
      </c>
      <c r="F131" s="943" t="s">
        <v>729</v>
      </c>
      <c r="G131" s="259"/>
      <c r="H131" s="305"/>
      <c r="I131" s="383"/>
      <c r="J131" s="390"/>
      <c r="K131" s="383"/>
      <c r="L131" s="390"/>
      <c r="M131" s="686">
        <f>G125*$G130</f>
        <v>0</v>
      </c>
      <c r="N131" s="687" t="s">
        <v>541</v>
      </c>
      <c r="O131" s="687" t="s">
        <v>543</v>
      </c>
      <c r="P131" s="79" t="str">
        <f>IF(AND('331-CT'!$E$7=TH!H131,OR(N131="331",O131="331")),"x","")</f>
        <v/>
      </c>
      <c r="Q131" s="79" t="str">
        <f>IF(AND(B131='111'!$L$11,OR($N131=$Q$7,$O131=$Q$7)),"x","")</f>
        <v/>
      </c>
      <c r="R131" s="79" t="str">
        <f>IF(AND($N131=$Q$7,$B131&lt;'111'!$L$11),"x","")</f>
        <v/>
      </c>
      <c r="S131" s="79" t="str">
        <f>IF(AND($O131=$Q$7,$B131&lt;'111'!$L$11),"x","")</f>
        <v/>
      </c>
      <c r="T131" s="79" t="str">
        <f>IF(ISERROR(FIND('112'!$M$9,G131,1)),"",IF((AND(FIND('112'!$M$9,G131,1)&gt;=1,B131='112'!$K$9,OR($N131='112'!$I$6,$O131='112'!$I$6))),"x",""))</f>
        <v/>
      </c>
      <c r="U131" s="79" t="str">
        <f>IF(ISERROR(FIND('112'!$M$9,G131,1)),"",IF((AND(LEFT(G131,2)=LEFT('112'!$M$9,2),B131&lt;'112'!$K$9,$N131='112'!$I$6)),"x",""))</f>
        <v/>
      </c>
      <c r="V131" s="79" t="str">
        <f>IF(ISERROR(FIND('112'!$M$9,G131,1)),"",IF((AND(RIGHT(G131,2)=RIGHT('112'!$M$9,2),B131&lt;'112'!$K$9,$O131='112'!$I$6)),"x",""))</f>
        <v/>
      </c>
      <c r="W131" s="79" t="str">
        <f>IF(AND('341-CT'!$H$9=H131,OR(LEFT(N131,3)=$W$7,LEFT(O131,3)=$W$7)),"x","")</f>
        <v/>
      </c>
      <c r="X131" s="79" t="str">
        <f>IF(OR(TH!N131=TH!$X$7,O131=TH!$X$7),"x","")</f>
        <v/>
      </c>
      <c r="Y131" s="79" t="str">
        <f>IF(AND(OR(N131="131",O131="131"),H131='131-CT'!$H$9),"x","")</f>
        <v/>
      </c>
      <c r="Z131" s="79"/>
      <c r="AA131" s="79" t="str">
        <f>IF(AND(MONTH(E131)='IN-NX'!$J$5,'IN-NX'!$D$7=D131),"x","")</f>
        <v/>
      </c>
      <c r="AB131" s="79" t="str">
        <f>IF(AND(OR(LEFT(TH!N131,2)="15",LEFT(TH!O131,2)="15"),LEFT(TH!O131,3)&lt;&gt;"111",'152-CT'!$J$8=TH!F131),"x","")</f>
        <v/>
      </c>
      <c r="AC131" s="79" t="str">
        <f>IF(AND(OR(LEFT(TH!N131,2)="15",LEFT(TH!O131,2)="15"),TK!$E$7=TH!F131),"x","")</f>
        <v/>
      </c>
      <c r="AD131" s="79" t="str">
        <f>IF(AND(N131="1521",MONTH(C131)='BK-NL'!$M$11),"x","")</f>
        <v/>
      </c>
    </row>
    <row r="132" spans="1:30" ht="16.5" customHeight="1">
      <c r="A132" s="318" t="str">
        <f>IF(B132&lt;&gt;"",IF(AND(B132='IN-TC'!$S$4,OR(TH!N132="1111",TH!O132="1111")),TH!D132,""),"")</f>
        <v/>
      </c>
      <c r="B132" s="1288">
        <f t="shared" si="10"/>
        <v>5</v>
      </c>
      <c r="C132" s="682">
        <v>43251</v>
      </c>
      <c r="D132" s="682" t="s">
        <v>532</v>
      </c>
      <c r="E132" s="682">
        <f t="shared" si="13"/>
        <v>43251</v>
      </c>
      <c r="F132" s="943" t="s">
        <v>730</v>
      </c>
      <c r="G132" s="763" t="s">
        <v>535</v>
      </c>
      <c r="H132" s="303"/>
      <c r="I132" s="385"/>
      <c r="J132" s="392"/>
      <c r="K132" s="385"/>
      <c r="L132" s="392"/>
      <c r="M132" s="686">
        <f>G124*$G132</f>
        <v>0</v>
      </c>
      <c r="N132" s="687" t="s">
        <v>540</v>
      </c>
      <c r="O132" s="687" t="s">
        <v>543</v>
      </c>
      <c r="P132" s="79" t="str">
        <f>IF(AND('331-CT'!$E$7=TH!H132,OR(N132="331",O132="331")),"x","")</f>
        <v/>
      </c>
      <c r="Q132" s="79" t="str">
        <f>IF(AND(B132='111'!$L$11,OR($N132=$Q$7,$O132=$Q$7)),"x","")</f>
        <v/>
      </c>
      <c r="R132" s="79" t="str">
        <f>IF(AND($N132=$Q$7,$B132&lt;'111'!$L$11),"x","")</f>
        <v/>
      </c>
      <c r="S132" s="79" t="str">
        <f>IF(AND($O132=$Q$7,$B132&lt;'111'!$L$11),"x","")</f>
        <v/>
      </c>
      <c r="T132" s="79" t="str">
        <f>IF(ISERROR(FIND('112'!$M$9,G132,1)),"",IF((AND(FIND('112'!$M$9,G132,1)&gt;=1,B132='112'!$K$9,OR($N132='112'!$I$6,$O132='112'!$I$6))),"x",""))</f>
        <v/>
      </c>
      <c r="U132" s="79" t="str">
        <f>IF(ISERROR(FIND('112'!$M$9,G132,1)),"",IF((AND(LEFT(G132,2)=LEFT('112'!$M$9,2),B132&lt;'112'!$K$9,$N132='112'!$I$6)),"x",""))</f>
        <v/>
      </c>
      <c r="V132" s="79" t="str">
        <f>IF(ISERROR(FIND('112'!$M$9,G132,1)),"",IF((AND(RIGHT(G132,2)=RIGHT('112'!$M$9,2),B132&lt;'112'!$K$9,$O132='112'!$I$6)),"x",""))</f>
        <v/>
      </c>
      <c r="W132" s="79" t="str">
        <f>IF(AND('341-CT'!$H$9=H132,OR(LEFT(N132,3)=$W$7,LEFT(O132,3)=$W$7)),"x","")</f>
        <v/>
      </c>
      <c r="X132" s="79" t="str">
        <f>IF(OR(TH!N132=TH!$X$7,O132=TH!$X$7),"x","")</f>
        <v/>
      </c>
      <c r="Y132" s="79" t="str">
        <f>IF(AND(OR(N132="131",O132="131"),H132='131-CT'!$H$9),"x","")</f>
        <v/>
      </c>
      <c r="Z132" s="79"/>
      <c r="AA132" s="79" t="str">
        <f>IF(AND(MONTH(E132)='IN-NX'!$J$5,'IN-NX'!$D$7=D132),"x","")</f>
        <v/>
      </c>
      <c r="AB132" s="79" t="str">
        <f>IF(AND(OR(LEFT(TH!N132,2)="15",LEFT(TH!O132,2)="15"),LEFT(TH!O132,3)&lt;&gt;"111",'152-CT'!$J$8=TH!F132),"x","")</f>
        <v/>
      </c>
      <c r="AC132" s="79" t="str">
        <f>IF(AND(OR(LEFT(TH!N132,2)="15",LEFT(TH!O132,2)="15"),TK!$E$7=TH!F132),"x","")</f>
        <v/>
      </c>
      <c r="AD132" s="79" t="str">
        <f>IF(AND(N132="1521",MONTH(C132)='BK-NL'!$M$11),"x","")</f>
        <v/>
      </c>
    </row>
    <row r="133" spans="1:30" ht="16.5" customHeight="1">
      <c r="A133" s="318" t="str">
        <f>IF(B133&lt;&gt;"",IF(AND(B133='IN-TC'!$S$4,OR(TH!N133="1111",TH!O133="1111")),TH!D133,""),"")</f>
        <v/>
      </c>
      <c r="B133" s="1288">
        <f t="shared" si="10"/>
        <v>5</v>
      </c>
      <c r="C133" s="682">
        <v>43251</v>
      </c>
      <c r="D133" s="682" t="s">
        <v>532</v>
      </c>
      <c r="E133" s="682">
        <f t="shared" si="13"/>
        <v>43251</v>
      </c>
      <c r="F133" s="943" t="s">
        <v>731</v>
      </c>
      <c r="G133" s="259"/>
      <c r="H133" s="303"/>
      <c r="I133" s="385"/>
      <c r="J133" s="392"/>
      <c r="K133" s="385"/>
      <c r="L133" s="392"/>
      <c r="M133" s="686">
        <f>G125*$G132</f>
        <v>0</v>
      </c>
      <c r="N133" s="687" t="s">
        <v>272</v>
      </c>
      <c r="O133" s="687" t="s">
        <v>543</v>
      </c>
      <c r="P133" s="79" t="str">
        <f>IF(AND('331-CT'!$E$7=TH!H133,OR(N133="331",O133="331")),"x","")</f>
        <v/>
      </c>
      <c r="Q133" s="79" t="str">
        <f>IF(AND(B133='111'!$L$11,OR($N133=$Q$7,$O133=$Q$7)),"x","")</f>
        <v/>
      </c>
      <c r="R133" s="79" t="str">
        <f>IF(AND($N133=$Q$7,$B133&lt;'111'!$L$11),"x","")</f>
        <v/>
      </c>
      <c r="S133" s="79" t="str">
        <f>IF(AND($O133=$Q$7,$B133&lt;'111'!$L$11),"x","")</f>
        <v/>
      </c>
      <c r="T133" s="79" t="str">
        <f>IF(ISERROR(FIND('112'!$M$9,G133,1)),"",IF((AND(FIND('112'!$M$9,G133,1)&gt;=1,B133='112'!$K$9,OR($N133='112'!$I$6,$O133='112'!$I$6))),"x",""))</f>
        <v/>
      </c>
      <c r="U133" s="79" t="str">
        <f>IF(ISERROR(FIND('112'!$M$9,G133,1)),"",IF((AND(LEFT(G133,2)=LEFT('112'!$M$9,2),B133&lt;'112'!$K$9,$N133='112'!$I$6)),"x",""))</f>
        <v/>
      </c>
      <c r="V133" s="79" t="str">
        <f>IF(ISERROR(FIND('112'!$M$9,G133,1)),"",IF((AND(RIGHT(G133,2)=RIGHT('112'!$M$9,2),B133&lt;'112'!$K$9,$O133='112'!$I$6)),"x",""))</f>
        <v/>
      </c>
      <c r="W133" s="79" t="str">
        <f>IF(AND('341-CT'!$H$9=H133,OR(LEFT(N133,3)=$W$7,LEFT(O133,3)=$W$7)),"x","")</f>
        <v/>
      </c>
      <c r="X133" s="79" t="str">
        <f>IF(OR(TH!N133=TH!$X$7,O133=TH!$X$7),"x","")</f>
        <v/>
      </c>
      <c r="Y133" s="79" t="str">
        <f>IF(AND(OR(N133="131",O133="131"),H133='131-CT'!$H$9),"x","")</f>
        <v/>
      </c>
      <c r="Z133" s="79"/>
      <c r="AA133" s="79" t="str">
        <f>IF(AND(MONTH(E133)='IN-NX'!$J$5,'IN-NX'!$D$7=D133),"x","")</f>
        <v/>
      </c>
      <c r="AB133" s="79" t="str">
        <f>IF(AND(OR(LEFT(TH!N133,2)="15",LEFT(TH!O133,2)="15"),LEFT(TH!O133,3)&lt;&gt;"111",'152-CT'!$J$8=TH!F133),"x","")</f>
        <v/>
      </c>
      <c r="AC133" s="79" t="str">
        <f>IF(AND(OR(LEFT(TH!N133,2)="15",LEFT(TH!O133,2)="15"),TK!$E$7=TH!F133),"x","")</f>
        <v/>
      </c>
      <c r="AD133" s="79" t="str">
        <f>IF(AND(N133="1521",MONTH(C133)='BK-NL'!$M$11),"x","")</f>
        <v/>
      </c>
    </row>
    <row r="134" spans="1:30" ht="16.5" customHeight="1">
      <c r="A134" s="318" t="str">
        <f>IF(B134&lt;&gt;"",IF(AND(B134='IN-TC'!$S$4,OR(TH!N134="1111",TH!O134="1111")),TH!D134,""),"")</f>
        <v/>
      </c>
      <c r="B134" s="1288">
        <f t="shared" si="10"/>
        <v>5</v>
      </c>
      <c r="C134" s="682">
        <v>43251</v>
      </c>
      <c r="D134" s="682" t="s">
        <v>532</v>
      </c>
      <c r="E134" s="682">
        <f t="shared" si="13"/>
        <v>43251</v>
      </c>
      <c r="F134" s="943" t="s">
        <v>732</v>
      </c>
      <c r="G134" s="763" t="s">
        <v>536</v>
      </c>
      <c r="H134" s="303"/>
      <c r="I134" s="385"/>
      <c r="J134" s="392"/>
      <c r="K134" s="385"/>
      <c r="L134" s="392"/>
      <c r="M134" s="686">
        <f>G124*$G134</f>
        <v>0</v>
      </c>
      <c r="N134" s="687" t="s">
        <v>541</v>
      </c>
      <c r="O134" s="687" t="s">
        <v>544</v>
      </c>
      <c r="P134" s="79" t="str">
        <f>IF(AND('331-CT'!$E$7=TH!H134,OR(N134="331",O134="331")),"x","")</f>
        <v/>
      </c>
      <c r="Q134" s="79" t="str">
        <f>IF(AND(B134='111'!$L$11,OR($N134=$Q$7,$O134=$Q$7)),"x","")</f>
        <v/>
      </c>
      <c r="R134" s="79" t="str">
        <f>IF(AND($N134=$Q$7,$B134&lt;'111'!$L$11),"x","")</f>
        <v/>
      </c>
      <c r="S134" s="79" t="str">
        <f>IF(AND($O134=$Q$7,$B134&lt;'111'!$L$11),"x","")</f>
        <v/>
      </c>
      <c r="T134" s="79" t="str">
        <f>IF(ISERROR(FIND('112'!$M$9,G134,1)),"",IF((AND(FIND('112'!$M$9,G134,1)&gt;=1,B134='112'!$K$9,OR($N134='112'!$I$6,$O134='112'!$I$6))),"x",""))</f>
        <v/>
      </c>
      <c r="U134" s="79" t="str">
        <f>IF(ISERROR(FIND('112'!$M$9,G134,1)),"",IF((AND(LEFT(G134,2)=LEFT('112'!$M$9,2),B134&lt;'112'!$K$9,$N134='112'!$I$6)),"x",""))</f>
        <v/>
      </c>
      <c r="V134" s="79" t="str">
        <f>IF(ISERROR(FIND('112'!$M$9,G134,1)),"",IF((AND(RIGHT(G134,2)=RIGHT('112'!$M$9,2),B134&lt;'112'!$K$9,$O134='112'!$I$6)),"x",""))</f>
        <v/>
      </c>
      <c r="W134" s="79" t="str">
        <f>IF(AND('341-CT'!$H$9=H134,OR(LEFT(N134,3)=$W$7,LEFT(O134,3)=$W$7)),"x","")</f>
        <v/>
      </c>
      <c r="X134" s="79" t="str">
        <f>IF(OR(TH!N134=TH!$X$7,O134=TH!$X$7),"x","")</f>
        <v/>
      </c>
      <c r="Y134" s="79" t="str">
        <f>IF(AND(OR(N134="131",O134="131"),H134='131-CT'!$H$9),"x","")</f>
        <v/>
      </c>
      <c r="Z134" s="79"/>
      <c r="AA134" s="79" t="str">
        <f>IF(AND(MONTH(E134)='IN-NX'!$J$5,'IN-NX'!$D$7=D134),"x","")</f>
        <v/>
      </c>
      <c r="AB134" s="79" t="str">
        <f>IF(AND(OR(LEFT(TH!N134,2)="15",LEFT(TH!O134,2)="15"),LEFT(TH!O134,3)&lt;&gt;"111",'152-CT'!$J$8=TH!F134),"x","")</f>
        <v/>
      </c>
      <c r="AC134" s="79" t="str">
        <f>IF(AND(OR(LEFT(TH!N134,2)="15",LEFT(TH!O134,2)="15"),TK!$E$7=TH!F134),"x","")</f>
        <v/>
      </c>
      <c r="AD134" s="79" t="str">
        <f>IF(AND(N134="1521",MONTH(C134)='BK-NL'!$M$11),"x","")</f>
        <v/>
      </c>
    </row>
    <row r="135" spans="1:30" ht="16.5" customHeight="1">
      <c r="A135" s="318" t="str">
        <f>IF(B135&lt;&gt;"",IF(AND(B135='IN-TC'!$S$4,OR(TH!N135="1111",TH!O135="1111")),TH!D135,""),"")</f>
        <v/>
      </c>
      <c r="B135" s="1288">
        <f t="shared" si="10"/>
        <v>5</v>
      </c>
      <c r="C135" s="682">
        <v>43251</v>
      </c>
      <c r="D135" s="682" t="s">
        <v>532</v>
      </c>
      <c r="E135" s="682">
        <f t="shared" si="13"/>
        <v>43251</v>
      </c>
      <c r="F135" s="943" t="s">
        <v>733</v>
      </c>
      <c r="G135" s="259"/>
      <c r="H135" s="303"/>
      <c r="I135" s="385"/>
      <c r="J135" s="392"/>
      <c r="K135" s="385"/>
      <c r="L135" s="392"/>
      <c r="M135" s="686">
        <f>G125*$G134</f>
        <v>0</v>
      </c>
      <c r="N135" s="687" t="s">
        <v>541</v>
      </c>
      <c r="O135" s="687" t="s">
        <v>544</v>
      </c>
      <c r="P135" s="79" t="str">
        <f>IF(AND('331-CT'!$E$7=TH!H135,OR(N135="331",O135="331")),"x","")</f>
        <v/>
      </c>
      <c r="Q135" s="79" t="str">
        <f>IF(AND(B135='111'!$L$11,OR($N135=$Q$7,$O135=$Q$7)),"x","")</f>
        <v/>
      </c>
      <c r="R135" s="79" t="str">
        <f>IF(AND($N135=$Q$7,$B135&lt;'111'!$L$11),"x","")</f>
        <v/>
      </c>
      <c r="S135" s="79" t="str">
        <f>IF(AND($O135=$Q$7,$B135&lt;'111'!$L$11),"x","")</f>
        <v/>
      </c>
      <c r="T135" s="79" t="str">
        <f>IF(ISERROR(FIND('112'!$M$9,G135,1)),"",IF((AND(FIND('112'!$M$9,G135,1)&gt;=1,B135='112'!$K$9,OR($N135='112'!$I$6,$O135='112'!$I$6))),"x",""))</f>
        <v/>
      </c>
      <c r="U135" s="79" t="str">
        <f>IF(ISERROR(FIND('112'!$M$9,G135,1)),"",IF((AND(LEFT(G135,2)=LEFT('112'!$M$9,2),B135&lt;'112'!$K$9,$N135='112'!$I$6)),"x",""))</f>
        <v/>
      </c>
      <c r="V135" s="79" t="str">
        <f>IF(ISERROR(FIND('112'!$M$9,G135,1)),"",IF((AND(RIGHT(G135,2)=RIGHT('112'!$M$9,2),B135&lt;'112'!$K$9,$O135='112'!$I$6)),"x",""))</f>
        <v/>
      </c>
      <c r="W135" s="79" t="str">
        <f>IF(AND('341-CT'!$H$9=H135,OR(LEFT(N135,3)=$W$7,LEFT(O135,3)=$W$7)),"x","")</f>
        <v/>
      </c>
      <c r="X135" s="79" t="str">
        <f>IF(OR(TH!N135=TH!$X$7,O135=TH!$X$7),"x","")</f>
        <v/>
      </c>
      <c r="Y135" s="79" t="str">
        <f>IF(AND(OR(N135="131",O135="131"),H135='131-CT'!$H$9),"x","")</f>
        <v/>
      </c>
      <c r="Z135" s="79"/>
      <c r="AA135" s="79" t="str">
        <f>IF(AND(MONTH(E135)='IN-NX'!$J$5,'IN-NX'!$D$7=D135),"x","")</f>
        <v/>
      </c>
      <c r="AB135" s="79" t="str">
        <f>IF(AND(OR(LEFT(TH!N135,2)="15",LEFT(TH!O135,2)="15"),LEFT(TH!O135,3)&lt;&gt;"111",'152-CT'!$J$8=TH!F135),"x","")</f>
        <v/>
      </c>
      <c r="AC135" s="79" t="str">
        <f>IF(AND(OR(LEFT(TH!N135,2)="15",LEFT(TH!O135,2)="15"),TK!$E$7=TH!F135),"x","")</f>
        <v/>
      </c>
      <c r="AD135" s="79" t="str">
        <f>IF(AND(N135="1521",MONTH(C135)='BK-NL'!$M$11),"x","")</f>
        <v/>
      </c>
    </row>
    <row r="136" spans="1:30" ht="16.5" customHeight="1">
      <c r="A136" s="318" t="str">
        <f>IF(B136&lt;&gt;"",IF(AND(B136='IN-TC'!$S$4,OR(TH!N136="1111",TH!O136="1111")),TH!D136,""),"")</f>
        <v/>
      </c>
      <c r="B136" s="1288">
        <f t="shared" si="10"/>
        <v>5</v>
      </c>
      <c r="C136" s="682">
        <v>43251</v>
      </c>
      <c r="D136" s="682" t="s">
        <v>532</v>
      </c>
      <c r="E136" s="682">
        <f t="shared" si="13"/>
        <v>43251</v>
      </c>
      <c r="F136" s="943" t="s">
        <v>734</v>
      </c>
      <c r="G136" s="763" t="s">
        <v>536</v>
      </c>
      <c r="H136" s="901"/>
      <c r="I136" s="386"/>
      <c r="J136" s="393"/>
      <c r="K136" s="386"/>
      <c r="L136" s="393"/>
      <c r="M136" s="686">
        <f>M134</f>
        <v>0</v>
      </c>
      <c r="N136" s="687" t="s">
        <v>540</v>
      </c>
      <c r="O136" s="687" t="s">
        <v>544</v>
      </c>
      <c r="P136" s="79" t="str">
        <f>IF(AND('331-CT'!$E$7=TH!H136,OR(N136="331",O136="331")),"x","")</f>
        <v/>
      </c>
      <c r="Q136" s="79" t="str">
        <f>IF(AND(B136='111'!$L$11,OR($N136=$Q$7,$O136=$Q$7)),"x","")</f>
        <v/>
      </c>
      <c r="R136" s="79" t="str">
        <f>IF(AND($N136=$Q$7,$B136&lt;'111'!$L$11),"x","")</f>
        <v/>
      </c>
      <c r="S136" s="79" t="str">
        <f>IF(AND($O136=$Q$7,$B136&lt;'111'!$L$11),"x","")</f>
        <v/>
      </c>
      <c r="T136" s="79" t="str">
        <f>IF(ISERROR(FIND('112'!$M$9,G136,1)),"",IF((AND(FIND('112'!$M$9,G136,1)&gt;=1,B136='112'!$K$9,OR($N136='112'!$I$6,$O136='112'!$I$6))),"x",""))</f>
        <v/>
      </c>
      <c r="U136" s="79" t="str">
        <f>IF(ISERROR(FIND('112'!$M$9,G136,1)),"",IF((AND(LEFT(G136,2)=LEFT('112'!$M$9,2),B136&lt;'112'!$K$9,$N136='112'!$I$6)),"x",""))</f>
        <v/>
      </c>
      <c r="V136" s="79" t="str">
        <f>IF(ISERROR(FIND('112'!$M$9,G136,1)),"",IF((AND(RIGHT(G136,2)=RIGHT('112'!$M$9,2),B136&lt;'112'!$K$9,$O136='112'!$I$6)),"x",""))</f>
        <v/>
      </c>
      <c r="W136" s="79" t="str">
        <f>IF(AND('341-CT'!$H$9=H136,OR(LEFT(N136,3)=$W$7,LEFT(O136,3)=$W$7)),"x","")</f>
        <v/>
      </c>
      <c r="X136" s="79" t="str">
        <f>IF(OR(TH!N136=TH!$X$7,O136=TH!$X$7),"x","")</f>
        <v/>
      </c>
      <c r="Y136" s="79" t="str">
        <f>IF(AND(OR(N136="131",O136="131"),H136='131-CT'!$H$9),"x","")</f>
        <v/>
      </c>
      <c r="Z136" s="79"/>
      <c r="AA136" s="79" t="str">
        <f>IF(AND(MONTH(E136)='IN-NX'!$J$5,'IN-NX'!$D$7=D136),"x","")</f>
        <v/>
      </c>
      <c r="AB136" s="79" t="str">
        <f>IF(AND(OR(LEFT(TH!N136,2)="15",LEFT(TH!O136,2)="15"),LEFT(TH!O136,3)&lt;&gt;"111",'152-CT'!$J$8=TH!F136),"x","")</f>
        <v/>
      </c>
      <c r="AC136" s="79" t="str">
        <f>IF(AND(OR(LEFT(TH!N136,2)="15",LEFT(TH!O136,2)="15"),TK!$E$7=TH!F136),"x","")</f>
        <v/>
      </c>
      <c r="AD136" s="79" t="str">
        <f>IF(AND(N136="1521",MONTH(C136)='BK-NL'!$M$11),"x","")</f>
        <v/>
      </c>
    </row>
    <row r="137" spans="1:30" ht="16.5" customHeight="1">
      <c r="A137" s="318" t="str">
        <f>IF(B137&lt;&gt;"",IF(AND(B137='IN-TC'!$S$4,OR(TH!N137="1111",TH!O137="1111")),TH!D137,""),"")</f>
        <v/>
      </c>
      <c r="B137" s="1288">
        <f t="shared" si="10"/>
        <v>5</v>
      </c>
      <c r="C137" s="682">
        <v>43251</v>
      </c>
      <c r="D137" s="682" t="s">
        <v>532</v>
      </c>
      <c r="E137" s="682">
        <f t="shared" si="13"/>
        <v>43251</v>
      </c>
      <c r="F137" s="943" t="s">
        <v>735</v>
      </c>
      <c r="G137" s="259"/>
      <c r="H137" s="303"/>
      <c r="I137" s="385"/>
      <c r="J137" s="392"/>
      <c r="K137" s="385"/>
      <c r="L137" s="392"/>
      <c r="M137" s="686">
        <f>M135</f>
        <v>0</v>
      </c>
      <c r="N137" s="687" t="s">
        <v>272</v>
      </c>
      <c r="O137" s="687" t="s">
        <v>544</v>
      </c>
      <c r="P137" s="79" t="str">
        <f>IF(AND('331-CT'!$E$7=TH!H137,OR(N137="331",O137="331")),"x","")</f>
        <v/>
      </c>
      <c r="Q137" s="79" t="str">
        <f>IF(AND(B137='111'!$L$11,OR($N137=$Q$7,$O137=$Q$7)),"x","")</f>
        <v/>
      </c>
      <c r="R137" s="79" t="str">
        <f>IF(AND($N137=$Q$7,$B137&lt;'111'!$L$11),"x","")</f>
        <v/>
      </c>
      <c r="S137" s="79" t="str">
        <f>IF(AND($O137=$Q$7,$B137&lt;'111'!$L$11),"x","")</f>
        <v/>
      </c>
      <c r="T137" s="79" t="str">
        <f>IF(ISERROR(FIND('112'!$M$9,G137,1)),"",IF((AND(FIND('112'!$M$9,G137,1)&gt;=1,B137='112'!$K$9,OR($N137='112'!$I$6,$O137='112'!$I$6))),"x",""))</f>
        <v/>
      </c>
      <c r="U137" s="79" t="str">
        <f>IF(ISERROR(FIND('112'!$M$9,G137,1)),"",IF((AND(LEFT(G137,2)=LEFT('112'!$M$9,2),B137&lt;'112'!$K$9,$N137='112'!$I$6)),"x",""))</f>
        <v/>
      </c>
      <c r="V137" s="79" t="str">
        <f>IF(ISERROR(FIND('112'!$M$9,G137,1)),"",IF((AND(RIGHT(G137,2)=RIGHT('112'!$M$9,2),B137&lt;'112'!$K$9,$O137='112'!$I$6)),"x",""))</f>
        <v/>
      </c>
      <c r="W137" s="79" t="str">
        <f>IF(AND('341-CT'!$H$9=H137,OR(LEFT(N137,3)=$W$7,LEFT(O137,3)=$W$7)),"x","")</f>
        <v/>
      </c>
      <c r="X137" s="79" t="str">
        <f>IF(OR(TH!N137=TH!$X$7,O137=TH!$X$7),"x","")</f>
        <v/>
      </c>
      <c r="Y137" s="79" t="str">
        <f>IF(AND(OR(N137="131",O137="131"),H137='131-CT'!$H$9),"x","")</f>
        <v/>
      </c>
      <c r="Z137" s="79"/>
      <c r="AA137" s="79" t="str">
        <f>IF(AND(MONTH(E137)='IN-NX'!$J$5,'IN-NX'!$D$7=D137),"x","")</f>
        <v/>
      </c>
      <c r="AB137" s="79" t="str">
        <f>IF(AND(OR(LEFT(TH!N137,2)="15",LEFT(TH!O137,2)="15"),LEFT(TH!O137,3)&lt;&gt;"111",'152-CT'!$J$8=TH!F137),"x","")</f>
        <v/>
      </c>
      <c r="AC137" s="79" t="str">
        <f>IF(AND(OR(LEFT(TH!N137,2)="15",LEFT(TH!O137,2)="15"),TK!$E$7=TH!F137),"x","")</f>
        <v/>
      </c>
      <c r="AD137" s="79" t="str">
        <f>IF(AND(N137="1521",MONTH(C137)='BK-NL'!$M$11),"x","")</f>
        <v/>
      </c>
    </row>
    <row r="138" spans="1:30" ht="16.5" customHeight="1">
      <c r="A138" s="318" t="str">
        <f>IF(B138&lt;&gt;"",IF(AND(B138='IN-TC'!$S$4,OR(TH!N138="1111",TH!O138="1111")),TH!D138,""),"")</f>
        <v/>
      </c>
      <c r="B138" s="1288">
        <f t="shared" ref="B138:B139" si="18">IF(C138&lt;&gt;"",MONTH(C138),"")</f>
        <v>5</v>
      </c>
      <c r="C138" s="682">
        <v>43251</v>
      </c>
      <c r="D138" s="682" t="s">
        <v>532</v>
      </c>
      <c r="E138" s="682">
        <f t="shared" ref="E138:E139" si="19">C138</f>
        <v>43251</v>
      </c>
      <c r="F138" s="943" t="s">
        <v>954</v>
      </c>
      <c r="G138" s="763" t="s">
        <v>956</v>
      </c>
      <c r="H138" s="303"/>
      <c r="I138" s="385"/>
      <c r="J138" s="392"/>
      <c r="K138" s="385"/>
      <c r="L138" s="392"/>
      <c r="M138" s="686">
        <f>G124*$G138</f>
        <v>0</v>
      </c>
      <c r="N138" s="687" t="s">
        <v>540</v>
      </c>
      <c r="O138" s="687" t="s">
        <v>19</v>
      </c>
      <c r="P138" s="79" t="str">
        <f>IF(AND('331-CT'!$E$7=TH!H138,OR(N138="331",O138="331")),"x","")</f>
        <v/>
      </c>
      <c r="Q138" s="79" t="str">
        <f>IF(AND(B138='111'!$L$11,OR($N138=$Q$7,$O138=$Q$7)),"x","")</f>
        <v/>
      </c>
      <c r="R138" s="79" t="str">
        <f>IF(AND($N138=$Q$7,$B138&lt;'111'!$L$11),"x","")</f>
        <v/>
      </c>
      <c r="S138" s="79" t="str">
        <f>IF(AND($O138=$Q$7,$B138&lt;'111'!$L$11),"x","")</f>
        <v/>
      </c>
      <c r="T138" s="79" t="str">
        <f>IF(ISERROR(FIND('112'!$M$9,G138,1)),"",IF((AND(FIND('112'!$M$9,G138,1)&gt;=1,B138='112'!$K$9,OR($N138='112'!$I$6,$O138='112'!$I$6))),"x",""))</f>
        <v/>
      </c>
      <c r="U138" s="79" t="str">
        <f>IF(ISERROR(FIND('112'!$M$9,G138,1)),"",IF((AND(LEFT(G138,2)=LEFT('112'!$M$9,2),B138&lt;'112'!$K$9,$N138='112'!$I$6)),"x",""))</f>
        <v/>
      </c>
      <c r="V138" s="79" t="str">
        <f>IF(ISERROR(FIND('112'!$M$9,G138,1)),"",IF((AND(RIGHT(G138,2)=RIGHT('112'!$M$9,2),B138&lt;'112'!$K$9,$O138='112'!$I$6)),"x",""))</f>
        <v/>
      </c>
      <c r="W138" s="79" t="str">
        <f>IF(AND('341-CT'!$H$9=H138,OR(LEFT(N138,3)=$W$7,LEFT(O138,3)=$W$7)),"x","")</f>
        <v/>
      </c>
      <c r="X138" s="79" t="str">
        <f>IF(OR(TH!N138=TH!$X$7,O138=TH!$X$7),"x","")</f>
        <v/>
      </c>
      <c r="Y138" s="79" t="str">
        <f>IF(AND(OR(N138="131",O138="131"),H138='131-CT'!$H$9),"x","")</f>
        <v/>
      </c>
      <c r="Z138" s="79"/>
      <c r="AA138" s="79" t="str">
        <f>IF(AND(MONTH(E138)='IN-NX'!$J$5,'IN-NX'!$D$7=D138),"x","")</f>
        <v/>
      </c>
      <c r="AB138" s="79" t="str">
        <f>IF(AND(OR(LEFT(TH!N138,2)="15",LEFT(TH!O138,2)="15"),LEFT(TH!O138,3)&lt;&gt;"111",'152-CT'!$J$8=TH!F138),"x","")</f>
        <v/>
      </c>
      <c r="AC138" s="79" t="str">
        <f>IF(AND(OR(LEFT(TH!N138,2)="15",LEFT(TH!O138,2)="15"),TK!$E$7=TH!F138),"x","")</f>
        <v/>
      </c>
      <c r="AD138" s="79" t="str">
        <f>IF(AND(N138="1521",MONTH(C138)='BK-NL'!$M$11),"x","")</f>
        <v/>
      </c>
    </row>
    <row r="139" spans="1:30" ht="16.5" customHeight="1">
      <c r="A139" s="318" t="str">
        <f>IF(B139&lt;&gt;"",IF(AND(B139='IN-TC'!$S$4,OR(TH!N139="1111",TH!O139="1111")),TH!D139,""),"")</f>
        <v/>
      </c>
      <c r="B139" s="1288">
        <f t="shared" si="18"/>
        <v>5</v>
      </c>
      <c r="C139" s="682">
        <v>43251</v>
      </c>
      <c r="D139" s="682" t="s">
        <v>532</v>
      </c>
      <c r="E139" s="682">
        <f t="shared" si="19"/>
        <v>43251</v>
      </c>
      <c r="F139" s="943" t="s">
        <v>955</v>
      </c>
      <c r="G139" s="259"/>
      <c r="H139" s="303"/>
      <c r="I139" s="385"/>
      <c r="J139" s="392"/>
      <c r="K139" s="385"/>
      <c r="L139" s="392"/>
      <c r="M139" s="686">
        <f>G125*$G138</f>
        <v>0</v>
      </c>
      <c r="N139" s="687" t="s">
        <v>272</v>
      </c>
      <c r="O139" s="687" t="s">
        <v>19</v>
      </c>
      <c r="P139" s="79" t="str">
        <f>IF(AND('331-CT'!$E$7=TH!H139,OR(N139="331",O139="331")),"x","")</f>
        <v/>
      </c>
      <c r="Q139" s="79" t="str">
        <f>IF(AND(B139='111'!$L$11,OR($N139=$Q$7,$O139=$Q$7)),"x","")</f>
        <v/>
      </c>
      <c r="R139" s="79" t="str">
        <f>IF(AND($N139=$Q$7,$B139&lt;'111'!$L$11),"x","")</f>
        <v/>
      </c>
      <c r="S139" s="79" t="str">
        <f>IF(AND($O139=$Q$7,$B139&lt;'111'!$L$11),"x","")</f>
        <v/>
      </c>
      <c r="T139" s="79" t="str">
        <f>IF(ISERROR(FIND('112'!$M$9,G139,1)),"",IF((AND(FIND('112'!$M$9,G139,1)&gt;=1,B139='112'!$K$9,OR($N139='112'!$I$6,$O139='112'!$I$6))),"x",""))</f>
        <v/>
      </c>
      <c r="U139" s="79" t="str">
        <f>IF(ISERROR(FIND('112'!$M$9,G139,1)),"",IF((AND(LEFT(G139,2)=LEFT('112'!$M$9,2),B139&lt;'112'!$K$9,$N139='112'!$I$6)),"x",""))</f>
        <v/>
      </c>
      <c r="V139" s="79" t="str">
        <f>IF(ISERROR(FIND('112'!$M$9,G139,1)),"",IF((AND(RIGHT(G139,2)=RIGHT('112'!$M$9,2),B139&lt;'112'!$K$9,$O139='112'!$I$6)),"x",""))</f>
        <v/>
      </c>
      <c r="W139" s="79" t="str">
        <f>IF(AND('341-CT'!$H$9=H139,OR(LEFT(N139,3)=$W$7,LEFT(O139,3)=$W$7)),"x","")</f>
        <v/>
      </c>
      <c r="X139" s="79" t="str">
        <f>IF(OR(TH!N139=TH!$X$7,O139=TH!$X$7),"x","")</f>
        <v/>
      </c>
      <c r="Y139" s="79" t="str">
        <f>IF(AND(OR(N139="131",O139="131"),H139='131-CT'!$H$9),"x","")</f>
        <v/>
      </c>
      <c r="Z139" s="79"/>
      <c r="AA139" s="79" t="str">
        <f>IF(AND(MONTH(E139)='IN-NX'!$J$5,'IN-NX'!$D$7=D139),"x","")</f>
        <v/>
      </c>
      <c r="AB139" s="79" t="str">
        <f>IF(AND(OR(LEFT(TH!N139,2)="15",LEFT(TH!O139,2)="15"),LEFT(TH!O139,3)&lt;&gt;"111",'152-CT'!$J$8=TH!F139),"x","")</f>
        <v/>
      </c>
      <c r="AC139" s="79" t="str">
        <f>IF(AND(OR(LEFT(TH!N139,2)="15",LEFT(TH!O139,2)="15"),TK!$E$7=TH!F139),"x","")</f>
        <v/>
      </c>
      <c r="AD139" s="79" t="str">
        <f>IF(AND(N139="1521",MONTH(C139)='BK-NL'!$M$11),"x","")</f>
        <v/>
      </c>
    </row>
    <row r="140" spans="1:30" ht="16.5" customHeight="1">
      <c r="A140" s="318" t="str">
        <f>IF(B140&lt;&gt;"",IF(AND(B140='IN-TC'!$S$4,OR(TH!N140="1111",TH!O140="1111")),TH!D140,""),"")</f>
        <v/>
      </c>
      <c r="B140" s="1165">
        <f t="shared" si="10"/>
        <v>6</v>
      </c>
      <c r="C140" s="682">
        <v>43281</v>
      </c>
      <c r="D140" s="682" t="s">
        <v>532</v>
      </c>
      <c r="E140" s="682">
        <f t="shared" si="13"/>
        <v>43281</v>
      </c>
      <c r="F140" s="943" t="s">
        <v>722</v>
      </c>
      <c r="G140" s="259"/>
      <c r="H140" s="303"/>
      <c r="I140" s="385"/>
      <c r="J140" s="392"/>
      <c r="K140" s="385"/>
      <c r="L140" s="392"/>
      <c r="M140" s="686"/>
      <c r="N140" s="687" t="s">
        <v>540</v>
      </c>
      <c r="O140" s="687" t="s">
        <v>541</v>
      </c>
      <c r="P140" s="79" t="str">
        <f>IF(AND('331-CT'!$E$7=TH!H140,OR(N140="331",O140="331")),"x","")</f>
        <v/>
      </c>
      <c r="Q140" s="79" t="str">
        <f>IF(AND(B140='111'!$L$11,OR($N140=$Q$7,$O140=$Q$7)),"x","")</f>
        <v/>
      </c>
      <c r="R140" s="79" t="str">
        <f>IF(AND($N140=$Q$7,$B140&lt;'111'!$L$11),"x","")</f>
        <v/>
      </c>
      <c r="S140" s="79" t="str">
        <f>IF(AND($O140=$Q$7,$B140&lt;'111'!$L$11),"x","")</f>
        <v/>
      </c>
      <c r="T140" s="79" t="str">
        <f>IF(ISERROR(FIND('112'!$M$9,G140,1)),"",IF((AND(FIND('112'!$M$9,G140,1)&gt;=1,B140='112'!$K$9,OR($N140='112'!$I$6,$O140='112'!$I$6))),"x",""))</f>
        <v/>
      </c>
      <c r="U140" s="79" t="str">
        <f>IF(ISERROR(FIND('112'!$M$9,G140,1)),"",IF((AND(LEFT(G140,2)=LEFT('112'!$M$9,2),B140&lt;'112'!$K$9,$N140='112'!$I$6)),"x",""))</f>
        <v/>
      </c>
      <c r="V140" s="79" t="str">
        <f>IF(ISERROR(FIND('112'!$M$9,G140,1)),"",IF((AND(RIGHT(G140,2)=RIGHT('112'!$M$9,2),B140&lt;'112'!$K$9,$O140='112'!$I$6)),"x",""))</f>
        <v/>
      </c>
      <c r="W140" s="79" t="str">
        <f>IF(AND('341-CT'!$H$9=H140,OR(LEFT(N140,3)=$W$7,LEFT(O140,3)=$W$7)),"x","")</f>
        <v/>
      </c>
      <c r="X140" s="79" t="str">
        <f>IF(OR(TH!N140=TH!$X$7,O140=TH!$X$7),"x","")</f>
        <v/>
      </c>
      <c r="Y140" s="79" t="str">
        <f>IF(AND(OR(N140="131",O140="131"),H140='131-CT'!$H$9),"x","")</f>
        <v/>
      </c>
      <c r="Z140" s="79"/>
      <c r="AA140" s="79" t="str">
        <f>IF(AND(MONTH(E140)='IN-NX'!$J$5,'IN-NX'!$D$7=D140),"x","")</f>
        <v/>
      </c>
      <c r="AB140" s="79" t="str">
        <f>IF(AND(OR(LEFT(TH!N140,2)="15",LEFT(TH!O140,2)="15"),LEFT(TH!O140,3)&lt;&gt;"111",'152-CT'!$J$8=TH!F140),"x","")</f>
        <v/>
      </c>
      <c r="AC140" s="79" t="str">
        <f>IF(AND(OR(LEFT(TH!N140,2)="15",LEFT(TH!O140,2)="15"),TK!$E$7=TH!F140),"x","")</f>
        <v/>
      </c>
      <c r="AD140" s="79" t="str">
        <f>IF(AND(N140="1521",MONTH(C140)='BK-NL'!$M$11),"x","")</f>
        <v/>
      </c>
    </row>
    <row r="141" spans="1:30" ht="16.5" customHeight="1">
      <c r="A141" s="318" t="str">
        <f>IF(B141&lt;&gt;"",IF(AND(B141='IN-TC'!$S$4,OR(TH!N141="1111",TH!O141="1111")),TH!D141,""),"")</f>
        <v/>
      </c>
      <c r="B141" s="1165">
        <f t="shared" si="10"/>
        <v>6</v>
      </c>
      <c r="C141" s="682">
        <v>43281</v>
      </c>
      <c r="D141" s="682" t="s">
        <v>532</v>
      </c>
      <c r="E141" s="682">
        <f t="shared" si="13"/>
        <v>43281</v>
      </c>
      <c r="F141" s="943" t="s">
        <v>723</v>
      </c>
      <c r="G141" s="259"/>
      <c r="H141" s="303"/>
      <c r="I141" s="385"/>
      <c r="J141" s="392"/>
      <c r="K141" s="385"/>
      <c r="L141" s="392"/>
      <c r="M141" s="686"/>
      <c r="N141" s="687" t="s">
        <v>272</v>
      </c>
      <c r="O141" s="687" t="s">
        <v>541</v>
      </c>
      <c r="P141" s="79" t="str">
        <f>IF(AND('331-CT'!$E$7=TH!H141,OR(N141="331",O141="331")),"x","")</f>
        <v/>
      </c>
      <c r="Q141" s="79" t="str">
        <f>IF(AND(B141='111'!$L$11,OR($N141=$Q$7,$O141=$Q$7)),"x","")</f>
        <v/>
      </c>
      <c r="R141" s="79" t="str">
        <f>IF(AND($N141=$Q$7,$B141&lt;'111'!$L$11),"x","")</f>
        <v/>
      </c>
      <c r="S141" s="79" t="str">
        <f>IF(AND($O141=$Q$7,$B141&lt;'111'!$L$11),"x","")</f>
        <v/>
      </c>
      <c r="T141" s="79" t="str">
        <f>IF(ISERROR(FIND('112'!$M$9,G141,1)),"",IF((AND(FIND('112'!$M$9,G141,1)&gt;=1,B141='112'!$K$9,OR($N141='112'!$I$6,$O141='112'!$I$6))),"x",""))</f>
        <v/>
      </c>
      <c r="U141" s="79" t="str">
        <f>IF(ISERROR(FIND('112'!$M$9,G141,1)),"",IF((AND(LEFT(G141,2)=LEFT('112'!$M$9,2),B141&lt;'112'!$K$9,$N141='112'!$I$6)),"x",""))</f>
        <v/>
      </c>
      <c r="V141" s="79" t="str">
        <f>IF(ISERROR(FIND('112'!$M$9,G141,1)),"",IF((AND(RIGHT(G141,2)=RIGHT('112'!$M$9,2),B141&lt;'112'!$K$9,$O141='112'!$I$6)),"x",""))</f>
        <v/>
      </c>
      <c r="W141" s="79" t="str">
        <f>IF(AND('341-CT'!$H$9=H141,OR(LEFT(N141,3)=$W$7,LEFT(O141,3)=$W$7)),"x","")</f>
        <v/>
      </c>
      <c r="X141" s="79" t="str">
        <f>IF(OR(TH!N141=TH!$X$7,O141=TH!$X$7),"x","")</f>
        <v/>
      </c>
      <c r="Y141" s="79" t="str">
        <f>IF(AND(OR(N141="131",O141="131"),H141='131-CT'!$H$9),"x","")</f>
        <v/>
      </c>
      <c r="Z141" s="79"/>
      <c r="AA141" s="79" t="str">
        <f>IF(AND(MONTH(E141)='IN-NX'!$J$5,'IN-NX'!$D$7=D141),"x","")</f>
        <v/>
      </c>
      <c r="AB141" s="79" t="str">
        <f>IF(AND(OR(LEFT(TH!N141,2)="15",LEFT(TH!O141,2)="15"),LEFT(TH!O141,3)&lt;&gt;"111",'152-CT'!$J$8=TH!F141),"x","")</f>
        <v/>
      </c>
      <c r="AC141" s="79" t="str">
        <f>IF(AND(OR(LEFT(TH!N141,2)="15",LEFT(TH!O141,2)="15"),TK!$E$7=TH!F141),"x","")</f>
        <v/>
      </c>
      <c r="AD141" s="79" t="str">
        <f>IF(AND(N141="1521",MONTH(C141)='BK-NL'!$M$11),"x","")</f>
        <v/>
      </c>
    </row>
    <row r="142" spans="1:30" ht="16.5" customHeight="1">
      <c r="A142" s="318" t="str">
        <f>IF(B142&lt;&gt;"",IF(AND(B142='IN-TC'!$S$4,OR(TH!N142="1111",TH!O142="1111")),TH!D142,""),"")</f>
        <v/>
      </c>
      <c r="B142" s="1165">
        <f t="shared" si="10"/>
        <v>6</v>
      </c>
      <c r="C142" s="682">
        <v>43281</v>
      </c>
      <c r="D142" s="682" t="s">
        <v>532</v>
      </c>
      <c r="E142" s="682">
        <f t="shared" ref="E142:E177" si="20">C142</f>
        <v>43281</v>
      </c>
      <c r="F142" s="943" t="s">
        <v>724</v>
      </c>
      <c r="G142" s="763" t="s">
        <v>533</v>
      </c>
      <c r="H142" s="303"/>
      <c r="I142" s="385"/>
      <c r="J142" s="392"/>
      <c r="K142" s="385"/>
      <c r="L142" s="392"/>
      <c r="M142" s="686">
        <f>G140*$G142</f>
        <v>0</v>
      </c>
      <c r="N142" s="687" t="s">
        <v>541</v>
      </c>
      <c r="O142" s="687" t="s">
        <v>542</v>
      </c>
      <c r="P142" s="79" t="str">
        <f>IF(AND('331-CT'!$E$7=TH!H142,OR(N142="331",O142="331")),"x","")</f>
        <v/>
      </c>
      <c r="Q142" s="79" t="str">
        <f>IF(AND(B142='111'!$L$11,OR($N142=$Q$7,$O142=$Q$7)),"x","")</f>
        <v/>
      </c>
      <c r="R142" s="79" t="str">
        <f>IF(AND($N142=$Q$7,$B142&lt;'111'!$L$11),"x","")</f>
        <v/>
      </c>
      <c r="S142" s="79" t="str">
        <f>IF(AND($O142=$Q$7,$B142&lt;'111'!$L$11),"x","")</f>
        <v/>
      </c>
      <c r="T142" s="79" t="str">
        <f>IF(ISERROR(FIND('112'!$M$9,G142,1)),"",IF((AND(FIND('112'!$M$9,G142,1)&gt;=1,B142='112'!$K$9,OR($N142='112'!$I$6,$O142='112'!$I$6))),"x",""))</f>
        <v/>
      </c>
      <c r="U142" s="79" t="str">
        <f>IF(ISERROR(FIND('112'!$M$9,G142,1)),"",IF((AND(LEFT(G142,2)=LEFT('112'!$M$9,2),B142&lt;'112'!$K$9,$N142='112'!$I$6)),"x",""))</f>
        <v/>
      </c>
      <c r="V142" s="79" t="str">
        <f>IF(ISERROR(FIND('112'!$M$9,G142,1)),"",IF((AND(RIGHT(G142,2)=RIGHT('112'!$M$9,2),B142&lt;'112'!$K$9,$O142='112'!$I$6)),"x",""))</f>
        <v/>
      </c>
      <c r="W142" s="79" t="str">
        <f>IF(AND('341-CT'!$H$9=H142,OR(LEFT(N142,3)=$W$7,LEFT(O142,3)=$W$7)),"x","")</f>
        <v/>
      </c>
      <c r="X142" s="79" t="str">
        <f>IF(OR(TH!N142=TH!$X$7,O142=TH!$X$7),"x","")</f>
        <v/>
      </c>
      <c r="Y142" s="79" t="str">
        <f>IF(AND(OR(N142="131",O142="131"),H142='131-CT'!$H$9),"x","")</f>
        <v/>
      </c>
      <c r="Z142" s="79"/>
      <c r="AA142" s="79" t="str">
        <f>IF(AND(MONTH(E142)='IN-NX'!$J$5,'IN-NX'!$D$7=D142),"x","")</f>
        <v/>
      </c>
      <c r="AB142" s="79" t="str">
        <f>IF(AND(OR(LEFT(TH!N142,2)="15",LEFT(TH!O142,2)="15"),LEFT(TH!O142,3)&lt;&gt;"111",'152-CT'!$J$8=TH!F142),"x","")</f>
        <v/>
      </c>
      <c r="AC142" s="79" t="str">
        <f>IF(AND(OR(LEFT(TH!N142,2)="15",LEFT(TH!O142,2)="15"),TK!$E$7=TH!F142),"x","")</f>
        <v/>
      </c>
      <c r="AD142" s="79" t="str">
        <f>IF(AND(N142="1521",MONTH(C142)='BK-NL'!$M$11),"x","")</f>
        <v/>
      </c>
    </row>
    <row r="143" spans="1:30" ht="16.5" customHeight="1">
      <c r="A143" s="318" t="str">
        <f>IF(B143&lt;&gt;"",IF(AND(B143='IN-TC'!$S$4,OR(TH!N143="1111",TH!O143="1111")),TH!D143,""),"")</f>
        <v/>
      </c>
      <c r="B143" s="1165">
        <f t="shared" si="10"/>
        <v>6</v>
      </c>
      <c r="C143" s="682">
        <v>43281</v>
      </c>
      <c r="D143" s="682" t="s">
        <v>532</v>
      </c>
      <c r="E143" s="682">
        <f t="shared" si="20"/>
        <v>43281</v>
      </c>
      <c r="F143" s="943" t="s">
        <v>725</v>
      </c>
      <c r="G143" s="259"/>
      <c r="H143" s="303"/>
      <c r="I143" s="385"/>
      <c r="J143" s="392"/>
      <c r="K143" s="385"/>
      <c r="L143" s="392"/>
      <c r="M143" s="686">
        <f>G141*$G142</f>
        <v>0</v>
      </c>
      <c r="N143" s="688" t="s">
        <v>541</v>
      </c>
      <c r="O143" s="689" t="s">
        <v>542</v>
      </c>
      <c r="P143" s="79" t="str">
        <f>IF(AND('331-CT'!$E$7=TH!H143,OR(N143="331",O143="331")),"x","")</f>
        <v/>
      </c>
      <c r="Q143" s="79" t="str">
        <f>IF(AND(B143='111'!$L$11,OR($N143=$Q$7,$O143=$Q$7)),"x","")</f>
        <v/>
      </c>
      <c r="R143" s="79" t="str">
        <f>IF(AND($N143=$Q$7,$B143&lt;'111'!$L$11),"x","")</f>
        <v/>
      </c>
      <c r="S143" s="79" t="str">
        <f>IF(AND($O143=$Q$7,$B143&lt;'111'!$L$11),"x","")</f>
        <v/>
      </c>
      <c r="T143" s="79" t="str">
        <f>IF(ISERROR(FIND('112'!$M$9,G143,1)),"",IF((AND(FIND('112'!$M$9,G143,1)&gt;=1,B143='112'!$K$9,OR($N143='112'!$I$6,$O143='112'!$I$6))),"x",""))</f>
        <v/>
      </c>
      <c r="U143" s="79" t="str">
        <f>IF(ISERROR(FIND('112'!$M$9,G143,1)),"",IF((AND(LEFT(G143,2)=LEFT('112'!$M$9,2),B143&lt;'112'!$K$9,$N143='112'!$I$6)),"x",""))</f>
        <v/>
      </c>
      <c r="V143" s="79" t="str">
        <f>IF(ISERROR(FIND('112'!$M$9,G143,1)),"",IF((AND(RIGHT(G143,2)=RIGHT('112'!$M$9,2),B143&lt;'112'!$K$9,$O143='112'!$I$6)),"x",""))</f>
        <v/>
      </c>
      <c r="W143" s="79" t="str">
        <f>IF(AND('341-CT'!$H$9=H143,OR(LEFT(N143,3)=$W$7,LEFT(O143,3)=$W$7)),"x","")</f>
        <v/>
      </c>
      <c r="X143" s="79" t="str">
        <f>IF(OR(TH!N143=TH!$X$7,O143=TH!$X$7),"x","")</f>
        <v/>
      </c>
      <c r="Y143" s="79" t="str">
        <f>IF(AND(OR(N143="131",O143="131"),H143='131-CT'!$H$9),"x","")</f>
        <v/>
      </c>
      <c r="Z143" s="79"/>
      <c r="AA143" s="79" t="str">
        <f>IF(AND(MONTH(E143)='IN-NX'!$J$5,'IN-NX'!$D$7=D143),"x","")</f>
        <v/>
      </c>
      <c r="AB143" s="79" t="str">
        <f>IF(AND(OR(LEFT(TH!N143,2)="15",LEFT(TH!O143,2)="15"),LEFT(TH!O143,3)&lt;&gt;"111",'152-CT'!$J$8=TH!F143),"x","")</f>
        <v/>
      </c>
      <c r="AC143" s="79" t="str">
        <f>IF(AND(OR(LEFT(TH!N143,2)="15",LEFT(TH!O143,2)="15"),TK!$E$7=TH!F143),"x","")</f>
        <v/>
      </c>
      <c r="AD143" s="79" t="str">
        <f>IF(AND(N143="1521",MONTH(C143)='BK-NL'!$M$11),"x","")</f>
        <v/>
      </c>
    </row>
    <row r="144" spans="1:30" ht="16.5" customHeight="1">
      <c r="A144" s="318" t="str">
        <f>IF(B144&lt;&gt;"",IF(AND(B144='IN-TC'!$S$4,OR(TH!N144="1111",TH!O144="1111")),TH!D144,""),"")</f>
        <v/>
      </c>
      <c r="B144" s="1165">
        <f t="shared" si="10"/>
        <v>6</v>
      </c>
      <c r="C144" s="682">
        <v>43281</v>
      </c>
      <c r="D144" s="682" t="s">
        <v>532</v>
      </c>
      <c r="E144" s="682">
        <f t="shared" si="20"/>
        <v>43281</v>
      </c>
      <c r="F144" s="943" t="s">
        <v>726</v>
      </c>
      <c r="G144" s="763" t="s">
        <v>957</v>
      </c>
      <c r="H144" s="303"/>
      <c r="I144" s="385"/>
      <c r="J144" s="392"/>
      <c r="K144" s="385"/>
      <c r="L144" s="392"/>
      <c r="M144" s="686">
        <f>G140*$G144</f>
        <v>0</v>
      </c>
      <c r="N144" s="687" t="s">
        <v>540</v>
      </c>
      <c r="O144" s="687" t="s">
        <v>542</v>
      </c>
      <c r="P144" s="79" t="str">
        <f>IF(AND('331-CT'!$E$7=TH!H144,OR(N144="331",O144="331")),"x","")</f>
        <v/>
      </c>
      <c r="Q144" s="79" t="str">
        <f>IF(AND(B144='111'!$L$11,OR($N144=$Q$7,$O144=$Q$7)),"x","")</f>
        <v/>
      </c>
      <c r="R144" s="79" t="str">
        <f>IF(AND($N144=$Q$7,$B144&lt;'111'!$L$11),"x","")</f>
        <v/>
      </c>
      <c r="S144" s="79" t="str">
        <f>IF(AND($O144=$Q$7,$B144&lt;'111'!$L$11),"x","")</f>
        <v/>
      </c>
      <c r="T144" s="79" t="str">
        <f>IF(ISERROR(FIND('112'!$M$9,G144,1)),"",IF((AND(FIND('112'!$M$9,G144,1)&gt;=1,B144='112'!$K$9,OR($N144='112'!$I$6,$O144='112'!$I$6))),"x",""))</f>
        <v/>
      </c>
      <c r="U144" s="79" t="str">
        <f>IF(ISERROR(FIND('112'!$M$9,G144,1)),"",IF((AND(LEFT(G144,2)=LEFT('112'!$M$9,2),B144&lt;'112'!$K$9,$N144='112'!$I$6)),"x",""))</f>
        <v/>
      </c>
      <c r="V144" s="79" t="str">
        <f>IF(ISERROR(FIND('112'!$M$9,G144,1)),"",IF((AND(RIGHT(G144,2)=RIGHT('112'!$M$9,2),B144&lt;'112'!$K$9,$O144='112'!$I$6)),"x",""))</f>
        <v/>
      </c>
      <c r="W144" s="79" t="str">
        <f>IF(AND('341-CT'!$H$9=H144,OR(LEFT(N144,3)=$W$7,LEFT(O144,3)=$W$7)),"x","")</f>
        <v/>
      </c>
      <c r="X144" s="79" t="str">
        <f>IF(OR(TH!N144=TH!$X$7,O144=TH!$X$7),"x","")</f>
        <v/>
      </c>
      <c r="Y144" s="79" t="str">
        <f>IF(AND(OR(N144="131",O144="131"),H144='131-CT'!$H$9),"x","")</f>
        <v/>
      </c>
      <c r="Z144" s="79"/>
      <c r="AA144" s="79" t="str">
        <f>IF(AND(MONTH(E144)='IN-NX'!$J$5,'IN-NX'!$D$7=D144),"x","")</f>
        <v/>
      </c>
      <c r="AB144" s="79" t="str">
        <f>IF(AND(OR(LEFT(TH!N144,2)="15",LEFT(TH!O144,2)="15"),LEFT(TH!O144,3)&lt;&gt;"111",'152-CT'!$J$8=TH!F144),"x","")</f>
        <v/>
      </c>
      <c r="AC144" s="79" t="str">
        <f>IF(AND(OR(LEFT(TH!N144,2)="15",LEFT(TH!O144,2)="15"),TK!$E$7=TH!F144),"x","")</f>
        <v/>
      </c>
      <c r="AD144" s="79" t="str">
        <f>IF(AND(N144="1521",MONTH(C144)='BK-NL'!$M$11),"x","")</f>
        <v/>
      </c>
    </row>
    <row r="145" spans="1:30" ht="16.5" customHeight="1">
      <c r="A145" s="318" t="str">
        <f>IF(B145&lt;&gt;"",IF(AND(B145='IN-TC'!$S$4,OR(TH!N145="1111",TH!O145="1111")),TH!D145,""),"")</f>
        <v/>
      </c>
      <c r="B145" s="1165">
        <f t="shared" si="10"/>
        <v>6</v>
      </c>
      <c r="C145" s="682">
        <v>43281</v>
      </c>
      <c r="D145" s="682" t="s">
        <v>532</v>
      </c>
      <c r="E145" s="682">
        <f t="shared" si="20"/>
        <v>43281</v>
      </c>
      <c r="F145" s="943" t="s">
        <v>727</v>
      </c>
      <c r="G145" s="259"/>
      <c r="H145" s="303"/>
      <c r="I145" s="385"/>
      <c r="J145" s="392"/>
      <c r="K145" s="385"/>
      <c r="L145" s="392"/>
      <c r="M145" s="686">
        <f>G141*$G144</f>
        <v>0</v>
      </c>
      <c r="N145" s="687" t="s">
        <v>272</v>
      </c>
      <c r="O145" s="687" t="s">
        <v>542</v>
      </c>
      <c r="P145" s="79" t="str">
        <f>IF(AND('331-CT'!$E$7=TH!H145,OR(N145="331",O145="331")),"x","")</f>
        <v/>
      </c>
      <c r="Q145" s="79" t="str">
        <f>IF(AND(B145='111'!$L$11,OR($N145=$Q$7,$O145=$Q$7)),"x","")</f>
        <v/>
      </c>
      <c r="R145" s="79" t="str">
        <f>IF(AND($N145=$Q$7,$B145&lt;'111'!$L$11),"x","")</f>
        <v/>
      </c>
      <c r="S145" s="79" t="str">
        <f>IF(AND($O145=$Q$7,$B145&lt;'111'!$L$11),"x","")</f>
        <v/>
      </c>
      <c r="T145" s="79" t="str">
        <f>IF(ISERROR(FIND('112'!$M$9,G145,1)),"",IF((AND(FIND('112'!$M$9,G145,1)&gt;=1,B145='112'!$K$9,OR($N145='112'!$I$6,$O145='112'!$I$6))),"x",""))</f>
        <v/>
      </c>
      <c r="U145" s="79" t="str">
        <f>IF(ISERROR(FIND('112'!$M$9,G145,1)),"",IF((AND(LEFT(G145,2)=LEFT('112'!$M$9,2),B145&lt;'112'!$K$9,$N145='112'!$I$6)),"x",""))</f>
        <v/>
      </c>
      <c r="V145" s="79" t="str">
        <f>IF(ISERROR(FIND('112'!$M$9,G145,1)),"",IF((AND(RIGHT(G145,2)=RIGHT('112'!$M$9,2),B145&lt;'112'!$K$9,$O145='112'!$I$6)),"x",""))</f>
        <v/>
      </c>
      <c r="W145" s="79" t="str">
        <f>IF(AND('341-CT'!$H$9=H145,OR(LEFT(N145,3)=$W$7,LEFT(O145,3)=$W$7)),"x","")</f>
        <v/>
      </c>
      <c r="X145" s="79" t="str">
        <f>IF(OR(TH!N145=TH!$X$7,O145=TH!$X$7),"x","")</f>
        <v/>
      </c>
      <c r="Y145" s="79" t="str">
        <f>IF(AND(OR(N145="131",O145="131"),H145='131-CT'!$H$9),"x","")</f>
        <v/>
      </c>
      <c r="Z145" s="79"/>
      <c r="AA145" s="79" t="str">
        <f>IF(AND(MONTH(E145)='IN-NX'!$J$5,'IN-NX'!$D$7=D145),"x","")</f>
        <v/>
      </c>
      <c r="AB145" s="79" t="str">
        <f>IF(AND(OR(LEFT(TH!N145,2)="15",LEFT(TH!O145,2)="15"),LEFT(TH!O145,3)&lt;&gt;"111",'152-CT'!$J$8=TH!F145),"x","")</f>
        <v/>
      </c>
      <c r="AC145" s="79" t="str">
        <f>IF(AND(OR(LEFT(TH!N145,2)="15",LEFT(TH!O145,2)="15"),TK!$E$7=TH!F145),"x","")</f>
        <v/>
      </c>
      <c r="AD145" s="79" t="str">
        <f>IF(AND(N145="1521",MONTH(C145)='BK-NL'!$M$11),"x","")</f>
        <v/>
      </c>
    </row>
    <row r="146" spans="1:30" ht="16.5" customHeight="1">
      <c r="A146" s="318" t="str">
        <f>IF(B146&lt;&gt;"",IF(AND(B146='IN-TC'!$S$4,OR(TH!N146="1111",TH!O146="1111")),TH!D146,""),"")</f>
        <v/>
      </c>
      <c r="B146" s="1165">
        <f t="shared" si="10"/>
        <v>6</v>
      </c>
      <c r="C146" s="682">
        <v>43281</v>
      </c>
      <c r="D146" s="682" t="s">
        <v>532</v>
      </c>
      <c r="E146" s="682">
        <f t="shared" si="20"/>
        <v>43281</v>
      </c>
      <c r="F146" s="943" t="s">
        <v>728</v>
      </c>
      <c r="G146" s="763" t="s">
        <v>534</v>
      </c>
      <c r="H146" s="305"/>
      <c r="I146" s="383"/>
      <c r="J146" s="390"/>
      <c r="K146" s="383"/>
      <c r="L146" s="390"/>
      <c r="M146" s="686">
        <f>ROUND(G140*$G146,0)</f>
        <v>0</v>
      </c>
      <c r="N146" s="687" t="s">
        <v>541</v>
      </c>
      <c r="O146" s="687" t="s">
        <v>543</v>
      </c>
      <c r="P146" s="79" t="str">
        <f>IF(AND('331-CT'!$E$7=TH!H146,OR(N146="331",O146="331")),"x","")</f>
        <v/>
      </c>
      <c r="Q146" s="79" t="str">
        <f>IF(AND(B146='111'!$L$11,OR($N146=$Q$7,$O146=$Q$7)),"x","")</f>
        <v/>
      </c>
      <c r="R146" s="79" t="str">
        <f>IF(AND($N146=$Q$7,$B146&lt;'111'!$L$11),"x","")</f>
        <v/>
      </c>
      <c r="S146" s="79" t="str">
        <f>IF(AND($O146=$Q$7,$B146&lt;'111'!$L$11),"x","")</f>
        <v/>
      </c>
      <c r="T146" s="79" t="str">
        <f>IF(ISERROR(FIND('112'!$M$9,G146,1)),"",IF((AND(FIND('112'!$M$9,G146,1)&gt;=1,B146='112'!$K$9,OR($N146='112'!$I$6,$O146='112'!$I$6))),"x",""))</f>
        <v/>
      </c>
      <c r="U146" s="79" t="str">
        <f>IF(ISERROR(FIND('112'!$M$9,G146,1)),"",IF((AND(LEFT(G146,2)=LEFT('112'!$M$9,2),B146&lt;'112'!$K$9,$N146='112'!$I$6)),"x",""))</f>
        <v/>
      </c>
      <c r="V146" s="79" t="str">
        <f>IF(ISERROR(FIND('112'!$M$9,G146,1)),"",IF((AND(RIGHT(G146,2)=RIGHT('112'!$M$9,2),B146&lt;'112'!$K$9,$O146='112'!$I$6)),"x",""))</f>
        <v/>
      </c>
      <c r="W146" s="79" t="str">
        <f>IF(AND('341-CT'!$H$9=H146,OR(LEFT(N146,3)=$W$7,LEFT(O146,3)=$W$7)),"x","")</f>
        <v/>
      </c>
      <c r="X146" s="79" t="str">
        <f>IF(OR(TH!N146=TH!$X$7,O146=TH!$X$7),"x","")</f>
        <v/>
      </c>
      <c r="Y146" s="79" t="str">
        <f>IF(AND(OR(N146="131",O146="131"),H146='131-CT'!$H$9),"x","")</f>
        <v/>
      </c>
      <c r="Z146" s="79"/>
      <c r="AA146" s="79" t="str">
        <f>IF(AND(MONTH(E146)='IN-NX'!$J$5,'IN-NX'!$D$7=D146),"x","")</f>
        <v/>
      </c>
      <c r="AB146" s="79" t="str">
        <f>IF(AND(OR(LEFT(TH!N146,2)="15",LEFT(TH!O146,2)="15"),LEFT(TH!O146,3)&lt;&gt;"111",'152-CT'!$J$8=TH!F146),"x","")</f>
        <v/>
      </c>
      <c r="AC146" s="79" t="str">
        <f>IF(AND(OR(LEFT(TH!N146,2)="15",LEFT(TH!O146,2)="15"),TK!$E$7=TH!F146),"x","")</f>
        <v/>
      </c>
      <c r="AD146" s="79" t="str">
        <f>IF(AND(N146="1521",MONTH(C146)='BK-NL'!$M$11),"x","")</f>
        <v/>
      </c>
    </row>
    <row r="147" spans="1:30" ht="16.5" customHeight="1">
      <c r="A147" s="318" t="str">
        <f>IF(B147&lt;&gt;"",IF(AND(B147='IN-TC'!$S$4,OR(TH!N147="1111",TH!O147="1111")),TH!D147,""),"")</f>
        <v/>
      </c>
      <c r="B147" s="1165">
        <f t="shared" si="10"/>
        <v>6</v>
      </c>
      <c r="C147" s="682">
        <v>43281</v>
      </c>
      <c r="D147" s="682" t="s">
        <v>532</v>
      </c>
      <c r="E147" s="682">
        <f t="shared" si="20"/>
        <v>43281</v>
      </c>
      <c r="F147" s="943" t="s">
        <v>729</v>
      </c>
      <c r="G147" s="259"/>
      <c r="H147" s="305"/>
      <c r="I147" s="383"/>
      <c r="J147" s="390"/>
      <c r="K147" s="383"/>
      <c r="L147" s="390"/>
      <c r="M147" s="686">
        <f>ROUND(G141*$G146,0)</f>
        <v>0</v>
      </c>
      <c r="N147" s="687" t="s">
        <v>541</v>
      </c>
      <c r="O147" s="687" t="s">
        <v>543</v>
      </c>
      <c r="P147" s="79" t="str">
        <f>IF(AND('331-CT'!$E$7=TH!H147,OR(N147="331",O147="331")),"x","")</f>
        <v/>
      </c>
      <c r="Q147" s="79" t="str">
        <f>IF(AND(B147='111'!$L$11,OR($N147=$Q$7,$O147=$Q$7)),"x","")</f>
        <v/>
      </c>
      <c r="R147" s="79" t="str">
        <f>IF(AND($N147=$Q$7,$B147&lt;'111'!$L$11),"x","")</f>
        <v/>
      </c>
      <c r="S147" s="79" t="str">
        <f>IF(AND($O147=$Q$7,$B147&lt;'111'!$L$11),"x","")</f>
        <v/>
      </c>
      <c r="T147" s="79" t="str">
        <f>IF(ISERROR(FIND('112'!$M$9,G147,1)),"",IF((AND(FIND('112'!$M$9,G147,1)&gt;=1,B147='112'!$K$9,OR($N147='112'!$I$6,$O147='112'!$I$6))),"x",""))</f>
        <v/>
      </c>
      <c r="U147" s="79" t="str">
        <f>IF(ISERROR(FIND('112'!$M$9,G147,1)),"",IF((AND(LEFT(G147,2)=LEFT('112'!$M$9,2),B147&lt;'112'!$K$9,$N147='112'!$I$6)),"x",""))</f>
        <v/>
      </c>
      <c r="V147" s="79" t="str">
        <f>IF(ISERROR(FIND('112'!$M$9,G147,1)),"",IF((AND(RIGHT(G147,2)=RIGHT('112'!$M$9,2),B147&lt;'112'!$K$9,$O147='112'!$I$6)),"x",""))</f>
        <v/>
      </c>
      <c r="W147" s="79" t="str">
        <f>IF(AND('341-CT'!$H$9=H147,OR(LEFT(N147,3)=$W$7,LEFT(O147,3)=$W$7)),"x","")</f>
        <v/>
      </c>
      <c r="X147" s="79" t="str">
        <f>IF(OR(TH!N147=TH!$X$7,O147=TH!$X$7),"x","")</f>
        <v/>
      </c>
      <c r="Y147" s="79" t="str">
        <f>IF(AND(OR(N147="131",O147="131"),H147='131-CT'!$H$9),"x","")</f>
        <v/>
      </c>
      <c r="Z147" s="79"/>
      <c r="AA147" s="79" t="str">
        <f>IF(AND(MONTH(E147)='IN-NX'!$J$5,'IN-NX'!$D$7=D147),"x","")</f>
        <v/>
      </c>
      <c r="AB147" s="79" t="str">
        <f>IF(AND(OR(LEFT(TH!N147,2)="15",LEFT(TH!O147,2)="15"),LEFT(TH!O147,3)&lt;&gt;"111",'152-CT'!$J$8=TH!F147),"x","")</f>
        <v/>
      </c>
      <c r="AC147" s="79" t="str">
        <f>IF(AND(OR(LEFT(TH!N147,2)="15",LEFT(TH!O147,2)="15"),TK!$E$7=TH!F147),"x","")</f>
        <v/>
      </c>
      <c r="AD147" s="79" t="str">
        <f>IF(AND(N147="1521",MONTH(C147)='BK-NL'!$M$11),"x","")</f>
        <v/>
      </c>
    </row>
    <row r="148" spans="1:30" ht="16.5" customHeight="1">
      <c r="A148" s="318" t="str">
        <f>IF(B148&lt;&gt;"",IF(AND(B148='IN-TC'!$S$4,OR(TH!N148="1111",TH!O148="1111")),TH!D148,""),"")</f>
        <v/>
      </c>
      <c r="B148" s="1165">
        <f t="shared" si="10"/>
        <v>6</v>
      </c>
      <c r="C148" s="682">
        <v>43281</v>
      </c>
      <c r="D148" s="682" t="s">
        <v>532</v>
      </c>
      <c r="E148" s="682">
        <f t="shared" si="20"/>
        <v>43281</v>
      </c>
      <c r="F148" s="943" t="s">
        <v>730</v>
      </c>
      <c r="G148" s="763" t="s">
        <v>535</v>
      </c>
      <c r="H148" s="303"/>
      <c r="I148" s="385"/>
      <c r="J148" s="392"/>
      <c r="K148" s="385"/>
      <c r="L148" s="392"/>
      <c r="M148" s="686">
        <f>G140*$G148</f>
        <v>0</v>
      </c>
      <c r="N148" s="687" t="s">
        <v>540</v>
      </c>
      <c r="O148" s="687" t="s">
        <v>543</v>
      </c>
      <c r="P148" s="79" t="str">
        <f>IF(AND('331-CT'!$E$7=TH!H148,OR(N148="331",O148="331")),"x","")</f>
        <v/>
      </c>
      <c r="Q148" s="79" t="str">
        <f>IF(AND(B148='111'!$L$11,OR($N148=$Q$7,$O148=$Q$7)),"x","")</f>
        <v/>
      </c>
      <c r="R148" s="79" t="str">
        <f>IF(AND($N148=$Q$7,$B148&lt;'111'!$L$11),"x","")</f>
        <v/>
      </c>
      <c r="S148" s="79" t="str">
        <f>IF(AND($O148=$Q$7,$B148&lt;'111'!$L$11),"x","")</f>
        <v/>
      </c>
      <c r="T148" s="79" t="str">
        <f>IF(ISERROR(FIND('112'!$M$9,G148,1)),"",IF((AND(FIND('112'!$M$9,G148,1)&gt;=1,B148='112'!$K$9,OR($N148='112'!$I$6,$O148='112'!$I$6))),"x",""))</f>
        <v/>
      </c>
      <c r="U148" s="79" t="str">
        <f>IF(ISERROR(FIND('112'!$M$9,G148,1)),"",IF((AND(LEFT(G148,2)=LEFT('112'!$M$9,2),B148&lt;'112'!$K$9,$N148='112'!$I$6)),"x",""))</f>
        <v/>
      </c>
      <c r="V148" s="79" t="str">
        <f>IF(ISERROR(FIND('112'!$M$9,G148,1)),"",IF((AND(RIGHT(G148,2)=RIGHT('112'!$M$9,2),B148&lt;'112'!$K$9,$O148='112'!$I$6)),"x",""))</f>
        <v/>
      </c>
      <c r="W148" s="79" t="str">
        <f>IF(AND('341-CT'!$H$9=H148,OR(LEFT(N148,3)=$W$7,LEFT(O148,3)=$W$7)),"x","")</f>
        <v/>
      </c>
      <c r="X148" s="79" t="str">
        <f>IF(OR(TH!N148=TH!$X$7,O148=TH!$X$7),"x","")</f>
        <v/>
      </c>
      <c r="Y148" s="79" t="str">
        <f>IF(AND(OR(N148="131",O148="131"),H148='131-CT'!$H$9),"x","")</f>
        <v/>
      </c>
      <c r="Z148" s="79"/>
      <c r="AA148" s="79" t="str">
        <f>IF(AND(MONTH(E148)='IN-NX'!$J$5,'IN-NX'!$D$7=D148),"x","")</f>
        <v/>
      </c>
      <c r="AB148" s="79" t="str">
        <f>IF(AND(OR(LEFT(TH!N148,2)="15",LEFT(TH!O148,2)="15"),LEFT(TH!O148,3)&lt;&gt;"111",'152-CT'!$J$8=TH!F148),"x","")</f>
        <v/>
      </c>
      <c r="AC148" s="79" t="str">
        <f>IF(AND(OR(LEFT(TH!N148,2)="15",LEFT(TH!O148,2)="15"),TK!$E$7=TH!F148),"x","")</f>
        <v/>
      </c>
      <c r="AD148" s="79" t="str">
        <f>IF(AND(N148="1521",MONTH(C148)='BK-NL'!$M$11),"x","")</f>
        <v/>
      </c>
    </row>
    <row r="149" spans="1:30" ht="16.5" customHeight="1">
      <c r="A149" s="318" t="str">
        <f>IF(B149&lt;&gt;"",IF(AND(B149='IN-TC'!$S$4,OR(TH!N149="1111",TH!O149="1111")),TH!D149,""),"")</f>
        <v/>
      </c>
      <c r="B149" s="1165">
        <f t="shared" si="10"/>
        <v>6</v>
      </c>
      <c r="C149" s="682">
        <v>43281</v>
      </c>
      <c r="D149" s="682" t="s">
        <v>532</v>
      </c>
      <c r="E149" s="682">
        <f t="shared" si="20"/>
        <v>43281</v>
      </c>
      <c r="F149" s="943" t="s">
        <v>731</v>
      </c>
      <c r="G149" s="259"/>
      <c r="H149" s="303"/>
      <c r="I149" s="385"/>
      <c r="J149" s="392"/>
      <c r="K149" s="385"/>
      <c r="L149" s="392"/>
      <c r="M149" s="686">
        <f>G141*$G148</f>
        <v>0</v>
      </c>
      <c r="N149" s="687" t="s">
        <v>272</v>
      </c>
      <c r="O149" s="687" t="s">
        <v>543</v>
      </c>
      <c r="P149" s="79" t="str">
        <f>IF(AND('331-CT'!$E$7=TH!H149,OR(N149="331",O149="331")),"x","")</f>
        <v/>
      </c>
      <c r="Q149" s="79" t="str">
        <f>IF(AND(B149='111'!$L$11,OR($N149=$Q$7,$O149=$Q$7)),"x","")</f>
        <v/>
      </c>
      <c r="R149" s="79" t="str">
        <f>IF(AND($N149=$Q$7,$B149&lt;'111'!$L$11),"x","")</f>
        <v/>
      </c>
      <c r="S149" s="79" t="str">
        <f>IF(AND($O149=$Q$7,$B149&lt;'111'!$L$11),"x","")</f>
        <v/>
      </c>
      <c r="T149" s="79" t="str">
        <f>IF(ISERROR(FIND('112'!$M$9,G149,1)),"",IF((AND(FIND('112'!$M$9,G149,1)&gt;=1,B149='112'!$K$9,OR($N149='112'!$I$6,$O149='112'!$I$6))),"x",""))</f>
        <v/>
      </c>
      <c r="U149" s="79" t="str">
        <f>IF(ISERROR(FIND('112'!$M$9,G149,1)),"",IF((AND(LEFT(G149,2)=LEFT('112'!$M$9,2),B149&lt;'112'!$K$9,$N149='112'!$I$6)),"x",""))</f>
        <v/>
      </c>
      <c r="V149" s="79" t="str">
        <f>IF(ISERROR(FIND('112'!$M$9,G149,1)),"",IF((AND(RIGHT(G149,2)=RIGHT('112'!$M$9,2),B149&lt;'112'!$K$9,$O149='112'!$I$6)),"x",""))</f>
        <v/>
      </c>
      <c r="W149" s="79" t="str">
        <f>IF(AND('341-CT'!$H$9=H149,OR(LEFT(N149,3)=$W$7,LEFT(O149,3)=$W$7)),"x","")</f>
        <v/>
      </c>
      <c r="X149" s="79" t="str">
        <f>IF(OR(TH!N149=TH!$X$7,O149=TH!$X$7),"x","")</f>
        <v/>
      </c>
      <c r="Y149" s="79" t="str">
        <f>IF(AND(OR(N149="131",O149="131"),H149='131-CT'!$H$9),"x","")</f>
        <v/>
      </c>
      <c r="Z149" s="79"/>
      <c r="AA149" s="79" t="str">
        <f>IF(AND(MONTH(E149)='IN-NX'!$J$5,'IN-NX'!$D$7=D149),"x","")</f>
        <v/>
      </c>
      <c r="AB149" s="79" t="str">
        <f>IF(AND(OR(LEFT(TH!N149,2)="15",LEFT(TH!O149,2)="15"),LEFT(TH!O149,3)&lt;&gt;"111",'152-CT'!$J$8=TH!F149),"x","")</f>
        <v/>
      </c>
      <c r="AC149" s="79" t="str">
        <f>IF(AND(OR(LEFT(TH!N149,2)="15",LEFT(TH!O149,2)="15"),TK!$E$7=TH!F149),"x","")</f>
        <v/>
      </c>
      <c r="AD149" s="79" t="str">
        <f>IF(AND(N149="1521",MONTH(C149)='BK-NL'!$M$11),"x","")</f>
        <v/>
      </c>
    </row>
    <row r="150" spans="1:30" ht="16.5" customHeight="1">
      <c r="A150" s="318" t="str">
        <f>IF(B150&lt;&gt;"",IF(AND(B150='IN-TC'!$S$4,OR(TH!N150="1111",TH!O150="1111")),TH!D150,""),"")</f>
        <v/>
      </c>
      <c r="B150" s="1165">
        <f t="shared" si="10"/>
        <v>6</v>
      </c>
      <c r="C150" s="682">
        <v>43281</v>
      </c>
      <c r="D150" s="682" t="s">
        <v>532</v>
      </c>
      <c r="E150" s="682">
        <f t="shared" si="20"/>
        <v>43281</v>
      </c>
      <c r="F150" s="943" t="s">
        <v>732</v>
      </c>
      <c r="G150" s="763" t="s">
        <v>536</v>
      </c>
      <c r="H150" s="303"/>
      <c r="I150" s="385"/>
      <c r="J150" s="392"/>
      <c r="K150" s="385"/>
      <c r="L150" s="392"/>
      <c r="M150" s="686">
        <f>G140*$G150</f>
        <v>0</v>
      </c>
      <c r="N150" s="687" t="s">
        <v>541</v>
      </c>
      <c r="O150" s="687" t="s">
        <v>544</v>
      </c>
      <c r="P150" s="79" t="str">
        <f>IF(AND('331-CT'!$E$7=TH!H150,OR(N150="331",O150="331")),"x","")</f>
        <v/>
      </c>
      <c r="Q150" s="79" t="str">
        <f>IF(AND(B150='111'!$L$11,OR($N150=$Q$7,$O150=$Q$7)),"x","")</f>
        <v/>
      </c>
      <c r="R150" s="79" t="str">
        <f>IF(AND($N150=$Q$7,$B150&lt;'111'!$L$11),"x","")</f>
        <v/>
      </c>
      <c r="S150" s="79" t="str">
        <f>IF(AND($O150=$Q$7,$B150&lt;'111'!$L$11),"x","")</f>
        <v/>
      </c>
      <c r="T150" s="79" t="str">
        <f>IF(ISERROR(FIND('112'!$M$9,G150,1)),"",IF((AND(FIND('112'!$M$9,G150,1)&gt;=1,B150='112'!$K$9,OR($N150='112'!$I$6,$O150='112'!$I$6))),"x",""))</f>
        <v/>
      </c>
      <c r="U150" s="79" t="str">
        <f>IF(ISERROR(FIND('112'!$M$9,G150,1)),"",IF((AND(LEFT(G150,2)=LEFT('112'!$M$9,2),B150&lt;'112'!$K$9,$N150='112'!$I$6)),"x",""))</f>
        <v/>
      </c>
      <c r="V150" s="79" t="str">
        <f>IF(ISERROR(FIND('112'!$M$9,G150,1)),"",IF((AND(RIGHT(G150,2)=RIGHT('112'!$M$9,2),B150&lt;'112'!$K$9,$O150='112'!$I$6)),"x",""))</f>
        <v/>
      </c>
      <c r="W150" s="79" t="str">
        <f>IF(AND('341-CT'!$H$9=H150,OR(LEFT(N150,3)=$W$7,LEFT(O150,3)=$W$7)),"x","")</f>
        <v/>
      </c>
      <c r="X150" s="79" t="str">
        <f>IF(OR(TH!N150=TH!$X$7,O150=TH!$X$7),"x","")</f>
        <v/>
      </c>
      <c r="Y150" s="79" t="str">
        <f>IF(AND(OR(N150="131",O150="131"),H150='131-CT'!$H$9),"x","")</f>
        <v/>
      </c>
      <c r="Z150" s="79"/>
      <c r="AA150" s="79" t="str">
        <f>IF(AND(MONTH(E150)='IN-NX'!$J$5,'IN-NX'!$D$7=D150),"x","")</f>
        <v/>
      </c>
      <c r="AB150" s="79" t="str">
        <f>IF(AND(OR(LEFT(TH!N150,2)="15",LEFT(TH!O150,2)="15"),LEFT(TH!O150,3)&lt;&gt;"111",'152-CT'!$J$8=TH!F150),"x","")</f>
        <v/>
      </c>
      <c r="AC150" s="79" t="str">
        <f>IF(AND(OR(LEFT(TH!N150,2)="15",LEFT(TH!O150,2)="15"),TK!$E$7=TH!F150),"x","")</f>
        <v/>
      </c>
      <c r="AD150" s="79" t="str">
        <f>IF(AND(N150="1521",MONTH(C150)='BK-NL'!$M$11),"x","")</f>
        <v/>
      </c>
    </row>
    <row r="151" spans="1:30" ht="16.5" customHeight="1">
      <c r="A151" s="318" t="str">
        <f>IF(B151&lt;&gt;"",IF(AND(B151='IN-TC'!$S$4,OR(TH!N151="1111",TH!O151="1111")),TH!D151,""),"")</f>
        <v/>
      </c>
      <c r="B151" s="1165">
        <f t="shared" si="10"/>
        <v>6</v>
      </c>
      <c r="C151" s="682">
        <v>43281</v>
      </c>
      <c r="D151" s="682" t="s">
        <v>532</v>
      </c>
      <c r="E151" s="682">
        <f t="shared" si="20"/>
        <v>43281</v>
      </c>
      <c r="F151" s="943" t="s">
        <v>733</v>
      </c>
      <c r="G151" s="259"/>
      <c r="H151" s="303"/>
      <c r="I151" s="385"/>
      <c r="J151" s="392"/>
      <c r="K151" s="385"/>
      <c r="L151" s="392"/>
      <c r="M151" s="686">
        <f>G141*$G150</f>
        <v>0</v>
      </c>
      <c r="N151" s="687" t="s">
        <v>541</v>
      </c>
      <c r="O151" s="687" t="s">
        <v>544</v>
      </c>
      <c r="P151" s="79" t="str">
        <f>IF(AND('331-CT'!$E$7=TH!H151,OR(N151="331",O151="331")),"x","")</f>
        <v/>
      </c>
      <c r="Q151" s="79" t="str">
        <f>IF(AND(B151='111'!$L$11,OR($N151=$Q$7,$O151=$Q$7)),"x","")</f>
        <v/>
      </c>
      <c r="R151" s="79" t="str">
        <f>IF(AND($N151=$Q$7,$B151&lt;'111'!$L$11),"x","")</f>
        <v/>
      </c>
      <c r="S151" s="79" t="str">
        <f>IF(AND($O151=$Q$7,$B151&lt;'111'!$L$11),"x","")</f>
        <v/>
      </c>
      <c r="T151" s="79" t="str">
        <f>IF(ISERROR(FIND('112'!$M$9,G151,1)),"",IF((AND(FIND('112'!$M$9,G151,1)&gt;=1,B151='112'!$K$9,OR($N151='112'!$I$6,$O151='112'!$I$6))),"x",""))</f>
        <v/>
      </c>
      <c r="U151" s="79" t="str">
        <f>IF(ISERROR(FIND('112'!$M$9,G151,1)),"",IF((AND(LEFT(G151,2)=LEFT('112'!$M$9,2),B151&lt;'112'!$K$9,$N151='112'!$I$6)),"x",""))</f>
        <v/>
      </c>
      <c r="V151" s="79" t="str">
        <f>IF(ISERROR(FIND('112'!$M$9,G151,1)),"",IF((AND(RIGHT(G151,2)=RIGHT('112'!$M$9,2),B151&lt;'112'!$K$9,$O151='112'!$I$6)),"x",""))</f>
        <v/>
      </c>
      <c r="W151" s="79" t="str">
        <f>IF(AND('341-CT'!$H$9=H151,OR(LEFT(N151,3)=$W$7,LEFT(O151,3)=$W$7)),"x","")</f>
        <v/>
      </c>
      <c r="X151" s="79" t="str">
        <f>IF(OR(TH!N151=TH!$X$7,O151=TH!$X$7),"x","")</f>
        <v/>
      </c>
      <c r="Y151" s="79" t="str">
        <f>IF(AND(OR(N151="131",O151="131"),H151='131-CT'!$H$9),"x","")</f>
        <v/>
      </c>
      <c r="Z151" s="79"/>
      <c r="AA151" s="79" t="str">
        <f>IF(AND(MONTH(E151)='IN-NX'!$J$5,'IN-NX'!$D$7=D151),"x","")</f>
        <v/>
      </c>
      <c r="AB151" s="79" t="str">
        <f>IF(AND(OR(LEFT(TH!N151,2)="15",LEFT(TH!O151,2)="15"),LEFT(TH!O151,3)&lt;&gt;"111",'152-CT'!$J$8=TH!F151),"x","")</f>
        <v/>
      </c>
      <c r="AC151" s="79" t="str">
        <f>IF(AND(OR(LEFT(TH!N151,2)="15",LEFT(TH!O151,2)="15"),TK!$E$7=TH!F151),"x","")</f>
        <v/>
      </c>
      <c r="AD151" s="79" t="str">
        <f>IF(AND(N151="1521",MONTH(C151)='BK-NL'!$M$11),"x","")</f>
        <v/>
      </c>
    </row>
    <row r="152" spans="1:30" ht="16.5" customHeight="1">
      <c r="A152" s="318" t="str">
        <f>IF(B152&lt;&gt;"",IF(AND(B152='IN-TC'!$S$4,OR(TH!N152="1111",TH!O152="1111")),TH!D152,""),"")</f>
        <v/>
      </c>
      <c r="B152" s="1165">
        <f t="shared" si="10"/>
        <v>6</v>
      </c>
      <c r="C152" s="682">
        <v>43281</v>
      </c>
      <c r="D152" s="682" t="s">
        <v>532</v>
      </c>
      <c r="E152" s="682">
        <f t="shared" si="20"/>
        <v>43281</v>
      </c>
      <c r="F152" s="943" t="s">
        <v>734</v>
      </c>
      <c r="G152" s="763" t="s">
        <v>536</v>
      </c>
      <c r="H152" s="901"/>
      <c r="I152" s="386"/>
      <c r="J152" s="393"/>
      <c r="K152" s="386"/>
      <c r="L152" s="393"/>
      <c r="M152" s="686">
        <f>M150</f>
        <v>0</v>
      </c>
      <c r="N152" s="687" t="s">
        <v>540</v>
      </c>
      <c r="O152" s="687" t="s">
        <v>544</v>
      </c>
      <c r="P152" s="79" t="str">
        <f>IF(AND('331-CT'!$E$7=TH!H152,OR(N152="331",O152="331")),"x","")</f>
        <v/>
      </c>
      <c r="Q152" s="79" t="str">
        <f>IF(AND(B152='111'!$L$11,OR($N152=$Q$7,$O152=$Q$7)),"x","")</f>
        <v/>
      </c>
      <c r="R152" s="79" t="str">
        <f>IF(AND($N152=$Q$7,$B152&lt;'111'!$L$11),"x","")</f>
        <v/>
      </c>
      <c r="S152" s="79" t="str">
        <f>IF(AND($O152=$Q$7,$B152&lt;'111'!$L$11),"x","")</f>
        <v/>
      </c>
      <c r="T152" s="79" t="str">
        <f>IF(ISERROR(FIND('112'!$M$9,G152,1)),"",IF((AND(FIND('112'!$M$9,G152,1)&gt;=1,B152='112'!$K$9,OR($N152='112'!$I$6,$O152='112'!$I$6))),"x",""))</f>
        <v/>
      </c>
      <c r="U152" s="79" t="str">
        <f>IF(ISERROR(FIND('112'!$M$9,G152,1)),"",IF((AND(LEFT(G152,2)=LEFT('112'!$M$9,2),B152&lt;'112'!$K$9,$N152='112'!$I$6)),"x",""))</f>
        <v/>
      </c>
      <c r="V152" s="79" t="str">
        <f>IF(ISERROR(FIND('112'!$M$9,G152,1)),"",IF((AND(RIGHT(G152,2)=RIGHT('112'!$M$9,2),B152&lt;'112'!$K$9,$O152='112'!$I$6)),"x",""))</f>
        <v/>
      </c>
      <c r="W152" s="79" t="str">
        <f>IF(AND('341-CT'!$H$9=H152,OR(LEFT(N152,3)=$W$7,LEFT(O152,3)=$W$7)),"x","")</f>
        <v/>
      </c>
      <c r="X152" s="79" t="str">
        <f>IF(OR(TH!N152=TH!$X$7,O152=TH!$X$7),"x","")</f>
        <v/>
      </c>
      <c r="Y152" s="79" t="str">
        <f>IF(AND(OR(N152="131",O152="131"),H152='131-CT'!$H$9),"x","")</f>
        <v/>
      </c>
      <c r="Z152" s="79"/>
      <c r="AA152" s="79" t="str">
        <f>IF(AND(MONTH(E152)='IN-NX'!$J$5,'IN-NX'!$D$7=D152),"x","")</f>
        <v/>
      </c>
      <c r="AB152" s="79" t="str">
        <f>IF(AND(OR(LEFT(TH!N152,2)="15",LEFT(TH!O152,2)="15"),LEFT(TH!O152,3)&lt;&gt;"111",'152-CT'!$J$8=TH!F152),"x","")</f>
        <v/>
      </c>
      <c r="AC152" s="79" t="str">
        <f>IF(AND(OR(LEFT(TH!N152,2)="15",LEFT(TH!O152,2)="15"),TK!$E$7=TH!F152),"x","")</f>
        <v/>
      </c>
      <c r="AD152" s="79" t="str">
        <f>IF(AND(N152="1521",MONTH(C152)='BK-NL'!$M$11),"x","")</f>
        <v/>
      </c>
    </row>
    <row r="153" spans="1:30" ht="16.5" customHeight="1">
      <c r="A153" s="318" t="str">
        <f>IF(B153&lt;&gt;"",IF(AND(B153='IN-TC'!$S$4,OR(TH!N153="1111",TH!O153="1111")),TH!D153,""),"")</f>
        <v/>
      </c>
      <c r="B153" s="1165">
        <f t="shared" si="10"/>
        <v>6</v>
      </c>
      <c r="C153" s="682">
        <v>43281</v>
      </c>
      <c r="D153" s="682" t="s">
        <v>532</v>
      </c>
      <c r="E153" s="682">
        <f t="shared" si="20"/>
        <v>43281</v>
      </c>
      <c r="F153" s="943" t="s">
        <v>735</v>
      </c>
      <c r="G153" s="259"/>
      <c r="H153" s="303"/>
      <c r="I153" s="385"/>
      <c r="J153" s="392"/>
      <c r="K153" s="385"/>
      <c r="L153" s="392"/>
      <c r="M153" s="686">
        <f>M151</f>
        <v>0</v>
      </c>
      <c r="N153" s="687" t="s">
        <v>272</v>
      </c>
      <c r="O153" s="687" t="s">
        <v>544</v>
      </c>
      <c r="P153" s="79" t="str">
        <f>IF(AND('331-CT'!$E$7=TH!H153,OR(N153="331",O153="331")),"x","")</f>
        <v/>
      </c>
      <c r="Q153" s="79" t="str">
        <f>IF(AND(B153='111'!$L$11,OR($N153=$Q$7,$O153=$Q$7)),"x","")</f>
        <v/>
      </c>
      <c r="R153" s="79" t="str">
        <f>IF(AND($N153=$Q$7,$B153&lt;'111'!$L$11),"x","")</f>
        <v/>
      </c>
      <c r="S153" s="79" t="str">
        <f>IF(AND($O153=$Q$7,$B153&lt;'111'!$L$11),"x","")</f>
        <v/>
      </c>
      <c r="T153" s="79" t="str">
        <f>IF(ISERROR(FIND('112'!$M$9,G153,1)),"",IF((AND(FIND('112'!$M$9,G153,1)&gt;=1,B153='112'!$K$9,OR($N153='112'!$I$6,$O153='112'!$I$6))),"x",""))</f>
        <v/>
      </c>
      <c r="U153" s="79" t="str">
        <f>IF(ISERROR(FIND('112'!$M$9,G153,1)),"",IF((AND(LEFT(G153,2)=LEFT('112'!$M$9,2),B153&lt;'112'!$K$9,$N153='112'!$I$6)),"x",""))</f>
        <v/>
      </c>
      <c r="V153" s="79" t="str">
        <f>IF(ISERROR(FIND('112'!$M$9,G153,1)),"",IF((AND(RIGHT(G153,2)=RIGHT('112'!$M$9,2),B153&lt;'112'!$K$9,$O153='112'!$I$6)),"x",""))</f>
        <v/>
      </c>
      <c r="W153" s="79" t="str">
        <f>IF(AND('341-CT'!$H$9=H153,OR(LEFT(N153,3)=$W$7,LEFT(O153,3)=$W$7)),"x","")</f>
        <v/>
      </c>
      <c r="X153" s="79" t="str">
        <f>IF(OR(TH!N153=TH!$X$7,O153=TH!$X$7),"x","")</f>
        <v/>
      </c>
      <c r="Y153" s="79" t="str">
        <f>IF(AND(OR(N153="131",O153="131"),H153='131-CT'!$H$9),"x","")</f>
        <v/>
      </c>
      <c r="Z153" s="79"/>
      <c r="AA153" s="79" t="str">
        <f>IF(AND(MONTH(E153)='IN-NX'!$J$5,'IN-NX'!$D$7=D153),"x","")</f>
        <v/>
      </c>
      <c r="AB153" s="79" t="str">
        <f>IF(AND(OR(LEFT(TH!N153,2)="15",LEFT(TH!O153,2)="15"),LEFT(TH!O153,3)&lt;&gt;"111",'152-CT'!$J$8=TH!F153),"x","")</f>
        <v/>
      </c>
      <c r="AC153" s="79" t="str">
        <f>IF(AND(OR(LEFT(TH!N153,2)="15",LEFT(TH!O153,2)="15"),TK!$E$7=TH!F153),"x","")</f>
        <v/>
      </c>
      <c r="AD153" s="79" t="str">
        <f>IF(AND(N153="1521",MONTH(C153)='BK-NL'!$M$11),"x","")</f>
        <v/>
      </c>
    </row>
    <row r="154" spans="1:30" ht="16.5" customHeight="1">
      <c r="A154" s="318" t="str">
        <f>IF(B154&lt;&gt;"",IF(AND(B154='IN-TC'!$S$4,OR(TH!N154="1111",TH!O154="1111")),TH!D154,""),"")</f>
        <v/>
      </c>
      <c r="B154" s="1165">
        <f t="shared" ref="B154:B155" si="21">IF(C154&lt;&gt;"",MONTH(C154),"")</f>
        <v>6</v>
      </c>
      <c r="C154" s="682">
        <v>43281</v>
      </c>
      <c r="D154" s="682" t="s">
        <v>532</v>
      </c>
      <c r="E154" s="682">
        <f t="shared" ref="E154:E155" si="22">C154</f>
        <v>43281</v>
      </c>
      <c r="F154" s="943" t="s">
        <v>954</v>
      </c>
      <c r="G154" s="763" t="s">
        <v>956</v>
      </c>
      <c r="H154" s="303"/>
      <c r="I154" s="385"/>
      <c r="J154" s="392"/>
      <c r="K154" s="385"/>
      <c r="L154" s="392"/>
      <c r="M154" s="686">
        <f>G140*$G154</f>
        <v>0</v>
      </c>
      <c r="N154" s="687" t="s">
        <v>540</v>
      </c>
      <c r="O154" s="687" t="s">
        <v>19</v>
      </c>
      <c r="P154" s="79" t="str">
        <f>IF(AND('331-CT'!$E$7=TH!H154,OR(N154="331",O154="331")),"x","")</f>
        <v/>
      </c>
      <c r="Q154" s="79" t="str">
        <f>IF(AND(B154='111'!$L$11,OR($N154=$Q$7,$O154=$Q$7)),"x","")</f>
        <v/>
      </c>
      <c r="R154" s="79" t="str">
        <f>IF(AND($N154=$Q$7,$B154&lt;'111'!$L$11),"x","")</f>
        <v/>
      </c>
      <c r="S154" s="79" t="str">
        <f>IF(AND($O154=$Q$7,$B154&lt;'111'!$L$11),"x","")</f>
        <v/>
      </c>
      <c r="T154" s="79" t="str">
        <f>IF(ISERROR(FIND('112'!$M$9,G154,1)),"",IF((AND(FIND('112'!$M$9,G154,1)&gt;=1,B154='112'!$K$9,OR($N154='112'!$I$6,$O154='112'!$I$6))),"x",""))</f>
        <v/>
      </c>
      <c r="U154" s="79" t="str">
        <f>IF(ISERROR(FIND('112'!$M$9,G154,1)),"",IF((AND(LEFT(G154,2)=LEFT('112'!$M$9,2),B154&lt;'112'!$K$9,$N154='112'!$I$6)),"x",""))</f>
        <v/>
      </c>
      <c r="V154" s="79" t="str">
        <f>IF(ISERROR(FIND('112'!$M$9,G154,1)),"",IF((AND(RIGHT(G154,2)=RIGHT('112'!$M$9,2),B154&lt;'112'!$K$9,$O154='112'!$I$6)),"x",""))</f>
        <v/>
      </c>
      <c r="W154" s="79" t="str">
        <f>IF(AND('341-CT'!$H$9=H154,OR(LEFT(N154,3)=$W$7,LEFT(O154,3)=$W$7)),"x","")</f>
        <v/>
      </c>
      <c r="X154" s="79" t="str">
        <f>IF(OR(TH!N154=TH!$X$7,O154=TH!$X$7),"x","")</f>
        <v/>
      </c>
      <c r="Y154" s="79" t="str">
        <f>IF(AND(OR(N154="131",O154="131"),H154='131-CT'!$H$9),"x","")</f>
        <v/>
      </c>
      <c r="Z154" s="79"/>
      <c r="AA154" s="79" t="str">
        <f>IF(AND(MONTH(E154)='IN-NX'!$J$5,'IN-NX'!$D$7=D154),"x","")</f>
        <v/>
      </c>
      <c r="AB154" s="79" t="str">
        <f>IF(AND(OR(LEFT(TH!N154,2)="15",LEFT(TH!O154,2)="15"),LEFT(TH!O154,3)&lt;&gt;"111",'152-CT'!$J$8=TH!F154),"x","")</f>
        <v/>
      </c>
      <c r="AC154" s="79" t="str">
        <f>IF(AND(OR(LEFT(TH!N154,2)="15",LEFT(TH!O154,2)="15"),TK!$E$7=TH!F154),"x","")</f>
        <v/>
      </c>
      <c r="AD154" s="79" t="str">
        <f>IF(AND(N154="1521",MONTH(C154)='BK-NL'!$M$11),"x","")</f>
        <v/>
      </c>
    </row>
    <row r="155" spans="1:30" ht="16.5" customHeight="1">
      <c r="A155" s="318" t="str">
        <f>IF(B155&lt;&gt;"",IF(AND(B155='IN-TC'!$S$4,OR(TH!N155="1111",TH!O155="1111")),TH!D155,""),"")</f>
        <v/>
      </c>
      <c r="B155" s="1165">
        <f t="shared" si="21"/>
        <v>6</v>
      </c>
      <c r="C155" s="682">
        <v>43281</v>
      </c>
      <c r="D155" s="682" t="s">
        <v>532</v>
      </c>
      <c r="E155" s="682">
        <f t="shared" si="22"/>
        <v>43281</v>
      </c>
      <c r="F155" s="943" t="s">
        <v>955</v>
      </c>
      <c r="G155" s="259"/>
      <c r="H155" s="303"/>
      <c r="I155" s="385"/>
      <c r="J155" s="392"/>
      <c r="K155" s="385"/>
      <c r="L155" s="392"/>
      <c r="M155" s="686">
        <f>G141*$G154</f>
        <v>0</v>
      </c>
      <c r="N155" s="687" t="s">
        <v>272</v>
      </c>
      <c r="O155" s="687" t="s">
        <v>19</v>
      </c>
      <c r="P155" s="79" t="str">
        <f>IF(AND('331-CT'!$E$7=TH!H155,OR(N155="331",O155="331")),"x","")</f>
        <v/>
      </c>
      <c r="Q155" s="79" t="str">
        <f>IF(AND(B155='111'!$L$11,OR($N155=$Q$7,$O155=$Q$7)),"x","")</f>
        <v/>
      </c>
      <c r="R155" s="79" t="str">
        <f>IF(AND($N155=$Q$7,$B155&lt;'111'!$L$11),"x","")</f>
        <v/>
      </c>
      <c r="S155" s="79" t="str">
        <f>IF(AND($O155=$Q$7,$B155&lt;'111'!$L$11),"x","")</f>
        <v/>
      </c>
      <c r="T155" s="79" t="str">
        <f>IF(ISERROR(FIND('112'!$M$9,G155,1)),"",IF((AND(FIND('112'!$M$9,G155,1)&gt;=1,B155='112'!$K$9,OR($N155='112'!$I$6,$O155='112'!$I$6))),"x",""))</f>
        <v/>
      </c>
      <c r="U155" s="79" t="str">
        <f>IF(ISERROR(FIND('112'!$M$9,G155,1)),"",IF((AND(LEFT(G155,2)=LEFT('112'!$M$9,2),B155&lt;'112'!$K$9,$N155='112'!$I$6)),"x",""))</f>
        <v/>
      </c>
      <c r="V155" s="79" t="str">
        <f>IF(ISERROR(FIND('112'!$M$9,G155,1)),"",IF((AND(RIGHT(G155,2)=RIGHT('112'!$M$9,2),B155&lt;'112'!$K$9,$O155='112'!$I$6)),"x",""))</f>
        <v/>
      </c>
      <c r="W155" s="79" t="str">
        <f>IF(AND('341-CT'!$H$9=H155,OR(LEFT(N155,3)=$W$7,LEFT(O155,3)=$W$7)),"x","")</f>
        <v/>
      </c>
      <c r="X155" s="79" t="str">
        <f>IF(OR(TH!N155=TH!$X$7,O155=TH!$X$7),"x","")</f>
        <v/>
      </c>
      <c r="Y155" s="79" t="str">
        <f>IF(AND(OR(N155="131",O155="131"),H155='131-CT'!$H$9),"x","")</f>
        <v/>
      </c>
      <c r="Z155" s="79"/>
      <c r="AA155" s="79" t="str">
        <f>IF(AND(MONTH(E155)='IN-NX'!$J$5,'IN-NX'!$D$7=D155),"x","")</f>
        <v/>
      </c>
      <c r="AB155" s="79" t="str">
        <f>IF(AND(OR(LEFT(TH!N155,2)="15",LEFT(TH!O155,2)="15"),LEFT(TH!O155,3)&lt;&gt;"111",'152-CT'!$J$8=TH!F155),"x","")</f>
        <v/>
      </c>
      <c r="AC155" s="79" t="str">
        <f>IF(AND(OR(LEFT(TH!N155,2)="15",LEFT(TH!O155,2)="15"),TK!$E$7=TH!F155),"x","")</f>
        <v/>
      </c>
      <c r="AD155" s="79" t="str">
        <f>IF(AND(N155="1521",MONTH(C155)='BK-NL'!$M$11),"x","")</f>
        <v/>
      </c>
    </row>
    <row r="156" spans="1:30" ht="16.5" customHeight="1">
      <c r="A156" s="318" t="str">
        <f>IF(B156&lt;&gt;"",IF(AND(B156='IN-TC'!$S$4,OR(TH!N156="1111",TH!O156="1111")),TH!D156,""),"")</f>
        <v/>
      </c>
      <c r="B156" s="1289">
        <f t="shared" ref="B156:B160" si="23">IF(C156&lt;&gt;"",MONTH(C156),"")</f>
        <v>7</v>
      </c>
      <c r="C156" s="682">
        <v>43312</v>
      </c>
      <c r="D156" s="682" t="s">
        <v>532</v>
      </c>
      <c r="E156" s="682">
        <f t="shared" si="20"/>
        <v>43312</v>
      </c>
      <c r="F156" s="943" t="s">
        <v>722</v>
      </c>
      <c r="G156" s="259"/>
      <c r="H156" s="303"/>
      <c r="I156" s="385"/>
      <c r="J156" s="392"/>
      <c r="K156" s="385"/>
      <c r="L156" s="392"/>
      <c r="M156" s="686"/>
      <c r="N156" s="687" t="s">
        <v>540</v>
      </c>
      <c r="O156" s="687" t="s">
        <v>541</v>
      </c>
      <c r="P156" s="79" t="str">
        <f>IF(AND('331-CT'!$E$7=TH!H156,OR(N156="331",O156="331")),"x","")</f>
        <v/>
      </c>
      <c r="Q156" s="79" t="str">
        <f>IF(AND(B156='111'!$L$11,OR($N156=$Q$7,$O156=$Q$7)),"x","")</f>
        <v/>
      </c>
      <c r="R156" s="79" t="str">
        <f>IF(AND($N156=$Q$7,$B156&lt;'111'!$L$11),"x","")</f>
        <v/>
      </c>
      <c r="S156" s="79" t="str">
        <f>IF(AND($O156=$Q$7,$B156&lt;'111'!$L$11),"x","")</f>
        <v/>
      </c>
      <c r="T156" s="79" t="str">
        <f>IF(ISERROR(FIND('112'!$M$9,G156,1)),"",IF((AND(FIND('112'!$M$9,G156,1)&gt;=1,B156='112'!$K$9,OR($N156='112'!$I$6,$O156='112'!$I$6))),"x",""))</f>
        <v/>
      </c>
      <c r="U156" s="79" t="str">
        <f>IF(ISERROR(FIND('112'!$M$9,G156,1)),"",IF((AND(LEFT(G156,2)=LEFT('112'!$M$9,2),B156&lt;'112'!$K$9,$N156='112'!$I$6)),"x",""))</f>
        <v/>
      </c>
      <c r="V156" s="79" t="str">
        <f>IF(ISERROR(FIND('112'!$M$9,G156,1)),"",IF((AND(RIGHT(G156,2)=RIGHT('112'!$M$9,2),B156&lt;'112'!$K$9,$O156='112'!$I$6)),"x",""))</f>
        <v/>
      </c>
      <c r="W156" s="79" t="str">
        <f>IF(AND('341-CT'!$H$9=H156,OR(LEFT(N156,3)=$W$7,LEFT(O156,3)=$W$7)),"x","")</f>
        <v/>
      </c>
      <c r="X156" s="79" t="str">
        <f>IF(OR(TH!N156=TH!$X$7,O156=TH!$X$7),"x","")</f>
        <v/>
      </c>
      <c r="Y156" s="79" t="str">
        <f>IF(AND(OR(N156="131",O156="131"),H156='131-CT'!$H$9),"x","")</f>
        <v/>
      </c>
      <c r="Z156" s="79"/>
      <c r="AA156" s="79" t="str">
        <f>IF(AND(MONTH(E156)='IN-NX'!$J$5,'IN-NX'!$D$7=D156),"x","")</f>
        <v/>
      </c>
      <c r="AB156" s="79" t="str">
        <f>IF(AND(OR(LEFT(TH!N156,2)="15",LEFT(TH!O156,2)="15"),LEFT(TH!O156,3)&lt;&gt;"111",'152-CT'!$J$8=TH!F156),"x","")</f>
        <v/>
      </c>
      <c r="AC156" s="79" t="str">
        <f>IF(AND(OR(LEFT(TH!N156,2)="15",LEFT(TH!O156,2)="15"),TK!$E$7=TH!F156),"x","")</f>
        <v/>
      </c>
      <c r="AD156" s="79" t="str">
        <f>IF(AND(N156="1521",MONTH(C156)='BK-NL'!$M$11),"x","")</f>
        <v/>
      </c>
    </row>
    <row r="157" spans="1:30" ht="16.5" customHeight="1">
      <c r="A157" s="318" t="str">
        <f>IF(B157&lt;&gt;"",IF(AND(B157='IN-TC'!$S$4,OR(TH!N157="1111",TH!O157="1111")),TH!D157,""),"")</f>
        <v/>
      </c>
      <c r="B157" s="1289">
        <f t="shared" si="23"/>
        <v>7</v>
      </c>
      <c r="C157" s="682">
        <v>43312</v>
      </c>
      <c r="D157" s="682" t="s">
        <v>532</v>
      </c>
      <c r="E157" s="682">
        <f t="shared" si="20"/>
        <v>43312</v>
      </c>
      <c r="F157" s="943" t="s">
        <v>723</v>
      </c>
      <c r="G157" s="259"/>
      <c r="H157" s="303"/>
      <c r="I157" s="385"/>
      <c r="J157" s="392"/>
      <c r="K157" s="385"/>
      <c r="L157" s="392"/>
      <c r="M157" s="686"/>
      <c r="N157" s="687" t="s">
        <v>272</v>
      </c>
      <c r="O157" s="687" t="s">
        <v>541</v>
      </c>
      <c r="P157" s="79" t="str">
        <f>IF(AND('331-CT'!$E$7=TH!H157,OR(N157="331",O157="331")),"x","")</f>
        <v/>
      </c>
      <c r="Q157" s="79" t="str">
        <f>IF(AND(B157='111'!$L$11,OR($N157=$Q$7,$O157=$Q$7)),"x","")</f>
        <v/>
      </c>
      <c r="R157" s="79" t="str">
        <f>IF(AND($N157=$Q$7,$B157&lt;'111'!$L$11),"x","")</f>
        <v/>
      </c>
      <c r="S157" s="79" t="str">
        <f>IF(AND($O157=$Q$7,$B157&lt;'111'!$L$11),"x","")</f>
        <v/>
      </c>
      <c r="T157" s="79" t="str">
        <f>IF(ISERROR(FIND('112'!$M$9,G157,1)),"",IF((AND(FIND('112'!$M$9,G157,1)&gt;=1,B157='112'!$K$9,OR($N157='112'!$I$6,$O157='112'!$I$6))),"x",""))</f>
        <v/>
      </c>
      <c r="U157" s="79" t="str">
        <f>IF(ISERROR(FIND('112'!$M$9,G157,1)),"",IF((AND(LEFT(G157,2)=LEFT('112'!$M$9,2),B157&lt;'112'!$K$9,$N157='112'!$I$6)),"x",""))</f>
        <v/>
      </c>
      <c r="V157" s="79" t="str">
        <f>IF(ISERROR(FIND('112'!$M$9,G157,1)),"",IF((AND(RIGHT(G157,2)=RIGHT('112'!$M$9,2),B157&lt;'112'!$K$9,$O157='112'!$I$6)),"x",""))</f>
        <v/>
      </c>
      <c r="W157" s="79" t="str">
        <f>IF(AND('341-CT'!$H$9=H157,OR(LEFT(N157,3)=$W$7,LEFT(O157,3)=$W$7)),"x","")</f>
        <v/>
      </c>
      <c r="X157" s="79" t="str">
        <f>IF(OR(TH!N157=TH!$X$7,O157=TH!$X$7),"x","")</f>
        <v/>
      </c>
      <c r="Y157" s="79" t="str">
        <f>IF(AND(OR(N157="131",O157="131"),H157='131-CT'!$H$9),"x","")</f>
        <v/>
      </c>
      <c r="Z157" s="79"/>
      <c r="AA157" s="79" t="str">
        <f>IF(AND(MONTH(E157)='IN-NX'!$J$5,'IN-NX'!$D$7=D157),"x","")</f>
        <v/>
      </c>
      <c r="AB157" s="79" t="str">
        <f>IF(AND(OR(LEFT(TH!N157,2)="15",LEFT(TH!O157,2)="15"),LEFT(TH!O157,3)&lt;&gt;"111",'152-CT'!$J$8=TH!F157),"x","")</f>
        <v/>
      </c>
      <c r="AC157" s="79" t="str">
        <f>IF(AND(OR(LEFT(TH!N157,2)="15",LEFT(TH!O157,2)="15"),TK!$E$7=TH!F157),"x","")</f>
        <v/>
      </c>
      <c r="AD157" s="79" t="str">
        <f>IF(AND(N157="1521",MONTH(C157)='BK-NL'!$M$11),"x","")</f>
        <v/>
      </c>
    </row>
    <row r="158" spans="1:30" ht="16.5" customHeight="1">
      <c r="A158" s="318" t="str">
        <f>IF(B158&lt;&gt;"",IF(AND(B158='IN-TC'!$S$4,OR(TH!N158="1111",TH!O158="1111")),TH!D158,""),"")</f>
        <v/>
      </c>
      <c r="B158" s="1289">
        <f t="shared" si="23"/>
        <v>7</v>
      </c>
      <c r="C158" s="682">
        <v>43312</v>
      </c>
      <c r="D158" s="682" t="s">
        <v>532</v>
      </c>
      <c r="E158" s="682">
        <f t="shared" si="20"/>
        <v>43312</v>
      </c>
      <c r="F158" s="943" t="s">
        <v>724</v>
      </c>
      <c r="G158" s="763" t="s">
        <v>533</v>
      </c>
      <c r="H158" s="303"/>
      <c r="I158" s="385"/>
      <c r="J158" s="392"/>
      <c r="K158" s="385"/>
      <c r="L158" s="392"/>
      <c r="M158" s="686">
        <f>G156*$G158</f>
        <v>0</v>
      </c>
      <c r="N158" s="687" t="s">
        <v>541</v>
      </c>
      <c r="O158" s="687" t="s">
        <v>542</v>
      </c>
      <c r="P158" s="79" t="str">
        <f>IF(AND('331-CT'!$E$7=TH!H158,OR(N158="331",O158="331")),"x","")</f>
        <v/>
      </c>
      <c r="Q158" s="79" t="str">
        <f>IF(AND(B158='111'!$L$11,OR($N158=$Q$7,$O158=$Q$7)),"x","")</f>
        <v/>
      </c>
      <c r="R158" s="79" t="str">
        <f>IF(AND($N158=$Q$7,$B158&lt;'111'!$L$11),"x","")</f>
        <v/>
      </c>
      <c r="S158" s="79" t="str">
        <f>IF(AND($O158=$Q$7,$B158&lt;'111'!$L$11),"x","")</f>
        <v/>
      </c>
      <c r="T158" s="79" t="str">
        <f>IF(ISERROR(FIND('112'!$M$9,G158,1)),"",IF((AND(FIND('112'!$M$9,G158,1)&gt;=1,B158='112'!$K$9,OR($N158='112'!$I$6,$O158='112'!$I$6))),"x",""))</f>
        <v/>
      </c>
      <c r="U158" s="79" t="str">
        <f>IF(ISERROR(FIND('112'!$M$9,G158,1)),"",IF((AND(LEFT(G158,2)=LEFT('112'!$M$9,2),B158&lt;'112'!$K$9,$N158='112'!$I$6)),"x",""))</f>
        <v/>
      </c>
      <c r="V158" s="79" t="str">
        <f>IF(ISERROR(FIND('112'!$M$9,G158,1)),"",IF((AND(RIGHT(G158,2)=RIGHT('112'!$M$9,2),B158&lt;'112'!$K$9,$O158='112'!$I$6)),"x",""))</f>
        <v/>
      </c>
      <c r="W158" s="79" t="str">
        <f>IF(AND('341-CT'!$H$9=H158,OR(LEFT(N158,3)=$W$7,LEFT(O158,3)=$W$7)),"x","")</f>
        <v/>
      </c>
      <c r="X158" s="79" t="str">
        <f>IF(OR(TH!N158=TH!$X$7,O158=TH!$X$7),"x","")</f>
        <v/>
      </c>
      <c r="Y158" s="79" t="str">
        <f>IF(AND(OR(N158="131",O158="131"),H158='131-CT'!$H$9),"x","")</f>
        <v/>
      </c>
      <c r="Z158" s="79"/>
      <c r="AA158" s="79" t="str">
        <f>IF(AND(MONTH(E158)='IN-NX'!$J$5,'IN-NX'!$D$7=D158),"x","")</f>
        <v/>
      </c>
      <c r="AB158" s="79" t="str">
        <f>IF(AND(OR(LEFT(TH!N158,2)="15",LEFT(TH!O158,2)="15"),LEFT(TH!O158,3)&lt;&gt;"111",'152-CT'!$J$8=TH!F158),"x","")</f>
        <v/>
      </c>
      <c r="AC158" s="79" t="str">
        <f>IF(AND(OR(LEFT(TH!N158,2)="15",LEFT(TH!O158,2)="15"),TK!$E$7=TH!F158),"x","")</f>
        <v/>
      </c>
      <c r="AD158" s="79" t="str">
        <f>IF(AND(N158="1521",MONTH(C158)='BK-NL'!$M$11),"x","")</f>
        <v/>
      </c>
    </row>
    <row r="159" spans="1:30" ht="16.5" customHeight="1">
      <c r="A159" s="318" t="str">
        <f>IF(B159&lt;&gt;"",IF(AND(B159='IN-TC'!$S$4,OR(TH!N159="1111",TH!O159="1111")),TH!D159,""),"")</f>
        <v/>
      </c>
      <c r="B159" s="1289">
        <f t="shared" si="23"/>
        <v>7</v>
      </c>
      <c r="C159" s="682">
        <v>43312</v>
      </c>
      <c r="D159" s="682" t="s">
        <v>532</v>
      </c>
      <c r="E159" s="682">
        <f t="shared" si="20"/>
        <v>43312</v>
      </c>
      <c r="F159" s="943" t="s">
        <v>725</v>
      </c>
      <c r="G159" s="259"/>
      <c r="H159" s="303"/>
      <c r="I159" s="385"/>
      <c r="J159" s="392"/>
      <c r="K159" s="385"/>
      <c r="L159" s="392"/>
      <c r="M159" s="686">
        <f>G157*$G158</f>
        <v>0</v>
      </c>
      <c r="N159" s="688" t="s">
        <v>541</v>
      </c>
      <c r="O159" s="689" t="s">
        <v>542</v>
      </c>
      <c r="P159" s="79" t="str">
        <f>IF(AND('331-CT'!$E$7=TH!H159,OR(N159="331",O159="331")),"x","")</f>
        <v/>
      </c>
      <c r="Q159" s="79" t="str">
        <f>IF(AND(B159='111'!$L$11,OR($N159=$Q$7,$O159=$Q$7)),"x","")</f>
        <v/>
      </c>
      <c r="R159" s="79" t="str">
        <f>IF(AND($N159=$Q$7,$B159&lt;'111'!$L$11),"x","")</f>
        <v/>
      </c>
      <c r="S159" s="79" t="str">
        <f>IF(AND($O159=$Q$7,$B159&lt;'111'!$L$11),"x","")</f>
        <v/>
      </c>
      <c r="T159" s="79" t="str">
        <f>IF(ISERROR(FIND('112'!$M$9,G159,1)),"",IF((AND(FIND('112'!$M$9,G159,1)&gt;=1,B159='112'!$K$9,OR($N159='112'!$I$6,$O159='112'!$I$6))),"x",""))</f>
        <v/>
      </c>
      <c r="U159" s="79" t="str">
        <f>IF(ISERROR(FIND('112'!$M$9,G159,1)),"",IF((AND(LEFT(G159,2)=LEFT('112'!$M$9,2),B159&lt;'112'!$K$9,$N159='112'!$I$6)),"x",""))</f>
        <v/>
      </c>
      <c r="V159" s="79" t="str">
        <f>IF(ISERROR(FIND('112'!$M$9,G159,1)),"",IF((AND(RIGHT(G159,2)=RIGHT('112'!$M$9,2),B159&lt;'112'!$K$9,$O159='112'!$I$6)),"x",""))</f>
        <v/>
      </c>
      <c r="W159" s="79" t="str">
        <f>IF(AND('341-CT'!$H$9=H159,OR(LEFT(N159,3)=$W$7,LEFT(O159,3)=$W$7)),"x","")</f>
        <v/>
      </c>
      <c r="X159" s="79" t="str">
        <f>IF(OR(TH!N159=TH!$X$7,O159=TH!$X$7),"x","")</f>
        <v/>
      </c>
      <c r="Y159" s="79" t="str">
        <f>IF(AND(OR(N159="131",O159="131"),H159='131-CT'!$H$9),"x","")</f>
        <v/>
      </c>
      <c r="Z159" s="79"/>
      <c r="AA159" s="79" t="str">
        <f>IF(AND(MONTH(E159)='IN-NX'!$J$5,'IN-NX'!$D$7=D159),"x","")</f>
        <v/>
      </c>
      <c r="AB159" s="79" t="str">
        <f>IF(AND(OR(LEFT(TH!N159,2)="15",LEFT(TH!O159,2)="15"),LEFT(TH!O159,3)&lt;&gt;"111",'152-CT'!$J$8=TH!F159),"x","")</f>
        <v/>
      </c>
      <c r="AC159" s="79" t="str">
        <f>IF(AND(OR(LEFT(TH!N159,2)="15",LEFT(TH!O159,2)="15"),TK!$E$7=TH!F159),"x","")</f>
        <v/>
      </c>
      <c r="AD159" s="79" t="str">
        <f>IF(AND(N159="1521",MONTH(C159)='BK-NL'!$M$11),"x","")</f>
        <v/>
      </c>
    </row>
    <row r="160" spans="1:30" ht="16.5" customHeight="1">
      <c r="A160" s="318" t="str">
        <f>IF(B160&lt;&gt;"",IF(AND(B160='IN-TC'!$S$4,OR(TH!N160="1111",TH!O160="1111")),TH!D160,""),"")</f>
        <v/>
      </c>
      <c r="B160" s="1289">
        <f t="shared" si="23"/>
        <v>7</v>
      </c>
      <c r="C160" s="682">
        <v>43312</v>
      </c>
      <c r="D160" s="682" t="s">
        <v>532</v>
      </c>
      <c r="E160" s="682">
        <f t="shared" si="20"/>
        <v>43312</v>
      </c>
      <c r="F160" s="943" t="s">
        <v>726</v>
      </c>
      <c r="G160" s="763" t="s">
        <v>957</v>
      </c>
      <c r="H160" s="303"/>
      <c r="I160" s="385"/>
      <c r="J160" s="392"/>
      <c r="K160" s="385"/>
      <c r="L160" s="392"/>
      <c r="M160" s="686">
        <f>G156*$G160</f>
        <v>0</v>
      </c>
      <c r="N160" s="687" t="s">
        <v>540</v>
      </c>
      <c r="O160" s="687" t="s">
        <v>542</v>
      </c>
      <c r="P160" s="79" t="str">
        <f>IF(AND('331-CT'!$E$7=TH!H160,OR(N160="331",O160="331")),"x","")</f>
        <v/>
      </c>
      <c r="Q160" s="79" t="str">
        <f>IF(AND(B160='111'!$L$11,OR($N160=$Q$7,$O160=$Q$7)),"x","")</f>
        <v/>
      </c>
      <c r="R160" s="79" t="str">
        <f>IF(AND($N160=$Q$7,$B160&lt;'111'!$L$11),"x","")</f>
        <v/>
      </c>
      <c r="S160" s="79" t="str">
        <f>IF(AND($O160=$Q$7,$B160&lt;'111'!$L$11),"x","")</f>
        <v/>
      </c>
      <c r="T160" s="79" t="str">
        <f>IF(ISERROR(FIND('112'!$M$9,G160,1)),"",IF((AND(FIND('112'!$M$9,G160,1)&gt;=1,B160='112'!$K$9,OR($N160='112'!$I$6,$O160='112'!$I$6))),"x",""))</f>
        <v/>
      </c>
      <c r="U160" s="79" t="str">
        <f>IF(ISERROR(FIND('112'!$M$9,G160,1)),"",IF((AND(LEFT(G160,2)=LEFT('112'!$M$9,2),B160&lt;'112'!$K$9,$N160='112'!$I$6)),"x",""))</f>
        <v/>
      </c>
      <c r="V160" s="79" t="str">
        <f>IF(ISERROR(FIND('112'!$M$9,G160,1)),"",IF((AND(RIGHT(G160,2)=RIGHT('112'!$M$9,2),B160&lt;'112'!$K$9,$O160='112'!$I$6)),"x",""))</f>
        <v/>
      </c>
      <c r="W160" s="79" t="str">
        <f>IF(AND('341-CT'!$H$9=H160,OR(LEFT(N160,3)=$W$7,LEFT(O160,3)=$W$7)),"x","")</f>
        <v/>
      </c>
      <c r="X160" s="79" t="str">
        <f>IF(OR(TH!N160=TH!$X$7,O160=TH!$X$7),"x","")</f>
        <v/>
      </c>
      <c r="Y160" s="79" t="str">
        <f>IF(AND(OR(N160="131",O160="131"),H160='131-CT'!$H$9),"x","")</f>
        <v/>
      </c>
      <c r="Z160" s="79"/>
      <c r="AA160" s="79" t="str">
        <f>IF(AND(MONTH(E160)='IN-NX'!$J$5,'IN-NX'!$D$7=D160),"x","")</f>
        <v/>
      </c>
      <c r="AB160" s="79" t="str">
        <f>IF(AND(OR(LEFT(TH!N160,2)="15",LEFT(TH!O160,2)="15"),LEFT(TH!O160,3)&lt;&gt;"111",'152-CT'!$J$8=TH!F160),"x","")</f>
        <v/>
      </c>
      <c r="AC160" s="79" t="str">
        <f>IF(AND(OR(LEFT(TH!N160,2)="15",LEFT(TH!O160,2)="15"),TK!$E$7=TH!F160),"x","")</f>
        <v/>
      </c>
      <c r="AD160" s="79" t="str">
        <f>IF(AND(N160="1521",MONTH(C160)='BK-NL'!$M$11),"x","")</f>
        <v/>
      </c>
    </row>
    <row r="161" spans="1:30" ht="16.5" customHeight="1">
      <c r="A161" s="318" t="str">
        <f>IF(B161&lt;&gt;"",IF(AND(B161='IN-TC'!$S$4,OR(TH!N161="1111",TH!O161="1111")),TH!D161,""),"")</f>
        <v/>
      </c>
      <c r="B161" s="1289">
        <f t="shared" ref="B161:B233" si="24">IF(C161&lt;&gt;"",MONTH(C161),"")</f>
        <v>7</v>
      </c>
      <c r="C161" s="682">
        <v>43312</v>
      </c>
      <c r="D161" s="682" t="s">
        <v>532</v>
      </c>
      <c r="E161" s="682">
        <f t="shared" si="20"/>
        <v>43312</v>
      </c>
      <c r="F161" s="943" t="s">
        <v>727</v>
      </c>
      <c r="G161" s="259"/>
      <c r="H161" s="303"/>
      <c r="I161" s="385"/>
      <c r="J161" s="392"/>
      <c r="K161" s="385"/>
      <c r="L161" s="392"/>
      <c r="M161" s="686">
        <f>G157*$G160</f>
        <v>0</v>
      </c>
      <c r="N161" s="687" t="s">
        <v>272</v>
      </c>
      <c r="O161" s="687" t="s">
        <v>542</v>
      </c>
      <c r="P161" s="79" t="str">
        <f>IF(AND('331-CT'!$E$7=TH!H161,OR(N161="331",O161="331")),"x","")</f>
        <v/>
      </c>
      <c r="Q161" s="79" t="str">
        <f>IF(AND(B161='111'!$L$11,OR($N161=$Q$7,$O161=$Q$7)),"x","")</f>
        <v/>
      </c>
      <c r="R161" s="79" t="str">
        <f>IF(AND($N161=$Q$7,$B161&lt;'111'!$L$11),"x","")</f>
        <v/>
      </c>
      <c r="S161" s="79" t="str">
        <f>IF(AND($O161=$Q$7,$B161&lt;'111'!$L$11),"x","")</f>
        <v/>
      </c>
      <c r="T161" s="79" t="str">
        <f>IF(ISERROR(FIND('112'!$M$9,G161,1)),"",IF((AND(FIND('112'!$M$9,G161,1)&gt;=1,B161='112'!$K$9,OR($N161='112'!$I$6,$O161='112'!$I$6))),"x",""))</f>
        <v/>
      </c>
      <c r="U161" s="79" t="str">
        <f>IF(ISERROR(FIND('112'!$M$9,G161,1)),"",IF((AND(LEFT(G161,2)=LEFT('112'!$M$9,2),B161&lt;'112'!$K$9,$N161='112'!$I$6)),"x",""))</f>
        <v/>
      </c>
      <c r="V161" s="79" t="str">
        <f>IF(ISERROR(FIND('112'!$M$9,G161,1)),"",IF((AND(RIGHT(G161,2)=RIGHT('112'!$M$9,2),B161&lt;'112'!$K$9,$O161='112'!$I$6)),"x",""))</f>
        <v/>
      </c>
      <c r="W161" s="79" t="str">
        <f>IF(AND('341-CT'!$H$9=H161,OR(LEFT(N161,3)=$W$7,LEFT(O161,3)=$W$7)),"x","")</f>
        <v/>
      </c>
      <c r="X161" s="79" t="str">
        <f>IF(OR(TH!N161=TH!$X$7,O161=TH!$X$7),"x","")</f>
        <v/>
      </c>
      <c r="Y161" s="79" t="str">
        <f>IF(AND(OR(N161="131",O161="131"),H161='131-CT'!$H$9),"x","")</f>
        <v/>
      </c>
      <c r="Z161" s="79"/>
      <c r="AA161" s="79" t="str">
        <f>IF(AND(MONTH(E161)='IN-NX'!$J$5,'IN-NX'!$D$7=D161),"x","")</f>
        <v/>
      </c>
      <c r="AB161" s="79" t="str">
        <f>IF(AND(OR(LEFT(TH!N161,2)="15",LEFT(TH!O161,2)="15"),LEFT(TH!O161,3)&lt;&gt;"111",'152-CT'!$J$8=TH!F161),"x","")</f>
        <v/>
      </c>
      <c r="AC161" s="79" t="str">
        <f>IF(AND(OR(LEFT(TH!N161,2)="15",LEFT(TH!O161,2)="15"),TK!$E$7=TH!F161),"x","")</f>
        <v/>
      </c>
      <c r="AD161" s="79" t="str">
        <f>IF(AND(N161="1521",MONTH(C161)='BK-NL'!$M$11),"x","")</f>
        <v/>
      </c>
    </row>
    <row r="162" spans="1:30" ht="16.5" customHeight="1">
      <c r="A162" s="318" t="str">
        <f>IF(B162&lt;&gt;"",IF(AND(B162='IN-TC'!$S$4,OR(TH!N162="1111",TH!O162="1111")),TH!D162,""),"")</f>
        <v/>
      </c>
      <c r="B162" s="1289">
        <f t="shared" si="24"/>
        <v>7</v>
      </c>
      <c r="C162" s="682">
        <v>43312</v>
      </c>
      <c r="D162" s="682" t="s">
        <v>532</v>
      </c>
      <c r="E162" s="682">
        <f t="shared" si="20"/>
        <v>43312</v>
      </c>
      <c r="F162" s="943" t="s">
        <v>728</v>
      </c>
      <c r="G162" s="763" t="s">
        <v>534</v>
      </c>
      <c r="H162" s="305"/>
      <c r="I162" s="383"/>
      <c r="J162" s="390"/>
      <c r="K162" s="383"/>
      <c r="L162" s="390"/>
      <c r="M162" s="686">
        <f>ROUND(G156*$G162,0)</f>
        <v>0</v>
      </c>
      <c r="N162" s="687" t="s">
        <v>541</v>
      </c>
      <c r="O162" s="687" t="s">
        <v>543</v>
      </c>
      <c r="P162" s="79" t="str">
        <f>IF(AND('331-CT'!$E$7=TH!H162,OR(N162="331",O162="331")),"x","")</f>
        <v/>
      </c>
      <c r="Q162" s="79" t="str">
        <f>IF(AND(B162='111'!$L$11,OR($N162=$Q$7,$O162=$Q$7)),"x","")</f>
        <v/>
      </c>
      <c r="R162" s="79" t="str">
        <f>IF(AND($N162=$Q$7,$B162&lt;'111'!$L$11),"x","")</f>
        <v/>
      </c>
      <c r="S162" s="79" t="str">
        <f>IF(AND($O162=$Q$7,$B162&lt;'111'!$L$11),"x","")</f>
        <v/>
      </c>
      <c r="T162" s="79" t="str">
        <f>IF(ISERROR(FIND('112'!$M$9,G162,1)),"",IF((AND(FIND('112'!$M$9,G162,1)&gt;=1,B162='112'!$K$9,OR($N162='112'!$I$6,$O162='112'!$I$6))),"x",""))</f>
        <v/>
      </c>
      <c r="U162" s="79" t="str">
        <f>IF(ISERROR(FIND('112'!$M$9,G162,1)),"",IF((AND(LEFT(G162,2)=LEFT('112'!$M$9,2),B162&lt;'112'!$K$9,$N162='112'!$I$6)),"x",""))</f>
        <v/>
      </c>
      <c r="V162" s="79" t="str">
        <f>IF(ISERROR(FIND('112'!$M$9,G162,1)),"",IF((AND(RIGHT(G162,2)=RIGHT('112'!$M$9,2),B162&lt;'112'!$K$9,$O162='112'!$I$6)),"x",""))</f>
        <v/>
      </c>
      <c r="W162" s="79" t="str">
        <f>IF(AND('341-CT'!$H$9=H162,OR(LEFT(N162,3)=$W$7,LEFT(O162,3)=$W$7)),"x","")</f>
        <v/>
      </c>
      <c r="X162" s="79" t="str">
        <f>IF(OR(TH!N162=TH!$X$7,O162=TH!$X$7),"x","")</f>
        <v/>
      </c>
      <c r="Y162" s="79" t="str">
        <f>IF(AND(OR(N162="131",O162="131"),H162='131-CT'!$H$9),"x","")</f>
        <v/>
      </c>
      <c r="Z162" s="79"/>
      <c r="AA162" s="79" t="str">
        <f>IF(AND(MONTH(E162)='IN-NX'!$J$5,'IN-NX'!$D$7=D162),"x","")</f>
        <v/>
      </c>
      <c r="AB162" s="79" t="str">
        <f>IF(AND(OR(LEFT(TH!N162,2)="15",LEFT(TH!O162,2)="15"),LEFT(TH!O162,3)&lt;&gt;"111",'152-CT'!$J$8=TH!F162),"x","")</f>
        <v/>
      </c>
      <c r="AC162" s="79" t="str">
        <f>IF(AND(OR(LEFT(TH!N162,2)="15",LEFT(TH!O162,2)="15"),TK!$E$7=TH!F162),"x","")</f>
        <v/>
      </c>
      <c r="AD162" s="79" t="str">
        <f>IF(AND(N162="1521",MONTH(C162)='BK-NL'!$M$11),"x","")</f>
        <v/>
      </c>
    </row>
    <row r="163" spans="1:30" ht="16.5" customHeight="1">
      <c r="A163" s="318" t="str">
        <f>IF(B163&lt;&gt;"",IF(AND(B163='IN-TC'!$S$4,OR(TH!N163="1111",TH!O163="1111")),TH!D163,""),"")</f>
        <v/>
      </c>
      <c r="B163" s="1289">
        <f t="shared" si="24"/>
        <v>7</v>
      </c>
      <c r="C163" s="682">
        <v>43312</v>
      </c>
      <c r="D163" s="682" t="s">
        <v>532</v>
      </c>
      <c r="E163" s="682">
        <f t="shared" si="20"/>
        <v>43312</v>
      </c>
      <c r="F163" s="943" t="s">
        <v>729</v>
      </c>
      <c r="G163" s="259"/>
      <c r="H163" s="305"/>
      <c r="I163" s="383"/>
      <c r="J163" s="390"/>
      <c r="K163" s="383"/>
      <c r="L163" s="390"/>
      <c r="M163" s="686">
        <f>ROUND(G157*$G162,0)</f>
        <v>0</v>
      </c>
      <c r="N163" s="687" t="s">
        <v>541</v>
      </c>
      <c r="O163" s="687" t="s">
        <v>543</v>
      </c>
      <c r="P163" s="79" t="str">
        <f>IF(AND('331-CT'!$E$7=TH!H163,OR(N163="331",O163="331")),"x","")</f>
        <v/>
      </c>
      <c r="Q163" s="79" t="str">
        <f>IF(AND(B163='111'!$L$11,OR($N163=$Q$7,$O163=$Q$7)),"x","")</f>
        <v/>
      </c>
      <c r="R163" s="79" t="str">
        <f>IF(AND($N163=$Q$7,$B163&lt;'111'!$L$11),"x","")</f>
        <v/>
      </c>
      <c r="S163" s="79" t="str">
        <f>IF(AND($O163=$Q$7,$B163&lt;'111'!$L$11),"x","")</f>
        <v/>
      </c>
      <c r="T163" s="79" t="str">
        <f>IF(ISERROR(FIND('112'!$M$9,G163,1)),"",IF((AND(FIND('112'!$M$9,G163,1)&gt;=1,B163='112'!$K$9,OR($N163='112'!$I$6,$O163='112'!$I$6))),"x",""))</f>
        <v/>
      </c>
      <c r="U163" s="79" t="str">
        <f>IF(ISERROR(FIND('112'!$M$9,G163,1)),"",IF((AND(LEFT(G163,2)=LEFT('112'!$M$9,2),B163&lt;'112'!$K$9,$N163='112'!$I$6)),"x",""))</f>
        <v/>
      </c>
      <c r="V163" s="79" t="str">
        <f>IF(ISERROR(FIND('112'!$M$9,G163,1)),"",IF((AND(RIGHT(G163,2)=RIGHT('112'!$M$9,2),B163&lt;'112'!$K$9,$O163='112'!$I$6)),"x",""))</f>
        <v/>
      </c>
      <c r="W163" s="79" t="str">
        <f>IF(AND('341-CT'!$H$9=H163,OR(LEFT(N163,3)=$W$7,LEFT(O163,3)=$W$7)),"x","")</f>
        <v/>
      </c>
      <c r="X163" s="79" t="str">
        <f>IF(OR(TH!N163=TH!$X$7,O163=TH!$X$7),"x","")</f>
        <v/>
      </c>
      <c r="Y163" s="79" t="str">
        <f>IF(AND(OR(N163="131",O163="131"),H163='131-CT'!$H$9),"x","")</f>
        <v/>
      </c>
      <c r="Z163" s="79"/>
      <c r="AA163" s="79" t="str">
        <f>IF(AND(MONTH(E163)='IN-NX'!$J$5,'IN-NX'!$D$7=D163),"x","")</f>
        <v/>
      </c>
      <c r="AB163" s="79" t="str">
        <f>IF(AND(OR(LEFT(TH!N163,2)="15",LEFT(TH!O163,2)="15"),LEFT(TH!O163,3)&lt;&gt;"111",'152-CT'!$J$8=TH!F163),"x","")</f>
        <v/>
      </c>
      <c r="AC163" s="79" t="str">
        <f>IF(AND(OR(LEFT(TH!N163,2)="15",LEFT(TH!O163,2)="15"),TK!$E$7=TH!F163),"x","")</f>
        <v/>
      </c>
      <c r="AD163" s="79" t="str">
        <f>IF(AND(N163="1521",MONTH(C163)='BK-NL'!$M$11),"x","")</f>
        <v/>
      </c>
    </row>
    <row r="164" spans="1:30" ht="16.5" customHeight="1">
      <c r="A164" s="318" t="str">
        <f>IF(B164&lt;&gt;"",IF(AND(B164='IN-TC'!$S$4,OR(TH!N164="1111",TH!O164="1111")),TH!D164,""),"")</f>
        <v/>
      </c>
      <c r="B164" s="1289">
        <f t="shared" si="24"/>
        <v>7</v>
      </c>
      <c r="C164" s="682">
        <v>43312</v>
      </c>
      <c r="D164" s="682" t="s">
        <v>532</v>
      </c>
      <c r="E164" s="682">
        <f t="shared" si="20"/>
        <v>43312</v>
      </c>
      <c r="F164" s="943" t="s">
        <v>730</v>
      </c>
      <c r="G164" s="763" t="s">
        <v>535</v>
      </c>
      <c r="H164" s="303"/>
      <c r="I164" s="385"/>
      <c r="J164" s="392"/>
      <c r="K164" s="385"/>
      <c r="L164" s="392"/>
      <c r="M164" s="686">
        <f>G156*$G164</f>
        <v>0</v>
      </c>
      <c r="N164" s="687" t="s">
        <v>540</v>
      </c>
      <c r="O164" s="687" t="s">
        <v>543</v>
      </c>
      <c r="P164" s="79" t="str">
        <f>IF(AND('331-CT'!$E$7=TH!H164,OR(N164="331",O164="331")),"x","")</f>
        <v/>
      </c>
      <c r="Q164" s="79" t="str">
        <f>IF(AND(B164='111'!$L$11,OR($N164=$Q$7,$O164=$Q$7)),"x","")</f>
        <v/>
      </c>
      <c r="R164" s="79" t="str">
        <f>IF(AND($N164=$Q$7,$B164&lt;'111'!$L$11),"x","")</f>
        <v/>
      </c>
      <c r="S164" s="79" t="str">
        <f>IF(AND($O164=$Q$7,$B164&lt;'111'!$L$11),"x","")</f>
        <v/>
      </c>
      <c r="T164" s="79" t="str">
        <f>IF(ISERROR(FIND('112'!$M$9,G164,1)),"",IF((AND(FIND('112'!$M$9,G164,1)&gt;=1,B164='112'!$K$9,OR($N164='112'!$I$6,$O164='112'!$I$6))),"x",""))</f>
        <v/>
      </c>
      <c r="U164" s="79" t="str">
        <f>IF(ISERROR(FIND('112'!$M$9,G164,1)),"",IF((AND(LEFT(G164,2)=LEFT('112'!$M$9,2),B164&lt;'112'!$K$9,$N164='112'!$I$6)),"x",""))</f>
        <v/>
      </c>
      <c r="V164" s="79" t="str">
        <f>IF(ISERROR(FIND('112'!$M$9,G164,1)),"",IF((AND(RIGHT(G164,2)=RIGHT('112'!$M$9,2),B164&lt;'112'!$K$9,$O164='112'!$I$6)),"x",""))</f>
        <v/>
      </c>
      <c r="W164" s="79" t="str">
        <f>IF(AND('341-CT'!$H$9=H164,OR(LEFT(N164,3)=$W$7,LEFT(O164,3)=$W$7)),"x","")</f>
        <v/>
      </c>
      <c r="X164" s="79" t="str">
        <f>IF(OR(TH!N164=TH!$X$7,O164=TH!$X$7),"x","")</f>
        <v/>
      </c>
      <c r="Y164" s="79" t="str">
        <f>IF(AND(OR(N164="131",O164="131"),H164='131-CT'!$H$9),"x","")</f>
        <v/>
      </c>
      <c r="Z164" s="79"/>
      <c r="AA164" s="79" t="str">
        <f>IF(AND(MONTH(E164)='IN-NX'!$J$5,'IN-NX'!$D$7=D164),"x","")</f>
        <v/>
      </c>
      <c r="AB164" s="79" t="str">
        <f>IF(AND(OR(LEFT(TH!N164,2)="15",LEFT(TH!O164,2)="15"),LEFT(TH!O164,3)&lt;&gt;"111",'152-CT'!$J$8=TH!F164),"x","")</f>
        <v/>
      </c>
      <c r="AC164" s="79" t="str">
        <f>IF(AND(OR(LEFT(TH!N164,2)="15",LEFT(TH!O164,2)="15"),TK!$E$7=TH!F164),"x","")</f>
        <v/>
      </c>
      <c r="AD164" s="79" t="str">
        <f>IF(AND(N164="1521",MONTH(C164)='BK-NL'!$M$11),"x","")</f>
        <v/>
      </c>
    </row>
    <row r="165" spans="1:30" ht="16.5" customHeight="1">
      <c r="A165" s="318" t="str">
        <f>IF(B165&lt;&gt;"",IF(AND(B165='IN-TC'!$S$4,OR(TH!N165="1111",TH!O165="1111")),TH!D165,""),"")</f>
        <v/>
      </c>
      <c r="B165" s="1289">
        <f t="shared" si="24"/>
        <v>7</v>
      </c>
      <c r="C165" s="682">
        <v>43312</v>
      </c>
      <c r="D165" s="682" t="s">
        <v>532</v>
      </c>
      <c r="E165" s="682">
        <f t="shared" si="20"/>
        <v>43312</v>
      </c>
      <c r="F165" s="943" t="s">
        <v>731</v>
      </c>
      <c r="G165" s="259"/>
      <c r="H165" s="303"/>
      <c r="I165" s="385"/>
      <c r="J165" s="392"/>
      <c r="K165" s="385"/>
      <c r="L165" s="392"/>
      <c r="M165" s="686">
        <f>G157*$G164</f>
        <v>0</v>
      </c>
      <c r="N165" s="687" t="s">
        <v>272</v>
      </c>
      <c r="O165" s="687" t="s">
        <v>543</v>
      </c>
      <c r="P165" s="79" t="str">
        <f>IF(AND('331-CT'!$E$7=TH!H165,OR(N165="331",O165="331")),"x","")</f>
        <v/>
      </c>
      <c r="Q165" s="79" t="str">
        <f>IF(AND(B165='111'!$L$11,OR($N165=$Q$7,$O165=$Q$7)),"x","")</f>
        <v/>
      </c>
      <c r="R165" s="79" t="str">
        <f>IF(AND($N165=$Q$7,$B165&lt;'111'!$L$11),"x","")</f>
        <v/>
      </c>
      <c r="S165" s="79" t="str">
        <f>IF(AND($O165=$Q$7,$B165&lt;'111'!$L$11),"x","")</f>
        <v/>
      </c>
      <c r="T165" s="79" t="str">
        <f>IF(ISERROR(FIND('112'!$M$9,G165,1)),"",IF((AND(FIND('112'!$M$9,G165,1)&gt;=1,B165='112'!$K$9,OR($N165='112'!$I$6,$O165='112'!$I$6))),"x",""))</f>
        <v/>
      </c>
      <c r="U165" s="79" t="str">
        <f>IF(ISERROR(FIND('112'!$M$9,G165,1)),"",IF((AND(LEFT(G165,2)=LEFT('112'!$M$9,2),B165&lt;'112'!$K$9,$N165='112'!$I$6)),"x",""))</f>
        <v/>
      </c>
      <c r="V165" s="79" t="str">
        <f>IF(ISERROR(FIND('112'!$M$9,G165,1)),"",IF((AND(RIGHT(G165,2)=RIGHT('112'!$M$9,2),B165&lt;'112'!$K$9,$O165='112'!$I$6)),"x",""))</f>
        <v/>
      </c>
      <c r="W165" s="79" t="str">
        <f>IF(AND('341-CT'!$H$9=H165,OR(LEFT(N165,3)=$W$7,LEFT(O165,3)=$W$7)),"x","")</f>
        <v/>
      </c>
      <c r="X165" s="79" t="str">
        <f>IF(OR(TH!N165=TH!$X$7,O165=TH!$X$7),"x","")</f>
        <v/>
      </c>
      <c r="Y165" s="79" t="str">
        <f>IF(AND(OR(N165="131",O165="131"),H165='131-CT'!$H$9),"x","")</f>
        <v/>
      </c>
      <c r="Z165" s="79"/>
      <c r="AA165" s="79" t="str">
        <f>IF(AND(MONTH(E165)='IN-NX'!$J$5,'IN-NX'!$D$7=D165),"x","")</f>
        <v/>
      </c>
      <c r="AB165" s="79" t="str">
        <f>IF(AND(OR(LEFT(TH!N165,2)="15",LEFT(TH!O165,2)="15"),LEFT(TH!O165,3)&lt;&gt;"111",'152-CT'!$J$8=TH!F165),"x","")</f>
        <v/>
      </c>
      <c r="AC165" s="79" t="str">
        <f>IF(AND(OR(LEFT(TH!N165,2)="15",LEFT(TH!O165,2)="15"),TK!$E$7=TH!F165),"x","")</f>
        <v/>
      </c>
      <c r="AD165" s="79" t="str">
        <f>IF(AND(N165="1521",MONTH(C165)='BK-NL'!$M$11),"x","")</f>
        <v/>
      </c>
    </row>
    <row r="166" spans="1:30" ht="16.5" customHeight="1">
      <c r="A166" s="318" t="str">
        <f>IF(B166&lt;&gt;"",IF(AND(B166='IN-TC'!$S$4,OR(TH!N166="1111",TH!O166="1111")),TH!D166,""),"")</f>
        <v/>
      </c>
      <c r="B166" s="1289">
        <f t="shared" si="24"/>
        <v>7</v>
      </c>
      <c r="C166" s="682">
        <v>43312</v>
      </c>
      <c r="D166" s="682" t="s">
        <v>532</v>
      </c>
      <c r="E166" s="682">
        <f t="shared" si="20"/>
        <v>43312</v>
      </c>
      <c r="F166" s="943" t="s">
        <v>732</v>
      </c>
      <c r="G166" s="763" t="s">
        <v>536</v>
      </c>
      <c r="H166" s="303"/>
      <c r="I166" s="385"/>
      <c r="J166" s="392"/>
      <c r="K166" s="385"/>
      <c r="L166" s="392"/>
      <c r="M166" s="686">
        <f>G156*$G166</f>
        <v>0</v>
      </c>
      <c r="N166" s="687" t="s">
        <v>541</v>
      </c>
      <c r="O166" s="687" t="s">
        <v>544</v>
      </c>
      <c r="P166" s="79" t="str">
        <f>IF(AND('331-CT'!$E$7=TH!H166,OR(N166="331",O166="331")),"x","")</f>
        <v/>
      </c>
      <c r="Q166" s="79" t="str">
        <f>IF(AND(B166='111'!$L$11,OR($N166=$Q$7,$O166=$Q$7)),"x","")</f>
        <v/>
      </c>
      <c r="R166" s="79" t="str">
        <f>IF(AND($N166=$Q$7,$B166&lt;'111'!$L$11),"x","")</f>
        <v/>
      </c>
      <c r="S166" s="79" t="str">
        <f>IF(AND($O166=$Q$7,$B166&lt;'111'!$L$11),"x","")</f>
        <v/>
      </c>
      <c r="T166" s="79" t="str">
        <f>IF(ISERROR(FIND('112'!$M$9,G166,1)),"",IF((AND(FIND('112'!$M$9,G166,1)&gt;=1,B166='112'!$K$9,OR($N166='112'!$I$6,$O166='112'!$I$6))),"x",""))</f>
        <v/>
      </c>
      <c r="U166" s="79" t="str">
        <f>IF(ISERROR(FIND('112'!$M$9,G166,1)),"",IF((AND(LEFT(G166,2)=LEFT('112'!$M$9,2),B166&lt;'112'!$K$9,$N166='112'!$I$6)),"x",""))</f>
        <v/>
      </c>
      <c r="V166" s="79" t="str">
        <f>IF(ISERROR(FIND('112'!$M$9,G166,1)),"",IF((AND(RIGHT(G166,2)=RIGHT('112'!$M$9,2),B166&lt;'112'!$K$9,$O166='112'!$I$6)),"x",""))</f>
        <v/>
      </c>
      <c r="W166" s="79" t="str">
        <f>IF(AND('341-CT'!$H$9=H166,OR(LEFT(N166,3)=$W$7,LEFT(O166,3)=$W$7)),"x","")</f>
        <v/>
      </c>
      <c r="X166" s="79" t="str">
        <f>IF(OR(TH!N166=TH!$X$7,O166=TH!$X$7),"x","")</f>
        <v/>
      </c>
      <c r="Y166" s="79" t="str">
        <f>IF(AND(OR(N166="131",O166="131"),H166='131-CT'!$H$9),"x","")</f>
        <v/>
      </c>
      <c r="Z166" s="79"/>
      <c r="AA166" s="79" t="str">
        <f>IF(AND(MONTH(E166)='IN-NX'!$J$5,'IN-NX'!$D$7=D166),"x","")</f>
        <v/>
      </c>
      <c r="AB166" s="79" t="str">
        <f>IF(AND(OR(LEFT(TH!N166,2)="15",LEFT(TH!O166,2)="15"),LEFT(TH!O166,3)&lt;&gt;"111",'152-CT'!$J$8=TH!F166),"x","")</f>
        <v/>
      </c>
      <c r="AC166" s="79" t="str">
        <f>IF(AND(OR(LEFT(TH!N166,2)="15",LEFT(TH!O166,2)="15"),TK!$E$7=TH!F166),"x","")</f>
        <v/>
      </c>
      <c r="AD166" s="79" t="str">
        <f>IF(AND(N166="1521",MONTH(C166)='BK-NL'!$M$11),"x","")</f>
        <v/>
      </c>
    </row>
    <row r="167" spans="1:30" ht="16.5" customHeight="1">
      <c r="A167" s="318" t="str">
        <f>IF(B167&lt;&gt;"",IF(AND(B167='IN-TC'!$S$4,OR(TH!N167="1111",TH!O167="1111")),TH!D167,""),"")</f>
        <v/>
      </c>
      <c r="B167" s="1289">
        <f t="shared" si="24"/>
        <v>7</v>
      </c>
      <c r="C167" s="682">
        <v>43312</v>
      </c>
      <c r="D167" s="682" t="s">
        <v>532</v>
      </c>
      <c r="E167" s="682">
        <f t="shared" si="20"/>
        <v>43312</v>
      </c>
      <c r="F167" s="943" t="s">
        <v>733</v>
      </c>
      <c r="G167" s="259"/>
      <c r="H167" s="303"/>
      <c r="I167" s="385"/>
      <c r="J167" s="392"/>
      <c r="K167" s="385"/>
      <c r="L167" s="392"/>
      <c r="M167" s="686">
        <f>G157*$G166</f>
        <v>0</v>
      </c>
      <c r="N167" s="687" t="s">
        <v>541</v>
      </c>
      <c r="O167" s="687" t="s">
        <v>544</v>
      </c>
      <c r="P167" s="79" t="str">
        <f>IF(AND('331-CT'!$E$7=TH!H167,OR(N167="331",O167="331")),"x","")</f>
        <v/>
      </c>
      <c r="Q167" s="79" t="str">
        <f>IF(AND(B167='111'!$L$11,OR($N167=$Q$7,$O167=$Q$7)),"x","")</f>
        <v/>
      </c>
      <c r="R167" s="79" t="str">
        <f>IF(AND($N167=$Q$7,$B167&lt;'111'!$L$11),"x","")</f>
        <v/>
      </c>
      <c r="S167" s="79" t="str">
        <f>IF(AND($O167=$Q$7,$B167&lt;'111'!$L$11),"x","")</f>
        <v/>
      </c>
      <c r="T167" s="79" t="str">
        <f>IF(ISERROR(FIND('112'!$M$9,G167,1)),"",IF((AND(FIND('112'!$M$9,G167,1)&gt;=1,B167='112'!$K$9,OR($N167='112'!$I$6,$O167='112'!$I$6))),"x",""))</f>
        <v/>
      </c>
      <c r="U167" s="79" t="str">
        <f>IF(ISERROR(FIND('112'!$M$9,G167,1)),"",IF((AND(LEFT(G167,2)=LEFT('112'!$M$9,2),B167&lt;'112'!$K$9,$N167='112'!$I$6)),"x",""))</f>
        <v/>
      </c>
      <c r="V167" s="79" t="str">
        <f>IF(ISERROR(FIND('112'!$M$9,G167,1)),"",IF((AND(RIGHT(G167,2)=RIGHT('112'!$M$9,2),B167&lt;'112'!$K$9,$O167='112'!$I$6)),"x",""))</f>
        <v/>
      </c>
      <c r="W167" s="79" t="str">
        <f>IF(AND('341-CT'!$H$9=H167,OR(LEFT(N167,3)=$W$7,LEFT(O167,3)=$W$7)),"x","")</f>
        <v/>
      </c>
      <c r="X167" s="79" t="str">
        <f>IF(OR(TH!N167=TH!$X$7,O167=TH!$X$7),"x","")</f>
        <v/>
      </c>
      <c r="Y167" s="79" t="str">
        <f>IF(AND(OR(N167="131",O167="131"),H167='131-CT'!$H$9),"x","")</f>
        <v/>
      </c>
      <c r="Z167" s="79"/>
      <c r="AA167" s="79" t="str">
        <f>IF(AND(MONTH(E167)='IN-NX'!$J$5,'IN-NX'!$D$7=D167),"x","")</f>
        <v/>
      </c>
      <c r="AB167" s="79" t="str">
        <f>IF(AND(OR(LEFT(TH!N167,2)="15",LEFT(TH!O167,2)="15"),LEFT(TH!O167,3)&lt;&gt;"111",'152-CT'!$J$8=TH!F167),"x","")</f>
        <v/>
      </c>
      <c r="AC167" s="79" t="str">
        <f>IF(AND(OR(LEFT(TH!N167,2)="15",LEFT(TH!O167,2)="15"),TK!$E$7=TH!F167),"x","")</f>
        <v/>
      </c>
      <c r="AD167" s="79" t="str">
        <f>IF(AND(N167="1521",MONTH(C167)='BK-NL'!$M$11),"x","")</f>
        <v/>
      </c>
    </row>
    <row r="168" spans="1:30" ht="16.5" customHeight="1">
      <c r="A168" s="318" t="str">
        <f>IF(B168&lt;&gt;"",IF(AND(B168='IN-TC'!$S$4,OR(TH!N168="1111",TH!O168="1111")),TH!D168,""),"")</f>
        <v/>
      </c>
      <c r="B168" s="1289">
        <f t="shared" si="24"/>
        <v>7</v>
      </c>
      <c r="C168" s="682">
        <v>43312</v>
      </c>
      <c r="D168" s="682" t="s">
        <v>532</v>
      </c>
      <c r="E168" s="682">
        <f t="shared" si="20"/>
        <v>43312</v>
      </c>
      <c r="F168" s="943" t="s">
        <v>734</v>
      </c>
      <c r="G168" s="763" t="s">
        <v>536</v>
      </c>
      <c r="H168" s="901"/>
      <c r="I168" s="386"/>
      <c r="J168" s="393"/>
      <c r="K168" s="386"/>
      <c r="L168" s="393"/>
      <c r="M168" s="686">
        <f>M166</f>
        <v>0</v>
      </c>
      <c r="N168" s="687" t="s">
        <v>540</v>
      </c>
      <c r="O168" s="687" t="s">
        <v>544</v>
      </c>
      <c r="P168" s="79" t="str">
        <f>IF(AND('331-CT'!$E$7=TH!H168,OR(N168="331",O168="331")),"x","")</f>
        <v/>
      </c>
      <c r="Q168" s="79" t="str">
        <f>IF(AND(B168='111'!$L$11,OR($N168=$Q$7,$O168=$Q$7)),"x","")</f>
        <v/>
      </c>
      <c r="R168" s="79" t="str">
        <f>IF(AND($N168=$Q$7,$B168&lt;'111'!$L$11),"x","")</f>
        <v/>
      </c>
      <c r="S168" s="79" t="str">
        <f>IF(AND($O168=$Q$7,$B168&lt;'111'!$L$11),"x","")</f>
        <v/>
      </c>
      <c r="T168" s="79" t="str">
        <f>IF(ISERROR(FIND('112'!$M$9,G168,1)),"",IF((AND(FIND('112'!$M$9,G168,1)&gt;=1,B168='112'!$K$9,OR($N168='112'!$I$6,$O168='112'!$I$6))),"x",""))</f>
        <v/>
      </c>
      <c r="U168" s="79" t="str">
        <f>IF(ISERROR(FIND('112'!$M$9,G168,1)),"",IF((AND(LEFT(G168,2)=LEFT('112'!$M$9,2),B168&lt;'112'!$K$9,$N168='112'!$I$6)),"x",""))</f>
        <v/>
      </c>
      <c r="V168" s="79" t="str">
        <f>IF(ISERROR(FIND('112'!$M$9,G168,1)),"",IF((AND(RIGHT(G168,2)=RIGHT('112'!$M$9,2),B168&lt;'112'!$K$9,$O168='112'!$I$6)),"x",""))</f>
        <v/>
      </c>
      <c r="W168" s="79" t="str">
        <f>IF(AND('341-CT'!$H$9=H168,OR(LEFT(N168,3)=$W$7,LEFT(O168,3)=$W$7)),"x","")</f>
        <v/>
      </c>
      <c r="X168" s="79" t="str">
        <f>IF(OR(TH!N168=TH!$X$7,O168=TH!$X$7),"x","")</f>
        <v/>
      </c>
      <c r="Y168" s="79" t="str">
        <f>IF(AND(OR(N168="131",O168="131"),H168='131-CT'!$H$9),"x","")</f>
        <v/>
      </c>
      <c r="Z168" s="79"/>
      <c r="AA168" s="79" t="str">
        <f>IF(AND(MONTH(E168)='IN-NX'!$J$5,'IN-NX'!$D$7=D168),"x","")</f>
        <v/>
      </c>
      <c r="AB168" s="79" t="str">
        <f>IF(AND(OR(LEFT(TH!N168,2)="15",LEFT(TH!O168,2)="15"),LEFT(TH!O168,3)&lt;&gt;"111",'152-CT'!$J$8=TH!F168),"x","")</f>
        <v/>
      </c>
      <c r="AC168" s="79" t="str">
        <f>IF(AND(OR(LEFT(TH!N168,2)="15",LEFT(TH!O168,2)="15"),TK!$E$7=TH!F168),"x","")</f>
        <v/>
      </c>
      <c r="AD168" s="79" t="str">
        <f>IF(AND(N168="1521",MONTH(C168)='BK-NL'!$M$11),"x","")</f>
        <v/>
      </c>
    </row>
    <row r="169" spans="1:30" ht="16.5" customHeight="1">
      <c r="A169" s="318" t="str">
        <f>IF(B169&lt;&gt;"",IF(AND(B169='IN-TC'!$S$4,OR(TH!N169="1111",TH!O169="1111")),TH!D169,""),"")</f>
        <v/>
      </c>
      <c r="B169" s="1289">
        <f t="shared" si="24"/>
        <v>7</v>
      </c>
      <c r="C169" s="682">
        <v>43312</v>
      </c>
      <c r="D169" s="682" t="s">
        <v>532</v>
      </c>
      <c r="E169" s="682">
        <f t="shared" si="20"/>
        <v>43312</v>
      </c>
      <c r="F169" s="943" t="s">
        <v>735</v>
      </c>
      <c r="G169" s="259"/>
      <c r="H169" s="303"/>
      <c r="I169" s="385"/>
      <c r="J169" s="392"/>
      <c r="K169" s="385"/>
      <c r="L169" s="392"/>
      <c r="M169" s="686">
        <f>M167</f>
        <v>0</v>
      </c>
      <c r="N169" s="687" t="s">
        <v>272</v>
      </c>
      <c r="O169" s="687" t="s">
        <v>544</v>
      </c>
      <c r="P169" s="79" t="str">
        <f>IF(AND('331-CT'!$E$7=TH!H169,OR(N169="331",O169="331")),"x","")</f>
        <v/>
      </c>
      <c r="Q169" s="79" t="str">
        <f>IF(AND(B169='111'!$L$11,OR($N169=$Q$7,$O169=$Q$7)),"x","")</f>
        <v/>
      </c>
      <c r="R169" s="79" t="str">
        <f>IF(AND($N169=$Q$7,$B169&lt;'111'!$L$11),"x","")</f>
        <v/>
      </c>
      <c r="S169" s="79" t="str">
        <f>IF(AND($O169=$Q$7,$B169&lt;'111'!$L$11),"x","")</f>
        <v/>
      </c>
      <c r="T169" s="79" t="str">
        <f>IF(ISERROR(FIND('112'!$M$9,G169,1)),"",IF((AND(FIND('112'!$M$9,G169,1)&gt;=1,B169='112'!$K$9,OR($N169='112'!$I$6,$O169='112'!$I$6))),"x",""))</f>
        <v/>
      </c>
      <c r="U169" s="79" t="str">
        <f>IF(ISERROR(FIND('112'!$M$9,G169,1)),"",IF((AND(LEFT(G169,2)=LEFT('112'!$M$9,2),B169&lt;'112'!$K$9,$N169='112'!$I$6)),"x",""))</f>
        <v/>
      </c>
      <c r="V169" s="79" t="str">
        <f>IF(ISERROR(FIND('112'!$M$9,G169,1)),"",IF((AND(RIGHT(G169,2)=RIGHT('112'!$M$9,2),B169&lt;'112'!$K$9,$O169='112'!$I$6)),"x",""))</f>
        <v/>
      </c>
      <c r="W169" s="79" t="str">
        <f>IF(AND('341-CT'!$H$9=H169,OR(LEFT(N169,3)=$W$7,LEFT(O169,3)=$W$7)),"x","")</f>
        <v/>
      </c>
      <c r="X169" s="79" t="str">
        <f>IF(OR(TH!N169=TH!$X$7,O169=TH!$X$7),"x","")</f>
        <v/>
      </c>
      <c r="Y169" s="79" t="str">
        <f>IF(AND(OR(N169="131",O169="131"),H169='131-CT'!$H$9),"x","")</f>
        <v/>
      </c>
      <c r="Z169" s="79"/>
      <c r="AA169" s="79" t="str">
        <f>IF(AND(MONTH(E169)='IN-NX'!$J$5,'IN-NX'!$D$7=D169),"x","")</f>
        <v/>
      </c>
      <c r="AB169" s="79" t="str">
        <f>IF(AND(OR(LEFT(TH!N169,2)="15",LEFT(TH!O169,2)="15"),LEFT(TH!O169,3)&lt;&gt;"111",'152-CT'!$J$8=TH!F169),"x","")</f>
        <v/>
      </c>
      <c r="AC169" s="79" t="str">
        <f>IF(AND(OR(LEFT(TH!N169,2)="15",LEFT(TH!O169,2)="15"),TK!$E$7=TH!F169),"x","")</f>
        <v/>
      </c>
      <c r="AD169" s="79" t="str">
        <f>IF(AND(N169="1521",MONTH(C169)='BK-NL'!$M$11),"x","")</f>
        <v/>
      </c>
    </row>
    <row r="170" spans="1:30" ht="16.5" customHeight="1">
      <c r="A170" s="318" t="str">
        <f>IF(B170&lt;&gt;"",IF(AND(B170='IN-TC'!$S$4,OR(TH!N170="1111",TH!O170="1111")),TH!D170,""),"")</f>
        <v/>
      </c>
      <c r="B170" s="1289">
        <f t="shared" ref="B170:B171" si="25">IF(C170&lt;&gt;"",MONTH(C170),"")</f>
        <v>7</v>
      </c>
      <c r="C170" s="682">
        <v>43312</v>
      </c>
      <c r="D170" s="682" t="s">
        <v>532</v>
      </c>
      <c r="E170" s="682">
        <f t="shared" ref="E170:E171" si="26">C170</f>
        <v>43312</v>
      </c>
      <c r="F170" s="943" t="s">
        <v>954</v>
      </c>
      <c r="G170" s="763" t="s">
        <v>956</v>
      </c>
      <c r="H170" s="303"/>
      <c r="I170" s="385"/>
      <c r="J170" s="392"/>
      <c r="K170" s="385"/>
      <c r="L170" s="392"/>
      <c r="M170" s="686">
        <f>G156*$G170</f>
        <v>0</v>
      </c>
      <c r="N170" s="687" t="s">
        <v>540</v>
      </c>
      <c r="O170" s="687" t="s">
        <v>19</v>
      </c>
      <c r="P170" s="79" t="str">
        <f>IF(AND('331-CT'!$E$7=TH!H170,OR(N170="331",O170="331")),"x","")</f>
        <v/>
      </c>
      <c r="Q170" s="79" t="str">
        <f>IF(AND(B170='111'!$L$11,OR($N170=$Q$7,$O170=$Q$7)),"x","")</f>
        <v/>
      </c>
      <c r="R170" s="79" t="str">
        <f>IF(AND($N170=$Q$7,$B170&lt;'111'!$L$11),"x","")</f>
        <v/>
      </c>
      <c r="S170" s="79" t="str">
        <f>IF(AND($O170=$Q$7,$B170&lt;'111'!$L$11),"x","")</f>
        <v/>
      </c>
      <c r="T170" s="79" t="str">
        <f>IF(ISERROR(FIND('112'!$M$9,G170,1)),"",IF((AND(FIND('112'!$M$9,G170,1)&gt;=1,B170='112'!$K$9,OR($N170='112'!$I$6,$O170='112'!$I$6))),"x",""))</f>
        <v/>
      </c>
      <c r="U170" s="79" t="str">
        <f>IF(ISERROR(FIND('112'!$M$9,G170,1)),"",IF((AND(LEFT(G170,2)=LEFT('112'!$M$9,2),B170&lt;'112'!$K$9,$N170='112'!$I$6)),"x",""))</f>
        <v/>
      </c>
      <c r="V170" s="79" t="str">
        <f>IF(ISERROR(FIND('112'!$M$9,G170,1)),"",IF((AND(RIGHT(G170,2)=RIGHT('112'!$M$9,2),B170&lt;'112'!$K$9,$O170='112'!$I$6)),"x",""))</f>
        <v/>
      </c>
      <c r="W170" s="79" t="str">
        <f>IF(AND('341-CT'!$H$9=H170,OR(LEFT(N170,3)=$W$7,LEFT(O170,3)=$W$7)),"x","")</f>
        <v/>
      </c>
      <c r="X170" s="79" t="str">
        <f>IF(OR(TH!N170=TH!$X$7,O170=TH!$X$7),"x","")</f>
        <v/>
      </c>
      <c r="Y170" s="79" t="str">
        <f>IF(AND(OR(N170="131",O170="131"),H170='131-CT'!$H$9),"x","")</f>
        <v/>
      </c>
      <c r="Z170" s="79"/>
      <c r="AA170" s="79" t="str">
        <f>IF(AND(MONTH(E170)='IN-NX'!$J$5,'IN-NX'!$D$7=D170),"x","")</f>
        <v/>
      </c>
      <c r="AB170" s="79" t="str">
        <f>IF(AND(OR(LEFT(TH!N170,2)="15",LEFT(TH!O170,2)="15"),LEFT(TH!O170,3)&lt;&gt;"111",'152-CT'!$J$8=TH!F170),"x","")</f>
        <v/>
      </c>
      <c r="AC170" s="79" t="str">
        <f>IF(AND(OR(LEFT(TH!N170,2)="15",LEFT(TH!O170,2)="15"),TK!$E$7=TH!F170),"x","")</f>
        <v/>
      </c>
      <c r="AD170" s="79" t="str">
        <f>IF(AND(N170="1521",MONTH(C170)='BK-NL'!$M$11),"x","")</f>
        <v/>
      </c>
    </row>
    <row r="171" spans="1:30" ht="16.5" customHeight="1">
      <c r="A171" s="318" t="str">
        <f>IF(B171&lt;&gt;"",IF(AND(B171='IN-TC'!$S$4,OR(TH!N171="1111",TH!O171="1111")),TH!D171,""),"")</f>
        <v/>
      </c>
      <c r="B171" s="1289">
        <f t="shared" si="25"/>
        <v>7</v>
      </c>
      <c r="C171" s="682">
        <v>43312</v>
      </c>
      <c r="D171" s="682" t="s">
        <v>532</v>
      </c>
      <c r="E171" s="682">
        <f t="shared" si="26"/>
        <v>43312</v>
      </c>
      <c r="F171" s="943" t="s">
        <v>955</v>
      </c>
      <c r="G171" s="259"/>
      <c r="H171" s="303"/>
      <c r="I171" s="385"/>
      <c r="J171" s="392"/>
      <c r="K171" s="385"/>
      <c r="L171" s="392"/>
      <c r="M171" s="686">
        <f>G157*$G170</f>
        <v>0</v>
      </c>
      <c r="N171" s="687" t="s">
        <v>272</v>
      </c>
      <c r="O171" s="687" t="s">
        <v>19</v>
      </c>
      <c r="P171" s="79" t="str">
        <f>IF(AND('331-CT'!$E$7=TH!H171,OR(N171="331",O171="331")),"x","")</f>
        <v/>
      </c>
      <c r="Q171" s="79" t="str">
        <f>IF(AND(B171='111'!$L$11,OR($N171=$Q$7,$O171=$Q$7)),"x","")</f>
        <v/>
      </c>
      <c r="R171" s="79" t="str">
        <f>IF(AND($N171=$Q$7,$B171&lt;'111'!$L$11),"x","")</f>
        <v/>
      </c>
      <c r="S171" s="79" t="str">
        <f>IF(AND($O171=$Q$7,$B171&lt;'111'!$L$11),"x","")</f>
        <v/>
      </c>
      <c r="T171" s="79" t="str">
        <f>IF(ISERROR(FIND('112'!$M$9,G171,1)),"",IF((AND(FIND('112'!$M$9,G171,1)&gt;=1,B171='112'!$K$9,OR($N171='112'!$I$6,$O171='112'!$I$6))),"x",""))</f>
        <v/>
      </c>
      <c r="U171" s="79" t="str">
        <f>IF(ISERROR(FIND('112'!$M$9,G171,1)),"",IF((AND(LEFT(G171,2)=LEFT('112'!$M$9,2),B171&lt;'112'!$K$9,$N171='112'!$I$6)),"x",""))</f>
        <v/>
      </c>
      <c r="V171" s="79" t="str">
        <f>IF(ISERROR(FIND('112'!$M$9,G171,1)),"",IF((AND(RIGHT(G171,2)=RIGHT('112'!$M$9,2),B171&lt;'112'!$K$9,$O171='112'!$I$6)),"x",""))</f>
        <v/>
      </c>
      <c r="W171" s="79" t="str">
        <f>IF(AND('341-CT'!$H$9=H171,OR(LEFT(N171,3)=$W$7,LEFT(O171,3)=$W$7)),"x","")</f>
        <v/>
      </c>
      <c r="X171" s="79" t="str">
        <f>IF(OR(TH!N171=TH!$X$7,O171=TH!$X$7),"x","")</f>
        <v/>
      </c>
      <c r="Y171" s="79" t="str">
        <f>IF(AND(OR(N171="131",O171="131"),H171='131-CT'!$H$9),"x","")</f>
        <v/>
      </c>
      <c r="Z171" s="79"/>
      <c r="AA171" s="79" t="str">
        <f>IF(AND(MONTH(E171)='IN-NX'!$J$5,'IN-NX'!$D$7=D171),"x","")</f>
        <v/>
      </c>
      <c r="AB171" s="79" t="str">
        <f>IF(AND(OR(LEFT(TH!N171,2)="15",LEFT(TH!O171,2)="15"),LEFT(TH!O171,3)&lt;&gt;"111",'152-CT'!$J$8=TH!F171),"x","")</f>
        <v/>
      </c>
      <c r="AC171" s="79" t="str">
        <f>IF(AND(OR(LEFT(TH!N171,2)="15",LEFT(TH!O171,2)="15"),TK!$E$7=TH!F171),"x","")</f>
        <v/>
      </c>
      <c r="AD171" s="79" t="str">
        <f>IF(AND(N171="1521",MONTH(C171)='BK-NL'!$M$11),"x","")</f>
        <v/>
      </c>
    </row>
    <row r="172" spans="1:30" ht="16.5" customHeight="1">
      <c r="A172" s="318" t="str">
        <f>IF(B172&lt;&gt;"",IF(AND(B172='IN-TC'!$S$4,OR(TH!N172="1111",TH!O172="1111")),TH!D172,""),"")</f>
        <v/>
      </c>
      <c r="B172" s="1164">
        <f t="shared" si="24"/>
        <v>8</v>
      </c>
      <c r="C172" s="682">
        <v>43343</v>
      </c>
      <c r="D172" s="682" t="s">
        <v>532</v>
      </c>
      <c r="E172" s="682">
        <f t="shared" si="20"/>
        <v>43343</v>
      </c>
      <c r="F172" s="943" t="s">
        <v>722</v>
      </c>
      <c r="G172" s="259"/>
      <c r="H172" s="303"/>
      <c r="I172" s="385"/>
      <c r="J172" s="392"/>
      <c r="K172" s="385"/>
      <c r="L172" s="392"/>
      <c r="M172" s="686"/>
      <c r="N172" s="687" t="s">
        <v>540</v>
      </c>
      <c r="O172" s="687" t="s">
        <v>541</v>
      </c>
      <c r="P172" s="79" t="str">
        <f>IF(AND('331-CT'!$E$7=TH!H172,OR(N172="331",O172="331")),"x","")</f>
        <v/>
      </c>
      <c r="Q172" s="79" t="str">
        <f>IF(AND(B172='111'!$L$11,OR($N172=$Q$7,$O172=$Q$7)),"x","")</f>
        <v/>
      </c>
      <c r="R172" s="79" t="str">
        <f>IF(AND($N172=$Q$7,$B172&lt;'111'!$L$11),"x","")</f>
        <v/>
      </c>
      <c r="S172" s="79" t="str">
        <f>IF(AND($O172=$Q$7,$B172&lt;'111'!$L$11),"x","")</f>
        <v/>
      </c>
      <c r="T172" s="79" t="str">
        <f>IF(ISERROR(FIND('112'!$M$9,G172,1)),"",IF((AND(FIND('112'!$M$9,G172,1)&gt;=1,B172='112'!$K$9,OR($N172='112'!$I$6,$O172='112'!$I$6))),"x",""))</f>
        <v/>
      </c>
      <c r="U172" s="79" t="str">
        <f>IF(ISERROR(FIND('112'!$M$9,G172,1)),"",IF((AND(LEFT(G172,2)=LEFT('112'!$M$9,2),B172&lt;'112'!$K$9,$N172='112'!$I$6)),"x",""))</f>
        <v/>
      </c>
      <c r="V172" s="79" t="str">
        <f>IF(ISERROR(FIND('112'!$M$9,G172,1)),"",IF((AND(RIGHT(G172,2)=RIGHT('112'!$M$9,2),B172&lt;'112'!$K$9,$O172='112'!$I$6)),"x",""))</f>
        <v/>
      </c>
      <c r="W172" s="79" t="str">
        <f>IF(AND('341-CT'!$H$9=H172,OR(LEFT(N172,3)=$W$7,LEFT(O172,3)=$W$7)),"x","")</f>
        <v/>
      </c>
      <c r="X172" s="79" t="str">
        <f>IF(OR(TH!N172=TH!$X$7,O172=TH!$X$7),"x","")</f>
        <v/>
      </c>
      <c r="Y172" s="79" t="str">
        <f>IF(AND(OR(N172="131",O172="131"),H172='131-CT'!$H$9),"x","")</f>
        <v/>
      </c>
      <c r="Z172" s="79"/>
      <c r="AA172" s="79" t="str">
        <f>IF(AND(MONTH(E172)='IN-NX'!$J$5,'IN-NX'!$D$7=D172),"x","")</f>
        <v/>
      </c>
      <c r="AB172" s="79" t="str">
        <f>IF(AND(OR(LEFT(TH!N172,2)="15",LEFT(TH!O172,2)="15"),LEFT(TH!O172,3)&lt;&gt;"111",'152-CT'!$J$8=TH!F172),"x","")</f>
        <v/>
      </c>
      <c r="AC172" s="79" t="str">
        <f>IF(AND(OR(LEFT(TH!N172,2)="15",LEFT(TH!O172,2)="15"),TK!$E$7=TH!F172),"x","")</f>
        <v/>
      </c>
      <c r="AD172" s="79" t="str">
        <f>IF(AND(N172="1521",MONTH(C172)='BK-NL'!$M$11),"x","")</f>
        <v/>
      </c>
    </row>
    <row r="173" spans="1:30" ht="16.5" customHeight="1">
      <c r="A173" s="318" t="str">
        <f>IF(B173&lt;&gt;"",IF(AND(B173='IN-TC'!$S$4,OR(TH!N173="1111",TH!O173="1111")),TH!D173,""),"")</f>
        <v/>
      </c>
      <c r="B173" s="1164">
        <f t="shared" si="24"/>
        <v>8</v>
      </c>
      <c r="C173" s="682">
        <v>43343</v>
      </c>
      <c r="D173" s="682" t="s">
        <v>532</v>
      </c>
      <c r="E173" s="682">
        <f t="shared" si="20"/>
        <v>43343</v>
      </c>
      <c r="F173" s="943" t="s">
        <v>723</v>
      </c>
      <c r="G173" s="259"/>
      <c r="H173" s="303"/>
      <c r="I173" s="385"/>
      <c r="J173" s="392"/>
      <c r="K173" s="385"/>
      <c r="L173" s="392"/>
      <c r="M173" s="686"/>
      <c r="N173" s="687" t="s">
        <v>272</v>
      </c>
      <c r="O173" s="687" t="s">
        <v>541</v>
      </c>
      <c r="P173" s="79" t="str">
        <f>IF(AND('331-CT'!$E$7=TH!H173,OR(N173="331",O173="331")),"x","")</f>
        <v/>
      </c>
      <c r="Q173" s="79" t="str">
        <f>IF(AND(B173='111'!$L$11,OR($N173=$Q$7,$O173=$Q$7)),"x","")</f>
        <v/>
      </c>
      <c r="R173" s="79" t="str">
        <f>IF(AND($N173=$Q$7,$B173&lt;'111'!$L$11),"x","")</f>
        <v/>
      </c>
      <c r="S173" s="79" t="str">
        <f>IF(AND($O173=$Q$7,$B173&lt;'111'!$L$11),"x","")</f>
        <v/>
      </c>
      <c r="T173" s="79" t="str">
        <f>IF(ISERROR(FIND('112'!$M$9,G173,1)),"",IF((AND(FIND('112'!$M$9,G173,1)&gt;=1,B173='112'!$K$9,OR($N173='112'!$I$6,$O173='112'!$I$6))),"x",""))</f>
        <v/>
      </c>
      <c r="U173" s="79" t="str">
        <f>IF(ISERROR(FIND('112'!$M$9,G173,1)),"",IF((AND(LEFT(G173,2)=LEFT('112'!$M$9,2),B173&lt;'112'!$K$9,$N173='112'!$I$6)),"x",""))</f>
        <v/>
      </c>
      <c r="V173" s="79" t="str">
        <f>IF(ISERROR(FIND('112'!$M$9,G173,1)),"",IF((AND(RIGHT(G173,2)=RIGHT('112'!$M$9,2),B173&lt;'112'!$K$9,$O173='112'!$I$6)),"x",""))</f>
        <v/>
      </c>
      <c r="W173" s="79" t="str">
        <f>IF(AND('341-CT'!$H$9=H173,OR(LEFT(N173,3)=$W$7,LEFT(O173,3)=$W$7)),"x","")</f>
        <v/>
      </c>
      <c r="X173" s="79" t="str">
        <f>IF(OR(TH!N173=TH!$X$7,O173=TH!$X$7),"x","")</f>
        <v/>
      </c>
      <c r="Y173" s="79" t="str">
        <f>IF(AND(OR(N173="131",O173="131"),H173='131-CT'!$H$9),"x","")</f>
        <v/>
      </c>
      <c r="Z173" s="79"/>
      <c r="AA173" s="79" t="str">
        <f>IF(AND(MONTH(E173)='IN-NX'!$J$5,'IN-NX'!$D$7=D173),"x","")</f>
        <v/>
      </c>
      <c r="AB173" s="79" t="str">
        <f>IF(AND(OR(LEFT(TH!N173,2)="15",LEFT(TH!O173,2)="15"),LEFT(TH!O173,3)&lt;&gt;"111",'152-CT'!$J$8=TH!F173),"x","")</f>
        <v/>
      </c>
      <c r="AC173" s="79" t="str">
        <f>IF(AND(OR(LEFT(TH!N173,2)="15",LEFT(TH!O173,2)="15"),TK!$E$7=TH!F173),"x","")</f>
        <v/>
      </c>
      <c r="AD173" s="79" t="str">
        <f>IF(AND(N173="1521",MONTH(C173)='BK-NL'!$M$11),"x","")</f>
        <v/>
      </c>
    </row>
    <row r="174" spans="1:30" ht="16.5" customHeight="1">
      <c r="A174" s="318" t="str">
        <f>IF(B174&lt;&gt;"",IF(AND(B174='IN-TC'!$S$4,OR(TH!N174="1111",TH!O174="1111")),TH!D174,""),"")</f>
        <v/>
      </c>
      <c r="B174" s="1164">
        <f t="shared" si="24"/>
        <v>8</v>
      </c>
      <c r="C174" s="682">
        <v>43343</v>
      </c>
      <c r="D174" s="682" t="s">
        <v>532</v>
      </c>
      <c r="E174" s="682">
        <f t="shared" si="20"/>
        <v>43343</v>
      </c>
      <c r="F174" s="943" t="s">
        <v>724</v>
      </c>
      <c r="G174" s="763" t="s">
        <v>533</v>
      </c>
      <c r="H174" s="303"/>
      <c r="I174" s="385"/>
      <c r="J174" s="392"/>
      <c r="K174" s="385"/>
      <c r="L174" s="392"/>
      <c r="M174" s="686">
        <f>G172*$G174</f>
        <v>0</v>
      </c>
      <c r="N174" s="687" t="s">
        <v>541</v>
      </c>
      <c r="O174" s="687" t="s">
        <v>542</v>
      </c>
      <c r="P174" s="79" t="str">
        <f>IF(AND('331-CT'!$E$7=TH!H174,OR(N174="331",O174="331")),"x","")</f>
        <v/>
      </c>
      <c r="Q174" s="79" t="str">
        <f>IF(AND(B174='111'!$L$11,OR($N174=$Q$7,$O174=$Q$7)),"x","")</f>
        <v/>
      </c>
      <c r="R174" s="79" t="str">
        <f>IF(AND($N174=$Q$7,$B174&lt;'111'!$L$11),"x","")</f>
        <v/>
      </c>
      <c r="S174" s="79" t="str">
        <f>IF(AND($O174=$Q$7,$B174&lt;'111'!$L$11),"x","")</f>
        <v/>
      </c>
      <c r="T174" s="79" t="str">
        <f>IF(ISERROR(FIND('112'!$M$9,G174,1)),"",IF((AND(FIND('112'!$M$9,G174,1)&gt;=1,B174='112'!$K$9,OR($N174='112'!$I$6,$O174='112'!$I$6))),"x",""))</f>
        <v/>
      </c>
      <c r="U174" s="79" t="str">
        <f>IF(ISERROR(FIND('112'!$M$9,G174,1)),"",IF((AND(LEFT(G174,2)=LEFT('112'!$M$9,2),B174&lt;'112'!$K$9,$N174='112'!$I$6)),"x",""))</f>
        <v/>
      </c>
      <c r="V174" s="79" t="str">
        <f>IF(ISERROR(FIND('112'!$M$9,G174,1)),"",IF((AND(RIGHT(G174,2)=RIGHT('112'!$M$9,2),B174&lt;'112'!$K$9,$O174='112'!$I$6)),"x",""))</f>
        <v/>
      </c>
      <c r="W174" s="79" t="str">
        <f>IF(AND('341-CT'!$H$9=H174,OR(LEFT(N174,3)=$W$7,LEFT(O174,3)=$W$7)),"x","")</f>
        <v/>
      </c>
      <c r="X174" s="79" t="str">
        <f>IF(OR(TH!N174=TH!$X$7,O174=TH!$X$7),"x","")</f>
        <v/>
      </c>
      <c r="Y174" s="79" t="str">
        <f>IF(AND(OR(N174="131",O174="131"),H174='131-CT'!$H$9),"x","")</f>
        <v/>
      </c>
      <c r="Z174" s="79"/>
      <c r="AA174" s="79" t="str">
        <f>IF(AND(MONTH(E174)='IN-NX'!$J$5,'IN-NX'!$D$7=D174),"x","")</f>
        <v/>
      </c>
      <c r="AB174" s="79" t="str">
        <f>IF(AND(OR(LEFT(TH!N174,2)="15",LEFT(TH!O174,2)="15"),LEFT(TH!O174,3)&lt;&gt;"111",'152-CT'!$J$8=TH!F174),"x","")</f>
        <v/>
      </c>
      <c r="AC174" s="79" t="str">
        <f>IF(AND(OR(LEFT(TH!N174,2)="15",LEFT(TH!O174,2)="15"),TK!$E$7=TH!F174),"x","")</f>
        <v/>
      </c>
      <c r="AD174" s="79" t="str">
        <f>IF(AND(N174="1521",MONTH(C174)='BK-NL'!$M$11),"x","")</f>
        <v/>
      </c>
    </row>
    <row r="175" spans="1:30" ht="16.5" customHeight="1">
      <c r="A175" s="318" t="str">
        <f>IF(B175&lt;&gt;"",IF(AND(B175='IN-TC'!$S$4,OR(TH!N175="1111",TH!O175="1111")),TH!D175,""),"")</f>
        <v/>
      </c>
      <c r="B175" s="1164">
        <f t="shared" si="24"/>
        <v>8</v>
      </c>
      <c r="C175" s="682">
        <v>43343</v>
      </c>
      <c r="D175" s="682" t="s">
        <v>532</v>
      </c>
      <c r="E175" s="682">
        <f t="shared" si="20"/>
        <v>43343</v>
      </c>
      <c r="F175" s="943" t="s">
        <v>725</v>
      </c>
      <c r="G175" s="259"/>
      <c r="H175" s="303"/>
      <c r="I175" s="385"/>
      <c r="J175" s="392"/>
      <c r="K175" s="385"/>
      <c r="L175" s="392"/>
      <c r="M175" s="686">
        <f>G173*$G174</f>
        <v>0</v>
      </c>
      <c r="N175" s="688" t="s">
        <v>541</v>
      </c>
      <c r="O175" s="689" t="s">
        <v>542</v>
      </c>
      <c r="P175" s="79" t="str">
        <f>IF(AND('331-CT'!$E$7=TH!H175,OR(N175="331",O175="331")),"x","")</f>
        <v/>
      </c>
      <c r="Q175" s="79" t="str">
        <f>IF(AND(B175='111'!$L$11,OR($N175=$Q$7,$O175=$Q$7)),"x","")</f>
        <v/>
      </c>
      <c r="R175" s="79" t="str">
        <f>IF(AND($N175=$Q$7,$B175&lt;'111'!$L$11),"x","")</f>
        <v/>
      </c>
      <c r="S175" s="79" t="str">
        <f>IF(AND($O175=$Q$7,$B175&lt;'111'!$L$11),"x","")</f>
        <v/>
      </c>
      <c r="T175" s="79" t="str">
        <f>IF(ISERROR(FIND('112'!$M$9,G175,1)),"",IF((AND(FIND('112'!$M$9,G175,1)&gt;=1,B175='112'!$K$9,OR($N175='112'!$I$6,$O175='112'!$I$6))),"x",""))</f>
        <v/>
      </c>
      <c r="U175" s="79" t="str">
        <f>IF(ISERROR(FIND('112'!$M$9,G175,1)),"",IF((AND(LEFT(G175,2)=LEFT('112'!$M$9,2),B175&lt;'112'!$K$9,$N175='112'!$I$6)),"x",""))</f>
        <v/>
      </c>
      <c r="V175" s="79" t="str">
        <f>IF(ISERROR(FIND('112'!$M$9,G175,1)),"",IF((AND(RIGHT(G175,2)=RIGHT('112'!$M$9,2),B175&lt;'112'!$K$9,$O175='112'!$I$6)),"x",""))</f>
        <v/>
      </c>
      <c r="W175" s="79" t="str">
        <f>IF(AND('341-CT'!$H$9=H175,OR(LEFT(N175,3)=$W$7,LEFT(O175,3)=$W$7)),"x","")</f>
        <v/>
      </c>
      <c r="X175" s="79" t="str">
        <f>IF(OR(TH!N175=TH!$X$7,O175=TH!$X$7),"x","")</f>
        <v/>
      </c>
      <c r="Y175" s="79" t="str">
        <f>IF(AND(OR(N175="131",O175="131"),H175='131-CT'!$H$9),"x","")</f>
        <v/>
      </c>
      <c r="Z175" s="79"/>
      <c r="AA175" s="79" t="str">
        <f>IF(AND(MONTH(E175)='IN-NX'!$J$5,'IN-NX'!$D$7=D175),"x","")</f>
        <v/>
      </c>
      <c r="AB175" s="79" t="str">
        <f>IF(AND(OR(LEFT(TH!N175,2)="15",LEFT(TH!O175,2)="15"),LEFT(TH!O175,3)&lt;&gt;"111",'152-CT'!$J$8=TH!F175),"x","")</f>
        <v/>
      </c>
      <c r="AC175" s="79" t="str">
        <f>IF(AND(OR(LEFT(TH!N175,2)="15",LEFT(TH!O175,2)="15"),TK!$E$7=TH!F175),"x","")</f>
        <v/>
      </c>
      <c r="AD175" s="79" t="str">
        <f>IF(AND(N175="1521",MONTH(C175)='BK-NL'!$M$11),"x","")</f>
        <v/>
      </c>
    </row>
    <row r="176" spans="1:30" ht="16.5" customHeight="1">
      <c r="A176" s="318" t="str">
        <f>IF(B176&lt;&gt;"",IF(AND(B176='IN-TC'!$S$4,OR(TH!N176="1111",TH!O176="1111")),TH!D176,""),"")</f>
        <v/>
      </c>
      <c r="B176" s="1164">
        <f t="shared" si="24"/>
        <v>8</v>
      </c>
      <c r="C176" s="682">
        <v>43343</v>
      </c>
      <c r="D176" s="682" t="s">
        <v>532</v>
      </c>
      <c r="E176" s="682">
        <f t="shared" si="20"/>
        <v>43343</v>
      </c>
      <c r="F176" s="943" t="s">
        <v>726</v>
      </c>
      <c r="G176" s="763" t="s">
        <v>957</v>
      </c>
      <c r="H176" s="303"/>
      <c r="I176" s="385"/>
      <c r="J176" s="392"/>
      <c r="K176" s="385"/>
      <c r="L176" s="392"/>
      <c r="M176" s="686">
        <f>G172*$G176</f>
        <v>0</v>
      </c>
      <c r="N176" s="687" t="s">
        <v>540</v>
      </c>
      <c r="O176" s="687" t="s">
        <v>542</v>
      </c>
      <c r="P176" s="79" t="str">
        <f>IF(AND('331-CT'!$E$7=TH!H176,OR(N176="331",O176="331")),"x","")</f>
        <v/>
      </c>
      <c r="Q176" s="79" t="str">
        <f>IF(AND(B176='111'!$L$11,OR($N176=$Q$7,$O176=$Q$7)),"x","")</f>
        <v/>
      </c>
      <c r="R176" s="79" t="str">
        <f>IF(AND($N176=$Q$7,$B176&lt;'111'!$L$11),"x","")</f>
        <v/>
      </c>
      <c r="S176" s="79" t="str">
        <f>IF(AND($O176=$Q$7,$B176&lt;'111'!$L$11),"x","")</f>
        <v/>
      </c>
      <c r="T176" s="79" t="str">
        <f>IF(ISERROR(FIND('112'!$M$9,G176,1)),"",IF((AND(FIND('112'!$M$9,G176,1)&gt;=1,B176='112'!$K$9,OR($N176='112'!$I$6,$O176='112'!$I$6))),"x",""))</f>
        <v/>
      </c>
      <c r="U176" s="79" t="str">
        <f>IF(ISERROR(FIND('112'!$M$9,G176,1)),"",IF((AND(LEFT(G176,2)=LEFT('112'!$M$9,2),B176&lt;'112'!$K$9,$N176='112'!$I$6)),"x",""))</f>
        <v/>
      </c>
      <c r="V176" s="79" t="str">
        <f>IF(ISERROR(FIND('112'!$M$9,G176,1)),"",IF((AND(RIGHT(G176,2)=RIGHT('112'!$M$9,2),B176&lt;'112'!$K$9,$O176='112'!$I$6)),"x",""))</f>
        <v/>
      </c>
      <c r="W176" s="79" t="str">
        <f>IF(AND('341-CT'!$H$9=H176,OR(LEFT(N176,3)=$W$7,LEFT(O176,3)=$W$7)),"x","")</f>
        <v/>
      </c>
      <c r="X176" s="79" t="str">
        <f>IF(OR(TH!N176=TH!$X$7,O176=TH!$X$7),"x","")</f>
        <v/>
      </c>
      <c r="Y176" s="79" t="str">
        <f>IF(AND(OR(N176="131",O176="131"),H176='131-CT'!$H$9),"x","")</f>
        <v/>
      </c>
      <c r="Z176" s="79"/>
      <c r="AA176" s="79" t="str">
        <f>IF(AND(MONTH(E176)='IN-NX'!$J$5,'IN-NX'!$D$7=D176),"x","")</f>
        <v/>
      </c>
      <c r="AB176" s="79" t="str">
        <f>IF(AND(OR(LEFT(TH!N176,2)="15",LEFT(TH!O176,2)="15"),LEFT(TH!O176,3)&lt;&gt;"111",'152-CT'!$J$8=TH!F176),"x","")</f>
        <v/>
      </c>
      <c r="AC176" s="79" t="str">
        <f>IF(AND(OR(LEFT(TH!N176,2)="15",LEFT(TH!O176,2)="15"),TK!$E$7=TH!F176),"x","")</f>
        <v/>
      </c>
      <c r="AD176" s="79" t="str">
        <f>IF(AND(N176="1521",MONTH(C176)='BK-NL'!$M$11),"x","")</f>
        <v/>
      </c>
    </row>
    <row r="177" spans="1:30" ht="16.5" customHeight="1">
      <c r="A177" s="318" t="str">
        <f>IF(B177&lt;&gt;"",IF(AND(B177='IN-TC'!$S$4,OR(TH!N177="1111",TH!O177="1111")),TH!D177,""),"")</f>
        <v/>
      </c>
      <c r="B177" s="1164">
        <f t="shared" si="24"/>
        <v>8</v>
      </c>
      <c r="C177" s="682">
        <v>43343</v>
      </c>
      <c r="D177" s="682" t="s">
        <v>532</v>
      </c>
      <c r="E177" s="682">
        <f t="shared" si="20"/>
        <v>43343</v>
      </c>
      <c r="F177" s="943" t="s">
        <v>727</v>
      </c>
      <c r="G177" s="259"/>
      <c r="H177" s="303"/>
      <c r="I177" s="385"/>
      <c r="J177" s="392"/>
      <c r="K177" s="385"/>
      <c r="L177" s="392"/>
      <c r="M177" s="686">
        <f>G173*$G176</f>
        <v>0</v>
      </c>
      <c r="N177" s="687" t="s">
        <v>272</v>
      </c>
      <c r="O177" s="687" t="s">
        <v>542</v>
      </c>
      <c r="P177" s="79" t="str">
        <f>IF(AND('331-CT'!$E$7=TH!H177,OR(N177="331",O177="331")),"x","")</f>
        <v/>
      </c>
      <c r="Q177" s="79" t="str">
        <f>IF(AND(B177='111'!$L$11,OR($N177=$Q$7,$O177=$Q$7)),"x","")</f>
        <v/>
      </c>
      <c r="R177" s="79" t="str">
        <f>IF(AND($N177=$Q$7,$B177&lt;'111'!$L$11),"x","")</f>
        <v/>
      </c>
      <c r="S177" s="79" t="str">
        <f>IF(AND($O177=$Q$7,$B177&lt;'111'!$L$11),"x","")</f>
        <v/>
      </c>
      <c r="T177" s="79" t="str">
        <f>IF(ISERROR(FIND('112'!$M$9,G177,1)),"",IF((AND(FIND('112'!$M$9,G177,1)&gt;=1,B177='112'!$K$9,OR($N177='112'!$I$6,$O177='112'!$I$6))),"x",""))</f>
        <v/>
      </c>
      <c r="U177" s="79" t="str">
        <f>IF(ISERROR(FIND('112'!$M$9,G177,1)),"",IF((AND(LEFT(G177,2)=LEFT('112'!$M$9,2),B177&lt;'112'!$K$9,$N177='112'!$I$6)),"x",""))</f>
        <v/>
      </c>
      <c r="V177" s="79" t="str">
        <f>IF(ISERROR(FIND('112'!$M$9,G177,1)),"",IF((AND(RIGHT(G177,2)=RIGHT('112'!$M$9,2),B177&lt;'112'!$K$9,$O177='112'!$I$6)),"x",""))</f>
        <v/>
      </c>
      <c r="W177" s="79" t="str">
        <f>IF(AND('341-CT'!$H$9=H177,OR(LEFT(N177,3)=$W$7,LEFT(O177,3)=$W$7)),"x","")</f>
        <v/>
      </c>
      <c r="X177" s="79" t="str">
        <f>IF(OR(TH!N177=TH!$X$7,O177=TH!$X$7),"x","")</f>
        <v/>
      </c>
      <c r="Y177" s="79" t="str">
        <f>IF(AND(OR(N177="131",O177="131"),H177='131-CT'!$H$9),"x","")</f>
        <v/>
      </c>
      <c r="Z177" s="79"/>
      <c r="AA177" s="79" t="str">
        <f>IF(AND(MONTH(E177)='IN-NX'!$J$5,'IN-NX'!$D$7=D177),"x","")</f>
        <v/>
      </c>
      <c r="AB177" s="79" t="str">
        <f>IF(AND(OR(LEFT(TH!N177,2)="15",LEFT(TH!O177,2)="15"),LEFT(TH!O177,3)&lt;&gt;"111",'152-CT'!$J$8=TH!F177),"x","")</f>
        <v/>
      </c>
      <c r="AC177" s="79" t="str">
        <f>IF(AND(OR(LEFT(TH!N177,2)="15",LEFT(TH!O177,2)="15"),TK!$E$7=TH!F177),"x","")</f>
        <v/>
      </c>
      <c r="AD177" s="79" t="str">
        <f>IF(AND(N177="1521",MONTH(C177)='BK-NL'!$M$11),"x","")</f>
        <v/>
      </c>
    </row>
    <row r="178" spans="1:30" ht="16.5" customHeight="1">
      <c r="A178" s="318" t="str">
        <f>IF(B178&lt;&gt;"",IF(AND(B178='IN-TC'!$S$4,OR(TH!N178="1111",TH!O178="1111")),TH!D178,""),"")</f>
        <v/>
      </c>
      <c r="B178" s="1164">
        <f t="shared" si="24"/>
        <v>8</v>
      </c>
      <c r="C178" s="682">
        <v>43343</v>
      </c>
      <c r="D178" s="682" t="s">
        <v>532</v>
      </c>
      <c r="E178" s="682">
        <f t="shared" ref="E178:E193" si="27">C178</f>
        <v>43343</v>
      </c>
      <c r="F178" s="943" t="s">
        <v>728</v>
      </c>
      <c r="G178" s="763" t="s">
        <v>534</v>
      </c>
      <c r="H178" s="305"/>
      <c r="I178" s="383"/>
      <c r="J178" s="390"/>
      <c r="K178" s="383"/>
      <c r="L178" s="390"/>
      <c r="M178" s="686">
        <f>ROUND(G172*$G178,0)</f>
        <v>0</v>
      </c>
      <c r="N178" s="687" t="s">
        <v>541</v>
      </c>
      <c r="O178" s="687" t="s">
        <v>543</v>
      </c>
      <c r="P178" s="79" t="str">
        <f>IF(AND('331-CT'!$E$7=TH!H178,OR(N178="331",O178="331")),"x","")</f>
        <v/>
      </c>
      <c r="Q178" s="79" t="str">
        <f>IF(AND(B178='111'!$L$11,OR($N178=$Q$7,$O178=$Q$7)),"x","")</f>
        <v/>
      </c>
      <c r="R178" s="79" t="str">
        <f>IF(AND($N178=$Q$7,$B178&lt;'111'!$L$11),"x","")</f>
        <v/>
      </c>
      <c r="S178" s="79" t="str">
        <f>IF(AND($O178=$Q$7,$B178&lt;'111'!$L$11),"x","")</f>
        <v/>
      </c>
      <c r="T178" s="79" t="str">
        <f>IF(ISERROR(FIND('112'!$M$9,G178,1)),"",IF((AND(FIND('112'!$M$9,G178,1)&gt;=1,B178='112'!$K$9,OR($N178='112'!$I$6,$O178='112'!$I$6))),"x",""))</f>
        <v/>
      </c>
      <c r="U178" s="79" t="str">
        <f>IF(ISERROR(FIND('112'!$M$9,G178,1)),"",IF((AND(LEFT(G178,2)=LEFT('112'!$M$9,2),B178&lt;'112'!$K$9,$N178='112'!$I$6)),"x",""))</f>
        <v/>
      </c>
      <c r="V178" s="79" t="str">
        <f>IF(ISERROR(FIND('112'!$M$9,G178,1)),"",IF((AND(RIGHT(G178,2)=RIGHT('112'!$M$9,2),B178&lt;'112'!$K$9,$O178='112'!$I$6)),"x",""))</f>
        <v/>
      </c>
      <c r="W178" s="79" t="str">
        <f>IF(AND('341-CT'!$H$9=H178,OR(LEFT(N178,3)=$W$7,LEFT(O178,3)=$W$7)),"x","")</f>
        <v/>
      </c>
      <c r="X178" s="79" t="str">
        <f>IF(OR(TH!N178=TH!$X$7,O178=TH!$X$7),"x","")</f>
        <v/>
      </c>
      <c r="Y178" s="79" t="str">
        <f>IF(AND(OR(N178="131",O178="131"),H178='131-CT'!$H$9),"x","")</f>
        <v/>
      </c>
      <c r="Z178" s="79"/>
      <c r="AA178" s="79" t="str">
        <f>IF(AND(MONTH(E178)='IN-NX'!$J$5,'IN-NX'!$D$7=D178),"x","")</f>
        <v/>
      </c>
      <c r="AB178" s="79" t="str">
        <f>IF(AND(OR(LEFT(TH!N178,2)="15",LEFT(TH!O178,2)="15"),LEFT(TH!O178,3)&lt;&gt;"111",'152-CT'!$J$8=TH!F178),"x","")</f>
        <v/>
      </c>
      <c r="AC178" s="79" t="str">
        <f>IF(AND(OR(LEFT(TH!N178,2)="15",LEFT(TH!O178,2)="15"),TK!$E$7=TH!F178),"x","")</f>
        <v/>
      </c>
      <c r="AD178" s="79" t="str">
        <f>IF(AND(N178="1521",MONTH(C178)='BK-NL'!$M$11),"x","")</f>
        <v/>
      </c>
    </row>
    <row r="179" spans="1:30" ht="16.5" customHeight="1">
      <c r="A179" s="318" t="str">
        <f>IF(B179&lt;&gt;"",IF(AND(B179='IN-TC'!$S$4,OR(TH!N179="1111",TH!O179="1111")),TH!D179,""),"")</f>
        <v/>
      </c>
      <c r="B179" s="1164">
        <f t="shared" si="24"/>
        <v>8</v>
      </c>
      <c r="C179" s="682">
        <v>43343</v>
      </c>
      <c r="D179" s="682" t="s">
        <v>532</v>
      </c>
      <c r="E179" s="682">
        <f t="shared" si="27"/>
        <v>43343</v>
      </c>
      <c r="F179" s="943" t="s">
        <v>729</v>
      </c>
      <c r="G179" s="259"/>
      <c r="H179" s="305"/>
      <c r="I179" s="383"/>
      <c r="J179" s="390"/>
      <c r="K179" s="383"/>
      <c r="L179" s="390"/>
      <c r="M179" s="686">
        <f>ROUND(G173*$G178,0)</f>
        <v>0</v>
      </c>
      <c r="N179" s="687" t="s">
        <v>541</v>
      </c>
      <c r="O179" s="687" t="s">
        <v>543</v>
      </c>
      <c r="P179" s="79" t="str">
        <f>IF(AND('331-CT'!$E$7=TH!H179,OR(N179="331",O179="331")),"x","")</f>
        <v/>
      </c>
      <c r="Q179" s="79" t="str">
        <f>IF(AND(B179='111'!$L$11,OR($N179=$Q$7,$O179=$Q$7)),"x","")</f>
        <v/>
      </c>
      <c r="R179" s="79" t="str">
        <f>IF(AND($N179=$Q$7,$B179&lt;'111'!$L$11),"x","")</f>
        <v/>
      </c>
      <c r="S179" s="79" t="str">
        <f>IF(AND($O179=$Q$7,$B179&lt;'111'!$L$11),"x","")</f>
        <v/>
      </c>
      <c r="T179" s="79" t="str">
        <f>IF(ISERROR(FIND('112'!$M$9,G179,1)),"",IF((AND(FIND('112'!$M$9,G179,1)&gt;=1,B179='112'!$K$9,OR($N179='112'!$I$6,$O179='112'!$I$6))),"x",""))</f>
        <v/>
      </c>
      <c r="U179" s="79" t="str">
        <f>IF(ISERROR(FIND('112'!$M$9,G179,1)),"",IF((AND(LEFT(G179,2)=LEFT('112'!$M$9,2),B179&lt;'112'!$K$9,$N179='112'!$I$6)),"x",""))</f>
        <v/>
      </c>
      <c r="V179" s="79" t="str">
        <f>IF(ISERROR(FIND('112'!$M$9,G179,1)),"",IF((AND(RIGHT(G179,2)=RIGHT('112'!$M$9,2),B179&lt;'112'!$K$9,$O179='112'!$I$6)),"x",""))</f>
        <v/>
      </c>
      <c r="W179" s="79" t="str">
        <f>IF(AND('341-CT'!$H$9=H179,OR(LEFT(N179,3)=$W$7,LEFT(O179,3)=$W$7)),"x","")</f>
        <v/>
      </c>
      <c r="X179" s="79" t="str">
        <f>IF(OR(TH!N179=TH!$X$7,O179=TH!$X$7),"x","")</f>
        <v/>
      </c>
      <c r="Y179" s="79" t="str">
        <f>IF(AND(OR(N179="131",O179="131"),H179='131-CT'!$H$9),"x","")</f>
        <v/>
      </c>
      <c r="Z179" s="79"/>
      <c r="AA179" s="79" t="str">
        <f>IF(AND(MONTH(E179)='IN-NX'!$J$5,'IN-NX'!$D$7=D179),"x","")</f>
        <v/>
      </c>
      <c r="AB179" s="79" t="str">
        <f>IF(AND(OR(LEFT(TH!N179,2)="15",LEFT(TH!O179,2)="15"),LEFT(TH!O179,3)&lt;&gt;"111",'152-CT'!$J$8=TH!F179),"x","")</f>
        <v/>
      </c>
      <c r="AC179" s="79" t="str">
        <f>IF(AND(OR(LEFT(TH!N179,2)="15",LEFT(TH!O179,2)="15"),TK!$E$7=TH!F179),"x","")</f>
        <v/>
      </c>
      <c r="AD179" s="79" t="str">
        <f>IF(AND(N179="1521",MONTH(C179)='BK-NL'!$M$11),"x","")</f>
        <v/>
      </c>
    </row>
    <row r="180" spans="1:30" ht="16.5" customHeight="1">
      <c r="A180" s="318" t="str">
        <f>IF(B180&lt;&gt;"",IF(AND(B180='IN-TC'!$S$4,OR(TH!N180="1111",TH!O180="1111")),TH!D180,""),"")</f>
        <v/>
      </c>
      <c r="B180" s="1164">
        <f t="shared" si="24"/>
        <v>8</v>
      </c>
      <c r="C180" s="682">
        <v>43343</v>
      </c>
      <c r="D180" s="682" t="s">
        <v>532</v>
      </c>
      <c r="E180" s="682">
        <f t="shared" si="27"/>
        <v>43343</v>
      </c>
      <c r="F180" s="943" t="s">
        <v>730</v>
      </c>
      <c r="G180" s="763" t="s">
        <v>535</v>
      </c>
      <c r="H180" s="303"/>
      <c r="I180" s="385"/>
      <c r="J180" s="392"/>
      <c r="K180" s="385"/>
      <c r="L180" s="392"/>
      <c r="M180" s="686">
        <f>G172*$G180</f>
        <v>0</v>
      </c>
      <c r="N180" s="687" t="s">
        <v>540</v>
      </c>
      <c r="O180" s="687" t="s">
        <v>543</v>
      </c>
      <c r="P180" s="79" t="str">
        <f>IF(AND('331-CT'!$E$7=TH!H180,OR(N180="331",O180="331")),"x","")</f>
        <v/>
      </c>
      <c r="Q180" s="79" t="str">
        <f>IF(AND(B180='111'!$L$11,OR($N180=$Q$7,$O180=$Q$7)),"x","")</f>
        <v/>
      </c>
      <c r="R180" s="79" t="str">
        <f>IF(AND($N180=$Q$7,$B180&lt;'111'!$L$11),"x","")</f>
        <v/>
      </c>
      <c r="S180" s="79" t="str">
        <f>IF(AND($O180=$Q$7,$B180&lt;'111'!$L$11),"x","")</f>
        <v/>
      </c>
      <c r="T180" s="79" t="str">
        <f>IF(ISERROR(FIND('112'!$M$9,G180,1)),"",IF((AND(FIND('112'!$M$9,G180,1)&gt;=1,B180='112'!$K$9,OR($N180='112'!$I$6,$O180='112'!$I$6))),"x",""))</f>
        <v/>
      </c>
      <c r="U180" s="79" t="str">
        <f>IF(ISERROR(FIND('112'!$M$9,G180,1)),"",IF((AND(LEFT(G180,2)=LEFT('112'!$M$9,2),B180&lt;'112'!$K$9,$N180='112'!$I$6)),"x",""))</f>
        <v/>
      </c>
      <c r="V180" s="79" t="str">
        <f>IF(ISERROR(FIND('112'!$M$9,G180,1)),"",IF((AND(RIGHT(G180,2)=RIGHT('112'!$M$9,2),B180&lt;'112'!$K$9,$O180='112'!$I$6)),"x",""))</f>
        <v/>
      </c>
      <c r="W180" s="79" t="str">
        <f>IF(AND('341-CT'!$H$9=H180,OR(LEFT(N180,3)=$W$7,LEFT(O180,3)=$W$7)),"x","")</f>
        <v/>
      </c>
      <c r="X180" s="79" t="str">
        <f>IF(OR(TH!N180=TH!$X$7,O180=TH!$X$7),"x","")</f>
        <v/>
      </c>
      <c r="Y180" s="79" t="str">
        <f>IF(AND(OR(N180="131",O180="131"),H180='131-CT'!$H$9),"x","")</f>
        <v/>
      </c>
      <c r="Z180" s="79"/>
      <c r="AA180" s="79" t="str">
        <f>IF(AND(MONTH(E180)='IN-NX'!$J$5,'IN-NX'!$D$7=D180),"x","")</f>
        <v/>
      </c>
      <c r="AB180" s="79" t="str">
        <f>IF(AND(OR(LEFT(TH!N180,2)="15",LEFT(TH!O180,2)="15"),LEFT(TH!O180,3)&lt;&gt;"111",'152-CT'!$J$8=TH!F180),"x","")</f>
        <v/>
      </c>
      <c r="AC180" s="79" t="str">
        <f>IF(AND(OR(LEFT(TH!N180,2)="15",LEFT(TH!O180,2)="15"),TK!$E$7=TH!F180),"x","")</f>
        <v/>
      </c>
      <c r="AD180" s="79" t="str">
        <f>IF(AND(N180="1521",MONTH(C180)='BK-NL'!$M$11),"x","")</f>
        <v/>
      </c>
    </row>
    <row r="181" spans="1:30" ht="16.5" customHeight="1">
      <c r="A181" s="318" t="str">
        <f>IF(B181&lt;&gt;"",IF(AND(B181='IN-TC'!$S$4,OR(TH!N181="1111",TH!O181="1111")),TH!D181,""),"")</f>
        <v/>
      </c>
      <c r="B181" s="1164">
        <f t="shared" si="24"/>
        <v>8</v>
      </c>
      <c r="C181" s="682">
        <v>43343</v>
      </c>
      <c r="D181" s="682" t="s">
        <v>532</v>
      </c>
      <c r="E181" s="682">
        <f t="shared" si="27"/>
        <v>43343</v>
      </c>
      <c r="F181" s="943" t="s">
        <v>731</v>
      </c>
      <c r="G181" s="259"/>
      <c r="H181" s="303"/>
      <c r="I181" s="385"/>
      <c r="J181" s="392"/>
      <c r="K181" s="385"/>
      <c r="L181" s="392"/>
      <c r="M181" s="686">
        <f>G173*$G180</f>
        <v>0</v>
      </c>
      <c r="N181" s="687" t="s">
        <v>272</v>
      </c>
      <c r="O181" s="687" t="s">
        <v>543</v>
      </c>
      <c r="P181" s="79" t="str">
        <f>IF(AND('331-CT'!$E$7=TH!H181,OR(N181="331",O181="331")),"x","")</f>
        <v/>
      </c>
      <c r="Q181" s="79" t="str">
        <f>IF(AND(B181='111'!$L$11,OR($N181=$Q$7,$O181=$Q$7)),"x","")</f>
        <v/>
      </c>
      <c r="R181" s="79" t="str">
        <f>IF(AND($N181=$Q$7,$B181&lt;'111'!$L$11),"x","")</f>
        <v/>
      </c>
      <c r="S181" s="79" t="str">
        <f>IF(AND($O181=$Q$7,$B181&lt;'111'!$L$11),"x","")</f>
        <v/>
      </c>
      <c r="T181" s="79" t="str">
        <f>IF(ISERROR(FIND('112'!$M$9,G181,1)),"",IF((AND(FIND('112'!$M$9,G181,1)&gt;=1,B181='112'!$K$9,OR($N181='112'!$I$6,$O181='112'!$I$6))),"x",""))</f>
        <v/>
      </c>
      <c r="U181" s="79" t="str">
        <f>IF(ISERROR(FIND('112'!$M$9,G181,1)),"",IF((AND(LEFT(G181,2)=LEFT('112'!$M$9,2),B181&lt;'112'!$K$9,$N181='112'!$I$6)),"x",""))</f>
        <v/>
      </c>
      <c r="V181" s="79" t="str">
        <f>IF(ISERROR(FIND('112'!$M$9,G181,1)),"",IF((AND(RIGHT(G181,2)=RIGHT('112'!$M$9,2),B181&lt;'112'!$K$9,$O181='112'!$I$6)),"x",""))</f>
        <v/>
      </c>
      <c r="W181" s="79" t="str">
        <f>IF(AND('341-CT'!$H$9=H181,OR(LEFT(N181,3)=$W$7,LEFT(O181,3)=$W$7)),"x","")</f>
        <v/>
      </c>
      <c r="X181" s="79" t="str">
        <f>IF(OR(TH!N181=TH!$X$7,O181=TH!$X$7),"x","")</f>
        <v/>
      </c>
      <c r="Y181" s="79" t="str">
        <f>IF(AND(OR(N181="131",O181="131"),H181='131-CT'!$H$9),"x","")</f>
        <v/>
      </c>
      <c r="Z181" s="79"/>
      <c r="AA181" s="79" t="str">
        <f>IF(AND(MONTH(E181)='IN-NX'!$J$5,'IN-NX'!$D$7=D181),"x","")</f>
        <v/>
      </c>
      <c r="AB181" s="79" t="str">
        <f>IF(AND(OR(LEFT(TH!N181,2)="15",LEFT(TH!O181,2)="15"),LEFT(TH!O181,3)&lt;&gt;"111",'152-CT'!$J$8=TH!F181),"x","")</f>
        <v/>
      </c>
      <c r="AC181" s="79" t="str">
        <f>IF(AND(OR(LEFT(TH!N181,2)="15",LEFT(TH!O181,2)="15"),TK!$E$7=TH!F181),"x","")</f>
        <v/>
      </c>
      <c r="AD181" s="79" t="str">
        <f>IF(AND(N181="1521",MONTH(C181)='BK-NL'!$M$11),"x","")</f>
        <v/>
      </c>
    </row>
    <row r="182" spans="1:30" ht="16.5" customHeight="1">
      <c r="A182" s="318" t="str">
        <f>IF(B182&lt;&gt;"",IF(AND(B182='IN-TC'!$S$4,OR(TH!N182="1111",TH!O182="1111")),TH!D182,""),"")</f>
        <v/>
      </c>
      <c r="B182" s="1164">
        <f t="shared" si="24"/>
        <v>8</v>
      </c>
      <c r="C182" s="682">
        <v>43343</v>
      </c>
      <c r="D182" s="682" t="s">
        <v>532</v>
      </c>
      <c r="E182" s="682">
        <f t="shared" si="27"/>
        <v>43343</v>
      </c>
      <c r="F182" s="943" t="s">
        <v>732</v>
      </c>
      <c r="G182" s="763" t="s">
        <v>536</v>
      </c>
      <c r="H182" s="303"/>
      <c r="I182" s="385"/>
      <c r="J182" s="392"/>
      <c r="K182" s="385"/>
      <c r="L182" s="392"/>
      <c r="M182" s="686">
        <f>G172*$G182</f>
        <v>0</v>
      </c>
      <c r="N182" s="687" t="s">
        <v>541</v>
      </c>
      <c r="O182" s="687" t="s">
        <v>544</v>
      </c>
      <c r="P182" s="79" t="str">
        <f>IF(AND('331-CT'!$E$7=TH!H182,OR(N182="331",O182="331")),"x","")</f>
        <v/>
      </c>
      <c r="Q182" s="79" t="str">
        <f>IF(AND(B182='111'!$L$11,OR($N182=$Q$7,$O182=$Q$7)),"x","")</f>
        <v/>
      </c>
      <c r="R182" s="79" t="str">
        <f>IF(AND($N182=$Q$7,$B182&lt;'111'!$L$11),"x","")</f>
        <v/>
      </c>
      <c r="S182" s="79" t="str">
        <f>IF(AND($O182=$Q$7,$B182&lt;'111'!$L$11),"x","")</f>
        <v/>
      </c>
      <c r="T182" s="79" t="str">
        <f>IF(ISERROR(FIND('112'!$M$9,G182,1)),"",IF((AND(FIND('112'!$M$9,G182,1)&gt;=1,B182='112'!$K$9,OR($N182='112'!$I$6,$O182='112'!$I$6))),"x",""))</f>
        <v/>
      </c>
      <c r="U182" s="79" t="str">
        <f>IF(ISERROR(FIND('112'!$M$9,G182,1)),"",IF((AND(LEFT(G182,2)=LEFT('112'!$M$9,2),B182&lt;'112'!$K$9,$N182='112'!$I$6)),"x",""))</f>
        <v/>
      </c>
      <c r="V182" s="79" t="str">
        <f>IF(ISERROR(FIND('112'!$M$9,G182,1)),"",IF((AND(RIGHT(G182,2)=RIGHT('112'!$M$9,2),B182&lt;'112'!$K$9,$O182='112'!$I$6)),"x",""))</f>
        <v/>
      </c>
      <c r="W182" s="79" t="str">
        <f>IF(AND('341-CT'!$H$9=H182,OR(LEFT(N182,3)=$W$7,LEFT(O182,3)=$W$7)),"x","")</f>
        <v/>
      </c>
      <c r="X182" s="79" t="str">
        <f>IF(OR(TH!N182=TH!$X$7,O182=TH!$X$7),"x","")</f>
        <v/>
      </c>
      <c r="Y182" s="79" t="str">
        <f>IF(AND(OR(N182="131",O182="131"),H182='131-CT'!$H$9),"x","")</f>
        <v/>
      </c>
      <c r="Z182" s="79"/>
      <c r="AA182" s="79" t="str">
        <f>IF(AND(MONTH(E182)='IN-NX'!$J$5,'IN-NX'!$D$7=D182),"x","")</f>
        <v/>
      </c>
      <c r="AB182" s="79" t="str">
        <f>IF(AND(OR(LEFT(TH!N182,2)="15",LEFT(TH!O182,2)="15"),LEFT(TH!O182,3)&lt;&gt;"111",'152-CT'!$J$8=TH!F182),"x","")</f>
        <v/>
      </c>
      <c r="AC182" s="79" t="str">
        <f>IF(AND(OR(LEFT(TH!N182,2)="15",LEFT(TH!O182,2)="15"),TK!$E$7=TH!F182),"x","")</f>
        <v/>
      </c>
      <c r="AD182" s="79" t="str">
        <f>IF(AND(N182="1521",MONTH(C182)='BK-NL'!$M$11),"x","")</f>
        <v/>
      </c>
    </row>
    <row r="183" spans="1:30" ht="16.5" customHeight="1">
      <c r="A183" s="318" t="str">
        <f>IF(B183&lt;&gt;"",IF(AND(B183='IN-TC'!$S$4,OR(TH!N183="1111",TH!O183="1111")),TH!D183,""),"")</f>
        <v/>
      </c>
      <c r="B183" s="1164">
        <f t="shared" si="24"/>
        <v>8</v>
      </c>
      <c r="C183" s="682">
        <v>43343</v>
      </c>
      <c r="D183" s="682" t="s">
        <v>532</v>
      </c>
      <c r="E183" s="682">
        <f t="shared" si="27"/>
        <v>43343</v>
      </c>
      <c r="F183" s="943" t="s">
        <v>733</v>
      </c>
      <c r="G183" s="259"/>
      <c r="H183" s="303"/>
      <c r="I183" s="385"/>
      <c r="J183" s="392"/>
      <c r="K183" s="385"/>
      <c r="L183" s="392"/>
      <c r="M183" s="686">
        <f>G173*$G182</f>
        <v>0</v>
      </c>
      <c r="N183" s="687" t="s">
        <v>541</v>
      </c>
      <c r="O183" s="687" t="s">
        <v>544</v>
      </c>
      <c r="P183" s="79" t="str">
        <f>IF(AND('331-CT'!$E$7=TH!H183,OR(N183="331",O183="331")),"x","")</f>
        <v/>
      </c>
      <c r="Q183" s="79" t="str">
        <f>IF(AND(B183='111'!$L$11,OR($N183=$Q$7,$O183=$Q$7)),"x","")</f>
        <v/>
      </c>
      <c r="R183" s="79" t="str">
        <f>IF(AND($N183=$Q$7,$B183&lt;'111'!$L$11),"x","")</f>
        <v/>
      </c>
      <c r="S183" s="79" t="str">
        <f>IF(AND($O183=$Q$7,$B183&lt;'111'!$L$11),"x","")</f>
        <v/>
      </c>
      <c r="T183" s="79" t="str">
        <f>IF(ISERROR(FIND('112'!$M$9,G183,1)),"",IF((AND(FIND('112'!$M$9,G183,1)&gt;=1,B183='112'!$K$9,OR($N183='112'!$I$6,$O183='112'!$I$6))),"x",""))</f>
        <v/>
      </c>
      <c r="U183" s="79" t="str">
        <f>IF(ISERROR(FIND('112'!$M$9,G183,1)),"",IF((AND(LEFT(G183,2)=LEFT('112'!$M$9,2),B183&lt;'112'!$K$9,$N183='112'!$I$6)),"x",""))</f>
        <v/>
      </c>
      <c r="V183" s="79" t="str">
        <f>IF(ISERROR(FIND('112'!$M$9,G183,1)),"",IF((AND(RIGHT(G183,2)=RIGHT('112'!$M$9,2),B183&lt;'112'!$K$9,$O183='112'!$I$6)),"x",""))</f>
        <v/>
      </c>
      <c r="W183" s="79" t="str">
        <f>IF(AND('341-CT'!$H$9=H183,OR(LEFT(N183,3)=$W$7,LEFT(O183,3)=$W$7)),"x","")</f>
        <v/>
      </c>
      <c r="X183" s="79" t="str">
        <f>IF(OR(TH!N183=TH!$X$7,O183=TH!$X$7),"x","")</f>
        <v/>
      </c>
      <c r="Y183" s="79" t="str">
        <f>IF(AND(OR(N183="131",O183="131"),H183='131-CT'!$H$9),"x","")</f>
        <v/>
      </c>
      <c r="Z183" s="79"/>
      <c r="AA183" s="79" t="str">
        <f>IF(AND(MONTH(E183)='IN-NX'!$J$5,'IN-NX'!$D$7=D183),"x","")</f>
        <v/>
      </c>
      <c r="AB183" s="79" t="str">
        <f>IF(AND(OR(LEFT(TH!N183,2)="15",LEFT(TH!O183,2)="15"),LEFT(TH!O183,3)&lt;&gt;"111",'152-CT'!$J$8=TH!F183),"x","")</f>
        <v/>
      </c>
      <c r="AC183" s="79" t="str">
        <f>IF(AND(OR(LEFT(TH!N183,2)="15",LEFT(TH!O183,2)="15"),TK!$E$7=TH!F183),"x","")</f>
        <v/>
      </c>
      <c r="AD183" s="79" t="str">
        <f>IF(AND(N183="1521",MONTH(C183)='BK-NL'!$M$11),"x","")</f>
        <v/>
      </c>
    </row>
    <row r="184" spans="1:30" ht="16.5" customHeight="1">
      <c r="A184" s="318" t="str">
        <f>IF(B184&lt;&gt;"",IF(AND(B184='IN-TC'!$S$4,OR(TH!N184="1111",TH!O184="1111")),TH!D184,""),"")</f>
        <v/>
      </c>
      <c r="B184" s="1164">
        <f t="shared" si="24"/>
        <v>8</v>
      </c>
      <c r="C184" s="682">
        <v>43343</v>
      </c>
      <c r="D184" s="682" t="s">
        <v>532</v>
      </c>
      <c r="E184" s="682">
        <f t="shared" si="27"/>
        <v>43343</v>
      </c>
      <c r="F184" s="943" t="s">
        <v>734</v>
      </c>
      <c r="G184" s="763" t="s">
        <v>536</v>
      </c>
      <c r="H184" s="901"/>
      <c r="I184" s="386"/>
      <c r="J184" s="393"/>
      <c r="K184" s="386"/>
      <c r="L184" s="393"/>
      <c r="M184" s="686">
        <f>M182</f>
        <v>0</v>
      </c>
      <c r="N184" s="687" t="s">
        <v>540</v>
      </c>
      <c r="O184" s="687" t="s">
        <v>544</v>
      </c>
      <c r="P184" s="79" t="str">
        <f>IF(AND('331-CT'!$E$7=TH!H184,OR(N184="331",O184="331")),"x","")</f>
        <v/>
      </c>
      <c r="Q184" s="79" t="str">
        <f>IF(AND(B184='111'!$L$11,OR($N184=$Q$7,$O184=$Q$7)),"x","")</f>
        <v/>
      </c>
      <c r="R184" s="79" t="str">
        <f>IF(AND($N184=$Q$7,$B184&lt;'111'!$L$11),"x","")</f>
        <v/>
      </c>
      <c r="S184" s="79" t="str">
        <f>IF(AND($O184=$Q$7,$B184&lt;'111'!$L$11),"x","")</f>
        <v/>
      </c>
      <c r="T184" s="79" t="str">
        <f>IF(ISERROR(FIND('112'!$M$9,G184,1)),"",IF((AND(FIND('112'!$M$9,G184,1)&gt;=1,B184='112'!$K$9,OR($N184='112'!$I$6,$O184='112'!$I$6))),"x",""))</f>
        <v/>
      </c>
      <c r="U184" s="79" t="str">
        <f>IF(ISERROR(FIND('112'!$M$9,G184,1)),"",IF((AND(LEFT(G184,2)=LEFT('112'!$M$9,2),B184&lt;'112'!$K$9,$N184='112'!$I$6)),"x",""))</f>
        <v/>
      </c>
      <c r="V184" s="79" t="str">
        <f>IF(ISERROR(FIND('112'!$M$9,G184,1)),"",IF((AND(RIGHT(G184,2)=RIGHT('112'!$M$9,2),B184&lt;'112'!$K$9,$O184='112'!$I$6)),"x",""))</f>
        <v/>
      </c>
      <c r="W184" s="79" t="str">
        <f>IF(AND('341-CT'!$H$9=H184,OR(LEFT(N184,3)=$W$7,LEFT(O184,3)=$W$7)),"x","")</f>
        <v/>
      </c>
      <c r="X184" s="79" t="str">
        <f>IF(OR(TH!N184=TH!$X$7,O184=TH!$X$7),"x","")</f>
        <v/>
      </c>
      <c r="Y184" s="79" t="str">
        <f>IF(AND(OR(N184="131",O184="131"),H184='131-CT'!$H$9),"x","")</f>
        <v/>
      </c>
      <c r="Z184" s="79"/>
      <c r="AA184" s="79" t="str">
        <f>IF(AND(MONTH(E184)='IN-NX'!$J$5,'IN-NX'!$D$7=D184),"x","")</f>
        <v/>
      </c>
      <c r="AB184" s="79" t="str">
        <f>IF(AND(OR(LEFT(TH!N184,2)="15",LEFT(TH!O184,2)="15"),LEFT(TH!O184,3)&lt;&gt;"111",'152-CT'!$J$8=TH!F184),"x","")</f>
        <v/>
      </c>
      <c r="AC184" s="79" t="str">
        <f>IF(AND(OR(LEFT(TH!N184,2)="15",LEFT(TH!O184,2)="15"),TK!$E$7=TH!F184),"x","")</f>
        <v/>
      </c>
      <c r="AD184" s="79" t="str">
        <f>IF(AND(N184="1521",MONTH(C184)='BK-NL'!$M$11),"x","")</f>
        <v/>
      </c>
    </row>
    <row r="185" spans="1:30" ht="16.5" customHeight="1">
      <c r="A185" s="318" t="str">
        <f>IF(B185&lt;&gt;"",IF(AND(B185='IN-TC'!$S$4,OR(TH!N185="1111",TH!O185="1111")),TH!D185,""),"")</f>
        <v/>
      </c>
      <c r="B185" s="1164">
        <f t="shared" si="24"/>
        <v>8</v>
      </c>
      <c r="C185" s="682">
        <v>43343</v>
      </c>
      <c r="D185" s="682" t="s">
        <v>532</v>
      </c>
      <c r="E185" s="682">
        <f t="shared" si="27"/>
        <v>43343</v>
      </c>
      <c r="F185" s="943" t="s">
        <v>735</v>
      </c>
      <c r="G185" s="259"/>
      <c r="H185" s="303"/>
      <c r="I185" s="385"/>
      <c r="J185" s="392"/>
      <c r="K185" s="385"/>
      <c r="L185" s="392"/>
      <c r="M185" s="686">
        <f>M183</f>
        <v>0</v>
      </c>
      <c r="N185" s="687" t="s">
        <v>272</v>
      </c>
      <c r="O185" s="687" t="s">
        <v>544</v>
      </c>
      <c r="P185" s="79" t="str">
        <f>IF(AND('331-CT'!$E$7=TH!H185,OR(N185="331",O185="331")),"x","")</f>
        <v/>
      </c>
      <c r="Q185" s="79" t="str">
        <f>IF(AND(B185='111'!$L$11,OR($N185=$Q$7,$O185=$Q$7)),"x","")</f>
        <v/>
      </c>
      <c r="R185" s="79" t="str">
        <f>IF(AND($N185=$Q$7,$B185&lt;'111'!$L$11),"x","")</f>
        <v/>
      </c>
      <c r="S185" s="79" t="str">
        <f>IF(AND($O185=$Q$7,$B185&lt;'111'!$L$11),"x","")</f>
        <v/>
      </c>
      <c r="T185" s="79" t="str">
        <f>IF(ISERROR(FIND('112'!$M$9,G185,1)),"",IF((AND(FIND('112'!$M$9,G185,1)&gt;=1,B185='112'!$K$9,OR($N185='112'!$I$6,$O185='112'!$I$6))),"x",""))</f>
        <v/>
      </c>
      <c r="U185" s="79" t="str">
        <f>IF(ISERROR(FIND('112'!$M$9,G185,1)),"",IF((AND(LEFT(G185,2)=LEFT('112'!$M$9,2),B185&lt;'112'!$K$9,$N185='112'!$I$6)),"x",""))</f>
        <v/>
      </c>
      <c r="V185" s="79" t="str">
        <f>IF(ISERROR(FIND('112'!$M$9,G185,1)),"",IF((AND(RIGHT(G185,2)=RIGHT('112'!$M$9,2),B185&lt;'112'!$K$9,$O185='112'!$I$6)),"x",""))</f>
        <v/>
      </c>
      <c r="W185" s="79" t="str">
        <f>IF(AND('341-CT'!$H$9=H185,OR(LEFT(N185,3)=$W$7,LEFT(O185,3)=$W$7)),"x","")</f>
        <v/>
      </c>
      <c r="X185" s="79" t="str">
        <f>IF(OR(TH!N185=TH!$X$7,O185=TH!$X$7),"x","")</f>
        <v/>
      </c>
      <c r="Y185" s="79" t="str">
        <f>IF(AND(OR(N185="131",O185="131"),H185='131-CT'!$H$9),"x","")</f>
        <v/>
      </c>
      <c r="Z185" s="79"/>
      <c r="AA185" s="79" t="str">
        <f>IF(AND(MONTH(E185)='IN-NX'!$J$5,'IN-NX'!$D$7=D185),"x","")</f>
        <v/>
      </c>
      <c r="AB185" s="79" t="str">
        <f>IF(AND(OR(LEFT(TH!N185,2)="15",LEFT(TH!O185,2)="15"),LEFT(TH!O185,3)&lt;&gt;"111",'152-CT'!$J$8=TH!F185),"x","")</f>
        <v/>
      </c>
      <c r="AC185" s="79" t="str">
        <f>IF(AND(OR(LEFT(TH!N185,2)="15",LEFT(TH!O185,2)="15"),TK!$E$7=TH!F185),"x","")</f>
        <v/>
      </c>
      <c r="AD185" s="79" t="str">
        <f>IF(AND(N185="1521",MONTH(C185)='BK-NL'!$M$11),"x","")</f>
        <v/>
      </c>
    </row>
    <row r="186" spans="1:30" ht="16.5" customHeight="1">
      <c r="A186" s="318" t="str">
        <f>IF(B186&lt;&gt;"",IF(AND(B186='IN-TC'!$S$4,OR(TH!N186="1111",TH!O186="1111")),TH!D186,""),"")</f>
        <v/>
      </c>
      <c r="B186" s="1164">
        <f t="shared" ref="B186:B187" si="28">IF(C186&lt;&gt;"",MONTH(C186),"")</f>
        <v>8</v>
      </c>
      <c r="C186" s="682">
        <v>43343</v>
      </c>
      <c r="D186" s="682" t="s">
        <v>532</v>
      </c>
      <c r="E186" s="682">
        <f t="shared" ref="E186:E187" si="29">C186</f>
        <v>43343</v>
      </c>
      <c r="F186" s="943" t="s">
        <v>954</v>
      </c>
      <c r="G186" s="763" t="s">
        <v>956</v>
      </c>
      <c r="H186" s="901"/>
      <c r="I186" s="386"/>
      <c r="J186" s="393"/>
      <c r="K186" s="386"/>
      <c r="L186" s="393"/>
      <c r="M186" s="686">
        <f>G172*$G186</f>
        <v>0</v>
      </c>
      <c r="N186" s="687" t="s">
        <v>540</v>
      </c>
      <c r="O186" s="687" t="s">
        <v>19</v>
      </c>
      <c r="P186" s="79" t="str">
        <f>IF(AND('331-CT'!$E$7=TH!H186,OR(N186="331",O186="331")),"x","")</f>
        <v/>
      </c>
      <c r="Q186" s="79" t="str">
        <f>IF(AND(B186='111'!$L$11,OR($N186=$Q$7,$O186=$Q$7)),"x","")</f>
        <v/>
      </c>
      <c r="R186" s="79" t="str">
        <f>IF(AND($N186=$Q$7,$B186&lt;'111'!$L$11),"x","")</f>
        <v/>
      </c>
      <c r="S186" s="79" t="str">
        <f>IF(AND($O186=$Q$7,$B186&lt;'111'!$L$11),"x","")</f>
        <v/>
      </c>
      <c r="T186" s="79" t="str">
        <f>IF(ISERROR(FIND('112'!$M$9,G186,1)),"",IF((AND(FIND('112'!$M$9,G186,1)&gt;=1,B186='112'!$K$9,OR($N186='112'!$I$6,$O186='112'!$I$6))),"x",""))</f>
        <v/>
      </c>
      <c r="U186" s="79" t="str">
        <f>IF(ISERROR(FIND('112'!$M$9,G186,1)),"",IF((AND(LEFT(G186,2)=LEFT('112'!$M$9,2),B186&lt;'112'!$K$9,$N186='112'!$I$6)),"x",""))</f>
        <v/>
      </c>
      <c r="V186" s="79" t="str">
        <f>IF(ISERROR(FIND('112'!$M$9,G186,1)),"",IF((AND(RIGHT(G186,2)=RIGHT('112'!$M$9,2),B186&lt;'112'!$K$9,$O186='112'!$I$6)),"x",""))</f>
        <v/>
      </c>
      <c r="W186" s="79" t="str">
        <f>IF(AND('341-CT'!$H$9=H186,OR(LEFT(N186,3)=$W$7,LEFT(O186,3)=$W$7)),"x","")</f>
        <v/>
      </c>
      <c r="X186" s="79" t="str">
        <f>IF(OR(TH!N186=TH!$X$7,O186=TH!$X$7),"x","")</f>
        <v/>
      </c>
      <c r="Y186" s="79" t="str">
        <f>IF(AND(OR(N186="131",O186="131"),H186='131-CT'!$H$9),"x","")</f>
        <v/>
      </c>
      <c r="Z186" s="79"/>
      <c r="AA186" s="79" t="str">
        <f>IF(AND(MONTH(E186)='IN-NX'!$J$5,'IN-NX'!$D$7=D186),"x","")</f>
        <v/>
      </c>
      <c r="AB186" s="79" t="str">
        <f>IF(AND(OR(LEFT(TH!N186,2)="15",LEFT(TH!O186,2)="15"),LEFT(TH!O186,3)&lt;&gt;"111",'152-CT'!$J$8=TH!F186),"x","")</f>
        <v/>
      </c>
      <c r="AC186" s="79" t="str">
        <f>IF(AND(OR(LEFT(TH!N186,2)="15",LEFT(TH!O186,2)="15"),TK!$E$7=TH!F186),"x","")</f>
        <v/>
      </c>
      <c r="AD186" s="79" t="str">
        <f>IF(AND(N186="1521",MONTH(C186)='BK-NL'!$M$11),"x","")</f>
        <v/>
      </c>
    </row>
    <row r="187" spans="1:30" ht="16.5" customHeight="1">
      <c r="A187" s="318" t="str">
        <f>IF(B187&lt;&gt;"",IF(AND(B187='IN-TC'!$S$4,OR(TH!N187="1111",TH!O187="1111")),TH!D187,""),"")</f>
        <v/>
      </c>
      <c r="B187" s="1164">
        <f t="shared" si="28"/>
        <v>8</v>
      </c>
      <c r="C187" s="682">
        <v>43343</v>
      </c>
      <c r="D187" s="682" t="s">
        <v>532</v>
      </c>
      <c r="E187" s="682">
        <f t="shared" si="29"/>
        <v>43343</v>
      </c>
      <c r="F187" s="943" t="s">
        <v>955</v>
      </c>
      <c r="G187" s="259"/>
      <c r="H187" s="303"/>
      <c r="I187" s="385"/>
      <c r="J187" s="392"/>
      <c r="K187" s="385"/>
      <c r="L187" s="392"/>
      <c r="M187" s="686">
        <f>G173*$G186</f>
        <v>0</v>
      </c>
      <c r="N187" s="687" t="s">
        <v>272</v>
      </c>
      <c r="O187" s="687" t="s">
        <v>19</v>
      </c>
      <c r="P187" s="79" t="str">
        <f>IF(AND('331-CT'!$E$7=TH!H187,OR(N187="331",O187="331")),"x","")</f>
        <v/>
      </c>
      <c r="Q187" s="79" t="str">
        <f>IF(AND(B187='111'!$L$11,OR($N187=$Q$7,$O187=$Q$7)),"x","")</f>
        <v/>
      </c>
      <c r="R187" s="79" t="str">
        <f>IF(AND($N187=$Q$7,$B187&lt;'111'!$L$11),"x","")</f>
        <v/>
      </c>
      <c r="S187" s="79" t="str">
        <f>IF(AND($O187=$Q$7,$B187&lt;'111'!$L$11),"x","")</f>
        <v/>
      </c>
      <c r="T187" s="79" t="str">
        <f>IF(ISERROR(FIND('112'!$M$9,G187,1)),"",IF((AND(FIND('112'!$M$9,G187,1)&gt;=1,B187='112'!$K$9,OR($N187='112'!$I$6,$O187='112'!$I$6))),"x",""))</f>
        <v/>
      </c>
      <c r="U187" s="79" t="str">
        <f>IF(ISERROR(FIND('112'!$M$9,G187,1)),"",IF((AND(LEFT(G187,2)=LEFT('112'!$M$9,2),B187&lt;'112'!$K$9,$N187='112'!$I$6)),"x",""))</f>
        <v/>
      </c>
      <c r="V187" s="79" t="str">
        <f>IF(ISERROR(FIND('112'!$M$9,G187,1)),"",IF((AND(RIGHT(G187,2)=RIGHT('112'!$M$9,2),B187&lt;'112'!$K$9,$O187='112'!$I$6)),"x",""))</f>
        <v/>
      </c>
      <c r="W187" s="79" t="str">
        <f>IF(AND('341-CT'!$H$9=H187,OR(LEFT(N187,3)=$W$7,LEFT(O187,3)=$W$7)),"x","")</f>
        <v/>
      </c>
      <c r="X187" s="79" t="str">
        <f>IF(OR(TH!N187=TH!$X$7,O187=TH!$X$7),"x","")</f>
        <v/>
      </c>
      <c r="Y187" s="79" t="str">
        <f>IF(AND(OR(N187="131",O187="131"),H187='131-CT'!$H$9),"x","")</f>
        <v/>
      </c>
      <c r="Z187" s="79"/>
      <c r="AA187" s="79" t="str">
        <f>IF(AND(MONTH(E187)='IN-NX'!$J$5,'IN-NX'!$D$7=D187),"x","")</f>
        <v/>
      </c>
      <c r="AB187" s="79" t="str">
        <f>IF(AND(OR(LEFT(TH!N187,2)="15",LEFT(TH!O187,2)="15"),LEFT(TH!O187,3)&lt;&gt;"111",'152-CT'!$J$8=TH!F187),"x","")</f>
        <v/>
      </c>
      <c r="AC187" s="79" t="str">
        <f>IF(AND(OR(LEFT(TH!N187,2)="15",LEFT(TH!O187,2)="15"),TK!$E$7=TH!F187),"x","")</f>
        <v/>
      </c>
      <c r="AD187" s="79" t="str">
        <f>IF(AND(N187="1521",MONTH(C187)='BK-NL'!$M$11),"x","")</f>
        <v/>
      </c>
    </row>
    <row r="188" spans="1:30" ht="16.5" customHeight="1">
      <c r="A188" s="318" t="str">
        <f>IF(B188&lt;&gt;"",IF(AND(B188='IN-TC'!$S$4,OR(TH!N188="1111",TH!O188="1111")),TH!D188,""),"")</f>
        <v/>
      </c>
      <c r="B188" s="1288">
        <f t="shared" si="24"/>
        <v>9</v>
      </c>
      <c r="C188" s="682">
        <v>43373</v>
      </c>
      <c r="D188" s="682" t="s">
        <v>532</v>
      </c>
      <c r="E188" s="682">
        <f t="shared" si="27"/>
        <v>43373</v>
      </c>
      <c r="F188" s="943" t="s">
        <v>722</v>
      </c>
      <c r="G188" s="259"/>
      <c r="H188" s="259"/>
      <c r="I188" s="385"/>
      <c r="J188" s="392"/>
      <c r="K188" s="385"/>
      <c r="L188" s="392"/>
      <c r="M188" s="686"/>
      <c r="N188" s="687" t="s">
        <v>540</v>
      </c>
      <c r="O188" s="687" t="s">
        <v>541</v>
      </c>
      <c r="P188" s="79" t="str">
        <f>IF(AND('331-CT'!$E$7=TH!H188,OR(N188="331",O188="331")),"x","")</f>
        <v/>
      </c>
      <c r="Q188" s="79" t="str">
        <f>IF(AND(B188='111'!$L$11,OR($N188=$Q$7,$O188=$Q$7)),"x","")</f>
        <v/>
      </c>
      <c r="R188" s="79" t="str">
        <f>IF(AND($N188=$Q$7,$B188&lt;'111'!$L$11),"x","")</f>
        <v/>
      </c>
      <c r="S188" s="79" t="str">
        <f>IF(AND($O188=$Q$7,$B188&lt;'111'!$L$11),"x","")</f>
        <v/>
      </c>
      <c r="T188" s="79" t="str">
        <f>IF(ISERROR(FIND('112'!$M$9,G188,1)),"",IF((AND(FIND('112'!$M$9,G188,1)&gt;=1,B188='112'!$K$9,OR($N188='112'!$I$6,$O188='112'!$I$6))),"x",""))</f>
        <v/>
      </c>
      <c r="U188" s="79" t="str">
        <f>IF(ISERROR(FIND('112'!$M$9,G188,1)),"",IF((AND(LEFT(G188,2)=LEFT('112'!$M$9,2),B188&lt;'112'!$K$9,$N188='112'!$I$6)),"x",""))</f>
        <v/>
      </c>
      <c r="V188" s="79" t="str">
        <f>IF(ISERROR(FIND('112'!$M$9,G188,1)),"",IF((AND(RIGHT(G188,2)=RIGHT('112'!$M$9,2),B188&lt;'112'!$K$9,$O188='112'!$I$6)),"x",""))</f>
        <v/>
      </c>
      <c r="W188" s="79" t="str">
        <f>IF(AND('341-CT'!$H$9=H188,OR(LEFT(N188,3)=$W$7,LEFT(O188,3)=$W$7)),"x","")</f>
        <v/>
      </c>
      <c r="X188" s="79" t="str">
        <f>IF(OR(TH!N188=TH!$X$7,O188=TH!$X$7),"x","")</f>
        <v/>
      </c>
      <c r="Y188" s="79" t="str">
        <f>IF(AND(OR(N188="131",O188="131"),H188='131-CT'!$H$9),"x","")</f>
        <v/>
      </c>
      <c r="Z188" s="79"/>
      <c r="AA188" s="79" t="str">
        <f>IF(AND(MONTH(E188)='IN-NX'!$J$5,'IN-NX'!$D$7=D188),"x","")</f>
        <v/>
      </c>
      <c r="AB188" s="79" t="str">
        <f>IF(AND(OR(LEFT(TH!N188,2)="15",LEFT(TH!O188,2)="15"),LEFT(TH!O188,3)&lt;&gt;"111",'152-CT'!$J$8=TH!F188),"x","")</f>
        <v/>
      </c>
      <c r="AC188" s="79" t="str">
        <f>IF(AND(OR(LEFT(TH!N188,2)="15",LEFT(TH!O188,2)="15"),TK!$E$7=TH!F188),"x","")</f>
        <v/>
      </c>
      <c r="AD188" s="79" t="str">
        <f>IF(AND(N188="1521",MONTH(C188)='BK-NL'!$M$11),"x","")</f>
        <v/>
      </c>
    </row>
    <row r="189" spans="1:30" ht="16.5" customHeight="1">
      <c r="A189" s="318" t="str">
        <f>IF(B189&lt;&gt;"",IF(AND(B189='IN-TC'!$S$4,OR(TH!N189="1111",TH!O189="1111")),TH!D189,""),"")</f>
        <v/>
      </c>
      <c r="B189" s="1288">
        <f t="shared" si="24"/>
        <v>9</v>
      </c>
      <c r="C189" s="682">
        <v>43373</v>
      </c>
      <c r="D189" s="682" t="s">
        <v>532</v>
      </c>
      <c r="E189" s="682">
        <f t="shared" si="27"/>
        <v>43373</v>
      </c>
      <c r="F189" s="943" t="s">
        <v>723</v>
      </c>
      <c r="G189" s="259"/>
      <c r="H189" s="259"/>
      <c r="I189" s="385"/>
      <c r="J189" s="392"/>
      <c r="K189" s="385"/>
      <c r="L189" s="392"/>
      <c r="M189" s="686"/>
      <c r="N189" s="687" t="s">
        <v>272</v>
      </c>
      <c r="O189" s="687" t="s">
        <v>541</v>
      </c>
      <c r="P189" s="79" t="str">
        <f>IF(AND('331-CT'!$E$7=TH!H189,OR(N189="331",O189="331")),"x","")</f>
        <v/>
      </c>
      <c r="Q189" s="79" t="str">
        <f>IF(AND(B189='111'!$L$11,OR($N189=$Q$7,$O189=$Q$7)),"x","")</f>
        <v/>
      </c>
      <c r="R189" s="79" t="str">
        <f>IF(AND($N189=$Q$7,$B189&lt;'111'!$L$11),"x","")</f>
        <v/>
      </c>
      <c r="S189" s="79" t="str">
        <f>IF(AND($O189=$Q$7,$B189&lt;'111'!$L$11),"x","")</f>
        <v/>
      </c>
      <c r="T189" s="79" t="str">
        <f>IF(ISERROR(FIND('112'!$M$9,G189,1)),"",IF((AND(FIND('112'!$M$9,G189,1)&gt;=1,B189='112'!$K$9,OR($N189='112'!$I$6,$O189='112'!$I$6))),"x",""))</f>
        <v/>
      </c>
      <c r="U189" s="79" t="str">
        <f>IF(ISERROR(FIND('112'!$M$9,G189,1)),"",IF((AND(LEFT(G189,2)=LEFT('112'!$M$9,2),B189&lt;'112'!$K$9,$N189='112'!$I$6)),"x",""))</f>
        <v/>
      </c>
      <c r="V189" s="79" t="str">
        <f>IF(ISERROR(FIND('112'!$M$9,G189,1)),"",IF((AND(RIGHT(G189,2)=RIGHT('112'!$M$9,2),B189&lt;'112'!$K$9,$O189='112'!$I$6)),"x",""))</f>
        <v/>
      </c>
      <c r="W189" s="79" t="str">
        <f>IF(AND('341-CT'!$H$9=H189,OR(LEFT(N189,3)=$W$7,LEFT(O189,3)=$W$7)),"x","")</f>
        <v/>
      </c>
      <c r="X189" s="79" t="str">
        <f>IF(OR(TH!N189=TH!$X$7,O189=TH!$X$7),"x","")</f>
        <v/>
      </c>
      <c r="Y189" s="79" t="str">
        <f>IF(AND(OR(N189="131",O189="131"),H189='131-CT'!$H$9),"x","")</f>
        <v/>
      </c>
      <c r="Z189" s="79"/>
      <c r="AA189" s="79" t="str">
        <f>IF(AND(MONTH(E189)='IN-NX'!$J$5,'IN-NX'!$D$7=D189),"x","")</f>
        <v/>
      </c>
      <c r="AB189" s="79" t="str">
        <f>IF(AND(OR(LEFT(TH!N189,2)="15",LEFT(TH!O189,2)="15"),LEFT(TH!O189,3)&lt;&gt;"111",'152-CT'!$J$8=TH!F189),"x","")</f>
        <v/>
      </c>
      <c r="AC189" s="79" t="str">
        <f>IF(AND(OR(LEFT(TH!N189,2)="15",LEFT(TH!O189,2)="15"),TK!$E$7=TH!F189),"x","")</f>
        <v/>
      </c>
      <c r="AD189" s="79" t="str">
        <f>IF(AND(N189="1521",MONTH(C189)='BK-NL'!$M$11),"x","")</f>
        <v/>
      </c>
    </row>
    <row r="190" spans="1:30" ht="16.5" customHeight="1">
      <c r="A190" s="318" t="str">
        <f>IF(B190&lt;&gt;"",IF(AND(B190='IN-TC'!$S$4,OR(TH!N190="1111",TH!O190="1111")),TH!D190,""),"")</f>
        <v/>
      </c>
      <c r="B190" s="1288">
        <f t="shared" si="24"/>
        <v>9</v>
      </c>
      <c r="C190" s="682">
        <v>43373</v>
      </c>
      <c r="D190" s="682" t="s">
        <v>532</v>
      </c>
      <c r="E190" s="682">
        <f t="shared" si="27"/>
        <v>43373</v>
      </c>
      <c r="F190" s="943" t="s">
        <v>724</v>
      </c>
      <c r="G190" s="763" t="s">
        <v>533</v>
      </c>
      <c r="H190" s="303"/>
      <c r="I190" s="385"/>
      <c r="J190" s="392"/>
      <c r="K190" s="385"/>
      <c r="L190" s="392"/>
      <c r="M190" s="686">
        <f>G188*$G190</f>
        <v>0</v>
      </c>
      <c r="N190" s="687" t="s">
        <v>541</v>
      </c>
      <c r="O190" s="687" t="s">
        <v>542</v>
      </c>
      <c r="P190" s="79" t="str">
        <f>IF(AND('331-CT'!$E$7=TH!H190,OR(N190="331",O190="331")),"x","")</f>
        <v/>
      </c>
      <c r="Q190" s="79" t="str">
        <f>IF(AND(B190='111'!$L$11,OR($N190=$Q$7,$O190=$Q$7)),"x","")</f>
        <v/>
      </c>
      <c r="R190" s="79" t="str">
        <f>IF(AND($N190=$Q$7,$B190&lt;'111'!$L$11),"x","")</f>
        <v/>
      </c>
      <c r="S190" s="79" t="str">
        <f>IF(AND($O190=$Q$7,$B190&lt;'111'!$L$11),"x","")</f>
        <v/>
      </c>
      <c r="T190" s="79" t="str">
        <f>IF(ISERROR(FIND('112'!$M$9,G190,1)),"",IF((AND(FIND('112'!$M$9,G190,1)&gt;=1,B190='112'!$K$9,OR($N190='112'!$I$6,$O190='112'!$I$6))),"x",""))</f>
        <v/>
      </c>
      <c r="U190" s="79" t="str">
        <f>IF(ISERROR(FIND('112'!$M$9,G190,1)),"",IF((AND(LEFT(G190,2)=LEFT('112'!$M$9,2),B190&lt;'112'!$K$9,$N190='112'!$I$6)),"x",""))</f>
        <v/>
      </c>
      <c r="V190" s="79" t="str">
        <f>IF(ISERROR(FIND('112'!$M$9,G190,1)),"",IF((AND(RIGHT(G190,2)=RIGHT('112'!$M$9,2),B190&lt;'112'!$K$9,$O190='112'!$I$6)),"x",""))</f>
        <v/>
      </c>
      <c r="W190" s="79" t="str">
        <f>IF(AND('341-CT'!$H$9=H190,OR(LEFT(N190,3)=$W$7,LEFT(O190,3)=$W$7)),"x","")</f>
        <v/>
      </c>
      <c r="X190" s="79" t="str">
        <f>IF(OR(TH!N190=TH!$X$7,O190=TH!$X$7),"x","")</f>
        <v/>
      </c>
      <c r="Y190" s="79" t="str">
        <f>IF(AND(OR(N190="131",O190="131"),H190='131-CT'!$H$9),"x","")</f>
        <v/>
      </c>
      <c r="Z190" s="79"/>
      <c r="AA190" s="79" t="str">
        <f>IF(AND(MONTH(E190)='IN-NX'!$J$5,'IN-NX'!$D$7=D190),"x","")</f>
        <v/>
      </c>
      <c r="AB190" s="79" t="str">
        <f>IF(AND(OR(LEFT(TH!N190,2)="15",LEFT(TH!O190,2)="15"),LEFT(TH!O190,3)&lt;&gt;"111",'152-CT'!$J$8=TH!F190),"x","")</f>
        <v/>
      </c>
      <c r="AC190" s="79" t="str">
        <f>IF(AND(OR(LEFT(TH!N190,2)="15",LEFT(TH!O190,2)="15"),TK!$E$7=TH!F190),"x","")</f>
        <v/>
      </c>
      <c r="AD190" s="79" t="str">
        <f>IF(AND(N190="1521",MONTH(C190)='BK-NL'!$M$11),"x","")</f>
        <v/>
      </c>
    </row>
    <row r="191" spans="1:30" ht="16.5" customHeight="1">
      <c r="A191" s="318" t="str">
        <f>IF(B191&lt;&gt;"",IF(AND(B191='IN-TC'!$S$4,OR(TH!N191="1111",TH!O191="1111")),TH!D191,""),"")</f>
        <v/>
      </c>
      <c r="B191" s="1288">
        <f t="shared" si="24"/>
        <v>9</v>
      </c>
      <c r="C191" s="682">
        <v>43373</v>
      </c>
      <c r="D191" s="682" t="s">
        <v>532</v>
      </c>
      <c r="E191" s="682">
        <f t="shared" si="27"/>
        <v>43373</v>
      </c>
      <c r="F191" s="943" t="s">
        <v>725</v>
      </c>
      <c r="G191" s="259"/>
      <c r="H191" s="303"/>
      <c r="I191" s="385"/>
      <c r="J191" s="392"/>
      <c r="K191" s="385"/>
      <c r="L191" s="392"/>
      <c r="M191" s="686">
        <f>G189*$G190</f>
        <v>0</v>
      </c>
      <c r="N191" s="688" t="s">
        <v>541</v>
      </c>
      <c r="O191" s="689" t="s">
        <v>542</v>
      </c>
      <c r="P191" s="79" t="str">
        <f>IF(AND('331-CT'!$E$7=TH!H191,OR(N191="331",O191="331")),"x","")</f>
        <v/>
      </c>
      <c r="Q191" s="79" t="str">
        <f>IF(AND(B191='111'!$L$11,OR($N191=$Q$7,$O191=$Q$7)),"x","")</f>
        <v/>
      </c>
      <c r="R191" s="79" t="str">
        <f>IF(AND($N191=$Q$7,$B191&lt;'111'!$L$11),"x","")</f>
        <v/>
      </c>
      <c r="S191" s="79" t="str">
        <f>IF(AND($O191=$Q$7,$B191&lt;'111'!$L$11),"x","")</f>
        <v/>
      </c>
      <c r="T191" s="79" t="str">
        <f>IF(ISERROR(FIND('112'!$M$9,G191,1)),"",IF((AND(FIND('112'!$M$9,G191,1)&gt;=1,B191='112'!$K$9,OR($N191='112'!$I$6,$O191='112'!$I$6))),"x",""))</f>
        <v/>
      </c>
      <c r="U191" s="79" t="str">
        <f>IF(ISERROR(FIND('112'!$M$9,G191,1)),"",IF((AND(LEFT(G191,2)=LEFT('112'!$M$9,2),B191&lt;'112'!$K$9,$N191='112'!$I$6)),"x",""))</f>
        <v/>
      </c>
      <c r="V191" s="79" t="str">
        <f>IF(ISERROR(FIND('112'!$M$9,G191,1)),"",IF((AND(RIGHT(G191,2)=RIGHT('112'!$M$9,2),B191&lt;'112'!$K$9,$O191='112'!$I$6)),"x",""))</f>
        <v/>
      </c>
      <c r="W191" s="79" t="str">
        <f>IF(AND('341-CT'!$H$9=H191,OR(LEFT(N191,3)=$W$7,LEFT(O191,3)=$W$7)),"x","")</f>
        <v/>
      </c>
      <c r="X191" s="79" t="str">
        <f>IF(OR(TH!N191=TH!$X$7,O191=TH!$X$7),"x","")</f>
        <v/>
      </c>
      <c r="Y191" s="79" t="str">
        <f>IF(AND(OR(N191="131",O191="131"),H191='131-CT'!$H$9),"x","")</f>
        <v/>
      </c>
      <c r="Z191" s="79"/>
      <c r="AA191" s="79" t="str">
        <f>IF(AND(MONTH(E191)='IN-NX'!$J$5,'IN-NX'!$D$7=D191),"x","")</f>
        <v/>
      </c>
      <c r="AB191" s="79" t="str">
        <f>IF(AND(OR(LEFT(TH!N191,2)="15",LEFT(TH!O191,2)="15"),LEFT(TH!O191,3)&lt;&gt;"111",'152-CT'!$J$8=TH!F191),"x","")</f>
        <v/>
      </c>
      <c r="AC191" s="79" t="str">
        <f>IF(AND(OR(LEFT(TH!N191,2)="15",LEFT(TH!O191,2)="15"),TK!$E$7=TH!F191),"x","")</f>
        <v/>
      </c>
      <c r="AD191" s="79" t="str">
        <f>IF(AND(N191="1521",MONTH(C191)='BK-NL'!$M$11),"x","")</f>
        <v/>
      </c>
    </row>
    <row r="192" spans="1:30" ht="16.5" customHeight="1">
      <c r="A192" s="318" t="str">
        <f>IF(B192&lt;&gt;"",IF(AND(B192='IN-TC'!$S$4,OR(TH!N192="1111",TH!O192="1111")),TH!D192,""),"")</f>
        <v/>
      </c>
      <c r="B192" s="1288">
        <f t="shared" si="24"/>
        <v>9</v>
      </c>
      <c r="C192" s="682">
        <v>43373</v>
      </c>
      <c r="D192" s="682" t="s">
        <v>532</v>
      </c>
      <c r="E192" s="682">
        <f t="shared" si="27"/>
        <v>43373</v>
      </c>
      <c r="F192" s="943" t="s">
        <v>726</v>
      </c>
      <c r="G192" s="763" t="s">
        <v>957</v>
      </c>
      <c r="H192" s="303"/>
      <c r="I192" s="385"/>
      <c r="J192" s="392"/>
      <c r="K192" s="385"/>
      <c r="L192" s="392"/>
      <c r="M192" s="686">
        <f>G188*$G192</f>
        <v>0</v>
      </c>
      <c r="N192" s="687" t="s">
        <v>540</v>
      </c>
      <c r="O192" s="687" t="s">
        <v>542</v>
      </c>
      <c r="P192" s="79" t="str">
        <f>IF(AND('331-CT'!$E$7=TH!H192,OR(N192="331",O192="331")),"x","")</f>
        <v/>
      </c>
      <c r="Q192" s="79" t="str">
        <f>IF(AND(B192='111'!$L$11,OR($N192=$Q$7,$O192=$Q$7)),"x","")</f>
        <v/>
      </c>
      <c r="R192" s="79" t="str">
        <f>IF(AND($N192=$Q$7,$B192&lt;'111'!$L$11),"x","")</f>
        <v/>
      </c>
      <c r="S192" s="79" t="str">
        <f>IF(AND($O192=$Q$7,$B192&lt;'111'!$L$11),"x","")</f>
        <v/>
      </c>
      <c r="T192" s="79" t="str">
        <f>IF(ISERROR(FIND('112'!$M$9,G192,1)),"",IF((AND(FIND('112'!$M$9,G192,1)&gt;=1,B192='112'!$K$9,OR($N192='112'!$I$6,$O192='112'!$I$6))),"x",""))</f>
        <v/>
      </c>
      <c r="U192" s="79" t="str">
        <f>IF(ISERROR(FIND('112'!$M$9,G192,1)),"",IF((AND(LEFT(G192,2)=LEFT('112'!$M$9,2),B192&lt;'112'!$K$9,$N192='112'!$I$6)),"x",""))</f>
        <v/>
      </c>
      <c r="V192" s="79" t="str">
        <f>IF(ISERROR(FIND('112'!$M$9,G192,1)),"",IF((AND(RIGHT(G192,2)=RIGHT('112'!$M$9,2),B192&lt;'112'!$K$9,$O192='112'!$I$6)),"x",""))</f>
        <v/>
      </c>
      <c r="W192" s="79" t="str">
        <f>IF(AND('341-CT'!$H$9=H192,OR(LEFT(N192,3)=$W$7,LEFT(O192,3)=$W$7)),"x","")</f>
        <v/>
      </c>
      <c r="X192" s="79" t="str">
        <f>IF(OR(TH!N192=TH!$X$7,O192=TH!$X$7),"x","")</f>
        <v/>
      </c>
      <c r="Y192" s="79" t="str">
        <f>IF(AND(OR(N192="131",O192="131"),H192='131-CT'!$H$9),"x","")</f>
        <v/>
      </c>
      <c r="Z192" s="79"/>
      <c r="AA192" s="79" t="str">
        <f>IF(AND(MONTH(E192)='IN-NX'!$J$5,'IN-NX'!$D$7=D192),"x","")</f>
        <v/>
      </c>
      <c r="AB192" s="79" t="str">
        <f>IF(AND(OR(LEFT(TH!N192,2)="15",LEFT(TH!O192,2)="15"),LEFT(TH!O192,3)&lt;&gt;"111",'152-CT'!$J$8=TH!F192),"x","")</f>
        <v/>
      </c>
      <c r="AC192" s="79" t="str">
        <f>IF(AND(OR(LEFT(TH!N192,2)="15",LEFT(TH!O192,2)="15"),TK!$E$7=TH!F192),"x","")</f>
        <v/>
      </c>
      <c r="AD192" s="79" t="str">
        <f>IF(AND(N192="1521",MONTH(C192)='BK-NL'!$M$11),"x","")</f>
        <v/>
      </c>
    </row>
    <row r="193" spans="1:30" ht="16.5" customHeight="1">
      <c r="A193" s="318" t="str">
        <f>IF(B193&lt;&gt;"",IF(AND(B193='IN-TC'!$S$4,OR(TH!N193="1111",TH!O193="1111")),TH!D193,""),"")</f>
        <v/>
      </c>
      <c r="B193" s="1288">
        <f t="shared" si="24"/>
        <v>9</v>
      </c>
      <c r="C193" s="682">
        <v>43373</v>
      </c>
      <c r="D193" s="682" t="s">
        <v>532</v>
      </c>
      <c r="E193" s="682">
        <f t="shared" si="27"/>
        <v>43373</v>
      </c>
      <c r="F193" s="943" t="s">
        <v>727</v>
      </c>
      <c r="G193" s="259"/>
      <c r="H193" s="303"/>
      <c r="I193" s="385"/>
      <c r="J193" s="392"/>
      <c r="K193" s="385"/>
      <c r="L193" s="392"/>
      <c r="M193" s="686">
        <f>G189*$G192</f>
        <v>0</v>
      </c>
      <c r="N193" s="687" t="s">
        <v>272</v>
      </c>
      <c r="O193" s="687" t="s">
        <v>542</v>
      </c>
      <c r="P193" s="79" t="str">
        <f>IF(AND('331-CT'!$E$7=TH!H193,OR(N193="331",O193="331")),"x","")</f>
        <v/>
      </c>
      <c r="Q193" s="79" t="str">
        <f>IF(AND(B193='111'!$L$11,OR($N193=$Q$7,$O193=$Q$7)),"x","")</f>
        <v/>
      </c>
      <c r="R193" s="79" t="str">
        <f>IF(AND($N193=$Q$7,$B193&lt;'111'!$L$11),"x","")</f>
        <v/>
      </c>
      <c r="S193" s="79" t="str">
        <f>IF(AND($O193=$Q$7,$B193&lt;'111'!$L$11),"x","")</f>
        <v/>
      </c>
      <c r="T193" s="79" t="str">
        <f>IF(ISERROR(FIND('112'!$M$9,G193,1)),"",IF((AND(FIND('112'!$M$9,G193,1)&gt;=1,B193='112'!$K$9,OR($N193='112'!$I$6,$O193='112'!$I$6))),"x",""))</f>
        <v/>
      </c>
      <c r="U193" s="79" t="str">
        <f>IF(ISERROR(FIND('112'!$M$9,G193,1)),"",IF((AND(LEFT(G193,2)=LEFT('112'!$M$9,2),B193&lt;'112'!$K$9,$N193='112'!$I$6)),"x",""))</f>
        <v/>
      </c>
      <c r="V193" s="79" t="str">
        <f>IF(ISERROR(FIND('112'!$M$9,G193,1)),"",IF((AND(RIGHT(G193,2)=RIGHT('112'!$M$9,2),B193&lt;'112'!$K$9,$O193='112'!$I$6)),"x",""))</f>
        <v/>
      </c>
      <c r="W193" s="79" t="str">
        <f>IF(AND('341-CT'!$H$9=H193,OR(LEFT(N193,3)=$W$7,LEFT(O193,3)=$W$7)),"x","")</f>
        <v/>
      </c>
      <c r="X193" s="79" t="str">
        <f>IF(OR(TH!N193=TH!$X$7,O193=TH!$X$7),"x","")</f>
        <v/>
      </c>
      <c r="Y193" s="79" t="str">
        <f>IF(AND(OR(N193="131",O193="131"),H193='131-CT'!$H$9),"x","")</f>
        <v/>
      </c>
      <c r="Z193" s="79"/>
      <c r="AA193" s="79" t="str">
        <f>IF(AND(MONTH(E193)='IN-NX'!$J$5,'IN-NX'!$D$7=D193),"x","")</f>
        <v/>
      </c>
      <c r="AB193" s="79" t="str">
        <f>IF(AND(OR(LEFT(TH!N193,2)="15",LEFT(TH!O193,2)="15"),LEFT(TH!O193,3)&lt;&gt;"111",'152-CT'!$J$8=TH!F193),"x","")</f>
        <v/>
      </c>
      <c r="AC193" s="79" t="str">
        <f>IF(AND(OR(LEFT(TH!N193,2)="15",LEFT(TH!O193,2)="15"),TK!$E$7=TH!F193),"x","")</f>
        <v/>
      </c>
      <c r="AD193" s="79" t="str">
        <f>IF(AND(N193="1521",MONTH(C193)='BK-NL'!$M$11),"x","")</f>
        <v/>
      </c>
    </row>
    <row r="194" spans="1:30" ht="16.5" customHeight="1">
      <c r="A194" s="318" t="str">
        <f>IF(B194&lt;&gt;"",IF(AND(B194='IN-TC'!$S$4,OR(TH!N194="1111",TH!O194="1111")),TH!D194,""),"")</f>
        <v/>
      </c>
      <c r="B194" s="1288">
        <f t="shared" si="24"/>
        <v>9</v>
      </c>
      <c r="C194" s="682">
        <v>43373</v>
      </c>
      <c r="D194" s="682" t="s">
        <v>532</v>
      </c>
      <c r="E194" s="682">
        <f t="shared" ref="E194:E209" si="30">C194</f>
        <v>43373</v>
      </c>
      <c r="F194" s="943" t="s">
        <v>728</v>
      </c>
      <c r="G194" s="763" t="s">
        <v>534</v>
      </c>
      <c r="H194" s="305"/>
      <c r="I194" s="383"/>
      <c r="J194" s="390"/>
      <c r="K194" s="383"/>
      <c r="L194" s="390"/>
      <c r="M194" s="686">
        <f>ROUND(G188*$G194,0)</f>
        <v>0</v>
      </c>
      <c r="N194" s="687" t="s">
        <v>541</v>
      </c>
      <c r="O194" s="687" t="s">
        <v>543</v>
      </c>
      <c r="P194" s="79" t="str">
        <f>IF(AND('331-CT'!$E$7=TH!H194,OR(N194="331",O194="331")),"x","")</f>
        <v/>
      </c>
      <c r="Q194" s="79" t="str">
        <f>IF(AND(B194='111'!$L$11,OR($N194=$Q$7,$O194=$Q$7)),"x","")</f>
        <v/>
      </c>
      <c r="R194" s="79" t="str">
        <f>IF(AND($N194=$Q$7,$B194&lt;'111'!$L$11),"x","")</f>
        <v/>
      </c>
      <c r="S194" s="79" t="str">
        <f>IF(AND($O194=$Q$7,$B194&lt;'111'!$L$11),"x","")</f>
        <v/>
      </c>
      <c r="T194" s="79" t="str">
        <f>IF(ISERROR(FIND('112'!$M$9,G194,1)),"",IF((AND(FIND('112'!$M$9,G194,1)&gt;=1,B194='112'!$K$9,OR($N194='112'!$I$6,$O194='112'!$I$6))),"x",""))</f>
        <v/>
      </c>
      <c r="U194" s="79" t="str">
        <f>IF(ISERROR(FIND('112'!$M$9,G194,1)),"",IF((AND(LEFT(G194,2)=LEFT('112'!$M$9,2),B194&lt;'112'!$K$9,$N194='112'!$I$6)),"x",""))</f>
        <v/>
      </c>
      <c r="V194" s="79" t="str">
        <f>IF(ISERROR(FIND('112'!$M$9,G194,1)),"",IF((AND(RIGHT(G194,2)=RIGHT('112'!$M$9,2),B194&lt;'112'!$K$9,$O194='112'!$I$6)),"x",""))</f>
        <v/>
      </c>
      <c r="W194" s="79" t="str">
        <f>IF(AND('341-CT'!$H$9=H194,OR(LEFT(N194,3)=$W$7,LEFT(O194,3)=$W$7)),"x","")</f>
        <v/>
      </c>
      <c r="X194" s="79" t="str">
        <f>IF(OR(TH!N194=TH!$X$7,O194=TH!$X$7),"x","")</f>
        <v/>
      </c>
      <c r="Y194" s="79" t="str">
        <f>IF(AND(OR(N194="131",O194="131"),H194='131-CT'!$H$9),"x","")</f>
        <v/>
      </c>
      <c r="Z194" s="79"/>
      <c r="AA194" s="79" t="str">
        <f>IF(AND(MONTH(E194)='IN-NX'!$J$5,'IN-NX'!$D$7=D194),"x","")</f>
        <v/>
      </c>
      <c r="AB194" s="79" t="str">
        <f>IF(AND(OR(LEFT(TH!N194,2)="15",LEFT(TH!O194,2)="15"),LEFT(TH!O194,3)&lt;&gt;"111",'152-CT'!$J$8=TH!F194),"x","")</f>
        <v/>
      </c>
      <c r="AC194" s="79" t="str">
        <f>IF(AND(OR(LEFT(TH!N194,2)="15",LEFT(TH!O194,2)="15"),TK!$E$7=TH!F194),"x","")</f>
        <v/>
      </c>
      <c r="AD194" s="79" t="str">
        <f>IF(AND(N194="1521",MONTH(C194)='BK-NL'!$M$11),"x","")</f>
        <v/>
      </c>
    </row>
    <row r="195" spans="1:30" ht="16.5" customHeight="1">
      <c r="A195" s="318" t="str">
        <f>IF(B195&lt;&gt;"",IF(AND(B195='IN-TC'!$S$4,OR(TH!N195="1111",TH!O195="1111")),TH!D195,""),"")</f>
        <v/>
      </c>
      <c r="B195" s="1288">
        <f t="shared" si="24"/>
        <v>9</v>
      </c>
      <c r="C195" s="682">
        <v>43373</v>
      </c>
      <c r="D195" s="682" t="s">
        <v>532</v>
      </c>
      <c r="E195" s="682">
        <f t="shared" si="30"/>
        <v>43373</v>
      </c>
      <c r="F195" s="943" t="s">
        <v>729</v>
      </c>
      <c r="G195" s="259"/>
      <c r="H195" s="305"/>
      <c r="I195" s="383"/>
      <c r="J195" s="390"/>
      <c r="K195" s="383"/>
      <c r="L195" s="390"/>
      <c r="M195" s="686">
        <f>ROUND(G189*$G194,0)</f>
        <v>0</v>
      </c>
      <c r="N195" s="687" t="s">
        <v>541</v>
      </c>
      <c r="O195" s="687" t="s">
        <v>543</v>
      </c>
      <c r="P195" s="79" t="str">
        <f>IF(AND('331-CT'!$E$7=TH!H195,OR(N195="331",O195="331")),"x","")</f>
        <v/>
      </c>
      <c r="Q195" s="79" t="str">
        <f>IF(AND(B195='111'!$L$11,OR($N195=$Q$7,$O195=$Q$7)),"x","")</f>
        <v/>
      </c>
      <c r="R195" s="79" t="str">
        <f>IF(AND($N195=$Q$7,$B195&lt;'111'!$L$11),"x","")</f>
        <v/>
      </c>
      <c r="S195" s="79" t="str">
        <f>IF(AND($O195=$Q$7,$B195&lt;'111'!$L$11),"x","")</f>
        <v/>
      </c>
      <c r="T195" s="79" t="str">
        <f>IF(ISERROR(FIND('112'!$M$9,G195,1)),"",IF((AND(FIND('112'!$M$9,G195,1)&gt;=1,B195='112'!$K$9,OR($N195='112'!$I$6,$O195='112'!$I$6))),"x",""))</f>
        <v/>
      </c>
      <c r="U195" s="79" t="str">
        <f>IF(ISERROR(FIND('112'!$M$9,G195,1)),"",IF((AND(LEFT(G195,2)=LEFT('112'!$M$9,2),B195&lt;'112'!$K$9,$N195='112'!$I$6)),"x",""))</f>
        <v/>
      </c>
      <c r="V195" s="79" t="str">
        <f>IF(ISERROR(FIND('112'!$M$9,G195,1)),"",IF((AND(RIGHT(G195,2)=RIGHT('112'!$M$9,2),B195&lt;'112'!$K$9,$O195='112'!$I$6)),"x",""))</f>
        <v/>
      </c>
      <c r="W195" s="79" t="str">
        <f>IF(AND('341-CT'!$H$9=H195,OR(LEFT(N195,3)=$W$7,LEFT(O195,3)=$W$7)),"x","")</f>
        <v/>
      </c>
      <c r="X195" s="79" t="str">
        <f>IF(OR(TH!N195=TH!$X$7,O195=TH!$X$7),"x","")</f>
        <v/>
      </c>
      <c r="Y195" s="79" t="str">
        <f>IF(AND(OR(N195="131",O195="131"),H195='131-CT'!$H$9),"x","")</f>
        <v/>
      </c>
      <c r="Z195" s="79"/>
      <c r="AA195" s="79" t="str">
        <f>IF(AND(MONTH(E195)='IN-NX'!$J$5,'IN-NX'!$D$7=D195),"x","")</f>
        <v/>
      </c>
      <c r="AB195" s="79" t="str">
        <f>IF(AND(OR(LEFT(TH!N195,2)="15",LEFT(TH!O195,2)="15"),LEFT(TH!O195,3)&lt;&gt;"111",'152-CT'!$J$8=TH!F195),"x","")</f>
        <v/>
      </c>
      <c r="AC195" s="79" t="str">
        <f>IF(AND(OR(LEFT(TH!N195,2)="15",LEFT(TH!O195,2)="15"),TK!$E$7=TH!F195),"x","")</f>
        <v/>
      </c>
      <c r="AD195" s="79" t="str">
        <f>IF(AND(N195="1521",MONTH(C195)='BK-NL'!$M$11),"x","")</f>
        <v/>
      </c>
    </row>
    <row r="196" spans="1:30" ht="16.5" customHeight="1">
      <c r="A196" s="318" t="str">
        <f>IF(B196&lt;&gt;"",IF(AND(B196='IN-TC'!$S$4,OR(TH!N196="1111",TH!O196="1111")),TH!D196,""),"")</f>
        <v/>
      </c>
      <c r="B196" s="1288">
        <f t="shared" si="24"/>
        <v>9</v>
      </c>
      <c r="C196" s="682">
        <v>43373</v>
      </c>
      <c r="D196" s="682" t="s">
        <v>532</v>
      </c>
      <c r="E196" s="682">
        <f t="shared" si="30"/>
        <v>43373</v>
      </c>
      <c r="F196" s="943" t="s">
        <v>730</v>
      </c>
      <c r="G196" s="763" t="s">
        <v>535</v>
      </c>
      <c r="H196" s="303"/>
      <c r="I196" s="385"/>
      <c r="J196" s="392"/>
      <c r="K196" s="385"/>
      <c r="L196" s="392"/>
      <c r="M196" s="686">
        <f>G188*$G196</f>
        <v>0</v>
      </c>
      <c r="N196" s="687" t="s">
        <v>540</v>
      </c>
      <c r="O196" s="687" t="s">
        <v>543</v>
      </c>
      <c r="P196" s="79" t="str">
        <f>IF(AND('331-CT'!$E$7=TH!H196,OR(N196="331",O196="331")),"x","")</f>
        <v/>
      </c>
      <c r="Q196" s="79" t="str">
        <f>IF(AND(B196='111'!$L$11,OR($N196=$Q$7,$O196=$Q$7)),"x","")</f>
        <v/>
      </c>
      <c r="R196" s="79" t="str">
        <f>IF(AND($N196=$Q$7,$B196&lt;'111'!$L$11),"x","")</f>
        <v/>
      </c>
      <c r="S196" s="79" t="str">
        <f>IF(AND($O196=$Q$7,$B196&lt;'111'!$L$11),"x","")</f>
        <v/>
      </c>
      <c r="T196" s="79" t="str">
        <f>IF(ISERROR(FIND('112'!$M$9,G196,1)),"",IF((AND(FIND('112'!$M$9,G196,1)&gt;=1,B196='112'!$K$9,OR($N196='112'!$I$6,$O196='112'!$I$6))),"x",""))</f>
        <v/>
      </c>
      <c r="U196" s="79" t="str">
        <f>IF(ISERROR(FIND('112'!$M$9,G196,1)),"",IF((AND(LEFT(G196,2)=LEFT('112'!$M$9,2),B196&lt;'112'!$K$9,$N196='112'!$I$6)),"x",""))</f>
        <v/>
      </c>
      <c r="V196" s="79" t="str">
        <f>IF(ISERROR(FIND('112'!$M$9,G196,1)),"",IF((AND(RIGHT(G196,2)=RIGHT('112'!$M$9,2),B196&lt;'112'!$K$9,$O196='112'!$I$6)),"x",""))</f>
        <v/>
      </c>
      <c r="W196" s="79" t="str">
        <f>IF(AND('341-CT'!$H$9=H196,OR(LEFT(N196,3)=$W$7,LEFT(O196,3)=$W$7)),"x","")</f>
        <v/>
      </c>
      <c r="X196" s="79" t="str">
        <f>IF(OR(TH!N196=TH!$X$7,O196=TH!$X$7),"x","")</f>
        <v/>
      </c>
      <c r="Y196" s="79" t="str">
        <f>IF(AND(OR(N196="131",O196="131"),H196='131-CT'!$H$9),"x","")</f>
        <v/>
      </c>
      <c r="Z196" s="79"/>
      <c r="AA196" s="79" t="str">
        <f>IF(AND(MONTH(E196)='IN-NX'!$J$5,'IN-NX'!$D$7=D196),"x","")</f>
        <v/>
      </c>
      <c r="AB196" s="79" t="str">
        <f>IF(AND(OR(LEFT(TH!N196,2)="15",LEFT(TH!O196,2)="15"),LEFT(TH!O196,3)&lt;&gt;"111",'152-CT'!$J$8=TH!F196),"x","")</f>
        <v/>
      </c>
      <c r="AC196" s="79" t="str">
        <f>IF(AND(OR(LEFT(TH!N196,2)="15",LEFT(TH!O196,2)="15"),TK!$E$7=TH!F196),"x","")</f>
        <v/>
      </c>
      <c r="AD196" s="79" t="str">
        <f>IF(AND(N196="1521",MONTH(C196)='BK-NL'!$M$11),"x","")</f>
        <v/>
      </c>
    </row>
    <row r="197" spans="1:30" ht="16.5" customHeight="1">
      <c r="A197" s="318" t="str">
        <f>IF(B197&lt;&gt;"",IF(AND(B197='IN-TC'!$S$4,OR(TH!N197="1111",TH!O197="1111")),TH!D197,""),"")</f>
        <v/>
      </c>
      <c r="B197" s="1288">
        <f t="shared" si="24"/>
        <v>9</v>
      </c>
      <c r="C197" s="682">
        <v>43373</v>
      </c>
      <c r="D197" s="682" t="s">
        <v>532</v>
      </c>
      <c r="E197" s="682">
        <f t="shared" si="30"/>
        <v>43373</v>
      </c>
      <c r="F197" s="943" t="s">
        <v>731</v>
      </c>
      <c r="G197" s="259"/>
      <c r="H197" s="303"/>
      <c r="I197" s="385"/>
      <c r="J197" s="392"/>
      <c r="K197" s="385"/>
      <c r="L197" s="392"/>
      <c r="M197" s="686">
        <f>G189*$G196</f>
        <v>0</v>
      </c>
      <c r="N197" s="687" t="s">
        <v>272</v>
      </c>
      <c r="O197" s="687" t="s">
        <v>543</v>
      </c>
      <c r="P197" s="79" t="str">
        <f>IF(AND('331-CT'!$E$7=TH!H197,OR(N197="331",O197="331")),"x","")</f>
        <v/>
      </c>
      <c r="Q197" s="79" t="str">
        <f>IF(AND(B197='111'!$L$11,OR($N197=$Q$7,$O197=$Q$7)),"x","")</f>
        <v/>
      </c>
      <c r="R197" s="79" t="str">
        <f>IF(AND($N197=$Q$7,$B197&lt;'111'!$L$11),"x","")</f>
        <v/>
      </c>
      <c r="S197" s="79" t="str">
        <f>IF(AND($O197=$Q$7,$B197&lt;'111'!$L$11),"x","")</f>
        <v/>
      </c>
      <c r="T197" s="79" t="str">
        <f>IF(ISERROR(FIND('112'!$M$9,G197,1)),"",IF((AND(FIND('112'!$M$9,G197,1)&gt;=1,B197='112'!$K$9,OR($N197='112'!$I$6,$O197='112'!$I$6))),"x",""))</f>
        <v/>
      </c>
      <c r="U197" s="79" t="str">
        <f>IF(ISERROR(FIND('112'!$M$9,G197,1)),"",IF((AND(LEFT(G197,2)=LEFT('112'!$M$9,2),B197&lt;'112'!$K$9,$N197='112'!$I$6)),"x",""))</f>
        <v/>
      </c>
      <c r="V197" s="79" t="str">
        <f>IF(ISERROR(FIND('112'!$M$9,G197,1)),"",IF((AND(RIGHT(G197,2)=RIGHT('112'!$M$9,2),B197&lt;'112'!$K$9,$O197='112'!$I$6)),"x",""))</f>
        <v/>
      </c>
      <c r="W197" s="79" t="str">
        <f>IF(AND('341-CT'!$H$9=H197,OR(LEFT(N197,3)=$W$7,LEFT(O197,3)=$W$7)),"x","")</f>
        <v/>
      </c>
      <c r="X197" s="79" t="str">
        <f>IF(OR(TH!N197=TH!$X$7,O197=TH!$X$7),"x","")</f>
        <v/>
      </c>
      <c r="Y197" s="79" t="str">
        <f>IF(AND(OR(N197="131",O197="131"),H197='131-CT'!$H$9),"x","")</f>
        <v/>
      </c>
      <c r="Z197" s="79"/>
      <c r="AA197" s="79" t="str">
        <f>IF(AND(MONTH(E197)='IN-NX'!$J$5,'IN-NX'!$D$7=D197),"x","")</f>
        <v/>
      </c>
      <c r="AB197" s="79" t="str">
        <f>IF(AND(OR(LEFT(TH!N197,2)="15",LEFT(TH!O197,2)="15"),LEFT(TH!O197,3)&lt;&gt;"111",'152-CT'!$J$8=TH!F197),"x","")</f>
        <v/>
      </c>
      <c r="AC197" s="79" t="str">
        <f>IF(AND(OR(LEFT(TH!N197,2)="15",LEFT(TH!O197,2)="15"),TK!$E$7=TH!F197),"x","")</f>
        <v/>
      </c>
      <c r="AD197" s="79" t="str">
        <f>IF(AND(N197="1521",MONTH(C197)='BK-NL'!$M$11),"x","")</f>
        <v/>
      </c>
    </row>
    <row r="198" spans="1:30" ht="16.5" customHeight="1">
      <c r="A198" s="318" t="str">
        <f>IF(B198&lt;&gt;"",IF(AND(B198='IN-TC'!$S$4,OR(TH!N198="1111",TH!O198="1111")),TH!D198,""),"")</f>
        <v/>
      </c>
      <c r="B198" s="1288">
        <f t="shared" si="24"/>
        <v>9</v>
      </c>
      <c r="C198" s="682">
        <v>43373</v>
      </c>
      <c r="D198" s="682" t="s">
        <v>532</v>
      </c>
      <c r="E198" s="682">
        <f t="shared" si="30"/>
        <v>43373</v>
      </c>
      <c r="F198" s="943" t="s">
        <v>732</v>
      </c>
      <c r="G198" s="763" t="s">
        <v>536</v>
      </c>
      <c r="H198" s="303"/>
      <c r="I198" s="385"/>
      <c r="J198" s="392"/>
      <c r="K198" s="385"/>
      <c r="L198" s="392"/>
      <c r="M198" s="686">
        <f>G188*$G198</f>
        <v>0</v>
      </c>
      <c r="N198" s="687" t="s">
        <v>541</v>
      </c>
      <c r="O198" s="687" t="s">
        <v>544</v>
      </c>
      <c r="P198" s="79" t="str">
        <f>IF(AND('331-CT'!$E$7=TH!H198,OR(N198="331",O198="331")),"x","")</f>
        <v/>
      </c>
      <c r="Q198" s="79" t="str">
        <f>IF(AND(B198='111'!$L$11,OR($N198=$Q$7,$O198=$Q$7)),"x","")</f>
        <v/>
      </c>
      <c r="R198" s="79" t="str">
        <f>IF(AND($N198=$Q$7,$B198&lt;'111'!$L$11),"x","")</f>
        <v/>
      </c>
      <c r="S198" s="79" t="str">
        <f>IF(AND($O198=$Q$7,$B198&lt;'111'!$L$11),"x","")</f>
        <v/>
      </c>
      <c r="T198" s="79" t="str">
        <f>IF(ISERROR(FIND('112'!$M$9,G198,1)),"",IF((AND(FIND('112'!$M$9,G198,1)&gt;=1,B198='112'!$K$9,OR($N198='112'!$I$6,$O198='112'!$I$6))),"x",""))</f>
        <v/>
      </c>
      <c r="U198" s="79" t="str">
        <f>IF(ISERROR(FIND('112'!$M$9,G198,1)),"",IF((AND(LEFT(G198,2)=LEFT('112'!$M$9,2),B198&lt;'112'!$K$9,$N198='112'!$I$6)),"x",""))</f>
        <v/>
      </c>
      <c r="V198" s="79" t="str">
        <f>IF(ISERROR(FIND('112'!$M$9,G198,1)),"",IF((AND(RIGHT(G198,2)=RIGHT('112'!$M$9,2),B198&lt;'112'!$K$9,$O198='112'!$I$6)),"x",""))</f>
        <v/>
      </c>
      <c r="W198" s="79" t="str">
        <f>IF(AND('341-CT'!$H$9=H198,OR(LEFT(N198,3)=$W$7,LEFT(O198,3)=$W$7)),"x","")</f>
        <v/>
      </c>
      <c r="X198" s="79" t="str">
        <f>IF(OR(TH!N198=TH!$X$7,O198=TH!$X$7),"x","")</f>
        <v/>
      </c>
      <c r="Y198" s="79" t="str">
        <f>IF(AND(OR(N198="131",O198="131"),H198='131-CT'!$H$9),"x","")</f>
        <v/>
      </c>
      <c r="Z198" s="79"/>
      <c r="AA198" s="79" t="str">
        <f>IF(AND(MONTH(E198)='IN-NX'!$J$5,'IN-NX'!$D$7=D198),"x","")</f>
        <v/>
      </c>
      <c r="AB198" s="79" t="str">
        <f>IF(AND(OR(LEFT(TH!N198,2)="15",LEFT(TH!O198,2)="15"),LEFT(TH!O198,3)&lt;&gt;"111",'152-CT'!$J$8=TH!F198),"x","")</f>
        <v/>
      </c>
      <c r="AC198" s="79" t="str">
        <f>IF(AND(OR(LEFT(TH!N198,2)="15",LEFT(TH!O198,2)="15"),TK!$E$7=TH!F198),"x","")</f>
        <v/>
      </c>
      <c r="AD198" s="79" t="str">
        <f>IF(AND(N198="1521",MONTH(C198)='BK-NL'!$M$11),"x","")</f>
        <v/>
      </c>
    </row>
    <row r="199" spans="1:30" ht="16.5" customHeight="1">
      <c r="A199" s="318" t="str">
        <f>IF(B199&lt;&gt;"",IF(AND(B199='IN-TC'!$S$4,OR(TH!N199="1111",TH!O199="1111")),TH!D199,""),"")</f>
        <v/>
      </c>
      <c r="B199" s="1288">
        <f t="shared" si="24"/>
        <v>9</v>
      </c>
      <c r="C199" s="682">
        <v>43373</v>
      </c>
      <c r="D199" s="682" t="s">
        <v>532</v>
      </c>
      <c r="E199" s="682">
        <f t="shared" si="30"/>
        <v>43373</v>
      </c>
      <c r="F199" s="943" t="s">
        <v>733</v>
      </c>
      <c r="G199" s="259"/>
      <c r="H199" s="303"/>
      <c r="I199" s="385"/>
      <c r="J199" s="392"/>
      <c r="K199" s="385"/>
      <c r="L199" s="392"/>
      <c r="M199" s="686">
        <f>G189*$G198</f>
        <v>0</v>
      </c>
      <c r="N199" s="687" t="s">
        <v>541</v>
      </c>
      <c r="O199" s="687" t="s">
        <v>544</v>
      </c>
      <c r="P199" s="79" t="str">
        <f>IF(AND('331-CT'!$E$7=TH!H199,OR(N199="331",O199="331")),"x","")</f>
        <v/>
      </c>
      <c r="Q199" s="79" t="str">
        <f>IF(AND(B199='111'!$L$11,OR($N199=$Q$7,$O199=$Q$7)),"x","")</f>
        <v/>
      </c>
      <c r="R199" s="79" t="str">
        <f>IF(AND($N199=$Q$7,$B199&lt;'111'!$L$11),"x","")</f>
        <v/>
      </c>
      <c r="S199" s="79" t="str">
        <f>IF(AND($O199=$Q$7,$B199&lt;'111'!$L$11),"x","")</f>
        <v/>
      </c>
      <c r="T199" s="79" t="str">
        <f>IF(ISERROR(FIND('112'!$M$9,G199,1)),"",IF((AND(FIND('112'!$M$9,G199,1)&gt;=1,B199='112'!$K$9,OR($N199='112'!$I$6,$O199='112'!$I$6))),"x",""))</f>
        <v/>
      </c>
      <c r="U199" s="79" t="str">
        <f>IF(ISERROR(FIND('112'!$M$9,G199,1)),"",IF((AND(LEFT(G199,2)=LEFT('112'!$M$9,2),B199&lt;'112'!$K$9,$N199='112'!$I$6)),"x",""))</f>
        <v/>
      </c>
      <c r="V199" s="79" t="str">
        <f>IF(ISERROR(FIND('112'!$M$9,G199,1)),"",IF((AND(RIGHT(G199,2)=RIGHT('112'!$M$9,2),B199&lt;'112'!$K$9,$O199='112'!$I$6)),"x",""))</f>
        <v/>
      </c>
      <c r="W199" s="79" t="str">
        <f>IF(AND('341-CT'!$H$9=H199,OR(LEFT(N199,3)=$W$7,LEFT(O199,3)=$W$7)),"x","")</f>
        <v/>
      </c>
      <c r="X199" s="79" t="str">
        <f>IF(OR(TH!N199=TH!$X$7,O199=TH!$X$7),"x","")</f>
        <v/>
      </c>
      <c r="Y199" s="79" t="str">
        <f>IF(AND(OR(N199="131",O199="131"),H199='131-CT'!$H$9),"x","")</f>
        <v/>
      </c>
      <c r="Z199" s="79"/>
      <c r="AA199" s="79" t="str">
        <f>IF(AND(MONTH(E199)='IN-NX'!$J$5,'IN-NX'!$D$7=D199),"x","")</f>
        <v/>
      </c>
      <c r="AB199" s="79" t="str">
        <f>IF(AND(OR(LEFT(TH!N199,2)="15",LEFT(TH!O199,2)="15"),LEFT(TH!O199,3)&lt;&gt;"111",'152-CT'!$J$8=TH!F199),"x","")</f>
        <v/>
      </c>
      <c r="AC199" s="79" t="str">
        <f>IF(AND(OR(LEFT(TH!N199,2)="15",LEFT(TH!O199,2)="15"),TK!$E$7=TH!F199),"x","")</f>
        <v/>
      </c>
      <c r="AD199" s="79" t="str">
        <f>IF(AND(N199="1521",MONTH(C199)='BK-NL'!$M$11),"x","")</f>
        <v/>
      </c>
    </row>
    <row r="200" spans="1:30" ht="16.5" customHeight="1">
      <c r="A200" s="318" t="str">
        <f>IF(B200&lt;&gt;"",IF(AND(B200='IN-TC'!$S$4,OR(TH!N200="1111",TH!O200="1111")),TH!D200,""),"")</f>
        <v/>
      </c>
      <c r="B200" s="1288">
        <f t="shared" si="24"/>
        <v>9</v>
      </c>
      <c r="C200" s="682">
        <v>43373</v>
      </c>
      <c r="D200" s="682" t="s">
        <v>532</v>
      </c>
      <c r="E200" s="682">
        <f t="shared" si="30"/>
        <v>43373</v>
      </c>
      <c r="F200" s="943" t="s">
        <v>734</v>
      </c>
      <c r="G200" s="763" t="s">
        <v>536</v>
      </c>
      <c r="H200" s="901"/>
      <c r="I200" s="386"/>
      <c r="J200" s="393"/>
      <c r="K200" s="386"/>
      <c r="L200" s="393"/>
      <c r="M200" s="686">
        <f>M198</f>
        <v>0</v>
      </c>
      <c r="N200" s="687" t="s">
        <v>540</v>
      </c>
      <c r="O200" s="687" t="s">
        <v>544</v>
      </c>
      <c r="P200" s="79" t="str">
        <f>IF(AND('331-CT'!$E$7=TH!H200,OR(N200="331",O200="331")),"x","")</f>
        <v/>
      </c>
      <c r="Q200" s="79" t="str">
        <f>IF(AND(B200='111'!$L$11,OR($N200=$Q$7,$O200=$Q$7)),"x","")</f>
        <v/>
      </c>
      <c r="R200" s="79" t="str">
        <f>IF(AND($N200=$Q$7,$B200&lt;'111'!$L$11),"x","")</f>
        <v/>
      </c>
      <c r="S200" s="79" t="str">
        <f>IF(AND($O200=$Q$7,$B200&lt;'111'!$L$11),"x","")</f>
        <v/>
      </c>
      <c r="T200" s="79" t="str">
        <f>IF(ISERROR(FIND('112'!$M$9,G200,1)),"",IF((AND(FIND('112'!$M$9,G200,1)&gt;=1,B200='112'!$K$9,OR($N200='112'!$I$6,$O200='112'!$I$6))),"x",""))</f>
        <v/>
      </c>
      <c r="U200" s="79" t="str">
        <f>IF(ISERROR(FIND('112'!$M$9,G200,1)),"",IF((AND(LEFT(G200,2)=LEFT('112'!$M$9,2),B200&lt;'112'!$K$9,$N200='112'!$I$6)),"x",""))</f>
        <v/>
      </c>
      <c r="V200" s="79" t="str">
        <f>IF(ISERROR(FIND('112'!$M$9,G200,1)),"",IF((AND(RIGHT(G200,2)=RIGHT('112'!$M$9,2),B200&lt;'112'!$K$9,$O200='112'!$I$6)),"x",""))</f>
        <v/>
      </c>
      <c r="W200" s="79" t="str">
        <f>IF(AND('341-CT'!$H$9=H200,OR(LEFT(N200,3)=$W$7,LEFT(O200,3)=$W$7)),"x","")</f>
        <v/>
      </c>
      <c r="X200" s="79" t="str">
        <f>IF(OR(TH!N200=TH!$X$7,O200=TH!$X$7),"x","")</f>
        <v/>
      </c>
      <c r="Y200" s="79" t="str">
        <f>IF(AND(OR(N200="131",O200="131"),H200='131-CT'!$H$9),"x","")</f>
        <v/>
      </c>
      <c r="Z200" s="79"/>
      <c r="AA200" s="79" t="str">
        <f>IF(AND(MONTH(E200)='IN-NX'!$J$5,'IN-NX'!$D$7=D200),"x","")</f>
        <v/>
      </c>
      <c r="AB200" s="79" t="str">
        <f>IF(AND(OR(LEFT(TH!N200,2)="15",LEFT(TH!O200,2)="15"),LEFT(TH!O200,3)&lt;&gt;"111",'152-CT'!$J$8=TH!F200),"x","")</f>
        <v/>
      </c>
      <c r="AC200" s="79" t="str">
        <f>IF(AND(OR(LEFT(TH!N200,2)="15",LEFT(TH!O200,2)="15"),TK!$E$7=TH!F200),"x","")</f>
        <v/>
      </c>
      <c r="AD200" s="79" t="str">
        <f>IF(AND(N200="1521",MONTH(C200)='BK-NL'!$M$11),"x","")</f>
        <v/>
      </c>
    </row>
    <row r="201" spans="1:30" ht="16.5" customHeight="1">
      <c r="A201" s="318" t="str">
        <f>IF(B201&lt;&gt;"",IF(AND(B201='IN-TC'!$S$4,OR(TH!N201="1111",TH!O201="1111")),TH!D201,""),"")</f>
        <v/>
      </c>
      <c r="B201" s="1288">
        <f t="shared" si="24"/>
        <v>9</v>
      </c>
      <c r="C201" s="682">
        <v>43373</v>
      </c>
      <c r="D201" s="682" t="s">
        <v>532</v>
      </c>
      <c r="E201" s="682">
        <f t="shared" si="30"/>
        <v>43373</v>
      </c>
      <c r="F201" s="943" t="s">
        <v>735</v>
      </c>
      <c r="G201" s="259"/>
      <c r="H201" s="303"/>
      <c r="I201" s="385"/>
      <c r="J201" s="392"/>
      <c r="K201" s="385"/>
      <c r="L201" s="392"/>
      <c r="M201" s="686">
        <f>M199</f>
        <v>0</v>
      </c>
      <c r="N201" s="687" t="s">
        <v>272</v>
      </c>
      <c r="O201" s="687" t="s">
        <v>544</v>
      </c>
      <c r="P201" s="79" t="str">
        <f>IF(AND('331-CT'!$E$7=TH!H201,OR(N201="331",O201="331")),"x","")</f>
        <v/>
      </c>
      <c r="Q201" s="79" t="str">
        <f>IF(AND(B201='111'!$L$11,OR($N201=$Q$7,$O201=$Q$7)),"x","")</f>
        <v/>
      </c>
      <c r="R201" s="79" t="str">
        <f>IF(AND($N201=$Q$7,$B201&lt;'111'!$L$11),"x","")</f>
        <v/>
      </c>
      <c r="S201" s="79" t="str">
        <f>IF(AND($O201=$Q$7,$B201&lt;'111'!$L$11),"x","")</f>
        <v/>
      </c>
      <c r="T201" s="79" t="str">
        <f>IF(ISERROR(FIND('112'!$M$9,G201,1)),"",IF((AND(FIND('112'!$M$9,G201,1)&gt;=1,B201='112'!$K$9,OR($N201='112'!$I$6,$O201='112'!$I$6))),"x",""))</f>
        <v/>
      </c>
      <c r="U201" s="79" t="str">
        <f>IF(ISERROR(FIND('112'!$M$9,G201,1)),"",IF((AND(LEFT(G201,2)=LEFT('112'!$M$9,2),B201&lt;'112'!$K$9,$N201='112'!$I$6)),"x",""))</f>
        <v/>
      </c>
      <c r="V201" s="79" t="str">
        <f>IF(ISERROR(FIND('112'!$M$9,G201,1)),"",IF((AND(RIGHT(G201,2)=RIGHT('112'!$M$9,2),B201&lt;'112'!$K$9,$O201='112'!$I$6)),"x",""))</f>
        <v/>
      </c>
      <c r="W201" s="79" t="str">
        <f>IF(AND('341-CT'!$H$9=H201,OR(LEFT(N201,3)=$W$7,LEFT(O201,3)=$W$7)),"x","")</f>
        <v/>
      </c>
      <c r="X201" s="79" t="str">
        <f>IF(OR(TH!N201=TH!$X$7,O201=TH!$X$7),"x","")</f>
        <v/>
      </c>
      <c r="Y201" s="79" t="str">
        <f>IF(AND(OR(N201="131",O201="131"),H201='131-CT'!$H$9),"x","")</f>
        <v/>
      </c>
      <c r="Z201" s="79"/>
      <c r="AA201" s="79" t="str">
        <f>IF(AND(MONTH(E201)='IN-NX'!$J$5,'IN-NX'!$D$7=D201),"x","")</f>
        <v/>
      </c>
      <c r="AB201" s="79" t="str">
        <f>IF(AND(OR(LEFT(TH!N201,2)="15",LEFT(TH!O201,2)="15"),LEFT(TH!O201,3)&lt;&gt;"111",'152-CT'!$J$8=TH!F201),"x","")</f>
        <v/>
      </c>
      <c r="AC201" s="79" t="str">
        <f>IF(AND(OR(LEFT(TH!N201,2)="15",LEFT(TH!O201,2)="15"),TK!$E$7=TH!F201),"x","")</f>
        <v/>
      </c>
      <c r="AD201" s="79" t="str">
        <f>IF(AND(N201="1521",MONTH(C201)='BK-NL'!$M$11),"x","")</f>
        <v/>
      </c>
    </row>
    <row r="202" spans="1:30" ht="16.5" customHeight="1">
      <c r="A202" s="318" t="str">
        <f>IF(B202&lt;&gt;"",IF(AND(B202='IN-TC'!$S$4,OR(TH!N202="1111",TH!O202="1111")),TH!D202,""),"")</f>
        <v/>
      </c>
      <c r="B202" s="1288">
        <f t="shared" ref="B202:B203" si="31">IF(C202&lt;&gt;"",MONTH(C202),"")</f>
        <v>9</v>
      </c>
      <c r="C202" s="682">
        <v>43373</v>
      </c>
      <c r="D202" s="682" t="s">
        <v>532</v>
      </c>
      <c r="E202" s="682">
        <f t="shared" ref="E202:E203" si="32">C202</f>
        <v>43373</v>
      </c>
      <c r="F202" s="943" t="s">
        <v>954</v>
      </c>
      <c r="G202" s="763" t="s">
        <v>956</v>
      </c>
      <c r="H202" s="901"/>
      <c r="I202" s="386"/>
      <c r="J202" s="393"/>
      <c r="K202" s="386"/>
      <c r="L202" s="393"/>
      <c r="M202" s="686">
        <f>G188*$G202</f>
        <v>0</v>
      </c>
      <c r="N202" s="687" t="s">
        <v>540</v>
      </c>
      <c r="O202" s="687" t="s">
        <v>19</v>
      </c>
      <c r="P202" s="79" t="str">
        <f>IF(AND('331-CT'!$E$7=TH!H202,OR(N202="331",O202="331")),"x","")</f>
        <v/>
      </c>
      <c r="Q202" s="79" t="str">
        <f>IF(AND(B202='111'!$L$11,OR($N202=$Q$7,$O202=$Q$7)),"x","")</f>
        <v/>
      </c>
      <c r="R202" s="79" t="str">
        <f>IF(AND($N202=$Q$7,$B202&lt;'111'!$L$11),"x","")</f>
        <v/>
      </c>
      <c r="S202" s="79" t="str">
        <f>IF(AND($O202=$Q$7,$B202&lt;'111'!$L$11),"x","")</f>
        <v/>
      </c>
      <c r="T202" s="79" t="str">
        <f>IF(ISERROR(FIND('112'!$M$9,G202,1)),"",IF((AND(FIND('112'!$M$9,G202,1)&gt;=1,B202='112'!$K$9,OR($N202='112'!$I$6,$O202='112'!$I$6))),"x",""))</f>
        <v/>
      </c>
      <c r="U202" s="79" t="str">
        <f>IF(ISERROR(FIND('112'!$M$9,G202,1)),"",IF((AND(LEFT(G202,2)=LEFT('112'!$M$9,2),B202&lt;'112'!$K$9,$N202='112'!$I$6)),"x",""))</f>
        <v/>
      </c>
      <c r="V202" s="79" t="str">
        <f>IF(ISERROR(FIND('112'!$M$9,G202,1)),"",IF((AND(RIGHT(G202,2)=RIGHT('112'!$M$9,2),B202&lt;'112'!$K$9,$O202='112'!$I$6)),"x",""))</f>
        <v/>
      </c>
      <c r="W202" s="79" t="str">
        <f>IF(AND('341-CT'!$H$9=H202,OR(LEFT(N202,3)=$W$7,LEFT(O202,3)=$W$7)),"x","")</f>
        <v/>
      </c>
      <c r="X202" s="79" t="str">
        <f>IF(OR(TH!N202=TH!$X$7,O202=TH!$X$7),"x","")</f>
        <v/>
      </c>
      <c r="Y202" s="79" t="str">
        <f>IF(AND(OR(N202="131",O202="131"),H202='131-CT'!$H$9),"x","")</f>
        <v/>
      </c>
      <c r="Z202" s="79"/>
      <c r="AA202" s="79" t="str">
        <f>IF(AND(MONTH(E202)='IN-NX'!$J$5,'IN-NX'!$D$7=D202),"x","")</f>
        <v/>
      </c>
      <c r="AB202" s="79" t="str">
        <f>IF(AND(OR(LEFT(TH!N202,2)="15",LEFT(TH!O202,2)="15"),LEFT(TH!O202,3)&lt;&gt;"111",'152-CT'!$J$8=TH!F202),"x","")</f>
        <v/>
      </c>
      <c r="AC202" s="79" t="str">
        <f>IF(AND(OR(LEFT(TH!N202,2)="15",LEFT(TH!O202,2)="15"),TK!$E$7=TH!F202),"x","")</f>
        <v/>
      </c>
      <c r="AD202" s="79" t="str">
        <f>IF(AND(N202="1521",MONTH(C202)='BK-NL'!$M$11),"x","")</f>
        <v/>
      </c>
    </row>
    <row r="203" spans="1:30" ht="16.5" customHeight="1">
      <c r="A203" s="318" t="str">
        <f>IF(B203&lt;&gt;"",IF(AND(B203='IN-TC'!$S$4,OR(TH!N203="1111",TH!O203="1111")),TH!D203,""),"")</f>
        <v/>
      </c>
      <c r="B203" s="1288">
        <f t="shared" si="31"/>
        <v>9</v>
      </c>
      <c r="C203" s="682">
        <v>43373</v>
      </c>
      <c r="D203" s="682" t="s">
        <v>532</v>
      </c>
      <c r="E203" s="682">
        <f t="shared" si="32"/>
        <v>43373</v>
      </c>
      <c r="F203" s="943" t="s">
        <v>955</v>
      </c>
      <c r="G203" s="259"/>
      <c r="H203" s="303"/>
      <c r="I203" s="385"/>
      <c r="J203" s="392"/>
      <c r="K203" s="385"/>
      <c r="L203" s="392"/>
      <c r="M203" s="686">
        <f>G189*$G202</f>
        <v>0</v>
      </c>
      <c r="N203" s="687" t="s">
        <v>272</v>
      </c>
      <c r="O203" s="687" t="s">
        <v>19</v>
      </c>
      <c r="P203" s="79" t="str">
        <f>IF(AND('331-CT'!$E$7=TH!H203,OR(N203="331",O203="331")),"x","")</f>
        <v/>
      </c>
      <c r="Q203" s="79" t="str">
        <f>IF(AND(B203='111'!$L$11,OR($N203=$Q$7,$O203=$Q$7)),"x","")</f>
        <v/>
      </c>
      <c r="R203" s="79" t="str">
        <f>IF(AND($N203=$Q$7,$B203&lt;'111'!$L$11),"x","")</f>
        <v/>
      </c>
      <c r="S203" s="79" t="str">
        <f>IF(AND($O203=$Q$7,$B203&lt;'111'!$L$11),"x","")</f>
        <v/>
      </c>
      <c r="T203" s="79" t="str">
        <f>IF(ISERROR(FIND('112'!$M$9,G203,1)),"",IF((AND(FIND('112'!$M$9,G203,1)&gt;=1,B203='112'!$K$9,OR($N203='112'!$I$6,$O203='112'!$I$6))),"x",""))</f>
        <v/>
      </c>
      <c r="U203" s="79" t="str">
        <f>IF(ISERROR(FIND('112'!$M$9,G203,1)),"",IF((AND(LEFT(G203,2)=LEFT('112'!$M$9,2),B203&lt;'112'!$K$9,$N203='112'!$I$6)),"x",""))</f>
        <v/>
      </c>
      <c r="V203" s="79" t="str">
        <f>IF(ISERROR(FIND('112'!$M$9,G203,1)),"",IF((AND(RIGHT(G203,2)=RIGHT('112'!$M$9,2),B203&lt;'112'!$K$9,$O203='112'!$I$6)),"x",""))</f>
        <v/>
      </c>
      <c r="W203" s="79" t="str">
        <f>IF(AND('341-CT'!$H$9=H203,OR(LEFT(N203,3)=$W$7,LEFT(O203,3)=$W$7)),"x","")</f>
        <v/>
      </c>
      <c r="X203" s="79" t="str">
        <f>IF(OR(TH!N203=TH!$X$7,O203=TH!$X$7),"x","")</f>
        <v/>
      </c>
      <c r="Y203" s="79" t="str">
        <f>IF(AND(OR(N203="131",O203="131"),H203='131-CT'!$H$9),"x","")</f>
        <v/>
      </c>
      <c r="Z203" s="79"/>
      <c r="AA203" s="79" t="str">
        <f>IF(AND(MONTH(E203)='IN-NX'!$J$5,'IN-NX'!$D$7=D203),"x","")</f>
        <v/>
      </c>
      <c r="AB203" s="79" t="str">
        <f>IF(AND(OR(LEFT(TH!N203,2)="15",LEFT(TH!O203,2)="15"),LEFT(TH!O203,3)&lt;&gt;"111",'152-CT'!$J$8=TH!F203),"x","")</f>
        <v/>
      </c>
      <c r="AC203" s="79" t="str">
        <f>IF(AND(OR(LEFT(TH!N203,2)="15",LEFT(TH!O203,2)="15"),TK!$E$7=TH!F203),"x","")</f>
        <v/>
      </c>
      <c r="AD203" s="79" t="str">
        <f>IF(AND(N203="1521",MONTH(C203)='BK-NL'!$M$11),"x","")</f>
        <v/>
      </c>
    </row>
    <row r="204" spans="1:30" ht="16.5" customHeight="1">
      <c r="A204" s="318" t="str">
        <f>IF(B204&lt;&gt;"",IF(AND(B204='IN-TC'!$S$4,OR(TH!N204="1111",TH!O204="1111")),TH!D204,""),"")</f>
        <v/>
      </c>
      <c r="B204" s="1290">
        <f t="shared" si="24"/>
        <v>10</v>
      </c>
      <c r="C204" s="682">
        <v>43404</v>
      </c>
      <c r="D204" s="682" t="s">
        <v>532</v>
      </c>
      <c r="E204" s="682">
        <f t="shared" si="30"/>
        <v>43404</v>
      </c>
      <c r="F204" s="943" t="s">
        <v>722</v>
      </c>
      <c r="G204" s="259"/>
      <c r="H204" s="303"/>
      <c r="I204" s="385"/>
      <c r="J204" s="392"/>
      <c r="K204" s="385"/>
      <c r="L204" s="392"/>
      <c r="M204" s="686"/>
      <c r="N204" s="687" t="s">
        <v>540</v>
      </c>
      <c r="O204" s="687" t="s">
        <v>541</v>
      </c>
      <c r="P204" s="79" t="str">
        <f>IF(AND('331-CT'!$E$7=TH!H204,OR(N204="331",O204="331")),"x","")</f>
        <v/>
      </c>
      <c r="Q204" s="79" t="str">
        <f>IF(AND(B204='111'!$L$11,OR($N204=$Q$7,$O204=$Q$7)),"x","")</f>
        <v/>
      </c>
      <c r="R204" s="79" t="str">
        <f>IF(AND($N204=$Q$7,$B204&lt;'111'!$L$11),"x","")</f>
        <v/>
      </c>
      <c r="S204" s="79" t="str">
        <f>IF(AND($O204=$Q$7,$B204&lt;'111'!$L$11),"x","")</f>
        <v/>
      </c>
      <c r="T204" s="79" t="str">
        <f>IF(ISERROR(FIND('112'!$M$9,G204,1)),"",IF((AND(FIND('112'!$M$9,G204,1)&gt;=1,B204='112'!$K$9,OR($N204='112'!$I$6,$O204='112'!$I$6))),"x",""))</f>
        <v/>
      </c>
      <c r="U204" s="79" t="str">
        <f>IF(ISERROR(FIND('112'!$M$9,G204,1)),"",IF((AND(LEFT(G204,2)=LEFT('112'!$M$9,2),B204&lt;'112'!$K$9,$N204='112'!$I$6)),"x",""))</f>
        <v/>
      </c>
      <c r="V204" s="79" t="str">
        <f>IF(ISERROR(FIND('112'!$M$9,G204,1)),"",IF((AND(RIGHT(G204,2)=RIGHT('112'!$M$9,2),B204&lt;'112'!$K$9,$O204='112'!$I$6)),"x",""))</f>
        <v/>
      </c>
      <c r="W204" s="79" t="str">
        <f>IF(AND('341-CT'!$H$9=H204,OR(LEFT(N204,3)=$W$7,LEFT(O204,3)=$W$7)),"x","")</f>
        <v/>
      </c>
      <c r="X204" s="79" t="str">
        <f>IF(OR(TH!N204=TH!$X$7,O204=TH!$X$7),"x","")</f>
        <v/>
      </c>
      <c r="Y204" s="79" t="str">
        <f>IF(AND(OR(N204="131",O204="131"),H204='131-CT'!$H$9),"x","")</f>
        <v/>
      </c>
      <c r="Z204" s="79"/>
      <c r="AA204" s="79" t="str">
        <f>IF(AND(MONTH(E204)='IN-NX'!$J$5,'IN-NX'!$D$7=D204),"x","")</f>
        <v/>
      </c>
      <c r="AB204" s="79" t="str">
        <f>IF(AND(OR(LEFT(TH!N204,2)="15",LEFT(TH!O204,2)="15"),LEFT(TH!O204,3)&lt;&gt;"111",'152-CT'!$J$8=TH!F204),"x","")</f>
        <v/>
      </c>
      <c r="AC204" s="79" t="str">
        <f>IF(AND(OR(LEFT(TH!N204,2)="15",LEFT(TH!O204,2)="15"),TK!$E$7=TH!F204),"x","")</f>
        <v/>
      </c>
      <c r="AD204" s="79" t="str">
        <f>IF(AND(N204="1521",MONTH(C204)='BK-NL'!$M$11),"x","")</f>
        <v/>
      </c>
    </row>
    <row r="205" spans="1:30" ht="16.5" customHeight="1">
      <c r="A205" s="318" t="str">
        <f>IF(B205&lt;&gt;"",IF(AND(B205='IN-TC'!$S$4,OR(TH!N205="1111",TH!O205="1111")),TH!D205,""),"")</f>
        <v/>
      </c>
      <c r="B205" s="1290">
        <f t="shared" si="24"/>
        <v>10</v>
      </c>
      <c r="C205" s="682">
        <v>43404</v>
      </c>
      <c r="D205" s="682" t="s">
        <v>532</v>
      </c>
      <c r="E205" s="682">
        <f t="shared" si="30"/>
        <v>43404</v>
      </c>
      <c r="F205" s="943" t="s">
        <v>723</v>
      </c>
      <c r="G205" s="259"/>
      <c r="H205" s="303"/>
      <c r="I205" s="385"/>
      <c r="J205" s="392"/>
      <c r="K205" s="385"/>
      <c r="L205" s="392"/>
      <c r="M205" s="686"/>
      <c r="N205" s="687" t="s">
        <v>272</v>
      </c>
      <c r="O205" s="687" t="s">
        <v>541</v>
      </c>
      <c r="P205" s="79" t="str">
        <f>IF(AND('331-CT'!$E$7=TH!H205,OR(N205="331",O205="331")),"x","")</f>
        <v/>
      </c>
      <c r="Q205" s="79" t="str">
        <f>IF(AND(B205='111'!$L$11,OR($N205=$Q$7,$O205=$Q$7)),"x","")</f>
        <v/>
      </c>
      <c r="R205" s="79" t="str">
        <f>IF(AND($N205=$Q$7,$B205&lt;'111'!$L$11),"x","")</f>
        <v/>
      </c>
      <c r="S205" s="79" t="str">
        <f>IF(AND($O205=$Q$7,$B205&lt;'111'!$L$11),"x","")</f>
        <v/>
      </c>
      <c r="T205" s="79" t="str">
        <f>IF(ISERROR(FIND('112'!$M$9,G205,1)),"",IF((AND(FIND('112'!$M$9,G205,1)&gt;=1,B205='112'!$K$9,OR($N205='112'!$I$6,$O205='112'!$I$6))),"x",""))</f>
        <v/>
      </c>
      <c r="U205" s="79" t="str">
        <f>IF(ISERROR(FIND('112'!$M$9,G205,1)),"",IF((AND(LEFT(G205,2)=LEFT('112'!$M$9,2),B205&lt;'112'!$K$9,$N205='112'!$I$6)),"x",""))</f>
        <v/>
      </c>
      <c r="V205" s="79" t="str">
        <f>IF(ISERROR(FIND('112'!$M$9,G205,1)),"",IF((AND(RIGHT(G205,2)=RIGHT('112'!$M$9,2),B205&lt;'112'!$K$9,$O205='112'!$I$6)),"x",""))</f>
        <v/>
      </c>
      <c r="W205" s="79" t="str">
        <f>IF(AND('341-CT'!$H$9=H205,OR(LEFT(N205,3)=$W$7,LEFT(O205,3)=$W$7)),"x","")</f>
        <v/>
      </c>
      <c r="X205" s="79" t="str">
        <f>IF(OR(TH!N205=TH!$X$7,O205=TH!$X$7),"x","")</f>
        <v/>
      </c>
      <c r="Y205" s="79" t="str">
        <f>IF(AND(OR(N205="131",O205="131"),H205='131-CT'!$H$9),"x","")</f>
        <v/>
      </c>
      <c r="Z205" s="79"/>
      <c r="AA205" s="79" t="str">
        <f>IF(AND(MONTH(E205)='IN-NX'!$J$5,'IN-NX'!$D$7=D205),"x","")</f>
        <v/>
      </c>
      <c r="AB205" s="79" t="str">
        <f>IF(AND(OR(LEFT(TH!N205,2)="15",LEFT(TH!O205,2)="15"),LEFT(TH!O205,3)&lt;&gt;"111",'152-CT'!$J$8=TH!F205),"x","")</f>
        <v/>
      </c>
      <c r="AC205" s="79" t="str">
        <f>IF(AND(OR(LEFT(TH!N205,2)="15",LEFT(TH!O205,2)="15"),TK!$E$7=TH!F205),"x","")</f>
        <v/>
      </c>
      <c r="AD205" s="79" t="str">
        <f>IF(AND(N205="1521",MONTH(C205)='BK-NL'!$M$11),"x","")</f>
        <v/>
      </c>
    </row>
    <row r="206" spans="1:30" ht="16.5" customHeight="1">
      <c r="A206" s="318" t="str">
        <f>IF(B206&lt;&gt;"",IF(AND(B206='IN-TC'!$S$4,OR(TH!N206="1111",TH!O206="1111")),TH!D206,""),"")</f>
        <v/>
      </c>
      <c r="B206" s="1290">
        <f t="shared" si="24"/>
        <v>10</v>
      </c>
      <c r="C206" s="682">
        <v>43404</v>
      </c>
      <c r="D206" s="682" t="s">
        <v>532</v>
      </c>
      <c r="E206" s="682">
        <f t="shared" si="30"/>
        <v>43404</v>
      </c>
      <c r="F206" s="943" t="s">
        <v>724</v>
      </c>
      <c r="G206" s="763" t="s">
        <v>533</v>
      </c>
      <c r="H206" s="303"/>
      <c r="I206" s="385"/>
      <c r="J206" s="392"/>
      <c r="K206" s="385"/>
      <c r="L206" s="392"/>
      <c r="M206" s="686">
        <f>ROUND(G204*$G206,0)</f>
        <v>0</v>
      </c>
      <c r="N206" s="687" t="s">
        <v>541</v>
      </c>
      <c r="O206" s="687" t="s">
        <v>542</v>
      </c>
      <c r="P206" s="79" t="str">
        <f>IF(AND('331-CT'!$E$7=TH!H206,OR(N206="331",O206="331")),"x","")</f>
        <v/>
      </c>
      <c r="Q206" s="79" t="str">
        <f>IF(AND(B206='111'!$L$11,OR($N206=$Q$7,$O206=$Q$7)),"x","")</f>
        <v/>
      </c>
      <c r="R206" s="79" t="str">
        <f>IF(AND($N206=$Q$7,$B206&lt;'111'!$L$11),"x","")</f>
        <v/>
      </c>
      <c r="S206" s="79" t="str">
        <f>IF(AND($O206=$Q$7,$B206&lt;'111'!$L$11),"x","")</f>
        <v/>
      </c>
      <c r="T206" s="79" t="str">
        <f>IF(ISERROR(FIND('112'!$M$9,G206,1)),"",IF((AND(FIND('112'!$M$9,G206,1)&gt;=1,B206='112'!$K$9,OR($N206='112'!$I$6,$O206='112'!$I$6))),"x",""))</f>
        <v/>
      </c>
      <c r="U206" s="79" t="str">
        <f>IF(ISERROR(FIND('112'!$M$9,G206,1)),"",IF((AND(LEFT(G206,2)=LEFT('112'!$M$9,2),B206&lt;'112'!$K$9,$N206='112'!$I$6)),"x",""))</f>
        <v/>
      </c>
      <c r="V206" s="79" t="str">
        <f>IF(ISERROR(FIND('112'!$M$9,G206,1)),"",IF((AND(RIGHT(G206,2)=RIGHT('112'!$M$9,2),B206&lt;'112'!$K$9,$O206='112'!$I$6)),"x",""))</f>
        <v/>
      </c>
      <c r="W206" s="79" t="str">
        <f>IF(AND('341-CT'!$H$9=H206,OR(LEFT(N206,3)=$W$7,LEFT(O206,3)=$W$7)),"x","")</f>
        <v/>
      </c>
      <c r="X206" s="79" t="str">
        <f>IF(OR(TH!N206=TH!$X$7,O206=TH!$X$7),"x","")</f>
        <v/>
      </c>
      <c r="Y206" s="79" t="str">
        <f>IF(AND(OR(N206="131",O206="131"),H206='131-CT'!$H$9),"x","")</f>
        <v/>
      </c>
      <c r="Z206" s="79"/>
      <c r="AA206" s="79" t="str">
        <f>IF(AND(MONTH(E206)='IN-NX'!$J$5,'IN-NX'!$D$7=D206),"x","")</f>
        <v/>
      </c>
      <c r="AB206" s="79" t="str">
        <f>IF(AND(OR(LEFT(TH!N206,2)="15",LEFT(TH!O206,2)="15"),LEFT(TH!O206,3)&lt;&gt;"111",'152-CT'!$J$8=TH!F206),"x","")</f>
        <v/>
      </c>
      <c r="AC206" s="79" t="str">
        <f>IF(AND(OR(LEFT(TH!N206,2)="15",LEFT(TH!O206,2)="15"),TK!$E$7=TH!F206),"x","")</f>
        <v/>
      </c>
      <c r="AD206" s="79" t="str">
        <f>IF(AND(N206="1521",MONTH(C206)='BK-NL'!$M$11),"x","")</f>
        <v/>
      </c>
    </row>
    <row r="207" spans="1:30" ht="16.5" customHeight="1">
      <c r="A207" s="318" t="str">
        <f>IF(B207&lt;&gt;"",IF(AND(B207='IN-TC'!$S$4,OR(TH!N207="1111",TH!O207="1111")),TH!D207,""),"")</f>
        <v/>
      </c>
      <c r="B207" s="1290">
        <f t="shared" si="24"/>
        <v>10</v>
      </c>
      <c r="C207" s="682">
        <v>43404</v>
      </c>
      <c r="D207" s="682" t="s">
        <v>532</v>
      </c>
      <c r="E207" s="682">
        <f t="shared" si="30"/>
        <v>43404</v>
      </c>
      <c r="F207" s="943" t="s">
        <v>725</v>
      </c>
      <c r="G207" s="259"/>
      <c r="H207" s="303"/>
      <c r="I207" s="385"/>
      <c r="J207" s="392"/>
      <c r="K207" s="385"/>
      <c r="L207" s="392"/>
      <c r="M207" s="686">
        <f>ROUND(G205*$G206,0)</f>
        <v>0</v>
      </c>
      <c r="N207" s="688" t="s">
        <v>541</v>
      </c>
      <c r="O207" s="689" t="s">
        <v>542</v>
      </c>
      <c r="P207" s="79" t="str">
        <f>IF(AND('331-CT'!$E$7=TH!H207,OR(N207="331",O207="331")),"x","")</f>
        <v/>
      </c>
      <c r="Q207" s="79" t="str">
        <f>IF(AND(B207='111'!$L$11,OR($N207=$Q$7,$O207=$Q$7)),"x","")</f>
        <v/>
      </c>
      <c r="R207" s="79" t="str">
        <f>IF(AND($N207=$Q$7,$B207&lt;'111'!$L$11),"x","")</f>
        <v/>
      </c>
      <c r="S207" s="79" t="str">
        <f>IF(AND($O207=$Q$7,$B207&lt;'111'!$L$11),"x","")</f>
        <v/>
      </c>
      <c r="T207" s="79" t="str">
        <f>IF(ISERROR(FIND('112'!$M$9,G207,1)),"",IF((AND(FIND('112'!$M$9,G207,1)&gt;=1,B207='112'!$K$9,OR($N207='112'!$I$6,$O207='112'!$I$6))),"x",""))</f>
        <v/>
      </c>
      <c r="U207" s="79" t="str">
        <f>IF(ISERROR(FIND('112'!$M$9,G207,1)),"",IF((AND(LEFT(G207,2)=LEFT('112'!$M$9,2),B207&lt;'112'!$K$9,$N207='112'!$I$6)),"x",""))</f>
        <v/>
      </c>
      <c r="V207" s="79" t="str">
        <f>IF(ISERROR(FIND('112'!$M$9,G207,1)),"",IF((AND(RIGHT(G207,2)=RIGHT('112'!$M$9,2),B207&lt;'112'!$K$9,$O207='112'!$I$6)),"x",""))</f>
        <v/>
      </c>
      <c r="W207" s="79" t="str">
        <f>IF(AND('341-CT'!$H$9=H207,OR(LEFT(N207,3)=$W$7,LEFT(O207,3)=$W$7)),"x","")</f>
        <v/>
      </c>
      <c r="X207" s="79" t="str">
        <f>IF(OR(TH!N207=TH!$X$7,O207=TH!$X$7),"x","")</f>
        <v/>
      </c>
      <c r="Y207" s="79" t="str">
        <f>IF(AND(OR(N207="131",O207="131"),H207='131-CT'!$H$9),"x","")</f>
        <v/>
      </c>
      <c r="Z207" s="79"/>
      <c r="AA207" s="79" t="str">
        <f>IF(AND(MONTH(E207)='IN-NX'!$J$5,'IN-NX'!$D$7=D207),"x","")</f>
        <v/>
      </c>
      <c r="AB207" s="79" t="str">
        <f>IF(AND(OR(LEFT(TH!N207,2)="15",LEFT(TH!O207,2)="15"),LEFT(TH!O207,3)&lt;&gt;"111",'152-CT'!$J$8=TH!F207),"x","")</f>
        <v/>
      </c>
      <c r="AC207" s="79" t="str">
        <f>IF(AND(OR(LEFT(TH!N207,2)="15",LEFT(TH!O207,2)="15"),TK!$E$7=TH!F207),"x","")</f>
        <v/>
      </c>
      <c r="AD207" s="79" t="str">
        <f>IF(AND(N207="1521",MONTH(C207)='BK-NL'!$M$11),"x","")</f>
        <v/>
      </c>
    </row>
    <row r="208" spans="1:30" ht="16.5" customHeight="1">
      <c r="A208" s="318" t="str">
        <f>IF(B208&lt;&gt;"",IF(AND(B208='IN-TC'!$S$4,OR(TH!N208="1111",TH!O208="1111")),TH!D208,""),"")</f>
        <v/>
      </c>
      <c r="B208" s="1290">
        <f t="shared" si="24"/>
        <v>10</v>
      </c>
      <c r="C208" s="682">
        <v>43404</v>
      </c>
      <c r="D208" s="682" t="s">
        <v>532</v>
      </c>
      <c r="E208" s="682">
        <f t="shared" si="30"/>
        <v>43404</v>
      </c>
      <c r="F208" s="943" t="s">
        <v>726</v>
      </c>
      <c r="G208" s="763" t="s">
        <v>957</v>
      </c>
      <c r="H208" s="303"/>
      <c r="I208" s="385"/>
      <c r="J208" s="392"/>
      <c r="K208" s="385"/>
      <c r="L208" s="392"/>
      <c r="M208" s="686">
        <f>ROUND(G204*$G208,0)</f>
        <v>0</v>
      </c>
      <c r="N208" s="687" t="s">
        <v>540</v>
      </c>
      <c r="O208" s="687" t="s">
        <v>542</v>
      </c>
      <c r="P208" s="79" t="str">
        <f>IF(AND('331-CT'!$E$7=TH!H208,OR(N208="331",O208="331")),"x","")</f>
        <v/>
      </c>
      <c r="Q208" s="79" t="str">
        <f>IF(AND(B208='111'!$L$11,OR($N208=$Q$7,$O208=$Q$7)),"x","")</f>
        <v/>
      </c>
      <c r="R208" s="79" t="str">
        <f>IF(AND($N208=$Q$7,$B208&lt;'111'!$L$11),"x","")</f>
        <v/>
      </c>
      <c r="S208" s="79" t="str">
        <f>IF(AND($O208=$Q$7,$B208&lt;'111'!$L$11),"x","")</f>
        <v/>
      </c>
      <c r="T208" s="79" t="str">
        <f>IF(ISERROR(FIND('112'!$M$9,G208,1)),"",IF((AND(FIND('112'!$M$9,G208,1)&gt;=1,B208='112'!$K$9,OR($N208='112'!$I$6,$O208='112'!$I$6))),"x",""))</f>
        <v/>
      </c>
      <c r="U208" s="79" t="str">
        <f>IF(ISERROR(FIND('112'!$M$9,G208,1)),"",IF((AND(LEFT(G208,2)=LEFT('112'!$M$9,2),B208&lt;'112'!$K$9,$N208='112'!$I$6)),"x",""))</f>
        <v/>
      </c>
      <c r="V208" s="79" t="str">
        <f>IF(ISERROR(FIND('112'!$M$9,G208,1)),"",IF((AND(RIGHT(G208,2)=RIGHT('112'!$M$9,2),B208&lt;'112'!$K$9,$O208='112'!$I$6)),"x",""))</f>
        <v/>
      </c>
      <c r="W208" s="79" t="str">
        <f>IF(AND('341-CT'!$H$9=H208,OR(LEFT(N208,3)=$W$7,LEFT(O208,3)=$W$7)),"x","")</f>
        <v/>
      </c>
      <c r="X208" s="79" t="str">
        <f>IF(OR(TH!N208=TH!$X$7,O208=TH!$X$7),"x","")</f>
        <v/>
      </c>
      <c r="Y208" s="79" t="str">
        <f>IF(AND(OR(N208="131",O208="131"),H208='131-CT'!$H$9),"x","")</f>
        <v/>
      </c>
      <c r="Z208" s="79"/>
      <c r="AA208" s="79" t="str">
        <f>IF(AND(MONTH(E208)='IN-NX'!$J$5,'IN-NX'!$D$7=D208),"x","")</f>
        <v/>
      </c>
      <c r="AB208" s="79" t="str">
        <f>IF(AND(OR(LEFT(TH!N208,2)="15",LEFT(TH!O208,2)="15"),LEFT(TH!O208,3)&lt;&gt;"111",'152-CT'!$J$8=TH!F208),"x","")</f>
        <v/>
      </c>
      <c r="AC208" s="79" t="str">
        <f>IF(AND(OR(LEFT(TH!N208,2)="15",LEFT(TH!O208,2)="15"),TK!$E$7=TH!F208),"x","")</f>
        <v/>
      </c>
      <c r="AD208" s="79" t="str">
        <f>IF(AND(N208="1521",MONTH(C208)='BK-NL'!$M$11),"x","")</f>
        <v/>
      </c>
    </row>
    <row r="209" spans="1:30" ht="16.5" customHeight="1">
      <c r="A209" s="318" t="str">
        <f>IF(B209&lt;&gt;"",IF(AND(B209='IN-TC'!$S$4,OR(TH!N209="1111",TH!O209="1111")),TH!D209,""),"")</f>
        <v/>
      </c>
      <c r="B209" s="1290">
        <f t="shared" si="24"/>
        <v>10</v>
      </c>
      <c r="C209" s="682">
        <v>43404</v>
      </c>
      <c r="D209" s="682" t="s">
        <v>532</v>
      </c>
      <c r="E209" s="682">
        <f t="shared" si="30"/>
        <v>43404</v>
      </c>
      <c r="F209" s="943" t="s">
        <v>727</v>
      </c>
      <c r="G209" s="259"/>
      <c r="H209" s="303"/>
      <c r="I209" s="385"/>
      <c r="J209" s="392"/>
      <c r="K209" s="385"/>
      <c r="L209" s="392"/>
      <c r="M209" s="686">
        <f>G205*$G208</f>
        <v>0</v>
      </c>
      <c r="N209" s="687" t="s">
        <v>272</v>
      </c>
      <c r="O209" s="687" t="s">
        <v>542</v>
      </c>
      <c r="P209" s="79" t="str">
        <f>IF(AND('331-CT'!$E$7=TH!H209,OR(N209="331",O209="331")),"x","")</f>
        <v/>
      </c>
      <c r="Q209" s="79" t="str">
        <f>IF(AND(B209='111'!$L$11,OR($N209=$Q$7,$O209=$Q$7)),"x","")</f>
        <v/>
      </c>
      <c r="R209" s="79" t="str">
        <f>IF(AND($N209=$Q$7,$B209&lt;'111'!$L$11),"x","")</f>
        <v/>
      </c>
      <c r="S209" s="79" t="str">
        <f>IF(AND($O209=$Q$7,$B209&lt;'111'!$L$11),"x","")</f>
        <v/>
      </c>
      <c r="T209" s="79" t="str">
        <f>IF(ISERROR(FIND('112'!$M$9,G209,1)),"",IF((AND(FIND('112'!$M$9,G209,1)&gt;=1,B209='112'!$K$9,OR($N209='112'!$I$6,$O209='112'!$I$6))),"x",""))</f>
        <v/>
      </c>
      <c r="U209" s="79" t="str">
        <f>IF(ISERROR(FIND('112'!$M$9,G209,1)),"",IF((AND(LEFT(G209,2)=LEFT('112'!$M$9,2),B209&lt;'112'!$K$9,$N209='112'!$I$6)),"x",""))</f>
        <v/>
      </c>
      <c r="V209" s="79" t="str">
        <f>IF(ISERROR(FIND('112'!$M$9,G209,1)),"",IF((AND(RIGHT(G209,2)=RIGHT('112'!$M$9,2),B209&lt;'112'!$K$9,$O209='112'!$I$6)),"x",""))</f>
        <v/>
      </c>
      <c r="W209" s="79" t="str">
        <f>IF(AND('341-CT'!$H$9=H209,OR(LEFT(N209,3)=$W$7,LEFT(O209,3)=$W$7)),"x","")</f>
        <v/>
      </c>
      <c r="X209" s="79" t="str">
        <f>IF(OR(TH!N209=TH!$X$7,O209=TH!$X$7),"x","")</f>
        <v/>
      </c>
      <c r="Y209" s="79" t="str">
        <f>IF(AND(OR(N209="131",O209="131"),H209='131-CT'!$H$9),"x","")</f>
        <v/>
      </c>
      <c r="Z209" s="79"/>
      <c r="AA209" s="79" t="str">
        <f>IF(AND(MONTH(E209)='IN-NX'!$J$5,'IN-NX'!$D$7=D209),"x","")</f>
        <v/>
      </c>
      <c r="AB209" s="79" t="str">
        <f>IF(AND(OR(LEFT(TH!N209,2)="15",LEFT(TH!O209,2)="15"),LEFT(TH!O209,3)&lt;&gt;"111",'152-CT'!$J$8=TH!F209),"x","")</f>
        <v/>
      </c>
      <c r="AC209" s="79" t="str">
        <f>IF(AND(OR(LEFT(TH!N209,2)="15",LEFT(TH!O209,2)="15"),TK!$E$7=TH!F209),"x","")</f>
        <v/>
      </c>
      <c r="AD209" s="79" t="str">
        <f>IF(AND(N209="1521",MONTH(C209)='BK-NL'!$M$11),"x","")</f>
        <v/>
      </c>
    </row>
    <row r="210" spans="1:30" ht="16.5" customHeight="1">
      <c r="A210" s="318" t="str">
        <f>IF(B210&lt;&gt;"",IF(AND(B210='IN-TC'!$S$4,OR(TH!N210="1111",TH!O210="1111")),TH!D210,""),"")</f>
        <v/>
      </c>
      <c r="B210" s="1290">
        <f t="shared" si="24"/>
        <v>10</v>
      </c>
      <c r="C210" s="682">
        <v>43404</v>
      </c>
      <c r="D210" s="682" t="s">
        <v>532</v>
      </c>
      <c r="E210" s="682">
        <f t="shared" ref="E210:E225" si="33">C210</f>
        <v>43404</v>
      </c>
      <c r="F210" s="943" t="s">
        <v>728</v>
      </c>
      <c r="G210" s="763" t="s">
        <v>534</v>
      </c>
      <c r="H210" s="305"/>
      <c r="I210" s="383"/>
      <c r="J210" s="390"/>
      <c r="K210" s="383"/>
      <c r="L210" s="390"/>
      <c r="M210" s="686">
        <f>ROUND(G204*$G210,0)</f>
        <v>0</v>
      </c>
      <c r="N210" s="687" t="s">
        <v>541</v>
      </c>
      <c r="O210" s="687" t="s">
        <v>543</v>
      </c>
      <c r="P210" s="79" t="str">
        <f>IF(AND('331-CT'!$E$7=TH!H210,OR(N210="331",O210="331")),"x","")</f>
        <v/>
      </c>
      <c r="Q210" s="79" t="str">
        <f>IF(AND(B210='111'!$L$11,OR($N210=$Q$7,$O210=$Q$7)),"x","")</f>
        <v/>
      </c>
      <c r="R210" s="79" t="str">
        <f>IF(AND($N210=$Q$7,$B210&lt;'111'!$L$11),"x","")</f>
        <v/>
      </c>
      <c r="S210" s="79" t="str">
        <f>IF(AND($O210=$Q$7,$B210&lt;'111'!$L$11),"x","")</f>
        <v/>
      </c>
      <c r="T210" s="79" t="str">
        <f>IF(ISERROR(FIND('112'!$M$9,G210,1)),"",IF((AND(FIND('112'!$M$9,G210,1)&gt;=1,B210='112'!$K$9,OR($N210='112'!$I$6,$O210='112'!$I$6))),"x",""))</f>
        <v/>
      </c>
      <c r="U210" s="79" t="str">
        <f>IF(ISERROR(FIND('112'!$M$9,G210,1)),"",IF((AND(LEFT(G210,2)=LEFT('112'!$M$9,2),B210&lt;'112'!$K$9,$N210='112'!$I$6)),"x",""))</f>
        <v/>
      </c>
      <c r="V210" s="79" t="str">
        <f>IF(ISERROR(FIND('112'!$M$9,G210,1)),"",IF((AND(RIGHT(G210,2)=RIGHT('112'!$M$9,2),B210&lt;'112'!$K$9,$O210='112'!$I$6)),"x",""))</f>
        <v/>
      </c>
      <c r="W210" s="79" t="str">
        <f>IF(AND('341-CT'!$H$9=H210,OR(LEFT(N210,3)=$W$7,LEFT(O210,3)=$W$7)),"x","")</f>
        <v/>
      </c>
      <c r="X210" s="79" t="str">
        <f>IF(OR(TH!N210=TH!$X$7,O210=TH!$X$7),"x","")</f>
        <v/>
      </c>
      <c r="Y210" s="79" t="str">
        <f>IF(AND(OR(N210="131",O210="131"),H210='131-CT'!$H$9),"x","")</f>
        <v/>
      </c>
      <c r="Z210" s="79"/>
      <c r="AA210" s="79" t="str">
        <f>IF(AND(MONTH(E210)='IN-NX'!$J$5,'IN-NX'!$D$7=D210),"x","")</f>
        <v/>
      </c>
      <c r="AB210" s="79" t="str">
        <f>IF(AND(OR(LEFT(TH!N210,2)="15",LEFT(TH!O210,2)="15"),LEFT(TH!O210,3)&lt;&gt;"111",'152-CT'!$J$8=TH!F210),"x","")</f>
        <v/>
      </c>
      <c r="AC210" s="79" t="str">
        <f>IF(AND(OR(LEFT(TH!N210,2)="15",LEFT(TH!O210,2)="15"),TK!$E$7=TH!F210),"x","")</f>
        <v/>
      </c>
      <c r="AD210" s="79" t="str">
        <f>IF(AND(N210="1521",MONTH(C210)='BK-NL'!$M$11),"x","")</f>
        <v/>
      </c>
    </row>
    <row r="211" spans="1:30" ht="16.5" customHeight="1">
      <c r="A211" s="318" t="str">
        <f>IF(B211&lt;&gt;"",IF(AND(B211='IN-TC'!$S$4,OR(TH!N211="1111",TH!O211="1111")),TH!D211,""),"")</f>
        <v/>
      </c>
      <c r="B211" s="1290">
        <f t="shared" si="24"/>
        <v>10</v>
      </c>
      <c r="C211" s="682">
        <v>43404</v>
      </c>
      <c r="D211" s="682" t="s">
        <v>532</v>
      </c>
      <c r="E211" s="682">
        <f t="shared" si="33"/>
        <v>43404</v>
      </c>
      <c r="F211" s="943" t="s">
        <v>729</v>
      </c>
      <c r="G211" s="259"/>
      <c r="H211" s="305"/>
      <c r="I211" s="383"/>
      <c r="J211" s="390"/>
      <c r="K211" s="383"/>
      <c r="L211" s="390"/>
      <c r="M211" s="686">
        <f>ROUND(G205*$G210,0)</f>
        <v>0</v>
      </c>
      <c r="N211" s="687" t="s">
        <v>541</v>
      </c>
      <c r="O211" s="687" t="s">
        <v>543</v>
      </c>
      <c r="P211" s="79" t="str">
        <f>IF(AND('331-CT'!$E$7=TH!H211,OR(N211="331",O211="331")),"x","")</f>
        <v/>
      </c>
      <c r="Q211" s="79" t="str">
        <f>IF(AND(B211='111'!$L$11,OR($N211=$Q$7,$O211=$Q$7)),"x","")</f>
        <v/>
      </c>
      <c r="R211" s="79" t="str">
        <f>IF(AND($N211=$Q$7,$B211&lt;'111'!$L$11),"x","")</f>
        <v/>
      </c>
      <c r="S211" s="79" t="str">
        <f>IF(AND($O211=$Q$7,$B211&lt;'111'!$L$11),"x","")</f>
        <v/>
      </c>
      <c r="T211" s="79" t="str">
        <f>IF(ISERROR(FIND('112'!$M$9,G211,1)),"",IF((AND(FIND('112'!$M$9,G211,1)&gt;=1,B211='112'!$K$9,OR($N211='112'!$I$6,$O211='112'!$I$6))),"x",""))</f>
        <v/>
      </c>
      <c r="U211" s="79" t="str">
        <f>IF(ISERROR(FIND('112'!$M$9,G211,1)),"",IF((AND(LEFT(G211,2)=LEFT('112'!$M$9,2),B211&lt;'112'!$K$9,$N211='112'!$I$6)),"x",""))</f>
        <v/>
      </c>
      <c r="V211" s="79" t="str">
        <f>IF(ISERROR(FIND('112'!$M$9,G211,1)),"",IF((AND(RIGHT(G211,2)=RIGHT('112'!$M$9,2),B211&lt;'112'!$K$9,$O211='112'!$I$6)),"x",""))</f>
        <v/>
      </c>
      <c r="W211" s="79" t="str">
        <f>IF(AND('341-CT'!$H$9=H211,OR(LEFT(N211,3)=$W$7,LEFT(O211,3)=$W$7)),"x","")</f>
        <v/>
      </c>
      <c r="X211" s="79" t="str">
        <f>IF(OR(TH!N211=TH!$X$7,O211=TH!$X$7),"x","")</f>
        <v/>
      </c>
      <c r="Y211" s="79" t="str">
        <f>IF(AND(OR(N211="131",O211="131"),H211='131-CT'!$H$9),"x","")</f>
        <v/>
      </c>
      <c r="Z211" s="79"/>
      <c r="AA211" s="79" t="str">
        <f>IF(AND(MONTH(E211)='IN-NX'!$J$5,'IN-NX'!$D$7=D211),"x","")</f>
        <v/>
      </c>
      <c r="AB211" s="79" t="str">
        <f>IF(AND(OR(LEFT(TH!N211,2)="15",LEFT(TH!O211,2)="15"),LEFT(TH!O211,3)&lt;&gt;"111",'152-CT'!$J$8=TH!F211),"x","")</f>
        <v/>
      </c>
      <c r="AC211" s="79" t="str">
        <f>IF(AND(OR(LEFT(TH!N211,2)="15",LEFT(TH!O211,2)="15"),TK!$E$7=TH!F211),"x","")</f>
        <v/>
      </c>
      <c r="AD211" s="79" t="str">
        <f>IF(AND(N211="1521",MONTH(C211)='BK-NL'!$M$11),"x","")</f>
        <v/>
      </c>
    </row>
    <row r="212" spans="1:30" ht="16.5" customHeight="1">
      <c r="A212" s="318" t="str">
        <f>IF(B212&lt;&gt;"",IF(AND(B212='IN-TC'!$S$4,OR(TH!N212="1111",TH!O212="1111")),TH!D212,""),"")</f>
        <v/>
      </c>
      <c r="B212" s="1290">
        <f t="shared" si="24"/>
        <v>10</v>
      </c>
      <c r="C212" s="682">
        <v>43404</v>
      </c>
      <c r="D212" s="682" t="s">
        <v>532</v>
      </c>
      <c r="E212" s="682">
        <f t="shared" si="33"/>
        <v>43404</v>
      </c>
      <c r="F212" s="943" t="s">
        <v>730</v>
      </c>
      <c r="G212" s="763" t="s">
        <v>535</v>
      </c>
      <c r="H212" s="303"/>
      <c r="I212" s="385"/>
      <c r="J212" s="392"/>
      <c r="K212" s="385"/>
      <c r="L212" s="392"/>
      <c r="M212" s="686">
        <f>G204*$G212</f>
        <v>0</v>
      </c>
      <c r="N212" s="687" t="s">
        <v>540</v>
      </c>
      <c r="O212" s="687" t="s">
        <v>543</v>
      </c>
      <c r="P212" s="79" t="str">
        <f>IF(AND('331-CT'!$E$7=TH!H212,OR(N212="331",O212="331")),"x","")</f>
        <v/>
      </c>
      <c r="Q212" s="79" t="str">
        <f>IF(AND(B212='111'!$L$11,OR($N212=$Q$7,$O212=$Q$7)),"x","")</f>
        <v/>
      </c>
      <c r="R212" s="79" t="str">
        <f>IF(AND($N212=$Q$7,$B212&lt;'111'!$L$11),"x","")</f>
        <v/>
      </c>
      <c r="S212" s="79" t="str">
        <f>IF(AND($O212=$Q$7,$B212&lt;'111'!$L$11),"x","")</f>
        <v/>
      </c>
      <c r="T212" s="79" t="str">
        <f>IF(ISERROR(FIND('112'!$M$9,G212,1)),"",IF((AND(FIND('112'!$M$9,G212,1)&gt;=1,B212='112'!$K$9,OR($N212='112'!$I$6,$O212='112'!$I$6))),"x",""))</f>
        <v/>
      </c>
      <c r="U212" s="79" t="str">
        <f>IF(ISERROR(FIND('112'!$M$9,G212,1)),"",IF((AND(LEFT(G212,2)=LEFT('112'!$M$9,2),B212&lt;'112'!$K$9,$N212='112'!$I$6)),"x",""))</f>
        <v/>
      </c>
      <c r="V212" s="79" t="str">
        <f>IF(ISERROR(FIND('112'!$M$9,G212,1)),"",IF((AND(RIGHT(G212,2)=RIGHT('112'!$M$9,2),B212&lt;'112'!$K$9,$O212='112'!$I$6)),"x",""))</f>
        <v/>
      </c>
      <c r="W212" s="79" t="str">
        <f>IF(AND('341-CT'!$H$9=H212,OR(LEFT(N212,3)=$W$7,LEFT(O212,3)=$W$7)),"x","")</f>
        <v/>
      </c>
      <c r="X212" s="79" t="str">
        <f>IF(OR(TH!N212=TH!$X$7,O212=TH!$X$7),"x","")</f>
        <v/>
      </c>
      <c r="Y212" s="79" t="str">
        <f>IF(AND(OR(N212="131",O212="131"),H212='131-CT'!$H$9),"x","")</f>
        <v/>
      </c>
      <c r="Z212" s="79"/>
      <c r="AA212" s="79" t="str">
        <f>IF(AND(MONTH(E212)='IN-NX'!$J$5,'IN-NX'!$D$7=D212),"x","")</f>
        <v/>
      </c>
      <c r="AB212" s="79" t="str">
        <f>IF(AND(OR(LEFT(TH!N212,2)="15",LEFT(TH!O212,2)="15"),LEFT(TH!O212,3)&lt;&gt;"111",'152-CT'!$J$8=TH!F212),"x","")</f>
        <v/>
      </c>
      <c r="AC212" s="79" t="str">
        <f>IF(AND(OR(LEFT(TH!N212,2)="15",LEFT(TH!O212,2)="15"),TK!$E$7=TH!F212),"x","")</f>
        <v/>
      </c>
      <c r="AD212" s="79" t="str">
        <f>IF(AND(N212="1521",MONTH(C212)='BK-NL'!$M$11),"x","")</f>
        <v/>
      </c>
    </row>
    <row r="213" spans="1:30" ht="16.5" customHeight="1">
      <c r="A213" s="318" t="str">
        <f>IF(B213&lt;&gt;"",IF(AND(B213='IN-TC'!$S$4,OR(TH!N213="1111",TH!O213="1111")),TH!D213,""),"")</f>
        <v/>
      </c>
      <c r="B213" s="1290">
        <f t="shared" si="24"/>
        <v>10</v>
      </c>
      <c r="C213" s="682">
        <v>43404</v>
      </c>
      <c r="D213" s="682" t="s">
        <v>532</v>
      </c>
      <c r="E213" s="682">
        <f t="shared" si="33"/>
        <v>43404</v>
      </c>
      <c r="F213" s="943" t="s">
        <v>731</v>
      </c>
      <c r="G213" s="259"/>
      <c r="H213" s="303"/>
      <c r="I213" s="385"/>
      <c r="J213" s="392"/>
      <c r="K213" s="385"/>
      <c r="L213" s="392"/>
      <c r="M213" s="686">
        <f>G205*$G212</f>
        <v>0</v>
      </c>
      <c r="N213" s="687" t="s">
        <v>272</v>
      </c>
      <c r="O213" s="687" t="s">
        <v>543</v>
      </c>
      <c r="P213" s="79" t="str">
        <f>IF(AND('331-CT'!$E$7=TH!H213,OR(N213="331",O213="331")),"x","")</f>
        <v/>
      </c>
      <c r="Q213" s="79" t="str">
        <f>IF(AND(B213='111'!$L$11,OR($N213=$Q$7,$O213=$Q$7)),"x","")</f>
        <v/>
      </c>
      <c r="R213" s="79" t="str">
        <f>IF(AND($N213=$Q$7,$B213&lt;'111'!$L$11),"x","")</f>
        <v/>
      </c>
      <c r="S213" s="79" t="str">
        <f>IF(AND($O213=$Q$7,$B213&lt;'111'!$L$11),"x","")</f>
        <v/>
      </c>
      <c r="T213" s="79" t="str">
        <f>IF(ISERROR(FIND('112'!$M$9,G213,1)),"",IF((AND(FIND('112'!$M$9,G213,1)&gt;=1,B213='112'!$K$9,OR($N213='112'!$I$6,$O213='112'!$I$6))),"x",""))</f>
        <v/>
      </c>
      <c r="U213" s="79" t="str">
        <f>IF(ISERROR(FIND('112'!$M$9,G213,1)),"",IF((AND(LEFT(G213,2)=LEFT('112'!$M$9,2),B213&lt;'112'!$K$9,$N213='112'!$I$6)),"x",""))</f>
        <v/>
      </c>
      <c r="V213" s="79" t="str">
        <f>IF(ISERROR(FIND('112'!$M$9,G213,1)),"",IF((AND(RIGHT(G213,2)=RIGHT('112'!$M$9,2),B213&lt;'112'!$K$9,$O213='112'!$I$6)),"x",""))</f>
        <v/>
      </c>
      <c r="W213" s="79" t="str">
        <f>IF(AND('341-CT'!$H$9=H213,OR(LEFT(N213,3)=$W$7,LEFT(O213,3)=$W$7)),"x","")</f>
        <v/>
      </c>
      <c r="X213" s="79" t="str">
        <f>IF(OR(TH!N213=TH!$X$7,O213=TH!$X$7),"x","")</f>
        <v/>
      </c>
      <c r="Y213" s="79" t="str">
        <f>IF(AND(OR(N213="131",O213="131"),H213='131-CT'!$H$9),"x","")</f>
        <v/>
      </c>
      <c r="Z213" s="79"/>
      <c r="AA213" s="79" t="str">
        <f>IF(AND(MONTH(E213)='IN-NX'!$J$5,'IN-NX'!$D$7=D213),"x","")</f>
        <v/>
      </c>
      <c r="AB213" s="79" t="str">
        <f>IF(AND(OR(LEFT(TH!N213,2)="15",LEFT(TH!O213,2)="15"),LEFT(TH!O213,3)&lt;&gt;"111",'152-CT'!$J$8=TH!F213),"x","")</f>
        <v/>
      </c>
      <c r="AC213" s="79" t="str">
        <f>IF(AND(OR(LEFT(TH!N213,2)="15",LEFT(TH!O213,2)="15"),TK!$E$7=TH!F213),"x","")</f>
        <v/>
      </c>
      <c r="AD213" s="79" t="str">
        <f>IF(AND(N213="1521",MONTH(C213)='BK-NL'!$M$11),"x","")</f>
        <v/>
      </c>
    </row>
    <row r="214" spans="1:30" ht="16.5" customHeight="1">
      <c r="A214" s="318" t="str">
        <f>IF(B214&lt;&gt;"",IF(AND(B214='IN-TC'!$S$4,OR(TH!N214="1111",TH!O214="1111")),TH!D214,""),"")</f>
        <v/>
      </c>
      <c r="B214" s="1290">
        <f t="shared" si="24"/>
        <v>10</v>
      </c>
      <c r="C214" s="682">
        <v>43404</v>
      </c>
      <c r="D214" s="682" t="s">
        <v>532</v>
      </c>
      <c r="E214" s="682">
        <f t="shared" si="33"/>
        <v>43404</v>
      </c>
      <c r="F214" s="943" t="s">
        <v>732</v>
      </c>
      <c r="G214" s="763" t="s">
        <v>536</v>
      </c>
      <c r="H214" s="303"/>
      <c r="I214" s="385"/>
      <c r="J214" s="392"/>
      <c r="K214" s="385"/>
      <c r="L214" s="392"/>
      <c r="M214" s="686">
        <f>G204*$G214</f>
        <v>0</v>
      </c>
      <c r="N214" s="687" t="s">
        <v>541</v>
      </c>
      <c r="O214" s="687" t="s">
        <v>544</v>
      </c>
      <c r="P214" s="79" t="str">
        <f>IF(AND('331-CT'!$E$7=TH!H214,OR(N214="331",O214="331")),"x","")</f>
        <v/>
      </c>
      <c r="Q214" s="79" t="str">
        <f>IF(AND(B214='111'!$L$11,OR($N214=$Q$7,$O214=$Q$7)),"x","")</f>
        <v/>
      </c>
      <c r="R214" s="79" t="str">
        <f>IF(AND($N214=$Q$7,$B214&lt;'111'!$L$11),"x","")</f>
        <v/>
      </c>
      <c r="S214" s="79" t="str">
        <f>IF(AND($O214=$Q$7,$B214&lt;'111'!$L$11),"x","")</f>
        <v/>
      </c>
      <c r="T214" s="79" t="str">
        <f>IF(ISERROR(FIND('112'!$M$9,G214,1)),"",IF((AND(FIND('112'!$M$9,G214,1)&gt;=1,B214='112'!$K$9,OR($N214='112'!$I$6,$O214='112'!$I$6))),"x",""))</f>
        <v/>
      </c>
      <c r="U214" s="79" t="str">
        <f>IF(ISERROR(FIND('112'!$M$9,G214,1)),"",IF((AND(LEFT(G214,2)=LEFT('112'!$M$9,2),B214&lt;'112'!$K$9,$N214='112'!$I$6)),"x",""))</f>
        <v/>
      </c>
      <c r="V214" s="79" t="str">
        <f>IF(ISERROR(FIND('112'!$M$9,G214,1)),"",IF((AND(RIGHT(G214,2)=RIGHT('112'!$M$9,2),B214&lt;'112'!$K$9,$O214='112'!$I$6)),"x",""))</f>
        <v/>
      </c>
      <c r="W214" s="79" t="str">
        <f>IF(AND('341-CT'!$H$9=H214,OR(LEFT(N214,3)=$W$7,LEFT(O214,3)=$W$7)),"x","")</f>
        <v/>
      </c>
      <c r="X214" s="79" t="str">
        <f>IF(OR(TH!N214=TH!$X$7,O214=TH!$X$7),"x","")</f>
        <v/>
      </c>
      <c r="Y214" s="79" t="str">
        <f>IF(AND(OR(N214="131",O214="131"),H214='131-CT'!$H$9),"x","")</f>
        <v/>
      </c>
      <c r="Z214" s="79"/>
      <c r="AA214" s="79" t="str">
        <f>IF(AND(MONTH(E214)='IN-NX'!$J$5,'IN-NX'!$D$7=D214),"x","")</f>
        <v/>
      </c>
      <c r="AB214" s="79" t="str">
        <f>IF(AND(OR(LEFT(TH!N214,2)="15",LEFT(TH!O214,2)="15"),LEFT(TH!O214,3)&lt;&gt;"111",'152-CT'!$J$8=TH!F214),"x","")</f>
        <v/>
      </c>
      <c r="AC214" s="79" t="str">
        <f>IF(AND(OR(LEFT(TH!N214,2)="15",LEFT(TH!O214,2)="15"),TK!$E$7=TH!F214),"x","")</f>
        <v/>
      </c>
      <c r="AD214" s="79" t="str">
        <f>IF(AND(N214="1521",MONTH(C214)='BK-NL'!$M$11),"x","")</f>
        <v/>
      </c>
    </row>
    <row r="215" spans="1:30" ht="16.5" customHeight="1">
      <c r="A215" s="318" t="str">
        <f>IF(B215&lt;&gt;"",IF(AND(B215='IN-TC'!$S$4,OR(TH!N215="1111",TH!O215="1111")),TH!D215,""),"")</f>
        <v/>
      </c>
      <c r="B215" s="1290">
        <f t="shared" si="24"/>
        <v>10</v>
      </c>
      <c r="C215" s="682">
        <v>43404</v>
      </c>
      <c r="D215" s="682" t="s">
        <v>532</v>
      </c>
      <c r="E215" s="682">
        <f t="shared" si="33"/>
        <v>43404</v>
      </c>
      <c r="F215" s="943" t="s">
        <v>733</v>
      </c>
      <c r="G215" s="259"/>
      <c r="H215" s="303"/>
      <c r="I215" s="385"/>
      <c r="J215" s="392"/>
      <c r="K215" s="385"/>
      <c r="L215" s="392"/>
      <c r="M215" s="686">
        <f>G205*$G214</f>
        <v>0</v>
      </c>
      <c r="N215" s="687" t="s">
        <v>541</v>
      </c>
      <c r="O215" s="687" t="s">
        <v>544</v>
      </c>
      <c r="P215" s="79" t="str">
        <f>IF(AND('331-CT'!$E$7=TH!H215,OR(N215="331",O215="331")),"x","")</f>
        <v/>
      </c>
      <c r="Q215" s="79" t="str">
        <f>IF(AND(B215='111'!$L$11,OR($N215=$Q$7,$O215=$Q$7)),"x","")</f>
        <v/>
      </c>
      <c r="R215" s="79" t="str">
        <f>IF(AND($N215=$Q$7,$B215&lt;'111'!$L$11),"x","")</f>
        <v/>
      </c>
      <c r="S215" s="79" t="str">
        <f>IF(AND($O215=$Q$7,$B215&lt;'111'!$L$11),"x","")</f>
        <v/>
      </c>
      <c r="T215" s="79" t="str">
        <f>IF(ISERROR(FIND('112'!$M$9,G215,1)),"",IF((AND(FIND('112'!$M$9,G215,1)&gt;=1,B215='112'!$K$9,OR($N215='112'!$I$6,$O215='112'!$I$6))),"x",""))</f>
        <v/>
      </c>
      <c r="U215" s="79" t="str">
        <f>IF(ISERROR(FIND('112'!$M$9,G215,1)),"",IF((AND(LEFT(G215,2)=LEFT('112'!$M$9,2),B215&lt;'112'!$K$9,$N215='112'!$I$6)),"x",""))</f>
        <v/>
      </c>
      <c r="V215" s="79" t="str">
        <f>IF(ISERROR(FIND('112'!$M$9,G215,1)),"",IF((AND(RIGHT(G215,2)=RIGHT('112'!$M$9,2),B215&lt;'112'!$K$9,$O215='112'!$I$6)),"x",""))</f>
        <v/>
      </c>
      <c r="W215" s="79" t="str">
        <f>IF(AND('341-CT'!$H$9=H215,OR(LEFT(N215,3)=$W$7,LEFT(O215,3)=$W$7)),"x","")</f>
        <v/>
      </c>
      <c r="X215" s="79" t="str">
        <f>IF(OR(TH!N215=TH!$X$7,O215=TH!$X$7),"x","")</f>
        <v/>
      </c>
      <c r="Y215" s="79" t="str">
        <f>IF(AND(OR(N215="131",O215="131"),H215='131-CT'!$H$9),"x","")</f>
        <v/>
      </c>
      <c r="Z215" s="79"/>
      <c r="AA215" s="79" t="str">
        <f>IF(AND(MONTH(E215)='IN-NX'!$J$5,'IN-NX'!$D$7=D215),"x","")</f>
        <v/>
      </c>
      <c r="AB215" s="79" t="str">
        <f>IF(AND(OR(LEFT(TH!N215,2)="15",LEFT(TH!O215,2)="15"),LEFT(TH!O215,3)&lt;&gt;"111",'152-CT'!$J$8=TH!F215),"x","")</f>
        <v/>
      </c>
      <c r="AC215" s="79" t="str">
        <f>IF(AND(OR(LEFT(TH!N215,2)="15",LEFT(TH!O215,2)="15"),TK!$E$7=TH!F215),"x","")</f>
        <v/>
      </c>
      <c r="AD215" s="79" t="str">
        <f>IF(AND(N215="1521",MONTH(C215)='BK-NL'!$M$11),"x","")</f>
        <v/>
      </c>
    </row>
    <row r="216" spans="1:30" ht="16.5" customHeight="1">
      <c r="A216" s="318" t="str">
        <f>IF(B216&lt;&gt;"",IF(AND(B216='IN-TC'!$S$4,OR(TH!N216="1111",TH!O216="1111")),TH!D216,""),"")</f>
        <v/>
      </c>
      <c r="B216" s="1290">
        <f t="shared" si="24"/>
        <v>10</v>
      </c>
      <c r="C216" s="682">
        <v>43404</v>
      </c>
      <c r="D216" s="682" t="s">
        <v>532</v>
      </c>
      <c r="E216" s="682">
        <f t="shared" si="33"/>
        <v>43404</v>
      </c>
      <c r="F216" s="943" t="s">
        <v>734</v>
      </c>
      <c r="G216" s="763" t="s">
        <v>536</v>
      </c>
      <c r="H216" s="901"/>
      <c r="I216" s="386"/>
      <c r="J216" s="393"/>
      <c r="K216" s="386"/>
      <c r="L216" s="393"/>
      <c r="M216" s="686">
        <f>M214</f>
        <v>0</v>
      </c>
      <c r="N216" s="687" t="s">
        <v>540</v>
      </c>
      <c r="O216" s="687" t="s">
        <v>544</v>
      </c>
      <c r="P216" s="79" t="str">
        <f>IF(AND('331-CT'!$E$7=TH!H216,OR(N216="331",O216="331")),"x","")</f>
        <v/>
      </c>
      <c r="Q216" s="79" t="str">
        <f>IF(AND(B216='111'!$L$11,OR($N216=$Q$7,$O216=$Q$7)),"x","")</f>
        <v/>
      </c>
      <c r="R216" s="79" t="str">
        <f>IF(AND($N216=$Q$7,$B216&lt;'111'!$L$11),"x","")</f>
        <v/>
      </c>
      <c r="S216" s="79" t="str">
        <f>IF(AND($O216=$Q$7,$B216&lt;'111'!$L$11),"x","")</f>
        <v/>
      </c>
      <c r="T216" s="79" t="str">
        <f>IF(ISERROR(FIND('112'!$M$9,G216,1)),"",IF((AND(FIND('112'!$M$9,G216,1)&gt;=1,B216='112'!$K$9,OR($N216='112'!$I$6,$O216='112'!$I$6))),"x",""))</f>
        <v/>
      </c>
      <c r="U216" s="79" t="str">
        <f>IF(ISERROR(FIND('112'!$M$9,G216,1)),"",IF((AND(LEFT(G216,2)=LEFT('112'!$M$9,2),B216&lt;'112'!$K$9,$N216='112'!$I$6)),"x",""))</f>
        <v/>
      </c>
      <c r="V216" s="79" t="str">
        <f>IF(ISERROR(FIND('112'!$M$9,G216,1)),"",IF((AND(RIGHT(G216,2)=RIGHT('112'!$M$9,2),B216&lt;'112'!$K$9,$O216='112'!$I$6)),"x",""))</f>
        <v/>
      </c>
      <c r="W216" s="79" t="str">
        <f>IF(AND('341-CT'!$H$9=H216,OR(LEFT(N216,3)=$W$7,LEFT(O216,3)=$W$7)),"x","")</f>
        <v/>
      </c>
      <c r="X216" s="79" t="str">
        <f>IF(OR(TH!N216=TH!$X$7,O216=TH!$X$7),"x","")</f>
        <v/>
      </c>
      <c r="Y216" s="79" t="str">
        <f>IF(AND(OR(N216="131",O216="131"),H216='131-CT'!$H$9),"x","")</f>
        <v/>
      </c>
      <c r="Z216" s="79"/>
      <c r="AA216" s="79" t="str">
        <f>IF(AND(MONTH(E216)='IN-NX'!$J$5,'IN-NX'!$D$7=D216),"x","")</f>
        <v/>
      </c>
      <c r="AB216" s="79" t="str">
        <f>IF(AND(OR(LEFT(TH!N216,2)="15",LEFT(TH!O216,2)="15"),LEFT(TH!O216,3)&lt;&gt;"111",'152-CT'!$J$8=TH!F216),"x","")</f>
        <v/>
      </c>
      <c r="AC216" s="79" t="str">
        <f>IF(AND(OR(LEFT(TH!N216,2)="15",LEFT(TH!O216,2)="15"),TK!$E$7=TH!F216),"x","")</f>
        <v/>
      </c>
      <c r="AD216" s="79" t="str">
        <f>IF(AND(N216="1521",MONTH(C216)='BK-NL'!$M$11),"x","")</f>
        <v/>
      </c>
    </row>
    <row r="217" spans="1:30" ht="16.5" customHeight="1">
      <c r="A217" s="318" t="str">
        <f>IF(B217&lt;&gt;"",IF(AND(B217='IN-TC'!$S$4,OR(TH!N217="1111",TH!O217="1111")),TH!D217,""),"")</f>
        <v/>
      </c>
      <c r="B217" s="1290">
        <f t="shared" si="24"/>
        <v>10</v>
      </c>
      <c r="C217" s="682">
        <v>43404</v>
      </c>
      <c r="D217" s="682" t="s">
        <v>532</v>
      </c>
      <c r="E217" s="682">
        <f t="shared" si="33"/>
        <v>43404</v>
      </c>
      <c r="F217" s="943" t="s">
        <v>735</v>
      </c>
      <c r="G217" s="259"/>
      <c r="H217" s="303"/>
      <c r="I217" s="385"/>
      <c r="J217" s="392"/>
      <c r="K217" s="385"/>
      <c r="L217" s="392"/>
      <c r="M217" s="686">
        <f>M215</f>
        <v>0</v>
      </c>
      <c r="N217" s="687" t="s">
        <v>272</v>
      </c>
      <c r="O217" s="687" t="s">
        <v>544</v>
      </c>
      <c r="P217" s="79" t="str">
        <f>IF(AND('331-CT'!$E$7=TH!H217,OR(N217="331",O217="331")),"x","")</f>
        <v/>
      </c>
      <c r="Q217" s="79" t="str">
        <f>IF(AND(B217='111'!$L$11,OR($N217=$Q$7,$O217=$Q$7)),"x","")</f>
        <v/>
      </c>
      <c r="R217" s="79" t="str">
        <f>IF(AND($N217=$Q$7,$B217&lt;'111'!$L$11),"x","")</f>
        <v/>
      </c>
      <c r="S217" s="79" t="str">
        <f>IF(AND($O217=$Q$7,$B217&lt;'111'!$L$11),"x","")</f>
        <v/>
      </c>
      <c r="T217" s="79" t="str">
        <f>IF(ISERROR(FIND('112'!$M$9,G217,1)),"",IF((AND(FIND('112'!$M$9,G217,1)&gt;=1,B217='112'!$K$9,OR($N217='112'!$I$6,$O217='112'!$I$6))),"x",""))</f>
        <v/>
      </c>
      <c r="U217" s="79" t="str">
        <f>IF(ISERROR(FIND('112'!$M$9,G217,1)),"",IF((AND(LEFT(G217,2)=LEFT('112'!$M$9,2),B217&lt;'112'!$K$9,$N217='112'!$I$6)),"x",""))</f>
        <v/>
      </c>
      <c r="V217" s="79" t="str">
        <f>IF(ISERROR(FIND('112'!$M$9,G217,1)),"",IF((AND(RIGHT(G217,2)=RIGHT('112'!$M$9,2),B217&lt;'112'!$K$9,$O217='112'!$I$6)),"x",""))</f>
        <v/>
      </c>
      <c r="W217" s="79" t="str">
        <f>IF(AND('341-CT'!$H$9=H217,OR(LEFT(N217,3)=$W$7,LEFT(O217,3)=$W$7)),"x","")</f>
        <v/>
      </c>
      <c r="X217" s="79" t="str">
        <f>IF(OR(TH!N217=TH!$X$7,O217=TH!$X$7),"x","")</f>
        <v/>
      </c>
      <c r="Y217" s="79" t="str">
        <f>IF(AND(OR(N217="131",O217="131"),H217='131-CT'!$H$9),"x","")</f>
        <v/>
      </c>
      <c r="Z217" s="79"/>
      <c r="AA217" s="79" t="str">
        <f>IF(AND(MONTH(E217)='IN-NX'!$J$5,'IN-NX'!$D$7=D217),"x","")</f>
        <v/>
      </c>
      <c r="AB217" s="79" t="str">
        <f>IF(AND(OR(LEFT(TH!N217,2)="15",LEFT(TH!O217,2)="15"),LEFT(TH!O217,3)&lt;&gt;"111",'152-CT'!$J$8=TH!F217),"x","")</f>
        <v/>
      </c>
      <c r="AC217" s="79" t="str">
        <f>IF(AND(OR(LEFT(TH!N217,2)="15",LEFT(TH!O217,2)="15"),TK!$E$7=TH!F217),"x","")</f>
        <v/>
      </c>
      <c r="AD217" s="79" t="str">
        <f>IF(AND(N217="1521",MONTH(C217)='BK-NL'!$M$11),"x","")</f>
        <v/>
      </c>
    </row>
    <row r="218" spans="1:30" ht="16.5" customHeight="1">
      <c r="A218" s="318" t="str">
        <f>IF(B218&lt;&gt;"",IF(AND(B218='IN-TC'!$S$4,OR(TH!N218="1111",TH!O218="1111")),TH!D218,""),"")</f>
        <v/>
      </c>
      <c r="B218" s="1290">
        <f t="shared" ref="B218:B219" si="34">IF(C218&lt;&gt;"",MONTH(C218),"")</f>
        <v>10</v>
      </c>
      <c r="C218" s="682">
        <v>43404</v>
      </c>
      <c r="D218" s="682" t="s">
        <v>532</v>
      </c>
      <c r="E218" s="682">
        <f t="shared" ref="E218:E219" si="35">C218</f>
        <v>43404</v>
      </c>
      <c r="F218" s="943" t="s">
        <v>954</v>
      </c>
      <c r="G218" s="763" t="s">
        <v>956</v>
      </c>
      <c r="H218" s="901"/>
      <c r="I218" s="386"/>
      <c r="J218" s="393"/>
      <c r="K218" s="386"/>
      <c r="L218" s="393"/>
      <c r="M218" s="686">
        <f>G204*$G218</f>
        <v>0</v>
      </c>
      <c r="N218" s="687" t="s">
        <v>540</v>
      </c>
      <c r="O218" s="687" t="s">
        <v>19</v>
      </c>
      <c r="P218" s="79" t="str">
        <f>IF(AND('331-CT'!$E$7=TH!H218,OR(N218="331",O218="331")),"x","")</f>
        <v/>
      </c>
      <c r="Q218" s="79" t="str">
        <f>IF(AND(B218='111'!$L$11,OR($N218=$Q$7,$O218=$Q$7)),"x","")</f>
        <v/>
      </c>
      <c r="R218" s="79" t="str">
        <f>IF(AND($N218=$Q$7,$B218&lt;'111'!$L$11),"x","")</f>
        <v/>
      </c>
      <c r="S218" s="79" t="str">
        <f>IF(AND($O218=$Q$7,$B218&lt;'111'!$L$11),"x","")</f>
        <v/>
      </c>
      <c r="T218" s="79" t="str">
        <f>IF(ISERROR(FIND('112'!$M$9,G218,1)),"",IF((AND(FIND('112'!$M$9,G218,1)&gt;=1,B218='112'!$K$9,OR($N218='112'!$I$6,$O218='112'!$I$6))),"x",""))</f>
        <v/>
      </c>
      <c r="U218" s="79" t="str">
        <f>IF(ISERROR(FIND('112'!$M$9,G218,1)),"",IF((AND(LEFT(G218,2)=LEFT('112'!$M$9,2),B218&lt;'112'!$K$9,$N218='112'!$I$6)),"x",""))</f>
        <v/>
      </c>
      <c r="V218" s="79" t="str">
        <f>IF(ISERROR(FIND('112'!$M$9,G218,1)),"",IF((AND(RIGHT(G218,2)=RIGHT('112'!$M$9,2),B218&lt;'112'!$K$9,$O218='112'!$I$6)),"x",""))</f>
        <v/>
      </c>
      <c r="W218" s="79" t="str">
        <f>IF(AND('341-CT'!$H$9=H218,OR(LEFT(N218,3)=$W$7,LEFT(O218,3)=$W$7)),"x","")</f>
        <v/>
      </c>
      <c r="X218" s="79" t="str">
        <f>IF(OR(TH!N218=TH!$X$7,O218=TH!$X$7),"x","")</f>
        <v/>
      </c>
      <c r="Y218" s="79" t="str">
        <f>IF(AND(OR(N218="131",O218="131"),H218='131-CT'!$H$9),"x","")</f>
        <v/>
      </c>
      <c r="Z218" s="79"/>
      <c r="AA218" s="79" t="str">
        <f>IF(AND(MONTH(E218)='IN-NX'!$J$5,'IN-NX'!$D$7=D218),"x","")</f>
        <v/>
      </c>
      <c r="AB218" s="79" t="str">
        <f>IF(AND(OR(LEFT(TH!N218,2)="15",LEFT(TH!O218,2)="15"),LEFT(TH!O218,3)&lt;&gt;"111",'152-CT'!$J$8=TH!F218),"x","")</f>
        <v/>
      </c>
      <c r="AC218" s="79" t="str">
        <f>IF(AND(OR(LEFT(TH!N218,2)="15",LEFT(TH!O218,2)="15"),TK!$E$7=TH!F218),"x","")</f>
        <v/>
      </c>
      <c r="AD218" s="79" t="str">
        <f>IF(AND(N218="1521",MONTH(C218)='BK-NL'!$M$11),"x","")</f>
        <v/>
      </c>
    </row>
    <row r="219" spans="1:30" ht="16.5" customHeight="1">
      <c r="A219" s="318" t="str">
        <f>IF(B219&lt;&gt;"",IF(AND(B219='IN-TC'!$S$4,OR(TH!N219="1111",TH!O219="1111")),TH!D219,""),"")</f>
        <v/>
      </c>
      <c r="B219" s="1290">
        <f t="shared" si="34"/>
        <v>10</v>
      </c>
      <c r="C219" s="682">
        <v>43404</v>
      </c>
      <c r="D219" s="682" t="s">
        <v>532</v>
      </c>
      <c r="E219" s="682">
        <f t="shared" si="35"/>
        <v>43404</v>
      </c>
      <c r="F219" s="943" t="s">
        <v>955</v>
      </c>
      <c r="G219" s="259"/>
      <c r="H219" s="303"/>
      <c r="I219" s="385"/>
      <c r="J219" s="392"/>
      <c r="K219" s="385"/>
      <c r="L219" s="392"/>
      <c r="M219" s="686">
        <f>G205*$G218</f>
        <v>0</v>
      </c>
      <c r="N219" s="687" t="s">
        <v>272</v>
      </c>
      <c r="O219" s="687" t="s">
        <v>19</v>
      </c>
      <c r="P219" s="79" t="str">
        <f>IF(AND('331-CT'!$E$7=TH!H219,OR(N219="331",O219="331")),"x","")</f>
        <v/>
      </c>
      <c r="Q219" s="79" t="str">
        <f>IF(AND(B219='111'!$L$11,OR($N219=$Q$7,$O219=$Q$7)),"x","")</f>
        <v/>
      </c>
      <c r="R219" s="79" t="str">
        <f>IF(AND($N219=$Q$7,$B219&lt;'111'!$L$11),"x","")</f>
        <v/>
      </c>
      <c r="S219" s="79" t="str">
        <f>IF(AND($O219=$Q$7,$B219&lt;'111'!$L$11),"x","")</f>
        <v/>
      </c>
      <c r="T219" s="79" t="str">
        <f>IF(ISERROR(FIND('112'!$M$9,G219,1)),"",IF((AND(FIND('112'!$M$9,G219,1)&gt;=1,B219='112'!$K$9,OR($N219='112'!$I$6,$O219='112'!$I$6))),"x",""))</f>
        <v/>
      </c>
      <c r="U219" s="79" t="str">
        <f>IF(ISERROR(FIND('112'!$M$9,G219,1)),"",IF((AND(LEFT(G219,2)=LEFT('112'!$M$9,2),B219&lt;'112'!$K$9,$N219='112'!$I$6)),"x",""))</f>
        <v/>
      </c>
      <c r="V219" s="79" t="str">
        <f>IF(ISERROR(FIND('112'!$M$9,G219,1)),"",IF((AND(RIGHT(G219,2)=RIGHT('112'!$M$9,2),B219&lt;'112'!$K$9,$O219='112'!$I$6)),"x",""))</f>
        <v/>
      </c>
      <c r="W219" s="79" t="str">
        <f>IF(AND('341-CT'!$H$9=H219,OR(LEFT(N219,3)=$W$7,LEFT(O219,3)=$W$7)),"x","")</f>
        <v/>
      </c>
      <c r="X219" s="79" t="str">
        <f>IF(OR(TH!N219=TH!$X$7,O219=TH!$X$7),"x","")</f>
        <v/>
      </c>
      <c r="Y219" s="79" t="str">
        <f>IF(AND(OR(N219="131",O219="131"),H219='131-CT'!$H$9),"x","")</f>
        <v/>
      </c>
      <c r="Z219" s="79"/>
      <c r="AA219" s="79" t="str">
        <f>IF(AND(MONTH(E219)='IN-NX'!$J$5,'IN-NX'!$D$7=D219),"x","")</f>
        <v/>
      </c>
      <c r="AB219" s="79" t="str">
        <f>IF(AND(OR(LEFT(TH!N219,2)="15",LEFT(TH!O219,2)="15"),LEFT(TH!O219,3)&lt;&gt;"111",'152-CT'!$J$8=TH!F219),"x","")</f>
        <v/>
      </c>
      <c r="AC219" s="79" t="str">
        <f>IF(AND(OR(LEFT(TH!N219,2)="15",LEFT(TH!O219,2)="15"),TK!$E$7=TH!F219),"x","")</f>
        <v/>
      </c>
      <c r="AD219" s="79" t="str">
        <f>IF(AND(N219="1521",MONTH(C219)='BK-NL'!$M$11),"x","")</f>
        <v/>
      </c>
    </row>
    <row r="220" spans="1:30" ht="16.5" customHeight="1">
      <c r="A220" s="318" t="str">
        <f>IF(B220&lt;&gt;"",IF(AND(B220='IN-TC'!$S$4,OR(TH!N220="1111",TH!O220="1111")),TH!D220,""),"")</f>
        <v/>
      </c>
      <c r="B220" s="1291">
        <f t="shared" si="24"/>
        <v>11</v>
      </c>
      <c r="C220" s="682">
        <v>43434</v>
      </c>
      <c r="D220" s="682" t="s">
        <v>532</v>
      </c>
      <c r="E220" s="682">
        <f t="shared" si="33"/>
        <v>43434</v>
      </c>
      <c r="F220" s="943" t="s">
        <v>722</v>
      </c>
      <c r="G220" s="259"/>
      <c r="H220" s="303"/>
      <c r="I220" s="385"/>
      <c r="J220" s="392"/>
      <c r="K220" s="385"/>
      <c r="L220" s="392"/>
      <c r="M220" s="686"/>
      <c r="N220" s="687" t="s">
        <v>540</v>
      </c>
      <c r="O220" s="687" t="s">
        <v>541</v>
      </c>
      <c r="P220" s="79" t="str">
        <f>IF(AND('331-CT'!$E$7=TH!H220,OR(N220="331",O220="331")),"x","")</f>
        <v/>
      </c>
      <c r="Q220" s="79" t="str">
        <f>IF(AND(B220='111'!$L$11,OR($N220=$Q$7,$O220=$Q$7)),"x","")</f>
        <v/>
      </c>
      <c r="R220" s="79" t="str">
        <f>IF(AND($N220=$Q$7,$B220&lt;'111'!$L$11),"x","")</f>
        <v/>
      </c>
      <c r="S220" s="79" t="str">
        <f>IF(AND($O220=$Q$7,$B220&lt;'111'!$L$11),"x","")</f>
        <v/>
      </c>
      <c r="T220" s="79" t="str">
        <f>IF(ISERROR(FIND('112'!$M$9,G220,1)),"",IF((AND(FIND('112'!$M$9,G220,1)&gt;=1,B220='112'!$K$9,OR($N220='112'!$I$6,$O220='112'!$I$6))),"x",""))</f>
        <v/>
      </c>
      <c r="U220" s="79" t="str">
        <f>IF(ISERROR(FIND('112'!$M$9,G220,1)),"",IF((AND(LEFT(G220,2)=LEFT('112'!$M$9,2),B220&lt;'112'!$K$9,$N220='112'!$I$6)),"x",""))</f>
        <v/>
      </c>
      <c r="V220" s="79" t="str">
        <f>IF(ISERROR(FIND('112'!$M$9,G220,1)),"",IF((AND(RIGHT(G220,2)=RIGHT('112'!$M$9,2),B220&lt;'112'!$K$9,$O220='112'!$I$6)),"x",""))</f>
        <v/>
      </c>
      <c r="W220" s="79" t="str">
        <f>IF(AND('341-CT'!$H$9=H220,OR(LEFT(N220,3)=$W$7,LEFT(O220,3)=$W$7)),"x","")</f>
        <v/>
      </c>
      <c r="X220" s="79" t="str">
        <f>IF(OR(TH!N220=TH!$X$7,O220=TH!$X$7),"x","")</f>
        <v/>
      </c>
      <c r="Y220" s="79" t="str">
        <f>IF(AND(OR(N220="131",O220="131"),H220='131-CT'!$H$9),"x","")</f>
        <v/>
      </c>
      <c r="Z220" s="79"/>
      <c r="AA220" s="79" t="str">
        <f>IF(AND(MONTH(E220)='IN-NX'!$J$5,'IN-NX'!$D$7=D220),"x","")</f>
        <v/>
      </c>
      <c r="AB220" s="79" t="str">
        <f>IF(AND(OR(LEFT(TH!N220,2)="15",LEFT(TH!O220,2)="15"),LEFT(TH!O220,3)&lt;&gt;"111",'152-CT'!$J$8=TH!F220),"x","")</f>
        <v/>
      </c>
      <c r="AC220" s="79" t="str">
        <f>IF(AND(OR(LEFT(TH!N220,2)="15",LEFT(TH!O220,2)="15"),TK!$E$7=TH!F220),"x","")</f>
        <v/>
      </c>
      <c r="AD220" s="79" t="str">
        <f>IF(AND(N220="1521",MONTH(C220)='BK-NL'!$M$11),"x","")</f>
        <v/>
      </c>
    </row>
    <row r="221" spans="1:30" ht="16.5" customHeight="1">
      <c r="A221" s="318" t="str">
        <f>IF(B221&lt;&gt;"",IF(AND(B221='IN-TC'!$S$4,OR(TH!N221="1111",TH!O221="1111")),TH!D221,""),"")</f>
        <v/>
      </c>
      <c r="B221" s="1291">
        <f t="shared" si="24"/>
        <v>11</v>
      </c>
      <c r="C221" s="682">
        <v>43434</v>
      </c>
      <c r="D221" s="682" t="s">
        <v>532</v>
      </c>
      <c r="E221" s="682">
        <f t="shared" si="33"/>
        <v>43434</v>
      </c>
      <c r="F221" s="943" t="s">
        <v>723</v>
      </c>
      <c r="G221" s="259"/>
      <c r="H221" s="303"/>
      <c r="I221" s="385"/>
      <c r="J221" s="392"/>
      <c r="K221" s="385"/>
      <c r="L221" s="392"/>
      <c r="M221" s="686"/>
      <c r="N221" s="687" t="s">
        <v>272</v>
      </c>
      <c r="O221" s="687" t="s">
        <v>541</v>
      </c>
      <c r="P221" s="79" t="str">
        <f>IF(AND('331-CT'!$E$7=TH!H221,OR(N221="331",O221="331")),"x","")</f>
        <v/>
      </c>
      <c r="Q221" s="79" t="str">
        <f>IF(AND(B221='111'!$L$11,OR($N221=$Q$7,$O221=$Q$7)),"x","")</f>
        <v/>
      </c>
      <c r="R221" s="79" t="str">
        <f>IF(AND($N221=$Q$7,$B221&lt;'111'!$L$11),"x","")</f>
        <v/>
      </c>
      <c r="S221" s="79" t="str">
        <f>IF(AND($O221=$Q$7,$B221&lt;'111'!$L$11),"x","")</f>
        <v/>
      </c>
      <c r="T221" s="79" t="str">
        <f>IF(ISERROR(FIND('112'!$M$9,G221,1)),"",IF((AND(FIND('112'!$M$9,G221,1)&gt;=1,B221='112'!$K$9,OR($N221='112'!$I$6,$O221='112'!$I$6))),"x",""))</f>
        <v/>
      </c>
      <c r="U221" s="79" t="str">
        <f>IF(ISERROR(FIND('112'!$M$9,G221,1)),"",IF((AND(LEFT(G221,2)=LEFT('112'!$M$9,2),B221&lt;'112'!$K$9,$N221='112'!$I$6)),"x",""))</f>
        <v/>
      </c>
      <c r="V221" s="79" t="str">
        <f>IF(ISERROR(FIND('112'!$M$9,G221,1)),"",IF((AND(RIGHT(G221,2)=RIGHT('112'!$M$9,2),B221&lt;'112'!$K$9,$O221='112'!$I$6)),"x",""))</f>
        <v/>
      </c>
      <c r="W221" s="79" t="str">
        <f>IF(AND('341-CT'!$H$9=H221,OR(LEFT(N221,3)=$W$7,LEFT(O221,3)=$W$7)),"x","")</f>
        <v/>
      </c>
      <c r="X221" s="79" t="str">
        <f>IF(OR(TH!N221=TH!$X$7,O221=TH!$X$7),"x","")</f>
        <v/>
      </c>
      <c r="Y221" s="79" t="str">
        <f>IF(AND(OR(N221="131",O221="131"),H221='131-CT'!$H$9),"x","")</f>
        <v/>
      </c>
      <c r="Z221" s="79"/>
      <c r="AA221" s="79" t="str">
        <f>IF(AND(MONTH(E221)='IN-NX'!$J$5,'IN-NX'!$D$7=D221),"x","")</f>
        <v/>
      </c>
      <c r="AB221" s="79" t="str">
        <f>IF(AND(OR(LEFT(TH!N221,2)="15",LEFT(TH!O221,2)="15"),LEFT(TH!O221,3)&lt;&gt;"111",'152-CT'!$J$8=TH!F221),"x","")</f>
        <v/>
      </c>
      <c r="AC221" s="79" t="str">
        <f>IF(AND(OR(LEFT(TH!N221,2)="15",LEFT(TH!O221,2)="15"),TK!$E$7=TH!F221),"x","")</f>
        <v/>
      </c>
      <c r="AD221" s="79" t="str">
        <f>IF(AND(N221="1521",MONTH(C221)='BK-NL'!$M$11),"x","")</f>
        <v/>
      </c>
    </row>
    <row r="222" spans="1:30" ht="16.5" customHeight="1">
      <c r="A222" s="318" t="str">
        <f>IF(B222&lt;&gt;"",IF(AND(B222='IN-TC'!$S$4,OR(TH!N222="1111",TH!O222="1111")),TH!D222,""),"")</f>
        <v/>
      </c>
      <c r="B222" s="1291">
        <f t="shared" si="24"/>
        <v>11</v>
      </c>
      <c r="C222" s="682">
        <v>43434</v>
      </c>
      <c r="D222" s="682" t="s">
        <v>532</v>
      </c>
      <c r="E222" s="682">
        <f t="shared" si="33"/>
        <v>43434</v>
      </c>
      <c r="F222" s="943" t="s">
        <v>724</v>
      </c>
      <c r="G222" s="763" t="s">
        <v>533</v>
      </c>
      <c r="H222" s="303"/>
      <c r="I222" s="385"/>
      <c r="J222" s="392"/>
      <c r="K222" s="385"/>
      <c r="L222" s="392"/>
      <c r="M222" s="686">
        <f>G220*$G222</f>
        <v>0</v>
      </c>
      <c r="N222" s="687" t="s">
        <v>541</v>
      </c>
      <c r="O222" s="687" t="s">
        <v>542</v>
      </c>
      <c r="P222" s="79" t="str">
        <f>IF(AND('331-CT'!$E$7=TH!H222,OR(N222="331",O222="331")),"x","")</f>
        <v/>
      </c>
      <c r="Q222" s="79" t="str">
        <f>IF(AND(B222='111'!$L$11,OR($N222=$Q$7,$O222=$Q$7)),"x","")</f>
        <v/>
      </c>
      <c r="R222" s="79" t="str">
        <f>IF(AND($N222=$Q$7,$B222&lt;'111'!$L$11),"x","")</f>
        <v/>
      </c>
      <c r="S222" s="79" t="str">
        <f>IF(AND($O222=$Q$7,$B222&lt;'111'!$L$11),"x","")</f>
        <v/>
      </c>
      <c r="T222" s="79" t="str">
        <f>IF(ISERROR(FIND('112'!$M$9,G222,1)),"",IF((AND(FIND('112'!$M$9,G222,1)&gt;=1,B222='112'!$K$9,OR($N222='112'!$I$6,$O222='112'!$I$6))),"x",""))</f>
        <v/>
      </c>
      <c r="U222" s="79" t="str">
        <f>IF(ISERROR(FIND('112'!$M$9,G222,1)),"",IF((AND(LEFT(G222,2)=LEFT('112'!$M$9,2),B222&lt;'112'!$K$9,$N222='112'!$I$6)),"x",""))</f>
        <v/>
      </c>
      <c r="V222" s="79" t="str">
        <f>IF(ISERROR(FIND('112'!$M$9,G222,1)),"",IF((AND(RIGHT(G222,2)=RIGHT('112'!$M$9,2),B222&lt;'112'!$K$9,$O222='112'!$I$6)),"x",""))</f>
        <v/>
      </c>
      <c r="W222" s="79" t="str">
        <f>IF(AND('341-CT'!$H$9=H222,OR(LEFT(N222,3)=$W$7,LEFT(O222,3)=$W$7)),"x","")</f>
        <v/>
      </c>
      <c r="X222" s="79" t="str">
        <f>IF(OR(TH!N222=TH!$X$7,O222=TH!$X$7),"x","")</f>
        <v/>
      </c>
      <c r="Y222" s="79" t="str">
        <f>IF(AND(OR(N222="131",O222="131"),H222='131-CT'!$H$9),"x","")</f>
        <v/>
      </c>
      <c r="Z222" s="79"/>
      <c r="AA222" s="79" t="str">
        <f>IF(AND(MONTH(E222)='IN-NX'!$J$5,'IN-NX'!$D$7=D222),"x","")</f>
        <v/>
      </c>
      <c r="AB222" s="79" t="str">
        <f>IF(AND(OR(LEFT(TH!N222,2)="15",LEFT(TH!O222,2)="15"),LEFT(TH!O222,3)&lt;&gt;"111",'152-CT'!$J$8=TH!F222),"x","")</f>
        <v/>
      </c>
      <c r="AC222" s="79" t="str">
        <f>IF(AND(OR(LEFT(TH!N222,2)="15",LEFT(TH!O222,2)="15"),TK!$E$7=TH!F222),"x","")</f>
        <v/>
      </c>
      <c r="AD222" s="79" t="str">
        <f>IF(AND(N222="1521",MONTH(C222)='BK-NL'!$M$11),"x","")</f>
        <v/>
      </c>
    </row>
    <row r="223" spans="1:30" ht="16.5" customHeight="1">
      <c r="A223" s="318" t="str">
        <f>IF(B223&lt;&gt;"",IF(AND(B223='IN-TC'!$S$4,OR(TH!N223="1111",TH!O223="1111")),TH!D223,""),"")</f>
        <v/>
      </c>
      <c r="B223" s="1291">
        <f t="shared" si="24"/>
        <v>11</v>
      </c>
      <c r="C223" s="682">
        <v>43434</v>
      </c>
      <c r="D223" s="682" t="s">
        <v>532</v>
      </c>
      <c r="E223" s="682">
        <f t="shared" si="33"/>
        <v>43434</v>
      </c>
      <c r="F223" s="943" t="s">
        <v>725</v>
      </c>
      <c r="G223" s="259"/>
      <c r="H223" s="303"/>
      <c r="I223" s="385"/>
      <c r="J223" s="392"/>
      <c r="K223" s="385"/>
      <c r="L223" s="392"/>
      <c r="M223" s="686">
        <f>G221*$G222</f>
        <v>0</v>
      </c>
      <c r="N223" s="688" t="s">
        <v>541</v>
      </c>
      <c r="O223" s="689" t="s">
        <v>542</v>
      </c>
      <c r="P223" s="79" t="str">
        <f>IF(AND('331-CT'!$E$7=TH!H223,OR(N223="331",O223="331")),"x","")</f>
        <v/>
      </c>
      <c r="Q223" s="79" t="str">
        <f>IF(AND(B223='111'!$L$11,OR($N223=$Q$7,$O223=$Q$7)),"x","")</f>
        <v/>
      </c>
      <c r="R223" s="79" t="str">
        <f>IF(AND($N223=$Q$7,$B223&lt;'111'!$L$11),"x","")</f>
        <v/>
      </c>
      <c r="S223" s="79" t="str">
        <f>IF(AND($O223=$Q$7,$B223&lt;'111'!$L$11),"x","")</f>
        <v/>
      </c>
      <c r="T223" s="79" t="str">
        <f>IF(ISERROR(FIND('112'!$M$9,G223,1)),"",IF((AND(FIND('112'!$M$9,G223,1)&gt;=1,B223='112'!$K$9,OR($N223='112'!$I$6,$O223='112'!$I$6))),"x",""))</f>
        <v/>
      </c>
      <c r="U223" s="79" t="str">
        <f>IF(ISERROR(FIND('112'!$M$9,G223,1)),"",IF((AND(LEFT(G223,2)=LEFT('112'!$M$9,2),B223&lt;'112'!$K$9,$N223='112'!$I$6)),"x",""))</f>
        <v/>
      </c>
      <c r="V223" s="79" t="str">
        <f>IF(ISERROR(FIND('112'!$M$9,G223,1)),"",IF((AND(RIGHT(G223,2)=RIGHT('112'!$M$9,2),B223&lt;'112'!$K$9,$O223='112'!$I$6)),"x",""))</f>
        <v/>
      </c>
      <c r="W223" s="79" t="str">
        <f>IF(AND('341-CT'!$H$9=H223,OR(LEFT(N223,3)=$W$7,LEFT(O223,3)=$W$7)),"x","")</f>
        <v/>
      </c>
      <c r="X223" s="79" t="str">
        <f>IF(OR(TH!N223=TH!$X$7,O223=TH!$X$7),"x","")</f>
        <v/>
      </c>
      <c r="Y223" s="79" t="str">
        <f>IF(AND(OR(N223="131",O223="131"),H223='131-CT'!$H$9),"x","")</f>
        <v/>
      </c>
      <c r="Z223" s="79"/>
      <c r="AA223" s="79" t="str">
        <f>IF(AND(MONTH(E223)='IN-NX'!$J$5,'IN-NX'!$D$7=D223),"x","")</f>
        <v/>
      </c>
      <c r="AB223" s="79" t="str">
        <f>IF(AND(OR(LEFT(TH!N223,2)="15",LEFT(TH!O223,2)="15"),LEFT(TH!O223,3)&lt;&gt;"111",'152-CT'!$J$8=TH!F223),"x","")</f>
        <v/>
      </c>
      <c r="AC223" s="79" t="str">
        <f>IF(AND(OR(LEFT(TH!N223,2)="15",LEFT(TH!O223,2)="15"),TK!$E$7=TH!F223),"x","")</f>
        <v/>
      </c>
      <c r="AD223" s="79" t="str">
        <f>IF(AND(N223="1521",MONTH(C223)='BK-NL'!$M$11),"x","")</f>
        <v/>
      </c>
    </row>
    <row r="224" spans="1:30" ht="16.5" customHeight="1">
      <c r="A224" s="318" t="str">
        <f>IF(B224&lt;&gt;"",IF(AND(B224='IN-TC'!$S$4,OR(TH!N224="1111",TH!O224="1111")),TH!D224,""),"")</f>
        <v/>
      </c>
      <c r="B224" s="1291">
        <f t="shared" si="24"/>
        <v>11</v>
      </c>
      <c r="C224" s="682">
        <v>43434</v>
      </c>
      <c r="D224" s="682" t="s">
        <v>532</v>
      </c>
      <c r="E224" s="682">
        <f t="shared" si="33"/>
        <v>43434</v>
      </c>
      <c r="F224" s="943" t="s">
        <v>726</v>
      </c>
      <c r="G224" s="763" t="s">
        <v>957</v>
      </c>
      <c r="H224" s="303"/>
      <c r="I224" s="385"/>
      <c r="J224" s="392"/>
      <c r="K224" s="385"/>
      <c r="L224" s="392"/>
      <c r="M224" s="686">
        <f>G220*$G224</f>
        <v>0</v>
      </c>
      <c r="N224" s="687" t="s">
        <v>540</v>
      </c>
      <c r="O224" s="687" t="s">
        <v>542</v>
      </c>
      <c r="P224" s="79" t="str">
        <f>IF(AND('331-CT'!$E$7=TH!H224,OR(N224="331",O224="331")),"x","")</f>
        <v/>
      </c>
      <c r="Q224" s="79" t="str">
        <f>IF(AND(B224='111'!$L$11,OR($N224=$Q$7,$O224=$Q$7)),"x","")</f>
        <v/>
      </c>
      <c r="R224" s="79" t="str">
        <f>IF(AND($N224=$Q$7,$B224&lt;'111'!$L$11),"x","")</f>
        <v/>
      </c>
      <c r="S224" s="79" t="str">
        <f>IF(AND($O224=$Q$7,$B224&lt;'111'!$L$11),"x","")</f>
        <v/>
      </c>
      <c r="T224" s="79" t="str">
        <f>IF(ISERROR(FIND('112'!$M$9,G224,1)),"",IF((AND(FIND('112'!$M$9,G224,1)&gt;=1,B224='112'!$K$9,OR($N224='112'!$I$6,$O224='112'!$I$6))),"x",""))</f>
        <v/>
      </c>
      <c r="U224" s="79" t="str">
        <f>IF(ISERROR(FIND('112'!$M$9,G224,1)),"",IF((AND(LEFT(G224,2)=LEFT('112'!$M$9,2),B224&lt;'112'!$K$9,$N224='112'!$I$6)),"x",""))</f>
        <v/>
      </c>
      <c r="V224" s="79" t="str">
        <f>IF(ISERROR(FIND('112'!$M$9,G224,1)),"",IF((AND(RIGHT(G224,2)=RIGHT('112'!$M$9,2),B224&lt;'112'!$K$9,$O224='112'!$I$6)),"x",""))</f>
        <v/>
      </c>
      <c r="W224" s="79" t="str">
        <f>IF(AND('341-CT'!$H$9=H224,OR(LEFT(N224,3)=$W$7,LEFT(O224,3)=$W$7)),"x","")</f>
        <v/>
      </c>
      <c r="X224" s="79" t="str">
        <f>IF(OR(TH!N224=TH!$X$7,O224=TH!$X$7),"x","")</f>
        <v/>
      </c>
      <c r="Y224" s="79" t="str">
        <f>IF(AND(OR(N224="131",O224="131"),H224='131-CT'!$H$9),"x","")</f>
        <v/>
      </c>
      <c r="Z224" s="79"/>
      <c r="AA224" s="79" t="str">
        <f>IF(AND(MONTH(E224)='IN-NX'!$J$5,'IN-NX'!$D$7=D224),"x","")</f>
        <v/>
      </c>
      <c r="AB224" s="79" t="str">
        <f>IF(AND(OR(LEFT(TH!N224,2)="15",LEFT(TH!O224,2)="15"),LEFT(TH!O224,3)&lt;&gt;"111",'152-CT'!$J$8=TH!F224),"x","")</f>
        <v/>
      </c>
      <c r="AC224" s="79" t="str">
        <f>IF(AND(OR(LEFT(TH!N224,2)="15",LEFT(TH!O224,2)="15"),TK!$E$7=TH!F224),"x","")</f>
        <v/>
      </c>
      <c r="AD224" s="79" t="str">
        <f>IF(AND(N224="1521",MONTH(C224)='BK-NL'!$M$11),"x","")</f>
        <v/>
      </c>
    </row>
    <row r="225" spans="1:30" ht="16.5" customHeight="1">
      <c r="A225" s="318" t="str">
        <f>IF(B225&lt;&gt;"",IF(AND(B225='IN-TC'!$S$4,OR(TH!N225="1111",TH!O225="1111")),TH!D225,""),"")</f>
        <v/>
      </c>
      <c r="B225" s="1291">
        <f t="shared" si="24"/>
        <v>11</v>
      </c>
      <c r="C225" s="682">
        <v>43434</v>
      </c>
      <c r="D225" s="682" t="s">
        <v>532</v>
      </c>
      <c r="E225" s="682">
        <f t="shared" si="33"/>
        <v>43434</v>
      </c>
      <c r="F225" s="943" t="s">
        <v>727</v>
      </c>
      <c r="G225" s="259"/>
      <c r="H225" s="303"/>
      <c r="I225" s="385"/>
      <c r="J225" s="392"/>
      <c r="K225" s="385"/>
      <c r="L225" s="392"/>
      <c r="M225" s="686">
        <f>G221*$G224</f>
        <v>0</v>
      </c>
      <c r="N225" s="687" t="s">
        <v>272</v>
      </c>
      <c r="O225" s="687" t="s">
        <v>542</v>
      </c>
      <c r="P225" s="79" t="str">
        <f>IF(AND('331-CT'!$E$7=TH!H225,OR(N225="331",O225="331")),"x","")</f>
        <v/>
      </c>
      <c r="Q225" s="79" t="str">
        <f>IF(AND(B225='111'!$L$11,OR($N225=$Q$7,$O225=$Q$7)),"x","")</f>
        <v/>
      </c>
      <c r="R225" s="79" t="str">
        <f>IF(AND($N225=$Q$7,$B225&lt;'111'!$L$11),"x","")</f>
        <v/>
      </c>
      <c r="S225" s="79" t="str">
        <f>IF(AND($O225=$Q$7,$B225&lt;'111'!$L$11),"x","")</f>
        <v/>
      </c>
      <c r="T225" s="79" t="str">
        <f>IF(ISERROR(FIND('112'!$M$9,G225,1)),"",IF((AND(FIND('112'!$M$9,G225,1)&gt;=1,B225='112'!$K$9,OR($N225='112'!$I$6,$O225='112'!$I$6))),"x",""))</f>
        <v/>
      </c>
      <c r="U225" s="79" t="str">
        <f>IF(ISERROR(FIND('112'!$M$9,G225,1)),"",IF((AND(LEFT(G225,2)=LEFT('112'!$M$9,2),B225&lt;'112'!$K$9,$N225='112'!$I$6)),"x",""))</f>
        <v/>
      </c>
      <c r="V225" s="79" t="str">
        <f>IF(ISERROR(FIND('112'!$M$9,G225,1)),"",IF((AND(RIGHT(G225,2)=RIGHT('112'!$M$9,2),B225&lt;'112'!$K$9,$O225='112'!$I$6)),"x",""))</f>
        <v/>
      </c>
      <c r="W225" s="79" t="str">
        <f>IF(AND('341-CT'!$H$9=H225,OR(LEFT(N225,3)=$W$7,LEFT(O225,3)=$W$7)),"x","")</f>
        <v/>
      </c>
      <c r="X225" s="79" t="str">
        <f>IF(OR(TH!N225=TH!$X$7,O225=TH!$X$7),"x","")</f>
        <v/>
      </c>
      <c r="Y225" s="79" t="str">
        <f>IF(AND(OR(N225="131",O225="131"),H225='131-CT'!$H$9),"x","")</f>
        <v/>
      </c>
      <c r="Z225" s="79"/>
      <c r="AA225" s="79" t="str">
        <f>IF(AND(MONTH(E225)='IN-NX'!$J$5,'IN-NX'!$D$7=D225),"x","")</f>
        <v/>
      </c>
      <c r="AB225" s="79" t="str">
        <f>IF(AND(OR(LEFT(TH!N225,2)="15",LEFT(TH!O225,2)="15"),LEFT(TH!O225,3)&lt;&gt;"111",'152-CT'!$J$8=TH!F225),"x","")</f>
        <v/>
      </c>
      <c r="AC225" s="79" t="str">
        <f>IF(AND(OR(LEFT(TH!N225,2)="15",LEFT(TH!O225,2)="15"),TK!$E$7=TH!F225),"x","")</f>
        <v/>
      </c>
      <c r="AD225" s="79" t="str">
        <f>IF(AND(N225="1521",MONTH(C225)='BK-NL'!$M$11),"x","")</f>
        <v/>
      </c>
    </row>
    <row r="226" spans="1:30" ht="16.5" customHeight="1">
      <c r="A226" s="318" t="str">
        <f>IF(B226&lt;&gt;"",IF(AND(B226='IN-TC'!$S$4,OR(TH!N226="1111",TH!O226="1111")),TH!D226,""),"")</f>
        <v/>
      </c>
      <c r="B226" s="1291">
        <f t="shared" si="24"/>
        <v>11</v>
      </c>
      <c r="C226" s="682">
        <v>43434</v>
      </c>
      <c r="D226" s="682" t="s">
        <v>532</v>
      </c>
      <c r="E226" s="682">
        <f t="shared" ref="E226:E241" si="36">C226</f>
        <v>43434</v>
      </c>
      <c r="F226" s="943" t="s">
        <v>728</v>
      </c>
      <c r="G226" s="763" t="s">
        <v>534</v>
      </c>
      <c r="H226" s="305"/>
      <c r="I226" s="383"/>
      <c r="J226" s="390"/>
      <c r="K226" s="383"/>
      <c r="L226" s="390"/>
      <c r="M226" s="686">
        <f>ROUND(G220*$G226,0)</f>
        <v>0</v>
      </c>
      <c r="N226" s="687" t="s">
        <v>541</v>
      </c>
      <c r="O226" s="687" t="s">
        <v>543</v>
      </c>
      <c r="P226" s="79" t="str">
        <f>IF(AND('331-CT'!$E$7=TH!H226,OR(N226="331",O226="331")),"x","")</f>
        <v/>
      </c>
      <c r="Q226" s="79" t="str">
        <f>IF(AND(B226='111'!$L$11,OR($N226=$Q$7,$O226=$Q$7)),"x","")</f>
        <v/>
      </c>
      <c r="R226" s="79" t="str">
        <f>IF(AND($N226=$Q$7,$B226&lt;'111'!$L$11),"x","")</f>
        <v/>
      </c>
      <c r="S226" s="79" t="str">
        <f>IF(AND($O226=$Q$7,$B226&lt;'111'!$L$11),"x","")</f>
        <v/>
      </c>
      <c r="T226" s="79" t="str">
        <f>IF(ISERROR(FIND('112'!$M$9,G226,1)),"",IF((AND(FIND('112'!$M$9,G226,1)&gt;=1,B226='112'!$K$9,OR($N226='112'!$I$6,$O226='112'!$I$6))),"x",""))</f>
        <v/>
      </c>
      <c r="U226" s="79" t="str">
        <f>IF(ISERROR(FIND('112'!$M$9,G226,1)),"",IF((AND(LEFT(G226,2)=LEFT('112'!$M$9,2),B226&lt;'112'!$K$9,$N226='112'!$I$6)),"x",""))</f>
        <v/>
      </c>
      <c r="V226" s="79" t="str">
        <f>IF(ISERROR(FIND('112'!$M$9,G226,1)),"",IF((AND(RIGHT(G226,2)=RIGHT('112'!$M$9,2),B226&lt;'112'!$K$9,$O226='112'!$I$6)),"x",""))</f>
        <v/>
      </c>
      <c r="W226" s="79" t="str">
        <f>IF(AND('341-CT'!$H$9=H226,OR(LEFT(N226,3)=$W$7,LEFT(O226,3)=$W$7)),"x","")</f>
        <v/>
      </c>
      <c r="X226" s="79" t="str">
        <f>IF(OR(TH!N226=TH!$X$7,O226=TH!$X$7),"x","")</f>
        <v/>
      </c>
      <c r="Y226" s="79" t="str">
        <f>IF(AND(OR(N226="131",O226="131"),H226='131-CT'!$H$9),"x","")</f>
        <v/>
      </c>
      <c r="Z226" s="79"/>
      <c r="AA226" s="79" t="str">
        <f>IF(AND(MONTH(E226)='IN-NX'!$J$5,'IN-NX'!$D$7=D226),"x","")</f>
        <v/>
      </c>
      <c r="AB226" s="79" t="str">
        <f>IF(AND(OR(LEFT(TH!N226,2)="15",LEFT(TH!O226,2)="15"),LEFT(TH!O226,3)&lt;&gt;"111",'152-CT'!$J$8=TH!F226),"x","")</f>
        <v/>
      </c>
      <c r="AC226" s="79" t="str">
        <f>IF(AND(OR(LEFT(TH!N226,2)="15",LEFT(TH!O226,2)="15"),TK!$E$7=TH!F226),"x","")</f>
        <v/>
      </c>
      <c r="AD226" s="79" t="str">
        <f>IF(AND(N226="1521",MONTH(C226)='BK-NL'!$M$11),"x","")</f>
        <v/>
      </c>
    </row>
    <row r="227" spans="1:30" ht="16.5" customHeight="1">
      <c r="A227" s="318" t="str">
        <f>IF(B227&lt;&gt;"",IF(AND(B227='IN-TC'!$S$4,OR(TH!N227="1111",TH!O227="1111")),TH!D227,""),"")</f>
        <v/>
      </c>
      <c r="B227" s="1291">
        <f t="shared" si="24"/>
        <v>11</v>
      </c>
      <c r="C227" s="682">
        <v>43434</v>
      </c>
      <c r="D227" s="682" t="s">
        <v>532</v>
      </c>
      <c r="E227" s="682">
        <f t="shared" si="36"/>
        <v>43434</v>
      </c>
      <c r="F227" s="943" t="s">
        <v>729</v>
      </c>
      <c r="G227" s="259"/>
      <c r="H227" s="305"/>
      <c r="I227" s="383"/>
      <c r="J227" s="390"/>
      <c r="K227" s="383"/>
      <c r="L227" s="390"/>
      <c r="M227" s="686">
        <f>ROUND(G221*$G226,0)</f>
        <v>0</v>
      </c>
      <c r="N227" s="687" t="s">
        <v>541</v>
      </c>
      <c r="O227" s="687" t="s">
        <v>543</v>
      </c>
      <c r="P227" s="79" t="str">
        <f>IF(AND('331-CT'!$E$7=TH!H227,OR(N227="331",O227="331")),"x","")</f>
        <v/>
      </c>
      <c r="Q227" s="79" t="str">
        <f>IF(AND(B227='111'!$L$11,OR($N227=$Q$7,$O227=$Q$7)),"x","")</f>
        <v/>
      </c>
      <c r="R227" s="79" t="str">
        <f>IF(AND($N227=$Q$7,$B227&lt;'111'!$L$11),"x","")</f>
        <v/>
      </c>
      <c r="S227" s="79" t="str">
        <f>IF(AND($O227=$Q$7,$B227&lt;'111'!$L$11),"x","")</f>
        <v/>
      </c>
      <c r="T227" s="79" t="str">
        <f>IF(ISERROR(FIND('112'!$M$9,G227,1)),"",IF((AND(FIND('112'!$M$9,G227,1)&gt;=1,B227='112'!$K$9,OR($N227='112'!$I$6,$O227='112'!$I$6))),"x",""))</f>
        <v/>
      </c>
      <c r="U227" s="79" t="str">
        <f>IF(ISERROR(FIND('112'!$M$9,G227,1)),"",IF((AND(LEFT(G227,2)=LEFT('112'!$M$9,2),B227&lt;'112'!$K$9,$N227='112'!$I$6)),"x",""))</f>
        <v/>
      </c>
      <c r="V227" s="79" t="str">
        <f>IF(ISERROR(FIND('112'!$M$9,G227,1)),"",IF((AND(RIGHT(G227,2)=RIGHT('112'!$M$9,2),B227&lt;'112'!$K$9,$O227='112'!$I$6)),"x",""))</f>
        <v/>
      </c>
      <c r="W227" s="79" t="str">
        <f>IF(AND('341-CT'!$H$9=H227,OR(LEFT(N227,3)=$W$7,LEFT(O227,3)=$W$7)),"x","")</f>
        <v/>
      </c>
      <c r="X227" s="79" t="str">
        <f>IF(OR(TH!N227=TH!$X$7,O227=TH!$X$7),"x","")</f>
        <v/>
      </c>
      <c r="Y227" s="79" t="str">
        <f>IF(AND(OR(N227="131",O227="131"),H227='131-CT'!$H$9),"x","")</f>
        <v/>
      </c>
      <c r="Z227" s="79"/>
      <c r="AA227" s="79" t="str">
        <f>IF(AND(MONTH(E227)='IN-NX'!$J$5,'IN-NX'!$D$7=D227),"x","")</f>
        <v/>
      </c>
      <c r="AB227" s="79" t="str">
        <f>IF(AND(OR(LEFT(TH!N227,2)="15",LEFT(TH!O227,2)="15"),LEFT(TH!O227,3)&lt;&gt;"111",'152-CT'!$J$8=TH!F227),"x","")</f>
        <v/>
      </c>
      <c r="AC227" s="79" t="str">
        <f>IF(AND(OR(LEFT(TH!N227,2)="15",LEFT(TH!O227,2)="15"),TK!$E$7=TH!F227),"x","")</f>
        <v/>
      </c>
      <c r="AD227" s="79" t="str">
        <f>IF(AND(N227="1521",MONTH(C227)='BK-NL'!$M$11),"x","")</f>
        <v/>
      </c>
    </row>
    <row r="228" spans="1:30" ht="16.5" customHeight="1">
      <c r="A228" s="318" t="str">
        <f>IF(B228&lt;&gt;"",IF(AND(B228='IN-TC'!$S$4,OR(TH!N228="1111",TH!O228="1111")),TH!D228,""),"")</f>
        <v/>
      </c>
      <c r="B228" s="1291">
        <f t="shared" si="24"/>
        <v>11</v>
      </c>
      <c r="C228" s="682">
        <v>43434</v>
      </c>
      <c r="D228" s="682" t="s">
        <v>532</v>
      </c>
      <c r="E228" s="682">
        <f t="shared" si="36"/>
        <v>43434</v>
      </c>
      <c r="F228" s="943" t="s">
        <v>730</v>
      </c>
      <c r="G228" s="763" t="s">
        <v>535</v>
      </c>
      <c r="H228" s="303"/>
      <c r="I228" s="385"/>
      <c r="J228" s="392"/>
      <c r="K228" s="385"/>
      <c r="L228" s="392"/>
      <c r="M228" s="686">
        <f>G220*$G228</f>
        <v>0</v>
      </c>
      <c r="N228" s="687" t="s">
        <v>540</v>
      </c>
      <c r="O228" s="687" t="s">
        <v>543</v>
      </c>
      <c r="P228" s="79" t="str">
        <f>IF(AND('331-CT'!$E$7=TH!H228,OR(N228="331",O228="331")),"x","")</f>
        <v/>
      </c>
      <c r="Q228" s="79" t="str">
        <f>IF(AND(B228='111'!$L$11,OR($N228=$Q$7,$O228=$Q$7)),"x","")</f>
        <v/>
      </c>
      <c r="R228" s="79" t="str">
        <f>IF(AND($N228=$Q$7,$B228&lt;'111'!$L$11),"x","")</f>
        <v/>
      </c>
      <c r="S228" s="79" t="str">
        <f>IF(AND($O228=$Q$7,$B228&lt;'111'!$L$11),"x","")</f>
        <v/>
      </c>
      <c r="T228" s="79" t="str">
        <f>IF(ISERROR(FIND('112'!$M$9,G228,1)),"",IF((AND(FIND('112'!$M$9,G228,1)&gt;=1,B228='112'!$K$9,OR($N228='112'!$I$6,$O228='112'!$I$6))),"x",""))</f>
        <v/>
      </c>
      <c r="U228" s="79" t="str">
        <f>IF(ISERROR(FIND('112'!$M$9,G228,1)),"",IF((AND(LEFT(G228,2)=LEFT('112'!$M$9,2),B228&lt;'112'!$K$9,$N228='112'!$I$6)),"x",""))</f>
        <v/>
      </c>
      <c r="V228" s="79" t="str">
        <f>IF(ISERROR(FIND('112'!$M$9,G228,1)),"",IF((AND(RIGHT(G228,2)=RIGHT('112'!$M$9,2),B228&lt;'112'!$K$9,$O228='112'!$I$6)),"x",""))</f>
        <v/>
      </c>
      <c r="W228" s="79" t="str">
        <f>IF(AND('341-CT'!$H$9=H228,OR(LEFT(N228,3)=$W$7,LEFT(O228,3)=$W$7)),"x","")</f>
        <v/>
      </c>
      <c r="X228" s="79" t="str">
        <f>IF(OR(TH!N228=TH!$X$7,O228=TH!$X$7),"x","")</f>
        <v/>
      </c>
      <c r="Y228" s="79" t="str">
        <f>IF(AND(OR(N228="131",O228="131"),H228='131-CT'!$H$9),"x","")</f>
        <v/>
      </c>
      <c r="Z228" s="79"/>
      <c r="AA228" s="79" t="str">
        <f>IF(AND(MONTH(E228)='IN-NX'!$J$5,'IN-NX'!$D$7=D228),"x","")</f>
        <v/>
      </c>
      <c r="AB228" s="79" t="str">
        <f>IF(AND(OR(LEFT(TH!N228,2)="15",LEFT(TH!O228,2)="15"),LEFT(TH!O228,3)&lt;&gt;"111",'152-CT'!$J$8=TH!F228),"x","")</f>
        <v/>
      </c>
      <c r="AC228" s="79" t="str">
        <f>IF(AND(OR(LEFT(TH!N228,2)="15",LEFT(TH!O228,2)="15"),TK!$E$7=TH!F228),"x","")</f>
        <v/>
      </c>
      <c r="AD228" s="79" t="str">
        <f>IF(AND(N228="1521",MONTH(C228)='BK-NL'!$M$11),"x","")</f>
        <v/>
      </c>
    </row>
    <row r="229" spans="1:30" ht="16.5" customHeight="1">
      <c r="A229" s="318" t="str">
        <f>IF(B229&lt;&gt;"",IF(AND(B229='IN-TC'!$S$4,OR(TH!N229="1111",TH!O229="1111")),TH!D229,""),"")</f>
        <v/>
      </c>
      <c r="B229" s="1291">
        <f t="shared" si="24"/>
        <v>11</v>
      </c>
      <c r="C229" s="682">
        <v>43434</v>
      </c>
      <c r="D229" s="682" t="s">
        <v>532</v>
      </c>
      <c r="E229" s="682">
        <f t="shared" si="36"/>
        <v>43434</v>
      </c>
      <c r="F229" s="943" t="s">
        <v>731</v>
      </c>
      <c r="G229" s="259"/>
      <c r="H229" s="303"/>
      <c r="I229" s="385"/>
      <c r="J229" s="392"/>
      <c r="K229" s="385"/>
      <c r="L229" s="392"/>
      <c r="M229" s="686">
        <f>G221*$G228</f>
        <v>0</v>
      </c>
      <c r="N229" s="687" t="s">
        <v>272</v>
      </c>
      <c r="O229" s="687" t="s">
        <v>543</v>
      </c>
      <c r="P229" s="79" t="str">
        <f>IF(AND('331-CT'!$E$7=TH!H229,OR(N229="331",O229="331")),"x","")</f>
        <v/>
      </c>
      <c r="Q229" s="79" t="str">
        <f>IF(AND(B229='111'!$L$11,OR($N229=$Q$7,$O229=$Q$7)),"x","")</f>
        <v/>
      </c>
      <c r="R229" s="79" t="str">
        <f>IF(AND($N229=$Q$7,$B229&lt;'111'!$L$11),"x","")</f>
        <v/>
      </c>
      <c r="S229" s="79" t="str">
        <f>IF(AND($O229=$Q$7,$B229&lt;'111'!$L$11),"x","")</f>
        <v/>
      </c>
      <c r="T229" s="79" t="str">
        <f>IF(ISERROR(FIND('112'!$M$9,G229,1)),"",IF((AND(FIND('112'!$M$9,G229,1)&gt;=1,B229='112'!$K$9,OR($N229='112'!$I$6,$O229='112'!$I$6))),"x",""))</f>
        <v/>
      </c>
      <c r="U229" s="79" t="str">
        <f>IF(ISERROR(FIND('112'!$M$9,G229,1)),"",IF((AND(LEFT(G229,2)=LEFT('112'!$M$9,2),B229&lt;'112'!$K$9,$N229='112'!$I$6)),"x",""))</f>
        <v/>
      </c>
      <c r="V229" s="79" t="str">
        <f>IF(ISERROR(FIND('112'!$M$9,G229,1)),"",IF((AND(RIGHT(G229,2)=RIGHT('112'!$M$9,2),B229&lt;'112'!$K$9,$O229='112'!$I$6)),"x",""))</f>
        <v/>
      </c>
      <c r="W229" s="79" t="str">
        <f>IF(AND('341-CT'!$H$9=H229,OR(LEFT(N229,3)=$W$7,LEFT(O229,3)=$W$7)),"x","")</f>
        <v/>
      </c>
      <c r="X229" s="79" t="str">
        <f>IF(OR(TH!N229=TH!$X$7,O229=TH!$X$7),"x","")</f>
        <v/>
      </c>
      <c r="Y229" s="79" t="str">
        <f>IF(AND(OR(N229="131",O229="131"),H229='131-CT'!$H$9),"x","")</f>
        <v/>
      </c>
      <c r="Z229" s="79"/>
      <c r="AA229" s="79" t="str">
        <f>IF(AND(MONTH(E229)='IN-NX'!$J$5,'IN-NX'!$D$7=D229),"x","")</f>
        <v/>
      </c>
      <c r="AB229" s="79" t="str">
        <f>IF(AND(OR(LEFT(TH!N229,2)="15",LEFT(TH!O229,2)="15"),LEFT(TH!O229,3)&lt;&gt;"111",'152-CT'!$J$8=TH!F229),"x","")</f>
        <v/>
      </c>
      <c r="AC229" s="79" t="str">
        <f>IF(AND(OR(LEFT(TH!N229,2)="15",LEFT(TH!O229,2)="15"),TK!$E$7=TH!F229),"x","")</f>
        <v/>
      </c>
      <c r="AD229" s="79" t="str">
        <f>IF(AND(N229="1521",MONTH(C229)='BK-NL'!$M$11),"x","")</f>
        <v/>
      </c>
    </row>
    <row r="230" spans="1:30" ht="16.5" customHeight="1">
      <c r="A230" s="318" t="str">
        <f>IF(B230&lt;&gt;"",IF(AND(B230='IN-TC'!$S$4,OR(TH!N230="1111",TH!O230="1111")),TH!D230,""),"")</f>
        <v/>
      </c>
      <c r="B230" s="1291">
        <f t="shared" si="24"/>
        <v>11</v>
      </c>
      <c r="C230" s="682">
        <v>43434</v>
      </c>
      <c r="D230" s="682" t="s">
        <v>532</v>
      </c>
      <c r="E230" s="682">
        <f t="shared" si="36"/>
        <v>43434</v>
      </c>
      <c r="F230" s="943" t="s">
        <v>732</v>
      </c>
      <c r="G230" s="763" t="s">
        <v>536</v>
      </c>
      <c r="H230" s="303"/>
      <c r="I230" s="385"/>
      <c r="J230" s="392"/>
      <c r="K230" s="385"/>
      <c r="L230" s="392"/>
      <c r="M230" s="686">
        <f>G220*$G230</f>
        <v>0</v>
      </c>
      <c r="N230" s="687" t="s">
        <v>541</v>
      </c>
      <c r="O230" s="687" t="s">
        <v>544</v>
      </c>
      <c r="P230" s="79" t="str">
        <f>IF(AND('331-CT'!$E$7=TH!H230,OR(N230="331",O230="331")),"x","")</f>
        <v/>
      </c>
      <c r="Q230" s="79" t="str">
        <f>IF(AND(B230='111'!$L$11,OR($N230=$Q$7,$O230=$Q$7)),"x","")</f>
        <v/>
      </c>
      <c r="R230" s="79" t="str">
        <f>IF(AND($N230=$Q$7,$B230&lt;'111'!$L$11),"x","")</f>
        <v/>
      </c>
      <c r="S230" s="79" t="str">
        <f>IF(AND($O230=$Q$7,$B230&lt;'111'!$L$11),"x","")</f>
        <v/>
      </c>
      <c r="T230" s="79" t="str">
        <f>IF(ISERROR(FIND('112'!$M$9,G230,1)),"",IF((AND(FIND('112'!$M$9,G230,1)&gt;=1,B230='112'!$K$9,OR($N230='112'!$I$6,$O230='112'!$I$6))),"x",""))</f>
        <v/>
      </c>
      <c r="U230" s="79" t="str">
        <f>IF(ISERROR(FIND('112'!$M$9,G230,1)),"",IF((AND(LEFT(G230,2)=LEFT('112'!$M$9,2),B230&lt;'112'!$K$9,$N230='112'!$I$6)),"x",""))</f>
        <v/>
      </c>
      <c r="V230" s="79" t="str">
        <f>IF(ISERROR(FIND('112'!$M$9,G230,1)),"",IF((AND(RIGHT(G230,2)=RIGHT('112'!$M$9,2),B230&lt;'112'!$K$9,$O230='112'!$I$6)),"x",""))</f>
        <v/>
      </c>
      <c r="W230" s="79" t="str">
        <f>IF(AND('341-CT'!$H$9=H230,OR(LEFT(N230,3)=$W$7,LEFT(O230,3)=$W$7)),"x","")</f>
        <v/>
      </c>
      <c r="X230" s="79" t="str">
        <f>IF(OR(TH!N230=TH!$X$7,O230=TH!$X$7),"x","")</f>
        <v/>
      </c>
      <c r="Y230" s="79" t="str">
        <f>IF(AND(OR(N230="131",O230="131"),H230='131-CT'!$H$9),"x","")</f>
        <v/>
      </c>
      <c r="Z230" s="79"/>
      <c r="AA230" s="79" t="str">
        <f>IF(AND(MONTH(E230)='IN-NX'!$J$5,'IN-NX'!$D$7=D230),"x","")</f>
        <v/>
      </c>
      <c r="AB230" s="79" t="str">
        <f>IF(AND(OR(LEFT(TH!N230,2)="15",LEFT(TH!O230,2)="15"),LEFT(TH!O230,3)&lt;&gt;"111",'152-CT'!$J$8=TH!F230),"x","")</f>
        <v/>
      </c>
      <c r="AC230" s="79" t="str">
        <f>IF(AND(OR(LEFT(TH!N230,2)="15",LEFT(TH!O230,2)="15"),TK!$E$7=TH!F230),"x","")</f>
        <v/>
      </c>
      <c r="AD230" s="79" t="str">
        <f>IF(AND(N230="1521",MONTH(C230)='BK-NL'!$M$11),"x","")</f>
        <v/>
      </c>
    </row>
    <row r="231" spans="1:30" ht="16.5" customHeight="1">
      <c r="A231" s="318" t="str">
        <f>IF(B231&lt;&gt;"",IF(AND(B231='IN-TC'!$S$4,OR(TH!N231="1111",TH!O231="1111")),TH!D231,""),"")</f>
        <v/>
      </c>
      <c r="B231" s="1291">
        <f t="shared" si="24"/>
        <v>11</v>
      </c>
      <c r="C231" s="682">
        <v>43434</v>
      </c>
      <c r="D231" s="682" t="s">
        <v>532</v>
      </c>
      <c r="E231" s="682">
        <f t="shared" si="36"/>
        <v>43434</v>
      </c>
      <c r="F231" s="943" t="s">
        <v>733</v>
      </c>
      <c r="G231" s="259"/>
      <c r="H231" s="303"/>
      <c r="I231" s="385"/>
      <c r="J231" s="392"/>
      <c r="K231" s="385"/>
      <c r="L231" s="392"/>
      <c r="M231" s="686">
        <f>G221*$G230</f>
        <v>0</v>
      </c>
      <c r="N231" s="687" t="s">
        <v>541</v>
      </c>
      <c r="O231" s="687" t="s">
        <v>544</v>
      </c>
      <c r="P231" s="79" t="str">
        <f>IF(AND('331-CT'!$E$7=TH!H231,OR(N231="331",O231="331")),"x","")</f>
        <v/>
      </c>
      <c r="Q231" s="79" t="str">
        <f>IF(AND(B231='111'!$L$11,OR($N231=$Q$7,$O231=$Q$7)),"x","")</f>
        <v/>
      </c>
      <c r="R231" s="79" t="str">
        <f>IF(AND($N231=$Q$7,$B231&lt;'111'!$L$11),"x","")</f>
        <v/>
      </c>
      <c r="S231" s="79" t="str">
        <f>IF(AND($O231=$Q$7,$B231&lt;'111'!$L$11),"x","")</f>
        <v/>
      </c>
      <c r="T231" s="79" t="str">
        <f>IF(ISERROR(FIND('112'!$M$9,G231,1)),"",IF((AND(FIND('112'!$M$9,G231,1)&gt;=1,B231='112'!$K$9,OR($N231='112'!$I$6,$O231='112'!$I$6))),"x",""))</f>
        <v/>
      </c>
      <c r="U231" s="79" t="str">
        <f>IF(ISERROR(FIND('112'!$M$9,G231,1)),"",IF((AND(LEFT(G231,2)=LEFT('112'!$M$9,2),B231&lt;'112'!$K$9,$N231='112'!$I$6)),"x",""))</f>
        <v/>
      </c>
      <c r="V231" s="79" t="str">
        <f>IF(ISERROR(FIND('112'!$M$9,G231,1)),"",IF((AND(RIGHT(G231,2)=RIGHT('112'!$M$9,2),B231&lt;'112'!$K$9,$O231='112'!$I$6)),"x",""))</f>
        <v/>
      </c>
      <c r="W231" s="79" t="str">
        <f>IF(AND('341-CT'!$H$9=H231,OR(LEFT(N231,3)=$W$7,LEFT(O231,3)=$W$7)),"x","")</f>
        <v/>
      </c>
      <c r="X231" s="79" t="str">
        <f>IF(OR(TH!N231=TH!$X$7,O231=TH!$X$7),"x","")</f>
        <v/>
      </c>
      <c r="Y231" s="79" t="str">
        <f>IF(AND(OR(N231="131",O231="131"),H231='131-CT'!$H$9),"x","")</f>
        <v/>
      </c>
      <c r="Z231" s="79"/>
      <c r="AA231" s="79" t="str">
        <f>IF(AND(MONTH(E231)='IN-NX'!$J$5,'IN-NX'!$D$7=D231),"x","")</f>
        <v/>
      </c>
      <c r="AB231" s="79" t="str">
        <f>IF(AND(OR(LEFT(TH!N231,2)="15",LEFT(TH!O231,2)="15"),LEFT(TH!O231,3)&lt;&gt;"111",'152-CT'!$J$8=TH!F231),"x","")</f>
        <v/>
      </c>
      <c r="AC231" s="79" t="str">
        <f>IF(AND(OR(LEFT(TH!N231,2)="15",LEFT(TH!O231,2)="15"),TK!$E$7=TH!F231),"x","")</f>
        <v/>
      </c>
      <c r="AD231" s="79" t="str">
        <f>IF(AND(N231="1521",MONTH(C231)='BK-NL'!$M$11),"x","")</f>
        <v/>
      </c>
    </row>
    <row r="232" spans="1:30" ht="16.5" customHeight="1">
      <c r="A232" s="318" t="str">
        <f>IF(B232&lt;&gt;"",IF(AND(B232='IN-TC'!$S$4,OR(TH!N232="1111",TH!O232="1111")),TH!D232,""),"")</f>
        <v/>
      </c>
      <c r="B232" s="1291">
        <f t="shared" si="24"/>
        <v>11</v>
      </c>
      <c r="C232" s="682">
        <v>43434</v>
      </c>
      <c r="D232" s="682" t="s">
        <v>532</v>
      </c>
      <c r="E232" s="682">
        <f t="shared" si="36"/>
        <v>43434</v>
      </c>
      <c r="F232" s="943" t="s">
        <v>734</v>
      </c>
      <c r="G232" s="763" t="s">
        <v>536</v>
      </c>
      <c r="H232" s="901"/>
      <c r="I232" s="386"/>
      <c r="J232" s="393"/>
      <c r="K232" s="386"/>
      <c r="L232" s="393"/>
      <c r="M232" s="686">
        <f>M230</f>
        <v>0</v>
      </c>
      <c r="N232" s="687" t="s">
        <v>540</v>
      </c>
      <c r="O232" s="687" t="s">
        <v>544</v>
      </c>
      <c r="P232" s="79" t="str">
        <f>IF(AND('331-CT'!$E$7=TH!H232,OR(N232="331",O232="331")),"x","")</f>
        <v/>
      </c>
      <c r="Q232" s="79" t="str">
        <f>IF(AND(B232='111'!$L$11,OR($N232=$Q$7,$O232=$Q$7)),"x","")</f>
        <v/>
      </c>
      <c r="R232" s="79" t="str">
        <f>IF(AND($N232=$Q$7,$B232&lt;'111'!$L$11),"x","")</f>
        <v/>
      </c>
      <c r="S232" s="79" t="str">
        <f>IF(AND($O232=$Q$7,$B232&lt;'111'!$L$11),"x","")</f>
        <v/>
      </c>
      <c r="T232" s="79" t="str">
        <f>IF(ISERROR(FIND('112'!$M$9,G232,1)),"",IF((AND(FIND('112'!$M$9,G232,1)&gt;=1,B232='112'!$K$9,OR($N232='112'!$I$6,$O232='112'!$I$6))),"x",""))</f>
        <v/>
      </c>
      <c r="U232" s="79" t="str">
        <f>IF(ISERROR(FIND('112'!$M$9,G232,1)),"",IF((AND(LEFT(G232,2)=LEFT('112'!$M$9,2),B232&lt;'112'!$K$9,$N232='112'!$I$6)),"x",""))</f>
        <v/>
      </c>
      <c r="V232" s="79" t="str">
        <f>IF(ISERROR(FIND('112'!$M$9,G232,1)),"",IF((AND(RIGHT(G232,2)=RIGHT('112'!$M$9,2),B232&lt;'112'!$K$9,$O232='112'!$I$6)),"x",""))</f>
        <v/>
      </c>
      <c r="W232" s="79" t="str">
        <f>IF(AND('341-CT'!$H$9=H232,OR(LEFT(N232,3)=$W$7,LEFT(O232,3)=$W$7)),"x","")</f>
        <v/>
      </c>
      <c r="X232" s="79" t="str">
        <f>IF(OR(TH!N232=TH!$X$7,O232=TH!$X$7),"x","")</f>
        <v/>
      </c>
      <c r="Y232" s="79" t="str">
        <f>IF(AND(OR(N232="131",O232="131"),H232='131-CT'!$H$9),"x","")</f>
        <v/>
      </c>
      <c r="Z232" s="79"/>
      <c r="AA232" s="79" t="str">
        <f>IF(AND(MONTH(E232)='IN-NX'!$J$5,'IN-NX'!$D$7=D232),"x","")</f>
        <v/>
      </c>
      <c r="AB232" s="79" t="str">
        <f>IF(AND(OR(LEFT(TH!N232,2)="15",LEFT(TH!O232,2)="15"),LEFT(TH!O232,3)&lt;&gt;"111",'152-CT'!$J$8=TH!F232),"x","")</f>
        <v/>
      </c>
      <c r="AC232" s="79" t="str">
        <f>IF(AND(OR(LEFT(TH!N232,2)="15",LEFT(TH!O232,2)="15"),TK!$E$7=TH!F232),"x","")</f>
        <v/>
      </c>
      <c r="AD232" s="79" t="str">
        <f>IF(AND(N232="1521",MONTH(C232)='BK-NL'!$M$11),"x","")</f>
        <v/>
      </c>
    </row>
    <row r="233" spans="1:30" ht="16.5" customHeight="1">
      <c r="A233" s="318" t="str">
        <f>IF(B233&lt;&gt;"",IF(AND(B233='IN-TC'!$S$4,OR(TH!N233="1111",TH!O233="1111")),TH!D233,""),"")</f>
        <v/>
      </c>
      <c r="B233" s="1291">
        <f t="shared" si="24"/>
        <v>11</v>
      </c>
      <c r="C233" s="682">
        <v>43434</v>
      </c>
      <c r="D233" s="682" t="s">
        <v>532</v>
      </c>
      <c r="E233" s="682">
        <f t="shared" si="36"/>
        <v>43434</v>
      </c>
      <c r="F233" s="943" t="s">
        <v>735</v>
      </c>
      <c r="G233" s="259"/>
      <c r="H233" s="303"/>
      <c r="I233" s="385"/>
      <c r="J233" s="392"/>
      <c r="K233" s="385"/>
      <c r="L233" s="392"/>
      <c r="M233" s="686">
        <f>M231</f>
        <v>0</v>
      </c>
      <c r="N233" s="687" t="s">
        <v>272</v>
      </c>
      <c r="O233" s="687" t="s">
        <v>544</v>
      </c>
      <c r="P233" s="79" t="str">
        <f>IF(AND('331-CT'!$E$7=TH!H233,OR(N233="331",O233="331")),"x","")</f>
        <v/>
      </c>
      <c r="Q233" s="79" t="str">
        <f>IF(AND(B233='111'!$L$11,OR($N233=$Q$7,$O233=$Q$7)),"x","")</f>
        <v/>
      </c>
      <c r="R233" s="79" t="str">
        <f>IF(AND($N233=$Q$7,$B233&lt;'111'!$L$11),"x","")</f>
        <v/>
      </c>
      <c r="S233" s="79" t="str">
        <f>IF(AND($O233=$Q$7,$B233&lt;'111'!$L$11),"x","")</f>
        <v/>
      </c>
      <c r="T233" s="79" t="str">
        <f>IF(ISERROR(FIND('112'!$M$9,G233,1)),"",IF((AND(FIND('112'!$M$9,G233,1)&gt;=1,B233='112'!$K$9,OR($N233='112'!$I$6,$O233='112'!$I$6))),"x",""))</f>
        <v/>
      </c>
      <c r="U233" s="79" t="str">
        <f>IF(ISERROR(FIND('112'!$M$9,G233,1)),"",IF((AND(LEFT(G233,2)=LEFT('112'!$M$9,2),B233&lt;'112'!$K$9,$N233='112'!$I$6)),"x",""))</f>
        <v/>
      </c>
      <c r="V233" s="79" t="str">
        <f>IF(ISERROR(FIND('112'!$M$9,G233,1)),"",IF((AND(RIGHT(G233,2)=RIGHT('112'!$M$9,2),B233&lt;'112'!$K$9,$O233='112'!$I$6)),"x",""))</f>
        <v/>
      </c>
      <c r="W233" s="79" t="str">
        <f>IF(AND('341-CT'!$H$9=H233,OR(LEFT(N233,3)=$W$7,LEFT(O233,3)=$W$7)),"x","")</f>
        <v/>
      </c>
      <c r="X233" s="79" t="str">
        <f>IF(OR(TH!N233=TH!$X$7,O233=TH!$X$7),"x","")</f>
        <v/>
      </c>
      <c r="Y233" s="79" t="str">
        <f>IF(AND(OR(N233="131",O233="131"),H233='131-CT'!$H$9),"x","")</f>
        <v/>
      </c>
      <c r="Z233" s="79"/>
      <c r="AA233" s="79" t="str">
        <f>IF(AND(MONTH(E233)='IN-NX'!$J$5,'IN-NX'!$D$7=D233),"x","")</f>
        <v/>
      </c>
      <c r="AB233" s="79" t="str">
        <f>IF(AND(OR(LEFT(TH!N233,2)="15",LEFT(TH!O233,2)="15"),LEFT(TH!O233,3)&lt;&gt;"111",'152-CT'!$J$8=TH!F233),"x","")</f>
        <v/>
      </c>
      <c r="AC233" s="79" t="str">
        <f>IF(AND(OR(LEFT(TH!N233,2)="15",LEFT(TH!O233,2)="15"),TK!$E$7=TH!F233),"x","")</f>
        <v/>
      </c>
      <c r="AD233" s="79" t="str">
        <f>IF(AND(N233="1521",MONTH(C233)='BK-NL'!$M$11),"x","")</f>
        <v/>
      </c>
    </row>
    <row r="234" spans="1:30" ht="16.5" customHeight="1">
      <c r="A234" s="318" t="str">
        <f>IF(B234&lt;&gt;"",IF(AND(B234='IN-TC'!$S$4,OR(TH!N234="1111",TH!O234="1111")),TH!D234,""),"")</f>
        <v/>
      </c>
      <c r="B234" s="1291">
        <f t="shared" ref="B234:B235" si="37">IF(C234&lt;&gt;"",MONTH(C234),"")</f>
        <v>11</v>
      </c>
      <c r="C234" s="682">
        <v>43434</v>
      </c>
      <c r="D234" s="682" t="s">
        <v>532</v>
      </c>
      <c r="E234" s="682">
        <f t="shared" ref="E234:E235" si="38">C234</f>
        <v>43434</v>
      </c>
      <c r="F234" s="943" t="s">
        <v>954</v>
      </c>
      <c r="G234" s="763" t="s">
        <v>956</v>
      </c>
      <c r="H234" s="901"/>
      <c r="I234" s="386"/>
      <c r="J234" s="393"/>
      <c r="K234" s="386"/>
      <c r="L234" s="393"/>
      <c r="M234" s="686">
        <f>G220*$G234</f>
        <v>0</v>
      </c>
      <c r="N234" s="687" t="s">
        <v>540</v>
      </c>
      <c r="O234" s="687" t="s">
        <v>19</v>
      </c>
      <c r="P234" s="79" t="str">
        <f>IF(AND('331-CT'!$E$7=TH!H234,OR(N234="331",O234="331")),"x","")</f>
        <v/>
      </c>
      <c r="Q234" s="79" t="str">
        <f>IF(AND(B234='111'!$L$11,OR($N234=$Q$7,$O234=$Q$7)),"x","")</f>
        <v/>
      </c>
      <c r="R234" s="79" t="str">
        <f>IF(AND($N234=$Q$7,$B234&lt;'111'!$L$11),"x","")</f>
        <v/>
      </c>
      <c r="S234" s="79" t="str">
        <f>IF(AND($O234=$Q$7,$B234&lt;'111'!$L$11),"x","")</f>
        <v/>
      </c>
      <c r="T234" s="79" t="str">
        <f>IF(ISERROR(FIND('112'!$M$9,G234,1)),"",IF((AND(FIND('112'!$M$9,G234,1)&gt;=1,B234='112'!$K$9,OR($N234='112'!$I$6,$O234='112'!$I$6))),"x",""))</f>
        <v/>
      </c>
      <c r="U234" s="79" t="str">
        <f>IF(ISERROR(FIND('112'!$M$9,G234,1)),"",IF((AND(LEFT(G234,2)=LEFT('112'!$M$9,2),B234&lt;'112'!$K$9,$N234='112'!$I$6)),"x",""))</f>
        <v/>
      </c>
      <c r="V234" s="79" t="str">
        <f>IF(ISERROR(FIND('112'!$M$9,G234,1)),"",IF((AND(RIGHT(G234,2)=RIGHT('112'!$M$9,2),B234&lt;'112'!$K$9,$O234='112'!$I$6)),"x",""))</f>
        <v/>
      </c>
      <c r="W234" s="79" t="str">
        <f>IF(AND('341-CT'!$H$9=H234,OR(LEFT(N234,3)=$W$7,LEFT(O234,3)=$W$7)),"x","")</f>
        <v/>
      </c>
      <c r="X234" s="79" t="str">
        <f>IF(OR(TH!N234=TH!$X$7,O234=TH!$X$7),"x","")</f>
        <v/>
      </c>
      <c r="Y234" s="79" t="str">
        <f>IF(AND(OR(N234="131",O234="131"),H234='131-CT'!$H$9),"x","")</f>
        <v/>
      </c>
      <c r="Z234" s="79"/>
      <c r="AA234" s="79" t="str">
        <f>IF(AND(MONTH(E234)='IN-NX'!$J$5,'IN-NX'!$D$7=D234),"x","")</f>
        <v/>
      </c>
      <c r="AB234" s="79" t="str">
        <f>IF(AND(OR(LEFT(TH!N234,2)="15",LEFT(TH!O234,2)="15"),LEFT(TH!O234,3)&lt;&gt;"111",'152-CT'!$J$8=TH!F234),"x","")</f>
        <v/>
      </c>
      <c r="AC234" s="79" t="str">
        <f>IF(AND(OR(LEFT(TH!N234,2)="15",LEFT(TH!O234,2)="15"),TK!$E$7=TH!F234),"x","")</f>
        <v/>
      </c>
      <c r="AD234" s="79" t="str">
        <f>IF(AND(N234="1521",MONTH(C234)='BK-NL'!$M$11),"x","")</f>
        <v/>
      </c>
    </row>
    <row r="235" spans="1:30" ht="16.5" customHeight="1">
      <c r="A235" s="318" t="str">
        <f>IF(B235&lt;&gt;"",IF(AND(B235='IN-TC'!$S$4,OR(TH!N235="1111",TH!O235="1111")),TH!D235,""),"")</f>
        <v/>
      </c>
      <c r="B235" s="1291">
        <f t="shared" si="37"/>
        <v>11</v>
      </c>
      <c r="C235" s="682">
        <v>43434</v>
      </c>
      <c r="D235" s="682" t="s">
        <v>532</v>
      </c>
      <c r="E235" s="682">
        <f t="shared" si="38"/>
        <v>43434</v>
      </c>
      <c r="F235" s="943" t="s">
        <v>955</v>
      </c>
      <c r="G235" s="259"/>
      <c r="H235" s="303"/>
      <c r="I235" s="385"/>
      <c r="J235" s="392"/>
      <c r="K235" s="385"/>
      <c r="L235" s="392"/>
      <c r="M235" s="686">
        <f>G221*$G234</f>
        <v>0</v>
      </c>
      <c r="N235" s="687" t="s">
        <v>272</v>
      </c>
      <c r="O235" s="687" t="s">
        <v>19</v>
      </c>
      <c r="P235" s="79" t="str">
        <f>IF(AND('331-CT'!$E$7=TH!H235,OR(N235="331",O235="331")),"x","")</f>
        <v/>
      </c>
      <c r="Q235" s="79" t="str">
        <f>IF(AND(B235='111'!$L$11,OR($N235=$Q$7,$O235=$Q$7)),"x","")</f>
        <v/>
      </c>
      <c r="R235" s="79" t="str">
        <f>IF(AND($N235=$Q$7,$B235&lt;'111'!$L$11),"x","")</f>
        <v/>
      </c>
      <c r="S235" s="79" t="str">
        <f>IF(AND($O235=$Q$7,$B235&lt;'111'!$L$11),"x","")</f>
        <v/>
      </c>
      <c r="T235" s="79" t="str">
        <f>IF(ISERROR(FIND('112'!$M$9,G235,1)),"",IF((AND(FIND('112'!$M$9,G235,1)&gt;=1,B235='112'!$K$9,OR($N235='112'!$I$6,$O235='112'!$I$6))),"x",""))</f>
        <v/>
      </c>
      <c r="U235" s="79" t="str">
        <f>IF(ISERROR(FIND('112'!$M$9,G235,1)),"",IF((AND(LEFT(G235,2)=LEFT('112'!$M$9,2),B235&lt;'112'!$K$9,$N235='112'!$I$6)),"x",""))</f>
        <v/>
      </c>
      <c r="V235" s="79" t="str">
        <f>IF(ISERROR(FIND('112'!$M$9,G235,1)),"",IF((AND(RIGHT(G235,2)=RIGHT('112'!$M$9,2),B235&lt;'112'!$K$9,$O235='112'!$I$6)),"x",""))</f>
        <v/>
      </c>
      <c r="W235" s="79" t="str">
        <f>IF(AND('341-CT'!$H$9=H235,OR(LEFT(N235,3)=$W$7,LEFT(O235,3)=$W$7)),"x","")</f>
        <v/>
      </c>
      <c r="X235" s="79" t="str">
        <f>IF(OR(TH!N235=TH!$X$7,O235=TH!$X$7),"x","")</f>
        <v/>
      </c>
      <c r="Y235" s="79" t="str">
        <f>IF(AND(OR(N235="131",O235="131"),H235='131-CT'!$H$9),"x","")</f>
        <v/>
      </c>
      <c r="Z235" s="79"/>
      <c r="AA235" s="79" t="str">
        <f>IF(AND(MONTH(E235)='IN-NX'!$J$5,'IN-NX'!$D$7=D235),"x","")</f>
        <v/>
      </c>
      <c r="AB235" s="79" t="str">
        <f>IF(AND(OR(LEFT(TH!N235,2)="15",LEFT(TH!O235,2)="15"),LEFT(TH!O235,3)&lt;&gt;"111",'152-CT'!$J$8=TH!F235),"x","")</f>
        <v/>
      </c>
      <c r="AC235" s="79" t="str">
        <f>IF(AND(OR(LEFT(TH!N235,2)="15",LEFT(TH!O235,2)="15"),TK!$E$7=TH!F235),"x","")</f>
        <v/>
      </c>
      <c r="AD235" s="79" t="str">
        <f>IF(AND(N235="1521",MONTH(C235)='BK-NL'!$M$11),"x","")</f>
        <v/>
      </c>
    </row>
    <row r="236" spans="1:30" ht="16.5" customHeight="1">
      <c r="A236" s="318" t="str">
        <f>IF(B236&lt;&gt;"",IF(AND(B236='IN-TC'!$S$4,OR(TH!N236="1111",TH!O236="1111")),TH!D236,""),"")</f>
        <v/>
      </c>
      <c r="B236" s="1187">
        <f t="shared" ref="B236:B251" si="39">IF(C236&lt;&gt;"",MONTH(C236),"")</f>
        <v>12</v>
      </c>
      <c r="C236" s="682">
        <v>43465</v>
      </c>
      <c r="D236" s="682" t="s">
        <v>532</v>
      </c>
      <c r="E236" s="682">
        <f t="shared" si="36"/>
        <v>43465</v>
      </c>
      <c r="F236" s="943" t="s">
        <v>722</v>
      </c>
      <c r="G236" s="259"/>
      <c r="H236" s="303"/>
      <c r="I236" s="385"/>
      <c r="J236" s="392"/>
      <c r="K236" s="385"/>
      <c r="L236" s="392"/>
      <c r="M236" s="686"/>
      <c r="N236" s="687" t="s">
        <v>540</v>
      </c>
      <c r="O236" s="687" t="s">
        <v>541</v>
      </c>
      <c r="P236" s="79" t="str">
        <f>IF(AND('331-CT'!$E$7=TH!H236,OR(N236="331",O236="331")),"x","")</f>
        <v/>
      </c>
      <c r="Q236" s="79" t="str">
        <f>IF(AND(B236='111'!$L$11,OR($N236=$Q$7,$O236=$Q$7)),"x","")</f>
        <v/>
      </c>
      <c r="R236" s="79" t="str">
        <f>IF(AND($N236=$Q$7,$B236&lt;'111'!$L$11),"x","")</f>
        <v/>
      </c>
      <c r="S236" s="79" t="str">
        <f>IF(AND($O236=$Q$7,$B236&lt;'111'!$L$11),"x","")</f>
        <v/>
      </c>
      <c r="T236" s="79" t="str">
        <f>IF(ISERROR(FIND('112'!$M$9,G236,1)),"",IF((AND(FIND('112'!$M$9,G236,1)&gt;=1,B236='112'!$K$9,OR($N236='112'!$I$6,$O236='112'!$I$6))),"x",""))</f>
        <v/>
      </c>
      <c r="U236" s="79" t="str">
        <f>IF(ISERROR(FIND('112'!$M$9,G236,1)),"",IF((AND(LEFT(G236,2)=LEFT('112'!$M$9,2),B236&lt;'112'!$K$9,$N236='112'!$I$6)),"x",""))</f>
        <v/>
      </c>
      <c r="V236" s="79" t="str">
        <f>IF(ISERROR(FIND('112'!$M$9,G236,1)),"",IF((AND(RIGHT(G236,2)=RIGHT('112'!$M$9,2),B236&lt;'112'!$K$9,$O236='112'!$I$6)),"x",""))</f>
        <v/>
      </c>
      <c r="W236" s="79" t="str">
        <f>IF(AND('341-CT'!$H$9=H236,OR(LEFT(N236,3)=$W$7,LEFT(O236,3)=$W$7)),"x","")</f>
        <v/>
      </c>
      <c r="X236" s="79" t="str">
        <f>IF(OR(TH!N236=TH!$X$7,O236=TH!$X$7),"x","")</f>
        <v/>
      </c>
      <c r="Y236" s="79" t="str">
        <f>IF(AND(OR(N236="131",O236="131"),H236='131-CT'!$H$9),"x","")</f>
        <v/>
      </c>
      <c r="Z236" s="79"/>
      <c r="AA236" s="79" t="str">
        <f>IF(AND(MONTH(E236)='IN-NX'!$J$5,'IN-NX'!$D$7=D236),"x","")</f>
        <v/>
      </c>
      <c r="AB236" s="79" t="str">
        <f>IF(AND(OR(LEFT(TH!N236,2)="15",LEFT(TH!O236,2)="15"),LEFT(TH!O236,3)&lt;&gt;"111",'152-CT'!$J$8=TH!F236),"x","")</f>
        <v/>
      </c>
      <c r="AC236" s="79" t="str">
        <f>IF(AND(OR(LEFT(TH!N236,2)="15",LEFT(TH!O236,2)="15"),TK!$E$7=TH!F236),"x","")</f>
        <v/>
      </c>
      <c r="AD236" s="79" t="str">
        <f>IF(AND(N236="1521",MONTH(C236)='BK-NL'!$M$11),"x","")</f>
        <v/>
      </c>
    </row>
    <row r="237" spans="1:30" ht="16.5" customHeight="1">
      <c r="A237" s="318" t="str">
        <f>IF(B237&lt;&gt;"",IF(AND(B237='IN-TC'!$S$4,OR(TH!N237="1111",TH!O237="1111")),TH!D237,""),"")</f>
        <v/>
      </c>
      <c r="B237" s="1187">
        <f t="shared" si="39"/>
        <v>12</v>
      </c>
      <c r="C237" s="682">
        <v>43465</v>
      </c>
      <c r="D237" s="682" t="s">
        <v>532</v>
      </c>
      <c r="E237" s="682">
        <f t="shared" si="36"/>
        <v>43465</v>
      </c>
      <c r="F237" s="943" t="s">
        <v>723</v>
      </c>
      <c r="G237" s="259"/>
      <c r="H237" s="303"/>
      <c r="I237" s="385"/>
      <c r="J237" s="392"/>
      <c r="K237" s="385"/>
      <c r="L237" s="392"/>
      <c r="M237" s="686"/>
      <c r="N237" s="687" t="s">
        <v>272</v>
      </c>
      <c r="O237" s="687" t="s">
        <v>541</v>
      </c>
      <c r="P237" s="79" t="str">
        <f>IF(AND('331-CT'!$E$7=TH!H237,OR(N237="331",O237="331")),"x","")</f>
        <v/>
      </c>
      <c r="Q237" s="79" t="str">
        <f>IF(AND(B237='111'!$L$11,OR($N237=$Q$7,$O237=$Q$7)),"x","")</f>
        <v/>
      </c>
      <c r="R237" s="79" t="str">
        <f>IF(AND($N237=$Q$7,$B237&lt;'111'!$L$11),"x","")</f>
        <v/>
      </c>
      <c r="S237" s="79" t="str">
        <f>IF(AND($O237=$Q$7,$B237&lt;'111'!$L$11),"x","")</f>
        <v/>
      </c>
      <c r="T237" s="79" t="str">
        <f>IF(ISERROR(FIND('112'!$M$9,G237,1)),"",IF((AND(FIND('112'!$M$9,G237,1)&gt;=1,B237='112'!$K$9,OR($N237='112'!$I$6,$O237='112'!$I$6))),"x",""))</f>
        <v/>
      </c>
      <c r="U237" s="79" t="str">
        <f>IF(ISERROR(FIND('112'!$M$9,G237,1)),"",IF((AND(LEFT(G237,2)=LEFT('112'!$M$9,2),B237&lt;'112'!$K$9,$N237='112'!$I$6)),"x",""))</f>
        <v/>
      </c>
      <c r="V237" s="79" t="str">
        <f>IF(ISERROR(FIND('112'!$M$9,G237,1)),"",IF((AND(RIGHT(G237,2)=RIGHT('112'!$M$9,2),B237&lt;'112'!$K$9,$O237='112'!$I$6)),"x",""))</f>
        <v/>
      </c>
      <c r="W237" s="79" t="str">
        <f>IF(AND('341-CT'!$H$9=H237,OR(LEFT(N237,3)=$W$7,LEFT(O237,3)=$W$7)),"x","")</f>
        <v/>
      </c>
      <c r="X237" s="79" t="str">
        <f>IF(OR(TH!N237=TH!$X$7,O237=TH!$X$7),"x","")</f>
        <v/>
      </c>
      <c r="Y237" s="79" t="str">
        <f>IF(AND(OR(N237="131",O237="131"),H237='131-CT'!$H$9),"x","")</f>
        <v/>
      </c>
      <c r="Z237" s="79"/>
      <c r="AA237" s="79" t="str">
        <f>IF(AND(MONTH(E237)='IN-NX'!$J$5,'IN-NX'!$D$7=D237),"x","")</f>
        <v/>
      </c>
      <c r="AB237" s="79" t="str">
        <f>IF(AND(OR(LEFT(TH!N237,2)="15",LEFT(TH!O237,2)="15"),LEFT(TH!O237,3)&lt;&gt;"111",'152-CT'!$J$8=TH!F237),"x","")</f>
        <v/>
      </c>
      <c r="AC237" s="79" t="str">
        <f>IF(AND(OR(LEFT(TH!N237,2)="15",LEFT(TH!O237,2)="15"),TK!$E$7=TH!F237),"x","")</f>
        <v/>
      </c>
      <c r="AD237" s="79" t="str">
        <f>IF(AND(N237="1521",MONTH(C237)='BK-NL'!$M$11),"x","")</f>
        <v/>
      </c>
    </row>
    <row r="238" spans="1:30" ht="16.5" customHeight="1">
      <c r="A238" s="318" t="str">
        <f>IF(B238&lt;&gt;"",IF(AND(B238='IN-TC'!$S$4,OR(TH!N238="1111",TH!O238="1111")),TH!D238,""),"")</f>
        <v/>
      </c>
      <c r="B238" s="1187">
        <f t="shared" si="39"/>
        <v>12</v>
      </c>
      <c r="C238" s="682">
        <v>43465</v>
      </c>
      <c r="D238" s="682" t="s">
        <v>532</v>
      </c>
      <c r="E238" s="682">
        <f t="shared" si="36"/>
        <v>43465</v>
      </c>
      <c r="F238" s="943" t="s">
        <v>724</v>
      </c>
      <c r="G238" s="763" t="s">
        <v>533</v>
      </c>
      <c r="H238" s="303"/>
      <c r="I238" s="385"/>
      <c r="J238" s="392"/>
      <c r="K238" s="385"/>
      <c r="L238" s="392"/>
      <c r="M238" s="686">
        <f>G236*$G238</f>
        <v>0</v>
      </c>
      <c r="N238" s="687" t="s">
        <v>541</v>
      </c>
      <c r="O238" s="687" t="s">
        <v>542</v>
      </c>
      <c r="P238" s="79" t="str">
        <f>IF(AND('331-CT'!$E$7=TH!H238,OR(N238="331",O238="331")),"x","")</f>
        <v/>
      </c>
      <c r="Q238" s="79" t="str">
        <f>IF(AND(B238='111'!$L$11,OR($N238=$Q$7,$O238=$Q$7)),"x","")</f>
        <v/>
      </c>
      <c r="R238" s="79" t="str">
        <f>IF(AND($N238=$Q$7,$B238&lt;'111'!$L$11),"x","")</f>
        <v/>
      </c>
      <c r="S238" s="79" t="str">
        <f>IF(AND($O238=$Q$7,$B238&lt;'111'!$L$11),"x","")</f>
        <v/>
      </c>
      <c r="T238" s="79" t="str">
        <f>IF(ISERROR(FIND('112'!$M$9,G238,1)),"",IF((AND(FIND('112'!$M$9,G238,1)&gt;=1,B238='112'!$K$9,OR($N238='112'!$I$6,$O238='112'!$I$6))),"x",""))</f>
        <v/>
      </c>
      <c r="U238" s="79" t="str">
        <f>IF(ISERROR(FIND('112'!$M$9,G238,1)),"",IF((AND(LEFT(G238,2)=LEFT('112'!$M$9,2),B238&lt;'112'!$K$9,$N238='112'!$I$6)),"x",""))</f>
        <v/>
      </c>
      <c r="V238" s="79" t="str">
        <f>IF(ISERROR(FIND('112'!$M$9,G238,1)),"",IF((AND(RIGHT(G238,2)=RIGHT('112'!$M$9,2),B238&lt;'112'!$K$9,$O238='112'!$I$6)),"x",""))</f>
        <v/>
      </c>
      <c r="W238" s="79" t="str">
        <f>IF(AND('341-CT'!$H$9=H238,OR(LEFT(N238,3)=$W$7,LEFT(O238,3)=$W$7)),"x","")</f>
        <v/>
      </c>
      <c r="X238" s="79" t="str">
        <f>IF(OR(TH!N238=TH!$X$7,O238=TH!$X$7),"x","")</f>
        <v/>
      </c>
      <c r="Y238" s="79" t="str">
        <f>IF(AND(OR(N238="131",O238="131"),H238='131-CT'!$H$9),"x","")</f>
        <v/>
      </c>
      <c r="Z238" s="79"/>
      <c r="AA238" s="79" t="str">
        <f>IF(AND(MONTH(E238)='IN-NX'!$J$5,'IN-NX'!$D$7=D238),"x","")</f>
        <v/>
      </c>
      <c r="AB238" s="79" t="str">
        <f>IF(AND(OR(LEFT(TH!N238,2)="15",LEFT(TH!O238,2)="15"),LEFT(TH!O238,3)&lt;&gt;"111",'152-CT'!$J$8=TH!F238),"x","")</f>
        <v/>
      </c>
      <c r="AC238" s="79" t="str">
        <f>IF(AND(OR(LEFT(TH!N238,2)="15",LEFT(TH!O238,2)="15"),TK!$E$7=TH!F238),"x","")</f>
        <v/>
      </c>
      <c r="AD238" s="79" t="str">
        <f>IF(AND(N238="1521",MONTH(C238)='BK-NL'!$M$11),"x","")</f>
        <v/>
      </c>
    </row>
    <row r="239" spans="1:30" ht="16.5" customHeight="1">
      <c r="A239" s="318" t="str">
        <f>IF(B239&lt;&gt;"",IF(AND(B239='IN-TC'!$S$4,OR(TH!N239="1111",TH!O239="1111")),TH!D239,""),"")</f>
        <v/>
      </c>
      <c r="B239" s="1187">
        <f t="shared" si="39"/>
        <v>12</v>
      </c>
      <c r="C239" s="682">
        <v>43465</v>
      </c>
      <c r="D239" s="682" t="s">
        <v>532</v>
      </c>
      <c r="E239" s="682">
        <f t="shared" si="36"/>
        <v>43465</v>
      </c>
      <c r="F239" s="943" t="s">
        <v>725</v>
      </c>
      <c r="G239" s="259"/>
      <c r="H239" s="303"/>
      <c r="I239" s="385"/>
      <c r="J239" s="392"/>
      <c r="K239" s="385"/>
      <c r="L239" s="392"/>
      <c r="M239" s="686">
        <f>G237*$G238</f>
        <v>0</v>
      </c>
      <c r="N239" s="688" t="s">
        <v>541</v>
      </c>
      <c r="O239" s="689" t="s">
        <v>542</v>
      </c>
      <c r="P239" s="79" t="str">
        <f>IF(AND('331-CT'!$E$7=TH!H239,OR(N239="331",O239="331")),"x","")</f>
        <v/>
      </c>
      <c r="Q239" s="79" t="str">
        <f>IF(AND(B239='111'!$L$11,OR($N239=$Q$7,$O239=$Q$7)),"x","")</f>
        <v/>
      </c>
      <c r="R239" s="79" t="str">
        <f>IF(AND($N239=$Q$7,$B239&lt;'111'!$L$11),"x","")</f>
        <v/>
      </c>
      <c r="S239" s="79" t="str">
        <f>IF(AND($O239=$Q$7,$B239&lt;'111'!$L$11),"x","")</f>
        <v/>
      </c>
      <c r="T239" s="79" t="str">
        <f>IF(ISERROR(FIND('112'!$M$9,G239,1)),"",IF((AND(FIND('112'!$M$9,G239,1)&gt;=1,B239='112'!$K$9,OR($N239='112'!$I$6,$O239='112'!$I$6))),"x",""))</f>
        <v/>
      </c>
      <c r="U239" s="79" t="str">
        <f>IF(ISERROR(FIND('112'!$M$9,G239,1)),"",IF((AND(LEFT(G239,2)=LEFT('112'!$M$9,2),B239&lt;'112'!$K$9,$N239='112'!$I$6)),"x",""))</f>
        <v/>
      </c>
      <c r="V239" s="79" t="str">
        <f>IF(ISERROR(FIND('112'!$M$9,G239,1)),"",IF((AND(RIGHT(G239,2)=RIGHT('112'!$M$9,2),B239&lt;'112'!$K$9,$O239='112'!$I$6)),"x",""))</f>
        <v/>
      </c>
      <c r="W239" s="79" t="str">
        <f>IF(AND('341-CT'!$H$9=H239,OR(LEFT(N239,3)=$W$7,LEFT(O239,3)=$W$7)),"x","")</f>
        <v/>
      </c>
      <c r="X239" s="79" t="str">
        <f>IF(OR(TH!N239=TH!$X$7,O239=TH!$X$7),"x","")</f>
        <v/>
      </c>
      <c r="Y239" s="79" t="str">
        <f>IF(AND(OR(N239="131",O239="131"),H239='131-CT'!$H$9),"x","")</f>
        <v/>
      </c>
      <c r="Z239" s="79"/>
      <c r="AA239" s="79" t="str">
        <f>IF(AND(MONTH(E239)='IN-NX'!$J$5,'IN-NX'!$D$7=D239),"x","")</f>
        <v/>
      </c>
      <c r="AB239" s="79" t="str">
        <f>IF(AND(OR(LEFT(TH!N239,2)="15",LEFT(TH!O239,2)="15"),LEFT(TH!O239,3)&lt;&gt;"111",'152-CT'!$J$8=TH!F239),"x","")</f>
        <v/>
      </c>
      <c r="AC239" s="79" t="str">
        <f>IF(AND(OR(LEFT(TH!N239,2)="15",LEFT(TH!O239,2)="15"),TK!$E$7=TH!F239),"x","")</f>
        <v/>
      </c>
      <c r="AD239" s="79" t="str">
        <f>IF(AND(N239="1521",MONTH(C239)='BK-NL'!$M$11),"x","")</f>
        <v/>
      </c>
    </row>
    <row r="240" spans="1:30" ht="16.5" customHeight="1">
      <c r="A240" s="318" t="str">
        <f>IF(B240&lt;&gt;"",IF(AND(B240='IN-TC'!$S$4,OR(TH!N240="1111",TH!O240="1111")),TH!D240,""),"")</f>
        <v/>
      </c>
      <c r="B240" s="1187">
        <f t="shared" si="39"/>
        <v>12</v>
      </c>
      <c r="C240" s="682">
        <v>43465</v>
      </c>
      <c r="D240" s="682" t="s">
        <v>532</v>
      </c>
      <c r="E240" s="682">
        <f t="shared" si="36"/>
        <v>43465</v>
      </c>
      <c r="F240" s="943" t="s">
        <v>726</v>
      </c>
      <c r="G240" s="763" t="s">
        <v>957</v>
      </c>
      <c r="H240" s="303"/>
      <c r="I240" s="385"/>
      <c r="J240" s="392"/>
      <c r="K240" s="385"/>
      <c r="L240" s="392"/>
      <c r="M240" s="686">
        <f>G236*$G240</f>
        <v>0</v>
      </c>
      <c r="N240" s="687" t="s">
        <v>540</v>
      </c>
      <c r="O240" s="687" t="s">
        <v>542</v>
      </c>
      <c r="P240" s="79" t="str">
        <f>IF(AND('331-CT'!$E$7=TH!H240,OR(N240="331",O240="331")),"x","")</f>
        <v/>
      </c>
      <c r="Q240" s="79" t="str">
        <f>IF(AND(B240='111'!$L$11,OR($N240=$Q$7,$O240=$Q$7)),"x","")</f>
        <v/>
      </c>
      <c r="R240" s="79" t="str">
        <f>IF(AND($N240=$Q$7,$B240&lt;'111'!$L$11),"x","")</f>
        <v/>
      </c>
      <c r="S240" s="79" t="str">
        <f>IF(AND($O240=$Q$7,$B240&lt;'111'!$L$11),"x","")</f>
        <v/>
      </c>
      <c r="T240" s="79" t="str">
        <f>IF(ISERROR(FIND('112'!$M$9,G240,1)),"",IF((AND(FIND('112'!$M$9,G240,1)&gt;=1,B240='112'!$K$9,OR($N240='112'!$I$6,$O240='112'!$I$6))),"x",""))</f>
        <v/>
      </c>
      <c r="U240" s="79" t="str">
        <f>IF(ISERROR(FIND('112'!$M$9,G240,1)),"",IF((AND(LEFT(G240,2)=LEFT('112'!$M$9,2),B240&lt;'112'!$K$9,$N240='112'!$I$6)),"x",""))</f>
        <v/>
      </c>
      <c r="V240" s="79" t="str">
        <f>IF(ISERROR(FIND('112'!$M$9,G240,1)),"",IF((AND(RIGHT(G240,2)=RIGHT('112'!$M$9,2),B240&lt;'112'!$K$9,$O240='112'!$I$6)),"x",""))</f>
        <v/>
      </c>
      <c r="W240" s="79" t="str">
        <f>IF(AND('341-CT'!$H$9=H240,OR(LEFT(N240,3)=$W$7,LEFT(O240,3)=$W$7)),"x","")</f>
        <v/>
      </c>
      <c r="X240" s="79" t="str">
        <f>IF(OR(TH!N240=TH!$X$7,O240=TH!$X$7),"x","")</f>
        <v/>
      </c>
      <c r="Y240" s="79" t="str">
        <f>IF(AND(OR(N240="131",O240="131"),H240='131-CT'!$H$9),"x","")</f>
        <v/>
      </c>
      <c r="Z240" s="79"/>
      <c r="AA240" s="79" t="str">
        <f>IF(AND(MONTH(E240)='IN-NX'!$J$5,'IN-NX'!$D$7=D240),"x","")</f>
        <v/>
      </c>
      <c r="AB240" s="79" t="str">
        <f>IF(AND(OR(LEFT(TH!N240,2)="15",LEFT(TH!O240,2)="15"),LEFT(TH!O240,3)&lt;&gt;"111",'152-CT'!$J$8=TH!F240),"x","")</f>
        <v/>
      </c>
      <c r="AC240" s="79" t="str">
        <f>IF(AND(OR(LEFT(TH!N240,2)="15",LEFT(TH!O240,2)="15"),TK!$E$7=TH!F240),"x","")</f>
        <v/>
      </c>
      <c r="AD240" s="79" t="str">
        <f>IF(AND(N240="1521",MONTH(C240)='BK-NL'!$M$11),"x","")</f>
        <v/>
      </c>
    </row>
    <row r="241" spans="1:31" ht="16.5" customHeight="1">
      <c r="A241" s="318" t="str">
        <f>IF(B241&lt;&gt;"",IF(AND(B241='IN-TC'!$S$4,OR(TH!N241="1111",TH!O241="1111")),TH!D241,""),"")</f>
        <v/>
      </c>
      <c r="B241" s="1187">
        <f t="shared" si="39"/>
        <v>12</v>
      </c>
      <c r="C241" s="682">
        <v>43465</v>
      </c>
      <c r="D241" s="682" t="s">
        <v>532</v>
      </c>
      <c r="E241" s="682">
        <f t="shared" si="36"/>
        <v>43465</v>
      </c>
      <c r="F241" s="943" t="s">
        <v>727</v>
      </c>
      <c r="G241" s="259"/>
      <c r="H241" s="303"/>
      <c r="I241" s="385"/>
      <c r="J241" s="392"/>
      <c r="K241" s="385"/>
      <c r="L241" s="392"/>
      <c r="M241" s="686">
        <f>G237*$G240</f>
        <v>0</v>
      </c>
      <c r="N241" s="687" t="s">
        <v>272</v>
      </c>
      <c r="O241" s="687" t="s">
        <v>542</v>
      </c>
      <c r="P241" s="79" t="str">
        <f>IF(AND('331-CT'!$E$7=TH!H241,OR(N241="331",O241="331")),"x","")</f>
        <v/>
      </c>
      <c r="Q241" s="79" t="str">
        <f>IF(AND(B241='111'!$L$11,OR($N241=$Q$7,$O241=$Q$7)),"x","")</f>
        <v/>
      </c>
      <c r="R241" s="79" t="str">
        <f>IF(AND($N241=$Q$7,$B241&lt;'111'!$L$11),"x","")</f>
        <v/>
      </c>
      <c r="S241" s="79" t="str">
        <f>IF(AND($O241=$Q$7,$B241&lt;'111'!$L$11),"x","")</f>
        <v/>
      </c>
      <c r="T241" s="79" t="str">
        <f>IF(ISERROR(FIND('112'!$M$9,G241,1)),"",IF((AND(FIND('112'!$M$9,G241,1)&gt;=1,B241='112'!$K$9,OR($N241='112'!$I$6,$O241='112'!$I$6))),"x",""))</f>
        <v/>
      </c>
      <c r="U241" s="79" t="str">
        <f>IF(ISERROR(FIND('112'!$M$9,G241,1)),"",IF((AND(LEFT(G241,2)=LEFT('112'!$M$9,2),B241&lt;'112'!$K$9,$N241='112'!$I$6)),"x",""))</f>
        <v/>
      </c>
      <c r="V241" s="79" t="str">
        <f>IF(ISERROR(FIND('112'!$M$9,G241,1)),"",IF((AND(RIGHT(G241,2)=RIGHT('112'!$M$9,2),B241&lt;'112'!$K$9,$O241='112'!$I$6)),"x",""))</f>
        <v/>
      </c>
      <c r="W241" s="79" t="str">
        <f>IF(AND('341-CT'!$H$9=H241,OR(LEFT(N241,3)=$W$7,LEFT(O241,3)=$W$7)),"x","")</f>
        <v/>
      </c>
      <c r="X241" s="79" t="str">
        <f>IF(OR(TH!N241=TH!$X$7,O241=TH!$X$7),"x","")</f>
        <v/>
      </c>
      <c r="Y241" s="79" t="str">
        <f>IF(AND(OR(N241="131",O241="131"),H241='131-CT'!$H$9),"x","")</f>
        <v/>
      </c>
      <c r="Z241" s="79"/>
      <c r="AA241" s="79" t="str">
        <f>IF(AND(MONTH(E241)='IN-NX'!$J$5,'IN-NX'!$D$7=D241),"x","")</f>
        <v/>
      </c>
      <c r="AB241" s="79" t="str">
        <f>IF(AND(OR(LEFT(TH!N241,2)="15",LEFT(TH!O241,2)="15"),LEFT(TH!O241,3)&lt;&gt;"111",'152-CT'!$J$8=TH!F241),"x","")</f>
        <v/>
      </c>
      <c r="AC241" s="79" t="str">
        <f>IF(AND(OR(LEFT(TH!N241,2)="15",LEFT(TH!O241,2)="15"),TK!$E$7=TH!F241),"x","")</f>
        <v/>
      </c>
      <c r="AD241" s="79" t="str">
        <f>IF(AND(N241="1521",MONTH(C241)='BK-NL'!$M$11),"x","")</f>
        <v/>
      </c>
    </row>
    <row r="242" spans="1:31" ht="16.5" customHeight="1">
      <c r="A242" s="318" t="str">
        <f>IF(B242&lt;&gt;"",IF(AND(B242='IN-TC'!$S$4,OR(TH!N242="1111",TH!O242="1111")),TH!D242,""),"")</f>
        <v/>
      </c>
      <c r="B242" s="1187">
        <f t="shared" si="39"/>
        <v>12</v>
      </c>
      <c r="C242" s="682">
        <v>43465</v>
      </c>
      <c r="D242" s="682" t="s">
        <v>532</v>
      </c>
      <c r="E242" s="682">
        <f t="shared" ref="E242:E249" si="40">C242</f>
        <v>43465</v>
      </c>
      <c r="F242" s="943" t="s">
        <v>728</v>
      </c>
      <c r="G242" s="763" t="s">
        <v>534</v>
      </c>
      <c r="H242" s="305"/>
      <c r="I242" s="383"/>
      <c r="J242" s="390"/>
      <c r="K242" s="383"/>
      <c r="L242" s="390"/>
      <c r="M242" s="686">
        <f>ROUND(G236*$G242,0)</f>
        <v>0</v>
      </c>
      <c r="N242" s="687" t="s">
        <v>541</v>
      </c>
      <c r="O242" s="687" t="s">
        <v>543</v>
      </c>
      <c r="P242" s="79" t="str">
        <f>IF(AND('331-CT'!$E$7=TH!H242,OR(N242="331",O242="331")),"x","")</f>
        <v/>
      </c>
      <c r="Q242" s="79" t="str">
        <f>IF(AND(B242='111'!$L$11,OR($N242=$Q$7,$O242=$Q$7)),"x","")</f>
        <v/>
      </c>
      <c r="R242" s="79" t="str">
        <f>IF(AND($N242=$Q$7,$B242&lt;'111'!$L$11),"x","")</f>
        <v/>
      </c>
      <c r="S242" s="79" t="str">
        <f>IF(AND($O242=$Q$7,$B242&lt;'111'!$L$11),"x","")</f>
        <v/>
      </c>
      <c r="T242" s="79" t="str">
        <f>IF(ISERROR(FIND('112'!$M$9,G242,1)),"",IF((AND(FIND('112'!$M$9,G242,1)&gt;=1,B242='112'!$K$9,OR($N242='112'!$I$6,$O242='112'!$I$6))),"x",""))</f>
        <v/>
      </c>
      <c r="U242" s="79" t="str">
        <f>IF(ISERROR(FIND('112'!$M$9,G242,1)),"",IF((AND(LEFT(G242,2)=LEFT('112'!$M$9,2),B242&lt;'112'!$K$9,$N242='112'!$I$6)),"x",""))</f>
        <v/>
      </c>
      <c r="V242" s="79" t="str">
        <f>IF(ISERROR(FIND('112'!$M$9,G242,1)),"",IF((AND(RIGHT(G242,2)=RIGHT('112'!$M$9,2),B242&lt;'112'!$K$9,$O242='112'!$I$6)),"x",""))</f>
        <v/>
      </c>
      <c r="W242" s="79" t="str">
        <f>IF(AND('341-CT'!$H$9=H242,OR(LEFT(N242,3)=$W$7,LEFT(O242,3)=$W$7)),"x","")</f>
        <v/>
      </c>
      <c r="X242" s="79" t="str">
        <f>IF(OR(TH!N242=TH!$X$7,O242=TH!$X$7),"x","")</f>
        <v/>
      </c>
      <c r="Y242" s="79" t="str">
        <f>IF(AND(OR(N242="131",O242="131"),H242='131-CT'!$H$9),"x","")</f>
        <v/>
      </c>
      <c r="Z242" s="79"/>
      <c r="AA242" s="79" t="str">
        <f>IF(AND(MONTH(E242)='IN-NX'!$J$5,'IN-NX'!$D$7=D242),"x","")</f>
        <v/>
      </c>
      <c r="AB242" s="79" t="str">
        <f>IF(AND(OR(LEFT(TH!N242,2)="15",LEFT(TH!O242,2)="15"),LEFT(TH!O242,3)&lt;&gt;"111",'152-CT'!$J$8=TH!F242),"x","")</f>
        <v/>
      </c>
      <c r="AC242" s="79" t="str">
        <f>IF(AND(OR(LEFT(TH!N242,2)="15",LEFT(TH!O242,2)="15"),TK!$E$7=TH!F242),"x","")</f>
        <v/>
      </c>
      <c r="AD242" s="79" t="str">
        <f>IF(AND(N242="1521",MONTH(C242)='BK-NL'!$M$11),"x","")</f>
        <v/>
      </c>
    </row>
    <row r="243" spans="1:31" ht="16.5" customHeight="1">
      <c r="A243" s="318" t="str">
        <f>IF(B243&lt;&gt;"",IF(AND(B243='IN-TC'!$S$4,OR(TH!N243="1111",TH!O243="1111")),TH!D243,""),"")</f>
        <v/>
      </c>
      <c r="B243" s="1187">
        <f t="shared" si="39"/>
        <v>12</v>
      </c>
      <c r="C243" s="682">
        <v>43465</v>
      </c>
      <c r="D243" s="682" t="s">
        <v>532</v>
      </c>
      <c r="E243" s="682">
        <f t="shared" si="40"/>
        <v>43465</v>
      </c>
      <c r="F243" s="943" t="s">
        <v>729</v>
      </c>
      <c r="G243" s="259"/>
      <c r="H243" s="305"/>
      <c r="I243" s="383"/>
      <c r="J243" s="390"/>
      <c r="K243" s="383"/>
      <c r="L243" s="390"/>
      <c r="M243" s="686">
        <f>ROUND(G237*$G242,0)</f>
        <v>0</v>
      </c>
      <c r="N243" s="687" t="s">
        <v>541</v>
      </c>
      <c r="O243" s="687" t="s">
        <v>543</v>
      </c>
      <c r="P243" s="79" t="str">
        <f>IF(AND('331-CT'!$E$7=TH!H243,OR(N243="331",O243="331")),"x","")</f>
        <v/>
      </c>
      <c r="Q243" s="79" t="str">
        <f>IF(AND(B243='111'!$L$11,OR($N243=$Q$7,$O243=$Q$7)),"x","")</f>
        <v/>
      </c>
      <c r="R243" s="79" t="str">
        <f>IF(AND($N243=$Q$7,$B243&lt;'111'!$L$11),"x","")</f>
        <v/>
      </c>
      <c r="S243" s="79" t="str">
        <f>IF(AND($O243=$Q$7,$B243&lt;'111'!$L$11),"x","")</f>
        <v/>
      </c>
      <c r="T243" s="79" t="str">
        <f>IF(ISERROR(FIND('112'!$M$9,G243,1)),"",IF((AND(FIND('112'!$M$9,G243,1)&gt;=1,B243='112'!$K$9,OR($N243='112'!$I$6,$O243='112'!$I$6))),"x",""))</f>
        <v/>
      </c>
      <c r="U243" s="79" t="str">
        <f>IF(ISERROR(FIND('112'!$M$9,G243,1)),"",IF((AND(LEFT(G243,2)=LEFT('112'!$M$9,2),B243&lt;'112'!$K$9,$N243='112'!$I$6)),"x",""))</f>
        <v/>
      </c>
      <c r="V243" s="79" t="str">
        <f>IF(ISERROR(FIND('112'!$M$9,G243,1)),"",IF((AND(RIGHT(G243,2)=RIGHT('112'!$M$9,2),B243&lt;'112'!$K$9,$O243='112'!$I$6)),"x",""))</f>
        <v/>
      </c>
      <c r="W243" s="79" t="str">
        <f>IF(AND('341-CT'!$H$9=H243,OR(LEFT(N243,3)=$W$7,LEFT(O243,3)=$W$7)),"x","")</f>
        <v/>
      </c>
      <c r="X243" s="79" t="str">
        <f>IF(OR(TH!N243=TH!$X$7,O243=TH!$X$7),"x","")</f>
        <v/>
      </c>
      <c r="Y243" s="79" t="str">
        <f>IF(AND(OR(N243="131",O243="131"),H243='131-CT'!$H$9),"x","")</f>
        <v/>
      </c>
      <c r="Z243" s="79"/>
      <c r="AA243" s="79" t="str">
        <f>IF(AND(MONTH(E243)='IN-NX'!$J$5,'IN-NX'!$D$7=D243),"x","")</f>
        <v/>
      </c>
      <c r="AB243" s="79" t="str">
        <f>IF(AND(OR(LEFT(TH!N243,2)="15",LEFT(TH!O243,2)="15"),LEFT(TH!O243,3)&lt;&gt;"111",'152-CT'!$J$8=TH!F243),"x","")</f>
        <v/>
      </c>
      <c r="AC243" s="79" t="str">
        <f>IF(AND(OR(LEFT(TH!N243,2)="15",LEFT(TH!O243,2)="15"),TK!$E$7=TH!F243),"x","")</f>
        <v/>
      </c>
      <c r="AD243" s="79" t="str">
        <f>IF(AND(N243="1521",MONTH(C243)='BK-NL'!$M$11),"x","")</f>
        <v/>
      </c>
    </row>
    <row r="244" spans="1:31" ht="16.5" customHeight="1">
      <c r="A244" s="318" t="str">
        <f>IF(B244&lt;&gt;"",IF(AND(B244='IN-TC'!$S$4,OR(TH!N244="1111",TH!O244="1111")),TH!D244,""),"")</f>
        <v/>
      </c>
      <c r="B244" s="1187">
        <f t="shared" si="39"/>
        <v>12</v>
      </c>
      <c r="C244" s="682">
        <v>43465</v>
      </c>
      <c r="D244" s="682" t="s">
        <v>532</v>
      </c>
      <c r="E244" s="682">
        <f t="shared" si="40"/>
        <v>43465</v>
      </c>
      <c r="F244" s="943" t="s">
        <v>730</v>
      </c>
      <c r="G244" s="763" t="s">
        <v>535</v>
      </c>
      <c r="H244" s="303"/>
      <c r="I244" s="385"/>
      <c r="J244" s="392"/>
      <c r="K244" s="385"/>
      <c r="L244" s="392"/>
      <c r="M244" s="686">
        <f>G236*$G244</f>
        <v>0</v>
      </c>
      <c r="N244" s="687" t="s">
        <v>540</v>
      </c>
      <c r="O244" s="687" t="s">
        <v>543</v>
      </c>
      <c r="P244" s="79" t="str">
        <f>IF(AND('331-CT'!$E$7=TH!H244,OR(N244="331",O244="331")),"x","")</f>
        <v/>
      </c>
      <c r="Q244" s="79" t="str">
        <f>IF(AND(B244='111'!$L$11,OR($N244=$Q$7,$O244=$Q$7)),"x","")</f>
        <v/>
      </c>
      <c r="R244" s="79" t="str">
        <f>IF(AND($N244=$Q$7,$B244&lt;'111'!$L$11),"x","")</f>
        <v/>
      </c>
      <c r="S244" s="79" t="str">
        <f>IF(AND($O244=$Q$7,$B244&lt;'111'!$L$11),"x","")</f>
        <v/>
      </c>
      <c r="T244" s="79" t="str">
        <f>IF(ISERROR(FIND('112'!$M$9,G244,1)),"",IF((AND(FIND('112'!$M$9,G244,1)&gt;=1,B244='112'!$K$9,OR($N244='112'!$I$6,$O244='112'!$I$6))),"x",""))</f>
        <v/>
      </c>
      <c r="U244" s="79" t="str">
        <f>IF(ISERROR(FIND('112'!$M$9,G244,1)),"",IF((AND(LEFT(G244,2)=LEFT('112'!$M$9,2),B244&lt;'112'!$K$9,$N244='112'!$I$6)),"x",""))</f>
        <v/>
      </c>
      <c r="V244" s="79" t="str">
        <f>IF(ISERROR(FIND('112'!$M$9,G244,1)),"",IF((AND(RIGHT(G244,2)=RIGHT('112'!$M$9,2),B244&lt;'112'!$K$9,$O244='112'!$I$6)),"x",""))</f>
        <v/>
      </c>
      <c r="W244" s="79" t="str">
        <f>IF(AND('341-CT'!$H$9=H244,OR(LEFT(N244,3)=$W$7,LEFT(O244,3)=$W$7)),"x","")</f>
        <v/>
      </c>
      <c r="X244" s="79" t="str">
        <f>IF(OR(TH!N244=TH!$X$7,O244=TH!$X$7),"x","")</f>
        <v/>
      </c>
      <c r="Y244" s="79" t="str">
        <f>IF(AND(OR(N244="131",O244="131"),H244='131-CT'!$H$9),"x","")</f>
        <v/>
      </c>
      <c r="Z244" s="79"/>
      <c r="AA244" s="79" t="str">
        <f>IF(AND(MONTH(E244)='IN-NX'!$J$5,'IN-NX'!$D$7=D244),"x","")</f>
        <v/>
      </c>
      <c r="AB244" s="79" t="str">
        <f>IF(AND(OR(LEFT(TH!N244,2)="15",LEFT(TH!O244,2)="15"),LEFT(TH!O244,3)&lt;&gt;"111",'152-CT'!$J$8=TH!F244),"x","")</f>
        <v/>
      </c>
      <c r="AC244" s="79" t="str">
        <f>IF(AND(OR(LEFT(TH!N244,2)="15",LEFT(TH!O244,2)="15"),TK!$E$7=TH!F244),"x","")</f>
        <v/>
      </c>
      <c r="AD244" s="79" t="str">
        <f>IF(AND(N244="1521",MONTH(C244)='BK-NL'!$M$11),"x","")</f>
        <v/>
      </c>
    </row>
    <row r="245" spans="1:31" ht="16.5" customHeight="1">
      <c r="A245" s="318" t="str">
        <f>IF(B245&lt;&gt;"",IF(AND(B245='IN-TC'!$S$4,OR(TH!N245="1111",TH!O245="1111")),TH!D245,""),"")</f>
        <v/>
      </c>
      <c r="B245" s="1187">
        <f t="shared" si="39"/>
        <v>12</v>
      </c>
      <c r="C245" s="682">
        <v>43465</v>
      </c>
      <c r="D245" s="682" t="s">
        <v>532</v>
      </c>
      <c r="E245" s="682">
        <f t="shared" si="40"/>
        <v>43465</v>
      </c>
      <c r="F245" s="943" t="s">
        <v>731</v>
      </c>
      <c r="G245" s="259"/>
      <c r="H245" s="303"/>
      <c r="I245" s="385"/>
      <c r="J245" s="392"/>
      <c r="K245" s="385"/>
      <c r="L245" s="392"/>
      <c r="M245" s="686">
        <f>G237*$G244</f>
        <v>0</v>
      </c>
      <c r="N245" s="687" t="s">
        <v>272</v>
      </c>
      <c r="O245" s="687" t="s">
        <v>543</v>
      </c>
      <c r="P245" s="79" t="str">
        <f>IF(AND('331-CT'!$E$7=TH!H245,OR(N245="331",O245="331")),"x","")</f>
        <v/>
      </c>
      <c r="Q245" s="79" t="str">
        <f>IF(AND(B245='111'!$L$11,OR($N245=$Q$7,$O245=$Q$7)),"x","")</f>
        <v/>
      </c>
      <c r="R245" s="79" t="str">
        <f>IF(AND($N245=$Q$7,$B245&lt;'111'!$L$11),"x","")</f>
        <v/>
      </c>
      <c r="S245" s="79" t="str">
        <f>IF(AND($O245=$Q$7,$B245&lt;'111'!$L$11),"x","")</f>
        <v/>
      </c>
      <c r="T245" s="79" t="str">
        <f>IF(ISERROR(FIND('112'!$M$9,G245,1)),"",IF((AND(FIND('112'!$M$9,G245,1)&gt;=1,B245='112'!$K$9,OR($N245='112'!$I$6,$O245='112'!$I$6))),"x",""))</f>
        <v/>
      </c>
      <c r="U245" s="79" t="str">
        <f>IF(ISERROR(FIND('112'!$M$9,G245,1)),"",IF((AND(LEFT(G245,2)=LEFT('112'!$M$9,2),B245&lt;'112'!$K$9,$N245='112'!$I$6)),"x",""))</f>
        <v/>
      </c>
      <c r="V245" s="79" t="str">
        <f>IF(ISERROR(FIND('112'!$M$9,G245,1)),"",IF((AND(RIGHT(G245,2)=RIGHT('112'!$M$9,2),B245&lt;'112'!$K$9,$O245='112'!$I$6)),"x",""))</f>
        <v/>
      </c>
      <c r="W245" s="79" t="str">
        <f>IF(AND('341-CT'!$H$9=H245,OR(LEFT(N245,3)=$W$7,LEFT(O245,3)=$W$7)),"x","")</f>
        <v/>
      </c>
      <c r="X245" s="79" t="str">
        <f>IF(OR(TH!N245=TH!$X$7,O245=TH!$X$7),"x","")</f>
        <v/>
      </c>
      <c r="Y245" s="79" t="str">
        <f>IF(AND(OR(N245="131",O245="131"),H245='131-CT'!$H$9),"x","")</f>
        <v/>
      </c>
      <c r="Z245" s="79"/>
      <c r="AA245" s="79" t="str">
        <f>IF(AND(MONTH(E245)='IN-NX'!$J$5,'IN-NX'!$D$7=D245),"x","")</f>
        <v/>
      </c>
      <c r="AB245" s="79" t="str">
        <f>IF(AND(OR(LEFT(TH!N245,2)="15",LEFT(TH!O245,2)="15"),LEFT(TH!O245,3)&lt;&gt;"111",'152-CT'!$J$8=TH!F245),"x","")</f>
        <v/>
      </c>
      <c r="AC245" s="79" t="str">
        <f>IF(AND(OR(LEFT(TH!N245,2)="15",LEFT(TH!O245,2)="15"),TK!$E$7=TH!F245),"x","")</f>
        <v/>
      </c>
      <c r="AD245" s="79" t="str">
        <f>IF(AND(N245="1521",MONTH(C245)='BK-NL'!$M$11),"x","")</f>
        <v/>
      </c>
    </row>
    <row r="246" spans="1:31" ht="16.5" customHeight="1">
      <c r="A246" s="318" t="str">
        <f>IF(B246&lt;&gt;"",IF(AND(B246='IN-TC'!$S$4,OR(TH!N246="1111",TH!O246="1111")),TH!D246,""),"")</f>
        <v/>
      </c>
      <c r="B246" s="1187">
        <f t="shared" si="39"/>
        <v>12</v>
      </c>
      <c r="C246" s="682">
        <v>43465</v>
      </c>
      <c r="D246" s="682" t="s">
        <v>532</v>
      </c>
      <c r="E246" s="682">
        <f t="shared" si="40"/>
        <v>43465</v>
      </c>
      <c r="F246" s="943" t="s">
        <v>732</v>
      </c>
      <c r="G246" s="763" t="s">
        <v>536</v>
      </c>
      <c r="H246" s="303"/>
      <c r="I246" s="385"/>
      <c r="J246" s="392"/>
      <c r="K246" s="385"/>
      <c r="L246" s="392"/>
      <c r="M246" s="686">
        <f>G236*$G246</f>
        <v>0</v>
      </c>
      <c r="N246" s="687" t="s">
        <v>541</v>
      </c>
      <c r="O246" s="687" t="s">
        <v>544</v>
      </c>
      <c r="P246" s="79" t="str">
        <f>IF(AND('331-CT'!$E$7=TH!H246,OR(N246="331",O246="331")),"x","")</f>
        <v/>
      </c>
      <c r="Q246" s="79" t="str">
        <f>IF(AND(B246='111'!$L$11,OR($N246=$Q$7,$O246=$Q$7)),"x","")</f>
        <v/>
      </c>
      <c r="R246" s="79" t="str">
        <f>IF(AND($N246=$Q$7,$B246&lt;'111'!$L$11),"x","")</f>
        <v/>
      </c>
      <c r="S246" s="79" t="str">
        <f>IF(AND($O246=$Q$7,$B246&lt;'111'!$L$11),"x","")</f>
        <v/>
      </c>
      <c r="T246" s="79" t="str">
        <f>IF(ISERROR(FIND('112'!$M$9,G246,1)),"",IF((AND(FIND('112'!$M$9,G246,1)&gt;=1,B246='112'!$K$9,OR($N246='112'!$I$6,$O246='112'!$I$6))),"x",""))</f>
        <v/>
      </c>
      <c r="U246" s="79" t="str">
        <f>IF(ISERROR(FIND('112'!$M$9,G246,1)),"",IF((AND(LEFT(G246,2)=LEFT('112'!$M$9,2),B246&lt;'112'!$K$9,$N246='112'!$I$6)),"x",""))</f>
        <v/>
      </c>
      <c r="V246" s="79" t="str">
        <f>IF(ISERROR(FIND('112'!$M$9,G246,1)),"",IF((AND(RIGHT(G246,2)=RIGHT('112'!$M$9,2),B246&lt;'112'!$K$9,$O246='112'!$I$6)),"x",""))</f>
        <v/>
      </c>
      <c r="W246" s="79" t="str">
        <f>IF(AND('341-CT'!$H$9=H246,OR(LEFT(N246,3)=$W$7,LEFT(O246,3)=$W$7)),"x","")</f>
        <v/>
      </c>
      <c r="X246" s="79" t="str">
        <f>IF(OR(TH!N246=TH!$X$7,O246=TH!$X$7),"x","")</f>
        <v/>
      </c>
      <c r="Y246" s="79" t="str">
        <f>IF(AND(OR(N246="131",O246="131"),H246='131-CT'!$H$9),"x","")</f>
        <v/>
      </c>
      <c r="Z246" s="79"/>
      <c r="AA246" s="79" t="str">
        <f>IF(AND(MONTH(E246)='IN-NX'!$J$5,'IN-NX'!$D$7=D246),"x","")</f>
        <v/>
      </c>
      <c r="AB246" s="79" t="str">
        <f>IF(AND(OR(LEFT(TH!N246,2)="15",LEFT(TH!O246,2)="15"),LEFT(TH!O246,3)&lt;&gt;"111",'152-CT'!$J$8=TH!F246),"x","")</f>
        <v/>
      </c>
      <c r="AC246" s="79" t="str">
        <f>IF(AND(OR(LEFT(TH!N246,2)="15",LEFT(TH!O246,2)="15"),TK!$E$7=TH!F246),"x","")</f>
        <v/>
      </c>
      <c r="AD246" s="79" t="str">
        <f>IF(AND(N246="1521",MONTH(C246)='BK-NL'!$M$11),"x","")</f>
        <v/>
      </c>
    </row>
    <row r="247" spans="1:31" ht="16.5" customHeight="1">
      <c r="A247" s="318" t="str">
        <f>IF(B247&lt;&gt;"",IF(AND(B247='IN-TC'!$S$4,OR(TH!N247="1111",TH!O247="1111")),TH!D247,""),"")</f>
        <v/>
      </c>
      <c r="B247" s="1187">
        <f t="shared" si="39"/>
        <v>12</v>
      </c>
      <c r="C247" s="682">
        <v>43465</v>
      </c>
      <c r="D247" s="682" t="s">
        <v>532</v>
      </c>
      <c r="E247" s="682">
        <f t="shared" si="40"/>
        <v>43465</v>
      </c>
      <c r="F247" s="943" t="s">
        <v>733</v>
      </c>
      <c r="G247" s="259"/>
      <c r="H247" s="303"/>
      <c r="I247" s="385"/>
      <c r="J247" s="392"/>
      <c r="K247" s="385"/>
      <c r="L247" s="392"/>
      <c r="M247" s="686">
        <f>G237*$G246</f>
        <v>0</v>
      </c>
      <c r="N247" s="687" t="s">
        <v>541</v>
      </c>
      <c r="O247" s="687" t="s">
        <v>544</v>
      </c>
      <c r="P247" s="79" t="str">
        <f>IF(AND('331-CT'!$E$7=TH!H247,OR(N247="331",O247="331")),"x","")</f>
        <v/>
      </c>
      <c r="Q247" s="79" t="str">
        <f>IF(AND(B247='111'!$L$11,OR($N247=$Q$7,$O247=$Q$7)),"x","")</f>
        <v/>
      </c>
      <c r="R247" s="79" t="str">
        <f>IF(AND($N247=$Q$7,$B247&lt;'111'!$L$11),"x","")</f>
        <v/>
      </c>
      <c r="S247" s="79" t="str">
        <f>IF(AND($O247=$Q$7,$B247&lt;'111'!$L$11),"x","")</f>
        <v/>
      </c>
      <c r="T247" s="79" t="str">
        <f>IF(ISERROR(FIND('112'!$M$9,G247,1)),"",IF((AND(FIND('112'!$M$9,G247,1)&gt;=1,B247='112'!$K$9,OR($N247='112'!$I$6,$O247='112'!$I$6))),"x",""))</f>
        <v/>
      </c>
      <c r="U247" s="79" t="str">
        <f>IF(ISERROR(FIND('112'!$M$9,G247,1)),"",IF((AND(LEFT(G247,2)=LEFT('112'!$M$9,2),B247&lt;'112'!$K$9,$N247='112'!$I$6)),"x",""))</f>
        <v/>
      </c>
      <c r="V247" s="79" t="str">
        <f>IF(ISERROR(FIND('112'!$M$9,G247,1)),"",IF((AND(RIGHT(G247,2)=RIGHT('112'!$M$9,2),B247&lt;'112'!$K$9,$O247='112'!$I$6)),"x",""))</f>
        <v/>
      </c>
      <c r="W247" s="79" t="str">
        <f>IF(AND('341-CT'!$H$9=H247,OR(LEFT(N247,3)=$W$7,LEFT(O247,3)=$W$7)),"x","")</f>
        <v/>
      </c>
      <c r="X247" s="79" t="str">
        <f>IF(OR(TH!N247=TH!$X$7,O247=TH!$X$7),"x","")</f>
        <v/>
      </c>
      <c r="Y247" s="79" t="str">
        <f>IF(AND(OR(N247="131",O247="131"),H247='131-CT'!$H$9),"x","")</f>
        <v/>
      </c>
      <c r="Z247" s="79"/>
      <c r="AA247" s="79" t="str">
        <f>IF(AND(MONTH(E247)='IN-NX'!$J$5,'IN-NX'!$D$7=D247),"x","")</f>
        <v/>
      </c>
      <c r="AB247" s="79" t="str">
        <f>IF(AND(OR(LEFT(TH!N247,2)="15",LEFT(TH!O247,2)="15"),LEFT(TH!O247,3)&lt;&gt;"111",'152-CT'!$J$8=TH!F247),"x","")</f>
        <v/>
      </c>
      <c r="AC247" s="79" t="str">
        <f>IF(AND(OR(LEFT(TH!N247,2)="15",LEFT(TH!O247,2)="15"),TK!$E$7=TH!F247),"x","")</f>
        <v/>
      </c>
      <c r="AD247" s="79" t="str">
        <f>IF(AND(N247="1521",MONTH(C247)='BK-NL'!$M$11),"x","")</f>
        <v/>
      </c>
    </row>
    <row r="248" spans="1:31" ht="16.5" customHeight="1">
      <c r="A248" s="318" t="str">
        <f>IF(B248&lt;&gt;"",IF(AND(B248='IN-TC'!$S$4,OR(TH!N248="1111",TH!O248="1111")),TH!D248,""),"")</f>
        <v/>
      </c>
      <c r="B248" s="1187">
        <f t="shared" si="39"/>
        <v>12</v>
      </c>
      <c r="C248" s="682">
        <v>43465</v>
      </c>
      <c r="D248" s="682" t="s">
        <v>532</v>
      </c>
      <c r="E248" s="682">
        <f t="shared" si="40"/>
        <v>43465</v>
      </c>
      <c r="F248" s="943" t="s">
        <v>734</v>
      </c>
      <c r="G248" s="763" t="s">
        <v>536</v>
      </c>
      <c r="H248" s="901"/>
      <c r="I248" s="386"/>
      <c r="J248" s="393"/>
      <c r="K248" s="386"/>
      <c r="L248" s="393"/>
      <c r="M248" s="686">
        <f>M246</f>
        <v>0</v>
      </c>
      <c r="N248" s="687" t="s">
        <v>540</v>
      </c>
      <c r="O248" s="687" t="s">
        <v>544</v>
      </c>
      <c r="P248" s="79" t="str">
        <f>IF(AND('331-CT'!$E$7=TH!H248,OR(N248="331",O248="331")),"x","")</f>
        <v/>
      </c>
      <c r="Q248" s="79" t="str">
        <f>IF(AND(B248='111'!$L$11,OR($N248=$Q$7,$O248=$Q$7)),"x","")</f>
        <v/>
      </c>
      <c r="R248" s="79" t="str">
        <f>IF(AND($N248=$Q$7,$B248&lt;'111'!$L$11),"x","")</f>
        <v/>
      </c>
      <c r="S248" s="79" t="str">
        <f>IF(AND($O248=$Q$7,$B248&lt;'111'!$L$11),"x","")</f>
        <v/>
      </c>
      <c r="T248" s="79" t="str">
        <f>IF(ISERROR(FIND('112'!$M$9,G248,1)),"",IF((AND(FIND('112'!$M$9,G248,1)&gt;=1,B248='112'!$K$9,OR($N248='112'!$I$6,$O248='112'!$I$6))),"x",""))</f>
        <v/>
      </c>
      <c r="U248" s="79" t="str">
        <f>IF(ISERROR(FIND('112'!$M$9,G248,1)),"",IF((AND(LEFT(G248,2)=LEFT('112'!$M$9,2),B248&lt;'112'!$K$9,$N248='112'!$I$6)),"x",""))</f>
        <v/>
      </c>
      <c r="V248" s="79" t="str">
        <f>IF(ISERROR(FIND('112'!$M$9,G248,1)),"",IF((AND(RIGHT(G248,2)=RIGHT('112'!$M$9,2),B248&lt;'112'!$K$9,$O248='112'!$I$6)),"x",""))</f>
        <v/>
      </c>
      <c r="W248" s="79" t="str">
        <f>IF(AND('341-CT'!$H$9=H248,OR(LEFT(N248,3)=$W$7,LEFT(O248,3)=$W$7)),"x","")</f>
        <v/>
      </c>
      <c r="X248" s="79" t="str">
        <f>IF(OR(TH!N248=TH!$X$7,O248=TH!$X$7),"x","")</f>
        <v/>
      </c>
      <c r="Y248" s="79" t="str">
        <f>IF(AND(OR(N248="131",O248="131"),H248='131-CT'!$H$9),"x","")</f>
        <v/>
      </c>
      <c r="Z248" s="79"/>
      <c r="AA248" s="79" t="str">
        <f>IF(AND(MONTH(E248)='IN-NX'!$J$5,'IN-NX'!$D$7=D248),"x","")</f>
        <v/>
      </c>
      <c r="AB248" s="79" t="str">
        <f>IF(AND(OR(LEFT(TH!N248,2)="15",LEFT(TH!O248,2)="15"),LEFT(TH!O248,3)&lt;&gt;"111",'152-CT'!$J$8=TH!F248),"x","")</f>
        <v/>
      </c>
      <c r="AC248" s="79" t="str">
        <f>IF(AND(OR(LEFT(TH!N248,2)="15",LEFT(TH!O248,2)="15"),TK!$E$7=TH!F248),"x","")</f>
        <v/>
      </c>
      <c r="AD248" s="79" t="str">
        <f>IF(AND(N248="1521",MONTH(C248)='BK-NL'!$M$11),"x","")</f>
        <v/>
      </c>
    </row>
    <row r="249" spans="1:31" ht="16.5" customHeight="1">
      <c r="A249" s="318" t="str">
        <f>IF(B249&lt;&gt;"",IF(AND(B249='IN-TC'!$S$4,OR(TH!N249="1111",TH!O249="1111")),TH!D249,""),"")</f>
        <v/>
      </c>
      <c r="B249" s="1187">
        <f t="shared" si="39"/>
        <v>12</v>
      </c>
      <c r="C249" s="682">
        <v>43465</v>
      </c>
      <c r="D249" s="682" t="s">
        <v>532</v>
      </c>
      <c r="E249" s="682">
        <f t="shared" si="40"/>
        <v>43465</v>
      </c>
      <c r="F249" s="943" t="s">
        <v>735</v>
      </c>
      <c r="G249" s="259"/>
      <c r="H249" s="303"/>
      <c r="I249" s="385"/>
      <c r="J249" s="392"/>
      <c r="K249" s="385"/>
      <c r="L249" s="392"/>
      <c r="M249" s="686">
        <f>M247</f>
        <v>0</v>
      </c>
      <c r="N249" s="687" t="s">
        <v>272</v>
      </c>
      <c r="O249" s="687" t="s">
        <v>544</v>
      </c>
      <c r="P249" s="79" t="str">
        <f>IF(AND('331-CT'!$E$7=TH!H249,OR(N249="331",O249="331")),"x","")</f>
        <v/>
      </c>
      <c r="Q249" s="79" t="str">
        <f>IF(AND(B249='111'!$L$11,OR($N249=$Q$7,$O249=$Q$7)),"x","")</f>
        <v/>
      </c>
      <c r="R249" s="79" t="str">
        <f>IF(AND($N249=$Q$7,$B249&lt;'111'!$L$11),"x","")</f>
        <v/>
      </c>
      <c r="S249" s="79" t="str">
        <f>IF(AND($O249=$Q$7,$B249&lt;'111'!$L$11),"x","")</f>
        <v/>
      </c>
      <c r="T249" s="79" t="str">
        <f>IF(ISERROR(FIND('112'!$M$9,G249,1)),"",IF((AND(FIND('112'!$M$9,G249,1)&gt;=1,B249='112'!$K$9,OR($N249='112'!$I$6,$O249='112'!$I$6))),"x",""))</f>
        <v/>
      </c>
      <c r="U249" s="79" t="str">
        <f>IF(ISERROR(FIND('112'!$M$9,G249,1)),"",IF((AND(LEFT(G249,2)=LEFT('112'!$M$9,2),B249&lt;'112'!$K$9,$N249='112'!$I$6)),"x",""))</f>
        <v/>
      </c>
      <c r="V249" s="79" t="str">
        <f>IF(ISERROR(FIND('112'!$M$9,G249,1)),"",IF((AND(RIGHT(G249,2)=RIGHT('112'!$M$9,2),B249&lt;'112'!$K$9,$O249='112'!$I$6)),"x",""))</f>
        <v/>
      </c>
      <c r="W249" s="79" t="str">
        <f>IF(AND('341-CT'!$H$9=H249,OR(LEFT(N249,3)=$W$7,LEFT(O249,3)=$W$7)),"x","")</f>
        <v/>
      </c>
      <c r="X249" s="79" t="str">
        <f>IF(OR(TH!N249=TH!$X$7,O249=TH!$X$7),"x","")</f>
        <v/>
      </c>
      <c r="Y249" s="79" t="str">
        <f>IF(AND(OR(N249="131",O249="131"),H249='131-CT'!$H$9),"x","")</f>
        <v/>
      </c>
      <c r="Z249" s="79"/>
      <c r="AA249" s="79" t="str">
        <f>IF(AND(MONTH(E249)='IN-NX'!$J$5,'IN-NX'!$D$7=D249),"x","")</f>
        <v/>
      </c>
      <c r="AB249" s="79" t="str">
        <f>IF(AND(OR(LEFT(TH!N249,2)="15",LEFT(TH!O249,2)="15"),LEFT(TH!O249,3)&lt;&gt;"111",'152-CT'!$J$8=TH!F249),"x","")</f>
        <v/>
      </c>
      <c r="AC249" s="79" t="str">
        <f>IF(AND(OR(LEFT(TH!N249,2)="15",LEFT(TH!O249,2)="15"),TK!$E$7=TH!F249),"x","")</f>
        <v/>
      </c>
      <c r="AD249" s="79" t="str">
        <f>IF(AND(N249="1521",MONTH(C249)='BK-NL'!$M$11),"x","")</f>
        <v/>
      </c>
    </row>
    <row r="250" spans="1:31" ht="16.5" customHeight="1">
      <c r="A250" s="318" t="str">
        <f>IF(B250&lt;&gt;"",IF(AND(B250='IN-TC'!$S$4,OR(TH!N250="1111",TH!O250="1111")),TH!D250,""),"")</f>
        <v/>
      </c>
      <c r="B250" s="1187">
        <f t="shared" si="39"/>
        <v>12</v>
      </c>
      <c r="C250" s="682">
        <v>43465</v>
      </c>
      <c r="D250" s="682" t="s">
        <v>532</v>
      </c>
      <c r="E250" s="682">
        <f t="shared" ref="E250:E252" si="41">C250</f>
        <v>43465</v>
      </c>
      <c r="F250" s="943" t="s">
        <v>954</v>
      </c>
      <c r="G250" s="763" t="s">
        <v>956</v>
      </c>
      <c r="H250" s="901"/>
      <c r="I250" s="386"/>
      <c r="J250" s="393"/>
      <c r="K250" s="386"/>
      <c r="L250" s="393"/>
      <c r="M250" s="686">
        <f>G236*$G250</f>
        <v>0</v>
      </c>
      <c r="N250" s="687" t="s">
        <v>540</v>
      </c>
      <c r="O250" s="687" t="s">
        <v>19</v>
      </c>
      <c r="P250" s="79" t="str">
        <f>IF(AND('331-CT'!$E$7=TH!H250,OR(N250="331",O250="331")),"x","")</f>
        <v/>
      </c>
      <c r="Q250" s="79" t="str">
        <f>IF(AND(B250='111'!$L$11,OR($N250=$Q$7,$O250=$Q$7)),"x","")</f>
        <v/>
      </c>
      <c r="R250" s="79" t="str">
        <f>IF(AND($N250=$Q$7,$B250&lt;'111'!$L$11),"x","")</f>
        <v/>
      </c>
      <c r="S250" s="79" t="str">
        <f>IF(AND($O250=$Q$7,$B250&lt;'111'!$L$11),"x","")</f>
        <v/>
      </c>
      <c r="T250" s="79" t="str">
        <f>IF(ISERROR(FIND('112'!$M$9,G250,1)),"",IF((AND(FIND('112'!$M$9,G250,1)&gt;=1,B250='112'!$K$9,OR($N250='112'!$I$6,$O250='112'!$I$6))),"x",""))</f>
        <v/>
      </c>
      <c r="U250" s="79" t="str">
        <f>IF(ISERROR(FIND('112'!$M$9,G250,1)),"",IF((AND(LEFT(G250,2)=LEFT('112'!$M$9,2),B250&lt;'112'!$K$9,$N250='112'!$I$6)),"x",""))</f>
        <v/>
      </c>
      <c r="V250" s="79" t="str">
        <f>IF(ISERROR(FIND('112'!$M$9,G250,1)),"",IF((AND(RIGHT(G250,2)=RIGHT('112'!$M$9,2),B250&lt;'112'!$K$9,$O250='112'!$I$6)),"x",""))</f>
        <v/>
      </c>
      <c r="W250" s="79" t="str">
        <f>IF(AND('341-CT'!$H$9=H250,OR(LEFT(N250,3)=$W$7,LEFT(O250,3)=$W$7)),"x","")</f>
        <v/>
      </c>
      <c r="X250" s="79" t="str">
        <f>IF(OR(TH!N250=TH!$X$7,O250=TH!$X$7),"x","")</f>
        <v/>
      </c>
      <c r="Y250" s="79" t="str">
        <f>IF(AND(OR(N250="131",O250="131"),H250='131-CT'!$H$9),"x","")</f>
        <v/>
      </c>
      <c r="Z250" s="79"/>
      <c r="AA250" s="79" t="str">
        <f>IF(AND(MONTH(E250)='IN-NX'!$J$5,'IN-NX'!$D$7=D250),"x","")</f>
        <v/>
      </c>
      <c r="AB250" s="79" t="str">
        <f>IF(AND(OR(LEFT(TH!N250,2)="15",LEFT(TH!O250,2)="15"),LEFT(TH!O250,3)&lt;&gt;"111",'152-CT'!$J$8=TH!F250),"x","")</f>
        <v/>
      </c>
      <c r="AC250" s="79" t="str">
        <f>IF(AND(OR(LEFT(TH!N250,2)="15",LEFT(TH!O250,2)="15"),TK!$E$7=TH!F250),"x","")</f>
        <v/>
      </c>
      <c r="AD250" s="79" t="str">
        <f>IF(AND(N250="1521",MONTH(C250)='BK-NL'!$M$11),"x","")</f>
        <v/>
      </c>
    </row>
    <row r="251" spans="1:31" ht="16.5" customHeight="1">
      <c r="A251" s="318" t="str">
        <f>IF(B251&lt;&gt;"",IF(AND(B251='IN-TC'!$S$4,OR(TH!N251="1111",TH!O251="1111")),TH!D251,""),"")</f>
        <v/>
      </c>
      <c r="B251" s="1187">
        <f t="shared" si="39"/>
        <v>12</v>
      </c>
      <c r="C251" s="682">
        <v>43465</v>
      </c>
      <c r="D251" s="682" t="s">
        <v>532</v>
      </c>
      <c r="E251" s="682">
        <f t="shared" si="41"/>
        <v>43465</v>
      </c>
      <c r="F251" s="943" t="s">
        <v>955</v>
      </c>
      <c r="G251" s="259"/>
      <c r="H251" s="303"/>
      <c r="I251" s="385"/>
      <c r="J251" s="392"/>
      <c r="K251" s="385"/>
      <c r="L251" s="392"/>
      <c r="M251" s="686">
        <f>G237*$G250</f>
        <v>0</v>
      </c>
      <c r="N251" s="687" t="s">
        <v>272</v>
      </c>
      <c r="O251" s="687" t="s">
        <v>19</v>
      </c>
      <c r="P251" s="79" t="str">
        <f>IF(AND('331-CT'!$E$7=TH!H251,OR(N251="331",O251="331")),"x","")</f>
        <v/>
      </c>
      <c r="Q251" s="79" t="str">
        <f>IF(AND(B251='111'!$L$11,OR($N251=$Q$7,$O251=$Q$7)),"x","")</f>
        <v/>
      </c>
      <c r="R251" s="79" t="str">
        <f>IF(AND($N251=$Q$7,$B251&lt;'111'!$L$11),"x","")</f>
        <v/>
      </c>
      <c r="S251" s="79" t="str">
        <f>IF(AND($O251=$Q$7,$B251&lt;'111'!$L$11),"x","")</f>
        <v/>
      </c>
      <c r="T251" s="79" t="str">
        <f>IF(ISERROR(FIND('112'!$M$9,G251,1)),"",IF((AND(FIND('112'!$M$9,G251,1)&gt;=1,B251='112'!$K$9,OR($N251='112'!$I$6,$O251='112'!$I$6))),"x",""))</f>
        <v/>
      </c>
      <c r="U251" s="79" t="str">
        <f>IF(ISERROR(FIND('112'!$M$9,G251,1)),"",IF((AND(LEFT(G251,2)=LEFT('112'!$M$9,2),B251&lt;'112'!$K$9,$N251='112'!$I$6)),"x",""))</f>
        <v/>
      </c>
      <c r="V251" s="79" t="str">
        <f>IF(ISERROR(FIND('112'!$M$9,G251,1)),"",IF((AND(RIGHT(G251,2)=RIGHT('112'!$M$9,2),B251&lt;'112'!$K$9,$O251='112'!$I$6)),"x",""))</f>
        <v/>
      </c>
      <c r="W251" s="79" t="str">
        <f>IF(AND('341-CT'!$H$9=H251,OR(LEFT(N251,3)=$W$7,LEFT(O251,3)=$W$7)),"x","")</f>
        <v/>
      </c>
      <c r="X251" s="79" t="str">
        <f>IF(OR(TH!N251=TH!$X$7,O251=TH!$X$7),"x","")</f>
        <v/>
      </c>
      <c r="Y251" s="79" t="str">
        <f>IF(AND(OR(N251="131",O251="131"),H251='131-CT'!$H$9),"x","")</f>
        <v/>
      </c>
      <c r="Z251" s="79"/>
      <c r="AA251" s="79" t="str">
        <f>IF(AND(MONTH(E251)='IN-NX'!$J$5,'IN-NX'!$D$7=D251),"x","")</f>
        <v/>
      </c>
      <c r="AB251" s="79" t="str">
        <f>IF(AND(OR(LEFT(TH!N251,2)="15",LEFT(TH!O251,2)="15"),LEFT(TH!O251,3)&lt;&gt;"111",'152-CT'!$J$8=TH!F251),"x","")</f>
        <v/>
      </c>
      <c r="AC251" s="79" t="str">
        <f>IF(AND(OR(LEFT(TH!N251,2)="15",LEFT(TH!O251,2)="15"),TK!$E$7=TH!F251),"x","")</f>
        <v/>
      </c>
      <c r="AD251" s="79" t="str">
        <f>IF(AND(N251="1521",MONTH(C251)='BK-NL'!$M$11),"x","")</f>
        <v/>
      </c>
    </row>
    <row r="252" spans="1:31" s="1102" customFormat="1" ht="16.5" customHeight="1">
      <c r="A252" s="318" t="str">
        <f>IF(B252&lt;&gt;"",IF(AND(B252='IN-TC'!$S$4,OR(TH!N252="1111",TH!O252="1111")),TH!D252,""),"")</f>
        <v/>
      </c>
      <c r="B252" s="1106">
        <f t="shared" ref="B252:B299" si="42">IF(C252&lt;&gt;"",MONTH(C252),"")</f>
        <v>1</v>
      </c>
      <c r="C252" s="974">
        <v>43104</v>
      </c>
      <c r="D252" s="974" t="s">
        <v>532</v>
      </c>
      <c r="E252" s="974">
        <f t="shared" si="41"/>
        <v>43104</v>
      </c>
      <c r="F252" s="975" t="s">
        <v>1044</v>
      </c>
      <c r="G252" s="976" t="s">
        <v>973</v>
      </c>
      <c r="H252" s="77" t="s">
        <v>753</v>
      </c>
      <c r="I252" s="383"/>
      <c r="J252" s="977"/>
      <c r="K252" s="383"/>
      <c r="L252" s="390"/>
      <c r="M252" s="978">
        <v>7960750</v>
      </c>
      <c r="N252" s="979" t="s">
        <v>540</v>
      </c>
      <c r="O252" s="979" t="s">
        <v>8</v>
      </c>
      <c r="P252" s="79" t="str">
        <f>IF(AND('331-CT'!$E$7=TH!H252,OR(N252="331",O252="331")),"x","")</f>
        <v/>
      </c>
      <c r="Q252" s="79" t="str">
        <f>IF(AND(B252='111'!$L$11,OR($N252=$Q$7,$O252=$Q$7)),"x","")</f>
        <v/>
      </c>
      <c r="R252" s="79" t="str">
        <f>IF(AND($N252=$Q$7,$B252&lt;'111'!$L$11),"x","")</f>
        <v/>
      </c>
      <c r="S252" s="79" t="str">
        <f>IF(AND($O252=$Q$7,$B252&lt;'111'!$L$11),"x","")</f>
        <v/>
      </c>
      <c r="T252" s="79" t="str">
        <f>IF(ISERROR(FIND('112'!$M$9,G252,1)),"",IF((AND(FIND('112'!$M$9,G252,1)&gt;=1,B252='112'!$K$9,OR($N252='112'!$I$6,$O252='112'!$I$6))),"x",""))</f>
        <v/>
      </c>
      <c r="U252" s="79" t="str">
        <f>IF(ISERROR(FIND('112'!$M$9,G252,1)),"",IF((AND(LEFT(G252,2)=LEFT('112'!$M$9,2),B252&lt;'112'!$K$9,$N252='112'!$I$6)),"x",""))</f>
        <v/>
      </c>
      <c r="V252" s="79" t="str">
        <f>IF(ISERROR(FIND('112'!$M$9,G252,1)),"",IF((AND(RIGHT(G252,2)=RIGHT('112'!$M$9,2),B252&lt;'112'!$K$9,$O252='112'!$I$6)),"x",""))</f>
        <v/>
      </c>
      <c r="W252" s="79" t="str">
        <f>IF(AND('341-CT'!$H$9=H252,OR(LEFT(N252,3)=$W$7,LEFT(O252,3)=$W$7)),"x","")</f>
        <v/>
      </c>
      <c r="X252" s="79" t="str">
        <f>IF(OR(TH!N252=TH!$X$7,O252=TH!$X$7),"x","")</f>
        <v/>
      </c>
      <c r="Y252" s="79" t="str">
        <f>IF(AND(OR(N252="131",O252="131"),H252='131-CT'!$H$9),"x","")</f>
        <v/>
      </c>
      <c r="Z252" s="79"/>
      <c r="AA252" s="79" t="str">
        <f>IF(AND(MONTH(E252)='IN-NX'!$J$5,'IN-NX'!$D$7=D252),"x","")</f>
        <v/>
      </c>
      <c r="AB252" s="79" t="str">
        <f>IF(AND(OR(LEFT(TH!N252,2)="15",LEFT(TH!O252,2)="15"),LEFT(TH!O252,3)&lt;&gt;"111",'152-CT'!$J$8=TH!F252),"x","")</f>
        <v/>
      </c>
      <c r="AC252" s="79" t="str">
        <f>IF(AND(OR(LEFT(TH!N252,2)="15",LEFT(TH!O252,2)="15"),TK!$E$7=TH!F252),"x","")</f>
        <v/>
      </c>
      <c r="AD252" s="79" t="str">
        <f>IF(AND(N252="1521",MONTH(C252)='BK-NL'!$M$11),"x","")</f>
        <v/>
      </c>
      <c r="AE252" s="1101"/>
    </row>
    <row r="253" spans="1:31" ht="16.5" customHeight="1">
      <c r="A253" s="318" t="str">
        <f>IF(B253&lt;&gt;"",IF(AND(B253='IN-TC'!$S$4,OR(TH!N253="1111",TH!O253="1111")),TH!D253,""),"")</f>
        <v/>
      </c>
      <c r="B253" s="1106">
        <f t="shared" si="42"/>
        <v>1</v>
      </c>
      <c r="C253" s="974">
        <v>43104</v>
      </c>
      <c r="D253" s="974" t="s">
        <v>532</v>
      </c>
      <c r="E253" s="974">
        <f t="shared" ref="E253:E375" si="43">C253</f>
        <v>43104</v>
      </c>
      <c r="F253" s="975" t="s">
        <v>971</v>
      </c>
      <c r="G253" s="976" t="s">
        <v>974</v>
      </c>
      <c r="H253" s="77" t="s">
        <v>753</v>
      </c>
      <c r="I253" s="383"/>
      <c r="J253" s="977"/>
      <c r="K253" s="383"/>
      <c r="L253" s="390"/>
      <c r="M253" s="978">
        <v>4179985</v>
      </c>
      <c r="N253" s="979" t="s">
        <v>540</v>
      </c>
      <c r="O253" s="979" t="s">
        <v>8</v>
      </c>
      <c r="P253" s="79" t="str">
        <f>IF(AND('331-CT'!$E$7=TH!H253,OR(N253="331",O253="331")),"x","")</f>
        <v/>
      </c>
      <c r="Q253" s="79" t="str">
        <f>IF(AND(B253='111'!$L$11,OR($N253=$Q$7,$O253=$Q$7)),"x","")</f>
        <v/>
      </c>
      <c r="R253" s="79" t="str">
        <f>IF(AND($N253=$Q$7,$B253&lt;'111'!$L$11),"x","")</f>
        <v/>
      </c>
      <c r="S253" s="79" t="str">
        <f>IF(AND($O253=$Q$7,$B253&lt;'111'!$L$11),"x","")</f>
        <v/>
      </c>
      <c r="T253" s="79" t="str">
        <f>IF(ISERROR(FIND('112'!$M$9,G253,1)),"",IF((AND(FIND('112'!$M$9,G253,1)&gt;=1,B253='112'!$K$9,OR($N253='112'!$I$6,$O253='112'!$I$6))),"x",""))</f>
        <v/>
      </c>
      <c r="U253" s="79" t="str">
        <f>IF(ISERROR(FIND('112'!$M$9,G253,1)),"",IF((AND(LEFT(G253,2)=LEFT('112'!$M$9,2),B253&lt;'112'!$K$9,$N253='112'!$I$6)),"x",""))</f>
        <v/>
      </c>
      <c r="V253" s="79" t="str">
        <f>IF(ISERROR(FIND('112'!$M$9,G253,1)),"",IF((AND(RIGHT(G253,2)=RIGHT('112'!$M$9,2),B253&lt;'112'!$K$9,$O253='112'!$I$6)),"x",""))</f>
        <v/>
      </c>
      <c r="W253" s="79" t="str">
        <f>IF(AND('341-CT'!$H$9=H253,OR(LEFT(N253,3)=$W$7,LEFT(O253,3)=$W$7)),"x","")</f>
        <v/>
      </c>
      <c r="X253" s="79" t="str">
        <f>IF(OR(TH!N253=TH!$X$7,O253=TH!$X$7),"x","")</f>
        <v/>
      </c>
      <c r="Y253" s="79" t="str">
        <f>IF(AND(OR(N253="131",O253="131"),H253='131-CT'!$H$9),"x","")</f>
        <v/>
      </c>
      <c r="Z253" s="79"/>
      <c r="AA253" s="79" t="str">
        <f>IF(AND(MONTH(E253)='IN-NX'!$J$5,'IN-NX'!$D$7=D253),"x","")</f>
        <v/>
      </c>
      <c r="AB253" s="79" t="str">
        <f>IF(AND(OR(LEFT(TH!N253,2)="15",LEFT(TH!O253,2)="15"),LEFT(TH!O253,3)&lt;&gt;"111",'152-CT'!$J$8=TH!F253),"x","")</f>
        <v/>
      </c>
      <c r="AC253" s="79" t="str">
        <f>IF(AND(OR(LEFT(TH!N253,2)="15",LEFT(TH!O253,2)="15"),TK!$E$7=TH!F253),"x","")</f>
        <v/>
      </c>
      <c r="AD253" s="79" t="str">
        <f>IF(AND(N253="1521",MONTH(C253)='BK-NL'!$M$11),"x","")</f>
        <v/>
      </c>
      <c r="AE253" s="1101">
        <v>1</v>
      </c>
    </row>
    <row r="254" spans="1:31" ht="16.5" customHeight="1">
      <c r="A254" s="318" t="str">
        <f>IF(B254&lt;&gt;"",IF(AND(B254='IN-TC'!$S$4,OR(TH!N254="1111",TH!O254="1111")),TH!D254,""),"")</f>
        <v/>
      </c>
      <c r="B254" s="1106">
        <f t="shared" si="42"/>
        <v>1</v>
      </c>
      <c r="C254" s="974">
        <v>43104</v>
      </c>
      <c r="D254" s="974" t="s">
        <v>532</v>
      </c>
      <c r="E254" s="974">
        <f t="shared" si="43"/>
        <v>43104</v>
      </c>
      <c r="F254" s="975" t="s">
        <v>972</v>
      </c>
      <c r="G254" s="976" t="s">
        <v>974</v>
      </c>
      <c r="H254" s="77" t="s">
        <v>753</v>
      </c>
      <c r="I254" s="383"/>
      <c r="J254" s="977"/>
      <c r="K254" s="383"/>
      <c r="L254" s="390"/>
      <c r="M254" s="978">
        <v>417999</v>
      </c>
      <c r="N254" s="979" t="s">
        <v>9</v>
      </c>
      <c r="O254" s="979" t="s">
        <v>8</v>
      </c>
      <c r="P254" s="79" t="str">
        <f>IF(AND('331-CT'!$E$7=TH!H254,OR(N254="331",O254="331")),"x","")</f>
        <v/>
      </c>
      <c r="Q254" s="79" t="str">
        <f>IF(AND(B254='111'!$L$11,OR($N254=$Q$7,$O254=$Q$7)),"x","")</f>
        <v/>
      </c>
      <c r="R254" s="79" t="str">
        <f>IF(AND($N254=$Q$7,$B254&lt;'111'!$L$11),"x","")</f>
        <v/>
      </c>
      <c r="S254" s="79" t="str">
        <f>IF(AND($O254=$Q$7,$B254&lt;'111'!$L$11),"x","")</f>
        <v/>
      </c>
      <c r="T254" s="79" t="str">
        <f>IF(ISERROR(FIND('112'!$M$9,G254,1)),"",IF((AND(FIND('112'!$M$9,G254,1)&gt;=1,B254='112'!$K$9,OR($N254='112'!$I$6,$O254='112'!$I$6))),"x",""))</f>
        <v/>
      </c>
      <c r="U254" s="79" t="str">
        <f>IF(ISERROR(FIND('112'!$M$9,G254,1)),"",IF((AND(LEFT(G254,2)=LEFT('112'!$M$9,2),B254&lt;'112'!$K$9,$N254='112'!$I$6)),"x",""))</f>
        <v/>
      </c>
      <c r="V254" s="79" t="str">
        <f>IF(ISERROR(FIND('112'!$M$9,G254,1)),"",IF((AND(RIGHT(G254,2)=RIGHT('112'!$M$9,2),B254&lt;'112'!$K$9,$O254='112'!$I$6)),"x",""))</f>
        <v/>
      </c>
      <c r="W254" s="79" t="str">
        <f>IF(AND('341-CT'!$H$9=H254,OR(LEFT(N254,3)=$W$7,LEFT(O254,3)=$W$7)),"x","")</f>
        <v/>
      </c>
      <c r="X254" s="79" t="str">
        <f>IF(OR(TH!N254=TH!$X$7,O254=TH!$X$7),"x","")</f>
        <v/>
      </c>
      <c r="Y254" s="79" t="str">
        <f>IF(AND(OR(N254="131",O254="131"),H254='131-CT'!$H$9),"x","")</f>
        <v/>
      </c>
      <c r="Z254" s="79"/>
      <c r="AA254" s="79" t="str">
        <f>IF(AND(MONTH(E254)='IN-NX'!$J$5,'IN-NX'!$D$7=D254),"x","")</f>
        <v/>
      </c>
      <c r="AB254" s="79" t="str">
        <f>IF(AND(OR(LEFT(TH!N254,2)="15",LEFT(TH!O254,2)="15"),LEFT(TH!O254,3)&lt;&gt;"111",'152-CT'!$J$8=TH!F254),"x","")</f>
        <v/>
      </c>
      <c r="AC254" s="79" t="str">
        <f>IF(AND(OR(LEFT(TH!N254,2)="15",LEFT(TH!O254,2)="15"),TK!$E$7=TH!F254),"x","")</f>
        <v/>
      </c>
      <c r="AD254" s="79" t="str">
        <f>IF(AND(N254="1521",MONTH(C254)='BK-NL'!$M$11),"x","")</f>
        <v/>
      </c>
      <c r="AE254" s="1101">
        <v>1</v>
      </c>
    </row>
    <row r="255" spans="1:31" s="1102" customFormat="1" ht="16.5" customHeight="1">
      <c r="A255" s="318" t="str">
        <f>IF(B255&lt;&gt;"",IF(AND(B255='IN-TC'!$S$4,OR(TH!N255="1111",TH!O255="1111")),TH!D255,""),"")</f>
        <v/>
      </c>
      <c r="B255" s="1106">
        <f t="shared" ref="B255:B257" si="44">IF(C255&lt;&gt;"",MONTH(C255),"")</f>
        <v>1</v>
      </c>
      <c r="C255" s="974">
        <v>43117</v>
      </c>
      <c r="D255" s="974" t="s">
        <v>532</v>
      </c>
      <c r="E255" s="974">
        <f t="shared" si="43"/>
        <v>43117</v>
      </c>
      <c r="F255" s="975" t="s">
        <v>1044</v>
      </c>
      <c r="G255" s="976" t="s">
        <v>1045</v>
      </c>
      <c r="H255" s="77" t="s">
        <v>753</v>
      </c>
      <c r="I255" s="383"/>
      <c r="J255" s="977"/>
      <c r="K255" s="383"/>
      <c r="L255" s="390"/>
      <c r="M255" s="978">
        <v>20015600</v>
      </c>
      <c r="N255" s="979" t="s">
        <v>540</v>
      </c>
      <c r="O255" s="979" t="s">
        <v>8</v>
      </c>
      <c r="P255" s="79" t="str">
        <f>IF(AND('331-CT'!$E$7=TH!H255,OR(N255="331",O255="331")),"x","")</f>
        <v/>
      </c>
      <c r="Q255" s="79" t="str">
        <f>IF(AND(B255='111'!$L$11,OR($N255=$Q$7,$O255=$Q$7)),"x","")</f>
        <v/>
      </c>
      <c r="R255" s="79" t="str">
        <f>IF(AND($N255=$Q$7,$B255&lt;'111'!$L$11),"x","")</f>
        <v/>
      </c>
      <c r="S255" s="79" t="str">
        <f>IF(AND($O255=$Q$7,$B255&lt;'111'!$L$11),"x","")</f>
        <v/>
      </c>
      <c r="T255" s="79" t="str">
        <f>IF(ISERROR(FIND('112'!$M$9,G255,1)),"",IF((AND(FIND('112'!$M$9,G255,1)&gt;=1,B255='112'!$K$9,OR($N255='112'!$I$6,$O255='112'!$I$6))),"x",""))</f>
        <v/>
      </c>
      <c r="U255" s="79" t="str">
        <f>IF(ISERROR(FIND('112'!$M$9,G255,1)),"",IF((AND(LEFT(G255,2)=LEFT('112'!$M$9,2),B255&lt;'112'!$K$9,$N255='112'!$I$6)),"x",""))</f>
        <v/>
      </c>
      <c r="V255" s="79" t="str">
        <f>IF(ISERROR(FIND('112'!$M$9,G255,1)),"",IF((AND(RIGHT(G255,2)=RIGHT('112'!$M$9,2),B255&lt;'112'!$K$9,$O255='112'!$I$6)),"x",""))</f>
        <v/>
      </c>
      <c r="W255" s="79" t="str">
        <f>IF(AND('341-CT'!$H$9=H255,OR(LEFT(N255,3)=$W$7,LEFT(O255,3)=$W$7)),"x","")</f>
        <v/>
      </c>
      <c r="X255" s="79" t="str">
        <f>IF(OR(TH!N255=TH!$X$7,O255=TH!$X$7),"x","")</f>
        <v/>
      </c>
      <c r="Y255" s="79" t="str">
        <f>IF(AND(OR(N255="131",O255="131"),H255='131-CT'!$H$9),"x","")</f>
        <v/>
      </c>
      <c r="Z255" s="79"/>
      <c r="AA255" s="79" t="str">
        <f>IF(AND(MONTH(E255)='IN-NX'!$J$5,'IN-NX'!$D$7=D255),"x","")</f>
        <v/>
      </c>
      <c r="AB255" s="79" t="str">
        <f>IF(AND(OR(LEFT(TH!N255,2)="15",LEFT(TH!O255,2)="15"),LEFT(TH!O255,3)&lt;&gt;"111",'152-CT'!$J$8=TH!F255),"x","")</f>
        <v/>
      </c>
      <c r="AC255" s="79" t="str">
        <f>IF(AND(OR(LEFT(TH!N255,2)="15",LEFT(TH!O255,2)="15"),TK!$E$7=TH!F255),"x","")</f>
        <v/>
      </c>
      <c r="AD255" s="79" t="str">
        <f>IF(AND(N255="1521",MONTH(C255)='BK-NL'!$M$11),"x","")</f>
        <v/>
      </c>
      <c r="AE255" s="1101"/>
    </row>
    <row r="256" spans="1:31" ht="16.5" customHeight="1">
      <c r="A256" s="318" t="str">
        <f>IF(B256&lt;&gt;"",IF(AND(B256='IN-TC'!$S$4,OR(TH!N256="1111",TH!O256="1111")),TH!D256,""),"")</f>
        <v/>
      </c>
      <c r="B256" s="1106">
        <f t="shared" si="44"/>
        <v>1</v>
      </c>
      <c r="C256" s="974">
        <v>43117</v>
      </c>
      <c r="D256" s="974" t="s">
        <v>532</v>
      </c>
      <c r="E256" s="974">
        <f t="shared" ref="E256:E257" si="45">C256</f>
        <v>43117</v>
      </c>
      <c r="F256" s="975" t="s">
        <v>971</v>
      </c>
      <c r="G256" s="976" t="s">
        <v>1046</v>
      </c>
      <c r="H256" s="77" t="s">
        <v>753</v>
      </c>
      <c r="I256" s="383"/>
      <c r="J256" s="977"/>
      <c r="K256" s="383"/>
      <c r="L256" s="390"/>
      <c r="M256" s="978">
        <v>4862335</v>
      </c>
      <c r="N256" s="979" t="s">
        <v>540</v>
      </c>
      <c r="O256" s="979" t="s">
        <v>8</v>
      </c>
      <c r="P256" s="79" t="str">
        <f>IF(AND('331-CT'!$E$7=TH!H256,OR(N256="331",O256="331")),"x","")</f>
        <v/>
      </c>
      <c r="Q256" s="79" t="str">
        <f>IF(AND(B256='111'!$L$11,OR($N256=$Q$7,$O256=$Q$7)),"x","")</f>
        <v/>
      </c>
      <c r="R256" s="79" t="str">
        <f>IF(AND($N256=$Q$7,$B256&lt;'111'!$L$11),"x","")</f>
        <v/>
      </c>
      <c r="S256" s="79" t="str">
        <f>IF(AND($O256=$Q$7,$B256&lt;'111'!$L$11),"x","")</f>
        <v/>
      </c>
      <c r="T256" s="79" t="str">
        <f>IF(ISERROR(FIND('112'!$M$9,G256,1)),"",IF((AND(FIND('112'!$M$9,G256,1)&gt;=1,B256='112'!$K$9,OR($N256='112'!$I$6,$O256='112'!$I$6))),"x",""))</f>
        <v/>
      </c>
      <c r="U256" s="79" t="str">
        <f>IF(ISERROR(FIND('112'!$M$9,G256,1)),"",IF((AND(LEFT(G256,2)=LEFT('112'!$M$9,2),B256&lt;'112'!$K$9,$N256='112'!$I$6)),"x",""))</f>
        <v/>
      </c>
      <c r="V256" s="79" t="str">
        <f>IF(ISERROR(FIND('112'!$M$9,G256,1)),"",IF((AND(RIGHT(G256,2)=RIGHT('112'!$M$9,2),B256&lt;'112'!$K$9,$O256='112'!$I$6)),"x",""))</f>
        <v/>
      </c>
      <c r="W256" s="79" t="str">
        <f>IF(AND('341-CT'!$H$9=H256,OR(LEFT(N256,3)=$W$7,LEFT(O256,3)=$W$7)),"x","")</f>
        <v/>
      </c>
      <c r="X256" s="79" t="str">
        <f>IF(OR(TH!N256=TH!$X$7,O256=TH!$X$7),"x","")</f>
        <v/>
      </c>
      <c r="Y256" s="79" t="str">
        <f>IF(AND(OR(N256="131",O256="131"),H256='131-CT'!$H$9),"x","")</f>
        <v/>
      </c>
      <c r="Z256" s="79"/>
      <c r="AA256" s="79" t="str">
        <f>IF(AND(MONTH(E256)='IN-NX'!$J$5,'IN-NX'!$D$7=D256),"x","")</f>
        <v/>
      </c>
      <c r="AB256" s="79" t="str">
        <f>IF(AND(OR(LEFT(TH!N256,2)="15",LEFT(TH!O256,2)="15"),LEFT(TH!O256,3)&lt;&gt;"111",'152-CT'!$J$8=TH!F256),"x","")</f>
        <v/>
      </c>
      <c r="AC256" s="79" t="str">
        <f>IF(AND(OR(LEFT(TH!N256,2)="15",LEFT(TH!O256,2)="15"),TK!$E$7=TH!F256),"x","")</f>
        <v/>
      </c>
      <c r="AD256" s="79" t="str">
        <f>IF(AND(N256="1521",MONTH(C256)='BK-NL'!$M$11),"x","")</f>
        <v/>
      </c>
      <c r="AE256" s="1101">
        <v>1</v>
      </c>
    </row>
    <row r="257" spans="1:31" ht="16.5" customHeight="1">
      <c r="A257" s="318" t="str">
        <f>IF(B257&lt;&gt;"",IF(AND(B257='IN-TC'!$S$4,OR(TH!N257="1111",TH!O257="1111")),TH!D257,""),"")</f>
        <v/>
      </c>
      <c r="B257" s="1106">
        <f t="shared" si="44"/>
        <v>1</v>
      </c>
      <c r="C257" s="974">
        <v>43117</v>
      </c>
      <c r="D257" s="974" t="s">
        <v>532</v>
      </c>
      <c r="E257" s="974">
        <f t="shared" si="45"/>
        <v>43117</v>
      </c>
      <c r="F257" s="975" t="s">
        <v>972</v>
      </c>
      <c r="G257" s="976" t="s">
        <v>1046</v>
      </c>
      <c r="H257" s="77" t="s">
        <v>753</v>
      </c>
      <c r="I257" s="383"/>
      <c r="J257" s="977"/>
      <c r="K257" s="383"/>
      <c r="L257" s="390"/>
      <c r="M257" s="978">
        <v>486234</v>
      </c>
      <c r="N257" s="979" t="s">
        <v>9</v>
      </c>
      <c r="O257" s="979" t="s">
        <v>8</v>
      </c>
      <c r="P257" s="79" t="str">
        <f>IF(AND('331-CT'!$E$7=TH!H257,OR(N257="331",O257="331")),"x","")</f>
        <v/>
      </c>
      <c r="Q257" s="79" t="str">
        <f>IF(AND(B257='111'!$L$11,OR($N257=$Q$7,$O257=$Q$7)),"x","")</f>
        <v/>
      </c>
      <c r="R257" s="79" t="str">
        <f>IF(AND($N257=$Q$7,$B257&lt;'111'!$L$11),"x","")</f>
        <v/>
      </c>
      <c r="S257" s="79" t="str">
        <f>IF(AND($O257=$Q$7,$B257&lt;'111'!$L$11),"x","")</f>
        <v/>
      </c>
      <c r="T257" s="79" t="str">
        <f>IF(ISERROR(FIND('112'!$M$9,G257,1)),"",IF((AND(FIND('112'!$M$9,G257,1)&gt;=1,B257='112'!$K$9,OR($N257='112'!$I$6,$O257='112'!$I$6))),"x",""))</f>
        <v/>
      </c>
      <c r="U257" s="79" t="str">
        <f>IF(ISERROR(FIND('112'!$M$9,G257,1)),"",IF((AND(LEFT(G257,2)=LEFT('112'!$M$9,2),B257&lt;'112'!$K$9,$N257='112'!$I$6)),"x",""))</f>
        <v/>
      </c>
      <c r="V257" s="79" t="str">
        <f>IF(ISERROR(FIND('112'!$M$9,G257,1)),"",IF((AND(RIGHT(G257,2)=RIGHT('112'!$M$9,2),B257&lt;'112'!$K$9,$O257='112'!$I$6)),"x",""))</f>
        <v/>
      </c>
      <c r="W257" s="79" t="str">
        <f>IF(AND('341-CT'!$H$9=H257,OR(LEFT(N257,3)=$W$7,LEFT(O257,3)=$W$7)),"x","")</f>
        <v/>
      </c>
      <c r="X257" s="79" t="str">
        <f>IF(OR(TH!N257=TH!$X$7,O257=TH!$X$7),"x","")</f>
        <v/>
      </c>
      <c r="Y257" s="79" t="str">
        <f>IF(AND(OR(N257="131",O257="131"),H257='131-CT'!$H$9),"x","")</f>
        <v/>
      </c>
      <c r="Z257" s="79"/>
      <c r="AA257" s="79" t="str">
        <f>IF(AND(MONTH(E257)='IN-NX'!$J$5,'IN-NX'!$D$7=D257),"x","")</f>
        <v/>
      </c>
      <c r="AB257" s="79" t="str">
        <f>IF(AND(OR(LEFT(TH!N257,2)="15",LEFT(TH!O257,2)="15"),LEFT(TH!O257,3)&lt;&gt;"111",'152-CT'!$J$8=TH!F257),"x","")</f>
        <v/>
      </c>
      <c r="AC257" s="79" t="str">
        <f>IF(AND(OR(LEFT(TH!N257,2)="15",LEFT(TH!O257,2)="15"),TK!$E$7=TH!F257),"x","")</f>
        <v/>
      </c>
      <c r="AD257" s="79" t="str">
        <f>IF(AND(N257="1521",MONTH(C257)='BK-NL'!$M$11),"x","")</f>
        <v/>
      </c>
      <c r="AE257" s="1101">
        <v>1</v>
      </c>
    </row>
    <row r="258" spans="1:31" ht="16.5" customHeight="1">
      <c r="A258" s="318" t="str">
        <f>IF(B258&lt;&gt;"",IF(AND(B258='[2]IN-TC'!$S$4,OR([2]TH!N256="1111",[2]TH!O256="1111")),[2]TH!D256,""),"")</f>
        <v/>
      </c>
      <c r="B258" s="1106">
        <f t="shared" si="42"/>
        <v>1</v>
      </c>
      <c r="C258" s="974">
        <v>43106</v>
      </c>
      <c r="D258" s="974" t="s">
        <v>532</v>
      </c>
      <c r="E258" s="974">
        <f t="shared" si="43"/>
        <v>43106</v>
      </c>
      <c r="F258" s="975" t="s">
        <v>979</v>
      </c>
      <c r="G258" s="976"/>
      <c r="H258" s="759" t="s">
        <v>563</v>
      </c>
      <c r="I258" s="383"/>
      <c r="J258" s="977"/>
      <c r="K258" s="383"/>
      <c r="L258" s="390"/>
      <c r="M258" s="978">
        <v>31848900</v>
      </c>
      <c r="N258" s="979" t="s">
        <v>272</v>
      </c>
      <c r="O258" s="979" t="s">
        <v>8</v>
      </c>
      <c r="P258" s="79" t="str">
        <f>IF(AND('331-CT'!$E$7=TH!H258,OR(N258="331",O258="331")),"x","")</f>
        <v/>
      </c>
      <c r="Q258" s="79" t="str">
        <f>IF(AND(B258='111'!$L$11,OR($N258=$Q$7,$O258=$Q$7)),"x","")</f>
        <v/>
      </c>
      <c r="R258" s="79" t="str">
        <f>IF(AND($N258=$Q$7,$B258&lt;'111'!$L$11),"x","")</f>
        <v/>
      </c>
      <c r="S258" s="79" t="str">
        <f>IF(AND($O258=$Q$7,$B258&lt;'111'!$L$11),"x","")</f>
        <v/>
      </c>
      <c r="T258" s="79" t="str">
        <f>IF(ISERROR(FIND('112'!$M$9,G258,1)),"",IF((AND(FIND('112'!$M$9,G258,1)&gt;=1,B258='112'!$K$9,OR($N258='112'!$I$6,$O258='112'!$I$6))),"x",""))</f>
        <v/>
      </c>
      <c r="U258" s="79" t="str">
        <f>IF(ISERROR(FIND('112'!$M$9,G258,1)),"",IF((AND(LEFT(G258,2)=LEFT('112'!$M$9,2),B258&lt;'112'!$K$9,$N258='112'!$I$6)),"x",""))</f>
        <v/>
      </c>
      <c r="V258" s="79" t="str">
        <f>IF(ISERROR(FIND('112'!$M$9,G258,1)),"",IF((AND(RIGHT(G258,2)=RIGHT('112'!$M$9,2),B258&lt;'112'!$K$9,$O258='112'!$I$6)),"x",""))</f>
        <v/>
      </c>
      <c r="W258" s="79" t="str">
        <f>IF(AND('341-CT'!$H$9=H258,OR(LEFT(N258,3)=$W$7,LEFT(O258,3)=$W$7)),"x","")</f>
        <v/>
      </c>
      <c r="X258" s="79" t="str">
        <f>IF(OR(TH!N258=TH!$X$7,O258=TH!$X$7),"x","")</f>
        <v/>
      </c>
      <c r="Y258" s="79" t="str">
        <f>IF(AND(OR(N258="131",O258="131"),H258='131-CT'!$H$9),"x","")</f>
        <v/>
      </c>
      <c r="Z258" s="79"/>
      <c r="AA258" s="79" t="str">
        <f>IF(AND(MONTH(E258)='IN-NX'!$J$5,'IN-NX'!$D$7=D258),"x","")</f>
        <v/>
      </c>
      <c r="AB258" s="79" t="str">
        <f>IF(AND(OR(LEFT(TH!N258,2)="15",LEFT(TH!O258,2)="15"),LEFT(TH!O258,3)&lt;&gt;"111",'152-CT'!$J$8=TH!F258),"x","")</f>
        <v/>
      </c>
      <c r="AC258" s="79" t="str">
        <f>IF(AND(OR(LEFT(TH!N258,2)="15",LEFT(TH!O258,2)="15"),TK!$E$7=TH!F258),"x","")</f>
        <v/>
      </c>
      <c r="AD258" s="79" t="str">
        <f>IF(AND(N258="1521",MONTH(C258)='BK-NL'!$M$11),"x","")</f>
        <v/>
      </c>
      <c r="AE258" s="1101">
        <v>1</v>
      </c>
    </row>
    <row r="259" spans="1:31" ht="16.5" customHeight="1">
      <c r="A259" s="318" t="str">
        <f>IF(B259&lt;&gt;"",IF(AND(B259='[2]IN-TC'!$S$4,OR([2]TH!N257="1111",[2]TH!O257="1111")),[2]TH!D257,""),"")</f>
        <v/>
      </c>
      <c r="B259" s="1106">
        <f t="shared" si="42"/>
        <v>1</v>
      </c>
      <c r="C259" s="974">
        <v>43106</v>
      </c>
      <c r="D259" s="974" t="s">
        <v>532</v>
      </c>
      <c r="E259" s="974">
        <f t="shared" si="43"/>
        <v>43106</v>
      </c>
      <c r="F259" s="975" t="s">
        <v>980</v>
      </c>
      <c r="G259" s="976"/>
      <c r="H259" s="759" t="s">
        <v>563</v>
      </c>
      <c r="I259" s="383"/>
      <c r="J259" s="977"/>
      <c r="K259" s="383"/>
      <c r="L259" s="390"/>
      <c r="M259" s="978">
        <v>3184890</v>
      </c>
      <c r="N259" s="979" t="s">
        <v>9</v>
      </c>
      <c r="O259" s="979" t="s">
        <v>8</v>
      </c>
      <c r="P259" s="79" t="str">
        <f>IF(AND('331-CT'!$E$7=TH!H259,OR(N259="331",O259="331")),"x","")</f>
        <v/>
      </c>
      <c r="Q259" s="79" t="str">
        <f>IF(AND(B259='111'!$L$11,OR($N259=$Q$7,$O259=$Q$7)),"x","")</f>
        <v/>
      </c>
      <c r="R259" s="79" t="str">
        <f>IF(AND($N259=$Q$7,$B259&lt;'111'!$L$11),"x","")</f>
        <v/>
      </c>
      <c r="S259" s="79" t="str">
        <f>IF(AND($O259=$Q$7,$B259&lt;'111'!$L$11),"x","")</f>
        <v/>
      </c>
      <c r="T259" s="79" t="str">
        <f>IF(ISERROR(FIND('112'!$M$9,G259,1)),"",IF((AND(FIND('112'!$M$9,G259,1)&gt;=1,B259='112'!$K$9,OR($N259='112'!$I$6,$O259='112'!$I$6))),"x",""))</f>
        <v/>
      </c>
      <c r="U259" s="79" t="str">
        <f>IF(ISERROR(FIND('112'!$M$9,G259,1)),"",IF((AND(LEFT(G259,2)=LEFT('112'!$M$9,2),B259&lt;'112'!$K$9,$N259='112'!$I$6)),"x",""))</f>
        <v/>
      </c>
      <c r="V259" s="79" t="str">
        <f>IF(ISERROR(FIND('112'!$M$9,G259,1)),"",IF((AND(RIGHT(G259,2)=RIGHT('112'!$M$9,2),B259&lt;'112'!$K$9,$O259='112'!$I$6)),"x",""))</f>
        <v/>
      </c>
      <c r="W259" s="79" t="str">
        <f>IF(AND('341-CT'!$H$9=H259,OR(LEFT(N259,3)=$W$7,LEFT(O259,3)=$W$7)),"x","")</f>
        <v/>
      </c>
      <c r="X259" s="79" t="str">
        <f>IF(OR(TH!N259=TH!$X$7,O259=TH!$X$7),"x","")</f>
        <v/>
      </c>
      <c r="Y259" s="79" t="str">
        <f>IF(AND(OR(N259="131",O259="131"),H259='131-CT'!$H$9),"x","")</f>
        <v/>
      </c>
      <c r="Z259" s="79"/>
      <c r="AA259" s="79" t="str">
        <f>IF(AND(MONTH(E259)='IN-NX'!$J$5,'IN-NX'!$D$7=D259),"x","")</f>
        <v/>
      </c>
      <c r="AB259" s="79" t="str">
        <f>IF(AND(OR(LEFT(TH!N259,2)="15",LEFT(TH!O259,2)="15"),LEFT(TH!O259,3)&lt;&gt;"111",'152-CT'!$J$8=TH!F259),"x","")</f>
        <v/>
      </c>
      <c r="AC259" s="79" t="str">
        <f>IF(AND(OR(LEFT(TH!N259,2)="15",LEFT(TH!O259,2)="15"),TK!$E$7=TH!F259),"x","")</f>
        <v/>
      </c>
      <c r="AD259" s="79" t="str">
        <f>IF(AND(N259="1521",MONTH(C259)='BK-NL'!$M$11),"x","")</f>
        <v/>
      </c>
      <c r="AE259" s="1101">
        <v>1</v>
      </c>
    </row>
    <row r="260" spans="1:31" ht="16.5" customHeight="1">
      <c r="A260" s="318" t="str">
        <f>IF(B260&lt;&gt;"",IF(AND(B260='[2]IN-TC'!$S$4,OR([2]TH!N258="1111",[2]TH!O258="1111")),[2]TH!D258,""),"")</f>
        <v/>
      </c>
      <c r="B260" s="1106">
        <f t="shared" si="42"/>
        <v>1</v>
      </c>
      <c r="C260" s="974">
        <v>43116</v>
      </c>
      <c r="D260" s="974" t="s">
        <v>532</v>
      </c>
      <c r="E260" s="974">
        <f t="shared" si="43"/>
        <v>43116</v>
      </c>
      <c r="F260" s="975" t="s">
        <v>981</v>
      </c>
      <c r="G260" s="976"/>
      <c r="H260" s="759" t="s">
        <v>563</v>
      </c>
      <c r="I260" s="383"/>
      <c r="J260" s="977"/>
      <c r="K260" s="383"/>
      <c r="L260" s="390"/>
      <c r="M260" s="978"/>
      <c r="N260" s="979" t="s">
        <v>272</v>
      </c>
      <c r="O260" s="979" t="s">
        <v>8</v>
      </c>
      <c r="P260" s="79" t="str">
        <f>IF(AND('331-CT'!$E$7=TH!H260,OR(N260="331",O260="331")),"x","")</f>
        <v/>
      </c>
      <c r="Q260" s="79" t="str">
        <f>IF(AND(B260='111'!$L$11,OR($N260=$Q$7,$O260=$Q$7)),"x","")</f>
        <v/>
      </c>
      <c r="R260" s="79" t="str">
        <f>IF(AND($N260=$Q$7,$B260&lt;'111'!$L$11),"x","")</f>
        <v/>
      </c>
      <c r="S260" s="79" t="str">
        <f>IF(AND($O260=$Q$7,$B260&lt;'111'!$L$11),"x","")</f>
        <v/>
      </c>
      <c r="T260" s="79" t="str">
        <f>IF(ISERROR(FIND('112'!$M$9,G260,1)),"",IF((AND(FIND('112'!$M$9,G260,1)&gt;=1,B260='112'!$K$9,OR($N260='112'!$I$6,$O260='112'!$I$6))),"x",""))</f>
        <v/>
      </c>
      <c r="U260" s="79" t="str">
        <f>IF(ISERROR(FIND('112'!$M$9,G260,1)),"",IF((AND(LEFT(G260,2)=LEFT('112'!$M$9,2),B260&lt;'112'!$K$9,$N260='112'!$I$6)),"x",""))</f>
        <v/>
      </c>
      <c r="V260" s="79" t="str">
        <f>IF(ISERROR(FIND('112'!$M$9,G260,1)),"",IF((AND(RIGHT(G260,2)=RIGHT('112'!$M$9,2),B260&lt;'112'!$K$9,$O260='112'!$I$6)),"x",""))</f>
        <v/>
      </c>
      <c r="W260" s="79" t="str">
        <f>IF(AND('341-CT'!$H$9=H260,OR(LEFT(N260,3)=$W$7,LEFT(O260,3)=$W$7)),"x","")</f>
        <v/>
      </c>
      <c r="X260" s="79" t="str">
        <f>IF(OR(TH!N260=TH!$X$7,O260=TH!$X$7),"x","")</f>
        <v/>
      </c>
      <c r="Y260" s="79" t="str">
        <f>IF(AND(OR(N260="131",O260="131"),H260='131-CT'!$H$9),"x","")</f>
        <v/>
      </c>
      <c r="Z260" s="79"/>
      <c r="AA260" s="79" t="str">
        <f>IF(AND(MONTH(E260)='IN-NX'!$J$5,'IN-NX'!$D$7=D260),"x","")</f>
        <v/>
      </c>
      <c r="AB260" s="79" t="str">
        <f>IF(AND(OR(LEFT(TH!N260,2)="15",LEFT(TH!O260,2)="15"),LEFT(TH!O260,3)&lt;&gt;"111",'152-CT'!$J$8=TH!F260),"x","")</f>
        <v/>
      </c>
      <c r="AC260" s="79" t="str">
        <f>IF(AND(OR(LEFT(TH!N260,2)="15",LEFT(TH!O260,2)="15"),TK!$E$7=TH!F260),"x","")</f>
        <v/>
      </c>
      <c r="AD260" s="79" t="str">
        <f>IF(AND(N260="1521",MONTH(C260)='BK-NL'!$M$11),"x","")</f>
        <v/>
      </c>
      <c r="AE260" s="1101">
        <v>1</v>
      </c>
    </row>
    <row r="261" spans="1:31" ht="16.5" customHeight="1">
      <c r="A261" s="318" t="str">
        <f>IF(B261&lt;&gt;"",IF(AND(B261='[2]IN-TC'!$S$4,OR([2]TH!N259="1111",[2]TH!O259="1111")),[2]TH!D259,""),"")</f>
        <v/>
      </c>
      <c r="B261" s="1106">
        <f t="shared" si="42"/>
        <v>1</v>
      </c>
      <c r="C261" s="974">
        <v>43116</v>
      </c>
      <c r="D261" s="974" t="s">
        <v>532</v>
      </c>
      <c r="E261" s="974">
        <f t="shared" si="43"/>
        <v>43116</v>
      </c>
      <c r="F261" s="975" t="s">
        <v>982</v>
      </c>
      <c r="G261" s="976"/>
      <c r="H261" s="759" t="s">
        <v>563</v>
      </c>
      <c r="I261" s="383"/>
      <c r="J261" s="977"/>
      <c r="K261" s="383"/>
      <c r="L261" s="390"/>
      <c r="M261" s="978"/>
      <c r="N261" s="979" t="s">
        <v>9</v>
      </c>
      <c r="O261" s="979" t="s">
        <v>8</v>
      </c>
      <c r="P261" s="79" t="str">
        <f>IF(AND('331-CT'!$E$7=TH!H261,OR(N261="331",O261="331")),"x","")</f>
        <v/>
      </c>
      <c r="Q261" s="79" t="str">
        <f>IF(AND(B261='111'!$L$11,OR($N261=$Q$7,$O261=$Q$7)),"x","")</f>
        <v/>
      </c>
      <c r="R261" s="79" t="str">
        <f>IF(AND($N261=$Q$7,$B261&lt;'111'!$L$11),"x","")</f>
        <v/>
      </c>
      <c r="S261" s="79" t="str">
        <f>IF(AND($O261=$Q$7,$B261&lt;'111'!$L$11),"x","")</f>
        <v/>
      </c>
      <c r="T261" s="79" t="str">
        <f>IF(ISERROR(FIND('112'!$M$9,G261,1)),"",IF((AND(FIND('112'!$M$9,G261,1)&gt;=1,B261='112'!$K$9,OR($N261='112'!$I$6,$O261='112'!$I$6))),"x",""))</f>
        <v/>
      </c>
      <c r="U261" s="79" t="str">
        <f>IF(ISERROR(FIND('112'!$M$9,G261,1)),"",IF((AND(LEFT(G261,2)=LEFT('112'!$M$9,2),B261&lt;'112'!$K$9,$N261='112'!$I$6)),"x",""))</f>
        <v/>
      </c>
      <c r="V261" s="79" t="str">
        <f>IF(ISERROR(FIND('112'!$M$9,G261,1)),"",IF((AND(RIGHT(G261,2)=RIGHT('112'!$M$9,2),B261&lt;'112'!$K$9,$O261='112'!$I$6)),"x",""))</f>
        <v/>
      </c>
      <c r="W261" s="79" t="str">
        <f>IF(AND('341-CT'!$H$9=H261,OR(LEFT(N261,3)=$W$7,LEFT(O261,3)=$W$7)),"x","")</f>
        <v/>
      </c>
      <c r="X261" s="79" t="str">
        <f>IF(OR(TH!N261=TH!$X$7,O261=TH!$X$7),"x","")</f>
        <v/>
      </c>
      <c r="Y261" s="79" t="str">
        <f>IF(AND(OR(N261="131",O261="131"),H261='131-CT'!$H$9),"x","")</f>
        <v/>
      </c>
      <c r="Z261" s="79"/>
      <c r="AA261" s="79" t="str">
        <f>IF(AND(MONTH(E261)='IN-NX'!$J$5,'IN-NX'!$D$7=D261),"x","")</f>
        <v/>
      </c>
      <c r="AB261" s="79" t="str">
        <f>IF(AND(OR(LEFT(TH!N261,2)="15",LEFT(TH!O261,2)="15"),LEFT(TH!O261,3)&lt;&gt;"111",'152-CT'!$J$8=TH!F261),"x","")</f>
        <v/>
      </c>
      <c r="AC261" s="79" t="str">
        <f>IF(AND(OR(LEFT(TH!N261,2)="15",LEFT(TH!O261,2)="15"),TK!$E$7=TH!F261),"x","")</f>
        <v/>
      </c>
      <c r="AD261" s="79" t="str">
        <f>IF(AND(N261="1521",MONTH(C261)='BK-NL'!$M$11),"x","")</f>
        <v/>
      </c>
      <c r="AE261" s="1101">
        <v>1</v>
      </c>
    </row>
    <row r="262" spans="1:31" ht="16.5" customHeight="1">
      <c r="A262" s="318" t="str">
        <f>IF(B262&lt;&gt;"",IF(AND(B262='[2]IN-TC'!$S$4,OR([2]TH!N260="1111",[2]TH!O260="1111")),[2]TH!D260,""),"")</f>
        <v/>
      </c>
      <c r="B262" s="1106">
        <f t="shared" si="42"/>
        <v>1</v>
      </c>
      <c r="C262" s="974">
        <v>43126</v>
      </c>
      <c r="D262" s="974" t="s">
        <v>532</v>
      </c>
      <c r="E262" s="974">
        <f t="shared" si="43"/>
        <v>43126</v>
      </c>
      <c r="F262" s="975" t="s">
        <v>983</v>
      </c>
      <c r="G262" s="976"/>
      <c r="H262" s="759" t="s">
        <v>563</v>
      </c>
      <c r="I262" s="383"/>
      <c r="J262" s="977"/>
      <c r="K262" s="383"/>
      <c r="L262" s="390"/>
      <c r="M262" s="978"/>
      <c r="N262" s="979" t="s">
        <v>272</v>
      </c>
      <c r="O262" s="979" t="s">
        <v>8</v>
      </c>
      <c r="P262" s="79" t="str">
        <f>IF(AND('331-CT'!$E$7=TH!H262,OR(N262="331",O262="331")),"x","")</f>
        <v/>
      </c>
      <c r="Q262" s="79" t="str">
        <f>IF(AND(B262='111'!$L$11,OR($N262=$Q$7,$O262=$Q$7)),"x","")</f>
        <v/>
      </c>
      <c r="R262" s="79" t="str">
        <f>IF(AND($N262=$Q$7,$B262&lt;'111'!$L$11),"x","")</f>
        <v/>
      </c>
      <c r="S262" s="79" t="str">
        <f>IF(AND($O262=$Q$7,$B262&lt;'111'!$L$11),"x","")</f>
        <v/>
      </c>
      <c r="T262" s="79" t="str">
        <f>IF(ISERROR(FIND('112'!$M$9,G262,1)),"",IF((AND(FIND('112'!$M$9,G262,1)&gt;=1,B262='112'!$K$9,OR($N262='112'!$I$6,$O262='112'!$I$6))),"x",""))</f>
        <v/>
      </c>
      <c r="U262" s="79" t="str">
        <f>IF(ISERROR(FIND('112'!$M$9,G262,1)),"",IF((AND(LEFT(G262,2)=LEFT('112'!$M$9,2),B262&lt;'112'!$K$9,$N262='112'!$I$6)),"x",""))</f>
        <v/>
      </c>
      <c r="V262" s="79" t="str">
        <f>IF(ISERROR(FIND('112'!$M$9,G262,1)),"",IF((AND(RIGHT(G262,2)=RIGHT('112'!$M$9,2),B262&lt;'112'!$K$9,$O262='112'!$I$6)),"x",""))</f>
        <v/>
      </c>
      <c r="W262" s="79" t="str">
        <f>IF(AND('341-CT'!$H$9=H262,OR(LEFT(N262,3)=$W$7,LEFT(O262,3)=$W$7)),"x","")</f>
        <v/>
      </c>
      <c r="X262" s="79" t="str">
        <f>IF(OR(TH!N262=TH!$X$7,O262=TH!$X$7),"x","")</f>
        <v/>
      </c>
      <c r="Y262" s="79" t="str">
        <f>IF(AND(OR(N262="131",O262="131"),H262='131-CT'!$H$9),"x","")</f>
        <v/>
      </c>
      <c r="Z262" s="79"/>
      <c r="AA262" s="79" t="str">
        <f>IF(AND(MONTH(E262)='IN-NX'!$J$5,'IN-NX'!$D$7=D262),"x","")</f>
        <v/>
      </c>
      <c r="AB262" s="79" t="str">
        <f>IF(AND(OR(LEFT(TH!N262,2)="15",LEFT(TH!O262,2)="15"),LEFT(TH!O262,3)&lt;&gt;"111",'152-CT'!$J$8=TH!F262),"x","")</f>
        <v/>
      </c>
      <c r="AC262" s="79" t="str">
        <f>IF(AND(OR(LEFT(TH!N262,2)="15",LEFT(TH!O262,2)="15"),TK!$E$7=TH!F262),"x","")</f>
        <v/>
      </c>
      <c r="AD262" s="79" t="str">
        <f>IF(AND(N262="1521",MONTH(C262)='BK-NL'!$M$11),"x","")</f>
        <v/>
      </c>
      <c r="AE262" s="1101">
        <v>1</v>
      </c>
    </row>
    <row r="263" spans="1:31" ht="16.5" customHeight="1">
      <c r="A263" s="318" t="str">
        <f>IF(B263&lt;&gt;"",IF(AND(B263='[2]IN-TC'!$S$4,OR([2]TH!N261="1111",[2]TH!O261="1111")),[2]TH!D261,""),"")</f>
        <v/>
      </c>
      <c r="B263" s="1106">
        <f t="shared" si="42"/>
        <v>1</v>
      </c>
      <c r="C263" s="974">
        <v>43126</v>
      </c>
      <c r="D263" s="974" t="s">
        <v>532</v>
      </c>
      <c r="E263" s="974">
        <f t="shared" si="43"/>
        <v>43126</v>
      </c>
      <c r="F263" s="975" t="s">
        <v>984</v>
      </c>
      <c r="G263" s="976"/>
      <c r="H263" s="759" t="s">
        <v>563</v>
      </c>
      <c r="I263" s="383"/>
      <c r="J263" s="977"/>
      <c r="K263" s="383"/>
      <c r="L263" s="390"/>
      <c r="M263" s="978"/>
      <c r="N263" s="979" t="s">
        <v>9</v>
      </c>
      <c r="O263" s="979" t="s">
        <v>8</v>
      </c>
      <c r="P263" s="79" t="str">
        <f>IF(AND('331-CT'!$E$7=TH!H263,OR(N263="331",O263="331")),"x","")</f>
        <v/>
      </c>
      <c r="Q263" s="79" t="str">
        <f>IF(AND(B263='111'!$L$11,OR($N263=$Q$7,$O263=$Q$7)),"x","")</f>
        <v/>
      </c>
      <c r="R263" s="79" t="str">
        <f>IF(AND($N263=$Q$7,$B263&lt;'111'!$L$11),"x","")</f>
        <v/>
      </c>
      <c r="S263" s="79" t="str">
        <f>IF(AND($O263=$Q$7,$B263&lt;'111'!$L$11),"x","")</f>
        <v/>
      </c>
      <c r="T263" s="79" t="str">
        <f>IF(ISERROR(FIND('112'!$M$9,G263,1)),"",IF((AND(FIND('112'!$M$9,G263,1)&gt;=1,B263='112'!$K$9,OR($N263='112'!$I$6,$O263='112'!$I$6))),"x",""))</f>
        <v/>
      </c>
      <c r="U263" s="79" t="str">
        <f>IF(ISERROR(FIND('112'!$M$9,G263,1)),"",IF((AND(LEFT(G263,2)=LEFT('112'!$M$9,2),B263&lt;'112'!$K$9,$N263='112'!$I$6)),"x",""))</f>
        <v/>
      </c>
      <c r="V263" s="79" t="str">
        <f>IF(ISERROR(FIND('112'!$M$9,G263,1)),"",IF((AND(RIGHT(G263,2)=RIGHT('112'!$M$9,2),B263&lt;'112'!$K$9,$O263='112'!$I$6)),"x",""))</f>
        <v/>
      </c>
      <c r="W263" s="79" t="str">
        <f>IF(AND('341-CT'!$H$9=H263,OR(LEFT(N263,3)=$W$7,LEFT(O263,3)=$W$7)),"x","")</f>
        <v/>
      </c>
      <c r="X263" s="79" t="str">
        <f>IF(OR(TH!N263=TH!$X$7,O263=TH!$X$7),"x","")</f>
        <v/>
      </c>
      <c r="Y263" s="79" t="str">
        <f>IF(AND(OR(N263="131",O263="131"),H263='131-CT'!$H$9),"x","")</f>
        <v/>
      </c>
      <c r="Z263" s="79"/>
      <c r="AA263" s="79" t="str">
        <f>IF(AND(MONTH(E263)='IN-NX'!$J$5,'IN-NX'!$D$7=D263),"x","")</f>
        <v/>
      </c>
      <c r="AB263" s="79" t="str">
        <f>IF(AND(OR(LEFT(TH!N263,2)="15",LEFT(TH!O263,2)="15"),LEFT(TH!O263,3)&lt;&gt;"111",'152-CT'!$J$8=TH!F263),"x","")</f>
        <v/>
      </c>
      <c r="AC263" s="79" t="str">
        <f>IF(AND(OR(LEFT(TH!N263,2)="15",LEFT(TH!O263,2)="15"),TK!$E$7=TH!F263),"x","")</f>
        <v/>
      </c>
      <c r="AD263" s="79" t="str">
        <f>IF(AND(N263="1521",MONTH(C263)='BK-NL'!$M$11),"x","")</f>
        <v/>
      </c>
      <c r="AE263" s="1101">
        <v>1</v>
      </c>
    </row>
    <row r="264" spans="1:31" s="1102" customFormat="1" ht="16.5" customHeight="1">
      <c r="A264" s="1317" t="str">
        <f>IF(B264&lt;&gt;"",IF(AND(B264='[2]IN-TC'!$S$4,OR([2]TH!N262="1111",[2]TH!O262="1111")),[2]TH!D262,""),"")</f>
        <v/>
      </c>
      <c r="B264" s="1106">
        <f t="shared" ref="B264" si="46">IF(C264&lt;&gt;"",MONTH(C264),"")</f>
        <v>1</v>
      </c>
      <c r="C264" s="998">
        <v>43104</v>
      </c>
      <c r="D264" s="998" t="s">
        <v>1023</v>
      </c>
      <c r="E264" s="998">
        <f t="shared" ref="E264" si="47">C264</f>
        <v>43104</v>
      </c>
      <c r="F264" s="999" t="s">
        <v>420</v>
      </c>
      <c r="G264" s="1003" t="s">
        <v>1024</v>
      </c>
      <c r="H264" s="997" t="s">
        <v>1025</v>
      </c>
      <c r="I264" s="984">
        <v>130</v>
      </c>
      <c r="J264" s="1000">
        <v>2.1</v>
      </c>
      <c r="K264" s="984">
        <f>I264*J264</f>
        <v>273</v>
      </c>
      <c r="L264" s="983">
        <v>22675</v>
      </c>
      <c r="M264" s="985">
        <f>ROUND(K264*L264,0)</f>
        <v>6190275</v>
      </c>
      <c r="N264" s="1001" t="s">
        <v>537</v>
      </c>
      <c r="O264" s="1001" t="s">
        <v>288</v>
      </c>
      <c r="P264" s="1313" t="str">
        <f>IF(AND('331-CT'!$E$7=TH!H264,OR(N264="331",O264="331")),"x","")</f>
        <v/>
      </c>
      <c r="Q264" s="1313" t="str">
        <f>IF(AND(B264='111'!$L$11,OR($N264=$Q$7,$O264=$Q$7)),"x","")</f>
        <v/>
      </c>
      <c r="R264" s="1313" t="str">
        <f>IF(AND($N264=$Q$7,$B264&lt;'111'!$L$11),"x","")</f>
        <v/>
      </c>
      <c r="S264" s="1313" t="str">
        <f>IF(AND($O264=$Q$7,$B264&lt;'111'!$L$11),"x","")</f>
        <v/>
      </c>
      <c r="T264" s="1313" t="str">
        <f>IF(ISERROR(FIND('112'!$M$9,G264,1)),"",IF((AND(FIND('112'!$M$9,G264,1)&gt;=1,B264='112'!$K$9,OR($N264='112'!$I$6,$O264='112'!$I$6))),"x",""))</f>
        <v/>
      </c>
      <c r="U264" s="1313" t="str">
        <f>IF(ISERROR(FIND('112'!$M$9,G264,1)),"",IF((AND(LEFT(G264,2)=LEFT('112'!$M$9,2),B264&lt;'112'!$K$9,$N264='112'!$I$6)),"x",""))</f>
        <v/>
      </c>
      <c r="V264" s="1313" t="str">
        <f>IF(ISERROR(FIND('112'!$M$9,G264,1)),"",IF((AND(RIGHT(G264,2)=RIGHT('112'!$M$9,2),B264&lt;'112'!$K$9,$O264='112'!$I$6)),"x",""))</f>
        <v/>
      </c>
      <c r="W264" s="1313" t="str">
        <f>IF(AND('341-CT'!$H$9=H264,OR(LEFT(N264,3)=$W$7,LEFT(O264,3)=$W$7)),"x","")</f>
        <v/>
      </c>
      <c r="X264" s="1313" t="str">
        <f>IF(OR(TH!N264=TH!$X$7,O264=TH!$X$7),"x","")</f>
        <v/>
      </c>
      <c r="Y264" s="1313" t="str">
        <f>IF(AND(OR(N264="131",O264="131"),H264='131-CT'!$H$9),"x","")</f>
        <v>x</v>
      </c>
      <c r="Z264" s="1313"/>
      <c r="AA264" s="1313" t="str">
        <f>IF(AND(MONTH(E264)='IN-NX'!$J$5,'IN-NX'!$D$7=D264),"x","")</f>
        <v/>
      </c>
      <c r="AB264" s="1313" t="str">
        <f>IF(AND(OR(LEFT(TH!N264,2)="15",LEFT(TH!O264,2)="15"),LEFT(TH!O264,3)&lt;&gt;"111",'152-CT'!$J$8=TH!F264),"x","")</f>
        <v/>
      </c>
      <c r="AC264" s="1313" t="str">
        <f>IF(AND(OR(LEFT(TH!N264,2)="15",LEFT(TH!O264,2)="15"),TK!$E$7=TH!F264),"x","")</f>
        <v/>
      </c>
      <c r="AD264" s="1313" t="str">
        <f>IF(AND(N264="1521",MONTH(C264)='BK-NL'!$M$11),"x","")</f>
        <v/>
      </c>
    </row>
    <row r="265" spans="1:31" s="1102" customFormat="1" ht="16.5" customHeight="1">
      <c r="A265" s="1317" t="str">
        <f>IF(B265&lt;&gt;"",IF(AND(B265='[2]IN-TC'!$S$4,OR([2]TH!N263="1111",[2]TH!O263="1111")),[2]TH!D263,""),"")</f>
        <v/>
      </c>
      <c r="B265" s="1106">
        <f t="shared" ref="B265" si="48">IF(C265&lt;&gt;"",MONTH(C265),"")</f>
        <v>1</v>
      </c>
      <c r="C265" s="998">
        <v>43104</v>
      </c>
      <c r="D265" s="998" t="s">
        <v>1023</v>
      </c>
      <c r="E265" s="998">
        <f t="shared" ref="E265" si="49">C265</f>
        <v>43104</v>
      </c>
      <c r="F265" s="999" t="s">
        <v>423</v>
      </c>
      <c r="G265" s="1003" t="s">
        <v>1024</v>
      </c>
      <c r="H265" s="997" t="s">
        <v>1025</v>
      </c>
      <c r="I265" s="984">
        <v>150</v>
      </c>
      <c r="J265" s="1000">
        <v>4.5</v>
      </c>
      <c r="K265" s="984">
        <f>I265*J265</f>
        <v>675</v>
      </c>
      <c r="L265" s="983">
        <v>22675</v>
      </c>
      <c r="M265" s="985">
        <f>ROUND(K265*L265,0)</f>
        <v>15305625</v>
      </c>
      <c r="N265" s="1001" t="s">
        <v>537</v>
      </c>
      <c r="O265" s="1001" t="s">
        <v>288</v>
      </c>
      <c r="P265" s="1313" t="str">
        <f>IF(AND('331-CT'!$E$7=TH!H265,OR(N265="331",O265="331")),"x","")</f>
        <v/>
      </c>
      <c r="Q265" s="1313" t="str">
        <f>IF(AND(B265='111'!$L$11,OR($N265=$Q$7,$O265=$Q$7)),"x","")</f>
        <v/>
      </c>
      <c r="R265" s="1313" t="str">
        <f>IF(AND($N265=$Q$7,$B265&lt;'111'!$L$11),"x","")</f>
        <v/>
      </c>
      <c r="S265" s="1313" t="str">
        <f>IF(AND($O265=$Q$7,$B265&lt;'111'!$L$11),"x","")</f>
        <v/>
      </c>
      <c r="T265" s="1313" t="str">
        <f>IF(ISERROR(FIND('112'!$M$9,G265,1)),"",IF((AND(FIND('112'!$M$9,G265,1)&gt;=1,B265='112'!$K$9,OR($N265='112'!$I$6,$O265='112'!$I$6))),"x",""))</f>
        <v/>
      </c>
      <c r="U265" s="1313" t="str">
        <f>IF(ISERROR(FIND('112'!$M$9,G265,1)),"",IF((AND(LEFT(G265,2)=LEFT('112'!$M$9,2),B265&lt;'112'!$K$9,$N265='112'!$I$6)),"x",""))</f>
        <v/>
      </c>
      <c r="V265" s="1313" t="str">
        <f>IF(ISERROR(FIND('112'!$M$9,G265,1)),"",IF((AND(RIGHT(G265,2)=RIGHT('112'!$M$9,2),B265&lt;'112'!$K$9,$O265='112'!$I$6)),"x",""))</f>
        <v/>
      </c>
      <c r="W265" s="1313" t="str">
        <f>IF(AND('341-CT'!$H$9=H265,OR(LEFT(N265,3)=$W$7,LEFT(O265,3)=$W$7)),"x","")</f>
        <v/>
      </c>
      <c r="X265" s="1313" t="str">
        <f>IF(OR(TH!N265=TH!$X$7,O265=TH!$X$7),"x","")</f>
        <v/>
      </c>
      <c r="Y265" s="1313" t="str">
        <f>IF(AND(OR(N265="131",O265="131"),H265='131-CT'!$H$9),"x","")</f>
        <v>x</v>
      </c>
      <c r="Z265" s="1313"/>
      <c r="AA265" s="1313" t="str">
        <f>IF(AND(MONTH(E265)='IN-NX'!$J$5,'IN-NX'!$D$7=D265),"x","")</f>
        <v/>
      </c>
      <c r="AB265" s="1313" t="str">
        <f>IF(AND(OR(LEFT(TH!N265,2)="15",LEFT(TH!O265,2)="15"),LEFT(TH!O265,3)&lt;&gt;"111",'152-CT'!$J$8=TH!F265),"x","")</f>
        <v/>
      </c>
      <c r="AC265" s="1313" t="str">
        <f>IF(AND(OR(LEFT(TH!N265,2)="15",LEFT(TH!O265,2)="15"),TK!$E$7=TH!F265),"x","")</f>
        <v/>
      </c>
      <c r="AD265" s="1313" t="str">
        <f>IF(AND(N265="1521",MONTH(C265)='BK-NL'!$M$11),"x","")</f>
        <v/>
      </c>
    </row>
    <row r="266" spans="1:31" s="1102" customFormat="1" ht="16.5" customHeight="1">
      <c r="A266" s="1317" t="str">
        <f>IF(B266&lt;&gt;"",IF(AND(B266='[2]IN-TC'!$S$4,OR([2]TH!N264="1111",[2]TH!O264="1111")),[2]TH!D264,""),"")</f>
        <v/>
      </c>
      <c r="B266" s="1106">
        <f t="shared" ref="B266:B269" si="50">IF(C266&lt;&gt;"",MONTH(C266),"")</f>
        <v>1</v>
      </c>
      <c r="C266" s="998">
        <v>43104</v>
      </c>
      <c r="D266" s="998" t="s">
        <v>1026</v>
      </c>
      <c r="E266" s="998">
        <f t="shared" ref="E266:E269" si="51">C266</f>
        <v>43104</v>
      </c>
      <c r="F266" s="999" t="s">
        <v>843</v>
      </c>
      <c r="G266" s="1003" t="s">
        <v>1029</v>
      </c>
      <c r="H266" s="997" t="s">
        <v>1030</v>
      </c>
      <c r="I266" s="984">
        <v>3000</v>
      </c>
      <c r="J266" s="1000">
        <v>9.8000000000000007</v>
      </c>
      <c r="K266" s="984">
        <f t="shared" ref="K266:K268" si="52">I266*J266</f>
        <v>29400.000000000004</v>
      </c>
      <c r="L266" s="983">
        <v>22675</v>
      </c>
      <c r="M266" s="985">
        <f t="shared" ref="M266:M268" si="53">ROUND(K266*L266,0)</f>
        <v>666645000</v>
      </c>
      <c r="N266" s="1001" t="s">
        <v>537</v>
      </c>
      <c r="O266" s="1001" t="s">
        <v>288</v>
      </c>
      <c r="P266" s="1313" t="str">
        <f>IF(AND('331-CT'!$E$7=TH!H266,OR(N266="331",O266="331")),"x","")</f>
        <v/>
      </c>
      <c r="Q266" s="1313" t="str">
        <f>IF(AND(B266='111'!$L$11,OR($N266=$Q$7,$O266=$Q$7)),"x","")</f>
        <v/>
      </c>
      <c r="R266" s="1313" t="str">
        <f>IF(AND($N266=$Q$7,$B266&lt;'111'!$L$11),"x","")</f>
        <v/>
      </c>
      <c r="S266" s="1313" t="str">
        <f>IF(AND($O266=$Q$7,$B266&lt;'111'!$L$11),"x","")</f>
        <v/>
      </c>
      <c r="T266" s="1313" t="str">
        <f>IF(ISERROR(FIND('112'!$M$9,G266,1)),"",IF((AND(FIND('112'!$M$9,G266,1)&gt;=1,B266='112'!$K$9,OR($N266='112'!$I$6,$O266='112'!$I$6))),"x",""))</f>
        <v/>
      </c>
      <c r="U266" s="1313" t="str">
        <f>IF(ISERROR(FIND('112'!$M$9,G266,1)),"",IF((AND(LEFT(G266,2)=LEFT('112'!$M$9,2),B266&lt;'112'!$K$9,$N266='112'!$I$6)),"x",""))</f>
        <v/>
      </c>
      <c r="V266" s="1313" t="str">
        <f>IF(ISERROR(FIND('112'!$M$9,G266,1)),"",IF((AND(RIGHT(G266,2)=RIGHT('112'!$M$9,2),B266&lt;'112'!$K$9,$O266='112'!$I$6)),"x",""))</f>
        <v/>
      </c>
      <c r="W266" s="1313" t="str">
        <f>IF(AND('341-CT'!$H$9=H266,OR(LEFT(N266,3)=$W$7,LEFT(O266,3)=$W$7)),"x","")</f>
        <v/>
      </c>
      <c r="X266" s="1313" t="str">
        <f>IF(OR(TH!N266=TH!$X$7,O266=TH!$X$7),"x","")</f>
        <v/>
      </c>
      <c r="Y266" s="1313" t="str">
        <f>IF(AND(OR(N266="131",O266="131"),H266='131-CT'!$H$9),"x","")</f>
        <v/>
      </c>
      <c r="Z266" s="1313"/>
      <c r="AA266" s="1313" t="str">
        <f>IF(AND(MONTH(E266)='IN-NX'!$J$5,'IN-NX'!$D$7=D266),"x","")</f>
        <v/>
      </c>
      <c r="AB266" s="1313" t="str">
        <f>IF(AND(OR(LEFT(TH!N266,2)="15",LEFT(TH!O266,2)="15"),LEFT(TH!O266,3)&lt;&gt;"111",'152-CT'!$J$8=TH!F266),"x","")</f>
        <v/>
      </c>
      <c r="AC266" s="1313" t="str">
        <f>IF(AND(OR(LEFT(TH!N266,2)="15",LEFT(TH!O266,2)="15"),TK!$E$7=TH!F266),"x","")</f>
        <v/>
      </c>
      <c r="AD266" s="1313" t="str">
        <f>IF(AND(N266="1521",MONTH(C266)='BK-NL'!$M$11),"x","")</f>
        <v/>
      </c>
    </row>
    <row r="267" spans="1:31" s="1102" customFormat="1" ht="16.5" customHeight="1">
      <c r="A267" s="1317" t="str">
        <f>IF(B267&lt;&gt;"",IF(AND(B267='[2]IN-TC'!$S$4,OR([2]TH!N265="1111",[2]TH!O265="1111")),[2]TH!D265,""),"")</f>
        <v/>
      </c>
      <c r="B267" s="1106">
        <f t="shared" si="50"/>
        <v>1</v>
      </c>
      <c r="C267" s="998">
        <v>43104</v>
      </c>
      <c r="D267" s="998" t="s">
        <v>1026</v>
      </c>
      <c r="E267" s="998">
        <f t="shared" si="51"/>
        <v>43104</v>
      </c>
      <c r="F267" s="999" t="s">
        <v>1027</v>
      </c>
      <c r="G267" s="1003" t="s">
        <v>1029</v>
      </c>
      <c r="H267" s="997" t="s">
        <v>1030</v>
      </c>
      <c r="I267" s="984">
        <v>3000</v>
      </c>
      <c r="J267" s="1000">
        <v>9.8000000000000007</v>
      </c>
      <c r="K267" s="984">
        <f t="shared" si="52"/>
        <v>29400.000000000004</v>
      </c>
      <c r="L267" s="983">
        <v>22675</v>
      </c>
      <c r="M267" s="985">
        <f t="shared" si="53"/>
        <v>666645000</v>
      </c>
      <c r="N267" s="1001" t="s">
        <v>537</v>
      </c>
      <c r="O267" s="1001" t="s">
        <v>288</v>
      </c>
      <c r="P267" s="1313" t="str">
        <f>IF(AND('331-CT'!$E$7=TH!H267,OR(N267="331",O267="331")),"x","")</f>
        <v/>
      </c>
      <c r="Q267" s="1313" t="str">
        <f>IF(AND(B267='111'!$L$11,OR($N267=$Q$7,$O267=$Q$7)),"x","")</f>
        <v/>
      </c>
      <c r="R267" s="1313" t="str">
        <f>IF(AND($N267=$Q$7,$B267&lt;'111'!$L$11),"x","")</f>
        <v/>
      </c>
      <c r="S267" s="1313" t="str">
        <f>IF(AND($O267=$Q$7,$B267&lt;'111'!$L$11),"x","")</f>
        <v/>
      </c>
      <c r="T267" s="1313" t="str">
        <f>IF(ISERROR(FIND('112'!$M$9,G267,1)),"",IF((AND(FIND('112'!$M$9,G267,1)&gt;=1,B267='112'!$K$9,OR($N267='112'!$I$6,$O267='112'!$I$6))),"x",""))</f>
        <v/>
      </c>
      <c r="U267" s="1313" t="str">
        <f>IF(ISERROR(FIND('112'!$M$9,G267,1)),"",IF((AND(LEFT(G267,2)=LEFT('112'!$M$9,2),B267&lt;'112'!$K$9,$N267='112'!$I$6)),"x",""))</f>
        <v/>
      </c>
      <c r="V267" s="1313" t="str">
        <f>IF(ISERROR(FIND('112'!$M$9,G267,1)),"",IF((AND(RIGHT(G267,2)=RIGHT('112'!$M$9,2),B267&lt;'112'!$K$9,$O267='112'!$I$6)),"x",""))</f>
        <v/>
      </c>
      <c r="W267" s="1313" t="str">
        <f>IF(AND('341-CT'!$H$9=H267,OR(LEFT(N267,3)=$W$7,LEFT(O267,3)=$W$7)),"x","")</f>
        <v/>
      </c>
      <c r="X267" s="1313" t="str">
        <f>IF(OR(TH!N267=TH!$X$7,O267=TH!$X$7),"x","")</f>
        <v/>
      </c>
      <c r="Y267" s="1313" t="str">
        <f>IF(AND(OR(N267="131",O267="131"),H267='131-CT'!$H$9),"x","")</f>
        <v/>
      </c>
      <c r="Z267" s="1313"/>
      <c r="AA267" s="1313" t="str">
        <f>IF(AND(MONTH(E267)='IN-NX'!$J$5,'IN-NX'!$D$7=D267),"x","")</f>
        <v/>
      </c>
      <c r="AB267" s="1313" t="str">
        <f>IF(AND(OR(LEFT(TH!N267,2)="15",LEFT(TH!O267,2)="15"),LEFT(TH!O267,3)&lt;&gt;"111",'152-CT'!$J$8=TH!F267),"x","")</f>
        <v/>
      </c>
      <c r="AC267" s="1313" t="str">
        <f>IF(AND(OR(LEFT(TH!N267,2)="15",LEFT(TH!O267,2)="15"),TK!$E$7=TH!F267),"x","")</f>
        <v/>
      </c>
      <c r="AD267" s="1313" t="str">
        <f>IF(AND(N267="1521",MONTH(C267)='BK-NL'!$M$11),"x","")</f>
        <v/>
      </c>
    </row>
    <row r="268" spans="1:31" s="1102" customFormat="1" ht="16.5" customHeight="1">
      <c r="A268" s="1317" t="str">
        <f>IF(B268&lt;&gt;"",IF(AND(B268='[2]IN-TC'!$S$4,OR([2]TH!N266="1111",[2]TH!O266="1111")),[2]TH!D266,""),"")</f>
        <v/>
      </c>
      <c r="B268" s="1106">
        <f t="shared" si="50"/>
        <v>1</v>
      </c>
      <c r="C268" s="998">
        <v>43104</v>
      </c>
      <c r="D268" s="998" t="s">
        <v>1026</v>
      </c>
      <c r="E268" s="998">
        <f t="shared" si="51"/>
        <v>43104</v>
      </c>
      <c r="F268" s="999" t="s">
        <v>1028</v>
      </c>
      <c r="G268" s="1003" t="s">
        <v>1029</v>
      </c>
      <c r="H268" s="997" t="s">
        <v>1030</v>
      </c>
      <c r="I268" s="984">
        <v>6000</v>
      </c>
      <c r="J268" s="1000">
        <v>9.8000000000000007</v>
      </c>
      <c r="K268" s="984">
        <f t="shared" si="52"/>
        <v>58800.000000000007</v>
      </c>
      <c r="L268" s="983">
        <v>22675</v>
      </c>
      <c r="M268" s="985">
        <f t="shared" si="53"/>
        <v>1333290000</v>
      </c>
      <c r="N268" s="1001" t="s">
        <v>537</v>
      </c>
      <c r="O268" s="1001" t="s">
        <v>288</v>
      </c>
      <c r="P268" s="1313" t="str">
        <f>IF(AND('331-CT'!$E$7=TH!H268,OR(N268="331",O268="331")),"x","")</f>
        <v/>
      </c>
      <c r="Q268" s="1313" t="str">
        <f>IF(AND(B268='111'!$L$11,OR($N268=$Q$7,$O268=$Q$7)),"x","")</f>
        <v/>
      </c>
      <c r="R268" s="1313" t="str">
        <f>IF(AND($N268=$Q$7,$B268&lt;'111'!$L$11),"x","")</f>
        <v/>
      </c>
      <c r="S268" s="1313" t="str">
        <f>IF(AND($O268=$Q$7,$B268&lt;'111'!$L$11),"x","")</f>
        <v/>
      </c>
      <c r="T268" s="1313" t="str">
        <f>IF(ISERROR(FIND('112'!$M$9,G268,1)),"",IF((AND(FIND('112'!$M$9,G268,1)&gt;=1,B268='112'!$K$9,OR($N268='112'!$I$6,$O268='112'!$I$6))),"x",""))</f>
        <v/>
      </c>
      <c r="U268" s="1313" t="str">
        <f>IF(ISERROR(FIND('112'!$M$9,G268,1)),"",IF((AND(LEFT(G268,2)=LEFT('112'!$M$9,2),B268&lt;'112'!$K$9,$N268='112'!$I$6)),"x",""))</f>
        <v/>
      </c>
      <c r="V268" s="1313" t="str">
        <f>IF(ISERROR(FIND('112'!$M$9,G268,1)),"",IF((AND(RIGHT(G268,2)=RIGHT('112'!$M$9,2),B268&lt;'112'!$K$9,$O268='112'!$I$6)),"x",""))</f>
        <v/>
      </c>
      <c r="W268" s="1313" t="str">
        <f>IF(AND('341-CT'!$H$9=H268,OR(LEFT(N268,3)=$W$7,LEFT(O268,3)=$W$7)),"x","")</f>
        <v/>
      </c>
      <c r="X268" s="1313" t="str">
        <f>IF(OR(TH!N268=TH!$X$7,O268=TH!$X$7),"x","")</f>
        <v/>
      </c>
      <c r="Y268" s="1313" t="str">
        <f>IF(AND(OR(N268="131",O268="131"),H268='131-CT'!$H$9),"x","")</f>
        <v/>
      </c>
      <c r="Z268" s="1313"/>
      <c r="AA268" s="1313" t="str">
        <f>IF(AND(MONTH(E268)='IN-NX'!$J$5,'IN-NX'!$D$7=D268),"x","")</f>
        <v/>
      </c>
      <c r="AB268" s="1313" t="str">
        <f>IF(AND(OR(LEFT(TH!N268,2)="15",LEFT(TH!O268,2)="15"),LEFT(TH!O268,3)&lt;&gt;"111",'152-CT'!$J$8=TH!F268),"x","")</f>
        <v/>
      </c>
      <c r="AC268" s="1313" t="str">
        <f>IF(AND(OR(LEFT(TH!N268,2)="15",LEFT(TH!O268,2)="15"),TK!$E$7=TH!F268),"x","")</f>
        <v/>
      </c>
      <c r="AD268" s="1313" t="str">
        <f>IF(AND(N268="1521",MONTH(C268)='BK-NL'!$M$11),"x","")</f>
        <v/>
      </c>
    </row>
    <row r="269" spans="1:31" s="1102" customFormat="1" ht="16.5" customHeight="1">
      <c r="A269" s="1317" t="str">
        <f>IF(B269&lt;&gt;"",IF(AND(B269='[2]IN-TC'!$S$4,OR([2]TH!N267="1111",[2]TH!O267="1111")),[2]TH!D267,""),"")</f>
        <v/>
      </c>
      <c r="B269" s="1106">
        <f t="shared" si="50"/>
        <v>1</v>
      </c>
      <c r="C269" s="998">
        <v>43109</v>
      </c>
      <c r="D269" s="998" t="s">
        <v>1031</v>
      </c>
      <c r="E269" s="998">
        <f t="shared" si="51"/>
        <v>43109</v>
      </c>
      <c r="F269" s="999" t="s">
        <v>1034</v>
      </c>
      <c r="G269" s="1003" t="s">
        <v>1035</v>
      </c>
      <c r="H269" s="997" t="s">
        <v>750</v>
      </c>
      <c r="I269" s="984">
        <v>4750</v>
      </c>
      <c r="J269" s="1000">
        <v>255000</v>
      </c>
      <c r="K269" s="984"/>
      <c r="L269" s="983"/>
      <c r="M269" s="985">
        <f>ROUND(I269*J269,0)</f>
        <v>1211250000</v>
      </c>
      <c r="N269" s="1001" t="s">
        <v>537</v>
      </c>
      <c r="O269" s="1001" t="s">
        <v>286</v>
      </c>
      <c r="P269" s="1313" t="str">
        <f>IF(AND('331-CT'!$E$7=TH!H269,OR(N269="331",O269="331")),"x","")</f>
        <v/>
      </c>
      <c r="Q269" s="1313" t="str">
        <f>IF(AND(B269='111'!$L$11,OR($N269=$Q$7,$O269=$Q$7)),"x","")</f>
        <v/>
      </c>
      <c r="R269" s="1313" t="str">
        <f>IF(AND($N269=$Q$7,$B269&lt;'111'!$L$11),"x","")</f>
        <v/>
      </c>
      <c r="S269" s="1313" t="str">
        <f>IF(AND($O269=$Q$7,$B269&lt;'111'!$L$11),"x","")</f>
        <v/>
      </c>
      <c r="T269" s="1313" t="str">
        <f>IF(ISERROR(FIND('112'!$M$9,G269,1)),"",IF((AND(FIND('112'!$M$9,G269,1)&gt;=1,B269='112'!$K$9,OR($N269='112'!$I$6,$O269='112'!$I$6))),"x",""))</f>
        <v/>
      </c>
      <c r="U269" s="1313" t="str">
        <f>IF(ISERROR(FIND('112'!$M$9,G269,1)),"",IF((AND(LEFT(G269,2)=LEFT('112'!$M$9,2),B269&lt;'112'!$K$9,$N269='112'!$I$6)),"x",""))</f>
        <v/>
      </c>
      <c r="V269" s="1313" t="str">
        <f>IF(ISERROR(FIND('112'!$M$9,G269,1)),"",IF((AND(RIGHT(G269,2)=RIGHT('112'!$M$9,2),B269&lt;'112'!$K$9,$O269='112'!$I$6)),"x",""))</f>
        <v/>
      </c>
      <c r="W269" s="1313" t="str">
        <f>IF(AND('341-CT'!$H$9=H269,OR(LEFT(N269,3)=$W$7,LEFT(O269,3)=$W$7)),"x","")</f>
        <v/>
      </c>
      <c r="X269" s="1313" t="str">
        <f>IF(OR(TH!N269=TH!$X$7,O269=TH!$X$7),"x","")</f>
        <v/>
      </c>
      <c r="Y269" s="1313" t="str">
        <f>IF(AND(OR(N269="131",O269="131"),H269='131-CT'!$H$9),"x","")</f>
        <v/>
      </c>
      <c r="Z269" s="1313"/>
      <c r="AA269" s="1313" t="str">
        <f>IF(AND(MONTH(E269)='IN-NX'!$J$5,'IN-NX'!$D$7=D269),"x","")</f>
        <v/>
      </c>
      <c r="AB269" s="1313" t="str">
        <f>IF(AND(OR(LEFT(TH!N269,2)="15",LEFT(TH!O269,2)="15"),LEFT(TH!O269,3)&lt;&gt;"111",'152-CT'!$J$8=TH!F269),"x","")</f>
        <v/>
      </c>
      <c r="AC269" s="1313" t="str">
        <f>IF(AND(OR(LEFT(TH!N269,2)="15",LEFT(TH!O269,2)="15"),TK!$E$7=TH!F269),"x","")</f>
        <v/>
      </c>
      <c r="AD269" s="1313" t="str">
        <f>IF(AND(N269="1521",MONTH(C269)='BK-NL'!$M$11),"x","")</f>
        <v/>
      </c>
    </row>
    <row r="270" spans="1:31" s="1102" customFormat="1" ht="16.5" customHeight="1">
      <c r="A270" s="1317" t="str">
        <f>IF(B270&lt;&gt;"",IF(AND(B270='[2]IN-TC'!$S$4,OR([2]TH!N268="1111",[2]TH!O268="1111")),[2]TH!D268,""),"")</f>
        <v/>
      </c>
      <c r="B270" s="1106">
        <f t="shared" ref="B270" si="54">IF(C270&lt;&gt;"",MONTH(C270),"")</f>
        <v>1</v>
      </c>
      <c r="C270" s="998">
        <v>43109</v>
      </c>
      <c r="D270" s="998" t="s">
        <v>1031</v>
      </c>
      <c r="E270" s="998">
        <f t="shared" ref="E270" si="55">C270</f>
        <v>43109</v>
      </c>
      <c r="F270" s="999" t="s">
        <v>1036</v>
      </c>
      <c r="G270" s="1003" t="s">
        <v>1035</v>
      </c>
      <c r="H270" s="997" t="s">
        <v>750</v>
      </c>
      <c r="I270" s="984"/>
      <c r="J270" s="1000"/>
      <c r="K270" s="984"/>
      <c r="L270" s="983"/>
      <c r="M270" s="985">
        <v>121125000</v>
      </c>
      <c r="N270" s="1001" t="s">
        <v>537</v>
      </c>
      <c r="O270" s="1001" t="s">
        <v>595</v>
      </c>
      <c r="P270" s="1313" t="str">
        <f>IF(AND('331-CT'!$E$7=TH!H270,OR(N270="331",O270="331")),"x","")</f>
        <v/>
      </c>
      <c r="Q270" s="1313" t="str">
        <f>IF(AND(B270='111'!$L$11,OR($N270=$Q$7,$O270=$Q$7)),"x","")</f>
        <v/>
      </c>
      <c r="R270" s="1313" t="str">
        <f>IF(AND($N270=$Q$7,$B270&lt;'111'!$L$11),"x","")</f>
        <v/>
      </c>
      <c r="S270" s="1313" t="str">
        <f>IF(AND($O270=$Q$7,$B270&lt;'111'!$L$11),"x","")</f>
        <v/>
      </c>
      <c r="T270" s="1313" t="str">
        <f>IF(ISERROR(FIND('112'!$M$9,G270,1)),"",IF((AND(FIND('112'!$M$9,G270,1)&gt;=1,B270='112'!$K$9,OR($N270='112'!$I$6,$O270='112'!$I$6))),"x",""))</f>
        <v/>
      </c>
      <c r="U270" s="1313" t="str">
        <f>IF(ISERROR(FIND('112'!$M$9,G270,1)),"",IF((AND(LEFT(G270,2)=LEFT('112'!$M$9,2),B270&lt;'112'!$K$9,$N270='112'!$I$6)),"x",""))</f>
        <v/>
      </c>
      <c r="V270" s="1313" t="str">
        <f>IF(ISERROR(FIND('112'!$M$9,G270,1)),"",IF((AND(RIGHT(G270,2)=RIGHT('112'!$M$9,2),B270&lt;'112'!$K$9,$O270='112'!$I$6)),"x",""))</f>
        <v/>
      </c>
      <c r="W270" s="1313" t="str">
        <f>IF(AND('341-CT'!$H$9=H270,OR(LEFT(N270,3)=$W$7,LEFT(O270,3)=$W$7)),"x","")</f>
        <v/>
      </c>
      <c r="X270" s="1313" t="str">
        <f>IF(OR(TH!N270=TH!$X$7,O270=TH!$X$7),"x","")</f>
        <v/>
      </c>
      <c r="Y270" s="1313" t="str">
        <f>IF(AND(OR(N270="131",O270="131"),H270='131-CT'!$H$9),"x","")</f>
        <v/>
      </c>
      <c r="Z270" s="1313"/>
      <c r="AA270" s="1313" t="str">
        <f>IF(AND(MONTH(E270)='IN-NX'!$J$5,'IN-NX'!$D$7=D270),"x","")</f>
        <v/>
      </c>
      <c r="AB270" s="1313" t="str">
        <f>IF(AND(OR(LEFT(TH!N270,2)="15",LEFT(TH!O270,2)="15"),LEFT(TH!O270,3)&lt;&gt;"111",'152-CT'!$J$8=TH!F270),"x","")</f>
        <v/>
      </c>
      <c r="AC270" s="1313" t="str">
        <f>IF(AND(OR(LEFT(TH!N270,2)="15",LEFT(TH!O270,2)="15"),TK!$E$7=TH!F270),"x","")</f>
        <v/>
      </c>
      <c r="AD270" s="1313" t="str">
        <f>IF(AND(N270="1521",MONTH(C270)='BK-NL'!$M$11),"x","")</f>
        <v/>
      </c>
    </row>
    <row r="271" spans="1:31" s="1102" customFormat="1" ht="16.5" customHeight="1">
      <c r="A271" s="1317" t="str">
        <f>IF(B271&lt;&gt;"",IF(AND(B271='[2]IN-TC'!$S$4,OR([2]TH!N268="1111",[2]TH!O268="1111")),[2]TH!D268,""),"")</f>
        <v/>
      </c>
      <c r="B271" s="1106">
        <f t="shared" ref="B271" si="56">IF(C271&lt;&gt;"",MONTH(C271),"")</f>
        <v>1</v>
      </c>
      <c r="C271" s="998">
        <v>43110</v>
      </c>
      <c r="D271" s="998" t="s">
        <v>1033</v>
      </c>
      <c r="E271" s="998">
        <f t="shared" ref="E271" si="57">C271</f>
        <v>43110</v>
      </c>
      <c r="F271" s="999" t="s">
        <v>423</v>
      </c>
      <c r="G271" s="1003" t="s">
        <v>1032</v>
      </c>
      <c r="H271" s="997" t="s">
        <v>1025</v>
      </c>
      <c r="I271" s="984">
        <v>4500</v>
      </c>
      <c r="J271" s="1000">
        <v>4.5</v>
      </c>
      <c r="K271" s="984">
        <f>I271*J271</f>
        <v>20250</v>
      </c>
      <c r="L271" s="983">
        <v>22675</v>
      </c>
      <c r="M271" s="985">
        <f>ROUND(K271*L271,0)</f>
        <v>459168750</v>
      </c>
      <c r="N271" s="1001" t="s">
        <v>537</v>
      </c>
      <c r="O271" s="1001" t="s">
        <v>288</v>
      </c>
      <c r="P271" s="1313" t="str">
        <f>IF(AND('331-CT'!$E$7=TH!H271,OR(N271="331",O271="331")),"x","")</f>
        <v/>
      </c>
      <c r="Q271" s="1313" t="str">
        <f>IF(AND(B271='111'!$L$11,OR($N271=$Q$7,$O271=$Q$7)),"x","")</f>
        <v/>
      </c>
      <c r="R271" s="1313" t="str">
        <f>IF(AND($N271=$Q$7,$B271&lt;'111'!$L$11),"x","")</f>
        <v/>
      </c>
      <c r="S271" s="1313" t="str">
        <f>IF(AND($O271=$Q$7,$B271&lt;'111'!$L$11),"x","")</f>
        <v/>
      </c>
      <c r="T271" s="1313" t="str">
        <f>IF(ISERROR(FIND('112'!$M$9,G271,1)),"",IF((AND(FIND('112'!$M$9,G271,1)&gt;=1,B271='112'!$K$9,OR($N271='112'!$I$6,$O271='112'!$I$6))),"x",""))</f>
        <v/>
      </c>
      <c r="U271" s="1313" t="str">
        <f>IF(ISERROR(FIND('112'!$M$9,G271,1)),"",IF((AND(LEFT(G271,2)=LEFT('112'!$M$9,2),B271&lt;'112'!$K$9,$N271='112'!$I$6)),"x",""))</f>
        <v/>
      </c>
      <c r="V271" s="1313" t="str">
        <f>IF(ISERROR(FIND('112'!$M$9,G271,1)),"",IF((AND(RIGHT(G271,2)=RIGHT('112'!$M$9,2),B271&lt;'112'!$K$9,$O271='112'!$I$6)),"x",""))</f>
        <v/>
      </c>
      <c r="W271" s="1313" t="str">
        <f>IF(AND('341-CT'!$H$9=H271,OR(LEFT(N271,3)=$W$7,LEFT(O271,3)=$W$7)),"x","")</f>
        <v/>
      </c>
      <c r="X271" s="1313" t="str">
        <f>IF(OR(TH!N271=TH!$X$7,O271=TH!$X$7),"x","")</f>
        <v/>
      </c>
      <c r="Y271" s="1313" t="str">
        <f>IF(AND(OR(N271="131",O271="131"),H271='131-CT'!$H$9),"x","")</f>
        <v>x</v>
      </c>
      <c r="Z271" s="1313"/>
      <c r="AA271" s="1313" t="str">
        <f>IF(AND(MONTH(E271)='IN-NX'!$J$5,'IN-NX'!$D$7=D271),"x","")</f>
        <v/>
      </c>
      <c r="AB271" s="1313" t="str">
        <f>IF(AND(OR(LEFT(TH!N271,2)="15",LEFT(TH!O271,2)="15"),LEFT(TH!O271,3)&lt;&gt;"111",'152-CT'!$J$8=TH!F271),"x","")</f>
        <v/>
      </c>
      <c r="AC271" s="1313" t="str">
        <f>IF(AND(OR(LEFT(TH!N271,2)="15",LEFT(TH!O271,2)="15"),TK!$E$7=TH!F271),"x","")</f>
        <v/>
      </c>
      <c r="AD271" s="1313" t="str">
        <f>IF(AND(N271="1521",MONTH(C271)='BK-NL'!$M$11),"x","")</f>
        <v/>
      </c>
    </row>
    <row r="272" spans="1:31" s="1102" customFormat="1" ht="16.5" customHeight="1">
      <c r="A272" s="1317" t="str">
        <f>IF(B272&lt;&gt;"",IF(AND(B272='[2]IN-TC'!$S$4,OR([2]TH!N269="1111",[2]TH!O269="1111")),[2]TH!D269,""),"")</f>
        <v/>
      </c>
      <c r="B272" s="1106">
        <f t="shared" ref="B272:B273" si="58">IF(C272&lt;&gt;"",MONTH(C272),"")</f>
        <v>1</v>
      </c>
      <c r="C272" s="998">
        <v>43117</v>
      </c>
      <c r="D272" s="998" t="s">
        <v>1041</v>
      </c>
      <c r="E272" s="998">
        <f t="shared" ref="E272:E273" si="59">C272</f>
        <v>43117</v>
      </c>
      <c r="F272" s="999" t="s">
        <v>842</v>
      </c>
      <c r="G272" s="1003" t="s">
        <v>1042</v>
      </c>
      <c r="H272" s="997" t="s">
        <v>547</v>
      </c>
      <c r="I272" s="984">
        <v>6480</v>
      </c>
      <c r="J272" s="1000">
        <v>9.1</v>
      </c>
      <c r="K272" s="984">
        <f>I272*J272</f>
        <v>58968</v>
      </c>
      <c r="L272" s="983">
        <v>22675</v>
      </c>
      <c r="M272" s="985">
        <f>ROUND(K272*L272,0)</f>
        <v>1337099400</v>
      </c>
      <c r="N272" s="1001" t="s">
        <v>537</v>
      </c>
      <c r="O272" s="1001" t="s">
        <v>288</v>
      </c>
      <c r="P272" s="1313" t="str">
        <f>IF(AND('331-CT'!$E$7=TH!H272,OR(N272="331",O272="331")),"x","")</f>
        <v/>
      </c>
      <c r="Q272" s="1313" t="str">
        <f>IF(AND(B272='111'!$L$11,OR($N272=$Q$7,$O272=$Q$7)),"x","")</f>
        <v/>
      </c>
      <c r="R272" s="1313" t="str">
        <f>IF(AND($N272=$Q$7,$B272&lt;'111'!$L$11),"x","")</f>
        <v/>
      </c>
      <c r="S272" s="1313" t="str">
        <f>IF(AND($O272=$Q$7,$B272&lt;'111'!$L$11),"x","")</f>
        <v/>
      </c>
      <c r="T272" s="1313" t="str">
        <f>IF(ISERROR(FIND('112'!$M$9,G272,1)),"",IF((AND(FIND('112'!$M$9,G272,1)&gt;=1,B272='112'!$K$9,OR($N272='112'!$I$6,$O272='112'!$I$6))),"x",""))</f>
        <v/>
      </c>
      <c r="U272" s="1313" t="str">
        <f>IF(ISERROR(FIND('112'!$M$9,G272,1)),"",IF((AND(LEFT(G272,2)=LEFT('112'!$M$9,2),B272&lt;'112'!$K$9,$N272='112'!$I$6)),"x",""))</f>
        <v/>
      </c>
      <c r="V272" s="1313" t="str">
        <f>IF(ISERROR(FIND('112'!$M$9,G272,1)),"",IF((AND(RIGHT(G272,2)=RIGHT('112'!$M$9,2),B272&lt;'112'!$K$9,$O272='112'!$I$6)),"x",""))</f>
        <v/>
      </c>
      <c r="W272" s="1313" t="str">
        <f>IF(AND('341-CT'!$H$9=H272,OR(LEFT(N272,3)=$W$7,LEFT(O272,3)=$W$7)),"x","")</f>
        <v/>
      </c>
      <c r="X272" s="1313" t="str">
        <f>IF(OR(TH!N272=TH!$X$7,O272=TH!$X$7),"x","")</f>
        <v/>
      </c>
      <c r="Y272" s="1313" t="str">
        <f>IF(AND(OR(N272="131",O272="131"),H272='131-CT'!$H$9),"x","")</f>
        <v/>
      </c>
      <c r="Z272" s="1313"/>
      <c r="AA272" s="1313" t="str">
        <f>IF(AND(MONTH(E272)='IN-NX'!$J$5,'IN-NX'!$D$7=D272),"x","")</f>
        <v/>
      </c>
      <c r="AB272" s="1313" t="str">
        <f>IF(AND(OR(LEFT(TH!N272,2)="15",LEFT(TH!O272,2)="15"),LEFT(TH!O272,3)&lt;&gt;"111",'152-CT'!$J$8=TH!F272),"x","")</f>
        <v/>
      </c>
      <c r="AC272" s="1313" t="str">
        <f>IF(AND(OR(LEFT(TH!N272,2)="15",LEFT(TH!O272,2)="15"),TK!$E$7=TH!F272),"x","")</f>
        <v/>
      </c>
      <c r="AD272" s="1313" t="str">
        <f>IF(AND(N272="1521",MONTH(C272)='BK-NL'!$M$11),"x","")</f>
        <v/>
      </c>
    </row>
    <row r="273" spans="1:31" s="1102" customFormat="1" ht="16.5" customHeight="1">
      <c r="A273" s="1317" t="str">
        <f>IF(B273&lt;&gt;"",IF(AND(B273='[2]IN-TC'!$S$4,OR([2]TH!N271="1111",[2]TH!O271="1111")),[2]TH!D271,""),"")</f>
        <v/>
      </c>
      <c r="B273" s="1106">
        <f t="shared" si="58"/>
        <v>1</v>
      </c>
      <c r="C273" s="998">
        <v>43118</v>
      </c>
      <c r="D273" s="998" t="s">
        <v>1047</v>
      </c>
      <c r="E273" s="998">
        <f t="shared" si="59"/>
        <v>43118</v>
      </c>
      <c r="F273" s="999" t="s">
        <v>423</v>
      </c>
      <c r="G273" s="1003" t="s">
        <v>1048</v>
      </c>
      <c r="H273" s="997" t="s">
        <v>1025</v>
      </c>
      <c r="I273" s="984">
        <v>6000</v>
      </c>
      <c r="J273" s="1000">
        <v>3.8</v>
      </c>
      <c r="K273" s="984">
        <f>I273*J273</f>
        <v>22800</v>
      </c>
      <c r="L273" s="983">
        <v>22675</v>
      </c>
      <c r="M273" s="985">
        <f>ROUND(K273*L273,0)</f>
        <v>516990000</v>
      </c>
      <c r="N273" s="1001" t="s">
        <v>537</v>
      </c>
      <c r="O273" s="1001" t="s">
        <v>288</v>
      </c>
      <c r="P273" s="1313" t="str">
        <f>IF(AND('331-CT'!$E$7=TH!H273,OR(N273="331",O273="331")),"x","")</f>
        <v/>
      </c>
      <c r="Q273" s="1313" t="str">
        <f>IF(AND(B273='111'!$L$11,OR($N273=$Q$7,$O273=$Q$7)),"x","")</f>
        <v/>
      </c>
      <c r="R273" s="1313" t="str">
        <f>IF(AND($N273=$Q$7,$B273&lt;'111'!$L$11),"x","")</f>
        <v/>
      </c>
      <c r="S273" s="1313" t="str">
        <f>IF(AND($O273=$Q$7,$B273&lt;'111'!$L$11),"x","")</f>
        <v/>
      </c>
      <c r="T273" s="1313" t="str">
        <f>IF(ISERROR(FIND('112'!$M$9,G273,1)),"",IF((AND(FIND('112'!$M$9,G273,1)&gt;=1,B273='112'!$K$9,OR($N273='112'!$I$6,$O273='112'!$I$6))),"x",""))</f>
        <v/>
      </c>
      <c r="U273" s="1313" t="str">
        <f>IF(ISERROR(FIND('112'!$M$9,G273,1)),"",IF((AND(LEFT(G273,2)=LEFT('112'!$M$9,2),B273&lt;'112'!$K$9,$N273='112'!$I$6)),"x",""))</f>
        <v/>
      </c>
      <c r="V273" s="1313" t="str">
        <f>IF(ISERROR(FIND('112'!$M$9,G273,1)),"",IF((AND(RIGHT(G273,2)=RIGHT('112'!$M$9,2),B273&lt;'112'!$K$9,$O273='112'!$I$6)),"x",""))</f>
        <v/>
      </c>
      <c r="W273" s="1313" t="str">
        <f>IF(AND('341-CT'!$H$9=H273,OR(LEFT(N273,3)=$W$7,LEFT(O273,3)=$W$7)),"x","")</f>
        <v/>
      </c>
      <c r="X273" s="1313" t="str">
        <f>IF(OR(TH!N273=TH!$X$7,O273=TH!$X$7),"x","")</f>
        <v/>
      </c>
      <c r="Y273" s="1313" t="str">
        <f>IF(AND(OR(N273="131",O273="131"),H273='131-CT'!$H$9),"x","")</f>
        <v>x</v>
      </c>
      <c r="Z273" s="1313"/>
      <c r="AA273" s="1313" t="str">
        <f>IF(AND(MONTH(E273)='IN-NX'!$J$5,'IN-NX'!$D$7=D273),"x","")</f>
        <v/>
      </c>
      <c r="AB273" s="1313" t="str">
        <f>IF(AND(OR(LEFT(TH!N273,2)="15",LEFT(TH!O273,2)="15"),LEFT(TH!O273,3)&lt;&gt;"111",'152-CT'!$J$8=TH!F273),"x","")</f>
        <v/>
      </c>
      <c r="AC273" s="1313" t="str">
        <f>IF(AND(OR(LEFT(TH!N273,2)="15",LEFT(TH!O273,2)="15"),TK!$E$7=TH!F273),"x","")</f>
        <v/>
      </c>
      <c r="AD273" s="1313" t="str">
        <f>IF(AND(N273="1521",MONTH(C273)='BK-NL'!$M$11),"x","")</f>
        <v/>
      </c>
    </row>
    <row r="274" spans="1:31" s="1316" customFormat="1" ht="16.5" customHeight="1">
      <c r="A274" s="1314" t="str">
        <f>IF(B274&lt;&gt;"",IF(AND(B274='IN-TC'!$S$4,OR(TH!N274="1111",TH!O274="1111")),TH!D274,""),"")</f>
        <v/>
      </c>
      <c r="B274" s="1106">
        <f t="shared" si="42"/>
        <v>1</v>
      </c>
      <c r="C274" s="989">
        <v>43103</v>
      </c>
      <c r="D274" s="989" t="s">
        <v>975</v>
      </c>
      <c r="E274" s="989">
        <f t="shared" si="43"/>
        <v>43103</v>
      </c>
      <c r="F274" s="1315" t="s">
        <v>798</v>
      </c>
      <c r="G274" s="991" t="s">
        <v>977</v>
      </c>
      <c r="H274" s="1315" t="s">
        <v>952</v>
      </c>
      <c r="I274" s="994">
        <v>310</v>
      </c>
      <c r="J274" s="993">
        <v>51000</v>
      </c>
      <c r="K274" s="994"/>
      <c r="L274" s="992"/>
      <c r="M274" s="995">
        <f>ROUND(I274*J274,0)</f>
        <v>15810000</v>
      </c>
      <c r="N274" s="996" t="s">
        <v>266</v>
      </c>
      <c r="O274" s="996" t="s">
        <v>8</v>
      </c>
      <c r="P274" s="79" t="str">
        <f>IF(AND('331-CT'!$E$7=TH!H274,OR(N274="331",O274="331")),"x","")</f>
        <v/>
      </c>
      <c r="Q274" s="79" t="str">
        <f>IF(AND(B274='111'!$L$11,OR($N274=$Q$7,$O274=$Q$7)),"x","")</f>
        <v/>
      </c>
      <c r="R274" s="79" t="str">
        <f>IF(AND($N274=$Q$7,$B274&lt;'111'!$L$11),"x","")</f>
        <v/>
      </c>
      <c r="S274" s="79" t="str">
        <f>IF(AND($O274=$Q$7,$B274&lt;'111'!$L$11),"x","")</f>
        <v/>
      </c>
      <c r="T274" s="79" t="str">
        <f>IF(ISERROR(FIND('112'!$M$9,G274,1)),"",IF((AND(FIND('112'!$M$9,G274,1)&gt;=1,B274='112'!$K$9,OR($N274='112'!$I$6,$O274='112'!$I$6))),"x",""))</f>
        <v/>
      </c>
      <c r="U274" s="79" t="str">
        <f>IF(ISERROR(FIND('112'!$M$9,G274,1)),"",IF((AND(LEFT(G274,2)=LEFT('112'!$M$9,2),B274&lt;'112'!$K$9,$N274='112'!$I$6)),"x",""))</f>
        <v/>
      </c>
      <c r="V274" s="79" t="str">
        <f>IF(ISERROR(FIND('112'!$M$9,G274,1)),"",IF((AND(RIGHT(G274,2)=RIGHT('112'!$M$9,2),B274&lt;'112'!$K$9,$O274='112'!$I$6)),"x",""))</f>
        <v/>
      </c>
      <c r="W274" s="79" t="str">
        <f>IF(AND('341-CT'!$H$9=H274,OR(LEFT(N274,3)=$W$7,LEFT(O274,3)=$W$7)),"x","")</f>
        <v/>
      </c>
      <c r="X274" s="79" t="str">
        <f>IF(OR(TH!N274=TH!$X$7,O274=TH!$X$7),"x","")</f>
        <v/>
      </c>
      <c r="Y274" s="79" t="str">
        <f>IF(AND(OR(N274="131",O274="131"),H274='131-CT'!$H$9),"x","")</f>
        <v/>
      </c>
      <c r="Z274" s="79"/>
      <c r="AA274" s="79" t="str">
        <f>IF(AND(MONTH(E274)='IN-NX'!$J$5,'IN-NX'!$D$7=D274),"x","")</f>
        <v>x</v>
      </c>
      <c r="AB274" s="79" t="str">
        <f>IF(AND(OR(LEFT(TH!N274,2)="15",LEFT(TH!O274,2)="15"),LEFT(TH!O274,3)&lt;&gt;"111",'152-CT'!$J$8=TH!F274),"x","")</f>
        <v/>
      </c>
      <c r="AC274" s="79" t="str">
        <f>IF(AND(OR(LEFT(TH!N274,2)="15",LEFT(TH!O274,2)="15"),TK!$E$7=TH!F274),"x","")</f>
        <v/>
      </c>
      <c r="AD274" s="79" t="str">
        <f>IF(AND(N274="1521",MONTH(C274)='BK-NL'!$M$11),"x","")</f>
        <v/>
      </c>
    </row>
    <row r="275" spans="1:31" s="1316" customFormat="1" ht="16.5" customHeight="1">
      <c r="A275" s="1314" t="str">
        <f>IF(B275&lt;&gt;"",IF(AND(B275='IN-TC'!$S$4,OR(TH!N275="1111",TH!O275="1111")),TH!D275,""),"")</f>
        <v/>
      </c>
      <c r="B275" s="1106">
        <f t="shared" si="42"/>
        <v>1</v>
      </c>
      <c r="C275" s="989">
        <v>43104</v>
      </c>
      <c r="D275" s="989" t="s">
        <v>976</v>
      </c>
      <c r="E275" s="989">
        <f t="shared" si="43"/>
        <v>43104</v>
      </c>
      <c r="F275" s="1315" t="s">
        <v>798</v>
      </c>
      <c r="G275" s="991" t="s">
        <v>978</v>
      </c>
      <c r="H275" s="1315" t="s">
        <v>952</v>
      </c>
      <c r="I275" s="994">
        <v>300</v>
      </c>
      <c r="J275" s="993">
        <v>51000</v>
      </c>
      <c r="K275" s="994"/>
      <c r="L275" s="992"/>
      <c r="M275" s="995">
        <f>ROUND(I275*J275,0)</f>
        <v>15300000</v>
      </c>
      <c r="N275" s="996" t="s">
        <v>266</v>
      </c>
      <c r="O275" s="996" t="s">
        <v>8</v>
      </c>
      <c r="P275" s="79" t="str">
        <f>IF(AND('331-CT'!$E$7=TH!H275,OR(N275="331",O275="331")),"x","")</f>
        <v/>
      </c>
      <c r="Q275" s="79" t="str">
        <f>IF(AND(B275='111'!$L$11,OR($N275=$Q$7,$O275=$Q$7)),"x","")</f>
        <v/>
      </c>
      <c r="R275" s="79" t="str">
        <f>IF(AND($N275=$Q$7,$B275&lt;'111'!$L$11),"x","")</f>
        <v/>
      </c>
      <c r="S275" s="79" t="str">
        <f>IF(AND($O275=$Q$7,$B275&lt;'111'!$L$11),"x","")</f>
        <v/>
      </c>
      <c r="T275" s="79" t="str">
        <f>IF(ISERROR(FIND('112'!$M$9,G275,1)),"",IF((AND(FIND('112'!$M$9,G275,1)&gt;=1,B275='112'!$K$9,OR($N275='112'!$I$6,$O275='112'!$I$6))),"x",""))</f>
        <v/>
      </c>
      <c r="U275" s="79" t="str">
        <f>IF(ISERROR(FIND('112'!$M$9,G275,1)),"",IF((AND(LEFT(G275,2)=LEFT('112'!$M$9,2),B275&lt;'112'!$K$9,$N275='112'!$I$6)),"x",""))</f>
        <v/>
      </c>
      <c r="V275" s="79" t="str">
        <f>IF(ISERROR(FIND('112'!$M$9,G275,1)),"",IF((AND(RIGHT(G275,2)=RIGHT('112'!$M$9,2),B275&lt;'112'!$K$9,$O275='112'!$I$6)),"x",""))</f>
        <v/>
      </c>
      <c r="W275" s="79" t="str">
        <f>IF(AND('341-CT'!$H$9=H275,OR(LEFT(N275,3)=$W$7,LEFT(O275,3)=$W$7)),"x","")</f>
        <v/>
      </c>
      <c r="X275" s="79" t="str">
        <f>IF(OR(TH!N275=TH!$X$7,O275=TH!$X$7),"x","")</f>
        <v/>
      </c>
      <c r="Y275" s="79" t="str">
        <f>IF(AND(OR(N275="131",O275="131"),H275='131-CT'!$H$9),"x","")</f>
        <v/>
      </c>
      <c r="Z275" s="79"/>
      <c r="AA275" s="79" t="str">
        <f>IF(AND(MONTH(E275)='IN-NX'!$J$5,'IN-NX'!$D$7=D275),"x","")</f>
        <v/>
      </c>
      <c r="AB275" s="79" t="str">
        <f>IF(AND(OR(LEFT(TH!N275,2)="15",LEFT(TH!O275,2)="15"),LEFT(TH!O275,3)&lt;&gt;"111",'152-CT'!$J$8=TH!F275),"x","")</f>
        <v/>
      </c>
      <c r="AC275" s="79" t="str">
        <f>IF(AND(OR(LEFT(TH!N275,2)="15",LEFT(TH!O275,2)="15"),TK!$E$7=TH!F275),"x","")</f>
        <v/>
      </c>
      <c r="AD275" s="79" t="str">
        <f>IF(AND(N275="1521",MONTH(C275)='BK-NL'!$M$11),"x","")</f>
        <v/>
      </c>
    </row>
    <row r="276" spans="1:31" s="1316" customFormat="1" ht="16.5" customHeight="1">
      <c r="A276" s="1314" t="str">
        <f>IF(B276&lt;&gt;"",IF(AND(B276='IN-TC'!$S$4,OR(TH!N276="1111",TH!O276="1111")),TH!D276,""),"")</f>
        <v/>
      </c>
      <c r="B276" s="1106">
        <f t="shared" ref="B276" si="60">IF(C276&lt;&gt;"",MONTH(C276),"")</f>
        <v>1</v>
      </c>
      <c r="C276" s="989">
        <v>43105</v>
      </c>
      <c r="D276" s="989" t="s">
        <v>1012</v>
      </c>
      <c r="E276" s="989">
        <f t="shared" ref="E276" si="61">C276</f>
        <v>43105</v>
      </c>
      <c r="F276" s="1315" t="s">
        <v>338</v>
      </c>
      <c r="G276" s="991" t="s">
        <v>1013</v>
      </c>
      <c r="H276" s="1315" t="s">
        <v>952</v>
      </c>
      <c r="I276" s="994">
        <v>500</v>
      </c>
      <c r="J276" s="993">
        <v>13523.808999999999</v>
      </c>
      <c r="K276" s="994"/>
      <c r="L276" s="992"/>
      <c r="M276" s="995">
        <f>ROUND(I276*J276,0)</f>
        <v>6761905</v>
      </c>
      <c r="N276" s="996" t="s">
        <v>266</v>
      </c>
      <c r="O276" s="996" t="s">
        <v>8</v>
      </c>
      <c r="P276" s="79" t="str">
        <f>IF(AND('331-CT'!$E$7=TH!H276,OR(N276="331",O276="331")),"x","")</f>
        <v/>
      </c>
      <c r="Q276" s="79" t="str">
        <f>IF(AND(B276='111'!$L$11,OR($N276=$Q$7,$O276=$Q$7)),"x","")</f>
        <v/>
      </c>
      <c r="R276" s="79" t="str">
        <f>IF(AND($N276=$Q$7,$B276&lt;'111'!$L$11),"x","")</f>
        <v/>
      </c>
      <c r="S276" s="79" t="str">
        <f>IF(AND($O276=$Q$7,$B276&lt;'111'!$L$11),"x","")</f>
        <v/>
      </c>
      <c r="T276" s="79" t="str">
        <f>IF(ISERROR(FIND('112'!$M$9,G276,1)),"",IF((AND(FIND('112'!$M$9,G276,1)&gt;=1,B276='112'!$K$9,OR($N276='112'!$I$6,$O276='112'!$I$6))),"x",""))</f>
        <v/>
      </c>
      <c r="U276" s="79" t="str">
        <f>IF(ISERROR(FIND('112'!$M$9,G276,1)),"",IF((AND(LEFT(G276,2)=LEFT('112'!$M$9,2),B276&lt;'112'!$K$9,$N276='112'!$I$6)),"x",""))</f>
        <v/>
      </c>
      <c r="V276" s="79" t="str">
        <f>IF(ISERROR(FIND('112'!$M$9,G276,1)),"",IF((AND(RIGHT(G276,2)=RIGHT('112'!$M$9,2),B276&lt;'112'!$K$9,$O276='112'!$I$6)),"x",""))</f>
        <v/>
      </c>
      <c r="W276" s="79" t="str">
        <f>IF(AND('341-CT'!$H$9=H276,OR(LEFT(N276,3)=$W$7,LEFT(O276,3)=$W$7)),"x","")</f>
        <v/>
      </c>
      <c r="X276" s="79" t="str">
        <f>IF(OR(TH!N276=TH!$X$7,O276=TH!$X$7),"x","")</f>
        <v/>
      </c>
      <c r="Y276" s="79" t="str">
        <f>IF(AND(OR(N276="131",O276="131"),H276='131-CT'!$H$9),"x","")</f>
        <v/>
      </c>
      <c r="Z276" s="79"/>
      <c r="AA276" s="79" t="str">
        <f>IF(AND(MONTH(E276)='IN-NX'!$J$5,'IN-NX'!$D$7=D276),"x","")</f>
        <v/>
      </c>
      <c r="AB276" s="79" t="str">
        <f>IF(AND(OR(LEFT(TH!N276,2)="15",LEFT(TH!O276,2)="15"),LEFT(TH!O276,3)&lt;&gt;"111",'152-CT'!$J$8=TH!F276),"x","")</f>
        <v/>
      </c>
      <c r="AC276" s="79" t="str">
        <f>IF(AND(OR(LEFT(TH!N276,2)="15",LEFT(TH!O276,2)="15"),TK!$E$7=TH!F276),"x","")</f>
        <v>x</v>
      </c>
      <c r="AD276" s="79" t="str">
        <f>IF(AND(N276="1521",MONTH(C276)='BK-NL'!$M$11),"x","")</f>
        <v/>
      </c>
      <c r="AE276" s="1316">
        <v>1</v>
      </c>
    </row>
    <row r="277" spans="1:31" s="1316" customFormat="1" ht="16.5" customHeight="1">
      <c r="A277" s="1314" t="str">
        <f>IF(B277&lt;&gt;"",IF(AND(B277='IN-TC'!$S$4,OR(TH!N277="1111",TH!O277="1111")),TH!D277,""),"")</f>
        <v/>
      </c>
      <c r="B277" s="1106">
        <f t="shared" ref="B277:B278" si="62">IF(C277&lt;&gt;"",MONTH(C277),"")</f>
        <v>1</v>
      </c>
      <c r="C277" s="989">
        <v>43105</v>
      </c>
      <c r="D277" s="989" t="s">
        <v>1012</v>
      </c>
      <c r="E277" s="989">
        <f t="shared" ref="E277:E278" si="63">C277</f>
        <v>43105</v>
      </c>
      <c r="F277" s="1315" t="s">
        <v>1014</v>
      </c>
      <c r="G277" s="991" t="s">
        <v>1013</v>
      </c>
      <c r="H277" s="1315" t="s">
        <v>952</v>
      </c>
      <c r="I277" s="994"/>
      <c r="J277" s="993"/>
      <c r="K277" s="994"/>
      <c r="L277" s="992"/>
      <c r="M277" s="995">
        <v>338095</v>
      </c>
      <c r="N277" s="996" t="s">
        <v>9</v>
      </c>
      <c r="O277" s="996" t="s">
        <v>8</v>
      </c>
      <c r="P277" s="79" t="str">
        <f>IF(AND('331-CT'!$E$7=TH!H277,OR(N277="331",O277="331")),"x","")</f>
        <v/>
      </c>
      <c r="Q277" s="79" t="str">
        <f>IF(AND(B277='111'!$L$11,OR($N277=$Q$7,$O277=$Q$7)),"x","")</f>
        <v/>
      </c>
      <c r="R277" s="79" t="str">
        <f>IF(AND($N277=$Q$7,$B277&lt;'111'!$L$11),"x","")</f>
        <v/>
      </c>
      <c r="S277" s="79" t="str">
        <f>IF(AND($O277=$Q$7,$B277&lt;'111'!$L$11),"x","")</f>
        <v/>
      </c>
      <c r="T277" s="79" t="str">
        <f>IF(ISERROR(FIND('112'!$M$9,G277,1)),"",IF((AND(FIND('112'!$M$9,G277,1)&gt;=1,B277='112'!$K$9,OR($N277='112'!$I$6,$O277='112'!$I$6))),"x",""))</f>
        <v/>
      </c>
      <c r="U277" s="79" t="str">
        <f>IF(ISERROR(FIND('112'!$M$9,G277,1)),"",IF((AND(LEFT(G277,2)=LEFT('112'!$M$9,2),B277&lt;'112'!$K$9,$N277='112'!$I$6)),"x",""))</f>
        <v/>
      </c>
      <c r="V277" s="79" t="str">
        <f>IF(ISERROR(FIND('112'!$M$9,G277,1)),"",IF((AND(RIGHT(G277,2)=RIGHT('112'!$M$9,2),B277&lt;'112'!$K$9,$O277='112'!$I$6)),"x",""))</f>
        <v/>
      </c>
      <c r="W277" s="79" t="str">
        <f>IF(AND('341-CT'!$H$9=H277,OR(LEFT(N277,3)=$W$7,LEFT(O277,3)=$W$7)),"x","")</f>
        <v/>
      </c>
      <c r="X277" s="79" t="str">
        <f>IF(OR(TH!N277=TH!$X$7,O277=TH!$X$7),"x","")</f>
        <v/>
      </c>
      <c r="Y277" s="79" t="str">
        <f>IF(AND(OR(N277="131",O277="131"),H277='131-CT'!$H$9),"x","")</f>
        <v/>
      </c>
      <c r="Z277" s="79"/>
      <c r="AA277" s="79" t="str">
        <f>IF(AND(MONTH(E277)='IN-NX'!$J$5,'IN-NX'!$D$7=D277),"x","")</f>
        <v/>
      </c>
      <c r="AB277" s="79" t="str">
        <f>IF(AND(OR(LEFT(TH!N277,2)="15",LEFT(TH!O277,2)="15"),LEFT(TH!O277,3)&lt;&gt;"111",'152-CT'!$J$8=TH!F277),"x","")</f>
        <v/>
      </c>
      <c r="AC277" s="79" t="str">
        <f>IF(AND(OR(LEFT(TH!N277,2)="15",LEFT(TH!O277,2)="15"),TK!$E$7=TH!F277),"x","")</f>
        <v/>
      </c>
      <c r="AD277" s="79" t="str">
        <f>IF(AND(N277="1521",MONTH(C277)='BK-NL'!$M$11),"x","")</f>
        <v/>
      </c>
      <c r="AE277" s="1316">
        <v>1</v>
      </c>
    </row>
    <row r="278" spans="1:31" s="1316" customFormat="1" ht="16.5" customHeight="1">
      <c r="A278" s="1314" t="str">
        <f>IF(B278&lt;&gt;"",IF(AND(B278='IN-TC'!$S$4,OR(TH!N278="1111",TH!O278="1111")),TH!D278,""),"")</f>
        <v/>
      </c>
      <c r="B278" s="1106">
        <f t="shared" si="62"/>
        <v>1</v>
      </c>
      <c r="C278" s="989">
        <v>43105</v>
      </c>
      <c r="D278" s="989" t="s">
        <v>1015</v>
      </c>
      <c r="E278" s="989">
        <f t="shared" si="63"/>
        <v>43105</v>
      </c>
      <c r="F278" s="1315" t="s">
        <v>329</v>
      </c>
      <c r="G278" s="991" t="s">
        <v>1017</v>
      </c>
      <c r="H278" s="1315" t="s">
        <v>952</v>
      </c>
      <c r="I278" s="994">
        <v>125</v>
      </c>
      <c r="J278" s="993">
        <v>34181.817999999999</v>
      </c>
      <c r="K278" s="994"/>
      <c r="L278" s="992"/>
      <c r="M278" s="995">
        <f>ROUND(I278*J278,0)</f>
        <v>4272727</v>
      </c>
      <c r="N278" s="996" t="s">
        <v>266</v>
      </c>
      <c r="O278" s="996" t="s">
        <v>8</v>
      </c>
      <c r="P278" s="79" t="str">
        <f>IF(AND('331-CT'!$E$7=TH!H278,OR(N278="331",O278="331")),"x","")</f>
        <v/>
      </c>
      <c r="Q278" s="79" t="str">
        <f>IF(AND(B278='111'!$L$11,OR($N278=$Q$7,$O278=$Q$7)),"x","")</f>
        <v/>
      </c>
      <c r="R278" s="79" t="str">
        <f>IF(AND($N278=$Q$7,$B278&lt;'111'!$L$11),"x","")</f>
        <v/>
      </c>
      <c r="S278" s="79" t="str">
        <f>IF(AND($O278=$Q$7,$B278&lt;'111'!$L$11),"x","")</f>
        <v/>
      </c>
      <c r="T278" s="79" t="str">
        <f>IF(ISERROR(FIND('112'!$M$9,G278,1)),"",IF((AND(FIND('112'!$M$9,G278,1)&gt;=1,B278='112'!$K$9,OR($N278='112'!$I$6,$O278='112'!$I$6))),"x",""))</f>
        <v/>
      </c>
      <c r="U278" s="79" t="str">
        <f>IF(ISERROR(FIND('112'!$M$9,G278,1)),"",IF((AND(LEFT(G278,2)=LEFT('112'!$M$9,2),B278&lt;'112'!$K$9,$N278='112'!$I$6)),"x",""))</f>
        <v/>
      </c>
      <c r="V278" s="79" t="str">
        <f>IF(ISERROR(FIND('112'!$M$9,G278,1)),"",IF((AND(RIGHT(G278,2)=RIGHT('112'!$M$9,2),B278&lt;'112'!$K$9,$O278='112'!$I$6)),"x",""))</f>
        <v/>
      </c>
      <c r="W278" s="79" t="str">
        <f>IF(AND('341-CT'!$H$9=H278,OR(LEFT(N278,3)=$W$7,LEFT(O278,3)=$W$7)),"x","")</f>
        <v/>
      </c>
      <c r="X278" s="79" t="str">
        <f>IF(OR(TH!N278=TH!$X$7,O278=TH!$X$7),"x","")</f>
        <v/>
      </c>
      <c r="Y278" s="79" t="str">
        <f>IF(AND(OR(N278="131",O278="131"),H278='131-CT'!$H$9),"x","")</f>
        <v/>
      </c>
      <c r="Z278" s="79"/>
      <c r="AA278" s="79" t="str">
        <f>IF(AND(MONTH(E278)='IN-NX'!$J$5,'IN-NX'!$D$7=D278),"x","")</f>
        <v/>
      </c>
      <c r="AB278" s="79" t="str">
        <f>IF(AND(OR(LEFT(TH!N278,2)="15",LEFT(TH!O278,2)="15"),LEFT(TH!O278,3)&lt;&gt;"111",'152-CT'!$J$8=TH!F278),"x","")</f>
        <v/>
      </c>
      <c r="AC278" s="79" t="str">
        <f>IF(AND(OR(LEFT(TH!N278,2)="15",LEFT(TH!O278,2)="15"),TK!$E$7=TH!F278),"x","")</f>
        <v/>
      </c>
      <c r="AD278" s="79" t="str">
        <f>IF(AND(N278="1521",MONTH(C278)='BK-NL'!$M$11),"x","")</f>
        <v/>
      </c>
      <c r="AE278" s="1316">
        <v>1</v>
      </c>
    </row>
    <row r="279" spans="1:31" s="1316" customFormat="1" ht="16.5" customHeight="1">
      <c r="A279" s="1314" t="str">
        <f>IF(B279&lt;&gt;"",IF(AND(B279='IN-TC'!$S$4,OR(TH!N279="1111",TH!O279="1111")),TH!D279,""),"")</f>
        <v/>
      </c>
      <c r="B279" s="1106">
        <f t="shared" ref="B279:B283" si="64">IF(C279&lt;&gt;"",MONTH(C279),"")</f>
        <v>1</v>
      </c>
      <c r="C279" s="989">
        <v>43105</v>
      </c>
      <c r="D279" s="989" t="s">
        <v>1015</v>
      </c>
      <c r="E279" s="989">
        <f t="shared" ref="E279:E283" si="65">C279</f>
        <v>43105</v>
      </c>
      <c r="F279" s="1315" t="s">
        <v>1016</v>
      </c>
      <c r="G279" s="991" t="s">
        <v>1017</v>
      </c>
      <c r="H279" s="1315" t="s">
        <v>952</v>
      </c>
      <c r="I279" s="994"/>
      <c r="J279" s="993"/>
      <c r="K279" s="994"/>
      <c r="L279" s="992"/>
      <c r="M279" s="995">
        <v>427273</v>
      </c>
      <c r="N279" s="996" t="s">
        <v>9</v>
      </c>
      <c r="O279" s="996" t="s">
        <v>8</v>
      </c>
      <c r="P279" s="79" t="str">
        <f>IF(AND('331-CT'!$E$7=TH!H279,OR(N279="331",O279="331")),"x","")</f>
        <v/>
      </c>
      <c r="Q279" s="79" t="str">
        <f>IF(AND(B279='111'!$L$11,OR($N279=$Q$7,$O279=$Q$7)),"x","")</f>
        <v/>
      </c>
      <c r="R279" s="79" t="str">
        <f>IF(AND($N279=$Q$7,$B279&lt;'111'!$L$11),"x","")</f>
        <v/>
      </c>
      <c r="S279" s="79" t="str">
        <f>IF(AND($O279=$Q$7,$B279&lt;'111'!$L$11),"x","")</f>
        <v/>
      </c>
      <c r="T279" s="79" t="str">
        <f>IF(ISERROR(FIND('112'!$M$9,G279,1)),"",IF((AND(FIND('112'!$M$9,G279,1)&gt;=1,B279='112'!$K$9,OR($N279='112'!$I$6,$O279='112'!$I$6))),"x",""))</f>
        <v/>
      </c>
      <c r="U279" s="79" t="str">
        <f>IF(ISERROR(FIND('112'!$M$9,G279,1)),"",IF((AND(LEFT(G279,2)=LEFT('112'!$M$9,2),B279&lt;'112'!$K$9,$N279='112'!$I$6)),"x",""))</f>
        <v/>
      </c>
      <c r="V279" s="79" t="str">
        <f>IF(ISERROR(FIND('112'!$M$9,G279,1)),"",IF((AND(RIGHT(G279,2)=RIGHT('112'!$M$9,2),B279&lt;'112'!$K$9,$O279='112'!$I$6)),"x",""))</f>
        <v/>
      </c>
      <c r="W279" s="79" t="str">
        <f>IF(AND('341-CT'!$H$9=H279,OR(LEFT(N279,3)=$W$7,LEFT(O279,3)=$W$7)),"x","")</f>
        <v/>
      </c>
      <c r="X279" s="79" t="str">
        <f>IF(OR(TH!N279=TH!$X$7,O279=TH!$X$7),"x","")</f>
        <v/>
      </c>
      <c r="Y279" s="79" t="str">
        <f>IF(AND(OR(N279="131",O279="131"),H279='131-CT'!$H$9),"x","")</f>
        <v/>
      </c>
      <c r="Z279" s="79"/>
      <c r="AA279" s="79" t="str">
        <f>IF(AND(MONTH(E279)='IN-NX'!$J$5,'IN-NX'!$D$7=D279),"x","")</f>
        <v/>
      </c>
      <c r="AB279" s="79" t="str">
        <f>IF(AND(OR(LEFT(TH!N279,2)="15",LEFT(TH!O279,2)="15"),LEFT(TH!O279,3)&lt;&gt;"111",'152-CT'!$J$8=TH!F279),"x","")</f>
        <v/>
      </c>
      <c r="AC279" s="79" t="str">
        <f>IF(AND(OR(LEFT(TH!N279,2)="15",LEFT(TH!O279,2)="15"),TK!$E$7=TH!F279),"x","")</f>
        <v/>
      </c>
      <c r="AD279" s="79" t="str">
        <f>IF(AND(N279="1521",MONTH(C279)='BK-NL'!$M$11),"x","")</f>
        <v/>
      </c>
      <c r="AE279" s="1316">
        <v>1</v>
      </c>
    </row>
    <row r="280" spans="1:31" s="1316" customFormat="1" ht="16.5" customHeight="1">
      <c r="A280" s="1314" t="str">
        <f>IF(B280&lt;&gt;"",IF(AND(B280='IN-TC'!$S$4,OR(TH!N280="1111",TH!O280="1111")),TH!D280,""),"")</f>
        <v/>
      </c>
      <c r="B280" s="1106">
        <f t="shared" si="64"/>
        <v>1</v>
      </c>
      <c r="C280" s="989">
        <v>43105</v>
      </c>
      <c r="D280" s="989" t="s">
        <v>1019</v>
      </c>
      <c r="E280" s="989">
        <f t="shared" si="65"/>
        <v>43105</v>
      </c>
      <c r="F280" s="1315" t="s">
        <v>348</v>
      </c>
      <c r="G280" s="991" t="s">
        <v>1022</v>
      </c>
      <c r="H280" s="1315" t="s">
        <v>556</v>
      </c>
      <c r="I280" s="994">
        <v>600</v>
      </c>
      <c r="J280" s="993">
        <v>8000</v>
      </c>
      <c r="K280" s="994"/>
      <c r="L280" s="992"/>
      <c r="M280" s="995">
        <f>ROUND(I280*J280,0)</f>
        <v>4800000</v>
      </c>
      <c r="N280" s="996" t="s">
        <v>266</v>
      </c>
      <c r="O280" s="996" t="s">
        <v>8</v>
      </c>
      <c r="P280" s="79" t="str">
        <f>IF(AND('331-CT'!$E$7=TH!H280,OR(N280="331",O280="331")),"x","")</f>
        <v/>
      </c>
      <c r="Q280" s="79" t="str">
        <f>IF(AND(B280='111'!$L$11,OR($N280=$Q$7,$O280=$Q$7)),"x","")</f>
        <v/>
      </c>
      <c r="R280" s="79" t="str">
        <f>IF(AND($N280=$Q$7,$B280&lt;'111'!$L$11),"x","")</f>
        <v/>
      </c>
      <c r="S280" s="79" t="str">
        <f>IF(AND($O280=$Q$7,$B280&lt;'111'!$L$11),"x","")</f>
        <v/>
      </c>
      <c r="T280" s="79" t="str">
        <f>IF(ISERROR(FIND('112'!$M$9,G280,1)),"",IF((AND(FIND('112'!$M$9,G280,1)&gt;=1,B280='112'!$K$9,OR($N280='112'!$I$6,$O280='112'!$I$6))),"x",""))</f>
        <v/>
      </c>
      <c r="U280" s="79" t="str">
        <f>IF(ISERROR(FIND('112'!$M$9,G280,1)),"",IF((AND(LEFT(G280,2)=LEFT('112'!$M$9,2),B280&lt;'112'!$K$9,$N280='112'!$I$6)),"x",""))</f>
        <v/>
      </c>
      <c r="V280" s="79" t="str">
        <f>IF(ISERROR(FIND('112'!$M$9,G280,1)),"",IF((AND(RIGHT(G280,2)=RIGHT('112'!$M$9,2),B280&lt;'112'!$K$9,$O280='112'!$I$6)),"x",""))</f>
        <v/>
      </c>
      <c r="W280" s="79" t="str">
        <f>IF(AND('341-CT'!$H$9=H280,OR(LEFT(N280,3)=$W$7,LEFT(O280,3)=$W$7)),"x","")</f>
        <v/>
      </c>
      <c r="X280" s="79" t="str">
        <f>IF(OR(TH!N280=TH!$X$7,O280=TH!$X$7),"x","")</f>
        <v/>
      </c>
      <c r="Y280" s="79" t="str">
        <f>IF(AND(OR(N280="131",O280="131"),H280='131-CT'!$H$9),"x","")</f>
        <v/>
      </c>
      <c r="Z280" s="79"/>
      <c r="AA280" s="79" t="str">
        <f>IF(AND(MONTH(E280)='IN-NX'!$J$5,'IN-NX'!$D$7=D280),"x","")</f>
        <v/>
      </c>
      <c r="AB280" s="79" t="str">
        <f>IF(AND(OR(LEFT(TH!N280,2)="15",LEFT(TH!O280,2)="15"),LEFT(TH!O280,3)&lt;&gt;"111",'152-CT'!$J$8=TH!F280),"x","")</f>
        <v/>
      </c>
      <c r="AC280" s="79" t="str">
        <f>IF(AND(OR(LEFT(TH!N280,2)="15",LEFT(TH!O280,2)="15"),TK!$E$7=TH!F280),"x","")</f>
        <v/>
      </c>
      <c r="AD280" s="79" t="str">
        <f>IF(AND(N280="1521",MONTH(C280)='BK-NL'!$M$11),"x","")</f>
        <v/>
      </c>
      <c r="AE280" s="1316">
        <v>1</v>
      </c>
    </row>
    <row r="281" spans="1:31" s="1316" customFormat="1" ht="16.5" customHeight="1">
      <c r="A281" s="1314" t="str">
        <f>IF(B281&lt;&gt;"",IF(AND(B281='IN-TC'!$S$4,OR(TH!N281="1111",TH!O281="1111")),TH!D281,""),"")</f>
        <v/>
      </c>
      <c r="B281" s="1106">
        <f t="shared" ref="B281" si="66">IF(C281&lt;&gt;"",MONTH(C281),"")</f>
        <v>1</v>
      </c>
      <c r="C281" s="989">
        <v>43105</v>
      </c>
      <c r="D281" s="989" t="s">
        <v>1019</v>
      </c>
      <c r="E281" s="989">
        <f t="shared" ref="E281" si="67">C281</f>
        <v>43105</v>
      </c>
      <c r="F281" s="1315" t="s">
        <v>1021</v>
      </c>
      <c r="G281" s="991" t="s">
        <v>1022</v>
      </c>
      <c r="H281" s="1315" t="s">
        <v>556</v>
      </c>
      <c r="I281" s="994"/>
      <c r="J281" s="993"/>
      <c r="K281" s="994"/>
      <c r="L281" s="992"/>
      <c r="M281" s="995">
        <v>480000</v>
      </c>
      <c r="N281" s="996" t="s">
        <v>9</v>
      </c>
      <c r="O281" s="996" t="s">
        <v>8</v>
      </c>
      <c r="P281" s="79" t="str">
        <f>IF(AND('331-CT'!$E$7=TH!H281,OR(N281="331",O281="331")),"x","")</f>
        <v/>
      </c>
      <c r="Q281" s="79" t="str">
        <f>IF(AND(B281='111'!$L$11,OR($N281=$Q$7,$O281=$Q$7)),"x","")</f>
        <v/>
      </c>
      <c r="R281" s="79" t="str">
        <f>IF(AND($N281=$Q$7,$B281&lt;'111'!$L$11),"x","")</f>
        <v/>
      </c>
      <c r="S281" s="79" t="str">
        <f>IF(AND($O281=$Q$7,$B281&lt;'111'!$L$11),"x","")</f>
        <v/>
      </c>
      <c r="T281" s="79" t="str">
        <f>IF(ISERROR(FIND('112'!$M$9,G281,1)),"",IF((AND(FIND('112'!$M$9,G281,1)&gt;=1,B281='112'!$K$9,OR($N281='112'!$I$6,$O281='112'!$I$6))),"x",""))</f>
        <v/>
      </c>
      <c r="U281" s="79" t="str">
        <f>IF(ISERROR(FIND('112'!$M$9,G281,1)),"",IF((AND(LEFT(G281,2)=LEFT('112'!$M$9,2),B281&lt;'112'!$K$9,$N281='112'!$I$6)),"x",""))</f>
        <v/>
      </c>
      <c r="V281" s="79" t="str">
        <f>IF(ISERROR(FIND('112'!$M$9,G281,1)),"",IF((AND(RIGHT(G281,2)=RIGHT('112'!$M$9,2),B281&lt;'112'!$K$9,$O281='112'!$I$6)),"x",""))</f>
        <v/>
      </c>
      <c r="W281" s="79" t="str">
        <f>IF(AND('341-CT'!$H$9=H281,OR(LEFT(N281,3)=$W$7,LEFT(O281,3)=$W$7)),"x","")</f>
        <v/>
      </c>
      <c r="X281" s="79" t="str">
        <f>IF(OR(TH!N281=TH!$X$7,O281=TH!$X$7),"x","")</f>
        <v/>
      </c>
      <c r="Y281" s="79" t="str">
        <f>IF(AND(OR(N281="131",O281="131"),H281='131-CT'!$H$9),"x","")</f>
        <v/>
      </c>
      <c r="Z281" s="79"/>
      <c r="AA281" s="79" t="str">
        <f>IF(AND(MONTH(E281)='IN-NX'!$J$5,'IN-NX'!$D$7=D281),"x","")</f>
        <v/>
      </c>
      <c r="AB281" s="79" t="str">
        <f>IF(AND(OR(LEFT(TH!N281,2)="15",LEFT(TH!O281,2)="15"),LEFT(TH!O281,3)&lt;&gt;"111",'152-CT'!$J$8=TH!F281),"x","")</f>
        <v/>
      </c>
      <c r="AC281" s="79" t="str">
        <f>IF(AND(OR(LEFT(TH!N281,2)="15",LEFT(TH!O281,2)="15"),TK!$E$7=TH!F281),"x","")</f>
        <v/>
      </c>
      <c r="AD281" s="79" t="str">
        <f>IF(AND(N281="1521",MONTH(C281)='BK-NL'!$M$11),"x","")</f>
        <v/>
      </c>
      <c r="AE281" s="1316">
        <v>1</v>
      </c>
    </row>
    <row r="282" spans="1:31" s="1316" customFormat="1" ht="16.5" customHeight="1">
      <c r="A282" s="1314" t="str">
        <f>IF(B282&lt;&gt;"",IF(AND(B282='IN-TC'!$S$4,OR(TH!N282="1111",TH!O282="1111")),TH!D282,""),"")</f>
        <v/>
      </c>
      <c r="B282" s="1106">
        <f t="shared" si="64"/>
        <v>1</v>
      </c>
      <c r="C282" s="989">
        <v>43106</v>
      </c>
      <c r="D282" s="989" t="s">
        <v>1018</v>
      </c>
      <c r="E282" s="989">
        <f t="shared" si="65"/>
        <v>43106</v>
      </c>
      <c r="F282" s="1315" t="s">
        <v>798</v>
      </c>
      <c r="G282" s="991" t="s">
        <v>1020</v>
      </c>
      <c r="H282" s="1315" t="s">
        <v>952</v>
      </c>
      <c r="I282" s="994">
        <v>375</v>
      </c>
      <c r="J282" s="993">
        <v>51000</v>
      </c>
      <c r="K282" s="994"/>
      <c r="L282" s="992"/>
      <c r="M282" s="995">
        <f>ROUND(I282*J282,0)</f>
        <v>19125000</v>
      </c>
      <c r="N282" s="996" t="s">
        <v>266</v>
      </c>
      <c r="O282" s="996" t="s">
        <v>8</v>
      </c>
      <c r="P282" s="79" t="str">
        <f>IF(AND('331-CT'!$E$7=TH!H282,OR(N282="331",O282="331")),"x","")</f>
        <v/>
      </c>
      <c r="Q282" s="79" t="str">
        <f>IF(AND(B282='111'!$L$11,OR($N282=$Q$7,$O282=$Q$7)),"x","")</f>
        <v/>
      </c>
      <c r="R282" s="79" t="str">
        <f>IF(AND($N282=$Q$7,$B282&lt;'111'!$L$11),"x","")</f>
        <v/>
      </c>
      <c r="S282" s="79" t="str">
        <f>IF(AND($O282=$Q$7,$B282&lt;'111'!$L$11),"x","")</f>
        <v/>
      </c>
      <c r="T282" s="79" t="str">
        <f>IF(ISERROR(FIND('112'!$M$9,G282,1)),"",IF((AND(FIND('112'!$M$9,G282,1)&gt;=1,B282='112'!$K$9,OR($N282='112'!$I$6,$O282='112'!$I$6))),"x",""))</f>
        <v/>
      </c>
      <c r="U282" s="79" t="str">
        <f>IF(ISERROR(FIND('112'!$M$9,G282,1)),"",IF((AND(LEFT(G282,2)=LEFT('112'!$M$9,2),B282&lt;'112'!$K$9,$N282='112'!$I$6)),"x",""))</f>
        <v/>
      </c>
      <c r="V282" s="79" t="str">
        <f>IF(ISERROR(FIND('112'!$M$9,G282,1)),"",IF((AND(RIGHT(G282,2)=RIGHT('112'!$M$9,2),B282&lt;'112'!$K$9,$O282='112'!$I$6)),"x",""))</f>
        <v/>
      </c>
      <c r="W282" s="79" t="str">
        <f>IF(AND('341-CT'!$H$9=H282,OR(LEFT(N282,3)=$W$7,LEFT(O282,3)=$W$7)),"x","")</f>
        <v/>
      </c>
      <c r="X282" s="79" t="str">
        <f>IF(OR(TH!N282=TH!$X$7,O282=TH!$X$7),"x","")</f>
        <v/>
      </c>
      <c r="Y282" s="79" t="str">
        <f>IF(AND(OR(N282="131",O282="131"),H282='131-CT'!$H$9),"x","")</f>
        <v/>
      </c>
      <c r="Z282" s="79"/>
      <c r="AA282" s="79" t="str">
        <f>IF(AND(MONTH(E282)='IN-NX'!$J$5,'IN-NX'!$D$7=D282),"x","")</f>
        <v/>
      </c>
      <c r="AB282" s="79" t="str">
        <f>IF(AND(OR(LEFT(TH!N282,2)="15",LEFT(TH!O282,2)="15"),LEFT(TH!O282,3)&lt;&gt;"111",'152-CT'!$J$8=TH!F282),"x","")</f>
        <v/>
      </c>
      <c r="AC282" s="79" t="str">
        <f>IF(AND(OR(LEFT(TH!N282,2)="15",LEFT(TH!O282,2)="15"),TK!$E$7=TH!F282),"x","")</f>
        <v/>
      </c>
      <c r="AD282" s="79" t="str">
        <f>IF(AND(N282="1521",MONTH(C282)='BK-NL'!$M$11),"x","")</f>
        <v/>
      </c>
    </row>
    <row r="283" spans="1:31" s="1316" customFormat="1" ht="16.5" customHeight="1">
      <c r="A283" s="1314" t="str">
        <f>IF(B283&lt;&gt;"",IF(AND(B283='IN-TC'!$S$4,OR(TH!N283="1111",TH!O283="1111")),TH!D283,""),"")</f>
        <v/>
      </c>
      <c r="B283" s="1106">
        <f t="shared" si="64"/>
        <v>1</v>
      </c>
      <c r="C283" s="989">
        <v>43115</v>
      </c>
      <c r="D283" s="989" t="s">
        <v>1043</v>
      </c>
      <c r="E283" s="989">
        <f t="shared" si="65"/>
        <v>43115</v>
      </c>
      <c r="F283" s="1315"/>
      <c r="G283" s="991"/>
      <c r="H283" s="1315"/>
      <c r="I283" s="994"/>
      <c r="J283" s="992"/>
      <c r="K283" s="994"/>
      <c r="L283" s="992"/>
      <c r="M283" s="995"/>
      <c r="N283" s="996"/>
      <c r="O283" s="996"/>
      <c r="P283" s="79" t="str">
        <f>IF(AND('331-CT'!$E$7=TH!H283,OR(N283="331",O283="331")),"x","")</f>
        <v/>
      </c>
      <c r="Q283" s="79" t="str">
        <f>IF(AND(B283='111'!$L$11,OR($N283=$Q$7,$O283=$Q$7)),"x","")</f>
        <v/>
      </c>
      <c r="R283" s="79" t="str">
        <f>IF(AND($N283=$Q$7,$B283&lt;'111'!$L$11),"x","")</f>
        <v/>
      </c>
      <c r="S283" s="79" t="str">
        <f>IF(AND($O283=$Q$7,$B283&lt;'111'!$L$11),"x","")</f>
        <v/>
      </c>
      <c r="T283" s="79" t="str">
        <f>IF(ISERROR(FIND('112'!$M$9,G283,1)),"",IF((AND(FIND('112'!$M$9,G283,1)&gt;=1,B283='112'!$K$9,OR($N283='112'!$I$6,$O283='112'!$I$6))),"x",""))</f>
        <v/>
      </c>
      <c r="U283" s="79" t="str">
        <f>IF(ISERROR(FIND('112'!$M$9,G283,1)),"",IF((AND(LEFT(G283,2)=LEFT('112'!$M$9,2),B283&lt;'112'!$K$9,$N283='112'!$I$6)),"x",""))</f>
        <v/>
      </c>
      <c r="V283" s="79" t="str">
        <f>IF(ISERROR(FIND('112'!$M$9,G283,1)),"",IF((AND(RIGHT(G283,2)=RIGHT('112'!$M$9,2),B283&lt;'112'!$K$9,$O283='112'!$I$6)),"x",""))</f>
        <v/>
      </c>
      <c r="W283" s="79" t="str">
        <f>IF(AND('341-CT'!$H$9=H283,OR(LEFT(N283,3)=$W$7,LEFT(O283,3)=$W$7)),"x","")</f>
        <v/>
      </c>
      <c r="X283" s="79" t="str">
        <f>IF(OR(TH!N283=TH!$X$7,O283=TH!$X$7),"x","")</f>
        <v/>
      </c>
      <c r="Y283" s="79" t="str">
        <f>IF(AND(OR(N283="131",O283="131"),H283='131-CT'!$H$9),"x","")</f>
        <v/>
      </c>
      <c r="Z283" s="79"/>
      <c r="AA283" s="79" t="str">
        <f>IF(AND(MONTH(E283)='IN-NX'!$J$5,'IN-NX'!$D$7=D283),"x","")</f>
        <v/>
      </c>
      <c r="AB283" s="79" t="str">
        <f>IF(AND(OR(LEFT(TH!N283,2)="15",LEFT(TH!O283,2)="15"),LEFT(TH!O283,3)&lt;&gt;"111",'152-CT'!$J$8=TH!F283),"x","")</f>
        <v/>
      </c>
      <c r="AC283" s="79" t="str">
        <f>IF(AND(OR(LEFT(TH!N283,2)="15",LEFT(TH!O283,2)="15"),TK!$E$7=TH!F283),"x","")</f>
        <v/>
      </c>
      <c r="AD283" s="79" t="str">
        <f>IF(AND(N283="1521",MONTH(C283)='BK-NL'!$M$11),"x","")</f>
        <v/>
      </c>
    </row>
    <row r="284" spans="1:31" s="1316" customFormat="1" ht="16.5" customHeight="1">
      <c r="A284" s="1314" t="str">
        <f>IF(B284&lt;&gt;"",IF(AND(B284='IN-TC'!$S$4,OR(TH!N284="1111",TH!O284="1111")),TH!D284,""),"")</f>
        <v/>
      </c>
      <c r="B284" s="1106">
        <f t="shared" ref="B284:B285" si="68">IF(C284&lt;&gt;"",MONTH(C284),"")</f>
        <v>1</v>
      </c>
      <c r="C284" s="989">
        <v>43115</v>
      </c>
      <c r="D284" s="989" t="s">
        <v>1043</v>
      </c>
      <c r="E284" s="989">
        <f t="shared" ref="E284:E285" si="69">C284</f>
        <v>43115</v>
      </c>
      <c r="F284" s="1315"/>
      <c r="G284" s="991"/>
      <c r="H284" s="1315"/>
      <c r="I284" s="994"/>
      <c r="J284" s="993"/>
      <c r="K284" s="994"/>
      <c r="L284" s="992"/>
      <c r="M284" s="995"/>
      <c r="N284" s="996"/>
      <c r="O284" s="996"/>
      <c r="P284" s="79" t="str">
        <f>IF(AND('331-CT'!$E$7=TH!H284,OR(N284="331",O284="331")),"x","")</f>
        <v/>
      </c>
      <c r="Q284" s="79" t="str">
        <f>IF(AND(B284='111'!$L$11,OR($N284=$Q$7,$O284=$Q$7)),"x","")</f>
        <v/>
      </c>
      <c r="R284" s="79" t="str">
        <f>IF(AND($N284=$Q$7,$B284&lt;'111'!$L$11),"x","")</f>
        <v/>
      </c>
      <c r="S284" s="79" t="str">
        <f>IF(AND($O284=$Q$7,$B284&lt;'111'!$L$11),"x","")</f>
        <v/>
      </c>
      <c r="T284" s="79" t="str">
        <f>IF(ISERROR(FIND('112'!$M$9,G284,1)),"",IF((AND(FIND('112'!$M$9,G284,1)&gt;=1,B284='112'!$K$9,OR($N284='112'!$I$6,$O284='112'!$I$6))),"x",""))</f>
        <v/>
      </c>
      <c r="U284" s="79" t="str">
        <f>IF(ISERROR(FIND('112'!$M$9,G284,1)),"",IF((AND(LEFT(G284,2)=LEFT('112'!$M$9,2),B284&lt;'112'!$K$9,$N284='112'!$I$6)),"x",""))</f>
        <v/>
      </c>
      <c r="V284" s="79" t="str">
        <f>IF(ISERROR(FIND('112'!$M$9,G284,1)),"",IF((AND(RIGHT(G284,2)=RIGHT('112'!$M$9,2),B284&lt;'112'!$K$9,$O284='112'!$I$6)),"x",""))</f>
        <v/>
      </c>
      <c r="W284" s="79" t="str">
        <f>IF(AND('341-CT'!$H$9=H284,OR(LEFT(N284,3)=$W$7,LEFT(O284,3)=$W$7)),"x","")</f>
        <v/>
      </c>
      <c r="X284" s="79" t="str">
        <f>IF(OR(TH!N284=TH!$X$7,O284=TH!$X$7),"x","")</f>
        <v/>
      </c>
      <c r="Y284" s="79" t="str">
        <f>IF(AND(OR(N284="131",O284="131"),H284='131-CT'!$H$9),"x","")</f>
        <v/>
      </c>
      <c r="Z284" s="79"/>
      <c r="AA284" s="79" t="str">
        <f>IF(AND(MONTH(E284)='IN-NX'!$J$5,'IN-NX'!$D$7=D284),"x","")</f>
        <v/>
      </c>
      <c r="AB284" s="79" t="str">
        <f>IF(AND(OR(LEFT(TH!N284,2)="15",LEFT(TH!O284,2)="15"),LEFT(TH!O284,3)&lt;&gt;"111",'152-CT'!$J$8=TH!F284),"x","")</f>
        <v/>
      </c>
      <c r="AC284" s="79" t="str">
        <f>IF(AND(OR(LEFT(TH!N284,2)="15",LEFT(TH!O284,2)="15"),TK!$E$7=TH!F284),"x","")</f>
        <v/>
      </c>
      <c r="AD284" s="79" t="str">
        <f>IF(AND(N284="1521",MONTH(C284)='BK-NL'!$M$11),"x","")</f>
        <v/>
      </c>
    </row>
    <row r="285" spans="1:31" s="1316" customFormat="1" ht="16.5" customHeight="1">
      <c r="A285" s="1314" t="str">
        <f>IF(B285&lt;&gt;"",IF(AND(B285='IN-TC'!$S$4,OR(TH!N285="1111",TH!O285="1111")),TH!D285,""),"")</f>
        <v/>
      </c>
      <c r="B285" s="1106">
        <f t="shared" si="68"/>
        <v>1</v>
      </c>
      <c r="C285" s="989">
        <v>43115</v>
      </c>
      <c r="D285" s="989" t="s">
        <v>1043</v>
      </c>
      <c r="E285" s="989">
        <f t="shared" si="69"/>
        <v>43115</v>
      </c>
      <c r="F285" s="1315"/>
      <c r="G285" s="991"/>
      <c r="H285" s="1315"/>
      <c r="I285" s="994"/>
      <c r="J285" s="993"/>
      <c r="K285" s="994"/>
      <c r="L285" s="992"/>
      <c r="M285" s="995"/>
      <c r="N285" s="996"/>
      <c r="O285" s="996"/>
      <c r="P285" s="79" t="str">
        <f>IF(AND('331-CT'!$E$7=TH!H285,OR(N285="331",O285="331")),"x","")</f>
        <v/>
      </c>
      <c r="Q285" s="79" t="str">
        <f>IF(AND(B285='111'!$L$11,OR($N285=$Q$7,$O285=$Q$7)),"x","")</f>
        <v/>
      </c>
      <c r="R285" s="79" t="str">
        <f>IF(AND($N285=$Q$7,$B285&lt;'111'!$L$11),"x","")</f>
        <v/>
      </c>
      <c r="S285" s="79" t="str">
        <f>IF(AND($O285=$Q$7,$B285&lt;'111'!$L$11),"x","")</f>
        <v/>
      </c>
      <c r="T285" s="79" t="str">
        <f>IF(ISERROR(FIND('112'!$M$9,G285,1)),"",IF((AND(FIND('112'!$M$9,G285,1)&gt;=1,B285='112'!$K$9,OR($N285='112'!$I$6,$O285='112'!$I$6))),"x",""))</f>
        <v/>
      </c>
      <c r="U285" s="79" t="str">
        <f>IF(ISERROR(FIND('112'!$M$9,G285,1)),"",IF((AND(LEFT(G285,2)=LEFT('112'!$M$9,2),B285&lt;'112'!$K$9,$N285='112'!$I$6)),"x",""))</f>
        <v/>
      </c>
      <c r="V285" s="79" t="str">
        <f>IF(ISERROR(FIND('112'!$M$9,G285,1)),"",IF((AND(RIGHT(G285,2)=RIGHT('112'!$M$9,2),B285&lt;'112'!$K$9,$O285='112'!$I$6)),"x",""))</f>
        <v/>
      </c>
      <c r="W285" s="79" t="str">
        <f>IF(AND('341-CT'!$H$9=H285,OR(LEFT(N285,3)=$W$7,LEFT(O285,3)=$W$7)),"x","")</f>
        <v/>
      </c>
      <c r="X285" s="79" t="str">
        <f>IF(OR(TH!N285=TH!$X$7,O285=TH!$X$7),"x","")</f>
        <v/>
      </c>
      <c r="Y285" s="79" t="str">
        <f>IF(AND(OR(N285="131",O285="131"),H285='131-CT'!$H$9),"x","")</f>
        <v/>
      </c>
      <c r="Z285" s="79"/>
      <c r="AA285" s="79" t="str">
        <f>IF(AND(MONTH(E285)='IN-NX'!$J$5,'IN-NX'!$D$7=D285),"x","")</f>
        <v/>
      </c>
      <c r="AB285" s="79" t="str">
        <f>IF(AND(OR(LEFT(TH!N285,2)="15",LEFT(TH!O285,2)="15"),LEFT(TH!O285,3)&lt;&gt;"111",'152-CT'!$J$8=TH!F285),"x","")</f>
        <v/>
      </c>
      <c r="AC285" s="79" t="str">
        <f>IF(AND(OR(LEFT(TH!N285,2)="15",LEFT(TH!O285,2)="15"),TK!$E$7=TH!F285),"x","")</f>
        <v/>
      </c>
      <c r="AD285" s="79" t="str">
        <f>IF(AND(N285="1521",MONTH(C285)='BK-NL'!$M$11),"x","")</f>
        <v/>
      </c>
    </row>
    <row r="286" spans="1:31" ht="16.5" customHeight="1">
      <c r="A286" s="318" t="str">
        <f>IF(B286&lt;&gt;"",IF(AND(B286='IN-TC'!$S$4,OR(TH!N286="1111",TH!O286="1111")),TH!D286,""),"")</f>
        <v/>
      </c>
      <c r="B286" s="1106" t="str">
        <f t="shared" si="42"/>
        <v/>
      </c>
      <c r="C286" s="974"/>
      <c r="D286" s="974"/>
      <c r="E286" s="974">
        <f t="shared" si="43"/>
        <v>0</v>
      </c>
      <c r="F286" s="975"/>
      <c r="G286" s="976"/>
      <c r="H286" s="77"/>
      <c r="I286" s="383"/>
      <c r="J286" s="977"/>
      <c r="K286" s="383"/>
      <c r="L286" s="390"/>
      <c r="M286" s="978"/>
      <c r="N286" s="979"/>
      <c r="O286" s="979"/>
      <c r="P286" s="79" t="str">
        <f>IF(AND('331-CT'!$E$7=TH!H286,OR(N286="331",O286="331")),"x","")</f>
        <v/>
      </c>
      <c r="Q286" s="79" t="str">
        <f>IF(AND(B286='111'!$L$11,OR($N286=$Q$7,$O286=$Q$7)),"x","")</f>
        <v/>
      </c>
      <c r="R286" s="79" t="str">
        <f>IF(AND($N286=$Q$7,$B286&lt;'111'!$L$11),"x","")</f>
        <v/>
      </c>
      <c r="S286" s="79" t="str">
        <f>IF(AND($O286=$Q$7,$B286&lt;'111'!$L$11),"x","")</f>
        <v/>
      </c>
      <c r="T286" s="79" t="str">
        <f>IF(ISERROR(FIND('112'!$M$9,G286,1)),"",IF((AND(FIND('112'!$M$9,G286,1)&gt;=1,B286='112'!$K$9,OR($N286='112'!$I$6,$O286='112'!$I$6))),"x",""))</f>
        <v/>
      </c>
      <c r="U286" s="79" t="str">
        <f>IF(ISERROR(FIND('112'!$M$9,G286,1)),"",IF((AND(LEFT(G286,2)=LEFT('112'!$M$9,2),B286&lt;'112'!$K$9,$N286='112'!$I$6)),"x",""))</f>
        <v/>
      </c>
      <c r="V286" s="79" t="str">
        <f>IF(ISERROR(FIND('112'!$M$9,G286,1)),"",IF((AND(RIGHT(G286,2)=RIGHT('112'!$M$9,2),B286&lt;'112'!$K$9,$O286='112'!$I$6)),"x",""))</f>
        <v/>
      </c>
      <c r="W286" s="79" t="str">
        <f>IF(AND('341-CT'!$H$9=H286,OR(LEFT(N286,3)=$W$7,LEFT(O286,3)=$W$7)),"x","")</f>
        <v/>
      </c>
      <c r="X286" s="79" t="str">
        <f>IF(OR(TH!N286=TH!$X$7,O286=TH!$X$7),"x","")</f>
        <v/>
      </c>
      <c r="Y286" s="79" t="str">
        <f>IF(AND(OR(N286="131",O286="131"),H286='131-CT'!$H$9),"x","")</f>
        <v/>
      </c>
      <c r="Z286" s="79"/>
      <c r="AA286" s="79" t="str">
        <f>IF(AND(MONTH(E286)='IN-NX'!$J$5,'IN-NX'!$D$7=D286),"x","")</f>
        <v/>
      </c>
      <c r="AB286" s="79" t="str">
        <f>IF(AND(OR(LEFT(TH!N286,2)="15",LEFT(TH!O286,2)="15"),LEFT(TH!O286,3)&lt;&gt;"111",'152-CT'!$J$8=TH!F286),"x","")</f>
        <v/>
      </c>
      <c r="AC286" s="79" t="str">
        <f>IF(AND(OR(LEFT(TH!N286,2)="15",LEFT(TH!O286,2)="15"),TK!$E$7=TH!F286),"x","")</f>
        <v/>
      </c>
      <c r="AD286" s="79" t="str">
        <f>IF(AND(N286="1521",MONTH(C286)='BK-NL'!$M$11),"x","")</f>
        <v/>
      </c>
    </row>
    <row r="287" spans="1:31" ht="16.5" customHeight="1">
      <c r="A287" s="318" t="str">
        <f>IF(B287&lt;&gt;"",IF(AND(B287='IN-TC'!$S$4,OR(TH!N287="1111",TH!O287="1111")),TH!D287,""),"")</f>
        <v/>
      </c>
      <c r="B287" s="1106" t="str">
        <f t="shared" si="42"/>
        <v/>
      </c>
      <c r="C287" s="974"/>
      <c r="D287" s="974"/>
      <c r="E287" s="974">
        <f t="shared" si="43"/>
        <v>0</v>
      </c>
      <c r="F287" s="975"/>
      <c r="G287" s="976"/>
      <c r="H287" s="77"/>
      <c r="I287" s="383"/>
      <c r="J287" s="977"/>
      <c r="K287" s="383"/>
      <c r="L287" s="390"/>
      <c r="M287" s="978"/>
      <c r="N287" s="979"/>
      <c r="O287" s="979"/>
      <c r="P287" s="79" t="str">
        <f>IF(AND('331-CT'!$E$7=TH!H287,OR(N287="331",O287="331")),"x","")</f>
        <v/>
      </c>
      <c r="Q287" s="79" t="str">
        <f>IF(AND(B287='111'!$L$11,OR($N287=$Q$7,$O287=$Q$7)),"x","")</f>
        <v/>
      </c>
      <c r="R287" s="79" t="str">
        <f>IF(AND($N287=$Q$7,$B287&lt;'111'!$L$11),"x","")</f>
        <v/>
      </c>
      <c r="S287" s="79" t="str">
        <f>IF(AND($O287=$Q$7,$B287&lt;'111'!$L$11),"x","")</f>
        <v/>
      </c>
      <c r="T287" s="79" t="str">
        <f>IF(ISERROR(FIND('112'!$M$9,G287,1)),"",IF((AND(FIND('112'!$M$9,G287,1)&gt;=1,B287='112'!$K$9,OR($N287='112'!$I$6,$O287='112'!$I$6))),"x",""))</f>
        <v/>
      </c>
      <c r="U287" s="79" t="str">
        <f>IF(ISERROR(FIND('112'!$M$9,G287,1)),"",IF((AND(LEFT(G287,2)=LEFT('112'!$M$9,2),B287&lt;'112'!$K$9,$N287='112'!$I$6)),"x",""))</f>
        <v/>
      </c>
      <c r="V287" s="79" t="str">
        <f>IF(ISERROR(FIND('112'!$M$9,G287,1)),"",IF((AND(RIGHT(G287,2)=RIGHT('112'!$M$9,2),B287&lt;'112'!$K$9,$O287='112'!$I$6)),"x",""))</f>
        <v/>
      </c>
      <c r="W287" s="79" t="str">
        <f>IF(AND('341-CT'!$H$9=H287,OR(LEFT(N287,3)=$W$7,LEFT(O287,3)=$W$7)),"x","")</f>
        <v/>
      </c>
      <c r="X287" s="79" t="str">
        <f>IF(OR(TH!N287=TH!$X$7,O287=TH!$X$7),"x","")</f>
        <v/>
      </c>
      <c r="Y287" s="79" t="str">
        <f>IF(AND(OR(N287="131",O287="131"),H287='131-CT'!$H$9),"x","")</f>
        <v/>
      </c>
      <c r="Z287" s="79"/>
      <c r="AA287" s="79" t="str">
        <f>IF(AND(MONTH(E287)='IN-NX'!$J$5,'IN-NX'!$D$7=D287),"x","")</f>
        <v/>
      </c>
      <c r="AB287" s="79" t="str">
        <f>IF(AND(OR(LEFT(TH!N287,2)="15",LEFT(TH!O287,2)="15"),LEFT(TH!O287,3)&lt;&gt;"111",'152-CT'!$J$8=TH!F287),"x","")</f>
        <v/>
      </c>
      <c r="AC287" s="79" t="str">
        <f>IF(AND(OR(LEFT(TH!N287,2)="15",LEFT(TH!O287,2)="15"),TK!$E$7=TH!F287),"x","")</f>
        <v/>
      </c>
      <c r="AD287" s="79" t="str">
        <f>IF(AND(N287="1521",MONTH(C287)='BK-NL'!$M$11),"x","")</f>
        <v/>
      </c>
    </row>
    <row r="288" spans="1:31" ht="16.5" customHeight="1">
      <c r="A288" s="318" t="str">
        <f>IF(B288&lt;&gt;"",IF(AND(B288='IN-TC'!$S$4,OR(TH!N288="1111",TH!O288="1111")),TH!D288,""),"")</f>
        <v/>
      </c>
      <c r="B288" s="1106" t="str">
        <f t="shared" si="42"/>
        <v/>
      </c>
      <c r="C288" s="974"/>
      <c r="D288" s="974"/>
      <c r="E288" s="974">
        <f t="shared" si="43"/>
        <v>0</v>
      </c>
      <c r="F288" s="975"/>
      <c r="G288" s="976"/>
      <c r="H288" s="77"/>
      <c r="I288" s="383"/>
      <c r="J288" s="977"/>
      <c r="K288" s="383"/>
      <c r="L288" s="390"/>
      <c r="M288" s="978"/>
      <c r="N288" s="979"/>
      <c r="O288" s="979"/>
      <c r="P288" s="79" t="str">
        <f>IF(AND('331-CT'!$E$7=TH!H288,OR(N288="331",O288="331")),"x","")</f>
        <v/>
      </c>
      <c r="Q288" s="79" t="str">
        <f>IF(AND(B288='111'!$L$11,OR($N288=$Q$7,$O288=$Q$7)),"x","")</f>
        <v/>
      </c>
      <c r="R288" s="79" t="str">
        <f>IF(AND($N288=$Q$7,$B288&lt;'111'!$L$11),"x","")</f>
        <v/>
      </c>
      <c r="S288" s="79" t="str">
        <f>IF(AND($O288=$Q$7,$B288&lt;'111'!$L$11),"x","")</f>
        <v/>
      </c>
      <c r="T288" s="79" t="str">
        <f>IF(ISERROR(FIND('112'!$M$9,G288,1)),"",IF((AND(FIND('112'!$M$9,G288,1)&gt;=1,B288='112'!$K$9,OR($N288='112'!$I$6,$O288='112'!$I$6))),"x",""))</f>
        <v/>
      </c>
      <c r="U288" s="79" t="str">
        <f>IF(ISERROR(FIND('112'!$M$9,G288,1)),"",IF((AND(LEFT(G288,2)=LEFT('112'!$M$9,2),B288&lt;'112'!$K$9,$N288='112'!$I$6)),"x",""))</f>
        <v/>
      </c>
      <c r="V288" s="79" t="str">
        <f>IF(ISERROR(FIND('112'!$M$9,G288,1)),"",IF((AND(RIGHT(G288,2)=RIGHT('112'!$M$9,2),B288&lt;'112'!$K$9,$O288='112'!$I$6)),"x",""))</f>
        <v/>
      </c>
      <c r="W288" s="79" t="str">
        <f>IF(AND('341-CT'!$H$9=H288,OR(LEFT(N288,3)=$W$7,LEFT(O288,3)=$W$7)),"x","")</f>
        <v/>
      </c>
      <c r="X288" s="79" t="str">
        <f>IF(OR(TH!N288=TH!$X$7,O288=TH!$X$7),"x","")</f>
        <v/>
      </c>
      <c r="Y288" s="79" t="str">
        <f>IF(AND(OR(N288="131",O288="131"),H288='131-CT'!$H$9),"x","")</f>
        <v/>
      </c>
      <c r="Z288" s="79"/>
      <c r="AA288" s="79" t="str">
        <f>IF(AND(MONTH(E288)='IN-NX'!$J$5,'IN-NX'!$D$7=D288),"x","")</f>
        <v/>
      </c>
      <c r="AB288" s="79" t="str">
        <f>IF(AND(OR(LEFT(TH!N288,2)="15",LEFT(TH!O288,2)="15"),LEFT(TH!O288,3)&lt;&gt;"111",'152-CT'!$J$8=TH!F288),"x","")</f>
        <v/>
      </c>
      <c r="AC288" s="79" t="str">
        <f>IF(AND(OR(LEFT(TH!N288,2)="15",LEFT(TH!O288,2)="15"),TK!$E$7=TH!F288),"x","")</f>
        <v/>
      </c>
      <c r="AD288" s="79" t="str">
        <f>IF(AND(N288="1521",MONTH(C288)='BK-NL'!$M$11),"x","")</f>
        <v/>
      </c>
    </row>
    <row r="289" spans="1:31" ht="16.5" customHeight="1">
      <c r="A289" s="318" t="str">
        <f>IF(B289&lt;&gt;"",IF(AND(B289='IN-TC'!$S$4,OR(TH!N289="1111",TH!O289="1111")),TH!D289,""),"")</f>
        <v/>
      </c>
      <c r="B289" s="1106" t="str">
        <f t="shared" si="42"/>
        <v/>
      </c>
      <c r="C289" s="974"/>
      <c r="D289" s="974"/>
      <c r="E289" s="974">
        <f t="shared" si="43"/>
        <v>0</v>
      </c>
      <c r="F289" s="975"/>
      <c r="G289" s="976"/>
      <c r="H289" s="77"/>
      <c r="I289" s="383"/>
      <c r="J289" s="977"/>
      <c r="K289" s="383"/>
      <c r="L289" s="390"/>
      <c r="M289" s="978"/>
      <c r="N289" s="979"/>
      <c r="O289" s="979"/>
      <c r="P289" s="79" t="str">
        <f>IF(AND('331-CT'!$E$7=TH!H289,OR(N289="331",O289="331")),"x","")</f>
        <v/>
      </c>
      <c r="Q289" s="79" t="str">
        <f>IF(AND(B289='111'!$L$11,OR($N289=$Q$7,$O289=$Q$7)),"x","")</f>
        <v/>
      </c>
      <c r="R289" s="79" t="str">
        <f>IF(AND($N289=$Q$7,$B289&lt;'111'!$L$11),"x","")</f>
        <v/>
      </c>
      <c r="S289" s="79" t="str">
        <f>IF(AND($O289=$Q$7,$B289&lt;'111'!$L$11),"x","")</f>
        <v/>
      </c>
      <c r="T289" s="79" t="str">
        <f>IF(ISERROR(FIND('112'!$M$9,G289,1)),"",IF((AND(FIND('112'!$M$9,G289,1)&gt;=1,B289='112'!$K$9,OR($N289='112'!$I$6,$O289='112'!$I$6))),"x",""))</f>
        <v/>
      </c>
      <c r="U289" s="79" t="str">
        <f>IF(ISERROR(FIND('112'!$M$9,G289,1)),"",IF((AND(LEFT(G289,2)=LEFT('112'!$M$9,2),B289&lt;'112'!$K$9,$N289='112'!$I$6)),"x",""))</f>
        <v/>
      </c>
      <c r="V289" s="79" t="str">
        <f>IF(ISERROR(FIND('112'!$M$9,G289,1)),"",IF((AND(RIGHT(G289,2)=RIGHT('112'!$M$9,2),B289&lt;'112'!$K$9,$O289='112'!$I$6)),"x",""))</f>
        <v/>
      </c>
      <c r="W289" s="79" t="str">
        <f>IF(AND('341-CT'!$H$9=H289,OR(LEFT(N289,3)=$W$7,LEFT(O289,3)=$W$7)),"x","")</f>
        <v/>
      </c>
      <c r="X289" s="79" t="str">
        <f>IF(OR(TH!N289=TH!$X$7,O289=TH!$X$7),"x","")</f>
        <v/>
      </c>
      <c r="Y289" s="79" t="str">
        <f>IF(AND(OR(N289="131",O289="131"),H289='131-CT'!$H$9),"x","")</f>
        <v/>
      </c>
      <c r="Z289" s="79"/>
      <c r="AA289" s="79" t="str">
        <f>IF(AND(MONTH(E289)='IN-NX'!$J$5,'IN-NX'!$D$7=D289),"x","")</f>
        <v/>
      </c>
      <c r="AB289" s="79" t="str">
        <f>IF(AND(OR(LEFT(TH!N289,2)="15",LEFT(TH!O289,2)="15"),LEFT(TH!O289,3)&lt;&gt;"111",'152-CT'!$J$8=TH!F289),"x","")</f>
        <v/>
      </c>
      <c r="AC289" s="79" t="str">
        <f>IF(AND(OR(LEFT(TH!N289,2)="15",LEFT(TH!O289,2)="15"),TK!$E$7=TH!F289),"x","")</f>
        <v/>
      </c>
      <c r="AD289" s="79" t="str">
        <f>IF(AND(N289="1521",MONTH(C289)='BK-NL'!$M$11),"x","")</f>
        <v/>
      </c>
    </row>
    <row r="290" spans="1:31" ht="16.5" customHeight="1">
      <c r="A290" s="318" t="str">
        <f>IF(B290&lt;&gt;"",IF(AND(B290='IN-TC'!$S$4,OR(TH!N290="1111",TH!O290="1111")),TH!D290,""),"")</f>
        <v/>
      </c>
      <c r="B290" s="1106" t="str">
        <f t="shared" si="42"/>
        <v/>
      </c>
      <c r="C290" s="974"/>
      <c r="D290" s="974"/>
      <c r="E290" s="974">
        <f t="shared" si="43"/>
        <v>0</v>
      </c>
      <c r="F290" s="975"/>
      <c r="G290" s="976"/>
      <c r="H290" s="77"/>
      <c r="I290" s="383"/>
      <c r="J290" s="977"/>
      <c r="K290" s="383"/>
      <c r="L290" s="390"/>
      <c r="M290" s="978"/>
      <c r="N290" s="979"/>
      <c r="O290" s="979"/>
      <c r="P290" s="79" t="str">
        <f>IF(AND('331-CT'!$E$7=TH!H290,OR(N290="331",O290="331")),"x","")</f>
        <v/>
      </c>
      <c r="Q290" s="79" t="str">
        <f>IF(AND(B290='111'!$L$11,OR($N290=$Q$7,$O290=$Q$7)),"x","")</f>
        <v/>
      </c>
      <c r="R290" s="79" t="str">
        <f>IF(AND($N290=$Q$7,$B290&lt;'111'!$L$11),"x","")</f>
        <v/>
      </c>
      <c r="S290" s="79" t="str">
        <f>IF(AND($O290=$Q$7,$B290&lt;'111'!$L$11),"x","")</f>
        <v/>
      </c>
      <c r="T290" s="79" t="str">
        <f>IF(ISERROR(FIND('112'!$M$9,G290,1)),"",IF((AND(FIND('112'!$M$9,G290,1)&gt;=1,B290='112'!$K$9,OR($N290='112'!$I$6,$O290='112'!$I$6))),"x",""))</f>
        <v/>
      </c>
      <c r="U290" s="79" t="str">
        <f>IF(ISERROR(FIND('112'!$M$9,G290,1)),"",IF((AND(LEFT(G290,2)=LEFT('112'!$M$9,2),B290&lt;'112'!$K$9,$N290='112'!$I$6)),"x",""))</f>
        <v/>
      </c>
      <c r="V290" s="79" t="str">
        <f>IF(ISERROR(FIND('112'!$M$9,G290,1)),"",IF((AND(RIGHT(G290,2)=RIGHT('112'!$M$9,2),B290&lt;'112'!$K$9,$O290='112'!$I$6)),"x",""))</f>
        <v/>
      </c>
      <c r="W290" s="79" t="str">
        <f>IF(AND('341-CT'!$H$9=H290,OR(LEFT(N290,3)=$W$7,LEFT(O290,3)=$W$7)),"x","")</f>
        <v/>
      </c>
      <c r="X290" s="79" t="str">
        <f>IF(OR(TH!N290=TH!$X$7,O290=TH!$X$7),"x","")</f>
        <v/>
      </c>
      <c r="Y290" s="79" t="str">
        <f>IF(AND(OR(N290="131",O290="131"),H290='131-CT'!$H$9),"x","")</f>
        <v/>
      </c>
      <c r="Z290" s="79"/>
      <c r="AA290" s="79" t="str">
        <f>IF(AND(MONTH(E290)='IN-NX'!$J$5,'IN-NX'!$D$7=D290),"x","")</f>
        <v/>
      </c>
      <c r="AB290" s="79" t="str">
        <f>IF(AND(OR(LEFT(TH!N290,2)="15",LEFT(TH!O290,2)="15"),LEFT(TH!O290,3)&lt;&gt;"111",'152-CT'!$J$8=TH!F290),"x","")</f>
        <v/>
      </c>
      <c r="AC290" s="79" t="str">
        <f>IF(AND(OR(LEFT(TH!N290,2)="15",LEFT(TH!O290,2)="15"),TK!$E$7=TH!F290),"x","")</f>
        <v/>
      </c>
      <c r="AD290" s="79" t="str">
        <f>IF(AND(N290="1521",MONTH(C290)='BK-NL'!$M$11),"x","")</f>
        <v/>
      </c>
    </row>
    <row r="291" spans="1:31" s="1101" customFormat="1" ht="19.5" customHeight="1">
      <c r="A291" s="318" t="str">
        <f>IF(B291&lt;&gt;"",IF(AND(B291='IN-TC'!$S$4,OR(TH!N291="1111",TH!O291="1111")),TH!D291,""),"")</f>
        <v/>
      </c>
      <c r="B291" s="1106">
        <f t="shared" ref="B291:B294" si="70">IF(C291&lt;&gt;"",MONTH(C291),"")</f>
        <v>1</v>
      </c>
      <c r="C291" s="301">
        <v>43103</v>
      </c>
      <c r="D291" s="301" t="s">
        <v>532</v>
      </c>
      <c r="E291" s="301">
        <f t="shared" ref="E291:E294" si="71">C291</f>
        <v>43103</v>
      </c>
      <c r="F291" s="302" t="s">
        <v>999</v>
      </c>
      <c r="G291" s="988"/>
      <c r="H291" s="69"/>
      <c r="I291" s="385"/>
      <c r="J291" s="969"/>
      <c r="K291" s="385"/>
      <c r="L291" s="392"/>
      <c r="M291" s="970">
        <v>2000000</v>
      </c>
      <c r="N291" s="304" t="s">
        <v>101</v>
      </c>
      <c r="O291" s="304" t="s">
        <v>79</v>
      </c>
      <c r="P291" s="79" t="str">
        <f>IF(AND('331-CT'!$E$7=TH!H291,OR(N291="331",O291="331")),"x","")</f>
        <v/>
      </c>
      <c r="Q291" s="79" t="str">
        <f>IF(AND(B291='111'!$L$11,OR($N291=$Q$7,$O291=$Q$7)),"x","")</f>
        <v/>
      </c>
      <c r="R291" s="79" t="str">
        <f>IF(AND($N291=$Q$7,$B291&lt;'111'!$L$11),"x","")</f>
        <v/>
      </c>
      <c r="S291" s="79" t="str">
        <f>IF(AND($O291=$Q$7,$B291&lt;'111'!$L$11),"x","")</f>
        <v/>
      </c>
      <c r="T291" s="79" t="str">
        <f>IF(ISERROR(FIND('112'!$M$9,G291,1)),"",IF((AND(FIND('112'!$M$9,G291,1)&gt;=1,B291='112'!$K$9,OR($N291='112'!$I$6,$O291='112'!$I$6))),"x",""))</f>
        <v/>
      </c>
      <c r="U291" s="79" t="str">
        <f>IF(ISERROR(FIND('112'!$M$9,G291,1)),"",IF((AND(LEFT(G291,2)=LEFT('112'!$M$9,2),B291&lt;'112'!$K$9,$N291='112'!$I$6)),"x",""))</f>
        <v/>
      </c>
      <c r="V291" s="79" t="str">
        <f>IF(ISERROR(FIND('112'!$M$9,G291,1)),"",IF((AND(RIGHT(G291,2)=RIGHT('112'!$M$9,2),B291&lt;'112'!$K$9,$O291='112'!$I$6)),"x",""))</f>
        <v/>
      </c>
      <c r="W291" s="79" t="str">
        <f>IF(AND('341-CT'!$H$9=H291,OR(LEFT(N291,3)=$W$7,LEFT(O291,3)=$W$7)),"x","")</f>
        <v/>
      </c>
      <c r="X291" s="79" t="str">
        <f>IF(OR(TH!N291=TH!$X$7,O291=TH!$X$7),"x","")</f>
        <v/>
      </c>
      <c r="Y291" s="79" t="str">
        <f>IF(AND(OR(N291="131",O291="131"),H291='131-CT'!$H$9),"x","")</f>
        <v/>
      </c>
      <c r="Z291" s="79"/>
      <c r="AA291" s="79" t="str">
        <f>IF(AND(MONTH(E291)='IN-NX'!$J$5,'IN-NX'!$D$7=D291),"x","")</f>
        <v/>
      </c>
      <c r="AB291" s="79" t="str">
        <f>IF(AND(OR(LEFT(TH!N291,2)="15",LEFT(TH!O291,2)="15"),LEFT(TH!O291,3)&lt;&gt;"111",'152-CT'!$J$8=TH!F291),"x","")</f>
        <v/>
      </c>
      <c r="AC291" s="79" t="str">
        <f>IF(AND(OR(LEFT(TH!N291,2)="15",LEFT(TH!O291,2)="15"),TK!$E$7=TH!F291),"x","")</f>
        <v/>
      </c>
      <c r="AD291" s="79" t="str">
        <f>IF(AND(N291="1521",MONTH(C291)='BK-NL'!$M$11),"x","")</f>
        <v/>
      </c>
    </row>
    <row r="292" spans="1:31" s="1101" customFormat="1" ht="19.5" customHeight="1">
      <c r="A292" s="318" t="str">
        <f>IF(B292&lt;&gt;"",IF(AND(B292='IN-TC'!$S$4,OR(TH!N292="1111",TH!O292="1111")),TH!D292,""),"")</f>
        <v/>
      </c>
      <c r="B292" s="1106">
        <f t="shared" ref="B292" si="72">IF(C292&lt;&gt;"",MONTH(C292),"")</f>
        <v>1</v>
      </c>
      <c r="C292" s="301">
        <v>43103</v>
      </c>
      <c r="D292" s="301" t="s">
        <v>985</v>
      </c>
      <c r="E292" s="301">
        <f t="shared" ref="E292" si="73">C292</f>
        <v>43103</v>
      </c>
      <c r="F292" s="302" t="s">
        <v>997</v>
      </c>
      <c r="G292" s="988" t="s">
        <v>586</v>
      </c>
      <c r="H292" s="69" t="s">
        <v>998</v>
      </c>
      <c r="I292" s="385"/>
      <c r="J292" s="969"/>
      <c r="K292" s="385"/>
      <c r="L292" s="392"/>
      <c r="M292" s="970">
        <v>2000000</v>
      </c>
      <c r="N292" s="304" t="s">
        <v>79</v>
      </c>
      <c r="O292" s="304" t="s">
        <v>26</v>
      </c>
      <c r="P292" s="79" t="str">
        <f>IF(AND('331-CT'!$E$7=TH!H292,OR(N292="331",O292="331")),"x","")</f>
        <v/>
      </c>
      <c r="Q292" s="79" t="str">
        <f>IF(AND(B292='111'!$L$11,OR($N292=$Q$7,$O292=$Q$7)),"x","")</f>
        <v/>
      </c>
      <c r="R292" s="79" t="str">
        <f>IF(AND($N292=$Q$7,$B292&lt;'111'!$L$11),"x","")</f>
        <v/>
      </c>
      <c r="S292" s="79" t="str">
        <f>IF(AND($O292=$Q$7,$B292&lt;'111'!$L$11),"x","")</f>
        <v/>
      </c>
      <c r="T292" s="79" t="str">
        <f>IF(ISERROR(FIND('112'!$M$9,G292,1)),"",IF((AND(FIND('112'!$M$9,G292,1)&gt;=1,B292='112'!$K$9,OR($N292='112'!$I$6,$O292='112'!$I$6))),"x",""))</f>
        <v/>
      </c>
      <c r="U292" s="79" t="str">
        <f>IF(ISERROR(FIND('112'!$M$9,G292,1)),"",IF((AND(LEFT(G292,2)=LEFT('112'!$M$9,2),B292&lt;'112'!$K$9,$N292='112'!$I$6)),"x",""))</f>
        <v/>
      </c>
      <c r="V292" s="79" t="str">
        <f>IF(ISERROR(FIND('112'!$M$9,G292,1)),"",IF((AND(RIGHT(G292,2)=RIGHT('112'!$M$9,2),B292&lt;'112'!$K$9,$O292='112'!$I$6)),"x",""))</f>
        <v/>
      </c>
      <c r="W292" s="79" t="str">
        <f>IF(AND('341-CT'!$H$9=H292,OR(LEFT(N292,3)=$W$7,LEFT(O292,3)=$W$7)),"x","")</f>
        <v/>
      </c>
      <c r="X292" s="79" t="str">
        <f>IF(OR(TH!N292=TH!$X$7,O292=TH!$X$7),"x","")</f>
        <v/>
      </c>
      <c r="Y292" s="79" t="str">
        <f>IF(AND(OR(N292="131",O292="131"),H292='131-CT'!$H$9),"x","")</f>
        <v/>
      </c>
      <c r="Z292" s="79"/>
      <c r="AA292" s="79" t="str">
        <f>IF(AND(MONTH(E292)='IN-NX'!$J$5,'IN-NX'!$D$7=D292),"x","")</f>
        <v/>
      </c>
      <c r="AB292" s="79" t="str">
        <f>IF(AND(OR(LEFT(TH!N292,2)="15",LEFT(TH!O292,2)="15"),LEFT(TH!O292,3)&lt;&gt;"111",'152-CT'!$J$8=TH!F292),"x","")</f>
        <v/>
      </c>
      <c r="AC292" s="79" t="str">
        <f>IF(AND(OR(LEFT(TH!N292,2)="15",LEFT(TH!O292,2)="15"),TK!$E$7=TH!F292),"x","")</f>
        <v/>
      </c>
      <c r="AD292" s="79" t="str">
        <f>IF(AND(N292="1521",MONTH(C292)='BK-NL'!$M$11),"x","")</f>
        <v/>
      </c>
    </row>
    <row r="293" spans="1:31" s="1101" customFormat="1" ht="16.5" customHeight="1">
      <c r="A293" s="318" t="str">
        <f>IF(B293&lt;&gt;"",IF(AND(B293='IN-TC'!$S$4,OR(TH!N293="1111",TH!O293="1111")),TH!D293,""),"")</f>
        <v/>
      </c>
      <c r="B293" s="1106">
        <f t="shared" si="70"/>
        <v>1</v>
      </c>
      <c r="C293" s="301">
        <v>43105</v>
      </c>
      <c r="D293" s="301" t="s">
        <v>985</v>
      </c>
      <c r="E293" s="301">
        <f t="shared" si="71"/>
        <v>43105</v>
      </c>
      <c r="F293" s="302" t="s">
        <v>993</v>
      </c>
      <c r="G293" s="988" t="s">
        <v>586</v>
      </c>
      <c r="H293" s="69" t="s">
        <v>998</v>
      </c>
      <c r="I293" s="385"/>
      <c r="J293" s="969"/>
      <c r="K293" s="385"/>
      <c r="L293" s="392"/>
      <c r="M293" s="970">
        <v>10000</v>
      </c>
      <c r="N293" s="304" t="s">
        <v>101</v>
      </c>
      <c r="O293" s="304" t="s">
        <v>26</v>
      </c>
      <c r="P293" s="79" t="str">
        <f>IF(AND('331-CT'!$E$7=TH!H293,OR(N293="331",O293="331")),"x","")</f>
        <v/>
      </c>
      <c r="Q293" s="79" t="str">
        <f>IF(AND(B293='111'!$L$11,OR($N293=$Q$7,$O293=$Q$7)),"x","")</f>
        <v/>
      </c>
      <c r="R293" s="79" t="str">
        <f>IF(AND($N293=$Q$7,$B293&lt;'111'!$L$11),"x","")</f>
        <v/>
      </c>
      <c r="S293" s="79" t="str">
        <f>IF(AND($O293=$Q$7,$B293&lt;'111'!$L$11),"x","")</f>
        <v/>
      </c>
      <c r="T293" s="79" t="str">
        <f>IF(ISERROR(FIND('112'!$M$9,G293,1)),"",IF((AND(FIND('112'!$M$9,G293,1)&gt;=1,B293='112'!$K$9,OR($N293='112'!$I$6,$O293='112'!$I$6))),"x",""))</f>
        <v/>
      </c>
      <c r="U293" s="79" t="str">
        <f>IF(ISERROR(FIND('112'!$M$9,G293,1)),"",IF((AND(LEFT(G293,2)=LEFT('112'!$M$9,2),B293&lt;'112'!$K$9,$N293='112'!$I$6)),"x",""))</f>
        <v/>
      </c>
      <c r="V293" s="79" t="str">
        <f>IF(ISERROR(FIND('112'!$M$9,G293,1)),"",IF((AND(RIGHT(G293,2)=RIGHT('112'!$M$9,2),B293&lt;'112'!$K$9,$O293='112'!$I$6)),"x",""))</f>
        <v/>
      </c>
      <c r="W293" s="79" t="str">
        <f>IF(AND('341-CT'!$H$9=H293,OR(LEFT(N293,3)=$W$7,LEFT(O293,3)=$W$7)),"x","")</f>
        <v/>
      </c>
      <c r="X293" s="79" t="str">
        <f>IF(OR(TH!N293=TH!$X$7,O293=TH!$X$7),"x","")</f>
        <v/>
      </c>
      <c r="Y293" s="79" t="str">
        <f>IF(AND(OR(N293="131",O293="131"),H293='131-CT'!$H$9),"x","")</f>
        <v/>
      </c>
      <c r="Z293" s="79"/>
      <c r="AA293" s="79" t="str">
        <f>IF(AND(MONTH(E293)='IN-NX'!$J$5,'IN-NX'!$D$7=D293),"x","")</f>
        <v/>
      </c>
      <c r="AB293" s="79" t="str">
        <f>IF(AND(OR(LEFT(TH!N293,2)="15",LEFT(TH!O293,2)="15"),LEFT(TH!O293,3)&lt;&gt;"111",'152-CT'!$J$8=TH!F293),"x","")</f>
        <v/>
      </c>
      <c r="AC293" s="79" t="str">
        <f>IF(AND(OR(LEFT(TH!N293,2)="15",LEFT(TH!O293,2)="15"),TK!$E$7=TH!F293),"x","")</f>
        <v/>
      </c>
      <c r="AD293" s="79" t="str">
        <f>IF(AND(N293="1521",MONTH(C293)='BK-NL'!$M$11),"x","")</f>
        <v/>
      </c>
      <c r="AE293" s="1101">
        <v>1</v>
      </c>
    </row>
    <row r="294" spans="1:31" s="1101" customFormat="1" ht="16.5" customHeight="1">
      <c r="A294" s="318" t="str">
        <f>IF(B294&lt;&gt;"",IF(AND(B294='IN-TC'!$S$4,OR(TH!N294="1111",TH!O294="1111")),TH!D294,""),"")</f>
        <v/>
      </c>
      <c r="B294" s="1106">
        <f t="shared" si="70"/>
        <v>1</v>
      </c>
      <c r="C294" s="301">
        <v>43105</v>
      </c>
      <c r="D294" s="301" t="s">
        <v>985</v>
      </c>
      <c r="E294" s="301">
        <f t="shared" si="71"/>
        <v>43105</v>
      </c>
      <c r="F294" s="302" t="s">
        <v>994</v>
      </c>
      <c r="G294" s="988" t="s">
        <v>586</v>
      </c>
      <c r="H294" s="69" t="s">
        <v>998</v>
      </c>
      <c r="I294" s="385"/>
      <c r="J294" s="969"/>
      <c r="K294" s="385"/>
      <c r="L294" s="392"/>
      <c r="M294" s="970">
        <v>1000</v>
      </c>
      <c r="N294" s="304" t="s">
        <v>9</v>
      </c>
      <c r="O294" s="304" t="s">
        <v>26</v>
      </c>
      <c r="P294" s="79" t="str">
        <f>IF(AND('331-CT'!$E$7=TH!H294,OR(N294="331",O294="331")),"x","")</f>
        <v/>
      </c>
      <c r="Q294" s="79" t="str">
        <f>IF(AND(B294='111'!$L$11,OR($N294=$Q$7,$O294=$Q$7)),"x","")</f>
        <v/>
      </c>
      <c r="R294" s="79" t="str">
        <f>IF(AND($N294=$Q$7,$B294&lt;'111'!$L$11),"x","")</f>
        <v/>
      </c>
      <c r="S294" s="79" t="str">
        <f>IF(AND($O294=$Q$7,$B294&lt;'111'!$L$11),"x","")</f>
        <v/>
      </c>
      <c r="T294" s="79" t="str">
        <f>IF(ISERROR(FIND('112'!$M$9,G294,1)),"",IF((AND(FIND('112'!$M$9,G294,1)&gt;=1,B294='112'!$K$9,OR($N294='112'!$I$6,$O294='112'!$I$6))),"x",""))</f>
        <v/>
      </c>
      <c r="U294" s="79" t="str">
        <f>IF(ISERROR(FIND('112'!$M$9,G294,1)),"",IF((AND(LEFT(G294,2)=LEFT('112'!$M$9,2),B294&lt;'112'!$K$9,$N294='112'!$I$6)),"x",""))</f>
        <v/>
      </c>
      <c r="V294" s="79" t="str">
        <f>IF(ISERROR(FIND('112'!$M$9,G294,1)),"",IF((AND(RIGHT(G294,2)=RIGHT('112'!$M$9,2),B294&lt;'112'!$K$9,$O294='112'!$I$6)),"x",""))</f>
        <v/>
      </c>
      <c r="W294" s="79" t="str">
        <f>IF(AND('341-CT'!$H$9=H294,OR(LEFT(N294,3)=$W$7,LEFT(O294,3)=$W$7)),"x","")</f>
        <v/>
      </c>
      <c r="X294" s="79" t="str">
        <f>IF(OR(TH!N294=TH!$X$7,O294=TH!$X$7),"x","")</f>
        <v/>
      </c>
      <c r="Y294" s="79" t="str">
        <f>IF(AND(OR(N294="131",O294="131"),H294='131-CT'!$H$9),"x","")</f>
        <v/>
      </c>
      <c r="Z294" s="79"/>
      <c r="AA294" s="79" t="str">
        <f>IF(AND(MONTH(E294)='IN-NX'!$J$5,'IN-NX'!$D$7=D294),"x","")</f>
        <v/>
      </c>
      <c r="AB294" s="79" t="str">
        <f>IF(AND(OR(LEFT(TH!N294,2)="15",LEFT(TH!O294,2)="15"),LEFT(TH!O294,3)&lt;&gt;"111",'152-CT'!$J$8=TH!F294),"x","")</f>
        <v/>
      </c>
      <c r="AC294" s="79" t="str">
        <f>IF(AND(OR(LEFT(TH!N294,2)="15",LEFT(TH!O294,2)="15"),TK!$E$7=TH!F294),"x","")</f>
        <v/>
      </c>
      <c r="AD294" s="79" t="str">
        <f>IF(AND(N294="1521",MONTH(C294)='BK-NL'!$M$11),"x","")</f>
        <v/>
      </c>
      <c r="AE294" s="1101">
        <v>1</v>
      </c>
    </row>
    <row r="295" spans="1:31" s="1101" customFormat="1" ht="16.5" customHeight="1">
      <c r="A295" s="318" t="str">
        <f>IF(B295&lt;&gt;"",IF(AND(B295='IN-TC'!$S$4,OR(TH!N295="1111",TH!O295="1111")),TH!D295,""),"")</f>
        <v/>
      </c>
      <c r="B295" s="1106">
        <f t="shared" ref="B295:B296" si="74">IF(C295&lt;&gt;"",MONTH(C295),"")</f>
        <v>1</v>
      </c>
      <c r="C295" s="301">
        <v>43108</v>
      </c>
      <c r="D295" s="301" t="s">
        <v>989</v>
      </c>
      <c r="E295" s="301">
        <f t="shared" ref="E295:E296" si="75">C295</f>
        <v>43108</v>
      </c>
      <c r="F295" s="302" t="s">
        <v>990</v>
      </c>
      <c r="G295" s="988" t="s">
        <v>586</v>
      </c>
      <c r="H295" s="69" t="s">
        <v>998</v>
      </c>
      <c r="I295" s="385"/>
      <c r="J295" s="969"/>
      <c r="K295" s="385"/>
      <c r="L295" s="392"/>
      <c r="M295" s="970">
        <v>312</v>
      </c>
      <c r="N295" s="304" t="s">
        <v>26</v>
      </c>
      <c r="O295" s="304" t="s">
        <v>43</v>
      </c>
      <c r="P295" s="79" t="str">
        <f>IF(AND('331-CT'!$E$7=TH!H295,OR(N295="331",O295="331")),"x","")</f>
        <v/>
      </c>
      <c r="Q295" s="79" t="str">
        <f>IF(AND(B295='111'!$L$11,OR($N295=$Q$7,$O295=$Q$7)),"x","")</f>
        <v/>
      </c>
      <c r="R295" s="79" t="str">
        <f>IF(AND($N295=$Q$7,$B295&lt;'111'!$L$11),"x","")</f>
        <v/>
      </c>
      <c r="S295" s="79" t="str">
        <f>IF(AND($O295=$Q$7,$B295&lt;'111'!$L$11),"x","")</f>
        <v/>
      </c>
      <c r="T295" s="79" t="str">
        <f>IF(ISERROR(FIND('112'!$M$9,G295,1)),"",IF((AND(FIND('112'!$M$9,G295,1)&gt;=1,B295='112'!$K$9,OR($N295='112'!$I$6,$O295='112'!$I$6))),"x",""))</f>
        <v/>
      </c>
      <c r="U295" s="79" t="str">
        <f>IF(ISERROR(FIND('112'!$M$9,G295,1)),"",IF((AND(LEFT(G295,2)=LEFT('112'!$M$9,2),B295&lt;'112'!$K$9,$N295='112'!$I$6)),"x",""))</f>
        <v/>
      </c>
      <c r="V295" s="79" t="str">
        <f>IF(ISERROR(FIND('112'!$M$9,G295,1)),"",IF((AND(RIGHT(G295,2)=RIGHT('112'!$M$9,2),B295&lt;'112'!$K$9,$O295='112'!$I$6)),"x",""))</f>
        <v/>
      </c>
      <c r="W295" s="79" t="str">
        <f>IF(AND('341-CT'!$H$9=H295,OR(LEFT(N295,3)=$W$7,LEFT(O295,3)=$W$7)),"x","")</f>
        <v/>
      </c>
      <c r="X295" s="79" t="str">
        <f>IF(OR(TH!N295=TH!$X$7,O295=TH!$X$7),"x","")</f>
        <v/>
      </c>
      <c r="Y295" s="79" t="str">
        <f>IF(AND(OR(N295="131",O295="131"),H295='131-CT'!$H$9),"x","")</f>
        <v/>
      </c>
      <c r="Z295" s="79"/>
      <c r="AA295" s="79" t="str">
        <f>IF(AND(MONTH(E295)='IN-NX'!$J$5,'IN-NX'!$D$7=D295),"x","")</f>
        <v/>
      </c>
      <c r="AB295" s="79" t="str">
        <f>IF(AND(OR(LEFT(TH!N295,2)="15",LEFT(TH!O295,2)="15"),LEFT(TH!O295,3)&lt;&gt;"111",'152-CT'!$J$8=TH!F295),"x","")</f>
        <v/>
      </c>
      <c r="AC295" s="79" t="str">
        <f>IF(AND(OR(LEFT(TH!N295,2)="15",LEFT(TH!O295,2)="15"),TK!$E$7=TH!F295),"x","")</f>
        <v/>
      </c>
      <c r="AD295" s="79" t="str">
        <f>IF(AND(N295="1521",MONTH(C295)='BK-NL'!$M$11),"x","")</f>
        <v/>
      </c>
    </row>
    <row r="296" spans="1:31" s="1101" customFormat="1" ht="16.5" customHeight="1">
      <c r="A296" s="318" t="str">
        <f>IF(B296&lt;&gt;"",IF(AND(B296='IN-TC'!$S$4,OR(TH!N296="1111",TH!O296="1111")),TH!D296,""),"")</f>
        <v/>
      </c>
      <c r="B296" s="1106">
        <f t="shared" si="74"/>
        <v>1</v>
      </c>
      <c r="C296" s="301">
        <v>43110</v>
      </c>
      <c r="D296" s="301" t="s">
        <v>989</v>
      </c>
      <c r="E296" s="301">
        <f t="shared" si="75"/>
        <v>43110</v>
      </c>
      <c r="F296" s="302" t="s">
        <v>1006</v>
      </c>
      <c r="G296" s="988" t="s">
        <v>586</v>
      </c>
      <c r="H296" s="69" t="s">
        <v>750</v>
      </c>
      <c r="I296" s="385"/>
      <c r="J296" s="969"/>
      <c r="K296" s="385"/>
      <c r="L296" s="392"/>
      <c r="M296" s="970">
        <v>1332375000</v>
      </c>
      <c r="N296" s="304" t="s">
        <v>26</v>
      </c>
      <c r="O296" s="304" t="s">
        <v>537</v>
      </c>
      <c r="P296" s="79" t="str">
        <f>IF(AND('331-CT'!$E$7=TH!H296,OR(N296="331",O296="331")),"x","")</f>
        <v/>
      </c>
      <c r="Q296" s="79" t="str">
        <f>IF(AND(B296='111'!$L$11,OR($N296=$Q$7,$O296=$Q$7)),"x","")</f>
        <v/>
      </c>
      <c r="R296" s="79" t="str">
        <f>IF(AND($N296=$Q$7,$B296&lt;'111'!$L$11),"x","")</f>
        <v/>
      </c>
      <c r="S296" s="79" t="str">
        <f>IF(AND($O296=$Q$7,$B296&lt;'111'!$L$11),"x","")</f>
        <v/>
      </c>
      <c r="T296" s="79" t="str">
        <f>IF(ISERROR(FIND('112'!$M$9,G296,1)),"",IF((AND(FIND('112'!$M$9,G296,1)&gt;=1,B296='112'!$K$9,OR($N296='112'!$I$6,$O296='112'!$I$6))),"x",""))</f>
        <v/>
      </c>
      <c r="U296" s="79" t="str">
        <f>IF(ISERROR(FIND('112'!$M$9,G296,1)),"",IF((AND(LEFT(G296,2)=LEFT('112'!$M$9,2),B296&lt;'112'!$K$9,$N296='112'!$I$6)),"x",""))</f>
        <v/>
      </c>
      <c r="V296" s="79" t="str">
        <f>IF(ISERROR(FIND('112'!$M$9,G296,1)),"",IF((AND(RIGHT(G296,2)=RIGHT('112'!$M$9,2),B296&lt;'112'!$K$9,$O296='112'!$I$6)),"x",""))</f>
        <v/>
      </c>
      <c r="W296" s="79" t="str">
        <f>IF(AND('341-CT'!$H$9=H296,OR(LEFT(N296,3)=$W$7,LEFT(O296,3)=$W$7)),"x","")</f>
        <v/>
      </c>
      <c r="X296" s="79" t="str">
        <f>IF(OR(TH!N296=TH!$X$7,O296=TH!$X$7),"x","")</f>
        <v/>
      </c>
      <c r="Y296" s="79" t="str">
        <f>IF(AND(OR(N296="131",O296="131"),H296='131-CT'!$H$9),"x","")</f>
        <v/>
      </c>
      <c r="Z296" s="79"/>
      <c r="AA296" s="79" t="str">
        <f>IF(AND(MONTH(E296)='IN-NX'!$J$5,'IN-NX'!$D$7=D296),"x","")</f>
        <v/>
      </c>
      <c r="AB296" s="79" t="str">
        <f>IF(AND(OR(LEFT(TH!N296,2)="15",LEFT(TH!O296,2)="15"),LEFT(TH!O296,3)&lt;&gt;"111",'152-CT'!$J$8=TH!F296),"x","")</f>
        <v/>
      </c>
      <c r="AC296" s="79" t="str">
        <f>IF(AND(OR(LEFT(TH!N296,2)="15",LEFT(TH!O296,2)="15"),TK!$E$7=TH!F296),"x","")</f>
        <v/>
      </c>
      <c r="AD296" s="79" t="str">
        <f>IF(AND(N296="1521",MONTH(C296)='BK-NL'!$M$11),"x","")</f>
        <v/>
      </c>
    </row>
    <row r="297" spans="1:31" s="1101" customFormat="1" ht="16.5" customHeight="1">
      <c r="A297" s="318" t="str">
        <f>IF(B297&lt;&gt;"",IF(AND(B297='IN-TC'!$S$4,OR(TH!N297="1111",TH!O297="1111")),TH!D297,""),"")</f>
        <v/>
      </c>
      <c r="B297" s="1106">
        <f t="shared" ref="B297" si="76">IF(C297&lt;&gt;"",MONTH(C297),"")</f>
        <v>1</v>
      </c>
      <c r="C297" s="301">
        <v>43111</v>
      </c>
      <c r="D297" s="301" t="s">
        <v>989</v>
      </c>
      <c r="E297" s="301">
        <f t="shared" ref="E297" si="77">C297</f>
        <v>43111</v>
      </c>
      <c r="F297" s="302" t="s">
        <v>995</v>
      </c>
      <c r="G297" s="988" t="s">
        <v>586</v>
      </c>
      <c r="H297" s="69" t="s">
        <v>996</v>
      </c>
      <c r="I297" s="385"/>
      <c r="J297" s="969"/>
      <c r="K297" s="385"/>
      <c r="L297" s="392"/>
      <c r="M297" s="970">
        <v>1330000000</v>
      </c>
      <c r="N297" s="304" t="s">
        <v>63</v>
      </c>
      <c r="O297" s="304" t="s">
        <v>26</v>
      </c>
      <c r="P297" s="79" t="str">
        <f>IF(AND('331-CT'!$E$7=TH!H297,OR(N297="331",O297="331")),"x","")</f>
        <v/>
      </c>
      <c r="Q297" s="79" t="str">
        <f>IF(AND(B297='111'!$L$11,OR($N297=$Q$7,$O297=$Q$7)),"x","")</f>
        <v/>
      </c>
      <c r="R297" s="79" t="str">
        <f>IF(AND($N297=$Q$7,$B297&lt;'111'!$L$11),"x","")</f>
        <v>x</v>
      </c>
      <c r="S297" s="79" t="str">
        <f>IF(AND($O297=$Q$7,$B297&lt;'111'!$L$11),"x","")</f>
        <v/>
      </c>
      <c r="T297" s="79" t="str">
        <f>IF(ISERROR(FIND('112'!$M$9,G297,1)),"",IF((AND(FIND('112'!$M$9,G297,1)&gt;=1,B297='112'!$K$9,OR($N297='112'!$I$6,$O297='112'!$I$6))),"x",""))</f>
        <v/>
      </c>
      <c r="U297" s="79" t="str">
        <f>IF(ISERROR(FIND('112'!$M$9,G297,1)),"",IF((AND(LEFT(G297,2)=LEFT('112'!$M$9,2),B297&lt;'112'!$K$9,$N297='112'!$I$6)),"x",""))</f>
        <v/>
      </c>
      <c r="V297" s="79" t="str">
        <f>IF(ISERROR(FIND('112'!$M$9,G297,1)),"",IF((AND(RIGHT(G297,2)=RIGHT('112'!$M$9,2),B297&lt;'112'!$K$9,$O297='112'!$I$6)),"x",""))</f>
        <v/>
      </c>
      <c r="W297" s="79" t="str">
        <f>IF(AND('341-CT'!$H$9=H297,OR(LEFT(N297,3)=$W$7,LEFT(O297,3)=$W$7)),"x","")</f>
        <v/>
      </c>
      <c r="X297" s="79" t="str">
        <f>IF(OR(TH!N297=TH!$X$7,O297=TH!$X$7),"x","")</f>
        <v/>
      </c>
      <c r="Y297" s="79" t="str">
        <f>IF(AND(OR(N297="131",O297="131"),H297='131-CT'!$H$9),"x","")</f>
        <v/>
      </c>
      <c r="Z297" s="79"/>
      <c r="AA297" s="79" t="str">
        <f>IF(AND(MONTH(E297)='IN-NX'!$J$5,'IN-NX'!$D$7=D297),"x","")</f>
        <v/>
      </c>
      <c r="AB297" s="79" t="str">
        <f>IF(AND(OR(LEFT(TH!N297,2)="15",LEFT(TH!O297,2)="15"),LEFT(TH!O297,3)&lt;&gt;"111",'152-CT'!$J$8=TH!F297),"x","")</f>
        <v/>
      </c>
      <c r="AC297" s="79" t="str">
        <f>IF(AND(OR(LEFT(TH!N297,2)="15",LEFT(TH!O297,2)="15"),TK!$E$7=TH!F297),"x","")</f>
        <v/>
      </c>
      <c r="AD297" s="79" t="str">
        <f>IF(AND(N297="1521",MONTH(C297)='BK-NL'!$M$11),"x","")</f>
        <v/>
      </c>
    </row>
    <row r="298" spans="1:31" s="1101" customFormat="1" ht="16.5" customHeight="1">
      <c r="A298" s="318" t="str">
        <f>IF(B298&lt;&gt;"",IF(AND(B298='IN-TC'!$S$4,OR(TH!N298="1111",TH!O298="1111")),TH!D298,""),"")</f>
        <v/>
      </c>
      <c r="B298" s="1106">
        <f t="shared" si="42"/>
        <v>1</v>
      </c>
      <c r="C298" s="301">
        <v>43103</v>
      </c>
      <c r="D298" s="301" t="s">
        <v>985</v>
      </c>
      <c r="E298" s="301">
        <f t="shared" si="43"/>
        <v>43103</v>
      </c>
      <c r="F298" s="302" t="s">
        <v>986</v>
      </c>
      <c r="G298" s="988" t="s">
        <v>987</v>
      </c>
      <c r="H298" s="69" t="s">
        <v>988</v>
      </c>
      <c r="I298" s="385"/>
      <c r="J298" s="969"/>
      <c r="K298" s="385"/>
      <c r="L298" s="392"/>
      <c r="M298" s="970">
        <v>1000000</v>
      </c>
      <c r="N298" s="304" t="s">
        <v>26</v>
      </c>
      <c r="O298" s="304" t="s">
        <v>26</v>
      </c>
      <c r="P298" s="79" t="str">
        <f>IF(AND('331-CT'!$E$7=TH!H298,OR(N298="331",O298="331")),"x","")</f>
        <v/>
      </c>
      <c r="Q298" s="79" t="str">
        <f>IF(AND(B298='111'!$L$11,OR($N298=$Q$7,$O298=$Q$7)),"x","")</f>
        <v/>
      </c>
      <c r="R298" s="79" t="str">
        <f>IF(AND($N298=$Q$7,$B298&lt;'111'!$L$11),"x","")</f>
        <v/>
      </c>
      <c r="S298" s="79" t="str">
        <f>IF(AND($O298=$Q$7,$B298&lt;'111'!$L$11),"x","")</f>
        <v/>
      </c>
      <c r="T298" s="79" t="str">
        <f>IF(ISERROR(FIND('112'!$M$9,G298,1)),"",IF((AND(FIND('112'!$M$9,G298,1)&gt;=1,B298='112'!$K$9,OR($N298='112'!$I$6,$O298='112'!$I$6))),"x",""))</f>
        <v/>
      </c>
      <c r="U298" s="79" t="str">
        <f>IF(ISERROR(FIND('112'!$M$9,G298,1)),"",IF((AND(LEFT(G298,2)=LEFT('112'!$M$9,2),B298&lt;'112'!$K$9,$N298='112'!$I$6)),"x",""))</f>
        <v/>
      </c>
      <c r="V298" s="79" t="str">
        <f>IF(ISERROR(FIND('112'!$M$9,G298,1)),"",IF((AND(RIGHT(G298,2)=RIGHT('112'!$M$9,2),B298&lt;'112'!$K$9,$O298='112'!$I$6)),"x",""))</f>
        <v/>
      </c>
      <c r="W298" s="79" t="str">
        <f>IF(AND('341-CT'!$H$9=H298,OR(LEFT(N298,3)=$W$7,LEFT(O298,3)=$W$7)),"x","")</f>
        <v/>
      </c>
      <c r="X298" s="79" t="str">
        <f>IF(OR(TH!N298=TH!$X$7,O298=TH!$X$7),"x","")</f>
        <v/>
      </c>
      <c r="Y298" s="79" t="str">
        <f>IF(AND(OR(N298="131",O298="131"),H298='131-CT'!$H$9),"x","")</f>
        <v/>
      </c>
      <c r="Z298" s="79"/>
      <c r="AA298" s="79" t="str">
        <f>IF(AND(MONTH(E298)='IN-NX'!$J$5,'IN-NX'!$D$7=D298),"x","")</f>
        <v/>
      </c>
      <c r="AB298" s="79" t="str">
        <f>IF(AND(OR(LEFT(TH!N298,2)="15",LEFT(TH!O298,2)="15"),LEFT(TH!O298,3)&lt;&gt;"111",'152-CT'!$J$8=TH!F298),"x","")</f>
        <v/>
      </c>
      <c r="AC298" s="79" t="str">
        <f>IF(AND(OR(LEFT(TH!N298,2)="15",LEFT(TH!O298,2)="15"),TK!$E$7=TH!F298),"x","")</f>
        <v/>
      </c>
      <c r="AD298" s="79" t="str">
        <f>IF(AND(N298="1521",MONTH(C298)='BK-NL'!$M$11),"x","")</f>
        <v/>
      </c>
    </row>
    <row r="299" spans="1:31" s="1101" customFormat="1" ht="16.5" customHeight="1">
      <c r="A299" s="318" t="str">
        <f>IF(B299&lt;&gt;"",IF(AND(B299='IN-TC'!$S$4,OR(TH!N299="1111",TH!O299="1111")),TH!D299,""),"")</f>
        <v/>
      </c>
      <c r="B299" s="1106">
        <f t="shared" si="42"/>
        <v>1</v>
      </c>
      <c r="C299" s="301">
        <v>43104</v>
      </c>
      <c r="D299" s="301" t="s">
        <v>989</v>
      </c>
      <c r="E299" s="301">
        <f t="shared" si="43"/>
        <v>43104</v>
      </c>
      <c r="F299" s="302" t="s">
        <v>990</v>
      </c>
      <c r="G299" s="988" t="s">
        <v>585</v>
      </c>
      <c r="H299" s="69" t="s">
        <v>988</v>
      </c>
      <c r="I299" s="385"/>
      <c r="J299" s="969"/>
      <c r="K299" s="385"/>
      <c r="L299" s="392"/>
      <c r="M299" s="970">
        <v>19641</v>
      </c>
      <c r="N299" s="304" t="s">
        <v>26</v>
      </c>
      <c r="O299" s="304" t="s">
        <v>43</v>
      </c>
      <c r="P299" s="79" t="str">
        <f>IF(AND('331-CT'!$E$7=TH!H299,OR(N299="331",O299="331")),"x","")</f>
        <v/>
      </c>
      <c r="Q299" s="79" t="str">
        <f>IF(AND(B299='111'!$L$11,OR($N299=$Q$7,$O299=$Q$7)),"x","")</f>
        <v/>
      </c>
      <c r="R299" s="79" t="str">
        <f>IF(AND($N299=$Q$7,$B299&lt;'111'!$L$11),"x","")</f>
        <v/>
      </c>
      <c r="S299" s="79" t="str">
        <f>IF(AND($O299=$Q$7,$B299&lt;'111'!$L$11),"x","")</f>
        <v/>
      </c>
      <c r="T299" s="79" t="str">
        <f>IF(ISERROR(FIND('112'!$M$9,G299,1)),"",IF((AND(FIND('112'!$M$9,G299,1)&gt;=1,B299='112'!$K$9,OR($N299='112'!$I$6,$O299='112'!$I$6))),"x",""))</f>
        <v/>
      </c>
      <c r="U299" s="79" t="str">
        <f>IF(ISERROR(FIND('112'!$M$9,G299,1)),"",IF((AND(LEFT(G299,2)=LEFT('112'!$M$9,2),B299&lt;'112'!$K$9,$N299='112'!$I$6)),"x",""))</f>
        <v/>
      </c>
      <c r="V299" s="79" t="str">
        <f>IF(ISERROR(FIND('112'!$M$9,G299,1)),"",IF((AND(RIGHT(G299,2)=RIGHT('112'!$M$9,2),B299&lt;'112'!$K$9,$O299='112'!$I$6)),"x",""))</f>
        <v/>
      </c>
      <c r="W299" s="79" t="str">
        <f>IF(AND('341-CT'!$H$9=H299,OR(LEFT(N299,3)=$W$7,LEFT(O299,3)=$W$7)),"x","")</f>
        <v/>
      </c>
      <c r="X299" s="79" t="str">
        <f>IF(OR(TH!N299=TH!$X$7,O299=TH!$X$7),"x","")</f>
        <v/>
      </c>
      <c r="Y299" s="79" t="str">
        <f>IF(AND(OR(N299="131",O299="131"),H299='131-CT'!$H$9),"x","")</f>
        <v/>
      </c>
      <c r="Z299" s="79"/>
      <c r="AA299" s="79" t="str">
        <f>IF(AND(MONTH(E299)='IN-NX'!$J$5,'IN-NX'!$D$7=D299),"x","")</f>
        <v/>
      </c>
      <c r="AB299" s="79" t="str">
        <f>IF(AND(OR(LEFT(TH!N299,2)="15",LEFT(TH!O299,2)="15"),LEFT(TH!O299,3)&lt;&gt;"111",'152-CT'!$J$8=TH!F299),"x","")</f>
        <v/>
      </c>
      <c r="AC299" s="79" t="str">
        <f>IF(AND(OR(LEFT(TH!N299,2)="15",LEFT(TH!O299,2)="15"),TK!$E$7=TH!F299),"x","")</f>
        <v/>
      </c>
      <c r="AD299" s="79" t="str">
        <f>IF(AND(N299="1521",MONTH(C299)='BK-NL'!$M$11),"x","")</f>
        <v/>
      </c>
    </row>
    <row r="300" spans="1:31" s="1101" customFormat="1" ht="16.5" customHeight="1">
      <c r="A300" s="318" t="str">
        <f>IF(B300&lt;&gt;"",IF(AND(B300='IN-TC'!$S$4,OR(TH!N300="1111",TH!O300="1111")),TH!D300,""),"")</f>
        <v/>
      </c>
      <c r="B300" s="1106">
        <f t="shared" ref="B300:B375" si="78">IF(C300&lt;&gt;"",MONTH(C300),"")</f>
        <v>1</v>
      </c>
      <c r="C300" s="301">
        <v>43105</v>
      </c>
      <c r="D300" s="301" t="s">
        <v>985</v>
      </c>
      <c r="E300" s="301">
        <f t="shared" si="43"/>
        <v>43105</v>
      </c>
      <c r="F300" s="302" t="s">
        <v>991</v>
      </c>
      <c r="G300" s="988" t="s">
        <v>585</v>
      </c>
      <c r="H300" s="303" t="s">
        <v>739</v>
      </c>
      <c r="I300" s="385"/>
      <c r="J300" s="969"/>
      <c r="K300" s="385"/>
      <c r="L300" s="392"/>
      <c r="M300" s="970">
        <v>8276978</v>
      </c>
      <c r="N300" s="304" t="s">
        <v>8</v>
      </c>
      <c r="O300" s="304" t="s">
        <v>26</v>
      </c>
      <c r="P300" s="79" t="str">
        <f>IF(AND('331-CT'!$E$7=TH!H300,OR(N300="331",O300="331")),"x","")</f>
        <v/>
      </c>
      <c r="Q300" s="79" t="str">
        <f>IF(AND(B300='111'!$L$11,OR($N300=$Q$7,$O300=$Q$7)),"x","")</f>
        <v/>
      </c>
      <c r="R300" s="79" t="str">
        <f>IF(AND($N300=$Q$7,$B300&lt;'111'!$L$11),"x","")</f>
        <v/>
      </c>
      <c r="S300" s="79" t="str">
        <f>IF(AND($O300=$Q$7,$B300&lt;'111'!$L$11),"x","")</f>
        <v/>
      </c>
      <c r="T300" s="79" t="str">
        <f>IF(ISERROR(FIND('112'!$M$9,G300,1)),"",IF((AND(FIND('112'!$M$9,G300,1)&gt;=1,B300='112'!$K$9,OR($N300='112'!$I$6,$O300='112'!$I$6))),"x",""))</f>
        <v/>
      </c>
      <c r="U300" s="79" t="str">
        <f>IF(ISERROR(FIND('112'!$M$9,G300,1)),"",IF((AND(LEFT(G300,2)=LEFT('112'!$M$9,2),B300&lt;'112'!$K$9,$N300='112'!$I$6)),"x",""))</f>
        <v/>
      </c>
      <c r="V300" s="79" t="str">
        <f>IF(ISERROR(FIND('112'!$M$9,G300,1)),"",IF((AND(RIGHT(G300,2)=RIGHT('112'!$M$9,2),B300&lt;'112'!$K$9,$O300='112'!$I$6)),"x",""))</f>
        <v/>
      </c>
      <c r="W300" s="79" t="str">
        <f>IF(AND('341-CT'!$H$9=H300,OR(LEFT(N300,3)=$W$7,LEFT(O300,3)=$W$7)),"x","")</f>
        <v/>
      </c>
      <c r="X300" s="79" t="str">
        <f>IF(OR(TH!N300=TH!$X$7,O300=TH!$X$7),"x","")</f>
        <v/>
      </c>
      <c r="Y300" s="79" t="str">
        <f>IF(AND(OR(N300="131",O300="131"),H300='131-CT'!$H$9),"x","")</f>
        <v/>
      </c>
      <c r="Z300" s="79"/>
      <c r="AA300" s="79" t="str">
        <f>IF(AND(MONTH(E300)='IN-NX'!$J$5,'IN-NX'!$D$7=D300),"x","")</f>
        <v/>
      </c>
      <c r="AB300" s="79" t="str">
        <f>IF(AND(OR(LEFT(TH!N300,2)="15",LEFT(TH!O300,2)="15"),LEFT(TH!O300,3)&lt;&gt;"111",'152-CT'!$J$8=TH!F300),"x","")</f>
        <v/>
      </c>
      <c r="AC300" s="79" t="str">
        <f>IF(AND(OR(LEFT(TH!N300,2)="15",LEFT(TH!O300,2)="15"),TK!$E$7=TH!F300),"x","")</f>
        <v/>
      </c>
      <c r="AD300" s="79" t="str">
        <f>IF(AND(N300="1521",MONTH(C300)='BK-NL'!$M$11),"x","")</f>
        <v/>
      </c>
    </row>
    <row r="301" spans="1:31" s="1101" customFormat="1" ht="16.5" customHeight="1">
      <c r="A301" s="318" t="str">
        <f>IF(B301&lt;&gt;"",IF(AND(B301='IN-TC'!$S$4,OR(TH!N301="1111",TH!O301="1111")),TH!D301,""),"")</f>
        <v/>
      </c>
      <c r="B301" s="1106">
        <f t="shared" ref="B301" si="79">IF(C301&lt;&gt;"",MONTH(C301),"")</f>
        <v>1</v>
      </c>
      <c r="C301" s="301">
        <v>43105</v>
      </c>
      <c r="D301" s="301" t="s">
        <v>985</v>
      </c>
      <c r="E301" s="301">
        <f t="shared" ref="E301" si="80">C301</f>
        <v>43105</v>
      </c>
      <c r="F301" s="302" t="s">
        <v>992</v>
      </c>
      <c r="G301" s="988" t="s">
        <v>585</v>
      </c>
      <c r="H301" s="303" t="s">
        <v>560</v>
      </c>
      <c r="I301" s="385"/>
      <c r="J301" s="969"/>
      <c r="K301" s="385"/>
      <c r="L301" s="392"/>
      <c r="M301" s="970">
        <v>109355400</v>
      </c>
      <c r="N301" s="304" t="s">
        <v>8</v>
      </c>
      <c r="O301" s="304" t="s">
        <v>26</v>
      </c>
      <c r="P301" s="79" t="str">
        <f>IF(AND('331-CT'!$E$7=TH!H301,OR(N301="331",O301="331")),"x","")</f>
        <v/>
      </c>
      <c r="Q301" s="79" t="str">
        <f>IF(AND(B301='111'!$L$11,OR($N301=$Q$7,$O301=$Q$7)),"x","")</f>
        <v/>
      </c>
      <c r="R301" s="79" t="str">
        <f>IF(AND($N301=$Q$7,$B301&lt;'111'!$L$11),"x","")</f>
        <v/>
      </c>
      <c r="S301" s="79" t="str">
        <f>IF(AND($O301=$Q$7,$B301&lt;'111'!$L$11),"x","")</f>
        <v/>
      </c>
      <c r="T301" s="79" t="str">
        <f>IF(ISERROR(FIND('112'!$M$9,G301,1)),"",IF((AND(FIND('112'!$M$9,G301,1)&gt;=1,B301='112'!$K$9,OR($N301='112'!$I$6,$O301='112'!$I$6))),"x",""))</f>
        <v/>
      </c>
      <c r="U301" s="79" t="str">
        <f>IF(ISERROR(FIND('112'!$M$9,G301,1)),"",IF((AND(LEFT(G301,2)=LEFT('112'!$M$9,2),B301&lt;'112'!$K$9,$N301='112'!$I$6)),"x",""))</f>
        <v/>
      </c>
      <c r="V301" s="79" t="str">
        <f>IF(ISERROR(FIND('112'!$M$9,G301,1)),"",IF((AND(RIGHT(G301,2)=RIGHT('112'!$M$9,2),B301&lt;'112'!$K$9,$O301='112'!$I$6)),"x",""))</f>
        <v/>
      </c>
      <c r="W301" s="79" t="str">
        <f>IF(AND('341-CT'!$H$9=H301,OR(LEFT(N301,3)=$W$7,LEFT(O301,3)=$W$7)),"x","")</f>
        <v/>
      </c>
      <c r="X301" s="79" t="str">
        <f>IF(OR(TH!N301=TH!$X$7,O301=TH!$X$7),"x","")</f>
        <v/>
      </c>
      <c r="Y301" s="79" t="str">
        <f>IF(AND(OR(N301="131",O301="131"),H301='131-CT'!$H$9),"x","")</f>
        <v/>
      </c>
      <c r="Z301" s="79"/>
      <c r="AA301" s="79" t="str">
        <f>IF(AND(MONTH(E301)='IN-NX'!$J$5,'IN-NX'!$D$7=D301),"x","")</f>
        <v/>
      </c>
      <c r="AB301" s="79" t="str">
        <f>IF(AND(OR(LEFT(TH!N301,2)="15",LEFT(TH!O301,2)="15"),LEFT(TH!O301,3)&lt;&gt;"111",'152-CT'!$J$8=TH!F301),"x","")</f>
        <v/>
      </c>
      <c r="AC301" s="79" t="str">
        <f>IF(AND(OR(LEFT(TH!N301,2)="15",LEFT(TH!O301,2)="15"),TK!$E$7=TH!F301),"x","")</f>
        <v/>
      </c>
      <c r="AD301" s="79" t="str">
        <f>IF(AND(N301="1521",MONTH(C301)='BK-NL'!$M$11),"x","")</f>
        <v/>
      </c>
    </row>
    <row r="302" spans="1:31" s="1101" customFormat="1" ht="16.5" customHeight="1">
      <c r="A302" s="318" t="str">
        <f>IF(B302&lt;&gt;"",IF(AND(B302='IN-TC'!$S$4,OR(TH!N302="1111",TH!O302="1111")),TH!D302,""),"")</f>
        <v/>
      </c>
      <c r="B302" s="1106">
        <f t="shared" ref="B302:B303" si="81">IF(C302&lt;&gt;"",MONTH(C302),"")</f>
        <v>1</v>
      </c>
      <c r="C302" s="301">
        <v>43105</v>
      </c>
      <c r="D302" s="301" t="s">
        <v>985</v>
      </c>
      <c r="E302" s="301">
        <f t="shared" ref="E302:E303" si="82">C302</f>
        <v>43105</v>
      </c>
      <c r="F302" s="302" t="s">
        <v>993</v>
      </c>
      <c r="G302" s="988" t="s">
        <v>585</v>
      </c>
      <c r="H302" s="69" t="s">
        <v>988</v>
      </c>
      <c r="I302" s="385"/>
      <c r="J302" s="969"/>
      <c r="K302" s="385"/>
      <c r="L302" s="392"/>
      <c r="M302" s="970">
        <v>32807</v>
      </c>
      <c r="N302" s="304" t="s">
        <v>101</v>
      </c>
      <c r="O302" s="304" t="s">
        <v>26</v>
      </c>
      <c r="P302" s="79" t="str">
        <f>IF(AND('331-CT'!$E$7=TH!H302,OR(N302="331",O302="331")),"x","")</f>
        <v/>
      </c>
      <c r="Q302" s="79" t="str">
        <f>IF(AND(B302='111'!$L$11,OR($N302=$Q$7,$O302=$Q$7)),"x","")</f>
        <v/>
      </c>
      <c r="R302" s="79" t="str">
        <f>IF(AND($N302=$Q$7,$B302&lt;'111'!$L$11),"x","")</f>
        <v/>
      </c>
      <c r="S302" s="79" t="str">
        <f>IF(AND($O302=$Q$7,$B302&lt;'111'!$L$11),"x","")</f>
        <v/>
      </c>
      <c r="T302" s="79" t="str">
        <f>IF(ISERROR(FIND('112'!$M$9,G302,1)),"",IF((AND(FIND('112'!$M$9,G302,1)&gt;=1,B302='112'!$K$9,OR($N302='112'!$I$6,$O302='112'!$I$6))),"x",""))</f>
        <v/>
      </c>
      <c r="U302" s="79" t="str">
        <f>IF(ISERROR(FIND('112'!$M$9,G302,1)),"",IF((AND(LEFT(G302,2)=LEFT('112'!$M$9,2),B302&lt;'112'!$K$9,$N302='112'!$I$6)),"x",""))</f>
        <v/>
      </c>
      <c r="V302" s="79" t="str">
        <f>IF(ISERROR(FIND('112'!$M$9,G302,1)),"",IF((AND(RIGHT(G302,2)=RIGHT('112'!$M$9,2),B302&lt;'112'!$K$9,$O302='112'!$I$6)),"x",""))</f>
        <v/>
      </c>
      <c r="W302" s="79" t="str">
        <f>IF(AND('341-CT'!$H$9=H302,OR(LEFT(N302,3)=$W$7,LEFT(O302,3)=$W$7)),"x","")</f>
        <v/>
      </c>
      <c r="X302" s="79" t="str">
        <f>IF(OR(TH!N302=TH!$X$7,O302=TH!$X$7),"x","")</f>
        <v/>
      </c>
      <c r="Y302" s="79" t="str">
        <f>IF(AND(OR(N302="131",O302="131"),H302='131-CT'!$H$9),"x","")</f>
        <v/>
      </c>
      <c r="Z302" s="79"/>
      <c r="AA302" s="79" t="str">
        <f>IF(AND(MONTH(E302)='IN-NX'!$J$5,'IN-NX'!$D$7=D302),"x","")</f>
        <v/>
      </c>
      <c r="AB302" s="79" t="str">
        <f>IF(AND(OR(LEFT(TH!N302,2)="15",LEFT(TH!O302,2)="15"),LEFT(TH!O302,3)&lt;&gt;"111",'152-CT'!$J$8=TH!F302),"x","")</f>
        <v/>
      </c>
      <c r="AC302" s="79" t="str">
        <f>IF(AND(OR(LEFT(TH!N302,2)="15",LEFT(TH!O302,2)="15"),TK!$E$7=TH!F302),"x","")</f>
        <v/>
      </c>
      <c r="AD302" s="79" t="str">
        <f>IF(AND(N302="1521",MONTH(C302)='BK-NL'!$M$11),"x","")</f>
        <v/>
      </c>
      <c r="AE302" s="1101">
        <v>1</v>
      </c>
    </row>
    <row r="303" spans="1:31" s="1101" customFormat="1" ht="16.5" customHeight="1">
      <c r="A303" s="318" t="str">
        <f>IF(B303&lt;&gt;"",IF(AND(B303='IN-TC'!$S$4,OR(TH!N303="1111",TH!O303="1111")),TH!D303,""),"")</f>
        <v/>
      </c>
      <c r="B303" s="1106">
        <f t="shared" si="81"/>
        <v>1</v>
      </c>
      <c r="C303" s="301">
        <v>43105</v>
      </c>
      <c r="D303" s="301" t="s">
        <v>985</v>
      </c>
      <c r="E303" s="301">
        <f t="shared" si="82"/>
        <v>43105</v>
      </c>
      <c r="F303" s="302" t="s">
        <v>994</v>
      </c>
      <c r="G303" s="988" t="s">
        <v>585</v>
      </c>
      <c r="H303" s="69" t="s">
        <v>988</v>
      </c>
      <c r="I303" s="385"/>
      <c r="J303" s="969"/>
      <c r="K303" s="385"/>
      <c r="L303" s="392"/>
      <c r="M303" s="970">
        <v>3281</v>
      </c>
      <c r="N303" s="304" t="s">
        <v>9</v>
      </c>
      <c r="O303" s="304" t="s">
        <v>26</v>
      </c>
      <c r="P303" s="79" t="str">
        <f>IF(AND('331-CT'!$E$7=TH!H303,OR(N303="331",O303="331")),"x","")</f>
        <v/>
      </c>
      <c r="Q303" s="79" t="str">
        <f>IF(AND(B303='111'!$L$11,OR($N303=$Q$7,$O303=$Q$7)),"x","")</f>
        <v/>
      </c>
      <c r="R303" s="79" t="str">
        <f>IF(AND($N303=$Q$7,$B303&lt;'111'!$L$11),"x","")</f>
        <v/>
      </c>
      <c r="S303" s="79" t="str">
        <f>IF(AND($O303=$Q$7,$B303&lt;'111'!$L$11),"x","")</f>
        <v/>
      </c>
      <c r="T303" s="79" t="str">
        <f>IF(ISERROR(FIND('112'!$M$9,G303,1)),"",IF((AND(FIND('112'!$M$9,G303,1)&gt;=1,B303='112'!$K$9,OR($N303='112'!$I$6,$O303='112'!$I$6))),"x",""))</f>
        <v/>
      </c>
      <c r="U303" s="79" t="str">
        <f>IF(ISERROR(FIND('112'!$M$9,G303,1)),"",IF((AND(LEFT(G303,2)=LEFT('112'!$M$9,2),B303&lt;'112'!$K$9,$N303='112'!$I$6)),"x",""))</f>
        <v/>
      </c>
      <c r="V303" s="79" t="str">
        <f>IF(ISERROR(FIND('112'!$M$9,G303,1)),"",IF((AND(RIGHT(G303,2)=RIGHT('112'!$M$9,2),B303&lt;'112'!$K$9,$O303='112'!$I$6)),"x",""))</f>
        <v/>
      </c>
      <c r="W303" s="79" t="str">
        <f>IF(AND('341-CT'!$H$9=H303,OR(LEFT(N303,3)=$W$7,LEFT(O303,3)=$W$7)),"x","")</f>
        <v/>
      </c>
      <c r="X303" s="79" t="str">
        <f>IF(OR(TH!N303=TH!$X$7,O303=TH!$X$7),"x","")</f>
        <v/>
      </c>
      <c r="Y303" s="79" t="str">
        <f>IF(AND(OR(N303="131",O303="131"),H303='131-CT'!$H$9),"x","")</f>
        <v/>
      </c>
      <c r="Z303" s="79"/>
      <c r="AA303" s="79" t="str">
        <f>IF(AND(MONTH(E303)='IN-NX'!$J$5,'IN-NX'!$D$7=D303),"x","")</f>
        <v/>
      </c>
      <c r="AB303" s="79" t="str">
        <f>IF(AND(OR(LEFT(TH!N303,2)="15",LEFT(TH!O303,2)="15"),LEFT(TH!O303,3)&lt;&gt;"111",'152-CT'!$J$8=TH!F303),"x","")</f>
        <v/>
      </c>
      <c r="AC303" s="79" t="str">
        <f>IF(AND(OR(LEFT(TH!N303,2)="15",LEFT(TH!O303,2)="15"),TK!$E$7=TH!F303),"x","")</f>
        <v/>
      </c>
      <c r="AD303" s="79" t="str">
        <f>IF(AND(N303="1521",MONTH(C303)='BK-NL'!$M$11),"x","")</f>
        <v/>
      </c>
      <c r="AE303" s="1101">
        <v>1</v>
      </c>
    </row>
    <row r="304" spans="1:31" s="1101" customFormat="1" ht="16.5" customHeight="1">
      <c r="A304" s="318" t="str">
        <f>IF(B304&lt;&gt;"",IF(AND(B304='IN-TC'!$S$4,OR(TH!N304="1111",TH!O304="1111")),TH!D304,""),"")</f>
        <v/>
      </c>
      <c r="B304" s="1106">
        <f t="shared" si="78"/>
        <v>1</v>
      </c>
      <c r="C304" s="301">
        <v>43105</v>
      </c>
      <c r="D304" s="301" t="s">
        <v>985</v>
      </c>
      <c r="E304" s="301">
        <f t="shared" si="43"/>
        <v>43105</v>
      </c>
      <c r="F304" s="302" t="s">
        <v>995</v>
      </c>
      <c r="G304" s="988" t="s">
        <v>585</v>
      </c>
      <c r="H304" s="303" t="s">
        <v>996</v>
      </c>
      <c r="I304" s="385"/>
      <c r="J304" s="969"/>
      <c r="K304" s="385"/>
      <c r="L304" s="392"/>
      <c r="M304" s="970">
        <v>100000000</v>
      </c>
      <c r="N304" s="304" t="s">
        <v>63</v>
      </c>
      <c r="O304" s="304" t="s">
        <v>26</v>
      </c>
      <c r="P304" s="79" t="str">
        <f>IF(AND('331-CT'!$E$7=TH!H304,OR(N304="331",O304="331")),"x","")</f>
        <v/>
      </c>
      <c r="Q304" s="79" t="str">
        <f>IF(AND(B304='111'!$L$11,OR($N304=$Q$7,$O304=$Q$7)),"x","")</f>
        <v/>
      </c>
      <c r="R304" s="79" t="str">
        <f>IF(AND($N304=$Q$7,$B304&lt;'111'!$L$11),"x","")</f>
        <v>x</v>
      </c>
      <c r="S304" s="79" t="str">
        <f>IF(AND($O304=$Q$7,$B304&lt;'111'!$L$11),"x","")</f>
        <v/>
      </c>
      <c r="T304" s="79" t="str">
        <f>IF(ISERROR(FIND('112'!$M$9,G304,1)),"",IF((AND(FIND('112'!$M$9,G304,1)&gt;=1,B304='112'!$K$9,OR($N304='112'!$I$6,$O304='112'!$I$6))),"x",""))</f>
        <v/>
      </c>
      <c r="U304" s="79" t="str">
        <f>IF(ISERROR(FIND('112'!$M$9,G304,1)),"",IF((AND(LEFT(G304,2)=LEFT('112'!$M$9,2),B304&lt;'112'!$K$9,$N304='112'!$I$6)),"x",""))</f>
        <v/>
      </c>
      <c r="V304" s="79" t="str">
        <f>IF(ISERROR(FIND('112'!$M$9,G304,1)),"",IF((AND(RIGHT(G304,2)=RIGHT('112'!$M$9,2),B304&lt;'112'!$K$9,$O304='112'!$I$6)),"x",""))</f>
        <v/>
      </c>
      <c r="W304" s="79" t="str">
        <f>IF(AND('341-CT'!$H$9=H304,OR(LEFT(N304,3)=$W$7,LEFT(O304,3)=$W$7)),"x","")</f>
        <v/>
      </c>
      <c r="X304" s="79" t="str">
        <f>IF(OR(TH!N304=TH!$X$7,O304=TH!$X$7),"x","")</f>
        <v/>
      </c>
      <c r="Y304" s="79" t="str">
        <f>IF(AND(OR(N304="131",O304="131"),H304='131-CT'!$H$9),"x","")</f>
        <v/>
      </c>
      <c r="Z304" s="79"/>
      <c r="AA304" s="79" t="str">
        <f>IF(AND(MONTH(E304)='IN-NX'!$J$5,'IN-NX'!$D$7=D304),"x","")</f>
        <v/>
      </c>
      <c r="AB304" s="79" t="str">
        <f>IF(AND(OR(LEFT(TH!N304,2)="15",LEFT(TH!O304,2)="15"),LEFT(TH!O304,3)&lt;&gt;"111",'152-CT'!$J$8=TH!F304),"x","")</f>
        <v/>
      </c>
      <c r="AC304" s="79" t="str">
        <f>IF(AND(OR(LEFT(TH!N304,2)="15",LEFT(TH!O304,2)="15"),TK!$E$7=TH!F304),"x","")</f>
        <v/>
      </c>
      <c r="AD304" s="79" t="str">
        <f>IF(AND(N304="1521",MONTH(C304)='BK-NL'!$M$11),"x","")</f>
        <v/>
      </c>
    </row>
    <row r="305" spans="1:30" ht="16.5" customHeight="1">
      <c r="A305" s="318" t="str">
        <f>IF(B305&lt;&gt;"",IF(AND(B305='IN-TC'!$S$4,OR(TH!N305="1111",TH!O305="1111")),TH!D305,""),"")</f>
        <v/>
      </c>
      <c r="B305" s="1106" t="str">
        <f t="shared" si="78"/>
        <v/>
      </c>
      <c r="C305" s="974"/>
      <c r="D305" s="974"/>
      <c r="E305" s="974">
        <f t="shared" si="43"/>
        <v>0</v>
      </c>
      <c r="F305" s="975"/>
      <c r="G305" s="976"/>
      <c r="H305" s="305"/>
      <c r="I305" s="383"/>
      <c r="J305" s="977"/>
      <c r="K305" s="383"/>
      <c r="L305" s="390"/>
      <c r="M305" s="978"/>
      <c r="N305" s="979"/>
      <c r="O305" s="979"/>
      <c r="P305" s="79" t="str">
        <f>IF(AND('331-CT'!$E$7=TH!H305,OR(N305="331",O305="331")),"x","")</f>
        <v/>
      </c>
      <c r="Q305" s="79" t="str">
        <f>IF(AND(B305='111'!$L$11,OR($N305=$Q$7,$O305=$Q$7)),"x","")</f>
        <v/>
      </c>
      <c r="R305" s="79" t="str">
        <f>IF(AND($N305=$Q$7,$B305&lt;'111'!$L$11),"x","")</f>
        <v/>
      </c>
      <c r="S305" s="79" t="str">
        <f>IF(AND($O305=$Q$7,$B305&lt;'111'!$L$11),"x","")</f>
        <v/>
      </c>
      <c r="T305" s="79" t="str">
        <f>IF(ISERROR(FIND('112'!$M$9,G305,1)),"",IF((AND(FIND('112'!$M$9,G305,1)&gt;=1,B305='112'!$K$9,OR($N305='112'!$I$6,$O305='112'!$I$6))),"x",""))</f>
        <v/>
      </c>
      <c r="U305" s="79" t="str">
        <f>IF(ISERROR(FIND('112'!$M$9,G305,1)),"",IF((AND(LEFT(G305,2)=LEFT('112'!$M$9,2),B305&lt;'112'!$K$9,$N305='112'!$I$6)),"x",""))</f>
        <v/>
      </c>
      <c r="V305" s="79" t="str">
        <f>IF(ISERROR(FIND('112'!$M$9,G305,1)),"",IF((AND(RIGHT(G305,2)=RIGHT('112'!$M$9,2),B305&lt;'112'!$K$9,$O305='112'!$I$6)),"x",""))</f>
        <v/>
      </c>
      <c r="W305" s="79" t="str">
        <f>IF(AND('341-CT'!$H$9=H305,OR(LEFT(N305,3)=$W$7,LEFT(O305,3)=$W$7)),"x","")</f>
        <v/>
      </c>
      <c r="X305" s="79" t="str">
        <f>IF(OR(TH!N305=TH!$X$7,O305=TH!$X$7),"x","")</f>
        <v/>
      </c>
      <c r="Y305" s="79" t="str">
        <f>IF(AND(OR(N305="131",O305="131"),H305='131-CT'!$H$9),"x","")</f>
        <v/>
      </c>
      <c r="Z305" s="79"/>
      <c r="AA305" s="79" t="str">
        <f>IF(AND(MONTH(E305)='IN-NX'!$J$5,'IN-NX'!$D$7=D305),"x","")</f>
        <v/>
      </c>
      <c r="AB305" s="79" t="str">
        <f>IF(AND(OR(LEFT(TH!N305,2)="15",LEFT(TH!O305,2)="15"),LEFT(TH!O305,3)&lt;&gt;"111",'152-CT'!$J$8=TH!F305),"x","")</f>
        <v/>
      </c>
      <c r="AC305" s="79" t="str">
        <f>IF(AND(OR(LEFT(TH!N305,2)="15",LEFT(TH!O305,2)="15"),TK!$E$7=TH!F305),"x","")</f>
        <v/>
      </c>
      <c r="AD305" s="79" t="str">
        <f>IF(AND(N305="1521",MONTH(C305)='BK-NL'!$M$11),"x","")</f>
        <v/>
      </c>
    </row>
    <row r="306" spans="1:30" ht="16.5" customHeight="1">
      <c r="A306" s="318" t="str">
        <f>IF(B306&lt;&gt;"",IF(AND(B306='IN-TC'!$S$4,OR(TH!N306="1111",TH!O306="1111")),TH!D306,""),"")</f>
        <v/>
      </c>
      <c r="B306" s="1106" t="str">
        <f t="shared" ref="B306:B326" si="83">IF(C306&lt;&gt;"",MONTH(C306),"")</f>
        <v/>
      </c>
      <c r="C306" s="974"/>
      <c r="D306" s="974"/>
      <c r="E306" s="974">
        <f t="shared" ref="E306:E323" si="84">C306</f>
        <v>0</v>
      </c>
      <c r="F306" s="975"/>
      <c r="G306" s="976"/>
      <c r="H306" s="305"/>
      <c r="I306" s="383"/>
      <c r="J306" s="977"/>
      <c r="K306" s="383"/>
      <c r="L306" s="390"/>
      <c r="M306" s="978"/>
      <c r="N306" s="979"/>
      <c r="O306" s="979"/>
      <c r="P306" s="79" t="str">
        <f>IF(AND('331-CT'!$E$7=TH!H306,OR(N306="331",O306="331")),"x","")</f>
        <v/>
      </c>
      <c r="Q306" s="79" t="str">
        <f>IF(AND(B306='111'!$L$11,OR($N306=$Q$7,$O306=$Q$7)),"x","")</f>
        <v/>
      </c>
      <c r="R306" s="79" t="str">
        <f>IF(AND($N306=$Q$7,$B306&lt;'111'!$L$11),"x","")</f>
        <v/>
      </c>
      <c r="S306" s="79" t="str">
        <f>IF(AND($O306=$Q$7,$B306&lt;'111'!$L$11),"x","")</f>
        <v/>
      </c>
      <c r="T306" s="79" t="str">
        <f>IF(ISERROR(FIND('112'!$M$9,G306,1)),"",IF((AND(FIND('112'!$M$9,G306,1)&gt;=1,B306='112'!$K$9,OR($N306='112'!$I$6,$O306='112'!$I$6))),"x",""))</f>
        <v/>
      </c>
      <c r="U306" s="79" t="str">
        <f>IF(ISERROR(FIND('112'!$M$9,G306,1)),"",IF((AND(LEFT(G306,2)=LEFT('112'!$M$9,2),B306&lt;'112'!$K$9,$N306='112'!$I$6)),"x",""))</f>
        <v/>
      </c>
      <c r="V306" s="79" t="str">
        <f>IF(ISERROR(FIND('112'!$M$9,G306,1)),"",IF((AND(RIGHT(G306,2)=RIGHT('112'!$M$9,2),B306&lt;'112'!$K$9,$O306='112'!$I$6)),"x",""))</f>
        <v/>
      </c>
      <c r="W306" s="79" t="str">
        <f>IF(AND('341-CT'!$H$9=H306,OR(LEFT(N306,3)=$W$7,LEFT(O306,3)=$W$7)),"x","")</f>
        <v/>
      </c>
      <c r="X306" s="79" t="str">
        <f>IF(OR(TH!N306=TH!$X$7,O306=TH!$X$7),"x","")</f>
        <v/>
      </c>
      <c r="Y306" s="79" t="str">
        <f>IF(AND(OR(N306="131",O306="131"),H306='131-CT'!$H$9),"x","")</f>
        <v/>
      </c>
      <c r="Z306" s="79"/>
      <c r="AA306" s="79" t="str">
        <f>IF(AND(MONTH(E306)='IN-NX'!$J$5,'IN-NX'!$D$7=D306),"x","")</f>
        <v/>
      </c>
      <c r="AB306" s="79" t="str">
        <f>IF(AND(OR(LEFT(TH!N306,2)="15",LEFT(TH!O306,2)="15"),LEFT(TH!O306,3)&lt;&gt;"111",'152-CT'!$J$8=TH!F306),"x","")</f>
        <v/>
      </c>
      <c r="AC306" s="79" t="str">
        <f>IF(AND(OR(LEFT(TH!N306,2)="15",LEFT(TH!O306,2)="15"),TK!$E$7=TH!F306),"x","")</f>
        <v/>
      </c>
      <c r="AD306" s="79" t="str">
        <f>IF(AND(N306="1521",MONTH(C306)='BK-NL'!$M$11),"x","")</f>
        <v/>
      </c>
    </row>
    <row r="307" spans="1:30" ht="16.5" customHeight="1">
      <c r="A307" s="318" t="str">
        <f>IF(B307&lt;&gt;"",IF(AND(B307='IN-TC'!$S$4,OR(TH!N307="1111",TH!O307="1111")),TH!D307,""),"")</f>
        <v/>
      </c>
      <c r="B307" s="1106" t="str">
        <f t="shared" si="83"/>
        <v/>
      </c>
      <c r="C307" s="974"/>
      <c r="D307" s="974"/>
      <c r="E307" s="974">
        <f t="shared" si="84"/>
        <v>0</v>
      </c>
      <c r="F307" s="975"/>
      <c r="G307" s="976"/>
      <c r="H307" s="305"/>
      <c r="I307" s="383"/>
      <c r="J307" s="977"/>
      <c r="K307" s="383"/>
      <c r="L307" s="390"/>
      <c r="M307" s="978"/>
      <c r="N307" s="979"/>
      <c r="O307" s="979"/>
      <c r="P307" s="79" t="str">
        <f>IF(AND('331-CT'!$E$7=TH!H307,OR(N307="331",O307="331")),"x","")</f>
        <v/>
      </c>
      <c r="Q307" s="79" t="str">
        <f>IF(AND(B307='111'!$L$11,OR($N307=$Q$7,$O307=$Q$7)),"x","")</f>
        <v/>
      </c>
      <c r="R307" s="79" t="str">
        <f>IF(AND($N307=$Q$7,$B307&lt;'111'!$L$11),"x","")</f>
        <v/>
      </c>
      <c r="S307" s="79" t="str">
        <f>IF(AND($O307=$Q$7,$B307&lt;'111'!$L$11),"x","")</f>
        <v/>
      </c>
      <c r="T307" s="79" t="str">
        <f>IF(ISERROR(FIND('112'!$M$9,G307,1)),"",IF((AND(FIND('112'!$M$9,G307,1)&gt;=1,B307='112'!$K$9,OR($N307='112'!$I$6,$O307='112'!$I$6))),"x",""))</f>
        <v/>
      </c>
      <c r="U307" s="79" t="str">
        <f>IF(ISERROR(FIND('112'!$M$9,G307,1)),"",IF((AND(LEFT(G307,2)=LEFT('112'!$M$9,2),B307&lt;'112'!$K$9,$N307='112'!$I$6)),"x",""))</f>
        <v/>
      </c>
      <c r="V307" s="79" t="str">
        <f>IF(ISERROR(FIND('112'!$M$9,G307,1)),"",IF((AND(RIGHT(G307,2)=RIGHT('112'!$M$9,2),B307&lt;'112'!$K$9,$O307='112'!$I$6)),"x",""))</f>
        <v/>
      </c>
      <c r="W307" s="79" t="str">
        <f>IF(AND('341-CT'!$H$9=H307,OR(LEFT(N307,3)=$W$7,LEFT(O307,3)=$W$7)),"x","")</f>
        <v/>
      </c>
      <c r="X307" s="79" t="str">
        <f>IF(OR(TH!N307=TH!$X$7,O307=TH!$X$7),"x","")</f>
        <v/>
      </c>
      <c r="Y307" s="79" t="str">
        <f>IF(AND(OR(N307="131",O307="131"),H307='131-CT'!$H$9),"x","")</f>
        <v/>
      </c>
      <c r="Z307" s="79"/>
      <c r="AA307" s="79" t="str">
        <f>IF(AND(MONTH(E307)='IN-NX'!$J$5,'IN-NX'!$D$7=D307),"x","")</f>
        <v/>
      </c>
      <c r="AB307" s="79" t="str">
        <f>IF(AND(OR(LEFT(TH!N307,2)="15",LEFT(TH!O307,2)="15"),LEFT(TH!O307,3)&lt;&gt;"111",'152-CT'!$J$8=TH!F307),"x","")</f>
        <v/>
      </c>
      <c r="AC307" s="79" t="str">
        <f>IF(AND(OR(LEFT(TH!N307,2)="15",LEFT(TH!O307,2)="15"),TK!$E$7=TH!F307),"x","")</f>
        <v/>
      </c>
      <c r="AD307" s="79" t="str">
        <f>IF(AND(N307="1521",MONTH(C307)='BK-NL'!$M$11),"x","")</f>
        <v/>
      </c>
    </row>
    <row r="308" spans="1:30" ht="16.5" customHeight="1">
      <c r="A308" s="318" t="str">
        <f>IF(B308&lt;&gt;"",IF(AND(B308='IN-TC'!$S$4,OR(TH!N308="1111",TH!O308="1111")),TH!D308,""),"")</f>
        <v/>
      </c>
      <c r="B308" s="1106">
        <f t="shared" si="83"/>
        <v>1</v>
      </c>
      <c r="C308" s="974">
        <v>43102</v>
      </c>
      <c r="D308" s="974" t="s">
        <v>989</v>
      </c>
      <c r="E308" s="974">
        <f t="shared" si="84"/>
        <v>43102</v>
      </c>
      <c r="F308" s="975" t="s">
        <v>1006</v>
      </c>
      <c r="G308" s="1018" t="s">
        <v>746</v>
      </c>
      <c r="H308" s="305" t="s">
        <v>547</v>
      </c>
      <c r="I308" s="383"/>
      <c r="J308" s="977"/>
      <c r="K308" s="383">
        <v>26156</v>
      </c>
      <c r="L308" s="390">
        <v>22699</v>
      </c>
      <c r="M308" s="978">
        <f>ROUND(K308*L308,0)</f>
        <v>593715044</v>
      </c>
      <c r="N308" s="979" t="s">
        <v>256</v>
      </c>
      <c r="O308" s="979" t="s">
        <v>537</v>
      </c>
      <c r="P308" s="79" t="str">
        <f>IF(AND('331-CT'!$E$7=TH!H308,OR(N308="331",O308="331")),"x","")</f>
        <v/>
      </c>
      <c r="Q308" s="79" t="str">
        <f>IF(AND(B308='111'!$L$11,OR($N308=$Q$7,$O308=$Q$7)),"x","")</f>
        <v/>
      </c>
      <c r="R308" s="79" t="str">
        <f>IF(AND($N308=$Q$7,$B308&lt;'111'!$L$11),"x","")</f>
        <v/>
      </c>
      <c r="S308" s="79" t="str">
        <f>IF(AND($O308=$Q$7,$B308&lt;'111'!$L$11),"x","")</f>
        <v/>
      </c>
      <c r="T308" s="79" t="str">
        <f>IF(ISERROR(FIND('112'!$M$9,G308,1)),"",IF((AND(FIND('112'!$M$9,G308,1)&gt;=1,B308='112'!$K$9,OR($N308='112'!$I$6,$O308='112'!$I$6))),"x",""))</f>
        <v>x</v>
      </c>
      <c r="U308" s="79" t="str">
        <f>IF(ISERROR(FIND('112'!$M$9,G308,1)),"",IF((AND(LEFT(G308,2)=LEFT('112'!$M$9,2),B308&lt;'112'!$K$9,$N308='112'!$I$6)),"x",""))</f>
        <v/>
      </c>
      <c r="V308" s="79" t="str">
        <f>IF(ISERROR(FIND('112'!$M$9,G308,1)),"",IF((AND(RIGHT(G308,2)=RIGHT('112'!$M$9,2),B308&lt;'112'!$K$9,$O308='112'!$I$6)),"x",""))</f>
        <v/>
      </c>
      <c r="W308" s="79" t="str">
        <f>IF(AND('341-CT'!$H$9=H308,OR(LEFT(N308,3)=$W$7,LEFT(O308,3)=$W$7)),"x","")</f>
        <v/>
      </c>
      <c r="X308" s="79" t="str">
        <f>IF(OR(TH!N308=TH!$X$7,O308=TH!$X$7),"x","")</f>
        <v/>
      </c>
      <c r="Y308" s="79" t="str">
        <f>IF(AND(OR(N308="131",O308="131"),H308='131-CT'!$H$9),"x","")</f>
        <v/>
      </c>
      <c r="Z308" s="79"/>
      <c r="AA308" s="79" t="str">
        <f>IF(AND(MONTH(E308)='IN-NX'!$J$5,'IN-NX'!$D$7=D308),"x","")</f>
        <v/>
      </c>
      <c r="AB308" s="79" t="str">
        <f>IF(AND(OR(LEFT(TH!N308,2)="15",LEFT(TH!O308,2)="15"),LEFT(TH!O308,3)&lt;&gt;"111",'152-CT'!$J$8=TH!F308),"x","")</f>
        <v/>
      </c>
      <c r="AC308" s="79" t="str">
        <f>IF(AND(OR(LEFT(TH!N308,2)="15",LEFT(TH!O308,2)="15"),TK!$E$7=TH!F308),"x","")</f>
        <v/>
      </c>
      <c r="AD308" s="79" t="str">
        <f>IF(AND(N308="1521",MONTH(C308)='BK-NL'!$M$11),"x","")</f>
        <v/>
      </c>
    </row>
    <row r="309" spans="1:30" ht="16.5" customHeight="1">
      <c r="A309" s="318" t="str">
        <f>IF(B309&lt;&gt;"",IF(AND(B309='IN-TC'!$S$4,OR(TH!N309="1111",TH!O309="1111")),TH!D309,""),"")</f>
        <v/>
      </c>
      <c r="B309" s="1106">
        <f t="shared" ref="B309" si="85">IF(C309&lt;&gt;"",MONTH(C309),"")</f>
        <v>1</v>
      </c>
      <c r="C309" s="974">
        <v>43102</v>
      </c>
      <c r="D309" s="974" t="s">
        <v>532</v>
      </c>
      <c r="E309" s="974">
        <f t="shared" ref="E309" si="86">C309</f>
        <v>43102</v>
      </c>
      <c r="F309" s="975" t="s">
        <v>1007</v>
      </c>
      <c r="G309" s="1018" t="s">
        <v>746</v>
      </c>
      <c r="H309" s="305" t="s">
        <v>547</v>
      </c>
      <c r="I309" s="383"/>
      <c r="J309" s="977"/>
      <c r="K309" s="383">
        <v>52</v>
      </c>
      <c r="L309" s="390">
        <v>22699</v>
      </c>
      <c r="M309" s="978">
        <f>ROUND(K309*L309,0)</f>
        <v>1180348</v>
      </c>
      <c r="N309" s="979" t="s">
        <v>101</v>
      </c>
      <c r="O309" s="979" t="s">
        <v>537</v>
      </c>
      <c r="P309" s="79" t="str">
        <f>IF(AND('331-CT'!$E$7=TH!H309,OR(N309="331",O309="331")),"x","")</f>
        <v/>
      </c>
      <c r="Q309" s="79" t="str">
        <f>IF(AND(B309='111'!$L$11,OR($N309=$Q$7,$O309=$Q$7)),"x","")</f>
        <v/>
      </c>
      <c r="R309" s="79" t="str">
        <f>IF(AND($N309=$Q$7,$B309&lt;'111'!$L$11),"x","")</f>
        <v/>
      </c>
      <c r="S309" s="79" t="str">
        <f>IF(AND($O309=$Q$7,$B309&lt;'111'!$L$11),"x","")</f>
        <v/>
      </c>
      <c r="T309" s="79" t="str">
        <f>IF(ISERROR(FIND('112'!$M$9,G309,1)),"",IF((AND(FIND('112'!$M$9,G309,1)&gt;=1,B309='112'!$K$9,OR($N309='112'!$I$6,$O309='112'!$I$6))),"x",""))</f>
        <v/>
      </c>
      <c r="U309" s="79" t="str">
        <f>IF(ISERROR(FIND('112'!$M$9,G309,1)),"",IF((AND(LEFT(G309,2)=LEFT('112'!$M$9,2),B309&lt;'112'!$K$9,$N309='112'!$I$6)),"x",""))</f>
        <v/>
      </c>
      <c r="V309" s="79" t="str">
        <f>IF(ISERROR(FIND('112'!$M$9,G309,1)),"",IF((AND(RIGHT(G309,2)=RIGHT('112'!$M$9,2),B309&lt;'112'!$K$9,$O309='112'!$I$6)),"x",""))</f>
        <v/>
      </c>
      <c r="W309" s="79" t="str">
        <f>IF(AND('341-CT'!$H$9=H309,OR(LEFT(N309,3)=$W$7,LEFT(O309,3)=$W$7)),"x","")</f>
        <v/>
      </c>
      <c r="X309" s="79" t="str">
        <f>IF(OR(TH!N309=TH!$X$7,O309=TH!$X$7),"x","")</f>
        <v/>
      </c>
      <c r="Y309" s="79" t="str">
        <f>IF(AND(OR(N309="131",O309="131"),H309='131-CT'!$H$9),"x","")</f>
        <v/>
      </c>
      <c r="Z309" s="79"/>
      <c r="AA309" s="79" t="str">
        <f>IF(AND(MONTH(E309)='IN-NX'!$J$5,'IN-NX'!$D$7=D309),"x","")</f>
        <v/>
      </c>
      <c r="AB309" s="79" t="str">
        <f>IF(AND(OR(LEFT(TH!N309,2)="15",LEFT(TH!O309,2)="15"),LEFT(TH!O309,3)&lt;&gt;"111",'152-CT'!$J$8=TH!F309),"x","")</f>
        <v/>
      </c>
      <c r="AC309" s="79" t="str">
        <f>IF(AND(OR(LEFT(TH!N309,2)="15",LEFT(TH!O309,2)="15"),TK!$E$7=TH!F309),"x","")</f>
        <v/>
      </c>
      <c r="AD309" s="79" t="str">
        <f>IF(AND(N309="1521",MONTH(C309)='BK-NL'!$M$11),"x","")</f>
        <v/>
      </c>
    </row>
    <row r="310" spans="1:30" ht="16.5" customHeight="1">
      <c r="A310" s="318" t="str">
        <f>IF(B310&lt;&gt;"",IF(AND(B310='IN-TC'!$S$4,OR(TH!N310="1111",TH!O310="1111")),TH!D310,""),"")</f>
        <v/>
      </c>
      <c r="B310" s="1106">
        <f t="shared" ref="B310" si="87">IF(C310&lt;&gt;"",MONTH(C310),"")</f>
        <v>1</v>
      </c>
      <c r="C310" s="974">
        <v>43102</v>
      </c>
      <c r="D310" s="974" t="s">
        <v>532</v>
      </c>
      <c r="E310" s="974">
        <f t="shared" ref="E310" si="88">C310</f>
        <v>43102</v>
      </c>
      <c r="F310" s="975" t="s">
        <v>1008</v>
      </c>
      <c r="G310" s="1018" t="s">
        <v>746</v>
      </c>
      <c r="H310" s="305" t="s">
        <v>547</v>
      </c>
      <c r="I310" s="383"/>
      <c r="J310" s="977"/>
      <c r="K310" s="383"/>
      <c r="L310" s="390"/>
      <c r="M310" s="978">
        <v>497952</v>
      </c>
      <c r="N310" s="979" t="s">
        <v>537</v>
      </c>
      <c r="O310" s="979" t="s">
        <v>43</v>
      </c>
      <c r="P310" s="79" t="str">
        <f>IF(AND('331-CT'!$E$7=TH!H310,OR(N310="331",O310="331")),"x","")</f>
        <v/>
      </c>
      <c r="Q310" s="79" t="str">
        <f>IF(AND(B310='111'!$L$11,OR($N310=$Q$7,$O310=$Q$7)),"x","")</f>
        <v/>
      </c>
      <c r="R310" s="79" t="str">
        <f>IF(AND($N310=$Q$7,$B310&lt;'111'!$L$11),"x","")</f>
        <v/>
      </c>
      <c r="S310" s="79" t="str">
        <f>IF(AND($O310=$Q$7,$B310&lt;'111'!$L$11),"x","")</f>
        <v/>
      </c>
      <c r="T310" s="79" t="str">
        <f>IF(ISERROR(FIND('112'!$M$9,G310,1)),"",IF((AND(FIND('112'!$M$9,G310,1)&gt;=1,B310='112'!$K$9,OR($N310='112'!$I$6,$O310='112'!$I$6))),"x",""))</f>
        <v/>
      </c>
      <c r="U310" s="79" t="str">
        <f>IF(ISERROR(FIND('112'!$M$9,G310,1)),"",IF((AND(LEFT(G310,2)=LEFT('112'!$M$9,2),B310&lt;'112'!$K$9,$N310='112'!$I$6)),"x",""))</f>
        <v/>
      </c>
      <c r="V310" s="79" t="str">
        <f>IF(ISERROR(FIND('112'!$M$9,G310,1)),"",IF((AND(RIGHT(G310,2)=RIGHT('112'!$M$9,2),B310&lt;'112'!$K$9,$O310='112'!$I$6)),"x",""))</f>
        <v/>
      </c>
      <c r="W310" s="79" t="str">
        <f>IF(AND('341-CT'!$H$9=H310,OR(LEFT(N310,3)=$W$7,LEFT(O310,3)=$W$7)),"x","")</f>
        <v/>
      </c>
      <c r="X310" s="79" t="str">
        <f>IF(OR(TH!N310=TH!$X$7,O310=TH!$X$7),"x","")</f>
        <v/>
      </c>
      <c r="Y310" s="79" t="str">
        <f>IF(AND(OR(N310="131",O310="131"),H310='131-CT'!$H$9),"x","")</f>
        <v/>
      </c>
      <c r="Z310" s="79"/>
      <c r="AA310" s="79" t="str">
        <f>IF(AND(MONTH(E310)='IN-NX'!$J$5,'IN-NX'!$D$7=D310),"x","")</f>
        <v/>
      </c>
      <c r="AB310" s="79" t="str">
        <f>IF(AND(OR(LEFT(TH!N310,2)="15",LEFT(TH!O310,2)="15"),LEFT(TH!O310,3)&lt;&gt;"111",'152-CT'!$J$8=TH!F310),"x","")</f>
        <v/>
      </c>
      <c r="AC310" s="79" t="str">
        <f>IF(AND(OR(LEFT(TH!N310,2)="15",LEFT(TH!O310,2)="15"),TK!$E$7=TH!F310),"x","")</f>
        <v/>
      </c>
      <c r="AD310" s="79" t="str">
        <f>IF(AND(N310="1521",MONTH(C310)='BK-NL'!$M$11),"x","")</f>
        <v/>
      </c>
    </row>
    <row r="311" spans="1:30" ht="16.5" customHeight="1">
      <c r="A311" s="318" t="str">
        <f>IF(B311&lt;&gt;"",IF(AND(B311='IN-TC'!$S$4,OR(TH!N311="1111",TH!O311="1111")),TH!D311,""),"")</f>
        <v/>
      </c>
      <c r="B311" s="1106">
        <f t="shared" si="83"/>
        <v>1</v>
      </c>
      <c r="C311" s="974">
        <v>43102</v>
      </c>
      <c r="D311" s="974" t="s">
        <v>985</v>
      </c>
      <c r="E311" s="974">
        <f t="shared" si="84"/>
        <v>43102</v>
      </c>
      <c r="F311" s="975" t="s">
        <v>814</v>
      </c>
      <c r="G311" s="1018" t="s">
        <v>746</v>
      </c>
      <c r="H311" s="305" t="s">
        <v>963</v>
      </c>
      <c r="I311" s="383"/>
      <c r="J311" s="977"/>
      <c r="K311" s="383">
        <v>30.42</v>
      </c>
      <c r="L311" s="390">
        <v>22699</v>
      </c>
      <c r="M311" s="978">
        <f>ROUND(K311*L311,0)</f>
        <v>690504</v>
      </c>
      <c r="N311" s="979" t="s">
        <v>99</v>
      </c>
      <c r="O311" s="979" t="s">
        <v>256</v>
      </c>
      <c r="P311" s="79" t="str">
        <f>IF(AND('331-CT'!$E$7=TH!H311,OR(N311="331",O311="331")),"x","")</f>
        <v/>
      </c>
      <c r="Q311" s="79" t="str">
        <f>IF(AND(B311='111'!$L$11,OR($N311=$Q$7,$O311=$Q$7)),"x","")</f>
        <v/>
      </c>
      <c r="R311" s="79" t="str">
        <f>IF(AND($N311=$Q$7,$B311&lt;'111'!$L$11),"x","")</f>
        <v/>
      </c>
      <c r="S311" s="79" t="str">
        <f>IF(AND($O311=$Q$7,$B311&lt;'111'!$L$11),"x","")</f>
        <v/>
      </c>
      <c r="T311" s="79" t="str">
        <f>IF(ISERROR(FIND('112'!$M$9,G311,1)),"",IF((AND(FIND('112'!$M$9,G311,1)&gt;=1,B311='112'!$K$9,OR($N311='112'!$I$6,$O311='112'!$I$6))),"x",""))</f>
        <v>x</v>
      </c>
      <c r="U311" s="79" t="str">
        <f>IF(ISERROR(FIND('112'!$M$9,G311,1)),"",IF((AND(LEFT(G311,2)=LEFT('112'!$M$9,2),B311&lt;'112'!$K$9,$N311='112'!$I$6)),"x",""))</f>
        <v/>
      </c>
      <c r="V311" s="79" t="str">
        <f>IF(ISERROR(FIND('112'!$M$9,G311,1)),"",IF((AND(RIGHT(G311,2)=RIGHT('112'!$M$9,2),B311&lt;'112'!$K$9,$O311='112'!$I$6)),"x",""))</f>
        <v/>
      </c>
      <c r="W311" s="79" t="str">
        <f>IF(AND('341-CT'!$H$9=H311,OR(LEFT(N311,3)=$W$7,LEFT(O311,3)=$W$7)),"x","")</f>
        <v/>
      </c>
      <c r="X311" s="79" t="str">
        <f>IF(OR(TH!N311=TH!$X$7,O311=TH!$X$7),"x","")</f>
        <v/>
      </c>
      <c r="Y311" s="79" t="str">
        <f>IF(AND(OR(N311="131",O311="131"),H311='131-CT'!$H$9),"x","")</f>
        <v/>
      </c>
      <c r="Z311" s="79"/>
      <c r="AA311" s="79" t="str">
        <f>IF(AND(MONTH(E311)='IN-NX'!$J$5,'IN-NX'!$D$7=D311),"x","")</f>
        <v/>
      </c>
      <c r="AB311" s="79" t="str">
        <f>IF(AND(OR(LEFT(TH!N311,2)="15",LEFT(TH!O311,2)="15"),LEFT(TH!O311,3)&lt;&gt;"111",'152-CT'!$J$8=TH!F311),"x","")</f>
        <v/>
      </c>
      <c r="AC311" s="79" t="str">
        <f>IF(AND(OR(LEFT(TH!N311,2)="15",LEFT(TH!O311,2)="15"),TK!$E$7=TH!F311),"x","")</f>
        <v/>
      </c>
      <c r="AD311" s="79" t="str">
        <f>IF(AND(N311="1521",MONTH(C311)='BK-NL'!$M$11),"x","")</f>
        <v/>
      </c>
    </row>
    <row r="312" spans="1:30" ht="16.5" customHeight="1">
      <c r="A312" s="318" t="str">
        <f>IF(B312&lt;&gt;"",IF(AND(B312='IN-TC'!$S$4,OR(TH!N312="1111",TH!O312="1111")),TH!D312,""),"")</f>
        <v/>
      </c>
      <c r="B312" s="1106">
        <f t="shared" ref="B312" si="89">IF(C312&lt;&gt;"",MONTH(C312),"")</f>
        <v>1</v>
      </c>
      <c r="C312" s="974">
        <v>43102</v>
      </c>
      <c r="D312" s="974" t="s">
        <v>985</v>
      </c>
      <c r="E312" s="974">
        <f t="shared" ref="E312" si="90">C312</f>
        <v>43102</v>
      </c>
      <c r="F312" s="975" t="s">
        <v>1009</v>
      </c>
      <c r="G312" s="1018" t="s">
        <v>746</v>
      </c>
      <c r="H312" s="305" t="s">
        <v>963</v>
      </c>
      <c r="I312" s="383"/>
      <c r="J312" s="977"/>
      <c r="K312" s="383">
        <v>24890</v>
      </c>
      <c r="L312" s="390">
        <v>22699</v>
      </c>
      <c r="M312" s="978">
        <f>ROUND(K312*L312,0)</f>
        <v>564978110</v>
      </c>
      <c r="N312" s="979" t="s">
        <v>250</v>
      </c>
      <c r="O312" s="979" t="s">
        <v>256</v>
      </c>
      <c r="P312" s="79" t="str">
        <f>IF(AND('331-CT'!$E$7=TH!H312,OR(N312="331",O312="331")),"x","")</f>
        <v/>
      </c>
      <c r="Q312" s="79" t="str">
        <f>IF(AND(B312='111'!$L$11,OR($N312=$Q$7,$O312=$Q$7)),"x","")</f>
        <v/>
      </c>
      <c r="R312" s="79" t="str">
        <f>IF(AND($N312=$Q$7,$B312&lt;'111'!$L$11),"x","")</f>
        <v/>
      </c>
      <c r="S312" s="79" t="str">
        <f>IF(AND($O312=$Q$7,$B312&lt;'111'!$L$11),"x","")</f>
        <v/>
      </c>
      <c r="T312" s="79" t="str">
        <f>IF(ISERROR(FIND('112'!$M$9,G312,1)),"",IF((AND(FIND('112'!$M$9,G312,1)&gt;=1,B312='112'!$K$9,OR($N312='112'!$I$6,$O312='112'!$I$6))),"x",""))</f>
        <v>x</v>
      </c>
      <c r="U312" s="79" t="str">
        <f>IF(ISERROR(FIND('112'!$M$9,G312,1)),"",IF((AND(LEFT(G312,2)=LEFT('112'!$M$9,2),B312&lt;'112'!$K$9,$N312='112'!$I$6)),"x",""))</f>
        <v/>
      </c>
      <c r="V312" s="79" t="str">
        <f>IF(ISERROR(FIND('112'!$M$9,G312,1)),"",IF((AND(RIGHT(G312,2)=RIGHT('112'!$M$9,2),B312&lt;'112'!$K$9,$O312='112'!$I$6)),"x",""))</f>
        <v/>
      </c>
      <c r="W312" s="79" t="str">
        <f>IF(AND('341-CT'!$H$9=H312,OR(LEFT(N312,3)=$W$7,LEFT(O312,3)=$W$7)),"x","")</f>
        <v/>
      </c>
      <c r="X312" s="79" t="str">
        <f>IF(OR(TH!N312=TH!$X$7,O312=TH!$X$7),"x","")</f>
        <v/>
      </c>
      <c r="Y312" s="79" t="str">
        <f>IF(AND(OR(N312="131",O312="131"),H312='131-CT'!$H$9),"x","")</f>
        <v/>
      </c>
      <c r="Z312" s="79"/>
      <c r="AA312" s="79" t="str">
        <f>IF(AND(MONTH(E312)='IN-NX'!$J$5,'IN-NX'!$D$7=D312),"x","")</f>
        <v/>
      </c>
      <c r="AB312" s="79" t="str">
        <f>IF(AND(OR(LEFT(TH!N312,2)="15",LEFT(TH!O312,2)="15"),LEFT(TH!O312,3)&lt;&gt;"111",'152-CT'!$J$8=TH!F312),"x","")</f>
        <v/>
      </c>
      <c r="AC312" s="79" t="str">
        <f>IF(AND(OR(LEFT(TH!N312,2)="15",LEFT(TH!O312,2)="15"),TK!$E$7=TH!F312),"x","")</f>
        <v/>
      </c>
      <c r="AD312" s="79" t="str">
        <f>IF(AND(N312="1521",MONTH(C312)='BK-NL'!$M$11),"x","")</f>
        <v/>
      </c>
    </row>
    <row r="313" spans="1:30" ht="16.5" customHeight="1">
      <c r="A313" s="318" t="str">
        <f>IF(B313&lt;&gt;"",IF(AND(B313='IN-TC'!$S$4,OR(TH!N313="1111",TH!O313="1111")),TH!D313,""),"")</f>
        <v/>
      </c>
      <c r="B313" s="1106">
        <f t="shared" ref="B313:B318" si="91">IF(C313&lt;&gt;"",MONTH(C313),"")</f>
        <v>1</v>
      </c>
      <c r="C313" s="974">
        <v>43102</v>
      </c>
      <c r="D313" s="974" t="s">
        <v>532</v>
      </c>
      <c r="E313" s="974">
        <f t="shared" ref="E313:E318" si="92">C313</f>
        <v>43102</v>
      </c>
      <c r="F313" s="975" t="s">
        <v>1008</v>
      </c>
      <c r="G313" s="1018" t="s">
        <v>746</v>
      </c>
      <c r="H313" s="305" t="s">
        <v>963</v>
      </c>
      <c r="I313" s="383"/>
      <c r="J313" s="977"/>
      <c r="K313" s="383"/>
      <c r="L313" s="390"/>
      <c r="M313" s="978">
        <v>74670</v>
      </c>
      <c r="N313" s="979" t="s">
        <v>250</v>
      </c>
      <c r="O313" s="979" t="s">
        <v>43</v>
      </c>
      <c r="P313" s="79" t="str">
        <f>IF(AND('331-CT'!$E$7=TH!H313,OR(N313="331",O313="331")),"x","")</f>
        <v/>
      </c>
      <c r="Q313" s="79" t="str">
        <f>IF(AND(B313='111'!$L$11,OR($N313=$Q$7,$O313=$Q$7)),"x","")</f>
        <v/>
      </c>
      <c r="R313" s="79" t="str">
        <f>IF(AND($N313=$Q$7,$B313&lt;'111'!$L$11),"x","")</f>
        <v/>
      </c>
      <c r="S313" s="79" t="str">
        <f>IF(AND($O313=$Q$7,$B313&lt;'111'!$L$11),"x","")</f>
        <v/>
      </c>
      <c r="T313" s="79" t="str">
        <f>IF(ISERROR(FIND('112'!$M$9,G313,1)),"",IF((AND(FIND('112'!$M$9,G313,1)&gt;=1,B313='112'!$K$9,OR($N313='112'!$I$6,$O313='112'!$I$6))),"x",""))</f>
        <v/>
      </c>
      <c r="U313" s="79" t="str">
        <f>IF(ISERROR(FIND('112'!$M$9,G313,1)),"",IF((AND(LEFT(G313,2)=LEFT('112'!$M$9,2),B313&lt;'112'!$K$9,$N313='112'!$I$6)),"x",""))</f>
        <v/>
      </c>
      <c r="V313" s="79" t="str">
        <f>IF(ISERROR(FIND('112'!$M$9,G313,1)),"",IF((AND(RIGHT(G313,2)=RIGHT('112'!$M$9,2),B313&lt;'112'!$K$9,$O313='112'!$I$6)),"x",""))</f>
        <v/>
      </c>
      <c r="W313" s="79" t="str">
        <f>IF(AND('341-CT'!$H$9=H313,OR(LEFT(N313,3)=$W$7,LEFT(O313,3)=$W$7)),"x","")</f>
        <v/>
      </c>
      <c r="X313" s="79" t="str">
        <f>IF(OR(TH!N313=TH!$X$7,O313=TH!$X$7),"x","")</f>
        <v/>
      </c>
      <c r="Y313" s="79" t="str">
        <f>IF(AND(OR(N313="131",O313="131"),H313='131-CT'!$H$9),"x","")</f>
        <v/>
      </c>
      <c r="Z313" s="79"/>
      <c r="AA313" s="79" t="str">
        <f>IF(AND(MONTH(E313)='IN-NX'!$J$5,'IN-NX'!$D$7=D313),"x","")</f>
        <v/>
      </c>
      <c r="AB313" s="79" t="str">
        <f>IF(AND(OR(LEFT(TH!N313,2)="15",LEFT(TH!O313,2)="15"),LEFT(TH!O313,3)&lt;&gt;"111",'152-CT'!$J$8=TH!F313),"x","")</f>
        <v/>
      </c>
      <c r="AC313" s="79" t="str">
        <f>IF(AND(OR(LEFT(TH!N313,2)="15",LEFT(TH!O313,2)="15"),TK!$E$7=TH!F313),"x","")</f>
        <v/>
      </c>
      <c r="AD313" s="79" t="str">
        <f>IF(AND(N313="1521",MONTH(C313)='BK-NL'!$M$11),"x","")</f>
        <v/>
      </c>
    </row>
    <row r="314" spans="1:30" ht="16.5" customHeight="1">
      <c r="A314" s="318" t="str">
        <f>IF(B314&lt;&gt;"",IF(AND(B314='IN-TC'!$S$4,OR(TH!N314="1111",TH!O314="1111")),TH!D314,""),"")</f>
        <v/>
      </c>
      <c r="B314" s="1106">
        <f t="shared" si="91"/>
        <v>1</v>
      </c>
      <c r="C314" s="974">
        <v>43104</v>
      </c>
      <c r="D314" s="974" t="s">
        <v>989</v>
      </c>
      <c r="E314" s="974">
        <f t="shared" si="92"/>
        <v>43104</v>
      </c>
      <c r="F314" s="975" t="s">
        <v>1006</v>
      </c>
      <c r="G314" s="1018" t="s">
        <v>746</v>
      </c>
      <c r="H314" s="305" t="s">
        <v>852</v>
      </c>
      <c r="I314" s="383"/>
      <c r="J314" s="977"/>
      <c r="K314" s="383">
        <v>27370</v>
      </c>
      <c r="L314" s="390">
        <v>22699</v>
      </c>
      <c r="M314" s="978">
        <f>ROUND(K314*L314,0)</f>
        <v>621271630</v>
      </c>
      <c r="N314" s="979" t="s">
        <v>256</v>
      </c>
      <c r="O314" s="979" t="s">
        <v>537</v>
      </c>
      <c r="P314" s="79" t="str">
        <f>IF(AND('331-CT'!$E$7=TH!H314,OR(N314="331",O314="331")),"x","")</f>
        <v/>
      </c>
      <c r="Q314" s="79" t="str">
        <f>IF(AND(B314='111'!$L$11,OR($N314=$Q$7,$O314=$Q$7)),"x","")</f>
        <v/>
      </c>
      <c r="R314" s="79" t="str">
        <f>IF(AND($N314=$Q$7,$B314&lt;'111'!$L$11),"x","")</f>
        <v/>
      </c>
      <c r="S314" s="79" t="str">
        <f>IF(AND($O314=$Q$7,$B314&lt;'111'!$L$11),"x","")</f>
        <v/>
      </c>
      <c r="T314" s="79" t="str">
        <f>IF(ISERROR(FIND('112'!$M$9,G314,1)),"",IF((AND(FIND('112'!$M$9,G314,1)&gt;=1,B314='112'!$K$9,OR($N314='112'!$I$6,$O314='112'!$I$6))),"x",""))</f>
        <v>x</v>
      </c>
      <c r="U314" s="79" t="str">
        <f>IF(ISERROR(FIND('112'!$M$9,G314,1)),"",IF((AND(LEFT(G314,2)=LEFT('112'!$M$9,2),B314&lt;'112'!$K$9,$N314='112'!$I$6)),"x",""))</f>
        <v/>
      </c>
      <c r="V314" s="79" t="str">
        <f>IF(ISERROR(FIND('112'!$M$9,G314,1)),"",IF((AND(RIGHT(G314,2)=RIGHT('112'!$M$9,2),B314&lt;'112'!$K$9,$O314='112'!$I$6)),"x",""))</f>
        <v/>
      </c>
      <c r="W314" s="79" t="str">
        <f>IF(AND('341-CT'!$H$9=H314,OR(LEFT(N314,3)=$W$7,LEFT(O314,3)=$W$7)),"x","")</f>
        <v/>
      </c>
      <c r="X314" s="79" t="str">
        <f>IF(OR(TH!N314=TH!$X$7,O314=TH!$X$7),"x","")</f>
        <v/>
      </c>
      <c r="Y314" s="79" t="str">
        <f>IF(AND(OR(N314="131",O314="131"),H314='131-CT'!$H$9),"x","")</f>
        <v/>
      </c>
      <c r="Z314" s="79"/>
      <c r="AA314" s="79" t="str">
        <f>IF(AND(MONTH(E314)='IN-NX'!$J$5,'IN-NX'!$D$7=D314),"x","")</f>
        <v/>
      </c>
      <c r="AB314" s="79" t="str">
        <f>IF(AND(OR(LEFT(TH!N314,2)="15",LEFT(TH!O314,2)="15"),LEFT(TH!O314,3)&lt;&gt;"111",'152-CT'!$J$8=TH!F314),"x","")</f>
        <v/>
      </c>
      <c r="AC314" s="79" t="str">
        <f>IF(AND(OR(LEFT(TH!N314,2)="15",LEFT(TH!O314,2)="15"),TK!$E$7=TH!F314),"x","")</f>
        <v/>
      </c>
      <c r="AD314" s="79" t="str">
        <f>IF(AND(N314="1521",MONTH(C314)='BK-NL'!$M$11),"x","")</f>
        <v/>
      </c>
    </row>
    <row r="315" spans="1:30" ht="16.5" customHeight="1">
      <c r="A315" s="318" t="str">
        <f>IF(B315&lt;&gt;"",IF(AND(B315='IN-TC'!$S$4,OR(TH!N315="1111",TH!O315="1111")),TH!D315,""),"")</f>
        <v/>
      </c>
      <c r="B315" s="1106">
        <f t="shared" si="91"/>
        <v>1</v>
      </c>
      <c r="C315" s="974">
        <v>43104</v>
      </c>
      <c r="D315" s="974" t="s">
        <v>532</v>
      </c>
      <c r="E315" s="974">
        <f t="shared" si="92"/>
        <v>43104</v>
      </c>
      <c r="F315" s="975" t="s">
        <v>1007</v>
      </c>
      <c r="G315" s="1018" t="s">
        <v>746</v>
      </c>
      <c r="H315" s="305" t="s">
        <v>852</v>
      </c>
      <c r="I315" s="383"/>
      <c r="J315" s="977"/>
      <c r="K315" s="383">
        <v>230</v>
      </c>
      <c r="L315" s="390">
        <v>22699</v>
      </c>
      <c r="M315" s="978">
        <f>ROUND(K315*L315,0)</f>
        <v>5220770</v>
      </c>
      <c r="N315" s="979" t="s">
        <v>101</v>
      </c>
      <c r="O315" s="979" t="s">
        <v>537</v>
      </c>
      <c r="P315" s="79" t="str">
        <f>IF(AND('331-CT'!$E$7=TH!H315,OR(N315="331",O315="331")),"x","")</f>
        <v/>
      </c>
      <c r="Q315" s="79" t="str">
        <f>IF(AND(B315='111'!$L$11,OR($N315=$Q$7,$O315=$Q$7)),"x","")</f>
        <v/>
      </c>
      <c r="R315" s="79" t="str">
        <f>IF(AND($N315=$Q$7,$B315&lt;'111'!$L$11),"x","")</f>
        <v/>
      </c>
      <c r="S315" s="79" t="str">
        <f>IF(AND($O315=$Q$7,$B315&lt;'111'!$L$11),"x","")</f>
        <v/>
      </c>
      <c r="T315" s="79" t="str">
        <f>IF(ISERROR(FIND('112'!$M$9,G315,1)),"",IF((AND(FIND('112'!$M$9,G315,1)&gt;=1,B315='112'!$K$9,OR($N315='112'!$I$6,$O315='112'!$I$6))),"x",""))</f>
        <v/>
      </c>
      <c r="U315" s="79" t="str">
        <f>IF(ISERROR(FIND('112'!$M$9,G315,1)),"",IF((AND(LEFT(G315,2)=LEFT('112'!$M$9,2),B315&lt;'112'!$K$9,$N315='112'!$I$6)),"x",""))</f>
        <v/>
      </c>
      <c r="V315" s="79" t="str">
        <f>IF(ISERROR(FIND('112'!$M$9,G315,1)),"",IF((AND(RIGHT(G315,2)=RIGHT('112'!$M$9,2),B315&lt;'112'!$K$9,$O315='112'!$I$6)),"x",""))</f>
        <v/>
      </c>
      <c r="W315" s="79" t="str">
        <f>IF(AND('341-CT'!$H$9=H315,OR(LEFT(N315,3)=$W$7,LEFT(O315,3)=$W$7)),"x","")</f>
        <v/>
      </c>
      <c r="X315" s="79" t="str">
        <f>IF(OR(TH!N315=TH!$X$7,O315=TH!$X$7),"x","")</f>
        <v/>
      </c>
      <c r="Y315" s="79" t="str">
        <f>IF(AND(OR(N315="131",O315="131"),H315='131-CT'!$H$9),"x","")</f>
        <v/>
      </c>
      <c r="Z315" s="79"/>
      <c r="AA315" s="79" t="str">
        <f>IF(AND(MONTH(E315)='IN-NX'!$J$5,'IN-NX'!$D$7=D315),"x","")</f>
        <v/>
      </c>
      <c r="AB315" s="79" t="str">
        <f>IF(AND(OR(LEFT(TH!N315,2)="15",LEFT(TH!O315,2)="15"),LEFT(TH!O315,3)&lt;&gt;"111",'152-CT'!$J$8=TH!F315),"x","")</f>
        <v/>
      </c>
      <c r="AC315" s="79" t="str">
        <f>IF(AND(OR(LEFT(TH!N315,2)="15",LEFT(TH!O315,2)="15"),TK!$E$7=TH!F315),"x","")</f>
        <v/>
      </c>
      <c r="AD315" s="79" t="str">
        <f>IF(AND(N315="1521",MONTH(C315)='BK-NL'!$M$11),"x","")</f>
        <v/>
      </c>
    </row>
    <row r="316" spans="1:30" ht="16.5" customHeight="1">
      <c r="A316" s="318" t="str">
        <f>IF(B316&lt;&gt;"",IF(AND(B316='IN-TC'!$S$4,OR(TH!N316="1111",TH!O316="1111")),TH!D316,""),"")</f>
        <v/>
      </c>
      <c r="B316" s="1106">
        <f t="shared" si="91"/>
        <v>1</v>
      </c>
      <c r="C316" s="974">
        <v>43104</v>
      </c>
      <c r="D316" s="974" t="s">
        <v>532</v>
      </c>
      <c r="E316" s="974">
        <f t="shared" si="92"/>
        <v>43104</v>
      </c>
      <c r="F316" s="975" t="s">
        <v>1008</v>
      </c>
      <c r="G316" s="1018" t="s">
        <v>746</v>
      </c>
      <c r="H316" s="305" t="s">
        <v>852</v>
      </c>
      <c r="I316" s="383"/>
      <c r="J316" s="977"/>
      <c r="K316" s="383"/>
      <c r="L316" s="390"/>
      <c r="M316" s="978">
        <v>524400</v>
      </c>
      <c r="N316" s="979" t="s">
        <v>537</v>
      </c>
      <c r="O316" s="979" t="s">
        <v>43</v>
      </c>
      <c r="P316" s="79" t="str">
        <f>IF(AND('331-CT'!$E$7=TH!H316,OR(N316="331",O316="331")),"x","")</f>
        <v/>
      </c>
      <c r="Q316" s="79" t="str">
        <f>IF(AND(B316='111'!$L$11,OR($N316=$Q$7,$O316=$Q$7)),"x","")</f>
        <v/>
      </c>
      <c r="R316" s="79" t="str">
        <f>IF(AND($N316=$Q$7,$B316&lt;'111'!$L$11),"x","")</f>
        <v/>
      </c>
      <c r="S316" s="79" t="str">
        <f>IF(AND($O316=$Q$7,$B316&lt;'111'!$L$11),"x","")</f>
        <v/>
      </c>
      <c r="T316" s="79" t="str">
        <f>IF(ISERROR(FIND('112'!$M$9,G316,1)),"",IF((AND(FIND('112'!$M$9,G316,1)&gt;=1,B316='112'!$K$9,OR($N316='112'!$I$6,$O316='112'!$I$6))),"x",""))</f>
        <v/>
      </c>
      <c r="U316" s="79" t="str">
        <f>IF(ISERROR(FIND('112'!$M$9,G316,1)),"",IF((AND(LEFT(G316,2)=LEFT('112'!$M$9,2),B316&lt;'112'!$K$9,$N316='112'!$I$6)),"x",""))</f>
        <v/>
      </c>
      <c r="V316" s="79" t="str">
        <f>IF(ISERROR(FIND('112'!$M$9,G316,1)),"",IF((AND(RIGHT(G316,2)=RIGHT('112'!$M$9,2),B316&lt;'112'!$K$9,$O316='112'!$I$6)),"x",""))</f>
        <v/>
      </c>
      <c r="W316" s="79" t="str">
        <f>IF(AND('341-CT'!$H$9=H316,OR(LEFT(N316,3)=$W$7,LEFT(O316,3)=$W$7)),"x","")</f>
        <v/>
      </c>
      <c r="X316" s="79" t="str">
        <f>IF(OR(TH!N316=TH!$X$7,O316=TH!$X$7),"x","")</f>
        <v/>
      </c>
      <c r="Y316" s="79" t="str">
        <f>IF(AND(OR(N316="131",O316="131"),H316='131-CT'!$H$9),"x","")</f>
        <v/>
      </c>
      <c r="Z316" s="79"/>
      <c r="AA316" s="79" t="str">
        <f>IF(AND(MONTH(E316)='IN-NX'!$J$5,'IN-NX'!$D$7=D316),"x","")</f>
        <v/>
      </c>
      <c r="AB316" s="79" t="str">
        <f>IF(AND(OR(LEFT(TH!N316,2)="15",LEFT(TH!O316,2)="15"),LEFT(TH!O316,3)&lt;&gt;"111",'152-CT'!$J$8=TH!F316),"x","")</f>
        <v/>
      </c>
      <c r="AC316" s="79" t="str">
        <f>IF(AND(OR(LEFT(TH!N316,2)="15",LEFT(TH!O316,2)="15"),TK!$E$7=TH!F316),"x","")</f>
        <v/>
      </c>
      <c r="AD316" s="79" t="str">
        <f>IF(AND(N316="1521",MONTH(C316)='BK-NL'!$M$11),"x","")</f>
        <v/>
      </c>
    </row>
    <row r="317" spans="1:30" ht="16.5" customHeight="1">
      <c r="A317" s="318" t="str">
        <f>IF(B317&lt;&gt;"",IF(AND(B317='IN-TC'!$S$4,OR(TH!N317="1111",TH!O317="1111")),TH!D317,""),"")</f>
        <v/>
      </c>
      <c r="B317" s="1106">
        <f t="shared" si="91"/>
        <v>1</v>
      </c>
      <c r="C317" s="974">
        <v>43104</v>
      </c>
      <c r="D317" s="974" t="s">
        <v>985</v>
      </c>
      <c r="E317" s="974">
        <f t="shared" si="92"/>
        <v>43104</v>
      </c>
      <c r="F317" s="975" t="s">
        <v>814</v>
      </c>
      <c r="G317" s="1018" t="s">
        <v>746</v>
      </c>
      <c r="H317" s="305" t="s">
        <v>968</v>
      </c>
      <c r="I317" s="383"/>
      <c r="J317" s="977"/>
      <c r="K317" s="383">
        <v>20.38</v>
      </c>
      <c r="L317" s="390">
        <v>22699</v>
      </c>
      <c r="M317" s="978">
        <f>ROUND(K317*L317,0)</f>
        <v>462606</v>
      </c>
      <c r="N317" s="979" t="s">
        <v>99</v>
      </c>
      <c r="O317" s="979" t="s">
        <v>256</v>
      </c>
      <c r="P317" s="79" t="str">
        <f>IF(AND('331-CT'!$E$7=TH!H317,OR(N317="331",O317="331")),"x","")</f>
        <v/>
      </c>
      <c r="Q317" s="79" t="str">
        <f>IF(AND(B317='111'!$L$11,OR($N317=$Q$7,$O317=$Q$7)),"x","")</f>
        <v/>
      </c>
      <c r="R317" s="79" t="str">
        <f>IF(AND($N317=$Q$7,$B317&lt;'111'!$L$11),"x","")</f>
        <v/>
      </c>
      <c r="S317" s="79" t="str">
        <f>IF(AND($O317=$Q$7,$B317&lt;'111'!$L$11),"x","")</f>
        <v/>
      </c>
      <c r="T317" s="79" t="str">
        <f>IF(ISERROR(FIND('112'!$M$9,G317,1)),"",IF((AND(FIND('112'!$M$9,G317,1)&gt;=1,B317='112'!$K$9,OR($N317='112'!$I$6,$O317='112'!$I$6))),"x",""))</f>
        <v>x</v>
      </c>
      <c r="U317" s="79" t="str">
        <f>IF(ISERROR(FIND('112'!$M$9,G317,1)),"",IF((AND(LEFT(G317,2)=LEFT('112'!$M$9,2),B317&lt;'112'!$K$9,$N317='112'!$I$6)),"x",""))</f>
        <v/>
      </c>
      <c r="V317" s="79" t="str">
        <f>IF(ISERROR(FIND('112'!$M$9,G317,1)),"",IF((AND(RIGHT(G317,2)=RIGHT('112'!$M$9,2),B317&lt;'112'!$K$9,$O317='112'!$I$6)),"x",""))</f>
        <v/>
      </c>
      <c r="W317" s="79" t="str">
        <f>IF(AND('341-CT'!$H$9=H317,OR(LEFT(N317,3)=$W$7,LEFT(O317,3)=$W$7)),"x","")</f>
        <v/>
      </c>
      <c r="X317" s="79" t="str">
        <f>IF(OR(TH!N317=TH!$X$7,O317=TH!$X$7),"x","")</f>
        <v/>
      </c>
      <c r="Y317" s="79" t="str">
        <f>IF(AND(OR(N317="131",O317="131"),H317='131-CT'!$H$9),"x","")</f>
        <v/>
      </c>
      <c r="Z317" s="79"/>
      <c r="AA317" s="79" t="str">
        <f>IF(AND(MONTH(E317)='IN-NX'!$J$5,'IN-NX'!$D$7=D317),"x","")</f>
        <v/>
      </c>
      <c r="AB317" s="79" t="str">
        <f>IF(AND(OR(LEFT(TH!N317,2)="15",LEFT(TH!O317,2)="15"),LEFT(TH!O317,3)&lt;&gt;"111",'152-CT'!$J$8=TH!F317),"x","")</f>
        <v/>
      </c>
      <c r="AC317" s="79" t="str">
        <f>IF(AND(OR(LEFT(TH!N317,2)="15",LEFT(TH!O317,2)="15"),TK!$E$7=TH!F317),"x","")</f>
        <v/>
      </c>
      <c r="AD317" s="79" t="str">
        <f>IF(AND(N317="1521",MONTH(C317)='BK-NL'!$M$11),"x","")</f>
        <v/>
      </c>
    </row>
    <row r="318" spans="1:30" ht="16.5" customHeight="1">
      <c r="A318" s="318" t="str">
        <f>IF(B318&lt;&gt;"",IF(AND(B318='IN-TC'!$S$4,OR(TH!N318="1111",TH!O318="1111")),TH!D318,""),"")</f>
        <v/>
      </c>
      <c r="B318" s="1106">
        <f t="shared" si="91"/>
        <v>1</v>
      </c>
      <c r="C318" s="974">
        <v>43104</v>
      </c>
      <c r="D318" s="974" t="s">
        <v>985</v>
      </c>
      <c r="E318" s="974">
        <f t="shared" si="92"/>
        <v>43104</v>
      </c>
      <c r="F318" s="975" t="s">
        <v>1009</v>
      </c>
      <c r="G318" s="1018" t="s">
        <v>746</v>
      </c>
      <c r="H318" s="305" t="s">
        <v>968</v>
      </c>
      <c r="I318" s="383"/>
      <c r="J318" s="977"/>
      <c r="K318" s="383">
        <v>26200</v>
      </c>
      <c r="L318" s="390">
        <v>22699</v>
      </c>
      <c r="M318" s="978">
        <f>ROUND(K318*L318,0)</f>
        <v>594713800</v>
      </c>
      <c r="N318" s="979" t="s">
        <v>250</v>
      </c>
      <c r="O318" s="979" t="s">
        <v>256</v>
      </c>
      <c r="P318" s="79" t="str">
        <f>IF(AND('331-CT'!$E$7=TH!H318,OR(N318="331",O318="331")),"x","")</f>
        <v/>
      </c>
      <c r="Q318" s="79" t="str">
        <f>IF(AND(B318='111'!$L$11,OR($N318=$Q$7,$O318=$Q$7)),"x","")</f>
        <v/>
      </c>
      <c r="R318" s="79" t="str">
        <f>IF(AND($N318=$Q$7,$B318&lt;'111'!$L$11),"x","")</f>
        <v/>
      </c>
      <c r="S318" s="79" t="str">
        <f>IF(AND($O318=$Q$7,$B318&lt;'111'!$L$11),"x","")</f>
        <v/>
      </c>
      <c r="T318" s="79" t="str">
        <f>IF(ISERROR(FIND('112'!$M$9,G318,1)),"",IF((AND(FIND('112'!$M$9,G318,1)&gt;=1,B318='112'!$K$9,OR($N318='112'!$I$6,$O318='112'!$I$6))),"x",""))</f>
        <v>x</v>
      </c>
      <c r="U318" s="79" t="str">
        <f>IF(ISERROR(FIND('112'!$M$9,G318,1)),"",IF((AND(LEFT(G318,2)=LEFT('112'!$M$9,2),B318&lt;'112'!$K$9,$N318='112'!$I$6)),"x",""))</f>
        <v/>
      </c>
      <c r="V318" s="79" t="str">
        <f>IF(ISERROR(FIND('112'!$M$9,G318,1)),"",IF((AND(RIGHT(G318,2)=RIGHT('112'!$M$9,2),B318&lt;'112'!$K$9,$O318='112'!$I$6)),"x",""))</f>
        <v/>
      </c>
      <c r="W318" s="79" t="str">
        <f>IF(AND('341-CT'!$H$9=H318,OR(LEFT(N318,3)=$W$7,LEFT(O318,3)=$W$7)),"x","")</f>
        <v/>
      </c>
      <c r="X318" s="79" t="str">
        <f>IF(OR(TH!N318=TH!$X$7,O318=TH!$X$7),"x","")</f>
        <v/>
      </c>
      <c r="Y318" s="79" t="str">
        <f>IF(AND(OR(N318="131",O318="131"),H318='131-CT'!$H$9),"x","")</f>
        <v/>
      </c>
      <c r="Z318" s="79"/>
      <c r="AA318" s="79" t="str">
        <f>IF(AND(MONTH(E318)='IN-NX'!$J$5,'IN-NX'!$D$7=D318),"x","")</f>
        <v/>
      </c>
      <c r="AB318" s="79" t="str">
        <f>IF(AND(OR(LEFT(TH!N318,2)="15",LEFT(TH!O318,2)="15"),LEFT(TH!O318,3)&lt;&gt;"111",'152-CT'!$J$8=TH!F318),"x","")</f>
        <v/>
      </c>
      <c r="AC318" s="79" t="str">
        <f>IF(AND(OR(LEFT(TH!N318,2)="15",LEFT(TH!O318,2)="15"),TK!$E$7=TH!F318),"x","")</f>
        <v/>
      </c>
      <c r="AD318" s="79" t="str">
        <f>IF(AND(N318="1521",MONTH(C318)='BK-NL'!$M$11),"x","")</f>
        <v/>
      </c>
    </row>
    <row r="319" spans="1:30" ht="16.5" customHeight="1">
      <c r="A319" s="318" t="str">
        <f>IF(B319&lt;&gt;"",IF(AND(B319='IN-TC'!$S$4,OR(TH!N319="1111",TH!O319="1111")),TH!D319,""),"")</f>
        <v/>
      </c>
      <c r="B319" s="1106">
        <f t="shared" ref="B319" si="93">IF(C319&lt;&gt;"",MONTH(C319),"")</f>
        <v>1</v>
      </c>
      <c r="C319" s="974">
        <v>43104</v>
      </c>
      <c r="D319" s="974" t="s">
        <v>532</v>
      </c>
      <c r="E319" s="974">
        <f t="shared" ref="E319" si="94">C319</f>
        <v>43104</v>
      </c>
      <c r="F319" s="975" t="s">
        <v>1008</v>
      </c>
      <c r="G319" s="1018" t="s">
        <v>746</v>
      </c>
      <c r="H319" s="305" t="s">
        <v>968</v>
      </c>
      <c r="I319" s="383"/>
      <c r="J319" s="977"/>
      <c r="K319" s="383"/>
      <c r="L319" s="390"/>
      <c r="M319" s="978">
        <v>26200</v>
      </c>
      <c r="N319" s="979" t="s">
        <v>250</v>
      </c>
      <c r="O319" s="979" t="s">
        <v>43</v>
      </c>
      <c r="P319" s="79" t="str">
        <f>IF(AND('331-CT'!$E$7=TH!H319,OR(N319="331",O319="331")),"x","")</f>
        <v/>
      </c>
      <c r="Q319" s="79" t="str">
        <f>IF(AND(B319='111'!$L$11,OR($N319=$Q$7,$O319=$Q$7)),"x","")</f>
        <v/>
      </c>
      <c r="R319" s="79" t="str">
        <f>IF(AND($N319=$Q$7,$B319&lt;'111'!$L$11),"x","")</f>
        <v/>
      </c>
      <c r="S319" s="79" t="str">
        <f>IF(AND($O319=$Q$7,$B319&lt;'111'!$L$11),"x","")</f>
        <v/>
      </c>
      <c r="T319" s="79" t="str">
        <f>IF(ISERROR(FIND('112'!$M$9,G319,1)),"",IF((AND(FIND('112'!$M$9,G319,1)&gt;=1,B319='112'!$K$9,OR($N319='112'!$I$6,$O319='112'!$I$6))),"x",""))</f>
        <v/>
      </c>
      <c r="U319" s="79" t="str">
        <f>IF(ISERROR(FIND('112'!$M$9,G319,1)),"",IF((AND(LEFT(G319,2)=LEFT('112'!$M$9,2),B319&lt;'112'!$K$9,$N319='112'!$I$6)),"x",""))</f>
        <v/>
      </c>
      <c r="V319" s="79" t="str">
        <f>IF(ISERROR(FIND('112'!$M$9,G319,1)),"",IF((AND(RIGHT(G319,2)=RIGHT('112'!$M$9,2),B319&lt;'112'!$K$9,$O319='112'!$I$6)),"x",""))</f>
        <v/>
      </c>
      <c r="W319" s="79" t="str">
        <f>IF(AND('341-CT'!$H$9=H319,OR(LEFT(N319,3)=$W$7,LEFT(O319,3)=$W$7)),"x","")</f>
        <v/>
      </c>
      <c r="X319" s="79" t="str">
        <f>IF(OR(TH!N319=TH!$X$7,O319=TH!$X$7),"x","")</f>
        <v/>
      </c>
      <c r="Y319" s="79" t="str">
        <f>IF(AND(OR(N319="131",O319="131"),H319='131-CT'!$H$9),"x","")</f>
        <v/>
      </c>
      <c r="Z319" s="79"/>
      <c r="AA319" s="79" t="str">
        <f>IF(AND(MONTH(E319)='IN-NX'!$J$5,'IN-NX'!$D$7=D319),"x","")</f>
        <v/>
      </c>
      <c r="AB319" s="79" t="str">
        <f>IF(AND(OR(LEFT(TH!N319,2)="15",LEFT(TH!O319,2)="15"),LEFT(TH!O319,3)&lt;&gt;"111",'152-CT'!$J$8=TH!F319),"x","")</f>
        <v/>
      </c>
      <c r="AC319" s="79" t="str">
        <f>IF(AND(OR(LEFT(TH!N319,2)="15",LEFT(TH!O319,2)="15"),TK!$E$7=TH!F319),"x","")</f>
        <v/>
      </c>
      <c r="AD319" s="79" t="str">
        <f>IF(AND(N319="1521",MONTH(C319)='BK-NL'!$M$11),"x","")</f>
        <v/>
      </c>
    </row>
    <row r="320" spans="1:30" ht="16.5" customHeight="1">
      <c r="A320" s="318" t="str">
        <f>IF(B320&lt;&gt;"",IF(AND(B320='IN-TC'!$S$4,OR(TH!N320="1111",TH!O320="1111")),TH!D320,""),"")</f>
        <v/>
      </c>
      <c r="B320" s="1106">
        <f t="shared" si="83"/>
        <v>1</v>
      </c>
      <c r="C320" s="974">
        <v>43104</v>
      </c>
      <c r="D320" s="974" t="s">
        <v>989</v>
      </c>
      <c r="E320" s="974">
        <f t="shared" si="84"/>
        <v>43104</v>
      </c>
      <c r="F320" s="975" t="s">
        <v>1049</v>
      </c>
      <c r="G320" s="1018" t="s">
        <v>746</v>
      </c>
      <c r="H320" s="305" t="s">
        <v>1010</v>
      </c>
      <c r="I320" s="383"/>
      <c r="J320" s="977"/>
      <c r="K320" s="383">
        <v>63000</v>
      </c>
      <c r="L320" s="390">
        <v>22699</v>
      </c>
      <c r="M320" s="978">
        <f>ROUND(K320*L320,0)</f>
        <v>1430037000</v>
      </c>
      <c r="N320" s="979" t="s">
        <v>256</v>
      </c>
      <c r="O320" s="979" t="s">
        <v>250</v>
      </c>
      <c r="P320" s="79" t="str">
        <f>IF(AND('331-CT'!$E$7=TH!H320,OR(N320="331",O320="331")),"x","")</f>
        <v/>
      </c>
      <c r="Q320" s="79" t="str">
        <f>IF(AND(B320='111'!$L$11,OR($N320=$Q$7,$O320=$Q$7)),"x","")</f>
        <v/>
      </c>
      <c r="R320" s="79" t="str">
        <f>IF(AND($N320=$Q$7,$B320&lt;'111'!$L$11),"x","")</f>
        <v/>
      </c>
      <c r="S320" s="79" t="str">
        <f>IF(AND($O320=$Q$7,$B320&lt;'111'!$L$11),"x","")</f>
        <v/>
      </c>
      <c r="T320" s="79" t="str">
        <f>IF(ISERROR(FIND('112'!$M$9,G320,1)),"",IF((AND(FIND('112'!$M$9,G320,1)&gt;=1,B320='112'!$K$9,OR($N320='112'!$I$6,$O320='112'!$I$6))),"x",""))</f>
        <v>x</v>
      </c>
      <c r="U320" s="79" t="str">
        <f>IF(ISERROR(FIND('112'!$M$9,G320,1)),"",IF((AND(LEFT(G320,2)=LEFT('112'!$M$9,2),B320&lt;'112'!$K$9,$N320='112'!$I$6)),"x",""))</f>
        <v/>
      </c>
      <c r="V320" s="79" t="str">
        <f>IF(ISERROR(FIND('112'!$M$9,G320,1)),"",IF((AND(RIGHT(G320,2)=RIGHT('112'!$M$9,2),B320&lt;'112'!$K$9,$O320='112'!$I$6)),"x",""))</f>
        <v/>
      </c>
      <c r="W320" s="79" t="str">
        <f>IF(AND('341-CT'!$H$9=H320,OR(LEFT(N320,3)=$W$7,LEFT(O320,3)=$W$7)),"x","")</f>
        <v/>
      </c>
      <c r="X320" s="79" t="str">
        <f>IF(OR(TH!N320=TH!$X$7,O320=TH!$X$7),"x","")</f>
        <v/>
      </c>
      <c r="Y320" s="79" t="str">
        <f>IF(AND(OR(N320="131",O320="131"),H320='131-CT'!$H$9),"x","")</f>
        <v/>
      </c>
      <c r="Z320" s="79"/>
      <c r="AA320" s="79" t="str">
        <f>IF(AND(MONTH(E320)='IN-NX'!$J$5,'IN-NX'!$D$7=D320),"x","")</f>
        <v/>
      </c>
      <c r="AB320" s="79" t="str">
        <f>IF(AND(OR(LEFT(TH!N320,2)="15",LEFT(TH!O320,2)="15"),LEFT(TH!O320,3)&lt;&gt;"111",'152-CT'!$J$8=TH!F320),"x","")</f>
        <v/>
      </c>
      <c r="AC320" s="79" t="str">
        <f>IF(AND(OR(LEFT(TH!N320,2)="15",LEFT(TH!O320,2)="15"),TK!$E$7=TH!F320),"x","")</f>
        <v/>
      </c>
      <c r="AD320" s="79" t="str">
        <f>IF(AND(N320="1521",MONTH(C320)='BK-NL'!$M$11),"x","")</f>
        <v/>
      </c>
    </row>
    <row r="321" spans="1:31" ht="16.5" customHeight="1">
      <c r="A321" s="318" t="str">
        <f>IF(B321&lt;&gt;"",IF(AND(B321='IN-TC'!$S$4,OR(TH!N321="1111",TH!O321="1111")),TH!D321,""),"")</f>
        <v/>
      </c>
      <c r="B321" s="1106">
        <f t="shared" si="83"/>
        <v>1</v>
      </c>
      <c r="C321" s="974">
        <v>43104</v>
      </c>
      <c r="D321" s="974" t="s">
        <v>985</v>
      </c>
      <c r="E321" s="974">
        <f t="shared" si="84"/>
        <v>43104</v>
      </c>
      <c r="F321" s="975" t="s">
        <v>814</v>
      </c>
      <c r="G321" s="1018" t="s">
        <v>746</v>
      </c>
      <c r="H321" s="77" t="s">
        <v>860</v>
      </c>
      <c r="I321" s="383"/>
      <c r="J321" s="977"/>
      <c r="K321" s="383">
        <v>91</v>
      </c>
      <c r="L321" s="390">
        <v>22699</v>
      </c>
      <c r="M321" s="978">
        <f>ROUND(K321*L321,0)</f>
        <v>2065609</v>
      </c>
      <c r="N321" s="979" t="s">
        <v>99</v>
      </c>
      <c r="O321" s="979" t="s">
        <v>256</v>
      </c>
      <c r="P321" s="79" t="str">
        <f>IF(AND('331-CT'!$E$7=TH!H321,OR(N321="331",O321="331")),"x","")</f>
        <v/>
      </c>
      <c r="Q321" s="79" t="str">
        <f>IF(AND(B321='111'!$L$11,OR($N321=$Q$7,$O321=$Q$7)),"x","")</f>
        <v/>
      </c>
      <c r="R321" s="79" t="str">
        <f>IF(AND($N321=$Q$7,$B321&lt;'111'!$L$11),"x","")</f>
        <v/>
      </c>
      <c r="S321" s="79" t="str">
        <f>IF(AND($O321=$Q$7,$B321&lt;'111'!$L$11),"x","")</f>
        <v/>
      </c>
      <c r="T321" s="79" t="str">
        <f>IF(ISERROR(FIND('112'!$M$9,G321,1)),"",IF((AND(FIND('112'!$M$9,G321,1)&gt;=1,B321='112'!$K$9,OR($N321='112'!$I$6,$O321='112'!$I$6))),"x",""))</f>
        <v>x</v>
      </c>
      <c r="U321" s="79" t="str">
        <f>IF(ISERROR(FIND('112'!$M$9,G321,1)),"",IF((AND(LEFT(G321,2)=LEFT('112'!$M$9,2),B321&lt;'112'!$K$9,$N321='112'!$I$6)),"x",""))</f>
        <v/>
      </c>
      <c r="V321" s="79" t="str">
        <f>IF(ISERROR(FIND('112'!$M$9,G321,1)),"",IF((AND(RIGHT(G321,2)=RIGHT('112'!$M$9,2),B321&lt;'112'!$K$9,$O321='112'!$I$6)),"x",""))</f>
        <v/>
      </c>
      <c r="W321" s="79" t="str">
        <f>IF(AND('341-CT'!$H$9=H321,OR(LEFT(N321,3)=$W$7,LEFT(O321,3)=$W$7)),"x","")</f>
        <v/>
      </c>
      <c r="X321" s="79" t="str">
        <f>IF(OR(TH!N321=TH!$X$7,O321=TH!$X$7),"x","")</f>
        <v/>
      </c>
      <c r="Y321" s="79" t="str">
        <f>IF(AND(OR(N321="131",O321="131"),H321='131-CT'!$H$9),"x","")</f>
        <v/>
      </c>
      <c r="Z321" s="79"/>
      <c r="AA321" s="79" t="str">
        <f>IF(AND(MONTH(E321)='IN-NX'!$J$5,'IN-NX'!$D$7=D321),"x","")</f>
        <v/>
      </c>
      <c r="AB321" s="79" t="str">
        <f>IF(AND(OR(LEFT(TH!N321,2)="15",LEFT(TH!O321,2)="15"),LEFT(TH!O321,3)&lt;&gt;"111",'152-CT'!$J$8=TH!F321),"x","")</f>
        <v/>
      </c>
      <c r="AC321" s="79" t="str">
        <f>IF(AND(OR(LEFT(TH!N321,2)="15",LEFT(TH!O321,2)="15"),TK!$E$7=TH!F321),"x","")</f>
        <v/>
      </c>
      <c r="AD321" s="79" t="str">
        <f>IF(AND(N321="1521",MONTH(C321)='BK-NL'!$M$11),"x","")</f>
        <v/>
      </c>
    </row>
    <row r="322" spans="1:31" ht="16.5" customHeight="1">
      <c r="A322" s="318" t="str">
        <f>IF(B322&lt;&gt;"",IF(AND(B322='IN-TC'!$S$4,OR(TH!N322="1111",TH!O322="1111")),TH!D322,""),"")</f>
        <v/>
      </c>
      <c r="B322" s="1106">
        <f t="shared" si="83"/>
        <v>1</v>
      </c>
      <c r="C322" s="974">
        <v>43104</v>
      </c>
      <c r="D322" s="974" t="s">
        <v>985</v>
      </c>
      <c r="E322" s="974">
        <f t="shared" si="84"/>
        <v>43104</v>
      </c>
      <c r="F322" s="975" t="s">
        <v>1009</v>
      </c>
      <c r="G322" s="1018" t="s">
        <v>746</v>
      </c>
      <c r="H322" s="77" t="s">
        <v>860</v>
      </c>
      <c r="I322" s="383"/>
      <c r="J322" s="977"/>
      <c r="K322" s="383">
        <v>63000</v>
      </c>
      <c r="L322" s="390">
        <v>22699</v>
      </c>
      <c r="M322" s="978">
        <f>ROUND(K322*L322,0)</f>
        <v>1430037000</v>
      </c>
      <c r="N322" s="979" t="s">
        <v>250</v>
      </c>
      <c r="O322" s="979" t="s">
        <v>256</v>
      </c>
      <c r="P322" s="79" t="str">
        <f>IF(AND('331-CT'!$E$7=TH!H322,OR(N322="331",O322="331")),"x","")</f>
        <v/>
      </c>
      <c r="Q322" s="79" t="str">
        <f>IF(AND(B322='111'!$L$11,OR($N322=$Q$7,$O322=$Q$7)),"x","")</f>
        <v/>
      </c>
      <c r="R322" s="79" t="str">
        <f>IF(AND($N322=$Q$7,$B322&lt;'111'!$L$11),"x","")</f>
        <v/>
      </c>
      <c r="S322" s="79" t="str">
        <f>IF(AND($O322=$Q$7,$B322&lt;'111'!$L$11),"x","")</f>
        <v/>
      </c>
      <c r="T322" s="79" t="str">
        <f>IF(ISERROR(FIND('112'!$M$9,G322,1)),"",IF((AND(FIND('112'!$M$9,G322,1)&gt;=1,B322='112'!$K$9,OR($N322='112'!$I$6,$O322='112'!$I$6))),"x",""))</f>
        <v>x</v>
      </c>
      <c r="U322" s="79" t="str">
        <f>IF(ISERROR(FIND('112'!$M$9,G322,1)),"",IF((AND(LEFT(G322,2)=LEFT('112'!$M$9,2),B322&lt;'112'!$K$9,$N322='112'!$I$6)),"x",""))</f>
        <v/>
      </c>
      <c r="V322" s="79" t="str">
        <f>IF(ISERROR(FIND('112'!$M$9,G322,1)),"",IF((AND(RIGHT(G322,2)=RIGHT('112'!$M$9,2),B322&lt;'112'!$K$9,$O322='112'!$I$6)),"x",""))</f>
        <v/>
      </c>
      <c r="W322" s="79" t="str">
        <f>IF(AND('341-CT'!$H$9=H322,OR(LEFT(N322,3)=$W$7,LEFT(O322,3)=$W$7)),"x","")</f>
        <v/>
      </c>
      <c r="X322" s="79" t="str">
        <f>IF(OR(TH!N322=TH!$X$7,O322=TH!$X$7),"x","")</f>
        <v/>
      </c>
      <c r="Y322" s="79" t="str">
        <f>IF(AND(OR(N322="131",O322="131"),H322='131-CT'!$H$9),"x","")</f>
        <v/>
      </c>
      <c r="Z322" s="79"/>
      <c r="AA322" s="79" t="str">
        <f>IF(AND(MONTH(E322)='IN-NX'!$J$5,'IN-NX'!$D$7=D322),"x","")</f>
        <v/>
      </c>
      <c r="AB322" s="79" t="str">
        <f>IF(AND(OR(LEFT(TH!N322,2)="15",LEFT(TH!O322,2)="15"),LEFT(TH!O322,3)&lt;&gt;"111",'152-CT'!$J$8=TH!F322),"x","")</f>
        <v/>
      </c>
      <c r="AC322" s="79" t="str">
        <f>IF(AND(OR(LEFT(TH!N322,2)="15",LEFT(TH!O322,2)="15"),TK!$E$7=TH!F322),"x","")</f>
        <v/>
      </c>
      <c r="AD322" s="79" t="str">
        <f>IF(AND(N322="1521",MONTH(C322)='BK-NL'!$M$11),"x","")</f>
        <v/>
      </c>
    </row>
    <row r="323" spans="1:31" ht="16.5" customHeight="1">
      <c r="A323" s="318" t="str">
        <f>IF(B323&lt;&gt;"",IF(AND(B323='IN-TC'!$S$4,OR(TH!N323="1111",TH!O323="1111")),TH!D323,""),"")</f>
        <v/>
      </c>
      <c r="B323" s="1106">
        <f t="shared" si="83"/>
        <v>1</v>
      </c>
      <c r="C323" s="974">
        <v>43104</v>
      </c>
      <c r="D323" s="974" t="s">
        <v>532</v>
      </c>
      <c r="E323" s="974">
        <f t="shared" si="84"/>
        <v>43104</v>
      </c>
      <c r="F323" s="975" t="s">
        <v>1008</v>
      </c>
      <c r="G323" s="1018" t="s">
        <v>746</v>
      </c>
      <c r="H323" s="77" t="s">
        <v>860</v>
      </c>
      <c r="I323" s="383"/>
      <c r="J323" s="977"/>
      <c r="K323" s="383"/>
      <c r="L323" s="390"/>
      <c r="M323" s="978">
        <v>1386000</v>
      </c>
      <c r="N323" s="979" t="s">
        <v>250</v>
      </c>
      <c r="O323" s="979" t="s">
        <v>43</v>
      </c>
      <c r="P323" s="79" t="str">
        <f>IF(AND('331-CT'!$E$7=TH!H323,OR(N323="331",O323="331")),"x","")</f>
        <v/>
      </c>
      <c r="Q323" s="79" t="str">
        <f>IF(AND(B323='111'!$L$11,OR($N323=$Q$7,$O323=$Q$7)),"x","")</f>
        <v/>
      </c>
      <c r="R323" s="79" t="str">
        <f>IF(AND($N323=$Q$7,$B323&lt;'111'!$L$11),"x","")</f>
        <v/>
      </c>
      <c r="S323" s="79" t="str">
        <f>IF(AND($O323=$Q$7,$B323&lt;'111'!$L$11),"x","")</f>
        <v/>
      </c>
      <c r="T323" s="79" t="str">
        <f>IF(ISERROR(FIND('112'!$M$9,G323,1)),"",IF((AND(FIND('112'!$M$9,G323,1)&gt;=1,B323='112'!$K$9,OR($N323='112'!$I$6,$O323='112'!$I$6))),"x",""))</f>
        <v/>
      </c>
      <c r="U323" s="79" t="str">
        <f>IF(ISERROR(FIND('112'!$M$9,G323,1)),"",IF((AND(LEFT(G323,2)=LEFT('112'!$M$9,2),B323&lt;'112'!$K$9,$N323='112'!$I$6)),"x",""))</f>
        <v/>
      </c>
      <c r="V323" s="79" t="str">
        <f>IF(ISERROR(FIND('112'!$M$9,G323,1)),"",IF((AND(RIGHT(G323,2)=RIGHT('112'!$M$9,2),B323&lt;'112'!$K$9,$O323='112'!$I$6)),"x",""))</f>
        <v/>
      </c>
      <c r="W323" s="79" t="str">
        <f>IF(AND('341-CT'!$H$9=H323,OR(LEFT(N323,3)=$W$7,LEFT(O323,3)=$W$7)),"x","")</f>
        <v/>
      </c>
      <c r="X323" s="79" t="str">
        <f>IF(OR(TH!N323=TH!$X$7,O323=TH!$X$7),"x","")</f>
        <v/>
      </c>
      <c r="Y323" s="79" t="str">
        <f>IF(AND(OR(N323="131",O323="131"),H323='131-CT'!$H$9),"x","")</f>
        <v/>
      </c>
      <c r="Z323" s="79"/>
      <c r="AA323" s="79" t="str">
        <f>IF(AND(MONTH(E323)='IN-NX'!$J$5,'IN-NX'!$D$7=D323),"x","")</f>
        <v/>
      </c>
      <c r="AB323" s="79" t="str">
        <f>IF(AND(OR(LEFT(TH!N323,2)="15",LEFT(TH!O323,2)="15"),LEFT(TH!O323,3)&lt;&gt;"111",'152-CT'!$J$8=TH!F323),"x","")</f>
        <v/>
      </c>
      <c r="AC323" s="79" t="str">
        <f>IF(AND(OR(LEFT(TH!N323,2)="15",LEFT(TH!O323,2)="15"),TK!$E$7=TH!F323),"x","")</f>
        <v/>
      </c>
      <c r="AD323" s="79" t="str">
        <f>IF(AND(N323="1521",MONTH(C323)='BK-NL'!$M$11),"x","")</f>
        <v/>
      </c>
    </row>
    <row r="324" spans="1:31" ht="16.5" customHeight="1">
      <c r="A324" s="318" t="str">
        <f>IF(B324&lt;&gt;"",IF(AND(B324='IN-TC'!$S$4,OR(TH!N324="1111",TH!O324="1111")),TH!D324,""),"")</f>
        <v/>
      </c>
      <c r="B324" s="1106">
        <f t="shared" si="83"/>
        <v>1</v>
      </c>
      <c r="C324" s="974">
        <v>43109</v>
      </c>
      <c r="D324" s="974" t="s">
        <v>989</v>
      </c>
      <c r="E324" s="974">
        <f>C324</f>
        <v>43109</v>
      </c>
      <c r="F324" s="975" t="s">
        <v>1006</v>
      </c>
      <c r="G324" s="1018" t="s">
        <v>746</v>
      </c>
      <c r="H324" s="77" t="s">
        <v>779</v>
      </c>
      <c r="I324" s="383"/>
      <c r="J324" s="977"/>
      <c r="K324" s="383">
        <v>98233</v>
      </c>
      <c r="L324" s="390">
        <v>22700</v>
      </c>
      <c r="M324" s="978">
        <f>ROUND(K324*L324,0)</f>
        <v>2229889100</v>
      </c>
      <c r="N324" s="979" t="s">
        <v>256</v>
      </c>
      <c r="O324" s="979" t="s">
        <v>537</v>
      </c>
      <c r="P324" s="79" t="str">
        <f>IF(AND('331-CT'!$E$7=TH!H324,OR(N324="331",O324="331")),"x","")</f>
        <v/>
      </c>
      <c r="Q324" s="79" t="str">
        <f>IF(AND(B324='111'!$L$11,OR($N324=$Q$7,$O324=$Q$7)),"x","")</f>
        <v/>
      </c>
      <c r="R324" s="79" t="str">
        <f>IF(AND($N324=$Q$7,$B324&lt;'111'!$L$11),"x","")</f>
        <v/>
      </c>
      <c r="S324" s="79" t="str">
        <f>IF(AND($O324=$Q$7,$B324&lt;'111'!$L$11),"x","")</f>
        <v/>
      </c>
      <c r="T324" s="79" t="str">
        <f>IF(ISERROR(FIND('112'!$M$9,G324,1)),"",IF((AND(FIND('112'!$M$9,G324,1)&gt;=1,B324='112'!$K$9,OR($N324='112'!$I$6,$O324='112'!$I$6))),"x",""))</f>
        <v>x</v>
      </c>
      <c r="U324" s="79" t="str">
        <f>IF(ISERROR(FIND('112'!$M$9,G324,1)),"",IF((AND(LEFT(G324,2)=LEFT('112'!$M$9,2),B324&lt;'112'!$K$9,$N324='112'!$I$6)),"x",""))</f>
        <v/>
      </c>
      <c r="V324" s="79" t="str">
        <f>IF(ISERROR(FIND('112'!$M$9,G324,1)),"",IF((AND(RIGHT(G324,2)=RIGHT('112'!$M$9,2),B324&lt;'112'!$K$9,$O324='112'!$I$6)),"x",""))</f>
        <v/>
      </c>
      <c r="W324" s="79" t="str">
        <f>IF(AND('341-CT'!$H$9=H324,OR(LEFT(N324,3)=$W$7,LEFT(O324,3)=$W$7)),"x","")</f>
        <v/>
      </c>
      <c r="X324" s="79" t="str">
        <f>IF(OR(TH!N324=TH!$X$7,O324=TH!$X$7),"x","")</f>
        <v/>
      </c>
      <c r="Y324" s="79" t="str">
        <f>IF(AND(OR(N324="131",O324="131"),H324='131-CT'!$H$9),"x","")</f>
        <v/>
      </c>
      <c r="Z324" s="79"/>
      <c r="AA324" s="79" t="str">
        <f>IF(AND(MONTH(E324)='IN-NX'!$J$5,'IN-NX'!$D$7=D324),"x","")</f>
        <v/>
      </c>
      <c r="AB324" s="79" t="str">
        <f>IF(AND(OR(LEFT(TH!N324,2)="15",LEFT(TH!O324,2)="15"),LEFT(TH!O324,3)&lt;&gt;"111",'152-CT'!$J$8=TH!F324),"x","")</f>
        <v/>
      </c>
      <c r="AC324" s="79" t="str">
        <f>IF(AND(OR(LEFT(TH!N324,2)="15",LEFT(TH!O324,2)="15"),TK!$E$7=TH!F324),"x","")</f>
        <v/>
      </c>
      <c r="AD324" s="79" t="str">
        <f>IF(AND(N324="1521",MONTH(C324)='BK-NL'!$M$11),"x","")</f>
        <v/>
      </c>
    </row>
    <row r="325" spans="1:31" ht="16.5" customHeight="1">
      <c r="A325" s="318" t="str">
        <f>IF(B325&lt;&gt;"",IF(AND(B325='IN-TC'!$S$4,OR(TH!N325="1111",TH!O325="1111")),TH!D325,""),"")</f>
        <v/>
      </c>
      <c r="B325" s="1106">
        <f t="shared" si="83"/>
        <v>1</v>
      </c>
      <c r="C325" s="974">
        <v>43109</v>
      </c>
      <c r="D325" s="974" t="s">
        <v>532</v>
      </c>
      <c r="E325" s="974">
        <f t="shared" ref="E325:E328" si="95">C325</f>
        <v>43109</v>
      </c>
      <c r="F325" s="975" t="s">
        <v>1007</v>
      </c>
      <c r="G325" s="1018" t="s">
        <v>746</v>
      </c>
      <c r="H325" s="77" t="s">
        <v>779</v>
      </c>
      <c r="I325" s="383"/>
      <c r="J325" s="977"/>
      <c r="K325" s="383">
        <v>167</v>
      </c>
      <c r="L325" s="390">
        <v>22700</v>
      </c>
      <c r="M325" s="978">
        <f>ROUND(K325*L325,0)</f>
        <v>3790900</v>
      </c>
      <c r="N325" s="979" t="s">
        <v>101</v>
      </c>
      <c r="O325" s="979" t="s">
        <v>537</v>
      </c>
      <c r="P325" s="79" t="str">
        <f>IF(AND('331-CT'!$E$7=TH!H325,OR(N325="331",O325="331")),"x","")</f>
        <v/>
      </c>
      <c r="Q325" s="79" t="str">
        <f>IF(AND(B325='111'!$L$11,OR($N325=$Q$7,$O325=$Q$7)),"x","")</f>
        <v/>
      </c>
      <c r="R325" s="79" t="str">
        <f>IF(AND($N325=$Q$7,$B325&lt;'111'!$L$11),"x","")</f>
        <v/>
      </c>
      <c r="S325" s="79" t="str">
        <f>IF(AND($O325=$Q$7,$B325&lt;'111'!$L$11),"x","")</f>
        <v/>
      </c>
      <c r="T325" s="79" t="str">
        <f>IF(ISERROR(FIND('112'!$M$9,G325,1)),"",IF((AND(FIND('112'!$M$9,G325,1)&gt;=1,B325='112'!$K$9,OR($N325='112'!$I$6,$O325='112'!$I$6))),"x",""))</f>
        <v/>
      </c>
      <c r="U325" s="79" t="str">
        <f>IF(ISERROR(FIND('112'!$M$9,G325,1)),"",IF((AND(LEFT(G325,2)=LEFT('112'!$M$9,2),B325&lt;'112'!$K$9,$N325='112'!$I$6)),"x",""))</f>
        <v/>
      </c>
      <c r="V325" s="79" t="str">
        <f>IF(ISERROR(FIND('112'!$M$9,G325,1)),"",IF((AND(RIGHT(G325,2)=RIGHT('112'!$M$9,2),B325&lt;'112'!$K$9,$O325='112'!$I$6)),"x",""))</f>
        <v/>
      </c>
      <c r="W325" s="79" t="str">
        <f>IF(AND('341-CT'!$H$9=H325,OR(LEFT(N325,3)=$W$7,LEFT(O325,3)=$W$7)),"x","")</f>
        <v/>
      </c>
      <c r="X325" s="79" t="str">
        <f>IF(OR(TH!N325=TH!$X$7,O325=TH!$X$7),"x","")</f>
        <v/>
      </c>
      <c r="Y325" s="79" t="str">
        <f>IF(AND(OR(N325="131",O325="131"),H325='131-CT'!$H$9),"x","")</f>
        <v/>
      </c>
      <c r="Z325" s="79"/>
      <c r="AA325" s="79" t="str">
        <f>IF(AND(MONTH(E325)='IN-NX'!$J$5,'IN-NX'!$D$7=D325),"x","")</f>
        <v/>
      </c>
      <c r="AB325" s="79" t="str">
        <f>IF(AND(OR(LEFT(TH!N325,2)="15",LEFT(TH!O325,2)="15"),LEFT(TH!O325,3)&lt;&gt;"111",'152-CT'!$J$8=TH!F325),"x","")</f>
        <v/>
      </c>
      <c r="AC325" s="79" t="str">
        <f>IF(AND(OR(LEFT(TH!N325,2)="15",LEFT(TH!O325,2)="15"),TK!$E$7=TH!F325),"x","")</f>
        <v/>
      </c>
      <c r="AD325" s="79" t="str">
        <f>IF(AND(N325="1521",MONTH(C325)='BK-NL'!$M$11),"x","")</f>
        <v/>
      </c>
    </row>
    <row r="326" spans="1:31" ht="16.5" customHeight="1">
      <c r="A326" s="318" t="str">
        <f>IF(B326&lt;&gt;"",IF(AND(B326='IN-TC'!$S$4,OR(TH!N326="1111",TH!O326="1111")),TH!D326,""),"")</f>
        <v/>
      </c>
      <c r="B326" s="1106">
        <f t="shared" si="83"/>
        <v>1</v>
      </c>
      <c r="C326" s="974">
        <v>43109</v>
      </c>
      <c r="D326" s="974" t="s">
        <v>532</v>
      </c>
      <c r="E326" s="974">
        <f t="shared" si="95"/>
        <v>43109</v>
      </c>
      <c r="F326" s="975" t="s">
        <v>1008</v>
      </c>
      <c r="G326" s="1018" t="s">
        <v>746</v>
      </c>
      <c r="H326" s="77" t="s">
        <v>779</v>
      </c>
      <c r="I326" s="383"/>
      <c r="J326" s="977"/>
      <c r="K326" s="383"/>
      <c r="L326" s="390"/>
      <c r="M326" s="978">
        <v>1968000</v>
      </c>
      <c r="N326" s="979" t="s">
        <v>537</v>
      </c>
      <c r="O326" s="979" t="s">
        <v>43</v>
      </c>
      <c r="P326" s="79" t="str">
        <f>IF(AND('331-CT'!$E$7=TH!H326,OR(N326="331",O326="331")),"x","")</f>
        <v/>
      </c>
      <c r="Q326" s="79" t="str">
        <f>IF(AND(B326='111'!$L$11,OR($N326=$Q$7,$O326=$Q$7)),"x","")</f>
        <v/>
      </c>
      <c r="R326" s="79" t="str">
        <f>IF(AND($N326=$Q$7,$B326&lt;'111'!$L$11),"x","")</f>
        <v/>
      </c>
      <c r="S326" s="79" t="str">
        <f>IF(AND($O326=$Q$7,$B326&lt;'111'!$L$11),"x","")</f>
        <v/>
      </c>
      <c r="T326" s="79" t="str">
        <f>IF(ISERROR(FIND('112'!$M$9,G326,1)),"",IF((AND(FIND('112'!$M$9,G326,1)&gt;=1,B326='112'!$K$9,OR($N326='112'!$I$6,$O326='112'!$I$6))),"x",""))</f>
        <v/>
      </c>
      <c r="U326" s="79" t="str">
        <f>IF(ISERROR(FIND('112'!$M$9,G326,1)),"",IF((AND(LEFT(G326,2)=LEFT('112'!$M$9,2),B326&lt;'112'!$K$9,$N326='112'!$I$6)),"x",""))</f>
        <v/>
      </c>
      <c r="V326" s="79" t="str">
        <f>IF(ISERROR(FIND('112'!$M$9,G326,1)),"",IF((AND(RIGHT(G326,2)=RIGHT('112'!$M$9,2),B326&lt;'112'!$K$9,$O326='112'!$I$6)),"x",""))</f>
        <v/>
      </c>
      <c r="W326" s="79" t="str">
        <f>IF(AND('341-CT'!$H$9=H326,OR(LEFT(N326,3)=$W$7,LEFT(O326,3)=$W$7)),"x","")</f>
        <v/>
      </c>
      <c r="X326" s="79" t="str">
        <f>IF(OR(TH!N326=TH!$X$7,O326=TH!$X$7),"x","")</f>
        <v/>
      </c>
      <c r="Y326" s="79" t="str">
        <f>IF(AND(OR(N326="131",O326="131"),H326='131-CT'!$H$9),"x","")</f>
        <v/>
      </c>
      <c r="Z326" s="79"/>
      <c r="AA326" s="79" t="str">
        <f>IF(AND(MONTH(E326)='IN-NX'!$J$5,'IN-NX'!$D$7=D326),"x","")</f>
        <v/>
      </c>
      <c r="AB326" s="79" t="str">
        <f>IF(AND(OR(LEFT(TH!N326,2)="15",LEFT(TH!O326,2)="15"),LEFT(TH!O326,3)&lt;&gt;"111",'152-CT'!$J$8=TH!F326),"x","")</f>
        <v/>
      </c>
      <c r="AC326" s="79" t="str">
        <f>IF(AND(OR(LEFT(TH!N326,2)="15",LEFT(TH!O326,2)="15"),TK!$E$7=TH!F326),"x","")</f>
        <v/>
      </c>
      <c r="AD326" s="79" t="str">
        <f>IF(AND(N326="1521",MONTH(C326)='BK-NL'!$M$11),"x","")</f>
        <v/>
      </c>
    </row>
    <row r="327" spans="1:31" ht="16.5" customHeight="1">
      <c r="A327" s="318" t="str">
        <f>IF(B327&lt;&gt;"",IF(AND(B327='IN-TC'!$S$4,OR(TH!N327="1111",TH!O327="1111")),TH!D327,""),"")</f>
        <v/>
      </c>
      <c r="B327" s="1106">
        <f t="shared" ref="B327:B331" si="96">IF(C327&lt;&gt;"",MONTH(C327),"")</f>
        <v>1</v>
      </c>
      <c r="C327" s="974">
        <v>43109</v>
      </c>
      <c r="D327" s="974" t="s">
        <v>985</v>
      </c>
      <c r="E327" s="974">
        <f t="shared" si="95"/>
        <v>43109</v>
      </c>
      <c r="F327" s="975" t="s">
        <v>814</v>
      </c>
      <c r="G327" s="1018" t="s">
        <v>746</v>
      </c>
      <c r="H327" s="77" t="s">
        <v>969</v>
      </c>
      <c r="I327" s="383"/>
      <c r="J327" s="977"/>
      <c r="K327" s="383">
        <v>114.25</v>
      </c>
      <c r="L327" s="390">
        <v>22700</v>
      </c>
      <c r="M327" s="978">
        <f>ROUND(K327*L327,0)</f>
        <v>2593475</v>
      </c>
      <c r="N327" s="979" t="s">
        <v>99</v>
      </c>
      <c r="O327" s="979" t="s">
        <v>256</v>
      </c>
      <c r="P327" s="79" t="str">
        <f>IF(AND('331-CT'!$E$7=TH!H327,OR(N327="331",O327="331")),"x","")</f>
        <v/>
      </c>
      <c r="Q327" s="79" t="str">
        <f>IF(AND(B327='111'!$L$11,OR($N327=$Q$7,$O327=$Q$7)),"x","")</f>
        <v/>
      </c>
      <c r="R327" s="79" t="str">
        <f>IF(AND($N327=$Q$7,$B327&lt;'111'!$L$11),"x","")</f>
        <v/>
      </c>
      <c r="S327" s="79" t="str">
        <f>IF(AND($O327=$Q$7,$B327&lt;'111'!$L$11),"x","")</f>
        <v/>
      </c>
      <c r="T327" s="79" t="str">
        <f>IF(ISERROR(FIND('112'!$M$9,G327,1)),"",IF((AND(FIND('112'!$M$9,G327,1)&gt;=1,B327='112'!$K$9,OR($N327='112'!$I$6,$O327='112'!$I$6))),"x",""))</f>
        <v>x</v>
      </c>
      <c r="U327" s="79" t="str">
        <f>IF(ISERROR(FIND('112'!$M$9,G327,1)),"",IF((AND(LEFT(G327,2)=LEFT('112'!$M$9,2),B327&lt;'112'!$K$9,$N327='112'!$I$6)),"x",""))</f>
        <v/>
      </c>
      <c r="V327" s="79" t="str">
        <f>IF(ISERROR(FIND('112'!$M$9,G327,1)),"",IF((AND(RIGHT(G327,2)=RIGHT('112'!$M$9,2),B327&lt;'112'!$K$9,$O327='112'!$I$6)),"x",""))</f>
        <v/>
      </c>
      <c r="W327" s="79" t="str">
        <f>IF(AND('341-CT'!$H$9=H327,OR(LEFT(N327,3)=$W$7,LEFT(O327,3)=$W$7)),"x","")</f>
        <v/>
      </c>
      <c r="X327" s="79" t="str">
        <f>IF(OR(TH!N327=TH!$X$7,O327=TH!$X$7),"x","")</f>
        <v/>
      </c>
      <c r="Y327" s="79" t="str">
        <f>IF(AND(OR(N327="131",O327="131"),H327='131-CT'!$H$9),"x","")</f>
        <v/>
      </c>
      <c r="Z327" s="79"/>
      <c r="AA327" s="79" t="str">
        <f>IF(AND(MONTH(E327)='IN-NX'!$J$5,'IN-NX'!$D$7=D327),"x","")</f>
        <v/>
      </c>
      <c r="AB327" s="79" t="str">
        <f>IF(AND(OR(LEFT(TH!N327,2)="15",LEFT(TH!O327,2)="15"),LEFT(TH!O327,3)&lt;&gt;"111",'152-CT'!$J$8=TH!F327),"x","")</f>
        <v/>
      </c>
      <c r="AC327" s="79" t="str">
        <f>IF(AND(OR(LEFT(TH!N327,2)="15",LEFT(TH!O327,2)="15"),TK!$E$7=TH!F327),"x","")</f>
        <v/>
      </c>
      <c r="AD327" s="79" t="str">
        <f>IF(AND(N327="1521",MONTH(C327)='BK-NL'!$M$11),"x","")</f>
        <v/>
      </c>
    </row>
    <row r="328" spans="1:31" ht="16.5" customHeight="1">
      <c r="A328" s="318" t="str">
        <f>IF(B328&lt;&gt;"",IF(AND(B328='IN-TC'!$S$4,OR(TH!N328="1111",TH!O328="1111")),TH!D328,""),"")</f>
        <v/>
      </c>
      <c r="B328" s="1106">
        <f t="shared" si="96"/>
        <v>1</v>
      </c>
      <c r="C328" s="974">
        <v>43109</v>
      </c>
      <c r="D328" s="974" t="s">
        <v>985</v>
      </c>
      <c r="E328" s="974">
        <f t="shared" si="95"/>
        <v>43109</v>
      </c>
      <c r="F328" s="975" t="s">
        <v>1009</v>
      </c>
      <c r="G328" s="1018" t="s">
        <v>746</v>
      </c>
      <c r="H328" s="77" t="s">
        <v>969</v>
      </c>
      <c r="I328" s="383"/>
      <c r="J328" s="977"/>
      <c r="K328" s="383">
        <v>93480</v>
      </c>
      <c r="L328" s="390">
        <v>22700</v>
      </c>
      <c r="M328" s="978">
        <f>ROUND(K328*L328,0)</f>
        <v>2121996000</v>
      </c>
      <c r="N328" s="979" t="s">
        <v>250</v>
      </c>
      <c r="O328" s="979" t="s">
        <v>256</v>
      </c>
      <c r="P328" s="79" t="str">
        <f>IF(AND('331-CT'!$E$7=TH!H328,OR(N328="331",O328="331")),"x","")</f>
        <v/>
      </c>
      <c r="Q328" s="79" t="str">
        <f>IF(AND(B328='111'!$L$11,OR($N328=$Q$7,$O328=$Q$7)),"x","")</f>
        <v/>
      </c>
      <c r="R328" s="79" t="str">
        <f>IF(AND($N328=$Q$7,$B328&lt;'111'!$L$11),"x","")</f>
        <v/>
      </c>
      <c r="S328" s="79" t="str">
        <f>IF(AND($O328=$Q$7,$B328&lt;'111'!$L$11),"x","")</f>
        <v/>
      </c>
      <c r="T328" s="79" t="str">
        <f>IF(ISERROR(FIND('112'!$M$9,G328,1)),"",IF((AND(FIND('112'!$M$9,G328,1)&gt;=1,B328='112'!$K$9,OR($N328='112'!$I$6,$O328='112'!$I$6))),"x",""))</f>
        <v>x</v>
      </c>
      <c r="U328" s="79" t="str">
        <f>IF(ISERROR(FIND('112'!$M$9,G328,1)),"",IF((AND(LEFT(G328,2)=LEFT('112'!$M$9,2),B328&lt;'112'!$K$9,$N328='112'!$I$6)),"x",""))</f>
        <v/>
      </c>
      <c r="V328" s="79" t="str">
        <f>IF(ISERROR(FIND('112'!$M$9,G328,1)),"",IF((AND(RIGHT(G328,2)=RIGHT('112'!$M$9,2),B328&lt;'112'!$K$9,$O328='112'!$I$6)),"x",""))</f>
        <v/>
      </c>
      <c r="W328" s="79" t="str">
        <f>IF(AND('341-CT'!$H$9=H328,OR(LEFT(N328,3)=$W$7,LEFT(O328,3)=$W$7)),"x","")</f>
        <v/>
      </c>
      <c r="X328" s="79" t="str">
        <f>IF(OR(TH!N328=TH!$X$7,O328=TH!$X$7),"x","")</f>
        <v/>
      </c>
      <c r="Y328" s="79" t="str">
        <f>IF(AND(OR(N328="131",O328="131"),H328='131-CT'!$H$9),"x","")</f>
        <v/>
      </c>
      <c r="Z328" s="79"/>
      <c r="AA328" s="79" t="str">
        <f>IF(AND(MONTH(E328)='IN-NX'!$J$5,'IN-NX'!$D$7=D328),"x","")</f>
        <v/>
      </c>
      <c r="AB328" s="79" t="str">
        <f>IF(AND(OR(LEFT(TH!N328,2)="15",LEFT(TH!O328,2)="15"),LEFT(TH!O328,3)&lt;&gt;"111",'152-CT'!$J$8=TH!F328),"x","")</f>
        <v/>
      </c>
      <c r="AC328" s="79" t="str">
        <f>IF(AND(OR(LEFT(TH!N328,2)="15",LEFT(TH!O328,2)="15"),TK!$E$7=TH!F328),"x","")</f>
        <v/>
      </c>
      <c r="AD328" s="79" t="str">
        <f>IF(AND(N328="1521",MONTH(C328)='BK-NL'!$M$11),"x","")</f>
        <v/>
      </c>
    </row>
    <row r="329" spans="1:31" ht="16.5" customHeight="1">
      <c r="A329" s="318" t="str">
        <f>IF(B329&lt;&gt;"",IF(AND(B329='IN-TC'!$S$4,OR(TH!N329="1111",TH!O329="1111")),TH!D329,""),"")</f>
        <v/>
      </c>
      <c r="B329" s="1106">
        <f t="shared" si="96"/>
        <v>1</v>
      </c>
      <c r="C329" s="974">
        <v>43111</v>
      </c>
      <c r="D329" s="974" t="s">
        <v>989</v>
      </c>
      <c r="E329" s="974">
        <f>C329</f>
        <v>43111</v>
      </c>
      <c r="F329" s="975" t="s">
        <v>1006</v>
      </c>
      <c r="G329" s="1018" t="s">
        <v>746</v>
      </c>
      <c r="H329" s="77" t="s">
        <v>1030</v>
      </c>
      <c r="I329" s="383"/>
      <c r="J329" s="977"/>
      <c r="K329" s="383">
        <v>117443</v>
      </c>
      <c r="L329" s="390">
        <v>22700</v>
      </c>
      <c r="M329" s="978">
        <f>ROUND(K329*L329,0)</f>
        <v>2665956100</v>
      </c>
      <c r="N329" s="979" t="s">
        <v>256</v>
      </c>
      <c r="O329" s="979" t="s">
        <v>537</v>
      </c>
      <c r="P329" s="79" t="str">
        <f>IF(AND('331-CT'!$E$7=TH!H329,OR(N329="331",O329="331")),"x","")</f>
        <v/>
      </c>
      <c r="Q329" s="79" t="str">
        <f>IF(AND(B329='111'!$L$11,OR($N329=$Q$7,$O329=$Q$7)),"x","")</f>
        <v/>
      </c>
      <c r="R329" s="79" t="str">
        <f>IF(AND($N329=$Q$7,$B329&lt;'111'!$L$11),"x","")</f>
        <v/>
      </c>
      <c r="S329" s="79" t="str">
        <f>IF(AND($O329=$Q$7,$B329&lt;'111'!$L$11),"x","")</f>
        <v/>
      </c>
      <c r="T329" s="79" t="str">
        <f>IF(ISERROR(FIND('112'!$M$9,G329,1)),"",IF((AND(FIND('112'!$M$9,G329,1)&gt;=1,B329='112'!$K$9,OR($N329='112'!$I$6,$O329='112'!$I$6))),"x",""))</f>
        <v>x</v>
      </c>
      <c r="U329" s="79" t="str">
        <f>IF(ISERROR(FIND('112'!$M$9,G329,1)),"",IF((AND(LEFT(G329,2)=LEFT('112'!$M$9,2),B329&lt;'112'!$K$9,$N329='112'!$I$6)),"x",""))</f>
        <v/>
      </c>
      <c r="V329" s="79" t="str">
        <f>IF(ISERROR(FIND('112'!$M$9,G329,1)),"",IF((AND(RIGHT(G329,2)=RIGHT('112'!$M$9,2),B329&lt;'112'!$K$9,$O329='112'!$I$6)),"x",""))</f>
        <v/>
      </c>
      <c r="W329" s="79" t="str">
        <f>IF(AND('341-CT'!$H$9=H329,OR(LEFT(N329,3)=$W$7,LEFT(O329,3)=$W$7)),"x","")</f>
        <v/>
      </c>
      <c r="X329" s="79" t="str">
        <f>IF(OR(TH!N329=TH!$X$7,O329=TH!$X$7),"x","")</f>
        <v/>
      </c>
      <c r="Y329" s="79" t="str">
        <f>IF(AND(OR(N329="131",O329="131"),H329='131-CT'!$H$9),"x","")</f>
        <v/>
      </c>
      <c r="Z329" s="79"/>
      <c r="AA329" s="79" t="str">
        <f>IF(AND(MONTH(E329)='IN-NX'!$J$5,'IN-NX'!$D$7=D329),"x","")</f>
        <v/>
      </c>
      <c r="AB329" s="79" t="str">
        <f>IF(AND(OR(LEFT(TH!N329,2)="15",LEFT(TH!O329,2)="15"),LEFT(TH!O329,3)&lt;&gt;"111",'152-CT'!$J$8=TH!F329),"x","")</f>
        <v/>
      </c>
      <c r="AC329" s="79" t="str">
        <f>IF(AND(OR(LEFT(TH!N329,2)="15",LEFT(TH!O329,2)="15"),TK!$E$7=TH!F329),"x","")</f>
        <v/>
      </c>
      <c r="AD329" s="79" t="str">
        <f>IF(AND(N329="1521",MONTH(C329)='BK-NL'!$M$11),"x","")</f>
        <v/>
      </c>
    </row>
    <row r="330" spans="1:31" ht="16.5" customHeight="1">
      <c r="A330" s="318" t="str">
        <f>IF(B330&lt;&gt;"",IF(AND(B330='IN-TC'!$S$4,OR(TH!N330="1111",TH!O330="1111")),TH!D330,""),"")</f>
        <v/>
      </c>
      <c r="B330" s="1106">
        <f t="shared" si="96"/>
        <v>1</v>
      </c>
      <c r="C330" s="974">
        <v>43111</v>
      </c>
      <c r="D330" s="974" t="s">
        <v>532</v>
      </c>
      <c r="E330" s="974">
        <f t="shared" ref="E330:E331" si="97">C330</f>
        <v>43111</v>
      </c>
      <c r="F330" s="975" t="s">
        <v>1007</v>
      </c>
      <c r="G330" s="1018" t="s">
        <v>746</v>
      </c>
      <c r="H330" s="77" t="s">
        <v>1030</v>
      </c>
      <c r="I330" s="383"/>
      <c r="J330" s="977"/>
      <c r="K330" s="383">
        <v>157</v>
      </c>
      <c r="L330" s="390">
        <v>22700</v>
      </c>
      <c r="M330" s="978">
        <f>ROUND(K330*L330,0)</f>
        <v>3563900</v>
      </c>
      <c r="N330" s="979" t="s">
        <v>101</v>
      </c>
      <c r="O330" s="979" t="s">
        <v>537</v>
      </c>
      <c r="P330" s="79" t="str">
        <f>IF(AND('331-CT'!$E$7=TH!H330,OR(N330="331",O330="331")),"x","")</f>
        <v/>
      </c>
      <c r="Q330" s="79" t="str">
        <f>IF(AND(B330='111'!$L$11,OR($N330=$Q$7,$O330=$Q$7)),"x","")</f>
        <v/>
      </c>
      <c r="R330" s="79" t="str">
        <f>IF(AND($N330=$Q$7,$B330&lt;'111'!$L$11),"x","")</f>
        <v/>
      </c>
      <c r="S330" s="79" t="str">
        <f>IF(AND($O330=$Q$7,$B330&lt;'111'!$L$11),"x","")</f>
        <v/>
      </c>
      <c r="T330" s="79" t="str">
        <f>IF(ISERROR(FIND('112'!$M$9,G330,1)),"",IF((AND(FIND('112'!$M$9,G330,1)&gt;=1,B330='112'!$K$9,OR($N330='112'!$I$6,$O330='112'!$I$6))),"x",""))</f>
        <v/>
      </c>
      <c r="U330" s="79" t="str">
        <f>IF(ISERROR(FIND('112'!$M$9,G330,1)),"",IF((AND(LEFT(G330,2)=LEFT('112'!$M$9,2),B330&lt;'112'!$K$9,$N330='112'!$I$6)),"x",""))</f>
        <v/>
      </c>
      <c r="V330" s="79" t="str">
        <f>IF(ISERROR(FIND('112'!$M$9,G330,1)),"",IF((AND(RIGHT(G330,2)=RIGHT('112'!$M$9,2),B330&lt;'112'!$K$9,$O330='112'!$I$6)),"x",""))</f>
        <v/>
      </c>
      <c r="W330" s="79" t="str">
        <f>IF(AND('341-CT'!$H$9=H330,OR(LEFT(N330,3)=$W$7,LEFT(O330,3)=$W$7)),"x","")</f>
        <v/>
      </c>
      <c r="X330" s="79" t="str">
        <f>IF(OR(TH!N330=TH!$X$7,O330=TH!$X$7),"x","")</f>
        <v/>
      </c>
      <c r="Y330" s="79" t="str">
        <f>IF(AND(OR(N330="131",O330="131"),H330='131-CT'!$H$9),"x","")</f>
        <v/>
      </c>
      <c r="Z330" s="79"/>
      <c r="AA330" s="79" t="str">
        <f>IF(AND(MONTH(E330)='IN-NX'!$J$5,'IN-NX'!$D$7=D330),"x","")</f>
        <v/>
      </c>
      <c r="AB330" s="79" t="str">
        <f>IF(AND(OR(LEFT(TH!N330,2)="15",LEFT(TH!O330,2)="15"),LEFT(TH!O330,3)&lt;&gt;"111",'152-CT'!$J$8=TH!F330),"x","")</f>
        <v/>
      </c>
      <c r="AC330" s="79" t="str">
        <f>IF(AND(OR(LEFT(TH!N330,2)="15",LEFT(TH!O330,2)="15"),TK!$E$7=TH!F330),"x","")</f>
        <v/>
      </c>
      <c r="AD330" s="79" t="str">
        <f>IF(AND(N330="1521",MONTH(C330)='BK-NL'!$M$11),"x","")</f>
        <v/>
      </c>
    </row>
    <row r="331" spans="1:31" ht="16.5" customHeight="1">
      <c r="A331" s="318" t="str">
        <f>IF(B331&lt;&gt;"",IF(AND(B331='IN-TC'!$S$4,OR(TH!N331="1111",TH!O331="1111")),TH!D331,""),"")</f>
        <v/>
      </c>
      <c r="B331" s="1106">
        <f t="shared" si="96"/>
        <v>1</v>
      </c>
      <c r="C331" s="974">
        <v>43111</v>
      </c>
      <c r="D331" s="974" t="s">
        <v>532</v>
      </c>
      <c r="E331" s="974">
        <f t="shared" si="97"/>
        <v>43111</v>
      </c>
      <c r="F331" s="975" t="s">
        <v>1008</v>
      </c>
      <c r="G331" s="1018" t="s">
        <v>746</v>
      </c>
      <c r="H331" s="77" t="s">
        <v>1030</v>
      </c>
      <c r="I331" s="383"/>
      <c r="J331" s="977"/>
      <c r="K331" s="383"/>
      <c r="L331" s="390"/>
      <c r="M331" s="978">
        <v>2940000</v>
      </c>
      <c r="N331" s="979" t="s">
        <v>537</v>
      </c>
      <c r="O331" s="979" t="s">
        <v>43</v>
      </c>
      <c r="P331" s="79" t="str">
        <f>IF(AND('331-CT'!$E$7=TH!H331,OR(N331="331",O331="331")),"x","")</f>
        <v/>
      </c>
      <c r="Q331" s="79" t="str">
        <f>IF(AND(B331='111'!$L$11,OR($N331=$Q$7,$O331=$Q$7)),"x","")</f>
        <v/>
      </c>
      <c r="R331" s="79" t="str">
        <f>IF(AND($N331=$Q$7,$B331&lt;'111'!$L$11),"x","")</f>
        <v/>
      </c>
      <c r="S331" s="79" t="str">
        <f>IF(AND($O331=$Q$7,$B331&lt;'111'!$L$11),"x","")</f>
        <v/>
      </c>
      <c r="T331" s="79" t="str">
        <f>IF(ISERROR(FIND('112'!$M$9,G331,1)),"",IF((AND(FIND('112'!$M$9,G331,1)&gt;=1,B331='112'!$K$9,OR($N331='112'!$I$6,$O331='112'!$I$6))),"x",""))</f>
        <v/>
      </c>
      <c r="U331" s="79" t="str">
        <f>IF(ISERROR(FIND('112'!$M$9,G331,1)),"",IF((AND(LEFT(G331,2)=LEFT('112'!$M$9,2),B331&lt;'112'!$K$9,$N331='112'!$I$6)),"x",""))</f>
        <v/>
      </c>
      <c r="V331" s="79" t="str">
        <f>IF(ISERROR(FIND('112'!$M$9,G331,1)),"",IF((AND(RIGHT(G331,2)=RIGHT('112'!$M$9,2),B331&lt;'112'!$K$9,$O331='112'!$I$6)),"x",""))</f>
        <v/>
      </c>
      <c r="W331" s="79" t="str">
        <f>IF(AND('341-CT'!$H$9=H331,OR(LEFT(N331,3)=$W$7,LEFT(O331,3)=$W$7)),"x","")</f>
        <v/>
      </c>
      <c r="X331" s="79" t="str">
        <f>IF(OR(TH!N331=TH!$X$7,O331=TH!$X$7),"x","")</f>
        <v/>
      </c>
      <c r="Y331" s="79" t="str">
        <f>IF(AND(OR(N331="131",O331="131"),H331='131-CT'!$H$9),"x","")</f>
        <v/>
      </c>
      <c r="Z331" s="79"/>
      <c r="AA331" s="79" t="str">
        <f>IF(AND(MONTH(E331)='IN-NX'!$J$5,'IN-NX'!$D$7=D331),"x","")</f>
        <v/>
      </c>
      <c r="AB331" s="79" t="str">
        <f>IF(AND(OR(LEFT(TH!N331,2)="15",LEFT(TH!O331,2)="15"),LEFT(TH!O331,3)&lt;&gt;"111",'152-CT'!$J$8=TH!F331),"x","")</f>
        <v/>
      </c>
      <c r="AC331" s="79" t="str">
        <f>IF(AND(OR(LEFT(TH!N331,2)="15",LEFT(TH!O331,2)="15"),TK!$E$7=TH!F331),"x","")</f>
        <v/>
      </c>
      <c r="AD331" s="79" t="str">
        <f>IF(AND(N331="1521",MONTH(C331)='BK-NL'!$M$11),"x","")</f>
        <v/>
      </c>
    </row>
    <row r="332" spans="1:31" ht="16.5" customHeight="1">
      <c r="A332" s="318" t="str">
        <f>IF(B332&lt;&gt;"",IF(AND(B332='IN-TC'!$S$4,OR(TH!N332="1111",TH!O332="1111")),TH!D332,""),"")</f>
        <v/>
      </c>
      <c r="B332" s="1106">
        <f t="shared" ref="B332:B343" si="98">IF(C332&lt;&gt;"",MONTH(C332),"")</f>
        <v>1</v>
      </c>
      <c r="C332" s="974">
        <v>43111</v>
      </c>
      <c r="D332" s="974" t="s">
        <v>985</v>
      </c>
      <c r="E332" s="974">
        <f t="shared" ref="E332:E343" si="99">C332</f>
        <v>43111</v>
      </c>
      <c r="F332" s="975" t="s">
        <v>1000</v>
      </c>
      <c r="G332" s="1018" t="s">
        <v>746</v>
      </c>
      <c r="H332" s="305" t="s">
        <v>1002</v>
      </c>
      <c r="I332" s="383"/>
      <c r="J332" s="977"/>
      <c r="K332" s="383">
        <v>141.12</v>
      </c>
      <c r="L332" s="390">
        <v>22700</v>
      </c>
      <c r="M332" s="978">
        <f t="shared" ref="M332:M335" si="100">ROUND(K332*L332,0)</f>
        <v>3203424</v>
      </c>
      <c r="N332" s="979" t="s">
        <v>101</v>
      </c>
      <c r="O332" s="979" t="s">
        <v>256</v>
      </c>
      <c r="P332" s="79" t="str">
        <f>IF(AND('331-CT'!$E$7=TH!H332,OR(N332="331",O332="331")),"x","")</f>
        <v/>
      </c>
      <c r="Q332" s="79" t="str">
        <f>IF(AND(B332='111'!$L$11,OR($N332=$Q$7,$O332=$Q$7)),"x","")</f>
        <v/>
      </c>
      <c r="R332" s="79" t="str">
        <f>IF(AND($N332=$Q$7,$B332&lt;'111'!$L$11),"x","")</f>
        <v/>
      </c>
      <c r="S332" s="79" t="str">
        <f>IF(AND($O332=$Q$7,$B332&lt;'111'!$L$11),"x","")</f>
        <v/>
      </c>
      <c r="T332" s="79" t="str">
        <f>IF(ISERROR(FIND('112'!$M$9,G332,1)),"",IF((AND(FIND('112'!$M$9,G332,1)&gt;=1,B332='112'!$K$9,OR($N332='112'!$I$6,$O332='112'!$I$6))),"x",""))</f>
        <v>x</v>
      </c>
      <c r="U332" s="79" t="str">
        <f>IF(ISERROR(FIND('112'!$M$9,G332,1)),"",IF((AND(LEFT(G332,2)=LEFT('112'!$M$9,2),B332&lt;'112'!$K$9,$N332='112'!$I$6)),"x",""))</f>
        <v/>
      </c>
      <c r="V332" s="79" t="str">
        <f>IF(ISERROR(FIND('112'!$M$9,G332,1)),"",IF((AND(RIGHT(G332,2)=RIGHT('112'!$M$9,2),B332&lt;'112'!$K$9,$O332='112'!$I$6)),"x",""))</f>
        <v/>
      </c>
      <c r="W332" s="79" t="str">
        <f>IF(AND('341-CT'!$H$9=H332,OR(LEFT(N332,3)=$W$7,LEFT(O332,3)=$W$7)),"x","")</f>
        <v/>
      </c>
      <c r="X332" s="79" t="str">
        <f>IF(OR(TH!N332=TH!$X$7,O332=TH!$X$7),"x","")</f>
        <v/>
      </c>
      <c r="Y332" s="79" t="str">
        <f>IF(AND(OR(N332="131",O332="131"),H332='131-CT'!$H$9),"x","")</f>
        <v/>
      </c>
      <c r="Z332" s="79"/>
      <c r="AA332" s="79" t="str">
        <f>IF(AND(MONTH(E332)='IN-NX'!$J$5,'IN-NX'!$D$7=D332),"x","")</f>
        <v/>
      </c>
      <c r="AB332" s="79" t="str">
        <f>IF(AND(OR(LEFT(TH!N332,2)="15",LEFT(TH!O332,2)="15"),LEFT(TH!O332,3)&lt;&gt;"111",'152-CT'!$J$8=TH!F332),"x","")</f>
        <v/>
      </c>
      <c r="AC332" s="79" t="str">
        <f>IF(AND(OR(LEFT(TH!N332,2)="15",LEFT(TH!O332,2)="15"),TK!$E$7=TH!F332),"x","")</f>
        <v/>
      </c>
      <c r="AD332" s="79" t="str">
        <f>IF(AND(N332="1521",MONTH(C332)='BK-NL'!$M$11),"x","")</f>
        <v/>
      </c>
      <c r="AE332">
        <v>1</v>
      </c>
    </row>
    <row r="333" spans="1:31" ht="16.5" customHeight="1">
      <c r="A333" s="318" t="str">
        <f>IF(B333&lt;&gt;"",IF(AND(B333='IN-TC'!$S$4,OR(TH!N333="1111",TH!O333="1111")),TH!D333,""),"")</f>
        <v/>
      </c>
      <c r="B333" s="1106">
        <f t="shared" si="98"/>
        <v>1</v>
      </c>
      <c r="C333" s="974">
        <v>43111</v>
      </c>
      <c r="D333" s="974" t="s">
        <v>985</v>
      </c>
      <c r="E333" s="974">
        <f t="shared" si="99"/>
        <v>43111</v>
      </c>
      <c r="F333" s="975" t="s">
        <v>1001</v>
      </c>
      <c r="G333" s="1018" t="s">
        <v>746</v>
      </c>
      <c r="H333" s="305" t="s">
        <v>1002</v>
      </c>
      <c r="I333" s="383"/>
      <c r="J333" s="977"/>
      <c r="K333" s="383">
        <v>14.11</v>
      </c>
      <c r="L333" s="390">
        <v>22700</v>
      </c>
      <c r="M333" s="978">
        <f t="shared" si="100"/>
        <v>320297</v>
      </c>
      <c r="N333" s="979" t="s">
        <v>9</v>
      </c>
      <c r="O333" s="979" t="s">
        <v>256</v>
      </c>
      <c r="P333" s="79" t="str">
        <f>IF(AND('331-CT'!$E$7=TH!H333,OR(N333="331",O333="331")),"x","")</f>
        <v/>
      </c>
      <c r="Q333" s="79" t="str">
        <f>IF(AND(B333='111'!$L$11,OR($N333=$Q$7,$O333=$Q$7)),"x","")</f>
        <v/>
      </c>
      <c r="R333" s="79" t="str">
        <f>IF(AND($N333=$Q$7,$B333&lt;'111'!$L$11),"x","")</f>
        <v/>
      </c>
      <c r="S333" s="79" t="str">
        <f>IF(AND($O333=$Q$7,$B333&lt;'111'!$L$11),"x","")</f>
        <v/>
      </c>
      <c r="T333" s="79" t="str">
        <f>IF(ISERROR(FIND('112'!$M$9,G333,1)),"",IF((AND(FIND('112'!$M$9,G333,1)&gt;=1,B333='112'!$K$9,OR($N333='112'!$I$6,$O333='112'!$I$6))),"x",""))</f>
        <v>x</v>
      </c>
      <c r="U333" s="79" t="str">
        <f>IF(ISERROR(FIND('112'!$M$9,G333,1)),"",IF((AND(LEFT(G333,2)=LEFT('112'!$M$9,2),B333&lt;'112'!$K$9,$N333='112'!$I$6)),"x",""))</f>
        <v/>
      </c>
      <c r="V333" s="79" t="str">
        <f>IF(ISERROR(FIND('112'!$M$9,G333,1)),"",IF((AND(RIGHT(G333,2)=RIGHT('112'!$M$9,2),B333&lt;'112'!$K$9,$O333='112'!$I$6)),"x",""))</f>
        <v/>
      </c>
      <c r="W333" s="79" t="str">
        <f>IF(AND('341-CT'!$H$9=H333,OR(LEFT(N333,3)=$W$7,LEFT(O333,3)=$W$7)),"x","")</f>
        <v/>
      </c>
      <c r="X333" s="79" t="str">
        <f>IF(OR(TH!N333=TH!$X$7,O333=TH!$X$7),"x","")</f>
        <v/>
      </c>
      <c r="Y333" s="79" t="str">
        <f>IF(AND(OR(N333="131",O333="131"),H333='131-CT'!$H$9),"x","")</f>
        <v/>
      </c>
      <c r="Z333" s="79"/>
      <c r="AA333" s="79" t="str">
        <f>IF(AND(MONTH(E333)='IN-NX'!$J$5,'IN-NX'!$D$7=D333),"x","")</f>
        <v/>
      </c>
      <c r="AB333" s="79" t="str">
        <f>IF(AND(OR(LEFT(TH!N333,2)="15",LEFT(TH!O333,2)="15"),LEFT(TH!O333,3)&lt;&gt;"111",'152-CT'!$J$8=TH!F333),"x","")</f>
        <v/>
      </c>
      <c r="AC333" s="79" t="str">
        <f>IF(AND(OR(LEFT(TH!N333,2)="15",LEFT(TH!O333,2)="15"),TK!$E$7=TH!F333),"x","")</f>
        <v/>
      </c>
      <c r="AD333" s="79" t="str">
        <f>IF(AND(N333="1521",MONTH(C333)='BK-NL'!$M$11),"x","")</f>
        <v/>
      </c>
      <c r="AE333">
        <v>1</v>
      </c>
    </row>
    <row r="334" spans="1:31" ht="16.5" customHeight="1">
      <c r="A334" s="318" t="str">
        <f>IF(B334&lt;&gt;"",IF(AND(B334='IN-TC'!$S$4,OR(TH!N334="1111",TH!O334="1111")),TH!D334,""),"")</f>
        <v/>
      </c>
      <c r="B334" s="1106">
        <f t="shared" si="98"/>
        <v>1</v>
      </c>
      <c r="C334" s="974">
        <v>43111</v>
      </c>
      <c r="D334" s="974" t="s">
        <v>985</v>
      </c>
      <c r="E334" s="974">
        <f t="shared" si="99"/>
        <v>43111</v>
      </c>
      <c r="F334" s="975" t="s">
        <v>1000</v>
      </c>
      <c r="G334" s="1018" t="s">
        <v>746</v>
      </c>
      <c r="H334" s="305" t="s">
        <v>1002</v>
      </c>
      <c r="I334" s="383"/>
      <c r="J334" s="977"/>
      <c r="K334" s="383">
        <v>5</v>
      </c>
      <c r="L334" s="390">
        <v>22700</v>
      </c>
      <c r="M334" s="978">
        <f t="shared" si="100"/>
        <v>113500</v>
      </c>
      <c r="N334" s="979" t="s">
        <v>101</v>
      </c>
      <c r="O334" s="979" t="s">
        <v>256</v>
      </c>
      <c r="P334" s="79" t="str">
        <f>IF(AND('331-CT'!$E$7=TH!H334,OR(N334="331",O334="331")),"x","")</f>
        <v/>
      </c>
      <c r="Q334" s="79" t="str">
        <f>IF(AND(B334='111'!$L$11,OR($N334=$Q$7,$O334=$Q$7)),"x","")</f>
        <v/>
      </c>
      <c r="R334" s="79" t="str">
        <f>IF(AND($N334=$Q$7,$B334&lt;'111'!$L$11),"x","")</f>
        <v/>
      </c>
      <c r="S334" s="79" t="str">
        <f>IF(AND($O334=$Q$7,$B334&lt;'111'!$L$11),"x","")</f>
        <v/>
      </c>
      <c r="T334" s="79" t="str">
        <f>IF(ISERROR(FIND('112'!$M$9,G334,1)),"",IF((AND(FIND('112'!$M$9,G334,1)&gt;=1,B334='112'!$K$9,OR($N334='112'!$I$6,$O334='112'!$I$6))),"x",""))</f>
        <v>x</v>
      </c>
      <c r="U334" s="79" t="str">
        <f>IF(ISERROR(FIND('112'!$M$9,G334,1)),"",IF((AND(LEFT(G334,2)=LEFT('112'!$M$9,2),B334&lt;'112'!$K$9,$N334='112'!$I$6)),"x",""))</f>
        <v/>
      </c>
      <c r="V334" s="79" t="str">
        <f>IF(ISERROR(FIND('112'!$M$9,G334,1)),"",IF((AND(RIGHT(G334,2)=RIGHT('112'!$M$9,2),B334&lt;'112'!$K$9,$O334='112'!$I$6)),"x",""))</f>
        <v/>
      </c>
      <c r="W334" s="79" t="str">
        <f>IF(AND('341-CT'!$H$9=H334,OR(LEFT(N334,3)=$W$7,LEFT(O334,3)=$W$7)),"x","")</f>
        <v/>
      </c>
      <c r="X334" s="79" t="str">
        <f>IF(OR(TH!N334=TH!$X$7,O334=TH!$X$7),"x","")</f>
        <v/>
      </c>
      <c r="Y334" s="79" t="str">
        <f>IF(AND(OR(N334="131",O334="131"),H334='131-CT'!$H$9),"x","")</f>
        <v/>
      </c>
      <c r="Z334" s="79"/>
      <c r="AA334" s="79" t="str">
        <f>IF(AND(MONTH(E334)='IN-NX'!$J$5,'IN-NX'!$D$7=D334),"x","")</f>
        <v/>
      </c>
      <c r="AB334" s="79" t="str">
        <f>IF(AND(OR(LEFT(TH!N334,2)="15",LEFT(TH!O334,2)="15"),LEFT(TH!O334,3)&lt;&gt;"111",'152-CT'!$J$8=TH!F334),"x","")</f>
        <v/>
      </c>
      <c r="AC334" s="79" t="str">
        <f>IF(AND(OR(LEFT(TH!N334,2)="15",LEFT(TH!O334,2)="15"),TK!$E$7=TH!F334),"x","")</f>
        <v/>
      </c>
      <c r="AD334" s="79" t="str">
        <f>IF(AND(N334="1521",MONTH(C334)='BK-NL'!$M$11),"x","")</f>
        <v/>
      </c>
      <c r="AE334">
        <v>1</v>
      </c>
    </row>
    <row r="335" spans="1:31" ht="16.5" customHeight="1">
      <c r="A335" s="318" t="str">
        <f>IF(B335&lt;&gt;"",IF(AND(B335='IN-TC'!$S$4,OR(TH!N335="1111",TH!O335="1111")),TH!D335,""),"")</f>
        <v/>
      </c>
      <c r="B335" s="1106">
        <f t="shared" si="98"/>
        <v>1</v>
      </c>
      <c r="C335" s="974">
        <v>43111</v>
      </c>
      <c r="D335" s="974" t="s">
        <v>985</v>
      </c>
      <c r="E335" s="974">
        <f t="shared" si="99"/>
        <v>43111</v>
      </c>
      <c r="F335" s="975" t="s">
        <v>1001</v>
      </c>
      <c r="G335" s="1018" t="s">
        <v>746</v>
      </c>
      <c r="H335" s="305" t="s">
        <v>1002</v>
      </c>
      <c r="I335" s="383"/>
      <c r="J335" s="977"/>
      <c r="K335" s="383">
        <v>0.5</v>
      </c>
      <c r="L335" s="390">
        <v>22700</v>
      </c>
      <c r="M335" s="978">
        <f t="shared" si="100"/>
        <v>11350</v>
      </c>
      <c r="N335" s="979" t="s">
        <v>9</v>
      </c>
      <c r="O335" s="979" t="s">
        <v>256</v>
      </c>
      <c r="P335" s="79" t="str">
        <f>IF(AND('331-CT'!$E$7=TH!H335,OR(N335="331",O335="331")),"x","")</f>
        <v/>
      </c>
      <c r="Q335" s="79" t="str">
        <f>IF(AND(B335='111'!$L$11,OR($N335=$Q$7,$O335=$Q$7)),"x","")</f>
        <v/>
      </c>
      <c r="R335" s="79" t="str">
        <f>IF(AND($N335=$Q$7,$B335&lt;'111'!$L$11),"x","")</f>
        <v/>
      </c>
      <c r="S335" s="79" t="str">
        <f>IF(AND($O335=$Q$7,$B335&lt;'111'!$L$11),"x","")</f>
        <v/>
      </c>
      <c r="T335" s="79" t="str">
        <f>IF(ISERROR(FIND('112'!$M$9,G335,1)),"",IF((AND(FIND('112'!$M$9,G335,1)&gt;=1,B335='112'!$K$9,OR($N335='112'!$I$6,$O335='112'!$I$6))),"x",""))</f>
        <v>x</v>
      </c>
      <c r="U335" s="79" t="str">
        <f>IF(ISERROR(FIND('112'!$M$9,G335,1)),"",IF((AND(LEFT(G335,2)=LEFT('112'!$M$9,2),B335&lt;'112'!$K$9,$N335='112'!$I$6)),"x",""))</f>
        <v/>
      </c>
      <c r="V335" s="79" t="str">
        <f>IF(ISERROR(FIND('112'!$M$9,G335,1)),"",IF((AND(RIGHT(G335,2)=RIGHT('112'!$M$9,2),B335&lt;'112'!$K$9,$O335='112'!$I$6)),"x",""))</f>
        <v/>
      </c>
      <c r="W335" s="79" t="str">
        <f>IF(AND('341-CT'!$H$9=H335,OR(LEFT(N335,3)=$W$7,LEFT(O335,3)=$W$7)),"x","")</f>
        <v/>
      </c>
      <c r="X335" s="79" t="str">
        <f>IF(OR(TH!N335=TH!$X$7,O335=TH!$X$7),"x","")</f>
        <v/>
      </c>
      <c r="Y335" s="79" t="str">
        <f>IF(AND(OR(N335="131",O335="131"),H335='131-CT'!$H$9),"x","")</f>
        <v/>
      </c>
      <c r="Z335" s="79"/>
      <c r="AA335" s="79" t="str">
        <f>IF(AND(MONTH(E335)='IN-NX'!$J$5,'IN-NX'!$D$7=D335),"x","")</f>
        <v/>
      </c>
      <c r="AB335" s="79" t="str">
        <f>IF(AND(OR(LEFT(TH!N335,2)="15",LEFT(TH!O335,2)="15"),LEFT(TH!O335,3)&lt;&gt;"111",'152-CT'!$J$8=TH!F335),"x","")</f>
        <v/>
      </c>
      <c r="AC335" s="79" t="str">
        <f>IF(AND(OR(LEFT(TH!N335,2)="15",LEFT(TH!O335,2)="15"),TK!$E$7=TH!F335),"x","")</f>
        <v/>
      </c>
      <c r="AD335" s="79" t="str">
        <f>IF(AND(N335="1521",MONTH(C335)='BK-NL'!$M$11),"x","")</f>
        <v/>
      </c>
      <c r="AE335">
        <v>1</v>
      </c>
    </row>
    <row r="336" spans="1:31" ht="16.5" customHeight="1">
      <c r="A336" s="318" t="str">
        <f>IF(B336&lt;&gt;"",IF(AND(B336='IN-TC'!$S$4,OR(TH!N336="1111",TH!O336="1111")),TH!D336,""),"")</f>
        <v/>
      </c>
      <c r="B336" s="1106">
        <f t="shared" si="98"/>
        <v>1</v>
      </c>
      <c r="C336" s="974">
        <v>43111</v>
      </c>
      <c r="D336" s="974" t="s">
        <v>985</v>
      </c>
      <c r="E336" s="974">
        <f t="shared" si="99"/>
        <v>43111</v>
      </c>
      <c r="F336" s="975" t="s">
        <v>814</v>
      </c>
      <c r="G336" s="1018" t="s">
        <v>746</v>
      </c>
      <c r="H336" s="759" t="s">
        <v>1010</v>
      </c>
      <c r="I336" s="383"/>
      <c r="J336" s="977"/>
      <c r="K336" s="383">
        <v>86.88</v>
      </c>
      <c r="L336" s="390">
        <v>22700</v>
      </c>
      <c r="M336" s="978">
        <f>ROUND(K336*L336,0)</f>
        <v>1972176</v>
      </c>
      <c r="N336" s="979" t="s">
        <v>99</v>
      </c>
      <c r="O336" s="979" t="s">
        <v>256</v>
      </c>
      <c r="P336" s="79" t="str">
        <f>IF(AND('331-CT'!$E$7=TH!H336,OR(N336="331",O336="331")),"x","")</f>
        <v/>
      </c>
      <c r="Q336" s="79" t="str">
        <f>IF(AND(B336='111'!$L$11,OR($N336=$Q$7,$O336=$Q$7)),"x","")</f>
        <v/>
      </c>
      <c r="R336" s="79" t="str">
        <f>IF(AND($N336=$Q$7,$B336&lt;'111'!$L$11),"x","")</f>
        <v/>
      </c>
      <c r="S336" s="79" t="str">
        <f>IF(AND($O336=$Q$7,$B336&lt;'111'!$L$11),"x","")</f>
        <v/>
      </c>
      <c r="T336" s="79" t="str">
        <f>IF(ISERROR(FIND('112'!$M$9,G336,1)),"",IF((AND(FIND('112'!$M$9,G336,1)&gt;=1,B336='112'!$K$9,OR($N336='112'!$I$6,$O336='112'!$I$6))),"x",""))</f>
        <v>x</v>
      </c>
      <c r="U336" s="79" t="str">
        <f>IF(ISERROR(FIND('112'!$M$9,G336,1)),"",IF((AND(LEFT(G336,2)=LEFT('112'!$M$9,2),B336&lt;'112'!$K$9,$N336='112'!$I$6)),"x",""))</f>
        <v/>
      </c>
      <c r="V336" s="79" t="str">
        <f>IF(ISERROR(FIND('112'!$M$9,G336,1)),"",IF((AND(RIGHT(G336,2)=RIGHT('112'!$M$9,2),B336&lt;'112'!$K$9,$O336='112'!$I$6)),"x",""))</f>
        <v/>
      </c>
      <c r="W336" s="79" t="str">
        <f>IF(AND('341-CT'!$H$9=H336,OR(LEFT(N336,3)=$W$7,LEFT(O336,3)=$W$7)),"x","")</f>
        <v/>
      </c>
      <c r="X336" s="79" t="str">
        <f>IF(OR(TH!N336=TH!$X$7,O336=TH!$X$7),"x","")</f>
        <v/>
      </c>
      <c r="Y336" s="79" t="str">
        <f>IF(AND(OR(N336="131",O336="131"),H336='131-CT'!$H$9),"x","")</f>
        <v/>
      </c>
      <c r="Z336" s="79"/>
      <c r="AA336" s="79" t="str">
        <f>IF(AND(MONTH(E336)='IN-NX'!$J$5,'IN-NX'!$D$7=D336),"x","")</f>
        <v/>
      </c>
      <c r="AB336" s="79" t="str">
        <f>IF(AND(OR(LEFT(TH!N336,2)="15",LEFT(TH!O336,2)="15"),LEFT(TH!O336,3)&lt;&gt;"111",'152-CT'!$J$8=TH!F336),"x","")</f>
        <v/>
      </c>
      <c r="AC336" s="79" t="str">
        <f>IF(AND(OR(LEFT(TH!N336,2)="15",LEFT(TH!O336,2)="15"),TK!$E$7=TH!F336),"x","")</f>
        <v/>
      </c>
      <c r="AD336" s="79" t="str">
        <f>IF(AND(N336="1521",MONTH(C336)='BK-NL'!$M$11),"x","")</f>
        <v/>
      </c>
    </row>
    <row r="337" spans="1:30" ht="16.5" customHeight="1">
      <c r="A337" s="318" t="str">
        <f>IF(B337&lt;&gt;"",IF(AND(B337='IN-TC'!$S$4,OR(TH!N337="1111",TH!O337="1111")),TH!D337,""),"")</f>
        <v/>
      </c>
      <c r="B337" s="1106">
        <f t="shared" si="98"/>
        <v>1</v>
      </c>
      <c r="C337" s="974">
        <v>43111</v>
      </c>
      <c r="D337" s="974" t="s">
        <v>985</v>
      </c>
      <c r="E337" s="974">
        <f t="shared" si="99"/>
        <v>43111</v>
      </c>
      <c r="F337" s="975" t="s">
        <v>1009</v>
      </c>
      <c r="G337" s="1018" t="s">
        <v>746</v>
      </c>
      <c r="H337" s="759" t="s">
        <v>1010</v>
      </c>
      <c r="I337" s="383"/>
      <c r="J337" s="977"/>
      <c r="K337" s="383">
        <v>111700</v>
      </c>
      <c r="L337" s="390">
        <v>22700</v>
      </c>
      <c r="M337" s="978">
        <f>ROUND(K337*L337,0)</f>
        <v>2535590000</v>
      </c>
      <c r="N337" s="979" t="s">
        <v>250</v>
      </c>
      <c r="O337" s="979" t="s">
        <v>256</v>
      </c>
      <c r="P337" s="79" t="str">
        <f>IF(AND('331-CT'!$E$7=TH!H337,OR(N337="331",O337="331")),"x","")</f>
        <v/>
      </c>
      <c r="Q337" s="79" t="str">
        <f>IF(AND(B337='111'!$L$11,OR($N337=$Q$7,$O337=$Q$7)),"x","")</f>
        <v/>
      </c>
      <c r="R337" s="79" t="str">
        <f>IF(AND($N337=$Q$7,$B337&lt;'111'!$L$11),"x","")</f>
        <v/>
      </c>
      <c r="S337" s="79" t="str">
        <f>IF(AND($O337=$Q$7,$B337&lt;'111'!$L$11),"x","")</f>
        <v/>
      </c>
      <c r="T337" s="79" t="str">
        <f>IF(ISERROR(FIND('112'!$M$9,G337,1)),"",IF((AND(FIND('112'!$M$9,G337,1)&gt;=1,B337='112'!$K$9,OR($N337='112'!$I$6,$O337='112'!$I$6))),"x",""))</f>
        <v>x</v>
      </c>
      <c r="U337" s="79" t="str">
        <f>IF(ISERROR(FIND('112'!$M$9,G337,1)),"",IF((AND(LEFT(G337,2)=LEFT('112'!$M$9,2),B337&lt;'112'!$K$9,$N337='112'!$I$6)),"x",""))</f>
        <v/>
      </c>
      <c r="V337" s="79" t="str">
        <f>IF(ISERROR(FIND('112'!$M$9,G337,1)),"",IF((AND(RIGHT(G337,2)=RIGHT('112'!$M$9,2),B337&lt;'112'!$K$9,$O337='112'!$I$6)),"x",""))</f>
        <v/>
      </c>
      <c r="W337" s="79" t="str">
        <f>IF(AND('341-CT'!$H$9=H337,OR(LEFT(N337,3)=$W$7,LEFT(O337,3)=$W$7)),"x","")</f>
        <v/>
      </c>
      <c r="X337" s="79" t="str">
        <f>IF(OR(TH!N337=TH!$X$7,O337=TH!$X$7),"x","")</f>
        <v/>
      </c>
      <c r="Y337" s="79" t="str">
        <f>IF(AND(OR(N337="131",O337="131"),H337='131-CT'!$H$9),"x","")</f>
        <v/>
      </c>
      <c r="Z337" s="79"/>
      <c r="AA337" s="79" t="str">
        <f>IF(AND(MONTH(E337)='IN-NX'!$J$5,'IN-NX'!$D$7=D337),"x","")</f>
        <v/>
      </c>
      <c r="AB337" s="79" t="str">
        <f>IF(AND(OR(LEFT(TH!N337,2)="15",LEFT(TH!O337,2)="15"),LEFT(TH!O337,3)&lt;&gt;"111",'152-CT'!$J$8=TH!F337),"x","")</f>
        <v/>
      </c>
      <c r="AC337" s="79" t="str">
        <f>IF(AND(OR(LEFT(TH!N337,2)="15",LEFT(TH!O337,2)="15"),TK!$E$7=TH!F337),"x","")</f>
        <v/>
      </c>
      <c r="AD337" s="79" t="str">
        <f>IF(AND(N337="1521",MONTH(C337)='BK-NL'!$M$11),"x","")</f>
        <v/>
      </c>
    </row>
    <row r="338" spans="1:30" ht="16.5" customHeight="1">
      <c r="A338" s="318" t="str">
        <f>IF(B338&lt;&gt;"",IF(AND(B338='IN-TC'!$S$4,OR(TH!N338="1111",TH!O338="1111")),TH!D338,""),"")</f>
        <v/>
      </c>
      <c r="B338" s="1106">
        <f t="shared" si="98"/>
        <v>1</v>
      </c>
      <c r="C338" s="974">
        <v>43111</v>
      </c>
      <c r="D338" s="974" t="s">
        <v>532</v>
      </c>
      <c r="E338" s="974">
        <f t="shared" si="99"/>
        <v>43111</v>
      </c>
      <c r="F338" s="975" t="s">
        <v>1008</v>
      </c>
      <c r="G338" s="1018" t="s">
        <v>746</v>
      </c>
      <c r="H338" s="759" t="s">
        <v>1010</v>
      </c>
      <c r="I338" s="383"/>
      <c r="J338" s="977"/>
      <c r="K338" s="383"/>
      <c r="L338" s="390"/>
      <c r="M338" s="978">
        <v>111700</v>
      </c>
      <c r="N338" s="979" t="s">
        <v>99</v>
      </c>
      <c r="O338" s="979" t="s">
        <v>250</v>
      </c>
      <c r="P338" s="79" t="str">
        <f>IF(AND('331-CT'!$E$7=TH!H338,OR(N338="331",O338="331")),"x","")</f>
        <v/>
      </c>
      <c r="Q338" s="79" t="str">
        <f>IF(AND(B338='111'!$L$11,OR($N338=$Q$7,$O338=$Q$7)),"x","")</f>
        <v/>
      </c>
      <c r="R338" s="79" t="str">
        <f>IF(AND($N338=$Q$7,$B338&lt;'111'!$L$11),"x","")</f>
        <v/>
      </c>
      <c r="S338" s="79" t="str">
        <f>IF(AND($O338=$Q$7,$B338&lt;'111'!$L$11),"x","")</f>
        <v/>
      </c>
      <c r="T338" s="79" t="str">
        <f>IF(ISERROR(FIND('112'!$M$9,G338,1)),"",IF((AND(FIND('112'!$M$9,G338,1)&gt;=1,B338='112'!$K$9,OR($N338='112'!$I$6,$O338='112'!$I$6))),"x",""))</f>
        <v/>
      </c>
      <c r="U338" s="79" t="str">
        <f>IF(ISERROR(FIND('112'!$M$9,G338,1)),"",IF((AND(LEFT(G338,2)=LEFT('112'!$M$9,2),B338&lt;'112'!$K$9,$N338='112'!$I$6)),"x",""))</f>
        <v/>
      </c>
      <c r="V338" s="79" t="str">
        <f>IF(ISERROR(FIND('112'!$M$9,G338,1)),"",IF((AND(RIGHT(G338,2)=RIGHT('112'!$M$9,2),B338&lt;'112'!$K$9,$O338='112'!$I$6)),"x",""))</f>
        <v/>
      </c>
      <c r="W338" s="79" t="str">
        <f>IF(AND('341-CT'!$H$9=H338,OR(LEFT(N338,3)=$W$7,LEFT(O338,3)=$W$7)),"x","")</f>
        <v/>
      </c>
      <c r="X338" s="79" t="str">
        <f>IF(OR(TH!N338=TH!$X$7,O338=TH!$X$7),"x","")</f>
        <v/>
      </c>
      <c r="Y338" s="79" t="str">
        <f>IF(AND(OR(N338="131",O338="131"),H338='131-CT'!$H$9),"x","")</f>
        <v/>
      </c>
      <c r="Z338" s="79"/>
      <c r="AA338" s="79" t="str">
        <f>IF(AND(MONTH(E338)='IN-NX'!$J$5,'IN-NX'!$D$7=D338),"x","")</f>
        <v/>
      </c>
      <c r="AB338" s="79" t="str">
        <f>IF(AND(OR(LEFT(TH!N338,2)="15",LEFT(TH!O338,2)="15"),LEFT(TH!O338,3)&lt;&gt;"111",'152-CT'!$J$8=TH!F338),"x","")</f>
        <v/>
      </c>
      <c r="AC338" s="79" t="str">
        <f>IF(AND(OR(LEFT(TH!N338,2)="15",LEFT(TH!O338,2)="15"),TK!$E$7=TH!F338),"x","")</f>
        <v/>
      </c>
      <c r="AD338" s="79" t="str">
        <f>IF(AND(N338="1521",MONTH(C338)='BK-NL'!$M$11),"x","")</f>
        <v/>
      </c>
    </row>
    <row r="339" spans="1:30" ht="16.5" customHeight="1">
      <c r="A339" s="318" t="str">
        <f>IF(B339&lt;&gt;"",IF(AND(B339='IN-TC'!$S$4,OR(TH!N339="1111",TH!O339="1111")),TH!D339,""),"")</f>
        <v/>
      </c>
      <c r="B339" s="1106">
        <f t="shared" si="98"/>
        <v>1</v>
      </c>
      <c r="C339" s="974">
        <v>43111</v>
      </c>
      <c r="D339" s="974" t="s">
        <v>985</v>
      </c>
      <c r="E339" s="974">
        <f t="shared" si="99"/>
        <v>43111</v>
      </c>
      <c r="F339" s="975" t="s">
        <v>1037</v>
      </c>
      <c r="G339" s="1018" t="s">
        <v>746</v>
      </c>
      <c r="H339" s="305" t="s">
        <v>1002</v>
      </c>
      <c r="I339" s="383"/>
      <c r="J339" s="977"/>
      <c r="K339" s="383">
        <v>6600</v>
      </c>
      <c r="L339" s="390">
        <v>22700</v>
      </c>
      <c r="M339" s="978">
        <f>ROUND(K339*L339,0)</f>
        <v>149820000</v>
      </c>
      <c r="N339" s="979" t="s">
        <v>8</v>
      </c>
      <c r="O339" s="979" t="s">
        <v>256</v>
      </c>
      <c r="P339" s="79" t="str">
        <f>IF(AND('331-CT'!$E$7=TH!H339,OR(N339="331",O339="331")),"x","")</f>
        <v/>
      </c>
      <c r="Q339" s="79" t="str">
        <f>IF(AND(B339='111'!$L$11,OR($N339=$Q$7,$O339=$Q$7)),"x","")</f>
        <v/>
      </c>
      <c r="R339" s="79" t="str">
        <f>IF(AND($N339=$Q$7,$B339&lt;'111'!$L$11),"x","")</f>
        <v/>
      </c>
      <c r="S339" s="79" t="str">
        <f>IF(AND($O339=$Q$7,$B339&lt;'111'!$L$11),"x","")</f>
        <v/>
      </c>
      <c r="T339" s="79" t="str">
        <f>IF(ISERROR(FIND('112'!$M$9,G339,1)),"",IF((AND(FIND('112'!$M$9,G339,1)&gt;=1,B339='112'!$K$9,OR($N339='112'!$I$6,$O339='112'!$I$6))),"x",""))</f>
        <v>x</v>
      </c>
      <c r="U339" s="79" t="str">
        <f>IF(ISERROR(FIND('112'!$M$9,G339,1)),"",IF((AND(LEFT(G339,2)=LEFT('112'!$M$9,2),B339&lt;'112'!$K$9,$N339='112'!$I$6)),"x",""))</f>
        <v/>
      </c>
      <c r="V339" s="79" t="str">
        <f>IF(ISERROR(FIND('112'!$M$9,G339,1)),"",IF((AND(RIGHT(G339,2)=RIGHT('112'!$M$9,2),B339&lt;'112'!$K$9,$O339='112'!$I$6)),"x",""))</f>
        <v/>
      </c>
      <c r="W339" s="79" t="str">
        <f>IF(AND('341-CT'!$H$9=H339,OR(LEFT(N339,3)=$W$7,LEFT(O339,3)=$W$7)),"x","")</f>
        <v/>
      </c>
      <c r="X339" s="79" t="str">
        <f>IF(OR(TH!N339=TH!$X$7,O339=TH!$X$7),"x","")</f>
        <v/>
      </c>
      <c r="Y339" s="79" t="str">
        <f>IF(AND(OR(N339="131",O339="131"),H339='131-CT'!$H$9),"x","")</f>
        <v/>
      </c>
      <c r="Z339" s="79"/>
      <c r="AA339" s="79" t="str">
        <f>IF(AND(MONTH(E339)='IN-NX'!$J$5,'IN-NX'!$D$7=D339),"x","")</f>
        <v/>
      </c>
      <c r="AB339" s="79" t="str">
        <f>IF(AND(OR(LEFT(TH!N339,2)="15",LEFT(TH!O339,2)="15"),LEFT(TH!O339,3)&lt;&gt;"111",'152-CT'!$J$8=TH!F339),"x","")</f>
        <v/>
      </c>
      <c r="AC339" s="79" t="str">
        <f>IF(AND(OR(LEFT(TH!N339,2)="15",LEFT(TH!O339,2)="15"),TK!$E$7=TH!F339),"x","")</f>
        <v/>
      </c>
      <c r="AD339" s="79" t="str">
        <f>IF(AND(N339="1521",MONTH(C339)='BK-NL'!$M$11),"x","")</f>
        <v/>
      </c>
    </row>
    <row r="340" spans="1:30" ht="16.5" customHeight="1">
      <c r="A340" s="318" t="str">
        <f>IF(B340&lt;&gt;"",IF(AND(B340='IN-TC'!$S$4,OR(TH!N340="1111",TH!O340="1111")),TH!D340,""),"")</f>
        <v/>
      </c>
      <c r="B340" s="1106">
        <f t="shared" si="98"/>
        <v>1</v>
      </c>
      <c r="C340" s="974">
        <v>43111</v>
      </c>
      <c r="D340" s="974" t="s">
        <v>989</v>
      </c>
      <c r="E340" s="974">
        <f t="shared" si="99"/>
        <v>43111</v>
      </c>
      <c r="F340" s="975" t="s">
        <v>1006</v>
      </c>
      <c r="G340" s="1018" t="s">
        <v>746</v>
      </c>
      <c r="H340" s="305" t="s">
        <v>861</v>
      </c>
      <c r="I340" s="383"/>
      <c r="J340" s="977"/>
      <c r="K340" s="383">
        <v>142449.5</v>
      </c>
      <c r="L340" s="390">
        <v>22700</v>
      </c>
      <c r="M340" s="978">
        <f>ROUND(K340*L340,0)</f>
        <v>3233603650</v>
      </c>
      <c r="N340" s="979" t="s">
        <v>256</v>
      </c>
      <c r="O340" s="979" t="s">
        <v>537</v>
      </c>
      <c r="P340" s="79" t="str">
        <f>IF(AND('331-CT'!$E$7=TH!H340,OR(N340="331",O340="331")),"x","")</f>
        <v/>
      </c>
      <c r="Q340" s="79" t="str">
        <f>IF(AND(B340='111'!$L$11,OR($N340=$Q$7,$O340=$Q$7)),"x","")</f>
        <v/>
      </c>
      <c r="R340" s="79" t="str">
        <f>IF(AND($N340=$Q$7,$B340&lt;'111'!$L$11),"x","")</f>
        <v/>
      </c>
      <c r="S340" s="79" t="str">
        <f>IF(AND($O340=$Q$7,$B340&lt;'111'!$L$11),"x","")</f>
        <v/>
      </c>
      <c r="T340" s="79" t="str">
        <f>IF(ISERROR(FIND('112'!$M$9,G340,1)),"",IF((AND(FIND('112'!$M$9,G340,1)&gt;=1,B340='112'!$K$9,OR($N340='112'!$I$6,$O340='112'!$I$6))),"x",""))</f>
        <v>x</v>
      </c>
      <c r="U340" s="79" t="str">
        <f>IF(ISERROR(FIND('112'!$M$9,G340,1)),"",IF((AND(LEFT(G340,2)=LEFT('112'!$M$9,2),B340&lt;'112'!$K$9,$N340='112'!$I$6)),"x",""))</f>
        <v/>
      </c>
      <c r="V340" s="79" t="str">
        <f>IF(ISERROR(FIND('112'!$M$9,G340,1)),"",IF((AND(RIGHT(G340,2)=RIGHT('112'!$M$9,2),B340&lt;'112'!$K$9,$O340='112'!$I$6)),"x",""))</f>
        <v/>
      </c>
      <c r="W340" s="79" t="str">
        <f>IF(AND('341-CT'!$H$9=H340,OR(LEFT(N340,3)=$W$7,LEFT(O340,3)=$W$7)),"x","")</f>
        <v/>
      </c>
      <c r="X340" s="79" t="str">
        <f>IF(OR(TH!N340=TH!$X$7,O340=TH!$X$7),"x","")</f>
        <v/>
      </c>
      <c r="Y340" s="79" t="str">
        <f>IF(AND(OR(N340="131",O340="131"),H340='131-CT'!$H$9),"x","")</f>
        <v/>
      </c>
      <c r="Z340" s="79"/>
      <c r="AA340" s="79" t="str">
        <f>IF(AND(MONTH(E340)='IN-NX'!$J$5,'IN-NX'!$D$7=D340),"x","")</f>
        <v/>
      </c>
      <c r="AB340" s="79" t="str">
        <f>IF(AND(OR(LEFT(TH!N340,2)="15",LEFT(TH!O340,2)="15"),LEFT(TH!O340,3)&lt;&gt;"111",'152-CT'!$J$8=TH!F340),"x","")</f>
        <v/>
      </c>
      <c r="AC340" s="79" t="str">
        <f>IF(AND(OR(LEFT(TH!N340,2)="15",LEFT(TH!O340,2)="15"),TK!$E$7=TH!F340),"x","")</f>
        <v/>
      </c>
      <c r="AD340" s="79" t="str">
        <f>IF(AND(N340="1521",MONTH(C340)='BK-NL'!$M$11),"x","")</f>
        <v/>
      </c>
    </row>
    <row r="341" spans="1:30" ht="16.5" customHeight="1">
      <c r="A341" s="318" t="str">
        <f>IF(B341&lt;&gt;"",IF(AND(B341='IN-TC'!$S$4,OR(TH!N341="1111",TH!O341="1111")),TH!D341,""),"")</f>
        <v/>
      </c>
      <c r="B341" s="1106">
        <f t="shared" si="98"/>
        <v>1</v>
      </c>
      <c r="C341" s="974">
        <v>43112</v>
      </c>
      <c r="D341" s="974" t="s">
        <v>985</v>
      </c>
      <c r="E341" s="974">
        <f t="shared" si="99"/>
        <v>43112</v>
      </c>
      <c r="F341" s="975" t="s">
        <v>1009</v>
      </c>
      <c r="G341" s="1018" t="s">
        <v>746</v>
      </c>
      <c r="H341" s="77" t="s">
        <v>886</v>
      </c>
      <c r="I341" s="383"/>
      <c r="J341" s="977"/>
      <c r="K341" s="383">
        <v>83500</v>
      </c>
      <c r="L341" s="390">
        <v>22700</v>
      </c>
      <c r="M341" s="978">
        <f t="shared" ref="M341:M344" si="101">ROUND(K341*L341,0)</f>
        <v>1895450000</v>
      </c>
      <c r="N341" s="979" t="s">
        <v>250</v>
      </c>
      <c r="O341" s="979" t="s">
        <v>256</v>
      </c>
      <c r="P341" s="79" t="str">
        <f>IF(AND('331-CT'!$E$7=TH!H341,OR(N341="331",O341="331")),"x","")</f>
        <v/>
      </c>
      <c r="Q341" s="79" t="str">
        <f>IF(AND(B341='111'!$L$11,OR($N341=$Q$7,$O341=$Q$7)),"x","")</f>
        <v/>
      </c>
      <c r="R341" s="79" t="str">
        <f>IF(AND($N341=$Q$7,$B341&lt;'111'!$L$11),"x","")</f>
        <v/>
      </c>
      <c r="S341" s="79" t="str">
        <f>IF(AND($O341=$Q$7,$B341&lt;'111'!$L$11),"x","")</f>
        <v/>
      </c>
      <c r="T341" s="79" t="str">
        <f>IF(ISERROR(FIND('112'!$M$9,G341,1)),"",IF((AND(FIND('112'!$M$9,G341,1)&gt;=1,B341='112'!$K$9,OR($N341='112'!$I$6,$O341='112'!$I$6))),"x",""))</f>
        <v>x</v>
      </c>
      <c r="U341" s="79" t="str">
        <f>IF(ISERROR(FIND('112'!$M$9,G341,1)),"",IF((AND(LEFT(G341,2)=LEFT('112'!$M$9,2),B341&lt;'112'!$K$9,$N341='112'!$I$6)),"x",""))</f>
        <v/>
      </c>
      <c r="V341" s="79" t="str">
        <f>IF(ISERROR(FIND('112'!$M$9,G341,1)),"",IF((AND(RIGHT(G341,2)=RIGHT('112'!$M$9,2),B341&lt;'112'!$K$9,$O341='112'!$I$6)),"x",""))</f>
        <v/>
      </c>
      <c r="W341" s="79" t="str">
        <f>IF(AND('341-CT'!$H$9=H341,OR(LEFT(N341,3)=$W$7,LEFT(O341,3)=$W$7)),"x","")</f>
        <v/>
      </c>
      <c r="X341" s="79" t="str">
        <f>IF(OR(TH!N341=TH!$X$7,O341=TH!$X$7),"x","")</f>
        <v/>
      </c>
      <c r="Y341" s="79" t="str">
        <f>IF(AND(OR(N341="131",O341="131"),H341='131-CT'!$H$9),"x","")</f>
        <v/>
      </c>
      <c r="Z341" s="79"/>
      <c r="AA341" s="79" t="str">
        <f>IF(AND(MONTH(E341)='IN-NX'!$J$5,'IN-NX'!$D$7=D341),"x","")</f>
        <v/>
      </c>
      <c r="AB341" s="79" t="str">
        <f>IF(AND(OR(LEFT(TH!N341,2)="15",LEFT(TH!O341,2)="15"),LEFT(TH!O341,3)&lt;&gt;"111",'152-CT'!$J$8=TH!F341),"x","")</f>
        <v/>
      </c>
      <c r="AC341" s="79" t="str">
        <f>IF(AND(OR(LEFT(TH!N341,2)="15",LEFT(TH!O341,2)="15"),TK!$E$7=TH!F341),"x","")</f>
        <v/>
      </c>
      <c r="AD341" s="79" t="str">
        <f>IF(AND(N341="1521",MONTH(C341)='BK-NL'!$M$11),"x","")</f>
        <v/>
      </c>
    </row>
    <row r="342" spans="1:30" ht="16.5" customHeight="1">
      <c r="A342" s="318" t="str">
        <f>IF(B342&lt;&gt;"",IF(AND(B342='IN-TC'!$S$4,OR(TH!N342="1111",TH!O342="1111")),TH!D342,""),"")</f>
        <v/>
      </c>
      <c r="B342" s="1106">
        <f t="shared" si="98"/>
        <v>1</v>
      </c>
      <c r="C342" s="974">
        <v>43112</v>
      </c>
      <c r="D342" s="974" t="s">
        <v>985</v>
      </c>
      <c r="E342" s="974">
        <f t="shared" si="99"/>
        <v>43112</v>
      </c>
      <c r="F342" s="975" t="s">
        <v>814</v>
      </c>
      <c r="G342" s="1018" t="s">
        <v>746</v>
      </c>
      <c r="H342" s="77" t="s">
        <v>886</v>
      </c>
      <c r="I342" s="383"/>
      <c r="J342" s="977"/>
      <c r="K342" s="383">
        <v>199.7</v>
      </c>
      <c r="L342" s="390">
        <v>22700</v>
      </c>
      <c r="M342" s="978">
        <f t="shared" si="101"/>
        <v>4533190</v>
      </c>
      <c r="N342" s="979" t="s">
        <v>99</v>
      </c>
      <c r="O342" s="979" t="s">
        <v>256</v>
      </c>
      <c r="P342" s="79" t="str">
        <f>IF(AND('331-CT'!$E$7=TH!H342,OR(N342="331",O342="331")),"x","")</f>
        <v/>
      </c>
      <c r="Q342" s="79" t="str">
        <f>IF(AND(B342='111'!$L$11,OR($N342=$Q$7,$O342=$Q$7)),"x","")</f>
        <v/>
      </c>
      <c r="R342" s="79" t="str">
        <f>IF(AND($N342=$Q$7,$B342&lt;'111'!$L$11),"x","")</f>
        <v/>
      </c>
      <c r="S342" s="79" t="str">
        <f>IF(AND($O342=$Q$7,$B342&lt;'111'!$L$11),"x","")</f>
        <v/>
      </c>
      <c r="T342" s="79" t="str">
        <f>IF(ISERROR(FIND('112'!$M$9,G342,1)),"",IF((AND(FIND('112'!$M$9,G342,1)&gt;=1,B342='112'!$K$9,OR($N342='112'!$I$6,$O342='112'!$I$6))),"x",""))</f>
        <v>x</v>
      </c>
      <c r="U342" s="79" t="str">
        <f>IF(ISERROR(FIND('112'!$M$9,G342,1)),"",IF((AND(LEFT(G342,2)=LEFT('112'!$M$9,2),B342&lt;'112'!$K$9,$N342='112'!$I$6)),"x",""))</f>
        <v/>
      </c>
      <c r="V342" s="79" t="str">
        <f>IF(ISERROR(FIND('112'!$M$9,G342,1)),"",IF((AND(RIGHT(G342,2)=RIGHT('112'!$M$9,2),B342&lt;'112'!$K$9,$O342='112'!$I$6)),"x",""))</f>
        <v/>
      </c>
      <c r="W342" s="79" t="str">
        <f>IF(AND('341-CT'!$H$9=H342,OR(LEFT(N342,3)=$W$7,LEFT(O342,3)=$W$7)),"x","")</f>
        <v/>
      </c>
      <c r="X342" s="79" t="str">
        <f>IF(OR(TH!N342=TH!$X$7,O342=TH!$X$7),"x","")</f>
        <v/>
      </c>
      <c r="Y342" s="79" t="str">
        <f>IF(AND(OR(N342="131",O342="131"),H342='131-CT'!$H$9),"x","")</f>
        <v/>
      </c>
      <c r="Z342" s="79"/>
      <c r="AA342" s="79" t="str">
        <f>IF(AND(MONTH(E342)='IN-NX'!$J$5,'IN-NX'!$D$7=D342),"x","")</f>
        <v/>
      </c>
      <c r="AB342" s="79" t="str">
        <f>IF(AND(OR(LEFT(TH!N342,2)="15",LEFT(TH!O342,2)="15"),LEFT(TH!O342,3)&lt;&gt;"111",'152-CT'!$J$8=TH!F342),"x","")</f>
        <v/>
      </c>
      <c r="AC342" s="79" t="str">
        <f>IF(AND(OR(LEFT(TH!N342,2)="15",LEFT(TH!O342,2)="15"),TK!$E$7=TH!F342),"x","")</f>
        <v/>
      </c>
      <c r="AD342" s="79" t="str">
        <f>IF(AND(N342="1521",MONTH(C342)='BK-NL'!$M$11),"x","")</f>
        <v/>
      </c>
    </row>
    <row r="343" spans="1:30" ht="16.5" customHeight="1">
      <c r="A343" s="318" t="str">
        <f>IF(B343&lt;&gt;"",IF(AND(B343='IN-TC'!$S$4,OR(TH!N343="1111",TH!O343="1111")),TH!D343,""),"")</f>
        <v/>
      </c>
      <c r="B343" s="1106">
        <f t="shared" si="98"/>
        <v>1</v>
      </c>
      <c r="C343" s="974">
        <v>43112</v>
      </c>
      <c r="D343" s="974" t="s">
        <v>532</v>
      </c>
      <c r="E343" s="974">
        <f t="shared" si="99"/>
        <v>43112</v>
      </c>
      <c r="F343" s="975" t="s">
        <v>1008</v>
      </c>
      <c r="G343" s="1018" t="s">
        <v>746</v>
      </c>
      <c r="H343" s="77" t="s">
        <v>886</v>
      </c>
      <c r="I343" s="383"/>
      <c r="J343" s="977"/>
      <c r="K343" s="383"/>
      <c r="L343" s="390"/>
      <c r="M343" s="978">
        <v>1503000</v>
      </c>
      <c r="N343" s="979" t="s">
        <v>250</v>
      </c>
      <c r="O343" s="979" t="s">
        <v>43</v>
      </c>
      <c r="P343" s="79" t="str">
        <f>IF(AND('331-CT'!$E$7=TH!H343,OR(N343="331",O343="331")),"x","")</f>
        <v/>
      </c>
      <c r="Q343" s="79" t="str">
        <f>IF(AND(B343='111'!$L$11,OR($N343=$Q$7,$O343=$Q$7)),"x","")</f>
        <v/>
      </c>
      <c r="R343" s="79" t="str">
        <f>IF(AND($N343=$Q$7,$B343&lt;'111'!$L$11),"x","")</f>
        <v/>
      </c>
      <c r="S343" s="79" t="str">
        <f>IF(AND($O343=$Q$7,$B343&lt;'111'!$L$11),"x","")</f>
        <v/>
      </c>
      <c r="T343" s="79" t="str">
        <f>IF(ISERROR(FIND('112'!$M$9,G343,1)),"",IF((AND(FIND('112'!$M$9,G343,1)&gt;=1,B343='112'!$K$9,OR($N343='112'!$I$6,$O343='112'!$I$6))),"x",""))</f>
        <v/>
      </c>
      <c r="U343" s="79" t="str">
        <f>IF(ISERROR(FIND('112'!$M$9,G343,1)),"",IF((AND(LEFT(G343,2)=LEFT('112'!$M$9,2),B343&lt;'112'!$K$9,$N343='112'!$I$6)),"x",""))</f>
        <v/>
      </c>
      <c r="V343" s="79" t="str">
        <f>IF(ISERROR(FIND('112'!$M$9,G343,1)),"",IF((AND(RIGHT(G343,2)=RIGHT('112'!$M$9,2),B343&lt;'112'!$K$9,$O343='112'!$I$6)),"x",""))</f>
        <v/>
      </c>
      <c r="W343" s="79" t="str">
        <f>IF(AND('341-CT'!$H$9=H343,OR(LEFT(N343,3)=$W$7,LEFT(O343,3)=$W$7)),"x","")</f>
        <v/>
      </c>
      <c r="X343" s="79" t="str">
        <f>IF(OR(TH!N343=TH!$X$7,O343=TH!$X$7),"x","")</f>
        <v/>
      </c>
      <c r="Y343" s="79" t="str">
        <f>IF(AND(OR(N343="131",O343="131"),H343='131-CT'!$H$9),"x","")</f>
        <v/>
      </c>
      <c r="Z343" s="79"/>
      <c r="AA343" s="79" t="str">
        <f>IF(AND(MONTH(E343)='IN-NX'!$J$5,'IN-NX'!$D$7=D343),"x","")</f>
        <v/>
      </c>
      <c r="AB343" s="79" t="str">
        <f>IF(AND(OR(LEFT(TH!N343,2)="15",LEFT(TH!O343,2)="15"),LEFT(TH!O343,3)&lt;&gt;"111",'152-CT'!$J$8=TH!F343),"x","")</f>
        <v/>
      </c>
      <c r="AC343" s="79" t="str">
        <f>IF(AND(OR(LEFT(TH!N343,2)="15",LEFT(TH!O343,2)="15"),TK!$E$7=TH!F343),"x","")</f>
        <v/>
      </c>
      <c r="AD343" s="79" t="str">
        <f>IF(AND(N343="1521",MONTH(C343)='BK-NL'!$M$11),"x","")</f>
        <v/>
      </c>
    </row>
    <row r="344" spans="1:30" ht="16.5" customHeight="1">
      <c r="A344" s="318" t="str">
        <f>IF(B344&lt;&gt;"",IF(AND(B344='IN-TC'!$S$4,OR(TH!N344="1111",TH!O344="1111")),TH!D344,""),"")</f>
        <v/>
      </c>
      <c r="B344" s="1106">
        <f t="shared" ref="B344:B359" si="102">IF(C344&lt;&gt;"",MONTH(C344),"")</f>
        <v>1</v>
      </c>
      <c r="C344" s="974">
        <v>43117</v>
      </c>
      <c r="D344" s="974" t="s">
        <v>989</v>
      </c>
      <c r="E344" s="974">
        <f t="shared" ref="E344:E359" si="103">C344</f>
        <v>43117</v>
      </c>
      <c r="F344" s="975" t="s">
        <v>1006</v>
      </c>
      <c r="G344" s="1018" t="s">
        <v>746</v>
      </c>
      <c r="H344" s="77" t="s">
        <v>1025</v>
      </c>
      <c r="I344" s="383"/>
      <c r="J344" s="977"/>
      <c r="K344" s="383">
        <v>21166</v>
      </c>
      <c r="L344" s="390">
        <v>22700</v>
      </c>
      <c r="M344" s="978">
        <f t="shared" si="101"/>
        <v>480468200</v>
      </c>
      <c r="N344" s="979" t="s">
        <v>256</v>
      </c>
      <c r="O344" s="979" t="s">
        <v>537</v>
      </c>
      <c r="P344" s="79" t="str">
        <f>IF(AND('331-CT'!$E$7=TH!H344,OR(N344="331",O344="331")),"x","")</f>
        <v/>
      </c>
      <c r="Q344" s="79" t="str">
        <f>IF(AND(B344='111'!$L$11,OR($N344=$Q$7,$O344=$Q$7)),"x","")</f>
        <v/>
      </c>
      <c r="R344" s="79" t="str">
        <f>IF(AND($N344=$Q$7,$B344&lt;'111'!$L$11),"x","")</f>
        <v/>
      </c>
      <c r="S344" s="79" t="str">
        <f>IF(AND($O344=$Q$7,$B344&lt;'111'!$L$11),"x","")</f>
        <v/>
      </c>
      <c r="T344" s="79" t="str">
        <f>IF(ISERROR(FIND('112'!$M$9,G344,1)),"",IF((AND(FIND('112'!$M$9,G344,1)&gt;=1,B344='112'!$K$9,OR($N344='112'!$I$6,$O344='112'!$I$6))),"x",""))</f>
        <v>x</v>
      </c>
      <c r="U344" s="79" t="str">
        <f>IF(ISERROR(FIND('112'!$M$9,G344,1)),"",IF((AND(LEFT(G344,2)=LEFT('112'!$M$9,2),B344&lt;'112'!$K$9,$N344='112'!$I$6)),"x",""))</f>
        <v/>
      </c>
      <c r="V344" s="79" t="str">
        <f>IF(ISERROR(FIND('112'!$M$9,G344,1)),"",IF((AND(RIGHT(G344,2)=RIGHT('112'!$M$9,2),B344&lt;'112'!$K$9,$O344='112'!$I$6)),"x",""))</f>
        <v/>
      </c>
      <c r="W344" s="79" t="str">
        <f>IF(AND('341-CT'!$H$9=H344,OR(LEFT(N344,3)=$W$7,LEFT(O344,3)=$W$7)),"x","")</f>
        <v/>
      </c>
      <c r="X344" s="79" t="str">
        <f>IF(OR(TH!N344=TH!$X$7,O344=TH!$X$7),"x","")</f>
        <v/>
      </c>
      <c r="Y344" s="79" t="str">
        <f>IF(AND(OR(N344="131",O344="131"),H344='131-CT'!$H$9),"x","")</f>
        <v>x</v>
      </c>
      <c r="Z344" s="79"/>
      <c r="AA344" s="79" t="str">
        <f>IF(AND(MONTH(E344)='IN-NX'!$J$5,'IN-NX'!$D$7=D344),"x","")</f>
        <v/>
      </c>
      <c r="AB344" s="79" t="str">
        <f>IF(AND(OR(LEFT(TH!N344,2)="15",LEFT(TH!O344,2)="15"),LEFT(TH!O344,3)&lt;&gt;"111",'152-CT'!$J$8=TH!F344),"x","")</f>
        <v/>
      </c>
      <c r="AC344" s="79" t="str">
        <f>IF(AND(OR(LEFT(TH!N344,2)="15",LEFT(TH!O344,2)="15"),TK!$E$7=TH!F344),"x","")</f>
        <v/>
      </c>
      <c r="AD344" s="79" t="str">
        <f>IF(AND(N344="1521",MONTH(C344)='BK-NL'!$M$11),"x","")</f>
        <v/>
      </c>
    </row>
    <row r="345" spans="1:30" ht="16.5" customHeight="1">
      <c r="A345" s="318" t="str">
        <f>IF(B345&lt;&gt;"",IF(AND(B345='IN-TC'!$S$4,OR(TH!N345="1111",TH!O345="1111")),TH!D345,""),"")</f>
        <v/>
      </c>
      <c r="B345" s="1106">
        <f t="shared" ref="B345:B346" si="104">IF(C345&lt;&gt;"",MONTH(C345),"")</f>
        <v>1</v>
      </c>
      <c r="C345" s="974">
        <v>43117</v>
      </c>
      <c r="D345" s="974" t="s">
        <v>532</v>
      </c>
      <c r="E345" s="974">
        <f t="shared" ref="E345:E346" si="105">C345</f>
        <v>43117</v>
      </c>
      <c r="F345" s="975" t="s">
        <v>1007</v>
      </c>
      <c r="G345" s="1018" t="s">
        <v>746</v>
      </c>
      <c r="H345" s="77" t="s">
        <v>1025</v>
      </c>
      <c r="I345" s="383"/>
      <c r="J345" s="977"/>
      <c r="K345" s="383">
        <v>32</v>
      </c>
      <c r="L345" s="390">
        <v>22700</v>
      </c>
      <c r="M345" s="978">
        <f t="shared" ref="M345" si="106">ROUND(K345*L345,0)</f>
        <v>726400</v>
      </c>
      <c r="N345" s="979" t="s">
        <v>101</v>
      </c>
      <c r="O345" s="979" t="s">
        <v>537</v>
      </c>
      <c r="P345" s="79" t="str">
        <f>IF(AND('331-CT'!$E$7=TH!H345,OR(N345="331",O345="331")),"x","")</f>
        <v/>
      </c>
      <c r="Q345" s="79" t="str">
        <f>IF(AND(B345='111'!$L$11,OR($N345=$Q$7,$O345=$Q$7)),"x","")</f>
        <v/>
      </c>
      <c r="R345" s="79" t="str">
        <f>IF(AND($N345=$Q$7,$B345&lt;'111'!$L$11),"x","")</f>
        <v/>
      </c>
      <c r="S345" s="79" t="str">
        <f>IF(AND($O345=$Q$7,$B345&lt;'111'!$L$11),"x","")</f>
        <v/>
      </c>
      <c r="T345" s="79" t="str">
        <f>IF(ISERROR(FIND('112'!$M$9,G345,1)),"",IF((AND(FIND('112'!$M$9,G345,1)&gt;=1,B345='112'!$K$9,OR($N345='112'!$I$6,$O345='112'!$I$6))),"x",""))</f>
        <v/>
      </c>
      <c r="U345" s="79" t="str">
        <f>IF(ISERROR(FIND('112'!$M$9,G345,1)),"",IF((AND(LEFT(G345,2)=LEFT('112'!$M$9,2),B345&lt;'112'!$K$9,$N345='112'!$I$6)),"x",""))</f>
        <v/>
      </c>
      <c r="V345" s="79" t="str">
        <f>IF(ISERROR(FIND('112'!$M$9,G345,1)),"",IF((AND(RIGHT(G345,2)=RIGHT('112'!$M$9,2),B345&lt;'112'!$K$9,$O345='112'!$I$6)),"x",""))</f>
        <v/>
      </c>
      <c r="W345" s="79" t="str">
        <f>IF(AND('341-CT'!$H$9=H345,OR(LEFT(N345,3)=$W$7,LEFT(O345,3)=$W$7)),"x","")</f>
        <v/>
      </c>
      <c r="X345" s="79" t="str">
        <f>IF(OR(TH!N345=TH!$X$7,O345=TH!$X$7),"x","")</f>
        <v/>
      </c>
      <c r="Y345" s="79" t="str">
        <f>IF(AND(OR(N345="131",O345="131"),H345='131-CT'!$H$9),"x","")</f>
        <v>x</v>
      </c>
      <c r="Z345" s="79"/>
      <c r="AA345" s="79" t="str">
        <f>IF(AND(MONTH(E345)='IN-NX'!$J$5,'IN-NX'!$D$7=D345),"x","")</f>
        <v/>
      </c>
      <c r="AB345" s="79" t="str">
        <f>IF(AND(OR(LEFT(TH!N345,2)="15",LEFT(TH!O345,2)="15"),LEFT(TH!O345,3)&lt;&gt;"111",'152-CT'!$J$8=TH!F345),"x","")</f>
        <v/>
      </c>
      <c r="AC345" s="79" t="str">
        <f>IF(AND(OR(LEFT(TH!N345,2)="15",LEFT(TH!O345,2)="15"),TK!$E$7=TH!F345),"x","")</f>
        <v/>
      </c>
      <c r="AD345" s="79" t="str">
        <f>IF(AND(N345="1521",MONTH(C345)='BK-NL'!$M$11),"x","")</f>
        <v/>
      </c>
    </row>
    <row r="346" spans="1:30" ht="16.5" customHeight="1">
      <c r="A346" s="318" t="str">
        <f>IF(B346&lt;&gt;"",IF(AND(B346='IN-TC'!$S$4,OR(TH!N346="1111",TH!O346="1111")),TH!D346,""),"")</f>
        <v/>
      </c>
      <c r="B346" s="1106">
        <f t="shared" si="104"/>
        <v>1</v>
      </c>
      <c r="C346" s="974">
        <v>43117</v>
      </c>
      <c r="D346" s="974" t="s">
        <v>532</v>
      </c>
      <c r="E346" s="974">
        <f t="shared" si="105"/>
        <v>43117</v>
      </c>
      <c r="F346" s="975" t="s">
        <v>1008</v>
      </c>
      <c r="G346" s="1018" t="s">
        <v>746</v>
      </c>
      <c r="H346" s="77" t="s">
        <v>1025</v>
      </c>
      <c r="I346" s="383"/>
      <c r="J346" s="977"/>
      <c r="K346" s="383"/>
      <c r="L346" s="390"/>
      <c r="M346" s="978">
        <v>529950</v>
      </c>
      <c r="N346" s="979" t="s">
        <v>537</v>
      </c>
      <c r="O346" s="979" t="s">
        <v>43</v>
      </c>
      <c r="P346" s="79" t="str">
        <f>IF(AND('331-CT'!$E$7=TH!H346,OR(N346="331",O346="331")),"x","")</f>
        <v/>
      </c>
      <c r="Q346" s="79" t="str">
        <f>IF(AND(B346='111'!$L$11,OR($N346=$Q$7,$O346=$Q$7)),"x","")</f>
        <v/>
      </c>
      <c r="R346" s="79" t="str">
        <f>IF(AND($N346=$Q$7,$B346&lt;'111'!$L$11),"x","")</f>
        <v/>
      </c>
      <c r="S346" s="79" t="str">
        <f>IF(AND($O346=$Q$7,$B346&lt;'111'!$L$11),"x","")</f>
        <v/>
      </c>
      <c r="T346" s="79" t="str">
        <f>IF(ISERROR(FIND('112'!$M$9,G346,1)),"",IF((AND(FIND('112'!$M$9,G346,1)&gt;=1,B346='112'!$K$9,OR($N346='112'!$I$6,$O346='112'!$I$6))),"x",""))</f>
        <v/>
      </c>
      <c r="U346" s="79" t="str">
        <f>IF(ISERROR(FIND('112'!$M$9,G346,1)),"",IF((AND(LEFT(G346,2)=LEFT('112'!$M$9,2),B346&lt;'112'!$K$9,$N346='112'!$I$6)),"x",""))</f>
        <v/>
      </c>
      <c r="V346" s="79" t="str">
        <f>IF(ISERROR(FIND('112'!$M$9,G346,1)),"",IF((AND(RIGHT(G346,2)=RIGHT('112'!$M$9,2),B346&lt;'112'!$K$9,$O346='112'!$I$6)),"x",""))</f>
        <v/>
      </c>
      <c r="W346" s="79" t="str">
        <f>IF(AND('341-CT'!$H$9=H346,OR(LEFT(N346,3)=$W$7,LEFT(O346,3)=$W$7)),"x","")</f>
        <v/>
      </c>
      <c r="X346" s="79" t="str">
        <f>IF(OR(TH!N346=TH!$X$7,O346=TH!$X$7),"x","")</f>
        <v/>
      </c>
      <c r="Y346" s="79" t="str">
        <f>IF(AND(OR(N346="131",O346="131"),H346='131-CT'!$H$9),"x","")</f>
        <v>x</v>
      </c>
      <c r="Z346" s="79"/>
      <c r="AA346" s="79" t="str">
        <f>IF(AND(MONTH(E346)='IN-NX'!$J$5,'IN-NX'!$D$7=D346),"x","")</f>
        <v/>
      </c>
      <c r="AB346" s="79" t="str">
        <f>IF(AND(OR(LEFT(TH!N346,2)="15",LEFT(TH!O346,2)="15"),LEFT(TH!O346,3)&lt;&gt;"111",'152-CT'!$J$8=TH!F346),"x","")</f>
        <v/>
      </c>
      <c r="AC346" s="79" t="str">
        <f>IF(AND(OR(LEFT(TH!N346,2)="15",LEFT(TH!O346,2)="15"),TK!$E$7=TH!F346),"x","")</f>
        <v/>
      </c>
      <c r="AD346" s="79" t="str">
        <f>IF(AND(N346="1521",MONTH(C346)='BK-NL'!$M$11),"x","")</f>
        <v/>
      </c>
    </row>
    <row r="347" spans="1:30" ht="16.5" customHeight="1">
      <c r="A347" s="318" t="str">
        <f>IF(B347&lt;&gt;"",IF(AND(B347='IN-TC'!$S$4,OR(TH!N347="1111",TH!O347="1111")),TH!D347,""),"")</f>
        <v/>
      </c>
      <c r="B347" s="1106" t="str">
        <f t="shared" si="102"/>
        <v/>
      </c>
      <c r="C347" s="974"/>
      <c r="D347" s="974"/>
      <c r="E347" s="974">
        <f t="shared" si="103"/>
        <v>0</v>
      </c>
      <c r="F347" s="975"/>
      <c r="G347" s="976"/>
      <c r="H347" s="305"/>
      <c r="I347" s="383"/>
      <c r="J347" s="977"/>
      <c r="K347" s="383"/>
      <c r="L347" s="390"/>
      <c r="M347" s="978"/>
      <c r="N347" s="979"/>
      <c r="O347" s="979"/>
      <c r="P347" s="79" t="str">
        <f>IF(AND('331-CT'!$E$7=TH!H347,OR(N347="331",O347="331")),"x","")</f>
        <v/>
      </c>
      <c r="Q347" s="79" t="str">
        <f>IF(AND(B347='111'!$L$11,OR($N347=$Q$7,$O347=$Q$7)),"x","")</f>
        <v/>
      </c>
      <c r="R347" s="79" t="str">
        <f>IF(AND($N347=$Q$7,$B347&lt;'111'!$L$11),"x","")</f>
        <v/>
      </c>
      <c r="S347" s="79" t="str">
        <f>IF(AND($O347=$Q$7,$B347&lt;'111'!$L$11),"x","")</f>
        <v/>
      </c>
      <c r="T347" s="79" t="str">
        <f>IF(ISERROR(FIND('112'!$M$9,G347,1)),"",IF((AND(FIND('112'!$M$9,G347,1)&gt;=1,B347='112'!$K$9,OR($N347='112'!$I$6,$O347='112'!$I$6))),"x",""))</f>
        <v/>
      </c>
      <c r="U347" s="79" t="str">
        <f>IF(ISERROR(FIND('112'!$M$9,G347,1)),"",IF((AND(LEFT(G347,2)=LEFT('112'!$M$9,2),B347&lt;'112'!$K$9,$N347='112'!$I$6)),"x",""))</f>
        <v/>
      </c>
      <c r="V347" s="79" t="str">
        <f>IF(ISERROR(FIND('112'!$M$9,G347,1)),"",IF((AND(RIGHT(G347,2)=RIGHT('112'!$M$9,2),B347&lt;'112'!$K$9,$O347='112'!$I$6)),"x",""))</f>
        <v/>
      </c>
      <c r="W347" s="79" t="str">
        <f>IF(AND('341-CT'!$H$9=H347,OR(LEFT(N347,3)=$W$7,LEFT(O347,3)=$W$7)),"x","")</f>
        <v/>
      </c>
      <c r="X347" s="79" t="str">
        <f>IF(OR(TH!N347=TH!$X$7,O347=TH!$X$7),"x","")</f>
        <v/>
      </c>
      <c r="Y347" s="79" t="str">
        <f>IF(AND(OR(N347="131",O347="131"),H347='131-CT'!$H$9),"x","")</f>
        <v/>
      </c>
      <c r="Z347" s="79"/>
      <c r="AA347" s="79" t="str">
        <f>IF(AND(MONTH(E347)='IN-NX'!$J$5,'IN-NX'!$D$7=D347),"x","")</f>
        <v/>
      </c>
      <c r="AB347" s="79" t="str">
        <f>IF(AND(OR(LEFT(TH!N347,2)="15",LEFT(TH!O347,2)="15"),LEFT(TH!O347,3)&lt;&gt;"111",'152-CT'!$J$8=TH!F347),"x","")</f>
        <v/>
      </c>
      <c r="AC347" s="79" t="str">
        <f>IF(AND(OR(LEFT(TH!N347,2)="15",LEFT(TH!O347,2)="15"),TK!$E$7=TH!F347),"x","")</f>
        <v/>
      </c>
      <c r="AD347" s="79" t="str">
        <f>IF(AND(N347="1521",MONTH(C347)='BK-NL'!$M$11),"x","")</f>
        <v/>
      </c>
    </row>
    <row r="348" spans="1:30" ht="16.5" customHeight="1">
      <c r="A348" s="318" t="str">
        <f>IF(B348&lt;&gt;"",IF(AND(B348='IN-TC'!$S$4,OR(TH!N348="1111",TH!O348="1111")),TH!D348,""),"")</f>
        <v/>
      </c>
      <c r="B348" s="1106" t="str">
        <f t="shared" si="102"/>
        <v/>
      </c>
      <c r="C348" s="974"/>
      <c r="D348" s="974"/>
      <c r="E348" s="974">
        <f t="shared" si="103"/>
        <v>0</v>
      </c>
      <c r="F348" s="975"/>
      <c r="G348" s="976"/>
      <c r="H348" s="305"/>
      <c r="I348" s="383"/>
      <c r="J348" s="977"/>
      <c r="K348" s="383"/>
      <c r="L348" s="390"/>
      <c r="M348" s="978"/>
      <c r="N348" s="979"/>
      <c r="O348" s="979"/>
      <c r="P348" s="79" t="str">
        <f>IF(AND('331-CT'!$E$7=TH!H348,OR(N348="331",O348="331")),"x","")</f>
        <v/>
      </c>
      <c r="Q348" s="79" t="str">
        <f>IF(AND(B348='111'!$L$11,OR($N348=$Q$7,$O348=$Q$7)),"x","")</f>
        <v/>
      </c>
      <c r="R348" s="79" t="str">
        <f>IF(AND($N348=$Q$7,$B348&lt;'111'!$L$11),"x","")</f>
        <v/>
      </c>
      <c r="S348" s="79" t="str">
        <f>IF(AND($O348=$Q$7,$B348&lt;'111'!$L$11),"x","")</f>
        <v/>
      </c>
      <c r="T348" s="79" t="str">
        <f>IF(ISERROR(FIND('112'!$M$9,G348,1)),"",IF((AND(FIND('112'!$M$9,G348,1)&gt;=1,B348='112'!$K$9,OR($N348='112'!$I$6,$O348='112'!$I$6))),"x",""))</f>
        <v/>
      </c>
      <c r="U348" s="79" t="str">
        <f>IF(ISERROR(FIND('112'!$M$9,G348,1)),"",IF((AND(LEFT(G348,2)=LEFT('112'!$M$9,2),B348&lt;'112'!$K$9,$N348='112'!$I$6)),"x",""))</f>
        <v/>
      </c>
      <c r="V348" s="79" t="str">
        <f>IF(ISERROR(FIND('112'!$M$9,G348,1)),"",IF((AND(RIGHT(G348,2)=RIGHT('112'!$M$9,2),B348&lt;'112'!$K$9,$O348='112'!$I$6)),"x",""))</f>
        <v/>
      </c>
      <c r="W348" s="79" t="str">
        <f>IF(AND('341-CT'!$H$9=H348,OR(LEFT(N348,3)=$W$7,LEFT(O348,3)=$W$7)),"x","")</f>
        <v/>
      </c>
      <c r="X348" s="79" t="str">
        <f>IF(OR(TH!N348=TH!$X$7,O348=TH!$X$7),"x","")</f>
        <v/>
      </c>
      <c r="Y348" s="79" t="str">
        <f>IF(AND(OR(N348="131",O348="131"),H348='131-CT'!$H$9),"x","")</f>
        <v/>
      </c>
      <c r="Z348" s="79"/>
      <c r="AA348" s="79" t="str">
        <f>IF(AND(MONTH(E348)='IN-NX'!$J$5,'IN-NX'!$D$7=D348),"x","")</f>
        <v/>
      </c>
      <c r="AB348" s="79" t="str">
        <f>IF(AND(OR(LEFT(TH!N348,2)="15",LEFT(TH!O348,2)="15"),LEFT(TH!O348,3)&lt;&gt;"111",'152-CT'!$J$8=TH!F348),"x","")</f>
        <v/>
      </c>
      <c r="AC348" s="79" t="str">
        <f>IF(AND(OR(LEFT(TH!N348,2)="15",LEFT(TH!O348,2)="15"),TK!$E$7=TH!F348),"x","")</f>
        <v/>
      </c>
      <c r="AD348" s="79" t="str">
        <f>IF(AND(N348="1521",MONTH(C348)='BK-NL'!$M$11),"x","")</f>
        <v/>
      </c>
    </row>
    <row r="349" spans="1:30" ht="16.5" customHeight="1">
      <c r="A349" s="318" t="str">
        <f>IF(B349&lt;&gt;"",IF(AND(B349='IN-TC'!$S$4,OR(TH!N349="1111",TH!O349="1111")),TH!D349,""),"")</f>
        <v/>
      </c>
      <c r="B349" s="1106" t="str">
        <f t="shared" ref="B349:B358" si="107">IF(C349&lt;&gt;"",MONTH(C349),"")</f>
        <v/>
      </c>
      <c r="C349" s="974"/>
      <c r="D349" s="974"/>
      <c r="E349" s="974">
        <f t="shared" ref="E349:E358" si="108">C349</f>
        <v>0</v>
      </c>
      <c r="F349" s="975"/>
      <c r="G349" s="976"/>
      <c r="H349" s="305"/>
      <c r="I349" s="383"/>
      <c r="J349" s="977"/>
      <c r="K349" s="383"/>
      <c r="L349" s="390"/>
      <c r="M349" s="978"/>
      <c r="N349" s="979"/>
      <c r="O349" s="979"/>
      <c r="P349" s="79" t="str">
        <f>IF(AND('331-CT'!$E$7=TH!H349,OR(N349="331",O349="331")),"x","")</f>
        <v/>
      </c>
      <c r="Q349" s="79" t="str">
        <f>IF(AND(B349='111'!$L$11,OR($N349=$Q$7,$O349=$Q$7)),"x","")</f>
        <v/>
      </c>
      <c r="R349" s="79" t="str">
        <f>IF(AND($N349=$Q$7,$B349&lt;'111'!$L$11),"x","")</f>
        <v/>
      </c>
      <c r="S349" s="79" t="str">
        <f>IF(AND($O349=$Q$7,$B349&lt;'111'!$L$11),"x","")</f>
        <v/>
      </c>
      <c r="T349" s="79" t="str">
        <f>IF(ISERROR(FIND('112'!$M$9,G349,1)),"",IF((AND(FIND('112'!$M$9,G349,1)&gt;=1,B349='112'!$K$9,OR($N349='112'!$I$6,$O349='112'!$I$6))),"x",""))</f>
        <v/>
      </c>
      <c r="U349" s="79" t="str">
        <f>IF(ISERROR(FIND('112'!$M$9,G349,1)),"",IF((AND(LEFT(G349,2)=LEFT('112'!$M$9,2),B349&lt;'112'!$K$9,$N349='112'!$I$6)),"x",""))</f>
        <v/>
      </c>
      <c r="V349" s="79" t="str">
        <f>IF(ISERROR(FIND('112'!$M$9,G349,1)),"",IF((AND(RIGHT(G349,2)=RIGHT('112'!$M$9,2),B349&lt;'112'!$K$9,$O349='112'!$I$6)),"x",""))</f>
        <v/>
      </c>
      <c r="W349" s="79" t="str">
        <f>IF(AND('341-CT'!$H$9=H349,OR(LEFT(N349,3)=$W$7,LEFT(O349,3)=$W$7)),"x","")</f>
        <v/>
      </c>
      <c r="X349" s="79" t="str">
        <f>IF(OR(TH!N349=TH!$X$7,O349=TH!$X$7),"x","")</f>
        <v/>
      </c>
      <c r="Y349" s="79" t="str">
        <f>IF(AND(OR(N349="131",O349="131"),H349='131-CT'!$H$9),"x","")</f>
        <v/>
      </c>
      <c r="Z349" s="79"/>
      <c r="AA349" s="79" t="str">
        <f>IF(AND(MONTH(E349)='IN-NX'!$J$5,'IN-NX'!$D$7=D349),"x","")</f>
        <v/>
      </c>
      <c r="AB349" s="79" t="str">
        <f>IF(AND(OR(LEFT(TH!N349,2)="15",LEFT(TH!O349,2)="15"),LEFT(TH!O349,3)&lt;&gt;"111",'152-CT'!$J$8=TH!F349),"x","")</f>
        <v/>
      </c>
      <c r="AC349" s="79" t="str">
        <f>IF(AND(OR(LEFT(TH!N349,2)="15",LEFT(TH!O349,2)="15"),TK!$E$7=TH!F349),"x","")</f>
        <v/>
      </c>
      <c r="AD349" s="79" t="str">
        <f>IF(AND(N349="1521",MONTH(C349)='BK-NL'!$M$11),"x","")</f>
        <v/>
      </c>
    </row>
    <row r="350" spans="1:30" ht="16.5" customHeight="1">
      <c r="A350" s="318" t="str">
        <f>IF(B350&lt;&gt;"",IF(AND(B350='IN-TC'!$S$4,OR(TH!N350="1111",TH!O350="1111")),TH!D350,""),"")</f>
        <v/>
      </c>
      <c r="B350" s="1106" t="str">
        <f t="shared" si="107"/>
        <v/>
      </c>
      <c r="C350" s="974"/>
      <c r="D350" s="974"/>
      <c r="E350" s="974">
        <f t="shared" si="108"/>
        <v>0</v>
      </c>
      <c r="F350" s="975"/>
      <c r="G350" s="976"/>
      <c r="H350" s="305"/>
      <c r="I350" s="383"/>
      <c r="J350" s="977"/>
      <c r="K350" s="383"/>
      <c r="L350" s="390"/>
      <c r="M350" s="978"/>
      <c r="N350" s="979"/>
      <c r="O350" s="979"/>
      <c r="P350" s="79" t="str">
        <f>IF(AND('331-CT'!$E$7=TH!H350,OR(N350="331",O350="331")),"x","")</f>
        <v/>
      </c>
      <c r="Q350" s="79" t="str">
        <f>IF(AND(B350='111'!$L$11,OR($N350=$Q$7,$O350=$Q$7)),"x","")</f>
        <v/>
      </c>
      <c r="R350" s="79" t="str">
        <f>IF(AND($N350=$Q$7,$B350&lt;'111'!$L$11),"x","")</f>
        <v/>
      </c>
      <c r="S350" s="79" t="str">
        <f>IF(AND($O350=$Q$7,$B350&lt;'111'!$L$11),"x","")</f>
        <v/>
      </c>
      <c r="T350" s="79" t="str">
        <f>IF(ISERROR(FIND('112'!$M$9,G350,1)),"",IF((AND(FIND('112'!$M$9,G350,1)&gt;=1,B350='112'!$K$9,OR($N350='112'!$I$6,$O350='112'!$I$6))),"x",""))</f>
        <v/>
      </c>
      <c r="U350" s="79" t="str">
        <f>IF(ISERROR(FIND('112'!$M$9,G350,1)),"",IF((AND(LEFT(G350,2)=LEFT('112'!$M$9,2),B350&lt;'112'!$K$9,$N350='112'!$I$6)),"x",""))</f>
        <v/>
      </c>
      <c r="V350" s="79" t="str">
        <f>IF(ISERROR(FIND('112'!$M$9,G350,1)),"",IF((AND(RIGHT(G350,2)=RIGHT('112'!$M$9,2),B350&lt;'112'!$K$9,$O350='112'!$I$6)),"x",""))</f>
        <v/>
      </c>
      <c r="W350" s="79" t="str">
        <f>IF(AND('341-CT'!$H$9=H350,OR(LEFT(N350,3)=$W$7,LEFT(O350,3)=$W$7)),"x","")</f>
        <v/>
      </c>
      <c r="X350" s="79" t="str">
        <f>IF(OR(TH!N350=TH!$X$7,O350=TH!$X$7),"x","")</f>
        <v/>
      </c>
      <c r="Y350" s="79" t="str">
        <f>IF(AND(OR(N350="131",O350="131"),H350='131-CT'!$H$9),"x","")</f>
        <v/>
      </c>
      <c r="Z350" s="79"/>
      <c r="AA350" s="79" t="str">
        <f>IF(AND(MONTH(E350)='IN-NX'!$J$5,'IN-NX'!$D$7=D350),"x","")</f>
        <v/>
      </c>
      <c r="AB350" s="79" t="str">
        <f>IF(AND(OR(LEFT(TH!N350,2)="15",LEFT(TH!O350,2)="15"),LEFT(TH!O350,3)&lt;&gt;"111",'152-CT'!$J$8=TH!F350),"x","")</f>
        <v/>
      </c>
      <c r="AC350" s="79" t="str">
        <f>IF(AND(OR(LEFT(TH!N350,2)="15",LEFT(TH!O350,2)="15"),TK!$E$7=TH!F350),"x","")</f>
        <v/>
      </c>
      <c r="AD350" s="79" t="str">
        <f>IF(AND(N350="1521",MONTH(C350)='BK-NL'!$M$11),"x","")</f>
        <v/>
      </c>
    </row>
    <row r="351" spans="1:30" ht="16.5" customHeight="1">
      <c r="A351" s="318" t="str">
        <f>IF(B351&lt;&gt;"",IF(AND(B351='IN-TC'!$S$4,OR(TH!N351="1111",TH!O351="1111")),TH!D351,""),"")</f>
        <v/>
      </c>
      <c r="B351" s="1106" t="str">
        <f t="shared" si="107"/>
        <v/>
      </c>
      <c r="C351" s="974"/>
      <c r="D351" s="974"/>
      <c r="E351" s="974">
        <f t="shared" si="108"/>
        <v>0</v>
      </c>
      <c r="F351" s="975"/>
      <c r="G351" s="976"/>
      <c r="H351" s="305"/>
      <c r="I351" s="383"/>
      <c r="J351" s="977"/>
      <c r="K351" s="383"/>
      <c r="L351" s="390"/>
      <c r="M351" s="978"/>
      <c r="N351" s="979"/>
      <c r="O351" s="979"/>
      <c r="P351" s="79" t="str">
        <f>IF(AND('331-CT'!$E$7=TH!H351,OR(N351="331",O351="331")),"x","")</f>
        <v/>
      </c>
      <c r="Q351" s="79" t="str">
        <f>IF(AND(B351='111'!$L$11,OR($N351=$Q$7,$O351=$Q$7)),"x","")</f>
        <v/>
      </c>
      <c r="R351" s="79" t="str">
        <f>IF(AND($N351=$Q$7,$B351&lt;'111'!$L$11),"x","")</f>
        <v/>
      </c>
      <c r="S351" s="79" t="str">
        <f>IF(AND($O351=$Q$7,$B351&lt;'111'!$L$11),"x","")</f>
        <v/>
      </c>
      <c r="T351" s="79" t="str">
        <f>IF(ISERROR(FIND('112'!$M$9,G351,1)),"",IF((AND(FIND('112'!$M$9,G351,1)&gt;=1,B351='112'!$K$9,OR($N351='112'!$I$6,$O351='112'!$I$6))),"x",""))</f>
        <v/>
      </c>
      <c r="U351" s="79" t="str">
        <f>IF(ISERROR(FIND('112'!$M$9,G351,1)),"",IF((AND(LEFT(G351,2)=LEFT('112'!$M$9,2),B351&lt;'112'!$K$9,$N351='112'!$I$6)),"x",""))</f>
        <v/>
      </c>
      <c r="V351" s="79" t="str">
        <f>IF(ISERROR(FIND('112'!$M$9,G351,1)),"",IF((AND(RIGHT(G351,2)=RIGHT('112'!$M$9,2),B351&lt;'112'!$K$9,$O351='112'!$I$6)),"x",""))</f>
        <v/>
      </c>
      <c r="W351" s="79" t="str">
        <f>IF(AND('341-CT'!$H$9=H351,OR(LEFT(N351,3)=$W$7,LEFT(O351,3)=$W$7)),"x","")</f>
        <v/>
      </c>
      <c r="X351" s="79" t="str">
        <f>IF(OR(TH!N351=TH!$X$7,O351=TH!$X$7),"x","")</f>
        <v/>
      </c>
      <c r="Y351" s="79" t="str">
        <f>IF(AND(OR(N351="131",O351="131"),H351='131-CT'!$H$9),"x","")</f>
        <v/>
      </c>
      <c r="Z351" s="79"/>
      <c r="AA351" s="79" t="str">
        <f>IF(AND(MONTH(E351)='IN-NX'!$J$5,'IN-NX'!$D$7=D351),"x","")</f>
        <v/>
      </c>
      <c r="AB351" s="79" t="str">
        <f>IF(AND(OR(LEFT(TH!N351,2)="15",LEFT(TH!O351,2)="15"),LEFT(TH!O351,3)&lt;&gt;"111",'152-CT'!$J$8=TH!F351),"x","")</f>
        <v/>
      </c>
      <c r="AC351" s="79" t="str">
        <f>IF(AND(OR(LEFT(TH!N351,2)="15",LEFT(TH!O351,2)="15"),TK!$E$7=TH!F351),"x","")</f>
        <v/>
      </c>
      <c r="AD351" s="79" t="str">
        <f>IF(AND(N351="1521",MONTH(C351)='BK-NL'!$M$11),"x","")</f>
        <v/>
      </c>
    </row>
    <row r="352" spans="1:30" ht="16.5" customHeight="1">
      <c r="A352" s="318" t="str">
        <f>IF(B352&lt;&gt;"",IF(AND(B352='IN-TC'!$S$4,OR(TH!N352="1111",TH!O352="1111")),TH!D352,""),"")</f>
        <v/>
      </c>
      <c r="B352" s="1106" t="str">
        <f t="shared" si="107"/>
        <v/>
      </c>
      <c r="C352" s="974"/>
      <c r="D352" s="974"/>
      <c r="E352" s="974">
        <f t="shared" si="108"/>
        <v>0</v>
      </c>
      <c r="F352" s="975"/>
      <c r="G352" s="976"/>
      <c r="H352" s="305"/>
      <c r="I352" s="383"/>
      <c r="J352" s="977"/>
      <c r="K352" s="383"/>
      <c r="L352" s="390"/>
      <c r="M352" s="978"/>
      <c r="N352" s="979"/>
      <c r="O352" s="979"/>
      <c r="P352" s="79" t="str">
        <f>IF(AND('331-CT'!$E$7=TH!H352,OR(N352="331",O352="331")),"x","")</f>
        <v/>
      </c>
      <c r="Q352" s="79" t="str">
        <f>IF(AND(B352='111'!$L$11,OR($N352=$Q$7,$O352=$Q$7)),"x","")</f>
        <v/>
      </c>
      <c r="R352" s="79" t="str">
        <f>IF(AND($N352=$Q$7,$B352&lt;'111'!$L$11),"x","")</f>
        <v/>
      </c>
      <c r="S352" s="79" t="str">
        <f>IF(AND($O352=$Q$7,$B352&lt;'111'!$L$11),"x","")</f>
        <v/>
      </c>
      <c r="T352" s="79" t="str">
        <f>IF(ISERROR(FIND('112'!$M$9,G352,1)),"",IF((AND(FIND('112'!$M$9,G352,1)&gt;=1,B352='112'!$K$9,OR($N352='112'!$I$6,$O352='112'!$I$6))),"x",""))</f>
        <v/>
      </c>
      <c r="U352" s="79" t="str">
        <f>IF(ISERROR(FIND('112'!$M$9,G352,1)),"",IF((AND(LEFT(G352,2)=LEFT('112'!$M$9,2),B352&lt;'112'!$K$9,$N352='112'!$I$6)),"x",""))</f>
        <v/>
      </c>
      <c r="V352" s="79" t="str">
        <f>IF(ISERROR(FIND('112'!$M$9,G352,1)),"",IF((AND(RIGHT(G352,2)=RIGHT('112'!$M$9,2),B352&lt;'112'!$K$9,$O352='112'!$I$6)),"x",""))</f>
        <v/>
      </c>
      <c r="W352" s="79" t="str">
        <f>IF(AND('341-CT'!$H$9=H352,OR(LEFT(N352,3)=$W$7,LEFT(O352,3)=$W$7)),"x","")</f>
        <v/>
      </c>
      <c r="X352" s="79" t="str">
        <f>IF(OR(TH!N352=TH!$X$7,O352=TH!$X$7),"x","")</f>
        <v/>
      </c>
      <c r="Y352" s="79" t="str">
        <f>IF(AND(OR(N352="131",O352="131"),H352='131-CT'!$H$9),"x","")</f>
        <v/>
      </c>
      <c r="Z352" s="79"/>
      <c r="AA352" s="79" t="str">
        <f>IF(AND(MONTH(E352)='IN-NX'!$J$5,'IN-NX'!$D$7=D352),"x","")</f>
        <v/>
      </c>
      <c r="AB352" s="79" t="str">
        <f>IF(AND(OR(LEFT(TH!N352,2)="15",LEFT(TH!O352,2)="15"),LEFT(TH!O352,3)&lt;&gt;"111",'152-CT'!$J$8=TH!F352),"x","")</f>
        <v/>
      </c>
      <c r="AC352" s="79" t="str">
        <f>IF(AND(OR(LEFT(TH!N352,2)="15",LEFT(TH!O352,2)="15"),TK!$E$7=TH!F352),"x","")</f>
        <v/>
      </c>
      <c r="AD352" s="79" t="str">
        <f>IF(AND(N352="1521",MONTH(C352)='BK-NL'!$M$11),"x","")</f>
        <v/>
      </c>
    </row>
    <row r="353" spans="1:31" ht="16.5" customHeight="1">
      <c r="A353" s="318" t="str">
        <f>IF(B353&lt;&gt;"",IF(AND(B353='IN-TC'!$S$4,OR(TH!N353="1111",TH!O353="1111")),TH!D353,""),"")</f>
        <v/>
      </c>
      <c r="B353" s="1106" t="str">
        <f t="shared" si="107"/>
        <v/>
      </c>
      <c r="C353" s="974"/>
      <c r="D353" s="974"/>
      <c r="E353" s="974">
        <f t="shared" si="108"/>
        <v>0</v>
      </c>
      <c r="F353" s="975"/>
      <c r="G353" s="976"/>
      <c r="H353" s="305"/>
      <c r="I353" s="383"/>
      <c r="J353" s="977"/>
      <c r="K353" s="383"/>
      <c r="L353" s="390"/>
      <c r="M353" s="978"/>
      <c r="N353" s="979"/>
      <c r="O353" s="979"/>
      <c r="P353" s="79" t="str">
        <f>IF(AND('331-CT'!$E$7=TH!H353,OR(N353="331",O353="331")),"x","")</f>
        <v/>
      </c>
      <c r="Q353" s="79" t="str">
        <f>IF(AND(B353='111'!$L$11,OR($N353=$Q$7,$O353=$Q$7)),"x","")</f>
        <v/>
      </c>
      <c r="R353" s="79" t="str">
        <f>IF(AND($N353=$Q$7,$B353&lt;'111'!$L$11),"x","")</f>
        <v/>
      </c>
      <c r="S353" s="79" t="str">
        <f>IF(AND($O353=$Q$7,$B353&lt;'111'!$L$11),"x","")</f>
        <v/>
      </c>
      <c r="T353" s="79" t="str">
        <f>IF(ISERROR(FIND('112'!$M$9,G353,1)),"",IF((AND(FIND('112'!$M$9,G353,1)&gt;=1,B353='112'!$K$9,OR($N353='112'!$I$6,$O353='112'!$I$6))),"x",""))</f>
        <v/>
      </c>
      <c r="U353" s="79" t="str">
        <f>IF(ISERROR(FIND('112'!$M$9,G353,1)),"",IF((AND(LEFT(G353,2)=LEFT('112'!$M$9,2),B353&lt;'112'!$K$9,$N353='112'!$I$6)),"x",""))</f>
        <v/>
      </c>
      <c r="V353" s="79" t="str">
        <f>IF(ISERROR(FIND('112'!$M$9,G353,1)),"",IF((AND(RIGHT(G353,2)=RIGHT('112'!$M$9,2),B353&lt;'112'!$K$9,$O353='112'!$I$6)),"x",""))</f>
        <v/>
      </c>
      <c r="W353" s="79" t="str">
        <f>IF(AND('341-CT'!$H$9=H353,OR(LEFT(N353,3)=$W$7,LEFT(O353,3)=$W$7)),"x","")</f>
        <v/>
      </c>
      <c r="X353" s="79" t="str">
        <f>IF(OR(TH!N353=TH!$X$7,O353=TH!$X$7),"x","")</f>
        <v/>
      </c>
      <c r="Y353" s="79" t="str">
        <f>IF(AND(OR(N353="131",O353="131"),H353='131-CT'!$H$9),"x","")</f>
        <v/>
      </c>
      <c r="Z353" s="79"/>
      <c r="AA353" s="79" t="str">
        <f>IF(AND(MONTH(E353)='IN-NX'!$J$5,'IN-NX'!$D$7=D353),"x","")</f>
        <v/>
      </c>
      <c r="AB353" s="79" t="str">
        <f>IF(AND(OR(LEFT(TH!N353,2)="15",LEFT(TH!O353,2)="15"),LEFT(TH!O353,3)&lt;&gt;"111",'152-CT'!$J$8=TH!F353),"x","")</f>
        <v/>
      </c>
      <c r="AC353" s="79" t="str">
        <f>IF(AND(OR(LEFT(TH!N353,2)="15",LEFT(TH!O353,2)="15"),TK!$E$7=TH!F353),"x","")</f>
        <v/>
      </c>
      <c r="AD353" s="79" t="str">
        <f>IF(AND(N353="1521",MONTH(C353)='BK-NL'!$M$11),"x","")</f>
        <v/>
      </c>
    </row>
    <row r="354" spans="1:31" ht="16.5" customHeight="1">
      <c r="A354" s="318" t="str">
        <f>IF(B354&lt;&gt;"",IF(AND(B354='IN-TC'!$S$4,OR(TH!N354="1111",TH!O354="1111")),TH!D354,""),"")</f>
        <v/>
      </c>
      <c r="B354" s="1106" t="str">
        <f t="shared" si="107"/>
        <v/>
      </c>
      <c r="C354" s="974"/>
      <c r="D354" s="974"/>
      <c r="E354" s="974">
        <f t="shared" si="108"/>
        <v>0</v>
      </c>
      <c r="F354" s="975"/>
      <c r="G354" s="976"/>
      <c r="H354" s="305"/>
      <c r="I354" s="383"/>
      <c r="J354" s="977"/>
      <c r="K354" s="383"/>
      <c r="L354" s="390"/>
      <c r="M354" s="978"/>
      <c r="N354" s="979"/>
      <c r="O354" s="979"/>
      <c r="P354" s="79" t="str">
        <f>IF(AND('331-CT'!$E$7=TH!H354,OR(N354="331",O354="331")),"x","")</f>
        <v/>
      </c>
      <c r="Q354" s="79" t="str">
        <f>IF(AND(B354='111'!$L$11,OR($N354=$Q$7,$O354=$Q$7)),"x","")</f>
        <v/>
      </c>
      <c r="R354" s="79" t="str">
        <f>IF(AND($N354=$Q$7,$B354&lt;'111'!$L$11),"x","")</f>
        <v/>
      </c>
      <c r="S354" s="79" t="str">
        <f>IF(AND($O354=$Q$7,$B354&lt;'111'!$L$11),"x","")</f>
        <v/>
      </c>
      <c r="T354" s="79" t="str">
        <f>IF(ISERROR(FIND('112'!$M$9,G354,1)),"",IF((AND(FIND('112'!$M$9,G354,1)&gt;=1,B354='112'!$K$9,OR($N354='112'!$I$6,$O354='112'!$I$6))),"x",""))</f>
        <v/>
      </c>
      <c r="U354" s="79" t="str">
        <f>IF(ISERROR(FIND('112'!$M$9,G354,1)),"",IF((AND(LEFT(G354,2)=LEFT('112'!$M$9,2),B354&lt;'112'!$K$9,$N354='112'!$I$6)),"x",""))</f>
        <v/>
      </c>
      <c r="V354" s="79" t="str">
        <f>IF(ISERROR(FIND('112'!$M$9,G354,1)),"",IF((AND(RIGHT(G354,2)=RIGHT('112'!$M$9,2),B354&lt;'112'!$K$9,$O354='112'!$I$6)),"x",""))</f>
        <v/>
      </c>
      <c r="W354" s="79" t="str">
        <f>IF(AND('341-CT'!$H$9=H354,OR(LEFT(N354,3)=$W$7,LEFT(O354,3)=$W$7)),"x","")</f>
        <v/>
      </c>
      <c r="X354" s="79" t="str">
        <f>IF(OR(TH!N354=TH!$X$7,O354=TH!$X$7),"x","")</f>
        <v/>
      </c>
      <c r="Y354" s="79" t="str">
        <f>IF(AND(OR(N354="131",O354="131"),H354='131-CT'!$H$9),"x","")</f>
        <v/>
      </c>
      <c r="Z354" s="79"/>
      <c r="AA354" s="79" t="str">
        <f>IF(AND(MONTH(E354)='IN-NX'!$J$5,'IN-NX'!$D$7=D354),"x","")</f>
        <v/>
      </c>
      <c r="AB354" s="79" t="str">
        <f>IF(AND(OR(LEFT(TH!N354,2)="15",LEFT(TH!O354,2)="15"),LEFT(TH!O354,3)&lt;&gt;"111",'152-CT'!$J$8=TH!F354),"x","")</f>
        <v/>
      </c>
      <c r="AC354" s="79" t="str">
        <f>IF(AND(OR(LEFT(TH!N354,2)="15",LEFT(TH!O354,2)="15"),TK!$E$7=TH!F354),"x","")</f>
        <v/>
      </c>
      <c r="AD354" s="79" t="str">
        <f>IF(AND(N354="1521",MONTH(C354)='BK-NL'!$M$11),"x","")</f>
        <v/>
      </c>
    </row>
    <row r="355" spans="1:31" ht="16.5" customHeight="1">
      <c r="A355" s="318" t="str">
        <f>IF(B355&lt;&gt;"",IF(AND(B355='IN-TC'!$S$4,OR(TH!N355="1111",TH!O355="1111")),TH!D355,""),"")</f>
        <v/>
      </c>
      <c r="B355" s="1106" t="str">
        <f t="shared" si="107"/>
        <v/>
      </c>
      <c r="C355" s="974"/>
      <c r="D355" s="974"/>
      <c r="E355" s="974">
        <f t="shared" si="108"/>
        <v>0</v>
      </c>
      <c r="F355" s="975"/>
      <c r="G355" s="976"/>
      <c r="H355" s="305"/>
      <c r="I355" s="383"/>
      <c r="J355" s="977"/>
      <c r="K355" s="383"/>
      <c r="L355" s="390"/>
      <c r="M355" s="978"/>
      <c r="N355" s="979"/>
      <c r="O355" s="979"/>
      <c r="P355" s="79" t="str">
        <f>IF(AND('331-CT'!$E$7=TH!H355,OR(N355="331",O355="331")),"x","")</f>
        <v/>
      </c>
      <c r="Q355" s="79" t="str">
        <f>IF(AND(B355='111'!$L$11,OR($N355=$Q$7,$O355=$Q$7)),"x","")</f>
        <v/>
      </c>
      <c r="R355" s="79" t="str">
        <f>IF(AND($N355=$Q$7,$B355&lt;'111'!$L$11),"x","")</f>
        <v/>
      </c>
      <c r="S355" s="79" t="str">
        <f>IF(AND($O355=$Q$7,$B355&lt;'111'!$L$11),"x","")</f>
        <v/>
      </c>
      <c r="T355" s="79" t="str">
        <f>IF(ISERROR(FIND('112'!$M$9,G355,1)),"",IF((AND(FIND('112'!$M$9,G355,1)&gt;=1,B355='112'!$K$9,OR($N355='112'!$I$6,$O355='112'!$I$6))),"x",""))</f>
        <v/>
      </c>
      <c r="U355" s="79" t="str">
        <f>IF(ISERROR(FIND('112'!$M$9,G355,1)),"",IF((AND(LEFT(G355,2)=LEFT('112'!$M$9,2),B355&lt;'112'!$K$9,$N355='112'!$I$6)),"x",""))</f>
        <v/>
      </c>
      <c r="V355" s="79" t="str">
        <f>IF(ISERROR(FIND('112'!$M$9,G355,1)),"",IF((AND(RIGHT(G355,2)=RIGHT('112'!$M$9,2),B355&lt;'112'!$K$9,$O355='112'!$I$6)),"x",""))</f>
        <v/>
      </c>
      <c r="W355" s="79" t="str">
        <f>IF(AND('341-CT'!$H$9=H355,OR(LEFT(N355,3)=$W$7,LEFT(O355,3)=$W$7)),"x","")</f>
        <v/>
      </c>
      <c r="X355" s="79" t="str">
        <f>IF(OR(TH!N355=TH!$X$7,O355=TH!$X$7),"x","")</f>
        <v/>
      </c>
      <c r="Y355" s="79" t="str">
        <f>IF(AND(OR(N355="131",O355="131"),H355='131-CT'!$H$9),"x","")</f>
        <v/>
      </c>
      <c r="Z355" s="79"/>
      <c r="AA355" s="79" t="str">
        <f>IF(AND(MONTH(E355)='IN-NX'!$J$5,'IN-NX'!$D$7=D355),"x","")</f>
        <v/>
      </c>
      <c r="AB355" s="79" t="str">
        <f>IF(AND(OR(LEFT(TH!N355,2)="15",LEFT(TH!O355,2)="15"),LEFT(TH!O355,3)&lt;&gt;"111",'152-CT'!$J$8=TH!F355),"x","")</f>
        <v/>
      </c>
      <c r="AC355" s="79" t="str">
        <f>IF(AND(OR(LEFT(TH!N355,2)="15",LEFT(TH!O355,2)="15"),TK!$E$7=TH!F355),"x","")</f>
        <v/>
      </c>
      <c r="AD355" s="79" t="str">
        <f>IF(AND(N355="1521",MONTH(C355)='BK-NL'!$M$11),"x","")</f>
        <v/>
      </c>
    </row>
    <row r="356" spans="1:31" ht="16.5" customHeight="1">
      <c r="A356" s="318" t="str">
        <f>IF(B356&lt;&gt;"",IF(AND(B356='IN-TC'!$S$4,OR(TH!N356="1111",TH!O356="1111")),TH!D356,""),"")</f>
        <v/>
      </c>
      <c r="B356" s="1106" t="str">
        <f t="shared" si="107"/>
        <v/>
      </c>
      <c r="C356" s="974"/>
      <c r="D356" s="974"/>
      <c r="E356" s="974">
        <f t="shared" si="108"/>
        <v>0</v>
      </c>
      <c r="F356" s="975"/>
      <c r="G356" s="976"/>
      <c r="H356" s="305"/>
      <c r="I356" s="383"/>
      <c r="J356" s="977"/>
      <c r="K356" s="383"/>
      <c r="L356" s="390"/>
      <c r="M356" s="978"/>
      <c r="N356" s="979"/>
      <c r="O356" s="979"/>
      <c r="P356" s="79" t="str">
        <f>IF(AND('331-CT'!$E$7=TH!H356,OR(N356="331",O356="331")),"x","")</f>
        <v/>
      </c>
      <c r="Q356" s="79" t="str">
        <f>IF(AND(B356='111'!$L$11,OR($N356=$Q$7,$O356=$Q$7)),"x","")</f>
        <v/>
      </c>
      <c r="R356" s="79" t="str">
        <f>IF(AND($N356=$Q$7,$B356&lt;'111'!$L$11),"x","")</f>
        <v/>
      </c>
      <c r="S356" s="79" t="str">
        <f>IF(AND($O356=$Q$7,$B356&lt;'111'!$L$11),"x","")</f>
        <v/>
      </c>
      <c r="T356" s="79" t="str">
        <f>IF(ISERROR(FIND('112'!$M$9,G356,1)),"",IF((AND(FIND('112'!$M$9,G356,1)&gt;=1,B356='112'!$K$9,OR($N356='112'!$I$6,$O356='112'!$I$6))),"x",""))</f>
        <v/>
      </c>
      <c r="U356" s="79" t="str">
        <f>IF(ISERROR(FIND('112'!$M$9,G356,1)),"",IF((AND(LEFT(G356,2)=LEFT('112'!$M$9,2),B356&lt;'112'!$K$9,$N356='112'!$I$6)),"x",""))</f>
        <v/>
      </c>
      <c r="V356" s="79" t="str">
        <f>IF(ISERROR(FIND('112'!$M$9,G356,1)),"",IF((AND(RIGHT(G356,2)=RIGHT('112'!$M$9,2),B356&lt;'112'!$K$9,$O356='112'!$I$6)),"x",""))</f>
        <v/>
      </c>
      <c r="W356" s="79" t="str">
        <f>IF(AND('341-CT'!$H$9=H356,OR(LEFT(N356,3)=$W$7,LEFT(O356,3)=$W$7)),"x","")</f>
        <v/>
      </c>
      <c r="X356" s="79" t="str">
        <f>IF(OR(TH!N356=TH!$X$7,O356=TH!$X$7),"x","")</f>
        <v/>
      </c>
      <c r="Y356" s="79" t="str">
        <f>IF(AND(OR(N356="131",O356="131"),H356='131-CT'!$H$9),"x","")</f>
        <v/>
      </c>
      <c r="Z356" s="79"/>
      <c r="AA356" s="79" t="str">
        <f>IF(AND(MONTH(E356)='IN-NX'!$J$5,'IN-NX'!$D$7=D356),"x","")</f>
        <v/>
      </c>
      <c r="AB356" s="79" t="str">
        <f>IF(AND(OR(LEFT(TH!N356,2)="15",LEFT(TH!O356,2)="15"),LEFT(TH!O356,3)&lt;&gt;"111",'152-CT'!$J$8=TH!F356),"x","")</f>
        <v/>
      </c>
      <c r="AC356" s="79" t="str">
        <f>IF(AND(OR(LEFT(TH!N356,2)="15",LEFT(TH!O356,2)="15"),TK!$E$7=TH!F356),"x","")</f>
        <v/>
      </c>
      <c r="AD356" s="79" t="str">
        <f>IF(AND(N356="1521",MONTH(C356)='BK-NL'!$M$11),"x","")</f>
        <v/>
      </c>
    </row>
    <row r="357" spans="1:31" ht="16.5" customHeight="1">
      <c r="A357" s="318" t="str">
        <f>IF(B357&lt;&gt;"",IF(AND(B357='IN-TC'!$S$4,OR(TH!N357="1111",TH!O357="1111")),TH!D357,""),"")</f>
        <v/>
      </c>
      <c r="B357" s="1106" t="str">
        <f t="shared" si="107"/>
        <v/>
      </c>
      <c r="C357" s="974"/>
      <c r="D357" s="974"/>
      <c r="E357" s="974">
        <f t="shared" si="108"/>
        <v>0</v>
      </c>
      <c r="F357" s="975"/>
      <c r="G357" s="976"/>
      <c r="H357" s="305"/>
      <c r="I357" s="383"/>
      <c r="J357" s="977"/>
      <c r="K357" s="383"/>
      <c r="L357" s="390"/>
      <c r="M357" s="978"/>
      <c r="N357" s="979"/>
      <c r="O357" s="979"/>
      <c r="P357" s="79" t="str">
        <f>IF(AND('331-CT'!$E$7=TH!H357,OR(N357="331",O357="331")),"x","")</f>
        <v/>
      </c>
      <c r="Q357" s="79" t="str">
        <f>IF(AND(B357='111'!$L$11,OR($N357=$Q$7,$O357=$Q$7)),"x","")</f>
        <v/>
      </c>
      <c r="R357" s="79" t="str">
        <f>IF(AND($N357=$Q$7,$B357&lt;'111'!$L$11),"x","")</f>
        <v/>
      </c>
      <c r="S357" s="79" t="str">
        <f>IF(AND($O357=$Q$7,$B357&lt;'111'!$L$11),"x","")</f>
        <v/>
      </c>
      <c r="T357" s="79" t="str">
        <f>IF(ISERROR(FIND('112'!$M$9,G357,1)),"",IF((AND(FIND('112'!$M$9,G357,1)&gt;=1,B357='112'!$K$9,OR($N357='112'!$I$6,$O357='112'!$I$6))),"x",""))</f>
        <v/>
      </c>
      <c r="U357" s="79" t="str">
        <f>IF(ISERROR(FIND('112'!$M$9,G357,1)),"",IF((AND(LEFT(G357,2)=LEFT('112'!$M$9,2),B357&lt;'112'!$K$9,$N357='112'!$I$6)),"x",""))</f>
        <v/>
      </c>
      <c r="V357" s="79" t="str">
        <f>IF(ISERROR(FIND('112'!$M$9,G357,1)),"",IF((AND(RIGHT(G357,2)=RIGHT('112'!$M$9,2),B357&lt;'112'!$K$9,$O357='112'!$I$6)),"x",""))</f>
        <v/>
      </c>
      <c r="W357" s="79" t="str">
        <f>IF(AND('341-CT'!$H$9=H357,OR(LEFT(N357,3)=$W$7,LEFT(O357,3)=$W$7)),"x","")</f>
        <v/>
      </c>
      <c r="X357" s="79" t="str">
        <f>IF(OR(TH!N357=TH!$X$7,O357=TH!$X$7),"x","")</f>
        <v/>
      </c>
      <c r="Y357" s="79" t="str">
        <f>IF(AND(OR(N357="131",O357="131"),H357='131-CT'!$H$9),"x","")</f>
        <v/>
      </c>
      <c r="Z357" s="79"/>
      <c r="AA357" s="79" t="str">
        <f>IF(AND(MONTH(E357)='IN-NX'!$J$5,'IN-NX'!$D$7=D357),"x","")</f>
        <v/>
      </c>
      <c r="AB357" s="79" t="str">
        <f>IF(AND(OR(LEFT(TH!N357,2)="15",LEFT(TH!O357,2)="15"),LEFT(TH!O357,3)&lt;&gt;"111",'152-CT'!$J$8=TH!F357),"x","")</f>
        <v/>
      </c>
      <c r="AC357" s="79" t="str">
        <f>IF(AND(OR(LEFT(TH!N357,2)="15",LEFT(TH!O357,2)="15"),TK!$E$7=TH!F357),"x","")</f>
        <v/>
      </c>
      <c r="AD357" s="79" t="str">
        <f>IF(AND(N357="1521",MONTH(C357)='BK-NL'!$M$11),"x","")</f>
        <v/>
      </c>
    </row>
    <row r="358" spans="1:31" ht="16.5" customHeight="1">
      <c r="A358" s="318" t="str">
        <f>IF(B358&lt;&gt;"",IF(AND(B358='IN-TC'!$S$4,OR(TH!N358="1111",TH!O358="1111")),TH!D358,""),"")</f>
        <v/>
      </c>
      <c r="B358" s="1106" t="str">
        <f t="shared" si="107"/>
        <v/>
      </c>
      <c r="C358" s="974"/>
      <c r="D358" s="974"/>
      <c r="E358" s="974">
        <f t="shared" si="108"/>
        <v>0</v>
      </c>
      <c r="F358" s="975"/>
      <c r="G358" s="976"/>
      <c r="H358" s="305"/>
      <c r="I358" s="383"/>
      <c r="J358" s="977"/>
      <c r="K358" s="383"/>
      <c r="L358" s="390"/>
      <c r="M358" s="978"/>
      <c r="N358" s="979"/>
      <c r="O358" s="979"/>
      <c r="P358" s="79" t="str">
        <f>IF(AND('331-CT'!$E$7=TH!H358,OR(N358="331",O358="331")),"x","")</f>
        <v/>
      </c>
      <c r="Q358" s="79" t="str">
        <f>IF(AND(B358='111'!$L$11,OR($N358=$Q$7,$O358=$Q$7)),"x","")</f>
        <v/>
      </c>
      <c r="R358" s="79" t="str">
        <f>IF(AND($N358=$Q$7,$B358&lt;'111'!$L$11),"x","")</f>
        <v/>
      </c>
      <c r="S358" s="79" t="str">
        <f>IF(AND($O358=$Q$7,$B358&lt;'111'!$L$11),"x","")</f>
        <v/>
      </c>
      <c r="T358" s="79" t="str">
        <f>IF(ISERROR(FIND('112'!$M$9,G358,1)),"",IF((AND(FIND('112'!$M$9,G358,1)&gt;=1,B358='112'!$K$9,OR($N358='112'!$I$6,$O358='112'!$I$6))),"x",""))</f>
        <v/>
      </c>
      <c r="U358" s="79" t="str">
        <f>IF(ISERROR(FIND('112'!$M$9,G358,1)),"",IF((AND(LEFT(G358,2)=LEFT('112'!$M$9,2),B358&lt;'112'!$K$9,$N358='112'!$I$6)),"x",""))</f>
        <v/>
      </c>
      <c r="V358" s="79" t="str">
        <f>IF(ISERROR(FIND('112'!$M$9,G358,1)),"",IF((AND(RIGHT(G358,2)=RIGHT('112'!$M$9,2),B358&lt;'112'!$K$9,$O358='112'!$I$6)),"x",""))</f>
        <v/>
      </c>
      <c r="W358" s="79" t="str">
        <f>IF(AND('341-CT'!$H$9=H358,OR(LEFT(N358,3)=$W$7,LEFT(O358,3)=$W$7)),"x","")</f>
        <v/>
      </c>
      <c r="X358" s="79" t="str">
        <f>IF(OR(TH!N358=TH!$X$7,O358=TH!$X$7),"x","")</f>
        <v/>
      </c>
      <c r="Y358" s="79" t="str">
        <f>IF(AND(OR(N358="131",O358="131"),H358='131-CT'!$H$9),"x","")</f>
        <v/>
      </c>
      <c r="Z358" s="79"/>
      <c r="AA358" s="79" t="str">
        <f>IF(AND(MONTH(E358)='IN-NX'!$J$5,'IN-NX'!$D$7=D358),"x","")</f>
        <v/>
      </c>
      <c r="AB358" s="79" t="str">
        <f>IF(AND(OR(LEFT(TH!N358,2)="15",LEFT(TH!O358,2)="15"),LEFT(TH!O358,3)&lt;&gt;"111",'152-CT'!$J$8=TH!F358),"x","")</f>
        <v/>
      </c>
      <c r="AC358" s="79" t="str">
        <f>IF(AND(OR(LEFT(TH!N358,2)="15",LEFT(TH!O358,2)="15"),TK!$E$7=TH!F358),"x","")</f>
        <v/>
      </c>
      <c r="AD358" s="79" t="str">
        <f>IF(AND(N358="1521",MONTH(C358)='BK-NL'!$M$11),"x","")</f>
        <v/>
      </c>
    </row>
    <row r="359" spans="1:31" ht="16.5" customHeight="1">
      <c r="A359" s="318" t="str">
        <f>IF(B359&lt;&gt;"",IF(AND(B359='IN-TC'!$S$4,OR(TH!N359="1111",TH!O359="1111")),TH!D359,""),"")</f>
        <v/>
      </c>
      <c r="B359" s="1106" t="str">
        <f t="shared" si="102"/>
        <v/>
      </c>
      <c r="C359" s="974"/>
      <c r="D359" s="974"/>
      <c r="E359" s="974">
        <f t="shared" si="103"/>
        <v>0</v>
      </c>
      <c r="F359" s="975"/>
      <c r="G359" s="976"/>
      <c r="H359" s="305"/>
      <c r="I359" s="383"/>
      <c r="J359" s="977"/>
      <c r="K359" s="383"/>
      <c r="L359" s="390"/>
      <c r="M359" s="978"/>
      <c r="N359" s="979"/>
      <c r="O359" s="979"/>
      <c r="P359" s="79" t="str">
        <f>IF(AND('331-CT'!$E$7=TH!H359,OR(N359="331",O359="331")),"x","")</f>
        <v/>
      </c>
      <c r="Q359" s="79" t="str">
        <f>IF(AND(B359='111'!$L$11,OR($N359=$Q$7,$O359=$Q$7)),"x","")</f>
        <v/>
      </c>
      <c r="R359" s="79" t="str">
        <f>IF(AND($N359=$Q$7,$B359&lt;'111'!$L$11),"x","")</f>
        <v/>
      </c>
      <c r="S359" s="79" t="str">
        <f>IF(AND($O359=$Q$7,$B359&lt;'111'!$L$11),"x","")</f>
        <v/>
      </c>
      <c r="T359" s="79" t="str">
        <f>IF(ISERROR(FIND('112'!$M$9,G359,1)),"",IF((AND(FIND('112'!$M$9,G359,1)&gt;=1,B359='112'!$K$9,OR($N359='112'!$I$6,$O359='112'!$I$6))),"x",""))</f>
        <v/>
      </c>
      <c r="U359" s="79" t="str">
        <f>IF(ISERROR(FIND('112'!$M$9,G359,1)),"",IF((AND(LEFT(G359,2)=LEFT('112'!$M$9,2),B359&lt;'112'!$K$9,$N359='112'!$I$6)),"x",""))</f>
        <v/>
      </c>
      <c r="V359" s="79" t="str">
        <f>IF(ISERROR(FIND('112'!$M$9,G359,1)),"",IF((AND(RIGHT(G359,2)=RIGHT('112'!$M$9,2),B359&lt;'112'!$K$9,$O359='112'!$I$6)),"x",""))</f>
        <v/>
      </c>
      <c r="W359" s="79" t="str">
        <f>IF(AND('341-CT'!$H$9=H359,OR(LEFT(N359,3)=$W$7,LEFT(O359,3)=$W$7)),"x","")</f>
        <v/>
      </c>
      <c r="X359" s="79" t="str">
        <f>IF(OR(TH!N359=TH!$X$7,O359=TH!$X$7),"x","")</f>
        <v/>
      </c>
      <c r="Y359" s="79" t="str">
        <f>IF(AND(OR(N359="131",O359="131"),H359='131-CT'!$H$9),"x","")</f>
        <v/>
      </c>
      <c r="Z359" s="79"/>
      <c r="AA359" s="79" t="str">
        <f>IF(AND(MONTH(E359)='IN-NX'!$J$5,'IN-NX'!$D$7=D359),"x","")</f>
        <v/>
      </c>
      <c r="AB359" s="79" t="str">
        <f>IF(AND(OR(LEFT(TH!N359,2)="15",LEFT(TH!O359,2)="15"),LEFT(TH!O359,3)&lt;&gt;"111",'152-CT'!$J$8=TH!F359),"x","")</f>
        <v/>
      </c>
      <c r="AC359" s="79" t="str">
        <f>IF(AND(OR(LEFT(TH!N359,2)="15",LEFT(TH!O359,2)="15"),TK!$E$7=TH!F359),"x","")</f>
        <v/>
      </c>
      <c r="AD359" s="79" t="str">
        <f>IF(AND(N359="1521",MONTH(C359)='BK-NL'!$M$11),"x","")</f>
        <v/>
      </c>
    </row>
    <row r="360" spans="1:31" s="1101" customFormat="1" ht="16.5" customHeight="1">
      <c r="A360" s="318" t="str">
        <f>IF(B360&lt;&gt;"",IF(AND(B360='IN-TC'!$S$4,OR(TH!N360="1111",TH!O360="1111")),TH!D360,""),"")</f>
        <v/>
      </c>
      <c r="B360" s="1106">
        <f t="shared" si="78"/>
        <v>1</v>
      </c>
      <c r="C360" s="301">
        <v>43102</v>
      </c>
      <c r="D360" s="301" t="s">
        <v>985</v>
      </c>
      <c r="E360" s="301">
        <f t="shared" si="43"/>
        <v>43102</v>
      </c>
      <c r="F360" s="302" t="s">
        <v>1000</v>
      </c>
      <c r="G360" s="988" t="s">
        <v>746</v>
      </c>
      <c r="H360" s="303" t="s">
        <v>1002</v>
      </c>
      <c r="I360" s="385"/>
      <c r="J360" s="969"/>
      <c r="K360" s="385"/>
      <c r="L360" s="392"/>
      <c r="M360" s="970">
        <v>113700</v>
      </c>
      <c r="N360" s="304" t="s">
        <v>101</v>
      </c>
      <c r="O360" s="304" t="s">
        <v>26</v>
      </c>
      <c r="P360" s="79" t="str">
        <f>IF(AND('331-CT'!$E$7=TH!H360,OR(N360="331",O360="331")),"x","")</f>
        <v/>
      </c>
      <c r="Q360" s="79" t="str">
        <f>IF(AND(B360='111'!$L$11,OR($N360=$Q$7,$O360=$Q$7)),"x","")</f>
        <v/>
      </c>
      <c r="R360" s="79" t="str">
        <f>IF(AND($N360=$Q$7,$B360&lt;'111'!$L$11),"x","")</f>
        <v/>
      </c>
      <c r="S360" s="79" t="str">
        <f>IF(AND($O360=$Q$7,$B360&lt;'111'!$L$11),"x","")</f>
        <v/>
      </c>
      <c r="T360" s="79" t="str">
        <f>IF(ISERROR(FIND('112'!$M$9,G360,1)),"",IF((AND(FIND('112'!$M$9,G360,1)&gt;=1,B360='112'!$K$9,OR($N360='112'!$I$6,$O360='112'!$I$6))),"x",""))</f>
        <v/>
      </c>
      <c r="U360" s="79" t="str">
        <f>IF(ISERROR(FIND('112'!$M$9,G360,1)),"",IF((AND(LEFT(G360,2)=LEFT('112'!$M$9,2),B360&lt;'112'!$K$9,$N360='112'!$I$6)),"x",""))</f>
        <v/>
      </c>
      <c r="V360" s="79" t="str">
        <f>IF(ISERROR(FIND('112'!$M$9,G360,1)),"",IF((AND(RIGHT(G360,2)=RIGHT('112'!$M$9,2),B360&lt;'112'!$K$9,$O360='112'!$I$6)),"x",""))</f>
        <v/>
      </c>
      <c r="W360" s="79" t="str">
        <f>IF(AND('341-CT'!$H$9=H360,OR(LEFT(N360,3)=$W$7,LEFT(O360,3)=$W$7)),"x","")</f>
        <v/>
      </c>
      <c r="X360" s="79" t="str">
        <f>IF(OR(TH!N360=TH!$X$7,O360=TH!$X$7),"x","")</f>
        <v/>
      </c>
      <c r="Y360" s="79" t="str">
        <f>IF(AND(OR(N360="131",O360="131"),H360='131-CT'!$H$9),"x","")</f>
        <v/>
      </c>
      <c r="Z360" s="79"/>
      <c r="AA360" s="79" t="str">
        <f>IF(AND(MONTH(E360)='IN-NX'!$J$5,'IN-NX'!$D$7=D360),"x","")</f>
        <v/>
      </c>
      <c r="AB360" s="79" t="str">
        <f>IF(AND(OR(LEFT(TH!N360,2)="15",LEFT(TH!O360,2)="15"),LEFT(TH!O360,3)&lt;&gt;"111",'152-CT'!$J$8=TH!F360),"x","")</f>
        <v/>
      </c>
      <c r="AC360" s="79" t="str">
        <f>IF(AND(OR(LEFT(TH!N360,2)="15",LEFT(TH!O360,2)="15"),TK!$E$7=TH!F360),"x","")</f>
        <v/>
      </c>
      <c r="AD360" s="79" t="str">
        <f>IF(AND(N360="1521",MONTH(C360)='BK-NL'!$M$11),"x","")</f>
        <v/>
      </c>
      <c r="AE360" s="1101">
        <v>1</v>
      </c>
    </row>
    <row r="361" spans="1:31" s="1101" customFormat="1" ht="16.5" customHeight="1">
      <c r="A361" s="318" t="str">
        <f>IF(B361&lt;&gt;"",IF(AND(B361='IN-TC'!$S$4,OR(TH!N361="1111",TH!O361="1111")),TH!D361,""),"")</f>
        <v/>
      </c>
      <c r="B361" s="1106">
        <f t="shared" si="78"/>
        <v>1</v>
      </c>
      <c r="C361" s="301">
        <v>43102</v>
      </c>
      <c r="D361" s="301" t="s">
        <v>985</v>
      </c>
      <c r="E361" s="301">
        <f t="shared" si="43"/>
        <v>43102</v>
      </c>
      <c r="F361" s="302" t="s">
        <v>1001</v>
      </c>
      <c r="G361" s="988" t="s">
        <v>746</v>
      </c>
      <c r="H361" s="303" t="s">
        <v>1002</v>
      </c>
      <c r="I361" s="385"/>
      <c r="J361" s="969"/>
      <c r="K361" s="385"/>
      <c r="L361" s="392"/>
      <c r="M361" s="970">
        <v>11370</v>
      </c>
      <c r="N361" s="304" t="s">
        <v>9</v>
      </c>
      <c r="O361" s="304" t="s">
        <v>26</v>
      </c>
      <c r="P361" s="79" t="str">
        <f>IF(AND('331-CT'!$E$7=TH!H361,OR(N361="331",O361="331")),"x","")</f>
        <v/>
      </c>
      <c r="Q361" s="79" t="str">
        <f>IF(AND(B361='111'!$L$11,OR($N361=$Q$7,$O361=$Q$7)),"x","")</f>
        <v/>
      </c>
      <c r="R361" s="79" t="str">
        <f>IF(AND($N361=$Q$7,$B361&lt;'111'!$L$11),"x","")</f>
        <v/>
      </c>
      <c r="S361" s="79" t="str">
        <f>IF(AND($O361=$Q$7,$B361&lt;'111'!$L$11),"x","")</f>
        <v/>
      </c>
      <c r="T361" s="79" t="str">
        <f>IF(ISERROR(FIND('112'!$M$9,G361,1)),"",IF((AND(FIND('112'!$M$9,G361,1)&gt;=1,B361='112'!$K$9,OR($N361='112'!$I$6,$O361='112'!$I$6))),"x",""))</f>
        <v/>
      </c>
      <c r="U361" s="79" t="str">
        <f>IF(ISERROR(FIND('112'!$M$9,G361,1)),"",IF((AND(LEFT(G361,2)=LEFT('112'!$M$9,2),B361&lt;'112'!$K$9,$N361='112'!$I$6)),"x",""))</f>
        <v/>
      </c>
      <c r="V361" s="79" t="str">
        <f>IF(ISERROR(FIND('112'!$M$9,G361,1)),"",IF((AND(RIGHT(G361,2)=RIGHT('112'!$M$9,2),B361&lt;'112'!$K$9,$O361='112'!$I$6)),"x",""))</f>
        <v/>
      </c>
      <c r="W361" s="79" t="str">
        <f>IF(AND('341-CT'!$H$9=H361,OR(LEFT(N361,3)=$W$7,LEFT(O361,3)=$W$7)),"x","")</f>
        <v/>
      </c>
      <c r="X361" s="79" t="str">
        <f>IF(OR(TH!N361=TH!$X$7,O361=TH!$X$7),"x","")</f>
        <v/>
      </c>
      <c r="Y361" s="79" t="str">
        <f>IF(AND(OR(N361="131",O361="131"),H361='131-CT'!$H$9),"x","")</f>
        <v/>
      </c>
      <c r="Z361" s="79"/>
      <c r="AA361" s="79" t="str">
        <f>IF(AND(MONTH(E361)='IN-NX'!$J$5,'IN-NX'!$D$7=D361),"x","")</f>
        <v/>
      </c>
      <c r="AB361" s="79" t="str">
        <f>IF(AND(OR(LEFT(TH!N361,2)="15",LEFT(TH!O361,2)="15"),LEFT(TH!O361,3)&lt;&gt;"111",'152-CT'!$J$8=TH!F361),"x","")</f>
        <v/>
      </c>
      <c r="AC361" s="79" t="str">
        <f>IF(AND(OR(LEFT(TH!N361,2)="15",LEFT(TH!O361,2)="15"),TK!$E$7=TH!F361),"x","")</f>
        <v/>
      </c>
      <c r="AD361" s="79" t="str">
        <f>IF(AND(N361="1521",MONTH(C361)='BK-NL'!$M$11),"x","")</f>
        <v/>
      </c>
      <c r="AE361" s="1101">
        <v>1</v>
      </c>
    </row>
    <row r="362" spans="1:31" s="1101" customFormat="1" ht="16.5" customHeight="1">
      <c r="A362" s="318" t="str">
        <f>IF(B362&lt;&gt;"",IF(AND(B362='IN-TC'!$S$4,OR(TH!N362="1111",TH!O362="1111")),TH!D362,""),"")</f>
        <v/>
      </c>
      <c r="B362" s="1106">
        <f t="shared" si="78"/>
        <v>1</v>
      </c>
      <c r="C362" s="301">
        <v>43102</v>
      </c>
      <c r="D362" s="301" t="s">
        <v>985</v>
      </c>
      <c r="E362" s="301">
        <f t="shared" si="43"/>
        <v>43102</v>
      </c>
      <c r="F362" s="302" t="s">
        <v>1000</v>
      </c>
      <c r="G362" s="988" t="s">
        <v>746</v>
      </c>
      <c r="H362" s="303" t="s">
        <v>1002</v>
      </c>
      <c r="I362" s="385"/>
      <c r="J362" s="969"/>
      <c r="K362" s="385"/>
      <c r="L362" s="392"/>
      <c r="M362" s="970">
        <v>715164</v>
      </c>
      <c r="N362" s="304" t="s">
        <v>101</v>
      </c>
      <c r="O362" s="304" t="s">
        <v>26</v>
      </c>
      <c r="P362" s="79" t="str">
        <f>IF(AND('331-CT'!$E$7=TH!H362,OR(N362="331",O362="331")),"x","")</f>
        <v/>
      </c>
      <c r="Q362" s="79" t="str">
        <f>IF(AND(B362='111'!$L$11,OR($N362=$Q$7,$O362=$Q$7)),"x","")</f>
        <v/>
      </c>
      <c r="R362" s="79" t="str">
        <f>IF(AND($N362=$Q$7,$B362&lt;'111'!$L$11),"x","")</f>
        <v/>
      </c>
      <c r="S362" s="79" t="str">
        <f>IF(AND($O362=$Q$7,$B362&lt;'111'!$L$11),"x","")</f>
        <v/>
      </c>
      <c r="T362" s="79" t="str">
        <f>IF(ISERROR(FIND('112'!$M$9,G362,1)),"",IF((AND(FIND('112'!$M$9,G362,1)&gt;=1,B362='112'!$K$9,OR($N362='112'!$I$6,$O362='112'!$I$6))),"x",""))</f>
        <v/>
      </c>
      <c r="U362" s="79" t="str">
        <f>IF(ISERROR(FIND('112'!$M$9,G362,1)),"",IF((AND(LEFT(G362,2)=LEFT('112'!$M$9,2),B362&lt;'112'!$K$9,$N362='112'!$I$6)),"x",""))</f>
        <v/>
      </c>
      <c r="V362" s="79" t="str">
        <f>IF(ISERROR(FIND('112'!$M$9,G362,1)),"",IF((AND(RIGHT(G362,2)=RIGHT('112'!$M$9,2),B362&lt;'112'!$K$9,$O362='112'!$I$6)),"x",""))</f>
        <v/>
      </c>
      <c r="W362" s="79" t="str">
        <f>IF(AND('341-CT'!$H$9=H362,OR(LEFT(N362,3)=$W$7,LEFT(O362,3)=$W$7)),"x","")</f>
        <v/>
      </c>
      <c r="X362" s="79" t="str">
        <f>IF(OR(TH!N362=TH!$X$7,O362=TH!$X$7),"x","")</f>
        <v/>
      </c>
      <c r="Y362" s="79" t="str">
        <f>IF(AND(OR(N362="131",O362="131"),H362='131-CT'!$H$9),"x","")</f>
        <v/>
      </c>
      <c r="Z362" s="79"/>
      <c r="AA362" s="79" t="str">
        <f>IF(AND(MONTH(E362)='IN-NX'!$J$5,'IN-NX'!$D$7=D362),"x","")</f>
        <v/>
      </c>
      <c r="AB362" s="79" t="str">
        <f>IF(AND(OR(LEFT(TH!N362,2)="15",LEFT(TH!O362,2)="15"),LEFT(TH!O362,3)&lt;&gt;"111",'152-CT'!$J$8=TH!F362),"x","")</f>
        <v/>
      </c>
      <c r="AC362" s="79" t="str">
        <f>IF(AND(OR(LEFT(TH!N362,2)="15",LEFT(TH!O362,2)="15"),TK!$E$7=TH!F362),"x","")</f>
        <v/>
      </c>
      <c r="AD362" s="79" t="str">
        <f>IF(AND(N362="1521",MONTH(C362)='BK-NL'!$M$11),"x","")</f>
        <v/>
      </c>
      <c r="AE362" s="1101">
        <v>1</v>
      </c>
    </row>
    <row r="363" spans="1:31" s="1101" customFormat="1" ht="16.5" customHeight="1">
      <c r="A363" s="318" t="str">
        <f>IF(B363&lt;&gt;"",IF(AND(B363='IN-TC'!$S$4,OR(TH!N363="1111",TH!O363="1111")),TH!D363,""),"")</f>
        <v/>
      </c>
      <c r="B363" s="1106">
        <f t="shared" si="78"/>
        <v>1</v>
      </c>
      <c r="C363" s="301">
        <v>43102</v>
      </c>
      <c r="D363" s="301" t="s">
        <v>985</v>
      </c>
      <c r="E363" s="301">
        <f t="shared" si="43"/>
        <v>43102</v>
      </c>
      <c r="F363" s="302" t="s">
        <v>1001</v>
      </c>
      <c r="G363" s="988" t="s">
        <v>746</v>
      </c>
      <c r="H363" s="303" t="s">
        <v>1002</v>
      </c>
      <c r="I363" s="385"/>
      <c r="J363" s="969"/>
      <c r="K363" s="385"/>
      <c r="L363" s="392"/>
      <c r="M363" s="970">
        <v>71516</v>
      </c>
      <c r="N363" s="304" t="s">
        <v>9</v>
      </c>
      <c r="O363" s="304" t="s">
        <v>26</v>
      </c>
      <c r="P363" s="79" t="str">
        <f>IF(AND('331-CT'!$E$7=TH!H363,OR(N363="331",O363="331")),"x","")</f>
        <v/>
      </c>
      <c r="Q363" s="79" t="str">
        <f>IF(AND(B363='111'!$L$11,OR($N363=$Q$7,$O363=$Q$7)),"x","")</f>
        <v/>
      </c>
      <c r="R363" s="79" t="str">
        <f>IF(AND($N363=$Q$7,$B363&lt;'111'!$L$11),"x","")</f>
        <v/>
      </c>
      <c r="S363" s="79" t="str">
        <f>IF(AND($O363=$Q$7,$B363&lt;'111'!$L$11),"x","")</f>
        <v/>
      </c>
      <c r="T363" s="79" t="str">
        <f>IF(ISERROR(FIND('112'!$M$9,G363,1)),"",IF((AND(FIND('112'!$M$9,G363,1)&gt;=1,B363='112'!$K$9,OR($N363='112'!$I$6,$O363='112'!$I$6))),"x",""))</f>
        <v/>
      </c>
      <c r="U363" s="79" t="str">
        <f>IF(ISERROR(FIND('112'!$M$9,G363,1)),"",IF((AND(LEFT(G363,2)=LEFT('112'!$M$9,2),B363&lt;'112'!$K$9,$N363='112'!$I$6)),"x",""))</f>
        <v/>
      </c>
      <c r="V363" s="79" t="str">
        <f>IF(ISERROR(FIND('112'!$M$9,G363,1)),"",IF((AND(RIGHT(G363,2)=RIGHT('112'!$M$9,2),B363&lt;'112'!$K$9,$O363='112'!$I$6)),"x",""))</f>
        <v/>
      </c>
      <c r="W363" s="79" t="str">
        <f>IF(AND('341-CT'!$H$9=H363,OR(LEFT(N363,3)=$W$7,LEFT(O363,3)=$W$7)),"x","")</f>
        <v/>
      </c>
      <c r="X363" s="79" t="str">
        <f>IF(OR(TH!N363=TH!$X$7,O363=TH!$X$7),"x","")</f>
        <v/>
      </c>
      <c r="Y363" s="79" t="str">
        <f>IF(AND(OR(N363="131",O363="131"),H363='131-CT'!$H$9),"x","")</f>
        <v/>
      </c>
      <c r="Z363" s="79"/>
      <c r="AA363" s="79" t="str">
        <f>IF(AND(MONTH(E363)='IN-NX'!$J$5,'IN-NX'!$D$7=D363),"x","")</f>
        <v/>
      </c>
      <c r="AB363" s="79" t="str">
        <f>IF(AND(OR(LEFT(TH!N363,2)="15",LEFT(TH!O363,2)="15"),LEFT(TH!O363,3)&lt;&gt;"111",'152-CT'!$J$8=TH!F363),"x","")</f>
        <v/>
      </c>
      <c r="AC363" s="79" t="str">
        <f>IF(AND(OR(LEFT(TH!N363,2)="15",LEFT(TH!O363,2)="15"),TK!$E$7=TH!F363),"x","")</f>
        <v/>
      </c>
      <c r="AD363" s="79" t="str">
        <f>IF(AND(N363="1521",MONTH(C363)='BK-NL'!$M$11),"x","")</f>
        <v/>
      </c>
    </row>
    <row r="364" spans="1:31" s="1101" customFormat="1" ht="16.5" customHeight="1">
      <c r="A364" s="318" t="str">
        <f>IF(B364&lt;&gt;"",IF(AND(B364='IN-TC'!$S$4,OR(TH!N364="1111",TH!O364="1111")),TH!D364,""),"")</f>
        <v/>
      </c>
      <c r="B364" s="1106">
        <f t="shared" si="78"/>
        <v>1</v>
      </c>
      <c r="C364" s="301">
        <v>43103</v>
      </c>
      <c r="D364" s="301" t="s">
        <v>985</v>
      </c>
      <c r="E364" s="301">
        <f t="shared" si="43"/>
        <v>43103</v>
      </c>
      <c r="F364" s="302" t="s">
        <v>995</v>
      </c>
      <c r="G364" s="988" t="s">
        <v>746</v>
      </c>
      <c r="H364" s="321" t="s">
        <v>996</v>
      </c>
      <c r="I364" s="385"/>
      <c r="J364" s="969"/>
      <c r="K364" s="385"/>
      <c r="L364" s="392"/>
      <c r="M364" s="970">
        <v>1900000000</v>
      </c>
      <c r="N364" s="304" t="s">
        <v>63</v>
      </c>
      <c r="O364" s="304" t="s">
        <v>26</v>
      </c>
      <c r="P364" s="79" t="str">
        <f>IF(AND('331-CT'!$E$7=TH!H364,OR(N364="331",O364="331")),"x","")</f>
        <v/>
      </c>
      <c r="Q364" s="79" t="str">
        <f>IF(AND(B364='111'!$L$11,OR($N364=$Q$7,$O364=$Q$7)),"x","")</f>
        <v/>
      </c>
      <c r="R364" s="79" t="str">
        <f>IF(AND($N364=$Q$7,$B364&lt;'111'!$L$11),"x","")</f>
        <v>x</v>
      </c>
      <c r="S364" s="79" t="str">
        <f>IF(AND($O364=$Q$7,$B364&lt;'111'!$L$11),"x","")</f>
        <v/>
      </c>
      <c r="T364" s="79" t="str">
        <f>IF(ISERROR(FIND('112'!$M$9,G364,1)),"",IF((AND(FIND('112'!$M$9,G364,1)&gt;=1,B364='112'!$K$9,OR($N364='112'!$I$6,$O364='112'!$I$6))),"x",""))</f>
        <v/>
      </c>
      <c r="U364" s="79" t="str">
        <f>IF(ISERROR(FIND('112'!$M$9,G364,1)),"",IF((AND(LEFT(G364,2)=LEFT('112'!$M$9,2),B364&lt;'112'!$K$9,$N364='112'!$I$6)),"x",""))</f>
        <v/>
      </c>
      <c r="V364" s="79" t="str">
        <f>IF(ISERROR(FIND('112'!$M$9,G364,1)),"",IF((AND(RIGHT(G364,2)=RIGHT('112'!$M$9,2),B364&lt;'112'!$K$9,$O364='112'!$I$6)),"x",""))</f>
        <v/>
      </c>
      <c r="W364" s="79" t="str">
        <f>IF(AND('341-CT'!$H$9=H364,OR(LEFT(N364,3)=$W$7,LEFT(O364,3)=$W$7)),"x","")</f>
        <v/>
      </c>
      <c r="X364" s="79" t="str">
        <f>IF(OR(TH!N364=TH!$X$7,O364=TH!$X$7),"x","")</f>
        <v/>
      </c>
      <c r="Y364" s="79" t="str">
        <f>IF(AND(OR(N364="131",O364="131"),H364='131-CT'!$H$9),"x","")</f>
        <v/>
      </c>
      <c r="Z364" s="79"/>
      <c r="AA364" s="79" t="str">
        <f>IF(AND(MONTH(E364)='IN-NX'!$J$5,'IN-NX'!$D$7=D364),"x","")</f>
        <v/>
      </c>
      <c r="AB364" s="79" t="str">
        <f>IF(AND(OR(LEFT(TH!N364,2)="15",LEFT(TH!O364,2)="15"),LEFT(TH!O364,3)&lt;&gt;"111",'152-CT'!$J$8=TH!F364),"x","")</f>
        <v/>
      </c>
      <c r="AC364" s="79" t="str">
        <f>IF(AND(OR(LEFT(TH!N364,2)="15",LEFT(TH!O364,2)="15"),TK!$E$7=TH!F364),"x","")</f>
        <v/>
      </c>
      <c r="AD364" s="79" t="str">
        <f>IF(AND(N364="1521",MONTH(C364)='BK-NL'!$M$11),"x","")</f>
        <v/>
      </c>
    </row>
    <row r="365" spans="1:31" s="1101" customFormat="1" ht="16.5" customHeight="1">
      <c r="A365" s="318" t="str">
        <f>IF(B365&lt;&gt;"",IF(AND(B365='IN-TC'!$S$4,OR(TH!N365="1111",TH!O365="1111")),TH!D365,""),"")</f>
        <v/>
      </c>
      <c r="B365" s="1106">
        <f t="shared" ref="B365:B368" si="109">IF(C365&lt;&gt;"",MONTH(C365),"")</f>
        <v>1</v>
      </c>
      <c r="C365" s="301">
        <v>43104</v>
      </c>
      <c r="D365" s="301" t="s">
        <v>985</v>
      </c>
      <c r="E365" s="301">
        <f t="shared" ref="E365:E368" si="110">C365</f>
        <v>43104</v>
      </c>
      <c r="F365" s="302" t="s">
        <v>1000</v>
      </c>
      <c r="G365" s="988" t="s">
        <v>746</v>
      </c>
      <c r="H365" s="303" t="s">
        <v>1002</v>
      </c>
      <c r="I365" s="385"/>
      <c r="J365" s="969"/>
      <c r="K365" s="385"/>
      <c r="L365" s="392"/>
      <c r="M365" s="970">
        <v>113700</v>
      </c>
      <c r="N365" s="304" t="s">
        <v>101</v>
      </c>
      <c r="O365" s="304" t="s">
        <v>26</v>
      </c>
      <c r="P365" s="79" t="str">
        <f>IF(AND('331-CT'!$E$7=TH!H365,OR(N365="331",O365="331")),"x","")</f>
        <v/>
      </c>
      <c r="Q365" s="79" t="str">
        <f>IF(AND(B365='111'!$L$11,OR($N365=$Q$7,$O365=$Q$7)),"x","")</f>
        <v/>
      </c>
      <c r="R365" s="79" t="str">
        <f>IF(AND($N365=$Q$7,$B365&lt;'111'!$L$11),"x","")</f>
        <v/>
      </c>
      <c r="S365" s="79" t="str">
        <f>IF(AND($O365=$Q$7,$B365&lt;'111'!$L$11),"x","")</f>
        <v/>
      </c>
      <c r="T365" s="79" t="str">
        <f>IF(ISERROR(FIND('112'!$M$9,G365,1)),"",IF((AND(FIND('112'!$M$9,G365,1)&gt;=1,B365='112'!$K$9,OR($N365='112'!$I$6,$O365='112'!$I$6))),"x",""))</f>
        <v/>
      </c>
      <c r="U365" s="79" t="str">
        <f>IF(ISERROR(FIND('112'!$M$9,G365,1)),"",IF((AND(LEFT(G365,2)=LEFT('112'!$M$9,2),B365&lt;'112'!$K$9,$N365='112'!$I$6)),"x",""))</f>
        <v/>
      </c>
      <c r="V365" s="79" t="str">
        <f>IF(ISERROR(FIND('112'!$M$9,G365,1)),"",IF((AND(RIGHT(G365,2)=RIGHT('112'!$M$9,2),B365&lt;'112'!$K$9,$O365='112'!$I$6)),"x",""))</f>
        <v/>
      </c>
      <c r="W365" s="79" t="str">
        <f>IF(AND('341-CT'!$H$9=H365,OR(LEFT(N365,3)=$W$7,LEFT(O365,3)=$W$7)),"x","")</f>
        <v/>
      </c>
      <c r="X365" s="79" t="str">
        <f>IF(OR(TH!N365=TH!$X$7,O365=TH!$X$7),"x","")</f>
        <v/>
      </c>
      <c r="Y365" s="79" t="str">
        <f>IF(AND(OR(N365="131",O365="131"),H365='131-CT'!$H$9),"x","")</f>
        <v/>
      </c>
      <c r="Z365" s="79"/>
      <c r="AA365" s="79" t="str">
        <f>IF(AND(MONTH(E365)='IN-NX'!$J$5,'IN-NX'!$D$7=D365),"x","")</f>
        <v/>
      </c>
      <c r="AB365" s="79" t="str">
        <f>IF(AND(OR(LEFT(TH!N365,2)="15",LEFT(TH!O365,2)="15"),LEFT(TH!O365,3)&lt;&gt;"111",'152-CT'!$J$8=TH!F365),"x","")</f>
        <v/>
      </c>
      <c r="AC365" s="79" t="str">
        <f>IF(AND(OR(LEFT(TH!N365,2)="15",LEFT(TH!O365,2)="15"),TK!$E$7=TH!F365),"x","")</f>
        <v/>
      </c>
      <c r="AD365" s="79" t="str">
        <f>IF(AND(N365="1521",MONTH(C365)='BK-NL'!$M$11),"x","")</f>
        <v/>
      </c>
      <c r="AE365" s="1101">
        <v>1</v>
      </c>
    </row>
    <row r="366" spans="1:31" s="1101" customFormat="1" ht="16.5" customHeight="1">
      <c r="A366" s="318" t="str">
        <f>IF(B366&lt;&gt;"",IF(AND(B366='IN-TC'!$S$4,OR(TH!N366="1111",TH!O366="1111")),TH!D366,""),"")</f>
        <v/>
      </c>
      <c r="B366" s="1106">
        <f t="shared" si="109"/>
        <v>1</v>
      </c>
      <c r="C366" s="301">
        <v>43104</v>
      </c>
      <c r="D366" s="301" t="s">
        <v>985</v>
      </c>
      <c r="E366" s="301">
        <f t="shared" si="110"/>
        <v>43104</v>
      </c>
      <c r="F366" s="302" t="s">
        <v>1001</v>
      </c>
      <c r="G366" s="988" t="s">
        <v>746</v>
      </c>
      <c r="H366" s="303" t="s">
        <v>1002</v>
      </c>
      <c r="I366" s="385"/>
      <c r="J366" s="969"/>
      <c r="K366" s="385"/>
      <c r="L366" s="392"/>
      <c r="M366" s="970">
        <v>11370</v>
      </c>
      <c r="N366" s="304" t="s">
        <v>9</v>
      </c>
      <c r="O366" s="304" t="s">
        <v>26</v>
      </c>
      <c r="P366" s="79" t="str">
        <f>IF(AND('331-CT'!$E$7=TH!H366,OR(N366="331",O366="331")),"x","")</f>
        <v/>
      </c>
      <c r="Q366" s="79" t="str">
        <f>IF(AND(B366='111'!$L$11,OR($N366=$Q$7,$O366=$Q$7)),"x","")</f>
        <v/>
      </c>
      <c r="R366" s="79" t="str">
        <f>IF(AND($N366=$Q$7,$B366&lt;'111'!$L$11),"x","")</f>
        <v/>
      </c>
      <c r="S366" s="79" t="str">
        <f>IF(AND($O366=$Q$7,$B366&lt;'111'!$L$11),"x","")</f>
        <v/>
      </c>
      <c r="T366" s="79" t="str">
        <f>IF(ISERROR(FIND('112'!$M$9,G366,1)),"",IF((AND(FIND('112'!$M$9,G366,1)&gt;=1,B366='112'!$K$9,OR($N366='112'!$I$6,$O366='112'!$I$6))),"x",""))</f>
        <v/>
      </c>
      <c r="U366" s="79" t="str">
        <f>IF(ISERROR(FIND('112'!$M$9,G366,1)),"",IF((AND(LEFT(G366,2)=LEFT('112'!$M$9,2),B366&lt;'112'!$K$9,$N366='112'!$I$6)),"x",""))</f>
        <v/>
      </c>
      <c r="V366" s="79" t="str">
        <f>IF(ISERROR(FIND('112'!$M$9,G366,1)),"",IF((AND(RIGHT(G366,2)=RIGHT('112'!$M$9,2),B366&lt;'112'!$K$9,$O366='112'!$I$6)),"x",""))</f>
        <v/>
      </c>
      <c r="W366" s="79" t="str">
        <f>IF(AND('341-CT'!$H$9=H366,OR(LEFT(N366,3)=$W$7,LEFT(O366,3)=$W$7)),"x","")</f>
        <v/>
      </c>
      <c r="X366" s="79" t="str">
        <f>IF(OR(TH!N366=TH!$X$7,O366=TH!$X$7),"x","")</f>
        <v/>
      </c>
      <c r="Y366" s="79" t="str">
        <f>IF(AND(OR(N366="131",O366="131"),H366='131-CT'!$H$9),"x","")</f>
        <v/>
      </c>
      <c r="Z366" s="79"/>
      <c r="AA366" s="79" t="str">
        <f>IF(AND(MONTH(E366)='IN-NX'!$J$5,'IN-NX'!$D$7=D366),"x","")</f>
        <v/>
      </c>
      <c r="AB366" s="79" t="str">
        <f>IF(AND(OR(LEFT(TH!N366,2)="15",LEFT(TH!O366,2)="15"),LEFT(TH!O366,3)&lt;&gt;"111",'152-CT'!$J$8=TH!F366),"x","")</f>
        <v/>
      </c>
      <c r="AC366" s="79" t="str">
        <f>IF(AND(OR(LEFT(TH!N366,2)="15",LEFT(TH!O366,2)="15"),TK!$E$7=TH!F366),"x","")</f>
        <v/>
      </c>
      <c r="AD366" s="79" t="str">
        <f>IF(AND(N366="1521",MONTH(C366)='BK-NL'!$M$11),"x","")</f>
        <v/>
      </c>
      <c r="AE366" s="1101">
        <v>1</v>
      </c>
    </row>
    <row r="367" spans="1:31" s="1101" customFormat="1" ht="16.5" customHeight="1">
      <c r="A367" s="318" t="str">
        <f>IF(B367&lt;&gt;"",IF(AND(B367='IN-TC'!$S$4,OR(TH!N367="1111",TH!O367="1111")),TH!D367,""),"")</f>
        <v/>
      </c>
      <c r="B367" s="1106">
        <f t="shared" si="109"/>
        <v>1</v>
      </c>
      <c r="C367" s="301">
        <v>43104</v>
      </c>
      <c r="D367" s="301" t="s">
        <v>985</v>
      </c>
      <c r="E367" s="301">
        <f t="shared" si="110"/>
        <v>43104</v>
      </c>
      <c r="F367" s="302" t="s">
        <v>1000</v>
      </c>
      <c r="G367" s="988" t="s">
        <v>746</v>
      </c>
      <c r="H367" s="303" t="s">
        <v>1002</v>
      </c>
      <c r="I367" s="385"/>
      <c r="J367" s="969"/>
      <c r="K367" s="385"/>
      <c r="L367" s="392"/>
      <c r="M367" s="970">
        <v>753149</v>
      </c>
      <c r="N367" s="304" t="s">
        <v>101</v>
      </c>
      <c r="O367" s="304" t="s">
        <v>26</v>
      </c>
      <c r="P367" s="79" t="str">
        <f>IF(AND('331-CT'!$E$7=TH!H367,OR(N367="331",O367="331")),"x","")</f>
        <v/>
      </c>
      <c r="Q367" s="79" t="str">
        <f>IF(AND(B367='111'!$L$11,OR($N367=$Q$7,$O367=$Q$7)),"x","")</f>
        <v/>
      </c>
      <c r="R367" s="79" t="str">
        <f>IF(AND($N367=$Q$7,$B367&lt;'111'!$L$11),"x","")</f>
        <v/>
      </c>
      <c r="S367" s="79" t="str">
        <f>IF(AND($O367=$Q$7,$B367&lt;'111'!$L$11),"x","")</f>
        <v/>
      </c>
      <c r="T367" s="79" t="str">
        <f>IF(ISERROR(FIND('112'!$M$9,G367,1)),"",IF((AND(FIND('112'!$M$9,G367,1)&gt;=1,B367='112'!$K$9,OR($N367='112'!$I$6,$O367='112'!$I$6))),"x",""))</f>
        <v/>
      </c>
      <c r="U367" s="79" t="str">
        <f>IF(ISERROR(FIND('112'!$M$9,G367,1)),"",IF((AND(LEFT(G367,2)=LEFT('112'!$M$9,2),B367&lt;'112'!$K$9,$N367='112'!$I$6)),"x",""))</f>
        <v/>
      </c>
      <c r="V367" s="79" t="str">
        <f>IF(ISERROR(FIND('112'!$M$9,G367,1)),"",IF((AND(RIGHT(G367,2)=RIGHT('112'!$M$9,2),B367&lt;'112'!$K$9,$O367='112'!$I$6)),"x",""))</f>
        <v/>
      </c>
      <c r="W367" s="79" t="str">
        <f>IF(AND('341-CT'!$H$9=H367,OR(LEFT(N367,3)=$W$7,LEFT(O367,3)=$W$7)),"x","")</f>
        <v/>
      </c>
      <c r="X367" s="79" t="str">
        <f>IF(OR(TH!N367=TH!$X$7,O367=TH!$X$7),"x","")</f>
        <v/>
      </c>
      <c r="Y367" s="79" t="str">
        <f>IF(AND(OR(N367="131",O367="131"),H367='131-CT'!$H$9),"x","")</f>
        <v/>
      </c>
      <c r="Z367" s="79"/>
      <c r="AA367" s="79" t="str">
        <f>IF(AND(MONTH(E367)='IN-NX'!$J$5,'IN-NX'!$D$7=D367),"x","")</f>
        <v/>
      </c>
      <c r="AB367" s="79" t="str">
        <f>IF(AND(OR(LEFT(TH!N367,2)="15",LEFT(TH!O367,2)="15"),LEFT(TH!O367,3)&lt;&gt;"111",'152-CT'!$J$8=TH!F367),"x","")</f>
        <v/>
      </c>
      <c r="AC367" s="79" t="str">
        <f>IF(AND(OR(LEFT(TH!N367,2)="15",LEFT(TH!O367,2)="15"),TK!$E$7=TH!F367),"x","")</f>
        <v/>
      </c>
      <c r="AD367" s="79" t="str">
        <f>IF(AND(N367="1521",MONTH(C367)='BK-NL'!$M$11),"x","")</f>
        <v/>
      </c>
      <c r="AE367" s="1101">
        <v>1</v>
      </c>
    </row>
    <row r="368" spans="1:31" s="1101" customFormat="1" ht="16.5" customHeight="1">
      <c r="A368" s="318" t="str">
        <f>IF(B368&lt;&gt;"",IF(AND(B368='IN-TC'!$S$4,OR(TH!N368="1111",TH!O368="1111")),TH!D368,""),"")</f>
        <v/>
      </c>
      <c r="B368" s="1106">
        <f t="shared" si="109"/>
        <v>1</v>
      </c>
      <c r="C368" s="301">
        <v>43104</v>
      </c>
      <c r="D368" s="301" t="s">
        <v>985</v>
      </c>
      <c r="E368" s="301">
        <f t="shared" si="110"/>
        <v>43104</v>
      </c>
      <c r="F368" s="302" t="s">
        <v>1001</v>
      </c>
      <c r="G368" s="988" t="s">
        <v>746</v>
      </c>
      <c r="H368" s="303" t="s">
        <v>1002</v>
      </c>
      <c r="I368" s="385"/>
      <c r="J368" s="969"/>
      <c r="K368" s="385"/>
      <c r="L368" s="392"/>
      <c r="M368" s="970">
        <v>75315</v>
      </c>
      <c r="N368" s="304" t="s">
        <v>9</v>
      </c>
      <c r="O368" s="304" t="s">
        <v>26</v>
      </c>
      <c r="P368" s="79" t="str">
        <f>IF(AND('331-CT'!$E$7=TH!H368,OR(N368="331",O368="331")),"x","")</f>
        <v/>
      </c>
      <c r="Q368" s="79" t="str">
        <f>IF(AND(B368='111'!$L$11,OR($N368=$Q$7,$O368=$Q$7)),"x","")</f>
        <v/>
      </c>
      <c r="R368" s="79" t="str">
        <f>IF(AND($N368=$Q$7,$B368&lt;'111'!$L$11),"x","")</f>
        <v/>
      </c>
      <c r="S368" s="79" t="str">
        <f>IF(AND($O368=$Q$7,$B368&lt;'111'!$L$11),"x","")</f>
        <v/>
      </c>
      <c r="T368" s="79" t="str">
        <f>IF(ISERROR(FIND('112'!$M$9,G368,1)),"",IF((AND(FIND('112'!$M$9,G368,1)&gt;=1,B368='112'!$K$9,OR($N368='112'!$I$6,$O368='112'!$I$6))),"x",""))</f>
        <v/>
      </c>
      <c r="U368" s="79" t="str">
        <f>IF(ISERROR(FIND('112'!$M$9,G368,1)),"",IF((AND(LEFT(G368,2)=LEFT('112'!$M$9,2),B368&lt;'112'!$K$9,$N368='112'!$I$6)),"x",""))</f>
        <v/>
      </c>
      <c r="V368" s="79" t="str">
        <f>IF(ISERROR(FIND('112'!$M$9,G368,1)),"",IF((AND(RIGHT(G368,2)=RIGHT('112'!$M$9,2),B368&lt;'112'!$K$9,$O368='112'!$I$6)),"x",""))</f>
        <v/>
      </c>
      <c r="W368" s="79" t="str">
        <f>IF(AND('341-CT'!$H$9=H368,OR(LEFT(N368,3)=$W$7,LEFT(O368,3)=$W$7)),"x","")</f>
        <v/>
      </c>
      <c r="X368" s="79" t="str">
        <f>IF(OR(TH!N368=TH!$X$7,O368=TH!$X$7),"x","")</f>
        <v/>
      </c>
      <c r="Y368" s="79" t="str">
        <f>IF(AND(OR(N368="131",O368="131"),H368='131-CT'!$H$9),"x","")</f>
        <v/>
      </c>
      <c r="Z368" s="79"/>
      <c r="AA368" s="79" t="str">
        <f>IF(AND(MONTH(E368)='IN-NX'!$J$5,'IN-NX'!$D$7=D368),"x","")</f>
        <v/>
      </c>
      <c r="AB368" s="79" t="str">
        <f>IF(AND(OR(LEFT(TH!N368,2)="15",LEFT(TH!O368,2)="15"),LEFT(TH!O368,3)&lt;&gt;"111",'152-CT'!$J$8=TH!F368),"x","")</f>
        <v/>
      </c>
      <c r="AC368" s="79" t="str">
        <f>IF(AND(OR(LEFT(TH!N368,2)="15",LEFT(TH!O368,2)="15"),TK!$E$7=TH!F368),"x","")</f>
        <v/>
      </c>
      <c r="AD368" s="79" t="str">
        <f>IF(AND(N368="1521",MONTH(C368)='BK-NL'!$M$11),"x","")</f>
        <v/>
      </c>
      <c r="AE368" s="1101">
        <v>1</v>
      </c>
    </row>
    <row r="369" spans="1:31" s="1101" customFormat="1" ht="16.5" customHeight="1">
      <c r="A369" s="318" t="str">
        <f>IF(B369&lt;&gt;"",IF(AND(B369='IN-TC'!$S$4,OR(TH!N369="1111",TH!O369="1111")),TH!D369,""),"")</f>
        <v/>
      </c>
      <c r="B369" s="1106">
        <f t="shared" si="78"/>
        <v>1</v>
      </c>
      <c r="C369" s="301">
        <v>43104</v>
      </c>
      <c r="D369" s="301" t="s">
        <v>985</v>
      </c>
      <c r="E369" s="301">
        <f t="shared" si="43"/>
        <v>43104</v>
      </c>
      <c r="F369" s="302" t="s">
        <v>1003</v>
      </c>
      <c r="G369" s="988" t="s">
        <v>746</v>
      </c>
      <c r="H369" s="303" t="s">
        <v>783</v>
      </c>
      <c r="I369" s="385"/>
      <c r="J369" s="969"/>
      <c r="K369" s="385"/>
      <c r="L369" s="392"/>
      <c r="M369" s="970">
        <v>1299471000</v>
      </c>
      <c r="N369" s="304" t="s">
        <v>8</v>
      </c>
      <c r="O369" s="304" t="s">
        <v>26</v>
      </c>
      <c r="P369" s="79" t="str">
        <f>IF(AND('331-CT'!$E$7=TH!H369,OR(N369="331",O369="331")),"x","")</f>
        <v/>
      </c>
      <c r="Q369" s="79" t="str">
        <f>IF(AND(B369='111'!$L$11,OR($N369=$Q$7,$O369=$Q$7)),"x","")</f>
        <v/>
      </c>
      <c r="R369" s="79" t="str">
        <f>IF(AND($N369=$Q$7,$B369&lt;'111'!$L$11),"x","")</f>
        <v/>
      </c>
      <c r="S369" s="79" t="str">
        <f>IF(AND($O369=$Q$7,$B369&lt;'111'!$L$11),"x","")</f>
        <v/>
      </c>
      <c r="T369" s="79" t="str">
        <f>IF(ISERROR(FIND('112'!$M$9,G369,1)),"",IF((AND(FIND('112'!$M$9,G369,1)&gt;=1,B369='112'!$K$9,OR($N369='112'!$I$6,$O369='112'!$I$6))),"x",""))</f>
        <v/>
      </c>
      <c r="U369" s="79" t="str">
        <f>IF(ISERROR(FIND('112'!$M$9,G369,1)),"",IF((AND(LEFT(G369,2)=LEFT('112'!$M$9,2),B369&lt;'112'!$K$9,$N369='112'!$I$6)),"x",""))</f>
        <v/>
      </c>
      <c r="V369" s="79" t="str">
        <f>IF(ISERROR(FIND('112'!$M$9,G369,1)),"",IF((AND(RIGHT(G369,2)=RIGHT('112'!$M$9,2),B369&lt;'112'!$K$9,$O369='112'!$I$6)),"x",""))</f>
        <v/>
      </c>
      <c r="W369" s="79" t="str">
        <f>IF(AND('341-CT'!$H$9=H369,OR(LEFT(N369,3)=$W$7,LEFT(O369,3)=$W$7)),"x","")</f>
        <v/>
      </c>
      <c r="X369" s="79" t="str">
        <f>IF(OR(TH!N369=TH!$X$7,O369=TH!$X$7),"x","")</f>
        <v/>
      </c>
      <c r="Y369" s="79" t="str">
        <f>IF(AND(OR(N369="131",O369="131"),H369='131-CT'!$H$9),"x","")</f>
        <v/>
      </c>
      <c r="Z369" s="79"/>
      <c r="AA369" s="79" t="str">
        <f>IF(AND(MONTH(E369)='IN-NX'!$J$5,'IN-NX'!$D$7=D369),"x","")</f>
        <v/>
      </c>
      <c r="AB369" s="79" t="str">
        <f>IF(AND(OR(LEFT(TH!N369,2)="15",LEFT(TH!O369,2)="15"),LEFT(TH!O369,3)&lt;&gt;"111",'152-CT'!$J$8=TH!F369),"x","")</f>
        <v/>
      </c>
      <c r="AC369" s="79" t="str">
        <f>IF(AND(OR(LEFT(TH!N369,2)="15",LEFT(TH!O369,2)="15"),TK!$E$7=TH!F369),"x","")</f>
        <v/>
      </c>
      <c r="AD369" s="79" t="str">
        <f>IF(AND(N369="1521",MONTH(C369)='BK-NL'!$M$11),"x","")</f>
        <v/>
      </c>
    </row>
    <row r="370" spans="1:31" s="1101" customFormat="1" ht="16.5" customHeight="1">
      <c r="A370" s="318" t="str">
        <f>IF(B370&lt;&gt;"",IF(AND(B370='IN-TC'!$S$4,OR(TH!N370="1111",TH!O370="1111")),TH!D370,""),"")</f>
        <v/>
      </c>
      <c r="B370" s="1106">
        <f t="shared" si="78"/>
        <v>1</v>
      </c>
      <c r="C370" s="301">
        <v>43104</v>
      </c>
      <c r="D370" s="301" t="s">
        <v>985</v>
      </c>
      <c r="E370" s="301">
        <f t="shared" si="43"/>
        <v>43104</v>
      </c>
      <c r="F370" s="302" t="s">
        <v>993</v>
      </c>
      <c r="G370" s="988" t="s">
        <v>746</v>
      </c>
      <c r="H370" s="303" t="s">
        <v>1002</v>
      </c>
      <c r="I370" s="385"/>
      <c r="J370" s="969"/>
      <c r="K370" s="385"/>
      <c r="L370" s="392"/>
      <c r="M370" s="970">
        <v>389842</v>
      </c>
      <c r="N370" s="304" t="s">
        <v>101</v>
      </c>
      <c r="O370" s="304" t="s">
        <v>26</v>
      </c>
      <c r="P370" s="79" t="str">
        <f>IF(AND('331-CT'!$E$7=TH!H370,OR(N370="331",O370="331")),"x","")</f>
        <v/>
      </c>
      <c r="Q370" s="79" t="str">
        <f>IF(AND(B370='111'!$L$11,OR($N370=$Q$7,$O370=$Q$7)),"x","")</f>
        <v/>
      </c>
      <c r="R370" s="79" t="str">
        <f>IF(AND($N370=$Q$7,$B370&lt;'111'!$L$11),"x","")</f>
        <v/>
      </c>
      <c r="S370" s="79" t="str">
        <f>IF(AND($O370=$Q$7,$B370&lt;'111'!$L$11),"x","")</f>
        <v/>
      </c>
      <c r="T370" s="79" t="str">
        <f>IF(ISERROR(FIND('112'!$M$9,G370,1)),"",IF((AND(FIND('112'!$M$9,G370,1)&gt;=1,B370='112'!$K$9,OR($N370='112'!$I$6,$O370='112'!$I$6))),"x",""))</f>
        <v/>
      </c>
      <c r="U370" s="79" t="str">
        <f>IF(ISERROR(FIND('112'!$M$9,G370,1)),"",IF((AND(LEFT(G370,2)=LEFT('112'!$M$9,2),B370&lt;'112'!$K$9,$N370='112'!$I$6)),"x",""))</f>
        <v/>
      </c>
      <c r="V370" s="79" t="str">
        <f>IF(ISERROR(FIND('112'!$M$9,G370,1)),"",IF((AND(RIGHT(G370,2)=RIGHT('112'!$M$9,2),B370&lt;'112'!$K$9,$O370='112'!$I$6)),"x",""))</f>
        <v/>
      </c>
      <c r="W370" s="79" t="str">
        <f>IF(AND('341-CT'!$H$9=H370,OR(LEFT(N370,3)=$W$7,LEFT(O370,3)=$W$7)),"x","")</f>
        <v/>
      </c>
      <c r="X370" s="79" t="str">
        <f>IF(OR(TH!N370=TH!$X$7,O370=TH!$X$7),"x","")</f>
        <v/>
      </c>
      <c r="Y370" s="79" t="str">
        <f>IF(AND(OR(N370="131",O370="131"),H370='131-CT'!$H$9),"x","")</f>
        <v/>
      </c>
      <c r="Z370" s="79"/>
      <c r="AA370" s="79" t="str">
        <f>IF(AND(MONTH(E370)='IN-NX'!$J$5,'IN-NX'!$D$7=D370),"x","")</f>
        <v/>
      </c>
      <c r="AB370" s="79" t="str">
        <f>IF(AND(OR(LEFT(TH!N370,2)="15",LEFT(TH!O370,2)="15"),LEFT(TH!O370,3)&lt;&gt;"111",'152-CT'!$J$8=TH!F370),"x","")</f>
        <v/>
      </c>
      <c r="AC370" s="79" t="str">
        <f>IF(AND(OR(LEFT(TH!N370,2)="15",LEFT(TH!O370,2)="15"),TK!$E$7=TH!F370),"x","")</f>
        <v/>
      </c>
      <c r="AD370" s="79" t="str">
        <f>IF(AND(N370="1521",MONTH(C370)='BK-NL'!$M$11),"x","")</f>
        <v/>
      </c>
      <c r="AE370" s="1101">
        <v>1</v>
      </c>
    </row>
    <row r="371" spans="1:31" s="1101" customFormat="1" ht="16.5" customHeight="1">
      <c r="A371" s="318" t="str">
        <f>IF(B371&lt;&gt;"",IF(AND(B371='IN-TC'!$S$4,OR(TH!N371="1111",TH!O371="1111")),TH!D371,""),"")</f>
        <v/>
      </c>
      <c r="B371" s="1106">
        <f t="shared" si="78"/>
        <v>1</v>
      </c>
      <c r="C371" s="301">
        <v>43104</v>
      </c>
      <c r="D371" s="301" t="s">
        <v>985</v>
      </c>
      <c r="E371" s="301">
        <f t="shared" si="43"/>
        <v>43104</v>
      </c>
      <c r="F371" s="302" t="s">
        <v>994</v>
      </c>
      <c r="G371" s="988" t="s">
        <v>746</v>
      </c>
      <c r="H371" s="303" t="s">
        <v>1002</v>
      </c>
      <c r="I371" s="385"/>
      <c r="J371" s="969"/>
      <c r="K371" s="385"/>
      <c r="L371" s="392"/>
      <c r="M371" s="970">
        <v>38984</v>
      </c>
      <c r="N371" s="304" t="s">
        <v>9</v>
      </c>
      <c r="O371" s="304" t="s">
        <v>26</v>
      </c>
      <c r="P371" s="79" t="str">
        <f>IF(AND('331-CT'!$E$7=TH!H371,OR(N371="331",O371="331")),"x","")</f>
        <v/>
      </c>
      <c r="Q371" s="79" t="str">
        <f>IF(AND(B371='111'!$L$11,OR($N371=$Q$7,$O371=$Q$7)),"x","")</f>
        <v/>
      </c>
      <c r="R371" s="79" t="str">
        <f>IF(AND($N371=$Q$7,$B371&lt;'111'!$L$11),"x","")</f>
        <v/>
      </c>
      <c r="S371" s="79" t="str">
        <f>IF(AND($O371=$Q$7,$B371&lt;'111'!$L$11),"x","")</f>
        <v/>
      </c>
      <c r="T371" s="79" t="str">
        <f>IF(ISERROR(FIND('112'!$M$9,G371,1)),"",IF((AND(FIND('112'!$M$9,G371,1)&gt;=1,B371='112'!$K$9,OR($N371='112'!$I$6,$O371='112'!$I$6))),"x",""))</f>
        <v/>
      </c>
      <c r="U371" s="79" t="str">
        <f>IF(ISERROR(FIND('112'!$M$9,G371,1)),"",IF((AND(LEFT(G371,2)=LEFT('112'!$M$9,2),B371&lt;'112'!$K$9,$N371='112'!$I$6)),"x",""))</f>
        <v/>
      </c>
      <c r="V371" s="79" t="str">
        <f>IF(ISERROR(FIND('112'!$M$9,G371,1)),"",IF((AND(RIGHT(G371,2)=RIGHT('112'!$M$9,2),B371&lt;'112'!$K$9,$O371='112'!$I$6)),"x",""))</f>
        <v/>
      </c>
      <c r="W371" s="79" t="str">
        <f>IF(AND('341-CT'!$H$9=H371,OR(LEFT(N371,3)=$W$7,LEFT(O371,3)=$W$7)),"x","")</f>
        <v/>
      </c>
      <c r="X371" s="79" t="str">
        <f>IF(OR(TH!N371=TH!$X$7,O371=TH!$X$7),"x","")</f>
        <v/>
      </c>
      <c r="Y371" s="79" t="str">
        <f>IF(AND(OR(N371="131",O371="131"),H371='131-CT'!$H$9),"x","")</f>
        <v/>
      </c>
      <c r="Z371" s="79"/>
      <c r="AA371" s="79" t="str">
        <f>IF(AND(MONTH(E371)='IN-NX'!$J$5,'IN-NX'!$D$7=D371),"x","")</f>
        <v/>
      </c>
      <c r="AB371" s="79" t="str">
        <f>IF(AND(OR(LEFT(TH!N371,2)="15",LEFT(TH!O371,2)="15"),LEFT(TH!O371,3)&lt;&gt;"111",'152-CT'!$J$8=TH!F371),"x","")</f>
        <v/>
      </c>
      <c r="AC371" s="79" t="str">
        <f>IF(AND(OR(LEFT(TH!N371,2)="15",LEFT(TH!O371,2)="15"),TK!$E$7=TH!F371),"x","")</f>
        <v/>
      </c>
      <c r="AD371" s="79" t="str">
        <f>IF(AND(N371="1521",MONTH(C371)='BK-NL'!$M$11),"x","")</f>
        <v/>
      </c>
      <c r="AE371" s="1101">
        <v>1</v>
      </c>
    </row>
    <row r="372" spans="1:31" s="1101" customFormat="1" ht="16.5" customHeight="1">
      <c r="A372" s="318" t="str">
        <f>IF(B372&lt;&gt;"",IF(AND(B372='IN-TC'!$S$4,OR(TH!N372="1111",TH!O372="1111")),TH!D372,""),"")</f>
        <v/>
      </c>
      <c r="B372" s="1106">
        <f t="shared" si="78"/>
        <v>1</v>
      </c>
      <c r="C372" s="301">
        <v>43104</v>
      </c>
      <c r="D372" s="301" t="s">
        <v>985</v>
      </c>
      <c r="E372" s="301">
        <f t="shared" si="43"/>
        <v>43104</v>
      </c>
      <c r="F372" s="302" t="s">
        <v>1004</v>
      </c>
      <c r="G372" s="988" t="s">
        <v>746</v>
      </c>
      <c r="H372" s="303" t="s">
        <v>1002</v>
      </c>
      <c r="I372" s="385"/>
      <c r="J372" s="969"/>
      <c r="K372" s="385">
        <v>25500</v>
      </c>
      <c r="L372" s="392">
        <v>22699</v>
      </c>
      <c r="M372" s="970">
        <f>ROUND(K372*L372,0)</f>
        <v>578824500</v>
      </c>
      <c r="N372" s="304" t="s">
        <v>26</v>
      </c>
      <c r="O372" s="304" t="s">
        <v>256</v>
      </c>
      <c r="P372" s="79" t="str">
        <f>IF(AND('331-CT'!$E$7=TH!H372,OR(N372="331",O372="331")),"x","")</f>
        <v/>
      </c>
      <c r="Q372" s="79" t="str">
        <f>IF(AND(B372='111'!$L$11,OR($N372=$Q$7,$O372=$Q$7)),"x","")</f>
        <v/>
      </c>
      <c r="R372" s="79" t="str">
        <f>IF(AND($N372=$Q$7,$B372&lt;'111'!$L$11),"x","")</f>
        <v/>
      </c>
      <c r="S372" s="79" t="str">
        <f>IF(AND($O372=$Q$7,$B372&lt;'111'!$L$11),"x","")</f>
        <v/>
      </c>
      <c r="T372" s="79" t="str">
        <f>IF(ISERROR(FIND('112'!$M$9,G372,1)),"",IF((AND(FIND('112'!$M$9,G372,1)&gt;=1,B372='112'!$K$9,OR($N372='112'!$I$6,$O372='112'!$I$6))),"x",""))</f>
        <v>x</v>
      </c>
      <c r="U372" s="79" t="str">
        <f>IF(ISERROR(FIND('112'!$M$9,G372,1)),"",IF((AND(LEFT(G372,2)=LEFT('112'!$M$9,2),B372&lt;'112'!$K$9,$N372='112'!$I$6)),"x",""))</f>
        <v/>
      </c>
      <c r="V372" s="79" t="str">
        <f>IF(ISERROR(FIND('112'!$M$9,G372,1)),"",IF((AND(RIGHT(G372,2)=RIGHT('112'!$M$9,2),B372&lt;'112'!$K$9,$O372='112'!$I$6)),"x",""))</f>
        <v/>
      </c>
      <c r="W372" s="79" t="str">
        <f>IF(AND('341-CT'!$H$9=H372,OR(LEFT(N372,3)=$W$7,LEFT(O372,3)=$W$7)),"x","")</f>
        <v/>
      </c>
      <c r="X372" s="79" t="str">
        <f>IF(OR(TH!N372=TH!$X$7,O372=TH!$X$7),"x","")</f>
        <v/>
      </c>
      <c r="Y372" s="79" t="str">
        <f>IF(AND(OR(N372="131",O372="131"),H372='131-CT'!$H$9),"x","")</f>
        <v/>
      </c>
      <c r="Z372" s="79"/>
      <c r="AA372" s="79" t="str">
        <f>IF(AND(MONTH(E372)='IN-NX'!$J$5,'IN-NX'!$D$7=D372),"x","")</f>
        <v/>
      </c>
      <c r="AB372" s="79" t="str">
        <f>IF(AND(OR(LEFT(TH!N372,2)="15",LEFT(TH!O372,2)="15"),LEFT(TH!O372,3)&lt;&gt;"111",'152-CT'!$J$8=TH!F372),"x","")</f>
        <v/>
      </c>
      <c r="AC372" s="79" t="str">
        <f>IF(AND(OR(LEFT(TH!N372,2)="15",LEFT(TH!O372,2)="15"),TK!$E$7=TH!F372),"x","")</f>
        <v/>
      </c>
      <c r="AD372" s="79" t="str">
        <f>IF(AND(N372="1521",MONTH(C372)='BK-NL'!$M$11),"x","")</f>
        <v/>
      </c>
    </row>
    <row r="373" spans="1:31" s="1101" customFormat="1" ht="16.5" customHeight="1">
      <c r="A373" s="318" t="str">
        <f>IF(B373&lt;&gt;"",IF(AND(B373='IN-TC'!$S$4,OR(TH!N373="1111",TH!O373="1111")),TH!D373,""),"")</f>
        <v/>
      </c>
      <c r="B373" s="1106">
        <f t="shared" si="78"/>
        <v>1</v>
      </c>
      <c r="C373" s="301">
        <v>43104</v>
      </c>
      <c r="D373" s="301" t="s">
        <v>989</v>
      </c>
      <c r="E373" s="301">
        <f t="shared" si="43"/>
        <v>43104</v>
      </c>
      <c r="F373" s="302" t="s">
        <v>1049</v>
      </c>
      <c r="G373" s="988" t="s">
        <v>746</v>
      </c>
      <c r="H373" s="321" t="s">
        <v>1010</v>
      </c>
      <c r="I373" s="385"/>
      <c r="J373" s="969"/>
      <c r="K373" s="385">
        <v>48700</v>
      </c>
      <c r="L373" s="392">
        <v>22699</v>
      </c>
      <c r="M373" s="970">
        <f>ROUND(K373*L373,0)</f>
        <v>1105441300</v>
      </c>
      <c r="N373" s="304" t="s">
        <v>26</v>
      </c>
      <c r="O373" s="304" t="s">
        <v>250</v>
      </c>
      <c r="P373" s="79" t="str">
        <f>IF(AND('331-CT'!$E$7=TH!H373,OR(N373="331",O373="331")),"x","")</f>
        <v/>
      </c>
      <c r="Q373" s="79" t="str">
        <f>IF(AND(B373='111'!$L$11,OR($N373=$Q$7,$O373=$Q$7)),"x","")</f>
        <v/>
      </c>
      <c r="R373" s="79" t="str">
        <f>IF(AND($N373=$Q$7,$B373&lt;'111'!$L$11),"x","")</f>
        <v/>
      </c>
      <c r="S373" s="79" t="str">
        <f>IF(AND($O373=$Q$7,$B373&lt;'111'!$L$11),"x","")</f>
        <v/>
      </c>
      <c r="T373" s="79" t="str">
        <f>IF(ISERROR(FIND('112'!$M$9,G373,1)),"",IF((AND(FIND('112'!$M$9,G373,1)&gt;=1,B373='112'!$K$9,OR($N373='112'!$I$6,$O373='112'!$I$6))),"x",""))</f>
        <v/>
      </c>
      <c r="U373" s="79" t="str">
        <f>IF(ISERROR(FIND('112'!$M$9,G373,1)),"",IF((AND(LEFT(G373,2)=LEFT('112'!$M$9,2),B373&lt;'112'!$K$9,$N373='112'!$I$6)),"x",""))</f>
        <v/>
      </c>
      <c r="V373" s="79" t="str">
        <f>IF(ISERROR(FIND('112'!$M$9,G373,1)),"",IF((AND(RIGHT(G373,2)=RIGHT('112'!$M$9,2),B373&lt;'112'!$K$9,$O373='112'!$I$6)),"x",""))</f>
        <v/>
      </c>
      <c r="W373" s="79" t="str">
        <f>IF(AND('341-CT'!$H$9=H373,OR(LEFT(N373,3)=$W$7,LEFT(O373,3)=$W$7)),"x","")</f>
        <v/>
      </c>
      <c r="X373" s="79" t="str">
        <f>IF(OR(TH!N373=TH!$X$7,O373=TH!$X$7),"x","")</f>
        <v/>
      </c>
      <c r="Y373" s="79" t="str">
        <f>IF(AND(OR(N373="131",O373="131"),H373='131-CT'!$H$9),"x","")</f>
        <v/>
      </c>
      <c r="Z373" s="79"/>
      <c r="AA373" s="79" t="str">
        <f>IF(AND(MONTH(E373)='IN-NX'!$J$5,'IN-NX'!$D$7=D373),"x","")</f>
        <v/>
      </c>
      <c r="AB373" s="79" t="str">
        <f>IF(AND(OR(LEFT(TH!N373,2)="15",LEFT(TH!O373,2)="15"),LEFT(TH!O373,3)&lt;&gt;"111",'152-CT'!$J$8=TH!F373),"x","")</f>
        <v/>
      </c>
      <c r="AC373" s="79" t="str">
        <f>IF(AND(OR(LEFT(TH!N373,2)="15",LEFT(TH!O373,2)="15"),TK!$E$7=TH!F373),"x","")</f>
        <v/>
      </c>
      <c r="AD373" s="79" t="str">
        <f>IF(AND(N373="1521",MONTH(C373)='BK-NL'!$M$11),"x","")</f>
        <v/>
      </c>
    </row>
    <row r="374" spans="1:31" s="1101" customFormat="1" ht="16.5" customHeight="1">
      <c r="A374" s="318" t="str">
        <f>IF(B374&lt;&gt;"",IF(AND(B374='IN-TC'!$S$4,OR(TH!N374="1111",TH!O374="1111")),TH!D374,""),"")</f>
        <v/>
      </c>
      <c r="B374" s="1106">
        <f t="shared" si="78"/>
        <v>1</v>
      </c>
      <c r="C374" s="301">
        <v>43105</v>
      </c>
      <c r="D374" s="301" t="s">
        <v>985</v>
      </c>
      <c r="E374" s="301">
        <f t="shared" si="43"/>
        <v>43105</v>
      </c>
      <c r="F374" s="302" t="s">
        <v>995</v>
      </c>
      <c r="G374" s="988" t="s">
        <v>746</v>
      </c>
      <c r="H374" s="321" t="s">
        <v>996</v>
      </c>
      <c r="I374" s="385"/>
      <c r="J374" s="969"/>
      <c r="K374" s="385"/>
      <c r="L374" s="392"/>
      <c r="M374" s="970">
        <v>150000000</v>
      </c>
      <c r="N374" s="304" t="s">
        <v>63</v>
      </c>
      <c r="O374" s="304" t="s">
        <v>26</v>
      </c>
      <c r="P374" s="79" t="str">
        <f>IF(AND('331-CT'!$E$7=TH!H374,OR(N374="331",O374="331")),"x","")</f>
        <v/>
      </c>
      <c r="Q374" s="79" t="str">
        <f>IF(AND(B374='111'!$L$11,OR($N374=$Q$7,$O374=$Q$7)),"x","")</f>
        <v/>
      </c>
      <c r="R374" s="79" t="str">
        <f>IF(AND($N374=$Q$7,$B374&lt;'111'!$L$11),"x","")</f>
        <v>x</v>
      </c>
      <c r="S374" s="79" t="str">
        <f>IF(AND($O374=$Q$7,$B374&lt;'111'!$L$11),"x","")</f>
        <v/>
      </c>
      <c r="T374" s="79" t="str">
        <f>IF(ISERROR(FIND('112'!$M$9,G374,1)),"",IF((AND(FIND('112'!$M$9,G374,1)&gt;=1,B374='112'!$K$9,OR($N374='112'!$I$6,$O374='112'!$I$6))),"x",""))</f>
        <v/>
      </c>
      <c r="U374" s="79" t="str">
        <f>IF(ISERROR(FIND('112'!$M$9,G374,1)),"",IF((AND(LEFT(G374,2)=LEFT('112'!$M$9,2),B374&lt;'112'!$K$9,$N374='112'!$I$6)),"x",""))</f>
        <v/>
      </c>
      <c r="V374" s="79" t="str">
        <f>IF(ISERROR(FIND('112'!$M$9,G374,1)),"",IF((AND(RIGHT(G374,2)=RIGHT('112'!$M$9,2),B374&lt;'112'!$K$9,$O374='112'!$I$6)),"x",""))</f>
        <v/>
      </c>
      <c r="W374" s="79" t="str">
        <f>IF(AND('341-CT'!$H$9=H374,OR(LEFT(N374,3)=$W$7,LEFT(O374,3)=$W$7)),"x","")</f>
        <v/>
      </c>
      <c r="X374" s="79" t="str">
        <f>IF(OR(TH!N374=TH!$X$7,O374=TH!$X$7),"x","")</f>
        <v/>
      </c>
      <c r="Y374" s="79" t="str">
        <f>IF(AND(OR(N374="131",O374="131"),H374='131-CT'!$H$9),"x","")</f>
        <v/>
      </c>
      <c r="Z374" s="79"/>
      <c r="AA374" s="79" t="str">
        <f>IF(AND(MONTH(E374)='IN-NX'!$J$5,'IN-NX'!$D$7=D374),"x","")</f>
        <v/>
      </c>
      <c r="AB374" s="79" t="str">
        <f>IF(AND(OR(LEFT(TH!N374,2)="15",LEFT(TH!O374,2)="15"),LEFT(TH!O374,3)&lt;&gt;"111",'152-CT'!$J$8=TH!F374),"x","")</f>
        <v/>
      </c>
      <c r="AC374" s="79" t="str">
        <f>IF(AND(OR(LEFT(TH!N374,2)="15",LEFT(TH!O374,2)="15"),TK!$E$7=TH!F374),"x","")</f>
        <v/>
      </c>
      <c r="AD374" s="79" t="str">
        <f>IF(AND(N374="1521",MONTH(C374)='BK-NL'!$M$11),"x","")</f>
        <v/>
      </c>
    </row>
    <row r="375" spans="1:31" s="1101" customFormat="1" ht="16.5" customHeight="1">
      <c r="A375" s="318" t="str">
        <f>IF(B375&lt;&gt;"",IF(AND(B375='IN-TC'!$S$4,OR(TH!N375="1111",TH!O375="1111")),TH!D375,""),"")</f>
        <v/>
      </c>
      <c r="B375" s="1106">
        <f t="shared" si="78"/>
        <v>1</v>
      </c>
      <c r="C375" s="301">
        <v>43105</v>
      </c>
      <c r="D375" s="301" t="s">
        <v>985</v>
      </c>
      <c r="E375" s="301">
        <f t="shared" si="43"/>
        <v>43105</v>
      </c>
      <c r="F375" s="302" t="s">
        <v>995</v>
      </c>
      <c r="G375" s="988" t="s">
        <v>746</v>
      </c>
      <c r="H375" s="321" t="s">
        <v>996</v>
      </c>
      <c r="I375" s="385"/>
      <c r="J375" s="969"/>
      <c r="K375" s="385"/>
      <c r="L375" s="392"/>
      <c r="M375" s="970">
        <v>850000000</v>
      </c>
      <c r="N375" s="304" t="s">
        <v>63</v>
      </c>
      <c r="O375" s="304" t="s">
        <v>26</v>
      </c>
      <c r="P375" s="79" t="str">
        <f>IF(AND('331-CT'!$E$7=TH!H375,OR(N375="331",O375="331")),"x","")</f>
        <v/>
      </c>
      <c r="Q375" s="79" t="str">
        <f>IF(AND(B375='111'!$L$11,OR($N375=$Q$7,$O375=$Q$7)),"x","")</f>
        <v/>
      </c>
      <c r="R375" s="79" t="str">
        <f>IF(AND($N375=$Q$7,$B375&lt;'111'!$L$11),"x","")</f>
        <v>x</v>
      </c>
      <c r="S375" s="79" t="str">
        <f>IF(AND($O375=$Q$7,$B375&lt;'111'!$L$11),"x","")</f>
        <v/>
      </c>
      <c r="T375" s="79" t="str">
        <f>IF(ISERROR(FIND('112'!$M$9,G375,1)),"",IF((AND(FIND('112'!$M$9,G375,1)&gt;=1,B375='112'!$K$9,OR($N375='112'!$I$6,$O375='112'!$I$6))),"x",""))</f>
        <v/>
      </c>
      <c r="U375" s="79" t="str">
        <f>IF(ISERROR(FIND('112'!$M$9,G375,1)),"",IF((AND(LEFT(G375,2)=LEFT('112'!$M$9,2),B375&lt;'112'!$K$9,$N375='112'!$I$6)),"x",""))</f>
        <v/>
      </c>
      <c r="V375" s="79" t="str">
        <f>IF(ISERROR(FIND('112'!$M$9,G375,1)),"",IF((AND(RIGHT(G375,2)=RIGHT('112'!$M$9,2),B375&lt;'112'!$K$9,$O375='112'!$I$6)),"x",""))</f>
        <v/>
      </c>
      <c r="W375" s="79" t="str">
        <f>IF(AND('341-CT'!$H$9=H375,OR(LEFT(N375,3)=$W$7,LEFT(O375,3)=$W$7)),"x","")</f>
        <v/>
      </c>
      <c r="X375" s="79" t="str">
        <f>IF(OR(TH!N375=TH!$X$7,O375=TH!$X$7),"x","")</f>
        <v/>
      </c>
      <c r="Y375" s="79" t="str">
        <f>IF(AND(OR(N375="131",O375="131"),H375='131-CT'!$H$9),"x","")</f>
        <v/>
      </c>
      <c r="Z375" s="79"/>
      <c r="AA375" s="79" t="str">
        <f>IF(AND(MONTH(E375)='IN-NX'!$J$5,'IN-NX'!$D$7=D375),"x","")</f>
        <v/>
      </c>
      <c r="AB375" s="79" t="str">
        <f>IF(AND(OR(LEFT(TH!N375,2)="15",LEFT(TH!O375,2)="15"),LEFT(TH!O375,3)&lt;&gt;"111",'152-CT'!$J$8=TH!F375),"x","")</f>
        <v/>
      </c>
      <c r="AC375" s="79" t="str">
        <f>IF(AND(OR(LEFT(TH!N375,2)="15",LEFT(TH!O375,2)="15"),TK!$E$7=TH!F375),"x","")</f>
        <v/>
      </c>
      <c r="AD375" s="79" t="str">
        <f>IF(AND(N375="1521",MONTH(C375)='BK-NL'!$M$11),"x","")</f>
        <v/>
      </c>
    </row>
    <row r="376" spans="1:31" s="1101" customFormat="1" ht="16.5" customHeight="1">
      <c r="A376" s="318" t="str">
        <f>IF(B376&lt;&gt;"",IF(AND(B376='IN-TC'!$S$4,OR(TH!N376="1111",TH!O376="1111")),TH!D376,""),"")</f>
        <v/>
      </c>
      <c r="B376" s="1106">
        <f t="shared" ref="B376:B389" si="111">IF(C376&lt;&gt;"",MONTH(C376),"")</f>
        <v>1</v>
      </c>
      <c r="C376" s="301">
        <v>43105</v>
      </c>
      <c r="D376" s="301" t="s">
        <v>989</v>
      </c>
      <c r="E376" s="301">
        <f t="shared" ref="E376:E408" si="112">C376</f>
        <v>43105</v>
      </c>
      <c r="F376" s="302" t="s">
        <v>252</v>
      </c>
      <c r="G376" s="988" t="s">
        <v>746</v>
      </c>
      <c r="H376" s="321" t="s">
        <v>1011</v>
      </c>
      <c r="I376" s="385"/>
      <c r="J376" s="969"/>
      <c r="K376" s="385">
        <v>63000</v>
      </c>
      <c r="L376" s="392">
        <v>22707</v>
      </c>
      <c r="M376" s="970">
        <f>ROUND(K376*L376,0)</f>
        <v>1430541000</v>
      </c>
      <c r="N376" s="304" t="s">
        <v>26</v>
      </c>
      <c r="O376" s="304" t="s">
        <v>250</v>
      </c>
      <c r="P376" s="63" t="str">
        <f>IF(AND('331-CT'!$E$7=TH!H376,OR(N376="331",O376="331")),"x","")</f>
        <v/>
      </c>
      <c r="Q376" s="63" t="str">
        <f>IF(AND(B376='111'!$L$11,OR($N376=$Q$7,$O376=$Q$7)),"x","")</f>
        <v/>
      </c>
      <c r="R376" s="63" t="str">
        <f>IF(AND($N376=$Q$7,$B376&lt;'111'!$L$11),"x","")</f>
        <v/>
      </c>
      <c r="S376" s="63" t="str">
        <f>IF(AND($O376=$Q$7,$B376&lt;'111'!$L$11),"x","")</f>
        <v/>
      </c>
      <c r="T376" s="63" t="str">
        <f>IF(ISERROR(FIND('112'!$M$9,G376,1)),"",IF((AND(FIND('112'!$M$9,G376,1)&gt;=1,B376='112'!$K$9,OR($N376='112'!$I$6,$O376='112'!$I$6))),"x",""))</f>
        <v/>
      </c>
      <c r="U376" s="63" t="str">
        <f>IF(ISERROR(FIND('112'!$M$9,G376,1)),"",IF((AND(LEFT(G376,2)=LEFT('112'!$M$9,2),B376&lt;'112'!$K$9,$N376='112'!$I$6)),"x",""))</f>
        <v/>
      </c>
      <c r="V376" s="63" t="str">
        <f>IF(ISERROR(FIND('112'!$M$9,G376,1)),"",IF((AND(RIGHT(G376,2)=RIGHT('112'!$M$9,2),B376&lt;'112'!$K$9,$O376='112'!$I$6)),"x",""))</f>
        <v/>
      </c>
      <c r="W376" s="63" t="str">
        <f>IF(AND('341-CT'!$H$9=H376,OR(LEFT(N376,3)=$W$7,LEFT(O376,3)=$W$7)),"x","")</f>
        <v/>
      </c>
      <c r="X376" s="63" t="str">
        <f>IF(OR(TH!N376=TH!$X$7,O376=TH!$X$7),"x","")</f>
        <v/>
      </c>
      <c r="Y376" s="63" t="str">
        <f>IF(AND(OR(N376="131",O376="131"),H376='131-CT'!$H$9),"x","")</f>
        <v/>
      </c>
      <c r="Z376" s="63"/>
      <c r="AA376" s="63" t="str">
        <f>IF(AND(MONTH(E376)='IN-NX'!$J$5,'IN-NX'!$D$7=D376),"x","")</f>
        <v/>
      </c>
      <c r="AB376" s="63" t="str">
        <f>IF(AND(OR(LEFT(TH!N376,2)="15",LEFT(TH!O376,2)="15"),LEFT(TH!O376,3)&lt;&gt;"111",'152-CT'!$J$8=TH!F376),"x","")</f>
        <v/>
      </c>
      <c r="AC376" s="63" t="str">
        <f>IF(AND(OR(LEFT(TH!N376,2)="15",LEFT(TH!O376,2)="15"),TK!$E$7=TH!F376),"x","")</f>
        <v/>
      </c>
      <c r="AD376" s="63" t="str">
        <f>IF(AND(N376="1521",MONTH(C376)='BK-NL'!$M$11),"x","")</f>
        <v/>
      </c>
    </row>
    <row r="377" spans="1:31" s="1101" customFormat="1" ht="16.5" customHeight="1">
      <c r="A377" s="318" t="str">
        <f>IF(B377&lt;&gt;"",IF(AND(B377='IN-TC'!$S$4,OR(TH!N377="1111",TH!O377="1111")),TH!D377,""),"")</f>
        <v/>
      </c>
      <c r="B377" s="1106">
        <f t="shared" si="111"/>
        <v>1</v>
      </c>
      <c r="C377" s="301">
        <v>43108</v>
      </c>
      <c r="D377" s="301" t="s">
        <v>985</v>
      </c>
      <c r="E377" s="301">
        <f t="shared" si="112"/>
        <v>43108</v>
      </c>
      <c r="F377" s="302" t="s">
        <v>995</v>
      </c>
      <c r="G377" s="988" t="s">
        <v>746</v>
      </c>
      <c r="H377" s="69" t="s">
        <v>996</v>
      </c>
      <c r="I377" s="385"/>
      <c r="J377" s="969"/>
      <c r="K377" s="385"/>
      <c r="L377" s="392"/>
      <c r="M377" s="970">
        <v>2500000000</v>
      </c>
      <c r="N377" s="304" t="s">
        <v>63</v>
      </c>
      <c r="O377" s="304" t="s">
        <v>26</v>
      </c>
      <c r="P377" s="63" t="str">
        <f>IF(AND('331-CT'!$E$7=TH!H377,OR(N377="331",O377="331")),"x","")</f>
        <v/>
      </c>
      <c r="Q377" s="63" t="str">
        <f>IF(AND(B377='111'!$L$11,OR($N377=$Q$7,$O377=$Q$7)),"x","")</f>
        <v/>
      </c>
      <c r="R377" s="63" t="str">
        <f>IF(AND($N377=$Q$7,$B377&lt;'111'!$L$11),"x","")</f>
        <v>x</v>
      </c>
      <c r="S377" s="63" t="str">
        <f>IF(AND($O377=$Q$7,$B377&lt;'111'!$L$11),"x","")</f>
        <v/>
      </c>
      <c r="T377" s="63" t="str">
        <f>IF(ISERROR(FIND('112'!$M$9,G377,1)),"",IF((AND(FIND('112'!$M$9,G377,1)&gt;=1,B377='112'!$K$9,OR($N377='112'!$I$6,$O377='112'!$I$6))),"x",""))</f>
        <v/>
      </c>
      <c r="U377" s="63" t="str">
        <f>IF(ISERROR(FIND('112'!$M$9,G377,1)),"",IF((AND(LEFT(G377,2)=LEFT('112'!$M$9,2),B377&lt;'112'!$K$9,$N377='112'!$I$6)),"x",""))</f>
        <v/>
      </c>
      <c r="V377" s="63" t="str">
        <f>IF(ISERROR(FIND('112'!$M$9,G377,1)),"",IF((AND(RIGHT(G377,2)=RIGHT('112'!$M$9,2),B377&lt;'112'!$K$9,$O377='112'!$I$6)),"x",""))</f>
        <v/>
      </c>
      <c r="W377" s="63" t="str">
        <f>IF(AND('341-CT'!$H$9=H377,OR(LEFT(N377,3)=$W$7,LEFT(O377,3)=$W$7)),"x","")</f>
        <v/>
      </c>
      <c r="X377" s="63" t="str">
        <f>IF(OR(TH!N377=TH!$X$7,O377=TH!$X$7),"x","")</f>
        <v/>
      </c>
      <c r="Y377" s="63" t="str">
        <f>IF(AND(OR(N377="131",O377="131"),H377='131-CT'!$H$9),"x","")</f>
        <v/>
      </c>
      <c r="Z377" s="63"/>
      <c r="AA377" s="63" t="str">
        <f>IF(AND(MONTH(E377)='IN-NX'!$J$5,'IN-NX'!$D$7=D377),"x","")</f>
        <v/>
      </c>
      <c r="AB377" s="63" t="str">
        <f>IF(AND(OR(LEFT(TH!N377,2)="15",LEFT(TH!O377,2)="15"),LEFT(TH!O377,3)&lt;&gt;"111",'152-CT'!$J$8=TH!F377),"x","")</f>
        <v/>
      </c>
      <c r="AC377" s="63" t="str">
        <f>IF(AND(OR(LEFT(TH!N377,2)="15",LEFT(TH!O377,2)="15"),TK!$E$7=TH!F377),"x","")</f>
        <v/>
      </c>
      <c r="AD377" s="63" t="str">
        <f>IF(AND(N377="1521",MONTH(C377)='BK-NL'!$M$11),"x","")</f>
        <v/>
      </c>
    </row>
    <row r="378" spans="1:31" s="1101" customFormat="1" ht="16.5" customHeight="1">
      <c r="A378" s="318" t="str">
        <f>IF(B378&lt;&gt;"",IF(AND(B378='IN-TC'!$S$4,OR(TH!N378="1111",TH!O378="1111")),TH!D378,""),"")</f>
        <v/>
      </c>
      <c r="B378" s="1106">
        <f t="shared" si="111"/>
        <v>1</v>
      </c>
      <c r="C378" s="301">
        <v>43109</v>
      </c>
      <c r="D378" s="301" t="s">
        <v>985</v>
      </c>
      <c r="E378" s="301">
        <f t="shared" si="112"/>
        <v>43109</v>
      </c>
      <c r="F378" s="302" t="s">
        <v>1000</v>
      </c>
      <c r="G378" s="988" t="s">
        <v>746</v>
      </c>
      <c r="H378" s="303" t="s">
        <v>1002</v>
      </c>
      <c r="I378" s="385"/>
      <c r="J378" s="969"/>
      <c r="K378" s="385"/>
      <c r="L378" s="392"/>
      <c r="M378" s="970">
        <v>113700</v>
      </c>
      <c r="N378" s="304" t="s">
        <v>101</v>
      </c>
      <c r="O378" s="304" t="s">
        <v>26</v>
      </c>
      <c r="P378" s="79" t="str">
        <f>IF(AND('331-CT'!$E$7=TH!H378,OR(N378="331",O378="331")),"x","")</f>
        <v/>
      </c>
      <c r="Q378" s="79" t="str">
        <f>IF(AND(B378='111'!$L$11,OR($N378=$Q$7,$O378=$Q$7)),"x","")</f>
        <v/>
      </c>
      <c r="R378" s="79" t="str">
        <f>IF(AND($N378=$Q$7,$B378&lt;'111'!$L$11),"x","")</f>
        <v/>
      </c>
      <c r="S378" s="79" t="str">
        <f>IF(AND($O378=$Q$7,$B378&lt;'111'!$L$11),"x","")</f>
        <v/>
      </c>
      <c r="T378" s="79" t="str">
        <f>IF(ISERROR(FIND('112'!$M$9,G378,1)),"",IF((AND(FIND('112'!$M$9,G378,1)&gt;=1,B378='112'!$K$9,OR($N378='112'!$I$6,$O378='112'!$I$6))),"x",""))</f>
        <v/>
      </c>
      <c r="U378" s="79" t="str">
        <f>IF(ISERROR(FIND('112'!$M$9,G378,1)),"",IF((AND(LEFT(G378,2)=LEFT('112'!$M$9,2),B378&lt;'112'!$K$9,$N378='112'!$I$6)),"x",""))</f>
        <v/>
      </c>
      <c r="V378" s="79" t="str">
        <f>IF(ISERROR(FIND('112'!$M$9,G378,1)),"",IF((AND(RIGHT(G378,2)=RIGHT('112'!$M$9,2),B378&lt;'112'!$K$9,$O378='112'!$I$6)),"x",""))</f>
        <v/>
      </c>
      <c r="W378" s="79" t="str">
        <f>IF(AND('341-CT'!$H$9=H378,OR(LEFT(N378,3)=$W$7,LEFT(O378,3)=$W$7)),"x","")</f>
        <v/>
      </c>
      <c r="X378" s="79" t="str">
        <f>IF(OR(TH!N378=TH!$X$7,O378=TH!$X$7),"x","")</f>
        <v/>
      </c>
      <c r="Y378" s="79" t="str">
        <f>IF(AND(OR(N378="131",O378="131"),H378='131-CT'!$H$9),"x","")</f>
        <v/>
      </c>
      <c r="Z378" s="79"/>
      <c r="AA378" s="79" t="str">
        <f>IF(AND(MONTH(E378)='IN-NX'!$J$5,'IN-NX'!$D$7=D378),"x","")</f>
        <v/>
      </c>
      <c r="AB378" s="79" t="str">
        <f>IF(AND(OR(LEFT(TH!N378,2)="15",LEFT(TH!O378,2)="15"),LEFT(TH!O378,3)&lt;&gt;"111",'152-CT'!$J$8=TH!F378),"x","")</f>
        <v/>
      </c>
      <c r="AC378" s="79" t="str">
        <f>IF(AND(OR(LEFT(TH!N378,2)="15",LEFT(TH!O378,2)="15"),TK!$E$7=TH!F378),"x","")</f>
        <v/>
      </c>
      <c r="AD378" s="79" t="str">
        <f>IF(AND(N378="1521",MONTH(C378)='BK-NL'!$M$11),"x","")</f>
        <v/>
      </c>
      <c r="AE378" s="1101">
        <v>1</v>
      </c>
    </row>
    <row r="379" spans="1:31" s="1101" customFormat="1" ht="16.5" customHeight="1">
      <c r="A379" s="318" t="str">
        <f>IF(B379&lt;&gt;"",IF(AND(B379='IN-TC'!$S$4,OR(TH!N379="1111",TH!O379="1111")),TH!D379,""),"")</f>
        <v/>
      </c>
      <c r="B379" s="1106">
        <f t="shared" si="111"/>
        <v>1</v>
      </c>
      <c r="C379" s="301">
        <v>43109</v>
      </c>
      <c r="D379" s="301" t="s">
        <v>985</v>
      </c>
      <c r="E379" s="301">
        <f t="shared" si="112"/>
        <v>43109</v>
      </c>
      <c r="F379" s="302" t="s">
        <v>1001</v>
      </c>
      <c r="G379" s="988" t="s">
        <v>746</v>
      </c>
      <c r="H379" s="303" t="s">
        <v>1002</v>
      </c>
      <c r="I379" s="385"/>
      <c r="J379" s="969"/>
      <c r="K379" s="385"/>
      <c r="L379" s="392"/>
      <c r="M379" s="970">
        <v>11370</v>
      </c>
      <c r="N379" s="304" t="s">
        <v>9</v>
      </c>
      <c r="O379" s="304" t="s">
        <v>26</v>
      </c>
      <c r="P379" s="79" t="str">
        <f>IF(AND('331-CT'!$E$7=TH!H379,OR(N379="331",O379="331")),"x","")</f>
        <v/>
      </c>
      <c r="Q379" s="79" t="str">
        <f>IF(AND(B379='111'!$L$11,OR($N379=$Q$7,$O379=$Q$7)),"x","")</f>
        <v/>
      </c>
      <c r="R379" s="79" t="str">
        <f>IF(AND($N379=$Q$7,$B379&lt;'111'!$L$11),"x","")</f>
        <v/>
      </c>
      <c r="S379" s="79" t="str">
        <f>IF(AND($O379=$Q$7,$B379&lt;'111'!$L$11),"x","")</f>
        <v/>
      </c>
      <c r="T379" s="79" t="str">
        <f>IF(ISERROR(FIND('112'!$M$9,G379,1)),"",IF((AND(FIND('112'!$M$9,G379,1)&gt;=1,B379='112'!$K$9,OR($N379='112'!$I$6,$O379='112'!$I$6))),"x",""))</f>
        <v/>
      </c>
      <c r="U379" s="79" t="str">
        <f>IF(ISERROR(FIND('112'!$M$9,G379,1)),"",IF((AND(LEFT(G379,2)=LEFT('112'!$M$9,2),B379&lt;'112'!$K$9,$N379='112'!$I$6)),"x",""))</f>
        <v/>
      </c>
      <c r="V379" s="79" t="str">
        <f>IF(ISERROR(FIND('112'!$M$9,G379,1)),"",IF((AND(RIGHT(G379,2)=RIGHT('112'!$M$9,2),B379&lt;'112'!$K$9,$O379='112'!$I$6)),"x",""))</f>
        <v/>
      </c>
      <c r="W379" s="79" t="str">
        <f>IF(AND('341-CT'!$H$9=H379,OR(LEFT(N379,3)=$W$7,LEFT(O379,3)=$W$7)),"x","")</f>
        <v/>
      </c>
      <c r="X379" s="79" t="str">
        <f>IF(OR(TH!N379=TH!$X$7,O379=TH!$X$7),"x","")</f>
        <v/>
      </c>
      <c r="Y379" s="79" t="str">
        <f>IF(AND(OR(N379="131",O379="131"),H379='131-CT'!$H$9),"x","")</f>
        <v/>
      </c>
      <c r="Z379" s="79"/>
      <c r="AA379" s="79" t="str">
        <f>IF(AND(MONTH(E379)='IN-NX'!$J$5,'IN-NX'!$D$7=D379),"x","")</f>
        <v/>
      </c>
      <c r="AB379" s="79" t="str">
        <f>IF(AND(OR(LEFT(TH!N379,2)="15",LEFT(TH!O379,2)="15"),LEFT(TH!O379,3)&lt;&gt;"111",'152-CT'!$J$8=TH!F379),"x","")</f>
        <v/>
      </c>
      <c r="AC379" s="79" t="str">
        <f>IF(AND(OR(LEFT(TH!N379,2)="15",LEFT(TH!O379,2)="15"),TK!$E$7=TH!F379),"x","")</f>
        <v/>
      </c>
      <c r="AD379" s="79" t="str">
        <f>IF(AND(N379="1521",MONTH(C379)='BK-NL'!$M$11),"x","")</f>
        <v/>
      </c>
      <c r="AE379" s="1101">
        <v>1</v>
      </c>
    </row>
    <row r="380" spans="1:31" s="1101" customFormat="1" ht="16.5" customHeight="1">
      <c r="A380" s="318" t="str">
        <f>IF(B380&lt;&gt;"",IF(AND(B380='IN-TC'!$S$4,OR(TH!N380="1111",TH!O380="1111")),TH!D380,""),"")</f>
        <v/>
      </c>
      <c r="B380" s="1106">
        <f t="shared" si="111"/>
        <v>1</v>
      </c>
      <c r="C380" s="301">
        <v>43109</v>
      </c>
      <c r="D380" s="301" t="s">
        <v>985</v>
      </c>
      <c r="E380" s="301">
        <f t="shared" si="112"/>
        <v>43109</v>
      </c>
      <c r="F380" s="302" t="s">
        <v>1000</v>
      </c>
      <c r="G380" s="988" t="s">
        <v>746</v>
      </c>
      <c r="H380" s="303" t="s">
        <v>1002</v>
      </c>
      <c r="I380" s="385"/>
      <c r="J380" s="969"/>
      <c r="K380" s="385"/>
      <c r="L380" s="392"/>
      <c r="M380" s="970">
        <v>2685139</v>
      </c>
      <c r="N380" s="304" t="s">
        <v>101</v>
      </c>
      <c r="O380" s="304" t="s">
        <v>26</v>
      </c>
      <c r="P380" s="79" t="str">
        <f>IF(AND('331-CT'!$E$7=TH!H380,OR(N380="331",O380="331")),"x","")</f>
        <v/>
      </c>
      <c r="Q380" s="79" t="str">
        <f>IF(AND(B380='111'!$L$11,OR($N380=$Q$7,$O380=$Q$7)),"x","")</f>
        <v/>
      </c>
      <c r="R380" s="79" t="str">
        <f>IF(AND($N380=$Q$7,$B380&lt;'111'!$L$11),"x","")</f>
        <v/>
      </c>
      <c r="S380" s="79" t="str">
        <f>IF(AND($O380=$Q$7,$B380&lt;'111'!$L$11),"x","")</f>
        <v/>
      </c>
      <c r="T380" s="79" t="str">
        <f>IF(ISERROR(FIND('112'!$M$9,G380,1)),"",IF((AND(FIND('112'!$M$9,G380,1)&gt;=1,B380='112'!$K$9,OR($N380='112'!$I$6,$O380='112'!$I$6))),"x",""))</f>
        <v/>
      </c>
      <c r="U380" s="79" t="str">
        <f>IF(ISERROR(FIND('112'!$M$9,G380,1)),"",IF((AND(LEFT(G380,2)=LEFT('112'!$M$9,2),B380&lt;'112'!$K$9,$N380='112'!$I$6)),"x",""))</f>
        <v/>
      </c>
      <c r="V380" s="79" t="str">
        <f>IF(ISERROR(FIND('112'!$M$9,G380,1)),"",IF((AND(RIGHT(G380,2)=RIGHT('112'!$M$9,2),B380&lt;'112'!$K$9,$O380='112'!$I$6)),"x",""))</f>
        <v/>
      </c>
      <c r="W380" s="79" t="str">
        <f>IF(AND('341-CT'!$H$9=H380,OR(LEFT(N380,3)=$W$7,LEFT(O380,3)=$W$7)),"x","")</f>
        <v/>
      </c>
      <c r="X380" s="79" t="str">
        <f>IF(OR(TH!N380=TH!$X$7,O380=TH!$X$7),"x","")</f>
        <v/>
      </c>
      <c r="Y380" s="79" t="str">
        <f>IF(AND(OR(N380="131",O380="131"),H380='131-CT'!$H$9),"x","")</f>
        <v/>
      </c>
      <c r="Z380" s="79"/>
      <c r="AA380" s="79" t="str">
        <f>IF(AND(MONTH(E380)='IN-NX'!$J$5,'IN-NX'!$D$7=D380),"x","")</f>
        <v/>
      </c>
      <c r="AB380" s="79" t="str">
        <f>IF(AND(OR(LEFT(TH!N380,2)="15",LEFT(TH!O380,2)="15"),LEFT(TH!O380,3)&lt;&gt;"111",'152-CT'!$J$8=TH!F380),"x","")</f>
        <v/>
      </c>
      <c r="AC380" s="79" t="str">
        <f>IF(AND(OR(LEFT(TH!N380,2)="15",LEFT(TH!O380,2)="15"),TK!$E$7=TH!F380),"x","")</f>
        <v/>
      </c>
      <c r="AD380" s="79" t="str">
        <f>IF(AND(N380="1521",MONTH(C380)='BK-NL'!$M$11),"x","")</f>
        <v/>
      </c>
      <c r="AE380" s="1101">
        <v>1</v>
      </c>
    </row>
    <row r="381" spans="1:31" s="1101" customFormat="1" ht="16.5" customHeight="1">
      <c r="A381" s="318" t="str">
        <f>IF(B381&lt;&gt;"",IF(AND(B381='IN-TC'!$S$4,OR(TH!N381="1111",TH!O381="1111")),TH!D381,""),"")</f>
        <v/>
      </c>
      <c r="B381" s="1106">
        <f t="shared" si="111"/>
        <v>1</v>
      </c>
      <c r="C381" s="301">
        <v>43109</v>
      </c>
      <c r="D381" s="301" t="s">
        <v>985</v>
      </c>
      <c r="E381" s="301">
        <f t="shared" si="112"/>
        <v>43109</v>
      </c>
      <c r="F381" s="302" t="s">
        <v>1001</v>
      </c>
      <c r="G381" s="988" t="s">
        <v>746</v>
      </c>
      <c r="H381" s="303" t="s">
        <v>1002</v>
      </c>
      <c r="I381" s="385"/>
      <c r="J381" s="969"/>
      <c r="K381" s="385"/>
      <c r="L381" s="392"/>
      <c r="M381" s="970">
        <v>268514</v>
      </c>
      <c r="N381" s="304" t="s">
        <v>9</v>
      </c>
      <c r="O381" s="304" t="s">
        <v>26</v>
      </c>
      <c r="P381" s="79" t="str">
        <f>IF(AND('331-CT'!$E$7=TH!H381,OR(N381="331",O381="331")),"x","")</f>
        <v/>
      </c>
      <c r="Q381" s="79" t="str">
        <f>IF(AND(B381='111'!$L$11,OR($N381=$Q$7,$O381=$Q$7)),"x","")</f>
        <v/>
      </c>
      <c r="R381" s="79" t="str">
        <f>IF(AND($N381=$Q$7,$B381&lt;'111'!$L$11),"x","")</f>
        <v/>
      </c>
      <c r="S381" s="79" t="str">
        <f>IF(AND($O381=$Q$7,$B381&lt;'111'!$L$11),"x","")</f>
        <v/>
      </c>
      <c r="T381" s="79" t="str">
        <f>IF(ISERROR(FIND('112'!$M$9,G381,1)),"",IF((AND(FIND('112'!$M$9,G381,1)&gt;=1,B381='112'!$K$9,OR($N381='112'!$I$6,$O381='112'!$I$6))),"x",""))</f>
        <v/>
      </c>
      <c r="U381" s="79" t="str">
        <f>IF(ISERROR(FIND('112'!$M$9,G381,1)),"",IF((AND(LEFT(G381,2)=LEFT('112'!$M$9,2),B381&lt;'112'!$K$9,$N381='112'!$I$6)),"x",""))</f>
        <v/>
      </c>
      <c r="V381" s="79" t="str">
        <f>IF(ISERROR(FIND('112'!$M$9,G381,1)),"",IF((AND(RIGHT(G381,2)=RIGHT('112'!$M$9,2),B381&lt;'112'!$K$9,$O381='112'!$I$6)),"x",""))</f>
        <v/>
      </c>
      <c r="W381" s="79" t="str">
        <f>IF(AND('341-CT'!$H$9=H381,OR(LEFT(N381,3)=$W$7,LEFT(O381,3)=$W$7)),"x","")</f>
        <v/>
      </c>
      <c r="X381" s="79" t="str">
        <f>IF(OR(TH!N381=TH!$X$7,O381=TH!$X$7),"x","")</f>
        <v/>
      </c>
      <c r="Y381" s="79" t="str">
        <f>IF(AND(OR(N381="131",O381="131"),H381='131-CT'!$H$9),"x","")</f>
        <v/>
      </c>
      <c r="Z381" s="79"/>
      <c r="AA381" s="79" t="str">
        <f>IF(AND(MONTH(E381)='IN-NX'!$J$5,'IN-NX'!$D$7=D381),"x","")</f>
        <v/>
      </c>
      <c r="AB381" s="79" t="str">
        <f>IF(AND(OR(LEFT(TH!N381,2)="15",LEFT(TH!O381,2)="15"),LEFT(TH!O381,3)&lt;&gt;"111",'152-CT'!$J$8=TH!F381),"x","")</f>
        <v/>
      </c>
      <c r="AC381" s="79" t="str">
        <f>IF(AND(OR(LEFT(TH!N381,2)="15",LEFT(TH!O381,2)="15"),TK!$E$7=TH!F381),"x","")</f>
        <v/>
      </c>
      <c r="AD381" s="79" t="str">
        <f>IF(AND(N381="1521",MONTH(C381)='BK-NL'!$M$11),"x","")</f>
        <v/>
      </c>
      <c r="AE381" s="1101">
        <v>1</v>
      </c>
    </row>
    <row r="382" spans="1:31" s="1101" customFormat="1" ht="16.5" customHeight="1">
      <c r="A382" s="318" t="str">
        <f>IF(B382&lt;&gt;"",IF(AND(B382='IN-TC'!$S$4,OR(TH!N382="1111",TH!O382="1111")),TH!D382,""),"")</f>
        <v/>
      </c>
      <c r="B382" s="1106">
        <f t="shared" ref="B382" si="113">IF(C382&lt;&gt;"",MONTH(C382),"")</f>
        <v>1</v>
      </c>
      <c r="C382" s="301">
        <v>43109</v>
      </c>
      <c r="D382" s="301" t="s">
        <v>985</v>
      </c>
      <c r="E382" s="301">
        <f t="shared" ref="E382" si="114">C382</f>
        <v>43109</v>
      </c>
      <c r="F382" s="302" t="s">
        <v>1038</v>
      </c>
      <c r="G382" s="988" t="s">
        <v>746</v>
      </c>
      <c r="H382" s="303" t="s">
        <v>1002</v>
      </c>
      <c r="I382" s="385"/>
      <c r="J382" s="969"/>
      <c r="K382" s="385"/>
      <c r="L382" s="392"/>
      <c r="M382" s="970">
        <v>10936448</v>
      </c>
      <c r="N382" s="304" t="s">
        <v>101</v>
      </c>
      <c r="O382" s="304" t="s">
        <v>26</v>
      </c>
      <c r="P382" s="79" t="str">
        <f>IF(AND('331-CT'!$E$7=TH!H382,OR(N382="331",O382="331")),"x","")</f>
        <v/>
      </c>
      <c r="Q382" s="79" t="str">
        <f>IF(AND(B382='111'!$L$11,OR($N382=$Q$7,$O382=$Q$7)),"x","")</f>
        <v/>
      </c>
      <c r="R382" s="79" t="str">
        <f>IF(AND($N382=$Q$7,$B382&lt;'111'!$L$11),"x","")</f>
        <v/>
      </c>
      <c r="S382" s="79" t="str">
        <f>IF(AND($O382=$Q$7,$B382&lt;'111'!$L$11),"x","")</f>
        <v/>
      </c>
      <c r="T382" s="79" t="str">
        <f>IF(ISERROR(FIND('112'!$M$9,G382,1)),"",IF((AND(FIND('112'!$M$9,G382,1)&gt;=1,B382='112'!$K$9,OR($N382='112'!$I$6,$O382='112'!$I$6))),"x",""))</f>
        <v/>
      </c>
      <c r="U382" s="79" t="str">
        <f>IF(ISERROR(FIND('112'!$M$9,G382,1)),"",IF((AND(LEFT(G382,2)=LEFT('112'!$M$9,2),B382&lt;'112'!$K$9,$N382='112'!$I$6)),"x",""))</f>
        <v/>
      </c>
      <c r="V382" s="79" t="str">
        <f>IF(ISERROR(FIND('112'!$M$9,G382,1)),"",IF((AND(RIGHT(G382,2)=RIGHT('112'!$M$9,2),B382&lt;'112'!$K$9,$O382='112'!$I$6)),"x",""))</f>
        <v/>
      </c>
      <c r="W382" s="79" t="str">
        <f>IF(AND('341-CT'!$H$9=H382,OR(LEFT(N382,3)=$W$7,LEFT(O382,3)=$W$7)),"x","")</f>
        <v/>
      </c>
      <c r="X382" s="79" t="str">
        <f>IF(OR(TH!N382=TH!$X$7,O382=TH!$X$7),"x","")</f>
        <v/>
      </c>
      <c r="Y382" s="79" t="str">
        <f>IF(AND(OR(N382="131",O382="131"),H382='131-CT'!$H$9),"x","")</f>
        <v/>
      </c>
      <c r="Z382" s="79"/>
      <c r="AA382" s="79" t="str">
        <f>IF(AND(MONTH(E382)='IN-NX'!$J$5,'IN-NX'!$D$7=D382),"x","")</f>
        <v/>
      </c>
      <c r="AB382" s="79" t="str">
        <f>IF(AND(OR(LEFT(TH!N382,2)="15",LEFT(TH!O382,2)="15"),LEFT(TH!O382,3)&lt;&gt;"111",'152-CT'!$J$8=TH!F382),"x","")</f>
        <v/>
      </c>
      <c r="AC382" s="79" t="str">
        <f>IF(AND(OR(LEFT(TH!N382,2)="15",LEFT(TH!O382,2)="15"),TK!$E$7=TH!F382),"x","")</f>
        <v/>
      </c>
      <c r="AD382" s="79" t="str">
        <f>IF(AND(N382="1521",MONTH(C382)='BK-NL'!$M$11),"x","")</f>
        <v/>
      </c>
    </row>
    <row r="383" spans="1:31" s="1101" customFormat="1" ht="16.5" customHeight="1">
      <c r="A383" s="318" t="str">
        <f>IF(B383&lt;&gt;"",IF(AND(B383='IN-TC'!$S$4,OR(TH!N383="1111",TH!O383="1111")),TH!D383,""),"")</f>
        <v/>
      </c>
      <c r="B383" s="1106">
        <f t="shared" si="111"/>
        <v>1</v>
      </c>
      <c r="C383" s="301">
        <v>43111</v>
      </c>
      <c r="D383" s="301" t="s">
        <v>985</v>
      </c>
      <c r="E383" s="301">
        <f t="shared" si="112"/>
        <v>43111</v>
      </c>
      <c r="F383" s="302" t="s">
        <v>1000</v>
      </c>
      <c r="G383" s="988" t="s">
        <v>746</v>
      </c>
      <c r="H383" s="303" t="s">
        <v>1002</v>
      </c>
      <c r="I383" s="385"/>
      <c r="J383" s="969"/>
      <c r="K383" s="385"/>
      <c r="L383" s="392"/>
      <c r="M383" s="970">
        <v>227400</v>
      </c>
      <c r="N383" s="304" t="s">
        <v>101</v>
      </c>
      <c r="O383" s="304" t="s">
        <v>26</v>
      </c>
      <c r="P383" s="79" t="str">
        <f>IF(AND('331-CT'!$E$7=TH!H383,OR(N383="331",O383="331")),"x","")</f>
        <v/>
      </c>
      <c r="Q383" s="79" t="str">
        <f>IF(AND(B383='111'!$L$11,OR($N383=$Q$7,$O383=$Q$7)),"x","")</f>
        <v/>
      </c>
      <c r="R383" s="79" t="str">
        <f>IF(AND($N383=$Q$7,$B383&lt;'111'!$L$11),"x","")</f>
        <v/>
      </c>
      <c r="S383" s="79" t="str">
        <f>IF(AND($O383=$Q$7,$B383&lt;'111'!$L$11),"x","")</f>
        <v/>
      </c>
      <c r="T383" s="79" t="str">
        <f>IF(ISERROR(FIND('112'!$M$9,G383,1)),"",IF((AND(FIND('112'!$M$9,G383,1)&gt;=1,B383='112'!$K$9,OR($N383='112'!$I$6,$O383='112'!$I$6))),"x",""))</f>
        <v/>
      </c>
      <c r="U383" s="79" t="str">
        <f>IF(ISERROR(FIND('112'!$M$9,G383,1)),"",IF((AND(LEFT(G383,2)=LEFT('112'!$M$9,2),B383&lt;'112'!$K$9,$N383='112'!$I$6)),"x",""))</f>
        <v/>
      </c>
      <c r="V383" s="79" t="str">
        <f>IF(ISERROR(FIND('112'!$M$9,G383,1)),"",IF((AND(RIGHT(G383,2)=RIGHT('112'!$M$9,2),B383&lt;'112'!$K$9,$O383='112'!$I$6)),"x",""))</f>
        <v/>
      </c>
      <c r="W383" s="79" t="str">
        <f>IF(AND('341-CT'!$H$9=H383,OR(LEFT(N383,3)=$W$7,LEFT(O383,3)=$W$7)),"x","")</f>
        <v/>
      </c>
      <c r="X383" s="79" t="str">
        <f>IF(OR(TH!N383=TH!$X$7,O383=TH!$X$7),"x","")</f>
        <v/>
      </c>
      <c r="Y383" s="79" t="str">
        <f>IF(AND(OR(N383="131",O383="131"),H383='131-CT'!$H$9),"x","")</f>
        <v/>
      </c>
      <c r="Z383" s="79"/>
      <c r="AA383" s="79" t="str">
        <f>IF(AND(MONTH(E383)='IN-NX'!$J$5,'IN-NX'!$D$7=D383),"x","")</f>
        <v/>
      </c>
      <c r="AB383" s="79" t="str">
        <f>IF(AND(OR(LEFT(TH!N383,2)="15",LEFT(TH!O383,2)="15"),LEFT(TH!O383,3)&lt;&gt;"111",'152-CT'!$J$8=TH!F383),"x","")</f>
        <v/>
      </c>
      <c r="AC383" s="79" t="str">
        <f>IF(AND(OR(LEFT(TH!N383,2)="15",LEFT(TH!O383,2)="15"),TK!$E$7=TH!F383),"x","")</f>
        <v/>
      </c>
      <c r="AD383" s="79" t="str">
        <f>IF(AND(N383="1521",MONTH(C383)='BK-NL'!$M$11),"x","")</f>
        <v/>
      </c>
      <c r="AE383" s="1101">
        <v>1</v>
      </c>
    </row>
    <row r="384" spans="1:31" s="1101" customFormat="1" ht="16.5" customHeight="1">
      <c r="A384" s="318" t="str">
        <f>IF(B384&lt;&gt;"",IF(AND(B384='IN-TC'!$S$4,OR(TH!N384="1111",TH!O384="1111")),TH!D384,""),"")</f>
        <v/>
      </c>
      <c r="B384" s="1106">
        <f t="shared" si="111"/>
        <v>1</v>
      </c>
      <c r="C384" s="301">
        <v>43111</v>
      </c>
      <c r="D384" s="301" t="s">
        <v>985</v>
      </c>
      <c r="E384" s="301">
        <f t="shared" si="112"/>
        <v>43111</v>
      </c>
      <c r="F384" s="302" t="s">
        <v>1001</v>
      </c>
      <c r="G384" s="988" t="s">
        <v>746</v>
      </c>
      <c r="H384" s="303" t="s">
        <v>1002</v>
      </c>
      <c r="I384" s="385"/>
      <c r="J384" s="969"/>
      <c r="K384" s="385"/>
      <c r="L384" s="392"/>
      <c r="M384" s="970">
        <v>22740</v>
      </c>
      <c r="N384" s="304" t="s">
        <v>9</v>
      </c>
      <c r="O384" s="304" t="s">
        <v>26</v>
      </c>
      <c r="P384" s="79" t="str">
        <f>IF(AND('331-CT'!$E$7=TH!H384,OR(N384="331",O384="331")),"x","")</f>
        <v/>
      </c>
      <c r="Q384" s="79" t="str">
        <f>IF(AND(B384='111'!$L$11,OR($N384=$Q$7,$O384=$Q$7)),"x","")</f>
        <v/>
      </c>
      <c r="R384" s="79" t="str">
        <f>IF(AND($N384=$Q$7,$B384&lt;'111'!$L$11),"x","")</f>
        <v/>
      </c>
      <c r="S384" s="79" t="str">
        <f>IF(AND($O384=$Q$7,$B384&lt;'111'!$L$11),"x","")</f>
        <v/>
      </c>
      <c r="T384" s="79" t="str">
        <f>IF(ISERROR(FIND('112'!$M$9,G384,1)),"",IF((AND(FIND('112'!$M$9,G384,1)&gt;=1,B384='112'!$K$9,OR($N384='112'!$I$6,$O384='112'!$I$6))),"x",""))</f>
        <v/>
      </c>
      <c r="U384" s="79" t="str">
        <f>IF(ISERROR(FIND('112'!$M$9,G384,1)),"",IF((AND(LEFT(G384,2)=LEFT('112'!$M$9,2),B384&lt;'112'!$K$9,$N384='112'!$I$6)),"x",""))</f>
        <v/>
      </c>
      <c r="V384" s="79" t="str">
        <f>IF(ISERROR(FIND('112'!$M$9,G384,1)),"",IF((AND(RIGHT(G384,2)=RIGHT('112'!$M$9,2),B384&lt;'112'!$K$9,$O384='112'!$I$6)),"x",""))</f>
        <v/>
      </c>
      <c r="W384" s="79" t="str">
        <f>IF(AND('341-CT'!$H$9=H384,OR(LEFT(N384,3)=$W$7,LEFT(O384,3)=$W$7)),"x","")</f>
        <v/>
      </c>
      <c r="X384" s="79" t="str">
        <f>IF(OR(TH!N384=TH!$X$7,O384=TH!$X$7),"x","")</f>
        <v/>
      </c>
      <c r="Y384" s="79" t="str">
        <f>IF(AND(OR(N384="131",O384="131"),H384='131-CT'!$H$9),"x","")</f>
        <v/>
      </c>
      <c r="Z384" s="79"/>
      <c r="AA384" s="79" t="str">
        <f>IF(AND(MONTH(E384)='IN-NX'!$J$5,'IN-NX'!$D$7=D384),"x","")</f>
        <v/>
      </c>
      <c r="AB384" s="79" t="str">
        <f>IF(AND(OR(LEFT(TH!N384,2)="15",LEFT(TH!O384,2)="15"),LEFT(TH!O384,3)&lt;&gt;"111",'152-CT'!$J$8=TH!F384),"x","")</f>
        <v/>
      </c>
      <c r="AC384" s="79" t="str">
        <f>IF(AND(OR(LEFT(TH!N384,2)="15",LEFT(TH!O384,2)="15"),TK!$E$7=TH!F384),"x","")</f>
        <v/>
      </c>
      <c r="AD384" s="79" t="str">
        <f>IF(AND(N384="1521",MONTH(C384)='BK-NL'!$M$11),"x","")</f>
        <v/>
      </c>
      <c r="AE384" s="1101">
        <v>1</v>
      </c>
    </row>
    <row r="385" spans="1:31" s="1101" customFormat="1" ht="16.5" customHeight="1">
      <c r="A385" s="318" t="str">
        <f>IF(B385&lt;&gt;"",IF(AND(B385='IN-TC'!$S$4,OR(TH!N385="1111",TH!O385="1111")),TH!D385,""),"")</f>
        <v/>
      </c>
      <c r="B385" s="1106">
        <f t="shared" si="111"/>
        <v>1</v>
      </c>
      <c r="C385" s="301">
        <v>43111</v>
      </c>
      <c r="D385" s="301" t="s">
        <v>985</v>
      </c>
      <c r="E385" s="301">
        <f t="shared" si="112"/>
        <v>43111</v>
      </c>
      <c r="F385" s="302" t="s">
        <v>1000</v>
      </c>
      <c r="G385" s="988" t="s">
        <v>746</v>
      </c>
      <c r="H385" s="303" t="s">
        <v>1002</v>
      </c>
      <c r="I385" s="385"/>
      <c r="J385" s="969"/>
      <c r="K385" s="385"/>
      <c r="L385" s="392"/>
      <c r="M385" s="970">
        <v>454800</v>
      </c>
      <c r="N385" s="304" t="s">
        <v>101</v>
      </c>
      <c r="O385" s="304" t="s">
        <v>26</v>
      </c>
      <c r="P385" s="79" t="str">
        <f>IF(AND('331-CT'!$E$7=TH!H385,OR(N385="331",O385="331")),"x","")</f>
        <v/>
      </c>
      <c r="Q385" s="79" t="str">
        <f>IF(AND(B385='111'!$L$11,OR($N385=$Q$7,$O385=$Q$7)),"x","")</f>
        <v/>
      </c>
      <c r="R385" s="79" t="str">
        <f>IF(AND($N385=$Q$7,$B385&lt;'111'!$L$11),"x","")</f>
        <v/>
      </c>
      <c r="S385" s="79" t="str">
        <f>IF(AND($O385=$Q$7,$B385&lt;'111'!$L$11),"x","")</f>
        <v/>
      </c>
      <c r="T385" s="79" t="str">
        <f>IF(ISERROR(FIND('112'!$M$9,G385,1)),"",IF((AND(FIND('112'!$M$9,G385,1)&gt;=1,B385='112'!$K$9,OR($N385='112'!$I$6,$O385='112'!$I$6))),"x",""))</f>
        <v/>
      </c>
      <c r="U385" s="79" t="str">
        <f>IF(ISERROR(FIND('112'!$M$9,G385,1)),"",IF((AND(LEFT(G385,2)=LEFT('112'!$M$9,2),B385&lt;'112'!$K$9,$N385='112'!$I$6)),"x",""))</f>
        <v/>
      </c>
      <c r="V385" s="79" t="str">
        <f>IF(ISERROR(FIND('112'!$M$9,G385,1)),"",IF((AND(RIGHT(G385,2)=RIGHT('112'!$M$9,2),B385&lt;'112'!$K$9,$O385='112'!$I$6)),"x",""))</f>
        <v/>
      </c>
      <c r="W385" s="79" t="str">
        <f>IF(AND('341-CT'!$H$9=H385,OR(LEFT(N385,3)=$W$7,LEFT(O385,3)=$W$7)),"x","")</f>
        <v/>
      </c>
      <c r="X385" s="79" t="str">
        <f>IF(OR(TH!N385=TH!$X$7,O385=TH!$X$7),"x","")</f>
        <v/>
      </c>
      <c r="Y385" s="79" t="str">
        <f>IF(AND(OR(N385="131",O385="131"),H385='131-CT'!$H$9),"x","")</f>
        <v/>
      </c>
      <c r="Z385" s="79"/>
      <c r="AA385" s="79" t="str">
        <f>IF(AND(MONTH(E385)='IN-NX'!$J$5,'IN-NX'!$D$7=D385),"x","")</f>
        <v/>
      </c>
      <c r="AB385" s="79" t="str">
        <f>IF(AND(OR(LEFT(TH!N385,2)="15",LEFT(TH!O385,2)="15"),LEFT(TH!O385,3)&lt;&gt;"111",'152-CT'!$J$8=TH!F385),"x","")</f>
        <v/>
      </c>
      <c r="AC385" s="79" t="str">
        <f>IF(AND(OR(LEFT(TH!N385,2)="15",LEFT(TH!O385,2)="15"),TK!$E$7=TH!F385),"x","")</f>
        <v/>
      </c>
      <c r="AD385" s="79" t="str">
        <f>IF(AND(N385="1521",MONTH(C385)='BK-NL'!$M$11),"x","")</f>
        <v/>
      </c>
      <c r="AE385" s="1101">
        <v>1</v>
      </c>
    </row>
    <row r="386" spans="1:31" s="1101" customFormat="1" ht="16.5" customHeight="1">
      <c r="A386" s="318" t="str">
        <f>IF(B386&lt;&gt;"",IF(AND(B386='IN-TC'!$S$4,OR(TH!N386="1111",TH!O386="1111")),TH!D386,""),"")</f>
        <v/>
      </c>
      <c r="B386" s="1106">
        <f t="shared" si="111"/>
        <v>1</v>
      </c>
      <c r="C386" s="301">
        <v>43111</v>
      </c>
      <c r="D386" s="301" t="s">
        <v>985</v>
      </c>
      <c r="E386" s="301">
        <f t="shared" si="112"/>
        <v>43111</v>
      </c>
      <c r="F386" s="302" t="s">
        <v>1001</v>
      </c>
      <c r="G386" s="988" t="s">
        <v>746</v>
      </c>
      <c r="H386" s="303" t="s">
        <v>1002</v>
      </c>
      <c r="I386" s="385"/>
      <c r="J386" s="969"/>
      <c r="K386" s="385"/>
      <c r="L386" s="392"/>
      <c r="M386" s="970">
        <v>45480</v>
      </c>
      <c r="N386" s="304" t="s">
        <v>9</v>
      </c>
      <c r="O386" s="304" t="s">
        <v>26</v>
      </c>
      <c r="P386" s="79" t="str">
        <f>IF(AND('331-CT'!$E$7=TH!H386,OR(N386="331",O386="331")),"x","")</f>
        <v/>
      </c>
      <c r="Q386" s="79" t="str">
        <f>IF(AND(B386='111'!$L$11,OR($N386=$Q$7,$O386=$Q$7)),"x","")</f>
        <v/>
      </c>
      <c r="R386" s="79" t="str">
        <f>IF(AND($N386=$Q$7,$B386&lt;'111'!$L$11),"x","")</f>
        <v/>
      </c>
      <c r="S386" s="79" t="str">
        <f>IF(AND($O386=$Q$7,$B386&lt;'111'!$L$11),"x","")</f>
        <v/>
      </c>
      <c r="T386" s="79" t="str">
        <f>IF(ISERROR(FIND('112'!$M$9,G386,1)),"",IF((AND(FIND('112'!$M$9,G386,1)&gt;=1,B386='112'!$K$9,OR($N386='112'!$I$6,$O386='112'!$I$6))),"x",""))</f>
        <v/>
      </c>
      <c r="U386" s="79" t="str">
        <f>IF(ISERROR(FIND('112'!$M$9,G386,1)),"",IF((AND(LEFT(G386,2)=LEFT('112'!$M$9,2),B386&lt;'112'!$K$9,$N386='112'!$I$6)),"x",""))</f>
        <v/>
      </c>
      <c r="V386" s="79" t="str">
        <f>IF(ISERROR(FIND('112'!$M$9,G386,1)),"",IF((AND(RIGHT(G386,2)=RIGHT('112'!$M$9,2),B386&lt;'112'!$K$9,$O386='112'!$I$6)),"x",""))</f>
        <v/>
      </c>
      <c r="W386" s="79" t="str">
        <f>IF(AND('341-CT'!$H$9=H386,OR(LEFT(N386,3)=$W$7,LEFT(O386,3)=$W$7)),"x","")</f>
        <v/>
      </c>
      <c r="X386" s="79" t="str">
        <f>IF(OR(TH!N386=TH!$X$7,O386=TH!$X$7),"x","")</f>
        <v/>
      </c>
      <c r="Y386" s="79" t="str">
        <f>IF(AND(OR(N386="131",O386="131"),H386='131-CT'!$H$9),"x","")</f>
        <v/>
      </c>
      <c r="Z386" s="79"/>
      <c r="AA386" s="79" t="str">
        <f>IF(AND(MONTH(E386)='IN-NX'!$J$5,'IN-NX'!$D$7=D386),"x","")</f>
        <v/>
      </c>
      <c r="AB386" s="79" t="str">
        <f>IF(AND(OR(LEFT(TH!N386,2)="15",LEFT(TH!O386,2)="15"),LEFT(TH!O386,3)&lt;&gt;"111",'152-CT'!$J$8=TH!F386),"x","")</f>
        <v/>
      </c>
      <c r="AC386" s="79" t="str">
        <f>IF(AND(OR(LEFT(TH!N386,2)="15",LEFT(TH!O386,2)="15"),TK!$E$7=TH!F386),"x","")</f>
        <v/>
      </c>
      <c r="AD386" s="79" t="str">
        <f>IF(AND(N386="1521",MONTH(C386)='BK-NL'!$M$11),"x","")</f>
        <v/>
      </c>
      <c r="AE386" s="1101">
        <v>1</v>
      </c>
    </row>
    <row r="387" spans="1:31" s="1101" customFormat="1" ht="16.5" customHeight="1">
      <c r="A387" s="318" t="str">
        <f>IF(B387&lt;&gt;"",IF(AND(B387='IN-TC'!$S$4,OR(TH!N387="1111",TH!O387="1111")),TH!D387,""),"")</f>
        <v/>
      </c>
      <c r="B387" s="1106">
        <f t="shared" si="111"/>
        <v>1</v>
      </c>
      <c r="C387" s="301">
        <v>43115</v>
      </c>
      <c r="D387" s="301" t="s">
        <v>985</v>
      </c>
      <c r="E387" s="301">
        <f t="shared" si="112"/>
        <v>43115</v>
      </c>
      <c r="F387" s="302" t="s">
        <v>252</v>
      </c>
      <c r="G387" s="988" t="s">
        <v>746</v>
      </c>
      <c r="H387" s="69" t="s">
        <v>1040</v>
      </c>
      <c r="I387" s="385"/>
      <c r="J387" s="969"/>
      <c r="K387" s="385">
        <v>83500</v>
      </c>
      <c r="L387" s="392">
        <v>22700</v>
      </c>
      <c r="M387" s="970">
        <f>ROUND(K387*L387,0)</f>
        <v>1895450000</v>
      </c>
      <c r="N387" s="304" t="s">
        <v>26</v>
      </c>
      <c r="O387" s="304" t="s">
        <v>250</v>
      </c>
      <c r="P387" s="63" t="str">
        <f>IF(AND('331-CT'!$E$7=TH!H387,OR(N387="331",O387="331")),"x","")</f>
        <v/>
      </c>
      <c r="Q387" s="63" t="str">
        <f>IF(AND(B387='111'!$L$11,OR($N387=$Q$7,$O387=$Q$7)),"x","")</f>
        <v/>
      </c>
      <c r="R387" s="63" t="str">
        <f>IF(AND($N387=$Q$7,$B387&lt;'111'!$L$11),"x","")</f>
        <v/>
      </c>
      <c r="S387" s="63" t="str">
        <f>IF(AND($O387=$Q$7,$B387&lt;'111'!$L$11),"x","")</f>
        <v/>
      </c>
      <c r="T387" s="63" t="str">
        <f>IF(ISERROR(FIND('112'!$M$9,G387,1)),"",IF((AND(FIND('112'!$M$9,G387,1)&gt;=1,B387='112'!$K$9,OR($N387='112'!$I$6,$O387='112'!$I$6))),"x",""))</f>
        <v/>
      </c>
      <c r="U387" s="63" t="str">
        <f>IF(ISERROR(FIND('112'!$M$9,G387,1)),"",IF((AND(LEFT(G387,2)=LEFT('112'!$M$9,2),B387&lt;'112'!$K$9,$N387='112'!$I$6)),"x",""))</f>
        <v/>
      </c>
      <c r="V387" s="63" t="str">
        <f>IF(ISERROR(FIND('112'!$M$9,G387,1)),"",IF((AND(RIGHT(G387,2)=RIGHT('112'!$M$9,2),B387&lt;'112'!$K$9,$O387='112'!$I$6)),"x",""))</f>
        <v/>
      </c>
      <c r="W387" s="63" t="str">
        <f>IF(AND('341-CT'!$H$9=H387,OR(LEFT(N387,3)=$W$7,LEFT(O387,3)=$W$7)),"x","")</f>
        <v/>
      </c>
      <c r="X387" s="63" t="str">
        <f>IF(OR(TH!N387=TH!$X$7,O387=TH!$X$7),"x","")</f>
        <v/>
      </c>
      <c r="Y387" s="63" t="str">
        <f>IF(AND(OR(N387="131",O387="131"),H387='131-CT'!$H$9),"x","")</f>
        <v/>
      </c>
      <c r="Z387" s="63"/>
      <c r="AA387" s="63" t="str">
        <f>IF(AND(MONTH(E387)='IN-NX'!$J$5,'IN-NX'!$D$7=D387),"x","")</f>
        <v/>
      </c>
      <c r="AB387" s="63" t="str">
        <f>IF(AND(OR(LEFT(TH!N387,2)="15",LEFT(TH!O387,2)="15"),LEFT(TH!O387,3)&lt;&gt;"111",'152-CT'!$J$8=TH!F387),"x","")</f>
        <v/>
      </c>
      <c r="AC387" s="63" t="str">
        <f>IF(AND(OR(LEFT(TH!N387,2)="15",LEFT(TH!O387,2)="15"),TK!$E$7=TH!F387),"x","")</f>
        <v/>
      </c>
      <c r="AD387" s="63" t="str">
        <f>IF(AND(N387="1521",MONTH(C387)='BK-NL'!$M$11),"x","")</f>
        <v/>
      </c>
    </row>
    <row r="388" spans="1:31" s="1101" customFormat="1" ht="16.5" customHeight="1">
      <c r="A388" s="318" t="str">
        <f>IF(B388&lt;&gt;"",IF(AND(B388='IN-TC'!$S$4,OR(TH!N388="1111",TH!O388="1111")),TH!D388,""),"")</f>
        <v/>
      </c>
      <c r="B388" s="1106">
        <f t="shared" si="111"/>
        <v>1</v>
      </c>
      <c r="C388" s="301">
        <v>43115</v>
      </c>
      <c r="D388" s="301" t="s">
        <v>989</v>
      </c>
      <c r="E388" s="301">
        <f t="shared" si="112"/>
        <v>43115</v>
      </c>
      <c r="F388" s="303" t="s">
        <v>1004</v>
      </c>
      <c r="G388" s="988" t="s">
        <v>746</v>
      </c>
      <c r="H388" s="303" t="s">
        <v>1002</v>
      </c>
      <c r="I388" s="385"/>
      <c r="J388" s="969"/>
      <c r="K388" s="385">
        <v>62300</v>
      </c>
      <c r="L388" s="392">
        <v>22700</v>
      </c>
      <c r="M388" s="970">
        <f>ROUND(K388*L388,0)</f>
        <v>1414210000</v>
      </c>
      <c r="N388" s="304" t="s">
        <v>26</v>
      </c>
      <c r="O388" s="304" t="s">
        <v>256</v>
      </c>
      <c r="P388" s="63" t="str">
        <f>IF(AND('331-CT'!$E$7=TH!H388,OR(N388="331",O388="331")),"x","")</f>
        <v/>
      </c>
      <c r="Q388" s="63" t="str">
        <f>IF(AND(B388='111'!$L$11,OR($N388=$Q$7,$O388=$Q$7)),"x","")</f>
        <v/>
      </c>
      <c r="R388" s="63" t="str">
        <f>IF(AND($N388=$Q$7,$B388&lt;'111'!$L$11),"x","")</f>
        <v/>
      </c>
      <c r="S388" s="63" t="str">
        <f>IF(AND($O388=$Q$7,$B388&lt;'111'!$L$11),"x","")</f>
        <v/>
      </c>
      <c r="T388" s="63" t="str">
        <f>IF(ISERROR(FIND('112'!$M$9,G388,1)),"",IF((AND(FIND('112'!$M$9,G388,1)&gt;=1,B388='112'!$K$9,OR($N388='112'!$I$6,$O388='112'!$I$6))),"x",""))</f>
        <v>x</v>
      </c>
      <c r="U388" s="63" t="str">
        <f>IF(ISERROR(FIND('112'!$M$9,G388,1)),"",IF((AND(LEFT(G388,2)=LEFT('112'!$M$9,2),B388&lt;'112'!$K$9,$N388='112'!$I$6)),"x",""))</f>
        <v/>
      </c>
      <c r="V388" s="63" t="str">
        <f>IF(ISERROR(FIND('112'!$M$9,G388,1)),"",IF((AND(RIGHT(G388,2)=RIGHT('112'!$M$9,2),B388&lt;'112'!$K$9,$O388='112'!$I$6)),"x",""))</f>
        <v/>
      </c>
      <c r="W388" s="63" t="str">
        <f>IF(AND('341-CT'!$H$9=H388,OR(LEFT(N388,3)=$W$7,LEFT(O388,3)=$W$7)),"x","")</f>
        <v/>
      </c>
      <c r="X388" s="63" t="str">
        <f>IF(OR(TH!N388=TH!$X$7,O388=TH!$X$7),"x","")</f>
        <v/>
      </c>
      <c r="Y388" s="63" t="str">
        <f>IF(AND(OR(N388="131",O388="131"),H388='131-CT'!$H$9),"x","")</f>
        <v/>
      </c>
      <c r="Z388" s="63"/>
      <c r="AA388" s="63" t="str">
        <f>IF(AND(MONTH(E388)='IN-NX'!$J$5,'IN-NX'!$D$7=D388),"x","")</f>
        <v/>
      </c>
      <c r="AB388" s="63" t="str">
        <f>IF(AND(OR(LEFT(TH!N388,2)="15",LEFT(TH!O388,2)="15"),LEFT(TH!O388,3)&lt;&gt;"111",'152-CT'!$J$8=TH!F388),"x","")</f>
        <v/>
      </c>
      <c r="AC388" s="63" t="str">
        <f>IF(AND(OR(LEFT(TH!N388,2)="15",LEFT(TH!O388,2)="15"),TK!$E$7=TH!F388),"x","")</f>
        <v/>
      </c>
      <c r="AD388" s="63" t="str">
        <f>IF(AND(N388="1521",MONTH(C388)='BK-NL'!$M$11),"x","")</f>
        <v/>
      </c>
    </row>
    <row r="389" spans="1:31" s="1101" customFormat="1" ht="16.5" customHeight="1">
      <c r="A389" s="318" t="str">
        <f>IF(B389&lt;&gt;"",IF(AND(B389='IN-TC'!$S$4,OR(TH!N389="1111",TH!O389="1111")),TH!D389,""),"")</f>
        <v/>
      </c>
      <c r="B389" s="1106">
        <f t="shared" si="111"/>
        <v>1</v>
      </c>
      <c r="C389" s="301">
        <v>43115</v>
      </c>
      <c r="D389" s="301" t="s">
        <v>985</v>
      </c>
      <c r="E389" s="301">
        <f t="shared" si="112"/>
        <v>43115</v>
      </c>
      <c r="F389" s="303" t="s">
        <v>995</v>
      </c>
      <c r="G389" s="988" t="s">
        <v>746</v>
      </c>
      <c r="H389" s="303" t="s">
        <v>996</v>
      </c>
      <c r="I389" s="385"/>
      <c r="J389" s="969"/>
      <c r="K389" s="385"/>
      <c r="L389" s="392"/>
      <c r="M389" s="970">
        <v>2000000000</v>
      </c>
      <c r="N389" s="304" t="s">
        <v>63</v>
      </c>
      <c r="O389" s="304" t="s">
        <v>26</v>
      </c>
      <c r="P389" s="63" t="str">
        <f>IF(AND('331-CT'!$E$7=TH!H389,OR(N389="331",O389="331")),"x","")</f>
        <v/>
      </c>
      <c r="Q389" s="63" t="str">
        <f>IF(AND(B389='111'!$L$11,OR($N389=$Q$7,$O389=$Q$7)),"x","")</f>
        <v/>
      </c>
      <c r="R389" s="63" t="str">
        <f>IF(AND($N389=$Q$7,$B389&lt;'111'!$L$11),"x","")</f>
        <v>x</v>
      </c>
      <c r="S389" s="63" t="str">
        <f>IF(AND($O389=$Q$7,$B389&lt;'111'!$L$11),"x","")</f>
        <v/>
      </c>
      <c r="T389" s="63" t="str">
        <f>IF(ISERROR(FIND('112'!$M$9,G389,1)),"",IF((AND(FIND('112'!$M$9,G389,1)&gt;=1,B389='112'!$K$9,OR($N389='112'!$I$6,$O389='112'!$I$6))),"x",""))</f>
        <v/>
      </c>
      <c r="U389" s="63" t="str">
        <f>IF(ISERROR(FIND('112'!$M$9,G389,1)),"",IF((AND(LEFT(G389,2)=LEFT('112'!$M$9,2),B389&lt;'112'!$K$9,$N389='112'!$I$6)),"x",""))</f>
        <v/>
      </c>
      <c r="V389" s="63" t="str">
        <f>IF(ISERROR(FIND('112'!$M$9,G389,1)),"",IF((AND(RIGHT(G389,2)=RIGHT('112'!$M$9,2),B389&lt;'112'!$K$9,$O389='112'!$I$6)),"x",""))</f>
        <v/>
      </c>
      <c r="W389" s="63" t="str">
        <f>IF(AND('341-CT'!$H$9=H389,OR(LEFT(N389,3)=$W$7,LEFT(O389,3)=$W$7)),"x","")</f>
        <v/>
      </c>
      <c r="X389" s="63" t="str">
        <f>IF(OR(TH!N389=TH!$X$7,O389=TH!$X$7),"x","")</f>
        <v/>
      </c>
      <c r="Y389" s="63" t="str">
        <f>IF(AND(OR(N389="131",O389="131"),H389='131-CT'!$H$9),"x","")</f>
        <v/>
      </c>
      <c r="Z389" s="63"/>
      <c r="AA389" s="63" t="str">
        <f>IF(AND(MONTH(E389)='IN-NX'!$J$5,'IN-NX'!$D$7=D389),"x","")</f>
        <v/>
      </c>
      <c r="AB389" s="63" t="str">
        <f>IF(AND(OR(LEFT(TH!N389,2)="15",LEFT(TH!O389,2)="15"),LEFT(TH!O389,3)&lt;&gt;"111",'152-CT'!$J$8=TH!F389),"x","")</f>
        <v/>
      </c>
      <c r="AC389" s="63" t="str">
        <f>IF(AND(OR(LEFT(TH!N389,2)="15",LEFT(TH!O389,2)="15"),TK!$E$7=TH!F389),"x","")</f>
        <v/>
      </c>
      <c r="AD389" s="63" t="str">
        <f>IF(AND(N389="1521",MONTH(C389)='BK-NL'!$M$11),"x","")</f>
        <v/>
      </c>
    </row>
    <row r="390" spans="1:31" s="1101" customFormat="1" ht="16.5" customHeight="1">
      <c r="A390" s="318" t="str">
        <f>IF(B390&lt;&gt;"",IF(AND(B390='IN-TC'!$S$4,OR(TH!N390="1111",TH!O390="1111")),TH!D390,""),"")</f>
        <v/>
      </c>
      <c r="B390" s="1106">
        <f t="shared" ref="B390" si="115">IF(C390&lt;&gt;"",MONTH(C390),"")</f>
        <v>1</v>
      </c>
      <c r="C390" s="301">
        <v>43117</v>
      </c>
      <c r="D390" s="301" t="s">
        <v>985</v>
      </c>
      <c r="E390" s="301">
        <f t="shared" ref="E390" si="116">C390</f>
        <v>43117</v>
      </c>
      <c r="F390" s="303" t="s">
        <v>993</v>
      </c>
      <c r="G390" s="988" t="s">
        <v>746</v>
      </c>
      <c r="H390" s="303" t="s">
        <v>1025</v>
      </c>
      <c r="I390" s="385"/>
      <c r="J390" s="969"/>
      <c r="K390" s="385"/>
      <c r="L390" s="392"/>
      <c r="M390" s="970">
        <v>264723</v>
      </c>
      <c r="N390" s="304" t="s">
        <v>101</v>
      </c>
      <c r="O390" s="304" t="s">
        <v>26</v>
      </c>
      <c r="P390" s="63" t="str">
        <f>IF(AND('331-CT'!$E$7=TH!H390,OR(N390="331",O390="331")),"x","")</f>
        <v/>
      </c>
      <c r="Q390" s="63" t="str">
        <f>IF(AND(B390='111'!$L$11,OR($N390=$Q$7,$O390=$Q$7)),"x","")</f>
        <v/>
      </c>
      <c r="R390" s="63" t="str">
        <f>IF(AND($N390=$Q$7,$B390&lt;'111'!$L$11),"x","")</f>
        <v/>
      </c>
      <c r="S390" s="63" t="str">
        <f>IF(AND($O390=$Q$7,$B390&lt;'111'!$L$11),"x","")</f>
        <v/>
      </c>
      <c r="T390" s="63" t="str">
        <f>IF(ISERROR(FIND('112'!$M$9,G390,1)),"",IF((AND(FIND('112'!$M$9,G390,1)&gt;=1,B390='112'!$K$9,OR($N390='112'!$I$6,$O390='112'!$I$6))),"x",""))</f>
        <v/>
      </c>
      <c r="U390" s="63" t="str">
        <f>IF(ISERROR(FIND('112'!$M$9,G390,1)),"",IF((AND(LEFT(G390,2)=LEFT('112'!$M$9,2),B390&lt;'112'!$K$9,$N390='112'!$I$6)),"x",""))</f>
        <v/>
      </c>
      <c r="V390" s="63" t="str">
        <f>IF(ISERROR(FIND('112'!$M$9,G390,1)),"",IF((AND(RIGHT(G390,2)=RIGHT('112'!$M$9,2),B390&lt;'112'!$K$9,$O390='112'!$I$6)),"x",""))</f>
        <v/>
      </c>
      <c r="W390" s="63" t="str">
        <f>IF(AND('341-CT'!$H$9=H390,OR(LEFT(N390,3)=$W$7,LEFT(O390,3)=$W$7)),"x","")</f>
        <v/>
      </c>
      <c r="X390" s="63" t="str">
        <f>IF(OR(TH!N390=TH!$X$7,O390=TH!$X$7),"x","")</f>
        <v/>
      </c>
      <c r="Y390" s="63" t="str">
        <f>IF(AND(OR(N390="131",O390="131"),H390='131-CT'!$H$9),"x","")</f>
        <v/>
      </c>
      <c r="Z390" s="63"/>
      <c r="AA390" s="63" t="str">
        <f>IF(AND(MONTH(E390)='IN-NX'!$J$5,'IN-NX'!$D$7=D390),"x","")</f>
        <v/>
      </c>
      <c r="AB390" s="63" t="str">
        <f>IF(AND(OR(LEFT(TH!N390,2)="15",LEFT(TH!O390,2)="15"),LEFT(TH!O390,3)&lt;&gt;"111",'152-CT'!$J$8=TH!F390),"x","")</f>
        <v/>
      </c>
      <c r="AC390" s="63" t="str">
        <f>IF(AND(OR(LEFT(TH!N390,2)="15",LEFT(TH!O390,2)="15"),TK!$E$7=TH!F390),"x","")</f>
        <v/>
      </c>
      <c r="AD390" s="63" t="str">
        <f>IF(AND(N390="1521",MONTH(C390)='BK-NL'!$M$11),"x","")</f>
        <v/>
      </c>
    </row>
    <row r="391" spans="1:31" s="1101" customFormat="1" ht="16.5" customHeight="1">
      <c r="A391" s="318" t="str">
        <f>IF(B391&lt;&gt;"",IF(AND(B391='IN-TC'!$S$4,OR(TH!N391="1111",TH!O391="1111")),TH!D391,""),"")</f>
        <v/>
      </c>
      <c r="B391" s="1106">
        <f t="shared" ref="B391:B402" si="117">IF(C391&lt;&gt;"",MONTH(C391),"")</f>
        <v>1</v>
      </c>
      <c r="C391" s="301">
        <v>43118</v>
      </c>
      <c r="D391" s="301" t="s">
        <v>985</v>
      </c>
      <c r="E391" s="301">
        <f t="shared" si="112"/>
        <v>43118</v>
      </c>
      <c r="F391" s="303" t="s">
        <v>995</v>
      </c>
      <c r="G391" s="988" t="s">
        <v>746</v>
      </c>
      <c r="H391" s="303" t="s">
        <v>996</v>
      </c>
      <c r="I391" s="385"/>
      <c r="J391" s="969"/>
      <c r="K391" s="385"/>
      <c r="L391" s="392"/>
      <c r="M391" s="970">
        <v>1300000000</v>
      </c>
      <c r="N391" s="304" t="s">
        <v>63</v>
      </c>
      <c r="O391" s="304" t="s">
        <v>26</v>
      </c>
      <c r="P391" s="63" t="str">
        <f>IF(AND('331-CT'!$E$7=TH!H391,OR(N391="331",O391="331")),"x","")</f>
        <v/>
      </c>
      <c r="Q391" s="63" t="str">
        <f>IF(AND(B391='111'!$L$11,OR($N391=$Q$7,$O391=$Q$7)),"x","")</f>
        <v/>
      </c>
      <c r="R391" s="63" t="str">
        <f>IF(AND($N391=$Q$7,$B391&lt;'111'!$L$11),"x","")</f>
        <v>x</v>
      </c>
      <c r="S391" s="63" t="str">
        <f>IF(AND($O391=$Q$7,$B391&lt;'111'!$L$11),"x","")</f>
        <v/>
      </c>
      <c r="T391" s="63" t="str">
        <f>IF(ISERROR(FIND('112'!$M$9,G391,1)),"",IF((AND(FIND('112'!$M$9,G391,1)&gt;=1,B391='112'!$K$9,OR($N391='112'!$I$6,$O391='112'!$I$6))),"x",""))</f>
        <v/>
      </c>
      <c r="U391" s="63" t="str">
        <f>IF(ISERROR(FIND('112'!$M$9,G391,1)),"",IF((AND(LEFT(G391,2)=LEFT('112'!$M$9,2),B391&lt;'112'!$K$9,$N391='112'!$I$6)),"x",""))</f>
        <v/>
      </c>
      <c r="V391" s="63" t="str">
        <f>IF(ISERROR(FIND('112'!$M$9,G391,1)),"",IF((AND(RIGHT(G391,2)=RIGHT('112'!$M$9,2),B391&lt;'112'!$K$9,$O391='112'!$I$6)),"x",""))</f>
        <v/>
      </c>
      <c r="W391" s="63" t="str">
        <f>IF(AND('341-CT'!$H$9=H391,OR(LEFT(N391,3)=$W$7,LEFT(O391,3)=$W$7)),"x","")</f>
        <v/>
      </c>
      <c r="X391" s="63" t="str">
        <f>IF(OR(TH!N391=TH!$X$7,O391=TH!$X$7),"x","")</f>
        <v/>
      </c>
      <c r="Y391" s="63" t="str">
        <f>IF(AND(OR(N391="131",O391="131"),H391='131-CT'!$H$9),"x","")</f>
        <v/>
      </c>
      <c r="Z391" s="63"/>
      <c r="AA391" s="63" t="str">
        <f>IF(AND(MONTH(E391)='IN-NX'!$J$5,'IN-NX'!$D$7=D391),"x","")</f>
        <v/>
      </c>
      <c r="AB391" s="63" t="str">
        <f>IF(AND(OR(LEFT(TH!N391,2)="15",LEFT(TH!O391,2)="15"),LEFT(TH!O391,3)&lt;&gt;"111",'152-CT'!$J$8=TH!F391),"x","")</f>
        <v/>
      </c>
      <c r="AC391" s="63" t="str">
        <f>IF(AND(OR(LEFT(TH!N391,2)="15",LEFT(TH!O391,2)="15"),TK!$E$7=TH!F391),"x","")</f>
        <v/>
      </c>
      <c r="AD391" s="63" t="str">
        <f>IF(AND(N391="1521",MONTH(C391)='BK-NL'!$M$11),"x","")</f>
        <v/>
      </c>
    </row>
    <row r="392" spans="1:31" s="1101" customFormat="1" ht="16.5" customHeight="1">
      <c r="A392" s="318" t="str">
        <f>IF(B392&lt;&gt;"",IF(AND(B392='IN-TC'!$S$4,OR(TH!N392="1111",TH!O392="1111")),TH!D392,""),"")</f>
        <v/>
      </c>
      <c r="B392" s="1106">
        <f t="shared" si="117"/>
        <v>1</v>
      </c>
      <c r="C392" s="301">
        <v>43118</v>
      </c>
      <c r="D392" s="301" t="s">
        <v>989</v>
      </c>
      <c r="E392" s="301">
        <f t="shared" si="112"/>
        <v>43118</v>
      </c>
      <c r="F392" s="303" t="s">
        <v>1004</v>
      </c>
      <c r="G392" s="988" t="s">
        <v>746</v>
      </c>
      <c r="H392" s="303" t="s">
        <v>1002</v>
      </c>
      <c r="I392" s="385"/>
      <c r="J392" s="969"/>
      <c r="K392" s="385">
        <v>16000</v>
      </c>
      <c r="L392" s="392">
        <v>22704</v>
      </c>
      <c r="M392" s="970">
        <f>ROUND(K392*L392,0)</f>
        <v>363264000</v>
      </c>
      <c r="N392" s="304" t="s">
        <v>26</v>
      </c>
      <c r="O392" s="304" t="s">
        <v>256</v>
      </c>
      <c r="P392" s="63" t="str">
        <f>IF(AND('331-CT'!$E$7=TH!H392,OR(N392="331",O392="331")),"x","")</f>
        <v/>
      </c>
      <c r="Q392" s="63" t="str">
        <f>IF(AND(B392='111'!$L$11,OR($N392=$Q$7,$O392=$Q$7)),"x","")</f>
        <v/>
      </c>
      <c r="R392" s="63" t="str">
        <f>IF(AND($N392=$Q$7,$B392&lt;'111'!$L$11),"x","")</f>
        <v/>
      </c>
      <c r="S392" s="63" t="str">
        <f>IF(AND($O392=$Q$7,$B392&lt;'111'!$L$11),"x","")</f>
        <v/>
      </c>
      <c r="T392" s="63" t="str">
        <f>IF(ISERROR(FIND('112'!$M$9,G392,1)),"",IF((AND(FIND('112'!$M$9,G392,1)&gt;=1,B392='112'!$K$9,OR($N392='112'!$I$6,$O392='112'!$I$6))),"x",""))</f>
        <v>x</v>
      </c>
      <c r="U392" s="63" t="str">
        <f>IF(ISERROR(FIND('112'!$M$9,G392,1)),"",IF((AND(LEFT(G392,2)=LEFT('112'!$M$9,2),B392&lt;'112'!$K$9,$N392='112'!$I$6)),"x",""))</f>
        <v/>
      </c>
      <c r="V392" s="63" t="str">
        <f>IF(ISERROR(FIND('112'!$M$9,G392,1)),"",IF((AND(RIGHT(G392,2)=RIGHT('112'!$M$9,2),B392&lt;'112'!$K$9,$O392='112'!$I$6)),"x",""))</f>
        <v/>
      </c>
      <c r="W392" s="63" t="str">
        <f>IF(AND('341-CT'!$H$9=H392,OR(LEFT(N392,3)=$W$7,LEFT(O392,3)=$W$7)),"x","")</f>
        <v/>
      </c>
      <c r="X392" s="63" t="str">
        <f>IF(OR(TH!N392=TH!$X$7,O392=TH!$X$7),"x","")</f>
        <v/>
      </c>
      <c r="Y392" s="63" t="str">
        <f>IF(AND(OR(N392="131",O392="131"),H392='131-CT'!$H$9),"x","")</f>
        <v/>
      </c>
      <c r="Z392" s="63"/>
      <c r="AA392" s="63" t="str">
        <f>IF(AND(MONTH(E392)='IN-NX'!$J$5,'IN-NX'!$D$7=D392),"x","")</f>
        <v/>
      </c>
      <c r="AB392" s="63" t="str">
        <f>IF(AND(OR(LEFT(TH!N392,2)="15",LEFT(TH!O392,2)="15"),LEFT(TH!O392,3)&lt;&gt;"111",'152-CT'!$J$8=TH!F392),"x","")</f>
        <v/>
      </c>
      <c r="AC392" s="63" t="str">
        <f>IF(AND(OR(LEFT(TH!N392,2)="15",LEFT(TH!O392,2)="15"),TK!$E$7=TH!F392),"x","")</f>
        <v/>
      </c>
      <c r="AD392" s="63" t="str">
        <f>IF(AND(N392="1521",MONTH(C392)='BK-NL'!$M$11),"x","")</f>
        <v/>
      </c>
    </row>
    <row r="393" spans="1:31" s="1101" customFormat="1" ht="16.5" customHeight="1">
      <c r="A393" s="318" t="str">
        <f>IF(B393&lt;&gt;"",IF(AND(B393='IN-TC'!$S$4,OR(TH!N393="1111",TH!O393="1111")),TH!D393,""),"")</f>
        <v/>
      </c>
      <c r="B393" s="1106">
        <f t="shared" si="117"/>
        <v>1</v>
      </c>
      <c r="C393" s="301">
        <v>43118</v>
      </c>
      <c r="D393" s="301" t="s">
        <v>989</v>
      </c>
      <c r="E393" s="301">
        <f t="shared" si="112"/>
        <v>43118</v>
      </c>
      <c r="F393" s="303" t="s">
        <v>1050</v>
      </c>
      <c r="G393" s="988" t="s">
        <v>746</v>
      </c>
      <c r="H393" s="303" t="s">
        <v>1051</v>
      </c>
      <c r="I393" s="385"/>
      <c r="J393" s="969"/>
      <c r="K393" s="385">
        <v>56000</v>
      </c>
      <c r="L393" s="392">
        <v>22704</v>
      </c>
      <c r="M393" s="970">
        <f>ROUND(K393*L393,0)</f>
        <v>1271424000</v>
      </c>
      <c r="N393" s="304" t="s">
        <v>26</v>
      </c>
      <c r="O393" s="304" t="s">
        <v>250</v>
      </c>
      <c r="P393" s="63" t="str">
        <f>IF(AND('331-CT'!$E$7=TH!H393,OR(N393="331",O393="331")),"x","")</f>
        <v/>
      </c>
      <c r="Q393" s="63" t="str">
        <f>IF(AND(B393='111'!$L$11,OR($N393=$Q$7,$O393=$Q$7)),"x","")</f>
        <v/>
      </c>
      <c r="R393" s="63" t="str">
        <f>IF(AND($N393=$Q$7,$B393&lt;'111'!$L$11),"x","")</f>
        <v/>
      </c>
      <c r="S393" s="63" t="str">
        <f>IF(AND($O393=$Q$7,$B393&lt;'111'!$L$11),"x","")</f>
        <v/>
      </c>
      <c r="T393" s="63" t="str">
        <f>IF(ISERROR(FIND('112'!$M$9,G393,1)),"",IF((AND(FIND('112'!$M$9,G393,1)&gt;=1,B393='112'!$K$9,OR($N393='112'!$I$6,$O393='112'!$I$6))),"x",""))</f>
        <v/>
      </c>
      <c r="U393" s="63" t="str">
        <f>IF(ISERROR(FIND('112'!$M$9,G393,1)),"",IF((AND(LEFT(G393,2)=LEFT('112'!$M$9,2),B393&lt;'112'!$K$9,$N393='112'!$I$6)),"x",""))</f>
        <v/>
      </c>
      <c r="V393" s="63" t="str">
        <f>IF(ISERROR(FIND('112'!$M$9,G393,1)),"",IF((AND(RIGHT(G393,2)=RIGHT('112'!$M$9,2),B393&lt;'112'!$K$9,$O393='112'!$I$6)),"x",""))</f>
        <v/>
      </c>
      <c r="W393" s="63" t="str">
        <f>IF(AND('341-CT'!$H$9=H393,OR(LEFT(N393,3)=$W$7,LEFT(O393,3)=$W$7)),"x","")</f>
        <v/>
      </c>
      <c r="X393" s="63" t="str">
        <f>IF(OR(TH!N393=TH!$X$7,O393=TH!$X$7),"x","")</f>
        <v/>
      </c>
      <c r="Y393" s="63" t="str">
        <f>IF(AND(OR(N393="131",O393="131"),H393='131-CT'!$H$9),"x","")</f>
        <v/>
      </c>
      <c r="Z393" s="63"/>
      <c r="AA393" s="63" t="str">
        <f>IF(AND(MONTH(E393)='IN-NX'!$J$5,'IN-NX'!$D$7=D393),"x","")</f>
        <v/>
      </c>
      <c r="AB393" s="63" t="str">
        <f>IF(AND(OR(LEFT(TH!N393,2)="15",LEFT(TH!O393,2)="15"),LEFT(TH!O393,3)&lt;&gt;"111",'152-CT'!$J$8=TH!F393),"x","")</f>
        <v/>
      </c>
      <c r="AC393" s="63" t="str">
        <f>IF(AND(OR(LEFT(TH!N393,2)="15",LEFT(TH!O393,2)="15"),TK!$E$7=TH!F393),"x","")</f>
        <v/>
      </c>
      <c r="AD393" s="63" t="str">
        <f>IF(AND(N393="1521",MONTH(C393)='BK-NL'!$M$11),"x","")</f>
        <v/>
      </c>
    </row>
    <row r="394" spans="1:31" s="1101" customFormat="1" ht="16.5" customHeight="1">
      <c r="A394" s="318" t="str">
        <f>IF(B394&lt;&gt;"",IF(AND(B394='IN-TC'!$S$4,OR(TH!N394="1111",TH!O394="1111")),TH!D394,""),"")</f>
        <v/>
      </c>
      <c r="B394" s="1106">
        <f t="shared" si="117"/>
        <v>1</v>
      </c>
      <c r="C394" s="301">
        <v>43119</v>
      </c>
      <c r="D394" s="301" t="s">
        <v>985</v>
      </c>
      <c r="E394" s="301">
        <f t="shared" ref="E394:E395" si="118">C394</f>
        <v>43119</v>
      </c>
      <c r="F394" s="303" t="s">
        <v>995</v>
      </c>
      <c r="G394" s="988" t="s">
        <v>746</v>
      </c>
      <c r="H394" s="303" t="s">
        <v>996</v>
      </c>
      <c r="I394" s="385"/>
      <c r="J394" s="969"/>
      <c r="K394" s="385"/>
      <c r="L394" s="392"/>
      <c r="M394" s="970">
        <v>900000000</v>
      </c>
      <c r="N394" s="304" t="s">
        <v>63</v>
      </c>
      <c r="O394" s="304" t="s">
        <v>26</v>
      </c>
      <c r="P394" s="63" t="str">
        <f>IF(AND('331-CT'!$E$7=TH!H394,OR(N394="331",O394="331")),"x","")</f>
        <v/>
      </c>
      <c r="Q394" s="63" t="str">
        <f>IF(AND(B394='111'!$L$11,OR($N394=$Q$7,$O394=$Q$7)),"x","")</f>
        <v/>
      </c>
      <c r="R394" s="63" t="str">
        <f>IF(AND($N394=$Q$7,$B394&lt;'111'!$L$11),"x","")</f>
        <v>x</v>
      </c>
      <c r="S394" s="63" t="str">
        <f>IF(AND($O394=$Q$7,$B394&lt;'111'!$L$11),"x","")</f>
        <v/>
      </c>
      <c r="T394" s="63" t="str">
        <f>IF(ISERROR(FIND('112'!$M$9,G394,1)),"",IF((AND(FIND('112'!$M$9,G394,1)&gt;=1,B394='112'!$K$9,OR($N394='112'!$I$6,$O394='112'!$I$6))),"x",""))</f>
        <v/>
      </c>
      <c r="U394" s="63" t="str">
        <f>IF(ISERROR(FIND('112'!$M$9,G394,1)),"",IF((AND(LEFT(G394,2)=LEFT('112'!$M$9,2),B394&lt;'112'!$K$9,$N394='112'!$I$6)),"x",""))</f>
        <v/>
      </c>
      <c r="V394" s="63" t="str">
        <f>IF(ISERROR(FIND('112'!$M$9,G394,1)),"",IF((AND(RIGHT(G394,2)=RIGHT('112'!$M$9,2),B394&lt;'112'!$K$9,$O394='112'!$I$6)),"x",""))</f>
        <v/>
      </c>
      <c r="W394" s="63" t="str">
        <f>IF(AND('341-CT'!$H$9=H394,OR(LEFT(N394,3)=$W$7,LEFT(O394,3)=$W$7)),"x","")</f>
        <v/>
      </c>
      <c r="X394" s="63" t="str">
        <f>IF(OR(TH!N394=TH!$X$7,O394=TH!$X$7),"x","")</f>
        <v/>
      </c>
      <c r="Y394" s="63" t="str">
        <f>IF(AND(OR(N394="131",O394="131"),H394='131-CT'!$H$9),"x","")</f>
        <v/>
      </c>
      <c r="Z394" s="63"/>
      <c r="AA394" s="63" t="str">
        <f>IF(AND(MONTH(E394)='IN-NX'!$J$5,'IN-NX'!$D$7=D394),"x","")</f>
        <v/>
      </c>
      <c r="AB394" s="63" t="str">
        <f>IF(AND(OR(LEFT(TH!N394,2)="15",LEFT(TH!O394,2)="15"),LEFT(TH!O394,3)&lt;&gt;"111",'152-CT'!$J$8=TH!F394),"x","")</f>
        <v/>
      </c>
      <c r="AC394" s="63" t="str">
        <f>IF(AND(OR(LEFT(TH!N394,2)="15",LEFT(TH!O394,2)="15"),TK!$E$7=TH!F394),"x","")</f>
        <v/>
      </c>
      <c r="AD394" s="63" t="str">
        <f>IF(AND(N394="1521",MONTH(C394)='BK-NL'!$M$11),"x","")</f>
        <v/>
      </c>
    </row>
    <row r="395" spans="1:31" s="1101" customFormat="1" ht="16.5" customHeight="1">
      <c r="A395" s="318" t="str">
        <f>IF(B395&lt;&gt;"",IF(AND(B395='IN-TC'!$S$4,OR(TH!N395="1111",TH!O395="1111")),TH!D395,""),"")</f>
        <v/>
      </c>
      <c r="B395" s="1106">
        <f t="shared" ref="B395" si="119">IF(C395&lt;&gt;"",MONTH(C395),"")</f>
        <v>1</v>
      </c>
      <c r="C395" s="301">
        <v>43119</v>
      </c>
      <c r="D395" s="301" t="s">
        <v>985</v>
      </c>
      <c r="E395" s="301">
        <f t="shared" si="118"/>
        <v>43119</v>
      </c>
      <c r="F395" s="303" t="s">
        <v>995</v>
      </c>
      <c r="G395" s="988" t="s">
        <v>746</v>
      </c>
      <c r="H395" s="303" t="s">
        <v>996</v>
      </c>
      <c r="I395" s="385"/>
      <c r="J395" s="969"/>
      <c r="K395" s="385"/>
      <c r="L395" s="392"/>
      <c r="M395" s="970">
        <v>200000000</v>
      </c>
      <c r="N395" s="304" t="s">
        <v>63</v>
      </c>
      <c r="O395" s="304" t="s">
        <v>26</v>
      </c>
      <c r="P395" s="63" t="str">
        <f>IF(AND('331-CT'!$E$7=TH!H395,OR(N395="331",O395="331")),"x","")</f>
        <v/>
      </c>
      <c r="Q395" s="63" t="str">
        <f>IF(AND(B395='111'!$L$11,OR($N395=$Q$7,$O395=$Q$7)),"x","")</f>
        <v/>
      </c>
      <c r="R395" s="63" t="str">
        <f>IF(AND($N395=$Q$7,$B395&lt;'111'!$L$11),"x","")</f>
        <v>x</v>
      </c>
      <c r="S395" s="63" t="str">
        <f>IF(AND($O395=$Q$7,$B395&lt;'111'!$L$11),"x","")</f>
        <v/>
      </c>
      <c r="T395" s="63" t="str">
        <f>IF(ISERROR(FIND('112'!$M$9,G395,1)),"",IF((AND(FIND('112'!$M$9,G395,1)&gt;=1,B395='112'!$K$9,OR($N395='112'!$I$6,$O395='112'!$I$6))),"x",""))</f>
        <v/>
      </c>
      <c r="U395" s="63" t="str">
        <f>IF(ISERROR(FIND('112'!$M$9,G395,1)),"",IF((AND(LEFT(G395,2)=LEFT('112'!$M$9,2),B395&lt;'112'!$K$9,$N395='112'!$I$6)),"x",""))</f>
        <v/>
      </c>
      <c r="V395" s="63" t="str">
        <f>IF(ISERROR(FIND('112'!$M$9,G395,1)),"",IF((AND(RIGHT(G395,2)=RIGHT('112'!$M$9,2),B395&lt;'112'!$K$9,$O395='112'!$I$6)),"x",""))</f>
        <v/>
      </c>
      <c r="W395" s="63" t="str">
        <f>IF(AND('341-CT'!$H$9=H395,OR(LEFT(N395,3)=$W$7,LEFT(O395,3)=$W$7)),"x","")</f>
        <v/>
      </c>
      <c r="X395" s="63" t="str">
        <f>IF(OR(TH!N395=TH!$X$7,O395=TH!$X$7),"x","")</f>
        <v/>
      </c>
      <c r="Y395" s="63" t="str">
        <f>IF(AND(OR(N395="131",O395="131"),H395='131-CT'!$H$9),"x","")</f>
        <v/>
      </c>
      <c r="Z395" s="63"/>
      <c r="AA395" s="63" t="str">
        <f>IF(AND(MONTH(E395)='IN-NX'!$J$5,'IN-NX'!$D$7=D395),"x","")</f>
        <v/>
      </c>
      <c r="AB395" s="63" t="str">
        <f>IF(AND(OR(LEFT(TH!N395,2)="15",LEFT(TH!O395,2)="15"),LEFT(TH!O395,3)&lt;&gt;"111",'152-CT'!$J$8=TH!F395),"x","")</f>
        <v/>
      </c>
      <c r="AC395" s="63" t="str">
        <f>IF(AND(OR(LEFT(TH!N395,2)="15",LEFT(TH!O395,2)="15"),TK!$E$7=TH!F395),"x","")</f>
        <v/>
      </c>
      <c r="AD395" s="63" t="str">
        <f>IF(AND(N395="1521",MONTH(C395)='BK-NL'!$M$11),"x","")</f>
        <v/>
      </c>
    </row>
    <row r="396" spans="1:31" s="1101" customFormat="1" ht="16.5" customHeight="1">
      <c r="A396" s="318" t="str">
        <f>IF(B396&lt;&gt;"",IF(AND(B396='IN-TC'!$S$4,OR(TH!N396="1111",TH!O396="1111")),TH!D396,""),"")</f>
        <v/>
      </c>
      <c r="B396" s="1106" t="str">
        <f t="shared" si="117"/>
        <v/>
      </c>
      <c r="C396" s="301"/>
      <c r="D396" s="301"/>
      <c r="E396" s="301">
        <f t="shared" si="112"/>
        <v>0</v>
      </c>
      <c r="F396" s="303"/>
      <c r="G396" s="988"/>
      <c r="H396" s="303"/>
      <c r="I396" s="385"/>
      <c r="J396" s="969"/>
      <c r="K396" s="385"/>
      <c r="L396" s="392"/>
      <c r="M396" s="970"/>
      <c r="N396" s="304"/>
      <c r="O396" s="304"/>
      <c r="P396" s="63" t="str">
        <f>IF(AND('331-CT'!$E$7=TH!H396,OR(N396="331",O396="331")),"x","")</f>
        <v/>
      </c>
      <c r="Q396" s="63" t="str">
        <f>IF(AND(B396='111'!$L$11,OR($N396=$Q$7,$O396=$Q$7)),"x","")</f>
        <v/>
      </c>
      <c r="R396" s="63" t="str">
        <f>IF(AND($N396=$Q$7,$B396&lt;'111'!$L$11),"x","")</f>
        <v/>
      </c>
      <c r="S396" s="63" t="str">
        <f>IF(AND($O396=$Q$7,$B396&lt;'111'!$L$11),"x","")</f>
        <v/>
      </c>
      <c r="T396" s="63" t="str">
        <f>IF(ISERROR(FIND('112'!$M$9,G396,1)),"",IF((AND(FIND('112'!$M$9,G396,1)&gt;=1,B396='112'!$K$9,OR($N396='112'!$I$6,$O396='112'!$I$6))),"x",""))</f>
        <v/>
      </c>
      <c r="U396" s="63" t="str">
        <f>IF(ISERROR(FIND('112'!$M$9,G396,1)),"",IF((AND(LEFT(G396,2)=LEFT('112'!$M$9,2),B396&lt;'112'!$K$9,$N396='112'!$I$6)),"x",""))</f>
        <v/>
      </c>
      <c r="V396" s="63" t="str">
        <f>IF(ISERROR(FIND('112'!$M$9,G396,1)),"",IF((AND(RIGHT(G396,2)=RIGHT('112'!$M$9,2),B396&lt;'112'!$K$9,$O396='112'!$I$6)),"x",""))</f>
        <v/>
      </c>
      <c r="W396" s="63" t="str">
        <f>IF(AND('341-CT'!$H$9=H396,OR(LEFT(N396,3)=$W$7,LEFT(O396,3)=$W$7)),"x","")</f>
        <v/>
      </c>
      <c r="X396" s="63" t="str">
        <f>IF(OR(TH!N396=TH!$X$7,O396=TH!$X$7),"x","")</f>
        <v/>
      </c>
      <c r="Y396" s="63" t="str">
        <f>IF(AND(OR(N396="131",O396="131"),H396='131-CT'!$H$9),"x","")</f>
        <v/>
      </c>
      <c r="Z396" s="63"/>
      <c r="AA396" s="63" t="str">
        <f>IF(AND(MONTH(E396)='IN-NX'!$J$5,'IN-NX'!$D$7=D396),"x","")</f>
        <v/>
      </c>
      <c r="AB396" s="63" t="str">
        <f>IF(AND(OR(LEFT(TH!N396,2)="15",LEFT(TH!O396,2)="15"),LEFT(TH!O396,3)&lt;&gt;"111",'152-CT'!$J$8=TH!F396),"x","")</f>
        <v/>
      </c>
      <c r="AC396" s="63" t="str">
        <f>IF(AND(OR(LEFT(TH!N396,2)="15",LEFT(TH!O396,2)="15"),TK!$E$7=TH!F396),"x","")</f>
        <v/>
      </c>
      <c r="AD396" s="63" t="str">
        <f>IF(AND(N396="1521",MONTH(C396)='BK-NL'!$M$11),"x","")</f>
        <v/>
      </c>
    </row>
    <row r="397" spans="1:31" s="1101" customFormat="1" ht="16.5" customHeight="1">
      <c r="A397" s="318" t="str">
        <f>IF(B397&lt;&gt;"",IF(AND(B397='IN-TC'!$S$4,OR(TH!N397="1111",TH!O397="1111")),TH!D397,""),"")</f>
        <v/>
      </c>
      <c r="B397" s="1106" t="str">
        <f t="shared" si="117"/>
        <v/>
      </c>
      <c r="C397" s="301"/>
      <c r="D397" s="301"/>
      <c r="E397" s="301">
        <f t="shared" si="112"/>
        <v>0</v>
      </c>
      <c r="F397" s="303"/>
      <c r="G397" s="988"/>
      <c r="H397" s="303"/>
      <c r="I397" s="385"/>
      <c r="J397" s="969"/>
      <c r="K397" s="385"/>
      <c r="L397" s="392"/>
      <c r="M397" s="970"/>
      <c r="N397" s="304"/>
      <c r="O397" s="304"/>
      <c r="P397" s="63" t="str">
        <f>IF(AND('331-CT'!$E$7=TH!H397,OR(N397="331",O397="331")),"x","")</f>
        <v/>
      </c>
      <c r="Q397" s="63" t="str">
        <f>IF(AND(B397='111'!$L$11,OR($N397=$Q$7,$O397=$Q$7)),"x","")</f>
        <v/>
      </c>
      <c r="R397" s="63" t="str">
        <f>IF(AND($N397=$Q$7,$B397&lt;'111'!$L$11),"x","")</f>
        <v/>
      </c>
      <c r="S397" s="63" t="str">
        <f>IF(AND($O397=$Q$7,$B397&lt;'111'!$L$11),"x","")</f>
        <v/>
      </c>
      <c r="T397" s="63" t="str">
        <f>IF(ISERROR(FIND('112'!$M$9,G397,1)),"",IF((AND(FIND('112'!$M$9,G397,1)&gt;=1,B397='112'!$K$9,OR($N397='112'!$I$6,$O397='112'!$I$6))),"x",""))</f>
        <v/>
      </c>
      <c r="U397" s="63" t="str">
        <f>IF(ISERROR(FIND('112'!$M$9,G397,1)),"",IF((AND(LEFT(G397,2)=LEFT('112'!$M$9,2),B397&lt;'112'!$K$9,$N397='112'!$I$6)),"x",""))</f>
        <v/>
      </c>
      <c r="V397" s="63" t="str">
        <f>IF(ISERROR(FIND('112'!$M$9,G397,1)),"",IF((AND(RIGHT(G397,2)=RIGHT('112'!$M$9,2),B397&lt;'112'!$K$9,$O397='112'!$I$6)),"x",""))</f>
        <v/>
      </c>
      <c r="W397" s="63" t="str">
        <f>IF(AND('341-CT'!$H$9=H397,OR(LEFT(N397,3)=$W$7,LEFT(O397,3)=$W$7)),"x","")</f>
        <v/>
      </c>
      <c r="X397" s="63" t="str">
        <f>IF(OR(TH!N397=TH!$X$7,O397=TH!$X$7),"x","")</f>
        <v/>
      </c>
      <c r="Y397" s="63" t="str">
        <f>IF(AND(OR(N397="131",O397="131"),H397='131-CT'!$H$9),"x","")</f>
        <v/>
      </c>
      <c r="Z397" s="63"/>
      <c r="AA397" s="63" t="str">
        <f>IF(AND(MONTH(E397)='IN-NX'!$J$5,'IN-NX'!$D$7=D397),"x","")</f>
        <v/>
      </c>
      <c r="AB397" s="63" t="str">
        <f>IF(AND(OR(LEFT(TH!N397,2)="15",LEFT(TH!O397,2)="15"),LEFT(TH!O397,3)&lt;&gt;"111",'152-CT'!$J$8=TH!F397),"x","")</f>
        <v/>
      </c>
      <c r="AC397" s="63" t="str">
        <f>IF(AND(OR(LEFT(TH!N397,2)="15",LEFT(TH!O397,2)="15"),TK!$E$7=TH!F397),"x","")</f>
        <v/>
      </c>
      <c r="AD397" s="63" t="str">
        <f>IF(AND(N397="1521",MONTH(C397)='BK-NL'!$M$11),"x","")</f>
        <v/>
      </c>
    </row>
    <row r="398" spans="1:31" s="1101" customFormat="1" ht="16.5" customHeight="1">
      <c r="A398" s="318" t="str">
        <f>IF(B398&lt;&gt;"",IF(AND(B398='IN-TC'!$S$4,OR(TH!N398="1111",TH!O398="1111")),TH!D398,""),"")</f>
        <v/>
      </c>
      <c r="B398" s="1106" t="str">
        <f t="shared" si="117"/>
        <v/>
      </c>
      <c r="C398" s="301"/>
      <c r="D398" s="301"/>
      <c r="E398" s="301">
        <f t="shared" si="112"/>
        <v>0</v>
      </c>
      <c r="F398" s="303"/>
      <c r="G398" s="988"/>
      <c r="H398" s="303"/>
      <c r="I398" s="385"/>
      <c r="J398" s="969"/>
      <c r="K398" s="385"/>
      <c r="L398" s="392"/>
      <c r="M398" s="970"/>
      <c r="N398" s="304"/>
      <c r="O398" s="304"/>
      <c r="P398" s="63" t="str">
        <f>IF(AND('331-CT'!$E$7=TH!H398,OR(N398="331",O398="331")),"x","")</f>
        <v/>
      </c>
      <c r="Q398" s="63" t="str">
        <f>IF(AND(B398='111'!$L$11,OR($N398=$Q$7,$O398=$Q$7)),"x","")</f>
        <v/>
      </c>
      <c r="R398" s="63" t="str">
        <f>IF(AND($N398=$Q$7,$B398&lt;'111'!$L$11),"x","")</f>
        <v/>
      </c>
      <c r="S398" s="63" t="str">
        <f>IF(AND($O398=$Q$7,$B398&lt;'111'!$L$11),"x","")</f>
        <v/>
      </c>
      <c r="T398" s="63" t="str">
        <f>IF(ISERROR(FIND('112'!$M$9,G398,1)),"",IF((AND(FIND('112'!$M$9,G398,1)&gt;=1,B398='112'!$K$9,OR($N398='112'!$I$6,$O398='112'!$I$6))),"x",""))</f>
        <v/>
      </c>
      <c r="U398" s="63" t="str">
        <f>IF(ISERROR(FIND('112'!$M$9,G398,1)),"",IF((AND(LEFT(G398,2)=LEFT('112'!$M$9,2),B398&lt;'112'!$K$9,$N398='112'!$I$6)),"x",""))</f>
        <v/>
      </c>
      <c r="V398" s="63" t="str">
        <f>IF(ISERROR(FIND('112'!$M$9,G398,1)),"",IF((AND(RIGHT(G398,2)=RIGHT('112'!$M$9,2),B398&lt;'112'!$K$9,$O398='112'!$I$6)),"x",""))</f>
        <v/>
      </c>
      <c r="W398" s="63" t="str">
        <f>IF(AND('341-CT'!$H$9=H398,OR(LEFT(N398,3)=$W$7,LEFT(O398,3)=$W$7)),"x","")</f>
        <v/>
      </c>
      <c r="X398" s="63" t="str">
        <f>IF(OR(TH!N398=TH!$X$7,O398=TH!$X$7),"x","")</f>
        <v/>
      </c>
      <c r="Y398" s="63" t="str">
        <f>IF(AND(OR(N398="131",O398="131"),H398='131-CT'!$H$9),"x","")</f>
        <v/>
      </c>
      <c r="Z398" s="63"/>
      <c r="AA398" s="63" t="str">
        <f>IF(AND(MONTH(E398)='IN-NX'!$J$5,'IN-NX'!$D$7=D398),"x","")</f>
        <v/>
      </c>
      <c r="AB398" s="63" t="str">
        <f>IF(AND(OR(LEFT(TH!N398,2)="15",LEFT(TH!O398,2)="15"),LEFT(TH!O398,3)&lt;&gt;"111",'152-CT'!$J$8=TH!F398),"x","")</f>
        <v/>
      </c>
      <c r="AC398" s="63" t="str">
        <f>IF(AND(OR(LEFT(TH!N398,2)="15",LEFT(TH!O398,2)="15"),TK!$E$7=TH!F398),"x","")</f>
        <v/>
      </c>
      <c r="AD398" s="63" t="str">
        <f>IF(AND(N398="1521",MONTH(C398)='BK-NL'!$M$11),"x","")</f>
        <v/>
      </c>
    </row>
    <row r="399" spans="1:31" s="1101" customFormat="1" ht="16.5" customHeight="1">
      <c r="A399" s="318" t="str">
        <f>IF(B399&lt;&gt;"",IF(AND(B399='IN-TC'!$S$4,OR(TH!N399="1111",TH!O399="1111")),TH!D399,""),"")</f>
        <v/>
      </c>
      <c r="B399" s="1106" t="str">
        <f t="shared" si="117"/>
        <v/>
      </c>
      <c r="C399" s="301"/>
      <c r="D399" s="301"/>
      <c r="E399" s="301">
        <f t="shared" si="112"/>
        <v>0</v>
      </c>
      <c r="F399" s="303"/>
      <c r="G399" s="988"/>
      <c r="H399" s="303"/>
      <c r="I399" s="385"/>
      <c r="J399" s="969"/>
      <c r="K399" s="385"/>
      <c r="L399" s="392"/>
      <c r="M399" s="970"/>
      <c r="N399" s="304"/>
      <c r="O399" s="304"/>
      <c r="P399" s="63" t="str">
        <f>IF(AND('331-CT'!$E$7=TH!H399,OR(N399="331",O399="331")),"x","")</f>
        <v/>
      </c>
      <c r="Q399" s="63" t="str">
        <f>IF(AND(B399='111'!$L$11,OR($N399=$Q$7,$O399=$Q$7)),"x","")</f>
        <v/>
      </c>
      <c r="R399" s="63" t="str">
        <f>IF(AND($N399=$Q$7,$B399&lt;'111'!$L$11),"x","")</f>
        <v/>
      </c>
      <c r="S399" s="63" t="str">
        <f>IF(AND($O399=$Q$7,$B399&lt;'111'!$L$11),"x","")</f>
        <v/>
      </c>
      <c r="T399" s="63" t="str">
        <f>IF(ISERROR(FIND('112'!$M$9,G399,1)),"",IF((AND(FIND('112'!$M$9,G399,1)&gt;=1,B399='112'!$K$9,OR($N399='112'!$I$6,$O399='112'!$I$6))),"x",""))</f>
        <v/>
      </c>
      <c r="U399" s="63" t="str">
        <f>IF(ISERROR(FIND('112'!$M$9,G399,1)),"",IF((AND(LEFT(G399,2)=LEFT('112'!$M$9,2),B399&lt;'112'!$K$9,$N399='112'!$I$6)),"x",""))</f>
        <v/>
      </c>
      <c r="V399" s="63" t="str">
        <f>IF(ISERROR(FIND('112'!$M$9,G399,1)),"",IF((AND(RIGHT(G399,2)=RIGHT('112'!$M$9,2),B399&lt;'112'!$K$9,$O399='112'!$I$6)),"x",""))</f>
        <v/>
      </c>
      <c r="W399" s="63" t="str">
        <f>IF(AND('341-CT'!$H$9=H399,OR(LEFT(N399,3)=$W$7,LEFT(O399,3)=$W$7)),"x","")</f>
        <v/>
      </c>
      <c r="X399" s="63" t="str">
        <f>IF(OR(TH!N399=TH!$X$7,O399=TH!$X$7),"x","")</f>
        <v/>
      </c>
      <c r="Y399" s="63" t="str">
        <f>IF(AND(OR(N399="131",O399="131"),H399='131-CT'!$H$9),"x","")</f>
        <v/>
      </c>
      <c r="Z399" s="63"/>
      <c r="AA399" s="63" t="str">
        <f>IF(AND(MONTH(E399)='IN-NX'!$J$5,'IN-NX'!$D$7=D399),"x","")</f>
        <v/>
      </c>
      <c r="AB399" s="63" t="str">
        <f>IF(AND(OR(LEFT(TH!N399,2)="15",LEFT(TH!O399,2)="15"),LEFT(TH!O399,3)&lt;&gt;"111",'152-CT'!$J$8=TH!F399),"x","")</f>
        <v/>
      </c>
      <c r="AC399" s="63" t="str">
        <f>IF(AND(OR(LEFT(TH!N399,2)="15",LEFT(TH!O399,2)="15"),TK!$E$7=TH!F399),"x","")</f>
        <v/>
      </c>
      <c r="AD399" s="63" t="str">
        <f>IF(AND(N399="1521",MONTH(C399)='BK-NL'!$M$11),"x","")</f>
        <v/>
      </c>
    </row>
    <row r="400" spans="1:31" s="1101" customFormat="1" ht="16.5" customHeight="1">
      <c r="A400" s="318" t="str">
        <f>IF(B400&lt;&gt;"",IF(AND(B400='IN-TC'!$S$4,OR(TH!N400="1111",TH!O400="1111")),TH!D400,""),"")</f>
        <v/>
      </c>
      <c r="B400" s="1106" t="str">
        <f t="shared" si="117"/>
        <v/>
      </c>
      <c r="C400" s="301"/>
      <c r="D400" s="301"/>
      <c r="E400" s="301">
        <f t="shared" si="112"/>
        <v>0</v>
      </c>
      <c r="F400" s="303"/>
      <c r="G400" s="988"/>
      <c r="H400" s="303"/>
      <c r="I400" s="385"/>
      <c r="J400" s="969"/>
      <c r="K400" s="385"/>
      <c r="L400" s="392"/>
      <c r="M400" s="970"/>
      <c r="N400" s="304"/>
      <c r="O400" s="304"/>
      <c r="P400" s="63" t="str">
        <f>IF(AND('331-CT'!$E$7=TH!H400,OR(N400="331",O400="331")),"x","")</f>
        <v/>
      </c>
      <c r="Q400" s="63" t="str">
        <f>IF(AND(B400='111'!$L$11,OR($N400=$Q$7,$O400=$Q$7)),"x","")</f>
        <v/>
      </c>
      <c r="R400" s="63" t="str">
        <f>IF(AND($N400=$Q$7,$B400&lt;'111'!$L$11),"x","")</f>
        <v/>
      </c>
      <c r="S400" s="63" t="str">
        <f>IF(AND($O400=$Q$7,$B400&lt;'111'!$L$11),"x","")</f>
        <v/>
      </c>
      <c r="T400" s="63" t="str">
        <f>IF(ISERROR(FIND('112'!$M$9,G400,1)),"",IF((AND(FIND('112'!$M$9,G400,1)&gt;=1,B400='112'!$K$9,OR($N400='112'!$I$6,$O400='112'!$I$6))),"x",""))</f>
        <v/>
      </c>
      <c r="U400" s="63" t="str">
        <f>IF(ISERROR(FIND('112'!$M$9,G400,1)),"",IF((AND(LEFT(G400,2)=LEFT('112'!$M$9,2),B400&lt;'112'!$K$9,$N400='112'!$I$6)),"x",""))</f>
        <v/>
      </c>
      <c r="V400" s="63" t="str">
        <f>IF(ISERROR(FIND('112'!$M$9,G400,1)),"",IF((AND(RIGHT(G400,2)=RIGHT('112'!$M$9,2),B400&lt;'112'!$K$9,$O400='112'!$I$6)),"x",""))</f>
        <v/>
      </c>
      <c r="W400" s="63" t="str">
        <f>IF(AND('341-CT'!$H$9=H400,OR(LEFT(N400,3)=$W$7,LEFT(O400,3)=$W$7)),"x","")</f>
        <v/>
      </c>
      <c r="X400" s="63" t="str">
        <f>IF(OR(TH!N400=TH!$X$7,O400=TH!$X$7),"x","")</f>
        <v/>
      </c>
      <c r="Y400" s="63" t="str">
        <f>IF(AND(OR(N400="131",O400="131"),H400='131-CT'!$H$9),"x","")</f>
        <v/>
      </c>
      <c r="Z400" s="63"/>
      <c r="AA400" s="63" t="str">
        <f>IF(AND(MONTH(E400)='IN-NX'!$J$5,'IN-NX'!$D$7=D400),"x","")</f>
        <v/>
      </c>
      <c r="AB400" s="63" t="str">
        <f>IF(AND(OR(LEFT(TH!N400,2)="15",LEFT(TH!O400,2)="15"),LEFT(TH!O400,3)&lt;&gt;"111",'152-CT'!$J$8=TH!F400),"x","")</f>
        <v/>
      </c>
      <c r="AC400" s="63" t="str">
        <f>IF(AND(OR(LEFT(TH!N400,2)="15",LEFT(TH!O400,2)="15"),TK!$E$7=TH!F400),"x","")</f>
        <v/>
      </c>
      <c r="AD400" s="63" t="str">
        <f>IF(AND(N400="1521",MONTH(C400)='BK-NL'!$M$11),"x","")</f>
        <v/>
      </c>
    </row>
    <row r="401" spans="1:30" s="1101" customFormat="1" ht="16.5" customHeight="1">
      <c r="A401" s="318" t="str">
        <f>IF(B401&lt;&gt;"",IF(AND(B401='IN-TC'!$S$4,OR(TH!N401="1111",TH!O401="1111")),TH!D401,""),"")</f>
        <v/>
      </c>
      <c r="B401" s="1106" t="str">
        <f t="shared" si="117"/>
        <v/>
      </c>
      <c r="C401" s="301"/>
      <c r="D401" s="301"/>
      <c r="E401" s="301">
        <f t="shared" si="112"/>
        <v>0</v>
      </c>
      <c r="F401" s="303"/>
      <c r="G401" s="988"/>
      <c r="H401" s="303"/>
      <c r="I401" s="385"/>
      <c r="J401" s="969"/>
      <c r="K401" s="385"/>
      <c r="L401" s="392"/>
      <c r="M401" s="970"/>
      <c r="N401" s="304"/>
      <c r="O401" s="304"/>
      <c r="P401" s="63" t="str">
        <f>IF(AND('331-CT'!$E$7=TH!H401,OR(N401="331",O401="331")),"x","")</f>
        <v/>
      </c>
      <c r="Q401" s="63" t="str">
        <f>IF(AND(B401='111'!$L$11,OR($N401=$Q$7,$O401=$Q$7)),"x","")</f>
        <v/>
      </c>
      <c r="R401" s="63" t="str">
        <f>IF(AND($N401=$Q$7,$B401&lt;'111'!$L$11),"x","")</f>
        <v/>
      </c>
      <c r="S401" s="63" t="str">
        <f>IF(AND($O401=$Q$7,$B401&lt;'111'!$L$11),"x","")</f>
        <v/>
      </c>
      <c r="T401" s="63" t="str">
        <f>IF(ISERROR(FIND('112'!$M$9,G401,1)),"",IF((AND(FIND('112'!$M$9,G401,1)&gt;=1,B401='112'!$K$9,OR($N401='112'!$I$6,$O401='112'!$I$6))),"x",""))</f>
        <v/>
      </c>
      <c r="U401" s="63" t="str">
        <f>IF(ISERROR(FIND('112'!$M$9,G401,1)),"",IF((AND(LEFT(G401,2)=LEFT('112'!$M$9,2),B401&lt;'112'!$K$9,$N401='112'!$I$6)),"x",""))</f>
        <v/>
      </c>
      <c r="V401" s="63" t="str">
        <f>IF(ISERROR(FIND('112'!$M$9,G401,1)),"",IF((AND(RIGHT(G401,2)=RIGHT('112'!$M$9,2),B401&lt;'112'!$K$9,$O401='112'!$I$6)),"x",""))</f>
        <v/>
      </c>
      <c r="W401" s="63" t="str">
        <f>IF(AND('341-CT'!$H$9=H401,OR(LEFT(N401,3)=$W$7,LEFT(O401,3)=$W$7)),"x","")</f>
        <v/>
      </c>
      <c r="X401" s="63" t="str">
        <f>IF(OR(TH!N401=TH!$X$7,O401=TH!$X$7),"x","")</f>
        <v/>
      </c>
      <c r="Y401" s="63" t="str">
        <f>IF(AND(OR(N401="131",O401="131"),H401='131-CT'!$H$9),"x","")</f>
        <v/>
      </c>
      <c r="Z401" s="63"/>
      <c r="AA401" s="63" t="str">
        <f>IF(AND(MONTH(E401)='IN-NX'!$J$5,'IN-NX'!$D$7=D401),"x","")</f>
        <v/>
      </c>
      <c r="AB401" s="63" t="str">
        <f>IF(AND(OR(LEFT(TH!N401,2)="15",LEFT(TH!O401,2)="15"),LEFT(TH!O401,3)&lt;&gt;"111",'152-CT'!$J$8=TH!F401),"x","")</f>
        <v/>
      </c>
      <c r="AC401" s="63" t="str">
        <f>IF(AND(OR(LEFT(TH!N401,2)="15",LEFT(TH!O401,2)="15"),TK!$E$7=TH!F401),"x","")</f>
        <v/>
      </c>
      <c r="AD401" s="63" t="str">
        <f>IF(AND(N401="1521",MONTH(C401)='BK-NL'!$M$11),"x","")</f>
        <v/>
      </c>
    </row>
    <row r="402" spans="1:30" s="1101" customFormat="1" ht="16.5" customHeight="1">
      <c r="A402" s="318" t="str">
        <f>IF(B402&lt;&gt;"",IF(AND(B402='IN-TC'!$S$4,OR(TH!N402="1111",TH!O402="1111")),TH!D402,""),"")</f>
        <v/>
      </c>
      <c r="B402" s="1106" t="str">
        <f t="shared" si="117"/>
        <v/>
      </c>
      <c r="C402" s="301"/>
      <c r="D402" s="301"/>
      <c r="E402" s="301">
        <f t="shared" si="112"/>
        <v>0</v>
      </c>
      <c r="F402" s="303"/>
      <c r="G402" s="988"/>
      <c r="H402" s="303"/>
      <c r="I402" s="385"/>
      <c r="J402" s="969"/>
      <c r="K402" s="385"/>
      <c r="L402" s="392"/>
      <c r="M402" s="970"/>
      <c r="N402" s="304"/>
      <c r="O402" s="304"/>
      <c r="P402" s="63" t="str">
        <f>IF(AND('331-CT'!$E$7=TH!H402,OR(N402="331",O402="331")),"x","")</f>
        <v/>
      </c>
      <c r="Q402" s="63" t="str">
        <f>IF(AND(B402='111'!$L$11,OR($N402=$Q$7,$O402=$Q$7)),"x","")</f>
        <v/>
      </c>
      <c r="R402" s="63" t="str">
        <f>IF(AND($N402=$Q$7,$B402&lt;'111'!$L$11),"x","")</f>
        <v/>
      </c>
      <c r="S402" s="63" t="str">
        <f>IF(AND($O402=$Q$7,$B402&lt;'111'!$L$11),"x","")</f>
        <v/>
      </c>
      <c r="T402" s="63" t="str">
        <f>IF(ISERROR(FIND('112'!$M$9,G402,1)),"",IF((AND(FIND('112'!$M$9,G402,1)&gt;=1,B402='112'!$K$9,OR($N402='112'!$I$6,$O402='112'!$I$6))),"x",""))</f>
        <v/>
      </c>
      <c r="U402" s="63" t="str">
        <f>IF(ISERROR(FIND('112'!$M$9,G402,1)),"",IF((AND(LEFT(G402,2)=LEFT('112'!$M$9,2),B402&lt;'112'!$K$9,$N402='112'!$I$6)),"x",""))</f>
        <v/>
      </c>
      <c r="V402" s="63" t="str">
        <f>IF(ISERROR(FIND('112'!$M$9,G402,1)),"",IF((AND(RIGHT(G402,2)=RIGHT('112'!$M$9,2),B402&lt;'112'!$K$9,$O402='112'!$I$6)),"x",""))</f>
        <v/>
      </c>
      <c r="W402" s="63" t="str">
        <f>IF(AND('341-CT'!$H$9=H402,OR(LEFT(N402,3)=$W$7,LEFT(O402,3)=$W$7)),"x","")</f>
        <v/>
      </c>
      <c r="X402" s="63" t="str">
        <f>IF(OR(TH!N402=TH!$X$7,O402=TH!$X$7),"x","")</f>
        <v/>
      </c>
      <c r="Y402" s="63" t="str">
        <f>IF(AND(OR(N402="131",O402="131"),H402='131-CT'!$H$9),"x","")</f>
        <v/>
      </c>
      <c r="Z402" s="63"/>
      <c r="AA402" s="63" t="str">
        <f>IF(AND(MONTH(E402)='IN-NX'!$J$5,'IN-NX'!$D$7=D402),"x","")</f>
        <v/>
      </c>
      <c r="AB402" s="63" t="str">
        <f>IF(AND(OR(LEFT(TH!N402,2)="15",LEFT(TH!O402,2)="15"),LEFT(TH!O402,3)&lt;&gt;"111",'152-CT'!$J$8=TH!F402),"x","")</f>
        <v/>
      </c>
      <c r="AC402" s="63" t="str">
        <f>IF(AND(OR(LEFT(TH!N402,2)="15",LEFT(TH!O402,2)="15"),TK!$E$7=TH!F402),"x","")</f>
        <v/>
      </c>
      <c r="AD402" s="63" t="str">
        <f>IF(AND(N402="1521",MONTH(C402)='BK-NL'!$M$11),"x","")</f>
        <v/>
      </c>
    </row>
    <row r="403" spans="1:30" ht="16.5" customHeight="1">
      <c r="A403" s="318" t="str">
        <f>IF(B403&lt;&gt;"",IF(AND(B403='IN-TC'!$S$4,OR(TH!N403="1111",TH!O403="1111")),TH!D403,""),"")</f>
        <v/>
      </c>
      <c r="B403" s="60" t="str">
        <f t="shared" ref="B403:B458" si="120">IF(C403&lt;&gt;"",MONTH(C403),"")</f>
        <v/>
      </c>
      <c r="C403" s="974"/>
      <c r="D403" s="974"/>
      <c r="E403" s="301">
        <f t="shared" si="112"/>
        <v>0</v>
      </c>
      <c r="F403" s="975"/>
      <c r="G403" s="976"/>
      <c r="H403" s="759"/>
      <c r="I403" s="383"/>
      <c r="J403" s="977"/>
      <c r="K403" s="383"/>
      <c r="L403" s="390"/>
      <c r="M403" s="978"/>
      <c r="N403" s="979"/>
      <c r="O403" s="979"/>
      <c r="P403" s="79" t="str">
        <f>IF(AND('331-CT'!$E$7=TH!H403,OR(N403="331",O403="331")),"x","")</f>
        <v/>
      </c>
      <c r="Q403" s="79" t="str">
        <f>IF(AND(B403='111'!$L$11,OR($N403=$Q$7,$O403=$Q$7)),"x","")</f>
        <v/>
      </c>
      <c r="R403" s="79" t="str">
        <f>IF(AND($N403=$Q$7,$B403&lt;'111'!$L$11),"x","")</f>
        <v/>
      </c>
      <c r="S403" s="79" t="str">
        <f>IF(AND($O403=$Q$7,$B403&lt;'111'!$L$11),"x","")</f>
        <v/>
      </c>
      <c r="T403" s="79" t="str">
        <f>IF(ISERROR(FIND('112'!$M$9,G403,1)),"",IF((AND(FIND('112'!$M$9,G403,1)&gt;=1,B403='112'!$K$9,OR($N403='112'!$I$6,$O403='112'!$I$6))),"x",""))</f>
        <v/>
      </c>
      <c r="U403" s="79" t="str">
        <f>IF(ISERROR(FIND('112'!$M$9,G403,1)),"",IF((AND(LEFT(G403,2)=LEFT('112'!$M$9,2),B403&lt;'112'!$K$9,$N403='112'!$I$6)),"x",""))</f>
        <v/>
      </c>
      <c r="V403" s="79" t="str">
        <f>IF(ISERROR(FIND('112'!$M$9,G403,1)),"",IF((AND(RIGHT(G403,2)=RIGHT('112'!$M$9,2),B403&lt;'112'!$K$9,$O403='112'!$I$6)),"x",""))</f>
        <v/>
      </c>
      <c r="W403" s="79" t="str">
        <f>IF(AND('341-CT'!$H$9=H403,OR(LEFT(N403,3)=$W$7,LEFT(O403,3)=$W$7)),"x","")</f>
        <v/>
      </c>
      <c r="X403" s="79" t="str">
        <f>IF(OR(TH!N403=TH!$X$7,O403=TH!$X$7),"x","")</f>
        <v/>
      </c>
      <c r="Y403" s="79" t="str">
        <f>IF(AND(OR(N403="131",O403="131"),H403='131-CT'!$H$9),"x","")</f>
        <v/>
      </c>
      <c r="Z403" s="79"/>
      <c r="AA403" s="79" t="str">
        <f>IF(AND(MONTH(E403)='IN-NX'!$J$5,'IN-NX'!$D$7=D403),"x","")</f>
        <v/>
      </c>
      <c r="AB403" s="79" t="str">
        <f>IF(AND(OR(LEFT(TH!N403,2)="15",LEFT(TH!O403,2)="15"),LEFT(TH!O403,3)&lt;&gt;"111",'152-CT'!$J$8=TH!F403),"x","")</f>
        <v/>
      </c>
      <c r="AC403" s="79" t="str">
        <f>IF(AND(OR(LEFT(TH!N403,2)="15",LEFT(TH!O403,2)="15"),TK!$E$7=TH!F403),"x","")</f>
        <v/>
      </c>
      <c r="AD403" s="79" t="str">
        <f>IF(AND(N403="1521",MONTH(C403)='BK-NL'!$M$11),"x","")</f>
        <v/>
      </c>
    </row>
    <row r="404" spans="1:30" s="1102" customFormat="1" ht="16.5" customHeight="1">
      <c r="A404" s="318" t="str">
        <f>IF(B404&lt;&gt;"",IF(AND(B404='IN-TC'!$S$4,OR(TH!N404="1111",TH!O404="1111")),TH!D404,""),"")</f>
        <v/>
      </c>
      <c r="B404" s="60" t="str">
        <f t="shared" si="120"/>
        <v/>
      </c>
      <c r="C404" s="998"/>
      <c r="D404" s="998"/>
      <c r="E404" s="301">
        <f t="shared" si="112"/>
        <v>0</v>
      </c>
      <c r="F404" s="999"/>
      <c r="G404" s="1003"/>
      <c r="H404" s="997"/>
      <c r="I404" s="984"/>
      <c r="J404" s="1000"/>
      <c r="K404" s="984"/>
      <c r="L404" s="983"/>
      <c r="M404" s="985"/>
      <c r="N404" s="1001"/>
      <c r="O404" s="1001"/>
      <c r="P404" s="79" t="str">
        <f>IF(AND('331-CT'!$E$7=TH!H404,OR(N404="331",O404="331")),"x","")</f>
        <v/>
      </c>
      <c r="Q404" s="79" t="str">
        <f>IF(AND(B404='111'!$L$11,OR($N404=$Q$7,$O404=$Q$7)),"x","")</f>
        <v/>
      </c>
      <c r="R404" s="79" t="str">
        <f>IF(AND($N404=$Q$7,$B404&lt;'111'!$L$11),"x","")</f>
        <v/>
      </c>
      <c r="S404" s="79" t="str">
        <f>IF(AND($O404=$Q$7,$B404&lt;'111'!$L$11),"x","")</f>
        <v/>
      </c>
      <c r="T404" s="79" t="str">
        <f>IF(ISERROR(FIND('112'!$M$9,G404,1)),"",IF((AND(FIND('112'!$M$9,G404,1)&gt;=1,B404='112'!$K$9,OR($N404='112'!$I$6,$O404='112'!$I$6))),"x",""))</f>
        <v/>
      </c>
      <c r="U404" s="79" t="str">
        <f>IF(ISERROR(FIND('112'!$M$9,G404,1)),"",IF((AND(LEFT(G404,2)=LEFT('112'!$M$9,2),B404&lt;'112'!$K$9,$N404='112'!$I$6)),"x",""))</f>
        <v/>
      </c>
      <c r="V404" s="79" t="str">
        <f>IF(ISERROR(FIND('112'!$M$9,G404,1)),"",IF((AND(RIGHT(G404,2)=RIGHT('112'!$M$9,2),B404&lt;'112'!$K$9,$O404='112'!$I$6)),"x",""))</f>
        <v/>
      </c>
      <c r="W404" s="79" t="str">
        <f>IF(AND('341-CT'!$H$9=H404,OR(LEFT(N404,3)=$W$7,LEFT(O404,3)=$W$7)),"x","")</f>
        <v/>
      </c>
      <c r="X404" s="79" t="str">
        <f>IF(OR(TH!N404=TH!$X$7,O404=TH!$X$7),"x","")</f>
        <v/>
      </c>
      <c r="Y404" s="79" t="str">
        <f>IF(AND(OR(N404="131",O404="131"),H404='131-CT'!$H$9),"x","")</f>
        <v/>
      </c>
      <c r="Z404" s="79"/>
      <c r="AA404" s="79" t="str">
        <f>IF(AND(MONTH(E404)='IN-NX'!$J$5,'IN-NX'!$D$7=D404),"x","")</f>
        <v/>
      </c>
      <c r="AB404" s="79" t="str">
        <f>IF(AND(OR(LEFT(TH!N404,2)="15",LEFT(TH!O404,2)="15"),LEFT(TH!O404,3)&lt;&gt;"111",'152-CT'!$J$8=TH!F404),"x","")</f>
        <v/>
      </c>
      <c r="AC404" s="79" t="str">
        <f>IF(AND(OR(LEFT(TH!N404,2)="15",LEFT(TH!O404,2)="15"),TK!$E$7=TH!F404),"x","")</f>
        <v/>
      </c>
      <c r="AD404" s="79" t="str">
        <f>IF(AND(N404="1521",MONTH(C404)='BK-NL'!$M$11),"x","")</f>
        <v/>
      </c>
    </row>
    <row r="405" spans="1:30" ht="16.5" customHeight="1">
      <c r="A405" s="318" t="str">
        <f>IF(B405&lt;&gt;"",IF(AND(B405='IN-TC'!$S$4,OR(TH!N405="1111",TH!O405="1111")),TH!D405,""),"")</f>
        <v/>
      </c>
      <c r="B405" s="60" t="str">
        <f t="shared" si="120"/>
        <v/>
      </c>
      <c r="C405" s="974"/>
      <c r="D405" s="974"/>
      <c r="E405" s="301">
        <f t="shared" si="112"/>
        <v>0</v>
      </c>
      <c r="F405" s="975"/>
      <c r="G405" s="976"/>
      <c r="H405" s="759"/>
      <c r="I405" s="383"/>
      <c r="J405" s="977"/>
      <c r="K405" s="383"/>
      <c r="L405" s="390"/>
      <c r="M405" s="978"/>
      <c r="N405" s="979"/>
      <c r="O405" s="979"/>
      <c r="P405" s="79" t="str">
        <f>IF(AND('331-CT'!$E$7=TH!H405,OR(N405="331",O405="331")),"x","")</f>
        <v/>
      </c>
      <c r="Q405" s="79" t="str">
        <f>IF(AND(B405='111'!$L$11,OR($N405=$Q$7,$O405=$Q$7)),"x","")</f>
        <v/>
      </c>
      <c r="R405" s="79" t="str">
        <f>IF(AND($N405=$Q$7,$B405&lt;'111'!$L$11),"x","")</f>
        <v/>
      </c>
      <c r="S405" s="79" t="str">
        <f>IF(AND($O405=$Q$7,$B405&lt;'111'!$L$11),"x","")</f>
        <v/>
      </c>
      <c r="T405" s="79" t="str">
        <f>IF(ISERROR(FIND('112'!$M$9,G405,1)),"",IF((AND(FIND('112'!$M$9,G405,1)&gt;=1,B405='112'!$K$9,OR($N405='112'!$I$6,$O405='112'!$I$6))),"x",""))</f>
        <v/>
      </c>
      <c r="U405" s="79" t="str">
        <f>IF(ISERROR(FIND('112'!$M$9,G405,1)),"",IF((AND(LEFT(G405,2)=LEFT('112'!$M$9,2),B405&lt;'112'!$K$9,$N405='112'!$I$6)),"x",""))</f>
        <v/>
      </c>
      <c r="V405" s="79" t="str">
        <f>IF(ISERROR(FIND('112'!$M$9,G405,1)),"",IF((AND(RIGHT(G405,2)=RIGHT('112'!$M$9,2),B405&lt;'112'!$K$9,$O405='112'!$I$6)),"x",""))</f>
        <v/>
      </c>
      <c r="W405" s="79" t="str">
        <f>IF(AND('341-CT'!$H$9=H405,OR(LEFT(N405,3)=$W$7,LEFT(O405,3)=$W$7)),"x","")</f>
        <v/>
      </c>
      <c r="X405" s="79" t="str">
        <f>IF(OR(TH!N405=TH!$X$7,O405=TH!$X$7),"x","")</f>
        <v/>
      </c>
      <c r="Y405" s="79" t="str">
        <f>IF(AND(OR(N405="131",O405="131"),H405='131-CT'!$H$9),"x","")</f>
        <v/>
      </c>
      <c r="Z405" s="79"/>
      <c r="AA405" s="79" t="str">
        <f>IF(AND(MONTH(E405)='IN-NX'!$J$5,'IN-NX'!$D$7=D405),"x","")</f>
        <v/>
      </c>
      <c r="AB405" s="79" t="str">
        <f>IF(AND(OR(LEFT(TH!N405,2)="15",LEFT(TH!O405,2)="15"),LEFT(TH!O405,3)&lt;&gt;"111",'152-CT'!$J$8=TH!F405),"x","")</f>
        <v/>
      </c>
      <c r="AC405" s="79" t="str">
        <f>IF(AND(OR(LEFT(TH!N405,2)="15",LEFT(TH!O405,2)="15"),TK!$E$7=TH!F405),"x","")</f>
        <v/>
      </c>
      <c r="AD405" s="79" t="str">
        <f>IF(AND(N405="1521",MONTH(C405)='BK-NL'!$M$11),"x","")</f>
        <v/>
      </c>
    </row>
    <row r="406" spans="1:30" ht="16.5" customHeight="1">
      <c r="A406" s="318" t="str">
        <f>IF(B406&lt;&gt;"",IF(AND(B406='IN-TC'!$S$4,OR(TH!N406="1111",TH!O406="1111")),TH!D406,""),"")</f>
        <v/>
      </c>
      <c r="B406" s="60" t="str">
        <f t="shared" si="120"/>
        <v/>
      </c>
      <c r="C406" s="974"/>
      <c r="D406" s="974"/>
      <c r="E406" s="301">
        <f t="shared" si="112"/>
        <v>0</v>
      </c>
      <c r="F406" s="975"/>
      <c r="G406" s="976"/>
      <c r="H406" s="305"/>
      <c r="I406" s="383"/>
      <c r="J406" s="977"/>
      <c r="K406" s="383"/>
      <c r="L406" s="390"/>
      <c r="M406" s="978"/>
      <c r="N406" s="979"/>
      <c r="O406" s="979"/>
      <c r="P406" s="79" t="str">
        <f>IF(AND('331-CT'!$E$7=TH!H406,OR(N406="331",O406="331")),"x","")</f>
        <v/>
      </c>
      <c r="Q406" s="79" t="str">
        <f>IF(AND(B406='111'!$L$11,OR($N406=$Q$7,$O406=$Q$7)),"x","")</f>
        <v/>
      </c>
      <c r="R406" s="79" t="str">
        <f>IF(AND($N406=$Q$7,$B406&lt;'111'!$L$11),"x","")</f>
        <v/>
      </c>
      <c r="S406" s="79" t="str">
        <f>IF(AND($O406=$Q$7,$B406&lt;'111'!$L$11),"x","")</f>
        <v/>
      </c>
      <c r="T406" s="79" t="str">
        <f>IF(ISERROR(FIND('112'!$M$9,G406,1)),"",IF((AND(FIND('112'!$M$9,G406,1)&gt;=1,B406='112'!$K$9,OR($N406='112'!$I$6,$O406='112'!$I$6))),"x",""))</f>
        <v/>
      </c>
      <c r="U406" s="79" t="str">
        <f>IF(ISERROR(FIND('112'!$M$9,G406,1)),"",IF((AND(LEFT(G406,2)=LEFT('112'!$M$9,2),B406&lt;'112'!$K$9,$N406='112'!$I$6)),"x",""))</f>
        <v/>
      </c>
      <c r="V406" s="79" t="str">
        <f>IF(ISERROR(FIND('112'!$M$9,G406,1)),"",IF((AND(RIGHT(G406,2)=RIGHT('112'!$M$9,2),B406&lt;'112'!$K$9,$O406='112'!$I$6)),"x",""))</f>
        <v/>
      </c>
      <c r="W406" s="79" t="str">
        <f>IF(AND('341-CT'!$H$9=H406,OR(LEFT(N406,3)=$W$7,LEFT(O406,3)=$W$7)),"x","")</f>
        <v/>
      </c>
      <c r="X406" s="79" t="str">
        <f>IF(OR(TH!N406=TH!$X$7,O406=TH!$X$7),"x","")</f>
        <v/>
      </c>
      <c r="Y406" s="79" t="str">
        <f>IF(AND(OR(N406="131",O406="131"),H406='131-CT'!$H$9),"x","")</f>
        <v/>
      </c>
      <c r="Z406" s="79"/>
      <c r="AA406" s="79" t="str">
        <f>IF(AND(MONTH(E406)='IN-NX'!$J$5,'IN-NX'!$D$7=D406),"x","")</f>
        <v/>
      </c>
      <c r="AB406" s="79" t="str">
        <f>IF(AND(OR(LEFT(TH!N406,2)="15",LEFT(TH!O406,2)="15"),LEFT(TH!O406,3)&lt;&gt;"111",'152-CT'!$J$8=TH!F406),"x","")</f>
        <v/>
      </c>
      <c r="AC406" s="79" t="str">
        <f>IF(AND(OR(LEFT(TH!N406,2)="15",LEFT(TH!O406,2)="15"),TK!$E$7=TH!F406),"x","")</f>
        <v/>
      </c>
      <c r="AD406" s="79" t="str">
        <f>IF(AND(N406="1521",MONTH(C406)='BK-NL'!$M$11),"x","")</f>
        <v/>
      </c>
    </row>
    <row r="407" spans="1:30" ht="16.5" customHeight="1">
      <c r="A407" s="318" t="str">
        <f>IF(B407&lt;&gt;"",IF(AND(B407='IN-TC'!$S$4,OR(TH!N407="1111",TH!O407="1111")),TH!D407,""),"")</f>
        <v/>
      </c>
      <c r="B407" s="60" t="str">
        <f t="shared" si="120"/>
        <v/>
      </c>
      <c r="C407" s="974"/>
      <c r="D407" s="974"/>
      <c r="E407" s="301">
        <f t="shared" si="112"/>
        <v>0</v>
      </c>
      <c r="F407" s="975"/>
      <c r="G407" s="976"/>
      <c r="H407" s="305"/>
      <c r="I407" s="383"/>
      <c r="J407" s="977"/>
      <c r="K407" s="383"/>
      <c r="L407" s="390"/>
      <c r="M407" s="978"/>
      <c r="N407" s="979"/>
      <c r="O407" s="979"/>
      <c r="P407" s="79" t="str">
        <f>IF(AND('331-CT'!$E$7=TH!H407,OR(N407="331",O407="331")),"x","")</f>
        <v/>
      </c>
      <c r="Q407" s="79" t="str">
        <f>IF(AND(B407='111'!$L$11,OR($N407=$Q$7,$O407=$Q$7)),"x","")</f>
        <v/>
      </c>
      <c r="R407" s="79" t="str">
        <f>IF(AND($N407=$Q$7,$B407&lt;'111'!$L$11),"x","")</f>
        <v/>
      </c>
      <c r="S407" s="79" t="str">
        <f>IF(AND($O407=$Q$7,$B407&lt;'111'!$L$11),"x","")</f>
        <v/>
      </c>
      <c r="T407" s="79" t="str">
        <f>IF(ISERROR(FIND('112'!$M$9,G407,1)),"",IF((AND(FIND('112'!$M$9,G407,1)&gt;=1,B407='112'!$K$9,OR($N407='112'!$I$6,$O407='112'!$I$6))),"x",""))</f>
        <v/>
      </c>
      <c r="U407" s="79" t="str">
        <f>IF(ISERROR(FIND('112'!$M$9,G407,1)),"",IF((AND(LEFT(G407,2)=LEFT('112'!$M$9,2),B407&lt;'112'!$K$9,$N407='112'!$I$6)),"x",""))</f>
        <v/>
      </c>
      <c r="V407" s="79" t="str">
        <f>IF(ISERROR(FIND('112'!$M$9,G407,1)),"",IF((AND(RIGHT(G407,2)=RIGHT('112'!$M$9,2),B407&lt;'112'!$K$9,$O407='112'!$I$6)),"x",""))</f>
        <v/>
      </c>
      <c r="W407" s="79" t="str">
        <f>IF(AND('341-CT'!$H$9=H407,OR(LEFT(N407,3)=$W$7,LEFT(O407,3)=$W$7)),"x","")</f>
        <v/>
      </c>
      <c r="X407" s="79" t="str">
        <f>IF(OR(TH!N407=TH!$X$7,O407=TH!$X$7),"x","")</f>
        <v/>
      </c>
      <c r="Y407" s="79" t="str">
        <f>IF(AND(OR(N407="131",O407="131"),H407='131-CT'!$H$9),"x","")</f>
        <v/>
      </c>
      <c r="Z407" s="79"/>
      <c r="AA407" s="79" t="str">
        <f>IF(AND(MONTH(E407)='IN-NX'!$J$5,'IN-NX'!$D$7=D407),"x","")</f>
        <v/>
      </c>
      <c r="AB407" s="79" t="str">
        <f>IF(AND(OR(LEFT(TH!N407,2)="15",LEFT(TH!O407,2)="15"),LEFT(TH!O407,3)&lt;&gt;"111",'152-CT'!$J$8=TH!F407),"x","")</f>
        <v/>
      </c>
      <c r="AC407" s="79" t="str">
        <f>IF(AND(OR(LEFT(TH!N407,2)="15",LEFT(TH!O407,2)="15"),TK!$E$7=TH!F407),"x","")</f>
        <v/>
      </c>
      <c r="AD407" s="79" t="str">
        <f>IF(AND(N407="1521",MONTH(C407)='BK-NL'!$M$11),"x","")</f>
        <v/>
      </c>
    </row>
    <row r="408" spans="1:30" ht="16.5" customHeight="1">
      <c r="A408" s="318" t="str">
        <f>IF(B408&lt;&gt;"",IF(AND(B408='IN-TC'!$S$4,OR(TH!N408="1111",TH!O408="1111")),TH!D408,""),"")</f>
        <v/>
      </c>
      <c r="B408" s="60" t="str">
        <f t="shared" si="120"/>
        <v/>
      </c>
      <c r="C408" s="974"/>
      <c r="D408" s="974"/>
      <c r="E408" s="301">
        <f t="shared" si="112"/>
        <v>0</v>
      </c>
      <c r="F408" s="975"/>
      <c r="G408" s="976"/>
      <c r="H408" s="759"/>
      <c r="I408" s="383"/>
      <c r="J408" s="977"/>
      <c r="K408" s="383"/>
      <c r="L408" s="390"/>
      <c r="M408" s="978"/>
      <c r="N408" s="979"/>
      <c r="O408" s="979"/>
      <c r="P408" s="79" t="str">
        <f>IF(AND('331-CT'!$E$7=TH!H408,OR(N408="331",O408="331")),"x","")</f>
        <v/>
      </c>
      <c r="Q408" s="79" t="str">
        <f>IF(AND(B408='111'!$L$11,OR($N408=$Q$7,$O408=$Q$7)),"x","")</f>
        <v/>
      </c>
      <c r="R408" s="79" t="str">
        <f>IF(AND($N408=$Q$7,$B408&lt;'111'!$L$11),"x","")</f>
        <v/>
      </c>
      <c r="S408" s="79" t="str">
        <f>IF(AND($O408=$Q$7,$B408&lt;'111'!$L$11),"x","")</f>
        <v/>
      </c>
      <c r="T408" s="79" t="str">
        <f>IF(ISERROR(FIND('112'!$M$9,G408,1)),"",IF((AND(FIND('112'!$M$9,G408,1)&gt;=1,B408='112'!$K$9,OR($N408='112'!$I$6,$O408='112'!$I$6))),"x",""))</f>
        <v/>
      </c>
      <c r="U408" s="79" t="str">
        <f>IF(ISERROR(FIND('112'!$M$9,G408,1)),"",IF((AND(LEFT(G408,2)=LEFT('112'!$M$9,2),B408&lt;'112'!$K$9,$N408='112'!$I$6)),"x",""))</f>
        <v/>
      </c>
      <c r="V408" s="79" t="str">
        <f>IF(ISERROR(FIND('112'!$M$9,G408,1)),"",IF((AND(RIGHT(G408,2)=RIGHT('112'!$M$9,2),B408&lt;'112'!$K$9,$O408='112'!$I$6)),"x",""))</f>
        <v/>
      </c>
      <c r="W408" s="79" t="str">
        <f>IF(AND('341-CT'!$H$9=H408,OR(LEFT(N408,3)=$W$7,LEFT(O408,3)=$W$7)),"x","")</f>
        <v/>
      </c>
      <c r="X408" s="79" t="str">
        <f>IF(OR(TH!N408=TH!$X$7,O408=TH!$X$7),"x","")</f>
        <v/>
      </c>
      <c r="Y408" s="79" t="str">
        <f>IF(AND(OR(N408="131",O408="131"),H408='131-CT'!$H$9),"x","")</f>
        <v/>
      </c>
      <c r="Z408" s="79"/>
      <c r="AA408" s="79" t="str">
        <f>IF(AND(MONTH(E408)='IN-NX'!$J$5,'IN-NX'!$D$7=D408),"x","")</f>
        <v/>
      </c>
      <c r="AB408" s="79" t="str">
        <f>IF(AND(OR(LEFT(TH!N408,2)="15",LEFT(TH!O408,2)="15"),LEFT(TH!O408,3)&lt;&gt;"111",'152-CT'!$J$8=TH!F408),"x","")</f>
        <v/>
      </c>
      <c r="AC408" s="79" t="str">
        <f>IF(AND(OR(LEFT(TH!N408,2)="15",LEFT(TH!O408,2)="15"),TK!$E$7=TH!F408),"x","")</f>
        <v/>
      </c>
      <c r="AD408" s="79" t="str">
        <f>IF(AND(N408="1521",MONTH(C408)='BK-NL'!$M$11),"x","")</f>
        <v/>
      </c>
    </row>
    <row r="409" spans="1:30" ht="16.5" customHeight="1">
      <c r="A409" s="318" t="str">
        <f>IF(B409&lt;&gt;"",IF(AND(B409='IN-TC'!$S$4,OR(TH!N409="1111",TH!O409="1111")),TH!D409,""),"")</f>
        <v/>
      </c>
      <c r="B409" s="60" t="str">
        <f t="shared" si="120"/>
        <v/>
      </c>
      <c r="C409" s="974"/>
      <c r="D409" s="974"/>
      <c r="E409" s="974"/>
      <c r="F409" s="975"/>
      <c r="G409" s="976"/>
      <c r="H409" s="759"/>
      <c r="I409" s="383"/>
      <c r="J409" s="977"/>
      <c r="K409" s="383"/>
      <c r="L409" s="390"/>
      <c r="M409" s="978"/>
      <c r="N409" s="979"/>
      <c r="O409" s="979"/>
      <c r="P409" s="79" t="str">
        <f>IF(AND('331-CT'!$E$7=TH!H409,OR(N409="331",O409="331")),"x","")</f>
        <v/>
      </c>
      <c r="Q409" s="79" t="str">
        <f>IF(AND(B409='111'!$L$11,OR($N409=$Q$7,$O409=$Q$7)),"x","")</f>
        <v/>
      </c>
      <c r="R409" s="79" t="str">
        <f>IF(AND($N409=$Q$7,$B409&lt;'111'!$L$11),"x","")</f>
        <v/>
      </c>
      <c r="S409" s="79" t="str">
        <f>IF(AND($O409=$Q$7,$B409&lt;'111'!$L$11),"x","")</f>
        <v/>
      </c>
      <c r="T409" s="79" t="str">
        <f>IF(ISERROR(FIND('112'!$M$9,G409,1)),"",IF((AND(FIND('112'!$M$9,G409,1)&gt;=1,B409='112'!$K$9,OR($N409='112'!$I$6,$O409='112'!$I$6))),"x",""))</f>
        <v/>
      </c>
      <c r="U409" s="79" t="str">
        <f>IF(ISERROR(FIND('112'!$M$9,G409,1)),"",IF((AND(LEFT(G409,2)=LEFT('112'!$M$9,2),B409&lt;'112'!$K$9,$N409='112'!$I$6)),"x",""))</f>
        <v/>
      </c>
      <c r="V409" s="79" t="str">
        <f>IF(ISERROR(FIND('112'!$M$9,G409,1)),"",IF((AND(RIGHT(G409,2)=RIGHT('112'!$M$9,2),B409&lt;'112'!$K$9,$O409='112'!$I$6)),"x",""))</f>
        <v/>
      </c>
      <c r="W409" s="79" t="str">
        <f>IF(AND('341-CT'!$H$9=H409,OR(LEFT(N409,3)=$W$7,LEFT(O409,3)=$W$7)),"x","")</f>
        <v/>
      </c>
      <c r="X409" s="79" t="str">
        <f>IF(OR(TH!N409=TH!$X$7,O409=TH!$X$7),"x","")</f>
        <v/>
      </c>
      <c r="Y409" s="79" t="str">
        <f>IF(AND(OR(N409="131",O409="131"),H409='131-CT'!$H$9),"x","")</f>
        <v/>
      </c>
      <c r="Z409" s="79"/>
      <c r="AA409" s="79" t="str">
        <f>IF(AND(MONTH(E409)='IN-NX'!$J$5,'IN-NX'!$D$7=D409),"x","")</f>
        <v/>
      </c>
      <c r="AB409" s="79" t="str">
        <f>IF(AND(OR(LEFT(TH!N409,2)="15",LEFT(TH!O409,2)="15"),LEFT(TH!O409,3)&lt;&gt;"111",'152-CT'!$J$8=TH!F409),"x","")</f>
        <v/>
      </c>
      <c r="AC409" s="79" t="str">
        <f>IF(AND(OR(LEFT(TH!N409,2)="15",LEFT(TH!O409,2)="15"),TK!$E$7=TH!F409),"x","")</f>
        <v/>
      </c>
      <c r="AD409" s="79" t="str">
        <f>IF(AND(N409="1521",MONTH(C409)='BK-NL'!$M$11),"x","")</f>
        <v/>
      </c>
    </row>
    <row r="410" spans="1:30" ht="16.5" customHeight="1">
      <c r="A410" s="318" t="str">
        <f>IF(B410&lt;&gt;"",IF(AND(B410='IN-TC'!$S$4,OR(TH!N410="1111",TH!O410="1111")),TH!D410,""),"")</f>
        <v/>
      </c>
      <c r="B410" s="60" t="str">
        <f t="shared" si="120"/>
        <v/>
      </c>
      <c r="C410" s="974"/>
      <c r="D410" s="974"/>
      <c r="E410" s="974"/>
      <c r="F410" s="975"/>
      <c r="G410" s="976"/>
      <c r="H410" s="305"/>
      <c r="I410" s="383"/>
      <c r="J410" s="977"/>
      <c r="K410" s="383"/>
      <c r="L410" s="390"/>
      <c r="M410" s="978"/>
      <c r="N410" s="979"/>
      <c r="O410" s="979"/>
      <c r="P410" s="79" t="str">
        <f>IF(AND('331-CT'!$E$7=TH!H410,OR(N410="331",O410="331")),"x","")</f>
        <v/>
      </c>
      <c r="Q410" s="79" t="str">
        <f>IF(AND(B410='111'!$L$11,OR($N410=$Q$7,$O410=$Q$7)),"x","")</f>
        <v/>
      </c>
      <c r="R410" s="79" t="str">
        <f>IF(AND($N410=$Q$7,$B410&lt;'111'!$L$11),"x","")</f>
        <v/>
      </c>
      <c r="S410" s="79" t="str">
        <f>IF(AND($O410=$Q$7,$B410&lt;'111'!$L$11),"x","")</f>
        <v/>
      </c>
      <c r="T410" s="79" t="str">
        <f>IF(ISERROR(FIND('112'!$M$9,G410,1)),"",IF((AND(FIND('112'!$M$9,G410,1)&gt;=1,B410='112'!$K$9,OR($N410='112'!$I$6,$O410='112'!$I$6))),"x",""))</f>
        <v/>
      </c>
      <c r="U410" s="79" t="str">
        <f>IF(ISERROR(FIND('112'!$M$9,G410,1)),"",IF((AND(LEFT(G410,2)=LEFT('112'!$M$9,2),B410&lt;'112'!$K$9,$N410='112'!$I$6)),"x",""))</f>
        <v/>
      </c>
      <c r="V410" s="79" t="str">
        <f>IF(ISERROR(FIND('112'!$M$9,G410,1)),"",IF((AND(RIGHT(G410,2)=RIGHT('112'!$M$9,2),B410&lt;'112'!$K$9,$O410='112'!$I$6)),"x",""))</f>
        <v/>
      </c>
      <c r="W410" s="79" t="str">
        <f>IF(AND('341-CT'!$H$9=H410,OR(LEFT(N410,3)=$W$7,LEFT(O410,3)=$W$7)),"x","")</f>
        <v/>
      </c>
      <c r="X410" s="79" t="str">
        <f>IF(OR(TH!N410=TH!$X$7,O410=TH!$X$7),"x","")</f>
        <v/>
      </c>
      <c r="Y410" s="79" t="str">
        <f>IF(AND(OR(N410="131",O410="131"),H410='131-CT'!$H$9),"x","")</f>
        <v/>
      </c>
      <c r="Z410" s="79"/>
      <c r="AA410" s="79" t="str">
        <f>IF(AND(MONTH(E410)='IN-NX'!$J$5,'IN-NX'!$D$7=D410),"x","")</f>
        <v/>
      </c>
      <c r="AB410" s="79" t="str">
        <f>IF(AND(OR(LEFT(TH!N410,2)="15",LEFT(TH!O410,2)="15"),LEFT(TH!O410,3)&lt;&gt;"111",'152-CT'!$J$8=TH!F410),"x","")</f>
        <v/>
      </c>
      <c r="AC410" s="79" t="str">
        <f>IF(AND(OR(LEFT(TH!N410,2)="15",LEFT(TH!O410,2)="15"),TK!$E$7=TH!F410),"x","")</f>
        <v/>
      </c>
      <c r="AD410" s="79" t="str">
        <f>IF(AND(N410="1521",MONTH(C410)='BK-NL'!$M$11),"x","")</f>
        <v/>
      </c>
    </row>
    <row r="411" spans="1:30" ht="16.5" customHeight="1">
      <c r="A411" s="318" t="str">
        <f>IF(B411&lt;&gt;"",IF(AND(B411='IN-TC'!$S$4,OR(TH!N411="1111",TH!O411="1111")),TH!D411,""),"")</f>
        <v/>
      </c>
      <c r="B411" s="60" t="str">
        <f t="shared" si="120"/>
        <v/>
      </c>
      <c r="C411" s="974"/>
      <c r="D411" s="974"/>
      <c r="E411" s="974"/>
      <c r="F411" s="975"/>
      <c r="G411" s="976"/>
      <c r="H411" s="305"/>
      <c r="I411" s="383"/>
      <c r="J411" s="977"/>
      <c r="K411" s="383"/>
      <c r="L411" s="390"/>
      <c r="M411" s="978"/>
      <c r="N411" s="979"/>
      <c r="O411" s="979"/>
      <c r="P411" s="79" t="str">
        <f>IF(AND('331-CT'!$E$7=TH!H411,OR(N411="331",O411="331")),"x","")</f>
        <v/>
      </c>
      <c r="Q411" s="79" t="str">
        <f>IF(AND(B411='111'!$L$11,OR($N411=$Q$7,$O411=$Q$7)),"x","")</f>
        <v/>
      </c>
      <c r="R411" s="79" t="str">
        <f>IF(AND($N411=$Q$7,$B411&lt;'111'!$L$11),"x","")</f>
        <v/>
      </c>
      <c r="S411" s="79" t="str">
        <f>IF(AND($O411=$Q$7,$B411&lt;'111'!$L$11),"x","")</f>
        <v/>
      </c>
      <c r="T411" s="79" t="str">
        <f>IF(ISERROR(FIND('112'!$M$9,G411,1)),"",IF((AND(FIND('112'!$M$9,G411,1)&gt;=1,B411='112'!$K$9,OR($N411='112'!$I$6,$O411='112'!$I$6))),"x",""))</f>
        <v/>
      </c>
      <c r="U411" s="79" t="str">
        <f>IF(ISERROR(FIND('112'!$M$9,G411,1)),"",IF((AND(LEFT(G411,2)=LEFT('112'!$M$9,2),B411&lt;'112'!$K$9,$N411='112'!$I$6)),"x",""))</f>
        <v/>
      </c>
      <c r="V411" s="79" t="str">
        <f>IF(ISERROR(FIND('112'!$M$9,G411,1)),"",IF((AND(RIGHT(G411,2)=RIGHT('112'!$M$9,2),B411&lt;'112'!$K$9,$O411='112'!$I$6)),"x",""))</f>
        <v/>
      </c>
      <c r="W411" s="79" t="str">
        <f>IF(AND('341-CT'!$H$9=H411,OR(LEFT(N411,3)=$W$7,LEFT(O411,3)=$W$7)),"x","")</f>
        <v/>
      </c>
      <c r="X411" s="79" t="str">
        <f>IF(OR(TH!N411=TH!$X$7,O411=TH!$X$7),"x","")</f>
        <v/>
      </c>
      <c r="Y411" s="79" t="str">
        <f>IF(AND(OR(N411="131",O411="131"),H411='131-CT'!$H$9),"x","")</f>
        <v/>
      </c>
      <c r="Z411" s="79"/>
      <c r="AA411" s="79" t="str">
        <f>IF(AND(MONTH(E411)='IN-NX'!$J$5,'IN-NX'!$D$7=D411),"x","")</f>
        <v/>
      </c>
      <c r="AB411" s="79" t="str">
        <f>IF(AND(OR(LEFT(TH!N411,2)="15",LEFT(TH!O411,2)="15"),LEFT(TH!O411,3)&lt;&gt;"111",'152-CT'!$J$8=TH!F411),"x","")</f>
        <v/>
      </c>
      <c r="AC411" s="79" t="str">
        <f>IF(AND(OR(LEFT(TH!N411,2)="15",LEFT(TH!O411,2)="15"),TK!$E$7=TH!F411),"x","")</f>
        <v/>
      </c>
      <c r="AD411" s="79" t="str">
        <f>IF(AND(N411="1521",MONTH(C411)='BK-NL'!$M$11),"x","")</f>
        <v/>
      </c>
    </row>
    <row r="412" spans="1:30" ht="16.5" customHeight="1">
      <c r="A412" s="318" t="str">
        <f>IF(B412&lt;&gt;"",IF(AND(B412='IN-TC'!$S$4,OR(TH!N412="1111",TH!O412="1111")),TH!D412,""),"")</f>
        <v/>
      </c>
      <c r="B412" s="60" t="str">
        <f t="shared" si="120"/>
        <v/>
      </c>
      <c r="C412" s="974"/>
      <c r="D412" s="974"/>
      <c r="E412" s="974"/>
      <c r="F412" s="975"/>
      <c r="G412" s="976"/>
      <c r="H412" s="305"/>
      <c r="I412" s="383"/>
      <c r="J412" s="977"/>
      <c r="K412" s="383"/>
      <c r="L412" s="390"/>
      <c r="M412" s="978"/>
      <c r="N412" s="979"/>
      <c r="O412" s="979"/>
      <c r="P412" s="79" t="str">
        <f>IF(AND('331-CT'!$E$7=TH!H412,OR(N412="331",O412="331")),"x","")</f>
        <v/>
      </c>
      <c r="Q412" s="79" t="str">
        <f>IF(AND(B412='111'!$L$11,OR($N412=$Q$7,$O412=$Q$7)),"x","")</f>
        <v/>
      </c>
      <c r="R412" s="79" t="str">
        <f>IF(AND($N412=$Q$7,$B412&lt;'111'!$L$11),"x","")</f>
        <v/>
      </c>
      <c r="S412" s="79" t="str">
        <f>IF(AND($O412=$Q$7,$B412&lt;'111'!$L$11),"x","")</f>
        <v/>
      </c>
      <c r="T412" s="79" t="str">
        <f>IF(ISERROR(FIND('112'!$M$9,G412,1)),"",IF((AND(FIND('112'!$M$9,G412,1)&gt;=1,B412='112'!$K$9,OR($N412='112'!$I$6,$O412='112'!$I$6))),"x",""))</f>
        <v/>
      </c>
      <c r="U412" s="79" t="str">
        <f>IF(ISERROR(FIND('112'!$M$9,G412,1)),"",IF((AND(LEFT(G412,2)=LEFT('112'!$M$9,2),B412&lt;'112'!$K$9,$N412='112'!$I$6)),"x",""))</f>
        <v/>
      </c>
      <c r="V412" s="79" t="str">
        <f>IF(ISERROR(FIND('112'!$M$9,G412,1)),"",IF((AND(RIGHT(G412,2)=RIGHT('112'!$M$9,2),B412&lt;'112'!$K$9,$O412='112'!$I$6)),"x",""))</f>
        <v/>
      </c>
      <c r="W412" s="79" t="str">
        <f>IF(AND('341-CT'!$H$9=H412,OR(LEFT(N412,3)=$W$7,LEFT(O412,3)=$W$7)),"x","")</f>
        <v/>
      </c>
      <c r="X412" s="79" t="str">
        <f>IF(OR(TH!N412=TH!$X$7,O412=TH!$X$7),"x","")</f>
        <v/>
      </c>
      <c r="Y412" s="79" t="str">
        <f>IF(AND(OR(N412="131",O412="131"),H412='131-CT'!$H$9),"x","")</f>
        <v/>
      </c>
      <c r="Z412" s="79"/>
      <c r="AA412" s="79" t="str">
        <f>IF(AND(MONTH(E412)='IN-NX'!$J$5,'IN-NX'!$D$7=D412),"x","")</f>
        <v/>
      </c>
      <c r="AB412" s="79" t="str">
        <f>IF(AND(OR(LEFT(TH!N412,2)="15",LEFT(TH!O412,2)="15"),LEFT(TH!O412,3)&lt;&gt;"111",'152-CT'!$J$8=TH!F412),"x","")</f>
        <v/>
      </c>
      <c r="AC412" s="79" t="str">
        <f>IF(AND(OR(LEFT(TH!N412,2)="15",LEFT(TH!O412,2)="15"),TK!$E$7=TH!F412),"x","")</f>
        <v/>
      </c>
      <c r="AD412" s="79" t="str">
        <f>IF(AND(N412="1521",MONTH(C412)='BK-NL'!$M$11),"x","")</f>
        <v/>
      </c>
    </row>
    <row r="413" spans="1:30" ht="16.5" customHeight="1">
      <c r="A413" s="318" t="str">
        <f>IF(B413&lt;&gt;"",IF(AND(B413='IN-TC'!$S$4,OR(TH!N413="1111",TH!O413="1111")),TH!D413,""),"")</f>
        <v/>
      </c>
      <c r="B413" s="60" t="str">
        <f t="shared" si="120"/>
        <v/>
      </c>
      <c r="C413" s="974"/>
      <c r="D413" s="974"/>
      <c r="E413" s="974"/>
      <c r="F413" s="975"/>
      <c r="G413" s="976"/>
      <c r="H413" s="305"/>
      <c r="I413" s="383"/>
      <c r="J413" s="977"/>
      <c r="K413" s="383"/>
      <c r="L413" s="390"/>
      <c r="M413" s="978"/>
      <c r="N413" s="979"/>
      <c r="O413" s="979"/>
      <c r="P413" s="79" t="str">
        <f>IF(AND('331-CT'!$E$7=TH!H413,OR(N413="331",O413="331")),"x","")</f>
        <v/>
      </c>
      <c r="Q413" s="79" t="str">
        <f>IF(AND(B413='111'!$L$11,OR($N413=$Q$7,$O413=$Q$7)),"x","")</f>
        <v/>
      </c>
      <c r="R413" s="79" t="str">
        <f>IF(AND($N413=$Q$7,$B413&lt;'111'!$L$11),"x","")</f>
        <v/>
      </c>
      <c r="S413" s="79" t="str">
        <f>IF(AND($O413=$Q$7,$B413&lt;'111'!$L$11),"x","")</f>
        <v/>
      </c>
      <c r="T413" s="79" t="str">
        <f>IF(ISERROR(FIND('112'!$M$9,G413,1)),"",IF((AND(FIND('112'!$M$9,G413,1)&gt;=1,B413='112'!$K$9,OR($N413='112'!$I$6,$O413='112'!$I$6))),"x",""))</f>
        <v/>
      </c>
      <c r="U413" s="79" t="str">
        <f>IF(ISERROR(FIND('112'!$M$9,G413,1)),"",IF((AND(LEFT(G413,2)=LEFT('112'!$M$9,2),B413&lt;'112'!$K$9,$N413='112'!$I$6)),"x",""))</f>
        <v/>
      </c>
      <c r="V413" s="79" t="str">
        <f>IF(ISERROR(FIND('112'!$M$9,G413,1)),"",IF((AND(RIGHT(G413,2)=RIGHT('112'!$M$9,2),B413&lt;'112'!$K$9,$O413='112'!$I$6)),"x",""))</f>
        <v/>
      </c>
      <c r="W413" s="79" t="str">
        <f>IF(AND('341-CT'!$H$9=H413,OR(LEFT(N413,3)=$W$7,LEFT(O413,3)=$W$7)),"x","")</f>
        <v/>
      </c>
      <c r="X413" s="79" t="str">
        <f>IF(OR(TH!N413=TH!$X$7,O413=TH!$X$7),"x","")</f>
        <v/>
      </c>
      <c r="Y413" s="79" t="str">
        <f>IF(AND(OR(N413="131",O413="131"),H413='131-CT'!$H$9),"x","")</f>
        <v/>
      </c>
      <c r="Z413" s="79"/>
      <c r="AA413" s="79" t="str">
        <f>IF(AND(MONTH(E413)='IN-NX'!$J$5,'IN-NX'!$D$7=D413),"x","")</f>
        <v/>
      </c>
      <c r="AB413" s="79" t="str">
        <f>IF(AND(OR(LEFT(TH!N413,2)="15",LEFT(TH!O413,2)="15"),LEFT(TH!O413,3)&lt;&gt;"111",'152-CT'!$J$8=TH!F413),"x","")</f>
        <v/>
      </c>
      <c r="AC413" s="79" t="str">
        <f>IF(AND(OR(LEFT(TH!N413,2)="15",LEFT(TH!O413,2)="15"),TK!$E$7=TH!F413),"x","")</f>
        <v/>
      </c>
      <c r="AD413" s="79" t="str">
        <f>IF(AND(N413="1521",MONTH(C413)='BK-NL'!$M$11),"x","")</f>
        <v/>
      </c>
    </row>
    <row r="414" spans="1:30" ht="16.5" customHeight="1">
      <c r="A414" s="318" t="str">
        <f>IF(B414&lt;&gt;"",IF(AND(B414='IN-TC'!$S$4,OR(TH!N414="1111",TH!O414="1111")),TH!D414,""),"")</f>
        <v/>
      </c>
      <c r="B414" s="60" t="str">
        <f t="shared" si="120"/>
        <v/>
      </c>
      <c r="C414" s="974"/>
      <c r="D414" s="974"/>
      <c r="E414" s="974"/>
      <c r="F414" s="975"/>
      <c r="G414" s="976"/>
      <c r="H414" s="305"/>
      <c r="I414" s="383"/>
      <c r="J414" s="977"/>
      <c r="K414" s="383"/>
      <c r="L414" s="390"/>
      <c r="M414" s="978"/>
      <c r="N414" s="979"/>
      <c r="O414" s="979"/>
      <c r="P414" s="79" t="str">
        <f>IF(AND('331-CT'!$E$7=TH!H414,OR(N414="331",O414="331")),"x","")</f>
        <v/>
      </c>
      <c r="Q414" s="79" t="str">
        <f>IF(AND(B414='111'!$L$11,OR($N414=$Q$7,$O414=$Q$7)),"x","")</f>
        <v/>
      </c>
      <c r="R414" s="79" t="str">
        <f>IF(AND($N414=$Q$7,$B414&lt;'111'!$L$11),"x","")</f>
        <v/>
      </c>
      <c r="S414" s="79" t="str">
        <f>IF(AND($O414=$Q$7,$B414&lt;'111'!$L$11),"x","")</f>
        <v/>
      </c>
      <c r="T414" s="79" t="str">
        <f>IF(ISERROR(FIND('112'!$M$9,G414,1)),"",IF((AND(FIND('112'!$M$9,G414,1)&gt;=1,B414='112'!$K$9,OR($N414='112'!$I$6,$O414='112'!$I$6))),"x",""))</f>
        <v/>
      </c>
      <c r="U414" s="79" t="str">
        <f>IF(ISERROR(FIND('112'!$M$9,G414,1)),"",IF((AND(LEFT(G414,2)=LEFT('112'!$M$9,2),B414&lt;'112'!$K$9,$N414='112'!$I$6)),"x",""))</f>
        <v/>
      </c>
      <c r="V414" s="79" t="str">
        <f>IF(ISERROR(FIND('112'!$M$9,G414,1)),"",IF((AND(RIGHT(G414,2)=RIGHT('112'!$M$9,2),B414&lt;'112'!$K$9,$O414='112'!$I$6)),"x",""))</f>
        <v/>
      </c>
      <c r="W414" s="79" t="str">
        <f>IF(AND('341-CT'!$H$9=H414,OR(LEFT(N414,3)=$W$7,LEFT(O414,3)=$W$7)),"x","")</f>
        <v/>
      </c>
      <c r="X414" s="79" t="str">
        <f>IF(OR(TH!N414=TH!$X$7,O414=TH!$X$7),"x","")</f>
        <v/>
      </c>
      <c r="Y414" s="79" t="str">
        <f>IF(AND(OR(N414="131",O414="131"),H414='131-CT'!$H$9),"x","")</f>
        <v/>
      </c>
      <c r="Z414" s="79"/>
      <c r="AA414" s="79" t="str">
        <f>IF(AND(MONTH(E414)='IN-NX'!$J$5,'IN-NX'!$D$7=D414),"x","")</f>
        <v/>
      </c>
      <c r="AB414" s="79" t="str">
        <f>IF(AND(OR(LEFT(TH!N414,2)="15",LEFT(TH!O414,2)="15"),LEFT(TH!O414,3)&lt;&gt;"111",'152-CT'!$J$8=TH!F414),"x","")</f>
        <v/>
      </c>
      <c r="AC414" s="79" t="str">
        <f>IF(AND(OR(LEFT(TH!N414,2)="15",LEFT(TH!O414,2)="15"),TK!$E$7=TH!F414),"x","")</f>
        <v/>
      </c>
      <c r="AD414" s="79" t="str">
        <f>IF(AND(N414="1521",MONTH(C414)='BK-NL'!$M$11),"x","")</f>
        <v/>
      </c>
    </row>
    <row r="415" spans="1:30" ht="16.5" customHeight="1">
      <c r="A415" s="318" t="str">
        <f>IF(B415&lt;&gt;"",IF(AND(B415='IN-TC'!$S$4,OR(TH!N415="1111",TH!O415="1111")),TH!D415,""),"")</f>
        <v/>
      </c>
      <c r="B415" s="60" t="str">
        <f t="shared" si="120"/>
        <v/>
      </c>
      <c r="C415" s="974"/>
      <c r="D415" s="974"/>
      <c r="E415" s="974"/>
      <c r="F415" s="975"/>
      <c r="G415" s="976"/>
      <c r="H415" s="305"/>
      <c r="I415" s="383"/>
      <c r="J415" s="977"/>
      <c r="K415" s="383"/>
      <c r="L415" s="390"/>
      <c r="M415" s="978"/>
      <c r="N415" s="979"/>
      <c r="O415" s="979"/>
      <c r="P415" s="79" t="str">
        <f>IF(AND('331-CT'!$E$7=TH!H415,OR(N415="331",O415="331")),"x","")</f>
        <v/>
      </c>
      <c r="Q415" s="79" t="str">
        <f>IF(AND(B415='111'!$L$11,OR($N415=$Q$7,$O415=$Q$7)),"x","")</f>
        <v/>
      </c>
      <c r="R415" s="79" t="str">
        <f>IF(AND($N415=$Q$7,$B415&lt;'111'!$L$11),"x","")</f>
        <v/>
      </c>
      <c r="S415" s="79" t="str">
        <f>IF(AND($O415=$Q$7,$B415&lt;'111'!$L$11),"x","")</f>
        <v/>
      </c>
      <c r="T415" s="79" t="str">
        <f>IF(ISERROR(FIND('112'!$M$9,G415,1)),"",IF((AND(FIND('112'!$M$9,G415,1)&gt;=1,B415='112'!$K$9,OR($N415='112'!$I$6,$O415='112'!$I$6))),"x",""))</f>
        <v/>
      </c>
      <c r="U415" s="79" t="str">
        <f>IF(ISERROR(FIND('112'!$M$9,G415,1)),"",IF((AND(LEFT(G415,2)=LEFT('112'!$M$9,2),B415&lt;'112'!$K$9,$N415='112'!$I$6)),"x",""))</f>
        <v/>
      </c>
      <c r="V415" s="79" t="str">
        <f>IF(ISERROR(FIND('112'!$M$9,G415,1)),"",IF((AND(RIGHT(G415,2)=RIGHT('112'!$M$9,2),B415&lt;'112'!$K$9,$O415='112'!$I$6)),"x",""))</f>
        <v/>
      </c>
      <c r="W415" s="79" t="str">
        <f>IF(AND('341-CT'!$H$9=H415,OR(LEFT(N415,3)=$W$7,LEFT(O415,3)=$W$7)),"x","")</f>
        <v/>
      </c>
      <c r="X415" s="79" t="str">
        <f>IF(OR(TH!N415=TH!$X$7,O415=TH!$X$7),"x","")</f>
        <v/>
      </c>
      <c r="Y415" s="79" t="str">
        <f>IF(AND(OR(N415="131",O415="131"),H415='131-CT'!$H$9),"x","")</f>
        <v/>
      </c>
      <c r="Z415" s="79"/>
      <c r="AA415" s="79" t="str">
        <f>IF(AND(MONTH(E415)='IN-NX'!$J$5,'IN-NX'!$D$7=D415),"x","")</f>
        <v/>
      </c>
      <c r="AB415" s="79" t="str">
        <f>IF(AND(OR(LEFT(TH!N415,2)="15",LEFT(TH!O415,2)="15"),LEFT(TH!O415,3)&lt;&gt;"111",'152-CT'!$J$8=TH!F415),"x","")</f>
        <v/>
      </c>
      <c r="AC415" s="79" t="str">
        <f>IF(AND(OR(LEFT(TH!N415,2)="15",LEFT(TH!O415,2)="15"),TK!$E$7=TH!F415),"x","")</f>
        <v/>
      </c>
      <c r="AD415" s="79" t="str">
        <f>IF(AND(N415="1521",MONTH(C415)='BK-NL'!$M$11),"x","")</f>
        <v/>
      </c>
    </row>
    <row r="416" spans="1:30" ht="16.5" customHeight="1">
      <c r="A416" s="318" t="str">
        <f>IF(B416&lt;&gt;"",IF(AND(B416='IN-TC'!$S$4,OR(TH!N416="1111",TH!O416="1111")),TH!D416,""),"")</f>
        <v/>
      </c>
      <c r="B416" s="60" t="str">
        <f t="shared" si="120"/>
        <v/>
      </c>
      <c r="C416" s="974"/>
      <c r="D416" s="974"/>
      <c r="E416" s="974"/>
      <c r="F416" s="975"/>
      <c r="G416" s="976"/>
      <c r="H416" s="305"/>
      <c r="I416" s="383"/>
      <c r="J416" s="977"/>
      <c r="K416" s="383"/>
      <c r="L416" s="390"/>
      <c r="M416" s="978"/>
      <c r="N416" s="979"/>
      <c r="O416" s="979"/>
      <c r="P416" s="79" t="str">
        <f>IF(AND('331-CT'!$E$7=TH!H416,OR(N416="331",O416="331")),"x","")</f>
        <v/>
      </c>
      <c r="Q416" s="79" t="str">
        <f>IF(AND(B416='111'!$L$11,OR($N416=$Q$7,$O416=$Q$7)),"x","")</f>
        <v/>
      </c>
      <c r="R416" s="79" t="str">
        <f>IF(AND($N416=$Q$7,$B416&lt;'111'!$L$11),"x","")</f>
        <v/>
      </c>
      <c r="S416" s="79" t="str">
        <f>IF(AND($O416=$Q$7,$B416&lt;'111'!$L$11),"x","")</f>
        <v/>
      </c>
      <c r="T416" s="79" t="str">
        <f>IF(ISERROR(FIND('112'!$M$9,G416,1)),"",IF((AND(FIND('112'!$M$9,G416,1)&gt;=1,B416='112'!$K$9,OR($N416='112'!$I$6,$O416='112'!$I$6))),"x",""))</f>
        <v/>
      </c>
      <c r="U416" s="79" t="str">
        <f>IF(ISERROR(FIND('112'!$M$9,G416,1)),"",IF((AND(LEFT(G416,2)=LEFT('112'!$M$9,2),B416&lt;'112'!$K$9,$N416='112'!$I$6)),"x",""))</f>
        <v/>
      </c>
      <c r="V416" s="79" t="str">
        <f>IF(ISERROR(FIND('112'!$M$9,G416,1)),"",IF((AND(RIGHT(G416,2)=RIGHT('112'!$M$9,2),B416&lt;'112'!$K$9,$O416='112'!$I$6)),"x",""))</f>
        <v/>
      </c>
      <c r="W416" s="79" t="str">
        <f>IF(AND('341-CT'!$H$9=H416,OR(LEFT(N416,3)=$W$7,LEFT(O416,3)=$W$7)),"x","")</f>
        <v/>
      </c>
      <c r="X416" s="79" t="str">
        <f>IF(OR(TH!N416=TH!$X$7,O416=TH!$X$7),"x","")</f>
        <v/>
      </c>
      <c r="Y416" s="79" t="str">
        <f>IF(AND(OR(N416="131",O416="131"),H416='131-CT'!$H$9),"x","")</f>
        <v/>
      </c>
      <c r="Z416" s="79"/>
      <c r="AA416" s="79" t="str">
        <f>IF(AND(MONTH(E416)='IN-NX'!$J$5,'IN-NX'!$D$7=D416),"x","")</f>
        <v/>
      </c>
      <c r="AB416" s="79" t="str">
        <f>IF(AND(OR(LEFT(TH!N416,2)="15",LEFT(TH!O416,2)="15"),LEFT(TH!O416,3)&lt;&gt;"111",'152-CT'!$J$8=TH!F416),"x","")</f>
        <v/>
      </c>
      <c r="AC416" s="79" t="str">
        <f>IF(AND(OR(LEFT(TH!N416,2)="15",LEFT(TH!O416,2)="15"),TK!$E$7=TH!F416),"x","")</f>
        <v/>
      </c>
      <c r="AD416" s="79" t="str">
        <f>IF(AND(N416="1521",MONTH(C416)='BK-NL'!$M$11),"x","")</f>
        <v/>
      </c>
    </row>
    <row r="417" spans="1:30" ht="16.5" customHeight="1">
      <c r="A417" s="318" t="str">
        <f>IF(B417&lt;&gt;"",IF(AND(B417='IN-TC'!$S$4,OR(TH!N417="1111",TH!O417="1111")),TH!D417,""),"")</f>
        <v/>
      </c>
      <c r="B417" s="60" t="str">
        <f t="shared" si="120"/>
        <v/>
      </c>
      <c r="C417" s="974"/>
      <c r="D417" s="974"/>
      <c r="E417" s="974"/>
      <c r="F417" s="975"/>
      <c r="G417" s="976"/>
      <c r="H417" s="305"/>
      <c r="I417" s="383"/>
      <c r="J417" s="977"/>
      <c r="K417" s="383"/>
      <c r="L417" s="390"/>
      <c r="M417" s="978"/>
      <c r="N417" s="979"/>
      <c r="O417" s="979"/>
      <c r="P417" s="79" t="str">
        <f>IF(AND('331-CT'!$E$7=TH!H417,OR(N417="331",O417="331")),"x","")</f>
        <v/>
      </c>
      <c r="Q417" s="79" t="str">
        <f>IF(AND(B417='111'!$L$11,OR($N417=$Q$7,$O417=$Q$7)),"x","")</f>
        <v/>
      </c>
      <c r="R417" s="79" t="str">
        <f>IF(AND($N417=$Q$7,$B417&lt;'111'!$L$11),"x","")</f>
        <v/>
      </c>
      <c r="S417" s="79" t="str">
        <f>IF(AND($O417=$Q$7,$B417&lt;'111'!$L$11),"x","")</f>
        <v/>
      </c>
      <c r="T417" s="79" t="str">
        <f>IF(ISERROR(FIND('112'!$M$9,G417,1)),"",IF((AND(FIND('112'!$M$9,G417,1)&gt;=1,B417='112'!$K$9,OR($N417='112'!$I$6,$O417='112'!$I$6))),"x",""))</f>
        <v/>
      </c>
      <c r="U417" s="79" t="str">
        <f>IF(ISERROR(FIND('112'!$M$9,G417,1)),"",IF((AND(LEFT(G417,2)=LEFT('112'!$M$9,2),B417&lt;'112'!$K$9,$N417='112'!$I$6)),"x",""))</f>
        <v/>
      </c>
      <c r="V417" s="79" t="str">
        <f>IF(ISERROR(FIND('112'!$M$9,G417,1)),"",IF((AND(RIGHT(G417,2)=RIGHT('112'!$M$9,2),B417&lt;'112'!$K$9,$O417='112'!$I$6)),"x",""))</f>
        <v/>
      </c>
      <c r="W417" s="79" t="str">
        <f>IF(AND('341-CT'!$H$9=H417,OR(LEFT(N417,3)=$W$7,LEFT(O417,3)=$W$7)),"x","")</f>
        <v/>
      </c>
      <c r="X417" s="79" t="str">
        <f>IF(OR(TH!N417=TH!$X$7,O417=TH!$X$7),"x","")</f>
        <v/>
      </c>
      <c r="Y417" s="79" t="str">
        <f>IF(AND(OR(N417="131",O417="131"),H417='131-CT'!$H$9),"x","")</f>
        <v/>
      </c>
      <c r="Z417" s="79"/>
      <c r="AA417" s="79" t="str">
        <f>IF(AND(MONTH(E417)='IN-NX'!$J$5,'IN-NX'!$D$7=D417),"x","")</f>
        <v/>
      </c>
      <c r="AB417" s="79" t="str">
        <f>IF(AND(OR(LEFT(TH!N417,2)="15",LEFT(TH!O417,2)="15"),LEFT(TH!O417,3)&lt;&gt;"111",'152-CT'!$J$8=TH!F417),"x","")</f>
        <v/>
      </c>
      <c r="AC417" s="79" t="str">
        <f>IF(AND(OR(LEFT(TH!N417,2)="15",LEFT(TH!O417,2)="15"),TK!$E$7=TH!F417),"x","")</f>
        <v/>
      </c>
      <c r="AD417" s="79" t="str">
        <f>IF(AND(N417="1521",MONTH(C417)='BK-NL'!$M$11),"x","")</f>
        <v/>
      </c>
    </row>
    <row r="418" spans="1:30" ht="16.5" customHeight="1">
      <c r="A418" s="318" t="str">
        <f>IF(B418&lt;&gt;"",IF(AND(B418='IN-TC'!$S$4,OR(TH!N418="1111",TH!O418="1111")),TH!D418,""),"")</f>
        <v/>
      </c>
      <c r="B418" s="60" t="str">
        <f t="shared" si="120"/>
        <v/>
      </c>
      <c r="C418" s="974"/>
      <c r="D418" s="974"/>
      <c r="E418" s="974"/>
      <c r="F418" s="975"/>
      <c r="G418" s="976"/>
      <c r="H418" s="305"/>
      <c r="I418" s="383"/>
      <c r="J418" s="977"/>
      <c r="K418" s="383"/>
      <c r="L418" s="390"/>
      <c r="M418" s="978"/>
      <c r="N418" s="979"/>
      <c r="O418" s="979"/>
      <c r="P418" s="79" t="str">
        <f>IF(AND('331-CT'!$E$7=TH!H418,OR(N418="331",O418="331")),"x","")</f>
        <v/>
      </c>
      <c r="Q418" s="79" t="str">
        <f>IF(AND(B418='111'!$L$11,OR($N418=$Q$7,$O418=$Q$7)),"x","")</f>
        <v/>
      </c>
      <c r="R418" s="79" t="str">
        <f>IF(AND($N418=$Q$7,$B418&lt;'111'!$L$11),"x","")</f>
        <v/>
      </c>
      <c r="S418" s="79" t="str">
        <f>IF(AND($O418=$Q$7,$B418&lt;'111'!$L$11),"x","")</f>
        <v/>
      </c>
      <c r="T418" s="79" t="str">
        <f>IF(ISERROR(FIND('112'!$M$9,G418,1)),"",IF((AND(FIND('112'!$M$9,G418,1)&gt;=1,B418='112'!$K$9,OR($N418='112'!$I$6,$O418='112'!$I$6))),"x",""))</f>
        <v/>
      </c>
      <c r="U418" s="79" t="str">
        <f>IF(ISERROR(FIND('112'!$M$9,G418,1)),"",IF((AND(LEFT(G418,2)=LEFT('112'!$M$9,2),B418&lt;'112'!$K$9,$N418='112'!$I$6)),"x",""))</f>
        <v/>
      </c>
      <c r="V418" s="79" t="str">
        <f>IF(ISERROR(FIND('112'!$M$9,G418,1)),"",IF((AND(RIGHT(G418,2)=RIGHT('112'!$M$9,2),B418&lt;'112'!$K$9,$O418='112'!$I$6)),"x",""))</f>
        <v/>
      </c>
      <c r="W418" s="79" t="str">
        <f>IF(AND('341-CT'!$H$9=H418,OR(LEFT(N418,3)=$W$7,LEFT(O418,3)=$W$7)),"x","")</f>
        <v/>
      </c>
      <c r="X418" s="79" t="str">
        <f>IF(OR(TH!N418=TH!$X$7,O418=TH!$X$7),"x","")</f>
        <v/>
      </c>
      <c r="Y418" s="79" t="str">
        <f>IF(AND(OR(N418="131",O418="131"),H418='131-CT'!$H$9),"x","")</f>
        <v/>
      </c>
      <c r="Z418" s="79"/>
      <c r="AA418" s="79" t="str">
        <f>IF(AND(MONTH(E418)='IN-NX'!$J$5,'IN-NX'!$D$7=D418),"x","")</f>
        <v/>
      </c>
      <c r="AB418" s="79" t="str">
        <f>IF(AND(OR(LEFT(TH!N418,2)="15",LEFT(TH!O418,2)="15"),LEFT(TH!O418,3)&lt;&gt;"111",'152-CT'!$J$8=TH!F418),"x","")</f>
        <v/>
      </c>
      <c r="AC418" s="79" t="str">
        <f>IF(AND(OR(LEFT(TH!N418,2)="15",LEFT(TH!O418,2)="15"),TK!$E$7=TH!F418),"x","")</f>
        <v/>
      </c>
      <c r="AD418" s="79" t="str">
        <f>IF(AND(N418="1521",MONTH(C418)='BK-NL'!$M$11),"x","")</f>
        <v/>
      </c>
    </row>
    <row r="419" spans="1:30" ht="16.5" customHeight="1">
      <c r="A419" s="318" t="str">
        <f>IF(B419&lt;&gt;"",IF(AND(B419='IN-TC'!$S$4,OR(TH!N419="1111",TH!O419="1111")),TH!D419,""),"")</f>
        <v/>
      </c>
      <c r="B419" s="60" t="str">
        <f t="shared" si="120"/>
        <v/>
      </c>
      <c r="C419" s="974"/>
      <c r="D419" s="974"/>
      <c r="E419" s="974"/>
      <c r="F419" s="975"/>
      <c r="G419" s="976"/>
      <c r="H419" s="305"/>
      <c r="I419" s="383"/>
      <c r="J419" s="977"/>
      <c r="K419" s="383"/>
      <c r="L419" s="390"/>
      <c r="M419" s="978"/>
      <c r="N419" s="979"/>
      <c r="O419" s="979"/>
      <c r="P419" s="79" t="str">
        <f>IF(AND('331-CT'!$E$7=TH!H419,OR(N419="331",O419="331")),"x","")</f>
        <v/>
      </c>
      <c r="Q419" s="79" t="str">
        <f>IF(AND(B419='111'!$L$11,OR($N419=$Q$7,$O419=$Q$7)),"x","")</f>
        <v/>
      </c>
      <c r="R419" s="79" t="str">
        <f>IF(AND($N419=$Q$7,$B419&lt;'111'!$L$11),"x","")</f>
        <v/>
      </c>
      <c r="S419" s="79" t="str">
        <f>IF(AND($O419=$Q$7,$B419&lt;'111'!$L$11),"x","")</f>
        <v/>
      </c>
      <c r="T419" s="79" t="str">
        <f>IF(ISERROR(FIND('112'!$M$9,G419,1)),"",IF((AND(FIND('112'!$M$9,G419,1)&gt;=1,B419='112'!$K$9,OR($N419='112'!$I$6,$O419='112'!$I$6))),"x",""))</f>
        <v/>
      </c>
      <c r="U419" s="79" t="str">
        <f>IF(ISERROR(FIND('112'!$M$9,G419,1)),"",IF((AND(LEFT(G419,2)=LEFT('112'!$M$9,2),B419&lt;'112'!$K$9,$N419='112'!$I$6)),"x",""))</f>
        <v/>
      </c>
      <c r="V419" s="79" t="str">
        <f>IF(ISERROR(FIND('112'!$M$9,G419,1)),"",IF((AND(RIGHT(G419,2)=RIGHT('112'!$M$9,2),B419&lt;'112'!$K$9,$O419='112'!$I$6)),"x",""))</f>
        <v/>
      </c>
      <c r="W419" s="79" t="str">
        <f>IF(AND('341-CT'!$H$9=H419,OR(LEFT(N419,3)=$W$7,LEFT(O419,3)=$W$7)),"x","")</f>
        <v/>
      </c>
      <c r="X419" s="79" t="str">
        <f>IF(OR(TH!N419=TH!$X$7,O419=TH!$X$7),"x","")</f>
        <v/>
      </c>
      <c r="Y419" s="79" t="str">
        <f>IF(AND(OR(N419="131",O419="131"),H419='131-CT'!$H$9),"x","")</f>
        <v/>
      </c>
      <c r="Z419" s="79"/>
      <c r="AA419" s="79" t="str">
        <f>IF(AND(MONTH(E419)='IN-NX'!$J$5,'IN-NX'!$D$7=D419),"x","")</f>
        <v/>
      </c>
      <c r="AB419" s="79" t="str">
        <f>IF(AND(OR(LEFT(TH!N419,2)="15",LEFT(TH!O419,2)="15"),LEFT(TH!O419,3)&lt;&gt;"111",'152-CT'!$J$8=TH!F419),"x","")</f>
        <v/>
      </c>
      <c r="AC419" s="79" t="str">
        <f>IF(AND(OR(LEFT(TH!N419,2)="15",LEFT(TH!O419,2)="15"),TK!$E$7=TH!F419),"x","")</f>
        <v/>
      </c>
      <c r="AD419" s="79" t="str">
        <f>IF(AND(N419="1521",MONTH(C419)='BK-NL'!$M$11),"x","")</f>
        <v/>
      </c>
    </row>
    <row r="420" spans="1:30" ht="16.5" customHeight="1">
      <c r="A420" s="318" t="str">
        <f>IF(B420&lt;&gt;"",IF(AND(B420='IN-TC'!$S$4,OR(TH!N420="1111",TH!O420="1111")),TH!D420,""),"")</f>
        <v/>
      </c>
      <c r="B420" s="60" t="str">
        <f t="shared" si="120"/>
        <v/>
      </c>
      <c r="C420" s="974"/>
      <c r="D420" s="974"/>
      <c r="E420" s="974"/>
      <c r="F420" s="975"/>
      <c r="G420" s="976"/>
      <c r="H420" s="305"/>
      <c r="I420" s="383"/>
      <c r="J420" s="977"/>
      <c r="K420" s="383"/>
      <c r="L420" s="390"/>
      <c r="M420" s="978"/>
      <c r="N420" s="979"/>
      <c r="O420" s="979"/>
      <c r="P420" s="79" t="str">
        <f>IF(AND('331-CT'!$E$7=TH!H420,OR(N420="331",O420="331")),"x","")</f>
        <v/>
      </c>
      <c r="Q420" s="79" t="str">
        <f>IF(AND(B420='111'!$L$11,OR($N420=$Q$7,$O420=$Q$7)),"x","")</f>
        <v/>
      </c>
      <c r="R420" s="79" t="str">
        <f>IF(AND($N420=$Q$7,$B420&lt;'111'!$L$11),"x","")</f>
        <v/>
      </c>
      <c r="S420" s="79" t="str">
        <f>IF(AND($O420=$Q$7,$B420&lt;'111'!$L$11),"x","")</f>
        <v/>
      </c>
      <c r="T420" s="79" t="str">
        <f>IF(ISERROR(FIND('112'!$M$9,G420,1)),"",IF((AND(FIND('112'!$M$9,G420,1)&gt;=1,B420='112'!$K$9,OR($N420='112'!$I$6,$O420='112'!$I$6))),"x",""))</f>
        <v/>
      </c>
      <c r="U420" s="79" t="str">
        <f>IF(ISERROR(FIND('112'!$M$9,G420,1)),"",IF((AND(LEFT(G420,2)=LEFT('112'!$M$9,2),B420&lt;'112'!$K$9,$N420='112'!$I$6)),"x",""))</f>
        <v/>
      </c>
      <c r="V420" s="79" t="str">
        <f>IF(ISERROR(FIND('112'!$M$9,G420,1)),"",IF((AND(RIGHT(G420,2)=RIGHT('112'!$M$9,2),B420&lt;'112'!$K$9,$O420='112'!$I$6)),"x",""))</f>
        <v/>
      </c>
      <c r="W420" s="79" t="str">
        <f>IF(AND('341-CT'!$H$9=H420,OR(LEFT(N420,3)=$W$7,LEFT(O420,3)=$W$7)),"x","")</f>
        <v/>
      </c>
      <c r="X420" s="79" t="str">
        <f>IF(OR(TH!N420=TH!$X$7,O420=TH!$X$7),"x","")</f>
        <v/>
      </c>
      <c r="Y420" s="79" t="str">
        <f>IF(AND(OR(N420="131",O420="131"),H420='131-CT'!$H$9),"x","")</f>
        <v/>
      </c>
      <c r="Z420" s="79"/>
      <c r="AA420" s="79" t="str">
        <f>IF(AND(MONTH(E420)='IN-NX'!$J$5,'IN-NX'!$D$7=D420),"x","")</f>
        <v/>
      </c>
      <c r="AB420" s="79" t="str">
        <f>IF(AND(OR(LEFT(TH!N420,2)="15",LEFT(TH!O420,2)="15"),LEFT(TH!O420,3)&lt;&gt;"111",'152-CT'!$J$8=TH!F420),"x","")</f>
        <v/>
      </c>
      <c r="AC420" s="79" t="str">
        <f>IF(AND(OR(LEFT(TH!N420,2)="15",LEFT(TH!O420,2)="15"),TK!$E$7=TH!F420),"x","")</f>
        <v/>
      </c>
      <c r="AD420" s="79" t="str">
        <f>IF(AND(N420="1521",MONTH(C420)='BK-NL'!$M$11),"x","")</f>
        <v/>
      </c>
    </row>
    <row r="421" spans="1:30" ht="16.5" customHeight="1">
      <c r="A421" s="318" t="str">
        <f>IF(B421&lt;&gt;"",IF(AND(B421='IN-TC'!$S$4,OR(TH!N421="1111",TH!O421="1111")),TH!D421,""),"")</f>
        <v/>
      </c>
      <c r="B421" s="60" t="str">
        <f t="shared" si="120"/>
        <v/>
      </c>
      <c r="C421" s="974"/>
      <c r="D421" s="974"/>
      <c r="E421" s="974"/>
      <c r="F421" s="975"/>
      <c r="G421" s="976"/>
      <c r="H421" s="305"/>
      <c r="I421" s="383"/>
      <c r="J421" s="977"/>
      <c r="K421" s="383"/>
      <c r="L421" s="390"/>
      <c r="M421" s="978"/>
      <c r="N421" s="979"/>
      <c r="O421" s="979"/>
      <c r="P421" s="79" t="str">
        <f>IF(AND('331-CT'!$E$7=TH!H421,OR(N421="331",O421="331")),"x","")</f>
        <v/>
      </c>
      <c r="Q421" s="79" t="str">
        <f>IF(AND(B421='111'!$L$11,OR($N421=$Q$7,$O421=$Q$7)),"x","")</f>
        <v/>
      </c>
      <c r="R421" s="79" t="str">
        <f>IF(AND($N421=$Q$7,$B421&lt;'111'!$L$11),"x","")</f>
        <v/>
      </c>
      <c r="S421" s="79" t="str">
        <f>IF(AND($O421=$Q$7,$B421&lt;'111'!$L$11),"x","")</f>
        <v/>
      </c>
      <c r="T421" s="79" t="str">
        <f>IF(ISERROR(FIND('112'!$M$9,G421,1)),"",IF((AND(FIND('112'!$M$9,G421,1)&gt;=1,B421='112'!$K$9,OR($N421='112'!$I$6,$O421='112'!$I$6))),"x",""))</f>
        <v/>
      </c>
      <c r="U421" s="79" t="str">
        <f>IF(ISERROR(FIND('112'!$M$9,G421,1)),"",IF((AND(LEFT(G421,2)=LEFT('112'!$M$9,2),B421&lt;'112'!$K$9,$N421='112'!$I$6)),"x",""))</f>
        <v/>
      </c>
      <c r="V421" s="79" t="str">
        <f>IF(ISERROR(FIND('112'!$M$9,G421,1)),"",IF((AND(RIGHT(G421,2)=RIGHT('112'!$M$9,2),B421&lt;'112'!$K$9,$O421='112'!$I$6)),"x",""))</f>
        <v/>
      </c>
      <c r="W421" s="79" t="str">
        <f>IF(AND('341-CT'!$H$9=H421,OR(LEFT(N421,3)=$W$7,LEFT(O421,3)=$W$7)),"x","")</f>
        <v/>
      </c>
      <c r="X421" s="79" t="str">
        <f>IF(OR(TH!N421=TH!$X$7,O421=TH!$X$7),"x","")</f>
        <v/>
      </c>
      <c r="Y421" s="79" t="str">
        <f>IF(AND(OR(N421="131",O421="131"),H421='131-CT'!$H$9),"x","")</f>
        <v/>
      </c>
      <c r="Z421" s="79"/>
      <c r="AA421" s="79" t="str">
        <f>IF(AND(MONTH(E421)='IN-NX'!$J$5,'IN-NX'!$D$7=D421),"x","")</f>
        <v/>
      </c>
      <c r="AB421" s="79" t="str">
        <f>IF(AND(OR(LEFT(TH!N421,2)="15",LEFT(TH!O421,2)="15"),LEFT(TH!O421,3)&lt;&gt;"111",'152-CT'!$J$8=TH!F421),"x","")</f>
        <v/>
      </c>
      <c r="AC421" s="79" t="str">
        <f>IF(AND(OR(LEFT(TH!N421,2)="15",LEFT(TH!O421,2)="15"),TK!$E$7=TH!F421),"x","")</f>
        <v/>
      </c>
      <c r="AD421" s="79" t="str">
        <f>IF(AND(N421="1521",MONTH(C421)='BK-NL'!$M$11),"x","")</f>
        <v/>
      </c>
    </row>
    <row r="422" spans="1:30" ht="16.5" customHeight="1">
      <c r="A422" s="318" t="str">
        <f>IF(B422&lt;&gt;"",IF(AND(B422='IN-TC'!$S$4,OR(TH!N422="1111",TH!O422="1111")),TH!D422,""),"")</f>
        <v/>
      </c>
      <c r="B422" s="60" t="str">
        <f t="shared" si="120"/>
        <v/>
      </c>
      <c r="C422" s="974"/>
      <c r="D422" s="974"/>
      <c r="E422" s="974"/>
      <c r="F422" s="975"/>
      <c r="G422" s="976"/>
      <c r="H422" s="305"/>
      <c r="I422" s="383"/>
      <c r="J422" s="977"/>
      <c r="K422" s="383"/>
      <c r="L422" s="390"/>
      <c r="M422" s="978"/>
      <c r="N422" s="979"/>
      <c r="O422" s="979"/>
      <c r="P422" s="79" t="str">
        <f>IF(AND('331-CT'!$E$7=TH!H422,OR(N422="331",O422="331")),"x","")</f>
        <v/>
      </c>
      <c r="Q422" s="79" t="str">
        <f>IF(AND(B422='111'!$L$11,OR($N422=$Q$7,$O422=$Q$7)),"x","")</f>
        <v/>
      </c>
      <c r="R422" s="79" t="str">
        <f>IF(AND($N422=$Q$7,$B422&lt;'111'!$L$11),"x","")</f>
        <v/>
      </c>
      <c r="S422" s="79" t="str">
        <f>IF(AND($O422=$Q$7,$B422&lt;'111'!$L$11),"x","")</f>
        <v/>
      </c>
      <c r="T422" s="79" t="str">
        <f>IF(ISERROR(FIND('112'!$M$9,G422,1)),"",IF((AND(FIND('112'!$M$9,G422,1)&gt;=1,B422='112'!$K$9,OR($N422='112'!$I$6,$O422='112'!$I$6))),"x",""))</f>
        <v/>
      </c>
      <c r="U422" s="79" t="str">
        <f>IF(ISERROR(FIND('112'!$M$9,G422,1)),"",IF((AND(LEFT(G422,2)=LEFT('112'!$M$9,2),B422&lt;'112'!$K$9,$N422='112'!$I$6)),"x",""))</f>
        <v/>
      </c>
      <c r="V422" s="79" t="str">
        <f>IF(ISERROR(FIND('112'!$M$9,G422,1)),"",IF((AND(RIGHT(G422,2)=RIGHT('112'!$M$9,2),B422&lt;'112'!$K$9,$O422='112'!$I$6)),"x",""))</f>
        <v/>
      </c>
      <c r="W422" s="79" t="str">
        <f>IF(AND('341-CT'!$H$9=H422,OR(LEFT(N422,3)=$W$7,LEFT(O422,3)=$W$7)),"x","")</f>
        <v/>
      </c>
      <c r="X422" s="79" t="str">
        <f>IF(OR(TH!N422=TH!$X$7,O422=TH!$X$7),"x","")</f>
        <v/>
      </c>
      <c r="Y422" s="79" t="str">
        <f>IF(AND(OR(N422="131",O422="131"),H422='131-CT'!$H$9),"x","")</f>
        <v/>
      </c>
      <c r="Z422" s="79"/>
      <c r="AA422" s="79" t="str">
        <f>IF(AND(MONTH(E422)='IN-NX'!$J$5,'IN-NX'!$D$7=D422),"x","")</f>
        <v/>
      </c>
      <c r="AB422" s="79" t="str">
        <f>IF(AND(OR(LEFT(TH!N422,2)="15",LEFT(TH!O422,2)="15"),LEFT(TH!O422,3)&lt;&gt;"111",'152-CT'!$J$8=TH!F422),"x","")</f>
        <v/>
      </c>
      <c r="AC422" s="79" t="str">
        <f>IF(AND(OR(LEFT(TH!N422,2)="15",LEFT(TH!O422,2)="15"),TK!$E$7=TH!F422),"x","")</f>
        <v/>
      </c>
      <c r="AD422" s="79" t="str">
        <f>IF(AND(N422="1521",MONTH(C422)='BK-NL'!$M$11),"x","")</f>
        <v/>
      </c>
    </row>
    <row r="423" spans="1:30" ht="16.5" customHeight="1">
      <c r="A423" s="318" t="str">
        <f>IF(B423&lt;&gt;"",IF(AND(B423='IN-TC'!$S$4,OR(TH!N423="1111",TH!O423="1111")),TH!D423,""),"")</f>
        <v/>
      </c>
      <c r="B423" s="60" t="str">
        <f t="shared" si="120"/>
        <v/>
      </c>
      <c r="C423" s="974"/>
      <c r="D423" s="974"/>
      <c r="E423" s="974"/>
      <c r="F423" s="975"/>
      <c r="G423" s="976"/>
      <c r="H423" s="305"/>
      <c r="I423" s="383"/>
      <c r="J423" s="977"/>
      <c r="K423" s="383"/>
      <c r="L423" s="390"/>
      <c r="M423" s="978"/>
      <c r="N423" s="979"/>
      <c r="O423" s="979"/>
      <c r="P423" s="79" t="str">
        <f>IF(AND('331-CT'!$E$7=TH!H423,OR(N423="331",O423="331")),"x","")</f>
        <v/>
      </c>
      <c r="Q423" s="79" t="str">
        <f>IF(AND(B423='111'!$L$11,OR($N423=$Q$7,$O423=$Q$7)),"x","")</f>
        <v/>
      </c>
      <c r="R423" s="79" t="str">
        <f>IF(AND($N423=$Q$7,$B423&lt;'111'!$L$11),"x","")</f>
        <v/>
      </c>
      <c r="S423" s="79" t="str">
        <f>IF(AND($O423=$Q$7,$B423&lt;'111'!$L$11),"x","")</f>
        <v/>
      </c>
      <c r="T423" s="79" t="str">
        <f>IF(ISERROR(FIND('112'!$M$9,G423,1)),"",IF((AND(FIND('112'!$M$9,G423,1)&gt;=1,B423='112'!$K$9,OR($N423='112'!$I$6,$O423='112'!$I$6))),"x",""))</f>
        <v/>
      </c>
      <c r="U423" s="79" t="str">
        <f>IF(ISERROR(FIND('112'!$M$9,G423,1)),"",IF((AND(LEFT(G423,2)=LEFT('112'!$M$9,2),B423&lt;'112'!$K$9,$N423='112'!$I$6)),"x",""))</f>
        <v/>
      </c>
      <c r="V423" s="79" t="str">
        <f>IF(ISERROR(FIND('112'!$M$9,G423,1)),"",IF((AND(RIGHT(G423,2)=RIGHT('112'!$M$9,2),B423&lt;'112'!$K$9,$O423='112'!$I$6)),"x",""))</f>
        <v/>
      </c>
      <c r="W423" s="79" t="str">
        <f>IF(AND('341-CT'!$H$9=H423,OR(LEFT(N423,3)=$W$7,LEFT(O423,3)=$W$7)),"x","")</f>
        <v/>
      </c>
      <c r="X423" s="79" t="str">
        <f>IF(OR(TH!N423=TH!$X$7,O423=TH!$X$7),"x","")</f>
        <v/>
      </c>
      <c r="Y423" s="79" t="str">
        <f>IF(AND(OR(N423="131",O423="131"),H423='131-CT'!$H$9),"x","")</f>
        <v/>
      </c>
      <c r="Z423" s="79"/>
      <c r="AA423" s="79" t="str">
        <f>IF(AND(MONTH(E423)='IN-NX'!$J$5,'IN-NX'!$D$7=D423),"x","")</f>
        <v/>
      </c>
      <c r="AB423" s="79" t="str">
        <f>IF(AND(OR(LEFT(TH!N423,2)="15",LEFT(TH!O423,2)="15"),LEFT(TH!O423,3)&lt;&gt;"111",'152-CT'!$J$8=TH!F423),"x","")</f>
        <v/>
      </c>
      <c r="AC423" s="79" t="str">
        <f>IF(AND(OR(LEFT(TH!N423,2)="15",LEFT(TH!O423,2)="15"),TK!$E$7=TH!F423),"x","")</f>
        <v/>
      </c>
      <c r="AD423" s="79" t="str">
        <f>IF(AND(N423="1521",MONTH(C423)='BK-NL'!$M$11),"x","")</f>
        <v/>
      </c>
    </row>
    <row r="424" spans="1:30" ht="16.5" customHeight="1">
      <c r="A424" s="318" t="str">
        <f>IF(B424&lt;&gt;"",IF(AND(B424='IN-TC'!$S$4,OR(TH!N424="1111",TH!O424="1111")),TH!D424,""),"")</f>
        <v/>
      </c>
      <c r="B424" s="60" t="str">
        <f t="shared" si="120"/>
        <v/>
      </c>
      <c r="C424" s="974"/>
      <c r="D424" s="974"/>
      <c r="E424" s="974"/>
      <c r="F424" s="975"/>
      <c r="G424" s="976"/>
      <c r="H424" s="305"/>
      <c r="I424" s="383"/>
      <c r="J424" s="977"/>
      <c r="K424" s="383"/>
      <c r="L424" s="390"/>
      <c r="M424" s="978"/>
      <c r="N424" s="979"/>
      <c r="O424" s="979"/>
      <c r="P424" s="79" t="str">
        <f>IF(AND('331-CT'!$E$7=TH!H424,OR(N424="331",O424="331")),"x","")</f>
        <v/>
      </c>
      <c r="Q424" s="79" t="str">
        <f>IF(AND(B424='111'!$L$11,OR($N424=$Q$7,$O424=$Q$7)),"x","")</f>
        <v/>
      </c>
      <c r="R424" s="79" t="str">
        <f>IF(AND($N424=$Q$7,$B424&lt;'111'!$L$11),"x","")</f>
        <v/>
      </c>
      <c r="S424" s="79" t="str">
        <f>IF(AND($O424=$Q$7,$B424&lt;'111'!$L$11),"x","")</f>
        <v/>
      </c>
      <c r="T424" s="79" t="str">
        <f>IF(ISERROR(FIND('112'!$M$9,G424,1)),"",IF((AND(FIND('112'!$M$9,G424,1)&gt;=1,B424='112'!$K$9,OR($N424='112'!$I$6,$O424='112'!$I$6))),"x",""))</f>
        <v/>
      </c>
      <c r="U424" s="79" t="str">
        <f>IF(ISERROR(FIND('112'!$M$9,G424,1)),"",IF((AND(LEFT(G424,2)=LEFT('112'!$M$9,2),B424&lt;'112'!$K$9,$N424='112'!$I$6)),"x",""))</f>
        <v/>
      </c>
      <c r="V424" s="79" t="str">
        <f>IF(ISERROR(FIND('112'!$M$9,G424,1)),"",IF((AND(RIGHT(G424,2)=RIGHT('112'!$M$9,2),B424&lt;'112'!$K$9,$O424='112'!$I$6)),"x",""))</f>
        <v/>
      </c>
      <c r="W424" s="79" t="str">
        <f>IF(AND('341-CT'!$H$9=H424,OR(LEFT(N424,3)=$W$7,LEFT(O424,3)=$W$7)),"x","")</f>
        <v/>
      </c>
      <c r="X424" s="79" t="str">
        <f>IF(OR(TH!N424=TH!$X$7,O424=TH!$X$7),"x","")</f>
        <v/>
      </c>
      <c r="Y424" s="79" t="str">
        <f>IF(AND(OR(N424="131",O424="131"),H424='131-CT'!$H$9),"x","")</f>
        <v/>
      </c>
      <c r="Z424" s="79"/>
      <c r="AA424" s="79" t="str">
        <f>IF(AND(MONTH(E424)='IN-NX'!$J$5,'IN-NX'!$D$7=D424),"x","")</f>
        <v/>
      </c>
      <c r="AB424" s="79" t="str">
        <f>IF(AND(OR(LEFT(TH!N424,2)="15",LEFT(TH!O424,2)="15"),LEFT(TH!O424,3)&lt;&gt;"111",'152-CT'!$J$8=TH!F424),"x","")</f>
        <v/>
      </c>
      <c r="AC424" s="79" t="str">
        <f>IF(AND(OR(LEFT(TH!N424,2)="15",LEFT(TH!O424,2)="15"),TK!$E$7=TH!F424),"x","")</f>
        <v/>
      </c>
      <c r="AD424" s="79" t="str">
        <f>IF(AND(N424="1521",MONTH(C424)='BK-NL'!$M$11),"x","")</f>
        <v/>
      </c>
    </row>
    <row r="425" spans="1:30" ht="16.5" customHeight="1">
      <c r="A425" s="318" t="str">
        <f>IF(B425&lt;&gt;"",IF(AND(B425='IN-TC'!$S$4,OR(TH!N425="1111",TH!O425="1111")),TH!D425,""),"")</f>
        <v/>
      </c>
      <c r="B425" s="60" t="str">
        <f t="shared" si="120"/>
        <v/>
      </c>
      <c r="C425" s="974"/>
      <c r="D425" s="974"/>
      <c r="E425" s="974"/>
      <c r="F425" s="975"/>
      <c r="G425" s="976"/>
      <c r="H425" s="305"/>
      <c r="I425" s="383"/>
      <c r="J425" s="977"/>
      <c r="K425" s="383"/>
      <c r="L425" s="390"/>
      <c r="M425" s="978"/>
      <c r="N425" s="979"/>
      <c r="O425" s="979"/>
      <c r="P425" s="79" t="str">
        <f>IF(AND('331-CT'!$E$7=TH!H425,OR(N425="331",O425="331")),"x","")</f>
        <v/>
      </c>
      <c r="Q425" s="79" t="str">
        <f>IF(AND(B425='111'!$L$11,OR($N425=$Q$7,$O425=$Q$7)),"x","")</f>
        <v/>
      </c>
      <c r="R425" s="79" t="str">
        <f>IF(AND($N425=$Q$7,$B425&lt;'111'!$L$11),"x","")</f>
        <v/>
      </c>
      <c r="S425" s="79" t="str">
        <f>IF(AND($O425=$Q$7,$B425&lt;'111'!$L$11),"x","")</f>
        <v/>
      </c>
      <c r="T425" s="79" t="str">
        <f>IF(ISERROR(FIND('112'!$M$9,G425,1)),"",IF((AND(FIND('112'!$M$9,G425,1)&gt;=1,B425='112'!$K$9,OR($N425='112'!$I$6,$O425='112'!$I$6))),"x",""))</f>
        <v/>
      </c>
      <c r="U425" s="79" t="str">
        <f>IF(ISERROR(FIND('112'!$M$9,G425,1)),"",IF((AND(LEFT(G425,2)=LEFT('112'!$M$9,2),B425&lt;'112'!$K$9,$N425='112'!$I$6)),"x",""))</f>
        <v/>
      </c>
      <c r="V425" s="79" t="str">
        <f>IF(ISERROR(FIND('112'!$M$9,G425,1)),"",IF((AND(RIGHT(G425,2)=RIGHT('112'!$M$9,2),B425&lt;'112'!$K$9,$O425='112'!$I$6)),"x",""))</f>
        <v/>
      </c>
      <c r="W425" s="79" t="str">
        <f>IF(AND('341-CT'!$H$9=H425,OR(LEFT(N425,3)=$W$7,LEFT(O425,3)=$W$7)),"x","")</f>
        <v/>
      </c>
      <c r="X425" s="79" t="str">
        <f>IF(OR(TH!N425=TH!$X$7,O425=TH!$X$7),"x","")</f>
        <v/>
      </c>
      <c r="Y425" s="79" t="str">
        <f>IF(AND(OR(N425="131",O425="131"),H425='131-CT'!$H$9),"x","")</f>
        <v/>
      </c>
      <c r="Z425" s="79"/>
      <c r="AA425" s="79" t="str">
        <f>IF(AND(MONTH(E425)='IN-NX'!$J$5,'IN-NX'!$D$7=D425),"x","")</f>
        <v/>
      </c>
      <c r="AB425" s="79" t="str">
        <f>IF(AND(OR(LEFT(TH!N425,2)="15",LEFT(TH!O425,2)="15"),LEFT(TH!O425,3)&lt;&gt;"111",'152-CT'!$J$8=TH!F425),"x","")</f>
        <v/>
      </c>
      <c r="AC425" s="79" t="str">
        <f>IF(AND(OR(LEFT(TH!N425,2)="15",LEFT(TH!O425,2)="15"),TK!$E$7=TH!F425),"x","")</f>
        <v/>
      </c>
      <c r="AD425" s="79" t="str">
        <f>IF(AND(N425="1521",MONTH(C425)='BK-NL'!$M$11),"x","")</f>
        <v/>
      </c>
    </row>
    <row r="426" spans="1:30" ht="16.5" customHeight="1">
      <c r="A426" s="318" t="str">
        <f>IF(B426&lt;&gt;"",IF(AND(B426='IN-TC'!$S$4,OR(TH!N426="1111",TH!O426="1111")),TH!D426,""),"")</f>
        <v/>
      </c>
      <c r="B426" s="60" t="str">
        <f t="shared" si="120"/>
        <v/>
      </c>
      <c r="C426" s="974"/>
      <c r="D426" s="974"/>
      <c r="E426" s="974"/>
      <c r="F426" s="975"/>
      <c r="G426" s="976"/>
      <c r="H426" s="305"/>
      <c r="I426" s="383"/>
      <c r="J426" s="977"/>
      <c r="K426" s="383"/>
      <c r="L426" s="390"/>
      <c r="M426" s="978"/>
      <c r="N426" s="979"/>
      <c r="O426" s="979"/>
      <c r="P426" s="79" t="str">
        <f>IF(AND('331-CT'!$E$7=TH!H426,OR(N426="331",O426="331")),"x","")</f>
        <v/>
      </c>
      <c r="Q426" s="79" t="str">
        <f>IF(AND(B426='111'!$L$11,OR($N426=$Q$7,$O426=$Q$7)),"x","")</f>
        <v/>
      </c>
      <c r="R426" s="79" t="str">
        <f>IF(AND($N426=$Q$7,$B426&lt;'111'!$L$11),"x","")</f>
        <v/>
      </c>
      <c r="S426" s="79" t="str">
        <f>IF(AND($O426=$Q$7,$B426&lt;'111'!$L$11),"x","")</f>
        <v/>
      </c>
      <c r="T426" s="79" t="str">
        <f>IF(ISERROR(FIND('112'!$M$9,G426,1)),"",IF((AND(FIND('112'!$M$9,G426,1)&gt;=1,B426='112'!$K$9,OR($N426='112'!$I$6,$O426='112'!$I$6))),"x",""))</f>
        <v/>
      </c>
      <c r="U426" s="79" t="str">
        <f>IF(ISERROR(FIND('112'!$M$9,G426,1)),"",IF((AND(LEFT(G426,2)=LEFT('112'!$M$9,2),B426&lt;'112'!$K$9,$N426='112'!$I$6)),"x",""))</f>
        <v/>
      </c>
      <c r="V426" s="79" t="str">
        <f>IF(ISERROR(FIND('112'!$M$9,G426,1)),"",IF((AND(RIGHT(G426,2)=RIGHT('112'!$M$9,2),B426&lt;'112'!$K$9,$O426='112'!$I$6)),"x",""))</f>
        <v/>
      </c>
      <c r="W426" s="79" t="str">
        <f>IF(AND('341-CT'!$H$9=H426,OR(LEFT(N426,3)=$W$7,LEFT(O426,3)=$W$7)),"x","")</f>
        <v/>
      </c>
      <c r="X426" s="79" t="str">
        <f>IF(OR(TH!N426=TH!$X$7,O426=TH!$X$7),"x","")</f>
        <v/>
      </c>
      <c r="Y426" s="79" t="str">
        <f>IF(AND(OR(N426="131",O426="131"),H426='131-CT'!$H$9),"x","")</f>
        <v/>
      </c>
      <c r="Z426" s="79"/>
      <c r="AA426" s="79" t="str">
        <f>IF(AND(MONTH(E426)='IN-NX'!$J$5,'IN-NX'!$D$7=D426),"x","")</f>
        <v/>
      </c>
      <c r="AB426" s="79" t="str">
        <f>IF(AND(OR(LEFT(TH!N426,2)="15",LEFT(TH!O426,2)="15"),LEFT(TH!O426,3)&lt;&gt;"111",'152-CT'!$J$8=TH!F426),"x","")</f>
        <v/>
      </c>
      <c r="AC426" s="79" t="str">
        <f>IF(AND(OR(LEFT(TH!N426,2)="15",LEFT(TH!O426,2)="15"),TK!$E$7=TH!F426),"x","")</f>
        <v/>
      </c>
      <c r="AD426" s="79" t="str">
        <f>IF(AND(N426="1521",MONTH(C426)='BK-NL'!$M$11),"x","")</f>
        <v/>
      </c>
    </row>
    <row r="427" spans="1:30" ht="16.5" customHeight="1">
      <c r="A427" s="318" t="str">
        <f>IF(B427&lt;&gt;"",IF(AND(B427='IN-TC'!$S$4,OR(TH!N427="1111",TH!O427="1111")),TH!D427,""),"")</f>
        <v/>
      </c>
      <c r="B427" s="60" t="str">
        <f t="shared" si="120"/>
        <v/>
      </c>
      <c r="C427" s="974"/>
      <c r="D427" s="974"/>
      <c r="E427" s="974"/>
      <c r="F427" s="975"/>
      <c r="G427" s="976"/>
      <c r="H427" s="305"/>
      <c r="I427" s="383"/>
      <c r="J427" s="977"/>
      <c r="K427" s="383"/>
      <c r="L427" s="390"/>
      <c r="M427" s="978"/>
      <c r="N427" s="979"/>
      <c r="O427" s="979"/>
      <c r="P427" s="79" t="str">
        <f>IF(AND('331-CT'!$E$7=TH!H427,OR(N427="331",O427="331")),"x","")</f>
        <v/>
      </c>
      <c r="Q427" s="79" t="str">
        <f>IF(AND(B427='111'!$L$11,OR($N427=$Q$7,$O427=$Q$7)),"x","")</f>
        <v/>
      </c>
      <c r="R427" s="79" t="str">
        <f>IF(AND($N427=$Q$7,$B427&lt;'111'!$L$11),"x","")</f>
        <v/>
      </c>
      <c r="S427" s="79" t="str">
        <f>IF(AND($O427=$Q$7,$B427&lt;'111'!$L$11),"x","")</f>
        <v/>
      </c>
      <c r="T427" s="79" t="str">
        <f>IF(ISERROR(FIND('112'!$M$9,G427,1)),"",IF((AND(FIND('112'!$M$9,G427,1)&gt;=1,B427='112'!$K$9,OR($N427='112'!$I$6,$O427='112'!$I$6))),"x",""))</f>
        <v/>
      </c>
      <c r="U427" s="79" t="str">
        <f>IF(ISERROR(FIND('112'!$M$9,G427,1)),"",IF((AND(LEFT(G427,2)=LEFT('112'!$M$9,2),B427&lt;'112'!$K$9,$N427='112'!$I$6)),"x",""))</f>
        <v/>
      </c>
      <c r="V427" s="79" t="str">
        <f>IF(ISERROR(FIND('112'!$M$9,G427,1)),"",IF((AND(RIGHT(G427,2)=RIGHT('112'!$M$9,2),B427&lt;'112'!$K$9,$O427='112'!$I$6)),"x",""))</f>
        <v/>
      </c>
      <c r="W427" s="79" t="str">
        <f>IF(AND('341-CT'!$H$9=H427,OR(LEFT(N427,3)=$W$7,LEFT(O427,3)=$W$7)),"x","")</f>
        <v/>
      </c>
      <c r="X427" s="79" t="str">
        <f>IF(OR(TH!N427=TH!$X$7,O427=TH!$X$7),"x","")</f>
        <v/>
      </c>
      <c r="Y427" s="79" t="str">
        <f>IF(AND(OR(N427="131",O427="131"),H427='131-CT'!$H$9),"x","")</f>
        <v/>
      </c>
      <c r="Z427" s="79"/>
      <c r="AA427" s="79" t="str">
        <f>IF(AND(MONTH(E427)='IN-NX'!$J$5,'IN-NX'!$D$7=D427),"x","")</f>
        <v/>
      </c>
      <c r="AB427" s="79" t="str">
        <f>IF(AND(OR(LEFT(TH!N427,2)="15",LEFT(TH!O427,2)="15"),LEFT(TH!O427,3)&lt;&gt;"111",'152-CT'!$J$8=TH!F427),"x","")</f>
        <v/>
      </c>
      <c r="AC427" s="79" t="str">
        <f>IF(AND(OR(LEFT(TH!N427,2)="15",LEFT(TH!O427,2)="15"),TK!$E$7=TH!F427),"x","")</f>
        <v/>
      </c>
      <c r="AD427" s="79" t="str">
        <f>IF(AND(N427="1521",MONTH(C427)='BK-NL'!$M$11),"x","")</f>
        <v/>
      </c>
    </row>
    <row r="428" spans="1:30" ht="16.5" customHeight="1">
      <c r="A428" s="318" t="str">
        <f>IF(B428&lt;&gt;"",IF(AND(B428='IN-TC'!$S$4,OR(TH!N428="1111",TH!O428="1111")),TH!D428,""),"")</f>
        <v/>
      </c>
      <c r="B428" s="60" t="str">
        <f t="shared" si="120"/>
        <v/>
      </c>
      <c r="C428" s="974"/>
      <c r="D428" s="974"/>
      <c r="E428" s="974"/>
      <c r="F428" s="975"/>
      <c r="G428" s="976"/>
      <c r="H428" s="305"/>
      <c r="I428" s="383"/>
      <c r="J428" s="977"/>
      <c r="K428" s="383"/>
      <c r="L428" s="390"/>
      <c r="M428" s="978"/>
      <c r="N428" s="979"/>
      <c r="O428" s="979"/>
      <c r="P428" s="79" t="str">
        <f>IF(AND('331-CT'!$E$7=TH!H428,OR(N428="331",O428="331")),"x","")</f>
        <v/>
      </c>
      <c r="Q428" s="79" t="str">
        <f>IF(AND(B428='111'!$L$11,OR($N428=$Q$7,$O428=$Q$7)),"x","")</f>
        <v/>
      </c>
      <c r="R428" s="79" t="str">
        <f>IF(AND($N428=$Q$7,$B428&lt;'111'!$L$11),"x","")</f>
        <v/>
      </c>
      <c r="S428" s="79" t="str">
        <f>IF(AND($O428=$Q$7,$B428&lt;'111'!$L$11),"x","")</f>
        <v/>
      </c>
      <c r="T428" s="79" t="str">
        <f>IF(ISERROR(FIND('112'!$M$9,G428,1)),"",IF((AND(FIND('112'!$M$9,G428,1)&gt;=1,B428='112'!$K$9,OR($N428='112'!$I$6,$O428='112'!$I$6))),"x",""))</f>
        <v/>
      </c>
      <c r="U428" s="79" t="str">
        <f>IF(ISERROR(FIND('112'!$M$9,G428,1)),"",IF((AND(LEFT(G428,2)=LEFT('112'!$M$9,2),B428&lt;'112'!$K$9,$N428='112'!$I$6)),"x",""))</f>
        <v/>
      </c>
      <c r="V428" s="79" t="str">
        <f>IF(ISERROR(FIND('112'!$M$9,G428,1)),"",IF((AND(RIGHT(G428,2)=RIGHT('112'!$M$9,2),B428&lt;'112'!$K$9,$O428='112'!$I$6)),"x",""))</f>
        <v/>
      </c>
      <c r="W428" s="79" t="str">
        <f>IF(AND('341-CT'!$H$9=H428,OR(LEFT(N428,3)=$W$7,LEFT(O428,3)=$W$7)),"x","")</f>
        <v/>
      </c>
      <c r="X428" s="79" t="str">
        <f>IF(OR(TH!N428=TH!$X$7,O428=TH!$X$7),"x","")</f>
        <v/>
      </c>
      <c r="Y428" s="79" t="str">
        <f>IF(AND(OR(N428="131",O428="131"),H428='131-CT'!$H$9),"x","")</f>
        <v/>
      </c>
      <c r="Z428" s="79"/>
      <c r="AA428" s="79" t="str">
        <f>IF(AND(MONTH(E428)='IN-NX'!$J$5,'IN-NX'!$D$7=D428),"x","")</f>
        <v/>
      </c>
      <c r="AB428" s="79" t="str">
        <f>IF(AND(OR(LEFT(TH!N428,2)="15",LEFT(TH!O428,2)="15"),LEFT(TH!O428,3)&lt;&gt;"111",'152-CT'!$J$8=TH!F428),"x","")</f>
        <v/>
      </c>
      <c r="AC428" s="79" t="str">
        <f>IF(AND(OR(LEFT(TH!N428,2)="15",LEFT(TH!O428,2)="15"),TK!$E$7=TH!F428),"x","")</f>
        <v/>
      </c>
      <c r="AD428" s="79" t="str">
        <f>IF(AND(N428="1521",MONTH(C428)='BK-NL'!$M$11),"x","")</f>
        <v/>
      </c>
    </row>
    <row r="429" spans="1:30" ht="16.5" customHeight="1">
      <c r="A429" s="318" t="str">
        <f>IF(B429&lt;&gt;"",IF(AND(B429='IN-TC'!$S$4,OR(TH!N429="1111",TH!O429="1111")),TH!D429,""),"")</f>
        <v/>
      </c>
      <c r="B429" s="60" t="str">
        <f t="shared" si="120"/>
        <v/>
      </c>
      <c r="C429" s="974"/>
      <c r="D429" s="974"/>
      <c r="E429" s="974"/>
      <c r="F429" s="975"/>
      <c r="G429" s="976"/>
      <c r="H429" s="305"/>
      <c r="I429" s="383"/>
      <c r="J429" s="977"/>
      <c r="K429" s="383"/>
      <c r="L429" s="390"/>
      <c r="M429" s="978"/>
      <c r="N429" s="979"/>
      <c r="O429" s="979"/>
      <c r="P429" s="79" t="str">
        <f>IF(AND('331-CT'!$E$7=TH!H429,OR(N429="331",O429="331")),"x","")</f>
        <v/>
      </c>
      <c r="Q429" s="79" t="str">
        <f>IF(AND(B429='111'!$L$11,OR($N429=$Q$7,$O429=$Q$7)),"x","")</f>
        <v/>
      </c>
      <c r="R429" s="79" t="str">
        <f>IF(AND($N429=$Q$7,$B429&lt;'111'!$L$11),"x","")</f>
        <v/>
      </c>
      <c r="S429" s="79" t="str">
        <f>IF(AND($O429=$Q$7,$B429&lt;'111'!$L$11),"x","")</f>
        <v/>
      </c>
      <c r="T429" s="79" t="str">
        <f>IF(ISERROR(FIND('112'!$M$9,G429,1)),"",IF((AND(FIND('112'!$M$9,G429,1)&gt;=1,B429='112'!$K$9,OR($N429='112'!$I$6,$O429='112'!$I$6))),"x",""))</f>
        <v/>
      </c>
      <c r="U429" s="79" t="str">
        <f>IF(ISERROR(FIND('112'!$M$9,G429,1)),"",IF((AND(LEFT(G429,2)=LEFT('112'!$M$9,2),B429&lt;'112'!$K$9,$N429='112'!$I$6)),"x",""))</f>
        <v/>
      </c>
      <c r="V429" s="79" t="str">
        <f>IF(ISERROR(FIND('112'!$M$9,G429,1)),"",IF((AND(RIGHT(G429,2)=RIGHT('112'!$M$9,2),B429&lt;'112'!$K$9,$O429='112'!$I$6)),"x",""))</f>
        <v/>
      </c>
      <c r="W429" s="79" t="str">
        <f>IF(AND('341-CT'!$H$9=H429,OR(LEFT(N429,3)=$W$7,LEFT(O429,3)=$W$7)),"x","")</f>
        <v/>
      </c>
      <c r="X429" s="79" t="str">
        <f>IF(OR(TH!N429=TH!$X$7,O429=TH!$X$7),"x","")</f>
        <v/>
      </c>
      <c r="Y429" s="79" t="str">
        <f>IF(AND(OR(N429="131",O429="131"),H429='131-CT'!$H$9),"x","")</f>
        <v/>
      </c>
      <c r="Z429" s="79"/>
      <c r="AA429" s="79" t="str">
        <f>IF(AND(MONTH(E429)='IN-NX'!$J$5,'IN-NX'!$D$7=D429),"x","")</f>
        <v/>
      </c>
      <c r="AB429" s="79" t="str">
        <f>IF(AND(OR(LEFT(TH!N429,2)="15",LEFT(TH!O429,2)="15"),LEFT(TH!O429,3)&lt;&gt;"111",'152-CT'!$J$8=TH!F429),"x","")</f>
        <v/>
      </c>
      <c r="AC429" s="79" t="str">
        <f>IF(AND(OR(LEFT(TH!N429,2)="15",LEFT(TH!O429,2)="15"),TK!$E$7=TH!F429),"x","")</f>
        <v/>
      </c>
      <c r="AD429" s="79" t="str">
        <f>IF(AND(N429="1521",MONTH(C429)='BK-NL'!$M$11),"x","")</f>
        <v/>
      </c>
    </row>
    <row r="430" spans="1:30" ht="16.5" customHeight="1">
      <c r="A430" s="318" t="str">
        <f>IF(B430&lt;&gt;"",IF(AND(B430='IN-TC'!$S$4,OR(TH!N430="1111",TH!O430="1111")),TH!D430,""),"")</f>
        <v/>
      </c>
      <c r="B430" s="60" t="str">
        <f t="shared" si="120"/>
        <v/>
      </c>
      <c r="C430" s="974"/>
      <c r="D430" s="974"/>
      <c r="E430" s="974"/>
      <c r="F430" s="975"/>
      <c r="G430" s="976"/>
      <c r="H430" s="759"/>
      <c r="I430" s="383"/>
      <c r="J430" s="977"/>
      <c r="K430" s="383"/>
      <c r="L430" s="390"/>
      <c r="M430" s="978"/>
      <c r="N430" s="979"/>
      <c r="O430" s="979"/>
      <c r="P430" s="79" t="str">
        <f>IF(AND('331-CT'!$E$7=TH!H430,OR(N430="331",O430="331")),"x","")</f>
        <v/>
      </c>
      <c r="Q430" s="79" t="str">
        <f>IF(AND(B430='111'!$L$11,OR($N430=$Q$7,$O430=$Q$7)),"x","")</f>
        <v/>
      </c>
      <c r="R430" s="79" t="str">
        <f>IF(AND($N430=$Q$7,$B430&lt;'111'!$L$11),"x","")</f>
        <v/>
      </c>
      <c r="S430" s="79" t="str">
        <f>IF(AND($O430=$Q$7,$B430&lt;'111'!$L$11),"x","")</f>
        <v/>
      </c>
      <c r="T430" s="79" t="str">
        <f>IF(ISERROR(FIND('112'!$M$9,G430,1)),"",IF((AND(FIND('112'!$M$9,G430,1)&gt;=1,B430='112'!$K$9,OR($N430='112'!$I$6,$O430='112'!$I$6))),"x",""))</f>
        <v/>
      </c>
      <c r="U430" s="79" t="str">
        <f>IF(ISERROR(FIND('112'!$M$9,G430,1)),"",IF((AND(LEFT(G430,2)=LEFT('112'!$M$9,2),B430&lt;'112'!$K$9,$N430='112'!$I$6)),"x",""))</f>
        <v/>
      </c>
      <c r="V430" s="79" t="str">
        <f>IF(ISERROR(FIND('112'!$M$9,G430,1)),"",IF((AND(RIGHT(G430,2)=RIGHT('112'!$M$9,2),B430&lt;'112'!$K$9,$O430='112'!$I$6)),"x",""))</f>
        <v/>
      </c>
      <c r="W430" s="79" t="str">
        <f>IF(AND('341-CT'!$H$9=H430,OR(LEFT(N430,3)=$W$7,LEFT(O430,3)=$W$7)),"x","")</f>
        <v/>
      </c>
      <c r="X430" s="79" t="str">
        <f>IF(OR(TH!N430=TH!$X$7,O430=TH!$X$7),"x","")</f>
        <v/>
      </c>
      <c r="Y430" s="79" t="str">
        <f>IF(AND(OR(N430="131",O430="131"),H430='131-CT'!$H$9),"x","")</f>
        <v/>
      </c>
      <c r="Z430" s="79"/>
      <c r="AA430" s="79" t="str">
        <f>IF(AND(MONTH(E430)='IN-NX'!$J$5,'IN-NX'!$D$7=D430),"x","")</f>
        <v/>
      </c>
      <c r="AB430" s="79" t="str">
        <f>IF(AND(OR(LEFT(TH!N430,2)="15",LEFT(TH!O430,2)="15"),LEFT(TH!O430,3)&lt;&gt;"111",'152-CT'!$J$8=TH!F430),"x","")</f>
        <v/>
      </c>
      <c r="AC430" s="79" t="str">
        <f>IF(AND(OR(LEFT(TH!N430,2)="15",LEFT(TH!O430,2)="15"),TK!$E$7=TH!F430),"x","")</f>
        <v/>
      </c>
      <c r="AD430" s="79" t="str">
        <f>IF(AND(N430="1521",MONTH(C430)='BK-NL'!$M$11),"x","")</f>
        <v/>
      </c>
    </row>
    <row r="431" spans="1:30" ht="16.5" customHeight="1">
      <c r="A431" s="318" t="str">
        <f>IF(B431&lt;&gt;"",IF(AND(B431='IN-TC'!$S$4,OR(TH!N431="1111",TH!O431="1111")),TH!D431,""),"")</f>
        <v/>
      </c>
      <c r="B431" s="60" t="str">
        <f t="shared" si="120"/>
        <v/>
      </c>
      <c r="C431" s="974"/>
      <c r="D431" s="974"/>
      <c r="E431" s="974"/>
      <c r="F431" s="975"/>
      <c r="G431" s="976"/>
      <c r="H431" s="759"/>
      <c r="I431" s="383"/>
      <c r="J431" s="977"/>
      <c r="K431" s="383"/>
      <c r="L431" s="390"/>
      <c r="M431" s="978"/>
      <c r="N431" s="979"/>
      <c r="O431" s="979"/>
      <c r="P431" s="79" t="str">
        <f>IF(AND('331-CT'!$E$7=TH!H431,OR(N431="331",O431="331")),"x","")</f>
        <v/>
      </c>
      <c r="Q431" s="79" t="str">
        <f>IF(AND(B431='111'!$L$11,OR($N431=$Q$7,$O431=$Q$7)),"x","")</f>
        <v/>
      </c>
      <c r="R431" s="79" t="str">
        <f>IF(AND($N431=$Q$7,$B431&lt;'111'!$L$11),"x","")</f>
        <v/>
      </c>
      <c r="S431" s="79" t="str">
        <f>IF(AND($O431=$Q$7,$B431&lt;'111'!$L$11),"x","")</f>
        <v/>
      </c>
      <c r="T431" s="79" t="str">
        <f>IF(ISERROR(FIND('112'!$M$9,G431,1)),"",IF((AND(FIND('112'!$M$9,G431,1)&gt;=1,B431='112'!$K$9,OR($N431='112'!$I$6,$O431='112'!$I$6))),"x",""))</f>
        <v/>
      </c>
      <c r="U431" s="79" t="str">
        <f>IF(ISERROR(FIND('112'!$M$9,G431,1)),"",IF((AND(LEFT(G431,2)=LEFT('112'!$M$9,2),B431&lt;'112'!$K$9,$N431='112'!$I$6)),"x",""))</f>
        <v/>
      </c>
      <c r="V431" s="79" t="str">
        <f>IF(ISERROR(FIND('112'!$M$9,G431,1)),"",IF((AND(RIGHT(G431,2)=RIGHT('112'!$M$9,2),B431&lt;'112'!$K$9,$O431='112'!$I$6)),"x",""))</f>
        <v/>
      </c>
      <c r="W431" s="79" t="str">
        <f>IF(AND('341-CT'!$H$9=H431,OR(LEFT(N431,3)=$W$7,LEFT(O431,3)=$W$7)),"x","")</f>
        <v/>
      </c>
      <c r="X431" s="79" t="str">
        <f>IF(OR(TH!N431=TH!$X$7,O431=TH!$X$7),"x","")</f>
        <v/>
      </c>
      <c r="Y431" s="79" t="str">
        <f>IF(AND(OR(N431="131",O431="131"),H431='131-CT'!$H$9),"x","")</f>
        <v/>
      </c>
      <c r="Z431" s="79"/>
      <c r="AA431" s="79" t="str">
        <f>IF(AND(MONTH(E431)='IN-NX'!$J$5,'IN-NX'!$D$7=D431),"x","")</f>
        <v/>
      </c>
      <c r="AB431" s="79" t="str">
        <f>IF(AND(OR(LEFT(TH!N431,2)="15",LEFT(TH!O431,2)="15"),LEFT(TH!O431,3)&lt;&gt;"111",'152-CT'!$J$8=TH!F431),"x","")</f>
        <v/>
      </c>
      <c r="AC431" s="79" t="str">
        <f>IF(AND(OR(LEFT(TH!N431,2)="15",LEFT(TH!O431,2)="15"),TK!$E$7=TH!F431),"x","")</f>
        <v/>
      </c>
      <c r="AD431" s="79" t="str">
        <f>IF(AND(N431="1521",MONTH(C431)='BK-NL'!$M$11),"x","")</f>
        <v/>
      </c>
    </row>
    <row r="432" spans="1:30" ht="16.5" customHeight="1">
      <c r="A432" s="318" t="str">
        <f>IF(B432&lt;&gt;"",IF(AND(B432='IN-TC'!$S$4,OR(TH!N432="1111",TH!O432="1111")),TH!D432,""),"")</f>
        <v/>
      </c>
      <c r="B432" s="60" t="str">
        <f t="shared" si="120"/>
        <v/>
      </c>
      <c r="C432" s="974"/>
      <c r="D432" s="974"/>
      <c r="E432" s="974"/>
      <c r="F432" s="975"/>
      <c r="G432" s="976"/>
      <c r="H432" s="759"/>
      <c r="I432" s="383"/>
      <c r="J432" s="977"/>
      <c r="K432" s="383"/>
      <c r="L432" s="390"/>
      <c r="M432" s="978"/>
      <c r="N432" s="979"/>
      <c r="O432" s="979"/>
      <c r="P432" s="79" t="str">
        <f>IF(AND('331-CT'!$E$7=TH!H432,OR(N432="331",O432="331")),"x","")</f>
        <v/>
      </c>
      <c r="Q432" s="79" t="str">
        <f>IF(AND(B432='111'!$L$11,OR($N432=$Q$7,$O432=$Q$7)),"x","")</f>
        <v/>
      </c>
      <c r="R432" s="79" t="str">
        <f>IF(AND($N432=$Q$7,$B432&lt;'111'!$L$11),"x","")</f>
        <v/>
      </c>
      <c r="S432" s="79" t="str">
        <f>IF(AND($O432=$Q$7,$B432&lt;'111'!$L$11),"x","")</f>
        <v/>
      </c>
      <c r="T432" s="79" t="str">
        <f>IF(ISERROR(FIND('112'!$M$9,G432,1)),"",IF((AND(FIND('112'!$M$9,G432,1)&gt;=1,B432='112'!$K$9,OR($N432='112'!$I$6,$O432='112'!$I$6))),"x",""))</f>
        <v/>
      </c>
      <c r="U432" s="79" t="str">
        <f>IF(ISERROR(FIND('112'!$M$9,G432,1)),"",IF((AND(LEFT(G432,2)=LEFT('112'!$M$9,2),B432&lt;'112'!$K$9,$N432='112'!$I$6)),"x",""))</f>
        <v/>
      </c>
      <c r="V432" s="79" t="str">
        <f>IF(ISERROR(FIND('112'!$M$9,G432,1)),"",IF((AND(RIGHT(G432,2)=RIGHT('112'!$M$9,2),B432&lt;'112'!$K$9,$O432='112'!$I$6)),"x",""))</f>
        <v/>
      </c>
      <c r="W432" s="79" t="str">
        <f>IF(AND('341-CT'!$H$9=H432,OR(LEFT(N432,3)=$W$7,LEFT(O432,3)=$W$7)),"x","")</f>
        <v/>
      </c>
      <c r="X432" s="79" t="str">
        <f>IF(OR(TH!N432=TH!$X$7,O432=TH!$X$7),"x","")</f>
        <v/>
      </c>
      <c r="Y432" s="79" t="str">
        <f>IF(AND(OR(N432="131",O432="131"),H432='131-CT'!$H$9),"x","")</f>
        <v/>
      </c>
      <c r="Z432" s="79"/>
      <c r="AA432" s="79" t="str">
        <f>IF(AND(MONTH(E432)='IN-NX'!$J$5,'IN-NX'!$D$7=D432),"x","")</f>
        <v/>
      </c>
      <c r="AB432" s="79" t="str">
        <f>IF(AND(OR(LEFT(TH!N432,2)="15",LEFT(TH!O432,2)="15"),LEFT(TH!O432,3)&lt;&gt;"111",'152-CT'!$J$8=TH!F432),"x","")</f>
        <v/>
      </c>
      <c r="AC432" s="79" t="str">
        <f>IF(AND(OR(LEFT(TH!N432,2)="15",LEFT(TH!O432,2)="15"),TK!$E$7=TH!F432),"x","")</f>
        <v/>
      </c>
      <c r="AD432" s="79" t="str">
        <f>IF(AND(N432="1521",MONTH(C432)='BK-NL'!$M$11),"x","")</f>
        <v/>
      </c>
    </row>
    <row r="433" spans="1:30" ht="16.5" customHeight="1">
      <c r="A433" s="318" t="str">
        <f>IF(B433&lt;&gt;"",IF(AND(B433='IN-TC'!$S$4,OR(TH!N433="1111",TH!O433="1111")),TH!D433,""),"")</f>
        <v/>
      </c>
      <c r="B433" s="60" t="str">
        <f t="shared" si="120"/>
        <v/>
      </c>
      <c r="C433" s="974"/>
      <c r="D433" s="974"/>
      <c r="E433" s="974"/>
      <c r="F433" s="975"/>
      <c r="G433" s="976"/>
      <c r="H433" s="759"/>
      <c r="I433" s="383"/>
      <c r="J433" s="977"/>
      <c r="K433" s="383"/>
      <c r="L433" s="390"/>
      <c r="M433" s="978"/>
      <c r="N433" s="979"/>
      <c r="O433" s="979"/>
      <c r="P433" s="79" t="str">
        <f>IF(AND('331-CT'!$E$7=TH!H433,OR(N433="331",O433="331")),"x","")</f>
        <v/>
      </c>
      <c r="Q433" s="79" t="str">
        <f>IF(AND(B433='111'!$L$11,OR($N433=$Q$7,$O433=$Q$7)),"x","")</f>
        <v/>
      </c>
      <c r="R433" s="79" t="str">
        <f>IF(AND($N433=$Q$7,$B433&lt;'111'!$L$11),"x","")</f>
        <v/>
      </c>
      <c r="S433" s="79" t="str">
        <f>IF(AND($O433=$Q$7,$B433&lt;'111'!$L$11),"x","")</f>
        <v/>
      </c>
      <c r="T433" s="79" t="str">
        <f>IF(ISERROR(FIND('112'!$M$9,G433,1)),"",IF((AND(FIND('112'!$M$9,G433,1)&gt;=1,B433='112'!$K$9,OR($N433='112'!$I$6,$O433='112'!$I$6))),"x",""))</f>
        <v/>
      </c>
      <c r="U433" s="79" t="str">
        <f>IF(ISERROR(FIND('112'!$M$9,G433,1)),"",IF((AND(LEFT(G433,2)=LEFT('112'!$M$9,2),B433&lt;'112'!$K$9,$N433='112'!$I$6)),"x",""))</f>
        <v/>
      </c>
      <c r="V433" s="79" t="str">
        <f>IF(ISERROR(FIND('112'!$M$9,G433,1)),"",IF((AND(RIGHT(G433,2)=RIGHT('112'!$M$9,2),B433&lt;'112'!$K$9,$O433='112'!$I$6)),"x",""))</f>
        <v/>
      </c>
      <c r="W433" s="79" t="str">
        <f>IF(AND('341-CT'!$H$9=H433,OR(LEFT(N433,3)=$W$7,LEFT(O433,3)=$W$7)),"x","")</f>
        <v/>
      </c>
      <c r="X433" s="79" t="str">
        <f>IF(OR(TH!N433=TH!$X$7,O433=TH!$X$7),"x","")</f>
        <v/>
      </c>
      <c r="Y433" s="79" t="str">
        <f>IF(AND(OR(N433="131",O433="131"),H433='131-CT'!$H$9),"x","")</f>
        <v/>
      </c>
      <c r="Z433" s="79"/>
      <c r="AA433" s="79" t="str">
        <f>IF(AND(MONTH(E433)='IN-NX'!$J$5,'IN-NX'!$D$7=D433),"x","")</f>
        <v/>
      </c>
      <c r="AB433" s="79" t="str">
        <f>IF(AND(OR(LEFT(TH!N433,2)="15",LEFT(TH!O433,2)="15"),LEFT(TH!O433,3)&lt;&gt;"111",'152-CT'!$J$8=TH!F433),"x","")</f>
        <v/>
      </c>
      <c r="AC433" s="79" t="str">
        <f>IF(AND(OR(LEFT(TH!N433,2)="15",LEFT(TH!O433,2)="15"),TK!$E$7=TH!F433),"x","")</f>
        <v/>
      </c>
      <c r="AD433" s="79" t="str">
        <f>IF(AND(N433="1521",MONTH(C433)='BK-NL'!$M$11),"x","")</f>
        <v/>
      </c>
    </row>
    <row r="434" spans="1:30" ht="16.5" customHeight="1">
      <c r="A434" s="318" t="str">
        <f>IF(B434&lt;&gt;"",IF(AND(B434='IN-TC'!$S$4,OR(TH!N434="1111",TH!O434="1111")),TH!D434,""),"")</f>
        <v/>
      </c>
      <c r="B434" s="60" t="str">
        <f t="shared" si="120"/>
        <v/>
      </c>
      <c r="C434" s="974"/>
      <c r="D434" s="974"/>
      <c r="E434" s="974"/>
      <c r="F434" s="975"/>
      <c r="G434" s="976"/>
      <c r="H434" s="759"/>
      <c r="I434" s="383"/>
      <c r="J434" s="977"/>
      <c r="K434" s="383"/>
      <c r="L434" s="390"/>
      <c r="M434" s="978"/>
      <c r="N434" s="979"/>
      <c r="O434" s="979"/>
      <c r="P434" s="79" t="str">
        <f>IF(AND('331-CT'!$E$7=TH!H434,OR(N434="331",O434="331")),"x","")</f>
        <v/>
      </c>
      <c r="Q434" s="79" t="str">
        <f>IF(AND(B434='111'!$L$11,OR($N434=$Q$7,$O434=$Q$7)),"x","")</f>
        <v/>
      </c>
      <c r="R434" s="79" t="str">
        <f>IF(AND($N434=$Q$7,$B434&lt;'111'!$L$11),"x","")</f>
        <v/>
      </c>
      <c r="S434" s="79" t="str">
        <f>IF(AND($O434=$Q$7,$B434&lt;'111'!$L$11),"x","")</f>
        <v/>
      </c>
      <c r="T434" s="79" t="str">
        <f>IF(ISERROR(FIND('112'!$M$9,G434,1)),"",IF((AND(FIND('112'!$M$9,G434,1)&gt;=1,B434='112'!$K$9,OR($N434='112'!$I$6,$O434='112'!$I$6))),"x",""))</f>
        <v/>
      </c>
      <c r="U434" s="79" t="str">
        <f>IF(ISERROR(FIND('112'!$M$9,G434,1)),"",IF((AND(LEFT(G434,2)=LEFT('112'!$M$9,2),B434&lt;'112'!$K$9,$N434='112'!$I$6)),"x",""))</f>
        <v/>
      </c>
      <c r="V434" s="79" t="str">
        <f>IF(ISERROR(FIND('112'!$M$9,G434,1)),"",IF((AND(RIGHT(G434,2)=RIGHT('112'!$M$9,2),B434&lt;'112'!$K$9,$O434='112'!$I$6)),"x",""))</f>
        <v/>
      </c>
      <c r="W434" s="79" t="str">
        <f>IF(AND('341-CT'!$H$9=H434,OR(LEFT(N434,3)=$W$7,LEFT(O434,3)=$W$7)),"x","")</f>
        <v/>
      </c>
      <c r="X434" s="79" t="str">
        <f>IF(OR(TH!N434=TH!$X$7,O434=TH!$X$7),"x","")</f>
        <v/>
      </c>
      <c r="Y434" s="79" t="str">
        <f>IF(AND(OR(N434="131",O434="131"),H434='131-CT'!$H$9),"x","")</f>
        <v/>
      </c>
      <c r="Z434" s="79"/>
      <c r="AA434" s="79" t="str">
        <f>IF(AND(MONTH(E434)='IN-NX'!$J$5,'IN-NX'!$D$7=D434),"x","")</f>
        <v/>
      </c>
      <c r="AB434" s="79" t="str">
        <f>IF(AND(OR(LEFT(TH!N434,2)="15",LEFT(TH!O434,2)="15"),LEFT(TH!O434,3)&lt;&gt;"111",'152-CT'!$J$8=TH!F434),"x","")</f>
        <v/>
      </c>
      <c r="AC434" s="79" t="str">
        <f>IF(AND(OR(LEFT(TH!N434,2)="15",LEFT(TH!O434,2)="15"),TK!$E$7=TH!F434),"x","")</f>
        <v/>
      </c>
      <c r="AD434" s="79" t="str">
        <f>IF(AND(N434="1521",MONTH(C434)='BK-NL'!$M$11),"x","")</f>
        <v/>
      </c>
    </row>
    <row r="435" spans="1:30" ht="16.5" customHeight="1">
      <c r="A435" s="318" t="str">
        <f>IF(B435&lt;&gt;"",IF(AND(B435='IN-TC'!$S$4,OR(TH!N435="1111",TH!O435="1111")),TH!D435,""),"")</f>
        <v/>
      </c>
      <c r="B435" s="60" t="str">
        <f t="shared" si="120"/>
        <v/>
      </c>
      <c r="C435" s="974"/>
      <c r="D435" s="974"/>
      <c r="E435" s="974"/>
      <c r="F435" s="975"/>
      <c r="G435" s="976"/>
      <c r="H435" s="759"/>
      <c r="I435" s="383"/>
      <c r="J435" s="977"/>
      <c r="K435" s="383"/>
      <c r="L435" s="390"/>
      <c r="M435" s="978"/>
      <c r="N435" s="979"/>
      <c r="O435" s="979"/>
      <c r="P435" s="79" t="str">
        <f>IF(AND('331-CT'!$E$7=TH!H435,OR(N435="331",O435="331")),"x","")</f>
        <v/>
      </c>
      <c r="Q435" s="79" t="str">
        <f>IF(AND(B435='111'!$L$11,OR($N435=$Q$7,$O435=$Q$7)),"x","")</f>
        <v/>
      </c>
      <c r="R435" s="79" t="str">
        <f>IF(AND($N435=$Q$7,$B435&lt;'111'!$L$11),"x","")</f>
        <v/>
      </c>
      <c r="S435" s="79" t="str">
        <f>IF(AND($O435=$Q$7,$B435&lt;'111'!$L$11),"x","")</f>
        <v/>
      </c>
      <c r="T435" s="79" t="str">
        <f>IF(ISERROR(FIND('112'!$M$9,G435,1)),"",IF((AND(FIND('112'!$M$9,G435,1)&gt;=1,B435='112'!$K$9,OR($N435='112'!$I$6,$O435='112'!$I$6))),"x",""))</f>
        <v/>
      </c>
      <c r="U435" s="79" t="str">
        <f>IF(ISERROR(FIND('112'!$M$9,G435,1)),"",IF((AND(LEFT(G435,2)=LEFT('112'!$M$9,2),B435&lt;'112'!$K$9,$N435='112'!$I$6)),"x",""))</f>
        <v/>
      </c>
      <c r="V435" s="79" t="str">
        <f>IF(ISERROR(FIND('112'!$M$9,G435,1)),"",IF((AND(RIGHT(G435,2)=RIGHT('112'!$M$9,2),B435&lt;'112'!$K$9,$O435='112'!$I$6)),"x",""))</f>
        <v/>
      </c>
      <c r="W435" s="79" t="str">
        <f>IF(AND('341-CT'!$H$9=H435,OR(LEFT(N435,3)=$W$7,LEFT(O435,3)=$W$7)),"x","")</f>
        <v/>
      </c>
      <c r="X435" s="79" t="str">
        <f>IF(OR(TH!N435=TH!$X$7,O435=TH!$X$7),"x","")</f>
        <v/>
      </c>
      <c r="Y435" s="79" t="str">
        <f>IF(AND(OR(N435="131",O435="131"),H435='131-CT'!$H$9),"x","")</f>
        <v/>
      </c>
      <c r="Z435" s="79"/>
      <c r="AA435" s="79" t="str">
        <f>IF(AND(MONTH(E435)='IN-NX'!$J$5,'IN-NX'!$D$7=D435),"x","")</f>
        <v/>
      </c>
      <c r="AB435" s="79" t="str">
        <f>IF(AND(OR(LEFT(TH!N435,2)="15",LEFT(TH!O435,2)="15"),LEFT(TH!O435,3)&lt;&gt;"111",'152-CT'!$J$8=TH!F435),"x","")</f>
        <v/>
      </c>
      <c r="AC435" s="79" t="str">
        <f>IF(AND(OR(LEFT(TH!N435,2)="15",LEFT(TH!O435,2)="15"),TK!$E$7=TH!F435),"x","")</f>
        <v/>
      </c>
      <c r="AD435" s="79" t="str">
        <f>IF(AND(N435="1521",MONTH(C435)='BK-NL'!$M$11),"x","")</f>
        <v/>
      </c>
    </row>
    <row r="436" spans="1:30" ht="16.5" customHeight="1">
      <c r="A436" s="318" t="str">
        <f>IF(B436&lt;&gt;"",IF(AND(B436='IN-TC'!$S$4,OR(TH!N436="1111",TH!O436="1111")),TH!D436,""),"")</f>
        <v/>
      </c>
      <c r="B436" s="60" t="str">
        <f t="shared" si="120"/>
        <v/>
      </c>
      <c r="C436" s="974"/>
      <c r="D436" s="974"/>
      <c r="E436" s="974"/>
      <c r="F436" s="975"/>
      <c r="G436" s="976"/>
      <c r="H436" s="77"/>
      <c r="I436" s="383"/>
      <c r="J436" s="977"/>
      <c r="K436" s="383"/>
      <c r="L436" s="390"/>
      <c r="M436" s="978"/>
      <c r="N436" s="979"/>
      <c r="O436" s="979"/>
      <c r="P436" s="79" t="str">
        <f>IF(AND('331-CT'!$E$7=TH!H436,OR(N436="331",O436="331")),"x","")</f>
        <v/>
      </c>
      <c r="Q436" s="79" t="str">
        <f>IF(AND(B436='111'!$L$11,OR($N436=$Q$7,$O436=$Q$7)),"x","")</f>
        <v/>
      </c>
      <c r="R436" s="79" t="str">
        <f>IF(AND($N436=$Q$7,$B436&lt;'111'!$L$11),"x","")</f>
        <v/>
      </c>
      <c r="S436" s="79" t="str">
        <f>IF(AND($O436=$Q$7,$B436&lt;'111'!$L$11),"x","")</f>
        <v/>
      </c>
      <c r="T436" s="79" t="str">
        <f>IF(ISERROR(FIND('112'!$M$9,G436,1)),"",IF((AND(FIND('112'!$M$9,G436,1)&gt;=1,B436='112'!$K$9,OR($N436='112'!$I$6,$O436='112'!$I$6))),"x",""))</f>
        <v/>
      </c>
      <c r="U436" s="79" t="str">
        <f>IF(ISERROR(FIND('112'!$M$9,G436,1)),"",IF((AND(LEFT(G436,2)=LEFT('112'!$M$9,2),B436&lt;'112'!$K$9,$N436='112'!$I$6)),"x",""))</f>
        <v/>
      </c>
      <c r="V436" s="79" t="str">
        <f>IF(ISERROR(FIND('112'!$M$9,G436,1)),"",IF((AND(RIGHT(G436,2)=RIGHT('112'!$M$9,2),B436&lt;'112'!$K$9,$O436='112'!$I$6)),"x",""))</f>
        <v/>
      </c>
      <c r="W436" s="79" t="str">
        <f>IF(AND('341-CT'!$H$9=H436,OR(LEFT(N436,3)=$W$7,LEFT(O436,3)=$W$7)),"x","")</f>
        <v/>
      </c>
      <c r="X436" s="79" t="str">
        <f>IF(OR(TH!N436=TH!$X$7,O436=TH!$X$7),"x","")</f>
        <v/>
      </c>
      <c r="Y436" s="79" t="str">
        <f>IF(AND(OR(N436="131",O436="131"),H436='131-CT'!$H$9),"x","")</f>
        <v/>
      </c>
      <c r="Z436" s="79"/>
      <c r="AA436" s="79" t="str">
        <f>IF(AND(MONTH(E436)='IN-NX'!$J$5,'IN-NX'!$D$7=D436),"x","")</f>
        <v/>
      </c>
      <c r="AB436" s="79" t="str">
        <f>IF(AND(OR(LEFT(TH!N436,2)="15",LEFT(TH!O436,2)="15"),LEFT(TH!O436,3)&lt;&gt;"111",'152-CT'!$J$8=TH!F436),"x","")</f>
        <v/>
      </c>
      <c r="AC436" s="79" t="str">
        <f>IF(AND(OR(LEFT(TH!N436,2)="15",LEFT(TH!O436,2)="15"),TK!$E$7=TH!F436),"x","")</f>
        <v/>
      </c>
      <c r="AD436" s="79" t="str">
        <f>IF(AND(N436="1521",MONTH(C436)='BK-NL'!$M$11),"x","")</f>
        <v/>
      </c>
    </row>
    <row r="437" spans="1:30" ht="16.5" customHeight="1">
      <c r="A437" s="318" t="str">
        <f>IF(B437&lt;&gt;"",IF(AND(B437='IN-TC'!$S$4,OR(TH!N437="1111",TH!O437="1111")),TH!D437,""),"")</f>
        <v/>
      </c>
      <c r="B437" s="60" t="str">
        <f t="shared" si="120"/>
        <v/>
      </c>
      <c r="C437" s="974"/>
      <c r="D437" s="974"/>
      <c r="E437" s="974"/>
      <c r="F437" s="975"/>
      <c r="G437" s="976"/>
      <c r="H437" s="77"/>
      <c r="I437" s="383"/>
      <c r="J437" s="977"/>
      <c r="K437" s="383"/>
      <c r="L437" s="390"/>
      <c r="M437" s="978"/>
      <c r="N437" s="979"/>
      <c r="O437" s="979"/>
      <c r="P437" s="79" t="str">
        <f>IF(AND('331-CT'!$E$7=TH!H437,OR(N437="331",O437="331")),"x","")</f>
        <v/>
      </c>
      <c r="Q437" s="79" t="str">
        <f>IF(AND(B437='111'!$L$11,OR($N437=$Q$7,$O437=$Q$7)),"x","")</f>
        <v/>
      </c>
      <c r="R437" s="79" t="str">
        <f>IF(AND($N437=$Q$7,$B437&lt;'111'!$L$11),"x","")</f>
        <v/>
      </c>
      <c r="S437" s="79" t="str">
        <f>IF(AND($O437=$Q$7,$B437&lt;'111'!$L$11),"x","")</f>
        <v/>
      </c>
      <c r="T437" s="79" t="str">
        <f>IF(ISERROR(FIND('112'!$M$9,G437,1)),"",IF((AND(FIND('112'!$M$9,G437,1)&gt;=1,B437='112'!$K$9,OR($N437='112'!$I$6,$O437='112'!$I$6))),"x",""))</f>
        <v/>
      </c>
      <c r="U437" s="79" t="str">
        <f>IF(ISERROR(FIND('112'!$M$9,G437,1)),"",IF((AND(LEFT(G437,2)=LEFT('112'!$M$9,2),B437&lt;'112'!$K$9,$N437='112'!$I$6)),"x",""))</f>
        <v/>
      </c>
      <c r="V437" s="79" t="str">
        <f>IF(ISERROR(FIND('112'!$M$9,G437,1)),"",IF((AND(RIGHT(G437,2)=RIGHT('112'!$M$9,2),B437&lt;'112'!$K$9,$O437='112'!$I$6)),"x",""))</f>
        <v/>
      </c>
      <c r="W437" s="79" t="str">
        <f>IF(AND('341-CT'!$H$9=H437,OR(LEFT(N437,3)=$W$7,LEFT(O437,3)=$W$7)),"x","")</f>
        <v/>
      </c>
      <c r="X437" s="79" t="str">
        <f>IF(OR(TH!N437=TH!$X$7,O437=TH!$X$7),"x","")</f>
        <v/>
      </c>
      <c r="Y437" s="79" t="str">
        <f>IF(AND(OR(N437="131",O437="131"),H437='131-CT'!$H$9),"x","")</f>
        <v/>
      </c>
      <c r="Z437" s="79"/>
      <c r="AA437" s="79" t="str">
        <f>IF(AND(MONTH(E437)='IN-NX'!$J$5,'IN-NX'!$D$7=D437),"x","")</f>
        <v/>
      </c>
      <c r="AB437" s="79" t="str">
        <f>IF(AND(OR(LEFT(TH!N437,2)="15",LEFT(TH!O437,2)="15"),LEFT(TH!O437,3)&lt;&gt;"111",'152-CT'!$J$8=TH!F437),"x","")</f>
        <v/>
      </c>
      <c r="AC437" s="79" t="str">
        <f>IF(AND(OR(LEFT(TH!N437,2)="15",LEFT(TH!O437,2)="15"),TK!$E$7=TH!F437),"x","")</f>
        <v/>
      </c>
      <c r="AD437" s="79" t="str">
        <f>IF(AND(N437="1521",MONTH(C437)='BK-NL'!$M$11),"x","")</f>
        <v/>
      </c>
    </row>
    <row r="438" spans="1:30" ht="16.5" customHeight="1">
      <c r="A438" s="318" t="str">
        <f>IF(B438&lt;&gt;"",IF(AND(B438='IN-TC'!$S$4,OR(TH!N438="1111",TH!O438="1111")),TH!D438,""),"")</f>
        <v/>
      </c>
      <c r="B438" s="60" t="str">
        <f t="shared" si="120"/>
        <v/>
      </c>
      <c r="C438" s="974"/>
      <c r="D438" s="974"/>
      <c r="E438" s="974"/>
      <c r="F438" s="975"/>
      <c r="G438" s="976"/>
      <c r="H438" s="77"/>
      <c r="I438" s="383"/>
      <c r="J438" s="977"/>
      <c r="K438" s="383"/>
      <c r="L438" s="390"/>
      <c r="M438" s="978"/>
      <c r="N438" s="979"/>
      <c r="O438" s="979"/>
      <c r="P438" s="79" t="str">
        <f>IF(AND('331-CT'!$E$7=TH!H438,OR(N438="331",O438="331")),"x","")</f>
        <v/>
      </c>
      <c r="Q438" s="79" t="str">
        <f>IF(AND(B438='111'!$L$11,OR($N438=$Q$7,$O438=$Q$7)),"x","")</f>
        <v/>
      </c>
      <c r="R438" s="79" t="str">
        <f>IF(AND($N438=$Q$7,$B438&lt;'111'!$L$11),"x","")</f>
        <v/>
      </c>
      <c r="S438" s="79" t="str">
        <f>IF(AND($O438=$Q$7,$B438&lt;'111'!$L$11),"x","")</f>
        <v/>
      </c>
      <c r="T438" s="79" t="str">
        <f>IF(ISERROR(FIND('112'!$M$9,G438,1)),"",IF((AND(FIND('112'!$M$9,G438,1)&gt;=1,B438='112'!$K$9,OR($N438='112'!$I$6,$O438='112'!$I$6))),"x",""))</f>
        <v/>
      </c>
      <c r="U438" s="79" t="str">
        <f>IF(ISERROR(FIND('112'!$M$9,G438,1)),"",IF((AND(LEFT(G438,2)=LEFT('112'!$M$9,2),B438&lt;'112'!$K$9,$N438='112'!$I$6)),"x",""))</f>
        <v/>
      </c>
      <c r="V438" s="79" t="str">
        <f>IF(ISERROR(FIND('112'!$M$9,G438,1)),"",IF((AND(RIGHT(G438,2)=RIGHT('112'!$M$9,2),B438&lt;'112'!$K$9,$O438='112'!$I$6)),"x",""))</f>
        <v/>
      </c>
      <c r="W438" s="79" t="str">
        <f>IF(AND('341-CT'!$H$9=H438,OR(LEFT(N438,3)=$W$7,LEFT(O438,3)=$W$7)),"x","")</f>
        <v/>
      </c>
      <c r="X438" s="79" t="str">
        <f>IF(OR(TH!N438=TH!$X$7,O438=TH!$X$7),"x","")</f>
        <v/>
      </c>
      <c r="Y438" s="79" t="str">
        <f>IF(AND(OR(N438="131",O438="131"),H438='131-CT'!$H$9),"x","")</f>
        <v/>
      </c>
      <c r="Z438" s="79"/>
      <c r="AA438" s="79" t="str">
        <f>IF(AND(MONTH(E438)='IN-NX'!$J$5,'IN-NX'!$D$7=D438),"x","")</f>
        <v/>
      </c>
      <c r="AB438" s="79" t="str">
        <f>IF(AND(OR(LEFT(TH!N438,2)="15",LEFT(TH!O438,2)="15"),LEFT(TH!O438,3)&lt;&gt;"111",'152-CT'!$J$8=TH!F438),"x","")</f>
        <v/>
      </c>
      <c r="AC438" s="79" t="str">
        <f>IF(AND(OR(LEFT(TH!N438,2)="15",LEFT(TH!O438,2)="15"),TK!$E$7=TH!F438),"x","")</f>
        <v/>
      </c>
      <c r="AD438" s="79" t="str">
        <f>IF(AND(N438="1521",MONTH(C438)='BK-NL'!$M$11),"x","")</f>
        <v/>
      </c>
    </row>
    <row r="439" spans="1:30" ht="16.5" customHeight="1">
      <c r="A439" s="318" t="str">
        <f>IF(B439&lt;&gt;"",IF(AND(B439='IN-TC'!$S$4,OR(TH!N439="1111",TH!O439="1111")),TH!D439,""),"")</f>
        <v/>
      </c>
      <c r="B439" s="60" t="str">
        <f t="shared" si="120"/>
        <v/>
      </c>
      <c r="C439" s="974"/>
      <c r="D439" s="974"/>
      <c r="E439" s="974"/>
      <c r="F439" s="975"/>
      <c r="G439" s="976"/>
      <c r="H439" s="77"/>
      <c r="I439" s="383"/>
      <c r="J439" s="977"/>
      <c r="K439" s="383"/>
      <c r="L439" s="390"/>
      <c r="M439" s="978"/>
      <c r="N439" s="979"/>
      <c r="O439" s="979"/>
      <c r="P439" s="79" t="str">
        <f>IF(AND('331-CT'!$E$7=TH!H439,OR(N439="331",O439="331")),"x","")</f>
        <v/>
      </c>
      <c r="Q439" s="79" t="str">
        <f>IF(AND(B439='111'!$L$11,OR($N439=$Q$7,$O439=$Q$7)),"x","")</f>
        <v/>
      </c>
      <c r="R439" s="79" t="str">
        <f>IF(AND($N439=$Q$7,$B439&lt;'111'!$L$11),"x","")</f>
        <v/>
      </c>
      <c r="S439" s="79" t="str">
        <f>IF(AND($O439=$Q$7,$B439&lt;'111'!$L$11),"x","")</f>
        <v/>
      </c>
      <c r="T439" s="79" t="str">
        <f>IF(ISERROR(FIND('112'!$M$9,G439,1)),"",IF((AND(FIND('112'!$M$9,G439,1)&gt;=1,B439='112'!$K$9,OR($N439='112'!$I$6,$O439='112'!$I$6))),"x",""))</f>
        <v/>
      </c>
      <c r="U439" s="79" t="str">
        <f>IF(ISERROR(FIND('112'!$M$9,G439,1)),"",IF((AND(LEFT(G439,2)=LEFT('112'!$M$9,2),B439&lt;'112'!$K$9,$N439='112'!$I$6)),"x",""))</f>
        <v/>
      </c>
      <c r="V439" s="79" t="str">
        <f>IF(ISERROR(FIND('112'!$M$9,G439,1)),"",IF((AND(RIGHT(G439,2)=RIGHT('112'!$M$9,2),B439&lt;'112'!$K$9,$O439='112'!$I$6)),"x",""))</f>
        <v/>
      </c>
      <c r="W439" s="79" t="str">
        <f>IF(AND('341-CT'!$H$9=H439,OR(LEFT(N439,3)=$W$7,LEFT(O439,3)=$W$7)),"x","")</f>
        <v/>
      </c>
      <c r="X439" s="79" t="str">
        <f>IF(OR(TH!N439=TH!$X$7,O439=TH!$X$7),"x","")</f>
        <v/>
      </c>
      <c r="Y439" s="79" t="str">
        <f>IF(AND(OR(N439="131",O439="131"),H439='131-CT'!$H$9),"x","")</f>
        <v/>
      </c>
      <c r="Z439" s="79"/>
      <c r="AA439" s="79" t="str">
        <f>IF(AND(MONTH(E439)='IN-NX'!$J$5,'IN-NX'!$D$7=D439),"x","")</f>
        <v/>
      </c>
      <c r="AB439" s="79" t="str">
        <f>IF(AND(OR(LEFT(TH!N439,2)="15",LEFT(TH!O439,2)="15"),LEFT(TH!O439,3)&lt;&gt;"111",'152-CT'!$J$8=TH!F439),"x","")</f>
        <v/>
      </c>
      <c r="AC439" s="79" t="str">
        <f>IF(AND(OR(LEFT(TH!N439,2)="15",LEFT(TH!O439,2)="15"),TK!$E$7=TH!F439),"x","")</f>
        <v/>
      </c>
      <c r="AD439" s="79" t="str">
        <f>IF(AND(N439="1521",MONTH(C439)='BK-NL'!$M$11),"x","")</f>
        <v/>
      </c>
    </row>
    <row r="440" spans="1:30" ht="16.5" customHeight="1">
      <c r="A440" s="318" t="str">
        <f>IF(B440&lt;&gt;"",IF(AND(B440='IN-TC'!$S$4,OR(TH!N440="1111",TH!O440="1111")),TH!D440,""),"")</f>
        <v/>
      </c>
      <c r="B440" s="60" t="str">
        <f t="shared" si="120"/>
        <v/>
      </c>
      <c r="C440" s="974"/>
      <c r="D440" s="974"/>
      <c r="E440" s="974"/>
      <c r="F440" s="975"/>
      <c r="G440" s="976"/>
      <c r="H440" s="77"/>
      <c r="I440" s="383"/>
      <c r="J440" s="977"/>
      <c r="K440" s="383"/>
      <c r="L440" s="390"/>
      <c r="M440" s="978"/>
      <c r="N440" s="979"/>
      <c r="O440" s="979"/>
      <c r="P440" s="79" t="str">
        <f>IF(AND('331-CT'!$E$7=TH!H440,OR(N440="331",O440="331")),"x","")</f>
        <v/>
      </c>
      <c r="Q440" s="79" t="str">
        <f>IF(AND(B440='111'!$L$11,OR($N440=$Q$7,$O440=$Q$7)),"x","")</f>
        <v/>
      </c>
      <c r="R440" s="79" t="str">
        <f>IF(AND($N440=$Q$7,$B440&lt;'111'!$L$11),"x","")</f>
        <v/>
      </c>
      <c r="S440" s="79" t="str">
        <f>IF(AND($O440=$Q$7,$B440&lt;'111'!$L$11),"x","")</f>
        <v/>
      </c>
      <c r="T440" s="79" t="str">
        <f>IF(ISERROR(FIND('112'!$M$9,G440,1)),"",IF((AND(FIND('112'!$M$9,G440,1)&gt;=1,B440='112'!$K$9,OR($N440='112'!$I$6,$O440='112'!$I$6))),"x",""))</f>
        <v/>
      </c>
      <c r="U440" s="79" t="str">
        <f>IF(ISERROR(FIND('112'!$M$9,G440,1)),"",IF((AND(LEFT(G440,2)=LEFT('112'!$M$9,2),B440&lt;'112'!$K$9,$N440='112'!$I$6)),"x",""))</f>
        <v/>
      </c>
      <c r="V440" s="79" t="str">
        <f>IF(ISERROR(FIND('112'!$M$9,G440,1)),"",IF((AND(RIGHT(G440,2)=RIGHT('112'!$M$9,2),B440&lt;'112'!$K$9,$O440='112'!$I$6)),"x",""))</f>
        <v/>
      </c>
      <c r="W440" s="79" t="str">
        <f>IF(AND('341-CT'!$H$9=H440,OR(LEFT(N440,3)=$W$7,LEFT(O440,3)=$W$7)),"x","")</f>
        <v/>
      </c>
      <c r="X440" s="79" t="str">
        <f>IF(OR(TH!N440=TH!$X$7,O440=TH!$X$7),"x","")</f>
        <v/>
      </c>
      <c r="Y440" s="79" t="str">
        <f>IF(AND(OR(N440="131",O440="131"),H440='131-CT'!$H$9),"x","")</f>
        <v/>
      </c>
      <c r="Z440" s="79"/>
      <c r="AA440" s="79" t="str">
        <f>IF(AND(MONTH(E440)='IN-NX'!$J$5,'IN-NX'!$D$7=D440),"x","")</f>
        <v/>
      </c>
      <c r="AB440" s="79" t="str">
        <f>IF(AND(OR(LEFT(TH!N440,2)="15",LEFT(TH!O440,2)="15"),LEFT(TH!O440,3)&lt;&gt;"111",'152-CT'!$J$8=TH!F440),"x","")</f>
        <v/>
      </c>
      <c r="AC440" s="79" t="str">
        <f>IF(AND(OR(LEFT(TH!N440,2)="15",LEFT(TH!O440,2)="15"),TK!$E$7=TH!F440),"x","")</f>
        <v/>
      </c>
      <c r="AD440" s="79" t="str">
        <f>IF(AND(N440="1521",MONTH(C440)='BK-NL'!$M$11),"x","")</f>
        <v/>
      </c>
    </row>
    <row r="441" spans="1:30" ht="16.5" customHeight="1">
      <c r="A441" s="318" t="str">
        <f>IF(B441&lt;&gt;"",IF(AND(B441='IN-TC'!$S$4,OR(TH!N441="1111",TH!O441="1111")),TH!D441,""),"")</f>
        <v/>
      </c>
      <c r="B441" s="60" t="str">
        <f t="shared" si="120"/>
        <v/>
      </c>
      <c r="C441" s="974"/>
      <c r="D441" s="974"/>
      <c r="E441" s="974"/>
      <c r="F441" s="975"/>
      <c r="G441" s="976"/>
      <c r="H441" s="759"/>
      <c r="I441" s="383"/>
      <c r="J441" s="977"/>
      <c r="K441" s="383"/>
      <c r="L441" s="390"/>
      <c r="M441" s="978"/>
      <c r="N441" s="979"/>
      <c r="O441" s="979"/>
      <c r="P441" s="79" t="str">
        <f>IF(AND('331-CT'!$E$7=TH!H441,OR(N441="331",O441="331")),"x","")</f>
        <v/>
      </c>
      <c r="Q441" s="79" t="str">
        <f>IF(AND(B441='111'!$L$11,OR($N441=$Q$7,$O441=$Q$7)),"x","")</f>
        <v/>
      </c>
      <c r="R441" s="79" t="str">
        <f>IF(AND($N441=$Q$7,$B441&lt;'111'!$L$11),"x","")</f>
        <v/>
      </c>
      <c r="S441" s="79" t="str">
        <f>IF(AND($O441=$Q$7,$B441&lt;'111'!$L$11),"x","")</f>
        <v/>
      </c>
      <c r="T441" s="79" t="str">
        <f>IF(ISERROR(FIND('112'!$M$9,G441,1)),"",IF((AND(FIND('112'!$M$9,G441,1)&gt;=1,B441='112'!$K$9,OR($N441='112'!$I$6,$O441='112'!$I$6))),"x",""))</f>
        <v/>
      </c>
      <c r="U441" s="79" t="str">
        <f>IF(ISERROR(FIND('112'!$M$9,G441,1)),"",IF((AND(LEFT(G441,2)=LEFT('112'!$M$9,2),B441&lt;'112'!$K$9,$N441='112'!$I$6)),"x",""))</f>
        <v/>
      </c>
      <c r="V441" s="79" t="str">
        <f>IF(ISERROR(FIND('112'!$M$9,G441,1)),"",IF((AND(RIGHT(G441,2)=RIGHT('112'!$M$9,2),B441&lt;'112'!$K$9,$O441='112'!$I$6)),"x",""))</f>
        <v/>
      </c>
      <c r="W441" s="79" t="str">
        <f>IF(AND('341-CT'!$H$9=H441,OR(LEFT(N441,3)=$W$7,LEFT(O441,3)=$W$7)),"x","")</f>
        <v/>
      </c>
      <c r="X441" s="79" t="str">
        <f>IF(OR(TH!N441=TH!$X$7,O441=TH!$X$7),"x","")</f>
        <v/>
      </c>
      <c r="Y441" s="79" t="str">
        <f>IF(AND(OR(N441="131",O441="131"),H441='131-CT'!$H$9),"x","")</f>
        <v/>
      </c>
      <c r="Z441" s="79"/>
      <c r="AA441" s="79" t="str">
        <f>IF(AND(MONTH(E441)='IN-NX'!$J$5,'IN-NX'!$D$7=D441),"x","")</f>
        <v/>
      </c>
      <c r="AB441" s="79" t="str">
        <f>IF(AND(OR(LEFT(TH!N441,2)="15",LEFT(TH!O441,2)="15"),LEFT(TH!O441,3)&lt;&gt;"111",'152-CT'!$J$8=TH!F441),"x","")</f>
        <v/>
      </c>
      <c r="AC441" s="79" t="str">
        <f>IF(AND(OR(LEFT(TH!N441,2)="15",LEFT(TH!O441,2)="15"),TK!$E$7=TH!F441),"x","")</f>
        <v/>
      </c>
      <c r="AD441" s="79" t="str">
        <f>IF(AND(N441="1521",MONTH(C441)='BK-NL'!$M$11),"x","")</f>
        <v/>
      </c>
    </row>
    <row r="442" spans="1:30" ht="16.5" customHeight="1">
      <c r="A442" s="318" t="str">
        <f>IF(B442&lt;&gt;"",IF(AND(B442='IN-TC'!$S$4,OR(TH!N442="1111",TH!O442="1111")),TH!D442,""),"")</f>
        <v/>
      </c>
      <c r="B442" s="60" t="str">
        <f t="shared" si="120"/>
        <v/>
      </c>
      <c r="C442" s="974"/>
      <c r="D442" s="974"/>
      <c r="E442" s="974"/>
      <c r="F442" s="975"/>
      <c r="G442" s="976"/>
      <c r="H442" s="759"/>
      <c r="I442" s="383"/>
      <c r="J442" s="977"/>
      <c r="K442" s="383"/>
      <c r="L442" s="390"/>
      <c r="M442" s="978"/>
      <c r="N442" s="979"/>
      <c r="O442" s="979"/>
      <c r="P442" s="79" t="str">
        <f>IF(AND('331-CT'!$E$7=TH!H442,OR(N442="331",O442="331")),"x","")</f>
        <v/>
      </c>
      <c r="Q442" s="79" t="str">
        <f>IF(AND(B442='111'!$L$11,OR($N442=$Q$7,$O442=$Q$7)),"x","")</f>
        <v/>
      </c>
      <c r="R442" s="79" t="str">
        <f>IF(AND($N442=$Q$7,$B442&lt;'111'!$L$11),"x","")</f>
        <v/>
      </c>
      <c r="S442" s="79" t="str">
        <f>IF(AND($O442=$Q$7,$B442&lt;'111'!$L$11),"x","")</f>
        <v/>
      </c>
      <c r="T442" s="79" t="str">
        <f>IF(ISERROR(FIND('112'!$M$9,G442,1)),"",IF((AND(FIND('112'!$M$9,G442,1)&gt;=1,B442='112'!$K$9,OR($N442='112'!$I$6,$O442='112'!$I$6))),"x",""))</f>
        <v/>
      </c>
      <c r="U442" s="79" t="str">
        <f>IF(ISERROR(FIND('112'!$M$9,G442,1)),"",IF((AND(LEFT(G442,2)=LEFT('112'!$M$9,2),B442&lt;'112'!$K$9,$N442='112'!$I$6)),"x",""))</f>
        <v/>
      </c>
      <c r="V442" s="79" t="str">
        <f>IF(ISERROR(FIND('112'!$M$9,G442,1)),"",IF((AND(RIGHT(G442,2)=RIGHT('112'!$M$9,2),B442&lt;'112'!$K$9,$O442='112'!$I$6)),"x",""))</f>
        <v/>
      </c>
      <c r="W442" s="79" t="str">
        <f>IF(AND('341-CT'!$H$9=H442,OR(LEFT(N442,3)=$W$7,LEFT(O442,3)=$W$7)),"x","")</f>
        <v/>
      </c>
      <c r="X442" s="79" t="str">
        <f>IF(OR(TH!N442=TH!$X$7,O442=TH!$X$7),"x","")</f>
        <v/>
      </c>
      <c r="Y442" s="79" t="str">
        <f>IF(AND(OR(N442="131",O442="131"),H442='131-CT'!$H$9),"x","")</f>
        <v/>
      </c>
      <c r="Z442" s="79"/>
      <c r="AA442" s="79" t="str">
        <f>IF(AND(MONTH(E442)='IN-NX'!$J$5,'IN-NX'!$D$7=D442),"x","")</f>
        <v/>
      </c>
      <c r="AB442" s="79" t="str">
        <f>IF(AND(OR(LEFT(TH!N442,2)="15",LEFT(TH!O442,2)="15"),LEFT(TH!O442,3)&lt;&gt;"111",'152-CT'!$J$8=TH!F442),"x","")</f>
        <v/>
      </c>
      <c r="AC442" s="79" t="str">
        <f>IF(AND(OR(LEFT(TH!N442,2)="15",LEFT(TH!O442,2)="15"),TK!$E$7=TH!F442),"x","")</f>
        <v/>
      </c>
      <c r="AD442" s="79" t="str">
        <f>IF(AND(N442="1521",MONTH(C442)='BK-NL'!$M$11),"x","")</f>
        <v/>
      </c>
    </row>
    <row r="443" spans="1:30" ht="16.5" customHeight="1">
      <c r="A443" s="318" t="str">
        <f>IF(B443&lt;&gt;"",IF(AND(B443='IN-TC'!$S$4,OR(TH!N443="1111",TH!O443="1111")),TH!D443,""),"")</f>
        <v/>
      </c>
      <c r="B443" s="60" t="str">
        <f t="shared" si="120"/>
        <v/>
      </c>
      <c r="C443" s="974"/>
      <c r="D443" s="974"/>
      <c r="E443" s="974"/>
      <c r="F443" s="975"/>
      <c r="G443" s="976"/>
      <c r="H443" s="77"/>
      <c r="I443" s="383"/>
      <c r="J443" s="977"/>
      <c r="K443" s="383"/>
      <c r="L443" s="390"/>
      <c r="M443" s="978"/>
      <c r="N443" s="979"/>
      <c r="O443" s="979"/>
      <c r="P443" s="79" t="str">
        <f>IF(AND('331-CT'!$E$7=TH!H443,OR(N443="331",O443="331")),"x","")</f>
        <v/>
      </c>
      <c r="Q443" s="79" t="str">
        <f>IF(AND(B443='111'!$L$11,OR($N443=$Q$7,$O443=$Q$7)),"x","")</f>
        <v/>
      </c>
      <c r="R443" s="79" t="str">
        <f>IF(AND($N443=$Q$7,$B443&lt;'111'!$L$11),"x","")</f>
        <v/>
      </c>
      <c r="S443" s="79" t="str">
        <f>IF(AND($O443=$Q$7,$B443&lt;'111'!$L$11),"x","")</f>
        <v/>
      </c>
      <c r="T443" s="79" t="str">
        <f>IF(ISERROR(FIND('112'!$M$9,G443,1)),"",IF((AND(FIND('112'!$M$9,G443,1)&gt;=1,B443='112'!$K$9,OR($N443='112'!$I$6,$O443='112'!$I$6))),"x",""))</f>
        <v/>
      </c>
      <c r="U443" s="79" t="str">
        <f>IF(ISERROR(FIND('112'!$M$9,G443,1)),"",IF((AND(LEFT(G443,2)=LEFT('112'!$M$9,2),B443&lt;'112'!$K$9,$N443='112'!$I$6)),"x",""))</f>
        <v/>
      </c>
      <c r="V443" s="79" t="str">
        <f>IF(ISERROR(FIND('112'!$M$9,G443,1)),"",IF((AND(RIGHT(G443,2)=RIGHT('112'!$M$9,2),B443&lt;'112'!$K$9,$O443='112'!$I$6)),"x",""))</f>
        <v/>
      </c>
      <c r="W443" s="79" t="str">
        <f>IF(AND('341-CT'!$H$9=H443,OR(LEFT(N443,3)=$W$7,LEFT(O443,3)=$W$7)),"x","")</f>
        <v/>
      </c>
      <c r="X443" s="79" t="str">
        <f>IF(OR(TH!N443=TH!$X$7,O443=TH!$X$7),"x","")</f>
        <v/>
      </c>
      <c r="Y443" s="79" t="str">
        <f>IF(AND(OR(N443="131",O443="131"),H443='131-CT'!$H$9),"x","")</f>
        <v/>
      </c>
      <c r="Z443" s="79"/>
      <c r="AA443" s="79" t="str">
        <f>IF(AND(MONTH(E443)='IN-NX'!$J$5,'IN-NX'!$D$7=D443),"x","")</f>
        <v/>
      </c>
      <c r="AB443" s="79" t="str">
        <f>IF(AND(OR(LEFT(TH!N443,2)="15",LEFT(TH!O443,2)="15"),LEFT(TH!O443,3)&lt;&gt;"111",'152-CT'!$J$8=TH!F443),"x","")</f>
        <v/>
      </c>
      <c r="AC443" s="79" t="str">
        <f>IF(AND(OR(LEFT(TH!N443,2)="15",LEFT(TH!O443,2)="15"),TK!$E$7=TH!F443),"x","")</f>
        <v/>
      </c>
      <c r="AD443" s="79" t="str">
        <f>IF(AND(N443="1521",MONTH(C443)='BK-NL'!$M$11),"x","")</f>
        <v/>
      </c>
    </row>
    <row r="444" spans="1:30" ht="16.5" customHeight="1">
      <c r="A444" s="318" t="str">
        <f>IF(B444&lt;&gt;"",IF(AND(B444='IN-TC'!$S$4,OR(TH!N444="1111",TH!O444="1111")),TH!D444,""),"")</f>
        <v/>
      </c>
      <c r="B444" s="60" t="str">
        <f t="shared" si="120"/>
        <v/>
      </c>
      <c r="C444" s="974"/>
      <c r="D444" s="974"/>
      <c r="E444" s="974"/>
      <c r="F444" s="975"/>
      <c r="G444" s="976"/>
      <c r="H444" s="77"/>
      <c r="I444" s="383"/>
      <c r="J444" s="977"/>
      <c r="K444" s="383"/>
      <c r="L444" s="390"/>
      <c r="M444" s="978"/>
      <c r="N444" s="979"/>
      <c r="O444" s="979"/>
      <c r="P444" s="79" t="str">
        <f>IF(AND('331-CT'!$E$7=TH!H444,OR(N444="331",O444="331")),"x","")</f>
        <v/>
      </c>
      <c r="Q444" s="79" t="str">
        <f>IF(AND(B444='111'!$L$11,OR($N444=$Q$7,$O444=$Q$7)),"x","")</f>
        <v/>
      </c>
      <c r="R444" s="79" t="str">
        <f>IF(AND($N444=$Q$7,$B444&lt;'111'!$L$11),"x","")</f>
        <v/>
      </c>
      <c r="S444" s="79" t="str">
        <f>IF(AND($O444=$Q$7,$B444&lt;'111'!$L$11),"x","")</f>
        <v/>
      </c>
      <c r="T444" s="79" t="str">
        <f>IF(ISERROR(FIND('112'!$M$9,G444,1)),"",IF((AND(FIND('112'!$M$9,G444,1)&gt;=1,B444='112'!$K$9,OR($N444='112'!$I$6,$O444='112'!$I$6))),"x",""))</f>
        <v/>
      </c>
      <c r="U444" s="79" t="str">
        <f>IF(ISERROR(FIND('112'!$M$9,G444,1)),"",IF((AND(LEFT(G444,2)=LEFT('112'!$M$9,2),B444&lt;'112'!$K$9,$N444='112'!$I$6)),"x",""))</f>
        <v/>
      </c>
      <c r="V444" s="79" t="str">
        <f>IF(ISERROR(FIND('112'!$M$9,G444,1)),"",IF((AND(RIGHT(G444,2)=RIGHT('112'!$M$9,2),B444&lt;'112'!$K$9,$O444='112'!$I$6)),"x",""))</f>
        <v/>
      </c>
      <c r="W444" s="79" t="str">
        <f>IF(AND('341-CT'!$H$9=H444,OR(LEFT(N444,3)=$W$7,LEFT(O444,3)=$W$7)),"x","")</f>
        <v/>
      </c>
      <c r="X444" s="79" t="str">
        <f>IF(OR(TH!N444=TH!$X$7,O444=TH!$X$7),"x","")</f>
        <v/>
      </c>
      <c r="Y444" s="79" t="str">
        <f>IF(AND(OR(N444="131",O444="131"),H444='131-CT'!$H$9),"x","")</f>
        <v/>
      </c>
      <c r="Z444" s="79"/>
      <c r="AA444" s="79" t="str">
        <f>IF(AND(MONTH(E444)='IN-NX'!$J$5,'IN-NX'!$D$7=D444),"x","")</f>
        <v/>
      </c>
      <c r="AB444" s="79" t="str">
        <f>IF(AND(OR(LEFT(TH!N444,2)="15",LEFT(TH!O444,2)="15"),LEFT(TH!O444,3)&lt;&gt;"111",'152-CT'!$J$8=TH!F444),"x","")</f>
        <v/>
      </c>
      <c r="AC444" s="79" t="str">
        <f>IF(AND(OR(LEFT(TH!N444,2)="15",LEFT(TH!O444,2)="15"),TK!$E$7=TH!F444),"x","")</f>
        <v/>
      </c>
      <c r="AD444" s="79" t="str">
        <f>IF(AND(N444="1521",MONTH(C444)='BK-NL'!$M$11),"x","")</f>
        <v/>
      </c>
    </row>
    <row r="445" spans="1:30" ht="16.5" customHeight="1">
      <c r="A445" s="318" t="str">
        <f>IF(B445&lt;&gt;"",IF(AND(B445='IN-TC'!$S$4,OR(TH!N445="1111",TH!O445="1111")),TH!D445,""),"")</f>
        <v/>
      </c>
      <c r="B445" s="60" t="str">
        <f t="shared" si="120"/>
        <v/>
      </c>
      <c r="C445" s="974"/>
      <c r="D445" s="974"/>
      <c r="E445" s="974"/>
      <c r="F445" s="975"/>
      <c r="G445" s="976"/>
      <c r="H445" s="305"/>
      <c r="I445" s="383"/>
      <c r="J445" s="977"/>
      <c r="K445" s="383"/>
      <c r="L445" s="390"/>
      <c r="M445" s="978"/>
      <c r="N445" s="979"/>
      <c r="O445" s="979"/>
      <c r="P445" s="79" t="str">
        <f>IF(AND('331-CT'!$E$7=TH!H445,OR(N445="331",O445="331")),"x","")</f>
        <v/>
      </c>
      <c r="Q445" s="79" t="str">
        <f>IF(AND(B445='111'!$L$11,OR($N445=$Q$7,$O445=$Q$7)),"x","")</f>
        <v/>
      </c>
      <c r="R445" s="79" t="str">
        <f>IF(AND($N445=$Q$7,$B445&lt;'111'!$L$11),"x","")</f>
        <v/>
      </c>
      <c r="S445" s="79" t="str">
        <f>IF(AND($O445=$Q$7,$B445&lt;'111'!$L$11),"x","")</f>
        <v/>
      </c>
      <c r="T445" s="79" t="str">
        <f>IF(ISERROR(FIND('112'!$M$9,G445,1)),"",IF((AND(FIND('112'!$M$9,G445,1)&gt;=1,B445='112'!$K$9,OR($N445='112'!$I$6,$O445='112'!$I$6))),"x",""))</f>
        <v/>
      </c>
      <c r="U445" s="79" t="str">
        <f>IF(ISERROR(FIND('112'!$M$9,G445,1)),"",IF((AND(LEFT(G445,2)=LEFT('112'!$M$9,2),B445&lt;'112'!$K$9,$N445='112'!$I$6)),"x",""))</f>
        <v/>
      </c>
      <c r="V445" s="79" t="str">
        <f>IF(ISERROR(FIND('112'!$M$9,G445,1)),"",IF((AND(RIGHT(G445,2)=RIGHT('112'!$M$9,2),B445&lt;'112'!$K$9,$O445='112'!$I$6)),"x",""))</f>
        <v/>
      </c>
      <c r="W445" s="79" t="str">
        <f>IF(AND('341-CT'!$H$9=H445,OR(LEFT(N445,3)=$W$7,LEFT(O445,3)=$W$7)),"x","")</f>
        <v/>
      </c>
      <c r="X445" s="79" t="str">
        <f>IF(OR(TH!N445=TH!$X$7,O445=TH!$X$7),"x","")</f>
        <v/>
      </c>
      <c r="Y445" s="79" t="str">
        <f>IF(AND(OR(N445="131",O445="131"),H445='131-CT'!$H$9),"x","")</f>
        <v/>
      </c>
      <c r="Z445" s="79"/>
      <c r="AA445" s="79" t="str">
        <f>IF(AND(MONTH(E445)='IN-NX'!$J$5,'IN-NX'!$D$7=D445),"x","")</f>
        <v/>
      </c>
      <c r="AB445" s="79" t="str">
        <f>IF(AND(OR(LEFT(TH!N445,2)="15",LEFT(TH!O445,2)="15"),LEFT(TH!O445,3)&lt;&gt;"111",'152-CT'!$J$8=TH!F445),"x","")</f>
        <v/>
      </c>
      <c r="AC445" s="79" t="str">
        <f>IF(AND(OR(LEFT(TH!N445,2)="15",LEFT(TH!O445,2)="15"),TK!$E$7=TH!F445),"x","")</f>
        <v/>
      </c>
      <c r="AD445" s="79" t="str">
        <f>IF(AND(N445="1521",MONTH(C445)='BK-NL'!$M$11),"x","")</f>
        <v/>
      </c>
    </row>
    <row r="446" spans="1:30" ht="16.5" customHeight="1">
      <c r="A446" s="318" t="str">
        <f>IF(B446&lt;&gt;"",IF(AND(B446='IN-TC'!$S$4,OR(TH!N446="1111",TH!O446="1111")),TH!D446,""),"")</f>
        <v/>
      </c>
      <c r="B446" s="60" t="str">
        <f t="shared" si="120"/>
        <v/>
      </c>
      <c r="C446" s="974"/>
      <c r="D446" s="974"/>
      <c r="E446" s="974"/>
      <c r="F446" s="975"/>
      <c r="G446" s="976"/>
      <c r="H446" s="305"/>
      <c r="I446" s="383"/>
      <c r="J446" s="977"/>
      <c r="K446" s="383"/>
      <c r="L446" s="390"/>
      <c r="M446" s="978"/>
      <c r="N446" s="979"/>
      <c r="O446" s="979"/>
      <c r="P446" s="79" t="str">
        <f>IF(AND('331-CT'!$E$7=TH!H446,OR(N446="331",O446="331")),"x","")</f>
        <v/>
      </c>
      <c r="Q446" s="79" t="str">
        <f>IF(AND(B446='111'!$L$11,OR($N446=$Q$7,$O446=$Q$7)),"x","")</f>
        <v/>
      </c>
      <c r="R446" s="79" t="str">
        <f>IF(AND($N446=$Q$7,$B446&lt;'111'!$L$11),"x","")</f>
        <v/>
      </c>
      <c r="S446" s="79" t="str">
        <f>IF(AND($O446=$Q$7,$B446&lt;'111'!$L$11),"x","")</f>
        <v/>
      </c>
      <c r="T446" s="79" t="str">
        <f>IF(ISERROR(FIND('112'!$M$9,G446,1)),"",IF((AND(FIND('112'!$M$9,G446,1)&gt;=1,B446='112'!$K$9,OR($N446='112'!$I$6,$O446='112'!$I$6))),"x",""))</f>
        <v/>
      </c>
      <c r="U446" s="79" t="str">
        <f>IF(ISERROR(FIND('112'!$M$9,G446,1)),"",IF((AND(LEFT(G446,2)=LEFT('112'!$M$9,2),B446&lt;'112'!$K$9,$N446='112'!$I$6)),"x",""))</f>
        <v/>
      </c>
      <c r="V446" s="79" t="str">
        <f>IF(ISERROR(FIND('112'!$M$9,G446,1)),"",IF((AND(RIGHT(G446,2)=RIGHT('112'!$M$9,2),B446&lt;'112'!$K$9,$O446='112'!$I$6)),"x",""))</f>
        <v/>
      </c>
      <c r="W446" s="79" t="str">
        <f>IF(AND('341-CT'!$H$9=H446,OR(LEFT(N446,3)=$W$7,LEFT(O446,3)=$W$7)),"x","")</f>
        <v/>
      </c>
      <c r="X446" s="79" t="str">
        <f>IF(OR(TH!N446=TH!$X$7,O446=TH!$X$7),"x","")</f>
        <v/>
      </c>
      <c r="Y446" s="79" t="str">
        <f>IF(AND(OR(N446="131",O446="131"),H446='131-CT'!$H$9),"x","")</f>
        <v/>
      </c>
      <c r="Z446" s="79"/>
      <c r="AA446" s="79" t="str">
        <f>IF(AND(MONTH(E446)='IN-NX'!$J$5,'IN-NX'!$D$7=D446),"x","")</f>
        <v/>
      </c>
      <c r="AB446" s="79" t="str">
        <f>IF(AND(OR(LEFT(TH!N446,2)="15",LEFT(TH!O446,2)="15"),LEFT(TH!O446,3)&lt;&gt;"111",'152-CT'!$J$8=TH!F446),"x","")</f>
        <v/>
      </c>
      <c r="AC446" s="79" t="str">
        <f>IF(AND(OR(LEFT(TH!N446,2)="15",LEFT(TH!O446,2)="15"),TK!$E$7=TH!F446),"x","")</f>
        <v/>
      </c>
      <c r="AD446" s="79" t="str">
        <f>IF(AND(N446="1521",MONTH(C446)='BK-NL'!$M$11),"x","")</f>
        <v/>
      </c>
    </row>
    <row r="447" spans="1:30" ht="16.5" customHeight="1">
      <c r="A447" s="318" t="str">
        <f>IF(B447&lt;&gt;"",IF(AND(B447='IN-TC'!$S$4,OR(TH!N447="1111",TH!O447="1111")),TH!D447,""),"")</f>
        <v/>
      </c>
      <c r="B447" s="60" t="str">
        <f t="shared" si="120"/>
        <v/>
      </c>
      <c r="C447" s="974"/>
      <c r="D447" s="974"/>
      <c r="E447" s="974"/>
      <c r="F447" s="975"/>
      <c r="G447" s="976"/>
      <c r="H447" s="305"/>
      <c r="I447" s="383"/>
      <c r="J447" s="977"/>
      <c r="K447" s="383"/>
      <c r="L447" s="390"/>
      <c r="M447" s="978"/>
      <c r="N447" s="979"/>
      <c r="O447" s="979"/>
      <c r="P447" s="79" t="str">
        <f>IF(AND('331-CT'!$E$7=TH!H447,OR(N447="331",O447="331")),"x","")</f>
        <v/>
      </c>
      <c r="Q447" s="79" t="str">
        <f>IF(AND(B447='111'!$L$11,OR($N447=$Q$7,$O447=$Q$7)),"x","")</f>
        <v/>
      </c>
      <c r="R447" s="79" t="str">
        <f>IF(AND($N447=$Q$7,$B447&lt;'111'!$L$11),"x","")</f>
        <v/>
      </c>
      <c r="S447" s="79" t="str">
        <f>IF(AND($O447=$Q$7,$B447&lt;'111'!$L$11),"x","")</f>
        <v/>
      </c>
      <c r="T447" s="79" t="str">
        <f>IF(ISERROR(FIND('112'!$M$9,G447,1)),"",IF((AND(FIND('112'!$M$9,G447,1)&gt;=1,B447='112'!$K$9,OR($N447='112'!$I$6,$O447='112'!$I$6))),"x",""))</f>
        <v/>
      </c>
      <c r="U447" s="79" t="str">
        <f>IF(ISERROR(FIND('112'!$M$9,G447,1)),"",IF((AND(LEFT(G447,2)=LEFT('112'!$M$9,2),B447&lt;'112'!$K$9,$N447='112'!$I$6)),"x",""))</f>
        <v/>
      </c>
      <c r="V447" s="79" t="str">
        <f>IF(ISERROR(FIND('112'!$M$9,G447,1)),"",IF((AND(RIGHT(G447,2)=RIGHT('112'!$M$9,2),B447&lt;'112'!$K$9,$O447='112'!$I$6)),"x",""))</f>
        <v/>
      </c>
      <c r="W447" s="79" t="str">
        <f>IF(AND('341-CT'!$H$9=H447,OR(LEFT(N447,3)=$W$7,LEFT(O447,3)=$W$7)),"x","")</f>
        <v/>
      </c>
      <c r="X447" s="79" t="str">
        <f>IF(OR(TH!N447=TH!$X$7,O447=TH!$X$7),"x","")</f>
        <v/>
      </c>
      <c r="Y447" s="79" t="str">
        <f>IF(AND(OR(N447="131",O447="131"),H447='131-CT'!$H$9),"x","")</f>
        <v/>
      </c>
      <c r="Z447" s="79"/>
      <c r="AA447" s="79" t="str">
        <f>IF(AND(MONTH(E447)='IN-NX'!$J$5,'IN-NX'!$D$7=D447),"x","")</f>
        <v/>
      </c>
      <c r="AB447" s="79" t="str">
        <f>IF(AND(OR(LEFT(TH!N447,2)="15",LEFT(TH!O447,2)="15"),LEFT(TH!O447,3)&lt;&gt;"111",'152-CT'!$J$8=TH!F447),"x","")</f>
        <v/>
      </c>
      <c r="AC447" s="79" t="str">
        <f>IF(AND(OR(LEFT(TH!N447,2)="15",LEFT(TH!O447,2)="15"),TK!$E$7=TH!F447),"x","")</f>
        <v/>
      </c>
      <c r="AD447" s="79" t="str">
        <f>IF(AND(N447="1521",MONTH(C447)='BK-NL'!$M$11),"x","")</f>
        <v/>
      </c>
    </row>
    <row r="448" spans="1:30" ht="16.5" customHeight="1">
      <c r="A448" s="318" t="str">
        <f>IF(B448&lt;&gt;"",IF(AND(B448='IN-TC'!$S$4,OR(TH!N448="1111",TH!O448="1111")),TH!D448,""),"")</f>
        <v/>
      </c>
      <c r="B448" s="60" t="str">
        <f t="shared" si="120"/>
        <v/>
      </c>
      <c r="C448" s="974"/>
      <c r="D448" s="974"/>
      <c r="E448" s="974"/>
      <c r="F448" s="975"/>
      <c r="G448" s="976"/>
      <c r="H448" s="305"/>
      <c r="I448" s="383"/>
      <c r="J448" s="977"/>
      <c r="K448" s="383"/>
      <c r="L448" s="390"/>
      <c r="M448" s="978"/>
      <c r="N448" s="979"/>
      <c r="O448" s="979"/>
      <c r="P448" s="79" t="str">
        <f>IF(AND('331-CT'!$E$7=TH!H448,OR(N448="331",O448="331")),"x","")</f>
        <v/>
      </c>
      <c r="Q448" s="79" t="str">
        <f>IF(AND(B448='111'!$L$11,OR($N448=$Q$7,$O448=$Q$7)),"x","")</f>
        <v/>
      </c>
      <c r="R448" s="79" t="str">
        <f>IF(AND($N448=$Q$7,$B448&lt;'111'!$L$11),"x","")</f>
        <v/>
      </c>
      <c r="S448" s="79" t="str">
        <f>IF(AND($O448=$Q$7,$B448&lt;'111'!$L$11),"x","")</f>
        <v/>
      </c>
      <c r="T448" s="79" t="str">
        <f>IF(ISERROR(FIND('112'!$M$9,G448,1)),"",IF((AND(FIND('112'!$M$9,G448,1)&gt;=1,B448='112'!$K$9,OR($N448='112'!$I$6,$O448='112'!$I$6))),"x",""))</f>
        <v/>
      </c>
      <c r="U448" s="79" t="str">
        <f>IF(ISERROR(FIND('112'!$M$9,G448,1)),"",IF((AND(LEFT(G448,2)=LEFT('112'!$M$9,2),B448&lt;'112'!$K$9,$N448='112'!$I$6)),"x",""))</f>
        <v/>
      </c>
      <c r="V448" s="79" t="str">
        <f>IF(ISERROR(FIND('112'!$M$9,G448,1)),"",IF((AND(RIGHT(G448,2)=RIGHT('112'!$M$9,2),B448&lt;'112'!$K$9,$O448='112'!$I$6)),"x",""))</f>
        <v/>
      </c>
      <c r="W448" s="79" t="str">
        <f>IF(AND('341-CT'!$H$9=H448,OR(LEFT(N448,3)=$W$7,LEFT(O448,3)=$W$7)),"x","")</f>
        <v/>
      </c>
      <c r="X448" s="79" t="str">
        <f>IF(OR(TH!N448=TH!$X$7,O448=TH!$X$7),"x","")</f>
        <v/>
      </c>
      <c r="Y448" s="79" t="str">
        <f>IF(AND(OR(N448="131",O448="131"),H448='131-CT'!$H$9),"x","")</f>
        <v/>
      </c>
      <c r="Z448" s="79"/>
      <c r="AA448" s="79" t="str">
        <f>IF(AND(MONTH(E448)='IN-NX'!$J$5,'IN-NX'!$D$7=D448),"x","")</f>
        <v/>
      </c>
      <c r="AB448" s="79" t="str">
        <f>IF(AND(OR(LEFT(TH!N448,2)="15",LEFT(TH!O448,2)="15"),LEFT(TH!O448,3)&lt;&gt;"111",'152-CT'!$J$8=TH!F448),"x","")</f>
        <v/>
      </c>
      <c r="AC448" s="79" t="str">
        <f>IF(AND(OR(LEFT(TH!N448,2)="15",LEFT(TH!O448,2)="15"),TK!$E$7=TH!F448),"x","")</f>
        <v/>
      </c>
      <c r="AD448" s="79" t="str">
        <f>IF(AND(N448="1521",MONTH(C448)='BK-NL'!$M$11),"x","")</f>
        <v/>
      </c>
    </row>
    <row r="449" spans="1:30" ht="16.5" customHeight="1">
      <c r="A449" s="318" t="str">
        <f>IF(B449&lt;&gt;"",IF(AND(B449='IN-TC'!$S$4,OR(TH!N449="1111",TH!O449="1111")),TH!D449,""),"")</f>
        <v/>
      </c>
      <c r="B449" s="60" t="str">
        <f t="shared" si="120"/>
        <v/>
      </c>
      <c r="C449" s="974"/>
      <c r="D449" s="974"/>
      <c r="E449" s="974"/>
      <c r="F449" s="975"/>
      <c r="G449" s="976"/>
      <c r="H449" s="305"/>
      <c r="I449" s="383"/>
      <c r="J449" s="977"/>
      <c r="K449" s="383"/>
      <c r="L449" s="390"/>
      <c r="M449" s="978"/>
      <c r="N449" s="979"/>
      <c r="O449" s="979"/>
      <c r="P449" s="79" t="str">
        <f>IF(AND('331-CT'!$E$7=TH!H449,OR(N449="331",O449="331")),"x","")</f>
        <v/>
      </c>
      <c r="Q449" s="79" t="str">
        <f>IF(AND(B449='111'!$L$11,OR($N449=$Q$7,$O449=$Q$7)),"x","")</f>
        <v/>
      </c>
      <c r="R449" s="79" t="str">
        <f>IF(AND($N449=$Q$7,$B449&lt;'111'!$L$11),"x","")</f>
        <v/>
      </c>
      <c r="S449" s="79" t="str">
        <f>IF(AND($O449=$Q$7,$B449&lt;'111'!$L$11),"x","")</f>
        <v/>
      </c>
      <c r="T449" s="79" t="str">
        <f>IF(ISERROR(FIND('112'!$M$9,G449,1)),"",IF((AND(FIND('112'!$M$9,G449,1)&gt;=1,B449='112'!$K$9,OR($N449='112'!$I$6,$O449='112'!$I$6))),"x",""))</f>
        <v/>
      </c>
      <c r="U449" s="79" t="str">
        <f>IF(ISERROR(FIND('112'!$M$9,G449,1)),"",IF((AND(LEFT(G449,2)=LEFT('112'!$M$9,2),B449&lt;'112'!$K$9,$N449='112'!$I$6)),"x",""))</f>
        <v/>
      </c>
      <c r="V449" s="79" t="str">
        <f>IF(ISERROR(FIND('112'!$M$9,G449,1)),"",IF((AND(RIGHT(G449,2)=RIGHT('112'!$M$9,2),B449&lt;'112'!$K$9,$O449='112'!$I$6)),"x",""))</f>
        <v/>
      </c>
      <c r="W449" s="79" t="str">
        <f>IF(AND('341-CT'!$H$9=H449,OR(LEFT(N449,3)=$W$7,LEFT(O449,3)=$W$7)),"x","")</f>
        <v/>
      </c>
      <c r="X449" s="79" t="str">
        <f>IF(OR(TH!N449=TH!$X$7,O449=TH!$X$7),"x","")</f>
        <v/>
      </c>
      <c r="Y449" s="79" t="str">
        <f>IF(AND(OR(N449="131",O449="131"),H449='131-CT'!$H$9),"x","")</f>
        <v/>
      </c>
      <c r="Z449" s="79"/>
      <c r="AA449" s="79" t="str">
        <f>IF(AND(MONTH(E449)='IN-NX'!$J$5,'IN-NX'!$D$7=D449),"x","")</f>
        <v/>
      </c>
      <c r="AB449" s="79" t="str">
        <f>IF(AND(OR(LEFT(TH!N449,2)="15",LEFT(TH!O449,2)="15"),LEFT(TH!O449,3)&lt;&gt;"111",'152-CT'!$J$8=TH!F449),"x","")</f>
        <v/>
      </c>
      <c r="AC449" s="79" t="str">
        <f>IF(AND(OR(LEFT(TH!N449,2)="15",LEFT(TH!O449,2)="15"),TK!$E$7=TH!F449),"x","")</f>
        <v/>
      </c>
      <c r="AD449" s="79" t="str">
        <f>IF(AND(N449="1521",MONTH(C449)='BK-NL'!$M$11),"x","")</f>
        <v/>
      </c>
    </row>
    <row r="450" spans="1:30" ht="16.5" customHeight="1">
      <c r="A450" s="318" t="str">
        <f>IF(B450&lt;&gt;"",IF(AND(B450='IN-TC'!$S$4,OR(TH!N450="1111",TH!O450="1111")),TH!D450,""),"")</f>
        <v/>
      </c>
      <c r="B450" s="60" t="str">
        <f t="shared" si="120"/>
        <v/>
      </c>
      <c r="C450" s="974"/>
      <c r="D450" s="974"/>
      <c r="E450" s="974"/>
      <c r="F450" s="975"/>
      <c r="G450" s="976"/>
      <c r="H450" s="305"/>
      <c r="I450" s="383"/>
      <c r="J450" s="977"/>
      <c r="K450" s="383"/>
      <c r="L450" s="390"/>
      <c r="M450" s="978"/>
      <c r="N450" s="979"/>
      <c r="O450" s="979"/>
      <c r="P450" s="79" t="str">
        <f>IF(AND('331-CT'!$E$7=TH!H450,OR(N450="331",O450="331")),"x","")</f>
        <v/>
      </c>
      <c r="Q450" s="79" t="str">
        <f>IF(AND(B450='111'!$L$11,OR($N450=$Q$7,$O450=$Q$7)),"x","")</f>
        <v/>
      </c>
      <c r="R450" s="79" t="str">
        <f>IF(AND($N450=$Q$7,$B450&lt;'111'!$L$11),"x","")</f>
        <v/>
      </c>
      <c r="S450" s="79" t="str">
        <f>IF(AND($O450=$Q$7,$B450&lt;'111'!$L$11),"x","")</f>
        <v/>
      </c>
      <c r="T450" s="79" t="str">
        <f>IF(ISERROR(FIND('112'!$M$9,G450,1)),"",IF((AND(FIND('112'!$M$9,G450,1)&gt;=1,B450='112'!$K$9,OR($N450='112'!$I$6,$O450='112'!$I$6))),"x",""))</f>
        <v/>
      </c>
      <c r="U450" s="79" t="str">
        <f>IF(ISERROR(FIND('112'!$M$9,G450,1)),"",IF((AND(LEFT(G450,2)=LEFT('112'!$M$9,2),B450&lt;'112'!$K$9,$N450='112'!$I$6)),"x",""))</f>
        <v/>
      </c>
      <c r="V450" s="79" t="str">
        <f>IF(ISERROR(FIND('112'!$M$9,G450,1)),"",IF((AND(RIGHT(G450,2)=RIGHT('112'!$M$9,2),B450&lt;'112'!$K$9,$O450='112'!$I$6)),"x",""))</f>
        <v/>
      </c>
      <c r="W450" s="79" t="str">
        <f>IF(AND('341-CT'!$H$9=H450,OR(LEFT(N450,3)=$W$7,LEFT(O450,3)=$W$7)),"x","")</f>
        <v/>
      </c>
      <c r="X450" s="79" t="str">
        <f>IF(OR(TH!N450=TH!$X$7,O450=TH!$X$7),"x","")</f>
        <v/>
      </c>
      <c r="Y450" s="79" t="str">
        <f>IF(AND(OR(N450="131",O450="131"),H450='131-CT'!$H$9),"x","")</f>
        <v/>
      </c>
      <c r="Z450" s="79"/>
      <c r="AA450" s="79" t="str">
        <f>IF(AND(MONTH(E450)='IN-NX'!$J$5,'IN-NX'!$D$7=D450),"x","")</f>
        <v/>
      </c>
      <c r="AB450" s="79" t="str">
        <f>IF(AND(OR(LEFT(TH!N450,2)="15",LEFT(TH!O450,2)="15"),LEFT(TH!O450,3)&lt;&gt;"111",'152-CT'!$J$8=TH!F450),"x","")</f>
        <v/>
      </c>
      <c r="AC450" s="79" t="str">
        <f>IF(AND(OR(LEFT(TH!N450,2)="15",LEFT(TH!O450,2)="15"),TK!$E$7=TH!F450),"x","")</f>
        <v/>
      </c>
      <c r="AD450" s="79" t="str">
        <f>IF(AND(N450="1521",MONTH(C450)='BK-NL'!$M$11),"x","")</f>
        <v/>
      </c>
    </row>
    <row r="451" spans="1:30" ht="16.5" customHeight="1">
      <c r="A451" s="318" t="str">
        <f>IF(B451&lt;&gt;"",IF(AND(B451='IN-TC'!$S$4,OR(TH!N451="1111",TH!O451="1111")),TH!D451,""),"")</f>
        <v/>
      </c>
      <c r="B451" s="60" t="str">
        <f t="shared" si="120"/>
        <v/>
      </c>
      <c r="C451" s="974"/>
      <c r="D451" s="974"/>
      <c r="E451" s="974"/>
      <c r="F451" s="975"/>
      <c r="G451" s="976"/>
      <c r="H451" s="305"/>
      <c r="I451" s="383"/>
      <c r="J451" s="977"/>
      <c r="K451" s="383"/>
      <c r="L451" s="390"/>
      <c r="M451" s="978"/>
      <c r="N451" s="979"/>
      <c r="O451" s="979"/>
      <c r="P451" s="79" t="str">
        <f>IF(AND('331-CT'!$E$7=TH!H451,OR(N451="331",O451="331")),"x","")</f>
        <v/>
      </c>
      <c r="Q451" s="79" t="str">
        <f>IF(AND(B451='111'!$L$11,OR($N451=$Q$7,$O451=$Q$7)),"x","")</f>
        <v/>
      </c>
      <c r="R451" s="79" t="str">
        <f>IF(AND($N451=$Q$7,$B451&lt;'111'!$L$11),"x","")</f>
        <v/>
      </c>
      <c r="S451" s="79" t="str">
        <f>IF(AND($O451=$Q$7,$B451&lt;'111'!$L$11),"x","")</f>
        <v/>
      </c>
      <c r="T451" s="79" t="str">
        <f>IF(ISERROR(FIND('112'!$M$9,G451,1)),"",IF((AND(FIND('112'!$M$9,G451,1)&gt;=1,B451='112'!$K$9,OR($N451='112'!$I$6,$O451='112'!$I$6))),"x",""))</f>
        <v/>
      </c>
      <c r="U451" s="79" t="str">
        <f>IF(ISERROR(FIND('112'!$M$9,G451,1)),"",IF((AND(LEFT(G451,2)=LEFT('112'!$M$9,2),B451&lt;'112'!$K$9,$N451='112'!$I$6)),"x",""))</f>
        <v/>
      </c>
      <c r="V451" s="79" t="str">
        <f>IF(ISERROR(FIND('112'!$M$9,G451,1)),"",IF((AND(RIGHT(G451,2)=RIGHT('112'!$M$9,2),B451&lt;'112'!$K$9,$O451='112'!$I$6)),"x",""))</f>
        <v/>
      </c>
      <c r="W451" s="79" t="str">
        <f>IF(AND('341-CT'!$H$9=H451,OR(LEFT(N451,3)=$W$7,LEFT(O451,3)=$W$7)),"x","")</f>
        <v/>
      </c>
      <c r="X451" s="79" t="str">
        <f>IF(OR(TH!N451=TH!$X$7,O451=TH!$X$7),"x","")</f>
        <v/>
      </c>
      <c r="Y451" s="79" t="str">
        <f>IF(AND(OR(N451="131",O451="131"),H451='131-CT'!$H$9),"x","")</f>
        <v/>
      </c>
      <c r="Z451" s="79"/>
      <c r="AA451" s="79" t="str">
        <f>IF(AND(MONTH(E451)='IN-NX'!$J$5,'IN-NX'!$D$7=D451),"x","")</f>
        <v/>
      </c>
      <c r="AB451" s="79" t="str">
        <f>IF(AND(OR(LEFT(TH!N451,2)="15",LEFT(TH!O451,2)="15"),LEFT(TH!O451,3)&lt;&gt;"111",'152-CT'!$J$8=TH!F451),"x","")</f>
        <v/>
      </c>
      <c r="AC451" s="79" t="str">
        <f>IF(AND(OR(LEFT(TH!N451,2)="15",LEFT(TH!O451,2)="15"),TK!$E$7=TH!F451),"x","")</f>
        <v/>
      </c>
      <c r="AD451" s="79" t="str">
        <f>IF(AND(N451="1521",MONTH(C451)='BK-NL'!$M$11),"x","")</f>
        <v/>
      </c>
    </row>
    <row r="452" spans="1:30" ht="16.5" customHeight="1">
      <c r="A452" s="318" t="str">
        <f>IF(B452&lt;&gt;"",IF(AND(B452='IN-TC'!$S$4,OR(TH!N452="1111",TH!O452="1111")),TH!D452,""),"")</f>
        <v/>
      </c>
      <c r="B452" s="60" t="str">
        <f t="shared" si="120"/>
        <v/>
      </c>
      <c r="C452" s="974"/>
      <c r="D452" s="974"/>
      <c r="E452" s="974"/>
      <c r="F452" s="975"/>
      <c r="G452" s="976"/>
      <c r="H452" s="305"/>
      <c r="I452" s="383"/>
      <c r="J452" s="977"/>
      <c r="K452" s="383"/>
      <c r="L452" s="390"/>
      <c r="M452" s="978"/>
      <c r="N452" s="979"/>
      <c r="O452" s="979"/>
      <c r="P452" s="79" t="str">
        <f>IF(AND('331-CT'!$E$7=TH!H452,OR(N452="331",O452="331")),"x","")</f>
        <v/>
      </c>
      <c r="Q452" s="79" t="str">
        <f>IF(AND(B452='111'!$L$11,OR($N452=$Q$7,$O452=$Q$7)),"x","")</f>
        <v/>
      </c>
      <c r="R452" s="79" t="str">
        <f>IF(AND($N452=$Q$7,$B452&lt;'111'!$L$11),"x","")</f>
        <v/>
      </c>
      <c r="S452" s="79" t="str">
        <f>IF(AND($O452=$Q$7,$B452&lt;'111'!$L$11),"x","")</f>
        <v/>
      </c>
      <c r="T452" s="79" t="str">
        <f>IF(ISERROR(FIND('112'!$M$9,G452,1)),"",IF((AND(FIND('112'!$M$9,G452,1)&gt;=1,B452='112'!$K$9,OR($N452='112'!$I$6,$O452='112'!$I$6))),"x",""))</f>
        <v/>
      </c>
      <c r="U452" s="79" t="str">
        <f>IF(ISERROR(FIND('112'!$M$9,G452,1)),"",IF((AND(LEFT(G452,2)=LEFT('112'!$M$9,2),B452&lt;'112'!$K$9,$N452='112'!$I$6)),"x",""))</f>
        <v/>
      </c>
      <c r="V452" s="79" t="str">
        <f>IF(ISERROR(FIND('112'!$M$9,G452,1)),"",IF((AND(RIGHT(G452,2)=RIGHT('112'!$M$9,2),B452&lt;'112'!$K$9,$O452='112'!$I$6)),"x",""))</f>
        <v/>
      </c>
      <c r="W452" s="79" t="str">
        <f>IF(AND('341-CT'!$H$9=H452,OR(LEFT(N452,3)=$W$7,LEFT(O452,3)=$W$7)),"x","")</f>
        <v/>
      </c>
      <c r="X452" s="79" t="str">
        <f>IF(OR(TH!N452=TH!$X$7,O452=TH!$X$7),"x","")</f>
        <v/>
      </c>
      <c r="Y452" s="79" t="str">
        <f>IF(AND(OR(N452="131",O452="131"),H452='131-CT'!$H$9),"x","")</f>
        <v/>
      </c>
      <c r="Z452" s="79"/>
      <c r="AA452" s="79" t="str">
        <f>IF(AND(MONTH(E452)='IN-NX'!$J$5,'IN-NX'!$D$7=D452),"x","")</f>
        <v/>
      </c>
      <c r="AB452" s="79" t="str">
        <f>IF(AND(OR(LEFT(TH!N452,2)="15",LEFT(TH!O452,2)="15"),LEFT(TH!O452,3)&lt;&gt;"111",'152-CT'!$J$8=TH!F452),"x","")</f>
        <v/>
      </c>
      <c r="AC452" s="79" t="str">
        <f>IF(AND(OR(LEFT(TH!N452,2)="15",LEFT(TH!O452,2)="15"),TK!$E$7=TH!F452),"x","")</f>
        <v/>
      </c>
      <c r="AD452" s="79" t="str">
        <f>IF(AND(N452="1521",MONTH(C452)='BK-NL'!$M$11),"x","")</f>
        <v/>
      </c>
    </row>
    <row r="453" spans="1:30" ht="16.5" customHeight="1">
      <c r="A453" s="318" t="str">
        <f>IF(B453&lt;&gt;"",IF(AND(B453='IN-TC'!$S$4,OR(TH!N453="1111",TH!O453="1111")),TH!D453,""),"")</f>
        <v/>
      </c>
      <c r="B453" s="60" t="str">
        <f t="shared" si="120"/>
        <v/>
      </c>
      <c r="C453" s="974"/>
      <c r="D453" s="974"/>
      <c r="E453" s="974"/>
      <c r="F453" s="975"/>
      <c r="G453" s="976"/>
      <c r="H453" s="305"/>
      <c r="I453" s="383"/>
      <c r="J453" s="977"/>
      <c r="K453" s="383"/>
      <c r="L453" s="390"/>
      <c r="M453" s="978"/>
      <c r="N453" s="979"/>
      <c r="O453" s="979"/>
      <c r="P453" s="79" t="str">
        <f>IF(AND('331-CT'!$E$7=TH!H453,OR(N453="331",O453="331")),"x","")</f>
        <v/>
      </c>
      <c r="Q453" s="79" t="str">
        <f>IF(AND(B453='111'!$L$11,OR($N453=$Q$7,$O453=$Q$7)),"x","")</f>
        <v/>
      </c>
      <c r="R453" s="79" t="str">
        <f>IF(AND($N453=$Q$7,$B453&lt;'111'!$L$11),"x","")</f>
        <v/>
      </c>
      <c r="S453" s="79" t="str">
        <f>IF(AND($O453=$Q$7,$B453&lt;'111'!$L$11),"x","")</f>
        <v/>
      </c>
      <c r="T453" s="79" t="str">
        <f>IF(ISERROR(FIND('112'!$M$9,G453,1)),"",IF((AND(FIND('112'!$M$9,G453,1)&gt;=1,B453='112'!$K$9,OR($N453='112'!$I$6,$O453='112'!$I$6))),"x",""))</f>
        <v/>
      </c>
      <c r="U453" s="79" t="str">
        <f>IF(ISERROR(FIND('112'!$M$9,G453,1)),"",IF((AND(LEFT(G453,2)=LEFT('112'!$M$9,2),B453&lt;'112'!$K$9,$N453='112'!$I$6)),"x",""))</f>
        <v/>
      </c>
      <c r="V453" s="79" t="str">
        <f>IF(ISERROR(FIND('112'!$M$9,G453,1)),"",IF((AND(RIGHT(G453,2)=RIGHT('112'!$M$9,2),B453&lt;'112'!$K$9,$O453='112'!$I$6)),"x",""))</f>
        <v/>
      </c>
      <c r="W453" s="79" t="str">
        <f>IF(AND('341-CT'!$H$9=H453,OR(LEFT(N453,3)=$W$7,LEFT(O453,3)=$W$7)),"x","")</f>
        <v/>
      </c>
      <c r="X453" s="79" t="str">
        <f>IF(OR(TH!N453=TH!$X$7,O453=TH!$X$7),"x","")</f>
        <v/>
      </c>
      <c r="Y453" s="79" t="str">
        <f>IF(AND(OR(N453="131",O453="131"),H453='131-CT'!$H$9),"x","")</f>
        <v/>
      </c>
      <c r="Z453" s="79"/>
      <c r="AA453" s="79" t="str">
        <f>IF(AND(MONTH(E453)='IN-NX'!$J$5,'IN-NX'!$D$7=D453),"x","")</f>
        <v/>
      </c>
      <c r="AB453" s="79" t="str">
        <f>IF(AND(OR(LEFT(TH!N453,2)="15",LEFT(TH!O453,2)="15"),LEFT(TH!O453,3)&lt;&gt;"111",'152-CT'!$J$8=TH!F453),"x","")</f>
        <v/>
      </c>
      <c r="AC453" s="79" t="str">
        <f>IF(AND(OR(LEFT(TH!N453,2)="15",LEFT(TH!O453,2)="15"),TK!$E$7=TH!F453),"x","")</f>
        <v/>
      </c>
      <c r="AD453" s="79" t="str">
        <f>IF(AND(N453="1521",MONTH(C453)='BK-NL'!$M$11),"x","")</f>
        <v/>
      </c>
    </row>
    <row r="454" spans="1:30" ht="16.5" customHeight="1">
      <c r="A454" s="318" t="str">
        <f>IF(B454&lt;&gt;"",IF(AND(B454='IN-TC'!$S$4,OR(TH!N454="1111",TH!O454="1111")),TH!D454,""),"")</f>
        <v/>
      </c>
      <c r="B454" s="60" t="str">
        <f t="shared" si="120"/>
        <v/>
      </c>
      <c r="C454" s="974"/>
      <c r="D454" s="974"/>
      <c r="E454" s="974"/>
      <c r="F454" s="975"/>
      <c r="G454" s="976"/>
      <c r="H454" s="305"/>
      <c r="I454" s="383"/>
      <c r="J454" s="977"/>
      <c r="K454" s="383"/>
      <c r="L454" s="390"/>
      <c r="M454" s="978"/>
      <c r="N454" s="979"/>
      <c r="O454" s="979"/>
      <c r="P454" s="79" t="str">
        <f>IF(AND('331-CT'!$E$7=TH!H454,OR(N454="331",O454="331")),"x","")</f>
        <v/>
      </c>
      <c r="Q454" s="79" t="str">
        <f>IF(AND(B454='111'!$L$11,OR($N454=$Q$7,$O454=$Q$7)),"x","")</f>
        <v/>
      </c>
      <c r="R454" s="79" t="str">
        <f>IF(AND($N454=$Q$7,$B454&lt;'111'!$L$11),"x","")</f>
        <v/>
      </c>
      <c r="S454" s="79" t="str">
        <f>IF(AND($O454=$Q$7,$B454&lt;'111'!$L$11),"x","")</f>
        <v/>
      </c>
      <c r="T454" s="79" t="str">
        <f>IF(ISERROR(FIND('112'!$M$9,G454,1)),"",IF((AND(FIND('112'!$M$9,G454,1)&gt;=1,B454='112'!$K$9,OR($N454='112'!$I$6,$O454='112'!$I$6))),"x",""))</f>
        <v/>
      </c>
      <c r="U454" s="79" t="str">
        <f>IF(ISERROR(FIND('112'!$M$9,G454,1)),"",IF((AND(LEFT(G454,2)=LEFT('112'!$M$9,2),B454&lt;'112'!$K$9,$N454='112'!$I$6)),"x",""))</f>
        <v/>
      </c>
      <c r="V454" s="79" t="str">
        <f>IF(ISERROR(FIND('112'!$M$9,G454,1)),"",IF((AND(RIGHT(G454,2)=RIGHT('112'!$M$9,2),B454&lt;'112'!$K$9,$O454='112'!$I$6)),"x",""))</f>
        <v/>
      </c>
      <c r="W454" s="79" t="str">
        <f>IF(AND('341-CT'!$H$9=H454,OR(LEFT(N454,3)=$W$7,LEFT(O454,3)=$W$7)),"x","")</f>
        <v/>
      </c>
      <c r="X454" s="79" t="str">
        <f>IF(OR(TH!N454=TH!$X$7,O454=TH!$X$7),"x","")</f>
        <v/>
      </c>
      <c r="Y454" s="79" t="str">
        <f>IF(AND(OR(N454="131",O454="131"),H454='131-CT'!$H$9),"x","")</f>
        <v/>
      </c>
      <c r="Z454" s="79"/>
      <c r="AA454" s="79" t="str">
        <f>IF(AND(MONTH(E454)='IN-NX'!$J$5,'IN-NX'!$D$7=D454),"x","")</f>
        <v/>
      </c>
      <c r="AB454" s="79" t="str">
        <f>IF(AND(OR(LEFT(TH!N454,2)="15",LEFT(TH!O454,2)="15"),LEFT(TH!O454,3)&lt;&gt;"111",'152-CT'!$J$8=TH!F454),"x","")</f>
        <v/>
      </c>
      <c r="AC454" s="79" t="str">
        <f>IF(AND(OR(LEFT(TH!N454,2)="15",LEFT(TH!O454,2)="15"),TK!$E$7=TH!F454),"x","")</f>
        <v/>
      </c>
      <c r="AD454" s="79" t="str">
        <f>IF(AND(N454="1521",MONTH(C454)='BK-NL'!$M$11),"x","")</f>
        <v/>
      </c>
    </row>
    <row r="455" spans="1:30" ht="16.5" customHeight="1">
      <c r="A455" s="318" t="str">
        <f>IF(B455&lt;&gt;"",IF(AND(B455='IN-TC'!$S$4,OR(TH!N455="1111",TH!O455="1111")),TH!D455,""),"")</f>
        <v/>
      </c>
      <c r="B455" s="60" t="str">
        <f t="shared" si="120"/>
        <v/>
      </c>
      <c r="C455" s="974"/>
      <c r="D455" s="974"/>
      <c r="E455" s="974"/>
      <c r="F455" s="975"/>
      <c r="G455" s="976"/>
      <c r="H455" s="305"/>
      <c r="I455" s="383"/>
      <c r="J455" s="977"/>
      <c r="K455" s="383"/>
      <c r="L455" s="390"/>
      <c r="M455" s="978"/>
      <c r="N455" s="979"/>
      <c r="O455" s="979"/>
      <c r="P455" s="79" t="str">
        <f>IF(AND('331-CT'!$E$7=TH!H455,OR(N455="331",O455="331")),"x","")</f>
        <v/>
      </c>
      <c r="Q455" s="79" t="str">
        <f>IF(AND(B455='111'!$L$11,OR($N455=$Q$7,$O455=$Q$7)),"x","")</f>
        <v/>
      </c>
      <c r="R455" s="79" t="str">
        <f>IF(AND($N455=$Q$7,$B455&lt;'111'!$L$11),"x","")</f>
        <v/>
      </c>
      <c r="S455" s="79" t="str">
        <f>IF(AND($O455=$Q$7,$B455&lt;'111'!$L$11),"x","")</f>
        <v/>
      </c>
      <c r="T455" s="79" t="str">
        <f>IF(ISERROR(FIND('112'!$M$9,G455,1)),"",IF((AND(FIND('112'!$M$9,G455,1)&gt;=1,B455='112'!$K$9,OR($N455='112'!$I$6,$O455='112'!$I$6))),"x",""))</f>
        <v/>
      </c>
      <c r="U455" s="79" t="str">
        <f>IF(ISERROR(FIND('112'!$M$9,G455,1)),"",IF((AND(LEFT(G455,2)=LEFT('112'!$M$9,2),B455&lt;'112'!$K$9,$N455='112'!$I$6)),"x",""))</f>
        <v/>
      </c>
      <c r="V455" s="79" t="str">
        <f>IF(ISERROR(FIND('112'!$M$9,G455,1)),"",IF((AND(RIGHT(G455,2)=RIGHT('112'!$M$9,2),B455&lt;'112'!$K$9,$O455='112'!$I$6)),"x",""))</f>
        <v/>
      </c>
      <c r="W455" s="79" t="str">
        <f>IF(AND('341-CT'!$H$9=H455,OR(LEFT(N455,3)=$W$7,LEFT(O455,3)=$W$7)),"x","")</f>
        <v/>
      </c>
      <c r="X455" s="79" t="str">
        <f>IF(OR(TH!N455=TH!$X$7,O455=TH!$X$7),"x","")</f>
        <v/>
      </c>
      <c r="Y455" s="79" t="str">
        <f>IF(AND(OR(N455="131",O455="131"),H455='131-CT'!$H$9),"x","")</f>
        <v/>
      </c>
      <c r="Z455" s="79"/>
      <c r="AA455" s="79" t="str">
        <f>IF(AND(MONTH(E455)='IN-NX'!$J$5,'IN-NX'!$D$7=D455),"x","")</f>
        <v/>
      </c>
      <c r="AB455" s="79" t="str">
        <f>IF(AND(OR(LEFT(TH!N455,2)="15",LEFT(TH!O455,2)="15"),LEFT(TH!O455,3)&lt;&gt;"111",'152-CT'!$J$8=TH!F455),"x","")</f>
        <v/>
      </c>
      <c r="AC455" s="79" t="str">
        <f>IF(AND(OR(LEFT(TH!N455,2)="15",LEFT(TH!O455,2)="15"),TK!$E$7=TH!F455),"x","")</f>
        <v/>
      </c>
      <c r="AD455" s="79" t="str">
        <f>IF(AND(N455="1521",MONTH(C455)='BK-NL'!$M$11),"x","")</f>
        <v/>
      </c>
    </row>
    <row r="456" spans="1:30" ht="16.5" customHeight="1">
      <c r="A456" s="318" t="str">
        <f>IF(B456&lt;&gt;"",IF(AND(B456='IN-TC'!$S$4,OR(TH!N456="1111",TH!O456="1111")),TH!D456,""),"")</f>
        <v/>
      </c>
      <c r="B456" s="60" t="str">
        <f t="shared" si="120"/>
        <v/>
      </c>
      <c r="C456" s="974"/>
      <c r="D456" s="974"/>
      <c r="E456" s="974"/>
      <c r="F456" s="975"/>
      <c r="G456" s="976"/>
      <c r="H456" s="305"/>
      <c r="I456" s="383"/>
      <c r="J456" s="977"/>
      <c r="K456" s="383"/>
      <c r="L456" s="390"/>
      <c r="M456" s="978"/>
      <c r="N456" s="979"/>
      <c r="O456" s="979"/>
      <c r="P456" s="79" t="str">
        <f>IF(AND('331-CT'!$E$7=TH!H456,OR(N456="331",O456="331")),"x","")</f>
        <v/>
      </c>
      <c r="Q456" s="79" t="str">
        <f>IF(AND(B456='111'!$L$11,OR($N456=$Q$7,$O456=$Q$7)),"x","")</f>
        <v/>
      </c>
      <c r="R456" s="79" t="str">
        <f>IF(AND($N456=$Q$7,$B456&lt;'111'!$L$11),"x","")</f>
        <v/>
      </c>
      <c r="S456" s="79" t="str">
        <f>IF(AND($O456=$Q$7,$B456&lt;'111'!$L$11),"x","")</f>
        <v/>
      </c>
      <c r="T456" s="79" t="str">
        <f>IF(ISERROR(FIND('112'!$M$9,G456,1)),"",IF((AND(FIND('112'!$M$9,G456,1)&gt;=1,B456='112'!$K$9,OR($N456='112'!$I$6,$O456='112'!$I$6))),"x",""))</f>
        <v/>
      </c>
      <c r="U456" s="79" t="str">
        <f>IF(ISERROR(FIND('112'!$M$9,G456,1)),"",IF((AND(LEFT(G456,2)=LEFT('112'!$M$9,2),B456&lt;'112'!$K$9,$N456='112'!$I$6)),"x",""))</f>
        <v/>
      </c>
      <c r="V456" s="79" t="str">
        <f>IF(ISERROR(FIND('112'!$M$9,G456,1)),"",IF((AND(RIGHT(G456,2)=RIGHT('112'!$M$9,2),B456&lt;'112'!$K$9,$O456='112'!$I$6)),"x",""))</f>
        <v/>
      </c>
      <c r="W456" s="79" t="str">
        <f>IF(AND('341-CT'!$H$9=H456,OR(LEFT(N456,3)=$W$7,LEFT(O456,3)=$W$7)),"x","")</f>
        <v/>
      </c>
      <c r="X456" s="79" t="str">
        <f>IF(OR(TH!N456=TH!$X$7,O456=TH!$X$7),"x","")</f>
        <v/>
      </c>
      <c r="Y456" s="79" t="str">
        <f>IF(AND(OR(N456="131",O456="131"),H456='131-CT'!$H$9),"x","")</f>
        <v/>
      </c>
      <c r="Z456" s="79"/>
      <c r="AA456" s="79" t="str">
        <f>IF(AND(MONTH(E456)='IN-NX'!$J$5,'IN-NX'!$D$7=D456),"x","")</f>
        <v/>
      </c>
      <c r="AB456" s="79" t="str">
        <f>IF(AND(OR(LEFT(TH!N456,2)="15",LEFT(TH!O456,2)="15"),LEFT(TH!O456,3)&lt;&gt;"111",'152-CT'!$J$8=TH!F456),"x","")</f>
        <v/>
      </c>
      <c r="AC456" s="79" t="str">
        <f>IF(AND(OR(LEFT(TH!N456,2)="15",LEFT(TH!O456,2)="15"),TK!$E$7=TH!F456),"x","")</f>
        <v/>
      </c>
      <c r="AD456" s="79" t="str">
        <f>IF(AND(N456="1521",MONTH(C456)='BK-NL'!$M$11),"x","")</f>
        <v/>
      </c>
    </row>
    <row r="457" spans="1:30" ht="16.5" customHeight="1">
      <c r="A457" s="318" t="str">
        <f>IF(B457&lt;&gt;"",IF(AND(B457='IN-TC'!$S$4,OR(TH!N457="1111",TH!O457="1111")),TH!D457,""),"")</f>
        <v/>
      </c>
      <c r="B457" s="60" t="str">
        <f t="shared" si="120"/>
        <v/>
      </c>
      <c r="C457" s="974"/>
      <c r="D457" s="974"/>
      <c r="E457" s="974"/>
      <c r="F457" s="975"/>
      <c r="G457" s="976"/>
      <c r="H457" s="305"/>
      <c r="I457" s="383"/>
      <c r="J457" s="977"/>
      <c r="K457" s="383"/>
      <c r="L457" s="390"/>
      <c r="M457" s="978"/>
      <c r="N457" s="979"/>
      <c r="O457" s="979"/>
      <c r="P457" s="79" t="str">
        <f>IF(AND('331-CT'!$E$7=TH!H457,OR(N457="331",O457="331")),"x","")</f>
        <v/>
      </c>
      <c r="Q457" s="79" t="str">
        <f>IF(AND(B457='111'!$L$11,OR($N457=$Q$7,$O457=$Q$7)),"x","")</f>
        <v/>
      </c>
      <c r="R457" s="79" t="str">
        <f>IF(AND($N457=$Q$7,$B457&lt;'111'!$L$11),"x","")</f>
        <v/>
      </c>
      <c r="S457" s="79" t="str">
        <f>IF(AND($O457=$Q$7,$B457&lt;'111'!$L$11),"x","")</f>
        <v/>
      </c>
      <c r="T457" s="79" t="str">
        <f>IF(ISERROR(FIND('112'!$M$9,G457,1)),"",IF((AND(FIND('112'!$M$9,G457,1)&gt;=1,B457='112'!$K$9,OR($N457='112'!$I$6,$O457='112'!$I$6))),"x",""))</f>
        <v/>
      </c>
      <c r="U457" s="79" t="str">
        <f>IF(ISERROR(FIND('112'!$M$9,G457,1)),"",IF((AND(LEFT(G457,2)=LEFT('112'!$M$9,2),B457&lt;'112'!$K$9,$N457='112'!$I$6)),"x",""))</f>
        <v/>
      </c>
      <c r="V457" s="79" t="str">
        <f>IF(ISERROR(FIND('112'!$M$9,G457,1)),"",IF((AND(RIGHT(G457,2)=RIGHT('112'!$M$9,2),B457&lt;'112'!$K$9,$O457='112'!$I$6)),"x",""))</f>
        <v/>
      </c>
      <c r="W457" s="79" t="str">
        <f>IF(AND('341-CT'!$H$9=H457,OR(LEFT(N457,3)=$W$7,LEFT(O457,3)=$W$7)),"x","")</f>
        <v/>
      </c>
      <c r="X457" s="79" t="str">
        <f>IF(OR(TH!N457=TH!$X$7,O457=TH!$X$7),"x","")</f>
        <v/>
      </c>
      <c r="Y457" s="79" t="str">
        <f>IF(AND(OR(N457="131",O457="131"),H457='131-CT'!$H$9),"x","")</f>
        <v/>
      </c>
      <c r="Z457" s="79"/>
      <c r="AA457" s="79" t="str">
        <f>IF(AND(MONTH(E457)='IN-NX'!$J$5,'IN-NX'!$D$7=D457),"x","")</f>
        <v/>
      </c>
      <c r="AB457" s="79" t="str">
        <f>IF(AND(OR(LEFT(TH!N457,2)="15",LEFT(TH!O457,2)="15"),LEFT(TH!O457,3)&lt;&gt;"111",'152-CT'!$J$8=TH!F457),"x","")</f>
        <v/>
      </c>
      <c r="AC457" s="79" t="str">
        <f>IF(AND(OR(LEFT(TH!N457,2)="15",LEFT(TH!O457,2)="15"),TK!$E$7=TH!F457),"x","")</f>
        <v/>
      </c>
      <c r="AD457" s="79" t="str">
        <f>IF(AND(N457="1521",MONTH(C457)='BK-NL'!$M$11),"x","")</f>
        <v/>
      </c>
    </row>
    <row r="458" spans="1:30" ht="16.5" customHeight="1">
      <c r="A458" s="318" t="str">
        <f>IF(B458&lt;&gt;"",IF(AND(B458='IN-TC'!$S$4,OR(TH!N458="1111",TH!O458="1111")),TH!D458,""),"")</f>
        <v/>
      </c>
      <c r="B458" s="60" t="str">
        <f t="shared" si="120"/>
        <v/>
      </c>
      <c r="C458" s="974"/>
      <c r="D458" s="974"/>
      <c r="E458" s="974"/>
      <c r="F458" s="975"/>
      <c r="G458" s="976"/>
      <c r="H458" s="759"/>
      <c r="I458" s="383"/>
      <c r="J458" s="977"/>
      <c r="K458" s="383"/>
      <c r="L458" s="390"/>
      <c r="M458" s="978"/>
      <c r="N458" s="979"/>
      <c r="O458" s="979"/>
      <c r="P458" s="79" t="str">
        <f>IF(AND('331-CT'!$E$7=TH!H458,OR(N458="331",O458="331")),"x","")</f>
        <v/>
      </c>
      <c r="Q458" s="79" t="str">
        <f>IF(AND(B458='111'!$L$11,OR($N458=$Q$7,$O458=$Q$7)),"x","")</f>
        <v/>
      </c>
      <c r="R458" s="79" t="str">
        <f>IF(AND($N458=$Q$7,$B458&lt;'111'!$L$11),"x","")</f>
        <v/>
      </c>
      <c r="S458" s="79" t="str">
        <f>IF(AND($O458=$Q$7,$B458&lt;'111'!$L$11),"x","")</f>
        <v/>
      </c>
      <c r="T458" s="79" t="str">
        <f>IF(ISERROR(FIND('112'!$M$9,G458,1)),"",IF((AND(FIND('112'!$M$9,G458,1)&gt;=1,B458='112'!$K$9,OR($N458='112'!$I$6,$O458='112'!$I$6))),"x",""))</f>
        <v/>
      </c>
      <c r="U458" s="79" t="str">
        <f>IF(ISERROR(FIND('112'!$M$9,G458,1)),"",IF((AND(LEFT(G458,2)=LEFT('112'!$M$9,2),B458&lt;'112'!$K$9,$N458='112'!$I$6)),"x",""))</f>
        <v/>
      </c>
      <c r="V458" s="79" t="str">
        <f>IF(ISERROR(FIND('112'!$M$9,G458,1)),"",IF((AND(RIGHT(G458,2)=RIGHT('112'!$M$9,2),B458&lt;'112'!$K$9,$O458='112'!$I$6)),"x",""))</f>
        <v/>
      </c>
      <c r="W458" s="79" t="str">
        <f>IF(AND('341-CT'!$H$9=H458,OR(LEFT(N458,3)=$W$7,LEFT(O458,3)=$W$7)),"x","")</f>
        <v/>
      </c>
      <c r="X458" s="79" t="str">
        <f>IF(OR(TH!N458=TH!$X$7,O458=TH!$X$7),"x","")</f>
        <v/>
      </c>
      <c r="Y458" s="79" t="str">
        <f>IF(AND(OR(N458="131",O458="131"),H458='131-CT'!$H$9),"x","")</f>
        <v/>
      </c>
      <c r="Z458" s="79"/>
      <c r="AA458" s="79" t="str">
        <f>IF(AND(MONTH(E458)='IN-NX'!$J$5,'IN-NX'!$D$7=D458),"x","")</f>
        <v/>
      </c>
      <c r="AB458" s="79" t="str">
        <f>IF(AND(OR(LEFT(TH!N458,2)="15",LEFT(TH!O458,2)="15"),LEFT(TH!O458,3)&lt;&gt;"111",'152-CT'!$J$8=TH!F458),"x","")</f>
        <v/>
      </c>
      <c r="AC458" s="79" t="str">
        <f>IF(AND(OR(LEFT(TH!N458,2)="15",LEFT(TH!O458,2)="15"),TK!$E$7=TH!F458),"x","")</f>
        <v/>
      </c>
      <c r="AD458" s="79" t="str">
        <f>IF(AND(N458="1521",MONTH(C458)='BK-NL'!$M$11),"x","")</f>
        <v/>
      </c>
    </row>
    <row r="459" spans="1:30" ht="16.5" customHeight="1">
      <c r="A459" s="318" t="str">
        <f>IF(B459&lt;&gt;"",IF(AND(B459='IN-TC'!$S$4,OR(TH!N459="1111",TH!O459="1111")),TH!D459,""),"")</f>
        <v/>
      </c>
      <c r="B459" s="60" t="str">
        <f t="shared" ref="B459:B522" si="121">IF(C459&lt;&gt;"",MONTH(C459),"")</f>
        <v/>
      </c>
      <c r="C459" s="974"/>
      <c r="D459" s="974"/>
      <c r="E459" s="974"/>
      <c r="F459" s="975"/>
      <c r="G459" s="976"/>
      <c r="H459" s="759"/>
      <c r="I459" s="383"/>
      <c r="J459" s="977"/>
      <c r="K459" s="383"/>
      <c r="L459" s="390"/>
      <c r="M459" s="978"/>
      <c r="N459" s="979"/>
      <c r="O459" s="979"/>
      <c r="P459" s="79" t="str">
        <f>IF(AND('331-CT'!$E$7=TH!H459,OR(N459="331",O459="331")),"x","")</f>
        <v/>
      </c>
      <c r="Q459" s="79" t="str">
        <f>IF(AND(B459='111'!$L$11,OR($N459=$Q$7,$O459=$Q$7)),"x","")</f>
        <v/>
      </c>
      <c r="R459" s="79" t="str">
        <f>IF(AND($N459=$Q$7,$B459&lt;'111'!$L$11),"x","")</f>
        <v/>
      </c>
      <c r="S459" s="79" t="str">
        <f>IF(AND($O459=$Q$7,$B459&lt;'111'!$L$11),"x","")</f>
        <v/>
      </c>
      <c r="T459" s="79" t="str">
        <f>IF(ISERROR(FIND('112'!$M$9,G459,1)),"",IF((AND(FIND('112'!$M$9,G459,1)&gt;=1,B459='112'!$K$9,OR($N459='112'!$I$6,$O459='112'!$I$6))),"x",""))</f>
        <v/>
      </c>
      <c r="U459" s="79" t="str">
        <f>IF(ISERROR(FIND('112'!$M$9,G459,1)),"",IF((AND(LEFT(G459,2)=LEFT('112'!$M$9,2),B459&lt;'112'!$K$9,$N459='112'!$I$6)),"x",""))</f>
        <v/>
      </c>
      <c r="V459" s="79" t="str">
        <f>IF(ISERROR(FIND('112'!$M$9,G459,1)),"",IF((AND(RIGHT(G459,2)=RIGHT('112'!$M$9,2),B459&lt;'112'!$K$9,$O459='112'!$I$6)),"x",""))</f>
        <v/>
      </c>
      <c r="W459" s="79" t="str">
        <f>IF(AND('341-CT'!$H$9=H459,OR(LEFT(N459,3)=$W$7,LEFT(O459,3)=$W$7)),"x","")</f>
        <v/>
      </c>
      <c r="X459" s="79" t="str">
        <f>IF(OR(TH!N459=TH!$X$7,O459=TH!$X$7),"x","")</f>
        <v/>
      </c>
      <c r="Y459" s="79" t="str">
        <f>IF(AND(OR(N459="131",O459="131"),H459='131-CT'!$H$9),"x","")</f>
        <v/>
      </c>
      <c r="Z459" s="79"/>
      <c r="AA459" s="79" t="str">
        <f>IF(AND(MONTH(E459)='IN-NX'!$J$5,'IN-NX'!$D$7=D459),"x","")</f>
        <v/>
      </c>
      <c r="AB459" s="79" t="str">
        <f>IF(AND(OR(LEFT(TH!N459,2)="15",LEFT(TH!O459,2)="15"),LEFT(TH!O459,3)&lt;&gt;"111",'152-CT'!$J$8=TH!F459),"x","")</f>
        <v/>
      </c>
      <c r="AC459" s="79" t="str">
        <f>IF(AND(OR(LEFT(TH!N459,2)="15",LEFT(TH!O459,2)="15"),TK!$E$7=TH!F459),"x","")</f>
        <v/>
      </c>
      <c r="AD459" s="79" t="str">
        <f>IF(AND(N459="1521",MONTH(C459)='BK-NL'!$M$11),"x","")</f>
        <v/>
      </c>
    </row>
    <row r="460" spans="1:30" ht="16.5" customHeight="1">
      <c r="A460" s="318" t="str">
        <f>IF(B460&lt;&gt;"",IF(AND(B460='IN-TC'!$S$4,OR(TH!N460="1111",TH!O460="1111")),TH!D460,""),"")</f>
        <v/>
      </c>
      <c r="B460" s="60" t="str">
        <f t="shared" si="121"/>
        <v/>
      </c>
      <c r="C460" s="974"/>
      <c r="D460" s="974"/>
      <c r="E460" s="974"/>
      <c r="F460" s="975"/>
      <c r="G460" s="976"/>
      <c r="H460" s="759"/>
      <c r="I460" s="383"/>
      <c r="J460" s="977"/>
      <c r="K460" s="383"/>
      <c r="L460" s="390"/>
      <c r="M460" s="978"/>
      <c r="N460" s="979"/>
      <c r="O460" s="979"/>
      <c r="P460" s="79" t="str">
        <f>IF(AND('331-CT'!$E$7=TH!H460,OR(N460="331",O460="331")),"x","")</f>
        <v/>
      </c>
      <c r="Q460" s="79" t="str">
        <f>IF(AND(B460='111'!$L$11,OR($N460=$Q$7,$O460=$Q$7)),"x","")</f>
        <v/>
      </c>
      <c r="R460" s="79" t="str">
        <f>IF(AND($N460=$Q$7,$B460&lt;'111'!$L$11),"x","")</f>
        <v/>
      </c>
      <c r="S460" s="79" t="str">
        <f>IF(AND($O460=$Q$7,$B460&lt;'111'!$L$11),"x","")</f>
        <v/>
      </c>
      <c r="T460" s="79" t="str">
        <f>IF(ISERROR(FIND('112'!$M$9,G460,1)),"",IF((AND(FIND('112'!$M$9,G460,1)&gt;=1,B460='112'!$K$9,OR($N460='112'!$I$6,$O460='112'!$I$6))),"x",""))</f>
        <v/>
      </c>
      <c r="U460" s="79" t="str">
        <f>IF(ISERROR(FIND('112'!$M$9,G460,1)),"",IF((AND(LEFT(G460,2)=LEFT('112'!$M$9,2),B460&lt;'112'!$K$9,$N460='112'!$I$6)),"x",""))</f>
        <v/>
      </c>
      <c r="V460" s="79" t="str">
        <f>IF(ISERROR(FIND('112'!$M$9,G460,1)),"",IF((AND(RIGHT(G460,2)=RIGHT('112'!$M$9,2),B460&lt;'112'!$K$9,$O460='112'!$I$6)),"x",""))</f>
        <v/>
      </c>
      <c r="W460" s="79" t="str">
        <f>IF(AND('341-CT'!$H$9=H460,OR(LEFT(N460,3)=$W$7,LEFT(O460,3)=$W$7)),"x","")</f>
        <v/>
      </c>
      <c r="X460" s="79" t="str">
        <f>IF(OR(TH!N460=TH!$X$7,O460=TH!$X$7),"x","")</f>
        <v/>
      </c>
      <c r="Y460" s="79" t="str">
        <f>IF(AND(OR(N460="131",O460="131"),H460='131-CT'!$H$9),"x","")</f>
        <v/>
      </c>
      <c r="Z460" s="79"/>
      <c r="AA460" s="79" t="str">
        <f>IF(AND(MONTH(E460)='IN-NX'!$J$5,'IN-NX'!$D$7=D460),"x","")</f>
        <v/>
      </c>
      <c r="AB460" s="79" t="str">
        <f>IF(AND(OR(LEFT(TH!N460,2)="15",LEFT(TH!O460,2)="15"),LEFT(TH!O460,3)&lt;&gt;"111",'152-CT'!$J$8=TH!F460),"x","")</f>
        <v/>
      </c>
      <c r="AC460" s="79" t="str">
        <f>IF(AND(OR(LEFT(TH!N460,2)="15",LEFT(TH!O460,2)="15"),TK!$E$7=TH!F460),"x","")</f>
        <v/>
      </c>
      <c r="AD460" s="79" t="str">
        <f>IF(AND(N460="1521",MONTH(C460)='BK-NL'!$M$11),"x","")</f>
        <v/>
      </c>
    </row>
    <row r="461" spans="1:30" ht="16.5" customHeight="1">
      <c r="A461" s="318" t="str">
        <f>IF(B461&lt;&gt;"",IF(AND(B461='IN-TC'!$S$4,OR(TH!N461="1111",TH!O461="1111")),TH!D461,""),"")</f>
        <v/>
      </c>
      <c r="B461" s="60" t="str">
        <f t="shared" si="121"/>
        <v/>
      </c>
      <c r="C461" s="974"/>
      <c r="D461" s="974"/>
      <c r="E461" s="974"/>
      <c r="F461" s="975"/>
      <c r="G461" s="976"/>
      <c r="H461" s="759"/>
      <c r="I461" s="383"/>
      <c r="J461" s="977"/>
      <c r="K461" s="383"/>
      <c r="L461" s="390"/>
      <c r="M461" s="978"/>
      <c r="N461" s="979"/>
      <c r="O461" s="979"/>
      <c r="P461" s="79" t="str">
        <f>IF(AND('331-CT'!$E$7=TH!H461,OR(N461="331",O461="331")),"x","")</f>
        <v/>
      </c>
      <c r="Q461" s="79" t="str">
        <f>IF(AND(B461='111'!$L$11,OR($N461=$Q$7,$O461=$Q$7)),"x","")</f>
        <v/>
      </c>
      <c r="R461" s="79" t="str">
        <f>IF(AND($N461=$Q$7,$B461&lt;'111'!$L$11),"x","")</f>
        <v/>
      </c>
      <c r="S461" s="79" t="str">
        <f>IF(AND($O461=$Q$7,$B461&lt;'111'!$L$11),"x","")</f>
        <v/>
      </c>
      <c r="T461" s="79" t="str">
        <f>IF(ISERROR(FIND('112'!$M$9,G461,1)),"",IF((AND(FIND('112'!$M$9,G461,1)&gt;=1,B461='112'!$K$9,OR($N461='112'!$I$6,$O461='112'!$I$6))),"x",""))</f>
        <v/>
      </c>
      <c r="U461" s="79" t="str">
        <f>IF(ISERROR(FIND('112'!$M$9,G461,1)),"",IF((AND(LEFT(G461,2)=LEFT('112'!$M$9,2),B461&lt;'112'!$K$9,$N461='112'!$I$6)),"x",""))</f>
        <v/>
      </c>
      <c r="V461" s="79" t="str">
        <f>IF(ISERROR(FIND('112'!$M$9,G461,1)),"",IF((AND(RIGHT(G461,2)=RIGHT('112'!$M$9,2),B461&lt;'112'!$K$9,$O461='112'!$I$6)),"x",""))</f>
        <v/>
      </c>
      <c r="W461" s="79" t="str">
        <f>IF(AND('341-CT'!$H$9=H461,OR(LEFT(N461,3)=$W$7,LEFT(O461,3)=$W$7)),"x","")</f>
        <v/>
      </c>
      <c r="X461" s="79" t="str">
        <f>IF(OR(TH!N461=TH!$X$7,O461=TH!$X$7),"x","")</f>
        <v/>
      </c>
      <c r="Y461" s="79" t="str">
        <f>IF(AND(OR(N461="131",O461="131"),H461='131-CT'!$H$9),"x","")</f>
        <v/>
      </c>
      <c r="Z461" s="79"/>
      <c r="AA461" s="79" t="str">
        <f>IF(AND(MONTH(E461)='IN-NX'!$J$5,'IN-NX'!$D$7=D461),"x","")</f>
        <v/>
      </c>
      <c r="AB461" s="79" t="str">
        <f>IF(AND(OR(LEFT(TH!N461,2)="15",LEFT(TH!O461,2)="15"),LEFT(TH!O461,3)&lt;&gt;"111",'152-CT'!$J$8=TH!F461),"x","")</f>
        <v/>
      </c>
      <c r="AC461" s="79" t="str">
        <f>IF(AND(OR(LEFT(TH!N461,2)="15",LEFT(TH!O461,2)="15"),TK!$E$7=TH!F461),"x","")</f>
        <v/>
      </c>
      <c r="AD461" s="79" t="str">
        <f>IF(AND(N461="1521",MONTH(C461)='BK-NL'!$M$11),"x","")</f>
        <v/>
      </c>
    </row>
    <row r="462" spans="1:30" ht="16.5" customHeight="1">
      <c r="A462" s="318" t="str">
        <f>IF(B462&lt;&gt;"",IF(AND(B462='IN-TC'!$S$4,OR(TH!N462="1111",TH!O462="1111")),TH!D462,""),"")</f>
        <v/>
      </c>
      <c r="B462" s="60" t="str">
        <f t="shared" si="121"/>
        <v/>
      </c>
      <c r="C462" s="974"/>
      <c r="D462" s="974"/>
      <c r="E462" s="974"/>
      <c r="F462" s="975"/>
      <c r="G462" s="976"/>
      <c r="H462" s="759"/>
      <c r="I462" s="383"/>
      <c r="J462" s="977"/>
      <c r="K462" s="383"/>
      <c r="L462" s="390"/>
      <c r="M462" s="978"/>
      <c r="N462" s="979"/>
      <c r="O462" s="979"/>
      <c r="P462" s="79" t="str">
        <f>IF(AND('331-CT'!$E$7=TH!H462,OR(N462="331",O462="331")),"x","")</f>
        <v/>
      </c>
      <c r="Q462" s="79" t="str">
        <f>IF(AND(B462='111'!$L$11,OR($N462=$Q$7,$O462=$Q$7)),"x","")</f>
        <v/>
      </c>
      <c r="R462" s="79" t="str">
        <f>IF(AND($N462=$Q$7,$B462&lt;'111'!$L$11),"x","")</f>
        <v/>
      </c>
      <c r="S462" s="79" t="str">
        <f>IF(AND($O462=$Q$7,$B462&lt;'111'!$L$11),"x","")</f>
        <v/>
      </c>
      <c r="T462" s="79" t="str">
        <f>IF(ISERROR(FIND('112'!$M$9,G462,1)),"",IF((AND(FIND('112'!$M$9,G462,1)&gt;=1,B462='112'!$K$9,OR($N462='112'!$I$6,$O462='112'!$I$6))),"x",""))</f>
        <v/>
      </c>
      <c r="U462" s="79" t="str">
        <f>IF(ISERROR(FIND('112'!$M$9,G462,1)),"",IF((AND(LEFT(G462,2)=LEFT('112'!$M$9,2),B462&lt;'112'!$K$9,$N462='112'!$I$6)),"x",""))</f>
        <v/>
      </c>
      <c r="V462" s="79" t="str">
        <f>IF(ISERROR(FIND('112'!$M$9,G462,1)),"",IF((AND(RIGHT(G462,2)=RIGHT('112'!$M$9,2),B462&lt;'112'!$K$9,$O462='112'!$I$6)),"x",""))</f>
        <v/>
      </c>
      <c r="W462" s="79" t="str">
        <f>IF(AND('341-CT'!$H$9=H462,OR(LEFT(N462,3)=$W$7,LEFT(O462,3)=$W$7)),"x","")</f>
        <v/>
      </c>
      <c r="X462" s="79" t="str">
        <f>IF(OR(TH!N462=TH!$X$7,O462=TH!$X$7),"x","")</f>
        <v/>
      </c>
      <c r="Y462" s="79" t="str">
        <f>IF(AND(OR(N462="131",O462="131"),H462='131-CT'!$H$9),"x","")</f>
        <v/>
      </c>
      <c r="Z462" s="79"/>
      <c r="AA462" s="79" t="str">
        <f>IF(AND(MONTH(E462)='IN-NX'!$J$5,'IN-NX'!$D$7=D462),"x","")</f>
        <v/>
      </c>
      <c r="AB462" s="79" t="str">
        <f>IF(AND(OR(LEFT(TH!N462,2)="15",LEFT(TH!O462,2)="15"),LEFT(TH!O462,3)&lt;&gt;"111",'152-CT'!$J$8=TH!F462),"x","")</f>
        <v/>
      </c>
      <c r="AC462" s="79" t="str">
        <f>IF(AND(OR(LEFT(TH!N462,2)="15",LEFT(TH!O462,2)="15"),TK!$E$7=TH!F462),"x","")</f>
        <v/>
      </c>
      <c r="AD462" s="79" t="str">
        <f>IF(AND(N462="1521",MONTH(C462)='BK-NL'!$M$11),"x","")</f>
        <v/>
      </c>
    </row>
    <row r="463" spans="1:30" ht="16.5" customHeight="1">
      <c r="A463" s="318" t="str">
        <f>IF(B463&lt;&gt;"",IF(AND(B463='IN-TC'!$S$4,OR(TH!N463="1111",TH!O463="1111")),TH!D463,""),"")</f>
        <v/>
      </c>
      <c r="B463" s="60" t="str">
        <f t="shared" si="121"/>
        <v/>
      </c>
      <c r="C463" s="974"/>
      <c r="D463" s="974"/>
      <c r="E463" s="974"/>
      <c r="F463" s="975"/>
      <c r="G463" s="976"/>
      <c r="H463" s="759"/>
      <c r="I463" s="383"/>
      <c r="J463" s="977"/>
      <c r="K463" s="383"/>
      <c r="L463" s="390"/>
      <c r="M463" s="978"/>
      <c r="N463" s="979"/>
      <c r="O463" s="979"/>
      <c r="P463" s="79" t="str">
        <f>IF(AND('331-CT'!$E$7=TH!H463,OR(N463="331",O463="331")),"x","")</f>
        <v/>
      </c>
      <c r="Q463" s="79" t="str">
        <f>IF(AND(B463='111'!$L$11,OR($N463=$Q$7,$O463=$Q$7)),"x","")</f>
        <v/>
      </c>
      <c r="R463" s="79" t="str">
        <f>IF(AND($N463=$Q$7,$B463&lt;'111'!$L$11),"x","")</f>
        <v/>
      </c>
      <c r="S463" s="79" t="str">
        <f>IF(AND($O463=$Q$7,$B463&lt;'111'!$L$11),"x","")</f>
        <v/>
      </c>
      <c r="T463" s="79" t="str">
        <f>IF(ISERROR(FIND('112'!$M$9,G463,1)),"",IF((AND(FIND('112'!$M$9,G463,1)&gt;=1,B463='112'!$K$9,OR($N463='112'!$I$6,$O463='112'!$I$6))),"x",""))</f>
        <v/>
      </c>
      <c r="U463" s="79" t="str">
        <f>IF(ISERROR(FIND('112'!$M$9,G463,1)),"",IF((AND(LEFT(G463,2)=LEFT('112'!$M$9,2),B463&lt;'112'!$K$9,$N463='112'!$I$6)),"x",""))</f>
        <v/>
      </c>
      <c r="V463" s="79" t="str">
        <f>IF(ISERROR(FIND('112'!$M$9,G463,1)),"",IF((AND(RIGHT(G463,2)=RIGHT('112'!$M$9,2),B463&lt;'112'!$K$9,$O463='112'!$I$6)),"x",""))</f>
        <v/>
      </c>
      <c r="W463" s="79" t="str">
        <f>IF(AND('341-CT'!$H$9=H463,OR(LEFT(N463,3)=$W$7,LEFT(O463,3)=$W$7)),"x","")</f>
        <v/>
      </c>
      <c r="X463" s="79" t="str">
        <f>IF(OR(TH!N463=TH!$X$7,O463=TH!$X$7),"x","")</f>
        <v/>
      </c>
      <c r="Y463" s="79" t="str">
        <f>IF(AND(OR(N463="131",O463="131"),H463='131-CT'!$H$9),"x","")</f>
        <v/>
      </c>
      <c r="Z463" s="79"/>
      <c r="AA463" s="79" t="str">
        <f>IF(AND(MONTH(E463)='IN-NX'!$J$5,'IN-NX'!$D$7=D463),"x","")</f>
        <v/>
      </c>
      <c r="AB463" s="79" t="str">
        <f>IF(AND(OR(LEFT(TH!N463,2)="15",LEFT(TH!O463,2)="15"),LEFT(TH!O463,3)&lt;&gt;"111",'152-CT'!$J$8=TH!F463),"x","")</f>
        <v/>
      </c>
      <c r="AC463" s="79" t="str">
        <f>IF(AND(OR(LEFT(TH!N463,2)="15",LEFT(TH!O463,2)="15"),TK!$E$7=TH!F463),"x","")</f>
        <v/>
      </c>
      <c r="AD463" s="79" t="str">
        <f>IF(AND(N463="1521",MONTH(C463)='BK-NL'!$M$11),"x","")</f>
        <v/>
      </c>
    </row>
    <row r="464" spans="1:30" ht="16.5" customHeight="1">
      <c r="A464" s="318" t="str">
        <f>IF(B464&lt;&gt;"",IF(AND(B464='IN-TC'!$S$4,OR(TH!N464="1111",TH!O464="1111")),TH!D464,""),"")</f>
        <v/>
      </c>
      <c r="B464" s="60" t="str">
        <f t="shared" si="121"/>
        <v/>
      </c>
      <c r="C464" s="974"/>
      <c r="D464" s="974"/>
      <c r="E464" s="974"/>
      <c r="F464" s="975"/>
      <c r="G464" s="976"/>
      <c r="H464" s="759"/>
      <c r="I464" s="383"/>
      <c r="J464" s="977"/>
      <c r="K464" s="383"/>
      <c r="L464" s="390"/>
      <c r="M464" s="978"/>
      <c r="N464" s="979"/>
      <c r="O464" s="979"/>
      <c r="P464" s="79" t="str">
        <f>IF(AND('331-CT'!$E$7=TH!H464,OR(N464="331",O464="331")),"x","")</f>
        <v/>
      </c>
      <c r="Q464" s="79" t="str">
        <f>IF(AND(B464='111'!$L$11,OR($N464=$Q$7,$O464=$Q$7)),"x","")</f>
        <v/>
      </c>
      <c r="R464" s="79" t="str">
        <f>IF(AND($N464=$Q$7,$B464&lt;'111'!$L$11),"x","")</f>
        <v/>
      </c>
      <c r="S464" s="79" t="str">
        <f>IF(AND($O464=$Q$7,$B464&lt;'111'!$L$11),"x","")</f>
        <v/>
      </c>
      <c r="T464" s="79" t="str">
        <f>IF(ISERROR(FIND('112'!$M$9,G464,1)),"",IF((AND(FIND('112'!$M$9,G464,1)&gt;=1,B464='112'!$K$9,OR($N464='112'!$I$6,$O464='112'!$I$6))),"x",""))</f>
        <v/>
      </c>
      <c r="U464" s="79" t="str">
        <f>IF(ISERROR(FIND('112'!$M$9,G464,1)),"",IF((AND(LEFT(G464,2)=LEFT('112'!$M$9,2),B464&lt;'112'!$K$9,$N464='112'!$I$6)),"x",""))</f>
        <v/>
      </c>
      <c r="V464" s="79" t="str">
        <f>IF(ISERROR(FIND('112'!$M$9,G464,1)),"",IF((AND(RIGHT(G464,2)=RIGHT('112'!$M$9,2),B464&lt;'112'!$K$9,$O464='112'!$I$6)),"x",""))</f>
        <v/>
      </c>
      <c r="W464" s="79" t="str">
        <f>IF(AND('341-CT'!$H$9=H464,OR(LEFT(N464,3)=$W$7,LEFT(O464,3)=$W$7)),"x","")</f>
        <v/>
      </c>
      <c r="X464" s="79" t="str">
        <f>IF(OR(TH!N464=TH!$X$7,O464=TH!$X$7),"x","")</f>
        <v/>
      </c>
      <c r="Y464" s="79" t="str">
        <f>IF(AND(OR(N464="131",O464="131"),H464='131-CT'!$H$9),"x","")</f>
        <v/>
      </c>
      <c r="Z464" s="79"/>
      <c r="AA464" s="79" t="str">
        <f>IF(AND(MONTH(E464)='IN-NX'!$J$5,'IN-NX'!$D$7=D464),"x","")</f>
        <v/>
      </c>
      <c r="AB464" s="79" t="str">
        <f>IF(AND(OR(LEFT(TH!N464,2)="15",LEFT(TH!O464,2)="15"),LEFT(TH!O464,3)&lt;&gt;"111",'152-CT'!$J$8=TH!F464),"x","")</f>
        <v/>
      </c>
      <c r="AC464" s="79" t="str">
        <f>IF(AND(OR(LEFT(TH!N464,2)="15",LEFT(TH!O464,2)="15"),TK!$E$7=TH!F464),"x","")</f>
        <v/>
      </c>
      <c r="AD464" s="79" t="str">
        <f>IF(AND(N464="1521",MONTH(C464)='BK-NL'!$M$11),"x","")</f>
        <v/>
      </c>
    </row>
    <row r="465" spans="1:30" ht="16.5" customHeight="1">
      <c r="A465" s="318" t="str">
        <f>IF(B465&lt;&gt;"",IF(AND(B465='IN-TC'!$S$4,OR(TH!N465="1111",TH!O465="1111")),TH!D465,""),"")</f>
        <v/>
      </c>
      <c r="B465" s="60" t="str">
        <f t="shared" si="121"/>
        <v/>
      </c>
      <c r="C465" s="974"/>
      <c r="D465" s="974"/>
      <c r="E465" s="974"/>
      <c r="F465" s="975"/>
      <c r="G465" s="976"/>
      <c r="H465" s="759"/>
      <c r="I465" s="383"/>
      <c r="J465" s="977"/>
      <c r="K465" s="383"/>
      <c r="L465" s="390"/>
      <c r="M465" s="978"/>
      <c r="N465" s="979"/>
      <c r="O465" s="979"/>
      <c r="P465" s="79" t="str">
        <f>IF(AND('331-CT'!$E$7=TH!H465,OR(N465="331",O465="331")),"x","")</f>
        <v/>
      </c>
      <c r="Q465" s="79" t="str">
        <f>IF(AND(B465='111'!$L$11,OR($N465=$Q$7,$O465=$Q$7)),"x","")</f>
        <v/>
      </c>
      <c r="R465" s="79" t="str">
        <f>IF(AND($N465=$Q$7,$B465&lt;'111'!$L$11),"x","")</f>
        <v/>
      </c>
      <c r="S465" s="79" t="str">
        <f>IF(AND($O465=$Q$7,$B465&lt;'111'!$L$11),"x","")</f>
        <v/>
      </c>
      <c r="T465" s="79" t="str">
        <f>IF(ISERROR(FIND('112'!$M$9,G465,1)),"",IF((AND(FIND('112'!$M$9,G465,1)&gt;=1,B465='112'!$K$9,OR($N465='112'!$I$6,$O465='112'!$I$6))),"x",""))</f>
        <v/>
      </c>
      <c r="U465" s="79" t="str">
        <f>IF(ISERROR(FIND('112'!$M$9,G465,1)),"",IF((AND(LEFT(G465,2)=LEFT('112'!$M$9,2),B465&lt;'112'!$K$9,$N465='112'!$I$6)),"x",""))</f>
        <v/>
      </c>
      <c r="V465" s="79" t="str">
        <f>IF(ISERROR(FIND('112'!$M$9,G465,1)),"",IF((AND(RIGHT(G465,2)=RIGHT('112'!$M$9,2),B465&lt;'112'!$K$9,$O465='112'!$I$6)),"x",""))</f>
        <v/>
      </c>
      <c r="W465" s="79" t="str">
        <f>IF(AND('341-CT'!$H$9=H465,OR(LEFT(N465,3)=$W$7,LEFT(O465,3)=$W$7)),"x","")</f>
        <v/>
      </c>
      <c r="X465" s="79" t="str">
        <f>IF(OR(TH!N465=TH!$X$7,O465=TH!$X$7),"x","")</f>
        <v/>
      </c>
      <c r="Y465" s="79" t="str">
        <f>IF(AND(OR(N465="131",O465="131"),H465='131-CT'!$H$9),"x","")</f>
        <v/>
      </c>
      <c r="Z465" s="79"/>
      <c r="AA465" s="79" t="str">
        <f>IF(AND(MONTH(E465)='IN-NX'!$J$5,'IN-NX'!$D$7=D465),"x","")</f>
        <v/>
      </c>
      <c r="AB465" s="79" t="str">
        <f>IF(AND(OR(LEFT(TH!N465,2)="15",LEFT(TH!O465,2)="15"),LEFT(TH!O465,3)&lt;&gt;"111",'152-CT'!$J$8=TH!F465),"x","")</f>
        <v/>
      </c>
      <c r="AC465" s="79" t="str">
        <f>IF(AND(OR(LEFT(TH!N465,2)="15",LEFT(TH!O465,2)="15"),TK!$E$7=TH!F465),"x","")</f>
        <v/>
      </c>
      <c r="AD465" s="79" t="str">
        <f>IF(AND(N465="1521",MONTH(C465)='BK-NL'!$M$11),"x","")</f>
        <v/>
      </c>
    </row>
    <row r="466" spans="1:30" ht="16.5" customHeight="1">
      <c r="A466" s="318" t="str">
        <f>IF(B466&lt;&gt;"",IF(AND(B466='IN-TC'!$S$4,OR(TH!N466="1111",TH!O466="1111")),TH!D466,""),"")</f>
        <v/>
      </c>
      <c r="B466" s="60" t="str">
        <f t="shared" si="121"/>
        <v/>
      </c>
      <c r="C466" s="974"/>
      <c r="D466" s="974"/>
      <c r="E466" s="974"/>
      <c r="F466" s="975"/>
      <c r="G466" s="976"/>
      <c r="H466" s="759"/>
      <c r="I466" s="383"/>
      <c r="J466" s="977"/>
      <c r="K466" s="383"/>
      <c r="L466" s="390"/>
      <c r="M466" s="978"/>
      <c r="N466" s="979"/>
      <c r="O466" s="979"/>
      <c r="P466" s="79" t="str">
        <f>IF(AND('331-CT'!$E$7=TH!H466,OR(N466="331",O466="331")),"x","")</f>
        <v/>
      </c>
      <c r="Q466" s="79" t="str">
        <f>IF(AND(B466='111'!$L$11,OR($N466=$Q$7,$O466=$Q$7)),"x","")</f>
        <v/>
      </c>
      <c r="R466" s="79" t="str">
        <f>IF(AND($N466=$Q$7,$B466&lt;'111'!$L$11),"x","")</f>
        <v/>
      </c>
      <c r="S466" s="79" t="str">
        <f>IF(AND($O466=$Q$7,$B466&lt;'111'!$L$11),"x","")</f>
        <v/>
      </c>
      <c r="T466" s="79" t="str">
        <f>IF(ISERROR(FIND('112'!$M$9,G466,1)),"",IF((AND(FIND('112'!$M$9,G466,1)&gt;=1,B466='112'!$K$9,OR($N466='112'!$I$6,$O466='112'!$I$6))),"x",""))</f>
        <v/>
      </c>
      <c r="U466" s="79" t="str">
        <f>IF(ISERROR(FIND('112'!$M$9,G466,1)),"",IF((AND(LEFT(G466,2)=LEFT('112'!$M$9,2),B466&lt;'112'!$K$9,$N466='112'!$I$6)),"x",""))</f>
        <v/>
      </c>
      <c r="V466" s="79" t="str">
        <f>IF(ISERROR(FIND('112'!$M$9,G466,1)),"",IF((AND(RIGHT(G466,2)=RIGHT('112'!$M$9,2),B466&lt;'112'!$K$9,$O466='112'!$I$6)),"x",""))</f>
        <v/>
      </c>
      <c r="W466" s="79" t="str">
        <f>IF(AND('341-CT'!$H$9=H466,OR(LEFT(N466,3)=$W$7,LEFT(O466,3)=$W$7)),"x","")</f>
        <v/>
      </c>
      <c r="X466" s="79" t="str">
        <f>IF(OR(TH!N466=TH!$X$7,O466=TH!$X$7),"x","")</f>
        <v/>
      </c>
      <c r="Y466" s="79" t="str">
        <f>IF(AND(OR(N466="131",O466="131"),H466='131-CT'!$H$9),"x","")</f>
        <v/>
      </c>
      <c r="Z466" s="79"/>
      <c r="AA466" s="79" t="str">
        <f>IF(AND(MONTH(E466)='IN-NX'!$J$5,'IN-NX'!$D$7=D466),"x","")</f>
        <v/>
      </c>
      <c r="AB466" s="79" t="str">
        <f>IF(AND(OR(LEFT(TH!N466,2)="15",LEFT(TH!O466,2)="15"),LEFT(TH!O466,3)&lt;&gt;"111",'152-CT'!$J$8=TH!F466),"x","")</f>
        <v/>
      </c>
      <c r="AC466" s="79" t="str">
        <f>IF(AND(OR(LEFT(TH!N466,2)="15",LEFT(TH!O466,2)="15"),TK!$E$7=TH!F466),"x","")</f>
        <v/>
      </c>
      <c r="AD466" s="79" t="str">
        <f>IF(AND(N466="1521",MONTH(C466)='BK-NL'!$M$11),"x","")</f>
        <v/>
      </c>
    </row>
    <row r="467" spans="1:30" ht="16.5" customHeight="1">
      <c r="A467" s="318" t="str">
        <f>IF(B467&lt;&gt;"",IF(AND(B467='IN-TC'!$S$4,OR(TH!N467="1111",TH!O467="1111")),TH!D467,""),"")</f>
        <v/>
      </c>
      <c r="B467" s="60" t="str">
        <f t="shared" si="121"/>
        <v/>
      </c>
      <c r="C467" s="974"/>
      <c r="D467" s="974"/>
      <c r="E467" s="974"/>
      <c r="F467" s="975"/>
      <c r="G467" s="976"/>
      <c r="H467" s="759"/>
      <c r="I467" s="383"/>
      <c r="J467" s="977"/>
      <c r="K467" s="383"/>
      <c r="L467" s="390"/>
      <c r="M467" s="978"/>
      <c r="N467" s="979"/>
      <c r="O467" s="979"/>
      <c r="P467" s="79" t="str">
        <f>IF(AND('331-CT'!$E$7=TH!H467,OR(N467="331",O467="331")),"x","")</f>
        <v/>
      </c>
      <c r="Q467" s="79" t="str">
        <f>IF(AND(B467='111'!$L$11,OR($N467=$Q$7,$O467=$Q$7)),"x","")</f>
        <v/>
      </c>
      <c r="R467" s="79" t="str">
        <f>IF(AND($N467=$Q$7,$B467&lt;'111'!$L$11),"x","")</f>
        <v/>
      </c>
      <c r="S467" s="79" t="str">
        <f>IF(AND($O467=$Q$7,$B467&lt;'111'!$L$11),"x","")</f>
        <v/>
      </c>
      <c r="T467" s="79" t="str">
        <f>IF(ISERROR(FIND('112'!$M$9,G467,1)),"",IF((AND(FIND('112'!$M$9,G467,1)&gt;=1,B467='112'!$K$9,OR($N467='112'!$I$6,$O467='112'!$I$6))),"x",""))</f>
        <v/>
      </c>
      <c r="U467" s="79" t="str">
        <f>IF(ISERROR(FIND('112'!$M$9,G467,1)),"",IF((AND(LEFT(G467,2)=LEFT('112'!$M$9,2),B467&lt;'112'!$K$9,$N467='112'!$I$6)),"x",""))</f>
        <v/>
      </c>
      <c r="V467" s="79" t="str">
        <f>IF(ISERROR(FIND('112'!$M$9,G467,1)),"",IF((AND(RIGHT(G467,2)=RIGHT('112'!$M$9,2),B467&lt;'112'!$K$9,$O467='112'!$I$6)),"x",""))</f>
        <v/>
      </c>
      <c r="W467" s="79" t="str">
        <f>IF(AND('341-CT'!$H$9=H467,OR(LEFT(N467,3)=$W$7,LEFT(O467,3)=$W$7)),"x","")</f>
        <v/>
      </c>
      <c r="X467" s="79" t="str">
        <f>IF(OR(TH!N467=TH!$X$7,O467=TH!$X$7),"x","")</f>
        <v/>
      </c>
      <c r="Y467" s="79" t="str">
        <f>IF(AND(OR(N467="131",O467="131"),H467='131-CT'!$H$9),"x","")</f>
        <v/>
      </c>
      <c r="Z467" s="79"/>
      <c r="AA467" s="79" t="str">
        <f>IF(AND(MONTH(E467)='IN-NX'!$J$5,'IN-NX'!$D$7=D467),"x","")</f>
        <v/>
      </c>
      <c r="AB467" s="79" t="str">
        <f>IF(AND(OR(LEFT(TH!N467,2)="15",LEFT(TH!O467,2)="15"),LEFT(TH!O467,3)&lt;&gt;"111",'152-CT'!$J$8=TH!F467),"x","")</f>
        <v/>
      </c>
      <c r="AC467" s="79" t="str">
        <f>IF(AND(OR(LEFT(TH!N467,2)="15",LEFT(TH!O467,2)="15"),TK!$E$7=TH!F467),"x","")</f>
        <v/>
      </c>
      <c r="AD467" s="79" t="str">
        <f>IF(AND(N467="1521",MONTH(C467)='BK-NL'!$M$11),"x","")</f>
        <v/>
      </c>
    </row>
    <row r="468" spans="1:30" ht="16.5" customHeight="1">
      <c r="A468" s="318" t="str">
        <f>IF(B468&lt;&gt;"",IF(AND(B468='IN-TC'!$S$4,OR(TH!N468="1111",TH!O468="1111")),TH!D468,""),"")</f>
        <v/>
      </c>
      <c r="B468" s="60" t="str">
        <f t="shared" si="121"/>
        <v/>
      </c>
      <c r="C468" s="974"/>
      <c r="D468" s="974"/>
      <c r="E468" s="974"/>
      <c r="F468" s="975"/>
      <c r="G468" s="976"/>
      <c r="H468" s="759"/>
      <c r="I468" s="383"/>
      <c r="J468" s="977"/>
      <c r="K468" s="383"/>
      <c r="L468" s="390"/>
      <c r="M468" s="978"/>
      <c r="N468" s="979"/>
      <c r="O468" s="979"/>
      <c r="P468" s="79" t="str">
        <f>IF(AND('331-CT'!$E$7=TH!H468,OR(N468="331",O468="331")),"x","")</f>
        <v/>
      </c>
      <c r="Q468" s="79" t="str">
        <f>IF(AND(B468='111'!$L$11,OR($N468=$Q$7,$O468=$Q$7)),"x","")</f>
        <v/>
      </c>
      <c r="R468" s="79" t="str">
        <f>IF(AND($N468=$Q$7,$B468&lt;'111'!$L$11),"x","")</f>
        <v/>
      </c>
      <c r="S468" s="79" t="str">
        <f>IF(AND($O468=$Q$7,$B468&lt;'111'!$L$11),"x","")</f>
        <v/>
      </c>
      <c r="T468" s="79" t="str">
        <f>IF(ISERROR(FIND('112'!$M$9,G468,1)),"",IF((AND(FIND('112'!$M$9,G468,1)&gt;=1,B468='112'!$K$9,OR($N468='112'!$I$6,$O468='112'!$I$6))),"x",""))</f>
        <v/>
      </c>
      <c r="U468" s="79" t="str">
        <f>IF(ISERROR(FIND('112'!$M$9,G468,1)),"",IF((AND(LEFT(G468,2)=LEFT('112'!$M$9,2),B468&lt;'112'!$K$9,$N468='112'!$I$6)),"x",""))</f>
        <v/>
      </c>
      <c r="V468" s="79" t="str">
        <f>IF(ISERROR(FIND('112'!$M$9,G468,1)),"",IF((AND(RIGHT(G468,2)=RIGHT('112'!$M$9,2),B468&lt;'112'!$K$9,$O468='112'!$I$6)),"x",""))</f>
        <v/>
      </c>
      <c r="W468" s="79" t="str">
        <f>IF(AND('341-CT'!$H$9=H468,OR(LEFT(N468,3)=$W$7,LEFT(O468,3)=$W$7)),"x","")</f>
        <v/>
      </c>
      <c r="X468" s="79" t="str">
        <f>IF(OR(TH!N468=TH!$X$7,O468=TH!$X$7),"x","")</f>
        <v/>
      </c>
      <c r="Y468" s="79" t="str">
        <f>IF(AND(OR(N468="131",O468="131"),H468='131-CT'!$H$9),"x","")</f>
        <v/>
      </c>
      <c r="Z468" s="79"/>
      <c r="AA468" s="79" t="str">
        <f>IF(AND(MONTH(E468)='IN-NX'!$J$5,'IN-NX'!$D$7=D468),"x","")</f>
        <v/>
      </c>
      <c r="AB468" s="79" t="str">
        <f>IF(AND(OR(LEFT(TH!N468,2)="15",LEFT(TH!O468,2)="15"),LEFT(TH!O468,3)&lt;&gt;"111",'152-CT'!$J$8=TH!F468),"x","")</f>
        <v/>
      </c>
      <c r="AC468" s="79" t="str">
        <f>IF(AND(OR(LEFT(TH!N468,2)="15",LEFT(TH!O468,2)="15"),TK!$E$7=TH!F468),"x","")</f>
        <v/>
      </c>
      <c r="AD468" s="79" t="str">
        <f>IF(AND(N468="1521",MONTH(C468)='BK-NL'!$M$11),"x","")</f>
        <v/>
      </c>
    </row>
    <row r="469" spans="1:30" ht="16.5" customHeight="1">
      <c r="A469" s="318" t="str">
        <f>IF(B469&lt;&gt;"",IF(AND(B469='IN-TC'!$S$4,OR(TH!N469="1111",TH!O469="1111")),TH!D469,""),"")</f>
        <v/>
      </c>
      <c r="B469" s="60" t="str">
        <f t="shared" si="121"/>
        <v/>
      </c>
      <c r="C469" s="974"/>
      <c r="D469" s="974"/>
      <c r="E469" s="974"/>
      <c r="F469" s="975"/>
      <c r="G469" s="976"/>
      <c r="H469" s="759"/>
      <c r="I469" s="383"/>
      <c r="J469" s="977"/>
      <c r="K469" s="383"/>
      <c r="L469" s="390"/>
      <c r="M469" s="978"/>
      <c r="N469" s="979"/>
      <c r="O469" s="979"/>
      <c r="P469" s="79" t="str">
        <f>IF(AND('331-CT'!$E$7=TH!H469,OR(N469="331",O469="331")),"x","")</f>
        <v/>
      </c>
      <c r="Q469" s="79" t="str">
        <f>IF(AND(B469='111'!$L$11,OR($N469=$Q$7,$O469=$Q$7)),"x","")</f>
        <v/>
      </c>
      <c r="R469" s="79" t="str">
        <f>IF(AND($N469=$Q$7,$B469&lt;'111'!$L$11),"x","")</f>
        <v/>
      </c>
      <c r="S469" s="79" t="str">
        <f>IF(AND($O469=$Q$7,$B469&lt;'111'!$L$11),"x","")</f>
        <v/>
      </c>
      <c r="T469" s="79" t="str">
        <f>IF(ISERROR(FIND('112'!$M$9,G469,1)),"",IF((AND(FIND('112'!$M$9,G469,1)&gt;=1,B469='112'!$K$9,OR($N469='112'!$I$6,$O469='112'!$I$6))),"x",""))</f>
        <v/>
      </c>
      <c r="U469" s="79" t="str">
        <f>IF(ISERROR(FIND('112'!$M$9,G469,1)),"",IF((AND(LEFT(G469,2)=LEFT('112'!$M$9,2),B469&lt;'112'!$K$9,$N469='112'!$I$6)),"x",""))</f>
        <v/>
      </c>
      <c r="V469" s="79" t="str">
        <f>IF(ISERROR(FIND('112'!$M$9,G469,1)),"",IF((AND(RIGHT(G469,2)=RIGHT('112'!$M$9,2),B469&lt;'112'!$K$9,$O469='112'!$I$6)),"x",""))</f>
        <v/>
      </c>
      <c r="W469" s="79" t="str">
        <f>IF(AND('341-CT'!$H$9=H469,OR(LEFT(N469,3)=$W$7,LEFT(O469,3)=$W$7)),"x","")</f>
        <v/>
      </c>
      <c r="X469" s="79" t="str">
        <f>IF(OR(TH!N469=TH!$X$7,O469=TH!$X$7),"x","")</f>
        <v/>
      </c>
      <c r="Y469" s="79" t="str">
        <f>IF(AND(OR(N469="131",O469="131"),H469='131-CT'!$H$9),"x","")</f>
        <v/>
      </c>
      <c r="Z469" s="79"/>
      <c r="AA469" s="79" t="str">
        <f>IF(AND(MONTH(E469)='IN-NX'!$J$5,'IN-NX'!$D$7=D469),"x","")</f>
        <v/>
      </c>
      <c r="AB469" s="79" t="str">
        <f>IF(AND(OR(LEFT(TH!N469,2)="15",LEFT(TH!O469,2)="15"),LEFT(TH!O469,3)&lt;&gt;"111",'152-CT'!$J$8=TH!F469),"x","")</f>
        <v/>
      </c>
      <c r="AC469" s="79" t="str">
        <f>IF(AND(OR(LEFT(TH!N469,2)="15",LEFT(TH!O469,2)="15"),TK!$E$7=TH!F469),"x","")</f>
        <v/>
      </c>
      <c r="AD469" s="79" t="str">
        <f>IF(AND(N469="1521",MONTH(C469)='BK-NL'!$M$11),"x","")</f>
        <v/>
      </c>
    </row>
    <row r="470" spans="1:30" ht="16.5" customHeight="1">
      <c r="A470" s="318" t="str">
        <f>IF(B470&lt;&gt;"",IF(AND(B470='IN-TC'!$S$4,OR(TH!N470="1111",TH!O470="1111")),TH!D470,""),"")</f>
        <v/>
      </c>
      <c r="B470" s="60" t="str">
        <f t="shared" si="121"/>
        <v/>
      </c>
      <c r="C470" s="974"/>
      <c r="D470" s="974"/>
      <c r="E470" s="974"/>
      <c r="F470" s="975"/>
      <c r="G470" s="976"/>
      <c r="H470" s="759"/>
      <c r="I470" s="383"/>
      <c r="J470" s="977"/>
      <c r="K470" s="383"/>
      <c r="L470" s="390"/>
      <c r="M470" s="978"/>
      <c r="N470" s="979"/>
      <c r="O470" s="979"/>
      <c r="P470" s="79" t="str">
        <f>IF(AND('331-CT'!$E$7=TH!H470,OR(N470="331",O470="331")),"x","")</f>
        <v/>
      </c>
      <c r="Q470" s="79" t="str">
        <f>IF(AND(B470='111'!$L$11,OR($N470=$Q$7,$O470=$Q$7)),"x","")</f>
        <v/>
      </c>
      <c r="R470" s="79" t="str">
        <f>IF(AND($N470=$Q$7,$B470&lt;'111'!$L$11),"x","")</f>
        <v/>
      </c>
      <c r="S470" s="79" t="str">
        <f>IF(AND($O470=$Q$7,$B470&lt;'111'!$L$11),"x","")</f>
        <v/>
      </c>
      <c r="T470" s="79" t="str">
        <f>IF(ISERROR(FIND('112'!$M$9,G470,1)),"",IF((AND(FIND('112'!$M$9,G470,1)&gt;=1,B470='112'!$K$9,OR($N470='112'!$I$6,$O470='112'!$I$6))),"x",""))</f>
        <v/>
      </c>
      <c r="U470" s="79" t="str">
        <f>IF(ISERROR(FIND('112'!$M$9,G470,1)),"",IF((AND(LEFT(G470,2)=LEFT('112'!$M$9,2),B470&lt;'112'!$K$9,$N470='112'!$I$6)),"x",""))</f>
        <v/>
      </c>
      <c r="V470" s="79" t="str">
        <f>IF(ISERROR(FIND('112'!$M$9,G470,1)),"",IF((AND(RIGHT(G470,2)=RIGHT('112'!$M$9,2),B470&lt;'112'!$K$9,$O470='112'!$I$6)),"x",""))</f>
        <v/>
      </c>
      <c r="W470" s="79" t="str">
        <f>IF(AND('341-CT'!$H$9=H470,OR(LEFT(N470,3)=$W$7,LEFT(O470,3)=$W$7)),"x","")</f>
        <v/>
      </c>
      <c r="X470" s="79" t="str">
        <f>IF(OR(TH!N470=TH!$X$7,O470=TH!$X$7),"x","")</f>
        <v/>
      </c>
      <c r="Y470" s="79" t="str">
        <f>IF(AND(OR(N470="131",O470="131"),H470='131-CT'!$H$9),"x","")</f>
        <v/>
      </c>
      <c r="Z470" s="79"/>
      <c r="AA470" s="79" t="str">
        <f>IF(AND(MONTH(E470)='IN-NX'!$J$5,'IN-NX'!$D$7=D470),"x","")</f>
        <v/>
      </c>
      <c r="AB470" s="79" t="str">
        <f>IF(AND(OR(LEFT(TH!N470,2)="15",LEFT(TH!O470,2)="15"),LEFT(TH!O470,3)&lt;&gt;"111",'152-CT'!$J$8=TH!F470),"x","")</f>
        <v/>
      </c>
      <c r="AC470" s="79" t="str">
        <f>IF(AND(OR(LEFT(TH!N470,2)="15",LEFT(TH!O470,2)="15"),TK!$E$7=TH!F470),"x","")</f>
        <v/>
      </c>
      <c r="AD470" s="79" t="str">
        <f>IF(AND(N470="1521",MONTH(C470)='BK-NL'!$M$11),"x","")</f>
        <v/>
      </c>
    </row>
    <row r="471" spans="1:30" ht="16.5" customHeight="1">
      <c r="A471" s="318" t="str">
        <f>IF(B471&lt;&gt;"",IF(AND(B471='IN-TC'!$S$4,OR(TH!N471="1111",TH!O471="1111")),TH!D471,""),"")</f>
        <v/>
      </c>
      <c r="B471" s="60" t="str">
        <f t="shared" si="121"/>
        <v/>
      </c>
      <c r="C471" s="974"/>
      <c r="D471" s="974"/>
      <c r="E471" s="974"/>
      <c r="F471" s="975"/>
      <c r="G471" s="976"/>
      <c r="H471" s="759"/>
      <c r="I471" s="383"/>
      <c r="J471" s="977"/>
      <c r="K471" s="383"/>
      <c r="L471" s="390"/>
      <c r="M471" s="978"/>
      <c r="N471" s="979"/>
      <c r="O471" s="979"/>
      <c r="P471" s="79" t="str">
        <f>IF(AND('331-CT'!$E$7=TH!H471,OR(N471="331",O471="331")),"x","")</f>
        <v/>
      </c>
      <c r="Q471" s="79" t="str">
        <f>IF(AND(B471='111'!$L$11,OR($N471=$Q$7,$O471=$Q$7)),"x","")</f>
        <v/>
      </c>
      <c r="R471" s="79" t="str">
        <f>IF(AND($N471=$Q$7,$B471&lt;'111'!$L$11),"x","")</f>
        <v/>
      </c>
      <c r="S471" s="79" t="str">
        <f>IF(AND($O471=$Q$7,$B471&lt;'111'!$L$11),"x","")</f>
        <v/>
      </c>
      <c r="T471" s="79" t="str">
        <f>IF(ISERROR(FIND('112'!$M$9,G471,1)),"",IF((AND(FIND('112'!$M$9,G471,1)&gt;=1,B471='112'!$K$9,OR($N471='112'!$I$6,$O471='112'!$I$6))),"x",""))</f>
        <v/>
      </c>
      <c r="U471" s="79" t="str">
        <f>IF(ISERROR(FIND('112'!$M$9,G471,1)),"",IF((AND(LEFT(G471,2)=LEFT('112'!$M$9,2),B471&lt;'112'!$K$9,$N471='112'!$I$6)),"x",""))</f>
        <v/>
      </c>
      <c r="V471" s="79" t="str">
        <f>IF(ISERROR(FIND('112'!$M$9,G471,1)),"",IF((AND(RIGHT(G471,2)=RIGHT('112'!$M$9,2),B471&lt;'112'!$K$9,$O471='112'!$I$6)),"x",""))</f>
        <v/>
      </c>
      <c r="W471" s="79" t="str">
        <f>IF(AND('341-CT'!$H$9=H471,OR(LEFT(N471,3)=$W$7,LEFT(O471,3)=$W$7)),"x","")</f>
        <v/>
      </c>
      <c r="X471" s="79" t="str">
        <f>IF(OR(TH!N471=TH!$X$7,O471=TH!$X$7),"x","")</f>
        <v/>
      </c>
      <c r="Y471" s="79" t="str">
        <f>IF(AND(OR(N471="131",O471="131"),H471='131-CT'!$H$9),"x","")</f>
        <v/>
      </c>
      <c r="Z471" s="79"/>
      <c r="AA471" s="79" t="str">
        <f>IF(AND(MONTH(E471)='IN-NX'!$J$5,'IN-NX'!$D$7=D471),"x","")</f>
        <v/>
      </c>
      <c r="AB471" s="79" t="str">
        <f>IF(AND(OR(LEFT(TH!N471,2)="15",LEFT(TH!O471,2)="15"),LEFT(TH!O471,3)&lt;&gt;"111",'152-CT'!$J$8=TH!F471),"x","")</f>
        <v/>
      </c>
      <c r="AC471" s="79" t="str">
        <f>IF(AND(OR(LEFT(TH!N471,2)="15",LEFT(TH!O471,2)="15"),TK!$E$7=TH!F471),"x","")</f>
        <v/>
      </c>
      <c r="AD471" s="79" t="str">
        <f>IF(AND(N471="1521",MONTH(C471)='BK-NL'!$M$11),"x","")</f>
        <v/>
      </c>
    </row>
    <row r="472" spans="1:30" ht="16.5" customHeight="1">
      <c r="A472" s="318" t="str">
        <f>IF(B472&lt;&gt;"",IF(AND(B472='IN-TC'!$S$4,OR(TH!N472="1111",TH!O472="1111")),TH!D472,""),"")</f>
        <v/>
      </c>
      <c r="B472" s="60" t="str">
        <f t="shared" si="121"/>
        <v/>
      </c>
      <c r="C472" s="974"/>
      <c r="D472" s="974"/>
      <c r="E472" s="974"/>
      <c r="F472" s="975"/>
      <c r="G472" s="976"/>
      <c r="H472" s="759"/>
      <c r="I472" s="383"/>
      <c r="J472" s="977"/>
      <c r="K472" s="383"/>
      <c r="L472" s="390"/>
      <c r="M472" s="978"/>
      <c r="N472" s="979"/>
      <c r="O472" s="979"/>
      <c r="P472" s="79" t="str">
        <f>IF(AND('331-CT'!$E$7=TH!H472,OR(N472="331",O472="331")),"x","")</f>
        <v/>
      </c>
      <c r="Q472" s="79" t="str">
        <f>IF(AND(B472='111'!$L$11,OR($N472=$Q$7,$O472=$Q$7)),"x","")</f>
        <v/>
      </c>
      <c r="R472" s="79" t="str">
        <f>IF(AND($N472=$Q$7,$B472&lt;'111'!$L$11),"x","")</f>
        <v/>
      </c>
      <c r="S472" s="79" t="str">
        <f>IF(AND($O472=$Q$7,$B472&lt;'111'!$L$11),"x","")</f>
        <v/>
      </c>
      <c r="T472" s="79" t="str">
        <f>IF(ISERROR(FIND('112'!$M$9,G472,1)),"",IF((AND(FIND('112'!$M$9,G472,1)&gt;=1,B472='112'!$K$9,OR($N472='112'!$I$6,$O472='112'!$I$6))),"x",""))</f>
        <v/>
      </c>
      <c r="U472" s="79" t="str">
        <f>IF(ISERROR(FIND('112'!$M$9,G472,1)),"",IF((AND(LEFT(G472,2)=LEFT('112'!$M$9,2),B472&lt;'112'!$K$9,$N472='112'!$I$6)),"x",""))</f>
        <v/>
      </c>
      <c r="V472" s="79" t="str">
        <f>IF(ISERROR(FIND('112'!$M$9,G472,1)),"",IF((AND(RIGHT(G472,2)=RIGHT('112'!$M$9,2),B472&lt;'112'!$K$9,$O472='112'!$I$6)),"x",""))</f>
        <v/>
      </c>
      <c r="W472" s="79" t="str">
        <f>IF(AND('341-CT'!$H$9=H472,OR(LEFT(N472,3)=$W$7,LEFT(O472,3)=$W$7)),"x","")</f>
        <v/>
      </c>
      <c r="X472" s="79" t="str">
        <f>IF(OR(TH!N472=TH!$X$7,O472=TH!$X$7),"x","")</f>
        <v/>
      </c>
      <c r="Y472" s="79" t="str">
        <f>IF(AND(OR(N472="131",O472="131"),H472='131-CT'!$H$9),"x","")</f>
        <v/>
      </c>
      <c r="Z472" s="79"/>
      <c r="AA472" s="79" t="str">
        <f>IF(AND(MONTH(E472)='IN-NX'!$J$5,'IN-NX'!$D$7=D472),"x","")</f>
        <v/>
      </c>
      <c r="AB472" s="79" t="str">
        <f>IF(AND(OR(LEFT(TH!N472,2)="15",LEFT(TH!O472,2)="15"),LEFT(TH!O472,3)&lt;&gt;"111",'152-CT'!$J$8=TH!F472),"x","")</f>
        <v/>
      </c>
      <c r="AC472" s="79" t="str">
        <f>IF(AND(OR(LEFT(TH!N472,2)="15",LEFT(TH!O472,2)="15"),TK!$E$7=TH!F472),"x","")</f>
        <v/>
      </c>
      <c r="AD472" s="79" t="str">
        <f>IF(AND(N472="1521",MONTH(C472)='BK-NL'!$M$11),"x","")</f>
        <v/>
      </c>
    </row>
    <row r="473" spans="1:30" ht="16.5" customHeight="1">
      <c r="A473" s="318" t="str">
        <f>IF(B473&lt;&gt;"",IF(AND(B473='IN-TC'!$S$4,OR(TH!N473="1111",TH!O473="1111")),TH!D473,""),"")</f>
        <v/>
      </c>
      <c r="B473" s="60" t="str">
        <f t="shared" si="121"/>
        <v/>
      </c>
      <c r="C473" s="974"/>
      <c r="D473" s="974"/>
      <c r="E473" s="974"/>
      <c r="F473" s="975"/>
      <c r="G473" s="976"/>
      <c r="H473" s="759"/>
      <c r="I473" s="383"/>
      <c r="J473" s="977"/>
      <c r="K473" s="383"/>
      <c r="L473" s="390"/>
      <c r="M473" s="978"/>
      <c r="N473" s="979"/>
      <c r="O473" s="979"/>
      <c r="P473" s="79" t="str">
        <f>IF(AND('331-CT'!$E$7=TH!H473,OR(N473="331",O473="331")),"x","")</f>
        <v/>
      </c>
      <c r="Q473" s="79" t="str">
        <f>IF(AND(B473='111'!$L$11,OR($N473=$Q$7,$O473=$Q$7)),"x","")</f>
        <v/>
      </c>
      <c r="R473" s="79" t="str">
        <f>IF(AND($N473=$Q$7,$B473&lt;'111'!$L$11),"x","")</f>
        <v/>
      </c>
      <c r="S473" s="79" t="str">
        <f>IF(AND($O473=$Q$7,$B473&lt;'111'!$L$11),"x","")</f>
        <v/>
      </c>
      <c r="T473" s="79" t="str">
        <f>IF(ISERROR(FIND('112'!$M$9,G473,1)),"",IF((AND(FIND('112'!$M$9,G473,1)&gt;=1,B473='112'!$K$9,OR($N473='112'!$I$6,$O473='112'!$I$6))),"x",""))</f>
        <v/>
      </c>
      <c r="U473" s="79" t="str">
        <f>IF(ISERROR(FIND('112'!$M$9,G473,1)),"",IF((AND(LEFT(G473,2)=LEFT('112'!$M$9,2),B473&lt;'112'!$K$9,$N473='112'!$I$6)),"x",""))</f>
        <v/>
      </c>
      <c r="V473" s="79" t="str">
        <f>IF(ISERROR(FIND('112'!$M$9,G473,1)),"",IF((AND(RIGHT(G473,2)=RIGHT('112'!$M$9,2),B473&lt;'112'!$K$9,$O473='112'!$I$6)),"x",""))</f>
        <v/>
      </c>
      <c r="W473" s="79" t="str">
        <f>IF(AND('341-CT'!$H$9=H473,OR(LEFT(N473,3)=$W$7,LEFT(O473,3)=$W$7)),"x","")</f>
        <v/>
      </c>
      <c r="X473" s="79" t="str">
        <f>IF(OR(TH!N473=TH!$X$7,O473=TH!$X$7),"x","")</f>
        <v/>
      </c>
      <c r="Y473" s="79" t="str">
        <f>IF(AND(OR(N473="131",O473="131"),H473='131-CT'!$H$9),"x","")</f>
        <v/>
      </c>
      <c r="Z473" s="79"/>
      <c r="AA473" s="79" t="str">
        <f>IF(AND(MONTH(E473)='IN-NX'!$J$5,'IN-NX'!$D$7=D473),"x","")</f>
        <v/>
      </c>
      <c r="AB473" s="79" t="str">
        <f>IF(AND(OR(LEFT(TH!N473,2)="15",LEFT(TH!O473,2)="15"),LEFT(TH!O473,3)&lt;&gt;"111",'152-CT'!$J$8=TH!F473),"x","")</f>
        <v/>
      </c>
      <c r="AC473" s="79" t="str">
        <f>IF(AND(OR(LEFT(TH!N473,2)="15",LEFT(TH!O473,2)="15"),TK!$E$7=TH!F473),"x","")</f>
        <v/>
      </c>
      <c r="AD473" s="79" t="str">
        <f>IF(AND(N473="1521",MONTH(C473)='BK-NL'!$M$11),"x","")</f>
        <v/>
      </c>
    </row>
    <row r="474" spans="1:30" ht="16.5" customHeight="1">
      <c r="A474" s="318" t="str">
        <f>IF(B474&lt;&gt;"",IF(AND(B474='IN-TC'!$S$4,OR(TH!N474="1111",TH!O474="1111")),TH!D474,""),"")</f>
        <v/>
      </c>
      <c r="B474" s="60" t="str">
        <f t="shared" si="121"/>
        <v/>
      </c>
      <c r="C474" s="974"/>
      <c r="D474" s="974"/>
      <c r="E474" s="974"/>
      <c r="F474" s="975"/>
      <c r="G474" s="976"/>
      <c r="H474" s="759"/>
      <c r="I474" s="383"/>
      <c r="J474" s="977"/>
      <c r="K474" s="383"/>
      <c r="L474" s="390"/>
      <c r="M474" s="978"/>
      <c r="N474" s="979"/>
      <c r="O474" s="979"/>
      <c r="P474" s="79" t="str">
        <f>IF(AND('331-CT'!$E$7=TH!H474,OR(N474="331",O474="331")),"x","")</f>
        <v/>
      </c>
      <c r="Q474" s="79" t="str">
        <f>IF(AND(B474='111'!$L$11,OR($N474=$Q$7,$O474=$Q$7)),"x","")</f>
        <v/>
      </c>
      <c r="R474" s="79" t="str">
        <f>IF(AND($N474=$Q$7,$B474&lt;'111'!$L$11),"x","")</f>
        <v/>
      </c>
      <c r="S474" s="79" t="str">
        <f>IF(AND($O474=$Q$7,$B474&lt;'111'!$L$11),"x","")</f>
        <v/>
      </c>
      <c r="T474" s="79" t="str">
        <f>IF(ISERROR(FIND('112'!$M$9,G474,1)),"",IF((AND(FIND('112'!$M$9,G474,1)&gt;=1,B474='112'!$K$9,OR($N474='112'!$I$6,$O474='112'!$I$6))),"x",""))</f>
        <v/>
      </c>
      <c r="U474" s="79" t="str">
        <f>IF(ISERROR(FIND('112'!$M$9,G474,1)),"",IF((AND(LEFT(G474,2)=LEFT('112'!$M$9,2),B474&lt;'112'!$K$9,$N474='112'!$I$6)),"x",""))</f>
        <v/>
      </c>
      <c r="V474" s="79" t="str">
        <f>IF(ISERROR(FIND('112'!$M$9,G474,1)),"",IF((AND(RIGHT(G474,2)=RIGHT('112'!$M$9,2),B474&lt;'112'!$K$9,$O474='112'!$I$6)),"x",""))</f>
        <v/>
      </c>
      <c r="W474" s="79" t="str">
        <f>IF(AND('341-CT'!$H$9=H474,OR(LEFT(N474,3)=$W$7,LEFT(O474,3)=$W$7)),"x","")</f>
        <v/>
      </c>
      <c r="X474" s="79" t="str">
        <f>IF(OR(TH!N474=TH!$X$7,O474=TH!$X$7),"x","")</f>
        <v/>
      </c>
      <c r="Y474" s="79" t="str">
        <f>IF(AND(OR(N474="131",O474="131"),H474='131-CT'!$H$9),"x","")</f>
        <v/>
      </c>
      <c r="Z474" s="79"/>
      <c r="AA474" s="79" t="str">
        <f>IF(AND(MONTH(E474)='IN-NX'!$J$5,'IN-NX'!$D$7=D474),"x","")</f>
        <v/>
      </c>
      <c r="AB474" s="79" t="str">
        <f>IF(AND(OR(LEFT(TH!N474,2)="15",LEFT(TH!O474,2)="15"),LEFT(TH!O474,3)&lt;&gt;"111",'152-CT'!$J$8=TH!F474),"x","")</f>
        <v/>
      </c>
      <c r="AC474" s="79" t="str">
        <f>IF(AND(OR(LEFT(TH!N474,2)="15",LEFT(TH!O474,2)="15"),TK!$E$7=TH!F474),"x","")</f>
        <v/>
      </c>
      <c r="AD474" s="79" t="str">
        <f>IF(AND(N474="1521",MONTH(C474)='BK-NL'!$M$11),"x","")</f>
        <v/>
      </c>
    </row>
    <row r="475" spans="1:30" ht="16.5" customHeight="1">
      <c r="A475" s="318" t="str">
        <f>IF(B475&lt;&gt;"",IF(AND(B475='IN-TC'!$S$4,OR(TH!N475="1111",TH!O475="1111")),TH!D475,""),"")</f>
        <v/>
      </c>
      <c r="B475" s="60" t="str">
        <f t="shared" si="121"/>
        <v/>
      </c>
      <c r="C475" s="974"/>
      <c r="D475" s="974"/>
      <c r="E475" s="974"/>
      <c r="F475" s="975"/>
      <c r="G475" s="976"/>
      <c r="H475" s="759"/>
      <c r="I475" s="383"/>
      <c r="J475" s="977"/>
      <c r="K475" s="383"/>
      <c r="L475" s="390"/>
      <c r="M475" s="978"/>
      <c r="N475" s="979"/>
      <c r="O475" s="979"/>
      <c r="P475" s="79" t="str">
        <f>IF(AND('331-CT'!$E$7=TH!H475,OR(N475="331",O475="331")),"x","")</f>
        <v/>
      </c>
      <c r="Q475" s="79" t="str">
        <f>IF(AND(B475='111'!$L$11,OR($N475=$Q$7,$O475=$Q$7)),"x","")</f>
        <v/>
      </c>
      <c r="R475" s="79" t="str">
        <f>IF(AND($N475=$Q$7,$B475&lt;'111'!$L$11),"x","")</f>
        <v/>
      </c>
      <c r="S475" s="79" t="str">
        <f>IF(AND($O475=$Q$7,$B475&lt;'111'!$L$11),"x","")</f>
        <v/>
      </c>
      <c r="T475" s="79" t="str">
        <f>IF(ISERROR(FIND('112'!$M$9,G475,1)),"",IF((AND(FIND('112'!$M$9,G475,1)&gt;=1,B475='112'!$K$9,OR($N475='112'!$I$6,$O475='112'!$I$6))),"x",""))</f>
        <v/>
      </c>
      <c r="U475" s="79" t="str">
        <f>IF(ISERROR(FIND('112'!$M$9,G475,1)),"",IF((AND(LEFT(G475,2)=LEFT('112'!$M$9,2),B475&lt;'112'!$K$9,$N475='112'!$I$6)),"x",""))</f>
        <v/>
      </c>
      <c r="V475" s="79" t="str">
        <f>IF(ISERROR(FIND('112'!$M$9,G475,1)),"",IF((AND(RIGHT(G475,2)=RIGHT('112'!$M$9,2),B475&lt;'112'!$K$9,$O475='112'!$I$6)),"x",""))</f>
        <v/>
      </c>
      <c r="W475" s="79" t="str">
        <f>IF(AND('341-CT'!$H$9=H475,OR(LEFT(N475,3)=$W$7,LEFT(O475,3)=$W$7)),"x","")</f>
        <v/>
      </c>
      <c r="X475" s="79" t="str">
        <f>IF(OR(TH!N475=TH!$X$7,O475=TH!$X$7),"x","")</f>
        <v/>
      </c>
      <c r="Y475" s="79" t="str">
        <f>IF(AND(OR(N475="131",O475="131"),H475='131-CT'!$H$9),"x","")</f>
        <v/>
      </c>
      <c r="Z475" s="79"/>
      <c r="AA475" s="79" t="str">
        <f>IF(AND(MONTH(E475)='IN-NX'!$J$5,'IN-NX'!$D$7=D475),"x","")</f>
        <v/>
      </c>
      <c r="AB475" s="79" t="str">
        <f>IF(AND(OR(LEFT(TH!N475,2)="15",LEFT(TH!O475,2)="15"),LEFT(TH!O475,3)&lt;&gt;"111",'152-CT'!$J$8=TH!F475),"x","")</f>
        <v/>
      </c>
      <c r="AC475" s="79" t="str">
        <f>IF(AND(OR(LEFT(TH!N475,2)="15",LEFT(TH!O475,2)="15"),TK!$E$7=TH!F475),"x","")</f>
        <v/>
      </c>
      <c r="AD475" s="79" t="str">
        <f>IF(AND(N475="1521",MONTH(C475)='BK-NL'!$M$11),"x","")</f>
        <v/>
      </c>
    </row>
    <row r="476" spans="1:30" ht="16.5" customHeight="1">
      <c r="A476" s="318" t="str">
        <f>IF(B476&lt;&gt;"",IF(AND(B476='IN-TC'!$S$4,OR(TH!N476="1111",TH!O476="1111")),TH!D476,""),"")</f>
        <v/>
      </c>
      <c r="B476" s="60" t="str">
        <f t="shared" si="121"/>
        <v/>
      </c>
      <c r="C476" s="974"/>
      <c r="D476" s="974"/>
      <c r="E476" s="974"/>
      <c r="F476" s="975"/>
      <c r="G476" s="976"/>
      <c r="H476" s="305"/>
      <c r="I476" s="383"/>
      <c r="J476" s="977"/>
      <c r="K476" s="383"/>
      <c r="L476" s="390"/>
      <c r="M476" s="978"/>
      <c r="N476" s="979"/>
      <c r="O476" s="979"/>
      <c r="P476" s="79" t="str">
        <f>IF(AND('331-CT'!$E$7=TH!H476,OR(N476="331",O476="331")),"x","")</f>
        <v/>
      </c>
      <c r="Q476" s="79" t="str">
        <f>IF(AND(B476='111'!$L$11,OR($N476=$Q$7,$O476=$Q$7)),"x","")</f>
        <v/>
      </c>
      <c r="R476" s="79" t="str">
        <f>IF(AND($N476=$Q$7,$B476&lt;'111'!$L$11),"x","")</f>
        <v/>
      </c>
      <c r="S476" s="79" t="str">
        <f>IF(AND($O476=$Q$7,$B476&lt;'111'!$L$11),"x","")</f>
        <v/>
      </c>
      <c r="T476" s="79" t="str">
        <f>IF(ISERROR(FIND('112'!$M$9,G476,1)),"",IF((AND(FIND('112'!$M$9,G476,1)&gt;=1,B476='112'!$K$9,OR($N476='112'!$I$6,$O476='112'!$I$6))),"x",""))</f>
        <v/>
      </c>
      <c r="U476" s="79" t="str">
        <f>IF(ISERROR(FIND('112'!$M$9,G476,1)),"",IF((AND(LEFT(G476,2)=LEFT('112'!$M$9,2),B476&lt;'112'!$K$9,$N476='112'!$I$6)),"x",""))</f>
        <v/>
      </c>
      <c r="V476" s="79" t="str">
        <f>IF(ISERROR(FIND('112'!$M$9,G476,1)),"",IF((AND(RIGHT(G476,2)=RIGHT('112'!$M$9,2),B476&lt;'112'!$K$9,$O476='112'!$I$6)),"x",""))</f>
        <v/>
      </c>
      <c r="W476" s="79" t="str">
        <f>IF(AND('341-CT'!$H$9=H476,OR(LEFT(N476,3)=$W$7,LEFT(O476,3)=$W$7)),"x","")</f>
        <v/>
      </c>
      <c r="X476" s="79" t="str">
        <f>IF(OR(TH!N476=TH!$X$7,O476=TH!$X$7),"x","")</f>
        <v/>
      </c>
      <c r="Y476" s="79" t="str">
        <f>IF(AND(OR(N476="131",O476="131"),H476='131-CT'!$H$9),"x","")</f>
        <v/>
      </c>
      <c r="Z476" s="79"/>
      <c r="AA476" s="79" t="str">
        <f>IF(AND(MONTH(E476)='IN-NX'!$J$5,'IN-NX'!$D$7=D476),"x","")</f>
        <v/>
      </c>
      <c r="AB476" s="79" t="str">
        <f>IF(AND(OR(LEFT(TH!N476,2)="15",LEFT(TH!O476,2)="15"),LEFT(TH!O476,3)&lt;&gt;"111",'152-CT'!$J$8=TH!F476),"x","")</f>
        <v/>
      </c>
      <c r="AC476" s="79" t="str">
        <f>IF(AND(OR(LEFT(TH!N476,2)="15",LEFT(TH!O476,2)="15"),TK!$E$7=TH!F476),"x","")</f>
        <v/>
      </c>
      <c r="AD476" s="79" t="str">
        <f>IF(AND(N476="1521",MONTH(C476)='BK-NL'!$M$11),"x","")</f>
        <v/>
      </c>
    </row>
    <row r="477" spans="1:30" ht="16.5" customHeight="1">
      <c r="A477" s="318" t="str">
        <f>IF(B477&lt;&gt;"",IF(AND(B477='IN-TC'!$S$4,OR(TH!N477="1111",TH!O477="1111")),TH!D477,""),"")</f>
        <v/>
      </c>
      <c r="B477" s="60" t="str">
        <f t="shared" si="121"/>
        <v/>
      </c>
      <c r="C477" s="974"/>
      <c r="D477" s="974"/>
      <c r="E477" s="974"/>
      <c r="F477" s="975"/>
      <c r="G477" s="976"/>
      <c r="H477" s="305"/>
      <c r="I477" s="383"/>
      <c r="J477" s="977"/>
      <c r="K477" s="383"/>
      <c r="L477" s="390"/>
      <c r="M477" s="978"/>
      <c r="N477" s="979"/>
      <c r="O477" s="979"/>
      <c r="P477" s="79" t="str">
        <f>IF(AND('331-CT'!$E$7=TH!H477,OR(N477="331",O477="331")),"x","")</f>
        <v/>
      </c>
      <c r="Q477" s="79" t="str">
        <f>IF(AND(B477='111'!$L$11,OR($N477=$Q$7,$O477=$Q$7)),"x","")</f>
        <v/>
      </c>
      <c r="R477" s="79" t="str">
        <f>IF(AND($N477=$Q$7,$B477&lt;'111'!$L$11),"x","")</f>
        <v/>
      </c>
      <c r="S477" s="79" t="str">
        <f>IF(AND($O477=$Q$7,$B477&lt;'111'!$L$11),"x","")</f>
        <v/>
      </c>
      <c r="T477" s="79" t="str">
        <f>IF(ISERROR(FIND('112'!$M$9,G477,1)),"",IF((AND(FIND('112'!$M$9,G477,1)&gt;=1,B477='112'!$K$9,OR($N477='112'!$I$6,$O477='112'!$I$6))),"x",""))</f>
        <v/>
      </c>
      <c r="U477" s="79" t="str">
        <f>IF(ISERROR(FIND('112'!$M$9,G477,1)),"",IF((AND(LEFT(G477,2)=LEFT('112'!$M$9,2),B477&lt;'112'!$K$9,$N477='112'!$I$6)),"x",""))</f>
        <v/>
      </c>
      <c r="V477" s="79" t="str">
        <f>IF(ISERROR(FIND('112'!$M$9,G477,1)),"",IF((AND(RIGHT(G477,2)=RIGHT('112'!$M$9,2),B477&lt;'112'!$K$9,$O477='112'!$I$6)),"x",""))</f>
        <v/>
      </c>
      <c r="W477" s="79" t="str">
        <f>IF(AND('341-CT'!$H$9=H477,OR(LEFT(N477,3)=$W$7,LEFT(O477,3)=$W$7)),"x","")</f>
        <v/>
      </c>
      <c r="X477" s="79" t="str">
        <f>IF(OR(TH!N477=TH!$X$7,O477=TH!$X$7),"x","")</f>
        <v/>
      </c>
      <c r="Y477" s="79" t="str">
        <f>IF(AND(OR(N477="131",O477="131"),H477='131-CT'!$H$9),"x","")</f>
        <v/>
      </c>
      <c r="Z477" s="79"/>
      <c r="AA477" s="79" t="str">
        <f>IF(AND(MONTH(E477)='IN-NX'!$J$5,'IN-NX'!$D$7=D477),"x","")</f>
        <v/>
      </c>
      <c r="AB477" s="79" t="str">
        <f>IF(AND(OR(LEFT(TH!N477,2)="15",LEFT(TH!O477,2)="15"),LEFT(TH!O477,3)&lt;&gt;"111",'152-CT'!$J$8=TH!F477),"x","")</f>
        <v/>
      </c>
      <c r="AC477" s="79" t="str">
        <f>IF(AND(OR(LEFT(TH!N477,2)="15",LEFT(TH!O477,2)="15"),TK!$E$7=TH!F477),"x","")</f>
        <v/>
      </c>
      <c r="AD477" s="79" t="str">
        <f>IF(AND(N477="1521",MONTH(C477)='BK-NL'!$M$11),"x","")</f>
        <v/>
      </c>
    </row>
    <row r="478" spans="1:30" ht="16.5" customHeight="1">
      <c r="A478" s="318" t="str">
        <f>IF(B478&lt;&gt;"",IF(AND(B478='IN-TC'!$S$4,OR(TH!N478="1111",TH!O478="1111")),TH!D478,""),"")</f>
        <v/>
      </c>
      <c r="B478" s="60" t="str">
        <f t="shared" si="121"/>
        <v/>
      </c>
      <c r="C478" s="974"/>
      <c r="D478" s="974"/>
      <c r="E478" s="974"/>
      <c r="F478" s="975"/>
      <c r="G478" s="976"/>
      <c r="H478" s="305"/>
      <c r="I478" s="383"/>
      <c r="J478" s="977"/>
      <c r="K478" s="383"/>
      <c r="L478" s="390"/>
      <c r="M478" s="978"/>
      <c r="N478" s="979"/>
      <c r="O478" s="979"/>
      <c r="P478" s="79" t="str">
        <f>IF(AND('331-CT'!$E$7=TH!H478,OR(N478="331",O478="331")),"x","")</f>
        <v/>
      </c>
      <c r="Q478" s="79" t="str">
        <f>IF(AND(B478='111'!$L$11,OR($N478=$Q$7,$O478=$Q$7)),"x","")</f>
        <v/>
      </c>
      <c r="R478" s="79" t="str">
        <f>IF(AND($N478=$Q$7,$B478&lt;'111'!$L$11),"x","")</f>
        <v/>
      </c>
      <c r="S478" s="79" t="str">
        <f>IF(AND($O478=$Q$7,$B478&lt;'111'!$L$11),"x","")</f>
        <v/>
      </c>
      <c r="T478" s="79" t="str">
        <f>IF(ISERROR(FIND('112'!$M$9,G478,1)),"",IF((AND(FIND('112'!$M$9,G478,1)&gt;=1,B478='112'!$K$9,OR($N478='112'!$I$6,$O478='112'!$I$6))),"x",""))</f>
        <v/>
      </c>
      <c r="U478" s="79" t="str">
        <f>IF(ISERROR(FIND('112'!$M$9,G478,1)),"",IF((AND(LEFT(G478,2)=LEFT('112'!$M$9,2),B478&lt;'112'!$K$9,$N478='112'!$I$6)),"x",""))</f>
        <v/>
      </c>
      <c r="V478" s="79" t="str">
        <f>IF(ISERROR(FIND('112'!$M$9,G478,1)),"",IF((AND(RIGHT(G478,2)=RIGHT('112'!$M$9,2),B478&lt;'112'!$K$9,$O478='112'!$I$6)),"x",""))</f>
        <v/>
      </c>
      <c r="W478" s="79" t="str">
        <f>IF(AND('341-CT'!$H$9=H478,OR(LEFT(N478,3)=$W$7,LEFT(O478,3)=$W$7)),"x","")</f>
        <v/>
      </c>
      <c r="X478" s="79" t="str">
        <f>IF(OR(TH!N478=TH!$X$7,O478=TH!$X$7),"x","")</f>
        <v/>
      </c>
      <c r="Y478" s="79" t="str">
        <f>IF(AND(OR(N478="131",O478="131"),H478='131-CT'!$H$9),"x","")</f>
        <v/>
      </c>
      <c r="Z478" s="79"/>
      <c r="AA478" s="79" t="str">
        <f>IF(AND(MONTH(E478)='IN-NX'!$J$5,'IN-NX'!$D$7=D478),"x","")</f>
        <v/>
      </c>
      <c r="AB478" s="79" t="str">
        <f>IF(AND(OR(LEFT(TH!N478,2)="15",LEFT(TH!O478,2)="15"),LEFT(TH!O478,3)&lt;&gt;"111",'152-CT'!$J$8=TH!F478),"x","")</f>
        <v/>
      </c>
      <c r="AC478" s="79" t="str">
        <f>IF(AND(OR(LEFT(TH!N478,2)="15",LEFT(TH!O478,2)="15"),TK!$E$7=TH!F478),"x","")</f>
        <v/>
      </c>
      <c r="AD478" s="79" t="str">
        <f>IF(AND(N478="1521",MONTH(C478)='BK-NL'!$M$11),"x","")</f>
        <v/>
      </c>
    </row>
    <row r="479" spans="1:30" ht="16.5" customHeight="1">
      <c r="A479" s="318" t="str">
        <f>IF(B479&lt;&gt;"",IF(AND(B479='IN-TC'!$S$4,OR(TH!N479="1111",TH!O479="1111")),TH!D479,""),"")</f>
        <v/>
      </c>
      <c r="B479" s="60" t="str">
        <f t="shared" si="121"/>
        <v/>
      </c>
      <c r="C479" s="974"/>
      <c r="D479" s="974"/>
      <c r="E479" s="974"/>
      <c r="F479" s="975"/>
      <c r="G479" s="976"/>
      <c r="H479" s="305"/>
      <c r="I479" s="383"/>
      <c r="J479" s="977"/>
      <c r="K479" s="383"/>
      <c r="L479" s="390"/>
      <c r="M479" s="978"/>
      <c r="N479" s="979"/>
      <c r="O479" s="979"/>
      <c r="P479" s="79" t="str">
        <f>IF(AND('331-CT'!$E$7=TH!H479,OR(N479="331",O479="331")),"x","")</f>
        <v/>
      </c>
      <c r="Q479" s="79" t="str">
        <f>IF(AND(B479='111'!$L$11,OR($N479=$Q$7,$O479=$Q$7)),"x","")</f>
        <v/>
      </c>
      <c r="R479" s="79" t="str">
        <f>IF(AND($N479=$Q$7,$B479&lt;'111'!$L$11),"x","")</f>
        <v/>
      </c>
      <c r="S479" s="79" t="str">
        <f>IF(AND($O479=$Q$7,$B479&lt;'111'!$L$11),"x","")</f>
        <v/>
      </c>
      <c r="T479" s="79" t="str">
        <f>IF(ISERROR(FIND('112'!$M$9,G479,1)),"",IF((AND(FIND('112'!$M$9,G479,1)&gt;=1,B479='112'!$K$9,OR($N479='112'!$I$6,$O479='112'!$I$6))),"x",""))</f>
        <v/>
      </c>
      <c r="U479" s="79" t="str">
        <f>IF(ISERROR(FIND('112'!$M$9,G479,1)),"",IF((AND(LEFT(G479,2)=LEFT('112'!$M$9,2),B479&lt;'112'!$K$9,$N479='112'!$I$6)),"x",""))</f>
        <v/>
      </c>
      <c r="V479" s="79" t="str">
        <f>IF(ISERROR(FIND('112'!$M$9,G479,1)),"",IF((AND(RIGHT(G479,2)=RIGHT('112'!$M$9,2),B479&lt;'112'!$K$9,$O479='112'!$I$6)),"x",""))</f>
        <v/>
      </c>
      <c r="W479" s="79" t="str">
        <f>IF(AND('341-CT'!$H$9=H479,OR(LEFT(N479,3)=$W$7,LEFT(O479,3)=$W$7)),"x","")</f>
        <v/>
      </c>
      <c r="X479" s="79" t="str">
        <f>IF(OR(TH!N479=TH!$X$7,O479=TH!$X$7),"x","")</f>
        <v/>
      </c>
      <c r="Y479" s="79" t="str">
        <f>IF(AND(OR(N479="131",O479="131"),H479='131-CT'!$H$9),"x","")</f>
        <v/>
      </c>
      <c r="Z479" s="79"/>
      <c r="AA479" s="79" t="str">
        <f>IF(AND(MONTH(E479)='IN-NX'!$J$5,'IN-NX'!$D$7=D479),"x","")</f>
        <v/>
      </c>
      <c r="AB479" s="79" t="str">
        <f>IF(AND(OR(LEFT(TH!N479,2)="15",LEFT(TH!O479,2)="15"),LEFT(TH!O479,3)&lt;&gt;"111",'152-CT'!$J$8=TH!F479),"x","")</f>
        <v/>
      </c>
      <c r="AC479" s="79" t="str">
        <f>IF(AND(OR(LEFT(TH!N479,2)="15",LEFT(TH!O479,2)="15"),TK!$E$7=TH!F479),"x","")</f>
        <v/>
      </c>
      <c r="AD479" s="79" t="str">
        <f>IF(AND(N479="1521",MONTH(C479)='BK-NL'!$M$11),"x","")</f>
        <v/>
      </c>
    </row>
    <row r="480" spans="1:30" ht="16.5" customHeight="1">
      <c r="A480" s="318" t="str">
        <f>IF(B480&lt;&gt;"",IF(AND(B480='IN-TC'!$S$4,OR(TH!N480="1111",TH!O480="1111")),TH!D480,""),"")</f>
        <v/>
      </c>
      <c r="B480" s="60" t="str">
        <f t="shared" si="121"/>
        <v/>
      </c>
      <c r="C480" s="974"/>
      <c r="D480" s="974"/>
      <c r="E480" s="974"/>
      <c r="F480" s="975"/>
      <c r="G480" s="976"/>
      <c r="H480" s="77"/>
      <c r="I480" s="383"/>
      <c r="J480" s="977"/>
      <c r="K480" s="383"/>
      <c r="L480" s="390"/>
      <c r="M480" s="978"/>
      <c r="N480" s="979"/>
      <c r="O480" s="979"/>
      <c r="P480" s="79" t="str">
        <f>IF(AND('331-CT'!$E$7=TH!H480,OR(N480="331",O480="331")),"x","")</f>
        <v/>
      </c>
      <c r="Q480" s="79" t="str">
        <f>IF(AND(B480='111'!$L$11,OR($N480=$Q$7,$O480=$Q$7)),"x","")</f>
        <v/>
      </c>
      <c r="R480" s="79" t="str">
        <f>IF(AND($N480=$Q$7,$B480&lt;'111'!$L$11),"x","")</f>
        <v/>
      </c>
      <c r="S480" s="79" t="str">
        <f>IF(AND($O480=$Q$7,$B480&lt;'111'!$L$11),"x","")</f>
        <v/>
      </c>
      <c r="T480" s="79" t="str">
        <f>IF(ISERROR(FIND('112'!$M$9,G480,1)),"",IF((AND(FIND('112'!$M$9,G480,1)&gt;=1,B480='112'!$K$9,OR($N480='112'!$I$6,$O480='112'!$I$6))),"x",""))</f>
        <v/>
      </c>
      <c r="U480" s="79" t="str">
        <f>IF(ISERROR(FIND('112'!$M$9,G480,1)),"",IF((AND(LEFT(G480,2)=LEFT('112'!$M$9,2),B480&lt;'112'!$K$9,$N480='112'!$I$6)),"x",""))</f>
        <v/>
      </c>
      <c r="V480" s="79" t="str">
        <f>IF(ISERROR(FIND('112'!$M$9,G480,1)),"",IF((AND(RIGHT(G480,2)=RIGHT('112'!$M$9,2),B480&lt;'112'!$K$9,$O480='112'!$I$6)),"x",""))</f>
        <v/>
      </c>
      <c r="W480" s="79" t="str">
        <f>IF(AND('341-CT'!$H$9=H480,OR(LEFT(N480,3)=$W$7,LEFT(O480,3)=$W$7)),"x","")</f>
        <v/>
      </c>
      <c r="X480" s="79" t="str">
        <f>IF(OR(TH!N480=TH!$X$7,O480=TH!$X$7),"x","")</f>
        <v/>
      </c>
      <c r="Y480" s="79" t="str">
        <f>IF(AND(OR(N480="131",O480="131"),H480='131-CT'!$H$9),"x","")</f>
        <v/>
      </c>
      <c r="Z480" s="79"/>
      <c r="AA480" s="79" t="str">
        <f>IF(AND(MONTH(E480)='IN-NX'!$J$5,'IN-NX'!$D$7=D480),"x","")</f>
        <v/>
      </c>
      <c r="AB480" s="79" t="str">
        <f>IF(AND(OR(LEFT(TH!N480,2)="15",LEFT(TH!O480,2)="15"),LEFT(TH!O480,3)&lt;&gt;"111",'152-CT'!$J$8=TH!F480),"x","")</f>
        <v/>
      </c>
      <c r="AC480" s="79" t="str">
        <f>IF(AND(OR(LEFT(TH!N480,2)="15",LEFT(TH!O480,2)="15"),TK!$E$7=TH!F480),"x","")</f>
        <v/>
      </c>
      <c r="AD480" s="79" t="str">
        <f>IF(AND(N480="1521",MONTH(C480)='BK-NL'!$M$11),"x","")</f>
        <v/>
      </c>
    </row>
    <row r="481" spans="1:30" ht="16.5" customHeight="1">
      <c r="A481" s="318" t="str">
        <f>IF(B481&lt;&gt;"",IF(AND(B481='IN-TC'!$S$4,OR(TH!N481="1111",TH!O481="1111")),TH!D481,""),"")</f>
        <v/>
      </c>
      <c r="B481" s="60" t="str">
        <f t="shared" si="121"/>
        <v/>
      </c>
      <c r="C481" s="974"/>
      <c r="D481" s="974"/>
      <c r="E481" s="974"/>
      <c r="F481" s="975"/>
      <c r="G481" s="976"/>
      <c r="H481" s="77"/>
      <c r="I481" s="383"/>
      <c r="J481" s="977"/>
      <c r="K481" s="383"/>
      <c r="L481" s="390"/>
      <c r="M481" s="978"/>
      <c r="N481" s="979"/>
      <c r="O481" s="979"/>
      <c r="P481" s="79" t="str">
        <f>IF(AND('331-CT'!$E$7=TH!H481,OR(N481="331",O481="331")),"x","")</f>
        <v/>
      </c>
      <c r="Q481" s="79" t="str">
        <f>IF(AND(B481='111'!$L$11,OR($N481=$Q$7,$O481=$Q$7)),"x","")</f>
        <v/>
      </c>
      <c r="R481" s="79" t="str">
        <f>IF(AND($N481=$Q$7,$B481&lt;'111'!$L$11),"x","")</f>
        <v/>
      </c>
      <c r="S481" s="79" t="str">
        <f>IF(AND($O481=$Q$7,$B481&lt;'111'!$L$11),"x","")</f>
        <v/>
      </c>
      <c r="T481" s="79" t="str">
        <f>IF(ISERROR(FIND('112'!$M$9,G481,1)),"",IF((AND(FIND('112'!$M$9,G481,1)&gt;=1,B481='112'!$K$9,OR($N481='112'!$I$6,$O481='112'!$I$6))),"x",""))</f>
        <v/>
      </c>
      <c r="U481" s="79" t="str">
        <f>IF(ISERROR(FIND('112'!$M$9,G481,1)),"",IF((AND(LEFT(G481,2)=LEFT('112'!$M$9,2),B481&lt;'112'!$K$9,$N481='112'!$I$6)),"x",""))</f>
        <v/>
      </c>
      <c r="V481" s="79" t="str">
        <f>IF(ISERROR(FIND('112'!$M$9,G481,1)),"",IF((AND(RIGHT(G481,2)=RIGHT('112'!$M$9,2),B481&lt;'112'!$K$9,$O481='112'!$I$6)),"x",""))</f>
        <v/>
      </c>
      <c r="W481" s="79" t="str">
        <f>IF(AND('341-CT'!$H$9=H481,OR(LEFT(N481,3)=$W$7,LEFT(O481,3)=$W$7)),"x","")</f>
        <v/>
      </c>
      <c r="X481" s="79" t="str">
        <f>IF(OR(TH!N481=TH!$X$7,O481=TH!$X$7),"x","")</f>
        <v/>
      </c>
      <c r="Y481" s="79" t="str">
        <f>IF(AND(OR(N481="131",O481="131"),H481='131-CT'!$H$9),"x","")</f>
        <v/>
      </c>
      <c r="Z481" s="79"/>
      <c r="AA481" s="79" t="str">
        <f>IF(AND(MONTH(E481)='IN-NX'!$J$5,'IN-NX'!$D$7=D481),"x","")</f>
        <v/>
      </c>
      <c r="AB481" s="79" t="str">
        <f>IF(AND(OR(LEFT(TH!N481,2)="15",LEFT(TH!O481,2)="15"),LEFT(TH!O481,3)&lt;&gt;"111",'152-CT'!$J$8=TH!F481),"x","")</f>
        <v/>
      </c>
      <c r="AC481" s="79" t="str">
        <f>IF(AND(OR(LEFT(TH!N481,2)="15",LEFT(TH!O481,2)="15"),TK!$E$7=TH!F481),"x","")</f>
        <v/>
      </c>
      <c r="AD481" s="79" t="str">
        <f>IF(AND(N481="1521",MONTH(C481)='BK-NL'!$M$11),"x","")</f>
        <v/>
      </c>
    </row>
    <row r="482" spans="1:30" ht="16.5" customHeight="1">
      <c r="A482" s="318" t="str">
        <f>IF(B482&lt;&gt;"",IF(AND(B482='IN-TC'!$S$4,OR(TH!N482="1111",TH!O482="1111")),TH!D482,""),"")</f>
        <v/>
      </c>
      <c r="B482" s="60" t="str">
        <f t="shared" si="121"/>
        <v/>
      </c>
      <c r="C482" s="974"/>
      <c r="D482" s="974"/>
      <c r="E482" s="974"/>
      <c r="F482" s="975"/>
      <c r="G482" s="976"/>
      <c r="H482" s="77"/>
      <c r="I482" s="383"/>
      <c r="J482" s="977"/>
      <c r="K482" s="383"/>
      <c r="L482" s="390"/>
      <c r="M482" s="978"/>
      <c r="N482" s="979"/>
      <c r="O482" s="979"/>
      <c r="P482" s="79" t="str">
        <f>IF(AND('331-CT'!$E$7=TH!H482,OR(N482="331",O482="331")),"x","")</f>
        <v/>
      </c>
      <c r="Q482" s="79" t="str">
        <f>IF(AND(B482='111'!$L$11,OR($N482=$Q$7,$O482=$Q$7)),"x","")</f>
        <v/>
      </c>
      <c r="R482" s="79" t="str">
        <f>IF(AND($N482=$Q$7,$B482&lt;'111'!$L$11),"x","")</f>
        <v/>
      </c>
      <c r="S482" s="79" t="str">
        <f>IF(AND($O482=$Q$7,$B482&lt;'111'!$L$11),"x","")</f>
        <v/>
      </c>
      <c r="T482" s="79" t="str">
        <f>IF(ISERROR(FIND('112'!$M$9,G482,1)),"",IF((AND(FIND('112'!$M$9,G482,1)&gt;=1,B482='112'!$K$9,OR($N482='112'!$I$6,$O482='112'!$I$6))),"x",""))</f>
        <v/>
      </c>
      <c r="U482" s="79" t="str">
        <f>IF(ISERROR(FIND('112'!$M$9,G482,1)),"",IF((AND(LEFT(G482,2)=LEFT('112'!$M$9,2),B482&lt;'112'!$K$9,$N482='112'!$I$6)),"x",""))</f>
        <v/>
      </c>
      <c r="V482" s="79" t="str">
        <f>IF(ISERROR(FIND('112'!$M$9,G482,1)),"",IF((AND(RIGHT(G482,2)=RIGHT('112'!$M$9,2),B482&lt;'112'!$K$9,$O482='112'!$I$6)),"x",""))</f>
        <v/>
      </c>
      <c r="W482" s="79" t="str">
        <f>IF(AND('341-CT'!$H$9=H482,OR(LEFT(N482,3)=$W$7,LEFT(O482,3)=$W$7)),"x","")</f>
        <v/>
      </c>
      <c r="X482" s="79" t="str">
        <f>IF(OR(TH!N482=TH!$X$7,O482=TH!$X$7),"x","")</f>
        <v/>
      </c>
      <c r="Y482" s="79" t="str">
        <f>IF(AND(OR(N482="131",O482="131"),H482='131-CT'!$H$9),"x","")</f>
        <v/>
      </c>
      <c r="Z482" s="79"/>
      <c r="AA482" s="79" t="str">
        <f>IF(AND(MONTH(E482)='IN-NX'!$J$5,'IN-NX'!$D$7=D482),"x","")</f>
        <v/>
      </c>
      <c r="AB482" s="79" t="str">
        <f>IF(AND(OR(LEFT(TH!N482,2)="15",LEFT(TH!O482,2)="15"),LEFT(TH!O482,3)&lt;&gt;"111",'152-CT'!$J$8=TH!F482),"x","")</f>
        <v/>
      </c>
      <c r="AC482" s="79" t="str">
        <f>IF(AND(OR(LEFT(TH!N482,2)="15",LEFT(TH!O482,2)="15"),TK!$E$7=TH!F482),"x","")</f>
        <v/>
      </c>
      <c r="AD482" s="79" t="str">
        <f>IF(AND(N482="1521",MONTH(C482)='BK-NL'!$M$11),"x","")</f>
        <v/>
      </c>
    </row>
    <row r="483" spans="1:30" ht="16.5" customHeight="1">
      <c r="A483" s="318" t="str">
        <f>IF(B483&lt;&gt;"",IF(AND(B483='IN-TC'!$S$4,OR(TH!N483="1111",TH!O483="1111")),TH!D483,""),"")</f>
        <v/>
      </c>
      <c r="B483" s="60" t="str">
        <f t="shared" si="121"/>
        <v/>
      </c>
      <c r="C483" s="974"/>
      <c r="D483" s="974"/>
      <c r="E483" s="974"/>
      <c r="F483" s="975"/>
      <c r="G483" s="976"/>
      <c r="H483" s="77"/>
      <c r="I483" s="383"/>
      <c r="J483" s="977"/>
      <c r="K483" s="383"/>
      <c r="L483" s="390"/>
      <c r="M483" s="978"/>
      <c r="N483" s="979"/>
      <c r="O483" s="979"/>
      <c r="P483" s="79" t="str">
        <f>IF(AND('331-CT'!$E$7=TH!H483,OR(N483="331",O483="331")),"x","")</f>
        <v/>
      </c>
      <c r="Q483" s="79" t="str">
        <f>IF(AND(B483='111'!$L$11,OR($N483=$Q$7,$O483=$Q$7)),"x","")</f>
        <v/>
      </c>
      <c r="R483" s="79" t="str">
        <f>IF(AND($N483=$Q$7,$B483&lt;'111'!$L$11),"x","")</f>
        <v/>
      </c>
      <c r="S483" s="79" t="str">
        <f>IF(AND($O483=$Q$7,$B483&lt;'111'!$L$11),"x","")</f>
        <v/>
      </c>
      <c r="T483" s="79" t="str">
        <f>IF(ISERROR(FIND('112'!$M$9,G483,1)),"",IF((AND(FIND('112'!$M$9,G483,1)&gt;=1,B483='112'!$K$9,OR($N483='112'!$I$6,$O483='112'!$I$6))),"x",""))</f>
        <v/>
      </c>
      <c r="U483" s="79" t="str">
        <f>IF(ISERROR(FIND('112'!$M$9,G483,1)),"",IF((AND(LEFT(G483,2)=LEFT('112'!$M$9,2),B483&lt;'112'!$K$9,$N483='112'!$I$6)),"x",""))</f>
        <v/>
      </c>
      <c r="V483" s="79" t="str">
        <f>IF(ISERROR(FIND('112'!$M$9,G483,1)),"",IF((AND(RIGHT(G483,2)=RIGHT('112'!$M$9,2),B483&lt;'112'!$K$9,$O483='112'!$I$6)),"x",""))</f>
        <v/>
      </c>
      <c r="W483" s="79" t="str">
        <f>IF(AND('341-CT'!$H$9=H483,OR(LEFT(N483,3)=$W$7,LEFT(O483,3)=$W$7)),"x","")</f>
        <v/>
      </c>
      <c r="X483" s="79" t="str">
        <f>IF(OR(TH!N483=TH!$X$7,O483=TH!$X$7),"x","")</f>
        <v/>
      </c>
      <c r="Y483" s="79" t="str">
        <f>IF(AND(OR(N483="131",O483="131"),H483='131-CT'!$H$9),"x","")</f>
        <v/>
      </c>
      <c r="Z483" s="79"/>
      <c r="AA483" s="79" t="str">
        <f>IF(AND(MONTH(E483)='IN-NX'!$J$5,'IN-NX'!$D$7=D483),"x","")</f>
        <v/>
      </c>
      <c r="AB483" s="79" t="str">
        <f>IF(AND(OR(LEFT(TH!N483,2)="15",LEFT(TH!O483,2)="15"),LEFT(TH!O483,3)&lt;&gt;"111",'152-CT'!$J$8=TH!F483),"x","")</f>
        <v/>
      </c>
      <c r="AC483" s="79" t="str">
        <f>IF(AND(OR(LEFT(TH!N483,2)="15",LEFT(TH!O483,2)="15"),TK!$E$7=TH!F483),"x","")</f>
        <v/>
      </c>
      <c r="AD483" s="79" t="str">
        <f>IF(AND(N483="1521",MONTH(C483)='BK-NL'!$M$11),"x","")</f>
        <v/>
      </c>
    </row>
    <row r="484" spans="1:30" ht="16.5" customHeight="1">
      <c r="A484" s="318" t="str">
        <f>IF(B484&lt;&gt;"",IF(AND(B484='IN-TC'!$S$4,OR(TH!N484="1111",TH!O484="1111")),TH!D484,""),"")</f>
        <v/>
      </c>
      <c r="B484" s="60" t="str">
        <f t="shared" si="121"/>
        <v/>
      </c>
      <c r="C484" s="974"/>
      <c r="D484" s="974"/>
      <c r="E484" s="974"/>
      <c r="F484" s="975"/>
      <c r="G484" s="976"/>
      <c r="H484" s="77"/>
      <c r="I484" s="383"/>
      <c r="J484" s="977"/>
      <c r="K484" s="383"/>
      <c r="L484" s="390"/>
      <c r="M484" s="978"/>
      <c r="N484" s="979"/>
      <c r="O484" s="979"/>
      <c r="P484" s="79" t="str">
        <f>IF(AND('331-CT'!$E$7=TH!H484,OR(N484="331",O484="331")),"x","")</f>
        <v/>
      </c>
      <c r="Q484" s="79" t="str">
        <f>IF(AND(B484='111'!$L$11,OR($N484=$Q$7,$O484=$Q$7)),"x","")</f>
        <v/>
      </c>
      <c r="R484" s="79" t="str">
        <f>IF(AND($N484=$Q$7,$B484&lt;'111'!$L$11),"x","")</f>
        <v/>
      </c>
      <c r="S484" s="79" t="str">
        <f>IF(AND($O484=$Q$7,$B484&lt;'111'!$L$11),"x","")</f>
        <v/>
      </c>
      <c r="T484" s="79" t="str">
        <f>IF(ISERROR(FIND('112'!$M$9,G484,1)),"",IF((AND(FIND('112'!$M$9,G484,1)&gt;=1,B484='112'!$K$9,OR($N484='112'!$I$6,$O484='112'!$I$6))),"x",""))</f>
        <v/>
      </c>
      <c r="U484" s="79" t="str">
        <f>IF(ISERROR(FIND('112'!$M$9,G484,1)),"",IF((AND(LEFT(G484,2)=LEFT('112'!$M$9,2),B484&lt;'112'!$K$9,$N484='112'!$I$6)),"x",""))</f>
        <v/>
      </c>
      <c r="V484" s="79" t="str">
        <f>IF(ISERROR(FIND('112'!$M$9,G484,1)),"",IF((AND(RIGHT(G484,2)=RIGHT('112'!$M$9,2),B484&lt;'112'!$K$9,$O484='112'!$I$6)),"x",""))</f>
        <v/>
      </c>
      <c r="W484" s="79" t="str">
        <f>IF(AND('341-CT'!$H$9=H484,OR(LEFT(N484,3)=$W$7,LEFT(O484,3)=$W$7)),"x","")</f>
        <v/>
      </c>
      <c r="X484" s="79" t="str">
        <f>IF(OR(TH!N484=TH!$X$7,O484=TH!$X$7),"x","")</f>
        <v/>
      </c>
      <c r="Y484" s="79" t="str">
        <f>IF(AND(OR(N484="131",O484="131"),H484='131-CT'!$H$9),"x","")</f>
        <v/>
      </c>
      <c r="Z484" s="79"/>
      <c r="AA484" s="79" t="str">
        <f>IF(AND(MONTH(E484)='IN-NX'!$J$5,'IN-NX'!$D$7=D484),"x","")</f>
        <v/>
      </c>
      <c r="AB484" s="79" t="str">
        <f>IF(AND(OR(LEFT(TH!N484,2)="15",LEFT(TH!O484,2)="15"),LEFT(TH!O484,3)&lt;&gt;"111",'152-CT'!$J$8=TH!F484),"x","")</f>
        <v/>
      </c>
      <c r="AC484" s="79" t="str">
        <f>IF(AND(OR(LEFT(TH!N484,2)="15",LEFT(TH!O484,2)="15"),TK!$E$7=TH!F484),"x","")</f>
        <v/>
      </c>
      <c r="AD484" s="79" t="str">
        <f>IF(AND(N484="1521",MONTH(C484)='BK-NL'!$M$11),"x","")</f>
        <v/>
      </c>
    </row>
    <row r="485" spans="1:30" ht="16.5" customHeight="1">
      <c r="A485" s="318" t="str">
        <f>IF(B485&lt;&gt;"",IF(AND(B485='IN-TC'!$S$4,OR(TH!N485="1111",TH!O485="1111")),TH!D485,""),"")</f>
        <v/>
      </c>
      <c r="B485" s="60" t="str">
        <f t="shared" si="121"/>
        <v/>
      </c>
      <c r="C485" s="974"/>
      <c r="D485" s="974"/>
      <c r="E485" s="974"/>
      <c r="F485" s="975"/>
      <c r="G485" s="976"/>
      <c r="H485" s="77"/>
      <c r="I485" s="383"/>
      <c r="J485" s="977"/>
      <c r="K485" s="383"/>
      <c r="L485" s="390"/>
      <c r="M485" s="978"/>
      <c r="N485" s="979"/>
      <c r="O485" s="979"/>
      <c r="P485" s="79" t="str">
        <f>IF(AND('331-CT'!$E$7=TH!H485,OR(N485="331",O485="331")),"x","")</f>
        <v/>
      </c>
      <c r="Q485" s="79" t="str">
        <f>IF(AND(B485='111'!$L$11,OR($N485=$Q$7,$O485=$Q$7)),"x","")</f>
        <v/>
      </c>
      <c r="R485" s="79" t="str">
        <f>IF(AND($N485=$Q$7,$B485&lt;'111'!$L$11),"x","")</f>
        <v/>
      </c>
      <c r="S485" s="79" t="str">
        <f>IF(AND($O485=$Q$7,$B485&lt;'111'!$L$11),"x","")</f>
        <v/>
      </c>
      <c r="T485" s="79" t="str">
        <f>IF(ISERROR(FIND('112'!$M$9,G485,1)),"",IF((AND(FIND('112'!$M$9,G485,1)&gt;=1,B485='112'!$K$9,OR($N485='112'!$I$6,$O485='112'!$I$6))),"x",""))</f>
        <v/>
      </c>
      <c r="U485" s="79" t="str">
        <f>IF(ISERROR(FIND('112'!$M$9,G485,1)),"",IF((AND(LEFT(G485,2)=LEFT('112'!$M$9,2),B485&lt;'112'!$K$9,$N485='112'!$I$6)),"x",""))</f>
        <v/>
      </c>
      <c r="V485" s="79" t="str">
        <f>IF(ISERROR(FIND('112'!$M$9,G485,1)),"",IF((AND(RIGHT(G485,2)=RIGHT('112'!$M$9,2),B485&lt;'112'!$K$9,$O485='112'!$I$6)),"x",""))</f>
        <v/>
      </c>
      <c r="W485" s="79" t="str">
        <f>IF(AND('341-CT'!$H$9=H485,OR(LEFT(N485,3)=$W$7,LEFT(O485,3)=$W$7)),"x","")</f>
        <v/>
      </c>
      <c r="X485" s="79" t="str">
        <f>IF(OR(TH!N485=TH!$X$7,O485=TH!$X$7),"x","")</f>
        <v/>
      </c>
      <c r="Y485" s="79" t="str">
        <f>IF(AND(OR(N485="131",O485="131"),H485='131-CT'!$H$9),"x","")</f>
        <v/>
      </c>
      <c r="Z485" s="79"/>
      <c r="AA485" s="79" t="str">
        <f>IF(AND(MONTH(E485)='IN-NX'!$J$5,'IN-NX'!$D$7=D485),"x","")</f>
        <v/>
      </c>
      <c r="AB485" s="79" t="str">
        <f>IF(AND(OR(LEFT(TH!N485,2)="15",LEFT(TH!O485,2)="15"),LEFT(TH!O485,3)&lt;&gt;"111",'152-CT'!$J$8=TH!F485),"x","")</f>
        <v/>
      </c>
      <c r="AC485" s="79" t="str">
        <f>IF(AND(OR(LEFT(TH!N485,2)="15",LEFT(TH!O485,2)="15"),TK!$E$7=TH!F485),"x","")</f>
        <v/>
      </c>
      <c r="AD485" s="79" t="str">
        <f>IF(AND(N485="1521",MONTH(C485)='BK-NL'!$M$11),"x","")</f>
        <v/>
      </c>
    </row>
    <row r="486" spans="1:30" ht="16.5" customHeight="1">
      <c r="A486" s="318" t="str">
        <f>IF(B486&lt;&gt;"",IF(AND(B486='IN-TC'!$S$4,OR(TH!N486="1111",TH!O486="1111")),TH!D486,""),"")</f>
        <v/>
      </c>
      <c r="B486" s="60" t="str">
        <f t="shared" si="121"/>
        <v/>
      </c>
      <c r="C486" s="974"/>
      <c r="D486" s="974"/>
      <c r="E486" s="974"/>
      <c r="F486" s="975"/>
      <c r="G486" s="976"/>
      <c r="H486" s="77"/>
      <c r="I486" s="383"/>
      <c r="J486" s="977"/>
      <c r="K486" s="383"/>
      <c r="L486" s="390"/>
      <c r="M486" s="978"/>
      <c r="N486" s="979"/>
      <c r="O486" s="979"/>
      <c r="P486" s="79" t="str">
        <f>IF(AND('331-CT'!$E$7=TH!H486,OR(N486="331",O486="331")),"x","")</f>
        <v/>
      </c>
      <c r="Q486" s="79" t="str">
        <f>IF(AND(B486='111'!$L$11,OR($N486=$Q$7,$O486=$Q$7)),"x","")</f>
        <v/>
      </c>
      <c r="R486" s="79" t="str">
        <f>IF(AND($N486=$Q$7,$B486&lt;'111'!$L$11),"x","")</f>
        <v/>
      </c>
      <c r="S486" s="79" t="str">
        <f>IF(AND($O486=$Q$7,$B486&lt;'111'!$L$11),"x","")</f>
        <v/>
      </c>
      <c r="T486" s="79" t="str">
        <f>IF(ISERROR(FIND('112'!$M$9,G486,1)),"",IF((AND(FIND('112'!$M$9,G486,1)&gt;=1,B486='112'!$K$9,OR($N486='112'!$I$6,$O486='112'!$I$6))),"x",""))</f>
        <v/>
      </c>
      <c r="U486" s="79" t="str">
        <f>IF(ISERROR(FIND('112'!$M$9,G486,1)),"",IF((AND(LEFT(G486,2)=LEFT('112'!$M$9,2),B486&lt;'112'!$K$9,$N486='112'!$I$6)),"x",""))</f>
        <v/>
      </c>
      <c r="V486" s="79" t="str">
        <f>IF(ISERROR(FIND('112'!$M$9,G486,1)),"",IF((AND(RIGHT(G486,2)=RIGHT('112'!$M$9,2),B486&lt;'112'!$K$9,$O486='112'!$I$6)),"x",""))</f>
        <v/>
      </c>
      <c r="W486" s="79" t="str">
        <f>IF(AND('341-CT'!$H$9=H486,OR(LEFT(N486,3)=$W$7,LEFT(O486,3)=$W$7)),"x","")</f>
        <v/>
      </c>
      <c r="X486" s="79" t="str">
        <f>IF(OR(TH!N486=TH!$X$7,O486=TH!$X$7),"x","")</f>
        <v/>
      </c>
      <c r="Y486" s="79" t="str">
        <f>IF(AND(OR(N486="131",O486="131"),H486='131-CT'!$H$9),"x","")</f>
        <v/>
      </c>
      <c r="Z486" s="79"/>
      <c r="AA486" s="79" t="str">
        <f>IF(AND(MONTH(E486)='IN-NX'!$J$5,'IN-NX'!$D$7=D486),"x","")</f>
        <v/>
      </c>
      <c r="AB486" s="79" t="str">
        <f>IF(AND(OR(LEFT(TH!N486,2)="15",LEFT(TH!O486,2)="15"),LEFT(TH!O486,3)&lt;&gt;"111",'152-CT'!$J$8=TH!F486),"x","")</f>
        <v/>
      </c>
      <c r="AC486" s="79" t="str">
        <f>IF(AND(OR(LEFT(TH!N486,2)="15",LEFT(TH!O486,2)="15"),TK!$E$7=TH!F486),"x","")</f>
        <v/>
      </c>
      <c r="AD486" s="79" t="str">
        <f>IF(AND(N486="1521",MONTH(C486)='BK-NL'!$M$11),"x","")</f>
        <v/>
      </c>
    </row>
    <row r="487" spans="1:30" ht="16.5" customHeight="1">
      <c r="A487" s="318" t="str">
        <f>IF(B487&lt;&gt;"",IF(AND(B487='IN-TC'!$S$4,OR(TH!N487="1111",TH!O487="1111")),TH!D487,""),"")</f>
        <v/>
      </c>
      <c r="B487" s="60" t="str">
        <f t="shared" si="121"/>
        <v/>
      </c>
      <c r="C487" s="974"/>
      <c r="D487" s="974"/>
      <c r="E487" s="974"/>
      <c r="F487" s="975"/>
      <c r="G487" s="976"/>
      <c r="H487" s="77"/>
      <c r="I487" s="383"/>
      <c r="J487" s="977"/>
      <c r="K487" s="383"/>
      <c r="L487" s="390"/>
      <c r="M487" s="978"/>
      <c r="N487" s="979"/>
      <c r="O487" s="979"/>
      <c r="P487" s="79" t="str">
        <f>IF(AND('331-CT'!$E$7=TH!H487,OR(N487="331",O487="331")),"x","")</f>
        <v/>
      </c>
      <c r="Q487" s="79" t="str">
        <f>IF(AND(B487='111'!$L$11,OR($N487=$Q$7,$O487=$Q$7)),"x","")</f>
        <v/>
      </c>
      <c r="R487" s="79" t="str">
        <f>IF(AND($N487=$Q$7,$B487&lt;'111'!$L$11),"x","")</f>
        <v/>
      </c>
      <c r="S487" s="79" t="str">
        <f>IF(AND($O487=$Q$7,$B487&lt;'111'!$L$11),"x","")</f>
        <v/>
      </c>
      <c r="T487" s="79" t="str">
        <f>IF(ISERROR(FIND('112'!$M$9,G487,1)),"",IF((AND(FIND('112'!$M$9,G487,1)&gt;=1,B487='112'!$K$9,OR($N487='112'!$I$6,$O487='112'!$I$6))),"x",""))</f>
        <v/>
      </c>
      <c r="U487" s="79" t="str">
        <f>IF(ISERROR(FIND('112'!$M$9,G487,1)),"",IF((AND(LEFT(G487,2)=LEFT('112'!$M$9,2),B487&lt;'112'!$K$9,$N487='112'!$I$6)),"x",""))</f>
        <v/>
      </c>
      <c r="V487" s="79" t="str">
        <f>IF(ISERROR(FIND('112'!$M$9,G487,1)),"",IF((AND(RIGHT(G487,2)=RIGHT('112'!$M$9,2),B487&lt;'112'!$K$9,$O487='112'!$I$6)),"x",""))</f>
        <v/>
      </c>
      <c r="W487" s="79" t="str">
        <f>IF(AND('341-CT'!$H$9=H487,OR(LEFT(N487,3)=$W$7,LEFT(O487,3)=$W$7)),"x","")</f>
        <v/>
      </c>
      <c r="X487" s="79" t="str">
        <f>IF(OR(TH!N487=TH!$X$7,O487=TH!$X$7),"x","")</f>
        <v/>
      </c>
      <c r="Y487" s="79" t="str">
        <f>IF(AND(OR(N487="131",O487="131"),H487='131-CT'!$H$9),"x","")</f>
        <v/>
      </c>
      <c r="Z487" s="79"/>
      <c r="AA487" s="79" t="str">
        <f>IF(AND(MONTH(E487)='IN-NX'!$J$5,'IN-NX'!$D$7=D487),"x","")</f>
        <v/>
      </c>
      <c r="AB487" s="79" t="str">
        <f>IF(AND(OR(LEFT(TH!N487,2)="15",LEFT(TH!O487,2)="15"),LEFT(TH!O487,3)&lt;&gt;"111",'152-CT'!$J$8=TH!F487),"x","")</f>
        <v/>
      </c>
      <c r="AC487" s="79" t="str">
        <f>IF(AND(OR(LEFT(TH!N487,2)="15",LEFT(TH!O487,2)="15"),TK!$E$7=TH!F487),"x","")</f>
        <v/>
      </c>
      <c r="AD487" s="79" t="str">
        <f>IF(AND(N487="1521",MONTH(C487)='BK-NL'!$M$11),"x","")</f>
        <v/>
      </c>
    </row>
    <row r="488" spans="1:30" ht="16.5" customHeight="1">
      <c r="A488" s="318" t="str">
        <f>IF(B488&lt;&gt;"",IF(AND(B488='IN-TC'!$S$4,OR(TH!N488="1111",TH!O488="1111")),TH!D488,""),"")</f>
        <v/>
      </c>
      <c r="B488" s="60" t="str">
        <f t="shared" si="121"/>
        <v/>
      </c>
      <c r="C488" s="974"/>
      <c r="D488" s="974"/>
      <c r="E488" s="974"/>
      <c r="F488" s="975"/>
      <c r="G488" s="976"/>
      <c r="H488" s="77"/>
      <c r="I488" s="383"/>
      <c r="J488" s="977"/>
      <c r="K488" s="383"/>
      <c r="L488" s="390"/>
      <c r="M488" s="978"/>
      <c r="N488" s="979"/>
      <c r="O488" s="979"/>
      <c r="P488" s="79" t="str">
        <f>IF(AND('331-CT'!$E$7=TH!H488,OR(N488="331",O488="331")),"x","")</f>
        <v/>
      </c>
      <c r="Q488" s="79" t="str">
        <f>IF(AND(B488='111'!$L$11,OR($N488=$Q$7,$O488=$Q$7)),"x","")</f>
        <v/>
      </c>
      <c r="R488" s="79" t="str">
        <f>IF(AND($N488=$Q$7,$B488&lt;'111'!$L$11),"x","")</f>
        <v/>
      </c>
      <c r="S488" s="79" t="str">
        <f>IF(AND($O488=$Q$7,$B488&lt;'111'!$L$11),"x","")</f>
        <v/>
      </c>
      <c r="T488" s="79" t="str">
        <f>IF(ISERROR(FIND('112'!$M$9,G488,1)),"",IF((AND(FIND('112'!$M$9,G488,1)&gt;=1,B488='112'!$K$9,OR($N488='112'!$I$6,$O488='112'!$I$6))),"x",""))</f>
        <v/>
      </c>
      <c r="U488" s="79" t="str">
        <f>IF(ISERROR(FIND('112'!$M$9,G488,1)),"",IF((AND(LEFT(G488,2)=LEFT('112'!$M$9,2),B488&lt;'112'!$K$9,$N488='112'!$I$6)),"x",""))</f>
        <v/>
      </c>
      <c r="V488" s="79" t="str">
        <f>IF(ISERROR(FIND('112'!$M$9,G488,1)),"",IF((AND(RIGHT(G488,2)=RIGHT('112'!$M$9,2),B488&lt;'112'!$K$9,$O488='112'!$I$6)),"x",""))</f>
        <v/>
      </c>
      <c r="W488" s="79" t="str">
        <f>IF(AND('341-CT'!$H$9=H488,OR(LEFT(N488,3)=$W$7,LEFT(O488,3)=$W$7)),"x","")</f>
        <v/>
      </c>
      <c r="X488" s="79" t="str">
        <f>IF(OR(TH!N488=TH!$X$7,O488=TH!$X$7),"x","")</f>
        <v/>
      </c>
      <c r="Y488" s="79" t="str">
        <f>IF(AND(OR(N488="131",O488="131"),H488='131-CT'!$H$9),"x","")</f>
        <v/>
      </c>
      <c r="Z488" s="79"/>
      <c r="AA488" s="79" t="str">
        <f>IF(AND(MONTH(E488)='IN-NX'!$J$5,'IN-NX'!$D$7=D488),"x","")</f>
        <v/>
      </c>
      <c r="AB488" s="79" t="str">
        <f>IF(AND(OR(LEFT(TH!N488,2)="15",LEFT(TH!O488,2)="15"),LEFT(TH!O488,3)&lt;&gt;"111",'152-CT'!$J$8=TH!F488),"x","")</f>
        <v/>
      </c>
      <c r="AC488" s="79" t="str">
        <f>IF(AND(OR(LEFT(TH!N488,2)="15",LEFT(TH!O488,2)="15"),TK!$E$7=TH!F488),"x","")</f>
        <v/>
      </c>
      <c r="AD488" s="79" t="str">
        <f>IF(AND(N488="1521",MONTH(C488)='BK-NL'!$M$11),"x","")</f>
        <v/>
      </c>
    </row>
    <row r="489" spans="1:30" ht="16.5" customHeight="1">
      <c r="A489" s="318" t="str">
        <f>IF(B489&lt;&gt;"",IF(AND(B489='IN-TC'!$S$4,OR(TH!N489="1111",TH!O489="1111")),TH!D489,""),"")</f>
        <v/>
      </c>
      <c r="B489" s="60" t="str">
        <f t="shared" si="121"/>
        <v/>
      </c>
      <c r="C489" s="974"/>
      <c r="D489" s="974"/>
      <c r="E489" s="974"/>
      <c r="F489" s="305"/>
      <c r="G489" s="976"/>
      <c r="H489" s="305"/>
      <c r="I489" s="383"/>
      <c r="J489" s="977"/>
      <c r="K489" s="383"/>
      <c r="L489" s="390"/>
      <c r="M489" s="978"/>
      <c r="N489" s="979"/>
      <c r="O489" s="979"/>
      <c r="P489" s="79" t="str">
        <f>IF(AND('331-CT'!$E$7=TH!H489,OR(N489="331",O489="331")),"x","")</f>
        <v/>
      </c>
      <c r="Q489" s="79" t="str">
        <f>IF(AND(B489='111'!$L$11,OR($N489=$Q$7,$O489=$Q$7)),"x","")</f>
        <v/>
      </c>
      <c r="R489" s="79" t="str">
        <f>IF(AND($N489=$Q$7,$B489&lt;'111'!$L$11),"x","")</f>
        <v/>
      </c>
      <c r="S489" s="79" t="str">
        <f>IF(AND($O489=$Q$7,$B489&lt;'111'!$L$11),"x","")</f>
        <v/>
      </c>
      <c r="T489" s="79" t="str">
        <f>IF(ISERROR(FIND('112'!$M$9,G489,1)),"",IF((AND(FIND('112'!$M$9,G489,1)&gt;=1,B489='112'!$K$9,OR($N489='112'!$I$6,$O489='112'!$I$6))),"x",""))</f>
        <v/>
      </c>
      <c r="U489" s="79" t="str">
        <f>IF(ISERROR(FIND('112'!$M$9,G489,1)),"",IF((AND(LEFT(G489,2)=LEFT('112'!$M$9,2),B489&lt;'112'!$K$9,$N489='112'!$I$6)),"x",""))</f>
        <v/>
      </c>
      <c r="V489" s="79" t="str">
        <f>IF(ISERROR(FIND('112'!$M$9,G489,1)),"",IF((AND(RIGHT(G489,2)=RIGHT('112'!$M$9,2),B489&lt;'112'!$K$9,$O489='112'!$I$6)),"x",""))</f>
        <v/>
      </c>
      <c r="W489" s="79" t="str">
        <f>IF(AND('341-CT'!$H$9=H489,OR(LEFT(N489,3)=$W$7,LEFT(O489,3)=$W$7)),"x","")</f>
        <v/>
      </c>
      <c r="X489" s="79" t="str">
        <f>IF(OR(TH!N489=TH!$X$7,O489=TH!$X$7),"x","")</f>
        <v/>
      </c>
      <c r="Y489" s="79" t="str">
        <f>IF(AND(OR(N489="131",O489="131"),H489='131-CT'!$H$9),"x","")</f>
        <v/>
      </c>
      <c r="Z489" s="79"/>
      <c r="AA489" s="79" t="str">
        <f>IF(AND(MONTH(E489)='IN-NX'!$J$5,'IN-NX'!$D$7=D489),"x","")</f>
        <v/>
      </c>
      <c r="AB489" s="79" t="str">
        <f>IF(AND(OR(LEFT(TH!N489,2)="15",LEFT(TH!O489,2)="15"),LEFT(TH!O489,3)&lt;&gt;"111",'152-CT'!$J$8=TH!F489),"x","")</f>
        <v/>
      </c>
      <c r="AC489" s="79" t="str">
        <f>IF(AND(OR(LEFT(TH!N489,2)="15",LEFT(TH!O489,2)="15"),TK!$E$7=TH!F489),"x","")</f>
        <v/>
      </c>
      <c r="AD489" s="79" t="str">
        <f>IF(AND(N489="1521",MONTH(C489)='BK-NL'!$M$11),"x","")</f>
        <v/>
      </c>
    </row>
    <row r="490" spans="1:30" ht="16.5" customHeight="1">
      <c r="A490" s="318" t="str">
        <f>IF(B490&lt;&gt;"",IF(AND(B490='IN-TC'!$S$4,OR(TH!N490="1111",TH!O490="1111")),TH!D490,""),"")</f>
        <v/>
      </c>
      <c r="B490" s="60" t="str">
        <f t="shared" si="121"/>
        <v/>
      </c>
      <c r="C490" s="974"/>
      <c r="D490" s="974"/>
      <c r="E490" s="974"/>
      <c r="F490" s="305"/>
      <c r="G490" s="976"/>
      <c r="H490" s="305"/>
      <c r="I490" s="383"/>
      <c r="J490" s="977"/>
      <c r="K490" s="383"/>
      <c r="L490" s="390"/>
      <c r="M490" s="978"/>
      <c r="N490" s="979"/>
      <c r="O490" s="979"/>
      <c r="P490" s="79" t="str">
        <f>IF(AND('331-CT'!$E$7=TH!H490,OR(N490="331",O490="331")),"x","")</f>
        <v/>
      </c>
      <c r="Q490" s="79" t="str">
        <f>IF(AND(B490='111'!$L$11,OR($N490=$Q$7,$O490=$Q$7)),"x","")</f>
        <v/>
      </c>
      <c r="R490" s="79" t="str">
        <f>IF(AND($N490=$Q$7,$B490&lt;'111'!$L$11),"x","")</f>
        <v/>
      </c>
      <c r="S490" s="79" t="str">
        <f>IF(AND($O490=$Q$7,$B490&lt;'111'!$L$11),"x","")</f>
        <v/>
      </c>
      <c r="T490" s="79" t="str">
        <f>IF(ISERROR(FIND('112'!$M$9,G490,1)),"",IF((AND(FIND('112'!$M$9,G490,1)&gt;=1,B490='112'!$K$9,OR($N490='112'!$I$6,$O490='112'!$I$6))),"x",""))</f>
        <v/>
      </c>
      <c r="U490" s="79" t="str">
        <f>IF(ISERROR(FIND('112'!$M$9,G490,1)),"",IF((AND(LEFT(G490,2)=LEFT('112'!$M$9,2),B490&lt;'112'!$K$9,$N490='112'!$I$6)),"x",""))</f>
        <v/>
      </c>
      <c r="V490" s="79" t="str">
        <f>IF(ISERROR(FIND('112'!$M$9,G490,1)),"",IF((AND(RIGHT(G490,2)=RIGHT('112'!$M$9,2),B490&lt;'112'!$K$9,$O490='112'!$I$6)),"x",""))</f>
        <v/>
      </c>
      <c r="W490" s="79" t="str">
        <f>IF(AND('341-CT'!$H$9=H490,OR(LEFT(N490,3)=$W$7,LEFT(O490,3)=$W$7)),"x","")</f>
        <v/>
      </c>
      <c r="X490" s="79" t="str">
        <f>IF(OR(TH!N490=TH!$X$7,O490=TH!$X$7),"x","")</f>
        <v/>
      </c>
      <c r="Y490" s="79" t="str">
        <f>IF(AND(OR(N490="131",O490="131"),H490='131-CT'!$H$9),"x","")</f>
        <v/>
      </c>
      <c r="Z490" s="79"/>
      <c r="AA490" s="79" t="str">
        <f>IF(AND(MONTH(E490)='IN-NX'!$J$5,'IN-NX'!$D$7=D490),"x","")</f>
        <v/>
      </c>
      <c r="AB490" s="79" t="str">
        <f>IF(AND(OR(LEFT(TH!N490,2)="15",LEFT(TH!O490,2)="15"),LEFT(TH!O490,3)&lt;&gt;"111",'152-CT'!$J$8=TH!F490),"x","")</f>
        <v/>
      </c>
      <c r="AC490" s="79" t="str">
        <f>IF(AND(OR(LEFT(TH!N490,2)="15",LEFT(TH!O490,2)="15"),TK!$E$7=TH!F490),"x","")</f>
        <v/>
      </c>
      <c r="AD490" s="79" t="str">
        <f>IF(AND(N490="1521",MONTH(C490)='BK-NL'!$M$11),"x","")</f>
        <v/>
      </c>
    </row>
    <row r="491" spans="1:30" ht="16.5" customHeight="1">
      <c r="A491" s="318" t="str">
        <f>IF(B491&lt;&gt;"",IF(AND(B491='IN-TC'!$S$4,OR(TH!N491="1111",TH!O491="1111")),TH!D491,""),"")</f>
        <v/>
      </c>
      <c r="B491" s="60" t="str">
        <f t="shared" si="121"/>
        <v/>
      </c>
      <c r="C491" s="974"/>
      <c r="D491" s="974"/>
      <c r="E491" s="974"/>
      <c r="F491" s="975"/>
      <c r="G491" s="976"/>
      <c r="H491" s="759"/>
      <c r="I491" s="383"/>
      <c r="J491" s="977"/>
      <c r="K491" s="383"/>
      <c r="L491" s="390"/>
      <c r="M491" s="978"/>
      <c r="N491" s="979"/>
      <c r="O491" s="979"/>
      <c r="P491" s="79" t="str">
        <f>IF(AND('331-CT'!$E$7=TH!H491,OR(N491="331",O491="331")),"x","")</f>
        <v/>
      </c>
      <c r="Q491" s="79" t="str">
        <f>IF(AND(B491='111'!$L$11,OR($N491=$Q$7,$O491=$Q$7)),"x","")</f>
        <v/>
      </c>
      <c r="R491" s="79" t="str">
        <f>IF(AND($N491=$Q$7,$B491&lt;'111'!$L$11),"x","")</f>
        <v/>
      </c>
      <c r="S491" s="79" t="str">
        <f>IF(AND($O491=$Q$7,$B491&lt;'111'!$L$11),"x","")</f>
        <v/>
      </c>
      <c r="T491" s="79" t="str">
        <f>IF(ISERROR(FIND('112'!$M$9,G491,1)),"",IF((AND(FIND('112'!$M$9,G491,1)&gt;=1,B491='112'!$K$9,OR($N491='112'!$I$6,$O491='112'!$I$6))),"x",""))</f>
        <v/>
      </c>
      <c r="U491" s="79" t="str">
        <f>IF(ISERROR(FIND('112'!$M$9,G491,1)),"",IF((AND(LEFT(G491,2)=LEFT('112'!$M$9,2),B491&lt;'112'!$K$9,$N491='112'!$I$6)),"x",""))</f>
        <v/>
      </c>
      <c r="V491" s="79" t="str">
        <f>IF(ISERROR(FIND('112'!$M$9,G491,1)),"",IF((AND(RIGHT(G491,2)=RIGHT('112'!$M$9,2),B491&lt;'112'!$K$9,$O491='112'!$I$6)),"x",""))</f>
        <v/>
      </c>
      <c r="W491" s="79" t="str">
        <f>IF(AND('341-CT'!$H$9=H491,OR(LEFT(N491,3)=$W$7,LEFT(O491,3)=$W$7)),"x","")</f>
        <v/>
      </c>
      <c r="X491" s="79" t="str">
        <f>IF(OR(TH!N491=TH!$X$7,O491=TH!$X$7),"x","")</f>
        <v/>
      </c>
      <c r="Y491" s="79" t="str">
        <f>IF(AND(OR(N491="131",O491="131"),H491='131-CT'!$H$9),"x","")</f>
        <v/>
      </c>
      <c r="Z491" s="79"/>
      <c r="AA491" s="79" t="str">
        <f>IF(AND(MONTH(E491)='IN-NX'!$J$5,'IN-NX'!$D$7=D491),"x","")</f>
        <v/>
      </c>
      <c r="AB491" s="79" t="str">
        <f>IF(AND(OR(LEFT(TH!N491,2)="15",LEFT(TH!O491,2)="15"),LEFT(TH!O491,3)&lt;&gt;"111",'152-CT'!$J$8=TH!F491),"x","")</f>
        <v/>
      </c>
      <c r="AC491" s="79" t="str">
        <f>IF(AND(OR(LEFT(TH!N491,2)="15",LEFT(TH!O491,2)="15"),TK!$E$7=TH!F491),"x","")</f>
        <v/>
      </c>
      <c r="AD491" s="79" t="str">
        <f>IF(AND(N491="1521",MONTH(C491)='BK-NL'!$M$11),"x","")</f>
        <v/>
      </c>
    </row>
    <row r="492" spans="1:30" ht="16.5" customHeight="1">
      <c r="A492" s="318" t="str">
        <f>IF(B492&lt;&gt;"",IF(AND(B492='IN-TC'!$S$4,OR(TH!N492="1111",TH!O492="1111")),TH!D492,""),"")</f>
        <v/>
      </c>
      <c r="B492" s="60" t="str">
        <f t="shared" si="121"/>
        <v/>
      </c>
      <c r="C492" s="974"/>
      <c r="D492" s="974"/>
      <c r="E492" s="974"/>
      <c r="F492" s="975"/>
      <c r="G492" s="976"/>
      <c r="H492" s="759"/>
      <c r="I492" s="383"/>
      <c r="J492" s="977"/>
      <c r="K492" s="383"/>
      <c r="L492" s="390"/>
      <c r="M492" s="978"/>
      <c r="N492" s="979"/>
      <c r="O492" s="979"/>
      <c r="P492" s="79" t="str">
        <f>IF(AND('331-CT'!$E$7=TH!H492,OR(N492="331",O492="331")),"x","")</f>
        <v/>
      </c>
      <c r="Q492" s="79" t="str">
        <f>IF(AND(B492='111'!$L$11,OR($N492=$Q$7,$O492=$Q$7)),"x","")</f>
        <v/>
      </c>
      <c r="R492" s="79" t="str">
        <f>IF(AND($N492=$Q$7,$B492&lt;'111'!$L$11),"x","")</f>
        <v/>
      </c>
      <c r="S492" s="79" t="str">
        <f>IF(AND($O492=$Q$7,$B492&lt;'111'!$L$11),"x","")</f>
        <v/>
      </c>
      <c r="T492" s="79" t="str">
        <f>IF(ISERROR(FIND('112'!$M$9,G492,1)),"",IF((AND(FIND('112'!$M$9,G492,1)&gt;=1,B492='112'!$K$9,OR($N492='112'!$I$6,$O492='112'!$I$6))),"x",""))</f>
        <v/>
      </c>
      <c r="U492" s="79" t="str">
        <f>IF(ISERROR(FIND('112'!$M$9,G492,1)),"",IF((AND(LEFT(G492,2)=LEFT('112'!$M$9,2),B492&lt;'112'!$K$9,$N492='112'!$I$6)),"x",""))</f>
        <v/>
      </c>
      <c r="V492" s="79" t="str">
        <f>IF(ISERROR(FIND('112'!$M$9,G492,1)),"",IF((AND(RIGHT(G492,2)=RIGHT('112'!$M$9,2),B492&lt;'112'!$K$9,$O492='112'!$I$6)),"x",""))</f>
        <v/>
      </c>
      <c r="W492" s="79" t="str">
        <f>IF(AND('341-CT'!$H$9=H492,OR(LEFT(N492,3)=$W$7,LEFT(O492,3)=$W$7)),"x","")</f>
        <v/>
      </c>
      <c r="X492" s="79" t="str">
        <f>IF(OR(TH!N492=TH!$X$7,O492=TH!$X$7),"x","")</f>
        <v/>
      </c>
      <c r="Y492" s="79" t="str">
        <f>IF(AND(OR(N492="131",O492="131"),H492='131-CT'!$H$9),"x","")</f>
        <v/>
      </c>
      <c r="Z492" s="79"/>
      <c r="AA492" s="79" t="str">
        <f>IF(AND(MONTH(E492)='IN-NX'!$J$5,'IN-NX'!$D$7=D492),"x","")</f>
        <v/>
      </c>
      <c r="AB492" s="79" t="str">
        <f>IF(AND(OR(LEFT(TH!N492,2)="15",LEFT(TH!O492,2)="15"),LEFT(TH!O492,3)&lt;&gt;"111",'152-CT'!$J$8=TH!F492),"x","")</f>
        <v/>
      </c>
      <c r="AC492" s="79" t="str">
        <f>IF(AND(OR(LEFT(TH!N492,2)="15",LEFT(TH!O492,2)="15"),TK!$E$7=TH!F492),"x","")</f>
        <v/>
      </c>
      <c r="AD492" s="79" t="str">
        <f>IF(AND(N492="1521",MONTH(C492)='BK-NL'!$M$11),"x","")</f>
        <v/>
      </c>
    </row>
    <row r="493" spans="1:30" ht="16.5" customHeight="1">
      <c r="A493" s="318" t="str">
        <f>IF(B493&lt;&gt;"",IF(AND(B493='IN-TC'!$S$4,OR(TH!N493="1111",TH!O493="1111")),TH!D493,""),"")</f>
        <v/>
      </c>
      <c r="B493" s="60" t="str">
        <f t="shared" si="121"/>
        <v/>
      </c>
      <c r="C493" s="974"/>
      <c r="D493" s="974"/>
      <c r="E493" s="974"/>
      <c r="F493" s="975"/>
      <c r="G493" s="976"/>
      <c r="H493" s="759"/>
      <c r="I493" s="383"/>
      <c r="J493" s="977"/>
      <c r="K493" s="383"/>
      <c r="L493" s="390"/>
      <c r="M493" s="978"/>
      <c r="N493" s="979"/>
      <c r="O493" s="979"/>
      <c r="P493" s="79" t="str">
        <f>IF(AND('331-CT'!$E$7=TH!H493,OR(N493="331",O493="331")),"x","")</f>
        <v/>
      </c>
      <c r="Q493" s="79" t="str">
        <f>IF(AND(B493='111'!$L$11,OR($N493=$Q$7,$O493=$Q$7)),"x","")</f>
        <v/>
      </c>
      <c r="R493" s="79" t="str">
        <f>IF(AND($N493=$Q$7,$B493&lt;'111'!$L$11),"x","")</f>
        <v/>
      </c>
      <c r="S493" s="79" t="str">
        <f>IF(AND($O493=$Q$7,$B493&lt;'111'!$L$11),"x","")</f>
        <v/>
      </c>
      <c r="T493" s="79" t="str">
        <f>IF(ISERROR(FIND('112'!$M$9,G493,1)),"",IF((AND(FIND('112'!$M$9,G493,1)&gt;=1,B493='112'!$K$9,OR($N493='112'!$I$6,$O493='112'!$I$6))),"x",""))</f>
        <v/>
      </c>
      <c r="U493" s="79" t="str">
        <f>IF(ISERROR(FIND('112'!$M$9,G493,1)),"",IF((AND(LEFT(G493,2)=LEFT('112'!$M$9,2),B493&lt;'112'!$K$9,$N493='112'!$I$6)),"x",""))</f>
        <v/>
      </c>
      <c r="V493" s="79" t="str">
        <f>IF(ISERROR(FIND('112'!$M$9,G493,1)),"",IF((AND(RIGHT(G493,2)=RIGHT('112'!$M$9,2),B493&lt;'112'!$K$9,$O493='112'!$I$6)),"x",""))</f>
        <v/>
      </c>
      <c r="W493" s="79" t="str">
        <f>IF(AND('341-CT'!$H$9=H493,OR(LEFT(N493,3)=$W$7,LEFT(O493,3)=$W$7)),"x","")</f>
        <v/>
      </c>
      <c r="X493" s="79" t="str">
        <f>IF(OR(TH!N493=TH!$X$7,O493=TH!$X$7),"x","")</f>
        <v/>
      </c>
      <c r="Y493" s="79" t="str">
        <f>IF(AND(OR(N493="131",O493="131"),H493='131-CT'!$H$9),"x","")</f>
        <v/>
      </c>
      <c r="Z493" s="79"/>
      <c r="AA493" s="79" t="str">
        <f>IF(AND(MONTH(E493)='IN-NX'!$J$5,'IN-NX'!$D$7=D493),"x","")</f>
        <v/>
      </c>
      <c r="AB493" s="79" t="str">
        <f>IF(AND(OR(LEFT(TH!N493,2)="15",LEFT(TH!O493,2)="15"),LEFT(TH!O493,3)&lt;&gt;"111",'152-CT'!$J$8=TH!F493),"x","")</f>
        <v/>
      </c>
      <c r="AC493" s="79" t="str">
        <f>IF(AND(OR(LEFT(TH!N493,2)="15",LEFT(TH!O493,2)="15"),TK!$E$7=TH!F493),"x","")</f>
        <v/>
      </c>
      <c r="AD493" s="79" t="str">
        <f>IF(AND(N493="1521",MONTH(C493)='BK-NL'!$M$11),"x","")</f>
        <v/>
      </c>
    </row>
    <row r="494" spans="1:30" ht="16.5" customHeight="1">
      <c r="A494" s="318" t="str">
        <f>IF(B494&lt;&gt;"",IF(AND(B494='IN-TC'!$S$4,OR(TH!N494="1111",TH!O494="1111")),TH!D494,""),"")</f>
        <v/>
      </c>
      <c r="B494" s="60" t="str">
        <f t="shared" si="121"/>
        <v/>
      </c>
      <c r="C494" s="974"/>
      <c r="D494" s="974"/>
      <c r="E494" s="974"/>
      <c r="F494" s="975"/>
      <c r="G494" s="976"/>
      <c r="H494" s="759"/>
      <c r="I494" s="383"/>
      <c r="J494" s="977"/>
      <c r="K494" s="383"/>
      <c r="L494" s="390"/>
      <c r="M494" s="978"/>
      <c r="N494" s="979"/>
      <c r="O494" s="979"/>
      <c r="P494" s="79" t="str">
        <f>IF(AND('331-CT'!$E$7=TH!H494,OR(N494="331",O494="331")),"x","")</f>
        <v/>
      </c>
      <c r="Q494" s="79" t="str">
        <f>IF(AND(B494='111'!$L$11,OR($N494=$Q$7,$O494=$Q$7)),"x","")</f>
        <v/>
      </c>
      <c r="R494" s="79" t="str">
        <f>IF(AND($N494=$Q$7,$B494&lt;'111'!$L$11),"x","")</f>
        <v/>
      </c>
      <c r="S494" s="79" t="str">
        <f>IF(AND($O494=$Q$7,$B494&lt;'111'!$L$11),"x","")</f>
        <v/>
      </c>
      <c r="T494" s="79" t="str">
        <f>IF(ISERROR(FIND('112'!$M$9,G494,1)),"",IF((AND(FIND('112'!$M$9,G494,1)&gt;=1,B494='112'!$K$9,OR($N494='112'!$I$6,$O494='112'!$I$6))),"x",""))</f>
        <v/>
      </c>
      <c r="U494" s="79" t="str">
        <f>IF(ISERROR(FIND('112'!$M$9,G494,1)),"",IF((AND(LEFT(G494,2)=LEFT('112'!$M$9,2),B494&lt;'112'!$K$9,$N494='112'!$I$6)),"x",""))</f>
        <v/>
      </c>
      <c r="V494" s="79" t="str">
        <f>IF(ISERROR(FIND('112'!$M$9,G494,1)),"",IF((AND(RIGHT(G494,2)=RIGHT('112'!$M$9,2),B494&lt;'112'!$K$9,$O494='112'!$I$6)),"x",""))</f>
        <v/>
      </c>
      <c r="W494" s="79" t="str">
        <f>IF(AND('341-CT'!$H$9=H494,OR(LEFT(N494,3)=$W$7,LEFT(O494,3)=$W$7)),"x","")</f>
        <v/>
      </c>
      <c r="X494" s="79" t="str">
        <f>IF(OR(TH!N494=TH!$X$7,O494=TH!$X$7),"x","")</f>
        <v/>
      </c>
      <c r="Y494" s="79" t="str">
        <f>IF(AND(OR(N494="131",O494="131"),H494='131-CT'!$H$9),"x","")</f>
        <v/>
      </c>
      <c r="Z494" s="79"/>
      <c r="AA494" s="79" t="str">
        <f>IF(AND(MONTH(E494)='IN-NX'!$J$5,'IN-NX'!$D$7=D494),"x","")</f>
        <v/>
      </c>
      <c r="AB494" s="79" t="str">
        <f>IF(AND(OR(LEFT(TH!N494,2)="15",LEFT(TH!O494,2)="15"),LEFT(TH!O494,3)&lt;&gt;"111",'152-CT'!$J$8=TH!F494),"x","")</f>
        <v/>
      </c>
      <c r="AC494" s="79" t="str">
        <f>IF(AND(OR(LEFT(TH!N494,2)="15",LEFT(TH!O494,2)="15"),TK!$E$7=TH!F494),"x","")</f>
        <v/>
      </c>
      <c r="AD494" s="79" t="str">
        <f>IF(AND(N494="1521",MONTH(C494)='BK-NL'!$M$11),"x","")</f>
        <v/>
      </c>
    </row>
    <row r="495" spans="1:30" ht="16.5" customHeight="1">
      <c r="A495" s="318" t="str">
        <f>IF(B495&lt;&gt;"",IF(AND(B495='IN-TC'!$S$4,OR(TH!N495="1111",TH!O495="1111")),TH!D495,""),"")</f>
        <v/>
      </c>
      <c r="B495" s="60" t="str">
        <f t="shared" si="121"/>
        <v/>
      </c>
      <c r="C495" s="974"/>
      <c r="D495" s="974"/>
      <c r="E495" s="974"/>
      <c r="F495" s="975"/>
      <c r="G495" s="976"/>
      <c r="H495" s="759"/>
      <c r="I495" s="383"/>
      <c r="J495" s="977"/>
      <c r="K495" s="383"/>
      <c r="L495" s="390"/>
      <c r="M495" s="978"/>
      <c r="N495" s="979"/>
      <c r="O495" s="979"/>
      <c r="P495" s="79" t="str">
        <f>IF(AND('331-CT'!$E$7=TH!H495,OR(N495="331",O495="331")),"x","")</f>
        <v/>
      </c>
      <c r="Q495" s="79" t="str">
        <f>IF(AND(B495='111'!$L$11,OR($N495=$Q$7,$O495=$Q$7)),"x","")</f>
        <v/>
      </c>
      <c r="R495" s="79" t="str">
        <f>IF(AND($N495=$Q$7,$B495&lt;'111'!$L$11),"x","")</f>
        <v/>
      </c>
      <c r="S495" s="79" t="str">
        <f>IF(AND($O495=$Q$7,$B495&lt;'111'!$L$11),"x","")</f>
        <v/>
      </c>
      <c r="T495" s="79" t="str">
        <f>IF(ISERROR(FIND('112'!$M$9,G495,1)),"",IF((AND(FIND('112'!$M$9,G495,1)&gt;=1,B495='112'!$K$9,OR($N495='112'!$I$6,$O495='112'!$I$6))),"x",""))</f>
        <v/>
      </c>
      <c r="U495" s="79" t="str">
        <f>IF(ISERROR(FIND('112'!$M$9,G495,1)),"",IF((AND(LEFT(G495,2)=LEFT('112'!$M$9,2),B495&lt;'112'!$K$9,$N495='112'!$I$6)),"x",""))</f>
        <v/>
      </c>
      <c r="V495" s="79" t="str">
        <f>IF(ISERROR(FIND('112'!$M$9,G495,1)),"",IF((AND(RIGHT(G495,2)=RIGHT('112'!$M$9,2),B495&lt;'112'!$K$9,$O495='112'!$I$6)),"x",""))</f>
        <v/>
      </c>
      <c r="W495" s="79" t="str">
        <f>IF(AND('341-CT'!$H$9=H495,OR(LEFT(N495,3)=$W$7,LEFT(O495,3)=$W$7)),"x","")</f>
        <v/>
      </c>
      <c r="X495" s="79" t="str">
        <f>IF(OR(TH!N495=TH!$X$7,O495=TH!$X$7),"x","")</f>
        <v/>
      </c>
      <c r="Y495" s="79" t="str">
        <f>IF(AND(OR(N495="131",O495="131"),H495='131-CT'!$H$9),"x","")</f>
        <v/>
      </c>
      <c r="Z495" s="79"/>
      <c r="AA495" s="79" t="str">
        <f>IF(AND(MONTH(E495)='IN-NX'!$J$5,'IN-NX'!$D$7=D495),"x","")</f>
        <v/>
      </c>
      <c r="AB495" s="79" t="str">
        <f>IF(AND(OR(LEFT(TH!N495,2)="15",LEFT(TH!O495,2)="15"),LEFT(TH!O495,3)&lt;&gt;"111",'152-CT'!$J$8=TH!F495),"x","")</f>
        <v/>
      </c>
      <c r="AC495" s="79" t="str">
        <f>IF(AND(OR(LEFT(TH!N495,2)="15",LEFT(TH!O495,2)="15"),TK!$E$7=TH!F495),"x","")</f>
        <v/>
      </c>
      <c r="AD495" s="79" t="str">
        <f>IF(AND(N495="1521",MONTH(C495)='BK-NL'!$M$11),"x","")</f>
        <v/>
      </c>
    </row>
    <row r="496" spans="1:30" ht="16.5" customHeight="1">
      <c r="A496" s="318" t="str">
        <f>IF(B496&lt;&gt;"",IF(AND(B496='IN-TC'!$S$4,OR(TH!N496="1111",TH!O496="1111")),TH!D496,""),"")</f>
        <v/>
      </c>
      <c r="B496" s="60" t="str">
        <f t="shared" si="121"/>
        <v/>
      </c>
      <c r="C496" s="974"/>
      <c r="D496" s="974"/>
      <c r="E496" s="974"/>
      <c r="F496" s="975"/>
      <c r="G496" s="976"/>
      <c r="H496" s="759"/>
      <c r="I496" s="383"/>
      <c r="J496" s="977"/>
      <c r="K496" s="383"/>
      <c r="L496" s="390"/>
      <c r="M496" s="978"/>
      <c r="N496" s="979"/>
      <c r="O496" s="979"/>
      <c r="P496" s="79" t="str">
        <f>IF(AND('331-CT'!$E$7=TH!H496,OR(N496="331",O496="331")),"x","")</f>
        <v/>
      </c>
      <c r="Q496" s="79" t="str">
        <f>IF(AND(B496='111'!$L$11,OR($N496=$Q$7,$O496=$Q$7)),"x","")</f>
        <v/>
      </c>
      <c r="R496" s="79" t="str">
        <f>IF(AND($N496=$Q$7,$B496&lt;'111'!$L$11),"x","")</f>
        <v/>
      </c>
      <c r="S496" s="79" t="str">
        <f>IF(AND($O496=$Q$7,$B496&lt;'111'!$L$11),"x","")</f>
        <v/>
      </c>
      <c r="T496" s="79" t="str">
        <f>IF(ISERROR(FIND('112'!$M$9,G496,1)),"",IF((AND(FIND('112'!$M$9,G496,1)&gt;=1,B496='112'!$K$9,OR($N496='112'!$I$6,$O496='112'!$I$6))),"x",""))</f>
        <v/>
      </c>
      <c r="U496" s="79" t="str">
        <f>IF(ISERROR(FIND('112'!$M$9,G496,1)),"",IF((AND(LEFT(G496,2)=LEFT('112'!$M$9,2),B496&lt;'112'!$K$9,$N496='112'!$I$6)),"x",""))</f>
        <v/>
      </c>
      <c r="V496" s="79" t="str">
        <f>IF(ISERROR(FIND('112'!$M$9,G496,1)),"",IF((AND(RIGHT(G496,2)=RIGHT('112'!$M$9,2),B496&lt;'112'!$K$9,$O496='112'!$I$6)),"x",""))</f>
        <v/>
      </c>
      <c r="W496" s="79" t="str">
        <f>IF(AND('341-CT'!$H$9=H496,OR(LEFT(N496,3)=$W$7,LEFT(O496,3)=$W$7)),"x","")</f>
        <v/>
      </c>
      <c r="X496" s="79" t="str">
        <f>IF(OR(TH!N496=TH!$X$7,O496=TH!$X$7),"x","")</f>
        <v/>
      </c>
      <c r="Y496" s="79" t="str">
        <f>IF(AND(OR(N496="131",O496="131"),H496='131-CT'!$H$9),"x","")</f>
        <v/>
      </c>
      <c r="Z496" s="79"/>
      <c r="AA496" s="79" t="str">
        <f>IF(AND(MONTH(E496)='IN-NX'!$J$5,'IN-NX'!$D$7=D496),"x","")</f>
        <v/>
      </c>
      <c r="AB496" s="79" t="str">
        <f>IF(AND(OR(LEFT(TH!N496,2)="15",LEFT(TH!O496,2)="15"),LEFT(TH!O496,3)&lt;&gt;"111",'152-CT'!$J$8=TH!F496),"x","")</f>
        <v/>
      </c>
      <c r="AC496" s="79" t="str">
        <f>IF(AND(OR(LEFT(TH!N496,2)="15",LEFT(TH!O496,2)="15"),TK!$E$7=TH!F496),"x","")</f>
        <v/>
      </c>
      <c r="AD496" s="79" t="str">
        <f>IF(AND(N496="1521",MONTH(C496)='BK-NL'!$M$11),"x","")</f>
        <v/>
      </c>
    </row>
    <row r="497" spans="1:30" ht="16.5" customHeight="1">
      <c r="A497" s="318" t="str">
        <f>IF(B497&lt;&gt;"",IF(AND(B497='IN-TC'!$S$4,OR(TH!N497="1111",TH!O497="1111")),TH!D497,""),"")</f>
        <v/>
      </c>
      <c r="B497" s="60" t="str">
        <f t="shared" si="121"/>
        <v/>
      </c>
      <c r="C497" s="974"/>
      <c r="D497" s="974"/>
      <c r="E497" s="974"/>
      <c r="F497" s="975"/>
      <c r="G497" s="976"/>
      <c r="H497" s="305"/>
      <c r="I497" s="383"/>
      <c r="J497" s="977"/>
      <c r="K497" s="383"/>
      <c r="L497" s="390"/>
      <c r="M497" s="978"/>
      <c r="N497" s="979"/>
      <c r="O497" s="979"/>
      <c r="P497" s="79" t="str">
        <f>IF(AND('331-CT'!$E$7=TH!H497,OR(N497="331",O497="331")),"x","")</f>
        <v/>
      </c>
      <c r="Q497" s="79" t="str">
        <f>IF(AND(B497='111'!$L$11,OR($N497=$Q$7,$O497=$Q$7)),"x","")</f>
        <v/>
      </c>
      <c r="R497" s="79" t="str">
        <f>IF(AND($N497=$Q$7,$B497&lt;'111'!$L$11),"x","")</f>
        <v/>
      </c>
      <c r="S497" s="79" t="str">
        <f>IF(AND($O497=$Q$7,$B497&lt;'111'!$L$11),"x","")</f>
        <v/>
      </c>
      <c r="T497" s="79" t="str">
        <f>IF(ISERROR(FIND('112'!$M$9,G497,1)),"",IF((AND(FIND('112'!$M$9,G497,1)&gt;=1,B497='112'!$K$9,OR($N497='112'!$I$6,$O497='112'!$I$6))),"x",""))</f>
        <v/>
      </c>
      <c r="U497" s="79" t="str">
        <f>IF(ISERROR(FIND('112'!$M$9,G497,1)),"",IF((AND(LEFT(G497,2)=LEFT('112'!$M$9,2),B497&lt;'112'!$K$9,$N497='112'!$I$6)),"x",""))</f>
        <v/>
      </c>
      <c r="V497" s="79" t="str">
        <f>IF(ISERROR(FIND('112'!$M$9,G497,1)),"",IF((AND(RIGHT(G497,2)=RIGHT('112'!$M$9,2),B497&lt;'112'!$K$9,$O497='112'!$I$6)),"x",""))</f>
        <v/>
      </c>
      <c r="W497" s="79" t="str">
        <f>IF(AND('341-CT'!$H$9=H497,OR(LEFT(N497,3)=$W$7,LEFT(O497,3)=$W$7)),"x","")</f>
        <v/>
      </c>
      <c r="X497" s="79" t="str">
        <f>IF(OR(TH!N497=TH!$X$7,O497=TH!$X$7),"x","")</f>
        <v/>
      </c>
      <c r="Y497" s="79" t="str">
        <f>IF(AND(OR(N497="131",O497="131"),H497='131-CT'!$H$9),"x","")</f>
        <v/>
      </c>
      <c r="Z497" s="79"/>
      <c r="AA497" s="79" t="str">
        <f>IF(AND(MONTH(E497)='IN-NX'!$J$5,'IN-NX'!$D$7=D497),"x","")</f>
        <v/>
      </c>
      <c r="AB497" s="79" t="str">
        <f>IF(AND(OR(LEFT(TH!N497,2)="15",LEFT(TH!O497,2)="15"),LEFT(TH!O497,3)&lt;&gt;"111",'152-CT'!$J$8=TH!F497),"x","")</f>
        <v/>
      </c>
      <c r="AC497" s="79" t="str">
        <f>IF(AND(OR(LEFT(TH!N497,2)="15",LEFT(TH!O497,2)="15"),TK!$E$7=TH!F497),"x","")</f>
        <v/>
      </c>
      <c r="AD497" s="79" t="str">
        <f>IF(AND(N497="1521",MONTH(C497)='BK-NL'!$M$11),"x","")</f>
        <v/>
      </c>
    </row>
    <row r="498" spans="1:30" ht="16.5" customHeight="1">
      <c r="A498" s="318" t="str">
        <f>IF(B498&lt;&gt;"",IF(AND(B498='IN-TC'!$S$4,OR(TH!N498="1111",TH!O498="1111")),TH!D498,""),"")</f>
        <v/>
      </c>
      <c r="B498" s="60" t="str">
        <f t="shared" si="121"/>
        <v/>
      </c>
      <c r="C498" s="974"/>
      <c r="D498" s="974"/>
      <c r="E498" s="974"/>
      <c r="F498" s="975"/>
      <c r="G498" s="976"/>
      <c r="H498" s="305"/>
      <c r="I498" s="383"/>
      <c r="J498" s="977"/>
      <c r="K498" s="383"/>
      <c r="L498" s="390"/>
      <c r="M498" s="978"/>
      <c r="N498" s="979"/>
      <c r="O498" s="979"/>
      <c r="P498" s="79" t="str">
        <f>IF(AND('331-CT'!$E$7=TH!H498,OR(N498="331",O498="331")),"x","")</f>
        <v/>
      </c>
      <c r="Q498" s="79" t="str">
        <f>IF(AND(B498='111'!$L$11,OR($N498=$Q$7,$O498=$Q$7)),"x","")</f>
        <v/>
      </c>
      <c r="R498" s="79" t="str">
        <f>IF(AND($N498=$Q$7,$B498&lt;'111'!$L$11),"x","")</f>
        <v/>
      </c>
      <c r="S498" s="79" t="str">
        <f>IF(AND($O498=$Q$7,$B498&lt;'111'!$L$11),"x","")</f>
        <v/>
      </c>
      <c r="T498" s="79" t="str">
        <f>IF(ISERROR(FIND('112'!$M$9,G498,1)),"",IF((AND(FIND('112'!$M$9,G498,1)&gt;=1,B498='112'!$K$9,OR($N498='112'!$I$6,$O498='112'!$I$6))),"x",""))</f>
        <v/>
      </c>
      <c r="U498" s="79" t="str">
        <f>IF(ISERROR(FIND('112'!$M$9,G498,1)),"",IF((AND(LEFT(G498,2)=LEFT('112'!$M$9,2),B498&lt;'112'!$K$9,$N498='112'!$I$6)),"x",""))</f>
        <v/>
      </c>
      <c r="V498" s="79" t="str">
        <f>IF(ISERROR(FIND('112'!$M$9,G498,1)),"",IF((AND(RIGHT(G498,2)=RIGHT('112'!$M$9,2),B498&lt;'112'!$K$9,$O498='112'!$I$6)),"x",""))</f>
        <v/>
      </c>
      <c r="W498" s="79" t="str">
        <f>IF(AND('341-CT'!$H$9=H498,OR(LEFT(N498,3)=$W$7,LEFT(O498,3)=$W$7)),"x","")</f>
        <v/>
      </c>
      <c r="X498" s="79" t="str">
        <f>IF(OR(TH!N498=TH!$X$7,O498=TH!$X$7),"x","")</f>
        <v/>
      </c>
      <c r="Y498" s="79" t="str">
        <f>IF(AND(OR(N498="131",O498="131"),H498='131-CT'!$H$9),"x","")</f>
        <v/>
      </c>
      <c r="Z498" s="79"/>
      <c r="AA498" s="79" t="str">
        <f>IF(AND(MONTH(E498)='IN-NX'!$J$5,'IN-NX'!$D$7=D498),"x","")</f>
        <v/>
      </c>
      <c r="AB498" s="79" t="str">
        <f>IF(AND(OR(LEFT(TH!N498,2)="15",LEFT(TH!O498,2)="15"),LEFT(TH!O498,3)&lt;&gt;"111",'152-CT'!$J$8=TH!F498),"x","")</f>
        <v/>
      </c>
      <c r="AC498" s="79" t="str">
        <f>IF(AND(OR(LEFT(TH!N498,2)="15",LEFT(TH!O498,2)="15"),TK!$E$7=TH!F498),"x","")</f>
        <v/>
      </c>
      <c r="AD498" s="79" t="str">
        <f>IF(AND(N498="1521",MONTH(C498)='BK-NL'!$M$11),"x","")</f>
        <v/>
      </c>
    </row>
    <row r="499" spans="1:30" ht="16.5" customHeight="1">
      <c r="A499" s="318" t="str">
        <f>IF(B499&lt;&gt;"",IF(AND(B499='IN-TC'!$S$4,OR(TH!N499="1111",TH!O499="1111")),TH!D499,""),"")</f>
        <v/>
      </c>
      <c r="B499" s="60" t="str">
        <f t="shared" si="121"/>
        <v/>
      </c>
      <c r="C499" s="974"/>
      <c r="D499" s="974"/>
      <c r="E499" s="974"/>
      <c r="F499" s="975"/>
      <c r="G499" s="976"/>
      <c r="H499" s="305"/>
      <c r="I499" s="383"/>
      <c r="J499" s="977"/>
      <c r="K499" s="383"/>
      <c r="L499" s="390"/>
      <c r="M499" s="978"/>
      <c r="N499" s="979"/>
      <c r="O499" s="979"/>
      <c r="P499" s="79" t="str">
        <f>IF(AND('331-CT'!$E$7=TH!H499,OR(N499="331",O499="331")),"x","")</f>
        <v/>
      </c>
      <c r="Q499" s="79" t="str">
        <f>IF(AND(B499='111'!$L$11,OR($N499=$Q$7,$O499=$Q$7)),"x","")</f>
        <v/>
      </c>
      <c r="R499" s="79" t="str">
        <f>IF(AND($N499=$Q$7,$B499&lt;'111'!$L$11),"x","")</f>
        <v/>
      </c>
      <c r="S499" s="79" t="str">
        <f>IF(AND($O499=$Q$7,$B499&lt;'111'!$L$11),"x","")</f>
        <v/>
      </c>
      <c r="T499" s="79" t="str">
        <f>IF(ISERROR(FIND('112'!$M$9,G499,1)),"",IF((AND(FIND('112'!$M$9,G499,1)&gt;=1,B499='112'!$K$9,OR($N499='112'!$I$6,$O499='112'!$I$6))),"x",""))</f>
        <v/>
      </c>
      <c r="U499" s="79" t="str">
        <f>IF(ISERROR(FIND('112'!$M$9,G499,1)),"",IF((AND(LEFT(G499,2)=LEFT('112'!$M$9,2),B499&lt;'112'!$K$9,$N499='112'!$I$6)),"x",""))</f>
        <v/>
      </c>
      <c r="V499" s="79" t="str">
        <f>IF(ISERROR(FIND('112'!$M$9,G499,1)),"",IF((AND(RIGHT(G499,2)=RIGHT('112'!$M$9,2),B499&lt;'112'!$K$9,$O499='112'!$I$6)),"x",""))</f>
        <v/>
      </c>
      <c r="W499" s="79" t="str">
        <f>IF(AND('341-CT'!$H$9=H499,OR(LEFT(N499,3)=$W$7,LEFT(O499,3)=$W$7)),"x","")</f>
        <v/>
      </c>
      <c r="X499" s="79" t="str">
        <f>IF(OR(TH!N499=TH!$X$7,O499=TH!$X$7),"x","")</f>
        <v/>
      </c>
      <c r="Y499" s="79" t="str">
        <f>IF(AND(OR(N499="131",O499="131"),H499='131-CT'!$H$9),"x","")</f>
        <v/>
      </c>
      <c r="Z499" s="79"/>
      <c r="AA499" s="79" t="str">
        <f>IF(AND(MONTH(E499)='IN-NX'!$J$5,'IN-NX'!$D$7=D499),"x","")</f>
        <v/>
      </c>
      <c r="AB499" s="79" t="str">
        <f>IF(AND(OR(LEFT(TH!N499,2)="15",LEFT(TH!O499,2)="15"),LEFT(TH!O499,3)&lt;&gt;"111",'152-CT'!$J$8=TH!F499),"x","")</f>
        <v/>
      </c>
      <c r="AC499" s="79" t="str">
        <f>IF(AND(OR(LEFT(TH!N499,2)="15",LEFT(TH!O499,2)="15"),TK!$E$7=TH!F499),"x","")</f>
        <v/>
      </c>
      <c r="AD499" s="79" t="str">
        <f>IF(AND(N499="1521",MONTH(C499)='BK-NL'!$M$11),"x","")</f>
        <v/>
      </c>
    </row>
    <row r="500" spans="1:30" ht="16.5" customHeight="1">
      <c r="A500" s="318" t="str">
        <f>IF(B500&lt;&gt;"",IF(AND(B500='IN-TC'!$S$4,OR(TH!N500="1111",TH!O500="1111")),TH!D500,""),"")</f>
        <v/>
      </c>
      <c r="B500" s="60" t="str">
        <f t="shared" si="121"/>
        <v/>
      </c>
      <c r="C500" s="974"/>
      <c r="D500" s="974"/>
      <c r="E500" s="974"/>
      <c r="F500" s="975"/>
      <c r="G500" s="976"/>
      <c r="H500" s="305"/>
      <c r="I500" s="383"/>
      <c r="J500" s="977"/>
      <c r="K500" s="383"/>
      <c r="L500" s="390"/>
      <c r="M500" s="978"/>
      <c r="N500" s="979"/>
      <c r="O500" s="979"/>
      <c r="P500" s="79" t="str">
        <f>IF(AND('331-CT'!$E$7=TH!H500,OR(N500="331",O500="331")),"x","")</f>
        <v/>
      </c>
      <c r="Q500" s="79" t="str">
        <f>IF(AND(B500='111'!$L$11,OR($N500=$Q$7,$O500=$Q$7)),"x","")</f>
        <v/>
      </c>
      <c r="R500" s="79" t="str">
        <f>IF(AND($N500=$Q$7,$B500&lt;'111'!$L$11),"x","")</f>
        <v/>
      </c>
      <c r="S500" s="79" t="str">
        <f>IF(AND($O500=$Q$7,$B500&lt;'111'!$L$11),"x","")</f>
        <v/>
      </c>
      <c r="T500" s="79" t="str">
        <f>IF(ISERROR(FIND('112'!$M$9,G500,1)),"",IF((AND(FIND('112'!$M$9,G500,1)&gt;=1,B500='112'!$K$9,OR($N500='112'!$I$6,$O500='112'!$I$6))),"x",""))</f>
        <v/>
      </c>
      <c r="U500" s="79" t="str">
        <f>IF(ISERROR(FIND('112'!$M$9,G500,1)),"",IF((AND(LEFT(G500,2)=LEFT('112'!$M$9,2),B500&lt;'112'!$K$9,$N500='112'!$I$6)),"x",""))</f>
        <v/>
      </c>
      <c r="V500" s="79" t="str">
        <f>IF(ISERROR(FIND('112'!$M$9,G500,1)),"",IF((AND(RIGHT(G500,2)=RIGHT('112'!$M$9,2),B500&lt;'112'!$K$9,$O500='112'!$I$6)),"x",""))</f>
        <v/>
      </c>
      <c r="W500" s="79" t="str">
        <f>IF(AND('341-CT'!$H$9=H500,OR(LEFT(N500,3)=$W$7,LEFT(O500,3)=$W$7)),"x","")</f>
        <v/>
      </c>
      <c r="X500" s="79" t="str">
        <f>IF(OR(TH!N500=TH!$X$7,O500=TH!$X$7),"x","")</f>
        <v/>
      </c>
      <c r="Y500" s="79" t="str">
        <f>IF(AND(OR(N500="131",O500="131"),H500='131-CT'!$H$9),"x","")</f>
        <v/>
      </c>
      <c r="Z500" s="79"/>
      <c r="AA500" s="79" t="str">
        <f>IF(AND(MONTH(E500)='IN-NX'!$J$5,'IN-NX'!$D$7=D500),"x","")</f>
        <v/>
      </c>
      <c r="AB500" s="79" t="str">
        <f>IF(AND(OR(LEFT(TH!N500,2)="15",LEFT(TH!O500,2)="15"),LEFT(TH!O500,3)&lt;&gt;"111",'152-CT'!$J$8=TH!F500),"x","")</f>
        <v/>
      </c>
      <c r="AC500" s="79" t="str">
        <f>IF(AND(OR(LEFT(TH!N500,2)="15",LEFT(TH!O500,2)="15"),TK!$E$7=TH!F500),"x","")</f>
        <v/>
      </c>
      <c r="AD500" s="79" t="str">
        <f>IF(AND(N500="1521",MONTH(C500)='BK-NL'!$M$11),"x","")</f>
        <v/>
      </c>
    </row>
    <row r="501" spans="1:30" ht="16.5" customHeight="1">
      <c r="A501" s="318" t="str">
        <f>IF(B501&lt;&gt;"",IF(AND(B501='IN-TC'!$S$4,OR(TH!N501="1111",TH!O501="1111")),TH!D501,""),"")</f>
        <v/>
      </c>
      <c r="B501" s="60" t="str">
        <f t="shared" si="121"/>
        <v/>
      </c>
      <c r="C501" s="974"/>
      <c r="D501" s="974"/>
      <c r="E501" s="974"/>
      <c r="F501" s="975"/>
      <c r="G501" s="976"/>
      <c r="H501" s="305"/>
      <c r="I501" s="383"/>
      <c r="J501" s="977"/>
      <c r="K501" s="383"/>
      <c r="L501" s="390"/>
      <c r="M501" s="978"/>
      <c r="N501" s="979"/>
      <c r="O501" s="979"/>
      <c r="P501" s="79" t="str">
        <f>IF(AND('331-CT'!$E$7=TH!H501,OR(N501="331",O501="331")),"x","")</f>
        <v/>
      </c>
      <c r="Q501" s="79" t="str">
        <f>IF(AND(B501='111'!$L$11,OR($N501=$Q$7,$O501=$Q$7)),"x","")</f>
        <v/>
      </c>
      <c r="R501" s="79" t="str">
        <f>IF(AND($N501=$Q$7,$B501&lt;'111'!$L$11),"x","")</f>
        <v/>
      </c>
      <c r="S501" s="79" t="str">
        <f>IF(AND($O501=$Q$7,$B501&lt;'111'!$L$11),"x","")</f>
        <v/>
      </c>
      <c r="T501" s="79" t="str">
        <f>IF(ISERROR(FIND('112'!$M$9,G501,1)),"",IF((AND(FIND('112'!$M$9,G501,1)&gt;=1,B501='112'!$K$9,OR($N501='112'!$I$6,$O501='112'!$I$6))),"x",""))</f>
        <v/>
      </c>
      <c r="U501" s="79" t="str">
        <f>IF(ISERROR(FIND('112'!$M$9,G501,1)),"",IF((AND(LEFT(G501,2)=LEFT('112'!$M$9,2),B501&lt;'112'!$K$9,$N501='112'!$I$6)),"x",""))</f>
        <v/>
      </c>
      <c r="V501" s="79" t="str">
        <f>IF(ISERROR(FIND('112'!$M$9,G501,1)),"",IF((AND(RIGHT(G501,2)=RIGHT('112'!$M$9,2),B501&lt;'112'!$K$9,$O501='112'!$I$6)),"x",""))</f>
        <v/>
      </c>
      <c r="W501" s="79" t="str">
        <f>IF(AND('341-CT'!$H$9=H501,OR(LEFT(N501,3)=$W$7,LEFT(O501,3)=$W$7)),"x","")</f>
        <v/>
      </c>
      <c r="X501" s="79" t="str">
        <f>IF(OR(TH!N501=TH!$X$7,O501=TH!$X$7),"x","")</f>
        <v/>
      </c>
      <c r="Y501" s="79" t="str">
        <f>IF(AND(OR(N501="131",O501="131"),H501='131-CT'!$H$9),"x","")</f>
        <v/>
      </c>
      <c r="Z501" s="79"/>
      <c r="AA501" s="79" t="str">
        <f>IF(AND(MONTH(E501)='IN-NX'!$J$5,'IN-NX'!$D$7=D501),"x","")</f>
        <v/>
      </c>
      <c r="AB501" s="79" t="str">
        <f>IF(AND(OR(LEFT(TH!N501,2)="15",LEFT(TH!O501,2)="15"),LEFT(TH!O501,3)&lt;&gt;"111",'152-CT'!$J$8=TH!F501),"x","")</f>
        <v/>
      </c>
      <c r="AC501" s="79" t="str">
        <f>IF(AND(OR(LEFT(TH!N501,2)="15",LEFT(TH!O501,2)="15"),TK!$E$7=TH!F501),"x","")</f>
        <v/>
      </c>
      <c r="AD501" s="79" t="str">
        <f>IF(AND(N501="1521",MONTH(C501)='BK-NL'!$M$11),"x","")</f>
        <v/>
      </c>
    </row>
    <row r="502" spans="1:30" ht="16.5" customHeight="1">
      <c r="A502" s="318" t="str">
        <f>IF(B502&lt;&gt;"",IF(AND(B502='IN-TC'!$S$4,OR(TH!N502="1111",TH!O502="1111")),TH!D502,""),"")</f>
        <v/>
      </c>
      <c r="B502" s="60" t="str">
        <f t="shared" si="121"/>
        <v/>
      </c>
      <c r="C502" s="974"/>
      <c r="D502" s="974"/>
      <c r="E502" s="974"/>
      <c r="F502" s="975"/>
      <c r="G502" s="976"/>
      <c r="H502" s="305"/>
      <c r="I502" s="383"/>
      <c r="J502" s="977"/>
      <c r="K502" s="383"/>
      <c r="L502" s="390"/>
      <c r="M502" s="978"/>
      <c r="N502" s="979"/>
      <c r="O502" s="979"/>
      <c r="P502" s="79" t="str">
        <f>IF(AND('331-CT'!$E$7=TH!H502,OR(N502="331",O502="331")),"x","")</f>
        <v/>
      </c>
      <c r="Q502" s="79" t="str">
        <f>IF(AND(B502='111'!$L$11,OR($N502=$Q$7,$O502=$Q$7)),"x","")</f>
        <v/>
      </c>
      <c r="R502" s="79" t="str">
        <f>IF(AND($N502=$Q$7,$B502&lt;'111'!$L$11),"x","")</f>
        <v/>
      </c>
      <c r="S502" s="79" t="str">
        <f>IF(AND($O502=$Q$7,$B502&lt;'111'!$L$11),"x","")</f>
        <v/>
      </c>
      <c r="T502" s="79" t="str">
        <f>IF(ISERROR(FIND('112'!$M$9,G502,1)),"",IF((AND(FIND('112'!$M$9,G502,1)&gt;=1,B502='112'!$K$9,OR($N502='112'!$I$6,$O502='112'!$I$6))),"x",""))</f>
        <v/>
      </c>
      <c r="U502" s="79" t="str">
        <f>IF(ISERROR(FIND('112'!$M$9,G502,1)),"",IF((AND(LEFT(G502,2)=LEFT('112'!$M$9,2),B502&lt;'112'!$K$9,$N502='112'!$I$6)),"x",""))</f>
        <v/>
      </c>
      <c r="V502" s="79" t="str">
        <f>IF(ISERROR(FIND('112'!$M$9,G502,1)),"",IF((AND(RIGHT(G502,2)=RIGHT('112'!$M$9,2),B502&lt;'112'!$K$9,$O502='112'!$I$6)),"x",""))</f>
        <v/>
      </c>
      <c r="W502" s="79" t="str">
        <f>IF(AND('341-CT'!$H$9=H502,OR(LEFT(N502,3)=$W$7,LEFT(O502,3)=$W$7)),"x","")</f>
        <v/>
      </c>
      <c r="X502" s="79" t="str">
        <f>IF(OR(TH!N502=TH!$X$7,O502=TH!$X$7),"x","")</f>
        <v/>
      </c>
      <c r="Y502" s="79" t="str">
        <f>IF(AND(OR(N502="131",O502="131"),H502='131-CT'!$H$9),"x","")</f>
        <v/>
      </c>
      <c r="Z502" s="79"/>
      <c r="AA502" s="79" t="str">
        <f>IF(AND(MONTH(E502)='IN-NX'!$J$5,'IN-NX'!$D$7=D502),"x","")</f>
        <v/>
      </c>
      <c r="AB502" s="79" t="str">
        <f>IF(AND(OR(LEFT(TH!N502,2)="15",LEFT(TH!O502,2)="15"),LEFT(TH!O502,3)&lt;&gt;"111",'152-CT'!$J$8=TH!F502),"x","")</f>
        <v/>
      </c>
      <c r="AC502" s="79" t="str">
        <f>IF(AND(OR(LEFT(TH!N502,2)="15",LEFT(TH!O502,2)="15"),TK!$E$7=TH!F502),"x","")</f>
        <v/>
      </c>
      <c r="AD502" s="79" t="str">
        <f>IF(AND(N502="1521",MONTH(C502)='BK-NL'!$M$11),"x","")</f>
        <v/>
      </c>
    </row>
    <row r="503" spans="1:30" ht="16.5" customHeight="1">
      <c r="A503" s="318" t="str">
        <f>IF(B503&lt;&gt;"",IF(AND(B503='IN-TC'!$S$4,OR(TH!N503="1111",TH!O503="1111")),TH!D503,""),"")</f>
        <v/>
      </c>
      <c r="B503" s="60" t="str">
        <f t="shared" si="121"/>
        <v/>
      </c>
      <c r="C503" s="974"/>
      <c r="D503" s="974"/>
      <c r="E503" s="974"/>
      <c r="F503" s="975"/>
      <c r="G503" s="976"/>
      <c r="H503" s="305"/>
      <c r="I503" s="383"/>
      <c r="J503" s="977"/>
      <c r="K503" s="383"/>
      <c r="L503" s="390"/>
      <c r="M503" s="978"/>
      <c r="N503" s="979"/>
      <c r="O503" s="979"/>
      <c r="P503" s="79" t="str">
        <f>IF(AND('331-CT'!$E$7=TH!H503,OR(N503="331",O503="331")),"x","")</f>
        <v/>
      </c>
      <c r="Q503" s="79" t="str">
        <f>IF(AND(B503='111'!$L$11,OR($N503=$Q$7,$O503=$Q$7)),"x","")</f>
        <v/>
      </c>
      <c r="R503" s="79" t="str">
        <f>IF(AND($N503=$Q$7,$B503&lt;'111'!$L$11),"x","")</f>
        <v/>
      </c>
      <c r="S503" s="79" t="str">
        <f>IF(AND($O503=$Q$7,$B503&lt;'111'!$L$11),"x","")</f>
        <v/>
      </c>
      <c r="T503" s="79" t="str">
        <f>IF(ISERROR(FIND('112'!$M$9,G503,1)),"",IF((AND(FIND('112'!$M$9,G503,1)&gt;=1,B503='112'!$K$9,OR($N503='112'!$I$6,$O503='112'!$I$6))),"x",""))</f>
        <v/>
      </c>
      <c r="U503" s="79" t="str">
        <f>IF(ISERROR(FIND('112'!$M$9,G503,1)),"",IF((AND(LEFT(G503,2)=LEFT('112'!$M$9,2),B503&lt;'112'!$K$9,$N503='112'!$I$6)),"x",""))</f>
        <v/>
      </c>
      <c r="V503" s="79" t="str">
        <f>IF(ISERROR(FIND('112'!$M$9,G503,1)),"",IF((AND(RIGHT(G503,2)=RIGHT('112'!$M$9,2),B503&lt;'112'!$K$9,$O503='112'!$I$6)),"x",""))</f>
        <v/>
      </c>
      <c r="W503" s="79" t="str">
        <f>IF(AND('341-CT'!$H$9=H503,OR(LEFT(N503,3)=$W$7,LEFT(O503,3)=$W$7)),"x","")</f>
        <v/>
      </c>
      <c r="X503" s="79" t="str">
        <f>IF(OR(TH!N503=TH!$X$7,O503=TH!$X$7),"x","")</f>
        <v/>
      </c>
      <c r="Y503" s="79" t="str">
        <f>IF(AND(OR(N503="131",O503="131"),H503='131-CT'!$H$9),"x","")</f>
        <v/>
      </c>
      <c r="Z503" s="79"/>
      <c r="AA503" s="79" t="str">
        <f>IF(AND(MONTH(E503)='IN-NX'!$J$5,'IN-NX'!$D$7=D503),"x","")</f>
        <v/>
      </c>
      <c r="AB503" s="79" t="str">
        <f>IF(AND(OR(LEFT(TH!N503,2)="15",LEFT(TH!O503,2)="15"),LEFT(TH!O503,3)&lt;&gt;"111",'152-CT'!$J$8=TH!F503),"x","")</f>
        <v/>
      </c>
      <c r="AC503" s="79" t="str">
        <f>IF(AND(OR(LEFT(TH!N503,2)="15",LEFT(TH!O503,2)="15"),TK!$E$7=TH!F503),"x","")</f>
        <v/>
      </c>
      <c r="AD503" s="79" t="str">
        <f>IF(AND(N503="1521",MONTH(C503)='BK-NL'!$M$11),"x","")</f>
        <v/>
      </c>
    </row>
    <row r="504" spans="1:30" ht="16.5" customHeight="1">
      <c r="A504" s="318" t="str">
        <f>IF(B504&lt;&gt;"",IF(AND(B504='IN-TC'!$S$4,OR(TH!N504="1111",TH!O504="1111")),TH!D504,""),"")</f>
        <v/>
      </c>
      <c r="B504" s="60" t="str">
        <f t="shared" si="121"/>
        <v/>
      </c>
      <c r="C504" s="974"/>
      <c r="D504" s="974"/>
      <c r="E504" s="974"/>
      <c r="F504" s="975"/>
      <c r="G504" s="976"/>
      <c r="H504" s="305"/>
      <c r="I504" s="383"/>
      <c r="J504" s="977"/>
      <c r="K504" s="383"/>
      <c r="L504" s="390"/>
      <c r="M504" s="978"/>
      <c r="N504" s="979"/>
      <c r="O504" s="979"/>
      <c r="P504" s="79" t="str">
        <f>IF(AND('331-CT'!$E$7=TH!H504,OR(N504="331",O504="331")),"x","")</f>
        <v/>
      </c>
      <c r="Q504" s="79" t="str">
        <f>IF(AND(B504='111'!$L$11,OR($N504=$Q$7,$O504=$Q$7)),"x","")</f>
        <v/>
      </c>
      <c r="R504" s="79" t="str">
        <f>IF(AND($N504=$Q$7,$B504&lt;'111'!$L$11),"x","")</f>
        <v/>
      </c>
      <c r="S504" s="79" t="str">
        <f>IF(AND($O504=$Q$7,$B504&lt;'111'!$L$11),"x","")</f>
        <v/>
      </c>
      <c r="T504" s="79" t="str">
        <f>IF(ISERROR(FIND('112'!$M$9,G504,1)),"",IF((AND(FIND('112'!$M$9,G504,1)&gt;=1,B504='112'!$K$9,OR($N504='112'!$I$6,$O504='112'!$I$6))),"x",""))</f>
        <v/>
      </c>
      <c r="U504" s="79" t="str">
        <f>IF(ISERROR(FIND('112'!$M$9,G504,1)),"",IF((AND(LEFT(G504,2)=LEFT('112'!$M$9,2),B504&lt;'112'!$K$9,$N504='112'!$I$6)),"x",""))</f>
        <v/>
      </c>
      <c r="V504" s="79" t="str">
        <f>IF(ISERROR(FIND('112'!$M$9,G504,1)),"",IF((AND(RIGHT(G504,2)=RIGHT('112'!$M$9,2),B504&lt;'112'!$K$9,$O504='112'!$I$6)),"x",""))</f>
        <v/>
      </c>
      <c r="W504" s="79" t="str">
        <f>IF(AND('341-CT'!$H$9=H504,OR(LEFT(N504,3)=$W$7,LEFT(O504,3)=$W$7)),"x","")</f>
        <v/>
      </c>
      <c r="X504" s="79" t="str">
        <f>IF(OR(TH!N504=TH!$X$7,O504=TH!$X$7),"x","")</f>
        <v/>
      </c>
      <c r="Y504" s="79" t="str">
        <f>IF(AND(OR(N504="131",O504="131"),H504='131-CT'!$H$9),"x","")</f>
        <v/>
      </c>
      <c r="Z504" s="79"/>
      <c r="AA504" s="79" t="str">
        <f>IF(AND(MONTH(E504)='IN-NX'!$J$5,'IN-NX'!$D$7=D504),"x","")</f>
        <v/>
      </c>
      <c r="AB504" s="79" t="str">
        <f>IF(AND(OR(LEFT(TH!N504,2)="15",LEFT(TH!O504,2)="15"),LEFT(TH!O504,3)&lt;&gt;"111",'152-CT'!$J$8=TH!F504),"x","")</f>
        <v/>
      </c>
      <c r="AC504" s="79" t="str">
        <f>IF(AND(OR(LEFT(TH!N504,2)="15",LEFT(TH!O504,2)="15"),TK!$E$7=TH!F504),"x","")</f>
        <v/>
      </c>
      <c r="AD504" s="79" t="str">
        <f>IF(AND(N504="1521",MONTH(C504)='BK-NL'!$M$11),"x","")</f>
        <v/>
      </c>
    </row>
    <row r="505" spans="1:30" ht="16.5" customHeight="1">
      <c r="A505" s="318" t="str">
        <f>IF(B505&lt;&gt;"",IF(AND(B505='IN-TC'!$S$4,OR(TH!N505="1111",TH!O505="1111")),TH!D505,""),"")</f>
        <v/>
      </c>
      <c r="B505" s="60" t="str">
        <f t="shared" si="121"/>
        <v/>
      </c>
      <c r="C505" s="974"/>
      <c r="D505" s="974"/>
      <c r="E505" s="974"/>
      <c r="F505" s="975"/>
      <c r="G505" s="976"/>
      <c r="H505" s="305"/>
      <c r="I505" s="383"/>
      <c r="J505" s="977"/>
      <c r="K505" s="383"/>
      <c r="L505" s="390"/>
      <c r="M505" s="978"/>
      <c r="N505" s="979"/>
      <c r="O505" s="979"/>
      <c r="P505" s="79" t="str">
        <f>IF(AND('331-CT'!$E$7=TH!H505,OR(N505="331",O505="331")),"x","")</f>
        <v/>
      </c>
      <c r="Q505" s="79" t="str">
        <f>IF(AND(B505='111'!$L$11,OR($N505=$Q$7,$O505=$Q$7)),"x","")</f>
        <v/>
      </c>
      <c r="R505" s="79" t="str">
        <f>IF(AND($N505=$Q$7,$B505&lt;'111'!$L$11),"x","")</f>
        <v/>
      </c>
      <c r="S505" s="79" t="str">
        <f>IF(AND($O505=$Q$7,$B505&lt;'111'!$L$11),"x","")</f>
        <v/>
      </c>
      <c r="T505" s="79" t="str">
        <f>IF(ISERROR(FIND('112'!$M$9,G505,1)),"",IF((AND(FIND('112'!$M$9,G505,1)&gt;=1,B505='112'!$K$9,OR($N505='112'!$I$6,$O505='112'!$I$6))),"x",""))</f>
        <v/>
      </c>
      <c r="U505" s="79" t="str">
        <f>IF(ISERROR(FIND('112'!$M$9,G505,1)),"",IF((AND(LEFT(G505,2)=LEFT('112'!$M$9,2),B505&lt;'112'!$K$9,$N505='112'!$I$6)),"x",""))</f>
        <v/>
      </c>
      <c r="V505" s="79" t="str">
        <f>IF(ISERROR(FIND('112'!$M$9,G505,1)),"",IF((AND(RIGHT(G505,2)=RIGHT('112'!$M$9,2),B505&lt;'112'!$K$9,$O505='112'!$I$6)),"x",""))</f>
        <v/>
      </c>
      <c r="W505" s="79" t="str">
        <f>IF(AND('341-CT'!$H$9=H505,OR(LEFT(N505,3)=$W$7,LEFT(O505,3)=$W$7)),"x","")</f>
        <v/>
      </c>
      <c r="X505" s="79" t="str">
        <f>IF(OR(TH!N505=TH!$X$7,O505=TH!$X$7),"x","")</f>
        <v/>
      </c>
      <c r="Y505" s="79" t="str">
        <f>IF(AND(OR(N505="131",O505="131"),H505='131-CT'!$H$9),"x","")</f>
        <v/>
      </c>
      <c r="Z505" s="79"/>
      <c r="AA505" s="79" t="str">
        <f>IF(AND(MONTH(E505)='IN-NX'!$J$5,'IN-NX'!$D$7=D505),"x","")</f>
        <v/>
      </c>
      <c r="AB505" s="79" t="str">
        <f>IF(AND(OR(LEFT(TH!N505,2)="15",LEFT(TH!O505,2)="15"),LEFT(TH!O505,3)&lt;&gt;"111",'152-CT'!$J$8=TH!F505),"x","")</f>
        <v/>
      </c>
      <c r="AC505" s="79" t="str">
        <f>IF(AND(OR(LEFT(TH!N505,2)="15",LEFT(TH!O505,2)="15"),TK!$E$7=TH!F505),"x","")</f>
        <v/>
      </c>
      <c r="AD505" s="79" t="str">
        <f>IF(AND(N505="1521",MONTH(C505)='BK-NL'!$M$11),"x","")</f>
        <v/>
      </c>
    </row>
    <row r="506" spans="1:30" ht="16.5" customHeight="1">
      <c r="A506" s="318" t="str">
        <f>IF(B506&lt;&gt;"",IF(AND(B506='IN-TC'!$S$4,OR(TH!N506="1111",TH!O506="1111")),TH!D506,""),"")</f>
        <v/>
      </c>
      <c r="B506" s="60" t="str">
        <f t="shared" si="121"/>
        <v/>
      </c>
      <c r="C506" s="974"/>
      <c r="D506" s="974"/>
      <c r="E506" s="974"/>
      <c r="F506" s="975"/>
      <c r="G506" s="976"/>
      <c r="H506" s="305"/>
      <c r="I506" s="383"/>
      <c r="J506" s="977"/>
      <c r="K506" s="383"/>
      <c r="L506" s="390"/>
      <c r="M506" s="978"/>
      <c r="N506" s="979"/>
      <c r="O506" s="979"/>
      <c r="P506" s="79" t="str">
        <f>IF(AND('331-CT'!$E$7=TH!H506,OR(N506="331",O506="331")),"x","")</f>
        <v/>
      </c>
      <c r="Q506" s="79" t="str">
        <f>IF(AND(B506='111'!$L$11,OR($N506=$Q$7,$O506=$Q$7)),"x","")</f>
        <v/>
      </c>
      <c r="R506" s="79" t="str">
        <f>IF(AND($N506=$Q$7,$B506&lt;'111'!$L$11),"x","")</f>
        <v/>
      </c>
      <c r="S506" s="79" t="str">
        <f>IF(AND($O506=$Q$7,$B506&lt;'111'!$L$11),"x","")</f>
        <v/>
      </c>
      <c r="T506" s="79" t="str">
        <f>IF(ISERROR(FIND('112'!$M$9,G506,1)),"",IF((AND(FIND('112'!$M$9,G506,1)&gt;=1,B506='112'!$K$9,OR($N506='112'!$I$6,$O506='112'!$I$6))),"x",""))</f>
        <v/>
      </c>
      <c r="U506" s="79" t="str">
        <f>IF(ISERROR(FIND('112'!$M$9,G506,1)),"",IF((AND(LEFT(G506,2)=LEFT('112'!$M$9,2),B506&lt;'112'!$K$9,$N506='112'!$I$6)),"x",""))</f>
        <v/>
      </c>
      <c r="V506" s="79" t="str">
        <f>IF(ISERROR(FIND('112'!$M$9,G506,1)),"",IF((AND(RIGHT(G506,2)=RIGHT('112'!$M$9,2),B506&lt;'112'!$K$9,$O506='112'!$I$6)),"x",""))</f>
        <v/>
      </c>
      <c r="W506" s="79" t="str">
        <f>IF(AND('341-CT'!$H$9=H506,OR(LEFT(N506,3)=$W$7,LEFT(O506,3)=$W$7)),"x","")</f>
        <v/>
      </c>
      <c r="X506" s="79" t="str">
        <f>IF(OR(TH!N506=TH!$X$7,O506=TH!$X$7),"x","")</f>
        <v/>
      </c>
      <c r="Y506" s="79" t="str">
        <f>IF(AND(OR(N506="131",O506="131"),H506='131-CT'!$H$9),"x","")</f>
        <v/>
      </c>
      <c r="Z506" s="79"/>
      <c r="AA506" s="79" t="str">
        <f>IF(AND(MONTH(E506)='IN-NX'!$J$5,'IN-NX'!$D$7=D506),"x","")</f>
        <v/>
      </c>
      <c r="AB506" s="79" t="str">
        <f>IF(AND(OR(LEFT(TH!N506,2)="15",LEFT(TH!O506,2)="15"),LEFT(TH!O506,3)&lt;&gt;"111",'152-CT'!$J$8=TH!F506),"x","")</f>
        <v/>
      </c>
      <c r="AC506" s="79" t="str">
        <f>IF(AND(OR(LEFT(TH!N506,2)="15",LEFT(TH!O506,2)="15"),TK!$E$7=TH!F506),"x","")</f>
        <v/>
      </c>
      <c r="AD506" s="79" t="str">
        <f>IF(AND(N506="1521",MONTH(C506)='BK-NL'!$M$11),"x","")</f>
        <v/>
      </c>
    </row>
    <row r="507" spans="1:30" ht="16.5" customHeight="1">
      <c r="A507" s="318" t="str">
        <f>IF(B507&lt;&gt;"",IF(AND(B507='IN-TC'!$S$4,OR(TH!N507="1111",TH!O507="1111")),TH!D507,""),"")</f>
        <v/>
      </c>
      <c r="B507" s="60" t="str">
        <f t="shared" si="121"/>
        <v/>
      </c>
      <c r="C507" s="974"/>
      <c r="D507" s="974"/>
      <c r="E507" s="974"/>
      <c r="F507" s="975"/>
      <c r="G507" s="976"/>
      <c r="H507" s="305"/>
      <c r="I507" s="383"/>
      <c r="J507" s="977"/>
      <c r="K507" s="383"/>
      <c r="L507" s="390"/>
      <c r="M507" s="978"/>
      <c r="N507" s="979"/>
      <c r="O507" s="979"/>
      <c r="P507" s="79" t="str">
        <f>IF(AND('331-CT'!$E$7=TH!H507,OR(N507="331",O507="331")),"x","")</f>
        <v/>
      </c>
      <c r="Q507" s="79" t="str">
        <f>IF(AND(B507='111'!$L$11,OR($N507=$Q$7,$O507=$Q$7)),"x","")</f>
        <v/>
      </c>
      <c r="R507" s="79" t="str">
        <f>IF(AND($N507=$Q$7,$B507&lt;'111'!$L$11),"x","")</f>
        <v/>
      </c>
      <c r="S507" s="79" t="str">
        <f>IF(AND($O507=$Q$7,$B507&lt;'111'!$L$11),"x","")</f>
        <v/>
      </c>
      <c r="T507" s="79" t="str">
        <f>IF(ISERROR(FIND('112'!$M$9,G507,1)),"",IF((AND(FIND('112'!$M$9,G507,1)&gt;=1,B507='112'!$K$9,OR($N507='112'!$I$6,$O507='112'!$I$6))),"x",""))</f>
        <v/>
      </c>
      <c r="U507" s="79" t="str">
        <f>IF(ISERROR(FIND('112'!$M$9,G507,1)),"",IF((AND(LEFT(G507,2)=LEFT('112'!$M$9,2),B507&lt;'112'!$K$9,$N507='112'!$I$6)),"x",""))</f>
        <v/>
      </c>
      <c r="V507" s="79" t="str">
        <f>IF(ISERROR(FIND('112'!$M$9,G507,1)),"",IF((AND(RIGHT(G507,2)=RIGHT('112'!$M$9,2),B507&lt;'112'!$K$9,$O507='112'!$I$6)),"x",""))</f>
        <v/>
      </c>
      <c r="W507" s="79" t="str">
        <f>IF(AND('341-CT'!$H$9=H507,OR(LEFT(N507,3)=$W$7,LEFT(O507,3)=$W$7)),"x","")</f>
        <v/>
      </c>
      <c r="X507" s="79" t="str">
        <f>IF(OR(TH!N507=TH!$X$7,O507=TH!$X$7),"x","")</f>
        <v/>
      </c>
      <c r="Y507" s="79" t="str">
        <f>IF(AND(OR(N507="131",O507="131"),H507='131-CT'!$H$9),"x","")</f>
        <v/>
      </c>
      <c r="Z507" s="79"/>
      <c r="AA507" s="79" t="str">
        <f>IF(AND(MONTH(E507)='IN-NX'!$J$5,'IN-NX'!$D$7=D507),"x","")</f>
        <v/>
      </c>
      <c r="AB507" s="79" t="str">
        <f>IF(AND(OR(LEFT(TH!N507,2)="15",LEFT(TH!O507,2)="15"),LEFT(TH!O507,3)&lt;&gt;"111",'152-CT'!$J$8=TH!F507),"x","")</f>
        <v/>
      </c>
      <c r="AC507" s="79" t="str">
        <f>IF(AND(OR(LEFT(TH!N507,2)="15",LEFT(TH!O507,2)="15"),TK!$E$7=TH!F507),"x","")</f>
        <v/>
      </c>
      <c r="AD507" s="79" t="str">
        <f>IF(AND(N507="1521",MONTH(C507)='BK-NL'!$M$11),"x","")</f>
        <v/>
      </c>
    </row>
    <row r="508" spans="1:30" ht="16.5" customHeight="1">
      <c r="A508" s="318" t="str">
        <f>IF(B508&lt;&gt;"",IF(AND(B508='IN-TC'!$S$4,OR(TH!N508="1111",TH!O508="1111")),TH!D508,""),"")</f>
        <v/>
      </c>
      <c r="B508" s="60" t="str">
        <f t="shared" si="121"/>
        <v/>
      </c>
      <c r="C508" s="974"/>
      <c r="D508" s="974"/>
      <c r="E508" s="974"/>
      <c r="F508" s="975"/>
      <c r="G508" s="976"/>
      <c r="H508" s="305"/>
      <c r="I508" s="383"/>
      <c r="J508" s="977"/>
      <c r="K508" s="383"/>
      <c r="L508" s="390"/>
      <c r="M508" s="978"/>
      <c r="N508" s="979"/>
      <c r="O508" s="979"/>
      <c r="P508" s="79" t="str">
        <f>IF(AND('331-CT'!$E$7=TH!H508,OR(N508="331",O508="331")),"x","")</f>
        <v/>
      </c>
      <c r="Q508" s="79" t="str">
        <f>IF(AND(B508='111'!$L$11,OR($N508=$Q$7,$O508=$Q$7)),"x","")</f>
        <v/>
      </c>
      <c r="R508" s="79" t="str">
        <f>IF(AND($N508=$Q$7,$B508&lt;'111'!$L$11),"x","")</f>
        <v/>
      </c>
      <c r="S508" s="79" t="str">
        <f>IF(AND($O508=$Q$7,$B508&lt;'111'!$L$11),"x","")</f>
        <v/>
      </c>
      <c r="T508" s="79" t="str">
        <f>IF(ISERROR(FIND('112'!$M$9,G508,1)),"",IF((AND(FIND('112'!$M$9,G508,1)&gt;=1,B508='112'!$K$9,OR($N508='112'!$I$6,$O508='112'!$I$6))),"x",""))</f>
        <v/>
      </c>
      <c r="U508" s="79" t="str">
        <f>IF(ISERROR(FIND('112'!$M$9,G508,1)),"",IF((AND(LEFT(G508,2)=LEFT('112'!$M$9,2),B508&lt;'112'!$K$9,$N508='112'!$I$6)),"x",""))</f>
        <v/>
      </c>
      <c r="V508" s="79" t="str">
        <f>IF(ISERROR(FIND('112'!$M$9,G508,1)),"",IF((AND(RIGHT(G508,2)=RIGHT('112'!$M$9,2),B508&lt;'112'!$K$9,$O508='112'!$I$6)),"x",""))</f>
        <v/>
      </c>
      <c r="W508" s="79" t="str">
        <f>IF(AND('341-CT'!$H$9=H508,OR(LEFT(N508,3)=$W$7,LEFT(O508,3)=$W$7)),"x","")</f>
        <v/>
      </c>
      <c r="X508" s="79" t="str">
        <f>IF(OR(TH!N508=TH!$X$7,O508=TH!$X$7),"x","")</f>
        <v/>
      </c>
      <c r="Y508" s="79" t="str">
        <f>IF(AND(OR(N508="131",O508="131"),H508='131-CT'!$H$9),"x","")</f>
        <v/>
      </c>
      <c r="Z508" s="79"/>
      <c r="AA508" s="79" t="str">
        <f>IF(AND(MONTH(E508)='IN-NX'!$J$5,'IN-NX'!$D$7=D508),"x","")</f>
        <v/>
      </c>
      <c r="AB508" s="79" t="str">
        <f>IF(AND(OR(LEFT(TH!N508,2)="15",LEFT(TH!O508,2)="15"),LEFT(TH!O508,3)&lt;&gt;"111",'152-CT'!$J$8=TH!F508),"x","")</f>
        <v/>
      </c>
      <c r="AC508" s="79" t="str">
        <f>IF(AND(OR(LEFT(TH!N508,2)="15",LEFT(TH!O508,2)="15"),TK!$E$7=TH!F508),"x","")</f>
        <v/>
      </c>
      <c r="AD508" s="79" t="str">
        <f>IF(AND(N508="1521",MONTH(C508)='BK-NL'!$M$11),"x","")</f>
        <v/>
      </c>
    </row>
    <row r="509" spans="1:30" ht="16.5" customHeight="1">
      <c r="A509" s="318" t="str">
        <f>IF(B509&lt;&gt;"",IF(AND(B509='IN-TC'!$S$4,OR(TH!N509="1111",TH!O509="1111")),TH!D509,""),"")</f>
        <v/>
      </c>
      <c r="B509" s="60" t="str">
        <f t="shared" si="121"/>
        <v/>
      </c>
      <c r="C509" s="974"/>
      <c r="D509" s="974"/>
      <c r="E509" s="974"/>
      <c r="F509" s="975"/>
      <c r="G509" s="976"/>
      <c r="H509" s="305"/>
      <c r="I509" s="383"/>
      <c r="J509" s="977"/>
      <c r="K509" s="383"/>
      <c r="L509" s="390"/>
      <c r="M509" s="978"/>
      <c r="N509" s="979"/>
      <c r="O509" s="979"/>
      <c r="P509" s="79" t="str">
        <f>IF(AND('331-CT'!$E$7=TH!H509,OR(N509="331",O509="331")),"x","")</f>
        <v/>
      </c>
      <c r="Q509" s="79" t="str">
        <f>IF(AND(B509='111'!$L$11,OR($N509=$Q$7,$O509=$Q$7)),"x","")</f>
        <v/>
      </c>
      <c r="R509" s="79" t="str">
        <f>IF(AND($N509=$Q$7,$B509&lt;'111'!$L$11),"x","")</f>
        <v/>
      </c>
      <c r="S509" s="79" t="str">
        <f>IF(AND($O509=$Q$7,$B509&lt;'111'!$L$11),"x","")</f>
        <v/>
      </c>
      <c r="T509" s="79" t="str">
        <f>IF(ISERROR(FIND('112'!$M$9,G509,1)),"",IF((AND(FIND('112'!$M$9,G509,1)&gt;=1,B509='112'!$K$9,OR($N509='112'!$I$6,$O509='112'!$I$6))),"x",""))</f>
        <v/>
      </c>
      <c r="U509" s="79" t="str">
        <f>IF(ISERROR(FIND('112'!$M$9,G509,1)),"",IF((AND(LEFT(G509,2)=LEFT('112'!$M$9,2),B509&lt;'112'!$K$9,$N509='112'!$I$6)),"x",""))</f>
        <v/>
      </c>
      <c r="V509" s="79" t="str">
        <f>IF(ISERROR(FIND('112'!$M$9,G509,1)),"",IF((AND(RIGHT(G509,2)=RIGHT('112'!$M$9,2),B509&lt;'112'!$K$9,$O509='112'!$I$6)),"x",""))</f>
        <v/>
      </c>
      <c r="W509" s="79" t="str">
        <f>IF(AND('341-CT'!$H$9=H509,OR(LEFT(N509,3)=$W$7,LEFT(O509,3)=$W$7)),"x","")</f>
        <v/>
      </c>
      <c r="X509" s="79" t="str">
        <f>IF(OR(TH!N509=TH!$X$7,O509=TH!$X$7),"x","")</f>
        <v/>
      </c>
      <c r="Y509" s="79" t="str">
        <f>IF(AND(OR(N509="131",O509="131"),H509='131-CT'!$H$9),"x","")</f>
        <v/>
      </c>
      <c r="Z509" s="79"/>
      <c r="AA509" s="79" t="str">
        <f>IF(AND(MONTH(E509)='IN-NX'!$J$5,'IN-NX'!$D$7=D509),"x","")</f>
        <v/>
      </c>
      <c r="AB509" s="79" t="str">
        <f>IF(AND(OR(LEFT(TH!N509,2)="15",LEFT(TH!O509,2)="15"),LEFT(TH!O509,3)&lt;&gt;"111",'152-CT'!$J$8=TH!F509),"x","")</f>
        <v/>
      </c>
      <c r="AC509" s="79" t="str">
        <f>IF(AND(OR(LEFT(TH!N509,2)="15",LEFT(TH!O509,2)="15"),TK!$E$7=TH!F509),"x","")</f>
        <v/>
      </c>
      <c r="AD509" s="79" t="str">
        <f>IF(AND(N509="1521",MONTH(C509)='BK-NL'!$M$11),"x","")</f>
        <v/>
      </c>
    </row>
    <row r="510" spans="1:30" ht="16.5" customHeight="1">
      <c r="A510" s="318" t="str">
        <f>IF(B510&lt;&gt;"",IF(AND(B510='IN-TC'!$S$4,OR(TH!N510="1111",TH!O510="1111")),TH!D510,""),"")</f>
        <v/>
      </c>
      <c r="B510" s="60" t="str">
        <f t="shared" si="121"/>
        <v/>
      </c>
      <c r="C510" s="974"/>
      <c r="D510" s="974"/>
      <c r="E510" s="974"/>
      <c r="F510" s="975"/>
      <c r="G510" s="976"/>
      <c r="H510" s="305"/>
      <c r="I510" s="383"/>
      <c r="J510" s="977"/>
      <c r="K510" s="383"/>
      <c r="L510" s="390"/>
      <c r="M510" s="978"/>
      <c r="N510" s="979"/>
      <c r="O510" s="979"/>
      <c r="P510" s="79" t="str">
        <f>IF(AND('331-CT'!$E$7=TH!H510,OR(N510="331",O510="331")),"x","")</f>
        <v/>
      </c>
      <c r="Q510" s="79" t="str">
        <f>IF(AND(B510='111'!$L$11,OR($N510=$Q$7,$O510=$Q$7)),"x","")</f>
        <v/>
      </c>
      <c r="R510" s="79" t="str">
        <f>IF(AND($N510=$Q$7,$B510&lt;'111'!$L$11),"x","")</f>
        <v/>
      </c>
      <c r="S510" s="79" t="str">
        <f>IF(AND($O510=$Q$7,$B510&lt;'111'!$L$11),"x","")</f>
        <v/>
      </c>
      <c r="T510" s="79" t="str">
        <f>IF(ISERROR(FIND('112'!$M$9,G510,1)),"",IF((AND(FIND('112'!$M$9,G510,1)&gt;=1,B510='112'!$K$9,OR($N510='112'!$I$6,$O510='112'!$I$6))),"x",""))</f>
        <v/>
      </c>
      <c r="U510" s="79" t="str">
        <f>IF(ISERROR(FIND('112'!$M$9,G510,1)),"",IF((AND(LEFT(G510,2)=LEFT('112'!$M$9,2),B510&lt;'112'!$K$9,$N510='112'!$I$6)),"x",""))</f>
        <v/>
      </c>
      <c r="V510" s="79" t="str">
        <f>IF(ISERROR(FIND('112'!$M$9,G510,1)),"",IF((AND(RIGHT(G510,2)=RIGHT('112'!$M$9,2),B510&lt;'112'!$K$9,$O510='112'!$I$6)),"x",""))</f>
        <v/>
      </c>
      <c r="W510" s="79" t="str">
        <f>IF(AND('341-CT'!$H$9=H510,OR(LEFT(N510,3)=$W$7,LEFT(O510,3)=$W$7)),"x","")</f>
        <v/>
      </c>
      <c r="X510" s="79" t="str">
        <f>IF(OR(TH!N510=TH!$X$7,O510=TH!$X$7),"x","")</f>
        <v/>
      </c>
      <c r="Y510" s="79" t="str">
        <f>IF(AND(OR(N510="131",O510="131"),H510='131-CT'!$H$9),"x","")</f>
        <v/>
      </c>
      <c r="Z510" s="79"/>
      <c r="AA510" s="79" t="str">
        <f>IF(AND(MONTH(E510)='IN-NX'!$J$5,'IN-NX'!$D$7=D510),"x","")</f>
        <v/>
      </c>
      <c r="AB510" s="79" t="str">
        <f>IF(AND(OR(LEFT(TH!N510,2)="15",LEFT(TH!O510,2)="15"),LEFT(TH!O510,3)&lt;&gt;"111",'152-CT'!$J$8=TH!F510),"x","")</f>
        <v/>
      </c>
      <c r="AC510" s="79" t="str">
        <f>IF(AND(OR(LEFT(TH!N510,2)="15",LEFT(TH!O510,2)="15"),TK!$E$7=TH!F510),"x","")</f>
        <v/>
      </c>
      <c r="AD510" s="79" t="str">
        <f>IF(AND(N510="1521",MONTH(C510)='BK-NL'!$M$11),"x","")</f>
        <v/>
      </c>
    </row>
    <row r="511" spans="1:30" ht="16.5" customHeight="1">
      <c r="A511" s="318" t="str">
        <f>IF(B511&lt;&gt;"",IF(AND(B511='IN-TC'!$S$4,OR(TH!N511="1111",TH!O511="1111")),TH!D511,""),"")</f>
        <v/>
      </c>
      <c r="B511" s="60" t="str">
        <f t="shared" si="121"/>
        <v/>
      </c>
      <c r="C511" s="974"/>
      <c r="D511" s="974"/>
      <c r="E511" s="974"/>
      <c r="F511" s="975"/>
      <c r="G511" s="976"/>
      <c r="H511" s="305"/>
      <c r="I511" s="383"/>
      <c r="J511" s="977"/>
      <c r="K511" s="383"/>
      <c r="L511" s="390"/>
      <c r="M511" s="978"/>
      <c r="N511" s="979"/>
      <c r="O511" s="979"/>
      <c r="P511" s="79" t="str">
        <f>IF(AND('331-CT'!$E$7=TH!H511,OR(N511="331",O511="331")),"x","")</f>
        <v/>
      </c>
      <c r="Q511" s="79" t="str">
        <f>IF(AND(B511='111'!$L$11,OR($N511=$Q$7,$O511=$Q$7)),"x","")</f>
        <v/>
      </c>
      <c r="R511" s="79" t="str">
        <f>IF(AND($N511=$Q$7,$B511&lt;'111'!$L$11),"x","")</f>
        <v/>
      </c>
      <c r="S511" s="79" t="str">
        <f>IF(AND($O511=$Q$7,$B511&lt;'111'!$L$11),"x","")</f>
        <v/>
      </c>
      <c r="T511" s="79" t="str">
        <f>IF(ISERROR(FIND('112'!$M$9,G511,1)),"",IF((AND(FIND('112'!$M$9,G511,1)&gt;=1,B511='112'!$K$9,OR($N511='112'!$I$6,$O511='112'!$I$6))),"x",""))</f>
        <v/>
      </c>
      <c r="U511" s="79" t="str">
        <f>IF(ISERROR(FIND('112'!$M$9,G511,1)),"",IF((AND(LEFT(G511,2)=LEFT('112'!$M$9,2),B511&lt;'112'!$K$9,$N511='112'!$I$6)),"x",""))</f>
        <v/>
      </c>
      <c r="V511" s="79" t="str">
        <f>IF(ISERROR(FIND('112'!$M$9,G511,1)),"",IF((AND(RIGHT(G511,2)=RIGHT('112'!$M$9,2),B511&lt;'112'!$K$9,$O511='112'!$I$6)),"x",""))</f>
        <v/>
      </c>
      <c r="W511" s="79" t="str">
        <f>IF(AND('341-CT'!$H$9=H511,OR(LEFT(N511,3)=$W$7,LEFT(O511,3)=$W$7)),"x","")</f>
        <v/>
      </c>
      <c r="X511" s="79" t="str">
        <f>IF(OR(TH!N511=TH!$X$7,O511=TH!$X$7),"x","")</f>
        <v/>
      </c>
      <c r="Y511" s="79" t="str">
        <f>IF(AND(OR(N511="131",O511="131"),H511='131-CT'!$H$9),"x","")</f>
        <v/>
      </c>
      <c r="Z511" s="79"/>
      <c r="AA511" s="79" t="str">
        <f>IF(AND(MONTH(E511)='IN-NX'!$J$5,'IN-NX'!$D$7=D511),"x","")</f>
        <v/>
      </c>
      <c r="AB511" s="79" t="str">
        <f>IF(AND(OR(LEFT(TH!N511,2)="15",LEFT(TH!O511,2)="15"),LEFT(TH!O511,3)&lt;&gt;"111",'152-CT'!$J$8=TH!F511),"x","")</f>
        <v/>
      </c>
      <c r="AC511" s="79" t="str">
        <f>IF(AND(OR(LEFT(TH!N511,2)="15",LEFT(TH!O511,2)="15"),TK!$E$7=TH!F511),"x","")</f>
        <v/>
      </c>
      <c r="AD511" s="79" t="str">
        <f>IF(AND(N511="1521",MONTH(C511)='BK-NL'!$M$11),"x","")</f>
        <v/>
      </c>
    </row>
    <row r="512" spans="1:30" ht="16.5" customHeight="1">
      <c r="A512" s="318" t="str">
        <f>IF(B512&lt;&gt;"",IF(AND(B512='IN-TC'!$S$4,OR(TH!N512="1111",TH!O512="1111")),TH!D512,""),"")</f>
        <v/>
      </c>
      <c r="B512" s="60" t="str">
        <f t="shared" si="121"/>
        <v/>
      </c>
      <c r="C512" s="974"/>
      <c r="D512" s="974"/>
      <c r="E512" s="974"/>
      <c r="F512" s="975"/>
      <c r="G512" s="976"/>
      <c r="H512" s="305"/>
      <c r="I512" s="383"/>
      <c r="J512" s="977"/>
      <c r="K512" s="383"/>
      <c r="L512" s="390"/>
      <c r="M512" s="978"/>
      <c r="N512" s="979"/>
      <c r="O512" s="979"/>
      <c r="P512" s="79" t="str">
        <f>IF(AND('331-CT'!$E$7=TH!H512,OR(N512="331",O512="331")),"x","")</f>
        <v/>
      </c>
      <c r="Q512" s="79" t="str">
        <f>IF(AND(B512='111'!$L$11,OR($N512=$Q$7,$O512=$Q$7)),"x","")</f>
        <v/>
      </c>
      <c r="R512" s="79" t="str">
        <f>IF(AND($N512=$Q$7,$B512&lt;'111'!$L$11),"x","")</f>
        <v/>
      </c>
      <c r="S512" s="79" t="str">
        <f>IF(AND($O512=$Q$7,$B512&lt;'111'!$L$11),"x","")</f>
        <v/>
      </c>
      <c r="T512" s="79" t="str">
        <f>IF(ISERROR(FIND('112'!$M$9,G512,1)),"",IF((AND(FIND('112'!$M$9,G512,1)&gt;=1,B512='112'!$K$9,OR($N512='112'!$I$6,$O512='112'!$I$6))),"x",""))</f>
        <v/>
      </c>
      <c r="U512" s="79" t="str">
        <f>IF(ISERROR(FIND('112'!$M$9,G512,1)),"",IF((AND(LEFT(G512,2)=LEFT('112'!$M$9,2),B512&lt;'112'!$K$9,$N512='112'!$I$6)),"x",""))</f>
        <v/>
      </c>
      <c r="V512" s="79" t="str">
        <f>IF(ISERROR(FIND('112'!$M$9,G512,1)),"",IF((AND(RIGHT(G512,2)=RIGHT('112'!$M$9,2),B512&lt;'112'!$K$9,$O512='112'!$I$6)),"x",""))</f>
        <v/>
      </c>
      <c r="W512" s="79" t="str">
        <f>IF(AND('341-CT'!$H$9=H512,OR(LEFT(N512,3)=$W$7,LEFT(O512,3)=$W$7)),"x","")</f>
        <v/>
      </c>
      <c r="X512" s="79" t="str">
        <f>IF(OR(TH!N512=TH!$X$7,O512=TH!$X$7),"x","")</f>
        <v/>
      </c>
      <c r="Y512" s="79" t="str">
        <f>IF(AND(OR(N512="131",O512="131"),H512='131-CT'!$H$9),"x","")</f>
        <v/>
      </c>
      <c r="Z512" s="79"/>
      <c r="AA512" s="79" t="str">
        <f>IF(AND(MONTH(E512)='IN-NX'!$J$5,'IN-NX'!$D$7=D512),"x","")</f>
        <v/>
      </c>
      <c r="AB512" s="79" t="str">
        <f>IF(AND(OR(LEFT(TH!N512,2)="15",LEFT(TH!O512,2)="15"),LEFT(TH!O512,3)&lt;&gt;"111",'152-CT'!$J$8=TH!F512),"x","")</f>
        <v/>
      </c>
      <c r="AC512" s="79" t="str">
        <f>IF(AND(OR(LEFT(TH!N512,2)="15",LEFT(TH!O512,2)="15"),TK!$E$7=TH!F512),"x","")</f>
        <v/>
      </c>
      <c r="AD512" s="79" t="str">
        <f>IF(AND(N512="1521",MONTH(C512)='BK-NL'!$M$11),"x","")</f>
        <v/>
      </c>
    </row>
    <row r="513" spans="1:30" ht="16.5" customHeight="1">
      <c r="A513" s="318" t="str">
        <f>IF(B513&lt;&gt;"",IF(AND(B513='IN-TC'!$S$4,OR(TH!N513="1111",TH!O513="1111")),TH!D513,""),"")</f>
        <v/>
      </c>
      <c r="B513" s="60" t="str">
        <f t="shared" si="121"/>
        <v/>
      </c>
      <c r="C513" s="974"/>
      <c r="D513" s="974"/>
      <c r="E513" s="974"/>
      <c r="F513" s="975"/>
      <c r="G513" s="976"/>
      <c r="H513" s="305"/>
      <c r="I513" s="383"/>
      <c r="J513" s="977"/>
      <c r="K513" s="383"/>
      <c r="L513" s="390"/>
      <c r="M513" s="978"/>
      <c r="N513" s="979"/>
      <c r="O513" s="979"/>
      <c r="P513" s="79" t="str">
        <f>IF(AND('331-CT'!$E$7=TH!H513,OR(N513="331",O513="331")),"x","")</f>
        <v/>
      </c>
      <c r="Q513" s="79" t="str">
        <f>IF(AND(B513='111'!$L$11,OR($N513=$Q$7,$O513=$Q$7)),"x","")</f>
        <v/>
      </c>
      <c r="R513" s="79" t="str">
        <f>IF(AND($N513=$Q$7,$B513&lt;'111'!$L$11),"x","")</f>
        <v/>
      </c>
      <c r="S513" s="79" t="str">
        <f>IF(AND($O513=$Q$7,$B513&lt;'111'!$L$11),"x","")</f>
        <v/>
      </c>
      <c r="T513" s="79" t="str">
        <f>IF(ISERROR(FIND('112'!$M$9,G513,1)),"",IF((AND(FIND('112'!$M$9,G513,1)&gt;=1,B513='112'!$K$9,OR($N513='112'!$I$6,$O513='112'!$I$6))),"x",""))</f>
        <v/>
      </c>
      <c r="U513" s="79" t="str">
        <f>IF(ISERROR(FIND('112'!$M$9,G513,1)),"",IF((AND(LEFT(G513,2)=LEFT('112'!$M$9,2),B513&lt;'112'!$K$9,$N513='112'!$I$6)),"x",""))</f>
        <v/>
      </c>
      <c r="V513" s="79" t="str">
        <f>IF(ISERROR(FIND('112'!$M$9,G513,1)),"",IF((AND(RIGHT(G513,2)=RIGHT('112'!$M$9,2),B513&lt;'112'!$K$9,$O513='112'!$I$6)),"x",""))</f>
        <v/>
      </c>
      <c r="W513" s="79" t="str">
        <f>IF(AND('341-CT'!$H$9=H513,OR(LEFT(N513,3)=$W$7,LEFT(O513,3)=$W$7)),"x","")</f>
        <v/>
      </c>
      <c r="X513" s="79" t="str">
        <f>IF(OR(TH!N513=TH!$X$7,O513=TH!$X$7),"x","")</f>
        <v/>
      </c>
      <c r="Y513" s="79" t="str">
        <f>IF(AND(OR(N513="131",O513="131"),H513='131-CT'!$H$9),"x","")</f>
        <v/>
      </c>
      <c r="Z513" s="79"/>
      <c r="AA513" s="79" t="str">
        <f>IF(AND(MONTH(E513)='IN-NX'!$J$5,'IN-NX'!$D$7=D513),"x","")</f>
        <v/>
      </c>
      <c r="AB513" s="79" t="str">
        <f>IF(AND(OR(LEFT(TH!N513,2)="15",LEFT(TH!O513,2)="15"),LEFT(TH!O513,3)&lt;&gt;"111",'152-CT'!$J$8=TH!F513),"x","")</f>
        <v/>
      </c>
      <c r="AC513" s="79" t="str">
        <f>IF(AND(OR(LEFT(TH!N513,2)="15",LEFT(TH!O513,2)="15"),TK!$E$7=TH!F513),"x","")</f>
        <v/>
      </c>
      <c r="AD513" s="79" t="str">
        <f>IF(AND(N513="1521",MONTH(C513)='BK-NL'!$M$11),"x","")</f>
        <v/>
      </c>
    </row>
    <row r="514" spans="1:30" ht="16.5" customHeight="1">
      <c r="A514" s="318" t="str">
        <f>IF(B514&lt;&gt;"",IF(AND(B514='IN-TC'!$S$4,OR(TH!N514="1111",TH!O514="1111")),TH!D514,""),"")</f>
        <v/>
      </c>
      <c r="B514" s="60" t="str">
        <f t="shared" si="121"/>
        <v/>
      </c>
      <c r="C514" s="974"/>
      <c r="D514" s="974"/>
      <c r="E514" s="974"/>
      <c r="F514" s="975"/>
      <c r="G514" s="976"/>
      <c r="H514" s="305"/>
      <c r="I514" s="383"/>
      <c r="J514" s="977"/>
      <c r="K514" s="383"/>
      <c r="L514" s="390"/>
      <c r="M514" s="978"/>
      <c r="N514" s="979"/>
      <c r="O514" s="979"/>
      <c r="P514" s="79" t="str">
        <f>IF(AND('331-CT'!$E$7=TH!H514,OR(N514="331",O514="331")),"x","")</f>
        <v/>
      </c>
      <c r="Q514" s="79" t="str">
        <f>IF(AND(B514='111'!$L$11,OR($N514=$Q$7,$O514=$Q$7)),"x","")</f>
        <v/>
      </c>
      <c r="R514" s="79" t="str">
        <f>IF(AND($N514=$Q$7,$B514&lt;'111'!$L$11),"x","")</f>
        <v/>
      </c>
      <c r="S514" s="79" t="str">
        <f>IF(AND($O514=$Q$7,$B514&lt;'111'!$L$11),"x","")</f>
        <v/>
      </c>
      <c r="T514" s="79" t="str">
        <f>IF(ISERROR(FIND('112'!$M$9,G514,1)),"",IF((AND(FIND('112'!$M$9,G514,1)&gt;=1,B514='112'!$K$9,OR($N514='112'!$I$6,$O514='112'!$I$6))),"x",""))</f>
        <v/>
      </c>
      <c r="U514" s="79" t="str">
        <f>IF(ISERROR(FIND('112'!$M$9,G514,1)),"",IF((AND(LEFT(G514,2)=LEFT('112'!$M$9,2),B514&lt;'112'!$K$9,$N514='112'!$I$6)),"x",""))</f>
        <v/>
      </c>
      <c r="V514" s="79" t="str">
        <f>IF(ISERROR(FIND('112'!$M$9,G514,1)),"",IF((AND(RIGHT(G514,2)=RIGHT('112'!$M$9,2),B514&lt;'112'!$K$9,$O514='112'!$I$6)),"x",""))</f>
        <v/>
      </c>
      <c r="W514" s="79" t="str">
        <f>IF(AND('341-CT'!$H$9=H514,OR(LEFT(N514,3)=$W$7,LEFT(O514,3)=$W$7)),"x","")</f>
        <v/>
      </c>
      <c r="X514" s="79" t="str">
        <f>IF(OR(TH!N514=TH!$X$7,O514=TH!$X$7),"x","")</f>
        <v/>
      </c>
      <c r="Y514" s="79" t="str">
        <f>IF(AND(OR(N514="131",O514="131"),H514='131-CT'!$H$9),"x","")</f>
        <v/>
      </c>
      <c r="Z514" s="79"/>
      <c r="AA514" s="79" t="str">
        <f>IF(AND(MONTH(E514)='IN-NX'!$J$5,'IN-NX'!$D$7=D514),"x","")</f>
        <v/>
      </c>
      <c r="AB514" s="79" t="str">
        <f>IF(AND(OR(LEFT(TH!N514,2)="15",LEFT(TH!O514,2)="15"),LEFT(TH!O514,3)&lt;&gt;"111",'152-CT'!$J$8=TH!F514),"x","")</f>
        <v/>
      </c>
      <c r="AC514" s="79" t="str">
        <f>IF(AND(OR(LEFT(TH!N514,2)="15",LEFT(TH!O514,2)="15"),TK!$E$7=TH!F514),"x","")</f>
        <v/>
      </c>
      <c r="AD514" s="79" t="str">
        <f>IF(AND(N514="1521",MONTH(C514)='BK-NL'!$M$11),"x","")</f>
        <v/>
      </c>
    </row>
    <row r="515" spans="1:30" ht="16.5" customHeight="1">
      <c r="A515" s="318" t="str">
        <f>IF(B515&lt;&gt;"",IF(AND(B515='IN-TC'!$S$4,OR(TH!N515="1111",TH!O515="1111")),TH!D515,""),"")</f>
        <v/>
      </c>
      <c r="B515" s="60" t="str">
        <f t="shared" si="121"/>
        <v/>
      </c>
      <c r="C515" s="974"/>
      <c r="D515" s="974"/>
      <c r="E515" s="974"/>
      <c r="F515" s="975"/>
      <c r="G515" s="976"/>
      <c r="H515" s="305"/>
      <c r="I515" s="383"/>
      <c r="J515" s="977"/>
      <c r="K515" s="383"/>
      <c r="L515" s="390"/>
      <c r="M515" s="978"/>
      <c r="N515" s="979"/>
      <c r="O515" s="979"/>
      <c r="P515" s="79" t="str">
        <f>IF(AND('331-CT'!$E$7=TH!H515,OR(N515="331",O515="331")),"x","")</f>
        <v/>
      </c>
      <c r="Q515" s="79" t="str">
        <f>IF(AND(B515='111'!$L$11,OR($N515=$Q$7,$O515=$Q$7)),"x","")</f>
        <v/>
      </c>
      <c r="R515" s="79" t="str">
        <f>IF(AND($N515=$Q$7,$B515&lt;'111'!$L$11),"x","")</f>
        <v/>
      </c>
      <c r="S515" s="79" t="str">
        <f>IF(AND($O515=$Q$7,$B515&lt;'111'!$L$11),"x","")</f>
        <v/>
      </c>
      <c r="T515" s="79" t="str">
        <f>IF(ISERROR(FIND('112'!$M$9,G515,1)),"",IF((AND(FIND('112'!$M$9,G515,1)&gt;=1,B515='112'!$K$9,OR($N515='112'!$I$6,$O515='112'!$I$6))),"x",""))</f>
        <v/>
      </c>
      <c r="U515" s="79" t="str">
        <f>IF(ISERROR(FIND('112'!$M$9,G515,1)),"",IF((AND(LEFT(G515,2)=LEFT('112'!$M$9,2),B515&lt;'112'!$K$9,$N515='112'!$I$6)),"x",""))</f>
        <v/>
      </c>
      <c r="V515" s="79" t="str">
        <f>IF(ISERROR(FIND('112'!$M$9,G515,1)),"",IF((AND(RIGHT(G515,2)=RIGHT('112'!$M$9,2),B515&lt;'112'!$K$9,$O515='112'!$I$6)),"x",""))</f>
        <v/>
      </c>
      <c r="W515" s="79" t="str">
        <f>IF(AND('341-CT'!$H$9=H515,OR(LEFT(N515,3)=$W$7,LEFT(O515,3)=$W$7)),"x","")</f>
        <v/>
      </c>
      <c r="X515" s="79" t="str">
        <f>IF(OR(TH!N515=TH!$X$7,O515=TH!$X$7),"x","")</f>
        <v/>
      </c>
      <c r="Y515" s="79" t="str">
        <f>IF(AND(OR(N515="131",O515="131"),H515='131-CT'!$H$9),"x","")</f>
        <v/>
      </c>
      <c r="Z515" s="79"/>
      <c r="AA515" s="79" t="str">
        <f>IF(AND(MONTH(E515)='IN-NX'!$J$5,'IN-NX'!$D$7=D515),"x","")</f>
        <v/>
      </c>
      <c r="AB515" s="79" t="str">
        <f>IF(AND(OR(LEFT(TH!N515,2)="15",LEFT(TH!O515,2)="15"),LEFT(TH!O515,3)&lt;&gt;"111",'152-CT'!$J$8=TH!F515),"x","")</f>
        <v/>
      </c>
      <c r="AC515" s="79" t="str">
        <f>IF(AND(OR(LEFT(TH!N515,2)="15",LEFT(TH!O515,2)="15"),TK!$E$7=TH!F515),"x","")</f>
        <v/>
      </c>
      <c r="AD515" s="79" t="str">
        <f>IF(AND(N515="1521",MONTH(C515)='BK-NL'!$M$11),"x","")</f>
        <v/>
      </c>
    </row>
    <row r="516" spans="1:30" ht="16.5" customHeight="1">
      <c r="A516" s="318" t="str">
        <f>IF(B516&lt;&gt;"",IF(AND(B516='IN-TC'!$S$4,OR(TH!N516="1111",TH!O516="1111")),TH!D516,""),"")</f>
        <v/>
      </c>
      <c r="B516" s="60" t="str">
        <f t="shared" si="121"/>
        <v/>
      </c>
      <c r="C516" s="974"/>
      <c r="D516" s="974"/>
      <c r="E516" s="974"/>
      <c r="F516" s="975"/>
      <c r="G516" s="976"/>
      <c r="H516" s="305"/>
      <c r="I516" s="383"/>
      <c r="J516" s="977"/>
      <c r="K516" s="383"/>
      <c r="L516" s="390"/>
      <c r="M516" s="978"/>
      <c r="N516" s="979"/>
      <c r="O516" s="979"/>
      <c r="P516" s="79" t="str">
        <f>IF(AND('331-CT'!$E$7=TH!H516,OR(N516="331",O516="331")),"x","")</f>
        <v/>
      </c>
      <c r="Q516" s="79" t="str">
        <f>IF(AND(B516='111'!$L$11,OR($N516=$Q$7,$O516=$Q$7)),"x","")</f>
        <v/>
      </c>
      <c r="R516" s="79" t="str">
        <f>IF(AND($N516=$Q$7,$B516&lt;'111'!$L$11),"x","")</f>
        <v/>
      </c>
      <c r="S516" s="79" t="str">
        <f>IF(AND($O516=$Q$7,$B516&lt;'111'!$L$11),"x","")</f>
        <v/>
      </c>
      <c r="T516" s="79" t="str">
        <f>IF(ISERROR(FIND('112'!$M$9,G516,1)),"",IF((AND(FIND('112'!$M$9,G516,1)&gt;=1,B516='112'!$K$9,OR($N516='112'!$I$6,$O516='112'!$I$6))),"x",""))</f>
        <v/>
      </c>
      <c r="U516" s="79" t="str">
        <f>IF(ISERROR(FIND('112'!$M$9,G516,1)),"",IF((AND(LEFT(G516,2)=LEFT('112'!$M$9,2),B516&lt;'112'!$K$9,$N516='112'!$I$6)),"x",""))</f>
        <v/>
      </c>
      <c r="V516" s="79" t="str">
        <f>IF(ISERROR(FIND('112'!$M$9,G516,1)),"",IF((AND(RIGHT(G516,2)=RIGHT('112'!$M$9,2),B516&lt;'112'!$K$9,$O516='112'!$I$6)),"x",""))</f>
        <v/>
      </c>
      <c r="W516" s="79" t="str">
        <f>IF(AND('341-CT'!$H$9=H516,OR(LEFT(N516,3)=$W$7,LEFT(O516,3)=$W$7)),"x","")</f>
        <v/>
      </c>
      <c r="X516" s="79" t="str">
        <f>IF(OR(TH!N516=TH!$X$7,O516=TH!$X$7),"x","")</f>
        <v/>
      </c>
      <c r="Y516" s="79" t="str">
        <f>IF(AND(OR(N516="131",O516="131"),H516='131-CT'!$H$9),"x","")</f>
        <v/>
      </c>
      <c r="Z516" s="79"/>
      <c r="AA516" s="79" t="str">
        <f>IF(AND(MONTH(E516)='IN-NX'!$J$5,'IN-NX'!$D$7=D516),"x","")</f>
        <v/>
      </c>
      <c r="AB516" s="79" t="str">
        <f>IF(AND(OR(LEFT(TH!N516,2)="15",LEFT(TH!O516,2)="15"),LEFT(TH!O516,3)&lt;&gt;"111",'152-CT'!$J$8=TH!F516),"x","")</f>
        <v/>
      </c>
      <c r="AC516" s="79" t="str">
        <f>IF(AND(OR(LEFT(TH!N516,2)="15",LEFT(TH!O516,2)="15"),TK!$E$7=TH!F516),"x","")</f>
        <v/>
      </c>
      <c r="AD516" s="79" t="str">
        <f>IF(AND(N516="1521",MONTH(C516)='BK-NL'!$M$11),"x","")</f>
        <v/>
      </c>
    </row>
    <row r="517" spans="1:30" ht="16.5" customHeight="1">
      <c r="A517" s="318" t="str">
        <f>IF(B517&lt;&gt;"",IF(AND(B517='IN-TC'!$S$4,OR(TH!N517="1111",TH!O517="1111")),TH!D517,""),"")</f>
        <v/>
      </c>
      <c r="B517" s="60" t="str">
        <f t="shared" si="121"/>
        <v/>
      </c>
      <c r="C517" s="974"/>
      <c r="D517" s="974"/>
      <c r="E517" s="974"/>
      <c r="F517" s="975"/>
      <c r="G517" s="976"/>
      <c r="H517" s="305"/>
      <c r="I517" s="383"/>
      <c r="J517" s="977"/>
      <c r="K517" s="383"/>
      <c r="L517" s="390"/>
      <c r="M517" s="978"/>
      <c r="N517" s="979"/>
      <c r="O517" s="979"/>
      <c r="P517" s="79" t="str">
        <f>IF(AND('331-CT'!$E$7=TH!H517,OR(N517="331",O517="331")),"x","")</f>
        <v/>
      </c>
      <c r="Q517" s="79" t="str">
        <f>IF(AND(B517='111'!$L$11,OR($N517=$Q$7,$O517=$Q$7)),"x","")</f>
        <v/>
      </c>
      <c r="R517" s="79" t="str">
        <f>IF(AND($N517=$Q$7,$B517&lt;'111'!$L$11),"x","")</f>
        <v/>
      </c>
      <c r="S517" s="79" t="str">
        <f>IF(AND($O517=$Q$7,$B517&lt;'111'!$L$11),"x","")</f>
        <v/>
      </c>
      <c r="T517" s="79" t="str">
        <f>IF(ISERROR(FIND('112'!$M$9,G517,1)),"",IF((AND(FIND('112'!$M$9,G517,1)&gt;=1,B517='112'!$K$9,OR($N517='112'!$I$6,$O517='112'!$I$6))),"x",""))</f>
        <v/>
      </c>
      <c r="U517" s="79" t="str">
        <f>IF(ISERROR(FIND('112'!$M$9,G517,1)),"",IF((AND(LEFT(G517,2)=LEFT('112'!$M$9,2),B517&lt;'112'!$K$9,$N517='112'!$I$6)),"x",""))</f>
        <v/>
      </c>
      <c r="V517" s="79" t="str">
        <f>IF(ISERROR(FIND('112'!$M$9,G517,1)),"",IF((AND(RIGHT(G517,2)=RIGHT('112'!$M$9,2),B517&lt;'112'!$K$9,$O517='112'!$I$6)),"x",""))</f>
        <v/>
      </c>
      <c r="W517" s="79" t="str">
        <f>IF(AND('341-CT'!$H$9=H517,OR(LEFT(N517,3)=$W$7,LEFT(O517,3)=$W$7)),"x","")</f>
        <v/>
      </c>
      <c r="X517" s="79" t="str">
        <f>IF(OR(TH!N517=TH!$X$7,O517=TH!$X$7),"x","")</f>
        <v/>
      </c>
      <c r="Y517" s="79" t="str">
        <f>IF(AND(OR(N517="131",O517="131"),H517='131-CT'!$H$9),"x","")</f>
        <v/>
      </c>
      <c r="Z517" s="79"/>
      <c r="AA517" s="79" t="str">
        <f>IF(AND(MONTH(E517)='IN-NX'!$J$5,'IN-NX'!$D$7=D517),"x","")</f>
        <v/>
      </c>
      <c r="AB517" s="79" t="str">
        <f>IF(AND(OR(LEFT(TH!N517,2)="15",LEFT(TH!O517,2)="15"),LEFT(TH!O517,3)&lt;&gt;"111",'152-CT'!$J$8=TH!F517),"x","")</f>
        <v/>
      </c>
      <c r="AC517" s="79" t="str">
        <f>IF(AND(OR(LEFT(TH!N517,2)="15",LEFT(TH!O517,2)="15"),TK!$E$7=TH!F517),"x","")</f>
        <v/>
      </c>
      <c r="AD517" s="79" t="str">
        <f>IF(AND(N517="1521",MONTH(C517)='BK-NL'!$M$11),"x","")</f>
        <v/>
      </c>
    </row>
    <row r="518" spans="1:30" ht="16.5" customHeight="1">
      <c r="A518" s="318" t="str">
        <f>IF(B518&lt;&gt;"",IF(AND(B518='IN-TC'!$S$4,OR(TH!N518="1111",TH!O518="1111")),TH!D518,""),"")</f>
        <v/>
      </c>
      <c r="B518" s="60" t="str">
        <f t="shared" si="121"/>
        <v/>
      </c>
      <c r="C518" s="974"/>
      <c r="D518" s="974"/>
      <c r="E518" s="974"/>
      <c r="F518" s="975"/>
      <c r="G518" s="976"/>
      <c r="H518" s="305"/>
      <c r="I518" s="383"/>
      <c r="J518" s="977"/>
      <c r="K518" s="383"/>
      <c r="L518" s="390"/>
      <c r="M518" s="978"/>
      <c r="N518" s="979"/>
      <c r="O518" s="979"/>
      <c r="P518" s="79" t="str">
        <f>IF(AND('331-CT'!$E$7=TH!H518,OR(N518="331",O518="331")),"x","")</f>
        <v/>
      </c>
      <c r="Q518" s="79" t="str">
        <f>IF(AND(B518='111'!$L$11,OR($N518=$Q$7,$O518=$Q$7)),"x","")</f>
        <v/>
      </c>
      <c r="R518" s="79" t="str">
        <f>IF(AND($N518=$Q$7,$B518&lt;'111'!$L$11),"x","")</f>
        <v/>
      </c>
      <c r="S518" s="79" t="str">
        <f>IF(AND($O518=$Q$7,$B518&lt;'111'!$L$11),"x","")</f>
        <v/>
      </c>
      <c r="T518" s="79" t="str">
        <f>IF(ISERROR(FIND('112'!$M$9,G518,1)),"",IF((AND(FIND('112'!$M$9,G518,1)&gt;=1,B518='112'!$K$9,OR($N518='112'!$I$6,$O518='112'!$I$6))),"x",""))</f>
        <v/>
      </c>
      <c r="U518" s="79" t="str">
        <f>IF(ISERROR(FIND('112'!$M$9,G518,1)),"",IF((AND(LEFT(G518,2)=LEFT('112'!$M$9,2),B518&lt;'112'!$K$9,$N518='112'!$I$6)),"x",""))</f>
        <v/>
      </c>
      <c r="V518" s="79" t="str">
        <f>IF(ISERROR(FIND('112'!$M$9,G518,1)),"",IF((AND(RIGHT(G518,2)=RIGHT('112'!$M$9,2),B518&lt;'112'!$K$9,$O518='112'!$I$6)),"x",""))</f>
        <v/>
      </c>
      <c r="W518" s="79" t="str">
        <f>IF(AND('341-CT'!$H$9=H518,OR(LEFT(N518,3)=$W$7,LEFT(O518,3)=$W$7)),"x","")</f>
        <v/>
      </c>
      <c r="X518" s="79" t="str">
        <f>IF(OR(TH!N518=TH!$X$7,O518=TH!$X$7),"x","")</f>
        <v/>
      </c>
      <c r="Y518" s="79" t="str">
        <f>IF(AND(OR(N518="131",O518="131"),H518='131-CT'!$H$9),"x","")</f>
        <v/>
      </c>
      <c r="Z518" s="79"/>
      <c r="AA518" s="79" t="str">
        <f>IF(AND(MONTH(E518)='IN-NX'!$J$5,'IN-NX'!$D$7=D518),"x","")</f>
        <v/>
      </c>
      <c r="AB518" s="79" t="str">
        <f>IF(AND(OR(LEFT(TH!N518,2)="15",LEFT(TH!O518,2)="15"),LEFT(TH!O518,3)&lt;&gt;"111",'152-CT'!$J$8=TH!F518),"x","")</f>
        <v/>
      </c>
      <c r="AC518" s="79" t="str">
        <f>IF(AND(OR(LEFT(TH!N518,2)="15",LEFT(TH!O518,2)="15"),TK!$E$7=TH!F518),"x","")</f>
        <v/>
      </c>
      <c r="AD518" s="79" t="str">
        <f>IF(AND(N518="1521",MONTH(C518)='BK-NL'!$M$11),"x","")</f>
        <v/>
      </c>
    </row>
    <row r="519" spans="1:30" ht="16.5" customHeight="1">
      <c r="A519" s="318" t="str">
        <f>IF(B519&lt;&gt;"",IF(AND(B519='IN-TC'!$S$4,OR(TH!N519="1111",TH!O519="1111")),TH!D519,""),"")</f>
        <v/>
      </c>
      <c r="B519" s="60" t="str">
        <f t="shared" si="121"/>
        <v/>
      </c>
      <c r="C519" s="974"/>
      <c r="D519" s="974"/>
      <c r="E519" s="974"/>
      <c r="F519" s="975"/>
      <c r="G519" s="976"/>
      <c r="H519" s="305"/>
      <c r="I519" s="383"/>
      <c r="J519" s="977"/>
      <c r="K519" s="383"/>
      <c r="L519" s="390"/>
      <c r="M519" s="978"/>
      <c r="N519" s="979"/>
      <c r="O519" s="979"/>
      <c r="P519" s="79" t="str">
        <f>IF(AND('331-CT'!$E$7=TH!H519,OR(N519="331",O519="331")),"x","")</f>
        <v/>
      </c>
      <c r="Q519" s="79" t="str">
        <f>IF(AND(B519='111'!$L$11,OR($N519=$Q$7,$O519=$Q$7)),"x","")</f>
        <v/>
      </c>
      <c r="R519" s="79" t="str">
        <f>IF(AND($N519=$Q$7,$B519&lt;'111'!$L$11),"x","")</f>
        <v/>
      </c>
      <c r="S519" s="79" t="str">
        <f>IF(AND($O519=$Q$7,$B519&lt;'111'!$L$11),"x","")</f>
        <v/>
      </c>
      <c r="T519" s="79" t="str">
        <f>IF(ISERROR(FIND('112'!$M$9,G519,1)),"",IF((AND(FIND('112'!$M$9,G519,1)&gt;=1,B519='112'!$K$9,OR($N519='112'!$I$6,$O519='112'!$I$6))),"x",""))</f>
        <v/>
      </c>
      <c r="U519" s="79" t="str">
        <f>IF(ISERROR(FIND('112'!$M$9,G519,1)),"",IF((AND(LEFT(G519,2)=LEFT('112'!$M$9,2),B519&lt;'112'!$K$9,$N519='112'!$I$6)),"x",""))</f>
        <v/>
      </c>
      <c r="V519" s="79" t="str">
        <f>IF(ISERROR(FIND('112'!$M$9,G519,1)),"",IF((AND(RIGHT(G519,2)=RIGHT('112'!$M$9,2),B519&lt;'112'!$K$9,$O519='112'!$I$6)),"x",""))</f>
        <v/>
      </c>
      <c r="W519" s="79" t="str">
        <f>IF(AND('341-CT'!$H$9=H519,OR(LEFT(N519,3)=$W$7,LEFT(O519,3)=$W$7)),"x","")</f>
        <v/>
      </c>
      <c r="X519" s="79" t="str">
        <f>IF(OR(TH!N519=TH!$X$7,O519=TH!$X$7),"x","")</f>
        <v/>
      </c>
      <c r="Y519" s="79" t="str">
        <f>IF(AND(OR(N519="131",O519="131"),H519='131-CT'!$H$9),"x","")</f>
        <v/>
      </c>
      <c r="Z519" s="79"/>
      <c r="AA519" s="79" t="str">
        <f>IF(AND(MONTH(E519)='IN-NX'!$J$5,'IN-NX'!$D$7=D519),"x","")</f>
        <v/>
      </c>
      <c r="AB519" s="79" t="str">
        <f>IF(AND(OR(LEFT(TH!N519,2)="15",LEFT(TH!O519,2)="15"),LEFT(TH!O519,3)&lt;&gt;"111",'152-CT'!$J$8=TH!F519),"x","")</f>
        <v/>
      </c>
      <c r="AC519" s="79" t="str">
        <f>IF(AND(OR(LEFT(TH!N519,2)="15",LEFT(TH!O519,2)="15"),TK!$E$7=TH!F519),"x","")</f>
        <v/>
      </c>
      <c r="AD519" s="79" t="str">
        <f>IF(AND(N519="1521",MONTH(C519)='BK-NL'!$M$11),"x","")</f>
        <v/>
      </c>
    </row>
    <row r="520" spans="1:30" ht="16.5" customHeight="1">
      <c r="A520" s="318" t="str">
        <f>IF(B520&lt;&gt;"",IF(AND(B520='IN-TC'!$S$4,OR(TH!N520="1111",TH!O520="1111")),TH!D520,""),"")</f>
        <v/>
      </c>
      <c r="B520" s="60" t="str">
        <f t="shared" si="121"/>
        <v/>
      </c>
      <c r="C520" s="974"/>
      <c r="D520" s="974"/>
      <c r="E520" s="974"/>
      <c r="F520" s="975"/>
      <c r="G520" s="976"/>
      <c r="H520" s="759"/>
      <c r="I520" s="383"/>
      <c r="J520" s="977"/>
      <c r="K520" s="383"/>
      <c r="L520" s="390"/>
      <c r="M520" s="978"/>
      <c r="N520" s="979"/>
      <c r="O520" s="979"/>
      <c r="P520" s="79" t="str">
        <f>IF(AND('331-CT'!$E$7=TH!H520,OR(N520="331",O520="331")),"x","")</f>
        <v/>
      </c>
      <c r="Q520" s="79" t="str">
        <f>IF(AND(B520='111'!$L$11,OR($N520=$Q$7,$O520=$Q$7)),"x","")</f>
        <v/>
      </c>
      <c r="R520" s="79" t="str">
        <f>IF(AND($N520=$Q$7,$B520&lt;'111'!$L$11),"x","")</f>
        <v/>
      </c>
      <c r="S520" s="79" t="str">
        <f>IF(AND($O520=$Q$7,$B520&lt;'111'!$L$11),"x","")</f>
        <v/>
      </c>
      <c r="T520" s="79" t="str">
        <f>IF(ISERROR(FIND('112'!$M$9,G520,1)),"",IF((AND(FIND('112'!$M$9,G520,1)&gt;=1,B520='112'!$K$9,OR($N520='112'!$I$6,$O520='112'!$I$6))),"x",""))</f>
        <v/>
      </c>
      <c r="U520" s="79" t="str">
        <f>IF(ISERROR(FIND('112'!$M$9,G520,1)),"",IF((AND(LEFT(G520,2)=LEFT('112'!$M$9,2),B520&lt;'112'!$K$9,$N520='112'!$I$6)),"x",""))</f>
        <v/>
      </c>
      <c r="V520" s="79" t="str">
        <f>IF(ISERROR(FIND('112'!$M$9,G520,1)),"",IF((AND(RIGHT(G520,2)=RIGHT('112'!$M$9,2),B520&lt;'112'!$K$9,$O520='112'!$I$6)),"x",""))</f>
        <v/>
      </c>
      <c r="W520" s="79" t="str">
        <f>IF(AND('341-CT'!$H$9=H520,OR(LEFT(N520,3)=$W$7,LEFT(O520,3)=$W$7)),"x","")</f>
        <v/>
      </c>
      <c r="X520" s="79" t="str">
        <f>IF(OR(TH!N520=TH!$X$7,O520=TH!$X$7),"x","")</f>
        <v/>
      </c>
      <c r="Y520" s="79" t="str">
        <f>IF(AND(OR(N520="131",O520="131"),H520='131-CT'!$H$9),"x","")</f>
        <v/>
      </c>
      <c r="Z520" s="79"/>
      <c r="AA520" s="79" t="str">
        <f>IF(AND(MONTH(E520)='IN-NX'!$J$5,'IN-NX'!$D$7=D520),"x","")</f>
        <v/>
      </c>
      <c r="AB520" s="79" t="str">
        <f>IF(AND(OR(LEFT(TH!N520,2)="15",LEFT(TH!O520,2)="15"),LEFT(TH!O520,3)&lt;&gt;"111",'152-CT'!$J$8=TH!F520),"x","")</f>
        <v/>
      </c>
      <c r="AC520" s="79" t="str">
        <f>IF(AND(OR(LEFT(TH!N520,2)="15",LEFT(TH!O520,2)="15"),TK!$E$7=TH!F520),"x","")</f>
        <v/>
      </c>
      <c r="AD520" s="79" t="str">
        <f>IF(AND(N520="1521",MONTH(C520)='BK-NL'!$M$11),"x","")</f>
        <v/>
      </c>
    </row>
    <row r="521" spans="1:30" ht="16.5" customHeight="1">
      <c r="A521" s="318" t="str">
        <f>IF(B521&lt;&gt;"",IF(AND(B521='IN-TC'!$S$4,OR(TH!N521="1111",TH!O521="1111")),TH!D521,""),"")</f>
        <v/>
      </c>
      <c r="B521" s="60" t="str">
        <f t="shared" si="121"/>
        <v/>
      </c>
      <c r="C521" s="974"/>
      <c r="D521" s="974"/>
      <c r="E521" s="974"/>
      <c r="F521" s="975"/>
      <c r="G521" s="976"/>
      <c r="H521" s="759"/>
      <c r="I521" s="383"/>
      <c r="J521" s="977"/>
      <c r="K521" s="383"/>
      <c r="L521" s="390"/>
      <c r="M521" s="978"/>
      <c r="N521" s="979"/>
      <c r="O521" s="979"/>
      <c r="P521" s="79" t="str">
        <f>IF(AND('331-CT'!$E$7=TH!H521,OR(N521="331",O521="331")),"x","")</f>
        <v/>
      </c>
      <c r="Q521" s="79" t="str">
        <f>IF(AND(B521='111'!$L$11,OR($N521=$Q$7,$O521=$Q$7)),"x","")</f>
        <v/>
      </c>
      <c r="R521" s="79" t="str">
        <f>IF(AND($N521=$Q$7,$B521&lt;'111'!$L$11),"x","")</f>
        <v/>
      </c>
      <c r="S521" s="79" t="str">
        <f>IF(AND($O521=$Q$7,$B521&lt;'111'!$L$11),"x","")</f>
        <v/>
      </c>
      <c r="T521" s="79" t="str">
        <f>IF(ISERROR(FIND('112'!$M$9,G521,1)),"",IF((AND(FIND('112'!$M$9,G521,1)&gt;=1,B521='112'!$K$9,OR($N521='112'!$I$6,$O521='112'!$I$6))),"x",""))</f>
        <v/>
      </c>
      <c r="U521" s="79" t="str">
        <f>IF(ISERROR(FIND('112'!$M$9,G521,1)),"",IF((AND(LEFT(G521,2)=LEFT('112'!$M$9,2),B521&lt;'112'!$K$9,$N521='112'!$I$6)),"x",""))</f>
        <v/>
      </c>
      <c r="V521" s="79" t="str">
        <f>IF(ISERROR(FIND('112'!$M$9,G521,1)),"",IF((AND(RIGHT(G521,2)=RIGHT('112'!$M$9,2),B521&lt;'112'!$K$9,$O521='112'!$I$6)),"x",""))</f>
        <v/>
      </c>
      <c r="W521" s="79" t="str">
        <f>IF(AND('341-CT'!$H$9=H521,OR(LEFT(N521,3)=$W$7,LEFT(O521,3)=$W$7)),"x","")</f>
        <v/>
      </c>
      <c r="X521" s="79" t="str">
        <f>IF(OR(TH!N521=TH!$X$7,O521=TH!$X$7),"x","")</f>
        <v/>
      </c>
      <c r="Y521" s="79" t="str">
        <f>IF(AND(OR(N521="131",O521="131"),H521='131-CT'!$H$9),"x","")</f>
        <v/>
      </c>
      <c r="Z521" s="79"/>
      <c r="AA521" s="79" t="str">
        <f>IF(AND(MONTH(E521)='IN-NX'!$J$5,'IN-NX'!$D$7=D521),"x","")</f>
        <v/>
      </c>
      <c r="AB521" s="79" t="str">
        <f>IF(AND(OR(LEFT(TH!N521,2)="15",LEFT(TH!O521,2)="15"),LEFT(TH!O521,3)&lt;&gt;"111",'152-CT'!$J$8=TH!F521),"x","")</f>
        <v/>
      </c>
      <c r="AC521" s="79" t="str">
        <f>IF(AND(OR(LEFT(TH!N521,2)="15",LEFT(TH!O521,2)="15"),TK!$E$7=TH!F521),"x","")</f>
        <v/>
      </c>
      <c r="AD521" s="79" t="str">
        <f>IF(AND(N521="1521",MONTH(C521)='BK-NL'!$M$11),"x","")</f>
        <v/>
      </c>
    </row>
    <row r="522" spans="1:30" ht="16.5" customHeight="1">
      <c r="A522" s="318" t="str">
        <f>IF(B522&lt;&gt;"",IF(AND(B522='IN-TC'!$S$4,OR(TH!N522="1111",TH!O522="1111")),TH!D522,""),"")</f>
        <v/>
      </c>
      <c r="B522" s="60" t="str">
        <f t="shared" si="121"/>
        <v/>
      </c>
      <c r="C522" s="974"/>
      <c r="D522" s="974"/>
      <c r="E522" s="974"/>
      <c r="F522" s="975"/>
      <c r="G522" s="976"/>
      <c r="H522" s="759"/>
      <c r="I522" s="383"/>
      <c r="J522" s="977"/>
      <c r="K522" s="383"/>
      <c r="L522" s="390"/>
      <c r="M522" s="978"/>
      <c r="N522" s="979"/>
      <c r="O522" s="979"/>
      <c r="P522" s="79" t="str">
        <f>IF(AND('331-CT'!$E$7=TH!H522,OR(N522="331",O522="331")),"x","")</f>
        <v/>
      </c>
      <c r="Q522" s="79" t="str">
        <f>IF(AND(B522='111'!$L$11,OR($N522=$Q$7,$O522=$Q$7)),"x","")</f>
        <v/>
      </c>
      <c r="R522" s="79" t="str">
        <f>IF(AND($N522=$Q$7,$B522&lt;'111'!$L$11),"x","")</f>
        <v/>
      </c>
      <c r="S522" s="79" t="str">
        <f>IF(AND($O522=$Q$7,$B522&lt;'111'!$L$11),"x","")</f>
        <v/>
      </c>
      <c r="T522" s="79" t="str">
        <f>IF(ISERROR(FIND('112'!$M$9,G522,1)),"",IF((AND(FIND('112'!$M$9,G522,1)&gt;=1,B522='112'!$K$9,OR($N522='112'!$I$6,$O522='112'!$I$6))),"x",""))</f>
        <v/>
      </c>
      <c r="U522" s="79" t="str">
        <f>IF(ISERROR(FIND('112'!$M$9,G522,1)),"",IF((AND(LEFT(G522,2)=LEFT('112'!$M$9,2),B522&lt;'112'!$K$9,$N522='112'!$I$6)),"x",""))</f>
        <v/>
      </c>
      <c r="V522" s="79" t="str">
        <f>IF(ISERROR(FIND('112'!$M$9,G522,1)),"",IF((AND(RIGHT(G522,2)=RIGHT('112'!$M$9,2),B522&lt;'112'!$K$9,$O522='112'!$I$6)),"x",""))</f>
        <v/>
      </c>
      <c r="W522" s="79" t="str">
        <f>IF(AND('341-CT'!$H$9=H522,OR(LEFT(N522,3)=$W$7,LEFT(O522,3)=$W$7)),"x","")</f>
        <v/>
      </c>
      <c r="X522" s="79" t="str">
        <f>IF(OR(TH!N522=TH!$X$7,O522=TH!$X$7),"x","")</f>
        <v/>
      </c>
      <c r="Y522" s="79" t="str">
        <f>IF(AND(OR(N522="131",O522="131"),H522='131-CT'!$H$9),"x","")</f>
        <v/>
      </c>
      <c r="Z522" s="79"/>
      <c r="AA522" s="79" t="str">
        <f>IF(AND(MONTH(E522)='IN-NX'!$J$5,'IN-NX'!$D$7=D522),"x","")</f>
        <v/>
      </c>
      <c r="AB522" s="79" t="str">
        <f>IF(AND(OR(LEFT(TH!N522,2)="15",LEFT(TH!O522,2)="15"),LEFT(TH!O522,3)&lt;&gt;"111",'152-CT'!$J$8=TH!F522),"x","")</f>
        <v/>
      </c>
      <c r="AC522" s="79" t="str">
        <f>IF(AND(OR(LEFT(TH!N522,2)="15",LEFT(TH!O522,2)="15"),TK!$E$7=TH!F522),"x","")</f>
        <v/>
      </c>
      <c r="AD522" s="79" t="str">
        <f>IF(AND(N522="1521",MONTH(C522)='BK-NL'!$M$11),"x","")</f>
        <v/>
      </c>
    </row>
    <row r="523" spans="1:30" ht="16.5" customHeight="1">
      <c r="A523" s="318" t="str">
        <f>IF(B523&lt;&gt;"",IF(AND(B523='IN-TC'!$S$4,OR(TH!N523="1111",TH!O523="1111")),TH!D523,""),"")</f>
        <v/>
      </c>
      <c r="B523" s="60" t="str">
        <f t="shared" ref="B523:B573" si="122">IF(C523&lt;&gt;"",MONTH(C523),"")</f>
        <v/>
      </c>
      <c r="C523" s="974"/>
      <c r="D523" s="974"/>
      <c r="E523" s="974"/>
      <c r="F523" s="975"/>
      <c r="G523" s="976"/>
      <c r="H523" s="77"/>
      <c r="I523" s="383"/>
      <c r="J523" s="977"/>
      <c r="K523" s="383"/>
      <c r="L523" s="390"/>
      <c r="M523" s="978"/>
      <c r="N523" s="979"/>
      <c r="O523" s="979"/>
      <c r="P523" s="79" t="str">
        <f>IF(AND('331-CT'!$E$7=TH!H523,OR(N523="331",O523="331")),"x","")</f>
        <v/>
      </c>
      <c r="Q523" s="79" t="str">
        <f>IF(AND(B523='111'!$L$11,OR($N523=$Q$7,$O523=$Q$7)),"x","")</f>
        <v/>
      </c>
      <c r="R523" s="79" t="str">
        <f>IF(AND($N523=$Q$7,$B523&lt;'111'!$L$11),"x","")</f>
        <v/>
      </c>
      <c r="S523" s="79" t="str">
        <f>IF(AND($O523=$Q$7,$B523&lt;'111'!$L$11),"x","")</f>
        <v/>
      </c>
      <c r="T523" s="79" t="str">
        <f>IF(ISERROR(FIND('112'!$M$9,G523,1)),"",IF((AND(FIND('112'!$M$9,G523,1)&gt;=1,B523='112'!$K$9,OR($N523='112'!$I$6,$O523='112'!$I$6))),"x",""))</f>
        <v/>
      </c>
      <c r="U523" s="79" t="str">
        <f>IF(ISERROR(FIND('112'!$M$9,G523,1)),"",IF((AND(LEFT(G523,2)=LEFT('112'!$M$9,2),B523&lt;'112'!$K$9,$N523='112'!$I$6)),"x",""))</f>
        <v/>
      </c>
      <c r="V523" s="79" t="str">
        <f>IF(ISERROR(FIND('112'!$M$9,G523,1)),"",IF((AND(RIGHT(G523,2)=RIGHT('112'!$M$9,2),B523&lt;'112'!$K$9,$O523='112'!$I$6)),"x",""))</f>
        <v/>
      </c>
      <c r="W523" s="79" t="str">
        <f>IF(AND('341-CT'!$H$9=H523,OR(LEFT(N523,3)=$W$7,LEFT(O523,3)=$W$7)),"x","")</f>
        <v/>
      </c>
      <c r="X523" s="79" t="str">
        <f>IF(OR(TH!N523=TH!$X$7,O523=TH!$X$7),"x","")</f>
        <v/>
      </c>
      <c r="Y523" s="79" t="str">
        <f>IF(AND(OR(N523="131",O523="131"),H523='131-CT'!$H$9),"x","")</f>
        <v/>
      </c>
      <c r="Z523" s="79"/>
      <c r="AA523" s="79" t="str">
        <f>IF(AND(MONTH(E523)='IN-NX'!$J$5,'IN-NX'!$D$7=D523),"x","")</f>
        <v/>
      </c>
      <c r="AB523" s="79" t="str">
        <f>IF(AND(OR(LEFT(TH!N523,2)="15",LEFT(TH!O523,2)="15"),LEFT(TH!O523,3)&lt;&gt;"111",'152-CT'!$J$8=TH!F523),"x","")</f>
        <v/>
      </c>
      <c r="AC523" s="79" t="str">
        <f>IF(AND(OR(LEFT(TH!N523,2)="15",LEFT(TH!O523,2)="15"),TK!$E$7=TH!F523),"x","")</f>
        <v/>
      </c>
      <c r="AD523" s="79" t="str">
        <f>IF(AND(N523="1521",MONTH(C523)='BK-NL'!$M$11),"x","")</f>
        <v/>
      </c>
    </row>
    <row r="524" spans="1:30" ht="16.5" customHeight="1">
      <c r="A524" s="318" t="str">
        <f>IF(B524&lt;&gt;"",IF(AND(B524='IN-TC'!$S$4,OR(TH!N524="1111",TH!O524="1111")),TH!D524,""),"")</f>
        <v/>
      </c>
      <c r="B524" s="60" t="str">
        <f t="shared" si="122"/>
        <v/>
      </c>
      <c r="C524" s="974"/>
      <c r="D524" s="974"/>
      <c r="E524" s="974"/>
      <c r="F524" s="975"/>
      <c r="G524" s="976"/>
      <c r="H524" s="77"/>
      <c r="I524" s="383"/>
      <c r="J524" s="977"/>
      <c r="K524" s="383"/>
      <c r="L524" s="390"/>
      <c r="M524" s="978"/>
      <c r="N524" s="979"/>
      <c r="O524" s="979"/>
      <c r="P524" s="79" t="str">
        <f>IF(AND('331-CT'!$E$7=TH!H524,OR(N524="331",O524="331")),"x","")</f>
        <v/>
      </c>
      <c r="Q524" s="79" t="str">
        <f>IF(AND(B524='111'!$L$11,OR($N524=$Q$7,$O524=$Q$7)),"x","")</f>
        <v/>
      </c>
      <c r="R524" s="79" t="str">
        <f>IF(AND($N524=$Q$7,$B524&lt;'111'!$L$11),"x","")</f>
        <v/>
      </c>
      <c r="S524" s="79" t="str">
        <f>IF(AND($O524=$Q$7,$B524&lt;'111'!$L$11),"x","")</f>
        <v/>
      </c>
      <c r="T524" s="79" t="str">
        <f>IF(ISERROR(FIND('112'!$M$9,G524,1)),"",IF((AND(FIND('112'!$M$9,G524,1)&gt;=1,B524='112'!$K$9,OR($N524='112'!$I$6,$O524='112'!$I$6))),"x",""))</f>
        <v/>
      </c>
      <c r="U524" s="79" t="str">
        <f>IF(ISERROR(FIND('112'!$M$9,G524,1)),"",IF((AND(LEFT(G524,2)=LEFT('112'!$M$9,2),B524&lt;'112'!$K$9,$N524='112'!$I$6)),"x",""))</f>
        <v/>
      </c>
      <c r="V524" s="79" t="str">
        <f>IF(ISERROR(FIND('112'!$M$9,G524,1)),"",IF((AND(RIGHT(G524,2)=RIGHT('112'!$M$9,2),B524&lt;'112'!$K$9,$O524='112'!$I$6)),"x",""))</f>
        <v/>
      </c>
      <c r="W524" s="79" t="str">
        <f>IF(AND('341-CT'!$H$9=H524,OR(LEFT(N524,3)=$W$7,LEFT(O524,3)=$W$7)),"x","")</f>
        <v/>
      </c>
      <c r="X524" s="79" t="str">
        <f>IF(OR(TH!N524=TH!$X$7,O524=TH!$X$7),"x","")</f>
        <v/>
      </c>
      <c r="Y524" s="79" t="str">
        <f>IF(AND(OR(N524="131",O524="131"),H524='131-CT'!$H$9),"x","")</f>
        <v/>
      </c>
      <c r="Z524" s="79"/>
      <c r="AA524" s="79" t="str">
        <f>IF(AND(MONTH(E524)='IN-NX'!$J$5,'IN-NX'!$D$7=D524),"x","")</f>
        <v/>
      </c>
      <c r="AB524" s="79" t="str">
        <f>IF(AND(OR(LEFT(TH!N524,2)="15",LEFT(TH!O524,2)="15"),LEFT(TH!O524,3)&lt;&gt;"111",'152-CT'!$J$8=TH!F524),"x","")</f>
        <v/>
      </c>
      <c r="AC524" s="79" t="str">
        <f>IF(AND(OR(LEFT(TH!N524,2)="15",LEFT(TH!O524,2)="15"),TK!$E$7=TH!F524),"x","")</f>
        <v/>
      </c>
      <c r="AD524" s="79" t="str">
        <f>IF(AND(N524="1521",MONTH(C524)='BK-NL'!$M$11),"x","")</f>
        <v/>
      </c>
    </row>
    <row r="525" spans="1:30" ht="16.5" customHeight="1">
      <c r="A525" s="318" t="str">
        <f>IF(B525&lt;&gt;"",IF(AND(B525='IN-TC'!$S$4,OR(TH!N525="1111",TH!O525="1111")),TH!D525,""),"")</f>
        <v/>
      </c>
      <c r="B525" s="60" t="str">
        <f t="shared" si="122"/>
        <v/>
      </c>
      <c r="C525" s="974"/>
      <c r="D525" s="974"/>
      <c r="E525" s="974"/>
      <c r="F525" s="975"/>
      <c r="G525" s="976"/>
      <c r="H525" s="77"/>
      <c r="I525" s="383"/>
      <c r="J525" s="977"/>
      <c r="K525" s="383"/>
      <c r="L525" s="390"/>
      <c r="M525" s="978"/>
      <c r="N525" s="979"/>
      <c r="O525" s="979"/>
      <c r="P525" s="79" t="str">
        <f>IF(AND('331-CT'!$E$7=TH!H525,OR(N525="331",O525="331")),"x","")</f>
        <v/>
      </c>
      <c r="Q525" s="79" t="str">
        <f>IF(AND(B525='111'!$L$11,OR($N525=$Q$7,$O525=$Q$7)),"x","")</f>
        <v/>
      </c>
      <c r="R525" s="79" t="str">
        <f>IF(AND($N525=$Q$7,$B525&lt;'111'!$L$11),"x","")</f>
        <v/>
      </c>
      <c r="S525" s="79" t="str">
        <f>IF(AND($O525=$Q$7,$B525&lt;'111'!$L$11),"x","")</f>
        <v/>
      </c>
      <c r="T525" s="79" t="str">
        <f>IF(ISERROR(FIND('112'!$M$9,G525,1)),"",IF((AND(FIND('112'!$M$9,G525,1)&gt;=1,B525='112'!$K$9,OR($N525='112'!$I$6,$O525='112'!$I$6))),"x",""))</f>
        <v/>
      </c>
      <c r="U525" s="79" t="str">
        <f>IF(ISERROR(FIND('112'!$M$9,G525,1)),"",IF((AND(LEFT(G525,2)=LEFT('112'!$M$9,2),B525&lt;'112'!$K$9,$N525='112'!$I$6)),"x",""))</f>
        <v/>
      </c>
      <c r="V525" s="79" t="str">
        <f>IF(ISERROR(FIND('112'!$M$9,G525,1)),"",IF((AND(RIGHT(G525,2)=RIGHT('112'!$M$9,2),B525&lt;'112'!$K$9,$O525='112'!$I$6)),"x",""))</f>
        <v/>
      </c>
      <c r="W525" s="79" t="str">
        <f>IF(AND('341-CT'!$H$9=H525,OR(LEFT(N525,3)=$W$7,LEFT(O525,3)=$W$7)),"x","")</f>
        <v/>
      </c>
      <c r="X525" s="79" t="str">
        <f>IF(OR(TH!N525=TH!$X$7,O525=TH!$X$7),"x","")</f>
        <v/>
      </c>
      <c r="Y525" s="79" t="str">
        <f>IF(AND(OR(N525="131",O525="131"),H525='131-CT'!$H$9),"x","")</f>
        <v/>
      </c>
      <c r="Z525" s="79"/>
      <c r="AA525" s="79" t="str">
        <f>IF(AND(MONTH(E525)='IN-NX'!$J$5,'IN-NX'!$D$7=D525),"x","")</f>
        <v/>
      </c>
      <c r="AB525" s="79" t="str">
        <f>IF(AND(OR(LEFT(TH!N525,2)="15",LEFT(TH!O525,2)="15"),LEFT(TH!O525,3)&lt;&gt;"111",'152-CT'!$J$8=TH!F525),"x","")</f>
        <v/>
      </c>
      <c r="AC525" s="79" t="str">
        <f>IF(AND(OR(LEFT(TH!N525,2)="15",LEFT(TH!O525,2)="15"),TK!$E$7=TH!F525),"x","")</f>
        <v/>
      </c>
      <c r="AD525" s="79" t="str">
        <f>IF(AND(N525="1521",MONTH(C525)='BK-NL'!$M$11),"x","")</f>
        <v/>
      </c>
    </row>
    <row r="526" spans="1:30" ht="16.5" customHeight="1">
      <c r="A526" s="318" t="str">
        <f>IF(B526&lt;&gt;"",IF(AND(B526='IN-TC'!$S$4,OR(TH!N526="1111",TH!O526="1111")),TH!D526,""),"")</f>
        <v/>
      </c>
      <c r="B526" s="60" t="str">
        <f t="shared" si="122"/>
        <v/>
      </c>
      <c r="C526" s="974"/>
      <c r="D526" s="974"/>
      <c r="E526" s="974"/>
      <c r="F526" s="975"/>
      <c r="G526" s="976"/>
      <c r="H526" s="759"/>
      <c r="I526" s="383"/>
      <c r="J526" s="977"/>
      <c r="K526" s="383"/>
      <c r="L526" s="390"/>
      <c r="M526" s="978"/>
      <c r="N526" s="979"/>
      <c r="O526" s="979"/>
      <c r="P526" s="79" t="str">
        <f>IF(AND('331-CT'!$E$7=TH!H526,OR(N526="331",O526="331")),"x","")</f>
        <v/>
      </c>
      <c r="Q526" s="79" t="str">
        <f>IF(AND(B526='111'!$L$11,OR($N526=$Q$7,$O526=$Q$7)),"x","")</f>
        <v/>
      </c>
      <c r="R526" s="79" t="str">
        <f>IF(AND($N526=$Q$7,$B526&lt;'111'!$L$11),"x","")</f>
        <v/>
      </c>
      <c r="S526" s="79" t="str">
        <f>IF(AND($O526=$Q$7,$B526&lt;'111'!$L$11),"x","")</f>
        <v/>
      </c>
      <c r="T526" s="79" t="str">
        <f>IF(ISERROR(FIND('112'!$M$9,G526,1)),"",IF((AND(FIND('112'!$M$9,G526,1)&gt;=1,B526='112'!$K$9,OR($N526='112'!$I$6,$O526='112'!$I$6))),"x",""))</f>
        <v/>
      </c>
      <c r="U526" s="79" t="str">
        <f>IF(ISERROR(FIND('112'!$M$9,G526,1)),"",IF((AND(LEFT(G526,2)=LEFT('112'!$M$9,2),B526&lt;'112'!$K$9,$N526='112'!$I$6)),"x",""))</f>
        <v/>
      </c>
      <c r="V526" s="79" t="str">
        <f>IF(ISERROR(FIND('112'!$M$9,G526,1)),"",IF((AND(RIGHT(G526,2)=RIGHT('112'!$M$9,2),B526&lt;'112'!$K$9,$O526='112'!$I$6)),"x",""))</f>
        <v/>
      </c>
      <c r="W526" s="79" t="str">
        <f>IF(AND('341-CT'!$H$9=H526,OR(LEFT(N526,3)=$W$7,LEFT(O526,3)=$W$7)),"x","")</f>
        <v/>
      </c>
      <c r="X526" s="79" t="str">
        <f>IF(OR(TH!N526=TH!$X$7,O526=TH!$X$7),"x","")</f>
        <v/>
      </c>
      <c r="Y526" s="79" t="str">
        <f>IF(AND(OR(N526="131",O526="131"),H526='131-CT'!$H$9),"x","")</f>
        <v/>
      </c>
      <c r="Z526" s="79"/>
      <c r="AA526" s="79" t="str">
        <f>IF(AND(MONTH(E526)='IN-NX'!$J$5,'IN-NX'!$D$7=D526),"x","")</f>
        <v/>
      </c>
      <c r="AB526" s="79" t="str">
        <f>IF(AND(OR(LEFT(TH!N526,2)="15",LEFT(TH!O526,2)="15"),LEFT(TH!O526,3)&lt;&gt;"111",'152-CT'!$J$8=TH!F526),"x","")</f>
        <v/>
      </c>
      <c r="AC526" s="79" t="str">
        <f>IF(AND(OR(LEFT(TH!N526,2)="15",LEFT(TH!O526,2)="15"),TK!$E$7=TH!F526),"x","")</f>
        <v/>
      </c>
      <c r="AD526" s="79" t="str">
        <f>IF(AND(N526="1521",MONTH(C526)='BK-NL'!$M$11),"x","")</f>
        <v/>
      </c>
    </row>
    <row r="527" spans="1:30" ht="16.5" customHeight="1">
      <c r="A527" s="318" t="str">
        <f>IF(B527&lt;&gt;"",IF(AND(B527='IN-TC'!$S$4,OR(TH!N527="1111",TH!O527="1111")),TH!D527,""),"")</f>
        <v/>
      </c>
      <c r="B527" s="60" t="str">
        <f t="shared" si="122"/>
        <v/>
      </c>
      <c r="C527" s="974"/>
      <c r="D527" s="974"/>
      <c r="E527" s="974"/>
      <c r="F527" s="975"/>
      <c r="G527" s="976"/>
      <c r="H527" s="759"/>
      <c r="I527" s="383"/>
      <c r="J527" s="977"/>
      <c r="K527" s="383"/>
      <c r="L527" s="390"/>
      <c r="M527" s="978"/>
      <c r="N527" s="979"/>
      <c r="O527" s="979"/>
      <c r="P527" s="79" t="str">
        <f>IF(AND('331-CT'!$E$7=TH!H527,OR(N527="331",O527="331")),"x","")</f>
        <v/>
      </c>
      <c r="Q527" s="79" t="str">
        <f>IF(AND(B527='111'!$L$11,OR($N527=$Q$7,$O527=$Q$7)),"x","")</f>
        <v/>
      </c>
      <c r="R527" s="79" t="str">
        <f>IF(AND($N527=$Q$7,$B527&lt;'111'!$L$11),"x","")</f>
        <v/>
      </c>
      <c r="S527" s="79" t="str">
        <f>IF(AND($O527=$Q$7,$B527&lt;'111'!$L$11),"x","")</f>
        <v/>
      </c>
      <c r="T527" s="79" t="str">
        <f>IF(ISERROR(FIND('112'!$M$9,G527,1)),"",IF((AND(FIND('112'!$M$9,G527,1)&gt;=1,B527='112'!$K$9,OR($N527='112'!$I$6,$O527='112'!$I$6))),"x",""))</f>
        <v/>
      </c>
      <c r="U527" s="79" t="str">
        <f>IF(ISERROR(FIND('112'!$M$9,G527,1)),"",IF((AND(LEFT(G527,2)=LEFT('112'!$M$9,2),B527&lt;'112'!$K$9,$N527='112'!$I$6)),"x",""))</f>
        <v/>
      </c>
      <c r="V527" s="79" t="str">
        <f>IF(ISERROR(FIND('112'!$M$9,G527,1)),"",IF((AND(RIGHT(G527,2)=RIGHT('112'!$M$9,2),B527&lt;'112'!$K$9,$O527='112'!$I$6)),"x",""))</f>
        <v/>
      </c>
      <c r="W527" s="79" t="str">
        <f>IF(AND('341-CT'!$H$9=H527,OR(LEFT(N527,3)=$W$7,LEFT(O527,3)=$W$7)),"x","")</f>
        <v/>
      </c>
      <c r="X527" s="79" t="str">
        <f>IF(OR(TH!N527=TH!$X$7,O527=TH!$X$7),"x","")</f>
        <v/>
      </c>
      <c r="Y527" s="79" t="str">
        <f>IF(AND(OR(N527="131",O527="131"),H527='131-CT'!$H$9),"x","")</f>
        <v/>
      </c>
      <c r="Z527" s="79"/>
      <c r="AA527" s="79" t="str">
        <f>IF(AND(MONTH(E527)='IN-NX'!$J$5,'IN-NX'!$D$7=D527),"x","")</f>
        <v/>
      </c>
      <c r="AB527" s="79" t="str">
        <f>IF(AND(OR(LEFT(TH!N527,2)="15",LEFT(TH!O527,2)="15"),LEFT(TH!O527,3)&lt;&gt;"111",'152-CT'!$J$8=TH!F527),"x","")</f>
        <v/>
      </c>
      <c r="AC527" s="79" t="str">
        <f>IF(AND(OR(LEFT(TH!N527,2)="15",LEFT(TH!O527,2)="15"),TK!$E$7=TH!F527),"x","")</f>
        <v/>
      </c>
      <c r="AD527" s="79" t="str">
        <f>IF(AND(N527="1521",MONTH(C527)='BK-NL'!$M$11),"x","")</f>
        <v/>
      </c>
    </row>
    <row r="528" spans="1:30" ht="16.5" customHeight="1">
      <c r="A528" s="318" t="str">
        <f>IF(B528&lt;&gt;"",IF(AND(B528='IN-TC'!$S$4,OR(TH!N528="1111",TH!O528="1111")),TH!D528,""),"")</f>
        <v/>
      </c>
      <c r="B528" s="60" t="str">
        <f t="shared" si="122"/>
        <v/>
      </c>
      <c r="C528" s="974"/>
      <c r="D528" s="974"/>
      <c r="E528" s="974"/>
      <c r="F528" s="975"/>
      <c r="G528" s="976"/>
      <c r="H528" s="759"/>
      <c r="I528" s="383"/>
      <c r="J528" s="977"/>
      <c r="K528" s="383"/>
      <c r="L528" s="390"/>
      <c r="M528" s="978"/>
      <c r="N528" s="979"/>
      <c r="O528" s="979"/>
      <c r="P528" s="79" t="str">
        <f>IF(AND('331-CT'!$E$7=TH!H528,OR(N528="331",O528="331")),"x","")</f>
        <v/>
      </c>
      <c r="Q528" s="79" t="str">
        <f>IF(AND(B528='111'!$L$11,OR($N528=$Q$7,$O528=$Q$7)),"x","")</f>
        <v/>
      </c>
      <c r="R528" s="79" t="str">
        <f>IF(AND($N528=$Q$7,$B528&lt;'111'!$L$11),"x","")</f>
        <v/>
      </c>
      <c r="S528" s="79" t="str">
        <f>IF(AND($O528=$Q$7,$B528&lt;'111'!$L$11),"x","")</f>
        <v/>
      </c>
      <c r="T528" s="79" t="str">
        <f>IF(ISERROR(FIND('112'!$M$9,G528,1)),"",IF((AND(FIND('112'!$M$9,G528,1)&gt;=1,B528='112'!$K$9,OR($N528='112'!$I$6,$O528='112'!$I$6))),"x",""))</f>
        <v/>
      </c>
      <c r="U528" s="79" t="str">
        <f>IF(ISERROR(FIND('112'!$M$9,G528,1)),"",IF((AND(LEFT(G528,2)=LEFT('112'!$M$9,2),B528&lt;'112'!$K$9,$N528='112'!$I$6)),"x",""))</f>
        <v/>
      </c>
      <c r="V528" s="79" t="str">
        <f>IF(ISERROR(FIND('112'!$M$9,G528,1)),"",IF((AND(RIGHT(G528,2)=RIGHT('112'!$M$9,2),B528&lt;'112'!$K$9,$O528='112'!$I$6)),"x",""))</f>
        <v/>
      </c>
      <c r="W528" s="79" t="str">
        <f>IF(AND('341-CT'!$H$9=H528,OR(LEFT(N528,3)=$W$7,LEFT(O528,3)=$W$7)),"x","")</f>
        <v/>
      </c>
      <c r="X528" s="79" t="str">
        <f>IF(OR(TH!N528=TH!$X$7,O528=TH!$X$7),"x","")</f>
        <v/>
      </c>
      <c r="Y528" s="79" t="str">
        <f>IF(AND(OR(N528="131",O528="131"),H528='131-CT'!$H$9),"x","")</f>
        <v/>
      </c>
      <c r="Z528" s="79"/>
      <c r="AA528" s="79" t="str">
        <f>IF(AND(MONTH(E528)='IN-NX'!$J$5,'IN-NX'!$D$7=D528),"x","")</f>
        <v/>
      </c>
      <c r="AB528" s="79" t="str">
        <f>IF(AND(OR(LEFT(TH!N528,2)="15",LEFT(TH!O528,2)="15"),LEFT(TH!O528,3)&lt;&gt;"111",'152-CT'!$J$8=TH!F528),"x","")</f>
        <v/>
      </c>
      <c r="AC528" s="79" t="str">
        <f>IF(AND(OR(LEFT(TH!N528,2)="15",LEFT(TH!O528,2)="15"),TK!$E$7=TH!F528),"x","")</f>
        <v/>
      </c>
      <c r="AD528" s="79" t="str">
        <f>IF(AND(N528="1521",MONTH(C528)='BK-NL'!$M$11),"x","")</f>
        <v/>
      </c>
    </row>
    <row r="529" spans="1:30" ht="16.5" customHeight="1">
      <c r="A529" s="318" t="str">
        <f>IF(B529&lt;&gt;"",IF(AND(B529='IN-TC'!$S$4,OR(TH!N529="1111",TH!O529="1111")),TH!D529,""),"")</f>
        <v/>
      </c>
      <c r="B529" s="60" t="str">
        <f t="shared" si="122"/>
        <v/>
      </c>
      <c r="C529" s="974"/>
      <c r="D529" s="974"/>
      <c r="E529" s="974"/>
      <c r="F529" s="975"/>
      <c r="G529" s="976"/>
      <c r="H529" s="759"/>
      <c r="I529" s="383"/>
      <c r="J529" s="977"/>
      <c r="K529" s="383"/>
      <c r="L529" s="390"/>
      <c r="M529" s="978"/>
      <c r="N529" s="979"/>
      <c r="O529" s="979"/>
      <c r="P529" s="79" t="str">
        <f>IF(AND('331-CT'!$E$7=TH!H529,OR(N529="331",O529="331")),"x","")</f>
        <v/>
      </c>
      <c r="Q529" s="79" t="str">
        <f>IF(AND(B529='111'!$L$11,OR($N529=$Q$7,$O529=$Q$7)),"x","")</f>
        <v/>
      </c>
      <c r="R529" s="79" t="str">
        <f>IF(AND($N529=$Q$7,$B529&lt;'111'!$L$11),"x","")</f>
        <v/>
      </c>
      <c r="S529" s="79" t="str">
        <f>IF(AND($O529=$Q$7,$B529&lt;'111'!$L$11),"x","")</f>
        <v/>
      </c>
      <c r="T529" s="79" t="str">
        <f>IF(ISERROR(FIND('112'!$M$9,G529,1)),"",IF((AND(FIND('112'!$M$9,G529,1)&gt;=1,B529='112'!$K$9,OR($N529='112'!$I$6,$O529='112'!$I$6))),"x",""))</f>
        <v/>
      </c>
      <c r="U529" s="79" t="str">
        <f>IF(ISERROR(FIND('112'!$M$9,G529,1)),"",IF((AND(LEFT(G529,2)=LEFT('112'!$M$9,2),B529&lt;'112'!$K$9,$N529='112'!$I$6)),"x",""))</f>
        <v/>
      </c>
      <c r="V529" s="79" t="str">
        <f>IF(ISERROR(FIND('112'!$M$9,G529,1)),"",IF((AND(RIGHT(G529,2)=RIGHT('112'!$M$9,2),B529&lt;'112'!$K$9,$O529='112'!$I$6)),"x",""))</f>
        <v/>
      </c>
      <c r="W529" s="79" t="str">
        <f>IF(AND('341-CT'!$H$9=H529,OR(LEFT(N529,3)=$W$7,LEFT(O529,3)=$W$7)),"x","")</f>
        <v/>
      </c>
      <c r="X529" s="79" t="str">
        <f>IF(OR(TH!N529=TH!$X$7,O529=TH!$X$7),"x","")</f>
        <v/>
      </c>
      <c r="Y529" s="79" t="str">
        <f>IF(AND(OR(N529="131",O529="131"),H529='131-CT'!$H$9),"x","")</f>
        <v/>
      </c>
      <c r="Z529" s="79"/>
      <c r="AA529" s="79" t="str">
        <f>IF(AND(MONTH(E529)='IN-NX'!$J$5,'IN-NX'!$D$7=D529),"x","")</f>
        <v/>
      </c>
      <c r="AB529" s="79" t="str">
        <f>IF(AND(OR(LEFT(TH!N529,2)="15",LEFT(TH!O529,2)="15"),LEFT(TH!O529,3)&lt;&gt;"111",'152-CT'!$J$8=TH!F529),"x","")</f>
        <v/>
      </c>
      <c r="AC529" s="79" t="str">
        <f>IF(AND(OR(LEFT(TH!N529,2)="15",LEFT(TH!O529,2)="15"),TK!$E$7=TH!F529),"x","")</f>
        <v/>
      </c>
      <c r="AD529" s="79" t="str">
        <f>IF(AND(N529="1521",MONTH(C529)='BK-NL'!$M$11),"x","")</f>
        <v/>
      </c>
    </row>
    <row r="530" spans="1:30" ht="16.5" customHeight="1">
      <c r="A530" s="318" t="str">
        <f>IF(B530&lt;&gt;"",IF(AND(B530='IN-TC'!$S$4,OR(TH!N530="1111",TH!O530="1111")),TH!D530,""),"")</f>
        <v/>
      </c>
      <c r="B530" s="60" t="str">
        <f t="shared" si="122"/>
        <v/>
      </c>
      <c r="C530" s="974"/>
      <c r="D530" s="974"/>
      <c r="E530" s="974"/>
      <c r="F530" s="975"/>
      <c r="G530" s="976"/>
      <c r="H530" s="759"/>
      <c r="I530" s="383"/>
      <c r="J530" s="977"/>
      <c r="K530" s="383"/>
      <c r="L530" s="390"/>
      <c r="M530" s="978"/>
      <c r="N530" s="979"/>
      <c r="O530" s="979"/>
      <c r="P530" s="79" t="str">
        <f>IF(AND('331-CT'!$E$7=TH!H530,OR(N530="331",O530="331")),"x","")</f>
        <v/>
      </c>
      <c r="Q530" s="79" t="str">
        <f>IF(AND(B530='111'!$L$11,OR($N530=$Q$7,$O530=$Q$7)),"x","")</f>
        <v/>
      </c>
      <c r="R530" s="79" t="str">
        <f>IF(AND($N530=$Q$7,$B530&lt;'111'!$L$11),"x","")</f>
        <v/>
      </c>
      <c r="S530" s="79" t="str">
        <f>IF(AND($O530=$Q$7,$B530&lt;'111'!$L$11),"x","")</f>
        <v/>
      </c>
      <c r="T530" s="79" t="str">
        <f>IF(ISERROR(FIND('112'!$M$9,G530,1)),"",IF((AND(FIND('112'!$M$9,G530,1)&gt;=1,B530='112'!$K$9,OR($N530='112'!$I$6,$O530='112'!$I$6))),"x",""))</f>
        <v/>
      </c>
      <c r="U530" s="79" t="str">
        <f>IF(ISERROR(FIND('112'!$M$9,G530,1)),"",IF((AND(LEFT(G530,2)=LEFT('112'!$M$9,2),B530&lt;'112'!$K$9,$N530='112'!$I$6)),"x",""))</f>
        <v/>
      </c>
      <c r="V530" s="79" t="str">
        <f>IF(ISERROR(FIND('112'!$M$9,G530,1)),"",IF((AND(RIGHT(G530,2)=RIGHT('112'!$M$9,2),B530&lt;'112'!$K$9,$O530='112'!$I$6)),"x",""))</f>
        <v/>
      </c>
      <c r="W530" s="79" t="str">
        <f>IF(AND('341-CT'!$H$9=H530,OR(LEFT(N530,3)=$W$7,LEFT(O530,3)=$W$7)),"x","")</f>
        <v/>
      </c>
      <c r="X530" s="79" t="str">
        <f>IF(OR(TH!N530=TH!$X$7,O530=TH!$X$7),"x","")</f>
        <v/>
      </c>
      <c r="Y530" s="79" t="str">
        <f>IF(AND(OR(N530="131",O530="131"),H530='131-CT'!$H$9),"x","")</f>
        <v/>
      </c>
      <c r="Z530" s="79"/>
      <c r="AA530" s="79" t="str">
        <f>IF(AND(MONTH(E530)='IN-NX'!$J$5,'IN-NX'!$D$7=D530),"x","")</f>
        <v/>
      </c>
      <c r="AB530" s="79" t="str">
        <f>IF(AND(OR(LEFT(TH!N530,2)="15",LEFT(TH!O530,2)="15"),LEFT(TH!O530,3)&lt;&gt;"111",'152-CT'!$J$8=TH!F530),"x","")</f>
        <v/>
      </c>
      <c r="AC530" s="79" t="str">
        <f>IF(AND(OR(LEFT(TH!N530,2)="15",LEFT(TH!O530,2)="15"),TK!$E$7=TH!F530),"x","")</f>
        <v/>
      </c>
      <c r="AD530" s="79" t="str">
        <f>IF(AND(N530="1521",MONTH(C530)='BK-NL'!$M$11),"x","")</f>
        <v/>
      </c>
    </row>
    <row r="531" spans="1:30" ht="16.5" customHeight="1">
      <c r="A531" s="318" t="str">
        <f>IF(B531&lt;&gt;"",IF(AND(B531='IN-TC'!$S$4,OR(TH!N531="1111",TH!O531="1111")),TH!D531,""),"")</f>
        <v/>
      </c>
      <c r="B531" s="60" t="str">
        <f t="shared" si="122"/>
        <v/>
      </c>
      <c r="C531" s="974"/>
      <c r="D531" s="974"/>
      <c r="E531" s="974"/>
      <c r="F531" s="975"/>
      <c r="G531" s="976"/>
      <c r="H531" s="759"/>
      <c r="I531" s="383"/>
      <c r="J531" s="977"/>
      <c r="K531" s="383"/>
      <c r="L531" s="390"/>
      <c r="M531" s="978"/>
      <c r="N531" s="979"/>
      <c r="O531" s="979"/>
      <c r="P531" s="79" t="str">
        <f>IF(AND('331-CT'!$E$7=TH!H531,OR(N531="331",O531="331")),"x","")</f>
        <v/>
      </c>
      <c r="Q531" s="79" t="str">
        <f>IF(AND(B531='111'!$L$11,OR($N531=$Q$7,$O531=$Q$7)),"x","")</f>
        <v/>
      </c>
      <c r="R531" s="79" t="str">
        <f>IF(AND($N531=$Q$7,$B531&lt;'111'!$L$11),"x","")</f>
        <v/>
      </c>
      <c r="S531" s="79" t="str">
        <f>IF(AND($O531=$Q$7,$B531&lt;'111'!$L$11),"x","")</f>
        <v/>
      </c>
      <c r="T531" s="79" t="str">
        <f>IF(ISERROR(FIND('112'!$M$9,G531,1)),"",IF((AND(FIND('112'!$M$9,G531,1)&gt;=1,B531='112'!$K$9,OR($N531='112'!$I$6,$O531='112'!$I$6))),"x",""))</f>
        <v/>
      </c>
      <c r="U531" s="79" t="str">
        <f>IF(ISERROR(FIND('112'!$M$9,G531,1)),"",IF((AND(LEFT(G531,2)=LEFT('112'!$M$9,2),B531&lt;'112'!$K$9,$N531='112'!$I$6)),"x",""))</f>
        <v/>
      </c>
      <c r="V531" s="79" t="str">
        <f>IF(ISERROR(FIND('112'!$M$9,G531,1)),"",IF((AND(RIGHT(G531,2)=RIGHT('112'!$M$9,2),B531&lt;'112'!$K$9,$O531='112'!$I$6)),"x",""))</f>
        <v/>
      </c>
      <c r="W531" s="79" t="str">
        <f>IF(AND('341-CT'!$H$9=H531,OR(LEFT(N531,3)=$W$7,LEFT(O531,3)=$W$7)),"x","")</f>
        <v/>
      </c>
      <c r="X531" s="79" t="str">
        <f>IF(OR(TH!N531=TH!$X$7,O531=TH!$X$7),"x","")</f>
        <v/>
      </c>
      <c r="Y531" s="79" t="str">
        <f>IF(AND(OR(N531="131",O531="131"),H531='131-CT'!$H$9),"x","")</f>
        <v/>
      </c>
      <c r="Z531" s="79"/>
      <c r="AA531" s="79" t="str">
        <f>IF(AND(MONTH(E531)='IN-NX'!$J$5,'IN-NX'!$D$7=D531),"x","")</f>
        <v/>
      </c>
      <c r="AB531" s="79" t="str">
        <f>IF(AND(OR(LEFT(TH!N531,2)="15",LEFT(TH!O531,2)="15"),LEFT(TH!O531,3)&lt;&gt;"111",'152-CT'!$J$8=TH!F531),"x","")</f>
        <v/>
      </c>
      <c r="AC531" s="79" t="str">
        <f>IF(AND(OR(LEFT(TH!N531,2)="15",LEFT(TH!O531,2)="15"),TK!$E$7=TH!F531),"x","")</f>
        <v/>
      </c>
      <c r="AD531" s="79" t="str">
        <f>IF(AND(N531="1521",MONTH(C531)='BK-NL'!$M$11),"x","")</f>
        <v/>
      </c>
    </row>
    <row r="532" spans="1:30" ht="16.5" customHeight="1">
      <c r="A532" s="318" t="str">
        <f>IF(B532&lt;&gt;"",IF(AND(B532='IN-TC'!$S$4,OR(TH!N532="1111",TH!O532="1111")),TH!D532,""),"")</f>
        <v/>
      </c>
      <c r="B532" s="60" t="str">
        <f t="shared" si="122"/>
        <v/>
      </c>
      <c r="C532" s="974"/>
      <c r="D532" s="974"/>
      <c r="E532" s="974"/>
      <c r="F532" s="975"/>
      <c r="G532" s="976"/>
      <c r="H532" s="77"/>
      <c r="I532" s="383"/>
      <c r="J532" s="977"/>
      <c r="K532" s="383"/>
      <c r="L532" s="390"/>
      <c r="M532" s="978"/>
      <c r="N532" s="979"/>
      <c r="O532" s="979"/>
      <c r="P532" s="79" t="str">
        <f>IF(AND('331-CT'!$E$7=TH!H532,OR(N532="331",O532="331")),"x","")</f>
        <v/>
      </c>
      <c r="Q532" s="79" t="str">
        <f>IF(AND(B532='111'!$L$11,OR($N532=$Q$7,$O532=$Q$7)),"x","")</f>
        <v/>
      </c>
      <c r="R532" s="79" t="str">
        <f>IF(AND($N532=$Q$7,$B532&lt;'111'!$L$11),"x","")</f>
        <v/>
      </c>
      <c r="S532" s="79" t="str">
        <f>IF(AND($O532=$Q$7,$B532&lt;'111'!$L$11),"x","")</f>
        <v/>
      </c>
      <c r="T532" s="79" t="str">
        <f>IF(ISERROR(FIND('112'!$M$9,G532,1)),"",IF((AND(FIND('112'!$M$9,G532,1)&gt;=1,B532='112'!$K$9,OR($N532='112'!$I$6,$O532='112'!$I$6))),"x",""))</f>
        <v/>
      </c>
      <c r="U532" s="79" t="str">
        <f>IF(ISERROR(FIND('112'!$M$9,G532,1)),"",IF((AND(LEFT(G532,2)=LEFT('112'!$M$9,2),B532&lt;'112'!$K$9,$N532='112'!$I$6)),"x",""))</f>
        <v/>
      </c>
      <c r="V532" s="79" t="str">
        <f>IF(ISERROR(FIND('112'!$M$9,G532,1)),"",IF((AND(RIGHT(G532,2)=RIGHT('112'!$M$9,2),B532&lt;'112'!$K$9,$O532='112'!$I$6)),"x",""))</f>
        <v/>
      </c>
      <c r="W532" s="79" t="str">
        <f>IF(AND('341-CT'!$H$9=H532,OR(LEFT(N532,3)=$W$7,LEFT(O532,3)=$W$7)),"x","")</f>
        <v/>
      </c>
      <c r="X532" s="79" t="str">
        <f>IF(OR(TH!N532=TH!$X$7,O532=TH!$X$7),"x","")</f>
        <v/>
      </c>
      <c r="Y532" s="79" t="str">
        <f>IF(AND(OR(N532="131",O532="131"),H532='131-CT'!$H$9),"x","")</f>
        <v/>
      </c>
      <c r="Z532" s="79"/>
      <c r="AA532" s="79" t="str">
        <f>IF(AND(MONTH(E532)='IN-NX'!$J$5,'IN-NX'!$D$7=D532),"x","")</f>
        <v/>
      </c>
      <c r="AB532" s="79" t="str">
        <f>IF(AND(OR(LEFT(TH!N532,2)="15",LEFT(TH!O532,2)="15"),LEFT(TH!O532,3)&lt;&gt;"111",'152-CT'!$J$8=TH!F532),"x","")</f>
        <v/>
      </c>
      <c r="AC532" s="79" t="str">
        <f>IF(AND(OR(LEFT(TH!N532,2)="15",LEFT(TH!O532,2)="15"),TK!$E$7=TH!F532),"x","")</f>
        <v/>
      </c>
      <c r="AD532" s="79" t="str">
        <f>IF(AND(N532="1521",MONTH(C532)='BK-NL'!$M$11),"x","")</f>
        <v/>
      </c>
    </row>
    <row r="533" spans="1:30" ht="16.5" customHeight="1">
      <c r="A533" s="318" t="str">
        <f>IF(B533&lt;&gt;"",IF(AND(B533='IN-TC'!$S$4,OR(TH!N533="1111",TH!O533="1111")),TH!D533,""),"")</f>
        <v/>
      </c>
      <c r="B533" s="60" t="str">
        <f t="shared" si="122"/>
        <v/>
      </c>
      <c r="C533" s="974"/>
      <c r="D533" s="974"/>
      <c r="E533" s="974"/>
      <c r="F533" s="975"/>
      <c r="G533" s="976"/>
      <c r="H533" s="77"/>
      <c r="I533" s="383"/>
      <c r="J533" s="977"/>
      <c r="K533" s="383"/>
      <c r="L533" s="390"/>
      <c r="M533" s="978"/>
      <c r="N533" s="979"/>
      <c r="O533" s="979"/>
      <c r="P533" s="79" t="str">
        <f>IF(AND('331-CT'!$E$7=TH!H533,OR(N533="331",O533="331")),"x","")</f>
        <v/>
      </c>
      <c r="Q533" s="79" t="str">
        <f>IF(AND(B533='111'!$L$11,OR($N533=$Q$7,$O533=$Q$7)),"x","")</f>
        <v/>
      </c>
      <c r="R533" s="79" t="str">
        <f>IF(AND($N533=$Q$7,$B533&lt;'111'!$L$11),"x","")</f>
        <v/>
      </c>
      <c r="S533" s="79" t="str">
        <f>IF(AND($O533=$Q$7,$B533&lt;'111'!$L$11),"x","")</f>
        <v/>
      </c>
      <c r="T533" s="79" t="str">
        <f>IF(ISERROR(FIND('112'!$M$9,G533,1)),"",IF((AND(FIND('112'!$M$9,G533,1)&gt;=1,B533='112'!$K$9,OR($N533='112'!$I$6,$O533='112'!$I$6))),"x",""))</f>
        <v/>
      </c>
      <c r="U533" s="79" t="str">
        <f>IF(ISERROR(FIND('112'!$M$9,G533,1)),"",IF((AND(LEFT(G533,2)=LEFT('112'!$M$9,2),B533&lt;'112'!$K$9,$N533='112'!$I$6)),"x",""))</f>
        <v/>
      </c>
      <c r="V533" s="79" t="str">
        <f>IF(ISERROR(FIND('112'!$M$9,G533,1)),"",IF((AND(RIGHT(G533,2)=RIGHT('112'!$M$9,2),B533&lt;'112'!$K$9,$O533='112'!$I$6)),"x",""))</f>
        <v/>
      </c>
      <c r="W533" s="79" t="str">
        <f>IF(AND('341-CT'!$H$9=H533,OR(LEFT(N533,3)=$W$7,LEFT(O533,3)=$W$7)),"x","")</f>
        <v/>
      </c>
      <c r="X533" s="79" t="str">
        <f>IF(OR(TH!N533=TH!$X$7,O533=TH!$X$7),"x","")</f>
        <v/>
      </c>
      <c r="Y533" s="79" t="str">
        <f>IF(AND(OR(N533="131",O533="131"),H533='131-CT'!$H$9),"x","")</f>
        <v/>
      </c>
      <c r="Z533" s="79"/>
      <c r="AA533" s="79" t="str">
        <f>IF(AND(MONTH(E533)='IN-NX'!$J$5,'IN-NX'!$D$7=D533),"x","")</f>
        <v/>
      </c>
      <c r="AB533" s="79" t="str">
        <f>IF(AND(OR(LEFT(TH!N533,2)="15",LEFT(TH!O533,2)="15"),LEFT(TH!O533,3)&lt;&gt;"111",'152-CT'!$J$8=TH!F533),"x","")</f>
        <v/>
      </c>
      <c r="AC533" s="79" t="str">
        <f>IF(AND(OR(LEFT(TH!N533,2)="15",LEFT(TH!O533,2)="15"),TK!$E$7=TH!F533),"x","")</f>
        <v/>
      </c>
      <c r="AD533" s="79" t="str">
        <f>IF(AND(N533="1521",MONTH(C533)='BK-NL'!$M$11),"x","")</f>
        <v/>
      </c>
    </row>
    <row r="534" spans="1:30" ht="16.5" customHeight="1">
      <c r="A534" s="318" t="str">
        <f>IF(B534&lt;&gt;"",IF(AND(B534='IN-TC'!$S$4,OR(TH!N534="1111",TH!O534="1111")),TH!D534,""),"")</f>
        <v/>
      </c>
      <c r="B534" s="60" t="str">
        <f t="shared" si="122"/>
        <v/>
      </c>
      <c r="C534" s="974"/>
      <c r="D534" s="974"/>
      <c r="E534" s="974"/>
      <c r="F534" s="975"/>
      <c r="G534" s="976"/>
      <c r="H534" s="77"/>
      <c r="I534" s="383"/>
      <c r="J534" s="977"/>
      <c r="K534" s="383"/>
      <c r="L534" s="390"/>
      <c r="M534" s="978"/>
      <c r="N534" s="979"/>
      <c r="O534" s="979"/>
      <c r="P534" s="79" t="str">
        <f>IF(AND('331-CT'!$E$7=TH!H534,OR(N534="331",O534="331")),"x","")</f>
        <v/>
      </c>
      <c r="Q534" s="79" t="str">
        <f>IF(AND(B534='111'!$L$11,OR($N534=$Q$7,$O534=$Q$7)),"x","")</f>
        <v/>
      </c>
      <c r="R534" s="79" t="str">
        <f>IF(AND($N534=$Q$7,$B534&lt;'111'!$L$11),"x","")</f>
        <v/>
      </c>
      <c r="S534" s="79" t="str">
        <f>IF(AND($O534=$Q$7,$B534&lt;'111'!$L$11),"x","")</f>
        <v/>
      </c>
      <c r="T534" s="79" t="str">
        <f>IF(ISERROR(FIND('112'!$M$9,G534,1)),"",IF((AND(FIND('112'!$M$9,G534,1)&gt;=1,B534='112'!$K$9,OR($N534='112'!$I$6,$O534='112'!$I$6))),"x",""))</f>
        <v/>
      </c>
      <c r="U534" s="79" t="str">
        <f>IF(ISERROR(FIND('112'!$M$9,G534,1)),"",IF((AND(LEFT(G534,2)=LEFT('112'!$M$9,2),B534&lt;'112'!$K$9,$N534='112'!$I$6)),"x",""))</f>
        <v/>
      </c>
      <c r="V534" s="79" t="str">
        <f>IF(ISERROR(FIND('112'!$M$9,G534,1)),"",IF((AND(RIGHT(G534,2)=RIGHT('112'!$M$9,2),B534&lt;'112'!$K$9,$O534='112'!$I$6)),"x",""))</f>
        <v/>
      </c>
      <c r="W534" s="79" t="str">
        <f>IF(AND('341-CT'!$H$9=H534,OR(LEFT(N534,3)=$W$7,LEFT(O534,3)=$W$7)),"x","")</f>
        <v/>
      </c>
      <c r="X534" s="79" t="str">
        <f>IF(OR(TH!N534=TH!$X$7,O534=TH!$X$7),"x","")</f>
        <v/>
      </c>
      <c r="Y534" s="79" t="str">
        <f>IF(AND(OR(N534="131",O534="131"),H534='131-CT'!$H$9),"x","")</f>
        <v/>
      </c>
      <c r="Z534" s="79"/>
      <c r="AA534" s="79" t="str">
        <f>IF(AND(MONTH(E534)='IN-NX'!$J$5,'IN-NX'!$D$7=D534),"x","")</f>
        <v/>
      </c>
      <c r="AB534" s="79" t="str">
        <f>IF(AND(OR(LEFT(TH!N534,2)="15",LEFT(TH!O534,2)="15"),LEFT(TH!O534,3)&lt;&gt;"111",'152-CT'!$J$8=TH!F534),"x","")</f>
        <v/>
      </c>
      <c r="AC534" s="79" t="str">
        <f>IF(AND(OR(LEFT(TH!N534,2)="15",LEFT(TH!O534,2)="15"),TK!$E$7=TH!F534),"x","")</f>
        <v/>
      </c>
      <c r="AD534" s="79" t="str">
        <f>IF(AND(N534="1521",MONTH(C534)='BK-NL'!$M$11),"x","")</f>
        <v/>
      </c>
    </row>
    <row r="535" spans="1:30" ht="16.5" customHeight="1">
      <c r="A535" s="318" t="str">
        <f>IF(B535&lt;&gt;"",IF(AND(B535='IN-TC'!$S$4,OR(TH!N535="1111",TH!O535="1111")),TH!D535,""),"")</f>
        <v/>
      </c>
      <c r="B535" s="60" t="str">
        <f t="shared" si="122"/>
        <v/>
      </c>
      <c r="C535" s="974"/>
      <c r="D535" s="974"/>
      <c r="E535" s="974"/>
      <c r="F535" s="975"/>
      <c r="G535" s="976"/>
      <c r="H535" s="305"/>
      <c r="I535" s="383"/>
      <c r="J535" s="977"/>
      <c r="K535" s="383"/>
      <c r="L535" s="390"/>
      <c r="M535" s="978"/>
      <c r="N535" s="979"/>
      <c r="O535" s="979"/>
      <c r="P535" s="79" t="str">
        <f>IF(AND('331-CT'!$E$7=TH!H535,OR(N535="331",O535="331")),"x","")</f>
        <v/>
      </c>
      <c r="Q535" s="79" t="str">
        <f>IF(AND(B535='111'!$L$11,OR($N535=$Q$7,$O535=$Q$7)),"x","")</f>
        <v/>
      </c>
      <c r="R535" s="79" t="str">
        <f>IF(AND($N535=$Q$7,$B535&lt;'111'!$L$11),"x","")</f>
        <v/>
      </c>
      <c r="S535" s="79" t="str">
        <f>IF(AND($O535=$Q$7,$B535&lt;'111'!$L$11),"x","")</f>
        <v/>
      </c>
      <c r="T535" s="79" t="str">
        <f>IF(ISERROR(FIND('112'!$M$9,G535,1)),"",IF((AND(FIND('112'!$M$9,G535,1)&gt;=1,B535='112'!$K$9,OR($N535='112'!$I$6,$O535='112'!$I$6))),"x",""))</f>
        <v/>
      </c>
      <c r="U535" s="79" t="str">
        <f>IF(ISERROR(FIND('112'!$M$9,G535,1)),"",IF((AND(LEFT(G535,2)=LEFT('112'!$M$9,2),B535&lt;'112'!$K$9,$N535='112'!$I$6)),"x",""))</f>
        <v/>
      </c>
      <c r="V535" s="79" t="str">
        <f>IF(ISERROR(FIND('112'!$M$9,G535,1)),"",IF((AND(RIGHT(G535,2)=RIGHT('112'!$M$9,2),B535&lt;'112'!$K$9,$O535='112'!$I$6)),"x",""))</f>
        <v/>
      </c>
      <c r="W535" s="79" t="str">
        <f>IF(AND('341-CT'!$H$9=H535,OR(LEFT(N535,3)=$W$7,LEFT(O535,3)=$W$7)),"x","")</f>
        <v/>
      </c>
      <c r="X535" s="79" t="str">
        <f>IF(OR(TH!N535=TH!$X$7,O535=TH!$X$7),"x","")</f>
        <v/>
      </c>
      <c r="Y535" s="79" t="str">
        <f>IF(AND(OR(N535="131",O535="131"),H535='131-CT'!$H$9),"x","")</f>
        <v/>
      </c>
      <c r="Z535" s="79"/>
      <c r="AA535" s="79" t="str">
        <f>IF(AND(MONTH(E535)='IN-NX'!$J$5,'IN-NX'!$D$7=D535),"x","")</f>
        <v/>
      </c>
      <c r="AB535" s="79" t="str">
        <f>IF(AND(OR(LEFT(TH!N535,2)="15",LEFT(TH!O535,2)="15"),LEFT(TH!O535,3)&lt;&gt;"111",'152-CT'!$J$8=TH!F535),"x","")</f>
        <v/>
      </c>
      <c r="AC535" s="79" t="str">
        <f>IF(AND(OR(LEFT(TH!N535,2)="15",LEFT(TH!O535,2)="15"),TK!$E$7=TH!F535),"x","")</f>
        <v/>
      </c>
      <c r="AD535" s="79" t="str">
        <f>IF(AND(N535="1521",MONTH(C535)='BK-NL'!$M$11),"x","")</f>
        <v/>
      </c>
    </row>
    <row r="536" spans="1:30" ht="16.5" customHeight="1">
      <c r="A536" s="318" t="str">
        <f>IF(B536&lt;&gt;"",IF(AND(B536='IN-TC'!$S$4,OR(TH!N536="1111",TH!O536="1111")),TH!D536,""),"")</f>
        <v/>
      </c>
      <c r="B536" s="60" t="str">
        <f t="shared" si="122"/>
        <v/>
      </c>
      <c r="C536" s="974"/>
      <c r="D536" s="974"/>
      <c r="E536" s="974"/>
      <c r="F536" s="975"/>
      <c r="G536" s="976"/>
      <c r="H536" s="305"/>
      <c r="I536" s="383"/>
      <c r="J536" s="977"/>
      <c r="K536" s="383"/>
      <c r="L536" s="390"/>
      <c r="M536" s="978"/>
      <c r="N536" s="979"/>
      <c r="O536" s="979"/>
      <c r="P536" s="79" t="str">
        <f>IF(AND('331-CT'!$E$7=TH!H536,OR(N536="331",O536="331")),"x","")</f>
        <v/>
      </c>
      <c r="Q536" s="79" t="str">
        <f>IF(AND(B536='111'!$L$11,OR($N536=$Q$7,$O536=$Q$7)),"x","")</f>
        <v/>
      </c>
      <c r="R536" s="79" t="str">
        <f>IF(AND($N536=$Q$7,$B536&lt;'111'!$L$11),"x","")</f>
        <v/>
      </c>
      <c r="S536" s="79" t="str">
        <f>IF(AND($O536=$Q$7,$B536&lt;'111'!$L$11),"x","")</f>
        <v/>
      </c>
      <c r="T536" s="79" t="str">
        <f>IF(ISERROR(FIND('112'!$M$9,G536,1)),"",IF((AND(FIND('112'!$M$9,G536,1)&gt;=1,B536='112'!$K$9,OR($N536='112'!$I$6,$O536='112'!$I$6))),"x",""))</f>
        <v/>
      </c>
      <c r="U536" s="79" t="str">
        <f>IF(ISERROR(FIND('112'!$M$9,G536,1)),"",IF((AND(LEFT(G536,2)=LEFT('112'!$M$9,2),B536&lt;'112'!$K$9,$N536='112'!$I$6)),"x",""))</f>
        <v/>
      </c>
      <c r="V536" s="79" t="str">
        <f>IF(ISERROR(FIND('112'!$M$9,G536,1)),"",IF((AND(RIGHT(G536,2)=RIGHT('112'!$M$9,2),B536&lt;'112'!$K$9,$O536='112'!$I$6)),"x",""))</f>
        <v/>
      </c>
      <c r="W536" s="79" t="str">
        <f>IF(AND('341-CT'!$H$9=H536,OR(LEFT(N536,3)=$W$7,LEFT(O536,3)=$W$7)),"x","")</f>
        <v/>
      </c>
      <c r="X536" s="79" t="str">
        <f>IF(OR(TH!N536=TH!$X$7,O536=TH!$X$7),"x","")</f>
        <v/>
      </c>
      <c r="Y536" s="79" t="str">
        <f>IF(AND(OR(N536="131",O536="131"),H536='131-CT'!$H$9),"x","")</f>
        <v/>
      </c>
      <c r="Z536" s="79"/>
      <c r="AA536" s="79" t="str">
        <f>IF(AND(MONTH(E536)='IN-NX'!$J$5,'IN-NX'!$D$7=D536),"x","")</f>
        <v/>
      </c>
      <c r="AB536" s="79" t="str">
        <f>IF(AND(OR(LEFT(TH!N536,2)="15",LEFT(TH!O536,2)="15"),LEFT(TH!O536,3)&lt;&gt;"111",'152-CT'!$J$8=TH!F536),"x","")</f>
        <v/>
      </c>
      <c r="AC536" s="79" t="str">
        <f>IF(AND(OR(LEFT(TH!N536,2)="15",LEFT(TH!O536,2)="15"),TK!$E$7=TH!F536),"x","")</f>
        <v/>
      </c>
      <c r="AD536" s="79" t="str">
        <f>IF(AND(N536="1521",MONTH(C536)='BK-NL'!$M$11),"x","")</f>
        <v/>
      </c>
    </row>
    <row r="537" spans="1:30" ht="16.5" customHeight="1">
      <c r="A537" s="318" t="str">
        <f>IF(B537&lt;&gt;"",IF(AND(B537='IN-TC'!$S$4,OR(TH!N537="1111",TH!O537="1111")),TH!D537,""),"")</f>
        <v/>
      </c>
      <c r="B537" s="60" t="str">
        <f t="shared" si="122"/>
        <v/>
      </c>
      <c r="C537" s="974"/>
      <c r="D537" s="974"/>
      <c r="E537" s="974"/>
      <c r="F537" s="975"/>
      <c r="G537" s="976"/>
      <c r="H537" s="759"/>
      <c r="I537" s="383"/>
      <c r="J537" s="977"/>
      <c r="K537" s="383"/>
      <c r="L537" s="390"/>
      <c r="M537" s="978"/>
      <c r="N537" s="979"/>
      <c r="O537" s="979"/>
      <c r="P537" s="79" t="str">
        <f>IF(AND('331-CT'!$E$7=TH!H537,OR(N537="331",O537="331")),"x","")</f>
        <v/>
      </c>
      <c r="Q537" s="79" t="str">
        <f>IF(AND(B537='111'!$L$11,OR($N537=$Q$7,$O537=$Q$7)),"x","")</f>
        <v/>
      </c>
      <c r="R537" s="79" t="str">
        <f>IF(AND($N537=$Q$7,$B537&lt;'111'!$L$11),"x","")</f>
        <v/>
      </c>
      <c r="S537" s="79" t="str">
        <f>IF(AND($O537=$Q$7,$B537&lt;'111'!$L$11),"x","")</f>
        <v/>
      </c>
      <c r="T537" s="79" t="str">
        <f>IF(ISERROR(FIND('112'!$M$9,G537,1)),"",IF((AND(FIND('112'!$M$9,G537,1)&gt;=1,B537='112'!$K$9,OR($N537='112'!$I$6,$O537='112'!$I$6))),"x",""))</f>
        <v/>
      </c>
      <c r="U537" s="79" t="str">
        <f>IF(ISERROR(FIND('112'!$M$9,G537,1)),"",IF((AND(LEFT(G537,2)=LEFT('112'!$M$9,2),B537&lt;'112'!$K$9,$N537='112'!$I$6)),"x",""))</f>
        <v/>
      </c>
      <c r="V537" s="79" t="str">
        <f>IF(ISERROR(FIND('112'!$M$9,G537,1)),"",IF((AND(RIGHT(G537,2)=RIGHT('112'!$M$9,2),B537&lt;'112'!$K$9,$O537='112'!$I$6)),"x",""))</f>
        <v/>
      </c>
      <c r="W537" s="79" t="str">
        <f>IF(AND('341-CT'!$H$9=H537,OR(LEFT(N537,3)=$W$7,LEFT(O537,3)=$W$7)),"x","")</f>
        <v/>
      </c>
      <c r="X537" s="79" t="str">
        <f>IF(OR(TH!N537=TH!$X$7,O537=TH!$X$7),"x","")</f>
        <v/>
      </c>
      <c r="Y537" s="79" t="str">
        <f>IF(AND(OR(N537="131",O537="131"),H537='131-CT'!$H$9),"x","")</f>
        <v/>
      </c>
      <c r="Z537" s="79"/>
      <c r="AA537" s="79" t="str">
        <f>IF(AND(MONTH(E537)='IN-NX'!$J$5,'IN-NX'!$D$7=D537),"x","")</f>
        <v/>
      </c>
      <c r="AB537" s="79" t="str">
        <f>IF(AND(OR(LEFT(TH!N537,2)="15",LEFT(TH!O537,2)="15"),LEFT(TH!O537,3)&lt;&gt;"111",'152-CT'!$J$8=TH!F537),"x","")</f>
        <v/>
      </c>
      <c r="AC537" s="79" t="str">
        <f>IF(AND(OR(LEFT(TH!N537,2)="15",LEFT(TH!O537,2)="15"),TK!$E$7=TH!F537),"x","")</f>
        <v/>
      </c>
      <c r="AD537" s="79" t="str">
        <f>IF(AND(N537="1521",MONTH(C537)='BK-NL'!$M$11),"x","")</f>
        <v/>
      </c>
    </row>
    <row r="538" spans="1:30" ht="16.5" customHeight="1">
      <c r="A538" s="318" t="str">
        <f>IF(B538&lt;&gt;"",IF(AND(B538='IN-TC'!$S$4,OR(TH!N538="1111",TH!O538="1111")),TH!D538,""),"")</f>
        <v/>
      </c>
      <c r="B538" s="60" t="str">
        <f t="shared" si="122"/>
        <v/>
      </c>
      <c r="C538" s="974"/>
      <c r="D538" s="974"/>
      <c r="E538" s="974"/>
      <c r="F538" s="975"/>
      <c r="G538" s="976"/>
      <c r="H538" s="759"/>
      <c r="I538" s="383"/>
      <c r="J538" s="977"/>
      <c r="K538" s="383"/>
      <c r="L538" s="390"/>
      <c r="M538" s="978"/>
      <c r="N538" s="979"/>
      <c r="O538" s="979"/>
      <c r="P538" s="79" t="str">
        <f>IF(AND('331-CT'!$E$7=TH!H538,OR(N538="331",O538="331")),"x","")</f>
        <v/>
      </c>
      <c r="Q538" s="79" t="str">
        <f>IF(AND(B538='111'!$L$11,OR($N538=$Q$7,$O538=$Q$7)),"x","")</f>
        <v/>
      </c>
      <c r="R538" s="79" t="str">
        <f>IF(AND($N538=$Q$7,$B538&lt;'111'!$L$11),"x","")</f>
        <v/>
      </c>
      <c r="S538" s="79" t="str">
        <f>IF(AND($O538=$Q$7,$B538&lt;'111'!$L$11),"x","")</f>
        <v/>
      </c>
      <c r="T538" s="79" t="str">
        <f>IF(ISERROR(FIND('112'!$M$9,G538,1)),"",IF((AND(FIND('112'!$M$9,G538,1)&gt;=1,B538='112'!$K$9,OR($N538='112'!$I$6,$O538='112'!$I$6))),"x",""))</f>
        <v/>
      </c>
      <c r="U538" s="79" t="str">
        <f>IF(ISERROR(FIND('112'!$M$9,G538,1)),"",IF((AND(LEFT(G538,2)=LEFT('112'!$M$9,2),B538&lt;'112'!$K$9,$N538='112'!$I$6)),"x",""))</f>
        <v/>
      </c>
      <c r="V538" s="79" t="str">
        <f>IF(ISERROR(FIND('112'!$M$9,G538,1)),"",IF((AND(RIGHT(G538,2)=RIGHT('112'!$M$9,2),B538&lt;'112'!$K$9,$O538='112'!$I$6)),"x",""))</f>
        <v/>
      </c>
      <c r="W538" s="79" t="str">
        <f>IF(AND('341-CT'!$H$9=H538,OR(LEFT(N538,3)=$W$7,LEFT(O538,3)=$W$7)),"x","")</f>
        <v/>
      </c>
      <c r="X538" s="79" t="str">
        <f>IF(OR(TH!N538=TH!$X$7,O538=TH!$X$7),"x","")</f>
        <v/>
      </c>
      <c r="Y538" s="79" t="str">
        <f>IF(AND(OR(N538="131",O538="131"),H538='131-CT'!$H$9),"x","")</f>
        <v/>
      </c>
      <c r="Z538" s="79"/>
      <c r="AA538" s="79" t="str">
        <f>IF(AND(MONTH(E538)='IN-NX'!$J$5,'IN-NX'!$D$7=D538),"x","")</f>
        <v/>
      </c>
      <c r="AB538" s="79" t="str">
        <f>IF(AND(OR(LEFT(TH!N538,2)="15",LEFT(TH!O538,2)="15"),LEFT(TH!O538,3)&lt;&gt;"111",'152-CT'!$J$8=TH!F538),"x","")</f>
        <v/>
      </c>
      <c r="AC538" s="79" t="str">
        <f>IF(AND(OR(LEFT(TH!N538,2)="15",LEFT(TH!O538,2)="15"),TK!$E$7=TH!F538),"x","")</f>
        <v/>
      </c>
      <c r="AD538" s="79" t="str">
        <f>IF(AND(N538="1521",MONTH(C538)='BK-NL'!$M$11),"x","")</f>
        <v/>
      </c>
    </row>
    <row r="539" spans="1:30" ht="16.5" customHeight="1">
      <c r="A539" s="318" t="str">
        <f>IF(B539&lt;&gt;"",IF(AND(B539='IN-TC'!$S$4,OR(TH!N539="1111",TH!O539="1111")),TH!D539,""),"")</f>
        <v/>
      </c>
      <c r="B539" s="60" t="str">
        <f t="shared" si="122"/>
        <v/>
      </c>
      <c r="C539" s="974"/>
      <c r="D539" s="974"/>
      <c r="E539" s="974"/>
      <c r="F539" s="975"/>
      <c r="G539" s="976"/>
      <c r="H539" s="759"/>
      <c r="I539" s="383"/>
      <c r="J539" s="977"/>
      <c r="K539" s="383"/>
      <c r="L539" s="390"/>
      <c r="M539" s="978"/>
      <c r="N539" s="979"/>
      <c r="O539" s="979"/>
      <c r="P539" s="79" t="str">
        <f>IF(AND('331-CT'!$E$7=TH!H539,OR(N539="331",O539="331")),"x","")</f>
        <v/>
      </c>
      <c r="Q539" s="79" t="str">
        <f>IF(AND(B539='111'!$L$11,OR($N539=$Q$7,$O539=$Q$7)),"x","")</f>
        <v/>
      </c>
      <c r="R539" s="79" t="str">
        <f>IF(AND($N539=$Q$7,$B539&lt;'111'!$L$11),"x","")</f>
        <v/>
      </c>
      <c r="S539" s="79" t="str">
        <f>IF(AND($O539=$Q$7,$B539&lt;'111'!$L$11),"x","")</f>
        <v/>
      </c>
      <c r="T539" s="79" t="str">
        <f>IF(ISERROR(FIND('112'!$M$9,G539,1)),"",IF((AND(FIND('112'!$M$9,G539,1)&gt;=1,B539='112'!$K$9,OR($N539='112'!$I$6,$O539='112'!$I$6))),"x",""))</f>
        <v/>
      </c>
      <c r="U539" s="79" t="str">
        <f>IF(ISERROR(FIND('112'!$M$9,G539,1)),"",IF((AND(LEFT(G539,2)=LEFT('112'!$M$9,2),B539&lt;'112'!$K$9,$N539='112'!$I$6)),"x",""))</f>
        <v/>
      </c>
      <c r="V539" s="79" t="str">
        <f>IF(ISERROR(FIND('112'!$M$9,G539,1)),"",IF((AND(RIGHT(G539,2)=RIGHT('112'!$M$9,2),B539&lt;'112'!$K$9,$O539='112'!$I$6)),"x",""))</f>
        <v/>
      </c>
      <c r="W539" s="79" t="str">
        <f>IF(AND('341-CT'!$H$9=H539,OR(LEFT(N539,3)=$W$7,LEFT(O539,3)=$W$7)),"x","")</f>
        <v/>
      </c>
      <c r="X539" s="79" t="str">
        <f>IF(OR(TH!N539=TH!$X$7,O539=TH!$X$7),"x","")</f>
        <v/>
      </c>
      <c r="Y539" s="79" t="str">
        <f>IF(AND(OR(N539="131",O539="131"),H539='131-CT'!$H$9),"x","")</f>
        <v/>
      </c>
      <c r="Z539" s="79"/>
      <c r="AA539" s="79" t="str">
        <f>IF(AND(MONTH(E539)='IN-NX'!$J$5,'IN-NX'!$D$7=D539),"x","")</f>
        <v/>
      </c>
      <c r="AB539" s="79" t="str">
        <f>IF(AND(OR(LEFT(TH!N539,2)="15",LEFT(TH!O539,2)="15"),LEFT(TH!O539,3)&lt;&gt;"111",'152-CT'!$J$8=TH!F539),"x","")</f>
        <v/>
      </c>
      <c r="AC539" s="79" t="str">
        <f>IF(AND(OR(LEFT(TH!N539,2)="15",LEFT(TH!O539,2)="15"),TK!$E$7=TH!F539),"x","")</f>
        <v/>
      </c>
      <c r="AD539" s="79" t="str">
        <f>IF(AND(N539="1521",MONTH(C539)='BK-NL'!$M$11),"x","")</f>
        <v/>
      </c>
    </row>
    <row r="540" spans="1:30" ht="16.5" customHeight="1">
      <c r="A540" s="318" t="str">
        <f>IF(B540&lt;&gt;"",IF(AND(B540='IN-TC'!$S$4,OR(TH!N540="1111",TH!O540="1111")),TH!D540,""),"")</f>
        <v/>
      </c>
      <c r="B540" s="60" t="str">
        <f t="shared" si="122"/>
        <v/>
      </c>
      <c r="C540" s="974"/>
      <c r="D540" s="974"/>
      <c r="E540" s="974"/>
      <c r="F540" s="975"/>
      <c r="G540" s="976"/>
      <c r="H540" s="759"/>
      <c r="I540" s="383"/>
      <c r="J540" s="977"/>
      <c r="K540" s="383"/>
      <c r="L540" s="390"/>
      <c r="M540" s="978"/>
      <c r="N540" s="979"/>
      <c r="O540" s="979"/>
      <c r="P540" s="79" t="str">
        <f>IF(AND('331-CT'!$E$7=TH!H540,OR(N540="331",O540="331")),"x","")</f>
        <v/>
      </c>
      <c r="Q540" s="79" t="str">
        <f>IF(AND(B540='111'!$L$11,OR($N540=$Q$7,$O540=$Q$7)),"x","")</f>
        <v/>
      </c>
      <c r="R540" s="79" t="str">
        <f>IF(AND($N540=$Q$7,$B540&lt;'111'!$L$11),"x","")</f>
        <v/>
      </c>
      <c r="S540" s="79" t="str">
        <f>IF(AND($O540=$Q$7,$B540&lt;'111'!$L$11),"x","")</f>
        <v/>
      </c>
      <c r="T540" s="79" t="str">
        <f>IF(ISERROR(FIND('112'!$M$9,G540,1)),"",IF((AND(FIND('112'!$M$9,G540,1)&gt;=1,B540='112'!$K$9,OR($N540='112'!$I$6,$O540='112'!$I$6))),"x",""))</f>
        <v/>
      </c>
      <c r="U540" s="79" t="str">
        <f>IF(ISERROR(FIND('112'!$M$9,G540,1)),"",IF((AND(LEFT(G540,2)=LEFT('112'!$M$9,2),B540&lt;'112'!$K$9,$N540='112'!$I$6)),"x",""))</f>
        <v/>
      </c>
      <c r="V540" s="79" t="str">
        <f>IF(ISERROR(FIND('112'!$M$9,G540,1)),"",IF((AND(RIGHT(G540,2)=RIGHT('112'!$M$9,2),B540&lt;'112'!$K$9,$O540='112'!$I$6)),"x",""))</f>
        <v/>
      </c>
      <c r="W540" s="79" t="str">
        <f>IF(AND('341-CT'!$H$9=H540,OR(LEFT(N540,3)=$W$7,LEFT(O540,3)=$W$7)),"x","")</f>
        <v/>
      </c>
      <c r="X540" s="79" t="str">
        <f>IF(OR(TH!N540=TH!$X$7,O540=TH!$X$7),"x","")</f>
        <v/>
      </c>
      <c r="Y540" s="79" t="str">
        <f>IF(AND(OR(N540="131",O540="131"),H540='131-CT'!$H$9),"x","")</f>
        <v/>
      </c>
      <c r="Z540" s="79"/>
      <c r="AA540" s="79" t="str">
        <f>IF(AND(MONTH(E540)='IN-NX'!$J$5,'IN-NX'!$D$7=D540),"x","")</f>
        <v/>
      </c>
      <c r="AB540" s="79" t="str">
        <f>IF(AND(OR(LEFT(TH!N540,2)="15",LEFT(TH!O540,2)="15"),LEFT(TH!O540,3)&lt;&gt;"111",'152-CT'!$J$8=TH!F540),"x","")</f>
        <v/>
      </c>
      <c r="AC540" s="79" t="str">
        <f>IF(AND(OR(LEFT(TH!N540,2)="15",LEFT(TH!O540,2)="15"),TK!$E$7=TH!F540),"x","")</f>
        <v/>
      </c>
      <c r="AD540" s="79" t="str">
        <f>IF(AND(N540="1521",MONTH(C540)='BK-NL'!$M$11),"x","")</f>
        <v/>
      </c>
    </row>
    <row r="541" spans="1:30" ht="16.5" customHeight="1">
      <c r="A541" s="318" t="str">
        <f>IF(B541&lt;&gt;"",IF(AND(B541='IN-TC'!$S$4,OR(TH!N541="1111",TH!O541="1111")),TH!D541,""),"")</f>
        <v/>
      </c>
      <c r="B541" s="60" t="str">
        <f t="shared" si="122"/>
        <v/>
      </c>
      <c r="C541" s="974"/>
      <c r="D541" s="974"/>
      <c r="E541" s="974"/>
      <c r="F541" s="975"/>
      <c r="G541" s="976"/>
      <c r="H541" s="759"/>
      <c r="I541" s="383"/>
      <c r="J541" s="977"/>
      <c r="K541" s="383"/>
      <c r="L541" s="390"/>
      <c r="M541" s="978"/>
      <c r="N541" s="979"/>
      <c r="O541" s="979"/>
      <c r="P541" s="79" t="str">
        <f>IF(AND('331-CT'!$E$7=TH!H541,OR(N541="331",O541="331")),"x","")</f>
        <v/>
      </c>
      <c r="Q541" s="79" t="str">
        <f>IF(AND(B541='111'!$L$11,OR($N541=$Q$7,$O541=$Q$7)),"x","")</f>
        <v/>
      </c>
      <c r="R541" s="79" t="str">
        <f>IF(AND($N541=$Q$7,$B541&lt;'111'!$L$11),"x","")</f>
        <v/>
      </c>
      <c r="S541" s="79" t="str">
        <f>IF(AND($O541=$Q$7,$B541&lt;'111'!$L$11),"x","")</f>
        <v/>
      </c>
      <c r="T541" s="79" t="str">
        <f>IF(ISERROR(FIND('112'!$M$9,G541,1)),"",IF((AND(FIND('112'!$M$9,G541,1)&gt;=1,B541='112'!$K$9,OR($N541='112'!$I$6,$O541='112'!$I$6))),"x",""))</f>
        <v/>
      </c>
      <c r="U541" s="79" t="str">
        <f>IF(ISERROR(FIND('112'!$M$9,G541,1)),"",IF((AND(LEFT(G541,2)=LEFT('112'!$M$9,2),B541&lt;'112'!$K$9,$N541='112'!$I$6)),"x",""))</f>
        <v/>
      </c>
      <c r="V541" s="79" t="str">
        <f>IF(ISERROR(FIND('112'!$M$9,G541,1)),"",IF((AND(RIGHT(G541,2)=RIGHT('112'!$M$9,2),B541&lt;'112'!$K$9,$O541='112'!$I$6)),"x",""))</f>
        <v/>
      </c>
      <c r="W541" s="79" t="str">
        <f>IF(AND('341-CT'!$H$9=H541,OR(LEFT(N541,3)=$W$7,LEFT(O541,3)=$W$7)),"x","")</f>
        <v/>
      </c>
      <c r="X541" s="79" t="str">
        <f>IF(OR(TH!N541=TH!$X$7,O541=TH!$X$7),"x","")</f>
        <v/>
      </c>
      <c r="Y541" s="79" t="str">
        <f>IF(AND(OR(N541="131",O541="131"),H541='131-CT'!$H$9),"x","")</f>
        <v/>
      </c>
      <c r="Z541" s="79"/>
      <c r="AA541" s="79" t="str">
        <f>IF(AND(MONTH(E541)='IN-NX'!$J$5,'IN-NX'!$D$7=D541),"x","")</f>
        <v/>
      </c>
      <c r="AB541" s="79" t="str">
        <f>IF(AND(OR(LEFT(TH!N541,2)="15",LEFT(TH!O541,2)="15"),LEFT(TH!O541,3)&lt;&gt;"111",'152-CT'!$J$8=TH!F541),"x","")</f>
        <v/>
      </c>
      <c r="AC541" s="79" t="str">
        <f>IF(AND(OR(LEFT(TH!N541,2)="15",LEFT(TH!O541,2)="15"),TK!$E$7=TH!F541),"x","")</f>
        <v/>
      </c>
      <c r="AD541" s="79" t="str">
        <f>IF(AND(N541="1521",MONTH(C541)='BK-NL'!$M$11),"x","")</f>
        <v/>
      </c>
    </row>
    <row r="542" spans="1:30" ht="16.5" customHeight="1">
      <c r="A542" s="318" t="str">
        <f>IF(B542&lt;&gt;"",IF(AND(B542='IN-TC'!$S$4,OR(TH!N542="1111",TH!O542="1111")),TH!D542,""),"")</f>
        <v/>
      </c>
      <c r="B542" s="60" t="str">
        <f t="shared" si="122"/>
        <v/>
      </c>
      <c r="C542" s="974"/>
      <c r="D542" s="974"/>
      <c r="E542" s="974"/>
      <c r="F542" s="975"/>
      <c r="G542" s="976"/>
      <c r="H542" s="759"/>
      <c r="I542" s="383"/>
      <c r="J542" s="977"/>
      <c r="K542" s="383"/>
      <c r="L542" s="390"/>
      <c r="M542" s="978"/>
      <c r="N542" s="979"/>
      <c r="O542" s="979"/>
      <c r="P542" s="79" t="str">
        <f>IF(AND('331-CT'!$E$7=TH!H542,OR(N542="331",O542="331")),"x","")</f>
        <v/>
      </c>
      <c r="Q542" s="79" t="str">
        <f>IF(AND(B542='111'!$L$11,OR($N542=$Q$7,$O542=$Q$7)),"x","")</f>
        <v/>
      </c>
      <c r="R542" s="79" t="str">
        <f>IF(AND($N542=$Q$7,$B542&lt;'111'!$L$11),"x","")</f>
        <v/>
      </c>
      <c r="S542" s="79" t="str">
        <f>IF(AND($O542=$Q$7,$B542&lt;'111'!$L$11),"x","")</f>
        <v/>
      </c>
      <c r="T542" s="79" t="str">
        <f>IF(ISERROR(FIND('112'!$M$9,G542,1)),"",IF((AND(FIND('112'!$M$9,G542,1)&gt;=1,B542='112'!$K$9,OR($N542='112'!$I$6,$O542='112'!$I$6))),"x",""))</f>
        <v/>
      </c>
      <c r="U542" s="79" t="str">
        <f>IF(ISERROR(FIND('112'!$M$9,G542,1)),"",IF((AND(LEFT(G542,2)=LEFT('112'!$M$9,2),B542&lt;'112'!$K$9,$N542='112'!$I$6)),"x",""))</f>
        <v/>
      </c>
      <c r="V542" s="79" t="str">
        <f>IF(ISERROR(FIND('112'!$M$9,G542,1)),"",IF((AND(RIGHT(G542,2)=RIGHT('112'!$M$9,2),B542&lt;'112'!$K$9,$O542='112'!$I$6)),"x",""))</f>
        <v/>
      </c>
      <c r="W542" s="79" t="str">
        <f>IF(AND('341-CT'!$H$9=H542,OR(LEFT(N542,3)=$W$7,LEFT(O542,3)=$W$7)),"x","")</f>
        <v/>
      </c>
      <c r="X542" s="79" t="str">
        <f>IF(OR(TH!N542=TH!$X$7,O542=TH!$X$7),"x","")</f>
        <v/>
      </c>
      <c r="Y542" s="79" t="str">
        <f>IF(AND(OR(N542="131",O542="131"),H542='131-CT'!$H$9),"x","")</f>
        <v/>
      </c>
      <c r="Z542" s="79"/>
      <c r="AA542" s="79" t="str">
        <f>IF(AND(MONTH(E542)='IN-NX'!$J$5,'IN-NX'!$D$7=D542),"x","")</f>
        <v/>
      </c>
      <c r="AB542" s="79" t="str">
        <f>IF(AND(OR(LEFT(TH!N542,2)="15",LEFT(TH!O542,2)="15"),LEFT(TH!O542,3)&lt;&gt;"111",'152-CT'!$J$8=TH!F542),"x","")</f>
        <v/>
      </c>
      <c r="AC542" s="79" t="str">
        <f>IF(AND(OR(LEFT(TH!N542,2)="15",LEFT(TH!O542,2)="15"),TK!$E$7=TH!F542),"x","")</f>
        <v/>
      </c>
      <c r="AD542" s="79" t="str">
        <f>IF(AND(N542="1521",MONTH(C542)='BK-NL'!$M$11),"x","")</f>
        <v/>
      </c>
    </row>
    <row r="543" spans="1:30" ht="16.5" customHeight="1">
      <c r="A543" s="318" t="str">
        <f>IF(B543&lt;&gt;"",IF(AND(B543='IN-TC'!$S$4,OR(TH!N543="1111",TH!O543="1111")),TH!D543,""),"")</f>
        <v/>
      </c>
      <c r="B543" s="60" t="str">
        <f t="shared" si="122"/>
        <v/>
      </c>
      <c r="C543" s="974"/>
      <c r="D543" s="974"/>
      <c r="E543" s="974"/>
      <c r="F543" s="975"/>
      <c r="G543" s="976"/>
      <c r="H543" s="77"/>
      <c r="I543" s="383"/>
      <c r="J543" s="977"/>
      <c r="K543" s="383"/>
      <c r="L543" s="390"/>
      <c r="M543" s="978"/>
      <c r="N543" s="979"/>
      <c r="O543" s="979"/>
      <c r="P543" s="79" t="str">
        <f>IF(AND('331-CT'!$E$7=TH!H543,OR(N543="331",O543="331")),"x","")</f>
        <v/>
      </c>
      <c r="Q543" s="79" t="str">
        <f>IF(AND(B543='111'!$L$11,OR($N543=$Q$7,$O543=$Q$7)),"x","")</f>
        <v/>
      </c>
      <c r="R543" s="79" t="str">
        <f>IF(AND($N543=$Q$7,$B543&lt;'111'!$L$11),"x","")</f>
        <v/>
      </c>
      <c r="S543" s="79" t="str">
        <f>IF(AND($O543=$Q$7,$B543&lt;'111'!$L$11),"x","")</f>
        <v/>
      </c>
      <c r="T543" s="79" t="str">
        <f>IF(ISERROR(FIND('112'!$M$9,G543,1)),"",IF((AND(FIND('112'!$M$9,G543,1)&gt;=1,B543='112'!$K$9,OR($N543='112'!$I$6,$O543='112'!$I$6))),"x",""))</f>
        <v/>
      </c>
      <c r="U543" s="79" t="str">
        <f>IF(ISERROR(FIND('112'!$M$9,G543,1)),"",IF((AND(LEFT(G543,2)=LEFT('112'!$M$9,2),B543&lt;'112'!$K$9,$N543='112'!$I$6)),"x",""))</f>
        <v/>
      </c>
      <c r="V543" s="79" t="str">
        <f>IF(ISERROR(FIND('112'!$M$9,G543,1)),"",IF((AND(RIGHT(G543,2)=RIGHT('112'!$M$9,2),B543&lt;'112'!$K$9,$O543='112'!$I$6)),"x",""))</f>
        <v/>
      </c>
      <c r="W543" s="79" t="str">
        <f>IF(AND('341-CT'!$H$9=H543,OR(LEFT(N543,3)=$W$7,LEFT(O543,3)=$W$7)),"x","")</f>
        <v/>
      </c>
      <c r="X543" s="79" t="str">
        <f>IF(OR(TH!N543=TH!$X$7,O543=TH!$X$7),"x","")</f>
        <v/>
      </c>
      <c r="Y543" s="79" t="str">
        <f>IF(AND(OR(N543="131",O543="131"),H543='131-CT'!$H$9),"x","")</f>
        <v/>
      </c>
      <c r="Z543" s="79"/>
      <c r="AA543" s="79" t="str">
        <f>IF(AND(MONTH(E543)='IN-NX'!$J$5,'IN-NX'!$D$7=D543),"x","")</f>
        <v/>
      </c>
      <c r="AB543" s="79" t="str">
        <f>IF(AND(OR(LEFT(TH!N543,2)="15",LEFT(TH!O543,2)="15"),LEFT(TH!O543,3)&lt;&gt;"111",'152-CT'!$J$8=TH!F543),"x","")</f>
        <v/>
      </c>
      <c r="AC543" s="79" t="str">
        <f>IF(AND(OR(LEFT(TH!N543,2)="15",LEFT(TH!O543,2)="15"),TK!$E$7=TH!F543),"x","")</f>
        <v/>
      </c>
      <c r="AD543" s="79" t="str">
        <f>IF(AND(N543="1521",MONTH(C543)='BK-NL'!$M$11),"x","")</f>
        <v/>
      </c>
    </row>
    <row r="544" spans="1:30" ht="16.5" customHeight="1">
      <c r="A544" s="318" t="str">
        <f>IF(B544&lt;&gt;"",IF(AND(B544='IN-TC'!$S$4,OR(TH!N544="1111",TH!O544="1111")),TH!D544,""),"")</f>
        <v/>
      </c>
      <c r="B544" s="60" t="str">
        <f t="shared" si="122"/>
        <v/>
      </c>
      <c r="C544" s="974"/>
      <c r="D544" s="974"/>
      <c r="E544" s="974"/>
      <c r="F544" s="975"/>
      <c r="G544" s="976"/>
      <c r="H544" s="77"/>
      <c r="I544" s="383"/>
      <c r="J544" s="977"/>
      <c r="K544" s="383"/>
      <c r="L544" s="390"/>
      <c r="M544" s="978"/>
      <c r="N544" s="979"/>
      <c r="O544" s="979"/>
      <c r="P544" s="79" t="str">
        <f>IF(AND('331-CT'!$E$7=TH!H544,OR(N544="331",O544="331")),"x","")</f>
        <v/>
      </c>
      <c r="Q544" s="79" t="str">
        <f>IF(AND(B544='111'!$L$11,OR($N544=$Q$7,$O544=$Q$7)),"x","")</f>
        <v/>
      </c>
      <c r="R544" s="79" t="str">
        <f>IF(AND($N544=$Q$7,$B544&lt;'111'!$L$11),"x","")</f>
        <v/>
      </c>
      <c r="S544" s="79" t="str">
        <f>IF(AND($O544=$Q$7,$B544&lt;'111'!$L$11),"x","")</f>
        <v/>
      </c>
      <c r="T544" s="79" t="str">
        <f>IF(ISERROR(FIND('112'!$M$9,G544,1)),"",IF((AND(FIND('112'!$M$9,G544,1)&gt;=1,B544='112'!$K$9,OR($N544='112'!$I$6,$O544='112'!$I$6))),"x",""))</f>
        <v/>
      </c>
      <c r="U544" s="79" t="str">
        <f>IF(ISERROR(FIND('112'!$M$9,G544,1)),"",IF((AND(LEFT(G544,2)=LEFT('112'!$M$9,2),B544&lt;'112'!$K$9,$N544='112'!$I$6)),"x",""))</f>
        <v/>
      </c>
      <c r="V544" s="79" t="str">
        <f>IF(ISERROR(FIND('112'!$M$9,G544,1)),"",IF((AND(RIGHT(G544,2)=RIGHT('112'!$M$9,2),B544&lt;'112'!$K$9,$O544='112'!$I$6)),"x",""))</f>
        <v/>
      </c>
      <c r="W544" s="79" t="str">
        <f>IF(AND('341-CT'!$H$9=H544,OR(LEFT(N544,3)=$W$7,LEFT(O544,3)=$W$7)),"x","")</f>
        <v/>
      </c>
      <c r="X544" s="79" t="str">
        <f>IF(OR(TH!N544=TH!$X$7,O544=TH!$X$7),"x","")</f>
        <v/>
      </c>
      <c r="Y544" s="79" t="str">
        <f>IF(AND(OR(N544="131",O544="131"),H544='131-CT'!$H$9),"x","")</f>
        <v/>
      </c>
      <c r="Z544" s="79"/>
      <c r="AA544" s="79" t="str">
        <f>IF(AND(MONTH(E544)='IN-NX'!$J$5,'IN-NX'!$D$7=D544),"x","")</f>
        <v/>
      </c>
      <c r="AB544" s="79" t="str">
        <f>IF(AND(OR(LEFT(TH!N544,2)="15",LEFT(TH!O544,2)="15"),LEFT(TH!O544,3)&lt;&gt;"111",'152-CT'!$J$8=TH!F544),"x","")</f>
        <v/>
      </c>
      <c r="AC544" s="79" t="str">
        <f>IF(AND(OR(LEFT(TH!N544,2)="15",LEFT(TH!O544,2)="15"),TK!$E$7=TH!F544),"x","")</f>
        <v/>
      </c>
      <c r="AD544" s="79" t="str">
        <f>IF(AND(N544="1521",MONTH(C544)='BK-NL'!$M$11),"x","")</f>
        <v/>
      </c>
    </row>
    <row r="545" spans="1:30" ht="16.5" customHeight="1">
      <c r="A545" s="318" t="str">
        <f>IF(B545&lt;&gt;"",IF(AND(B545='IN-TC'!$S$4,OR(TH!N545="1111",TH!O545="1111")),TH!D545,""),"")</f>
        <v/>
      </c>
      <c r="B545" s="60" t="str">
        <f t="shared" si="122"/>
        <v/>
      </c>
      <c r="C545" s="974"/>
      <c r="D545" s="974"/>
      <c r="E545" s="974"/>
      <c r="F545" s="975"/>
      <c r="G545" s="976"/>
      <c r="H545" s="77"/>
      <c r="I545" s="383"/>
      <c r="J545" s="977"/>
      <c r="K545" s="383"/>
      <c r="L545" s="390"/>
      <c r="M545" s="978"/>
      <c r="N545" s="979"/>
      <c r="O545" s="979"/>
      <c r="P545" s="79" t="str">
        <f>IF(AND('331-CT'!$E$7=TH!H545,OR(N545="331",O545="331")),"x","")</f>
        <v/>
      </c>
      <c r="Q545" s="79" t="str">
        <f>IF(AND(B545='111'!$L$11,OR($N545=$Q$7,$O545=$Q$7)),"x","")</f>
        <v/>
      </c>
      <c r="R545" s="79" t="str">
        <f>IF(AND($N545=$Q$7,$B545&lt;'111'!$L$11),"x","")</f>
        <v/>
      </c>
      <c r="S545" s="79" t="str">
        <f>IF(AND($O545=$Q$7,$B545&lt;'111'!$L$11),"x","")</f>
        <v/>
      </c>
      <c r="T545" s="79" t="str">
        <f>IF(ISERROR(FIND('112'!$M$9,G545,1)),"",IF((AND(FIND('112'!$M$9,G545,1)&gt;=1,B545='112'!$K$9,OR($N545='112'!$I$6,$O545='112'!$I$6))),"x",""))</f>
        <v/>
      </c>
      <c r="U545" s="79" t="str">
        <f>IF(ISERROR(FIND('112'!$M$9,G545,1)),"",IF((AND(LEFT(G545,2)=LEFT('112'!$M$9,2),B545&lt;'112'!$K$9,$N545='112'!$I$6)),"x",""))</f>
        <v/>
      </c>
      <c r="V545" s="79" t="str">
        <f>IF(ISERROR(FIND('112'!$M$9,G545,1)),"",IF((AND(RIGHT(G545,2)=RIGHT('112'!$M$9,2),B545&lt;'112'!$K$9,$O545='112'!$I$6)),"x",""))</f>
        <v/>
      </c>
      <c r="W545" s="79" t="str">
        <f>IF(AND('341-CT'!$H$9=H545,OR(LEFT(N545,3)=$W$7,LEFT(O545,3)=$W$7)),"x","")</f>
        <v/>
      </c>
      <c r="X545" s="79" t="str">
        <f>IF(OR(TH!N545=TH!$X$7,O545=TH!$X$7),"x","")</f>
        <v/>
      </c>
      <c r="Y545" s="79" t="str">
        <f>IF(AND(OR(N545="131",O545="131"),H545='131-CT'!$H$9),"x","")</f>
        <v/>
      </c>
      <c r="Z545" s="79"/>
      <c r="AA545" s="79" t="str">
        <f>IF(AND(MONTH(E545)='IN-NX'!$J$5,'IN-NX'!$D$7=D545),"x","")</f>
        <v/>
      </c>
      <c r="AB545" s="79" t="str">
        <f>IF(AND(OR(LEFT(TH!N545,2)="15",LEFT(TH!O545,2)="15"),LEFT(TH!O545,3)&lt;&gt;"111",'152-CT'!$J$8=TH!F545),"x","")</f>
        <v/>
      </c>
      <c r="AC545" s="79" t="str">
        <f>IF(AND(OR(LEFT(TH!N545,2)="15",LEFT(TH!O545,2)="15"),TK!$E$7=TH!F545),"x","")</f>
        <v/>
      </c>
      <c r="AD545" s="79" t="str">
        <f>IF(AND(N545="1521",MONTH(C545)='BK-NL'!$M$11),"x","")</f>
        <v/>
      </c>
    </row>
    <row r="546" spans="1:30" ht="16.5" customHeight="1">
      <c r="A546" s="318" t="str">
        <f>IF(B546&lt;&gt;"",IF(AND(B546='IN-TC'!$S$4,OR(TH!N546="1111",TH!O546="1111")),TH!D546,""),"")</f>
        <v/>
      </c>
      <c r="B546" s="60" t="str">
        <f t="shared" si="122"/>
        <v/>
      </c>
      <c r="C546" s="974"/>
      <c r="D546" s="974"/>
      <c r="E546" s="974"/>
      <c r="F546" s="975"/>
      <c r="G546" s="976"/>
      <c r="H546" s="77"/>
      <c r="I546" s="383"/>
      <c r="J546" s="977"/>
      <c r="K546" s="383"/>
      <c r="L546" s="390"/>
      <c r="M546" s="978"/>
      <c r="N546" s="979"/>
      <c r="O546" s="979"/>
      <c r="P546" s="79" t="str">
        <f>IF(AND('331-CT'!$E$7=TH!H546,OR(N546="331",O546="331")),"x","")</f>
        <v/>
      </c>
      <c r="Q546" s="79" t="str">
        <f>IF(AND(B546='111'!$L$11,OR($N546=$Q$7,$O546=$Q$7)),"x","")</f>
        <v/>
      </c>
      <c r="R546" s="79" t="str">
        <f>IF(AND($N546=$Q$7,$B546&lt;'111'!$L$11),"x","")</f>
        <v/>
      </c>
      <c r="S546" s="79" t="str">
        <f>IF(AND($O546=$Q$7,$B546&lt;'111'!$L$11),"x","")</f>
        <v/>
      </c>
      <c r="T546" s="79" t="str">
        <f>IF(ISERROR(FIND('112'!$M$9,G546,1)),"",IF((AND(FIND('112'!$M$9,G546,1)&gt;=1,B546='112'!$K$9,OR($N546='112'!$I$6,$O546='112'!$I$6))),"x",""))</f>
        <v/>
      </c>
      <c r="U546" s="79" t="str">
        <f>IF(ISERROR(FIND('112'!$M$9,G546,1)),"",IF((AND(LEFT(G546,2)=LEFT('112'!$M$9,2),B546&lt;'112'!$K$9,$N546='112'!$I$6)),"x",""))</f>
        <v/>
      </c>
      <c r="V546" s="79" t="str">
        <f>IF(ISERROR(FIND('112'!$M$9,G546,1)),"",IF((AND(RIGHT(G546,2)=RIGHT('112'!$M$9,2),B546&lt;'112'!$K$9,$O546='112'!$I$6)),"x",""))</f>
        <v/>
      </c>
      <c r="W546" s="79" t="str">
        <f>IF(AND('341-CT'!$H$9=H546,OR(LEFT(N546,3)=$W$7,LEFT(O546,3)=$W$7)),"x","")</f>
        <v/>
      </c>
      <c r="X546" s="79" t="str">
        <f>IF(OR(TH!N546=TH!$X$7,O546=TH!$X$7),"x","")</f>
        <v/>
      </c>
      <c r="Y546" s="79" t="str">
        <f>IF(AND(OR(N546="131",O546="131"),H546='131-CT'!$H$9),"x","")</f>
        <v/>
      </c>
      <c r="Z546" s="79"/>
      <c r="AA546" s="79" t="str">
        <f>IF(AND(MONTH(E546)='IN-NX'!$J$5,'IN-NX'!$D$7=D546),"x","")</f>
        <v/>
      </c>
      <c r="AB546" s="79" t="str">
        <f>IF(AND(OR(LEFT(TH!N546,2)="15",LEFT(TH!O546,2)="15"),LEFT(TH!O546,3)&lt;&gt;"111",'152-CT'!$J$8=TH!F546),"x","")</f>
        <v/>
      </c>
      <c r="AC546" s="79" t="str">
        <f>IF(AND(OR(LEFT(TH!N546,2)="15",LEFT(TH!O546,2)="15"),TK!$E$7=TH!F546),"x","")</f>
        <v/>
      </c>
      <c r="AD546" s="79" t="str">
        <f>IF(AND(N546="1521",MONTH(C546)='BK-NL'!$M$11),"x","")</f>
        <v/>
      </c>
    </row>
    <row r="547" spans="1:30" ht="16.5" customHeight="1">
      <c r="A547" s="318" t="str">
        <f>IF(B547&lt;&gt;"",IF(AND(B547='IN-TC'!$S$4,OR(TH!N547="1111",TH!O547="1111")),TH!D547,""),"")</f>
        <v/>
      </c>
      <c r="B547" s="60" t="str">
        <f t="shared" si="122"/>
        <v/>
      </c>
      <c r="C547" s="974"/>
      <c r="D547" s="974"/>
      <c r="E547" s="974"/>
      <c r="F547" s="975"/>
      <c r="G547" s="976"/>
      <c r="H547" s="77"/>
      <c r="I547" s="383"/>
      <c r="J547" s="977"/>
      <c r="K547" s="383"/>
      <c r="L547" s="390"/>
      <c r="M547" s="978"/>
      <c r="N547" s="979"/>
      <c r="O547" s="979"/>
      <c r="P547" s="79" t="str">
        <f>IF(AND('331-CT'!$E$7=TH!H547,OR(N547="331",O547="331")),"x","")</f>
        <v/>
      </c>
      <c r="Q547" s="79" t="str">
        <f>IF(AND(B547='111'!$L$11,OR($N547=$Q$7,$O547=$Q$7)),"x","")</f>
        <v/>
      </c>
      <c r="R547" s="79" t="str">
        <f>IF(AND($N547=$Q$7,$B547&lt;'111'!$L$11),"x","")</f>
        <v/>
      </c>
      <c r="S547" s="79" t="str">
        <f>IF(AND($O547=$Q$7,$B547&lt;'111'!$L$11),"x","")</f>
        <v/>
      </c>
      <c r="T547" s="79" t="str">
        <f>IF(ISERROR(FIND('112'!$M$9,G547,1)),"",IF((AND(FIND('112'!$M$9,G547,1)&gt;=1,B547='112'!$K$9,OR($N547='112'!$I$6,$O547='112'!$I$6))),"x",""))</f>
        <v/>
      </c>
      <c r="U547" s="79" t="str">
        <f>IF(ISERROR(FIND('112'!$M$9,G547,1)),"",IF((AND(LEFT(G547,2)=LEFT('112'!$M$9,2),B547&lt;'112'!$K$9,$N547='112'!$I$6)),"x",""))</f>
        <v/>
      </c>
      <c r="V547" s="79" t="str">
        <f>IF(ISERROR(FIND('112'!$M$9,G547,1)),"",IF((AND(RIGHT(G547,2)=RIGHT('112'!$M$9,2),B547&lt;'112'!$K$9,$O547='112'!$I$6)),"x",""))</f>
        <v/>
      </c>
      <c r="W547" s="79" t="str">
        <f>IF(AND('341-CT'!$H$9=H547,OR(LEFT(N547,3)=$W$7,LEFT(O547,3)=$W$7)),"x","")</f>
        <v/>
      </c>
      <c r="X547" s="79" t="str">
        <f>IF(OR(TH!N547=TH!$X$7,O547=TH!$X$7),"x","")</f>
        <v/>
      </c>
      <c r="Y547" s="79" t="str">
        <f>IF(AND(OR(N547="131",O547="131"),H547='131-CT'!$H$9),"x","")</f>
        <v/>
      </c>
      <c r="Z547" s="79"/>
      <c r="AA547" s="79" t="str">
        <f>IF(AND(MONTH(E547)='IN-NX'!$J$5,'IN-NX'!$D$7=D547),"x","")</f>
        <v/>
      </c>
      <c r="AB547" s="79" t="str">
        <f>IF(AND(OR(LEFT(TH!N547,2)="15",LEFT(TH!O547,2)="15"),LEFT(TH!O547,3)&lt;&gt;"111",'152-CT'!$J$8=TH!F547),"x","")</f>
        <v/>
      </c>
      <c r="AC547" s="79" t="str">
        <f>IF(AND(OR(LEFT(TH!N547,2)="15",LEFT(TH!O547,2)="15"),TK!$E$7=TH!F547),"x","")</f>
        <v/>
      </c>
      <c r="AD547" s="79" t="str">
        <f>IF(AND(N547="1521",MONTH(C547)='BK-NL'!$M$11),"x","")</f>
        <v/>
      </c>
    </row>
    <row r="548" spans="1:30" ht="16.5" customHeight="1">
      <c r="A548" s="318" t="str">
        <f>IF(B548&lt;&gt;"",IF(AND(B548='IN-TC'!$S$4,OR(TH!N548="1111",TH!O548="1111")),TH!D548,""),"")</f>
        <v/>
      </c>
      <c r="B548" s="60" t="str">
        <f t="shared" si="122"/>
        <v/>
      </c>
      <c r="C548" s="974"/>
      <c r="D548" s="974"/>
      <c r="E548" s="974"/>
      <c r="F548" s="975"/>
      <c r="G548" s="976"/>
      <c r="H548" s="77"/>
      <c r="I548" s="383"/>
      <c r="J548" s="977"/>
      <c r="K548" s="383"/>
      <c r="L548" s="390"/>
      <c r="M548" s="978"/>
      <c r="N548" s="979"/>
      <c r="O548" s="979"/>
      <c r="P548" s="79" t="str">
        <f>IF(AND('331-CT'!$E$7=TH!H548,OR(N548="331",O548="331")),"x","")</f>
        <v/>
      </c>
      <c r="Q548" s="79" t="str">
        <f>IF(AND(B548='111'!$L$11,OR($N548=$Q$7,$O548=$Q$7)),"x","")</f>
        <v/>
      </c>
      <c r="R548" s="79" t="str">
        <f>IF(AND($N548=$Q$7,$B548&lt;'111'!$L$11),"x","")</f>
        <v/>
      </c>
      <c r="S548" s="79" t="str">
        <f>IF(AND($O548=$Q$7,$B548&lt;'111'!$L$11),"x","")</f>
        <v/>
      </c>
      <c r="T548" s="79" t="str">
        <f>IF(ISERROR(FIND('112'!$M$9,G548,1)),"",IF((AND(FIND('112'!$M$9,G548,1)&gt;=1,B548='112'!$K$9,OR($N548='112'!$I$6,$O548='112'!$I$6))),"x",""))</f>
        <v/>
      </c>
      <c r="U548" s="79" t="str">
        <f>IF(ISERROR(FIND('112'!$M$9,G548,1)),"",IF((AND(LEFT(G548,2)=LEFT('112'!$M$9,2),B548&lt;'112'!$K$9,$N548='112'!$I$6)),"x",""))</f>
        <v/>
      </c>
      <c r="V548" s="79" t="str">
        <f>IF(ISERROR(FIND('112'!$M$9,G548,1)),"",IF((AND(RIGHT(G548,2)=RIGHT('112'!$M$9,2),B548&lt;'112'!$K$9,$O548='112'!$I$6)),"x",""))</f>
        <v/>
      </c>
      <c r="W548" s="79" t="str">
        <f>IF(AND('341-CT'!$H$9=H548,OR(LEFT(N548,3)=$W$7,LEFT(O548,3)=$W$7)),"x","")</f>
        <v/>
      </c>
      <c r="X548" s="79" t="str">
        <f>IF(OR(TH!N548=TH!$X$7,O548=TH!$X$7),"x","")</f>
        <v/>
      </c>
      <c r="Y548" s="79" t="str">
        <f>IF(AND(OR(N548="131",O548="131"),H548='131-CT'!$H$9),"x","")</f>
        <v/>
      </c>
      <c r="Z548" s="79"/>
      <c r="AA548" s="79" t="str">
        <f>IF(AND(MONTH(E548)='IN-NX'!$J$5,'IN-NX'!$D$7=D548),"x","")</f>
        <v/>
      </c>
      <c r="AB548" s="79" t="str">
        <f>IF(AND(OR(LEFT(TH!N548,2)="15",LEFT(TH!O548,2)="15"),LEFT(TH!O548,3)&lt;&gt;"111",'152-CT'!$J$8=TH!F548),"x","")</f>
        <v/>
      </c>
      <c r="AC548" s="79" t="str">
        <f>IF(AND(OR(LEFT(TH!N548,2)="15",LEFT(TH!O548,2)="15"),TK!$E$7=TH!F548),"x","")</f>
        <v/>
      </c>
      <c r="AD548" s="79" t="str">
        <f>IF(AND(N548="1521",MONTH(C548)='BK-NL'!$M$11),"x","")</f>
        <v/>
      </c>
    </row>
    <row r="549" spans="1:30" ht="16.5" customHeight="1">
      <c r="A549" s="318" t="str">
        <f>IF(B549&lt;&gt;"",IF(AND(B549='IN-TC'!$S$4,OR(TH!N549="1111",TH!O549="1111")),TH!D549,""),"")</f>
        <v/>
      </c>
      <c r="B549" s="60" t="str">
        <f t="shared" si="122"/>
        <v/>
      </c>
      <c r="C549" s="974"/>
      <c r="D549" s="974"/>
      <c r="E549" s="974"/>
      <c r="F549" s="975"/>
      <c r="G549" s="976"/>
      <c r="H549" s="77"/>
      <c r="I549" s="383"/>
      <c r="J549" s="977"/>
      <c r="K549" s="383"/>
      <c r="L549" s="390"/>
      <c r="M549" s="978"/>
      <c r="N549" s="979"/>
      <c r="O549" s="979"/>
      <c r="P549" s="79" t="str">
        <f>IF(AND('331-CT'!$E$7=TH!H549,OR(N549="331",O549="331")),"x","")</f>
        <v/>
      </c>
      <c r="Q549" s="79" t="str">
        <f>IF(AND(B549='111'!$L$11,OR($N549=$Q$7,$O549=$Q$7)),"x","")</f>
        <v/>
      </c>
      <c r="R549" s="79" t="str">
        <f>IF(AND($N549=$Q$7,$B549&lt;'111'!$L$11),"x","")</f>
        <v/>
      </c>
      <c r="S549" s="79" t="str">
        <f>IF(AND($O549=$Q$7,$B549&lt;'111'!$L$11),"x","")</f>
        <v/>
      </c>
      <c r="T549" s="79" t="str">
        <f>IF(ISERROR(FIND('112'!$M$9,G549,1)),"",IF((AND(FIND('112'!$M$9,G549,1)&gt;=1,B549='112'!$K$9,OR($N549='112'!$I$6,$O549='112'!$I$6))),"x",""))</f>
        <v/>
      </c>
      <c r="U549" s="79" t="str">
        <f>IF(ISERROR(FIND('112'!$M$9,G549,1)),"",IF((AND(LEFT(G549,2)=LEFT('112'!$M$9,2),B549&lt;'112'!$K$9,$N549='112'!$I$6)),"x",""))</f>
        <v/>
      </c>
      <c r="V549" s="79" t="str">
        <f>IF(ISERROR(FIND('112'!$M$9,G549,1)),"",IF((AND(RIGHT(G549,2)=RIGHT('112'!$M$9,2),B549&lt;'112'!$K$9,$O549='112'!$I$6)),"x",""))</f>
        <v/>
      </c>
      <c r="W549" s="79" t="str">
        <f>IF(AND('341-CT'!$H$9=H549,OR(LEFT(N549,3)=$W$7,LEFT(O549,3)=$W$7)),"x","")</f>
        <v/>
      </c>
      <c r="X549" s="79" t="str">
        <f>IF(OR(TH!N549=TH!$X$7,O549=TH!$X$7),"x","")</f>
        <v/>
      </c>
      <c r="Y549" s="79" t="str">
        <f>IF(AND(OR(N549="131",O549="131"),H549='131-CT'!$H$9),"x","")</f>
        <v/>
      </c>
      <c r="Z549" s="79"/>
      <c r="AA549" s="79" t="str">
        <f>IF(AND(MONTH(E549)='IN-NX'!$J$5,'IN-NX'!$D$7=D549),"x","")</f>
        <v/>
      </c>
      <c r="AB549" s="79" t="str">
        <f>IF(AND(OR(LEFT(TH!N549,2)="15",LEFT(TH!O549,2)="15"),LEFT(TH!O549,3)&lt;&gt;"111",'152-CT'!$J$8=TH!F549),"x","")</f>
        <v/>
      </c>
      <c r="AC549" s="79" t="str">
        <f>IF(AND(OR(LEFT(TH!N549,2)="15",LEFT(TH!O549,2)="15"),TK!$E$7=TH!F549),"x","")</f>
        <v/>
      </c>
      <c r="AD549" s="79" t="str">
        <f>IF(AND(N549="1521",MONTH(C549)='BK-NL'!$M$11),"x","")</f>
        <v/>
      </c>
    </row>
    <row r="550" spans="1:30" ht="16.5" customHeight="1">
      <c r="A550" s="318" t="str">
        <f>IF(B550&lt;&gt;"",IF(AND(B550='IN-TC'!$S$4,OR(TH!N550="1111",TH!O550="1111")),TH!D550,""),"")</f>
        <v/>
      </c>
      <c r="B550" s="60" t="str">
        <f t="shared" si="122"/>
        <v/>
      </c>
      <c r="C550" s="974"/>
      <c r="D550" s="974"/>
      <c r="E550" s="974"/>
      <c r="F550" s="975"/>
      <c r="G550" s="976"/>
      <c r="H550" s="77"/>
      <c r="I550" s="383"/>
      <c r="J550" s="977"/>
      <c r="K550" s="383"/>
      <c r="L550" s="390"/>
      <c r="M550" s="978"/>
      <c r="N550" s="979"/>
      <c r="O550" s="979"/>
      <c r="P550" s="79" t="str">
        <f>IF(AND('331-CT'!$E$7=TH!H550,OR(N550="331",O550="331")),"x","")</f>
        <v/>
      </c>
      <c r="Q550" s="79" t="str">
        <f>IF(AND(B550='111'!$L$11,OR($N550=$Q$7,$O550=$Q$7)),"x","")</f>
        <v/>
      </c>
      <c r="R550" s="79" t="str">
        <f>IF(AND($N550=$Q$7,$B550&lt;'111'!$L$11),"x","")</f>
        <v/>
      </c>
      <c r="S550" s="79" t="str">
        <f>IF(AND($O550=$Q$7,$B550&lt;'111'!$L$11),"x","")</f>
        <v/>
      </c>
      <c r="T550" s="79" t="str">
        <f>IF(ISERROR(FIND('112'!$M$9,G550,1)),"",IF((AND(FIND('112'!$M$9,G550,1)&gt;=1,B550='112'!$K$9,OR($N550='112'!$I$6,$O550='112'!$I$6))),"x",""))</f>
        <v/>
      </c>
      <c r="U550" s="79" t="str">
        <f>IF(ISERROR(FIND('112'!$M$9,G550,1)),"",IF((AND(LEFT(G550,2)=LEFT('112'!$M$9,2),B550&lt;'112'!$K$9,$N550='112'!$I$6)),"x",""))</f>
        <v/>
      </c>
      <c r="V550" s="79" t="str">
        <f>IF(ISERROR(FIND('112'!$M$9,G550,1)),"",IF((AND(RIGHT(G550,2)=RIGHT('112'!$M$9,2),B550&lt;'112'!$K$9,$O550='112'!$I$6)),"x",""))</f>
        <v/>
      </c>
      <c r="W550" s="79" t="str">
        <f>IF(AND('341-CT'!$H$9=H550,OR(LEFT(N550,3)=$W$7,LEFT(O550,3)=$W$7)),"x","")</f>
        <v/>
      </c>
      <c r="X550" s="79" t="str">
        <f>IF(OR(TH!N550=TH!$X$7,O550=TH!$X$7),"x","")</f>
        <v/>
      </c>
      <c r="Y550" s="79" t="str">
        <f>IF(AND(OR(N550="131",O550="131"),H550='131-CT'!$H$9),"x","")</f>
        <v/>
      </c>
      <c r="Z550" s="79"/>
      <c r="AA550" s="79" t="str">
        <f>IF(AND(MONTH(E550)='IN-NX'!$J$5,'IN-NX'!$D$7=D550),"x","")</f>
        <v/>
      </c>
      <c r="AB550" s="79" t="str">
        <f>IF(AND(OR(LEFT(TH!N550,2)="15",LEFT(TH!O550,2)="15"),LEFT(TH!O550,3)&lt;&gt;"111",'152-CT'!$J$8=TH!F550),"x","")</f>
        <v/>
      </c>
      <c r="AC550" s="79" t="str">
        <f>IF(AND(OR(LEFT(TH!N550,2)="15",LEFT(TH!O550,2)="15"),TK!$E$7=TH!F550),"x","")</f>
        <v/>
      </c>
      <c r="AD550" s="79" t="str">
        <f>IF(AND(N550="1521",MONTH(C550)='BK-NL'!$M$11),"x","")</f>
        <v/>
      </c>
    </row>
    <row r="551" spans="1:30" ht="16.5" customHeight="1">
      <c r="A551" s="318" t="str">
        <f>IF(B551&lt;&gt;"",IF(AND(B551='IN-TC'!$S$4,OR(TH!N551="1111",TH!O551="1111")),TH!D551,""),"")</f>
        <v/>
      </c>
      <c r="B551" s="60" t="str">
        <f t="shared" si="122"/>
        <v/>
      </c>
      <c r="C551" s="974"/>
      <c r="D551" s="974"/>
      <c r="E551" s="974"/>
      <c r="F551" s="975"/>
      <c r="G551" s="976"/>
      <c r="H551" s="77"/>
      <c r="I551" s="383"/>
      <c r="J551" s="977"/>
      <c r="K551" s="383"/>
      <c r="L551" s="390"/>
      <c r="M551" s="978"/>
      <c r="N551" s="979"/>
      <c r="O551" s="979"/>
      <c r="P551" s="79" t="str">
        <f>IF(AND('331-CT'!$E$7=TH!H551,OR(N551="331",O551="331")),"x","")</f>
        <v/>
      </c>
      <c r="Q551" s="79" t="str">
        <f>IF(AND(B551='111'!$L$11,OR($N551=$Q$7,$O551=$Q$7)),"x","")</f>
        <v/>
      </c>
      <c r="R551" s="79" t="str">
        <f>IF(AND($N551=$Q$7,$B551&lt;'111'!$L$11),"x","")</f>
        <v/>
      </c>
      <c r="S551" s="79" t="str">
        <f>IF(AND($O551=$Q$7,$B551&lt;'111'!$L$11),"x","")</f>
        <v/>
      </c>
      <c r="T551" s="79" t="str">
        <f>IF(ISERROR(FIND('112'!$M$9,G551,1)),"",IF((AND(FIND('112'!$M$9,G551,1)&gt;=1,B551='112'!$K$9,OR($N551='112'!$I$6,$O551='112'!$I$6))),"x",""))</f>
        <v/>
      </c>
      <c r="U551" s="79" t="str">
        <f>IF(ISERROR(FIND('112'!$M$9,G551,1)),"",IF((AND(LEFT(G551,2)=LEFT('112'!$M$9,2),B551&lt;'112'!$K$9,$N551='112'!$I$6)),"x",""))</f>
        <v/>
      </c>
      <c r="V551" s="79" t="str">
        <f>IF(ISERROR(FIND('112'!$M$9,G551,1)),"",IF((AND(RIGHT(G551,2)=RIGHT('112'!$M$9,2),B551&lt;'112'!$K$9,$O551='112'!$I$6)),"x",""))</f>
        <v/>
      </c>
      <c r="W551" s="79" t="str">
        <f>IF(AND('341-CT'!$H$9=H551,OR(LEFT(N551,3)=$W$7,LEFT(O551,3)=$W$7)),"x","")</f>
        <v/>
      </c>
      <c r="X551" s="79" t="str">
        <f>IF(OR(TH!N551=TH!$X$7,O551=TH!$X$7),"x","")</f>
        <v/>
      </c>
      <c r="Y551" s="79" t="str">
        <f>IF(AND(OR(N551="131",O551="131"),H551='131-CT'!$H$9),"x","")</f>
        <v/>
      </c>
      <c r="Z551" s="79"/>
      <c r="AA551" s="79" t="str">
        <f>IF(AND(MONTH(E551)='IN-NX'!$J$5,'IN-NX'!$D$7=D551),"x","")</f>
        <v/>
      </c>
      <c r="AB551" s="79" t="str">
        <f>IF(AND(OR(LEFT(TH!N551,2)="15",LEFT(TH!O551,2)="15"),LEFT(TH!O551,3)&lt;&gt;"111",'152-CT'!$J$8=TH!F551),"x","")</f>
        <v/>
      </c>
      <c r="AC551" s="79" t="str">
        <f>IF(AND(OR(LEFT(TH!N551,2)="15",LEFT(TH!O551,2)="15"),TK!$E$7=TH!F551),"x","")</f>
        <v/>
      </c>
      <c r="AD551" s="79" t="str">
        <f>IF(AND(N551="1521",MONTH(C551)='BK-NL'!$M$11),"x","")</f>
        <v/>
      </c>
    </row>
    <row r="552" spans="1:30" ht="16.5" customHeight="1">
      <c r="A552" s="318" t="str">
        <f>IF(B552&lt;&gt;"",IF(AND(B552='IN-TC'!$S$4,OR(TH!N552="1111",TH!O552="1111")),TH!D552,""),"")</f>
        <v/>
      </c>
      <c r="B552" s="60" t="str">
        <f t="shared" si="122"/>
        <v/>
      </c>
      <c r="C552" s="974"/>
      <c r="D552" s="974"/>
      <c r="E552" s="974"/>
      <c r="F552" s="975"/>
      <c r="G552" s="976"/>
      <c r="H552" s="305"/>
      <c r="I552" s="383"/>
      <c r="J552" s="977"/>
      <c r="K552" s="383"/>
      <c r="L552" s="390"/>
      <c r="M552" s="978"/>
      <c r="N552" s="979"/>
      <c r="O552" s="979"/>
      <c r="P552" s="79" t="str">
        <f>IF(AND('331-CT'!$E$7=TH!H552,OR(N552="331",O552="331")),"x","")</f>
        <v/>
      </c>
      <c r="Q552" s="79" t="str">
        <f>IF(AND(B552='111'!$L$11,OR($N552=$Q$7,$O552=$Q$7)),"x","")</f>
        <v/>
      </c>
      <c r="R552" s="79" t="str">
        <f>IF(AND($N552=$Q$7,$B552&lt;'111'!$L$11),"x","")</f>
        <v/>
      </c>
      <c r="S552" s="79" t="str">
        <f>IF(AND($O552=$Q$7,$B552&lt;'111'!$L$11),"x","")</f>
        <v/>
      </c>
      <c r="T552" s="79" t="str">
        <f>IF(ISERROR(FIND('112'!$M$9,G552,1)),"",IF((AND(FIND('112'!$M$9,G552,1)&gt;=1,B552='112'!$K$9,OR($N552='112'!$I$6,$O552='112'!$I$6))),"x",""))</f>
        <v/>
      </c>
      <c r="U552" s="79" t="str">
        <f>IF(ISERROR(FIND('112'!$M$9,G552,1)),"",IF((AND(LEFT(G552,2)=LEFT('112'!$M$9,2),B552&lt;'112'!$K$9,$N552='112'!$I$6)),"x",""))</f>
        <v/>
      </c>
      <c r="V552" s="79" t="str">
        <f>IF(ISERROR(FIND('112'!$M$9,G552,1)),"",IF((AND(RIGHT(G552,2)=RIGHT('112'!$M$9,2),B552&lt;'112'!$K$9,$O552='112'!$I$6)),"x",""))</f>
        <v/>
      </c>
      <c r="W552" s="79" t="str">
        <f>IF(AND('341-CT'!$H$9=H552,OR(LEFT(N552,3)=$W$7,LEFT(O552,3)=$W$7)),"x","")</f>
        <v/>
      </c>
      <c r="X552" s="79" t="str">
        <f>IF(OR(TH!N552=TH!$X$7,O552=TH!$X$7),"x","")</f>
        <v/>
      </c>
      <c r="Y552" s="79" t="str">
        <f>IF(AND(OR(N552="131",O552="131"),H552='131-CT'!$H$9),"x","")</f>
        <v/>
      </c>
      <c r="Z552" s="79"/>
      <c r="AA552" s="79" t="str">
        <f>IF(AND(MONTH(E552)='IN-NX'!$J$5,'IN-NX'!$D$7=D552),"x","")</f>
        <v/>
      </c>
      <c r="AB552" s="79" t="str">
        <f>IF(AND(OR(LEFT(TH!N552,2)="15",LEFT(TH!O552,2)="15"),LEFT(TH!O552,3)&lt;&gt;"111",'152-CT'!$J$8=TH!F552),"x","")</f>
        <v/>
      </c>
      <c r="AC552" s="79" t="str">
        <f>IF(AND(OR(LEFT(TH!N552,2)="15",LEFT(TH!O552,2)="15"),TK!$E$7=TH!F552),"x","")</f>
        <v/>
      </c>
      <c r="AD552" s="79" t="str">
        <f>IF(AND(N552="1521",MONTH(C552)='BK-NL'!$M$11),"x","")</f>
        <v/>
      </c>
    </row>
    <row r="553" spans="1:30" ht="16.5" customHeight="1">
      <c r="A553" s="318" t="str">
        <f>IF(B553&lt;&gt;"",IF(AND(B553='IN-TC'!$S$4,OR(TH!N553="1111",TH!O553="1111")),TH!D553,""),"")</f>
        <v/>
      </c>
      <c r="B553" s="60" t="str">
        <f t="shared" si="122"/>
        <v/>
      </c>
      <c r="C553" s="974"/>
      <c r="D553" s="974"/>
      <c r="E553" s="974"/>
      <c r="F553" s="975"/>
      <c r="G553" s="976"/>
      <c r="H553" s="305"/>
      <c r="I553" s="383"/>
      <c r="J553" s="977"/>
      <c r="K553" s="383"/>
      <c r="L553" s="390"/>
      <c r="M553" s="978"/>
      <c r="N553" s="979"/>
      <c r="O553" s="979"/>
      <c r="P553" s="79" t="str">
        <f>IF(AND('331-CT'!$E$7=TH!H553,OR(N553="331",O553="331")),"x","")</f>
        <v/>
      </c>
      <c r="Q553" s="79" t="str">
        <f>IF(AND(B553='111'!$L$11,OR($N553=$Q$7,$O553=$Q$7)),"x","")</f>
        <v/>
      </c>
      <c r="R553" s="79" t="str">
        <f>IF(AND($N553=$Q$7,$B553&lt;'111'!$L$11),"x","")</f>
        <v/>
      </c>
      <c r="S553" s="79" t="str">
        <f>IF(AND($O553=$Q$7,$B553&lt;'111'!$L$11),"x","")</f>
        <v/>
      </c>
      <c r="T553" s="79" t="str">
        <f>IF(ISERROR(FIND('112'!$M$9,G553,1)),"",IF((AND(FIND('112'!$M$9,G553,1)&gt;=1,B553='112'!$K$9,OR($N553='112'!$I$6,$O553='112'!$I$6))),"x",""))</f>
        <v/>
      </c>
      <c r="U553" s="79" t="str">
        <f>IF(ISERROR(FIND('112'!$M$9,G553,1)),"",IF((AND(LEFT(G553,2)=LEFT('112'!$M$9,2),B553&lt;'112'!$K$9,$N553='112'!$I$6)),"x",""))</f>
        <v/>
      </c>
      <c r="V553" s="79" t="str">
        <f>IF(ISERROR(FIND('112'!$M$9,G553,1)),"",IF((AND(RIGHT(G553,2)=RIGHT('112'!$M$9,2),B553&lt;'112'!$K$9,$O553='112'!$I$6)),"x",""))</f>
        <v/>
      </c>
      <c r="W553" s="79" t="str">
        <f>IF(AND('341-CT'!$H$9=H553,OR(LEFT(N553,3)=$W$7,LEFT(O553,3)=$W$7)),"x","")</f>
        <v/>
      </c>
      <c r="X553" s="79" t="str">
        <f>IF(OR(TH!N553=TH!$X$7,O553=TH!$X$7),"x","")</f>
        <v/>
      </c>
      <c r="Y553" s="79" t="str">
        <f>IF(AND(OR(N553="131",O553="131"),H553='131-CT'!$H$9),"x","")</f>
        <v/>
      </c>
      <c r="Z553" s="79"/>
      <c r="AA553" s="79" t="str">
        <f>IF(AND(MONTH(E553)='IN-NX'!$J$5,'IN-NX'!$D$7=D553),"x","")</f>
        <v/>
      </c>
      <c r="AB553" s="79" t="str">
        <f>IF(AND(OR(LEFT(TH!N553,2)="15",LEFT(TH!O553,2)="15"),LEFT(TH!O553,3)&lt;&gt;"111",'152-CT'!$J$8=TH!F553),"x","")</f>
        <v/>
      </c>
      <c r="AC553" s="79" t="str">
        <f>IF(AND(OR(LEFT(TH!N553,2)="15",LEFT(TH!O553,2)="15"),TK!$E$7=TH!F553),"x","")</f>
        <v/>
      </c>
      <c r="AD553" s="79" t="str">
        <f>IF(AND(N553="1521",MONTH(C553)='BK-NL'!$M$11),"x","")</f>
        <v/>
      </c>
    </row>
    <row r="554" spans="1:30" ht="16.5" customHeight="1">
      <c r="A554" s="318" t="str">
        <f>IF(B554&lt;&gt;"",IF(AND(B554='IN-TC'!$S$4,OR(TH!N554="1111",TH!O554="1111")),TH!D554,""),"")</f>
        <v/>
      </c>
      <c r="B554" s="60" t="str">
        <f t="shared" si="122"/>
        <v/>
      </c>
      <c r="C554" s="974"/>
      <c r="D554" s="974"/>
      <c r="E554" s="974"/>
      <c r="F554" s="975"/>
      <c r="G554" s="976"/>
      <c r="H554" s="305"/>
      <c r="I554" s="383"/>
      <c r="J554" s="977"/>
      <c r="K554" s="383"/>
      <c r="L554" s="390"/>
      <c r="M554" s="978"/>
      <c r="N554" s="979"/>
      <c r="O554" s="979"/>
      <c r="P554" s="79" t="str">
        <f>IF(AND('331-CT'!$E$7=TH!H554,OR(N554="331",O554="331")),"x","")</f>
        <v/>
      </c>
      <c r="Q554" s="79" t="str">
        <f>IF(AND(B554='111'!$L$11,OR($N554=$Q$7,$O554=$Q$7)),"x","")</f>
        <v/>
      </c>
      <c r="R554" s="79" t="str">
        <f>IF(AND($N554=$Q$7,$B554&lt;'111'!$L$11),"x","")</f>
        <v/>
      </c>
      <c r="S554" s="79" t="str">
        <f>IF(AND($O554=$Q$7,$B554&lt;'111'!$L$11),"x","")</f>
        <v/>
      </c>
      <c r="T554" s="79" t="str">
        <f>IF(ISERROR(FIND('112'!$M$9,G554,1)),"",IF((AND(FIND('112'!$M$9,G554,1)&gt;=1,B554='112'!$K$9,OR($N554='112'!$I$6,$O554='112'!$I$6))),"x",""))</f>
        <v/>
      </c>
      <c r="U554" s="79" t="str">
        <f>IF(ISERROR(FIND('112'!$M$9,G554,1)),"",IF((AND(LEFT(G554,2)=LEFT('112'!$M$9,2),B554&lt;'112'!$K$9,$N554='112'!$I$6)),"x",""))</f>
        <v/>
      </c>
      <c r="V554" s="79" t="str">
        <f>IF(ISERROR(FIND('112'!$M$9,G554,1)),"",IF((AND(RIGHT(G554,2)=RIGHT('112'!$M$9,2),B554&lt;'112'!$K$9,$O554='112'!$I$6)),"x",""))</f>
        <v/>
      </c>
      <c r="W554" s="79" t="str">
        <f>IF(AND('341-CT'!$H$9=H554,OR(LEFT(N554,3)=$W$7,LEFT(O554,3)=$W$7)),"x","")</f>
        <v/>
      </c>
      <c r="X554" s="79" t="str">
        <f>IF(OR(TH!N554=TH!$X$7,O554=TH!$X$7),"x","")</f>
        <v/>
      </c>
      <c r="Y554" s="79" t="str">
        <f>IF(AND(OR(N554="131",O554="131"),H554='131-CT'!$H$9),"x","")</f>
        <v/>
      </c>
      <c r="Z554" s="79"/>
      <c r="AA554" s="79" t="str">
        <f>IF(AND(MONTH(E554)='IN-NX'!$J$5,'IN-NX'!$D$7=D554),"x","")</f>
        <v/>
      </c>
      <c r="AB554" s="79" t="str">
        <f>IF(AND(OR(LEFT(TH!N554,2)="15",LEFT(TH!O554,2)="15"),LEFT(TH!O554,3)&lt;&gt;"111",'152-CT'!$J$8=TH!F554),"x","")</f>
        <v/>
      </c>
      <c r="AC554" s="79" t="str">
        <f>IF(AND(OR(LEFT(TH!N554,2)="15",LEFT(TH!O554,2)="15"),TK!$E$7=TH!F554),"x","")</f>
        <v/>
      </c>
      <c r="AD554" s="79" t="str">
        <f>IF(AND(N554="1521",MONTH(C554)='BK-NL'!$M$11),"x","")</f>
        <v/>
      </c>
    </row>
    <row r="555" spans="1:30" ht="16.5" customHeight="1">
      <c r="A555" s="318" t="str">
        <f>IF(B555&lt;&gt;"",IF(AND(B555='IN-TC'!$S$4,OR(TH!N555="1111",TH!O555="1111")),TH!D555,""),"")</f>
        <v/>
      </c>
      <c r="B555" s="60" t="str">
        <f t="shared" si="122"/>
        <v/>
      </c>
      <c r="C555" s="974"/>
      <c r="D555" s="974"/>
      <c r="E555" s="974"/>
      <c r="F555" s="975"/>
      <c r="G555" s="976"/>
      <c r="H555" s="305"/>
      <c r="I555" s="383"/>
      <c r="J555" s="977"/>
      <c r="K555" s="383"/>
      <c r="L555" s="390"/>
      <c r="M555" s="978"/>
      <c r="N555" s="979"/>
      <c r="O555" s="979"/>
      <c r="P555" s="79" t="str">
        <f>IF(AND('331-CT'!$E$7=TH!H555,OR(N555="331",O555="331")),"x","")</f>
        <v/>
      </c>
      <c r="Q555" s="79" t="str">
        <f>IF(AND(B555='111'!$L$11,OR($N555=$Q$7,$O555=$Q$7)),"x","")</f>
        <v/>
      </c>
      <c r="R555" s="79" t="str">
        <f>IF(AND($N555=$Q$7,$B555&lt;'111'!$L$11),"x","")</f>
        <v/>
      </c>
      <c r="S555" s="79" t="str">
        <f>IF(AND($O555=$Q$7,$B555&lt;'111'!$L$11),"x","")</f>
        <v/>
      </c>
      <c r="T555" s="79" t="str">
        <f>IF(ISERROR(FIND('112'!$M$9,G555,1)),"",IF((AND(FIND('112'!$M$9,G555,1)&gt;=1,B555='112'!$K$9,OR($N555='112'!$I$6,$O555='112'!$I$6))),"x",""))</f>
        <v/>
      </c>
      <c r="U555" s="79" t="str">
        <f>IF(ISERROR(FIND('112'!$M$9,G555,1)),"",IF((AND(LEFT(G555,2)=LEFT('112'!$M$9,2),B555&lt;'112'!$K$9,$N555='112'!$I$6)),"x",""))</f>
        <v/>
      </c>
      <c r="V555" s="79" t="str">
        <f>IF(ISERROR(FIND('112'!$M$9,G555,1)),"",IF((AND(RIGHT(G555,2)=RIGHT('112'!$M$9,2),B555&lt;'112'!$K$9,$O555='112'!$I$6)),"x",""))</f>
        <v/>
      </c>
      <c r="W555" s="79" t="str">
        <f>IF(AND('341-CT'!$H$9=H555,OR(LEFT(N555,3)=$W$7,LEFT(O555,3)=$W$7)),"x","")</f>
        <v/>
      </c>
      <c r="X555" s="79" t="str">
        <f>IF(OR(TH!N555=TH!$X$7,O555=TH!$X$7),"x","")</f>
        <v/>
      </c>
      <c r="Y555" s="79" t="str">
        <f>IF(AND(OR(N555="131",O555="131"),H555='131-CT'!$H$9),"x","")</f>
        <v/>
      </c>
      <c r="Z555" s="79"/>
      <c r="AA555" s="79" t="str">
        <f>IF(AND(MONTH(E555)='IN-NX'!$J$5,'IN-NX'!$D$7=D555),"x","")</f>
        <v/>
      </c>
      <c r="AB555" s="79" t="str">
        <f>IF(AND(OR(LEFT(TH!N555,2)="15",LEFT(TH!O555,2)="15"),LEFT(TH!O555,3)&lt;&gt;"111",'152-CT'!$J$8=TH!F555),"x","")</f>
        <v/>
      </c>
      <c r="AC555" s="79" t="str">
        <f>IF(AND(OR(LEFT(TH!N555,2)="15",LEFT(TH!O555,2)="15"),TK!$E$7=TH!F555),"x","")</f>
        <v/>
      </c>
      <c r="AD555" s="79" t="str">
        <f>IF(AND(N555="1521",MONTH(C555)='BK-NL'!$M$11),"x","")</f>
        <v/>
      </c>
    </row>
    <row r="556" spans="1:30" ht="16.5" customHeight="1">
      <c r="A556" s="318" t="str">
        <f>IF(B556&lt;&gt;"",IF(AND(B556='IN-TC'!$S$4,OR(TH!N556="1111",TH!O556="1111")),TH!D556,""),"")</f>
        <v/>
      </c>
      <c r="B556" s="60" t="str">
        <f t="shared" si="122"/>
        <v/>
      </c>
      <c r="C556" s="974"/>
      <c r="D556" s="974"/>
      <c r="E556" s="974"/>
      <c r="F556" s="975"/>
      <c r="G556" s="976"/>
      <c r="H556" s="305"/>
      <c r="I556" s="383"/>
      <c r="J556" s="977"/>
      <c r="K556" s="383"/>
      <c r="L556" s="390"/>
      <c r="M556" s="978"/>
      <c r="N556" s="979"/>
      <c r="O556" s="979"/>
      <c r="P556" s="79" t="str">
        <f>IF(AND('331-CT'!$E$7=TH!H556,OR(N556="331",O556="331")),"x","")</f>
        <v/>
      </c>
      <c r="Q556" s="79" t="str">
        <f>IF(AND(B556='111'!$L$11,OR($N556=$Q$7,$O556=$Q$7)),"x","")</f>
        <v/>
      </c>
      <c r="R556" s="79" t="str">
        <f>IF(AND($N556=$Q$7,$B556&lt;'111'!$L$11),"x","")</f>
        <v/>
      </c>
      <c r="S556" s="79" t="str">
        <f>IF(AND($O556=$Q$7,$B556&lt;'111'!$L$11),"x","")</f>
        <v/>
      </c>
      <c r="T556" s="79" t="str">
        <f>IF(ISERROR(FIND('112'!$M$9,G556,1)),"",IF((AND(FIND('112'!$M$9,G556,1)&gt;=1,B556='112'!$K$9,OR($N556='112'!$I$6,$O556='112'!$I$6))),"x",""))</f>
        <v/>
      </c>
      <c r="U556" s="79" t="str">
        <f>IF(ISERROR(FIND('112'!$M$9,G556,1)),"",IF((AND(LEFT(G556,2)=LEFT('112'!$M$9,2),B556&lt;'112'!$K$9,$N556='112'!$I$6)),"x",""))</f>
        <v/>
      </c>
      <c r="V556" s="79" t="str">
        <f>IF(ISERROR(FIND('112'!$M$9,G556,1)),"",IF((AND(RIGHT(G556,2)=RIGHT('112'!$M$9,2),B556&lt;'112'!$K$9,$O556='112'!$I$6)),"x",""))</f>
        <v/>
      </c>
      <c r="W556" s="79" t="str">
        <f>IF(AND('341-CT'!$H$9=H556,OR(LEFT(N556,3)=$W$7,LEFT(O556,3)=$W$7)),"x","")</f>
        <v/>
      </c>
      <c r="X556" s="79" t="str">
        <f>IF(OR(TH!N556=TH!$X$7,O556=TH!$X$7),"x","")</f>
        <v/>
      </c>
      <c r="Y556" s="79" t="str">
        <f>IF(AND(OR(N556="131",O556="131"),H556='131-CT'!$H$9),"x","")</f>
        <v/>
      </c>
      <c r="Z556" s="79"/>
      <c r="AA556" s="79" t="str">
        <f>IF(AND(MONTH(E556)='IN-NX'!$J$5,'IN-NX'!$D$7=D556),"x","")</f>
        <v/>
      </c>
      <c r="AB556" s="79" t="str">
        <f>IF(AND(OR(LEFT(TH!N556,2)="15",LEFT(TH!O556,2)="15"),LEFT(TH!O556,3)&lt;&gt;"111",'152-CT'!$J$8=TH!F556),"x","")</f>
        <v/>
      </c>
      <c r="AC556" s="79" t="str">
        <f>IF(AND(OR(LEFT(TH!N556,2)="15",LEFT(TH!O556,2)="15"),TK!$E$7=TH!F556),"x","")</f>
        <v/>
      </c>
      <c r="AD556" s="79" t="str">
        <f>IF(AND(N556="1521",MONTH(C556)='BK-NL'!$M$11),"x","")</f>
        <v/>
      </c>
    </row>
    <row r="557" spans="1:30" ht="16.5" customHeight="1">
      <c r="A557" s="318" t="str">
        <f>IF(B557&lt;&gt;"",IF(AND(B557='IN-TC'!$S$4,OR(TH!N557="1111",TH!O557="1111")),TH!D557,""),"")</f>
        <v/>
      </c>
      <c r="B557" s="60" t="str">
        <f t="shared" si="122"/>
        <v/>
      </c>
      <c r="C557" s="974"/>
      <c r="D557" s="974"/>
      <c r="E557" s="974"/>
      <c r="F557" s="975"/>
      <c r="G557" s="976"/>
      <c r="H557" s="305"/>
      <c r="I557" s="383"/>
      <c r="J557" s="977"/>
      <c r="K557" s="383"/>
      <c r="L557" s="390"/>
      <c r="M557" s="978"/>
      <c r="N557" s="979"/>
      <c r="O557" s="979"/>
      <c r="P557" s="79" t="str">
        <f>IF(AND('331-CT'!$E$7=TH!H557,OR(N557="331",O557="331")),"x","")</f>
        <v/>
      </c>
      <c r="Q557" s="79" t="str">
        <f>IF(AND(B557='111'!$L$11,OR($N557=$Q$7,$O557=$Q$7)),"x","")</f>
        <v/>
      </c>
      <c r="R557" s="79" t="str">
        <f>IF(AND($N557=$Q$7,$B557&lt;'111'!$L$11),"x","")</f>
        <v/>
      </c>
      <c r="S557" s="79" t="str">
        <f>IF(AND($O557=$Q$7,$B557&lt;'111'!$L$11),"x","")</f>
        <v/>
      </c>
      <c r="T557" s="79" t="str">
        <f>IF(ISERROR(FIND('112'!$M$9,G557,1)),"",IF((AND(FIND('112'!$M$9,G557,1)&gt;=1,B557='112'!$K$9,OR($N557='112'!$I$6,$O557='112'!$I$6))),"x",""))</f>
        <v/>
      </c>
      <c r="U557" s="79" t="str">
        <f>IF(ISERROR(FIND('112'!$M$9,G557,1)),"",IF((AND(LEFT(G557,2)=LEFT('112'!$M$9,2),B557&lt;'112'!$K$9,$N557='112'!$I$6)),"x",""))</f>
        <v/>
      </c>
      <c r="V557" s="79" t="str">
        <f>IF(ISERROR(FIND('112'!$M$9,G557,1)),"",IF((AND(RIGHT(G557,2)=RIGHT('112'!$M$9,2),B557&lt;'112'!$K$9,$O557='112'!$I$6)),"x",""))</f>
        <v/>
      </c>
      <c r="W557" s="79" t="str">
        <f>IF(AND('341-CT'!$H$9=H557,OR(LEFT(N557,3)=$W$7,LEFT(O557,3)=$W$7)),"x","")</f>
        <v/>
      </c>
      <c r="X557" s="79" t="str">
        <f>IF(OR(TH!N557=TH!$X$7,O557=TH!$X$7),"x","")</f>
        <v/>
      </c>
      <c r="Y557" s="79" t="str">
        <f>IF(AND(OR(N557="131",O557="131"),H557='131-CT'!$H$9),"x","")</f>
        <v/>
      </c>
      <c r="Z557" s="79"/>
      <c r="AA557" s="79" t="str">
        <f>IF(AND(MONTH(E557)='IN-NX'!$J$5,'IN-NX'!$D$7=D557),"x","")</f>
        <v/>
      </c>
      <c r="AB557" s="79" t="str">
        <f>IF(AND(OR(LEFT(TH!N557,2)="15",LEFT(TH!O557,2)="15"),LEFT(TH!O557,3)&lt;&gt;"111",'152-CT'!$J$8=TH!F557),"x","")</f>
        <v/>
      </c>
      <c r="AC557" s="79" t="str">
        <f>IF(AND(OR(LEFT(TH!N557,2)="15",LEFT(TH!O557,2)="15"),TK!$E$7=TH!F557),"x","")</f>
        <v/>
      </c>
      <c r="AD557" s="79" t="str">
        <f>IF(AND(N557="1521",MONTH(C557)='BK-NL'!$M$11),"x","")</f>
        <v/>
      </c>
    </row>
    <row r="558" spans="1:30" ht="16.5" customHeight="1">
      <c r="A558" s="318" t="str">
        <f>IF(B558&lt;&gt;"",IF(AND(B558='IN-TC'!$S$4,OR(TH!N558="1111",TH!O558="1111")),TH!D558,""),"")</f>
        <v/>
      </c>
      <c r="B558" s="60" t="str">
        <f t="shared" si="122"/>
        <v/>
      </c>
      <c r="C558" s="974"/>
      <c r="D558" s="974"/>
      <c r="E558" s="974"/>
      <c r="F558" s="975"/>
      <c r="G558" s="976"/>
      <c r="H558" s="305"/>
      <c r="I558" s="383"/>
      <c r="J558" s="977"/>
      <c r="K558" s="383"/>
      <c r="L558" s="390"/>
      <c r="M558" s="978"/>
      <c r="N558" s="979"/>
      <c r="O558" s="979"/>
      <c r="P558" s="79" t="str">
        <f>IF(AND('331-CT'!$E$7=TH!H558,OR(N558="331",O558="331")),"x","")</f>
        <v/>
      </c>
      <c r="Q558" s="79" t="str">
        <f>IF(AND(B558='111'!$L$11,OR($N558=$Q$7,$O558=$Q$7)),"x","")</f>
        <v/>
      </c>
      <c r="R558" s="79" t="str">
        <f>IF(AND($N558=$Q$7,$B558&lt;'111'!$L$11),"x","")</f>
        <v/>
      </c>
      <c r="S558" s="79" t="str">
        <f>IF(AND($O558=$Q$7,$B558&lt;'111'!$L$11),"x","")</f>
        <v/>
      </c>
      <c r="T558" s="79" t="str">
        <f>IF(ISERROR(FIND('112'!$M$9,G558,1)),"",IF((AND(FIND('112'!$M$9,G558,1)&gt;=1,B558='112'!$K$9,OR($N558='112'!$I$6,$O558='112'!$I$6))),"x",""))</f>
        <v/>
      </c>
      <c r="U558" s="79" t="str">
        <f>IF(ISERROR(FIND('112'!$M$9,G558,1)),"",IF((AND(LEFT(G558,2)=LEFT('112'!$M$9,2),B558&lt;'112'!$K$9,$N558='112'!$I$6)),"x",""))</f>
        <v/>
      </c>
      <c r="V558" s="79" t="str">
        <f>IF(ISERROR(FIND('112'!$M$9,G558,1)),"",IF((AND(RIGHT(G558,2)=RIGHT('112'!$M$9,2),B558&lt;'112'!$K$9,$O558='112'!$I$6)),"x",""))</f>
        <v/>
      </c>
      <c r="W558" s="79" t="str">
        <f>IF(AND('341-CT'!$H$9=H558,OR(LEFT(N558,3)=$W$7,LEFT(O558,3)=$W$7)),"x","")</f>
        <v/>
      </c>
      <c r="X558" s="79" t="str">
        <f>IF(OR(TH!N558=TH!$X$7,O558=TH!$X$7),"x","")</f>
        <v/>
      </c>
      <c r="Y558" s="79" t="str">
        <f>IF(AND(OR(N558="131",O558="131"),H558='131-CT'!$H$9),"x","")</f>
        <v/>
      </c>
      <c r="Z558" s="79"/>
      <c r="AA558" s="79" t="str">
        <f>IF(AND(MONTH(E558)='IN-NX'!$J$5,'IN-NX'!$D$7=D558),"x","")</f>
        <v/>
      </c>
      <c r="AB558" s="79" t="str">
        <f>IF(AND(OR(LEFT(TH!N558,2)="15",LEFT(TH!O558,2)="15"),LEFT(TH!O558,3)&lt;&gt;"111",'152-CT'!$J$8=TH!F558),"x","")</f>
        <v/>
      </c>
      <c r="AC558" s="79" t="str">
        <f>IF(AND(OR(LEFT(TH!N558,2)="15",LEFT(TH!O558,2)="15"),TK!$E$7=TH!F558),"x","")</f>
        <v/>
      </c>
      <c r="AD558" s="79" t="str">
        <f>IF(AND(N558="1521",MONTH(C558)='BK-NL'!$M$11),"x","")</f>
        <v/>
      </c>
    </row>
    <row r="559" spans="1:30" ht="16.5" customHeight="1">
      <c r="A559" s="318" t="str">
        <f>IF(B559&lt;&gt;"",IF(AND(B559='IN-TC'!$S$4,OR(TH!N559="1111",TH!O559="1111")),TH!D559,""),"")</f>
        <v/>
      </c>
      <c r="B559" s="60" t="str">
        <f t="shared" si="122"/>
        <v/>
      </c>
      <c r="C559" s="974"/>
      <c r="D559" s="974"/>
      <c r="E559" s="974"/>
      <c r="F559" s="975"/>
      <c r="G559" s="976"/>
      <c r="H559" s="305"/>
      <c r="I559" s="383"/>
      <c r="J559" s="977"/>
      <c r="K559" s="383"/>
      <c r="L559" s="390"/>
      <c r="M559" s="978"/>
      <c r="N559" s="979"/>
      <c r="O559" s="979"/>
      <c r="P559" s="79" t="str">
        <f>IF(AND('331-CT'!$E$7=TH!H559,OR(N559="331",O559="331")),"x","")</f>
        <v/>
      </c>
      <c r="Q559" s="79" t="str">
        <f>IF(AND(B559='111'!$L$11,OR($N559=$Q$7,$O559=$Q$7)),"x","")</f>
        <v/>
      </c>
      <c r="R559" s="79" t="str">
        <f>IF(AND($N559=$Q$7,$B559&lt;'111'!$L$11),"x","")</f>
        <v/>
      </c>
      <c r="S559" s="79" t="str">
        <f>IF(AND($O559=$Q$7,$B559&lt;'111'!$L$11),"x","")</f>
        <v/>
      </c>
      <c r="T559" s="79" t="str">
        <f>IF(ISERROR(FIND('112'!$M$9,G559,1)),"",IF((AND(FIND('112'!$M$9,G559,1)&gt;=1,B559='112'!$K$9,OR($N559='112'!$I$6,$O559='112'!$I$6))),"x",""))</f>
        <v/>
      </c>
      <c r="U559" s="79" t="str">
        <f>IF(ISERROR(FIND('112'!$M$9,G559,1)),"",IF((AND(LEFT(G559,2)=LEFT('112'!$M$9,2),B559&lt;'112'!$K$9,$N559='112'!$I$6)),"x",""))</f>
        <v/>
      </c>
      <c r="V559" s="79" t="str">
        <f>IF(ISERROR(FIND('112'!$M$9,G559,1)),"",IF((AND(RIGHT(G559,2)=RIGHT('112'!$M$9,2),B559&lt;'112'!$K$9,$O559='112'!$I$6)),"x",""))</f>
        <v/>
      </c>
      <c r="W559" s="79" t="str">
        <f>IF(AND('341-CT'!$H$9=H559,OR(LEFT(N559,3)=$W$7,LEFT(O559,3)=$W$7)),"x","")</f>
        <v/>
      </c>
      <c r="X559" s="79" t="str">
        <f>IF(OR(TH!N559=TH!$X$7,O559=TH!$X$7),"x","")</f>
        <v/>
      </c>
      <c r="Y559" s="79" t="str">
        <f>IF(AND(OR(N559="131",O559="131"),H559='131-CT'!$H$9),"x","")</f>
        <v/>
      </c>
      <c r="Z559" s="79"/>
      <c r="AA559" s="79" t="str">
        <f>IF(AND(MONTH(E559)='IN-NX'!$J$5,'IN-NX'!$D$7=D559),"x","")</f>
        <v/>
      </c>
      <c r="AB559" s="79" t="str">
        <f>IF(AND(OR(LEFT(TH!N559,2)="15",LEFT(TH!O559,2)="15"),LEFT(TH!O559,3)&lt;&gt;"111",'152-CT'!$J$8=TH!F559),"x","")</f>
        <v/>
      </c>
      <c r="AC559" s="79" t="str">
        <f>IF(AND(OR(LEFT(TH!N559,2)="15",LEFT(TH!O559,2)="15"),TK!$E$7=TH!F559),"x","")</f>
        <v/>
      </c>
      <c r="AD559" s="79" t="str">
        <f>IF(AND(N559="1521",MONTH(C559)='BK-NL'!$M$11),"x","")</f>
        <v/>
      </c>
    </row>
    <row r="560" spans="1:30" ht="16.5" customHeight="1">
      <c r="A560" s="318" t="str">
        <f>IF(B560&lt;&gt;"",IF(AND(B560='IN-TC'!$S$4,OR(TH!N560="1111",TH!O560="1111")),TH!D560,""),"")</f>
        <v/>
      </c>
      <c r="B560" s="60" t="str">
        <f t="shared" si="122"/>
        <v/>
      </c>
      <c r="C560" s="974"/>
      <c r="D560" s="974"/>
      <c r="E560" s="974"/>
      <c r="F560" s="975"/>
      <c r="G560" s="976"/>
      <c r="H560" s="305"/>
      <c r="I560" s="383"/>
      <c r="J560" s="977"/>
      <c r="K560" s="383"/>
      <c r="L560" s="390"/>
      <c r="M560" s="978"/>
      <c r="N560" s="979"/>
      <c r="O560" s="979"/>
      <c r="P560" s="79" t="str">
        <f>IF(AND('331-CT'!$E$7=TH!H560,OR(N560="331",O560="331")),"x","")</f>
        <v/>
      </c>
      <c r="Q560" s="79" t="str">
        <f>IF(AND(B560='111'!$L$11,OR($N560=$Q$7,$O560=$Q$7)),"x","")</f>
        <v/>
      </c>
      <c r="R560" s="79" t="str">
        <f>IF(AND($N560=$Q$7,$B560&lt;'111'!$L$11),"x","")</f>
        <v/>
      </c>
      <c r="S560" s="79" t="str">
        <f>IF(AND($O560=$Q$7,$B560&lt;'111'!$L$11),"x","")</f>
        <v/>
      </c>
      <c r="T560" s="79" t="str">
        <f>IF(ISERROR(FIND('112'!$M$9,G560,1)),"",IF((AND(FIND('112'!$M$9,G560,1)&gt;=1,B560='112'!$K$9,OR($N560='112'!$I$6,$O560='112'!$I$6))),"x",""))</f>
        <v/>
      </c>
      <c r="U560" s="79" t="str">
        <f>IF(ISERROR(FIND('112'!$M$9,G560,1)),"",IF((AND(LEFT(G560,2)=LEFT('112'!$M$9,2),B560&lt;'112'!$K$9,$N560='112'!$I$6)),"x",""))</f>
        <v/>
      </c>
      <c r="V560" s="79" t="str">
        <f>IF(ISERROR(FIND('112'!$M$9,G560,1)),"",IF((AND(RIGHT(G560,2)=RIGHT('112'!$M$9,2),B560&lt;'112'!$K$9,$O560='112'!$I$6)),"x",""))</f>
        <v/>
      </c>
      <c r="W560" s="79" t="str">
        <f>IF(AND('341-CT'!$H$9=H560,OR(LEFT(N560,3)=$W$7,LEFT(O560,3)=$W$7)),"x","")</f>
        <v/>
      </c>
      <c r="X560" s="79" t="str">
        <f>IF(OR(TH!N560=TH!$X$7,O560=TH!$X$7),"x","")</f>
        <v/>
      </c>
      <c r="Y560" s="79" t="str">
        <f>IF(AND(OR(N560="131",O560="131"),H560='131-CT'!$H$9),"x","")</f>
        <v/>
      </c>
      <c r="Z560" s="79"/>
      <c r="AA560" s="79" t="str">
        <f>IF(AND(MONTH(E560)='IN-NX'!$J$5,'IN-NX'!$D$7=D560),"x","")</f>
        <v/>
      </c>
      <c r="AB560" s="79" t="str">
        <f>IF(AND(OR(LEFT(TH!N560,2)="15",LEFT(TH!O560,2)="15"),LEFT(TH!O560,3)&lt;&gt;"111",'152-CT'!$J$8=TH!F560),"x","")</f>
        <v/>
      </c>
      <c r="AC560" s="79" t="str">
        <f>IF(AND(OR(LEFT(TH!N560,2)="15",LEFT(TH!O560,2)="15"),TK!$E$7=TH!F560),"x","")</f>
        <v/>
      </c>
      <c r="AD560" s="79" t="str">
        <f>IF(AND(N560="1521",MONTH(C560)='BK-NL'!$M$11),"x","")</f>
        <v/>
      </c>
    </row>
    <row r="561" spans="1:30" ht="16.5" customHeight="1">
      <c r="A561" s="318" t="str">
        <f>IF(B561&lt;&gt;"",IF(AND(B561='IN-TC'!$S$4,OR(TH!N561="1111",TH!O561="1111")),TH!D561,""),"")</f>
        <v/>
      </c>
      <c r="B561" s="60" t="str">
        <f t="shared" si="122"/>
        <v/>
      </c>
      <c r="C561" s="974"/>
      <c r="D561" s="974"/>
      <c r="E561" s="974"/>
      <c r="F561" s="975"/>
      <c r="G561" s="976"/>
      <c r="H561" s="305"/>
      <c r="I561" s="383"/>
      <c r="J561" s="977"/>
      <c r="K561" s="383"/>
      <c r="L561" s="390"/>
      <c r="M561" s="978"/>
      <c r="N561" s="979"/>
      <c r="O561" s="979"/>
      <c r="P561" s="79" t="str">
        <f>IF(AND('331-CT'!$E$7=TH!H561,OR(N561="331",O561="331")),"x","")</f>
        <v/>
      </c>
      <c r="Q561" s="79" t="str">
        <f>IF(AND(B561='111'!$L$11,OR($N561=$Q$7,$O561=$Q$7)),"x","")</f>
        <v/>
      </c>
      <c r="R561" s="79" t="str">
        <f>IF(AND($N561=$Q$7,$B561&lt;'111'!$L$11),"x","")</f>
        <v/>
      </c>
      <c r="S561" s="79" t="str">
        <f>IF(AND($O561=$Q$7,$B561&lt;'111'!$L$11),"x","")</f>
        <v/>
      </c>
      <c r="T561" s="79" t="str">
        <f>IF(ISERROR(FIND('112'!$M$9,G561,1)),"",IF((AND(FIND('112'!$M$9,G561,1)&gt;=1,B561='112'!$K$9,OR($N561='112'!$I$6,$O561='112'!$I$6))),"x",""))</f>
        <v/>
      </c>
      <c r="U561" s="79" t="str">
        <f>IF(ISERROR(FIND('112'!$M$9,G561,1)),"",IF((AND(LEFT(G561,2)=LEFT('112'!$M$9,2),B561&lt;'112'!$K$9,$N561='112'!$I$6)),"x",""))</f>
        <v/>
      </c>
      <c r="V561" s="79" t="str">
        <f>IF(ISERROR(FIND('112'!$M$9,G561,1)),"",IF((AND(RIGHT(G561,2)=RIGHT('112'!$M$9,2),B561&lt;'112'!$K$9,$O561='112'!$I$6)),"x",""))</f>
        <v/>
      </c>
      <c r="W561" s="79" t="str">
        <f>IF(AND('341-CT'!$H$9=H561,OR(LEFT(N561,3)=$W$7,LEFT(O561,3)=$W$7)),"x","")</f>
        <v/>
      </c>
      <c r="X561" s="79" t="str">
        <f>IF(OR(TH!N561=TH!$X$7,O561=TH!$X$7),"x","")</f>
        <v/>
      </c>
      <c r="Y561" s="79" t="str">
        <f>IF(AND(OR(N561="131",O561="131"),H561='131-CT'!$H$9),"x","")</f>
        <v/>
      </c>
      <c r="Z561" s="79"/>
      <c r="AA561" s="79" t="str">
        <f>IF(AND(MONTH(E561)='IN-NX'!$J$5,'IN-NX'!$D$7=D561),"x","")</f>
        <v/>
      </c>
      <c r="AB561" s="79" t="str">
        <f>IF(AND(OR(LEFT(TH!N561,2)="15",LEFT(TH!O561,2)="15"),LEFT(TH!O561,3)&lt;&gt;"111",'152-CT'!$J$8=TH!F561),"x","")</f>
        <v/>
      </c>
      <c r="AC561" s="79" t="str">
        <f>IF(AND(OR(LEFT(TH!N561,2)="15",LEFT(TH!O561,2)="15"),TK!$E$7=TH!F561),"x","")</f>
        <v/>
      </c>
      <c r="AD561" s="79" t="str">
        <f>IF(AND(N561="1521",MONTH(C561)='BK-NL'!$M$11),"x","")</f>
        <v/>
      </c>
    </row>
    <row r="562" spans="1:30" ht="16.5" customHeight="1">
      <c r="A562" s="318" t="str">
        <f>IF(B562&lt;&gt;"",IF(AND(B562='IN-TC'!$S$4,OR(TH!N562="1111",TH!O562="1111")),TH!D562,""),"")</f>
        <v/>
      </c>
      <c r="B562" s="60" t="str">
        <f t="shared" si="122"/>
        <v/>
      </c>
      <c r="C562" s="974"/>
      <c r="D562" s="974"/>
      <c r="E562" s="974"/>
      <c r="F562" s="975"/>
      <c r="G562" s="976"/>
      <c r="H562" s="305"/>
      <c r="I562" s="383"/>
      <c r="J562" s="977"/>
      <c r="K562" s="383"/>
      <c r="L562" s="390"/>
      <c r="M562" s="978"/>
      <c r="N562" s="979"/>
      <c r="O562" s="979"/>
      <c r="P562" s="79" t="str">
        <f>IF(AND('331-CT'!$E$7=TH!H562,OR(N562="331",O562="331")),"x","")</f>
        <v/>
      </c>
      <c r="Q562" s="79" t="str">
        <f>IF(AND(B562='111'!$L$11,OR($N562=$Q$7,$O562=$Q$7)),"x","")</f>
        <v/>
      </c>
      <c r="R562" s="79" t="str">
        <f>IF(AND($N562=$Q$7,$B562&lt;'111'!$L$11),"x","")</f>
        <v/>
      </c>
      <c r="S562" s="79" t="str">
        <f>IF(AND($O562=$Q$7,$B562&lt;'111'!$L$11),"x","")</f>
        <v/>
      </c>
      <c r="T562" s="79" t="str">
        <f>IF(ISERROR(FIND('112'!$M$9,G562,1)),"",IF((AND(FIND('112'!$M$9,G562,1)&gt;=1,B562='112'!$K$9,OR($N562='112'!$I$6,$O562='112'!$I$6))),"x",""))</f>
        <v/>
      </c>
      <c r="U562" s="79" t="str">
        <f>IF(ISERROR(FIND('112'!$M$9,G562,1)),"",IF((AND(LEFT(G562,2)=LEFT('112'!$M$9,2),B562&lt;'112'!$K$9,$N562='112'!$I$6)),"x",""))</f>
        <v/>
      </c>
      <c r="V562" s="79" t="str">
        <f>IF(ISERROR(FIND('112'!$M$9,G562,1)),"",IF((AND(RIGHT(G562,2)=RIGHT('112'!$M$9,2),B562&lt;'112'!$K$9,$O562='112'!$I$6)),"x",""))</f>
        <v/>
      </c>
      <c r="W562" s="79" t="str">
        <f>IF(AND('341-CT'!$H$9=H562,OR(LEFT(N562,3)=$W$7,LEFT(O562,3)=$W$7)),"x","")</f>
        <v/>
      </c>
      <c r="X562" s="79" t="str">
        <f>IF(OR(TH!N562=TH!$X$7,O562=TH!$X$7),"x","")</f>
        <v/>
      </c>
      <c r="Y562" s="79" t="str">
        <f>IF(AND(OR(N562="131",O562="131"),H562='131-CT'!$H$9),"x","")</f>
        <v/>
      </c>
      <c r="Z562" s="79"/>
      <c r="AA562" s="79" t="str">
        <f>IF(AND(MONTH(E562)='IN-NX'!$J$5,'IN-NX'!$D$7=D562),"x","")</f>
        <v/>
      </c>
      <c r="AB562" s="79" t="str">
        <f>IF(AND(OR(LEFT(TH!N562,2)="15",LEFT(TH!O562,2)="15"),LEFT(TH!O562,3)&lt;&gt;"111",'152-CT'!$J$8=TH!F562),"x","")</f>
        <v/>
      </c>
      <c r="AC562" s="79" t="str">
        <f>IF(AND(OR(LEFT(TH!N562,2)="15",LEFT(TH!O562,2)="15"),TK!$E$7=TH!F562),"x","")</f>
        <v/>
      </c>
      <c r="AD562" s="79" t="str">
        <f>IF(AND(N562="1521",MONTH(C562)='BK-NL'!$M$11),"x","")</f>
        <v/>
      </c>
    </row>
    <row r="563" spans="1:30" ht="16.5" customHeight="1">
      <c r="A563" s="318" t="str">
        <f>IF(B563&lt;&gt;"",IF(AND(B563='IN-TC'!$S$4,OR(TH!N563="1111",TH!O563="1111")),TH!D563,""),"")</f>
        <v/>
      </c>
      <c r="B563" s="60" t="str">
        <f t="shared" si="122"/>
        <v/>
      </c>
      <c r="C563" s="974"/>
      <c r="D563" s="974"/>
      <c r="E563" s="974"/>
      <c r="F563" s="975"/>
      <c r="G563" s="976"/>
      <c r="H563" s="305"/>
      <c r="I563" s="383"/>
      <c r="J563" s="977"/>
      <c r="K563" s="383"/>
      <c r="L563" s="390"/>
      <c r="M563" s="978"/>
      <c r="N563" s="979"/>
      <c r="O563" s="979"/>
      <c r="P563" s="79" t="str">
        <f>IF(AND('331-CT'!$E$7=TH!H563,OR(N563="331",O563="331")),"x","")</f>
        <v/>
      </c>
      <c r="Q563" s="79" t="str">
        <f>IF(AND(B563='111'!$L$11,OR($N563=$Q$7,$O563=$Q$7)),"x","")</f>
        <v/>
      </c>
      <c r="R563" s="79" t="str">
        <f>IF(AND($N563=$Q$7,$B563&lt;'111'!$L$11),"x","")</f>
        <v/>
      </c>
      <c r="S563" s="79" t="str">
        <f>IF(AND($O563=$Q$7,$B563&lt;'111'!$L$11),"x","")</f>
        <v/>
      </c>
      <c r="T563" s="79" t="str">
        <f>IF(ISERROR(FIND('112'!$M$9,G563,1)),"",IF((AND(FIND('112'!$M$9,G563,1)&gt;=1,B563='112'!$K$9,OR($N563='112'!$I$6,$O563='112'!$I$6))),"x",""))</f>
        <v/>
      </c>
      <c r="U563" s="79" t="str">
        <f>IF(ISERROR(FIND('112'!$M$9,G563,1)),"",IF((AND(LEFT(G563,2)=LEFT('112'!$M$9,2),B563&lt;'112'!$K$9,$N563='112'!$I$6)),"x",""))</f>
        <v/>
      </c>
      <c r="V563" s="79" t="str">
        <f>IF(ISERROR(FIND('112'!$M$9,G563,1)),"",IF((AND(RIGHT(G563,2)=RIGHT('112'!$M$9,2),B563&lt;'112'!$K$9,$O563='112'!$I$6)),"x",""))</f>
        <v/>
      </c>
      <c r="W563" s="79" t="str">
        <f>IF(AND('341-CT'!$H$9=H563,OR(LEFT(N563,3)=$W$7,LEFT(O563,3)=$W$7)),"x","")</f>
        <v/>
      </c>
      <c r="X563" s="79" t="str">
        <f>IF(OR(TH!N563=TH!$X$7,O563=TH!$X$7),"x","")</f>
        <v/>
      </c>
      <c r="Y563" s="79" t="str">
        <f>IF(AND(OR(N563="131",O563="131"),H563='131-CT'!$H$9),"x","")</f>
        <v/>
      </c>
      <c r="Z563" s="79"/>
      <c r="AA563" s="79" t="str">
        <f>IF(AND(MONTH(E563)='IN-NX'!$J$5,'IN-NX'!$D$7=D563),"x","")</f>
        <v/>
      </c>
      <c r="AB563" s="79" t="str">
        <f>IF(AND(OR(LEFT(TH!N563,2)="15",LEFT(TH!O563,2)="15"),LEFT(TH!O563,3)&lt;&gt;"111",'152-CT'!$J$8=TH!F563),"x","")</f>
        <v/>
      </c>
      <c r="AC563" s="79" t="str">
        <f>IF(AND(OR(LEFT(TH!N563,2)="15",LEFT(TH!O563,2)="15"),TK!$E$7=TH!F563),"x","")</f>
        <v/>
      </c>
      <c r="AD563" s="79" t="str">
        <f>IF(AND(N563="1521",MONTH(C563)='BK-NL'!$M$11),"x","")</f>
        <v/>
      </c>
    </row>
    <row r="564" spans="1:30" ht="16.5" customHeight="1">
      <c r="A564" s="318" t="str">
        <f>IF(B564&lt;&gt;"",IF(AND(B564='IN-TC'!$S$4,OR(TH!N564="1111",TH!O564="1111")),TH!D564,""),"")</f>
        <v/>
      </c>
      <c r="B564" s="60" t="str">
        <f t="shared" si="122"/>
        <v/>
      </c>
      <c r="C564" s="974"/>
      <c r="D564" s="974"/>
      <c r="E564" s="974"/>
      <c r="F564" s="975"/>
      <c r="G564" s="976"/>
      <c r="H564" s="305"/>
      <c r="I564" s="383"/>
      <c r="J564" s="977"/>
      <c r="K564" s="383"/>
      <c r="L564" s="390"/>
      <c r="M564" s="978"/>
      <c r="N564" s="979"/>
      <c r="O564" s="979"/>
      <c r="P564" s="79" t="str">
        <f>IF(AND('331-CT'!$E$7=TH!H564,OR(N564="331",O564="331")),"x","")</f>
        <v/>
      </c>
      <c r="Q564" s="79" t="str">
        <f>IF(AND(B564='111'!$L$11,OR($N564=$Q$7,$O564=$Q$7)),"x","")</f>
        <v/>
      </c>
      <c r="R564" s="79" t="str">
        <f>IF(AND($N564=$Q$7,$B564&lt;'111'!$L$11),"x","")</f>
        <v/>
      </c>
      <c r="S564" s="79" t="str">
        <f>IF(AND($O564=$Q$7,$B564&lt;'111'!$L$11),"x","")</f>
        <v/>
      </c>
      <c r="T564" s="79" t="str">
        <f>IF(ISERROR(FIND('112'!$M$9,G564,1)),"",IF((AND(FIND('112'!$M$9,G564,1)&gt;=1,B564='112'!$K$9,OR($N564='112'!$I$6,$O564='112'!$I$6))),"x",""))</f>
        <v/>
      </c>
      <c r="U564" s="79" t="str">
        <f>IF(ISERROR(FIND('112'!$M$9,G564,1)),"",IF((AND(LEFT(G564,2)=LEFT('112'!$M$9,2),B564&lt;'112'!$K$9,$N564='112'!$I$6)),"x",""))</f>
        <v/>
      </c>
      <c r="V564" s="79" t="str">
        <f>IF(ISERROR(FIND('112'!$M$9,G564,1)),"",IF((AND(RIGHT(G564,2)=RIGHT('112'!$M$9,2),B564&lt;'112'!$K$9,$O564='112'!$I$6)),"x",""))</f>
        <v/>
      </c>
      <c r="W564" s="79" t="str">
        <f>IF(AND('341-CT'!$H$9=H564,OR(LEFT(N564,3)=$W$7,LEFT(O564,3)=$W$7)),"x","")</f>
        <v/>
      </c>
      <c r="X564" s="79" t="str">
        <f>IF(OR(TH!N564=TH!$X$7,O564=TH!$X$7),"x","")</f>
        <v/>
      </c>
      <c r="Y564" s="79" t="str">
        <f>IF(AND(OR(N564="131",O564="131"),H564='131-CT'!$H$9),"x","")</f>
        <v/>
      </c>
      <c r="Z564" s="79"/>
      <c r="AA564" s="79" t="str">
        <f>IF(AND(MONTH(E564)='IN-NX'!$J$5,'IN-NX'!$D$7=D564),"x","")</f>
        <v/>
      </c>
      <c r="AB564" s="79" t="str">
        <f>IF(AND(OR(LEFT(TH!N564,2)="15",LEFT(TH!O564,2)="15"),LEFT(TH!O564,3)&lt;&gt;"111",'152-CT'!$J$8=TH!F564),"x","")</f>
        <v/>
      </c>
      <c r="AC564" s="79" t="str">
        <f>IF(AND(OR(LEFT(TH!N564,2)="15",LEFT(TH!O564,2)="15"),TK!$E$7=TH!F564),"x","")</f>
        <v/>
      </c>
      <c r="AD564" s="79" t="str">
        <f>IF(AND(N564="1521",MONTH(C564)='BK-NL'!$M$11),"x","")</f>
        <v/>
      </c>
    </row>
    <row r="565" spans="1:30" ht="16.5" customHeight="1">
      <c r="A565" s="318" t="str">
        <f>IF(B565&lt;&gt;"",IF(AND(B565='IN-TC'!$S$4,OR(TH!N565="1111",TH!O565="1111")),TH!D565,""),"")</f>
        <v/>
      </c>
      <c r="B565" s="60" t="str">
        <f t="shared" si="122"/>
        <v/>
      </c>
      <c r="C565" s="974"/>
      <c r="D565" s="974"/>
      <c r="E565" s="974"/>
      <c r="F565" s="975"/>
      <c r="G565" s="976"/>
      <c r="H565" s="305"/>
      <c r="I565" s="383"/>
      <c r="J565" s="977"/>
      <c r="K565" s="383"/>
      <c r="L565" s="390"/>
      <c r="M565" s="978"/>
      <c r="N565" s="979"/>
      <c r="O565" s="979"/>
      <c r="P565" s="79" t="str">
        <f>IF(AND('331-CT'!$E$7=TH!H565,OR(N565="331",O565="331")),"x","")</f>
        <v/>
      </c>
      <c r="Q565" s="79" t="str">
        <f>IF(AND(B565='111'!$L$11,OR($N565=$Q$7,$O565=$Q$7)),"x","")</f>
        <v/>
      </c>
      <c r="R565" s="79" t="str">
        <f>IF(AND($N565=$Q$7,$B565&lt;'111'!$L$11),"x","")</f>
        <v/>
      </c>
      <c r="S565" s="79" t="str">
        <f>IF(AND($O565=$Q$7,$B565&lt;'111'!$L$11),"x","")</f>
        <v/>
      </c>
      <c r="T565" s="79" t="str">
        <f>IF(ISERROR(FIND('112'!$M$9,G565,1)),"",IF((AND(FIND('112'!$M$9,G565,1)&gt;=1,B565='112'!$K$9,OR($N565='112'!$I$6,$O565='112'!$I$6))),"x",""))</f>
        <v/>
      </c>
      <c r="U565" s="79" t="str">
        <f>IF(ISERROR(FIND('112'!$M$9,G565,1)),"",IF((AND(LEFT(G565,2)=LEFT('112'!$M$9,2),B565&lt;'112'!$K$9,$N565='112'!$I$6)),"x",""))</f>
        <v/>
      </c>
      <c r="V565" s="79" t="str">
        <f>IF(ISERROR(FIND('112'!$M$9,G565,1)),"",IF((AND(RIGHT(G565,2)=RIGHT('112'!$M$9,2),B565&lt;'112'!$K$9,$O565='112'!$I$6)),"x",""))</f>
        <v/>
      </c>
      <c r="W565" s="79" t="str">
        <f>IF(AND('341-CT'!$H$9=H565,OR(LEFT(N565,3)=$W$7,LEFT(O565,3)=$W$7)),"x","")</f>
        <v/>
      </c>
      <c r="X565" s="79" t="str">
        <f>IF(OR(TH!N565=TH!$X$7,O565=TH!$X$7),"x","")</f>
        <v/>
      </c>
      <c r="Y565" s="79" t="str">
        <f>IF(AND(OR(N565="131",O565="131"),H565='131-CT'!$H$9),"x","")</f>
        <v/>
      </c>
      <c r="Z565" s="79"/>
      <c r="AA565" s="79" t="str">
        <f>IF(AND(MONTH(E565)='IN-NX'!$J$5,'IN-NX'!$D$7=D565),"x","")</f>
        <v/>
      </c>
      <c r="AB565" s="79" t="str">
        <f>IF(AND(OR(LEFT(TH!N565,2)="15",LEFT(TH!O565,2)="15"),LEFT(TH!O565,3)&lt;&gt;"111",'152-CT'!$J$8=TH!F565),"x","")</f>
        <v/>
      </c>
      <c r="AC565" s="79" t="str">
        <f>IF(AND(OR(LEFT(TH!N565,2)="15",LEFT(TH!O565,2)="15"),TK!$E$7=TH!F565),"x","")</f>
        <v/>
      </c>
      <c r="AD565" s="79" t="str">
        <f>IF(AND(N565="1521",MONTH(C565)='BK-NL'!$M$11),"x","")</f>
        <v/>
      </c>
    </row>
    <row r="566" spans="1:30" ht="16.5" customHeight="1">
      <c r="A566" s="318" t="str">
        <f>IF(B566&lt;&gt;"",IF(AND(B566='IN-TC'!$S$4,OR(TH!N566="1111",TH!O566="1111")),TH!D566,""),"")</f>
        <v/>
      </c>
      <c r="B566" s="60" t="str">
        <f t="shared" si="122"/>
        <v/>
      </c>
      <c r="C566" s="974"/>
      <c r="D566" s="974"/>
      <c r="E566" s="974"/>
      <c r="F566" s="975"/>
      <c r="G566" s="976"/>
      <c r="H566" s="305"/>
      <c r="I566" s="383"/>
      <c r="J566" s="977"/>
      <c r="K566" s="383"/>
      <c r="L566" s="390"/>
      <c r="M566" s="978"/>
      <c r="N566" s="979"/>
      <c r="O566" s="979"/>
      <c r="P566" s="79" t="str">
        <f>IF(AND('331-CT'!$E$7=TH!H566,OR(N566="331",O566="331")),"x","")</f>
        <v/>
      </c>
      <c r="Q566" s="79" t="str">
        <f>IF(AND(B566='111'!$L$11,OR($N566=$Q$7,$O566=$Q$7)),"x","")</f>
        <v/>
      </c>
      <c r="R566" s="79" t="str">
        <f>IF(AND($N566=$Q$7,$B566&lt;'111'!$L$11),"x","")</f>
        <v/>
      </c>
      <c r="S566" s="79" t="str">
        <f>IF(AND($O566=$Q$7,$B566&lt;'111'!$L$11),"x","")</f>
        <v/>
      </c>
      <c r="T566" s="79" t="str">
        <f>IF(ISERROR(FIND('112'!$M$9,G566,1)),"",IF((AND(FIND('112'!$M$9,G566,1)&gt;=1,B566='112'!$K$9,OR($N566='112'!$I$6,$O566='112'!$I$6))),"x",""))</f>
        <v/>
      </c>
      <c r="U566" s="79" t="str">
        <f>IF(ISERROR(FIND('112'!$M$9,G566,1)),"",IF((AND(LEFT(G566,2)=LEFT('112'!$M$9,2),B566&lt;'112'!$K$9,$N566='112'!$I$6)),"x",""))</f>
        <v/>
      </c>
      <c r="V566" s="79" t="str">
        <f>IF(ISERROR(FIND('112'!$M$9,G566,1)),"",IF((AND(RIGHT(G566,2)=RIGHT('112'!$M$9,2),B566&lt;'112'!$K$9,$O566='112'!$I$6)),"x",""))</f>
        <v/>
      </c>
      <c r="W566" s="79" t="str">
        <f>IF(AND('341-CT'!$H$9=H566,OR(LEFT(N566,3)=$W$7,LEFT(O566,3)=$W$7)),"x","")</f>
        <v/>
      </c>
      <c r="X566" s="79" t="str">
        <f>IF(OR(TH!N566=TH!$X$7,O566=TH!$X$7),"x","")</f>
        <v/>
      </c>
      <c r="Y566" s="79" t="str">
        <f>IF(AND(OR(N566="131",O566="131"),H566='131-CT'!$H$9),"x","")</f>
        <v/>
      </c>
      <c r="Z566" s="79"/>
      <c r="AA566" s="79" t="str">
        <f>IF(AND(MONTH(E566)='IN-NX'!$J$5,'IN-NX'!$D$7=D566),"x","")</f>
        <v/>
      </c>
      <c r="AB566" s="79" t="str">
        <f>IF(AND(OR(LEFT(TH!N566,2)="15",LEFT(TH!O566,2)="15"),LEFT(TH!O566,3)&lt;&gt;"111",'152-CT'!$J$8=TH!F566),"x","")</f>
        <v/>
      </c>
      <c r="AC566" s="79" t="str">
        <f>IF(AND(OR(LEFT(TH!N566,2)="15",LEFT(TH!O566,2)="15"),TK!$E$7=TH!F566),"x","")</f>
        <v/>
      </c>
      <c r="AD566" s="79" t="str">
        <f>IF(AND(N566="1521",MONTH(C566)='BK-NL'!$M$11),"x","")</f>
        <v/>
      </c>
    </row>
    <row r="567" spans="1:30" ht="16.5" customHeight="1">
      <c r="A567" s="318" t="str">
        <f>IF(B567&lt;&gt;"",IF(AND(B567='IN-TC'!$S$4,OR(TH!N567="1111",TH!O567="1111")),TH!D567,""),"")</f>
        <v/>
      </c>
      <c r="B567" s="60" t="str">
        <f t="shared" si="122"/>
        <v/>
      </c>
      <c r="C567" s="974"/>
      <c r="D567" s="974"/>
      <c r="E567" s="974"/>
      <c r="F567" s="975"/>
      <c r="G567" s="976"/>
      <c r="H567" s="305"/>
      <c r="I567" s="383"/>
      <c r="J567" s="977"/>
      <c r="K567" s="383"/>
      <c r="L567" s="390"/>
      <c r="M567" s="978"/>
      <c r="N567" s="979"/>
      <c r="O567" s="979"/>
      <c r="P567" s="79" t="str">
        <f>IF(AND('331-CT'!$E$7=TH!H567,OR(N567="331",O567="331")),"x","")</f>
        <v/>
      </c>
      <c r="Q567" s="79" t="str">
        <f>IF(AND(B567='111'!$L$11,OR($N567=$Q$7,$O567=$Q$7)),"x","")</f>
        <v/>
      </c>
      <c r="R567" s="79" t="str">
        <f>IF(AND($N567=$Q$7,$B567&lt;'111'!$L$11),"x","")</f>
        <v/>
      </c>
      <c r="S567" s="79" t="str">
        <f>IF(AND($O567=$Q$7,$B567&lt;'111'!$L$11),"x","")</f>
        <v/>
      </c>
      <c r="T567" s="79" t="str">
        <f>IF(ISERROR(FIND('112'!$M$9,G567,1)),"",IF((AND(FIND('112'!$M$9,G567,1)&gt;=1,B567='112'!$K$9,OR($N567='112'!$I$6,$O567='112'!$I$6))),"x",""))</f>
        <v/>
      </c>
      <c r="U567" s="79" t="str">
        <f>IF(ISERROR(FIND('112'!$M$9,G567,1)),"",IF((AND(LEFT(G567,2)=LEFT('112'!$M$9,2),B567&lt;'112'!$K$9,$N567='112'!$I$6)),"x",""))</f>
        <v/>
      </c>
      <c r="V567" s="79" t="str">
        <f>IF(ISERROR(FIND('112'!$M$9,G567,1)),"",IF((AND(RIGHT(G567,2)=RIGHT('112'!$M$9,2),B567&lt;'112'!$K$9,$O567='112'!$I$6)),"x",""))</f>
        <v/>
      </c>
      <c r="W567" s="79" t="str">
        <f>IF(AND('341-CT'!$H$9=H567,OR(LEFT(N567,3)=$W$7,LEFT(O567,3)=$W$7)),"x","")</f>
        <v/>
      </c>
      <c r="X567" s="79" t="str">
        <f>IF(OR(TH!N567=TH!$X$7,O567=TH!$X$7),"x","")</f>
        <v/>
      </c>
      <c r="Y567" s="79" t="str">
        <f>IF(AND(OR(N567="131",O567="131"),H567='131-CT'!$H$9),"x","")</f>
        <v/>
      </c>
      <c r="Z567" s="79"/>
      <c r="AA567" s="79" t="str">
        <f>IF(AND(MONTH(E567)='IN-NX'!$J$5,'IN-NX'!$D$7=D567),"x","")</f>
        <v/>
      </c>
      <c r="AB567" s="79" t="str">
        <f>IF(AND(OR(LEFT(TH!N567,2)="15",LEFT(TH!O567,2)="15"),LEFT(TH!O567,3)&lt;&gt;"111",'152-CT'!$J$8=TH!F567),"x","")</f>
        <v/>
      </c>
      <c r="AC567" s="79" t="str">
        <f>IF(AND(OR(LEFT(TH!N567,2)="15",LEFT(TH!O567,2)="15"),TK!$E$7=TH!F567),"x","")</f>
        <v/>
      </c>
      <c r="AD567" s="79" t="str">
        <f>IF(AND(N567="1521",MONTH(C567)='BK-NL'!$M$11),"x","")</f>
        <v/>
      </c>
    </row>
    <row r="568" spans="1:30" ht="16.5" customHeight="1">
      <c r="A568" s="318" t="str">
        <f>IF(B568&lt;&gt;"",IF(AND(B568='IN-TC'!$S$4,OR(TH!N568="1111",TH!O568="1111")),TH!D568,""),"")</f>
        <v/>
      </c>
      <c r="B568" s="60" t="str">
        <f t="shared" si="122"/>
        <v/>
      </c>
      <c r="C568" s="974"/>
      <c r="D568" s="974"/>
      <c r="E568" s="974"/>
      <c r="F568" s="975"/>
      <c r="G568" s="976"/>
      <c r="H568" s="305"/>
      <c r="I568" s="383"/>
      <c r="J568" s="977"/>
      <c r="K568" s="383"/>
      <c r="L568" s="390"/>
      <c r="M568" s="978"/>
      <c r="N568" s="979"/>
      <c r="O568" s="979"/>
      <c r="P568" s="79" t="str">
        <f>IF(AND('331-CT'!$E$7=TH!H568,OR(N568="331",O568="331")),"x","")</f>
        <v/>
      </c>
      <c r="Q568" s="79" t="str">
        <f>IF(AND(B568='111'!$L$11,OR($N568=$Q$7,$O568=$Q$7)),"x","")</f>
        <v/>
      </c>
      <c r="R568" s="79" t="str">
        <f>IF(AND($N568=$Q$7,$B568&lt;'111'!$L$11),"x","")</f>
        <v/>
      </c>
      <c r="S568" s="79" t="str">
        <f>IF(AND($O568=$Q$7,$B568&lt;'111'!$L$11),"x","")</f>
        <v/>
      </c>
      <c r="T568" s="79" t="str">
        <f>IF(ISERROR(FIND('112'!$M$9,G568,1)),"",IF((AND(FIND('112'!$M$9,G568,1)&gt;=1,B568='112'!$K$9,OR($N568='112'!$I$6,$O568='112'!$I$6))),"x",""))</f>
        <v/>
      </c>
      <c r="U568" s="79" t="str">
        <f>IF(ISERROR(FIND('112'!$M$9,G568,1)),"",IF((AND(LEFT(G568,2)=LEFT('112'!$M$9,2),B568&lt;'112'!$K$9,$N568='112'!$I$6)),"x",""))</f>
        <v/>
      </c>
      <c r="V568" s="79" t="str">
        <f>IF(ISERROR(FIND('112'!$M$9,G568,1)),"",IF((AND(RIGHT(G568,2)=RIGHT('112'!$M$9,2),B568&lt;'112'!$K$9,$O568='112'!$I$6)),"x",""))</f>
        <v/>
      </c>
      <c r="W568" s="79" t="str">
        <f>IF(AND('341-CT'!$H$9=H568,OR(LEFT(N568,3)=$W$7,LEFT(O568,3)=$W$7)),"x","")</f>
        <v/>
      </c>
      <c r="X568" s="79" t="str">
        <f>IF(OR(TH!N568=TH!$X$7,O568=TH!$X$7),"x","")</f>
        <v/>
      </c>
      <c r="Y568" s="79" t="str">
        <f>IF(AND(OR(N568="131",O568="131"),H568='131-CT'!$H$9),"x","")</f>
        <v/>
      </c>
      <c r="Z568" s="79"/>
      <c r="AA568" s="79" t="str">
        <f>IF(AND(MONTH(E568)='IN-NX'!$J$5,'IN-NX'!$D$7=D568),"x","")</f>
        <v/>
      </c>
      <c r="AB568" s="79" t="str">
        <f>IF(AND(OR(LEFT(TH!N568,2)="15",LEFT(TH!O568,2)="15"),LEFT(TH!O568,3)&lt;&gt;"111",'152-CT'!$J$8=TH!F568),"x","")</f>
        <v/>
      </c>
      <c r="AC568" s="79" t="str">
        <f>IF(AND(OR(LEFT(TH!N568,2)="15",LEFT(TH!O568,2)="15"),TK!$E$7=TH!F568),"x","")</f>
        <v/>
      </c>
      <c r="AD568" s="79" t="str">
        <f>IF(AND(N568="1521",MONTH(C568)='BK-NL'!$M$11),"x","")</f>
        <v/>
      </c>
    </row>
    <row r="569" spans="1:30" ht="16.5" customHeight="1">
      <c r="A569" s="318" t="str">
        <f>IF(B569&lt;&gt;"",IF(AND(B569='IN-TC'!$S$4,OR(TH!N569="1111",TH!O569="1111")),TH!D569,""),"")</f>
        <v/>
      </c>
      <c r="B569" s="60" t="str">
        <f t="shared" si="122"/>
        <v/>
      </c>
      <c r="C569" s="974"/>
      <c r="D569" s="974"/>
      <c r="E569" s="974"/>
      <c r="F569" s="975"/>
      <c r="G569" s="976"/>
      <c r="H569" s="305"/>
      <c r="I569" s="383"/>
      <c r="J569" s="977"/>
      <c r="K569" s="383"/>
      <c r="L569" s="390"/>
      <c r="M569" s="978"/>
      <c r="N569" s="979"/>
      <c r="O569" s="979"/>
      <c r="P569" s="79" t="str">
        <f>IF(AND('331-CT'!$E$7=TH!H569,OR(N569="331",O569="331")),"x","")</f>
        <v/>
      </c>
      <c r="Q569" s="79" t="str">
        <f>IF(AND(B569='111'!$L$11,OR($N569=$Q$7,$O569=$Q$7)),"x","")</f>
        <v/>
      </c>
      <c r="R569" s="79" t="str">
        <f>IF(AND($N569=$Q$7,$B569&lt;'111'!$L$11),"x","")</f>
        <v/>
      </c>
      <c r="S569" s="79" t="str">
        <f>IF(AND($O569=$Q$7,$B569&lt;'111'!$L$11),"x","")</f>
        <v/>
      </c>
      <c r="T569" s="79" t="str">
        <f>IF(ISERROR(FIND('112'!$M$9,G569,1)),"",IF((AND(FIND('112'!$M$9,G569,1)&gt;=1,B569='112'!$K$9,OR($N569='112'!$I$6,$O569='112'!$I$6))),"x",""))</f>
        <v/>
      </c>
      <c r="U569" s="79" t="str">
        <f>IF(ISERROR(FIND('112'!$M$9,G569,1)),"",IF((AND(LEFT(G569,2)=LEFT('112'!$M$9,2),B569&lt;'112'!$K$9,$N569='112'!$I$6)),"x",""))</f>
        <v/>
      </c>
      <c r="V569" s="79" t="str">
        <f>IF(ISERROR(FIND('112'!$M$9,G569,1)),"",IF((AND(RIGHT(G569,2)=RIGHT('112'!$M$9,2),B569&lt;'112'!$K$9,$O569='112'!$I$6)),"x",""))</f>
        <v/>
      </c>
      <c r="W569" s="79" t="str">
        <f>IF(AND('341-CT'!$H$9=H569,OR(LEFT(N569,3)=$W$7,LEFT(O569,3)=$W$7)),"x","")</f>
        <v/>
      </c>
      <c r="X569" s="79" t="str">
        <f>IF(OR(TH!N569=TH!$X$7,O569=TH!$X$7),"x","")</f>
        <v/>
      </c>
      <c r="Y569" s="79" t="str">
        <f>IF(AND(OR(N569="131",O569="131"),H569='131-CT'!$H$9),"x","")</f>
        <v/>
      </c>
      <c r="Z569" s="79"/>
      <c r="AA569" s="79" t="str">
        <f>IF(AND(MONTH(E569)='IN-NX'!$J$5,'IN-NX'!$D$7=D569),"x","")</f>
        <v/>
      </c>
      <c r="AB569" s="79" t="str">
        <f>IF(AND(OR(LEFT(TH!N569,2)="15",LEFT(TH!O569,2)="15"),LEFT(TH!O569,3)&lt;&gt;"111",'152-CT'!$J$8=TH!F569),"x","")</f>
        <v/>
      </c>
      <c r="AC569" s="79" t="str">
        <f>IF(AND(OR(LEFT(TH!N569,2)="15",LEFT(TH!O569,2)="15"),TK!$E$7=TH!F569),"x","")</f>
        <v/>
      </c>
      <c r="AD569" s="79" t="str">
        <f>IF(AND(N569="1521",MONTH(C569)='BK-NL'!$M$11),"x","")</f>
        <v/>
      </c>
    </row>
    <row r="570" spans="1:30" ht="16.5" customHeight="1">
      <c r="A570" s="318" t="str">
        <f>IF(B570&lt;&gt;"",IF(AND(B570='IN-TC'!$S$4,OR(TH!N570="1111",TH!O570="1111")),TH!D570,""),"")</f>
        <v/>
      </c>
      <c r="B570" s="60" t="str">
        <f t="shared" si="122"/>
        <v/>
      </c>
      <c r="C570" s="974"/>
      <c r="D570" s="974"/>
      <c r="E570" s="974"/>
      <c r="F570" s="975"/>
      <c r="G570" s="976"/>
      <c r="H570" s="759"/>
      <c r="I570" s="383"/>
      <c r="J570" s="977"/>
      <c r="K570" s="383"/>
      <c r="L570" s="390"/>
      <c r="M570" s="978"/>
      <c r="N570" s="979"/>
      <c r="O570" s="979"/>
      <c r="P570" s="79" t="str">
        <f>IF(AND('331-CT'!$E$7=TH!H570,OR(N570="331",O570="331")),"x","")</f>
        <v/>
      </c>
      <c r="Q570" s="79" t="str">
        <f>IF(AND(B570='111'!$L$11,OR($N570=$Q$7,$O570=$Q$7)),"x","")</f>
        <v/>
      </c>
      <c r="R570" s="79" t="str">
        <f>IF(AND($N570=$Q$7,$B570&lt;'111'!$L$11),"x","")</f>
        <v/>
      </c>
      <c r="S570" s="79" t="str">
        <f>IF(AND($O570=$Q$7,$B570&lt;'111'!$L$11),"x","")</f>
        <v/>
      </c>
      <c r="T570" s="79" t="str">
        <f>IF(ISERROR(FIND('112'!$M$9,G570,1)),"",IF((AND(FIND('112'!$M$9,G570,1)&gt;=1,B570='112'!$K$9,OR($N570='112'!$I$6,$O570='112'!$I$6))),"x",""))</f>
        <v/>
      </c>
      <c r="U570" s="79" t="str">
        <f>IF(ISERROR(FIND('112'!$M$9,G570,1)),"",IF((AND(LEFT(G570,2)=LEFT('112'!$M$9,2),B570&lt;'112'!$K$9,$N570='112'!$I$6)),"x",""))</f>
        <v/>
      </c>
      <c r="V570" s="79" t="str">
        <f>IF(ISERROR(FIND('112'!$M$9,G570,1)),"",IF((AND(RIGHT(G570,2)=RIGHT('112'!$M$9,2),B570&lt;'112'!$K$9,$O570='112'!$I$6)),"x",""))</f>
        <v/>
      </c>
      <c r="W570" s="79" t="str">
        <f>IF(AND('341-CT'!$H$9=H570,OR(LEFT(N570,3)=$W$7,LEFT(O570,3)=$W$7)),"x","")</f>
        <v/>
      </c>
      <c r="X570" s="79" t="str">
        <f>IF(OR(TH!N570=TH!$X$7,O570=TH!$X$7),"x","")</f>
        <v/>
      </c>
      <c r="Y570" s="79" t="str">
        <f>IF(AND(OR(N570="131",O570="131"),H570='131-CT'!$H$9),"x","")</f>
        <v/>
      </c>
      <c r="Z570" s="79"/>
      <c r="AA570" s="79" t="str">
        <f>IF(AND(MONTH(E570)='IN-NX'!$J$5,'IN-NX'!$D$7=D570),"x","")</f>
        <v/>
      </c>
      <c r="AB570" s="79" t="str">
        <f>IF(AND(OR(LEFT(TH!N570,2)="15",LEFT(TH!O570,2)="15"),LEFT(TH!O570,3)&lt;&gt;"111",'152-CT'!$J$8=TH!F570),"x","")</f>
        <v/>
      </c>
      <c r="AC570" s="79" t="str">
        <f>IF(AND(OR(LEFT(TH!N570,2)="15",LEFT(TH!O570,2)="15"),TK!$E$7=TH!F570),"x","")</f>
        <v/>
      </c>
      <c r="AD570" s="79" t="str">
        <f>IF(AND(N570="1521",MONTH(C570)='BK-NL'!$M$11),"x","")</f>
        <v/>
      </c>
    </row>
    <row r="571" spans="1:30" ht="16.5" customHeight="1">
      <c r="A571" s="318" t="str">
        <f>IF(B571&lt;&gt;"",IF(AND(B571='IN-TC'!$S$4,OR(TH!N571="1111",TH!O571="1111")),TH!D571,""),"")</f>
        <v/>
      </c>
      <c r="B571" s="60" t="str">
        <f t="shared" si="122"/>
        <v/>
      </c>
      <c r="C571" s="974"/>
      <c r="D571" s="974"/>
      <c r="E571" s="974"/>
      <c r="F571" s="975"/>
      <c r="G571" s="976"/>
      <c r="H571" s="759"/>
      <c r="I571" s="383"/>
      <c r="J571" s="977"/>
      <c r="K571" s="383"/>
      <c r="L571" s="390"/>
      <c r="M571" s="978"/>
      <c r="N571" s="979"/>
      <c r="O571" s="979"/>
      <c r="P571" s="79" t="str">
        <f>IF(AND('331-CT'!$E$7=TH!H571,OR(N571="331",O571="331")),"x","")</f>
        <v/>
      </c>
      <c r="Q571" s="79" t="str">
        <f>IF(AND(B571='111'!$L$11,OR($N571=$Q$7,$O571=$Q$7)),"x","")</f>
        <v/>
      </c>
      <c r="R571" s="79" t="str">
        <f>IF(AND($N571=$Q$7,$B571&lt;'111'!$L$11),"x","")</f>
        <v/>
      </c>
      <c r="S571" s="79" t="str">
        <f>IF(AND($O571=$Q$7,$B571&lt;'111'!$L$11),"x","")</f>
        <v/>
      </c>
      <c r="T571" s="79" t="str">
        <f>IF(ISERROR(FIND('112'!$M$9,G571,1)),"",IF((AND(FIND('112'!$M$9,G571,1)&gt;=1,B571='112'!$K$9,OR($N571='112'!$I$6,$O571='112'!$I$6))),"x",""))</f>
        <v/>
      </c>
      <c r="U571" s="79" t="str">
        <f>IF(ISERROR(FIND('112'!$M$9,G571,1)),"",IF((AND(LEFT(G571,2)=LEFT('112'!$M$9,2),B571&lt;'112'!$K$9,$N571='112'!$I$6)),"x",""))</f>
        <v/>
      </c>
      <c r="V571" s="79" t="str">
        <f>IF(ISERROR(FIND('112'!$M$9,G571,1)),"",IF((AND(RIGHT(G571,2)=RIGHT('112'!$M$9,2),B571&lt;'112'!$K$9,$O571='112'!$I$6)),"x",""))</f>
        <v/>
      </c>
      <c r="W571" s="79" t="str">
        <f>IF(AND('341-CT'!$H$9=H571,OR(LEFT(N571,3)=$W$7,LEFT(O571,3)=$W$7)),"x","")</f>
        <v/>
      </c>
      <c r="X571" s="79" t="str">
        <f>IF(OR(TH!N571=TH!$X$7,O571=TH!$X$7),"x","")</f>
        <v/>
      </c>
      <c r="Y571" s="79" t="str">
        <f>IF(AND(OR(N571="131",O571="131"),H571='131-CT'!$H$9),"x","")</f>
        <v/>
      </c>
      <c r="Z571" s="79"/>
      <c r="AA571" s="79" t="str">
        <f>IF(AND(MONTH(E571)='IN-NX'!$J$5,'IN-NX'!$D$7=D571),"x","")</f>
        <v/>
      </c>
      <c r="AB571" s="79" t="str">
        <f>IF(AND(OR(LEFT(TH!N571,2)="15",LEFT(TH!O571,2)="15"),LEFT(TH!O571,3)&lt;&gt;"111",'152-CT'!$J$8=TH!F571),"x","")</f>
        <v/>
      </c>
      <c r="AC571" s="79" t="str">
        <f>IF(AND(OR(LEFT(TH!N571,2)="15",LEFT(TH!O571,2)="15"),TK!$E$7=TH!F571),"x","")</f>
        <v/>
      </c>
      <c r="AD571" s="79" t="str">
        <f>IF(AND(N571="1521",MONTH(C571)='BK-NL'!$M$11),"x","")</f>
        <v/>
      </c>
    </row>
    <row r="572" spans="1:30" ht="16.5" customHeight="1">
      <c r="A572" s="318" t="str">
        <f>IF(B572&lt;&gt;"",IF(AND(B572='IN-TC'!$S$4,OR(TH!N572="1111",TH!O572="1111")),TH!D572,""),"")</f>
        <v/>
      </c>
      <c r="B572" s="60" t="str">
        <f t="shared" si="122"/>
        <v/>
      </c>
      <c r="C572" s="974"/>
      <c r="D572" s="974"/>
      <c r="E572" s="974"/>
      <c r="F572" s="975"/>
      <c r="G572" s="976"/>
      <c r="H572" s="759"/>
      <c r="I572" s="383"/>
      <c r="J572" s="977"/>
      <c r="K572" s="383"/>
      <c r="L572" s="390"/>
      <c r="M572" s="978"/>
      <c r="N572" s="979"/>
      <c r="O572" s="979"/>
      <c r="P572" s="79" t="str">
        <f>IF(AND('331-CT'!$E$7=TH!H572,OR(N572="331",O572="331")),"x","")</f>
        <v/>
      </c>
      <c r="Q572" s="79" t="str">
        <f>IF(AND(B572='111'!$L$11,OR($N572=$Q$7,$O572=$Q$7)),"x","")</f>
        <v/>
      </c>
      <c r="R572" s="79" t="str">
        <f>IF(AND($N572=$Q$7,$B572&lt;'111'!$L$11),"x","")</f>
        <v/>
      </c>
      <c r="S572" s="79" t="str">
        <f>IF(AND($O572=$Q$7,$B572&lt;'111'!$L$11),"x","")</f>
        <v/>
      </c>
      <c r="T572" s="79" t="str">
        <f>IF(ISERROR(FIND('112'!$M$9,G572,1)),"",IF((AND(FIND('112'!$M$9,G572,1)&gt;=1,B572='112'!$K$9,OR($N572='112'!$I$6,$O572='112'!$I$6))),"x",""))</f>
        <v/>
      </c>
      <c r="U572" s="79" t="str">
        <f>IF(ISERROR(FIND('112'!$M$9,G572,1)),"",IF((AND(LEFT(G572,2)=LEFT('112'!$M$9,2),B572&lt;'112'!$K$9,$N572='112'!$I$6)),"x",""))</f>
        <v/>
      </c>
      <c r="V572" s="79" t="str">
        <f>IF(ISERROR(FIND('112'!$M$9,G572,1)),"",IF((AND(RIGHT(G572,2)=RIGHT('112'!$M$9,2),B572&lt;'112'!$K$9,$O572='112'!$I$6)),"x",""))</f>
        <v/>
      </c>
      <c r="W572" s="79" t="str">
        <f>IF(AND('341-CT'!$H$9=H572,OR(LEFT(N572,3)=$W$7,LEFT(O572,3)=$W$7)),"x","")</f>
        <v/>
      </c>
      <c r="X572" s="79" t="str">
        <f>IF(OR(TH!N572=TH!$X$7,O572=TH!$X$7),"x","")</f>
        <v/>
      </c>
      <c r="Y572" s="79" t="str">
        <f>IF(AND(OR(N572="131",O572="131"),H572='131-CT'!$H$9),"x","")</f>
        <v/>
      </c>
      <c r="Z572" s="79"/>
      <c r="AA572" s="79" t="str">
        <f>IF(AND(MONTH(E572)='IN-NX'!$J$5,'IN-NX'!$D$7=D572),"x","")</f>
        <v/>
      </c>
      <c r="AB572" s="79" t="str">
        <f>IF(AND(OR(LEFT(TH!N572,2)="15",LEFT(TH!O572,2)="15"),LEFT(TH!O572,3)&lt;&gt;"111",'152-CT'!$J$8=TH!F572),"x","")</f>
        <v/>
      </c>
      <c r="AC572" s="79" t="str">
        <f>IF(AND(OR(LEFT(TH!N572,2)="15",LEFT(TH!O572,2)="15"),TK!$E$7=TH!F572),"x","")</f>
        <v/>
      </c>
      <c r="AD572" s="79" t="str">
        <f>IF(AND(N572="1521",MONTH(C572)='BK-NL'!$M$11),"x","")</f>
        <v/>
      </c>
    </row>
    <row r="573" spans="1:30" ht="16.5" customHeight="1">
      <c r="A573" s="318" t="str">
        <f>IF(B573&lt;&gt;"",IF(AND(B573='IN-TC'!$S$4,OR(TH!N573="1111",TH!O573="1111")),TH!D573,""),"")</f>
        <v/>
      </c>
      <c r="B573" s="60" t="str">
        <f t="shared" si="122"/>
        <v/>
      </c>
      <c r="C573" s="974"/>
      <c r="D573" s="974"/>
      <c r="E573" s="974"/>
      <c r="F573" s="975"/>
      <c r="G573" s="976"/>
      <c r="H573" s="759"/>
      <c r="I573" s="383"/>
      <c r="J573" s="977"/>
      <c r="K573" s="383"/>
      <c r="L573" s="390"/>
      <c r="M573" s="978"/>
      <c r="N573" s="979"/>
      <c r="O573" s="979"/>
      <c r="P573" s="79" t="str">
        <f>IF(AND('331-CT'!$E$7=TH!H573,OR(N573="331",O573="331")),"x","")</f>
        <v/>
      </c>
      <c r="Q573" s="79" t="str">
        <f>IF(AND(B573='111'!$L$11,OR($N573=$Q$7,$O573=$Q$7)),"x","")</f>
        <v/>
      </c>
      <c r="R573" s="79" t="str">
        <f>IF(AND($N573=$Q$7,$B573&lt;'111'!$L$11),"x","")</f>
        <v/>
      </c>
      <c r="S573" s="79" t="str">
        <f>IF(AND($O573=$Q$7,$B573&lt;'111'!$L$11),"x","")</f>
        <v/>
      </c>
      <c r="T573" s="79" t="str">
        <f>IF(ISERROR(FIND('112'!$M$9,G573,1)),"",IF((AND(FIND('112'!$M$9,G573,1)&gt;=1,B573='112'!$K$9,OR($N573='112'!$I$6,$O573='112'!$I$6))),"x",""))</f>
        <v/>
      </c>
      <c r="U573" s="79" t="str">
        <f>IF(ISERROR(FIND('112'!$M$9,G573,1)),"",IF((AND(LEFT(G573,2)=LEFT('112'!$M$9,2),B573&lt;'112'!$K$9,$N573='112'!$I$6)),"x",""))</f>
        <v/>
      </c>
      <c r="V573" s="79" t="str">
        <f>IF(ISERROR(FIND('112'!$M$9,G573,1)),"",IF((AND(RIGHT(G573,2)=RIGHT('112'!$M$9,2),B573&lt;'112'!$K$9,$O573='112'!$I$6)),"x",""))</f>
        <v/>
      </c>
      <c r="W573" s="79" t="str">
        <f>IF(AND('341-CT'!$H$9=H573,OR(LEFT(N573,3)=$W$7,LEFT(O573,3)=$W$7)),"x","")</f>
        <v/>
      </c>
      <c r="X573" s="79" t="str">
        <f>IF(OR(TH!N573=TH!$X$7,O573=TH!$X$7),"x","")</f>
        <v/>
      </c>
      <c r="Y573" s="79" t="str">
        <f>IF(AND(OR(N573="131",O573="131"),H573='131-CT'!$H$9),"x","")</f>
        <v/>
      </c>
      <c r="Z573" s="79"/>
      <c r="AA573" s="79" t="str">
        <f>IF(AND(MONTH(E573)='IN-NX'!$J$5,'IN-NX'!$D$7=D573),"x","")</f>
        <v/>
      </c>
      <c r="AB573" s="79" t="str">
        <f>IF(AND(OR(LEFT(TH!N573,2)="15",LEFT(TH!O573,2)="15"),LEFT(TH!O573,3)&lt;&gt;"111",'152-CT'!$J$8=TH!F573),"x","")</f>
        <v/>
      </c>
      <c r="AC573" s="79" t="str">
        <f>IF(AND(OR(LEFT(TH!N573,2)="15",LEFT(TH!O573,2)="15"),TK!$E$7=TH!F573),"x","")</f>
        <v/>
      </c>
      <c r="AD573" s="79" t="str">
        <f>IF(AND(N573="1521",MONTH(C573)='BK-NL'!$M$11),"x","")</f>
        <v/>
      </c>
    </row>
    <row r="574" spans="1:30" ht="16.5" customHeight="1">
      <c r="A574" s="318" t="str">
        <f>IF(B574&lt;&gt;"",IF(AND(B574='IN-TC'!$S$4,OR(TH!N574="1111",TH!O574="1111")),TH!D574,""),"")</f>
        <v/>
      </c>
      <c r="B574" s="60" t="str">
        <f t="shared" ref="B574:B590" si="123">IF(C574&lt;&gt;"",MONTH(C574),"")</f>
        <v/>
      </c>
      <c r="C574" s="974"/>
      <c r="D574" s="974"/>
      <c r="E574" s="974"/>
      <c r="F574" s="975"/>
      <c r="G574" s="976"/>
      <c r="H574" s="77"/>
      <c r="I574" s="383"/>
      <c r="J574" s="977"/>
      <c r="K574" s="383"/>
      <c r="L574" s="390"/>
      <c r="M574" s="978"/>
      <c r="N574" s="979"/>
      <c r="O574" s="979"/>
      <c r="P574" s="79" t="str">
        <f>IF(AND('331-CT'!$E$7=TH!H574,OR(N574="331",O574="331")),"x","")</f>
        <v/>
      </c>
      <c r="Q574" s="79" t="str">
        <f>IF(AND(B574='111'!$L$11,OR($N574=$Q$7,$O574=$Q$7)),"x","")</f>
        <v/>
      </c>
      <c r="R574" s="79" t="str">
        <f>IF(AND($N574=$Q$7,$B574&lt;'111'!$L$11),"x","")</f>
        <v/>
      </c>
      <c r="S574" s="79" t="str">
        <f>IF(AND($O574=$Q$7,$B574&lt;'111'!$L$11),"x","")</f>
        <v/>
      </c>
      <c r="T574" s="79" t="str">
        <f>IF(ISERROR(FIND('112'!$M$9,G574,1)),"",IF((AND(FIND('112'!$M$9,G574,1)&gt;=1,B574='112'!$K$9,OR($N574='112'!$I$6,$O574='112'!$I$6))),"x",""))</f>
        <v/>
      </c>
      <c r="U574" s="79" t="str">
        <f>IF(ISERROR(FIND('112'!$M$9,G574,1)),"",IF((AND(LEFT(G574,2)=LEFT('112'!$M$9,2),B574&lt;'112'!$K$9,$N574='112'!$I$6)),"x",""))</f>
        <v/>
      </c>
      <c r="V574" s="79" t="str">
        <f>IF(ISERROR(FIND('112'!$M$9,G574,1)),"",IF((AND(RIGHT(G574,2)=RIGHT('112'!$M$9,2),B574&lt;'112'!$K$9,$O574='112'!$I$6)),"x",""))</f>
        <v/>
      </c>
      <c r="W574" s="79" t="str">
        <f>IF(AND('341-CT'!$H$9=H574,OR(LEFT(N574,3)=$W$7,LEFT(O574,3)=$W$7)),"x","")</f>
        <v/>
      </c>
      <c r="X574" s="79" t="str">
        <f>IF(OR(TH!N574=TH!$X$7,O574=TH!$X$7),"x","")</f>
        <v/>
      </c>
      <c r="Y574" s="79" t="str">
        <f>IF(AND(OR(N574="131",O574="131"),H574='131-CT'!$H$9),"x","")</f>
        <v/>
      </c>
      <c r="Z574" s="79"/>
      <c r="AA574" s="79" t="str">
        <f>IF(AND(MONTH(E574)='IN-NX'!$J$5,'IN-NX'!$D$7=D574),"x","")</f>
        <v/>
      </c>
      <c r="AB574" s="79" t="str">
        <f>IF(AND(OR(LEFT(TH!N574,2)="15",LEFT(TH!O574,2)="15"),LEFT(TH!O574,3)&lt;&gt;"111",'152-CT'!$J$8=TH!F574),"x","")</f>
        <v/>
      </c>
      <c r="AC574" s="79" t="str">
        <f>IF(AND(OR(LEFT(TH!N574,2)="15",LEFT(TH!O574,2)="15"),TK!$E$7=TH!F574),"x","")</f>
        <v/>
      </c>
      <c r="AD574" s="79" t="str">
        <f>IF(AND(N574="1521",MONTH(C574)='BK-NL'!$M$11),"x","")</f>
        <v/>
      </c>
    </row>
    <row r="575" spans="1:30" ht="16.5" customHeight="1">
      <c r="A575" s="318" t="str">
        <f>IF(B575&lt;&gt;"",IF(AND(B575='IN-TC'!$S$4,OR(TH!N575="1111",TH!O575="1111")),TH!D575,""),"")</f>
        <v/>
      </c>
      <c r="B575" s="60" t="str">
        <f t="shared" si="123"/>
        <v/>
      </c>
      <c r="C575" s="974"/>
      <c r="D575" s="974"/>
      <c r="E575" s="974"/>
      <c r="F575" s="975"/>
      <c r="G575" s="976"/>
      <c r="H575" s="77"/>
      <c r="I575" s="383"/>
      <c r="J575" s="977"/>
      <c r="K575" s="383"/>
      <c r="L575" s="390"/>
      <c r="M575" s="978"/>
      <c r="N575" s="979"/>
      <c r="O575" s="979"/>
      <c r="P575" s="79" t="str">
        <f>IF(AND('331-CT'!$E$7=TH!H575,OR(N575="331",O575="331")),"x","")</f>
        <v/>
      </c>
      <c r="Q575" s="79" t="str">
        <f>IF(AND(B575='111'!$L$11,OR($N575=$Q$7,$O575=$Q$7)),"x","")</f>
        <v/>
      </c>
      <c r="R575" s="79" t="str">
        <f>IF(AND($N575=$Q$7,$B575&lt;'111'!$L$11),"x","")</f>
        <v/>
      </c>
      <c r="S575" s="79" t="str">
        <f>IF(AND($O575=$Q$7,$B575&lt;'111'!$L$11),"x","")</f>
        <v/>
      </c>
      <c r="T575" s="79" t="str">
        <f>IF(ISERROR(FIND('112'!$M$9,G575,1)),"",IF((AND(FIND('112'!$M$9,G575,1)&gt;=1,B575='112'!$K$9,OR($N575='112'!$I$6,$O575='112'!$I$6))),"x",""))</f>
        <v/>
      </c>
      <c r="U575" s="79" t="str">
        <f>IF(ISERROR(FIND('112'!$M$9,G575,1)),"",IF((AND(LEFT(G575,2)=LEFT('112'!$M$9,2),B575&lt;'112'!$K$9,$N575='112'!$I$6)),"x",""))</f>
        <v/>
      </c>
      <c r="V575" s="79" t="str">
        <f>IF(ISERROR(FIND('112'!$M$9,G575,1)),"",IF((AND(RIGHT(G575,2)=RIGHT('112'!$M$9,2),B575&lt;'112'!$K$9,$O575='112'!$I$6)),"x",""))</f>
        <v/>
      </c>
      <c r="W575" s="79" t="str">
        <f>IF(AND('341-CT'!$H$9=H575,OR(LEFT(N575,3)=$W$7,LEFT(O575,3)=$W$7)),"x","")</f>
        <v/>
      </c>
      <c r="X575" s="79" t="str">
        <f>IF(OR(TH!N575=TH!$X$7,O575=TH!$X$7),"x","")</f>
        <v/>
      </c>
      <c r="Y575" s="79" t="str">
        <f>IF(AND(OR(N575="131",O575="131"),H575='131-CT'!$H$9),"x","")</f>
        <v/>
      </c>
      <c r="Z575" s="79"/>
      <c r="AA575" s="79" t="str">
        <f>IF(AND(MONTH(E575)='IN-NX'!$J$5,'IN-NX'!$D$7=D575),"x","")</f>
        <v/>
      </c>
      <c r="AB575" s="79" t="str">
        <f>IF(AND(OR(LEFT(TH!N575,2)="15",LEFT(TH!O575,2)="15"),LEFT(TH!O575,3)&lt;&gt;"111",'152-CT'!$J$8=TH!F575),"x","")</f>
        <v/>
      </c>
      <c r="AC575" s="79" t="str">
        <f>IF(AND(OR(LEFT(TH!N575,2)="15",LEFT(TH!O575,2)="15"),TK!$E$7=TH!F575),"x","")</f>
        <v/>
      </c>
      <c r="AD575" s="79" t="str">
        <f>IF(AND(N575="1521",MONTH(C575)='BK-NL'!$M$11),"x","")</f>
        <v/>
      </c>
    </row>
    <row r="576" spans="1:30" ht="16.5" customHeight="1">
      <c r="A576" s="318" t="str">
        <f>IF(B576&lt;&gt;"",IF(AND(B576='IN-TC'!$S$4,OR(TH!N576="1111",TH!O576="1111")),TH!D576,""),"")</f>
        <v/>
      </c>
      <c r="B576" s="60" t="str">
        <f t="shared" si="123"/>
        <v/>
      </c>
      <c r="C576" s="974"/>
      <c r="D576" s="974"/>
      <c r="E576" s="974"/>
      <c r="F576" s="975"/>
      <c r="G576" s="976"/>
      <c r="H576" s="77"/>
      <c r="I576" s="383"/>
      <c r="J576" s="977"/>
      <c r="K576" s="383"/>
      <c r="L576" s="390"/>
      <c r="M576" s="978"/>
      <c r="N576" s="979"/>
      <c r="O576" s="979"/>
      <c r="P576" s="79" t="str">
        <f>IF(AND('331-CT'!$E$7=TH!H576,OR(N576="331",O576="331")),"x","")</f>
        <v/>
      </c>
      <c r="Q576" s="79" t="str">
        <f>IF(AND(B576='111'!$L$11,OR($N576=$Q$7,$O576=$Q$7)),"x","")</f>
        <v/>
      </c>
      <c r="R576" s="79" t="str">
        <f>IF(AND($N576=$Q$7,$B576&lt;'111'!$L$11),"x","")</f>
        <v/>
      </c>
      <c r="S576" s="79" t="str">
        <f>IF(AND($O576=$Q$7,$B576&lt;'111'!$L$11),"x","")</f>
        <v/>
      </c>
      <c r="T576" s="79" t="str">
        <f>IF(ISERROR(FIND('112'!$M$9,G576,1)),"",IF((AND(FIND('112'!$M$9,G576,1)&gt;=1,B576='112'!$K$9,OR($N576='112'!$I$6,$O576='112'!$I$6))),"x",""))</f>
        <v/>
      </c>
      <c r="U576" s="79" t="str">
        <f>IF(ISERROR(FIND('112'!$M$9,G576,1)),"",IF((AND(LEFT(G576,2)=LEFT('112'!$M$9,2),B576&lt;'112'!$K$9,$N576='112'!$I$6)),"x",""))</f>
        <v/>
      </c>
      <c r="V576" s="79" t="str">
        <f>IF(ISERROR(FIND('112'!$M$9,G576,1)),"",IF((AND(RIGHT(G576,2)=RIGHT('112'!$M$9,2),B576&lt;'112'!$K$9,$O576='112'!$I$6)),"x",""))</f>
        <v/>
      </c>
      <c r="W576" s="79" t="str">
        <f>IF(AND('341-CT'!$H$9=H576,OR(LEFT(N576,3)=$W$7,LEFT(O576,3)=$W$7)),"x","")</f>
        <v/>
      </c>
      <c r="X576" s="79" t="str">
        <f>IF(OR(TH!N576=TH!$X$7,O576=TH!$X$7),"x","")</f>
        <v/>
      </c>
      <c r="Y576" s="79" t="str">
        <f>IF(AND(OR(N576="131",O576="131"),H576='131-CT'!$H$9),"x","")</f>
        <v/>
      </c>
      <c r="Z576" s="79"/>
      <c r="AA576" s="79" t="str">
        <f>IF(AND(MONTH(E576)='IN-NX'!$J$5,'IN-NX'!$D$7=D576),"x","")</f>
        <v/>
      </c>
      <c r="AB576" s="79" t="str">
        <f>IF(AND(OR(LEFT(TH!N576,2)="15",LEFT(TH!O576,2)="15"),LEFT(TH!O576,3)&lt;&gt;"111",'152-CT'!$J$8=TH!F576),"x","")</f>
        <v/>
      </c>
      <c r="AC576" s="79" t="str">
        <f>IF(AND(OR(LEFT(TH!N576,2)="15",LEFT(TH!O576,2)="15"),TK!$E$7=TH!F576),"x","")</f>
        <v/>
      </c>
      <c r="AD576" s="79" t="str">
        <f>IF(AND(N576="1521",MONTH(C576)='BK-NL'!$M$11),"x","")</f>
        <v/>
      </c>
    </row>
    <row r="577" spans="1:30" ht="16.5" customHeight="1">
      <c r="A577" s="318" t="str">
        <f>IF(B577&lt;&gt;"",IF(AND(B577='IN-TC'!$S$4,OR(TH!N577="1111",TH!O577="1111")),TH!D577,""),"")</f>
        <v/>
      </c>
      <c r="B577" s="60" t="str">
        <f t="shared" si="123"/>
        <v/>
      </c>
      <c r="C577" s="974"/>
      <c r="D577" s="974"/>
      <c r="E577" s="974"/>
      <c r="F577" s="975"/>
      <c r="G577" s="976"/>
      <c r="H577" s="759"/>
      <c r="I577" s="383"/>
      <c r="J577" s="977"/>
      <c r="K577" s="383"/>
      <c r="L577" s="390"/>
      <c r="M577" s="978"/>
      <c r="N577" s="979"/>
      <c r="O577" s="979"/>
      <c r="P577" s="79" t="str">
        <f>IF(AND('331-CT'!$E$7=TH!H577,OR(N577="331",O577="331")),"x","")</f>
        <v/>
      </c>
      <c r="Q577" s="79" t="str">
        <f>IF(AND(B577='111'!$L$11,OR($N577=$Q$7,$O577=$Q$7)),"x","")</f>
        <v/>
      </c>
      <c r="R577" s="79" t="str">
        <f>IF(AND($N577=$Q$7,$B577&lt;'111'!$L$11),"x","")</f>
        <v/>
      </c>
      <c r="S577" s="79" t="str">
        <f>IF(AND($O577=$Q$7,$B577&lt;'111'!$L$11),"x","")</f>
        <v/>
      </c>
      <c r="T577" s="79" t="str">
        <f>IF(ISERROR(FIND('112'!$M$9,G577,1)),"",IF((AND(FIND('112'!$M$9,G577,1)&gt;=1,B577='112'!$K$9,OR($N577='112'!$I$6,$O577='112'!$I$6))),"x",""))</f>
        <v/>
      </c>
      <c r="U577" s="79" t="str">
        <f>IF(ISERROR(FIND('112'!$M$9,G577,1)),"",IF((AND(LEFT(G577,2)=LEFT('112'!$M$9,2),B577&lt;'112'!$K$9,$N577='112'!$I$6)),"x",""))</f>
        <v/>
      </c>
      <c r="V577" s="79" t="str">
        <f>IF(ISERROR(FIND('112'!$M$9,G577,1)),"",IF((AND(RIGHT(G577,2)=RIGHT('112'!$M$9,2),B577&lt;'112'!$K$9,$O577='112'!$I$6)),"x",""))</f>
        <v/>
      </c>
      <c r="W577" s="79" t="str">
        <f>IF(AND('341-CT'!$H$9=H577,OR(LEFT(N577,3)=$W$7,LEFT(O577,3)=$W$7)),"x","")</f>
        <v/>
      </c>
      <c r="X577" s="79" t="str">
        <f>IF(OR(TH!N577=TH!$X$7,O577=TH!$X$7),"x","")</f>
        <v/>
      </c>
      <c r="Y577" s="79" t="str">
        <f>IF(AND(OR(N577="131",O577="131"),H577='131-CT'!$H$9),"x","")</f>
        <v/>
      </c>
      <c r="Z577" s="79"/>
      <c r="AA577" s="79" t="str">
        <f>IF(AND(MONTH(E577)='IN-NX'!$J$5,'IN-NX'!$D$7=D577),"x","")</f>
        <v/>
      </c>
      <c r="AB577" s="79" t="str">
        <f>IF(AND(OR(LEFT(TH!N577,2)="15",LEFT(TH!O577,2)="15"),LEFT(TH!O577,3)&lt;&gt;"111",'152-CT'!$J$8=TH!F577),"x","")</f>
        <v/>
      </c>
      <c r="AC577" s="79" t="str">
        <f>IF(AND(OR(LEFT(TH!N577,2)="15",LEFT(TH!O577,2)="15"),TK!$E$7=TH!F577),"x","")</f>
        <v/>
      </c>
      <c r="AD577" s="79" t="str">
        <f>IF(AND(N577="1521",MONTH(C577)='BK-NL'!$M$11),"x","")</f>
        <v/>
      </c>
    </row>
    <row r="578" spans="1:30" ht="16.5" customHeight="1">
      <c r="A578" s="318" t="str">
        <f>IF(B578&lt;&gt;"",IF(AND(B578='IN-TC'!$S$4,OR(TH!N578="1111",TH!O578="1111")),TH!D578,""),"")</f>
        <v/>
      </c>
      <c r="B578" s="60" t="str">
        <f t="shared" si="123"/>
        <v/>
      </c>
      <c r="C578" s="974"/>
      <c r="D578" s="974"/>
      <c r="E578" s="974"/>
      <c r="F578" s="975"/>
      <c r="G578" s="976"/>
      <c r="H578" s="759"/>
      <c r="I578" s="383"/>
      <c r="J578" s="977"/>
      <c r="K578" s="383"/>
      <c r="L578" s="390"/>
      <c r="M578" s="978"/>
      <c r="N578" s="979"/>
      <c r="O578" s="979"/>
      <c r="P578" s="79" t="str">
        <f>IF(AND('331-CT'!$E$7=TH!H578,OR(N578="331",O578="331")),"x","")</f>
        <v/>
      </c>
      <c r="Q578" s="79" t="str">
        <f>IF(AND(B578='111'!$L$11,OR($N578=$Q$7,$O578=$Q$7)),"x","")</f>
        <v/>
      </c>
      <c r="R578" s="79" t="str">
        <f>IF(AND($N578=$Q$7,$B578&lt;'111'!$L$11),"x","")</f>
        <v/>
      </c>
      <c r="S578" s="79" t="str">
        <f>IF(AND($O578=$Q$7,$B578&lt;'111'!$L$11),"x","")</f>
        <v/>
      </c>
      <c r="T578" s="79" t="str">
        <f>IF(ISERROR(FIND('112'!$M$9,G578,1)),"",IF((AND(FIND('112'!$M$9,G578,1)&gt;=1,B578='112'!$K$9,OR($N578='112'!$I$6,$O578='112'!$I$6))),"x",""))</f>
        <v/>
      </c>
      <c r="U578" s="79" t="str">
        <f>IF(ISERROR(FIND('112'!$M$9,G578,1)),"",IF((AND(LEFT(G578,2)=LEFT('112'!$M$9,2),B578&lt;'112'!$K$9,$N578='112'!$I$6)),"x",""))</f>
        <v/>
      </c>
      <c r="V578" s="79" t="str">
        <f>IF(ISERROR(FIND('112'!$M$9,G578,1)),"",IF((AND(RIGHT(G578,2)=RIGHT('112'!$M$9,2),B578&lt;'112'!$K$9,$O578='112'!$I$6)),"x",""))</f>
        <v/>
      </c>
      <c r="W578" s="79" t="str">
        <f>IF(AND('341-CT'!$H$9=H578,OR(LEFT(N578,3)=$W$7,LEFT(O578,3)=$W$7)),"x","")</f>
        <v/>
      </c>
      <c r="X578" s="79" t="str">
        <f>IF(OR(TH!N578=TH!$X$7,O578=TH!$X$7),"x","")</f>
        <v/>
      </c>
      <c r="Y578" s="79" t="str">
        <f>IF(AND(OR(N578="131",O578="131"),H578='131-CT'!$H$9),"x","")</f>
        <v/>
      </c>
      <c r="Z578" s="79"/>
      <c r="AA578" s="79" t="str">
        <f>IF(AND(MONTH(E578)='IN-NX'!$J$5,'IN-NX'!$D$7=D578),"x","")</f>
        <v/>
      </c>
      <c r="AB578" s="79" t="str">
        <f>IF(AND(OR(LEFT(TH!N578,2)="15",LEFT(TH!O578,2)="15"),LEFT(TH!O578,3)&lt;&gt;"111",'152-CT'!$J$8=TH!F578),"x","")</f>
        <v/>
      </c>
      <c r="AC578" s="79" t="str">
        <f>IF(AND(OR(LEFT(TH!N578,2)="15",LEFT(TH!O578,2)="15"),TK!$E$7=TH!F578),"x","")</f>
        <v/>
      </c>
      <c r="AD578" s="79" t="str">
        <f>IF(AND(N578="1521",MONTH(C578)='BK-NL'!$M$11),"x","")</f>
        <v/>
      </c>
    </row>
    <row r="579" spans="1:30" ht="16.5" customHeight="1">
      <c r="A579" s="318" t="str">
        <f>IF(B579&lt;&gt;"",IF(AND(B579='IN-TC'!$S$4,OR(TH!N579="1111",TH!O579="1111")),TH!D579,""),"")</f>
        <v/>
      </c>
      <c r="B579" s="60" t="str">
        <f t="shared" si="123"/>
        <v/>
      </c>
      <c r="C579" s="974"/>
      <c r="D579" s="974"/>
      <c r="E579" s="974"/>
      <c r="F579" s="975"/>
      <c r="G579" s="976"/>
      <c r="H579" s="759"/>
      <c r="I579" s="383"/>
      <c r="J579" s="977"/>
      <c r="K579" s="383"/>
      <c r="L579" s="390"/>
      <c r="M579" s="978"/>
      <c r="N579" s="979"/>
      <c r="O579" s="979"/>
      <c r="P579" s="79" t="str">
        <f>IF(AND('331-CT'!$E$7=TH!H579,OR(N579="331",O579="331")),"x","")</f>
        <v/>
      </c>
      <c r="Q579" s="79" t="str">
        <f>IF(AND(B579='111'!$L$11,OR($N579=$Q$7,$O579=$Q$7)),"x","")</f>
        <v/>
      </c>
      <c r="R579" s="79" t="str">
        <f>IF(AND($N579=$Q$7,$B579&lt;'111'!$L$11),"x","")</f>
        <v/>
      </c>
      <c r="S579" s="79" t="str">
        <f>IF(AND($O579=$Q$7,$B579&lt;'111'!$L$11),"x","")</f>
        <v/>
      </c>
      <c r="T579" s="79" t="str">
        <f>IF(ISERROR(FIND('112'!$M$9,G579,1)),"",IF((AND(FIND('112'!$M$9,G579,1)&gt;=1,B579='112'!$K$9,OR($N579='112'!$I$6,$O579='112'!$I$6))),"x",""))</f>
        <v/>
      </c>
      <c r="U579" s="79" t="str">
        <f>IF(ISERROR(FIND('112'!$M$9,G579,1)),"",IF((AND(LEFT(G579,2)=LEFT('112'!$M$9,2),B579&lt;'112'!$K$9,$N579='112'!$I$6)),"x",""))</f>
        <v/>
      </c>
      <c r="V579" s="79" t="str">
        <f>IF(ISERROR(FIND('112'!$M$9,G579,1)),"",IF((AND(RIGHT(G579,2)=RIGHT('112'!$M$9,2),B579&lt;'112'!$K$9,$O579='112'!$I$6)),"x",""))</f>
        <v/>
      </c>
      <c r="W579" s="79" t="str">
        <f>IF(AND('341-CT'!$H$9=H579,OR(LEFT(N579,3)=$W$7,LEFT(O579,3)=$W$7)),"x","")</f>
        <v/>
      </c>
      <c r="X579" s="79" t="str">
        <f>IF(OR(TH!N579=TH!$X$7,O579=TH!$X$7),"x","")</f>
        <v/>
      </c>
      <c r="Y579" s="79" t="str">
        <f>IF(AND(OR(N579="131",O579="131"),H579='131-CT'!$H$9),"x","")</f>
        <v/>
      </c>
      <c r="Z579" s="79"/>
      <c r="AA579" s="79" t="str">
        <f>IF(AND(MONTH(E579)='IN-NX'!$J$5,'IN-NX'!$D$7=D579),"x","")</f>
        <v/>
      </c>
      <c r="AB579" s="79" t="str">
        <f>IF(AND(OR(LEFT(TH!N579,2)="15",LEFT(TH!O579,2)="15"),LEFT(TH!O579,3)&lt;&gt;"111",'152-CT'!$J$8=TH!F579),"x","")</f>
        <v/>
      </c>
      <c r="AC579" s="79" t="str">
        <f>IF(AND(OR(LEFT(TH!N579,2)="15",LEFT(TH!O579,2)="15"),TK!$E$7=TH!F579),"x","")</f>
        <v/>
      </c>
      <c r="AD579" s="79" t="str">
        <f>IF(AND(N579="1521",MONTH(C579)='BK-NL'!$M$11),"x","")</f>
        <v/>
      </c>
    </row>
    <row r="580" spans="1:30" ht="16.5" customHeight="1">
      <c r="A580" s="318" t="str">
        <f>IF(B580&lt;&gt;"",IF(AND(B580='IN-TC'!$S$4,OR(TH!N580="1111",TH!O580="1111")),TH!D580,""),"")</f>
        <v/>
      </c>
      <c r="B580" s="60" t="str">
        <f t="shared" si="123"/>
        <v/>
      </c>
      <c r="C580" s="974"/>
      <c r="D580" s="974"/>
      <c r="E580" s="974"/>
      <c r="F580" s="975"/>
      <c r="G580" s="976"/>
      <c r="H580" s="759"/>
      <c r="I580" s="383"/>
      <c r="J580" s="977"/>
      <c r="K580" s="383"/>
      <c r="L580" s="390"/>
      <c r="M580" s="978"/>
      <c r="N580" s="979"/>
      <c r="O580" s="979"/>
      <c r="P580" s="79" t="str">
        <f>IF(AND('331-CT'!$E$7=TH!H580,OR(N580="331",O580="331")),"x","")</f>
        <v/>
      </c>
      <c r="Q580" s="79" t="str">
        <f>IF(AND(B580='111'!$L$11,OR($N580=$Q$7,$O580=$Q$7)),"x","")</f>
        <v/>
      </c>
      <c r="R580" s="79" t="str">
        <f>IF(AND($N580=$Q$7,$B580&lt;'111'!$L$11),"x","")</f>
        <v/>
      </c>
      <c r="S580" s="79" t="str">
        <f>IF(AND($O580=$Q$7,$B580&lt;'111'!$L$11),"x","")</f>
        <v/>
      </c>
      <c r="T580" s="79" t="str">
        <f>IF(ISERROR(FIND('112'!$M$9,G580,1)),"",IF((AND(FIND('112'!$M$9,G580,1)&gt;=1,B580='112'!$K$9,OR($N580='112'!$I$6,$O580='112'!$I$6))),"x",""))</f>
        <v/>
      </c>
      <c r="U580" s="79" t="str">
        <f>IF(ISERROR(FIND('112'!$M$9,G580,1)),"",IF((AND(LEFT(G580,2)=LEFT('112'!$M$9,2),B580&lt;'112'!$K$9,$N580='112'!$I$6)),"x",""))</f>
        <v/>
      </c>
      <c r="V580" s="79" t="str">
        <f>IF(ISERROR(FIND('112'!$M$9,G580,1)),"",IF((AND(RIGHT(G580,2)=RIGHT('112'!$M$9,2),B580&lt;'112'!$K$9,$O580='112'!$I$6)),"x",""))</f>
        <v/>
      </c>
      <c r="W580" s="79" t="str">
        <f>IF(AND('341-CT'!$H$9=H580,OR(LEFT(N580,3)=$W$7,LEFT(O580,3)=$W$7)),"x","")</f>
        <v/>
      </c>
      <c r="X580" s="79" t="str">
        <f>IF(OR(TH!N580=TH!$X$7,O580=TH!$X$7),"x","")</f>
        <v/>
      </c>
      <c r="Y580" s="79" t="str">
        <f>IF(AND(OR(N580="131",O580="131"),H580='131-CT'!$H$9),"x","")</f>
        <v/>
      </c>
      <c r="Z580" s="79"/>
      <c r="AA580" s="79" t="str">
        <f>IF(AND(MONTH(E580)='IN-NX'!$J$5,'IN-NX'!$D$7=D580),"x","")</f>
        <v/>
      </c>
      <c r="AB580" s="79" t="str">
        <f>IF(AND(OR(LEFT(TH!N580,2)="15",LEFT(TH!O580,2)="15"),LEFT(TH!O580,3)&lt;&gt;"111",'152-CT'!$J$8=TH!F580),"x","")</f>
        <v/>
      </c>
      <c r="AC580" s="79" t="str">
        <f>IF(AND(OR(LEFT(TH!N580,2)="15",LEFT(TH!O580,2)="15"),TK!$E$7=TH!F580),"x","")</f>
        <v/>
      </c>
      <c r="AD580" s="79" t="str">
        <f>IF(AND(N580="1521",MONTH(C580)='BK-NL'!$M$11),"x","")</f>
        <v/>
      </c>
    </row>
    <row r="581" spans="1:30" ht="16.5" customHeight="1">
      <c r="A581" s="318" t="str">
        <f>IF(B581&lt;&gt;"",IF(AND(B581='IN-TC'!$S$4,OR(TH!N581="1111",TH!O581="1111")),TH!D581,""),"")</f>
        <v/>
      </c>
      <c r="B581" s="60" t="str">
        <f t="shared" si="123"/>
        <v/>
      </c>
      <c r="C581" s="974"/>
      <c r="D581" s="974"/>
      <c r="E581" s="974"/>
      <c r="F581" s="975"/>
      <c r="G581" s="976"/>
      <c r="H581" s="305"/>
      <c r="I581" s="383"/>
      <c r="J581" s="977"/>
      <c r="K581" s="383"/>
      <c r="L581" s="390"/>
      <c r="M581" s="978"/>
      <c r="N581" s="979"/>
      <c r="O581" s="979"/>
      <c r="P581" s="79" t="str">
        <f>IF(AND('331-CT'!$E$7=TH!H581,OR(N581="331",O581="331")),"x","")</f>
        <v/>
      </c>
      <c r="Q581" s="79" t="str">
        <f>IF(AND(B581='111'!$L$11,OR($N581=$Q$7,$O581=$Q$7)),"x","")</f>
        <v/>
      </c>
      <c r="R581" s="79" t="str">
        <f>IF(AND($N581=$Q$7,$B581&lt;'111'!$L$11),"x","")</f>
        <v/>
      </c>
      <c r="S581" s="79" t="str">
        <f>IF(AND($O581=$Q$7,$B581&lt;'111'!$L$11),"x","")</f>
        <v/>
      </c>
      <c r="T581" s="79" t="str">
        <f>IF(ISERROR(FIND('112'!$M$9,G581,1)),"",IF((AND(FIND('112'!$M$9,G581,1)&gt;=1,B581='112'!$K$9,OR($N581='112'!$I$6,$O581='112'!$I$6))),"x",""))</f>
        <v/>
      </c>
      <c r="U581" s="79" t="str">
        <f>IF(ISERROR(FIND('112'!$M$9,G581,1)),"",IF((AND(LEFT(G581,2)=LEFT('112'!$M$9,2),B581&lt;'112'!$K$9,$N581='112'!$I$6)),"x",""))</f>
        <v/>
      </c>
      <c r="V581" s="79" t="str">
        <f>IF(ISERROR(FIND('112'!$M$9,G581,1)),"",IF((AND(RIGHT(G581,2)=RIGHT('112'!$M$9,2),B581&lt;'112'!$K$9,$O581='112'!$I$6)),"x",""))</f>
        <v/>
      </c>
      <c r="W581" s="79" t="str">
        <f>IF(AND('341-CT'!$H$9=H581,OR(LEFT(N581,3)=$W$7,LEFT(O581,3)=$W$7)),"x","")</f>
        <v/>
      </c>
      <c r="X581" s="79" t="str">
        <f>IF(OR(TH!N581=TH!$X$7,O581=TH!$X$7),"x","")</f>
        <v/>
      </c>
      <c r="Y581" s="79" t="str">
        <f>IF(AND(OR(N581="131",O581="131"),H581='131-CT'!$H$9),"x","")</f>
        <v/>
      </c>
      <c r="Z581" s="79"/>
      <c r="AA581" s="79" t="str">
        <f>IF(AND(MONTH(E581)='IN-NX'!$J$5,'IN-NX'!$D$7=D581),"x","")</f>
        <v/>
      </c>
      <c r="AB581" s="79" t="str">
        <f>IF(AND(OR(LEFT(TH!N581,2)="15",LEFT(TH!O581,2)="15"),LEFT(TH!O581,3)&lt;&gt;"111",'152-CT'!$J$8=TH!F581),"x","")</f>
        <v/>
      </c>
      <c r="AC581" s="79" t="str">
        <f>IF(AND(OR(LEFT(TH!N581,2)="15",LEFT(TH!O581,2)="15"),TK!$E$7=TH!F581),"x","")</f>
        <v/>
      </c>
      <c r="AD581" s="79" t="str">
        <f>IF(AND(N581="1521",MONTH(C581)='BK-NL'!$M$11),"x","")</f>
        <v/>
      </c>
    </row>
    <row r="582" spans="1:30" ht="16.5" customHeight="1">
      <c r="A582" s="318" t="str">
        <f>IF(B582&lt;&gt;"",IF(AND(B582='IN-TC'!$S$4,OR(TH!N582="1111",TH!O582="1111")),TH!D582,""),"")</f>
        <v/>
      </c>
      <c r="B582" s="60" t="str">
        <f t="shared" si="123"/>
        <v/>
      </c>
      <c r="C582" s="974"/>
      <c r="D582" s="974"/>
      <c r="E582" s="974"/>
      <c r="F582" s="975"/>
      <c r="G582" s="976"/>
      <c r="H582" s="305"/>
      <c r="I582" s="383"/>
      <c r="J582" s="977"/>
      <c r="K582" s="383"/>
      <c r="L582" s="390"/>
      <c r="M582" s="978"/>
      <c r="N582" s="979"/>
      <c r="O582" s="979"/>
      <c r="P582" s="79" t="str">
        <f>IF(AND('331-CT'!$E$7=TH!H582,OR(N582="331",O582="331")),"x","")</f>
        <v/>
      </c>
      <c r="Q582" s="79" t="str">
        <f>IF(AND(B582='111'!$L$11,OR($N582=$Q$7,$O582=$Q$7)),"x","")</f>
        <v/>
      </c>
      <c r="R582" s="79" t="str">
        <f>IF(AND($N582=$Q$7,$B582&lt;'111'!$L$11),"x","")</f>
        <v/>
      </c>
      <c r="S582" s="79" t="str">
        <f>IF(AND($O582=$Q$7,$B582&lt;'111'!$L$11),"x","")</f>
        <v/>
      </c>
      <c r="T582" s="79" t="str">
        <f>IF(ISERROR(FIND('112'!$M$9,G582,1)),"",IF((AND(FIND('112'!$M$9,G582,1)&gt;=1,B582='112'!$K$9,OR($N582='112'!$I$6,$O582='112'!$I$6))),"x",""))</f>
        <v/>
      </c>
      <c r="U582" s="79" t="str">
        <f>IF(ISERROR(FIND('112'!$M$9,G582,1)),"",IF((AND(LEFT(G582,2)=LEFT('112'!$M$9,2),B582&lt;'112'!$K$9,$N582='112'!$I$6)),"x",""))</f>
        <v/>
      </c>
      <c r="V582" s="79" t="str">
        <f>IF(ISERROR(FIND('112'!$M$9,G582,1)),"",IF((AND(RIGHT(G582,2)=RIGHT('112'!$M$9,2),B582&lt;'112'!$K$9,$O582='112'!$I$6)),"x",""))</f>
        <v/>
      </c>
      <c r="W582" s="79" t="str">
        <f>IF(AND('341-CT'!$H$9=H582,OR(LEFT(N582,3)=$W$7,LEFT(O582,3)=$W$7)),"x","")</f>
        <v/>
      </c>
      <c r="X582" s="79" t="str">
        <f>IF(OR(TH!N582=TH!$X$7,O582=TH!$X$7),"x","")</f>
        <v/>
      </c>
      <c r="Y582" s="79" t="str">
        <f>IF(AND(OR(N582="131",O582="131"),H582='131-CT'!$H$9),"x","")</f>
        <v/>
      </c>
      <c r="Z582" s="79"/>
      <c r="AA582" s="79" t="str">
        <f>IF(AND(MONTH(E582)='IN-NX'!$J$5,'IN-NX'!$D$7=D582),"x","")</f>
        <v/>
      </c>
      <c r="AB582" s="79" t="str">
        <f>IF(AND(OR(LEFT(TH!N582,2)="15",LEFT(TH!O582,2)="15"),LEFT(TH!O582,3)&lt;&gt;"111",'152-CT'!$J$8=TH!F582),"x","")</f>
        <v/>
      </c>
      <c r="AC582" s="79" t="str">
        <f>IF(AND(OR(LEFT(TH!N582,2)="15",LEFT(TH!O582,2)="15"),TK!$E$7=TH!F582),"x","")</f>
        <v/>
      </c>
      <c r="AD582" s="79" t="str">
        <f>IF(AND(N582="1521",MONTH(C582)='BK-NL'!$M$11),"x","")</f>
        <v/>
      </c>
    </row>
    <row r="583" spans="1:30" ht="16.5" customHeight="1">
      <c r="A583" s="318" t="str">
        <f>IF(B583&lt;&gt;"",IF(AND(B583='IN-TC'!$S$4,OR(TH!N583="1111",TH!O583="1111")),TH!D583,""),"")</f>
        <v/>
      </c>
      <c r="B583" s="60" t="str">
        <f t="shared" si="123"/>
        <v/>
      </c>
      <c r="C583" s="974"/>
      <c r="D583" s="974"/>
      <c r="E583" s="974"/>
      <c r="F583" s="975"/>
      <c r="G583" s="976"/>
      <c r="H583" s="77"/>
      <c r="I583" s="383"/>
      <c r="J583" s="977"/>
      <c r="K583" s="383"/>
      <c r="L583" s="390"/>
      <c r="M583" s="978"/>
      <c r="N583" s="979"/>
      <c r="O583" s="979"/>
      <c r="P583" s="79" t="str">
        <f>IF(AND('331-CT'!$E$7=TH!H583,OR(N583="331",O583="331")),"x","")</f>
        <v/>
      </c>
      <c r="Q583" s="79" t="str">
        <f>IF(AND(B583='111'!$L$11,OR($N583=$Q$7,$O583=$Q$7)),"x","")</f>
        <v/>
      </c>
      <c r="R583" s="79" t="str">
        <f>IF(AND($N583=$Q$7,$B583&lt;'111'!$L$11),"x","")</f>
        <v/>
      </c>
      <c r="S583" s="79" t="str">
        <f>IF(AND($O583=$Q$7,$B583&lt;'111'!$L$11),"x","")</f>
        <v/>
      </c>
      <c r="T583" s="79" t="str">
        <f>IF(ISERROR(FIND('112'!$M$9,G583,1)),"",IF((AND(FIND('112'!$M$9,G583,1)&gt;=1,B583='112'!$K$9,OR($N583='112'!$I$6,$O583='112'!$I$6))),"x",""))</f>
        <v/>
      </c>
      <c r="U583" s="79" t="str">
        <f>IF(ISERROR(FIND('112'!$M$9,G583,1)),"",IF((AND(LEFT(G583,2)=LEFT('112'!$M$9,2),B583&lt;'112'!$K$9,$N583='112'!$I$6)),"x",""))</f>
        <v/>
      </c>
      <c r="V583" s="79" t="str">
        <f>IF(ISERROR(FIND('112'!$M$9,G583,1)),"",IF((AND(RIGHT(G583,2)=RIGHT('112'!$M$9,2),B583&lt;'112'!$K$9,$O583='112'!$I$6)),"x",""))</f>
        <v/>
      </c>
      <c r="W583" s="79" t="str">
        <f>IF(AND('341-CT'!$H$9=H583,OR(LEFT(N583,3)=$W$7,LEFT(O583,3)=$W$7)),"x","")</f>
        <v/>
      </c>
      <c r="X583" s="79" t="str">
        <f>IF(OR(TH!N583=TH!$X$7,O583=TH!$X$7),"x","")</f>
        <v/>
      </c>
      <c r="Y583" s="79" t="str">
        <f>IF(AND(OR(N583="131",O583="131"),H583='131-CT'!$H$9),"x","")</f>
        <v/>
      </c>
      <c r="Z583" s="79"/>
      <c r="AA583" s="79" t="str">
        <f>IF(AND(MONTH(E583)='IN-NX'!$J$5,'IN-NX'!$D$7=D583),"x","")</f>
        <v/>
      </c>
      <c r="AB583" s="79" t="str">
        <f>IF(AND(OR(LEFT(TH!N583,2)="15",LEFT(TH!O583,2)="15"),LEFT(TH!O583,3)&lt;&gt;"111",'152-CT'!$J$8=TH!F583),"x","")</f>
        <v/>
      </c>
      <c r="AC583" s="79" t="str">
        <f>IF(AND(OR(LEFT(TH!N583,2)="15",LEFT(TH!O583,2)="15"),TK!$E$7=TH!F583),"x","")</f>
        <v/>
      </c>
      <c r="AD583" s="79" t="str">
        <f>IF(AND(N583="1521",MONTH(C583)='BK-NL'!$M$11),"x","")</f>
        <v/>
      </c>
    </row>
    <row r="584" spans="1:30" ht="16.5" customHeight="1">
      <c r="A584" s="318" t="str">
        <f>IF(B584&lt;&gt;"",IF(AND(B584='IN-TC'!$S$4,OR(TH!N584="1111",TH!O584="1111")),TH!D584,""),"")</f>
        <v/>
      </c>
      <c r="B584" s="60" t="str">
        <f t="shared" si="123"/>
        <v/>
      </c>
      <c r="C584" s="974"/>
      <c r="D584" s="974"/>
      <c r="E584" s="974"/>
      <c r="F584" s="975"/>
      <c r="G584" s="976"/>
      <c r="H584" s="77"/>
      <c r="I584" s="383"/>
      <c r="J584" s="977"/>
      <c r="K584" s="383"/>
      <c r="L584" s="390"/>
      <c r="M584" s="978"/>
      <c r="N584" s="979"/>
      <c r="O584" s="979"/>
      <c r="P584" s="79" t="str">
        <f>IF(AND('331-CT'!$E$7=TH!H584,OR(N584="331",O584="331")),"x","")</f>
        <v/>
      </c>
      <c r="Q584" s="79" t="str">
        <f>IF(AND(B584='111'!$L$11,OR($N584=$Q$7,$O584=$Q$7)),"x","")</f>
        <v/>
      </c>
      <c r="R584" s="79" t="str">
        <f>IF(AND($N584=$Q$7,$B584&lt;'111'!$L$11),"x","")</f>
        <v/>
      </c>
      <c r="S584" s="79" t="str">
        <f>IF(AND($O584=$Q$7,$B584&lt;'111'!$L$11),"x","")</f>
        <v/>
      </c>
      <c r="T584" s="79" t="str">
        <f>IF(ISERROR(FIND('112'!$M$9,G584,1)),"",IF((AND(FIND('112'!$M$9,G584,1)&gt;=1,B584='112'!$K$9,OR($N584='112'!$I$6,$O584='112'!$I$6))),"x",""))</f>
        <v/>
      </c>
      <c r="U584" s="79" t="str">
        <f>IF(ISERROR(FIND('112'!$M$9,G584,1)),"",IF((AND(LEFT(G584,2)=LEFT('112'!$M$9,2),B584&lt;'112'!$K$9,$N584='112'!$I$6)),"x",""))</f>
        <v/>
      </c>
      <c r="V584" s="79" t="str">
        <f>IF(ISERROR(FIND('112'!$M$9,G584,1)),"",IF((AND(RIGHT(G584,2)=RIGHT('112'!$M$9,2),B584&lt;'112'!$K$9,$O584='112'!$I$6)),"x",""))</f>
        <v/>
      </c>
      <c r="W584" s="79" t="str">
        <f>IF(AND('341-CT'!$H$9=H584,OR(LEFT(N584,3)=$W$7,LEFT(O584,3)=$W$7)),"x","")</f>
        <v/>
      </c>
      <c r="X584" s="79" t="str">
        <f>IF(OR(TH!N584=TH!$X$7,O584=TH!$X$7),"x","")</f>
        <v/>
      </c>
      <c r="Y584" s="79" t="str">
        <f>IF(AND(OR(N584="131",O584="131"),H584='131-CT'!$H$9),"x","")</f>
        <v/>
      </c>
      <c r="Z584" s="79"/>
      <c r="AA584" s="79" t="str">
        <f>IF(AND(MONTH(E584)='IN-NX'!$J$5,'IN-NX'!$D$7=D584),"x","")</f>
        <v/>
      </c>
      <c r="AB584" s="79" t="str">
        <f>IF(AND(OR(LEFT(TH!N584,2)="15",LEFT(TH!O584,2)="15"),LEFT(TH!O584,3)&lt;&gt;"111",'152-CT'!$J$8=TH!F584),"x","")</f>
        <v/>
      </c>
      <c r="AC584" s="79" t="str">
        <f>IF(AND(OR(LEFT(TH!N584,2)="15",LEFT(TH!O584,2)="15"),TK!$E$7=TH!F584),"x","")</f>
        <v/>
      </c>
      <c r="AD584" s="79" t="str">
        <f>IF(AND(N584="1521",MONTH(C584)='BK-NL'!$M$11),"x","")</f>
        <v/>
      </c>
    </row>
    <row r="585" spans="1:30" ht="16.5" customHeight="1">
      <c r="A585" s="318" t="str">
        <f>IF(B585&lt;&gt;"",IF(AND(B585='IN-TC'!$S$4,OR(TH!N585="1111",TH!O585="1111")),TH!D585,""),"")</f>
        <v/>
      </c>
      <c r="B585" s="60" t="str">
        <f t="shared" si="123"/>
        <v/>
      </c>
      <c r="C585" s="974"/>
      <c r="D585" s="974"/>
      <c r="E585" s="974"/>
      <c r="F585" s="975"/>
      <c r="G585" s="976"/>
      <c r="H585" s="77"/>
      <c r="I585" s="383"/>
      <c r="J585" s="977"/>
      <c r="K585" s="383"/>
      <c r="L585" s="390"/>
      <c r="M585" s="978"/>
      <c r="N585" s="979"/>
      <c r="O585" s="979"/>
      <c r="P585" s="79" t="str">
        <f>IF(AND('331-CT'!$E$7=TH!H585,OR(N585="331",O585="331")),"x","")</f>
        <v/>
      </c>
      <c r="Q585" s="79" t="str">
        <f>IF(AND(B585='111'!$L$11,OR($N585=$Q$7,$O585=$Q$7)),"x","")</f>
        <v/>
      </c>
      <c r="R585" s="79" t="str">
        <f>IF(AND($N585=$Q$7,$B585&lt;'111'!$L$11),"x","")</f>
        <v/>
      </c>
      <c r="S585" s="79" t="str">
        <f>IF(AND($O585=$Q$7,$B585&lt;'111'!$L$11),"x","")</f>
        <v/>
      </c>
      <c r="T585" s="79" t="str">
        <f>IF(ISERROR(FIND('112'!$M$9,G585,1)),"",IF((AND(FIND('112'!$M$9,G585,1)&gt;=1,B585='112'!$K$9,OR($N585='112'!$I$6,$O585='112'!$I$6))),"x",""))</f>
        <v/>
      </c>
      <c r="U585" s="79" t="str">
        <f>IF(ISERROR(FIND('112'!$M$9,G585,1)),"",IF((AND(LEFT(G585,2)=LEFT('112'!$M$9,2),B585&lt;'112'!$K$9,$N585='112'!$I$6)),"x",""))</f>
        <v/>
      </c>
      <c r="V585" s="79" t="str">
        <f>IF(ISERROR(FIND('112'!$M$9,G585,1)),"",IF((AND(RIGHT(G585,2)=RIGHT('112'!$M$9,2),B585&lt;'112'!$K$9,$O585='112'!$I$6)),"x",""))</f>
        <v/>
      </c>
      <c r="W585" s="79" t="str">
        <f>IF(AND('341-CT'!$H$9=H585,OR(LEFT(N585,3)=$W$7,LEFT(O585,3)=$W$7)),"x","")</f>
        <v/>
      </c>
      <c r="X585" s="79" t="str">
        <f>IF(OR(TH!N585=TH!$X$7,O585=TH!$X$7),"x","")</f>
        <v/>
      </c>
      <c r="Y585" s="79" t="str">
        <f>IF(AND(OR(N585="131",O585="131"),H585='131-CT'!$H$9),"x","")</f>
        <v/>
      </c>
      <c r="Z585" s="79"/>
      <c r="AA585" s="79" t="str">
        <f>IF(AND(MONTH(E585)='IN-NX'!$J$5,'IN-NX'!$D$7=D585),"x","")</f>
        <v/>
      </c>
      <c r="AB585" s="79" t="str">
        <f>IF(AND(OR(LEFT(TH!N585,2)="15",LEFT(TH!O585,2)="15"),LEFT(TH!O585,3)&lt;&gt;"111",'152-CT'!$J$8=TH!F585),"x","")</f>
        <v/>
      </c>
      <c r="AC585" s="79" t="str">
        <f>IF(AND(OR(LEFT(TH!N585,2)="15",LEFT(TH!O585,2)="15"),TK!$E$7=TH!F585),"x","")</f>
        <v/>
      </c>
      <c r="AD585" s="79" t="str">
        <f>IF(AND(N585="1521",MONTH(C585)='BK-NL'!$M$11),"x","")</f>
        <v/>
      </c>
    </row>
    <row r="586" spans="1:30" ht="16.5" customHeight="1">
      <c r="A586" s="318" t="str">
        <f>IF(B586&lt;&gt;"",IF(AND(B586='IN-TC'!$S$4,OR(TH!N586="1111",TH!O586="1111")),TH!D586,""),"")</f>
        <v/>
      </c>
      <c r="B586" s="60" t="str">
        <f t="shared" si="123"/>
        <v/>
      </c>
      <c r="C586" s="974"/>
      <c r="D586" s="974"/>
      <c r="E586" s="974"/>
      <c r="F586" s="975"/>
      <c r="G586" s="976"/>
      <c r="H586" s="759"/>
      <c r="I586" s="383"/>
      <c r="J586" s="977"/>
      <c r="K586" s="383"/>
      <c r="L586" s="390"/>
      <c r="M586" s="978"/>
      <c r="N586" s="979"/>
      <c r="O586" s="979"/>
      <c r="P586" s="79" t="str">
        <f>IF(AND('331-CT'!$E$7=TH!H586,OR(N586="331",O586="331")),"x","")</f>
        <v/>
      </c>
      <c r="Q586" s="79" t="str">
        <f>IF(AND(B586='111'!$L$11,OR($N586=$Q$7,$O586=$Q$7)),"x","")</f>
        <v/>
      </c>
      <c r="R586" s="79" t="str">
        <f>IF(AND($N586=$Q$7,$B586&lt;'111'!$L$11),"x","")</f>
        <v/>
      </c>
      <c r="S586" s="79" t="str">
        <f>IF(AND($O586=$Q$7,$B586&lt;'111'!$L$11),"x","")</f>
        <v/>
      </c>
      <c r="T586" s="79" t="str">
        <f>IF(ISERROR(FIND('112'!$M$9,G586,1)),"",IF((AND(FIND('112'!$M$9,G586,1)&gt;=1,B586='112'!$K$9,OR($N586='112'!$I$6,$O586='112'!$I$6))),"x",""))</f>
        <v/>
      </c>
      <c r="U586" s="79" t="str">
        <f>IF(ISERROR(FIND('112'!$M$9,G586,1)),"",IF((AND(LEFT(G586,2)=LEFT('112'!$M$9,2),B586&lt;'112'!$K$9,$N586='112'!$I$6)),"x",""))</f>
        <v/>
      </c>
      <c r="V586" s="79" t="str">
        <f>IF(ISERROR(FIND('112'!$M$9,G586,1)),"",IF((AND(RIGHT(G586,2)=RIGHT('112'!$M$9,2),B586&lt;'112'!$K$9,$O586='112'!$I$6)),"x",""))</f>
        <v/>
      </c>
      <c r="W586" s="79" t="str">
        <f>IF(AND('341-CT'!$H$9=H586,OR(LEFT(N586,3)=$W$7,LEFT(O586,3)=$W$7)),"x","")</f>
        <v/>
      </c>
      <c r="X586" s="79" t="str">
        <f>IF(OR(TH!N586=TH!$X$7,O586=TH!$X$7),"x","")</f>
        <v/>
      </c>
      <c r="Y586" s="79" t="str">
        <f>IF(AND(OR(N586="131",O586="131"),H586='131-CT'!$H$9),"x","")</f>
        <v/>
      </c>
      <c r="Z586" s="79"/>
      <c r="AA586" s="79" t="str">
        <f>IF(AND(MONTH(E586)='IN-NX'!$J$5,'IN-NX'!$D$7=D586),"x","")</f>
        <v/>
      </c>
      <c r="AB586" s="79" t="str">
        <f>IF(AND(OR(LEFT(TH!N586,2)="15",LEFT(TH!O586,2)="15"),LEFT(TH!O586,3)&lt;&gt;"111",'152-CT'!$J$8=TH!F586),"x","")</f>
        <v/>
      </c>
      <c r="AC586" s="79" t="str">
        <f>IF(AND(OR(LEFT(TH!N586,2)="15",LEFT(TH!O586,2)="15"),TK!$E$7=TH!F586),"x","")</f>
        <v/>
      </c>
      <c r="AD586" s="79" t="str">
        <f>IF(AND(N586="1521",MONTH(C586)='BK-NL'!$M$11),"x","")</f>
        <v/>
      </c>
    </row>
    <row r="587" spans="1:30" ht="16.5" customHeight="1">
      <c r="A587" s="318" t="str">
        <f>IF(B587&lt;&gt;"",IF(AND(B587='IN-TC'!$S$4,OR(TH!N587="1111",TH!O587="1111")),TH!D587,""),"")</f>
        <v/>
      </c>
      <c r="B587" s="60" t="str">
        <f t="shared" si="123"/>
        <v/>
      </c>
      <c r="C587" s="974"/>
      <c r="D587" s="974"/>
      <c r="E587" s="974"/>
      <c r="F587" s="975"/>
      <c r="G587" s="976"/>
      <c r="H587" s="759"/>
      <c r="I587" s="383"/>
      <c r="J587" s="977"/>
      <c r="K587" s="383"/>
      <c r="L587" s="390"/>
      <c r="M587" s="978"/>
      <c r="N587" s="979"/>
      <c r="O587" s="979"/>
      <c r="P587" s="79" t="str">
        <f>IF(AND('331-CT'!$E$7=TH!H587,OR(N587="331",O587="331")),"x","")</f>
        <v/>
      </c>
      <c r="Q587" s="79" t="str">
        <f>IF(AND(B587='111'!$L$11,OR($N587=$Q$7,$O587=$Q$7)),"x","")</f>
        <v/>
      </c>
      <c r="R587" s="79" t="str">
        <f>IF(AND($N587=$Q$7,$B587&lt;'111'!$L$11),"x","")</f>
        <v/>
      </c>
      <c r="S587" s="79" t="str">
        <f>IF(AND($O587=$Q$7,$B587&lt;'111'!$L$11),"x","")</f>
        <v/>
      </c>
      <c r="T587" s="79" t="str">
        <f>IF(ISERROR(FIND('112'!$M$9,G587,1)),"",IF((AND(FIND('112'!$M$9,G587,1)&gt;=1,B587='112'!$K$9,OR($N587='112'!$I$6,$O587='112'!$I$6))),"x",""))</f>
        <v/>
      </c>
      <c r="U587" s="79" t="str">
        <f>IF(ISERROR(FIND('112'!$M$9,G587,1)),"",IF((AND(LEFT(G587,2)=LEFT('112'!$M$9,2),B587&lt;'112'!$K$9,$N587='112'!$I$6)),"x",""))</f>
        <v/>
      </c>
      <c r="V587" s="79" t="str">
        <f>IF(ISERROR(FIND('112'!$M$9,G587,1)),"",IF((AND(RIGHT(G587,2)=RIGHT('112'!$M$9,2),B587&lt;'112'!$K$9,$O587='112'!$I$6)),"x",""))</f>
        <v/>
      </c>
      <c r="W587" s="79" t="str">
        <f>IF(AND('341-CT'!$H$9=H587,OR(LEFT(N587,3)=$W$7,LEFT(O587,3)=$W$7)),"x","")</f>
        <v/>
      </c>
      <c r="X587" s="79" t="str">
        <f>IF(OR(TH!N587=TH!$X$7,O587=TH!$X$7),"x","")</f>
        <v/>
      </c>
      <c r="Y587" s="79" t="str">
        <f>IF(AND(OR(N587="131",O587="131"),H587='131-CT'!$H$9),"x","")</f>
        <v/>
      </c>
      <c r="Z587" s="79"/>
      <c r="AA587" s="79" t="str">
        <f>IF(AND(MONTH(E587)='IN-NX'!$J$5,'IN-NX'!$D$7=D587),"x","")</f>
        <v/>
      </c>
      <c r="AB587" s="79" t="str">
        <f>IF(AND(OR(LEFT(TH!N587,2)="15",LEFT(TH!O587,2)="15"),LEFT(TH!O587,3)&lt;&gt;"111",'152-CT'!$J$8=TH!F587),"x","")</f>
        <v/>
      </c>
      <c r="AC587" s="79" t="str">
        <f>IF(AND(OR(LEFT(TH!N587,2)="15",LEFT(TH!O587,2)="15"),TK!$E$7=TH!F587),"x","")</f>
        <v/>
      </c>
      <c r="AD587" s="79" t="str">
        <f>IF(AND(N587="1521",MONTH(C587)='BK-NL'!$M$11),"x","")</f>
        <v/>
      </c>
    </row>
    <row r="588" spans="1:30" ht="16.5" customHeight="1">
      <c r="A588" s="318" t="str">
        <f>IF(B588&lt;&gt;"",IF(AND(B588='IN-TC'!$S$4,OR(TH!N588="1111",TH!O588="1111")),TH!D588,""),"")</f>
        <v/>
      </c>
      <c r="B588" s="60" t="str">
        <f t="shared" si="123"/>
        <v/>
      </c>
      <c r="C588" s="974"/>
      <c r="D588" s="974"/>
      <c r="E588" s="974"/>
      <c r="F588" s="975"/>
      <c r="G588" s="976"/>
      <c r="H588" s="759"/>
      <c r="I588" s="383"/>
      <c r="J588" s="977"/>
      <c r="K588" s="383"/>
      <c r="L588" s="390"/>
      <c r="M588" s="978"/>
      <c r="N588" s="979"/>
      <c r="O588" s="979"/>
      <c r="P588" s="79" t="str">
        <f>IF(AND('331-CT'!$E$7=TH!H588,OR(N588="331",O588="331")),"x","")</f>
        <v/>
      </c>
      <c r="Q588" s="79" t="str">
        <f>IF(AND(B588='111'!$L$11,OR($N588=$Q$7,$O588=$Q$7)),"x","")</f>
        <v/>
      </c>
      <c r="R588" s="79" t="str">
        <f>IF(AND($N588=$Q$7,$B588&lt;'111'!$L$11),"x","")</f>
        <v/>
      </c>
      <c r="S588" s="79" t="str">
        <f>IF(AND($O588=$Q$7,$B588&lt;'111'!$L$11),"x","")</f>
        <v/>
      </c>
      <c r="T588" s="79" t="str">
        <f>IF(ISERROR(FIND('112'!$M$9,G588,1)),"",IF((AND(FIND('112'!$M$9,G588,1)&gt;=1,B588='112'!$K$9,OR($N588='112'!$I$6,$O588='112'!$I$6))),"x",""))</f>
        <v/>
      </c>
      <c r="U588" s="79" t="str">
        <f>IF(ISERROR(FIND('112'!$M$9,G588,1)),"",IF((AND(LEFT(G588,2)=LEFT('112'!$M$9,2),B588&lt;'112'!$K$9,$N588='112'!$I$6)),"x",""))</f>
        <v/>
      </c>
      <c r="V588" s="79" t="str">
        <f>IF(ISERROR(FIND('112'!$M$9,G588,1)),"",IF((AND(RIGHT(G588,2)=RIGHT('112'!$M$9,2),B588&lt;'112'!$K$9,$O588='112'!$I$6)),"x",""))</f>
        <v/>
      </c>
      <c r="W588" s="79" t="str">
        <f>IF(AND('341-CT'!$H$9=H588,OR(LEFT(N588,3)=$W$7,LEFT(O588,3)=$W$7)),"x","")</f>
        <v/>
      </c>
      <c r="X588" s="79" t="str">
        <f>IF(OR(TH!N588=TH!$X$7,O588=TH!$X$7),"x","")</f>
        <v/>
      </c>
      <c r="Y588" s="79" t="str">
        <f>IF(AND(OR(N588="131",O588="131"),H588='131-CT'!$H$9),"x","")</f>
        <v/>
      </c>
      <c r="Z588" s="79"/>
      <c r="AA588" s="79" t="str">
        <f>IF(AND(MONTH(E588)='IN-NX'!$J$5,'IN-NX'!$D$7=D588),"x","")</f>
        <v/>
      </c>
      <c r="AB588" s="79" t="str">
        <f>IF(AND(OR(LEFT(TH!N588,2)="15",LEFT(TH!O588,2)="15"),LEFT(TH!O588,3)&lt;&gt;"111",'152-CT'!$J$8=TH!F588),"x","")</f>
        <v/>
      </c>
      <c r="AC588" s="79" t="str">
        <f>IF(AND(OR(LEFT(TH!N588,2)="15",LEFT(TH!O588,2)="15"),TK!$E$7=TH!F588),"x","")</f>
        <v/>
      </c>
      <c r="AD588" s="79" t="str">
        <f>IF(AND(N588="1521",MONTH(C588)='BK-NL'!$M$11),"x","")</f>
        <v/>
      </c>
    </row>
    <row r="589" spans="1:30" ht="16.5" customHeight="1">
      <c r="A589" s="318" t="str">
        <f>IF(B589&lt;&gt;"",IF(AND(B589='IN-TC'!$S$4,OR(TH!N589="1111",TH!O589="1111")),TH!D589,""),"")</f>
        <v/>
      </c>
      <c r="B589" s="60" t="str">
        <f t="shared" si="123"/>
        <v/>
      </c>
      <c r="C589" s="974"/>
      <c r="D589" s="974"/>
      <c r="E589" s="974"/>
      <c r="F589" s="975"/>
      <c r="G589" s="976"/>
      <c r="H589" s="759"/>
      <c r="I589" s="383"/>
      <c r="J589" s="977"/>
      <c r="K589" s="383"/>
      <c r="L589" s="390"/>
      <c r="M589" s="978"/>
      <c r="N589" s="979"/>
      <c r="O589" s="979"/>
      <c r="P589" s="79" t="str">
        <f>IF(AND('331-CT'!$E$7=TH!H589,OR(N589="331",O589="331")),"x","")</f>
        <v/>
      </c>
      <c r="Q589" s="79" t="str">
        <f>IF(AND(B589='111'!$L$11,OR($N589=$Q$7,$O589=$Q$7)),"x","")</f>
        <v/>
      </c>
      <c r="R589" s="79" t="str">
        <f>IF(AND($N589=$Q$7,$B589&lt;'111'!$L$11),"x","")</f>
        <v/>
      </c>
      <c r="S589" s="79" t="str">
        <f>IF(AND($O589=$Q$7,$B589&lt;'111'!$L$11),"x","")</f>
        <v/>
      </c>
      <c r="T589" s="79" t="str">
        <f>IF(ISERROR(FIND('112'!$M$9,G589,1)),"",IF((AND(FIND('112'!$M$9,G589,1)&gt;=1,B589='112'!$K$9,OR($N589='112'!$I$6,$O589='112'!$I$6))),"x",""))</f>
        <v/>
      </c>
      <c r="U589" s="79" t="str">
        <f>IF(ISERROR(FIND('112'!$M$9,G589,1)),"",IF((AND(LEFT(G589,2)=LEFT('112'!$M$9,2),B589&lt;'112'!$K$9,$N589='112'!$I$6)),"x",""))</f>
        <v/>
      </c>
      <c r="V589" s="79" t="str">
        <f>IF(ISERROR(FIND('112'!$M$9,G589,1)),"",IF((AND(RIGHT(G589,2)=RIGHT('112'!$M$9,2),B589&lt;'112'!$K$9,$O589='112'!$I$6)),"x",""))</f>
        <v/>
      </c>
      <c r="W589" s="79" t="str">
        <f>IF(AND('341-CT'!$H$9=H589,OR(LEFT(N589,3)=$W$7,LEFT(O589,3)=$W$7)),"x","")</f>
        <v/>
      </c>
      <c r="X589" s="79" t="str">
        <f>IF(OR(TH!N589=TH!$X$7,O589=TH!$X$7),"x","")</f>
        <v/>
      </c>
      <c r="Y589" s="79" t="str">
        <f>IF(AND(OR(N589="131",O589="131"),H589='131-CT'!$H$9),"x","")</f>
        <v/>
      </c>
      <c r="Z589" s="79"/>
      <c r="AA589" s="79" t="str">
        <f>IF(AND(MONTH(E589)='IN-NX'!$J$5,'IN-NX'!$D$7=D589),"x","")</f>
        <v/>
      </c>
      <c r="AB589" s="79" t="str">
        <f>IF(AND(OR(LEFT(TH!N589,2)="15",LEFT(TH!O589,2)="15"),LEFT(TH!O589,3)&lt;&gt;"111",'152-CT'!$J$8=TH!F589),"x","")</f>
        <v/>
      </c>
      <c r="AC589" s="79" t="str">
        <f>IF(AND(OR(LEFT(TH!N589,2)="15",LEFT(TH!O589,2)="15"),TK!$E$7=TH!F589),"x","")</f>
        <v/>
      </c>
      <c r="AD589" s="79" t="str">
        <f>IF(AND(N589="1521",MONTH(C589)='BK-NL'!$M$11),"x","")</f>
        <v/>
      </c>
    </row>
    <row r="590" spans="1:30" ht="16.5" customHeight="1">
      <c r="A590" s="318" t="str">
        <f>IF(B590&lt;&gt;"",IF(AND(B590='IN-TC'!$S$4,OR(TH!N590="1111",TH!O590="1111")),TH!D590,""),"")</f>
        <v/>
      </c>
      <c r="B590" s="60" t="str">
        <f t="shared" si="123"/>
        <v/>
      </c>
      <c r="C590" s="974"/>
      <c r="D590" s="974"/>
      <c r="E590" s="974"/>
      <c r="F590" s="975"/>
      <c r="G590" s="976"/>
      <c r="H590" s="759"/>
      <c r="I590" s="383"/>
      <c r="J590" s="977"/>
      <c r="K590" s="383"/>
      <c r="L590" s="390"/>
      <c r="M590" s="978"/>
      <c r="N590" s="979"/>
      <c r="O590" s="979"/>
      <c r="P590" s="79" t="str">
        <f>IF(AND('331-CT'!$E$7=TH!H590,OR(N590="331",O590="331")),"x","")</f>
        <v/>
      </c>
      <c r="Q590" s="79" t="str">
        <f>IF(AND(B590='111'!$L$11,OR($N590=$Q$7,$O590=$Q$7)),"x","")</f>
        <v/>
      </c>
      <c r="R590" s="79" t="str">
        <f>IF(AND($N590=$Q$7,$B590&lt;'111'!$L$11),"x","")</f>
        <v/>
      </c>
      <c r="S590" s="79" t="str">
        <f>IF(AND($O590=$Q$7,$B590&lt;'111'!$L$11),"x","")</f>
        <v/>
      </c>
      <c r="T590" s="79" t="str">
        <f>IF(ISERROR(FIND('112'!$M$9,G590,1)),"",IF((AND(FIND('112'!$M$9,G590,1)&gt;=1,B590='112'!$K$9,OR($N590='112'!$I$6,$O590='112'!$I$6))),"x",""))</f>
        <v/>
      </c>
      <c r="U590" s="79" t="str">
        <f>IF(ISERROR(FIND('112'!$M$9,G590,1)),"",IF((AND(LEFT(G590,2)=LEFT('112'!$M$9,2),B590&lt;'112'!$K$9,$N590='112'!$I$6)),"x",""))</f>
        <v/>
      </c>
      <c r="V590" s="79" t="str">
        <f>IF(ISERROR(FIND('112'!$M$9,G590,1)),"",IF((AND(RIGHT(G590,2)=RIGHT('112'!$M$9,2),B590&lt;'112'!$K$9,$O590='112'!$I$6)),"x",""))</f>
        <v/>
      </c>
      <c r="W590" s="79" t="str">
        <f>IF(AND('341-CT'!$H$9=H590,OR(LEFT(N590,3)=$W$7,LEFT(O590,3)=$W$7)),"x","")</f>
        <v/>
      </c>
      <c r="X590" s="79" t="str">
        <f>IF(OR(TH!N590=TH!$X$7,O590=TH!$X$7),"x","")</f>
        <v/>
      </c>
      <c r="Y590" s="79" t="str">
        <f>IF(AND(OR(N590="131",O590="131"),H590='131-CT'!$H$9),"x","")</f>
        <v/>
      </c>
      <c r="Z590" s="79"/>
      <c r="AA590" s="79" t="str">
        <f>IF(AND(MONTH(E590)='IN-NX'!$J$5,'IN-NX'!$D$7=D590),"x","")</f>
        <v/>
      </c>
      <c r="AB590" s="79" t="str">
        <f>IF(AND(OR(LEFT(TH!N590,2)="15",LEFT(TH!O590,2)="15"),LEFT(TH!O590,3)&lt;&gt;"111",'152-CT'!$J$8=TH!F590),"x","")</f>
        <v/>
      </c>
      <c r="AC590" s="79" t="str">
        <f>IF(AND(OR(LEFT(TH!N590,2)="15",LEFT(TH!O590,2)="15"),TK!$E$7=TH!F590),"x","")</f>
        <v/>
      </c>
      <c r="AD590" s="79" t="str">
        <f>IF(AND(N590="1521",MONTH(C590)='BK-NL'!$M$11),"x","")</f>
        <v/>
      </c>
    </row>
    <row r="591" spans="1:30" ht="16.5" customHeight="1">
      <c r="A591" s="318" t="str">
        <f>IF(B591&lt;&gt;"",IF(AND(B591='IN-TC'!$S$4,OR(TH!N591="1111",TH!O591="1111")),TH!D591,""),"")</f>
        <v/>
      </c>
      <c r="B591" s="60" t="str">
        <f t="shared" ref="B591:B619" si="124">IF(C591&lt;&gt;"",MONTH(C591),"")</f>
        <v/>
      </c>
      <c r="C591" s="974"/>
      <c r="D591" s="974"/>
      <c r="E591" s="974"/>
      <c r="F591" s="975"/>
      <c r="G591" s="976"/>
      <c r="H591" s="759"/>
      <c r="I591" s="383"/>
      <c r="J591" s="977"/>
      <c r="K591" s="383"/>
      <c r="L591" s="390"/>
      <c r="M591" s="978"/>
      <c r="N591" s="979"/>
      <c r="O591" s="979"/>
      <c r="P591" s="79" t="str">
        <f>IF(AND('331-CT'!$E$7=TH!H591,OR(N591="331",O591="331")),"x","")</f>
        <v/>
      </c>
      <c r="Q591" s="79" t="str">
        <f>IF(AND(B591='111'!$L$11,OR($N591=$Q$7,$O591=$Q$7)),"x","")</f>
        <v/>
      </c>
      <c r="R591" s="79" t="str">
        <f>IF(AND($N591=$Q$7,$B591&lt;'111'!$L$11),"x","")</f>
        <v/>
      </c>
      <c r="S591" s="79" t="str">
        <f>IF(AND($O591=$Q$7,$B591&lt;'111'!$L$11),"x","")</f>
        <v/>
      </c>
      <c r="T591" s="79" t="str">
        <f>IF(ISERROR(FIND('112'!$M$9,G591,1)),"",IF((AND(FIND('112'!$M$9,G591,1)&gt;=1,B591='112'!$K$9,OR($N591='112'!$I$6,$O591='112'!$I$6))),"x",""))</f>
        <v/>
      </c>
      <c r="U591" s="79" t="str">
        <f>IF(ISERROR(FIND('112'!$M$9,G591,1)),"",IF((AND(LEFT(G591,2)=LEFT('112'!$M$9,2),B591&lt;'112'!$K$9,$N591='112'!$I$6)),"x",""))</f>
        <v/>
      </c>
      <c r="V591" s="79" t="str">
        <f>IF(ISERROR(FIND('112'!$M$9,G591,1)),"",IF((AND(RIGHT(G591,2)=RIGHT('112'!$M$9,2),B591&lt;'112'!$K$9,$O591='112'!$I$6)),"x",""))</f>
        <v/>
      </c>
      <c r="W591" s="79" t="str">
        <f>IF(AND('341-CT'!$H$9=H591,OR(LEFT(N591,3)=$W$7,LEFT(O591,3)=$W$7)),"x","")</f>
        <v/>
      </c>
      <c r="X591" s="79" t="str">
        <f>IF(OR(TH!N591=TH!$X$7,O591=TH!$X$7),"x","")</f>
        <v/>
      </c>
      <c r="Y591" s="79" t="str">
        <f>IF(AND(OR(N591="131",O591="131"),H591='131-CT'!$H$9),"x","")</f>
        <v/>
      </c>
      <c r="Z591" s="79"/>
      <c r="AA591" s="79" t="str">
        <f>IF(AND(MONTH(E591)='IN-NX'!$J$5,'IN-NX'!$D$7=D591),"x","")</f>
        <v/>
      </c>
      <c r="AB591" s="79" t="str">
        <f>IF(AND(OR(LEFT(TH!N591,2)="15",LEFT(TH!O591,2)="15"),LEFT(TH!O591,3)&lt;&gt;"111",'152-CT'!$J$8=TH!F591),"x","")</f>
        <v/>
      </c>
      <c r="AC591" s="79" t="str">
        <f>IF(AND(OR(LEFT(TH!N591,2)="15",LEFT(TH!O591,2)="15"),TK!$E$7=TH!F591),"x","")</f>
        <v/>
      </c>
      <c r="AD591" s="79" t="str">
        <f>IF(AND(N591="1521",MONTH(C591)='BK-NL'!$M$11),"x","")</f>
        <v/>
      </c>
    </row>
    <row r="592" spans="1:30" ht="16.5" customHeight="1">
      <c r="A592" s="318" t="str">
        <f>IF(B592&lt;&gt;"",IF(AND(B592='IN-TC'!$S$4,OR(TH!N592="1111",TH!O592="1111")),TH!D592,""),"")</f>
        <v/>
      </c>
      <c r="B592" s="60" t="str">
        <f t="shared" si="124"/>
        <v/>
      </c>
      <c r="C592" s="974"/>
      <c r="D592" s="974"/>
      <c r="E592" s="974"/>
      <c r="F592" s="975"/>
      <c r="G592" s="976"/>
      <c r="H592" s="305"/>
      <c r="I592" s="383"/>
      <c r="J592" s="977"/>
      <c r="K592" s="383"/>
      <c r="L592" s="390"/>
      <c r="M592" s="978"/>
      <c r="N592" s="979"/>
      <c r="O592" s="979"/>
      <c r="P592" s="79" t="str">
        <f>IF(AND('331-CT'!$E$7=TH!H592,OR(N592="331",O592="331")),"x","")</f>
        <v/>
      </c>
      <c r="Q592" s="79" t="str">
        <f>IF(AND(B592='111'!$L$11,OR($N592=$Q$7,$O592=$Q$7)),"x","")</f>
        <v/>
      </c>
      <c r="R592" s="79" t="str">
        <f>IF(AND($N592=$Q$7,$B592&lt;'111'!$L$11),"x","")</f>
        <v/>
      </c>
      <c r="S592" s="79" t="str">
        <f>IF(AND($O592=$Q$7,$B592&lt;'111'!$L$11),"x","")</f>
        <v/>
      </c>
      <c r="T592" s="79" t="str">
        <f>IF(ISERROR(FIND('112'!$M$9,G592,1)),"",IF((AND(FIND('112'!$M$9,G592,1)&gt;=1,B592='112'!$K$9,OR($N592='112'!$I$6,$O592='112'!$I$6))),"x",""))</f>
        <v/>
      </c>
      <c r="U592" s="79" t="str">
        <f>IF(ISERROR(FIND('112'!$M$9,G592,1)),"",IF((AND(LEFT(G592,2)=LEFT('112'!$M$9,2),B592&lt;'112'!$K$9,$N592='112'!$I$6)),"x",""))</f>
        <v/>
      </c>
      <c r="V592" s="79" t="str">
        <f>IF(ISERROR(FIND('112'!$M$9,G592,1)),"",IF((AND(RIGHT(G592,2)=RIGHT('112'!$M$9,2),B592&lt;'112'!$K$9,$O592='112'!$I$6)),"x",""))</f>
        <v/>
      </c>
      <c r="W592" s="79" t="str">
        <f>IF(AND('341-CT'!$H$9=H592,OR(LEFT(N592,3)=$W$7,LEFT(O592,3)=$W$7)),"x","")</f>
        <v/>
      </c>
      <c r="X592" s="79" t="str">
        <f>IF(OR(TH!N592=TH!$X$7,O592=TH!$X$7),"x","")</f>
        <v/>
      </c>
      <c r="Y592" s="79" t="str">
        <f>IF(AND(OR(N592="131",O592="131"),H592='131-CT'!$H$9),"x","")</f>
        <v/>
      </c>
      <c r="Z592" s="79"/>
      <c r="AA592" s="79" t="str">
        <f>IF(AND(MONTH(E592)='IN-NX'!$J$5,'IN-NX'!$D$7=D592),"x","")</f>
        <v/>
      </c>
      <c r="AB592" s="79" t="str">
        <f>IF(AND(OR(LEFT(TH!N592,2)="15",LEFT(TH!O592,2)="15"),LEFT(TH!O592,3)&lt;&gt;"111",'152-CT'!$J$8=TH!F592),"x","")</f>
        <v/>
      </c>
      <c r="AC592" s="79" t="str">
        <f>IF(AND(OR(LEFT(TH!N592,2)="15",LEFT(TH!O592,2)="15"),TK!$E$7=TH!F592),"x","")</f>
        <v/>
      </c>
      <c r="AD592" s="79" t="str">
        <f>IF(AND(N592="1521",MONTH(C592)='BK-NL'!$M$11),"x","")</f>
        <v/>
      </c>
    </row>
    <row r="593" spans="1:30" ht="16.5" customHeight="1">
      <c r="A593" s="318" t="str">
        <f>IF(B593&lt;&gt;"",IF(AND(B593='IN-TC'!$S$4,OR(TH!N593="1111",TH!O593="1111")),TH!D593,""),"")</f>
        <v/>
      </c>
      <c r="B593" s="60" t="str">
        <f t="shared" si="124"/>
        <v/>
      </c>
      <c r="C593" s="974"/>
      <c r="D593" s="974"/>
      <c r="E593" s="974"/>
      <c r="F593" s="975"/>
      <c r="G593" s="976"/>
      <c r="H593" s="305"/>
      <c r="I593" s="383"/>
      <c r="J593" s="977"/>
      <c r="K593" s="383"/>
      <c r="L593" s="390"/>
      <c r="M593" s="978"/>
      <c r="N593" s="979"/>
      <c r="O593" s="979"/>
      <c r="P593" s="79" t="str">
        <f>IF(AND('331-CT'!$E$7=TH!H593,OR(N593="331",O593="331")),"x","")</f>
        <v/>
      </c>
      <c r="Q593" s="79" t="str">
        <f>IF(AND(B593='111'!$L$11,OR($N593=$Q$7,$O593=$Q$7)),"x","")</f>
        <v/>
      </c>
      <c r="R593" s="79" t="str">
        <f>IF(AND($N593=$Q$7,$B593&lt;'111'!$L$11),"x","")</f>
        <v/>
      </c>
      <c r="S593" s="79" t="str">
        <f>IF(AND($O593=$Q$7,$B593&lt;'111'!$L$11),"x","")</f>
        <v/>
      </c>
      <c r="T593" s="79" t="str">
        <f>IF(ISERROR(FIND('112'!$M$9,G593,1)),"",IF((AND(FIND('112'!$M$9,G593,1)&gt;=1,B593='112'!$K$9,OR($N593='112'!$I$6,$O593='112'!$I$6))),"x",""))</f>
        <v/>
      </c>
      <c r="U593" s="79" t="str">
        <f>IF(ISERROR(FIND('112'!$M$9,G593,1)),"",IF((AND(LEFT(G593,2)=LEFT('112'!$M$9,2),B593&lt;'112'!$K$9,$N593='112'!$I$6)),"x",""))</f>
        <v/>
      </c>
      <c r="V593" s="79" t="str">
        <f>IF(ISERROR(FIND('112'!$M$9,G593,1)),"",IF((AND(RIGHT(G593,2)=RIGHT('112'!$M$9,2),B593&lt;'112'!$K$9,$O593='112'!$I$6)),"x",""))</f>
        <v/>
      </c>
      <c r="W593" s="79" t="str">
        <f>IF(AND('341-CT'!$H$9=H593,OR(LEFT(N593,3)=$W$7,LEFT(O593,3)=$W$7)),"x","")</f>
        <v/>
      </c>
      <c r="X593" s="79" t="str">
        <f>IF(OR(TH!N593=TH!$X$7,O593=TH!$X$7),"x","")</f>
        <v/>
      </c>
      <c r="Y593" s="79" t="str">
        <f>IF(AND(OR(N593="131",O593="131"),H593='131-CT'!$H$9),"x","")</f>
        <v/>
      </c>
      <c r="Z593" s="79"/>
      <c r="AA593" s="79" t="str">
        <f>IF(AND(MONTH(E593)='IN-NX'!$J$5,'IN-NX'!$D$7=D593),"x","")</f>
        <v/>
      </c>
      <c r="AB593" s="79" t="str">
        <f>IF(AND(OR(LEFT(TH!N593,2)="15",LEFT(TH!O593,2)="15"),LEFT(TH!O593,3)&lt;&gt;"111",'152-CT'!$J$8=TH!F593),"x","")</f>
        <v/>
      </c>
      <c r="AC593" s="79" t="str">
        <f>IF(AND(OR(LEFT(TH!N593,2)="15",LEFT(TH!O593,2)="15"),TK!$E$7=TH!F593),"x","")</f>
        <v/>
      </c>
      <c r="AD593" s="79" t="str">
        <f>IF(AND(N593="1521",MONTH(C593)='BK-NL'!$M$11),"x","")</f>
        <v/>
      </c>
    </row>
    <row r="594" spans="1:30" ht="16.5" customHeight="1">
      <c r="A594" s="318" t="str">
        <f>IF(B594&lt;&gt;"",IF(AND(B594='IN-TC'!$S$4,OR(TH!N594="1111",TH!O594="1111")),TH!D594,""),"")</f>
        <v/>
      </c>
      <c r="B594" s="60" t="str">
        <f t="shared" si="124"/>
        <v/>
      </c>
      <c r="C594" s="974"/>
      <c r="D594" s="974"/>
      <c r="E594" s="974"/>
      <c r="F594" s="975"/>
      <c r="G594" s="976"/>
      <c r="H594" s="305"/>
      <c r="I594" s="383"/>
      <c r="J594" s="977"/>
      <c r="K594" s="383"/>
      <c r="L594" s="390"/>
      <c r="M594" s="978"/>
      <c r="N594" s="979"/>
      <c r="O594" s="979"/>
      <c r="P594" s="79" t="str">
        <f>IF(AND('331-CT'!$E$7=TH!H594,OR(N594="331",O594="331")),"x","")</f>
        <v/>
      </c>
      <c r="Q594" s="79" t="str">
        <f>IF(AND(B594='111'!$L$11,OR($N594=$Q$7,$O594=$Q$7)),"x","")</f>
        <v/>
      </c>
      <c r="R594" s="79" t="str">
        <f>IF(AND($N594=$Q$7,$B594&lt;'111'!$L$11),"x","")</f>
        <v/>
      </c>
      <c r="S594" s="79" t="str">
        <f>IF(AND($O594=$Q$7,$B594&lt;'111'!$L$11),"x","")</f>
        <v/>
      </c>
      <c r="T594" s="79" t="str">
        <f>IF(ISERROR(FIND('112'!$M$9,G594,1)),"",IF((AND(FIND('112'!$M$9,G594,1)&gt;=1,B594='112'!$K$9,OR($N594='112'!$I$6,$O594='112'!$I$6))),"x",""))</f>
        <v/>
      </c>
      <c r="U594" s="79" t="str">
        <f>IF(ISERROR(FIND('112'!$M$9,G594,1)),"",IF((AND(LEFT(G594,2)=LEFT('112'!$M$9,2),B594&lt;'112'!$K$9,$N594='112'!$I$6)),"x",""))</f>
        <v/>
      </c>
      <c r="V594" s="79" t="str">
        <f>IF(ISERROR(FIND('112'!$M$9,G594,1)),"",IF((AND(RIGHT(G594,2)=RIGHT('112'!$M$9,2),B594&lt;'112'!$K$9,$O594='112'!$I$6)),"x",""))</f>
        <v/>
      </c>
      <c r="W594" s="79" t="str">
        <f>IF(AND('341-CT'!$H$9=H594,OR(LEFT(N594,3)=$W$7,LEFT(O594,3)=$W$7)),"x","")</f>
        <v/>
      </c>
      <c r="X594" s="79" t="str">
        <f>IF(OR(TH!N594=TH!$X$7,O594=TH!$X$7),"x","")</f>
        <v/>
      </c>
      <c r="Y594" s="79" t="str">
        <f>IF(AND(OR(N594="131",O594="131"),H594='131-CT'!$H$9),"x","")</f>
        <v/>
      </c>
      <c r="Z594" s="79"/>
      <c r="AA594" s="79" t="str">
        <f>IF(AND(MONTH(E594)='IN-NX'!$J$5,'IN-NX'!$D$7=D594),"x","")</f>
        <v/>
      </c>
      <c r="AB594" s="79" t="str">
        <f>IF(AND(OR(LEFT(TH!N594,2)="15",LEFT(TH!O594,2)="15"),LEFT(TH!O594,3)&lt;&gt;"111",'152-CT'!$J$8=TH!F594),"x","")</f>
        <v/>
      </c>
      <c r="AC594" s="79" t="str">
        <f>IF(AND(OR(LEFT(TH!N594,2)="15",LEFT(TH!O594,2)="15"),TK!$E$7=TH!F594),"x","")</f>
        <v/>
      </c>
      <c r="AD594" s="79" t="str">
        <f>IF(AND(N594="1521",MONTH(C594)='BK-NL'!$M$11),"x","")</f>
        <v/>
      </c>
    </row>
    <row r="595" spans="1:30" ht="16.5" customHeight="1">
      <c r="A595" s="318" t="str">
        <f>IF(B595&lt;&gt;"",IF(AND(B595='IN-TC'!$S$4,OR(TH!N595="1111",TH!O595="1111")),TH!D595,""),"")</f>
        <v/>
      </c>
      <c r="B595" s="60" t="str">
        <f t="shared" si="124"/>
        <v/>
      </c>
      <c r="C595" s="974"/>
      <c r="D595" s="974"/>
      <c r="E595" s="974"/>
      <c r="F595" s="975"/>
      <c r="G595" s="976"/>
      <c r="H595" s="305"/>
      <c r="I595" s="383"/>
      <c r="J595" s="977"/>
      <c r="K595" s="383"/>
      <c r="L595" s="390"/>
      <c r="M595" s="978"/>
      <c r="N595" s="979"/>
      <c r="O595" s="979"/>
      <c r="P595" s="79" t="str">
        <f>IF(AND('331-CT'!$E$7=TH!H595,OR(N595="331",O595="331")),"x","")</f>
        <v/>
      </c>
      <c r="Q595" s="79" t="str">
        <f>IF(AND(B595='111'!$L$11,OR($N595=$Q$7,$O595=$Q$7)),"x","")</f>
        <v/>
      </c>
      <c r="R595" s="79" t="str">
        <f>IF(AND($N595=$Q$7,$B595&lt;'111'!$L$11),"x","")</f>
        <v/>
      </c>
      <c r="S595" s="79" t="str">
        <f>IF(AND($O595=$Q$7,$B595&lt;'111'!$L$11),"x","")</f>
        <v/>
      </c>
      <c r="T595" s="79" t="str">
        <f>IF(ISERROR(FIND('112'!$M$9,G595,1)),"",IF((AND(FIND('112'!$M$9,G595,1)&gt;=1,B595='112'!$K$9,OR($N595='112'!$I$6,$O595='112'!$I$6))),"x",""))</f>
        <v/>
      </c>
      <c r="U595" s="79" t="str">
        <f>IF(ISERROR(FIND('112'!$M$9,G595,1)),"",IF((AND(LEFT(G595,2)=LEFT('112'!$M$9,2),B595&lt;'112'!$K$9,$N595='112'!$I$6)),"x",""))</f>
        <v/>
      </c>
      <c r="V595" s="79" t="str">
        <f>IF(ISERROR(FIND('112'!$M$9,G595,1)),"",IF((AND(RIGHT(G595,2)=RIGHT('112'!$M$9,2),B595&lt;'112'!$K$9,$O595='112'!$I$6)),"x",""))</f>
        <v/>
      </c>
      <c r="W595" s="79" t="str">
        <f>IF(AND('341-CT'!$H$9=H595,OR(LEFT(N595,3)=$W$7,LEFT(O595,3)=$W$7)),"x","")</f>
        <v/>
      </c>
      <c r="X595" s="79" t="str">
        <f>IF(OR(TH!N595=TH!$X$7,O595=TH!$X$7),"x","")</f>
        <v/>
      </c>
      <c r="Y595" s="79" t="str">
        <f>IF(AND(OR(N595="131",O595="131"),H595='131-CT'!$H$9),"x","")</f>
        <v/>
      </c>
      <c r="Z595" s="79"/>
      <c r="AA595" s="79" t="str">
        <f>IF(AND(MONTH(E595)='IN-NX'!$J$5,'IN-NX'!$D$7=D595),"x","")</f>
        <v/>
      </c>
      <c r="AB595" s="79" t="str">
        <f>IF(AND(OR(LEFT(TH!N595,2)="15",LEFT(TH!O595,2)="15"),LEFT(TH!O595,3)&lt;&gt;"111",'152-CT'!$J$8=TH!F595),"x","")</f>
        <v/>
      </c>
      <c r="AC595" s="79" t="str">
        <f>IF(AND(OR(LEFT(TH!N595,2)="15",LEFT(TH!O595,2)="15"),TK!$E$7=TH!F595),"x","")</f>
        <v/>
      </c>
      <c r="AD595" s="79" t="str">
        <f>IF(AND(N595="1521",MONTH(C595)='BK-NL'!$M$11),"x","")</f>
        <v/>
      </c>
    </row>
    <row r="596" spans="1:30" ht="16.5" customHeight="1">
      <c r="A596" s="318" t="str">
        <f>IF(B596&lt;&gt;"",IF(AND(B596='IN-TC'!$S$4,OR(TH!N596="1111",TH!O596="1111")),TH!D596,""),"")</f>
        <v/>
      </c>
      <c r="B596" s="60" t="str">
        <f t="shared" si="124"/>
        <v/>
      </c>
      <c r="C596" s="974"/>
      <c r="D596" s="974"/>
      <c r="E596" s="974"/>
      <c r="F596" s="975"/>
      <c r="G596" s="976"/>
      <c r="H596" s="305"/>
      <c r="I596" s="383"/>
      <c r="J596" s="977"/>
      <c r="K596" s="383"/>
      <c r="L596" s="390"/>
      <c r="M596" s="978"/>
      <c r="N596" s="979"/>
      <c r="O596" s="979"/>
      <c r="P596" s="79" t="str">
        <f>IF(AND('331-CT'!$E$7=TH!H596,OR(N596="331",O596="331")),"x","")</f>
        <v/>
      </c>
      <c r="Q596" s="79" t="str">
        <f>IF(AND(B596='111'!$L$11,OR($N596=$Q$7,$O596=$Q$7)),"x","")</f>
        <v/>
      </c>
      <c r="R596" s="79" t="str">
        <f>IF(AND($N596=$Q$7,$B596&lt;'111'!$L$11),"x","")</f>
        <v/>
      </c>
      <c r="S596" s="79" t="str">
        <f>IF(AND($O596=$Q$7,$B596&lt;'111'!$L$11),"x","")</f>
        <v/>
      </c>
      <c r="T596" s="79" t="str">
        <f>IF(ISERROR(FIND('112'!$M$9,G596,1)),"",IF((AND(FIND('112'!$M$9,G596,1)&gt;=1,B596='112'!$K$9,OR($N596='112'!$I$6,$O596='112'!$I$6))),"x",""))</f>
        <v/>
      </c>
      <c r="U596" s="79" t="str">
        <f>IF(ISERROR(FIND('112'!$M$9,G596,1)),"",IF((AND(LEFT(G596,2)=LEFT('112'!$M$9,2),B596&lt;'112'!$K$9,$N596='112'!$I$6)),"x",""))</f>
        <v/>
      </c>
      <c r="V596" s="79" t="str">
        <f>IF(ISERROR(FIND('112'!$M$9,G596,1)),"",IF((AND(RIGHT(G596,2)=RIGHT('112'!$M$9,2),B596&lt;'112'!$K$9,$O596='112'!$I$6)),"x",""))</f>
        <v/>
      </c>
      <c r="W596" s="79" t="str">
        <f>IF(AND('341-CT'!$H$9=H596,OR(LEFT(N596,3)=$W$7,LEFT(O596,3)=$W$7)),"x","")</f>
        <v/>
      </c>
      <c r="X596" s="79" t="str">
        <f>IF(OR(TH!N596=TH!$X$7,O596=TH!$X$7),"x","")</f>
        <v/>
      </c>
      <c r="Y596" s="79" t="str">
        <f>IF(AND(OR(N596="131",O596="131"),H596='131-CT'!$H$9),"x","")</f>
        <v/>
      </c>
      <c r="Z596" s="79"/>
      <c r="AA596" s="79" t="str">
        <f>IF(AND(MONTH(E596)='IN-NX'!$J$5,'IN-NX'!$D$7=D596),"x","")</f>
        <v/>
      </c>
      <c r="AB596" s="79" t="str">
        <f>IF(AND(OR(LEFT(TH!N596,2)="15",LEFT(TH!O596,2)="15"),LEFT(TH!O596,3)&lt;&gt;"111",'152-CT'!$J$8=TH!F596),"x","")</f>
        <v/>
      </c>
      <c r="AC596" s="79" t="str">
        <f>IF(AND(OR(LEFT(TH!N596,2)="15",LEFT(TH!O596,2)="15"),TK!$E$7=TH!F596),"x","")</f>
        <v/>
      </c>
      <c r="AD596" s="79" t="str">
        <f>IF(AND(N596="1521",MONTH(C596)='BK-NL'!$M$11),"x","")</f>
        <v/>
      </c>
    </row>
    <row r="597" spans="1:30" ht="16.5" customHeight="1">
      <c r="A597" s="318" t="str">
        <f>IF(B597&lt;&gt;"",IF(AND(B597='IN-TC'!$S$4,OR(TH!N597="1111",TH!O597="1111")),TH!D597,""),"")</f>
        <v/>
      </c>
      <c r="B597" s="60" t="str">
        <f t="shared" si="124"/>
        <v/>
      </c>
      <c r="C597" s="974"/>
      <c r="D597" s="974"/>
      <c r="E597" s="974"/>
      <c r="F597" s="975"/>
      <c r="G597" s="976"/>
      <c r="H597" s="305"/>
      <c r="I597" s="383"/>
      <c r="J597" s="977"/>
      <c r="K597" s="383"/>
      <c r="L597" s="390"/>
      <c r="M597" s="978"/>
      <c r="N597" s="979"/>
      <c r="O597" s="979"/>
      <c r="P597" s="79" t="str">
        <f>IF(AND('331-CT'!$E$7=TH!H597,OR(N597="331",O597="331")),"x","")</f>
        <v/>
      </c>
      <c r="Q597" s="79" t="str">
        <f>IF(AND(B597='111'!$L$11,OR($N597=$Q$7,$O597=$Q$7)),"x","")</f>
        <v/>
      </c>
      <c r="R597" s="79" t="str">
        <f>IF(AND($N597=$Q$7,$B597&lt;'111'!$L$11),"x","")</f>
        <v/>
      </c>
      <c r="S597" s="79" t="str">
        <f>IF(AND($O597=$Q$7,$B597&lt;'111'!$L$11),"x","")</f>
        <v/>
      </c>
      <c r="T597" s="79" t="str">
        <f>IF(ISERROR(FIND('112'!$M$9,G597,1)),"",IF((AND(FIND('112'!$M$9,G597,1)&gt;=1,B597='112'!$K$9,OR($N597='112'!$I$6,$O597='112'!$I$6))),"x",""))</f>
        <v/>
      </c>
      <c r="U597" s="79" t="str">
        <f>IF(ISERROR(FIND('112'!$M$9,G597,1)),"",IF((AND(LEFT(G597,2)=LEFT('112'!$M$9,2),B597&lt;'112'!$K$9,$N597='112'!$I$6)),"x",""))</f>
        <v/>
      </c>
      <c r="V597" s="79" t="str">
        <f>IF(ISERROR(FIND('112'!$M$9,G597,1)),"",IF((AND(RIGHT(G597,2)=RIGHT('112'!$M$9,2),B597&lt;'112'!$K$9,$O597='112'!$I$6)),"x",""))</f>
        <v/>
      </c>
      <c r="W597" s="79" t="str">
        <f>IF(AND('341-CT'!$H$9=H597,OR(LEFT(N597,3)=$W$7,LEFT(O597,3)=$W$7)),"x","")</f>
        <v/>
      </c>
      <c r="X597" s="79" t="str">
        <f>IF(OR(TH!N597=TH!$X$7,O597=TH!$X$7),"x","")</f>
        <v/>
      </c>
      <c r="Y597" s="79" t="str">
        <f>IF(AND(OR(N597="131",O597="131"),H597='131-CT'!$H$9),"x","")</f>
        <v/>
      </c>
      <c r="Z597" s="79"/>
      <c r="AA597" s="79" t="str">
        <f>IF(AND(MONTH(E597)='IN-NX'!$J$5,'IN-NX'!$D$7=D597),"x","")</f>
        <v/>
      </c>
      <c r="AB597" s="79" t="str">
        <f>IF(AND(OR(LEFT(TH!N597,2)="15",LEFT(TH!O597,2)="15"),LEFT(TH!O597,3)&lt;&gt;"111",'152-CT'!$J$8=TH!F597),"x","")</f>
        <v/>
      </c>
      <c r="AC597" s="79" t="str">
        <f>IF(AND(OR(LEFT(TH!N597,2)="15",LEFT(TH!O597,2)="15"),TK!$E$7=TH!F597),"x","")</f>
        <v/>
      </c>
      <c r="AD597" s="79" t="str">
        <f>IF(AND(N597="1521",MONTH(C597)='BK-NL'!$M$11),"x","")</f>
        <v/>
      </c>
    </row>
    <row r="598" spans="1:30" ht="16.5" customHeight="1">
      <c r="A598" s="318" t="str">
        <f>IF(B598&lt;&gt;"",IF(AND(B598='IN-TC'!$S$4,OR(TH!N598="1111",TH!O598="1111")),TH!D598,""),"")</f>
        <v/>
      </c>
      <c r="B598" s="60" t="str">
        <f t="shared" si="124"/>
        <v/>
      </c>
      <c r="C598" s="974"/>
      <c r="D598" s="974"/>
      <c r="E598" s="974"/>
      <c r="F598" s="975"/>
      <c r="G598" s="976"/>
      <c r="H598" s="305"/>
      <c r="I598" s="383"/>
      <c r="J598" s="977"/>
      <c r="K598" s="383"/>
      <c r="L598" s="390"/>
      <c r="M598" s="978"/>
      <c r="N598" s="979"/>
      <c r="O598" s="979"/>
      <c r="P598" s="79" t="str">
        <f>IF(AND('331-CT'!$E$7=TH!H598,OR(N598="331",O598="331")),"x","")</f>
        <v/>
      </c>
      <c r="Q598" s="79" t="str">
        <f>IF(AND(B598='111'!$L$11,OR($N598=$Q$7,$O598=$Q$7)),"x","")</f>
        <v/>
      </c>
      <c r="R598" s="79" t="str">
        <f>IF(AND($N598=$Q$7,$B598&lt;'111'!$L$11),"x","")</f>
        <v/>
      </c>
      <c r="S598" s="79" t="str">
        <f>IF(AND($O598=$Q$7,$B598&lt;'111'!$L$11),"x","")</f>
        <v/>
      </c>
      <c r="T598" s="79" t="str">
        <f>IF(ISERROR(FIND('112'!$M$9,G598,1)),"",IF((AND(FIND('112'!$M$9,G598,1)&gt;=1,B598='112'!$K$9,OR($N598='112'!$I$6,$O598='112'!$I$6))),"x",""))</f>
        <v/>
      </c>
      <c r="U598" s="79" t="str">
        <f>IF(ISERROR(FIND('112'!$M$9,G598,1)),"",IF((AND(LEFT(G598,2)=LEFT('112'!$M$9,2),B598&lt;'112'!$K$9,$N598='112'!$I$6)),"x",""))</f>
        <v/>
      </c>
      <c r="V598" s="79" t="str">
        <f>IF(ISERROR(FIND('112'!$M$9,G598,1)),"",IF((AND(RIGHT(G598,2)=RIGHT('112'!$M$9,2),B598&lt;'112'!$K$9,$O598='112'!$I$6)),"x",""))</f>
        <v/>
      </c>
      <c r="W598" s="79" t="str">
        <f>IF(AND('341-CT'!$H$9=H598,OR(LEFT(N598,3)=$W$7,LEFT(O598,3)=$W$7)),"x","")</f>
        <v/>
      </c>
      <c r="X598" s="79" t="str">
        <f>IF(OR(TH!N598=TH!$X$7,O598=TH!$X$7),"x","")</f>
        <v/>
      </c>
      <c r="Y598" s="79" t="str">
        <f>IF(AND(OR(N598="131",O598="131"),H598='131-CT'!$H$9),"x","")</f>
        <v/>
      </c>
      <c r="Z598" s="79"/>
      <c r="AA598" s="79" t="str">
        <f>IF(AND(MONTH(E598)='IN-NX'!$J$5,'IN-NX'!$D$7=D598),"x","")</f>
        <v/>
      </c>
      <c r="AB598" s="79" t="str">
        <f>IF(AND(OR(LEFT(TH!N598,2)="15",LEFT(TH!O598,2)="15"),LEFT(TH!O598,3)&lt;&gt;"111",'152-CT'!$J$8=TH!F598),"x","")</f>
        <v/>
      </c>
      <c r="AC598" s="79" t="str">
        <f>IF(AND(OR(LEFT(TH!N598,2)="15",LEFT(TH!O598,2)="15"),TK!$E$7=TH!F598),"x","")</f>
        <v/>
      </c>
      <c r="AD598" s="79" t="str">
        <f>IF(AND(N598="1521",MONTH(C598)='BK-NL'!$M$11),"x","")</f>
        <v/>
      </c>
    </row>
    <row r="599" spans="1:30" ht="16.5" customHeight="1">
      <c r="A599" s="318" t="str">
        <f>IF(B599&lt;&gt;"",IF(AND(B599='IN-TC'!$S$4,OR(TH!N599="1111",TH!O599="1111")),TH!D599,""),"")</f>
        <v/>
      </c>
      <c r="B599" s="60" t="str">
        <f t="shared" si="124"/>
        <v/>
      </c>
      <c r="C599" s="974"/>
      <c r="D599" s="974"/>
      <c r="E599" s="974"/>
      <c r="F599" s="975"/>
      <c r="G599" s="976"/>
      <c r="H599" s="305"/>
      <c r="I599" s="383"/>
      <c r="J599" s="977"/>
      <c r="K599" s="383"/>
      <c r="L599" s="390"/>
      <c r="M599" s="978"/>
      <c r="N599" s="979"/>
      <c r="O599" s="979"/>
      <c r="P599" s="79" t="str">
        <f>IF(AND('331-CT'!$E$7=TH!H599,OR(N599="331",O599="331")),"x","")</f>
        <v/>
      </c>
      <c r="Q599" s="79" t="str">
        <f>IF(AND(B599='111'!$L$11,OR($N599=$Q$7,$O599=$Q$7)),"x","")</f>
        <v/>
      </c>
      <c r="R599" s="79" t="str">
        <f>IF(AND($N599=$Q$7,$B599&lt;'111'!$L$11),"x","")</f>
        <v/>
      </c>
      <c r="S599" s="79" t="str">
        <f>IF(AND($O599=$Q$7,$B599&lt;'111'!$L$11),"x","")</f>
        <v/>
      </c>
      <c r="T599" s="79" t="str">
        <f>IF(ISERROR(FIND('112'!$M$9,G599,1)),"",IF((AND(FIND('112'!$M$9,G599,1)&gt;=1,B599='112'!$K$9,OR($N599='112'!$I$6,$O599='112'!$I$6))),"x",""))</f>
        <v/>
      </c>
      <c r="U599" s="79" t="str">
        <f>IF(ISERROR(FIND('112'!$M$9,G599,1)),"",IF((AND(LEFT(G599,2)=LEFT('112'!$M$9,2),B599&lt;'112'!$K$9,$N599='112'!$I$6)),"x",""))</f>
        <v/>
      </c>
      <c r="V599" s="79" t="str">
        <f>IF(ISERROR(FIND('112'!$M$9,G599,1)),"",IF((AND(RIGHT(G599,2)=RIGHT('112'!$M$9,2),B599&lt;'112'!$K$9,$O599='112'!$I$6)),"x",""))</f>
        <v/>
      </c>
      <c r="W599" s="79" t="str">
        <f>IF(AND('341-CT'!$H$9=H599,OR(LEFT(N599,3)=$W$7,LEFT(O599,3)=$W$7)),"x","")</f>
        <v/>
      </c>
      <c r="X599" s="79" t="str">
        <f>IF(OR(TH!N599=TH!$X$7,O599=TH!$X$7),"x","")</f>
        <v/>
      </c>
      <c r="Y599" s="79" t="str">
        <f>IF(AND(OR(N599="131",O599="131"),H599='131-CT'!$H$9),"x","")</f>
        <v/>
      </c>
      <c r="Z599" s="79"/>
      <c r="AA599" s="79" t="str">
        <f>IF(AND(MONTH(E599)='IN-NX'!$J$5,'IN-NX'!$D$7=D599),"x","")</f>
        <v/>
      </c>
      <c r="AB599" s="79" t="str">
        <f>IF(AND(OR(LEFT(TH!N599,2)="15",LEFT(TH!O599,2)="15"),LEFT(TH!O599,3)&lt;&gt;"111",'152-CT'!$J$8=TH!F599),"x","")</f>
        <v/>
      </c>
      <c r="AC599" s="79" t="str">
        <f>IF(AND(OR(LEFT(TH!N599,2)="15",LEFT(TH!O599,2)="15"),TK!$E$7=TH!F599),"x","")</f>
        <v/>
      </c>
      <c r="AD599" s="79" t="str">
        <f>IF(AND(N599="1521",MONTH(C599)='BK-NL'!$M$11),"x","")</f>
        <v/>
      </c>
    </row>
    <row r="600" spans="1:30" ht="16.5" customHeight="1">
      <c r="A600" s="318" t="str">
        <f>IF(B600&lt;&gt;"",IF(AND(B600='IN-TC'!$S$4,OR(TH!N600="1111",TH!O600="1111")),TH!D600,""),"")</f>
        <v/>
      </c>
      <c r="B600" s="60" t="str">
        <f t="shared" si="124"/>
        <v/>
      </c>
      <c r="C600" s="974"/>
      <c r="D600" s="974"/>
      <c r="E600" s="974"/>
      <c r="F600" s="975"/>
      <c r="G600" s="976"/>
      <c r="H600" s="305"/>
      <c r="I600" s="383"/>
      <c r="J600" s="977"/>
      <c r="K600" s="383"/>
      <c r="L600" s="390"/>
      <c r="M600" s="978"/>
      <c r="N600" s="979"/>
      <c r="O600" s="979"/>
      <c r="P600" s="79" t="str">
        <f>IF(AND('331-CT'!$E$7=TH!H600,OR(N600="331",O600="331")),"x","")</f>
        <v/>
      </c>
      <c r="Q600" s="79" t="str">
        <f>IF(AND(B600='111'!$L$11,OR($N600=$Q$7,$O600=$Q$7)),"x","")</f>
        <v/>
      </c>
      <c r="R600" s="79" t="str">
        <f>IF(AND($N600=$Q$7,$B600&lt;'111'!$L$11),"x","")</f>
        <v/>
      </c>
      <c r="S600" s="79" t="str">
        <f>IF(AND($O600=$Q$7,$B600&lt;'111'!$L$11),"x","")</f>
        <v/>
      </c>
      <c r="T600" s="79" t="str">
        <f>IF(ISERROR(FIND('112'!$M$9,G600,1)),"",IF((AND(FIND('112'!$M$9,G600,1)&gt;=1,B600='112'!$K$9,OR($N600='112'!$I$6,$O600='112'!$I$6))),"x",""))</f>
        <v/>
      </c>
      <c r="U600" s="79" t="str">
        <f>IF(ISERROR(FIND('112'!$M$9,G600,1)),"",IF((AND(LEFT(G600,2)=LEFT('112'!$M$9,2),B600&lt;'112'!$K$9,$N600='112'!$I$6)),"x",""))</f>
        <v/>
      </c>
      <c r="V600" s="79" t="str">
        <f>IF(ISERROR(FIND('112'!$M$9,G600,1)),"",IF((AND(RIGHT(G600,2)=RIGHT('112'!$M$9,2),B600&lt;'112'!$K$9,$O600='112'!$I$6)),"x",""))</f>
        <v/>
      </c>
      <c r="W600" s="79" t="str">
        <f>IF(AND('341-CT'!$H$9=H600,OR(LEFT(N600,3)=$W$7,LEFT(O600,3)=$W$7)),"x","")</f>
        <v/>
      </c>
      <c r="X600" s="79" t="str">
        <f>IF(OR(TH!N600=TH!$X$7,O600=TH!$X$7),"x","")</f>
        <v/>
      </c>
      <c r="Y600" s="79" t="str">
        <f>IF(AND(OR(N600="131",O600="131"),H600='131-CT'!$H$9),"x","")</f>
        <v/>
      </c>
      <c r="Z600" s="79"/>
      <c r="AA600" s="79" t="str">
        <f>IF(AND(MONTH(E600)='IN-NX'!$J$5,'IN-NX'!$D$7=D600),"x","")</f>
        <v/>
      </c>
      <c r="AB600" s="79" t="str">
        <f>IF(AND(OR(LEFT(TH!N600,2)="15",LEFT(TH!O600,2)="15"),LEFT(TH!O600,3)&lt;&gt;"111",'152-CT'!$J$8=TH!F600),"x","")</f>
        <v/>
      </c>
      <c r="AC600" s="79" t="str">
        <f>IF(AND(OR(LEFT(TH!N600,2)="15",LEFT(TH!O600,2)="15"),TK!$E$7=TH!F600),"x","")</f>
        <v/>
      </c>
      <c r="AD600" s="79" t="str">
        <f>IF(AND(N600="1521",MONTH(C600)='BK-NL'!$M$11),"x","")</f>
        <v/>
      </c>
    </row>
    <row r="601" spans="1:30" ht="16.5" customHeight="1">
      <c r="A601" s="318" t="str">
        <f>IF(B601&lt;&gt;"",IF(AND(B601='IN-TC'!$S$4,OR(TH!N601="1111",TH!O601="1111")),TH!D601,""),"")</f>
        <v/>
      </c>
      <c r="B601" s="60" t="str">
        <f t="shared" si="124"/>
        <v/>
      </c>
      <c r="C601" s="974"/>
      <c r="D601" s="974"/>
      <c r="E601" s="974"/>
      <c r="F601" s="975"/>
      <c r="G601" s="976"/>
      <c r="H601" s="305"/>
      <c r="I601" s="383"/>
      <c r="J601" s="977"/>
      <c r="K601" s="383"/>
      <c r="L601" s="390"/>
      <c r="M601" s="978"/>
      <c r="N601" s="979"/>
      <c r="O601" s="979"/>
      <c r="P601" s="79" t="str">
        <f>IF(AND('331-CT'!$E$7=TH!H601,OR(N601="331",O601="331")),"x","")</f>
        <v/>
      </c>
      <c r="Q601" s="79" t="str">
        <f>IF(AND(B601='111'!$L$11,OR($N601=$Q$7,$O601=$Q$7)),"x","")</f>
        <v/>
      </c>
      <c r="R601" s="79" t="str">
        <f>IF(AND($N601=$Q$7,$B601&lt;'111'!$L$11),"x","")</f>
        <v/>
      </c>
      <c r="S601" s="79" t="str">
        <f>IF(AND($O601=$Q$7,$B601&lt;'111'!$L$11),"x","")</f>
        <v/>
      </c>
      <c r="T601" s="79" t="str">
        <f>IF(ISERROR(FIND('112'!$M$9,G601,1)),"",IF((AND(FIND('112'!$M$9,G601,1)&gt;=1,B601='112'!$K$9,OR($N601='112'!$I$6,$O601='112'!$I$6))),"x",""))</f>
        <v/>
      </c>
      <c r="U601" s="79" t="str">
        <f>IF(ISERROR(FIND('112'!$M$9,G601,1)),"",IF((AND(LEFT(G601,2)=LEFT('112'!$M$9,2),B601&lt;'112'!$K$9,$N601='112'!$I$6)),"x",""))</f>
        <v/>
      </c>
      <c r="V601" s="79" t="str">
        <f>IF(ISERROR(FIND('112'!$M$9,G601,1)),"",IF((AND(RIGHT(G601,2)=RIGHT('112'!$M$9,2),B601&lt;'112'!$K$9,$O601='112'!$I$6)),"x",""))</f>
        <v/>
      </c>
      <c r="W601" s="79" t="str">
        <f>IF(AND('341-CT'!$H$9=H601,OR(LEFT(N601,3)=$W$7,LEFT(O601,3)=$W$7)),"x","")</f>
        <v/>
      </c>
      <c r="X601" s="79" t="str">
        <f>IF(OR(TH!N601=TH!$X$7,O601=TH!$X$7),"x","")</f>
        <v/>
      </c>
      <c r="Y601" s="79" t="str">
        <f>IF(AND(OR(N601="131",O601="131"),H601='131-CT'!$H$9),"x","")</f>
        <v/>
      </c>
      <c r="Z601" s="79"/>
      <c r="AA601" s="79" t="str">
        <f>IF(AND(MONTH(E601)='IN-NX'!$J$5,'IN-NX'!$D$7=D601),"x","")</f>
        <v/>
      </c>
      <c r="AB601" s="79" t="str">
        <f>IF(AND(OR(LEFT(TH!N601,2)="15",LEFT(TH!O601,2)="15"),LEFT(TH!O601,3)&lt;&gt;"111",'152-CT'!$J$8=TH!F601),"x","")</f>
        <v/>
      </c>
      <c r="AC601" s="79" t="str">
        <f>IF(AND(OR(LEFT(TH!N601,2)="15",LEFT(TH!O601,2)="15"),TK!$E$7=TH!F601),"x","")</f>
        <v/>
      </c>
      <c r="AD601" s="79" t="str">
        <f>IF(AND(N601="1521",MONTH(C601)='BK-NL'!$M$11),"x","")</f>
        <v/>
      </c>
    </row>
    <row r="602" spans="1:30" ht="16.5" customHeight="1">
      <c r="A602" s="318" t="str">
        <f>IF(B602&lt;&gt;"",IF(AND(B602='IN-TC'!$S$4,OR(TH!N602="1111",TH!O602="1111")),TH!D602,""),"")</f>
        <v/>
      </c>
      <c r="B602" s="60" t="str">
        <f t="shared" si="124"/>
        <v/>
      </c>
      <c r="C602" s="974"/>
      <c r="D602" s="974"/>
      <c r="E602" s="974"/>
      <c r="F602" s="975"/>
      <c r="G602" s="976"/>
      <c r="H602" s="305"/>
      <c r="I602" s="383"/>
      <c r="J602" s="977"/>
      <c r="K602" s="383"/>
      <c r="L602" s="390"/>
      <c r="M602" s="978"/>
      <c r="N602" s="979"/>
      <c r="O602" s="979"/>
      <c r="P602" s="79" t="str">
        <f>IF(AND('331-CT'!$E$7=TH!H602,OR(N602="331",O602="331")),"x","")</f>
        <v/>
      </c>
      <c r="Q602" s="79" t="str">
        <f>IF(AND(B602='111'!$L$11,OR($N602=$Q$7,$O602=$Q$7)),"x","")</f>
        <v/>
      </c>
      <c r="R602" s="79" t="str">
        <f>IF(AND($N602=$Q$7,$B602&lt;'111'!$L$11),"x","")</f>
        <v/>
      </c>
      <c r="S602" s="79" t="str">
        <f>IF(AND($O602=$Q$7,$B602&lt;'111'!$L$11),"x","")</f>
        <v/>
      </c>
      <c r="T602" s="79" t="str">
        <f>IF(ISERROR(FIND('112'!$M$9,G602,1)),"",IF((AND(FIND('112'!$M$9,G602,1)&gt;=1,B602='112'!$K$9,OR($N602='112'!$I$6,$O602='112'!$I$6))),"x",""))</f>
        <v/>
      </c>
      <c r="U602" s="79" t="str">
        <f>IF(ISERROR(FIND('112'!$M$9,G602,1)),"",IF((AND(LEFT(G602,2)=LEFT('112'!$M$9,2),B602&lt;'112'!$K$9,$N602='112'!$I$6)),"x",""))</f>
        <v/>
      </c>
      <c r="V602" s="79" t="str">
        <f>IF(ISERROR(FIND('112'!$M$9,G602,1)),"",IF((AND(RIGHT(G602,2)=RIGHT('112'!$M$9,2),B602&lt;'112'!$K$9,$O602='112'!$I$6)),"x",""))</f>
        <v/>
      </c>
      <c r="W602" s="79" t="str">
        <f>IF(AND('341-CT'!$H$9=H602,OR(LEFT(N602,3)=$W$7,LEFT(O602,3)=$W$7)),"x","")</f>
        <v/>
      </c>
      <c r="X602" s="79" t="str">
        <f>IF(OR(TH!N602=TH!$X$7,O602=TH!$X$7),"x","")</f>
        <v/>
      </c>
      <c r="Y602" s="79" t="str">
        <f>IF(AND(OR(N602="131",O602="131"),H602='131-CT'!$H$9),"x","")</f>
        <v/>
      </c>
      <c r="Z602" s="79"/>
      <c r="AA602" s="79" t="str">
        <f>IF(AND(MONTH(E602)='IN-NX'!$J$5,'IN-NX'!$D$7=D602),"x","")</f>
        <v/>
      </c>
      <c r="AB602" s="79" t="str">
        <f>IF(AND(OR(LEFT(TH!N602,2)="15",LEFT(TH!O602,2)="15"),LEFT(TH!O602,3)&lt;&gt;"111",'152-CT'!$J$8=TH!F602),"x","")</f>
        <v/>
      </c>
      <c r="AC602" s="79" t="str">
        <f>IF(AND(OR(LEFT(TH!N602,2)="15",LEFT(TH!O602,2)="15"),TK!$E$7=TH!F602),"x","")</f>
        <v/>
      </c>
      <c r="AD602" s="79" t="str">
        <f>IF(AND(N602="1521",MONTH(C602)='BK-NL'!$M$11),"x","")</f>
        <v/>
      </c>
    </row>
    <row r="603" spans="1:30" ht="16.5" customHeight="1">
      <c r="A603" s="318" t="str">
        <f>IF(B603&lt;&gt;"",IF(AND(B603='IN-TC'!$S$4,OR(TH!N603="1111",TH!O603="1111")),TH!D603,""),"")</f>
        <v/>
      </c>
      <c r="B603" s="60" t="str">
        <f t="shared" si="124"/>
        <v/>
      </c>
      <c r="C603" s="974"/>
      <c r="D603" s="974"/>
      <c r="E603" s="974"/>
      <c r="F603" s="975"/>
      <c r="G603" s="976"/>
      <c r="H603" s="305"/>
      <c r="I603" s="383"/>
      <c r="J603" s="977"/>
      <c r="K603" s="383"/>
      <c r="L603" s="390"/>
      <c r="M603" s="978"/>
      <c r="N603" s="979"/>
      <c r="O603" s="979"/>
      <c r="P603" s="79" t="str">
        <f>IF(AND('331-CT'!$E$7=TH!H603,OR(N603="331",O603="331")),"x","")</f>
        <v/>
      </c>
      <c r="Q603" s="79" t="str">
        <f>IF(AND(B603='111'!$L$11,OR($N603=$Q$7,$O603=$Q$7)),"x","")</f>
        <v/>
      </c>
      <c r="R603" s="79" t="str">
        <f>IF(AND($N603=$Q$7,$B603&lt;'111'!$L$11),"x","")</f>
        <v/>
      </c>
      <c r="S603" s="79" t="str">
        <f>IF(AND($O603=$Q$7,$B603&lt;'111'!$L$11),"x","")</f>
        <v/>
      </c>
      <c r="T603" s="79" t="str">
        <f>IF(ISERROR(FIND('112'!$M$9,G603,1)),"",IF((AND(FIND('112'!$M$9,G603,1)&gt;=1,B603='112'!$K$9,OR($N603='112'!$I$6,$O603='112'!$I$6))),"x",""))</f>
        <v/>
      </c>
      <c r="U603" s="79" t="str">
        <f>IF(ISERROR(FIND('112'!$M$9,G603,1)),"",IF((AND(LEFT(G603,2)=LEFT('112'!$M$9,2),B603&lt;'112'!$K$9,$N603='112'!$I$6)),"x",""))</f>
        <v/>
      </c>
      <c r="V603" s="79" t="str">
        <f>IF(ISERROR(FIND('112'!$M$9,G603,1)),"",IF((AND(RIGHT(G603,2)=RIGHT('112'!$M$9,2),B603&lt;'112'!$K$9,$O603='112'!$I$6)),"x",""))</f>
        <v/>
      </c>
      <c r="W603" s="79" t="str">
        <f>IF(AND('341-CT'!$H$9=H603,OR(LEFT(N603,3)=$W$7,LEFT(O603,3)=$W$7)),"x","")</f>
        <v/>
      </c>
      <c r="X603" s="79" t="str">
        <f>IF(OR(TH!N603=TH!$X$7,O603=TH!$X$7),"x","")</f>
        <v/>
      </c>
      <c r="Y603" s="79" t="str">
        <f>IF(AND(OR(N603="131",O603="131"),H603='131-CT'!$H$9),"x","")</f>
        <v/>
      </c>
      <c r="Z603" s="79"/>
      <c r="AA603" s="79" t="str">
        <f>IF(AND(MONTH(E603)='IN-NX'!$J$5,'IN-NX'!$D$7=D603),"x","")</f>
        <v/>
      </c>
      <c r="AB603" s="79" t="str">
        <f>IF(AND(OR(LEFT(TH!N603,2)="15",LEFT(TH!O603,2)="15"),LEFT(TH!O603,3)&lt;&gt;"111",'152-CT'!$J$8=TH!F603),"x","")</f>
        <v/>
      </c>
      <c r="AC603" s="79" t="str">
        <f>IF(AND(OR(LEFT(TH!N603,2)="15",LEFT(TH!O603,2)="15"),TK!$E$7=TH!F603),"x","")</f>
        <v/>
      </c>
      <c r="AD603" s="79" t="str">
        <f>IF(AND(N603="1521",MONTH(C603)='BK-NL'!$M$11),"x","")</f>
        <v/>
      </c>
    </row>
    <row r="604" spans="1:30" ht="16.5" customHeight="1">
      <c r="A604" s="318" t="str">
        <f>IF(B604&lt;&gt;"",IF(AND(B604='IN-TC'!$S$4,OR(TH!N604="1111",TH!O604="1111")),TH!D604,""),"")</f>
        <v/>
      </c>
      <c r="B604" s="60" t="str">
        <f t="shared" si="124"/>
        <v/>
      </c>
      <c r="C604" s="974"/>
      <c r="D604" s="974"/>
      <c r="E604" s="974"/>
      <c r="F604" s="975"/>
      <c r="G604" s="976"/>
      <c r="H604" s="305"/>
      <c r="I604" s="383"/>
      <c r="J604" s="977"/>
      <c r="K604" s="383"/>
      <c r="L604" s="390"/>
      <c r="M604" s="978"/>
      <c r="N604" s="979"/>
      <c r="O604" s="979"/>
      <c r="P604" s="79" t="str">
        <f>IF(AND('331-CT'!$E$7=TH!H604,OR(N604="331",O604="331")),"x","")</f>
        <v/>
      </c>
      <c r="Q604" s="79" t="str">
        <f>IF(AND(B604='111'!$L$11,OR($N604=$Q$7,$O604=$Q$7)),"x","")</f>
        <v/>
      </c>
      <c r="R604" s="79" t="str">
        <f>IF(AND($N604=$Q$7,$B604&lt;'111'!$L$11),"x","")</f>
        <v/>
      </c>
      <c r="S604" s="79" t="str">
        <f>IF(AND($O604=$Q$7,$B604&lt;'111'!$L$11),"x","")</f>
        <v/>
      </c>
      <c r="T604" s="79" t="str">
        <f>IF(ISERROR(FIND('112'!$M$9,G604,1)),"",IF((AND(FIND('112'!$M$9,G604,1)&gt;=1,B604='112'!$K$9,OR($N604='112'!$I$6,$O604='112'!$I$6))),"x",""))</f>
        <v/>
      </c>
      <c r="U604" s="79" t="str">
        <f>IF(ISERROR(FIND('112'!$M$9,G604,1)),"",IF((AND(LEFT(G604,2)=LEFT('112'!$M$9,2),B604&lt;'112'!$K$9,$N604='112'!$I$6)),"x",""))</f>
        <v/>
      </c>
      <c r="V604" s="79" t="str">
        <f>IF(ISERROR(FIND('112'!$M$9,G604,1)),"",IF((AND(RIGHT(G604,2)=RIGHT('112'!$M$9,2),B604&lt;'112'!$K$9,$O604='112'!$I$6)),"x",""))</f>
        <v/>
      </c>
      <c r="W604" s="79" t="str">
        <f>IF(AND('341-CT'!$H$9=H604,OR(LEFT(N604,3)=$W$7,LEFT(O604,3)=$W$7)),"x","")</f>
        <v/>
      </c>
      <c r="X604" s="79" t="str">
        <f>IF(OR(TH!N604=TH!$X$7,O604=TH!$X$7),"x","")</f>
        <v/>
      </c>
      <c r="Y604" s="79" t="str">
        <f>IF(AND(OR(N604="131",O604="131"),H604='131-CT'!$H$9),"x","")</f>
        <v/>
      </c>
      <c r="Z604" s="79"/>
      <c r="AA604" s="79" t="str">
        <f>IF(AND(MONTH(E604)='IN-NX'!$J$5,'IN-NX'!$D$7=D604),"x","")</f>
        <v/>
      </c>
      <c r="AB604" s="79" t="str">
        <f>IF(AND(OR(LEFT(TH!N604,2)="15",LEFT(TH!O604,2)="15"),LEFT(TH!O604,3)&lt;&gt;"111",'152-CT'!$J$8=TH!F604),"x","")</f>
        <v/>
      </c>
      <c r="AC604" s="79" t="str">
        <f>IF(AND(OR(LEFT(TH!N604,2)="15",LEFT(TH!O604,2)="15"),TK!$E$7=TH!F604),"x","")</f>
        <v/>
      </c>
      <c r="AD604" s="79" t="str">
        <f>IF(AND(N604="1521",MONTH(C604)='BK-NL'!$M$11),"x","")</f>
        <v/>
      </c>
    </row>
    <row r="605" spans="1:30" ht="16.5" customHeight="1">
      <c r="A605" s="318" t="str">
        <f>IF(B605&lt;&gt;"",IF(AND(B605='IN-TC'!$S$4,OR(TH!N605="1111",TH!O605="1111")),TH!D605,""),"")</f>
        <v/>
      </c>
      <c r="B605" s="60" t="str">
        <f t="shared" si="124"/>
        <v/>
      </c>
      <c r="C605" s="974"/>
      <c r="D605" s="974"/>
      <c r="E605" s="974"/>
      <c r="F605" s="975"/>
      <c r="G605" s="976"/>
      <c r="H605" s="305"/>
      <c r="I605" s="383"/>
      <c r="J605" s="977"/>
      <c r="K605" s="383"/>
      <c r="L605" s="390"/>
      <c r="M605" s="978"/>
      <c r="N605" s="979"/>
      <c r="O605" s="979"/>
      <c r="P605" s="79" t="str">
        <f>IF(AND('331-CT'!$E$7=TH!H605,OR(N605="331",O605="331")),"x","")</f>
        <v/>
      </c>
      <c r="Q605" s="79" t="str">
        <f>IF(AND(B605='111'!$L$11,OR($N605=$Q$7,$O605=$Q$7)),"x","")</f>
        <v/>
      </c>
      <c r="R605" s="79" t="str">
        <f>IF(AND($N605=$Q$7,$B605&lt;'111'!$L$11),"x","")</f>
        <v/>
      </c>
      <c r="S605" s="79" t="str">
        <f>IF(AND($O605=$Q$7,$B605&lt;'111'!$L$11),"x","")</f>
        <v/>
      </c>
      <c r="T605" s="79" t="str">
        <f>IF(ISERROR(FIND('112'!$M$9,G605,1)),"",IF((AND(FIND('112'!$M$9,G605,1)&gt;=1,B605='112'!$K$9,OR($N605='112'!$I$6,$O605='112'!$I$6))),"x",""))</f>
        <v/>
      </c>
      <c r="U605" s="79" t="str">
        <f>IF(ISERROR(FIND('112'!$M$9,G605,1)),"",IF((AND(LEFT(G605,2)=LEFT('112'!$M$9,2),B605&lt;'112'!$K$9,$N605='112'!$I$6)),"x",""))</f>
        <v/>
      </c>
      <c r="V605" s="79" t="str">
        <f>IF(ISERROR(FIND('112'!$M$9,G605,1)),"",IF((AND(RIGHT(G605,2)=RIGHT('112'!$M$9,2),B605&lt;'112'!$K$9,$O605='112'!$I$6)),"x",""))</f>
        <v/>
      </c>
      <c r="W605" s="79" t="str">
        <f>IF(AND('341-CT'!$H$9=H605,OR(LEFT(N605,3)=$W$7,LEFT(O605,3)=$W$7)),"x","")</f>
        <v/>
      </c>
      <c r="X605" s="79" t="str">
        <f>IF(OR(TH!N605=TH!$X$7,O605=TH!$X$7),"x","")</f>
        <v/>
      </c>
      <c r="Y605" s="79" t="str">
        <f>IF(AND(OR(N605="131",O605="131"),H605='131-CT'!$H$9),"x","")</f>
        <v/>
      </c>
      <c r="Z605" s="79"/>
      <c r="AA605" s="79" t="str">
        <f>IF(AND(MONTH(E605)='IN-NX'!$J$5,'IN-NX'!$D$7=D605),"x","")</f>
        <v/>
      </c>
      <c r="AB605" s="79" t="str">
        <f>IF(AND(OR(LEFT(TH!N605,2)="15",LEFT(TH!O605,2)="15"),LEFT(TH!O605,3)&lt;&gt;"111",'152-CT'!$J$8=TH!F605),"x","")</f>
        <v/>
      </c>
      <c r="AC605" s="79" t="str">
        <f>IF(AND(OR(LEFT(TH!N605,2)="15",LEFT(TH!O605,2)="15"),TK!$E$7=TH!F605),"x","")</f>
        <v/>
      </c>
      <c r="AD605" s="79" t="str">
        <f>IF(AND(N605="1521",MONTH(C605)='BK-NL'!$M$11),"x","")</f>
        <v/>
      </c>
    </row>
    <row r="606" spans="1:30" ht="16.5" customHeight="1">
      <c r="A606" s="318" t="str">
        <f>IF(B606&lt;&gt;"",IF(AND(B606='IN-TC'!$S$4,OR(TH!N606="1111",TH!O606="1111")),TH!D606,""),"")</f>
        <v/>
      </c>
      <c r="B606" s="60" t="str">
        <f t="shared" si="124"/>
        <v/>
      </c>
      <c r="C606" s="974"/>
      <c r="D606" s="974"/>
      <c r="E606" s="974"/>
      <c r="F606" s="975"/>
      <c r="G606" s="976"/>
      <c r="H606" s="305"/>
      <c r="I606" s="383"/>
      <c r="J606" s="977"/>
      <c r="K606" s="383"/>
      <c r="L606" s="390"/>
      <c r="M606" s="978"/>
      <c r="N606" s="979"/>
      <c r="O606" s="979"/>
      <c r="P606" s="79" t="str">
        <f>IF(AND('331-CT'!$E$7=TH!H606,OR(N606="331",O606="331")),"x","")</f>
        <v/>
      </c>
      <c r="Q606" s="79" t="str">
        <f>IF(AND(B606='111'!$L$11,OR($N606=$Q$7,$O606=$Q$7)),"x","")</f>
        <v/>
      </c>
      <c r="R606" s="79" t="str">
        <f>IF(AND($N606=$Q$7,$B606&lt;'111'!$L$11),"x","")</f>
        <v/>
      </c>
      <c r="S606" s="79" t="str">
        <f>IF(AND($O606=$Q$7,$B606&lt;'111'!$L$11),"x","")</f>
        <v/>
      </c>
      <c r="T606" s="79" t="str">
        <f>IF(ISERROR(FIND('112'!$M$9,G606,1)),"",IF((AND(FIND('112'!$M$9,G606,1)&gt;=1,B606='112'!$K$9,OR($N606='112'!$I$6,$O606='112'!$I$6))),"x",""))</f>
        <v/>
      </c>
      <c r="U606" s="79" t="str">
        <f>IF(ISERROR(FIND('112'!$M$9,G606,1)),"",IF((AND(LEFT(G606,2)=LEFT('112'!$M$9,2),B606&lt;'112'!$K$9,$N606='112'!$I$6)),"x",""))</f>
        <v/>
      </c>
      <c r="V606" s="79" t="str">
        <f>IF(ISERROR(FIND('112'!$M$9,G606,1)),"",IF((AND(RIGHT(G606,2)=RIGHT('112'!$M$9,2),B606&lt;'112'!$K$9,$O606='112'!$I$6)),"x",""))</f>
        <v/>
      </c>
      <c r="W606" s="79" t="str">
        <f>IF(AND('341-CT'!$H$9=H606,OR(LEFT(N606,3)=$W$7,LEFT(O606,3)=$W$7)),"x","")</f>
        <v/>
      </c>
      <c r="X606" s="79" t="str">
        <f>IF(OR(TH!N606=TH!$X$7,O606=TH!$X$7),"x","")</f>
        <v/>
      </c>
      <c r="Y606" s="79" t="str">
        <f>IF(AND(OR(N606="131",O606="131"),H606='131-CT'!$H$9),"x","")</f>
        <v/>
      </c>
      <c r="Z606" s="79"/>
      <c r="AA606" s="79" t="str">
        <f>IF(AND(MONTH(E606)='IN-NX'!$J$5,'IN-NX'!$D$7=D606),"x","")</f>
        <v/>
      </c>
      <c r="AB606" s="79" t="str">
        <f>IF(AND(OR(LEFT(TH!N606,2)="15",LEFT(TH!O606,2)="15"),LEFT(TH!O606,3)&lt;&gt;"111",'152-CT'!$J$8=TH!F606),"x","")</f>
        <v/>
      </c>
      <c r="AC606" s="79" t="str">
        <f>IF(AND(OR(LEFT(TH!N606,2)="15",LEFT(TH!O606,2)="15"),TK!$E$7=TH!F606),"x","")</f>
        <v/>
      </c>
      <c r="AD606" s="79" t="str">
        <f>IF(AND(N606="1521",MONTH(C606)='BK-NL'!$M$11),"x","")</f>
        <v/>
      </c>
    </row>
    <row r="607" spans="1:30" ht="16.5" customHeight="1">
      <c r="A607" s="318" t="str">
        <f>IF(B607&lt;&gt;"",IF(AND(B607='IN-TC'!$S$4,OR(TH!N607="1111",TH!O607="1111")),TH!D607,""),"")</f>
        <v/>
      </c>
      <c r="B607" s="60" t="str">
        <f t="shared" si="124"/>
        <v/>
      </c>
      <c r="C607" s="974"/>
      <c r="D607" s="974"/>
      <c r="E607" s="974"/>
      <c r="F607" s="975"/>
      <c r="G607" s="976"/>
      <c r="H607" s="305"/>
      <c r="I607" s="383"/>
      <c r="J607" s="977"/>
      <c r="K607" s="383"/>
      <c r="L607" s="390"/>
      <c r="M607" s="978"/>
      <c r="N607" s="979"/>
      <c r="O607" s="979"/>
      <c r="P607" s="79" t="str">
        <f>IF(AND('331-CT'!$E$7=TH!H607,OR(N607="331",O607="331")),"x","")</f>
        <v/>
      </c>
      <c r="Q607" s="79" t="str">
        <f>IF(AND(B607='111'!$L$11,OR($N607=$Q$7,$O607=$Q$7)),"x","")</f>
        <v/>
      </c>
      <c r="R607" s="79" t="str">
        <f>IF(AND($N607=$Q$7,$B607&lt;'111'!$L$11),"x","")</f>
        <v/>
      </c>
      <c r="S607" s="79" t="str">
        <f>IF(AND($O607=$Q$7,$B607&lt;'111'!$L$11),"x","")</f>
        <v/>
      </c>
      <c r="T607" s="79" t="str">
        <f>IF(ISERROR(FIND('112'!$M$9,G607,1)),"",IF((AND(FIND('112'!$M$9,G607,1)&gt;=1,B607='112'!$K$9,OR($N607='112'!$I$6,$O607='112'!$I$6))),"x",""))</f>
        <v/>
      </c>
      <c r="U607" s="79" t="str">
        <f>IF(ISERROR(FIND('112'!$M$9,G607,1)),"",IF((AND(LEFT(G607,2)=LEFT('112'!$M$9,2),B607&lt;'112'!$K$9,$N607='112'!$I$6)),"x",""))</f>
        <v/>
      </c>
      <c r="V607" s="79" t="str">
        <f>IF(ISERROR(FIND('112'!$M$9,G607,1)),"",IF((AND(RIGHT(G607,2)=RIGHT('112'!$M$9,2),B607&lt;'112'!$K$9,$O607='112'!$I$6)),"x",""))</f>
        <v/>
      </c>
      <c r="W607" s="79" t="str">
        <f>IF(AND('341-CT'!$H$9=H607,OR(LEFT(N607,3)=$W$7,LEFT(O607,3)=$W$7)),"x","")</f>
        <v/>
      </c>
      <c r="X607" s="79" t="str">
        <f>IF(OR(TH!N607=TH!$X$7,O607=TH!$X$7),"x","")</f>
        <v/>
      </c>
      <c r="Y607" s="79" t="str">
        <f>IF(AND(OR(N607="131",O607="131"),H607='131-CT'!$H$9),"x","")</f>
        <v/>
      </c>
      <c r="Z607" s="79"/>
      <c r="AA607" s="79" t="str">
        <f>IF(AND(MONTH(E607)='IN-NX'!$J$5,'IN-NX'!$D$7=D607),"x","")</f>
        <v/>
      </c>
      <c r="AB607" s="79" t="str">
        <f>IF(AND(OR(LEFT(TH!N607,2)="15",LEFT(TH!O607,2)="15"),LEFT(TH!O607,3)&lt;&gt;"111",'152-CT'!$J$8=TH!F607),"x","")</f>
        <v/>
      </c>
      <c r="AC607" s="79" t="str">
        <f>IF(AND(OR(LEFT(TH!N607,2)="15",LEFT(TH!O607,2)="15"),TK!$E$7=TH!F607),"x","")</f>
        <v/>
      </c>
      <c r="AD607" s="79" t="str">
        <f>IF(AND(N607="1521",MONTH(C607)='BK-NL'!$M$11),"x","")</f>
        <v/>
      </c>
    </row>
    <row r="608" spans="1:30" ht="16.5" customHeight="1">
      <c r="A608" s="318" t="str">
        <f>IF(B608&lt;&gt;"",IF(AND(B608='IN-TC'!$S$4,OR(TH!N608="1111",TH!O608="1111")),TH!D608,""),"")</f>
        <v/>
      </c>
      <c r="B608" s="60" t="str">
        <f t="shared" si="124"/>
        <v/>
      </c>
      <c r="C608" s="974"/>
      <c r="D608" s="974"/>
      <c r="E608" s="974"/>
      <c r="F608" s="975"/>
      <c r="G608" s="976"/>
      <c r="H608" s="305"/>
      <c r="I608" s="383"/>
      <c r="J608" s="977"/>
      <c r="K608" s="383"/>
      <c r="L608" s="390"/>
      <c r="M608" s="978"/>
      <c r="N608" s="979"/>
      <c r="O608" s="979"/>
      <c r="P608" s="79" t="str">
        <f>IF(AND('331-CT'!$E$7=TH!H608,OR(N608="331",O608="331")),"x","")</f>
        <v/>
      </c>
      <c r="Q608" s="79" t="str">
        <f>IF(AND(B608='111'!$L$11,OR($N608=$Q$7,$O608=$Q$7)),"x","")</f>
        <v/>
      </c>
      <c r="R608" s="79" t="str">
        <f>IF(AND($N608=$Q$7,$B608&lt;'111'!$L$11),"x","")</f>
        <v/>
      </c>
      <c r="S608" s="79" t="str">
        <f>IF(AND($O608=$Q$7,$B608&lt;'111'!$L$11),"x","")</f>
        <v/>
      </c>
      <c r="T608" s="79" t="str">
        <f>IF(ISERROR(FIND('112'!$M$9,G608,1)),"",IF((AND(FIND('112'!$M$9,G608,1)&gt;=1,B608='112'!$K$9,OR($N608='112'!$I$6,$O608='112'!$I$6))),"x",""))</f>
        <v/>
      </c>
      <c r="U608" s="79" t="str">
        <f>IF(ISERROR(FIND('112'!$M$9,G608,1)),"",IF((AND(LEFT(G608,2)=LEFT('112'!$M$9,2),B608&lt;'112'!$K$9,$N608='112'!$I$6)),"x",""))</f>
        <v/>
      </c>
      <c r="V608" s="79" t="str">
        <f>IF(ISERROR(FIND('112'!$M$9,G608,1)),"",IF((AND(RIGHT(G608,2)=RIGHT('112'!$M$9,2),B608&lt;'112'!$K$9,$O608='112'!$I$6)),"x",""))</f>
        <v/>
      </c>
      <c r="W608" s="79" t="str">
        <f>IF(AND('341-CT'!$H$9=H608,OR(LEFT(N608,3)=$W$7,LEFT(O608,3)=$W$7)),"x","")</f>
        <v/>
      </c>
      <c r="X608" s="79" t="str">
        <f>IF(OR(TH!N608=TH!$X$7,O608=TH!$X$7),"x","")</f>
        <v/>
      </c>
      <c r="Y608" s="79" t="str">
        <f>IF(AND(OR(N608="131",O608="131"),H608='131-CT'!$H$9),"x","")</f>
        <v/>
      </c>
      <c r="Z608" s="79"/>
      <c r="AA608" s="79" t="str">
        <f>IF(AND(MONTH(E608)='IN-NX'!$J$5,'IN-NX'!$D$7=D608),"x","")</f>
        <v/>
      </c>
      <c r="AB608" s="79" t="str">
        <f>IF(AND(OR(LEFT(TH!N608,2)="15",LEFT(TH!O608,2)="15"),LEFT(TH!O608,3)&lt;&gt;"111",'152-CT'!$J$8=TH!F608),"x","")</f>
        <v/>
      </c>
      <c r="AC608" s="79" t="str">
        <f>IF(AND(OR(LEFT(TH!N608,2)="15",LEFT(TH!O608,2)="15"),TK!$E$7=TH!F608),"x","")</f>
        <v/>
      </c>
      <c r="AD608" s="79" t="str">
        <f>IF(AND(N608="1521",MONTH(C608)='BK-NL'!$M$11),"x","")</f>
        <v/>
      </c>
    </row>
    <row r="609" spans="1:30" ht="16.5" customHeight="1">
      <c r="A609" s="318" t="str">
        <f>IF(B609&lt;&gt;"",IF(AND(B609='IN-TC'!$S$4,OR(TH!N609="1111",TH!O609="1111")),TH!D609,""),"")</f>
        <v/>
      </c>
      <c r="B609" s="60" t="str">
        <f t="shared" si="124"/>
        <v/>
      </c>
      <c r="C609" s="974"/>
      <c r="D609" s="974"/>
      <c r="E609" s="974"/>
      <c r="F609" s="975"/>
      <c r="G609" s="976"/>
      <c r="H609" s="305"/>
      <c r="I609" s="383"/>
      <c r="J609" s="977"/>
      <c r="K609" s="383"/>
      <c r="L609" s="390"/>
      <c r="M609" s="978"/>
      <c r="N609" s="979"/>
      <c r="O609" s="979"/>
      <c r="P609" s="79" t="str">
        <f>IF(AND('331-CT'!$E$7=TH!H609,OR(N609="331",O609="331")),"x","")</f>
        <v/>
      </c>
      <c r="Q609" s="79" t="str">
        <f>IF(AND(B609='111'!$L$11,OR($N609=$Q$7,$O609=$Q$7)),"x","")</f>
        <v/>
      </c>
      <c r="R609" s="79" t="str">
        <f>IF(AND($N609=$Q$7,$B609&lt;'111'!$L$11),"x","")</f>
        <v/>
      </c>
      <c r="S609" s="79" t="str">
        <f>IF(AND($O609=$Q$7,$B609&lt;'111'!$L$11),"x","")</f>
        <v/>
      </c>
      <c r="T609" s="79" t="str">
        <f>IF(ISERROR(FIND('112'!$M$9,G609,1)),"",IF((AND(FIND('112'!$M$9,G609,1)&gt;=1,B609='112'!$K$9,OR($N609='112'!$I$6,$O609='112'!$I$6))),"x",""))</f>
        <v/>
      </c>
      <c r="U609" s="79" t="str">
        <f>IF(ISERROR(FIND('112'!$M$9,G609,1)),"",IF((AND(LEFT(G609,2)=LEFT('112'!$M$9,2),B609&lt;'112'!$K$9,$N609='112'!$I$6)),"x",""))</f>
        <v/>
      </c>
      <c r="V609" s="79" t="str">
        <f>IF(ISERROR(FIND('112'!$M$9,G609,1)),"",IF((AND(RIGHT(G609,2)=RIGHT('112'!$M$9,2),B609&lt;'112'!$K$9,$O609='112'!$I$6)),"x",""))</f>
        <v/>
      </c>
      <c r="W609" s="79" t="str">
        <f>IF(AND('341-CT'!$H$9=H609,OR(LEFT(N609,3)=$W$7,LEFT(O609,3)=$W$7)),"x","")</f>
        <v/>
      </c>
      <c r="X609" s="79" t="str">
        <f>IF(OR(TH!N609=TH!$X$7,O609=TH!$X$7),"x","")</f>
        <v/>
      </c>
      <c r="Y609" s="79" t="str">
        <f>IF(AND(OR(N609="131",O609="131"),H609='131-CT'!$H$9),"x","")</f>
        <v/>
      </c>
      <c r="Z609" s="79"/>
      <c r="AA609" s="79" t="str">
        <f>IF(AND(MONTH(E609)='IN-NX'!$J$5,'IN-NX'!$D$7=D609),"x","")</f>
        <v/>
      </c>
      <c r="AB609" s="79" t="str">
        <f>IF(AND(OR(LEFT(TH!N609,2)="15",LEFT(TH!O609,2)="15"),LEFT(TH!O609,3)&lt;&gt;"111",'152-CT'!$J$8=TH!F609),"x","")</f>
        <v/>
      </c>
      <c r="AC609" s="79" t="str">
        <f>IF(AND(OR(LEFT(TH!N609,2)="15",LEFT(TH!O609,2)="15"),TK!$E$7=TH!F609),"x","")</f>
        <v/>
      </c>
      <c r="AD609" s="79" t="str">
        <f>IF(AND(N609="1521",MONTH(C609)='BK-NL'!$M$11),"x","")</f>
        <v/>
      </c>
    </row>
    <row r="610" spans="1:30" ht="16.5" customHeight="1">
      <c r="A610" s="318" t="str">
        <f>IF(B610&lt;&gt;"",IF(AND(B610='IN-TC'!$S$4,OR(TH!N610="1111",TH!O610="1111")),TH!D610,""),"")</f>
        <v/>
      </c>
      <c r="B610" s="60" t="str">
        <f t="shared" si="124"/>
        <v/>
      </c>
      <c r="C610" s="974"/>
      <c r="D610" s="974"/>
      <c r="E610" s="974"/>
      <c r="F610" s="975"/>
      <c r="G610" s="976"/>
      <c r="H610" s="305"/>
      <c r="I610" s="383"/>
      <c r="J610" s="977"/>
      <c r="K610" s="383"/>
      <c r="L610" s="390"/>
      <c r="M610" s="978"/>
      <c r="N610" s="979"/>
      <c r="O610" s="979"/>
      <c r="P610" s="79" t="str">
        <f>IF(AND('331-CT'!$E$7=TH!H610,OR(N610="331",O610="331")),"x","")</f>
        <v/>
      </c>
      <c r="Q610" s="79" t="str">
        <f>IF(AND(B610='111'!$L$11,OR($N610=$Q$7,$O610=$Q$7)),"x","")</f>
        <v/>
      </c>
      <c r="R610" s="79" t="str">
        <f>IF(AND($N610=$Q$7,$B610&lt;'111'!$L$11),"x","")</f>
        <v/>
      </c>
      <c r="S610" s="79" t="str">
        <f>IF(AND($O610=$Q$7,$B610&lt;'111'!$L$11),"x","")</f>
        <v/>
      </c>
      <c r="T610" s="79" t="str">
        <f>IF(ISERROR(FIND('112'!$M$9,G610,1)),"",IF((AND(FIND('112'!$M$9,G610,1)&gt;=1,B610='112'!$K$9,OR($N610='112'!$I$6,$O610='112'!$I$6))),"x",""))</f>
        <v/>
      </c>
      <c r="U610" s="79" t="str">
        <f>IF(ISERROR(FIND('112'!$M$9,G610,1)),"",IF((AND(LEFT(G610,2)=LEFT('112'!$M$9,2),B610&lt;'112'!$K$9,$N610='112'!$I$6)),"x",""))</f>
        <v/>
      </c>
      <c r="V610" s="79" t="str">
        <f>IF(ISERROR(FIND('112'!$M$9,G610,1)),"",IF((AND(RIGHT(G610,2)=RIGHT('112'!$M$9,2),B610&lt;'112'!$K$9,$O610='112'!$I$6)),"x",""))</f>
        <v/>
      </c>
      <c r="W610" s="79" t="str">
        <f>IF(AND('341-CT'!$H$9=H610,OR(LEFT(N610,3)=$W$7,LEFT(O610,3)=$W$7)),"x","")</f>
        <v/>
      </c>
      <c r="X610" s="79" t="str">
        <f>IF(OR(TH!N610=TH!$X$7,O610=TH!$X$7),"x","")</f>
        <v/>
      </c>
      <c r="Y610" s="79" t="str">
        <f>IF(AND(OR(N610="131",O610="131"),H610='131-CT'!$H$9),"x","")</f>
        <v/>
      </c>
      <c r="Z610" s="79"/>
      <c r="AA610" s="79" t="str">
        <f>IF(AND(MONTH(E610)='IN-NX'!$J$5,'IN-NX'!$D$7=D610),"x","")</f>
        <v/>
      </c>
      <c r="AB610" s="79" t="str">
        <f>IF(AND(OR(LEFT(TH!N610,2)="15",LEFT(TH!O610,2)="15"),LEFT(TH!O610,3)&lt;&gt;"111",'152-CT'!$J$8=TH!F610),"x","")</f>
        <v/>
      </c>
      <c r="AC610" s="79" t="str">
        <f>IF(AND(OR(LEFT(TH!N610,2)="15",LEFT(TH!O610,2)="15"),TK!$E$7=TH!F610),"x","")</f>
        <v/>
      </c>
      <c r="AD610" s="79" t="str">
        <f>IF(AND(N610="1521",MONTH(C610)='BK-NL'!$M$11),"x","")</f>
        <v/>
      </c>
    </row>
    <row r="611" spans="1:30" ht="16.5" customHeight="1">
      <c r="A611" s="318" t="str">
        <f>IF(B611&lt;&gt;"",IF(AND(B611='IN-TC'!$S$4,OR(TH!N611="1111",TH!O611="1111")),TH!D611,""),"")</f>
        <v/>
      </c>
      <c r="B611" s="60" t="str">
        <f t="shared" si="124"/>
        <v/>
      </c>
      <c r="C611" s="974"/>
      <c r="D611" s="974"/>
      <c r="E611" s="974"/>
      <c r="F611" s="975"/>
      <c r="G611" s="976"/>
      <c r="H611" s="305"/>
      <c r="I611" s="383"/>
      <c r="J611" s="977"/>
      <c r="K611" s="383"/>
      <c r="L611" s="390"/>
      <c r="M611" s="978"/>
      <c r="N611" s="979"/>
      <c r="O611" s="979"/>
      <c r="P611" s="79" t="str">
        <f>IF(AND('331-CT'!$E$7=TH!H611,OR(N611="331",O611="331")),"x","")</f>
        <v/>
      </c>
      <c r="Q611" s="79" t="str">
        <f>IF(AND(B611='111'!$L$11,OR($N611=$Q$7,$O611=$Q$7)),"x","")</f>
        <v/>
      </c>
      <c r="R611" s="79" t="str">
        <f>IF(AND($N611=$Q$7,$B611&lt;'111'!$L$11),"x","")</f>
        <v/>
      </c>
      <c r="S611" s="79" t="str">
        <f>IF(AND($O611=$Q$7,$B611&lt;'111'!$L$11),"x","")</f>
        <v/>
      </c>
      <c r="T611" s="79" t="str">
        <f>IF(ISERROR(FIND('112'!$M$9,G611,1)),"",IF((AND(FIND('112'!$M$9,G611,1)&gt;=1,B611='112'!$K$9,OR($N611='112'!$I$6,$O611='112'!$I$6))),"x",""))</f>
        <v/>
      </c>
      <c r="U611" s="79" t="str">
        <f>IF(ISERROR(FIND('112'!$M$9,G611,1)),"",IF((AND(LEFT(G611,2)=LEFT('112'!$M$9,2),B611&lt;'112'!$K$9,$N611='112'!$I$6)),"x",""))</f>
        <v/>
      </c>
      <c r="V611" s="79" t="str">
        <f>IF(ISERROR(FIND('112'!$M$9,G611,1)),"",IF((AND(RIGHT(G611,2)=RIGHT('112'!$M$9,2),B611&lt;'112'!$K$9,$O611='112'!$I$6)),"x",""))</f>
        <v/>
      </c>
      <c r="W611" s="79" t="str">
        <f>IF(AND('341-CT'!$H$9=H611,OR(LEFT(N611,3)=$W$7,LEFT(O611,3)=$W$7)),"x","")</f>
        <v/>
      </c>
      <c r="X611" s="79" t="str">
        <f>IF(OR(TH!N611=TH!$X$7,O611=TH!$X$7),"x","")</f>
        <v/>
      </c>
      <c r="Y611" s="79" t="str">
        <f>IF(AND(OR(N611="131",O611="131"),H611='131-CT'!$H$9),"x","")</f>
        <v/>
      </c>
      <c r="Z611" s="79"/>
      <c r="AA611" s="79" t="str">
        <f>IF(AND(MONTH(E611)='IN-NX'!$J$5,'IN-NX'!$D$7=D611),"x","")</f>
        <v/>
      </c>
      <c r="AB611" s="79" t="str">
        <f>IF(AND(OR(LEFT(TH!N611,2)="15",LEFT(TH!O611,2)="15"),LEFT(TH!O611,3)&lt;&gt;"111",'152-CT'!$J$8=TH!F611),"x","")</f>
        <v/>
      </c>
      <c r="AC611" s="79" t="str">
        <f>IF(AND(OR(LEFT(TH!N611,2)="15",LEFT(TH!O611,2)="15"),TK!$E$7=TH!F611),"x","")</f>
        <v/>
      </c>
      <c r="AD611" s="79" t="str">
        <f>IF(AND(N611="1521",MONTH(C611)='BK-NL'!$M$11),"x","")</f>
        <v/>
      </c>
    </row>
    <row r="612" spans="1:30" ht="16.5" customHeight="1">
      <c r="A612" s="318" t="str">
        <f>IF(B612&lt;&gt;"",IF(AND(B612='IN-TC'!$S$4,OR(TH!N612="1111",TH!O612="1111")),TH!D612,""),"")</f>
        <v/>
      </c>
      <c r="B612" s="60" t="str">
        <f t="shared" si="124"/>
        <v/>
      </c>
      <c r="C612" s="974"/>
      <c r="D612" s="974"/>
      <c r="E612" s="974"/>
      <c r="F612" s="975"/>
      <c r="G612" s="976"/>
      <c r="H612" s="305"/>
      <c r="I612" s="383"/>
      <c r="J612" s="977"/>
      <c r="K612" s="383"/>
      <c r="L612" s="390"/>
      <c r="M612" s="978"/>
      <c r="N612" s="979"/>
      <c r="O612" s="979"/>
      <c r="P612" s="79" t="str">
        <f>IF(AND('331-CT'!$E$7=TH!H612,OR(N612="331",O612="331")),"x","")</f>
        <v/>
      </c>
      <c r="Q612" s="79" t="str">
        <f>IF(AND(B612='111'!$L$11,OR($N612=$Q$7,$O612=$Q$7)),"x","")</f>
        <v/>
      </c>
      <c r="R612" s="79" t="str">
        <f>IF(AND($N612=$Q$7,$B612&lt;'111'!$L$11),"x","")</f>
        <v/>
      </c>
      <c r="S612" s="79" t="str">
        <f>IF(AND($O612=$Q$7,$B612&lt;'111'!$L$11),"x","")</f>
        <v/>
      </c>
      <c r="T612" s="79" t="str">
        <f>IF(ISERROR(FIND('112'!$M$9,G612,1)),"",IF((AND(FIND('112'!$M$9,G612,1)&gt;=1,B612='112'!$K$9,OR($N612='112'!$I$6,$O612='112'!$I$6))),"x",""))</f>
        <v/>
      </c>
      <c r="U612" s="79" t="str">
        <f>IF(ISERROR(FIND('112'!$M$9,G612,1)),"",IF((AND(LEFT(G612,2)=LEFT('112'!$M$9,2),B612&lt;'112'!$K$9,$N612='112'!$I$6)),"x",""))</f>
        <v/>
      </c>
      <c r="V612" s="79" t="str">
        <f>IF(ISERROR(FIND('112'!$M$9,G612,1)),"",IF((AND(RIGHT(G612,2)=RIGHT('112'!$M$9,2),B612&lt;'112'!$K$9,$O612='112'!$I$6)),"x",""))</f>
        <v/>
      </c>
      <c r="W612" s="79" t="str">
        <f>IF(AND('341-CT'!$H$9=H612,OR(LEFT(N612,3)=$W$7,LEFT(O612,3)=$W$7)),"x","")</f>
        <v/>
      </c>
      <c r="X612" s="79" t="str">
        <f>IF(OR(TH!N612=TH!$X$7,O612=TH!$X$7),"x","")</f>
        <v/>
      </c>
      <c r="Y612" s="79" t="str">
        <f>IF(AND(OR(N612="131",O612="131"),H612='131-CT'!$H$9),"x","")</f>
        <v/>
      </c>
      <c r="Z612" s="79"/>
      <c r="AA612" s="79" t="str">
        <f>IF(AND(MONTH(E612)='IN-NX'!$J$5,'IN-NX'!$D$7=D612),"x","")</f>
        <v/>
      </c>
      <c r="AB612" s="79" t="str">
        <f>IF(AND(OR(LEFT(TH!N612,2)="15",LEFT(TH!O612,2)="15"),LEFT(TH!O612,3)&lt;&gt;"111",'152-CT'!$J$8=TH!F612),"x","")</f>
        <v/>
      </c>
      <c r="AC612" s="79" t="str">
        <f>IF(AND(OR(LEFT(TH!N612,2)="15",LEFT(TH!O612,2)="15"),TK!$E$7=TH!F612),"x","")</f>
        <v/>
      </c>
      <c r="AD612" s="79" t="str">
        <f>IF(AND(N612="1521",MONTH(C612)='BK-NL'!$M$11),"x","")</f>
        <v/>
      </c>
    </row>
    <row r="613" spans="1:30" ht="16.5" customHeight="1">
      <c r="A613" s="318" t="str">
        <f>IF(B613&lt;&gt;"",IF(AND(B613='IN-TC'!$S$4,OR(TH!N613="1111",TH!O613="1111")),TH!D613,""),"")</f>
        <v/>
      </c>
      <c r="B613" s="60" t="str">
        <f t="shared" si="124"/>
        <v/>
      </c>
      <c r="C613" s="974"/>
      <c r="D613" s="974"/>
      <c r="E613" s="974"/>
      <c r="F613" s="975"/>
      <c r="G613" s="976"/>
      <c r="H613" s="305"/>
      <c r="I613" s="383"/>
      <c r="J613" s="977"/>
      <c r="K613" s="383"/>
      <c r="L613" s="390"/>
      <c r="M613" s="978"/>
      <c r="N613" s="979"/>
      <c r="O613" s="979"/>
      <c r="P613" s="79" t="str">
        <f>IF(AND('331-CT'!$E$7=TH!H613,OR(N613="331",O613="331")),"x","")</f>
        <v/>
      </c>
      <c r="Q613" s="79" t="str">
        <f>IF(AND(B613='111'!$L$11,OR($N613=$Q$7,$O613=$Q$7)),"x","")</f>
        <v/>
      </c>
      <c r="R613" s="79" t="str">
        <f>IF(AND($N613=$Q$7,$B613&lt;'111'!$L$11),"x","")</f>
        <v/>
      </c>
      <c r="S613" s="79" t="str">
        <f>IF(AND($O613=$Q$7,$B613&lt;'111'!$L$11),"x","")</f>
        <v/>
      </c>
      <c r="T613" s="79" t="str">
        <f>IF(ISERROR(FIND('112'!$M$9,G613,1)),"",IF((AND(FIND('112'!$M$9,G613,1)&gt;=1,B613='112'!$K$9,OR($N613='112'!$I$6,$O613='112'!$I$6))),"x",""))</f>
        <v/>
      </c>
      <c r="U613" s="79" t="str">
        <f>IF(ISERROR(FIND('112'!$M$9,G613,1)),"",IF((AND(LEFT(G613,2)=LEFT('112'!$M$9,2),B613&lt;'112'!$K$9,$N613='112'!$I$6)),"x",""))</f>
        <v/>
      </c>
      <c r="V613" s="79" t="str">
        <f>IF(ISERROR(FIND('112'!$M$9,G613,1)),"",IF((AND(RIGHT(G613,2)=RIGHT('112'!$M$9,2),B613&lt;'112'!$K$9,$O613='112'!$I$6)),"x",""))</f>
        <v/>
      </c>
      <c r="W613" s="79" t="str">
        <f>IF(AND('341-CT'!$H$9=H613,OR(LEFT(N613,3)=$W$7,LEFT(O613,3)=$W$7)),"x","")</f>
        <v/>
      </c>
      <c r="X613" s="79" t="str">
        <f>IF(OR(TH!N613=TH!$X$7,O613=TH!$X$7),"x","")</f>
        <v/>
      </c>
      <c r="Y613" s="79" t="str">
        <f>IF(AND(OR(N613="131",O613="131"),H613='131-CT'!$H$9),"x","")</f>
        <v/>
      </c>
      <c r="Z613" s="79"/>
      <c r="AA613" s="79" t="str">
        <f>IF(AND(MONTH(E613)='IN-NX'!$J$5,'IN-NX'!$D$7=D613),"x","")</f>
        <v/>
      </c>
      <c r="AB613" s="79" t="str">
        <f>IF(AND(OR(LEFT(TH!N613,2)="15",LEFT(TH!O613,2)="15"),LEFT(TH!O613,3)&lt;&gt;"111",'152-CT'!$J$8=TH!F613),"x","")</f>
        <v/>
      </c>
      <c r="AC613" s="79" t="str">
        <f>IF(AND(OR(LEFT(TH!N613,2)="15",LEFT(TH!O613,2)="15"),TK!$E$7=TH!F613),"x","")</f>
        <v/>
      </c>
      <c r="AD613" s="79" t="str">
        <f>IF(AND(N613="1521",MONTH(C613)='BK-NL'!$M$11),"x","")</f>
        <v/>
      </c>
    </row>
    <row r="614" spans="1:30" ht="16.5" customHeight="1">
      <c r="A614" s="318" t="str">
        <f>IF(B614&lt;&gt;"",IF(AND(B614='IN-TC'!$S$4,OR(TH!N614="1111",TH!O614="1111")),TH!D614,""),"")</f>
        <v/>
      </c>
      <c r="B614" s="60" t="str">
        <f t="shared" si="124"/>
        <v/>
      </c>
      <c r="C614" s="974"/>
      <c r="D614" s="974"/>
      <c r="E614" s="974"/>
      <c r="F614" s="975"/>
      <c r="G614" s="976"/>
      <c r="H614" s="305"/>
      <c r="I614" s="383"/>
      <c r="J614" s="977"/>
      <c r="K614" s="383"/>
      <c r="L614" s="390"/>
      <c r="M614" s="978"/>
      <c r="N614" s="979"/>
      <c r="O614" s="979"/>
      <c r="P614" s="79" t="str">
        <f>IF(AND('331-CT'!$E$7=TH!H614,OR(N614="331",O614="331")),"x","")</f>
        <v/>
      </c>
      <c r="Q614" s="79" t="str">
        <f>IF(AND(B614='111'!$L$11,OR($N614=$Q$7,$O614=$Q$7)),"x","")</f>
        <v/>
      </c>
      <c r="R614" s="79" t="str">
        <f>IF(AND($N614=$Q$7,$B614&lt;'111'!$L$11),"x","")</f>
        <v/>
      </c>
      <c r="S614" s="79" t="str">
        <f>IF(AND($O614=$Q$7,$B614&lt;'111'!$L$11),"x","")</f>
        <v/>
      </c>
      <c r="T614" s="79" t="str">
        <f>IF(ISERROR(FIND('112'!$M$9,G614,1)),"",IF((AND(FIND('112'!$M$9,G614,1)&gt;=1,B614='112'!$K$9,OR($N614='112'!$I$6,$O614='112'!$I$6))),"x",""))</f>
        <v/>
      </c>
      <c r="U614" s="79" t="str">
        <f>IF(ISERROR(FIND('112'!$M$9,G614,1)),"",IF((AND(LEFT(G614,2)=LEFT('112'!$M$9,2),B614&lt;'112'!$K$9,$N614='112'!$I$6)),"x",""))</f>
        <v/>
      </c>
      <c r="V614" s="79" t="str">
        <f>IF(ISERROR(FIND('112'!$M$9,G614,1)),"",IF((AND(RIGHT(G614,2)=RIGHT('112'!$M$9,2),B614&lt;'112'!$K$9,$O614='112'!$I$6)),"x",""))</f>
        <v/>
      </c>
      <c r="W614" s="79" t="str">
        <f>IF(AND('341-CT'!$H$9=H614,OR(LEFT(N614,3)=$W$7,LEFT(O614,3)=$W$7)),"x","")</f>
        <v/>
      </c>
      <c r="X614" s="79" t="str">
        <f>IF(OR(TH!N614=TH!$X$7,O614=TH!$X$7),"x","")</f>
        <v/>
      </c>
      <c r="Y614" s="79" t="str">
        <f>IF(AND(OR(N614="131",O614="131"),H614='131-CT'!$H$9),"x","")</f>
        <v/>
      </c>
      <c r="Z614" s="79"/>
      <c r="AA614" s="79" t="str">
        <f>IF(AND(MONTH(E614)='IN-NX'!$J$5,'IN-NX'!$D$7=D614),"x","")</f>
        <v/>
      </c>
      <c r="AB614" s="79" t="str">
        <f>IF(AND(OR(LEFT(TH!N614,2)="15",LEFT(TH!O614,2)="15"),LEFT(TH!O614,3)&lt;&gt;"111",'152-CT'!$J$8=TH!F614),"x","")</f>
        <v/>
      </c>
      <c r="AC614" s="79" t="str">
        <f>IF(AND(OR(LEFT(TH!N614,2)="15",LEFT(TH!O614,2)="15"),TK!$E$7=TH!F614),"x","")</f>
        <v/>
      </c>
      <c r="AD614" s="79" t="str">
        <f>IF(AND(N614="1521",MONTH(C614)='BK-NL'!$M$11),"x","")</f>
        <v/>
      </c>
    </row>
    <row r="615" spans="1:30" ht="16.5" customHeight="1">
      <c r="A615" s="318" t="str">
        <f>IF(B615&lt;&gt;"",IF(AND(B615='IN-TC'!$S$4,OR(TH!N615="1111",TH!O615="1111")),TH!D615,""),"")</f>
        <v/>
      </c>
      <c r="B615" s="60" t="str">
        <f t="shared" si="124"/>
        <v/>
      </c>
      <c r="C615" s="974"/>
      <c r="D615" s="974"/>
      <c r="E615" s="974"/>
      <c r="F615" s="975"/>
      <c r="G615" s="976"/>
      <c r="H615" s="305"/>
      <c r="I615" s="383"/>
      <c r="J615" s="977"/>
      <c r="K615" s="383"/>
      <c r="L615" s="390"/>
      <c r="M615" s="978"/>
      <c r="N615" s="979"/>
      <c r="O615" s="979"/>
      <c r="P615" s="79" t="str">
        <f>IF(AND('331-CT'!$E$7=TH!H615,OR(N615="331",O615="331")),"x","")</f>
        <v/>
      </c>
      <c r="Q615" s="79" t="str">
        <f>IF(AND(B615='111'!$L$11,OR($N615=$Q$7,$O615=$Q$7)),"x","")</f>
        <v/>
      </c>
      <c r="R615" s="79" t="str">
        <f>IF(AND($N615=$Q$7,$B615&lt;'111'!$L$11),"x","")</f>
        <v/>
      </c>
      <c r="S615" s="79" t="str">
        <f>IF(AND($O615=$Q$7,$B615&lt;'111'!$L$11),"x","")</f>
        <v/>
      </c>
      <c r="T615" s="79" t="str">
        <f>IF(ISERROR(FIND('112'!$M$9,G615,1)),"",IF((AND(FIND('112'!$M$9,G615,1)&gt;=1,B615='112'!$K$9,OR($N615='112'!$I$6,$O615='112'!$I$6))),"x",""))</f>
        <v/>
      </c>
      <c r="U615" s="79" t="str">
        <f>IF(ISERROR(FIND('112'!$M$9,G615,1)),"",IF((AND(LEFT(G615,2)=LEFT('112'!$M$9,2),B615&lt;'112'!$K$9,$N615='112'!$I$6)),"x",""))</f>
        <v/>
      </c>
      <c r="V615" s="79" t="str">
        <f>IF(ISERROR(FIND('112'!$M$9,G615,1)),"",IF((AND(RIGHT(G615,2)=RIGHT('112'!$M$9,2),B615&lt;'112'!$K$9,$O615='112'!$I$6)),"x",""))</f>
        <v/>
      </c>
      <c r="W615" s="79" t="str">
        <f>IF(AND('341-CT'!$H$9=H615,OR(LEFT(N615,3)=$W$7,LEFT(O615,3)=$W$7)),"x","")</f>
        <v/>
      </c>
      <c r="X615" s="79" t="str">
        <f>IF(OR(TH!N615=TH!$X$7,O615=TH!$X$7),"x","")</f>
        <v/>
      </c>
      <c r="Y615" s="79" t="str">
        <f>IF(AND(OR(N615="131",O615="131"),H615='131-CT'!$H$9),"x","")</f>
        <v/>
      </c>
      <c r="Z615" s="79"/>
      <c r="AA615" s="79" t="str">
        <f>IF(AND(MONTH(E615)='IN-NX'!$J$5,'IN-NX'!$D$7=D615),"x","")</f>
        <v/>
      </c>
      <c r="AB615" s="79" t="str">
        <f>IF(AND(OR(LEFT(TH!N615,2)="15",LEFT(TH!O615,2)="15"),LEFT(TH!O615,3)&lt;&gt;"111",'152-CT'!$J$8=TH!F615),"x","")</f>
        <v/>
      </c>
      <c r="AC615" s="79" t="str">
        <f>IF(AND(OR(LEFT(TH!N615,2)="15",LEFT(TH!O615,2)="15"),TK!$E$7=TH!F615),"x","")</f>
        <v/>
      </c>
      <c r="AD615" s="79" t="str">
        <f>IF(AND(N615="1521",MONTH(C615)='BK-NL'!$M$11),"x","")</f>
        <v/>
      </c>
    </row>
    <row r="616" spans="1:30" ht="16.5" customHeight="1">
      <c r="A616" s="318" t="str">
        <f>IF(B616&lt;&gt;"",IF(AND(B616='IN-TC'!$S$4,OR(TH!N616="1111",TH!O616="1111")),TH!D616,""),"")</f>
        <v/>
      </c>
      <c r="B616" s="60" t="str">
        <f t="shared" si="124"/>
        <v/>
      </c>
      <c r="C616" s="974"/>
      <c r="D616" s="974"/>
      <c r="E616" s="974"/>
      <c r="F616" s="975"/>
      <c r="G616" s="976"/>
      <c r="H616" s="305"/>
      <c r="I616" s="383"/>
      <c r="J616" s="977"/>
      <c r="K616" s="383"/>
      <c r="L616" s="390"/>
      <c r="M616" s="978"/>
      <c r="N616" s="979"/>
      <c r="O616" s="979"/>
      <c r="P616" s="79" t="str">
        <f>IF(AND('331-CT'!$E$7=TH!H616,OR(N616="331",O616="331")),"x","")</f>
        <v/>
      </c>
      <c r="Q616" s="79" t="str">
        <f>IF(AND(B616='111'!$L$11,OR($N616=$Q$7,$O616=$Q$7)),"x","")</f>
        <v/>
      </c>
      <c r="R616" s="79" t="str">
        <f>IF(AND($N616=$Q$7,$B616&lt;'111'!$L$11),"x","")</f>
        <v/>
      </c>
      <c r="S616" s="79" t="str">
        <f>IF(AND($O616=$Q$7,$B616&lt;'111'!$L$11),"x","")</f>
        <v/>
      </c>
      <c r="T616" s="79" t="str">
        <f>IF(ISERROR(FIND('112'!$M$9,G616,1)),"",IF((AND(FIND('112'!$M$9,G616,1)&gt;=1,B616='112'!$K$9,OR($N616='112'!$I$6,$O616='112'!$I$6))),"x",""))</f>
        <v/>
      </c>
      <c r="U616" s="79" t="str">
        <f>IF(ISERROR(FIND('112'!$M$9,G616,1)),"",IF((AND(LEFT(G616,2)=LEFT('112'!$M$9,2),B616&lt;'112'!$K$9,$N616='112'!$I$6)),"x",""))</f>
        <v/>
      </c>
      <c r="V616" s="79" t="str">
        <f>IF(ISERROR(FIND('112'!$M$9,G616,1)),"",IF((AND(RIGHT(G616,2)=RIGHT('112'!$M$9,2),B616&lt;'112'!$K$9,$O616='112'!$I$6)),"x",""))</f>
        <v/>
      </c>
      <c r="W616" s="79" t="str">
        <f>IF(AND('341-CT'!$H$9=H616,OR(LEFT(N616,3)=$W$7,LEFT(O616,3)=$W$7)),"x","")</f>
        <v/>
      </c>
      <c r="X616" s="79" t="str">
        <f>IF(OR(TH!N616=TH!$X$7,O616=TH!$X$7),"x","")</f>
        <v/>
      </c>
      <c r="Y616" s="79" t="str">
        <f>IF(AND(OR(N616="131",O616="131"),H616='131-CT'!$H$9),"x","")</f>
        <v/>
      </c>
      <c r="Z616" s="79"/>
      <c r="AA616" s="79" t="str">
        <f>IF(AND(MONTH(E616)='IN-NX'!$J$5,'IN-NX'!$D$7=D616),"x","")</f>
        <v/>
      </c>
      <c r="AB616" s="79" t="str">
        <f>IF(AND(OR(LEFT(TH!N616,2)="15",LEFT(TH!O616,2)="15"),LEFT(TH!O616,3)&lt;&gt;"111",'152-CT'!$J$8=TH!F616),"x","")</f>
        <v/>
      </c>
      <c r="AC616" s="79" t="str">
        <f>IF(AND(OR(LEFT(TH!N616,2)="15",LEFT(TH!O616,2)="15"),TK!$E$7=TH!F616),"x","")</f>
        <v/>
      </c>
      <c r="AD616" s="79" t="str">
        <f>IF(AND(N616="1521",MONTH(C616)='BK-NL'!$M$11),"x","")</f>
        <v/>
      </c>
    </row>
    <row r="617" spans="1:30" ht="16.5" customHeight="1">
      <c r="A617" s="318" t="str">
        <f>IF(B617&lt;&gt;"",IF(AND(B617='IN-TC'!$S$4,OR(TH!N617="1111",TH!O617="1111")),TH!D617,""),"")</f>
        <v/>
      </c>
      <c r="B617" s="60" t="str">
        <f t="shared" si="124"/>
        <v/>
      </c>
      <c r="C617" s="974"/>
      <c r="D617" s="974"/>
      <c r="E617" s="974"/>
      <c r="F617" s="975"/>
      <c r="G617" s="976"/>
      <c r="H617" s="305"/>
      <c r="I617" s="383"/>
      <c r="J617" s="977"/>
      <c r="K617" s="383"/>
      <c r="L617" s="390"/>
      <c r="M617" s="978"/>
      <c r="N617" s="979"/>
      <c r="O617" s="979"/>
      <c r="P617" s="79" t="str">
        <f>IF(AND('331-CT'!$E$7=TH!H617,OR(N617="331",O617="331")),"x","")</f>
        <v/>
      </c>
      <c r="Q617" s="79" t="str">
        <f>IF(AND(B617='111'!$L$11,OR($N617=$Q$7,$O617=$Q$7)),"x","")</f>
        <v/>
      </c>
      <c r="R617" s="79" t="str">
        <f>IF(AND($N617=$Q$7,$B617&lt;'111'!$L$11),"x","")</f>
        <v/>
      </c>
      <c r="S617" s="79" t="str">
        <f>IF(AND($O617=$Q$7,$B617&lt;'111'!$L$11),"x","")</f>
        <v/>
      </c>
      <c r="T617" s="79" t="str">
        <f>IF(ISERROR(FIND('112'!$M$9,G617,1)),"",IF((AND(FIND('112'!$M$9,G617,1)&gt;=1,B617='112'!$K$9,OR($N617='112'!$I$6,$O617='112'!$I$6))),"x",""))</f>
        <v/>
      </c>
      <c r="U617" s="79" t="str">
        <f>IF(ISERROR(FIND('112'!$M$9,G617,1)),"",IF((AND(LEFT(G617,2)=LEFT('112'!$M$9,2),B617&lt;'112'!$K$9,$N617='112'!$I$6)),"x",""))</f>
        <v/>
      </c>
      <c r="V617" s="79" t="str">
        <f>IF(ISERROR(FIND('112'!$M$9,G617,1)),"",IF((AND(RIGHT(G617,2)=RIGHT('112'!$M$9,2),B617&lt;'112'!$K$9,$O617='112'!$I$6)),"x",""))</f>
        <v/>
      </c>
      <c r="W617" s="79" t="str">
        <f>IF(AND('341-CT'!$H$9=H617,OR(LEFT(N617,3)=$W$7,LEFT(O617,3)=$W$7)),"x","")</f>
        <v/>
      </c>
      <c r="X617" s="79" t="str">
        <f>IF(OR(TH!N617=TH!$X$7,O617=TH!$X$7),"x","")</f>
        <v/>
      </c>
      <c r="Y617" s="79" t="str">
        <f>IF(AND(OR(N617="131",O617="131"),H617='131-CT'!$H$9),"x","")</f>
        <v/>
      </c>
      <c r="Z617" s="79"/>
      <c r="AA617" s="79" t="str">
        <f>IF(AND(MONTH(E617)='IN-NX'!$J$5,'IN-NX'!$D$7=D617),"x","")</f>
        <v/>
      </c>
      <c r="AB617" s="79" t="str">
        <f>IF(AND(OR(LEFT(TH!N617,2)="15",LEFT(TH!O617,2)="15"),LEFT(TH!O617,3)&lt;&gt;"111",'152-CT'!$J$8=TH!F617),"x","")</f>
        <v/>
      </c>
      <c r="AC617" s="79" t="str">
        <f>IF(AND(OR(LEFT(TH!N617,2)="15",LEFT(TH!O617,2)="15"),TK!$E$7=TH!F617),"x","")</f>
        <v/>
      </c>
      <c r="AD617" s="79" t="str">
        <f>IF(AND(N617="1521",MONTH(C617)='BK-NL'!$M$11),"x","")</f>
        <v/>
      </c>
    </row>
    <row r="618" spans="1:30" ht="16.5" customHeight="1">
      <c r="A618" s="318" t="str">
        <f>IF(B618&lt;&gt;"",IF(AND(B618='IN-TC'!$S$4,OR(TH!N618="1111",TH!O618="1111")),TH!D618,""),"")</f>
        <v/>
      </c>
      <c r="B618" s="60" t="str">
        <f t="shared" si="124"/>
        <v/>
      </c>
      <c r="C618" s="974"/>
      <c r="D618" s="974"/>
      <c r="E618" s="974"/>
      <c r="F618" s="975"/>
      <c r="G618" s="976"/>
      <c r="H618" s="759"/>
      <c r="I618" s="383"/>
      <c r="J618" s="977"/>
      <c r="K618" s="383"/>
      <c r="L618" s="390"/>
      <c r="M618" s="978"/>
      <c r="N618" s="979"/>
      <c r="O618" s="979"/>
      <c r="P618" s="79" t="str">
        <f>IF(AND('331-CT'!$E$7=TH!H618,OR(N618="331",O618="331")),"x","")</f>
        <v/>
      </c>
      <c r="Q618" s="79" t="str">
        <f>IF(AND(B618='111'!$L$11,OR($N618=$Q$7,$O618=$Q$7)),"x","")</f>
        <v/>
      </c>
      <c r="R618" s="79" t="str">
        <f>IF(AND($N618=$Q$7,$B618&lt;'111'!$L$11),"x","")</f>
        <v/>
      </c>
      <c r="S618" s="79" t="str">
        <f>IF(AND($O618=$Q$7,$B618&lt;'111'!$L$11),"x","")</f>
        <v/>
      </c>
      <c r="T618" s="79" t="str">
        <f>IF(ISERROR(FIND('112'!$M$9,G618,1)),"",IF((AND(FIND('112'!$M$9,G618,1)&gt;=1,B618='112'!$K$9,OR($N618='112'!$I$6,$O618='112'!$I$6))),"x",""))</f>
        <v/>
      </c>
      <c r="U618" s="79" t="str">
        <f>IF(ISERROR(FIND('112'!$M$9,G618,1)),"",IF((AND(LEFT(G618,2)=LEFT('112'!$M$9,2),B618&lt;'112'!$K$9,$N618='112'!$I$6)),"x",""))</f>
        <v/>
      </c>
      <c r="V618" s="79" t="str">
        <f>IF(ISERROR(FIND('112'!$M$9,G618,1)),"",IF((AND(RIGHT(G618,2)=RIGHT('112'!$M$9,2),B618&lt;'112'!$K$9,$O618='112'!$I$6)),"x",""))</f>
        <v/>
      </c>
      <c r="W618" s="79" t="str">
        <f>IF(AND('341-CT'!$H$9=H618,OR(LEFT(N618,3)=$W$7,LEFT(O618,3)=$W$7)),"x","")</f>
        <v/>
      </c>
      <c r="X618" s="79" t="str">
        <f>IF(OR(TH!N618=TH!$X$7,O618=TH!$X$7),"x","")</f>
        <v/>
      </c>
      <c r="Y618" s="79" t="str">
        <f>IF(AND(OR(N618="131",O618="131"),H618='131-CT'!$H$9),"x","")</f>
        <v/>
      </c>
      <c r="Z618" s="79"/>
      <c r="AA618" s="79" t="str">
        <f>IF(AND(MONTH(E618)='IN-NX'!$J$5,'IN-NX'!$D$7=D618),"x","")</f>
        <v/>
      </c>
      <c r="AB618" s="79" t="str">
        <f>IF(AND(OR(LEFT(TH!N618,2)="15",LEFT(TH!O618,2)="15"),LEFT(TH!O618,3)&lt;&gt;"111",'152-CT'!$J$8=TH!F618),"x","")</f>
        <v/>
      </c>
      <c r="AC618" s="79" t="str">
        <f>IF(AND(OR(LEFT(TH!N618,2)="15",LEFT(TH!O618,2)="15"),TK!$E$7=TH!F618),"x","")</f>
        <v/>
      </c>
      <c r="AD618" s="79" t="str">
        <f>IF(AND(N618="1521",MONTH(C618)='BK-NL'!$M$11),"x","")</f>
        <v/>
      </c>
    </row>
    <row r="619" spans="1:30" ht="16.5" customHeight="1">
      <c r="A619" s="318" t="str">
        <f>IF(B619&lt;&gt;"",IF(AND(B619='IN-TC'!$S$4,OR(TH!N619="1111",TH!O619="1111")),TH!D619,""),"")</f>
        <v/>
      </c>
      <c r="B619" s="60" t="str">
        <f t="shared" si="124"/>
        <v/>
      </c>
      <c r="C619" s="974"/>
      <c r="D619" s="974"/>
      <c r="E619" s="974"/>
      <c r="F619" s="975"/>
      <c r="G619" s="976"/>
      <c r="H619" s="759"/>
      <c r="I619" s="383"/>
      <c r="J619" s="977"/>
      <c r="K619" s="383"/>
      <c r="L619" s="390"/>
      <c r="M619" s="978"/>
      <c r="N619" s="979"/>
      <c r="O619" s="979"/>
      <c r="P619" s="79" t="str">
        <f>IF(AND('331-CT'!$E$7=TH!H619,OR(N619="331",O619="331")),"x","")</f>
        <v/>
      </c>
      <c r="Q619" s="79" t="str">
        <f>IF(AND(B619='111'!$L$11,OR($N619=$Q$7,$O619=$Q$7)),"x","")</f>
        <v/>
      </c>
      <c r="R619" s="79" t="str">
        <f>IF(AND($N619=$Q$7,$B619&lt;'111'!$L$11),"x","")</f>
        <v/>
      </c>
      <c r="S619" s="79" t="str">
        <f>IF(AND($O619=$Q$7,$B619&lt;'111'!$L$11),"x","")</f>
        <v/>
      </c>
      <c r="T619" s="79" t="str">
        <f>IF(ISERROR(FIND('112'!$M$9,G619,1)),"",IF((AND(FIND('112'!$M$9,G619,1)&gt;=1,B619='112'!$K$9,OR($N619='112'!$I$6,$O619='112'!$I$6))),"x",""))</f>
        <v/>
      </c>
      <c r="U619" s="79" t="str">
        <f>IF(ISERROR(FIND('112'!$M$9,G619,1)),"",IF((AND(LEFT(G619,2)=LEFT('112'!$M$9,2),B619&lt;'112'!$K$9,$N619='112'!$I$6)),"x",""))</f>
        <v/>
      </c>
      <c r="V619" s="79" t="str">
        <f>IF(ISERROR(FIND('112'!$M$9,G619,1)),"",IF((AND(RIGHT(G619,2)=RIGHT('112'!$M$9,2),B619&lt;'112'!$K$9,$O619='112'!$I$6)),"x",""))</f>
        <v/>
      </c>
      <c r="W619" s="79" t="str">
        <f>IF(AND('341-CT'!$H$9=H619,OR(LEFT(N619,3)=$W$7,LEFT(O619,3)=$W$7)),"x","")</f>
        <v/>
      </c>
      <c r="X619" s="79" t="str">
        <f>IF(OR(TH!N619=TH!$X$7,O619=TH!$X$7),"x","")</f>
        <v/>
      </c>
      <c r="Y619" s="79" t="str">
        <f>IF(AND(OR(N619="131",O619="131"),H619='131-CT'!$H$9),"x","")</f>
        <v/>
      </c>
      <c r="Z619" s="79"/>
      <c r="AA619" s="79" t="str">
        <f>IF(AND(MONTH(E619)='IN-NX'!$J$5,'IN-NX'!$D$7=D619),"x","")</f>
        <v/>
      </c>
      <c r="AB619" s="79" t="str">
        <f>IF(AND(OR(LEFT(TH!N619,2)="15",LEFT(TH!O619,2)="15"),LEFT(TH!O619,3)&lt;&gt;"111",'152-CT'!$J$8=TH!F619),"x","")</f>
        <v/>
      </c>
      <c r="AC619" s="79" t="str">
        <f>IF(AND(OR(LEFT(TH!N619,2)="15",LEFT(TH!O619,2)="15"),TK!$E$7=TH!F619),"x","")</f>
        <v/>
      </c>
      <c r="AD619" s="79" t="str">
        <f>IF(AND(N619="1521",MONTH(C619)='BK-NL'!$M$11),"x","")</f>
        <v/>
      </c>
    </row>
    <row r="620" spans="1:30" ht="16.5" customHeight="1">
      <c r="A620" s="318" t="str">
        <f>IF(B620&lt;&gt;"",IF(AND(B620='IN-TC'!$S$4,OR(TH!N620="1111",TH!O620="1111")),TH!D620,""),"")</f>
        <v/>
      </c>
      <c r="B620" s="60" t="str">
        <f t="shared" ref="B620:B691" si="125">IF(C620&lt;&gt;"",MONTH(C620),"")</f>
        <v/>
      </c>
      <c r="C620" s="974"/>
      <c r="D620" s="974"/>
      <c r="E620" s="974"/>
      <c r="F620" s="975"/>
      <c r="G620" s="976"/>
      <c r="H620" s="759"/>
      <c r="I620" s="383"/>
      <c r="J620" s="977"/>
      <c r="K620" s="383"/>
      <c r="L620" s="390"/>
      <c r="M620" s="978"/>
      <c r="N620" s="979"/>
      <c r="O620" s="979"/>
      <c r="P620" s="79" t="str">
        <f>IF(AND('331-CT'!$E$7=TH!H620,OR(N620="331",O620="331")),"x","")</f>
        <v/>
      </c>
      <c r="Q620" s="79" t="str">
        <f>IF(AND(B620='111'!$L$11,OR($N620=$Q$7,$O620=$Q$7)),"x","")</f>
        <v/>
      </c>
      <c r="R620" s="79" t="str">
        <f>IF(AND($N620=$Q$7,$B620&lt;'111'!$L$11),"x","")</f>
        <v/>
      </c>
      <c r="S620" s="79" t="str">
        <f>IF(AND($O620=$Q$7,$B620&lt;'111'!$L$11),"x","")</f>
        <v/>
      </c>
      <c r="T620" s="79" t="str">
        <f>IF(ISERROR(FIND('112'!$M$9,G620,1)),"",IF((AND(FIND('112'!$M$9,G620,1)&gt;=1,B620='112'!$K$9,OR($N620='112'!$I$6,$O620='112'!$I$6))),"x",""))</f>
        <v/>
      </c>
      <c r="U620" s="79" t="str">
        <f>IF(ISERROR(FIND('112'!$M$9,G620,1)),"",IF((AND(LEFT(G620,2)=LEFT('112'!$M$9,2),B620&lt;'112'!$K$9,$N620='112'!$I$6)),"x",""))</f>
        <v/>
      </c>
      <c r="V620" s="79" t="str">
        <f>IF(ISERROR(FIND('112'!$M$9,G620,1)),"",IF((AND(RIGHT(G620,2)=RIGHT('112'!$M$9,2),B620&lt;'112'!$K$9,$O620='112'!$I$6)),"x",""))</f>
        <v/>
      </c>
      <c r="W620" s="79" t="str">
        <f>IF(AND('341-CT'!$H$9=H620,OR(LEFT(N620,3)=$W$7,LEFT(O620,3)=$W$7)),"x","")</f>
        <v/>
      </c>
      <c r="X620" s="79" t="str">
        <f>IF(OR(TH!N620=TH!$X$7,O620=TH!$X$7),"x","")</f>
        <v/>
      </c>
      <c r="Y620" s="79" t="str">
        <f>IF(AND(OR(N620="131",O620="131"),H620='131-CT'!$H$9),"x","")</f>
        <v/>
      </c>
      <c r="Z620" s="79"/>
      <c r="AA620" s="79" t="str">
        <f>IF(AND(MONTH(E620)='IN-NX'!$J$5,'IN-NX'!$D$7=D620),"x","")</f>
        <v/>
      </c>
      <c r="AB620" s="79" t="str">
        <f>IF(AND(OR(LEFT(TH!N620,2)="15",LEFT(TH!O620,2)="15"),LEFT(TH!O620,3)&lt;&gt;"111",'152-CT'!$J$8=TH!F620),"x","")</f>
        <v/>
      </c>
      <c r="AC620" s="79" t="str">
        <f>IF(AND(OR(LEFT(TH!N620,2)="15",LEFT(TH!O620,2)="15"),TK!$E$7=TH!F620),"x","")</f>
        <v/>
      </c>
      <c r="AD620" s="79" t="str">
        <f>IF(AND(N620="1521",MONTH(C620)='BK-NL'!$M$11),"x","")</f>
        <v/>
      </c>
    </row>
    <row r="621" spans="1:30" ht="16.5" customHeight="1">
      <c r="A621" s="318" t="str">
        <f>IF(B621&lt;&gt;"",IF(AND(B621='IN-TC'!$S$4,OR(TH!N621="1111",TH!O621="1111")),TH!D621,""),"")</f>
        <v/>
      </c>
      <c r="B621" s="60" t="str">
        <f t="shared" si="125"/>
        <v/>
      </c>
      <c r="C621" s="974"/>
      <c r="D621" s="974"/>
      <c r="E621" s="974"/>
      <c r="F621" s="975"/>
      <c r="G621" s="976"/>
      <c r="H621" s="759"/>
      <c r="I621" s="383"/>
      <c r="J621" s="977"/>
      <c r="K621" s="383"/>
      <c r="L621" s="390"/>
      <c r="M621" s="978"/>
      <c r="N621" s="979"/>
      <c r="O621" s="979"/>
      <c r="P621" s="79" t="str">
        <f>IF(AND('331-CT'!$E$7=TH!H621,OR(N621="331",O621="331")),"x","")</f>
        <v/>
      </c>
      <c r="Q621" s="79" t="str">
        <f>IF(AND(B621='111'!$L$11,OR($N621=$Q$7,$O621=$Q$7)),"x","")</f>
        <v/>
      </c>
      <c r="R621" s="79" t="str">
        <f>IF(AND($N621=$Q$7,$B621&lt;'111'!$L$11),"x","")</f>
        <v/>
      </c>
      <c r="S621" s="79" t="str">
        <f>IF(AND($O621=$Q$7,$B621&lt;'111'!$L$11),"x","")</f>
        <v/>
      </c>
      <c r="T621" s="79" t="str">
        <f>IF(ISERROR(FIND('112'!$M$9,G621,1)),"",IF((AND(FIND('112'!$M$9,G621,1)&gt;=1,B621='112'!$K$9,OR($N621='112'!$I$6,$O621='112'!$I$6))),"x",""))</f>
        <v/>
      </c>
      <c r="U621" s="79" t="str">
        <f>IF(ISERROR(FIND('112'!$M$9,G621,1)),"",IF((AND(LEFT(G621,2)=LEFT('112'!$M$9,2),B621&lt;'112'!$K$9,$N621='112'!$I$6)),"x",""))</f>
        <v/>
      </c>
      <c r="V621" s="79" t="str">
        <f>IF(ISERROR(FIND('112'!$M$9,G621,1)),"",IF((AND(RIGHT(G621,2)=RIGHT('112'!$M$9,2),B621&lt;'112'!$K$9,$O621='112'!$I$6)),"x",""))</f>
        <v/>
      </c>
      <c r="W621" s="79" t="str">
        <f>IF(AND('341-CT'!$H$9=H621,OR(LEFT(N621,3)=$W$7,LEFT(O621,3)=$W$7)),"x","")</f>
        <v/>
      </c>
      <c r="X621" s="79" t="str">
        <f>IF(OR(TH!N621=TH!$X$7,O621=TH!$X$7),"x","")</f>
        <v/>
      </c>
      <c r="Y621" s="79" t="str">
        <f>IF(AND(OR(N621="131",O621="131"),H621='131-CT'!$H$9),"x","")</f>
        <v/>
      </c>
      <c r="Z621" s="79"/>
      <c r="AA621" s="79" t="str">
        <f>IF(AND(MONTH(E621)='IN-NX'!$J$5,'IN-NX'!$D$7=D621),"x","")</f>
        <v/>
      </c>
      <c r="AB621" s="79" t="str">
        <f>IF(AND(OR(LEFT(TH!N621,2)="15",LEFT(TH!O621,2)="15"),LEFT(TH!O621,3)&lt;&gt;"111",'152-CT'!$J$8=TH!F621),"x","")</f>
        <v/>
      </c>
      <c r="AC621" s="79" t="str">
        <f>IF(AND(OR(LEFT(TH!N621,2)="15",LEFT(TH!O621,2)="15"),TK!$E$7=TH!F621),"x","")</f>
        <v/>
      </c>
      <c r="AD621" s="79" t="str">
        <f>IF(AND(N621="1521",MONTH(C621)='BK-NL'!$M$11),"x","")</f>
        <v/>
      </c>
    </row>
    <row r="622" spans="1:30" ht="16.5" customHeight="1">
      <c r="A622" s="318" t="str">
        <f>IF(B622&lt;&gt;"",IF(AND(B622='IN-TC'!$S$4,OR(TH!N622="1111",TH!O622="1111")),TH!D622,""),"")</f>
        <v/>
      </c>
      <c r="B622" s="60" t="str">
        <f t="shared" ref="B622:B623" si="126">IF(C622&lt;&gt;"",MONTH(C622),"")</f>
        <v/>
      </c>
      <c r="C622" s="974"/>
      <c r="D622" s="974"/>
      <c r="E622" s="974"/>
      <c r="F622" s="975"/>
      <c r="G622" s="976"/>
      <c r="H622" s="759"/>
      <c r="I622" s="383"/>
      <c r="J622" s="977"/>
      <c r="K622" s="383"/>
      <c r="L622" s="390"/>
      <c r="M622" s="978"/>
      <c r="N622" s="979"/>
      <c r="O622" s="979"/>
      <c r="P622" s="79" t="str">
        <f>IF(AND('331-CT'!$E$7=TH!H622,OR(N622="331",O622="331")),"x","")</f>
        <v/>
      </c>
      <c r="Q622" s="79" t="str">
        <f>IF(AND(B622='111'!$L$11,OR($N622=$Q$7,$O622=$Q$7)),"x","")</f>
        <v/>
      </c>
      <c r="R622" s="79" t="str">
        <f>IF(AND($N622=$Q$7,$B622&lt;'111'!$L$11),"x","")</f>
        <v/>
      </c>
      <c r="S622" s="79" t="str">
        <f>IF(AND($O622=$Q$7,$B622&lt;'111'!$L$11),"x","")</f>
        <v/>
      </c>
      <c r="T622" s="79" t="str">
        <f>IF(ISERROR(FIND('112'!$M$9,G622,1)),"",IF((AND(FIND('112'!$M$9,G622,1)&gt;=1,B622='112'!$K$9,OR($N622='112'!$I$6,$O622='112'!$I$6))),"x",""))</f>
        <v/>
      </c>
      <c r="U622" s="79" t="str">
        <f>IF(ISERROR(FIND('112'!$M$9,G622,1)),"",IF((AND(LEFT(G622,2)=LEFT('112'!$M$9,2),B622&lt;'112'!$K$9,$N622='112'!$I$6)),"x",""))</f>
        <v/>
      </c>
      <c r="V622" s="79" t="str">
        <f>IF(ISERROR(FIND('112'!$M$9,G622,1)),"",IF((AND(RIGHT(G622,2)=RIGHT('112'!$M$9,2),B622&lt;'112'!$K$9,$O622='112'!$I$6)),"x",""))</f>
        <v/>
      </c>
      <c r="W622" s="79" t="str">
        <f>IF(AND('341-CT'!$H$9=H622,OR(LEFT(N622,3)=$W$7,LEFT(O622,3)=$W$7)),"x","")</f>
        <v/>
      </c>
      <c r="X622" s="79" t="str">
        <f>IF(OR(TH!N622=TH!$X$7,O622=TH!$X$7),"x","")</f>
        <v/>
      </c>
      <c r="Y622" s="79" t="str">
        <f>IF(AND(OR(N622="131",O622="131"),H622='131-CT'!$H$9),"x","")</f>
        <v/>
      </c>
      <c r="Z622" s="79"/>
      <c r="AA622" s="79" t="str">
        <f>IF(AND(MONTH(E622)='IN-NX'!$J$5,'IN-NX'!$D$7=D622),"x","")</f>
        <v/>
      </c>
      <c r="AB622" s="79" t="str">
        <f>IF(AND(OR(LEFT(TH!N622,2)="15",LEFT(TH!O622,2)="15"),LEFT(TH!O622,3)&lt;&gt;"111",'152-CT'!$J$8=TH!F622),"x","")</f>
        <v/>
      </c>
      <c r="AC622" s="79" t="str">
        <f>IF(AND(OR(LEFT(TH!N622,2)="15",LEFT(TH!O622,2)="15"),TK!$E$7=TH!F622),"x","")</f>
        <v/>
      </c>
      <c r="AD622" s="79" t="str">
        <f>IF(AND(N622="1521",MONTH(C622)='BK-NL'!$M$11),"x","")</f>
        <v/>
      </c>
    </row>
    <row r="623" spans="1:30" ht="16.5" customHeight="1">
      <c r="A623" s="318" t="str">
        <f>IF(B623&lt;&gt;"",IF(AND(B623='IN-TC'!$S$4,OR(TH!N623="1111",TH!O623="1111")),TH!D623,""),"")</f>
        <v/>
      </c>
      <c r="B623" s="60" t="str">
        <f t="shared" si="126"/>
        <v/>
      </c>
      <c r="C623" s="974"/>
      <c r="D623" s="974"/>
      <c r="E623" s="974"/>
      <c r="F623" s="975"/>
      <c r="G623" s="976"/>
      <c r="H623" s="759"/>
      <c r="I623" s="383"/>
      <c r="J623" s="977"/>
      <c r="K623" s="383"/>
      <c r="L623" s="390"/>
      <c r="M623" s="978"/>
      <c r="N623" s="979"/>
      <c r="O623" s="979"/>
      <c r="P623" s="79" t="str">
        <f>IF(AND('331-CT'!$E$7=TH!H623,OR(N623="331",O623="331")),"x","")</f>
        <v/>
      </c>
      <c r="Q623" s="79" t="str">
        <f>IF(AND(B623='111'!$L$11,OR($N623=$Q$7,$O623=$Q$7)),"x","")</f>
        <v/>
      </c>
      <c r="R623" s="79" t="str">
        <f>IF(AND($N623=$Q$7,$B623&lt;'111'!$L$11),"x","")</f>
        <v/>
      </c>
      <c r="S623" s="79" t="str">
        <f>IF(AND($O623=$Q$7,$B623&lt;'111'!$L$11),"x","")</f>
        <v/>
      </c>
      <c r="T623" s="79" t="str">
        <f>IF(ISERROR(FIND('112'!$M$9,G623,1)),"",IF((AND(FIND('112'!$M$9,G623,1)&gt;=1,B623='112'!$K$9,OR($N623='112'!$I$6,$O623='112'!$I$6))),"x",""))</f>
        <v/>
      </c>
      <c r="U623" s="79" t="str">
        <f>IF(ISERROR(FIND('112'!$M$9,G623,1)),"",IF((AND(LEFT(G623,2)=LEFT('112'!$M$9,2),B623&lt;'112'!$K$9,$N623='112'!$I$6)),"x",""))</f>
        <v/>
      </c>
      <c r="V623" s="79" t="str">
        <f>IF(ISERROR(FIND('112'!$M$9,G623,1)),"",IF((AND(RIGHT(G623,2)=RIGHT('112'!$M$9,2),B623&lt;'112'!$K$9,$O623='112'!$I$6)),"x",""))</f>
        <v/>
      </c>
      <c r="W623" s="79" t="str">
        <f>IF(AND('341-CT'!$H$9=H623,OR(LEFT(N623,3)=$W$7,LEFT(O623,3)=$W$7)),"x","")</f>
        <v/>
      </c>
      <c r="X623" s="79" t="str">
        <f>IF(OR(TH!N623=TH!$X$7,O623=TH!$X$7),"x","")</f>
        <v/>
      </c>
      <c r="Y623" s="79" t="str">
        <f>IF(AND(OR(N623="131",O623="131"),H623='131-CT'!$H$9),"x","")</f>
        <v/>
      </c>
      <c r="Z623" s="79"/>
      <c r="AA623" s="79" t="str">
        <f>IF(AND(MONTH(E623)='IN-NX'!$J$5,'IN-NX'!$D$7=D623),"x","")</f>
        <v/>
      </c>
      <c r="AB623" s="79" t="str">
        <f>IF(AND(OR(LEFT(TH!N623,2)="15",LEFT(TH!O623,2)="15"),LEFT(TH!O623,3)&lt;&gt;"111",'152-CT'!$J$8=TH!F623),"x","")</f>
        <v/>
      </c>
      <c r="AC623" s="79" t="str">
        <f>IF(AND(OR(LEFT(TH!N623,2)="15",LEFT(TH!O623,2)="15"),TK!$E$7=TH!F623),"x","")</f>
        <v/>
      </c>
      <c r="AD623" s="79" t="str">
        <f>IF(AND(N623="1521",MONTH(C623)='BK-NL'!$M$11),"x","")</f>
        <v/>
      </c>
    </row>
    <row r="624" spans="1:30" ht="16.5" customHeight="1">
      <c r="A624" s="318" t="str">
        <f>IF(B624&lt;&gt;"",IF(AND(B624='IN-TC'!$S$4,OR(TH!N624="1111",TH!O624="1111")),TH!D624,""),"")</f>
        <v/>
      </c>
      <c r="B624" s="60" t="str">
        <f t="shared" si="125"/>
        <v/>
      </c>
      <c r="C624" s="974"/>
      <c r="D624" s="974"/>
      <c r="E624" s="974"/>
      <c r="F624" s="975"/>
      <c r="G624" s="976"/>
      <c r="H624" s="305"/>
      <c r="I624" s="383"/>
      <c r="J624" s="977"/>
      <c r="K624" s="383"/>
      <c r="L624" s="390"/>
      <c r="M624" s="978"/>
      <c r="N624" s="979"/>
      <c r="O624" s="979"/>
      <c r="P624" s="79" t="str">
        <f>IF(AND('331-CT'!$E$7=TH!H624,OR(N624="331",O624="331")),"x","")</f>
        <v/>
      </c>
      <c r="Q624" s="79" t="str">
        <f>IF(AND(B624='111'!$L$11,OR($N624=$Q$7,$O624=$Q$7)),"x","")</f>
        <v/>
      </c>
      <c r="R624" s="79" t="str">
        <f>IF(AND($N624=$Q$7,$B624&lt;'111'!$L$11),"x","")</f>
        <v/>
      </c>
      <c r="S624" s="79" t="str">
        <f>IF(AND($O624=$Q$7,$B624&lt;'111'!$L$11),"x","")</f>
        <v/>
      </c>
      <c r="T624" s="79" t="str">
        <f>IF(ISERROR(FIND('112'!$M$9,G624,1)),"",IF((AND(FIND('112'!$M$9,G624,1)&gt;=1,B624='112'!$K$9,OR($N624='112'!$I$6,$O624='112'!$I$6))),"x",""))</f>
        <v/>
      </c>
      <c r="U624" s="79" t="str">
        <f>IF(ISERROR(FIND('112'!$M$9,G624,1)),"",IF((AND(LEFT(G624,2)=LEFT('112'!$M$9,2),B624&lt;'112'!$K$9,$N624='112'!$I$6)),"x",""))</f>
        <v/>
      </c>
      <c r="V624" s="79" t="str">
        <f>IF(ISERROR(FIND('112'!$M$9,G624,1)),"",IF((AND(RIGHT(G624,2)=RIGHT('112'!$M$9,2),B624&lt;'112'!$K$9,$O624='112'!$I$6)),"x",""))</f>
        <v/>
      </c>
      <c r="W624" s="79" t="str">
        <f>IF(AND('341-CT'!$H$9=H624,OR(LEFT(N624,3)=$W$7,LEFT(O624,3)=$W$7)),"x","")</f>
        <v/>
      </c>
      <c r="X624" s="79" t="str">
        <f>IF(OR(TH!N624=TH!$X$7,O624=TH!$X$7),"x","")</f>
        <v/>
      </c>
      <c r="Y624" s="79" t="str">
        <f>IF(AND(OR(N624="131",O624="131"),H624='131-CT'!$H$9),"x","")</f>
        <v/>
      </c>
      <c r="Z624" s="79"/>
      <c r="AA624" s="79" t="str">
        <f>IF(AND(MONTH(E624)='IN-NX'!$J$5,'IN-NX'!$D$7=D624),"x","")</f>
        <v/>
      </c>
      <c r="AB624" s="79" t="str">
        <f>IF(AND(OR(LEFT(TH!N624,2)="15",LEFT(TH!O624,2)="15"),LEFT(TH!O624,3)&lt;&gt;"111",'152-CT'!$J$8=TH!F624),"x","")</f>
        <v/>
      </c>
      <c r="AC624" s="79" t="str">
        <f>IF(AND(OR(LEFT(TH!N624,2)="15",LEFT(TH!O624,2)="15"),TK!$E$7=TH!F624),"x","")</f>
        <v/>
      </c>
      <c r="AD624" s="79" t="str">
        <f>IF(AND(N624="1521",MONTH(C624)='BK-NL'!$M$11),"x","")</f>
        <v/>
      </c>
    </row>
    <row r="625" spans="1:30" ht="16.5" customHeight="1">
      <c r="A625" s="318" t="str">
        <f>IF(B625&lt;&gt;"",IF(AND(B625='IN-TC'!$S$4,OR(TH!N625="1111",TH!O625="1111")),TH!D625,""),"")</f>
        <v/>
      </c>
      <c r="B625" s="60" t="str">
        <f t="shared" si="125"/>
        <v/>
      </c>
      <c r="C625" s="974"/>
      <c r="D625" s="974"/>
      <c r="E625" s="974"/>
      <c r="F625" s="975"/>
      <c r="G625" s="976"/>
      <c r="H625" s="305"/>
      <c r="I625" s="383"/>
      <c r="J625" s="977"/>
      <c r="K625" s="383"/>
      <c r="L625" s="390"/>
      <c r="M625" s="978"/>
      <c r="N625" s="979"/>
      <c r="O625" s="979"/>
      <c r="P625" s="79" t="str">
        <f>IF(AND('331-CT'!$E$7=TH!H625,OR(N625="331",O625="331")),"x","")</f>
        <v/>
      </c>
      <c r="Q625" s="79" t="str">
        <f>IF(AND(B625='111'!$L$11,OR($N625=$Q$7,$O625=$Q$7)),"x","")</f>
        <v/>
      </c>
      <c r="R625" s="79" t="str">
        <f>IF(AND($N625=$Q$7,$B625&lt;'111'!$L$11),"x","")</f>
        <v/>
      </c>
      <c r="S625" s="79" t="str">
        <f>IF(AND($O625=$Q$7,$B625&lt;'111'!$L$11),"x","")</f>
        <v/>
      </c>
      <c r="T625" s="79" t="str">
        <f>IF(ISERROR(FIND('112'!$M$9,G625,1)),"",IF((AND(FIND('112'!$M$9,G625,1)&gt;=1,B625='112'!$K$9,OR($N625='112'!$I$6,$O625='112'!$I$6))),"x",""))</f>
        <v/>
      </c>
      <c r="U625" s="79" t="str">
        <f>IF(ISERROR(FIND('112'!$M$9,G625,1)),"",IF((AND(LEFT(G625,2)=LEFT('112'!$M$9,2),B625&lt;'112'!$K$9,$N625='112'!$I$6)),"x",""))</f>
        <v/>
      </c>
      <c r="V625" s="79" t="str">
        <f>IF(ISERROR(FIND('112'!$M$9,G625,1)),"",IF((AND(RIGHT(G625,2)=RIGHT('112'!$M$9,2),B625&lt;'112'!$K$9,$O625='112'!$I$6)),"x",""))</f>
        <v/>
      </c>
      <c r="W625" s="79" t="str">
        <f>IF(AND('341-CT'!$H$9=H625,OR(LEFT(N625,3)=$W$7,LEFT(O625,3)=$W$7)),"x","")</f>
        <v/>
      </c>
      <c r="X625" s="79" t="str">
        <f>IF(OR(TH!N625=TH!$X$7,O625=TH!$X$7),"x","")</f>
        <v/>
      </c>
      <c r="Y625" s="79" t="str">
        <f>IF(AND(OR(N625="131",O625="131"),H625='131-CT'!$H$9),"x","")</f>
        <v/>
      </c>
      <c r="Z625" s="79"/>
      <c r="AA625" s="79" t="str">
        <f>IF(AND(MONTH(E625)='IN-NX'!$J$5,'IN-NX'!$D$7=D625),"x","")</f>
        <v/>
      </c>
      <c r="AB625" s="79" t="str">
        <f>IF(AND(OR(LEFT(TH!N625,2)="15",LEFT(TH!O625,2)="15"),LEFT(TH!O625,3)&lt;&gt;"111",'152-CT'!$J$8=TH!F625),"x","")</f>
        <v/>
      </c>
      <c r="AC625" s="79" t="str">
        <f>IF(AND(OR(LEFT(TH!N625,2)="15",LEFT(TH!O625,2)="15"),TK!$E$7=TH!F625),"x","")</f>
        <v/>
      </c>
      <c r="AD625" s="79" t="str">
        <f>IF(AND(N625="1521",MONTH(C625)='BK-NL'!$M$11),"x","")</f>
        <v/>
      </c>
    </row>
    <row r="626" spans="1:30" ht="16.5" customHeight="1">
      <c r="A626" s="318" t="str">
        <f>IF(B626&lt;&gt;"",IF(AND(B626='IN-TC'!$S$4,OR(TH!N626="1111",TH!O626="1111")),TH!D626,""),"")</f>
        <v/>
      </c>
      <c r="B626" s="60" t="str">
        <f t="shared" si="125"/>
        <v/>
      </c>
      <c r="C626" s="974"/>
      <c r="D626" s="974"/>
      <c r="E626" s="974"/>
      <c r="F626" s="975"/>
      <c r="G626" s="976"/>
      <c r="H626" s="305"/>
      <c r="I626" s="383"/>
      <c r="J626" s="977"/>
      <c r="K626" s="383"/>
      <c r="L626" s="390"/>
      <c r="M626" s="978"/>
      <c r="N626" s="979"/>
      <c r="O626" s="979"/>
      <c r="P626" s="79" t="str">
        <f>IF(AND('331-CT'!$E$7=TH!H626,OR(N626="331",O626="331")),"x","")</f>
        <v/>
      </c>
      <c r="Q626" s="79" t="str">
        <f>IF(AND(B626='111'!$L$11,OR($N626=$Q$7,$O626=$Q$7)),"x","")</f>
        <v/>
      </c>
      <c r="R626" s="79" t="str">
        <f>IF(AND($N626=$Q$7,$B626&lt;'111'!$L$11),"x","")</f>
        <v/>
      </c>
      <c r="S626" s="79" t="str">
        <f>IF(AND($O626=$Q$7,$B626&lt;'111'!$L$11),"x","")</f>
        <v/>
      </c>
      <c r="T626" s="79" t="str">
        <f>IF(ISERROR(FIND('112'!$M$9,G626,1)),"",IF((AND(FIND('112'!$M$9,G626,1)&gt;=1,B626='112'!$K$9,OR($N626='112'!$I$6,$O626='112'!$I$6))),"x",""))</f>
        <v/>
      </c>
      <c r="U626" s="79" t="str">
        <f>IF(ISERROR(FIND('112'!$M$9,G626,1)),"",IF((AND(LEFT(G626,2)=LEFT('112'!$M$9,2),B626&lt;'112'!$K$9,$N626='112'!$I$6)),"x",""))</f>
        <v/>
      </c>
      <c r="V626" s="79" t="str">
        <f>IF(ISERROR(FIND('112'!$M$9,G626,1)),"",IF((AND(RIGHT(G626,2)=RIGHT('112'!$M$9,2),B626&lt;'112'!$K$9,$O626='112'!$I$6)),"x",""))</f>
        <v/>
      </c>
      <c r="W626" s="79" t="str">
        <f>IF(AND('341-CT'!$H$9=H626,OR(LEFT(N626,3)=$W$7,LEFT(O626,3)=$W$7)),"x","")</f>
        <v/>
      </c>
      <c r="X626" s="79" t="str">
        <f>IF(OR(TH!N626=TH!$X$7,O626=TH!$X$7),"x","")</f>
        <v/>
      </c>
      <c r="Y626" s="79" t="str">
        <f>IF(AND(OR(N626="131",O626="131"),H626='131-CT'!$H$9),"x","")</f>
        <v/>
      </c>
      <c r="Z626" s="79"/>
      <c r="AA626" s="79" t="str">
        <f>IF(AND(MONTH(E626)='IN-NX'!$J$5,'IN-NX'!$D$7=D626),"x","")</f>
        <v/>
      </c>
      <c r="AB626" s="79" t="str">
        <f>IF(AND(OR(LEFT(TH!N626,2)="15",LEFT(TH!O626,2)="15"),LEFT(TH!O626,3)&lt;&gt;"111",'152-CT'!$J$8=TH!F626),"x","")</f>
        <v/>
      </c>
      <c r="AC626" s="79" t="str">
        <f>IF(AND(OR(LEFT(TH!N626,2)="15",LEFT(TH!O626,2)="15"),TK!$E$7=TH!F626),"x","")</f>
        <v/>
      </c>
      <c r="AD626" s="79" t="str">
        <f>IF(AND(N626="1521",MONTH(C626)='BK-NL'!$M$11),"x","")</f>
        <v/>
      </c>
    </row>
    <row r="627" spans="1:30" ht="16.5" customHeight="1">
      <c r="A627" s="318" t="str">
        <f>IF(B627&lt;&gt;"",IF(AND(B627='IN-TC'!$S$4,OR(TH!N627="1111",TH!O627="1111")),TH!D627,""),"")</f>
        <v/>
      </c>
      <c r="B627" s="60" t="str">
        <f t="shared" si="125"/>
        <v/>
      </c>
      <c r="C627" s="974"/>
      <c r="D627" s="974"/>
      <c r="E627" s="974"/>
      <c r="F627" s="975"/>
      <c r="G627" s="976"/>
      <c r="H627" s="305"/>
      <c r="I627" s="383"/>
      <c r="J627" s="977"/>
      <c r="K627" s="383"/>
      <c r="L627" s="390"/>
      <c r="M627" s="978"/>
      <c r="N627" s="979"/>
      <c r="O627" s="979"/>
      <c r="P627" s="79" t="str">
        <f>IF(AND('331-CT'!$E$7=TH!H627,OR(N627="331",O627="331")),"x","")</f>
        <v/>
      </c>
      <c r="Q627" s="79" t="str">
        <f>IF(AND(B627='111'!$L$11,OR($N627=$Q$7,$O627=$Q$7)),"x","")</f>
        <v/>
      </c>
      <c r="R627" s="79" t="str">
        <f>IF(AND($N627=$Q$7,$B627&lt;'111'!$L$11),"x","")</f>
        <v/>
      </c>
      <c r="S627" s="79" t="str">
        <f>IF(AND($O627=$Q$7,$B627&lt;'111'!$L$11),"x","")</f>
        <v/>
      </c>
      <c r="T627" s="79" t="str">
        <f>IF(ISERROR(FIND('112'!$M$9,G627,1)),"",IF((AND(FIND('112'!$M$9,G627,1)&gt;=1,B627='112'!$K$9,OR($N627='112'!$I$6,$O627='112'!$I$6))),"x",""))</f>
        <v/>
      </c>
      <c r="U627" s="79" t="str">
        <f>IF(ISERROR(FIND('112'!$M$9,G627,1)),"",IF((AND(LEFT(G627,2)=LEFT('112'!$M$9,2),B627&lt;'112'!$K$9,$N627='112'!$I$6)),"x",""))</f>
        <v/>
      </c>
      <c r="V627" s="79" t="str">
        <f>IF(ISERROR(FIND('112'!$M$9,G627,1)),"",IF((AND(RIGHT(G627,2)=RIGHT('112'!$M$9,2),B627&lt;'112'!$K$9,$O627='112'!$I$6)),"x",""))</f>
        <v/>
      </c>
      <c r="W627" s="79" t="str">
        <f>IF(AND('341-CT'!$H$9=H627,OR(LEFT(N627,3)=$W$7,LEFT(O627,3)=$W$7)),"x","")</f>
        <v/>
      </c>
      <c r="X627" s="79" t="str">
        <f>IF(OR(TH!N627=TH!$X$7,O627=TH!$X$7),"x","")</f>
        <v/>
      </c>
      <c r="Y627" s="79" t="str">
        <f>IF(AND(OR(N627="131",O627="131"),H627='131-CT'!$H$9),"x","")</f>
        <v/>
      </c>
      <c r="Z627" s="79"/>
      <c r="AA627" s="79" t="str">
        <f>IF(AND(MONTH(E627)='IN-NX'!$J$5,'IN-NX'!$D$7=D627),"x","")</f>
        <v/>
      </c>
      <c r="AB627" s="79" t="str">
        <f>IF(AND(OR(LEFT(TH!N627,2)="15",LEFT(TH!O627,2)="15"),LEFT(TH!O627,3)&lt;&gt;"111",'152-CT'!$J$8=TH!F627),"x","")</f>
        <v/>
      </c>
      <c r="AC627" s="79" t="str">
        <f>IF(AND(OR(LEFT(TH!N627,2)="15",LEFT(TH!O627,2)="15"),TK!$E$7=TH!F627),"x","")</f>
        <v/>
      </c>
      <c r="AD627" s="79" t="str">
        <f>IF(AND(N627="1521",MONTH(C627)='BK-NL'!$M$11),"x","")</f>
        <v/>
      </c>
    </row>
    <row r="628" spans="1:30" ht="16.5" customHeight="1">
      <c r="A628" s="318" t="str">
        <f>IF(B628&lt;&gt;"",IF(AND(B628='IN-TC'!$S$4,OR(TH!N628="1111",TH!O628="1111")),TH!D628,""),"")</f>
        <v/>
      </c>
      <c r="B628" s="60" t="str">
        <f t="shared" si="125"/>
        <v/>
      </c>
      <c r="C628" s="974"/>
      <c r="D628" s="974"/>
      <c r="E628" s="974"/>
      <c r="F628" s="975"/>
      <c r="G628" s="976"/>
      <c r="H628" s="77"/>
      <c r="I628" s="383"/>
      <c r="J628" s="977"/>
      <c r="K628" s="383"/>
      <c r="L628" s="390"/>
      <c r="M628" s="978"/>
      <c r="N628" s="979"/>
      <c r="O628" s="979"/>
      <c r="P628" s="79" t="str">
        <f>IF(AND('331-CT'!$E$7=TH!H628,OR(N628="331",O628="331")),"x","")</f>
        <v/>
      </c>
      <c r="Q628" s="79" t="str">
        <f>IF(AND(B628='111'!$L$11,OR($N628=$Q$7,$O628=$Q$7)),"x","")</f>
        <v/>
      </c>
      <c r="R628" s="79" t="str">
        <f>IF(AND($N628=$Q$7,$B628&lt;'111'!$L$11),"x","")</f>
        <v/>
      </c>
      <c r="S628" s="79" t="str">
        <f>IF(AND($O628=$Q$7,$B628&lt;'111'!$L$11),"x","")</f>
        <v/>
      </c>
      <c r="T628" s="79" t="str">
        <f>IF(ISERROR(FIND('112'!$M$9,G628,1)),"",IF((AND(FIND('112'!$M$9,G628,1)&gt;=1,B628='112'!$K$9,OR($N628='112'!$I$6,$O628='112'!$I$6))),"x",""))</f>
        <v/>
      </c>
      <c r="U628" s="79" t="str">
        <f>IF(ISERROR(FIND('112'!$M$9,G628,1)),"",IF((AND(LEFT(G628,2)=LEFT('112'!$M$9,2),B628&lt;'112'!$K$9,$N628='112'!$I$6)),"x",""))</f>
        <v/>
      </c>
      <c r="V628" s="79" t="str">
        <f>IF(ISERROR(FIND('112'!$M$9,G628,1)),"",IF((AND(RIGHT(G628,2)=RIGHT('112'!$M$9,2),B628&lt;'112'!$K$9,$O628='112'!$I$6)),"x",""))</f>
        <v/>
      </c>
      <c r="W628" s="79" t="str">
        <f>IF(AND('341-CT'!$H$9=H628,OR(LEFT(N628,3)=$W$7,LEFT(O628,3)=$W$7)),"x","")</f>
        <v/>
      </c>
      <c r="X628" s="79" t="str">
        <f>IF(OR(TH!N628=TH!$X$7,O628=TH!$X$7),"x","")</f>
        <v/>
      </c>
      <c r="Y628" s="79" t="str">
        <f>IF(AND(OR(N628="131",O628="131"),H628='131-CT'!$H$9),"x","")</f>
        <v/>
      </c>
      <c r="Z628" s="79"/>
      <c r="AA628" s="79" t="str">
        <f>IF(AND(MONTH(E628)='IN-NX'!$J$5,'IN-NX'!$D$7=D628),"x","")</f>
        <v/>
      </c>
      <c r="AB628" s="79" t="str">
        <f>IF(AND(OR(LEFT(TH!N628,2)="15",LEFT(TH!O628,2)="15"),LEFT(TH!O628,3)&lt;&gt;"111",'152-CT'!$J$8=TH!F628),"x","")</f>
        <v/>
      </c>
      <c r="AC628" s="79" t="str">
        <f>IF(AND(OR(LEFT(TH!N628,2)="15",LEFT(TH!O628,2)="15"),TK!$E$7=TH!F628),"x","")</f>
        <v/>
      </c>
      <c r="AD628" s="79" t="str">
        <f>IF(AND(N628="1521",MONTH(C628)='BK-NL'!$M$11),"x","")</f>
        <v/>
      </c>
    </row>
    <row r="629" spans="1:30" ht="16.5" customHeight="1">
      <c r="A629" s="318" t="str">
        <f>IF(B629&lt;&gt;"",IF(AND(B629='IN-TC'!$S$4,OR(TH!N629="1111",TH!O629="1111")),TH!D629,""),"")</f>
        <v/>
      </c>
      <c r="B629" s="60" t="str">
        <f t="shared" si="125"/>
        <v/>
      </c>
      <c r="C629" s="974"/>
      <c r="D629" s="974"/>
      <c r="E629" s="974"/>
      <c r="F629" s="975"/>
      <c r="G629" s="976"/>
      <c r="H629" s="77"/>
      <c r="I629" s="383"/>
      <c r="J629" s="977"/>
      <c r="K629" s="383"/>
      <c r="L629" s="390"/>
      <c r="M629" s="978"/>
      <c r="N629" s="979"/>
      <c r="O629" s="979"/>
      <c r="P629" s="79" t="str">
        <f>IF(AND('331-CT'!$E$7=TH!H629,OR(N629="331",O629="331")),"x","")</f>
        <v/>
      </c>
      <c r="Q629" s="79" t="str">
        <f>IF(AND(B629='111'!$L$11,OR($N629=$Q$7,$O629=$Q$7)),"x","")</f>
        <v/>
      </c>
      <c r="R629" s="79" t="str">
        <f>IF(AND($N629=$Q$7,$B629&lt;'111'!$L$11),"x","")</f>
        <v/>
      </c>
      <c r="S629" s="79" t="str">
        <f>IF(AND($O629=$Q$7,$B629&lt;'111'!$L$11),"x","")</f>
        <v/>
      </c>
      <c r="T629" s="79" t="str">
        <f>IF(ISERROR(FIND('112'!$M$9,G629,1)),"",IF((AND(FIND('112'!$M$9,G629,1)&gt;=1,B629='112'!$K$9,OR($N629='112'!$I$6,$O629='112'!$I$6))),"x",""))</f>
        <v/>
      </c>
      <c r="U629" s="79" t="str">
        <f>IF(ISERROR(FIND('112'!$M$9,G629,1)),"",IF((AND(LEFT(G629,2)=LEFT('112'!$M$9,2),B629&lt;'112'!$K$9,$N629='112'!$I$6)),"x",""))</f>
        <v/>
      </c>
      <c r="V629" s="79" t="str">
        <f>IF(ISERROR(FIND('112'!$M$9,G629,1)),"",IF((AND(RIGHT(G629,2)=RIGHT('112'!$M$9,2),B629&lt;'112'!$K$9,$O629='112'!$I$6)),"x",""))</f>
        <v/>
      </c>
      <c r="W629" s="79" t="str">
        <f>IF(AND('341-CT'!$H$9=H629,OR(LEFT(N629,3)=$W$7,LEFT(O629,3)=$W$7)),"x","")</f>
        <v/>
      </c>
      <c r="X629" s="79" t="str">
        <f>IF(OR(TH!N629=TH!$X$7,O629=TH!$X$7),"x","")</f>
        <v/>
      </c>
      <c r="Y629" s="79" t="str">
        <f>IF(AND(OR(N629="131",O629="131"),H629='131-CT'!$H$9),"x","")</f>
        <v/>
      </c>
      <c r="Z629" s="79"/>
      <c r="AA629" s="79" t="str">
        <f>IF(AND(MONTH(E629)='IN-NX'!$J$5,'IN-NX'!$D$7=D629),"x","")</f>
        <v/>
      </c>
      <c r="AB629" s="79" t="str">
        <f>IF(AND(OR(LEFT(TH!N629,2)="15",LEFT(TH!O629,2)="15"),LEFT(TH!O629,3)&lt;&gt;"111",'152-CT'!$J$8=TH!F629),"x","")</f>
        <v/>
      </c>
      <c r="AC629" s="79" t="str">
        <f>IF(AND(OR(LEFT(TH!N629,2)="15",LEFT(TH!O629,2)="15"),TK!$E$7=TH!F629),"x","")</f>
        <v/>
      </c>
      <c r="AD629" s="79" t="str">
        <f>IF(AND(N629="1521",MONTH(C629)='BK-NL'!$M$11),"x","")</f>
        <v/>
      </c>
    </row>
    <row r="630" spans="1:30" ht="16.5" customHeight="1">
      <c r="A630" s="318" t="str">
        <f>IF(B630&lt;&gt;"",IF(AND(B630='IN-TC'!$S$4,OR(TH!N630="1111",TH!O630="1111")),TH!D630,""),"")</f>
        <v/>
      </c>
      <c r="B630" s="60" t="str">
        <f t="shared" si="125"/>
        <v/>
      </c>
      <c r="C630" s="974"/>
      <c r="D630" s="974"/>
      <c r="E630" s="974"/>
      <c r="F630" s="975"/>
      <c r="G630" s="976"/>
      <c r="H630" s="77"/>
      <c r="I630" s="383"/>
      <c r="J630" s="977"/>
      <c r="K630" s="383"/>
      <c r="L630" s="390"/>
      <c r="M630" s="978"/>
      <c r="N630" s="979"/>
      <c r="O630" s="979"/>
      <c r="P630" s="79" t="str">
        <f>IF(AND('331-CT'!$E$7=TH!H630,OR(N630="331",O630="331")),"x","")</f>
        <v/>
      </c>
      <c r="Q630" s="79" t="str">
        <f>IF(AND(B630='111'!$L$11,OR($N630=$Q$7,$O630=$Q$7)),"x","")</f>
        <v/>
      </c>
      <c r="R630" s="79" t="str">
        <f>IF(AND($N630=$Q$7,$B630&lt;'111'!$L$11),"x","")</f>
        <v/>
      </c>
      <c r="S630" s="79" t="str">
        <f>IF(AND($O630=$Q$7,$B630&lt;'111'!$L$11),"x","")</f>
        <v/>
      </c>
      <c r="T630" s="79" t="str">
        <f>IF(ISERROR(FIND('112'!$M$9,G630,1)),"",IF((AND(FIND('112'!$M$9,G630,1)&gt;=1,B630='112'!$K$9,OR($N630='112'!$I$6,$O630='112'!$I$6))),"x",""))</f>
        <v/>
      </c>
      <c r="U630" s="79" t="str">
        <f>IF(ISERROR(FIND('112'!$M$9,G630,1)),"",IF((AND(LEFT(G630,2)=LEFT('112'!$M$9,2),B630&lt;'112'!$K$9,$N630='112'!$I$6)),"x",""))</f>
        <v/>
      </c>
      <c r="V630" s="79" t="str">
        <f>IF(ISERROR(FIND('112'!$M$9,G630,1)),"",IF((AND(RIGHT(G630,2)=RIGHT('112'!$M$9,2),B630&lt;'112'!$K$9,$O630='112'!$I$6)),"x",""))</f>
        <v/>
      </c>
      <c r="W630" s="79" t="str">
        <f>IF(AND('341-CT'!$H$9=H630,OR(LEFT(N630,3)=$W$7,LEFT(O630,3)=$W$7)),"x","")</f>
        <v/>
      </c>
      <c r="X630" s="79" t="str">
        <f>IF(OR(TH!N630=TH!$X$7,O630=TH!$X$7),"x","")</f>
        <v/>
      </c>
      <c r="Y630" s="79" t="str">
        <f>IF(AND(OR(N630="131",O630="131"),H630='131-CT'!$H$9),"x","")</f>
        <v/>
      </c>
      <c r="Z630" s="79"/>
      <c r="AA630" s="79" t="str">
        <f>IF(AND(MONTH(E630)='IN-NX'!$J$5,'IN-NX'!$D$7=D630),"x","")</f>
        <v/>
      </c>
      <c r="AB630" s="79" t="str">
        <f>IF(AND(OR(LEFT(TH!N630,2)="15",LEFT(TH!O630,2)="15"),LEFT(TH!O630,3)&lt;&gt;"111",'152-CT'!$J$8=TH!F630),"x","")</f>
        <v/>
      </c>
      <c r="AC630" s="79" t="str">
        <f>IF(AND(OR(LEFT(TH!N630,2)="15",LEFT(TH!O630,2)="15"),TK!$E$7=TH!F630),"x","")</f>
        <v/>
      </c>
      <c r="AD630" s="79" t="str">
        <f>IF(AND(N630="1521",MONTH(C630)='BK-NL'!$M$11),"x","")</f>
        <v/>
      </c>
    </row>
    <row r="631" spans="1:30" ht="16.5" customHeight="1">
      <c r="A631" s="318" t="str">
        <f>IF(B631&lt;&gt;"",IF(AND(B631='IN-TC'!$S$4,OR(TH!N631="1111",TH!O631="1111")),TH!D631,""),"")</f>
        <v/>
      </c>
      <c r="B631" s="60" t="str">
        <f t="shared" si="125"/>
        <v/>
      </c>
      <c r="C631" s="974"/>
      <c r="D631" s="974"/>
      <c r="E631" s="974"/>
      <c r="F631" s="975"/>
      <c r="G631" s="976"/>
      <c r="H631" s="77"/>
      <c r="I631" s="383"/>
      <c r="J631" s="977"/>
      <c r="K631" s="383"/>
      <c r="L631" s="390"/>
      <c r="M631" s="978"/>
      <c r="N631" s="979"/>
      <c r="O631" s="979"/>
      <c r="P631" s="79" t="str">
        <f>IF(AND('331-CT'!$E$7=TH!H631,OR(N631="331",O631="331")),"x","")</f>
        <v/>
      </c>
      <c r="Q631" s="79" t="str">
        <f>IF(AND(B631='111'!$L$11,OR($N631=$Q$7,$O631=$Q$7)),"x","")</f>
        <v/>
      </c>
      <c r="R631" s="79" t="str">
        <f>IF(AND($N631=$Q$7,$B631&lt;'111'!$L$11),"x","")</f>
        <v/>
      </c>
      <c r="S631" s="79" t="str">
        <f>IF(AND($O631=$Q$7,$B631&lt;'111'!$L$11),"x","")</f>
        <v/>
      </c>
      <c r="T631" s="79" t="str">
        <f>IF(ISERROR(FIND('112'!$M$9,G631,1)),"",IF((AND(FIND('112'!$M$9,G631,1)&gt;=1,B631='112'!$K$9,OR($N631='112'!$I$6,$O631='112'!$I$6))),"x",""))</f>
        <v/>
      </c>
      <c r="U631" s="79" t="str">
        <f>IF(ISERROR(FIND('112'!$M$9,G631,1)),"",IF((AND(LEFT(G631,2)=LEFT('112'!$M$9,2),B631&lt;'112'!$K$9,$N631='112'!$I$6)),"x",""))</f>
        <v/>
      </c>
      <c r="V631" s="79" t="str">
        <f>IF(ISERROR(FIND('112'!$M$9,G631,1)),"",IF((AND(RIGHT(G631,2)=RIGHT('112'!$M$9,2),B631&lt;'112'!$K$9,$O631='112'!$I$6)),"x",""))</f>
        <v/>
      </c>
      <c r="W631" s="79" t="str">
        <f>IF(AND('341-CT'!$H$9=H631,OR(LEFT(N631,3)=$W$7,LEFT(O631,3)=$W$7)),"x","")</f>
        <v/>
      </c>
      <c r="X631" s="79" t="str">
        <f>IF(OR(TH!N631=TH!$X$7,O631=TH!$X$7),"x","")</f>
        <v/>
      </c>
      <c r="Y631" s="79" t="str">
        <f>IF(AND(OR(N631="131",O631="131"),H631='131-CT'!$H$9),"x","")</f>
        <v/>
      </c>
      <c r="Z631" s="79"/>
      <c r="AA631" s="79" t="str">
        <f>IF(AND(MONTH(E631)='IN-NX'!$J$5,'IN-NX'!$D$7=D631),"x","")</f>
        <v/>
      </c>
      <c r="AB631" s="79" t="str">
        <f>IF(AND(OR(LEFT(TH!N631,2)="15",LEFT(TH!O631,2)="15"),LEFT(TH!O631,3)&lt;&gt;"111",'152-CT'!$J$8=TH!F631),"x","")</f>
        <v/>
      </c>
      <c r="AC631" s="79" t="str">
        <f>IF(AND(OR(LEFT(TH!N631,2)="15",LEFT(TH!O631,2)="15"),TK!$E$7=TH!F631),"x","")</f>
        <v/>
      </c>
      <c r="AD631" s="79" t="str">
        <f>IF(AND(N631="1521",MONTH(C631)='BK-NL'!$M$11),"x","")</f>
        <v/>
      </c>
    </row>
    <row r="632" spans="1:30" ht="16.5" customHeight="1">
      <c r="A632" s="318" t="str">
        <f>IF(B632&lt;&gt;"",IF(AND(B632='IN-TC'!$S$4,OR(TH!N632="1111",TH!O632="1111")),TH!D632,""),"")</f>
        <v/>
      </c>
      <c r="B632" s="60" t="str">
        <f t="shared" si="125"/>
        <v/>
      </c>
      <c r="C632" s="974"/>
      <c r="D632" s="974"/>
      <c r="E632" s="974"/>
      <c r="F632" s="975"/>
      <c r="G632" s="976"/>
      <c r="H632" s="77"/>
      <c r="I632" s="383"/>
      <c r="J632" s="977"/>
      <c r="K632" s="383"/>
      <c r="L632" s="390"/>
      <c r="M632" s="978"/>
      <c r="N632" s="979"/>
      <c r="O632" s="979"/>
      <c r="P632" s="79" t="str">
        <f>IF(AND('331-CT'!$E$7=TH!H632,OR(N632="331",O632="331")),"x","")</f>
        <v/>
      </c>
      <c r="Q632" s="79" t="str">
        <f>IF(AND(B632='111'!$L$11,OR($N632=$Q$7,$O632=$Q$7)),"x","")</f>
        <v/>
      </c>
      <c r="R632" s="79" t="str">
        <f>IF(AND($N632=$Q$7,$B632&lt;'111'!$L$11),"x","")</f>
        <v/>
      </c>
      <c r="S632" s="79" t="str">
        <f>IF(AND($O632=$Q$7,$B632&lt;'111'!$L$11),"x","")</f>
        <v/>
      </c>
      <c r="T632" s="79" t="str">
        <f>IF(ISERROR(FIND('112'!$M$9,G632,1)),"",IF((AND(FIND('112'!$M$9,G632,1)&gt;=1,B632='112'!$K$9,OR($N632='112'!$I$6,$O632='112'!$I$6))),"x",""))</f>
        <v/>
      </c>
      <c r="U632" s="79" t="str">
        <f>IF(ISERROR(FIND('112'!$M$9,G632,1)),"",IF((AND(LEFT(G632,2)=LEFT('112'!$M$9,2),B632&lt;'112'!$K$9,$N632='112'!$I$6)),"x",""))</f>
        <v/>
      </c>
      <c r="V632" s="79" t="str">
        <f>IF(ISERROR(FIND('112'!$M$9,G632,1)),"",IF((AND(RIGHT(G632,2)=RIGHT('112'!$M$9,2),B632&lt;'112'!$K$9,$O632='112'!$I$6)),"x",""))</f>
        <v/>
      </c>
      <c r="W632" s="79" t="str">
        <f>IF(AND('341-CT'!$H$9=H632,OR(LEFT(N632,3)=$W$7,LEFT(O632,3)=$W$7)),"x","")</f>
        <v/>
      </c>
      <c r="X632" s="79" t="str">
        <f>IF(OR(TH!N632=TH!$X$7,O632=TH!$X$7),"x","")</f>
        <v/>
      </c>
      <c r="Y632" s="79" t="str">
        <f>IF(AND(OR(N632="131",O632="131"),H632='131-CT'!$H$9),"x","")</f>
        <v/>
      </c>
      <c r="Z632" s="79"/>
      <c r="AA632" s="79" t="str">
        <f>IF(AND(MONTH(E632)='IN-NX'!$J$5,'IN-NX'!$D$7=D632),"x","")</f>
        <v/>
      </c>
      <c r="AB632" s="79" t="str">
        <f>IF(AND(OR(LEFT(TH!N632,2)="15",LEFT(TH!O632,2)="15"),LEFT(TH!O632,3)&lt;&gt;"111",'152-CT'!$J$8=TH!F632),"x","")</f>
        <v/>
      </c>
      <c r="AC632" s="79" t="str">
        <f>IF(AND(OR(LEFT(TH!N632,2)="15",LEFT(TH!O632,2)="15"),TK!$E$7=TH!F632),"x","")</f>
        <v/>
      </c>
      <c r="AD632" s="79" t="str">
        <f>IF(AND(N632="1521",MONTH(C632)='BK-NL'!$M$11),"x","")</f>
        <v/>
      </c>
    </row>
    <row r="633" spans="1:30" ht="16.5" customHeight="1">
      <c r="A633" s="318" t="str">
        <f>IF(B633&lt;&gt;"",IF(AND(B633='IN-TC'!$S$4,OR(TH!N633="1111",TH!O633="1111")),TH!D633,""),"")</f>
        <v/>
      </c>
      <c r="B633" s="60" t="str">
        <f t="shared" si="125"/>
        <v/>
      </c>
      <c r="C633" s="974"/>
      <c r="D633" s="974"/>
      <c r="E633" s="974"/>
      <c r="F633" s="975"/>
      <c r="G633" s="976"/>
      <c r="H633" s="77"/>
      <c r="I633" s="383"/>
      <c r="J633" s="977"/>
      <c r="K633" s="383"/>
      <c r="L633" s="390"/>
      <c r="M633" s="978"/>
      <c r="N633" s="979"/>
      <c r="O633" s="979"/>
      <c r="P633" s="79" t="str">
        <f>IF(AND('331-CT'!$E$7=TH!H633,OR(N633="331",O633="331")),"x","")</f>
        <v/>
      </c>
      <c r="Q633" s="79" t="str">
        <f>IF(AND(B633='111'!$L$11,OR($N633=$Q$7,$O633=$Q$7)),"x","")</f>
        <v/>
      </c>
      <c r="R633" s="79" t="str">
        <f>IF(AND($N633=$Q$7,$B633&lt;'111'!$L$11),"x","")</f>
        <v/>
      </c>
      <c r="S633" s="79" t="str">
        <f>IF(AND($O633=$Q$7,$B633&lt;'111'!$L$11),"x","")</f>
        <v/>
      </c>
      <c r="T633" s="79" t="str">
        <f>IF(ISERROR(FIND('112'!$M$9,G633,1)),"",IF((AND(FIND('112'!$M$9,G633,1)&gt;=1,B633='112'!$K$9,OR($N633='112'!$I$6,$O633='112'!$I$6))),"x",""))</f>
        <v/>
      </c>
      <c r="U633" s="79" t="str">
        <f>IF(ISERROR(FIND('112'!$M$9,G633,1)),"",IF((AND(LEFT(G633,2)=LEFT('112'!$M$9,2),B633&lt;'112'!$K$9,$N633='112'!$I$6)),"x",""))</f>
        <v/>
      </c>
      <c r="V633" s="79" t="str">
        <f>IF(ISERROR(FIND('112'!$M$9,G633,1)),"",IF((AND(RIGHT(G633,2)=RIGHT('112'!$M$9,2),B633&lt;'112'!$K$9,$O633='112'!$I$6)),"x",""))</f>
        <v/>
      </c>
      <c r="W633" s="79" t="str">
        <f>IF(AND('341-CT'!$H$9=H633,OR(LEFT(N633,3)=$W$7,LEFT(O633,3)=$W$7)),"x","")</f>
        <v/>
      </c>
      <c r="X633" s="79" t="str">
        <f>IF(OR(TH!N633=TH!$X$7,O633=TH!$X$7),"x","")</f>
        <v/>
      </c>
      <c r="Y633" s="79" t="str">
        <f>IF(AND(OR(N633="131",O633="131"),H633='131-CT'!$H$9),"x","")</f>
        <v/>
      </c>
      <c r="Z633" s="79"/>
      <c r="AA633" s="79" t="str">
        <f>IF(AND(MONTH(E633)='IN-NX'!$J$5,'IN-NX'!$D$7=D633),"x","")</f>
        <v/>
      </c>
      <c r="AB633" s="79" t="str">
        <f>IF(AND(OR(LEFT(TH!N633,2)="15",LEFT(TH!O633,2)="15"),LEFT(TH!O633,3)&lt;&gt;"111",'152-CT'!$J$8=TH!F633),"x","")</f>
        <v/>
      </c>
      <c r="AC633" s="79" t="str">
        <f>IF(AND(OR(LEFT(TH!N633,2)="15",LEFT(TH!O633,2)="15"),TK!$E$7=TH!F633),"x","")</f>
        <v/>
      </c>
      <c r="AD633" s="79" t="str">
        <f>IF(AND(N633="1521",MONTH(C633)='BK-NL'!$M$11),"x","")</f>
        <v/>
      </c>
    </row>
    <row r="634" spans="1:30" ht="16.5" customHeight="1">
      <c r="A634" s="318" t="str">
        <f>IF(B634&lt;&gt;"",IF(AND(B634='IN-TC'!$S$4,OR(TH!N634="1111",TH!O634="1111")),TH!D634,""),"")</f>
        <v/>
      </c>
      <c r="B634" s="60" t="str">
        <f t="shared" si="125"/>
        <v/>
      </c>
      <c r="C634" s="974"/>
      <c r="D634" s="974"/>
      <c r="E634" s="974"/>
      <c r="F634" s="975"/>
      <c r="G634" s="976"/>
      <c r="H634" s="759"/>
      <c r="I634" s="383"/>
      <c r="J634" s="977"/>
      <c r="K634" s="383"/>
      <c r="L634" s="390"/>
      <c r="M634" s="978"/>
      <c r="N634" s="979"/>
      <c r="O634" s="979"/>
      <c r="P634" s="79" t="str">
        <f>IF(AND('331-CT'!$E$7=TH!H634,OR(N634="331",O634="331")),"x","")</f>
        <v/>
      </c>
      <c r="Q634" s="79" t="str">
        <f>IF(AND(B634='111'!$L$11,OR($N634=$Q$7,$O634=$Q$7)),"x","")</f>
        <v/>
      </c>
      <c r="R634" s="79" t="str">
        <f>IF(AND($N634=$Q$7,$B634&lt;'111'!$L$11),"x","")</f>
        <v/>
      </c>
      <c r="S634" s="79" t="str">
        <f>IF(AND($O634=$Q$7,$B634&lt;'111'!$L$11),"x","")</f>
        <v/>
      </c>
      <c r="T634" s="79" t="str">
        <f>IF(ISERROR(FIND('112'!$M$9,G634,1)),"",IF((AND(FIND('112'!$M$9,G634,1)&gt;=1,B634='112'!$K$9,OR($N634='112'!$I$6,$O634='112'!$I$6))),"x",""))</f>
        <v/>
      </c>
      <c r="U634" s="79" t="str">
        <f>IF(ISERROR(FIND('112'!$M$9,G634,1)),"",IF((AND(LEFT(G634,2)=LEFT('112'!$M$9,2),B634&lt;'112'!$K$9,$N634='112'!$I$6)),"x",""))</f>
        <v/>
      </c>
      <c r="V634" s="79" t="str">
        <f>IF(ISERROR(FIND('112'!$M$9,G634,1)),"",IF((AND(RIGHT(G634,2)=RIGHT('112'!$M$9,2),B634&lt;'112'!$K$9,$O634='112'!$I$6)),"x",""))</f>
        <v/>
      </c>
      <c r="W634" s="79" t="str">
        <f>IF(AND('341-CT'!$H$9=H634,OR(LEFT(N634,3)=$W$7,LEFT(O634,3)=$W$7)),"x","")</f>
        <v/>
      </c>
      <c r="X634" s="79" t="str">
        <f>IF(OR(TH!N634=TH!$X$7,O634=TH!$X$7),"x","")</f>
        <v/>
      </c>
      <c r="Y634" s="79" t="str">
        <f>IF(AND(OR(N634="131",O634="131"),H634='131-CT'!$H$9),"x","")</f>
        <v/>
      </c>
      <c r="Z634" s="79"/>
      <c r="AA634" s="79" t="str">
        <f>IF(AND(MONTH(E634)='IN-NX'!$J$5,'IN-NX'!$D$7=D634),"x","")</f>
        <v/>
      </c>
      <c r="AB634" s="79" t="str">
        <f>IF(AND(OR(LEFT(TH!N634,2)="15",LEFT(TH!O634,2)="15"),LEFT(TH!O634,3)&lt;&gt;"111",'152-CT'!$J$8=TH!F634),"x","")</f>
        <v/>
      </c>
      <c r="AC634" s="79" t="str">
        <f>IF(AND(OR(LEFT(TH!N634,2)="15",LEFT(TH!O634,2)="15"),TK!$E$7=TH!F634),"x","")</f>
        <v/>
      </c>
      <c r="AD634" s="79" t="str">
        <f>IF(AND(N634="1521",MONTH(C634)='BK-NL'!$M$11),"x","")</f>
        <v/>
      </c>
    </row>
    <row r="635" spans="1:30" ht="16.5" customHeight="1">
      <c r="A635" s="318" t="str">
        <f>IF(B635&lt;&gt;"",IF(AND(B635='IN-TC'!$S$4,OR(TH!N635="1111",TH!O635="1111")),TH!D635,""),"")</f>
        <v/>
      </c>
      <c r="B635" s="60" t="str">
        <f t="shared" si="125"/>
        <v/>
      </c>
      <c r="C635" s="974"/>
      <c r="D635" s="974"/>
      <c r="E635" s="974"/>
      <c r="F635" s="975"/>
      <c r="G635" s="976"/>
      <c r="H635" s="759"/>
      <c r="I635" s="383"/>
      <c r="J635" s="977"/>
      <c r="K635" s="383"/>
      <c r="L635" s="390"/>
      <c r="M635" s="978"/>
      <c r="N635" s="979"/>
      <c r="O635" s="979"/>
      <c r="P635" s="79" t="str">
        <f>IF(AND('331-CT'!$E$7=TH!H635,OR(N635="331",O635="331")),"x","")</f>
        <v/>
      </c>
      <c r="Q635" s="79" t="str">
        <f>IF(AND(B635='111'!$L$11,OR($N635=$Q$7,$O635=$Q$7)),"x","")</f>
        <v/>
      </c>
      <c r="R635" s="79" t="str">
        <f>IF(AND($N635=$Q$7,$B635&lt;'111'!$L$11),"x","")</f>
        <v/>
      </c>
      <c r="S635" s="79" t="str">
        <f>IF(AND($O635=$Q$7,$B635&lt;'111'!$L$11),"x","")</f>
        <v/>
      </c>
      <c r="T635" s="79" t="str">
        <f>IF(ISERROR(FIND('112'!$M$9,G635,1)),"",IF((AND(FIND('112'!$M$9,G635,1)&gt;=1,B635='112'!$K$9,OR($N635='112'!$I$6,$O635='112'!$I$6))),"x",""))</f>
        <v/>
      </c>
      <c r="U635" s="79" t="str">
        <f>IF(ISERROR(FIND('112'!$M$9,G635,1)),"",IF((AND(LEFT(G635,2)=LEFT('112'!$M$9,2),B635&lt;'112'!$K$9,$N635='112'!$I$6)),"x",""))</f>
        <v/>
      </c>
      <c r="V635" s="79" t="str">
        <f>IF(ISERROR(FIND('112'!$M$9,G635,1)),"",IF((AND(RIGHT(G635,2)=RIGHT('112'!$M$9,2),B635&lt;'112'!$K$9,$O635='112'!$I$6)),"x",""))</f>
        <v/>
      </c>
      <c r="W635" s="79" t="str">
        <f>IF(AND('341-CT'!$H$9=H635,OR(LEFT(N635,3)=$W$7,LEFT(O635,3)=$W$7)),"x","")</f>
        <v/>
      </c>
      <c r="X635" s="79" t="str">
        <f>IF(OR(TH!N635=TH!$X$7,O635=TH!$X$7),"x","")</f>
        <v/>
      </c>
      <c r="Y635" s="79" t="str">
        <f>IF(AND(OR(N635="131",O635="131"),H635='131-CT'!$H$9),"x","")</f>
        <v/>
      </c>
      <c r="Z635" s="79"/>
      <c r="AA635" s="79" t="str">
        <f>IF(AND(MONTH(E635)='IN-NX'!$J$5,'IN-NX'!$D$7=D635),"x","")</f>
        <v/>
      </c>
      <c r="AB635" s="79" t="str">
        <f>IF(AND(OR(LEFT(TH!N635,2)="15",LEFT(TH!O635,2)="15"),LEFT(TH!O635,3)&lt;&gt;"111",'152-CT'!$J$8=TH!F635),"x","")</f>
        <v/>
      </c>
      <c r="AC635" s="79" t="str">
        <f>IF(AND(OR(LEFT(TH!N635,2)="15",LEFT(TH!O635,2)="15"),TK!$E$7=TH!F635),"x","")</f>
        <v/>
      </c>
      <c r="AD635" s="79" t="str">
        <f>IF(AND(N635="1521",MONTH(C635)='BK-NL'!$M$11),"x","")</f>
        <v/>
      </c>
    </row>
    <row r="636" spans="1:30" ht="16.5" customHeight="1">
      <c r="A636" s="318" t="str">
        <f>IF(B636&lt;&gt;"",IF(AND(B636='IN-TC'!$S$4,OR(TH!N636="1111",TH!O636="1111")),TH!D636,""),"")</f>
        <v/>
      </c>
      <c r="B636" s="60" t="str">
        <f t="shared" si="125"/>
        <v/>
      </c>
      <c r="C636" s="974"/>
      <c r="D636" s="974"/>
      <c r="E636" s="974"/>
      <c r="F636" s="975"/>
      <c r="G636" s="976"/>
      <c r="H636" s="759"/>
      <c r="I636" s="383"/>
      <c r="J636" s="977"/>
      <c r="K636" s="383"/>
      <c r="L636" s="390"/>
      <c r="M636" s="978"/>
      <c r="N636" s="979"/>
      <c r="O636" s="979"/>
      <c r="P636" s="79" t="str">
        <f>IF(AND('331-CT'!$E$7=TH!H636,OR(N636="331",O636="331")),"x","")</f>
        <v/>
      </c>
      <c r="Q636" s="79" t="str">
        <f>IF(AND(B636='111'!$L$11,OR($N636=$Q$7,$O636=$Q$7)),"x","")</f>
        <v/>
      </c>
      <c r="R636" s="79" t="str">
        <f>IF(AND($N636=$Q$7,$B636&lt;'111'!$L$11),"x","")</f>
        <v/>
      </c>
      <c r="S636" s="79" t="str">
        <f>IF(AND($O636=$Q$7,$B636&lt;'111'!$L$11),"x","")</f>
        <v/>
      </c>
      <c r="T636" s="79" t="str">
        <f>IF(ISERROR(FIND('112'!$M$9,G636,1)),"",IF((AND(FIND('112'!$M$9,G636,1)&gt;=1,B636='112'!$K$9,OR($N636='112'!$I$6,$O636='112'!$I$6))),"x",""))</f>
        <v/>
      </c>
      <c r="U636" s="79" t="str">
        <f>IF(ISERROR(FIND('112'!$M$9,G636,1)),"",IF((AND(LEFT(G636,2)=LEFT('112'!$M$9,2),B636&lt;'112'!$K$9,$N636='112'!$I$6)),"x",""))</f>
        <v/>
      </c>
      <c r="V636" s="79" t="str">
        <f>IF(ISERROR(FIND('112'!$M$9,G636,1)),"",IF((AND(RIGHT(G636,2)=RIGHT('112'!$M$9,2),B636&lt;'112'!$K$9,$O636='112'!$I$6)),"x",""))</f>
        <v/>
      </c>
      <c r="W636" s="79" t="str">
        <f>IF(AND('341-CT'!$H$9=H636,OR(LEFT(N636,3)=$W$7,LEFT(O636,3)=$W$7)),"x","")</f>
        <v/>
      </c>
      <c r="X636" s="79" t="str">
        <f>IF(OR(TH!N636=TH!$X$7,O636=TH!$X$7),"x","")</f>
        <v/>
      </c>
      <c r="Y636" s="79" t="str">
        <f>IF(AND(OR(N636="131",O636="131"),H636='131-CT'!$H$9),"x","")</f>
        <v/>
      </c>
      <c r="Z636" s="79"/>
      <c r="AA636" s="79" t="str">
        <f>IF(AND(MONTH(E636)='IN-NX'!$J$5,'IN-NX'!$D$7=D636),"x","")</f>
        <v/>
      </c>
      <c r="AB636" s="79" t="str">
        <f>IF(AND(OR(LEFT(TH!N636,2)="15",LEFT(TH!O636,2)="15"),LEFT(TH!O636,3)&lt;&gt;"111",'152-CT'!$J$8=TH!F636),"x","")</f>
        <v/>
      </c>
      <c r="AC636" s="79" t="str">
        <f>IF(AND(OR(LEFT(TH!N636,2)="15",LEFT(TH!O636,2)="15"),TK!$E$7=TH!F636),"x","")</f>
        <v/>
      </c>
      <c r="AD636" s="79" t="str">
        <f>IF(AND(N636="1521",MONTH(C636)='BK-NL'!$M$11),"x","")</f>
        <v/>
      </c>
    </row>
    <row r="637" spans="1:30" ht="16.5" customHeight="1">
      <c r="A637" s="318" t="str">
        <f>IF(B637&lt;&gt;"",IF(AND(B637='IN-TC'!$S$4,OR(TH!N637="1111",TH!O637="1111")),TH!D637,""),"")</f>
        <v/>
      </c>
      <c r="B637" s="60" t="str">
        <f t="shared" si="125"/>
        <v/>
      </c>
      <c r="C637" s="974"/>
      <c r="D637" s="974"/>
      <c r="E637" s="974"/>
      <c r="F637" s="975"/>
      <c r="G637" s="976"/>
      <c r="H637" s="759"/>
      <c r="I637" s="383"/>
      <c r="J637" s="977"/>
      <c r="K637" s="383"/>
      <c r="L637" s="390"/>
      <c r="M637" s="978"/>
      <c r="N637" s="979"/>
      <c r="O637" s="979"/>
      <c r="P637" s="79" t="str">
        <f>IF(AND('331-CT'!$E$7=TH!H637,OR(N637="331",O637="331")),"x","")</f>
        <v/>
      </c>
      <c r="Q637" s="79" t="str">
        <f>IF(AND(B637='111'!$L$11,OR($N637=$Q$7,$O637=$Q$7)),"x","")</f>
        <v/>
      </c>
      <c r="R637" s="79" t="str">
        <f>IF(AND($N637=$Q$7,$B637&lt;'111'!$L$11),"x","")</f>
        <v/>
      </c>
      <c r="S637" s="79" t="str">
        <f>IF(AND($O637=$Q$7,$B637&lt;'111'!$L$11),"x","")</f>
        <v/>
      </c>
      <c r="T637" s="79" t="str">
        <f>IF(ISERROR(FIND('112'!$M$9,G637,1)),"",IF((AND(FIND('112'!$M$9,G637,1)&gt;=1,B637='112'!$K$9,OR($N637='112'!$I$6,$O637='112'!$I$6))),"x",""))</f>
        <v/>
      </c>
      <c r="U637" s="79" t="str">
        <f>IF(ISERROR(FIND('112'!$M$9,G637,1)),"",IF((AND(LEFT(G637,2)=LEFT('112'!$M$9,2),B637&lt;'112'!$K$9,$N637='112'!$I$6)),"x",""))</f>
        <v/>
      </c>
      <c r="V637" s="79" t="str">
        <f>IF(ISERROR(FIND('112'!$M$9,G637,1)),"",IF((AND(RIGHT(G637,2)=RIGHT('112'!$M$9,2),B637&lt;'112'!$K$9,$O637='112'!$I$6)),"x",""))</f>
        <v/>
      </c>
      <c r="W637" s="79" t="str">
        <f>IF(AND('341-CT'!$H$9=H637,OR(LEFT(N637,3)=$W$7,LEFT(O637,3)=$W$7)),"x","")</f>
        <v/>
      </c>
      <c r="X637" s="79" t="str">
        <f>IF(OR(TH!N637=TH!$X$7,O637=TH!$X$7),"x","")</f>
        <v/>
      </c>
      <c r="Y637" s="79" t="str">
        <f>IF(AND(OR(N637="131",O637="131"),H637='131-CT'!$H$9),"x","")</f>
        <v/>
      </c>
      <c r="Z637" s="79"/>
      <c r="AA637" s="79" t="str">
        <f>IF(AND(MONTH(E637)='IN-NX'!$J$5,'IN-NX'!$D$7=D637),"x","")</f>
        <v/>
      </c>
      <c r="AB637" s="79" t="str">
        <f>IF(AND(OR(LEFT(TH!N637,2)="15",LEFT(TH!O637,2)="15"),LEFT(TH!O637,3)&lt;&gt;"111",'152-CT'!$J$8=TH!F637),"x","")</f>
        <v/>
      </c>
      <c r="AC637" s="79" t="str">
        <f>IF(AND(OR(LEFT(TH!N637,2)="15",LEFT(TH!O637,2)="15"),TK!$E$7=TH!F637),"x","")</f>
        <v/>
      </c>
      <c r="AD637" s="79" t="str">
        <f>IF(AND(N637="1521",MONTH(C637)='BK-NL'!$M$11),"x","")</f>
        <v/>
      </c>
    </row>
    <row r="638" spans="1:30" ht="16.5" customHeight="1">
      <c r="A638" s="318" t="str">
        <f>IF(B638&lt;&gt;"",IF(AND(B638='IN-TC'!$S$4,OR(TH!N638="1111",TH!O638="1111")),TH!D638,""),"")</f>
        <v/>
      </c>
      <c r="B638" s="60" t="str">
        <f t="shared" si="125"/>
        <v/>
      </c>
      <c r="C638" s="974"/>
      <c r="D638" s="974"/>
      <c r="E638" s="974"/>
      <c r="F638" s="975"/>
      <c r="G638" s="976"/>
      <c r="H638" s="759"/>
      <c r="I638" s="383"/>
      <c r="J638" s="977"/>
      <c r="K638" s="383"/>
      <c r="L638" s="390"/>
      <c r="M638" s="978"/>
      <c r="N638" s="979"/>
      <c r="O638" s="979"/>
      <c r="P638" s="79" t="str">
        <f>IF(AND('331-CT'!$E$7=TH!H638,OR(N638="331",O638="331")),"x","")</f>
        <v/>
      </c>
      <c r="Q638" s="79" t="str">
        <f>IF(AND(B638='111'!$L$11,OR($N638=$Q$7,$O638=$Q$7)),"x","")</f>
        <v/>
      </c>
      <c r="R638" s="79" t="str">
        <f>IF(AND($N638=$Q$7,$B638&lt;'111'!$L$11),"x","")</f>
        <v/>
      </c>
      <c r="S638" s="79" t="str">
        <f>IF(AND($O638=$Q$7,$B638&lt;'111'!$L$11),"x","")</f>
        <v/>
      </c>
      <c r="T638" s="79" t="str">
        <f>IF(ISERROR(FIND('112'!$M$9,G638,1)),"",IF((AND(FIND('112'!$M$9,G638,1)&gt;=1,B638='112'!$K$9,OR($N638='112'!$I$6,$O638='112'!$I$6))),"x",""))</f>
        <v/>
      </c>
      <c r="U638" s="79" t="str">
        <f>IF(ISERROR(FIND('112'!$M$9,G638,1)),"",IF((AND(LEFT(G638,2)=LEFT('112'!$M$9,2),B638&lt;'112'!$K$9,$N638='112'!$I$6)),"x",""))</f>
        <v/>
      </c>
      <c r="V638" s="79" t="str">
        <f>IF(ISERROR(FIND('112'!$M$9,G638,1)),"",IF((AND(RIGHT(G638,2)=RIGHT('112'!$M$9,2),B638&lt;'112'!$K$9,$O638='112'!$I$6)),"x",""))</f>
        <v/>
      </c>
      <c r="W638" s="79" t="str">
        <f>IF(AND('341-CT'!$H$9=H638,OR(LEFT(N638,3)=$W$7,LEFT(O638,3)=$W$7)),"x","")</f>
        <v/>
      </c>
      <c r="X638" s="79" t="str">
        <f>IF(OR(TH!N638=TH!$X$7,O638=TH!$X$7),"x","")</f>
        <v/>
      </c>
      <c r="Y638" s="79" t="str">
        <f>IF(AND(OR(N638="131",O638="131"),H638='131-CT'!$H$9),"x","")</f>
        <v/>
      </c>
      <c r="Z638" s="79"/>
      <c r="AA638" s="79" t="str">
        <f>IF(AND(MONTH(E638)='IN-NX'!$J$5,'IN-NX'!$D$7=D638),"x","")</f>
        <v/>
      </c>
      <c r="AB638" s="79" t="str">
        <f>IF(AND(OR(LEFT(TH!N638,2)="15",LEFT(TH!O638,2)="15"),LEFT(TH!O638,3)&lt;&gt;"111",'152-CT'!$J$8=TH!F638),"x","")</f>
        <v/>
      </c>
      <c r="AC638" s="79" t="str">
        <f>IF(AND(OR(LEFT(TH!N638,2)="15",LEFT(TH!O638,2)="15"),TK!$E$7=TH!F638),"x","")</f>
        <v/>
      </c>
      <c r="AD638" s="79" t="str">
        <f>IF(AND(N638="1521",MONTH(C638)='BK-NL'!$M$11),"x","")</f>
        <v/>
      </c>
    </row>
    <row r="639" spans="1:30" ht="16.5" customHeight="1">
      <c r="A639" s="318" t="str">
        <f>IF(B639&lt;&gt;"",IF(AND(B639='IN-TC'!$S$4,OR(TH!N639="1111",TH!O639="1111")),TH!D639,""),"")</f>
        <v/>
      </c>
      <c r="B639" s="60" t="str">
        <f t="shared" si="125"/>
        <v/>
      </c>
      <c r="C639" s="974"/>
      <c r="D639" s="974"/>
      <c r="E639" s="974"/>
      <c r="F639" s="975"/>
      <c r="G639" s="976"/>
      <c r="H639" s="759"/>
      <c r="I639" s="383"/>
      <c r="J639" s="977"/>
      <c r="K639" s="383"/>
      <c r="L639" s="390"/>
      <c r="M639" s="978"/>
      <c r="N639" s="979"/>
      <c r="O639" s="979"/>
      <c r="P639" s="79" t="str">
        <f>IF(AND('331-CT'!$E$7=TH!H639,OR(N639="331",O639="331")),"x","")</f>
        <v/>
      </c>
      <c r="Q639" s="79" t="str">
        <f>IF(AND(B639='111'!$L$11,OR($N639=$Q$7,$O639=$Q$7)),"x","")</f>
        <v/>
      </c>
      <c r="R639" s="79" t="str">
        <f>IF(AND($N639=$Q$7,$B639&lt;'111'!$L$11),"x","")</f>
        <v/>
      </c>
      <c r="S639" s="79" t="str">
        <f>IF(AND($O639=$Q$7,$B639&lt;'111'!$L$11),"x","")</f>
        <v/>
      </c>
      <c r="T639" s="79" t="str">
        <f>IF(ISERROR(FIND('112'!$M$9,G639,1)),"",IF((AND(FIND('112'!$M$9,G639,1)&gt;=1,B639='112'!$K$9,OR($N639='112'!$I$6,$O639='112'!$I$6))),"x",""))</f>
        <v/>
      </c>
      <c r="U639" s="79" t="str">
        <f>IF(ISERROR(FIND('112'!$M$9,G639,1)),"",IF((AND(LEFT(G639,2)=LEFT('112'!$M$9,2),B639&lt;'112'!$K$9,$N639='112'!$I$6)),"x",""))</f>
        <v/>
      </c>
      <c r="V639" s="79" t="str">
        <f>IF(ISERROR(FIND('112'!$M$9,G639,1)),"",IF((AND(RIGHT(G639,2)=RIGHT('112'!$M$9,2),B639&lt;'112'!$K$9,$O639='112'!$I$6)),"x",""))</f>
        <v/>
      </c>
      <c r="W639" s="79" t="str">
        <f>IF(AND('341-CT'!$H$9=H639,OR(LEFT(N639,3)=$W$7,LEFT(O639,3)=$W$7)),"x","")</f>
        <v/>
      </c>
      <c r="X639" s="79" t="str">
        <f>IF(OR(TH!N639=TH!$X$7,O639=TH!$X$7),"x","")</f>
        <v/>
      </c>
      <c r="Y639" s="79" t="str">
        <f>IF(AND(OR(N639="131",O639="131"),H639='131-CT'!$H$9),"x","")</f>
        <v/>
      </c>
      <c r="Z639" s="79"/>
      <c r="AA639" s="79" t="str">
        <f>IF(AND(MONTH(E639)='IN-NX'!$J$5,'IN-NX'!$D$7=D639),"x","")</f>
        <v/>
      </c>
      <c r="AB639" s="79" t="str">
        <f>IF(AND(OR(LEFT(TH!N639,2)="15",LEFT(TH!O639,2)="15"),LEFT(TH!O639,3)&lt;&gt;"111",'152-CT'!$J$8=TH!F639),"x","")</f>
        <v/>
      </c>
      <c r="AC639" s="79" t="str">
        <f>IF(AND(OR(LEFT(TH!N639,2)="15",LEFT(TH!O639,2)="15"),TK!$E$7=TH!F639),"x","")</f>
        <v/>
      </c>
      <c r="AD639" s="79" t="str">
        <f>IF(AND(N639="1521",MONTH(C639)='BK-NL'!$M$11),"x","")</f>
        <v/>
      </c>
    </row>
    <row r="640" spans="1:30" ht="16.5" customHeight="1">
      <c r="A640" s="318" t="str">
        <f>IF(B640&lt;&gt;"",IF(AND(B640='IN-TC'!$S$4,OR(TH!N640="1111",TH!O640="1111")),TH!D640,""),"")</f>
        <v/>
      </c>
      <c r="B640" s="60" t="str">
        <f t="shared" si="125"/>
        <v/>
      </c>
      <c r="C640" s="974"/>
      <c r="D640" s="974"/>
      <c r="E640" s="974"/>
      <c r="F640" s="975"/>
      <c r="G640" s="976"/>
      <c r="H640" s="759"/>
      <c r="I640" s="383"/>
      <c r="J640" s="977"/>
      <c r="K640" s="383"/>
      <c r="L640" s="390"/>
      <c r="M640" s="978"/>
      <c r="N640" s="979"/>
      <c r="O640" s="979"/>
      <c r="P640" s="79" t="str">
        <f>IF(AND('331-CT'!$E$7=TH!H640,OR(N640="331",O640="331")),"x","")</f>
        <v/>
      </c>
      <c r="Q640" s="79" t="str">
        <f>IF(AND(B640='111'!$L$11,OR($N640=$Q$7,$O640=$Q$7)),"x","")</f>
        <v/>
      </c>
      <c r="R640" s="79" t="str">
        <f>IF(AND($N640=$Q$7,$B640&lt;'111'!$L$11),"x","")</f>
        <v/>
      </c>
      <c r="S640" s="79" t="str">
        <f>IF(AND($O640=$Q$7,$B640&lt;'111'!$L$11),"x","")</f>
        <v/>
      </c>
      <c r="T640" s="79" t="str">
        <f>IF(ISERROR(FIND('112'!$M$9,G640,1)),"",IF((AND(FIND('112'!$M$9,G640,1)&gt;=1,B640='112'!$K$9,OR($N640='112'!$I$6,$O640='112'!$I$6))),"x",""))</f>
        <v/>
      </c>
      <c r="U640" s="79" t="str">
        <f>IF(ISERROR(FIND('112'!$M$9,G640,1)),"",IF((AND(LEFT(G640,2)=LEFT('112'!$M$9,2),B640&lt;'112'!$K$9,$N640='112'!$I$6)),"x",""))</f>
        <v/>
      </c>
      <c r="V640" s="79" t="str">
        <f>IF(ISERROR(FIND('112'!$M$9,G640,1)),"",IF((AND(RIGHT(G640,2)=RIGHT('112'!$M$9,2),B640&lt;'112'!$K$9,$O640='112'!$I$6)),"x",""))</f>
        <v/>
      </c>
      <c r="W640" s="79" t="str">
        <f>IF(AND('341-CT'!$H$9=H640,OR(LEFT(N640,3)=$W$7,LEFT(O640,3)=$W$7)),"x","")</f>
        <v/>
      </c>
      <c r="X640" s="79" t="str">
        <f>IF(OR(TH!N640=TH!$X$7,O640=TH!$X$7),"x","")</f>
        <v/>
      </c>
      <c r="Y640" s="79" t="str">
        <f>IF(AND(OR(N640="131",O640="131"),H640='131-CT'!$H$9),"x","")</f>
        <v/>
      </c>
      <c r="Z640" s="79"/>
      <c r="AA640" s="79" t="str">
        <f>IF(AND(MONTH(E640)='IN-NX'!$J$5,'IN-NX'!$D$7=D640),"x","")</f>
        <v/>
      </c>
      <c r="AB640" s="79" t="str">
        <f>IF(AND(OR(LEFT(TH!N640,2)="15",LEFT(TH!O640,2)="15"),LEFT(TH!O640,3)&lt;&gt;"111",'152-CT'!$J$8=TH!F640),"x","")</f>
        <v/>
      </c>
      <c r="AC640" s="79" t="str">
        <f>IF(AND(OR(LEFT(TH!N640,2)="15",LEFT(TH!O640,2)="15"),TK!$E$7=TH!F640),"x","")</f>
        <v/>
      </c>
      <c r="AD640" s="79" t="str">
        <f>IF(AND(N640="1521",MONTH(C640)='BK-NL'!$M$11),"x","")</f>
        <v/>
      </c>
    </row>
    <row r="641" spans="1:30" ht="16.5" customHeight="1">
      <c r="A641" s="318" t="str">
        <f>IF(B641&lt;&gt;"",IF(AND(B641='IN-TC'!$S$4,OR(TH!N641="1111",TH!O641="1111")),TH!D641,""),"")</f>
        <v/>
      </c>
      <c r="B641" s="60" t="str">
        <f t="shared" si="125"/>
        <v/>
      </c>
      <c r="C641" s="974"/>
      <c r="D641" s="974"/>
      <c r="E641" s="974"/>
      <c r="F641" s="975"/>
      <c r="G641" s="976"/>
      <c r="H641" s="759"/>
      <c r="I641" s="383"/>
      <c r="J641" s="977"/>
      <c r="K641" s="383"/>
      <c r="L641" s="390"/>
      <c r="M641" s="978"/>
      <c r="N641" s="979"/>
      <c r="O641" s="979"/>
      <c r="P641" s="79" t="str">
        <f>IF(AND('331-CT'!$E$7=TH!H641,OR(N641="331",O641="331")),"x","")</f>
        <v/>
      </c>
      <c r="Q641" s="79" t="str">
        <f>IF(AND(B641='111'!$L$11,OR($N641=$Q$7,$O641=$Q$7)),"x","")</f>
        <v/>
      </c>
      <c r="R641" s="79" t="str">
        <f>IF(AND($N641=$Q$7,$B641&lt;'111'!$L$11),"x","")</f>
        <v/>
      </c>
      <c r="S641" s="79" t="str">
        <f>IF(AND($O641=$Q$7,$B641&lt;'111'!$L$11),"x","")</f>
        <v/>
      </c>
      <c r="T641" s="79" t="str">
        <f>IF(ISERROR(FIND('112'!$M$9,G641,1)),"",IF((AND(FIND('112'!$M$9,G641,1)&gt;=1,B641='112'!$K$9,OR($N641='112'!$I$6,$O641='112'!$I$6))),"x",""))</f>
        <v/>
      </c>
      <c r="U641" s="79" t="str">
        <f>IF(ISERROR(FIND('112'!$M$9,G641,1)),"",IF((AND(LEFT(G641,2)=LEFT('112'!$M$9,2),B641&lt;'112'!$K$9,$N641='112'!$I$6)),"x",""))</f>
        <v/>
      </c>
      <c r="V641" s="79" t="str">
        <f>IF(ISERROR(FIND('112'!$M$9,G641,1)),"",IF((AND(RIGHT(G641,2)=RIGHT('112'!$M$9,2),B641&lt;'112'!$K$9,$O641='112'!$I$6)),"x",""))</f>
        <v/>
      </c>
      <c r="W641" s="79" t="str">
        <f>IF(AND('341-CT'!$H$9=H641,OR(LEFT(N641,3)=$W$7,LEFT(O641,3)=$W$7)),"x","")</f>
        <v/>
      </c>
      <c r="X641" s="79" t="str">
        <f>IF(OR(TH!N641=TH!$X$7,O641=TH!$X$7),"x","")</f>
        <v/>
      </c>
      <c r="Y641" s="79" t="str">
        <f>IF(AND(OR(N641="131",O641="131"),H641='131-CT'!$H$9),"x","")</f>
        <v/>
      </c>
      <c r="Z641" s="79"/>
      <c r="AA641" s="79" t="str">
        <f>IF(AND(MONTH(E641)='IN-NX'!$J$5,'IN-NX'!$D$7=D641),"x","")</f>
        <v/>
      </c>
      <c r="AB641" s="79" t="str">
        <f>IF(AND(OR(LEFT(TH!N641,2)="15",LEFT(TH!O641,2)="15"),LEFT(TH!O641,3)&lt;&gt;"111",'152-CT'!$J$8=TH!F641),"x","")</f>
        <v/>
      </c>
      <c r="AC641" s="79" t="str">
        <f>IF(AND(OR(LEFT(TH!N641,2)="15",LEFT(TH!O641,2)="15"),TK!$E$7=TH!F641),"x","")</f>
        <v/>
      </c>
      <c r="AD641" s="79" t="str">
        <f>IF(AND(N641="1521",MONTH(C641)='BK-NL'!$M$11),"x","")</f>
        <v/>
      </c>
    </row>
    <row r="642" spans="1:30" ht="16.5" customHeight="1">
      <c r="A642" s="318" t="str">
        <f>IF(B642&lt;&gt;"",IF(AND(B642='IN-TC'!$S$4,OR(TH!N642="1111",TH!O642="1111")),TH!D642,""),"")</f>
        <v/>
      </c>
      <c r="B642" s="60" t="str">
        <f t="shared" si="125"/>
        <v/>
      </c>
      <c r="C642" s="974"/>
      <c r="D642" s="974"/>
      <c r="E642" s="974"/>
      <c r="F642" s="975"/>
      <c r="G642" s="976"/>
      <c r="H642" s="759"/>
      <c r="I642" s="383"/>
      <c r="J642" s="977"/>
      <c r="K642" s="383"/>
      <c r="L642" s="390"/>
      <c r="M642" s="978"/>
      <c r="N642" s="979"/>
      <c r="O642" s="979"/>
      <c r="P642" s="79" t="str">
        <f>IF(AND('331-CT'!$E$7=TH!H642,OR(N642="331",O642="331")),"x","")</f>
        <v/>
      </c>
      <c r="Q642" s="79" t="str">
        <f>IF(AND(B642='111'!$L$11,OR($N642=$Q$7,$O642=$Q$7)),"x","")</f>
        <v/>
      </c>
      <c r="R642" s="79" t="str">
        <f>IF(AND($N642=$Q$7,$B642&lt;'111'!$L$11),"x","")</f>
        <v/>
      </c>
      <c r="S642" s="79" t="str">
        <f>IF(AND($O642=$Q$7,$B642&lt;'111'!$L$11),"x","")</f>
        <v/>
      </c>
      <c r="T642" s="79" t="str">
        <f>IF(ISERROR(FIND('112'!$M$9,G642,1)),"",IF((AND(FIND('112'!$M$9,G642,1)&gt;=1,B642='112'!$K$9,OR($N642='112'!$I$6,$O642='112'!$I$6))),"x",""))</f>
        <v/>
      </c>
      <c r="U642" s="79" t="str">
        <f>IF(ISERROR(FIND('112'!$M$9,G642,1)),"",IF((AND(LEFT(G642,2)=LEFT('112'!$M$9,2),B642&lt;'112'!$K$9,$N642='112'!$I$6)),"x",""))</f>
        <v/>
      </c>
      <c r="V642" s="79" t="str">
        <f>IF(ISERROR(FIND('112'!$M$9,G642,1)),"",IF((AND(RIGHT(G642,2)=RIGHT('112'!$M$9,2),B642&lt;'112'!$K$9,$O642='112'!$I$6)),"x",""))</f>
        <v/>
      </c>
      <c r="W642" s="79" t="str">
        <f>IF(AND('341-CT'!$H$9=H642,OR(LEFT(N642,3)=$W$7,LEFT(O642,3)=$W$7)),"x","")</f>
        <v/>
      </c>
      <c r="X642" s="79" t="str">
        <f>IF(OR(TH!N642=TH!$X$7,O642=TH!$X$7),"x","")</f>
        <v/>
      </c>
      <c r="Y642" s="79" t="str">
        <f>IF(AND(OR(N642="131",O642="131"),H642='131-CT'!$H$9),"x","")</f>
        <v/>
      </c>
      <c r="Z642" s="79"/>
      <c r="AA642" s="79" t="str">
        <f>IF(AND(MONTH(E642)='IN-NX'!$J$5,'IN-NX'!$D$7=D642),"x","")</f>
        <v/>
      </c>
      <c r="AB642" s="79" t="str">
        <f>IF(AND(OR(LEFT(TH!N642,2)="15",LEFT(TH!O642,2)="15"),LEFT(TH!O642,3)&lt;&gt;"111",'152-CT'!$J$8=TH!F642),"x","")</f>
        <v/>
      </c>
      <c r="AC642" s="79" t="str">
        <f>IF(AND(OR(LEFT(TH!N642,2)="15",LEFT(TH!O642,2)="15"),TK!$E$7=TH!F642),"x","")</f>
        <v/>
      </c>
      <c r="AD642" s="79" t="str">
        <f>IF(AND(N642="1521",MONTH(C642)='BK-NL'!$M$11),"x","")</f>
        <v/>
      </c>
    </row>
    <row r="643" spans="1:30" ht="16.5" customHeight="1">
      <c r="A643" s="318" t="str">
        <f>IF(B643&lt;&gt;"",IF(AND(B643='IN-TC'!$S$4,OR(TH!N643="1111",TH!O643="1111")),TH!D643,""),"")</f>
        <v/>
      </c>
      <c r="B643" s="60" t="str">
        <f t="shared" si="125"/>
        <v/>
      </c>
      <c r="C643" s="974"/>
      <c r="D643" s="974"/>
      <c r="E643" s="974"/>
      <c r="F643" s="975"/>
      <c r="G643" s="976"/>
      <c r="H643" s="759"/>
      <c r="I643" s="383"/>
      <c r="J643" s="977"/>
      <c r="K643" s="383"/>
      <c r="L643" s="390"/>
      <c r="M643" s="978"/>
      <c r="N643" s="979"/>
      <c r="O643" s="979"/>
      <c r="P643" s="79" t="str">
        <f>IF(AND('331-CT'!$E$7=TH!H643,OR(N643="331",O643="331")),"x","")</f>
        <v/>
      </c>
      <c r="Q643" s="79" t="str">
        <f>IF(AND(B643='111'!$L$11,OR($N643=$Q$7,$O643=$Q$7)),"x","")</f>
        <v/>
      </c>
      <c r="R643" s="79" t="str">
        <f>IF(AND($N643=$Q$7,$B643&lt;'111'!$L$11),"x","")</f>
        <v/>
      </c>
      <c r="S643" s="79" t="str">
        <f>IF(AND($O643=$Q$7,$B643&lt;'111'!$L$11),"x","")</f>
        <v/>
      </c>
      <c r="T643" s="79" t="str">
        <f>IF(ISERROR(FIND('112'!$M$9,G643,1)),"",IF((AND(FIND('112'!$M$9,G643,1)&gt;=1,B643='112'!$K$9,OR($N643='112'!$I$6,$O643='112'!$I$6))),"x",""))</f>
        <v/>
      </c>
      <c r="U643" s="79" t="str">
        <f>IF(ISERROR(FIND('112'!$M$9,G643,1)),"",IF((AND(LEFT(G643,2)=LEFT('112'!$M$9,2),B643&lt;'112'!$K$9,$N643='112'!$I$6)),"x",""))</f>
        <v/>
      </c>
      <c r="V643" s="79" t="str">
        <f>IF(ISERROR(FIND('112'!$M$9,G643,1)),"",IF((AND(RIGHT(G643,2)=RIGHT('112'!$M$9,2),B643&lt;'112'!$K$9,$O643='112'!$I$6)),"x",""))</f>
        <v/>
      </c>
      <c r="W643" s="79" t="str">
        <f>IF(AND('341-CT'!$H$9=H643,OR(LEFT(N643,3)=$W$7,LEFT(O643,3)=$W$7)),"x","")</f>
        <v/>
      </c>
      <c r="X643" s="79" t="str">
        <f>IF(OR(TH!N643=TH!$X$7,O643=TH!$X$7),"x","")</f>
        <v/>
      </c>
      <c r="Y643" s="79" t="str">
        <f>IF(AND(OR(N643="131",O643="131"),H643='131-CT'!$H$9),"x","")</f>
        <v/>
      </c>
      <c r="Z643" s="79"/>
      <c r="AA643" s="79" t="str">
        <f>IF(AND(MONTH(E643)='IN-NX'!$J$5,'IN-NX'!$D$7=D643),"x","")</f>
        <v/>
      </c>
      <c r="AB643" s="79" t="str">
        <f>IF(AND(OR(LEFT(TH!N643,2)="15",LEFT(TH!O643,2)="15"),LEFT(TH!O643,3)&lt;&gt;"111",'152-CT'!$J$8=TH!F643),"x","")</f>
        <v/>
      </c>
      <c r="AC643" s="79" t="str">
        <f>IF(AND(OR(LEFT(TH!N643,2)="15",LEFT(TH!O643,2)="15"),TK!$E$7=TH!F643),"x","")</f>
        <v/>
      </c>
      <c r="AD643" s="79" t="str">
        <f>IF(AND(N643="1521",MONTH(C643)='BK-NL'!$M$11),"x","")</f>
        <v/>
      </c>
    </row>
    <row r="644" spans="1:30" ht="16.5" customHeight="1">
      <c r="A644" s="318" t="str">
        <f>IF(B644&lt;&gt;"",IF(AND(B644='IN-TC'!$S$4,OR(TH!N644="1111",TH!O644="1111")),TH!D644,""),"")</f>
        <v/>
      </c>
      <c r="B644" s="60" t="str">
        <f t="shared" si="125"/>
        <v/>
      </c>
      <c r="C644" s="974"/>
      <c r="D644" s="974"/>
      <c r="E644" s="974"/>
      <c r="F644" s="975"/>
      <c r="G644" s="976"/>
      <c r="H644" s="77"/>
      <c r="I644" s="383"/>
      <c r="J644" s="977"/>
      <c r="K644" s="383"/>
      <c r="L644" s="390"/>
      <c r="M644" s="978"/>
      <c r="N644" s="979"/>
      <c r="O644" s="979"/>
      <c r="P644" s="79" t="str">
        <f>IF(AND('331-CT'!$E$7=TH!H644,OR(N644="331",O644="331")),"x","")</f>
        <v/>
      </c>
      <c r="Q644" s="79" t="str">
        <f>IF(AND(B644='111'!$L$11,OR($N644=$Q$7,$O644=$Q$7)),"x","")</f>
        <v/>
      </c>
      <c r="R644" s="79" t="str">
        <f>IF(AND($N644=$Q$7,$B644&lt;'111'!$L$11),"x","")</f>
        <v/>
      </c>
      <c r="S644" s="79" t="str">
        <f>IF(AND($O644=$Q$7,$B644&lt;'111'!$L$11),"x","")</f>
        <v/>
      </c>
      <c r="T644" s="79" t="str">
        <f>IF(ISERROR(FIND('112'!$M$9,G644,1)),"",IF((AND(FIND('112'!$M$9,G644,1)&gt;=1,B644='112'!$K$9,OR($N644='112'!$I$6,$O644='112'!$I$6))),"x",""))</f>
        <v/>
      </c>
      <c r="U644" s="79" t="str">
        <f>IF(ISERROR(FIND('112'!$M$9,G644,1)),"",IF((AND(LEFT(G644,2)=LEFT('112'!$M$9,2),B644&lt;'112'!$K$9,$N644='112'!$I$6)),"x",""))</f>
        <v/>
      </c>
      <c r="V644" s="79" t="str">
        <f>IF(ISERROR(FIND('112'!$M$9,G644,1)),"",IF((AND(RIGHT(G644,2)=RIGHT('112'!$M$9,2),B644&lt;'112'!$K$9,$O644='112'!$I$6)),"x",""))</f>
        <v/>
      </c>
      <c r="W644" s="79" t="str">
        <f>IF(AND('341-CT'!$H$9=H644,OR(LEFT(N644,3)=$W$7,LEFT(O644,3)=$W$7)),"x","")</f>
        <v/>
      </c>
      <c r="X644" s="79" t="str">
        <f>IF(OR(TH!N644=TH!$X$7,O644=TH!$X$7),"x","")</f>
        <v/>
      </c>
      <c r="Y644" s="79" t="str">
        <f>IF(AND(OR(N644="131",O644="131"),H644='131-CT'!$H$9),"x","")</f>
        <v/>
      </c>
      <c r="Z644" s="79"/>
      <c r="AA644" s="79" t="str">
        <f>IF(AND(MONTH(E644)='IN-NX'!$J$5,'IN-NX'!$D$7=D644),"x","")</f>
        <v/>
      </c>
      <c r="AB644" s="79" t="str">
        <f>IF(AND(OR(LEFT(TH!N644,2)="15",LEFT(TH!O644,2)="15"),LEFT(TH!O644,3)&lt;&gt;"111",'152-CT'!$J$8=TH!F644),"x","")</f>
        <v/>
      </c>
      <c r="AC644" s="79" t="str">
        <f>IF(AND(OR(LEFT(TH!N644,2)="15",LEFT(TH!O644,2)="15"),TK!$E$7=TH!F644),"x","")</f>
        <v/>
      </c>
      <c r="AD644" s="79" t="str">
        <f>IF(AND(N644="1521",MONTH(C644)='BK-NL'!$M$11),"x","")</f>
        <v/>
      </c>
    </row>
    <row r="645" spans="1:30" ht="16.5" customHeight="1">
      <c r="A645" s="318" t="str">
        <f>IF(B645&lt;&gt;"",IF(AND(B645='IN-TC'!$S$4,OR(TH!N645="1111",TH!O645="1111")),TH!D645,""),"")</f>
        <v/>
      </c>
      <c r="B645" s="60" t="str">
        <f t="shared" si="125"/>
        <v/>
      </c>
      <c r="C645" s="974"/>
      <c r="D645" s="974"/>
      <c r="E645" s="974"/>
      <c r="F645" s="975"/>
      <c r="G645" s="976"/>
      <c r="H645" s="77"/>
      <c r="I645" s="383"/>
      <c r="J645" s="977"/>
      <c r="K645" s="383"/>
      <c r="L645" s="390"/>
      <c r="M645" s="978"/>
      <c r="N645" s="979"/>
      <c r="O645" s="979"/>
      <c r="P645" s="79" t="str">
        <f>IF(AND('331-CT'!$E$7=TH!H645,OR(N645="331",O645="331")),"x","")</f>
        <v/>
      </c>
      <c r="Q645" s="79" t="str">
        <f>IF(AND(B645='111'!$L$11,OR($N645=$Q$7,$O645=$Q$7)),"x","")</f>
        <v/>
      </c>
      <c r="R645" s="79" t="str">
        <f>IF(AND($N645=$Q$7,$B645&lt;'111'!$L$11),"x","")</f>
        <v/>
      </c>
      <c r="S645" s="79" t="str">
        <f>IF(AND($O645=$Q$7,$B645&lt;'111'!$L$11),"x","")</f>
        <v/>
      </c>
      <c r="T645" s="79" t="str">
        <f>IF(ISERROR(FIND('112'!$M$9,G645,1)),"",IF((AND(FIND('112'!$M$9,G645,1)&gt;=1,B645='112'!$K$9,OR($N645='112'!$I$6,$O645='112'!$I$6))),"x",""))</f>
        <v/>
      </c>
      <c r="U645" s="79" t="str">
        <f>IF(ISERROR(FIND('112'!$M$9,G645,1)),"",IF((AND(LEFT(G645,2)=LEFT('112'!$M$9,2),B645&lt;'112'!$K$9,$N645='112'!$I$6)),"x",""))</f>
        <v/>
      </c>
      <c r="V645" s="79" t="str">
        <f>IF(ISERROR(FIND('112'!$M$9,G645,1)),"",IF((AND(RIGHT(G645,2)=RIGHT('112'!$M$9,2),B645&lt;'112'!$K$9,$O645='112'!$I$6)),"x",""))</f>
        <v/>
      </c>
      <c r="W645" s="79" t="str">
        <f>IF(AND('341-CT'!$H$9=H645,OR(LEFT(N645,3)=$W$7,LEFT(O645,3)=$W$7)),"x","")</f>
        <v/>
      </c>
      <c r="X645" s="79" t="str">
        <f>IF(OR(TH!N645=TH!$X$7,O645=TH!$X$7),"x","")</f>
        <v/>
      </c>
      <c r="Y645" s="79" t="str">
        <f>IF(AND(OR(N645="131",O645="131"),H645='131-CT'!$H$9),"x","")</f>
        <v/>
      </c>
      <c r="Z645" s="79"/>
      <c r="AA645" s="79" t="str">
        <f>IF(AND(MONTH(E645)='IN-NX'!$J$5,'IN-NX'!$D$7=D645),"x","")</f>
        <v/>
      </c>
      <c r="AB645" s="79" t="str">
        <f>IF(AND(OR(LEFT(TH!N645,2)="15",LEFT(TH!O645,2)="15"),LEFT(TH!O645,3)&lt;&gt;"111",'152-CT'!$J$8=TH!F645),"x","")</f>
        <v/>
      </c>
      <c r="AC645" s="79" t="str">
        <f>IF(AND(OR(LEFT(TH!N645,2)="15",LEFT(TH!O645,2)="15"),TK!$E$7=TH!F645),"x","")</f>
        <v/>
      </c>
      <c r="AD645" s="79" t="str">
        <f>IF(AND(N645="1521",MONTH(C645)='BK-NL'!$M$11),"x","")</f>
        <v/>
      </c>
    </row>
    <row r="646" spans="1:30" ht="16.5" customHeight="1">
      <c r="A646" s="318" t="str">
        <f>IF(B646&lt;&gt;"",IF(AND(B646='IN-TC'!$S$4,OR(TH!N646="1111",TH!O646="1111")),TH!D646,""),"")</f>
        <v/>
      </c>
      <c r="B646" s="60" t="str">
        <f t="shared" si="125"/>
        <v/>
      </c>
      <c r="C646" s="974"/>
      <c r="D646" s="974"/>
      <c r="E646" s="974"/>
      <c r="F646" s="975"/>
      <c r="G646" s="976"/>
      <c r="H646" s="305"/>
      <c r="I646" s="383"/>
      <c r="J646" s="977"/>
      <c r="K646" s="383"/>
      <c r="L646" s="390"/>
      <c r="M646" s="978"/>
      <c r="N646" s="979"/>
      <c r="O646" s="979"/>
      <c r="P646" s="79" t="str">
        <f>IF(AND('331-CT'!$E$7=TH!H646,OR(N646="331",O646="331")),"x","")</f>
        <v/>
      </c>
      <c r="Q646" s="79" t="str">
        <f>IF(AND(B646='111'!$L$11,OR($N646=$Q$7,$O646=$Q$7)),"x","")</f>
        <v/>
      </c>
      <c r="R646" s="79" t="str">
        <f>IF(AND($N646=$Q$7,$B646&lt;'111'!$L$11),"x","")</f>
        <v/>
      </c>
      <c r="S646" s="79" t="str">
        <f>IF(AND($O646=$Q$7,$B646&lt;'111'!$L$11),"x","")</f>
        <v/>
      </c>
      <c r="T646" s="79" t="str">
        <f>IF(ISERROR(FIND('112'!$M$9,G646,1)),"",IF((AND(FIND('112'!$M$9,G646,1)&gt;=1,B646='112'!$K$9,OR($N646='112'!$I$6,$O646='112'!$I$6))),"x",""))</f>
        <v/>
      </c>
      <c r="U646" s="79" t="str">
        <f>IF(ISERROR(FIND('112'!$M$9,G646,1)),"",IF((AND(LEFT(G646,2)=LEFT('112'!$M$9,2),B646&lt;'112'!$K$9,$N646='112'!$I$6)),"x",""))</f>
        <v/>
      </c>
      <c r="V646" s="79" t="str">
        <f>IF(ISERROR(FIND('112'!$M$9,G646,1)),"",IF((AND(RIGHT(G646,2)=RIGHT('112'!$M$9,2),B646&lt;'112'!$K$9,$O646='112'!$I$6)),"x",""))</f>
        <v/>
      </c>
      <c r="W646" s="79" t="str">
        <f>IF(AND('341-CT'!$H$9=H646,OR(LEFT(N646,3)=$W$7,LEFT(O646,3)=$W$7)),"x","")</f>
        <v/>
      </c>
      <c r="X646" s="79" t="str">
        <f>IF(OR(TH!N646=TH!$X$7,O646=TH!$X$7),"x","")</f>
        <v/>
      </c>
      <c r="Y646" s="79" t="str">
        <f>IF(AND(OR(N646="131",O646="131"),H646='131-CT'!$H$9),"x","")</f>
        <v/>
      </c>
      <c r="Z646" s="79"/>
      <c r="AA646" s="79" t="str">
        <f>IF(AND(MONTH(E646)='IN-NX'!$J$5,'IN-NX'!$D$7=D646),"x","")</f>
        <v/>
      </c>
      <c r="AB646" s="79" t="str">
        <f>IF(AND(OR(LEFT(TH!N646,2)="15",LEFT(TH!O646,2)="15"),LEFT(TH!O646,3)&lt;&gt;"111",'152-CT'!$J$8=TH!F646),"x","")</f>
        <v/>
      </c>
      <c r="AC646" s="79" t="str">
        <f>IF(AND(OR(LEFT(TH!N646,2)="15",LEFT(TH!O646,2)="15"),TK!$E$7=TH!F646),"x","")</f>
        <v/>
      </c>
      <c r="AD646" s="79" t="str">
        <f>IF(AND(N646="1521",MONTH(C646)='BK-NL'!$M$11),"x","")</f>
        <v/>
      </c>
    </row>
    <row r="647" spans="1:30" ht="16.5" customHeight="1">
      <c r="A647" s="318" t="str">
        <f>IF(B647&lt;&gt;"",IF(AND(B647='IN-TC'!$S$4,OR(TH!N647="1111",TH!O647="1111")),TH!D647,""),"")</f>
        <v/>
      </c>
      <c r="B647" s="60" t="str">
        <f t="shared" si="125"/>
        <v/>
      </c>
      <c r="C647" s="974"/>
      <c r="D647" s="974"/>
      <c r="E647" s="974"/>
      <c r="F647" s="975"/>
      <c r="G647" s="976"/>
      <c r="H647" s="305"/>
      <c r="I647" s="383"/>
      <c r="J647" s="977"/>
      <c r="K647" s="383"/>
      <c r="L647" s="390"/>
      <c r="M647" s="978"/>
      <c r="N647" s="979"/>
      <c r="O647" s="979"/>
      <c r="P647" s="79" t="str">
        <f>IF(AND('331-CT'!$E$7=TH!H647,OR(N647="331",O647="331")),"x","")</f>
        <v/>
      </c>
      <c r="Q647" s="79" t="str">
        <f>IF(AND(B647='111'!$L$11,OR($N647=$Q$7,$O647=$Q$7)),"x","")</f>
        <v/>
      </c>
      <c r="R647" s="79" t="str">
        <f>IF(AND($N647=$Q$7,$B647&lt;'111'!$L$11),"x","")</f>
        <v/>
      </c>
      <c r="S647" s="79" t="str">
        <f>IF(AND($O647=$Q$7,$B647&lt;'111'!$L$11),"x","")</f>
        <v/>
      </c>
      <c r="T647" s="79" t="str">
        <f>IF(ISERROR(FIND('112'!$M$9,G647,1)),"",IF((AND(FIND('112'!$M$9,G647,1)&gt;=1,B647='112'!$K$9,OR($N647='112'!$I$6,$O647='112'!$I$6))),"x",""))</f>
        <v/>
      </c>
      <c r="U647" s="79" t="str">
        <f>IF(ISERROR(FIND('112'!$M$9,G647,1)),"",IF((AND(LEFT(G647,2)=LEFT('112'!$M$9,2),B647&lt;'112'!$K$9,$N647='112'!$I$6)),"x",""))</f>
        <v/>
      </c>
      <c r="V647" s="79" t="str">
        <f>IF(ISERROR(FIND('112'!$M$9,G647,1)),"",IF((AND(RIGHT(G647,2)=RIGHT('112'!$M$9,2),B647&lt;'112'!$K$9,$O647='112'!$I$6)),"x",""))</f>
        <v/>
      </c>
      <c r="W647" s="79" t="str">
        <f>IF(AND('341-CT'!$H$9=H647,OR(LEFT(N647,3)=$W$7,LEFT(O647,3)=$W$7)),"x","")</f>
        <v/>
      </c>
      <c r="X647" s="79" t="str">
        <f>IF(OR(TH!N647=TH!$X$7,O647=TH!$X$7),"x","")</f>
        <v/>
      </c>
      <c r="Y647" s="79" t="str">
        <f>IF(AND(OR(N647="131",O647="131"),H647='131-CT'!$H$9),"x","")</f>
        <v/>
      </c>
      <c r="Z647" s="79"/>
      <c r="AA647" s="79" t="str">
        <f>IF(AND(MONTH(E647)='IN-NX'!$J$5,'IN-NX'!$D$7=D647),"x","")</f>
        <v/>
      </c>
      <c r="AB647" s="79" t="str">
        <f>IF(AND(OR(LEFT(TH!N647,2)="15",LEFT(TH!O647,2)="15"),LEFT(TH!O647,3)&lt;&gt;"111",'152-CT'!$J$8=TH!F647),"x","")</f>
        <v/>
      </c>
      <c r="AC647" s="79" t="str">
        <f>IF(AND(OR(LEFT(TH!N647,2)="15",LEFT(TH!O647,2)="15"),TK!$E$7=TH!F647),"x","")</f>
        <v/>
      </c>
      <c r="AD647" s="79" t="str">
        <f>IF(AND(N647="1521",MONTH(C647)='BK-NL'!$M$11),"x","")</f>
        <v/>
      </c>
    </row>
    <row r="648" spans="1:30" ht="16.5" customHeight="1">
      <c r="A648" s="318" t="str">
        <f>IF(B648&lt;&gt;"",IF(AND(B648='IN-TC'!$S$4,OR(TH!N648="1111",TH!O648="1111")),TH!D648,""),"")</f>
        <v/>
      </c>
      <c r="B648" s="60" t="str">
        <f t="shared" si="125"/>
        <v/>
      </c>
      <c r="C648" s="974"/>
      <c r="D648" s="974"/>
      <c r="E648" s="974"/>
      <c r="F648" s="975"/>
      <c r="G648" s="976"/>
      <c r="H648" s="305"/>
      <c r="I648" s="383"/>
      <c r="J648" s="977"/>
      <c r="K648" s="383"/>
      <c r="L648" s="390"/>
      <c r="M648" s="978"/>
      <c r="N648" s="979"/>
      <c r="O648" s="979"/>
      <c r="P648" s="79" t="str">
        <f>IF(AND('331-CT'!$E$7=TH!H648,OR(N648="331",O648="331")),"x","")</f>
        <v/>
      </c>
      <c r="Q648" s="79" t="str">
        <f>IF(AND(B648='111'!$L$11,OR($N648=$Q$7,$O648=$Q$7)),"x","")</f>
        <v/>
      </c>
      <c r="R648" s="79" t="str">
        <f>IF(AND($N648=$Q$7,$B648&lt;'111'!$L$11),"x","")</f>
        <v/>
      </c>
      <c r="S648" s="79" t="str">
        <f>IF(AND($O648=$Q$7,$B648&lt;'111'!$L$11),"x","")</f>
        <v/>
      </c>
      <c r="T648" s="79" t="str">
        <f>IF(ISERROR(FIND('112'!$M$9,G648,1)),"",IF((AND(FIND('112'!$M$9,G648,1)&gt;=1,B648='112'!$K$9,OR($N648='112'!$I$6,$O648='112'!$I$6))),"x",""))</f>
        <v/>
      </c>
      <c r="U648" s="79" t="str">
        <f>IF(ISERROR(FIND('112'!$M$9,G648,1)),"",IF((AND(LEFT(G648,2)=LEFT('112'!$M$9,2),B648&lt;'112'!$K$9,$N648='112'!$I$6)),"x",""))</f>
        <v/>
      </c>
      <c r="V648" s="79" t="str">
        <f>IF(ISERROR(FIND('112'!$M$9,G648,1)),"",IF((AND(RIGHT(G648,2)=RIGHT('112'!$M$9,2),B648&lt;'112'!$K$9,$O648='112'!$I$6)),"x",""))</f>
        <v/>
      </c>
      <c r="W648" s="79" t="str">
        <f>IF(AND('341-CT'!$H$9=H648,OR(LEFT(N648,3)=$W$7,LEFT(O648,3)=$W$7)),"x","")</f>
        <v/>
      </c>
      <c r="X648" s="79" t="str">
        <f>IF(OR(TH!N648=TH!$X$7,O648=TH!$X$7),"x","")</f>
        <v/>
      </c>
      <c r="Y648" s="79" t="str">
        <f>IF(AND(OR(N648="131",O648="131"),H648='131-CT'!$H$9),"x","")</f>
        <v/>
      </c>
      <c r="Z648" s="79"/>
      <c r="AA648" s="79" t="str">
        <f>IF(AND(MONTH(E648)='IN-NX'!$J$5,'IN-NX'!$D$7=D648),"x","")</f>
        <v/>
      </c>
      <c r="AB648" s="79" t="str">
        <f>IF(AND(OR(LEFT(TH!N648,2)="15",LEFT(TH!O648,2)="15"),LEFT(TH!O648,3)&lt;&gt;"111",'152-CT'!$J$8=TH!F648),"x","")</f>
        <v/>
      </c>
      <c r="AC648" s="79" t="str">
        <f>IF(AND(OR(LEFT(TH!N648,2)="15",LEFT(TH!O648,2)="15"),TK!$E$7=TH!F648),"x","")</f>
        <v/>
      </c>
      <c r="AD648" s="79" t="str">
        <f>IF(AND(N648="1521",MONTH(C648)='BK-NL'!$M$11),"x","")</f>
        <v/>
      </c>
    </row>
    <row r="649" spans="1:30" ht="16.5" customHeight="1">
      <c r="A649" s="318" t="str">
        <f>IF(B649&lt;&gt;"",IF(AND(B649='IN-TC'!$S$4,OR(TH!N649="1111",TH!O649="1111")),TH!D649,""),"")</f>
        <v/>
      </c>
      <c r="B649" s="60" t="str">
        <f t="shared" si="125"/>
        <v/>
      </c>
      <c r="C649" s="974"/>
      <c r="D649" s="974"/>
      <c r="E649" s="974"/>
      <c r="F649" s="975"/>
      <c r="G649" s="976"/>
      <c r="H649" s="305"/>
      <c r="I649" s="383"/>
      <c r="J649" s="977"/>
      <c r="K649" s="383"/>
      <c r="L649" s="390"/>
      <c r="M649" s="978"/>
      <c r="N649" s="979"/>
      <c r="O649" s="979"/>
      <c r="P649" s="79" t="str">
        <f>IF(AND('331-CT'!$E$7=TH!H649,OR(N649="331",O649="331")),"x","")</f>
        <v/>
      </c>
      <c r="Q649" s="79" t="str">
        <f>IF(AND(B649='111'!$L$11,OR($N649=$Q$7,$O649=$Q$7)),"x","")</f>
        <v/>
      </c>
      <c r="R649" s="79" t="str">
        <f>IF(AND($N649=$Q$7,$B649&lt;'111'!$L$11),"x","")</f>
        <v/>
      </c>
      <c r="S649" s="79" t="str">
        <f>IF(AND($O649=$Q$7,$B649&lt;'111'!$L$11),"x","")</f>
        <v/>
      </c>
      <c r="T649" s="79" t="str">
        <f>IF(ISERROR(FIND('112'!$M$9,G649,1)),"",IF((AND(FIND('112'!$M$9,G649,1)&gt;=1,B649='112'!$K$9,OR($N649='112'!$I$6,$O649='112'!$I$6))),"x",""))</f>
        <v/>
      </c>
      <c r="U649" s="79" t="str">
        <f>IF(ISERROR(FIND('112'!$M$9,G649,1)),"",IF((AND(LEFT(G649,2)=LEFT('112'!$M$9,2),B649&lt;'112'!$K$9,$N649='112'!$I$6)),"x",""))</f>
        <v/>
      </c>
      <c r="V649" s="79" t="str">
        <f>IF(ISERROR(FIND('112'!$M$9,G649,1)),"",IF((AND(RIGHT(G649,2)=RIGHT('112'!$M$9,2),B649&lt;'112'!$K$9,$O649='112'!$I$6)),"x",""))</f>
        <v/>
      </c>
      <c r="W649" s="79" t="str">
        <f>IF(AND('341-CT'!$H$9=H649,OR(LEFT(N649,3)=$W$7,LEFT(O649,3)=$W$7)),"x","")</f>
        <v/>
      </c>
      <c r="X649" s="79" t="str">
        <f>IF(OR(TH!N649=TH!$X$7,O649=TH!$X$7),"x","")</f>
        <v/>
      </c>
      <c r="Y649" s="79" t="str">
        <f>IF(AND(OR(N649="131",O649="131"),H649='131-CT'!$H$9),"x","")</f>
        <v/>
      </c>
      <c r="Z649" s="79"/>
      <c r="AA649" s="79" t="str">
        <f>IF(AND(MONTH(E649)='IN-NX'!$J$5,'IN-NX'!$D$7=D649),"x","")</f>
        <v/>
      </c>
      <c r="AB649" s="79" t="str">
        <f>IF(AND(OR(LEFT(TH!N649,2)="15",LEFT(TH!O649,2)="15"),LEFT(TH!O649,3)&lt;&gt;"111",'152-CT'!$J$8=TH!F649),"x","")</f>
        <v/>
      </c>
      <c r="AC649" s="79" t="str">
        <f>IF(AND(OR(LEFT(TH!N649,2)="15",LEFT(TH!O649,2)="15"),TK!$E$7=TH!F649),"x","")</f>
        <v/>
      </c>
      <c r="AD649" s="79" t="str">
        <f>IF(AND(N649="1521",MONTH(C649)='BK-NL'!$M$11),"x","")</f>
        <v/>
      </c>
    </row>
    <row r="650" spans="1:30" ht="16.5" customHeight="1">
      <c r="A650" s="318" t="str">
        <f>IF(B650&lt;&gt;"",IF(AND(B650='IN-TC'!$S$4,OR(TH!N650="1111",TH!O650="1111")),TH!D650,""),"")</f>
        <v/>
      </c>
      <c r="B650" s="60" t="str">
        <f t="shared" si="125"/>
        <v/>
      </c>
      <c r="C650" s="974"/>
      <c r="D650" s="974"/>
      <c r="E650" s="974"/>
      <c r="F650" s="975"/>
      <c r="G650" s="976"/>
      <c r="H650" s="305"/>
      <c r="I650" s="383"/>
      <c r="J650" s="977"/>
      <c r="K650" s="383"/>
      <c r="L650" s="390"/>
      <c r="M650" s="978"/>
      <c r="N650" s="979"/>
      <c r="O650" s="979"/>
      <c r="P650" s="79" t="str">
        <f>IF(AND('331-CT'!$E$7=TH!H650,OR(N650="331",O650="331")),"x","")</f>
        <v/>
      </c>
      <c r="Q650" s="79" t="str">
        <f>IF(AND(B650='111'!$L$11,OR($N650=$Q$7,$O650=$Q$7)),"x","")</f>
        <v/>
      </c>
      <c r="R650" s="79" t="str">
        <f>IF(AND($N650=$Q$7,$B650&lt;'111'!$L$11),"x","")</f>
        <v/>
      </c>
      <c r="S650" s="79" t="str">
        <f>IF(AND($O650=$Q$7,$B650&lt;'111'!$L$11),"x","")</f>
        <v/>
      </c>
      <c r="T650" s="79" t="str">
        <f>IF(ISERROR(FIND('112'!$M$9,G650,1)),"",IF((AND(FIND('112'!$M$9,G650,1)&gt;=1,B650='112'!$K$9,OR($N650='112'!$I$6,$O650='112'!$I$6))),"x",""))</f>
        <v/>
      </c>
      <c r="U650" s="79" t="str">
        <f>IF(ISERROR(FIND('112'!$M$9,G650,1)),"",IF((AND(LEFT(G650,2)=LEFT('112'!$M$9,2),B650&lt;'112'!$K$9,$N650='112'!$I$6)),"x",""))</f>
        <v/>
      </c>
      <c r="V650" s="79" t="str">
        <f>IF(ISERROR(FIND('112'!$M$9,G650,1)),"",IF((AND(RIGHT(G650,2)=RIGHT('112'!$M$9,2),B650&lt;'112'!$K$9,$O650='112'!$I$6)),"x",""))</f>
        <v/>
      </c>
      <c r="W650" s="79" t="str">
        <f>IF(AND('341-CT'!$H$9=H650,OR(LEFT(N650,3)=$W$7,LEFT(O650,3)=$W$7)),"x","")</f>
        <v/>
      </c>
      <c r="X650" s="79" t="str">
        <f>IF(OR(TH!N650=TH!$X$7,O650=TH!$X$7),"x","")</f>
        <v/>
      </c>
      <c r="Y650" s="79" t="str">
        <f>IF(AND(OR(N650="131",O650="131"),H650='131-CT'!$H$9),"x","")</f>
        <v/>
      </c>
      <c r="Z650" s="79"/>
      <c r="AA650" s="79" t="str">
        <f>IF(AND(MONTH(E650)='IN-NX'!$J$5,'IN-NX'!$D$7=D650),"x","")</f>
        <v/>
      </c>
      <c r="AB650" s="79" t="str">
        <f>IF(AND(OR(LEFT(TH!N650,2)="15",LEFT(TH!O650,2)="15"),LEFT(TH!O650,3)&lt;&gt;"111",'152-CT'!$J$8=TH!F650),"x","")</f>
        <v/>
      </c>
      <c r="AC650" s="79" t="str">
        <f>IF(AND(OR(LEFT(TH!N650,2)="15",LEFT(TH!O650,2)="15"),TK!$E$7=TH!F650),"x","")</f>
        <v/>
      </c>
      <c r="AD650" s="79" t="str">
        <f>IF(AND(N650="1521",MONTH(C650)='BK-NL'!$M$11),"x","")</f>
        <v/>
      </c>
    </row>
    <row r="651" spans="1:30" ht="16.5" customHeight="1">
      <c r="A651" s="318" t="str">
        <f>IF(B651&lt;&gt;"",IF(AND(B651='IN-TC'!$S$4,OR(TH!N651="1111",TH!O651="1111")),TH!D651,""),"")</f>
        <v/>
      </c>
      <c r="B651" s="60" t="str">
        <f t="shared" si="125"/>
        <v/>
      </c>
      <c r="C651" s="974"/>
      <c r="D651" s="974"/>
      <c r="E651" s="974"/>
      <c r="F651" s="975"/>
      <c r="G651" s="976"/>
      <c r="H651" s="305"/>
      <c r="I651" s="383"/>
      <c r="J651" s="977"/>
      <c r="K651" s="383"/>
      <c r="L651" s="390"/>
      <c r="M651" s="978"/>
      <c r="N651" s="979"/>
      <c r="O651" s="979"/>
      <c r="P651" s="79" t="str">
        <f>IF(AND('331-CT'!$E$7=TH!H651,OR(N651="331",O651="331")),"x","")</f>
        <v/>
      </c>
      <c r="Q651" s="79" t="str">
        <f>IF(AND(B651='111'!$L$11,OR($N651=$Q$7,$O651=$Q$7)),"x","")</f>
        <v/>
      </c>
      <c r="R651" s="79" t="str">
        <f>IF(AND($N651=$Q$7,$B651&lt;'111'!$L$11),"x","")</f>
        <v/>
      </c>
      <c r="S651" s="79" t="str">
        <f>IF(AND($O651=$Q$7,$B651&lt;'111'!$L$11),"x","")</f>
        <v/>
      </c>
      <c r="T651" s="79" t="str">
        <f>IF(ISERROR(FIND('112'!$M$9,G651,1)),"",IF((AND(FIND('112'!$M$9,G651,1)&gt;=1,B651='112'!$K$9,OR($N651='112'!$I$6,$O651='112'!$I$6))),"x",""))</f>
        <v/>
      </c>
      <c r="U651" s="79" t="str">
        <f>IF(ISERROR(FIND('112'!$M$9,G651,1)),"",IF((AND(LEFT(G651,2)=LEFT('112'!$M$9,2),B651&lt;'112'!$K$9,$N651='112'!$I$6)),"x",""))</f>
        <v/>
      </c>
      <c r="V651" s="79" t="str">
        <f>IF(ISERROR(FIND('112'!$M$9,G651,1)),"",IF((AND(RIGHT(G651,2)=RIGHT('112'!$M$9,2),B651&lt;'112'!$K$9,$O651='112'!$I$6)),"x",""))</f>
        <v/>
      </c>
      <c r="W651" s="79" t="str">
        <f>IF(AND('341-CT'!$H$9=H651,OR(LEFT(N651,3)=$W$7,LEFT(O651,3)=$W$7)),"x","")</f>
        <v/>
      </c>
      <c r="X651" s="79" t="str">
        <f>IF(OR(TH!N651=TH!$X$7,O651=TH!$X$7),"x","")</f>
        <v/>
      </c>
      <c r="Y651" s="79" t="str">
        <f>IF(AND(OR(N651="131",O651="131"),H651='131-CT'!$H$9),"x","")</f>
        <v/>
      </c>
      <c r="Z651" s="79"/>
      <c r="AA651" s="79" t="str">
        <f>IF(AND(MONTH(E651)='IN-NX'!$J$5,'IN-NX'!$D$7=D651),"x","")</f>
        <v/>
      </c>
      <c r="AB651" s="79" t="str">
        <f>IF(AND(OR(LEFT(TH!N651,2)="15",LEFT(TH!O651,2)="15"),LEFT(TH!O651,3)&lt;&gt;"111",'152-CT'!$J$8=TH!F651),"x","")</f>
        <v/>
      </c>
      <c r="AC651" s="79" t="str">
        <f>IF(AND(OR(LEFT(TH!N651,2)="15",LEFT(TH!O651,2)="15"),TK!$E$7=TH!F651),"x","")</f>
        <v/>
      </c>
      <c r="AD651" s="79" t="str">
        <f>IF(AND(N651="1521",MONTH(C651)='BK-NL'!$M$11),"x","")</f>
        <v/>
      </c>
    </row>
    <row r="652" spans="1:30" ht="16.5" customHeight="1">
      <c r="A652" s="318" t="str">
        <f>IF(B652&lt;&gt;"",IF(AND(B652='IN-TC'!$S$4,OR(TH!N652="1111",TH!O652="1111")),TH!D652,""),"")</f>
        <v/>
      </c>
      <c r="B652" s="60" t="str">
        <f t="shared" si="125"/>
        <v/>
      </c>
      <c r="C652" s="974"/>
      <c r="D652" s="974"/>
      <c r="E652" s="974"/>
      <c r="F652" s="975"/>
      <c r="G652" s="976"/>
      <c r="H652" s="305"/>
      <c r="I652" s="383"/>
      <c r="J652" s="977"/>
      <c r="K652" s="383"/>
      <c r="L652" s="390"/>
      <c r="M652" s="978"/>
      <c r="N652" s="979"/>
      <c r="O652" s="979"/>
      <c r="P652" s="79" t="str">
        <f>IF(AND('331-CT'!$E$7=TH!H652,OR(N652="331",O652="331")),"x","")</f>
        <v/>
      </c>
      <c r="Q652" s="79" t="str">
        <f>IF(AND(B652='111'!$L$11,OR($N652=$Q$7,$O652=$Q$7)),"x","")</f>
        <v/>
      </c>
      <c r="R652" s="79" t="str">
        <f>IF(AND($N652=$Q$7,$B652&lt;'111'!$L$11),"x","")</f>
        <v/>
      </c>
      <c r="S652" s="79" t="str">
        <f>IF(AND($O652=$Q$7,$B652&lt;'111'!$L$11),"x","")</f>
        <v/>
      </c>
      <c r="T652" s="79" t="str">
        <f>IF(ISERROR(FIND('112'!$M$9,G652,1)),"",IF((AND(FIND('112'!$M$9,G652,1)&gt;=1,B652='112'!$K$9,OR($N652='112'!$I$6,$O652='112'!$I$6))),"x",""))</f>
        <v/>
      </c>
      <c r="U652" s="79" t="str">
        <f>IF(ISERROR(FIND('112'!$M$9,G652,1)),"",IF((AND(LEFT(G652,2)=LEFT('112'!$M$9,2),B652&lt;'112'!$K$9,$N652='112'!$I$6)),"x",""))</f>
        <v/>
      </c>
      <c r="V652" s="79" t="str">
        <f>IF(ISERROR(FIND('112'!$M$9,G652,1)),"",IF((AND(RIGHT(G652,2)=RIGHT('112'!$M$9,2),B652&lt;'112'!$K$9,$O652='112'!$I$6)),"x",""))</f>
        <v/>
      </c>
      <c r="W652" s="79" t="str">
        <f>IF(AND('341-CT'!$H$9=H652,OR(LEFT(N652,3)=$W$7,LEFT(O652,3)=$W$7)),"x","")</f>
        <v/>
      </c>
      <c r="X652" s="79" t="str">
        <f>IF(OR(TH!N652=TH!$X$7,O652=TH!$X$7),"x","")</f>
        <v/>
      </c>
      <c r="Y652" s="79" t="str">
        <f>IF(AND(OR(N652="131",O652="131"),H652='131-CT'!$H$9),"x","")</f>
        <v/>
      </c>
      <c r="Z652" s="79"/>
      <c r="AA652" s="79" t="str">
        <f>IF(AND(MONTH(E652)='IN-NX'!$J$5,'IN-NX'!$D$7=D652),"x","")</f>
        <v/>
      </c>
      <c r="AB652" s="79" t="str">
        <f>IF(AND(OR(LEFT(TH!N652,2)="15",LEFT(TH!O652,2)="15"),LEFT(TH!O652,3)&lt;&gt;"111",'152-CT'!$J$8=TH!F652),"x","")</f>
        <v/>
      </c>
      <c r="AC652" s="79" t="str">
        <f>IF(AND(OR(LEFT(TH!N652,2)="15",LEFT(TH!O652,2)="15"),TK!$E$7=TH!F652),"x","")</f>
        <v/>
      </c>
      <c r="AD652" s="79" t="str">
        <f>IF(AND(N652="1521",MONTH(C652)='BK-NL'!$M$11),"x","")</f>
        <v/>
      </c>
    </row>
    <row r="653" spans="1:30" ht="16.5" customHeight="1">
      <c r="A653" s="318" t="str">
        <f>IF(B653&lt;&gt;"",IF(AND(B653='IN-TC'!$S$4,OR(TH!N653="1111",TH!O653="1111")),TH!D653,""),"")</f>
        <v/>
      </c>
      <c r="B653" s="60" t="str">
        <f t="shared" si="125"/>
        <v/>
      </c>
      <c r="C653" s="974"/>
      <c r="D653" s="974"/>
      <c r="E653" s="974"/>
      <c r="F653" s="975"/>
      <c r="G653" s="976"/>
      <c r="H653" s="305"/>
      <c r="I653" s="383"/>
      <c r="J653" s="977"/>
      <c r="K653" s="383"/>
      <c r="L653" s="390"/>
      <c r="M653" s="978"/>
      <c r="N653" s="979"/>
      <c r="O653" s="979"/>
      <c r="P653" s="79" t="str">
        <f>IF(AND('331-CT'!$E$7=TH!H653,OR(N653="331",O653="331")),"x","")</f>
        <v/>
      </c>
      <c r="Q653" s="79" t="str">
        <f>IF(AND(B653='111'!$L$11,OR($N653=$Q$7,$O653=$Q$7)),"x","")</f>
        <v/>
      </c>
      <c r="R653" s="79" t="str">
        <f>IF(AND($N653=$Q$7,$B653&lt;'111'!$L$11),"x","")</f>
        <v/>
      </c>
      <c r="S653" s="79" t="str">
        <f>IF(AND($O653=$Q$7,$B653&lt;'111'!$L$11),"x","")</f>
        <v/>
      </c>
      <c r="T653" s="79" t="str">
        <f>IF(ISERROR(FIND('112'!$M$9,G653,1)),"",IF((AND(FIND('112'!$M$9,G653,1)&gt;=1,B653='112'!$K$9,OR($N653='112'!$I$6,$O653='112'!$I$6))),"x",""))</f>
        <v/>
      </c>
      <c r="U653" s="79" t="str">
        <f>IF(ISERROR(FIND('112'!$M$9,G653,1)),"",IF((AND(LEFT(G653,2)=LEFT('112'!$M$9,2),B653&lt;'112'!$K$9,$N653='112'!$I$6)),"x",""))</f>
        <v/>
      </c>
      <c r="V653" s="79" t="str">
        <f>IF(ISERROR(FIND('112'!$M$9,G653,1)),"",IF((AND(RIGHT(G653,2)=RIGHT('112'!$M$9,2),B653&lt;'112'!$K$9,$O653='112'!$I$6)),"x",""))</f>
        <v/>
      </c>
      <c r="W653" s="79" t="str">
        <f>IF(AND('341-CT'!$H$9=H653,OR(LEFT(N653,3)=$W$7,LEFT(O653,3)=$W$7)),"x","")</f>
        <v/>
      </c>
      <c r="X653" s="79" t="str">
        <f>IF(OR(TH!N653=TH!$X$7,O653=TH!$X$7),"x","")</f>
        <v/>
      </c>
      <c r="Y653" s="79" t="str">
        <f>IF(AND(OR(N653="131",O653="131"),H653='131-CT'!$H$9),"x","")</f>
        <v/>
      </c>
      <c r="Z653" s="79"/>
      <c r="AA653" s="79" t="str">
        <f>IF(AND(MONTH(E653)='IN-NX'!$J$5,'IN-NX'!$D$7=D653),"x","")</f>
        <v/>
      </c>
      <c r="AB653" s="79" t="str">
        <f>IF(AND(OR(LEFT(TH!N653,2)="15",LEFT(TH!O653,2)="15"),LEFT(TH!O653,3)&lt;&gt;"111",'152-CT'!$J$8=TH!F653),"x","")</f>
        <v/>
      </c>
      <c r="AC653" s="79" t="str">
        <f>IF(AND(OR(LEFT(TH!N653,2)="15",LEFT(TH!O653,2)="15"),TK!$E$7=TH!F653),"x","")</f>
        <v/>
      </c>
      <c r="AD653" s="79" t="str">
        <f>IF(AND(N653="1521",MONTH(C653)='BK-NL'!$M$11),"x","")</f>
        <v/>
      </c>
    </row>
    <row r="654" spans="1:30" ht="16.5" customHeight="1">
      <c r="A654" s="318" t="str">
        <f>IF(B654&lt;&gt;"",IF(AND(B654='IN-TC'!$S$4,OR(TH!N654="1111",TH!O654="1111")),TH!D654,""),"")</f>
        <v/>
      </c>
      <c r="B654" s="60" t="str">
        <f t="shared" si="125"/>
        <v/>
      </c>
      <c r="C654" s="974"/>
      <c r="D654" s="974"/>
      <c r="E654" s="974"/>
      <c r="F654" s="975"/>
      <c r="G654" s="976"/>
      <c r="H654" s="305"/>
      <c r="I654" s="383"/>
      <c r="J654" s="977"/>
      <c r="K654" s="383"/>
      <c r="L654" s="390"/>
      <c r="M654" s="978"/>
      <c r="N654" s="979"/>
      <c r="O654" s="979"/>
      <c r="P654" s="79" t="str">
        <f>IF(AND('331-CT'!$E$7=TH!H654,OR(N654="331",O654="331")),"x","")</f>
        <v/>
      </c>
      <c r="Q654" s="79" t="str">
        <f>IF(AND(B654='111'!$L$11,OR($N654=$Q$7,$O654=$Q$7)),"x","")</f>
        <v/>
      </c>
      <c r="R654" s="79" t="str">
        <f>IF(AND($N654=$Q$7,$B654&lt;'111'!$L$11),"x","")</f>
        <v/>
      </c>
      <c r="S654" s="79" t="str">
        <f>IF(AND($O654=$Q$7,$B654&lt;'111'!$L$11),"x","")</f>
        <v/>
      </c>
      <c r="T654" s="79" t="str">
        <f>IF(ISERROR(FIND('112'!$M$9,G654,1)),"",IF((AND(FIND('112'!$M$9,G654,1)&gt;=1,B654='112'!$K$9,OR($N654='112'!$I$6,$O654='112'!$I$6))),"x",""))</f>
        <v/>
      </c>
      <c r="U654" s="79" t="str">
        <f>IF(ISERROR(FIND('112'!$M$9,G654,1)),"",IF((AND(LEFT(G654,2)=LEFT('112'!$M$9,2),B654&lt;'112'!$K$9,$N654='112'!$I$6)),"x",""))</f>
        <v/>
      </c>
      <c r="V654" s="79" t="str">
        <f>IF(ISERROR(FIND('112'!$M$9,G654,1)),"",IF((AND(RIGHT(G654,2)=RIGHT('112'!$M$9,2),B654&lt;'112'!$K$9,$O654='112'!$I$6)),"x",""))</f>
        <v/>
      </c>
      <c r="W654" s="79" t="str">
        <f>IF(AND('341-CT'!$H$9=H654,OR(LEFT(N654,3)=$W$7,LEFT(O654,3)=$W$7)),"x","")</f>
        <v/>
      </c>
      <c r="X654" s="79" t="str">
        <f>IF(OR(TH!N654=TH!$X$7,O654=TH!$X$7),"x","")</f>
        <v/>
      </c>
      <c r="Y654" s="79" t="str">
        <f>IF(AND(OR(N654="131",O654="131"),H654='131-CT'!$H$9),"x","")</f>
        <v/>
      </c>
      <c r="Z654" s="79"/>
      <c r="AA654" s="79" t="str">
        <f>IF(AND(MONTH(E654)='IN-NX'!$J$5,'IN-NX'!$D$7=D654),"x","")</f>
        <v/>
      </c>
      <c r="AB654" s="79" t="str">
        <f>IF(AND(OR(LEFT(TH!N654,2)="15",LEFT(TH!O654,2)="15"),LEFT(TH!O654,3)&lt;&gt;"111",'152-CT'!$J$8=TH!F654),"x","")</f>
        <v/>
      </c>
      <c r="AC654" s="79" t="str">
        <f>IF(AND(OR(LEFT(TH!N654,2)="15",LEFT(TH!O654,2)="15"),TK!$E$7=TH!F654),"x","")</f>
        <v/>
      </c>
      <c r="AD654" s="79" t="str">
        <f>IF(AND(N654="1521",MONTH(C654)='BK-NL'!$M$11),"x","")</f>
        <v/>
      </c>
    </row>
    <row r="655" spans="1:30" ht="16.5" customHeight="1">
      <c r="A655" s="318" t="str">
        <f>IF(B655&lt;&gt;"",IF(AND(B655='IN-TC'!$S$4,OR(TH!N655="1111",TH!O655="1111")),TH!D655,""),"")</f>
        <v/>
      </c>
      <c r="B655" s="60" t="str">
        <f t="shared" si="125"/>
        <v/>
      </c>
      <c r="C655" s="974"/>
      <c r="D655" s="974"/>
      <c r="E655" s="974"/>
      <c r="F655" s="975"/>
      <c r="G655" s="976"/>
      <c r="H655" s="305"/>
      <c r="I655" s="383"/>
      <c r="J655" s="977"/>
      <c r="K655" s="383"/>
      <c r="L655" s="390"/>
      <c r="M655" s="978"/>
      <c r="N655" s="979"/>
      <c r="O655" s="979"/>
      <c r="P655" s="79" t="str">
        <f>IF(AND('331-CT'!$E$7=TH!H655,OR(N655="331",O655="331")),"x","")</f>
        <v/>
      </c>
      <c r="Q655" s="79" t="str">
        <f>IF(AND(B655='111'!$L$11,OR($N655=$Q$7,$O655=$Q$7)),"x","")</f>
        <v/>
      </c>
      <c r="R655" s="79" t="str">
        <f>IF(AND($N655=$Q$7,$B655&lt;'111'!$L$11),"x","")</f>
        <v/>
      </c>
      <c r="S655" s="79" t="str">
        <f>IF(AND($O655=$Q$7,$B655&lt;'111'!$L$11),"x","")</f>
        <v/>
      </c>
      <c r="T655" s="79" t="str">
        <f>IF(ISERROR(FIND('112'!$M$9,G655,1)),"",IF((AND(FIND('112'!$M$9,G655,1)&gt;=1,B655='112'!$K$9,OR($N655='112'!$I$6,$O655='112'!$I$6))),"x",""))</f>
        <v/>
      </c>
      <c r="U655" s="79" t="str">
        <f>IF(ISERROR(FIND('112'!$M$9,G655,1)),"",IF((AND(LEFT(G655,2)=LEFT('112'!$M$9,2),B655&lt;'112'!$K$9,$N655='112'!$I$6)),"x",""))</f>
        <v/>
      </c>
      <c r="V655" s="79" t="str">
        <f>IF(ISERROR(FIND('112'!$M$9,G655,1)),"",IF((AND(RIGHT(G655,2)=RIGHT('112'!$M$9,2),B655&lt;'112'!$K$9,$O655='112'!$I$6)),"x",""))</f>
        <v/>
      </c>
      <c r="W655" s="79" t="str">
        <f>IF(AND('341-CT'!$H$9=H655,OR(LEFT(N655,3)=$W$7,LEFT(O655,3)=$W$7)),"x","")</f>
        <v/>
      </c>
      <c r="X655" s="79" t="str">
        <f>IF(OR(TH!N655=TH!$X$7,O655=TH!$X$7),"x","")</f>
        <v/>
      </c>
      <c r="Y655" s="79" t="str">
        <f>IF(AND(OR(N655="131",O655="131"),H655='131-CT'!$H$9),"x","")</f>
        <v/>
      </c>
      <c r="Z655" s="79"/>
      <c r="AA655" s="79" t="str">
        <f>IF(AND(MONTH(E655)='IN-NX'!$J$5,'IN-NX'!$D$7=D655),"x","")</f>
        <v/>
      </c>
      <c r="AB655" s="79" t="str">
        <f>IF(AND(OR(LEFT(TH!N655,2)="15",LEFT(TH!O655,2)="15"),LEFT(TH!O655,3)&lt;&gt;"111",'152-CT'!$J$8=TH!F655),"x","")</f>
        <v/>
      </c>
      <c r="AC655" s="79" t="str">
        <f>IF(AND(OR(LEFT(TH!N655,2)="15",LEFT(TH!O655,2)="15"),TK!$E$7=TH!F655),"x","")</f>
        <v/>
      </c>
      <c r="AD655" s="79" t="str">
        <f>IF(AND(N655="1521",MONTH(C655)='BK-NL'!$M$11),"x","")</f>
        <v/>
      </c>
    </row>
    <row r="656" spans="1:30" ht="16.5" customHeight="1">
      <c r="A656" s="318" t="str">
        <f>IF(B656&lt;&gt;"",IF(AND(B656='IN-TC'!$S$4,OR(TH!N656="1111",TH!O656="1111")),TH!D656,""),"")</f>
        <v/>
      </c>
      <c r="B656" s="60" t="str">
        <f t="shared" si="125"/>
        <v/>
      </c>
      <c r="C656" s="974"/>
      <c r="D656" s="974"/>
      <c r="E656" s="974"/>
      <c r="F656" s="975"/>
      <c r="G656" s="976"/>
      <c r="H656" s="305"/>
      <c r="I656" s="383"/>
      <c r="J656" s="977"/>
      <c r="K656" s="383"/>
      <c r="L656" s="390"/>
      <c r="M656" s="978"/>
      <c r="N656" s="979"/>
      <c r="O656" s="979"/>
      <c r="P656" s="79" t="str">
        <f>IF(AND('331-CT'!$E$7=TH!H656,OR(N656="331",O656="331")),"x","")</f>
        <v/>
      </c>
      <c r="Q656" s="79" t="str">
        <f>IF(AND(B656='111'!$L$11,OR($N656=$Q$7,$O656=$Q$7)),"x","")</f>
        <v/>
      </c>
      <c r="R656" s="79" t="str">
        <f>IF(AND($N656=$Q$7,$B656&lt;'111'!$L$11),"x","")</f>
        <v/>
      </c>
      <c r="S656" s="79" t="str">
        <f>IF(AND($O656=$Q$7,$B656&lt;'111'!$L$11),"x","")</f>
        <v/>
      </c>
      <c r="T656" s="79" t="str">
        <f>IF(ISERROR(FIND('112'!$M$9,G656,1)),"",IF((AND(FIND('112'!$M$9,G656,1)&gt;=1,B656='112'!$K$9,OR($N656='112'!$I$6,$O656='112'!$I$6))),"x",""))</f>
        <v/>
      </c>
      <c r="U656" s="79" t="str">
        <f>IF(ISERROR(FIND('112'!$M$9,G656,1)),"",IF((AND(LEFT(G656,2)=LEFT('112'!$M$9,2),B656&lt;'112'!$K$9,$N656='112'!$I$6)),"x",""))</f>
        <v/>
      </c>
      <c r="V656" s="79" t="str">
        <f>IF(ISERROR(FIND('112'!$M$9,G656,1)),"",IF((AND(RIGHT(G656,2)=RIGHT('112'!$M$9,2),B656&lt;'112'!$K$9,$O656='112'!$I$6)),"x",""))</f>
        <v/>
      </c>
      <c r="W656" s="79" t="str">
        <f>IF(AND('341-CT'!$H$9=H656,OR(LEFT(N656,3)=$W$7,LEFT(O656,3)=$W$7)),"x","")</f>
        <v/>
      </c>
      <c r="X656" s="79" t="str">
        <f>IF(OR(TH!N656=TH!$X$7,O656=TH!$X$7),"x","")</f>
        <v/>
      </c>
      <c r="Y656" s="79" t="str">
        <f>IF(AND(OR(N656="131",O656="131"),H656='131-CT'!$H$9),"x","")</f>
        <v/>
      </c>
      <c r="Z656" s="79"/>
      <c r="AA656" s="79" t="str">
        <f>IF(AND(MONTH(E656)='IN-NX'!$J$5,'IN-NX'!$D$7=D656),"x","")</f>
        <v/>
      </c>
      <c r="AB656" s="79" t="str">
        <f>IF(AND(OR(LEFT(TH!N656,2)="15",LEFT(TH!O656,2)="15"),LEFT(TH!O656,3)&lt;&gt;"111",'152-CT'!$J$8=TH!F656),"x","")</f>
        <v/>
      </c>
      <c r="AC656" s="79" t="str">
        <f>IF(AND(OR(LEFT(TH!N656,2)="15",LEFT(TH!O656,2)="15"),TK!$E$7=TH!F656),"x","")</f>
        <v/>
      </c>
      <c r="AD656" s="79" t="str">
        <f>IF(AND(N656="1521",MONTH(C656)='BK-NL'!$M$11),"x","")</f>
        <v/>
      </c>
    </row>
    <row r="657" spans="1:30" ht="16.5" customHeight="1">
      <c r="A657" s="318" t="str">
        <f>IF(B657&lt;&gt;"",IF(AND(B657='IN-TC'!$S$4,OR(TH!N657="1111",TH!O657="1111")),TH!D657,""),"")</f>
        <v/>
      </c>
      <c r="B657" s="60" t="str">
        <f t="shared" si="125"/>
        <v/>
      </c>
      <c r="C657" s="974"/>
      <c r="D657" s="974"/>
      <c r="E657" s="974"/>
      <c r="F657" s="975"/>
      <c r="G657" s="976"/>
      <c r="H657" s="305"/>
      <c r="I657" s="383"/>
      <c r="J657" s="977"/>
      <c r="K657" s="383"/>
      <c r="L657" s="390"/>
      <c r="M657" s="978"/>
      <c r="N657" s="979"/>
      <c r="O657" s="979"/>
      <c r="P657" s="79" t="str">
        <f>IF(AND('331-CT'!$E$7=TH!H657,OR(N657="331",O657="331")),"x","")</f>
        <v/>
      </c>
      <c r="Q657" s="79" t="str">
        <f>IF(AND(B657='111'!$L$11,OR($N657=$Q$7,$O657=$Q$7)),"x","")</f>
        <v/>
      </c>
      <c r="R657" s="79" t="str">
        <f>IF(AND($N657=$Q$7,$B657&lt;'111'!$L$11),"x","")</f>
        <v/>
      </c>
      <c r="S657" s="79" t="str">
        <f>IF(AND($O657=$Q$7,$B657&lt;'111'!$L$11),"x","")</f>
        <v/>
      </c>
      <c r="T657" s="79" t="str">
        <f>IF(ISERROR(FIND('112'!$M$9,G657,1)),"",IF((AND(FIND('112'!$M$9,G657,1)&gt;=1,B657='112'!$K$9,OR($N657='112'!$I$6,$O657='112'!$I$6))),"x",""))</f>
        <v/>
      </c>
      <c r="U657" s="79" t="str">
        <f>IF(ISERROR(FIND('112'!$M$9,G657,1)),"",IF((AND(LEFT(G657,2)=LEFT('112'!$M$9,2),B657&lt;'112'!$K$9,$N657='112'!$I$6)),"x",""))</f>
        <v/>
      </c>
      <c r="V657" s="79" t="str">
        <f>IF(ISERROR(FIND('112'!$M$9,G657,1)),"",IF((AND(RIGHT(G657,2)=RIGHT('112'!$M$9,2),B657&lt;'112'!$K$9,$O657='112'!$I$6)),"x",""))</f>
        <v/>
      </c>
      <c r="W657" s="79" t="str">
        <f>IF(AND('341-CT'!$H$9=H657,OR(LEFT(N657,3)=$W$7,LEFT(O657,3)=$W$7)),"x","")</f>
        <v/>
      </c>
      <c r="X657" s="79" t="str">
        <f>IF(OR(TH!N657=TH!$X$7,O657=TH!$X$7),"x","")</f>
        <v/>
      </c>
      <c r="Y657" s="79" t="str">
        <f>IF(AND(OR(N657="131",O657="131"),H657='131-CT'!$H$9),"x","")</f>
        <v/>
      </c>
      <c r="Z657" s="79"/>
      <c r="AA657" s="79" t="str">
        <f>IF(AND(MONTH(E657)='IN-NX'!$J$5,'IN-NX'!$D$7=D657),"x","")</f>
        <v/>
      </c>
      <c r="AB657" s="79" t="str">
        <f>IF(AND(OR(LEFT(TH!N657,2)="15",LEFT(TH!O657,2)="15"),LEFT(TH!O657,3)&lt;&gt;"111",'152-CT'!$J$8=TH!F657),"x","")</f>
        <v/>
      </c>
      <c r="AC657" s="79" t="str">
        <f>IF(AND(OR(LEFT(TH!N657,2)="15",LEFT(TH!O657,2)="15"),TK!$E$7=TH!F657),"x","")</f>
        <v/>
      </c>
      <c r="AD657" s="79" t="str">
        <f>IF(AND(N657="1521",MONTH(C657)='BK-NL'!$M$11),"x","")</f>
        <v/>
      </c>
    </row>
    <row r="658" spans="1:30" ht="16.5" customHeight="1">
      <c r="A658" s="318" t="str">
        <f>IF(B658&lt;&gt;"",IF(AND(B658='IN-TC'!$S$4,OR(TH!N658="1111",TH!O658="1111")),TH!D658,""),"")</f>
        <v/>
      </c>
      <c r="B658" s="60" t="str">
        <f t="shared" si="125"/>
        <v/>
      </c>
      <c r="C658" s="974"/>
      <c r="D658" s="974"/>
      <c r="E658" s="974"/>
      <c r="F658" s="975"/>
      <c r="G658" s="976"/>
      <c r="H658" s="305"/>
      <c r="I658" s="383"/>
      <c r="J658" s="977"/>
      <c r="K658" s="383"/>
      <c r="L658" s="390"/>
      <c r="M658" s="978"/>
      <c r="N658" s="979"/>
      <c r="O658" s="979"/>
      <c r="P658" s="79" t="str">
        <f>IF(AND('331-CT'!$E$7=TH!H658,OR(N658="331",O658="331")),"x","")</f>
        <v/>
      </c>
      <c r="Q658" s="79" t="str">
        <f>IF(AND(B658='111'!$L$11,OR($N658=$Q$7,$O658=$Q$7)),"x","")</f>
        <v/>
      </c>
      <c r="R658" s="79" t="str">
        <f>IF(AND($N658=$Q$7,$B658&lt;'111'!$L$11),"x","")</f>
        <v/>
      </c>
      <c r="S658" s="79" t="str">
        <f>IF(AND($O658=$Q$7,$B658&lt;'111'!$L$11),"x","")</f>
        <v/>
      </c>
      <c r="T658" s="79" t="str">
        <f>IF(ISERROR(FIND('112'!$M$9,G658,1)),"",IF((AND(FIND('112'!$M$9,G658,1)&gt;=1,B658='112'!$K$9,OR($N658='112'!$I$6,$O658='112'!$I$6))),"x",""))</f>
        <v/>
      </c>
      <c r="U658" s="79" t="str">
        <f>IF(ISERROR(FIND('112'!$M$9,G658,1)),"",IF((AND(LEFT(G658,2)=LEFT('112'!$M$9,2),B658&lt;'112'!$K$9,$N658='112'!$I$6)),"x",""))</f>
        <v/>
      </c>
      <c r="V658" s="79" t="str">
        <f>IF(ISERROR(FIND('112'!$M$9,G658,1)),"",IF((AND(RIGHT(G658,2)=RIGHT('112'!$M$9,2),B658&lt;'112'!$K$9,$O658='112'!$I$6)),"x",""))</f>
        <v/>
      </c>
      <c r="W658" s="79" t="str">
        <f>IF(AND('341-CT'!$H$9=H658,OR(LEFT(N658,3)=$W$7,LEFT(O658,3)=$W$7)),"x","")</f>
        <v/>
      </c>
      <c r="X658" s="79" t="str">
        <f>IF(OR(TH!N658=TH!$X$7,O658=TH!$X$7),"x","")</f>
        <v/>
      </c>
      <c r="Y658" s="79" t="str">
        <f>IF(AND(OR(N658="131",O658="131"),H658='131-CT'!$H$9),"x","")</f>
        <v/>
      </c>
      <c r="Z658" s="79"/>
      <c r="AA658" s="79" t="str">
        <f>IF(AND(MONTH(E658)='IN-NX'!$J$5,'IN-NX'!$D$7=D658),"x","")</f>
        <v/>
      </c>
      <c r="AB658" s="79" t="str">
        <f>IF(AND(OR(LEFT(TH!N658,2)="15",LEFT(TH!O658,2)="15"),LEFT(TH!O658,3)&lt;&gt;"111",'152-CT'!$J$8=TH!F658),"x","")</f>
        <v/>
      </c>
      <c r="AC658" s="79" t="str">
        <f>IF(AND(OR(LEFT(TH!N658,2)="15",LEFT(TH!O658,2)="15"),TK!$E$7=TH!F658),"x","")</f>
        <v/>
      </c>
      <c r="AD658" s="79" t="str">
        <f>IF(AND(N658="1521",MONTH(C658)='BK-NL'!$M$11),"x","")</f>
        <v/>
      </c>
    </row>
    <row r="659" spans="1:30" ht="16.5" customHeight="1">
      <c r="A659" s="318" t="str">
        <f>IF(B659&lt;&gt;"",IF(AND(B659='IN-TC'!$S$4,OR(TH!N659="1111",TH!O659="1111")),TH!D659,""),"")</f>
        <v/>
      </c>
      <c r="B659" s="60" t="str">
        <f t="shared" si="125"/>
        <v/>
      </c>
      <c r="C659" s="974"/>
      <c r="D659" s="974"/>
      <c r="E659" s="974"/>
      <c r="F659" s="975"/>
      <c r="G659" s="976"/>
      <c r="H659" s="305"/>
      <c r="I659" s="383"/>
      <c r="J659" s="977"/>
      <c r="K659" s="383"/>
      <c r="L659" s="390"/>
      <c r="M659" s="978"/>
      <c r="N659" s="979"/>
      <c r="O659" s="979"/>
      <c r="P659" s="79" t="str">
        <f>IF(AND('331-CT'!$E$7=TH!H659,OR(N659="331",O659="331")),"x","")</f>
        <v/>
      </c>
      <c r="Q659" s="79" t="str">
        <f>IF(AND(B659='111'!$L$11,OR($N659=$Q$7,$O659=$Q$7)),"x","")</f>
        <v/>
      </c>
      <c r="R659" s="79" t="str">
        <f>IF(AND($N659=$Q$7,$B659&lt;'111'!$L$11),"x","")</f>
        <v/>
      </c>
      <c r="S659" s="79" t="str">
        <f>IF(AND($O659=$Q$7,$B659&lt;'111'!$L$11),"x","")</f>
        <v/>
      </c>
      <c r="T659" s="79" t="str">
        <f>IF(ISERROR(FIND('112'!$M$9,G659,1)),"",IF((AND(FIND('112'!$M$9,G659,1)&gt;=1,B659='112'!$K$9,OR($N659='112'!$I$6,$O659='112'!$I$6))),"x",""))</f>
        <v/>
      </c>
      <c r="U659" s="79" t="str">
        <f>IF(ISERROR(FIND('112'!$M$9,G659,1)),"",IF((AND(LEFT(G659,2)=LEFT('112'!$M$9,2),B659&lt;'112'!$K$9,$N659='112'!$I$6)),"x",""))</f>
        <v/>
      </c>
      <c r="V659" s="79" t="str">
        <f>IF(ISERROR(FIND('112'!$M$9,G659,1)),"",IF((AND(RIGHT(G659,2)=RIGHT('112'!$M$9,2),B659&lt;'112'!$K$9,$O659='112'!$I$6)),"x",""))</f>
        <v/>
      </c>
      <c r="W659" s="79" t="str">
        <f>IF(AND('341-CT'!$H$9=H659,OR(LEFT(N659,3)=$W$7,LEFT(O659,3)=$W$7)),"x","")</f>
        <v/>
      </c>
      <c r="X659" s="79" t="str">
        <f>IF(OR(TH!N659=TH!$X$7,O659=TH!$X$7),"x","")</f>
        <v/>
      </c>
      <c r="Y659" s="79" t="str">
        <f>IF(AND(OR(N659="131",O659="131"),H659='131-CT'!$H$9),"x","")</f>
        <v/>
      </c>
      <c r="Z659" s="79"/>
      <c r="AA659" s="79" t="str">
        <f>IF(AND(MONTH(E659)='IN-NX'!$J$5,'IN-NX'!$D$7=D659),"x","")</f>
        <v/>
      </c>
      <c r="AB659" s="79" t="str">
        <f>IF(AND(OR(LEFT(TH!N659,2)="15",LEFT(TH!O659,2)="15"),LEFT(TH!O659,3)&lt;&gt;"111",'152-CT'!$J$8=TH!F659),"x","")</f>
        <v/>
      </c>
      <c r="AC659" s="79" t="str">
        <f>IF(AND(OR(LEFT(TH!N659,2)="15",LEFT(TH!O659,2)="15"),TK!$E$7=TH!F659),"x","")</f>
        <v/>
      </c>
      <c r="AD659" s="79" t="str">
        <f>IF(AND(N659="1521",MONTH(C659)='BK-NL'!$M$11),"x","")</f>
        <v/>
      </c>
    </row>
    <row r="660" spans="1:30" ht="16.5" customHeight="1">
      <c r="A660" s="318" t="str">
        <f>IF(B660&lt;&gt;"",IF(AND(B660='IN-TC'!$S$4,OR(TH!N660="1111",TH!O660="1111")),TH!D660,""),"")</f>
        <v/>
      </c>
      <c r="B660" s="60" t="str">
        <f t="shared" si="125"/>
        <v/>
      </c>
      <c r="C660" s="974"/>
      <c r="D660" s="974"/>
      <c r="E660" s="974"/>
      <c r="F660" s="975"/>
      <c r="G660" s="976"/>
      <c r="H660" s="305"/>
      <c r="I660" s="383"/>
      <c r="J660" s="977"/>
      <c r="K660" s="383"/>
      <c r="L660" s="390"/>
      <c r="M660" s="978"/>
      <c r="N660" s="979"/>
      <c r="O660" s="979"/>
      <c r="P660" s="79" t="str">
        <f>IF(AND('331-CT'!$E$7=TH!H660,OR(N660="331",O660="331")),"x","")</f>
        <v/>
      </c>
      <c r="Q660" s="79" t="str">
        <f>IF(AND(B660='111'!$L$11,OR($N660=$Q$7,$O660=$Q$7)),"x","")</f>
        <v/>
      </c>
      <c r="R660" s="79" t="str">
        <f>IF(AND($N660=$Q$7,$B660&lt;'111'!$L$11),"x","")</f>
        <v/>
      </c>
      <c r="S660" s="79" t="str">
        <f>IF(AND($O660=$Q$7,$B660&lt;'111'!$L$11),"x","")</f>
        <v/>
      </c>
      <c r="T660" s="79" t="str">
        <f>IF(ISERROR(FIND('112'!$M$9,G660,1)),"",IF((AND(FIND('112'!$M$9,G660,1)&gt;=1,B660='112'!$K$9,OR($N660='112'!$I$6,$O660='112'!$I$6))),"x",""))</f>
        <v/>
      </c>
      <c r="U660" s="79" t="str">
        <f>IF(ISERROR(FIND('112'!$M$9,G660,1)),"",IF((AND(LEFT(G660,2)=LEFT('112'!$M$9,2),B660&lt;'112'!$K$9,$N660='112'!$I$6)),"x",""))</f>
        <v/>
      </c>
      <c r="V660" s="79" t="str">
        <f>IF(ISERROR(FIND('112'!$M$9,G660,1)),"",IF((AND(RIGHT(G660,2)=RIGHT('112'!$M$9,2),B660&lt;'112'!$K$9,$O660='112'!$I$6)),"x",""))</f>
        <v/>
      </c>
      <c r="W660" s="79" t="str">
        <f>IF(AND('341-CT'!$H$9=H660,OR(LEFT(N660,3)=$W$7,LEFT(O660,3)=$W$7)),"x","")</f>
        <v/>
      </c>
      <c r="X660" s="79" t="str">
        <f>IF(OR(TH!N660=TH!$X$7,O660=TH!$X$7),"x","")</f>
        <v/>
      </c>
      <c r="Y660" s="79" t="str">
        <f>IF(AND(OR(N660="131",O660="131"),H660='131-CT'!$H$9),"x","")</f>
        <v/>
      </c>
      <c r="Z660" s="79"/>
      <c r="AA660" s="79" t="str">
        <f>IF(AND(MONTH(E660)='IN-NX'!$J$5,'IN-NX'!$D$7=D660),"x","")</f>
        <v/>
      </c>
      <c r="AB660" s="79" t="str">
        <f>IF(AND(OR(LEFT(TH!N660,2)="15",LEFT(TH!O660,2)="15"),LEFT(TH!O660,3)&lt;&gt;"111",'152-CT'!$J$8=TH!F660),"x","")</f>
        <v/>
      </c>
      <c r="AC660" s="79" t="str">
        <f>IF(AND(OR(LEFT(TH!N660,2)="15",LEFT(TH!O660,2)="15"),TK!$E$7=TH!F660),"x","")</f>
        <v/>
      </c>
      <c r="AD660" s="79" t="str">
        <f>IF(AND(N660="1521",MONTH(C660)='BK-NL'!$M$11),"x","")</f>
        <v/>
      </c>
    </row>
    <row r="661" spans="1:30" ht="16.5" customHeight="1">
      <c r="A661" s="318" t="str">
        <f>IF(B661&lt;&gt;"",IF(AND(B661='IN-TC'!$S$4,OR(TH!N661="1111",TH!O661="1111")),TH!D661,""),"")</f>
        <v/>
      </c>
      <c r="B661" s="60" t="str">
        <f t="shared" si="125"/>
        <v/>
      </c>
      <c r="C661" s="974"/>
      <c r="D661" s="974"/>
      <c r="E661" s="974"/>
      <c r="F661" s="975"/>
      <c r="G661" s="976"/>
      <c r="H661" s="759"/>
      <c r="I661" s="383"/>
      <c r="J661" s="977"/>
      <c r="K661" s="383"/>
      <c r="L661" s="390"/>
      <c r="M661" s="978"/>
      <c r="N661" s="979"/>
      <c r="O661" s="979"/>
      <c r="P661" s="79" t="str">
        <f>IF(AND('331-CT'!$E$7=TH!H661,OR(N661="331",O661="331")),"x","")</f>
        <v/>
      </c>
      <c r="Q661" s="79" t="str">
        <f>IF(AND(B661='111'!$L$11,OR($N661=$Q$7,$O661=$Q$7)),"x","")</f>
        <v/>
      </c>
      <c r="R661" s="79" t="str">
        <f>IF(AND($N661=$Q$7,$B661&lt;'111'!$L$11),"x","")</f>
        <v/>
      </c>
      <c r="S661" s="79" t="str">
        <f>IF(AND($O661=$Q$7,$B661&lt;'111'!$L$11),"x","")</f>
        <v/>
      </c>
      <c r="T661" s="79" t="str">
        <f>IF(ISERROR(FIND('112'!$M$9,G661,1)),"",IF((AND(FIND('112'!$M$9,G661,1)&gt;=1,B661='112'!$K$9,OR($N661='112'!$I$6,$O661='112'!$I$6))),"x",""))</f>
        <v/>
      </c>
      <c r="U661" s="79" t="str">
        <f>IF(ISERROR(FIND('112'!$M$9,G661,1)),"",IF((AND(LEFT(G661,2)=LEFT('112'!$M$9,2),B661&lt;'112'!$K$9,$N661='112'!$I$6)),"x",""))</f>
        <v/>
      </c>
      <c r="V661" s="79" t="str">
        <f>IF(ISERROR(FIND('112'!$M$9,G661,1)),"",IF((AND(RIGHT(G661,2)=RIGHT('112'!$M$9,2),B661&lt;'112'!$K$9,$O661='112'!$I$6)),"x",""))</f>
        <v/>
      </c>
      <c r="W661" s="79" t="str">
        <f>IF(AND('341-CT'!$H$9=H661,OR(LEFT(N661,3)=$W$7,LEFT(O661,3)=$W$7)),"x","")</f>
        <v/>
      </c>
      <c r="X661" s="79" t="str">
        <f>IF(OR(TH!N661=TH!$X$7,O661=TH!$X$7),"x","")</f>
        <v/>
      </c>
      <c r="Y661" s="79" t="str">
        <f>IF(AND(OR(N661="131",O661="131"),H661='131-CT'!$H$9),"x","")</f>
        <v/>
      </c>
      <c r="Z661" s="79"/>
      <c r="AA661" s="79" t="str">
        <f>IF(AND(MONTH(E661)='IN-NX'!$J$5,'IN-NX'!$D$7=D661),"x","")</f>
        <v/>
      </c>
      <c r="AB661" s="79" t="str">
        <f>IF(AND(OR(LEFT(TH!N661,2)="15",LEFT(TH!O661,2)="15"),LEFT(TH!O661,3)&lt;&gt;"111",'152-CT'!$J$8=TH!F661),"x","")</f>
        <v/>
      </c>
      <c r="AC661" s="79" t="str">
        <f>IF(AND(OR(LEFT(TH!N661,2)="15",LEFT(TH!O661,2)="15"),TK!$E$7=TH!F661),"x","")</f>
        <v/>
      </c>
      <c r="AD661" s="79" t="str">
        <f>IF(AND(N661="1521",MONTH(C661)='BK-NL'!$M$11),"x","")</f>
        <v/>
      </c>
    </row>
    <row r="662" spans="1:30" ht="16.5" customHeight="1">
      <c r="A662" s="318" t="str">
        <f>IF(B662&lt;&gt;"",IF(AND(B662='IN-TC'!$S$4,OR(TH!N662="1111",TH!O662="1111")),TH!D662,""),"")</f>
        <v/>
      </c>
      <c r="B662" s="60" t="str">
        <f t="shared" si="125"/>
        <v/>
      </c>
      <c r="C662" s="974"/>
      <c r="D662" s="974"/>
      <c r="E662" s="974"/>
      <c r="F662" s="975"/>
      <c r="G662" s="976"/>
      <c r="H662" s="759"/>
      <c r="I662" s="383"/>
      <c r="J662" s="977"/>
      <c r="K662" s="383"/>
      <c r="L662" s="390"/>
      <c r="M662" s="978"/>
      <c r="N662" s="979"/>
      <c r="O662" s="979"/>
      <c r="P662" s="79" t="str">
        <f>IF(AND('331-CT'!$E$7=TH!H662,OR(N662="331",O662="331")),"x","")</f>
        <v/>
      </c>
      <c r="Q662" s="79" t="str">
        <f>IF(AND(B662='111'!$L$11,OR($N662=$Q$7,$O662=$Q$7)),"x","")</f>
        <v/>
      </c>
      <c r="R662" s="79" t="str">
        <f>IF(AND($N662=$Q$7,$B662&lt;'111'!$L$11),"x","")</f>
        <v/>
      </c>
      <c r="S662" s="79" t="str">
        <f>IF(AND($O662=$Q$7,$B662&lt;'111'!$L$11),"x","")</f>
        <v/>
      </c>
      <c r="T662" s="79" t="str">
        <f>IF(ISERROR(FIND('112'!$M$9,G662,1)),"",IF((AND(FIND('112'!$M$9,G662,1)&gt;=1,B662='112'!$K$9,OR($N662='112'!$I$6,$O662='112'!$I$6))),"x",""))</f>
        <v/>
      </c>
      <c r="U662" s="79" t="str">
        <f>IF(ISERROR(FIND('112'!$M$9,G662,1)),"",IF((AND(LEFT(G662,2)=LEFT('112'!$M$9,2),B662&lt;'112'!$K$9,$N662='112'!$I$6)),"x",""))</f>
        <v/>
      </c>
      <c r="V662" s="79" t="str">
        <f>IF(ISERROR(FIND('112'!$M$9,G662,1)),"",IF((AND(RIGHT(G662,2)=RIGHT('112'!$M$9,2),B662&lt;'112'!$K$9,$O662='112'!$I$6)),"x",""))</f>
        <v/>
      </c>
      <c r="W662" s="79" t="str">
        <f>IF(AND('341-CT'!$H$9=H662,OR(LEFT(N662,3)=$W$7,LEFT(O662,3)=$W$7)),"x","")</f>
        <v/>
      </c>
      <c r="X662" s="79" t="str">
        <f>IF(OR(TH!N662=TH!$X$7,O662=TH!$X$7),"x","")</f>
        <v/>
      </c>
      <c r="Y662" s="79" t="str">
        <f>IF(AND(OR(N662="131",O662="131"),H662='131-CT'!$H$9),"x","")</f>
        <v/>
      </c>
      <c r="Z662" s="79"/>
      <c r="AA662" s="79" t="str">
        <f>IF(AND(MONTH(E662)='IN-NX'!$J$5,'IN-NX'!$D$7=D662),"x","")</f>
        <v/>
      </c>
      <c r="AB662" s="79" t="str">
        <f>IF(AND(OR(LEFT(TH!N662,2)="15",LEFT(TH!O662,2)="15"),LEFT(TH!O662,3)&lt;&gt;"111",'152-CT'!$J$8=TH!F662),"x","")</f>
        <v/>
      </c>
      <c r="AC662" s="79" t="str">
        <f>IF(AND(OR(LEFT(TH!N662,2)="15",LEFT(TH!O662,2)="15"),TK!$E$7=TH!F662),"x","")</f>
        <v/>
      </c>
      <c r="AD662" s="79" t="str">
        <f>IF(AND(N662="1521",MONTH(C662)='BK-NL'!$M$11),"x","")</f>
        <v/>
      </c>
    </row>
    <row r="663" spans="1:30" ht="16.5" customHeight="1">
      <c r="A663" s="318" t="str">
        <f>IF(B663&lt;&gt;"",IF(AND(B663='IN-TC'!$S$4,OR(TH!N663="1111",TH!O663="1111")),TH!D663,""),"")</f>
        <v/>
      </c>
      <c r="B663" s="60" t="str">
        <f t="shared" si="125"/>
        <v/>
      </c>
      <c r="C663" s="974"/>
      <c r="D663" s="974"/>
      <c r="E663" s="974"/>
      <c r="F663" s="975"/>
      <c r="G663" s="976"/>
      <c r="H663" s="759"/>
      <c r="I663" s="383"/>
      <c r="J663" s="977"/>
      <c r="K663" s="383"/>
      <c r="L663" s="390"/>
      <c r="M663" s="978"/>
      <c r="N663" s="979"/>
      <c r="O663" s="979"/>
      <c r="P663" s="79" t="str">
        <f>IF(AND('331-CT'!$E$7=TH!H663,OR(N663="331",O663="331")),"x","")</f>
        <v/>
      </c>
      <c r="Q663" s="79" t="str">
        <f>IF(AND(B663='111'!$L$11,OR($N663=$Q$7,$O663=$Q$7)),"x","")</f>
        <v/>
      </c>
      <c r="R663" s="79" t="str">
        <f>IF(AND($N663=$Q$7,$B663&lt;'111'!$L$11),"x","")</f>
        <v/>
      </c>
      <c r="S663" s="79" t="str">
        <f>IF(AND($O663=$Q$7,$B663&lt;'111'!$L$11),"x","")</f>
        <v/>
      </c>
      <c r="T663" s="79" t="str">
        <f>IF(ISERROR(FIND('112'!$M$9,G663,1)),"",IF((AND(FIND('112'!$M$9,G663,1)&gt;=1,B663='112'!$K$9,OR($N663='112'!$I$6,$O663='112'!$I$6))),"x",""))</f>
        <v/>
      </c>
      <c r="U663" s="79" t="str">
        <f>IF(ISERROR(FIND('112'!$M$9,G663,1)),"",IF((AND(LEFT(G663,2)=LEFT('112'!$M$9,2),B663&lt;'112'!$K$9,$N663='112'!$I$6)),"x",""))</f>
        <v/>
      </c>
      <c r="V663" s="79" t="str">
        <f>IF(ISERROR(FIND('112'!$M$9,G663,1)),"",IF((AND(RIGHT(G663,2)=RIGHT('112'!$M$9,2),B663&lt;'112'!$K$9,$O663='112'!$I$6)),"x",""))</f>
        <v/>
      </c>
      <c r="W663" s="79" t="str">
        <f>IF(AND('341-CT'!$H$9=H663,OR(LEFT(N663,3)=$W$7,LEFT(O663,3)=$W$7)),"x","")</f>
        <v/>
      </c>
      <c r="X663" s="79" t="str">
        <f>IF(OR(TH!N663=TH!$X$7,O663=TH!$X$7),"x","")</f>
        <v/>
      </c>
      <c r="Y663" s="79" t="str">
        <f>IF(AND(OR(N663="131",O663="131"),H663='131-CT'!$H$9),"x","")</f>
        <v/>
      </c>
      <c r="Z663" s="79"/>
      <c r="AA663" s="79" t="str">
        <f>IF(AND(MONTH(E663)='IN-NX'!$J$5,'IN-NX'!$D$7=D663),"x","")</f>
        <v/>
      </c>
      <c r="AB663" s="79" t="str">
        <f>IF(AND(OR(LEFT(TH!N663,2)="15",LEFT(TH!O663,2)="15"),LEFT(TH!O663,3)&lt;&gt;"111",'152-CT'!$J$8=TH!F663),"x","")</f>
        <v/>
      </c>
      <c r="AC663" s="79" t="str">
        <f>IF(AND(OR(LEFT(TH!N663,2)="15",LEFT(TH!O663,2)="15"),TK!$E$7=TH!F663),"x","")</f>
        <v/>
      </c>
      <c r="AD663" s="79" t="str">
        <f>IF(AND(N663="1521",MONTH(C663)='BK-NL'!$M$11),"x","")</f>
        <v/>
      </c>
    </row>
    <row r="664" spans="1:30" ht="16.5" customHeight="1">
      <c r="A664" s="318" t="str">
        <f>IF(B664&lt;&gt;"",IF(AND(B664='IN-TC'!$S$4,OR(TH!N664="1111",TH!O664="1111")),TH!D664,""),"")</f>
        <v/>
      </c>
      <c r="B664" s="60" t="str">
        <f t="shared" si="125"/>
        <v/>
      </c>
      <c r="C664" s="974"/>
      <c r="D664" s="974"/>
      <c r="E664" s="974"/>
      <c r="F664" s="975"/>
      <c r="G664" s="976"/>
      <c r="H664" s="759"/>
      <c r="I664" s="383"/>
      <c r="J664" s="977"/>
      <c r="K664" s="383"/>
      <c r="L664" s="390"/>
      <c r="M664" s="978"/>
      <c r="N664" s="979"/>
      <c r="O664" s="979"/>
      <c r="P664" s="79" t="str">
        <f>IF(AND('331-CT'!$E$7=TH!H664,OR(N664="331",O664="331")),"x","")</f>
        <v/>
      </c>
      <c r="Q664" s="79" t="str">
        <f>IF(AND(B664='111'!$L$11,OR($N664=$Q$7,$O664=$Q$7)),"x","")</f>
        <v/>
      </c>
      <c r="R664" s="79" t="str">
        <f>IF(AND($N664=$Q$7,$B664&lt;'111'!$L$11),"x","")</f>
        <v/>
      </c>
      <c r="S664" s="79" t="str">
        <f>IF(AND($O664=$Q$7,$B664&lt;'111'!$L$11),"x","")</f>
        <v/>
      </c>
      <c r="T664" s="79" t="str">
        <f>IF(ISERROR(FIND('112'!$M$9,G664,1)),"",IF((AND(FIND('112'!$M$9,G664,1)&gt;=1,B664='112'!$K$9,OR($N664='112'!$I$6,$O664='112'!$I$6))),"x",""))</f>
        <v/>
      </c>
      <c r="U664" s="79" t="str">
        <f>IF(ISERROR(FIND('112'!$M$9,G664,1)),"",IF((AND(LEFT(G664,2)=LEFT('112'!$M$9,2),B664&lt;'112'!$K$9,$N664='112'!$I$6)),"x",""))</f>
        <v/>
      </c>
      <c r="V664" s="79" t="str">
        <f>IF(ISERROR(FIND('112'!$M$9,G664,1)),"",IF((AND(RIGHT(G664,2)=RIGHT('112'!$M$9,2),B664&lt;'112'!$K$9,$O664='112'!$I$6)),"x",""))</f>
        <v/>
      </c>
      <c r="W664" s="79" t="str">
        <f>IF(AND('341-CT'!$H$9=H664,OR(LEFT(N664,3)=$W$7,LEFT(O664,3)=$W$7)),"x","")</f>
        <v/>
      </c>
      <c r="X664" s="79" t="str">
        <f>IF(OR(TH!N664=TH!$X$7,O664=TH!$X$7),"x","")</f>
        <v/>
      </c>
      <c r="Y664" s="79" t="str">
        <f>IF(AND(OR(N664="131",O664="131"),H664='131-CT'!$H$9),"x","")</f>
        <v/>
      </c>
      <c r="Z664" s="79"/>
      <c r="AA664" s="79" t="str">
        <f>IF(AND(MONTH(E664)='IN-NX'!$J$5,'IN-NX'!$D$7=D664),"x","")</f>
        <v/>
      </c>
      <c r="AB664" s="79" t="str">
        <f>IF(AND(OR(LEFT(TH!N664,2)="15",LEFT(TH!O664,2)="15"),LEFT(TH!O664,3)&lt;&gt;"111",'152-CT'!$J$8=TH!F664),"x","")</f>
        <v/>
      </c>
      <c r="AC664" s="79" t="str">
        <f>IF(AND(OR(LEFT(TH!N664,2)="15",LEFT(TH!O664,2)="15"),TK!$E$7=TH!F664),"x","")</f>
        <v/>
      </c>
      <c r="AD664" s="79" t="str">
        <f>IF(AND(N664="1521",MONTH(C664)='BK-NL'!$M$11),"x","")</f>
        <v/>
      </c>
    </row>
    <row r="665" spans="1:30" ht="16.5" customHeight="1">
      <c r="A665" s="318" t="str">
        <f>IF(B665&lt;&gt;"",IF(AND(B665='IN-TC'!$S$4,OR(TH!N665="1111",TH!O665="1111")),TH!D665,""),"")</f>
        <v/>
      </c>
      <c r="B665" s="60" t="str">
        <f t="shared" si="125"/>
        <v/>
      </c>
      <c r="C665" s="974"/>
      <c r="D665" s="974"/>
      <c r="E665" s="974"/>
      <c r="F665" s="975"/>
      <c r="G665" s="976"/>
      <c r="H665" s="759"/>
      <c r="I665" s="383"/>
      <c r="J665" s="977"/>
      <c r="K665" s="383"/>
      <c r="L665" s="390"/>
      <c r="M665" s="978"/>
      <c r="N665" s="979"/>
      <c r="O665" s="979"/>
      <c r="P665" s="79" t="str">
        <f>IF(AND('331-CT'!$E$7=TH!H665,OR(N665="331",O665="331")),"x","")</f>
        <v/>
      </c>
      <c r="Q665" s="79" t="str">
        <f>IF(AND(B665='111'!$L$11,OR($N665=$Q$7,$O665=$Q$7)),"x","")</f>
        <v/>
      </c>
      <c r="R665" s="79" t="str">
        <f>IF(AND($N665=$Q$7,$B665&lt;'111'!$L$11),"x","")</f>
        <v/>
      </c>
      <c r="S665" s="79" t="str">
        <f>IF(AND($O665=$Q$7,$B665&lt;'111'!$L$11),"x","")</f>
        <v/>
      </c>
      <c r="T665" s="79" t="str">
        <f>IF(ISERROR(FIND('112'!$M$9,G665,1)),"",IF((AND(FIND('112'!$M$9,G665,1)&gt;=1,B665='112'!$K$9,OR($N665='112'!$I$6,$O665='112'!$I$6))),"x",""))</f>
        <v/>
      </c>
      <c r="U665" s="79" t="str">
        <f>IF(ISERROR(FIND('112'!$M$9,G665,1)),"",IF((AND(LEFT(G665,2)=LEFT('112'!$M$9,2),B665&lt;'112'!$K$9,$N665='112'!$I$6)),"x",""))</f>
        <v/>
      </c>
      <c r="V665" s="79" t="str">
        <f>IF(ISERROR(FIND('112'!$M$9,G665,1)),"",IF((AND(RIGHT(G665,2)=RIGHT('112'!$M$9,2),B665&lt;'112'!$K$9,$O665='112'!$I$6)),"x",""))</f>
        <v/>
      </c>
      <c r="W665" s="79" t="str">
        <f>IF(AND('341-CT'!$H$9=H665,OR(LEFT(N665,3)=$W$7,LEFT(O665,3)=$W$7)),"x","")</f>
        <v/>
      </c>
      <c r="X665" s="79" t="str">
        <f>IF(OR(TH!N665=TH!$X$7,O665=TH!$X$7),"x","")</f>
        <v/>
      </c>
      <c r="Y665" s="79" t="str">
        <f>IF(AND(OR(N665="131",O665="131"),H665='131-CT'!$H$9),"x","")</f>
        <v/>
      </c>
      <c r="Z665" s="79"/>
      <c r="AA665" s="79" t="str">
        <f>IF(AND(MONTH(E665)='IN-NX'!$J$5,'IN-NX'!$D$7=D665),"x","")</f>
        <v/>
      </c>
      <c r="AB665" s="79" t="str">
        <f>IF(AND(OR(LEFT(TH!N665,2)="15",LEFT(TH!O665,2)="15"),LEFT(TH!O665,3)&lt;&gt;"111",'152-CT'!$J$8=TH!F665),"x","")</f>
        <v/>
      </c>
      <c r="AC665" s="79" t="str">
        <f>IF(AND(OR(LEFT(TH!N665,2)="15",LEFT(TH!O665,2)="15"),TK!$E$7=TH!F665),"x","")</f>
        <v/>
      </c>
      <c r="AD665" s="79" t="str">
        <f>IF(AND(N665="1521",MONTH(C665)='BK-NL'!$M$11),"x","")</f>
        <v/>
      </c>
    </row>
    <row r="666" spans="1:30" ht="16.5" customHeight="1">
      <c r="A666" s="318" t="str">
        <f>IF(B666&lt;&gt;"",IF(AND(B666='IN-TC'!$S$4,OR(TH!N666="1111",TH!O666="1111")),TH!D666,""),"")</f>
        <v/>
      </c>
      <c r="B666" s="60" t="str">
        <f t="shared" si="125"/>
        <v/>
      </c>
      <c r="C666" s="974"/>
      <c r="D666" s="974"/>
      <c r="E666" s="974"/>
      <c r="F666" s="975"/>
      <c r="G666" s="976"/>
      <c r="H666" s="759"/>
      <c r="I666" s="383"/>
      <c r="J666" s="977"/>
      <c r="K666" s="383"/>
      <c r="L666" s="390"/>
      <c r="M666" s="978"/>
      <c r="N666" s="979"/>
      <c r="O666" s="979"/>
      <c r="P666" s="79" t="str">
        <f>IF(AND('331-CT'!$E$7=TH!H666,OR(N666="331",O666="331")),"x","")</f>
        <v/>
      </c>
      <c r="Q666" s="79" t="str">
        <f>IF(AND(B666='111'!$L$11,OR($N666=$Q$7,$O666=$Q$7)),"x","")</f>
        <v/>
      </c>
      <c r="R666" s="79" t="str">
        <f>IF(AND($N666=$Q$7,$B666&lt;'111'!$L$11),"x","")</f>
        <v/>
      </c>
      <c r="S666" s="79" t="str">
        <f>IF(AND($O666=$Q$7,$B666&lt;'111'!$L$11),"x","")</f>
        <v/>
      </c>
      <c r="T666" s="79" t="str">
        <f>IF(ISERROR(FIND('112'!$M$9,G666,1)),"",IF((AND(FIND('112'!$M$9,G666,1)&gt;=1,B666='112'!$K$9,OR($N666='112'!$I$6,$O666='112'!$I$6))),"x",""))</f>
        <v/>
      </c>
      <c r="U666" s="79" t="str">
        <f>IF(ISERROR(FIND('112'!$M$9,G666,1)),"",IF((AND(LEFT(G666,2)=LEFT('112'!$M$9,2),B666&lt;'112'!$K$9,$N666='112'!$I$6)),"x",""))</f>
        <v/>
      </c>
      <c r="V666" s="79" t="str">
        <f>IF(ISERROR(FIND('112'!$M$9,G666,1)),"",IF((AND(RIGHT(G666,2)=RIGHT('112'!$M$9,2),B666&lt;'112'!$K$9,$O666='112'!$I$6)),"x",""))</f>
        <v/>
      </c>
      <c r="W666" s="79" t="str">
        <f>IF(AND('341-CT'!$H$9=H666,OR(LEFT(N666,3)=$W$7,LEFT(O666,3)=$W$7)),"x","")</f>
        <v/>
      </c>
      <c r="X666" s="79" t="str">
        <f>IF(OR(TH!N666=TH!$X$7,O666=TH!$X$7),"x","")</f>
        <v/>
      </c>
      <c r="Y666" s="79" t="str">
        <f>IF(AND(OR(N666="131",O666="131"),H666='131-CT'!$H$9),"x","")</f>
        <v/>
      </c>
      <c r="Z666" s="79"/>
      <c r="AA666" s="79" t="str">
        <f>IF(AND(MONTH(E666)='IN-NX'!$J$5,'IN-NX'!$D$7=D666),"x","")</f>
        <v/>
      </c>
      <c r="AB666" s="79" t="str">
        <f>IF(AND(OR(LEFT(TH!N666,2)="15",LEFT(TH!O666,2)="15"),LEFT(TH!O666,3)&lt;&gt;"111",'152-CT'!$J$8=TH!F666),"x","")</f>
        <v/>
      </c>
      <c r="AC666" s="79" t="str">
        <f>IF(AND(OR(LEFT(TH!N666,2)="15",LEFT(TH!O666,2)="15"),TK!$E$7=TH!F666),"x","")</f>
        <v/>
      </c>
      <c r="AD666" s="79" t="str">
        <f>IF(AND(N666="1521",MONTH(C666)='BK-NL'!$M$11),"x","")</f>
        <v/>
      </c>
    </row>
    <row r="667" spans="1:30" ht="16.5" customHeight="1">
      <c r="A667" s="318" t="str">
        <f>IF(B667&lt;&gt;"",IF(AND(B667='IN-TC'!$S$4,OR(TH!N667="1111",TH!O667="1111")),TH!D667,""),"")</f>
        <v/>
      </c>
      <c r="B667" s="60" t="str">
        <f t="shared" si="125"/>
        <v/>
      </c>
      <c r="C667" s="974"/>
      <c r="D667" s="974"/>
      <c r="E667" s="974"/>
      <c r="F667" s="975"/>
      <c r="G667" s="976"/>
      <c r="H667" s="759"/>
      <c r="I667" s="383"/>
      <c r="J667" s="977"/>
      <c r="K667" s="383"/>
      <c r="L667" s="390"/>
      <c r="M667" s="978"/>
      <c r="N667" s="979"/>
      <c r="O667" s="979"/>
      <c r="P667" s="79" t="str">
        <f>IF(AND('331-CT'!$E$7=TH!H667,OR(N667="331",O667="331")),"x","")</f>
        <v/>
      </c>
      <c r="Q667" s="79" t="str">
        <f>IF(AND(B667='111'!$L$11,OR($N667=$Q$7,$O667=$Q$7)),"x","")</f>
        <v/>
      </c>
      <c r="R667" s="79" t="str">
        <f>IF(AND($N667=$Q$7,$B667&lt;'111'!$L$11),"x","")</f>
        <v/>
      </c>
      <c r="S667" s="79" t="str">
        <f>IF(AND($O667=$Q$7,$B667&lt;'111'!$L$11),"x","")</f>
        <v/>
      </c>
      <c r="T667" s="79" t="str">
        <f>IF(ISERROR(FIND('112'!$M$9,G667,1)),"",IF((AND(FIND('112'!$M$9,G667,1)&gt;=1,B667='112'!$K$9,OR($N667='112'!$I$6,$O667='112'!$I$6))),"x",""))</f>
        <v/>
      </c>
      <c r="U667" s="79" t="str">
        <f>IF(ISERROR(FIND('112'!$M$9,G667,1)),"",IF((AND(LEFT(G667,2)=LEFT('112'!$M$9,2),B667&lt;'112'!$K$9,$N667='112'!$I$6)),"x",""))</f>
        <v/>
      </c>
      <c r="V667" s="79" t="str">
        <f>IF(ISERROR(FIND('112'!$M$9,G667,1)),"",IF((AND(RIGHT(G667,2)=RIGHT('112'!$M$9,2),B667&lt;'112'!$K$9,$O667='112'!$I$6)),"x",""))</f>
        <v/>
      </c>
      <c r="W667" s="79" t="str">
        <f>IF(AND('341-CT'!$H$9=H667,OR(LEFT(N667,3)=$W$7,LEFT(O667,3)=$W$7)),"x","")</f>
        <v/>
      </c>
      <c r="X667" s="79" t="str">
        <f>IF(OR(TH!N667=TH!$X$7,O667=TH!$X$7),"x","")</f>
        <v/>
      </c>
      <c r="Y667" s="79" t="str">
        <f>IF(AND(OR(N667="131",O667="131"),H667='131-CT'!$H$9),"x","")</f>
        <v/>
      </c>
      <c r="Z667" s="79"/>
      <c r="AA667" s="79" t="str">
        <f>IF(AND(MONTH(E667)='IN-NX'!$J$5,'IN-NX'!$D$7=D667),"x","")</f>
        <v/>
      </c>
      <c r="AB667" s="79" t="str">
        <f>IF(AND(OR(LEFT(TH!N667,2)="15",LEFT(TH!O667,2)="15"),LEFT(TH!O667,3)&lt;&gt;"111",'152-CT'!$J$8=TH!F667),"x","")</f>
        <v/>
      </c>
      <c r="AC667" s="79" t="str">
        <f>IF(AND(OR(LEFT(TH!N667,2)="15",LEFT(TH!O667,2)="15"),TK!$E$7=TH!F667),"x","")</f>
        <v/>
      </c>
      <c r="AD667" s="79" t="str">
        <f>IF(AND(N667="1521",MONTH(C667)='BK-NL'!$M$11),"x","")</f>
        <v/>
      </c>
    </row>
    <row r="668" spans="1:30" ht="16.5" customHeight="1">
      <c r="A668" s="318" t="str">
        <f>IF(B668&lt;&gt;"",IF(AND(B668='IN-TC'!$S$4,OR(TH!N668="1111",TH!O668="1111")),TH!D668,""),"")</f>
        <v/>
      </c>
      <c r="B668" s="60" t="str">
        <f t="shared" si="125"/>
        <v/>
      </c>
      <c r="C668" s="974"/>
      <c r="D668" s="974"/>
      <c r="E668" s="974"/>
      <c r="F668" s="975"/>
      <c r="G668" s="976"/>
      <c r="H668" s="759"/>
      <c r="I668" s="383"/>
      <c r="J668" s="977"/>
      <c r="K668" s="383"/>
      <c r="L668" s="390"/>
      <c r="M668" s="978"/>
      <c r="N668" s="979"/>
      <c r="O668" s="979"/>
      <c r="P668" s="79" t="str">
        <f>IF(AND('331-CT'!$E$7=TH!H668,OR(N668="331",O668="331")),"x","")</f>
        <v/>
      </c>
      <c r="Q668" s="79" t="str">
        <f>IF(AND(B668='111'!$L$11,OR($N668=$Q$7,$O668=$Q$7)),"x","")</f>
        <v/>
      </c>
      <c r="R668" s="79" t="str">
        <f>IF(AND($N668=$Q$7,$B668&lt;'111'!$L$11),"x","")</f>
        <v/>
      </c>
      <c r="S668" s="79" t="str">
        <f>IF(AND($O668=$Q$7,$B668&lt;'111'!$L$11),"x","")</f>
        <v/>
      </c>
      <c r="T668" s="79" t="str">
        <f>IF(ISERROR(FIND('112'!$M$9,G668,1)),"",IF((AND(FIND('112'!$M$9,G668,1)&gt;=1,B668='112'!$K$9,OR($N668='112'!$I$6,$O668='112'!$I$6))),"x",""))</f>
        <v/>
      </c>
      <c r="U668" s="79" t="str">
        <f>IF(ISERROR(FIND('112'!$M$9,G668,1)),"",IF((AND(LEFT(G668,2)=LEFT('112'!$M$9,2),B668&lt;'112'!$K$9,$N668='112'!$I$6)),"x",""))</f>
        <v/>
      </c>
      <c r="V668" s="79" t="str">
        <f>IF(ISERROR(FIND('112'!$M$9,G668,1)),"",IF((AND(RIGHT(G668,2)=RIGHT('112'!$M$9,2),B668&lt;'112'!$K$9,$O668='112'!$I$6)),"x",""))</f>
        <v/>
      </c>
      <c r="W668" s="79" t="str">
        <f>IF(AND('341-CT'!$H$9=H668,OR(LEFT(N668,3)=$W$7,LEFT(O668,3)=$W$7)),"x","")</f>
        <v/>
      </c>
      <c r="X668" s="79" t="str">
        <f>IF(OR(TH!N668=TH!$X$7,O668=TH!$X$7),"x","")</f>
        <v/>
      </c>
      <c r="Y668" s="79" t="str">
        <f>IF(AND(OR(N668="131",O668="131"),H668='131-CT'!$H$9),"x","")</f>
        <v/>
      </c>
      <c r="Z668" s="79"/>
      <c r="AA668" s="79" t="str">
        <f>IF(AND(MONTH(E668)='IN-NX'!$J$5,'IN-NX'!$D$7=D668),"x","")</f>
        <v/>
      </c>
      <c r="AB668" s="79" t="str">
        <f>IF(AND(OR(LEFT(TH!N668,2)="15",LEFT(TH!O668,2)="15"),LEFT(TH!O668,3)&lt;&gt;"111",'152-CT'!$J$8=TH!F668),"x","")</f>
        <v/>
      </c>
      <c r="AC668" s="79" t="str">
        <f>IF(AND(OR(LEFT(TH!N668,2)="15",LEFT(TH!O668,2)="15"),TK!$E$7=TH!F668),"x","")</f>
        <v/>
      </c>
      <c r="AD668" s="79" t="str">
        <f>IF(AND(N668="1521",MONTH(C668)='BK-NL'!$M$11),"x","")</f>
        <v/>
      </c>
    </row>
    <row r="669" spans="1:30" ht="16.5" customHeight="1">
      <c r="A669" s="318" t="str">
        <f>IF(B669&lt;&gt;"",IF(AND(B669='IN-TC'!$S$4,OR(TH!N669="1111",TH!O669="1111")),TH!D669,""),"")</f>
        <v/>
      </c>
      <c r="B669" s="60" t="str">
        <f t="shared" si="125"/>
        <v/>
      </c>
      <c r="C669" s="974"/>
      <c r="D669" s="974"/>
      <c r="E669" s="974"/>
      <c r="F669" s="975"/>
      <c r="G669" s="976"/>
      <c r="H669" s="759"/>
      <c r="I669" s="383"/>
      <c r="J669" s="977"/>
      <c r="K669" s="383"/>
      <c r="L669" s="390"/>
      <c r="M669" s="978"/>
      <c r="N669" s="979"/>
      <c r="O669" s="979"/>
      <c r="P669" s="79" t="str">
        <f>IF(AND('331-CT'!$E$7=TH!H669,OR(N669="331",O669="331")),"x","")</f>
        <v/>
      </c>
      <c r="Q669" s="79" t="str">
        <f>IF(AND(B669='111'!$L$11,OR($N669=$Q$7,$O669=$Q$7)),"x","")</f>
        <v/>
      </c>
      <c r="R669" s="79" t="str">
        <f>IF(AND($N669=$Q$7,$B669&lt;'111'!$L$11),"x","")</f>
        <v/>
      </c>
      <c r="S669" s="79" t="str">
        <f>IF(AND($O669=$Q$7,$B669&lt;'111'!$L$11),"x","")</f>
        <v/>
      </c>
      <c r="T669" s="79" t="str">
        <f>IF(ISERROR(FIND('112'!$M$9,G669,1)),"",IF((AND(FIND('112'!$M$9,G669,1)&gt;=1,B669='112'!$K$9,OR($N669='112'!$I$6,$O669='112'!$I$6))),"x",""))</f>
        <v/>
      </c>
      <c r="U669" s="79" t="str">
        <f>IF(ISERROR(FIND('112'!$M$9,G669,1)),"",IF((AND(LEFT(G669,2)=LEFT('112'!$M$9,2),B669&lt;'112'!$K$9,$N669='112'!$I$6)),"x",""))</f>
        <v/>
      </c>
      <c r="V669" s="79" t="str">
        <f>IF(ISERROR(FIND('112'!$M$9,G669,1)),"",IF((AND(RIGHT(G669,2)=RIGHT('112'!$M$9,2),B669&lt;'112'!$K$9,$O669='112'!$I$6)),"x",""))</f>
        <v/>
      </c>
      <c r="W669" s="79" t="str">
        <f>IF(AND('341-CT'!$H$9=H669,OR(LEFT(N669,3)=$W$7,LEFT(O669,3)=$W$7)),"x","")</f>
        <v/>
      </c>
      <c r="X669" s="79" t="str">
        <f>IF(OR(TH!N669=TH!$X$7,O669=TH!$X$7),"x","")</f>
        <v/>
      </c>
      <c r="Y669" s="79" t="str">
        <f>IF(AND(OR(N669="131",O669="131"),H669='131-CT'!$H$9),"x","")</f>
        <v/>
      </c>
      <c r="Z669" s="79"/>
      <c r="AA669" s="79" t="str">
        <f>IF(AND(MONTH(E669)='IN-NX'!$J$5,'IN-NX'!$D$7=D669),"x","")</f>
        <v/>
      </c>
      <c r="AB669" s="79" t="str">
        <f>IF(AND(OR(LEFT(TH!N669,2)="15",LEFT(TH!O669,2)="15"),LEFT(TH!O669,3)&lt;&gt;"111",'152-CT'!$J$8=TH!F669),"x","")</f>
        <v/>
      </c>
      <c r="AC669" s="79" t="str">
        <f>IF(AND(OR(LEFT(TH!N669,2)="15",LEFT(TH!O669,2)="15"),TK!$E$7=TH!F669),"x","")</f>
        <v/>
      </c>
      <c r="AD669" s="79" t="str">
        <f>IF(AND(N669="1521",MONTH(C669)='BK-NL'!$M$11),"x","")</f>
        <v/>
      </c>
    </row>
    <row r="670" spans="1:30" ht="16.5" customHeight="1">
      <c r="A670" s="318" t="str">
        <f>IF(B670&lt;&gt;"",IF(AND(B670='IN-TC'!$S$4,OR(TH!N670="1111",TH!O670="1111")),TH!D670,""),"")</f>
        <v/>
      </c>
      <c r="B670" s="60" t="str">
        <f t="shared" si="125"/>
        <v/>
      </c>
      <c r="C670" s="974"/>
      <c r="D670" s="974"/>
      <c r="E670" s="974"/>
      <c r="F670" s="1131"/>
      <c r="G670" s="976"/>
      <c r="H670" s="1210"/>
      <c r="I670" s="383"/>
      <c r="J670" s="390"/>
      <c r="K670" s="383"/>
      <c r="L670" s="390"/>
      <c r="M670" s="978"/>
      <c r="N670" s="979"/>
      <c r="O670" s="979"/>
      <c r="P670" s="79" t="str">
        <f>IF(AND('331-CT'!$E$7=TH!H670,OR(N670="331",O670="331")),"x","")</f>
        <v/>
      </c>
      <c r="Q670" s="79" t="str">
        <f>IF(AND(B670='111'!$L$11,OR($N670=$Q$7,$O670=$Q$7)),"x","")</f>
        <v/>
      </c>
      <c r="R670" s="79" t="str">
        <f>IF(AND($N670=$Q$7,$B670&lt;'111'!$L$11),"x","")</f>
        <v/>
      </c>
      <c r="S670" s="79" t="str">
        <f>IF(AND($O670=$Q$7,$B670&lt;'111'!$L$11),"x","")</f>
        <v/>
      </c>
      <c r="T670" s="79" t="str">
        <f>IF(ISERROR(FIND('112'!$M$9,G670,1)),"",IF((AND(FIND('112'!$M$9,G670,1)&gt;=1,B670='112'!$K$9,OR($N670='112'!$I$6,$O670='112'!$I$6))),"x",""))</f>
        <v/>
      </c>
      <c r="U670" s="79" t="str">
        <f>IF(ISERROR(FIND('112'!$M$9,G670,1)),"",IF((AND(LEFT(G670,2)=LEFT('112'!$M$9,2),B670&lt;'112'!$K$9,$N670='112'!$I$6)),"x",""))</f>
        <v/>
      </c>
      <c r="V670" s="79" t="str">
        <f>IF(ISERROR(FIND('112'!$M$9,G670,1)),"",IF((AND(RIGHT(G670,2)=RIGHT('112'!$M$9,2),B670&lt;'112'!$K$9,$O670='112'!$I$6)),"x",""))</f>
        <v/>
      </c>
      <c r="W670" s="79" t="str">
        <f>IF(AND('341-CT'!$H$9=H670,OR(LEFT(N670,3)=$W$7,LEFT(O670,3)=$W$7)),"x","")</f>
        <v/>
      </c>
      <c r="X670" s="79" t="str">
        <f>IF(OR(TH!N670=TH!$X$7,O670=TH!$X$7),"x","")</f>
        <v/>
      </c>
      <c r="Y670" s="79" t="str">
        <f>IF(AND(OR(N670="131",O670="131"),H670='131-CT'!$H$9),"x","")</f>
        <v/>
      </c>
      <c r="Z670" s="79"/>
      <c r="AA670" s="79" t="str">
        <f>IF(AND(MONTH(E670)='IN-NX'!$J$5,'IN-NX'!$D$7=D670),"x","")</f>
        <v/>
      </c>
      <c r="AB670" s="79" t="str">
        <f>IF(AND(OR(LEFT(TH!N670,2)="15",LEFT(TH!O670,2)="15"),LEFT(TH!O670,3)&lt;&gt;"111",'152-CT'!$J$8=TH!F670),"x","")</f>
        <v/>
      </c>
      <c r="AC670" s="79" t="str">
        <f>IF(AND(OR(LEFT(TH!N670,2)="15",LEFT(TH!O670,2)="15"),TK!$E$7=TH!F670),"x","")</f>
        <v/>
      </c>
      <c r="AD670" s="79" t="str">
        <f>IF(AND(N670="1521",MONTH(C670)='BK-NL'!$M$11),"x","")</f>
        <v/>
      </c>
    </row>
    <row r="671" spans="1:30" ht="16.5" customHeight="1">
      <c r="A671" s="318" t="str">
        <f>IF(B671&lt;&gt;"",IF(AND(B671='IN-TC'!$S$4,OR(TH!N671="1111",TH!O671="1111")),TH!D671,""),"")</f>
        <v/>
      </c>
      <c r="B671" s="60" t="str">
        <f t="shared" si="125"/>
        <v/>
      </c>
      <c r="C671" s="974"/>
      <c r="D671" s="974"/>
      <c r="E671" s="974"/>
      <c r="F671" s="1131"/>
      <c r="G671" s="976"/>
      <c r="H671" s="1210"/>
      <c r="I671" s="383"/>
      <c r="J671" s="390"/>
      <c r="K671" s="383"/>
      <c r="L671" s="390"/>
      <c r="M671" s="978"/>
      <c r="N671" s="979"/>
      <c r="O671" s="979"/>
      <c r="P671" s="79" t="str">
        <f>IF(AND('331-CT'!$E$7=TH!H671,OR(N671="331",O671="331")),"x","")</f>
        <v/>
      </c>
      <c r="Q671" s="79" t="str">
        <f>IF(AND(B671='111'!$L$11,OR($N671=$Q$7,$O671=$Q$7)),"x","")</f>
        <v/>
      </c>
      <c r="R671" s="79" t="str">
        <f>IF(AND($N671=$Q$7,$B671&lt;'111'!$L$11),"x","")</f>
        <v/>
      </c>
      <c r="S671" s="79" t="str">
        <f>IF(AND($O671=$Q$7,$B671&lt;'111'!$L$11),"x","")</f>
        <v/>
      </c>
      <c r="T671" s="79" t="str">
        <f>IF(ISERROR(FIND('112'!$M$9,G671,1)),"",IF((AND(FIND('112'!$M$9,G671,1)&gt;=1,B671='112'!$K$9,OR($N671='112'!$I$6,$O671='112'!$I$6))),"x",""))</f>
        <v/>
      </c>
      <c r="U671" s="79" t="str">
        <f>IF(ISERROR(FIND('112'!$M$9,G671,1)),"",IF((AND(LEFT(G671,2)=LEFT('112'!$M$9,2),B671&lt;'112'!$K$9,$N671='112'!$I$6)),"x",""))</f>
        <v/>
      </c>
      <c r="V671" s="79" t="str">
        <f>IF(ISERROR(FIND('112'!$M$9,G671,1)),"",IF((AND(RIGHT(G671,2)=RIGHT('112'!$M$9,2),B671&lt;'112'!$K$9,$O671='112'!$I$6)),"x",""))</f>
        <v/>
      </c>
      <c r="W671" s="79" t="str">
        <f>IF(AND('341-CT'!$H$9=H671,OR(LEFT(N671,3)=$W$7,LEFT(O671,3)=$W$7)),"x","")</f>
        <v/>
      </c>
      <c r="X671" s="79" t="str">
        <f>IF(OR(TH!N671=TH!$X$7,O671=TH!$X$7),"x","")</f>
        <v/>
      </c>
      <c r="Y671" s="79" t="str">
        <f>IF(AND(OR(N671="131",O671="131"),H671='131-CT'!$H$9),"x","")</f>
        <v/>
      </c>
      <c r="Z671" s="79"/>
      <c r="AA671" s="79" t="str">
        <f>IF(AND(MONTH(E671)='IN-NX'!$J$5,'IN-NX'!$D$7=D671),"x","")</f>
        <v/>
      </c>
      <c r="AB671" s="79" t="str">
        <f>IF(AND(OR(LEFT(TH!N671,2)="15",LEFT(TH!O671,2)="15"),LEFT(TH!O671,3)&lt;&gt;"111",'152-CT'!$J$8=TH!F671),"x","")</f>
        <v/>
      </c>
      <c r="AC671" s="79" t="str">
        <f>IF(AND(OR(LEFT(TH!N671,2)="15",LEFT(TH!O671,2)="15"),TK!$E$7=TH!F671),"x","")</f>
        <v/>
      </c>
      <c r="AD671" s="79" t="str">
        <f>IF(AND(N671="1521",MONTH(C671)='BK-NL'!$M$11),"x","")</f>
        <v/>
      </c>
    </row>
    <row r="672" spans="1:30" ht="16.5" customHeight="1">
      <c r="A672" s="318" t="str">
        <f>IF(B672&lt;&gt;"",IF(AND(B672='IN-TC'!$S$4,OR(TH!N672="1111",TH!O672="1111")),TH!D672,""),"")</f>
        <v/>
      </c>
      <c r="B672" s="60" t="str">
        <f t="shared" si="125"/>
        <v/>
      </c>
      <c r="C672" s="974"/>
      <c r="D672" s="974"/>
      <c r="E672" s="974"/>
      <c r="F672" s="975"/>
      <c r="G672" s="976"/>
      <c r="H672" s="77"/>
      <c r="I672" s="383"/>
      <c r="J672" s="977"/>
      <c r="K672" s="383"/>
      <c r="L672" s="390"/>
      <c r="M672" s="978"/>
      <c r="N672" s="979"/>
      <c r="O672" s="979"/>
      <c r="P672" s="79" t="str">
        <f>IF(AND('331-CT'!$E$7=TH!H672,OR(N672="331",O672="331")),"x","")</f>
        <v/>
      </c>
      <c r="Q672" s="79" t="str">
        <f>IF(AND(B672='111'!$L$11,OR($N672=$Q$7,$O672=$Q$7)),"x","")</f>
        <v/>
      </c>
      <c r="R672" s="79" t="str">
        <f>IF(AND($N672=$Q$7,$B672&lt;'111'!$L$11),"x","")</f>
        <v/>
      </c>
      <c r="S672" s="79" t="str">
        <f>IF(AND($O672=$Q$7,$B672&lt;'111'!$L$11),"x","")</f>
        <v/>
      </c>
      <c r="T672" s="79" t="str">
        <f>IF(ISERROR(FIND('112'!$M$9,G672,1)),"",IF((AND(FIND('112'!$M$9,G672,1)&gt;=1,B672='112'!$K$9,OR($N672='112'!$I$6,$O672='112'!$I$6))),"x",""))</f>
        <v/>
      </c>
      <c r="U672" s="79" t="str">
        <f>IF(ISERROR(FIND('112'!$M$9,G672,1)),"",IF((AND(LEFT(G672,2)=LEFT('112'!$M$9,2),B672&lt;'112'!$K$9,$N672='112'!$I$6)),"x",""))</f>
        <v/>
      </c>
      <c r="V672" s="79" t="str">
        <f>IF(ISERROR(FIND('112'!$M$9,G672,1)),"",IF((AND(RIGHT(G672,2)=RIGHT('112'!$M$9,2),B672&lt;'112'!$K$9,$O672='112'!$I$6)),"x",""))</f>
        <v/>
      </c>
      <c r="W672" s="79" t="str">
        <f>IF(AND('341-CT'!$H$9=H672,OR(LEFT(N672,3)=$W$7,LEFT(O672,3)=$W$7)),"x","")</f>
        <v/>
      </c>
      <c r="X672" s="79" t="str">
        <f>IF(OR(TH!N672=TH!$X$7,O672=TH!$X$7),"x","")</f>
        <v/>
      </c>
      <c r="Y672" s="79" t="str">
        <f>IF(AND(OR(N672="131",O672="131"),H672='131-CT'!$H$9),"x","")</f>
        <v/>
      </c>
      <c r="Z672" s="79"/>
      <c r="AA672" s="79" t="str">
        <f>IF(AND(MONTH(E672)='IN-NX'!$J$5,'IN-NX'!$D$7=D672),"x","")</f>
        <v/>
      </c>
      <c r="AB672" s="79" t="str">
        <f>IF(AND(OR(LEFT(TH!N672,2)="15",LEFT(TH!O672,2)="15"),LEFT(TH!O672,3)&lt;&gt;"111",'152-CT'!$J$8=TH!F672),"x","")</f>
        <v/>
      </c>
      <c r="AC672" s="79" t="str">
        <f>IF(AND(OR(LEFT(TH!N672,2)="15",LEFT(TH!O672,2)="15"),TK!$E$7=TH!F672),"x","")</f>
        <v/>
      </c>
      <c r="AD672" s="79" t="str">
        <f>IF(AND(N672="1521",MONTH(C672)='BK-NL'!$M$11),"x","")</f>
        <v/>
      </c>
    </row>
    <row r="673" spans="1:30" ht="16.5" customHeight="1">
      <c r="A673" s="318" t="str">
        <f>IF(B673&lt;&gt;"",IF(AND(B673='IN-TC'!$S$4,OR(TH!N673="1111",TH!O673="1111")),TH!D673,""),"")</f>
        <v/>
      </c>
      <c r="B673" s="60" t="str">
        <f t="shared" si="125"/>
        <v/>
      </c>
      <c r="C673" s="974"/>
      <c r="D673" s="974"/>
      <c r="E673" s="974"/>
      <c r="F673" s="975"/>
      <c r="G673" s="976"/>
      <c r="H673" s="77"/>
      <c r="I673" s="383"/>
      <c r="J673" s="977"/>
      <c r="K673" s="383"/>
      <c r="L673" s="390"/>
      <c r="M673" s="978"/>
      <c r="N673" s="979"/>
      <c r="O673" s="979"/>
      <c r="P673" s="79" t="str">
        <f>IF(AND('331-CT'!$E$7=TH!H673,OR(N673="331",O673="331")),"x","")</f>
        <v/>
      </c>
      <c r="Q673" s="79" t="str">
        <f>IF(AND(B673='111'!$L$11,OR($N673=$Q$7,$O673=$Q$7)),"x","")</f>
        <v/>
      </c>
      <c r="R673" s="79" t="str">
        <f>IF(AND($N673=$Q$7,$B673&lt;'111'!$L$11),"x","")</f>
        <v/>
      </c>
      <c r="S673" s="79" t="str">
        <f>IF(AND($O673=$Q$7,$B673&lt;'111'!$L$11),"x","")</f>
        <v/>
      </c>
      <c r="T673" s="79" t="str">
        <f>IF(ISERROR(FIND('112'!$M$9,G673,1)),"",IF((AND(FIND('112'!$M$9,G673,1)&gt;=1,B673='112'!$K$9,OR($N673='112'!$I$6,$O673='112'!$I$6))),"x",""))</f>
        <v/>
      </c>
      <c r="U673" s="79" t="str">
        <f>IF(ISERROR(FIND('112'!$M$9,G673,1)),"",IF((AND(LEFT(G673,2)=LEFT('112'!$M$9,2),B673&lt;'112'!$K$9,$N673='112'!$I$6)),"x",""))</f>
        <v/>
      </c>
      <c r="V673" s="79" t="str">
        <f>IF(ISERROR(FIND('112'!$M$9,G673,1)),"",IF((AND(RIGHT(G673,2)=RIGHT('112'!$M$9,2),B673&lt;'112'!$K$9,$O673='112'!$I$6)),"x",""))</f>
        <v/>
      </c>
      <c r="W673" s="79" t="str">
        <f>IF(AND('341-CT'!$H$9=H673,OR(LEFT(N673,3)=$W$7,LEFT(O673,3)=$W$7)),"x","")</f>
        <v/>
      </c>
      <c r="X673" s="79" t="str">
        <f>IF(OR(TH!N673=TH!$X$7,O673=TH!$X$7),"x","")</f>
        <v/>
      </c>
      <c r="Y673" s="79" t="str">
        <f>IF(AND(OR(N673="131",O673="131"),H673='131-CT'!$H$9),"x","")</f>
        <v/>
      </c>
      <c r="Z673" s="79"/>
      <c r="AA673" s="79" t="str">
        <f>IF(AND(MONTH(E673)='IN-NX'!$J$5,'IN-NX'!$D$7=D673),"x","")</f>
        <v/>
      </c>
      <c r="AB673" s="79" t="str">
        <f>IF(AND(OR(LEFT(TH!N673,2)="15",LEFT(TH!O673,2)="15"),LEFT(TH!O673,3)&lt;&gt;"111",'152-CT'!$J$8=TH!F673),"x","")</f>
        <v/>
      </c>
      <c r="AC673" s="79" t="str">
        <f>IF(AND(OR(LEFT(TH!N673,2)="15",LEFT(TH!O673,2)="15"),TK!$E$7=TH!F673),"x","")</f>
        <v/>
      </c>
      <c r="AD673" s="79" t="str">
        <f>IF(AND(N673="1521",MONTH(C673)='BK-NL'!$M$11),"x","")</f>
        <v/>
      </c>
    </row>
    <row r="674" spans="1:30" ht="16.5" customHeight="1">
      <c r="A674" s="318" t="str">
        <f>IF(B674&lt;&gt;"",IF(AND(B674='IN-TC'!$S$4,OR(TH!N674="1111",TH!O674="1111")),TH!D674,""),"")</f>
        <v/>
      </c>
      <c r="B674" s="60" t="str">
        <f t="shared" si="125"/>
        <v/>
      </c>
      <c r="C674" s="974"/>
      <c r="D674" s="974"/>
      <c r="E674" s="974"/>
      <c r="F674" s="975"/>
      <c r="G674" s="976"/>
      <c r="H674" s="77"/>
      <c r="I674" s="383"/>
      <c r="J674" s="977"/>
      <c r="K674" s="383"/>
      <c r="L674" s="390"/>
      <c r="M674" s="978"/>
      <c r="N674" s="979"/>
      <c r="O674" s="979"/>
      <c r="P674" s="79" t="str">
        <f>IF(AND('331-CT'!$E$7=TH!H674,OR(N674="331",O674="331")),"x","")</f>
        <v/>
      </c>
      <c r="Q674" s="79" t="str">
        <f>IF(AND(B674='111'!$L$11,OR($N674=$Q$7,$O674=$Q$7)),"x","")</f>
        <v/>
      </c>
      <c r="R674" s="79" t="str">
        <f>IF(AND($N674=$Q$7,$B674&lt;'111'!$L$11),"x","")</f>
        <v/>
      </c>
      <c r="S674" s="79" t="str">
        <f>IF(AND($O674=$Q$7,$B674&lt;'111'!$L$11),"x","")</f>
        <v/>
      </c>
      <c r="T674" s="79" t="str">
        <f>IF(ISERROR(FIND('112'!$M$9,G674,1)),"",IF((AND(FIND('112'!$M$9,G674,1)&gt;=1,B674='112'!$K$9,OR($N674='112'!$I$6,$O674='112'!$I$6))),"x",""))</f>
        <v/>
      </c>
      <c r="U674" s="79" t="str">
        <f>IF(ISERROR(FIND('112'!$M$9,G674,1)),"",IF((AND(LEFT(G674,2)=LEFT('112'!$M$9,2),B674&lt;'112'!$K$9,$N674='112'!$I$6)),"x",""))</f>
        <v/>
      </c>
      <c r="V674" s="79" t="str">
        <f>IF(ISERROR(FIND('112'!$M$9,G674,1)),"",IF((AND(RIGHT(G674,2)=RIGHT('112'!$M$9,2),B674&lt;'112'!$K$9,$O674='112'!$I$6)),"x",""))</f>
        <v/>
      </c>
      <c r="W674" s="79" t="str">
        <f>IF(AND('341-CT'!$H$9=H674,OR(LEFT(N674,3)=$W$7,LEFT(O674,3)=$W$7)),"x","")</f>
        <v/>
      </c>
      <c r="X674" s="79" t="str">
        <f>IF(OR(TH!N674=TH!$X$7,O674=TH!$X$7),"x","")</f>
        <v/>
      </c>
      <c r="Y674" s="79" t="str">
        <f>IF(AND(OR(N674="131",O674="131"),H674='131-CT'!$H$9),"x","")</f>
        <v/>
      </c>
      <c r="Z674" s="79"/>
      <c r="AA674" s="79" t="str">
        <f>IF(AND(MONTH(E674)='IN-NX'!$J$5,'IN-NX'!$D$7=D674),"x","")</f>
        <v/>
      </c>
      <c r="AB674" s="79" t="str">
        <f>IF(AND(OR(LEFT(TH!N674,2)="15",LEFT(TH!O674,2)="15"),LEFT(TH!O674,3)&lt;&gt;"111",'152-CT'!$J$8=TH!F674),"x","")</f>
        <v/>
      </c>
      <c r="AC674" s="79" t="str">
        <f>IF(AND(OR(LEFT(TH!N674,2)="15",LEFT(TH!O674,2)="15"),TK!$E$7=TH!F674),"x","")</f>
        <v/>
      </c>
      <c r="AD674" s="79" t="str">
        <f>IF(AND(N674="1521",MONTH(C674)='BK-NL'!$M$11),"x","")</f>
        <v/>
      </c>
    </row>
    <row r="675" spans="1:30" ht="16.5" customHeight="1">
      <c r="A675" s="318" t="str">
        <f>IF(B675&lt;&gt;"",IF(AND(B675='IN-TC'!$S$4,OR(TH!N675="1111",TH!O675="1111")),TH!D675,""),"")</f>
        <v/>
      </c>
      <c r="B675" s="60" t="str">
        <f t="shared" si="125"/>
        <v/>
      </c>
      <c r="C675" s="974"/>
      <c r="D675" s="974"/>
      <c r="E675" s="974"/>
      <c r="F675" s="975"/>
      <c r="G675" s="976"/>
      <c r="H675" s="305"/>
      <c r="I675" s="383"/>
      <c r="J675" s="977"/>
      <c r="K675" s="383"/>
      <c r="L675" s="390"/>
      <c r="M675" s="978"/>
      <c r="N675" s="979"/>
      <c r="O675" s="979"/>
      <c r="P675" s="79" t="str">
        <f>IF(AND('331-CT'!$E$7=TH!H675,OR(N675="331",O675="331")),"x","")</f>
        <v/>
      </c>
      <c r="Q675" s="79" t="str">
        <f>IF(AND(B675='111'!$L$11,OR($N675=$Q$7,$O675=$Q$7)),"x","")</f>
        <v/>
      </c>
      <c r="R675" s="79" t="str">
        <f>IF(AND($N675=$Q$7,$B675&lt;'111'!$L$11),"x","")</f>
        <v/>
      </c>
      <c r="S675" s="79" t="str">
        <f>IF(AND($O675=$Q$7,$B675&lt;'111'!$L$11),"x","")</f>
        <v/>
      </c>
      <c r="T675" s="79" t="str">
        <f>IF(ISERROR(FIND('112'!$M$9,G675,1)),"",IF((AND(FIND('112'!$M$9,G675,1)&gt;=1,B675='112'!$K$9,OR($N675='112'!$I$6,$O675='112'!$I$6))),"x",""))</f>
        <v/>
      </c>
      <c r="U675" s="79" t="str">
        <f>IF(ISERROR(FIND('112'!$M$9,G675,1)),"",IF((AND(LEFT(G675,2)=LEFT('112'!$M$9,2),B675&lt;'112'!$K$9,$N675='112'!$I$6)),"x",""))</f>
        <v/>
      </c>
      <c r="V675" s="79" t="str">
        <f>IF(ISERROR(FIND('112'!$M$9,G675,1)),"",IF((AND(RIGHT(G675,2)=RIGHT('112'!$M$9,2),B675&lt;'112'!$K$9,$O675='112'!$I$6)),"x",""))</f>
        <v/>
      </c>
      <c r="W675" s="79" t="str">
        <f>IF(AND('341-CT'!$H$9=H675,OR(LEFT(N675,3)=$W$7,LEFT(O675,3)=$W$7)),"x","")</f>
        <v/>
      </c>
      <c r="X675" s="79" t="str">
        <f>IF(OR(TH!N675=TH!$X$7,O675=TH!$X$7),"x","")</f>
        <v/>
      </c>
      <c r="Y675" s="79" t="str">
        <f>IF(AND(OR(N675="131",O675="131"),H675='131-CT'!$H$9),"x","")</f>
        <v/>
      </c>
      <c r="Z675" s="79"/>
      <c r="AA675" s="79" t="str">
        <f>IF(AND(MONTH(E675)='IN-NX'!$J$5,'IN-NX'!$D$7=D675),"x","")</f>
        <v/>
      </c>
      <c r="AB675" s="79" t="str">
        <f>IF(AND(OR(LEFT(TH!N675,2)="15",LEFT(TH!O675,2)="15"),LEFT(TH!O675,3)&lt;&gt;"111",'152-CT'!$J$8=TH!F675),"x","")</f>
        <v/>
      </c>
      <c r="AC675" s="79" t="str">
        <f>IF(AND(OR(LEFT(TH!N675,2)="15",LEFT(TH!O675,2)="15"),TK!$E$7=TH!F675),"x","")</f>
        <v/>
      </c>
      <c r="AD675" s="79" t="str">
        <f>IF(AND(N675="1521",MONTH(C675)='BK-NL'!$M$11),"x","")</f>
        <v/>
      </c>
    </row>
    <row r="676" spans="1:30" ht="16.5" customHeight="1">
      <c r="A676" s="318" t="str">
        <f>IF(B676&lt;&gt;"",IF(AND(B676='IN-TC'!$S$4,OR(TH!N676="1111",TH!O676="1111")),TH!D676,""),"")</f>
        <v/>
      </c>
      <c r="B676" s="60" t="str">
        <f t="shared" si="125"/>
        <v/>
      </c>
      <c r="C676" s="974"/>
      <c r="D676" s="974"/>
      <c r="E676" s="974"/>
      <c r="F676" s="975"/>
      <c r="G676" s="976"/>
      <c r="H676" s="305"/>
      <c r="I676" s="383"/>
      <c r="J676" s="977"/>
      <c r="K676" s="383"/>
      <c r="L676" s="390"/>
      <c r="M676" s="978"/>
      <c r="N676" s="979"/>
      <c r="O676" s="979"/>
      <c r="P676" s="79" t="str">
        <f>IF(AND('331-CT'!$E$7=TH!H676,OR(N676="331",O676="331")),"x","")</f>
        <v/>
      </c>
      <c r="Q676" s="79" t="str">
        <f>IF(AND(B676='111'!$L$11,OR($N676=$Q$7,$O676=$Q$7)),"x","")</f>
        <v/>
      </c>
      <c r="R676" s="79" t="str">
        <f>IF(AND($N676=$Q$7,$B676&lt;'111'!$L$11),"x","")</f>
        <v/>
      </c>
      <c r="S676" s="79" t="str">
        <f>IF(AND($O676=$Q$7,$B676&lt;'111'!$L$11),"x","")</f>
        <v/>
      </c>
      <c r="T676" s="79" t="str">
        <f>IF(ISERROR(FIND('112'!$M$9,G676,1)),"",IF((AND(FIND('112'!$M$9,G676,1)&gt;=1,B676='112'!$K$9,OR($N676='112'!$I$6,$O676='112'!$I$6))),"x",""))</f>
        <v/>
      </c>
      <c r="U676" s="79" t="str">
        <f>IF(ISERROR(FIND('112'!$M$9,G676,1)),"",IF((AND(LEFT(G676,2)=LEFT('112'!$M$9,2),B676&lt;'112'!$K$9,$N676='112'!$I$6)),"x",""))</f>
        <v/>
      </c>
      <c r="V676" s="79" t="str">
        <f>IF(ISERROR(FIND('112'!$M$9,G676,1)),"",IF((AND(RIGHT(G676,2)=RIGHT('112'!$M$9,2),B676&lt;'112'!$K$9,$O676='112'!$I$6)),"x",""))</f>
        <v/>
      </c>
      <c r="W676" s="79" t="str">
        <f>IF(AND('341-CT'!$H$9=H676,OR(LEFT(N676,3)=$W$7,LEFT(O676,3)=$W$7)),"x","")</f>
        <v/>
      </c>
      <c r="X676" s="79" t="str">
        <f>IF(OR(TH!N676=TH!$X$7,O676=TH!$X$7),"x","")</f>
        <v/>
      </c>
      <c r="Y676" s="79" t="str">
        <f>IF(AND(OR(N676="131",O676="131"),H676='131-CT'!$H$9),"x","")</f>
        <v/>
      </c>
      <c r="Z676" s="79"/>
      <c r="AA676" s="79" t="str">
        <f>IF(AND(MONTH(E676)='IN-NX'!$J$5,'IN-NX'!$D$7=D676),"x","")</f>
        <v/>
      </c>
      <c r="AB676" s="79" t="str">
        <f>IF(AND(OR(LEFT(TH!N676,2)="15",LEFT(TH!O676,2)="15"),LEFT(TH!O676,3)&lt;&gt;"111",'152-CT'!$J$8=TH!F676),"x","")</f>
        <v/>
      </c>
      <c r="AC676" s="79" t="str">
        <f>IF(AND(OR(LEFT(TH!N676,2)="15",LEFT(TH!O676,2)="15"),TK!$E$7=TH!F676),"x","")</f>
        <v/>
      </c>
      <c r="AD676" s="79" t="str">
        <f>IF(AND(N676="1521",MONTH(C676)='BK-NL'!$M$11),"x","")</f>
        <v/>
      </c>
    </row>
    <row r="677" spans="1:30" ht="16.5" customHeight="1">
      <c r="A677" s="318" t="str">
        <f>IF(B677&lt;&gt;"",IF(AND(B677='IN-TC'!$S$4,OR(TH!N677="1111",TH!O677="1111")),TH!D677,""),"")</f>
        <v/>
      </c>
      <c r="B677" s="60" t="str">
        <f t="shared" ref="B677:B678" si="127">IF(C677&lt;&gt;"",MONTH(C677),"")</f>
        <v/>
      </c>
      <c r="C677" s="974"/>
      <c r="D677" s="974"/>
      <c r="E677" s="974"/>
      <c r="F677" s="975"/>
      <c r="G677" s="976"/>
      <c r="H677" s="305"/>
      <c r="I677" s="383"/>
      <c r="J677" s="977"/>
      <c r="K677" s="383"/>
      <c r="L677" s="390"/>
      <c r="M677" s="978"/>
      <c r="N677" s="979"/>
      <c r="O677" s="979"/>
      <c r="P677" s="79" t="str">
        <f>IF(AND('331-CT'!$E$7=TH!H677,OR(N677="331",O677="331")),"x","")</f>
        <v/>
      </c>
      <c r="Q677" s="79" t="str">
        <f>IF(AND(B677='111'!$L$11,OR($N677=$Q$7,$O677=$Q$7)),"x","")</f>
        <v/>
      </c>
      <c r="R677" s="79" t="str">
        <f>IF(AND($N677=$Q$7,$B677&lt;'111'!$L$11),"x","")</f>
        <v/>
      </c>
      <c r="S677" s="79" t="str">
        <f>IF(AND($O677=$Q$7,$B677&lt;'111'!$L$11),"x","")</f>
        <v/>
      </c>
      <c r="T677" s="79" t="str">
        <f>IF(ISERROR(FIND('112'!$M$9,G677,1)),"",IF((AND(FIND('112'!$M$9,G677,1)&gt;=1,B677='112'!$K$9,OR($N677='112'!$I$6,$O677='112'!$I$6))),"x",""))</f>
        <v/>
      </c>
      <c r="U677" s="79" t="str">
        <f>IF(ISERROR(FIND('112'!$M$9,G677,1)),"",IF((AND(LEFT(G677,2)=LEFT('112'!$M$9,2),B677&lt;'112'!$K$9,$N677='112'!$I$6)),"x",""))</f>
        <v/>
      </c>
      <c r="V677" s="79" t="str">
        <f>IF(ISERROR(FIND('112'!$M$9,G677,1)),"",IF((AND(RIGHT(G677,2)=RIGHT('112'!$M$9,2),B677&lt;'112'!$K$9,$O677='112'!$I$6)),"x",""))</f>
        <v/>
      </c>
      <c r="W677" s="79" t="str">
        <f>IF(AND('341-CT'!$H$9=H677,OR(LEFT(N677,3)=$W$7,LEFT(O677,3)=$W$7)),"x","")</f>
        <v/>
      </c>
      <c r="X677" s="79" t="str">
        <f>IF(OR(TH!N677=TH!$X$7,O677=TH!$X$7),"x","")</f>
        <v/>
      </c>
      <c r="Y677" s="79" t="str">
        <f>IF(AND(OR(N677="131",O677="131"),H677='131-CT'!$H$9),"x","")</f>
        <v/>
      </c>
      <c r="Z677" s="79"/>
      <c r="AA677" s="79" t="str">
        <f>IF(AND(MONTH(E677)='IN-NX'!$J$5,'IN-NX'!$D$7=D677),"x","")</f>
        <v/>
      </c>
      <c r="AB677" s="79" t="str">
        <f>IF(AND(OR(LEFT(TH!N677,2)="15",LEFT(TH!O677,2)="15"),LEFT(TH!O677,3)&lt;&gt;"111",'152-CT'!$J$8=TH!F677),"x","")</f>
        <v/>
      </c>
      <c r="AC677" s="79" t="str">
        <f>IF(AND(OR(LEFT(TH!N677,2)="15",LEFT(TH!O677,2)="15"),TK!$E$7=TH!F677),"x","")</f>
        <v/>
      </c>
      <c r="AD677" s="79" t="str">
        <f>IF(AND(N677="1521",MONTH(C677)='BK-NL'!$M$11),"x","")</f>
        <v/>
      </c>
    </row>
    <row r="678" spans="1:30" ht="16.5" customHeight="1">
      <c r="A678" s="318" t="str">
        <f>IF(B678&lt;&gt;"",IF(AND(B678='IN-TC'!$S$4,OR(TH!N678="1111",TH!O678="1111")),TH!D678,""),"")</f>
        <v/>
      </c>
      <c r="B678" s="60" t="str">
        <f t="shared" si="127"/>
        <v/>
      </c>
      <c r="C678" s="974"/>
      <c r="D678" s="974"/>
      <c r="E678" s="974"/>
      <c r="F678" s="975"/>
      <c r="G678" s="976"/>
      <c r="H678" s="305"/>
      <c r="I678" s="383"/>
      <c r="J678" s="977"/>
      <c r="K678" s="383"/>
      <c r="L678" s="390"/>
      <c r="M678" s="978"/>
      <c r="N678" s="979"/>
      <c r="O678" s="979"/>
      <c r="P678" s="79" t="str">
        <f>IF(AND('331-CT'!$E$7=TH!H678,OR(N678="331",O678="331")),"x","")</f>
        <v/>
      </c>
      <c r="Q678" s="79" t="str">
        <f>IF(AND(B678='111'!$L$11,OR($N678=$Q$7,$O678=$Q$7)),"x","")</f>
        <v/>
      </c>
      <c r="R678" s="79" t="str">
        <f>IF(AND($N678=$Q$7,$B678&lt;'111'!$L$11),"x","")</f>
        <v/>
      </c>
      <c r="S678" s="79" t="str">
        <f>IF(AND($O678=$Q$7,$B678&lt;'111'!$L$11),"x","")</f>
        <v/>
      </c>
      <c r="T678" s="79" t="str">
        <f>IF(ISERROR(FIND('112'!$M$9,G678,1)),"",IF((AND(FIND('112'!$M$9,G678,1)&gt;=1,B678='112'!$K$9,OR($N678='112'!$I$6,$O678='112'!$I$6))),"x",""))</f>
        <v/>
      </c>
      <c r="U678" s="79" t="str">
        <f>IF(ISERROR(FIND('112'!$M$9,G678,1)),"",IF((AND(LEFT(G678,2)=LEFT('112'!$M$9,2),B678&lt;'112'!$K$9,$N678='112'!$I$6)),"x",""))</f>
        <v/>
      </c>
      <c r="V678" s="79" t="str">
        <f>IF(ISERROR(FIND('112'!$M$9,G678,1)),"",IF((AND(RIGHT(G678,2)=RIGHT('112'!$M$9,2),B678&lt;'112'!$K$9,$O678='112'!$I$6)),"x",""))</f>
        <v/>
      </c>
      <c r="W678" s="79" t="str">
        <f>IF(AND('341-CT'!$H$9=H678,OR(LEFT(N678,3)=$W$7,LEFT(O678,3)=$W$7)),"x","")</f>
        <v/>
      </c>
      <c r="X678" s="79" t="str">
        <f>IF(OR(TH!N678=TH!$X$7,O678=TH!$X$7),"x","")</f>
        <v/>
      </c>
      <c r="Y678" s="79" t="str">
        <f>IF(AND(OR(N678="131",O678="131"),H678='131-CT'!$H$9),"x","")</f>
        <v/>
      </c>
      <c r="Z678" s="79"/>
      <c r="AA678" s="79" t="str">
        <f>IF(AND(MONTH(E678)='IN-NX'!$J$5,'IN-NX'!$D$7=D678),"x","")</f>
        <v/>
      </c>
      <c r="AB678" s="79" t="str">
        <f>IF(AND(OR(LEFT(TH!N678,2)="15",LEFT(TH!O678,2)="15"),LEFT(TH!O678,3)&lt;&gt;"111",'152-CT'!$J$8=TH!F678),"x","")</f>
        <v/>
      </c>
      <c r="AC678" s="79" t="str">
        <f>IF(AND(OR(LEFT(TH!N678,2)="15",LEFT(TH!O678,2)="15"),TK!$E$7=TH!F678),"x","")</f>
        <v/>
      </c>
      <c r="AD678" s="79" t="str">
        <f>IF(AND(N678="1521",MONTH(C678)='BK-NL'!$M$11),"x","")</f>
        <v/>
      </c>
    </row>
    <row r="679" spans="1:30" ht="16.5" customHeight="1">
      <c r="A679" s="318" t="str">
        <f>IF(B679&lt;&gt;"",IF(AND(B679='IN-TC'!$S$4,OR(TH!N679="1111",TH!O679="1111")),TH!D679,""),"")</f>
        <v/>
      </c>
      <c r="B679" s="60" t="str">
        <f t="shared" si="125"/>
        <v/>
      </c>
      <c r="C679" s="974"/>
      <c r="D679" s="974"/>
      <c r="E679" s="974"/>
      <c r="F679" s="975"/>
      <c r="G679" s="976"/>
      <c r="H679" s="759"/>
      <c r="I679" s="383"/>
      <c r="J679" s="977"/>
      <c r="K679" s="383"/>
      <c r="L679" s="390"/>
      <c r="M679" s="978"/>
      <c r="N679" s="979"/>
      <c r="O679" s="979"/>
      <c r="P679" s="79" t="str">
        <f>IF(AND('331-CT'!$E$7=TH!H679,OR(N679="331",O679="331")),"x","")</f>
        <v/>
      </c>
      <c r="Q679" s="79" t="str">
        <f>IF(AND(B679='111'!$L$11,OR($N679=$Q$7,$O679=$Q$7)),"x","")</f>
        <v/>
      </c>
      <c r="R679" s="79" t="str">
        <f>IF(AND($N679=$Q$7,$B679&lt;'111'!$L$11),"x","")</f>
        <v/>
      </c>
      <c r="S679" s="79" t="str">
        <f>IF(AND($O679=$Q$7,$B679&lt;'111'!$L$11),"x","")</f>
        <v/>
      </c>
      <c r="T679" s="79" t="str">
        <f>IF(ISERROR(FIND('112'!$M$9,G679,1)),"",IF((AND(FIND('112'!$M$9,G679,1)&gt;=1,B679='112'!$K$9,OR($N679='112'!$I$6,$O679='112'!$I$6))),"x",""))</f>
        <v/>
      </c>
      <c r="U679" s="79" t="str">
        <f>IF(ISERROR(FIND('112'!$M$9,G679,1)),"",IF((AND(LEFT(G679,2)=LEFT('112'!$M$9,2),B679&lt;'112'!$K$9,$N679='112'!$I$6)),"x",""))</f>
        <v/>
      </c>
      <c r="V679" s="79" t="str">
        <f>IF(ISERROR(FIND('112'!$M$9,G679,1)),"",IF((AND(RIGHT(G679,2)=RIGHT('112'!$M$9,2),B679&lt;'112'!$K$9,$O679='112'!$I$6)),"x",""))</f>
        <v/>
      </c>
      <c r="W679" s="79" t="str">
        <f>IF(AND('341-CT'!$H$9=H679,OR(LEFT(N679,3)=$W$7,LEFT(O679,3)=$W$7)),"x","")</f>
        <v/>
      </c>
      <c r="X679" s="79" t="str">
        <f>IF(OR(TH!N679=TH!$X$7,O679=TH!$X$7),"x","")</f>
        <v/>
      </c>
      <c r="Y679" s="79" t="str">
        <f>IF(AND(OR(N679="131",O679="131"),H679='131-CT'!$H$9),"x","")</f>
        <v/>
      </c>
      <c r="Z679" s="79"/>
      <c r="AA679" s="79" t="str">
        <f>IF(AND(MONTH(E679)='IN-NX'!$J$5,'IN-NX'!$D$7=D679),"x","")</f>
        <v/>
      </c>
      <c r="AB679" s="79" t="str">
        <f>IF(AND(OR(LEFT(TH!N679,2)="15",LEFT(TH!O679,2)="15"),LEFT(TH!O679,3)&lt;&gt;"111",'152-CT'!$J$8=TH!F679),"x","")</f>
        <v/>
      </c>
      <c r="AC679" s="79" t="str">
        <f>IF(AND(OR(LEFT(TH!N679,2)="15",LEFT(TH!O679,2)="15"),TK!$E$7=TH!F679),"x","")</f>
        <v/>
      </c>
      <c r="AD679" s="79" t="str">
        <f>IF(AND(N679="1521",MONTH(C679)='BK-NL'!$M$11),"x","")</f>
        <v/>
      </c>
    </row>
    <row r="680" spans="1:30" ht="16.5" customHeight="1">
      <c r="A680" s="318" t="str">
        <f>IF(B680&lt;&gt;"",IF(AND(B680='IN-TC'!$S$4,OR(TH!N680="1111",TH!O680="1111")),TH!D680,""),"")</f>
        <v/>
      </c>
      <c r="B680" s="60" t="str">
        <f t="shared" si="125"/>
        <v/>
      </c>
      <c r="C680" s="974"/>
      <c r="D680" s="974"/>
      <c r="E680" s="974"/>
      <c r="F680" s="975"/>
      <c r="G680" s="976"/>
      <c r="H680" s="759"/>
      <c r="I680" s="383"/>
      <c r="J680" s="977"/>
      <c r="K680" s="383"/>
      <c r="L680" s="390"/>
      <c r="M680" s="978"/>
      <c r="N680" s="979"/>
      <c r="O680" s="979"/>
      <c r="P680" s="79" t="str">
        <f>IF(AND('331-CT'!$E$7=TH!H680,OR(N680="331",O680="331")),"x","")</f>
        <v/>
      </c>
      <c r="Q680" s="79" t="str">
        <f>IF(AND(B680='111'!$L$11,OR($N680=$Q$7,$O680=$Q$7)),"x","")</f>
        <v/>
      </c>
      <c r="R680" s="79" t="str">
        <f>IF(AND($N680=$Q$7,$B680&lt;'111'!$L$11),"x","")</f>
        <v/>
      </c>
      <c r="S680" s="79" t="str">
        <f>IF(AND($O680=$Q$7,$B680&lt;'111'!$L$11),"x","")</f>
        <v/>
      </c>
      <c r="T680" s="79" t="str">
        <f>IF(ISERROR(FIND('112'!$M$9,G680,1)),"",IF((AND(FIND('112'!$M$9,G680,1)&gt;=1,B680='112'!$K$9,OR($N680='112'!$I$6,$O680='112'!$I$6))),"x",""))</f>
        <v/>
      </c>
      <c r="U680" s="79" t="str">
        <f>IF(ISERROR(FIND('112'!$M$9,G680,1)),"",IF((AND(LEFT(G680,2)=LEFT('112'!$M$9,2),B680&lt;'112'!$K$9,$N680='112'!$I$6)),"x",""))</f>
        <v/>
      </c>
      <c r="V680" s="79" t="str">
        <f>IF(ISERROR(FIND('112'!$M$9,G680,1)),"",IF((AND(RIGHT(G680,2)=RIGHT('112'!$M$9,2),B680&lt;'112'!$K$9,$O680='112'!$I$6)),"x",""))</f>
        <v/>
      </c>
      <c r="W680" s="79" t="str">
        <f>IF(AND('341-CT'!$H$9=H680,OR(LEFT(N680,3)=$W$7,LEFT(O680,3)=$W$7)),"x","")</f>
        <v/>
      </c>
      <c r="X680" s="79" t="str">
        <f>IF(OR(TH!N680=TH!$X$7,O680=TH!$X$7),"x","")</f>
        <v/>
      </c>
      <c r="Y680" s="79" t="str">
        <f>IF(AND(OR(N680="131",O680="131"),H680='131-CT'!$H$9),"x","")</f>
        <v/>
      </c>
      <c r="Z680" s="79"/>
      <c r="AA680" s="79" t="str">
        <f>IF(AND(MONTH(E680)='IN-NX'!$J$5,'IN-NX'!$D$7=D680),"x","")</f>
        <v/>
      </c>
      <c r="AB680" s="79" t="str">
        <f>IF(AND(OR(LEFT(TH!N680,2)="15",LEFT(TH!O680,2)="15"),LEFT(TH!O680,3)&lt;&gt;"111",'152-CT'!$J$8=TH!F680),"x","")</f>
        <v/>
      </c>
      <c r="AC680" s="79" t="str">
        <f>IF(AND(OR(LEFT(TH!N680,2)="15",LEFT(TH!O680,2)="15"),TK!$E$7=TH!F680),"x","")</f>
        <v/>
      </c>
      <c r="AD680" s="79" t="str">
        <f>IF(AND(N680="1521",MONTH(C680)='BK-NL'!$M$11),"x","")</f>
        <v/>
      </c>
    </row>
    <row r="681" spans="1:30" ht="16.5" customHeight="1">
      <c r="A681" s="318" t="str">
        <f>IF(B681&lt;&gt;"",IF(AND(B681='IN-TC'!$S$4,OR(TH!N681="1111",TH!O681="1111")),TH!D681,""),"")</f>
        <v/>
      </c>
      <c r="B681" s="60" t="str">
        <f t="shared" ref="B681:B682" si="128">IF(C681&lt;&gt;"",MONTH(C681),"")</f>
        <v/>
      </c>
      <c r="C681" s="974"/>
      <c r="D681" s="974"/>
      <c r="E681" s="974"/>
      <c r="F681" s="975"/>
      <c r="G681" s="976"/>
      <c r="H681" s="759"/>
      <c r="I681" s="383"/>
      <c r="J681" s="977"/>
      <c r="K681" s="383"/>
      <c r="L681" s="390"/>
      <c r="M681" s="978"/>
      <c r="N681" s="979"/>
      <c r="O681" s="979"/>
      <c r="P681" s="79" t="str">
        <f>IF(AND('331-CT'!$E$7=TH!H681,OR(N681="331",O681="331")),"x","")</f>
        <v/>
      </c>
      <c r="Q681" s="79" t="str">
        <f>IF(AND(B681='111'!$L$11,OR($N681=$Q$7,$O681=$Q$7)),"x","")</f>
        <v/>
      </c>
      <c r="R681" s="79" t="str">
        <f>IF(AND($N681=$Q$7,$B681&lt;'111'!$L$11),"x","")</f>
        <v/>
      </c>
      <c r="S681" s="79" t="str">
        <f>IF(AND($O681=$Q$7,$B681&lt;'111'!$L$11),"x","")</f>
        <v/>
      </c>
      <c r="T681" s="79" t="str">
        <f>IF(ISERROR(FIND('112'!$M$9,G681,1)),"",IF((AND(FIND('112'!$M$9,G681,1)&gt;=1,B681='112'!$K$9,OR($N681='112'!$I$6,$O681='112'!$I$6))),"x",""))</f>
        <v/>
      </c>
      <c r="U681" s="79" t="str">
        <f>IF(ISERROR(FIND('112'!$M$9,G681,1)),"",IF((AND(LEFT(G681,2)=LEFT('112'!$M$9,2),B681&lt;'112'!$K$9,$N681='112'!$I$6)),"x",""))</f>
        <v/>
      </c>
      <c r="V681" s="79" t="str">
        <f>IF(ISERROR(FIND('112'!$M$9,G681,1)),"",IF((AND(RIGHT(G681,2)=RIGHT('112'!$M$9,2),B681&lt;'112'!$K$9,$O681='112'!$I$6)),"x",""))</f>
        <v/>
      </c>
      <c r="W681" s="79" t="str">
        <f>IF(AND('341-CT'!$H$9=H681,OR(LEFT(N681,3)=$W$7,LEFT(O681,3)=$W$7)),"x","")</f>
        <v/>
      </c>
      <c r="X681" s="79" t="str">
        <f>IF(OR(TH!N681=TH!$X$7,O681=TH!$X$7),"x","")</f>
        <v/>
      </c>
      <c r="Y681" s="79" t="str">
        <f>IF(AND(OR(N681="131",O681="131"),H681='131-CT'!$H$9),"x","")</f>
        <v/>
      </c>
      <c r="Z681" s="79"/>
      <c r="AA681" s="79" t="str">
        <f>IF(AND(MONTH(E681)='IN-NX'!$J$5,'IN-NX'!$D$7=D681),"x","")</f>
        <v/>
      </c>
      <c r="AB681" s="79" t="str">
        <f>IF(AND(OR(LEFT(TH!N681,2)="15",LEFT(TH!O681,2)="15"),LEFT(TH!O681,3)&lt;&gt;"111",'152-CT'!$J$8=TH!F681),"x","")</f>
        <v/>
      </c>
      <c r="AC681" s="79" t="str">
        <f>IF(AND(OR(LEFT(TH!N681,2)="15",LEFT(TH!O681,2)="15"),TK!$E$7=TH!F681),"x","")</f>
        <v/>
      </c>
      <c r="AD681" s="79" t="str">
        <f>IF(AND(N681="1521",MONTH(C681)='BK-NL'!$M$11),"x","")</f>
        <v/>
      </c>
    </row>
    <row r="682" spans="1:30" ht="16.5" customHeight="1">
      <c r="A682" s="318" t="str">
        <f>IF(B682&lt;&gt;"",IF(AND(B682='IN-TC'!$S$4,OR(TH!N682="1111",TH!O682="1111")),TH!D682,""),"")</f>
        <v/>
      </c>
      <c r="B682" s="60" t="str">
        <f t="shared" si="128"/>
        <v/>
      </c>
      <c r="C682" s="974"/>
      <c r="D682" s="974"/>
      <c r="E682" s="974"/>
      <c r="F682" s="975"/>
      <c r="G682" s="976"/>
      <c r="H682" s="759"/>
      <c r="I682" s="383"/>
      <c r="J682" s="977"/>
      <c r="K682" s="383"/>
      <c r="L682" s="390"/>
      <c r="M682" s="978"/>
      <c r="N682" s="979"/>
      <c r="O682" s="979"/>
      <c r="P682" s="79" t="str">
        <f>IF(AND('331-CT'!$E$7=TH!H682,OR(N682="331",O682="331")),"x","")</f>
        <v/>
      </c>
      <c r="Q682" s="79" t="str">
        <f>IF(AND(B682='111'!$L$11,OR($N682=$Q$7,$O682=$Q$7)),"x","")</f>
        <v/>
      </c>
      <c r="R682" s="79" t="str">
        <f>IF(AND($N682=$Q$7,$B682&lt;'111'!$L$11),"x","")</f>
        <v/>
      </c>
      <c r="S682" s="79" t="str">
        <f>IF(AND($O682=$Q$7,$B682&lt;'111'!$L$11),"x","")</f>
        <v/>
      </c>
      <c r="T682" s="79" t="str">
        <f>IF(ISERROR(FIND('112'!$M$9,G682,1)),"",IF((AND(FIND('112'!$M$9,G682,1)&gt;=1,B682='112'!$K$9,OR($N682='112'!$I$6,$O682='112'!$I$6))),"x",""))</f>
        <v/>
      </c>
      <c r="U682" s="79" t="str">
        <f>IF(ISERROR(FIND('112'!$M$9,G682,1)),"",IF((AND(LEFT(G682,2)=LEFT('112'!$M$9,2),B682&lt;'112'!$K$9,$N682='112'!$I$6)),"x",""))</f>
        <v/>
      </c>
      <c r="V682" s="79" t="str">
        <f>IF(ISERROR(FIND('112'!$M$9,G682,1)),"",IF((AND(RIGHT(G682,2)=RIGHT('112'!$M$9,2),B682&lt;'112'!$K$9,$O682='112'!$I$6)),"x",""))</f>
        <v/>
      </c>
      <c r="W682" s="79" t="str">
        <f>IF(AND('341-CT'!$H$9=H682,OR(LEFT(N682,3)=$W$7,LEFT(O682,3)=$W$7)),"x","")</f>
        <v/>
      </c>
      <c r="X682" s="79" t="str">
        <f>IF(OR(TH!N682=TH!$X$7,O682=TH!$X$7),"x","")</f>
        <v/>
      </c>
      <c r="Y682" s="79" t="str">
        <f>IF(AND(OR(N682="131",O682="131"),H682='131-CT'!$H$9),"x","")</f>
        <v/>
      </c>
      <c r="Z682" s="79"/>
      <c r="AA682" s="79" t="str">
        <f>IF(AND(MONTH(E682)='IN-NX'!$J$5,'IN-NX'!$D$7=D682),"x","")</f>
        <v/>
      </c>
      <c r="AB682" s="79" t="str">
        <f>IF(AND(OR(LEFT(TH!N682,2)="15",LEFT(TH!O682,2)="15"),LEFT(TH!O682,3)&lt;&gt;"111",'152-CT'!$J$8=TH!F682),"x","")</f>
        <v/>
      </c>
      <c r="AC682" s="79" t="str">
        <f>IF(AND(OR(LEFT(TH!N682,2)="15",LEFT(TH!O682,2)="15"),TK!$E$7=TH!F682),"x","")</f>
        <v/>
      </c>
      <c r="AD682" s="79" t="str">
        <f>IF(AND(N682="1521",MONTH(C682)='BK-NL'!$M$11),"x","")</f>
        <v/>
      </c>
    </row>
    <row r="683" spans="1:30" ht="16.5" customHeight="1">
      <c r="A683" s="318" t="str">
        <f>IF(B683&lt;&gt;"",IF(AND(B683='IN-TC'!$S$4,OR(TH!N683="1111",TH!O683="1111")),TH!D683,""),"")</f>
        <v/>
      </c>
      <c r="B683" s="60" t="str">
        <f t="shared" si="125"/>
        <v/>
      </c>
      <c r="C683" s="974"/>
      <c r="D683" s="974"/>
      <c r="E683" s="974"/>
      <c r="F683" s="975"/>
      <c r="G683" s="976"/>
      <c r="H683" s="77"/>
      <c r="I683" s="383"/>
      <c r="J683" s="977"/>
      <c r="K683" s="383"/>
      <c r="L683" s="390"/>
      <c r="M683" s="978"/>
      <c r="N683" s="979"/>
      <c r="O683" s="979"/>
      <c r="P683" s="79" t="str">
        <f>IF(AND('331-CT'!$E$7=TH!H683,OR(N683="331",O683="331")),"x","")</f>
        <v/>
      </c>
      <c r="Q683" s="79" t="str">
        <f>IF(AND(B683='111'!$L$11,OR($N683=$Q$7,$O683=$Q$7)),"x","")</f>
        <v/>
      </c>
      <c r="R683" s="79" t="str">
        <f>IF(AND($N683=$Q$7,$B683&lt;'111'!$L$11),"x","")</f>
        <v/>
      </c>
      <c r="S683" s="79" t="str">
        <f>IF(AND($O683=$Q$7,$B683&lt;'111'!$L$11),"x","")</f>
        <v/>
      </c>
      <c r="T683" s="79" t="str">
        <f>IF(ISERROR(FIND('112'!$M$9,G683,1)),"",IF((AND(FIND('112'!$M$9,G683,1)&gt;=1,B683='112'!$K$9,OR($N683='112'!$I$6,$O683='112'!$I$6))),"x",""))</f>
        <v/>
      </c>
      <c r="U683" s="79" t="str">
        <f>IF(ISERROR(FIND('112'!$M$9,G683,1)),"",IF((AND(LEFT(G683,2)=LEFT('112'!$M$9,2),B683&lt;'112'!$K$9,$N683='112'!$I$6)),"x",""))</f>
        <v/>
      </c>
      <c r="V683" s="79" t="str">
        <f>IF(ISERROR(FIND('112'!$M$9,G683,1)),"",IF((AND(RIGHT(G683,2)=RIGHT('112'!$M$9,2),B683&lt;'112'!$K$9,$O683='112'!$I$6)),"x",""))</f>
        <v/>
      </c>
      <c r="W683" s="79" t="str">
        <f>IF(AND('341-CT'!$H$9=H683,OR(LEFT(N683,3)=$W$7,LEFT(O683,3)=$W$7)),"x","")</f>
        <v/>
      </c>
      <c r="X683" s="79" t="str">
        <f>IF(OR(TH!N683=TH!$X$7,O683=TH!$X$7),"x","")</f>
        <v/>
      </c>
      <c r="Y683" s="79" t="str">
        <f>IF(AND(OR(N683="131",O683="131"),H683='131-CT'!$H$9),"x","")</f>
        <v/>
      </c>
      <c r="Z683" s="79"/>
      <c r="AA683" s="79" t="str">
        <f>IF(AND(MONTH(E683)='IN-NX'!$J$5,'IN-NX'!$D$7=D683),"x","")</f>
        <v/>
      </c>
      <c r="AB683" s="79" t="str">
        <f>IF(AND(OR(LEFT(TH!N683,2)="15",LEFT(TH!O683,2)="15"),LEFT(TH!O683,3)&lt;&gt;"111",'152-CT'!$J$8=TH!F683),"x","")</f>
        <v/>
      </c>
      <c r="AC683" s="79" t="str">
        <f>IF(AND(OR(LEFT(TH!N683,2)="15",LEFT(TH!O683,2)="15"),TK!$E$7=TH!F683),"x","")</f>
        <v/>
      </c>
      <c r="AD683" s="79" t="str">
        <f>IF(AND(N683="1521",MONTH(C683)='BK-NL'!$M$11),"x","")</f>
        <v/>
      </c>
    </row>
    <row r="684" spans="1:30" ht="16.5" customHeight="1">
      <c r="A684" s="318" t="str">
        <f>IF(B684&lt;&gt;"",IF(AND(B684='IN-TC'!$S$4,OR(TH!N684="1111",TH!O684="1111")),TH!D684,""),"")</f>
        <v/>
      </c>
      <c r="B684" s="60" t="str">
        <f t="shared" si="125"/>
        <v/>
      </c>
      <c r="C684" s="974"/>
      <c r="D684" s="974"/>
      <c r="E684" s="974"/>
      <c r="F684" s="975"/>
      <c r="G684" s="976"/>
      <c r="H684" s="77"/>
      <c r="I684" s="383"/>
      <c r="J684" s="977"/>
      <c r="K684" s="383"/>
      <c r="L684" s="390"/>
      <c r="M684" s="978"/>
      <c r="N684" s="979"/>
      <c r="O684" s="979"/>
      <c r="P684" s="79" t="str">
        <f>IF(AND('331-CT'!$E$7=TH!H684,OR(N684="331",O684="331")),"x","")</f>
        <v/>
      </c>
      <c r="Q684" s="79" t="str">
        <f>IF(AND(B684='111'!$L$11,OR($N684=$Q$7,$O684=$Q$7)),"x","")</f>
        <v/>
      </c>
      <c r="R684" s="79" t="str">
        <f>IF(AND($N684=$Q$7,$B684&lt;'111'!$L$11),"x","")</f>
        <v/>
      </c>
      <c r="S684" s="79" t="str">
        <f>IF(AND($O684=$Q$7,$B684&lt;'111'!$L$11),"x","")</f>
        <v/>
      </c>
      <c r="T684" s="79" t="str">
        <f>IF(ISERROR(FIND('112'!$M$9,G684,1)),"",IF((AND(FIND('112'!$M$9,G684,1)&gt;=1,B684='112'!$K$9,OR($N684='112'!$I$6,$O684='112'!$I$6))),"x",""))</f>
        <v/>
      </c>
      <c r="U684" s="79" t="str">
        <f>IF(ISERROR(FIND('112'!$M$9,G684,1)),"",IF((AND(LEFT(G684,2)=LEFT('112'!$M$9,2),B684&lt;'112'!$K$9,$N684='112'!$I$6)),"x",""))</f>
        <v/>
      </c>
      <c r="V684" s="79" t="str">
        <f>IF(ISERROR(FIND('112'!$M$9,G684,1)),"",IF((AND(RIGHT(G684,2)=RIGHT('112'!$M$9,2),B684&lt;'112'!$K$9,$O684='112'!$I$6)),"x",""))</f>
        <v/>
      </c>
      <c r="W684" s="79" t="str">
        <f>IF(AND('341-CT'!$H$9=H684,OR(LEFT(N684,3)=$W$7,LEFT(O684,3)=$W$7)),"x","")</f>
        <v/>
      </c>
      <c r="X684" s="79" t="str">
        <f>IF(OR(TH!N684=TH!$X$7,O684=TH!$X$7),"x","")</f>
        <v/>
      </c>
      <c r="Y684" s="79" t="str">
        <f>IF(AND(OR(N684="131",O684="131"),H684='131-CT'!$H$9),"x","")</f>
        <v/>
      </c>
      <c r="Z684" s="79"/>
      <c r="AA684" s="79" t="str">
        <f>IF(AND(MONTH(E684)='IN-NX'!$J$5,'IN-NX'!$D$7=D684),"x","")</f>
        <v/>
      </c>
      <c r="AB684" s="79" t="str">
        <f>IF(AND(OR(LEFT(TH!N684,2)="15",LEFT(TH!O684,2)="15"),LEFT(TH!O684,3)&lt;&gt;"111",'152-CT'!$J$8=TH!F684),"x","")</f>
        <v/>
      </c>
      <c r="AC684" s="79" t="str">
        <f>IF(AND(OR(LEFT(TH!N684,2)="15",LEFT(TH!O684,2)="15"),TK!$E$7=TH!F684),"x","")</f>
        <v/>
      </c>
      <c r="AD684" s="79" t="str">
        <f>IF(AND(N684="1521",MONTH(C684)='BK-NL'!$M$11),"x","")</f>
        <v/>
      </c>
    </row>
    <row r="685" spans="1:30" ht="16.5" customHeight="1">
      <c r="A685" s="318" t="str">
        <f>IF(B685&lt;&gt;"",IF(AND(B685='IN-TC'!$S$4,OR(TH!N685="1111",TH!O685="1111")),TH!D685,""),"")</f>
        <v/>
      </c>
      <c r="B685" s="60" t="str">
        <f t="shared" si="125"/>
        <v/>
      </c>
      <c r="C685" s="974"/>
      <c r="D685" s="974"/>
      <c r="E685" s="974"/>
      <c r="F685" s="975"/>
      <c r="G685" s="976"/>
      <c r="H685" s="77"/>
      <c r="I685" s="383"/>
      <c r="J685" s="977"/>
      <c r="K685" s="383"/>
      <c r="L685" s="390"/>
      <c r="M685" s="978"/>
      <c r="N685" s="979"/>
      <c r="O685" s="979"/>
      <c r="P685" s="79" t="str">
        <f>IF(AND('331-CT'!$E$7=TH!H685,OR(N685="331",O685="331")),"x","")</f>
        <v/>
      </c>
      <c r="Q685" s="79" t="str">
        <f>IF(AND(B685='111'!$L$11,OR($N685=$Q$7,$O685=$Q$7)),"x","")</f>
        <v/>
      </c>
      <c r="R685" s="79" t="str">
        <f>IF(AND($N685=$Q$7,$B685&lt;'111'!$L$11),"x","")</f>
        <v/>
      </c>
      <c r="S685" s="79" t="str">
        <f>IF(AND($O685=$Q$7,$B685&lt;'111'!$L$11),"x","")</f>
        <v/>
      </c>
      <c r="T685" s="79" t="str">
        <f>IF(ISERROR(FIND('112'!$M$9,G685,1)),"",IF((AND(FIND('112'!$M$9,G685,1)&gt;=1,B685='112'!$K$9,OR($N685='112'!$I$6,$O685='112'!$I$6))),"x",""))</f>
        <v/>
      </c>
      <c r="U685" s="79" t="str">
        <f>IF(ISERROR(FIND('112'!$M$9,G685,1)),"",IF((AND(LEFT(G685,2)=LEFT('112'!$M$9,2),B685&lt;'112'!$K$9,$N685='112'!$I$6)),"x",""))</f>
        <v/>
      </c>
      <c r="V685" s="79" t="str">
        <f>IF(ISERROR(FIND('112'!$M$9,G685,1)),"",IF((AND(RIGHT(G685,2)=RIGHT('112'!$M$9,2),B685&lt;'112'!$K$9,$O685='112'!$I$6)),"x",""))</f>
        <v/>
      </c>
      <c r="W685" s="79" t="str">
        <f>IF(AND('341-CT'!$H$9=H685,OR(LEFT(N685,3)=$W$7,LEFT(O685,3)=$W$7)),"x","")</f>
        <v/>
      </c>
      <c r="X685" s="79" t="str">
        <f>IF(OR(TH!N685=TH!$X$7,O685=TH!$X$7),"x","")</f>
        <v/>
      </c>
      <c r="Y685" s="79" t="str">
        <f>IF(AND(OR(N685="131",O685="131"),H685='131-CT'!$H$9),"x","")</f>
        <v/>
      </c>
      <c r="Z685" s="79"/>
      <c r="AA685" s="79" t="str">
        <f>IF(AND(MONTH(E685)='IN-NX'!$J$5,'IN-NX'!$D$7=D685),"x","")</f>
        <v/>
      </c>
      <c r="AB685" s="79" t="str">
        <f>IF(AND(OR(LEFT(TH!N685,2)="15",LEFT(TH!O685,2)="15"),LEFT(TH!O685,3)&lt;&gt;"111",'152-CT'!$J$8=TH!F685),"x","")</f>
        <v/>
      </c>
      <c r="AC685" s="79" t="str">
        <f>IF(AND(OR(LEFT(TH!N685,2)="15",LEFT(TH!O685,2)="15"),TK!$E$7=TH!F685),"x","")</f>
        <v/>
      </c>
      <c r="AD685" s="79" t="str">
        <f>IF(AND(N685="1521",MONTH(C685)='BK-NL'!$M$11),"x","")</f>
        <v/>
      </c>
    </row>
    <row r="686" spans="1:30" ht="16.5" customHeight="1">
      <c r="A686" s="318" t="str">
        <f>IF(B686&lt;&gt;"",IF(AND(B686='IN-TC'!$S$4,OR(TH!N686="1111",TH!O686="1111")),TH!D686,""),"")</f>
        <v/>
      </c>
      <c r="B686" s="60" t="str">
        <f t="shared" si="125"/>
        <v/>
      </c>
      <c r="C686" s="974"/>
      <c r="D686" s="974"/>
      <c r="E686" s="974"/>
      <c r="F686" s="975"/>
      <c r="G686" s="976"/>
      <c r="H686" s="305"/>
      <c r="I686" s="383"/>
      <c r="J686" s="977"/>
      <c r="K686" s="383"/>
      <c r="L686" s="390"/>
      <c r="M686" s="978"/>
      <c r="N686" s="979"/>
      <c r="O686" s="979"/>
      <c r="P686" s="79" t="str">
        <f>IF(AND('331-CT'!$E$7=TH!H686,OR(N686="331",O686="331")),"x","")</f>
        <v/>
      </c>
      <c r="Q686" s="79" t="str">
        <f>IF(AND(B686='111'!$L$11,OR($N686=$Q$7,$O686=$Q$7)),"x","")</f>
        <v/>
      </c>
      <c r="R686" s="79" t="str">
        <f>IF(AND($N686=$Q$7,$B686&lt;'111'!$L$11),"x","")</f>
        <v/>
      </c>
      <c r="S686" s="79" t="str">
        <f>IF(AND($O686=$Q$7,$B686&lt;'111'!$L$11),"x","")</f>
        <v/>
      </c>
      <c r="T686" s="79" t="str">
        <f>IF(ISERROR(FIND('112'!$M$9,G686,1)),"",IF((AND(FIND('112'!$M$9,G686,1)&gt;=1,B686='112'!$K$9,OR($N686='112'!$I$6,$O686='112'!$I$6))),"x",""))</f>
        <v/>
      </c>
      <c r="U686" s="79" t="str">
        <f>IF(ISERROR(FIND('112'!$M$9,G686,1)),"",IF((AND(LEFT(G686,2)=LEFT('112'!$M$9,2),B686&lt;'112'!$K$9,$N686='112'!$I$6)),"x",""))</f>
        <v/>
      </c>
      <c r="V686" s="79" t="str">
        <f>IF(ISERROR(FIND('112'!$M$9,G686,1)),"",IF((AND(RIGHT(G686,2)=RIGHT('112'!$M$9,2),B686&lt;'112'!$K$9,$O686='112'!$I$6)),"x",""))</f>
        <v/>
      </c>
      <c r="W686" s="79" t="str">
        <f>IF(AND('341-CT'!$H$9=H686,OR(LEFT(N686,3)=$W$7,LEFT(O686,3)=$W$7)),"x","")</f>
        <v/>
      </c>
      <c r="X686" s="79" t="str">
        <f>IF(OR(TH!N686=TH!$X$7,O686=TH!$X$7),"x","")</f>
        <v/>
      </c>
      <c r="Y686" s="79" t="str">
        <f>IF(AND(OR(N686="131",O686="131"),H686='131-CT'!$H$9),"x","")</f>
        <v/>
      </c>
      <c r="Z686" s="79"/>
      <c r="AA686" s="79" t="str">
        <f>IF(AND(MONTH(E686)='IN-NX'!$J$5,'IN-NX'!$D$7=D686),"x","")</f>
        <v/>
      </c>
      <c r="AB686" s="79" t="str">
        <f>IF(AND(OR(LEFT(TH!N686,2)="15",LEFT(TH!O686,2)="15"),LEFT(TH!O686,3)&lt;&gt;"111",'152-CT'!$J$8=TH!F686),"x","")</f>
        <v/>
      </c>
      <c r="AC686" s="79" t="str">
        <f>IF(AND(OR(LEFT(TH!N686,2)="15",LEFT(TH!O686,2)="15"),TK!$E$7=TH!F686),"x","")</f>
        <v/>
      </c>
      <c r="AD686" s="79" t="str">
        <f>IF(AND(N686="1521",MONTH(C686)='BK-NL'!$M$11),"x","")</f>
        <v/>
      </c>
    </row>
    <row r="687" spans="1:30" ht="16.5" customHeight="1">
      <c r="A687" s="318" t="str">
        <f>IF(B687&lt;&gt;"",IF(AND(B687='IN-TC'!$S$4,OR(TH!N687="1111",TH!O687="1111")),TH!D687,""),"")</f>
        <v/>
      </c>
      <c r="B687" s="60" t="str">
        <f t="shared" si="125"/>
        <v/>
      </c>
      <c r="C687" s="974"/>
      <c r="D687" s="974"/>
      <c r="E687" s="974"/>
      <c r="F687" s="975"/>
      <c r="G687" s="976"/>
      <c r="H687" s="305"/>
      <c r="I687" s="383"/>
      <c r="J687" s="977"/>
      <c r="K687" s="383"/>
      <c r="L687" s="390"/>
      <c r="M687" s="978"/>
      <c r="N687" s="979"/>
      <c r="O687" s="979"/>
      <c r="P687" s="79" t="str">
        <f>IF(AND('331-CT'!$E$7=TH!H687,OR(N687="331",O687="331")),"x","")</f>
        <v/>
      </c>
      <c r="Q687" s="79" t="str">
        <f>IF(AND(B687='111'!$L$11,OR($N687=$Q$7,$O687=$Q$7)),"x","")</f>
        <v/>
      </c>
      <c r="R687" s="79" t="str">
        <f>IF(AND($N687=$Q$7,$B687&lt;'111'!$L$11),"x","")</f>
        <v/>
      </c>
      <c r="S687" s="79" t="str">
        <f>IF(AND($O687=$Q$7,$B687&lt;'111'!$L$11),"x","")</f>
        <v/>
      </c>
      <c r="T687" s="79" t="str">
        <f>IF(ISERROR(FIND('112'!$M$9,G687,1)),"",IF((AND(FIND('112'!$M$9,G687,1)&gt;=1,B687='112'!$K$9,OR($N687='112'!$I$6,$O687='112'!$I$6))),"x",""))</f>
        <v/>
      </c>
      <c r="U687" s="79" t="str">
        <f>IF(ISERROR(FIND('112'!$M$9,G687,1)),"",IF((AND(LEFT(G687,2)=LEFT('112'!$M$9,2),B687&lt;'112'!$K$9,$N687='112'!$I$6)),"x",""))</f>
        <v/>
      </c>
      <c r="V687" s="79" t="str">
        <f>IF(ISERROR(FIND('112'!$M$9,G687,1)),"",IF((AND(RIGHT(G687,2)=RIGHT('112'!$M$9,2),B687&lt;'112'!$K$9,$O687='112'!$I$6)),"x",""))</f>
        <v/>
      </c>
      <c r="W687" s="79" t="str">
        <f>IF(AND('341-CT'!$H$9=H687,OR(LEFT(N687,3)=$W$7,LEFT(O687,3)=$W$7)),"x","")</f>
        <v/>
      </c>
      <c r="X687" s="79" t="str">
        <f>IF(OR(TH!N687=TH!$X$7,O687=TH!$X$7),"x","")</f>
        <v/>
      </c>
      <c r="Y687" s="79" t="str">
        <f>IF(AND(OR(N687="131",O687="131"),H687='131-CT'!$H$9),"x","")</f>
        <v/>
      </c>
      <c r="Z687" s="79"/>
      <c r="AA687" s="79" t="str">
        <f>IF(AND(MONTH(E687)='IN-NX'!$J$5,'IN-NX'!$D$7=D687),"x","")</f>
        <v/>
      </c>
      <c r="AB687" s="79" t="str">
        <f>IF(AND(OR(LEFT(TH!N687,2)="15",LEFT(TH!O687,2)="15"),LEFT(TH!O687,3)&lt;&gt;"111",'152-CT'!$J$8=TH!F687),"x","")</f>
        <v/>
      </c>
      <c r="AC687" s="79" t="str">
        <f>IF(AND(OR(LEFT(TH!N687,2)="15",LEFT(TH!O687,2)="15"),TK!$E$7=TH!F687),"x","")</f>
        <v/>
      </c>
      <c r="AD687" s="79" t="str">
        <f>IF(AND(N687="1521",MONTH(C687)='BK-NL'!$M$11),"x","")</f>
        <v/>
      </c>
    </row>
    <row r="688" spans="1:30" ht="16.5" customHeight="1">
      <c r="A688" s="318" t="str">
        <f>IF(B688&lt;&gt;"",IF(AND(B688='IN-TC'!$S$4,OR(TH!N688="1111",TH!O688="1111")),TH!D688,""),"")</f>
        <v/>
      </c>
      <c r="B688" s="60" t="str">
        <f t="shared" si="125"/>
        <v/>
      </c>
      <c r="C688" s="974"/>
      <c r="D688" s="974"/>
      <c r="E688" s="974"/>
      <c r="F688" s="975"/>
      <c r="G688" s="976"/>
      <c r="H688" s="305"/>
      <c r="I688" s="383"/>
      <c r="J688" s="977"/>
      <c r="K688" s="383"/>
      <c r="L688" s="390"/>
      <c r="M688" s="978"/>
      <c r="N688" s="979"/>
      <c r="O688" s="979"/>
      <c r="P688" s="79" t="str">
        <f>IF(AND('331-CT'!$E$7=TH!H688,OR(N688="331",O688="331")),"x","")</f>
        <v/>
      </c>
      <c r="Q688" s="79" t="str">
        <f>IF(AND(B688='111'!$L$11,OR($N688=$Q$7,$O688=$Q$7)),"x","")</f>
        <v/>
      </c>
      <c r="R688" s="79" t="str">
        <f>IF(AND($N688=$Q$7,$B688&lt;'111'!$L$11),"x","")</f>
        <v/>
      </c>
      <c r="S688" s="79" t="str">
        <f>IF(AND($O688=$Q$7,$B688&lt;'111'!$L$11),"x","")</f>
        <v/>
      </c>
      <c r="T688" s="79" t="str">
        <f>IF(ISERROR(FIND('112'!$M$9,G688,1)),"",IF((AND(FIND('112'!$M$9,G688,1)&gt;=1,B688='112'!$K$9,OR($N688='112'!$I$6,$O688='112'!$I$6))),"x",""))</f>
        <v/>
      </c>
      <c r="U688" s="79" t="str">
        <f>IF(ISERROR(FIND('112'!$M$9,G688,1)),"",IF((AND(LEFT(G688,2)=LEFT('112'!$M$9,2),B688&lt;'112'!$K$9,$N688='112'!$I$6)),"x",""))</f>
        <v/>
      </c>
      <c r="V688" s="79" t="str">
        <f>IF(ISERROR(FIND('112'!$M$9,G688,1)),"",IF((AND(RIGHT(G688,2)=RIGHT('112'!$M$9,2),B688&lt;'112'!$K$9,$O688='112'!$I$6)),"x",""))</f>
        <v/>
      </c>
      <c r="W688" s="79" t="str">
        <f>IF(AND('341-CT'!$H$9=H688,OR(LEFT(N688,3)=$W$7,LEFT(O688,3)=$W$7)),"x","")</f>
        <v/>
      </c>
      <c r="X688" s="79" t="str">
        <f>IF(OR(TH!N688=TH!$X$7,O688=TH!$X$7),"x","")</f>
        <v/>
      </c>
      <c r="Y688" s="79" t="str">
        <f>IF(AND(OR(N688="131",O688="131"),H688='131-CT'!$H$9),"x","")</f>
        <v/>
      </c>
      <c r="Z688" s="79"/>
      <c r="AA688" s="79" t="str">
        <f>IF(AND(MONTH(E688)='IN-NX'!$J$5,'IN-NX'!$D$7=D688),"x","")</f>
        <v/>
      </c>
      <c r="AB688" s="79" t="str">
        <f>IF(AND(OR(LEFT(TH!N688,2)="15",LEFT(TH!O688,2)="15"),LEFT(TH!O688,3)&lt;&gt;"111",'152-CT'!$J$8=TH!F688),"x","")</f>
        <v/>
      </c>
      <c r="AC688" s="79" t="str">
        <f>IF(AND(OR(LEFT(TH!N688,2)="15",LEFT(TH!O688,2)="15"),TK!$E$7=TH!F688),"x","")</f>
        <v/>
      </c>
      <c r="AD688" s="79" t="str">
        <f>IF(AND(N688="1521",MONTH(C688)='BK-NL'!$M$11),"x","")</f>
        <v/>
      </c>
    </row>
    <row r="689" spans="1:30" ht="16.5" customHeight="1">
      <c r="A689" s="318" t="str">
        <f>IF(B689&lt;&gt;"",IF(AND(B689='IN-TC'!$S$4,OR(TH!N689="1111",TH!O689="1111")),TH!D689,""),"")</f>
        <v/>
      </c>
      <c r="B689" s="60" t="str">
        <f t="shared" si="125"/>
        <v/>
      </c>
      <c r="C689" s="974"/>
      <c r="D689" s="974"/>
      <c r="E689" s="974"/>
      <c r="F689" s="975"/>
      <c r="G689" s="976"/>
      <c r="H689" s="305"/>
      <c r="I689" s="383"/>
      <c r="J689" s="977"/>
      <c r="K689" s="383"/>
      <c r="L689" s="390"/>
      <c r="M689" s="978"/>
      <c r="N689" s="979"/>
      <c r="O689" s="979"/>
      <c r="P689" s="79" t="str">
        <f>IF(AND('331-CT'!$E$7=TH!H689,OR(N689="331",O689="331")),"x","")</f>
        <v/>
      </c>
      <c r="Q689" s="79" t="str">
        <f>IF(AND(B689='111'!$L$11,OR($N689=$Q$7,$O689=$Q$7)),"x","")</f>
        <v/>
      </c>
      <c r="R689" s="79" t="str">
        <f>IF(AND($N689=$Q$7,$B689&lt;'111'!$L$11),"x","")</f>
        <v/>
      </c>
      <c r="S689" s="79" t="str">
        <f>IF(AND($O689=$Q$7,$B689&lt;'111'!$L$11),"x","")</f>
        <v/>
      </c>
      <c r="T689" s="79" t="str">
        <f>IF(ISERROR(FIND('112'!$M$9,G689,1)),"",IF((AND(FIND('112'!$M$9,G689,1)&gt;=1,B689='112'!$K$9,OR($N689='112'!$I$6,$O689='112'!$I$6))),"x",""))</f>
        <v/>
      </c>
      <c r="U689" s="79" t="str">
        <f>IF(ISERROR(FIND('112'!$M$9,G689,1)),"",IF((AND(LEFT(G689,2)=LEFT('112'!$M$9,2),B689&lt;'112'!$K$9,$N689='112'!$I$6)),"x",""))</f>
        <v/>
      </c>
      <c r="V689" s="79" t="str">
        <f>IF(ISERROR(FIND('112'!$M$9,G689,1)),"",IF((AND(RIGHT(G689,2)=RIGHT('112'!$M$9,2),B689&lt;'112'!$K$9,$O689='112'!$I$6)),"x",""))</f>
        <v/>
      </c>
      <c r="W689" s="79" t="str">
        <f>IF(AND('341-CT'!$H$9=H689,OR(LEFT(N689,3)=$W$7,LEFT(O689,3)=$W$7)),"x","")</f>
        <v/>
      </c>
      <c r="X689" s="79" t="str">
        <f>IF(OR(TH!N689=TH!$X$7,O689=TH!$X$7),"x","")</f>
        <v/>
      </c>
      <c r="Y689" s="79" t="str">
        <f>IF(AND(OR(N689="131",O689="131"),H689='131-CT'!$H$9),"x","")</f>
        <v/>
      </c>
      <c r="Z689" s="79"/>
      <c r="AA689" s="79" t="str">
        <f>IF(AND(MONTH(E689)='IN-NX'!$J$5,'IN-NX'!$D$7=D689),"x","")</f>
        <v/>
      </c>
      <c r="AB689" s="79" t="str">
        <f>IF(AND(OR(LEFT(TH!N689,2)="15",LEFT(TH!O689,2)="15"),LEFT(TH!O689,3)&lt;&gt;"111",'152-CT'!$J$8=TH!F689),"x","")</f>
        <v/>
      </c>
      <c r="AC689" s="79" t="str">
        <f>IF(AND(OR(LEFT(TH!N689,2)="15",LEFT(TH!O689,2)="15"),TK!$E$7=TH!F689),"x","")</f>
        <v/>
      </c>
      <c r="AD689" s="79" t="str">
        <f>IF(AND(N689="1521",MONTH(C689)='BK-NL'!$M$11),"x","")</f>
        <v/>
      </c>
    </row>
    <row r="690" spans="1:30" ht="16.5" customHeight="1">
      <c r="A690" s="318" t="str">
        <f>IF(B690&lt;&gt;"",IF(AND(B690='IN-TC'!$S$4,OR(TH!N690="1111",TH!O690="1111")),TH!D690,""),"")</f>
        <v/>
      </c>
      <c r="B690" s="60" t="str">
        <f t="shared" si="125"/>
        <v/>
      </c>
      <c r="C690" s="974"/>
      <c r="D690" s="974"/>
      <c r="E690" s="974"/>
      <c r="F690" s="975"/>
      <c r="G690" s="976"/>
      <c r="H690" s="305"/>
      <c r="I690" s="383"/>
      <c r="J690" s="977"/>
      <c r="K690" s="383"/>
      <c r="L690" s="390"/>
      <c r="M690" s="978"/>
      <c r="N690" s="979"/>
      <c r="O690" s="979"/>
      <c r="P690" s="79" t="str">
        <f>IF(AND('331-CT'!$E$7=TH!H690,OR(N690="331",O690="331")),"x","")</f>
        <v/>
      </c>
      <c r="Q690" s="79" t="str">
        <f>IF(AND(B690='111'!$L$11,OR($N690=$Q$7,$O690=$Q$7)),"x","")</f>
        <v/>
      </c>
      <c r="R690" s="79" t="str">
        <f>IF(AND($N690=$Q$7,$B690&lt;'111'!$L$11),"x","")</f>
        <v/>
      </c>
      <c r="S690" s="79" t="str">
        <f>IF(AND($O690=$Q$7,$B690&lt;'111'!$L$11),"x","")</f>
        <v/>
      </c>
      <c r="T690" s="79" t="str">
        <f>IF(ISERROR(FIND('112'!$M$9,G690,1)),"",IF((AND(FIND('112'!$M$9,G690,1)&gt;=1,B690='112'!$K$9,OR($N690='112'!$I$6,$O690='112'!$I$6))),"x",""))</f>
        <v/>
      </c>
      <c r="U690" s="79" t="str">
        <f>IF(ISERROR(FIND('112'!$M$9,G690,1)),"",IF((AND(LEFT(G690,2)=LEFT('112'!$M$9,2),B690&lt;'112'!$K$9,$N690='112'!$I$6)),"x",""))</f>
        <v/>
      </c>
      <c r="V690" s="79" t="str">
        <f>IF(ISERROR(FIND('112'!$M$9,G690,1)),"",IF((AND(RIGHT(G690,2)=RIGHT('112'!$M$9,2),B690&lt;'112'!$K$9,$O690='112'!$I$6)),"x",""))</f>
        <v/>
      </c>
      <c r="W690" s="79" t="str">
        <f>IF(AND('341-CT'!$H$9=H690,OR(LEFT(N690,3)=$W$7,LEFT(O690,3)=$W$7)),"x","")</f>
        <v/>
      </c>
      <c r="X690" s="79" t="str">
        <f>IF(OR(TH!N690=TH!$X$7,O690=TH!$X$7),"x","")</f>
        <v/>
      </c>
      <c r="Y690" s="79" t="str">
        <f>IF(AND(OR(N690="131",O690="131"),H690='131-CT'!$H$9),"x","")</f>
        <v/>
      </c>
      <c r="Z690" s="79"/>
      <c r="AA690" s="79" t="str">
        <f>IF(AND(MONTH(E690)='IN-NX'!$J$5,'IN-NX'!$D$7=D690),"x","")</f>
        <v/>
      </c>
      <c r="AB690" s="79" t="str">
        <f>IF(AND(OR(LEFT(TH!N690,2)="15",LEFT(TH!O690,2)="15"),LEFT(TH!O690,3)&lt;&gt;"111",'152-CT'!$J$8=TH!F690),"x","")</f>
        <v/>
      </c>
      <c r="AC690" s="79" t="str">
        <f>IF(AND(OR(LEFT(TH!N690,2)="15",LEFT(TH!O690,2)="15"),TK!$E$7=TH!F690),"x","")</f>
        <v/>
      </c>
      <c r="AD690" s="79" t="str">
        <f>IF(AND(N690="1521",MONTH(C690)='BK-NL'!$M$11),"x","")</f>
        <v/>
      </c>
    </row>
    <row r="691" spans="1:30" ht="16.5" customHeight="1">
      <c r="A691" s="318" t="str">
        <f>IF(B691&lt;&gt;"",IF(AND(B691='IN-TC'!$S$4,OR(TH!N691="1111",TH!O691="1111")),TH!D691,""),"")</f>
        <v/>
      </c>
      <c r="B691" s="60" t="str">
        <f t="shared" si="125"/>
        <v/>
      </c>
      <c r="C691" s="974"/>
      <c r="D691" s="974"/>
      <c r="E691" s="974"/>
      <c r="F691" s="975"/>
      <c r="G691" s="976"/>
      <c r="H691" s="305"/>
      <c r="I691" s="383"/>
      <c r="J691" s="977"/>
      <c r="K691" s="383"/>
      <c r="L691" s="390"/>
      <c r="M691" s="978"/>
      <c r="N691" s="979"/>
      <c r="O691" s="979"/>
      <c r="P691" s="79" t="str">
        <f>IF(AND('331-CT'!$E$7=TH!H691,OR(N691="331",O691="331")),"x","")</f>
        <v/>
      </c>
      <c r="Q691" s="79" t="str">
        <f>IF(AND(B691='111'!$L$11,OR($N691=$Q$7,$O691=$Q$7)),"x","")</f>
        <v/>
      </c>
      <c r="R691" s="79" t="str">
        <f>IF(AND($N691=$Q$7,$B691&lt;'111'!$L$11),"x","")</f>
        <v/>
      </c>
      <c r="S691" s="79" t="str">
        <f>IF(AND($O691=$Q$7,$B691&lt;'111'!$L$11),"x","")</f>
        <v/>
      </c>
      <c r="T691" s="79" t="str">
        <f>IF(ISERROR(FIND('112'!$M$9,G691,1)),"",IF((AND(FIND('112'!$M$9,G691,1)&gt;=1,B691='112'!$K$9,OR($N691='112'!$I$6,$O691='112'!$I$6))),"x",""))</f>
        <v/>
      </c>
      <c r="U691" s="79" t="str">
        <f>IF(ISERROR(FIND('112'!$M$9,G691,1)),"",IF((AND(LEFT(G691,2)=LEFT('112'!$M$9,2),B691&lt;'112'!$K$9,$N691='112'!$I$6)),"x",""))</f>
        <v/>
      </c>
      <c r="V691" s="79" t="str">
        <f>IF(ISERROR(FIND('112'!$M$9,G691,1)),"",IF((AND(RIGHT(G691,2)=RIGHT('112'!$M$9,2),B691&lt;'112'!$K$9,$O691='112'!$I$6)),"x",""))</f>
        <v/>
      </c>
      <c r="W691" s="79" t="str">
        <f>IF(AND('341-CT'!$H$9=H691,OR(LEFT(N691,3)=$W$7,LEFT(O691,3)=$W$7)),"x","")</f>
        <v/>
      </c>
      <c r="X691" s="79" t="str">
        <f>IF(OR(TH!N691=TH!$X$7,O691=TH!$X$7),"x","")</f>
        <v/>
      </c>
      <c r="Y691" s="79" t="str">
        <f>IF(AND(OR(N691="131",O691="131"),H691='131-CT'!$H$9),"x","")</f>
        <v/>
      </c>
      <c r="Z691" s="79"/>
      <c r="AA691" s="79" t="str">
        <f>IF(AND(MONTH(E691)='IN-NX'!$J$5,'IN-NX'!$D$7=D691),"x","")</f>
        <v/>
      </c>
      <c r="AB691" s="79" t="str">
        <f>IF(AND(OR(LEFT(TH!N691,2)="15",LEFT(TH!O691,2)="15"),LEFT(TH!O691,3)&lt;&gt;"111",'152-CT'!$J$8=TH!F691),"x","")</f>
        <v/>
      </c>
      <c r="AC691" s="79" t="str">
        <f>IF(AND(OR(LEFT(TH!N691,2)="15",LEFT(TH!O691,2)="15"),TK!$E$7=TH!F691),"x","")</f>
        <v/>
      </c>
      <c r="AD691" s="79" t="str">
        <f>IF(AND(N691="1521",MONTH(C691)='BK-NL'!$M$11),"x","")</f>
        <v/>
      </c>
    </row>
    <row r="692" spans="1:30" ht="16.5" customHeight="1">
      <c r="A692" s="318" t="str">
        <f>IF(B692&lt;&gt;"",IF(AND(B692='IN-TC'!$S$4,OR(TH!N692="1111",TH!O692="1111")),TH!D692,""),"")</f>
        <v/>
      </c>
      <c r="B692" s="60" t="str">
        <f t="shared" ref="B692:B723" si="129">IF(C692&lt;&gt;"",MONTH(C692),"")</f>
        <v/>
      </c>
      <c r="C692" s="974"/>
      <c r="D692" s="974"/>
      <c r="E692" s="974"/>
      <c r="F692" s="975"/>
      <c r="G692" s="976"/>
      <c r="H692" s="305"/>
      <c r="I692" s="383"/>
      <c r="J692" s="977"/>
      <c r="K692" s="383"/>
      <c r="L692" s="390"/>
      <c r="M692" s="978"/>
      <c r="N692" s="979"/>
      <c r="O692" s="979"/>
      <c r="P692" s="79" t="str">
        <f>IF(AND('331-CT'!$E$7=TH!H692,OR(N692="331",O692="331")),"x","")</f>
        <v/>
      </c>
      <c r="Q692" s="79" t="str">
        <f>IF(AND(B692='111'!$L$11,OR($N692=$Q$7,$O692=$Q$7)),"x","")</f>
        <v/>
      </c>
      <c r="R692" s="79" t="str">
        <f>IF(AND($N692=$Q$7,$B692&lt;'111'!$L$11),"x","")</f>
        <v/>
      </c>
      <c r="S692" s="79" t="str">
        <f>IF(AND($O692=$Q$7,$B692&lt;'111'!$L$11),"x","")</f>
        <v/>
      </c>
      <c r="T692" s="79" t="str">
        <f>IF(ISERROR(FIND('112'!$M$9,G692,1)),"",IF((AND(FIND('112'!$M$9,G692,1)&gt;=1,B692='112'!$K$9,OR($N692='112'!$I$6,$O692='112'!$I$6))),"x",""))</f>
        <v/>
      </c>
      <c r="U692" s="79" t="str">
        <f>IF(ISERROR(FIND('112'!$M$9,G692,1)),"",IF((AND(LEFT(G692,2)=LEFT('112'!$M$9,2),B692&lt;'112'!$K$9,$N692='112'!$I$6)),"x",""))</f>
        <v/>
      </c>
      <c r="V692" s="79" t="str">
        <f>IF(ISERROR(FIND('112'!$M$9,G692,1)),"",IF((AND(RIGHT(G692,2)=RIGHT('112'!$M$9,2),B692&lt;'112'!$K$9,$O692='112'!$I$6)),"x",""))</f>
        <v/>
      </c>
      <c r="W692" s="79" t="str">
        <f>IF(AND('341-CT'!$H$9=H692,OR(LEFT(N692,3)=$W$7,LEFT(O692,3)=$W$7)),"x","")</f>
        <v/>
      </c>
      <c r="X692" s="79" t="str">
        <f>IF(OR(TH!N692=TH!$X$7,O692=TH!$X$7),"x","")</f>
        <v/>
      </c>
      <c r="Y692" s="79" t="str">
        <f>IF(AND(OR(N692="131",O692="131"),H692='131-CT'!$H$9),"x","")</f>
        <v/>
      </c>
      <c r="Z692" s="79"/>
      <c r="AA692" s="79" t="str">
        <f>IF(AND(MONTH(E692)='IN-NX'!$J$5,'IN-NX'!$D$7=D692),"x","")</f>
        <v/>
      </c>
      <c r="AB692" s="79" t="str">
        <f>IF(AND(OR(LEFT(TH!N692,2)="15",LEFT(TH!O692,2)="15"),LEFT(TH!O692,3)&lt;&gt;"111",'152-CT'!$J$8=TH!F692),"x","")</f>
        <v/>
      </c>
      <c r="AC692" s="79" t="str">
        <f>IF(AND(OR(LEFT(TH!N692,2)="15",LEFT(TH!O692,2)="15"),TK!$E$7=TH!F692),"x","")</f>
        <v/>
      </c>
      <c r="AD692" s="79" t="str">
        <f>IF(AND(N692="1521",MONTH(C692)='BK-NL'!$M$11),"x","")</f>
        <v/>
      </c>
    </row>
    <row r="693" spans="1:30" ht="16.5" customHeight="1">
      <c r="A693" s="318" t="str">
        <f>IF(B693&lt;&gt;"",IF(AND(B693='IN-TC'!$S$4,OR(TH!N693="1111",TH!O693="1111")),TH!D693,""),"")</f>
        <v/>
      </c>
      <c r="B693" s="60" t="str">
        <f t="shared" si="129"/>
        <v/>
      </c>
      <c r="C693" s="974"/>
      <c r="D693" s="974"/>
      <c r="E693" s="974"/>
      <c r="F693" s="975"/>
      <c r="G693" s="976"/>
      <c r="H693" s="305"/>
      <c r="I693" s="383"/>
      <c r="J693" s="977"/>
      <c r="K693" s="383"/>
      <c r="L693" s="390"/>
      <c r="M693" s="978"/>
      <c r="N693" s="979"/>
      <c r="O693" s="979"/>
      <c r="P693" s="79" t="str">
        <f>IF(AND('331-CT'!$E$7=TH!H693,OR(N693="331",O693="331")),"x","")</f>
        <v/>
      </c>
      <c r="Q693" s="79" t="str">
        <f>IF(AND(B693='111'!$L$11,OR($N693=$Q$7,$O693=$Q$7)),"x","")</f>
        <v/>
      </c>
      <c r="R693" s="79" t="str">
        <f>IF(AND($N693=$Q$7,$B693&lt;'111'!$L$11),"x","")</f>
        <v/>
      </c>
      <c r="S693" s="79" t="str">
        <f>IF(AND($O693=$Q$7,$B693&lt;'111'!$L$11),"x","")</f>
        <v/>
      </c>
      <c r="T693" s="79" t="str">
        <f>IF(ISERROR(FIND('112'!$M$9,G693,1)),"",IF((AND(FIND('112'!$M$9,G693,1)&gt;=1,B693='112'!$K$9,OR($N693='112'!$I$6,$O693='112'!$I$6))),"x",""))</f>
        <v/>
      </c>
      <c r="U693" s="79" t="str">
        <f>IF(ISERROR(FIND('112'!$M$9,G693,1)),"",IF((AND(LEFT(G693,2)=LEFT('112'!$M$9,2),B693&lt;'112'!$K$9,$N693='112'!$I$6)),"x",""))</f>
        <v/>
      </c>
      <c r="V693" s="79" t="str">
        <f>IF(ISERROR(FIND('112'!$M$9,G693,1)),"",IF((AND(RIGHT(G693,2)=RIGHT('112'!$M$9,2),B693&lt;'112'!$K$9,$O693='112'!$I$6)),"x",""))</f>
        <v/>
      </c>
      <c r="W693" s="79" t="str">
        <f>IF(AND('341-CT'!$H$9=H693,OR(LEFT(N693,3)=$W$7,LEFT(O693,3)=$W$7)),"x","")</f>
        <v/>
      </c>
      <c r="X693" s="79" t="str">
        <f>IF(OR(TH!N693=TH!$X$7,O693=TH!$X$7),"x","")</f>
        <v/>
      </c>
      <c r="Y693" s="79" t="str">
        <f>IF(AND(OR(N693="131",O693="131"),H693='131-CT'!$H$9),"x","")</f>
        <v/>
      </c>
      <c r="Z693" s="79"/>
      <c r="AA693" s="79" t="str">
        <f>IF(AND(MONTH(E693)='IN-NX'!$J$5,'IN-NX'!$D$7=D693),"x","")</f>
        <v/>
      </c>
      <c r="AB693" s="79" t="str">
        <f>IF(AND(OR(LEFT(TH!N693,2)="15",LEFT(TH!O693,2)="15"),LEFT(TH!O693,3)&lt;&gt;"111",'152-CT'!$J$8=TH!F693),"x","")</f>
        <v/>
      </c>
      <c r="AC693" s="79" t="str">
        <f>IF(AND(OR(LEFT(TH!N693,2)="15",LEFT(TH!O693,2)="15"),TK!$E$7=TH!F693),"x","")</f>
        <v/>
      </c>
      <c r="AD693" s="79" t="str">
        <f>IF(AND(N693="1521",MONTH(C693)='BK-NL'!$M$11),"x","")</f>
        <v/>
      </c>
    </row>
    <row r="694" spans="1:30" ht="16.5" customHeight="1">
      <c r="A694" s="318" t="str">
        <f>IF(B694&lt;&gt;"",IF(AND(B694='IN-TC'!$S$4,OR(TH!N694="1111",TH!O694="1111")),TH!D694,""),"")</f>
        <v/>
      </c>
      <c r="B694" s="60" t="str">
        <f t="shared" si="129"/>
        <v/>
      </c>
      <c r="C694" s="974"/>
      <c r="D694" s="974"/>
      <c r="E694" s="974"/>
      <c r="F694" s="975"/>
      <c r="G694" s="976"/>
      <c r="H694" s="305"/>
      <c r="I694" s="383"/>
      <c r="J694" s="977"/>
      <c r="K694" s="383"/>
      <c r="L694" s="390"/>
      <c r="M694" s="978"/>
      <c r="N694" s="979"/>
      <c r="O694" s="979"/>
      <c r="P694" s="79" t="str">
        <f>IF(AND('331-CT'!$E$7=TH!H694,OR(N694="331",O694="331")),"x","")</f>
        <v/>
      </c>
      <c r="Q694" s="79" t="str">
        <f>IF(AND(B694='111'!$L$11,OR($N694=$Q$7,$O694=$Q$7)),"x","")</f>
        <v/>
      </c>
      <c r="R694" s="79" t="str">
        <f>IF(AND($N694=$Q$7,$B694&lt;'111'!$L$11),"x","")</f>
        <v/>
      </c>
      <c r="S694" s="79" t="str">
        <f>IF(AND($O694=$Q$7,$B694&lt;'111'!$L$11),"x","")</f>
        <v/>
      </c>
      <c r="T694" s="79" t="str">
        <f>IF(ISERROR(FIND('112'!$M$9,G694,1)),"",IF((AND(FIND('112'!$M$9,G694,1)&gt;=1,B694='112'!$K$9,OR($N694='112'!$I$6,$O694='112'!$I$6))),"x",""))</f>
        <v/>
      </c>
      <c r="U694" s="79" t="str">
        <f>IF(ISERROR(FIND('112'!$M$9,G694,1)),"",IF((AND(LEFT(G694,2)=LEFT('112'!$M$9,2),B694&lt;'112'!$K$9,$N694='112'!$I$6)),"x",""))</f>
        <v/>
      </c>
      <c r="V694" s="79" t="str">
        <f>IF(ISERROR(FIND('112'!$M$9,G694,1)),"",IF((AND(RIGHT(G694,2)=RIGHT('112'!$M$9,2),B694&lt;'112'!$K$9,$O694='112'!$I$6)),"x",""))</f>
        <v/>
      </c>
      <c r="W694" s="79" t="str">
        <f>IF(AND('341-CT'!$H$9=H694,OR(LEFT(N694,3)=$W$7,LEFT(O694,3)=$W$7)),"x","")</f>
        <v/>
      </c>
      <c r="X694" s="79" t="str">
        <f>IF(OR(TH!N694=TH!$X$7,O694=TH!$X$7),"x","")</f>
        <v/>
      </c>
      <c r="Y694" s="79" t="str">
        <f>IF(AND(OR(N694="131",O694="131"),H694='131-CT'!$H$9),"x","")</f>
        <v/>
      </c>
      <c r="Z694" s="79"/>
      <c r="AA694" s="79" t="str">
        <f>IF(AND(MONTH(E694)='IN-NX'!$J$5,'IN-NX'!$D$7=D694),"x","")</f>
        <v/>
      </c>
      <c r="AB694" s="79" t="str">
        <f>IF(AND(OR(LEFT(TH!N694,2)="15",LEFT(TH!O694,2)="15"),LEFT(TH!O694,3)&lt;&gt;"111",'152-CT'!$J$8=TH!F694),"x","")</f>
        <v/>
      </c>
      <c r="AC694" s="79" t="str">
        <f>IF(AND(OR(LEFT(TH!N694,2)="15",LEFT(TH!O694,2)="15"),TK!$E$7=TH!F694),"x","")</f>
        <v/>
      </c>
      <c r="AD694" s="79" t="str">
        <f>IF(AND(N694="1521",MONTH(C694)='BK-NL'!$M$11),"x","")</f>
        <v/>
      </c>
    </row>
    <row r="695" spans="1:30" ht="16.5" customHeight="1">
      <c r="A695" s="318" t="str">
        <f>IF(B695&lt;&gt;"",IF(AND(B695='IN-TC'!$S$4,OR(TH!N695="1111",TH!O695="1111")),TH!D695,""),"")</f>
        <v/>
      </c>
      <c r="B695" s="60" t="str">
        <f t="shared" si="129"/>
        <v/>
      </c>
      <c r="C695" s="974"/>
      <c r="D695" s="974"/>
      <c r="E695" s="974"/>
      <c r="F695" s="975"/>
      <c r="G695" s="976"/>
      <c r="H695" s="305"/>
      <c r="I695" s="383"/>
      <c r="J695" s="977"/>
      <c r="K695" s="383"/>
      <c r="L695" s="390"/>
      <c r="M695" s="978"/>
      <c r="N695" s="979"/>
      <c r="O695" s="979"/>
      <c r="P695" s="79" t="str">
        <f>IF(AND('331-CT'!$E$7=TH!H695,OR(N695="331",O695="331")),"x","")</f>
        <v/>
      </c>
      <c r="Q695" s="79" t="str">
        <f>IF(AND(B695='111'!$L$11,OR($N695=$Q$7,$O695=$Q$7)),"x","")</f>
        <v/>
      </c>
      <c r="R695" s="79" t="str">
        <f>IF(AND($N695=$Q$7,$B695&lt;'111'!$L$11),"x","")</f>
        <v/>
      </c>
      <c r="S695" s="79" t="str">
        <f>IF(AND($O695=$Q$7,$B695&lt;'111'!$L$11),"x","")</f>
        <v/>
      </c>
      <c r="T695" s="79" t="str">
        <f>IF(ISERROR(FIND('112'!$M$9,G695,1)),"",IF((AND(FIND('112'!$M$9,G695,1)&gt;=1,B695='112'!$K$9,OR($N695='112'!$I$6,$O695='112'!$I$6))),"x",""))</f>
        <v/>
      </c>
      <c r="U695" s="79" t="str">
        <f>IF(ISERROR(FIND('112'!$M$9,G695,1)),"",IF((AND(LEFT(G695,2)=LEFT('112'!$M$9,2),B695&lt;'112'!$K$9,$N695='112'!$I$6)),"x",""))</f>
        <v/>
      </c>
      <c r="V695" s="79" t="str">
        <f>IF(ISERROR(FIND('112'!$M$9,G695,1)),"",IF((AND(RIGHT(G695,2)=RIGHT('112'!$M$9,2),B695&lt;'112'!$K$9,$O695='112'!$I$6)),"x",""))</f>
        <v/>
      </c>
      <c r="W695" s="79" t="str">
        <f>IF(AND('341-CT'!$H$9=H695,OR(LEFT(N695,3)=$W$7,LEFT(O695,3)=$W$7)),"x","")</f>
        <v/>
      </c>
      <c r="X695" s="79" t="str">
        <f>IF(OR(TH!N695=TH!$X$7,O695=TH!$X$7),"x","")</f>
        <v/>
      </c>
      <c r="Y695" s="79" t="str">
        <f>IF(AND(OR(N695="131",O695="131"),H695='131-CT'!$H$9),"x","")</f>
        <v/>
      </c>
      <c r="Z695" s="79"/>
      <c r="AA695" s="79" t="str">
        <f>IF(AND(MONTH(E695)='IN-NX'!$J$5,'IN-NX'!$D$7=D695),"x","")</f>
        <v/>
      </c>
      <c r="AB695" s="79" t="str">
        <f>IF(AND(OR(LEFT(TH!N695,2)="15",LEFT(TH!O695,2)="15"),LEFT(TH!O695,3)&lt;&gt;"111",'152-CT'!$J$8=TH!F695),"x","")</f>
        <v/>
      </c>
      <c r="AC695" s="79" t="str">
        <f>IF(AND(OR(LEFT(TH!N695,2)="15",LEFT(TH!O695,2)="15"),TK!$E$7=TH!F695),"x","")</f>
        <v/>
      </c>
      <c r="AD695" s="79" t="str">
        <f>IF(AND(N695="1521",MONTH(C695)='BK-NL'!$M$11),"x","")</f>
        <v/>
      </c>
    </row>
    <row r="696" spans="1:30" ht="16.5" customHeight="1">
      <c r="A696" s="318" t="str">
        <f>IF(B696&lt;&gt;"",IF(AND(B696='IN-TC'!$S$4,OR(TH!N696="1111",TH!O696="1111")),TH!D696,""),"")</f>
        <v/>
      </c>
      <c r="B696" s="60" t="str">
        <f t="shared" si="129"/>
        <v/>
      </c>
      <c r="C696" s="974"/>
      <c r="D696" s="974"/>
      <c r="E696" s="974"/>
      <c r="F696" s="975"/>
      <c r="G696" s="976"/>
      <c r="H696" s="305"/>
      <c r="I696" s="383"/>
      <c r="J696" s="977"/>
      <c r="K696" s="383"/>
      <c r="L696" s="390"/>
      <c r="M696" s="978"/>
      <c r="N696" s="979"/>
      <c r="O696" s="979"/>
      <c r="P696" s="79" t="str">
        <f>IF(AND('331-CT'!$E$7=TH!H696,OR(N696="331",O696="331")),"x","")</f>
        <v/>
      </c>
      <c r="Q696" s="79" t="str">
        <f>IF(AND(B696='111'!$L$11,OR($N696=$Q$7,$O696=$Q$7)),"x","")</f>
        <v/>
      </c>
      <c r="R696" s="79" t="str">
        <f>IF(AND($N696=$Q$7,$B696&lt;'111'!$L$11),"x","")</f>
        <v/>
      </c>
      <c r="S696" s="79" t="str">
        <f>IF(AND($O696=$Q$7,$B696&lt;'111'!$L$11),"x","")</f>
        <v/>
      </c>
      <c r="T696" s="79" t="str">
        <f>IF(ISERROR(FIND('112'!$M$9,G696,1)),"",IF((AND(FIND('112'!$M$9,G696,1)&gt;=1,B696='112'!$K$9,OR($N696='112'!$I$6,$O696='112'!$I$6))),"x",""))</f>
        <v/>
      </c>
      <c r="U696" s="79" t="str">
        <f>IF(ISERROR(FIND('112'!$M$9,G696,1)),"",IF((AND(LEFT(G696,2)=LEFT('112'!$M$9,2),B696&lt;'112'!$K$9,$N696='112'!$I$6)),"x",""))</f>
        <v/>
      </c>
      <c r="V696" s="79" t="str">
        <f>IF(ISERROR(FIND('112'!$M$9,G696,1)),"",IF((AND(RIGHT(G696,2)=RIGHT('112'!$M$9,2),B696&lt;'112'!$K$9,$O696='112'!$I$6)),"x",""))</f>
        <v/>
      </c>
      <c r="W696" s="79" t="str">
        <f>IF(AND('341-CT'!$H$9=H696,OR(LEFT(N696,3)=$W$7,LEFT(O696,3)=$W$7)),"x","")</f>
        <v/>
      </c>
      <c r="X696" s="79" t="str">
        <f>IF(OR(TH!N696=TH!$X$7,O696=TH!$X$7),"x","")</f>
        <v/>
      </c>
      <c r="Y696" s="79" t="str">
        <f>IF(AND(OR(N696="131",O696="131"),H696='131-CT'!$H$9),"x","")</f>
        <v/>
      </c>
      <c r="Z696" s="79"/>
      <c r="AA696" s="79" t="str">
        <f>IF(AND(MONTH(E696)='IN-NX'!$J$5,'IN-NX'!$D$7=D696),"x","")</f>
        <v/>
      </c>
      <c r="AB696" s="79" t="str">
        <f>IF(AND(OR(LEFT(TH!N696,2)="15",LEFT(TH!O696,2)="15"),LEFT(TH!O696,3)&lt;&gt;"111",'152-CT'!$J$8=TH!F696),"x","")</f>
        <v/>
      </c>
      <c r="AC696" s="79" t="str">
        <f>IF(AND(OR(LEFT(TH!N696,2)="15",LEFT(TH!O696,2)="15"),TK!$E$7=TH!F696),"x","")</f>
        <v/>
      </c>
      <c r="AD696" s="79" t="str">
        <f>IF(AND(N696="1521",MONTH(C696)='BK-NL'!$M$11),"x","")</f>
        <v/>
      </c>
    </row>
    <row r="697" spans="1:30" ht="16.5" customHeight="1">
      <c r="A697" s="318" t="str">
        <f>IF(B697&lt;&gt;"",IF(AND(B697='IN-TC'!$S$4,OR(TH!N697="1111",TH!O697="1111")),TH!D697,""),"")</f>
        <v/>
      </c>
      <c r="B697" s="60" t="str">
        <f t="shared" si="129"/>
        <v/>
      </c>
      <c r="C697" s="974"/>
      <c r="D697" s="974"/>
      <c r="E697" s="974"/>
      <c r="F697" s="975"/>
      <c r="G697" s="976"/>
      <c r="H697" s="305"/>
      <c r="I697" s="383"/>
      <c r="J697" s="977"/>
      <c r="K697" s="383"/>
      <c r="L697" s="390"/>
      <c r="M697" s="978"/>
      <c r="N697" s="979"/>
      <c r="O697" s="979"/>
      <c r="P697" s="79" t="str">
        <f>IF(AND('331-CT'!$E$7=TH!H697,OR(N697="331",O697="331")),"x","")</f>
        <v/>
      </c>
      <c r="Q697" s="79" t="str">
        <f>IF(AND(B697='111'!$L$11,OR($N697=$Q$7,$O697=$Q$7)),"x","")</f>
        <v/>
      </c>
      <c r="R697" s="79" t="str">
        <f>IF(AND($N697=$Q$7,$B697&lt;'111'!$L$11),"x","")</f>
        <v/>
      </c>
      <c r="S697" s="79" t="str">
        <f>IF(AND($O697=$Q$7,$B697&lt;'111'!$L$11),"x","")</f>
        <v/>
      </c>
      <c r="T697" s="79" t="str">
        <f>IF(ISERROR(FIND('112'!$M$9,G697,1)),"",IF((AND(FIND('112'!$M$9,G697,1)&gt;=1,B697='112'!$K$9,OR($N697='112'!$I$6,$O697='112'!$I$6))),"x",""))</f>
        <v/>
      </c>
      <c r="U697" s="79" t="str">
        <f>IF(ISERROR(FIND('112'!$M$9,G697,1)),"",IF((AND(LEFT(G697,2)=LEFT('112'!$M$9,2),B697&lt;'112'!$K$9,$N697='112'!$I$6)),"x",""))</f>
        <v/>
      </c>
      <c r="V697" s="79" t="str">
        <f>IF(ISERROR(FIND('112'!$M$9,G697,1)),"",IF((AND(RIGHT(G697,2)=RIGHT('112'!$M$9,2),B697&lt;'112'!$K$9,$O697='112'!$I$6)),"x",""))</f>
        <v/>
      </c>
      <c r="W697" s="79" t="str">
        <f>IF(AND('341-CT'!$H$9=H697,OR(LEFT(N697,3)=$W$7,LEFT(O697,3)=$W$7)),"x","")</f>
        <v/>
      </c>
      <c r="X697" s="79" t="str">
        <f>IF(OR(TH!N697=TH!$X$7,O697=TH!$X$7),"x","")</f>
        <v/>
      </c>
      <c r="Y697" s="79" t="str">
        <f>IF(AND(OR(N697="131",O697="131"),H697='131-CT'!$H$9),"x","")</f>
        <v/>
      </c>
      <c r="Z697" s="79"/>
      <c r="AA697" s="79" t="str">
        <f>IF(AND(MONTH(E697)='IN-NX'!$J$5,'IN-NX'!$D$7=D697),"x","")</f>
        <v/>
      </c>
      <c r="AB697" s="79" t="str">
        <f>IF(AND(OR(LEFT(TH!N697,2)="15",LEFT(TH!O697,2)="15"),LEFT(TH!O697,3)&lt;&gt;"111",'152-CT'!$J$8=TH!F697),"x","")</f>
        <v/>
      </c>
      <c r="AC697" s="79" t="str">
        <f>IF(AND(OR(LEFT(TH!N697,2)="15",LEFT(TH!O697,2)="15"),TK!$E$7=TH!F697),"x","")</f>
        <v/>
      </c>
      <c r="AD697" s="79" t="str">
        <f>IF(AND(N697="1521",MONTH(C697)='BK-NL'!$M$11),"x","")</f>
        <v/>
      </c>
    </row>
    <row r="698" spans="1:30" ht="16.5" customHeight="1">
      <c r="A698" s="318" t="str">
        <f>IF(B698&lt;&gt;"",IF(AND(B698='IN-TC'!$S$4,OR(TH!N698="1111",TH!O698="1111")),TH!D698,""),"")</f>
        <v/>
      </c>
      <c r="B698" s="60" t="str">
        <f t="shared" si="129"/>
        <v/>
      </c>
      <c r="C698" s="974"/>
      <c r="D698" s="974"/>
      <c r="E698" s="974"/>
      <c r="F698" s="975"/>
      <c r="G698" s="976"/>
      <c r="H698" s="305"/>
      <c r="I698" s="383"/>
      <c r="J698" s="977"/>
      <c r="K698" s="383"/>
      <c r="L698" s="390"/>
      <c r="M698" s="978"/>
      <c r="N698" s="979"/>
      <c r="O698" s="979"/>
      <c r="P698" s="79" t="str">
        <f>IF(AND('331-CT'!$E$7=TH!H698,OR(N698="331",O698="331")),"x","")</f>
        <v/>
      </c>
      <c r="Q698" s="79" t="str">
        <f>IF(AND(B698='111'!$L$11,OR($N698=$Q$7,$O698=$Q$7)),"x","")</f>
        <v/>
      </c>
      <c r="R698" s="79" t="str">
        <f>IF(AND($N698=$Q$7,$B698&lt;'111'!$L$11),"x","")</f>
        <v/>
      </c>
      <c r="S698" s="79" t="str">
        <f>IF(AND($O698=$Q$7,$B698&lt;'111'!$L$11),"x","")</f>
        <v/>
      </c>
      <c r="T698" s="79" t="str">
        <f>IF(ISERROR(FIND('112'!$M$9,G698,1)),"",IF((AND(FIND('112'!$M$9,G698,1)&gt;=1,B698='112'!$K$9,OR($N698='112'!$I$6,$O698='112'!$I$6))),"x",""))</f>
        <v/>
      </c>
      <c r="U698" s="79" t="str">
        <f>IF(ISERROR(FIND('112'!$M$9,G698,1)),"",IF((AND(LEFT(G698,2)=LEFT('112'!$M$9,2),B698&lt;'112'!$K$9,$N698='112'!$I$6)),"x",""))</f>
        <v/>
      </c>
      <c r="V698" s="79" t="str">
        <f>IF(ISERROR(FIND('112'!$M$9,G698,1)),"",IF((AND(RIGHT(G698,2)=RIGHT('112'!$M$9,2),B698&lt;'112'!$K$9,$O698='112'!$I$6)),"x",""))</f>
        <v/>
      </c>
      <c r="W698" s="79" t="str">
        <f>IF(AND('341-CT'!$H$9=H698,OR(LEFT(N698,3)=$W$7,LEFT(O698,3)=$W$7)),"x","")</f>
        <v/>
      </c>
      <c r="X698" s="79" t="str">
        <f>IF(OR(TH!N698=TH!$X$7,O698=TH!$X$7),"x","")</f>
        <v/>
      </c>
      <c r="Y698" s="79" t="str">
        <f>IF(AND(OR(N698="131",O698="131"),H698='131-CT'!$H$9),"x","")</f>
        <v/>
      </c>
      <c r="Z698" s="79"/>
      <c r="AA698" s="79" t="str">
        <f>IF(AND(MONTH(E698)='IN-NX'!$J$5,'IN-NX'!$D$7=D698),"x","")</f>
        <v/>
      </c>
      <c r="AB698" s="79" t="str">
        <f>IF(AND(OR(LEFT(TH!N698,2)="15",LEFT(TH!O698,2)="15"),LEFT(TH!O698,3)&lt;&gt;"111",'152-CT'!$J$8=TH!F698),"x","")</f>
        <v/>
      </c>
      <c r="AC698" s="79" t="str">
        <f>IF(AND(OR(LEFT(TH!N698,2)="15",LEFT(TH!O698,2)="15"),TK!$E$7=TH!F698),"x","")</f>
        <v/>
      </c>
      <c r="AD698" s="79" t="str">
        <f>IF(AND(N698="1521",MONTH(C698)='BK-NL'!$M$11),"x","")</f>
        <v/>
      </c>
    </row>
    <row r="699" spans="1:30" ht="16.5" customHeight="1">
      <c r="A699" s="318" t="str">
        <f>IF(B699&lt;&gt;"",IF(AND(B699='IN-TC'!$S$4,OR(TH!N699="1111",TH!O699="1111")),TH!D699,""),"")</f>
        <v/>
      </c>
      <c r="B699" s="60" t="str">
        <f t="shared" si="129"/>
        <v/>
      </c>
      <c r="C699" s="974"/>
      <c r="D699" s="974"/>
      <c r="E699" s="974"/>
      <c r="F699" s="975"/>
      <c r="G699" s="976"/>
      <c r="H699" s="305"/>
      <c r="I699" s="383"/>
      <c r="J699" s="977"/>
      <c r="K699" s="383"/>
      <c r="L699" s="390"/>
      <c r="M699" s="978"/>
      <c r="N699" s="979"/>
      <c r="O699" s="979"/>
      <c r="P699" s="79" t="str">
        <f>IF(AND('331-CT'!$E$7=TH!H699,OR(N699="331",O699="331")),"x","")</f>
        <v/>
      </c>
      <c r="Q699" s="79" t="str">
        <f>IF(AND(B699='111'!$L$11,OR($N699=$Q$7,$O699=$Q$7)),"x","")</f>
        <v/>
      </c>
      <c r="R699" s="79" t="str">
        <f>IF(AND($N699=$Q$7,$B699&lt;'111'!$L$11),"x","")</f>
        <v/>
      </c>
      <c r="S699" s="79" t="str">
        <f>IF(AND($O699=$Q$7,$B699&lt;'111'!$L$11),"x","")</f>
        <v/>
      </c>
      <c r="T699" s="79" t="str">
        <f>IF(ISERROR(FIND('112'!$M$9,G699,1)),"",IF((AND(FIND('112'!$M$9,G699,1)&gt;=1,B699='112'!$K$9,OR($N699='112'!$I$6,$O699='112'!$I$6))),"x",""))</f>
        <v/>
      </c>
      <c r="U699" s="79" t="str">
        <f>IF(ISERROR(FIND('112'!$M$9,G699,1)),"",IF((AND(LEFT(G699,2)=LEFT('112'!$M$9,2),B699&lt;'112'!$K$9,$N699='112'!$I$6)),"x",""))</f>
        <v/>
      </c>
      <c r="V699" s="79" t="str">
        <f>IF(ISERROR(FIND('112'!$M$9,G699,1)),"",IF((AND(RIGHT(G699,2)=RIGHT('112'!$M$9,2),B699&lt;'112'!$K$9,$O699='112'!$I$6)),"x",""))</f>
        <v/>
      </c>
      <c r="W699" s="79" t="str">
        <f>IF(AND('341-CT'!$H$9=H699,OR(LEFT(N699,3)=$W$7,LEFT(O699,3)=$W$7)),"x","")</f>
        <v/>
      </c>
      <c r="X699" s="79" t="str">
        <f>IF(OR(TH!N699=TH!$X$7,O699=TH!$X$7),"x","")</f>
        <v/>
      </c>
      <c r="Y699" s="79" t="str">
        <f>IF(AND(OR(N699="131",O699="131"),H699='131-CT'!$H$9),"x","")</f>
        <v/>
      </c>
      <c r="Z699" s="79"/>
      <c r="AA699" s="79" t="str">
        <f>IF(AND(MONTH(E699)='IN-NX'!$J$5,'IN-NX'!$D$7=D699),"x","")</f>
        <v/>
      </c>
      <c r="AB699" s="79" t="str">
        <f>IF(AND(OR(LEFT(TH!N699,2)="15",LEFT(TH!O699,2)="15"),LEFT(TH!O699,3)&lt;&gt;"111",'152-CT'!$J$8=TH!F699),"x","")</f>
        <v/>
      </c>
      <c r="AC699" s="79" t="str">
        <f>IF(AND(OR(LEFT(TH!N699,2)="15",LEFT(TH!O699,2)="15"),TK!$E$7=TH!F699),"x","")</f>
        <v/>
      </c>
      <c r="AD699" s="79" t="str">
        <f>IF(AND(N699="1521",MONTH(C699)='BK-NL'!$M$11),"x","")</f>
        <v/>
      </c>
    </row>
    <row r="700" spans="1:30" ht="16.5" customHeight="1">
      <c r="A700" s="318" t="str">
        <f>IF(B700&lt;&gt;"",IF(AND(B700='IN-TC'!$S$4,OR(TH!N700="1111",TH!O700="1111")),TH!D700,""),"")</f>
        <v/>
      </c>
      <c r="B700" s="60" t="str">
        <f t="shared" si="129"/>
        <v/>
      </c>
      <c r="C700" s="974"/>
      <c r="D700" s="974"/>
      <c r="E700" s="974"/>
      <c r="F700" s="975"/>
      <c r="G700" s="976"/>
      <c r="H700" s="305"/>
      <c r="I700" s="383"/>
      <c r="J700" s="977"/>
      <c r="K700" s="383"/>
      <c r="L700" s="390"/>
      <c r="M700" s="978"/>
      <c r="N700" s="979"/>
      <c r="O700" s="979"/>
      <c r="P700" s="79" t="str">
        <f>IF(AND('331-CT'!$E$7=TH!H700,OR(N700="331",O700="331")),"x","")</f>
        <v/>
      </c>
      <c r="Q700" s="79" t="str">
        <f>IF(AND(B700='111'!$L$11,OR($N700=$Q$7,$O700=$Q$7)),"x","")</f>
        <v/>
      </c>
      <c r="R700" s="79" t="str">
        <f>IF(AND($N700=$Q$7,$B700&lt;'111'!$L$11),"x","")</f>
        <v/>
      </c>
      <c r="S700" s="79" t="str">
        <f>IF(AND($O700=$Q$7,$B700&lt;'111'!$L$11),"x","")</f>
        <v/>
      </c>
      <c r="T700" s="79" t="str">
        <f>IF(ISERROR(FIND('112'!$M$9,G700,1)),"",IF((AND(FIND('112'!$M$9,G700,1)&gt;=1,B700='112'!$K$9,OR($N700='112'!$I$6,$O700='112'!$I$6))),"x",""))</f>
        <v/>
      </c>
      <c r="U700" s="79" t="str">
        <f>IF(ISERROR(FIND('112'!$M$9,G700,1)),"",IF((AND(LEFT(G700,2)=LEFT('112'!$M$9,2),B700&lt;'112'!$K$9,$N700='112'!$I$6)),"x",""))</f>
        <v/>
      </c>
      <c r="V700" s="79" t="str">
        <f>IF(ISERROR(FIND('112'!$M$9,G700,1)),"",IF((AND(RIGHT(G700,2)=RIGHT('112'!$M$9,2),B700&lt;'112'!$K$9,$O700='112'!$I$6)),"x",""))</f>
        <v/>
      </c>
      <c r="W700" s="79" t="str">
        <f>IF(AND('341-CT'!$H$9=H700,OR(LEFT(N700,3)=$W$7,LEFT(O700,3)=$W$7)),"x","")</f>
        <v/>
      </c>
      <c r="X700" s="79" t="str">
        <f>IF(OR(TH!N700=TH!$X$7,O700=TH!$X$7),"x","")</f>
        <v/>
      </c>
      <c r="Y700" s="79" t="str">
        <f>IF(AND(OR(N700="131",O700="131"),H700='131-CT'!$H$9),"x","")</f>
        <v/>
      </c>
      <c r="Z700" s="79"/>
      <c r="AA700" s="79" t="str">
        <f>IF(AND(MONTH(E700)='IN-NX'!$J$5,'IN-NX'!$D$7=D700),"x","")</f>
        <v/>
      </c>
      <c r="AB700" s="79" t="str">
        <f>IF(AND(OR(LEFT(TH!N700,2)="15",LEFT(TH!O700,2)="15"),LEFT(TH!O700,3)&lt;&gt;"111",'152-CT'!$J$8=TH!F700),"x","")</f>
        <v/>
      </c>
      <c r="AC700" s="79" t="str">
        <f>IF(AND(OR(LEFT(TH!N700,2)="15",LEFT(TH!O700,2)="15"),TK!$E$7=TH!F700),"x","")</f>
        <v/>
      </c>
      <c r="AD700" s="79" t="str">
        <f>IF(AND(N700="1521",MONTH(C700)='BK-NL'!$M$11),"x","")</f>
        <v/>
      </c>
    </row>
    <row r="701" spans="1:30" ht="16.5" customHeight="1">
      <c r="A701" s="318" t="str">
        <f>IF(B701&lt;&gt;"",IF(AND(B701='IN-TC'!$S$4,OR(TH!N701="1111",TH!O701="1111")),TH!D701,""),"")</f>
        <v/>
      </c>
      <c r="B701" s="60" t="str">
        <f t="shared" si="129"/>
        <v/>
      </c>
      <c r="C701" s="974"/>
      <c r="D701" s="974"/>
      <c r="E701" s="974"/>
      <c r="F701" s="975"/>
      <c r="G701" s="976"/>
      <c r="H701" s="305"/>
      <c r="I701" s="383"/>
      <c r="J701" s="977"/>
      <c r="K701" s="383"/>
      <c r="L701" s="390"/>
      <c r="M701" s="978"/>
      <c r="N701" s="979"/>
      <c r="O701" s="979"/>
      <c r="P701" s="79" t="str">
        <f>IF(AND('331-CT'!$E$7=TH!H701,OR(N701="331",O701="331")),"x","")</f>
        <v/>
      </c>
      <c r="Q701" s="79" t="str">
        <f>IF(AND(B701='111'!$L$11,OR($N701=$Q$7,$O701=$Q$7)),"x","")</f>
        <v/>
      </c>
      <c r="R701" s="79" t="str">
        <f>IF(AND($N701=$Q$7,$B701&lt;'111'!$L$11),"x","")</f>
        <v/>
      </c>
      <c r="S701" s="79" t="str">
        <f>IF(AND($O701=$Q$7,$B701&lt;'111'!$L$11),"x","")</f>
        <v/>
      </c>
      <c r="T701" s="79" t="str">
        <f>IF(ISERROR(FIND('112'!$M$9,G701,1)),"",IF((AND(FIND('112'!$M$9,G701,1)&gt;=1,B701='112'!$K$9,OR($N701='112'!$I$6,$O701='112'!$I$6))),"x",""))</f>
        <v/>
      </c>
      <c r="U701" s="79" t="str">
        <f>IF(ISERROR(FIND('112'!$M$9,G701,1)),"",IF((AND(LEFT(G701,2)=LEFT('112'!$M$9,2),B701&lt;'112'!$K$9,$N701='112'!$I$6)),"x",""))</f>
        <v/>
      </c>
      <c r="V701" s="79" t="str">
        <f>IF(ISERROR(FIND('112'!$M$9,G701,1)),"",IF((AND(RIGHT(G701,2)=RIGHT('112'!$M$9,2),B701&lt;'112'!$K$9,$O701='112'!$I$6)),"x",""))</f>
        <v/>
      </c>
      <c r="W701" s="79" t="str">
        <f>IF(AND('341-CT'!$H$9=H701,OR(LEFT(N701,3)=$W$7,LEFT(O701,3)=$W$7)),"x","")</f>
        <v/>
      </c>
      <c r="X701" s="79" t="str">
        <f>IF(OR(TH!N701=TH!$X$7,O701=TH!$X$7),"x","")</f>
        <v/>
      </c>
      <c r="Y701" s="79" t="str">
        <f>IF(AND(OR(N701="131",O701="131"),H701='131-CT'!$H$9),"x","")</f>
        <v/>
      </c>
      <c r="Z701" s="79"/>
      <c r="AA701" s="79" t="str">
        <f>IF(AND(MONTH(E701)='IN-NX'!$J$5,'IN-NX'!$D$7=D701),"x","")</f>
        <v/>
      </c>
      <c r="AB701" s="79" t="str">
        <f>IF(AND(OR(LEFT(TH!N701,2)="15",LEFT(TH!O701,2)="15"),LEFT(TH!O701,3)&lt;&gt;"111",'152-CT'!$J$8=TH!F701),"x","")</f>
        <v/>
      </c>
      <c r="AC701" s="79" t="str">
        <f>IF(AND(OR(LEFT(TH!N701,2)="15",LEFT(TH!O701,2)="15"),TK!$E$7=TH!F701),"x","")</f>
        <v/>
      </c>
      <c r="AD701" s="79" t="str">
        <f>IF(AND(N701="1521",MONTH(C701)='BK-NL'!$M$11),"x","")</f>
        <v/>
      </c>
    </row>
    <row r="702" spans="1:30" ht="16.5" customHeight="1">
      <c r="A702" s="318" t="str">
        <f>IF(B702&lt;&gt;"",IF(AND(B702='IN-TC'!$S$4,OR(TH!N702="1111",TH!O702="1111")),TH!D702,""),"")</f>
        <v/>
      </c>
      <c r="B702" s="60" t="str">
        <f t="shared" si="129"/>
        <v/>
      </c>
      <c r="C702" s="974"/>
      <c r="D702" s="974"/>
      <c r="E702" s="974"/>
      <c r="F702" s="975"/>
      <c r="G702" s="976"/>
      <c r="H702" s="305"/>
      <c r="I702" s="383"/>
      <c r="J702" s="977"/>
      <c r="K702" s="383"/>
      <c r="L702" s="390"/>
      <c r="M702" s="978"/>
      <c r="N702" s="979"/>
      <c r="O702" s="979"/>
      <c r="P702" s="79" t="str">
        <f>IF(AND('331-CT'!$E$7=TH!H702,OR(N702="331",O702="331")),"x","")</f>
        <v/>
      </c>
      <c r="Q702" s="79" t="str">
        <f>IF(AND(B702='111'!$L$11,OR($N702=$Q$7,$O702=$Q$7)),"x","")</f>
        <v/>
      </c>
      <c r="R702" s="79" t="str">
        <f>IF(AND($N702=$Q$7,$B702&lt;'111'!$L$11),"x","")</f>
        <v/>
      </c>
      <c r="S702" s="79" t="str">
        <f>IF(AND($O702=$Q$7,$B702&lt;'111'!$L$11),"x","")</f>
        <v/>
      </c>
      <c r="T702" s="79" t="str">
        <f>IF(ISERROR(FIND('112'!$M$9,G702,1)),"",IF((AND(FIND('112'!$M$9,G702,1)&gt;=1,B702='112'!$K$9,OR($N702='112'!$I$6,$O702='112'!$I$6))),"x",""))</f>
        <v/>
      </c>
      <c r="U702" s="79" t="str">
        <f>IF(ISERROR(FIND('112'!$M$9,G702,1)),"",IF((AND(LEFT(G702,2)=LEFT('112'!$M$9,2),B702&lt;'112'!$K$9,$N702='112'!$I$6)),"x",""))</f>
        <v/>
      </c>
      <c r="V702" s="79" t="str">
        <f>IF(ISERROR(FIND('112'!$M$9,G702,1)),"",IF((AND(RIGHT(G702,2)=RIGHT('112'!$M$9,2),B702&lt;'112'!$K$9,$O702='112'!$I$6)),"x",""))</f>
        <v/>
      </c>
      <c r="W702" s="79" t="str">
        <f>IF(AND('341-CT'!$H$9=H702,OR(LEFT(N702,3)=$W$7,LEFT(O702,3)=$W$7)),"x","")</f>
        <v/>
      </c>
      <c r="X702" s="79" t="str">
        <f>IF(OR(TH!N702=TH!$X$7,O702=TH!$X$7),"x","")</f>
        <v/>
      </c>
      <c r="Y702" s="79" t="str">
        <f>IF(AND(OR(N702="131",O702="131"),H702='131-CT'!$H$9),"x","")</f>
        <v/>
      </c>
      <c r="Z702" s="79"/>
      <c r="AA702" s="79" t="str">
        <f>IF(AND(MONTH(E702)='IN-NX'!$J$5,'IN-NX'!$D$7=D702),"x","")</f>
        <v/>
      </c>
      <c r="AB702" s="79" t="str">
        <f>IF(AND(OR(LEFT(TH!N702,2)="15",LEFT(TH!O702,2)="15"),LEFT(TH!O702,3)&lt;&gt;"111",'152-CT'!$J$8=TH!F702),"x","")</f>
        <v/>
      </c>
      <c r="AC702" s="79" t="str">
        <f>IF(AND(OR(LEFT(TH!N702,2)="15",LEFT(TH!O702,2)="15"),TK!$E$7=TH!F702),"x","")</f>
        <v/>
      </c>
      <c r="AD702" s="79" t="str">
        <f>IF(AND(N702="1521",MONTH(C702)='BK-NL'!$M$11),"x","")</f>
        <v/>
      </c>
    </row>
    <row r="703" spans="1:30" ht="16.5" customHeight="1">
      <c r="A703" s="318" t="str">
        <f>IF(B703&lt;&gt;"",IF(AND(B703='IN-TC'!$S$4,OR(TH!N703="1111",TH!O703="1111")),TH!D703,""),"")</f>
        <v/>
      </c>
      <c r="B703" s="60" t="str">
        <f t="shared" si="129"/>
        <v/>
      </c>
      <c r="C703" s="974"/>
      <c r="D703" s="974"/>
      <c r="E703" s="974"/>
      <c r="F703" s="975"/>
      <c r="G703" s="976"/>
      <c r="H703" s="305"/>
      <c r="I703" s="383"/>
      <c r="J703" s="977"/>
      <c r="K703" s="383"/>
      <c r="L703" s="390"/>
      <c r="M703" s="978"/>
      <c r="N703" s="979"/>
      <c r="O703" s="979"/>
      <c r="P703" s="79" t="str">
        <f>IF(AND('331-CT'!$E$7=TH!H703,OR(N703="331",O703="331")),"x","")</f>
        <v/>
      </c>
      <c r="Q703" s="79" t="str">
        <f>IF(AND(B703='111'!$L$11,OR($N703=$Q$7,$O703=$Q$7)),"x","")</f>
        <v/>
      </c>
      <c r="R703" s="79" t="str">
        <f>IF(AND($N703=$Q$7,$B703&lt;'111'!$L$11),"x","")</f>
        <v/>
      </c>
      <c r="S703" s="79" t="str">
        <f>IF(AND($O703=$Q$7,$B703&lt;'111'!$L$11),"x","")</f>
        <v/>
      </c>
      <c r="T703" s="79" t="str">
        <f>IF(ISERROR(FIND('112'!$M$9,G703,1)),"",IF((AND(FIND('112'!$M$9,G703,1)&gt;=1,B703='112'!$K$9,OR($N703='112'!$I$6,$O703='112'!$I$6))),"x",""))</f>
        <v/>
      </c>
      <c r="U703" s="79" t="str">
        <f>IF(ISERROR(FIND('112'!$M$9,G703,1)),"",IF((AND(LEFT(G703,2)=LEFT('112'!$M$9,2),B703&lt;'112'!$K$9,$N703='112'!$I$6)),"x",""))</f>
        <v/>
      </c>
      <c r="V703" s="79" t="str">
        <f>IF(ISERROR(FIND('112'!$M$9,G703,1)),"",IF((AND(RIGHT(G703,2)=RIGHT('112'!$M$9,2),B703&lt;'112'!$K$9,$O703='112'!$I$6)),"x",""))</f>
        <v/>
      </c>
      <c r="W703" s="79" t="str">
        <f>IF(AND('341-CT'!$H$9=H703,OR(LEFT(N703,3)=$W$7,LEFT(O703,3)=$W$7)),"x","")</f>
        <v/>
      </c>
      <c r="X703" s="79" t="str">
        <f>IF(OR(TH!N703=TH!$X$7,O703=TH!$X$7),"x","")</f>
        <v/>
      </c>
      <c r="Y703" s="79" t="str">
        <f>IF(AND(OR(N703="131",O703="131"),H703='131-CT'!$H$9),"x","")</f>
        <v/>
      </c>
      <c r="Z703" s="79"/>
      <c r="AA703" s="79" t="str">
        <f>IF(AND(MONTH(E703)='IN-NX'!$J$5,'IN-NX'!$D$7=D703),"x","")</f>
        <v/>
      </c>
      <c r="AB703" s="79" t="str">
        <f>IF(AND(OR(LEFT(TH!N703,2)="15",LEFT(TH!O703,2)="15"),LEFT(TH!O703,3)&lt;&gt;"111",'152-CT'!$J$8=TH!F703),"x","")</f>
        <v/>
      </c>
      <c r="AC703" s="79" t="str">
        <f>IF(AND(OR(LEFT(TH!N703,2)="15",LEFT(TH!O703,2)="15"),TK!$E$7=TH!F703),"x","")</f>
        <v/>
      </c>
      <c r="AD703" s="79" t="str">
        <f>IF(AND(N703="1521",MONTH(C703)='BK-NL'!$M$11),"x","")</f>
        <v/>
      </c>
    </row>
    <row r="704" spans="1:30" ht="16.5" customHeight="1">
      <c r="A704" s="318" t="str">
        <f>IF(B704&lt;&gt;"",IF(AND(B704='IN-TC'!$S$4,OR(TH!N704="1111",TH!O704="1111")),TH!D704,""),"")</f>
        <v/>
      </c>
      <c r="B704" s="60" t="str">
        <f t="shared" si="129"/>
        <v/>
      </c>
      <c r="C704" s="974"/>
      <c r="D704" s="974"/>
      <c r="E704" s="974"/>
      <c r="F704" s="975"/>
      <c r="G704" s="976"/>
      <c r="H704" s="305"/>
      <c r="I704" s="383"/>
      <c r="J704" s="977"/>
      <c r="K704" s="383"/>
      <c r="L704" s="390"/>
      <c r="M704" s="978"/>
      <c r="N704" s="979"/>
      <c r="O704" s="979"/>
      <c r="P704" s="79" t="str">
        <f>IF(AND('331-CT'!$E$7=TH!H704,OR(N704="331",O704="331")),"x","")</f>
        <v/>
      </c>
      <c r="Q704" s="79" t="str">
        <f>IF(AND(B704='111'!$L$11,OR($N704=$Q$7,$O704=$Q$7)),"x","")</f>
        <v/>
      </c>
      <c r="R704" s="79" t="str">
        <f>IF(AND($N704=$Q$7,$B704&lt;'111'!$L$11),"x","")</f>
        <v/>
      </c>
      <c r="S704" s="79" t="str">
        <f>IF(AND($O704=$Q$7,$B704&lt;'111'!$L$11),"x","")</f>
        <v/>
      </c>
      <c r="T704" s="79" t="str">
        <f>IF(ISERROR(FIND('112'!$M$9,G704,1)),"",IF((AND(FIND('112'!$M$9,G704,1)&gt;=1,B704='112'!$K$9,OR($N704='112'!$I$6,$O704='112'!$I$6))),"x",""))</f>
        <v/>
      </c>
      <c r="U704" s="79" t="str">
        <f>IF(ISERROR(FIND('112'!$M$9,G704,1)),"",IF((AND(LEFT(G704,2)=LEFT('112'!$M$9,2),B704&lt;'112'!$K$9,$N704='112'!$I$6)),"x",""))</f>
        <v/>
      </c>
      <c r="V704" s="79" t="str">
        <f>IF(ISERROR(FIND('112'!$M$9,G704,1)),"",IF((AND(RIGHT(G704,2)=RIGHT('112'!$M$9,2),B704&lt;'112'!$K$9,$O704='112'!$I$6)),"x",""))</f>
        <v/>
      </c>
      <c r="W704" s="79" t="str">
        <f>IF(AND('341-CT'!$H$9=H704,OR(LEFT(N704,3)=$W$7,LEFT(O704,3)=$W$7)),"x","")</f>
        <v/>
      </c>
      <c r="X704" s="79" t="str">
        <f>IF(OR(TH!N704=TH!$X$7,O704=TH!$X$7),"x","")</f>
        <v/>
      </c>
      <c r="Y704" s="79" t="str">
        <f>IF(AND(OR(N704="131",O704="131"),H704='131-CT'!$H$9),"x","")</f>
        <v/>
      </c>
      <c r="Z704" s="79"/>
      <c r="AA704" s="79" t="str">
        <f>IF(AND(MONTH(E704)='IN-NX'!$J$5,'IN-NX'!$D$7=D704),"x","")</f>
        <v/>
      </c>
      <c r="AB704" s="79" t="str">
        <f>IF(AND(OR(LEFT(TH!N704,2)="15",LEFT(TH!O704,2)="15"),LEFT(TH!O704,3)&lt;&gt;"111",'152-CT'!$J$8=TH!F704),"x","")</f>
        <v/>
      </c>
      <c r="AC704" s="79" t="str">
        <f>IF(AND(OR(LEFT(TH!N704,2)="15",LEFT(TH!O704,2)="15"),TK!$E$7=TH!F704),"x","")</f>
        <v/>
      </c>
      <c r="AD704" s="79" t="str">
        <f>IF(AND(N704="1521",MONTH(C704)='BK-NL'!$M$11),"x","")</f>
        <v/>
      </c>
    </row>
    <row r="705" spans="1:30" ht="16.5" customHeight="1">
      <c r="A705" s="318" t="str">
        <f>IF(B705&lt;&gt;"",IF(AND(B705='IN-TC'!$S$4,OR(TH!N705="1111",TH!O705="1111")),TH!D705,""),"")</f>
        <v/>
      </c>
      <c r="B705" s="60" t="str">
        <f t="shared" si="129"/>
        <v/>
      </c>
      <c r="C705" s="974"/>
      <c r="D705" s="974"/>
      <c r="E705" s="974"/>
      <c r="F705" s="975"/>
      <c r="G705" s="976"/>
      <c r="H705" s="305"/>
      <c r="I705" s="383"/>
      <c r="J705" s="977"/>
      <c r="K705" s="383"/>
      <c r="L705" s="390"/>
      <c r="M705" s="978"/>
      <c r="N705" s="979"/>
      <c r="O705" s="979"/>
      <c r="P705" s="79" t="str">
        <f>IF(AND('331-CT'!$E$7=TH!H705,OR(N705="331",O705="331")),"x","")</f>
        <v/>
      </c>
      <c r="Q705" s="79" t="str">
        <f>IF(AND(B705='111'!$L$11,OR($N705=$Q$7,$O705=$Q$7)),"x","")</f>
        <v/>
      </c>
      <c r="R705" s="79" t="str">
        <f>IF(AND($N705=$Q$7,$B705&lt;'111'!$L$11),"x","")</f>
        <v/>
      </c>
      <c r="S705" s="79" t="str">
        <f>IF(AND($O705=$Q$7,$B705&lt;'111'!$L$11),"x","")</f>
        <v/>
      </c>
      <c r="T705" s="79" t="str">
        <f>IF(ISERROR(FIND('112'!$M$9,G705,1)),"",IF((AND(FIND('112'!$M$9,G705,1)&gt;=1,B705='112'!$K$9,OR($N705='112'!$I$6,$O705='112'!$I$6))),"x",""))</f>
        <v/>
      </c>
      <c r="U705" s="79" t="str">
        <f>IF(ISERROR(FIND('112'!$M$9,G705,1)),"",IF((AND(LEFT(G705,2)=LEFT('112'!$M$9,2),B705&lt;'112'!$K$9,$N705='112'!$I$6)),"x",""))</f>
        <v/>
      </c>
      <c r="V705" s="79" t="str">
        <f>IF(ISERROR(FIND('112'!$M$9,G705,1)),"",IF((AND(RIGHT(G705,2)=RIGHT('112'!$M$9,2),B705&lt;'112'!$K$9,$O705='112'!$I$6)),"x",""))</f>
        <v/>
      </c>
      <c r="W705" s="79" t="str">
        <f>IF(AND('341-CT'!$H$9=H705,OR(LEFT(N705,3)=$W$7,LEFT(O705,3)=$W$7)),"x","")</f>
        <v/>
      </c>
      <c r="X705" s="79" t="str">
        <f>IF(OR(TH!N705=TH!$X$7,O705=TH!$X$7),"x","")</f>
        <v/>
      </c>
      <c r="Y705" s="79" t="str">
        <f>IF(AND(OR(N705="131",O705="131"),H705='131-CT'!$H$9),"x","")</f>
        <v/>
      </c>
      <c r="Z705" s="79"/>
      <c r="AA705" s="79" t="str">
        <f>IF(AND(MONTH(E705)='IN-NX'!$J$5,'IN-NX'!$D$7=D705),"x","")</f>
        <v/>
      </c>
      <c r="AB705" s="79" t="str">
        <f>IF(AND(OR(LEFT(TH!N705,2)="15",LEFT(TH!O705,2)="15"),LEFT(TH!O705,3)&lt;&gt;"111",'152-CT'!$J$8=TH!F705),"x","")</f>
        <v/>
      </c>
      <c r="AC705" s="79" t="str">
        <f>IF(AND(OR(LEFT(TH!N705,2)="15",LEFT(TH!O705,2)="15"),TK!$E$7=TH!F705),"x","")</f>
        <v/>
      </c>
      <c r="AD705" s="79" t="str">
        <f>IF(AND(N705="1521",MONTH(C705)='BK-NL'!$M$11),"x","")</f>
        <v/>
      </c>
    </row>
    <row r="706" spans="1:30" ht="16.5" customHeight="1">
      <c r="A706" s="318" t="str">
        <f>IF(B706&lt;&gt;"",IF(AND(B706='IN-TC'!$S$4,OR(TH!N706="1111",TH!O706="1111")),TH!D706,""),"")</f>
        <v/>
      </c>
      <c r="B706" s="60" t="str">
        <f t="shared" si="129"/>
        <v/>
      </c>
      <c r="C706" s="974"/>
      <c r="D706" s="974"/>
      <c r="E706" s="974"/>
      <c r="F706" s="975"/>
      <c r="G706" s="976"/>
      <c r="H706" s="305"/>
      <c r="I706" s="383"/>
      <c r="J706" s="977"/>
      <c r="K706" s="383"/>
      <c r="L706" s="390"/>
      <c r="M706" s="978"/>
      <c r="N706" s="979"/>
      <c r="O706" s="979"/>
      <c r="P706" s="79" t="str">
        <f>IF(AND('331-CT'!$E$7=TH!H706,OR(N706="331",O706="331")),"x","")</f>
        <v/>
      </c>
      <c r="Q706" s="79" t="str">
        <f>IF(AND(B706='111'!$L$11,OR($N706=$Q$7,$O706=$Q$7)),"x","")</f>
        <v/>
      </c>
      <c r="R706" s="79" t="str">
        <f>IF(AND($N706=$Q$7,$B706&lt;'111'!$L$11),"x","")</f>
        <v/>
      </c>
      <c r="S706" s="79" t="str">
        <f>IF(AND($O706=$Q$7,$B706&lt;'111'!$L$11),"x","")</f>
        <v/>
      </c>
      <c r="T706" s="79" t="str">
        <f>IF(ISERROR(FIND('112'!$M$9,G706,1)),"",IF((AND(FIND('112'!$M$9,G706,1)&gt;=1,B706='112'!$K$9,OR($N706='112'!$I$6,$O706='112'!$I$6))),"x",""))</f>
        <v/>
      </c>
      <c r="U706" s="79" t="str">
        <f>IF(ISERROR(FIND('112'!$M$9,G706,1)),"",IF((AND(LEFT(G706,2)=LEFT('112'!$M$9,2),B706&lt;'112'!$K$9,$N706='112'!$I$6)),"x",""))</f>
        <v/>
      </c>
      <c r="V706" s="79" t="str">
        <f>IF(ISERROR(FIND('112'!$M$9,G706,1)),"",IF((AND(RIGHT(G706,2)=RIGHT('112'!$M$9,2),B706&lt;'112'!$K$9,$O706='112'!$I$6)),"x",""))</f>
        <v/>
      </c>
      <c r="W706" s="79" t="str">
        <f>IF(AND('341-CT'!$H$9=H706,OR(LEFT(N706,3)=$W$7,LEFT(O706,3)=$W$7)),"x","")</f>
        <v/>
      </c>
      <c r="X706" s="79" t="str">
        <f>IF(OR(TH!N706=TH!$X$7,O706=TH!$X$7),"x","")</f>
        <v/>
      </c>
      <c r="Y706" s="79" t="str">
        <f>IF(AND(OR(N706="131",O706="131"),H706='131-CT'!$H$9),"x","")</f>
        <v/>
      </c>
      <c r="Z706" s="79"/>
      <c r="AA706" s="79" t="str">
        <f>IF(AND(MONTH(E706)='IN-NX'!$J$5,'IN-NX'!$D$7=D706),"x","")</f>
        <v/>
      </c>
      <c r="AB706" s="79" t="str">
        <f>IF(AND(OR(LEFT(TH!N706,2)="15",LEFT(TH!O706,2)="15"),LEFT(TH!O706,3)&lt;&gt;"111",'152-CT'!$J$8=TH!F706),"x","")</f>
        <v/>
      </c>
      <c r="AC706" s="79" t="str">
        <f>IF(AND(OR(LEFT(TH!N706,2)="15",LEFT(TH!O706,2)="15"),TK!$E$7=TH!F706),"x","")</f>
        <v/>
      </c>
      <c r="AD706" s="79" t="str">
        <f>IF(AND(N706="1521",MONTH(C706)='BK-NL'!$M$11),"x","")</f>
        <v/>
      </c>
    </row>
    <row r="707" spans="1:30" ht="16.5" customHeight="1">
      <c r="A707" s="318" t="str">
        <f>IF(B707&lt;&gt;"",IF(AND(B707='IN-TC'!$S$4,OR(TH!N707="1111",TH!O707="1111")),TH!D707,""),"")</f>
        <v/>
      </c>
      <c r="B707" s="60" t="str">
        <f t="shared" si="129"/>
        <v/>
      </c>
      <c r="C707" s="974"/>
      <c r="D707" s="974"/>
      <c r="E707" s="974"/>
      <c r="F707" s="975"/>
      <c r="G707" s="976"/>
      <c r="H707" s="305"/>
      <c r="I707" s="383"/>
      <c r="J707" s="977"/>
      <c r="K707" s="383"/>
      <c r="L707" s="390"/>
      <c r="M707" s="978"/>
      <c r="N707" s="979"/>
      <c r="O707" s="979"/>
      <c r="P707" s="79" t="str">
        <f>IF(AND('331-CT'!$E$7=TH!H707,OR(N707="331",O707="331")),"x","")</f>
        <v/>
      </c>
      <c r="Q707" s="79" t="str">
        <f>IF(AND(B707='111'!$L$11,OR($N707=$Q$7,$O707=$Q$7)),"x","")</f>
        <v/>
      </c>
      <c r="R707" s="79" t="str">
        <f>IF(AND($N707=$Q$7,$B707&lt;'111'!$L$11),"x","")</f>
        <v/>
      </c>
      <c r="S707" s="79" t="str">
        <f>IF(AND($O707=$Q$7,$B707&lt;'111'!$L$11),"x","")</f>
        <v/>
      </c>
      <c r="T707" s="79" t="str">
        <f>IF(ISERROR(FIND('112'!$M$9,G707,1)),"",IF((AND(FIND('112'!$M$9,G707,1)&gt;=1,B707='112'!$K$9,OR($N707='112'!$I$6,$O707='112'!$I$6))),"x",""))</f>
        <v/>
      </c>
      <c r="U707" s="79" t="str">
        <f>IF(ISERROR(FIND('112'!$M$9,G707,1)),"",IF((AND(LEFT(G707,2)=LEFT('112'!$M$9,2),B707&lt;'112'!$K$9,$N707='112'!$I$6)),"x",""))</f>
        <v/>
      </c>
      <c r="V707" s="79" t="str">
        <f>IF(ISERROR(FIND('112'!$M$9,G707,1)),"",IF((AND(RIGHT(G707,2)=RIGHT('112'!$M$9,2),B707&lt;'112'!$K$9,$O707='112'!$I$6)),"x",""))</f>
        <v/>
      </c>
      <c r="W707" s="79" t="str">
        <f>IF(AND('341-CT'!$H$9=H707,OR(LEFT(N707,3)=$W$7,LEFT(O707,3)=$W$7)),"x","")</f>
        <v/>
      </c>
      <c r="X707" s="79" t="str">
        <f>IF(OR(TH!N707=TH!$X$7,O707=TH!$X$7),"x","")</f>
        <v/>
      </c>
      <c r="Y707" s="79" t="str">
        <f>IF(AND(OR(N707="131",O707="131"),H707='131-CT'!$H$9),"x","")</f>
        <v/>
      </c>
      <c r="Z707" s="79"/>
      <c r="AA707" s="79" t="str">
        <f>IF(AND(MONTH(E707)='IN-NX'!$J$5,'IN-NX'!$D$7=D707),"x","")</f>
        <v/>
      </c>
      <c r="AB707" s="79" t="str">
        <f>IF(AND(OR(LEFT(TH!N707,2)="15",LEFT(TH!O707,2)="15"),LEFT(TH!O707,3)&lt;&gt;"111",'152-CT'!$J$8=TH!F707),"x","")</f>
        <v/>
      </c>
      <c r="AC707" s="79" t="str">
        <f>IF(AND(OR(LEFT(TH!N707,2)="15",LEFT(TH!O707,2)="15"),TK!$E$7=TH!F707),"x","")</f>
        <v/>
      </c>
      <c r="AD707" s="79" t="str">
        <f>IF(AND(N707="1521",MONTH(C707)='BK-NL'!$M$11),"x","")</f>
        <v/>
      </c>
    </row>
    <row r="708" spans="1:30" ht="16.5" customHeight="1">
      <c r="A708" s="318" t="str">
        <f>IF(B708&lt;&gt;"",IF(AND(B708='IN-TC'!$S$4,OR(TH!N708="1111",TH!O708="1111")),TH!D708,""),"")</f>
        <v/>
      </c>
      <c r="B708" s="60" t="str">
        <f t="shared" si="129"/>
        <v/>
      </c>
      <c r="C708" s="974"/>
      <c r="D708" s="974"/>
      <c r="E708" s="974"/>
      <c r="F708" s="975"/>
      <c r="G708" s="976"/>
      <c r="H708" s="305"/>
      <c r="I708" s="383"/>
      <c r="J708" s="977"/>
      <c r="K708" s="383"/>
      <c r="L708" s="390"/>
      <c r="M708" s="978"/>
      <c r="N708" s="979"/>
      <c r="O708" s="979"/>
      <c r="P708" s="79" t="str">
        <f>IF(AND('331-CT'!$E$7=TH!H708,OR(N708="331",O708="331")),"x","")</f>
        <v/>
      </c>
      <c r="Q708" s="79" t="str">
        <f>IF(AND(B708='111'!$L$11,OR($N708=$Q$7,$O708=$Q$7)),"x","")</f>
        <v/>
      </c>
      <c r="R708" s="79" t="str">
        <f>IF(AND($N708=$Q$7,$B708&lt;'111'!$L$11),"x","")</f>
        <v/>
      </c>
      <c r="S708" s="79" t="str">
        <f>IF(AND($O708=$Q$7,$B708&lt;'111'!$L$11),"x","")</f>
        <v/>
      </c>
      <c r="T708" s="79" t="str">
        <f>IF(ISERROR(FIND('112'!$M$9,G708,1)),"",IF((AND(FIND('112'!$M$9,G708,1)&gt;=1,B708='112'!$K$9,OR($N708='112'!$I$6,$O708='112'!$I$6))),"x",""))</f>
        <v/>
      </c>
      <c r="U708" s="79" t="str">
        <f>IF(ISERROR(FIND('112'!$M$9,G708,1)),"",IF((AND(LEFT(G708,2)=LEFT('112'!$M$9,2),B708&lt;'112'!$K$9,$N708='112'!$I$6)),"x",""))</f>
        <v/>
      </c>
      <c r="V708" s="79" t="str">
        <f>IF(ISERROR(FIND('112'!$M$9,G708,1)),"",IF((AND(RIGHT(G708,2)=RIGHT('112'!$M$9,2),B708&lt;'112'!$K$9,$O708='112'!$I$6)),"x",""))</f>
        <v/>
      </c>
      <c r="W708" s="79" t="str">
        <f>IF(AND('341-CT'!$H$9=H708,OR(LEFT(N708,3)=$W$7,LEFT(O708,3)=$W$7)),"x","")</f>
        <v/>
      </c>
      <c r="X708" s="79" t="str">
        <f>IF(OR(TH!N708=TH!$X$7,O708=TH!$X$7),"x","")</f>
        <v/>
      </c>
      <c r="Y708" s="79" t="str">
        <f>IF(AND(OR(N708="131",O708="131"),H708='131-CT'!$H$9),"x","")</f>
        <v/>
      </c>
      <c r="Z708" s="79"/>
      <c r="AA708" s="79" t="str">
        <f>IF(AND(MONTH(E708)='IN-NX'!$J$5,'IN-NX'!$D$7=D708),"x","")</f>
        <v/>
      </c>
      <c r="AB708" s="79" t="str">
        <f>IF(AND(OR(LEFT(TH!N708,2)="15",LEFT(TH!O708,2)="15"),LEFT(TH!O708,3)&lt;&gt;"111",'152-CT'!$J$8=TH!F708),"x","")</f>
        <v/>
      </c>
      <c r="AC708" s="79" t="str">
        <f>IF(AND(OR(LEFT(TH!N708,2)="15",LEFT(TH!O708,2)="15"),TK!$E$7=TH!F708),"x","")</f>
        <v/>
      </c>
      <c r="AD708" s="79" t="str">
        <f>IF(AND(N708="1521",MONTH(C708)='BK-NL'!$M$11),"x","")</f>
        <v/>
      </c>
    </row>
    <row r="709" spans="1:30" ht="16.5" customHeight="1">
      <c r="A709" s="318" t="str">
        <f>IF(B709&lt;&gt;"",IF(AND(B709='IN-TC'!$S$4,OR(TH!N709="1111",TH!O709="1111")),TH!D709,""),"")</f>
        <v/>
      </c>
      <c r="B709" s="60" t="str">
        <f t="shared" si="129"/>
        <v/>
      </c>
      <c r="C709" s="974"/>
      <c r="D709" s="974"/>
      <c r="E709" s="974"/>
      <c r="F709" s="975"/>
      <c r="G709" s="976"/>
      <c r="H709" s="305"/>
      <c r="I709" s="383"/>
      <c r="J709" s="977"/>
      <c r="K709" s="383"/>
      <c r="L709" s="390"/>
      <c r="M709" s="978"/>
      <c r="N709" s="979"/>
      <c r="O709" s="979"/>
      <c r="P709" s="79" t="str">
        <f>IF(AND('331-CT'!$E$7=TH!H709,OR(N709="331",O709="331")),"x","")</f>
        <v/>
      </c>
      <c r="Q709" s="79" t="str">
        <f>IF(AND(B709='111'!$L$11,OR($N709=$Q$7,$O709=$Q$7)),"x","")</f>
        <v/>
      </c>
      <c r="R709" s="79" t="str">
        <f>IF(AND($N709=$Q$7,$B709&lt;'111'!$L$11),"x","")</f>
        <v/>
      </c>
      <c r="S709" s="79" t="str">
        <f>IF(AND($O709=$Q$7,$B709&lt;'111'!$L$11),"x","")</f>
        <v/>
      </c>
      <c r="T709" s="79" t="str">
        <f>IF(ISERROR(FIND('112'!$M$9,G709,1)),"",IF((AND(FIND('112'!$M$9,G709,1)&gt;=1,B709='112'!$K$9,OR($N709='112'!$I$6,$O709='112'!$I$6))),"x",""))</f>
        <v/>
      </c>
      <c r="U709" s="79" t="str">
        <f>IF(ISERROR(FIND('112'!$M$9,G709,1)),"",IF((AND(LEFT(G709,2)=LEFT('112'!$M$9,2),B709&lt;'112'!$K$9,$N709='112'!$I$6)),"x",""))</f>
        <v/>
      </c>
      <c r="V709" s="79" t="str">
        <f>IF(ISERROR(FIND('112'!$M$9,G709,1)),"",IF((AND(RIGHT(G709,2)=RIGHT('112'!$M$9,2),B709&lt;'112'!$K$9,$O709='112'!$I$6)),"x",""))</f>
        <v/>
      </c>
      <c r="W709" s="79" t="str">
        <f>IF(AND('341-CT'!$H$9=H709,OR(LEFT(N709,3)=$W$7,LEFT(O709,3)=$W$7)),"x","")</f>
        <v/>
      </c>
      <c r="X709" s="79" t="str">
        <f>IF(OR(TH!N709=TH!$X$7,O709=TH!$X$7),"x","")</f>
        <v/>
      </c>
      <c r="Y709" s="79" t="str">
        <f>IF(AND(OR(N709="131",O709="131"),H709='131-CT'!$H$9),"x","")</f>
        <v/>
      </c>
      <c r="Z709" s="79"/>
      <c r="AA709" s="79" t="str">
        <f>IF(AND(MONTH(E709)='IN-NX'!$J$5,'IN-NX'!$D$7=D709),"x","")</f>
        <v/>
      </c>
      <c r="AB709" s="79" t="str">
        <f>IF(AND(OR(LEFT(TH!N709,2)="15",LEFT(TH!O709,2)="15"),LEFT(TH!O709,3)&lt;&gt;"111",'152-CT'!$J$8=TH!F709),"x","")</f>
        <v/>
      </c>
      <c r="AC709" s="79" t="str">
        <f>IF(AND(OR(LEFT(TH!N709,2)="15",LEFT(TH!O709,2)="15"),TK!$E$7=TH!F709),"x","")</f>
        <v/>
      </c>
      <c r="AD709" s="79" t="str">
        <f>IF(AND(N709="1521",MONTH(C709)='BK-NL'!$M$11),"x","")</f>
        <v/>
      </c>
    </row>
    <row r="710" spans="1:30" ht="16.5" customHeight="1">
      <c r="A710" s="318" t="str">
        <f>IF(B710&lt;&gt;"",IF(AND(B710='IN-TC'!$S$4,OR(TH!N710="1111",TH!O710="1111")),TH!D710,""),"")</f>
        <v/>
      </c>
      <c r="B710" s="60" t="str">
        <f t="shared" si="129"/>
        <v/>
      </c>
      <c r="C710" s="974"/>
      <c r="D710" s="974"/>
      <c r="E710" s="974"/>
      <c r="F710" s="975"/>
      <c r="G710" s="976"/>
      <c r="H710" s="305"/>
      <c r="I710" s="383"/>
      <c r="J710" s="977"/>
      <c r="K710" s="383"/>
      <c r="L710" s="390"/>
      <c r="M710" s="978"/>
      <c r="N710" s="979"/>
      <c r="O710" s="979"/>
      <c r="P710" s="79" t="str">
        <f>IF(AND('331-CT'!$E$7=TH!H710,OR(N710="331",O710="331")),"x","")</f>
        <v/>
      </c>
      <c r="Q710" s="79" t="str">
        <f>IF(AND(B710='111'!$L$11,OR($N710=$Q$7,$O710=$Q$7)),"x","")</f>
        <v/>
      </c>
      <c r="R710" s="79" t="str">
        <f>IF(AND($N710=$Q$7,$B710&lt;'111'!$L$11),"x","")</f>
        <v/>
      </c>
      <c r="S710" s="79" t="str">
        <f>IF(AND($O710=$Q$7,$B710&lt;'111'!$L$11),"x","")</f>
        <v/>
      </c>
      <c r="T710" s="79" t="str">
        <f>IF(ISERROR(FIND('112'!$M$9,G710,1)),"",IF((AND(FIND('112'!$M$9,G710,1)&gt;=1,B710='112'!$K$9,OR($N710='112'!$I$6,$O710='112'!$I$6))),"x",""))</f>
        <v/>
      </c>
      <c r="U710" s="79" t="str">
        <f>IF(ISERROR(FIND('112'!$M$9,G710,1)),"",IF((AND(LEFT(G710,2)=LEFT('112'!$M$9,2),B710&lt;'112'!$K$9,$N710='112'!$I$6)),"x",""))</f>
        <v/>
      </c>
      <c r="V710" s="79" t="str">
        <f>IF(ISERROR(FIND('112'!$M$9,G710,1)),"",IF((AND(RIGHT(G710,2)=RIGHT('112'!$M$9,2),B710&lt;'112'!$K$9,$O710='112'!$I$6)),"x",""))</f>
        <v/>
      </c>
      <c r="W710" s="79" t="str">
        <f>IF(AND('341-CT'!$H$9=H710,OR(LEFT(N710,3)=$W$7,LEFT(O710,3)=$W$7)),"x","")</f>
        <v/>
      </c>
      <c r="X710" s="79" t="str">
        <f>IF(OR(TH!N710=TH!$X$7,O710=TH!$X$7),"x","")</f>
        <v/>
      </c>
      <c r="Y710" s="79" t="str">
        <f>IF(AND(OR(N710="131",O710="131"),H710='131-CT'!$H$9),"x","")</f>
        <v/>
      </c>
      <c r="Z710" s="79"/>
      <c r="AA710" s="79" t="str">
        <f>IF(AND(MONTH(E710)='IN-NX'!$J$5,'IN-NX'!$D$7=D710),"x","")</f>
        <v/>
      </c>
      <c r="AB710" s="79" t="str">
        <f>IF(AND(OR(LEFT(TH!N710,2)="15",LEFT(TH!O710,2)="15"),LEFT(TH!O710,3)&lt;&gt;"111",'152-CT'!$J$8=TH!F710),"x","")</f>
        <v/>
      </c>
      <c r="AC710" s="79" t="str">
        <f>IF(AND(OR(LEFT(TH!N710,2)="15",LEFT(TH!O710,2)="15"),TK!$E$7=TH!F710),"x","")</f>
        <v/>
      </c>
      <c r="AD710" s="79" t="str">
        <f>IF(AND(N710="1521",MONTH(C710)='BK-NL'!$M$11),"x","")</f>
        <v/>
      </c>
    </row>
    <row r="711" spans="1:30" ht="16.5" customHeight="1">
      <c r="A711" s="318" t="str">
        <f>IF(B711&lt;&gt;"",IF(AND(B711='IN-TC'!$S$4,OR(TH!N711="1111",TH!O711="1111")),TH!D711,""),"")</f>
        <v/>
      </c>
      <c r="B711" s="60" t="str">
        <f t="shared" si="129"/>
        <v/>
      </c>
      <c r="C711" s="974"/>
      <c r="D711" s="974"/>
      <c r="E711" s="974"/>
      <c r="F711" s="975"/>
      <c r="G711" s="976"/>
      <c r="H711" s="305"/>
      <c r="I711" s="383"/>
      <c r="J711" s="977"/>
      <c r="K711" s="383"/>
      <c r="L711" s="390"/>
      <c r="M711" s="978"/>
      <c r="N711" s="979"/>
      <c r="O711" s="979"/>
      <c r="P711" s="79" t="str">
        <f>IF(AND('331-CT'!$E$7=TH!H711,OR(N711="331",O711="331")),"x","")</f>
        <v/>
      </c>
      <c r="Q711" s="79" t="str">
        <f>IF(AND(B711='111'!$L$11,OR($N711=$Q$7,$O711=$Q$7)),"x","")</f>
        <v/>
      </c>
      <c r="R711" s="79" t="str">
        <f>IF(AND($N711=$Q$7,$B711&lt;'111'!$L$11),"x","")</f>
        <v/>
      </c>
      <c r="S711" s="79" t="str">
        <f>IF(AND($O711=$Q$7,$B711&lt;'111'!$L$11),"x","")</f>
        <v/>
      </c>
      <c r="T711" s="79" t="str">
        <f>IF(ISERROR(FIND('112'!$M$9,G711,1)),"",IF((AND(FIND('112'!$M$9,G711,1)&gt;=1,B711='112'!$K$9,OR($N711='112'!$I$6,$O711='112'!$I$6))),"x",""))</f>
        <v/>
      </c>
      <c r="U711" s="79" t="str">
        <f>IF(ISERROR(FIND('112'!$M$9,G711,1)),"",IF((AND(LEFT(G711,2)=LEFT('112'!$M$9,2),B711&lt;'112'!$K$9,$N711='112'!$I$6)),"x",""))</f>
        <v/>
      </c>
      <c r="V711" s="79" t="str">
        <f>IF(ISERROR(FIND('112'!$M$9,G711,1)),"",IF((AND(RIGHT(G711,2)=RIGHT('112'!$M$9,2),B711&lt;'112'!$K$9,$O711='112'!$I$6)),"x",""))</f>
        <v/>
      </c>
      <c r="W711" s="79" t="str">
        <f>IF(AND('341-CT'!$H$9=H711,OR(LEFT(N711,3)=$W$7,LEFT(O711,3)=$W$7)),"x","")</f>
        <v/>
      </c>
      <c r="X711" s="79" t="str">
        <f>IF(OR(TH!N711=TH!$X$7,O711=TH!$X$7),"x","")</f>
        <v/>
      </c>
      <c r="Y711" s="79" t="str">
        <f>IF(AND(OR(N711="131",O711="131"),H711='131-CT'!$H$9),"x","")</f>
        <v/>
      </c>
      <c r="Z711" s="79"/>
      <c r="AA711" s="79" t="str">
        <f>IF(AND(MONTH(E711)='IN-NX'!$J$5,'IN-NX'!$D$7=D711),"x","")</f>
        <v/>
      </c>
      <c r="AB711" s="79" t="str">
        <f>IF(AND(OR(LEFT(TH!N711,2)="15",LEFT(TH!O711,2)="15"),LEFT(TH!O711,3)&lt;&gt;"111",'152-CT'!$J$8=TH!F711),"x","")</f>
        <v/>
      </c>
      <c r="AC711" s="79" t="str">
        <f>IF(AND(OR(LEFT(TH!N711,2)="15",LEFT(TH!O711,2)="15"),TK!$E$7=TH!F711),"x","")</f>
        <v/>
      </c>
      <c r="AD711" s="79" t="str">
        <f>IF(AND(N711="1521",MONTH(C711)='BK-NL'!$M$11),"x","")</f>
        <v/>
      </c>
    </row>
    <row r="712" spans="1:30" ht="16.5" customHeight="1">
      <c r="A712" s="318" t="str">
        <f>IF(B712&lt;&gt;"",IF(AND(B712='IN-TC'!$S$4,OR(TH!N712="1111",TH!O712="1111")),TH!D712,""),"")</f>
        <v/>
      </c>
      <c r="B712" s="60" t="str">
        <f t="shared" si="129"/>
        <v/>
      </c>
      <c r="C712" s="974"/>
      <c r="D712" s="974"/>
      <c r="E712" s="974"/>
      <c r="F712" s="975"/>
      <c r="G712" s="976"/>
      <c r="H712" s="305"/>
      <c r="I712" s="383"/>
      <c r="J712" s="977"/>
      <c r="K712" s="383"/>
      <c r="L712" s="390"/>
      <c r="M712" s="978"/>
      <c r="N712" s="979"/>
      <c r="O712" s="979"/>
      <c r="P712" s="79" t="str">
        <f>IF(AND('331-CT'!$E$7=TH!H712,OR(N712="331",O712="331")),"x","")</f>
        <v/>
      </c>
      <c r="Q712" s="79" t="str">
        <f>IF(AND(B712='111'!$L$11,OR($N712=$Q$7,$O712=$Q$7)),"x","")</f>
        <v/>
      </c>
      <c r="R712" s="79" t="str">
        <f>IF(AND($N712=$Q$7,$B712&lt;'111'!$L$11),"x","")</f>
        <v/>
      </c>
      <c r="S712" s="79" t="str">
        <f>IF(AND($O712=$Q$7,$B712&lt;'111'!$L$11),"x","")</f>
        <v/>
      </c>
      <c r="T712" s="79" t="str">
        <f>IF(ISERROR(FIND('112'!$M$9,G712,1)),"",IF((AND(FIND('112'!$M$9,G712,1)&gt;=1,B712='112'!$K$9,OR($N712='112'!$I$6,$O712='112'!$I$6))),"x",""))</f>
        <v/>
      </c>
      <c r="U712" s="79" t="str">
        <f>IF(ISERROR(FIND('112'!$M$9,G712,1)),"",IF((AND(LEFT(G712,2)=LEFT('112'!$M$9,2),B712&lt;'112'!$K$9,$N712='112'!$I$6)),"x",""))</f>
        <v/>
      </c>
      <c r="V712" s="79" t="str">
        <f>IF(ISERROR(FIND('112'!$M$9,G712,1)),"",IF((AND(RIGHT(G712,2)=RIGHT('112'!$M$9,2),B712&lt;'112'!$K$9,$O712='112'!$I$6)),"x",""))</f>
        <v/>
      </c>
      <c r="W712" s="79" t="str">
        <f>IF(AND('341-CT'!$H$9=H712,OR(LEFT(N712,3)=$W$7,LEFT(O712,3)=$W$7)),"x","")</f>
        <v/>
      </c>
      <c r="X712" s="79" t="str">
        <f>IF(OR(TH!N712=TH!$X$7,O712=TH!$X$7),"x","")</f>
        <v/>
      </c>
      <c r="Y712" s="79" t="str">
        <f>IF(AND(OR(N712="131",O712="131"),H712='131-CT'!$H$9),"x","")</f>
        <v/>
      </c>
      <c r="Z712" s="79"/>
      <c r="AA712" s="79" t="str">
        <f>IF(AND(MONTH(E712)='IN-NX'!$J$5,'IN-NX'!$D$7=D712),"x","")</f>
        <v/>
      </c>
      <c r="AB712" s="79" t="str">
        <f>IF(AND(OR(LEFT(TH!N712,2)="15",LEFT(TH!O712,2)="15"),LEFT(TH!O712,3)&lt;&gt;"111",'152-CT'!$J$8=TH!F712),"x","")</f>
        <v/>
      </c>
      <c r="AC712" s="79" t="str">
        <f>IF(AND(OR(LEFT(TH!N712,2)="15",LEFT(TH!O712,2)="15"),TK!$E$7=TH!F712),"x","")</f>
        <v/>
      </c>
      <c r="AD712" s="79" t="str">
        <f>IF(AND(N712="1521",MONTH(C712)='BK-NL'!$M$11),"x","")</f>
        <v/>
      </c>
    </row>
    <row r="713" spans="1:30" ht="16.5" customHeight="1">
      <c r="A713" s="318" t="str">
        <f>IF(B713&lt;&gt;"",IF(AND(B713='IN-TC'!$S$4,OR(TH!N713="1111",TH!O713="1111")),TH!D713,""),"")</f>
        <v/>
      </c>
      <c r="B713" s="60" t="str">
        <f t="shared" si="129"/>
        <v/>
      </c>
      <c r="C713" s="974"/>
      <c r="D713" s="974"/>
      <c r="E713" s="974"/>
      <c r="F713" s="975"/>
      <c r="G713" s="976"/>
      <c r="H713" s="305"/>
      <c r="I713" s="383"/>
      <c r="J713" s="977"/>
      <c r="K713" s="383"/>
      <c r="L713" s="390"/>
      <c r="M713" s="978"/>
      <c r="N713" s="979"/>
      <c r="O713" s="979"/>
      <c r="P713" s="79" t="str">
        <f>IF(AND('331-CT'!$E$7=TH!H713,OR(N713="331",O713="331")),"x","")</f>
        <v/>
      </c>
      <c r="Q713" s="79" t="str">
        <f>IF(AND(B713='111'!$L$11,OR($N713=$Q$7,$O713=$Q$7)),"x","")</f>
        <v/>
      </c>
      <c r="R713" s="79" t="str">
        <f>IF(AND($N713=$Q$7,$B713&lt;'111'!$L$11),"x","")</f>
        <v/>
      </c>
      <c r="S713" s="79" t="str">
        <f>IF(AND($O713=$Q$7,$B713&lt;'111'!$L$11),"x","")</f>
        <v/>
      </c>
      <c r="T713" s="79" t="str">
        <f>IF(ISERROR(FIND('112'!$M$9,G713,1)),"",IF((AND(FIND('112'!$M$9,G713,1)&gt;=1,B713='112'!$K$9,OR($N713='112'!$I$6,$O713='112'!$I$6))),"x",""))</f>
        <v/>
      </c>
      <c r="U713" s="79" t="str">
        <f>IF(ISERROR(FIND('112'!$M$9,G713,1)),"",IF((AND(LEFT(G713,2)=LEFT('112'!$M$9,2),B713&lt;'112'!$K$9,$N713='112'!$I$6)),"x",""))</f>
        <v/>
      </c>
      <c r="V713" s="79" t="str">
        <f>IF(ISERROR(FIND('112'!$M$9,G713,1)),"",IF((AND(RIGHT(G713,2)=RIGHT('112'!$M$9,2),B713&lt;'112'!$K$9,$O713='112'!$I$6)),"x",""))</f>
        <v/>
      </c>
      <c r="W713" s="79" t="str">
        <f>IF(AND('341-CT'!$H$9=H713,OR(LEFT(N713,3)=$W$7,LEFT(O713,3)=$W$7)),"x","")</f>
        <v/>
      </c>
      <c r="X713" s="79" t="str">
        <f>IF(OR(TH!N713=TH!$X$7,O713=TH!$X$7),"x","")</f>
        <v/>
      </c>
      <c r="Y713" s="79" t="str">
        <f>IF(AND(OR(N713="131",O713="131"),H713='131-CT'!$H$9),"x","")</f>
        <v/>
      </c>
      <c r="Z713" s="79"/>
      <c r="AA713" s="79" t="str">
        <f>IF(AND(MONTH(E713)='IN-NX'!$J$5,'IN-NX'!$D$7=D713),"x","")</f>
        <v/>
      </c>
      <c r="AB713" s="79" t="str">
        <f>IF(AND(OR(LEFT(TH!N713,2)="15",LEFT(TH!O713,2)="15"),LEFT(TH!O713,3)&lt;&gt;"111",'152-CT'!$J$8=TH!F713),"x","")</f>
        <v/>
      </c>
      <c r="AC713" s="79" t="str">
        <f>IF(AND(OR(LEFT(TH!N713,2)="15",LEFT(TH!O713,2)="15"),TK!$E$7=TH!F713),"x","")</f>
        <v/>
      </c>
      <c r="AD713" s="79" t="str">
        <f>IF(AND(N713="1521",MONTH(C713)='BK-NL'!$M$11),"x","")</f>
        <v/>
      </c>
    </row>
    <row r="714" spans="1:30" ht="16.5" customHeight="1">
      <c r="A714" s="318" t="str">
        <f>IF(B714&lt;&gt;"",IF(AND(B714='IN-TC'!$S$4,OR(TH!N714="1111",TH!O714="1111")),TH!D714,""),"")</f>
        <v/>
      </c>
      <c r="B714" s="60" t="str">
        <f t="shared" si="129"/>
        <v/>
      </c>
      <c r="C714" s="974"/>
      <c r="D714" s="974"/>
      <c r="E714" s="974"/>
      <c r="F714" s="975"/>
      <c r="G714" s="976"/>
      <c r="H714" s="305"/>
      <c r="I714" s="383"/>
      <c r="J714" s="977"/>
      <c r="K714" s="383"/>
      <c r="L714" s="390"/>
      <c r="M714" s="978"/>
      <c r="N714" s="979"/>
      <c r="O714" s="979"/>
      <c r="P714" s="79" t="str">
        <f>IF(AND('331-CT'!$E$7=TH!H714,OR(N714="331",O714="331")),"x","")</f>
        <v/>
      </c>
      <c r="Q714" s="79" t="str">
        <f>IF(AND(B714='111'!$L$11,OR($N714=$Q$7,$O714=$Q$7)),"x","")</f>
        <v/>
      </c>
      <c r="R714" s="79" t="str">
        <f>IF(AND($N714=$Q$7,$B714&lt;'111'!$L$11),"x","")</f>
        <v/>
      </c>
      <c r="S714" s="79" t="str">
        <f>IF(AND($O714=$Q$7,$B714&lt;'111'!$L$11),"x","")</f>
        <v/>
      </c>
      <c r="T714" s="79" t="str">
        <f>IF(ISERROR(FIND('112'!$M$9,G714,1)),"",IF((AND(FIND('112'!$M$9,G714,1)&gt;=1,B714='112'!$K$9,OR($N714='112'!$I$6,$O714='112'!$I$6))),"x",""))</f>
        <v/>
      </c>
      <c r="U714" s="79" t="str">
        <f>IF(ISERROR(FIND('112'!$M$9,G714,1)),"",IF((AND(LEFT(G714,2)=LEFT('112'!$M$9,2),B714&lt;'112'!$K$9,$N714='112'!$I$6)),"x",""))</f>
        <v/>
      </c>
      <c r="V714" s="79" t="str">
        <f>IF(ISERROR(FIND('112'!$M$9,G714,1)),"",IF((AND(RIGHT(G714,2)=RIGHT('112'!$M$9,2),B714&lt;'112'!$K$9,$O714='112'!$I$6)),"x",""))</f>
        <v/>
      </c>
      <c r="W714" s="79" t="str">
        <f>IF(AND('341-CT'!$H$9=H714,OR(LEFT(N714,3)=$W$7,LEFT(O714,3)=$W$7)),"x","")</f>
        <v/>
      </c>
      <c r="X714" s="79" t="str">
        <f>IF(OR(TH!N714=TH!$X$7,O714=TH!$X$7),"x","")</f>
        <v/>
      </c>
      <c r="Y714" s="79" t="str">
        <f>IF(AND(OR(N714="131",O714="131"),H714='131-CT'!$H$9),"x","")</f>
        <v/>
      </c>
      <c r="Z714" s="79"/>
      <c r="AA714" s="79" t="str">
        <f>IF(AND(MONTH(E714)='IN-NX'!$J$5,'IN-NX'!$D$7=D714),"x","")</f>
        <v/>
      </c>
      <c r="AB714" s="79" t="str">
        <f>IF(AND(OR(LEFT(TH!N714,2)="15",LEFT(TH!O714,2)="15"),LEFT(TH!O714,3)&lt;&gt;"111",'152-CT'!$J$8=TH!F714),"x","")</f>
        <v/>
      </c>
      <c r="AC714" s="79" t="str">
        <f>IF(AND(OR(LEFT(TH!N714,2)="15",LEFT(TH!O714,2)="15"),TK!$E$7=TH!F714),"x","")</f>
        <v/>
      </c>
      <c r="AD714" s="79" t="str">
        <f>IF(AND(N714="1521",MONTH(C714)='BK-NL'!$M$11),"x","")</f>
        <v/>
      </c>
    </row>
    <row r="715" spans="1:30" ht="16.5" customHeight="1">
      <c r="A715" s="318" t="str">
        <f>IF(B715&lt;&gt;"",IF(AND(B715='IN-TC'!$S$4,OR(TH!N715="1111",TH!O715="1111")),TH!D715,""),"")</f>
        <v/>
      </c>
      <c r="B715" s="60" t="str">
        <f t="shared" si="129"/>
        <v/>
      </c>
      <c r="C715" s="974"/>
      <c r="D715" s="974"/>
      <c r="E715" s="974"/>
      <c r="F715" s="975"/>
      <c r="G715" s="976"/>
      <c r="H715" s="305"/>
      <c r="I715" s="383"/>
      <c r="J715" s="977"/>
      <c r="K715" s="383"/>
      <c r="L715" s="390"/>
      <c r="M715" s="978"/>
      <c r="N715" s="979"/>
      <c r="O715" s="979"/>
      <c r="P715" s="79" t="str">
        <f>IF(AND('331-CT'!$E$7=TH!H715,OR(N715="331",O715="331")),"x","")</f>
        <v/>
      </c>
      <c r="Q715" s="79" t="str">
        <f>IF(AND(B715='111'!$L$11,OR($N715=$Q$7,$O715=$Q$7)),"x","")</f>
        <v/>
      </c>
      <c r="R715" s="79" t="str">
        <f>IF(AND($N715=$Q$7,$B715&lt;'111'!$L$11),"x","")</f>
        <v/>
      </c>
      <c r="S715" s="79" t="str">
        <f>IF(AND($O715=$Q$7,$B715&lt;'111'!$L$11),"x","")</f>
        <v/>
      </c>
      <c r="T715" s="79" t="str">
        <f>IF(ISERROR(FIND('112'!$M$9,G715,1)),"",IF((AND(FIND('112'!$M$9,G715,1)&gt;=1,B715='112'!$K$9,OR($N715='112'!$I$6,$O715='112'!$I$6))),"x",""))</f>
        <v/>
      </c>
      <c r="U715" s="79" t="str">
        <f>IF(ISERROR(FIND('112'!$M$9,G715,1)),"",IF((AND(LEFT(G715,2)=LEFT('112'!$M$9,2),B715&lt;'112'!$K$9,$N715='112'!$I$6)),"x",""))</f>
        <v/>
      </c>
      <c r="V715" s="79" t="str">
        <f>IF(ISERROR(FIND('112'!$M$9,G715,1)),"",IF((AND(RIGHT(G715,2)=RIGHT('112'!$M$9,2),B715&lt;'112'!$K$9,$O715='112'!$I$6)),"x",""))</f>
        <v/>
      </c>
      <c r="W715" s="79" t="str">
        <f>IF(AND('341-CT'!$H$9=H715,OR(LEFT(N715,3)=$W$7,LEFT(O715,3)=$W$7)),"x","")</f>
        <v/>
      </c>
      <c r="X715" s="79" t="str">
        <f>IF(OR(TH!N715=TH!$X$7,O715=TH!$X$7),"x","")</f>
        <v/>
      </c>
      <c r="Y715" s="79" t="str">
        <f>IF(AND(OR(N715="131",O715="131"),H715='131-CT'!$H$9),"x","")</f>
        <v/>
      </c>
      <c r="Z715" s="79"/>
      <c r="AA715" s="79" t="str">
        <f>IF(AND(MONTH(E715)='IN-NX'!$J$5,'IN-NX'!$D$7=D715),"x","")</f>
        <v/>
      </c>
      <c r="AB715" s="79" t="str">
        <f>IF(AND(OR(LEFT(TH!N715,2)="15",LEFT(TH!O715,2)="15"),LEFT(TH!O715,3)&lt;&gt;"111",'152-CT'!$J$8=TH!F715),"x","")</f>
        <v/>
      </c>
      <c r="AC715" s="79" t="str">
        <f>IF(AND(OR(LEFT(TH!N715,2)="15",LEFT(TH!O715,2)="15"),TK!$E$7=TH!F715),"x","")</f>
        <v/>
      </c>
      <c r="AD715" s="79" t="str">
        <f>IF(AND(N715="1521",MONTH(C715)='BK-NL'!$M$11),"x","")</f>
        <v/>
      </c>
    </row>
    <row r="716" spans="1:30" ht="16.5" customHeight="1">
      <c r="A716" s="318" t="str">
        <f>IF(B716&lt;&gt;"",IF(AND(B716='IN-TC'!$S$4,OR(TH!N716="1111",TH!O716="1111")),TH!D716,""),"")</f>
        <v/>
      </c>
      <c r="B716" s="60" t="str">
        <f t="shared" si="129"/>
        <v/>
      </c>
      <c r="C716" s="974"/>
      <c r="D716" s="974"/>
      <c r="E716" s="974"/>
      <c r="F716" s="975"/>
      <c r="G716" s="976"/>
      <c r="H716" s="305"/>
      <c r="I716" s="383"/>
      <c r="J716" s="977"/>
      <c r="K716" s="383"/>
      <c r="L716" s="390"/>
      <c r="M716" s="978"/>
      <c r="N716" s="979"/>
      <c r="O716" s="979"/>
      <c r="P716" s="79" t="str">
        <f>IF(AND('331-CT'!$E$7=TH!H716,OR(N716="331",O716="331")),"x","")</f>
        <v/>
      </c>
      <c r="Q716" s="79" t="str">
        <f>IF(AND(B716='111'!$L$11,OR($N716=$Q$7,$O716=$Q$7)),"x","")</f>
        <v/>
      </c>
      <c r="R716" s="79" t="str">
        <f>IF(AND($N716=$Q$7,$B716&lt;'111'!$L$11),"x","")</f>
        <v/>
      </c>
      <c r="S716" s="79" t="str">
        <f>IF(AND($O716=$Q$7,$B716&lt;'111'!$L$11),"x","")</f>
        <v/>
      </c>
      <c r="T716" s="79" t="str">
        <f>IF(ISERROR(FIND('112'!$M$9,G716,1)),"",IF((AND(FIND('112'!$M$9,G716,1)&gt;=1,B716='112'!$K$9,OR($N716='112'!$I$6,$O716='112'!$I$6))),"x",""))</f>
        <v/>
      </c>
      <c r="U716" s="79" t="str">
        <f>IF(ISERROR(FIND('112'!$M$9,G716,1)),"",IF((AND(LEFT(G716,2)=LEFT('112'!$M$9,2),B716&lt;'112'!$K$9,$N716='112'!$I$6)),"x",""))</f>
        <v/>
      </c>
      <c r="V716" s="79" t="str">
        <f>IF(ISERROR(FIND('112'!$M$9,G716,1)),"",IF((AND(RIGHT(G716,2)=RIGHT('112'!$M$9,2),B716&lt;'112'!$K$9,$O716='112'!$I$6)),"x",""))</f>
        <v/>
      </c>
      <c r="W716" s="79" t="str">
        <f>IF(AND('341-CT'!$H$9=H716,OR(LEFT(N716,3)=$W$7,LEFT(O716,3)=$W$7)),"x","")</f>
        <v/>
      </c>
      <c r="X716" s="79" t="str">
        <f>IF(OR(TH!N716=TH!$X$7,O716=TH!$X$7),"x","")</f>
        <v/>
      </c>
      <c r="Y716" s="79" t="str">
        <f>IF(AND(OR(N716="131",O716="131"),H716='131-CT'!$H$9),"x","")</f>
        <v/>
      </c>
      <c r="Z716" s="79"/>
      <c r="AA716" s="79" t="str">
        <f>IF(AND(MONTH(E716)='IN-NX'!$J$5,'IN-NX'!$D$7=D716),"x","")</f>
        <v/>
      </c>
      <c r="AB716" s="79" t="str">
        <f>IF(AND(OR(LEFT(TH!N716,2)="15",LEFT(TH!O716,2)="15"),LEFT(TH!O716,3)&lt;&gt;"111",'152-CT'!$J$8=TH!F716),"x","")</f>
        <v/>
      </c>
      <c r="AC716" s="79" t="str">
        <f>IF(AND(OR(LEFT(TH!N716,2)="15",LEFT(TH!O716,2)="15"),TK!$E$7=TH!F716),"x","")</f>
        <v/>
      </c>
      <c r="AD716" s="79" t="str">
        <f>IF(AND(N716="1521",MONTH(C716)='BK-NL'!$M$11),"x","")</f>
        <v/>
      </c>
    </row>
    <row r="717" spans="1:30" ht="16.5" customHeight="1">
      <c r="A717" s="318" t="str">
        <f>IF(B717&lt;&gt;"",IF(AND(B717='IN-TC'!$S$4,OR(TH!N717="1111",TH!O717="1111")),TH!D717,""),"")</f>
        <v/>
      </c>
      <c r="B717" s="60" t="str">
        <f t="shared" si="129"/>
        <v/>
      </c>
      <c r="C717" s="974"/>
      <c r="D717" s="974"/>
      <c r="E717" s="974"/>
      <c r="F717" s="975"/>
      <c r="G717" s="976"/>
      <c r="H717" s="305"/>
      <c r="I717" s="383"/>
      <c r="J717" s="977"/>
      <c r="K717" s="383"/>
      <c r="L717" s="390"/>
      <c r="M717" s="978"/>
      <c r="N717" s="979"/>
      <c r="O717" s="979"/>
      <c r="P717" s="79" t="str">
        <f>IF(AND('331-CT'!$E$7=TH!H717,OR(N717="331",O717="331")),"x","")</f>
        <v/>
      </c>
      <c r="Q717" s="79" t="str">
        <f>IF(AND(B717='111'!$L$11,OR($N717=$Q$7,$O717=$Q$7)),"x","")</f>
        <v/>
      </c>
      <c r="R717" s="79" t="str">
        <f>IF(AND($N717=$Q$7,$B717&lt;'111'!$L$11),"x","")</f>
        <v/>
      </c>
      <c r="S717" s="79" t="str">
        <f>IF(AND($O717=$Q$7,$B717&lt;'111'!$L$11),"x","")</f>
        <v/>
      </c>
      <c r="T717" s="79" t="str">
        <f>IF(ISERROR(FIND('112'!$M$9,G717,1)),"",IF((AND(FIND('112'!$M$9,G717,1)&gt;=1,B717='112'!$K$9,OR($N717='112'!$I$6,$O717='112'!$I$6))),"x",""))</f>
        <v/>
      </c>
      <c r="U717" s="79" t="str">
        <f>IF(ISERROR(FIND('112'!$M$9,G717,1)),"",IF((AND(LEFT(G717,2)=LEFT('112'!$M$9,2),B717&lt;'112'!$K$9,$N717='112'!$I$6)),"x",""))</f>
        <v/>
      </c>
      <c r="V717" s="79" t="str">
        <f>IF(ISERROR(FIND('112'!$M$9,G717,1)),"",IF((AND(RIGHT(G717,2)=RIGHT('112'!$M$9,2),B717&lt;'112'!$K$9,$O717='112'!$I$6)),"x",""))</f>
        <v/>
      </c>
      <c r="W717" s="79" t="str">
        <f>IF(AND('341-CT'!$H$9=H717,OR(LEFT(N717,3)=$W$7,LEFT(O717,3)=$W$7)),"x","")</f>
        <v/>
      </c>
      <c r="X717" s="79" t="str">
        <f>IF(OR(TH!N717=TH!$X$7,O717=TH!$X$7),"x","")</f>
        <v/>
      </c>
      <c r="Y717" s="79" t="str">
        <f>IF(AND(OR(N717="131",O717="131"),H717='131-CT'!$H$9),"x","")</f>
        <v/>
      </c>
      <c r="Z717" s="79"/>
      <c r="AA717" s="79" t="str">
        <f>IF(AND(MONTH(E717)='IN-NX'!$J$5,'IN-NX'!$D$7=D717),"x","")</f>
        <v/>
      </c>
      <c r="AB717" s="79" t="str">
        <f>IF(AND(OR(LEFT(TH!N717,2)="15",LEFT(TH!O717,2)="15"),LEFT(TH!O717,3)&lt;&gt;"111",'152-CT'!$J$8=TH!F717),"x","")</f>
        <v/>
      </c>
      <c r="AC717" s="79" t="str">
        <f>IF(AND(OR(LEFT(TH!N717,2)="15",LEFT(TH!O717,2)="15"),TK!$E$7=TH!F717),"x","")</f>
        <v/>
      </c>
      <c r="AD717" s="79" t="str">
        <f>IF(AND(N717="1521",MONTH(C717)='BK-NL'!$M$11),"x","")</f>
        <v/>
      </c>
    </row>
    <row r="718" spans="1:30" ht="16.5" customHeight="1">
      <c r="A718" s="318" t="str">
        <f>IF(B718&lt;&gt;"",IF(AND(B718='IN-TC'!$S$4,OR(TH!N718="1111",TH!O718="1111")),TH!D718,""),"")</f>
        <v/>
      </c>
      <c r="B718" s="60" t="str">
        <f t="shared" si="129"/>
        <v/>
      </c>
      <c r="C718" s="974"/>
      <c r="D718" s="974"/>
      <c r="E718" s="974"/>
      <c r="F718" s="975"/>
      <c r="G718" s="976"/>
      <c r="H718" s="305"/>
      <c r="I718" s="383"/>
      <c r="J718" s="977"/>
      <c r="K718" s="383"/>
      <c r="L718" s="390"/>
      <c r="M718" s="978"/>
      <c r="N718" s="979"/>
      <c r="O718" s="979"/>
      <c r="P718" s="79" t="str">
        <f>IF(AND('331-CT'!$E$7=TH!H718,OR(N718="331",O718="331")),"x","")</f>
        <v/>
      </c>
      <c r="Q718" s="79" t="str">
        <f>IF(AND(B718='111'!$L$11,OR($N718=$Q$7,$O718=$Q$7)),"x","")</f>
        <v/>
      </c>
      <c r="R718" s="79" t="str">
        <f>IF(AND($N718=$Q$7,$B718&lt;'111'!$L$11),"x","")</f>
        <v/>
      </c>
      <c r="S718" s="79" t="str">
        <f>IF(AND($O718=$Q$7,$B718&lt;'111'!$L$11),"x","")</f>
        <v/>
      </c>
      <c r="T718" s="79" t="str">
        <f>IF(ISERROR(FIND('112'!$M$9,G718,1)),"",IF((AND(FIND('112'!$M$9,G718,1)&gt;=1,B718='112'!$K$9,OR($N718='112'!$I$6,$O718='112'!$I$6))),"x",""))</f>
        <v/>
      </c>
      <c r="U718" s="79" t="str">
        <f>IF(ISERROR(FIND('112'!$M$9,G718,1)),"",IF((AND(LEFT(G718,2)=LEFT('112'!$M$9,2),B718&lt;'112'!$K$9,$N718='112'!$I$6)),"x",""))</f>
        <v/>
      </c>
      <c r="V718" s="79" t="str">
        <f>IF(ISERROR(FIND('112'!$M$9,G718,1)),"",IF((AND(RIGHT(G718,2)=RIGHT('112'!$M$9,2),B718&lt;'112'!$K$9,$O718='112'!$I$6)),"x",""))</f>
        <v/>
      </c>
      <c r="W718" s="79" t="str">
        <f>IF(AND('341-CT'!$H$9=H718,OR(LEFT(N718,3)=$W$7,LEFT(O718,3)=$W$7)),"x","")</f>
        <v/>
      </c>
      <c r="X718" s="79" t="str">
        <f>IF(OR(TH!N718=TH!$X$7,O718=TH!$X$7),"x","")</f>
        <v/>
      </c>
      <c r="Y718" s="79" t="str">
        <f>IF(AND(OR(N718="131",O718="131"),H718='131-CT'!$H$9),"x","")</f>
        <v/>
      </c>
      <c r="Z718" s="79"/>
      <c r="AA718" s="79" t="str">
        <f>IF(AND(MONTH(E718)='IN-NX'!$J$5,'IN-NX'!$D$7=D718),"x","")</f>
        <v/>
      </c>
      <c r="AB718" s="79" t="str">
        <f>IF(AND(OR(LEFT(TH!N718,2)="15",LEFT(TH!O718,2)="15"),LEFT(TH!O718,3)&lt;&gt;"111",'152-CT'!$J$8=TH!F718),"x","")</f>
        <v/>
      </c>
      <c r="AC718" s="79" t="str">
        <f>IF(AND(OR(LEFT(TH!N718,2)="15",LEFT(TH!O718,2)="15"),TK!$E$7=TH!F718),"x","")</f>
        <v/>
      </c>
      <c r="AD718" s="79" t="str">
        <f>IF(AND(N718="1521",MONTH(C718)='BK-NL'!$M$11),"x","")</f>
        <v/>
      </c>
    </row>
    <row r="719" spans="1:30" ht="16.5" customHeight="1">
      <c r="A719" s="318" t="str">
        <f>IF(B719&lt;&gt;"",IF(AND(B719='IN-TC'!$S$4,OR(TH!N719="1111",TH!O719="1111")),TH!D719,""),"")</f>
        <v/>
      </c>
      <c r="B719" s="60" t="str">
        <f t="shared" si="129"/>
        <v/>
      </c>
      <c r="C719" s="974"/>
      <c r="D719" s="974"/>
      <c r="E719" s="974"/>
      <c r="F719" s="975"/>
      <c r="G719" s="976"/>
      <c r="H719" s="305"/>
      <c r="I719" s="383"/>
      <c r="J719" s="977"/>
      <c r="K719" s="383"/>
      <c r="L719" s="390"/>
      <c r="M719" s="978"/>
      <c r="N719" s="979"/>
      <c r="O719" s="979"/>
      <c r="P719" s="79" t="str">
        <f>IF(AND('331-CT'!$E$7=TH!H719,OR(N719="331",O719="331")),"x","")</f>
        <v/>
      </c>
      <c r="Q719" s="79" t="str">
        <f>IF(AND(B719='111'!$L$11,OR($N719=$Q$7,$O719=$Q$7)),"x","")</f>
        <v/>
      </c>
      <c r="R719" s="79" t="str">
        <f>IF(AND($N719=$Q$7,$B719&lt;'111'!$L$11),"x","")</f>
        <v/>
      </c>
      <c r="S719" s="79" t="str">
        <f>IF(AND($O719=$Q$7,$B719&lt;'111'!$L$11),"x","")</f>
        <v/>
      </c>
      <c r="T719" s="79" t="str">
        <f>IF(ISERROR(FIND('112'!$M$9,G719,1)),"",IF((AND(FIND('112'!$M$9,G719,1)&gt;=1,B719='112'!$K$9,OR($N719='112'!$I$6,$O719='112'!$I$6))),"x",""))</f>
        <v/>
      </c>
      <c r="U719" s="79" t="str">
        <f>IF(ISERROR(FIND('112'!$M$9,G719,1)),"",IF((AND(LEFT(G719,2)=LEFT('112'!$M$9,2),B719&lt;'112'!$K$9,$N719='112'!$I$6)),"x",""))</f>
        <v/>
      </c>
      <c r="V719" s="79" t="str">
        <f>IF(ISERROR(FIND('112'!$M$9,G719,1)),"",IF((AND(RIGHT(G719,2)=RIGHT('112'!$M$9,2),B719&lt;'112'!$K$9,$O719='112'!$I$6)),"x",""))</f>
        <v/>
      </c>
      <c r="W719" s="79" t="str">
        <f>IF(AND('341-CT'!$H$9=H719,OR(LEFT(N719,3)=$W$7,LEFT(O719,3)=$W$7)),"x","")</f>
        <v/>
      </c>
      <c r="X719" s="79" t="str">
        <f>IF(OR(TH!N719=TH!$X$7,O719=TH!$X$7),"x","")</f>
        <v/>
      </c>
      <c r="Y719" s="79" t="str">
        <f>IF(AND(OR(N719="131",O719="131"),H719='131-CT'!$H$9),"x","")</f>
        <v/>
      </c>
      <c r="Z719" s="79"/>
      <c r="AA719" s="79" t="str">
        <f>IF(AND(MONTH(E719)='IN-NX'!$J$5,'IN-NX'!$D$7=D719),"x","")</f>
        <v/>
      </c>
      <c r="AB719" s="79" t="str">
        <f>IF(AND(OR(LEFT(TH!N719,2)="15",LEFT(TH!O719,2)="15"),LEFT(TH!O719,3)&lt;&gt;"111",'152-CT'!$J$8=TH!F719),"x","")</f>
        <v/>
      </c>
      <c r="AC719" s="79" t="str">
        <f>IF(AND(OR(LEFT(TH!N719,2)="15",LEFT(TH!O719,2)="15"),TK!$E$7=TH!F719),"x","")</f>
        <v/>
      </c>
      <c r="AD719" s="79" t="str">
        <f>IF(AND(N719="1521",MONTH(C719)='BK-NL'!$M$11),"x","")</f>
        <v/>
      </c>
    </row>
    <row r="720" spans="1:30" ht="16.5" customHeight="1">
      <c r="A720" s="318" t="str">
        <f>IF(B720&lt;&gt;"",IF(AND(B720='IN-TC'!$S$4,OR(TH!N720="1111",TH!O720="1111")),TH!D720,""),"")</f>
        <v/>
      </c>
      <c r="B720" s="60" t="str">
        <f t="shared" si="129"/>
        <v/>
      </c>
      <c r="C720" s="974"/>
      <c r="D720" s="974"/>
      <c r="E720" s="974"/>
      <c r="F720" s="975"/>
      <c r="G720" s="976"/>
      <c r="H720" s="305"/>
      <c r="I720" s="383"/>
      <c r="J720" s="977"/>
      <c r="K720" s="383"/>
      <c r="L720" s="390"/>
      <c r="M720" s="978"/>
      <c r="N720" s="979"/>
      <c r="O720" s="979"/>
      <c r="P720" s="79" t="str">
        <f>IF(AND('331-CT'!$E$7=TH!H720,OR(N720="331",O720="331")),"x","")</f>
        <v/>
      </c>
      <c r="Q720" s="79" t="str">
        <f>IF(AND(B720='111'!$L$11,OR($N720=$Q$7,$O720=$Q$7)),"x","")</f>
        <v/>
      </c>
      <c r="R720" s="79" t="str">
        <f>IF(AND($N720=$Q$7,$B720&lt;'111'!$L$11),"x","")</f>
        <v/>
      </c>
      <c r="S720" s="79" t="str">
        <f>IF(AND($O720=$Q$7,$B720&lt;'111'!$L$11),"x","")</f>
        <v/>
      </c>
      <c r="T720" s="79" t="str">
        <f>IF(ISERROR(FIND('112'!$M$9,G720,1)),"",IF((AND(FIND('112'!$M$9,G720,1)&gt;=1,B720='112'!$K$9,OR($N720='112'!$I$6,$O720='112'!$I$6))),"x",""))</f>
        <v/>
      </c>
      <c r="U720" s="79" t="str">
        <f>IF(ISERROR(FIND('112'!$M$9,G720,1)),"",IF((AND(LEFT(G720,2)=LEFT('112'!$M$9,2),B720&lt;'112'!$K$9,$N720='112'!$I$6)),"x",""))</f>
        <v/>
      </c>
      <c r="V720" s="79" t="str">
        <f>IF(ISERROR(FIND('112'!$M$9,G720,1)),"",IF((AND(RIGHT(G720,2)=RIGHT('112'!$M$9,2),B720&lt;'112'!$K$9,$O720='112'!$I$6)),"x",""))</f>
        <v/>
      </c>
      <c r="W720" s="79" t="str">
        <f>IF(AND('341-CT'!$H$9=H720,OR(LEFT(N720,3)=$W$7,LEFT(O720,3)=$W$7)),"x","")</f>
        <v/>
      </c>
      <c r="X720" s="79" t="str">
        <f>IF(OR(TH!N720=TH!$X$7,O720=TH!$X$7),"x","")</f>
        <v/>
      </c>
      <c r="Y720" s="79" t="str">
        <f>IF(AND(OR(N720="131",O720="131"),H720='131-CT'!$H$9),"x","")</f>
        <v/>
      </c>
      <c r="Z720" s="79"/>
      <c r="AA720" s="79" t="str">
        <f>IF(AND(MONTH(E720)='IN-NX'!$J$5,'IN-NX'!$D$7=D720),"x","")</f>
        <v/>
      </c>
      <c r="AB720" s="79" t="str">
        <f>IF(AND(OR(LEFT(TH!N720,2)="15",LEFT(TH!O720,2)="15"),LEFT(TH!O720,3)&lt;&gt;"111",'152-CT'!$J$8=TH!F720),"x","")</f>
        <v/>
      </c>
      <c r="AC720" s="79" t="str">
        <f>IF(AND(OR(LEFT(TH!N720,2)="15",LEFT(TH!O720,2)="15"),TK!$E$7=TH!F720),"x","")</f>
        <v/>
      </c>
      <c r="AD720" s="79" t="str">
        <f>IF(AND(N720="1521",MONTH(C720)='BK-NL'!$M$11),"x","")</f>
        <v/>
      </c>
    </row>
    <row r="721" spans="1:30" ht="16.5" customHeight="1">
      <c r="A721" s="318" t="str">
        <f>IF(B721&lt;&gt;"",IF(AND(B721='IN-TC'!$S$4,OR(TH!N721="1111",TH!O721="1111")),TH!D721,""),"")</f>
        <v/>
      </c>
      <c r="B721" s="60" t="str">
        <f t="shared" si="129"/>
        <v/>
      </c>
      <c r="C721" s="974"/>
      <c r="D721" s="974"/>
      <c r="E721" s="974"/>
      <c r="F721" s="975"/>
      <c r="G721" s="976"/>
      <c r="H721" s="759"/>
      <c r="I721" s="383"/>
      <c r="J721" s="977"/>
      <c r="K721" s="383"/>
      <c r="L721" s="390"/>
      <c r="M721" s="978"/>
      <c r="N721" s="979"/>
      <c r="O721" s="979"/>
      <c r="P721" s="79" t="str">
        <f>IF(AND('331-CT'!$E$7=TH!H721,OR(N721="331",O721="331")),"x","")</f>
        <v/>
      </c>
      <c r="Q721" s="79" t="str">
        <f>IF(AND(B721='111'!$L$11,OR($N721=$Q$7,$O721=$Q$7)),"x","")</f>
        <v/>
      </c>
      <c r="R721" s="79" t="str">
        <f>IF(AND($N721=$Q$7,$B721&lt;'111'!$L$11),"x","")</f>
        <v/>
      </c>
      <c r="S721" s="79" t="str">
        <f>IF(AND($O721=$Q$7,$B721&lt;'111'!$L$11),"x","")</f>
        <v/>
      </c>
      <c r="T721" s="79" t="str">
        <f>IF(ISERROR(FIND('112'!$M$9,G721,1)),"",IF((AND(FIND('112'!$M$9,G721,1)&gt;=1,B721='112'!$K$9,OR($N721='112'!$I$6,$O721='112'!$I$6))),"x",""))</f>
        <v/>
      </c>
      <c r="U721" s="79" t="str">
        <f>IF(ISERROR(FIND('112'!$M$9,G721,1)),"",IF((AND(LEFT(G721,2)=LEFT('112'!$M$9,2),B721&lt;'112'!$K$9,$N721='112'!$I$6)),"x",""))</f>
        <v/>
      </c>
      <c r="V721" s="79" t="str">
        <f>IF(ISERROR(FIND('112'!$M$9,G721,1)),"",IF((AND(RIGHT(G721,2)=RIGHT('112'!$M$9,2),B721&lt;'112'!$K$9,$O721='112'!$I$6)),"x",""))</f>
        <v/>
      </c>
      <c r="W721" s="79" t="str">
        <f>IF(AND('341-CT'!$H$9=H721,OR(LEFT(N721,3)=$W$7,LEFT(O721,3)=$W$7)),"x","")</f>
        <v/>
      </c>
      <c r="X721" s="79" t="str">
        <f>IF(OR(TH!N721=TH!$X$7,O721=TH!$X$7),"x","")</f>
        <v/>
      </c>
      <c r="Y721" s="79" t="str">
        <f>IF(AND(OR(N721="131",O721="131"),H721='131-CT'!$H$9),"x","")</f>
        <v/>
      </c>
      <c r="Z721" s="79"/>
      <c r="AA721" s="79" t="str">
        <f>IF(AND(MONTH(E721)='IN-NX'!$J$5,'IN-NX'!$D$7=D721),"x","")</f>
        <v/>
      </c>
      <c r="AB721" s="79" t="str">
        <f>IF(AND(OR(LEFT(TH!N721,2)="15",LEFT(TH!O721,2)="15"),LEFT(TH!O721,3)&lt;&gt;"111",'152-CT'!$J$8=TH!F721),"x","")</f>
        <v/>
      </c>
      <c r="AC721" s="79" t="str">
        <f>IF(AND(OR(LEFT(TH!N721,2)="15",LEFT(TH!O721,2)="15"),TK!$E$7=TH!F721),"x","")</f>
        <v/>
      </c>
      <c r="AD721" s="79" t="str">
        <f>IF(AND(N721="1521",MONTH(C721)='BK-NL'!$M$11),"x","")</f>
        <v/>
      </c>
    </row>
    <row r="722" spans="1:30" ht="16.5" customHeight="1">
      <c r="A722" s="318" t="str">
        <f>IF(B722&lt;&gt;"",IF(AND(B722='IN-TC'!$S$4,OR(TH!N722="1111",TH!O722="1111")),TH!D722,""),"")</f>
        <v/>
      </c>
      <c r="B722" s="60" t="str">
        <f t="shared" si="129"/>
        <v/>
      </c>
      <c r="C722" s="974"/>
      <c r="D722" s="974"/>
      <c r="E722" s="974"/>
      <c r="F722" s="975"/>
      <c r="G722" s="976"/>
      <c r="H722" s="759"/>
      <c r="I722" s="383"/>
      <c r="J722" s="977"/>
      <c r="K722" s="383"/>
      <c r="L722" s="390"/>
      <c r="M722" s="978"/>
      <c r="N722" s="979"/>
      <c r="O722" s="979"/>
      <c r="P722" s="79" t="str">
        <f>IF(AND('331-CT'!$E$7=TH!H722,OR(N722="331",O722="331")),"x","")</f>
        <v/>
      </c>
      <c r="Q722" s="79" t="str">
        <f>IF(AND(B722='111'!$L$11,OR($N722=$Q$7,$O722=$Q$7)),"x","")</f>
        <v/>
      </c>
      <c r="R722" s="79" t="str">
        <f>IF(AND($N722=$Q$7,$B722&lt;'111'!$L$11),"x","")</f>
        <v/>
      </c>
      <c r="S722" s="79" t="str">
        <f>IF(AND($O722=$Q$7,$B722&lt;'111'!$L$11),"x","")</f>
        <v/>
      </c>
      <c r="T722" s="79" t="str">
        <f>IF(ISERROR(FIND('112'!$M$9,G722,1)),"",IF((AND(FIND('112'!$M$9,G722,1)&gt;=1,B722='112'!$K$9,OR($N722='112'!$I$6,$O722='112'!$I$6))),"x",""))</f>
        <v/>
      </c>
      <c r="U722" s="79" t="str">
        <f>IF(ISERROR(FIND('112'!$M$9,G722,1)),"",IF((AND(LEFT(G722,2)=LEFT('112'!$M$9,2),B722&lt;'112'!$K$9,$N722='112'!$I$6)),"x",""))</f>
        <v/>
      </c>
      <c r="V722" s="79" t="str">
        <f>IF(ISERROR(FIND('112'!$M$9,G722,1)),"",IF((AND(RIGHT(G722,2)=RIGHT('112'!$M$9,2),B722&lt;'112'!$K$9,$O722='112'!$I$6)),"x",""))</f>
        <v/>
      </c>
      <c r="W722" s="79" t="str">
        <f>IF(AND('341-CT'!$H$9=H722,OR(LEFT(N722,3)=$W$7,LEFT(O722,3)=$W$7)),"x","")</f>
        <v/>
      </c>
      <c r="X722" s="79" t="str">
        <f>IF(OR(TH!N722=TH!$X$7,O722=TH!$X$7),"x","")</f>
        <v/>
      </c>
      <c r="Y722" s="79" t="str">
        <f>IF(AND(OR(N722="131",O722="131"),H722='131-CT'!$H$9),"x","")</f>
        <v/>
      </c>
      <c r="Z722" s="79"/>
      <c r="AA722" s="79" t="str">
        <f>IF(AND(MONTH(E722)='IN-NX'!$J$5,'IN-NX'!$D$7=D722),"x","")</f>
        <v/>
      </c>
      <c r="AB722" s="79" t="str">
        <f>IF(AND(OR(LEFT(TH!N722,2)="15",LEFT(TH!O722,2)="15"),LEFT(TH!O722,3)&lt;&gt;"111",'152-CT'!$J$8=TH!F722),"x","")</f>
        <v/>
      </c>
      <c r="AC722" s="79" t="str">
        <f>IF(AND(OR(LEFT(TH!N722,2)="15",LEFT(TH!O722,2)="15"),TK!$E$7=TH!F722),"x","")</f>
        <v/>
      </c>
      <c r="AD722" s="79" t="str">
        <f>IF(AND(N722="1521",MONTH(C722)='BK-NL'!$M$11),"x","")</f>
        <v/>
      </c>
    </row>
    <row r="723" spans="1:30" ht="16.5" customHeight="1">
      <c r="A723" s="318" t="str">
        <f>IF(B723&lt;&gt;"",IF(AND(B723='IN-TC'!$S$4,OR(TH!N723="1111",TH!O723="1111")),TH!D723,""),"")</f>
        <v/>
      </c>
      <c r="B723" s="60" t="str">
        <f t="shared" si="129"/>
        <v/>
      </c>
      <c r="C723" s="974"/>
      <c r="D723" s="974"/>
      <c r="E723" s="974"/>
      <c r="F723" s="975"/>
      <c r="G723" s="976"/>
      <c r="H723" s="759"/>
      <c r="I723" s="383"/>
      <c r="J723" s="977"/>
      <c r="K723" s="383"/>
      <c r="L723" s="390"/>
      <c r="M723" s="978"/>
      <c r="N723" s="979"/>
      <c r="O723" s="979"/>
      <c r="P723" s="79" t="str">
        <f>IF(AND('331-CT'!$E$7=TH!H723,OR(N723="331",O723="331")),"x","")</f>
        <v/>
      </c>
      <c r="Q723" s="79" t="str">
        <f>IF(AND(B723='111'!$L$11,OR($N723=$Q$7,$O723=$Q$7)),"x","")</f>
        <v/>
      </c>
      <c r="R723" s="79" t="str">
        <f>IF(AND($N723=$Q$7,$B723&lt;'111'!$L$11),"x","")</f>
        <v/>
      </c>
      <c r="S723" s="79" t="str">
        <f>IF(AND($O723=$Q$7,$B723&lt;'111'!$L$11),"x","")</f>
        <v/>
      </c>
      <c r="T723" s="79" t="str">
        <f>IF(ISERROR(FIND('112'!$M$9,G723,1)),"",IF((AND(FIND('112'!$M$9,G723,1)&gt;=1,B723='112'!$K$9,OR($N723='112'!$I$6,$O723='112'!$I$6))),"x",""))</f>
        <v/>
      </c>
      <c r="U723" s="79" t="str">
        <f>IF(ISERROR(FIND('112'!$M$9,G723,1)),"",IF((AND(LEFT(G723,2)=LEFT('112'!$M$9,2),B723&lt;'112'!$K$9,$N723='112'!$I$6)),"x",""))</f>
        <v/>
      </c>
      <c r="V723" s="79" t="str">
        <f>IF(ISERROR(FIND('112'!$M$9,G723,1)),"",IF((AND(RIGHT(G723,2)=RIGHT('112'!$M$9,2),B723&lt;'112'!$K$9,$O723='112'!$I$6)),"x",""))</f>
        <v/>
      </c>
      <c r="W723" s="79" t="str">
        <f>IF(AND('341-CT'!$H$9=H723,OR(LEFT(N723,3)=$W$7,LEFT(O723,3)=$W$7)),"x","")</f>
        <v/>
      </c>
      <c r="X723" s="79" t="str">
        <f>IF(OR(TH!N723=TH!$X$7,O723=TH!$X$7),"x","")</f>
        <v/>
      </c>
      <c r="Y723" s="79" t="str">
        <f>IF(AND(OR(N723="131",O723="131"),H723='131-CT'!$H$9),"x","")</f>
        <v/>
      </c>
      <c r="Z723" s="79"/>
      <c r="AA723" s="79" t="str">
        <f>IF(AND(MONTH(E723)='IN-NX'!$J$5,'IN-NX'!$D$7=D723),"x","")</f>
        <v/>
      </c>
      <c r="AB723" s="79" t="str">
        <f>IF(AND(OR(LEFT(TH!N723,2)="15",LEFT(TH!O723,2)="15"),LEFT(TH!O723,3)&lt;&gt;"111",'152-CT'!$J$8=TH!F723),"x","")</f>
        <v/>
      </c>
      <c r="AC723" s="79" t="str">
        <f>IF(AND(OR(LEFT(TH!N723,2)="15",LEFT(TH!O723,2)="15"),TK!$E$7=TH!F723),"x","")</f>
        <v/>
      </c>
      <c r="AD723" s="79" t="str">
        <f>IF(AND(N723="1521",MONTH(C723)='BK-NL'!$M$11),"x","")</f>
        <v/>
      </c>
    </row>
    <row r="724" spans="1:30" ht="16.5" customHeight="1">
      <c r="A724" s="318" t="str">
        <f>IF(B724&lt;&gt;"",IF(AND(B724='IN-TC'!$S$4,OR(TH!N724="1111",TH!O724="1111")),TH!D724,""),"")</f>
        <v/>
      </c>
      <c r="B724" s="60" t="str">
        <f t="shared" ref="B724:B740" si="130">IF(C724&lt;&gt;"",MONTH(C724),"")</f>
        <v/>
      </c>
      <c r="C724" s="974"/>
      <c r="D724" s="974"/>
      <c r="E724" s="974"/>
      <c r="F724" s="975"/>
      <c r="G724" s="976"/>
      <c r="H724" s="759"/>
      <c r="I724" s="383"/>
      <c r="J724" s="977"/>
      <c r="K724" s="383"/>
      <c r="L724" s="390"/>
      <c r="M724" s="978"/>
      <c r="N724" s="979"/>
      <c r="O724" s="979"/>
      <c r="P724" s="79" t="str">
        <f>IF(AND('331-CT'!$E$7=TH!H724,OR(N724="331",O724="331")),"x","")</f>
        <v/>
      </c>
      <c r="Q724" s="79" t="str">
        <f>IF(AND(B724='111'!$L$11,OR($N724=$Q$7,$O724=$Q$7)),"x","")</f>
        <v/>
      </c>
      <c r="R724" s="79" t="str">
        <f>IF(AND($N724=$Q$7,$B724&lt;'111'!$L$11),"x","")</f>
        <v/>
      </c>
      <c r="S724" s="79" t="str">
        <f>IF(AND($O724=$Q$7,$B724&lt;'111'!$L$11),"x","")</f>
        <v/>
      </c>
      <c r="T724" s="79" t="str">
        <f>IF(ISERROR(FIND('112'!$M$9,G724,1)),"",IF((AND(FIND('112'!$M$9,G724,1)&gt;=1,B724='112'!$K$9,OR($N724='112'!$I$6,$O724='112'!$I$6))),"x",""))</f>
        <v/>
      </c>
      <c r="U724" s="79" t="str">
        <f>IF(ISERROR(FIND('112'!$M$9,G724,1)),"",IF((AND(LEFT(G724,2)=LEFT('112'!$M$9,2),B724&lt;'112'!$K$9,$N724='112'!$I$6)),"x",""))</f>
        <v/>
      </c>
      <c r="V724" s="79" t="str">
        <f>IF(ISERROR(FIND('112'!$M$9,G724,1)),"",IF((AND(RIGHT(G724,2)=RIGHT('112'!$M$9,2),B724&lt;'112'!$K$9,$O724='112'!$I$6)),"x",""))</f>
        <v/>
      </c>
      <c r="W724" s="79" t="str">
        <f>IF(AND('341-CT'!$H$9=H724,OR(LEFT(N724,3)=$W$7,LEFT(O724,3)=$W$7)),"x","")</f>
        <v/>
      </c>
      <c r="X724" s="79" t="str">
        <f>IF(OR(TH!N724=TH!$X$7,O724=TH!$X$7),"x","")</f>
        <v/>
      </c>
      <c r="Y724" s="79" t="str">
        <f>IF(AND(OR(N724="131",O724="131"),H724='131-CT'!$H$9),"x","")</f>
        <v/>
      </c>
      <c r="Z724" s="79"/>
      <c r="AA724" s="79" t="str">
        <f>IF(AND(MONTH(E724)='IN-NX'!$J$5,'IN-NX'!$D$7=D724),"x","")</f>
        <v/>
      </c>
      <c r="AB724" s="79" t="str">
        <f>IF(AND(OR(LEFT(TH!N724,2)="15",LEFT(TH!O724,2)="15"),LEFT(TH!O724,3)&lt;&gt;"111",'152-CT'!$J$8=TH!F724),"x","")</f>
        <v/>
      </c>
      <c r="AC724" s="79" t="str">
        <f>IF(AND(OR(LEFT(TH!N724,2)="15",LEFT(TH!O724,2)="15"),TK!$E$7=TH!F724),"x","")</f>
        <v/>
      </c>
      <c r="AD724" s="79" t="str">
        <f>IF(AND(N724="1521",MONTH(C724)='BK-NL'!$M$11),"x","")</f>
        <v/>
      </c>
    </row>
    <row r="725" spans="1:30" ht="16.5" customHeight="1">
      <c r="A725" s="318" t="str">
        <f>IF(B725&lt;&gt;"",IF(AND(B725='IN-TC'!$S$4,OR(TH!N725="1111",TH!O725="1111")),TH!D725,""),"")</f>
        <v/>
      </c>
      <c r="B725" s="60" t="str">
        <f t="shared" si="130"/>
        <v/>
      </c>
      <c r="C725" s="974"/>
      <c r="D725" s="974"/>
      <c r="E725" s="974"/>
      <c r="F725" s="975"/>
      <c r="G725" s="976"/>
      <c r="H725" s="759"/>
      <c r="I725" s="383"/>
      <c r="J725" s="977"/>
      <c r="K725" s="383"/>
      <c r="L725" s="390"/>
      <c r="M725" s="978"/>
      <c r="N725" s="979"/>
      <c r="O725" s="979"/>
      <c r="P725" s="79" t="str">
        <f>IF(AND('331-CT'!$E$7=TH!H725,OR(N725="331",O725="331")),"x","")</f>
        <v/>
      </c>
      <c r="Q725" s="79" t="str">
        <f>IF(AND(B725='111'!$L$11,OR($N725=$Q$7,$O725=$Q$7)),"x","")</f>
        <v/>
      </c>
      <c r="R725" s="79" t="str">
        <f>IF(AND($N725=$Q$7,$B725&lt;'111'!$L$11),"x","")</f>
        <v/>
      </c>
      <c r="S725" s="79" t="str">
        <f>IF(AND($O725=$Q$7,$B725&lt;'111'!$L$11),"x","")</f>
        <v/>
      </c>
      <c r="T725" s="79" t="str">
        <f>IF(ISERROR(FIND('112'!$M$9,G725,1)),"",IF((AND(FIND('112'!$M$9,G725,1)&gt;=1,B725='112'!$K$9,OR($N725='112'!$I$6,$O725='112'!$I$6))),"x",""))</f>
        <v/>
      </c>
      <c r="U725" s="79" t="str">
        <f>IF(ISERROR(FIND('112'!$M$9,G725,1)),"",IF((AND(LEFT(G725,2)=LEFT('112'!$M$9,2),B725&lt;'112'!$K$9,$N725='112'!$I$6)),"x",""))</f>
        <v/>
      </c>
      <c r="V725" s="79" t="str">
        <f>IF(ISERROR(FIND('112'!$M$9,G725,1)),"",IF((AND(RIGHT(G725,2)=RIGHT('112'!$M$9,2),B725&lt;'112'!$K$9,$O725='112'!$I$6)),"x",""))</f>
        <v/>
      </c>
      <c r="W725" s="79" t="str">
        <f>IF(AND('341-CT'!$H$9=H725,OR(LEFT(N725,3)=$W$7,LEFT(O725,3)=$W$7)),"x","")</f>
        <v/>
      </c>
      <c r="X725" s="79" t="str">
        <f>IF(OR(TH!N725=TH!$X$7,O725=TH!$X$7),"x","")</f>
        <v/>
      </c>
      <c r="Y725" s="79" t="str">
        <f>IF(AND(OR(N725="131",O725="131"),H725='131-CT'!$H$9),"x","")</f>
        <v/>
      </c>
      <c r="Z725" s="79"/>
      <c r="AA725" s="79" t="str">
        <f>IF(AND(MONTH(E725)='IN-NX'!$J$5,'IN-NX'!$D$7=D725),"x","")</f>
        <v/>
      </c>
      <c r="AB725" s="79" t="str">
        <f>IF(AND(OR(LEFT(TH!N725,2)="15",LEFT(TH!O725,2)="15"),LEFT(TH!O725,3)&lt;&gt;"111",'152-CT'!$J$8=TH!F725),"x","")</f>
        <v/>
      </c>
      <c r="AC725" s="79" t="str">
        <f>IF(AND(OR(LEFT(TH!N725,2)="15",LEFT(TH!O725,2)="15"),TK!$E$7=TH!F725),"x","")</f>
        <v/>
      </c>
      <c r="AD725" s="79" t="str">
        <f>IF(AND(N725="1521",MONTH(C725)='BK-NL'!$M$11),"x","")</f>
        <v/>
      </c>
    </row>
    <row r="726" spans="1:30" ht="16.5" customHeight="1">
      <c r="A726" s="318" t="str">
        <f>IF(B726&lt;&gt;"",IF(AND(B726='IN-TC'!$S$4,OR(TH!N726="1111",TH!O726="1111")),TH!D726,""),"")</f>
        <v/>
      </c>
      <c r="B726" s="60" t="str">
        <f t="shared" si="130"/>
        <v/>
      </c>
      <c r="C726" s="974"/>
      <c r="D726" s="974"/>
      <c r="E726" s="974"/>
      <c r="F726" s="975"/>
      <c r="G726" s="976"/>
      <c r="H726" s="759"/>
      <c r="I726" s="383"/>
      <c r="J726" s="977"/>
      <c r="K726" s="383"/>
      <c r="L726" s="390"/>
      <c r="M726" s="978"/>
      <c r="N726" s="979"/>
      <c r="O726" s="979"/>
      <c r="P726" s="79" t="str">
        <f>IF(AND('331-CT'!$E$7=TH!H726,OR(N726="331",O726="331")),"x","")</f>
        <v/>
      </c>
      <c r="Q726" s="79" t="str">
        <f>IF(AND(B726='111'!$L$11,OR($N726=$Q$7,$O726=$Q$7)),"x","")</f>
        <v/>
      </c>
      <c r="R726" s="79" t="str">
        <f>IF(AND($N726=$Q$7,$B726&lt;'111'!$L$11),"x","")</f>
        <v/>
      </c>
      <c r="S726" s="79" t="str">
        <f>IF(AND($O726=$Q$7,$B726&lt;'111'!$L$11),"x","")</f>
        <v/>
      </c>
      <c r="T726" s="79" t="str">
        <f>IF(ISERROR(FIND('112'!$M$9,G726,1)),"",IF((AND(FIND('112'!$M$9,G726,1)&gt;=1,B726='112'!$K$9,OR($N726='112'!$I$6,$O726='112'!$I$6))),"x",""))</f>
        <v/>
      </c>
      <c r="U726" s="79" t="str">
        <f>IF(ISERROR(FIND('112'!$M$9,G726,1)),"",IF((AND(LEFT(G726,2)=LEFT('112'!$M$9,2),B726&lt;'112'!$K$9,$N726='112'!$I$6)),"x",""))</f>
        <v/>
      </c>
      <c r="V726" s="79" t="str">
        <f>IF(ISERROR(FIND('112'!$M$9,G726,1)),"",IF((AND(RIGHT(G726,2)=RIGHT('112'!$M$9,2),B726&lt;'112'!$K$9,$O726='112'!$I$6)),"x",""))</f>
        <v/>
      </c>
      <c r="W726" s="79" t="str">
        <f>IF(AND('341-CT'!$H$9=H726,OR(LEFT(N726,3)=$W$7,LEFT(O726,3)=$W$7)),"x","")</f>
        <v/>
      </c>
      <c r="X726" s="79" t="str">
        <f>IF(OR(TH!N726=TH!$X$7,O726=TH!$X$7),"x","")</f>
        <v/>
      </c>
      <c r="Y726" s="79" t="str">
        <f>IF(AND(OR(N726="131",O726="131"),H726='131-CT'!$H$9),"x","")</f>
        <v/>
      </c>
      <c r="Z726" s="79"/>
      <c r="AA726" s="79" t="str">
        <f>IF(AND(MONTH(E726)='IN-NX'!$J$5,'IN-NX'!$D$7=D726),"x","")</f>
        <v/>
      </c>
      <c r="AB726" s="79" t="str">
        <f>IF(AND(OR(LEFT(TH!N726,2)="15",LEFT(TH!O726,2)="15"),LEFT(TH!O726,3)&lt;&gt;"111",'152-CT'!$J$8=TH!F726),"x","")</f>
        <v/>
      </c>
      <c r="AC726" s="79" t="str">
        <f>IF(AND(OR(LEFT(TH!N726,2)="15",LEFT(TH!O726,2)="15"),TK!$E$7=TH!F726),"x","")</f>
        <v/>
      </c>
      <c r="AD726" s="79" t="str">
        <f>IF(AND(N726="1521",MONTH(C726)='BK-NL'!$M$11),"x","")</f>
        <v/>
      </c>
    </row>
    <row r="727" spans="1:30" ht="16.5" customHeight="1">
      <c r="A727" s="318" t="str">
        <f>IF(B727&lt;&gt;"",IF(AND(B727='IN-TC'!$S$4,OR(TH!N727="1111",TH!O727="1111")),TH!D727,""),"")</f>
        <v/>
      </c>
      <c r="B727" s="60" t="str">
        <f t="shared" si="130"/>
        <v/>
      </c>
      <c r="C727" s="974"/>
      <c r="D727" s="974"/>
      <c r="E727" s="974"/>
      <c r="F727" s="975"/>
      <c r="G727" s="976"/>
      <c r="H727" s="759"/>
      <c r="I727" s="383"/>
      <c r="J727" s="977"/>
      <c r="K727" s="383"/>
      <c r="L727" s="390"/>
      <c r="M727" s="978"/>
      <c r="N727" s="979"/>
      <c r="O727" s="979"/>
      <c r="P727" s="79" t="str">
        <f>IF(AND('331-CT'!$E$7=TH!H727,OR(N727="331",O727="331")),"x","")</f>
        <v/>
      </c>
      <c r="Q727" s="79" t="str">
        <f>IF(AND(B727='111'!$L$11,OR($N727=$Q$7,$O727=$Q$7)),"x","")</f>
        <v/>
      </c>
      <c r="R727" s="79" t="str">
        <f>IF(AND($N727=$Q$7,$B727&lt;'111'!$L$11),"x","")</f>
        <v/>
      </c>
      <c r="S727" s="79" t="str">
        <f>IF(AND($O727=$Q$7,$B727&lt;'111'!$L$11),"x","")</f>
        <v/>
      </c>
      <c r="T727" s="79" t="str">
        <f>IF(ISERROR(FIND('112'!$M$9,G727,1)),"",IF((AND(FIND('112'!$M$9,G727,1)&gt;=1,B727='112'!$K$9,OR($N727='112'!$I$6,$O727='112'!$I$6))),"x",""))</f>
        <v/>
      </c>
      <c r="U727" s="79" t="str">
        <f>IF(ISERROR(FIND('112'!$M$9,G727,1)),"",IF((AND(LEFT(G727,2)=LEFT('112'!$M$9,2),B727&lt;'112'!$K$9,$N727='112'!$I$6)),"x",""))</f>
        <v/>
      </c>
      <c r="V727" s="79" t="str">
        <f>IF(ISERROR(FIND('112'!$M$9,G727,1)),"",IF((AND(RIGHT(G727,2)=RIGHT('112'!$M$9,2),B727&lt;'112'!$K$9,$O727='112'!$I$6)),"x",""))</f>
        <v/>
      </c>
      <c r="W727" s="79" t="str">
        <f>IF(AND('341-CT'!$H$9=H727,OR(LEFT(N727,3)=$W$7,LEFT(O727,3)=$W$7)),"x","")</f>
        <v/>
      </c>
      <c r="X727" s="79" t="str">
        <f>IF(OR(TH!N727=TH!$X$7,O727=TH!$X$7),"x","")</f>
        <v/>
      </c>
      <c r="Y727" s="79" t="str">
        <f>IF(AND(OR(N727="131",O727="131"),H727='131-CT'!$H$9),"x","")</f>
        <v/>
      </c>
      <c r="Z727" s="79"/>
      <c r="AA727" s="79" t="str">
        <f>IF(AND(MONTH(E727)='IN-NX'!$J$5,'IN-NX'!$D$7=D727),"x","")</f>
        <v/>
      </c>
      <c r="AB727" s="79" t="str">
        <f>IF(AND(OR(LEFT(TH!N727,2)="15",LEFT(TH!O727,2)="15"),LEFT(TH!O727,3)&lt;&gt;"111",'152-CT'!$J$8=TH!F727),"x","")</f>
        <v/>
      </c>
      <c r="AC727" s="79" t="str">
        <f>IF(AND(OR(LEFT(TH!N727,2)="15",LEFT(TH!O727,2)="15"),TK!$E$7=TH!F727),"x","")</f>
        <v/>
      </c>
      <c r="AD727" s="79" t="str">
        <f>IF(AND(N727="1521",MONTH(C727)='BK-NL'!$M$11),"x","")</f>
        <v/>
      </c>
    </row>
    <row r="728" spans="1:30" ht="16.5" customHeight="1">
      <c r="A728" s="318" t="str">
        <f>IF(B728&lt;&gt;"",IF(AND(B728='IN-TC'!$S$4,OR(TH!N728="1111",TH!O728="1111")),TH!D728,""),"")</f>
        <v/>
      </c>
      <c r="B728" s="60" t="str">
        <f t="shared" si="130"/>
        <v/>
      </c>
      <c r="C728" s="974"/>
      <c r="D728" s="974"/>
      <c r="E728" s="974"/>
      <c r="F728" s="975"/>
      <c r="G728" s="976"/>
      <c r="H728" s="759"/>
      <c r="I728" s="383"/>
      <c r="J728" s="977"/>
      <c r="K728" s="383"/>
      <c r="L728" s="390"/>
      <c r="M728" s="978"/>
      <c r="N728" s="979"/>
      <c r="O728" s="979"/>
      <c r="P728" s="79" t="str">
        <f>IF(AND('331-CT'!$E$7=TH!H728,OR(N728="331",O728="331")),"x","")</f>
        <v/>
      </c>
      <c r="Q728" s="79" t="str">
        <f>IF(AND(B728='111'!$L$11,OR($N728=$Q$7,$O728=$Q$7)),"x","")</f>
        <v/>
      </c>
      <c r="R728" s="79" t="str">
        <f>IF(AND($N728=$Q$7,$B728&lt;'111'!$L$11),"x","")</f>
        <v/>
      </c>
      <c r="S728" s="79" t="str">
        <f>IF(AND($O728=$Q$7,$B728&lt;'111'!$L$11),"x","")</f>
        <v/>
      </c>
      <c r="T728" s="79" t="str">
        <f>IF(ISERROR(FIND('112'!$M$9,G728,1)),"",IF((AND(FIND('112'!$M$9,G728,1)&gt;=1,B728='112'!$K$9,OR($N728='112'!$I$6,$O728='112'!$I$6))),"x",""))</f>
        <v/>
      </c>
      <c r="U728" s="79" t="str">
        <f>IF(ISERROR(FIND('112'!$M$9,G728,1)),"",IF((AND(LEFT(G728,2)=LEFT('112'!$M$9,2),B728&lt;'112'!$K$9,$N728='112'!$I$6)),"x",""))</f>
        <v/>
      </c>
      <c r="V728" s="79" t="str">
        <f>IF(ISERROR(FIND('112'!$M$9,G728,1)),"",IF((AND(RIGHT(G728,2)=RIGHT('112'!$M$9,2),B728&lt;'112'!$K$9,$O728='112'!$I$6)),"x",""))</f>
        <v/>
      </c>
      <c r="W728" s="79" t="str">
        <f>IF(AND('341-CT'!$H$9=H728,OR(LEFT(N728,3)=$W$7,LEFT(O728,3)=$W$7)),"x","")</f>
        <v/>
      </c>
      <c r="X728" s="79" t="str">
        <f>IF(OR(TH!N728=TH!$X$7,O728=TH!$X$7),"x","")</f>
        <v/>
      </c>
      <c r="Y728" s="79" t="str">
        <f>IF(AND(OR(N728="131",O728="131"),H728='131-CT'!$H$9),"x","")</f>
        <v/>
      </c>
      <c r="Z728" s="79"/>
      <c r="AA728" s="79" t="str">
        <f>IF(AND(MONTH(E728)='IN-NX'!$J$5,'IN-NX'!$D$7=D728),"x","")</f>
        <v/>
      </c>
      <c r="AB728" s="79" t="str">
        <f>IF(AND(OR(LEFT(TH!N728,2)="15",LEFT(TH!O728,2)="15"),LEFT(TH!O728,3)&lt;&gt;"111",'152-CT'!$J$8=TH!F728),"x","")</f>
        <v/>
      </c>
      <c r="AC728" s="79" t="str">
        <f>IF(AND(OR(LEFT(TH!N728,2)="15",LEFT(TH!O728,2)="15"),TK!$E$7=TH!F728),"x","")</f>
        <v/>
      </c>
      <c r="AD728" s="79" t="str">
        <f>IF(AND(N728="1521",MONTH(C728)='BK-NL'!$M$11),"x","")</f>
        <v/>
      </c>
    </row>
    <row r="729" spans="1:30" ht="16.5" customHeight="1">
      <c r="A729" s="318" t="str">
        <f>IF(B729&lt;&gt;"",IF(AND(B729='IN-TC'!$S$4,OR(TH!N729="1111",TH!O729="1111")),TH!D729,""),"")</f>
        <v/>
      </c>
      <c r="B729" s="60" t="str">
        <f t="shared" si="130"/>
        <v/>
      </c>
      <c r="C729" s="974"/>
      <c r="D729" s="974"/>
      <c r="E729" s="974"/>
      <c r="F729" s="975"/>
      <c r="G729" s="976"/>
      <c r="H729" s="759"/>
      <c r="I729" s="383"/>
      <c r="J729" s="977"/>
      <c r="K729" s="383"/>
      <c r="L729" s="390"/>
      <c r="M729" s="978"/>
      <c r="N729" s="979"/>
      <c r="O729" s="979"/>
      <c r="P729" s="79" t="str">
        <f>IF(AND('331-CT'!$E$7=TH!H729,OR(N729="331",O729="331")),"x","")</f>
        <v/>
      </c>
      <c r="Q729" s="79" t="str">
        <f>IF(AND(B729='111'!$L$11,OR($N729=$Q$7,$O729=$Q$7)),"x","")</f>
        <v/>
      </c>
      <c r="R729" s="79" t="str">
        <f>IF(AND($N729=$Q$7,$B729&lt;'111'!$L$11),"x","")</f>
        <v/>
      </c>
      <c r="S729" s="79" t="str">
        <f>IF(AND($O729=$Q$7,$B729&lt;'111'!$L$11),"x","")</f>
        <v/>
      </c>
      <c r="T729" s="79" t="str">
        <f>IF(ISERROR(FIND('112'!$M$9,G729,1)),"",IF((AND(FIND('112'!$M$9,G729,1)&gt;=1,B729='112'!$K$9,OR($N729='112'!$I$6,$O729='112'!$I$6))),"x",""))</f>
        <v/>
      </c>
      <c r="U729" s="79" t="str">
        <f>IF(ISERROR(FIND('112'!$M$9,G729,1)),"",IF((AND(LEFT(G729,2)=LEFT('112'!$M$9,2),B729&lt;'112'!$K$9,$N729='112'!$I$6)),"x",""))</f>
        <v/>
      </c>
      <c r="V729" s="79" t="str">
        <f>IF(ISERROR(FIND('112'!$M$9,G729,1)),"",IF((AND(RIGHT(G729,2)=RIGHT('112'!$M$9,2),B729&lt;'112'!$K$9,$O729='112'!$I$6)),"x",""))</f>
        <v/>
      </c>
      <c r="W729" s="79" t="str">
        <f>IF(AND('341-CT'!$H$9=H729,OR(LEFT(N729,3)=$W$7,LEFT(O729,3)=$W$7)),"x","")</f>
        <v/>
      </c>
      <c r="X729" s="79" t="str">
        <f>IF(OR(TH!N729=TH!$X$7,O729=TH!$X$7),"x","")</f>
        <v/>
      </c>
      <c r="Y729" s="79" t="str">
        <f>IF(AND(OR(N729="131",O729="131"),H729='131-CT'!$H$9),"x","")</f>
        <v/>
      </c>
      <c r="Z729" s="79"/>
      <c r="AA729" s="79" t="str">
        <f>IF(AND(MONTH(E729)='IN-NX'!$J$5,'IN-NX'!$D$7=D729),"x","")</f>
        <v/>
      </c>
      <c r="AB729" s="79" t="str">
        <f>IF(AND(OR(LEFT(TH!N729,2)="15",LEFT(TH!O729,2)="15"),LEFT(TH!O729,3)&lt;&gt;"111",'152-CT'!$J$8=TH!F729),"x","")</f>
        <v/>
      </c>
      <c r="AC729" s="79" t="str">
        <f>IF(AND(OR(LEFT(TH!N729,2)="15",LEFT(TH!O729,2)="15"),TK!$E$7=TH!F729),"x","")</f>
        <v/>
      </c>
      <c r="AD729" s="79" t="str">
        <f>IF(AND(N729="1521",MONTH(C729)='BK-NL'!$M$11),"x","")</f>
        <v/>
      </c>
    </row>
    <row r="730" spans="1:30" ht="16.5" customHeight="1">
      <c r="A730" s="318" t="str">
        <f>IF(B730&lt;&gt;"",IF(AND(B730='IN-TC'!$S$4,OR(TH!N730="1111",TH!O730="1111")),TH!D730,""),"")</f>
        <v/>
      </c>
      <c r="B730" s="60" t="str">
        <f t="shared" si="130"/>
        <v/>
      </c>
      <c r="C730" s="974"/>
      <c r="D730" s="974"/>
      <c r="E730" s="974"/>
      <c r="F730" s="975"/>
      <c r="G730" s="976"/>
      <c r="H730" s="759"/>
      <c r="I730" s="383"/>
      <c r="J730" s="977"/>
      <c r="K730" s="383"/>
      <c r="L730" s="390"/>
      <c r="M730" s="978"/>
      <c r="N730" s="979"/>
      <c r="O730" s="979"/>
      <c r="P730" s="79" t="str">
        <f>IF(AND('331-CT'!$E$7=TH!H730,OR(N730="331",O730="331")),"x","")</f>
        <v/>
      </c>
      <c r="Q730" s="79" t="str">
        <f>IF(AND(B730='111'!$L$11,OR($N730=$Q$7,$O730=$Q$7)),"x","")</f>
        <v/>
      </c>
      <c r="R730" s="79" t="str">
        <f>IF(AND($N730=$Q$7,$B730&lt;'111'!$L$11),"x","")</f>
        <v/>
      </c>
      <c r="S730" s="79" t="str">
        <f>IF(AND($O730=$Q$7,$B730&lt;'111'!$L$11),"x","")</f>
        <v/>
      </c>
      <c r="T730" s="79" t="str">
        <f>IF(ISERROR(FIND('112'!$M$9,G730,1)),"",IF((AND(FIND('112'!$M$9,G730,1)&gt;=1,B730='112'!$K$9,OR($N730='112'!$I$6,$O730='112'!$I$6))),"x",""))</f>
        <v/>
      </c>
      <c r="U730" s="79" t="str">
        <f>IF(ISERROR(FIND('112'!$M$9,G730,1)),"",IF((AND(LEFT(G730,2)=LEFT('112'!$M$9,2),B730&lt;'112'!$K$9,$N730='112'!$I$6)),"x",""))</f>
        <v/>
      </c>
      <c r="V730" s="79" t="str">
        <f>IF(ISERROR(FIND('112'!$M$9,G730,1)),"",IF((AND(RIGHT(G730,2)=RIGHT('112'!$M$9,2),B730&lt;'112'!$K$9,$O730='112'!$I$6)),"x",""))</f>
        <v/>
      </c>
      <c r="W730" s="79" t="str">
        <f>IF(AND('341-CT'!$H$9=H730,OR(LEFT(N730,3)=$W$7,LEFT(O730,3)=$W$7)),"x","")</f>
        <v/>
      </c>
      <c r="X730" s="79" t="str">
        <f>IF(OR(TH!N730=TH!$X$7,O730=TH!$X$7),"x","")</f>
        <v/>
      </c>
      <c r="Y730" s="79" t="str">
        <f>IF(AND(OR(N730="131",O730="131"),H730='131-CT'!$H$9),"x","")</f>
        <v/>
      </c>
      <c r="Z730" s="79"/>
      <c r="AA730" s="79" t="str">
        <f>IF(AND(MONTH(E730)='IN-NX'!$J$5,'IN-NX'!$D$7=D730),"x","")</f>
        <v/>
      </c>
      <c r="AB730" s="79" t="str">
        <f>IF(AND(OR(LEFT(TH!N730,2)="15",LEFT(TH!O730,2)="15"),LEFT(TH!O730,3)&lt;&gt;"111",'152-CT'!$J$8=TH!F730),"x","")</f>
        <v/>
      </c>
      <c r="AC730" s="79" t="str">
        <f>IF(AND(OR(LEFT(TH!N730,2)="15",LEFT(TH!O730,2)="15"),TK!$E$7=TH!F730),"x","")</f>
        <v/>
      </c>
      <c r="AD730" s="79" t="str">
        <f>IF(AND(N730="1521",MONTH(C730)='BK-NL'!$M$11),"x","")</f>
        <v/>
      </c>
    </row>
    <row r="731" spans="1:30" ht="16.5" customHeight="1">
      <c r="A731" s="318" t="str">
        <f>IF(B731&lt;&gt;"",IF(AND(B731='IN-TC'!$S$4,OR(TH!N731="1111",TH!O731="1111")),TH!D731,""),"")</f>
        <v/>
      </c>
      <c r="B731" s="60" t="str">
        <f t="shared" si="130"/>
        <v/>
      </c>
      <c r="C731" s="974"/>
      <c r="D731" s="974"/>
      <c r="E731" s="974"/>
      <c r="F731" s="975"/>
      <c r="G731" s="976"/>
      <c r="H731" s="759"/>
      <c r="I731" s="383"/>
      <c r="J731" s="977"/>
      <c r="K731" s="383"/>
      <c r="L731" s="390"/>
      <c r="M731" s="978"/>
      <c r="N731" s="979"/>
      <c r="O731" s="979"/>
      <c r="P731" s="79" t="str">
        <f>IF(AND('331-CT'!$E$7=TH!H731,OR(N731="331",O731="331")),"x","")</f>
        <v/>
      </c>
      <c r="Q731" s="79" t="str">
        <f>IF(AND(B731='111'!$L$11,OR($N731=$Q$7,$O731=$Q$7)),"x","")</f>
        <v/>
      </c>
      <c r="R731" s="79" t="str">
        <f>IF(AND($N731=$Q$7,$B731&lt;'111'!$L$11),"x","")</f>
        <v/>
      </c>
      <c r="S731" s="79" t="str">
        <f>IF(AND($O731=$Q$7,$B731&lt;'111'!$L$11),"x","")</f>
        <v/>
      </c>
      <c r="T731" s="79" t="str">
        <f>IF(ISERROR(FIND('112'!$M$9,G731,1)),"",IF((AND(FIND('112'!$M$9,G731,1)&gt;=1,B731='112'!$K$9,OR($N731='112'!$I$6,$O731='112'!$I$6))),"x",""))</f>
        <v/>
      </c>
      <c r="U731" s="79" t="str">
        <f>IF(ISERROR(FIND('112'!$M$9,G731,1)),"",IF((AND(LEFT(G731,2)=LEFT('112'!$M$9,2),B731&lt;'112'!$K$9,$N731='112'!$I$6)),"x",""))</f>
        <v/>
      </c>
      <c r="V731" s="79" t="str">
        <f>IF(ISERROR(FIND('112'!$M$9,G731,1)),"",IF((AND(RIGHT(G731,2)=RIGHT('112'!$M$9,2),B731&lt;'112'!$K$9,$O731='112'!$I$6)),"x",""))</f>
        <v/>
      </c>
      <c r="W731" s="79" t="str">
        <f>IF(AND('341-CT'!$H$9=H731,OR(LEFT(N731,3)=$W$7,LEFT(O731,3)=$W$7)),"x","")</f>
        <v/>
      </c>
      <c r="X731" s="79" t="str">
        <f>IF(OR(TH!N731=TH!$X$7,O731=TH!$X$7),"x","")</f>
        <v/>
      </c>
      <c r="Y731" s="79" t="str">
        <f>IF(AND(OR(N731="131",O731="131"),H731='131-CT'!$H$9),"x","")</f>
        <v/>
      </c>
      <c r="Z731" s="79"/>
      <c r="AA731" s="79" t="str">
        <f>IF(AND(MONTH(E731)='IN-NX'!$J$5,'IN-NX'!$D$7=D731),"x","")</f>
        <v/>
      </c>
      <c r="AB731" s="79" t="str">
        <f>IF(AND(OR(LEFT(TH!N731,2)="15",LEFT(TH!O731,2)="15"),LEFT(TH!O731,3)&lt;&gt;"111",'152-CT'!$J$8=TH!F731),"x","")</f>
        <v/>
      </c>
      <c r="AC731" s="79" t="str">
        <f>IF(AND(OR(LEFT(TH!N731,2)="15",LEFT(TH!O731,2)="15"),TK!$E$7=TH!F731),"x","")</f>
        <v/>
      </c>
      <c r="AD731" s="79" t="str">
        <f>IF(AND(N731="1521",MONTH(C731)='BK-NL'!$M$11),"x","")</f>
        <v/>
      </c>
    </row>
    <row r="732" spans="1:30" ht="16.5" customHeight="1">
      <c r="A732" s="318" t="str">
        <f>IF(B732&lt;&gt;"",IF(AND(B732='IN-TC'!$S$4,OR(TH!N732="1111",TH!O732="1111")),TH!D732,""),"")</f>
        <v/>
      </c>
      <c r="B732" s="60" t="str">
        <f t="shared" si="130"/>
        <v/>
      </c>
      <c r="C732" s="974"/>
      <c r="D732" s="974"/>
      <c r="E732" s="974"/>
      <c r="F732" s="975"/>
      <c r="G732" s="976"/>
      <c r="H732" s="759"/>
      <c r="I732" s="383"/>
      <c r="J732" s="977"/>
      <c r="K732" s="383"/>
      <c r="L732" s="390"/>
      <c r="M732" s="978"/>
      <c r="N732" s="979"/>
      <c r="O732" s="979"/>
      <c r="P732" s="79" t="str">
        <f>IF(AND('331-CT'!$E$7=TH!H732,OR(N732="331",O732="331")),"x","")</f>
        <v/>
      </c>
      <c r="Q732" s="79" t="str">
        <f>IF(AND(B732='111'!$L$11,OR($N732=$Q$7,$O732=$Q$7)),"x","")</f>
        <v/>
      </c>
      <c r="R732" s="79" t="str">
        <f>IF(AND($N732=$Q$7,$B732&lt;'111'!$L$11),"x","")</f>
        <v/>
      </c>
      <c r="S732" s="79" t="str">
        <f>IF(AND($O732=$Q$7,$B732&lt;'111'!$L$11),"x","")</f>
        <v/>
      </c>
      <c r="T732" s="79" t="str">
        <f>IF(ISERROR(FIND('112'!$M$9,G732,1)),"",IF((AND(FIND('112'!$M$9,G732,1)&gt;=1,B732='112'!$K$9,OR($N732='112'!$I$6,$O732='112'!$I$6))),"x",""))</f>
        <v/>
      </c>
      <c r="U732" s="79" t="str">
        <f>IF(ISERROR(FIND('112'!$M$9,G732,1)),"",IF((AND(LEFT(G732,2)=LEFT('112'!$M$9,2),B732&lt;'112'!$K$9,$N732='112'!$I$6)),"x",""))</f>
        <v/>
      </c>
      <c r="V732" s="79" t="str">
        <f>IF(ISERROR(FIND('112'!$M$9,G732,1)),"",IF((AND(RIGHT(G732,2)=RIGHT('112'!$M$9,2),B732&lt;'112'!$K$9,$O732='112'!$I$6)),"x",""))</f>
        <v/>
      </c>
      <c r="W732" s="79" t="str">
        <f>IF(AND('341-CT'!$H$9=H732,OR(LEFT(N732,3)=$W$7,LEFT(O732,3)=$W$7)),"x","")</f>
        <v/>
      </c>
      <c r="X732" s="79" t="str">
        <f>IF(OR(TH!N732=TH!$X$7,O732=TH!$X$7),"x","")</f>
        <v/>
      </c>
      <c r="Y732" s="79" t="str">
        <f>IF(AND(OR(N732="131",O732="131"),H732='131-CT'!$H$9),"x","")</f>
        <v/>
      </c>
      <c r="Z732" s="79"/>
      <c r="AA732" s="79" t="str">
        <f>IF(AND(MONTH(E732)='IN-NX'!$J$5,'IN-NX'!$D$7=D732),"x","")</f>
        <v/>
      </c>
      <c r="AB732" s="79" t="str">
        <f>IF(AND(OR(LEFT(TH!N732,2)="15",LEFT(TH!O732,2)="15"),LEFT(TH!O732,3)&lt;&gt;"111",'152-CT'!$J$8=TH!F732),"x","")</f>
        <v/>
      </c>
      <c r="AC732" s="79" t="str">
        <f>IF(AND(OR(LEFT(TH!N732,2)="15",LEFT(TH!O732,2)="15"),TK!$E$7=TH!F732),"x","")</f>
        <v/>
      </c>
      <c r="AD732" s="79" t="str">
        <f>IF(AND(N732="1521",MONTH(C732)='BK-NL'!$M$11),"x","")</f>
        <v/>
      </c>
    </row>
    <row r="733" spans="1:30" ht="16.5" customHeight="1">
      <c r="A733" s="318" t="str">
        <f>IF(B733&lt;&gt;"",IF(AND(B733='IN-TC'!$S$4,OR(TH!N733="1111",TH!O733="1111")),TH!D733,""),"")</f>
        <v/>
      </c>
      <c r="B733" s="60" t="str">
        <f t="shared" si="130"/>
        <v/>
      </c>
      <c r="C733" s="974"/>
      <c r="D733" s="974"/>
      <c r="E733" s="974"/>
      <c r="F733" s="975"/>
      <c r="G733" s="976"/>
      <c r="H733" s="759"/>
      <c r="I733" s="383"/>
      <c r="J733" s="977"/>
      <c r="K733" s="383"/>
      <c r="L733" s="390"/>
      <c r="M733" s="978"/>
      <c r="N733" s="979"/>
      <c r="O733" s="979"/>
      <c r="P733" s="79" t="str">
        <f>IF(AND('331-CT'!$E$7=TH!H733,OR(N733="331",O733="331")),"x","")</f>
        <v/>
      </c>
      <c r="Q733" s="79" t="str">
        <f>IF(AND(B733='111'!$L$11,OR($N733=$Q$7,$O733=$Q$7)),"x","")</f>
        <v/>
      </c>
      <c r="R733" s="79" t="str">
        <f>IF(AND($N733=$Q$7,$B733&lt;'111'!$L$11),"x","")</f>
        <v/>
      </c>
      <c r="S733" s="79" t="str">
        <f>IF(AND($O733=$Q$7,$B733&lt;'111'!$L$11),"x","")</f>
        <v/>
      </c>
      <c r="T733" s="79" t="str">
        <f>IF(ISERROR(FIND('112'!$M$9,G733,1)),"",IF((AND(FIND('112'!$M$9,G733,1)&gt;=1,B733='112'!$K$9,OR($N733='112'!$I$6,$O733='112'!$I$6))),"x",""))</f>
        <v/>
      </c>
      <c r="U733" s="79" t="str">
        <f>IF(ISERROR(FIND('112'!$M$9,G733,1)),"",IF((AND(LEFT(G733,2)=LEFT('112'!$M$9,2),B733&lt;'112'!$K$9,$N733='112'!$I$6)),"x",""))</f>
        <v/>
      </c>
      <c r="V733" s="79" t="str">
        <f>IF(ISERROR(FIND('112'!$M$9,G733,1)),"",IF((AND(RIGHT(G733,2)=RIGHT('112'!$M$9,2),B733&lt;'112'!$K$9,$O733='112'!$I$6)),"x",""))</f>
        <v/>
      </c>
      <c r="W733" s="79" t="str">
        <f>IF(AND('341-CT'!$H$9=H733,OR(LEFT(N733,3)=$W$7,LEFT(O733,3)=$W$7)),"x","")</f>
        <v/>
      </c>
      <c r="X733" s="79" t="str">
        <f>IF(OR(TH!N733=TH!$X$7,O733=TH!$X$7),"x","")</f>
        <v/>
      </c>
      <c r="Y733" s="79" t="str">
        <f>IF(AND(OR(N733="131",O733="131"),H733='131-CT'!$H$9),"x","")</f>
        <v/>
      </c>
      <c r="Z733" s="79"/>
      <c r="AA733" s="79" t="str">
        <f>IF(AND(MONTH(E733)='IN-NX'!$J$5,'IN-NX'!$D$7=D733),"x","")</f>
        <v/>
      </c>
      <c r="AB733" s="79" t="str">
        <f>IF(AND(OR(LEFT(TH!N733,2)="15",LEFT(TH!O733,2)="15"),LEFT(TH!O733,3)&lt;&gt;"111",'152-CT'!$J$8=TH!F733),"x","")</f>
        <v/>
      </c>
      <c r="AC733" s="79" t="str">
        <f>IF(AND(OR(LEFT(TH!N733,2)="15",LEFT(TH!O733,2)="15"),TK!$E$7=TH!F733),"x","")</f>
        <v/>
      </c>
      <c r="AD733" s="79" t="str">
        <f>IF(AND(N733="1521",MONTH(C733)='BK-NL'!$M$11),"x","")</f>
        <v/>
      </c>
    </row>
    <row r="734" spans="1:30" ht="16.5" customHeight="1">
      <c r="A734" s="318" t="str">
        <f>IF(B734&lt;&gt;"",IF(AND(B734='IN-TC'!$S$4,OR(TH!N734="1111",TH!O734="1111")),TH!D734,""),"")</f>
        <v/>
      </c>
      <c r="B734" s="60" t="str">
        <f t="shared" si="130"/>
        <v/>
      </c>
      <c r="C734" s="974"/>
      <c r="D734" s="974"/>
      <c r="E734" s="974"/>
      <c r="F734" s="975"/>
      <c r="G734" s="976"/>
      <c r="H734" s="759"/>
      <c r="I734" s="383"/>
      <c r="J734" s="977"/>
      <c r="K734" s="383"/>
      <c r="L734" s="390"/>
      <c r="M734" s="978"/>
      <c r="N734" s="979"/>
      <c r="O734" s="979"/>
      <c r="P734" s="79" t="str">
        <f>IF(AND('331-CT'!$E$7=TH!H734,OR(N734="331",O734="331")),"x","")</f>
        <v/>
      </c>
      <c r="Q734" s="79" t="str">
        <f>IF(AND(B734='111'!$L$11,OR($N734=$Q$7,$O734=$Q$7)),"x","")</f>
        <v/>
      </c>
      <c r="R734" s="79" t="str">
        <f>IF(AND($N734=$Q$7,$B734&lt;'111'!$L$11),"x","")</f>
        <v/>
      </c>
      <c r="S734" s="79" t="str">
        <f>IF(AND($O734=$Q$7,$B734&lt;'111'!$L$11),"x","")</f>
        <v/>
      </c>
      <c r="T734" s="79" t="str">
        <f>IF(ISERROR(FIND('112'!$M$9,G734,1)),"",IF((AND(FIND('112'!$M$9,G734,1)&gt;=1,B734='112'!$K$9,OR($N734='112'!$I$6,$O734='112'!$I$6))),"x",""))</f>
        <v/>
      </c>
      <c r="U734" s="79" t="str">
        <f>IF(ISERROR(FIND('112'!$M$9,G734,1)),"",IF((AND(LEFT(G734,2)=LEFT('112'!$M$9,2),B734&lt;'112'!$K$9,$N734='112'!$I$6)),"x",""))</f>
        <v/>
      </c>
      <c r="V734" s="79" t="str">
        <f>IF(ISERROR(FIND('112'!$M$9,G734,1)),"",IF((AND(RIGHT(G734,2)=RIGHT('112'!$M$9,2),B734&lt;'112'!$K$9,$O734='112'!$I$6)),"x",""))</f>
        <v/>
      </c>
      <c r="W734" s="79" t="str">
        <f>IF(AND('341-CT'!$H$9=H734,OR(LEFT(N734,3)=$W$7,LEFT(O734,3)=$W$7)),"x","")</f>
        <v/>
      </c>
      <c r="X734" s="79" t="str">
        <f>IF(OR(TH!N734=TH!$X$7,O734=TH!$X$7),"x","")</f>
        <v/>
      </c>
      <c r="Y734" s="79" t="str">
        <f>IF(AND(OR(N734="131",O734="131"),H734='131-CT'!$H$9),"x","")</f>
        <v/>
      </c>
      <c r="Z734" s="79"/>
      <c r="AA734" s="79" t="str">
        <f>IF(AND(MONTH(E734)='IN-NX'!$J$5,'IN-NX'!$D$7=D734),"x","")</f>
        <v/>
      </c>
      <c r="AB734" s="79" t="str">
        <f>IF(AND(OR(LEFT(TH!N734,2)="15",LEFT(TH!O734,2)="15"),LEFT(TH!O734,3)&lt;&gt;"111",'152-CT'!$J$8=TH!F734),"x","")</f>
        <v/>
      </c>
      <c r="AC734" s="79" t="str">
        <f>IF(AND(OR(LEFT(TH!N734,2)="15",LEFT(TH!O734,2)="15"),TK!$E$7=TH!F734),"x","")</f>
        <v/>
      </c>
      <c r="AD734" s="79" t="str">
        <f>IF(AND(N734="1521",MONTH(C734)='BK-NL'!$M$11),"x","")</f>
        <v/>
      </c>
    </row>
    <row r="735" spans="1:30" ht="16.5" customHeight="1">
      <c r="A735" s="318" t="str">
        <f>IF(B735&lt;&gt;"",IF(AND(B735='IN-TC'!$S$4,OR(TH!N735="1111",TH!O735="1111")),TH!D735,""),"")</f>
        <v/>
      </c>
      <c r="B735" s="60" t="str">
        <f t="shared" si="130"/>
        <v/>
      </c>
      <c r="C735" s="974"/>
      <c r="D735" s="974"/>
      <c r="E735" s="974"/>
      <c r="F735" s="975"/>
      <c r="G735" s="976"/>
      <c r="H735" s="759"/>
      <c r="I735" s="383"/>
      <c r="J735" s="977"/>
      <c r="K735" s="383"/>
      <c r="L735" s="390"/>
      <c r="M735" s="978"/>
      <c r="N735" s="979"/>
      <c r="O735" s="979"/>
      <c r="P735" s="79" t="str">
        <f>IF(AND('331-CT'!$E$7=TH!H735,OR(N735="331",O735="331")),"x","")</f>
        <v/>
      </c>
      <c r="Q735" s="79" t="str">
        <f>IF(AND(B735='111'!$L$11,OR($N735=$Q$7,$O735=$Q$7)),"x","")</f>
        <v/>
      </c>
      <c r="R735" s="79" t="str">
        <f>IF(AND($N735=$Q$7,$B735&lt;'111'!$L$11),"x","")</f>
        <v/>
      </c>
      <c r="S735" s="79" t="str">
        <f>IF(AND($O735=$Q$7,$B735&lt;'111'!$L$11),"x","")</f>
        <v/>
      </c>
      <c r="T735" s="79" t="str">
        <f>IF(ISERROR(FIND('112'!$M$9,G735,1)),"",IF((AND(FIND('112'!$M$9,G735,1)&gt;=1,B735='112'!$K$9,OR($N735='112'!$I$6,$O735='112'!$I$6))),"x",""))</f>
        <v/>
      </c>
      <c r="U735" s="79" t="str">
        <f>IF(ISERROR(FIND('112'!$M$9,G735,1)),"",IF((AND(LEFT(G735,2)=LEFT('112'!$M$9,2),B735&lt;'112'!$K$9,$N735='112'!$I$6)),"x",""))</f>
        <v/>
      </c>
      <c r="V735" s="79" t="str">
        <f>IF(ISERROR(FIND('112'!$M$9,G735,1)),"",IF((AND(RIGHT(G735,2)=RIGHT('112'!$M$9,2),B735&lt;'112'!$K$9,$O735='112'!$I$6)),"x",""))</f>
        <v/>
      </c>
      <c r="W735" s="79" t="str">
        <f>IF(AND('341-CT'!$H$9=H735,OR(LEFT(N735,3)=$W$7,LEFT(O735,3)=$W$7)),"x","")</f>
        <v/>
      </c>
      <c r="X735" s="79" t="str">
        <f>IF(OR(TH!N735=TH!$X$7,O735=TH!$X$7),"x","")</f>
        <v/>
      </c>
      <c r="Y735" s="79" t="str">
        <f>IF(AND(OR(N735="131",O735="131"),H735='131-CT'!$H$9),"x","")</f>
        <v/>
      </c>
      <c r="Z735" s="79"/>
      <c r="AA735" s="79" t="str">
        <f>IF(AND(MONTH(E735)='IN-NX'!$J$5,'IN-NX'!$D$7=D735),"x","")</f>
        <v/>
      </c>
      <c r="AB735" s="79" t="str">
        <f>IF(AND(OR(LEFT(TH!N735,2)="15",LEFT(TH!O735,2)="15"),LEFT(TH!O735,3)&lt;&gt;"111",'152-CT'!$J$8=TH!F735),"x","")</f>
        <v/>
      </c>
      <c r="AC735" s="79" t="str">
        <f>IF(AND(OR(LEFT(TH!N735,2)="15",LEFT(TH!O735,2)="15"),TK!$E$7=TH!F735),"x","")</f>
        <v/>
      </c>
      <c r="AD735" s="79" t="str">
        <f>IF(AND(N735="1521",MONTH(C735)='BK-NL'!$M$11),"x","")</f>
        <v/>
      </c>
    </row>
    <row r="736" spans="1:30" ht="16.5" customHeight="1">
      <c r="A736" s="318" t="str">
        <f>IF(B736&lt;&gt;"",IF(AND(B736='IN-TC'!$S$4,OR(TH!N736="1111",TH!O736="1111")),TH!D736,""),"")</f>
        <v/>
      </c>
      <c r="B736" s="60" t="str">
        <f t="shared" si="130"/>
        <v/>
      </c>
      <c r="C736" s="974"/>
      <c r="D736" s="974"/>
      <c r="E736" s="974"/>
      <c r="F736" s="975"/>
      <c r="G736" s="976"/>
      <c r="H736" s="759"/>
      <c r="I736" s="383"/>
      <c r="J736" s="977"/>
      <c r="K736" s="383"/>
      <c r="L736" s="390"/>
      <c r="M736" s="978"/>
      <c r="N736" s="979"/>
      <c r="O736" s="979"/>
      <c r="P736" s="79" t="str">
        <f>IF(AND('331-CT'!$E$7=TH!H736,OR(N736="331",O736="331")),"x","")</f>
        <v/>
      </c>
      <c r="Q736" s="79" t="str">
        <f>IF(AND(B736='111'!$L$11,OR($N736=$Q$7,$O736=$Q$7)),"x","")</f>
        <v/>
      </c>
      <c r="R736" s="79" t="str">
        <f>IF(AND($N736=$Q$7,$B736&lt;'111'!$L$11),"x","")</f>
        <v/>
      </c>
      <c r="S736" s="79" t="str">
        <f>IF(AND($O736=$Q$7,$B736&lt;'111'!$L$11),"x","")</f>
        <v/>
      </c>
      <c r="T736" s="79" t="str">
        <f>IF(ISERROR(FIND('112'!$M$9,G736,1)),"",IF((AND(FIND('112'!$M$9,G736,1)&gt;=1,B736='112'!$K$9,OR($N736='112'!$I$6,$O736='112'!$I$6))),"x",""))</f>
        <v/>
      </c>
      <c r="U736" s="79" t="str">
        <f>IF(ISERROR(FIND('112'!$M$9,G736,1)),"",IF((AND(LEFT(G736,2)=LEFT('112'!$M$9,2),B736&lt;'112'!$K$9,$N736='112'!$I$6)),"x",""))</f>
        <v/>
      </c>
      <c r="V736" s="79" t="str">
        <f>IF(ISERROR(FIND('112'!$M$9,G736,1)),"",IF((AND(RIGHT(G736,2)=RIGHT('112'!$M$9,2),B736&lt;'112'!$K$9,$O736='112'!$I$6)),"x",""))</f>
        <v/>
      </c>
      <c r="W736" s="79" t="str">
        <f>IF(AND('341-CT'!$H$9=H736,OR(LEFT(N736,3)=$W$7,LEFT(O736,3)=$W$7)),"x","")</f>
        <v/>
      </c>
      <c r="X736" s="79" t="str">
        <f>IF(OR(TH!N736=TH!$X$7,O736=TH!$X$7),"x","")</f>
        <v/>
      </c>
      <c r="Y736" s="79" t="str">
        <f>IF(AND(OR(N736="131",O736="131"),H736='131-CT'!$H$9),"x","")</f>
        <v/>
      </c>
      <c r="Z736" s="79"/>
      <c r="AA736" s="79" t="str">
        <f>IF(AND(MONTH(E736)='IN-NX'!$J$5,'IN-NX'!$D$7=D736),"x","")</f>
        <v/>
      </c>
      <c r="AB736" s="79" t="str">
        <f>IF(AND(OR(LEFT(TH!N736,2)="15",LEFT(TH!O736,2)="15"),LEFT(TH!O736,3)&lt;&gt;"111",'152-CT'!$J$8=TH!F736),"x","")</f>
        <v/>
      </c>
      <c r="AC736" s="79" t="str">
        <f>IF(AND(OR(LEFT(TH!N736,2)="15",LEFT(TH!O736,2)="15"),TK!$E$7=TH!F736),"x","")</f>
        <v/>
      </c>
      <c r="AD736" s="79" t="str">
        <f>IF(AND(N736="1521",MONTH(C736)='BK-NL'!$M$11),"x","")</f>
        <v/>
      </c>
    </row>
    <row r="737" spans="1:30" ht="16.5" customHeight="1">
      <c r="A737" s="318" t="str">
        <f>IF(B737&lt;&gt;"",IF(AND(B737='IN-TC'!$S$4,OR(TH!N737="1111",TH!O737="1111")),TH!D737,""),"")</f>
        <v/>
      </c>
      <c r="B737" s="60" t="str">
        <f t="shared" si="130"/>
        <v/>
      </c>
      <c r="C737" s="974"/>
      <c r="D737" s="974"/>
      <c r="E737" s="974"/>
      <c r="F737" s="975"/>
      <c r="G737" s="976"/>
      <c r="H737" s="759"/>
      <c r="I737" s="383"/>
      <c r="J737" s="977"/>
      <c r="K737" s="383"/>
      <c r="L737" s="390"/>
      <c r="M737" s="978"/>
      <c r="N737" s="979"/>
      <c r="O737" s="979"/>
      <c r="P737" s="79" t="str">
        <f>IF(AND('331-CT'!$E$7=TH!H737,OR(N737="331",O737="331")),"x","")</f>
        <v/>
      </c>
      <c r="Q737" s="79" t="str">
        <f>IF(AND(B737='111'!$L$11,OR($N737=$Q$7,$O737=$Q$7)),"x","")</f>
        <v/>
      </c>
      <c r="R737" s="79" t="str">
        <f>IF(AND($N737=$Q$7,$B737&lt;'111'!$L$11),"x","")</f>
        <v/>
      </c>
      <c r="S737" s="79" t="str">
        <f>IF(AND($O737=$Q$7,$B737&lt;'111'!$L$11),"x","")</f>
        <v/>
      </c>
      <c r="T737" s="79" t="str">
        <f>IF(ISERROR(FIND('112'!$M$9,G737,1)),"",IF((AND(FIND('112'!$M$9,G737,1)&gt;=1,B737='112'!$K$9,OR($N737='112'!$I$6,$O737='112'!$I$6))),"x",""))</f>
        <v/>
      </c>
      <c r="U737" s="79" t="str">
        <f>IF(ISERROR(FIND('112'!$M$9,G737,1)),"",IF((AND(LEFT(G737,2)=LEFT('112'!$M$9,2),B737&lt;'112'!$K$9,$N737='112'!$I$6)),"x",""))</f>
        <v/>
      </c>
      <c r="V737" s="79" t="str">
        <f>IF(ISERROR(FIND('112'!$M$9,G737,1)),"",IF((AND(RIGHT(G737,2)=RIGHT('112'!$M$9,2),B737&lt;'112'!$K$9,$O737='112'!$I$6)),"x",""))</f>
        <v/>
      </c>
      <c r="W737" s="79" t="str">
        <f>IF(AND('341-CT'!$H$9=H737,OR(LEFT(N737,3)=$W$7,LEFT(O737,3)=$W$7)),"x","")</f>
        <v/>
      </c>
      <c r="X737" s="79" t="str">
        <f>IF(OR(TH!N737=TH!$X$7,O737=TH!$X$7),"x","")</f>
        <v/>
      </c>
      <c r="Y737" s="79" t="str">
        <f>IF(AND(OR(N737="131",O737="131"),H737='131-CT'!$H$9),"x","")</f>
        <v/>
      </c>
      <c r="Z737" s="79"/>
      <c r="AA737" s="79" t="str">
        <f>IF(AND(MONTH(E737)='IN-NX'!$J$5,'IN-NX'!$D$7=D737),"x","")</f>
        <v/>
      </c>
      <c r="AB737" s="79" t="str">
        <f>IF(AND(OR(LEFT(TH!N737,2)="15",LEFT(TH!O737,2)="15"),LEFT(TH!O737,3)&lt;&gt;"111",'152-CT'!$J$8=TH!F737),"x","")</f>
        <v/>
      </c>
      <c r="AC737" s="79" t="str">
        <f>IF(AND(OR(LEFT(TH!N737,2)="15",LEFT(TH!O737,2)="15"),TK!$E$7=TH!F737),"x","")</f>
        <v/>
      </c>
      <c r="AD737" s="79" t="str">
        <f>IF(AND(N737="1521",MONTH(C737)='BK-NL'!$M$11),"x","")</f>
        <v/>
      </c>
    </row>
    <row r="738" spans="1:30" ht="16.5" customHeight="1">
      <c r="A738" s="318" t="str">
        <f>IF(B738&lt;&gt;"",IF(AND(B738='IN-TC'!$S$4,OR(TH!N738="1111",TH!O738="1111")),TH!D738,""),"")</f>
        <v/>
      </c>
      <c r="B738" s="60" t="str">
        <f t="shared" si="130"/>
        <v/>
      </c>
      <c r="C738" s="974"/>
      <c r="D738" s="974"/>
      <c r="E738" s="974"/>
      <c r="F738" s="975"/>
      <c r="G738" s="976"/>
      <c r="H738" s="759"/>
      <c r="I738" s="383"/>
      <c r="J738" s="977"/>
      <c r="K738" s="383"/>
      <c r="L738" s="390"/>
      <c r="M738" s="978"/>
      <c r="N738" s="979"/>
      <c r="O738" s="979"/>
      <c r="P738" s="79" t="str">
        <f>IF(AND('331-CT'!$E$7=TH!H738,OR(N738="331",O738="331")),"x","")</f>
        <v/>
      </c>
      <c r="Q738" s="79" t="str">
        <f>IF(AND(B738='111'!$L$11,OR($N738=$Q$7,$O738=$Q$7)),"x","")</f>
        <v/>
      </c>
      <c r="R738" s="79" t="str">
        <f>IF(AND($N738=$Q$7,$B738&lt;'111'!$L$11),"x","")</f>
        <v/>
      </c>
      <c r="S738" s="79" t="str">
        <f>IF(AND($O738=$Q$7,$B738&lt;'111'!$L$11),"x","")</f>
        <v/>
      </c>
      <c r="T738" s="79" t="str">
        <f>IF(ISERROR(FIND('112'!$M$9,G738,1)),"",IF((AND(FIND('112'!$M$9,G738,1)&gt;=1,B738='112'!$K$9,OR($N738='112'!$I$6,$O738='112'!$I$6))),"x",""))</f>
        <v/>
      </c>
      <c r="U738" s="79" t="str">
        <f>IF(ISERROR(FIND('112'!$M$9,G738,1)),"",IF((AND(LEFT(G738,2)=LEFT('112'!$M$9,2),B738&lt;'112'!$K$9,$N738='112'!$I$6)),"x",""))</f>
        <v/>
      </c>
      <c r="V738" s="79" t="str">
        <f>IF(ISERROR(FIND('112'!$M$9,G738,1)),"",IF((AND(RIGHT(G738,2)=RIGHT('112'!$M$9,2),B738&lt;'112'!$K$9,$O738='112'!$I$6)),"x",""))</f>
        <v/>
      </c>
      <c r="W738" s="79" t="str">
        <f>IF(AND('341-CT'!$H$9=H738,OR(LEFT(N738,3)=$W$7,LEFT(O738,3)=$W$7)),"x","")</f>
        <v/>
      </c>
      <c r="X738" s="79" t="str">
        <f>IF(OR(TH!N738=TH!$X$7,O738=TH!$X$7),"x","")</f>
        <v/>
      </c>
      <c r="Y738" s="79" t="str">
        <f>IF(AND(OR(N738="131",O738="131"),H738='131-CT'!$H$9),"x","")</f>
        <v/>
      </c>
      <c r="Z738" s="79"/>
      <c r="AA738" s="79" t="str">
        <f>IF(AND(MONTH(E738)='IN-NX'!$J$5,'IN-NX'!$D$7=D738),"x","")</f>
        <v/>
      </c>
      <c r="AB738" s="79" t="str">
        <f>IF(AND(OR(LEFT(TH!N738,2)="15",LEFT(TH!O738,2)="15"),LEFT(TH!O738,3)&lt;&gt;"111",'152-CT'!$J$8=TH!F738),"x","")</f>
        <v/>
      </c>
      <c r="AC738" s="79" t="str">
        <f>IF(AND(OR(LEFT(TH!N738,2)="15",LEFT(TH!O738,2)="15"),TK!$E$7=TH!F738),"x","")</f>
        <v/>
      </c>
      <c r="AD738" s="79" t="str">
        <f>IF(AND(N738="1521",MONTH(C738)='BK-NL'!$M$11),"x","")</f>
        <v/>
      </c>
    </row>
    <row r="739" spans="1:30" ht="16.5" customHeight="1">
      <c r="A739" s="318" t="str">
        <f>IF(B739&lt;&gt;"",IF(AND(B739='IN-TC'!$S$4,OR(TH!N739="1111",TH!O739="1111")),TH!D739,""),"")</f>
        <v/>
      </c>
      <c r="B739" s="60" t="str">
        <f t="shared" si="130"/>
        <v/>
      </c>
      <c r="C739" s="974"/>
      <c r="D739" s="974"/>
      <c r="E739" s="974"/>
      <c r="F739" s="975"/>
      <c r="G739" s="976"/>
      <c r="H739" s="759"/>
      <c r="I739" s="383"/>
      <c r="J739" s="977"/>
      <c r="K739" s="383"/>
      <c r="L739" s="390"/>
      <c r="M739" s="978"/>
      <c r="N739" s="979"/>
      <c r="O739" s="979"/>
      <c r="P739" s="79" t="str">
        <f>IF(AND('331-CT'!$E$7=TH!H739,OR(N739="331",O739="331")),"x","")</f>
        <v/>
      </c>
      <c r="Q739" s="79" t="str">
        <f>IF(AND(B739='111'!$L$11,OR($N739=$Q$7,$O739=$Q$7)),"x","")</f>
        <v/>
      </c>
      <c r="R739" s="79" t="str">
        <f>IF(AND($N739=$Q$7,$B739&lt;'111'!$L$11),"x","")</f>
        <v/>
      </c>
      <c r="S739" s="79" t="str">
        <f>IF(AND($O739=$Q$7,$B739&lt;'111'!$L$11),"x","")</f>
        <v/>
      </c>
      <c r="T739" s="79" t="str">
        <f>IF(ISERROR(FIND('112'!$M$9,G739,1)),"",IF((AND(FIND('112'!$M$9,G739,1)&gt;=1,B739='112'!$K$9,OR($N739='112'!$I$6,$O739='112'!$I$6))),"x",""))</f>
        <v/>
      </c>
      <c r="U739" s="79" t="str">
        <f>IF(ISERROR(FIND('112'!$M$9,G739,1)),"",IF((AND(LEFT(G739,2)=LEFT('112'!$M$9,2),B739&lt;'112'!$K$9,$N739='112'!$I$6)),"x",""))</f>
        <v/>
      </c>
      <c r="V739" s="79" t="str">
        <f>IF(ISERROR(FIND('112'!$M$9,G739,1)),"",IF((AND(RIGHT(G739,2)=RIGHT('112'!$M$9,2),B739&lt;'112'!$K$9,$O739='112'!$I$6)),"x",""))</f>
        <v/>
      </c>
      <c r="W739" s="79" t="str">
        <f>IF(AND('341-CT'!$H$9=H739,OR(LEFT(N739,3)=$W$7,LEFT(O739,3)=$W$7)),"x","")</f>
        <v/>
      </c>
      <c r="X739" s="79" t="str">
        <f>IF(OR(TH!N739=TH!$X$7,O739=TH!$X$7),"x","")</f>
        <v/>
      </c>
      <c r="Y739" s="79" t="str">
        <f>IF(AND(OR(N739="131",O739="131"),H739='131-CT'!$H$9),"x","")</f>
        <v/>
      </c>
      <c r="Z739" s="79"/>
      <c r="AA739" s="79" t="str">
        <f>IF(AND(MONTH(E739)='IN-NX'!$J$5,'IN-NX'!$D$7=D739),"x","")</f>
        <v/>
      </c>
      <c r="AB739" s="79" t="str">
        <f>IF(AND(OR(LEFT(TH!N739,2)="15",LEFT(TH!O739,2)="15"),LEFT(TH!O739,3)&lt;&gt;"111",'152-CT'!$J$8=TH!F739),"x","")</f>
        <v/>
      </c>
      <c r="AC739" s="79" t="str">
        <f>IF(AND(OR(LEFT(TH!N739,2)="15",LEFT(TH!O739,2)="15"),TK!$E$7=TH!F739),"x","")</f>
        <v/>
      </c>
      <c r="AD739" s="79" t="str">
        <f>IF(AND(N739="1521",MONTH(C739)='BK-NL'!$M$11),"x","")</f>
        <v/>
      </c>
    </row>
    <row r="740" spans="1:30" ht="16.5" customHeight="1">
      <c r="A740" s="318" t="str">
        <f>IF(B740&lt;&gt;"",IF(AND(B740='IN-TC'!$S$4,OR(TH!N740="1111",TH!O740="1111")),TH!D740,""),"")</f>
        <v/>
      </c>
      <c r="B740" s="60" t="str">
        <f t="shared" si="130"/>
        <v/>
      </c>
      <c r="C740" s="974"/>
      <c r="D740" s="974"/>
      <c r="E740" s="974"/>
      <c r="F740" s="975"/>
      <c r="G740" s="976"/>
      <c r="H740" s="759"/>
      <c r="I740" s="383"/>
      <c r="J740" s="977"/>
      <c r="K740" s="383"/>
      <c r="L740" s="390"/>
      <c r="M740" s="978"/>
      <c r="N740" s="979"/>
      <c r="O740" s="979"/>
      <c r="P740" s="79" t="str">
        <f>IF(AND('331-CT'!$E$7=TH!H740,OR(N740="331",O740="331")),"x","")</f>
        <v/>
      </c>
      <c r="Q740" s="79" t="str">
        <f>IF(AND(B740='111'!$L$11,OR($N740=$Q$7,$O740=$Q$7)),"x","")</f>
        <v/>
      </c>
      <c r="R740" s="79" t="str">
        <f>IF(AND($N740=$Q$7,$B740&lt;'111'!$L$11),"x","")</f>
        <v/>
      </c>
      <c r="S740" s="79" t="str">
        <f>IF(AND($O740=$Q$7,$B740&lt;'111'!$L$11),"x","")</f>
        <v/>
      </c>
      <c r="T740" s="79" t="str">
        <f>IF(ISERROR(FIND('112'!$M$9,G740,1)),"",IF((AND(FIND('112'!$M$9,G740,1)&gt;=1,B740='112'!$K$9,OR($N740='112'!$I$6,$O740='112'!$I$6))),"x",""))</f>
        <v/>
      </c>
      <c r="U740" s="79" t="str">
        <f>IF(ISERROR(FIND('112'!$M$9,G740,1)),"",IF((AND(LEFT(G740,2)=LEFT('112'!$M$9,2),B740&lt;'112'!$K$9,$N740='112'!$I$6)),"x",""))</f>
        <v/>
      </c>
      <c r="V740" s="79" t="str">
        <f>IF(ISERROR(FIND('112'!$M$9,G740,1)),"",IF((AND(RIGHT(G740,2)=RIGHT('112'!$M$9,2),B740&lt;'112'!$K$9,$O740='112'!$I$6)),"x",""))</f>
        <v/>
      </c>
      <c r="W740" s="79" t="str">
        <f>IF(AND('341-CT'!$H$9=H740,OR(LEFT(N740,3)=$W$7,LEFT(O740,3)=$W$7)),"x","")</f>
        <v/>
      </c>
      <c r="X740" s="79" t="str">
        <f>IF(OR(TH!N740=TH!$X$7,O740=TH!$X$7),"x","")</f>
        <v/>
      </c>
      <c r="Y740" s="79" t="str">
        <f>IF(AND(OR(N740="131",O740="131"),H740='131-CT'!$H$9),"x","")</f>
        <v/>
      </c>
      <c r="Z740" s="79"/>
      <c r="AA740" s="79" t="str">
        <f>IF(AND(MONTH(E740)='IN-NX'!$J$5,'IN-NX'!$D$7=D740),"x","")</f>
        <v/>
      </c>
      <c r="AB740" s="79" t="str">
        <f>IF(AND(OR(LEFT(TH!N740,2)="15",LEFT(TH!O740,2)="15"),LEFT(TH!O740,3)&lt;&gt;"111",'152-CT'!$J$8=TH!F740),"x","")</f>
        <v/>
      </c>
      <c r="AC740" s="79" t="str">
        <f>IF(AND(OR(LEFT(TH!N740,2)="15",LEFT(TH!O740,2)="15"),TK!$E$7=TH!F740),"x","")</f>
        <v/>
      </c>
      <c r="AD740" s="79" t="str">
        <f>IF(AND(N740="1521",MONTH(C740)='BK-NL'!$M$11),"x","")</f>
        <v/>
      </c>
    </row>
    <row r="741" spans="1:30" ht="16.5" customHeight="1">
      <c r="A741" s="318" t="str">
        <f>IF(B741&lt;&gt;"",IF(AND(B741='IN-TC'!$S$4,OR(TH!N741="1111",TH!O741="1111")),TH!D741,""),"")</f>
        <v/>
      </c>
      <c r="B741" s="60" t="str">
        <f t="shared" ref="B741:B742" si="131">IF(C741&lt;&gt;"",MONTH(C741),"")</f>
        <v/>
      </c>
      <c r="C741" s="974"/>
      <c r="D741" s="974"/>
      <c r="E741" s="974"/>
      <c r="F741" s="975"/>
      <c r="G741" s="976"/>
      <c r="H741" s="305"/>
      <c r="I741" s="383"/>
      <c r="J741" s="977"/>
      <c r="K741" s="383"/>
      <c r="L741" s="390"/>
      <c r="M741" s="978"/>
      <c r="N741" s="979"/>
      <c r="O741" s="979"/>
      <c r="P741" s="79" t="str">
        <f>IF(AND('331-CT'!$E$7=TH!H741,OR(N741="331",O741="331")),"x","")</f>
        <v/>
      </c>
      <c r="Q741" s="79" t="str">
        <f>IF(AND(B741='111'!$L$11,OR($N741=$Q$7,$O741=$Q$7)),"x","")</f>
        <v/>
      </c>
      <c r="R741" s="79" t="str">
        <f>IF(AND($N741=$Q$7,$B741&lt;'111'!$L$11),"x","")</f>
        <v/>
      </c>
      <c r="S741" s="79" t="str">
        <f>IF(AND($O741=$Q$7,$B741&lt;'111'!$L$11),"x","")</f>
        <v/>
      </c>
      <c r="T741" s="79" t="str">
        <f>IF(ISERROR(FIND('112'!$M$9,G741,1)),"",IF((AND(FIND('112'!$M$9,G741,1)&gt;=1,B741='112'!$K$9,OR($N741='112'!$I$6,$O741='112'!$I$6))),"x",""))</f>
        <v/>
      </c>
      <c r="U741" s="79" t="str">
        <f>IF(ISERROR(FIND('112'!$M$9,G741,1)),"",IF((AND(LEFT(G741,2)=LEFT('112'!$M$9,2),B741&lt;'112'!$K$9,$N741='112'!$I$6)),"x",""))</f>
        <v/>
      </c>
      <c r="V741" s="79" t="str">
        <f>IF(ISERROR(FIND('112'!$M$9,G741,1)),"",IF((AND(RIGHT(G741,2)=RIGHT('112'!$M$9,2),B741&lt;'112'!$K$9,$O741='112'!$I$6)),"x",""))</f>
        <v/>
      </c>
      <c r="W741" s="79" t="str">
        <f>IF(AND('341-CT'!$H$9=H741,OR(LEFT(N741,3)=$W$7,LEFT(O741,3)=$W$7)),"x","")</f>
        <v/>
      </c>
      <c r="X741" s="79" t="str">
        <f>IF(OR(TH!N741=TH!$X$7,O741=TH!$X$7),"x","")</f>
        <v/>
      </c>
      <c r="Y741" s="79" t="str">
        <f>IF(AND(OR(N741="131",O741="131"),H741='131-CT'!$H$9),"x","")</f>
        <v/>
      </c>
      <c r="Z741" s="79"/>
      <c r="AA741" s="79" t="str">
        <f>IF(AND(MONTH(E741)='IN-NX'!$J$5,'IN-NX'!$D$7=D741),"x","")</f>
        <v/>
      </c>
      <c r="AB741" s="79" t="str">
        <f>IF(AND(OR(LEFT(TH!N741,2)="15",LEFT(TH!O741,2)="15"),LEFT(TH!O741,3)&lt;&gt;"111",'152-CT'!$J$8=TH!F741),"x","")</f>
        <v/>
      </c>
      <c r="AC741" s="79" t="str">
        <f>IF(AND(OR(LEFT(TH!N741,2)="15",LEFT(TH!O741,2)="15"),TK!$E$7=TH!F741),"x","")</f>
        <v/>
      </c>
      <c r="AD741" s="79" t="str">
        <f>IF(AND(N741="1521",MONTH(C741)='BK-NL'!$M$11),"x","")</f>
        <v/>
      </c>
    </row>
    <row r="742" spans="1:30" ht="16.5" customHeight="1">
      <c r="A742" s="318" t="str">
        <f>IF(B742&lt;&gt;"",IF(AND(B742='IN-TC'!$S$4,OR(TH!N742="1111",TH!O742="1111")),TH!D742,""),"")</f>
        <v/>
      </c>
      <c r="B742" s="60" t="str">
        <f t="shared" si="131"/>
        <v/>
      </c>
      <c r="C742" s="974"/>
      <c r="D742" s="974"/>
      <c r="E742" s="974"/>
      <c r="F742" s="975"/>
      <c r="G742" s="976"/>
      <c r="H742" s="305"/>
      <c r="I742" s="383"/>
      <c r="J742" s="977"/>
      <c r="K742" s="383"/>
      <c r="L742" s="390"/>
      <c r="M742" s="978"/>
      <c r="N742" s="979"/>
      <c r="O742" s="979"/>
      <c r="P742" s="79" t="str">
        <f>IF(AND('331-CT'!$E$7=TH!H742,OR(N742="331",O742="331")),"x","")</f>
        <v/>
      </c>
      <c r="Q742" s="79" t="str">
        <f>IF(AND(B742='111'!$L$11,OR($N742=$Q$7,$O742=$Q$7)),"x","")</f>
        <v/>
      </c>
      <c r="R742" s="79" t="str">
        <f>IF(AND($N742=$Q$7,$B742&lt;'111'!$L$11),"x","")</f>
        <v/>
      </c>
      <c r="S742" s="79" t="str">
        <f>IF(AND($O742=$Q$7,$B742&lt;'111'!$L$11),"x","")</f>
        <v/>
      </c>
      <c r="T742" s="79" t="str">
        <f>IF(ISERROR(FIND('112'!$M$9,G742,1)),"",IF((AND(FIND('112'!$M$9,G742,1)&gt;=1,B742='112'!$K$9,OR($N742='112'!$I$6,$O742='112'!$I$6))),"x",""))</f>
        <v/>
      </c>
      <c r="U742" s="79" t="str">
        <f>IF(ISERROR(FIND('112'!$M$9,G742,1)),"",IF((AND(LEFT(G742,2)=LEFT('112'!$M$9,2),B742&lt;'112'!$K$9,$N742='112'!$I$6)),"x",""))</f>
        <v/>
      </c>
      <c r="V742" s="79" t="str">
        <f>IF(ISERROR(FIND('112'!$M$9,G742,1)),"",IF((AND(RIGHT(G742,2)=RIGHT('112'!$M$9,2),B742&lt;'112'!$K$9,$O742='112'!$I$6)),"x",""))</f>
        <v/>
      </c>
      <c r="W742" s="79" t="str">
        <f>IF(AND('341-CT'!$H$9=H742,OR(LEFT(N742,3)=$W$7,LEFT(O742,3)=$W$7)),"x","")</f>
        <v/>
      </c>
      <c r="X742" s="79" t="str">
        <f>IF(OR(TH!N742=TH!$X$7,O742=TH!$X$7),"x","")</f>
        <v/>
      </c>
      <c r="Y742" s="79" t="str">
        <f>IF(AND(OR(N742="131",O742="131"),H742='131-CT'!$H$9),"x","")</f>
        <v/>
      </c>
      <c r="Z742" s="79"/>
      <c r="AA742" s="79" t="str">
        <f>IF(AND(MONTH(E742)='IN-NX'!$J$5,'IN-NX'!$D$7=D742),"x","")</f>
        <v/>
      </c>
      <c r="AB742" s="79" t="str">
        <f>IF(AND(OR(LEFT(TH!N742,2)="15",LEFT(TH!O742,2)="15"),LEFT(TH!O742,3)&lt;&gt;"111",'152-CT'!$J$8=TH!F742),"x","")</f>
        <v/>
      </c>
      <c r="AC742" s="79" t="str">
        <f>IF(AND(OR(LEFT(TH!N742,2)="15",LEFT(TH!O742,2)="15"),TK!$E$7=TH!F742),"x","")</f>
        <v/>
      </c>
      <c r="AD742" s="79" t="str">
        <f>IF(AND(N742="1521",MONTH(C742)='BK-NL'!$M$11),"x","")</f>
        <v/>
      </c>
    </row>
    <row r="743" spans="1:30" ht="16.5" customHeight="1">
      <c r="A743" s="318" t="str">
        <f>IF(B743&lt;&gt;"",IF(AND(B743='IN-TC'!$S$4,OR(TH!N743="1111",TH!O743="1111")),TH!D743,""),"")</f>
        <v/>
      </c>
      <c r="B743" s="60" t="str">
        <f>IF(C743&lt;&gt;"",MONTH(C743),"")</f>
        <v/>
      </c>
      <c r="C743" s="974"/>
      <c r="D743" s="974"/>
      <c r="E743" s="974"/>
      <c r="F743" s="975"/>
      <c r="G743" s="976"/>
      <c r="H743" s="305"/>
      <c r="I743" s="383"/>
      <c r="J743" s="977"/>
      <c r="K743" s="383"/>
      <c r="L743" s="390"/>
      <c r="M743" s="978"/>
      <c r="N743" s="979"/>
      <c r="O743" s="979"/>
      <c r="P743" s="79" t="str">
        <f>IF(AND('331-CT'!$E$7=TH!H743,OR(N743="331",O743="331")),"x","")</f>
        <v/>
      </c>
      <c r="Q743" s="79" t="str">
        <f>IF(AND(B743='111'!$L$11,OR($N743=$Q$7,$O743=$Q$7)),"x","")</f>
        <v/>
      </c>
      <c r="R743" s="79" t="str">
        <f>IF(AND($N743=$Q$7,$B743&lt;'111'!$L$11),"x","")</f>
        <v/>
      </c>
      <c r="S743" s="79" t="str">
        <f>IF(AND($O743=$Q$7,$B743&lt;'111'!$L$11),"x","")</f>
        <v/>
      </c>
      <c r="T743" s="79" t="str">
        <f>IF(ISERROR(FIND('112'!$M$9,G743,1)),"",IF((AND(FIND('112'!$M$9,G743,1)&gt;=1,B743='112'!$K$9,OR($N743='112'!$I$6,$O743='112'!$I$6))),"x",""))</f>
        <v/>
      </c>
      <c r="U743" s="79" t="str">
        <f>IF(ISERROR(FIND('112'!$M$9,G743,1)),"",IF((AND(LEFT(G743,2)=LEFT('112'!$M$9,2),B743&lt;'112'!$K$9,$N743='112'!$I$6)),"x",""))</f>
        <v/>
      </c>
      <c r="V743" s="79" t="str">
        <f>IF(ISERROR(FIND('112'!$M$9,G743,1)),"",IF((AND(RIGHT(G743,2)=RIGHT('112'!$M$9,2),B743&lt;'112'!$K$9,$O743='112'!$I$6)),"x",""))</f>
        <v/>
      </c>
      <c r="W743" s="79" t="str">
        <f>IF(AND('341-CT'!$H$9=H743,OR(LEFT(N743,3)=$W$7,LEFT(O743,3)=$W$7)),"x","")</f>
        <v/>
      </c>
      <c r="X743" s="79" t="str">
        <f>IF(OR(TH!N743=TH!$X$7,O743=TH!$X$7),"x","")</f>
        <v/>
      </c>
      <c r="Y743" s="79" t="str">
        <f>IF(AND(OR(N743="131",O743="131"),H743='131-CT'!$H$9),"x","")</f>
        <v/>
      </c>
      <c r="Z743" s="79"/>
      <c r="AA743" s="79" t="str">
        <f>IF(AND(MONTH(E743)='IN-NX'!$J$5,'IN-NX'!$D$7=D743),"x","")</f>
        <v/>
      </c>
      <c r="AB743" s="79" t="str">
        <f>IF(AND(OR(LEFT(TH!N743,2)="15",LEFT(TH!O743,2)="15"),LEFT(TH!O743,3)&lt;&gt;"111",'152-CT'!$J$8=TH!F743),"x","")</f>
        <v/>
      </c>
      <c r="AC743" s="79" t="str">
        <f>IF(AND(OR(LEFT(TH!N743,2)="15",LEFT(TH!O743,2)="15"),TK!$E$7=TH!F743),"x","")</f>
        <v/>
      </c>
      <c r="AD743" s="79" t="str">
        <f>IF(AND(N743="1521",MONTH(C743)='BK-NL'!$M$11),"x","")</f>
        <v/>
      </c>
    </row>
    <row r="744" spans="1:30" ht="16.5" customHeight="1">
      <c r="A744" s="318" t="str">
        <f>IF(B744&lt;&gt;"",IF(AND(B744='IN-TC'!$S$4,OR(TH!N744="1111",TH!O744="1111")),TH!D744,""),"")</f>
        <v/>
      </c>
      <c r="B744" s="60" t="str">
        <f>IF(C744&lt;&gt;"",MONTH(C744),"")</f>
        <v/>
      </c>
      <c r="C744" s="974"/>
      <c r="D744" s="974"/>
      <c r="E744" s="974"/>
      <c r="F744" s="975"/>
      <c r="G744" s="976"/>
      <c r="H744" s="305"/>
      <c r="I744" s="383"/>
      <c r="J744" s="977"/>
      <c r="K744" s="383"/>
      <c r="L744" s="390"/>
      <c r="M744" s="978"/>
      <c r="N744" s="979"/>
      <c r="O744" s="979"/>
      <c r="P744" s="79" t="str">
        <f>IF(AND('331-CT'!$E$7=TH!H744,OR(N744="331",O744="331")),"x","")</f>
        <v/>
      </c>
      <c r="Q744" s="79" t="str">
        <f>IF(AND(B744='111'!$L$11,OR($N744=$Q$7,$O744=$Q$7)),"x","")</f>
        <v/>
      </c>
      <c r="R744" s="79" t="str">
        <f>IF(AND($N744=$Q$7,$B744&lt;'111'!$L$11),"x","")</f>
        <v/>
      </c>
      <c r="S744" s="79" t="str">
        <f>IF(AND($O744=$Q$7,$B744&lt;'111'!$L$11),"x","")</f>
        <v/>
      </c>
      <c r="T744" s="79" t="str">
        <f>IF(ISERROR(FIND('112'!$M$9,G744,1)),"",IF((AND(FIND('112'!$M$9,G744,1)&gt;=1,B744='112'!$K$9,OR($N744='112'!$I$6,$O744='112'!$I$6))),"x",""))</f>
        <v/>
      </c>
      <c r="U744" s="79" t="str">
        <f>IF(ISERROR(FIND('112'!$M$9,G744,1)),"",IF((AND(LEFT(G744,2)=LEFT('112'!$M$9,2),B744&lt;'112'!$K$9,$N744='112'!$I$6)),"x",""))</f>
        <v/>
      </c>
      <c r="V744" s="79" t="str">
        <f>IF(ISERROR(FIND('112'!$M$9,G744,1)),"",IF((AND(RIGHT(G744,2)=RIGHT('112'!$M$9,2),B744&lt;'112'!$K$9,$O744='112'!$I$6)),"x",""))</f>
        <v/>
      </c>
      <c r="W744" s="79" t="str">
        <f>IF(AND('341-CT'!$H$9=H744,OR(LEFT(N744,3)=$W$7,LEFT(O744,3)=$W$7)),"x","")</f>
        <v/>
      </c>
      <c r="X744" s="79" t="str">
        <f>IF(OR(TH!N744=TH!$X$7,O744=TH!$X$7),"x","")</f>
        <v/>
      </c>
      <c r="Y744" s="79" t="str">
        <f>IF(AND(OR(N744="131",O744="131"),H744='131-CT'!$H$9),"x","")</f>
        <v/>
      </c>
      <c r="Z744" s="79"/>
      <c r="AA744" s="79" t="str">
        <f>IF(AND(MONTH(E744)='IN-NX'!$J$5,'IN-NX'!$D$7=D744),"x","")</f>
        <v/>
      </c>
      <c r="AB744" s="79" t="str">
        <f>IF(AND(OR(LEFT(TH!N744,2)="15",LEFT(TH!O744,2)="15"),LEFT(TH!O744,3)&lt;&gt;"111",'152-CT'!$J$8=TH!F744),"x","")</f>
        <v/>
      </c>
      <c r="AC744" s="79" t="str">
        <f>IF(AND(OR(LEFT(TH!N744,2)="15",LEFT(TH!O744,2)="15"),TK!$E$7=TH!F744),"x","")</f>
        <v/>
      </c>
      <c r="AD744" s="79" t="str">
        <f>IF(AND(N744="1521",MONTH(C744)='BK-NL'!$M$11),"x","")</f>
        <v/>
      </c>
    </row>
    <row r="745" spans="1:30" ht="16.5" customHeight="1">
      <c r="A745" s="318" t="str">
        <f>IF(B745&lt;&gt;"",IF(AND(B745='IN-TC'!$S$4,OR(TH!N745="1111",TH!O745="1111")),TH!D745,""),"")</f>
        <v/>
      </c>
      <c r="B745" s="60" t="str">
        <f t="shared" ref="B745:B747" si="132">IF(C745&lt;&gt;"",MONTH(C745),"")</f>
        <v/>
      </c>
      <c r="C745" s="974"/>
      <c r="D745" s="974"/>
      <c r="E745" s="974"/>
      <c r="F745" s="975"/>
      <c r="G745" s="976"/>
      <c r="H745" s="305"/>
      <c r="I745" s="383"/>
      <c r="J745" s="977"/>
      <c r="K745" s="383"/>
      <c r="L745" s="390"/>
      <c r="M745" s="978"/>
      <c r="N745" s="979"/>
      <c r="O745" s="979"/>
      <c r="P745" s="79" t="str">
        <f>IF(AND('331-CT'!$E$7=TH!H745,OR(N745="331",O745="331")),"x","")</f>
        <v/>
      </c>
      <c r="Q745" s="79" t="str">
        <f>IF(AND(B745='111'!$L$11,OR($N745=$Q$7,$O745=$Q$7)),"x","")</f>
        <v/>
      </c>
      <c r="R745" s="79" t="str">
        <f>IF(AND($N745=$Q$7,$B745&lt;'111'!$L$11),"x","")</f>
        <v/>
      </c>
      <c r="S745" s="79" t="str">
        <f>IF(AND($O745=$Q$7,$B745&lt;'111'!$L$11),"x","")</f>
        <v/>
      </c>
      <c r="T745" s="79" t="str">
        <f>IF(ISERROR(FIND('112'!$M$9,G745,1)),"",IF((AND(FIND('112'!$M$9,G745,1)&gt;=1,B745='112'!$K$9,OR($N745='112'!$I$6,$O745='112'!$I$6))),"x",""))</f>
        <v/>
      </c>
      <c r="U745" s="79" t="str">
        <f>IF(ISERROR(FIND('112'!$M$9,G745,1)),"",IF((AND(LEFT(G745,2)=LEFT('112'!$M$9,2),B745&lt;'112'!$K$9,$N745='112'!$I$6)),"x",""))</f>
        <v/>
      </c>
      <c r="V745" s="79" t="str">
        <f>IF(ISERROR(FIND('112'!$M$9,G745,1)),"",IF((AND(RIGHT(G745,2)=RIGHT('112'!$M$9,2),B745&lt;'112'!$K$9,$O745='112'!$I$6)),"x",""))</f>
        <v/>
      </c>
      <c r="W745" s="79" t="str">
        <f>IF(AND('341-CT'!$H$9=H745,OR(LEFT(N745,3)=$W$7,LEFT(O745,3)=$W$7)),"x","")</f>
        <v/>
      </c>
      <c r="X745" s="79" t="str">
        <f>IF(OR(TH!N745=TH!$X$7,O745=TH!$X$7),"x","")</f>
        <v/>
      </c>
      <c r="Y745" s="79" t="str">
        <f>IF(AND(OR(N745="131",O745="131"),H745='131-CT'!$H$9),"x","")</f>
        <v/>
      </c>
      <c r="Z745" s="79"/>
      <c r="AA745" s="79" t="str">
        <f>IF(AND(MONTH(E745)='IN-NX'!$J$5,'IN-NX'!$D$7=D745),"x","")</f>
        <v/>
      </c>
      <c r="AB745" s="79" t="str">
        <f>IF(AND(OR(LEFT(TH!N745,2)="15",LEFT(TH!O745,2)="15"),LEFT(TH!O745,3)&lt;&gt;"111",'152-CT'!$J$8=TH!F745),"x","")</f>
        <v/>
      </c>
      <c r="AC745" s="79" t="str">
        <f>IF(AND(OR(LEFT(TH!N745,2)="15",LEFT(TH!O745,2)="15"),TK!$E$7=TH!F745),"x","")</f>
        <v/>
      </c>
      <c r="AD745" s="79" t="str">
        <f>IF(AND(N745="1521",MONTH(C745)='BK-NL'!$M$11),"x","")</f>
        <v/>
      </c>
    </row>
    <row r="746" spans="1:30" ht="16.5" customHeight="1">
      <c r="A746" s="318" t="str">
        <f>IF(B746&lt;&gt;"",IF(AND(B746='IN-TC'!$S$4,OR(TH!N746="1111",TH!O746="1111")),TH!D746,""),"")</f>
        <v/>
      </c>
      <c r="B746" s="60" t="str">
        <f t="shared" ref="B746" si="133">IF(C746&lt;&gt;"",MONTH(C746),"")</f>
        <v/>
      </c>
      <c r="C746" s="974"/>
      <c r="D746" s="974"/>
      <c r="E746" s="974"/>
      <c r="F746" s="975"/>
      <c r="G746" s="976"/>
      <c r="H746" s="305"/>
      <c r="I746" s="383"/>
      <c r="J746" s="977"/>
      <c r="K746" s="383"/>
      <c r="L746" s="390"/>
      <c r="M746" s="978"/>
      <c r="N746" s="979"/>
      <c r="O746" s="979"/>
      <c r="P746" s="79" t="str">
        <f>IF(AND('331-CT'!$E$7=TH!H746,OR(N746="331",O746="331")),"x","")</f>
        <v/>
      </c>
      <c r="Q746" s="79" t="str">
        <f>IF(AND(B746='111'!$L$11,OR($N746=$Q$7,$O746=$Q$7)),"x","")</f>
        <v/>
      </c>
      <c r="R746" s="79" t="str">
        <f>IF(AND($N746=$Q$7,$B746&lt;'111'!$L$11),"x","")</f>
        <v/>
      </c>
      <c r="S746" s="79" t="str">
        <f>IF(AND($O746=$Q$7,$B746&lt;'111'!$L$11),"x","")</f>
        <v/>
      </c>
      <c r="T746" s="79" t="str">
        <f>IF(ISERROR(FIND('112'!$M$9,G746,1)),"",IF((AND(FIND('112'!$M$9,G746,1)&gt;=1,B746='112'!$K$9,OR($N746='112'!$I$6,$O746='112'!$I$6))),"x",""))</f>
        <v/>
      </c>
      <c r="U746" s="79" t="str">
        <f>IF(ISERROR(FIND('112'!$M$9,G746,1)),"",IF((AND(LEFT(G746,2)=LEFT('112'!$M$9,2),B746&lt;'112'!$K$9,$N746='112'!$I$6)),"x",""))</f>
        <v/>
      </c>
      <c r="V746" s="79" t="str">
        <f>IF(ISERROR(FIND('112'!$M$9,G746,1)),"",IF((AND(RIGHT(G746,2)=RIGHT('112'!$M$9,2),B746&lt;'112'!$K$9,$O746='112'!$I$6)),"x",""))</f>
        <v/>
      </c>
      <c r="W746" s="79" t="str">
        <f>IF(AND('341-CT'!$H$9=H746,OR(LEFT(N746,3)=$W$7,LEFT(O746,3)=$W$7)),"x","")</f>
        <v/>
      </c>
      <c r="X746" s="79" t="str">
        <f>IF(OR(TH!N746=TH!$X$7,O746=TH!$X$7),"x","")</f>
        <v/>
      </c>
      <c r="Y746" s="79" t="str">
        <f>IF(AND(OR(N746="131",O746="131"),H746='131-CT'!$H$9),"x","")</f>
        <v/>
      </c>
      <c r="Z746" s="79"/>
      <c r="AA746" s="79" t="str">
        <f>IF(AND(MONTH(E746)='IN-NX'!$J$5,'IN-NX'!$D$7=D746),"x","")</f>
        <v/>
      </c>
      <c r="AB746" s="79" t="str">
        <f>IF(AND(OR(LEFT(TH!N746,2)="15",LEFT(TH!O746,2)="15"),LEFT(TH!O746,3)&lt;&gt;"111",'152-CT'!$J$8=TH!F746),"x","")</f>
        <v/>
      </c>
      <c r="AC746" s="79" t="str">
        <f>IF(AND(OR(LEFT(TH!N746,2)="15",LEFT(TH!O746,2)="15"),TK!$E$7=TH!F746),"x","")</f>
        <v/>
      </c>
      <c r="AD746" s="79" t="str">
        <f>IF(AND(N746="1521",MONTH(C746)='BK-NL'!$M$11),"x","")</f>
        <v/>
      </c>
    </row>
    <row r="747" spans="1:30" ht="16.5" customHeight="1">
      <c r="A747" s="318" t="str">
        <f>IF(B747&lt;&gt;"",IF(AND(B747='IN-TC'!$S$4,OR(TH!N747="1111",TH!O747="1111")),TH!D747,""),"")</f>
        <v/>
      </c>
      <c r="B747" s="60" t="str">
        <f t="shared" si="132"/>
        <v/>
      </c>
      <c r="C747" s="974"/>
      <c r="D747" s="974"/>
      <c r="E747" s="974"/>
      <c r="F747" s="975"/>
      <c r="G747" s="976"/>
      <c r="H747" s="305"/>
      <c r="I747" s="383"/>
      <c r="J747" s="977"/>
      <c r="K747" s="383"/>
      <c r="L747" s="390"/>
      <c r="M747" s="978"/>
      <c r="N747" s="979"/>
      <c r="O747" s="979"/>
      <c r="P747" s="79" t="str">
        <f>IF(AND('331-CT'!$E$7=TH!H747,OR(N747="331",O747="331")),"x","")</f>
        <v/>
      </c>
      <c r="Q747" s="79" t="str">
        <f>IF(AND(B747='111'!$L$11,OR($N747=$Q$7,$O747=$Q$7)),"x","")</f>
        <v/>
      </c>
      <c r="R747" s="79" t="str">
        <f>IF(AND($N747=$Q$7,$B747&lt;'111'!$L$11),"x","")</f>
        <v/>
      </c>
      <c r="S747" s="79" t="str">
        <f>IF(AND($O747=$Q$7,$B747&lt;'111'!$L$11),"x","")</f>
        <v/>
      </c>
      <c r="T747" s="79" t="str">
        <f>IF(ISERROR(FIND('112'!$M$9,G747,1)),"",IF((AND(FIND('112'!$M$9,G747,1)&gt;=1,B747='112'!$K$9,OR($N747='112'!$I$6,$O747='112'!$I$6))),"x",""))</f>
        <v/>
      </c>
      <c r="U747" s="79" t="str">
        <f>IF(ISERROR(FIND('112'!$M$9,G747,1)),"",IF((AND(LEFT(G747,2)=LEFT('112'!$M$9,2),B747&lt;'112'!$K$9,$N747='112'!$I$6)),"x",""))</f>
        <v/>
      </c>
      <c r="V747" s="79" t="str">
        <f>IF(ISERROR(FIND('112'!$M$9,G747,1)),"",IF((AND(RIGHT(G747,2)=RIGHT('112'!$M$9,2),B747&lt;'112'!$K$9,$O747='112'!$I$6)),"x",""))</f>
        <v/>
      </c>
      <c r="W747" s="79" t="str">
        <f>IF(AND('341-CT'!$H$9=H747,OR(LEFT(N747,3)=$W$7,LEFT(O747,3)=$W$7)),"x","")</f>
        <v/>
      </c>
      <c r="X747" s="79" t="str">
        <f>IF(OR(TH!N747=TH!$X$7,O747=TH!$X$7),"x","")</f>
        <v/>
      </c>
      <c r="Y747" s="79" t="str">
        <f>IF(AND(OR(N747="131",O747="131"),H747='131-CT'!$H$9),"x","")</f>
        <v/>
      </c>
      <c r="Z747" s="79"/>
      <c r="AA747" s="79" t="str">
        <f>IF(AND(MONTH(E747)='IN-NX'!$J$5,'IN-NX'!$D$7=D747),"x","")</f>
        <v/>
      </c>
      <c r="AB747" s="79" t="str">
        <f>IF(AND(OR(LEFT(TH!N747,2)="15",LEFT(TH!O747,2)="15"),LEFT(TH!O747,3)&lt;&gt;"111",'152-CT'!$J$8=TH!F747),"x","")</f>
        <v/>
      </c>
      <c r="AC747" s="79" t="str">
        <f>IF(AND(OR(LEFT(TH!N747,2)="15",LEFT(TH!O747,2)="15"),TK!$E$7=TH!F747),"x","")</f>
        <v/>
      </c>
      <c r="AD747" s="79" t="str">
        <f>IF(AND(N747="1521",MONTH(C747)='BK-NL'!$M$11),"x","")</f>
        <v/>
      </c>
    </row>
    <row r="748" spans="1:30" ht="16.5" customHeight="1">
      <c r="A748" s="318" t="str">
        <f>IF(B748&lt;&gt;"",IF(AND(B748='IN-TC'!$S$4,OR(TH!N748="1111",TH!O748="1111")),TH!D748,""),"")</f>
        <v/>
      </c>
      <c r="B748" s="60" t="str">
        <f t="shared" ref="B748:B766" si="134">IF(C748&lt;&gt;"",MONTH(C748),"")</f>
        <v/>
      </c>
      <c r="C748" s="974"/>
      <c r="D748" s="974"/>
      <c r="E748" s="974"/>
      <c r="F748" s="975"/>
      <c r="G748" s="976"/>
      <c r="H748" s="77"/>
      <c r="I748" s="383"/>
      <c r="J748" s="977"/>
      <c r="K748" s="383"/>
      <c r="L748" s="390"/>
      <c r="M748" s="978"/>
      <c r="N748" s="979"/>
      <c r="O748" s="979"/>
      <c r="P748" s="79" t="str">
        <f>IF(AND('331-CT'!$E$7=TH!H748,OR(N748="331",O748="331")),"x","")</f>
        <v/>
      </c>
      <c r="Q748" s="79" t="str">
        <f>IF(AND(B748='111'!$L$11,OR($N748=$Q$7,$O748=$Q$7)),"x","")</f>
        <v/>
      </c>
      <c r="R748" s="79" t="str">
        <f>IF(AND($N748=$Q$7,$B748&lt;'111'!$L$11),"x","")</f>
        <v/>
      </c>
      <c r="S748" s="79" t="str">
        <f>IF(AND($O748=$Q$7,$B748&lt;'111'!$L$11),"x","")</f>
        <v/>
      </c>
      <c r="T748" s="79" t="str">
        <f>IF(ISERROR(FIND('112'!$M$9,G748,1)),"",IF((AND(FIND('112'!$M$9,G748,1)&gt;=1,B748='112'!$K$9,OR($N748='112'!$I$6,$O748='112'!$I$6))),"x",""))</f>
        <v/>
      </c>
      <c r="U748" s="79" t="str">
        <f>IF(ISERROR(FIND('112'!$M$9,G748,1)),"",IF((AND(LEFT(G748,2)=LEFT('112'!$M$9,2),B748&lt;'112'!$K$9,$N748='112'!$I$6)),"x",""))</f>
        <v/>
      </c>
      <c r="V748" s="79" t="str">
        <f>IF(ISERROR(FIND('112'!$M$9,G748,1)),"",IF((AND(RIGHT(G748,2)=RIGHT('112'!$M$9,2),B748&lt;'112'!$K$9,$O748='112'!$I$6)),"x",""))</f>
        <v/>
      </c>
      <c r="W748" s="79" t="str">
        <f>IF(AND('341-CT'!$H$9=H748,OR(LEFT(N748,3)=$W$7,LEFT(O748,3)=$W$7)),"x","")</f>
        <v/>
      </c>
      <c r="X748" s="79" t="str">
        <f>IF(OR(TH!N748=TH!$X$7,O748=TH!$X$7),"x","")</f>
        <v/>
      </c>
      <c r="Y748" s="79" t="str">
        <f>IF(AND(OR(N748="131",O748="131"),H748='131-CT'!$H$9),"x","")</f>
        <v/>
      </c>
      <c r="Z748" s="79"/>
      <c r="AA748" s="79" t="str">
        <f>IF(AND(MONTH(E748)='IN-NX'!$J$5,'IN-NX'!$D$7=D748),"x","")</f>
        <v/>
      </c>
      <c r="AB748" s="79" t="str">
        <f>IF(AND(OR(LEFT(TH!N748,2)="15",LEFT(TH!O748,2)="15"),LEFT(TH!O748,3)&lt;&gt;"111",'152-CT'!$J$8=TH!F748),"x","")</f>
        <v/>
      </c>
      <c r="AC748" s="79" t="str">
        <f>IF(AND(OR(LEFT(TH!N748,2)="15",LEFT(TH!O748,2)="15"),TK!$E$7=TH!F748),"x","")</f>
        <v/>
      </c>
      <c r="AD748" s="79" t="str">
        <f>IF(AND(N748="1521",MONTH(C748)='BK-NL'!$M$11),"x","")</f>
        <v/>
      </c>
    </row>
    <row r="749" spans="1:30" ht="16.5" customHeight="1">
      <c r="A749" s="318" t="str">
        <f>IF(B749&lt;&gt;"",IF(AND(B749='IN-TC'!$S$4,OR(TH!N749="1111",TH!O749="1111")),TH!D749,""),"")</f>
        <v/>
      </c>
      <c r="B749" s="60" t="str">
        <f t="shared" si="134"/>
        <v/>
      </c>
      <c r="C749" s="974"/>
      <c r="D749" s="974"/>
      <c r="E749" s="974"/>
      <c r="F749" s="975"/>
      <c r="G749" s="976"/>
      <c r="H749" s="77"/>
      <c r="I749" s="383"/>
      <c r="J749" s="977"/>
      <c r="K749" s="383"/>
      <c r="L749" s="390"/>
      <c r="M749" s="978"/>
      <c r="N749" s="979"/>
      <c r="O749" s="979"/>
      <c r="P749" s="79" t="str">
        <f>IF(AND('331-CT'!$E$7=TH!H749,OR(N749="331",O749="331")),"x","")</f>
        <v/>
      </c>
      <c r="Q749" s="79" t="str">
        <f>IF(AND(B749='111'!$L$11,OR($N749=$Q$7,$O749=$Q$7)),"x","")</f>
        <v/>
      </c>
      <c r="R749" s="79" t="str">
        <f>IF(AND($N749=$Q$7,$B749&lt;'111'!$L$11),"x","")</f>
        <v/>
      </c>
      <c r="S749" s="79" t="str">
        <f>IF(AND($O749=$Q$7,$B749&lt;'111'!$L$11),"x","")</f>
        <v/>
      </c>
      <c r="T749" s="79" t="str">
        <f>IF(ISERROR(FIND('112'!$M$9,G749,1)),"",IF((AND(FIND('112'!$M$9,G749,1)&gt;=1,B749='112'!$K$9,OR($N749='112'!$I$6,$O749='112'!$I$6))),"x",""))</f>
        <v/>
      </c>
      <c r="U749" s="79" t="str">
        <f>IF(ISERROR(FIND('112'!$M$9,G749,1)),"",IF((AND(LEFT(G749,2)=LEFT('112'!$M$9,2),B749&lt;'112'!$K$9,$N749='112'!$I$6)),"x",""))</f>
        <v/>
      </c>
      <c r="V749" s="79" t="str">
        <f>IF(ISERROR(FIND('112'!$M$9,G749,1)),"",IF((AND(RIGHT(G749,2)=RIGHT('112'!$M$9,2),B749&lt;'112'!$K$9,$O749='112'!$I$6)),"x",""))</f>
        <v/>
      </c>
      <c r="W749" s="79" t="str">
        <f>IF(AND('341-CT'!$H$9=H749,OR(LEFT(N749,3)=$W$7,LEFT(O749,3)=$W$7)),"x","")</f>
        <v/>
      </c>
      <c r="X749" s="79" t="str">
        <f>IF(OR(TH!N749=TH!$X$7,O749=TH!$X$7),"x","")</f>
        <v/>
      </c>
      <c r="Y749" s="79" t="str">
        <f>IF(AND(OR(N749="131",O749="131"),H749='131-CT'!$H$9),"x","")</f>
        <v/>
      </c>
      <c r="Z749" s="79"/>
      <c r="AA749" s="79" t="str">
        <f>IF(AND(MONTH(E749)='IN-NX'!$J$5,'IN-NX'!$D$7=D749),"x","")</f>
        <v/>
      </c>
      <c r="AB749" s="79" t="str">
        <f>IF(AND(OR(LEFT(TH!N749,2)="15",LEFT(TH!O749,2)="15"),LEFT(TH!O749,3)&lt;&gt;"111",'152-CT'!$J$8=TH!F749),"x","")</f>
        <v/>
      </c>
      <c r="AC749" s="79" t="str">
        <f>IF(AND(OR(LEFT(TH!N749,2)="15",LEFT(TH!O749,2)="15"),TK!$E$7=TH!F749),"x","")</f>
        <v/>
      </c>
      <c r="AD749" s="79" t="str">
        <f>IF(AND(N749="1521",MONTH(C749)='BK-NL'!$M$11),"x","")</f>
        <v/>
      </c>
    </row>
    <row r="750" spans="1:30" ht="16.5" customHeight="1">
      <c r="A750" s="318" t="str">
        <f>IF(B750&lt;&gt;"",IF(AND(B750='IN-TC'!$S$4,OR(TH!N750="1111",TH!O750="1111")),TH!D750,""),"")</f>
        <v/>
      </c>
      <c r="B750" s="60" t="str">
        <f t="shared" si="134"/>
        <v/>
      </c>
      <c r="C750" s="974"/>
      <c r="D750" s="974"/>
      <c r="E750" s="974"/>
      <c r="F750" s="975"/>
      <c r="G750" s="976"/>
      <c r="H750" s="77"/>
      <c r="I750" s="383"/>
      <c r="J750" s="977"/>
      <c r="K750" s="383"/>
      <c r="L750" s="390"/>
      <c r="M750" s="978"/>
      <c r="N750" s="979"/>
      <c r="O750" s="979"/>
      <c r="P750" s="79" t="str">
        <f>IF(AND('331-CT'!$E$7=TH!H750,OR(N750="331",O750="331")),"x","")</f>
        <v/>
      </c>
      <c r="Q750" s="79" t="str">
        <f>IF(AND(B750='111'!$L$11,OR($N750=$Q$7,$O750=$Q$7)),"x","")</f>
        <v/>
      </c>
      <c r="R750" s="79" t="str">
        <f>IF(AND($N750=$Q$7,$B750&lt;'111'!$L$11),"x","")</f>
        <v/>
      </c>
      <c r="S750" s="79" t="str">
        <f>IF(AND($O750=$Q$7,$B750&lt;'111'!$L$11),"x","")</f>
        <v/>
      </c>
      <c r="T750" s="79" t="str">
        <f>IF(ISERROR(FIND('112'!$M$9,G750,1)),"",IF((AND(FIND('112'!$M$9,G750,1)&gt;=1,B750='112'!$K$9,OR($N750='112'!$I$6,$O750='112'!$I$6))),"x",""))</f>
        <v/>
      </c>
      <c r="U750" s="79" t="str">
        <f>IF(ISERROR(FIND('112'!$M$9,G750,1)),"",IF((AND(LEFT(G750,2)=LEFT('112'!$M$9,2),B750&lt;'112'!$K$9,$N750='112'!$I$6)),"x",""))</f>
        <v/>
      </c>
      <c r="V750" s="79" t="str">
        <f>IF(ISERROR(FIND('112'!$M$9,G750,1)),"",IF((AND(RIGHT(G750,2)=RIGHT('112'!$M$9,2),B750&lt;'112'!$K$9,$O750='112'!$I$6)),"x",""))</f>
        <v/>
      </c>
      <c r="W750" s="79" t="str">
        <f>IF(AND('341-CT'!$H$9=H750,OR(LEFT(N750,3)=$W$7,LEFT(O750,3)=$W$7)),"x","")</f>
        <v/>
      </c>
      <c r="X750" s="79" t="str">
        <f>IF(OR(TH!N750=TH!$X$7,O750=TH!$X$7),"x","")</f>
        <v/>
      </c>
      <c r="Y750" s="79" t="str">
        <f>IF(AND(OR(N750="131",O750="131"),H750='131-CT'!$H$9),"x","")</f>
        <v/>
      </c>
      <c r="Z750" s="79"/>
      <c r="AA750" s="79" t="str">
        <f>IF(AND(MONTH(E750)='IN-NX'!$J$5,'IN-NX'!$D$7=D750),"x","")</f>
        <v/>
      </c>
      <c r="AB750" s="79" t="str">
        <f>IF(AND(OR(LEFT(TH!N750,2)="15",LEFT(TH!O750,2)="15"),LEFT(TH!O750,3)&lt;&gt;"111",'152-CT'!$J$8=TH!F750),"x","")</f>
        <v/>
      </c>
      <c r="AC750" s="79" t="str">
        <f>IF(AND(OR(LEFT(TH!N750,2)="15",LEFT(TH!O750,2)="15"),TK!$E$7=TH!F750),"x","")</f>
        <v/>
      </c>
      <c r="AD750" s="79" t="str">
        <f>IF(AND(N750="1521",MONTH(C750)='BK-NL'!$M$11),"x","")</f>
        <v/>
      </c>
    </row>
    <row r="751" spans="1:30" ht="16.5" customHeight="1">
      <c r="A751" s="318" t="str">
        <f>IF(B751&lt;&gt;"",IF(AND(B751='IN-TC'!$S$4,OR(TH!N751="1111",TH!O751="1111")),TH!D751,""),"")</f>
        <v/>
      </c>
      <c r="B751" s="60" t="str">
        <f t="shared" ref="B751:B753" si="135">IF(C751&lt;&gt;"",MONTH(C751),"")</f>
        <v/>
      </c>
      <c r="C751" s="974"/>
      <c r="D751" s="974"/>
      <c r="E751" s="974"/>
      <c r="F751" s="975"/>
      <c r="G751" s="976"/>
      <c r="H751" s="77"/>
      <c r="I751" s="383"/>
      <c r="J751" s="977"/>
      <c r="K751" s="383"/>
      <c r="L751" s="390"/>
      <c r="M751" s="978"/>
      <c r="N751" s="979"/>
      <c r="O751" s="979"/>
      <c r="P751" s="79" t="str">
        <f>IF(AND('331-CT'!$E$7=TH!H751,OR(N751="331",O751="331")),"x","")</f>
        <v/>
      </c>
      <c r="Q751" s="79" t="str">
        <f>IF(AND(B751='111'!$L$11,OR($N751=$Q$7,$O751=$Q$7)),"x","")</f>
        <v/>
      </c>
      <c r="R751" s="79" t="str">
        <f>IF(AND($N751=$Q$7,$B751&lt;'111'!$L$11),"x","")</f>
        <v/>
      </c>
      <c r="S751" s="79" t="str">
        <f>IF(AND($O751=$Q$7,$B751&lt;'111'!$L$11),"x","")</f>
        <v/>
      </c>
      <c r="T751" s="79" t="str">
        <f>IF(ISERROR(FIND('112'!$M$9,G751,1)),"",IF((AND(FIND('112'!$M$9,G751,1)&gt;=1,B751='112'!$K$9,OR($N751='112'!$I$6,$O751='112'!$I$6))),"x",""))</f>
        <v/>
      </c>
      <c r="U751" s="79" t="str">
        <f>IF(ISERROR(FIND('112'!$M$9,G751,1)),"",IF((AND(LEFT(G751,2)=LEFT('112'!$M$9,2),B751&lt;'112'!$K$9,$N751='112'!$I$6)),"x",""))</f>
        <v/>
      </c>
      <c r="V751" s="79" t="str">
        <f>IF(ISERROR(FIND('112'!$M$9,G751,1)),"",IF((AND(RIGHT(G751,2)=RIGHT('112'!$M$9,2),B751&lt;'112'!$K$9,$O751='112'!$I$6)),"x",""))</f>
        <v/>
      </c>
      <c r="W751" s="79" t="str">
        <f>IF(AND('341-CT'!$H$9=H751,OR(LEFT(N751,3)=$W$7,LEFT(O751,3)=$W$7)),"x","")</f>
        <v/>
      </c>
      <c r="X751" s="79" t="str">
        <f>IF(OR(TH!N751=TH!$X$7,O751=TH!$X$7),"x","")</f>
        <v/>
      </c>
      <c r="Y751" s="79" t="str">
        <f>IF(AND(OR(N751="131",O751="131"),H751='131-CT'!$H$9),"x","")</f>
        <v/>
      </c>
      <c r="Z751" s="79"/>
      <c r="AA751" s="79" t="str">
        <f>IF(AND(MONTH(E751)='IN-NX'!$J$5,'IN-NX'!$D$7=D751),"x","")</f>
        <v/>
      </c>
      <c r="AB751" s="79" t="str">
        <f>IF(AND(OR(LEFT(TH!N751,2)="15",LEFT(TH!O751,2)="15"),LEFT(TH!O751,3)&lt;&gt;"111",'152-CT'!$J$8=TH!F751),"x","")</f>
        <v/>
      </c>
      <c r="AC751" s="79" t="str">
        <f>IF(AND(OR(LEFT(TH!N751,2)="15",LEFT(TH!O751,2)="15"),TK!$E$7=TH!F751),"x","")</f>
        <v/>
      </c>
      <c r="AD751" s="79" t="str">
        <f>IF(AND(N751="1521",MONTH(C751)='BK-NL'!$M$11),"x","")</f>
        <v/>
      </c>
    </row>
    <row r="752" spans="1:30" ht="16.5" customHeight="1">
      <c r="A752" s="318" t="str">
        <f>IF(B752&lt;&gt;"",IF(AND(B752='IN-TC'!$S$4,OR(TH!N752="1111",TH!O752="1111")),TH!D752,""),"")</f>
        <v/>
      </c>
      <c r="B752" s="60" t="str">
        <f t="shared" si="135"/>
        <v/>
      </c>
      <c r="C752" s="974"/>
      <c r="D752" s="974"/>
      <c r="E752" s="974"/>
      <c r="F752" s="975"/>
      <c r="G752" s="976"/>
      <c r="H752" s="77"/>
      <c r="I752" s="383"/>
      <c r="J752" s="977"/>
      <c r="K752" s="383"/>
      <c r="L752" s="390"/>
      <c r="M752" s="978"/>
      <c r="N752" s="979"/>
      <c r="O752" s="979"/>
      <c r="P752" s="79" t="str">
        <f>IF(AND('331-CT'!$E$7=TH!H752,OR(N752="331",O752="331")),"x","")</f>
        <v/>
      </c>
      <c r="Q752" s="79" t="str">
        <f>IF(AND(B752='111'!$L$11,OR($N752=$Q$7,$O752=$Q$7)),"x","")</f>
        <v/>
      </c>
      <c r="R752" s="79" t="str">
        <f>IF(AND($N752=$Q$7,$B752&lt;'111'!$L$11),"x","")</f>
        <v/>
      </c>
      <c r="S752" s="79" t="str">
        <f>IF(AND($O752=$Q$7,$B752&lt;'111'!$L$11),"x","")</f>
        <v/>
      </c>
      <c r="T752" s="79" t="str">
        <f>IF(ISERROR(FIND('112'!$M$9,G752,1)),"",IF((AND(FIND('112'!$M$9,G752,1)&gt;=1,B752='112'!$K$9,OR($N752='112'!$I$6,$O752='112'!$I$6))),"x",""))</f>
        <v/>
      </c>
      <c r="U752" s="79" t="str">
        <f>IF(ISERROR(FIND('112'!$M$9,G752,1)),"",IF((AND(LEFT(G752,2)=LEFT('112'!$M$9,2),B752&lt;'112'!$K$9,$N752='112'!$I$6)),"x",""))</f>
        <v/>
      </c>
      <c r="V752" s="79" t="str">
        <f>IF(ISERROR(FIND('112'!$M$9,G752,1)),"",IF((AND(RIGHT(G752,2)=RIGHT('112'!$M$9,2),B752&lt;'112'!$K$9,$O752='112'!$I$6)),"x",""))</f>
        <v/>
      </c>
      <c r="W752" s="79" t="str">
        <f>IF(AND('341-CT'!$H$9=H752,OR(LEFT(N752,3)=$W$7,LEFT(O752,3)=$W$7)),"x","")</f>
        <v/>
      </c>
      <c r="X752" s="79" t="str">
        <f>IF(OR(TH!N752=TH!$X$7,O752=TH!$X$7),"x","")</f>
        <v/>
      </c>
      <c r="Y752" s="79" t="str">
        <f>IF(AND(OR(N752="131",O752="131"),H752='131-CT'!$H$9),"x","")</f>
        <v/>
      </c>
      <c r="Z752" s="79"/>
      <c r="AA752" s="79" t="str">
        <f>IF(AND(MONTH(E752)='IN-NX'!$J$5,'IN-NX'!$D$7=D752),"x","")</f>
        <v/>
      </c>
      <c r="AB752" s="79" t="str">
        <f>IF(AND(OR(LEFT(TH!N752,2)="15",LEFT(TH!O752,2)="15"),LEFT(TH!O752,3)&lt;&gt;"111",'152-CT'!$J$8=TH!F752),"x","")</f>
        <v/>
      </c>
      <c r="AC752" s="79" t="str">
        <f>IF(AND(OR(LEFT(TH!N752,2)="15",LEFT(TH!O752,2)="15"),TK!$E$7=TH!F752),"x","")</f>
        <v/>
      </c>
      <c r="AD752" s="79" t="str">
        <f>IF(AND(N752="1521",MONTH(C752)='BK-NL'!$M$11),"x","")</f>
        <v/>
      </c>
    </row>
    <row r="753" spans="1:30" ht="16.5" customHeight="1">
      <c r="A753" s="318" t="str">
        <f>IF(B753&lt;&gt;"",IF(AND(B753='IN-TC'!$S$4,OR(TH!N753="1111",TH!O753="1111")),TH!D753,""),"")</f>
        <v/>
      </c>
      <c r="B753" s="60" t="str">
        <f t="shared" si="135"/>
        <v/>
      </c>
      <c r="C753" s="974"/>
      <c r="D753" s="974"/>
      <c r="E753" s="974"/>
      <c r="F753" s="975"/>
      <c r="G753" s="976"/>
      <c r="H753" s="77"/>
      <c r="I753" s="383"/>
      <c r="J753" s="977"/>
      <c r="K753" s="383"/>
      <c r="L753" s="390"/>
      <c r="M753" s="978"/>
      <c r="N753" s="979"/>
      <c r="O753" s="979"/>
      <c r="P753" s="79" t="str">
        <f>IF(AND('331-CT'!$E$7=TH!H753,OR(N753="331",O753="331")),"x","")</f>
        <v/>
      </c>
      <c r="Q753" s="79" t="str">
        <f>IF(AND(B753='111'!$L$11,OR($N753=$Q$7,$O753=$Q$7)),"x","")</f>
        <v/>
      </c>
      <c r="R753" s="79" t="str">
        <f>IF(AND($N753=$Q$7,$B753&lt;'111'!$L$11),"x","")</f>
        <v/>
      </c>
      <c r="S753" s="79" t="str">
        <f>IF(AND($O753=$Q$7,$B753&lt;'111'!$L$11),"x","")</f>
        <v/>
      </c>
      <c r="T753" s="79" t="str">
        <f>IF(ISERROR(FIND('112'!$M$9,G753,1)),"",IF((AND(FIND('112'!$M$9,G753,1)&gt;=1,B753='112'!$K$9,OR($N753='112'!$I$6,$O753='112'!$I$6))),"x",""))</f>
        <v/>
      </c>
      <c r="U753" s="79" t="str">
        <f>IF(ISERROR(FIND('112'!$M$9,G753,1)),"",IF((AND(LEFT(G753,2)=LEFT('112'!$M$9,2),B753&lt;'112'!$K$9,$N753='112'!$I$6)),"x",""))</f>
        <v/>
      </c>
      <c r="V753" s="79" t="str">
        <f>IF(ISERROR(FIND('112'!$M$9,G753,1)),"",IF((AND(RIGHT(G753,2)=RIGHT('112'!$M$9,2),B753&lt;'112'!$K$9,$O753='112'!$I$6)),"x",""))</f>
        <v/>
      </c>
      <c r="W753" s="79" t="str">
        <f>IF(AND('341-CT'!$H$9=H753,OR(LEFT(N753,3)=$W$7,LEFT(O753,3)=$W$7)),"x","")</f>
        <v/>
      </c>
      <c r="X753" s="79" t="str">
        <f>IF(OR(TH!N753=TH!$X$7,O753=TH!$X$7),"x","")</f>
        <v/>
      </c>
      <c r="Y753" s="79" t="str">
        <f>IF(AND(OR(N753="131",O753="131"),H753='131-CT'!$H$9),"x","")</f>
        <v/>
      </c>
      <c r="Z753" s="79"/>
      <c r="AA753" s="79" t="str">
        <f>IF(AND(MONTH(E753)='IN-NX'!$J$5,'IN-NX'!$D$7=D753),"x","")</f>
        <v/>
      </c>
      <c r="AB753" s="79" t="str">
        <f>IF(AND(OR(LEFT(TH!N753,2)="15",LEFT(TH!O753,2)="15"),LEFT(TH!O753,3)&lt;&gt;"111",'152-CT'!$J$8=TH!F753),"x","")</f>
        <v/>
      </c>
      <c r="AC753" s="79" t="str">
        <f>IF(AND(OR(LEFT(TH!N753,2)="15",LEFT(TH!O753,2)="15"),TK!$E$7=TH!F753),"x","")</f>
        <v/>
      </c>
      <c r="AD753" s="79" t="str">
        <f>IF(AND(N753="1521",MONTH(C753)='BK-NL'!$M$11),"x","")</f>
        <v/>
      </c>
    </row>
    <row r="754" spans="1:30" ht="16.5" customHeight="1">
      <c r="A754" s="318" t="str">
        <f>IF(B754&lt;&gt;"",IF(AND(B754='IN-TC'!$S$4,OR(TH!N754="1111",TH!O754="1111")),TH!D754,""),"")</f>
        <v/>
      </c>
      <c r="B754" s="60" t="str">
        <f t="shared" ref="B754:B758" si="136">IF(C754&lt;&gt;"",MONTH(C754),"")</f>
        <v/>
      </c>
      <c r="C754" s="974"/>
      <c r="D754" s="974"/>
      <c r="E754" s="974"/>
      <c r="F754" s="975"/>
      <c r="G754" s="976"/>
      <c r="H754" s="77"/>
      <c r="I754" s="383"/>
      <c r="J754" s="977"/>
      <c r="K754" s="383"/>
      <c r="L754" s="390"/>
      <c r="M754" s="978"/>
      <c r="N754" s="979"/>
      <c r="O754" s="979"/>
      <c r="P754" s="79" t="str">
        <f>IF(AND('331-CT'!$E$7=TH!H754,OR(N754="331",O754="331")),"x","")</f>
        <v/>
      </c>
      <c r="Q754" s="79" t="str">
        <f>IF(AND(B754='111'!$L$11,OR($N754=$Q$7,$O754=$Q$7)),"x","")</f>
        <v/>
      </c>
      <c r="R754" s="79" t="str">
        <f>IF(AND($N754=$Q$7,$B754&lt;'111'!$L$11),"x","")</f>
        <v/>
      </c>
      <c r="S754" s="79" t="str">
        <f>IF(AND($O754=$Q$7,$B754&lt;'111'!$L$11),"x","")</f>
        <v/>
      </c>
      <c r="T754" s="79" t="str">
        <f>IF(ISERROR(FIND('112'!$M$9,G754,1)),"",IF((AND(FIND('112'!$M$9,G754,1)&gt;=1,B754='112'!$K$9,OR($N754='112'!$I$6,$O754='112'!$I$6))),"x",""))</f>
        <v/>
      </c>
      <c r="U754" s="79" t="str">
        <f>IF(ISERROR(FIND('112'!$M$9,G754,1)),"",IF((AND(LEFT(G754,2)=LEFT('112'!$M$9,2),B754&lt;'112'!$K$9,$N754='112'!$I$6)),"x",""))</f>
        <v/>
      </c>
      <c r="V754" s="79" t="str">
        <f>IF(ISERROR(FIND('112'!$M$9,G754,1)),"",IF((AND(RIGHT(G754,2)=RIGHT('112'!$M$9,2),B754&lt;'112'!$K$9,$O754='112'!$I$6)),"x",""))</f>
        <v/>
      </c>
      <c r="W754" s="79" t="str">
        <f>IF(AND('341-CT'!$H$9=H754,OR(LEFT(N754,3)=$W$7,LEFT(O754,3)=$W$7)),"x","")</f>
        <v/>
      </c>
      <c r="X754" s="79" t="str">
        <f>IF(OR(TH!N754=TH!$X$7,O754=TH!$X$7),"x","")</f>
        <v/>
      </c>
      <c r="Y754" s="79" t="str">
        <f>IF(AND(OR(N754="131",O754="131"),H754='131-CT'!$H$9),"x","")</f>
        <v/>
      </c>
      <c r="Z754" s="79"/>
      <c r="AA754" s="79" t="str">
        <f>IF(AND(MONTH(E754)='IN-NX'!$J$5,'IN-NX'!$D$7=D754),"x","")</f>
        <v/>
      </c>
      <c r="AB754" s="79" t="str">
        <f>IF(AND(OR(LEFT(TH!N754,2)="15",LEFT(TH!O754,2)="15"),LEFT(TH!O754,3)&lt;&gt;"111",'152-CT'!$J$8=TH!F754),"x","")</f>
        <v/>
      </c>
      <c r="AC754" s="79" t="str">
        <f>IF(AND(OR(LEFT(TH!N754,2)="15",LEFT(TH!O754,2)="15"),TK!$E$7=TH!F754),"x","")</f>
        <v/>
      </c>
      <c r="AD754" s="79" t="str">
        <f>IF(AND(N754="1521",MONTH(C754)='BK-NL'!$M$11),"x","")</f>
        <v/>
      </c>
    </row>
    <row r="755" spans="1:30" ht="16.5" customHeight="1">
      <c r="A755" s="318" t="str">
        <f>IF(B755&lt;&gt;"",IF(AND(B755='IN-TC'!$S$4,OR(TH!N755="1111",TH!O755="1111")),TH!D755,""),"")</f>
        <v/>
      </c>
      <c r="B755" s="60" t="str">
        <f t="shared" si="136"/>
        <v/>
      </c>
      <c r="C755" s="974"/>
      <c r="D755" s="974"/>
      <c r="E755" s="974"/>
      <c r="F755" s="975"/>
      <c r="G755" s="976"/>
      <c r="H755" s="77"/>
      <c r="I755" s="383"/>
      <c r="J755" s="977"/>
      <c r="K755" s="383"/>
      <c r="L755" s="390"/>
      <c r="M755" s="978"/>
      <c r="N755" s="979"/>
      <c r="O755" s="979"/>
      <c r="P755" s="79" t="str">
        <f>IF(AND('331-CT'!$E$7=TH!H755,OR(N755="331",O755="331")),"x","")</f>
        <v/>
      </c>
      <c r="Q755" s="79" t="str">
        <f>IF(AND(B755='111'!$L$11,OR($N755=$Q$7,$O755=$Q$7)),"x","")</f>
        <v/>
      </c>
      <c r="R755" s="79" t="str">
        <f>IF(AND($N755=$Q$7,$B755&lt;'111'!$L$11),"x","")</f>
        <v/>
      </c>
      <c r="S755" s="79" t="str">
        <f>IF(AND($O755=$Q$7,$B755&lt;'111'!$L$11),"x","")</f>
        <v/>
      </c>
      <c r="T755" s="79" t="str">
        <f>IF(ISERROR(FIND('112'!$M$9,G755,1)),"",IF((AND(FIND('112'!$M$9,G755,1)&gt;=1,B755='112'!$K$9,OR($N755='112'!$I$6,$O755='112'!$I$6))),"x",""))</f>
        <v/>
      </c>
      <c r="U755" s="79" t="str">
        <f>IF(ISERROR(FIND('112'!$M$9,G755,1)),"",IF((AND(LEFT(G755,2)=LEFT('112'!$M$9,2),B755&lt;'112'!$K$9,$N755='112'!$I$6)),"x",""))</f>
        <v/>
      </c>
      <c r="V755" s="79" t="str">
        <f>IF(ISERROR(FIND('112'!$M$9,G755,1)),"",IF((AND(RIGHT(G755,2)=RIGHT('112'!$M$9,2),B755&lt;'112'!$K$9,$O755='112'!$I$6)),"x",""))</f>
        <v/>
      </c>
      <c r="W755" s="79" t="str">
        <f>IF(AND('341-CT'!$H$9=H755,OR(LEFT(N755,3)=$W$7,LEFT(O755,3)=$W$7)),"x","")</f>
        <v/>
      </c>
      <c r="X755" s="79" t="str">
        <f>IF(OR(TH!N755=TH!$X$7,O755=TH!$X$7),"x","")</f>
        <v/>
      </c>
      <c r="Y755" s="79" t="str">
        <f>IF(AND(OR(N755="131",O755="131"),H755='131-CT'!$H$9),"x","")</f>
        <v/>
      </c>
      <c r="Z755" s="79"/>
      <c r="AA755" s="79" t="str">
        <f>IF(AND(MONTH(E755)='IN-NX'!$J$5,'IN-NX'!$D$7=D755),"x","")</f>
        <v/>
      </c>
      <c r="AB755" s="79" t="str">
        <f>IF(AND(OR(LEFT(TH!N755,2)="15",LEFT(TH!O755,2)="15"),LEFT(TH!O755,3)&lt;&gt;"111",'152-CT'!$J$8=TH!F755),"x","")</f>
        <v/>
      </c>
      <c r="AC755" s="79" t="str">
        <f>IF(AND(OR(LEFT(TH!N755,2)="15",LEFT(TH!O755,2)="15"),TK!$E$7=TH!F755),"x","")</f>
        <v/>
      </c>
      <c r="AD755" s="79" t="str">
        <f>IF(AND(N755="1521",MONTH(C755)='BK-NL'!$M$11),"x","")</f>
        <v/>
      </c>
    </row>
    <row r="756" spans="1:30" ht="16.5" customHeight="1">
      <c r="A756" s="318" t="str">
        <f>IF(B756&lt;&gt;"",IF(AND(B756='IN-TC'!$S$4,OR(TH!N756="1111",TH!O756="1111")),TH!D756,""),"")</f>
        <v/>
      </c>
      <c r="B756" s="60" t="str">
        <f t="shared" si="136"/>
        <v/>
      </c>
      <c r="C756" s="974"/>
      <c r="D756" s="974"/>
      <c r="E756" s="974"/>
      <c r="F756" s="975"/>
      <c r="G756" s="976"/>
      <c r="H756" s="77"/>
      <c r="I756" s="383"/>
      <c r="J756" s="977"/>
      <c r="K756" s="383"/>
      <c r="L756" s="390"/>
      <c r="M756" s="978"/>
      <c r="N756" s="979"/>
      <c r="O756" s="979"/>
      <c r="P756" s="79" t="str">
        <f>IF(AND('331-CT'!$E$7=TH!H756,OR(N756="331",O756="331")),"x","")</f>
        <v/>
      </c>
      <c r="Q756" s="79" t="str">
        <f>IF(AND(B756='111'!$L$11,OR($N756=$Q$7,$O756=$Q$7)),"x","")</f>
        <v/>
      </c>
      <c r="R756" s="79" t="str">
        <f>IF(AND($N756=$Q$7,$B756&lt;'111'!$L$11),"x","")</f>
        <v/>
      </c>
      <c r="S756" s="79" t="str">
        <f>IF(AND($O756=$Q$7,$B756&lt;'111'!$L$11),"x","")</f>
        <v/>
      </c>
      <c r="T756" s="79" t="str">
        <f>IF(ISERROR(FIND('112'!$M$9,G756,1)),"",IF((AND(FIND('112'!$M$9,G756,1)&gt;=1,B756='112'!$K$9,OR($N756='112'!$I$6,$O756='112'!$I$6))),"x",""))</f>
        <v/>
      </c>
      <c r="U756" s="79" t="str">
        <f>IF(ISERROR(FIND('112'!$M$9,G756,1)),"",IF((AND(LEFT(G756,2)=LEFT('112'!$M$9,2),B756&lt;'112'!$K$9,$N756='112'!$I$6)),"x",""))</f>
        <v/>
      </c>
      <c r="V756" s="79" t="str">
        <f>IF(ISERROR(FIND('112'!$M$9,G756,1)),"",IF((AND(RIGHT(G756,2)=RIGHT('112'!$M$9,2),B756&lt;'112'!$K$9,$O756='112'!$I$6)),"x",""))</f>
        <v/>
      </c>
      <c r="W756" s="79" t="str">
        <f>IF(AND('341-CT'!$H$9=H756,OR(LEFT(N756,3)=$W$7,LEFT(O756,3)=$W$7)),"x","")</f>
        <v/>
      </c>
      <c r="X756" s="79" t="str">
        <f>IF(OR(TH!N756=TH!$X$7,O756=TH!$X$7),"x","")</f>
        <v/>
      </c>
      <c r="Y756" s="79" t="str">
        <f>IF(AND(OR(N756="131",O756="131"),H756='131-CT'!$H$9),"x","")</f>
        <v/>
      </c>
      <c r="Z756" s="79"/>
      <c r="AA756" s="79" t="str">
        <f>IF(AND(MONTH(E756)='IN-NX'!$J$5,'IN-NX'!$D$7=D756),"x","")</f>
        <v/>
      </c>
      <c r="AB756" s="79" t="str">
        <f>IF(AND(OR(LEFT(TH!N756,2)="15",LEFT(TH!O756,2)="15"),LEFT(TH!O756,3)&lt;&gt;"111",'152-CT'!$J$8=TH!F756),"x","")</f>
        <v/>
      </c>
      <c r="AC756" s="79" t="str">
        <f>IF(AND(OR(LEFT(TH!N756,2)="15",LEFT(TH!O756,2)="15"),TK!$E$7=TH!F756),"x","")</f>
        <v/>
      </c>
      <c r="AD756" s="79" t="str">
        <f>IF(AND(N756="1521",MONTH(C756)='BK-NL'!$M$11),"x","")</f>
        <v/>
      </c>
    </row>
    <row r="757" spans="1:30" ht="16.5" customHeight="1">
      <c r="A757" s="318" t="str">
        <f>IF(B757&lt;&gt;"",IF(AND(B757='IN-TC'!$S$4,OR(TH!N757="1111",TH!O757="1111")),TH!D757,""),"")</f>
        <v/>
      </c>
      <c r="B757" s="60" t="str">
        <f t="shared" si="136"/>
        <v/>
      </c>
      <c r="C757" s="974"/>
      <c r="D757" s="974"/>
      <c r="E757" s="974"/>
      <c r="F757" s="975"/>
      <c r="G757" s="976"/>
      <c r="H757" s="77"/>
      <c r="I757" s="383"/>
      <c r="J757" s="977"/>
      <c r="K757" s="383"/>
      <c r="L757" s="390"/>
      <c r="M757" s="978"/>
      <c r="N757" s="979"/>
      <c r="O757" s="979"/>
      <c r="P757" s="79" t="str">
        <f>IF(AND('331-CT'!$E$7=TH!H757,OR(N757="331",O757="331")),"x","")</f>
        <v/>
      </c>
      <c r="Q757" s="79" t="str">
        <f>IF(AND(B757='111'!$L$11,OR($N757=$Q$7,$O757=$Q$7)),"x","")</f>
        <v/>
      </c>
      <c r="R757" s="79" t="str">
        <f>IF(AND($N757=$Q$7,$B757&lt;'111'!$L$11),"x","")</f>
        <v/>
      </c>
      <c r="S757" s="79" t="str">
        <f>IF(AND($O757=$Q$7,$B757&lt;'111'!$L$11),"x","")</f>
        <v/>
      </c>
      <c r="T757" s="79" t="str">
        <f>IF(ISERROR(FIND('112'!$M$9,G757,1)),"",IF((AND(FIND('112'!$M$9,G757,1)&gt;=1,B757='112'!$K$9,OR($N757='112'!$I$6,$O757='112'!$I$6))),"x",""))</f>
        <v/>
      </c>
      <c r="U757" s="79" t="str">
        <f>IF(ISERROR(FIND('112'!$M$9,G757,1)),"",IF((AND(LEFT(G757,2)=LEFT('112'!$M$9,2),B757&lt;'112'!$K$9,$N757='112'!$I$6)),"x",""))</f>
        <v/>
      </c>
      <c r="V757" s="79" t="str">
        <f>IF(ISERROR(FIND('112'!$M$9,G757,1)),"",IF((AND(RIGHT(G757,2)=RIGHT('112'!$M$9,2),B757&lt;'112'!$K$9,$O757='112'!$I$6)),"x",""))</f>
        <v/>
      </c>
      <c r="W757" s="79" t="str">
        <f>IF(AND('341-CT'!$H$9=H757,OR(LEFT(N757,3)=$W$7,LEFT(O757,3)=$W$7)),"x","")</f>
        <v/>
      </c>
      <c r="X757" s="79" t="str">
        <f>IF(OR(TH!N757=TH!$X$7,O757=TH!$X$7),"x","")</f>
        <v/>
      </c>
      <c r="Y757" s="79" t="str">
        <f>IF(AND(OR(N757="131",O757="131"),H757='131-CT'!$H$9),"x","")</f>
        <v/>
      </c>
      <c r="Z757" s="79"/>
      <c r="AA757" s="79" t="str">
        <f>IF(AND(MONTH(E757)='IN-NX'!$J$5,'IN-NX'!$D$7=D757),"x","")</f>
        <v/>
      </c>
      <c r="AB757" s="79" t="str">
        <f>IF(AND(OR(LEFT(TH!N757,2)="15",LEFT(TH!O757,2)="15"),LEFT(TH!O757,3)&lt;&gt;"111",'152-CT'!$J$8=TH!F757),"x","")</f>
        <v/>
      </c>
      <c r="AC757" s="79" t="str">
        <f>IF(AND(OR(LEFT(TH!N757,2)="15",LEFT(TH!O757,2)="15"),TK!$E$7=TH!F757),"x","")</f>
        <v/>
      </c>
      <c r="AD757" s="79" t="str">
        <f>IF(AND(N757="1521",MONTH(C757)='BK-NL'!$M$11),"x","")</f>
        <v/>
      </c>
    </row>
    <row r="758" spans="1:30" ht="16.5" customHeight="1">
      <c r="A758" s="318" t="str">
        <f>IF(B758&lt;&gt;"",IF(AND(B758='IN-TC'!$S$4,OR(TH!N758="1111",TH!O758="1111")),TH!D758,""),"")</f>
        <v/>
      </c>
      <c r="B758" s="60" t="str">
        <f t="shared" si="136"/>
        <v/>
      </c>
      <c r="C758" s="974"/>
      <c r="D758" s="974"/>
      <c r="E758" s="974"/>
      <c r="F758" s="975"/>
      <c r="G758" s="976"/>
      <c r="H758" s="77"/>
      <c r="I758" s="383"/>
      <c r="J758" s="977"/>
      <c r="K758" s="383"/>
      <c r="L758" s="390"/>
      <c r="M758" s="978"/>
      <c r="N758" s="979"/>
      <c r="O758" s="979"/>
      <c r="P758" s="79" t="str">
        <f>IF(AND('331-CT'!$E$7=TH!H758,OR(N758="331",O758="331")),"x","")</f>
        <v/>
      </c>
      <c r="Q758" s="79" t="str">
        <f>IF(AND(B758='111'!$L$11,OR($N758=$Q$7,$O758=$Q$7)),"x","")</f>
        <v/>
      </c>
      <c r="R758" s="79" t="str">
        <f>IF(AND($N758=$Q$7,$B758&lt;'111'!$L$11),"x","")</f>
        <v/>
      </c>
      <c r="S758" s="79" t="str">
        <f>IF(AND($O758=$Q$7,$B758&lt;'111'!$L$11),"x","")</f>
        <v/>
      </c>
      <c r="T758" s="79" t="str">
        <f>IF(ISERROR(FIND('112'!$M$9,G758,1)),"",IF((AND(FIND('112'!$M$9,G758,1)&gt;=1,B758='112'!$K$9,OR($N758='112'!$I$6,$O758='112'!$I$6))),"x",""))</f>
        <v/>
      </c>
      <c r="U758" s="79" t="str">
        <f>IF(ISERROR(FIND('112'!$M$9,G758,1)),"",IF((AND(LEFT(G758,2)=LEFT('112'!$M$9,2),B758&lt;'112'!$K$9,$N758='112'!$I$6)),"x",""))</f>
        <v/>
      </c>
      <c r="V758" s="79" t="str">
        <f>IF(ISERROR(FIND('112'!$M$9,G758,1)),"",IF((AND(RIGHT(G758,2)=RIGHT('112'!$M$9,2),B758&lt;'112'!$K$9,$O758='112'!$I$6)),"x",""))</f>
        <v/>
      </c>
      <c r="W758" s="79" t="str">
        <f>IF(AND('341-CT'!$H$9=H758,OR(LEFT(N758,3)=$W$7,LEFT(O758,3)=$W$7)),"x","")</f>
        <v/>
      </c>
      <c r="X758" s="79" t="str">
        <f>IF(OR(TH!N758=TH!$X$7,O758=TH!$X$7),"x","")</f>
        <v/>
      </c>
      <c r="Y758" s="79" t="str">
        <f>IF(AND(OR(N758="131",O758="131"),H758='131-CT'!$H$9),"x","")</f>
        <v/>
      </c>
      <c r="Z758" s="79"/>
      <c r="AA758" s="79" t="str">
        <f>IF(AND(MONTH(E758)='IN-NX'!$J$5,'IN-NX'!$D$7=D758),"x","")</f>
        <v/>
      </c>
      <c r="AB758" s="79" t="str">
        <f>IF(AND(OR(LEFT(TH!N758,2)="15",LEFT(TH!O758,2)="15"),LEFT(TH!O758,3)&lt;&gt;"111",'152-CT'!$J$8=TH!F758),"x","")</f>
        <v/>
      </c>
      <c r="AC758" s="79" t="str">
        <f>IF(AND(OR(LEFT(TH!N758,2)="15",LEFT(TH!O758,2)="15"),TK!$E$7=TH!F758),"x","")</f>
        <v/>
      </c>
      <c r="AD758" s="79" t="str">
        <f>IF(AND(N758="1521",MONTH(C758)='BK-NL'!$M$11),"x","")</f>
        <v/>
      </c>
    </row>
    <row r="759" spans="1:30" ht="16.5" customHeight="1">
      <c r="A759" s="318" t="str">
        <f>IF(B759&lt;&gt;"",IF(AND(B759='IN-TC'!$S$4,OR(TH!N759="1111",TH!O759="1111")),TH!D759,""),"")</f>
        <v/>
      </c>
      <c r="B759" s="60" t="str">
        <f t="shared" ref="B759:B761" si="137">IF(C759&lt;&gt;"",MONTH(C759),"")</f>
        <v/>
      </c>
      <c r="C759" s="974"/>
      <c r="D759" s="974"/>
      <c r="E759" s="974"/>
      <c r="F759" s="975"/>
      <c r="G759" s="976"/>
      <c r="H759" s="77"/>
      <c r="I759" s="383"/>
      <c r="J759" s="977"/>
      <c r="K759" s="383"/>
      <c r="L759" s="390"/>
      <c r="M759" s="978"/>
      <c r="N759" s="979"/>
      <c r="O759" s="979"/>
      <c r="P759" s="79" t="str">
        <f>IF(AND('331-CT'!$E$7=TH!H759,OR(N759="331",O759="331")),"x","")</f>
        <v/>
      </c>
      <c r="Q759" s="79" t="str">
        <f>IF(AND(B759='111'!$L$11,OR($N759=$Q$7,$O759=$Q$7)),"x","")</f>
        <v/>
      </c>
      <c r="R759" s="79" t="str">
        <f>IF(AND($N759=$Q$7,$B759&lt;'111'!$L$11),"x","")</f>
        <v/>
      </c>
      <c r="S759" s="79" t="str">
        <f>IF(AND($O759=$Q$7,$B759&lt;'111'!$L$11),"x","")</f>
        <v/>
      </c>
      <c r="T759" s="79" t="str">
        <f>IF(ISERROR(FIND('112'!$M$9,G759,1)),"",IF((AND(FIND('112'!$M$9,G759,1)&gt;=1,B759='112'!$K$9,OR($N759='112'!$I$6,$O759='112'!$I$6))),"x",""))</f>
        <v/>
      </c>
      <c r="U759" s="79" t="str">
        <f>IF(ISERROR(FIND('112'!$M$9,G759,1)),"",IF((AND(LEFT(G759,2)=LEFT('112'!$M$9,2),B759&lt;'112'!$K$9,$N759='112'!$I$6)),"x",""))</f>
        <v/>
      </c>
      <c r="V759" s="79" t="str">
        <f>IF(ISERROR(FIND('112'!$M$9,G759,1)),"",IF((AND(RIGHT(G759,2)=RIGHT('112'!$M$9,2),B759&lt;'112'!$K$9,$O759='112'!$I$6)),"x",""))</f>
        <v/>
      </c>
      <c r="W759" s="79" t="str">
        <f>IF(AND('341-CT'!$H$9=H759,OR(LEFT(N759,3)=$W$7,LEFT(O759,3)=$W$7)),"x","")</f>
        <v/>
      </c>
      <c r="X759" s="79" t="str">
        <f>IF(OR(TH!N759=TH!$X$7,O759=TH!$X$7),"x","")</f>
        <v/>
      </c>
      <c r="Y759" s="79" t="str">
        <f>IF(AND(OR(N759="131",O759="131"),H759='131-CT'!$H$9),"x","")</f>
        <v/>
      </c>
      <c r="Z759" s="79"/>
      <c r="AA759" s="79" t="str">
        <f>IF(AND(MONTH(E759)='IN-NX'!$J$5,'IN-NX'!$D$7=D759),"x","")</f>
        <v/>
      </c>
      <c r="AB759" s="79" t="str">
        <f>IF(AND(OR(LEFT(TH!N759,2)="15",LEFT(TH!O759,2)="15"),LEFT(TH!O759,3)&lt;&gt;"111",'152-CT'!$J$8=TH!F759),"x","")</f>
        <v/>
      </c>
      <c r="AC759" s="79" t="str">
        <f>IF(AND(OR(LEFT(TH!N759,2)="15",LEFT(TH!O759,2)="15"),TK!$E$7=TH!F759),"x","")</f>
        <v/>
      </c>
      <c r="AD759" s="79" t="str">
        <f>IF(AND(N759="1521",MONTH(C759)='BK-NL'!$M$11),"x","")</f>
        <v/>
      </c>
    </row>
    <row r="760" spans="1:30" ht="16.5" customHeight="1">
      <c r="A760" s="318" t="str">
        <f>IF(B760&lt;&gt;"",IF(AND(B760='IN-TC'!$S$4,OR(TH!N760="1111",TH!O760="1111")),TH!D760,""),"")</f>
        <v/>
      </c>
      <c r="B760" s="60" t="str">
        <f t="shared" si="137"/>
        <v/>
      </c>
      <c r="C760" s="974"/>
      <c r="D760" s="974"/>
      <c r="E760" s="974"/>
      <c r="F760" s="975"/>
      <c r="G760" s="976"/>
      <c r="H760" s="77"/>
      <c r="I760" s="383"/>
      <c r="J760" s="977"/>
      <c r="K760" s="383"/>
      <c r="L760" s="390"/>
      <c r="M760" s="978"/>
      <c r="N760" s="979"/>
      <c r="O760" s="979"/>
      <c r="P760" s="79" t="str">
        <f>IF(AND('331-CT'!$E$7=TH!H760,OR(N760="331",O760="331")),"x","")</f>
        <v/>
      </c>
      <c r="Q760" s="79" t="str">
        <f>IF(AND(B760='111'!$L$11,OR($N760=$Q$7,$O760=$Q$7)),"x","")</f>
        <v/>
      </c>
      <c r="R760" s="79" t="str">
        <f>IF(AND($N760=$Q$7,$B760&lt;'111'!$L$11),"x","")</f>
        <v/>
      </c>
      <c r="S760" s="79" t="str">
        <f>IF(AND($O760=$Q$7,$B760&lt;'111'!$L$11),"x","")</f>
        <v/>
      </c>
      <c r="T760" s="79" t="str">
        <f>IF(ISERROR(FIND('112'!$M$9,G760,1)),"",IF((AND(FIND('112'!$M$9,G760,1)&gt;=1,B760='112'!$K$9,OR($N760='112'!$I$6,$O760='112'!$I$6))),"x",""))</f>
        <v/>
      </c>
      <c r="U760" s="79" t="str">
        <f>IF(ISERROR(FIND('112'!$M$9,G760,1)),"",IF((AND(LEFT(G760,2)=LEFT('112'!$M$9,2),B760&lt;'112'!$K$9,$N760='112'!$I$6)),"x",""))</f>
        <v/>
      </c>
      <c r="V760" s="79" t="str">
        <f>IF(ISERROR(FIND('112'!$M$9,G760,1)),"",IF((AND(RIGHT(G760,2)=RIGHT('112'!$M$9,2),B760&lt;'112'!$K$9,$O760='112'!$I$6)),"x",""))</f>
        <v/>
      </c>
      <c r="W760" s="79" t="str">
        <f>IF(AND('341-CT'!$H$9=H760,OR(LEFT(N760,3)=$W$7,LEFT(O760,3)=$W$7)),"x","")</f>
        <v/>
      </c>
      <c r="X760" s="79" t="str">
        <f>IF(OR(TH!N760=TH!$X$7,O760=TH!$X$7),"x","")</f>
        <v/>
      </c>
      <c r="Y760" s="79" t="str">
        <f>IF(AND(OR(N760="131",O760="131"),H760='131-CT'!$H$9),"x","")</f>
        <v/>
      </c>
      <c r="Z760" s="79"/>
      <c r="AA760" s="79" t="str">
        <f>IF(AND(MONTH(E760)='IN-NX'!$J$5,'IN-NX'!$D$7=D760),"x","")</f>
        <v/>
      </c>
      <c r="AB760" s="79" t="str">
        <f>IF(AND(OR(LEFT(TH!N760,2)="15",LEFT(TH!O760,2)="15"),LEFT(TH!O760,3)&lt;&gt;"111",'152-CT'!$J$8=TH!F760),"x","")</f>
        <v/>
      </c>
      <c r="AC760" s="79" t="str">
        <f>IF(AND(OR(LEFT(TH!N760,2)="15",LEFT(TH!O760,2)="15"),TK!$E$7=TH!F760),"x","")</f>
        <v/>
      </c>
      <c r="AD760" s="79" t="str">
        <f>IF(AND(N760="1521",MONTH(C760)='BK-NL'!$M$11),"x","")</f>
        <v/>
      </c>
    </row>
    <row r="761" spans="1:30" ht="16.5" customHeight="1">
      <c r="A761" s="318" t="str">
        <f>IF(B761&lt;&gt;"",IF(AND(B761='IN-TC'!$S$4,OR(TH!N761="1111",TH!O761="1111")),TH!D761,""),"")</f>
        <v/>
      </c>
      <c r="B761" s="60" t="str">
        <f t="shared" si="137"/>
        <v/>
      </c>
      <c r="C761" s="974"/>
      <c r="D761" s="974"/>
      <c r="E761" s="974"/>
      <c r="F761" s="975"/>
      <c r="G761" s="976"/>
      <c r="H761" s="77"/>
      <c r="I761" s="383"/>
      <c r="J761" s="977"/>
      <c r="K761" s="383"/>
      <c r="L761" s="390"/>
      <c r="M761" s="978"/>
      <c r="N761" s="979"/>
      <c r="O761" s="979"/>
      <c r="P761" s="79" t="str">
        <f>IF(AND('331-CT'!$E$7=TH!H761,OR(N761="331",O761="331")),"x","")</f>
        <v/>
      </c>
      <c r="Q761" s="79" t="str">
        <f>IF(AND(B761='111'!$L$11,OR($N761=$Q$7,$O761=$Q$7)),"x","")</f>
        <v/>
      </c>
      <c r="R761" s="79" t="str">
        <f>IF(AND($N761=$Q$7,$B761&lt;'111'!$L$11),"x","")</f>
        <v/>
      </c>
      <c r="S761" s="79" t="str">
        <f>IF(AND($O761=$Q$7,$B761&lt;'111'!$L$11),"x","")</f>
        <v/>
      </c>
      <c r="T761" s="79" t="str">
        <f>IF(ISERROR(FIND('112'!$M$9,G761,1)),"",IF((AND(FIND('112'!$M$9,G761,1)&gt;=1,B761='112'!$K$9,OR($N761='112'!$I$6,$O761='112'!$I$6))),"x",""))</f>
        <v/>
      </c>
      <c r="U761" s="79" t="str">
        <f>IF(ISERROR(FIND('112'!$M$9,G761,1)),"",IF((AND(LEFT(G761,2)=LEFT('112'!$M$9,2),B761&lt;'112'!$K$9,$N761='112'!$I$6)),"x",""))</f>
        <v/>
      </c>
      <c r="V761" s="79" t="str">
        <f>IF(ISERROR(FIND('112'!$M$9,G761,1)),"",IF((AND(RIGHT(G761,2)=RIGHT('112'!$M$9,2),B761&lt;'112'!$K$9,$O761='112'!$I$6)),"x",""))</f>
        <v/>
      </c>
      <c r="W761" s="79" t="str">
        <f>IF(AND('341-CT'!$H$9=H761,OR(LEFT(N761,3)=$W$7,LEFT(O761,3)=$W$7)),"x","")</f>
        <v/>
      </c>
      <c r="X761" s="79" t="str">
        <f>IF(OR(TH!N761=TH!$X$7,O761=TH!$X$7),"x","")</f>
        <v/>
      </c>
      <c r="Y761" s="79" t="str">
        <f>IF(AND(OR(N761="131",O761="131"),H761='131-CT'!$H$9),"x","")</f>
        <v/>
      </c>
      <c r="Z761" s="79"/>
      <c r="AA761" s="79" t="str">
        <f>IF(AND(MONTH(E761)='IN-NX'!$J$5,'IN-NX'!$D$7=D761),"x","")</f>
        <v/>
      </c>
      <c r="AB761" s="79" t="str">
        <f>IF(AND(OR(LEFT(TH!N761,2)="15",LEFT(TH!O761,2)="15"),LEFT(TH!O761,3)&lt;&gt;"111",'152-CT'!$J$8=TH!F761),"x","")</f>
        <v/>
      </c>
      <c r="AC761" s="79" t="str">
        <f>IF(AND(OR(LEFT(TH!N761,2)="15",LEFT(TH!O761,2)="15"),TK!$E$7=TH!F761),"x","")</f>
        <v/>
      </c>
      <c r="AD761" s="79" t="str">
        <f>IF(AND(N761="1521",MONTH(C761)='BK-NL'!$M$11),"x","")</f>
        <v/>
      </c>
    </row>
    <row r="762" spans="1:30" ht="16.5" customHeight="1">
      <c r="A762" s="318" t="str">
        <f>IF(B762&lt;&gt;"",IF(AND(B762='IN-TC'!$S$4,OR(TH!N762="1111",TH!O762="1111")),TH!D762,""),"")</f>
        <v/>
      </c>
      <c r="B762" s="60" t="str">
        <f t="shared" ref="B762:B764" si="138">IF(C762&lt;&gt;"",MONTH(C762),"")</f>
        <v/>
      </c>
      <c r="C762" s="974"/>
      <c r="D762" s="974"/>
      <c r="E762" s="974"/>
      <c r="F762" s="975"/>
      <c r="G762" s="976"/>
      <c r="H762" s="77"/>
      <c r="I762" s="383"/>
      <c r="J762" s="977"/>
      <c r="K762" s="383"/>
      <c r="L762" s="390"/>
      <c r="M762" s="978"/>
      <c r="N762" s="979"/>
      <c r="O762" s="979"/>
      <c r="P762" s="79" t="str">
        <f>IF(AND('331-CT'!$E$7=TH!H762,OR(N762="331",O762="331")),"x","")</f>
        <v/>
      </c>
      <c r="Q762" s="79" t="str">
        <f>IF(AND(B762='111'!$L$11,OR($N762=$Q$7,$O762=$Q$7)),"x","")</f>
        <v/>
      </c>
      <c r="R762" s="79" t="str">
        <f>IF(AND($N762=$Q$7,$B762&lt;'111'!$L$11),"x","")</f>
        <v/>
      </c>
      <c r="S762" s="79" t="str">
        <f>IF(AND($O762=$Q$7,$B762&lt;'111'!$L$11),"x","")</f>
        <v/>
      </c>
      <c r="T762" s="79" t="str">
        <f>IF(ISERROR(FIND('112'!$M$9,G762,1)),"",IF((AND(FIND('112'!$M$9,G762,1)&gt;=1,B762='112'!$K$9,OR($N762='112'!$I$6,$O762='112'!$I$6))),"x",""))</f>
        <v/>
      </c>
      <c r="U762" s="79" t="str">
        <f>IF(ISERROR(FIND('112'!$M$9,G762,1)),"",IF((AND(LEFT(G762,2)=LEFT('112'!$M$9,2),B762&lt;'112'!$K$9,$N762='112'!$I$6)),"x",""))</f>
        <v/>
      </c>
      <c r="V762" s="79" t="str">
        <f>IF(ISERROR(FIND('112'!$M$9,G762,1)),"",IF((AND(RIGHT(G762,2)=RIGHT('112'!$M$9,2),B762&lt;'112'!$K$9,$O762='112'!$I$6)),"x",""))</f>
        <v/>
      </c>
      <c r="W762" s="79" t="str">
        <f>IF(AND('341-CT'!$H$9=H762,OR(LEFT(N762,3)=$W$7,LEFT(O762,3)=$W$7)),"x","")</f>
        <v/>
      </c>
      <c r="X762" s="79" t="str">
        <f>IF(OR(TH!N762=TH!$X$7,O762=TH!$X$7),"x","")</f>
        <v/>
      </c>
      <c r="Y762" s="79" t="str">
        <f>IF(AND(OR(N762="131",O762="131"),H762='131-CT'!$H$9),"x","")</f>
        <v/>
      </c>
      <c r="Z762" s="79"/>
      <c r="AA762" s="79" t="str">
        <f>IF(AND(MONTH(E762)='IN-NX'!$J$5,'IN-NX'!$D$7=D762),"x","")</f>
        <v/>
      </c>
      <c r="AB762" s="79" t="str">
        <f>IF(AND(OR(LEFT(TH!N762,2)="15",LEFT(TH!O762,2)="15"),LEFT(TH!O762,3)&lt;&gt;"111",'152-CT'!$J$8=TH!F762),"x","")</f>
        <v/>
      </c>
      <c r="AC762" s="79" t="str">
        <f>IF(AND(OR(LEFT(TH!N762,2)="15",LEFT(TH!O762,2)="15"),TK!$E$7=TH!F762),"x","")</f>
        <v/>
      </c>
      <c r="AD762" s="79" t="str">
        <f>IF(AND(N762="1521",MONTH(C762)='BK-NL'!$M$11),"x","")</f>
        <v/>
      </c>
    </row>
    <row r="763" spans="1:30" ht="16.5" customHeight="1">
      <c r="A763" s="318" t="str">
        <f>IF(B763&lt;&gt;"",IF(AND(B763='IN-TC'!$S$4,OR(TH!N763="1111",TH!O763="1111")),TH!D763,""),"")</f>
        <v/>
      </c>
      <c r="B763" s="60" t="str">
        <f t="shared" si="138"/>
        <v/>
      </c>
      <c r="C763" s="974"/>
      <c r="D763" s="974"/>
      <c r="E763" s="974"/>
      <c r="F763" s="975"/>
      <c r="G763" s="976"/>
      <c r="H763" s="77"/>
      <c r="I763" s="383"/>
      <c r="J763" s="977"/>
      <c r="K763" s="383"/>
      <c r="L763" s="390"/>
      <c r="M763" s="978"/>
      <c r="N763" s="979"/>
      <c r="O763" s="979"/>
      <c r="P763" s="79" t="str">
        <f>IF(AND('331-CT'!$E$7=TH!H763,OR(N763="331",O763="331")),"x","")</f>
        <v/>
      </c>
      <c r="Q763" s="79" t="str">
        <f>IF(AND(B763='111'!$L$11,OR($N763=$Q$7,$O763=$Q$7)),"x","")</f>
        <v/>
      </c>
      <c r="R763" s="79" t="str">
        <f>IF(AND($N763=$Q$7,$B763&lt;'111'!$L$11),"x","")</f>
        <v/>
      </c>
      <c r="S763" s="79" t="str">
        <f>IF(AND($O763=$Q$7,$B763&lt;'111'!$L$11),"x","")</f>
        <v/>
      </c>
      <c r="T763" s="79" t="str">
        <f>IF(ISERROR(FIND('112'!$M$9,G763,1)),"",IF((AND(FIND('112'!$M$9,G763,1)&gt;=1,B763='112'!$K$9,OR($N763='112'!$I$6,$O763='112'!$I$6))),"x",""))</f>
        <v/>
      </c>
      <c r="U763" s="79" t="str">
        <f>IF(ISERROR(FIND('112'!$M$9,G763,1)),"",IF((AND(LEFT(G763,2)=LEFT('112'!$M$9,2),B763&lt;'112'!$K$9,$N763='112'!$I$6)),"x",""))</f>
        <v/>
      </c>
      <c r="V763" s="79" t="str">
        <f>IF(ISERROR(FIND('112'!$M$9,G763,1)),"",IF((AND(RIGHT(G763,2)=RIGHT('112'!$M$9,2),B763&lt;'112'!$K$9,$O763='112'!$I$6)),"x",""))</f>
        <v/>
      </c>
      <c r="W763" s="79" t="str">
        <f>IF(AND('341-CT'!$H$9=H763,OR(LEFT(N763,3)=$W$7,LEFT(O763,3)=$W$7)),"x","")</f>
        <v/>
      </c>
      <c r="X763" s="79" t="str">
        <f>IF(OR(TH!N763=TH!$X$7,O763=TH!$X$7),"x","")</f>
        <v/>
      </c>
      <c r="Y763" s="79" t="str">
        <f>IF(AND(OR(N763="131",O763="131"),H763='131-CT'!$H$9),"x","")</f>
        <v/>
      </c>
      <c r="Z763" s="79"/>
      <c r="AA763" s="79" t="str">
        <f>IF(AND(MONTH(E763)='IN-NX'!$J$5,'IN-NX'!$D$7=D763),"x","")</f>
        <v/>
      </c>
      <c r="AB763" s="79" t="str">
        <f>IF(AND(OR(LEFT(TH!N763,2)="15",LEFT(TH!O763,2)="15"),LEFT(TH!O763,3)&lt;&gt;"111",'152-CT'!$J$8=TH!F763),"x","")</f>
        <v/>
      </c>
      <c r="AC763" s="79" t="str">
        <f>IF(AND(OR(LEFT(TH!N763,2)="15",LEFT(TH!O763,2)="15"),TK!$E$7=TH!F763),"x","")</f>
        <v/>
      </c>
      <c r="AD763" s="79" t="str">
        <f>IF(AND(N763="1521",MONTH(C763)='BK-NL'!$M$11),"x","")</f>
        <v/>
      </c>
    </row>
    <row r="764" spans="1:30" ht="16.5" customHeight="1">
      <c r="A764" s="318" t="str">
        <f>IF(B764&lt;&gt;"",IF(AND(B764='IN-TC'!$S$4,OR(TH!N764="1111",TH!O764="1111")),TH!D764,""),"")</f>
        <v/>
      </c>
      <c r="B764" s="60" t="str">
        <f t="shared" si="138"/>
        <v/>
      </c>
      <c r="C764" s="974"/>
      <c r="D764" s="974"/>
      <c r="E764" s="974"/>
      <c r="F764" s="975"/>
      <c r="G764" s="976"/>
      <c r="H764" s="77"/>
      <c r="I764" s="383"/>
      <c r="J764" s="977"/>
      <c r="K764" s="383"/>
      <c r="L764" s="390"/>
      <c r="M764" s="978"/>
      <c r="N764" s="979"/>
      <c r="O764" s="979"/>
      <c r="P764" s="79" t="str">
        <f>IF(AND('331-CT'!$E$7=TH!H764,OR(N764="331",O764="331")),"x","")</f>
        <v/>
      </c>
      <c r="Q764" s="79" t="str">
        <f>IF(AND(B764='111'!$L$11,OR($N764=$Q$7,$O764=$Q$7)),"x","")</f>
        <v/>
      </c>
      <c r="R764" s="79" t="str">
        <f>IF(AND($N764=$Q$7,$B764&lt;'111'!$L$11),"x","")</f>
        <v/>
      </c>
      <c r="S764" s="79" t="str">
        <f>IF(AND($O764=$Q$7,$B764&lt;'111'!$L$11),"x","")</f>
        <v/>
      </c>
      <c r="T764" s="79" t="str">
        <f>IF(ISERROR(FIND('112'!$M$9,G764,1)),"",IF((AND(FIND('112'!$M$9,G764,1)&gt;=1,B764='112'!$K$9,OR($N764='112'!$I$6,$O764='112'!$I$6))),"x",""))</f>
        <v/>
      </c>
      <c r="U764" s="79" t="str">
        <f>IF(ISERROR(FIND('112'!$M$9,G764,1)),"",IF((AND(LEFT(G764,2)=LEFT('112'!$M$9,2),B764&lt;'112'!$K$9,$N764='112'!$I$6)),"x",""))</f>
        <v/>
      </c>
      <c r="V764" s="79" t="str">
        <f>IF(ISERROR(FIND('112'!$M$9,G764,1)),"",IF((AND(RIGHT(G764,2)=RIGHT('112'!$M$9,2),B764&lt;'112'!$K$9,$O764='112'!$I$6)),"x",""))</f>
        <v/>
      </c>
      <c r="W764" s="79" t="str">
        <f>IF(AND('341-CT'!$H$9=H764,OR(LEFT(N764,3)=$W$7,LEFT(O764,3)=$W$7)),"x","")</f>
        <v/>
      </c>
      <c r="X764" s="79" t="str">
        <f>IF(OR(TH!N764=TH!$X$7,O764=TH!$X$7),"x","")</f>
        <v/>
      </c>
      <c r="Y764" s="79" t="str">
        <f>IF(AND(OR(N764="131",O764="131"),H764='131-CT'!$H$9),"x","")</f>
        <v/>
      </c>
      <c r="Z764" s="79"/>
      <c r="AA764" s="79" t="str">
        <f>IF(AND(MONTH(E764)='IN-NX'!$J$5,'IN-NX'!$D$7=D764),"x","")</f>
        <v/>
      </c>
      <c r="AB764" s="79" t="str">
        <f>IF(AND(OR(LEFT(TH!N764,2)="15",LEFT(TH!O764,2)="15"),LEFT(TH!O764,3)&lt;&gt;"111",'152-CT'!$J$8=TH!F764),"x","")</f>
        <v/>
      </c>
      <c r="AC764" s="79" t="str">
        <f>IF(AND(OR(LEFT(TH!N764,2)="15",LEFT(TH!O764,2)="15"),TK!$E$7=TH!F764),"x","")</f>
        <v/>
      </c>
      <c r="AD764" s="79" t="str">
        <f>IF(AND(N764="1521",MONTH(C764)='BK-NL'!$M$11),"x","")</f>
        <v/>
      </c>
    </row>
    <row r="765" spans="1:30" ht="16.5" customHeight="1">
      <c r="A765" s="318" t="str">
        <f>IF(B765&lt;&gt;"",IF(AND(B765='IN-TC'!$S$4,OR(TH!N765="1111",TH!O765="1111")),TH!D765,""),"")</f>
        <v/>
      </c>
      <c r="B765" s="60" t="str">
        <f t="shared" si="134"/>
        <v/>
      </c>
      <c r="C765" s="974"/>
      <c r="D765" s="974"/>
      <c r="E765" s="974"/>
      <c r="F765" s="975"/>
      <c r="G765" s="976"/>
      <c r="H765" s="77"/>
      <c r="I765" s="383"/>
      <c r="J765" s="977"/>
      <c r="K765" s="383"/>
      <c r="L765" s="390"/>
      <c r="M765" s="978"/>
      <c r="N765" s="979"/>
      <c r="O765" s="979"/>
      <c r="P765" s="79" t="str">
        <f>IF(AND('331-CT'!$E$7=TH!H765,OR(N765="331",O765="331")),"x","")</f>
        <v/>
      </c>
      <c r="Q765" s="79" t="str">
        <f>IF(AND(B765='111'!$L$11,OR($N765=$Q$7,$O765=$Q$7)),"x","")</f>
        <v/>
      </c>
      <c r="R765" s="79" t="str">
        <f>IF(AND($N765=$Q$7,$B765&lt;'111'!$L$11),"x","")</f>
        <v/>
      </c>
      <c r="S765" s="79" t="str">
        <f>IF(AND($O765=$Q$7,$B765&lt;'111'!$L$11),"x","")</f>
        <v/>
      </c>
      <c r="T765" s="79" t="str">
        <f>IF(ISERROR(FIND('112'!$M$9,G765,1)),"",IF((AND(FIND('112'!$M$9,G765,1)&gt;=1,B765='112'!$K$9,OR($N765='112'!$I$6,$O765='112'!$I$6))),"x",""))</f>
        <v/>
      </c>
      <c r="U765" s="79" t="str">
        <f>IF(ISERROR(FIND('112'!$M$9,G765,1)),"",IF((AND(LEFT(G765,2)=LEFT('112'!$M$9,2),B765&lt;'112'!$K$9,$N765='112'!$I$6)),"x",""))</f>
        <v/>
      </c>
      <c r="V765" s="79" t="str">
        <f>IF(ISERROR(FIND('112'!$M$9,G765,1)),"",IF((AND(RIGHT(G765,2)=RIGHT('112'!$M$9,2),B765&lt;'112'!$K$9,$O765='112'!$I$6)),"x",""))</f>
        <v/>
      </c>
      <c r="W765" s="79" t="str">
        <f>IF(AND('341-CT'!$H$9=H765,OR(LEFT(N765,3)=$W$7,LEFT(O765,3)=$W$7)),"x","")</f>
        <v/>
      </c>
      <c r="X765" s="79" t="str">
        <f>IF(OR(TH!N765=TH!$X$7,O765=TH!$X$7),"x","")</f>
        <v/>
      </c>
      <c r="Y765" s="79" t="str">
        <f>IF(AND(OR(N765="131",O765="131"),H765='131-CT'!$H$9),"x","")</f>
        <v/>
      </c>
      <c r="Z765" s="79"/>
      <c r="AA765" s="79" t="str">
        <f>IF(AND(MONTH(E765)='IN-NX'!$J$5,'IN-NX'!$D$7=D765),"x","")</f>
        <v/>
      </c>
      <c r="AB765" s="79" t="str">
        <f>IF(AND(OR(LEFT(TH!N765,2)="15",LEFT(TH!O765,2)="15"),LEFT(TH!O765,3)&lt;&gt;"111",'152-CT'!$J$8=TH!F765),"x","")</f>
        <v/>
      </c>
      <c r="AC765" s="79" t="str">
        <f>IF(AND(OR(LEFT(TH!N765,2)="15",LEFT(TH!O765,2)="15"),TK!$E$7=TH!F765),"x","")</f>
        <v/>
      </c>
      <c r="AD765" s="79" t="str">
        <f>IF(AND(N765="1521",MONTH(C765)='BK-NL'!$M$11),"x","")</f>
        <v/>
      </c>
    </row>
    <row r="766" spans="1:30" ht="16.5" customHeight="1">
      <c r="A766" s="318" t="str">
        <f>IF(B766&lt;&gt;"",IF(AND(B766='IN-TC'!$S$4,OR(TH!N766="1111",TH!O766="1111")),TH!D766,""),"")</f>
        <v/>
      </c>
      <c r="B766" s="60" t="str">
        <f t="shared" si="134"/>
        <v/>
      </c>
      <c r="C766" s="974"/>
      <c r="D766" s="974"/>
      <c r="E766" s="974"/>
      <c r="F766" s="975"/>
      <c r="G766" s="976"/>
      <c r="H766" s="77"/>
      <c r="I766" s="383"/>
      <c r="J766" s="977"/>
      <c r="K766" s="383"/>
      <c r="L766" s="390"/>
      <c r="M766" s="978"/>
      <c r="N766" s="979"/>
      <c r="O766" s="979"/>
      <c r="P766" s="79" t="str">
        <f>IF(AND('331-CT'!$E$7=TH!H766,OR(N766="331",O766="331")),"x","")</f>
        <v/>
      </c>
      <c r="Q766" s="79" t="str">
        <f>IF(AND(B766='111'!$L$11,OR($N766=$Q$7,$O766=$Q$7)),"x","")</f>
        <v/>
      </c>
      <c r="R766" s="79" t="str">
        <f>IF(AND($N766=$Q$7,$B766&lt;'111'!$L$11),"x","")</f>
        <v/>
      </c>
      <c r="S766" s="79" t="str">
        <f>IF(AND($O766=$Q$7,$B766&lt;'111'!$L$11),"x","")</f>
        <v/>
      </c>
      <c r="T766" s="79" t="str">
        <f>IF(ISERROR(FIND('112'!$M$9,G766,1)),"",IF((AND(FIND('112'!$M$9,G766,1)&gt;=1,B766='112'!$K$9,OR($N766='112'!$I$6,$O766='112'!$I$6))),"x",""))</f>
        <v/>
      </c>
      <c r="U766" s="79" t="str">
        <f>IF(ISERROR(FIND('112'!$M$9,G766,1)),"",IF((AND(LEFT(G766,2)=LEFT('112'!$M$9,2),B766&lt;'112'!$K$9,$N766='112'!$I$6)),"x",""))</f>
        <v/>
      </c>
      <c r="V766" s="79" t="str">
        <f>IF(ISERROR(FIND('112'!$M$9,G766,1)),"",IF((AND(RIGHT(G766,2)=RIGHT('112'!$M$9,2),B766&lt;'112'!$K$9,$O766='112'!$I$6)),"x",""))</f>
        <v/>
      </c>
      <c r="W766" s="79" t="str">
        <f>IF(AND('341-CT'!$H$9=H766,OR(LEFT(N766,3)=$W$7,LEFT(O766,3)=$W$7)),"x","")</f>
        <v/>
      </c>
      <c r="X766" s="79" t="str">
        <f>IF(OR(TH!N766=TH!$X$7,O766=TH!$X$7),"x","")</f>
        <v/>
      </c>
      <c r="Y766" s="79" t="str">
        <f>IF(AND(OR(N766="131",O766="131"),H766='131-CT'!$H$9),"x","")</f>
        <v/>
      </c>
      <c r="Z766" s="79"/>
      <c r="AA766" s="79" t="str">
        <f>IF(AND(MONTH(E766)='IN-NX'!$J$5,'IN-NX'!$D$7=D766),"x","")</f>
        <v/>
      </c>
      <c r="AB766" s="79" t="str">
        <f>IF(AND(OR(LEFT(TH!N766,2)="15",LEFT(TH!O766,2)="15"),LEFT(TH!O766,3)&lt;&gt;"111",'152-CT'!$J$8=TH!F766),"x","")</f>
        <v/>
      </c>
      <c r="AC766" s="79" t="str">
        <f>IF(AND(OR(LEFT(TH!N766,2)="15",LEFT(TH!O766,2)="15"),TK!$E$7=TH!F766),"x","")</f>
        <v/>
      </c>
      <c r="AD766" s="79" t="str">
        <f>IF(AND(N766="1521",MONTH(C766)='BK-NL'!$M$11),"x","")</f>
        <v/>
      </c>
    </row>
    <row r="767" spans="1:30" ht="16.5" customHeight="1">
      <c r="A767" s="318" t="str">
        <f>IF(B767&lt;&gt;"",IF(AND(B767='IN-TC'!$S$4,OR(TH!N767="1111",TH!O767="1111")),TH!D767,""),"")</f>
        <v/>
      </c>
      <c r="B767" s="60" t="str">
        <f t="shared" ref="B767:B769" si="139">IF(C767&lt;&gt;"",MONTH(C767),"")</f>
        <v/>
      </c>
      <c r="C767" s="974"/>
      <c r="D767" s="974"/>
      <c r="E767" s="974"/>
      <c r="F767" s="975"/>
      <c r="G767" s="976"/>
      <c r="H767" s="305"/>
      <c r="I767" s="383"/>
      <c r="J767" s="977"/>
      <c r="K767" s="383"/>
      <c r="L767" s="390"/>
      <c r="M767" s="978"/>
      <c r="N767" s="979"/>
      <c r="O767" s="979"/>
      <c r="P767" s="79" t="str">
        <f>IF(AND('331-CT'!$E$7=TH!H767,OR(N767="331",O767="331")),"x","")</f>
        <v/>
      </c>
      <c r="Q767" s="79" t="str">
        <f>IF(AND(B767='111'!$L$11,OR($N767=$Q$7,$O767=$Q$7)),"x","")</f>
        <v/>
      </c>
      <c r="R767" s="79" t="str">
        <f>IF(AND($N767=$Q$7,$B767&lt;'111'!$L$11),"x","")</f>
        <v/>
      </c>
      <c r="S767" s="79" t="str">
        <f>IF(AND($O767=$Q$7,$B767&lt;'111'!$L$11),"x","")</f>
        <v/>
      </c>
      <c r="T767" s="79" t="str">
        <f>IF(ISERROR(FIND('112'!$M$9,G767,1)),"",IF((AND(FIND('112'!$M$9,G767,1)&gt;=1,B767='112'!$K$9,OR($N767='112'!$I$6,$O767='112'!$I$6))),"x",""))</f>
        <v/>
      </c>
      <c r="U767" s="79" t="str">
        <f>IF(ISERROR(FIND('112'!$M$9,G767,1)),"",IF((AND(LEFT(G767,2)=LEFT('112'!$M$9,2),B767&lt;'112'!$K$9,$N767='112'!$I$6)),"x",""))</f>
        <v/>
      </c>
      <c r="V767" s="79" t="str">
        <f>IF(ISERROR(FIND('112'!$M$9,G767,1)),"",IF((AND(RIGHT(G767,2)=RIGHT('112'!$M$9,2),B767&lt;'112'!$K$9,$O767='112'!$I$6)),"x",""))</f>
        <v/>
      </c>
      <c r="W767" s="79" t="str">
        <f>IF(AND('341-CT'!$H$9=H767,OR(LEFT(N767,3)=$W$7,LEFT(O767,3)=$W$7)),"x","")</f>
        <v/>
      </c>
      <c r="X767" s="79" t="str">
        <f>IF(OR(TH!N767=TH!$X$7,O767=TH!$X$7),"x","")</f>
        <v/>
      </c>
      <c r="Y767" s="79" t="str">
        <f>IF(AND(OR(N767="131",O767="131"),H767='131-CT'!$H$9),"x","")</f>
        <v/>
      </c>
      <c r="Z767" s="79"/>
      <c r="AA767" s="79" t="str">
        <f>IF(AND(MONTH(E767)='IN-NX'!$J$5,'IN-NX'!$D$7=D767),"x","")</f>
        <v/>
      </c>
      <c r="AB767" s="79" t="str">
        <f>IF(AND(OR(LEFT(TH!N767,2)="15",LEFT(TH!O767,2)="15"),LEFT(TH!O767,3)&lt;&gt;"111",'152-CT'!$J$8=TH!F767),"x","")</f>
        <v/>
      </c>
      <c r="AC767" s="79" t="str">
        <f>IF(AND(OR(LEFT(TH!N767,2)="15",LEFT(TH!O767,2)="15"),TK!$E$7=TH!F767),"x","")</f>
        <v/>
      </c>
      <c r="AD767" s="79" t="str">
        <f>IF(AND(N767="1521",MONTH(C767)='BK-NL'!$M$11),"x","")</f>
        <v/>
      </c>
    </row>
    <row r="768" spans="1:30" ht="16.5" customHeight="1">
      <c r="A768" s="318" t="str">
        <f>IF(B768&lt;&gt;"",IF(AND(B768='IN-TC'!$S$4,OR(TH!N768="1111",TH!O768="1111")),TH!D768,""),"")</f>
        <v/>
      </c>
      <c r="B768" s="60" t="str">
        <f t="shared" si="139"/>
        <v/>
      </c>
      <c r="C768" s="974"/>
      <c r="D768" s="974"/>
      <c r="E768" s="974"/>
      <c r="F768" s="975"/>
      <c r="G768" s="976"/>
      <c r="H768" s="305"/>
      <c r="I768" s="383"/>
      <c r="J768" s="977"/>
      <c r="K768" s="383"/>
      <c r="L768" s="390"/>
      <c r="M768" s="978"/>
      <c r="N768" s="979"/>
      <c r="O768" s="979"/>
      <c r="P768" s="79" t="str">
        <f>IF(AND('331-CT'!$E$7=TH!H768,OR(N768="331",O768="331")),"x","")</f>
        <v/>
      </c>
      <c r="Q768" s="79" t="str">
        <f>IF(AND(B768='111'!$L$11,OR($N768=$Q$7,$O768=$Q$7)),"x","")</f>
        <v/>
      </c>
      <c r="R768" s="79" t="str">
        <f>IF(AND($N768=$Q$7,$B768&lt;'111'!$L$11),"x","")</f>
        <v/>
      </c>
      <c r="S768" s="79" t="str">
        <f>IF(AND($O768=$Q$7,$B768&lt;'111'!$L$11),"x","")</f>
        <v/>
      </c>
      <c r="T768" s="79" t="str">
        <f>IF(ISERROR(FIND('112'!$M$9,G768,1)),"",IF((AND(FIND('112'!$M$9,G768,1)&gt;=1,B768='112'!$K$9,OR($N768='112'!$I$6,$O768='112'!$I$6))),"x",""))</f>
        <v/>
      </c>
      <c r="U768" s="79" t="str">
        <f>IF(ISERROR(FIND('112'!$M$9,G768,1)),"",IF((AND(LEFT(G768,2)=LEFT('112'!$M$9,2),B768&lt;'112'!$K$9,$N768='112'!$I$6)),"x",""))</f>
        <v/>
      </c>
      <c r="V768" s="79" t="str">
        <f>IF(ISERROR(FIND('112'!$M$9,G768,1)),"",IF((AND(RIGHT(G768,2)=RIGHT('112'!$M$9,2),B768&lt;'112'!$K$9,$O768='112'!$I$6)),"x",""))</f>
        <v/>
      </c>
      <c r="W768" s="79" t="str">
        <f>IF(AND('341-CT'!$H$9=H768,OR(LEFT(N768,3)=$W$7,LEFT(O768,3)=$W$7)),"x","")</f>
        <v/>
      </c>
      <c r="X768" s="79" t="str">
        <f>IF(OR(TH!N768=TH!$X$7,O768=TH!$X$7),"x","")</f>
        <v/>
      </c>
      <c r="Y768" s="79" t="str">
        <f>IF(AND(OR(N768="131",O768="131"),H768='131-CT'!$H$9),"x","")</f>
        <v/>
      </c>
      <c r="Z768" s="79"/>
      <c r="AA768" s="79" t="str">
        <f>IF(AND(MONTH(E768)='IN-NX'!$J$5,'IN-NX'!$D$7=D768),"x","")</f>
        <v/>
      </c>
      <c r="AB768" s="79" t="str">
        <f>IF(AND(OR(LEFT(TH!N768,2)="15",LEFT(TH!O768,2)="15"),LEFT(TH!O768,3)&lt;&gt;"111",'152-CT'!$J$8=TH!F768),"x","")</f>
        <v/>
      </c>
      <c r="AC768" s="79" t="str">
        <f>IF(AND(OR(LEFT(TH!N768,2)="15",LEFT(TH!O768,2)="15"),TK!$E$7=TH!F768),"x","")</f>
        <v/>
      </c>
      <c r="AD768" s="79" t="str">
        <f>IF(AND(N768="1521",MONTH(C768)='BK-NL'!$M$11),"x","")</f>
        <v/>
      </c>
    </row>
    <row r="769" spans="1:30" ht="16.5" customHeight="1">
      <c r="A769" s="318" t="str">
        <f>IF(B769&lt;&gt;"",IF(AND(B769='IN-TC'!$S$4,OR(TH!N769="1111",TH!O769="1111")),TH!D769,""),"")</f>
        <v/>
      </c>
      <c r="B769" s="60" t="str">
        <f t="shared" si="139"/>
        <v/>
      </c>
      <c r="C769" s="974"/>
      <c r="D769" s="974"/>
      <c r="E769" s="974"/>
      <c r="F769" s="975"/>
      <c r="G769" s="976"/>
      <c r="H769" s="305"/>
      <c r="I769" s="383"/>
      <c r="J769" s="977"/>
      <c r="K769" s="383"/>
      <c r="L769" s="390"/>
      <c r="M769" s="978"/>
      <c r="N769" s="979"/>
      <c r="O769" s="979"/>
      <c r="P769" s="79" t="str">
        <f>IF(AND('331-CT'!$E$7=TH!H769,OR(N769="331",O769="331")),"x","")</f>
        <v/>
      </c>
      <c r="Q769" s="79" t="str">
        <f>IF(AND(B769='111'!$L$11,OR($N769=$Q$7,$O769=$Q$7)),"x","")</f>
        <v/>
      </c>
      <c r="R769" s="79" t="str">
        <f>IF(AND($N769=$Q$7,$B769&lt;'111'!$L$11),"x","")</f>
        <v/>
      </c>
      <c r="S769" s="79" t="str">
        <f>IF(AND($O769=$Q$7,$B769&lt;'111'!$L$11),"x","")</f>
        <v/>
      </c>
      <c r="T769" s="79" t="str">
        <f>IF(ISERROR(FIND('112'!$M$9,G769,1)),"",IF((AND(FIND('112'!$M$9,G769,1)&gt;=1,B769='112'!$K$9,OR($N769='112'!$I$6,$O769='112'!$I$6))),"x",""))</f>
        <v/>
      </c>
      <c r="U769" s="79" t="str">
        <f>IF(ISERROR(FIND('112'!$M$9,G769,1)),"",IF((AND(LEFT(G769,2)=LEFT('112'!$M$9,2),B769&lt;'112'!$K$9,$N769='112'!$I$6)),"x",""))</f>
        <v/>
      </c>
      <c r="V769" s="79" t="str">
        <f>IF(ISERROR(FIND('112'!$M$9,G769,1)),"",IF((AND(RIGHT(G769,2)=RIGHT('112'!$M$9,2),B769&lt;'112'!$K$9,$O769='112'!$I$6)),"x",""))</f>
        <v/>
      </c>
      <c r="W769" s="79" t="str">
        <f>IF(AND('341-CT'!$H$9=H769,OR(LEFT(N769,3)=$W$7,LEFT(O769,3)=$W$7)),"x","")</f>
        <v/>
      </c>
      <c r="X769" s="79" t="str">
        <f>IF(OR(TH!N769=TH!$X$7,O769=TH!$X$7),"x","")</f>
        <v/>
      </c>
      <c r="Y769" s="79" t="str">
        <f>IF(AND(OR(N769="131",O769="131"),H769='131-CT'!$H$9),"x","")</f>
        <v/>
      </c>
      <c r="Z769" s="79"/>
      <c r="AA769" s="79" t="str">
        <f>IF(AND(MONTH(E769)='IN-NX'!$J$5,'IN-NX'!$D$7=D769),"x","")</f>
        <v/>
      </c>
      <c r="AB769" s="79" t="str">
        <f>IF(AND(OR(LEFT(TH!N769,2)="15",LEFT(TH!O769,2)="15"),LEFT(TH!O769,3)&lt;&gt;"111",'152-CT'!$J$8=TH!F769),"x","")</f>
        <v/>
      </c>
      <c r="AC769" s="79" t="str">
        <f>IF(AND(OR(LEFT(TH!N769,2)="15",LEFT(TH!O769,2)="15"),TK!$E$7=TH!F769),"x","")</f>
        <v/>
      </c>
      <c r="AD769" s="79" t="str">
        <f>IF(AND(N769="1521",MONTH(C769)='BK-NL'!$M$11),"x","")</f>
        <v/>
      </c>
    </row>
    <row r="770" spans="1:30" ht="16.5" customHeight="1">
      <c r="A770" s="318" t="str">
        <f>IF(B770&lt;&gt;"",IF(AND(B770='IN-TC'!$S$4,OR(TH!N770="1111",TH!O770="1111")),TH!D770,""),"")</f>
        <v/>
      </c>
      <c r="B770" s="60" t="str">
        <f t="shared" ref="B770:B772" si="140">IF(C770&lt;&gt;"",MONTH(C770),"")</f>
        <v/>
      </c>
      <c r="C770" s="974"/>
      <c r="D770" s="974"/>
      <c r="E770" s="974"/>
      <c r="F770" s="975"/>
      <c r="G770" s="976"/>
      <c r="H770" s="305"/>
      <c r="I770" s="383"/>
      <c r="J770" s="977"/>
      <c r="K770" s="383"/>
      <c r="L770" s="390"/>
      <c r="M770" s="978"/>
      <c r="N770" s="979"/>
      <c r="O770" s="979"/>
      <c r="P770" s="79" t="str">
        <f>IF(AND('331-CT'!$E$7=TH!H770,OR(N770="331",O770="331")),"x","")</f>
        <v/>
      </c>
      <c r="Q770" s="79" t="str">
        <f>IF(AND(B770='111'!$L$11,OR($N770=$Q$7,$O770=$Q$7)),"x","")</f>
        <v/>
      </c>
      <c r="R770" s="79" t="str">
        <f>IF(AND($N770=$Q$7,$B770&lt;'111'!$L$11),"x","")</f>
        <v/>
      </c>
      <c r="S770" s="79" t="str">
        <f>IF(AND($O770=$Q$7,$B770&lt;'111'!$L$11),"x","")</f>
        <v/>
      </c>
      <c r="T770" s="79" t="str">
        <f>IF(ISERROR(FIND('112'!$M$9,G770,1)),"",IF((AND(FIND('112'!$M$9,G770,1)&gt;=1,B770='112'!$K$9,OR($N770='112'!$I$6,$O770='112'!$I$6))),"x",""))</f>
        <v/>
      </c>
      <c r="U770" s="79" t="str">
        <f>IF(ISERROR(FIND('112'!$M$9,G770,1)),"",IF((AND(LEFT(G770,2)=LEFT('112'!$M$9,2),B770&lt;'112'!$K$9,$N770='112'!$I$6)),"x",""))</f>
        <v/>
      </c>
      <c r="V770" s="79" t="str">
        <f>IF(ISERROR(FIND('112'!$M$9,G770,1)),"",IF((AND(RIGHT(G770,2)=RIGHT('112'!$M$9,2),B770&lt;'112'!$K$9,$O770='112'!$I$6)),"x",""))</f>
        <v/>
      </c>
      <c r="W770" s="79" t="str">
        <f>IF(AND('341-CT'!$H$9=H770,OR(LEFT(N770,3)=$W$7,LEFT(O770,3)=$W$7)),"x","")</f>
        <v/>
      </c>
      <c r="X770" s="79" t="str">
        <f>IF(OR(TH!N770=TH!$X$7,O770=TH!$X$7),"x","")</f>
        <v/>
      </c>
      <c r="Y770" s="79" t="str">
        <f>IF(AND(OR(N770="131",O770="131"),H770='131-CT'!$H$9),"x","")</f>
        <v/>
      </c>
      <c r="Z770" s="79"/>
      <c r="AA770" s="79" t="str">
        <f>IF(AND(MONTH(E770)='IN-NX'!$J$5,'IN-NX'!$D$7=D770),"x","")</f>
        <v/>
      </c>
      <c r="AB770" s="79" t="str">
        <f>IF(AND(OR(LEFT(TH!N770,2)="15",LEFT(TH!O770,2)="15"),LEFT(TH!O770,3)&lt;&gt;"111",'152-CT'!$J$8=TH!F770),"x","")</f>
        <v/>
      </c>
      <c r="AC770" s="79" t="str">
        <f>IF(AND(OR(LEFT(TH!N770,2)="15",LEFT(TH!O770,2)="15"),TK!$E$7=TH!F770),"x","")</f>
        <v/>
      </c>
      <c r="AD770" s="79" t="str">
        <f>IF(AND(N770="1521",MONTH(C770)='BK-NL'!$M$11),"x","")</f>
        <v/>
      </c>
    </row>
    <row r="771" spans="1:30" ht="16.5" customHeight="1">
      <c r="A771" s="318" t="str">
        <f>IF(B771&lt;&gt;"",IF(AND(B771='IN-TC'!$S$4,OR(TH!N771="1111",TH!O771="1111")),TH!D771,""),"")</f>
        <v/>
      </c>
      <c r="B771" s="60" t="str">
        <f t="shared" si="140"/>
        <v/>
      </c>
      <c r="C771" s="974"/>
      <c r="D771" s="974"/>
      <c r="E771" s="974"/>
      <c r="F771" s="975"/>
      <c r="G771" s="976"/>
      <c r="H771" s="305"/>
      <c r="I771" s="383"/>
      <c r="J771" s="977"/>
      <c r="K771" s="383"/>
      <c r="L771" s="390"/>
      <c r="M771" s="978"/>
      <c r="N771" s="979"/>
      <c r="O771" s="979"/>
      <c r="P771" s="79" t="str">
        <f>IF(AND('331-CT'!$E$7=TH!H771,OR(N771="331",O771="331")),"x","")</f>
        <v/>
      </c>
      <c r="Q771" s="79" t="str">
        <f>IF(AND(B771='111'!$L$11,OR($N771=$Q$7,$O771=$Q$7)),"x","")</f>
        <v/>
      </c>
      <c r="R771" s="79" t="str">
        <f>IF(AND($N771=$Q$7,$B771&lt;'111'!$L$11),"x","")</f>
        <v/>
      </c>
      <c r="S771" s="79" t="str">
        <f>IF(AND($O771=$Q$7,$B771&lt;'111'!$L$11),"x","")</f>
        <v/>
      </c>
      <c r="T771" s="79" t="str">
        <f>IF(ISERROR(FIND('112'!$M$9,G771,1)),"",IF((AND(FIND('112'!$M$9,G771,1)&gt;=1,B771='112'!$K$9,OR($N771='112'!$I$6,$O771='112'!$I$6))),"x",""))</f>
        <v/>
      </c>
      <c r="U771" s="79" t="str">
        <f>IF(ISERROR(FIND('112'!$M$9,G771,1)),"",IF((AND(LEFT(G771,2)=LEFT('112'!$M$9,2),B771&lt;'112'!$K$9,$N771='112'!$I$6)),"x",""))</f>
        <v/>
      </c>
      <c r="V771" s="79" t="str">
        <f>IF(ISERROR(FIND('112'!$M$9,G771,1)),"",IF((AND(RIGHT(G771,2)=RIGHT('112'!$M$9,2),B771&lt;'112'!$K$9,$O771='112'!$I$6)),"x",""))</f>
        <v/>
      </c>
      <c r="W771" s="79" t="str">
        <f>IF(AND('341-CT'!$H$9=H771,OR(LEFT(N771,3)=$W$7,LEFT(O771,3)=$W$7)),"x","")</f>
        <v/>
      </c>
      <c r="X771" s="79" t="str">
        <f>IF(OR(TH!N771=TH!$X$7,O771=TH!$X$7),"x","")</f>
        <v/>
      </c>
      <c r="Y771" s="79" t="str">
        <f>IF(AND(OR(N771="131",O771="131"),H771='131-CT'!$H$9),"x","")</f>
        <v/>
      </c>
      <c r="Z771" s="79"/>
      <c r="AA771" s="79" t="str">
        <f>IF(AND(MONTH(E771)='IN-NX'!$J$5,'IN-NX'!$D$7=D771),"x","")</f>
        <v/>
      </c>
      <c r="AB771" s="79" t="str">
        <f>IF(AND(OR(LEFT(TH!N771,2)="15",LEFT(TH!O771,2)="15"),LEFT(TH!O771,3)&lt;&gt;"111",'152-CT'!$J$8=TH!F771),"x","")</f>
        <v/>
      </c>
      <c r="AC771" s="79" t="str">
        <f>IF(AND(OR(LEFT(TH!N771,2)="15",LEFT(TH!O771,2)="15"),TK!$E$7=TH!F771),"x","")</f>
        <v/>
      </c>
      <c r="AD771" s="79" t="str">
        <f>IF(AND(N771="1521",MONTH(C771)='BK-NL'!$M$11),"x","")</f>
        <v/>
      </c>
    </row>
    <row r="772" spans="1:30" ht="16.5" customHeight="1">
      <c r="A772" s="318" t="str">
        <f>IF(B772&lt;&gt;"",IF(AND(B772='IN-TC'!$S$4,OR(TH!N772="1111",TH!O772="1111")),TH!D772,""),"")</f>
        <v/>
      </c>
      <c r="B772" s="60" t="str">
        <f t="shared" si="140"/>
        <v/>
      </c>
      <c r="C772" s="974"/>
      <c r="D772" s="974"/>
      <c r="E772" s="974"/>
      <c r="F772" s="975"/>
      <c r="G772" s="976"/>
      <c r="H772" s="305"/>
      <c r="I772" s="383"/>
      <c r="J772" s="977"/>
      <c r="K772" s="383"/>
      <c r="L772" s="390"/>
      <c r="M772" s="978"/>
      <c r="N772" s="979"/>
      <c r="O772" s="979"/>
      <c r="P772" s="79" t="str">
        <f>IF(AND('331-CT'!$E$7=TH!H772,OR(N772="331",O772="331")),"x","")</f>
        <v/>
      </c>
      <c r="Q772" s="79" t="str">
        <f>IF(AND(B772='111'!$L$11,OR($N772=$Q$7,$O772=$Q$7)),"x","")</f>
        <v/>
      </c>
      <c r="R772" s="79" t="str">
        <f>IF(AND($N772=$Q$7,$B772&lt;'111'!$L$11),"x","")</f>
        <v/>
      </c>
      <c r="S772" s="79" t="str">
        <f>IF(AND($O772=$Q$7,$B772&lt;'111'!$L$11),"x","")</f>
        <v/>
      </c>
      <c r="T772" s="79" t="str">
        <f>IF(ISERROR(FIND('112'!$M$9,G772,1)),"",IF((AND(FIND('112'!$M$9,G772,1)&gt;=1,B772='112'!$K$9,OR($N772='112'!$I$6,$O772='112'!$I$6))),"x",""))</f>
        <v/>
      </c>
      <c r="U772" s="79" t="str">
        <f>IF(ISERROR(FIND('112'!$M$9,G772,1)),"",IF((AND(LEFT(G772,2)=LEFT('112'!$M$9,2),B772&lt;'112'!$K$9,$N772='112'!$I$6)),"x",""))</f>
        <v/>
      </c>
      <c r="V772" s="79" t="str">
        <f>IF(ISERROR(FIND('112'!$M$9,G772,1)),"",IF((AND(RIGHT(G772,2)=RIGHT('112'!$M$9,2),B772&lt;'112'!$K$9,$O772='112'!$I$6)),"x",""))</f>
        <v/>
      </c>
      <c r="W772" s="79" t="str">
        <f>IF(AND('341-CT'!$H$9=H772,OR(LEFT(N772,3)=$W$7,LEFT(O772,3)=$W$7)),"x","")</f>
        <v/>
      </c>
      <c r="X772" s="79" t="str">
        <f>IF(OR(TH!N772=TH!$X$7,O772=TH!$X$7),"x","")</f>
        <v/>
      </c>
      <c r="Y772" s="79" t="str">
        <f>IF(AND(OR(N772="131",O772="131"),H772='131-CT'!$H$9),"x","")</f>
        <v/>
      </c>
      <c r="Z772" s="79"/>
      <c r="AA772" s="79" t="str">
        <f>IF(AND(MONTH(E772)='IN-NX'!$J$5,'IN-NX'!$D$7=D772),"x","")</f>
        <v/>
      </c>
      <c r="AB772" s="79" t="str">
        <f>IF(AND(OR(LEFT(TH!N772,2)="15",LEFT(TH!O772,2)="15"),LEFT(TH!O772,3)&lt;&gt;"111",'152-CT'!$J$8=TH!F772),"x","")</f>
        <v/>
      </c>
      <c r="AC772" s="79" t="str">
        <f>IF(AND(OR(LEFT(TH!N772,2)="15",LEFT(TH!O772,2)="15"),TK!$E$7=TH!F772),"x","")</f>
        <v/>
      </c>
      <c r="AD772" s="79" t="str">
        <f>IF(AND(N772="1521",MONTH(C772)='BK-NL'!$M$11),"x","")</f>
        <v/>
      </c>
    </row>
    <row r="773" spans="1:30" ht="16.5" customHeight="1">
      <c r="A773" s="318" t="str">
        <f>IF(B773&lt;&gt;"",IF(AND(B773='IN-TC'!$S$4,OR(TH!N773="1111",TH!O773="1111")),TH!D773,""),"")</f>
        <v/>
      </c>
      <c r="B773" s="60" t="str">
        <f t="shared" ref="B773:B775" si="141">IF(C773&lt;&gt;"",MONTH(C773),"")</f>
        <v/>
      </c>
      <c r="C773" s="974"/>
      <c r="D773" s="974"/>
      <c r="E773" s="974"/>
      <c r="F773" s="975"/>
      <c r="G773" s="976"/>
      <c r="H773" s="305"/>
      <c r="I773" s="383"/>
      <c r="J773" s="977"/>
      <c r="K773" s="383"/>
      <c r="L773" s="390"/>
      <c r="M773" s="978"/>
      <c r="N773" s="979"/>
      <c r="O773" s="979"/>
      <c r="P773" s="79" t="str">
        <f>IF(AND('331-CT'!$E$7=TH!H773,OR(N773="331",O773="331")),"x","")</f>
        <v/>
      </c>
      <c r="Q773" s="79" t="str">
        <f>IF(AND(B773='111'!$L$11,OR($N773=$Q$7,$O773=$Q$7)),"x","")</f>
        <v/>
      </c>
      <c r="R773" s="79" t="str">
        <f>IF(AND($N773=$Q$7,$B773&lt;'111'!$L$11),"x","")</f>
        <v/>
      </c>
      <c r="S773" s="79" t="str">
        <f>IF(AND($O773=$Q$7,$B773&lt;'111'!$L$11),"x","")</f>
        <v/>
      </c>
      <c r="T773" s="79" t="str">
        <f>IF(ISERROR(FIND('112'!$M$9,G773,1)),"",IF((AND(FIND('112'!$M$9,G773,1)&gt;=1,B773='112'!$K$9,OR($N773='112'!$I$6,$O773='112'!$I$6))),"x",""))</f>
        <v/>
      </c>
      <c r="U773" s="79" t="str">
        <f>IF(ISERROR(FIND('112'!$M$9,G773,1)),"",IF((AND(LEFT(G773,2)=LEFT('112'!$M$9,2),B773&lt;'112'!$K$9,$N773='112'!$I$6)),"x",""))</f>
        <v/>
      </c>
      <c r="V773" s="79" t="str">
        <f>IF(ISERROR(FIND('112'!$M$9,G773,1)),"",IF((AND(RIGHT(G773,2)=RIGHT('112'!$M$9,2),B773&lt;'112'!$K$9,$O773='112'!$I$6)),"x",""))</f>
        <v/>
      </c>
      <c r="W773" s="79" t="str">
        <f>IF(AND('341-CT'!$H$9=H773,OR(LEFT(N773,3)=$W$7,LEFT(O773,3)=$W$7)),"x","")</f>
        <v/>
      </c>
      <c r="X773" s="79" t="str">
        <f>IF(OR(TH!N773=TH!$X$7,O773=TH!$X$7),"x","")</f>
        <v/>
      </c>
      <c r="Y773" s="79" t="str">
        <f>IF(AND(OR(N773="131",O773="131"),H773='131-CT'!$H$9),"x","")</f>
        <v/>
      </c>
      <c r="Z773" s="79"/>
      <c r="AA773" s="79" t="str">
        <f>IF(AND(MONTH(E773)='IN-NX'!$J$5,'IN-NX'!$D$7=D773),"x","")</f>
        <v/>
      </c>
      <c r="AB773" s="79" t="str">
        <f>IF(AND(OR(LEFT(TH!N773,2)="15",LEFT(TH!O773,2)="15"),LEFT(TH!O773,3)&lt;&gt;"111",'152-CT'!$J$8=TH!F773),"x","")</f>
        <v/>
      </c>
      <c r="AC773" s="79" t="str">
        <f>IF(AND(OR(LEFT(TH!N773,2)="15",LEFT(TH!O773,2)="15"),TK!$E$7=TH!F773),"x","")</f>
        <v/>
      </c>
      <c r="AD773" s="79" t="str">
        <f>IF(AND(N773="1521",MONTH(C773)='BK-NL'!$M$11),"x","")</f>
        <v/>
      </c>
    </row>
    <row r="774" spans="1:30" ht="16.5" customHeight="1">
      <c r="A774" s="318" t="str">
        <f>IF(B774&lt;&gt;"",IF(AND(B774='IN-TC'!$S$4,OR(TH!N774="1111",TH!O774="1111")),TH!D774,""),"")</f>
        <v/>
      </c>
      <c r="B774" s="60" t="str">
        <f t="shared" si="141"/>
        <v/>
      </c>
      <c r="C774" s="974"/>
      <c r="D774" s="974"/>
      <c r="E774" s="974"/>
      <c r="F774" s="975"/>
      <c r="G774" s="976"/>
      <c r="H774" s="305"/>
      <c r="I774" s="383"/>
      <c r="J774" s="977"/>
      <c r="K774" s="383"/>
      <c r="L774" s="390"/>
      <c r="M774" s="978"/>
      <c r="N774" s="979"/>
      <c r="O774" s="979"/>
      <c r="P774" s="79" t="str">
        <f>IF(AND('331-CT'!$E$7=TH!H774,OR(N774="331",O774="331")),"x","")</f>
        <v/>
      </c>
      <c r="Q774" s="79" t="str">
        <f>IF(AND(B774='111'!$L$11,OR($N774=$Q$7,$O774=$Q$7)),"x","")</f>
        <v/>
      </c>
      <c r="R774" s="79" t="str">
        <f>IF(AND($N774=$Q$7,$B774&lt;'111'!$L$11),"x","")</f>
        <v/>
      </c>
      <c r="S774" s="79" t="str">
        <f>IF(AND($O774=$Q$7,$B774&lt;'111'!$L$11),"x","")</f>
        <v/>
      </c>
      <c r="T774" s="79" t="str">
        <f>IF(ISERROR(FIND('112'!$M$9,G774,1)),"",IF((AND(FIND('112'!$M$9,G774,1)&gt;=1,B774='112'!$K$9,OR($N774='112'!$I$6,$O774='112'!$I$6))),"x",""))</f>
        <v/>
      </c>
      <c r="U774" s="79" t="str">
        <f>IF(ISERROR(FIND('112'!$M$9,G774,1)),"",IF((AND(LEFT(G774,2)=LEFT('112'!$M$9,2),B774&lt;'112'!$K$9,$N774='112'!$I$6)),"x",""))</f>
        <v/>
      </c>
      <c r="V774" s="79" t="str">
        <f>IF(ISERROR(FIND('112'!$M$9,G774,1)),"",IF((AND(RIGHT(G774,2)=RIGHT('112'!$M$9,2),B774&lt;'112'!$K$9,$O774='112'!$I$6)),"x",""))</f>
        <v/>
      </c>
      <c r="W774" s="79" t="str">
        <f>IF(AND('341-CT'!$H$9=H774,OR(LEFT(N774,3)=$W$7,LEFT(O774,3)=$W$7)),"x","")</f>
        <v/>
      </c>
      <c r="X774" s="79" t="str">
        <f>IF(OR(TH!N774=TH!$X$7,O774=TH!$X$7),"x","")</f>
        <v/>
      </c>
      <c r="Y774" s="79" t="str">
        <f>IF(AND(OR(N774="131",O774="131"),H774='131-CT'!$H$9),"x","")</f>
        <v/>
      </c>
      <c r="Z774" s="79"/>
      <c r="AA774" s="79" t="str">
        <f>IF(AND(MONTH(E774)='IN-NX'!$J$5,'IN-NX'!$D$7=D774),"x","")</f>
        <v/>
      </c>
      <c r="AB774" s="79" t="str">
        <f>IF(AND(OR(LEFT(TH!N774,2)="15",LEFT(TH!O774,2)="15"),LEFT(TH!O774,3)&lt;&gt;"111",'152-CT'!$J$8=TH!F774),"x","")</f>
        <v/>
      </c>
      <c r="AC774" s="79" t="str">
        <f>IF(AND(OR(LEFT(TH!N774,2)="15",LEFT(TH!O774,2)="15"),TK!$E$7=TH!F774),"x","")</f>
        <v/>
      </c>
      <c r="AD774" s="79" t="str">
        <f>IF(AND(N774="1521",MONTH(C774)='BK-NL'!$M$11),"x","")</f>
        <v/>
      </c>
    </row>
    <row r="775" spans="1:30" ht="16.5" customHeight="1">
      <c r="A775" s="318" t="str">
        <f>IF(B775&lt;&gt;"",IF(AND(B775='IN-TC'!$S$4,OR(TH!N775="1111",TH!O775="1111")),TH!D775,""),"")</f>
        <v/>
      </c>
      <c r="B775" s="60" t="str">
        <f t="shared" si="141"/>
        <v/>
      </c>
      <c r="C775" s="974"/>
      <c r="D775" s="974"/>
      <c r="E775" s="974"/>
      <c r="F775" s="975"/>
      <c r="G775" s="976"/>
      <c r="H775" s="305"/>
      <c r="I775" s="383"/>
      <c r="J775" s="977"/>
      <c r="K775" s="383"/>
      <c r="L775" s="390"/>
      <c r="M775" s="978"/>
      <c r="N775" s="979"/>
      <c r="O775" s="979"/>
      <c r="P775" s="79" t="str">
        <f>IF(AND('331-CT'!$E$7=TH!H775,OR(N775="331",O775="331")),"x","")</f>
        <v/>
      </c>
      <c r="Q775" s="79" t="str">
        <f>IF(AND(B775='111'!$L$11,OR($N775=$Q$7,$O775=$Q$7)),"x","")</f>
        <v/>
      </c>
      <c r="R775" s="79" t="str">
        <f>IF(AND($N775=$Q$7,$B775&lt;'111'!$L$11),"x","")</f>
        <v/>
      </c>
      <c r="S775" s="79" t="str">
        <f>IF(AND($O775=$Q$7,$B775&lt;'111'!$L$11),"x","")</f>
        <v/>
      </c>
      <c r="T775" s="79" t="str">
        <f>IF(ISERROR(FIND('112'!$M$9,G775,1)),"",IF((AND(FIND('112'!$M$9,G775,1)&gt;=1,B775='112'!$K$9,OR($N775='112'!$I$6,$O775='112'!$I$6))),"x",""))</f>
        <v/>
      </c>
      <c r="U775" s="79" t="str">
        <f>IF(ISERROR(FIND('112'!$M$9,G775,1)),"",IF((AND(LEFT(G775,2)=LEFT('112'!$M$9,2),B775&lt;'112'!$K$9,$N775='112'!$I$6)),"x",""))</f>
        <v/>
      </c>
      <c r="V775" s="79" t="str">
        <f>IF(ISERROR(FIND('112'!$M$9,G775,1)),"",IF((AND(RIGHT(G775,2)=RIGHT('112'!$M$9,2),B775&lt;'112'!$K$9,$O775='112'!$I$6)),"x",""))</f>
        <v/>
      </c>
      <c r="W775" s="79" t="str">
        <f>IF(AND('341-CT'!$H$9=H775,OR(LEFT(N775,3)=$W$7,LEFT(O775,3)=$W$7)),"x","")</f>
        <v/>
      </c>
      <c r="X775" s="79" t="str">
        <f>IF(OR(TH!N775=TH!$X$7,O775=TH!$X$7),"x","")</f>
        <v/>
      </c>
      <c r="Y775" s="79" t="str">
        <f>IF(AND(OR(N775="131",O775="131"),H775='131-CT'!$H$9),"x","")</f>
        <v/>
      </c>
      <c r="Z775" s="79"/>
      <c r="AA775" s="79" t="str">
        <f>IF(AND(MONTH(E775)='IN-NX'!$J$5,'IN-NX'!$D$7=D775),"x","")</f>
        <v/>
      </c>
      <c r="AB775" s="79" t="str">
        <f>IF(AND(OR(LEFT(TH!N775,2)="15",LEFT(TH!O775,2)="15"),LEFT(TH!O775,3)&lt;&gt;"111",'152-CT'!$J$8=TH!F775),"x","")</f>
        <v/>
      </c>
      <c r="AC775" s="79" t="str">
        <f>IF(AND(OR(LEFT(TH!N775,2)="15",LEFT(TH!O775,2)="15"),TK!$E$7=TH!F775),"x","")</f>
        <v/>
      </c>
      <c r="AD775" s="79" t="str">
        <f>IF(AND(N775="1521",MONTH(C775)='BK-NL'!$M$11),"x","")</f>
        <v/>
      </c>
    </row>
    <row r="776" spans="1:30" ht="16.5" customHeight="1">
      <c r="A776" s="318" t="str">
        <f>IF(B776&lt;&gt;"",IF(AND(B776='IN-TC'!$S$4,OR(TH!N776="1111",TH!O776="1111")),TH!D776,""),"")</f>
        <v/>
      </c>
      <c r="B776" s="60" t="str">
        <f t="shared" ref="B776:B778" si="142">IF(C776&lt;&gt;"",MONTH(C776),"")</f>
        <v/>
      </c>
      <c r="C776" s="974"/>
      <c r="D776" s="974"/>
      <c r="E776" s="974"/>
      <c r="F776" s="975"/>
      <c r="G776" s="976"/>
      <c r="H776" s="305"/>
      <c r="I776" s="383"/>
      <c r="J776" s="977"/>
      <c r="K776" s="383"/>
      <c r="L776" s="390"/>
      <c r="M776" s="978"/>
      <c r="N776" s="979"/>
      <c r="O776" s="979"/>
      <c r="P776" s="79" t="str">
        <f>IF(AND('331-CT'!$E$7=TH!H776,OR(N776="331",O776="331")),"x","")</f>
        <v/>
      </c>
      <c r="Q776" s="79" t="str">
        <f>IF(AND(B776='111'!$L$11,OR($N776=$Q$7,$O776=$Q$7)),"x","")</f>
        <v/>
      </c>
      <c r="R776" s="79" t="str">
        <f>IF(AND($N776=$Q$7,$B776&lt;'111'!$L$11),"x","")</f>
        <v/>
      </c>
      <c r="S776" s="79" t="str">
        <f>IF(AND($O776=$Q$7,$B776&lt;'111'!$L$11),"x","")</f>
        <v/>
      </c>
      <c r="T776" s="79" t="str">
        <f>IF(ISERROR(FIND('112'!$M$9,G776,1)),"",IF((AND(FIND('112'!$M$9,G776,1)&gt;=1,B776='112'!$K$9,OR($N776='112'!$I$6,$O776='112'!$I$6))),"x",""))</f>
        <v/>
      </c>
      <c r="U776" s="79" t="str">
        <f>IF(ISERROR(FIND('112'!$M$9,G776,1)),"",IF((AND(LEFT(G776,2)=LEFT('112'!$M$9,2),B776&lt;'112'!$K$9,$N776='112'!$I$6)),"x",""))</f>
        <v/>
      </c>
      <c r="V776" s="79" t="str">
        <f>IF(ISERROR(FIND('112'!$M$9,G776,1)),"",IF((AND(RIGHT(G776,2)=RIGHT('112'!$M$9,2),B776&lt;'112'!$K$9,$O776='112'!$I$6)),"x",""))</f>
        <v/>
      </c>
      <c r="W776" s="79" t="str">
        <f>IF(AND('341-CT'!$H$9=H776,OR(LEFT(N776,3)=$W$7,LEFT(O776,3)=$W$7)),"x","")</f>
        <v/>
      </c>
      <c r="X776" s="79" t="str">
        <f>IF(OR(TH!N776=TH!$X$7,O776=TH!$X$7),"x","")</f>
        <v/>
      </c>
      <c r="Y776" s="79" t="str">
        <f>IF(AND(OR(N776="131",O776="131"),H776='131-CT'!$H$9),"x","")</f>
        <v/>
      </c>
      <c r="Z776" s="79"/>
      <c r="AA776" s="79" t="str">
        <f>IF(AND(MONTH(E776)='IN-NX'!$J$5,'IN-NX'!$D$7=D776),"x","")</f>
        <v/>
      </c>
      <c r="AB776" s="79" t="str">
        <f>IF(AND(OR(LEFT(TH!N776,2)="15",LEFT(TH!O776,2)="15"),LEFT(TH!O776,3)&lt;&gt;"111",'152-CT'!$J$8=TH!F776),"x","")</f>
        <v/>
      </c>
      <c r="AC776" s="79" t="str">
        <f>IF(AND(OR(LEFT(TH!N776,2)="15",LEFT(TH!O776,2)="15"),TK!$E$7=TH!F776),"x","")</f>
        <v/>
      </c>
      <c r="AD776" s="79" t="str">
        <f>IF(AND(N776="1521",MONTH(C776)='BK-NL'!$M$11),"x","")</f>
        <v/>
      </c>
    </row>
    <row r="777" spans="1:30" ht="16.5" customHeight="1">
      <c r="A777" s="318" t="str">
        <f>IF(B777&lt;&gt;"",IF(AND(B777='IN-TC'!$S$4,OR(TH!N777="1111",TH!O777="1111")),TH!D777,""),"")</f>
        <v/>
      </c>
      <c r="B777" s="60" t="str">
        <f t="shared" si="142"/>
        <v/>
      </c>
      <c r="C777" s="974"/>
      <c r="D777" s="974"/>
      <c r="E777" s="974"/>
      <c r="F777" s="975"/>
      <c r="G777" s="976"/>
      <c r="H777" s="305"/>
      <c r="I777" s="383"/>
      <c r="J777" s="977"/>
      <c r="K777" s="383"/>
      <c r="L777" s="390"/>
      <c r="M777" s="978"/>
      <c r="N777" s="979"/>
      <c r="O777" s="979"/>
      <c r="P777" s="79" t="str">
        <f>IF(AND('331-CT'!$E$7=TH!H777,OR(N777="331",O777="331")),"x","")</f>
        <v/>
      </c>
      <c r="Q777" s="79" t="str">
        <f>IF(AND(B777='111'!$L$11,OR($N777=$Q$7,$O777=$Q$7)),"x","")</f>
        <v/>
      </c>
      <c r="R777" s="79" t="str">
        <f>IF(AND($N777=$Q$7,$B777&lt;'111'!$L$11),"x","")</f>
        <v/>
      </c>
      <c r="S777" s="79" t="str">
        <f>IF(AND($O777=$Q$7,$B777&lt;'111'!$L$11),"x","")</f>
        <v/>
      </c>
      <c r="T777" s="79" t="str">
        <f>IF(ISERROR(FIND('112'!$M$9,G777,1)),"",IF((AND(FIND('112'!$M$9,G777,1)&gt;=1,B777='112'!$K$9,OR($N777='112'!$I$6,$O777='112'!$I$6))),"x",""))</f>
        <v/>
      </c>
      <c r="U777" s="79" t="str">
        <f>IF(ISERROR(FIND('112'!$M$9,G777,1)),"",IF((AND(LEFT(G777,2)=LEFT('112'!$M$9,2),B777&lt;'112'!$K$9,$N777='112'!$I$6)),"x",""))</f>
        <v/>
      </c>
      <c r="V777" s="79" t="str">
        <f>IF(ISERROR(FIND('112'!$M$9,G777,1)),"",IF((AND(RIGHT(G777,2)=RIGHT('112'!$M$9,2),B777&lt;'112'!$K$9,$O777='112'!$I$6)),"x",""))</f>
        <v/>
      </c>
      <c r="W777" s="79" t="str">
        <f>IF(AND('341-CT'!$H$9=H777,OR(LEFT(N777,3)=$W$7,LEFT(O777,3)=$W$7)),"x","")</f>
        <v/>
      </c>
      <c r="X777" s="79" t="str">
        <f>IF(OR(TH!N777=TH!$X$7,O777=TH!$X$7),"x","")</f>
        <v/>
      </c>
      <c r="Y777" s="79" t="str">
        <f>IF(AND(OR(N777="131",O777="131"),H777='131-CT'!$H$9),"x","")</f>
        <v/>
      </c>
      <c r="Z777" s="79"/>
      <c r="AA777" s="79" t="str">
        <f>IF(AND(MONTH(E777)='IN-NX'!$J$5,'IN-NX'!$D$7=D777),"x","")</f>
        <v/>
      </c>
      <c r="AB777" s="79" t="str">
        <f>IF(AND(OR(LEFT(TH!N777,2)="15",LEFT(TH!O777,2)="15"),LEFT(TH!O777,3)&lt;&gt;"111",'152-CT'!$J$8=TH!F777),"x","")</f>
        <v/>
      </c>
      <c r="AC777" s="79" t="str">
        <f>IF(AND(OR(LEFT(TH!N777,2)="15",LEFT(TH!O777,2)="15"),TK!$E$7=TH!F777),"x","")</f>
        <v/>
      </c>
      <c r="AD777" s="79" t="str">
        <f>IF(AND(N777="1521",MONTH(C777)='BK-NL'!$M$11),"x","")</f>
        <v/>
      </c>
    </row>
    <row r="778" spans="1:30" ht="16.5" customHeight="1">
      <c r="A778" s="318" t="str">
        <f>IF(B778&lt;&gt;"",IF(AND(B778='IN-TC'!$S$4,OR(TH!N778="1111",TH!O778="1111")),TH!D778,""),"")</f>
        <v/>
      </c>
      <c r="B778" s="60" t="str">
        <f t="shared" si="142"/>
        <v/>
      </c>
      <c r="C778" s="974"/>
      <c r="D778" s="974"/>
      <c r="E778" s="974"/>
      <c r="F778" s="975"/>
      <c r="G778" s="976"/>
      <c r="H778" s="305"/>
      <c r="I778" s="383"/>
      <c r="J778" s="977"/>
      <c r="K778" s="383"/>
      <c r="L778" s="390"/>
      <c r="M778" s="978"/>
      <c r="N778" s="979"/>
      <c r="O778" s="979"/>
      <c r="P778" s="79" t="str">
        <f>IF(AND('331-CT'!$E$7=TH!H778,OR(N778="331",O778="331")),"x","")</f>
        <v/>
      </c>
      <c r="Q778" s="79" t="str">
        <f>IF(AND(B778='111'!$L$11,OR($N778=$Q$7,$O778=$Q$7)),"x","")</f>
        <v/>
      </c>
      <c r="R778" s="79" t="str">
        <f>IF(AND($N778=$Q$7,$B778&lt;'111'!$L$11),"x","")</f>
        <v/>
      </c>
      <c r="S778" s="79" t="str">
        <f>IF(AND($O778=$Q$7,$B778&lt;'111'!$L$11),"x","")</f>
        <v/>
      </c>
      <c r="T778" s="79" t="str">
        <f>IF(ISERROR(FIND('112'!$M$9,G778,1)),"",IF((AND(FIND('112'!$M$9,G778,1)&gt;=1,B778='112'!$K$9,OR($N778='112'!$I$6,$O778='112'!$I$6))),"x",""))</f>
        <v/>
      </c>
      <c r="U778" s="79" t="str">
        <f>IF(ISERROR(FIND('112'!$M$9,G778,1)),"",IF((AND(LEFT(G778,2)=LEFT('112'!$M$9,2),B778&lt;'112'!$K$9,$N778='112'!$I$6)),"x",""))</f>
        <v/>
      </c>
      <c r="V778" s="79" t="str">
        <f>IF(ISERROR(FIND('112'!$M$9,G778,1)),"",IF((AND(RIGHT(G778,2)=RIGHT('112'!$M$9,2),B778&lt;'112'!$K$9,$O778='112'!$I$6)),"x",""))</f>
        <v/>
      </c>
      <c r="W778" s="79" t="str">
        <f>IF(AND('341-CT'!$H$9=H778,OR(LEFT(N778,3)=$W$7,LEFT(O778,3)=$W$7)),"x","")</f>
        <v/>
      </c>
      <c r="X778" s="79" t="str">
        <f>IF(OR(TH!N778=TH!$X$7,O778=TH!$X$7),"x","")</f>
        <v/>
      </c>
      <c r="Y778" s="79" t="str">
        <f>IF(AND(OR(N778="131",O778="131"),H778='131-CT'!$H$9),"x","")</f>
        <v/>
      </c>
      <c r="Z778" s="79"/>
      <c r="AA778" s="79" t="str">
        <f>IF(AND(MONTH(E778)='IN-NX'!$J$5,'IN-NX'!$D$7=D778),"x","")</f>
        <v/>
      </c>
      <c r="AB778" s="79" t="str">
        <f>IF(AND(OR(LEFT(TH!N778,2)="15",LEFT(TH!O778,2)="15"),LEFT(TH!O778,3)&lt;&gt;"111",'152-CT'!$J$8=TH!F778),"x","")</f>
        <v/>
      </c>
      <c r="AC778" s="79" t="str">
        <f>IF(AND(OR(LEFT(TH!N778,2)="15",LEFT(TH!O778,2)="15"),TK!$E$7=TH!F778),"x","")</f>
        <v/>
      </c>
      <c r="AD778" s="79" t="str">
        <f>IF(AND(N778="1521",MONTH(C778)='BK-NL'!$M$11),"x","")</f>
        <v/>
      </c>
    </row>
    <row r="779" spans="1:30" ht="16.5" customHeight="1">
      <c r="A779" s="318" t="str">
        <f>IF(B779&lt;&gt;"",IF(AND(B779='IN-TC'!$S$4,OR(TH!N779="1111",TH!O779="1111")),TH!D779,""),"")</f>
        <v/>
      </c>
      <c r="B779" s="60" t="str">
        <f t="shared" ref="B779:B781" si="143">IF(C779&lt;&gt;"",MONTH(C779),"")</f>
        <v/>
      </c>
      <c r="C779" s="974"/>
      <c r="D779" s="974"/>
      <c r="E779" s="974"/>
      <c r="F779" s="975"/>
      <c r="G779" s="976"/>
      <c r="H779" s="305"/>
      <c r="I779" s="383"/>
      <c r="J779" s="977"/>
      <c r="K779" s="383"/>
      <c r="L779" s="390"/>
      <c r="M779" s="978"/>
      <c r="N779" s="979"/>
      <c r="O779" s="979"/>
      <c r="P779" s="79" t="str">
        <f>IF(AND('331-CT'!$E$7=TH!H779,OR(N779="331",O779="331")),"x","")</f>
        <v/>
      </c>
      <c r="Q779" s="79" t="str">
        <f>IF(AND(B779='111'!$L$11,OR($N779=$Q$7,$O779=$Q$7)),"x","")</f>
        <v/>
      </c>
      <c r="R779" s="79" t="str">
        <f>IF(AND($N779=$Q$7,$B779&lt;'111'!$L$11),"x","")</f>
        <v/>
      </c>
      <c r="S779" s="79" t="str">
        <f>IF(AND($O779=$Q$7,$B779&lt;'111'!$L$11),"x","")</f>
        <v/>
      </c>
      <c r="T779" s="79" t="str">
        <f>IF(ISERROR(FIND('112'!$M$9,G779,1)),"",IF((AND(FIND('112'!$M$9,G779,1)&gt;=1,B779='112'!$K$9,OR($N779='112'!$I$6,$O779='112'!$I$6))),"x",""))</f>
        <v/>
      </c>
      <c r="U779" s="79" t="str">
        <f>IF(ISERROR(FIND('112'!$M$9,G779,1)),"",IF((AND(LEFT(G779,2)=LEFT('112'!$M$9,2),B779&lt;'112'!$K$9,$N779='112'!$I$6)),"x",""))</f>
        <v/>
      </c>
      <c r="V779" s="79" t="str">
        <f>IF(ISERROR(FIND('112'!$M$9,G779,1)),"",IF((AND(RIGHT(G779,2)=RIGHT('112'!$M$9,2),B779&lt;'112'!$K$9,$O779='112'!$I$6)),"x",""))</f>
        <v/>
      </c>
      <c r="W779" s="79" t="str">
        <f>IF(AND('341-CT'!$H$9=H779,OR(LEFT(N779,3)=$W$7,LEFT(O779,3)=$W$7)),"x","")</f>
        <v/>
      </c>
      <c r="X779" s="79" t="str">
        <f>IF(OR(TH!N779=TH!$X$7,O779=TH!$X$7),"x","")</f>
        <v/>
      </c>
      <c r="Y779" s="79" t="str">
        <f>IF(AND(OR(N779="131",O779="131"),H779='131-CT'!$H$9),"x","")</f>
        <v/>
      </c>
      <c r="Z779" s="79"/>
      <c r="AA779" s="79" t="str">
        <f>IF(AND(MONTH(E779)='IN-NX'!$J$5,'IN-NX'!$D$7=D779),"x","")</f>
        <v/>
      </c>
      <c r="AB779" s="79" t="str">
        <f>IF(AND(OR(LEFT(TH!N779,2)="15",LEFT(TH!O779,2)="15"),LEFT(TH!O779,3)&lt;&gt;"111",'152-CT'!$J$8=TH!F779),"x","")</f>
        <v/>
      </c>
      <c r="AC779" s="79" t="str">
        <f>IF(AND(OR(LEFT(TH!N779,2)="15",LEFT(TH!O779,2)="15"),TK!$E$7=TH!F779),"x","")</f>
        <v/>
      </c>
      <c r="AD779" s="79" t="str">
        <f>IF(AND(N779="1521",MONTH(C779)='BK-NL'!$M$11),"x","")</f>
        <v/>
      </c>
    </row>
    <row r="780" spans="1:30" ht="16.5" customHeight="1">
      <c r="A780" s="318" t="str">
        <f>IF(B780&lt;&gt;"",IF(AND(B780='IN-TC'!$S$4,OR(TH!N780="1111",TH!O780="1111")),TH!D780,""),"")</f>
        <v/>
      </c>
      <c r="B780" s="60" t="str">
        <f t="shared" si="143"/>
        <v/>
      </c>
      <c r="C780" s="974"/>
      <c r="D780" s="974"/>
      <c r="E780" s="974"/>
      <c r="F780" s="975"/>
      <c r="G780" s="976"/>
      <c r="H780" s="305"/>
      <c r="I780" s="383"/>
      <c r="J780" s="977"/>
      <c r="K780" s="383"/>
      <c r="L780" s="390"/>
      <c r="M780" s="978"/>
      <c r="N780" s="979"/>
      <c r="O780" s="979"/>
      <c r="P780" s="79" t="str">
        <f>IF(AND('331-CT'!$E$7=TH!H780,OR(N780="331",O780="331")),"x","")</f>
        <v/>
      </c>
      <c r="Q780" s="79" t="str">
        <f>IF(AND(B780='111'!$L$11,OR($N780=$Q$7,$O780=$Q$7)),"x","")</f>
        <v/>
      </c>
      <c r="R780" s="79" t="str">
        <f>IF(AND($N780=$Q$7,$B780&lt;'111'!$L$11),"x","")</f>
        <v/>
      </c>
      <c r="S780" s="79" t="str">
        <f>IF(AND($O780=$Q$7,$B780&lt;'111'!$L$11),"x","")</f>
        <v/>
      </c>
      <c r="T780" s="79" t="str">
        <f>IF(ISERROR(FIND('112'!$M$9,G780,1)),"",IF((AND(FIND('112'!$M$9,G780,1)&gt;=1,B780='112'!$K$9,OR($N780='112'!$I$6,$O780='112'!$I$6))),"x",""))</f>
        <v/>
      </c>
      <c r="U780" s="79" t="str">
        <f>IF(ISERROR(FIND('112'!$M$9,G780,1)),"",IF((AND(LEFT(G780,2)=LEFT('112'!$M$9,2),B780&lt;'112'!$K$9,$N780='112'!$I$6)),"x",""))</f>
        <v/>
      </c>
      <c r="V780" s="79" t="str">
        <f>IF(ISERROR(FIND('112'!$M$9,G780,1)),"",IF((AND(RIGHT(G780,2)=RIGHT('112'!$M$9,2),B780&lt;'112'!$K$9,$O780='112'!$I$6)),"x",""))</f>
        <v/>
      </c>
      <c r="W780" s="79" t="str">
        <f>IF(AND('341-CT'!$H$9=H780,OR(LEFT(N780,3)=$W$7,LEFT(O780,3)=$W$7)),"x","")</f>
        <v/>
      </c>
      <c r="X780" s="79" t="str">
        <f>IF(OR(TH!N780=TH!$X$7,O780=TH!$X$7),"x","")</f>
        <v/>
      </c>
      <c r="Y780" s="79" t="str">
        <f>IF(AND(OR(N780="131",O780="131"),H780='131-CT'!$H$9),"x","")</f>
        <v/>
      </c>
      <c r="Z780" s="79"/>
      <c r="AA780" s="79" t="str">
        <f>IF(AND(MONTH(E780)='IN-NX'!$J$5,'IN-NX'!$D$7=D780),"x","")</f>
        <v/>
      </c>
      <c r="AB780" s="79" t="str">
        <f>IF(AND(OR(LEFT(TH!N780,2)="15",LEFT(TH!O780,2)="15"),LEFT(TH!O780,3)&lt;&gt;"111",'152-CT'!$J$8=TH!F780),"x","")</f>
        <v/>
      </c>
      <c r="AC780" s="79" t="str">
        <f>IF(AND(OR(LEFT(TH!N780,2)="15",LEFT(TH!O780,2)="15"),TK!$E$7=TH!F780),"x","")</f>
        <v/>
      </c>
      <c r="AD780" s="79" t="str">
        <f>IF(AND(N780="1521",MONTH(C780)='BK-NL'!$M$11),"x","")</f>
        <v/>
      </c>
    </row>
    <row r="781" spans="1:30" ht="16.5" customHeight="1">
      <c r="A781" s="318" t="str">
        <f>IF(B781&lt;&gt;"",IF(AND(B781='IN-TC'!$S$4,OR(TH!N781="1111",TH!O781="1111")),TH!D781,""),"")</f>
        <v/>
      </c>
      <c r="B781" s="60" t="str">
        <f t="shared" si="143"/>
        <v/>
      </c>
      <c r="C781" s="974"/>
      <c r="D781" s="974"/>
      <c r="E781" s="974"/>
      <c r="F781" s="975"/>
      <c r="G781" s="976"/>
      <c r="H781" s="305"/>
      <c r="I781" s="383"/>
      <c r="J781" s="977"/>
      <c r="K781" s="383"/>
      <c r="L781" s="390"/>
      <c r="M781" s="978"/>
      <c r="N781" s="979"/>
      <c r="O781" s="979"/>
      <c r="P781" s="79" t="str">
        <f>IF(AND('331-CT'!$E$7=TH!H781,OR(N781="331",O781="331")),"x","")</f>
        <v/>
      </c>
      <c r="Q781" s="79" t="str">
        <f>IF(AND(B781='111'!$L$11,OR($N781=$Q$7,$O781=$Q$7)),"x","")</f>
        <v/>
      </c>
      <c r="R781" s="79" t="str">
        <f>IF(AND($N781=$Q$7,$B781&lt;'111'!$L$11),"x","")</f>
        <v/>
      </c>
      <c r="S781" s="79" t="str">
        <f>IF(AND($O781=$Q$7,$B781&lt;'111'!$L$11),"x","")</f>
        <v/>
      </c>
      <c r="T781" s="79" t="str">
        <f>IF(ISERROR(FIND('112'!$M$9,G781,1)),"",IF((AND(FIND('112'!$M$9,G781,1)&gt;=1,B781='112'!$K$9,OR($N781='112'!$I$6,$O781='112'!$I$6))),"x",""))</f>
        <v/>
      </c>
      <c r="U781" s="79" t="str">
        <f>IF(ISERROR(FIND('112'!$M$9,G781,1)),"",IF((AND(LEFT(G781,2)=LEFT('112'!$M$9,2),B781&lt;'112'!$K$9,$N781='112'!$I$6)),"x",""))</f>
        <v/>
      </c>
      <c r="V781" s="79" t="str">
        <f>IF(ISERROR(FIND('112'!$M$9,G781,1)),"",IF((AND(RIGHT(G781,2)=RIGHT('112'!$M$9,2),B781&lt;'112'!$K$9,$O781='112'!$I$6)),"x",""))</f>
        <v/>
      </c>
      <c r="W781" s="79" t="str">
        <f>IF(AND('341-CT'!$H$9=H781,OR(LEFT(N781,3)=$W$7,LEFT(O781,3)=$W$7)),"x","")</f>
        <v/>
      </c>
      <c r="X781" s="79" t="str">
        <f>IF(OR(TH!N781=TH!$X$7,O781=TH!$X$7),"x","")</f>
        <v/>
      </c>
      <c r="Y781" s="79" t="str">
        <f>IF(AND(OR(N781="131",O781="131"),H781='131-CT'!$H$9),"x","")</f>
        <v/>
      </c>
      <c r="Z781" s="79"/>
      <c r="AA781" s="79" t="str">
        <f>IF(AND(MONTH(E781)='IN-NX'!$J$5,'IN-NX'!$D$7=D781),"x","")</f>
        <v/>
      </c>
      <c r="AB781" s="79" t="str">
        <f>IF(AND(OR(LEFT(TH!N781,2)="15",LEFT(TH!O781,2)="15"),LEFT(TH!O781,3)&lt;&gt;"111",'152-CT'!$J$8=TH!F781),"x","")</f>
        <v/>
      </c>
      <c r="AC781" s="79" t="str">
        <f>IF(AND(OR(LEFT(TH!N781,2)="15",LEFT(TH!O781,2)="15"),TK!$E$7=TH!F781),"x","")</f>
        <v/>
      </c>
      <c r="AD781" s="79" t="str">
        <f>IF(AND(N781="1521",MONTH(C781)='BK-NL'!$M$11),"x","")</f>
        <v/>
      </c>
    </row>
    <row r="782" spans="1:30" ht="16.5" customHeight="1">
      <c r="A782" s="318" t="str">
        <f>IF(B782&lt;&gt;"",IF(AND(B782='IN-TC'!$S$4,OR(TH!N782="1111",TH!O782="1111")),TH!D782,""),"")</f>
        <v/>
      </c>
      <c r="B782" s="60" t="str">
        <f t="shared" ref="B782:B784" si="144">IF(C782&lt;&gt;"",MONTH(C782),"")</f>
        <v/>
      </c>
      <c r="C782" s="974"/>
      <c r="D782" s="974"/>
      <c r="E782" s="974"/>
      <c r="F782" s="975"/>
      <c r="G782" s="976"/>
      <c r="H782" s="305"/>
      <c r="I782" s="383"/>
      <c r="J782" s="977"/>
      <c r="K782" s="383"/>
      <c r="L782" s="390"/>
      <c r="M782" s="978"/>
      <c r="N782" s="979"/>
      <c r="O782" s="979"/>
      <c r="P782" s="79" t="str">
        <f>IF(AND('331-CT'!$E$7=TH!H782,OR(N782="331",O782="331")),"x","")</f>
        <v/>
      </c>
      <c r="Q782" s="79" t="str">
        <f>IF(AND(B782='111'!$L$11,OR($N782=$Q$7,$O782=$Q$7)),"x","")</f>
        <v/>
      </c>
      <c r="R782" s="79" t="str">
        <f>IF(AND($N782=$Q$7,$B782&lt;'111'!$L$11),"x","")</f>
        <v/>
      </c>
      <c r="S782" s="79" t="str">
        <f>IF(AND($O782=$Q$7,$B782&lt;'111'!$L$11),"x","")</f>
        <v/>
      </c>
      <c r="T782" s="79" t="str">
        <f>IF(ISERROR(FIND('112'!$M$9,G782,1)),"",IF((AND(FIND('112'!$M$9,G782,1)&gt;=1,B782='112'!$K$9,OR($N782='112'!$I$6,$O782='112'!$I$6))),"x",""))</f>
        <v/>
      </c>
      <c r="U782" s="79" t="str">
        <f>IF(ISERROR(FIND('112'!$M$9,G782,1)),"",IF((AND(LEFT(G782,2)=LEFT('112'!$M$9,2),B782&lt;'112'!$K$9,$N782='112'!$I$6)),"x",""))</f>
        <v/>
      </c>
      <c r="V782" s="79" t="str">
        <f>IF(ISERROR(FIND('112'!$M$9,G782,1)),"",IF((AND(RIGHT(G782,2)=RIGHT('112'!$M$9,2),B782&lt;'112'!$K$9,$O782='112'!$I$6)),"x",""))</f>
        <v/>
      </c>
      <c r="W782" s="79" t="str">
        <f>IF(AND('341-CT'!$H$9=H782,OR(LEFT(N782,3)=$W$7,LEFT(O782,3)=$W$7)),"x","")</f>
        <v/>
      </c>
      <c r="X782" s="79" t="str">
        <f>IF(OR(TH!N782=TH!$X$7,O782=TH!$X$7),"x","")</f>
        <v/>
      </c>
      <c r="Y782" s="79" t="str">
        <f>IF(AND(OR(N782="131",O782="131"),H782='131-CT'!$H$9),"x","")</f>
        <v/>
      </c>
      <c r="Z782" s="79"/>
      <c r="AA782" s="79" t="str">
        <f>IF(AND(MONTH(E782)='IN-NX'!$J$5,'IN-NX'!$D$7=D782),"x","")</f>
        <v/>
      </c>
      <c r="AB782" s="79" t="str">
        <f>IF(AND(OR(LEFT(TH!N782,2)="15",LEFT(TH!O782,2)="15"),LEFT(TH!O782,3)&lt;&gt;"111",'152-CT'!$J$8=TH!F782),"x","")</f>
        <v/>
      </c>
      <c r="AC782" s="79" t="str">
        <f>IF(AND(OR(LEFT(TH!N782,2)="15",LEFT(TH!O782,2)="15"),TK!$E$7=TH!F782),"x","")</f>
        <v/>
      </c>
      <c r="AD782" s="79" t="str">
        <f>IF(AND(N782="1521",MONTH(C782)='BK-NL'!$M$11),"x","")</f>
        <v/>
      </c>
    </row>
    <row r="783" spans="1:30" ht="16.5" customHeight="1">
      <c r="A783" s="318" t="str">
        <f>IF(B783&lt;&gt;"",IF(AND(B783='IN-TC'!$S$4,OR(TH!N783="1111",TH!O783="1111")),TH!D783,""),"")</f>
        <v/>
      </c>
      <c r="B783" s="60" t="str">
        <f t="shared" si="144"/>
        <v/>
      </c>
      <c r="C783" s="974"/>
      <c r="D783" s="974"/>
      <c r="E783" s="974"/>
      <c r="F783" s="975"/>
      <c r="G783" s="976"/>
      <c r="H783" s="305"/>
      <c r="I783" s="383"/>
      <c r="J783" s="977"/>
      <c r="K783" s="383"/>
      <c r="L783" s="390"/>
      <c r="M783" s="978"/>
      <c r="N783" s="979"/>
      <c r="O783" s="979"/>
      <c r="P783" s="79" t="str">
        <f>IF(AND('331-CT'!$E$7=TH!H783,OR(N783="331",O783="331")),"x","")</f>
        <v/>
      </c>
      <c r="Q783" s="79" t="str">
        <f>IF(AND(B783='111'!$L$11,OR($N783=$Q$7,$O783=$Q$7)),"x","")</f>
        <v/>
      </c>
      <c r="R783" s="79" t="str">
        <f>IF(AND($N783=$Q$7,$B783&lt;'111'!$L$11),"x","")</f>
        <v/>
      </c>
      <c r="S783" s="79" t="str">
        <f>IF(AND($O783=$Q$7,$B783&lt;'111'!$L$11),"x","")</f>
        <v/>
      </c>
      <c r="T783" s="79" t="str">
        <f>IF(ISERROR(FIND('112'!$M$9,G783,1)),"",IF((AND(FIND('112'!$M$9,G783,1)&gt;=1,B783='112'!$K$9,OR($N783='112'!$I$6,$O783='112'!$I$6))),"x",""))</f>
        <v/>
      </c>
      <c r="U783" s="79" t="str">
        <f>IF(ISERROR(FIND('112'!$M$9,G783,1)),"",IF((AND(LEFT(G783,2)=LEFT('112'!$M$9,2),B783&lt;'112'!$K$9,$N783='112'!$I$6)),"x",""))</f>
        <v/>
      </c>
      <c r="V783" s="79" t="str">
        <f>IF(ISERROR(FIND('112'!$M$9,G783,1)),"",IF((AND(RIGHT(G783,2)=RIGHT('112'!$M$9,2),B783&lt;'112'!$K$9,$O783='112'!$I$6)),"x",""))</f>
        <v/>
      </c>
      <c r="W783" s="79" t="str">
        <f>IF(AND('341-CT'!$H$9=H783,OR(LEFT(N783,3)=$W$7,LEFT(O783,3)=$W$7)),"x","")</f>
        <v/>
      </c>
      <c r="X783" s="79" t="str">
        <f>IF(OR(TH!N783=TH!$X$7,O783=TH!$X$7),"x","")</f>
        <v/>
      </c>
      <c r="Y783" s="79" t="str">
        <f>IF(AND(OR(N783="131",O783="131"),H783='131-CT'!$H$9),"x","")</f>
        <v/>
      </c>
      <c r="Z783" s="79"/>
      <c r="AA783" s="79" t="str">
        <f>IF(AND(MONTH(E783)='IN-NX'!$J$5,'IN-NX'!$D$7=D783),"x","")</f>
        <v/>
      </c>
      <c r="AB783" s="79" t="str">
        <f>IF(AND(OR(LEFT(TH!N783,2)="15",LEFT(TH!O783,2)="15"),LEFT(TH!O783,3)&lt;&gt;"111",'152-CT'!$J$8=TH!F783),"x","")</f>
        <v/>
      </c>
      <c r="AC783" s="79" t="str">
        <f>IF(AND(OR(LEFT(TH!N783,2)="15",LEFT(TH!O783,2)="15"),TK!$E$7=TH!F783),"x","")</f>
        <v/>
      </c>
      <c r="AD783" s="79" t="str">
        <f>IF(AND(N783="1521",MONTH(C783)='BK-NL'!$M$11),"x","")</f>
        <v/>
      </c>
    </row>
    <row r="784" spans="1:30" ht="16.5" customHeight="1">
      <c r="A784" s="318" t="str">
        <f>IF(B784&lt;&gt;"",IF(AND(B784='IN-TC'!$S$4,OR(TH!N784="1111",TH!O784="1111")),TH!D784,""),"")</f>
        <v/>
      </c>
      <c r="B784" s="60" t="str">
        <f t="shared" si="144"/>
        <v/>
      </c>
      <c r="C784" s="974"/>
      <c r="D784" s="974"/>
      <c r="E784" s="974"/>
      <c r="F784" s="975"/>
      <c r="G784" s="976"/>
      <c r="H784" s="305"/>
      <c r="I784" s="383"/>
      <c r="J784" s="977"/>
      <c r="K784" s="383"/>
      <c r="L784" s="390"/>
      <c r="M784" s="978"/>
      <c r="N784" s="979"/>
      <c r="O784" s="979"/>
      <c r="P784" s="79" t="str">
        <f>IF(AND('331-CT'!$E$7=TH!H784,OR(N784="331",O784="331")),"x","")</f>
        <v/>
      </c>
      <c r="Q784" s="79" t="str">
        <f>IF(AND(B784='111'!$L$11,OR($N784=$Q$7,$O784=$Q$7)),"x","")</f>
        <v/>
      </c>
      <c r="R784" s="79" t="str">
        <f>IF(AND($N784=$Q$7,$B784&lt;'111'!$L$11),"x","")</f>
        <v/>
      </c>
      <c r="S784" s="79" t="str">
        <f>IF(AND($O784=$Q$7,$B784&lt;'111'!$L$11),"x","")</f>
        <v/>
      </c>
      <c r="T784" s="79" t="str">
        <f>IF(ISERROR(FIND('112'!$M$9,G784,1)),"",IF((AND(FIND('112'!$M$9,G784,1)&gt;=1,B784='112'!$K$9,OR($N784='112'!$I$6,$O784='112'!$I$6))),"x",""))</f>
        <v/>
      </c>
      <c r="U784" s="79" t="str">
        <f>IF(ISERROR(FIND('112'!$M$9,G784,1)),"",IF((AND(LEFT(G784,2)=LEFT('112'!$M$9,2),B784&lt;'112'!$K$9,$N784='112'!$I$6)),"x",""))</f>
        <v/>
      </c>
      <c r="V784" s="79" t="str">
        <f>IF(ISERROR(FIND('112'!$M$9,G784,1)),"",IF((AND(RIGHT(G784,2)=RIGHT('112'!$M$9,2),B784&lt;'112'!$K$9,$O784='112'!$I$6)),"x",""))</f>
        <v/>
      </c>
      <c r="W784" s="79" t="str">
        <f>IF(AND('341-CT'!$H$9=H784,OR(LEFT(N784,3)=$W$7,LEFT(O784,3)=$W$7)),"x","")</f>
        <v/>
      </c>
      <c r="X784" s="79" t="str">
        <f>IF(OR(TH!N784=TH!$X$7,O784=TH!$X$7),"x","")</f>
        <v/>
      </c>
      <c r="Y784" s="79" t="str">
        <f>IF(AND(OR(N784="131",O784="131"),H784='131-CT'!$H$9),"x","")</f>
        <v/>
      </c>
      <c r="Z784" s="79"/>
      <c r="AA784" s="79" t="str">
        <f>IF(AND(MONTH(E784)='IN-NX'!$J$5,'IN-NX'!$D$7=D784),"x","")</f>
        <v/>
      </c>
      <c r="AB784" s="79" t="str">
        <f>IF(AND(OR(LEFT(TH!N784,2)="15",LEFT(TH!O784,2)="15"),LEFT(TH!O784,3)&lt;&gt;"111",'152-CT'!$J$8=TH!F784),"x","")</f>
        <v/>
      </c>
      <c r="AC784" s="79" t="str">
        <f>IF(AND(OR(LEFT(TH!N784,2)="15",LEFT(TH!O784,2)="15"),TK!$E$7=TH!F784),"x","")</f>
        <v/>
      </c>
      <c r="AD784" s="79" t="str">
        <f>IF(AND(N784="1521",MONTH(C784)='BK-NL'!$M$11),"x","")</f>
        <v/>
      </c>
    </row>
    <row r="785" spans="1:30" ht="16.5" customHeight="1">
      <c r="A785" s="318" t="str">
        <f>IF(B785&lt;&gt;"",IF(AND(B785='IN-TC'!$S$4,OR(TH!N785="1111",TH!O785="1111")),TH!D785,""),"")</f>
        <v/>
      </c>
      <c r="B785" s="60" t="str">
        <f t="shared" ref="B785:B787" si="145">IF(C785&lt;&gt;"",MONTH(C785),"")</f>
        <v/>
      </c>
      <c r="C785" s="974"/>
      <c r="D785" s="974"/>
      <c r="E785" s="974"/>
      <c r="F785" s="975"/>
      <c r="G785" s="976"/>
      <c r="H785" s="305"/>
      <c r="I785" s="383"/>
      <c r="J785" s="977"/>
      <c r="K785" s="383"/>
      <c r="L785" s="390"/>
      <c r="M785" s="978"/>
      <c r="N785" s="979"/>
      <c r="O785" s="979"/>
      <c r="P785" s="79" t="str">
        <f>IF(AND('331-CT'!$E$7=TH!H785,OR(N785="331",O785="331")),"x","")</f>
        <v/>
      </c>
      <c r="Q785" s="79" t="str">
        <f>IF(AND(B785='111'!$L$11,OR($N785=$Q$7,$O785=$Q$7)),"x","")</f>
        <v/>
      </c>
      <c r="R785" s="79" t="str">
        <f>IF(AND($N785=$Q$7,$B785&lt;'111'!$L$11),"x","")</f>
        <v/>
      </c>
      <c r="S785" s="79" t="str">
        <f>IF(AND($O785=$Q$7,$B785&lt;'111'!$L$11),"x","")</f>
        <v/>
      </c>
      <c r="T785" s="79" t="str">
        <f>IF(ISERROR(FIND('112'!$M$9,G785,1)),"",IF((AND(FIND('112'!$M$9,G785,1)&gt;=1,B785='112'!$K$9,OR($N785='112'!$I$6,$O785='112'!$I$6))),"x",""))</f>
        <v/>
      </c>
      <c r="U785" s="79" t="str">
        <f>IF(ISERROR(FIND('112'!$M$9,G785,1)),"",IF((AND(LEFT(G785,2)=LEFT('112'!$M$9,2),B785&lt;'112'!$K$9,$N785='112'!$I$6)),"x",""))</f>
        <v/>
      </c>
      <c r="V785" s="79" t="str">
        <f>IF(ISERROR(FIND('112'!$M$9,G785,1)),"",IF((AND(RIGHT(G785,2)=RIGHT('112'!$M$9,2),B785&lt;'112'!$K$9,$O785='112'!$I$6)),"x",""))</f>
        <v/>
      </c>
      <c r="W785" s="79" t="str">
        <f>IF(AND('341-CT'!$H$9=H785,OR(LEFT(N785,3)=$W$7,LEFT(O785,3)=$W$7)),"x","")</f>
        <v/>
      </c>
      <c r="X785" s="79" t="str">
        <f>IF(OR(TH!N785=TH!$X$7,O785=TH!$X$7),"x","")</f>
        <v/>
      </c>
      <c r="Y785" s="79" t="str">
        <f>IF(AND(OR(N785="131",O785="131"),H785='131-CT'!$H$9),"x","")</f>
        <v/>
      </c>
      <c r="Z785" s="79"/>
      <c r="AA785" s="79" t="str">
        <f>IF(AND(MONTH(E785)='IN-NX'!$J$5,'IN-NX'!$D$7=D785),"x","")</f>
        <v/>
      </c>
      <c r="AB785" s="79" t="str">
        <f>IF(AND(OR(LEFT(TH!N785,2)="15",LEFT(TH!O785,2)="15"),LEFT(TH!O785,3)&lt;&gt;"111",'152-CT'!$J$8=TH!F785),"x","")</f>
        <v/>
      </c>
      <c r="AC785" s="79" t="str">
        <f>IF(AND(OR(LEFT(TH!N785,2)="15",LEFT(TH!O785,2)="15"),TK!$E$7=TH!F785),"x","")</f>
        <v/>
      </c>
      <c r="AD785" s="79" t="str">
        <f>IF(AND(N785="1521",MONTH(C785)='BK-NL'!$M$11),"x","")</f>
        <v/>
      </c>
    </row>
    <row r="786" spans="1:30" ht="16.5" customHeight="1">
      <c r="A786" s="318" t="str">
        <f>IF(B786&lt;&gt;"",IF(AND(B786='IN-TC'!$S$4,OR(TH!N786="1111",TH!O786="1111")),TH!D786,""),"")</f>
        <v/>
      </c>
      <c r="B786" s="60" t="str">
        <f t="shared" si="145"/>
        <v/>
      </c>
      <c r="C786" s="974"/>
      <c r="D786" s="974"/>
      <c r="E786" s="974"/>
      <c r="F786" s="975"/>
      <c r="G786" s="976"/>
      <c r="H786" s="305"/>
      <c r="I786" s="383"/>
      <c r="J786" s="977"/>
      <c r="K786" s="383"/>
      <c r="L786" s="390"/>
      <c r="M786" s="978"/>
      <c r="N786" s="979"/>
      <c r="O786" s="979"/>
      <c r="P786" s="79" t="str">
        <f>IF(AND('331-CT'!$E$7=TH!H786,OR(N786="331",O786="331")),"x","")</f>
        <v/>
      </c>
      <c r="Q786" s="79" t="str">
        <f>IF(AND(B786='111'!$L$11,OR($N786=$Q$7,$O786=$Q$7)),"x","")</f>
        <v/>
      </c>
      <c r="R786" s="79" t="str">
        <f>IF(AND($N786=$Q$7,$B786&lt;'111'!$L$11),"x","")</f>
        <v/>
      </c>
      <c r="S786" s="79" t="str">
        <f>IF(AND($O786=$Q$7,$B786&lt;'111'!$L$11),"x","")</f>
        <v/>
      </c>
      <c r="T786" s="79" t="str">
        <f>IF(ISERROR(FIND('112'!$M$9,G786,1)),"",IF((AND(FIND('112'!$M$9,G786,1)&gt;=1,B786='112'!$K$9,OR($N786='112'!$I$6,$O786='112'!$I$6))),"x",""))</f>
        <v/>
      </c>
      <c r="U786" s="79" t="str">
        <f>IF(ISERROR(FIND('112'!$M$9,G786,1)),"",IF((AND(LEFT(G786,2)=LEFT('112'!$M$9,2),B786&lt;'112'!$K$9,$N786='112'!$I$6)),"x",""))</f>
        <v/>
      </c>
      <c r="V786" s="79" t="str">
        <f>IF(ISERROR(FIND('112'!$M$9,G786,1)),"",IF((AND(RIGHT(G786,2)=RIGHT('112'!$M$9,2),B786&lt;'112'!$K$9,$O786='112'!$I$6)),"x",""))</f>
        <v/>
      </c>
      <c r="W786" s="79" t="str">
        <f>IF(AND('341-CT'!$H$9=H786,OR(LEFT(N786,3)=$W$7,LEFT(O786,3)=$W$7)),"x","")</f>
        <v/>
      </c>
      <c r="X786" s="79" t="str">
        <f>IF(OR(TH!N786=TH!$X$7,O786=TH!$X$7),"x","")</f>
        <v/>
      </c>
      <c r="Y786" s="79" t="str">
        <f>IF(AND(OR(N786="131",O786="131"),H786='131-CT'!$H$9),"x","")</f>
        <v/>
      </c>
      <c r="Z786" s="79"/>
      <c r="AA786" s="79" t="str">
        <f>IF(AND(MONTH(E786)='IN-NX'!$J$5,'IN-NX'!$D$7=D786),"x","")</f>
        <v/>
      </c>
      <c r="AB786" s="79" t="str">
        <f>IF(AND(OR(LEFT(TH!N786,2)="15",LEFT(TH!O786,2)="15"),LEFT(TH!O786,3)&lt;&gt;"111",'152-CT'!$J$8=TH!F786),"x","")</f>
        <v/>
      </c>
      <c r="AC786" s="79" t="str">
        <f>IF(AND(OR(LEFT(TH!N786,2)="15",LEFT(TH!O786,2)="15"),TK!$E$7=TH!F786),"x","")</f>
        <v/>
      </c>
      <c r="AD786" s="79" t="str">
        <f>IF(AND(N786="1521",MONTH(C786)='BK-NL'!$M$11),"x","")</f>
        <v/>
      </c>
    </row>
    <row r="787" spans="1:30" ht="16.5" customHeight="1">
      <c r="A787" s="318" t="str">
        <f>IF(B787&lt;&gt;"",IF(AND(B787='IN-TC'!$S$4,OR(TH!N787="1111",TH!O787="1111")),TH!D787,""),"")</f>
        <v/>
      </c>
      <c r="B787" s="60" t="str">
        <f t="shared" si="145"/>
        <v/>
      </c>
      <c r="C787" s="974"/>
      <c r="D787" s="974"/>
      <c r="E787" s="974"/>
      <c r="F787" s="975"/>
      <c r="G787" s="976"/>
      <c r="H787" s="305"/>
      <c r="I787" s="383"/>
      <c r="J787" s="977"/>
      <c r="K787" s="383"/>
      <c r="L787" s="390"/>
      <c r="M787" s="978"/>
      <c r="N787" s="979"/>
      <c r="O787" s="979"/>
      <c r="P787" s="79" t="str">
        <f>IF(AND('331-CT'!$E$7=TH!H787,OR(N787="331",O787="331")),"x","")</f>
        <v/>
      </c>
      <c r="Q787" s="79" t="str">
        <f>IF(AND(B787='111'!$L$11,OR($N787=$Q$7,$O787=$Q$7)),"x","")</f>
        <v/>
      </c>
      <c r="R787" s="79" t="str">
        <f>IF(AND($N787=$Q$7,$B787&lt;'111'!$L$11),"x","")</f>
        <v/>
      </c>
      <c r="S787" s="79" t="str">
        <f>IF(AND($O787=$Q$7,$B787&lt;'111'!$L$11),"x","")</f>
        <v/>
      </c>
      <c r="T787" s="79" t="str">
        <f>IF(ISERROR(FIND('112'!$M$9,G787,1)),"",IF((AND(FIND('112'!$M$9,G787,1)&gt;=1,B787='112'!$K$9,OR($N787='112'!$I$6,$O787='112'!$I$6))),"x",""))</f>
        <v/>
      </c>
      <c r="U787" s="79" t="str">
        <f>IF(ISERROR(FIND('112'!$M$9,G787,1)),"",IF((AND(LEFT(G787,2)=LEFT('112'!$M$9,2),B787&lt;'112'!$K$9,$N787='112'!$I$6)),"x",""))</f>
        <v/>
      </c>
      <c r="V787" s="79" t="str">
        <f>IF(ISERROR(FIND('112'!$M$9,G787,1)),"",IF((AND(RIGHT(G787,2)=RIGHT('112'!$M$9,2),B787&lt;'112'!$K$9,$O787='112'!$I$6)),"x",""))</f>
        <v/>
      </c>
      <c r="W787" s="79" t="str">
        <f>IF(AND('341-CT'!$H$9=H787,OR(LEFT(N787,3)=$W$7,LEFT(O787,3)=$W$7)),"x","")</f>
        <v/>
      </c>
      <c r="X787" s="79" t="str">
        <f>IF(OR(TH!N787=TH!$X$7,O787=TH!$X$7),"x","")</f>
        <v/>
      </c>
      <c r="Y787" s="79" t="str">
        <f>IF(AND(OR(N787="131",O787="131"),H787='131-CT'!$H$9),"x","")</f>
        <v/>
      </c>
      <c r="Z787" s="79"/>
      <c r="AA787" s="79" t="str">
        <f>IF(AND(MONTH(E787)='IN-NX'!$J$5,'IN-NX'!$D$7=D787),"x","")</f>
        <v/>
      </c>
      <c r="AB787" s="79" t="str">
        <f>IF(AND(OR(LEFT(TH!N787,2)="15",LEFT(TH!O787,2)="15"),LEFT(TH!O787,3)&lt;&gt;"111",'152-CT'!$J$8=TH!F787),"x","")</f>
        <v/>
      </c>
      <c r="AC787" s="79" t="str">
        <f>IF(AND(OR(LEFT(TH!N787,2)="15",LEFT(TH!O787,2)="15"),TK!$E$7=TH!F787),"x","")</f>
        <v/>
      </c>
      <c r="AD787" s="79" t="str">
        <f>IF(AND(N787="1521",MONTH(C787)='BK-NL'!$M$11),"x","")</f>
        <v/>
      </c>
    </row>
    <row r="788" spans="1:30" ht="16.5" customHeight="1">
      <c r="A788" s="318" t="str">
        <f>IF(B788&lt;&gt;"",IF(AND(B788='IN-TC'!$S$4,OR(TH!N788="1111",TH!O788="1111")),TH!D788,""),"")</f>
        <v/>
      </c>
      <c r="B788" s="60" t="str">
        <f t="shared" ref="B788:B790" si="146">IF(C788&lt;&gt;"",MONTH(C788),"")</f>
        <v/>
      </c>
      <c r="C788" s="974"/>
      <c r="D788" s="974"/>
      <c r="E788" s="974"/>
      <c r="F788" s="975"/>
      <c r="G788" s="976"/>
      <c r="H788" s="305"/>
      <c r="I788" s="383"/>
      <c r="J788" s="977"/>
      <c r="K788" s="383"/>
      <c r="L788" s="390"/>
      <c r="M788" s="978"/>
      <c r="N788" s="979"/>
      <c r="O788" s="979"/>
      <c r="P788" s="79" t="str">
        <f>IF(AND('331-CT'!$E$7=TH!H788,OR(N788="331",O788="331")),"x","")</f>
        <v/>
      </c>
      <c r="Q788" s="79" t="str">
        <f>IF(AND(B788='111'!$L$11,OR($N788=$Q$7,$O788=$Q$7)),"x","")</f>
        <v/>
      </c>
      <c r="R788" s="79" t="str">
        <f>IF(AND($N788=$Q$7,$B788&lt;'111'!$L$11),"x","")</f>
        <v/>
      </c>
      <c r="S788" s="79" t="str">
        <f>IF(AND($O788=$Q$7,$B788&lt;'111'!$L$11),"x","")</f>
        <v/>
      </c>
      <c r="T788" s="79" t="str">
        <f>IF(ISERROR(FIND('112'!$M$9,G788,1)),"",IF((AND(FIND('112'!$M$9,G788,1)&gt;=1,B788='112'!$K$9,OR($N788='112'!$I$6,$O788='112'!$I$6))),"x",""))</f>
        <v/>
      </c>
      <c r="U788" s="79" t="str">
        <f>IF(ISERROR(FIND('112'!$M$9,G788,1)),"",IF((AND(LEFT(G788,2)=LEFT('112'!$M$9,2),B788&lt;'112'!$K$9,$N788='112'!$I$6)),"x",""))</f>
        <v/>
      </c>
      <c r="V788" s="79" t="str">
        <f>IF(ISERROR(FIND('112'!$M$9,G788,1)),"",IF((AND(RIGHT(G788,2)=RIGHT('112'!$M$9,2),B788&lt;'112'!$K$9,$O788='112'!$I$6)),"x",""))</f>
        <v/>
      </c>
      <c r="W788" s="79" t="str">
        <f>IF(AND('341-CT'!$H$9=H788,OR(LEFT(N788,3)=$W$7,LEFT(O788,3)=$W$7)),"x","")</f>
        <v/>
      </c>
      <c r="X788" s="79" t="str">
        <f>IF(OR(TH!N788=TH!$X$7,O788=TH!$X$7),"x","")</f>
        <v/>
      </c>
      <c r="Y788" s="79" t="str">
        <f>IF(AND(OR(N788="131",O788="131"),H788='131-CT'!$H$9),"x","")</f>
        <v/>
      </c>
      <c r="Z788" s="79"/>
      <c r="AA788" s="79" t="str">
        <f>IF(AND(MONTH(E788)='IN-NX'!$J$5,'IN-NX'!$D$7=D788),"x","")</f>
        <v/>
      </c>
      <c r="AB788" s="79" t="str">
        <f>IF(AND(OR(LEFT(TH!N788,2)="15",LEFT(TH!O788,2)="15"),LEFT(TH!O788,3)&lt;&gt;"111",'152-CT'!$J$8=TH!F788),"x","")</f>
        <v/>
      </c>
      <c r="AC788" s="79" t="str">
        <f>IF(AND(OR(LEFT(TH!N788,2)="15",LEFT(TH!O788,2)="15"),TK!$E$7=TH!F788),"x","")</f>
        <v/>
      </c>
      <c r="AD788" s="79" t="str">
        <f>IF(AND(N788="1521",MONTH(C788)='BK-NL'!$M$11),"x","")</f>
        <v/>
      </c>
    </row>
    <row r="789" spans="1:30" ht="16.5" customHeight="1">
      <c r="A789" s="318" t="str">
        <f>IF(B789&lt;&gt;"",IF(AND(B789='IN-TC'!$S$4,OR(TH!N789="1111",TH!O789="1111")),TH!D789,""),"")</f>
        <v/>
      </c>
      <c r="B789" s="60" t="str">
        <f t="shared" si="146"/>
        <v/>
      </c>
      <c r="C789" s="974"/>
      <c r="D789" s="974"/>
      <c r="E789" s="974"/>
      <c r="F789" s="975"/>
      <c r="G789" s="976"/>
      <c r="H789" s="305"/>
      <c r="I789" s="383"/>
      <c r="J789" s="977"/>
      <c r="K789" s="383"/>
      <c r="L789" s="390"/>
      <c r="M789" s="978"/>
      <c r="N789" s="979"/>
      <c r="O789" s="979"/>
      <c r="P789" s="79" t="str">
        <f>IF(AND('331-CT'!$E$7=TH!H789,OR(N789="331",O789="331")),"x","")</f>
        <v/>
      </c>
      <c r="Q789" s="79" t="str">
        <f>IF(AND(B789='111'!$L$11,OR($N789=$Q$7,$O789=$Q$7)),"x","")</f>
        <v/>
      </c>
      <c r="R789" s="79" t="str">
        <f>IF(AND($N789=$Q$7,$B789&lt;'111'!$L$11),"x","")</f>
        <v/>
      </c>
      <c r="S789" s="79" t="str">
        <f>IF(AND($O789=$Q$7,$B789&lt;'111'!$L$11),"x","")</f>
        <v/>
      </c>
      <c r="T789" s="79" t="str">
        <f>IF(ISERROR(FIND('112'!$M$9,G789,1)),"",IF((AND(FIND('112'!$M$9,G789,1)&gt;=1,B789='112'!$K$9,OR($N789='112'!$I$6,$O789='112'!$I$6))),"x",""))</f>
        <v/>
      </c>
      <c r="U789" s="79" t="str">
        <f>IF(ISERROR(FIND('112'!$M$9,G789,1)),"",IF((AND(LEFT(G789,2)=LEFT('112'!$M$9,2),B789&lt;'112'!$K$9,$N789='112'!$I$6)),"x",""))</f>
        <v/>
      </c>
      <c r="V789" s="79" t="str">
        <f>IF(ISERROR(FIND('112'!$M$9,G789,1)),"",IF((AND(RIGHT(G789,2)=RIGHT('112'!$M$9,2),B789&lt;'112'!$K$9,$O789='112'!$I$6)),"x",""))</f>
        <v/>
      </c>
      <c r="W789" s="79" t="str">
        <f>IF(AND('341-CT'!$H$9=H789,OR(LEFT(N789,3)=$W$7,LEFT(O789,3)=$W$7)),"x","")</f>
        <v/>
      </c>
      <c r="X789" s="79" t="str">
        <f>IF(OR(TH!N789=TH!$X$7,O789=TH!$X$7),"x","")</f>
        <v/>
      </c>
      <c r="Y789" s="79" t="str">
        <f>IF(AND(OR(N789="131",O789="131"),H789='131-CT'!$H$9),"x","")</f>
        <v/>
      </c>
      <c r="Z789" s="79"/>
      <c r="AA789" s="79" t="str">
        <f>IF(AND(MONTH(E789)='IN-NX'!$J$5,'IN-NX'!$D$7=D789),"x","")</f>
        <v/>
      </c>
      <c r="AB789" s="79" t="str">
        <f>IF(AND(OR(LEFT(TH!N789,2)="15",LEFT(TH!O789,2)="15"),LEFT(TH!O789,3)&lt;&gt;"111",'152-CT'!$J$8=TH!F789),"x","")</f>
        <v/>
      </c>
      <c r="AC789" s="79" t="str">
        <f>IF(AND(OR(LEFT(TH!N789,2)="15",LEFT(TH!O789,2)="15"),TK!$E$7=TH!F789),"x","")</f>
        <v/>
      </c>
      <c r="AD789" s="79" t="str">
        <f>IF(AND(N789="1521",MONTH(C789)='BK-NL'!$M$11),"x","")</f>
        <v/>
      </c>
    </row>
    <row r="790" spans="1:30" ht="16.5" customHeight="1">
      <c r="A790" s="318" t="str">
        <f>IF(B790&lt;&gt;"",IF(AND(B790='IN-TC'!$S$4,OR(TH!N790="1111",TH!O790="1111")),TH!D790,""),"")</f>
        <v/>
      </c>
      <c r="B790" s="60" t="str">
        <f t="shared" si="146"/>
        <v/>
      </c>
      <c r="C790" s="974"/>
      <c r="D790" s="974"/>
      <c r="E790" s="974"/>
      <c r="F790" s="975"/>
      <c r="G790" s="976"/>
      <c r="H790" s="305"/>
      <c r="I790" s="383"/>
      <c r="J790" s="977"/>
      <c r="K790" s="383"/>
      <c r="L790" s="390"/>
      <c r="M790" s="978"/>
      <c r="N790" s="979"/>
      <c r="O790" s="979"/>
      <c r="P790" s="79" t="str">
        <f>IF(AND('331-CT'!$E$7=TH!H790,OR(N790="331",O790="331")),"x","")</f>
        <v/>
      </c>
      <c r="Q790" s="79" t="str">
        <f>IF(AND(B790='111'!$L$11,OR($N790=$Q$7,$O790=$Q$7)),"x","")</f>
        <v/>
      </c>
      <c r="R790" s="79" t="str">
        <f>IF(AND($N790=$Q$7,$B790&lt;'111'!$L$11),"x","")</f>
        <v/>
      </c>
      <c r="S790" s="79" t="str">
        <f>IF(AND($O790=$Q$7,$B790&lt;'111'!$L$11),"x","")</f>
        <v/>
      </c>
      <c r="T790" s="79" t="str">
        <f>IF(ISERROR(FIND('112'!$M$9,G790,1)),"",IF((AND(FIND('112'!$M$9,G790,1)&gt;=1,B790='112'!$K$9,OR($N790='112'!$I$6,$O790='112'!$I$6))),"x",""))</f>
        <v/>
      </c>
      <c r="U790" s="79" t="str">
        <f>IF(ISERROR(FIND('112'!$M$9,G790,1)),"",IF((AND(LEFT(G790,2)=LEFT('112'!$M$9,2),B790&lt;'112'!$K$9,$N790='112'!$I$6)),"x",""))</f>
        <v/>
      </c>
      <c r="V790" s="79" t="str">
        <f>IF(ISERROR(FIND('112'!$M$9,G790,1)),"",IF((AND(RIGHT(G790,2)=RIGHT('112'!$M$9,2),B790&lt;'112'!$K$9,$O790='112'!$I$6)),"x",""))</f>
        <v/>
      </c>
      <c r="W790" s="79" t="str">
        <f>IF(AND('341-CT'!$H$9=H790,OR(LEFT(N790,3)=$W$7,LEFT(O790,3)=$W$7)),"x","")</f>
        <v/>
      </c>
      <c r="X790" s="79" t="str">
        <f>IF(OR(TH!N790=TH!$X$7,O790=TH!$X$7),"x","")</f>
        <v/>
      </c>
      <c r="Y790" s="79" t="str">
        <f>IF(AND(OR(N790="131",O790="131"),H790='131-CT'!$H$9),"x","")</f>
        <v/>
      </c>
      <c r="Z790" s="79"/>
      <c r="AA790" s="79" t="str">
        <f>IF(AND(MONTH(E790)='IN-NX'!$J$5,'IN-NX'!$D$7=D790),"x","")</f>
        <v/>
      </c>
      <c r="AB790" s="79" t="str">
        <f>IF(AND(OR(LEFT(TH!N790,2)="15",LEFT(TH!O790,2)="15"),LEFT(TH!O790,3)&lt;&gt;"111",'152-CT'!$J$8=TH!F790),"x","")</f>
        <v/>
      </c>
      <c r="AC790" s="79" t="str">
        <f>IF(AND(OR(LEFT(TH!N790,2)="15",LEFT(TH!O790,2)="15"),TK!$E$7=TH!F790),"x","")</f>
        <v/>
      </c>
      <c r="AD790" s="79" t="str">
        <f>IF(AND(N790="1521",MONTH(C790)='BK-NL'!$M$11),"x","")</f>
        <v/>
      </c>
    </row>
    <row r="791" spans="1:30" ht="16.5" customHeight="1">
      <c r="A791" s="318" t="str">
        <f>IF(B791&lt;&gt;"",IF(AND(B791='IN-TC'!$S$4,OR(TH!N791="1111",TH!O791="1111")),TH!D791,""),"")</f>
        <v/>
      </c>
      <c r="B791" s="60" t="str">
        <f t="shared" ref="B791:B836" si="147">IF(C791&lt;&gt;"",MONTH(C791),"")</f>
        <v/>
      </c>
      <c r="C791" s="974"/>
      <c r="D791" s="974"/>
      <c r="E791" s="974"/>
      <c r="F791" s="975"/>
      <c r="G791" s="976"/>
      <c r="H791" s="305"/>
      <c r="I791" s="383"/>
      <c r="J791" s="977"/>
      <c r="K791" s="383"/>
      <c r="L791" s="390"/>
      <c r="M791" s="978"/>
      <c r="N791" s="979"/>
      <c r="O791" s="979"/>
      <c r="P791" s="79" t="str">
        <f>IF(AND('331-CT'!$E$7=TH!H791,OR(N791="331",O791="331")),"x","")</f>
        <v/>
      </c>
      <c r="Q791" s="79" t="str">
        <f>IF(AND(B791='111'!$L$11,OR($N791=$Q$7,$O791=$Q$7)),"x","")</f>
        <v/>
      </c>
      <c r="R791" s="79" t="str">
        <f>IF(AND($N791=$Q$7,$B791&lt;'111'!$L$11),"x","")</f>
        <v/>
      </c>
      <c r="S791" s="79" t="str">
        <f>IF(AND($O791=$Q$7,$B791&lt;'111'!$L$11),"x","")</f>
        <v/>
      </c>
      <c r="T791" s="79" t="str">
        <f>IF(ISERROR(FIND('112'!$M$9,G791,1)),"",IF((AND(FIND('112'!$M$9,G791,1)&gt;=1,B791='112'!$K$9,OR($N791='112'!$I$6,$O791='112'!$I$6))),"x",""))</f>
        <v/>
      </c>
      <c r="U791" s="79" t="str">
        <f>IF(ISERROR(FIND('112'!$M$9,G791,1)),"",IF((AND(LEFT(G791,2)=LEFT('112'!$M$9,2),B791&lt;'112'!$K$9,$N791='112'!$I$6)),"x",""))</f>
        <v/>
      </c>
      <c r="V791" s="79" t="str">
        <f>IF(ISERROR(FIND('112'!$M$9,G791,1)),"",IF((AND(RIGHT(G791,2)=RIGHT('112'!$M$9,2),B791&lt;'112'!$K$9,$O791='112'!$I$6)),"x",""))</f>
        <v/>
      </c>
      <c r="W791" s="79" t="str">
        <f>IF(AND('341-CT'!$H$9=H791,OR(LEFT(N791,3)=$W$7,LEFT(O791,3)=$W$7)),"x","")</f>
        <v/>
      </c>
      <c r="X791" s="79" t="str">
        <f>IF(OR(TH!N791=TH!$X$7,O791=TH!$X$7),"x","")</f>
        <v/>
      </c>
      <c r="Y791" s="79" t="str">
        <f>IF(AND(OR(N791="131",O791="131"),H791='131-CT'!$H$9),"x","")</f>
        <v/>
      </c>
      <c r="Z791" s="79"/>
      <c r="AA791" s="79" t="str">
        <f>IF(AND(MONTH(E791)='IN-NX'!$J$5,'IN-NX'!$D$7=D791),"x","")</f>
        <v/>
      </c>
      <c r="AB791" s="79" t="str">
        <f>IF(AND(OR(LEFT(TH!N791,2)="15",LEFT(TH!O791,2)="15"),LEFT(TH!O791,3)&lt;&gt;"111",'152-CT'!$J$8=TH!F791),"x","")</f>
        <v/>
      </c>
      <c r="AC791" s="79" t="str">
        <f>IF(AND(OR(LEFT(TH!N791,2)="15",LEFT(TH!O791,2)="15"),TK!$E$7=TH!F791),"x","")</f>
        <v/>
      </c>
      <c r="AD791" s="79" t="str">
        <f>IF(AND(N791="1521",MONTH(C791)='BK-NL'!$M$11),"x","")</f>
        <v/>
      </c>
    </row>
    <row r="792" spans="1:30" ht="16.5" customHeight="1">
      <c r="A792" s="318" t="str">
        <f>IF(B792&lt;&gt;"",IF(AND(B792='IN-TC'!$S$4,OR(TH!N792="1111",TH!O792="1111")),TH!D792,""),"")</f>
        <v/>
      </c>
      <c r="B792" s="60" t="str">
        <f t="shared" si="147"/>
        <v/>
      </c>
      <c r="C792" s="974"/>
      <c r="D792" s="974"/>
      <c r="E792" s="974"/>
      <c r="F792" s="975"/>
      <c r="G792" s="976"/>
      <c r="H792" s="305"/>
      <c r="I792" s="383"/>
      <c r="J792" s="977"/>
      <c r="K792" s="383"/>
      <c r="L792" s="390"/>
      <c r="M792" s="978"/>
      <c r="N792" s="979"/>
      <c r="O792" s="979"/>
      <c r="P792" s="79" t="str">
        <f>IF(AND('331-CT'!$E$7=TH!H792,OR(N792="331",O792="331")),"x","")</f>
        <v/>
      </c>
      <c r="Q792" s="79" t="str">
        <f>IF(AND(B792='111'!$L$11,OR($N792=$Q$7,$O792=$Q$7)),"x","")</f>
        <v/>
      </c>
      <c r="R792" s="79" t="str">
        <f>IF(AND($N792=$Q$7,$B792&lt;'111'!$L$11),"x","")</f>
        <v/>
      </c>
      <c r="S792" s="79" t="str">
        <f>IF(AND($O792=$Q$7,$B792&lt;'111'!$L$11),"x","")</f>
        <v/>
      </c>
      <c r="T792" s="79" t="str">
        <f>IF(ISERROR(FIND('112'!$M$9,G792,1)),"",IF((AND(FIND('112'!$M$9,G792,1)&gt;=1,B792='112'!$K$9,OR($N792='112'!$I$6,$O792='112'!$I$6))),"x",""))</f>
        <v/>
      </c>
      <c r="U792" s="79" t="str">
        <f>IF(ISERROR(FIND('112'!$M$9,G792,1)),"",IF((AND(LEFT(G792,2)=LEFT('112'!$M$9,2),B792&lt;'112'!$K$9,$N792='112'!$I$6)),"x",""))</f>
        <v/>
      </c>
      <c r="V792" s="79" t="str">
        <f>IF(ISERROR(FIND('112'!$M$9,G792,1)),"",IF((AND(RIGHT(G792,2)=RIGHT('112'!$M$9,2),B792&lt;'112'!$K$9,$O792='112'!$I$6)),"x",""))</f>
        <v/>
      </c>
      <c r="W792" s="79" t="str">
        <f>IF(AND('341-CT'!$H$9=H792,OR(LEFT(N792,3)=$W$7,LEFT(O792,3)=$W$7)),"x","")</f>
        <v/>
      </c>
      <c r="X792" s="79" t="str">
        <f>IF(OR(TH!N792=TH!$X$7,O792=TH!$X$7),"x","")</f>
        <v/>
      </c>
      <c r="Y792" s="79" t="str">
        <f>IF(AND(OR(N792="131",O792="131"),H792='131-CT'!$H$9),"x","")</f>
        <v/>
      </c>
      <c r="Z792" s="79"/>
      <c r="AA792" s="79" t="str">
        <f>IF(AND(MONTH(E792)='IN-NX'!$J$5,'IN-NX'!$D$7=D792),"x","")</f>
        <v/>
      </c>
      <c r="AB792" s="79" t="str">
        <f>IF(AND(OR(LEFT(TH!N792,2)="15",LEFT(TH!O792,2)="15"),LEFT(TH!O792,3)&lt;&gt;"111",'152-CT'!$J$8=TH!F792),"x","")</f>
        <v/>
      </c>
      <c r="AC792" s="79" t="str">
        <f>IF(AND(OR(LEFT(TH!N792,2)="15",LEFT(TH!O792,2)="15"),TK!$E$7=TH!F792),"x","")</f>
        <v/>
      </c>
      <c r="AD792" s="79" t="str">
        <f>IF(AND(N792="1521",MONTH(C792)='BK-NL'!$M$11),"x","")</f>
        <v/>
      </c>
    </row>
    <row r="793" spans="1:30" ht="16.5" customHeight="1">
      <c r="A793" s="318" t="str">
        <f>IF(B793&lt;&gt;"",IF(AND(B793='IN-TC'!$S$4,OR(TH!N793="1111",TH!O793="1111")),TH!D793,""),"")</f>
        <v/>
      </c>
      <c r="B793" s="60" t="str">
        <f t="shared" si="147"/>
        <v/>
      </c>
      <c r="C793" s="974"/>
      <c r="D793" s="974"/>
      <c r="E793" s="974"/>
      <c r="F793" s="975"/>
      <c r="G793" s="976"/>
      <c r="H793" s="305"/>
      <c r="I793" s="383"/>
      <c r="J793" s="977"/>
      <c r="K793" s="383"/>
      <c r="L793" s="390"/>
      <c r="M793" s="978"/>
      <c r="N793" s="979"/>
      <c r="O793" s="979"/>
      <c r="P793" s="79" t="str">
        <f>IF(AND('331-CT'!$E$7=TH!H793,OR(N793="331",O793="331")),"x","")</f>
        <v/>
      </c>
      <c r="Q793" s="79" t="str">
        <f>IF(AND(B793='111'!$L$11,OR($N793=$Q$7,$O793=$Q$7)),"x","")</f>
        <v/>
      </c>
      <c r="R793" s="79" t="str">
        <f>IF(AND($N793=$Q$7,$B793&lt;'111'!$L$11),"x","")</f>
        <v/>
      </c>
      <c r="S793" s="79" t="str">
        <f>IF(AND($O793=$Q$7,$B793&lt;'111'!$L$11),"x","")</f>
        <v/>
      </c>
      <c r="T793" s="79" t="str">
        <f>IF(ISERROR(FIND('112'!$M$9,G793,1)),"",IF((AND(FIND('112'!$M$9,G793,1)&gt;=1,B793='112'!$K$9,OR($N793='112'!$I$6,$O793='112'!$I$6))),"x",""))</f>
        <v/>
      </c>
      <c r="U793" s="79" t="str">
        <f>IF(ISERROR(FIND('112'!$M$9,G793,1)),"",IF((AND(LEFT(G793,2)=LEFT('112'!$M$9,2),B793&lt;'112'!$K$9,$N793='112'!$I$6)),"x",""))</f>
        <v/>
      </c>
      <c r="V793" s="79" t="str">
        <f>IF(ISERROR(FIND('112'!$M$9,G793,1)),"",IF((AND(RIGHT(G793,2)=RIGHT('112'!$M$9,2),B793&lt;'112'!$K$9,$O793='112'!$I$6)),"x",""))</f>
        <v/>
      </c>
      <c r="W793" s="79" t="str">
        <f>IF(AND('341-CT'!$H$9=H793,OR(LEFT(N793,3)=$W$7,LEFT(O793,3)=$W$7)),"x","")</f>
        <v/>
      </c>
      <c r="X793" s="79" t="str">
        <f>IF(OR(TH!N793=TH!$X$7,O793=TH!$X$7),"x","")</f>
        <v/>
      </c>
      <c r="Y793" s="79" t="str">
        <f>IF(AND(OR(N793="131",O793="131"),H793='131-CT'!$H$9),"x","")</f>
        <v/>
      </c>
      <c r="Z793" s="79"/>
      <c r="AA793" s="79" t="str">
        <f>IF(AND(MONTH(E793)='IN-NX'!$J$5,'IN-NX'!$D$7=D793),"x","")</f>
        <v/>
      </c>
      <c r="AB793" s="79" t="str">
        <f>IF(AND(OR(LEFT(TH!N793,2)="15",LEFT(TH!O793,2)="15"),LEFT(TH!O793,3)&lt;&gt;"111",'152-CT'!$J$8=TH!F793),"x","")</f>
        <v/>
      </c>
      <c r="AC793" s="79" t="str">
        <f>IF(AND(OR(LEFT(TH!N793,2)="15",LEFT(TH!O793,2)="15"),TK!$E$7=TH!F793),"x","")</f>
        <v/>
      </c>
      <c r="AD793" s="79" t="str">
        <f>IF(AND(N793="1521",MONTH(C793)='BK-NL'!$M$11),"x","")</f>
        <v/>
      </c>
    </row>
    <row r="794" spans="1:30" ht="16.5" customHeight="1">
      <c r="A794" s="318" t="str">
        <f>IF(B794&lt;&gt;"",IF(AND(B794='IN-TC'!$S$4,OR(TH!N794="1111",TH!O794="1111")),TH!D794,""),"")</f>
        <v/>
      </c>
      <c r="B794" s="60" t="str">
        <f t="shared" si="147"/>
        <v/>
      </c>
      <c r="C794" s="974"/>
      <c r="D794" s="974"/>
      <c r="E794" s="974"/>
      <c r="F794" s="975"/>
      <c r="G794" s="976"/>
      <c r="H794" s="759"/>
      <c r="I794" s="383"/>
      <c r="J794" s="977"/>
      <c r="K794" s="383"/>
      <c r="L794" s="390"/>
      <c r="M794" s="978"/>
      <c r="N794" s="979"/>
      <c r="O794" s="979"/>
      <c r="P794" s="79" t="str">
        <f>IF(AND('331-CT'!$E$7=TH!H794,OR(N794="331",O794="331")),"x","")</f>
        <v/>
      </c>
      <c r="Q794" s="79" t="str">
        <f>IF(AND(B794='111'!$L$11,OR($N794=$Q$7,$O794=$Q$7)),"x","")</f>
        <v/>
      </c>
      <c r="R794" s="79" t="str">
        <f>IF(AND($N794=$Q$7,$B794&lt;'111'!$L$11),"x","")</f>
        <v/>
      </c>
      <c r="S794" s="79" t="str">
        <f>IF(AND($O794=$Q$7,$B794&lt;'111'!$L$11),"x","")</f>
        <v/>
      </c>
      <c r="T794" s="79" t="str">
        <f>IF(ISERROR(FIND('112'!$M$9,G794,1)),"",IF((AND(FIND('112'!$M$9,G794,1)&gt;=1,B794='112'!$K$9,OR($N794='112'!$I$6,$O794='112'!$I$6))),"x",""))</f>
        <v/>
      </c>
      <c r="U794" s="79" t="str">
        <f>IF(ISERROR(FIND('112'!$M$9,G794,1)),"",IF((AND(LEFT(G794,2)=LEFT('112'!$M$9,2),B794&lt;'112'!$K$9,$N794='112'!$I$6)),"x",""))</f>
        <v/>
      </c>
      <c r="V794" s="79" t="str">
        <f>IF(ISERROR(FIND('112'!$M$9,G794,1)),"",IF((AND(RIGHT(G794,2)=RIGHT('112'!$M$9,2),B794&lt;'112'!$K$9,$O794='112'!$I$6)),"x",""))</f>
        <v/>
      </c>
      <c r="W794" s="79" t="str">
        <f>IF(AND('341-CT'!$H$9=H794,OR(LEFT(N794,3)=$W$7,LEFT(O794,3)=$W$7)),"x","")</f>
        <v/>
      </c>
      <c r="X794" s="79" t="str">
        <f>IF(OR(TH!N794=TH!$X$7,O794=TH!$X$7),"x","")</f>
        <v/>
      </c>
      <c r="Y794" s="79" t="str">
        <f>IF(AND(OR(N794="131",O794="131"),H794='131-CT'!$H$9),"x","")</f>
        <v/>
      </c>
      <c r="Z794" s="79"/>
      <c r="AA794" s="79" t="str">
        <f>IF(AND(MONTH(E794)='IN-NX'!$J$5,'IN-NX'!$D$7=D794),"x","")</f>
        <v/>
      </c>
      <c r="AB794" s="79" t="str">
        <f>IF(AND(OR(LEFT(TH!N794,2)="15",LEFT(TH!O794,2)="15"),LEFT(TH!O794,3)&lt;&gt;"111",'152-CT'!$J$8=TH!F794),"x","")</f>
        <v/>
      </c>
      <c r="AC794" s="79" t="str">
        <f>IF(AND(OR(LEFT(TH!N794,2)="15",LEFT(TH!O794,2)="15"),TK!$E$7=TH!F794),"x","")</f>
        <v/>
      </c>
      <c r="AD794" s="79" t="str">
        <f>IF(AND(N794="1521",MONTH(C794)='BK-NL'!$M$11),"x","")</f>
        <v/>
      </c>
    </row>
    <row r="795" spans="1:30" ht="16.5" customHeight="1">
      <c r="A795" s="318" t="str">
        <f>IF(B795&lt;&gt;"",IF(AND(B795='IN-TC'!$S$4,OR(TH!N795="1111",TH!O795="1111")),TH!D795,""),"")</f>
        <v/>
      </c>
      <c r="B795" s="60" t="str">
        <f t="shared" si="147"/>
        <v/>
      </c>
      <c r="C795" s="974"/>
      <c r="D795" s="974"/>
      <c r="E795" s="974"/>
      <c r="F795" s="975"/>
      <c r="G795" s="976"/>
      <c r="H795" s="759"/>
      <c r="I795" s="383"/>
      <c r="J795" s="977"/>
      <c r="K795" s="383"/>
      <c r="L795" s="390"/>
      <c r="M795" s="978"/>
      <c r="N795" s="979"/>
      <c r="O795" s="979"/>
      <c r="P795" s="79" t="str">
        <f>IF(AND('331-CT'!$E$7=TH!H795,OR(N795="331",O795="331")),"x","")</f>
        <v/>
      </c>
      <c r="Q795" s="79" t="str">
        <f>IF(AND(B795='111'!$L$11,OR($N795=$Q$7,$O795=$Q$7)),"x","")</f>
        <v/>
      </c>
      <c r="R795" s="79" t="str">
        <f>IF(AND($N795=$Q$7,$B795&lt;'111'!$L$11),"x","")</f>
        <v/>
      </c>
      <c r="S795" s="79" t="str">
        <f>IF(AND($O795=$Q$7,$B795&lt;'111'!$L$11),"x","")</f>
        <v/>
      </c>
      <c r="T795" s="79" t="str">
        <f>IF(ISERROR(FIND('112'!$M$9,G795,1)),"",IF((AND(FIND('112'!$M$9,G795,1)&gt;=1,B795='112'!$K$9,OR($N795='112'!$I$6,$O795='112'!$I$6))),"x",""))</f>
        <v/>
      </c>
      <c r="U795" s="79" t="str">
        <f>IF(ISERROR(FIND('112'!$M$9,G795,1)),"",IF((AND(LEFT(G795,2)=LEFT('112'!$M$9,2),B795&lt;'112'!$K$9,$N795='112'!$I$6)),"x",""))</f>
        <v/>
      </c>
      <c r="V795" s="79" t="str">
        <f>IF(ISERROR(FIND('112'!$M$9,G795,1)),"",IF((AND(RIGHT(G795,2)=RIGHT('112'!$M$9,2),B795&lt;'112'!$K$9,$O795='112'!$I$6)),"x",""))</f>
        <v/>
      </c>
      <c r="W795" s="79" t="str">
        <f>IF(AND('341-CT'!$H$9=H795,OR(LEFT(N795,3)=$W$7,LEFT(O795,3)=$W$7)),"x","")</f>
        <v/>
      </c>
      <c r="X795" s="79" t="str">
        <f>IF(OR(TH!N795=TH!$X$7,O795=TH!$X$7),"x","")</f>
        <v/>
      </c>
      <c r="Y795" s="79" t="str">
        <f>IF(AND(OR(N795="131",O795="131"),H795='131-CT'!$H$9),"x","")</f>
        <v/>
      </c>
      <c r="Z795" s="79"/>
      <c r="AA795" s="79" t="str">
        <f>IF(AND(MONTH(E795)='IN-NX'!$J$5,'IN-NX'!$D$7=D795),"x","")</f>
        <v/>
      </c>
      <c r="AB795" s="79" t="str">
        <f>IF(AND(OR(LEFT(TH!N795,2)="15",LEFT(TH!O795,2)="15"),LEFT(TH!O795,3)&lt;&gt;"111",'152-CT'!$J$8=TH!F795),"x","")</f>
        <v/>
      </c>
      <c r="AC795" s="79" t="str">
        <f>IF(AND(OR(LEFT(TH!N795,2)="15",LEFT(TH!O795,2)="15"),TK!$E$7=TH!F795),"x","")</f>
        <v/>
      </c>
      <c r="AD795" s="79" t="str">
        <f>IF(AND(N795="1521",MONTH(C795)='BK-NL'!$M$11),"x","")</f>
        <v/>
      </c>
    </row>
    <row r="796" spans="1:30" ht="16.5" customHeight="1">
      <c r="A796" s="318" t="str">
        <f>IF(B796&lt;&gt;"",IF(AND(B796='IN-TC'!$S$4,OR(TH!N796="1111",TH!O796="1111")),TH!D796,""),"")</f>
        <v/>
      </c>
      <c r="B796" s="60" t="str">
        <f t="shared" si="147"/>
        <v/>
      </c>
      <c r="C796" s="974"/>
      <c r="D796" s="974"/>
      <c r="E796" s="974"/>
      <c r="F796" s="975"/>
      <c r="G796" s="976"/>
      <c r="H796" s="759"/>
      <c r="I796" s="383"/>
      <c r="J796" s="977"/>
      <c r="K796" s="383"/>
      <c r="L796" s="390"/>
      <c r="M796" s="978"/>
      <c r="N796" s="979"/>
      <c r="O796" s="979"/>
      <c r="P796" s="79" t="str">
        <f>IF(AND('331-CT'!$E$7=TH!H796,OR(N796="331",O796="331")),"x","")</f>
        <v/>
      </c>
      <c r="Q796" s="79" t="str">
        <f>IF(AND(B796='111'!$L$11,OR($N796=$Q$7,$O796=$Q$7)),"x","")</f>
        <v/>
      </c>
      <c r="R796" s="79" t="str">
        <f>IF(AND($N796=$Q$7,$B796&lt;'111'!$L$11),"x","")</f>
        <v/>
      </c>
      <c r="S796" s="79" t="str">
        <f>IF(AND($O796=$Q$7,$B796&lt;'111'!$L$11),"x","")</f>
        <v/>
      </c>
      <c r="T796" s="79" t="str">
        <f>IF(ISERROR(FIND('112'!$M$9,G796,1)),"",IF((AND(FIND('112'!$M$9,G796,1)&gt;=1,B796='112'!$K$9,OR($N796='112'!$I$6,$O796='112'!$I$6))),"x",""))</f>
        <v/>
      </c>
      <c r="U796" s="79" t="str">
        <f>IF(ISERROR(FIND('112'!$M$9,G796,1)),"",IF((AND(LEFT(G796,2)=LEFT('112'!$M$9,2),B796&lt;'112'!$K$9,$N796='112'!$I$6)),"x",""))</f>
        <v/>
      </c>
      <c r="V796" s="79" t="str">
        <f>IF(ISERROR(FIND('112'!$M$9,G796,1)),"",IF((AND(RIGHT(G796,2)=RIGHT('112'!$M$9,2),B796&lt;'112'!$K$9,$O796='112'!$I$6)),"x",""))</f>
        <v/>
      </c>
      <c r="W796" s="79" t="str">
        <f>IF(AND('341-CT'!$H$9=H796,OR(LEFT(N796,3)=$W$7,LEFT(O796,3)=$W$7)),"x","")</f>
        <v/>
      </c>
      <c r="X796" s="79" t="str">
        <f>IF(OR(TH!N796=TH!$X$7,O796=TH!$X$7),"x","")</f>
        <v/>
      </c>
      <c r="Y796" s="79" t="str">
        <f>IF(AND(OR(N796="131",O796="131"),H796='131-CT'!$H$9),"x","")</f>
        <v/>
      </c>
      <c r="Z796" s="79"/>
      <c r="AA796" s="79" t="str">
        <f>IF(AND(MONTH(E796)='IN-NX'!$J$5,'IN-NX'!$D$7=D796),"x","")</f>
        <v/>
      </c>
      <c r="AB796" s="79" t="str">
        <f>IF(AND(OR(LEFT(TH!N796,2)="15",LEFT(TH!O796,2)="15"),LEFT(TH!O796,3)&lt;&gt;"111",'152-CT'!$J$8=TH!F796),"x","")</f>
        <v/>
      </c>
      <c r="AC796" s="79" t="str">
        <f>IF(AND(OR(LEFT(TH!N796,2)="15",LEFT(TH!O796,2)="15"),TK!$E$7=TH!F796),"x","")</f>
        <v/>
      </c>
      <c r="AD796" s="79" t="str">
        <f>IF(AND(N796="1521",MONTH(C796)='BK-NL'!$M$11),"x","")</f>
        <v/>
      </c>
    </row>
    <row r="797" spans="1:30" ht="16.5" customHeight="1">
      <c r="A797" s="318" t="str">
        <f>IF(B797&lt;&gt;"",IF(AND(B797='IN-TC'!$S$4,OR(TH!N797="1111",TH!O797="1111")),TH!D797,""),"")</f>
        <v/>
      </c>
      <c r="B797" s="60" t="str">
        <f t="shared" si="147"/>
        <v/>
      </c>
      <c r="C797" s="974"/>
      <c r="D797" s="974"/>
      <c r="E797" s="974"/>
      <c r="F797" s="975"/>
      <c r="G797" s="976"/>
      <c r="H797" s="759"/>
      <c r="I797" s="383"/>
      <c r="J797" s="977"/>
      <c r="K797" s="383"/>
      <c r="L797" s="390"/>
      <c r="M797" s="978"/>
      <c r="N797" s="979"/>
      <c r="O797" s="979"/>
      <c r="P797" s="79" t="str">
        <f>IF(AND('331-CT'!$E$7=TH!H797,OR(N797="331",O797="331")),"x","")</f>
        <v/>
      </c>
      <c r="Q797" s="79" t="str">
        <f>IF(AND(B797='111'!$L$11,OR($N797=$Q$7,$O797=$Q$7)),"x","")</f>
        <v/>
      </c>
      <c r="R797" s="79" t="str">
        <f>IF(AND($N797=$Q$7,$B797&lt;'111'!$L$11),"x","")</f>
        <v/>
      </c>
      <c r="S797" s="79" t="str">
        <f>IF(AND($O797=$Q$7,$B797&lt;'111'!$L$11),"x","")</f>
        <v/>
      </c>
      <c r="T797" s="79" t="str">
        <f>IF(ISERROR(FIND('112'!$M$9,G797,1)),"",IF((AND(FIND('112'!$M$9,G797,1)&gt;=1,B797='112'!$K$9,OR($N797='112'!$I$6,$O797='112'!$I$6))),"x",""))</f>
        <v/>
      </c>
      <c r="U797" s="79" t="str">
        <f>IF(ISERROR(FIND('112'!$M$9,G797,1)),"",IF((AND(LEFT(G797,2)=LEFT('112'!$M$9,2),B797&lt;'112'!$K$9,$N797='112'!$I$6)),"x",""))</f>
        <v/>
      </c>
      <c r="V797" s="79" t="str">
        <f>IF(ISERROR(FIND('112'!$M$9,G797,1)),"",IF((AND(RIGHT(G797,2)=RIGHT('112'!$M$9,2),B797&lt;'112'!$K$9,$O797='112'!$I$6)),"x",""))</f>
        <v/>
      </c>
      <c r="W797" s="79" t="str">
        <f>IF(AND('341-CT'!$H$9=H797,OR(LEFT(N797,3)=$W$7,LEFT(O797,3)=$W$7)),"x","")</f>
        <v/>
      </c>
      <c r="X797" s="79" t="str">
        <f>IF(OR(TH!N797=TH!$X$7,O797=TH!$X$7),"x","")</f>
        <v/>
      </c>
      <c r="Y797" s="79" t="str">
        <f>IF(AND(OR(N797="131",O797="131"),H797='131-CT'!$H$9),"x","")</f>
        <v/>
      </c>
      <c r="Z797" s="79"/>
      <c r="AA797" s="79" t="str">
        <f>IF(AND(MONTH(E797)='IN-NX'!$J$5,'IN-NX'!$D$7=D797),"x","")</f>
        <v/>
      </c>
      <c r="AB797" s="79" t="str">
        <f>IF(AND(OR(LEFT(TH!N797,2)="15",LEFT(TH!O797,2)="15"),LEFT(TH!O797,3)&lt;&gt;"111",'152-CT'!$J$8=TH!F797),"x","")</f>
        <v/>
      </c>
      <c r="AC797" s="79" t="str">
        <f>IF(AND(OR(LEFT(TH!N797,2)="15",LEFT(TH!O797,2)="15"),TK!$E$7=TH!F797),"x","")</f>
        <v/>
      </c>
      <c r="AD797" s="79" t="str">
        <f>IF(AND(N797="1521",MONTH(C797)='BK-NL'!$M$11),"x","")</f>
        <v/>
      </c>
    </row>
    <row r="798" spans="1:30" ht="16.5" customHeight="1">
      <c r="A798" s="318" t="str">
        <f>IF(B798&lt;&gt;"",IF(AND(B798='IN-TC'!$S$4,OR(TH!N798="1111",TH!O798="1111")),TH!D798,""),"")</f>
        <v/>
      </c>
      <c r="B798" s="60" t="str">
        <f t="shared" si="147"/>
        <v/>
      </c>
      <c r="C798" s="974"/>
      <c r="D798" s="974"/>
      <c r="E798" s="974"/>
      <c r="F798" s="975"/>
      <c r="G798" s="976"/>
      <c r="H798" s="759"/>
      <c r="I798" s="383"/>
      <c r="J798" s="977"/>
      <c r="K798" s="383"/>
      <c r="L798" s="390"/>
      <c r="M798" s="978"/>
      <c r="N798" s="979"/>
      <c r="O798" s="979"/>
      <c r="P798" s="79" t="str">
        <f>IF(AND('331-CT'!$E$7=TH!H798,OR(N798="331",O798="331")),"x","")</f>
        <v/>
      </c>
      <c r="Q798" s="79" t="str">
        <f>IF(AND(B798='111'!$L$11,OR($N798=$Q$7,$O798=$Q$7)),"x","")</f>
        <v/>
      </c>
      <c r="R798" s="79" t="str">
        <f>IF(AND($N798=$Q$7,$B798&lt;'111'!$L$11),"x","")</f>
        <v/>
      </c>
      <c r="S798" s="79" t="str">
        <f>IF(AND($O798=$Q$7,$B798&lt;'111'!$L$11),"x","")</f>
        <v/>
      </c>
      <c r="T798" s="79" t="str">
        <f>IF(ISERROR(FIND('112'!$M$9,G798,1)),"",IF((AND(FIND('112'!$M$9,G798,1)&gt;=1,B798='112'!$K$9,OR($N798='112'!$I$6,$O798='112'!$I$6))),"x",""))</f>
        <v/>
      </c>
      <c r="U798" s="79" t="str">
        <f>IF(ISERROR(FIND('112'!$M$9,G798,1)),"",IF((AND(LEFT(G798,2)=LEFT('112'!$M$9,2),B798&lt;'112'!$K$9,$N798='112'!$I$6)),"x",""))</f>
        <v/>
      </c>
      <c r="V798" s="79" t="str">
        <f>IF(ISERROR(FIND('112'!$M$9,G798,1)),"",IF((AND(RIGHT(G798,2)=RIGHT('112'!$M$9,2),B798&lt;'112'!$K$9,$O798='112'!$I$6)),"x",""))</f>
        <v/>
      </c>
      <c r="W798" s="79" t="str">
        <f>IF(AND('341-CT'!$H$9=H798,OR(LEFT(N798,3)=$W$7,LEFT(O798,3)=$W$7)),"x","")</f>
        <v/>
      </c>
      <c r="X798" s="79" t="str">
        <f>IF(OR(TH!N798=TH!$X$7,O798=TH!$X$7),"x","")</f>
        <v/>
      </c>
      <c r="Y798" s="79" t="str">
        <f>IF(AND(OR(N798="131",O798="131"),H798='131-CT'!$H$9),"x","")</f>
        <v/>
      </c>
      <c r="Z798" s="79"/>
      <c r="AA798" s="79" t="str">
        <f>IF(AND(MONTH(E798)='IN-NX'!$J$5,'IN-NX'!$D$7=D798),"x","")</f>
        <v/>
      </c>
      <c r="AB798" s="79" t="str">
        <f>IF(AND(OR(LEFT(TH!N798,2)="15",LEFT(TH!O798,2)="15"),LEFT(TH!O798,3)&lt;&gt;"111",'152-CT'!$J$8=TH!F798),"x","")</f>
        <v/>
      </c>
      <c r="AC798" s="79" t="str">
        <f>IF(AND(OR(LEFT(TH!N798,2)="15",LEFT(TH!O798,2)="15"),TK!$E$7=TH!F798),"x","")</f>
        <v/>
      </c>
      <c r="AD798" s="79" t="str">
        <f>IF(AND(N798="1521",MONTH(C798)='BK-NL'!$M$11),"x","")</f>
        <v/>
      </c>
    </row>
    <row r="799" spans="1:30" ht="16.5" customHeight="1">
      <c r="A799" s="318" t="str">
        <f>IF(B799&lt;&gt;"",IF(AND(B799='IN-TC'!$S$4,OR(TH!N799="1111",TH!O799="1111")),TH!D799,""),"")</f>
        <v/>
      </c>
      <c r="B799" s="60" t="str">
        <f t="shared" si="147"/>
        <v/>
      </c>
      <c r="C799" s="974"/>
      <c r="D799" s="974"/>
      <c r="E799" s="974"/>
      <c r="F799" s="975"/>
      <c r="G799" s="976"/>
      <c r="H799" s="759"/>
      <c r="I799" s="383"/>
      <c r="J799" s="977"/>
      <c r="K799" s="383"/>
      <c r="L799" s="390"/>
      <c r="M799" s="978"/>
      <c r="N799" s="979"/>
      <c r="O799" s="979"/>
      <c r="P799" s="79" t="str">
        <f>IF(AND('331-CT'!$E$7=TH!H799,OR(N799="331",O799="331")),"x","")</f>
        <v/>
      </c>
      <c r="Q799" s="79" t="str">
        <f>IF(AND(B799='111'!$L$11,OR($N799=$Q$7,$O799=$Q$7)),"x","")</f>
        <v/>
      </c>
      <c r="R799" s="79" t="str">
        <f>IF(AND($N799=$Q$7,$B799&lt;'111'!$L$11),"x","")</f>
        <v/>
      </c>
      <c r="S799" s="79" t="str">
        <f>IF(AND($O799=$Q$7,$B799&lt;'111'!$L$11),"x","")</f>
        <v/>
      </c>
      <c r="T799" s="79" t="str">
        <f>IF(ISERROR(FIND('112'!$M$9,G799,1)),"",IF((AND(FIND('112'!$M$9,G799,1)&gt;=1,B799='112'!$K$9,OR($N799='112'!$I$6,$O799='112'!$I$6))),"x",""))</f>
        <v/>
      </c>
      <c r="U799" s="79" t="str">
        <f>IF(ISERROR(FIND('112'!$M$9,G799,1)),"",IF((AND(LEFT(G799,2)=LEFT('112'!$M$9,2),B799&lt;'112'!$K$9,$N799='112'!$I$6)),"x",""))</f>
        <v/>
      </c>
      <c r="V799" s="79" t="str">
        <f>IF(ISERROR(FIND('112'!$M$9,G799,1)),"",IF((AND(RIGHT(G799,2)=RIGHT('112'!$M$9,2),B799&lt;'112'!$K$9,$O799='112'!$I$6)),"x",""))</f>
        <v/>
      </c>
      <c r="W799" s="79" t="str">
        <f>IF(AND('341-CT'!$H$9=H799,OR(LEFT(N799,3)=$W$7,LEFT(O799,3)=$W$7)),"x","")</f>
        <v/>
      </c>
      <c r="X799" s="79" t="str">
        <f>IF(OR(TH!N799=TH!$X$7,O799=TH!$X$7),"x","")</f>
        <v/>
      </c>
      <c r="Y799" s="79" t="str">
        <f>IF(AND(OR(N799="131",O799="131"),H799='131-CT'!$H$9),"x","")</f>
        <v/>
      </c>
      <c r="Z799" s="79"/>
      <c r="AA799" s="79" t="str">
        <f>IF(AND(MONTH(E799)='IN-NX'!$J$5,'IN-NX'!$D$7=D799),"x","")</f>
        <v/>
      </c>
      <c r="AB799" s="79" t="str">
        <f>IF(AND(OR(LEFT(TH!N799,2)="15",LEFT(TH!O799,2)="15"),LEFT(TH!O799,3)&lt;&gt;"111",'152-CT'!$J$8=TH!F799),"x","")</f>
        <v/>
      </c>
      <c r="AC799" s="79" t="str">
        <f>IF(AND(OR(LEFT(TH!N799,2)="15",LEFT(TH!O799,2)="15"),TK!$E$7=TH!F799),"x","")</f>
        <v/>
      </c>
      <c r="AD799" s="79" t="str">
        <f>IF(AND(N799="1521",MONTH(C799)='BK-NL'!$M$11),"x","")</f>
        <v/>
      </c>
    </row>
    <row r="800" spans="1:30" ht="16.5" customHeight="1">
      <c r="A800" s="318" t="str">
        <f>IF(B800&lt;&gt;"",IF(AND(B800='IN-TC'!$S$4,OR(TH!N800="1111",TH!O800="1111")),TH!D800,""),"")</f>
        <v/>
      </c>
      <c r="B800" s="60" t="str">
        <f t="shared" si="147"/>
        <v/>
      </c>
      <c r="C800" s="974"/>
      <c r="D800" s="974"/>
      <c r="E800" s="974"/>
      <c r="F800" s="975"/>
      <c r="G800" s="976"/>
      <c r="H800" s="759"/>
      <c r="I800" s="383"/>
      <c r="J800" s="977"/>
      <c r="K800" s="383"/>
      <c r="L800" s="390"/>
      <c r="M800" s="978"/>
      <c r="N800" s="979"/>
      <c r="O800" s="979"/>
      <c r="P800" s="79" t="str">
        <f>IF(AND('331-CT'!$E$7=TH!H800,OR(N800="331",O800="331")),"x","")</f>
        <v/>
      </c>
      <c r="Q800" s="79" t="str">
        <f>IF(AND(B800='111'!$L$11,OR($N800=$Q$7,$O800=$Q$7)),"x","")</f>
        <v/>
      </c>
      <c r="R800" s="79" t="str">
        <f>IF(AND($N800=$Q$7,$B800&lt;'111'!$L$11),"x","")</f>
        <v/>
      </c>
      <c r="S800" s="79" t="str">
        <f>IF(AND($O800=$Q$7,$B800&lt;'111'!$L$11),"x","")</f>
        <v/>
      </c>
      <c r="T800" s="79" t="str">
        <f>IF(ISERROR(FIND('112'!$M$9,G800,1)),"",IF((AND(FIND('112'!$M$9,G800,1)&gt;=1,B800='112'!$K$9,OR($N800='112'!$I$6,$O800='112'!$I$6))),"x",""))</f>
        <v/>
      </c>
      <c r="U800" s="79" t="str">
        <f>IF(ISERROR(FIND('112'!$M$9,G800,1)),"",IF((AND(LEFT(G800,2)=LEFT('112'!$M$9,2),B800&lt;'112'!$K$9,$N800='112'!$I$6)),"x",""))</f>
        <v/>
      </c>
      <c r="V800" s="79" t="str">
        <f>IF(ISERROR(FIND('112'!$M$9,G800,1)),"",IF((AND(RIGHT(G800,2)=RIGHT('112'!$M$9,2),B800&lt;'112'!$K$9,$O800='112'!$I$6)),"x",""))</f>
        <v/>
      </c>
      <c r="W800" s="79" t="str">
        <f>IF(AND('341-CT'!$H$9=H800,OR(LEFT(N800,3)=$W$7,LEFT(O800,3)=$W$7)),"x","")</f>
        <v/>
      </c>
      <c r="X800" s="79" t="str">
        <f>IF(OR(TH!N800=TH!$X$7,O800=TH!$X$7),"x","")</f>
        <v/>
      </c>
      <c r="Y800" s="79" t="str">
        <f>IF(AND(OR(N800="131",O800="131"),H800='131-CT'!$H$9),"x","")</f>
        <v/>
      </c>
      <c r="Z800" s="79"/>
      <c r="AA800" s="79" t="str">
        <f>IF(AND(MONTH(E800)='IN-NX'!$J$5,'IN-NX'!$D$7=D800),"x","")</f>
        <v/>
      </c>
      <c r="AB800" s="79" t="str">
        <f>IF(AND(OR(LEFT(TH!N800,2)="15",LEFT(TH!O800,2)="15"),LEFT(TH!O800,3)&lt;&gt;"111",'152-CT'!$J$8=TH!F800),"x","")</f>
        <v/>
      </c>
      <c r="AC800" s="79" t="str">
        <f>IF(AND(OR(LEFT(TH!N800,2)="15",LEFT(TH!O800,2)="15"),TK!$E$7=TH!F800),"x","")</f>
        <v/>
      </c>
      <c r="AD800" s="79" t="str">
        <f>IF(AND(N800="1521",MONTH(C800)='BK-NL'!$M$11),"x","")</f>
        <v/>
      </c>
    </row>
    <row r="801" spans="1:30" ht="16.5" customHeight="1">
      <c r="A801" s="318" t="str">
        <f>IF(B801&lt;&gt;"",IF(AND(B801='IN-TC'!$S$4,OR(TH!N801="1111",TH!O801="1111")),TH!D801,""),"")</f>
        <v/>
      </c>
      <c r="B801" s="60" t="str">
        <f t="shared" si="147"/>
        <v/>
      </c>
      <c r="C801" s="974"/>
      <c r="D801" s="974"/>
      <c r="E801" s="974"/>
      <c r="F801" s="975"/>
      <c r="G801" s="976"/>
      <c r="H801" s="759"/>
      <c r="I801" s="383"/>
      <c r="J801" s="977"/>
      <c r="K801" s="383"/>
      <c r="L801" s="390"/>
      <c r="M801" s="978"/>
      <c r="N801" s="979"/>
      <c r="O801" s="979"/>
      <c r="P801" s="79" t="str">
        <f>IF(AND('331-CT'!$E$7=TH!H801,OR(N801="331",O801="331")),"x","")</f>
        <v/>
      </c>
      <c r="Q801" s="79" t="str">
        <f>IF(AND(B801='111'!$L$11,OR($N801=$Q$7,$O801=$Q$7)),"x","")</f>
        <v/>
      </c>
      <c r="R801" s="79" t="str">
        <f>IF(AND($N801=$Q$7,$B801&lt;'111'!$L$11),"x","")</f>
        <v/>
      </c>
      <c r="S801" s="79" t="str">
        <f>IF(AND($O801=$Q$7,$B801&lt;'111'!$L$11),"x","")</f>
        <v/>
      </c>
      <c r="T801" s="79" t="str">
        <f>IF(ISERROR(FIND('112'!$M$9,G801,1)),"",IF((AND(FIND('112'!$M$9,G801,1)&gt;=1,B801='112'!$K$9,OR($N801='112'!$I$6,$O801='112'!$I$6))),"x",""))</f>
        <v/>
      </c>
      <c r="U801" s="79" t="str">
        <f>IF(ISERROR(FIND('112'!$M$9,G801,1)),"",IF((AND(LEFT(G801,2)=LEFT('112'!$M$9,2),B801&lt;'112'!$K$9,$N801='112'!$I$6)),"x",""))</f>
        <v/>
      </c>
      <c r="V801" s="79" t="str">
        <f>IF(ISERROR(FIND('112'!$M$9,G801,1)),"",IF((AND(RIGHT(G801,2)=RIGHT('112'!$M$9,2),B801&lt;'112'!$K$9,$O801='112'!$I$6)),"x",""))</f>
        <v/>
      </c>
      <c r="W801" s="79" t="str">
        <f>IF(AND('341-CT'!$H$9=H801,OR(LEFT(N801,3)=$W$7,LEFT(O801,3)=$W$7)),"x","")</f>
        <v/>
      </c>
      <c r="X801" s="79" t="str">
        <f>IF(OR(TH!N801=TH!$X$7,O801=TH!$X$7),"x","")</f>
        <v/>
      </c>
      <c r="Y801" s="79" t="str">
        <f>IF(AND(OR(N801="131",O801="131"),H801='131-CT'!$H$9),"x","")</f>
        <v/>
      </c>
      <c r="Z801" s="79"/>
      <c r="AA801" s="79" t="str">
        <f>IF(AND(MONTH(E801)='IN-NX'!$J$5,'IN-NX'!$D$7=D801),"x","")</f>
        <v/>
      </c>
      <c r="AB801" s="79" t="str">
        <f>IF(AND(OR(LEFT(TH!N801,2)="15",LEFT(TH!O801,2)="15"),LEFT(TH!O801,3)&lt;&gt;"111",'152-CT'!$J$8=TH!F801),"x","")</f>
        <v/>
      </c>
      <c r="AC801" s="79" t="str">
        <f>IF(AND(OR(LEFT(TH!N801,2)="15",LEFT(TH!O801,2)="15"),TK!$E$7=TH!F801),"x","")</f>
        <v/>
      </c>
      <c r="AD801" s="79" t="str">
        <f>IF(AND(N801="1521",MONTH(C801)='BK-NL'!$M$11),"x","")</f>
        <v/>
      </c>
    </row>
    <row r="802" spans="1:30" ht="16.5" customHeight="1">
      <c r="A802" s="318" t="str">
        <f>IF(B802&lt;&gt;"",IF(AND(B802='IN-TC'!$S$4,OR(TH!N802="1111",TH!O802="1111")),TH!D802,""),"")</f>
        <v/>
      </c>
      <c r="B802" s="60" t="str">
        <f t="shared" si="147"/>
        <v/>
      </c>
      <c r="C802" s="974"/>
      <c r="D802" s="974"/>
      <c r="E802" s="974"/>
      <c r="F802" s="975"/>
      <c r="G802" s="976"/>
      <c r="H802" s="759"/>
      <c r="I802" s="383"/>
      <c r="J802" s="977"/>
      <c r="K802" s="383"/>
      <c r="L802" s="390"/>
      <c r="M802" s="978"/>
      <c r="N802" s="979"/>
      <c r="O802" s="979"/>
      <c r="P802" s="79" t="str">
        <f>IF(AND('331-CT'!$E$7=TH!H802,OR(N802="331",O802="331")),"x","")</f>
        <v/>
      </c>
      <c r="Q802" s="79" t="str">
        <f>IF(AND(B802='111'!$L$11,OR($N802=$Q$7,$O802=$Q$7)),"x","")</f>
        <v/>
      </c>
      <c r="R802" s="79" t="str">
        <f>IF(AND($N802=$Q$7,$B802&lt;'111'!$L$11),"x","")</f>
        <v/>
      </c>
      <c r="S802" s="79" t="str">
        <f>IF(AND($O802=$Q$7,$B802&lt;'111'!$L$11),"x","")</f>
        <v/>
      </c>
      <c r="T802" s="79" t="str">
        <f>IF(ISERROR(FIND('112'!$M$9,G802,1)),"",IF((AND(FIND('112'!$M$9,G802,1)&gt;=1,B802='112'!$K$9,OR($N802='112'!$I$6,$O802='112'!$I$6))),"x",""))</f>
        <v/>
      </c>
      <c r="U802" s="79" t="str">
        <f>IF(ISERROR(FIND('112'!$M$9,G802,1)),"",IF((AND(LEFT(G802,2)=LEFT('112'!$M$9,2),B802&lt;'112'!$K$9,$N802='112'!$I$6)),"x",""))</f>
        <v/>
      </c>
      <c r="V802" s="79" t="str">
        <f>IF(ISERROR(FIND('112'!$M$9,G802,1)),"",IF((AND(RIGHT(G802,2)=RIGHT('112'!$M$9,2),B802&lt;'112'!$K$9,$O802='112'!$I$6)),"x",""))</f>
        <v/>
      </c>
      <c r="W802" s="79" t="str">
        <f>IF(AND('341-CT'!$H$9=H802,OR(LEFT(N802,3)=$W$7,LEFT(O802,3)=$W$7)),"x","")</f>
        <v/>
      </c>
      <c r="X802" s="79" t="str">
        <f>IF(OR(TH!N802=TH!$X$7,O802=TH!$X$7),"x","")</f>
        <v/>
      </c>
      <c r="Y802" s="79" t="str">
        <f>IF(AND(OR(N802="131",O802="131"),H802='131-CT'!$H$9),"x","")</f>
        <v/>
      </c>
      <c r="Z802" s="79"/>
      <c r="AA802" s="79" t="str">
        <f>IF(AND(MONTH(E802)='IN-NX'!$J$5,'IN-NX'!$D$7=D802),"x","")</f>
        <v/>
      </c>
      <c r="AB802" s="79" t="str">
        <f>IF(AND(OR(LEFT(TH!N802,2)="15",LEFT(TH!O802,2)="15"),LEFT(TH!O802,3)&lt;&gt;"111",'152-CT'!$J$8=TH!F802),"x","")</f>
        <v/>
      </c>
      <c r="AC802" s="79" t="str">
        <f>IF(AND(OR(LEFT(TH!N802,2)="15",LEFT(TH!O802,2)="15"),TK!$E$7=TH!F802),"x","")</f>
        <v/>
      </c>
      <c r="AD802" s="79" t="str">
        <f>IF(AND(N802="1521",MONTH(C802)='BK-NL'!$M$11),"x","")</f>
        <v/>
      </c>
    </row>
    <row r="803" spans="1:30" ht="16.5" customHeight="1">
      <c r="A803" s="318" t="str">
        <f>IF(B803&lt;&gt;"",IF(AND(B803='IN-TC'!$S$4,OR(TH!N803="1111",TH!O803="1111")),TH!D803,""),"")</f>
        <v/>
      </c>
      <c r="B803" s="60" t="str">
        <f t="shared" si="147"/>
        <v/>
      </c>
      <c r="C803" s="974"/>
      <c r="D803" s="974"/>
      <c r="E803" s="974"/>
      <c r="F803" s="975"/>
      <c r="G803" s="976"/>
      <c r="H803" s="759"/>
      <c r="I803" s="383"/>
      <c r="J803" s="977"/>
      <c r="K803" s="383"/>
      <c r="L803" s="390"/>
      <c r="M803" s="978"/>
      <c r="N803" s="979"/>
      <c r="O803" s="979"/>
      <c r="P803" s="79" t="str">
        <f>IF(AND('331-CT'!$E$7=TH!H803,OR(N803="331",O803="331")),"x","")</f>
        <v/>
      </c>
      <c r="Q803" s="79" t="str">
        <f>IF(AND(B803='111'!$L$11,OR($N803=$Q$7,$O803=$Q$7)),"x","")</f>
        <v/>
      </c>
      <c r="R803" s="79" t="str">
        <f>IF(AND($N803=$Q$7,$B803&lt;'111'!$L$11),"x","")</f>
        <v/>
      </c>
      <c r="S803" s="79" t="str">
        <f>IF(AND($O803=$Q$7,$B803&lt;'111'!$L$11),"x","")</f>
        <v/>
      </c>
      <c r="T803" s="79" t="str">
        <f>IF(ISERROR(FIND('112'!$M$9,G803,1)),"",IF((AND(FIND('112'!$M$9,G803,1)&gt;=1,B803='112'!$K$9,OR($N803='112'!$I$6,$O803='112'!$I$6))),"x",""))</f>
        <v/>
      </c>
      <c r="U803" s="79" t="str">
        <f>IF(ISERROR(FIND('112'!$M$9,G803,1)),"",IF((AND(LEFT(G803,2)=LEFT('112'!$M$9,2),B803&lt;'112'!$K$9,$N803='112'!$I$6)),"x",""))</f>
        <v/>
      </c>
      <c r="V803" s="79" t="str">
        <f>IF(ISERROR(FIND('112'!$M$9,G803,1)),"",IF((AND(RIGHT(G803,2)=RIGHT('112'!$M$9,2),B803&lt;'112'!$K$9,$O803='112'!$I$6)),"x",""))</f>
        <v/>
      </c>
      <c r="W803" s="79" t="str">
        <f>IF(AND('341-CT'!$H$9=H803,OR(LEFT(N803,3)=$W$7,LEFT(O803,3)=$W$7)),"x","")</f>
        <v/>
      </c>
      <c r="X803" s="79" t="str">
        <f>IF(OR(TH!N803=TH!$X$7,O803=TH!$X$7),"x","")</f>
        <v/>
      </c>
      <c r="Y803" s="79" t="str">
        <f>IF(AND(OR(N803="131",O803="131"),H803='131-CT'!$H$9),"x","")</f>
        <v/>
      </c>
      <c r="Z803" s="79"/>
      <c r="AA803" s="79" t="str">
        <f>IF(AND(MONTH(E803)='IN-NX'!$J$5,'IN-NX'!$D$7=D803),"x","")</f>
        <v/>
      </c>
      <c r="AB803" s="79" t="str">
        <f>IF(AND(OR(LEFT(TH!N803,2)="15",LEFT(TH!O803,2)="15"),LEFT(TH!O803,3)&lt;&gt;"111",'152-CT'!$J$8=TH!F803),"x","")</f>
        <v/>
      </c>
      <c r="AC803" s="79" t="str">
        <f>IF(AND(OR(LEFT(TH!N803,2)="15",LEFT(TH!O803,2)="15"),TK!$E$7=TH!F803),"x","")</f>
        <v/>
      </c>
      <c r="AD803" s="79" t="str">
        <f>IF(AND(N803="1521",MONTH(C803)='BK-NL'!$M$11),"x","")</f>
        <v/>
      </c>
    </row>
    <row r="804" spans="1:30" ht="16.5" customHeight="1">
      <c r="A804" s="318" t="str">
        <f>IF(B804&lt;&gt;"",IF(AND(B804='IN-TC'!$S$4,OR(TH!N804="1111",TH!O804="1111")),TH!D804,""),"")</f>
        <v/>
      </c>
      <c r="B804" s="60" t="str">
        <f t="shared" si="147"/>
        <v/>
      </c>
      <c r="C804" s="974"/>
      <c r="D804" s="974"/>
      <c r="E804" s="974"/>
      <c r="F804" s="975"/>
      <c r="G804" s="976"/>
      <c r="H804" s="759"/>
      <c r="I804" s="383"/>
      <c r="J804" s="977"/>
      <c r="K804" s="383"/>
      <c r="L804" s="390"/>
      <c r="M804" s="978"/>
      <c r="N804" s="979"/>
      <c r="O804" s="979"/>
      <c r="P804" s="79" t="str">
        <f>IF(AND('331-CT'!$E$7=TH!H804,OR(N804="331",O804="331")),"x","")</f>
        <v/>
      </c>
      <c r="Q804" s="79" t="str">
        <f>IF(AND(B804='111'!$L$11,OR($N804=$Q$7,$O804=$Q$7)),"x","")</f>
        <v/>
      </c>
      <c r="R804" s="79" t="str">
        <f>IF(AND($N804=$Q$7,$B804&lt;'111'!$L$11),"x","")</f>
        <v/>
      </c>
      <c r="S804" s="79" t="str">
        <f>IF(AND($O804=$Q$7,$B804&lt;'111'!$L$11),"x","")</f>
        <v/>
      </c>
      <c r="T804" s="79" t="str">
        <f>IF(ISERROR(FIND('112'!$M$9,G804,1)),"",IF((AND(FIND('112'!$M$9,G804,1)&gt;=1,B804='112'!$K$9,OR($N804='112'!$I$6,$O804='112'!$I$6))),"x",""))</f>
        <v/>
      </c>
      <c r="U804" s="79" t="str">
        <f>IF(ISERROR(FIND('112'!$M$9,G804,1)),"",IF((AND(LEFT(G804,2)=LEFT('112'!$M$9,2),B804&lt;'112'!$K$9,$N804='112'!$I$6)),"x",""))</f>
        <v/>
      </c>
      <c r="V804" s="79" t="str">
        <f>IF(ISERROR(FIND('112'!$M$9,G804,1)),"",IF((AND(RIGHT(G804,2)=RIGHT('112'!$M$9,2),B804&lt;'112'!$K$9,$O804='112'!$I$6)),"x",""))</f>
        <v/>
      </c>
      <c r="W804" s="79" t="str">
        <f>IF(AND('341-CT'!$H$9=H804,OR(LEFT(N804,3)=$W$7,LEFT(O804,3)=$W$7)),"x","")</f>
        <v/>
      </c>
      <c r="X804" s="79" t="str">
        <f>IF(OR(TH!N804=TH!$X$7,O804=TH!$X$7),"x","")</f>
        <v/>
      </c>
      <c r="Y804" s="79" t="str">
        <f>IF(AND(OR(N804="131",O804="131"),H804='131-CT'!$H$9),"x","")</f>
        <v/>
      </c>
      <c r="Z804" s="79"/>
      <c r="AA804" s="79" t="str">
        <f>IF(AND(MONTH(E804)='IN-NX'!$J$5,'IN-NX'!$D$7=D804),"x","")</f>
        <v/>
      </c>
      <c r="AB804" s="79" t="str">
        <f>IF(AND(OR(LEFT(TH!N804,2)="15",LEFT(TH!O804,2)="15"),LEFT(TH!O804,3)&lt;&gt;"111",'152-CT'!$J$8=TH!F804),"x","")</f>
        <v/>
      </c>
      <c r="AC804" s="79" t="str">
        <f>IF(AND(OR(LEFT(TH!N804,2)="15",LEFT(TH!O804,2)="15"),TK!$E$7=TH!F804),"x","")</f>
        <v/>
      </c>
      <c r="AD804" s="79" t="str">
        <f>IF(AND(N804="1521",MONTH(C804)='BK-NL'!$M$11),"x","")</f>
        <v/>
      </c>
    </row>
    <row r="805" spans="1:30" ht="16.5" customHeight="1">
      <c r="A805" s="318" t="str">
        <f>IF(B805&lt;&gt;"",IF(AND(B805='IN-TC'!$S$4,OR(TH!N805="1111",TH!O805="1111")),TH!D805,""),"")</f>
        <v/>
      </c>
      <c r="B805" s="60" t="str">
        <f t="shared" si="147"/>
        <v/>
      </c>
      <c r="C805" s="974"/>
      <c r="D805" s="974"/>
      <c r="E805" s="974"/>
      <c r="F805" s="975"/>
      <c r="G805" s="976"/>
      <c r="H805" s="759"/>
      <c r="I805" s="383"/>
      <c r="J805" s="977"/>
      <c r="K805" s="383"/>
      <c r="L805" s="390"/>
      <c r="M805" s="978"/>
      <c r="N805" s="979"/>
      <c r="O805" s="979"/>
      <c r="P805" s="79" t="str">
        <f>IF(AND('331-CT'!$E$7=TH!H805,OR(N805="331",O805="331")),"x","")</f>
        <v/>
      </c>
      <c r="Q805" s="79" t="str">
        <f>IF(AND(B805='111'!$L$11,OR($N805=$Q$7,$O805=$Q$7)),"x","")</f>
        <v/>
      </c>
      <c r="R805" s="79" t="str">
        <f>IF(AND($N805=$Q$7,$B805&lt;'111'!$L$11),"x","")</f>
        <v/>
      </c>
      <c r="S805" s="79" t="str">
        <f>IF(AND($O805=$Q$7,$B805&lt;'111'!$L$11),"x","")</f>
        <v/>
      </c>
      <c r="T805" s="79" t="str">
        <f>IF(ISERROR(FIND('112'!$M$9,G805,1)),"",IF((AND(FIND('112'!$M$9,G805,1)&gt;=1,B805='112'!$K$9,OR($N805='112'!$I$6,$O805='112'!$I$6))),"x",""))</f>
        <v/>
      </c>
      <c r="U805" s="79" t="str">
        <f>IF(ISERROR(FIND('112'!$M$9,G805,1)),"",IF((AND(LEFT(G805,2)=LEFT('112'!$M$9,2),B805&lt;'112'!$K$9,$N805='112'!$I$6)),"x",""))</f>
        <v/>
      </c>
      <c r="V805" s="79" t="str">
        <f>IF(ISERROR(FIND('112'!$M$9,G805,1)),"",IF((AND(RIGHT(G805,2)=RIGHT('112'!$M$9,2),B805&lt;'112'!$K$9,$O805='112'!$I$6)),"x",""))</f>
        <v/>
      </c>
      <c r="W805" s="79" t="str">
        <f>IF(AND('341-CT'!$H$9=H805,OR(LEFT(N805,3)=$W$7,LEFT(O805,3)=$W$7)),"x","")</f>
        <v/>
      </c>
      <c r="X805" s="79" t="str">
        <f>IF(OR(TH!N805=TH!$X$7,O805=TH!$X$7),"x","")</f>
        <v/>
      </c>
      <c r="Y805" s="79" t="str">
        <f>IF(AND(OR(N805="131",O805="131"),H805='131-CT'!$H$9),"x","")</f>
        <v/>
      </c>
      <c r="Z805" s="79"/>
      <c r="AA805" s="79" t="str">
        <f>IF(AND(MONTH(E805)='IN-NX'!$J$5,'IN-NX'!$D$7=D805),"x","")</f>
        <v/>
      </c>
      <c r="AB805" s="79" t="str">
        <f>IF(AND(OR(LEFT(TH!N805,2)="15",LEFT(TH!O805,2)="15"),LEFT(TH!O805,3)&lt;&gt;"111",'152-CT'!$J$8=TH!F805),"x","")</f>
        <v/>
      </c>
      <c r="AC805" s="79" t="str">
        <f>IF(AND(OR(LEFT(TH!N805,2)="15",LEFT(TH!O805,2)="15"),TK!$E$7=TH!F805),"x","")</f>
        <v/>
      </c>
      <c r="AD805" s="79" t="str">
        <f>IF(AND(N805="1521",MONTH(C805)='BK-NL'!$M$11),"x","")</f>
        <v/>
      </c>
    </row>
    <row r="806" spans="1:30" ht="16.5" customHeight="1">
      <c r="A806" s="318" t="str">
        <f>IF(B806&lt;&gt;"",IF(AND(B806='IN-TC'!$S$4,OR(TH!N806="1111",TH!O806="1111")),TH!D806,""),"")</f>
        <v/>
      </c>
      <c r="B806" s="60" t="str">
        <f t="shared" si="147"/>
        <v/>
      </c>
      <c r="C806" s="974"/>
      <c r="D806" s="974"/>
      <c r="E806" s="974"/>
      <c r="F806" s="975"/>
      <c r="G806" s="976"/>
      <c r="H806" s="759"/>
      <c r="I806" s="383"/>
      <c r="J806" s="977"/>
      <c r="K806" s="383"/>
      <c r="L806" s="390"/>
      <c r="M806" s="978"/>
      <c r="N806" s="979"/>
      <c r="O806" s="979"/>
      <c r="P806" s="79" t="str">
        <f>IF(AND('331-CT'!$E$7=TH!H806,OR(N806="331",O806="331")),"x","")</f>
        <v/>
      </c>
      <c r="Q806" s="79" t="str">
        <f>IF(AND(B806='111'!$L$11,OR($N806=$Q$7,$O806=$Q$7)),"x","")</f>
        <v/>
      </c>
      <c r="R806" s="79" t="str">
        <f>IF(AND($N806=$Q$7,$B806&lt;'111'!$L$11),"x","")</f>
        <v/>
      </c>
      <c r="S806" s="79" t="str">
        <f>IF(AND($O806=$Q$7,$B806&lt;'111'!$L$11),"x","")</f>
        <v/>
      </c>
      <c r="T806" s="79" t="str">
        <f>IF(ISERROR(FIND('112'!$M$9,G806,1)),"",IF((AND(FIND('112'!$M$9,G806,1)&gt;=1,B806='112'!$K$9,OR($N806='112'!$I$6,$O806='112'!$I$6))),"x",""))</f>
        <v/>
      </c>
      <c r="U806" s="79" t="str">
        <f>IF(ISERROR(FIND('112'!$M$9,G806,1)),"",IF((AND(LEFT(G806,2)=LEFT('112'!$M$9,2),B806&lt;'112'!$K$9,$N806='112'!$I$6)),"x",""))</f>
        <v/>
      </c>
      <c r="V806" s="79" t="str">
        <f>IF(ISERROR(FIND('112'!$M$9,G806,1)),"",IF((AND(RIGHT(G806,2)=RIGHT('112'!$M$9,2),B806&lt;'112'!$K$9,$O806='112'!$I$6)),"x",""))</f>
        <v/>
      </c>
      <c r="W806" s="79" t="str">
        <f>IF(AND('341-CT'!$H$9=H806,OR(LEFT(N806,3)=$W$7,LEFT(O806,3)=$W$7)),"x","")</f>
        <v/>
      </c>
      <c r="X806" s="79" t="str">
        <f>IF(OR(TH!N806=TH!$X$7,O806=TH!$X$7),"x","")</f>
        <v/>
      </c>
      <c r="Y806" s="79" t="str">
        <f>IF(AND(OR(N806="131",O806="131"),H806='131-CT'!$H$9),"x","")</f>
        <v/>
      </c>
      <c r="Z806" s="79"/>
      <c r="AA806" s="79" t="str">
        <f>IF(AND(MONTH(E806)='IN-NX'!$J$5,'IN-NX'!$D$7=D806),"x","")</f>
        <v/>
      </c>
      <c r="AB806" s="79" t="str">
        <f>IF(AND(OR(LEFT(TH!N806,2)="15",LEFT(TH!O806,2)="15"),LEFT(TH!O806,3)&lt;&gt;"111",'152-CT'!$J$8=TH!F806),"x","")</f>
        <v/>
      </c>
      <c r="AC806" s="79" t="str">
        <f>IF(AND(OR(LEFT(TH!N806,2)="15",LEFT(TH!O806,2)="15"),TK!$E$7=TH!F806),"x","")</f>
        <v/>
      </c>
      <c r="AD806" s="79" t="str">
        <f>IF(AND(N806="1521",MONTH(C806)='BK-NL'!$M$11),"x","")</f>
        <v/>
      </c>
    </row>
    <row r="807" spans="1:30" ht="16.5" customHeight="1">
      <c r="A807" s="318" t="str">
        <f>IF(B807&lt;&gt;"",IF(AND(B807='IN-TC'!$S$4,OR(TH!N807="1111",TH!O807="1111")),TH!D807,""),"")</f>
        <v/>
      </c>
      <c r="B807" s="60" t="str">
        <f t="shared" si="147"/>
        <v/>
      </c>
      <c r="C807" s="974"/>
      <c r="D807" s="974"/>
      <c r="E807" s="974"/>
      <c r="F807" s="975"/>
      <c r="G807" s="976"/>
      <c r="H807" s="759"/>
      <c r="I807" s="383"/>
      <c r="J807" s="977"/>
      <c r="K807" s="383"/>
      <c r="L807" s="390"/>
      <c r="M807" s="978"/>
      <c r="N807" s="979"/>
      <c r="O807" s="979"/>
      <c r="P807" s="79" t="str">
        <f>IF(AND('331-CT'!$E$7=TH!H807,OR(N807="331",O807="331")),"x","")</f>
        <v/>
      </c>
      <c r="Q807" s="79" t="str">
        <f>IF(AND(B807='111'!$L$11,OR($N807=$Q$7,$O807=$Q$7)),"x","")</f>
        <v/>
      </c>
      <c r="R807" s="79" t="str">
        <f>IF(AND($N807=$Q$7,$B807&lt;'111'!$L$11),"x","")</f>
        <v/>
      </c>
      <c r="S807" s="79" t="str">
        <f>IF(AND($O807=$Q$7,$B807&lt;'111'!$L$11),"x","")</f>
        <v/>
      </c>
      <c r="T807" s="79" t="str">
        <f>IF(ISERROR(FIND('112'!$M$9,G807,1)),"",IF((AND(FIND('112'!$M$9,G807,1)&gt;=1,B807='112'!$K$9,OR($N807='112'!$I$6,$O807='112'!$I$6))),"x",""))</f>
        <v/>
      </c>
      <c r="U807" s="79" t="str">
        <f>IF(ISERROR(FIND('112'!$M$9,G807,1)),"",IF((AND(LEFT(G807,2)=LEFT('112'!$M$9,2),B807&lt;'112'!$K$9,$N807='112'!$I$6)),"x",""))</f>
        <v/>
      </c>
      <c r="V807" s="79" t="str">
        <f>IF(ISERROR(FIND('112'!$M$9,G807,1)),"",IF((AND(RIGHT(G807,2)=RIGHT('112'!$M$9,2),B807&lt;'112'!$K$9,$O807='112'!$I$6)),"x",""))</f>
        <v/>
      </c>
      <c r="W807" s="79" t="str">
        <f>IF(AND('341-CT'!$H$9=H807,OR(LEFT(N807,3)=$W$7,LEFT(O807,3)=$W$7)),"x","")</f>
        <v/>
      </c>
      <c r="X807" s="79" t="str">
        <f>IF(OR(TH!N807=TH!$X$7,O807=TH!$X$7),"x","")</f>
        <v/>
      </c>
      <c r="Y807" s="79" t="str">
        <f>IF(AND(OR(N807="131",O807="131"),H807='131-CT'!$H$9),"x","")</f>
        <v/>
      </c>
      <c r="Z807" s="79"/>
      <c r="AA807" s="79" t="str">
        <f>IF(AND(MONTH(E807)='IN-NX'!$J$5,'IN-NX'!$D$7=D807),"x","")</f>
        <v/>
      </c>
      <c r="AB807" s="79" t="str">
        <f>IF(AND(OR(LEFT(TH!N807,2)="15",LEFT(TH!O807,2)="15"),LEFT(TH!O807,3)&lt;&gt;"111",'152-CT'!$J$8=TH!F807),"x","")</f>
        <v/>
      </c>
      <c r="AC807" s="79" t="str">
        <f>IF(AND(OR(LEFT(TH!N807,2)="15",LEFT(TH!O807,2)="15"),TK!$E$7=TH!F807),"x","")</f>
        <v/>
      </c>
      <c r="AD807" s="79" t="str">
        <f>IF(AND(N807="1521",MONTH(C807)='BK-NL'!$M$11),"x","")</f>
        <v/>
      </c>
    </row>
    <row r="808" spans="1:30" ht="16.5" customHeight="1">
      <c r="A808" s="318" t="str">
        <f>IF(B808&lt;&gt;"",IF(AND(B808='IN-TC'!$S$4,OR(TH!N808="1111",TH!O808="1111")),TH!D808,""),"")</f>
        <v/>
      </c>
      <c r="B808" s="60" t="str">
        <f t="shared" si="147"/>
        <v/>
      </c>
      <c r="C808" s="974"/>
      <c r="D808" s="974"/>
      <c r="E808" s="974"/>
      <c r="F808" s="975"/>
      <c r="G808" s="976"/>
      <c r="H808" s="759"/>
      <c r="I808" s="383"/>
      <c r="J808" s="977"/>
      <c r="K808" s="383"/>
      <c r="L808" s="390"/>
      <c r="M808" s="978"/>
      <c r="N808" s="979"/>
      <c r="O808" s="979"/>
      <c r="P808" s="79" t="str">
        <f>IF(AND('331-CT'!$E$7=TH!H808,OR(N808="331",O808="331")),"x","")</f>
        <v/>
      </c>
      <c r="Q808" s="79" t="str">
        <f>IF(AND(B808='111'!$L$11,OR($N808=$Q$7,$O808=$Q$7)),"x","")</f>
        <v/>
      </c>
      <c r="R808" s="79" t="str">
        <f>IF(AND($N808=$Q$7,$B808&lt;'111'!$L$11),"x","")</f>
        <v/>
      </c>
      <c r="S808" s="79" t="str">
        <f>IF(AND($O808=$Q$7,$B808&lt;'111'!$L$11),"x","")</f>
        <v/>
      </c>
      <c r="T808" s="79" t="str">
        <f>IF(ISERROR(FIND('112'!$M$9,G808,1)),"",IF((AND(FIND('112'!$M$9,G808,1)&gt;=1,B808='112'!$K$9,OR($N808='112'!$I$6,$O808='112'!$I$6))),"x",""))</f>
        <v/>
      </c>
      <c r="U808" s="79" t="str">
        <f>IF(ISERROR(FIND('112'!$M$9,G808,1)),"",IF((AND(LEFT(G808,2)=LEFT('112'!$M$9,2),B808&lt;'112'!$K$9,$N808='112'!$I$6)),"x",""))</f>
        <v/>
      </c>
      <c r="V808" s="79" t="str">
        <f>IF(ISERROR(FIND('112'!$M$9,G808,1)),"",IF((AND(RIGHT(G808,2)=RIGHT('112'!$M$9,2),B808&lt;'112'!$K$9,$O808='112'!$I$6)),"x",""))</f>
        <v/>
      </c>
      <c r="W808" s="79" t="str">
        <f>IF(AND('341-CT'!$H$9=H808,OR(LEFT(N808,3)=$W$7,LEFT(O808,3)=$W$7)),"x","")</f>
        <v/>
      </c>
      <c r="X808" s="79" t="str">
        <f>IF(OR(TH!N808=TH!$X$7,O808=TH!$X$7),"x","")</f>
        <v/>
      </c>
      <c r="Y808" s="79" t="str">
        <f>IF(AND(OR(N808="131",O808="131"),H808='131-CT'!$H$9),"x","")</f>
        <v/>
      </c>
      <c r="Z808" s="79"/>
      <c r="AA808" s="79" t="str">
        <f>IF(AND(MONTH(E808)='IN-NX'!$J$5,'IN-NX'!$D$7=D808),"x","")</f>
        <v/>
      </c>
      <c r="AB808" s="79" t="str">
        <f>IF(AND(OR(LEFT(TH!N808,2)="15",LEFT(TH!O808,2)="15"),LEFT(TH!O808,3)&lt;&gt;"111",'152-CT'!$J$8=TH!F808),"x","")</f>
        <v/>
      </c>
      <c r="AC808" s="79" t="str">
        <f>IF(AND(OR(LEFT(TH!N808,2)="15",LEFT(TH!O808,2)="15"),TK!$E$7=TH!F808),"x","")</f>
        <v/>
      </c>
      <c r="AD808" s="79" t="str">
        <f>IF(AND(N808="1521",MONTH(C808)='BK-NL'!$M$11),"x","")</f>
        <v/>
      </c>
    </row>
    <row r="809" spans="1:30" ht="16.5" customHeight="1">
      <c r="A809" s="318" t="str">
        <f>IF(B809&lt;&gt;"",IF(AND(B809='IN-TC'!$S$4,OR(TH!N809="1111",TH!O809="1111")),TH!D809,""),"")</f>
        <v/>
      </c>
      <c r="B809" s="60" t="str">
        <f t="shared" si="147"/>
        <v/>
      </c>
      <c r="C809" s="974"/>
      <c r="D809" s="974"/>
      <c r="E809" s="974"/>
      <c r="F809" s="975"/>
      <c r="G809" s="976"/>
      <c r="H809" s="759"/>
      <c r="I809" s="383"/>
      <c r="J809" s="977"/>
      <c r="K809" s="383"/>
      <c r="L809" s="390"/>
      <c r="M809" s="978"/>
      <c r="N809" s="979"/>
      <c r="O809" s="979"/>
      <c r="P809" s="79" t="str">
        <f>IF(AND('331-CT'!$E$7=TH!H809,OR(N809="331",O809="331")),"x","")</f>
        <v/>
      </c>
      <c r="Q809" s="79" t="str">
        <f>IF(AND(B809='111'!$L$11,OR($N809=$Q$7,$O809=$Q$7)),"x","")</f>
        <v/>
      </c>
      <c r="R809" s="79" t="str">
        <f>IF(AND($N809=$Q$7,$B809&lt;'111'!$L$11),"x","")</f>
        <v/>
      </c>
      <c r="S809" s="79" t="str">
        <f>IF(AND($O809=$Q$7,$B809&lt;'111'!$L$11),"x","")</f>
        <v/>
      </c>
      <c r="T809" s="79" t="str">
        <f>IF(ISERROR(FIND('112'!$M$9,G809,1)),"",IF((AND(FIND('112'!$M$9,G809,1)&gt;=1,B809='112'!$K$9,OR($N809='112'!$I$6,$O809='112'!$I$6))),"x",""))</f>
        <v/>
      </c>
      <c r="U809" s="79" t="str">
        <f>IF(ISERROR(FIND('112'!$M$9,G809,1)),"",IF((AND(LEFT(G809,2)=LEFT('112'!$M$9,2),B809&lt;'112'!$K$9,$N809='112'!$I$6)),"x",""))</f>
        <v/>
      </c>
      <c r="V809" s="79" t="str">
        <f>IF(ISERROR(FIND('112'!$M$9,G809,1)),"",IF((AND(RIGHT(G809,2)=RIGHT('112'!$M$9,2),B809&lt;'112'!$K$9,$O809='112'!$I$6)),"x",""))</f>
        <v/>
      </c>
      <c r="W809" s="79" t="str">
        <f>IF(AND('341-CT'!$H$9=H809,OR(LEFT(N809,3)=$W$7,LEFT(O809,3)=$W$7)),"x","")</f>
        <v/>
      </c>
      <c r="X809" s="79" t="str">
        <f>IF(OR(TH!N809=TH!$X$7,O809=TH!$X$7),"x","")</f>
        <v/>
      </c>
      <c r="Y809" s="79" t="str">
        <f>IF(AND(OR(N809="131",O809="131"),H809='131-CT'!$H$9),"x","")</f>
        <v/>
      </c>
      <c r="Z809" s="79"/>
      <c r="AA809" s="79" t="str">
        <f>IF(AND(MONTH(E809)='IN-NX'!$J$5,'IN-NX'!$D$7=D809),"x","")</f>
        <v/>
      </c>
      <c r="AB809" s="79" t="str">
        <f>IF(AND(OR(LEFT(TH!N809,2)="15",LEFT(TH!O809,2)="15"),LEFT(TH!O809,3)&lt;&gt;"111",'152-CT'!$J$8=TH!F809),"x","")</f>
        <v/>
      </c>
      <c r="AC809" s="79" t="str">
        <f>IF(AND(OR(LEFT(TH!N809,2)="15",LEFT(TH!O809,2)="15"),TK!$E$7=TH!F809),"x","")</f>
        <v/>
      </c>
      <c r="AD809" s="79" t="str">
        <f>IF(AND(N809="1521",MONTH(C809)='BK-NL'!$M$11),"x","")</f>
        <v/>
      </c>
    </row>
    <row r="810" spans="1:30" ht="16.5" customHeight="1">
      <c r="A810" s="318" t="str">
        <f>IF(B810&lt;&gt;"",IF(AND(B810='IN-TC'!$S$4,OR(TH!N810="1111",TH!O810="1111")),TH!D810,""),"")</f>
        <v/>
      </c>
      <c r="B810" s="60" t="str">
        <f t="shared" si="147"/>
        <v/>
      </c>
      <c r="C810" s="974"/>
      <c r="D810" s="974"/>
      <c r="E810" s="974"/>
      <c r="F810" s="975"/>
      <c r="G810" s="976"/>
      <c r="H810" s="759"/>
      <c r="I810" s="383"/>
      <c r="J810" s="977"/>
      <c r="K810" s="383"/>
      <c r="L810" s="390"/>
      <c r="M810" s="978"/>
      <c r="N810" s="979"/>
      <c r="O810" s="979"/>
      <c r="P810" s="79" t="str">
        <f>IF(AND('331-CT'!$E$7=TH!H810,OR(N810="331",O810="331")),"x","")</f>
        <v/>
      </c>
      <c r="Q810" s="79" t="str">
        <f>IF(AND(B810='111'!$L$11,OR($N810=$Q$7,$O810=$Q$7)),"x","")</f>
        <v/>
      </c>
      <c r="R810" s="79" t="str">
        <f>IF(AND($N810=$Q$7,$B810&lt;'111'!$L$11),"x","")</f>
        <v/>
      </c>
      <c r="S810" s="79" t="str">
        <f>IF(AND($O810=$Q$7,$B810&lt;'111'!$L$11),"x","")</f>
        <v/>
      </c>
      <c r="T810" s="79" t="str">
        <f>IF(ISERROR(FIND('112'!$M$9,G810,1)),"",IF((AND(FIND('112'!$M$9,G810,1)&gt;=1,B810='112'!$K$9,OR($N810='112'!$I$6,$O810='112'!$I$6))),"x",""))</f>
        <v/>
      </c>
      <c r="U810" s="79" t="str">
        <f>IF(ISERROR(FIND('112'!$M$9,G810,1)),"",IF((AND(LEFT(G810,2)=LEFT('112'!$M$9,2),B810&lt;'112'!$K$9,$N810='112'!$I$6)),"x",""))</f>
        <v/>
      </c>
      <c r="V810" s="79" t="str">
        <f>IF(ISERROR(FIND('112'!$M$9,G810,1)),"",IF((AND(RIGHT(G810,2)=RIGHT('112'!$M$9,2),B810&lt;'112'!$K$9,$O810='112'!$I$6)),"x",""))</f>
        <v/>
      </c>
      <c r="W810" s="79" t="str">
        <f>IF(AND('341-CT'!$H$9=H810,OR(LEFT(N810,3)=$W$7,LEFT(O810,3)=$W$7)),"x","")</f>
        <v/>
      </c>
      <c r="X810" s="79" t="str">
        <f>IF(OR(TH!N810=TH!$X$7,O810=TH!$X$7),"x","")</f>
        <v/>
      </c>
      <c r="Y810" s="79" t="str">
        <f>IF(AND(OR(N810="131",O810="131"),H810='131-CT'!$H$9),"x","")</f>
        <v/>
      </c>
      <c r="Z810" s="79"/>
      <c r="AA810" s="79" t="str">
        <f>IF(AND(MONTH(E810)='IN-NX'!$J$5,'IN-NX'!$D$7=D810),"x","")</f>
        <v/>
      </c>
      <c r="AB810" s="79" t="str">
        <f>IF(AND(OR(LEFT(TH!N810,2)="15",LEFT(TH!O810,2)="15"),LEFT(TH!O810,3)&lt;&gt;"111",'152-CT'!$J$8=TH!F810),"x","")</f>
        <v/>
      </c>
      <c r="AC810" s="79" t="str">
        <f>IF(AND(OR(LEFT(TH!N810,2)="15",LEFT(TH!O810,2)="15"),TK!$E$7=TH!F810),"x","")</f>
        <v/>
      </c>
      <c r="AD810" s="79" t="str">
        <f>IF(AND(N810="1521",MONTH(C810)='BK-NL'!$M$11),"x","")</f>
        <v/>
      </c>
    </row>
    <row r="811" spans="1:30" ht="16.5" customHeight="1">
      <c r="A811" s="318" t="str">
        <f>IF(B811&lt;&gt;"",IF(AND(B811='IN-TC'!$S$4,OR(TH!N811="1111",TH!O811="1111")),TH!D811,""),"")</f>
        <v/>
      </c>
      <c r="B811" s="60" t="str">
        <f t="shared" si="147"/>
        <v/>
      </c>
      <c r="C811" s="974"/>
      <c r="D811" s="974"/>
      <c r="E811" s="974"/>
      <c r="F811" s="975"/>
      <c r="G811" s="976"/>
      <c r="H811" s="759"/>
      <c r="I811" s="383"/>
      <c r="J811" s="977"/>
      <c r="K811" s="383"/>
      <c r="L811" s="390"/>
      <c r="M811" s="978"/>
      <c r="N811" s="979"/>
      <c r="O811" s="979"/>
      <c r="P811" s="79" t="str">
        <f>IF(AND('331-CT'!$E$7=TH!H811,OR(N811="331",O811="331")),"x","")</f>
        <v/>
      </c>
      <c r="Q811" s="79" t="str">
        <f>IF(AND(B811='111'!$L$11,OR($N811=$Q$7,$O811=$Q$7)),"x","")</f>
        <v/>
      </c>
      <c r="R811" s="79" t="str">
        <f>IF(AND($N811=$Q$7,$B811&lt;'111'!$L$11),"x","")</f>
        <v/>
      </c>
      <c r="S811" s="79" t="str">
        <f>IF(AND($O811=$Q$7,$B811&lt;'111'!$L$11),"x","")</f>
        <v/>
      </c>
      <c r="T811" s="79" t="str">
        <f>IF(ISERROR(FIND('112'!$M$9,G811,1)),"",IF((AND(FIND('112'!$M$9,G811,1)&gt;=1,B811='112'!$K$9,OR($N811='112'!$I$6,$O811='112'!$I$6))),"x",""))</f>
        <v/>
      </c>
      <c r="U811" s="79" t="str">
        <f>IF(ISERROR(FIND('112'!$M$9,G811,1)),"",IF((AND(LEFT(G811,2)=LEFT('112'!$M$9,2),B811&lt;'112'!$K$9,$N811='112'!$I$6)),"x",""))</f>
        <v/>
      </c>
      <c r="V811" s="79" t="str">
        <f>IF(ISERROR(FIND('112'!$M$9,G811,1)),"",IF((AND(RIGHT(G811,2)=RIGHT('112'!$M$9,2),B811&lt;'112'!$K$9,$O811='112'!$I$6)),"x",""))</f>
        <v/>
      </c>
      <c r="W811" s="79" t="str">
        <f>IF(AND('341-CT'!$H$9=H811,OR(LEFT(N811,3)=$W$7,LEFT(O811,3)=$W$7)),"x","")</f>
        <v/>
      </c>
      <c r="X811" s="79" t="str">
        <f>IF(OR(TH!N811=TH!$X$7,O811=TH!$X$7),"x","")</f>
        <v/>
      </c>
      <c r="Y811" s="79" t="str">
        <f>IF(AND(OR(N811="131",O811="131"),H811='131-CT'!$H$9),"x","")</f>
        <v/>
      </c>
      <c r="Z811" s="79"/>
      <c r="AA811" s="79" t="str">
        <f>IF(AND(MONTH(E811)='IN-NX'!$J$5,'IN-NX'!$D$7=D811),"x","")</f>
        <v/>
      </c>
      <c r="AB811" s="79" t="str">
        <f>IF(AND(OR(LEFT(TH!N811,2)="15",LEFT(TH!O811,2)="15"),LEFT(TH!O811,3)&lt;&gt;"111",'152-CT'!$J$8=TH!F811),"x","")</f>
        <v/>
      </c>
      <c r="AC811" s="79" t="str">
        <f>IF(AND(OR(LEFT(TH!N811,2)="15",LEFT(TH!O811,2)="15"),TK!$E$7=TH!F811),"x","")</f>
        <v/>
      </c>
      <c r="AD811" s="79" t="str">
        <f>IF(AND(N811="1521",MONTH(C811)='BK-NL'!$M$11),"x","")</f>
        <v/>
      </c>
    </row>
    <row r="812" spans="1:30" ht="16.5" customHeight="1">
      <c r="A812" s="318" t="str">
        <f>IF(B812&lt;&gt;"",IF(AND(B812='IN-TC'!$S$4,OR(TH!N812="1111",TH!O812="1111")),TH!D812,""),"")</f>
        <v/>
      </c>
      <c r="B812" s="60" t="str">
        <f t="shared" si="147"/>
        <v/>
      </c>
      <c r="C812" s="974"/>
      <c r="D812" s="974"/>
      <c r="E812" s="974"/>
      <c r="F812" s="975"/>
      <c r="G812" s="976"/>
      <c r="H812" s="759"/>
      <c r="I812" s="383"/>
      <c r="J812" s="977"/>
      <c r="K812" s="383"/>
      <c r="L812" s="390"/>
      <c r="M812" s="978"/>
      <c r="N812" s="979"/>
      <c r="O812" s="979"/>
      <c r="P812" s="79" t="str">
        <f>IF(AND('331-CT'!$E$7=TH!H812,OR(N812="331",O812="331")),"x","")</f>
        <v/>
      </c>
      <c r="Q812" s="79" t="str">
        <f>IF(AND(B812='111'!$L$11,OR($N812=$Q$7,$O812=$Q$7)),"x","")</f>
        <v/>
      </c>
      <c r="R812" s="79" t="str">
        <f>IF(AND($N812=$Q$7,$B812&lt;'111'!$L$11),"x","")</f>
        <v/>
      </c>
      <c r="S812" s="79" t="str">
        <f>IF(AND($O812=$Q$7,$B812&lt;'111'!$L$11),"x","")</f>
        <v/>
      </c>
      <c r="T812" s="79" t="str">
        <f>IF(ISERROR(FIND('112'!$M$9,G812,1)),"",IF((AND(FIND('112'!$M$9,G812,1)&gt;=1,B812='112'!$K$9,OR($N812='112'!$I$6,$O812='112'!$I$6))),"x",""))</f>
        <v/>
      </c>
      <c r="U812" s="79" t="str">
        <f>IF(ISERROR(FIND('112'!$M$9,G812,1)),"",IF((AND(LEFT(G812,2)=LEFT('112'!$M$9,2),B812&lt;'112'!$K$9,$N812='112'!$I$6)),"x",""))</f>
        <v/>
      </c>
      <c r="V812" s="79" t="str">
        <f>IF(ISERROR(FIND('112'!$M$9,G812,1)),"",IF((AND(RIGHT(G812,2)=RIGHT('112'!$M$9,2),B812&lt;'112'!$K$9,$O812='112'!$I$6)),"x",""))</f>
        <v/>
      </c>
      <c r="W812" s="79" t="str">
        <f>IF(AND('341-CT'!$H$9=H812,OR(LEFT(N812,3)=$W$7,LEFT(O812,3)=$W$7)),"x","")</f>
        <v/>
      </c>
      <c r="X812" s="79" t="str">
        <f>IF(OR(TH!N812=TH!$X$7,O812=TH!$X$7),"x","")</f>
        <v/>
      </c>
      <c r="Y812" s="79" t="str">
        <f>IF(AND(OR(N812="131",O812="131"),H812='131-CT'!$H$9),"x","")</f>
        <v/>
      </c>
      <c r="Z812" s="79"/>
      <c r="AA812" s="79" t="str">
        <f>IF(AND(MONTH(E812)='IN-NX'!$J$5,'IN-NX'!$D$7=D812),"x","")</f>
        <v/>
      </c>
      <c r="AB812" s="79" t="str">
        <f>IF(AND(OR(LEFT(TH!N812,2)="15",LEFT(TH!O812,2)="15"),LEFT(TH!O812,3)&lt;&gt;"111",'152-CT'!$J$8=TH!F812),"x","")</f>
        <v/>
      </c>
      <c r="AC812" s="79" t="str">
        <f>IF(AND(OR(LEFT(TH!N812,2)="15",LEFT(TH!O812,2)="15"),TK!$E$7=TH!F812),"x","")</f>
        <v/>
      </c>
      <c r="AD812" s="79" t="str">
        <f>IF(AND(N812="1521",MONTH(C812)='BK-NL'!$M$11),"x","")</f>
        <v/>
      </c>
    </row>
    <row r="813" spans="1:30" ht="16.5" customHeight="1">
      <c r="A813" s="318" t="str">
        <f>IF(B813&lt;&gt;"",IF(AND(B813='IN-TC'!$S$4,OR(TH!N813="1111",TH!O813="1111")),TH!D813,""),"")</f>
        <v/>
      </c>
      <c r="B813" s="60" t="str">
        <f t="shared" si="147"/>
        <v/>
      </c>
      <c r="C813" s="974"/>
      <c r="D813" s="974"/>
      <c r="E813" s="974"/>
      <c r="F813" s="975"/>
      <c r="G813" s="976"/>
      <c r="H813" s="759"/>
      <c r="I813" s="383"/>
      <c r="J813" s="977"/>
      <c r="K813" s="383"/>
      <c r="L813" s="390"/>
      <c r="M813" s="978"/>
      <c r="N813" s="979"/>
      <c r="O813" s="979"/>
      <c r="P813" s="79" t="str">
        <f>IF(AND('331-CT'!$E$7=TH!H813,OR(N813="331",O813="331")),"x","")</f>
        <v/>
      </c>
      <c r="Q813" s="79" t="str">
        <f>IF(AND(B813='111'!$L$11,OR($N813=$Q$7,$O813=$Q$7)),"x","")</f>
        <v/>
      </c>
      <c r="R813" s="79" t="str">
        <f>IF(AND($N813=$Q$7,$B813&lt;'111'!$L$11),"x","")</f>
        <v/>
      </c>
      <c r="S813" s="79" t="str">
        <f>IF(AND($O813=$Q$7,$B813&lt;'111'!$L$11),"x","")</f>
        <v/>
      </c>
      <c r="T813" s="79" t="str">
        <f>IF(ISERROR(FIND('112'!$M$9,G813,1)),"",IF((AND(FIND('112'!$M$9,G813,1)&gt;=1,B813='112'!$K$9,OR($N813='112'!$I$6,$O813='112'!$I$6))),"x",""))</f>
        <v/>
      </c>
      <c r="U813" s="79" t="str">
        <f>IF(ISERROR(FIND('112'!$M$9,G813,1)),"",IF((AND(LEFT(G813,2)=LEFT('112'!$M$9,2),B813&lt;'112'!$K$9,$N813='112'!$I$6)),"x",""))</f>
        <v/>
      </c>
      <c r="V813" s="79" t="str">
        <f>IF(ISERROR(FIND('112'!$M$9,G813,1)),"",IF((AND(RIGHT(G813,2)=RIGHT('112'!$M$9,2),B813&lt;'112'!$K$9,$O813='112'!$I$6)),"x",""))</f>
        <v/>
      </c>
      <c r="W813" s="79" t="str">
        <f>IF(AND('341-CT'!$H$9=H813,OR(LEFT(N813,3)=$W$7,LEFT(O813,3)=$W$7)),"x","")</f>
        <v/>
      </c>
      <c r="X813" s="79" t="str">
        <f>IF(OR(TH!N813=TH!$X$7,O813=TH!$X$7),"x","")</f>
        <v/>
      </c>
      <c r="Y813" s="79" t="str">
        <f>IF(AND(OR(N813="131",O813="131"),H813='131-CT'!$H$9),"x","")</f>
        <v/>
      </c>
      <c r="Z813" s="79"/>
      <c r="AA813" s="79" t="str">
        <f>IF(AND(MONTH(E813)='IN-NX'!$J$5,'IN-NX'!$D$7=D813),"x","")</f>
        <v/>
      </c>
      <c r="AB813" s="79" t="str">
        <f>IF(AND(OR(LEFT(TH!N813,2)="15",LEFT(TH!O813,2)="15"),LEFT(TH!O813,3)&lt;&gt;"111",'152-CT'!$J$8=TH!F813),"x","")</f>
        <v/>
      </c>
      <c r="AC813" s="79" t="str">
        <f>IF(AND(OR(LEFT(TH!N813,2)="15",LEFT(TH!O813,2)="15"),TK!$E$7=TH!F813),"x","")</f>
        <v/>
      </c>
      <c r="AD813" s="79" t="str">
        <f>IF(AND(N813="1521",MONTH(C813)='BK-NL'!$M$11),"x","")</f>
        <v/>
      </c>
    </row>
    <row r="814" spans="1:30" ht="16.5" customHeight="1">
      <c r="A814" s="318" t="str">
        <f>IF(B814&lt;&gt;"",IF(AND(B814='IN-TC'!$S$4,OR(TH!N814="1111",TH!O814="1111")),TH!D814,""),"")</f>
        <v/>
      </c>
      <c r="B814" s="60" t="str">
        <f t="shared" si="147"/>
        <v/>
      </c>
      <c r="C814" s="974"/>
      <c r="D814" s="974"/>
      <c r="E814" s="974"/>
      <c r="F814" s="975"/>
      <c r="G814" s="976"/>
      <c r="H814" s="77"/>
      <c r="I814" s="383"/>
      <c r="J814" s="977"/>
      <c r="K814" s="383"/>
      <c r="L814" s="390"/>
      <c r="M814" s="978"/>
      <c r="N814" s="979"/>
      <c r="O814" s="979"/>
      <c r="P814" s="79" t="str">
        <f>IF(AND('331-CT'!$E$7=TH!H814,OR(N814="331",O814="331")),"x","")</f>
        <v/>
      </c>
      <c r="Q814" s="79" t="str">
        <f>IF(AND(B814='111'!$L$11,OR($N814=$Q$7,$O814=$Q$7)),"x","")</f>
        <v/>
      </c>
      <c r="R814" s="79" t="str">
        <f>IF(AND($N814=$Q$7,$B814&lt;'111'!$L$11),"x","")</f>
        <v/>
      </c>
      <c r="S814" s="79" t="str">
        <f>IF(AND($O814=$Q$7,$B814&lt;'111'!$L$11),"x","")</f>
        <v/>
      </c>
      <c r="T814" s="79" t="str">
        <f>IF(ISERROR(FIND('112'!$M$9,G814,1)),"",IF((AND(FIND('112'!$M$9,G814,1)&gt;=1,B814='112'!$K$9,OR($N814='112'!$I$6,$O814='112'!$I$6))),"x",""))</f>
        <v/>
      </c>
      <c r="U814" s="79" t="str">
        <f>IF(ISERROR(FIND('112'!$M$9,G814,1)),"",IF((AND(LEFT(G814,2)=LEFT('112'!$M$9,2),B814&lt;'112'!$K$9,$N814='112'!$I$6)),"x",""))</f>
        <v/>
      </c>
      <c r="V814" s="79" t="str">
        <f>IF(ISERROR(FIND('112'!$M$9,G814,1)),"",IF((AND(RIGHT(G814,2)=RIGHT('112'!$M$9,2),B814&lt;'112'!$K$9,$O814='112'!$I$6)),"x",""))</f>
        <v/>
      </c>
      <c r="W814" s="79" t="str">
        <f>IF(AND('341-CT'!$H$9=H814,OR(LEFT(N814,3)=$W$7,LEFT(O814,3)=$W$7)),"x","")</f>
        <v/>
      </c>
      <c r="X814" s="79" t="str">
        <f>IF(OR(TH!N814=TH!$X$7,O814=TH!$X$7),"x","")</f>
        <v/>
      </c>
      <c r="Y814" s="79" t="str">
        <f>IF(AND(OR(N814="131",O814="131"),H814='131-CT'!$H$9),"x","")</f>
        <v/>
      </c>
      <c r="Z814" s="79"/>
      <c r="AA814" s="79" t="str">
        <f>IF(AND(MONTH(E814)='IN-NX'!$J$5,'IN-NX'!$D$7=D814),"x","")</f>
        <v/>
      </c>
      <c r="AB814" s="79" t="str">
        <f>IF(AND(OR(LEFT(TH!N814,2)="15",LEFT(TH!O814,2)="15"),LEFT(TH!O814,3)&lt;&gt;"111",'152-CT'!$J$8=TH!F814),"x","")</f>
        <v/>
      </c>
      <c r="AC814" s="79" t="str">
        <f>IF(AND(OR(LEFT(TH!N814,2)="15",LEFT(TH!O814,2)="15"),TK!$E$7=TH!F814),"x","")</f>
        <v/>
      </c>
      <c r="AD814" s="79" t="str">
        <f>IF(AND(N814="1521",MONTH(C814)='BK-NL'!$M$11),"x","")</f>
        <v/>
      </c>
    </row>
    <row r="815" spans="1:30" ht="16.5" customHeight="1">
      <c r="A815" s="318" t="str">
        <f>IF(B815&lt;&gt;"",IF(AND(B815='IN-TC'!$S$4,OR(TH!N815="1111",TH!O815="1111")),TH!D815,""),"")</f>
        <v/>
      </c>
      <c r="B815" s="60" t="str">
        <f t="shared" si="147"/>
        <v/>
      </c>
      <c r="C815" s="974"/>
      <c r="D815" s="974"/>
      <c r="E815" s="974"/>
      <c r="F815" s="975"/>
      <c r="G815" s="976"/>
      <c r="H815" s="77"/>
      <c r="I815" s="383"/>
      <c r="J815" s="977"/>
      <c r="K815" s="383"/>
      <c r="L815" s="390"/>
      <c r="M815" s="978"/>
      <c r="N815" s="979"/>
      <c r="O815" s="979"/>
      <c r="P815" s="79" t="str">
        <f>IF(AND('331-CT'!$E$7=TH!H815,OR(N815="331",O815="331")),"x","")</f>
        <v/>
      </c>
      <c r="Q815" s="79" t="str">
        <f>IF(AND(B815='111'!$L$11,OR($N815=$Q$7,$O815=$Q$7)),"x","")</f>
        <v/>
      </c>
      <c r="R815" s="79" t="str">
        <f>IF(AND($N815=$Q$7,$B815&lt;'111'!$L$11),"x","")</f>
        <v/>
      </c>
      <c r="S815" s="79" t="str">
        <f>IF(AND($O815=$Q$7,$B815&lt;'111'!$L$11),"x","")</f>
        <v/>
      </c>
      <c r="T815" s="79" t="str">
        <f>IF(ISERROR(FIND('112'!$M$9,G815,1)),"",IF((AND(FIND('112'!$M$9,G815,1)&gt;=1,B815='112'!$K$9,OR($N815='112'!$I$6,$O815='112'!$I$6))),"x",""))</f>
        <v/>
      </c>
      <c r="U815" s="79" t="str">
        <f>IF(ISERROR(FIND('112'!$M$9,G815,1)),"",IF((AND(LEFT(G815,2)=LEFT('112'!$M$9,2),B815&lt;'112'!$K$9,$N815='112'!$I$6)),"x",""))</f>
        <v/>
      </c>
      <c r="V815" s="79" t="str">
        <f>IF(ISERROR(FIND('112'!$M$9,G815,1)),"",IF((AND(RIGHT(G815,2)=RIGHT('112'!$M$9,2),B815&lt;'112'!$K$9,$O815='112'!$I$6)),"x",""))</f>
        <v/>
      </c>
      <c r="W815" s="79" t="str">
        <f>IF(AND('341-CT'!$H$9=H815,OR(LEFT(N815,3)=$W$7,LEFT(O815,3)=$W$7)),"x","")</f>
        <v/>
      </c>
      <c r="X815" s="79" t="str">
        <f>IF(OR(TH!N815=TH!$X$7,O815=TH!$X$7),"x","")</f>
        <v/>
      </c>
      <c r="Y815" s="79" t="str">
        <f>IF(AND(OR(N815="131",O815="131"),H815='131-CT'!$H$9),"x","")</f>
        <v/>
      </c>
      <c r="Z815" s="79"/>
      <c r="AA815" s="79" t="str">
        <f>IF(AND(MONTH(E815)='IN-NX'!$J$5,'IN-NX'!$D$7=D815),"x","")</f>
        <v/>
      </c>
      <c r="AB815" s="79" t="str">
        <f>IF(AND(OR(LEFT(TH!N815,2)="15",LEFT(TH!O815,2)="15"),LEFT(TH!O815,3)&lt;&gt;"111",'152-CT'!$J$8=TH!F815),"x","")</f>
        <v/>
      </c>
      <c r="AC815" s="79" t="str">
        <f>IF(AND(OR(LEFT(TH!N815,2)="15",LEFT(TH!O815,2)="15"),TK!$E$7=TH!F815),"x","")</f>
        <v/>
      </c>
      <c r="AD815" s="79" t="str">
        <f>IF(AND(N815="1521",MONTH(C815)='BK-NL'!$M$11),"x","")</f>
        <v/>
      </c>
    </row>
    <row r="816" spans="1:30" ht="16.5" customHeight="1">
      <c r="A816" s="318" t="str">
        <f>IF(B816&lt;&gt;"",IF(AND(B816='IN-TC'!$S$4,OR(TH!N816="1111",TH!O816="1111")),TH!D816,""),"")</f>
        <v/>
      </c>
      <c r="B816" s="60" t="str">
        <f t="shared" si="147"/>
        <v/>
      </c>
      <c r="C816" s="974"/>
      <c r="D816" s="974"/>
      <c r="E816" s="974"/>
      <c r="F816" s="975"/>
      <c r="G816" s="976"/>
      <c r="H816" s="77"/>
      <c r="I816" s="383"/>
      <c r="J816" s="977"/>
      <c r="K816" s="383"/>
      <c r="L816" s="390"/>
      <c r="M816" s="978"/>
      <c r="N816" s="979"/>
      <c r="O816" s="979"/>
      <c r="P816" s="79" t="str">
        <f>IF(AND('331-CT'!$E$7=TH!H816,OR(N816="331",O816="331")),"x","")</f>
        <v/>
      </c>
      <c r="Q816" s="79" t="str">
        <f>IF(AND(B816='111'!$L$11,OR($N816=$Q$7,$O816=$Q$7)),"x","")</f>
        <v/>
      </c>
      <c r="R816" s="79" t="str">
        <f>IF(AND($N816=$Q$7,$B816&lt;'111'!$L$11),"x","")</f>
        <v/>
      </c>
      <c r="S816" s="79" t="str">
        <f>IF(AND($O816=$Q$7,$B816&lt;'111'!$L$11),"x","")</f>
        <v/>
      </c>
      <c r="T816" s="79" t="str">
        <f>IF(ISERROR(FIND('112'!$M$9,G816,1)),"",IF((AND(FIND('112'!$M$9,G816,1)&gt;=1,B816='112'!$K$9,OR($N816='112'!$I$6,$O816='112'!$I$6))),"x",""))</f>
        <v/>
      </c>
      <c r="U816" s="79" t="str">
        <f>IF(ISERROR(FIND('112'!$M$9,G816,1)),"",IF((AND(LEFT(G816,2)=LEFT('112'!$M$9,2),B816&lt;'112'!$K$9,$N816='112'!$I$6)),"x",""))</f>
        <v/>
      </c>
      <c r="V816" s="79" t="str">
        <f>IF(ISERROR(FIND('112'!$M$9,G816,1)),"",IF((AND(RIGHT(G816,2)=RIGHT('112'!$M$9,2),B816&lt;'112'!$K$9,$O816='112'!$I$6)),"x",""))</f>
        <v/>
      </c>
      <c r="W816" s="79" t="str">
        <f>IF(AND('341-CT'!$H$9=H816,OR(LEFT(N816,3)=$W$7,LEFT(O816,3)=$W$7)),"x","")</f>
        <v/>
      </c>
      <c r="X816" s="79" t="str">
        <f>IF(OR(TH!N816=TH!$X$7,O816=TH!$X$7),"x","")</f>
        <v/>
      </c>
      <c r="Y816" s="79" t="str">
        <f>IF(AND(OR(N816="131",O816="131"),H816='131-CT'!$H$9),"x","")</f>
        <v/>
      </c>
      <c r="Z816" s="79"/>
      <c r="AA816" s="79" t="str">
        <f>IF(AND(MONTH(E816)='IN-NX'!$J$5,'IN-NX'!$D$7=D816),"x","")</f>
        <v/>
      </c>
      <c r="AB816" s="79" t="str">
        <f>IF(AND(OR(LEFT(TH!N816,2)="15",LEFT(TH!O816,2)="15"),LEFT(TH!O816,3)&lt;&gt;"111",'152-CT'!$J$8=TH!F816),"x","")</f>
        <v/>
      </c>
      <c r="AC816" s="79" t="str">
        <f>IF(AND(OR(LEFT(TH!N816,2)="15",LEFT(TH!O816,2)="15"),TK!$E$7=TH!F816),"x","")</f>
        <v/>
      </c>
      <c r="AD816" s="79" t="str">
        <f>IF(AND(N816="1521",MONTH(C816)='BK-NL'!$M$11),"x","")</f>
        <v/>
      </c>
    </row>
    <row r="817" spans="1:30" ht="16.5" customHeight="1">
      <c r="A817" s="318" t="str">
        <f>IF(B817&lt;&gt;"",IF(AND(B817='IN-TC'!$S$4,OR(TH!N817="1111",TH!O817="1111")),TH!D817,""),"")</f>
        <v/>
      </c>
      <c r="B817" s="60" t="str">
        <f t="shared" ref="B817:B829" si="148">IF(C817&lt;&gt;"",MONTH(C817),"")</f>
        <v/>
      </c>
      <c r="C817" s="974"/>
      <c r="D817" s="974"/>
      <c r="E817" s="974"/>
      <c r="F817" s="975"/>
      <c r="G817" s="976"/>
      <c r="H817" s="77"/>
      <c r="I817" s="383"/>
      <c r="J817" s="977"/>
      <c r="K817" s="383"/>
      <c r="L817" s="390"/>
      <c r="M817" s="978"/>
      <c r="N817" s="979"/>
      <c r="O817" s="979"/>
      <c r="P817" s="79" t="str">
        <f>IF(AND('331-CT'!$E$7=TH!H817,OR(N817="331",O817="331")),"x","")</f>
        <v/>
      </c>
      <c r="Q817" s="79" t="str">
        <f>IF(AND(B817='111'!$L$11,OR($N817=$Q$7,$O817=$Q$7)),"x","")</f>
        <v/>
      </c>
      <c r="R817" s="79" t="str">
        <f>IF(AND($N817=$Q$7,$B817&lt;'111'!$L$11),"x","")</f>
        <v/>
      </c>
      <c r="S817" s="79" t="str">
        <f>IF(AND($O817=$Q$7,$B817&lt;'111'!$L$11),"x","")</f>
        <v/>
      </c>
      <c r="T817" s="79" t="str">
        <f>IF(ISERROR(FIND('112'!$M$9,G817,1)),"",IF((AND(FIND('112'!$M$9,G817,1)&gt;=1,B817='112'!$K$9,OR($N817='112'!$I$6,$O817='112'!$I$6))),"x",""))</f>
        <v/>
      </c>
      <c r="U817" s="79" t="str">
        <f>IF(ISERROR(FIND('112'!$M$9,G817,1)),"",IF((AND(LEFT(G817,2)=LEFT('112'!$M$9,2),B817&lt;'112'!$K$9,$N817='112'!$I$6)),"x",""))</f>
        <v/>
      </c>
      <c r="V817" s="79" t="str">
        <f>IF(ISERROR(FIND('112'!$M$9,G817,1)),"",IF((AND(RIGHT(G817,2)=RIGHT('112'!$M$9,2),B817&lt;'112'!$K$9,$O817='112'!$I$6)),"x",""))</f>
        <v/>
      </c>
      <c r="W817" s="79" t="str">
        <f>IF(AND('341-CT'!$H$9=H817,OR(LEFT(N817,3)=$W$7,LEFT(O817,3)=$W$7)),"x","")</f>
        <v/>
      </c>
      <c r="X817" s="79" t="str">
        <f>IF(OR(TH!N817=TH!$X$7,O817=TH!$X$7),"x","")</f>
        <v/>
      </c>
      <c r="Y817" s="79" t="str">
        <f>IF(AND(OR(N817="131",O817="131"),H817='131-CT'!$H$9),"x","")</f>
        <v/>
      </c>
      <c r="Z817" s="79"/>
      <c r="AA817" s="79" t="str">
        <f>IF(AND(MONTH(E817)='IN-NX'!$J$5,'IN-NX'!$D$7=D817),"x","")</f>
        <v/>
      </c>
      <c r="AB817" s="79" t="str">
        <f>IF(AND(OR(LEFT(TH!N817,2)="15",LEFT(TH!O817,2)="15"),LEFT(TH!O817,3)&lt;&gt;"111",'152-CT'!$J$8=TH!F817),"x","")</f>
        <v/>
      </c>
      <c r="AC817" s="79" t="str">
        <f>IF(AND(OR(LEFT(TH!N817,2)="15",LEFT(TH!O817,2)="15"),TK!$E$7=TH!F817),"x","")</f>
        <v/>
      </c>
      <c r="AD817" s="79" t="str">
        <f>IF(AND(N817="1521",MONTH(C817)='BK-NL'!$M$11),"x","")</f>
        <v/>
      </c>
    </row>
    <row r="818" spans="1:30" ht="16.5" customHeight="1">
      <c r="A818" s="318" t="str">
        <f>IF(B818&lt;&gt;"",IF(AND(B818='IN-TC'!$S$4,OR(TH!N818="1111",TH!O818="1111")),TH!D818,""),"")</f>
        <v/>
      </c>
      <c r="B818" s="60" t="str">
        <f t="shared" si="148"/>
        <v/>
      </c>
      <c r="C818" s="974"/>
      <c r="D818" s="974"/>
      <c r="E818" s="974"/>
      <c r="F818" s="975"/>
      <c r="G818" s="976"/>
      <c r="H818" s="77"/>
      <c r="I818" s="383"/>
      <c r="J818" s="977"/>
      <c r="K818" s="383"/>
      <c r="L818" s="390"/>
      <c r="M818" s="978"/>
      <c r="N818" s="979"/>
      <c r="O818" s="979"/>
      <c r="P818" s="79" t="str">
        <f>IF(AND('331-CT'!$E$7=TH!H818,OR(N818="331",O818="331")),"x","")</f>
        <v/>
      </c>
      <c r="Q818" s="79" t="str">
        <f>IF(AND(B818='111'!$L$11,OR($N818=$Q$7,$O818=$Q$7)),"x","")</f>
        <v/>
      </c>
      <c r="R818" s="79" t="str">
        <f>IF(AND($N818=$Q$7,$B818&lt;'111'!$L$11),"x","")</f>
        <v/>
      </c>
      <c r="S818" s="79" t="str">
        <f>IF(AND($O818=$Q$7,$B818&lt;'111'!$L$11),"x","")</f>
        <v/>
      </c>
      <c r="T818" s="79" t="str">
        <f>IF(ISERROR(FIND('112'!$M$9,G818,1)),"",IF((AND(FIND('112'!$M$9,G818,1)&gt;=1,B818='112'!$K$9,OR($N818='112'!$I$6,$O818='112'!$I$6))),"x",""))</f>
        <v/>
      </c>
      <c r="U818" s="79" t="str">
        <f>IF(ISERROR(FIND('112'!$M$9,G818,1)),"",IF((AND(LEFT(G818,2)=LEFT('112'!$M$9,2),B818&lt;'112'!$K$9,$N818='112'!$I$6)),"x",""))</f>
        <v/>
      </c>
      <c r="V818" s="79" t="str">
        <f>IF(ISERROR(FIND('112'!$M$9,G818,1)),"",IF((AND(RIGHT(G818,2)=RIGHT('112'!$M$9,2),B818&lt;'112'!$K$9,$O818='112'!$I$6)),"x",""))</f>
        <v/>
      </c>
      <c r="W818" s="79" t="str">
        <f>IF(AND('341-CT'!$H$9=H818,OR(LEFT(N818,3)=$W$7,LEFT(O818,3)=$W$7)),"x","")</f>
        <v/>
      </c>
      <c r="X818" s="79" t="str">
        <f>IF(OR(TH!N818=TH!$X$7,O818=TH!$X$7),"x","")</f>
        <v/>
      </c>
      <c r="Y818" s="79" t="str">
        <f>IF(AND(OR(N818="131",O818="131"),H818='131-CT'!$H$9),"x","")</f>
        <v/>
      </c>
      <c r="Z818" s="79"/>
      <c r="AA818" s="79" t="str">
        <f>IF(AND(MONTH(E818)='IN-NX'!$J$5,'IN-NX'!$D$7=D818),"x","")</f>
        <v/>
      </c>
      <c r="AB818" s="79" t="str">
        <f>IF(AND(OR(LEFT(TH!N818,2)="15",LEFT(TH!O818,2)="15"),LEFT(TH!O818,3)&lt;&gt;"111",'152-CT'!$J$8=TH!F818),"x","")</f>
        <v/>
      </c>
      <c r="AC818" s="79" t="str">
        <f>IF(AND(OR(LEFT(TH!N818,2)="15",LEFT(TH!O818,2)="15"),TK!$E$7=TH!F818),"x","")</f>
        <v/>
      </c>
      <c r="AD818" s="79" t="str">
        <f>IF(AND(N818="1521",MONTH(C818)='BK-NL'!$M$11),"x","")</f>
        <v/>
      </c>
    </row>
    <row r="819" spans="1:30" ht="16.5" customHeight="1">
      <c r="A819" s="318" t="str">
        <f>IF(B819&lt;&gt;"",IF(AND(B819='IN-TC'!$S$4,OR(TH!N819="1111",TH!O819="1111")),TH!D819,""),"")</f>
        <v/>
      </c>
      <c r="B819" s="60" t="str">
        <f t="shared" si="148"/>
        <v/>
      </c>
      <c r="C819" s="974"/>
      <c r="D819" s="974"/>
      <c r="E819" s="974"/>
      <c r="F819" s="975"/>
      <c r="G819" s="976"/>
      <c r="H819" s="77"/>
      <c r="I819" s="383"/>
      <c r="J819" s="977"/>
      <c r="K819" s="383"/>
      <c r="L819" s="390"/>
      <c r="M819" s="978"/>
      <c r="N819" s="979"/>
      <c r="O819" s="979"/>
      <c r="P819" s="79" t="str">
        <f>IF(AND('331-CT'!$E$7=TH!H819,OR(N819="331",O819="331")),"x","")</f>
        <v/>
      </c>
      <c r="Q819" s="79" t="str">
        <f>IF(AND(B819='111'!$L$11,OR($N819=$Q$7,$O819=$Q$7)),"x","")</f>
        <v/>
      </c>
      <c r="R819" s="79" t="str">
        <f>IF(AND($N819=$Q$7,$B819&lt;'111'!$L$11),"x","")</f>
        <v/>
      </c>
      <c r="S819" s="79" t="str">
        <f>IF(AND($O819=$Q$7,$B819&lt;'111'!$L$11),"x","")</f>
        <v/>
      </c>
      <c r="T819" s="79" t="str">
        <f>IF(ISERROR(FIND('112'!$M$9,G819,1)),"",IF((AND(FIND('112'!$M$9,G819,1)&gt;=1,B819='112'!$K$9,OR($N819='112'!$I$6,$O819='112'!$I$6))),"x",""))</f>
        <v/>
      </c>
      <c r="U819" s="79" t="str">
        <f>IF(ISERROR(FIND('112'!$M$9,G819,1)),"",IF((AND(LEFT(G819,2)=LEFT('112'!$M$9,2),B819&lt;'112'!$K$9,$N819='112'!$I$6)),"x",""))</f>
        <v/>
      </c>
      <c r="V819" s="79" t="str">
        <f>IF(ISERROR(FIND('112'!$M$9,G819,1)),"",IF((AND(RIGHT(G819,2)=RIGHT('112'!$M$9,2),B819&lt;'112'!$K$9,$O819='112'!$I$6)),"x",""))</f>
        <v/>
      </c>
      <c r="W819" s="79" t="str">
        <f>IF(AND('341-CT'!$H$9=H819,OR(LEFT(N819,3)=$W$7,LEFT(O819,3)=$W$7)),"x","")</f>
        <v/>
      </c>
      <c r="X819" s="79" t="str">
        <f>IF(OR(TH!N819=TH!$X$7,O819=TH!$X$7),"x","")</f>
        <v/>
      </c>
      <c r="Y819" s="79" t="str">
        <f>IF(AND(OR(N819="131",O819="131"),H819='131-CT'!$H$9),"x","")</f>
        <v/>
      </c>
      <c r="Z819" s="79"/>
      <c r="AA819" s="79" t="str">
        <f>IF(AND(MONTH(E819)='IN-NX'!$J$5,'IN-NX'!$D$7=D819),"x","")</f>
        <v/>
      </c>
      <c r="AB819" s="79" t="str">
        <f>IF(AND(OR(LEFT(TH!N819,2)="15",LEFT(TH!O819,2)="15"),LEFT(TH!O819,3)&lt;&gt;"111",'152-CT'!$J$8=TH!F819),"x","")</f>
        <v/>
      </c>
      <c r="AC819" s="79" t="str">
        <f>IF(AND(OR(LEFT(TH!N819,2)="15",LEFT(TH!O819,2)="15"),TK!$E$7=TH!F819),"x","")</f>
        <v/>
      </c>
      <c r="AD819" s="79" t="str">
        <f>IF(AND(N819="1521",MONTH(C819)='BK-NL'!$M$11),"x","")</f>
        <v/>
      </c>
    </row>
    <row r="820" spans="1:30" ht="16.5" customHeight="1">
      <c r="A820" s="318" t="str">
        <f>IF(B820&lt;&gt;"",IF(AND(B820='IN-TC'!$S$4,OR(TH!N820="1111",TH!O820="1111")),TH!D820,""),"")</f>
        <v/>
      </c>
      <c r="B820" s="60" t="str">
        <f t="shared" ref="B820:B824" si="149">IF(C820&lt;&gt;"",MONTH(C820),"")</f>
        <v/>
      </c>
      <c r="C820" s="974"/>
      <c r="D820" s="974"/>
      <c r="E820" s="974"/>
      <c r="F820" s="975"/>
      <c r="G820" s="976"/>
      <c r="H820" s="77"/>
      <c r="I820" s="383"/>
      <c r="J820" s="977"/>
      <c r="K820" s="383"/>
      <c r="L820" s="390"/>
      <c r="M820" s="978"/>
      <c r="N820" s="979"/>
      <c r="O820" s="979"/>
      <c r="P820" s="79" t="str">
        <f>IF(AND('331-CT'!$E$7=TH!H820,OR(N820="331",O820="331")),"x","")</f>
        <v/>
      </c>
      <c r="Q820" s="79" t="str">
        <f>IF(AND(B820='111'!$L$11,OR($N820=$Q$7,$O820=$Q$7)),"x","")</f>
        <v/>
      </c>
      <c r="R820" s="79" t="str">
        <f>IF(AND($N820=$Q$7,$B820&lt;'111'!$L$11),"x","")</f>
        <v/>
      </c>
      <c r="S820" s="79" t="str">
        <f>IF(AND($O820=$Q$7,$B820&lt;'111'!$L$11),"x","")</f>
        <v/>
      </c>
      <c r="T820" s="79" t="str">
        <f>IF(ISERROR(FIND('112'!$M$9,G820,1)),"",IF((AND(FIND('112'!$M$9,G820,1)&gt;=1,B820='112'!$K$9,OR($N820='112'!$I$6,$O820='112'!$I$6))),"x",""))</f>
        <v/>
      </c>
      <c r="U820" s="79" t="str">
        <f>IF(ISERROR(FIND('112'!$M$9,G820,1)),"",IF((AND(LEFT(G820,2)=LEFT('112'!$M$9,2),B820&lt;'112'!$K$9,$N820='112'!$I$6)),"x",""))</f>
        <v/>
      </c>
      <c r="V820" s="79" t="str">
        <f>IF(ISERROR(FIND('112'!$M$9,G820,1)),"",IF((AND(RIGHT(G820,2)=RIGHT('112'!$M$9,2),B820&lt;'112'!$K$9,$O820='112'!$I$6)),"x",""))</f>
        <v/>
      </c>
      <c r="W820" s="79" t="str">
        <f>IF(AND('341-CT'!$H$9=H820,OR(LEFT(N820,3)=$W$7,LEFT(O820,3)=$W$7)),"x","")</f>
        <v/>
      </c>
      <c r="X820" s="79" t="str">
        <f>IF(OR(TH!N820=TH!$X$7,O820=TH!$X$7),"x","")</f>
        <v/>
      </c>
      <c r="Y820" s="79" t="str">
        <f>IF(AND(OR(N820="131",O820="131"),H820='131-CT'!$H$9),"x","")</f>
        <v/>
      </c>
      <c r="Z820" s="79"/>
      <c r="AA820" s="79" t="str">
        <f>IF(AND(MONTH(E820)='IN-NX'!$J$5,'IN-NX'!$D$7=D820),"x","")</f>
        <v/>
      </c>
      <c r="AB820" s="79" t="str">
        <f>IF(AND(OR(LEFT(TH!N820,2)="15",LEFT(TH!O820,2)="15"),LEFT(TH!O820,3)&lt;&gt;"111",'152-CT'!$J$8=TH!F820),"x","")</f>
        <v/>
      </c>
      <c r="AC820" s="79" t="str">
        <f>IF(AND(OR(LEFT(TH!N820,2)="15",LEFT(TH!O820,2)="15"),TK!$E$7=TH!F820),"x","")</f>
        <v/>
      </c>
      <c r="AD820" s="79" t="str">
        <f>IF(AND(N820="1521",MONTH(C820)='BK-NL'!$M$11),"x","")</f>
        <v/>
      </c>
    </row>
    <row r="821" spans="1:30" ht="16.5" customHeight="1">
      <c r="A821" s="318" t="str">
        <f>IF(B821&lt;&gt;"",IF(AND(B821='IN-TC'!$S$4,OR(TH!N821="1111",TH!O821="1111")),TH!D821,""),"")</f>
        <v/>
      </c>
      <c r="B821" s="60" t="str">
        <f t="shared" si="149"/>
        <v/>
      </c>
      <c r="C821" s="974"/>
      <c r="D821" s="974"/>
      <c r="E821" s="974"/>
      <c r="F821" s="975"/>
      <c r="G821" s="976"/>
      <c r="H821" s="77"/>
      <c r="I821" s="383"/>
      <c r="J821" s="977"/>
      <c r="K821" s="383"/>
      <c r="L821" s="390"/>
      <c r="M821" s="978"/>
      <c r="N821" s="979"/>
      <c r="O821" s="979"/>
      <c r="P821" s="79" t="str">
        <f>IF(AND('331-CT'!$E$7=TH!H821,OR(N821="331",O821="331")),"x","")</f>
        <v/>
      </c>
      <c r="Q821" s="79" t="str">
        <f>IF(AND(B821='111'!$L$11,OR($N821=$Q$7,$O821=$Q$7)),"x","")</f>
        <v/>
      </c>
      <c r="R821" s="79" t="str">
        <f>IF(AND($N821=$Q$7,$B821&lt;'111'!$L$11),"x","")</f>
        <v/>
      </c>
      <c r="S821" s="79" t="str">
        <f>IF(AND($O821=$Q$7,$B821&lt;'111'!$L$11),"x","")</f>
        <v/>
      </c>
      <c r="T821" s="79" t="str">
        <f>IF(ISERROR(FIND('112'!$M$9,G821,1)),"",IF((AND(FIND('112'!$M$9,G821,1)&gt;=1,B821='112'!$K$9,OR($N821='112'!$I$6,$O821='112'!$I$6))),"x",""))</f>
        <v/>
      </c>
      <c r="U821" s="79" t="str">
        <f>IF(ISERROR(FIND('112'!$M$9,G821,1)),"",IF((AND(LEFT(G821,2)=LEFT('112'!$M$9,2),B821&lt;'112'!$K$9,$N821='112'!$I$6)),"x",""))</f>
        <v/>
      </c>
      <c r="V821" s="79" t="str">
        <f>IF(ISERROR(FIND('112'!$M$9,G821,1)),"",IF((AND(RIGHT(G821,2)=RIGHT('112'!$M$9,2),B821&lt;'112'!$K$9,$O821='112'!$I$6)),"x",""))</f>
        <v/>
      </c>
      <c r="W821" s="79" t="str">
        <f>IF(AND('341-CT'!$H$9=H821,OR(LEFT(N821,3)=$W$7,LEFT(O821,3)=$W$7)),"x","")</f>
        <v/>
      </c>
      <c r="X821" s="79" t="str">
        <f>IF(OR(TH!N821=TH!$X$7,O821=TH!$X$7),"x","")</f>
        <v/>
      </c>
      <c r="Y821" s="79" t="str">
        <f>IF(AND(OR(N821="131",O821="131"),H821='131-CT'!$H$9),"x","")</f>
        <v/>
      </c>
      <c r="Z821" s="79"/>
      <c r="AA821" s="79" t="str">
        <f>IF(AND(MONTH(E821)='IN-NX'!$J$5,'IN-NX'!$D$7=D821),"x","")</f>
        <v/>
      </c>
      <c r="AB821" s="79" t="str">
        <f>IF(AND(OR(LEFT(TH!N821,2)="15",LEFT(TH!O821,2)="15"),LEFT(TH!O821,3)&lt;&gt;"111",'152-CT'!$J$8=TH!F821),"x","")</f>
        <v/>
      </c>
      <c r="AC821" s="79" t="str">
        <f>IF(AND(OR(LEFT(TH!N821,2)="15",LEFT(TH!O821,2)="15"),TK!$E$7=TH!F821),"x","")</f>
        <v/>
      </c>
      <c r="AD821" s="79" t="str">
        <f>IF(AND(N821="1521",MONTH(C821)='BK-NL'!$M$11),"x","")</f>
        <v/>
      </c>
    </row>
    <row r="822" spans="1:30" ht="16.5" customHeight="1">
      <c r="A822" s="318" t="str">
        <f>IF(B822&lt;&gt;"",IF(AND(B822='IN-TC'!$S$4,OR(TH!N822="1111",TH!O822="1111")),TH!D822,""),"")</f>
        <v/>
      </c>
      <c r="B822" s="60" t="str">
        <f t="shared" si="149"/>
        <v/>
      </c>
      <c r="C822" s="974"/>
      <c r="D822" s="974"/>
      <c r="E822" s="974"/>
      <c r="F822" s="975"/>
      <c r="G822" s="976"/>
      <c r="H822" s="77"/>
      <c r="I822" s="383"/>
      <c r="J822" s="977"/>
      <c r="K822" s="383"/>
      <c r="L822" s="390"/>
      <c r="M822" s="978"/>
      <c r="N822" s="979"/>
      <c r="O822" s="979"/>
      <c r="P822" s="79" t="str">
        <f>IF(AND('331-CT'!$E$7=TH!H822,OR(N822="331",O822="331")),"x","")</f>
        <v/>
      </c>
      <c r="Q822" s="79" t="str">
        <f>IF(AND(B822='111'!$L$11,OR($N822=$Q$7,$O822=$Q$7)),"x","")</f>
        <v/>
      </c>
      <c r="R822" s="79" t="str">
        <f>IF(AND($N822=$Q$7,$B822&lt;'111'!$L$11),"x","")</f>
        <v/>
      </c>
      <c r="S822" s="79" t="str">
        <f>IF(AND($O822=$Q$7,$B822&lt;'111'!$L$11),"x","")</f>
        <v/>
      </c>
      <c r="T822" s="79" t="str">
        <f>IF(ISERROR(FIND('112'!$M$9,G822,1)),"",IF((AND(FIND('112'!$M$9,G822,1)&gt;=1,B822='112'!$K$9,OR($N822='112'!$I$6,$O822='112'!$I$6))),"x",""))</f>
        <v/>
      </c>
      <c r="U822" s="79" t="str">
        <f>IF(ISERROR(FIND('112'!$M$9,G822,1)),"",IF((AND(LEFT(G822,2)=LEFT('112'!$M$9,2),B822&lt;'112'!$K$9,$N822='112'!$I$6)),"x",""))</f>
        <v/>
      </c>
      <c r="V822" s="79" t="str">
        <f>IF(ISERROR(FIND('112'!$M$9,G822,1)),"",IF((AND(RIGHT(G822,2)=RIGHT('112'!$M$9,2),B822&lt;'112'!$K$9,$O822='112'!$I$6)),"x",""))</f>
        <v/>
      </c>
      <c r="W822" s="79" t="str">
        <f>IF(AND('341-CT'!$H$9=H822,OR(LEFT(N822,3)=$W$7,LEFT(O822,3)=$W$7)),"x","")</f>
        <v/>
      </c>
      <c r="X822" s="79" t="str">
        <f>IF(OR(TH!N822=TH!$X$7,O822=TH!$X$7),"x","")</f>
        <v/>
      </c>
      <c r="Y822" s="79" t="str">
        <f>IF(AND(OR(N822="131",O822="131"),H822='131-CT'!$H$9),"x","")</f>
        <v/>
      </c>
      <c r="Z822" s="79"/>
      <c r="AA822" s="79" t="str">
        <f>IF(AND(MONTH(E822)='IN-NX'!$J$5,'IN-NX'!$D$7=D822),"x","")</f>
        <v/>
      </c>
      <c r="AB822" s="79" t="str">
        <f>IF(AND(OR(LEFT(TH!N822,2)="15",LEFT(TH!O822,2)="15"),LEFT(TH!O822,3)&lt;&gt;"111",'152-CT'!$J$8=TH!F822),"x","")</f>
        <v/>
      </c>
      <c r="AC822" s="79" t="str">
        <f>IF(AND(OR(LEFT(TH!N822,2)="15",LEFT(TH!O822,2)="15"),TK!$E$7=TH!F822),"x","")</f>
        <v/>
      </c>
      <c r="AD822" s="79" t="str">
        <f>IF(AND(N822="1521",MONTH(C822)='BK-NL'!$M$11),"x","")</f>
        <v/>
      </c>
    </row>
    <row r="823" spans="1:30" ht="16.5" customHeight="1">
      <c r="A823" s="318" t="str">
        <f>IF(B823&lt;&gt;"",IF(AND(B823='IN-TC'!$S$4,OR(TH!N823="1111",TH!O823="1111")),TH!D823,""),"")</f>
        <v/>
      </c>
      <c r="B823" s="60" t="str">
        <f t="shared" si="149"/>
        <v/>
      </c>
      <c r="C823" s="974"/>
      <c r="D823" s="974"/>
      <c r="E823" s="974"/>
      <c r="F823" s="975"/>
      <c r="G823" s="976"/>
      <c r="H823" s="759"/>
      <c r="I823" s="383"/>
      <c r="J823" s="977"/>
      <c r="K823" s="383"/>
      <c r="L823" s="390"/>
      <c r="M823" s="978"/>
      <c r="N823" s="979"/>
      <c r="O823" s="979"/>
      <c r="P823" s="79" t="str">
        <f>IF(AND('331-CT'!$E$7=TH!H823,OR(N823="331",O823="331")),"x","")</f>
        <v/>
      </c>
      <c r="Q823" s="79" t="str">
        <f>IF(AND(B823='111'!$L$11,OR($N823=$Q$7,$O823=$Q$7)),"x","")</f>
        <v/>
      </c>
      <c r="R823" s="79" t="str">
        <f>IF(AND($N823=$Q$7,$B823&lt;'111'!$L$11),"x","")</f>
        <v/>
      </c>
      <c r="S823" s="79" t="str">
        <f>IF(AND($O823=$Q$7,$B823&lt;'111'!$L$11),"x","")</f>
        <v/>
      </c>
      <c r="T823" s="79" t="str">
        <f>IF(ISERROR(FIND('112'!$M$9,G823,1)),"",IF((AND(FIND('112'!$M$9,G823,1)&gt;=1,B823='112'!$K$9,OR($N823='112'!$I$6,$O823='112'!$I$6))),"x",""))</f>
        <v/>
      </c>
      <c r="U823" s="79" t="str">
        <f>IF(ISERROR(FIND('112'!$M$9,G823,1)),"",IF((AND(LEFT(G823,2)=LEFT('112'!$M$9,2),B823&lt;'112'!$K$9,$N823='112'!$I$6)),"x",""))</f>
        <v/>
      </c>
      <c r="V823" s="79" t="str">
        <f>IF(ISERROR(FIND('112'!$M$9,G823,1)),"",IF((AND(RIGHT(G823,2)=RIGHT('112'!$M$9,2),B823&lt;'112'!$K$9,$O823='112'!$I$6)),"x",""))</f>
        <v/>
      </c>
      <c r="W823" s="79" t="str">
        <f>IF(AND('341-CT'!$H$9=H823,OR(LEFT(N823,3)=$W$7,LEFT(O823,3)=$W$7)),"x","")</f>
        <v/>
      </c>
      <c r="X823" s="79" t="str">
        <f>IF(OR(TH!N823=TH!$X$7,O823=TH!$X$7),"x","")</f>
        <v/>
      </c>
      <c r="Y823" s="79" t="str">
        <f>IF(AND(OR(N823="131",O823="131"),H823='131-CT'!$H$9),"x","")</f>
        <v/>
      </c>
      <c r="Z823" s="79"/>
      <c r="AA823" s="79" t="str">
        <f>IF(AND(MONTH(E823)='IN-NX'!$J$5,'IN-NX'!$D$7=D823),"x","")</f>
        <v/>
      </c>
      <c r="AB823" s="79" t="str">
        <f>IF(AND(OR(LEFT(TH!N823,2)="15",LEFT(TH!O823,2)="15"),LEFT(TH!O823,3)&lt;&gt;"111",'152-CT'!$J$8=TH!F823),"x","")</f>
        <v/>
      </c>
      <c r="AC823" s="79" t="str">
        <f>IF(AND(OR(LEFT(TH!N823,2)="15",LEFT(TH!O823,2)="15"),TK!$E$7=TH!F823),"x","")</f>
        <v/>
      </c>
      <c r="AD823" s="79" t="str">
        <f>IF(AND(N823="1521",MONTH(C823)='BK-NL'!$M$11),"x","")</f>
        <v/>
      </c>
    </row>
    <row r="824" spans="1:30" ht="16.5" customHeight="1">
      <c r="A824" s="318" t="str">
        <f>IF(B824&lt;&gt;"",IF(AND(B824='IN-TC'!$S$4,OR(TH!N824="1111",TH!O824="1111")),TH!D824,""),"")</f>
        <v/>
      </c>
      <c r="B824" s="60" t="str">
        <f t="shared" si="149"/>
        <v/>
      </c>
      <c r="C824" s="974"/>
      <c r="D824" s="974"/>
      <c r="E824" s="974"/>
      <c r="F824" s="975"/>
      <c r="G824" s="976"/>
      <c r="H824" s="759"/>
      <c r="I824" s="383"/>
      <c r="J824" s="977"/>
      <c r="K824" s="383"/>
      <c r="L824" s="390"/>
      <c r="M824" s="978"/>
      <c r="N824" s="979"/>
      <c r="O824" s="979"/>
      <c r="P824" s="79" t="str">
        <f>IF(AND('331-CT'!$E$7=TH!H824,OR(N824="331",O824="331")),"x","")</f>
        <v/>
      </c>
      <c r="Q824" s="79" t="str">
        <f>IF(AND(B824='111'!$L$11,OR($N824=$Q$7,$O824=$Q$7)),"x","")</f>
        <v/>
      </c>
      <c r="R824" s="79" t="str">
        <f>IF(AND($N824=$Q$7,$B824&lt;'111'!$L$11),"x","")</f>
        <v/>
      </c>
      <c r="S824" s="79" t="str">
        <f>IF(AND($O824=$Q$7,$B824&lt;'111'!$L$11),"x","")</f>
        <v/>
      </c>
      <c r="T824" s="79" t="str">
        <f>IF(ISERROR(FIND('112'!$M$9,G824,1)),"",IF((AND(FIND('112'!$M$9,G824,1)&gt;=1,B824='112'!$K$9,OR($N824='112'!$I$6,$O824='112'!$I$6))),"x",""))</f>
        <v/>
      </c>
      <c r="U824" s="79" t="str">
        <f>IF(ISERROR(FIND('112'!$M$9,G824,1)),"",IF((AND(LEFT(G824,2)=LEFT('112'!$M$9,2),B824&lt;'112'!$K$9,$N824='112'!$I$6)),"x",""))</f>
        <v/>
      </c>
      <c r="V824" s="79" t="str">
        <f>IF(ISERROR(FIND('112'!$M$9,G824,1)),"",IF((AND(RIGHT(G824,2)=RIGHT('112'!$M$9,2),B824&lt;'112'!$K$9,$O824='112'!$I$6)),"x",""))</f>
        <v/>
      </c>
      <c r="W824" s="79" t="str">
        <f>IF(AND('341-CT'!$H$9=H824,OR(LEFT(N824,3)=$W$7,LEFT(O824,3)=$W$7)),"x","")</f>
        <v/>
      </c>
      <c r="X824" s="79" t="str">
        <f>IF(OR(TH!N824=TH!$X$7,O824=TH!$X$7),"x","")</f>
        <v/>
      </c>
      <c r="Y824" s="79" t="str">
        <f>IF(AND(OR(N824="131",O824="131"),H824='131-CT'!$H$9),"x","")</f>
        <v/>
      </c>
      <c r="Z824" s="79"/>
      <c r="AA824" s="79" t="str">
        <f>IF(AND(MONTH(E824)='IN-NX'!$J$5,'IN-NX'!$D$7=D824),"x","")</f>
        <v/>
      </c>
      <c r="AB824" s="79" t="str">
        <f>IF(AND(OR(LEFT(TH!N824,2)="15",LEFT(TH!O824,2)="15"),LEFT(TH!O824,3)&lt;&gt;"111",'152-CT'!$J$8=TH!F824),"x","")</f>
        <v/>
      </c>
      <c r="AC824" s="79" t="str">
        <f>IF(AND(OR(LEFT(TH!N824,2)="15",LEFT(TH!O824,2)="15"),TK!$E$7=TH!F824),"x","")</f>
        <v/>
      </c>
      <c r="AD824" s="79" t="str">
        <f>IF(AND(N824="1521",MONTH(C824)='BK-NL'!$M$11),"x","")</f>
        <v/>
      </c>
    </row>
    <row r="825" spans="1:30" ht="16.5" customHeight="1">
      <c r="A825" s="318" t="str">
        <f>IF(B825&lt;&gt;"",IF(AND(B825='IN-TC'!$S$4,OR(TH!N825="1111",TH!O825="1111")),TH!D825,""),"")</f>
        <v/>
      </c>
      <c r="B825" s="60" t="str">
        <f t="shared" si="148"/>
        <v/>
      </c>
      <c r="C825" s="974"/>
      <c r="D825" s="974"/>
      <c r="E825" s="974"/>
      <c r="F825" s="975"/>
      <c r="G825" s="976"/>
      <c r="H825" s="305"/>
      <c r="I825" s="383"/>
      <c r="J825" s="977"/>
      <c r="K825" s="383"/>
      <c r="L825" s="390"/>
      <c r="M825" s="978"/>
      <c r="N825" s="979"/>
      <c r="O825" s="979"/>
      <c r="P825" s="79" t="str">
        <f>IF(AND('331-CT'!$E$7=TH!H825,OR(N825="331",O825="331")),"x","")</f>
        <v/>
      </c>
      <c r="Q825" s="79" t="str">
        <f>IF(AND(B825='111'!$L$11,OR($N825=$Q$7,$O825=$Q$7)),"x","")</f>
        <v/>
      </c>
      <c r="R825" s="79" t="str">
        <f>IF(AND($N825=$Q$7,$B825&lt;'111'!$L$11),"x","")</f>
        <v/>
      </c>
      <c r="S825" s="79" t="str">
        <f>IF(AND($O825=$Q$7,$B825&lt;'111'!$L$11),"x","")</f>
        <v/>
      </c>
      <c r="T825" s="79" t="str">
        <f>IF(ISERROR(FIND('112'!$M$9,G825,1)),"",IF((AND(FIND('112'!$M$9,G825,1)&gt;=1,B825='112'!$K$9,OR($N825='112'!$I$6,$O825='112'!$I$6))),"x",""))</f>
        <v/>
      </c>
      <c r="U825" s="79" t="str">
        <f>IF(ISERROR(FIND('112'!$M$9,G825,1)),"",IF((AND(LEFT(G825,2)=LEFT('112'!$M$9,2),B825&lt;'112'!$K$9,$N825='112'!$I$6)),"x",""))</f>
        <v/>
      </c>
      <c r="V825" s="79" t="str">
        <f>IF(ISERROR(FIND('112'!$M$9,G825,1)),"",IF((AND(RIGHT(G825,2)=RIGHT('112'!$M$9,2),B825&lt;'112'!$K$9,$O825='112'!$I$6)),"x",""))</f>
        <v/>
      </c>
      <c r="W825" s="79" t="str">
        <f>IF(AND('341-CT'!$H$9=H825,OR(LEFT(N825,3)=$W$7,LEFT(O825,3)=$W$7)),"x","")</f>
        <v/>
      </c>
      <c r="X825" s="79" t="str">
        <f>IF(OR(TH!N825=TH!$X$7,O825=TH!$X$7),"x","")</f>
        <v/>
      </c>
      <c r="Y825" s="79" t="str">
        <f>IF(AND(OR(N825="131",O825="131"),H825='131-CT'!$H$9),"x","")</f>
        <v/>
      </c>
      <c r="Z825" s="79"/>
      <c r="AA825" s="79" t="str">
        <f>IF(AND(MONTH(E825)='IN-NX'!$J$5,'IN-NX'!$D$7=D825),"x","")</f>
        <v/>
      </c>
      <c r="AB825" s="79" t="str">
        <f>IF(AND(OR(LEFT(TH!N825,2)="15",LEFT(TH!O825,2)="15"),LEFT(TH!O825,3)&lt;&gt;"111",'152-CT'!$J$8=TH!F825),"x","")</f>
        <v/>
      </c>
      <c r="AC825" s="79" t="str">
        <f>IF(AND(OR(LEFT(TH!N825,2)="15",LEFT(TH!O825,2)="15"),TK!$E$7=TH!F825),"x","")</f>
        <v/>
      </c>
      <c r="AD825" s="79" t="str">
        <f>IF(AND(N825="1521",MONTH(C825)='BK-NL'!$M$11),"x","")</f>
        <v/>
      </c>
    </row>
    <row r="826" spans="1:30" ht="16.5" customHeight="1">
      <c r="A826" s="318" t="str">
        <f>IF(B826&lt;&gt;"",IF(AND(B826='IN-TC'!$S$4,OR(TH!N826="1111",TH!O826="1111")),TH!D826,""),"")</f>
        <v/>
      </c>
      <c r="B826" s="60" t="str">
        <f t="shared" si="148"/>
        <v/>
      </c>
      <c r="C826" s="974"/>
      <c r="D826" s="974"/>
      <c r="E826" s="974"/>
      <c r="F826" s="975"/>
      <c r="G826" s="976"/>
      <c r="H826" s="305"/>
      <c r="I826" s="383"/>
      <c r="J826" s="977"/>
      <c r="K826" s="383"/>
      <c r="L826" s="390"/>
      <c r="M826" s="978"/>
      <c r="N826" s="979"/>
      <c r="O826" s="979"/>
      <c r="P826" s="79" t="str">
        <f>IF(AND('331-CT'!$E$7=TH!H826,OR(N826="331",O826="331")),"x","")</f>
        <v/>
      </c>
      <c r="Q826" s="79" t="str">
        <f>IF(AND(B826='111'!$L$11,OR($N826=$Q$7,$O826=$Q$7)),"x","")</f>
        <v/>
      </c>
      <c r="R826" s="79" t="str">
        <f>IF(AND($N826=$Q$7,$B826&lt;'111'!$L$11),"x","")</f>
        <v/>
      </c>
      <c r="S826" s="79" t="str">
        <f>IF(AND($O826=$Q$7,$B826&lt;'111'!$L$11),"x","")</f>
        <v/>
      </c>
      <c r="T826" s="79" t="str">
        <f>IF(ISERROR(FIND('112'!$M$9,G826,1)),"",IF((AND(FIND('112'!$M$9,G826,1)&gt;=1,B826='112'!$K$9,OR($N826='112'!$I$6,$O826='112'!$I$6))),"x",""))</f>
        <v/>
      </c>
      <c r="U826" s="79" t="str">
        <f>IF(ISERROR(FIND('112'!$M$9,G826,1)),"",IF((AND(LEFT(G826,2)=LEFT('112'!$M$9,2),B826&lt;'112'!$K$9,$N826='112'!$I$6)),"x",""))</f>
        <v/>
      </c>
      <c r="V826" s="79" t="str">
        <f>IF(ISERROR(FIND('112'!$M$9,G826,1)),"",IF((AND(RIGHT(G826,2)=RIGHT('112'!$M$9,2),B826&lt;'112'!$K$9,$O826='112'!$I$6)),"x",""))</f>
        <v/>
      </c>
      <c r="W826" s="79" t="str">
        <f>IF(AND('341-CT'!$H$9=H826,OR(LEFT(N826,3)=$W$7,LEFT(O826,3)=$W$7)),"x","")</f>
        <v/>
      </c>
      <c r="X826" s="79" t="str">
        <f>IF(OR(TH!N826=TH!$X$7,O826=TH!$X$7),"x","")</f>
        <v/>
      </c>
      <c r="Y826" s="79" t="str">
        <f>IF(AND(OR(N826="131",O826="131"),H826='131-CT'!$H$9),"x","")</f>
        <v/>
      </c>
      <c r="Z826" s="79"/>
      <c r="AA826" s="79" t="str">
        <f>IF(AND(MONTH(E826)='IN-NX'!$J$5,'IN-NX'!$D$7=D826),"x","")</f>
        <v/>
      </c>
      <c r="AB826" s="79" t="str">
        <f>IF(AND(OR(LEFT(TH!N826,2)="15",LEFT(TH!O826,2)="15"),LEFT(TH!O826,3)&lt;&gt;"111",'152-CT'!$J$8=TH!F826),"x","")</f>
        <v/>
      </c>
      <c r="AC826" s="79" t="str">
        <f>IF(AND(OR(LEFT(TH!N826,2)="15",LEFT(TH!O826,2)="15"),TK!$E$7=TH!F826),"x","")</f>
        <v/>
      </c>
      <c r="AD826" s="79" t="str">
        <f>IF(AND(N826="1521",MONTH(C826)='BK-NL'!$M$11),"x","")</f>
        <v/>
      </c>
    </row>
    <row r="827" spans="1:30" ht="16.5" customHeight="1">
      <c r="A827" s="318" t="str">
        <f>IF(B827&lt;&gt;"",IF(AND(B827='IN-TC'!$S$4,OR(TH!N827="1111",TH!O827="1111")),TH!D827,""),"")</f>
        <v/>
      </c>
      <c r="B827" s="60" t="str">
        <f t="shared" si="148"/>
        <v/>
      </c>
      <c r="C827" s="974"/>
      <c r="D827" s="974"/>
      <c r="E827" s="974"/>
      <c r="F827" s="975"/>
      <c r="G827" s="976"/>
      <c r="H827" s="305"/>
      <c r="I827" s="383"/>
      <c r="J827" s="977"/>
      <c r="K827" s="383"/>
      <c r="L827" s="390"/>
      <c r="M827" s="978"/>
      <c r="N827" s="979"/>
      <c r="O827" s="979"/>
      <c r="P827" s="79" t="str">
        <f>IF(AND('331-CT'!$E$7=TH!H827,OR(N827="331",O827="331")),"x","")</f>
        <v/>
      </c>
      <c r="Q827" s="79" t="str">
        <f>IF(AND(B827='111'!$L$11,OR($N827=$Q$7,$O827=$Q$7)),"x","")</f>
        <v/>
      </c>
      <c r="R827" s="79" t="str">
        <f>IF(AND($N827=$Q$7,$B827&lt;'111'!$L$11),"x","")</f>
        <v/>
      </c>
      <c r="S827" s="79" t="str">
        <f>IF(AND($O827=$Q$7,$B827&lt;'111'!$L$11),"x","")</f>
        <v/>
      </c>
      <c r="T827" s="79" t="str">
        <f>IF(ISERROR(FIND('112'!$M$9,G827,1)),"",IF((AND(FIND('112'!$M$9,G827,1)&gt;=1,B827='112'!$K$9,OR($N827='112'!$I$6,$O827='112'!$I$6))),"x",""))</f>
        <v/>
      </c>
      <c r="U827" s="79" t="str">
        <f>IF(ISERROR(FIND('112'!$M$9,G827,1)),"",IF((AND(LEFT(G827,2)=LEFT('112'!$M$9,2),B827&lt;'112'!$K$9,$N827='112'!$I$6)),"x",""))</f>
        <v/>
      </c>
      <c r="V827" s="79" t="str">
        <f>IF(ISERROR(FIND('112'!$M$9,G827,1)),"",IF((AND(RIGHT(G827,2)=RIGHT('112'!$M$9,2),B827&lt;'112'!$K$9,$O827='112'!$I$6)),"x",""))</f>
        <v/>
      </c>
      <c r="W827" s="79" t="str">
        <f>IF(AND('341-CT'!$H$9=H827,OR(LEFT(N827,3)=$W$7,LEFT(O827,3)=$W$7)),"x","")</f>
        <v/>
      </c>
      <c r="X827" s="79" t="str">
        <f>IF(OR(TH!N827=TH!$X$7,O827=TH!$X$7),"x","")</f>
        <v/>
      </c>
      <c r="Y827" s="79" t="str">
        <f>IF(AND(OR(N827="131",O827="131"),H827='131-CT'!$H$9),"x","")</f>
        <v/>
      </c>
      <c r="Z827" s="79"/>
      <c r="AA827" s="79" t="str">
        <f>IF(AND(MONTH(E827)='IN-NX'!$J$5,'IN-NX'!$D$7=D827),"x","")</f>
        <v/>
      </c>
      <c r="AB827" s="79" t="str">
        <f>IF(AND(OR(LEFT(TH!N827,2)="15",LEFT(TH!O827,2)="15"),LEFT(TH!O827,3)&lt;&gt;"111",'152-CT'!$J$8=TH!F827),"x","")</f>
        <v/>
      </c>
      <c r="AC827" s="79" t="str">
        <f>IF(AND(OR(LEFT(TH!N827,2)="15",LEFT(TH!O827,2)="15"),TK!$E$7=TH!F827),"x","")</f>
        <v/>
      </c>
      <c r="AD827" s="79" t="str">
        <f>IF(AND(N827="1521",MONTH(C827)='BK-NL'!$M$11),"x","")</f>
        <v/>
      </c>
    </row>
    <row r="828" spans="1:30" ht="16.5" customHeight="1">
      <c r="A828" s="318" t="str">
        <f>IF(B828&lt;&gt;"",IF(AND(B828='IN-TC'!$S$4,OR(TH!N828="1111",TH!O828="1111")),TH!D828,""),"")</f>
        <v/>
      </c>
      <c r="B828" s="60" t="str">
        <f t="shared" si="148"/>
        <v/>
      </c>
      <c r="C828" s="974"/>
      <c r="D828" s="974"/>
      <c r="E828" s="974"/>
      <c r="F828" s="975"/>
      <c r="G828" s="976"/>
      <c r="H828" s="305"/>
      <c r="I828" s="383"/>
      <c r="J828" s="977"/>
      <c r="K828" s="383"/>
      <c r="L828" s="390"/>
      <c r="M828" s="978"/>
      <c r="N828" s="979"/>
      <c r="O828" s="979"/>
      <c r="P828" s="79" t="str">
        <f>IF(AND('331-CT'!$E$7=TH!H828,OR(N828="331",O828="331")),"x","")</f>
        <v/>
      </c>
      <c r="Q828" s="79" t="str">
        <f>IF(AND(B828='111'!$L$11,OR($N828=$Q$7,$O828=$Q$7)),"x","")</f>
        <v/>
      </c>
      <c r="R828" s="79" t="str">
        <f>IF(AND($N828=$Q$7,$B828&lt;'111'!$L$11),"x","")</f>
        <v/>
      </c>
      <c r="S828" s="79" t="str">
        <f>IF(AND($O828=$Q$7,$B828&lt;'111'!$L$11),"x","")</f>
        <v/>
      </c>
      <c r="T828" s="79" t="str">
        <f>IF(ISERROR(FIND('112'!$M$9,G828,1)),"",IF((AND(FIND('112'!$M$9,G828,1)&gt;=1,B828='112'!$K$9,OR($N828='112'!$I$6,$O828='112'!$I$6))),"x",""))</f>
        <v/>
      </c>
      <c r="U828" s="79" t="str">
        <f>IF(ISERROR(FIND('112'!$M$9,G828,1)),"",IF((AND(LEFT(G828,2)=LEFT('112'!$M$9,2),B828&lt;'112'!$K$9,$N828='112'!$I$6)),"x",""))</f>
        <v/>
      </c>
      <c r="V828" s="79" t="str">
        <f>IF(ISERROR(FIND('112'!$M$9,G828,1)),"",IF((AND(RIGHT(G828,2)=RIGHT('112'!$M$9,2),B828&lt;'112'!$K$9,$O828='112'!$I$6)),"x",""))</f>
        <v/>
      </c>
      <c r="W828" s="79" t="str">
        <f>IF(AND('341-CT'!$H$9=H828,OR(LEFT(N828,3)=$W$7,LEFT(O828,3)=$W$7)),"x","")</f>
        <v/>
      </c>
      <c r="X828" s="79" t="str">
        <f>IF(OR(TH!N828=TH!$X$7,O828=TH!$X$7),"x","")</f>
        <v/>
      </c>
      <c r="Y828" s="79" t="str">
        <f>IF(AND(OR(N828="131",O828="131"),H828='131-CT'!$H$9),"x","")</f>
        <v/>
      </c>
      <c r="Z828" s="79"/>
      <c r="AA828" s="79" t="str">
        <f>IF(AND(MONTH(E828)='IN-NX'!$J$5,'IN-NX'!$D$7=D828),"x","")</f>
        <v/>
      </c>
      <c r="AB828" s="79" t="str">
        <f>IF(AND(OR(LEFT(TH!N828,2)="15",LEFT(TH!O828,2)="15"),LEFT(TH!O828,3)&lt;&gt;"111",'152-CT'!$J$8=TH!F828),"x","")</f>
        <v/>
      </c>
      <c r="AC828" s="79" t="str">
        <f>IF(AND(OR(LEFT(TH!N828,2)="15",LEFT(TH!O828,2)="15"),TK!$E$7=TH!F828),"x","")</f>
        <v/>
      </c>
      <c r="AD828" s="79" t="str">
        <f>IF(AND(N828="1521",MONTH(C828)='BK-NL'!$M$11),"x","")</f>
        <v/>
      </c>
    </row>
    <row r="829" spans="1:30" ht="16.5" customHeight="1">
      <c r="A829" s="318" t="str">
        <f>IF(B829&lt;&gt;"",IF(AND(B829='IN-TC'!$S$4,OR(TH!N829="1111",TH!O829="1111")),TH!D829,""),"")</f>
        <v/>
      </c>
      <c r="B829" s="60" t="str">
        <f t="shared" si="148"/>
        <v/>
      </c>
      <c r="C829" s="974"/>
      <c r="D829" s="974"/>
      <c r="E829" s="974"/>
      <c r="F829" s="975"/>
      <c r="G829" s="976"/>
      <c r="H829" s="759"/>
      <c r="I829" s="383"/>
      <c r="J829" s="977"/>
      <c r="K829" s="383"/>
      <c r="L829" s="390"/>
      <c r="M829" s="978"/>
      <c r="N829" s="979"/>
      <c r="O829" s="979"/>
      <c r="P829" s="79" t="str">
        <f>IF(AND('331-CT'!$E$7=TH!H829,OR(N829="331",O829="331")),"x","")</f>
        <v/>
      </c>
      <c r="Q829" s="79" t="str">
        <f>IF(AND(B829='111'!$L$11,OR($N829=$Q$7,$O829=$Q$7)),"x","")</f>
        <v/>
      </c>
      <c r="R829" s="79" t="str">
        <f>IF(AND($N829=$Q$7,$B829&lt;'111'!$L$11),"x","")</f>
        <v/>
      </c>
      <c r="S829" s="79" t="str">
        <f>IF(AND($O829=$Q$7,$B829&lt;'111'!$L$11),"x","")</f>
        <v/>
      </c>
      <c r="T829" s="79" t="str">
        <f>IF(ISERROR(FIND('112'!$M$9,G829,1)),"",IF((AND(FIND('112'!$M$9,G829,1)&gt;=1,B829='112'!$K$9,OR($N829='112'!$I$6,$O829='112'!$I$6))),"x",""))</f>
        <v/>
      </c>
      <c r="U829" s="79" t="str">
        <f>IF(ISERROR(FIND('112'!$M$9,G829,1)),"",IF((AND(LEFT(G829,2)=LEFT('112'!$M$9,2),B829&lt;'112'!$K$9,$N829='112'!$I$6)),"x",""))</f>
        <v/>
      </c>
      <c r="V829" s="79" t="str">
        <f>IF(ISERROR(FIND('112'!$M$9,G829,1)),"",IF((AND(RIGHT(G829,2)=RIGHT('112'!$M$9,2),B829&lt;'112'!$K$9,$O829='112'!$I$6)),"x",""))</f>
        <v/>
      </c>
      <c r="W829" s="79" t="str">
        <f>IF(AND('341-CT'!$H$9=H829,OR(LEFT(N829,3)=$W$7,LEFT(O829,3)=$W$7)),"x","")</f>
        <v/>
      </c>
      <c r="X829" s="79" t="str">
        <f>IF(OR(TH!N829=TH!$X$7,O829=TH!$X$7),"x","")</f>
        <v/>
      </c>
      <c r="Y829" s="79" t="str">
        <f>IF(AND(OR(N829="131",O829="131"),H829='131-CT'!$H$9),"x","")</f>
        <v/>
      </c>
      <c r="Z829" s="79"/>
      <c r="AA829" s="79" t="str">
        <f>IF(AND(MONTH(E829)='IN-NX'!$J$5,'IN-NX'!$D$7=D829),"x","")</f>
        <v/>
      </c>
      <c r="AB829" s="79" t="str">
        <f>IF(AND(OR(LEFT(TH!N829,2)="15",LEFT(TH!O829,2)="15"),LEFT(TH!O829,3)&lt;&gt;"111",'152-CT'!$J$8=TH!F829),"x","")</f>
        <v/>
      </c>
      <c r="AC829" s="79" t="str">
        <f>IF(AND(OR(LEFT(TH!N829,2)="15",LEFT(TH!O829,2)="15"),TK!$E$7=TH!F829),"x","")</f>
        <v/>
      </c>
      <c r="AD829" s="79" t="str">
        <f>IF(AND(N829="1521",MONTH(C829)='BK-NL'!$M$11),"x","")</f>
        <v/>
      </c>
    </row>
    <row r="830" spans="1:30" ht="16.5" customHeight="1">
      <c r="A830" s="318" t="str">
        <f>IF(B830&lt;&gt;"",IF(AND(B830='IN-TC'!$S$4,OR(TH!N830="1111",TH!O830="1111")),TH!D830,""),"")</f>
        <v/>
      </c>
      <c r="B830" s="60" t="str">
        <f t="shared" si="147"/>
        <v/>
      </c>
      <c r="C830" s="974"/>
      <c r="D830" s="974"/>
      <c r="E830" s="974"/>
      <c r="F830" s="975"/>
      <c r="G830" s="976"/>
      <c r="H830" s="759"/>
      <c r="I830" s="383"/>
      <c r="J830" s="977"/>
      <c r="K830" s="383"/>
      <c r="L830" s="390"/>
      <c r="M830" s="978"/>
      <c r="N830" s="979"/>
      <c r="O830" s="979"/>
      <c r="P830" s="79" t="str">
        <f>IF(AND('331-CT'!$E$7=TH!H830,OR(N830="331",O830="331")),"x","")</f>
        <v/>
      </c>
      <c r="Q830" s="79" t="str">
        <f>IF(AND(B830='111'!$L$11,OR($N830=$Q$7,$O830=$Q$7)),"x","")</f>
        <v/>
      </c>
      <c r="R830" s="79" t="str">
        <f>IF(AND($N830=$Q$7,$B830&lt;'111'!$L$11),"x","")</f>
        <v/>
      </c>
      <c r="S830" s="79" t="str">
        <f>IF(AND($O830=$Q$7,$B830&lt;'111'!$L$11),"x","")</f>
        <v/>
      </c>
      <c r="T830" s="79" t="str">
        <f>IF(ISERROR(FIND('112'!$M$9,G830,1)),"",IF((AND(FIND('112'!$M$9,G830,1)&gt;=1,B830='112'!$K$9,OR($N830='112'!$I$6,$O830='112'!$I$6))),"x",""))</f>
        <v/>
      </c>
      <c r="U830" s="79" t="str">
        <f>IF(ISERROR(FIND('112'!$M$9,G830,1)),"",IF((AND(LEFT(G830,2)=LEFT('112'!$M$9,2),B830&lt;'112'!$K$9,$N830='112'!$I$6)),"x",""))</f>
        <v/>
      </c>
      <c r="V830" s="79" t="str">
        <f>IF(ISERROR(FIND('112'!$M$9,G830,1)),"",IF((AND(RIGHT(G830,2)=RIGHT('112'!$M$9,2),B830&lt;'112'!$K$9,$O830='112'!$I$6)),"x",""))</f>
        <v/>
      </c>
      <c r="W830" s="79" t="str">
        <f>IF(AND('341-CT'!$H$9=H830,OR(LEFT(N830,3)=$W$7,LEFT(O830,3)=$W$7)),"x","")</f>
        <v/>
      </c>
      <c r="X830" s="79" t="str">
        <f>IF(OR(TH!N830=TH!$X$7,O830=TH!$X$7),"x","")</f>
        <v/>
      </c>
      <c r="Y830" s="79" t="str">
        <f>IF(AND(OR(N830="131",O830="131"),H830='131-CT'!$H$9),"x","")</f>
        <v/>
      </c>
      <c r="Z830" s="79"/>
      <c r="AA830" s="79" t="str">
        <f>IF(AND(MONTH(E830)='IN-NX'!$J$5,'IN-NX'!$D$7=D830),"x","")</f>
        <v/>
      </c>
      <c r="AB830" s="79" t="str">
        <f>IF(AND(OR(LEFT(TH!N830,2)="15",LEFT(TH!O830,2)="15"),LEFT(TH!O830,3)&lt;&gt;"111",'152-CT'!$J$8=TH!F830),"x","")</f>
        <v/>
      </c>
      <c r="AC830" s="79" t="str">
        <f>IF(AND(OR(LEFT(TH!N830,2)="15",LEFT(TH!O830,2)="15"),TK!$E$7=TH!F830),"x","")</f>
        <v/>
      </c>
      <c r="AD830" s="79" t="str">
        <f>IF(AND(N830="1521",MONTH(C830)='BK-NL'!$M$11),"x","")</f>
        <v/>
      </c>
    </row>
    <row r="831" spans="1:30" ht="16.5" customHeight="1">
      <c r="A831" s="318" t="str">
        <f>IF(B831&lt;&gt;"",IF(AND(B831='IN-TC'!$S$4,OR(TH!N831="1111",TH!O831="1111")),TH!D831,""),"")</f>
        <v/>
      </c>
      <c r="B831" s="60" t="str">
        <f t="shared" si="147"/>
        <v/>
      </c>
      <c r="C831" s="974"/>
      <c r="D831" s="974"/>
      <c r="E831" s="974"/>
      <c r="F831" s="975"/>
      <c r="G831" s="976"/>
      <c r="H831" s="759"/>
      <c r="I831" s="383"/>
      <c r="J831" s="977"/>
      <c r="K831" s="383"/>
      <c r="L831" s="390"/>
      <c r="M831" s="978"/>
      <c r="N831" s="979"/>
      <c r="O831" s="979"/>
      <c r="P831" s="79" t="str">
        <f>IF(AND('331-CT'!$E$7=TH!H831,OR(N831="331",O831="331")),"x","")</f>
        <v/>
      </c>
      <c r="Q831" s="79" t="str">
        <f>IF(AND(B831='111'!$L$11,OR($N831=$Q$7,$O831=$Q$7)),"x","")</f>
        <v/>
      </c>
      <c r="R831" s="79" t="str">
        <f>IF(AND($N831=$Q$7,$B831&lt;'111'!$L$11),"x","")</f>
        <v/>
      </c>
      <c r="S831" s="79" t="str">
        <f>IF(AND($O831=$Q$7,$B831&lt;'111'!$L$11),"x","")</f>
        <v/>
      </c>
      <c r="T831" s="79" t="str">
        <f>IF(ISERROR(FIND('112'!$M$9,G831,1)),"",IF((AND(FIND('112'!$M$9,G831,1)&gt;=1,B831='112'!$K$9,OR($N831='112'!$I$6,$O831='112'!$I$6))),"x",""))</f>
        <v/>
      </c>
      <c r="U831" s="79" t="str">
        <f>IF(ISERROR(FIND('112'!$M$9,G831,1)),"",IF((AND(LEFT(G831,2)=LEFT('112'!$M$9,2),B831&lt;'112'!$K$9,$N831='112'!$I$6)),"x",""))</f>
        <v/>
      </c>
      <c r="V831" s="79" t="str">
        <f>IF(ISERROR(FIND('112'!$M$9,G831,1)),"",IF((AND(RIGHT(G831,2)=RIGHT('112'!$M$9,2),B831&lt;'112'!$K$9,$O831='112'!$I$6)),"x",""))</f>
        <v/>
      </c>
      <c r="W831" s="79" t="str">
        <f>IF(AND('341-CT'!$H$9=H831,OR(LEFT(N831,3)=$W$7,LEFT(O831,3)=$W$7)),"x","")</f>
        <v/>
      </c>
      <c r="X831" s="79" t="str">
        <f>IF(OR(TH!N831=TH!$X$7,O831=TH!$X$7),"x","")</f>
        <v/>
      </c>
      <c r="Y831" s="79" t="str">
        <f>IF(AND(OR(N831="131",O831="131"),H831='131-CT'!$H$9),"x","")</f>
        <v/>
      </c>
      <c r="Z831" s="79"/>
      <c r="AA831" s="79" t="str">
        <f>IF(AND(MONTH(E831)='IN-NX'!$J$5,'IN-NX'!$D$7=D831),"x","")</f>
        <v/>
      </c>
      <c r="AB831" s="79" t="str">
        <f>IF(AND(OR(LEFT(TH!N831,2)="15",LEFT(TH!O831,2)="15"),LEFT(TH!O831,3)&lt;&gt;"111",'152-CT'!$J$8=TH!F831),"x","")</f>
        <v/>
      </c>
      <c r="AC831" s="79" t="str">
        <f>IF(AND(OR(LEFT(TH!N831,2)="15",LEFT(TH!O831,2)="15"),TK!$E$7=TH!F831),"x","")</f>
        <v/>
      </c>
      <c r="AD831" s="79" t="str">
        <f>IF(AND(N831="1521",MONTH(C831)='BK-NL'!$M$11),"x","")</f>
        <v/>
      </c>
    </row>
    <row r="832" spans="1:30" ht="16.5" customHeight="1">
      <c r="A832" s="318" t="str">
        <f>IF(B832&lt;&gt;"",IF(AND(B832='IN-TC'!$S$4,OR(TH!N832="1111",TH!O832="1111")),TH!D832,""),"")</f>
        <v/>
      </c>
      <c r="B832" s="60" t="str">
        <f t="shared" si="147"/>
        <v/>
      </c>
      <c r="C832" s="974"/>
      <c r="D832" s="974"/>
      <c r="E832" s="974"/>
      <c r="F832" s="975"/>
      <c r="G832" s="976"/>
      <c r="H832" s="759"/>
      <c r="I832" s="383"/>
      <c r="J832" s="977"/>
      <c r="K832" s="383"/>
      <c r="L832" s="390"/>
      <c r="M832" s="978"/>
      <c r="N832" s="979"/>
      <c r="O832" s="979"/>
      <c r="P832" s="79" t="str">
        <f>IF(AND('331-CT'!$E$7=TH!H832,OR(N832="331",O832="331")),"x","")</f>
        <v/>
      </c>
      <c r="Q832" s="79" t="str">
        <f>IF(AND(B832='111'!$L$11,OR($N832=$Q$7,$O832=$Q$7)),"x","")</f>
        <v/>
      </c>
      <c r="R832" s="79" t="str">
        <f>IF(AND($N832=$Q$7,$B832&lt;'111'!$L$11),"x","")</f>
        <v/>
      </c>
      <c r="S832" s="79" t="str">
        <f>IF(AND($O832=$Q$7,$B832&lt;'111'!$L$11),"x","")</f>
        <v/>
      </c>
      <c r="T832" s="79" t="str">
        <f>IF(ISERROR(FIND('112'!$M$9,G832,1)),"",IF((AND(FIND('112'!$M$9,G832,1)&gt;=1,B832='112'!$K$9,OR($N832='112'!$I$6,$O832='112'!$I$6))),"x",""))</f>
        <v/>
      </c>
      <c r="U832" s="79" t="str">
        <f>IF(ISERROR(FIND('112'!$M$9,G832,1)),"",IF((AND(LEFT(G832,2)=LEFT('112'!$M$9,2),B832&lt;'112'!$K$9,$N832='112'!$I$6)),"x",""))</f>
        <v/>
      </c>
      <c r="V832" s="79" t="str">
        <f>IF(ISERROR(FIND('112'!$M$9,G832,1)),"",IF((AND(RIGHT(G832,2)=RIGHT('112'!$M$9,2),B832&lt;'112'!$K$9,$O832='112'!$I$6)),"x",""))</f>
        <v/>
      </c>
      <c r="W832" s="79" t="str">
        <f>IF(AND('341-CT'!$H$9=H832,OR(LEFT(N832,3)=$W$7,LEFT(O832,3)=$W$7)),"x","")</f>
        <v/>
      </c>
      <c r="X832" s="79" t="str">
        <f>IF(OR(TH!N832=TH!$X$7,O832=TH!$X$7),"x","")</f>
        <v/>
      </c>
      <c r="Y832" s="79" t="str">
        <f>IF(AND(OR(N832="131",O832="131"),H832='131-CT'!$H$9),"x","")</f>
        <v/>
      </c>
      <c r="Z832" s="79"/>
      <c r="AA832" s="79" t="str">
        <f>IF(AND(MONTH(E832)='IN-NX'!$J$5,'IN-NX'!$D$7=D832),"x","")</f>
        <v/>
      </c>
      <c r="AB832" s="79" t="str">
        <f>IF(AND(OR(LEFT(TH!N832,2)="15",LEFT(TH!O832,2)="15"),LEFT(TH!O832,3)&lt;&gt;"111",'152-CT'!$J$8=TH!F832),"x","")</f>
        <v/>
      </c>
      <c r="AC832" s="79" t="str">
        <f>IF(AND(OR(LEFT(TH!N832,2)="15",LEFT(TH!O832,2)="15"),TK!$E$7=TH!F832),"x","")</f>
        <v/>
      </c>
      <c r="AD832" s="79" t="str">
        <f>IF(AND(N832="1521",MONTH(C832)='BK-NL'!$M$11),"x","")</f>
        <v/>
      </c>
    </row>
    <row r="833" spans="1:30" ht="16.5" customHeight="1">
      <c r="A833" s="318" t="str">
        <f>IF(B833&lt;&gt;"",IF(AND(B833='IN-TC'!$S$4,OR(TH!N833="1111",TH!O833="1111")),TH!D833,""),"")</f>
        <v/>
      </c>
      <c r="B833" s="60" t="str">
        <f t="shared" si="147"/>
        <v/>
      </c>
      <c r="C833" s="974"/>
      <c r="D833" s="974"/>
      <c r="E833" s="974"/>
      <c r="F833" s="975"/>
      <c r="G833" s="976"/>
      <c r="H833" s="759"/>
      <c r="I833" s="383"/>
      <c r="J833" s="977"/>
      <c r="K833" s="383"/>
      <c r="L833" s="390"/>
      <c r="M833" s="978"/>
      <c r="N833" s="979"/>
      <c r="O833" s="979"/>
      <c r="P833" s="79" t="str">
        <f>IF(AND('331-CT'!$E$7=TH!H833,OR(N833="331",O833="331")),"x","")</f>
        <v/>
      </c>
      <c r="Q833" s="79" t="str">
        <f>IF(AND(B833='111'!$L$11,OR($N833=$Q$7,$O833=$Q$7)),"x","")</f>
        <v/>
      </c>
      <c r="R833" s="79" t="str">
        <f>IF(AND($N833=$Q$7,$B833&lt;'111'!$L$11),"x","")</f>
        <v/>
      </c>
      <c r="S833" s="79" t="str">
        <f>IF(AND($O833=$Q$7,$B833&lt;'111'!$L$11),"x","")</f>
        <v/>
      </c>
      <c r="T833" s="79" t="str">
        <f>IF(ISERROR(FIND('112'!$M$9,G833,1)),"",IF((AND(FIND('112'!$M$9,G833,1)&gt;=1,B833='112'!$K$9,OR($N833='112'!$I$6,$O833='112'!$I$6))),"x",""))</f>
        <v/>
      </c>
      <c r="U833" s="79" t="str">
        <f>IF(ISERROR(FIND('112'!$M$9,G833,1)),"",IF((AND(LEFT(G833,2)=LEFT('112'!$M$9,2),B833&lt;'112'!$K$9,$N833='112'!$I$6)),"x",""))</f>
        <v/>
      </c>
      <c r="V833" s="79" t="str">
        <f>IF(ISERROR(FIND('112'!$M$9,G833,1)),"",IF((AND(RIGHT(G833,2)=RIGHT('112'!$M$9,2),B833&lt;'112'!$K$9,$O833='112'!$I$6)),"x",""))</f>
        <v/>
      </c>
      <c r="W833" s="79" t="str">
        <f>IF(AND('341-CT'!$H$9=H833,OR(LEFT(N833,3)=$W$7,LEFT(O833,3)=$W$7)),"x","")</f>
        <v/>
      </c>
      <c r="X833" s="79" t="str">
        <f>IF(OR(TH!N833=TH!$X$7,O833=TH!$X$7),"x","")</f>
        <v/>
      </c>
      <c r="Y833" s="79" t="str">
        <f>IF(AND(OR(N833="131",O833="131"),H833='131-CT'!$H$9),"x","")</f>
        <v/>
      </c>
      <c r="Z833" s="79"/>
      <c r="AA833" s="79" t="str">
        <f>IF(AND(MONTH(E833)='IN-NX'!$J$5,'IN-NX'!$D$7=D833),"x","")</f>
        <v/>
      </c>
      <c r="AB833" s="79" t="str">
        <f>IF(AND(OR(LEFT(TH!N833,2)="15",LEFT(TH!O833,2)="15"),LEFT(TH!O833,3)&lt;&gt;"111",'152-CT'!$J$8=TH!F833),"x","")</f>
        <v/>
      </c>
      <c r="AC833" s="79" t="str">
        <f>IF(AND(OR(LEFT(TH!N833,2)="15",LEFT(TH!O833,2)="15"),TK!$E$7=TH!F833),"x","")</f>
        <v/>
      </c>
      <c r="AD833" s="79" t="str">
        <f>IF(AND(N833="1521",MONTH(C833)='BK-NL'!$M$11),"x","")</f>
        <v/>
      </c>
    </row>
    <row r="834" spans="1:30" ht="16.5" customHeight="1">
      <c r="A834" s="318" t="str">
        <f>IF(B834&lt;&gt;"",IF(AND(B834='IN-TC'!$S$4,OR(TH!N834="1111",TH!O834="1111")),TH!D834,""),"")</f>
        <v/>
      </c>
      <c r="B834" s="60" t="str">
        <f t="shared" si="147"/>
        <v/>
      </c>
      <c r="C834" s="974"/>
      <c r="D834" s="974"/>
      <c r="E834" s="974"/>
      <c r="F834" s="975"/>
      <c r="G834" s="976"/>
      <c r="H834" s="759"/>
      <c r="I834" s="383"/>
      <c r="J834" s="977"/>
      <c r="K834" s="383"/>
      <c r="L834" s="390"/>
      <c r="M834" s="978"/>
      <c r="N834" s="979"/>
      <c r="O834" s="979"/>
      <c r="P834" s="79" t="str">
        <f>IF(AND('331-CT'!$E$7=TH!H834,OR(N834="331",O834="331")),"x","")</f>
        <v/>
      </c>
      <c r="Q834" s="79" t="str">
        <f>IF(AND(B834='111'!$L$11,OR($N834=$Q$7,$O834=$Q$7)),"x","")</f>
        <v/>
      </c>
      <c r="R834" s="79" t="str">
        <f>IF(AND($N834=$Q$7,$B834&lt;'111'!$L$11),"x","")</f>
        <v/>
      </c>
      <c r="S834" s="79" t="str">
        <f>IF(AND($O834=$Q$7,$B834&lt;'111'!$L$11),"x","")</f>
        <v/>
      </c>
      <c r="T834" s="79" t="str">
        <f>IF(ISERROR(FIND('112'!$M$9,G834,1)),"",IF((AND(FIND('112'!$M$9,G834,1)&gt;=1,B834='112'!$K$9,OR($N834='112'!$I$6,$O834='112'!$I$6))),"x",""))</f>
        <v/>
      </c>
      <c r="U834" s="79" t="str">
        <f>IF(ISERROR(FIND('112'!$M$9,G834,1)),"",IF((AND(LEFT(G834,2)=LEFT('112'!$M$9,2),B834&lt;'112'!$K$9,$N834='112'!$I$6)),"x",""))</f>
        <v/>
      </c>
      <c r="V834" s="79" t="str">
        <f>IF(ISERROR(FIND('112'!$M$9,G834,1)),"",IF((AND(RIGHT(G834,2)=RIGHT('112'!$M$9,2),B834&lt;'112'!$K$9,$O834='112'!$I$6)),"x",""))</f>
        <v/>
      </c>
      <c r="W834" s="79" t="str">
        <f>IF(AND('341-CT'!$H$9=H834,OR(LEFT(N834,3)=$W$7,LEFT(O834,3)=$W$7)),"x","")</f>
        <v/>
      </c>
      <c r="X834" s="79" t="str">
        <f>IF(OR(TH!N834=TH!$X$7,O834=TH!$X$7),"x","")</f>
        <v/>
      </c>
      <c r="Y834" s="79" t="str">
        <f>IF(AND(OR(N834="131",O834="131"),H834='131-CT'!$H$9),"x","")</f>
        <v/>
      </c>
      <c r="Z834" s="79"/>
      <c r="AA834" s="79" t="str">
        <f>IF(AND(MONTH(E834)='IN-NX'!$J$5,'IN-NX'!$D$7=D834),"x","")</f>
        <v/>
      </c>
      <c r="AB834" s="79" t="str">
        <f>IF(AND(OR(LEFT(TH!N834,2)="15",LEFT(TH!O834,2)="15"),LEFT(TH!O834,3)&lt;&gt;"111",'152-CT'!$J$8=TH!F834),"x","")</f>
        <v/>
      </c>
      <c r="AC834" s="79" t="str">
        <f>IF(AND(OR(LEFT(TH!N834,2)="15",LEFT(TH!O834,2)="15"),TK!$E$7=TH!F834),"x","")</f>
        <v/>
      </c>
      <c r="AD834" s="79" t="str">
        <f>IF(AND(N834="1521",MONTH(C834)='BK-NL'!$M$11),"x","")</f>
        <v/>
      </c>
    </row>
    <row r="835" spans="1:30" ht="16.5" customHeight="1">
      <c r="A835" s="318" t="str">
        <f>IF(B835&lt;&gt;"",IF(AND(B835='IN-TC'!$S$4,OR(TH!N835="1111",TH!O835="1111")),TH!D835,""),"")</f>
        <v/>
      </c>
      <c r="B835" s="60" t="str">
        <f t="shared" si="147"/>
        <v/>
      </c>
      <c r="C835" s="974"/>
      <c r="D835" s="974"/>
      <c r="E835" s="974"/>
      <c r="F835" s="975"/>
      <c r="G835" s="976"/>
      <c r="H835" s="77"/>
      <c r="I835" s="383"/>
      <c r="J835" s="977"/>
      <c r="K835" s="383"/>
      <c r="L835" s="390"/>
      <c r="M835" s="978"/>
      <c r="N835" s="979"/>
      <c r="O835" s="979"/>
      <c r="P835" s="79" t="str">
        <f>IF(AND('331-CT'!$E$7=TH!H835,OR(N835="331",O835="331")),"x","")</f>
        <v/>
      </c>
      <c r="Q835" s="79" t="str">
        <f>IF(AND(B835='111'!$L$11,OR($N835=$Q$7,$O835=$Q$7)),"x","")</f>
        <v/>
      </c>
      <c r="R835" s="79" t="str">
        <f>IF(AND($N835=$Q$7,$B835&lt;'111'!$L$11),"x","")</f>
        <v/>
      </c>
      <c r="S835" s="79" t="str">
        <f>IF(AND($O835=$Q$7,$B835&lt;'111'!$L$11),"x","")</f>
        <v/>
      </c>
      <c r="T835" s="79" t="str">
        <f>IF(ISERROR(FIND('112'!$M$9,G835,1)),"",IF((AND(FIND('112'!$M$9,G835,1)&gt;=1,B835='112'!$K$9,OR($N835='112'!$I$6,$O835='112'!$I$6))),"x",""))</f>
        <v/>
      </c>
      <c r="U835" s="79" t="str">
        <f>IF(ISERROR(FIND('112'!$M$9,G835,1)),"",IF((AND(LEFT(G835,2)=LEFT('112'!$M$9,2),B835&lt;'112'!$K$9,$N835='112'!$I$6)),"x",""))</f>
        <v/>
      </c>
      <c r="V835" s="79" t="str">
        <f>IF(ISERROR(FIND('112'!$M$9,G835,1)),"",IF((AND(RIGHT(G835,2)=RIGHT('112'!$M$9,2),B835&lt;'112'!$K$9,$O835='112'!$I$6)),"x",""))</f>
        <v/>
      </c>
      <c r="W835" s="79" t="str">
        <f>IF(AND('341-CT'!$H$9=H835,OR(LEFT(N835,3)=$W$7,LEFT(O835,3)=$W$7)),"x","")</f>
        <v/>
      </c>
      <c r="X835" s="79" t="str">
        <f>IF(OR(TH!N835=TH!$X$7,O835=TH!$X$7),"x","")</f>
        <v/>
      </c>
      <c r="Y835" s="79" t="str">
        <f>IF(AND(OR(N835="131",O835="131"),H835='131-CT'!$H$9),"x","")</f>
        <v/>
      </c>
      <c r="Z835" s="79"/>
      <c r="AA835" s="79" t="str">
        <f>IF(AND(MONTH(E835)='IN-NX'!$J$5,'IN-NX'!$D$7=D835),"x","")</f>
        <v/>
      </c>
      <c r="AB835" s="79" t="str">
        <f>IF(AND(OR(LEFT(TH!N835,2)="15",LEFT(TH!O835,2)="15"),LEFT(TH!O835,3)&lt;&gt;"111",'152-CT'!$J$8=TH!F835),"x","")</f>
        <v/>
      </c>
      <c r="AC835" s="79" t="str">
        <f>IF(AND(OR(LEFT(TH!N835,2)="15",LEFT(TH!O835,2)="15"),TK!$E$7=TH!F835),"x","")</f>
        <v/>
      </c>
      <c r="AD835" s="79" t="str">
        <f>IF(AND(N835="1521",MONTH(C835)='BK-NL'!$M$11),"x","")</f>
        <v/>
      </c>
    </row>
    <row r="836" spans="1:30" ht="16.5" customHeight="1">
      <c r="A836" s="318" t="str">
        <f>IF(B836&lt;&gt;"",IF(AND(B836='IN-TC'!$S$4,OR(TH!N836="1111",TH!O836="1111")),TH!D836,""),"")</f>
        <v/>
      </c>
      <c r="B836" s="60" t="str">
        <f t="shared" si="147"/>
        <v/>
      </c>
      <c r="C836" s="974"/>
      <c r="D836" s="974"/>
      <c r="E836" s="974"/>
      <c r="F836" s="975"/>
      <c r="G836" s="976"/>
      <c r="H836" s="77"/>
      <c r="I836" s="383"/>
      <c r="J836" s="977"/>
      <c r="K836" s="383"/>
      <c r="L836" s="390"/>
      <c r="M836" s="978"/>
      <c r="N836" s="979"/>
      <c r="O836" s="979"/>
      <c r="P836" s="79" t="str">
        <f>IF(AND('331-CT'!$E$7=TH!H836,OR(N836="331",O836="331")),"x","")</f>
        <v/>
      </c>
      <c r="Q836" s="79" t="str">
        <f>IF(AND(B836='111'!$L$11,OR($N836=$Q$7,$O836=$Q$7)),"x","")</f>
        <v/>
      </c>
      <c r="R836" s="79" t="str">
        <f>IF(AND($N836=$Q$7,$B836&lt;'111'!$L$11),"x","")</f>
        <v/>
      </c>
      <c r="S836" s="79" t="str">
        <f>IF(AND($O836=$Q$7,$B836&lt;'111'!$L$11),"x","")</f>
        <v/>
      </c>
      <c r="T836" s="79" t="str">
        <f>IF(ISERROR(FIND('112'!$M$9,G836,1)),"",IF((AND(FIND('112'!$M$9,G836,1)&gt;=1,B836='112'!$K$9,OR($N836='112'!$I$6,$O836='112'!$I$6))),"x",""))</f>
        <v/>
      </c>
      <c r="U836" s="79" t="str">
        <f>IF(ISERROR(FIND('112'!$M$9,G836,1)),"",IF((AND(LEFT(G836,2)=LEFT('112'!$M$9,2),B836&lt;'112'!$K$9,$N836='112'!$I$6)),"x",""))</f>
        <v/>
      </c>
      <c r="V836" s="79" t="str">
        <f>IF(ISERROR(FIND('112'!$M$9,G836,1)),"",IF((AND(RIGHT(G836,2)=RIGHT('112'!$M$9,2),B836&lt;'112'!$K$9,$O836='112'!$I$6)),"x",""))</f>
        <v/>
      </c>
      <c r="W836" s="79" t="str">
        <f>IF(AND('341-CT'!$H$9=H836,OR(LEFT(N836,3)=$W$7,LEFT(O836,3)=$W$7)),"x","")</f>
        <v/>
      </c>
      <c r="X836" s="79" t="str">
        <f>IF(OR(TH!N836=TH!$X$7,O836=TH!$X$7),"x","")</f>
        <v/>
      </c>
      <c r="Y836" s="79" t="str">
        <f>IF(AND(OR(N836="131",O836="131"),H836='131-CT'!$H$9),"x","")</f>
        <v/>
      </c>
      <c r="Z836" s="79"/>
      <c r="AA836" s="79" t="str">
        <f>IF(AND(MONTH(E836)='IN-NX'!$J$5,'IN-NX'!$D$7=D836),"x","")</f>
        <v/>
      </c>
      <c r="AB836" s="79" t="str">
        <f>IF(AND(OR(LEFT(TH!N836,2)="15",LEFT(TH!O836,2)="15"),LEFT(TH!O836,3)&lt;&gt;"111",'152-CT'!$J$8=TH!F836),"x","")</f>
        <v/>
      </c>
      <c r="AC836" s="79" t="str">
        <f>IF(AND(OR(LEFT(TH!N836,2)="15",LEFT(TH!O836,2)="15"),TK!$E$7=TH!F836),"x","")</f>
        <v/>
      </c>
      <c r="AD836" s="79" t="str">
        <f>IF(AND(N836="1521",MONTH(C836)='BK-NL'!$M$11),"x","")</f>
        <v/>
      </c>
    </row>
    <row r="837" spans="1:30" ht="16.5" customHeight="1">
      <c r="A837" s="318" t="str">
        <f>IF(B837&lt;&gt;"",IF(AND(B837='IN-TC'!$S$4,OR(TH!N837="1111",TH!O837="1111")),TH!D837,""),"")</f>
        <v/>
      </c>
      <c r="B837" s="60" t="str">
        <f t="shared" ref="B837:B840" si="150">IF(C837&lt;&gt;"",MONTH(C837),"")</f>
        <v/>
      </c>
      <c r="C837" s="974"/>
      <c r="D837" s="974"/>
      <c r="E837" s="974"/>
      <c r="F837" s="975"/>
      <c r="G837" s="976"/>
      <c r="H837" s="77"/>
      <c r="I837" s="383"/>
      <c r="J837" s="977"/>
      <c r="K837" s="383"/>
      <c r="L837" s="390"/>
      <c r="M837" s="978"/>
      <c r="N837" s="979"/>
      <c r="O837" s="979"/>
      <c r="P837" s="79" t="str">
        <f>IF(AND('331-CT'!$E$7=TH!H837,OR(N837="331",O837="331")),"x","")</f>
        <v/>
      </c>
      <c r="Q837" s="79" t="str">
        <f>IF(AND(B837='111'!$L$11,OR($N837=$Q$7,$O837=$Q$7)),"x","")</f>
        <v/>
      </c>
      <c r="R837" s="79" t="str">
        <f>IF(AND($N837=$Q$7,$B837&lt;'111'!$L$11),"x","")</f>
        <v/>
      </c>
      <c r="S837" s="79" t="str">
        <f>IF(AND($O837=$Q$7,$B837&lt;'111'!$L$11),"x","")</f>
        <v/>
      </c>
      <c r="T837" s="79" t="str">
        <f>IF(ISERROR(FIND('112'!$M$9,G837,1)),"",IF((AND(FIND('112'!$M$9,G837,1)&gt;=1,B837='112'!$K$9,OR($N837='112'!$I$6,$O837='112'!$I$6))),"x",""))</f>
        <v/>
      </c>
      <c r="U837" s="79" t="str">
        <f>IF(ISERROR(FIND('112'!$M$9,G837,1)),"",IF((AND(LEFT(G837,2)=LEFT('112'!$M$9,2),B837&lt;'112'!$K$9,$N837='112'!$I$6)),"x",""))</f>
        <v/>
      </c>
      <c r="V837" s="79" t="str">
        <f>IF(ISERROR(FIND('112'!$M$9,G837,1)),"",IF((AND(RIGHT(G837,2)=RIGHT('112'!$M$9,2),B837&lt;'112'!$K$9,$O837='112'!$I$6)),"x",""))</f>
        <v/>
      </c>
      <c r="W837" s="79" t="str">
        <f>IF(AND('341-CT'!$H$9=H837,OR(LEFT(N837,3)=$W$7,LEFT(O837,3)=$W$7)),"x","")</f>
        <v/>
      </c>
      <c r="X837" s="79" t="str">
        <f>IF(OR(TH!N837=TH!$X$7,O837=TH!$X$7),"x","")</f>
        <v/>
      </c>
      <c r="Y837" s="79" t="str">
        <f>IF(AND(OR(N837="131",O837="131"),H837='131-CT'!$H$9),"x","")</f>
        <v/>
      </c>
      <c r="Z837" s="79"/>
      <c r="AA837" s="79" t="str">
        <f>IF(AND(MONTH(E837)='IN-NX'!$J$5,'IN-NX'!$D$7=D837),"x","")</f>
        <v/>
      </c>
      <c r="AB837" s="79" t="str">
        <f>IF(AND(OR(LEFT(TH!N837,2)="15",LEFT(TH!O837,2)="15"),LEFT(TH!O837,3)&lt;&gt;"111",'152-CT'!$J$8=TH!F837),"x","")</f>
        <v/>
      </c>
      <c r="AC837" s="79" t="str">
        <f>IF(AND(OR(LEFT(TH!N837,2)="15",LEFT(TH!O837,2)="15"),TK!$E$7=TH!F837),"x","")</f>
        <v/>
      </c>
      <c r="AD837" s="79" t="str">
        <f>IF(AND(N837="1521",MONTH(C837)='BK-NL'!$M$11),"x","")</f>
        <v/>
      </c>
    </row>
    <row r="838" spans="1:30" ht="16.5" customHeight="1">
      <c r="A838" s="318" t="str">
        <f>IF(B838&lt;&gt;"",IF(AND(B838='IN-TC'!$S$4,OR(TH!N838="1111",TH!O838="1111")),TH!D838,""),"")</f>
        <v/>
      </c>
      <c r="B838" s="60" t="str">
        <f t="shared" si="150"/>
        <v/>
      </c>
      <c r="C838" s="974"/>
      <c r="D838" s="974"/>
      <c r="E838" s="974"/>
      <c r="F838" s="975"/>
      <c r="G838" s="976"/>
      <c r="H838" s="77"/>
      <c r="I838" s="383"/>
      <c r="J838" s="977"/>
      <c r="K838" s="383"/>
      <c r="L838" s="390"/>
      <c r="M838" s="978"/>
      <c r="N838" s="979"/>
      <c r="O838" s="979"/>
      <c r="P838" s="79" t="str">
        <f>IF(AND('331-CT'!$E$7=TH!H838,OR(N838="331",O838="331")),"x","")</f>
        <v/>
      </c>
      <c r="Q838" s="79" t="str">
        <f>IF(AND(B838='111'!$L$11,OR($N838=$Q$7,$O838=$Q$7)),"x","")</f>
        <v/>
      </c>
      <c r="R838" s="79" t="str">
        <f>IF(AND($N838=$Q$7,$B838&lt;'111'!$L$11),"x","")</f>
        <v/>
      </c>
      <c r="S838" s="79" t="str">
        <f>IF(AND($O838=$Q$7,$B838&lt;'111'!$L$11),"x","")</f>
        <v/>
      </c>
      <c r="T838" s="79" t="str">
        <f>IF(ISERROR(FIND('112'!$M$9,G838,1)),"",IF((AND(FIND('112'!$M$9,G838,1)&gt;=1,B838='112'!$K$9,OR($N838='112'!$I$6,$O838='112'!$I$6))),"x",""))</f>
        <v/>
      </c>
      <c r="U838" s="79" t="str">
        <f>IF(ISERROR(FIND('112'!$M$9,G838,1)),"",IF((AND(LEFT(G838,2)=LEFT('112'!$M$9,2),B838&lt;'112'!$K$9,$N838='112'!$I$6)),"x",""))</f>
        <v/>
      </c>
      <c r="V838" s="79" t="str">
        <f>IF(ISERROR(FIND('112'!$M$9,G838,1)),"",IF((AND(RIGHT(G838,2)=RIGHT('112'!$M$9,2),B838&lt;'112'!$K$9,$O838='112'!$I$6)),"x",""))</f>
        <v/>
      </c>
      <c r="W838" s="79" t="str">
        <f>IF(AND('341-CT'!$H$9=H838,OR(LEFT(N838,3)=$W$7,LEFT(O838,3)=$W$7)),"x","")</f>
        <v/>
      </c>
      <c r="X838" s="79" t="str">
        <f>IF(OR(TH!N838=TH!$X$7,O838=TH!$X$7),"x","")</f>
        <v/>
      </c>
      <c r="Y838" s="79" t="str">
        <f>IF(AND(OR(N838="131",O838="131"),H838='131-CT'!$H$9),"x","")</f>
        <v/>
      </c>
      <c r="Z838" s="79"/>
      <c r="AA838" s="79" t="str">
        <f>IF(AND(MONTH(E838)='IN-NX'!$J$5,'IN-NX'!$D$7=D838),"x","")</f>
        <v/>
      </c>
      <c r="AB838" s="79" t="str">
        <f>IF(AND(OR(LEFT(TH!N838,2)="15",LEFT(TH!O838,2)="15"),LEFT(TH!O838,3)&lt;&gt;"111",'152-CT'!$J$8=TH!F838),"x","")</f>
        <v/>
      </c>
      <c r="AC838" s="79" t="str">
        <f>IF(AND(OR(LEFT(TH!N838,2)="15",LEFT(TH!O838,2)="15"),TK!$E$7=TH!F838),"x","")</f>
        <v/>
      </c>
      <c r="AD838" s="79" t="str">
        <f>IF(AND(N838="1521",MONTH(C838)='BK-NL'!$M$11),"x","")</f>
        <v/>
      </c>
    </row>
    <row r="839" spans="1:30" ht="16.5" customHeight="1">
      <c r="A839" s="318" t="str">
        <f>IF(B839&lt;&gt;"",IF(AND(B839='IN-TC'!$S$4,OR(TH!N839="1111",TH!O839="1111")),TH!D839,""),"")</f>
        <v/>
      </c>
      <c r="B839" s="60" t="str">
        <f t="shared" si="150"/>
        <v/>
      </c>
      <c r="C839" s="974"/>
      <c r="D839" s="974"/>
      <c r="E839" s="974"/>
      <c r="F839" s="975"/>
      <c r="G839" s="976"/>
      <c r="H839" s="759"/>
      <c r="I839" s="383"/>
      <c r="J839" s="977"/>
      <c r="K839" s="383"/>
      <c r="L839" s="390"/>
      <c r="M839" s="978"/>
      <c r="N839" s="979"/>
      <c r="O839" s="979"/>
      <c r="P839" s="79" t="str">
        <f>IF(AND('331-CT'!$E$7=TH!H839,OR(N839="331",O839="331")),"x","")</f>
        <v/>
      </c>
      <c r="Q839" s="79" t="str">
        <f>IF(AND(B839='111'!$L$11,OR($N839=$Q$7,$O839=$Q$7)),"x","")</f>
        <v/>
      </c>
      <c r="R839" s="79" t="str">
        <f>IF(AND($N839=$Q$7,$B839&lt;'111'!$L$11),"x","")</f>
        <v/>
      </c>
      <c r="S839" s="79" t="str">
        <f>IF(AND($O839=$Q$7,$B839&lt;'111'!$L$11),"x","")</f>
        <v/>
      </c>
      <c r="T839" s="79" t="str">
        <f>IF(ISERROR(FIND('112'!$M$9,G839,1)),"",IF((AND(FIND('112'!$M$9,G839,1)&gt;=1,B839='112'!$K$9,OR($N839='112'!$I$6,$O839='112'!$I$6))),"x",""))</f>
        <v/>
      </c>
      <c r="U839" s="79" t="str">
        <f>IF(ISERROR(FIND('112'!$M$9,G839,1)),"",IF((AND(LEFT(G839,2)=LEFT('112'!$M$9,2),B839&lt;'112'!$K$9,$N839='112'!$I$6)),"x",""))</f>
        <v/>
      </c>
      <c r="V839" s="79" t="str">
        <f>IF(ISERROR(FIND('112'!$M$9,G839,1)),"",IF((AND(RIGHT(G839,2)=RIGHT('112'!$M$9,2),B839&lt;'112'!$K$9,$O839='112'!$I$6)),"x",""))</f>
        <v/>
      </c>
      <c r="W839" s="79" t="str">
        <f>IF(AND('341-CT'!$H$9=H839,OR(LEFT(N839,3)=$W$7,LEFT(O839,3)=$W$7)),"x","")</f>
        <v/>
      </c>
      <c r="X839" s="79" t="str">
        <f>IF(OR(TH!N839=TH!$X$7,O839=TH!$X$7),"x","")</f>
        <v/>
      </c>
      <c r="Y839" s="79" t="str">
        <f>IF(AND(OR(N839="131",O839="131"),H839='131-CT'!$H$9),"x","")</f>
        <v/>
      </c>
      <c r="Z839" s="79"/>
      <c r="AA839" s="79" t="str">
        <f>IF(AND(MONTH(E839)='IN-NX'!$J$5,'IN-NX'!$D$7=D839),"x","")</f>
        <v/>
      </c>
      <c r="AB839" s="79" t="str">
        <f>IF(AND(OR(LEFT(TH!N839,2)="15",LEFT(TH!O839,2)="15"),LEFT(TH!O839,3)&lt;&gt;"111",'152-CT'!$J$8=TH!F839),"x","")</f>
        <v/>
      </c>
      <c r="AC839" s="79" t="str">
        <f>IF(AND(OR(LEFT(TH!N839,2)="15",LEFT(TH!O839,2)="15"),TK!$E$7=TH!F839),"x","")</f>
        <v/>
      </c>
      <c r="AD839" s="79" t="str">
        <f>IF(AND(N839="1521",MONTH(C839)='BK-NL'!$M$11),"x","")</f>
        <v/>
      </c>
    </row>
    <row r="840" spans="1:30" ht="16.5" customHeight="1">
      <c r="A840" s="318" t="str">
        <f>IF(B840&lt;&gt;"",IF(AND(B840='IN-TC'!$S$4,OR(TH!N840="1111",TH!O840="1111")),TH!D840,""),"")</f>
        <v/>
      </c>
      <c r="B840" s="60" t="str">
        <f t="shared" si="150"/>
        <v/>
      </c>
      <c r="C840" s="974"/>
      <c r="D840" s="974"/>
      <c r="E840" s="974"/>
      <c r="F840" s="975"/>
      <c r="G840" s="976"/>
      <c r="H840" s="759"/>
      <c r="I840" s="383"/>
      <c r="J840" s="977"/>
      <c r="K840" s="383"/>
      <c r="L840" s="390"/>
      <c r="M840" s="978"/>
      <c r="N840" s="979"/>
      <c r="O840" s="979"/>
      <c r="P840" s="79" t="str">
        <f>IF(AND('331-CT'!$E$7=TH!H840,OR(N840="331",O840="331")),"x","")</f>
        <v/>
      </c>
      <c r="Q840" s="79" t="str">
        <f>IF(AND(B840='111'!$L$11,OR($N840=$Q$7,$O840=$Q$7)),"x","")</f>
        <v/>
      </c>
      <c r="R840" s="79" t="str">
        <f>IF(AND($N840=$Q$7,$B840&lt;'111'!$L$11),"x","")</f>
        <v/>
      </c>
      <c r="S840" s="79" t="str">
        <f>IF(AND($O840=$Q$7,$B840&lt;'111'!$L$11),"x","")</f>
        <v/>
      </c>
      <c r="T840" s="79" t="str">
        <f>IF(ISERROR(FIND('112'!$M$9,G840,1)),"",IF((AND(FIND('112'!$M$9,G840,1)&gt;=1,B840='112'!$K$9,OR($N840='112'!$I$6,$O840='112'!$I$6))),"x",""))</f>
        <v/>
      </c>
      <c r="U840" s="79" t="str">
        <f>IF(ISERROR(FIND('112'!$M$9,G840,1)),"",IF((AND(LEFT(G840,2)=LEFT('112'!$M$9,2),B840&lt;'112'!$K$9,$N840='112'!$I$6)),"x",""))</f>
        <v/>
      </c>
      <c r="V840" s="79" t="str">
        <f>IF(ISERROR(FIND('112'!$M$9,G840,1)),"",IF((AND(RIGHT(G840,2)=RIGHT('112'!$M$9,2),B840&lt;'112'!$K$9,$O840='112'!$I$6)),"x",""))</f>
        <v/>
      </c>
      <c r="W840" s="79" t="str">
        <f>IF(AND('341-CT'!$H$9=H840,OR(LEFT(N840,3)=$W$7,LEFT(O840,3)=$W$7)),"x","")</f>
        <v/>
      </c>
      <c r="X840" s="79" t="str">
        <f>IF(OR(TH!N840=TH!$X$7,O840=TH!$X$7),"x","")</f>
        <v/>
      </c>
      <c r="Y840" s="79" t="str">
        <f>IF(AND(OR(N840="131",O840="131"),H840='131-CT'!$H$9),"x","")</f>
        <v/>
      </c>
      <c r="Z840" s="79"/>
      <c r="AA840" s="79" t="str">
        <f>IF(AND(MONTH(E840)='IN-NX'!$J$5,'IN-NX'!$D$7=D840),"x","")</f>
        <v/>
      </c>
      <c r="AB840" s="79" t="str">
        <f>IF(AND(OR(LEFT(TH!N840,2)="15",LEFT(TH!O840,2)="15"),LEFT(TH!O840,3)&lt;&gt;"111",'152-CT'!$J$8=TH!F840),"x","")</f>
        <v/>
      </c>
      <c r="AC840" s="79" t="str">
        <f>IF(AND(OR(LEFT(TH!N840,2)="15",LEFT(TH!O840,2)="15"),TK!$E$7=TH!F840),"x","")</f>
        <v/>
      </c>
      <c r="AD840" s="79" t="str">
        <f>IF(AND(N840="1521",MONTH(C840)='BK-NL'!$M$11),"x","")</f>
        <v/>
      </c>
    </row>
    <row r="841" spans="1:30" ht="16.5" customHeight="1">
      <c r="A841" s="318" t="str">
        <f>IF(B841&lt;&gt;"",IF(AND(B841='IN-TC'!$S$4,OR(TH!N841="1111",TH!O841="1111")),TH!D841,""),"")</f>
        <v/>
      </c>
      <c r="B841" s="60" t="str">
        <f t="shared" ref="B841:B862" si="151">IF(C841&lt;&gt;"",MONTH(C841),"")</f>
        <v/>
      </c>
      <c r="C841" s="974"/>
      <c r="D841" s="974"/>
      <c r="E841" s="974"/>
      <c r="F841" s="975"/>
      <c r="G841" s="976"/>
      <c r="H841" s="77"/>
      <c r="I841" s="383"/>
      <c r="J841" s="977"/>
      <c r="K841" s="383"/>
      <c r="L841" s="390"/>
      <c r="M841" s="978"/>
      <c r="N841" s="979"/>
      <c r="O841" s="979"/>
      <c r="P841" s="79" t="str">
        <f>IF(AND('331-CT'!$E$7=TH!H841,OR(N841="331",O841="331")),"x","")</f>
        <v/>
      </c>
      <c r="Q841" s="79" t="str">
        <f>IF(AND(B841='111'!$L$11,OR($N841=$Q$7,$O841=$Q$7)),"x","")</f>
        <v/>
      </c>
      <c r="R841" s="79" t="str">
        <f>IF(AND($N841=$Q$7,$B841&lt;'111'!$L$11),"x","")</f>
        <v/>
      </c>
      <c r="S841" s="79" t="str">
        <f>IF(AND($O841=$Q$7,$B841&lt;'111'!$L$11),"x","")</f>
        <v/>
      </c>
      <c r="T841" s="79" t="str">
        <f>IF(ISERROR(FIND('112'!$M$9,G841,1)),"",IF((AND(FIND('112'!$M$9,G841,1)&gt;=1,B841='112'!$K$9,OR($N841='112'!$I$6,$O841='112'!$I$6))),"x",""))</f>
        <v/>
      </c>
      <c r="U841" s="79" t="str">
        <f>IF(ISERROR(FIND('112'!$M$9,G841,1)),"",IF((AND(LEFT(G841,2)=LEFT('112'!$M$9,2),B841&lt;'112'!$K$9,$N841='112'!$I$6)),"x",""))</f>
        <v/>
      </c>
      <c r="V841" s="79" t="str">
        <f>IF(ISERROR(FIND('112'!$M$9,G841,1)),"",IF((AND(RIGHT(G841,2)=RIGHT('112'!$M$9,2),B841&lt;'112'!$K$9,$O841='112'!$I$6)),"x",""))</f>
        <v/>
      </c>
      <c r="W841" s="79" t="str">
        <f>IF(AND('341-CT'!$H$9=H841,OR(LEFT(N841,3)=$W$7,LEFT(O841,3)=$W$7)),"x","")</f>
        <v/>
      </c>
      <c r="X841" s="79" t="str">
        <f>IF(OR(TH!N841=TH!$X$7,O841=TH!$X$7),"x","")</f>
        <v/>
      </c>
      <c r="Y841" s="79" t="str">
        <f>IF(AND(OR(N841="131",O841="131"),H841='131-CT'!$H$9),"x","")</f>
        <v/>
      </c>
      <c r="Z841" s="79"/>
      <c r="AA841" s="79" t="str">
        <f>IF(AND(MONTH(E841)='IN-NX'!$J$5,'IN-NX'!$D$7=D841),"x","")</f>
        <v/>
      </c>
      <c r="AB841" s="79" t="str">
        <f>IF(AND(OR(LEFT(TH!N841,2)="15",LEFT(TH!O841,2)="15"),LEFT(TH!O841,3)&lt;&gt;"111",'152-CT'!$J$8=TH!F841),"x","")</f>
        <v/>
      </c>
      <c r="AC841" s="79" t="str">
        <f>IF(AND(OR(LEFT(TH!N841,2)="15",LEFT(TH!O841,2)="15"),TK!$E$7=TH!F841),"x","")</f>
        <v/>
      </c>
      <c r="AD841" s="79" t="str">
        <f>IF(AND(N841="1521",MONTH(C841)='BK-NL'!$M$11),"x","")</f>
        <v/>
      </c>
    </row>
    <row r="842" spans="1:30" ht="16.5" customHeight="1">
      <c r="A842" s="318" t="str">
        <f>IF(B842&lt;&gt;"",IF(AND(B842='IN-TC'!$S$4,OR(TH!N842="1111",TH!O842="1111")),TH!D842,""),"")</f>
        <v/>
      </c>
      <c r="B842" s="60" t="str">
        <f t="shared" si="151"/>
        <v/>
      </c>
      <c r="C842" s="974"/>
      <c r="D842" s="974"/>
      <c r="E842" s="974"/>
      <c r="F842" s="975"/>
      <c r="G842" s="976"/>
      <c r="H842" s="77"/>
      <c r="I842" s="383"/>
      <c r="J842" s="977"/>
      <c r="K842" s="383"/>
      <c r="L842" s="390"/>
      <c r="M842" s="978"/>
      <c r="N842" s="979"/>
      <c r="O842" s="979"/>
      <c r="P842" s="79" t="str">
        <f>IF(AND('331-CT'!$E$7=TH!H842,OR(N842="331",O842="331")),"x","")</f>
        <v/>
      </c>
      <c r="Q842" s="79" t="str">
        <f>IF(AND(B842='111'!$L$11,OR($N842=$Q$7,$O842=$Q$7)),"x","")</f>
        <v/>
      </c>
      <c r="R842" s="79" t="str">
        <f>IF(AND($N842=$Q$7,$B842&lt;'111'!$L$11),"x","")</f>
        <v/>
      </c>
      <c r="S842" s="79" t="str">
        <f>IF(AND($O842=$Q$7,$B842&lt;'111'!$L$11),"x","")</f>
        <v/>
      </c>
      <c r="T842" s="79" t="str">
        <f>IF(ISERROR(FIND('112'!$M$9,G842,1)),"",IF((AND(FIND('112'!$M$9,G842,1)&gt;=1,B842='112'!$K$9,OR($N842='112'!$I$6,$O842='112'!$I$6))),"x",""))</f>
        <v/>
      </c>
      <c r="U842" s="79" t="str">
        <f>IF(ISERROR(FIND('112'!$M$9,G842,1)),"",IF((AND(LEFT(G842,2)=LEFT('112'!$M$9,2),B842&lt;'112'!$K$9,$N842='112'!$I$6)),"x",""))</f>
        <v/>
      </c>
      <c r="V842" s="79" t="str">
        <f>IF(ISERROR(FIND('112'!$M$9,G842,1)),"",IF((AND(RIGHT(G842,2)=RIGHT('112'!$M$9,2),B842&lt;'112'!$K$9,$O842='112'!$I$6)),"x",""))</f>
        <v/>
      </c>
      <c r="W842" s="79" t="str">
        <f>IF(AND('341-CT'!$H$9=H842,OR(LEFT(N842,3)=$W$7,LEFT(O842,3)=$W$7)),"x","")</f>
        <v/>
      </c>
      <c r="X842" s="79" t="str">
        <f>IF(OR(TH!N842=TH!$X$7,O842=TH!$X$7),"x","")</f>
        <v/>
      </c>
      <c r="Y842" s="79" t="str">
        <f>IF(AND(OR(N842="131",O842="131"),H842='131-CT'!$H$9),"x","")</f>
        <v/>
      </c>
      <c r="Z842" s="79"/>
      <c r="AA842" s="79" t="str">
        <f>IF(AND(MONTH(E842)='IN-NX'!$J$5,'IN-NX'!$D$7=D842),"x","")</f>
        <v/>
      </c>
      <c r="AB842" s="79" t="str">
        <f>IF(AND(OR(LEFT(TH!N842,2)="15",LEFT(TH!O842,2)="15"),LEFT(TH!O842,3)&lt;&gt;"111",'152-CT'!$J$8=TH!F842),"x","")</f>
        <v/>
      </c>
      <c r="AC842" s="79" t="str">
        <f>IF(AND(OR(LEFT(TH!N842,2)="15",LEFT(TH!O842,2)="15"),TK!$E$7=TH!F842),"x","")</f>
        <v/>
      </c>
      <c r="AD842" s="79" t="str">
        <f>IF(AND(N842="1521",MONTH(C842)='BK-NL'!$M$11),"x","")</f>
        <v/>
      </c>
    </row>
    <row r="843" spans="1:30" ht="16.5" customHeight="1">
      <c r="A843" s="318" t="str">
        <f>IF(B843&lt;&gt;"",IF(AND(B843='IN-TC'!$S$4,OR(TH!N843="1111",TH!O843="1111")),TH!D843,""),"")</f>
        <v/>
      </c>
      <c r="B843" s="60" t="str">
        <f t="shared" si="151"/>
        <v/>
      </c>
      <c r="C843" s="974"/>
      <c r="D843" s="974"/>
      <c r="E843" s="974"/>
      <c r="F843" s="975"/>
      <c r="G843" s="976"/>
      <c r="H843" s="305"/>
      <c r="I843" s="383"/>
      <c r="J843" s="977"/>
      <c r="K843" s="383"/>
      <c r="L843" s="390"/>
      <c r="M843" s="978"/>
      <c r="N843" s="979"/>
      <c r="O843" s="979"/>
      <c r="P843" s="79" t="str">
        <f>IF(AND('331-CT'!$E$7=TH!H843,OR(N843="331",O843="331")),"x","")</f>
        <v/>
      </c>
      <c r="Q843" s="79" t="str">
        <f>IF(AND(B843='111'!$L$11,OR($N843=$Q$7,$O843=$Q$7)),"x","")</f>
        <v/>
      </c>
      <c r="R843" s="79" t="str">
        <f>IF(AND($N843=$Q$7,$B843&lt;'111'!$L$11),"x","")</f>
        <v/>
      </c>
      <c r="S843" s="79" t="str">
        <f>IF(AND($O843=$Q$7,$B843&lt;'111'!$L$11),"x","")</f>
        <v/>
      </c>
      <c r="T843" s="79" t="str">
        <f>IF(ISERROR(FIND('112'!$M$9,G843,1)),"",IF((AND(FIND('112'!$M$9,G843,1)&gt;=1,B843='112'!$K$9,OR($N843='112'!$I$6,$O843='112'!$I$6))),"x",""))</f>
        <v/>
      </c>
      <c r="U843" s="79" t="str">
        <f>IF(ISERROR(FIND('112'!$M$9,G843,1)),"",IF((AND(LEFT(G843,2)=LEFT('112'!$M$9,2),B843&lt;'112'!$K$9,$N843='112'!$I$6)),"x",""))</f>
        <v/>
      </c>
      <c r="V843" s="79" t="str">
        <f>IF(ISERROR(FIND('112'!$M$9,G843,1)),"",IF((AND(RIGHT(G843,2)=RIGHT('112'!$M$9,2),B843&lt;'112'!$K$9,$O843='112'!$I$6)),"x",""))</f>
        <v/>
      </c>
      <c r="W843" s="79" t="str">
        <f>IF(AND('341-CT'!$H$9=H843,OR(LEFT(N843,3)=$W$7,LEFT(O843,3)=$W$7)),"x","")</f>
        <v/>
      </c>
      <c r="X843" s="79" t="str">
        <f>IF(OR(TH!N843=TH!$X$7,O843=TH!$X$7),"x","")</f>
        <v/>
      </c>
      <c r="Y843" s="79" t="str">
        <f>IF(AND(OR(N843="131",O843="131"),H843='131-CT'!$H$9),"x","")</f>
        <v/>
      </c>
      <c r="Z843" s="79"/>
      <c r="AA843" s="79" t="str">
        <f>IF(AND(MONTH(E843)='IN-NX'!$J$5,'IN-NX'!$D$7=D843),"x","")</f>
        <v/>
      </c>
      <c r="AB843" s="79" t="str">
        <f>IF(AND(OR(LEFT(TH!N843,2)="15",LEFT(TH!O843,2)="15"),LEFT(TH!O843,3)&lt;&gt;"111",'152-CT'!$J$8=TH!F843),"x","")</f>
        <v/>
      </c>
      <c r="AC843" s="79" t="str">
        <f>IF(AND(OR(LEFT(TH!N843,2)="15",LEFT(TH!O843,2)="15"),TK!$E$7=TH!F843),"x","")</f>
        <v/>
      </c>
      <c r="AD843" s="79" t="str">
        <f>IF(AND(N843="1521",MONTH(C843)='BK-NL'!$M$11),"x","")</f>
        <v/>
      </c>
    </row>
    <row r="844" spans="1:30" ht="16.5" customHeight="1">
      <c r="A844" s="318" t="str">
        <f>IF(B844&lt;&gt;"",IF(AND(B844='IN-TC'!$S$4,OR(TH!N844="1111",TH!O844="1111")),TH!D844,""),"")</f>
        <v/>
      </c>
      <c r="B844" s="60" t="str">
        <f t="shared" si="151"/>
        <v/>
      </c>
      <c r="C844" s="974"/>
      <c r="D844" s="974"/>
      <c r="E844" s="974"/>
      <c r="F844" s="975"/>
      <c r="G844" s="976"/>
      <c r="H844" s="305"/>
      <c r="I844" s="383"/>
      <c r="J844" s="977"/>
      <c r="K844" s="383"/>
      <c r="L844" s="390"/>
      <c r="M844" s="978"/>
      <c r="N844" s="979"/>
      <c r="O844" s="979"/>
      <c r="P844" s="79" t="str">
        <f>IF(AND('331-CT'!$E$7=TH!H844,OR(N844="331",O844="331")),"x","")</f>
        <v/>
      </c>
      <c r="Q844" s="79" t="str">
        <f>IF(AND(B844='111'!$L$11,OR($N844=$Q$7,$O844=$Q$7)),"x","")</f>
        <v/>
      </c>
      <c r="R844" s="79" t="str">
        <f>IF(AND($N844=$Q$7,$B844&lt;'111'!$L$11),"x","")</f>
        <v/>
      </c>
      <c r="S844" s="79" t="str">
        <f>IF(AND($O844=$Q$7,$B844&lt;'111'!$L$11),"x","")</f>
        <v/>
      </c>
      <c r="T844" s="79" t="str">
        <f>IF(ISERROR(FIND('112'!$M$9,G844,1)),"",IF((AND(FIND('112'!$M$9,G844,1)&gt;=1,B844='112'!$K$9,OR($N844='112'!$I$6,$O844='112'!$I$6))),"x",""))</f>
        <v/>
      </c>
      <c r="U844" s="79" t="str">
        <f>IF(ISERROR(FIND('112'!$M$9,G844,1)),"",IF((AND(LEFT(G844,2)=LEFT('112'!$M$9,2),B844&lt;'112'!$K$9,$N844='112'!$I$6)),"x",""))</f>
        <v/>
      </c>
      <c r="V844" s="79" t="str">
        <f>IF(ISERROR(FIND('112'!$M$9,G844,1)),"",IF((AND(RIGHT(G844,2)=RIGHT('112'!$M$9,2),B844&lt;'112'!$K$9,$O844='112'!$I$6)),"x",""))</f>
        <v/>
      </c>
      <c r="W844" s="79" t="str">
        <f>IF(AND('341-CT'!$H$9=H844,OR(LEFT(N844,3)=$W$7,LEFT(O844,3)=$W$7)),"x","")</f>
        <v/>
      </c>
      <c r="X844" s="79" t="str">
        <f>IF(OR(TH!N844=TH!$X$7,O844=TH!$X$7),"x","")</f>
        <v/>
      </c>
      <c r="Y844" s="79" t="str">
        <f>IF(AND(OR(N844="131",O844="131"),H844='131-CT'!$H$9),"x","")</f>
        <v/>
      </c>
      <c r="Z844" s="79"/>
      <c r="AA844" s="79" t="str">
        <f>IF(AND(MONTH(E844)='IN-NX'!$J$5,'IN-NX'!$D$7=D844),"x","")</f>
        <v/>
      </c>
      <c r="AB844" s="79" t="str">
        <f>IF(AND(OR(LEFT(TH!N844,2)="15",LEFT(TH!O844,2)="15"),LEFT(TH!O844,3)&lt;&gt;"111",'152-CT'!$J$8=TH!F844),"x","")</f>
        <v/>
      </c>
      <c r="AC844" s="79" t="str">
        <f>IF(AND(OR(LEFT(TH!N844,2)="15",LEFT(TH!O844,2)="15"),TK!$E$7=TH!F844),"x","")</f>
        <v/>
      </c>
      <c r="AD844" s="79" t="str">
        <f>IF(AND(N844="1521",MONTH(C844)='BK-NL'!$M$11),"x","")</f>
        <v/>
      </c>
    </row>
    <row r="845" spans="1:30" ht="16.5" customHeight="1">
      <c r="A845" s="318" t="str">
        <f>IF(B845&lt;&gt;"",IF(AND(B845='IN-TC'!$S$4,OR(TH!N845="1111",TH!O845="1111")),TH!D845,""),"")</f>
        <v/>
      </c>
      <c r="B845" s="60" t="str">
        <f t="shared" si="151"/>
        <v/>
      </c>
      <c r="C845" s="974"/>
      <c r="D845" s="974"/>
      <c r="E845" s="974"/>
      <c r="F845" s="975"/>
      <c r="G845" s="976"/>
      <c r="H845" s="305"/>
      <c r="I845" s="383"/>
      <c r="J845" s="977"/>
      <c r="K845" s="383"/>
      <c r="L845" s="390"/>
      <c r="M845" s="978"/>
      <c r="N845" s="979"/>
      <c r="O845" s="979"/>
      <c r="P845" s="79" t="str">
        <f>IF(AND('331-CT'!$E$7=TH!H845,OR(N845="331",O845="331")),"x","")</f>
        <v/>
      </c>
      <c r="Q845" s="79" t="str">
        <f>IF(AND(B845='111'!$L$11,OR($N845=$Q$7,$O845=$Q$7)),"x","")</f>
        <v/>
      </c>
      <c r="R845" s="79" t="str">
        <f>IF(AND($N845=$Q$7,$B845&lt;'111'!$L$11),"x","")</f>
        <v/>
      </c>
      <c r="S845" s="79" t="str">
        <f>IF(AND($O845=$Q$7,$B845&lt;'111'!$L$11),"x","")</f>
        <v/>
      </c>
      <c r="T845" s="79" t="str">
        <f>IF(ISERROR(FIND('112'!$M$9,G845,1)),"",IF((AND(FIND('112'!$M$9,G845,1)&gt;=1,B845='112'!$K$9,OR($N845='112'!$I$6,$O845='112'!$I$6))),"x",""))</f>
        <v/>
      </c>
      <c r="U845" s="79" t="str">
        <f>IF(ISERROR(FIND('112'!$M$9,G845,1)),"",IF((AND(LEFT(G845,2)=LEFT('112'!$M$9,2),B845&lt;'112'!$K$9,$N845='112'!$I$6)),"x",""))</f>
        <v/>
      </c>
      <c r="V845" s="79" t="str">
        <f>IF(ISERROR(FIND('112'!$M$9,G845,1)),"",IF((AND(RIGHT(G845,2)=RIGHT('112'!$M$9,2),B845&lt;'112'!$K$9,$O845='112'!$I$6)),"x",""))</f>
        <v/>
      </c>
      <c r="W845" s="79" t="str">
        <f>IF(AND('341-CT'!$H$9=H845,OR(LEFT(N845,3)=$W$7,LEFT(O845,3)=$W$7)),"x","")</f>
        <v/>
      </c>
      <c r="X845" s="79" t="str">
        <f>IF(OR(TH!N845=TH!$X$7,O845=TH!$X$7),"x","")</f>
        <v/>
      </c>
      <c r="Y845" s="79" t="str">
        <f>IF(AND(OR(N845="131",O845="131"),H845='131-CT'!$H$9),"x","")</f>
        <v/>
      </c>
      <c r="Z845" s="79"/>
      <c r="AA845" s="79" t="str">
        <f>IF(AND(MONTH(E845)='IN-NX'!$J$5,'IN-NX'!$D$7=D845),"x","")</f>
        <v/>
      </c>
      <c r="AB845" s="79" t="str">
        <f>IF(AND(OR(LEFT(TH!N845,2)="15",LEFT(TH!O845,2)="15"),LEFT(TH!O845,3)&lt;&gt;"111",'152-CT'!$J$8=TH!F845),"x","")</f>
        <v/>
      </c>
      <c r="AC845" s="79" t="str">
        <f>IF(AND(OR(LEFT(TH!N845,2)="15",LEFT(TH!O845,2)="15"),TK!$E$7=TH!F845),"x","")</f>
        <v/>
      </c>
      <c r="AD845" s="79" t="str">
        <f>IF(AND(N845="1521",MONTH(C845)='BK-NL'!$M$11),"x","")</f>
        <v/>
      </c>
    </row>
    <row r="846" spans="1:30" ht="16.5" customHeight="1">
      <c r="A846" s="318" t="str">
        <f>IF(B846&lt;&gt;"",IF(AND(B846='IN-TC'!$S$4,OR(TH!N846="1111",TH!O846="1111")),TH!D846,""),"")</f>
        <v/>
      </c>
      <c r="B846" s="60" t="str">
        <f t="shared" si="151"/>
        <v/>
      </c>
      <c r="C846" s="974"/>
      <c r="D846" s="974"/>
      <c r="E846" s="974"/>
      <c r="F846" s="975"/>
      <c r="G846" s="976"/>
      <c r="H846" s="305"/>
      <c r="I846" s="383"/>
      <c r="J846" s="977"/>
      <c r="K846" s="383"/>
      <c r="L846" s="390"/>
      <c r="M846" s="978"/>
      <c r="N846" s="979"/>
      <c r="O846" s="979"/>
      <c r="P846" s="79" t="str">
        <f>IF(AND('331-CT'!$E$7=TH!H846,OR(N846="331",O846="331")),"x","")</f>
        <v/>
      </c>
      <c r="Q846" s="79" t="str">
        <f>IF(AND(B846='111'!$L$11,OR($N846=$Q$7,$O846=$Q$7)),"x","")</f>
        <v/>
      </c>
      <c r="R846" s="79" t="str">
        <f>IF(AND($N846=$Q$7,$B846&lt;'111'!$L$11),"x","")</f>
        <v/>
      </c>
      <c r="S846" s="79" t="str">
        <f>IF(AND($O846=$Q$7,$B846&lt;'111'!$L$11),"x","")</f>
        <v/>
      </c>
      <c r="T846" s="79" t="str">
        <f>IF(ISERROR(FIND('112'!$M$9,G846,1)),"",IF((AND(FIND('112'!$M$9,G846,1)&gt;=1,B846='112'!$K$9,OR($N846='112'!$I$6,$O846='112'!$I$6))),"x",""))</f>
        <v/>
      </c>
      <c r="U846" s="79" t="str">
        <f>IF(ISERROR(FIND('112'!$M$9,G846,1)),"",IF((AND(LEFT(G846,2)=LEFT('112'!$M$9,2),B846&lt;'112'!$K$9,$N846='112'!$I$6)),"x",""))</f>
        <v/>
      </c>
      <c r="V846" s="79" t="str">
        <f>IF(ISERROR(FIND('112'!$M$9,G846,1)),"",IF((AND(RIGHT(G846,2)=RIGHT('112'!$M$9,2),B846&lt;'112'!$K$9,$O846='112'!$I$6)),"x",""))</f>
        <v/>
      </c>
      <c r="W846" s="79" t="str">
        <f>IF(AND('341-CT'!$H$9=H846,OR(LEFT(N846,3)=$W$7,LEFT(O846,3)=$W$7)),"x","")</f>
        <v/>
      </c>
      <c r="X846" s="79" t="str">
        <f>IF(OR(TH!N846=TH!$X$7,O846=TH!$X$7),"x","")</f>
        <v/>
      </c>
      <c r="Y846" s="79" t="str">
        <f>IF(AND(OR(N846="131",O846="131"),H846='131-CT'!$H$9),"x","")</f>
        <v/>
      </c>
      <c r="Z846" s="79"/>
      <c r="AA846" s="79" t="str">
        <f>IF(AND(MONTH(E846)='IN-NX'!$J$5,'IN-NX'!$D$7=D846),"x","")</f>
        <v/>
      </c>
      <c r="AB846" s="79" t="str">
        <f>IF(AND(OR(LEFT(TH!N846,2)="15",LEFT(TH!O846,2)="15"),LEFT(TH!O846,3)&lt;&gt;"111",'152-CT'!$J$8=TH!F846),"x","")</f>
        <v/>
      </c>
      <c r="AC846" s="79" t="str">
        <f>IF(AND(OR(LEFT(TH!N846,2)="15",LEFT(TH!O846,2)="15"),TK!$E$7=TH!F846),"x","")</f>
        <v/>
      </c>
      <c r="AD846" s="79" t="str">
        <f>IF(AND(N846="1521",MONTH(C846)='BK-NL'!$M$11),"x","")</f>
        <v/>
      </c>
    </row>
    <row r="847" spans="1:30" ht="16.5" customHeight="1">
      <c r="A847" s="318" t="str">
        <f>IF(B847&lt;&gt;"",IF(AND(B847='IN-TC'!$S$4,OR(TH!N847="1111",TH!O847="1111")),TH!D847,""),"")</f>
        <v/>
      </c>
      <c r="B847" s="60" t="str">
        <f t="shared" si="151"/>
        <v/>
      </c>
      <c r="C847" s="974"/>
      <c r="D847" s="974"/>
      <c r="E847" s="974"/>
      <c r="F847" s="975"/>
      <c r="G847" s="976"/>
      <c r="H847" s="305"/>
      <c r="I847" s="383"/>
      <c r="J847" s="977"/>
      <c r="K847" s="383"/>
      <c r="L847" s="390"/>
      <c r="M847" s="978"/>
      <c r="N847" s="979"/>
      <c r="O847" s="979"/>
      <c r="P847" s="79" t="str">
        <f>IF(AND('331-CT'!$E$7=TH!H847,OR(N847="331",O847="331")),"x","")</f>
        <v/>
      </c>
      <c r="Q847" s="79" t="str">
        <f>IF(AND(B847='111'!$L$11,OR($N847=$Q$7,$O847=$Q$7)),"x","")</f>
        <v/>
      </c>
      <c r="R847" s="79" t="str">
        <f>IF(AND($N847=$Q$7,$B847&lt;'111'!$L$11),"x","")</f>
        <v/>
      </c>
      <c r="S847" s="79" t="str">
        <f>IF(AND($O847=$Q$7,$B847&lt;'111'!$L$11),"x","")</f>
        <v/>
      </c>
      <c r="T847" s="79" t="str">
        <f>IF(ISERROR(FIND('112'!$M$9,G847,1)),"",IF((AND(FIND('112'!$M$9,G847,1)&gt;=1,B847='112'!$K$9,OR($N847='112'!$I$6,$O847='112'!$I$6))),"x",""))</f>
        <v/>
      </c>
      <c r="U847" s="79" t="str">
        <f>IF(ISERROR(FIND('112'!$M$9,G847,1)),"",IF((AND(LEFT(G847,2)=LEFT('112'!$M$9,2),B847&lt;'112'!$K$9,$N847='112'!$I$6)),"x",""))</f>
        <v/>
      </c>
      <c r="V847" s="79" t="str">
        <f>IF(ISERROR(FIND('112'!$M$9,G847,1)),"",IF((AND(RIGHT(G847,2)=RIGHT('112'!$M$9,2),B847&lt;'112'!$K$9,$O847='112'!$I$6)),"x",""))</f>
        <v/>
      </c>
      <c r="W847" s="79" t="str">
        <f>IF(AND('341-CT'!$H$9=H847,OR(LEFT(N847,3)=$W$7,LEFT(O847,3)=$W$7)),"x","")</f>
        <v/>
      </c>
      <c r="X847" s="79" t="str">
        <f>IF(OR(TH!N847=TH!$X$7,O847=TH!$X$7),"x","")</f>
        <v/>
      </c>
      <c r="Y847" s="79" t="str">
        <f>IF(AND(OR(N847="131",O847="131"),H847='131-CT'!$H$9),"x","")</f>
        <v/>
      </c>
      <c r="Z847" s="79"/>
      <c r="AA847" s="79" t="str">
        <f>IF(AND(MONTH(E847)='IN-NX'!$J$5,'IN-NX'!$D$7=D847),"x","")</f>
        <v/>
      </c>
      <c r="AB847" s="79" t="str">
        <f>IF(AND(OR(LEFT(TH!N847,2)="15",LEFT(TH!O847,2)="15"),LEFT(TH!O847,3)&lt;&gt;"111",'152-CT'!$J$8=TH!F847),"x","")</f>
        <v/>
      </c>
      <c r="AC847" s="79" t="str">
        <f>IF(AND(OR(LEFT(TH!N847,2)="15",LEFT(TH!O847,2)="15"),TK!$E$7=TH!F847),"x","")</f>
        <v/>
      </c>
      <c r="AD847" s="79" t="str">
        <f>IF(AND(N847="1521",MONTH(C847)='BK-NL'!$M$11),"x","")</f>
        <v/>
      </c>
    </row>
    <row r="848" spans="1:30" ht="16.5" customHeight="1">
      <c r="A848" s="318" t="str">
        <f>IF(B848&lt;&gt;"",IF(AND(B848='IN-TC'!$S$4,OR(TH!N848="1111",TH!O848="1111")),TH!D848,""),"")</f>
        <v/>
      </c>
      <c r="B848" s="60" t="str">
        <f t="shared" si="151"/>
        <v/>
      </c>
      <c r="C848" s="974"/>
      <c r="D848" s="974"/>
      <c r="E848" s="974"/>
      <c r="F848" s="975"/>
      <c r="G848" s="976"/>
      <c r="H848" s="305"/>
      <c r="I848" s="383"/>
      <c r="J848" s="977"/>
      <c r="K848" s="383"/>
      <c r="L848" s="390"/>
      <c r="M848" s="978"/>
      <c r="N848" s="979"/>
      <c r="O848" s="979"/>
      <c r="P848" s="79" t="str">
        <f>IF(AND('331-CT'!$E$7=TH!H848,OR(N848="331",O848="331")),"x","")</f>
        <v/>
      </c>
      <c r="Q848" s="79" t="str">
        <f>IF(AND(B848='111'!$L$11,OR($N848=$Q$7,$O848=$Q$7)),"x","")</f>
        <v/>
      </c>
      <c r="R848" s="79" t="str">
        <f>IF(AND($N848=$Q$7,$B848&lt;'111'!$L$11),"x","")</f>
        <v/>
      </c>
      <c r="S848" s="79" t="str">
        <f>IF(AND($O848=$Q$7,$B848&lt;'111'!$L$11),"x","")</f>
        <v/>
      </c>
      <c r="T848" s="79" t="str">
        <f>IF(ISERROR(FIND('112'!$M$9,G848,1)),"",IF((AND(FIND('112'!$M$9,G848,1)&gt;=1,B848='112'!$K$9,OR($N848='112'!$I$6,$O848='112'!$I$6))),"x",""))</f>
        <v/>
      </c>
      <c r="U848" s="79" t="str">
        <f>IF(ISERROR(FIND('112'!$M$9,G848,1)),"",IF((AND(LEFT(G848,2)=LEFT('112'!$M$9,2),B848&lt;'112'!$K$9,$N848='112'!$I$6)),"x",""))</f>
        <v/>
      </c>
      <c r="V848" s="79" t="str">
        <f>IF(ISERROR(FIND('112'!$M$9,G848,1)),"",IF((AND(RIGHT(G848,2)=RIGHT('112'!$M$9,2),B848&lt;'112'!$K$9,$O848='112'!$I$6)),"x",""))</f>
        <v/>
      </c>
      <c r="W848" s="79" t="str">
        <f>IF(AND('341-CT'!$H$9=H848,OR(LEFT(N848,3)=$W$7,LEFT(O848,3)=$W$7)),"x","")</f>
        <v/>
      </c>
      <c r="X848" s="79" t="str">
        <f>IF(OR(TH!N848=TH!$X$7,O848=TH!$X$7),"x","")</f>
        <v/>
      </c>
      <c r="Y848" s="79" t="str">
        <f>IF(AND(OR(N848="131",O848="131"),H848='131-CT'!$H$9),"x","")</f>
        <v/>
      </c>
      <c r="Z848" s="79"/>
      <c r="AA848" s="79" t="str">
        <f>IF(AND(MONTH(E848)='IN-NX'!$J$5,'IN-NX'!$D$7=D848),"x","")</f>
        <v/>
      </c>
      <c r="AB848" s="79" t="str">
        <f>IF(AND(OR(LEFT(TH!N848,2)="15",LEFT(TH!O848,2)="15"),LEFT(TH!O848,3)&lt;&gt;"111",'152-CT'!$J$8=TH!F848),"x","")</f>
        <v/>
      </c>
      <c r="AC848" s="79" t="str">
        <f>IF(AND(OR(LEFT(TH!N848,2)="15",LEFT(TH!O848,2)="15"),TK!$E$7=TH!F848),"x","")</f>
        <v/>
      </c>
      <c r="AD848" s="79" t="str">
        <f>IF(AND(N848="1521",MONTH(C848)='BK-NL'!$M$11),"x","")</f>
        <v/>
      </c>
    </row>
    <row r="849" spans="1:30" ht="16.5" customHeight="1">
      <c r="A849" s="318" t="str">
        <f>IF(B849&lt;&gt;"",IF(AND(B849='IN-TC'!$S$4,OR(TH!N849="1111",TH!O849="1111")),TH!D849,""),"")</f>
        <v/>
      </c>
      <c r="B849" s="60" t="str">
        <f t="shared" si="151"/>
        <v/>
      </c>
      <c r="C849" s="974"/>
      <c r="D849" s="974"/>
      <c r="E849" s="974"/>
      <c r="F849" s="975"/>
      <c r="G849" s="976"/>
      <c r="H849" s="305"/>
      <c r="I849" s="383"/>
      <c r="J849" s="977"/>
      <c r="K849" s="383"/>
      <c r="L849" s="390"/>
      <c r="M849" s="978"/>
      <c r="N849" s="979"/>
      <c r="O849" s="979"/>
      <c r="P849" s="79" t="str">
        <f>IF(AND('331-CT'!$E$7=TH!H849,OR(N849="331",O849="331")),"x","")</f>
        <v/>
      </c>
      <c r="Q849" s="79" t="str">
        <f>IF(AND(B849='111'!$L$11,OR($N849=$Q$7,$O849=$Q$7)),"x","")</f>
        <v/>
      </c>
      <c r="R849" s="79" t="str">
        <f>IF(AND($N849=$Q$7,$B849&lt;'111'!$L$11),"x","")</f>
        <v/>
      </c>
      <c r="S849" s="79" t="str">
        <f>IF(AND($O849=$Q$7,$B849&lt;'111'!$L$11),"x","")</f>
        <v/>
      </c>
      <c r="T849" s="79" t="str">
        <f>IF(ISERROR(FIND('112'!$M$9,G849,1)),"",IF((AND(FIND('112'!$M$9,G849,1)&gt;=1,B849='112'!$K$9,OR($N849='112'!$I$6,$O849='112'!$I$6))),"x",""))</f>
        <v/>
      </c>
      <c r="U849" s="79" t="str">
        <f>IF(ISERROR(FIND('112'!$M$9,G849,1)),"",IF((AND(LEFT(G849,2)=LEFT('112'!$M$9,2),B849&lt;'112'!$K$9,$N849='112'!$I$6)),"x",""))</f>
        <v/>
      </c>
      <c r="V849" s="79" t="str">
        <f>IF(ISERROR(FIND('112'!$M$9,G849,1)),"",IF((AND(RIGHT(G849,2)=RIGHT('112'!$M$9,2),B849&lt;'112'!$K$9,$O849='112'!$I$6)),"x",""))</f>
        <v/>
      </c>
      <c r="W849" s="79" t="str">
        <f>IF(AND('341-CT'!$H$9=H849,OR(LEFT(N849,3)=$W$7,LEFT(O849,3)=$W$7)),"x","")</f>
        <v/>
      </c>
      <c r="X849" s="79" t="str">
        <f>IF(OR(TH!N849=TH!$X$7,O849=TH!$X$7),"x","")</f>
        <v/>
      </c>
      <c r="Y849" s="79" t="str">
        <f>IF(AND(OR(N849="131",O849="131"),H849='131-CT'!$H$9),"x","")</f>
        <v/>
      </c>
      <c r="Z849" s="79"/>
      <c r="AA849" s="79" t="str">
        <f>IF(AND(MONTH(E849)='IN-NX'!$J$5,'IN-NX'!$D$7=D849),"x","")</f>
        <v/>
      </c>
      <c r="AB849" s="79" t="str">
        <f>IF(AND(OR(LEFT(TH!N849,2)="15",LEFT(TH!O849,2)="15"),LEFT(TH!O849,3)&lt;&gt;"111",'152-CT'!$J$8=TH!F849),"x","")</f>
        <v/>
      </c>
      <c r="AC849" s="79" t="str">
        <f>IF(AND(OR(LEFT(TH!N849,2)="15",LEFT(TH!O849,2)="15"),TK!$E$7=TH!F849),"x","")</f>
        <v/>
      </c>
      <c r="AD849" s="79" t="str">
        <f>IF(AND(N849="1521",MONTH(C849)='BK-NL'!$M$11),"x","")</f>
        <v/>
      </c>
    </row>
    <row r="850" spans="1:30" ht="16.5" customHeight="1">
      <c r="A850" s="318" t="str">
        <f>IF(B850&lt;&gt;"",IF(AND(B850='IN-TC'!$S$4,OR(TH!N850="1111",TH!O850="1111")),TH!D850,""),"")</f>
        <v/>
      </c>
      <c r="B850" s="60" t="str">
        <f t="shared" si="151"/>
        <v/>
      </c>
      <c r="C850" s="974"/>
      <c r="D850" s="974"/>
      <c r="E850" s="974"/>
      <c r="F850" s="975"/>
      <c r="G850" s="976"/>
      <c r="H850" s="305"/>
      <c r="I850" s="383"/>
      <c r="J850" s="977"/>
      <c r="K850" s="383"/>
      <c r="L850" s="390"/>
      <c r="M850" s="978"/>
      <c r="N850" s="979"/>
      <c r="O850" s="979"/>
      <c r="P850" s="79" t="str">
        <f>IF(AND('331-CT'!$E$7=TH!H850,OR(N850="331",O850="331")),"x","")</f>
        <v/>
      </c>
      <c r="Q850" s="79" t="str">
        <f>IF(AND(B850='111'!$L$11,OR($N850=$Q$7,$O850=$Q$7)),"x","")</f>
        <v/>
      </c>
      <c r="R850" s="79" t="str">
        <f>IF(AND($N850=$Q$7,$B850&lt;'111'!$L$11),"x","")</f>
        <v/>
      </c>
      <c r="S850" s="79" t="str">
        <f>IF(AND($O850=$Q$7,$B850&lt;'111'!$L$11),"x","")</f>
        <v/>
      </c>
      <c r="T850" s="79" t="str">
        <f>IF(ISERROR(FIND('112'!$M$9,G850,1)),"",IF((AND(FIND('112'!$M$9,G850,1)&gt;=1,B850='112'!$K$9,OR($N850='112'!$I$6,$O850='112'!$I$6))),"x",""))</f>
        <v/>
      </c>
      <c r="U850" s="79" t="str">
        <f>IF(ISERROR(FIND('112'!$M$9,G850,1)),"",IF((AND(LEFT(G850,2)=LEFT('112'!$M$9,2),B850&lt;'112'!$K$9,$N850='112'!$I$6)),"x",""))</f>
        <v/>
      </c>
      <c r="V850" s="79" t="str">
        <f>IF(ISERROR(FIND('112'!$M$9,G850,1)),"",IF((AND(RIGHT(G850,2)=RIGHT('112'!$M$9,2),B850&lt;'112'!$K$9,$O850='112'!$I$6)),"x",""))</f>
        <v/>
      </c>
      <c r="W850" s="79" t="str">
        <f>IF(AND('341-CT'!$H$9=H850,OR(LEFT(N850,3)=$W$7,LEFT(O850,3)=$W$7)),"x","")</f>
        <v/>
      </c>
      <c r="X850" s="79" t="str">
        <f>IF(OR(TH!N850=TH!$X$7,O850=TH!$X$7),"x","")</f>
        <v/>
      </c>
      <c r="Y850" s="79" t="str">
        <f>IF(AND(OR(N850="131",O850="131"),H850='131-CT'!$H$9),"x","")</f>
        <v/>
      </c>
      <c r="Z850" s="79"/>
      <c r="AA850" s="79" t="str">
        <f>IF(AND(MONTH(E850)='IN-NX'!$J$5,'IN-NX'!$D$7=D850),"x","")</f>
        <v/>
      </c>
      <c r="AB850" s="79" t="str">
        <f>IF(AND(OR(LEFT(TH!N850,2)="15",LEFT(TH!O850,2)="15"),LEFT(TH!O850,3)&lt;&gt;"111",'152-CT'!$J$8=TH!F850),"x","")</f>
        <v/>
      </c>
      <c r="AC850" s="79" t="str">
        <f>IF(AND(OR(LEFT(TH!N850,2)="15",LEFT(TH!O850,2)="15"),TK!$E$7=TH!F850),"x","")</f>
        <v/>
      </c>
      <c r="AD850" s="79" t="str">
        <f>IF(AND(N850="1521",MONTH(C850)='BK-NL'!$M$11),"x","")</f>
        <v/>
      </c>
    </row>
    <row r="851" spans="1:30" ht="16.5" customHeight="1">
      <c r="A851" s="318" t="str">
        <f>IF(B851&lt;&gt;"",IF(AND(B851='IN-TC'!$S$4,OR(TH!N851="1111",TH!O851="1111")),TH!D851,""),"")</f>
        <v/>
      </c>
      <c r="B851" s="60" t="str">
        <f t="shared" si="151"/>
        <v/>
      </c>
      <c r="C851" s="974"/>
      <c r="D851" s="974"/>
      <c r="E851" s="974"/>
      <c r="F851" s="975"/>
      <c r="G851" s="976"/>
      <c r="H851" s="305"/>
      <c r="I851" s="383"/>
      <c r="J851" s="977"/>
      <c r="K851" s="383"/>
      <c r="L851" s="390"/>
      <c r="M851" s="978"/>
      <c r="N851" s="979"/>
      <c r="O851" s="979"/>
      <c r="P851" s="79" t="str">
        <f>IF(AND('331-CT'!$E$7=TH!H851,OR(N851="331",O851="331")),"x","")</f>
        <v/>
      </c>
      <c r="Q851" s="79" t="str">
        <f>IF(AND(B851='111'!$L$11,OR($N851=$Q$7,$O851=$Q$7)),"x","")</f>
        <v/>
      </c>
      <c r="R851" s="79" t="str">
        <f>IF(AND($N851=$Q$7,$B851&lt;'111'!$L$11),"x","")</f>
        <v/>
      </c>
      <c r="S851" s="79" t="str">
        <f>IF(AND($O851=$Q$7,$B851&lt;'111'!$L$11),"x","")</f>
        <v/>
      </c>
      <c r="T851" s="79" t="str">
        <f>IF(ISERROR(FIND('112'!$M$9,G851,1)),"",IF((AND(FIND('112'!$M$9,G851,1)&gt;=1,B851='112'!$K$9,OR($N851='112'!$I$6,$O851='112'!$I$6))),"x",""))</f>
        <v/>
      </c>
      <c r="U851" s="79" t="str">
        <f>IF(ISERROR(FIND('112'!$M$9,G851,1)),"",IF((AND(LEFT(G851,2)=LEFT('112'!$M$9,2),B851&lt;'112'!$K$9,$N851='112'!$I$6)),"x",""))</f>
        <v/>
      </c>
      <c r="V851" s="79" t="str">
        <f>IF(ISERROR(FIND('112'!$M$9,G851,1)),"",IF((AND(RIGHT(G851,2)=RIGHT('112'!$M$9,2),B851&lt;'112'!$K$9,$O851='112'!$I$6)),"x",""))</f>
        <v/>
      </c>
      <c r="W851" s="79" t="str">
        <f>IF(AND('341-CT'!$H$9=H851,OR(LEFT(N851,3)=$W$7,LEFT(O851,3)=$W$7)),"x","")</f>
        <v/>
      </c>
      <c r="X851" s="79" t="str">
        <f>IF(OR(TH!N851=TH!$X$7,O851=TH!$X$7),"x","")</f>
        <v/>
      </c>
      <c r="Y851" s="79" t="str">
        <f>IF(AND(OR(N851="131",O851="131"),H851='131-CT'!$H$9),"x","")</f>
        <v/>
      </c>
      <c r="Z851" s="79"/>
      <c r="AA851" s="79" t="str">
        <f>IF(AND(MONTH(E851)='IN-NX'!$J$5,'IN-NX'!$D$7=D851),"x","")</f>
        <v/>
      </c>
      <c r="AB851" s="79" t="str">
        <f>IF(AND(OR(LEFT(TH!N851,2)="15",LEFT(TH!O851,2)="15"),LEFT(TH!O851,3)&lt;&gt;"111",'152-CT'!$J$8=TH!F851),"x","")</f>
        <v/>
      </c>
      <c r="AC851" s="79" t="str">
        <f>IF(AND(OR(LEFT(TH!N851,2)="15",LEFT(TH!O851,2)="15"),TK!$E$7=TH!F851),"x","")</f>
        <v/>
      </c>
      <c r="AD851" s="79" t="str">
        <f>IF(AND(N851="1521",MONTH(C851)='BK-NL'!$M$11),"x","")</f>
        <v/>
      </c>
    </row>
    <row r="852" spans="1:30" ht="16.5" customHeight="1">
      <c r="A852" s="318" t="str">
        <f>IF(B852&lt;&gt;"",IF(AND(B852='IN-TC'!$S$4,OR(TH!N852="1111",TH!O852="1111")),TH!D852,""),"")</f>
        <v/>
      </c>
      <c r="B852" s="60" t="str">
        <f t="shared" si="151"/>
        <v/>
      </c>
      <c r="C852" s="974"/>
      <c r="D852" s="974"/>
      <c r="E852" s="974"/>
      <c r="F852" s="975"/>
      <c r="G852" s="976"/>
      <c r="H852" s="759"/>
      <c r="I852" s="383"/>
      <c r="J852" s="977"/>
      <c r="K852" s="383"/>
      <c r="L852" s="390"/>
      <c r="M852" s="978"/>
      <c r="N852" s="979"/>
      <c r="O852" s="979"/>
      <c r="P852" s="79" t="str">
        <f>IF(AND('331-CT'!$E$7=TH!H852,OR(N852="331",O852="331")),"x","")</f>
        <v/>
      </c>
      <c r="Q852" s="79" t="str">
        <f>IF(AND(B852='111'!$L$11,OR($N852=$Q$7,$O852=$Q$7)),"x","")</f>
        <v/>
      </c>
      <c r="R852" s="79" t="str">
        <f>IF(AND($N852=$Q$7,$B852&lt;'111'!$L$11),"x","")</f>
        <v/>
      </c>
      <c r="S852" s="79" t="str">
        <f>IF(AND($O852=$Q$7,$B852&lt;'111'!$L$11),"x","")</f>
        <v/>
      </c>
      <c r="T852" s="79" t="str">
        <f>IF(ISERROR(FIND('112'!$M$9,G852,1)),"",IF((AND(FIND('112'!$M$9,G852,1)&gt;=1,B852='112'!$K$9,OR($N852='112'!$I$6,$O852='112'!$I$6))),"x",""))</f>
        <v/>
      </c>
      <c r="U852" s="79" t="str">
        <f>IF(ISERROR(FIND('112'!$M$9,G852,1)),"",IF((AND(LEFT(G852,2)=LEFT('112'!$M$9,2),B852&lt;'112'!$K$9,$N852='112'!$I$6)),"x",""))</f>
        <v/>
      </c>
      <c r="V852" s="79" t="str">
        <f>IF(ISERROR(FIND('112'!$M$9,G852,1)),"",IF((AND(RIGHT(G852,2)=RIGHT('112'!$M$9,2),B852&lt;'112'!$K$9,$O852='112'!$I$6)),"x",""))</f>
        <v/>
      </c>
      <c r="W852" s="79" t="str">
        <f>IF(AND('341-CT'!$H$9=H852,OR(LEFT(N852,3)=$W$7,LEFT(O852,3)=$W$7)),"x","")</f>
        <v/>
      </c>
      <c r="X852" s="79" t="str">
        <f>IF(OR(TH!N852=TH!$X$7,O852=TH!$X$7),"x","")</f>
        <v/>
      </c>
      <c r="Y852" s="79" t="str">
        <f>IF(AND(OR(N852="131",O852="131"),H852='131-CT'!$H$9),"x","")</f>
        <v/>
      </c>
      <c r="Z852" s="79"/>
      <c r="AA852" s="79" t="str">
        <f>IF(AND(MONTH(E852)='IN-NX'!$J$5,'IN-NX'!$D$7=D852),"x","")</f>
        <v/>
      </c>
      <c r="AB852" s="79" t="str">
        <f>IF(AND(OR(LEFT(TH!N852,2)="15",LEFT(TH!O852,2)="15"),LEFT(TH!O852,3)&lt;&gt;"111",'152-CT'!$J$8=TH!F852),"x","")</f>
        <v/>
      </c>
      <c r="AC852" s="79" t="str">
        <f>IF(AND(OR(LEFT(TH!N852,2)="15",LEFT(TH!O852,2)="15"),TK!$E$7=TH!F852),"x","")</f>
        <v/>
      </c>
      <c r="AD852" s="79" t="str">
        <f>IF(AND(N852="1521",MONTH(C852)='BK-NL'!$M$11),"x","")</f>
        <v/>
      </c>
    </row>
    <row r="853" spans="1:30" ht="16.5" customHeight="1">
      <c r="A853" s="318" t="str">
        <f>IF(B853&lt;&gt;"",IF(AND(B853='IN-TC'!$S$4,OR(TH!N853="1111",TH!O853="1111")),TH!D853,""),"")</f>
        <v/>
      </c>
      <c r="B853" s="60" t="str">
        <f t="shared" si="151"/>
        <v/>
      </c>
      <c r="C853" s="974"/>
      <c r="D853" s="974"/>
      <c r="E853" s="974"/>
      <c r="F853" s="975"/>
      <c r="G853" s="976"/>
      <c r="H853" s="759"/>
      <c r="I853" s="383"/>
      <c r="J853" s="977"/>
      <c r="K853" s="383"/>
      <c r="L853" s="390"/>
      <c r="M853" s="978"/>
      <c r="N853" s="979"/>
      <c r="O853" s="979"/>
      <c r="P853" s="79" t="str">
        <f>IF(AND('331-CT'!$E$7=TH!H853,OR(N853="331",O853="331")),"x","")</f>
        <v/>
      </c>
      <c r="Q853" s="79" t="str">
        <f>IF(AND(B853='111'!$L$11,OR($N853=$Q$7,$O853=$Q$7)),"x","")</f>
        <v/>
      </c>
      <c r="R853" s="79" t="str">
        <f>IF(AND($N853=$Q$7,$B853&lt;'111'!$L$11),"x","")</f>
        <v/>
      </c>
      <c r="S853" s="79" t="str">
        <f>IF(AND($O853=$Q$7,$B853&lt;'111'!$L$11),"x","")</f>
        <v/>
      </c>
      <c r="T853" s="79" t="str">
        <f>IF(ISERROR(FIND('112'!$M$9,G853,1)),"",IF((AND(FIND('112'!$M$9,G853,1)&gt;=1,B853='112'!$K$9,OR($N853='112'!$I$6,$O853='112'!$I$6))),"x",""))</f>
        <v/>
      </c>
      <c r="U853" s="79" t="str">
        <f>IF(ISERROR(FIND('112'!$M$9,G853,1)),"",IF((AND(LEFT(G853,2)=LEFT('112'!$M$9,2),B853&lt;'112'!$K$9,$N853='112'!$I$6)),"x",""))</f>
        <v/>
      </c>
      <c r="V853" s="79" t="str">
        <f>IF(ISERROR(FIND('112'!$M$9,G853,1)),"",IF((AND(RIGHT(G853,2)=RIGHT('112'!$M$9,2),B853&lt;'112'!$K$9,$O853='112'!$I$6)),"x",""))</f>
        <v/>
      </c>
      <c r="W853" s="79" t="str">
        <f>IF(AND('341-CT'!$H$9=H853,OR(LEFT(N853,3)=$W$7,LEFT(O853,3)=$W$7)),"x","")</f>
        <v/>
      </c>
      <c r="X853" s="79" t="str">
        <f>IF(OR(TH!N853=TH!$X$7,O853=TH!$X$7),"x","")</f>
        <v/>
      </c>
      <c r="Y853" s="79" t="str">
        <f>IF(AND(OR(N853="131",O853="131"),H853='131-CT'!$H$9),"x","")</f>
        <v/>
      </c>
      <c r="Z853" s="79"/>
      <c r="AA853" s="79" t="str">
        <f>IF(AND(MONTH(E853)='IN-NX'!$J$5,'IN-NX'!$D$7=D853),"x","")</f>
        <v/>
      </c>
      <c r="AB853" s="79" t="str">
        <f>IF(AND(OR(LEFT(TH!N853,2)="15",LEFT(TH!O853,2)="15"),LEFT(TH!O853,3)&lt;&gt;"111",'152-CT'!$J$8=TH!F853),"x","")</f>
        <v/>
      </c>
      <c r="AC853" s="79" t="str">
        <f>IF(AND(OR(LEFT(TH!N853,2)="15",LEFT(TH!O853,2)="15"),TK!$E$7=TH!F853),"x","")</f>
        <v/>
      </c>
      <c r="AD853" s="79" t="str">
        <f>IF(AND(N853="1521",MONTH(C853)='BK-NL'!$M$11),"x","")</f>
        <v/>
      </c>
    </row>
    <row r="854" spans="1:30" ht="16.5" customHeight="1">
      <c r="A854" s="318" t="str">
        <f>IF(B854&lt;&gt;"",IF(AND(B854='IN-TC'!$S$4,OR(TH!N854="1111",TH!O854="1111")),TH!D854,""),"")</f>
        <v/>
      </c>
      <c r="B854" s="60" t="str">
        <f t="shared" si="151"/>
        <v/>
      </c>
      <c r="C854" s="974"/>
      <c r="D854" s="974"/>
      <c r="E854" s="974"/>
      <c r="F854" s="975"/>
      <c r="G854" s="976"/>
      <c r="H854" s="759"/>
      <c r="I854" s="383"/>
      <c r="J854" s="977"/>
      <c r="K854" s="383"/>
      <c r="L854" s="390"/>
      <c r="M854" s="978"/>
      <c r="N854" s="979"/>
      <c r="O854" s="979"/>
      <c r="P854" s="79" t="str">
        <f>IF(AND('331-CT'!$E$7=TH!H854,OR(N854="331",O854="331")),"x","")</f>
        <v/>
      </c>
      <c r="Q854" s="79" t="str">
        <f>IF(AND(B854='111'!$L$11,OR($N854=$Q$7,$O854=$Q$7)),"x","")</f>
        <v/>
      </c>
      <c r="R854" s="79" t="str">
        <f>IF(AND($N854=$Q$7,$B854&lt;'111'!$L$11),"x","")</f>
        <v/>
      </c>
      <c r="S854" s="79" t="str">
        <f>IF(AND($O854=$Q$7,$B854&lt;'111'!$L$11),"x","")</f>
        <v/>
      </c>
      <c r="T854" s="79" t="str">
        <f>IF(ISERROR(FIND('112'!$M$9,G854,1)),"",IF((AND(FIND('112'!$M$9,G854,1)&gt;=1,B854='112'!$K$9,OR($N854='112'!$I$6,$O854='112'!$I$6))),"x",""))</f>
        <v/>
      </c>
      <c r="U854" s="79" t="str">
        <f>IF(ISERROR(FIND('112'!$M$9,G854,1)),"",IF((AND(LEFT(G854,2)=LEFT('112'!$M$9,2),B854&lt;'112'!$K$9,$N854='112'!$I$6)),"x",""))</f>
        <v/>
      </c>
      <c r="V854" s="79" t="str">
        <f>IF(ISERROR(FIND('112'!$M$9,G854,1)),"",IF((AND(RIGHT(G854,2)=RIGHT('112'!$M$9,2),B854&lt;'112'!$K$9,$O854='112'!$I$6)),"x",""))</f>
        <v/>
      </c>
      <c r="W854" s="79" t="str">
        <f>IF(AND('341-CT'!$H$9=H854,OR(LEFT(N854,3)=$W$7,LEFT(O854,3)=$W$7)),"x","")</f>
        <v/>
      </c>
      <c r="X854" s="79" t="str">
        <f>IF(OR(TH!N854=TH!$X$7,O854=TH!$X$7),"x","")</f>
        <v/>
      </c>
      <c r="Y854" s="79" t="str">
        <f>IF(AND(OR(N854="131",O854="131"),H854='131-CT'!$H$9),"x","")</f>
        <v/>
      </c>
      <c r="Z854" s="79"/>
      <c r="AA854" s="79" t="str">
        <f>IF(AND(MONTH(E854)='IN-NX'!$J$5,'IN-NX'!$D$7=D854),"x","")</f>
        <v/>
      </c>
      <c r="AB854" s="79" t="str">
        <f>IF(AND(OR(LEFT(TH!N854,2)="15",LEFT(TH!O854,2)="15"),LEFT(TH!O854,3)&lt;&gt;"111",'152-CT'!$J$8=TH!F854),"x","")</f>
        <v/>
      </c>
      <c r="AC854" s="79" t="str">
        <f>IF(AND(OR(LEFT(TH!N854,2)="15",LEFT(TH!O854,2)="15"),TK!$E$7=TH!F854),"x","")</f>
        <v/>
      </c>
      <c r="AD854" s="79" t="str">
        <f>IF(AND(N854="1521",MONTH(C854)='BK-NL'!$M$11),"x","")</f>
        <v/>
      </c>
    </row>
    <row r="855" spans="1:30" ht="16.5" customHeight="1">
      <c r="A855" s="318" t="str">
        <f>IF(B855&lt;&gt;"",IF(AND(B855='IN-TC'!$S$4,OR(TH!N855="1111",TH!O855="1111")),TH!D855,""),"")</f>
        <v/>
      </c>
      <c r="B855" s="60" t="str">
        <f t="shared" si="151"/>
        <v/>
      </c>
      <c r="C855" s="974"/>
      <c r="D855" s="974"/>
      <c r="E855" s="974"/>
      <c r="F855" s="975"/>
      <c r="G855" s="976"/>
      <c r="H855" s="759"/>
      <c r="I855" s="383"/>
      <c r="J855" s="977"/>
      <c r="K855" s="383"/>
      <c r="L855" s="390"/>
      <c r="M855" s="978"/>
      <c r="N855" s="979"/>
      <c r="O855" s="979"/>
      <c r="P855" s="79" t="str">
        <f>IF(AND('331-CT'!$E$7=TH!H855,OR(N855="331",O855="331")),"x","")</f>
        <v/>
      </c>
      <c r="Q855" s="79" t="str">
        <f>IF(AND(B855='111'!$L$11,OR($N855=$Q$7,$O855=$Q$7)),"x","")</f>
        <v/>
      </c>
      <c r="R855" s="79" t="str">
        <f>IF(AND($N855=$Q$7,$B855&lt;'111'!$L$11),"x","")</f>
        <v/>
      </c>
      <c r="S855" s="79" t="str">
        <f>IF(AND($O855=$Q$7,$B855&lt;'111'!$L$11),"x","")</f>
        <v/>
      </c>
      <c r="T855" s="79" t="str">
        <f>IF(ISERROR(FIND('112'!$M$9,G855,1)),"",IF((AND(FIND('112'!$M$9,G855,1)&gt;=1,B855='112'!$K$9,OR($N855='112'!$I$6,$O855='112'!$I$6))),"x",""))</f>
        <v/>
      </c>
      <c r="U855" s="79" t="str">
        <f>IF(ISERROR(FIND('112'!$M$9,G855,1)),"",IF((AND(LEFT(G855,2)=LEFT('112'!$M$9,2),B855&lt;'112'!$K$9,$N855='112'!$I$6)),"x",""))</f>
        <v/>
      </c>
      <c r="V855" s="79" t="str">
        <f>IF(ISERROR(FIND('112'!$M$9,G855,1)),"",IF((AND(RIGHT(G855,2)=RIGHT('112'!$M$9,2),B855&lt;'112'!$K$9,$O855='112'!$I$6)),"x",""))</f>
        <v/>
      </c>
      <c r="W855" s="79" t="str">
        <f>IF(AND('341-CT'!$H$9=H855,OR(LEFT(N855,3)=$W$7,LEFT(O855,3)=$W$7)),"x","")</f>
        <v/>
      </c>
      <c r="X855" s="79" t="str">
        <f>IF(OR(TH!N855=TH!$X$7,O855=TH!$X$7),"x","")</f>
        <v/>
      </c>
      <c r="Y855" s="79" t="str">
        <f>IF(AND(OR(N855="131",O855="131"),H855='131-CT'!$H$9),"x","")</f>
        <v/>
      </c>
      <c r="Z855" s="79"/>
      <c r="AA855" s="79" t="str">
        <f>IF(AND(MONTH(E855)='IN-NX'!$J$5,'IN-NX'!$D$7=D855),"x","")</f>
        <v/>
      </c>
      <c r="AB855" s="79" t="str">
        <f>IF(AND(OR(LEFT(TH!N855,2)="15",LEFT(TH!O855,2)="15"),LEFT(TH!O855,3)&lt;&gt;"111",'152-CT'!$J$8=TH!F855),"x","")</f>
        <v/>
      </c>
      <c r="AC855" s="79" t="str">
        <f>IF(AND(OR(LEFT(TH!N855,2)="15",LEFT(TH!O855,2)="15"),TK!$E$7=TH!F855),"x","")</f>
        <v/>
      </c>
      <c r="AD855" s="79" t="str">
        <f>IF(AND(N855="1521",MONTH(C855)='BK-NL'!$M$11),"x","")</f>
        <v/>
      </c>
    </row>
    <row r="856" spans="1:30" ht="16.5" customHeight="1">
      <c r="A856" s="318" t="str">
        <f>IF(B856&lt;&gt;"",IF(AND(B856='IN-TC'!$S$4,OR(TH!N856="1111",TH!O856="1111")),TH!D856,""),"")</f>
        <v/>
      </c>
      <c r="B856" s="60" t="str">
        <f t="shared" si="151"/>
        <v/>
      </c>
      <c r="C856" s="974"/>
      <c r="D856" s="974"/>
      <c r="E856" s="974"/>
      <c r="F856" s="975"/>
      <c r="G856" s="976"/>
      <c r="H856" s="759"/>
      <c r="I856" s="383"/>
      <c r="J856" s="977"/>
      <c r="K856" s="383"/>
      <c r="L856" s="390"/>
      <c r="M856" s="978"/>
      <c r="N856" s="979"/>
      <c r="O856" s="979"/>
      <c r="P856" s="79" t="str">
        <f>IF(AND('331-CT'!$E$7=TH!H856,OR(N856="331",O856="331")),"x","")</f>
        <v/>
      </c>
      <c r="Q856" s="79" t="str">
        <f>IF(AND(B856='111'!$L$11,OR($N856=$Q$7,$O856=$Q$7)),"x","")</f>
        <v/>
      </c>
      <c r="R856" s="79" t="str">
        <f>IF(AND($N856=$Q$7,$B856&lt;'111'!$L$11),"x","")</f>
        <v/>
      </c>
      <c r="S856" s="79" t="str">
        <f>IF(AND($O856=$Q$7,$B856&lt;'111'!$L$11),"x","")</f>
        <v/>
      </c>
      <c r="T856" s="79" t="str">
        <f>IF(ISERROR(FIND('112'!$M$9,G856,1)),"",IF((AND(FIND('112'!$M$9,G856,1)&gt;=1,B856='112'!$K$9,OR($N856='112'!$I$6,$O856='112'!$I$6))),"x",""))</f>
        <v/>
      </c>
      <c r="U856" s="79" t="str">
        <f>IF(ISERROR(FIND('112'!$M$9,G856,1)),"",IF((AND(LEFT(G856,2)=LEFT('112'!$M$9,2),B856&lt;'112'!$K$9,$N856='112'!$I$6)),"x",""))</f>
        <v/>
      </c>
      <c r="V856" s="79" t="str">
        <f>IF(ISERROR(FIND('112'!$M$9,G856,1)),"",IF((AND(RIGHT(G856,2)=RIGHT('112'!$M$9,2),B856&lt;'112'!$K$9,$O856='112'!$I$6)),"x",""))</f>
        <v/>
      </c>
      <c r="W856" s="79" t="str">
        <f>IF(AND('341-CT'!$H$9=H856,OR(LEFT(N856,3)=$W$7,LEFT(O856,3)=$W$7)),"x","")</f>
        <v/>
      </c>
      <c r="X856" s="79" t="str">
        <f>IF(OR(TH!N856=TH!$X$7,O856=TH!$X$7),"x","")</f>
        <v/>
      </c>
      <c r="Y856" s="79" t="str">
        <f>IF(AND(OR(N856="131",O856="131"),H856='131-CT'!$H$9),"x","")</f>
        <v/>
      </c>
      <c r="Z856" s="79"/>
      <c r="AA856" s="79" t="str">
        <f>IF(AND(MONTH(E856)='IN-NX'!$J$5,'IN-NX'!$D$7=D856),"x","")</f>
        <v/>
      </c>
      <c r="AB856" s="79" t="str">
        <f>IF(AND(OR(LEFT(TH!N856,2)="15",LEFT(TH!O856,2)="15"),LEFT(TH!O856,3)&lt;&gt;"111",'152-CT'!$J$8=TH!F856),"x","")</f>
        <v/>
      </c>
      <c r="AC856" s="79" t="str">
        <f>IF(AND(OR(LEFT(TH!N856,2)="15",LEFT(TH!O856,2)="15"),TK!$E$7=TH!F856),"x","")</f>
        <v/>
      </c>
      <c r="AD856" s="79" t="str">
        <f>IF(AND(N856="1521",MONTH(C856)='BK-NL'!$M$11),"x","")</f>
        <v/>
      </c>
    </row>
    <row r="857" spans="1:30" ht="16.5" customHeight="1">
      <c r="A857" s="318" t="str">
        <f>IF(B857&lt;&gt;"",IF(AND(B857='IN-TC'!$S$4,OR(TH!N857="1111",TH!O857="1111")),TH!D857,""),"")</f>
        <v/>
      </c>
      <c r="B857" s="60" t="str">
        <f t="shared" si="151"/>
        <v/>
      </c>
      <c r="C857" s="974"/>
      <c r="D857" s="974"/>
      <c r="E857" s="974"/>
      <c r="F857" s="975"/>
      <c r="G857" s="976"/>
      <c r="H857" s="759"/>
      <c r="I857" s="383"/>
      <c r="J857" s="977"/>
      <c r="K857" s="383"/>
      <c r="L857" s="390"/>
      <c r="M857" s="978"/>
      <c r="N857" s="979"/>
      <c r="O857" s="979"/>
      <c r="P857" s="79" t="str">
        <f>IF(AND('331-CT'!$E$7=TH!H857,OR(N857="331",O857="331")),"x","")</f>
        <v/>
      </c>
      <c r="Q857" s="79" t="str">
        <f>IF(AND(B857='111'!$L$11,OR($N857=$Q$7,$O857=$Q$7)),"x","")</f>
        <v/>
      </c>
      <c r="R857" s="79" t="str">
        <f>IF(AND($N857=$Q$7,$B857&lt;'111'!$L$11),"x","")</f>
        <v/>
      </c>
      <c r="S857" s="79" t="str">
        <f>IF(AND($O857=$Q$7,$B857&lt;'111'!$L$11),"x","")</f>
        <v/>
      </c>
      <c r="T857" s="79" t="str">
        <f>IF(ISERROR(FIND('112'!$M$9,G857,1)),"",IF((AND(FIND('112'!$M$9,G857,1)&gt;=1,B857='112'!$K$9,OR($N857='112'!$I$6,$O857='112'!$I$6))),"x",""))</f>
        <v/>
      </c>
      <c r="U857" s="79" t="str">
        <f>IF(ISERROR(FIND('112'!$M$9,G857,1)),"",IF((AND(LEFT(G857,2)=LEFT('112'!$M$9,2),B857&lt;'112'!$K$9,$N857='112'!$I$6)),"x",""))</f>
        <v/>
      </c>
      <c r="V857" s="79" t="str">
        <f>IF(ISERROR(FIND('112'!$M$9,G857,1)),"",IF((AND(RIGHT(G857,2)=RIGHT('112'!$M$9,2),B857&lt;'112'!$K$9,$O857='112'!$I$6)),"x",""))</f>
        <v/>
      </c>
      <c r="W857" s="79" t="str">
        <f>IF(AND('341-CT'!$H$9=H857,OR(LEFT(N857,3)=$W$7,LEFT(O857,3)=$W$7)),"x","")</f>
        <v/>
      </c>
      <c r="X857" s="79" t="str">
        <f>IF(OR(TH!N857=TH!$X$7,O857=TH!$X$7),"x","")</f>
        <v/>
      </c>
      <c r="Y857" s="79" t="str">
        <f>IF(AND(OR(N857="131",O857="131"),H857='131-CT'!$H$9),"x","")</f>
        <v/>
      </c>
      <c r="Z857" s="79"/>
      <c r="AA857" s="79" t="str">
        <f>IF(AND(MONTH(E857)='IN-NX'!$J$5,'IN-NX'!$D$7=D857),"x","")</f>
        <v/>
      </c>
      <c r="AB857" s="79" t="str">
        <f>IF(AND(OR(LEFT(TH!N857,2)="15",LEFT(TH!O857,2)="15"),LEFT(TH!O857,3)&lt;&gt;"111",'152-CT'!$J$8=TH!F857),"x","")</f>
        <v/>
      </c>
      <c r="AC857" s="79" t="str">
        <f>IF(AND(OR(LEFT(TH!N857,2)="15",LEFT(TH!O857,2)="15"),TK!$E$7=TH!F857),"x","")</f>
        <v/>
      </c>
      <c r="AD857" s="79" t="str">
        <f>IF(AND(N857="1521",MONTH(C857)='BK-NL'!$M$11),"x","")</f>
        <v/>
      </c>
    </row>
    <row r="858" spans="1:30" ht="16.5" customHeight="1">
      <c r="A858" s="318" t="str">
        <f>IF(B858&lt;&gt;"",IF(AND(B858='IN-TC'!$S$4,OR(TH!N858="1111",TH!O858="1111")),TH!D858,""),"")</f>
        <v/>
      </c>
      <c r="B858" s="60" t="str">
        <f t="shared" si="151"/>
        <v/>
      </c>
      <c r="C858" s="974"/>
      <c r="D858" s="974"/>
      <c r="E858" s="974"/>
      <c r="F858" s="975"/>
      <c r="G858" s="976"/>
      <c r="H858" s="77"/>
      <c r="I858" s="383"/>
      <c r="J858" s="977"/>
      <c r="K858" s="383"/>
      <c r="L858" s="390"/>
      <c r="M858" s="978"/>
      <c r="N858" s="979"/>
      <c r="O858" s="979"/>
      <c r="P858" s="79" t="str">
        <f>IF(AND('331-CT'!$E$7=TH!H858,OR(N858="331",O858="331")),"x","")</f>
        <v/>
      </c>
      <c r="Q858" s="79" t="str">
        <f>IF(AND(B858='111'!$L$11,OR($N858=$Q$7,$O858=$Q$7)),"x","")</f>
        <v/>
      </c>
      <c r="R858" s="79" t="str">
        <f>IF(AND($N858=$Q$7,$B858&lt;'111'!$L$11),"x","")</f>
        <v/>
      </c>
      <c r="S858" s="79" t="str">
        <f>IF(AND($O858=$Q$7,$B858&lt;'111'!$L$11),"x","")</f>
        <v/>
      </c>
      <c r="T858" s="79" t="str">
        <f>IF(ISERROR(FIND('112'!$M$9,G858,1)),"",IF((AND(FIND('112'!$M$9,G858,1)&gt;=1,B858='112'!$K$9,OR($N858='112'!$I$6,$O858='112'!$I$6))),"x",""))</f>
        <v/>
      </c>
      <c r="U858" s="79" t="str">
        <f>IF(ISERROR(FIND('112'!$M$9,G858,1)),"",IF((AND(LEFT(G858,2)=LEFT('112'!$M$9,2),B858&lt;'112'!$K$9,$N858='112'!$I$6)),"x",""))</f>
        <v/>
      </c>
      <c r="V858" s="79" t="str">
        <f>IF(ISERROR(FIND('112'!$M$9,G858,1)),"",IF((AND(RIGHT(G858,2)=RIGHT('112'!$M$9,2),B858&lt;'112'!$K$9,$O858='112'!$I$6)),"x",""))</f>
        <v/>
      </c>
      <c r="W858" s="79" t="str">
        <f>IF(AND('341-CT'!$H$9=H858,OR(LEFT(N858,3)=$W$7,LEFT(O858,3)=$W$7)),"x","")</f>
        <v/>
      </c>
      <c r="X858" s="79" t="str">
        <f>IF(OR(TH!N858=TH!$X$7,O858=TH!$X$7),"x","")</f>
        <v/>
      </c>
      <c r="Y858" s="79" t="str">
        <f>IF(AND(OR(N858="131",O858="131"),H858='131-CT'!$H$9),"x","")</f>
        <v/>
      </c>
      <c r="Z858" s="79"/>
      <c r="AA858" s="79" t="str">
        <f>IF(AND(MONTH(E858)='IN-NX'!$J$5,'IN-NX'!$D$7=D858),"x","")</f>
        <v/>
      </c>
      <c r="AB858" s="79" t="str">
        <f>IF(AND(OR(LEFT(TH!N858,2)="15",LEFT(TH!O858,2)="15"),LEFT(TH!O858,3)&lt;&gt;"111",'152-CT'!$J$8=TH!F858),"x","")</f>
        <v/>
      </c>
      <c r="AC858" s="79" t="str">
        <f>IF(AND(OR(LEFT(TH!N858,2)="15",LEFT(TH!O858,2)="15"),TK!$E$7=TH!F858),"x","")</f>
        <v/>
      </c>
      <c r="AD858" s="79" t="str">
        <f>IF(AND(N858="1521",MONTH(C858)='BK-NL'!$M$11),"x","")</f>
        <v/>
      </c>
    </row>
    <row r="859" spans="1:30" ht="16.5" customHeight="1">
      <c r="A859" s="318" t="str">
        <f>IF(B859&lt;&gt;"",IF(AND(B859='IN-TC'!$S$4,OR(TH!N859="1111",TH!O859="1111")),TH!D859,""),"")</f>
        <v/>
      </c>
      <c r="B859" s="60" t="str">
        <f t="shared" si="151"/>
        <v/>
      </c>
      <c r="C859" s="974"/>
      <c r="D859" s="974"/>
      <c r="E859" s="974"/>
      <c r="F859" s="975"/>
      <c r="G859" s="976"/>
      <c r="H859" s="77"/>
      <c r="I859" s="383"/>
      <c r="J859" s="977"/>
      <c r="K859" s="383"/>
      <c r="L859" s="390"/>
      <c r="M859" s="978"/>
      <c r="N859" s="979"/>
      <c r="O859" s="979"/>
      <c r="P859" s="79" t="str">
        <f>IF(AND('331-CT'!$E$7=TH!H859,OR(N859="331",O859="331")),"x","")</f>
        <v/>
      </c>
      <c r="Q859" s="79" t="str">
        <f>IF(AND(B859='111'!$L$11,OR($N859=$Q$7,$O859=$Q$7)),"x","")</f>
        <v/>
      </c>
      <c r="R859" s="79" t="str">
        <f>IF(AND($N859=$Q$7,$B859&lt;'111'!$L$11),"x","")</f>
        <v/>
      </c>
      <c r="S859" s="79" t="str">
        <f>IF(AND($O859=$Q$7,$B859&lt;'111'!$L$11),"x","")</f>
        <v/>
      </c>
      <c r="T859" s="79" t="str">
        <f>IF(ISERROR(FIND('112'!$M$9,G859,1)),"",IF((AND(FIND('112'!$M$9,G859,1)&gt;=1,B859='112'!$K$9,OR($N859='112'!$I$6,$O859='112'!$I$6))),"x",""))</f>
        <v/>
      </c>
      <c r="U859" s="79" t="str">
        <f>IF(ISERROR(FIND('112'!$M$9,G859,1)),"",IF((AND(LEFT(G859,2)=LEFT('112'!$M$9,2),B859&lt;'112'!$K$9,$N859='112'!$I$6)),"x",""))</f>
        <v/>
      </c>
      <c r="V859" s="79" t="str">
        <f>IF(ISERROR(FIND('112'!$M$9,G859,1)),"",IF((AND(RIGHT(G859,2)=RIGHT('112'!$M$9,2),B859&lt;'112'!$K$9,$O859='112'!$I$6)),"x",""))</f>
        <v/>
      </c>
      <c r="W859" s="79" t="str">
        <f>IF(AND('341-CT'!$H$9=H859,OR(LEFT(N859,3)=$W$7,LEFT(O859,3)=$W$7)),"x","")</f>
        <v/>
      </c>
      <c r="X859" s="79" t="str">
        <f>IF(OR(TH!N859=TH!$X$7,O859=TH!$X$7),"x","")</f>
        <v/>
      </c>
      <c r="Y859" s="79" t="str">
        <f>IF(AND(OR(N859="131",O859="131"),H859='131-CT'!$H$9),"x","")</f>
        <v/>
      </c>
      <c r="Z859" s="79"/>
      <c r="AA859" s="79" t="str">
        <f>IF(AND(MONTH(E859)='IN-NX'!$J$5,'IN-NX'!$D$7=D859),"x","")</f>
        <v/>
      </c>
      <c r="AB859" s="79" t="str">
        <f>IF(AND(OR(LEFT(TH!N859,2)="15",LEFT(TH!O859,2)="15"),LEFT(TH!O859,3)&lt;&gt;"111",'152-CT'!$J$8=TH!F859),"x","")</f>
        <v/>
      </c>
      <c r="AC859" s="79" t="str">
        <f>IF(AND(OR(LEFT(TH!N859,2)="15",LEFT(TH!O859,2)="15"),TK!$E$7=TH!F859),"x","")</f>
        <v/>
      </c>
      <c r="AD859" s="79" t="str">
        <f>IF(AND(N859="1521",MONTH(C859)='BK-NL'!$M$11),"x","")</f>
        <v/>
      </c>
    </row>
    <row r="860" spans="1:30" ht="16.5" customHeight="1">
      <c r="A860" s="318" t="str">
        <f>IF(B860&lt;&gt;"",IF(AND(B860='IN-TC'!$S$4,OR(TH!N860="1111",TH!O860="1111")),TH!D860,""),"")</f>
        <v/>
      </c>
      <c r="B860" s="60" t="str">
        <f t="shared" si="151"/>
        <v/>
      </c>
      <c r="C860" s="974"/>
      <c r="D860" s="974"/>
      <c r="E860" s="974"/>
      <c r="F860" s="975"/>
      <c r="G860" s="976"/>
      <c r="H860" s="77"/>
      <c r="I860" s="383"/>
      <c r="J860" s="977"/>
      <c r="K860" s="383"/>
      <c r="L860" s="390"/>
      <c r="M860" s="978"/>
      <c r="N860" s="979"/>
      <c r="O860" s="979"/>
      <c r="P860" s="79" t="str">
        <f>IF(AND('331-CT'!$E$7=TH!H860,OR(N860="331",O860="331")),"x","")</f>
        <v/>
      </c>
      <c r="Q860" s="79" t="str">
        <f>IF(AND(B860='111'!$L$11,OR($N860=$Q$7,$O860=$Q$7)),"x","")</f>
        <v/>
      </c>
      <c r="R860" s="79" t="str">
        <f>IF(AND($N860=$Q$7,$B860&lt;'111'!$L$11),"x","")</f>
        <v/>
      </c>
      <c r="S860" s="79" t="str">
        <f>IF(AND($O860=$Q$7,$B860&lt;'111'!$L$11),"x","")</f>
        <v/>
      </c>
      <c r="T860" s="79" t="str">
        <f>IF(ISERROR(FIND('112'!$M$9,G860,1)),"",IF((AND(FIND('112'!$M$9,G860,1)&gt;=1,B860='112'!$K$9,OR($N860='112'!$I$6,$O860='112'!$I$6))),"x",""))</f>
        <v/>
      </c>
      <c r="U860" s="79" t="str">
        <f>IF(ISERROR(FIND('112'!$M$9,G860,1)),"",IF((AND(LEFT(G860,2)=LEFT('112'!$M$9,2),B860&lt;'112'!$K$9,$N860='112'!$I$6)),"x",""))</f>
        <v/>
      </c>
      <c r="V860" s="79" t="str">
        <f>IF(ISERROR(FIND('112'!$M$9,G860,1)),"",IF((AND(RIGHT(G860,2)=RIGHT('112'!$M$9,2),B860&lt;'112'!$K$9,$O860='112'!$I$6)),"x",""))</f>
        <v/>
      </c>
      <c r="W860" s="79" t="str">
        <f>IF(AND('341-CT'!$H$9=H860,OR(LEFT(N860,3)=$W$7,LEFT(O860,3)=$W$7)),"x","")</f>
        <v/>
      </c>
      <c r="X860" s="79" t="str">
        <f>IF(OR(TH!N860=TH!$X$7,O860=TH!$X$7),"x","")</f>
        <v/>
      </c>
      <c r="Y860" s="79" t="str">
        <f>IF(AND(OR(N860="131",O860="131"),H860='131-CT'!$H$9),"x","")</f>
        <v/>
      </c>
      <c r="Z860" s="79"/>
      <c r="AA860" s="79" t="str">
        <f>IF(AND(MONTH(E860)='IN-NX'!$J$5,'IN-NX'!$D$7=D860),"x","")</f>
        <v/>
      </c>
      <c r="AB860" s="79" t="str">
        <f>IF(AND(OR(LEFT(TH!N860,2)="15",LEFT(TH!O860,2)="15"),LEFT(TH!O860,3)&lt;&gt;"111",'152-CT'!$J$8=TH!F860),"x","")</f>
        <v/>
      </c>
      <c r="AC860" s="79" t="str">
        <f>IF(AND(OR(LEFT(TH!N860,2)="15",LEFT(TH!O860,2)="15"),TK!$E$7=TH!F860),"x","")</f>
        <v/>
      </c>
      <c r="AD860" s="79" t="str">
        <f>IF(AND(N860="1521",MONTH(C860)='BK-NL'!$M$11),"x","")</f>
        <v/>
      </c>
    </row>
    <row r="861" spans="1:30" ht="16.5" customHeight="1">
      <c r="A861" s="318" t="str">
        <f>IF(B861&lt;&gt;"",IF(AND(B861='IN-TC'!$S$4,OR(TH!N861="1111",TH!O861="1111")),TH!D861,""),"")</f>
        <v/>
      </c>
      <c r="B861" s="60" t="str">
        <f t="shared" si="151"/>
        <v/>
      </c>
      <c r="C861" s="974"/>
      <c r="D861" s="974"/>
      <c r="E861" s="974"/>
      <c r="F861" s="975"/>
      <c r="G861" s="976"/>
      <c r="H861" s="77"/>
      <c r="I861" s="383"/>
      <c r="J861" s="977"/>
      <c r="K861" s="383"/>
      <c r="L861" s="390"/>
      <c r="M861" s="978"/>
      <c r="N861" s="979"/>
      <c r="O861" s="979"/>
      <c r="P861" s="79" t="str">
        <f>IF(AND('331-CT'!$E$7=TH!H861,OR(N861="331",O861="331")),"x","")</f>
        <v/>
      </c>
      <c r="Q861" s="79" t="str">
        <f>IF(AND(B861='111'!$L$11,OR($N861=$Q$7,$O861=$Q$7)),"x","")</f>
        <v/>
      </c>
      <c r="R861" s="79" t="str">
        <f>IF(AND($N861=$Q$7,$B861&lt;'111'!$L$11),"x","")</f>
        <v/>
      </c>
      <c r="S861" s="79" t="str">
        <f>IF(AND($O861=$Q$7,$B861&lt;'111'!$L$11),"x","")</f>
        <v/>
      </c>
      <c r="T861" s="79" t="str">
        <f>IF(ISERROR(FIND('112'!$M$9,G861,1)),"",IF((AND(FIND('112'!$M$9,G861,1)&gt;=1,B861='112'!$K$9,OR($N861='112'!$I$6,$O861='112'!$I$6))),"x",""))</f>
        <v/>
      </c>
      <c r="U861" s="79" t="str">
        <f>IF(ISERROR(FIND('112'!$M$9,G861,1)),"",IF((AND(LEFT(G861,2)=LEFT('112'!$M$9,2),B861&lt;'112'!$K$9,$N861='112'!$I$6)),"x",""))</f>
        <v/>
      </c>
      <c r="V861" s="79" t="str">
        <f>IF(ISERROR(FIND('112'!$M$9,G861,1)),"",IF((AND(RIGHT(G861,2)=RIGHT('112'!$M$9,2),B861&lt;'112'!$K$9,$O861='112'!$I$6)),"x",""))</f>
        <v/>
      </c>
      <c r="W861" s="79" t="str">
        <f>IF(AND('341-CT'!$H$9=H861,OR(LEFT(N861,3)=$W$7,LEFT(O861,3)=$W$7)),"x","")</f>
        <v/>
      </c>
      <c r="X861" s="79" t="str">
        <f>IF(OR(TH!N861=TH!$X$7,O861=TH!$X$7),"x","")</f>
        <v/>
      </c>
      <c r="Y861" s="79" t="str">
        <f>IF(AND(OR(N861="131",O861="131"),H861='131-CT'!$H$9),"x","")</f>
        <v/>
      </c>
      <c r="Z861" s="79"/>
      <c r="AA861" s="79" t="str">
        <f>IF(AND(MONTH(E861)='IN-NX'!$J$5,'IN-NX'!$D$7=D861),"x","")</f>
        <v/>
      </c>
      <c r="AB861" s="79" t="str">
        <f>IF(AND(OR(LEFT(TH!N861,2)="15",LEFT(TH!O861,2)="15"),LEFT(TH!O861,3)&lt;&gt;"111",'152-CT'!$J$8=TH!F861),"x","")</f>
        <v/>
      </c>
      <c r="AC861" s="79" t="str">
        <f>IF(AND(OR(LEFT(TH!N861,2)="15",LEFT(TH!O861,2)="15"),TK!$E$7=TH!F861),"x","")</f>
        <v/>
      </c>
      <c r="AD861" s="79" t="str">
        <f>IF(AND(N861="1521",MONTH(C861)='BK-NL'!$M$11),"x","")</f>
        <v/>
      </c>
    </row>
    <row r="862" spans="1:30" ht="16.5" customHeight="1">
      <c r="A862" s="318" t="str">
        <f>IF(B862&lt;&gt;"",IF(AND(B862='IN-TC'!$S$4,OR(TH!N862="1111",TH!O862="1111")),TH!D862,""),"")</f>
        <v/>
      </c>
      <c r="B862" s="60" t="str">
        <f t="shared" si="151"/>
        <v/>
      </c>
      <c r="C862" s="974"/>
      <c r="D862" s="974"/>
      <c r="E862" s="974"/>
      <c r="F862" s="975"/>
      <c r="G862" s="976"/>
      <c r="H862" s="77"/>
      <c r="I862" s="383"/>
      <c r="J862" s="977"/>
      <c r="K862" s="383"/>
      <c r="L862" s="390"/>
      <c r="M862" s="978"/>
      <c r="N862" s="979"/>
      <c r="O862" s="979"/>
      <c r="P862" s="79" t="str">
        <f>IF(AND('331-CT'!$E$7=TH!H862,OR(N862="331",O862="331")),"x","")</f>
        <v/>
      </c>
      <c r="Q862" s="79" t="str">
        <f>IF(AND(B862='111'!$L$11,OR($N862=$Q$7,$O862=$Q$7)),"x","")</f>
        <v/>
      </c>
      <c r="R862" s="79" t="str">
        <f>IF(AND($N862=$Q$7,$B862&lt;'111'!$L$11),"x","")</f>
        <v/>
      </c>
      <c r="S862" s="79" t="str">
        <f>IF(AND($O862=$Q$7,$B862&lt;'111'!$L$11),"x","")</f>
        <v/>
      </c>
      <c r="T862" s="79" t="str">
        <f>IF(ISERROR(FIND('112'!$M$9,G862,1)),"",IF((AND(FIND('112'!$M$9,G862,1)&gt;=1,B862='112'!$K$9,OR($N862='112'!$I$6,$O862='112'!$I$6))),"x",""))</f>
        <v/>
      </c>
      <c r="U862" s="79" t="str">
        <f>IF(ISERROR(FIND('112'!$M$9,G862,1)),"",IF((AND(LEFT(G862,2)=LEFT('112'!$M$9,2),B862&lt;'112'!$K$9,$N862='112'!$I$6)),"x",""))</f>
        <v/>
      </c>
      <c r="V862" s="79" t="str">
        <f>IF(ISERROR(FIND('112'!$M$9,G862,1)),"",IF((AND(RIGHT(G862,2)=RIGHT('112'!$M$9,2),B862&lt;'112'!$K$9,$O862='112'!$I$6)),"x",""))</f>
        <v/>
      </c>
      <c r="W862" s="79" t="str">
        <f>IF(AND('341-CT'!$H$9=H862,OR(LEFT(N862,3)=$W$7,LEFT(O862,3)=$W$7)),"x","")</f>
        <v/>
      </c>
      <c r="X862" s="79" t="str">
        <f>IF(OR(TH!N862=TH!$X$7,O862=TH!$X$7),"x","")</f>
        <v/>
      </c>
      <c r="Y862" s="79" t="str">
        <f>IF(AND(OR(N862="131",O862="131"),H862='131-CT'!$H$9),"x","")</f>
        <v/>
      </c>
      <c r="Z862" s="79"/>
      <c r="AA862" s="79" t="str">
        <f>IF(AND(MONTH(E862)='IN-NX'!$J$5,'IN-NX'!$D$7=D862),"x","")</f>
        <v/>
      </c>
      <c r="AB862" s="79" t="str">
        <f>IF(AND(OR(LEFT(TH!N862,2)="15",LEFT(TH!O862,2)="15"),LEFT(TH!O862,3)&lt;&gt;"111",'152-CT'!$J$8=TH!F862),"x","")</f>
        <v/>
      </c>
      <c r="AC862" s="79" t="str">
        <f>IF(AND(OR(LEFT(TH!N862,2)="15",LEFT(TH!O862,2)="15"),TK!$E$7=TH!F862),"x","")</f>
        <v/>
      </c>
      <c r="AD862" s="79" t="str">
        <f>IF(AND(N862="1521",MONTH(C862)='BK-NL'!$M$11),"x","")</f>
        <v/>
      </c>
    </row>
    <row r="863" spans="1:30" ht="16.5" customHeight="1">
      <c r="A863" s="318" t="str">
        <f>IF(B863&lt;&gt;"",IF(AND(B863='IN-TC'!$S$4,OR(TH!N863="1111",TH!O863="1111")),TH!D863,""),"")</f>
        <v/>
      </c>
      <c r="B863" s="60" t="str">
        <f t="shared" ref="B863:B866" si="152">IF(C863&lt;&gt;"",MONTH(C863),"")</f>
        <v/>
      </c>
      <c r="C863" s="974"/>
      <c r="D863" s="974"/>
      <c r="E863" s="974"/>
      <c r="F863" s="975"/>
      <c r="G863" s="976"/>
      <c r="H863" s="77"/>
      <c r="I863" s="383"/>
      <c r="J863" s="977"/>
      <c r="K863" s="383"/>
      <c r="L863" s="390"/>
      <c r="M863" s="978"/>
      <c r="N863" s="979"/>
      <c r="O863" s="979"/>
      <c r="P863" s="79" t="str">
        <f>IF(AND('331-CT'!$E$7=TH!H863,OR(N863="331",O863="331")),"x","")</f>
        <v/>
      </c>
      <c r="Q863" s="79" t="str">
        <f>IF(AND(B863='111'!$L$11,OR($N863=$Q$7,$O863=$Q$7)),"x","")</f>
        <v/>
      </c>
      <c r="R863" s="79" t="str">
        <f>IF(AND($N863=$Q$7,$B863&lt;'111'!$L$11),"x","")</f>
        <v/>
      </c>
      <c r="S863" s="79" t="str">
        <f>IF(AND($O863=$Q$7,$B863&lt;'111'!$L$11),"x","")</f>
        <v/>
      </c>
      <c r="T863" s="79" t="str">
        <f>IF(ISERROR(FIND('112'!$M$9,G863,1)),"",IF((AND(FIND('112'!$M$9,G863,1)&gt;=1,B863='112'!$K$9,OR($N863='112'!$I$6,$O863='112'!$I$6))),"x",""))</f>
        <v/>
      </c>
      <c r="U863" s="79" t="str">
        <f>IF(ISERROR(FIND('112'!$M$9,G863,1)),"",IF((AND(LEFT(G863,2)=LEFT('112'!$M$9,2),B863&lt;'112'!$K$9,$N863='112'!$I$6)),"x",""))</f>
        <v/>
      </c>
      <c r="V863" s="79" t="str">
        <f>IF(ISERROR(FIND('112'!$M$9,G863,1)),"",IF((AND(RIGHT(G863,2)=RIGHT('112'!$M$9,2),B863&lt;'112'!$K$9,$O863='112'!$I$6)),"x",""))</f>
        <v/>
      </c>
      <c r="W863" s="79" t="str">
        <f>IF(AND('341-CT'!$H$9=H863,OR(LEFT(N863,3)=$W$7,LEFT(O863,3)=$W$7)),"x","")</f>
        <v/>
      </c>
      <c r="X863" s="79" t="str">
        <f>IF(OR(TH!N863=TH!$X$7,O863=TH!$X$7),"x","")</f>
        <v/>
      </c>
      <c r="Y863" s="79" t="str">
        <f>IF(AND(OR(N863="131",O863="131"),H863='131-CT'!$H$9),"x","")</f>
        <v/>
      </c>
      <c r="Z863" s="79"/>
      <c r="AA863" s="79" t="str">
        <f>IF(AND(MONTH(E863)='IN-NX'!$J$5,'IN-NX'!$D$7=D863),"x","")</f>
        <v/>
      </c>
      <c r="AB863" s="79" t="str">
        <f>IF(AND(OR(LEFT(TH!N863,2)="15",LEFT(TH!O863,2)="15"),LEFT(TH!O863,3)&lt;&gt;"111",'152-CT'!$J$8=TH!F863),"x","")</f>
        <v/>
      </c>
      <c r="AC863" s="79" t="str">
        <f>IF(AND(OR(LEFT(TH!N863,2)="15",LEFT(TH!O863,2)="15"),TK!$E$7=TH!F863),"x","")</f>
        <v/>
      </c>
      <c r="AD863" s="79" t="str">
        <f>IF(AND(N863="1521",MONTH(C863)='BK-NL'!$M$11),"x","")</f>
        <v/>
      </c>
    </row>
    <row r="864" spans="1:30" ht="16.5" customHeight="1">
      <c r="A864" s="318" t="str">
        <f>IF(B864&lt;&gt;"",IF(AND(B864='IN-TC'!$S$4,OR(TH!N864="1111",TH!O864="1111")),TH!D864,""),"")</f>
        <v/>
      </c>
      <c r="B864" s="60" t="str">
        <f t="shared" si="152"/>
        <v/>
      </c>
      <c r="C864" s="974"/>
      <c r="D864" s="974"/>
      <c r="E864" s="974"/>
      <c r="F864" s="975"/>
      <c r="G864" s="976"/>
      <c r="H864" s="77"/>
      <c r="I864" s="383"/>
      <c r="J864" s="977"/>
      <c r="K864" s="383"/>
      <c r="L864" s="390"/>
      <c r="M864" s="978"/>
      <c r="N864" s="979"/>
      <c r="O864" s="979"/>
      <c r="P864" s="79" t="str">
        <f>IF(AND('331-CT'!$E$7=TH!H864,OR(N864="331",O864="331")),"x","")</f>
        <v/>
      </c>
      <c r="Q864" s="79" t="str">
        <f>IF(AND(B864='111'!$L$11,OR($N864=$Q$7,$O864=$Q$7)),"x","")</f>
        <v/>
      </c>
      <c r="R864" s="79" t="str">
        <f>IF(AND($N864=$Q$7,$B864&lt;'111'!$L$11),"x","")</f>
        <v/>
      </c>
      <c r="S864" s="79" t="str">
        <f>IF(AND($O864=$Q$7,$B864&lt;'111'!$L$11),"x","")</f>
        <v/>
      </c>
      <c r="T864" s="79" t="str">
        <f>IF(ISERROR(FIND('112'!$M$9,G864,1)),"",IF((AND(FIND('112'!$M$9,G864,1)&gt;=1,B864='112'!$K$9,OR($N864='112'!$I$6,$O864='112'!$I$6))),"x",""))</f>
        <v/>
      </c>
      <c r="U864" s="79" t="str">
        <f>IF(ISERROR(FIND('112'!$M$9,G864,1)),"",IF((AND(LEFT(G864,2)=LEFT('112'!$M$9,2),B864&lt;'112'!$K$9,$N864='112'!$I$6)),"x",""))</f>
        <v/>
      </c>
      <c r="V864" s="79" t="str">
        <f>IF(ISERROR(FIND('112'!$M$9,G864,1)),"",IF((AND(RIGHT(G864,2)=RIGHT('112'!$M$9,2),B864&lt;'112'!$K$9,$O864='112'!$I$6)),"x",""))</f>
        <v/>
      </c>
      <c r="W864" s="79" t="str">
        <f>IF(AND('341-CT'!$H$9=H864,OR(LEFT(N864,3)=$W$7,LEFT(O864,3)=$W$7)),"x","")</f>
        <v/>
      </c>
      <c r="X864" s="79" t="str">
        <f>IF(OR(TH!N864=TH!$X$7,O864=TH!$X$7),"x","")</f>
        <v/>
      </c>
      <c r="Y864" s="79" t="str">
        <f>IF(AND(OR(N864="131",O864="131"),H864='131-CT'!$H$9),"x","")</f>
        <v/>
      </c>
      <c r="Z864" s="79"/>
      <c r="AA864" s="79" t="str">
        <f>IF(AND(MONTH(E864)='IN-NX'!$J$5,'IN-NX'!$D$7=D864),"x","")</f>
        <v/>
      </c>
      <c r="AB864" s="79" t="str">
        <f>IF(AND(OR(LEFT(TH!N864,2)="15",LEFT(TH!O864,2)="15"),LEFT(TH!O864,3)&lt;&gt;"111",'152-CT'!$J$8=TH!F864),"x","")</f>
        <v/>
      </c>
      <c r="AC864" s="79" t="str">
        <f>IF(AND(OR(LEFT(TH!N864,2)="15",LEFT(TH!O864,2)="15"),TK!$E$7=TH!F864),"x","")</f>
        <v/>
      </c>
      <c r="AD864" s="79" t="str">
        <f>IF(AND(N864="1521",MONTH(C864)='BK-NL'!$M$11),"x","")</f>
        <v/>
      </c>
    </row>
    <row r="865" spans="1:30" ht="16.5" customHeight="1">
      <c r="A865" s="318" t="str">
        <f>IF(B865&lt;&gt;"",IF(AND(B865='IN-TC'!$S$4,OR(TH!N865="1111",TH!O865="1111")),TH!D865,""),"")</f>
        <v/>
      </c>
      <c r="B865" s="60" t="str">
        <f t="shared" si="152"/>
        <v/>
      </c>
      <c r="C865" s="974"/>
      <c r="D865" s="974"/>
      <c r="E865" s="974"/>
      <c r="F865" s="975"/>
      <c r="G865" s="976"/>
      <c r="H865" s="77"/>
      <c r="I865" s="383"/>
      <c r="J865" s="977"/>
      <c r="K865" s="383"/>
      <c r="L865" s="390"/>
      <c r="M865" s="978"/>
      <c r="N865" s="979"/>
      <c r="O865" s="979"/>
      <c r="P865" s="79" t="str">
        <f>IF(AND('331-CT'!$E$7=TH!H865,OR(N865="331",O865="331")),"x","")</f>
        <v/>
      </c>
      <c r="Q865" s="79" t="str">
        <f>IF(AND(B865='111'!$L$11,OR($N865=$Q$7,$O865=$Q$7)),"x","")</f>
        <v/>
      </c>
      <c r="R865" s="79" t="str">
        <f>IF(AND($N865=$Q$7,$B865&lt;'111'!$L$11),"x","")</f>
        <v/>
      </c>
      <c r="S865" s="79" t="str">
        <f>IF(AND($O865=$Q$7,$B865&lt;'111'!$L$11),"x","")</f>
        <v/>
      </c>
      <c r="T865" s="79" t="str">
        <f>IF(ISERROR(FIND('112'!$M$9,G865,1)),"",IF((AND(FIND('112'!$M$9,G865,1)&gt;=1,B865='112'!$K$9,OR($N865='112'!$I$6,$O865='112'!$I$6))),"x",""))</f>
        <v/>
      </c>
      <c r="U865" s="79" t="str">
        <f>IF(ISERROR(FIND('112'!$M$9,G865,1)),"",IF((AND(LEFT(G865,2)=LEFT('112'!$M$9,2),B865&lt;'112'!$K$9,$N865='112'!$I$6)),"x",""))</f>
        <v/>
      </c>
      <c r="V865" s="79" t="str">
        <f>IF(ISERROR(FIND('112'!$M$9,G865,1)),"",IF((AND(RIGHT(G865,2)=RIGHT('112'!$M$9,2),B865&lt;'112'!$K$9,$O865='112'!$I$6)),"x",""))</f>
        <v/>
      </c>
      <c r="W865" s="79" t="str">
        <f>IF(AND('341-CT'!$H$9=H865,OR(LEFT(N865,3)=$W$7,LEFT(O865,3)=$W$7)),"x","")</f>
        <v/>
      </c>
      <c r="X865" s="79" t="str">
        <f>IF(OR(TH!N865=TH!$X$7,O865=TH!$X$7),"x","")</f>
        <v/>
      </c>
      <c r="Y865" s="79" t="str">
        <f>IF(AND(OR(N865="131",O865="131"),H865='131-CT'!$H$9),"x","")</f>
        <v/>
      </c>
      <c r="Z865" s="79"/>
      <c r="AA865" s="79" t="str">
        <f>IF(AND(MONTH(E865)='IN-NX'!$J$5,'IN-NX'!$D$7=D865),"x","")</f>
        <v/>
      </c>
      <c r="AB865" s="79" t="str">
        <f>IF(AND(OR(LEFT(TH!N865,2)="15",LEFT(TH!O865,2)="15"),LEFT(TH!O865,3)&lt;&gt;"111",'152-CT'!$J$8=TH!F865),"x","")</f>
        <v/>
      </c>
      <c r="AC865" s="79" t="str">
        <f>IF(AND(OR(LEFT(TH!N865,2)="15",LEFT(TH!O865,2)="15"),TK!$E$7=TH!F865),"x","")</f>
        <v/>
      </c>
      <c r="AD865" s="79" t="str">
        <f>IF(AND(N865="1521",MONTH(C865)='BK-NL'!$M$11),"x","")</f>
        <v/>
      </c>
    </row>
    <row r="866" spans="1:30" ht="16.5" customHeight="1">
      <c r="A866" s="318" t="str">
        <f>IF(B866&lt;&gt;"",IF(AND(B866='IN-TC'!$S$4,OR(TH!N866="1111",TH!O866="1111")),TH!D866,""),"")</f>
        <v/>
      </c>
      <c r="B866" s="60" t="str">
        <f t="shared" si="152"/>
        <v/>
      </c>
      <c r="C866" s="974"/>
      <c r="D866" s="974"/>
      <c r="E866" s="974"/>
      <c r="F866" s="975"/>
      <c r="G866" s="976"/>
      <c r="H866" s="77"/>
      <c r="I866" s="383"/>
      <c r="J866" s="977"/>
      <c r="K866" s="383"/>
      <c r="L866" s="390"/>
      <c r="M866" s="978"/>
      <c r="N866" s="979"/>
      <c r="O866" s="979"/>
      <c r="P866" s="79" t="str">
        <f>IF(AND('331-CT'!$E$7=TH!H866,OR(N866="331",O866="331")),"x","")</f>
        <v/>
      </c>
      <c r="Q866" s="79" t="str">
        <f>IF(AND(B866='111'!$L$11,OR($N866=$Q$7,$O866=$Q$7)),"x","")</f>
        <v/>
      </c>
      <c r="R866" s="79" t="str">
        <f>IF(AND($N866=$Q$7,$B866&lt;'111'!$L$11),"x","")</f>
        <v/>
      </c>
      <c r="S866" s="79" t="str">
        <f>IF(AND($O866=$Q$7,$B866&lt;'111'!$L$11),"x","")</f>
        <v/>
      </c>
      <c r="T866" s="79" t="str">
        <f>IF(ISERROR(FIND('112'!$M$9,G866,1)),"",IF((AND(FIND('112'!$M$9,G866,1)&gt;=1,B866='112'!$K$9,OR($N866='112'!$I$6,$O866='112'!$I$6))),"x",""))</f>
        <v/>
      </c>
      <c r="U866" s="79" t="str">
        <f>IF(ISERROR(FIND('112'!$M$9,G866,1)),"",IF((AND(LEFT(G866,2)=LEFT('112'!$M$9,2),B866&lt;'112'!$K$9,$N866='112'!$I$6)),"x",""))</f>
        <v/>
      </c>
      <c r="V866" s="79" t="str">
        <f>IF(ISERROR(FIND('112'!$M$9,G866,1)),"",IF((AND(RIGHT(G866,2)=RIGHT('112'!$M$9,2),B866&lt;'112'!$K$9,$O866='112'!$I$6)),"x",""))</f>
        <v/>
      </c>
      <c r="W866" s="79" t="str">
        <f>IF(AND('341-CT'!$H$9=H866,OR(LEFT(N866,3)=$W$7,LEFT(O866,3)=$W$7)),"x","")</f>
        <v/>
      </c>
      <c r="X866" s="79" t="str">
        <f>IF(OR(TH!N866=TH!$X$7,O866=TH!$X$7),"x","")</f>
        <v/>
      </c>
      <c r="Y866" s="79" t="str">
        <f>IF(AND(OR(N866="131",O866="131"),H866='131-CT'!$H$9),"x","")</f>
        <v/>
      </c>
      <c r="Z866" s="79"/>
      <c r="AA866" s="79" t="str">
        <f>IF(AND(MONTH(E866)='IN-NX'!$J$5,'IN-NX'!$D$7=D866),"x","")</f>
        <v/>
      </c>
      <c r="AB866" s="79" t="str">
        <f>IF(AND(OR(LEFT(TH!N866,2)="15",LEFT(TH!O866,2)="15"),LEFT(TH!O866,3)&lt;&gt;"111",'152-CT'!$J$8=TH!F866),"x","")</f>
        <v/>
      </c>
      <c r="AC866" s="79" t="str">
        <f>IF(AND(OR(LEFT(TH!N866,2)="15",LEFT(TH!O866,2)="15"),TK!$E$7=TH!F866),"x","")</f>
        <v/>
      </c>
      <c r="AD866" s="79" t="str">
        <f>IF(AND(N866="1521",MONTH(C866)='BK-NL'!$M$11),"x","")</f>
        <v/>
      </c>
    </row>
    <row r="867" spans="1:30" s="1102" customFormat="1" ht="16.5" customHeight="1">
      <c r="A867" s="318" t="str">
        <f>IF(B867&lt;&gt;"",IF(AND(B867='IN-TC'!$S$4,OR(TH!N867="1111",TH!O867="1111")),TH!D867,""),"")</f>
        <v/>
      </c>
      <c r="B867" s="60" t="str">
        <f t="shared" ref="B867:B914" si="153">IF(C867&lt;&gt;"",MONTH(C867),"")</f>
        <v/>
      </c>
      <c r="C867" s="981"/>
      <c r="D867" s="981"/>
      <c r="E867" s="981"/>
      <c r="F867" s="1008"/>
      <c r="G867" s="987"/>
      <c r="H867" s="982"/>
      <c r="I867" s="984"/>
      <c r="J867" s="984"/>
      <c r="K867" s="984"/>
      <c r="L867" s="983"/>
      <c r="M867" s="985"/>
      <c r="N867" s="986"/>
      <c r="O867" s="986"/>
      <c r="P867" s="79" t="str">
        <f>IF(AND('331-CT'!$E$7=TH!H867,OR(N867="331",O867="331")),"x","")</f>
        <v/>
      </c>
      <c r="Q867" s="79" t="str">
        <f>IF(AND(B867='111'!$L$11,OR($N867=$Q$7,$O867=$Q$7)),"x","")</f>
        <v/>
      </c>
      <c r="R867" s="79" t="str">
        <f>IF(AND($N867=$Q$7,$B867&lt;'111'!$L$11),"x","")</f>
        <v/>
      </c>
      <c r="S867" s="79" t="str">
        <f>IF(AND($O867=$Q$7,$B867&lt;'111'!$L$11),"x","")</f>
        <v/>
      </c>
      <c r="T867" s="79" t="str">
        <f>IF(ISERROR(FIND('112'!$M$9,G867,1)),"",IF((AND(FIND('112'!$M$9,G867,1)&gt;=1,B867='112'!$K$9,OR($N867='112'!$I$6,$O867='112'!$I$6))),"x",""))</f>
        <v/>
      </c>
      <c r="U867" s="79" t="str">
        <f>IF(ISERROR(FIND('112'!$M$9,G867,1)),"",IF((AND(LEFT(G867,2)=LEFT('112'!$M$9,2),B867&lt;'112'!$K$9,$N867='112'!$I$6)),"x",""))</f>
        <v/>
      </c>
      <c r="V867" s="79" t="str">
        <f>IF(ISERROR(FIND('112'!$M$9,G867,1)),"",IF((AND(RIGHT(G867,2)=RIGHT('112'!$M$9,2),B867&lt;'112'!$K$9,$O867='112'!$I$6)),"x",""))</f>
        <v/>
      </c>
      <c r="W867" s="79" t="str">
        <f>IF(AND('341-CT'!$H$9=H867,OR(LEFT(N867,3)=$W$7,LEFT(O867,3)=$W$7)),"x","")</f>
        <v/>
      </c>
      <c r="X867" s="79" t="str">
        <f>IF(OR(TH!N867=TH!$X$7,O867=TH!$X$7),"x","")</f>
        <v/>
      </c>
      <c r="Y867" s="79" t="str">
        <f>IF(AND(OR(N867="131",O867="131"),H867='131-CT'!$H$9),"x","")</f>
        <v/>
      </c>
      <c r="Z867" s="79"/>
      <c r="AA867" s="79" t="str">
        <f>IF(AND(MONTH(E867)='IN-NX'!$J$5,'IN-NX'!$D$7=D867),"x","")</f>
        <v/>
      </c>
      <c r="AB867" s="79" t="str">
        <f>IF(AND(OR(LEFT(TH!N867,2)="15",LEFT(TH!O867,2)="15"),LEFT(TH!O867,3)&lt;&gt;"111",'152-CT'!$J$8=TH!F867),"x","")</f>
        <v/>
      </c>
      <c r="AC867" s="79" t="str">
        <f>IF(AND(OR(LEFT(TH!N867,2)="15",LEFT(TH!O867,2)="15"),TK!$E$7=TH!F867),"x","")</f>
        <v/>
      </c>
      <c r="AD867" s="79" t="str">
        <f>IF(AND(N867="1521",MONTH(C867)='BK-NL'!$M$11),"x","")</f>
        <v/>
      </c>
    </row>
    <row r="868" spans="1:30" ht="16.5" customHeight="1">
      <c r="A868" s="318" t="str">
        <f>IF(B868&lt;&gt;"",IF(AND(B868='IN-TC'!$S$4,OR(TH!N868="1111",TH!O868="1111")),TH!D868,""),"")</f>
        <v/>
      </c>
      <c r="B868" s="60" t="str">
        <f t="shared" si="153"/>
        <v/>
      </c>
      <c r="C868" s="261"/>
      <c r="D868" s="261"/>
      <c r="E868" s="261"/>
      <c r="F868" s="1131"/>
      <c r="G868" s="1104"/>
      <c r="H868" s="305"/>
      <c r="I868" s="383"/>
      <c r="J868" s="383"/>
      <c r="K868" s="383"/>
      <c r="L868" s="390"/>
      <c r="M868" s="978"/>
      <c r="N868" s="1019"/>
      <c r="O868" s="1019"/>
      <c r="P868" s="79" t="str">
        <f>IF(AND('331-CT'!$E$7=TH!H868,OR(N868="331",O868="331")),"x","")</f>
        <v/>
      </c>
      <c r="Q868" s="79" t="str">
        <f>IF(AND(B868='111'!$L$11,OR($N868=$Q$7,$O868=$Q$7)),"x","")</f>
        <v/>
      </c>
      <c r="R868" s="79" t="str">
        <f>IF(AND($N868=$Q$7,$B868&lt;'111'!$L$11),"x","")</f>
        <v/>
      </c>
      <c r="S868" s="79" t="str">
        <f>IF(AND($O868=$Q$7,$B868&lt;'111'!$L$11),"x","")</f>
        <v/>
      </c>
      <c r="T868" s="79" t="str">
        <f>IF(ISERROR(FIND('112'!$M$9,G868,1)),"",IF((AND(FIND('112'!$M$9,G868,1)&gt;=1,B868='112'!$K$9,OR($N868='112'!$I$6,$O868='112'!$I$6))),"x",""))</f>
        <v/>
      </c>
      <c r="U868" s="79" t="str">
        <f>IF(ISERROR(FIND('112'!$M$9,G868,1)),"",IF((AND(LEFT(G868,2)=LEFT('112'!$M$9,2),B868&lt;'112'!$K$9,$N868='112'!$I$6)),"x",""))</f>
        <v/>
      </c>
      <c r="V868" s="79" t="str">
        <f>IF(ISERROR(FIND('112'!$M$9,G868,1)),"",IF((AND(RIGHT(G868,2)=RIGHT('112'!$M$9,2),B868&lt;'112'!$K$9,$O868='112'!$I$6)),"x",""))</f>
        <v/>
      </c>
      <c r="W868" s="79" t="str">
        <f>IF(AND('341-CT'!$H$9=H868,OR(LEFT(N868,3)=$W$7,LEFT(O868,3)=$W$7)),"x","")</f>
        <v/>
      </c>
      <c r="X868" s="79" t="str">
        <f>IF(OR(TH!N868=TH!$X$7,O868=TH!$X$7),"x","")</f>
        <v/>
      </c>
      <c r="Y868" s="79" t="str">
        <f>IF(AND(OR(N868="131",O868="131"),H868='131-CT'!$H$9),"x","")</f>
        <v/>
      </c>
      <c r="Z868" s="79"/>
      <c r="AA868" s="79" t="str">
        <f>IF(AND(MONTH(E868)='IN-NX'!$J$5,'IN-NX'!$D$7=D868),"x","")</f>
        <v/>
      </c>
      <c r="AB868" s="79" t="str">
        <f>IF(AND(OR(LEFT(TH!N868,2)="15",LEFT(TH!O868,2)="15"),LEFT(TH!O868,3)&lt;&gt;"111",'152-CT'!$J$8=TH!F868),"x","")</f>
        <v/>
      </c>
      <c r="AC868" s="79" t="str">
        <f>IF(AND(OR(LEFT(TH!N868,2)="15",LEFT(TH!O868,2)="15"),TK!$E$7=TH!F868),"x","")</f>
        <v/>
      </c>
      <c r="AD868" s="79" t="str">
        <f>IF(AND(N868="1521",MONTH(C868)='BK-NL'!$M$11),"x","")</f>
        <v/>
      </c>
    </row>
    <row r="869" spans="1:30" ht="16.5" customHeight="1">
      <c r="A869" s="318" t="str">
        <f>IF(B869&lt;&gt;"",IF(AND(B869='IN-TC'!$S$4,OR(TH!N869="1111",TH!O869="1111")),TH!D869,""),"")</f>
        <v/>
      </c>
      <c r="B869" s="60" t="str">
        <f t="shared" si="153"/>
        <v/>
      </c>
      <c r="C869" s="261"/>
      <c r="D869" s="261"/>
      <c r="E869" s="261"/>
      <c r="F869" s="1103"/>
      <c r="G869" s="1104"/>
      <c r="H869" s="759"/>
      <c r="I869" s="383"/>
      <c r="J869" s="383"/>
      <c r="K869" s="383"/>
      <c r="L869" s="390"/>
      <c r="M869" s="978"/>
      <c r="N869" s="1019"/>
      <c r="O869" s="1019"/>
      <c r="P869" s="79" t="str">
        <f>IF(AND('331-CT'!$E$7=TH!H869,OR(N869="331",O869="331")),"x","")</f>
        <v/>
      </c>
      <c r="Q869" s="79" t="str">
        <f>IF(AND(B869='111'!$L$11,OR($N869=$Q$7,$O869=$Q$7)),"x","")</f>
        <v/>
      </c>
      <c r="R869" s="79" t="str">
        <f>IF(AND($N869=$Q$7,$B869&lt;'111'!$L$11),"x","")</f>
        <v/>
      </c>
      <c r="S869" s="79" t="str">
        <f>IF(AND($O869=$Q$7,$B869&lt;'111'!$L$11),"x","")</f>
        <v/>
      </c>
      <c r="T869" s="79" t="str">
        <f>IF(ISERROR(FIND('112'!$M$9,G869,1)),"",IF((AND(FIND('112'!$M$9,G869,1)&gt;=1,B869='112'!$K$9,OR($N869='112'!$I$6,$O869='112'!$I$6))),"x",""))</f>
        <v/>
      </c>
      <c r="U869" s="79" t="str">
        <f>IF(ISERROR(FIND('112'!$M$9,G869,1)),"",IF((AND(LEFT(G869,2)=LEFT('112'!$M$9,2),B869&lt;'112'!$K$9,$N869='112'!$I$6)),"x",""))</f>
        <v/>
      </c>
      <c r="V869" s="79" t="str">
        <f>IF(ISERROR(FIND('112'!$M$9,G869,1)),"",IF((AND(RIGHT(G869,2)=RIGHT('112'!$M$9,2),B869&lt;'112'!$K$9,$O869='112'!$I$6)),"x",""))</f>
        <v/>
      </c>
      <c r="W869" s="79" t="str">
        <f>IF(AND('341-CT'!$H$9=H869,OR(LEFT(N869,3)=$W$7,LEFT(O869,3)=$W$7)),"x","")</f>
        <v/>
      </c>
      <c r="X869" s="79" t="str">
        <f>IF(OR(TH!N869=TH!$X$7,O869=TH!$X$7),"x","")</f>
        <v/>
      </c>
      <c r="Y869" s="79" t="str">
        <f>IF(AND(OR(N869="131",O869="131"),H869='131-CT'!$H$9),"x","")</f>
        <v/>
      </c>
      <c r="Z869" s="79"/>
      <c r="AA869" s="79" t="str">
        <f>IF(AND(MONTH(E869)='IN-NX'!$J$5,'IN-NX'!$D$7=D869),"x","")</f>
        <v/>
      </c>
      <c r="AB869" s="79" t="str">
        <f>IF(AND(OR(LEFT(TH!N869,2)="15",LEFT(TH!O869,2)="15"),LEFT(TH!O869,3)&lt;&gt;"111",'152-CT'!$J$8=TH!F869),"x","")</f>
        <v/>
      </c>
      <c r="AC869" s="79" t="str">
        <f>IF(AND(OR(LEFT(TH!N869,2)="15",LEFT(TH!O869,2)="15"),TK!$E$7=TH!F869),"x","")</f>
        <v/>
      </c>
      <c r="AD869" s="79" t="str">
        <f>IF(AND(N869="1521",MONTH(C869)='BK-NL'!$M$11),"x","")</f>
        <v/>
      </c>
    </row>
    <row r="870" spans="1:30" ht="16.5" customHeight="1">
      <c r="A870" s="318" t="str">
        <f>IF(B870&lt;&gt;"",IF(AND(B870='IN-TC'!$S$4,OR(TH!N870="1111",TH!O870="1111")),TH!D870,""),"")</f>
        <v/>
      </c>
      <c r="B870" s="60" t="str">
        <f t="shared" si="153"/>
        <v/>
      </c>
      <c r="C870" s="261"/>
      <c r="D870" s="261"/>
      <c r="E870" s="261"/>
      <c r="F870" s="1103"/>
      <c r="G870" s="1104"/>
      <c r="H870" s="759"/>
      <c r="I870" s="383"/>
      <c r="J870" s="383"/>
      <c r="K870" s="383"/>
      <c r="L870" s="390"/>
      <c r="M870" s="978"/>
      <c r="N870" s="1019"/>
      <c r="O870" s="1019"/>
      <c r="P870" s="79" t="str">
        <f>IF(AND('331-CT'!$E$7=TH!H870,OR(N870="331",O870="331")),"x","")</f>
        <v/>
      </c>
      <c r="Q870" s="79" t="str">
        <f>IF(AND(B870='111'!$L$11,OR($N870=$Q$7,$O870=$Q$7)),"x","")</f>
        <v/>
      </c>
      <c r="R870" s="79" t="str">
        <f>IF(AND($N870=$Q$7,$B870&lt;'111'!$L$11),"x","")</f>
        <v/>
      </c>
      <c r="S870" s="79" t="str">
        <f>IF(AND($O870=$Q$7,$B870&lt;'111'!$L$11),"x","")</f>
        <v/>
      </c>
      <c r="T870" s="79" t="str">
        <f>IF(ISERROR(FIND('112'!$M$9,G870,1)),"",IF((AND(FIND('112'!$M$9,G870,1)&gt;=1,B870='112'!$K$9,OR($N870='112'!$I$6,$O870='112'!$I$6))),"x",""))</f>
        <v/>
      </c>
      <c r="U870" s="79" t="str">
        <f>IF(ISERROR(FIND('112'!$M$9,G870,1)),"",IF((AND(LEFT(G870,2)=LEFT('112'!$M$9,2),B870&lt;'112'!$K$9,$N870='112'!$I$6)),"x",""))</f>
        <v/>
      </c>
      <c r="V870" s="79" t="str">
        <f>IF(ISERROR(FIND('112'!$M$9,G870,1)),"",IF((AND(RIGHT(G870,2)=RIGHT('112'!$M$9,2),B870&lt;'112'!$K$9,$O870='112'!$I$6)),"x",""))</f>
        <v/>
      </c>
      <c r="W870" s="79" t="str">
        <f>IF(AND('341-CT'!$H$9=H870,OR(LEFT(N870,3)=$W$7,LEFT(O870,3)=$W$7)),"x","")</f>
        <v/>
      </c>
      <c r="X870" s="79" t="str">
        <f>IF(OR(TH!N870=TH!$X$7,O870=TH!$X$7),"x","")</f>
        <v/>
      </c>
      <c r="Y870" s="79" t="str">
        <f>IF(AND(OR(N870="131",O870="131"),H870='131-CT'!$H$9),"x","")</f>
        <v/>
      </c>
      <c r="Z870" s="79"/>
      <c r="AA870" s="79" t="str">
        <f>IF(AND(MONTH(E870)='IN-NX'!$J$5,'IN-NX'!$D$7=D870),"x","")</f>
        <v/>
      </c>
      <c r="AB870" s="79" t="str">
        <f>IF(AND(OR(LEFT(TH!N870,2)="15",LEFT(TH!O870,2)="15"),LEFT(TH!O870,3)&lt;&gt;"111",'152-CT'!$J$8=TH!F870),"x","")</f>
        <v/>
      </c>
      <c r="AC870" s="79" t="str">
        <f>IF(AND(OR(LEFT(TH!N870,2)="15",LEFT(TH!O870,2)="15"),TK!$E$7=TH!F870),"x","")</f>
        <v/>
      </c>
      <c r="AD870" s="79" t="str">
        <f>IF(AND(N870="1521",MONTH(C870)='BK-NL'!$M$11),"x","")</f>
        <v/>
      </c>
    </row>
    <row r="871" spans="1:30" ht="16.5" customHeight="1">
      <c r="A871" s="318" t="str">
        <f>IF(B871&lt;&gt;"",IF(AND(B871='IN-TC'!$S$4,OR(TH!N871="1111",TH!O871="1111")),TH!D871,""),"")</f>
        <v/>
      </c>
      <c r="B871" s="60" t="str">
        <f t="shared" si="153"/>
        <v/>
      </c>
      <c r="C871" s="261"/>
      <c r="D871" s="261"/>
      <c r="E871" s="261"/>
      <c r="F871" s="1103"/>
      <c r="G871" s="1104"/>
      <c r="H871" s="305"/>
      <c r="I871" s="383"/>
      <c r="J871" s="383"/>
      <c r="K871" s="383"/>
      <c r="L871" s="390"/>
      <c r="M871" s="978"/>
      <c r="N871" s="1019"/>
      <c r="O871" s="1019"/>
      <c r="P871" s="79" t="str">
        <f>IF(AND('331-CT'!$E$7=TH!H871,OR(N871="331",O871="331")),"x","")</f>
        <v/>
      </c>
      <c r="Q871" s="79" t="str">
        <f>IF(AND(B871='111'!$L$11,OR($N871=$Q$7,$O871=$Q$7)),"x","")</f>
        <v/>
      </c>
      <c r="R871" s="79" t="str">
        <f>IF(AND($N871=$Q$7,$B871&lt;'111'!$L$11),"x","")</f>
        <v/>
      </c>
      <c r="S871" s="79" t="str">
        <f>IF(AND($O871=$Q$7,$B871&lt;'111'!$L$11),"x","")</f>
        <v/>
      </c>
      <c r="T871" s="79" t="str">
        <f>IF(ISERROR(FIND('112'!$M$9,G871,1)),"",IF((AND(FIND('112'!$M$9,G871,1)&gt;=1,B871='112'!$K$9,OR($N871='112'!$I$6,$O871='112'!$I$6))),"x",""))</f>
        <v/>
      </c>
      <c r="U871" s="79" t="str">
        <f>IF(ISERROR(FIND('112'!$M$9,G871,1)),"",IF((AND(LEFT(G871,2)=LEFT('112'!$M$9,2),B871&lt;'112'!$K$9,$N871='112'!$I$6)),"x",""))</f>
        <v/>
      </c>
      <c r="V871" s="79" t="str">
        <f>IF(ISERROR(FIND('112'!$M$9,G871,1)),"",IF((AND(RIGHT(G871,2)=RIGHT('112'!$M$9,2),B871&lt;'112'!$K$9,$O871='112'!$I$6)),"x",""))</f>
        <v/>
      </c>
      <c r="W871" s="79" t="str">
        <f>IF(AND('341-CT'!$H$9=H871,OR(LEFT(N871,3)=$W$7,LEFT(O871,3)=$W$7)),"x","")</f>
        <v/>
      </c>
      <c r="X871" s="79" t="str">
        <f>IF(OR(TH!N871=TH!$X$7,O871=TH!$X$7),"x","")</f>
        <v/>
      </c>
      <c r="Y871" s="79" t="str">
        <f>IF(AND(OR(N871="131",O871="131"),H871='131-CT'!$H$9),"x","")</f>
        <v/>
      </c>
      <c r="Z871" s="79"/>
      <c r="AA871" s="79" t="str">
        <f>IF(AND(MONTH(E871)='IN-NX'!$J$5,'IN-NX'!$D$7=D871),"x","")</f>
        <v/>
      </c>
      <c r="AB871" s="79" t="str">
        <f>IF(AND(OR(LEFT(TH!N871,2)="15",LEFT(TH!O871,2)="15"),LEFT(TH!O871,3)&lt;&gt;"111",'152-CT'!$J$8=TH!F871),"x","")</f>
        <v/>
      </c>
      <c r="AC871" s="79" t="str">
        <f>IF(AND(OR(LEFT(TH!N871,2)="15",LEFT(TH!O871,2)="15"),TK!$E$7=TH!F871),"x","")</f>
        <v/>
      </c>
      <c r="AD871" s="79" t="str">
        <f>IF(AND(N871="1521",MONTH(C871)='BK-NL'!$M$11),"x","")</f>
        <v/>
      </c>
    </row>
    <row r="872" spans="1:30" ht="16.5" customHeight="1">
      <c r="A872" s="318" t="str">
        <f>IF(B872&lt;&gt;"",IF(AND(B872='IN-TC'!$S$4,OR(TH!N872="1111",TH!O872="1111")),TH!D872,""),"")</f>
        <v/>
      </c>
      <c r="B872" s="60" t="str">
        <f t="shared" si="153"/>
        <v/>
      </c>
      <c r="C872" s="261"/>
      <c r="D872" s="261"/>
      <c r="E872" s="261"/>
      <c r="F872" s="1131"/>
      <c r="G872" s="1104"/>
      <c r="H872" s="1208"/>
      <c r="I872" s="383"/>
      <c r="J872" s="383"/>
      <c r="K872" s="383"/>
      <c r="L872" s="390"/>
      <c r="M872" s="978"/>
      <c r="N872" s="1019"/>
      <c r="O872" s="1019"/>
      <c r="P872" s="79" t="str">
        <f>IF(AND('331-CT'!$E$7=TH!H872,OR(N872="331",O872="331")),"x","")</f>
        <v/>
      </c>
      <c r="Q872" s="79" t="str">
        <f>IF(AND(B872='111'!$L$11,OR($N872=$Q$7,$O872=$Q$7)),"x","")</f>
        <v/>
      </c>
      <c r="R872" s="79" t="str">
        <f>IF(AND($N872=$Q$7,$B872&lt;'111'!$L$11),"x","")</f>
        <v/>
      </c>
      <c r="S872" s="79" t="str">
        <f>IF(AND($O872=$Q$7,$B872&lt;'111'!$L$11),"x","")</f>
        <v/>
      </c>
      <c r="T872" s="79" t="str">
        <f>IF(ISERROR(FIND('112'!$M$9,G872,1)),"",IF((AND(FIND('112'!$M$9,G872,1)&gt;=1,B872='112'!$K$9,OR($N872='112'!$I$6,$O872='112'!$I$6))),"x",""))</f>
        <v/>
      </c>
      <c r="U872" s="79" t="str">
        <f>IF(ISERROR(FIND('112'!$M$9,G872,1)),"",IF((AND(LEFT(G872,2)=LEFT('112'!$M$9,2),B872&lt;'112'!$K$9,$N872='112'!$I$6)),"x",""))</f>
        <v/>
      </c>
      <c r="V872" s="79" t="str">
        <f>IF(ISERROR(FIND('112'!$M$9,G872,1)),"",IF((AND(RIGHT(G872,2)=RIGHT('112'!$M$9,2),B872&lt;'112'!$K$9,$O872='112'!$I$6)),"x",""))</f>
        <v/>
      </c>
      <c r="W872" s="79" t="str">
        <f>IF(AND('341-CT'!$H$9=H872,OR(LEFT(N872,3)=$W$7,LEFT(O872,3)=$W$7)),"x","")</f>
        <v/>
      </c>
      <c r="X872" s="79" t="str">
        <f>IF(OR(TH!N872=TH!$X$7,O872=TH!$X$7),"x","")</f>
        <v/>
      </c>
      <c r="Y872" s="79" t="str">
        <f>IF(AND(OR(N872="131",O872="131"),H872='131-CT'!$H$9),"x","")</f>
        <v/>
      </c>
      <c r="Z872" s="79"/>
      <c r="AA872" s="79" t="str">
        <f>IF(AND(MONTH(E872)='IN-NX'!$J$5,'IN-NX'!$D$7=D872),"x","")</f>
        <v/>
      </c>
      <c r="AB872" s="79" t="str">
        <f>IF(AND(OR(LEFT(TH!N872,2)="15",LEFT(TH!O872,2)="15"),LEFT(TH!O872,3)&lt;&gt;"111",'152-CT'!$J$8=TH!F872),"x","")</f>
        <v/>
      </c>
      <c r="AC872" s="79" t="str">
        <f>IF(AND(OR(LEFT(TH!N872,2)="15",LEFT(TH!O872,2)="15"),TK!$E$7=TH!F872),"x","")</f>
        <v/>
      </c>
      <c r="AD872" s="79" t="str">
        <f>IF(AND(N872="1521",MONTH(C872)='BK-NL'!$M$11),"x","")</f>
        <v/>
      </c>
    </row>
    <row r="873" spans="1:30" ht="16.5" customHeight="1">
      <c r="A873" s="318" t="str">
        <f>IF(B873&lt;&gt;"",IF(AND(B873='IN-TC'!$S$4,OR(TH!N873="1111",TH!O873="1111")),TH!D873,""),"")</f>
        <v/>
      </c>
      <c r="B873" s="60" t="str">
        <f t="shared" si="153"/>
        <v/>
      </c>
      <c r="C873" s="261"/>
      <c r="D873" s="261"/>
      <c r="E873" s="261"/>
      <c r="F873" s="1103"/>
      <c r="G873" s="1104"/>
      <c r="H873" s="77"/>
      <c r="I873" s="383"/>
      <c r="J873" s="383"/>
      <c r="K873" s="383"/>
      <c r="L873" s="390"/>
      <c r="M873" s="978"/>
      <c r="N873" s="1019"/>
      <c r="O873" s="1019"/>
      <c r="P873" s="79" t="str">
        <f>IF(AND('331-CT'!$E$7=TH!H873,OR(N873="331",O873="331")),"x","")</f>
        <v/>
      </c>
      <c r="Q873" s="79" t="str">
        <f>IF(AND(B873='111'!$L$11,OR($N873=$Q$7,$O873=$Q$7)),"x","")</f>
        <v/>
      </c>
      <c r="R873" s="79" t="str">
        <f>IF(AND($N873=$Q$7,$B873&lt;'111'!$L$11),"x","")</f>
        <v/>
      </c>
      <c r="S873" s="79" t="str">
        <f>IF(AND($O873=$Q$7,$B873&lt;'111'!$L$11),"x","")</f>
        <v/>
      </c>
      <c r="T873" s="79" t="str">
        <f>IF(ISERROR(FIND('112'!$M$9,G873,1)),"",IF((AND(FIND('112'!$M$9,G873,1)&gt;=1,B873='112'!$K$9,OR($N873='112'!$I$6,$O873='112'!$I$6))),"x",""))</f>
        <v/>
      </c>
      <c r="U873" s="79" t="str">
        <f>IF(ISERROR(FIND('112'!$M$9,G873,1)),"",IF((AND(LEFT(G873,2)=LEFT('112'!$M$9,2),B873&lt;'112'!$K$9,$N873='112'!$I$6)),"x",""))</f>
        <v/>
      </c>
      <c r="V873" s="79" t="str">
        <f>IF(ISERROR(FIND('112'!$M$9,G873,1)),"",IF((AND(RIGHT(G873,2)=RIGHT('112'!$M$9,2),B873&lt;'112'!$K$9,$O873='112'!$I$6)),"x",""))</f>
        <v/>
      </c>
      <c r="W873" s="79" t="str">
        <f>IF(AND('341-CT'!$H$9=H873,OR(LEFT(N873,3)=$W$7,LEFT(O873,3)=$W$7)),"x","")</f>
        <v/>
      </c>
      <c r="X873" s="79" t="str">
        <f>IF(OR(TH!N873=TH!$X$7,O873=TH!$X$7),"x","")</f>
        <v/>
      </c>
      <c r="Y873" s="79" t="str">
        <f>IF(AND(OR(N873="131",O873="131"),H873='131-CT'!$H$9),"x","")</f>
        <v/>
      </c>
      <c r="Z873" s="79"/>
      <c r="AA873" s="79" t="str">
        <f>IF(AND(MONTH(E873)='IN-NX'!$J$5,'IN-NX'!$D$7=D873),"x","")</f>
        <v/>
      </c>
      <c r="AB873" s="79" t="str">
        <f>IF(AND(OR(LEFT(TH!N873,2)="15",LEFT(TH!O873,2)="15"),LEFT(TH!O873,3)&lt;&gt;"111",'152-CT'!$J$8=TH!F873),"x","")</f>
        <v/>
      </c>
      <c r="AC873" s="79" t="str">
        <f>IF(AND(OR(LEFT(TH!N873,2)="15",LEFT(TH!O873,2)="15"),TK!$E$7=TH!F873),"x","")</f>
        <v/>
      </c>
      <c r="AD873" s="79" t="str">
        <f>IF(AND(N873="1521",MONTH(C873)='BK-NL'!$M$11),"x","")</f>
        <v/>
      </c>
    </row>
    <row r="874" spans="1:30" ht="16.5" customHeight="1">
      <c r="A874" s="318" t="str">
        <f>IF(B874&lt;&gt;"",IF(AND(B874='IN-TC'!$S$4,OR(TH!N874="1111",TH!O874="1111")),TH!D874,""),"")</f>
        <v/>
      </c>
      <c r="B874" s="60" t="str">
        <f t="shared" si="153"/>
        <v/>
      </c>
      <c r="C874" s="261"/>
      <c r="D874" s="261"/>
      <c r="E874" s="261"/>
      <c r="F874" s="1103"/>
      <c r="G874" s="1104"/>
      <c r="H874" s="759"/>
      <c r="I874" s="383"/>
      <c r="J874" s="383"/>
      <c r="K874" s="383"/>
      <c r="L874" s="390"/>
      <c r="M874" s="978"/>
      <c r="N874" s="1019"/>
      <c r="O874" s="1019"/>
      <c r="P874" s="79" t="str">
        <f>IF(AND('331-CT'!$E$7=TH!H874,OR(N874="331",O874="331")),"x","")</f>
        <v/>
      </c>
      <c r="Q874" s="79" t="str">
        <f>IF(AND(B874='111'!$L$11,OR($N874=$Q$7,$O874=$Q$7)),"x","")</f>
        <v/>
      </c>
      <c r="R874" s="79" t="str">
        <f>IF(AND($N874=$Q$7,$B874&lt;'111'!$L$11),"x","")</f>
        <v/>
      </c>
      <c r="S874" s="79" t="str">
        <f>IF(AND($O874=$Q$7,$B874&lt;'111'!$L$11),"x","")</f>
        <v/>
      </c>
      <c r="T874" s="79" t="str">
        <f>IF(ISERROR(FIND('112'!$M$9,G874,1)),"",IF((AND(FIND('112'!$M$9,G874,1)&gt;=1,B874='112'!$K$9,OR($N874='112'!$I$6,$O874='112'!$I$6))),"x",""))</f>
        <v/>
      </c>
      <c r="U874" s="79" t="str">
        <f>IF(ISERROR(FIND('112'!$M$9,G874,1)),"",IF((AND(LEFT(G874,2)=LEFT('112'!$M$9,2),B874&lt;'112'!$K$9,$N874='112'!$I$6)),"x",""))</f>
        <v/>
      </c>
      <c r="V874" s="79" t="str">
        <f>IF(ISERROR(FIND('112'!$M$9,G874,1)),"",IF((AND(RIGHT(G874,2)=RIGHT('112'!$M$9,2),B874&lt;'112'!$K$9,$O874='112'!$I$6)),"x",""))</f>
        <v/>
      </c>
      <c r="W874" s="79" t="str">
        <f>IF(AND('341-CT'!$H$9=H874,OR(LEFT(N874,3)=$W$7,LEFT(O874,3)=$W$7)),"x","")</f>
        <v/>
      </c>
      <c r="X874" s="79" t="str">
        <f>IF(OR(TH!N874=TH!$X$7,O874=TH!$X$7),"x","")</f>
        <v/>
      </c>
      <c r="Y874" s="79" t="str">
        <f>IF(AND(OR(N874="131",O874="131"),H874='131-CT'!$H$9),"x","")</f>
        <v/>
      </c>
      <c r="Z874" s="79"/>
      <c r="AA874" s="79" t="str">
        <f>IF(AND(MONTH(E874)='IN-NX'!$J$5,'IN-NX'!$D$7=D874),"x","")</f>
        <v/>
      </c>
      <c r="AB874" s="79" t="str">
        <f>IF(AND(OR(LEFT(TH!N874,2)="15",LEFT(TH!O874,2)="15"),LEFT(TH!O874,3)&lt;&gt;"111",'152-CT'!$J$8=TH!F874),"x","")</f>
        <v/>
      </c>
      <c r="AC874" s="79" t="str">
        <f>IF(AND(OR(LEFT(TH!N874,2)="15",LEFT(TH!O874,2)="15"),TK!$E$7=TH!F874),"x","")</f>
        <v/>
      </c>
      <c r="AD874" s="79" t="str">
        <f>IF(AND(N874="1521",MONTH(C874)='BK-NL'!$M$11),"x","")</f>
        <v/>
      </c>
    </row>
    <row r="875" spans="1:30" ht="16.5" customHeight="1">
      <c r="A875" s="318" t="str">
        <f>IF(B875&lt;&gt;"",IF(AND(B875='IN-TC'!$S$4,OR(TH!N875="1111",TH!O875="1111")),TH!D875,""),"")</f>
        <v/>
      </c>
      <c r="B875" s="60" t="str">
        <f t="shared" si="153"/>
        <v/>
      </c>
      <c r="C875" s="261"/>
      <c r="D875" s="261"/>
      <c r="E875" s="261"/>
      <c r="F875" s="1131"/>
      <c r="G875" s="1104"/>
      <c r="H875" s="759"/>
      <c r="I875" s="383"/>
      <c r="J875" s="383"/>
      <c r="K875" s="383"/>
      <c r="L875" s="390"/>
      <c r="M875" s="978"/>
      <c r="N875" s="1019"/>
      <c r="O875" s="1019"/>
      <c r="P875" s="79" t="str">
        <f>IF(AND('331-CT'!$E$7=TH!H875,OR(N875="331",O875="331")),"x","")</f>
        <v/>
      </c>
      <c r="Q875" s="79" t="str">
        <f>IF(AND(B875='111'!$L$11,OR($N875=$Q$7,$O875=$Q$7)),"x","")</f>
        <v/>
      </c>
      <c r="R875" s="79" t="str">
        <f>IF(AND($N875=$Q$7,$B875&lt;'111'!$L$11),"x","")</f>
        <v/>
      </c>
      <c r="S875" s="79" t="str">
        <f>IF(AND($O875=$Q$7,$B875&lt;'111'!$L$11),"x","")</f>
        <v/>
      </c>
      <c r="T875" s="79" t="str">
        <f>IF(ISERROR(FIND('112'!$M$9,G875,1)),"",IF((AND(FIND('112'!$M$9,G875,1)&gt;=1,B875='112'!$K$9,OR($N875='112'!$I$6,$O875='112'!$I$6))),"x",""))</f>
        <v/>
      </c>
      <c r="U875" s="79" t="str">
        <f>IF(ISERROR(FIND('112'!$M$9,G875,1)),"",IF((AND(LEFT(G875,2)=LEFT('112'!$M$9,2),B875&lt;'112'!$K$9,$N875='112'!$I$6)),"x",""))</f>
        <v/>
      </c>
      <c r="V875" s="79" t="str">
        <f>IF(ISERROR(FIND('112'!$M$9,G875,1)),"",IF((AND(RIGHT(G875,2)=RIGHT('112'!$M$9,2),B875&lt;'112'!$K$9,$O875='112'!$I$6)),"x",""))</f>
        <v/>
      </c>
      <c r="W875" s="79" t="str">
        <f>IF(AND('341-CT'!$H$9=H875,OR(LEFT(N875,3)=$W$7,LEFT(O875,3)=$W$7)),"x","")</f>
        <v/>
      </c>
      <c r="X875" s="79" t="str">
        <f>IF(OR(TH!N875=TH!$X$7,O875=TH!$X$7),"x","")</f>
        <v/>
      </c>
      <c r="Y875" s="79" t="str">
        <f>IF(AND(OR(N875="131",O875="131"),H875='131-CT'!$H$9),"x","")</f>
        <v/>
      </c>
      <c r="Z875" s="79"/>
      <c r="AA875" s="79" t="str">
        <f>IF(AND(MONTH(E875)='IN-NX'!$J$5,'IN-NX'!$D$7=D875),"x","")</f>
        <v/>
      </c>
      <c r="AB875" s="79" t="str">
        <f>IF(AND(OR(LEFT(TH!N875,2)="15",LEFT(TH!O875,2)="15"),LEFT(TH!O875,3)&lt;&gt;"111",'152-CT'!$J$8=TH!F875),"x","")</f>
        <v/>
      </c>
      <c r="AC875" s="79" t="str">
        <f>IF(AND(OR(LEFT(TH!N875,2)="15",LEFT(TH!O875,2)="15"),TK!$E$7=TH!F875),"x","")</f>
        <v/>
      </c>
      <c r="AD875" s="79" t="str">
        <f>IF(AND(N875="1521",MONTH(C875)='BK-NL'!$M$11),"x","")</f>
        <v/>
      </c>
    </row>
    <row r="876" spans="1:30" ht="16.5" customHeight="1">
      <c r="A876" s="318" t="str">
        <f>IF(B876&lt;&gt;"",IF(AND(B876='IN-TC'!$S$4,OR(TH!N876="1111",TH!O876="1111")),TH!D876,""),"")</f>
        <v/>
      </c>
      <c r="B876" s="60" t="str">
        <f t="shared" si="153"/>
        <v/>
      </c>
      <c r="C876" s="261"/>
      <c r="D876" s="261"/>
      <c r="E876" s="261"/>
      <c r="F876" s="1131"/>
      <c r="G876" s="1104"/>
      <c r="H876" s="759"/>
      <c r="I876" s="383"/>
      <c r="J876" s="383"/>
      <c r="K876" s="383"/>
      <c r="L876" s="390"/>
      <c r="M876" s="978"/>
      <c r="N876" s="1019"/>
      <c r="O876" s="1019"/>
      <c r="P876" s="79" t="str">
        <f>IF(AND('331-CT'!$E$7=TH!H876,OR(N876="331",O876="331")),"x","")</f>
        <v/>
      </c>
      <c r="Q876" s="79" t="str">
        <f>IF(AND(B876='111'!$L$11,OR($N876=$Q$7,$O876=$Q$7)),"x","")</f>
        <v/>
      </c>
      <c r="R876" s="79" t="str">
        <f>IF(AND($N876=$Q$7,$B876&lt;'111'!$L$11),"x","")</f>
        <v/>
      </c>
      <c r="S876" s="79" t="str">
        <f>IF(AND($O876=$Q$7,$B876&lt;'111'!$L$11),"x","")</f>
        <v/>
      </c>
      <c r="T876" s="79" t="str">
        <f>IF(ISERROR(FIND('112'!$M$9,G876,1)),"",IF((AND(FIND('112'!$M$9,G876,1)&gt;=1,B876='112'!$K$9,OR($N876='112'!$I$6,$O876='112'!$I$6))),"x",""))</f>
        <v/>
      </c>
      <c r="U876" s="79" t="str">
        <f>IF(ISERROR(FIND('112'!$M$9,G876,1)),"",IF((AND(LEFT(G876,2)=LEFT('112'!$M$9,2),B876&lt;'112'!$K$9,$N876='112'!$I$6)),"x",""))</f>
        <v/>
      </c>
      <c r="V876" s="79" t="str">
        <f>IF(ISERROR(FIND('112'!$M$9,G876,1)),"",IF((AND(RIGHT(G876,2)=RIGHT('112'!$M$9,2),B876&lt;'112'!$K$9,$O876='112'!$I$6)),"x",""))</f>
        <v/>
      </c>
      <c r="W876" s="79" t="str">
        <f>IF(AND('341-CT'!$H$9=H876,OR(LEFT(N876,3)=$W$7,LEFT(O876,3)=$W$7)),"x","")</f>
        <v/>
      </c>
      <c r="X876" s="79" t="str">
        <f>IF(OR(TH!N876=TH!$X$7,O876=TH!$X$7),"x","")</f>
        <v/>
      </c>
      <c r="Y876" s="79" t="str">
        <f>IF(AND(OR(N876="131",O876="131"),H876='131-CT'!$H$9),"x","")</f>
        <v/>
      </c>
      <c r="Z876" s="79"/>
      <c r="AA876" s="79" t="str">
        <f>IF(AND(MONTH(E876)='IN-NX'!$J$5,'IN-NX'!$D$7=D876),"x","")</f>
        <v/>
      </c>
      <c r="AB876" s="79" t="str">
        <f>IF(AND(OR(LEFT(TH!N876,2)="15",LEFT(TH!O876,2)="15"),LEFT(TH!O876,3)&lt;&gt;"111",'152-CT'!$J$8=TH!F876),"x","")</f>
        <v/>
      </c>
      <c r="AC876" s="79" t="str">
        <f>IF(AND(OR(LEFT(TH!N876,2)="15",LEFT(TH!O876,2)="15"),TK!$E$7=TH!F876),"x","")</f>
        <v/>
      </c>
      <c r="AD876" s="79" t="str">
        <f>IF(AND(N876="1521",MONTH(C876)='BK-NL'!$M$11),"x","")</f>
        <v/>
      </c>
    </row>
    <row r="877" spans="1:30" ht="16.5" customHeight="1">
      <c r="A877" s="318" t="str">
        <f>IF(B877&lt;&gt;"",IF(AND(B877='IN-TC'!$S$4,OR(TH!N877="1111",TH!O877="1111")),TH!D877,""),"")</f>
        <v/>
      </c>
      <c r="B877" s="60" t="str">
        <f t="shared" si="153"/>
        <v/>
      </c>
      <c r="C877" s="261"/>
      <c r="D877" s="261"/>
      <c r="E877" s="261"/>
      <c r="F877" s="1131"/>
      <c r="G877" s="1104"/>
      <c r="H877" s="759"/>
      <c r="I877" s="383"/>
      <c r="J877" s="383"/>
      <c r="K877" s="383"/>
      <c r="L877" s="390"/>
      <c r="M877" s="978"/>
      <c r="N877" s="1019"/>
      <c r="O877" s="1019"/>
      <c r="P877" s="79" t="str">
        <f>IF(AND('331-CT'!$E$7=TH!H877,OR(N877="331",O877="331")),"x","")</f>
        <v/>
      </c>
      <c r="Q877" s="79" t="str">
        <f>IF(AND(B877='111'!$L$11,OR($N877=$Q$7,$O877=$Q$7)),"x","")</f>
        <v/>
      </c>
      <c r="R877" s="79" t="str">
        <f>IF(AND($N877=$Q$7,$B877&lt;'111'!$L$11),"x","")</f>
        <v/>
      </c>
      <c r="S877" s="79" t="str">
        <f>IF(AND($O877=$Q$7,$B877&lt;'111'!$L$11),"x","")</f>
        <v/>
      </c>
      <c r="T877" s="79" t="str">
        <f>IF(ISERROR(FIND('112'!$M$9,G877,1)),"",IF((AND(FIND('112'!$M$9,G877,1)&gt;=1,B877='112'!$K$9,OR($N877='112'!$I$6,$O877='112'!$I$6))),"x",""))</f>
        <v/>
      </c>
      <c r="U877" s="79" t="str">
        <f>IF(ISERROR(FIND('112'!$M$9,G877,1)),"",IF((AND(LEFT(G877,2)=LEFT('112'!$M$9,2),B877&lt;'112'!$K$9,$N877='112'!$I$6)),"x",""))</f>
        <v/>
      </c>
      <c r="V877" s="79" t="str">
        <f>IF(ISERROR(FIND('112'!$M$9,G877,1)),"",IF((AND(RIGHT(G877,2)=RIGHT('112'!$M$9,2),B877&lt;'112'!$K$9,$O877='112'!$I$6)),"x",""))</f>
        <v/>
      </c>
      <c r="W877" s="79" t="str">
        <f>IF(AND('341-CT'!$H$9=H877,OR(LEFT(N877,3)=$W$7,LEFT(O877,3)=$W$7)),"x","")</f>
        <v/>
      </c>
      <c r="X877" s="79" t="str">
        <f>IF(OR(TH!N877=TH!$X$7,O877=TH!$X$7),"x","")</f>
        <v/>
      </c>
      <c r="Y877" s="79" t="str">
        <f>IF(AND(OR(N877="131",O877="131"),H877='131-CT'!$H$9),"x","")</f>
        <v/>
      </c>
      <c r="Z877" s="79"/>
      <c r="AA877" s="79" t="str">
        <f>IF(AND(MONTH(E877)='IN-NX'!$J$5,'IN-NX'!$D$7=D877),"x","")</f>
        <v/>
      </c>
      <c r="AB877" s="79" t="str">
        <f>IF(AND(OR(LEFT(TH!N877,2)="15",LEFT(TH!O877,2)="15"),LEFT(TH!O877,3)&lt;&gt;"111",'152-CT'!$J$8=TH!F877),"x","")</f>
        <v/>
      </c>
      <c r="AC877" s="79" t="str">
        <f>IF(AND(OR(LEFT(TH!N877,2)="15",LEFT(TH!O877,2)="15"),TK!$E$7=TH!F877),"x","")</f>
        <v/>
      </c>
      <c r="AD877" s="79" t="str">
        <f>IF(AND(N877="1521",MONTH(C877)='BK-NL'!$M$11),"x","")</f>
        <v/>
      </c>
    </row>
    <row r="878" spans="1:30" ht="16.5" customHeight="1">
      <c r="A878" s="318" t="str">
        <f>IF(B878&lt;&gt;"",IF(AND(B878='IN-TC'!$S$4,OR(TH!N878="1111",TH!O878="1111")),TH!D878,""),"")</f>
        <v/>
      </c>
      <c r="B878" s="60" t="str">
        <f t="shared" si="153"/>
        <v/>
      </c>
      <c r="C878" s="261"/>
      <c r="D878" s="261"/>
      <c r="E878" s="261"/>
      <c r="F878" s="1131"/>
      <c r="G878" s="1104"/>
      <c r="H878" s="759"/>
      <c r="I878" s="383"/>
      <c r="J878" s="383"/>
      <c r="K878" s="383"/>
      <c r="L878" s="390"/>
      <c r="M878" s="978"/>
      <c r="N878" s="1019"/>
      <c r="O878" s="1019"/>
      <c r="P878" s="79" t="str">
        <f>IF(AND('331-CT'!$E$7=TH!H878,OR(N878="331",O878="331")),"x","")</f>
        <v/>
      </c>
      <c r="Q878" s="79" t="str">
        <f>IF(AND(B878='111'!$L$11,OR($N878=$Q$7,$O878=$Q$7)),"x","")</f>
        <v/>
      </c>
      <c r="R878" s="79" t="str">
        <f>IF(AND($N878=$Q$7,$B878&lt;'111'!$L$11),"x","")</f>
        <v/>
      </c>
      <c r="S878" s="79" t="str">
        <f>IF(AND($O878=$Q$7,$B878&lt;'111'!$L$11),"x","")</f>
        <v/>
      </c>
      <c r="T878" s="79" t="str">
        <f>IF(ISERROR(FIND('112'!$M$9,G878,1)),"",IF((AND(FIND('112'!$M$9,G878,1)&gt;=1,B878='112'!$K$9,OR($N878='112'!$I$6,$O878='112'!$I$6))),"x",""))</f>
        <v/>
      </c>
      <c r="U878" s="79" t="str">
        <f>IF(ISERROR(FIND('112'!$M$9,G878,1)),"",IF((AND(LEFT(G878,2)=LEFT('112'!$M$9,2),B878&lt;'112'!$K$9,$N878='112'!$I$6)),"x",""))</f>
        <v/>
      </c>
      <c r="V878" s="79" t="str">
        <f>IF(ISERROR(FIND('112'!$M$9,G878,1)),"",IF((AND(RIGHT(G878,2)=RIGHT('112'!$M$9,2),B878&lt;'112'!$K$9,$O878='112'!$I$6)),"x",""))</f>
        <v/>
      </c>
      <c r="W878" s="79" t="str">
        <f>IF(AND('341-CT'!$H$9=H878,OR(LEFT(N878,3)=$W$7,LEFT(O878,3)=$W$7)),"x","")</f>
        <v/>
      </c>
      <c r="X878" s="79" t="str">
        <f>IF(OR(TH!N878=TH!$X$7,O878=TH!$X$7),"x","")</f>
        <v/>
      </c>
      <c r="Y878" s="79" t="str">
        <f>IF(AND(OR(N878="131",O878="131"),H878='131-CT'!$H$9),"x","")</f>
        <v/>
      </c>
      <c r="Z878" s="79"/>
      <c r="AA878" s="79" t="str">
        <f>IF(AND(MONTH(E878)='IN-NX'!$J$5,'IN-NX'!$D$7=D878),"x","")</f>
        <v/>
      </c>
      <c r="AB878" s="79" t="str">
        <f>IF(AND(OR(LEFT(TH!N878,2)="15",LEFT(TH!O878,2)="15"),LEFT(TH!O878,3)&lt;&gt;"111",'152-CT'!$J$8=TH!F878),"x","")</f>
        <v/>
      </c>
      <c r="AC878" s="79" t="str">
        <f>IF(AND(OR(LEFT(TH!N878,2)="15",LEFT(TH!O878,2)="15"),TK!$E$7=TH!F878),"x","")</f>
        <v/>
      </c>
      <c r="AD878" s="79" t="str">
        <f>IF(AND(N878="1521",MONTH(C878)='BK-NL'!$M$11),"x","")</f>
        <v/>
      </c>
    </row>
    <row r="879" spans="1:30" s="1102" customFormat="1" ht="16.5" customHeight="1">
      <c r="A879" s="318" t="str">
        <f>IF(B879&lt;&gt;"",IF(AND(B879='IN-TC'!$S$4,OR(TH!N879="1111",TH!O879="1111")),TH!D879,""),"")</f>
        <v/>
      </c>
      <c r="B879" s="60" t="str">
        <f t="shared" si="153"/>
        <v/>
      </c>
      <c r="C879" s="981"/>
      <c r="D879" s="981"/>
      <c r="E879" s="981"/>
      <c r="F879" s="1009"/>
      <c r="G879" s="987"/>
      <c r="H879" s="997"/>
      <c r="I879" s="984"/>
      <c r="J879" s="984"/>
      <c r="K879" s="984"/>
      <c r="L879" s="983"/>
      <c r="M879" s="985"/>
      <c r="N879" s="986"/>
      <c r="O879" s="986"/>
      <c r="P879" s="79" t="str">
        <f>IF(AND('331-CT'!$E$7=TH!H879,OR(N879="331",O879="331")),"x","")</f>
        <v/>
      </c>
      <c r="Q879" s="79" t="str">
        <f>IF(AND(B879='111'!$L$11,OR($N879=$Q$7,$O879=$Q$7)),"x","")</f>
        <v/>
      </c>
      <c r="R879" s="79" t="str">
        <f>IF(AND($N879=$Q$7,$B879&lt;'111'!$L$11),"x","")</f>
        <v/>
      </c>
      <c r="S879" s="79" t="str">
        <f>IF(AND($O879=$Q$7,$B879&lt;'111'!$L$11),"x","")</f>
        <v/>
      </c>
      <c r="T879" s="79" t="str">
        <f>IF(ISERROR(FIND('112'!$M$9,G879,1)),"",IF((AND(FIND('112'!$M$9,G879,1)&gt;=1,B879='112'!$K$9,OR($N879='112'!$I$6,$O879='112'!$I$6))),"x",""))</f>
        <v/>
      </c>
      <c r="U879" s="79" t="str">
        <f>IF(ISERROR(FIND('112'!$M$9,G879,1)),"",IF((AND(LEFT(G879,2)=LEFT('112'!$M$9,2),B879&lt;'112'!$K$9,$N879='112'!$I$6)),"x",""))</f>
        <v/>
      </c>
      <c r="V879" s="79" t="str">
        <f>IF(ISERROR(FIND('112'!$M$9,G879,1)),"",IF((AND(RIGHT(G879,2)=RIGHT('112'!$M$9,2),B879&lt;'112'!$K$9,$O879='112'!$I$6)),"x",""))</f>
        <v/>
      </c>
      <c r="W879" s="79" t="str">
        <f>IF(AND('341-CT'!$H$9=H879,OR(LEFT(N879,3)=$W$7,LEFT(O879,3)=$W$7)),"x","")</f>
        <v/>
      </c>
      <c r="X879" s="79" t="str">
        <f>IF(OR(TH!N879=TH!$X$7,O879=TH!$X$7),"x","")</f>
        <v/>
      </c>
      <c r="Y879" s="79" t="str">
        <f>IF(AND(OR(N879="131",O879="131"),H879='131-CT'!$H$9),"x","")</f>
        <v/>
      </c>
      <c r="Z879" s="79"/>
      <c r="AA879" s="79" t="str">
        <f>IF(AND(MONTH(E879)='IN-NX'!$J$5,'IN-NX'!$D$7=D879),"x","")</f>
        <v/>
      </c>
      <c r="AB879" s="79" t="str">
        <f>IF(AND(OR(LEFT(TH!N879,2)="15",LEFT(TH!O879,2)="15"),LEFT(TH!O879,3)&lt;&gt;"111",'152-CT'!$J$8=TH!F879),"x","")</f>
        <v/>
      </c>
      <c r="AC879" s="79" t="str">
        <f>IF(AND(OR(LEFT(TH!N879,2)="15",LEFT(TH!O879,2)="15"),TK!$E$7=TH!F879),"x","")</f>
        <v/>
      </c>
      <c r="AD879" s="79" t="str">
        <f>IF(AND(N879="1521",MONTH(C879)='BK-NL'!$M$11),"x","")</f>
        <v/>
      </c>
    </row>
    <row r="880" spans="1:30" ht="16.5" customHeight="1">
      <c r="A880" s="318" t="str">
        <f>IF(B880&lt;&gt;"",IF(AND(B880='IN-TC'!$S$4,OR(TH!N880="1111",TH!O880="1111")),TH!D880,""),"")</f>
        <v/>
      </c>
      <c r="B880" s="60" t="str">
        <f t="shared" si="153"/>
        <v/>
      </c>
      <c r="C880" s="261"/>
      <c r="D880" s="261"/>
      <c r="E880" s="261"/>
      <c r="F880" s="1131"/>
      <c r="G880" s="1104"/>
      <c r="H880" s="759"/>
      <c r="I880" s="383"/>
      <c r="J880" s="383"/>
      <c r="K880" s="383"/>
      <c r="L880" s="390"/>
      <c r="M880" s="978"/>
      <c r="N880" s="1019"/>
      <c r="O880" s="1019"/>
      <c r="P880" s="79" t="str">
        <f>IF(AND('331-CT'!$E$7=TH!H880,OR(N880="331",O880="331")),"x","")</f>
        <v/>
      </c>
      <c r="Q880" s="79" t="str">
        <f>IF(AND(B880='111'!$L$11,OR($N880=$Q$7,$O880=$Q$7)),"x","")</f>
        <v/>
      </c>
      <c r="R880" s="79" t="str">
        <f>IF(AND($N880=$Q$7,$B880&lt;'111'!$L$11),"x","")</f>
        <v/>
      </c>
      <c r="S880" s="79" t="str">
        <f>IF(AND($O880=$Q$7,$B880&lt;'111'!$L$11),"x","")</f>
        <v/>
      </c>
      <c r="T880" s="79" t="str">
        <f>IF(ISERROR(FIND('112'!$M$9,G880,1)),"",IF((AND(FIND('112'!$M$9,G880,1)&gt;=1,B880='112'!$K$9,OR($N880='112'!$I$6,$O880='112'!$I$6))),"x",""))</f>
        <v/>
      </c>
      <c r="U880" s="79" t="str">
        <f>IF(ISERROR(FIND('112'!$M$9,G880,1)),"",IF((AND(LEFT(G880,2)=LEFT('112'!$M$9,2),B880&lt;'112'!$K$9,$N880='112'!$I$6)),"x",""))</f>
        <v/>
      </c>
      <c r="V880" s="79" t="str">
        <f>IF(ISERROR(FIND('112'!$M$9,G880,1)),"",IF((AND(RIGHT(G880,2)=RIGHT('112'!$M$9,2),B880&lt;'112'!$K$9,$O880='112'!$I$6)),"x",""))</f>
        <v/>
      </c>
      <c r="W880" s="79" t="str">
        <f>IF(AND('341-CT'!$H$9=H880,OR(LEFT(N880,3)=$W$7,LEFT(O880,3)=$W$7)),"x","")</f>
        <v/>
      </c>
      <c r="X880" s="79" t="str">
        <f>IF(OR(TH!N880=TH!$X$7,O880=TH!$X$7),"x","")</f>
        <v/>
      </c>
      <c r="Y880" s="79" t="str">
        <f>IF(AND(OR(N880="131",O880="131"),H880='131-CT'!$H$9),"x","")</f>
        <v/>
      </c>
      <c r="Z880" s="79"/>
      <c r="AA880" s="79" t="str">
        <f>IF(AND(MONTH(E880)='IN-NX'!$J$5,'IN-NX'!$D$7=D880),"x","")</f>
        <v/>
      </c>
      <c r="AB880" s="79" t="str">
        <f>IF(AND(OR(LEFT(TH!N880,2)="15",LEFT(TH!O880,2)="15"),LEFT(TH!O880,3)&lt;&gt;"111",'152-CT'!$J$8=TH!F880),"x","")</f>
        <v/>
      </c>
      <c r="AC880" s="79" t="str">
        <f>IF(AND(OR(LEFT(TH!N880,2)="15",LEFT(TH!O880,2)="15"),TK!$E$7=TH!F880),"x","")</f>
        <v/>
      </c>
      <c r="AD880" s="79" t="str">
        <f>IF(AND(N880="1521",MONTH(C880)='BK-NL'!$M$11),"x","")</f>
        <v/>
      </c>
    </row>
    <row r="881" spans="1:30" ht="16.5" customHeight="1">
      <c r="A881" s="318" t="str">
        <f>IF(B881&lt;&gt;"",IF(AND(B881='IN-TC'!$S$4,OR(TH!N881="1111",TH!O881="1111")),TH!D881,""),"")</f>
        <v/>
      </c>
      <c r="B881" s="60" t="str">
        <f t="shared" si="153"/>
        <v/>
      </c>
      <c r="C881" s="261"/>
      <c r="D881" s="261"/>
      <c r="E881" s="261"/>
      <c r="F881" s="1131"/>
      <c r="G881" s="1104"/>
      <c r="H881" s="759"/>
      <c r="I881" s="383"/>
      <c r="J881" s="383"/>
      <c r="K881" s="383"/>
      <c r="L881" s="390"/>
      <c r="M881" s="978"/>
      <c r="N881" s="1019"/>
      <c r="O881" s="1019"/>
      <c r="P881" s="79" t="str">
        <f>IF(AND('331-CT'!$E$7=TH!H881,OR(N881="331",O881="331")),"x","")</f>
        <v/>
      </c>
      <c r="Q881" s="79" t="str">
        <f>IF(AND(B881='111'!$L$11,OR($N881=$Q$7,$O881=$Q$7)),"x","")</f>
        <v/>
      </c>
      <c r="R881" s="79" t="str">
        <f>IF(AND($N881=$Q$7,$B881&lt;'111'!$L$11),"x","")</f>
        <v/>
      </c>
      <c r="S881" s="79" t="str">
        <f>IF(AND($O881=$Q$7,$B881&lt;'111'!$L$11),"x","")</f>
        <v/>
      </c>
      <c r="T881" s="79" t="str">
        <f>IF(ISERROR(FIND('112'!$M$9,G881,1)),"",IF((AND(FIND('112'!$M$9,G881,1)&gt;=1,B881='112'!$K$9,OR($N881='112'!$I$6,$O881='112'!$I$6))),"x",""))</f>
        <v/>
      </c>
      <c r="U881" s="79" t="str">
        <f>IF(ISERROR(FIND('112'!$M$9,G881,1)),"",IF((AND(LEFT(G881,2)=LEFT('112'!$M$9,2),B881&lt;'112'!$K$9,$N881='112'!$I$6)),"x",""))</f>
        <v/>
      </c>
      <c r="V881" s="79" t="str">
        <f>IF(ISERROR(FIND('112'!$M$9,G881,1)),"",IF((AND(RIGHT(G881,2)=RIGHT('112'!$M$9,2),B881&lt;'112'!$K$9,$O881='112'!$I$6)),"x",""))</f>
        <v/>
      </c>
      <c r="W881" s="79" t="str">
        <f>IF(AND('341-CT'!$H$9=H881,OR(LEFT(N881,3)=$W$7,LEFT(O881,3)=$W$7)),"x","")</f>
        <v/>
      </c>
      <c r="X881" s="79" t="str">
        <f>IF(OR(TH!N881=TH!$X$7,O881=TH!$X$7),"x","")</f>
        <v/>
      </c>
      <c r="Y881" s="79" t="str">
        <f>IF(AND(OR(N881="131",O881="131"),H881='131-CT'!$H$9),"x","")</f>
        <v/>
      </c>
      <c r="Z881" s="79"/>
      <c r="AA881" s="79" t="str">
        <f>IF(AND(MONTH(E881)='IN-NX'!$J$5,'IN-NX'!$D$7=D881),"x","")</f>
        <v/>
      </c>
      <c r="AB881" s="79" t="str">
        <f>IF(AND(OR(LEFT(TH!N881,2)="15",LEFT(TH!O881,2)="15"),LEFT(TH!O881,3)&lt;&gt;"111",'152-CT'!$J$8=TH!F881),"x","")</f>
        <v/>
      </c>
      <c r="AC881" s="79" t="str">
        <f>IF(AND(OR(LEFT(TH!N881,2)="15",LEFT(TH!O881,2)="15"),TK!$E$7=TH!F881),"x","")</f>
        <v/>
      </c>
      <c r="AD881" s="79" t="str">
        <f>IF(AND(N881="1521",MONTH(C881)='BK-NL'!$M$11),"x","")</f>
        <v/>
      </c>
    </row>
    <row r="882" spans="1:30" ht="16.5" customHeight="1">
      <c r="A882" s="318" t="str">
        <f>IF(B882&lt;&gt;"",IF(AND(B882='IN-TC'!$S$4,OR(TH!N882="1111",TH!O882="1111")),TH!D882,""),"")</f>
        <v/>
      </c>
      <c r="B882" s="60" t="str">
        <f t="shared" si="153"/>
        <v/>
      </c>
      <c r="C882" s="261"/>
      <c r="D882" s="261"/>
      <c r="E882" s="261"/>
      <c r="F882" s="1131"/>
      <c r="G882" s="1104"/>
      <c r="H882" s="759"/>
      <c r="I882" s="383"/>
      <c r="J882" s="383"/>
      <c r="K882" s="383"/>
      <c r="L882" s="390"/>
      <c r="M882" s="978"/>
      <c r="N882" s="1019"/>
      <c r="O882" s="1019"/>
      <c r="P882" s="79" t="str">
        <f>IF(AND('331-CT'!$E$7=TH!H882,OR(N882="331",O882="331")),"x","")</f>
        <v/>
      </c>
      <c r="Q882" s="79" t="str">
        <f>IF(AND(B882='111'!$L$11,OR($N882=$Q$7,$O882=$Q$7)),"x","")</f>
        <v/>
      </c>
      <c r="R882" s="79" t="str">
        <f>IF(AND($N882=$Q$7,$B882&lt;'111'!$L$11),"x","")</f>
        <v/>
      </c>
      <c r="S882" s="79" t="str">
        <f>IF(AND($O882=$Q$7,$B882&lt;'111'!$L$11),"x","")</f>
        <v/>
      </c>
      <c r="T882" s="79" t="str">
        <f>IF(ISERROR(FIND('112'!$M$9,G882,1)),"",IF((AND(FIND('112'!$M$9,G882,1)&gt;=1,B882='112'!$K$9,OR($N882='112'!$I$6,$O882='112'!$I$6))),"x",""))</f>
        <v/>
      </c>
      <c r="U882" s="79" t="str">
        <f>IF(ISERROR(FIND('112'!$M$9,G882,1)),"",IF((AND(LEFT(G882,2)=LEFT('112'!$M$9,2),B882&lt;'112'!$K$9,$N882='112'!$I$6)),"x",""))</f>
        <v/>
      </c>
      <c r="V882" s="79" t="str">
        <f>IF(ISERROR(FIND('112'!$M$9,G882,1)),"",IF((AND(RIGHT(G882,2)=RIGHT('112'!$M$9,2),B882&lt;'112'!$K$9,$O882='112'!$I$6)),"x",""))</f>
        <v/>
      </c>
      <c r="W882" s="79" t="str">
        <f>IF(AND('341-CT'!$H$9=H882,OR(LEFT(N882,3)=$W$7,LEFT(O882,3)=$W$7)),"x","")</f>
        <v/>
      </c>
      <c r="X882" s="79" t="str">
        <f>IF(OR(TH!N882=TH!$X$7,O882=TH!$X$7),"x","")</f>
        <v/>
      </c>
      <c r="Y882" s="79" t="str">
        <f>IF(AND(OR(N882="131",O882="131"),H882='131-CT'!$H$9),"x","")</f>
        <v/>
      </c>
      <c r="Z882" s="79"/>
      <c r="AA882" s="79" t="str">
        <f>IF(AND(MONTH(E882)='IN-NX'!$J$5,'IN-NX'!$D$7=D882),"x","")</f>
        <v/>
      </c>
      <c r="AB882" s="79" t="str">
        <f>IF(AND(OR(LEFT(TH!N882,2)="15",LEFT(TH!O882,2)="15"),LEFT(TH!O882,3)&lt;&gt;"111",'152-CT'!$J$8=TH!F882),"x","")</f>
        <v/>
      </c>
      <c r="AC882" s="79" t="str">
        <f>IF(AND(OR(LEFT(TH!N882,2)="15",LEFT(TH!O882,2)="15"),TK!$E$7=TH!F882),"x","")</f>
        <v/>
      </c>
      <c r="AD882" s="79" t="str">
        <f>IF(AND(N882="1521",MONTH(C882)='BK-NL'!$M$11),"x","")</f>
        <v/>
      </c>
    </row>
    <row r="883" spans="1:30" s="1102" customFormat="1" ht="16.5" customHeight="1">
      <c r="A883" s="318" t="str">
        <f>IF(B883&lt;&gt;"",IF(AND(B883='IN-TC'!$S$4,OR(TH!N883="1111",TH!O883="1111")),TH!D883,""),"")</f>
        <v/>
      </c>
      <c r="B883" s="60" t="str">
        <f t="shared" si="153"/>
        <v/>
      </c>
      <c r="C883" s="981"/>
      <c r="D883" s="981"/>
      <c r="E883" s="981"/>
      <c r="F883" s="1103"/>
      <c r="G883" s="987"/>
      <c r="H883" s="997"/>
      <c r="I883" s="984"/>
      <c r="J883" s="984"/>
      <c r="K883" s="984"/>
      <c r="L883" s="983"/>
      <c r="M883" s="985"/>
      <c r="N883" s="986"/>
      <c r="O883" s="986"/>
      <c r="P883" s="79" t="str">
        <f>IF(AND('331-CT'!$E$7=TH!H883,OR(N883="331",O883="331")),"x","")</f>
        <v/>
      </c>
      <c r="Q883" s="79" t="str">
        <f>IF(AND(B883='111'!$L$11,OR($N883=$Q$7,$O883=$Q$7)),"x","")</f>
        <v/>
      </c>
      <c r="R883" s="79" t="str">
        <f>IF(AND($N883=$Q$7,$B883&lt;'111'!$L$11),"x","")</f>
        <v/>
      </c>
      <c r="S883" s="79" t="str">
        <f>IF(AND($O883=$Q$7,$B883&lt;'111'!$L$11),"x","")</f>
        <v/>
      </c>
      <c r="T883" s="79" t="str">
        <f>IF(ISERROR(FIND('112'!$M$9,G883,1)),"",IF((AND(FIND('112'!$M$9,G883,1)&gt;=1,B883='112'!$K$9,OR($N883='112'!$I$6,$O883='112'!$I$6))),"x",""))</f>
        <v/>
      </c>
      <c r="U883" s="79" t="str">
        <f>IF(ISERROR(FIND('112'!$M$9,G883,1)),"",IF((AND(LEFT(G883,2)=LEFT('112'!$M$9,2),B883&lt;'112'!$K$9,$N883='112'!$I$6)),"x",""))</f>
        <v/>
      </c>
      <c r="V883" s="79" t="str">
        <f>IF(ISERROR(FIND('112'!$M$9,G883,1)),"",IF((AND(RIGHT(G883,2)=RIGHT('112'!$M$9,2),B883&lt;'112'!$K$9,$O883='112'!$I$6)),"x",""))</f>
        <v/>
      </c>
      <c r="W883" s="79" t="str">
        <f>IF(AND('341-CT'!$H$9=H883,OR(LEFT(N883,3)=$W$7,LEFT(O883,3)=$W$7)),"x","")</f>
        <v/>
      </c>
      <c r="X883" s="79" t="str">
        <f>IF(OR(TH!N883=TH!$X$7,O883=TH!$X$7),"x","")</f>
        <v/>
      </c>
      <c r="Y883" s="79" t="str">
        <f>IF(AND(OR(N883="131",O883="131"),H883='131-CT'!$H$9),"x","")</f>
        <v/>
      </c>
      <c r="Z883" s="79"/>
      <c r="AA883" s="79" t="str">
        <f>IF(AND(MONTH(E883)='IN-NX'!$J$5,'IN-NX'!$D$7=D883),"x","")</f>
        <v/>
      </c>
      <c r="AB883" s="79" t="str">
        <f>IF(AND(OR(LEFT(TH!N883,2)="15",LEFT(TH!O883,2)="15"),LEFT(TH!O883,3)&lt;&gt;"111",'152-CT'!$J$8=TH!F883),"x","")</f>
        <v/>
      </c>
      <c r="AC883" s="79" t="str">
        <f>IF(AND(OR(LEFT(TH!N883,2)="15",LEFT(TH!O883,2)="15"),TK!$E$7=TH!F883),"x","")</f>
        <v/>
      </c>
      <c r="AD883" s="79" t="str">
        <f>IF(AND(N883="1521",MONTH(C883)='BK-NL'!$M$11),"x","")</f>
        <v/>
      </c>
    </row>
    <row r="884" spans="1:30" ht="16.5" customHeight="1">
      <c r="A884" s="318" t="str">
        <f>IF(B884&lt;&gt;"",IF(AND(B884='IN-TC'!$S$4,OR(TH!N884="1111",TH!O884="1111")),TH!D884,""),"")</f>
        <v/>
      </c>
      <c r="B884" s="60" t="str">
        <f t="shared" si="153"/>
        <v/>
      </c>
      <c r="C884" s="261"/>
      <c r="D884" s="261"/>
      <c r="E884" s="261"/>
      <c r="F884" s="1131"/>
      <c r="G884" s="1104"/>
      <c r="H884" s="759"/>
      <c r="I884" s="383"/>
      <c r="J884" s="383"/>
      <c r="K884" s="390"/>
      <c r="L884" s="390"/>
      <c r="M884" s="978"/>
      <c r="N884" s="1019"/>
      <c r="O884" s="1019"/>
      <c r="P884" s="79" t="str">
        <f>IF(AND('331-CT'!$E$7=TH!H884,OR(N884="331",O884="331")),"x","")</f>
        <v/>
      </c>
      <c r="Q884" s="79" t="str">
        <f>IF(AND(B884='111'!$L$11,OR($N884=$Q$7,$O884=$Q$7)),"x","")</f>
        <v/>
      </c>
      <c r="R884" s="79" t="str">
        <f>IF(AND($N884=$Q$7,$B884&lt;'111'!$L$11),"x","")</f>
        <v/>
      </c>
      <c r="S884" s="79" t="str">
        <f>IF(AND($O884=$Q$7,$B884&lt;'111'!$L$11),"x","")</f>
        <v/>
      </c>
      <c r="T884" s="79" t="str">
        <f>IF(ISERROR(FIND('112'!$M$9,G884,1)),"",IF((AND(FIND('112'!$M$9,G884,1)&gt;=1,B884='112'!$K$9,OR($N884='112'!$I$6,$O884='112'!$I$6))),"x",""))</f>
        <v/>
      </c>
      <c r="U884" s="79" t="str">
        <f>IF(ISERROR(FIND('112'!$M$9,G884,1)),"",IF((AND(LEFT(G884,2)=LEFT('112'!$M$9,2),B884&lt;'112'!$K$9,$N884='112'!$I$6)),"x",""))</f>
        <v/>
      </c>
      <c r="V884" s="79" t="str">
        <f>IF(ISERROR(FIND('112'!$M$9,G884,1)),"",IF((AND(RIGHT(G884,2)=RIGHT('112'!$M$9,2),B884&lt;'112'!$K$9,$O884='112'!$I$6)),"x",""))</f>
        <v/>
      </c>
      <c r="W884" s="79" t="str">
        <f>IF(AND('341-CT'!$H$9=H884,OR(LEFT(N884,3)=$W$7,LEFT(O884,3)=$W$7)),"x","")</f>
        <v/>
      </c>
      <c r="X884" s="79" t="str">
        <f>IF(OR(TH!N884=TH!$X$7,O884=TH!$X$7),"x","")</f>
        <v/>
      </c>
      <c r="Y884" s="79" t="str">
        <f>IF(AND(OR(N884="131",O884="131"),H884='131-CT'!$H$9),"x","")</f>
        <v/>
      </c>
      <c r="Z884" s="79"/>
      <c r="AA884" s="79" t="str">
        <f>IF(AND(MONTH(E884)='IN-NX'!$J$5,'IN-NX'!$D$7=D884),"x","")</f>
        <v/>
      </c>
      <c r="AB884" s="79" t="str">
        <f>IF(AND(OR(LEFT(TH!N884,2)="15",LEFT(TH!O884,2)="15"),LEFT(TH!O884,3)&lt;&gt;"111",'152-CT'!$J$8=TH!F884),"x","")</f>
        <v/>
      </c>
      <c r="AC884" s="79" t="str">
        <f>IF(AND(OR(LEFT(TH!N884,2)="15",LEFT(TH!O884,2)="15"),TK!$E$7=TH!F884),"x","")</f>
        <v/>
      </c>
      <c r="AD884" s="79" t="str">
        <f>IF(AND(N884="1521",MONTH(C884)='BK-NL'!$M$11),"x","")</f>
        <v/>
      </c>
    </row>
    <row r="885" spans="1:30" ht="16.5" customHeight="1">
      <c r="A885" s="318" t="str">
        <f>IF(B885&lt;&gt;"",IF(AND(B885='IN-TC'!$S$4,OR(TH!N885="1111",TH!O885="1111")),TH!D885,""),"")</f>
        <v/>
      </c>
      <c r="B885" s="60" t="str">
        <f t="shared" si="153"/>
        <v/>
      </c>
      <c r="C885" s="261"/>
      <c r="D885" s="261"/>
      <c r="E885" s="261"/>
      <c r="F885" s="1131"/>
      <c r="G885" s="1104"/>
      <c r="H885" s="759"/>
      <c r="I885" s="383"/>
      <c r="J885" s="383"/>
      <c r="K885" s="390"/>
      <c r="L885" s="390"/>
      <c r="M885" s="978"/>
      <c r="N885" s="1019"/>
      <c r="O885" s="1019"/>
      <c r="P885" s="79" t="str">
        <f>IF(AND('331-CT'!$E$7=TH!H885,OR(N885="331",O885="331")),"x","")</f>
        <v/>
      </c>
      <c r="Q885" s="79" t="str">
        <f>IF(AND(B885='111'!$L$11,OR($N885=$Q$7,$O885=$Q$7)),"x","")</f>
        <v/>
      </c>
      <c r="R885" s="79" t="str">
        <f>IF(AND($N885=$Q$7,$B885&lt;'111'!$L$11),"x","")</f>
        <v/>
      </c>
      <c r="S885" s="79" t="str">
        <f>IF(AND($O885=$Q$7,$B885&lt;'111'!$L$11),"x","")</f>
        <v/>
      </c>
      <c r="T885" s="79" t="str">
        <f>IF(ISERROR(FIND('112'!$M$9,G885,1)),"",IF((AND(FIND('112'!$M$9,G885,1)&gt;=1,B885='112'!$K$9,OR($N885='112'!$I$6,$O885='112'!$I$6))),"x",""))</f>
        <v/>
      </c>
      <c r="U885" s="79" t="str">
        <f>IF(ISERROR(FIND('112'!$M$9,G885,1)),"",IF((AND(LEFT(G885,2)=LEFT('112'!$M$9,2),B885&lt;'112'!$K$9,$N885='112'!$I$6)),"x",""))</f>
        <v/>
      </c>
      <c r="V885" s="79" t="str">
        <f>IF(ISERROR(FIND('112'!$M$9,G885,1)),"",IF((AND(RIGHT(G885,2)=RIGHT('112'!$M$9,2),B885&lt;'112'!$K$9,$O885='112'!$I$6)),"x",""))</f>
        <v/>
      </c>
      <c r="W885" s="79" t="str">
        <f>IF(AND('341-CT'!$H$9=H885,OR(LEFT(N885,3)=$W$7,LEFT(O885,3)=$W$7)),"x","")</f>
        <v/>
      </c>
      <c r="X885" s="79" t="str">
        <f>IF(OR(TH!N885=TH!$X$7,O885=TH!$X$7),"x","")</f>
        <v/>
      </c>
      <c r="Y885" s="79" t="str">
        <f>IF(AND(OR(N885="131",O885="131"),H885='131-CT'!$H$9),"x","")</f>
        <v/>
      </c>
      <c r="Z885" s="79"/>
      <c r="AA885" s="79" t="str">
        <f>IF(AND(MONTH(E885)='IN-NX'!$J$5,'IN-NX'!$D$7=D885),"x","")</f>
        <v/>
      </c>
      <c r="AB885" s="79" t="str">
        <f>IF(AND(OR(LEFT(TH!N885,2)="15",LEFT(TH!O885,2)="15"),LEFT(TH!O885,3)&lt;&gt;"111",'152-CT'!$J$8=TH!F885),"x","")</f>
        <v/>
      </c>
      <c r="AC885" s="79" t="str">
        <f>IF(AND(OR(LEFT(TH!N885,2)="15",LEFT(TH!O885,2)="15"),TK!$E$7=TH!F885),"x","")</f>
        <v/>
      </c>
      <c r="AD885" s="79" t="str">
        <f>IF(AND(N885="1521",MONTH(C885)='BK-NL'!$M$11),"x","")</f>
        <v/>
      </c>
    </row>
    <row r="886" spans="1:30" ht="16.5" customHeight="1">
      <c r="A886" s="318" t="str">
        <f>IF(B886&lt;&gt;"",IF(AND(B886='IN-TC'!$S$4,OR(TH!N886="1111",TH!O886="1111")),TH!D886,""),"")</f>
        <v/>
      </c>
      <c r="B886" s="60" t="str">
        <f t="shared" si="153"/>
        <v/>
      </c>
      <c r="C886" s="261"/>
      <c r="D886" s="261"/>
      <c r="E886" s="261"/>
      <c r="F886" s="1131"/>
      <c r="G886" s="1104"/>
      <c r="H886" s="759"/>
      <c r="I886" s="383"/>
      <c r="J886" s="383"/>
      <c r="K886" s="390"/>
      <c r="L886" s="390"/>
      <c r="M886" s="978"/>
      <c r="N886" s="1019"/>
      <c r="O886" s="1019"/>
      <c r="P886" s="79" t="str">
        <f>IF(AND('331-CT'!$E$7=TH!H886,OR(N886="331",O886="331")),"x","")</f>
        <v/>
      </c>
      <c r="Q886" s="79" t="str">
        <f>IF(AND(B886='111'!$L$11,OR($N886=$Q$7,$O886=$Q$7)),"x","")</f>
        <v/>
      </c>
      <c r="R886" s="79" t="str">
        <f>IF(AND($N886=$Q$7,$B886&lt;'111'!$L$11),"x","")</f>
        <v/>
      </c>
      <c r="S886" s="79" t="str">
        <f>IF(AND($O886=$Q$7,$B886&lt;'111'!$L$11),"x","")</f>
        <v/>
      </c>
      <c r="T886" s="79" t="str">
        <f>IF(ISERROR(FIND('112'!$M$9,G886,1)),"",IF((AND(FIND('112'!$M$9,G886,1)&gt;=1,B886='112'!$K$9,OR($N886='112'!$I$6,$O886='112'!$I$6))),"x",""))</f>
        <v/>
      </c>
      <c r="U886" s="79" t="str">
        <f>IF(ISERROR(FIND('112'!$M$9,G886,1)),"",IF((AND(LEFT(G886,2)=LEFT('112'!$M$9,2),B886&lt;'112'!$K$9,$N886='112'!$I$6)),"x",""))</f>
        <v/>
      </c>
      <c r="V886" s="79" t="str">
        <f>IF(ISERROR(FIND('112'!$M$9,G886,1)),"",IF((AND(RIGHT(G886,2)=RIGHT('112'!$M$9,2),B886&lt;'112'!$K$9,$O886='112'!$I$6)),"x",""))</f>
        <v/>
      </c>
      <c r="W886" s="79" t="str">
        <f>IF(AND('341-CT'!$H$9=H886,OR(LEFT(N886,3)=$W$7,LEFT(O886,3)=$W$7)),"x","")</f>
        <v/>
      </c>
      <c r="X886" s="79" t="str">
        <f>IF(OR(TH!N886=TH!$X$7,O886=TH!$X$7),"x","")</f>
        <v/>
      </c>
      <c r="Y886" s="79" t="str">
        <f>IF(AND(OR(N886="131",O886="131"),H886='131-CT'!$H$9),"x","")</f>
        <v/>
      </c>
      <c r="Z886" s="79"/>
      <c r="AA886" s="79" t="str">
        <f>IF(AND(MONTH(E886)='IN-NX'!$J$5,'IN-NX'!$D$7=D886),"x","")</f>
        <v/>
      </c>
      <c r="AB886" s="79" t="str">
        <f>IF(AND(OR(LEFT(TH!N886,2)="15",LEFT(TH!O886,2)="15"),LEFT(TH!O886,3)&lt;&gt;"111",'152-CT'!$J$8=TH!F886),"x","")</f>
        <v/>
      </c>
      <c r="AC886" s="79" t="str">
        <f>IF(AND(OR(LEFT(TH!N886,2)="15",LEFT(TH!O886,2)="15"),TK!$E$7=TH!F886),"x","")</f>
        <v/>
      </c>
      <c r="AD886" s="79" t="str">
        <f>IF(AND(N886="1521",MONTH(C886)='BK-NL'!$M$11),"x","")</f>
        <v/>
      </c>
    </row>
    <row r="887" spans="1:30" ht="16.5" customHeight="1">
      <c r="A887" s="318" t="str">
        <f>IF(B887&lt;&gt;"",IF(AND(B887='IN-TC'!$S$4,OR(TH!N887="1111",TH!O887="1111")),TH!D887,""),"")</f>
        <v/>
      </c>
      <c r="B887" s="60" t="str">
        <f t="shared" si="153"/>
        <v/>
      </c>
      <c r="C887" s="261"/>
      <c r="D887" s="261"/>
      <c r="E887" s="261"/>
      <c r="F887" s="1131"/>
      <c r="G887" s="1104"/>
      <c r="H887" s="759"/>
      <c r="I887" s="383"/>
      <c r="J887" s="383"/>
      <c r="K887" s="390"/>
      <c r="L887" s="390"/>
      <c r="M887" s="978"/>
      <c r="N887" s="1019"/>
      <c r="O887" s="1019"/>
      <c r="P887" s="79" t="str">
        <f>IF(AND('331-CT'!$E$7=TH!H887,OR(N887="331",O887="331")),"x","")</f>
        <v/>
      </c>
      <c r="Q887" s="79" t="str">
        <f>IF(AND(B887='111'!$L$11,OR($N887=$Q$7,$O887=$Q$7)),"x","")</f>
        <v/>
      </c>
      <c r="R887" s="79" t="str">
        <f>IF(AND($N887=$Q$7,$B887&lt;'111'!$L$11),"x","")</f>
        <v/>
      </c>
      <c r="S887" s="79" t="str">
        <f>IF(AND($O887=$Q$7,$B887&lt;'111'!$L$11),"x","")</f>
        <v/>
      </c>
      <c r="T887" s="79" t="str">
        <f>IF(ISERROR(FIND('112'!$M$9,G887,1)),"",IF((AND(FIND('112'!$M$9,G887,1)&gt;=1,B887='112'!$K$9,OR($N887='112'!$I$6,$O887='112'!$I$6))),"x",""))</f>
        <v/>
      </c>
      <c r="U887" s="79" t="str">
        <f>IF(ISERROR(FIND('112'!$M$9,G887,1)),"",IF((AND(LEFT(G887,2)=LEFT('112'!$M$9,2),B887&lt;'112'!$K$9,$N887='112'!$I$6)),"x",""))</f>
        <v/>
      </c>
      <c r="V887" s="79" t="str">
        <f>IF(ISERROR(FIND('112'!$M$9,G887,1)),"",IF((AND(RIGHT(G887,2)=RIGHT('112'!$M$9,2),B887&lt;'112'!$K$9,$O887='112'!$I$6)),"x",""))</f>
        <v/>
      </c>
      <c r="W887" s="79" t="str">
        <f>IF(AND('341-CT'!$H$9=H887,OR(LEFT(N887,3)=$W$7,LEFT(O887,3)=$W$7)),"x","")</f>
        <v/>
      </c>
      <c r="X887" s="79" t="str">
        <f>IF(OR(TH!N887=TH!$X$7,O887=TH!$X$7),"x","")</f>
        <v/>
      </c>
      <c r="Y887" s="79" t="str">
        <f>IF(AND(OR(N887="131",O887="131"),H887='131-CT'!$H$9),"x","")</f>
        <v/>
      </c>
      <c r="Z887" s="79"/>
      <c r="AA887" s="79" t="str">
        <f>IF(AND(MONTH(E887)='IN-NX'!$J$5,'IN-NX'!$D$7=D887),"x","")</f>
        <v/>
      </c>
      <c r="AB887" s="79" t="str">
        <f>IF(AND(OR(LEFT(TH!N887,2)="15",LEFT(TH!O887,2)="15"),LEFT(TH!O887,3)&lt;&gt;"111",'152-CT'!$J$8=TH!F887),"x","")</f>
        <v/>
      </c>
      <c r="AC887" s="79" t="str">
        <f>IF(AND(OR(LEFT(TH!N887,2)="15",LEFT(TH!O887,2)="15"),TK!$E$7=TH!F887),"x","")</f>
        <v/>
      </c>
      <c r="AD887" s="79" t="str">
        <f>IF(AND(N887="1521",MONTH(C887)='BK-NL'!$M$11),"x","")</f>
        <v/>
      </c>
    </row>
    <row r="888" spans="1:30" ht="16.5" customHeight="1">
      <c r="A888" s="318" t="str">
        <f>IF(B888&lt;&gt;"",IF(AND(B888='IN-TC'!$S$4,OR(TH!N888="1111",TH!O888="1111")),TH!D888,""),"")</f>
        <v/>
      </c>
      <c r="B888" s="60" t="str">
        <f t="shared" si="153"/>
        <v/>
      </c>
      <c r="C888" s="261"/>
      <c r="D888" s="261"/>
      <c r="E888" s="261"/>
      <c r="F888" s="1131"/>
      <c r="G888" s="1104"/>
      <c r="H888" s="759"/>
      <c r="I888" s="383"/>
      <c r="J888" s="383"/>
      <c r="K888" s="390"/>
      <c r="L888" s="390"/>
      <c r="M888" s="978"/>
      <c r="N888" s="1019"/>
      <c r="O888" s="1019"/>
      <c r="P888" s="79" t="str">
        <f>IF(AND('331-CT'!$E$7=TH!H888,OR(N888="331",O888="331")),"x","")</f>
        <v/>
      </c>
      <c r="Q888" s="79" t="str">
        <f>IF(AND(B888='111'!$L$11,OR($N888=$Q$7,$O888=$Q$7)),"x","")</f>
        <v/>
      </c>
      <c r="R888" s="79" t="str">
        <f>IF(AND($N888=$Q$7,$B888&lt;'111'!$L$11),"x","")</f>
        <v/>
      </c>
      <c r="S888" s="79" t="str">
        <f>IF(AND($O888=$Q$7,$B888&lt;'111'!$L$11),"x","")</f>
        <v/>
      </c>
      <c r="T888" s="79" t="str">
        <f>IF(ISERROR(FIND('112'!$M$9,G888,1)),"",IF((AND(FIND('112'!$M$9,G888,1)&gt;=1,B888='112'!$K$9,OR($N888='112'!$I$6,$O888='112'!$I$6))),"x",""))</f>
        <v/>
      </c>
      <c r="U888" s="79" t="str">
        <f>IF(ISERROR(FIND('112'!$M$9,G888,1)),"",IF((AND(LEFT(G888,2)=LEFT('112'!$M$9,2),B888&lt;'112'!$K$9,$N888='112'!$I$6)),"x",""))</f>
        <v/>
      </c>
      <c r="V888" s="79" t="str">
        <f>IF(ISERROR(FIND('112'!$M$9,G888,1)),"",IF((AND(RIGHT(G888,2)=RIGHT('112'!$M$9,2),B888&lt;'112'!$K$9,$O888='112'!$I$6)),"x",""))</f>
        <v/>
      </c>
      <c r="W888" s="79" t="str">
        <f>IF(AND('341-CT'!$H$9=H888,OR(LEFT(N888,3)=$W$7,LEFT(O888,3)=$W$7)),"x","")</f>
        <v/>
      </c>
      <c r="X888" s="79" t="str">
        <f>IF(OR(TH!N888=TH!$X$7,O888=TH!$X$7),"x","")</f>
        <v/>
      </c>
      <c r="Y888" s="79" t="str">
        <f>IF(AND(OR(N888="131",O888="131"),H888='131-CT'!$H$9),"x","")</f>
        <v/>
      </c>
      <c r="Z888" s="79"/>
      <c r="AA888" s="79" t="str">
        <f>IF(AND(MONTH(E888)='IN-NX'!$J$5,'IN-NX'!$D$7=D888),"x","")</f>
        <v/>
      </c>
      <c r="AB888" s="79" t="str">
        <f>IF(AND(OR(LEFT(TH!N888,2)="15",LEFT(TH!O888,2)="15"),LEFT(TH!O888,3)&lt;&gt;"111",'152-CT'!$J$8=TH!F888),"x","")</f>
        <v/>
      </c>
      <c r="AC888" s="79" t="str">
        <f>IF(AND(OR(LEFT(TH!N888,2)="15",LEFT(TH!O888,2)="15"),TK!$E$7=TH!F888),"x","")</f>
        <v/>
      </c>
      <c r="AD888" s="79" t="str">
        <f>IF(AND(N888="1521",MONTH(C888)='BK-NL'!$M$11),"x","")</f>
        <v/>
      </c>
    </row>
    <row r="889" spans="1:30" ht="16.5" customHeight="1">
      <c r="A889" s="318" t="str">
        <f>IF(B889&lt;&gt;"",IF(AND(B889='IN-TC'!$S$4,OR(TH!N889="1111",TH!O889="1111")),TH!D889,""),"")</f>
        <v/>
      </c>
      <c r="B889" s="60" t="str">
        <f t="shared" si="153"/>
        <v/>
      </c>
      <c r="C889" s="261"/>
      <c r="D889" s="261"/>
      <c r="E889" s="261"/>
      <c r="F889" s="1103"/>
      <c r="G889" s="1104"/>
      <c r="H889" s="305"/>
      <c r="I889" s="383"/>
      <c r="J889" s="977"/>
      <c r="K889" s="977"/>
      <c r="L889" s="390"/>
      <c r="M889" s="978"/>
      <c r="N889" s="1019"/>
      <c r="O889" s="1019"/>
      <c r="P889" s="79" t="str">
        <f>IF(AND('331-CT'!$E$7=TH!H889,OR(N889="331",O889="331")),"x","")</f>
        <v/>
      </c>
      <c r="Q889" s="79" t="str">
        <f>IF(AND(B889='111'!$L$11,OR($N889=$Q$7,$O889=$Q$7)),"x","")</f>
        <v/>
      </c>
      <c r="R889" s="79" t="str">
        <f>IF(AND($N889=$Q$7,$B889&lt;'111'!$L$11),"x","")</f>
        <v/>
      </c>
      <c r="S889" s="79" t="str">
        <f>IF(AND($O889=$Q$7,$B889&lt;'111'!$L$11),"x","")</f>
        <v/>
      </c>
      <c r="T889" s="79" t="str">
        <f>IF(ISERROR(FIND('112'!$M$9,G889,1)),"",IF((AND(FIND('112'!$M$9,G889,1)&gt;=1,B889='112'!$K$9,OR($N889='112'!$I$6,$O889='112'!$I$6))),"x",""))</f>
        <v/>
      </c>
      <c r="U889" s="79" t="str">
        <f>IF(ISERROR(FIND('112'!$M$9,G889,1)),"",IF((AND(LEFT(G889,2)=LEFT('112'!$M$9,2),B889&lt;'112'!$K$9,$N889='112'!$I$6)),"x",""))</f>
        <v/>
      </c>
      <c r="V889" s="79" t="str">
        <f>IF(ISERROR(FIND('112'!$M$9,G889,1)),"",IF((AND(RIGHT(G889,2)=RIGHT('112'!$M$9,2),B889&lt;'112'!$K$9,$O889='112'!$I$6)),"x",""))</f>
        <v/>
      </c>
      <c r="W889" s="79" t="str">
        <f>IF(AND('341-CT'!$H$9=H889,OR(LEFT(N889,3)=$W$7,LEFT(O889,3)=$W$7)),"x","")</f>
        <v/>
      </c>
      <c r="X889" s="79" t="str">
        <f>IF(OR(TH!N889=TH!$X$7,O889=TH!$X$7),"x","")</f>
        <v/>
      </c>
      <c r="Y889" s="79" t="str">
        <f>IF(AND(OR(N889="131",O889="131"),H889='131-CT'!$H$9),"x","")</f>
        <v/>
      </c>
      <c r="Z889" s="79"/>
      <c r="AA889" s="79" t="str">
        <f>IF(AND(MONTH(E889)='IN-NX'!$J$5,'IN-NX'!$D$7=D889),"x","")</f>
        <v/>
      </c>
      <c r="AB889" s="79" t="str">
        <f>IF(AND(OR(LEFT(TH!N889,2)="15",LEFT(TH!O889,2)="15"),LEFT(TH!O889,3)&lt;&gt;"111",'152-CT'!$J$8=TH!F889),"x","")</f>
        <v/>
      </c>
      <c r="AC889" s="79" t="str">
        <f>IF(AND(OR(LEFT(TH!N889,2)="15",LEFT(TH!O889,2)="15"),TK!$E$7=TH!F889),"x","")</f>
        <v/>
      </c>
      <c r="AD889" s="79" t="str">
        <f>IF(AND(N889="1521",MONTH(C889)='BK-NL'!$M$11),"x","")</f>
        <v/>
      </c>
    </row>
    <row r="890" spans="1:30" ht="16.5" customHeight="1">
      <c r="A890" s="318" t="str">
        <f>IF(B890&lt;&gt;"",IF(AND(B890='IN-TC'!$S$4,OR(TH!N890="1111",TH!O890="1111")),TH!D890,""),"")</f>
        <v/>
      </c>
      <c r="B890" s="60" t="str">
        <f t="shared" si="153"/>
        <v/>
      </c>
      <c r="C890" s="261"/>
      <c r="D890" s="261"/>
      <c r="E890" s="261"/>
      <c r="F890" s="1103"/>
      <c r="G890" s="1104"/>
      <c r="H890" s="305"/>
      <c r="I890" s="383"/>
      <c r="J890" s="977"/>
      <c r="K890" s="977"/>
      <c r="L890" s="390"/>
      <c r="M890" s="978"/>
      <c r="N890" s="1019"/>
      <c r="O890" s="1019"/>
      <c r="P890" s="79" t="str">
        <f>IF(AND('331-CT'!$E$7=TH!H890,OR(N890="331",O890="331")),"x","")</f>
        <v/>
      </c>
      <c r="Q890" s="79" t="str">
        <f>IF(AND(B890='111'!$L$11,OR($N890=$Q$7,$O890=$Q$7)),"x","")</f>
        <v/>
      </c>
      <c r="R890" s="79" t="str">
        <f>IF(AND($N890=$Q$7,$B890&lt;'111'!$L$11),"x","")</f>
        <v/>
      </c>
      <c r="S890" s="79" t="str">
        <f>IF(AND($O890=$Q$7,$B890&lt;'111'!$L$11),"x","")</f>
        <v/>
      </c>
      <c r="T890" s="79" t="str">
        <f>IF(ISERROR(FIND('112'!$M$9,G890,1)),"",IF((AND(FIND('112'!$M$9,G890,1)&gt;=1,B890='112'!$K$9,OR($N890='112'!$I$6,$O890='112'!$I$6))),"x",""))</f>
        <v/>
      </c>
      <c r="U890" s="79" t="str">
        <f>IF(ISERROR(FIND('112'!$M$9,G890,1)),"",IF((AND(LEFT(G890,2)=LEFT('112'!$M$9,2),B890&lt;'112'!$K$9,$N890='112'!$I$6)),"x",""))</f>
        <v/>
      </c>
      <c r="V890" s="79" t="str">
        <f>IF(ISERROR(FIND('112'!$M$9,G890,1)),"",IF((AND(RIGHT(G890,2)=RIGHT('112'!$M$9,2),B890&lt;'112'!$K$9,$O890='112'!$I$6)),"x",""))</f>
        <v/>
      </c>
      <c r="W890" s="79" t="str">
        <f>IF(AND('341-CT'!$H$9=H890,OR(LEFT(N890,3)=$W$7,LEFT(O890,3)=$W$7)),"x","")</f>
        <v/>
      </c>
      <c r="X890" s="79" t="str">
        <f>IF(OR(TH!N890=TH!$X$7,O890=TH!$X$7),"x","")</f>
        <v/>
      </c>
      <c r="Y890" s="79" t="str">
        <f>IF(AND(OR(N890="131",O890="131"),H890='131-CT'!$H$9),"x","")</f>
        <v/>
      </c>
      <c r="Z890" s="79"/>
      <c r="AA890" s="79" t="str">
        <f>IF(AND(MONTH(E890)='IN-NX'!$J$5,'IN-NX'!$D$7=D890),"x","")</f>
        <v/>
      </c>
      <c r="AB890" s="79" t="str">
        <f>IF(AND(OR(LEFT(TH!N890,2)="15",LEFT(TH!O890,2)="15"),LEFT(TH!O890,3)&lt;&gt;"111",'152-CT'!$J$8=TH!F890),"x","")</f>
        <v/>
      </c>
      <c r="AC890" s="79" t="str">
        <f>IF(AND(OR(LEFT(TH!N890,2)="15",LEFT(TH!O890,2)="15"),TK!$E$7=TH!F890),"x","")</f>
        <v/>
      </c>
      <c r="AD890" s="79" t="str">
        <f>IF(AND(N890="1521",MONTH(C890)='BK-NL'!$M$11),"x","")</f>
        <v/>
      </c>
    </row>
    <row r="891" spans="1:30" ht="16.5" customHeight="1">
      <c r="A891" s="318" t="str">
        <f>IF(B891&lt;&gt;"",IF(AND(B891='IN-TC'!$S$4,OR(TH!N891="1111",TH!O891="1111")),TH!D891,""),"")</f>
        <v/>
      </c>
      <c r="B891" s="60" t="str">
        <f t="shared" si="153"/>
        <v/>
      </c>
      <c r="C891" s="261"/>
      <c r="D891" s="261"/>
      <c r="E891" s="261"/>
      <c r="F891" s="1103"/>
      <c r="G891" s="1104"/>
      <c r="H891" s="305"/>
      <c r="I891" s="383"/>
      <c r="J891" s="977"/>
      <c r="K891" s="977"/>
      <c r="L891" s="390"/>
      <c r="M891" s="978"/>
      <c r="N891" s="1019"/>
      <c r="O891" s="1019"/>
      <c r="P891" s="79" t="str">
        <f>IF(AND('331-CT'!$E$7=TH!H891,OR(N891="331",O891="331")),"x","")</f>
        <v/>
      </c>
      <c r="Q891" s="79" t="str">
        <f>IF(AND(B891='111'!$L$11,OR($N891=$Q$7,$O891=$Q$7)),"x","")</f>
        <v/>
      </c>
      <c r="R891" s="79" t="str">
        <f>IF(AND($N891=$Q$7,$B891&lt;'111'!$L$11),"x","")</f>
        <v/>
      </c>
      <c r="S891" s="79" t="str">
        <f>IF(AND($O891=$Q$7,$B891&lt;'111'!$L$11),"x","")</f>
        <v/>
      </c>
      <c r="T891" s="79" t="str">
        <f>IF(ISERROR(FIND('112'!$M$9,G891,1)),"",IF((AND(FIND('112'!$M$9,G891,1)&gt;=1,B891='112'!$K$9,OR($N891='112'!$I$6,$O891='112'!$I$6))),"x",""))</f>
        <v/>
      </c>
      <c r="U891" s="79" t="str">
        <f>IF(ISERROR(FIND('112'!$M$9,G891,1)),"",IF((AND(LEFT(G891,2)=LEFT('112'!$M$9,2),B891&lt;'112'!$K$9,$N891='112'!$I$6)),"x",""))</f>
        <v/>
      </c>
      <c r="V891" s="79" t="str">
        <f>IF(ISERROR(FIND('112'!$M$9,G891,1)),"",IF((AND(RIGHT(G891,2)=RIGHT('112'!$M$9,2),B891&lt;'112'!$K$9,$O891='112'!$I$6)),"x",""))</f>
        <v/>
      </c>
      <c r="W891" s="79" t="str">
        <f>IF(AND('341-CT'!$H$9=H891,OR(LEFT(N891,3)=$W$7,LEFT(O891,3)=$W$7)),"x","")</f>
        <v/>
      </c>
      <c r="X891" s="79" t="str">
        <f>IF(OR(TH!N891=TH!$X$7,O891=TH!$X$7),"x","")</f>
        <v/>
      </c>
      <c r="Y891" s="79" t="str">
        <f>IF(AND(OR(N891="131",O891="131"),H891='131-CT'!$H$9),"x","")</f>
        <v/>
      </c>
      <c r="Z891" s="79"/>
      <c r="AA891" s="79" t="str">
        <f>IF(AND(MONTH(E891)='IN-NX'!$J$5,'IN-NX'!$D$7=D891),"x","")</f>
        <v/>
      </c>
      <c r="AB891" s="79" t="str">
        <f>IF(AND(OR(LEFT(TH!N891,2)="15",LEFT(TH!O891,2)="15"),LEFT(TH!O891,3)&lt;&gt;"111",'152-CT'!$J$8=TH!F891),"x","")</f>
        <v/>
      </c>
      <c r="AC891" s="79" t="str">
        <f>IF(AND(OR(LEFT(TH!N891,2)="15",LEFT(TH!O891,2)="15"),TK!$E$7=TH!F891),"x","")</f>
        <v/>
      </c>
      <c r="AD891" s="79" t="str">
        <f>IF(AND(N891="1521",MONTH(C891)='BK-NL'!$M$11),"x","")</f>
        <v/>
      </c>
    </row>
    <row r="892" spans="1:30" ht="16.5" customHeight="1">
      <c r="A892" s="318" t="str">
        <f>IF(B892&lt;&gt;"",IF(AND(B892='IN-TC'!$S$4,OR(TH!N892="1111",TH!O892="1111")),TH!D892,""),"")</f>
        <v/>
      </c>
      <c r="B892" s="60" t="str">
        <f t="shared" si="153"/>
        <v/>
      </c>
      <c r="C892" s="261"/>
      <c r="D892" s="261"/>
      <c r="E892" s="261"/>
      <c r="F892" s="1131"/>
      <c r="G892" s="1104"/>
      <c r="H892" s="759"/>
      <c r="I892" s="383"/>
      <c r="J892" s="977"/>
      <c r="K892" s="977"/>
      <c r="L892" s="390"/>
      <c r="M892" s="978"/>
      <c r="N892" s="1019"/>
      <c r="O892" s="1019"/>
      <c r="P892" s="79" t="str">
        <f>IF(AND('331-CT'!$E$7=TH!H892,OR(N892="331",O892="331")),"x","")</f>
        <v/>
      </c>
      <c r="Q892" s="79" t="str">
        <f>IF(AND(B892='111'!$L$11,OR($N892=$Q$7,$O892=$Q$7)),"x","")</f>
        <v/>
      </c>
      <c r="R892" s="79" t="str">
        <f>IF(AND($N892=$Q$7,$B892&lt;'111'!$L$11),"x","")</f>
        <v/>
      </c>
      <c r="S892" s="79" t="str">
        <f>IF(AND($O892=$Q$7,$B892&lt;'111'!$L$11),"x","")</f>
        <v/>
      </c>
      <c r="T892" s="79" t="str">
        <f>IF(ISERROR(FIND('112'!$M$9,G892,1)),"",IF((AND(FIND('112'!$M$9,G892,1)&gt;=1,B892='112'!$K$9,OR($N892='112'!$I$6,$O892='112'!$I$6))),"x",""))</f>
        <v/>
      </c>
      <c r="U892" s="79" t="str">
        <f>IF(ISERROR(FIND('112'!$M$9,G892,1)),"",IF((AND(LEFT(G892,2)=LEFT('112'!$M$9,2),B892&lt;'112'!$K$9,$N892='112'!$I$6)),"x",""))</f>
        <v/>
      </c>
      <c r="V892" s="79" t="str">
        <f>IF(ISERROR(FIND('112'!$M$9,G892,1)),"",IF((AND(RIGHT(G892,2)=RIGHT('112'!$M$9,2),B892&lt;'112'!$K$9,$O892='112'!$I$6)),"x",""))</f>
        <v/>
      </c>
      <c r="W892" s="79" t="str">
        <f>IF(AND('341-CT'!$H$9=H892,OR(LEFT(N892,3)=$W$7,LEFT(O892,3)=$W$7)),"x","")</f>
        <v/>
      </c>
      <c r="X892" s="79" t="str">
        <f>IF(OR(TH!N892=TH!$X$7,O892=TH!$X$7),"x","")</f>
        <v/>
      </c>
      <c r="Y892" s="79" t="str">
        <f>IF(AND(OR(N892="131",O892="131"),H892='131-CT'!$H$9),"x","")</f>
        <v/>
      </c>
      <c r="Z892" s="79"/>
      <c r="AA892" s="79" t="str">
        <f>IF(AND(MONTH(E892)='IN-NX'!$J$5,'IN-NX'!$D$7=D892),"x","")</f>
        <v/>
      </c>
      <c r="AB892" s="79" t="str">
        <f>IF(AND(OR(LEFT(TH!N892,2)="15",LEFT(TH!O892,2)="15"),LEFT(TH!O892,3)&lt;&gt;"111",'152-CT'!$J$8=TH!F892),"x","")</f>
        <v/>
      </c>
      <c r="AC892" s="79" t="str">
        <f>IF(AND(OR(LEFT(TH!N892,2)="15",LEFT(TH!O892,2)="15"),TK!$E$7=TH!F892),"x","")</f>
        <v/>
      </c>
      <c r="AD892" s="79" t="str">
        <f>IF(AND(N892="1521",MONTH(C892)='BK-NL'!$M$11),"x","")</f>
        <v/>
      </c>
    </row>
    <row r="893" spans="1:30" ht="16.5" customHeight="1">
      <c r="A893" s="318" t="str">
        <f>IF(B893&lt;&gt;"",IF(AND(B893='IN-TC'!$S$4,OR(TH!N893="1111",TH!O893="1111")),TH!D893,""),"")</f>
        <v/>
      </c>
      <c r="B893" s="60" t="str">
        <f t="shared" si="153"/>
        <v/>
      </c>
      <c r="C893" s="261"/>
      <c r="D893" s="261"/>
      <c r="E893" s="261"/>
      <c r="F893" s="1131"/>
      <c r="G893" s="1104"/>
      <c r="H893" s="759"/>
      <c r="I893" s="383"/>
      <c r="J893" s="977"/>
      <c r="K893" s="977"/>
      <c r="L893" s="390"/>
      <c r="M893" s="978"/>
      <c r="N893" s="1019"/>
      <c r="O893" s="1019"/>
      <c r="P893" s="79" t="str">
        <f>IF(AND('331-CT'!$E$7=TH!H893,OR(N893="331",O893="331")),"x","")</f>
        <v/>
      </c>
      <c r="Q893" s="79" t="str">
        <f>IF(AND(B893='111'!$L$11,OR($N893=$Q$7,$O893=$Q$7)),"x","")</f>
        <v/>
      </c>
      <c r="R893" s="79" t="str">
        <f>IF(AND($N893=$Q$7,$B893&lt;'111'!$L$11),"x","")</f>
        <v/>
      </c>
      <c r="S893" s="79" t="str">
        <f>IF(AND($O893=$Q$7,$B893&lt;'111'!$L$11),"x","")</f>
        <v/>
      </c>
      <c r="T893" s="79" t="str">
        <f>IF(ISERROR(FIND('112'!$M$9,G893,1)),"",IF((AND(FIND('112'!$M$9,G893,1)&gt;=1,B893='112'!$K$9,OR($N893='112'!$I$6,$O893='112'!$I$6))),"x",""))</f>
        <v/>
      </c>
      <c r="U893" s="79" t="str">
        <f>IF(ISERROR(FIND('112'!$M$9,G893,1)),"",IF((AND(LEFT(G893,2)=LEFT('112'!$M$9,2),B893&lt;'112'!$K$9,$N893='112'!$I$6)),"x",""))</f>
        <v/>
      </c>
      <c r="V893" s="79" t="str">
        <f>IF(ISERROR(FIND('112'!$M$9,G893,1)),"",IF((AND(RIGHT(G893,2)=RIGHT('112'!$M$9,2),B893&lt;'112'!$K$9,$O893='112'!$I$6)),"x",""))</f>
        <v/>
      </c>
      <c r="W893" s="79" t="str">
        <f>IF(AND('341-CT'!$H$9=H893,OR(LEFT(N893,3)=$W$7,LEFT(O893,3)=$W$7)),"x","")</f>
        <v/>
      </c>
      <c r="X893" s="79" t="str">
        <f>IF(OR(TH!N893=TH!$X$7,O893=TH!$X$7),"x","")</f>
        <v/>
      </c>
      <c r="Y893" s="79" t="str">
        <f>IF(AND(OR(N893="131",O893="131"),H893='131-CT'!$H$9),"x","")</f>
        <v/>
      </c>
      <c r="Z893" s="79"/>
      <c r="AA893" s="79" t="str">
        <f>IF(AND(MONTH(E893)='IN-NX'!$J$5,'IN-NX'!$D$7=D893),"x","")</f>
        <v/>
      </c>
      <c r="AB893" s="79" t="str">
        <f>IF(AND(OR(LEFT(TH!N893,2)="15",LEFT(TH!O893,2)="15"),LEFT(TH!O893,3)&lt;&gt;"111",'152-CT'!$J$8=TH!F893),"x","")</f>
        <v/>
      </c>
      <c r="AC893" s="79" t="str">
        <f>IF(AND(OR(LEFT(TH!N893,2)="15",LEFT(TH!O893,2)="15"),TK!$E$7=TH!F893),"x","")</f>
        <v/>
      </c>
      <c r="AD893" s="79" t="str">
        <f>IF(AND(N893="1521",MONTH(C893)='BK-NL'!$M$11),"x","")</f>
        <v/>
      </c>
    </row>
    <row r="894" spans="1:30" ht="16.5" customHeight="1">
      <c r="A894" s="318" t="str">
        <f>IF(B894&lt;&gt;"",IF(AND(B894='IN-TC'!$S$4,OR(TH!N894="1111",TH!O894="1111")),TH!D894,""),"")</f>
        <v/>
      </c>
      <c r="B894" s="60" t="str">
        <f t="shared" si="153"/>
        <v/>
      </c>
      <c r="C894" s="261"/>
      <c r="D894" s="261"/>
      <c r="E894" s="261"/>
      <c r="F894" s="1131"/>
      <c r="G894" s="1104"/>
      <c r="H894" s="759"/>
      <c r="I894" s="383"/>
      <c r="J894" s="977"/>
      <c r="K894" s="977"/>
      <c r="L894" s="390"/>
      <c r="M894" s="978"/>
      <c r="N894" s="1019"/>
      <c r="O894" s="1019"/>
      <c r="P894" s="79" t="str">
        <f>IF(AND('331-CT'!$E$7=TH!H894,OR(N894="331",O894="331")),"x","")</f>
        <v/>
      </c>
      <c r="Q894" s="79" t="str">
        <f>IF(AND(B894='111'!$L$11,OR($N894=$Q$7,$O894=$Q$7)),"x","")</f>
        <v/>
      </c>
      <c r="R894" s="79" t="str">
        <f>IF(AND($N894=$Q$7,$B894&lt;'111'!$L$11),"x","")</f>
        <v/>
      </c>
      <c r="S894" s="79" t="str">
        <f>IF(AND($O894=$Q$7,$B894&lt;'111'!$L$11),"x","")</f>
        <v/>
      </c>
      <c r="T894" s="79" t="str">
        <f>IF(ISERROR(FIND('112'!$M$9,G894,1)),"",IF((AND(FIND('112'!$M$9,G894,1)&gt;=1,B894='112'!$K$9,OR($N894='112'!$I$6,$O894='112'!$I$6))),"x",""))</f>
        <v/>
      </c>
      <c r="U894" s="79" t="str">
        <f>IF(ISERROR(FIND('112'!$M$9,G894,1)),"",IF((AND(LEFT(G894,2)=LEFT('112'!$M$9,2),B894&lt;'112'!$K$9,$N894='112'!$I$6)),"x",""))</f>
        <v/>
      </c>
      <c r="V894" s="79" t="str">
        <f>IF(ISERROR(FIND('112'!$M$9,G894,1)),"",IF((AND(RIGHT(G894,2)=RIGHT('112'!$M$9,2),B894&lt;'112'!$K$9,$O894='112'!$I$6)),"x",""))</f>
        <v/>
      </c>
      <c r="W894" s="79" t="str">
        <f>IF(AND('341-CT'!$H$9=H894,OR(LEFT(N894,3)=$W$7,LEFT(O894,3)=$W$7)),"x","")</f>
        <v/>
      </c>
      <c r="X894" s="79" t="str">
        <f>IF(OR(TH!N894=TH!$X$7,O894=TH!$X$7),"x","")</f>
        <v/>
      </c>
      <c r="Y894" s="79" t="str">
        <f>IF(AND(OR(N894="131",O894="131"),H894='131-CT'!$H$9),"x","")</f>
        <v/>
      </c>
      <c r="Z894" s="79"/>
      <c r="AA894" s="79" t="str">
        <f>IF(AND(MONTH(E894)='IN-NX'!$J$5,'IN-NX'!$D$7=D894),"x","")</f>
        <v/>
      </c>
      <c r="AB894" s="79" t="str">
        <f>IF(AND(OR(LEFT(TH!N894,2)="15",LEFT(TH!O894,2)="15"),LEFT(TH!O894,3)&lt;&gt;"111",'152-CT'!$J$8=TH!F894),"x","")</f>
        <v/>
      </c>
      <c r="AC894" s="79" t="str">
        <f>IF(AND(OR(LEFT(TH!N894,2)="15",LEFT(TH!O894,2)="15"),TK!$E$7=TH!F894),"x","")</f>
        <v/>
      </c>
      <c r="AD894" s="79" t="str">
        <f>IF(AND(N894="1521",MONTH(C894)='BK-NL'!$M$11),"x","")</f>
        <v/>
      </c>
    </row>
    <row r="895" spans="1:30" ht="16.5" customHeight="1">
      <c r="A895" s="318" t="str">
        <f>IF(B895&lt;&gt;"",IF(AND(B895='IN-TC'!$S$4,OR(TH!N895="1111",TH!O895="1111")),TH!D895,""),"")</f>
        <v/>
      </c>
      <c r="B895" s="60" t="str">
        <f t="shared" si="153"/>
        <v/>
      </c>
      <c r="C895" s="261"/>
      <c r="D895" s="261"/>
      <c r="E895" s="261"/>
      <c r="F895" s="1103"/>
      <c r="G895" s="1104"/>
      <c r="H895" s="759"/>
      <c r="I895" s="383"/>
      <c r="J895" s="977"/>
      <c r="K895" s="977"/>
      <c r="L895" s="390"/>
      <c r="M895" s="978"/>
      <c r="N895" s="1019"/>
      <c r="O895" s="1019"/>
      <c r="P895" s="79" t="str">
        <f>IF(AND('331-CT'!$E$7=TH!H895,OR(N895="331",O895="331")),"x","")</f>
        <v/>
      </c>
      <c r="Q895" s="79" t="str">
        <f>IF(AND(B895='111'!$L$11,OR($N895=$Q$7,$O895=$Q$7)),"x","")</f>
        <v/>
      </c>
      <c r="R895" s="79" t="str">
        <f>IF(AND($N895=$Q$7,$B895&lt;'111'!$L$11),"x","")</f>
        <v/>
      </c>
      <c r="S895" s="79" t="str">
        <f>IF(AND($O895=$Q$7,$B895&lt;'111'!$L$11),"x","")</f>
        <v/>
      </c>
      <c r="T895" s="79" t="str">
        <f>IF(ISERROR(FIND('112'!$M$9,G895,1)),"",IF((AND(FIND('112'!$M$9,G895,1)&gt;=1,B895='112'!$K$9,OR($N895='112'!$I$6,$O895='112'!$I$6))),"x",""))</f>
        <v/>
      </c>
      <c r="U895" s="79" t="str">
        <f>IF(ISERROR(FIND('112'!$M$9,G895,1)),"",IF((AND(LEFT(G895,2)=LEFT('112'!$M$9,2),B895&lt;'112'!$K$9,$N895='112'!$I$6)),"x",""))</f>
        <v/>
      </c>
      <c r="V895" s="79" t="str">
        <f>IF(ISERROR(FIND('112'!$M$9,G895,1)),"",IF((AND(RIGHT(G895,2)=RIGHT('112'!$M$9,2),B895&lt;'112'!$K$9,$O895='112'!$I$6)),"x",""))</f>
        <v/>
      </c>
      <c r="W895" s="79" t="str">
        <f>IF(AND('341-CT'!$H$9=H895,OR(LEFT(N895,3)=$W$7,LEFT(O895,3)=$W$7)),"x","")</f>
        <v/>
      </c>
      <c r="X895" s="79" t="str">
        <f>IF(OR(TH!N895=TH!$X$7,O895=TH!$X$7),"x","")</f>
        <v/>
      </c>
      <c r="Y895" s="79" t="str">
        <f>IF(AND(OR(N895="131",O895="131"),H895='131-CT'!$H$9),"x","")</f>
        <v/>
      </c>
      <c r="Z895" s="79"/>
      <c r="AA895" s="79" t="str">
        <f>IF(AND(MONTH(E895)='IN-NX'!$J$5,'IN-NX'!$D$7=D895),"x","")</f>
        <v/>
      </c>
      <c r="AB895" s="79" t="str">
        <f>IF(AND(OR(LEFT(TH!N895,2)="15",LEFT(TH!O895,2)="15"),LEFT(TH!O895,3)&lt;&gt;"111",'152-CT'!$J$8=TH!F895),"x","")</f>
        <v/>
      </c>
      <c r="AC895" s="79" t="str">
        <f>IF(AND(OR(LEFT(TH!N895,2)="15",LEFT(TH!O895,2)="15"),TK!$E$7=TH!F895),"x","")</f>
        <v/>
      </c>
      <c r="AD895" s="79" t="str">
        <f>IF(AND(N895="1521",MONTH(C895)='BK-NL'!$M$11),"x","")</f>
        <v/>
      </c>
    </row>
    <row r="896" spans="1:30" ht="16.5" customHeight="1">
      <c r="A896" s="318" t="str">
        <f>IF(B896&lt;&gt;"",IF(AND(B896='IN-TC'!$S$4,OR(TH!N896="1111",TH!O896="1111")),TH!D896,""),"")</f>
        <v/>
      </c>
      <c r="B896" s="60" t="str">
        <f t="shared" si="153"/>
        <v/>
      </c>
      <c r="C896" s="261"/>
      <c r="D896" s="261"/>
      <c r="E896" s="261"/>
      <c r="F896" s="1103"/>
      <c r="G896" s="1104"/>
      <c r="H896" s="759"/>
      <c r="I896" s="383"/>
      <c r="J896" s="977"/>
      <c r="K896" s="977"/>
      <c r="L896" s="390"/>
      <c r="M896" s="978"/>
      <c r="N896" s="1019"/>
      <c r="O896" s="1019"/>
      <c r="P896" s="79" t="str">
        <f>IF(AND('331-CT'!$E$7=TH!H896,OR(N896="331",O896="331")),"x","")</f>
        <v/>
      </c>
      <c r="Q896" s="79" t="str">
        <f>IF(AND(B896='111'!$L$11,OR($N896=$Q$7,$O896=$Q$7)),"x","")</f>
        <v/>
      </c>
      <c r="R896" s="79" t="str">
        <f>IF(AND($N896=$Q$7,$B896&lt;'111'!$L$11),"x","")</f>
        <v/>
      </c>
      <c r="S896" s="79" t="str">
        <f>IF(AND($O896=$Q$7,$B896&lt;'111'!$L$11),"x","")</f>
        <v/>
      </c>
      <c r="T896" s="79" t="str">
        <f>IF(ISERROR(FIND('112'!$M$9,G896,1)),"",IF((AND(FIND('112'!$M$9,G896,1)&gt;=1,B896='112'!$K$9,OR($N896='112'!$I$6,$O896='112'!$I$6))),"x",""))</f>
        <v/>
      </c>
      <c r="U896" s="79" t="str">
        <f>IF(ISERROR(FIND('112'!$M$9,G896,1)),"",IF((AND(LEFT(G896,2)=LEFT('112'!$M$9,2),B896&lt;'112'!$K$9,$N896='112'!$I$6)),"x",""))</f>
        <v/>
      </c>
      <c r="V896" s="79" t="str">
        <f>IF(ISERROR(FIND('112'!$M$9,G896,1)),"",IF((AND(RIGHT(G896,2)=RIGHT('112'!$M$9,2),B896&lt;'112'!$K$9,$O896='112'!$I$6)),"x",""))</f>
        <v/>
      </c>
      <c r="W896" s="79" t="str">
        <f>IF(AND('341-CT'!$H$9=H896,OR(LEFT(N896,3)=$W$7,LEFT(O896,3)=$W$7)),"x","")</f>
        <v/>
      </c>
      <c r="X896" s="79" t="str">
        <f>IF(OR(TH!N896=TH!$X$7,O896=TH!$X$7),"x","")</f>
        <v/>
      </c>
      <c r="Y896" s="79" t="str">
        <f>IF(AND(OR(N896="131",O896="131"),H896='131-CT'!$H$9),"x","")</f>
        <v/>
      </c>
      <c r="Z896" s="79"/>
      <c r="AA896" s="79" t="str">
        <f>IF(AND(MONTH(E896)='IN-NX'!$J$5,'IN-NX'!$D$7=D896),"x","")</f>
        <v/>
      </c>
      <c r="AB896" s="79" t="str">
        <f>IF(AND(OR(LEFT(TH!N896,2)="15",LEFT(TH!O896,2)="15"),LEFT(TH!O896,3)&lt;&gt;"111",'152-CT'!$J$8=TH!F896),"x","")</f>
        <v/>
      </c>
      <c r="AC896" s="79" t="str">
        <f>IF(AND(OR(LEFT(TH!N896,2)="15",LEFT(TH!O896,2)="15"),TK!$E$7=TH!F896),"x","")</f>
        <v/>
      </c>
      <c r="AD896" s="79" t="str">
        <f>IF(AND(N896="1521",MONTH(C896)='BK-NL'!$M$11),"x","")</f>
        <v/>
      </c>
    </row>
    <row r="897" spans="1:30" ht="16.5" customHeight="1">
      <c r="A897" s="318" t="str">
        <f>IF(B897&lt;&gt;"",IF(AND(B897='IN-TC'!$S$4,OR(TH!N897="1111",TH!O897="1111")),TH!D897,""),"")</f>
        <v/>
      </c>
      <c r="B897" s="60" t="str">
        <f t="shared" si="153"/>
        <v/>
      </c>
      <c r="C897" s="261"/>
      <c r="D897" s="261"/>
      <c r="E897" s="261"/>
      <c r="F897" s="1131"/>
      <c r="G897" s="1104"/>
      <c r="H897" s="759"/>
      <c r="I897" s="383"/>
      <c r="J897" s="977"/>
      <c r="K897" s="977"/>
      <c r="L897" s="390"/>
      <c r="M897" s="978"/>
      <c r="N897" s="1019"/>
      <c r="O897" s="1019"/>
      <c r="P897" s="79" t="str">
        <f>IF(AND('331-CT'!$E$7=TH!H897,OR(N897="331",O897="331")),"x","")</f>
        <v/>
      </c>
      <c r="Q897" s="79" t="str">
        <f>IF(AND(B897='111'!$L$11,OR($N897=$Q$7,$O897=$Q$7)),"x","")</f>
        <v/>
      </c>
      <c r="R897" s="79" t="str">
        <f>IF(AND($N897=$Q$7,$B897&lt;'111'!$L$11),"x","")</f>
        <v/>
      </c>
      <c r="S897" s="79" t="str">
        <f>IF(AND($O897=$Q$7,$B897&lt;'111'!$L$11),"x","")</f>
        <v/>
      </c>
      <c r="T897" s="79" t="str">
        <f>IF(ISERROR(FIND('112'!$M$9,G897,1)),"",IF((AND(FIND('112'!$M$9,G897,1)&gt;=1,B897='112'!$K$9,OR($N897='112'!$I$6,$O897='112'!$I$6))),"x",""))</f>
        <v/>
      </c>
      <c r="U897" s="79" t="str">
        <f>IF(ISERROR(FIND('112'!$M$9,G897,1)),"",IF((AND(LEFT(G897,2)=LEFT('112'!$M$9,2),B897&lt;'112'!$K$9,$N897='112'!$I$6)),"x",""))</f>
        <v/>
      </c>
      <c r="V897" s="79" t="str">
        <f>IF(ISERROR(FIND('112'!$M$9,G897,1)),"",IF((AND(RIGHT(G897,2)=RIGHT('112'!$M$9,2),B897&lt;'112'!$K$9,$O897='112'!$I$6)),"x",""))</f>
        <v/>
      </c>
      <c r="W897" s="79" t="str">
        <f>IF(AND('341-CT'!$H$9=H897,OR(LEFT(N897,3)=$W$7,LEFT(O897,3)=$W$7)),"x","")</f>
        <v/>
      </c>
      <c r="X897" s="79" t="str">
        <f>IF(OR(TH!N897=TH!$X$7,O897=TH!$X$7),"x","")</f>
        <v/>
      </c>
      <c r="Y897" s="79" t="str">
        <f>IF(AND(OR(N897="131",O897="131"),H897='131-CT'!$H$9),"x","")</f>
        <v/>
      </c>
      <c r="Z897" s="79"/>
      <c r="AA897" s="79" t="str">
        <f>IF(AND(MONTH(E897)='IN-NX'!$J$5,'IN-NX'!$D$7=D897),"x","")</f>
        <v/>
      </c>
      <c r="AB897" s="79" t="str">
        <f>IF(AND(OR(LEFT(TH!N897,2)="15",LEFT(TH!O897,2)="15"),LEFT(TH!O897,3)&lt;&gt;"111",'152-CT'!$J$8=TH!F897),"x","")</f>
        <v/>
      </c>
      <c r="AC897" s="79" t="str">
        <f>IF(AND(OR(LEFT(TH!N897,2)="15",LEFT(TH!O897,2)="15"),TK!$E$7=TH!F897),"x","")</f>
        <v/>
      </c>
      <c r="AD897" s="79" t="str">
        <f>IF(AND(N897="1521",MONTH(C897)='BK-NL'!$M$11),"x","")</f>
        <v/>
      </c>
    </row>
    <row r="898" spans="1:30" s="1102" customFormat="1" ht="16.5" customHeight="1">
      <c r="A898" s="318" t="str">
        <f>IF(B898&lt;&gt;"",IF(AND(B898='IN-TC'!$S$4,OR(TH!N898="1111",TH!O898="1111")),TH!D898,""),"")</f>
        <v/>
      </c>
      <c r="B898" s="60" t="str">
        <f t="shared" si="153"/>
        <v/>
      </c>
      <c r="C898" s="981"/>
      <c r="D898" s="981"/>
      <c r="E898" s="981"/>
      <c r="F898" s="1008"/>
      <c r="G898" s="987"/>
      <c r="H898" s="982"/>
      <c r="I898" s="984"/>
      <c r="J898" s="1000"/>
      <c r="K898" s="1000"/>
      <c r="L898" s="983"/>
      <c r="M898" s="985"/>
      <c r="N898" s="986"/>
      <c r="O898" s="986"/>
      <c r="P898" s="79" t="str">
        <f>IF(AND('331-CT'!$E$7=TH!H898,OR(N898="331",O898="331")),"x","")</f>
        <v/>
      </c>
      <c r="Q898" s="79" t="str">
        <f>IF(AND(B898='111'!$L$11,OR($N898=$Q$7,$O898=$Q$7)),"x","")</f>
        <v/>
      </c>
      <c r="R898" s="79" t="str">
        <f>IF(AND($N898=$Q$7,$B898&lt;'111'!$L$11),"x","")</f>
        <v/>
      </c>
      <c r="S898" s="79" t="str">
        <f>IF(AND($O898=$Q$7,$B898&lt;'111'!$L$11),"x","")</f>
        <v/>
      </c>
      <c r="T898" s="79" t="str">
        <f>IF(ISERROR(FIND('112'!$M$9,G898,1)),"",IF((AND(FIND('112'!$M$9,G898,1)&gt;=1,B898='112'!$K$9,OR($N898='112'!$I$6,$O898='112'!$I$6))),"x",""))</f>
        <v/>
      </c>
      <c r="U898" s="79" t="str">
        <f>IF(ISERROR(FIND('112'!$M$9,G898,1)),"",IF((AND(LEFT(G898,2)=LEFT('112'!$M$9,2),B898&lt;'112'!$K$9,$N898='112'!$I$6)),"x",""))</f>
        <v/>
      </c>
      <c r="V898" s="79" t="str">
        <f>IF(ISERROR(FIND('112'!$M$9,G898,1)),"",IF((AND(RIGHT(G898,2)=RIGHT('112'!$M$9,2),B898&lt;'112'!$K$9,$O898='112'!$I$6)),"x",""))</f>
        <v/>
      </c>
      <c r="W898" s="79" t="str">
        <f>IF(AND('341-CT'!$H$9=H898,OR(LEFT(N898,3)=$W$7,LEFT(O898,3)=$W$7)),"x","")</f>
        <v/>
      </c>
      <c r="X898" s="79" t="str">
        <f>IF(OR(TH!N898=TH!$X$7,O898=TH!$X$7),"x","")</f>
        <v/>
      </c>
      <c r="Y898" s="79" t="str">
        <f>IF(AND(OR(N898="131",O898="131"),H898='131-CT'!$H$9),"x","")</f>
        <v/>
      </c>
      <c r="Z898" s="79"/>
      <c r="AA898" s="79" t="str">
        <f>IF(AND(MONTH(E898)='IN-NX'!$J$5,'IN-NX'!$D$7=D898),"x","")</f>
        <v/>
      </c>
      <c r="AB898" s="79" t="str">
        <f>IF(AND(OR(LEFT(TH!N898,2)="15",LEFT(TH!O898,2)="15"),LEFT(TH!O898,3)&lt;&gt;"111",'152-CT'!$J$8=TH!F898),"x","")</f>
        <v/>
      </c>
      <c r="AC898" s="79" t="str">
        <f>IF(AND(OR(LEFT(TH!N898,2)="15",LEFT(TH!O898,2)="15"),TK!$E$7=TH!F898),"x","")</f>
        <v/>
      </c>
      <c r="AD898" s="79" t="str">
        <f>IF(AND(N898="1521",MONTH(C898)='BK-NL'!$M$11),"x","")</f>
        <v/>
      </c>
    </row>
    <row r="899" spans="1:30" ht="16.5" customHeight="1">
      <c r="A899" s="318" t="str">
        <f>IF(B899&lt;&gt;"",IF(AND(B899='IN-TC'!$S$4,OR(TH!N899="1111",TH!O899="1111")),TH!D899,""),"")</f>
        <v/>
      </c>
      <c r="B899" s="60" t="str">
        <f t="shared" si="153"/>
        <v/>
      </c>
      <c r="C899" s="261"/>
      <c r="D899" s="261"/>
      <c r="E899" s="261"/>
      <c r="F899" s="1131"/>
      <c r="G899" s="1104"/>
      <c r="H899" s="759"/>
      <c r="I899" s="383"/>
      <c r="J899" s="977"/>
      <c r="K899" s="977"/>
      <c r="L899" s="390"/>
      <c r="M899" s="978"/>
      <c r="N899" s="1019"/>
      <c r="O899" s="1019"/>
      <c r="P899" s="79" t="str">
        <f>IF(AND('331-CT'!$E$7=TH!H899,OR(N899="331",O899="331")),"x","")</f>
        <v/>
      </c>
      <c r="Q899" s="79" t="str">
        <f>IF(AND(B899='111'!$L$11,OR($N899=$Q$7,$O899=$Q$7)),"x","")</f>
        <v/>
      </c>
      <c r="R899" s="79" t="str">
        <f>IF(AND($N899=$Q$7,$B899&lt;'111'!$L$11),"x","")</f>
        <v/>
      </c>
      <c r="S899" s="79" t="str">
        <f>IF(AND($O899=$Q$7,$B899&lt;'111'!$L$11),"x","")</f>
        <v/>
      </c>
      <c r="T899" s="79" t="str">
        <f>IF(ISERROR(FIND('112'!$M$9,G899,1)),"",IF((AND(FIND('112'!$M$9,G899,1)&gt;=1,B899='112'!$K$9,OR($N899='112'!$I$6,$O899='112'!$I$6))),"x",""))</f>
        <v/>
      </c>
      <c r="U899" s="79" t="str">
        <f>IF(ISERROR(FIND('112'!$M$9,G899,1)),"",IF((AND(LEFT(G899,2)=LEFT('112'!$M$9,2),B899&lt;'112'!$K$9,$N899='112'!$I$6)),"x",""))</f>
        <v/>
      </c>
      <c r="V899" s="79" t="str">
        <f>IF(ISERROR(FIND('112'!$M$9,G899,1)),"",IF((AND(RIGHT(G899,2)=RIGHT('112'!$M$9,2),B899&lt;'112'!$K$9,$O899='112'!$I$6)),"x",""))</f>
        <v/>
      </c>
      <c r="W899" s="79" t="str">
        <f>IF(AND('341-CT'!$H$9=H899,OR(LEFT(N899,3)=$W$7,LEFT(O899,3)=$W$7)),"x","")</f>
        <v/>
      </c>
      <c r="X899" s="79" t="str">
        <f>IF(OR(TH!N899=TH!$X$7,O899=TH!$X$7),"x","")</f>
        <v/>
      </c>
      <c r="Y899" s="79" t="str">
        <f>IF(AND(OR(N899="131",O899="131"),H899='131-CT'!$H$9),"x","")</f>
        <v/>
      </c>
      <c r="Z899" s="79"/>
      <c r="AA899" s="79" t="str">
        <f>IF(AND(MONTH(E899)='IN-NX'!$J$5,'IN-NX'!$D$7=D899),"x","")</f>
        <v/>
      </c>
      <c r="AB899" s="79" t="str">
        <f>IF(AND(OR(LEFT(TH!N899,2)="15",LEFT(TH!O899,2)="15"),LEFT(TH!O899,3)&lt;&gt;"111",'152-CT'!$J$8=TH!F899),"x","")</f>
        <v/>
      </c>
      <c r="AC899" s="79" t="str">
        <f>IF(AND(OR(LEFT(TH!N899,2)="15",LEFT(TH!O899,2)="15"),TK!$E$7=TH!F899),"x","")</f>
        <v/>
      </c>
      <c r="AD899" s="79" t="str">
        <f>IF(AND(N899="1521",MONTH(C899)='BK-NL'!$M$11),"x","")</f>
        <v/>
      </c>
    </row>
    <row r="900" spans="1:30" ht="16.5" customHeight="1">
      <c r="A900" s="318" t="str">
        <f>IF(B900&lt;&gt;"",IF(AND(B900='IN-TC'!$S$4,OR(TH!N900="1111",TH!O900="1111")),TH!D900,""),"")</f>
        <v/>
      </c>
      <c r="B900" s="60" t="str">
        <f t="shared" si="153"/>
        <v/>
      </c>
      <c r="C900" s="261"/>
      <c r="D900" s="261"/>
      <c r="E900" s="261"/>
      <c r="F900" s="1131"/>
      <c r="G900" s="1104"/>
      <c r="H900" s="759"/>
      <c r="I900" s="383"/>
      <c r="J900" s="977"/>
      <c r="K900" s="977"/>
      <c r="L900" s="390"/>
      <c r="M900" s="978"/>
      <c r="N900" s="1019"/>
      <c r="O900" s="1019"/>
      <c r="P900" s="79" t="str">
        <f>IF(AND('331-CT'!$E$7=TH!H900,OR(N900="331",O900="331")),"x","")</f>
        <v/>
      </c>
      <c r="Q900" s="79" t="str">
        <f>IF(AND(B900='111'!$L$11,OR($N900=$Q$7,$O900=$Q$7)),"x","")</f>
        <v/>
      </c>
      <c r="R900" s="79" t="str">
        <f>IF(AND($N900=$Q$7,$B900&lt;'111'!$L$11),"x","")</f>
        <v/>
      </c>
      <c r="S900" s="79" t="str">
        <f>IF(AND($O900=$Q$7,$B900&lt;'111'!$L$11),"x","")</f>
        <v/>
      </c>
      <c r="T900" s="79" t="str">
        <f>IF(ISERROR(FIND('112'!$M$9,G900,1)),"",IF((AND(FIND('112'!$M$9,G900,1)&gt;=1,B900='112'!$K$9,OR($N900='112'!$I$6,$O900='112'!$I$6))),"x",""))</f>
        <v/>
      </c>
      <c r="U900" s="79" t="str">
        <f>IF(ISERROR(FIND('112'!$M$9,G900,1)),"",IF((AND(LEFT(G900,2)=LEFT('112'!$M$9,2),B900&lt;'112'!$K$9,$N900='112'!$I$6)),"x",""))</f>
        <v/>
      </c>
      <c r="V900" s="79" t="str">
        <f>IF(ISERROR(FIND('112'!$M$9,G900,1)),"",IF((AND(RIGHT(G900,2)=RIGHT('112'!$M$9,2),B900&lt;'112'!$K$9,$O900='112'!$I$6)),"x",""))</f>
        <v/>
      </c>
      <c r="W900" s="79" t="str">
        <f>IF(AND('341-CT'!$H$9=H900,OR(LEFT(N900,3)=$W$7,LEFT(O900,3)=$W$7)),"x","")</f>
        <v/>
      </c>
      <c r="X900" s="79" t="str">
        <f>IF(OR(TH!N900=TH!$X$7,O900=TH!$X$7),"x","")</f>
        <v/>
      </c>
      <c r="Y900" s="79" t="str">
        <f>IF(AND(OR(N900="131",O900="131"),H900='131-CT'!$H$9),"x","")</f>
        <v/>
      </c>
      <c r="Z900" s="79"/>
      <c r="AA900" s="79" t="str">
        <f>IF(AND(MONTH(E900)='IN-NX'!$J$5,'IN-NX'!$D$7=D900),"x","")</f>
        <v/>
      </c>
      <c r="AB900" s="79" t="str">
        <f>IF(AND(OR(LEFT(TH!N900,2)="15",LEFT(TH!O900,2)="15"),LEFT(TH!O900,3)&lt;&gt;"111",'152-CT'!$J$8=TH!F900),"x","")</f>
        <v/>
      </c>
      <c r="AC900" s="79" t="str">
        <f>IF(AND(OR(LEFT(TH!N900,2)="15",LEFT(TH!O900,2)="15"),TK!$E$7=TH!F900),"x","")</f>
        <v/>
      </c>
      <c r="AD900" s="79" t="str">
        <f>IF(AND(N900="1521",MONTH(C900)='BK-NL'!$M$11),"x","")</f>
        <v/>
      </c>
    </row>
    <row r="901" spans="1:30" ht="16.5" customHeight="1">
      <c r="A901" s="318" t="str">
        <f>IF(B901&lt;&gt;"",IF(AND(B901='IN-TC'!$S$4,OR(TH!N901="1111",TH!O901="1111")),TH!D901,""),"")</f>
        <v/>
      </c>
      <c r="B901" s="60" t="str">
        <f t="shared" si="153"/>
        <v/>
      </c>
      <c r="C901" s="261"/>
      <c r="D901" s="261"/>
      <c r="E901" s="261"/>
      <c r="F901" s="1103"/>
      <c r="G901" s="1104"/>
      <c r="H901" s="759"/>
      <c r="I901" s="383"/>
      <c r="J901" s="977"/>
      <c r="K901" s="977"/>
      <c r="L901" s="390"/>
      <c r="M901" s="978"/>
      <c r="N901" s="1019"/>
      <c r="O901" s="1019"/>
      <c r="P901" s="79" t="str">
        <f>IF(AND('331-CT'!$E$7=TH!H901,OR(N901="331",O901="331")),"x","")</f>
        <v/>
      </c>
      <c r="Q901" s="79" t="str">
        <f>IF(AND(B901='111'!$L$11,OR($N901=$Q$7,$O901=$Q$7)),"x","")</f>
        <v/>
      </c>
      <c r="R901" s="79" t="str">
        <f>IF(AND($N901=$Q$7,$B901&lt;'111'!$L$11),"x","")</f>
        <v/>
      </c>
      <c r="S901" s="79" t="str">
        <f>IF(AND($O901=$Q$7,$B901&lt;'111'!$L$11),"x","")</f>
        <v/>
      </c>
      <c r="T901" s="79" t="str">
        <f>IF(ISERROR(FIND('112'!$M$9,G901,1)),"",IF((AND(FIND('112'!$M$9,G901,1)&gt;=1,B901='112'!$K$9,OR($N901='112'!$I$6,$O901='112'!$I$6))),"x",""))</f>
        <v/>
      </c>
      <c r="U901" s="79" t="str">
        <f>IF(ISERROR(FIND('112'!$M$9,G901,1)),"",IF((AND(LEFT(G901,2)=LEFT('112'!$M$9,2),B901&lt;'112'!$K$9,$N901='112'!$I$6)),"x",""))</f>
        <v/>
      </c>
      <c r="V901" s="79" t="str">
        <f>IF(ISERROR(FIND('112'!$M$9,G901,1)),"",IF((AND(RIGHT(G901,2)=RIGHT('112'!$M$9,2),B901&lt;'112'!$K$9,$O901='112'!$I$6)),"x",""))</f>
        <v/>
      </c>
      <c r="W901" s="79" t="str">
        <f>IF(AND('341-CT'!$H$9=H901,OR(LEFT(N901,3)=$W$7,LEFT(O901,3)=$W$7)),"x","")</f>
        <v/>
      </c>
      <c r="X901" s="79" t="str">
        <f>IF(OR(TH!N901=TH!$X$7,O901=TH!$X$7),"x","")</f>
        <v/>
      </c>
      <c r="Y901" s="79" t="str">
        <f>IF(AND(OR(N901="131",O901="131"),H901='131-CT'!$H$9),"x","")</f>
        <v/>
      </c>
      <c r="Z901" s="79"/>
      <c r="AA901" s="79" t="str">
        <f>IF(AND(MONTH(E901)='IN-NX'!$J$5,'IN-NX'!$D$7=D901),"x","")</f>
        <v/>
      </c>
      <c r="AB901" s="79" t="str">
        <f>IF(AND(OR(LEFT(TH!N901,2)="15",LEFT(TH!O901,2)="15"),LEFT(TH!O901,3)&lt;&gt;"111",'152-CT'!$J$8=TH!F901),"x","")</f>
        <v/>
      </c>
      <c r="AC901" s="79" t="str">
        <f>IF(AND(OR(LEFT(TH!N901,2)="15",LEFT(TH!O901,2)="15"),TK!$E$7=TH!F901),"x","")</f>
        <v/>
      </c>
      <c r="AD901" s="79" t="str">
        <f>IF(AND(N901="1521",MONTH(C901)='BK-NL'!$M$11),"x","")</f>
        <v/>
      </c>
    </row>
    <row r="902" spans="1:30" ht="16.5" customHeight="1">
      <c r="A902" s="318" t="str">
        <f>IF(B902&lt;&gt;"",IF(AND(B902='IN-TC'!$S$4,OR(TH!N902="1111",TH!O902="1111")),TH!D902,""),"")</f>
        <v/>
      </c>
      <c r="B902" s="60" t="str">
        <f t="shared" si="153"/>
        <v/>
      </c>
      <c r="C902" s="261"/>
      <c r="D902" s="261"/>
      <c r="E902" s="261"/>
      <c r="F902" s="1103"/>
      <c r="G902" s="1104"/>
      <c r="H902" s="759"/>
      <c r="I902" s="383"/>
      <c r="J902" s="977"/>
      <c r="K902" s="977"/>
      <c r="L902" s="390"/>
      <c r="M902" s="978"/>
      <c r="N902" s="1019"/>
      <c r="O902" s="1019"/>
      <c r="P902" s="79" t="str">
        <f>IF(AND('331-CT'!$E$7=TH!H902,OR(N902="331",O902="331")),"x","")</f>
        <v/>
      </c>
      <c r="Q902" s="79" t="str">
        <f>IF(AND(B902='111'!$L$11,OR($N902=$Q$7,$O902=$Q$7)),"x","")</f>
        <v/>
      </c>
      <c r="R902" s="79" t="str">
        <f>IF(AND($N902=$Q$7,$B902&lt;'111'!$L$11),"x","")</f>
        <v/>
      </c>
      <c r="S902" s="79" t="str">
        <f>IF(AND($O902=$Q$7,$B902&lt;'111'!$L$11),"x","")</f>
        <v/>
      </c>
      <c r="T902" s="79" t="str">
        <f>IF(ISERROR(FIND('112'!$M$9,G902,1)),"",IF((AND(FIND('112'!$M$9,G902,1)&gt;=1,B902='112'!$K$9,OR($N902='112'!$I$6,$O902='112'!$I$6))),"x",""))</f>
        <v/>
      </c>
      <c r="U902" s="79" t="str">
        <f>IF(ISERROR(FIND('112'!$M$9,G902,1)),"",IF((AND(LEFT(G902,2)=LEFT('112'!$M$9,2),B902&lt;'112'!$K$9,$N902='112'!$I$6)),"x",""))</f>
        <v/>
      </c>
      <c r="V902" s="79" t="str">
        <f>IF(ISERROR(FIND('112'!$M$9,G902,1)),"",IF((AND(RIGHT(G902,2)=RIGHT('112'!$M$9,2),B902&lt;'112'!$K$9,$O902='112'!$I$6)),"x",""))</f>
        <v/>
      </c>
      <c r="W902" s="79" t="str">
        <f>IF(AND('341-CT'!$H$9=H902,OR(LEFT(N902,3)=$W$7,LEFT(O902,3)=$W$7)),"x","")</f>
        <v/>
      </c>
      <c r="X902" s="79" t="str">
        <f>IF(OR(TH!N902=TH!$X$7,O902=TH!$X$7),"x","")</f>
        <v/>
      </c>
      <c r="Y902" s="79" t="str">
        <f>IF(AND(OR(N902="131",O902="131"),H902='131-CT'!$H$9),"x","")</f>
        <v/>
      </c>
      <c r="Z902" s="79"/>
      <c r="AA902" s="79" t="str">
        <f>IF(AND(MONTH(E902)='IN-NX'!$J$5,'IN-NX'!$D$7=D902),"x","")</f>
        <v/>
      </c>
      <c r="AB902" s="79" t="str">
        <f>IF(AND(OR(LEFT(TH!N902,2)="15",LEFT(TH!O902,2)="15"),LEFT(TH!O902,3)&lt;&gt;"111",'152-CT'!$J$8=TH!F902),"x","")</f>
        <v/>
      </c>
      <c r="AC902" s="79" t="str">
        <f>IF(AND(OR(LEFT(TH!N902,2)="15",LEFT(TH!O902,2)="15"),TK!$E$7=TH!F902),"x","")</f>
        <v/>
      </c>
      <c r="AD902" s="79" t="str">
        <f>IF(AND(N902="1521",MONTH(C902)='BK-NL'!$M$11),"x","")</f>
        <v/>
      </c>
    </row>
    <row r="903" spans="1:30" ht="16.5" customHeight="1">
      <c r="A903" s="318" t="str">
        <f>IF(B903&lt;&gt;"",IF(AND(B903='IN-TC'!$S$4,OR(TH!N903="1111",TH!O903="1111")),TH!D903,""),"")</f>
        <v/>
      </c>
      <c r="B903" s="60" t="str">
        <f t="shared" si="153"/>
        <v/>
      </c>
      <c r="C903" s="261"/>
      <c r="D903" s="261"/>
      <c r="E903" s="261"/>
      <c r="F903" s="1131"/>
      <c r="G903" s="1104"/>
      <c r="H903" s="759"/>
      <c r="I903" s="383"/>
      <c r="J903" s="977"/>
      <c r="K903" s="977"/>
      <c r="L903" s="390"/>
      <c r="M903" s="978"/>
      <c r="N903" s="1019"/>
      <c r="O903" s="1019"/>
      <c r="P903" s="79" t="str">
        <f>IF(AND('331-CT'!$E$7=TH!H903,OR(N903="331",O903="331")),"x","")</f>
        <v/>
      </c>
      <c r="Q903" s="79" t="str">
        <f>IF(AND(B903='111'!$L$11,OR($N903=$Q$7,$O903=$Q$7)),"x","")</f>
        <v/>
      </c>
      <c r="R903" s="79" t="str">
        <f>IF(AND($N903=$Q$7,$B903&lt;'111'!$L$11),"x","")</f>
        <v/>
      </c>
      <c r="S903" s="79" t="str">
        <f>IF(AND($O903=$Q$7,$B903&lt;'111'!$L$11),"x","")</f>
        <v/>
      </c>
      <c r="T903" s="79" t="str">
        <f>IF(ISERROR(FIND('112'!$M$9,G903,1)),"",IF((AND(FIND('112'!$M$9,G903,1)&gt;=1,B903='112'!$K$9,OR($N903='112'!$I$6,$O903='112'!$I$6))),"x",""))</f>
        <v/>
      </c>
      <c r="U903" s="79" t="str">
        <f>IF(ISERROR(FIND('112'!$M$9,G903,1)),"",IF((AND(LEFT(G903,2)=LEFT('112'!$M$9,2),B903&lt;'112'!$K$9,$N903='112'!$I$6)),"x",""))</f>
        <v/>
      </c>
      <c r="V903" s="79" t="str">
        <f>IF(ISERROR(FIND('112'!$M$9,G903,1)),"",IF((AND(RIGHT(G903,2)=RIGHT('112'!$M$9,2),B903&lt;'112'!$K$9,$O903='112'!$I$6)),"x",""))</f>
        <v/>
      </c>
      <c r="W903" s="79" t="str">
        <f>IF(AND('341-CT'!$H$9=H903,OR(LEFT(N903,3)=$W$7,LEFT(O903,3)=$W$7)),"x","")</f>
        <v/>
      </c>
      <c r="X903" s="79" t="str">
        <f>IF(OR(TH!N903=TH!$X$7,O903=TH!$X$7),"x","")</f>
        <v/>
      </c>
      <c r="Y903" s="79" t="str">
        <f>IF(AND(OR(N903="131",O903="131"),H903='131-CT'!$H$9),"x","")</f>
        <v/>
      </c>
      <c r="Z903" s="79"/>
      <c r="AA903" s="79" t="str">
        <f>IF(AND(MONTH(E903)='IN-NX'!$J$5,'IN-NX'!$D$7=D903),"x","")</f>
        <v/>
      </c>
      <c r="AB903" s="79" t="str">
        <f>IF(AND(OR(LEFT(TH!N903,2)="15",LEFT(TH!O903,2)="15"),LEFT(TH!O903,3)&lt;&gt;"111",'152-CT'!$J$8=TH!F903),"x","")</f>
        <v/>
      </c>
      <c r="AC903" s="79" t="str">
        <f>IF(AND(OR(LEFT(TH!N903,2)="15",LEFT(TH!O903,2)="15"),TK!$E$7=TH!F903),"x","")</f>
        <v/>
      </c>
      <c r="AD903" s="79" t="str">
        <f>IF(AND(N903="1521",MONTH(C903)='BK-NL'!$M$11),"x","")</f>
        <v/>
      </c>
    </row>
    <row r="904" spans="1:30" ht="16.5" customHeight="1">
      <c r="A904" s="318" t="str">
        <f>IF(B904&lt;&gt;"",IF(AND(B904='IN-TC'!$S$4,OR(TH!N904="1111",TH!O904="1111")),TH!D904,""),"")</f>
        <v/>
      </c>
      <c r="B904" s="60" t="str">
        <f t="shared" si="153"/>
        <v/>
      </c>
      <c r="C904" s="261"/>
      <c r="D904" s="261"/>
      <c r="E904" s="261"/>
      <c r="F904" s="1131"/>
      <c r="G904" s="1104"/>
      <c r="H904" s="759"/>
      <c r="I904" s="383"/>
      <c r="J904" s="977"/>
      <c r="K904" s="977"/>
      <c r="L904" s="390"/>
      <c r="M904" s="978"/>
      <c r="N904" s="1019"/>
      <c r="O904" s="1019"/>
      <c r="P904" s="79" t="str">
        <f>IF(AND('331-CT'!$E$7=TH!H904,OR(N904="331",O904="331")),"x","")</f>
        <v/>
      </c>
      <c r="Q904" s="79" t="str">
        <f>IF(AND(B904='111'!$L$11,OR($N904=$Q$7,$O904=$Q$7)),"x","")</f>
        <v/>
      </c>
      <c r="R904" s="79" t="str">
        <f>IF(AND($N904=$Q$7,$B904&lt;'111'!$L$11),"x","")</f>
        <v/>
      </c>
      <c r="S904" s="79" t="str">
        <f>IF(AND($O904=$Q$7,$B904&lt;'111'!$L$11),"x","")</f>
        <v/>
      </c>
      <c r="T904" s="79" t="str">
        <f>IF(ISERROR(FIND('112'!$M$9,G904,1)),"",IF((AND(FIND('112'!$M$9,G904,1)&gt;=1,B904='112'!$K$9,OR($N904='112'!$I$6,$O904='112'!$I$6))),"x",""))</f>
        <v/>
      </c>
      <c r="U904" s="79" t="str">
        <f>IF(ISERROR(FIND('112'!$M$9,G904,1)),"",IF((AND(LEFT(G904,2)=LEFT('112'!$M$9,2),B904&lt;'112'!$K$9,$N904='112'!$I$6)),"x",""))</f>
        <v/>
      </c>
      <c r="V904" s="79" t="str">
        <f>IF(ISERROR(FIND('112'!$M$9,G904,1)),"",IF((AND(RIGHT(G904,2)=RIGHT('112'!$M$9,2),B904&lt;'112'!$K$9,$O904='112'!$I$6)),"x",""))</f>
        <v/>
      </c>
      <c r="W904" s="79" t="str">
        <f>IF(AND('341-CT'!$H$9=H904,OR(LEFT(N904,3)=$W$7,LEFT(O904,3)=$W$7)),"x","")</f>
        <v/>
      </c>
      <c r="X904" s="79" t="str">
        <f>IF(OR(TH!N904=TH!$X$7,O904=TH!$X$7),"x","")</f>
        <v/>
      </c>
      <c r="Y904" s="79" t="str">
        <f>IF(AND(OR(N904="131",O904="131"),H904='131-CT'!$H$9),"x","")</f>
        <v/>
      </c>
      <c r="Z904" s="79"/>
      <c r="AA904" s="79" t="str">
        <f>IF(AND(MONTH(E904)='IN-NX'!$J$5,'IN-NX'!$D$7=D904),"x","")</f>
        <v/>
      </c>
      <c r="AB904" s="79" t="str">
        <f>IF(AND(OR(LEFT(TH!N904,2)="15",LEFT(TH!O904,2)="15"),LEFT(TH!O904,3)&lt;&gt;"111",'152-CT'!$J$8=TH!F904),"x","")</f>
        <v/>
      </c>
      <c r="AC904" s="79" t="str">
        <f>IF(AND(OR(LEFT(TH!N904,2)="15",LEFT(TH!O904,2)="15"),TK!$E$7=TH!F904),"x","")</f>
        <v/>
      </c>
      <c r="AD904" s="79" t="str">
        <f>IF(AND(N904="1521",MONTH(C904)='BK-NL'!$M$11),"x","")</f>
        <v/>
      </c>
    </row>
    <row r="905" spans="1:30" ht="16.5" customHeight="1">
      <c r="A905" s="318" t="str">
        <f>IF(B905&lt;&gt;"",IF(AND(B905='IN-TC'!$S$4,OR(TH!N905="1111",TH!O905="1111")),TH!D905,""),"")</f>
        <v/>
      </c>
      <c r="B905" s="60" t="str">
        <f t="shared" si="153"/>
        <v/>
      </c>
      <c r="C905" s="261"/>
      <c r="D905" s="261"/>
      <c r="E905" s="261"/>
      <c r="F905" s="1103"/>
      <c r="G905" s="1104"/>
      <c r="H905" s="305"/>
      <c r="I905" s="383"/>
      <c r="J905" s="977"/>
      <c r="K905" s="977"/>
      <c r="L905" s="390"/>
      <c r="M905" s="978"/>
      <c r="N905" s="1019"/>
      <c r="O905" s="1019"/>
      <c r="P905" s="79" t="str">
        <f>IF(AND('331-CT'!$E$7=TH!H905,OR(N905="331",O905="331")),"x","")</f>
        <v/>
      </c>
      <c r="Q905" s="79" t="str">
        <f>IF(AND(B905='111'!$L$11,OR($N905=$Q$7,$O905=$Q$7)),"x","")</f>
        <v/>
      </c>
      <c r="R905" s="79" t="str">
        <f>IF(AND($N905=$Q$7,$B905&lt;'111'!$L$11),"x","")</f>
        <v/>
      </c>
      <c r="S905" s="79" t="str">
        <f>IF(AND($O905=$Q$7,$B905&lt;'111'!$L$11),"x","")</f>
        <v/>
      </c>
      <c r="T905" s="79" t="str">
        <f>IF(ISERROR(FIND('112'!$M$9,G905,1)),"",IF((AND(FIND('112'!$M$9,G905,1)&gt;=1,B905='112'!$K$9,OR($N905='112'!$I$6,$O905='112'!$I$6))),"x",""))</f>
        <v/>
      </c>
      <c r="U905" s="79" t="str">
        <f>IF(ISERROR(FIND('112'!$M$9,G905,1)),"",IF((AND(LEFT(G905,2)=LEFT('112'!$M$9,2),B905&lt;'112'!$K$9,$N905='112'!$I$6)),"x",""))</f>
        <v/>
      </c>
      <c r="V905" s="79" t="str">
        <f>IF(ISERROR(FIND('112'!$M$9,G905,1)),"",IF((AND(RIGHT(G905,2)=RIGHT('112'!$M$9,2),B905&lt;'112'!$K$9,$O905='112'!$I$6)),"x",""))</f>
        <v/>
      </c>
      <c r="W905" s="79" t="str">
        <f>IF(AND('341-CT'!$H$9=H905,OR(LEFT(N905,3)=$W$7,LEFT(O905,3)=$W$7)),"x","")</f>
        <v/>
      </c>
      <c r="X905" s="79" t="str">
        <f>IF(OR(TH!N905=TH!$X$7,O905=TH!$X$7),"x","")</f>
        <v/>
      </c>
      <c r="Y905" s="79" t="str">
        <f>IF(AND(OR(N905="131",O905="131"),H905='131-CT'!$H$9),"x","")</f>
        <v/>
      </c>
      <c r="Z905" s="79"/>
      <c r="AA905" s="79" t="str">
        <f>IF(AND(MONTH(E905)='IN-NX'!$J$5,'IN-NX'!$D$7=D905),"x","")</f>
        <v/>
      </c>
      <c r="AB905" s="79" t="str">
        <f>IF(AND(OR(LEFT(TH!N905,2)="15",LEFT(TH!O905,2)="15"),LEFT(TH!O905,3)&lt;&gt;"111",'152-CT'!$J$8=TH!F905),"x","")</f>
        <v/>
      </c>
      <c r="AC905" s="79" t="str">
        <f>IF(AND(OR(LEFT(TH!N905,2)="15",LEFT(TH!O905,2)="15"),TK!$E$7=TH!F905),"x","")</f>
        <v/>
      </c>
      <c r="AD905" s="79" t="str">
        <f>IF(AND(N905="1521",MONTH(C905)='BK-NL'!$M$11),"x","")</f>
        <v/>
      </c>
    </row>
    <row r="906" spans="1:30" ht="16.5" customHeight="1">
      <c r="A906" s="318" t="str">
        <f>IF(B906&lt;&gt;"",IF(AND(B906='IN-TC'!$S$4,OR(TH!N906="1111",TH!O906="1111")),TH!D906,""),"")</f>
        <v/>
      </c>
      <c r="B906" s="60" t="str">
        <f t="shared" si="153"/>
        <v/>
      </c>
      <c r="C906" s="261"/>
      <c r="D906" s="261"/>
      <c r="E906" s="261"/>
      <c r="F906" s="1103"/>
      <c r="G906" s="1104"/>
      <c r="H906" s="305"/>
      <c r="I906" s="383"/>
      <c r="J906" s="977"/>
      <c r="K906" s="977"/>
      <c r="L906" s="390"/>
      <c r="M906" s="978"/>
      <c r="N906" s="1019"/>
      <c r="O906" s="1019"/>
      <c r="P906" s="79" t="str">
        <f>IF(AND('331-CT'!$E$7=TH!H906,OR(N906="331",O906="331")),"x","")</f>
        <v/>
      </c>
      <c r="Q906" s="79" t="str">
        <f>IF(AND(B906='111'!$L$11,OR($N906=$Q$7,$O906=$Q$7)),"x","")</f>
        <v/>
      </c>
      <c r="R906" s="79" t="str">
        <f>IF(AND($N906=$Q$7,$B906&lt;'111'!$L$11),"x","")</f>
        <v/>
      </c>
      <c r="S906" s="79" t="str">
        <f>IF(AND($O906=$Q$7,$B906&lt;'111'!$L$11),"x","")</f>
        <v/>
      </c>
      <c r="T906" s="79" t="str">
        <f>IF(ISERROR(FIND('112'!$M$9,G906,1)),"",IF((AND(FIND('112'!$M$9,G906,1)&gt;=1,B906='112'!$K$9,OR($N906='112'!$I$6,$O906='112'!$I$6))),"x",""))</f>
        <v/>
      </c>
      <c r="U906" s="79" t="str">
        <f>IF(ISERROR(FIND('112'!$M$9,G906,1)),"",IF((AND(LEFT(G906,2)=LEFT('112'!$M$9,2),B906&lt;'112'!$K$9,$N906='112'!$I$6)),"x",""))</f>
        <v/>
      </c>
      <c r="V906" s="79" t="str">
        <f>IF(ISERROR(FIND('112'!$M$9,G906,1)),"",IF((AND(RIGHT(G906,2)=RIGHT('112'!$M$9,2),B906&lt;'112'!$K$9,$O906='112'!$I$6)),"x",""))</f>
        <v/>
      </c>
      <c r="W906" s="79" t="str">
        <f>IF(AND('341-CT'!$H$9=H906,OR(LEFT(N906,3)=$W$7,LEFT(O906,3)=$W$7)),"x","")</f>
        <v/>
      </c>
      <c r="X906" s="79" t="str">
        <f>IF(OR(TH!N906=TH!$X$7,O906=TH!$X$7),"x","")</f>
        <v/>
      </c>
      <c r="Y906" s="79" t="str">
        <f>IF(AND(OR(N906="131",O906="131"),H906='131-CT'!$H$9),"x","")</f>
        <v/>
      </c>
      <c r="Z906" s="79"/>
      <c r="AA906" s="79" t="str">
        <f>IF(AND(MONTH(E906)='IN-NX'!$J$5,'IN-NX'!$D$7=D906),"x","")</f>
        <v/>
      </c>
      <c r="AB906" s="79" t="str">
        <f>IF(AND(OR(LEFT(TH!N906,2)="15",LEFT(TH!O906,2)="15"),LEFT(TH!O906,3)&lt;&gt;"111",'152-CT'!$J$8=TH!F906),"x","")</f>
        <v/>
      </c>
      <c r="AC906" s="79" t="str">
        <f>IF(AND(OR(LEFT(TH!N906,2)="15",LEFT(TH!O906,2)="15"),TK!$E$7=TH!F906),"x","")</f>
        <v/>
      </c>
      <c r="AD906" s="79" t="str">
        <f>IF(AND(N906="1521",MONTH(C906)='BK-NL'!$M$11),"x","")</f>
        <v/>
      </c>
    </row>
    <row r="907" spans="1:30" ht="16.5" customHeight="1">
      <c r="A907" s="318" t="str">
        <f>IF(B907&lt;&gt;"",IF(AND(B907='IN-TC'!$S$4,OR(TH!N907="1111",TH!O907="1111")),TH!D907,""),"")</f>
        <v/>
      </c>
      <c r="B907" s="60" t="str">
        <f t="shared" si="153"/>
        <v/>
      </c>
      <c r="C907" s="261"/>
      <c r="D907" s="261"/>
      <c r="E907" s="261"/>
      <c r="F907" s="1103"/>
      <c r="G907" s="1104"/>
      <c r="H907" s="305"/>
      <c r="I907" s="383"/>
      <c r="J907" s="977"/>
      <c r="K907" s="977"/>
      <c r="L907" s="390"/>
      <c r="M907" s="978"/>
      <c r="N907" s="1019"/>
      <c r="O907" s="1019"/>
      <c r="P907" s="79" t="str">
        <f>IF(AND('331-CT'!$E$7=TH!H907,OR(N907="331",O907="331")),"x","")</f>
        <v/>
      </c>
      <c r="Q907" s="79" t="str">
        <f>IF(AND(B907='111'!$L$11,OR($N907=$Q$7,$O907=$Q$7)),"x","")</f>
        <v/>
      </c>
      <c r="R907" s="79" t="str">
        <f>IF(AND($N907=$Q$7,$B907&lt;'111'!$L$11),"x","")</f>
        <v/>
      </c>
      <c r="S907" s="79" t="str">
        <f>IF(AND($O907=$Q$7,$B907&lt;'111'!$L$11),"x","")</f>
        <v/>
      </c>
      <c r="T907" s="79" t="str">
        <f>IF(ISERROR(FIND('112'!$M$9,G907,1)),"",IF((AND(FIND('112'!$M$9,G907,1)&gt;=1,B907='112'!$K$9,OR($N907='112'!$I$6,$O907='112'!$I$6))),"x",""))</f>
        <v/>
      </c>
      <c r="U907" s="79" t="str">
        <f>IF(ISERROR(FIND('112'!$M$9,G907,1)),"",IF((AND(LEFT(G907,2)=LEFT('112'!$M$9,2),B907&lt;'112'!$K$9,$N907='112'!$I$6)),"x",""))</f>
        <v/>
      </c>
      <c r="V907" s="79" t="str">
        <f>IF(ISERROR(FIND('112'!$M$9,G907,1)),"",IF((AND(RIGHT(G907,2)=RIGHT('112'!$M$9,2),B907&lt;'112'!$K$9,$O907='112'!$I$6)),"x",""))</f>
        <v/>
      </c>
      <c r="W907" s="79" t="str">
        <f>IF(AND('341-CT'!$H$9=H907,OR(LEFT(N907,3)=$W$7,LEFT(O907,3)=$W$7)),"x","")</f>
        <v/>
      </c>
      <c r="X907" s="79" t="str">
        <f>IF(OR(TH!N907=TH!$X$7,O907=TH!$X$7),"x","")</f>
        <v/>
      </c>
      <c r="Y907" s="79" t="str">
        <f>IF(AND(OR(N907="131",O907="131"),H907='131-CT'!$H$9),"x","")</f>
        <v/>
      </c>
      <c r="Z907" s="79"/>
      <c r="AA907" s="79" t="str">
        <f>IF(AND(MONTH(E907)='IN-NX'!$J$5,'IN-NX'!$D$7=D907),"x","")</f>
        <v/>
      </c>
      <c r="AB907" s="79" t="str">
        <f>IF(AND(OR(LEFT(TH!N907,2)="15",LEFT(TH!O907,2)="15"),LEFT(TH!O907,3)&lt;&gt;"111",'152-CT'!$J$8=TH!F907),"x","")</f>
        <v/>
      </c>
      <c r="AC907" s="79" t="str">
        <f>IF(AND(OR(LEFT(TH!N907,2)="15",LEFT(TH!O907,2)="15"),TK!$E$7=TH!F907),"x","")</f>
        <v/>
      </c>
      <c r="AD907" s="79" t="str">
        <f>IF(AND(N907="1521",MONTH(C907)='BK-NL'!$M$11),"x","")</f>
        <v/>
      </c>
    </row>
    <row r="908" spans="1:30" ht="16.5" customHeight="1">
      <c r="A908" s="318" t="str">
        <f>IF(B908&lt;&gt;"",IF(AND(B908='IN-TC'!$S$4,OR(TH!N908="1111",TH!O908="1111")),TH!D908,""),"")</f>
        <v/>
      </c>
      <c r="B908" s="60" t="str">
        <f t="shared" si="153"/>
        <v/>
      </c>
      <c r="C908" s="261"/>
      <c r="D908" s="261"/>
      <c r="E908" s="261"/>
      <c r="F908" s="1103"/>
      <c r="G908" s="1104"/>
      <c r="H908" s="305"/>
      <c r="I908" s="383"/>
      <c r="J908" s="977"/>
      <c r="K908" s="977"/>
      <c r="L908" s="390"/>
      <c r="M908" s="978"/>
      <c r="N908" s="1019"/>
      <c r="O908" s="1019"/>
      <c r="P908" s="79" t="str">
        <f>IF(AND('331-CT'!$E$7=TH!H908,OR(N908="331",O908="331")),"x","")</f>
        <v/>
      </c>
      <c r="Q908" s="79" t="str">
        <f>IF(AND(B908='111'!$L$11,OR($N908=$Q$7,$O908=$Q$7)),"x","")</f>
        <v/>
      </c>
      <c r="R908" s="79" t="str">
        <f>IF(AND($N908=$Q$7,$B908&lt;'111'!$L$11),"x","")</f>
        <v/>
      </c>
      <c r="S908" s="79" t="str">
        <f>IF(AND($O908=$Q$7,$B908&lt;'111'!$L$11),"x","")</f>
        <v/>
      </c>
      <c r="T908" s="79" t="str">
        <f>IF(ISERROR(FIND('112'!$M$9,G908,1)),"",IF((AND(FIND('112'!$M$9,G908,1)&gt;=1,B908='112'!$K$9,OR($N908='112'!$I$6,$O908='112'!$I$6))),"x",""))</f>
        <v/>
      </c>
      <c r="U908" s="79" t="str">
        <f>IF(ISERROR(FIND('112'!$M$9,G908,1)),"",IF((AND(LEFT(G908,2)=LEFT('112'!$M$9,2),B908&lt;'112'!$K$9,$N908='112'!$I$6)),"x",""))</f>
        <v/>
      </c>
      <c r="V908" s="79" t="str">
        <f>IF(ISERROR(FIND('112'!$M$9,G908,1)),"",IF((AND(RIGHT(G908,2)=RIGHT('112'!$M$9,2),B908&lt;'112'!$K$9,$O908='112'!$I$6)),"x",""))</f>
        <v/>
      </c>
      <c r="W908" s="79" t="str">
        <f>IF(AND('341-CT'!$H$9=H908,OR(LEFT(N908,3)=$W$7,LEFT(O908,3)=$W$7)),"x","")</f>
        <v/>
      </c>
      <c r="X908" s="79" t="str">
        <f>IF(OR(TH!N908=TH!$X$7,O908=TH!$X$7),"x","")</f>
        <v/>
      </c>
      <c r="Y908" s="79" t="str">
        <f>IF(AND(OR(N908="131",O908="131"),H908='131-CT'!$H$9),"x","")</f>
        <v/>
      </c>
      <c r="Z908" s="79"/>
      <c r="AA908" s="79" t="str">
        <f>IF(AND(MONTH(E908)='IN-NX'!$J$5,'IN-NX'!$D$7=D908),"x","")</f>
        <v/>
      </c>
      <c r="AB908" s="79" t="str">
        <f>IF(AND(OR(LEFT(TH!N908,2)="15",LEFT(TH!O908,2)="15"),LEFT(TH!O908,3)&lt;&gt;"111",'152-CT'!$J$8=TH!F908),"x","")</f>
        <v/>
      </c>
      <c r="AC908" s="79" t="str">
        <f>IF(AND(OR(LEFT(TH!N908,2)="15",LEFT(TH!O908,2)="15"),TK!$E$7=TH!F908),"x","")</f>
        <v/>
      </c>
      <c r="AD908" s="79" t="str">
        <f>IF(AND(N908="1521",MONTH(C908)='BK-NL'!$M$11),"x","")</f>
        <v/>
      </c>
    </row>
    <row r="909" spans="1:30" ht="16.5" customHeight="1">
      <c r="A909" s="318" t="str">
        <f>IF(B909&lt;&gt;"",IF(AND(B909='IN-TC'!$S$4,OR(TH!N909="1111",TH!O909="1111")),TH!D909,""),"")</f>
        <v/>
      </c>
      <c r="B909" s="60" t="str">
        <f t="shared" si="153"/>
        <v/>
      </c>
      <c r="C909" s="261"/>
      <c r="D909" s="261"/>
      <c r="E909" s="261"/>
      <c r="F909" s="1103"/>
      <c r="G909" s="1104"/>
      <c r="H909" s="305"/>
      <c r="I909" s="383"/>
      <c r="J909" s="977"/>
      <c r="K909" s="977"/>
      <c r="L909" s="390"/>
      <c r="M909" s="978"/>
      <c r="N909" s="1019"/>
      <c r="O909" s="1019"/>
      <c r="P909" s="79" t="str">
        <f>IF(AND('331-CT'!$E$7=TH!H909,OR(N909="331",O909="331")),"x","")</f>
        <v/>
      </c>
      <c r="Q909" s="79" t="str">
        <f>IF(AND(B909='111'!$L$11,OR($N909=$Q$7,$O909=$Q$7)),"x","")</f>
        <v/>
      </c>
      <c r="R909" s="79" t="str">
        <f>IF(AND($N909=$Q$7,$B909&lt;'111'!$L$11),"x","")</f>
        <v/>
      </c>
      <c r="S909" s="79" t="str">
        <f>IF(AND($O909=$Q$7,$B909&lt;'111'!$L$11),"x","")</f>
        <v/>
      </c>
      <c r="T909" s="79" t="str">
        <f>IF(ISERROR(FIND('112'!$M$9,G909,1)),"",IF((AND(FIND('112'!$M$9,G909,1)&gt;=1,B909='112'!$K$9,OR($N909='112'!$I$6,$O909='112'!$I$6))),"x",""))</f>
        <v/>
      </c>
      <c r="U909" s="79" t="str">
        <f>IF(ISERROR(FIND('112'!$M$9,G909,1)),"",IF((AND(LEFT(G909,2)=LEFT('112'!$M$9,2),B909&lt;'112'!$K$9,$N909='112'!$I$6)),"x",""))</f>
        <v/>
      </c>
      <c r="V909" s="79" t="str">
        <f>IF(ISERROR(FIND('112'!$M$9,G909,1)),"",IF((AND(RIGHT(G909,2)=RIGHT('112'!$M$9,2),B909&lt;'112'!$K$9,$O909='112'!$I$6)),"x",""))</f>
        <v/>
      </c>
      <c r="W909" s="79" t="str">
        <f>IF(AND('341-CT'!$H$9=H909,OR(LEFT(N909,3)=$W$7,LEFT(O909,3)=$W$7)),"x","")</f>
        <v/>
      </c>
      <c r="X909" s="79" t="str">
        <f>IF(OR(TH!N909=TH!$X$7,O909=TH!$X$7),"x","")</f>
        <v/>
      </c>
      <c r="Y909" s="79" t="str">
        <f>IF(AND(OR(N909="131",O909="131"),H909='131-CT'!$H$9),"x","")</f>
        <v/>
      </c>
      <c r="Z909" s="79"/>
      <c r="AA909" s="79" t="str">
        <f>IF(AND(MONTH(E909)='IN-NX'!$J$5,'IN-NX'!$D$7=D909),"x","")</f>
        <v/>
      </c>
      <c r="AB909" s="79" t="str">
        <f>IF(AND(OR(LEFT(TH!N909,2)="15",LEFT(TH!O909,2)="15"),LEFT(TH!O909,3)&lt;&gt;"111",'152-CT'!$J$8=TH!F909),"x","")</f>
        <v/>
      </c>
      <c r="AC909" s="79" t="str">
        <f>IF(AND(OR(LEFT(TH!N909,2)="15",LEFT(TH!O909,2)="15"),TK!$E$7=TH!F909),"x","")</f>
        <v/>
      </c>
      <c r="AD909" s="79" t="str">
        <f>IF(AND(N909="1521",MONTH(C909)='BK-NL'!$M$11),"x","")</f>
        <v/>
      </c>
    </row>
    <row r="910" spans="1:30" ht="16.5" customHeight="1">
      <c r="A910" s="318" t="str">
        <f>IF(B910&lt;&gt;"",IF(AND(B910='IN-TC'!$S$4,OR(TH!N910="1111",TH!O910="1111")),TH!D910,""),"")</f>
        <v/>
      </c>
      <c r="B910" s="60" t="str">
        <f t="shared" si="153"/>
        <v/>
      </c>
      <c r="C910" s="261"/>
      <c r="D910" s="261"/>
      <c r="E910" s="261"/>
      <c r="F910" s="1103"/>
      <c r="G910" s="1104"/>
      <c r="H910" s="305"/>
      <c r="I910" s="383"/>
      <c r="J910" s="977"/>
      <c r="K910" s="977"/>
      <c r="L910" s="390"/>
      <c r="M910" s="978"/>
      <c r="N910" s="1019"/>
      <c r="O910" s="1019"/>
      <c r="P910" s="79" t="str">
        <f>IF(AND('331-CT'!$E$7=TH!H910,OR(N910="331",O910="331")),"x","")</f>
        <v/>
      </c>
      <c r="Q910" s="79" t="str">
        <f>IF(AND(B910='111'!$L$11,OR($N910=$Q$7,$O910=$Q$7)),"x","")</f>
        <v/>
      </c>
      <c r="R910" s="79" t="str">
        <f>IF(AND($N910=$Q$7,$B910&lt;'111'!$L$11),"x","")</f>
        <v/>
      </c>
      <c r="S910" s="79" t="str">
        <f>IF(AND($O910=$Q$7,$B910&lt;'111'!$L$11),"x","")</f>
        <v/>
      </c>
      <c r="T910" s="79" t="str">
        <f>IF(ISERROR(FIND('112'!$M$9,G910,1)),"",IF((AND(FIND('112'!$M$9,G910,1)&gt;=1,B910='112'!$K$9,OR($N910='112'!$I$6,$O910='112'!$I$6))),"x",""))</f>
        <v/>
      </c>
      <c r="U910" s="79" t="str">
        <f>IF(ISERROR(FIND('112'!$M$9,G910,1)),"",IF((AND(LEFT(G910,2)=LEFT('112'!$M$9,2),B910&lt;'112'!$K$9,$N910='112'!$I$6)),"x",""))</f>
        <v/>
      </c>
      <c r="V910" s="79" t="str">
        <f>IF(ISERROR(FIND('112'!$M$9,G910,1)),"",IF((AND(RIGHT(G910,2)=RIGHT('112'!$M$9,2),B910&lt;'112'!$K$9,$O910='112'!$I$6)),"x",""))</f>
        <v/>
      </c>
      <c r="W910" s="79" t="str">
        <f>IF(AND('341-CT'!$H$9=H910,OR(LEFT(N910,3)=$W$7,LEFT(O910,3)=$W$7)),"x","")</f>
        <v/>
      </c>
      <c r="X910" s="79" t="str">
        <f>IF(OR(TH!N910=TH!$X$7,O910=TH!$X$7),"x","")</f>
        <v/>
      </c>
      <c r="Y910" s="79" t="str">
        <f>IF(AND(OR(N910="131",O910="131"),H910='131-CT'!$H$9),"x","")</f>
        <v/>
      </c>
      <c r="Z910" s="79"/>
      <c r="AA910" s="79" t="str">
        <f>IF(AND(MONTH(E910)='IN-NX'!$J$5,'IN-NX'!$D$7=D910),"x","")</f>
        <v/>
      </c>
      <c r="AB910" s="79" t="str">
        <f>IF(AND(OR(LEFT(TH!N910,2)="15",LEFT(TH!O910,2)="15"),LEFT(TH!O910,3)&lt;&gt;"111",'152-CT'!$J$8=TH!F910),"x","")</f>
        <v/>
      </c>
      <c r="AC910" s="79" t="str">
        <f>IF(AND(OR(LEFT(TH!N910,2)="15",LEFT(TH!O910,2)="15"),TK!$E$7=TH!F910),"x","")</f>
        <v/>
      </c>
      <c r="AD910" s="79" t="str">
        <f>IF(AND(N910="1521",MONTH(C910)='BK-NL'!$M$11),"x","")</f>
        <v/>
      </c>
    </row>
    <row r="911" spans="1:30" ht="16.5" customHeight="1">
      <c r="A911" s="318" t="str">
        <f>IF(B911&lt;&gt;"",IF(AND(B911='IN-TC'!$S$4,OR(TH!N911="1111",TH!O911="1111")),TH!D911,""),"")</f>
        <v/>
      </c>
      <c r="B911" s="60" t="str">
        <f t="shared" si="153"/>
        <v/>
      </c>
      <c r="C911" s="261"/>
      <c r="D911" s="261"/>
      <c r="E911" s="261"/>
      <c r="F911" s="1131"/>
      <c r="G911" s="1104"/>
      <c r="H911" s="759"/>
      <c r="I911" s="383"/>
      <c r="J911" s="383"/>
      <c r="K911" s="390"/>
      <c r="L911" s="390"/>
      <c r="M911" s="978"/>
      <c r="N911" s="1019"/>
      <c r="O911" s="1019"/>
      <c r="P911" s="79" t="str">
        <f>IF(AND('331-CT'!$E$7=TH!H911,OR(N911="331",O911="331")),"x","")</f>
        <v/>
      </c>
      <c r="Q911" s="79" t="str">
        <f>IF(AND(B911='111'!$L$11,OR($N911=$Q$7,$O911=$Q$7)),"x","")</f>
        <v/>
      </c>
      <c r="R911" s="79" t="str">
        <f>IF(AND($N911=$Q$7,$B911&lt;'111'!$L$11),"x","")</f>
        <v/>
      </c>
      <c r="S911" s="79" t="str">
        <f>IF(AND($O911=$Q$7,$B911&lt;'111'!$L$11),"x","")</f>
        <v/>
      </c>
      <c r="T911" s="79" t="str">
        <f>IF(ISERROR(FIND('112'!$M$9,G911,1)),"",IF((AND(FIND('112'!$M$9,G911,1)&gt;=1,B911='112'!$K$9,OR($N911='112'!$I$6,$O911='112'!$I$6))),"x",""))</f>
        <v/>
      </c>
      <c r="U911" s="79" t="str">
        <f>IF(ISERROR(FIND('112'!$M$9,G911,1)),"",IF((AND(LEFT(G911,2)=LEFT('112'!$M$9,2),B911&lt;'112'!$K$9,$N911='112'!$I$6)),"x",""))</f>
        <v/>
      </c>
      <c r="V911" s="79" t="str">
        <f>IF(ISERROR(FIND('112'!$M$9,G911,1)),"",IF((AND(RIGHT(G911,2)=RIGHT('112'!$M$9,2),B911&lt;'112'!$K$9,$O911='112'!$I$6)),"x",""))</f>
        <v/>
      </c>
      <c r="W911" s="79" t="str">
        <f>IF(AND('341-CT'!$H$9=H911,OR(LEFT(N911,3)=$W$7,LEFT(O911,3)=$W$7)),"x","")</f>
        <v/>
      </c>
      <c r="X911" s="79" t="str">
        <f>IF(OR(TH!N911=TH!$X$7,O911=TH!$X$7),"x","")</f>
        <v/>
      </c>
      <c r="Y911" s="79" t="str">
        <f>IF(AND(OR(N911="131",O911="131"),H911='131-CT'!$H$9),"x","")</f>
        <v/>
      </c>
      <c r="Z911" s="79"/>
      <c r="AA911" s="79" t="str">
        <f>IF(AND(MONTH(E911)='IN-NX'!$J$5,'IN-NX'!$D$7=D911),"x","")</f>
        <v/>
      </c>
      <c r="AB911" s="79" t="str">
        <f>IF(AND(OR(LEFT(TH!N911,2)="15",LEFT(TH!O911,2)="15"),LEFT(TH!O911,3)&lt;&gt;"111",'152-CT'!$J$8=TH!F911),"x","")</f>
        <v/>
      </c>
      <c r="AC911" s="79" t="str">
        <f>IF(AND(OR(LEFT(TH!N911,2)="15",LEFT(TH!O911,2)="15"),TK!$E$7=TH!F911),"x","")</f>
        <v/>
      </c>
      <c r="AD911" s="79" t="str">
        <f>IF(AND(N911="1521",MONTH(C911)='BK-NL'!$M$11),"x","")</f>
        <v/>
      </c>
    </row>
    <row r="912" spans="1:30" ht="16.5" customHeight="1">
      <c r="A912" s="318" t="str">
        <f>IF(B912&lt;&gt;"",IF(AND(B912='IN-TC'!$S$4,OR(TH!N912="1111",TH!O912="1111")),TH!D912,""),"")</f>
        <v/>
      </c>
      <c r="B912" s="60" t="str">
        <f t="shared" si="153"/>
        <v/>
      </c>
      <c r="C912" s="261"/>
      <c r="D912" s="261"/>
      <c r="E912" s="261"/>
      <c r="F912" s="1131"/>
      <c r="G912" s="1104"/>
      <c r="H912" s="759"/>
      <c r="I912" s="383"/>
      <c r="J912" s="383"/>
      <c r="K912" s="390"/>
      <c r="L912" s="390"/>
      <c r="M912" s="978"/>
      <c r="N912" s="1019"/>
      <c r="O912" s="1019"/>
      <c r="P912" s="79" t="str">
        <f>IF(AND('331-CT'!$E$7=TH!H912,OR(N912="331",O912="331")),"x","")</f>
        <v/>
      </c>
      <c r="Q912" s="79" t="str">
        <f>IF(AND(B912='111'!$L$11,OR($N912=$Q$7,$O912=$Q$7)),"x","")</f>
        <v/>
      </c>
      <c r="R912" s="79" t="str">
        <f>IF(AND($N912=$Q$7,$B912&lt;'111'!$L$11),"x","")</f>
        <v/>
      </c>
      <c r="S912" s="79" t="str">
        <f>IF(AND($O912=$Q$7,$B912&lt;'111'!$L$11),"x","")</f>
        <v/>
      </c>
      <c r="T912" s="79" t="str">
        <f>IF(ISERROR(FIND('112'!$M$9,G912,1)),"",IF((AND(FIND('112'!$M$9,G912,1)&gt;=1,B912='112'!$K$9,OR($N912='112'!$I$6,$O912='112'!$I$6))),"x",""))</f>
        <v/>
      </c>
      <c r="U912" s="79" t="str">
        <f>IF(ISERROR(FIND('112'!$M$9,G912,1)),"",IF((AND(LEFT(G912,2)=LEFT('112'!$M$9,2),B912&lt;'112'!$K$9,$N912='112'!$I$6)),"x",""))</f>
        <v/>
      </c>
      <c r="V912" s="79" t="str">
        <f>IF(ISERROR(FIND('112'!$M$9,G912,1)),"",IF((AND(RIGHT(G912,2)=RIGHT('112'!$M$9,2),B912&lt;'112'!$K$9,$O912='112'!$I$6)),"x",""))</f>
        <v/>
      </c>
      <c r="W912" s="79" t="str">
        <f>IF(AND('341-CT'!$H$9=H912,OR(LEFT(N912,3)=$W$7,LEFT(O912,3)=$W$7)),"x","")</f>
        <v/>
      </c>
      <c r="X912" s="79" t="str">
        <f>IF(OR(TH!N912=TH!$X$7,O912=TH!$X$7),"x","")</f>
        <v/>
      </c>
      <c r="Y912" s="79" t="str">
        <f>IF(AND(OR(N912="131",O912="131"),H912='131-CT'!$H$9),"x","")</f>
        <v/>
      </c>
      <c r="Z912" s="79"/>
      <c r="AA912" s="79" t="str">
        <f>IF(AND(MONTH(E912)='IN-NX'!$J$5,'IN-NX'!$D$7=D912),"x","")</f>
        <v/>
      </c>
      <c r="AB912" s="79" t="str">
        <f>IF(AND(OR(LEFT(TH!N912,2)="15",LEFT(TH!O912,2)="15"),LEFT(TH!O912,3)&lt;&gt;"111",'152-CT'!$J$8=TH!F912),"x","")</f>
        <v/>
      </c>
      <c r="AC912" s="79" t="str">
        <f>IF(AND(OR(LEFT(TH!N912,2)="15",LEFT(TH!O912,2)="15"),TK!$E$7=TH!F912),"x","")</f>
        <v/>
      </c>
      <c r="AD912" s="79" t="str">
        <f>IF(AND(N912="1521",MONTH(C912)='BK-NL'!$M$11),"x","")</f>
        <v/>
      </c>
    </row>
    <row r="913" spans="1:30" s="1102" customFormat="1" ht="16.5" customHeight="1">
      <c r="A913" s="318" t="str">
        <f>IF(B913&lt;&gt;"",IF(AND(B913='IN-TC'!$S$4,OR(TH!N913="1111",TH!O913="1111")),TH!D913,""),"")</f>
        <v/>
      </c>
      <c r="B913" s="60" t="str">
        <f t="shared" si="153"/>
        <v/>
      </c>
      <c r="C913" s="981"/>
      <c r="D913" s="981"/>
      <c r="E913" s="981"/>
      <c r="F913" s="1008"/>
      <c r="G913" s="987"/>
      <c r="H913" s="997"/>
      <c r="I913" s="984"/>
      <c r="J913" s="984"/>
      <c r="K913" s="984"/>
      <c r="L913" s="983"/>
      <c r="M913" s="985"/>
      <c r="N913" s="986"/>
      <c r="O913" s="986"/>
      <c r="P913" s="79" t="str">
        <f>IF(AND('331-CT'!$E$7=TH!H913,OR(N913="331",O913="331")),"x","")</f>
        <v/>
      </c>
      <c r="Q913" s="79" t="str">
        <f>IF(AND(B913='111'!$L$11,OR($N913=$Q$7,$O913=$Q$7)),"x","")</f>
        <v/>
      </c>
      <c r="R913" s="79" t="str">
        <f>IF(AND($N913=$Q$7,$B913&lt;'111'!$L$11),"x","")</f>
        <v/>
      </c>
      <c r="S913" s="79" t="str">
        <f>IF(AND($O913=$Q$7,$B913&lt;'111'!$L$11),"x","")</f>
        <v/>
      </c>
      <c r="T913" s="79" t="str">
        <f>IF(ISERROR(FIND('112'!$M$9,G913,1)),"",IF((AND(FIND('112'!$M$9,G913,1)&gt;=1,B913='112'!$K$9,OR($N913='112'!$I$6,$O913='112'!$I$6))),"x",""))</f>
        <v/>
      </c>
      <c r="U913" s="79" t="str">
        <f>IF(ISERROR(FIND('112'!$M$9,G913,1)),"",IF((AND(LEFT(G913,2)=LEFT('112'!$M$9,2),B913&lt;'112'!$K$9,$N913='112'!$I$6)),"x",""))</f>
        <v/>
      </c>
      <c r="V913" s="79" t="str">
        <f>IF(ISERROR(FIND('112'!$M$9,G913,1)),"",IF((AND(RIGHT(G913,2)=RIGHT('112'!$M$9,2),B913&lt;'112'!$K$9,$O913='112'!$I$6)),"x",""))</f>
        <v/>
      </c>
      <c r="W913" s="79" t="str">
        <f>IF(AND('341-CT'!$H$9=H913,OR(LEFT(N913,3)=$W$7,LEFT(O913,3)=$W$7)),"x","")</f>
        <v/>
      </c>
      <c r="X913" s="79" t="str">
        <f>IF(OR(TH!N913=TH!$X$7,O913=TH!$X$7),"x","")</f>
        <v/>
      </c>
      <c r="Y913" s="79" t="str">
        <f>IF(AND(OR(N913="131",O913="131"),H913='131-CT'!$H$9),"x","")</f>
        <v/>
      </c>
      <c r="Z913" s="79"/>
      <c r="AA913" s="79" t="str">
        <f>IF(AND(MONTH(E913)='IN-NX'!$J$5,'IN-NX'!$D$7=D913),"x","")</f>
        <v/>
      </c>
      <c r="AB913" s="79" t="str">
        <f>IF(AND(OR(LEFT(TH!N913,2)="15",LEFT(TH!O913,2)="15"),LEFT(TH!O913,3)&lt;&gt;"111",'152-CT'!$J$8=TH!F913),"x","")</f>
        <v/>
      </c>
      <c r="AC913" s="79" t="str">
        <f>IF(AND(OR(LEFT(TH!N913,2)="15",LEFT(TH!O913,2)="15"),TK!$E$7=TH!F913),"x","")</f>
        <v/>
      </c>
      <c r="AD913" s="79" t="str">
        <f>IF(AND(N913="1521",MONTH(C913)='BK-NL'!$M$11),"x","")</f>
        <v/>
      </c>
    </row>
    <row r="914" spans="1:30" ht="16.5" customHeight="1">
      <c r="A914" s="318" t="str">
        <f>IF(B914&lt;&gt;"",IF(AND(B914='IN-TC'!$S$4,OR(TH!N914="1111",TH!O914="1111")),TH!D914,""),"")</f>
        <v/>
      </c>
      <c r="B914" s="60" t="str">
        <f t="shared" si="153"/>
        <v/>
      </c>
      <c r="C914" s="261"/>
      <c r="D914" s="261"/>
      <c r="E914" s="261"/>
      <c r="F914" s="1131"/>
      <c r="G914" s="1104"/>
      <c r="H914" s="759"/>
      <c r="I914" s="383"/>
      <c r="J914" s="383"/>
      <c r="K914" s="383"/>
      <c r="L914" s="390"/>
      <c r="M914" s="978"/>
      <c r="N914" s="1019"/>
      <c r="O914" s="1019"/>
      <c r="P914" s="79" t="str">
        <f>IF(AND('331-CT'!$E$7=TH!H914,OR(N914="331",O914="331")),"x","")</f>
        <v/>
      </c>
      <c r="Q914" s="79" t="str">
        <f>IF(AND(B914='111'!$L$11,OR($N914=$Q$7,$O914=$Q$7)),"x","")</f>
        <v/>
      </c>
      <c r="R914" s="79" t="str">
        <f>IF(AND($N914=$Q$7,$B914&lt;'111'!$L$11),"x","")</f>
        <v/>
      </c>
      <c r="S914" s="79" t="str">
        <f>IF(AND($O914=$Q$7,$B914&lt;'111'!$L$11),"x","")</f>
        <v/>
      </c>
      <c r="T914" s="79" t="str">
        <f>IF(ISERROR(FIND('112'!$M$9,G914,1)),"",IF((AND(FIND('112'!$M$9,G914,1)&gt;=1,B914='112'!$K$9,OR($N914='112'!$I$6,$O914='112'!$I$6))),"x",""))</f>
        <v/>
      </c>
      <c r="U914" s="79" t="str">
        <f>IF(ISERROR(FIND('112'!$M$9,G914,1)),"",IF((AND(LEFT(G914,2)=LEFT('112'!$M$9,2),B914&lt;'112'!$K$9,$N914='112'!$I$6)),"x",""))</f>
        <v/>
      </c>
      <c r="V914" s="79" t="str">
        <f>IF(ISERROR(FIND('112'!$M$9,G914,1)),"",IF((AND(RIGHT(G914,2)=RIGHT('112'!$M$9,2),B914&lt;'112'!$K$9,$O914='112'!$I$6)),"x",""))</f>
        <v/>
      </c>
      <c r="W914" s="79" t="str">
        <f>IF(AND('341-CT'!$H$9=H914,OR(LEFT(N914,3)=$W$7,LEFT(O914,3)=$W$7)),"x","")</f>
        <v/>
      </c>
      <c r="X914" s="79" t="str">
        <f>IF(OR(TH!N914=TH!$X$7,O914=TH!$X$7),"x","")</f>
        <v/>
      </c>
      <c r="Y914" s="79" t="str">
        <f>IF(AND(OR(N914="131",O914="131"),H914='131-CT'!$H$9),"x","")</f>
        <v/>
      </c>
      <c r="Z914" s="79"/>
      <c r="AA914" s="79" t="str">
        <f>IF(AND(MONTH(E914)='IN-NX'!$J$5,'IN-NX'!$D$7=D914),"x","")</f>
        <v/>
      </c>
      <c r="AB914" s="79" t="str">
        <f>IF(AND(OR(LEFT(TH!N914,2)="15",LEFT(TH!O914,2)="15"),LEFT(TH!O914,3)&lt;&gt;"111",'152-CT'!$J$8=TH!F914),"x","")</f>
        <v/>
      </c>
      <c r="AC914" s="79" t="str">
        <f>IF(AND(OR(LEFT(TH!N914,2)="15",LEFT(TH!O914,2)="15"),TK!$E$7=TH!F914),"x","")</f>
        <v/>
      </c>
      <c r="AD914" s="79" t="str">
        <f>IF(AND(N914="1521",MONTH(C914)='BK-NL'!$M$11),"x","")</f>
        <v/>
      </c>
    </row>
    <row r="915" spans="1:30" ht="16.5" customHeight="1">
      <c r="A915" s="318" t="str">
        <f>IF(B915&lt;&gt;"",IF(AND(B915='IN-TC'!$S$4,OR(TH!N915="1111",TH!O915="1111")),TH!D915,""),"")</f>
        <v/>
      </c>
      <c r="B915" s="60" t="str">
        <f t="shared" ref="B915:B961" si="154">IF(C915&lt;&gt;"",MONTH(C915),"")</f>
        <v/>
      </c>
      <c r="C915" s="261"/>
      <c r="D915" s="261"/>
      <c r="E915" s="261"/>
      <c r="F915" s="1103"/>
      <c r="G915" s="1104"/>
      <c r="H915" s="759"/>
      <c r="I915" s="383"/>
      <c r="J915" s="383"/>
      <c r="K915" s="383"/>
      <c r="L915" s="390"/>
      <c r="M915" s="978"/>
      <c r="N915" s="1019"/>
      <c r="O915" s="1019"/>
      <c r="P915" s="79" t="str">
        <f>IF(AND('331-CT'!$E$7=TH!H915,OR(N915="331",O915="331")),"x","")</f>
        <v/>
      </c>
      <c r="Q915" s="79" t="str">
        <f>IF(AND(B915='111'!$L$11,OR($N915=$Q$7,$O915=$Q$7)),"x","")</f>
        <v/>
      </c>
      <c r="R915" s="79" t="str">
        <f>IF(AND($N915=$Q$7,$B915&lt;'111'!$L$11),"x","")</f>
        <v/>
      </c>
      <c r="S915" s="79" t="str">
        <f>IF(AND($O915=$Q$7,$B915&lt;'111'!$L$11),"x","")</f>
        <v/>
      </c>
      <c r="T915" s="79" t="str">
        <f>IF(ISERROR(FIND('112'!$M$9,G915,1)),"",IF((AND(FIND('112'!$M$9,G915,1)&gt;=1,B915='112'!$K$9,OR($N915='112'!$I$6,$O915='112'!$I$6))),"x",""))</f>
        <v/>
      </c>
      <c r="U915" s="79" t="str">
        <f>IF(ISERROR(FIND('112'!$M$9,G915,1)),"",IF((AND(LEFT(G915,2)=LEFT('112'!$M$9,2),B915&lt;'112'!$K$9,$N915='112'!$I$6)),"x",""))</f>
        <v/>
      </c>
      <c r="V915" s="79" t="str">
        <f>IF(ISERROR(FIND('112'!$M$9,G915,1)),"",IF((AND(RIGHT(G915,2)=RIGHT('112'!$M$9,2),B915&lt;'112'!$K$9,$O915='112'!$I$6)),"x",""))</f>
        <v/>
      </c>
      <c r="W915" s="79" t="str">
        <f>IF(AND('341-CT'!$H$9=H915,OR(LEFT(N915,3)=$W$7,LEFT(O915,3)=$W$7)),"x","")</f>
        <v/>
      </c>
      <c r="X915" s="79" t="str">
        <f>IF(OR(TH!N915=TH!$X$7,O915=TH!$X$7),"x","")</f>
        <v/>
      </c>
      <c r="Y915" s="79" t="str">
        <f>IF(AND(OR(N915="131",O915="131"),H915='131-CT'!$H$9),"x","")</f>
        <v/>
      </c>
      <c r="Z915" s="79"/>
      <c r="AA915" s="79" t="str">
        <f>IF(AND(MONTH(E915)='IN-NX'!$J$5,'IN-NX'!$D$7=D915),"x","")</f>
        <v/>
      </c>
      <c r="AB915" s="79" t="str">
        <f>IF(AND(OR(LEFT(TH!N915,2)="15",LEFT(TH!O915,2)="15"),LEFT(TH!O915,3)&lt;&gt;"111",'152-CT'!$J$8=TH!F915),"x","")</f>
        <v/>
      </c>
      <c r="AC915" s="79" t="str">
        <f>IF(AND(OR(LEFT(TH!N915,2)="15",LEFT(TH!O915,2)="15"),TK!$E$7=TH!F915),"x","")</f>
        <v/>
      </c>
      <c r="AD915" s="79" t="str">
        <f>IF(AND(N915="1521",MONTH(C915)='BK-NL'!$M$11),"x","")</f>
        <v/>
      </c>
    </row>
    <row r="916" spans="1:30" ht="16.5" customHeight="1">
      <c r="A916" s="318" t="str">
        <f>IF(B916&lt;&gt;"",IF(AND(B916='IN-TC'!$S$4,OR(TH!N916="1111",TH!O916="1111")),TH!D916,""),"")</f>
        <v/>
      </c>
      <c r="B916" s="60" t="str">
        <f t="shared" si="154"/>
        <v/>
      </c>
      <c r="C916" s="261"/>
      <c r="D916" s="261"/>
      <c r="E916" s="261"/>
      <c r="F916" s="1103"/>
      <c r="G916" s="1104"/>
      <c r="H916" s="759"/>
      <c r="I916" s="383"/>
      <c r="J916" s="383"/>
      <c r="K916" s="383"/>
      <c r="L916" s="390"/>
      <c r="M916" s="978"/>
      <c r="N916" s="1019"/>
      <c r="O916" s="1019"/>
      <c r="P916" s="79" t="str">
        <f>IF(AND('331-CT'!$E$7=TH!H916,OR(N916="331",O916="331")),"x","")</f>
        <v/>
      </c>
      <c r="Q916" s="79" t="str">
        <f>IF(AND(B916='111'!$L$11,OR($N916=$Q$7,$O916=$Q$7)),"x","")</f>
        <v/>
      </c>
      <c r="R916" s="79" t="str">
        <f>IF(AND($N916=$Q$7,$B916&lt;'111'!$L$11),"x","")</f>
        <v/>
      </c>
      <c r="S916" s="79" t="str">
        <f>IF(AND($O916=$Q$7,$B916&lt;'111'!$L$11),"x","")</f>
        <v/>
      </c>
      <c r="T916" s="79" t="str">
        <f>IF(ISERROR(FIND('112'!$M$9,G916,1)),"",IF((AND(FIND('112'!$M$9,G916,1)&gt;=1,B916='112'!$K$9,OR($N916='112'!$I$6,$O916='112'!$I$6))),"x",""))</f>
        <v/>
      </c>
      <c r="U916" s="79" t="str">
        <f>IF(ISERROR(FIND('112'!$M$9,G916,1)),"",IF((AND(LEFT(G916,2)=LEFT('112'!$M$9,2),B916&lt;'112'!$K$9,$N916='112'!$I$6)),"x",""))</f>
        <v/>
      </c>
      <c r="V916" s="79" t="str">
        <f>IF(ISERROR(FIND('112'!$M$9,G916,1)),"",IF((AND(RIGHT(G916,2)=RIGHT('112'!$M$9,2),B916&lt;'112'!$K$9,$O916='112'!$I$6)),"x",""))</f>
        <v/>
      </c>
      <c r="W916" s="79" t="str">
        <f>IF(AND('341-CT'!$H$9=H916,OR(LEFT(N916,3)=$W$7,LEFT(O916,3)=$W$7)),"x","")</f>
        <v/>
      </c>
      <c r="X916" s="79" t="str">
        <f>IF(OR(TH!N916=TH!$X$7,O916=TH!$X$7),"x","")</f>
        <v/>
      </c>
      <c r="Y916" s="79" t="str">
        <f>IF(AND(OR(N916="131",O916="131"),H916='131-CT'!$H$9),"x","")</f>
        <v/>
      </c>
      <c r="Z916" s="79"/>
      <c r="AA916" s="79" t="str">
        <f>IF(AND(MONTH(E916)='IN-NX'!$J$5,'IN-NX'!$D$7=D916),"x","")</f>
        <v/>
      </c>
      <c r="AB916" s="79" t="str">
        <f>IF(AND(OR(LEFT(TH!N916,2)="15",LEFT(TH!O916,2)="15"),LEFT(TH!O916,3)&lt;&gt;"111",'152-CT'!$J$8=TH!F916),"x","")</f>
        <v/>
      </c>
      <c r="AC916" s="79" t="str">
        <f>IF(AND(OR(LEFT(TH!N916,2)="15",LEFT(TH!O916,2)="15"),TK!$E$7=TH!F916),"x","")</f>
        <v/>
      </c>
      <c r="AD916" s="79" t="str">
        <f>IF(AND(N916="1521",MONTH(C916)='BK-NL'!$M$11),"x","")</f>
        <v/>
      </c>
    </row>
    <row r="917" spans="1:30" ht="16.5" customHeight="1">
      <c r="A917" s="318" t="str">
        <f>IF(B917&lt;&gt;"",IF(AND(B917='IN-TC'!$S$4,OR(TH!N917="1111",TH!O917="1111")),TH!D917,""),"")</f>
        <v/>
      </c>
      <c r="B917" s="60" t="str">
        <f t="shared" si="154"/>
        <v/>
      </c>
      <c r="C917" s="261"/>
      <c r="D917" s="261"/>
      <c r="E917" s="261"/>
      <c r="F917" s="1103"/>
      <c r="G917" s="1104"/>
      <c r="H917" s="759"/>
      <c r="I917" s="383"/>
      <c r="J917" s="383"/>
      <c r="K917" s="383"/>
      <c r="L917" s="390"/>
      <c r="M917" s="978"/>
      <c r="N917" s="1019"/>
      <c r="O917" s="1019"/>
      <c r="P917" s="79" t="str">
        <f>IF(AND('331-CT'!$E$7=TH!H917,OR(N917="331",O917="331")),"x","")</f>
        <v/>
      </c>
      <c r="Q917" s="79" t="str">
        <f>IF(AND(B917='111'!$L$11,OR($N917=$Q$7,$O917=$Q$7)),"x","")</f>
        <v/>
      </c>
      <c r="R917" s="79" t="str">
        <f>IF(AND($N917=$Q$7,$B917&lt;'111'!$L$11),"x","")</f>
        <v/>
      </c>
      <c r="S917" s="79" t="str">
        <f>IF(AND($O917=$Q$7,$B917&lt;'111'!$L$11),"x","")</f>
        <v/>
      </c>
      <c r="T917" s="79" t="str">
        <f>IF(ISERROR(FIND('112'!$M$9,G917,1)),"",IF((AND(FIND('112'!$M$9,G917,1)&gt;=1,B917='112'!$K$9,OR($N917='112'!$I$6,$O917='112'!$I$6))),"x",""))</f>
        <v/>
      </c>
      <c r="U917" s="79" t="str">
        <f>IF(ISERROR(FIND('112'!$M$9,G917,1)),"",IF((AND(LEFT(G917,2)=LEFT('112'!$M$9,2),B917&lt;'112'!$K$9,$N917='112'!$I$6)),"x",""))</f>
        <v/>
      </c>
      <c r="V917" s="79" t="str">
        <f>IF(ISERROR(FIND('112'!$M$9,G917,1)),"",IF((AND(RIGHT(G917,2)=RIGHT('112'!$M$9,2),B917&lt;'112'!$K$9,$O917='112'!$I$6)),"x",""))</f>
        <v/>
      </c>
      <c r="W917" s="79" t="str">
        <f>IF(AND('341-CT'!$H$9=H917,OR(LEFT(N917,3)=$W$7,LEFT(O917,3)=$W$7)),"x","")</f>
        <v/>
      </c>
      <c r="X917" s="79" t="str">
        <f>IF(OR(TH!N917=TH!$X$7,O917=TH!$X$7),"x","")</f>
        <v/>
      </c>
      <c r="Y917" s="79" t="str">
        <f>IF(AND(OR(N917="131",O917="131"),H917='131-CT'!$H$9),"x","")</f>
        <v/>
      </c>
      <c r="Z917" s="79"/>
      <c r="AA917" s="79" t="str">
        <f>IF(AND(MONTH(E917)='IN-NX'!$J$5,'IN-NX'!$D$7=D917),"x","")</f>
        <v/>
      </c>
      <c r="AB917" s="79" t="str">
        <f>IF(AND(OR(LEFT(TH!N917,2)="15",LEFT(TH!O917,2)="15"),LEFT(TH!O917,3)&lt;&gt;"111",'152-CT'!$J$8=TH!F917),"x","")</f>
        <v/>
      </c>
      <c r="AC917" s="79" t="str">
        <f>IF(AND(OR(LEFT(TH!N917,2)="15",LEFT(TH!O917,2)="15"),TK!$E$7=TH!F917),"x","")</f>
        <v/>
      </c>
      <c r="AD917" s="79" t="str">
        <f>IF(AND(N917="1521",MONTH(C917)='BK-NL'!$M$11),"x","")</f>
        <v/>
      </c>
    </row>
    <row r="918" spans="1:30" ht="16.5" customHeight="1">
      <c r="A918" s="318" t="str">
        <f>IF(B918&lt;&gt;"",IF(AND(B918='IN-TC'!$S$4,OR(TH!N918="1111",TH!O918="1111")),TH!D918,""),"")</f>
        <v/>
      </c>
      <c r="B918" s="60" t="str">
        <f t="shared" si="154"/>
        <v/>
      </c>
      <c r="C918" s="261"/>
      <c r="D918" s="261"/>
      <c r="E918" s="261"/>
      <c r="F918" s="1103"/>
      <c r="G918" s="1104"/>
      <c r="H918" s="759"/>
      <c r="I918" s="383"/>
      <c r="J918" s="383"/>
      <c r="K918" s="383"/>
      <c r="L918" s="390"/>
      <c r="M918" s="978"/>
      <c r="N918" s="1019"/>
      <c r="O918" s="1019"/>
      <c r="P918" s="79" t="str">
        <f>IF(AND('331-CT'!$E$7=TH!H918,OR(N918="331",O918="331")),"x","")</f>
        <v/>
      </c>
      <c r="Q918" s="79" t="str">
        <f>IF(AND(B918='111'!$L$11,OR($N918=$Q$7,$O918=$Q$7)),"x","")</f>
        <v/>
      </c>
      <c r="R918" s="79" t="str">
        <f>IF(AND($N918=$Q$7,$B918&lt;'111'!$L$11),"x","")</f>
        <v/>
      </c>
      <c r="S918" s="79" t="str">
        <f>IF(AND($O918=$Q$7,$B918&lt;'111'!$L$11),"x","")</f>
        <v/>
      </c>
      <c r="T918" s="79" t="str">
        <f>IF(ISERROR(FIND('112'!$M$9,G918,1)),"",IF((AND(FIND('112'!$M$9,G918,1)&gt;=1,B918='112'!$K$9,OR($N918='112'!$I$6,$O918='112'!$I$6))),"x",""))</f>
        <v/>
      </c>
      <c r="U918" s="79" t="str">
        <f>IF(ISERROR(FIND('112'!$M$9,G918,1)),"",IF((AND(LEFT(G918,2)=LEFT('112'!$M$9,2),B918&lt;'112'!$K$9,$N918='112'!$I$6)),"x",""))</f>
        <v/>
      </c>
      <c r="V918" s="79" t="str">
        <f>IF(ISERROR(FIND('112'!$M$9,G918,1)),"",IF((AND(RIGHT(G918,2)=RIGHT('112'!$M$9,2),B918&lt;'112'!$K$9,$O918='112'!$I$6)),"x",""))</f>
        <v/>
      </c>
      <c r="W918" s="79" t="str">
        <f>IF(AND('341-CT'!$H$9=H918,OR(LEFT(N918,3)=$W$7,LEFT(O918,3)=$W$7)),"x","")</f>
        <v/>
      </c>
      <c r="X918" s="79" t="str">
        <f>IF(OR(TH!N918=TH!$X$7,O918=TH!$X$7),"x","")</f>
        <v/>
      </c>
      <c r="Y918" s="79" t="str">
        <f>IF(AND(OR(N918="131",O918="131"),H918='131-CT'!$H$9),"x","")</f>
        <v/>
      </c>
      <c r="Z918" s="79"/>
      <c r="AA918" s="79" t="str">
        <f>IF(AND(MONTH(E918)='IN-NX'!$J$5,'IN-NX'!$D$7=D918),"x","")</f>
        <v/>
      </c>
      <c r="AB918" s="79" t="str">
        <f>IF(AND(OR(LEFT(TH!N918,2)="15",LEFT(TH!O918,2)="15"),LEFT(TH!O918,3)&lt;&gt;"111",'152-CT'!$J$8=TH!F918),"x","")</f>
        <v/>
      </c>
      <c r="AC918" s="79" t="str">
        <f>IF(AND(OR(LEFT(TH!N918,2)="15",LEFT(TH!O918,2)="15"),TK!$E$7=TH!F918),"x","")</f>
        <v/>
      </c>
      <c r="AD918" s="79" t="str">
        <f>IF(AND(N918="1521",MONTH(C918)='BK-NL'!$M$11),"x","")</f>
        <v/>
      </c>
    </row>
    <row r="919" spans="1:30" ht="16.5" customHeight="1">
      <c r="A919" s="318" t="str">
        <f>IF(B919&lt;&gt;"",IF(AND(B919='IN-TC'!$S$4,OR(TH!N919="1111",TH!O919="1111")),TH!D919,""),"")</f>
        <v/>
      </c>
      <c r="B919" s="60" t="str">
        <f t="shared" si="154"/>
        <v/>
      </c>
      <c r="C919" s="261"/>
      <c r="D919" s="261"/>
      <c r="E919" s="261"/>
      <c r="F919" s="1131"/>
      <c r="G919" s="1104"/>
      <c r="H919" s="1208"/>
      <c r="I919" s="383"/>
      <c r="J919" s="383"/>
      <c r="K919" s="383"/>
      <c r="L919" s="390"/>
      <c r="M919" s="978"/>
      <c r="N919" s="1019"/>
      <c r="O919" s="1019"/>
      <c r="P919" s="79" t="str">
        <f>IF(AND('331-CT'!$E$7=TH!H919,OR(N919="331",O919="331")),"x","")</f>
        <v/>
      </c>
      <c r="Q919" s="79" t="str">
        <f>IF(AND(B919='111'!$L$11,OR($N919=$Q$7,$O919=$Q$7)),"x","")</f>
        <v/>
      </c>
      <c r="R919" s="79" t="str">
        <f>IF(AND($N919=$Q$7,$B919&lt;'111'!$L$11),"x","")</f>
        <v/>
      </c>
      <c r="S919" s="79" t="str">
        <f>IF(AND($O919=$Q$7,$B919&lt;'111'!$L$11),"x","")</f>
        <v/>
      </c>
      <c r="T919" s="79" t="str">
        <f>IF(ISERROR(FIND('112'!$M$9,G919,1)),"",IF((AND(FIND('112'!$M$9,G919,1)&gt;=1,B919='112'!$K$9,OR($N919='112'!$I$6,$O919='112'!$I$6))),"x",""))</f>
        <v/>
      </c>
      <c r="U919" s="79" t="str">
        <f>IF(ISERROR(FIND('112'!$M$9,G919,1)),"",IF((AND(LEFT(G919,2)=LEFT('112'!$M$9,2),B919&lt;'112'!$K$9,$N919='112'!$I$6)),"x",""))</f>
        <v/>
      </c>
      <c r="V919" s="79" t="str">
        <f>IF(ISERROR(FIND('112'!$M$9,G919,1)),"",IF((AND(RIGHT(G919,2)=RIGHT('112'!$M$9,2),B919&lt;'112'!$K$9,$O919='112'!$I$6)),"x",""))</f>
        <v/>
      </c>
      <c r="W919" s="79" t="str">
        <f>IF(AND('341-CT'!$H$9=H919,OR(LEFT(N919,3)=$W$7,LEFT(O919,3)=$W$7)),"x","")</f>
        <v/>
      </c>
      <c r="X919" s="79" t="str">
        <f>IF(OR(TH!N919=TH!$X$7,O919=TH!$X$7),"x","")</f>
        <v/>
      </c>
      <c r="Y919" s="79" t="str">
        <f>IF(AND(OR(N919="131",O919="131"),H919='131-CT'!$H$9),"x","")</f>
        <v/>
      </c>
      <c r="Z919" s="79"/>
      <c r="AA919" s="79" t="str">
        <f>IF(AND(MONTH(E919)='IN-NX'!$J$5,'IN-NX'!$D$7=D919),"x","")</f>
        <v/>
      </c>
      <c r="AB919" s="79" t="str">
        <f>IF(AND(OR(LEFT(TH!N919,2)="15",LEFT(TH!O919,2)="15"),LEFT(TH!O919,3)&lt;&gt;"111",'152-CT'!$J$8=TH!F919),"x","")</f>
        <v/>
      </c>
      <c r="AC919" s="79" t="str">
        <f>IF(AND(OR(LEFT(TH!N919,2)="15",LEFT(TH!O919,2)="15"),TK!$E$7=TH!F919),"x","")</f>
        <v/>
      </c>
      <c r="AD919" s="79" t="str">
        <f>IF(AND(N919="1521",MONTH(C919)='BK-NL'!$M$11),"x","")</f>
        <v/>
      </c>
    </row>
    <row r="920" spans="1:30" ht="16.5" customHeight="1">
      <c r="A920" s="318" t="str">
        <f>IF(B920&lt;&gt;"",IF(AND(B920='IN-TC'!$S$4,OR(TH!N920="1111",TH!O920="1111")),TH!D920,""),"")</f>
        <v/>
      </c>
      <c r="B920" s="60" t="str">
        <f t="shared" si="154"/>
        <v/>
      </c>
      <c r="C920" s="261"/>
      <c r="D920" s="261"/>
      <c r="E920" s="261"/>
      <c r="F920" s="1103"/>
      <c r="G920" s="1104"/>
      <c r="H920" s="759"/>
      <c r="I920" s="383"/>
      <c r="J920" s="383"/>
      <c r="K920" s="383"/>
      <c r="L920" s="390"/>
      <c r="M920" s="978"/>
      <c r="N920" s="1019"/>
      <c r="O920" s="1019"/>
      <c r="P920" s="79" t="str">
        <f>IF(AND('331-CT'!$E$7=TH!H920,OR(N920="331",O920="331")),"x","")</f>
        <v/>
      </c>
      <c r="Q920" s="79" t="str">
        <f>IF(AND(B920='111'!$L$11,OR($N920=$Q$7,$O920=$Q$7)),"x","")</f>
        <v/>
      </c>
      <c r="R920" s="79" t="str">
        <f>IF(AND($N920=$Q$7,$B920&lt;'111'!$L$11),"x","")</f>
        <v/>
      </c>
      <c r="S920" s="79" t="str">
        <f>IF(AND($O920=$Q$7,$B920&lt;'111'!$L$11),"x","")</f>
        <v/>
      </c>
      <c r="T920" s="79" t="str">
        <f>IF(ISERROR(FIND('112'!$M$9,G920,1)),"",IF((AND(FIND('112'!$M$9,G920,1)&gt;=1,B920='112'!$K$9,OR($N920='112'!$I$6,$O920='112'!$I$6))),"x",""))</f>
        <v/>
      </c>
      <c r="U920" s="79" t="str">
        <f>IF(ISERROR(FIND('112'!$M$9,G920,1)),"",IF((AND(LEFT(G920,2)=LEFT('112'!$M$9,2),B920&lt;'112'!$K$9,$N920='112'!$I$6)),"x",""))</f>
        <v/>
      </c>
      <c r="V920" s="79" t="str">
        <f>IF(ISERROR(FIND('112'!$M$9,G920,1)),"",IF((AND(RIGHT(G920,2)=RIGHT('112'!$M$9,2),B920&lt;'112'!$K$9,$O920='112'!$I$6)),"x",""))</f>
        <v/>
      </c>
      <c r="W920" s="79" t="str">
        <f>IF(AND('341-CT'!$H$9=H920,OR(LEFT(N920,3)=$W$7,LEFT(O920,3)=$W$7)),"x","")</f>
        <v/>
      </c>
      <c r="X920" s="79" t="str">
        <f>IF(OR(TH!N920=TH!$X$7,O920=TH!$X$7),"x","")</f>
        <v/>
      </c>
      <c r="Y920" s="79" t="str">
        <f>IF(AND(OR(N920="131",O920="131"),H920='131-CT'!$H$9),"x","")</f>
        <v/>
      </c>
      <c r="Z920" s="79"/>
      <c r="AA920" s="79" t="str">
        <f>IF(AND(MONTH(E920)='IN-NX'!$J$5,'IN-NX'!$D$7=D920),"x","")</f>
        <v/>
      </c>
      <c r="AB920" s="79" t="str">
        <f>IF(AND(OR(LEFT(TH!N920,2)="15",LEFT(TH!O920,2)="15"),LEFT(TH!O920,3)&lt;&gt;"111",'152-CT'!$J$8=TH!F920),"x","")</f>
        <v/>
      </c>
      <c r="AC920" s="79" t="str">
        <f>IF(AND(OR(LEFT(TH!N920,2)="15",LEFT(TH!O920,2)="15"),TK!$E$7=TH!F920),"x","")</f>
        <v/>
      </c>
      <c r="AD920" s="79" t="str">
        <f>IF(AND(N920="1521",MONTH(C920)='BK-NL'!$M$11),"x","")</f>
        <v/>
      </c>
    </row>
    <row r="921" spans="1:30" ht="16.5" customHeight="1">
      <c r="A921" s="318" t="str">
        <f>IF(B921&lt;&gt;"",IF(AND(B921='IN-TC'!$S$4,OR(TH!N921="1111",TH!O921="1111")),TH!D921,""),"")</f>
        <v/>
      </c>
      <c r="B921" s="60" t="str">
        <f t="shared" si="154"/>
        <v/>
      </c>
      <c r="C921" s="261"/>
      <c r="D921" s="261"/>
      <c r="E921" s="261"/>
      <c r="F921" s="1103"/>
      <c r="G921" s="1104"/>
      <c r="H921" s="759"/>
      <c r="I921" s="383"/>
      <c r="J921" s="383"/>
      <c r="K921" s="383"/>
      <c r="L921" s="390"/>
      <c r="M921" s="978"/>
      <c r="N921" s="1019"/>
      <c r="O921" s="1019"/>
      <c r="P921" s="79" t="str">
        <f>IF(AND('331-CT'!$E$7=TH!H921,OR(N921="331",O921="331")),"x","")</f>
        <v/>
      </c>
      <c r="Q921" s="79" t="str">
        <f>IF(AND(B921='111'!$L$11,OR($N921=$Q$7,$O921=$Q$7)),"x","")</f>
        <v/>
      </c>
      <c r="R921" s="79" t="str">
        <f>IF(AND($N921=$Q$7,$B921&lt;'111'!$L$11),"x","")</f>
        <v/>
      </c>
      <c r="S921" s="79" t="str">
        <f>IF(AND($O921=$Q$7,$B921&lt;'111'!$L$11),"x","")</f>
        <v/>
      </c>
      <c r="T921" s="79" t="str">
        <f>IF(ISERROR(FIND('112'!$M$9,G921,1)),"",IF((AND(FIND('112'!$M$9,G921,1)&gt;=1,B921='112'!$K$9,OR($N921='112'!$I$6,$O921='112'!$I$6))),"x",""))</f>
        <v/>
      </c>
      <c r="U921" s="79" t="str">
        <f>IF(ISERROR(FIND('112'!$M$9,G921,1)),"",IF((AND(LEFT(G921,2)=LEFT('112'!$M$9,2),B921&lt;'112'!$K$9,$N921='112'!$I$6)),"x",""))</f>
        <v/>
      </c>
      <c r="V921" s="79" t="str">
        <f>IF(ISERROR(FIND('112'!$M$9,G921,1)),"",IF((AND(RIGHT(G921,2)=RIGHT('112'!$M$9,2),B921&lt;'112'!$K$9,$O921='112'!$I$6)),"x",""))</f>
        <v/>
      </c>
      <c r="W921" s="79" t="str">
        <f>IF(AND('341-CT'!$H$9=H921,OR(LEFT(N921,3)=$W$7,LEFT(O921,3)=$W$7)),"x","")</f>
        <v/>
      </c>
      <c r="X921" s="79" t="str">
        <f>IF(OR(TH!N921=TH!$X$7,O921=TH!$X$7),"x","")</f>
        <v/>
      </c>
      <c r="Y921" s="79" t="str">
        <f>IF(AND(OR(N921="131",O921="131"),H921='131-CT'!$H$9),"x","")</f>
        <v/>
      </c>
      <c r="Z921" s="79"/>
      <c r="AA921" s="79" t="str">
        <f>IF(AND(MONTH(E921)='IN-NX'!$J$5,'IN-NX'!$D$7=D921),"x","")</f>
        <v/>
      </c>
      <c r="AB921" s="79" t="str">
        <f>IF(AND(OR(LEFT(TH!N921,2)="15",LEFT(TH!O921,2)="15"),LEFT(TH!O921,3)&lt;&gt;"111",'152-CT'!$J$8=TH!F921),"x","")</f>
        <v/>
      </c>
      <c r="AC921" s="79" t="str">
        <f>IF(AND(OR(LEFT(TH!N921,2)="15",LEFT(TH!O921,2)="15"),TK!$E$7=TH!F921),"x","")</f>
        <v/>
      </c>
      <c r="AD921" s="79" t="str">
        <f>IF(AND(N921="1521",MONTH(C921)='BK-NL'!$M$11),"x","")</f>
        <v/>
      </c>
    </row>
    <row r="922" spans="1:30" ht="16.5" customHeight="1">
      <c r="A922" s="318" t="str">
        <f>IF(B922&lt;&gt;"",IF(AND(B922='IN-TC'!$S$4,OR(TH!N922="1111",TH!O922="1111")),TH!D922,""),"")</f>
        <v/>
      </c>
      <c r="B922" s="60" t="str">
        <f t="shared" si="154"/>
        <v/>
      </c>
      <c r="C922" s="261"/>
      <c r="D922" s="261"/>
      <c r="E922" s="261"/>
      <c r="F922" s="1103"/>
      <c r="G922" s="1104"/>
      <c r="H922" s="759"/>
      <c r="I922" s="383"/>
      <c r="J922" s="383"/>
      <c r="K922" s="383"/>
      <c r="L922" s="390"/>
      <c r="M922" s="978"/>
      <c r="N922" s="1019"/>
      <c r="O922" s="1019"/>
      <c r="P922" s="79" t="str">
        <f>IF(AND('331-CT'!$E$7=TH!H922,OR(N922="331",O922="331")),"x","")</f>
        <v/>
      </c>
      <c r="Q922" s="79" t="str">
        <f>IF(AND(B922='111'!$L$11,OR($N922=$Q$7,$O922=$Q$7)),"x","")</f>
        <v/>
      </c>
      <c r="R922" s="79" t="str">
        <f>IF(AND($N922=$Q$7,$B922&lt;'111'!$L$11),"x","")</f>
        <v/>
      </c>
      <c r="S922" s="79" t="str">
        <f>IF(AND($O922=$Q$7,$B922&lt;'111'!$L$11),"x","")</f>
        <v/>
      </c>
      <c r="T922" s="79" t="str">
        <f>IF(ISERROR(FIND('112'!$M$9,G922,1)),"",IF((AND(FIND('112'!$M$9,G922,1)&gt;=1,B922='112'!$K$9,OR($N922='112'!$I$6,$O922='112'!$I$6))),"x",""))</f>
        <v/>
      </c>
      <c r="U922" s="79" t="str">
        <f>IF(ISERROR(FIND('112'!$M$9,G922,1)),"",IF((AND(LEFT(G922,2)=LEFT('112'!$M$9,2),B922&lt;'112'!$K$9,$N922='112'!$I$6)),"x",""))</f>
        <v/>
      </c>
      <c r="V922" s="79" t="str">
        <f>IF(ISERROR(FIND('112'!$M$9,G922,1)),"",IF((AND(RIGHT(G922,2)=RIGHT('112'!$M$9,2),B922&lt;'112'!$K$9,$O922='112'!$I$6)),"x",""))</f>
        <v/>
      </c>
      <c r="W922" s="79" t="str">
        <f>IF(AND('341-CT'!$H$9=H922,OR(LEFT(N922,3)=$W$7,LEFT(O922,3)=$W$7)),"x","")</f>
        <v/>
      </c>
      <c r="X922" s="79" t="str">
        <f>IF(OR(TH!N922=TH!$X$7,O922=TH!$X$7),"x","")</f>
        <v/>
      </c>
      <c r="Y922" s="79" t="str">
        <f>IF(AND(OR(N922="131",O922="131"),H922='131-CT'!$H$9),"x","")</f>
        <v/>
      </c>
      <c r="Z922" s="79"/>
      <c r="AA922" s="79" t="str">
        <f>IF(AND(MONTH(E922)='IN-NX'!$J$5,'IN-NX'!$D$7=D922),"x","")</f>
        <v/>
      </c>
      <c r="AB922" s="79" t="str">
        <f>IF(AND(OR(LEFT(TH!N922,2)="15",LEFT(TH!O922,2)="15"),LEFT(TH!O922,3)&lt;&gt;"111",'152-CT'!$J$8=TH!F922),"x","")</f>
        <v/>
      </c>
      <c r="AC922" s="79" t="str">
        <f>IF(AND(OR(LEFT(TH!N922,2)="15",LEFT(TH!O922,2)="15"),TK!$E$7=TH!F922),"x","")</f>
        <v/>
      </c>
      <c r="AD922" s="79" t="str">
        <f>IF(AND(N922="1521",MONTH(C922)='BK-NL'!$M$11),"x","")</f>
        <v/>
      </c>
    </row>
    <row r="923" spans="1:30" ht="16.5" customHeight="1">
      <c r="A923" s="318" t="str">
        <f>IF(B923&lt;&gt;"",IF(AND(B923='IN-TC'!$S$4,OR(TH!N923="1111",TH!O923="1111")),TH!D923,""),"")</f>
        <v/>
      </c>
      <c r="B923" s="60" t="str">
        <f t="shared" si="154"/>
        <v/>
      </c>
      <c r="C923" s="261"/>
      <c r="D923" s="261"/>
      <c r="E923" s="261"/>
      <c r="F923" s="1103"/>
      <c r="G923" s="1104"/>
      <c r="H923" s="759"/>
      <c r="I923" s="383"/>
      <c r="J923" s="383"/>
      <c r="K923" s="383"/>
      <c r="L923" s="390"/>
      <c r="M923" s="978"/>
      <c r="N923" s="1019"/>
      <c r="O923" s="1019"/>
      <c r="P923" s="79" t="str">
        <f>IF(AND('331-CT'!$E$7=TH!H923,OR(N923="331",O923="331")),"x","")</f>
        <v/>
      </c>
      <c r="Q923" s="79" t="str">
        <f>IF(AND(B923='111'!$L$11,OR($N923=$Q$7,$O923=$Q$7)),"x","")</f>
        <v/>
      </c>
      <c r="R923" s="79" t="str">
        <f>IF(AND($N923=$Q$7,$B923&lt;'111'!$L$11),"x","")</f>
        <v/>
      </c>
      <c r="S923" s="79" t="str">
        <f>IF(AND($O923=$Q$7,$B923&lt;'111'!$L$11),"x","")</f>
        <v/>
      </c>
      <c r="T923" s="79" t="str">
        <f>IF(ISERROR(FIND('112'!$M$9,G923,1)),"",IF((AND(FIND('112'!$M$9,G923,1)&gt;=1,B923='112'!$K$9,OR($N923='112'!$I$6,$O923='112'!$I$6))),"x",""))</f>
        <v/>
      </c>
      <c r="U923" s="79" t="str">
        <f>IF(ISERROR(FIND('112'!$M$9,G923,1)),"",IF((AND(LEFT(G923,2)=LEFT('112'!$M$9,2),B923&lt;'112'!$K$9,$N923='112'!$I$6)),"x",""))</f>
        <v/>
      </c>
      <c r="V923" s="79" t="str">
        <f>IF(ISERROR(FIND('112'!$M$9,G923,1)),"",IF((AND(RIGHT(G923,2)=RIGHT('112'!$M$9,2),B923&lt;'112'!$K$9,$O923='112'!$I$6)),"x",""))</f>
        <v/>
      </c>
      <c r="W923" s="79" t="str">
        <f>IF(AND('341-CT'!$H$9=H923,OR(LEFT(N923,3)=$W$7,LEFT(O923,3)=$W$7)),"x","")</f>
        <v/>
      </c>
      <c r="X923" s="79" t="str">
        <f>IF(OR(TH!N923=TH!$X$7,O923=TH!$X$7),"x","")</f>
        <v/>
      </c>
      <c r="Y923" s="79" t="str">
        <f>IF(AND(OR(N923="131",O923="131"),H923='131-CT'!$H$9),"x","")</f>
        <v/>
      </c>
      <c r="Z923" s="79"/>
      <c r="AA923" s="79" t="str">
        <f>IF(AND(MONTH(E923)='IN-NX'!$J$5,'IN-NX'!$D$7=D923),"x","")</f>
        <v/>
      </c>
      <c r="AB923" s="79" t="str">
        <f>IF(AND(OR(LEFT(TH!N923,2)="15",LEFT(TH!O923,2)="15"),LEFT(TH!O923,3)&lt;&gt;"111",'152-CT'!$J$8=TH!F923),"x","")</f>
        <v/>
      </c>
      <c r="AC923" s="79" t="str">
        <f>IF(AND(OR(LEFT(TH!N923,2)="15",LEFT(TH!O923,2)="15"),TK!$E$7=TH!F923),"x","")</f>
        <v/>
      </c>
      <c r="AD923" s="79" t="str">
        <f>IF(AND(N923="1521",MONTH(C923)='BK-NL'!$M$11),"x","")</f>
        <v/>
      </c>
    </row>
    <row r="924" spans="1:30" ht="16.5" customHeight="1">
      <c r="A924" s="318" t="str">
        <f>IF(B924&lt;&gt;"",IF(AND(B924='IN-TC'!$S$4,OR(TH!N924="1111",TH!O924="1111")),TH!D924,""),"")</f>
        <v/>
      </c>
      <c r="B924" s="60" t="str">
        <f t="shared" si="154"/>
        <v/>
      </c>
      <c r="C924" s="261"/>
      <c r="D924" s="261"/>
      <c r="E924" s="261"/>
      <c r="F924" s="1103"/>
      <c r="G924" s="1104"/>
      <c r="H924" s="759"/>
      <c r="I924" s="383"/>
      <c r="J924" s="383"/>
      <c r="K924" s="383"/>
      <c r="L924" s="390"/>
      <c r="M924" s="978"/>
      <c r="N924" s="1019"/>
      <c r="O924" s="1019"/>
      <c r="P924" s="79" t="str">
        <f>IF(AND('331-CT'!$E$7=TH!H924,OR(N924="331",O924="331")),"x","")</f>
        <v/>
      </c>
      <c r="Q924" s="79" t="str">
        <f>IF(AND(B924='111'!$L$11,OR($N924=$Q$7,$O924=$Q$7)),"x","")</f>
        <v/>
      </c>
      <c r="R924" s="79" t="str">
        <f>IF(AND($N924=$Q$7,$B924&lt;'111'!$L$11),"x","")</f>
        <v/>
      </c>
      <c r="S924" s="79" t="str">
        <f>IF(AND($O924=$Q$7,$B924&lt;'111'!$L$11),"x","")</f>
        <v/>
      </c>
      <c r="T924" s="79" t="str">
        <f>IF(ISERROR(FIND('112'!$M$9,G924,1)),"",IF((AND(FIND('112'!$M$9,G924,1)&gt;=1,B924='112'!$K$9,OR($N924='112'!$I$6,$O924='112'!$I$6))),"x",""))</f>
        <v/>
      </c>
      <c r="U924" s="79" t="str">
        <f>IF(ISERROR(FIND('112'!$M$9,G924,1)),"",IF((AND(LEFT(G924,2)=LEFT('112'!$M$9,2),B924&lt;'112'!$K$9,$N924='112'!$I$6)),"x",""))</f>
        <v/>
      </c>
      <c r="V924" s="79" t="str">
        <f>IF(ISERROR(FIND('112'!$M$9,G924,1)),"",IF((AND(RIGHT(G924,2)=RIGHT('112'!$M$9,2),B924&lt;'112'!$K$9,$O924='112'!$I$6)),"x",""))</f>
        <v/>
      </c>
      <c r="W924" s="79" t="str">
        <f>IF(AND('341-CT'!$H$9=H924,OR(LEFT(N924,3)=$W$7,LEFT(O924,3)=$W$7)),"x","")</f>
        <v/>
      </c>
      <c r="X924" s="79" t="str">
        <f>IF(OR(TH!N924=TH!$X$7,O924=TH!$X$7),"x","")</f>
        <v/>
      </c>
      <c r="Y924" s="79" t="str">
        <f>IF(AND(OR(N924="131",O924="131"),H924='131-CT'!$H$9),"x","")</f>
        <v/>
      </c>
      <c r="Z924" s="79"/>
      <c r="AA924" s="79" t="str">
        <f>IF(AND(MONTH(E924)='IN-NX'!$J$5,'IN-NX'!$D$7=D924),"x","")</f>
        <v/>
      </c>
      <c r="AB924" s="79" t="str">
        <f>IF(AND(OR(LEFT(TH!N924,2)="15",LEFT(TH!O924,2)="15"),LEFT(TH!O924,3)&lt;&gt;"111",'152-CT'!$J$8=TH!F924),"x","")</f>
        <v/>
      </c>
      <c r="AC924" s="79" t="str">
        <f>IF(AND(OR(LEFT(TH!N924,2)="15",LEFT(TH!O924,2)="15"),TK!$E$7=TH!F924),"x","")</f>
        <v/>
      </c>
      <c r="AD924" s="79" t="str">
        <f>IF(AND(N924="1521",MONTH(C924)='BK-NL'!$M$11),"x","")</f>
        <v/>
      </c>
    </row>
    <row r="925" spans="1:30" ht="16.5" customHeight="1">
      <c r="A925" s="318" t="str">
        <f>IF(B925&lt;&gt;"",IF(AND(B925='IN-TC'!$S$4,OR(TH!N925="1111",TH!O925="1111")),TH!D925,""),"")</f>
        <v/>
      </c>
      <c r="B925" s="60" t="str">
        <f t="shared" si="154"/>
        <v/>
      </c>
      <c r="C925" s="261"/>
      <c r="D925" s="261"/>
      <c r="E925" s="261"/>
      <c r="F925" s="1131"/>
      <c r="G925" s="1104"/>
      <c r="H925" s="759"/>
      <c r="I925" s="383"/>
      <c r="J925" s="383"/>
      <c r="K925" s="383"/>
      <c r="L925" s="390"/>
      <c r="M925" s="978"/>
      <c r="N925" s="1019"/>
      <c r="O925" s="1019"/>
      <c r="P925" s="79" t="str">
        <f>IF(AND('331-CT'!$E$7=TH!H925,OR(N925="331",O925="331")),"x","")</f>
        <v/>
      </c>
      <c r="Q925" s="79" t="str">
        <f>IF(AND(B925='111'!$L$11,OR($N925=$Q$7,$O925=$Q$7)),"x","")</f>
        <v/>
      </c>
      <c r="R925" s="79" t="str">
        <f>IF(AND($N925=$Q$7,$B925&lt;'111'!$L$11),"x","")</f>
        <v/>
      </c>
      <c r="S925" s="79" t="str">
        <f>IF(AND($O925=$Q$7,$B925&lt;'111'!$L$11),"x","")</f>
        <v/>
      </c>
      <c r="T925" s="79" t="str">
        <f>IF(ISERROR(FIND('112'!$M$9,G925,1)),"",IF((AND(FIND('112'!$M$9,G925,1)&gt;=1,B925='112'!$K$9,OR($N925='112'!$I$6,$O925='112'!$I$6))),"x",""))</f>
        <v/>
      </c>
      <c r="U925" s="79" t="str">
        <f>IF(ISERROR(FIND('112'!$M$9,G925,1)),"",IF((AND(LEFT(G925,2)=LEFT('112'!$M$9,2),B925&lt;'112'!$K$9,$N925='112'!$I$6)),"x",""))</f>
        <v/>
      </c>
      <c r="V925" s="79" t="str">
        <f>IF(ISERROR(FIND('112'!$M$9,G925,1)),"",IF((AND(RIGHT(G925,2)=RIGHT('112'!$M$9,2),B925&lt;'112'!$K$9,$O925='112'!$I$6)),"x",""))</f>
        <v/>
      </c>
      <c r="W925" s="79" t="str">
        <f>IF(AND('341-CT'!$H$9=H925,OR(LEFT(N925,3)=$W$7,LEFT(O925,3)=$W$7)),"x","")</f>
        <v/>
      </c>
      <c r="X925" s="79" t="str">
        <f>IF(OR(TH!N925=TH!$X$7,O925=TH!$X$7),"x","")</f>
        <v/>
      </c>
      <c r="Y925" s="79" t="str">
        <f>IF(AND(OR(N925="131",O925="131"),H925='131-CT'!$H$9),"x","")</f>
        <v/>
      </c>
      <c r="Z925" s="79"/>
      <c r="AA925" s="79" t="str">
        <f>IF(AND(MONTH(E925)='IN-NX'!$J$5,'IN-NX'!$D$7=D925),"x","")</f>
        <v/>
      </c>
      <c r="AB925" s="79" t="str">
        <f>IF(AND(OR(LEFT(TH!N925,2)="15",LEFT(TH!O925,2)="15"),LEFT(TH!O925,3)&lt;&gt;"111",'152-CT'!$J$8=TH!F925),"x","")</f>
        <v/>
      </c>
      <c r="AC925" s="79" t="str">
        <f>IF(AND(OR(LEFT(TH!N925,2)="15",LEFT(TH!O925,2)="15"),TK!$E$7=TH!F925),"x","")</f>
        <v/>
      </c>
      <c r="AD925" s="79" t="str">
        <f>IF(AND(N925="1521",MONTH(C925)='BK-NL'!$M$11),"x","")</f>
        <v/>
      </c>
    </row>
    <row r="926" spans="1:30" ht="16.5" customHeight="1">
      <c r="A926" s="318" t="str">
        <f>IF(B926&lt;&gt;"",IF(AND(B926='IN-TC'!$S$4,OR(TH!N926="1111",TH!O926="1111")),TH!D926,""),"")</f>
        <v/>
      </c>
      <c r="B926" s="60" t="str">
        <f t="shared" si="154"/>
        <v/>
      </c>
      <c r="C926" s="261"/>
      <c r="D926" s="261"/>
      <c r="E926" s="261"/>
      <c r="F926" s="1131"/>
      <c r="G926" s="1104"/>
      <c r="H926" s="759"/>
      <c r="I926" s="383"/>
      <c r="J926" s="383"/>
      <c r="K926" s="383"/>
      <c r="L926" s="390"/>
      <c r="M926" s="978"/>
      <c r="N926" s="1019"/>
      <c r="O926" s="1019"/>
      <c r="P926" s="79" t="str">
        <f>IF(AND('331-CT'!$E$7=TH!H926,OR(N926="331",O926="331")),"x","")</f>
        <v/>
      </c>
      <c r="Q926" s="79" t="str">
        <f>IF(AND(B926='111'!$L$11,OR($N926=$Q$7,$O926=$Q$7)),"x","")</f>
        <v/>
      </c>
      <c r="R926" s="79" t="str">
        <f>IF(AND($N926=$Q$7,$B926&lt;'111'!$L$11),"x","")</f>
        <v/>
      </c>
      <c r="S926" s="79" t="str">
        <f>IF(AND($O926=$Q$7,$B926&lt;'111'!$L$11),"x","")</f>
        <v/>
      </c>
      <c r="T926" s="79" t="str">
        <f>IF(ISERROR(FIND('112'!$M$9,G926,1)),"",IF((AND(FIND('112'!$M$9,G926,1)&gt;=1,B926='112'!$K$9,OR($N926='112'!$I$6,$O926='112'!$I$6))),"x",""))</f>
        <v/>
      </c>
      <c r="U926" s="79" t="str">
        <f>IF(ISERROR(FIND('112'!$M$9,G926,1)),"",IF((AND(LEFT(G926,2)=LEFT('112'!$M$9,2),B926&lt;'112'!$K$9,$N926='112'!$I$6)),"x",""))</f>
        <v/>
      </c>
      <c r="V926" s="79" t="str">
        <f>IF(ISERROR(FIND('112'!$M$9,G926,1)),"",IF((AND(RIGHT(G926,2)=RIGHT('112'!$M$9,2),B926&lt;'112'!$K$9,$O926='112'!$I$6)),"x",""))</f>
        <v/>
      </c>
      <c r="W926" s="79" t="str">
        <f>IF(AND('341-CT'!$H$9=H926,OR(LEFT(N926,3)=$W$7,LEFT(O926,3)=$W$7)),"x","")</f>
        <v/>
      </c>
      <c r="X926" s="79" t="str">
        <f>IF(OR(TH!N926=TH!$X$7,O926=TH!$X$7),"x","")</f>
        <v/>
      </c>
      <c r="Y926" s="79" t="str">
        <f>IF(AND(OR(N926="131",O926="131"),H926='131-CT'!$H$9),"x","")</f>
        <v/>
      </c>
      <c r="Z926" s="79"/>
      <c r="AA926" s="79" t="str">
        <f>IF(AND(MONTH(E926)='IN-NX'!$J$5,'IN-NX'!$D$7=D926),"x","")</f>
        <v/>
      </c>
      <c r="AB926" s="79" t="str">
        <f>IF(AND(OR(LEFT(TH!N926,2)="15",LEFT(TH!O926,2)="15"),LEFT(TH!O926,3)&lt;&gt;"111",'152-CT'!$J$8=TH!F926),"x","")</f>
        <v/>
      </c>
      <c r="AC926" s="79" t="str">
        <f>IF(AND(OR(LEFT(TH!N926,2)="15",LEFT(TH!O926,2)="15"),TK!$E$7=TH!F926),"x","")</f>
        <v/>
      </c>
      <c r="AD926" s="79" t="str">
        <f>IF(AND(N926="1521",MONTH(C926)='BK-NL'!$M$11),"x","")</f>
        <v/>
      </c>
    </row>
    <row r="927" spans="1:30" ht="16.5" customHeight="1">
      <c r="A927" s="318" t="str">
        <f>IF(B927&lt;&gt;"",IF(AND(B927='IN-TC'!$S$4,OR(TH!N927="1111",TH!O927="1111")),TH!D927,""),"")</f>
        <v/>
      </c>
      <c r="B927" s="60" t="str">
        <f t="shared" si="154"/>
        <v/>
      </c>
      <c r="C927" s="261"/>
      <c r="D927" s="261"/>
      <c r="E927" s="261"/>
      <c r="F927" s="1103"/>
      <c r="G927" s="1104"/>
      <c r="H927" s="759"/>
      <c r="I927" s="383"/>
      <c r="J927" s="383"/>
      <c r="K927" s="383"/>
      <c r="L927" s="390"/>
      <c r="M927" s="978"/>
      <c r="N927" s="1019"/>
      <c r="O927" s="1019"/>
      <c r="P927" s="79" t="str">
        <f>IF(AND('331-CT'!$E$7=TH!H927,OR(N927="331",O927="331")),"x","")</f>
        <v/>
      </c>
      <c r="Q927" s="79" t="str">
        <f>IF(AND(B927='111'!$L$11,OR($N927=$Q$7,$O927=$Q$7)),"x","")</f>
        <v/>
      </c>
      <c r="R927" s="79" t="str">
        <f>IF(AND($N927=$Q$7,$B927&lt;'111'!$L$11),"x","")</f>
        <v/>
      </c>
      <c r="S927" s="79" t="str">
        <f>IF(AND($O927=$Q$7,$B927&lt;'111'!$L$11),"x","")</f>
        <v/>
      </c>
      <c r="T927" s="79" t="str">
        <f>IF(ISERROR(FIND('112'!$M$9,G927,1)),"",IF((AND(FIND('112'!$M$9,G927,1)&gt;=1,B927='112'!$K$9,OR($N927='112'!$I$6,$O927='112'!$I$6))),"x",""))</f>
        <v/>
      </c>
      <c r="U927" s="79" t="str">
        <f>IF(ISERROR(FIND('112'!$M$9,G927,1)),"",IF((AND(LEFT(G927,2)=LEFT('112'!$M$9,2),B927&lt;'112'!$K$9,$N927='112'!$I$6)),"x",""))</f>
        <v/>
      </c>
      <c r="V927" s="79" t="str">
        <f>IF(ISERROR(FIND('112'!$M$9,G927,1)),"",IF((AND(RIGHT(G927,2)=RIGHT('112'!$M$9,2),B927&lt;'112'!$K$9,$O927='112'!$I$6)),"x",""))</f>
        <v/>
      </c>
      <c r="W927" s="79" t="str">
        <f>IF(AND('341-CT'!$H$9=H927,OR(LEFT(N927,3)=$W$7,LEFT(O927,3)=$W$7)),"x","")</f>
        <v/>
      </c>
      <c r="X927" s="79" t="str">
        <f>IF(OR(TH!N927=TH!$X$7,O927=TH!$X$7),"x","")</f>
        <v/>
      </c>
      <c r="Y927" s="79" t="str">
        <f>IF(AND(OR(N927="131",O927="131"),H927='131-CT'!$H$9),"x","")</f>
        <v/>
      </c>
      <c r="Z927" s="79"/>
      <c r="AA927" s="79" t="str">
        <f>IF(AND(MONTH(E927)='IN-NX'!$J$5,'IN-NX'!$D$7=D927),"x","")</f>
        <v/>
      </c>
      <c r="AB927" s="79" t="str">
        <f>IF(AND(OR(LEFT(TH!N927,2)="15",LEFT(TH!O927,2)="15"),LEFT(TH!O927,3)&lt;&gt;"111",'152-CT'!$J$8=TH!F927),"x","")</f>
        <v/>
      </c>
      <c r="AC927" s="79" t="str">
        <f>IF(AND(OR(LEFT(TH!N927,2)="15",LEFT(TH!O927,2)="15"),TK!$E$7=TH!F927),"x","")</f>
        <v/>
      </c>
      <c r="AD927" s="79" t="str">
        <f>IF(AND(N927="1521",MONTH(C927)='BK-NL'!$M$11),"x","")</f>
        <v/>
      </c>
    </row>
    <row r="928" spans="1:30" ht="16.5" customHeight="1">
      <c r="A928" s="318" t="str">
        <f>IF(B928&lt;&gt;"",IF(AND(B928='IN-TC'!$S$4,OR(TH!N928="1111",TH!O928="1111")),TH!D928,""),"")</f>
        <v/>
      </c>
      <c r="B928" s="60" t="str">
        <f t="shared" si="154"/>
        <v/>
      </c>
      <c r="C928" s="261"/>
      <c r="D928" s="261"/>
      <c r="E928" s="261"/>
      <c r="F928" s="1103"/>
      <c r="G928" s="1104"/>
      <c r="H928" s="759"/>
      <c r="I928" s="383"/>
      <c r="J928" s="383"/>
      <c r="K928" s="383"/>
      <c r="L928" s="390"/>
      <c r="M928" s="978"/>
      <c r="N928" s="1019"/>
      <c r="O928" s="1019"/>
      <c r="P928" s="79" t="str">
        <f>IF(AND('331-CT'!$E$7=TH!H928,OR(N928="331",O928="331")),"x","")</f>
        <v/>
      </c>
      <c r="Q928" s="79" t="str">
        <f>IF(AND(B928='111'!$L$11,OR($N928=$Q$7,$O928=$Q$7)),"x","")</f>
        <v/>
      </c>
      <c r="R928" s="79" t="str">
        <f>IF(AND($N928=$Q$7,$B928&lt;'111'!$L$11),"x","")</f>
        <v/>
      </c>
      <c r="S928" s="79" t="str">
        <f>IF(AND($O928=$Q$7,$B928&lt;'111'!$L$11),"x","")</f>
        <v/>
      </c>
      <c r="T928" s="79" t="str">
        <f>IF(ISERROR(FIND('112'!$M$9,G928,1)),"",IF((AND(FIND('112'!$M$9,G928,1)&gt;=1,B928='112'!$K$9,OR($N928='112'!$I$6,$O928='112'!$I$6))),"x",""))</f>
        <v/>
      </c>
      <c r="U928" s="79" t="str">
        <f>IF(ISERROR(FIND('112'!$M$9,G928,1)),"",IF((AND(LEFT(G928,2)=LEFT('112'!$M$9,2),B928&lt;'112'!$K$9,$N928='112'!$I$6)),"x",""))</f>
        <v/>
      </c>
      <c r="V928" s="79" t="str">
        <f>IF(ISERROR(FIND('112'!$M$9,G928,1)),"",IF((AND(RIGHT(G928,2)=RIGHT('112'!$M$9,2),B928&lt;'112'!$K$9,$O928='112'!$I$6)),"x",""))</f>
        <v/>
      </c>
      <c r="W928" s="79" t="str">
        <f>IF(AND('341-CT'!$H$9=H928,OR(LEFT(N928,3)=$W$7,LEFT(O928,3)=$W$7)),"x","")</f>
        <v/>
      </c>
      <c r="X928" s="79" t="str">
        <f>IF(OR(TH!N928=TH!$X$7,O928=TH!$X$7),"x","")</f>
        <v/>
      </c>
      <c r="Y928" s="79" t="str">
        <f>IF(AND(OR(N928="131",O928="131"),H928='131-CT'!$H$9),"x","")</f>
        <v/>
      </c>
      <c r="Z928" s="79"/>
      <c r="AA928" s="79" t="str">
        <f>IF(AND(MONTH(E928)='IN-NX'!$J$5,'IN-NX'!$D$7=D928),"x","")</f>
        <v/>
      </c>
      <c r="AB928" s="79" t="str">
        <f>IF(AND(OR(LEFT(TH!N928,2)="15",LEFT(TH!O928,2)="15"),LEFT(TH!O928,3)&lt;&gt;"111",'152-CT'!$J$8=TH!F928),"x","")</f>
        <v/>
      </c>
      <c r="AC928" s="79" t="str">
        <f>IF(AND(OR(LEFT(TH!N928,2)="15",LEFT(TH!O928,2)="15"),TK!$E$7=TH!F928),"x","")</f>
        <v/>
      </c>
      <c r="AD928" s="79" t="str">
        <f>IF(AND(N928="1521",MONTH(C928)='BK-NL'!$M$11),"x","")</f>
        <v/>
      </c>
    </row>
    <row r="929" spans="1:30" s="1102" customFormat="1" ht="16.5" customHeight="1">
      <c r="A929" s="318" t="str">
        <f>IF(B929&lt;&gt;"",IF(AND(B929='IN-TC'!$S$4,OR(TH!N929="1111",TH!O929="1111")),TH!D929,""),"")</f>
        <v/>
      </c>
      <c r="B929" s="60" t="str">
        <f t="shared" si="154"/>
        <v/>
      </c>
      <c r="C929" s="981"/>
      <c r="D929" s="981"/>
      <c r="E929" s="981"/>
      <c r="F929" s="1008"/>
      <c r="G929" s="987"/>
      <c r="H929" s="997"/>
      <c r="I929" s="984"/>
      <c r="J929" s="984"/>
      <c r="K929" s="984"/>
      <c r="L929" s="983"/>
      <c r="M929" s="985"/>
      <c r="N929" s="986"/>
      <c r="O929" s="986"/>
      <c r="P929" s="79" t="str">
        <f>IF(AND('331-CT'!$E$7=TH!H929,OR(N929="331",O929="331")),"x","")</f>
        <v/>
      </c>
      <c r="Q929" s="79" t="str">
        <f>IF(AND(B929='111'!$L$11,OR($N929=$Q$7,$O929=$Q$7)),"x","")</f>
        <v/>
      </c>
      <c r="R929" s="79" t="str">
        <f>IF(AND($N929=$Q$7,$B929&lt;'111'!$L$11),"x","")</f>
        <v/>
      </c>
      <c r="S929" s="79" t="str">
        <f>IF(AND($O929=$Q$7,$B929&lt;'111'!$L$11),"x","")</f>
        <v/>
      </c>
      <c r="T929" s="79" t="str">
        <f>IF(ISERROR(FIND('112'!$M$9,G929,1)),"",IF((AND(FIND('112'!$M$9,G929,1)&gt;=1,B929='112'!$K$9,OR($N929='112'!$I$6,$O929='112'!$I$6))),"x",""))</f>
        <v/>
      </c>
      <c r="U929" s="79" t="str">
        <f>IF(ISERROR(FIND('112'!$M$9,G929,1)),"",IF((AND(LEFT(G929,2)=LEFT('112'!$M$9,2),B929&lt;'112'!$K$9,$N929='112'!$I$6)),"x",""))</f>
        <v/>
      </c>
      <c r="V929" s="79" t="str">
        <f>IF(ISERROR(FIND('112'!$M$9,G929,1)),"",IF((AND(RIGHT(G929,2)=RIGHT('112'!$M$9,2),B929&lt;'112'!$K$9,$O929='112'!$I$6)),"x",""))</f>
        <v/>
      </c>
      <c r="W929" s="79" t="str">
        <f>IF(AND('341-CT'!$H$9=H929,OR(LEFT(N929,3)=$W$7,LEFT(O929,3)=$W$7)),"x","")</f>
        <v/>
      </c>
      <c r="X929" s="79" t="str">
        <f>IF(OR(TH!N929=TH!$X$7,O929=TH!$X$7),"x","")</f>
        <v/>
      </c>
      <c r="Y929" s="79" t="str">
        <f>IF(AND(OR(N929="131",O929="131"),H929='131-CT'!$H$9),"x","")</f>
        <v/>
      </c>
      <c r="Z929" s="79"/>
      <c r="AA929" s="79" t="str">
        <f>IF(AND(MONTH(E929)='IN-NX'!$J$5,'IN-NX'!$D$7=D929),"x","")</f>
        <v/>
      </c>
      <c r="AB929" s="79" t="str">
        <f>IF(AND(OR(LEFT(TH!N929,2)="15",LEFT(TH!O929,2)="15"),LEFT(TH!O929,3)&lt;&gt;"111",'152-CT'!$J$8=TH!F929),"x","")</f>
        <v/>
      </c>
      <c r="AC929" s="79" t="str">
        <f>IF(AND(OR(LEFT(TH!N929,2)="15",LEFT(TH!O929,2)="15"),TK!$E$7=TH!F929),"x","")</f>
        <v/>
      </c>
      <c r="AD929" s="79" t="str">
        <f>IF(AND(N929="1521",MONTH(C929)='BK-NL'!$M$11),"x","")</f>
        <v/>
      </c>
    </row>
    <row r="930" spans="1:30" ht="16.5" customHeight="1">
      <c r="A930" s="318" t="str">
        <f>IF(B930&lt;&gt;"",IF(AND(B930='IN-TC'!$S$4,OR(TH!N930="1111",TH!O930="1111")),TH!D930,""),"")</f>
        <v/>
      </c>
      <c r="B930" s="60" t="str">
        <f t="shared" si="154"/>
        <v/>
      </c>
      <c r="C930" s="261"/>
      <c r="D930" s="261"/>
      <c r="E930" s="261"/>
      <c r="F930" s="1132"/>
      <c r="G930" s="1104"/>
      <c r="H930" s="759"/>
      <c r="I930" s="383"/>
      <c r="J930" s="383"/>
      <c r="K930" s="390"/>
      <c r="L930" s="390"/>
      <c r="M930" s="978"/>
      <c r="N930" s="1019"/>
      <c r="O930" s="1019"/>
      <c r="P930" s="79" t="str">
        <f>IF(AND('331-CT'!$E$7=TH!H930,OR(N930="331",O930="331")),"x","")</f>
        <v/>
      </c>
      <c r="Q930" s="79" t="str">
        <f>IF(AND(B930='111'!$L$11,OR($N930=$Q$7,$O930=$Q$7)),"x","")</f>
        <v/>
      </c>
      <c r="R930" s="79" t="str">
        <f>IF(AND($N930=$Q$7,$B930&lt;'111'!$L$11),"x","")</f>
        <v/>
      </c>
      <c r="S930" s="79" t="str">
        <f>IF(AND($O930=$Q$7,$B930&lt;'111'!$L$11),"x","")</f>
        <v/>
      </c>
      <c r="T930" s="79" t="str">
        <f>IF(ISERROR(FIND('112'!$M$9,G930,1)),"",IF((AND(FIND('112'!$M$9,G930,1)&gt;=1,B930='112'!$K$9,OR($N930='112'!$I$6,$O930='112'!$I$6))),"x",""))</f>
        <v/>
      </c>
      <c r="U930" s="79" t="str">
        <f>IF(ISERROR(FIND('112'!$M$9,G930,1)),"",IF((AND(LEFT(G930,2)=LEFT('112'!$M$9,2),B930&lt;'112'!$K$9,$N930='112'!$I$6)),"x",""))</f>
        <v/>
      </c>
      <c r="V930" s="79" t="str">
        <f>IF(ISERROR(FIND('112'!$M$9,G930,1)),"",IF((AND(RIGHT(G930,2)=RIGHT('112'!$M$9,2),B930&lt;'112'!$K$9,$O930='112'!$I$6)),"x",""))</f>
        <v/>
      </c>
      <c r="W930" s="79" t="str">
        <f>IF(AND('341-CT'!$H$9=H930,OR(LEFT(N930,3)=$W$7,LEFT(O930,3)=$W$7)),"x","")</f>
        <v/>
      </c>
      <c r="X930" s="79" t="str">
        <f>IF(OR(TH!N930=TH!$X$7,O930=TH!$X$7),"x","")</f>
        <v/>
      </c>
      <c r="Y930" s="79" t="str">
        <f>IF(AND(OR(N930="131",O930="131"),H930='131-CT'!$H$9),"x","")</f>
        <v/>
      </c>
      <c r="Z930" s="79"/>
      <c r="AA930" s="79" t="str">
        <f>IF(AND(MONTH(E930)='IN-NX'!$J$5,'IN-NX'!$D$7=D930),"x","")</f>
        <v/>
      </c>
      <c r="AB930" s="79" t="str">
        <f>IF(AND(OR(LEFT(TH!N930,2)="15",LEFT(TH!O930,2)="15"),LEFT(TH!O930,3)&lt;&gt;"111",'152-CT'!$J$8=TH!F930),"x","")</f>
        <v/>
      </c>
      <c r="AC930" s="79" t="str">
        <f>IF(AND(OR(LEFT(TH!N930,2)="15",LEFT(TH!O930,2)="15"),TK!$E$7=TH!F930),"x","")</f>
        <v/>
      </c>
      <c r="AD930" s="79" t="str">
        <f>IF(AND(N930="1521",MONTH(C930)='BK-NL'!$M$11),"x","")</f>
        <v/>
      </c>
    </row>
    <row r="931" spans="1:30" ht="16.5" customHeight="1">
      <c r="A931" s="318" t="str">
        <f>IF(B931&lt;&gt;"",IF(AND(B931='IN-TC'!$S$4,OR(TH!N931="1111",TH!O931="1111")),TH!D931,""),"")</f>
        <v/>
      </c>
      <c r="B931" s="60" t="str">
        <f t="shared" si="154"/>
        <v/>
      </c>
      <c r="C931" s="261"/>
      <c r="D931" s="261"/>
      <c r="E931" s="261"/>
      <c r="F931" s="1103"/>
      <c r="G931" s="1104"/>
      <c r="H931" s="759"/>
      <c r="I931" s="383"/>
      <c r="J931" s="383"/>
      <c r="K931" s="390"/>
      <c r="L931" s="390"/>
      <c r="M931" s="978"/>
      <c r="N931" s="1019"/>
      <c r="O931" s="1019"/>
      <c r="P931" s="79" t="str">
        <f>IF(AND('331-CT'!$E$7=TH!H931,OR(N931="331",O931="331")),"x","")</f>
        <v/>
      </c>
      <c r="Q931" s="79" t="str">
        <f>IF(AND(B931='111'!$L$11,OR($N931=$Q$7,$O931=$Q$7)),"x","")</f>
        <v/>
      </c>
      <c r="R931" s="79" t="str">
        <f>IF(AND($N931=$Q$7,$B931&lt;'111'!$L$11),"x","")</f>
        <v/>
      </c>
      <c r="S931" s="79" t="str">
        <f>IF(AND($O931=$Q$7,$B931&lt;'111'!$L$11),"x","")</f>
        <v/>
      </c>
      <c r="T931" s="79" t="str">
        <f>IF(ISERROR(FIND('112'!$M$9,G931,1)),"",IF((AND(FIND('112'!$M$9,G931,1)&gt;=1,B931='112'!$K$9,OR($N931='112'!$I$6,$O931='112'!$I$6))),"x",""))</f>
        <v/>
      </c>
      <c r="U931" s="79" t="str">
        <f>IF(ISERROR(FIND('112'!$M$9,G931,1)),"",IF((AND(LEFT(G931,2)=LEFT('112'!$M$9,2),B931&lt;'112'!$K$9,$N931='112'!$I$6)),"x",""))</f>
        <v/>
      </c>
      <c r="V931" s="79" t="str">
        <f>IF(ISERROR(FIND('112'!$M$9,G931,1)),"",IF((AND(RIGHT(G931,2)=RIGHT('112'!$M$9,2),B931&lt;'112'!$K$9,$O931='112'!$I$6)),"x",""))</f>
        <v/>
      </c>
      <c r="W931" s="79" t="str">
        <f>IF(AND('341-CT'!$H$9=H931,OR(LEFT(N931,3)=$W$7,LEFT(O931,3)=$W$7)),"x","")</f>
        <v/>
      </c>
      <c r="X931" s="79" t="str">
        <f>IF(OR(TH!N931=TH!$X$7,O931=TH!$X$7),"x","")</f>
        <v/>
      </c>
      <c r="Y931" s="79" t="str">
        <f>IF(AND(OR(N931="131",O931="131"),H931='131-CT'!$H$9),"x","")</f>
        <v/>
      </c>
      <c r="Z931" s="79"/>
      <c r="AA931" s="79" t="str">
        <f>IF(AND(MONTH(E931)='IN-NX'!$J$5,'IN-NX'!$D$7=D931),"x","")</f>
        <v/>
      </c>
      <c r="AB931" s="79" t="str">
        <f>IF(AND(OR(LEFT(TH!N931,2)="15",LEFT(TH!O931,2)="15"),LEFT(TH!O931,3)&lt;&gt;"111",'152-CT'!$J$8=TH!F931),"x","")</f>
        <v/>
      </c>
      <c r="AC931" s="79" t="str">
        <f>IF(AND(OR(LEFT(TH!N931,2)="15",LEFT(TH!O931,2)="15"),TK!$E$7=TH!F931),"x","")</f>
        <v/>
      </c>
      <c r="AD931" s="79" t="str">
        <f>IF(AND(N931="1521",MONTH(C931)='BK-NL'!$M$11),"x","")</f>
        <v/>
      </c>
    </row>
    <row r="932" spans="1:30" ht="16.5" customHeight="1">
      <c r="A932" s="318" t="str">
        <f>IF(B932&lt;&gt;"",IF(AND(B932='IN-TC'!$S$4,OR(TH!N932="1111",TH!O932="1111")),TH!D932,""),"")</f>
        <v/>
      </c>
      <c r="B932" s="60" t="str">
        <f t="shared" si="154"/>
        <v/>
      </c>
      <c r="C932" s="261"/>
      <c r="D932" s="261"/>
      <c r="E932" s="261"/>
      <c r="F932" s="1131"/>
      <c r="G932" s="1104"/>
      <c r="H932" s="759"/>
      <c r="I932" s="383"/>
      <c r="J932" s="383"/>
      <c r="K932" s="390"/>
      <c r="L932" s="390"/>
      <c r="M932" s="978"/>
      <c r="N932" s="1019"/>
      <c r="O932" s="1019"/>
      <c r="P932" s="79" t="str">
        <f>IF(AND('331-CT'!$E$7=TH!H932,OR(N932="331",O932="331")),"x","")</f>
        <v/>
      </c>
      <c r="Q932" s="79" t="str">
        <f>IF(AND(B932='111'!$L$11,OR($N932=$Q$7,$O932=$Q$7)),"x","")</f>
        <v/>
      </c>
      <c r="R932" s="79" t="str">
        <f>IF(AND($N932=$Q$7,$B932&lt;'111'!$L$11),"x","")</f>
        <v/>
      </c>
      <c r="S932" s="79" t="str">
        <f>IF(AND($O932=$Q$7,$B932&lt;'111'!$L$11),"x","")</f>
        <v/>
      </c>
      <c r="T932" s="79" t="str">
        <f>IF(ISERROR(FIND('112'!$M$9,G932,1)),"",IF((AND(FIND('112'!$M$9,G932,1)&gt;=1,B932='112'!$K$9,OR($N932='112'!$I$6,$O932='112'!$I$6))),"x",""))</f>
        <v/>
      </c>
      <c r="U932" s="79" t="str">
        <f>IF(ISERROR(FIND('112'!$M$9,G932,1)),"",IF((AND(LEFT(G932,2)=LEFT('112'!$M$9,2),B932&lt;'112'!$K$9,$N932='112'!$I$6)),"x",""))</f>
        <v/>
      </c>
      <c r="V932" s="79" t="str">
        <f>IF(ISERROR(FIND('112'!$M$9,G932,1)),"",IF((AND(RIGHT(G932,2)=RIGHT('112'!$M$9,2),B932&lt;'112'!$K$9,$O932='112'!$I$6)),"x",""))</f>
        <v/>
      </c>
      <c r="W932" s="79" t="str">
        <f>IF(AND('341-CT'!$H$9=H932,OR(LEFT(N932,3)=$W$7,LEFT(O932,3)=$W$7)),"x","")</f>
        <v/>
      </c>
      <c r="X932" s="79" t="str">
        <f>IF(OR(TH!N932=TH!$X$7,O932=TH!$X$7),"x","")</f>
        <v/>
      </c>
      <c r="Y932" s="79" t="str">
        <f>IF(AND(OR(N932="131",O932="131"),H932='131-CT'!$H$9),"x","")</f>
        <v/>
      </c>
      <c r="Z932" s="79"/>
      <c r="AA932" s="79" t="str">
        <f>IF(AND(MONTH(E932)='IN-NX'!$J$5,'IN-NX'!$D$7=D932),"x","")</f>
        <v/>
      </c>
      <c r="AB932" s="79" t="str">
        <f>IF(AND(OR(LEFT(TH!N932,2)="15",LEFT(TH!O932,2)="15"),LEFT(TH!O932,3)&lt;&gt;"111",'152-CT'!$J$8=TH!F932),"x","")</f>
        <v/>
      </c>
      <c r="AC932" s="79" t="str">
        <f>IF(AND(OR(LEFT(TH!N932,2)="15",LEFT(TH!O932,2)="15"),TK!$E$7=TH!F932),"x","")</f>
        <v/>
      </c>
      <c r="AD932" s="79" t="str">
        <f>IF(AND(N932="1521",MONTH(C932)='BK-NL'!$M$11),"x","")</f>
        <v/>
      </c>
    </row>
    <row r="933" spans="1:30" ht="16.5" customHeight="1">
      <c r="A933" s="318" t="str">
        <f>IF(B933&lt;&gt;"",IF(AND(B933='IN-TC'!$S$4,OR(TH!N933="1111",TH!O933="1111")),TH!D933,""),"")</f>
        <v/>
      </c>
      <c r="B933" s="60" t="str">
        <f t="shared" si="154"/>
        <v/>
      </c>
      <c r="C933" s="261"/>
      <c r="D933" s="261"/>
      <c r="E933" s="261"/>
      <c r="F933" s="1103"/>
      <c r="G933" s="1104"/>
      <c r="H933" s="759"/>
      <c r="I933" s="383"/>
      <c r="J933" s="383"/>
      <c r="K933" s="383"/>
      <c r="L933" s="390"/>
      <c r="M933" s="978"/>
      <c r="N933" s="1019"/>
      <c r="O933" s="1019"/>
      <c r="P933" s="79" t="str">
        <f>IF(AND('331-CT'!$E$7=TH!H933,OR(N933="331",O933="331")),"x","")</f>
        <v/>
      </c>
      <c r="Q933" s="79" t="str">
        <f>IF(AND(B933='111'!$L$11,OR($N933=$Q$7,$O933=$Q$7)),"x","")</f>
        <v/>
      </c>
      <c r="R933" s="79" t="str">
        <f>IF(AND($N933=$Q$7,$B933&lt;'111'!$L$11),"x","")</f>
        <v/>
      </c>
      <c r="S933" s="79" t="str">
        <f>IF(AND($O933=$Q$7,$B933&lt;'111'!$L$11),"x","")</f>
        <v/>
      </c>
      <c r="T933" s="79" t="str">
        <f>IF(ISERROR(FIND('112'!$M$9,G933,1)),"",IF((AND(FIND('112'!$M$9,G933,1)&gt;=1,B933='112'!$K$9,OR($N933='112'!$I$6,$O933='112'!$I$6))),"x",""))</f>
        <v/>
      </c>
      <c r="U933" s="79" t="str">
        <f>IF(ISERROR(FIND('112'!$M$9,G933,1)),"",IF((AND(LEFT(G933,2)=LEFT('112'!$M$9,2),B933&lt;'112'!$K$9,$N933='112'!$I$6)),"x",""))</f>
        <v/>
      </c>
      <c r="V933" s="79" t="str">
        <f>IF(ISERROR(FIND('112'!$M$9,G933,1)),"",IF((AND(RIGHT(G933,2)=RIGHT('112'!$M$9,2),B933&lt;'112'!$K$9,$O933='112'!$I$6)),"x",""))</f>
        <v/>
      </c>
      <c r="W933" s="79" t="str">
        <f>IF(AND('341-CT'!$H$9=H933,OR(LEFT(N933,3)=$W$7,LEFT(O933,3)=$W$7)),"x","")</f>
        <v/>
      </c>
      <c r="X933" s="79" t="str">
        <f>IF(OR(TH!N933=TH!$X$7,O933=TH!$X$7),"x","")</f>
        <v/>
      </c>
      <c r="Y933" s="79" t="str">
        <f>IF(AND(OR(N933="131",O933="131"),H933='131-CT'!$H$9),"x","")</f>
        <v/>
      </c>
      <c r="Z933" s="79"/>
      <c r="AA933" s="79" t="str">
        <f>IF(AND(MONTH(E933)='IN-NX'!$J$5,'IN-NX'!$D$7=D933),"x","")</f>
        <v/>
      </c>
      <c r="AB933" s="79" t="str">
        <f>IF(AND(OR(LEFT(TH!N933,2)="15",LEFT(TH!O933,2)="15"),LEFT(TH!O933,3)&lt;&gt;"111",'152-CT'!$J$8=TH!F933),"x","")</f>
        <v/>
      </c>
      <c r="AC933" s="79" t="str">
        <f>IF(AND(OR(LEFT(TH!N933,2)="15",LEFT(TH!O933,2)="15"),TK!$E$7=TH!F933),"x","")</f>
        <v/>
      </c>
      <c r="AD933" s="79" t="str">
        <f>IF(AND(N933="1521",MONTH(C933)='BK-NL'!$M$11),"x","")</f>
        <v/>
      </c>
    </row>
    <row r="934" spans="1:30" ht="16.5" customHeight="1">
      <c r="A934" s="318" t="str">
        <f>IF(B934&lt;&gt;"",IF(AND(B934='IN-TC'!$S$4,OR(TH!N934="1111",TH!O934="1111")),TH!D934,""),"")</f>
        <v/>
      </c>
      <c r="B934" s="60" t="str">
        <f t="shared" si="154"/>
        <v/>
      </c>
      <c r="C934" s="261"/>
      <c r="D934" s="261"/>
      <c r="E934" s="261"/>
      <c r="F934" s="1103"/>
      <c r="G934" s="1104"/>
      <c r="H934" s="759"/>
      <c r="I934" s="383"/>
      <c r="J934" s="383"/>
      <c r="K934" s="383"/>
      <c r="L934" s="390"/>
      <c r="M934" s="978"/>
      <c r="N934" s="1019"/>
      <c r="O934" s="1019"/>
      <c r="P934" s="79" t="str">
        <f>IF(AND('331-CT'!$E$7=TH!H934,OR(N934="331",O934="331")),"x","")</f>
        <v/>
      </c>
      <c r="Q934" s="79" t="str">
        <f>IF(AND(B934='111'!$L$11,OR($N934=$Q$7,$O934=$Q$7)),"x","")</f>
        <v/>
      </c>
      <c r="R934" s="79" t="str">
        <f>IF(AND($N934=$Q$7,$B934&lt;'111'!$L$11),"x","")</f>
        <v/>
      </c>
      <c r="S934" s="79" t="str">
        <f>IF(AND($O934=$Q$7,$B934&lt;'111'!$L$11),"x","")</f>
        <v/>
      </c>
      <c r="T934" s="79" t="str">
        <f>IF(ISERROR(FIND('112'!$M$9,G934,1)),"",IF((AND(FIND('112'!$M$9,G934,1)&gt;=1,B934='112'!$K$9,OR($N934='112'!$I$6,$O934='112'!$I$6))),"x",""))</f>
        <v/>
      </c>
      <c r="U934" s="79" t="str">
        <f>IF(ISERROR(FIND('112'!$M$9,G934,1)),"",IF((AND(LEFT(G934,2)=LEFT('112'!$M$9,2),B934&lt;'112'!$K$9,$N934='112'!$I$6)),"x",""))</f>
        <v/>
      </c>
      <c r="V934" s="79" t="str">
        <f>IF(ISERROR(FIND('112'!$M$9,G934,1)),"",IF((AND(RIGHT(G934,2)=RIGHT('112'!$M$9,2),B934&lt;'112'!$K$9,$O934='112'!$I$6)),"x",""))</f>
        <v/>
      </c>
      <c r="W934" s="79" t="str">
        <f>IF(AND('341-CT'!$H$9=H934,OR(LEFT(N934,3)=$W$7,LEFT(O934,3)=$W$7)),"x","")</f>
        <v/>
      </c>
      <c r="X934" s="79" t="str">
        <f>IF(OR(TH!N934=TH!$X$7,O934=TH!$X$7),"x","")</f>
        <v/>
      </c>
      <c r="Y934" s="79" t="str">
        <f>IF(AND(OR(N934="131",O934="131"),H934='131-CT'!$H$9),"x","")</f>
        <v/>
      </c>
      <c r="Z934" s="79"/>
      <c r="AA934" s="79" t="str">
        <f>IF(AND(MONTH(E934)='IN-NX'!$J$5,'IN-NX'!$D$7=D934),"x","")</f>
        <v/>
      </c>
      <c r="AB934" s="79" t="str">
        <f>IF(AND(OR(LEFT(TH!N934,2)="15",LEFT(TH!O934,2)="15"),LEFT(TH!O934,3)&lt;&gt;"111",'152-CT'!$J$8=TH!F934),"x","")</f>
        <v/>
      </c>
      <c r="AC934" s="79" t="str">
        <f>IF(AND(OR(LEFT(TH!N934,2)="15",LEFT(TH!O934,2)="15"),TK!$E$7=TH!F934),"x","")</f>
        <v/>
      </c>
      <c r="AD934" s="79" t="str">
        <f>IF(AND(N934="1521",MONTH(C934)='BK-NL'!$M$11),"x","")</f>
        <v/>
      </c>
    </row>
    <row r="935" spans="1:30" ht="16.5" customHeight="1">
      <c r="A935" s="318" t="str">
        <f>IF(B935&lt;&gt;"",IF(AND(B935='IN-TC'!$S$4,OR(TH!N935="1111",TH!O935="1111")),TH!D935,""),"")</f>
        <v/>
      </c>
      <c r="B935" s="60" t="str">
        <f t="shared" si="154"/>
        <v/>
      </c>
      <c r="C935" s="261"/>
      <c r="D935" s="261"/>
      <c r="E935" s="261"/>
      <c r="F935" s="1103"/>
      <c r="G935" s="1104"/>
      <c r="H935" s="759"/>
      <c r="I935" s="383"/>
      <c r="J935" s="383"/>
      <c r="K935" s="383"/>
      <c r="L935" s="390"/>
      <c r="M935" s="978"/>
      <c r="N935" s="1019"/>
      <c r="O935" s="1019"/>
      <c r="P935" s="79" t="str">
        <f>IF(AND('331-CT'!$E$7=TH!H935,OR(N935="331",O935="331")),"x","")</f>
        <v/>
      </c>
      <c r="Q935" s="79" t="str">
        <f>IF(AND(B935='111'!$L$11,OR($N935=$Q$7,$O935=$Q$7)),"x","")</f>
        <v/>
      </c>
      <c r="R935" s="79" t="str">
        <f>IF(AND($N935=$Q$7,$B935&lt;'111'!$L$11),"x","")</f>
        <v/>
      </c>
      <c r="S935" s="79" t="str">
        <f>IF(AND($O935=$Q$7,$B935&lt;'111'!$L$11),"x","")</f>
        <v/>
      </c>
      <c r="T935" s="79" t="str">
        <f>IF(ISERROR(FIND('112'!$M$9,G935,1)),"",IF((AND(FIND('112'!$M$9,G935,1)&gt;=1,B935='112'!$K$9,OR($N935='112'!$I$6,$O935='112'!$I$6))),"x",""))</f>
        <v/>
      </c>
      <c r="U935" s="79" t="str">
        <f>IF(ISERROR(FIND('112'!$M$9,G935,1)),"",IF((AND(LEFT(G935,2)=LEFT('112'!$M$9,2),B935&lt;'112'!$K$9,$N935='112'!$I$6)),"x",""))</f>
        <v/>
      </c>
      <c r="V935" s="79" t="str">
        <f>IF(ISERROR(FIND('112'!$M$9,G935,1)),"",IF((AND(RIGHT(G935,2)=RIGHT('112'!$M$9,2),B935&lt;'112'!$K$9,$O935='112'!$I$6)),"x",""))</f>
        <v/>
      </c>
      <c r="W935" s="79" t="str">
        <f>IF(AND('341-CT'!$H$9=H935,OR(LEFT(N935,3)=$W$7,LEFT(O935,3)=$W$7)),"x","")</f>
        <v/>
      </c>
      <c r="X935" s="79" t="str">
        <f>IF(OR(TH!N935=TH!$X$7,O935=TH!$X$7),"x","")</f>
        <v/>
      </c>
      <c r="Y935" s="79" t="str">
        <f>IF(AND(OR(N935="131",O935="131"),H935='131-CT'!$H$9),"x","")</f>
        <v/>
      </c>
      <c r="Z935" s="79"/>
      <c r="AA935" s="79" t="str">
        <f>IF(AND(MONTH(E935)='IN-NX'!$J$5,'IN-NX'!$D$7=D935),"x","")</f>
        <v/>
      </c>
      <c r="AB935" s="79" t="str">
        <f>IF(AND(OR(LEFT(TH!N935,2)="15",LEFT(TH!O935,2)="15"),LEFT(TH!O935,3)&lt;&gt;"111",'152-CT'!$J$8=TH!F935),"x","")</f>
        <v/>
      </c>
      <c r="AC935" s="79" t="str">
        <f>IF(AND(OR(LEFT(TH!N935,2)="15",LEFT(TH!O935,2)="15"),TK!$E$7=TH!F935),"x","")</f>
        <v/>
      </c>
      <c r="AD935" s="79" t="str">
        <f>IF(AND(N935="1521",MONTH(C935)='BK-NL'!$M$11),"x","")</f>
        <v/>
      </c>
    </row>
    <row r="936" spans="1:30" ht="16.5" customHeight="1">
      <c r="A936" s="318" t="str">
        <f>IF(B936&lt;&gt;"",IF(AND(B936='IN-TC'!$S$4,OR(TH!N936="1111",TH!O936="1111")),TH!D936,""),"")</f>
        <v/>
      </c>
      <c r="B936" s="60" t="str">
        <f t="shared" si="154"/>
        <v/>
      </c>
      <c r="C936" s="261"/>
      <c r="D936" s="261"/>
      <c r="E936" s="261"/>
      <c r="F936" s="1103"/>
      <c r="G936" s="1104"/>
      <c r="H936" s="77"/>
      <c r="I936" s="383"/>
      <c r="J936" s="383"/>
      <c r="K936" s="383"/>
      <c r="L936" s="390"/>
      <c r="M936" s="383"/>
      <c r="N936" s="1019"/>
      <c r="O936" s="1019"/>
      <c r="P936" s="79" t="str">
        <f>IF(AND('331-CT'!$E$7=TH!H936,OR(N936="331",O936="331")),"x","")</f>
        <v/>
      </c>
      <c r="Q936" s="79" t="str">
        <f>IF(AND(B936='111'!$L$11,OR($N936=$Q$7,$O936=$Q$7)),"x","")</f>
        <v/>
      </c>
      <c r="R936" s="79" t="str">
        <f>IF(AND($N936=$Q$7,$B936&lt;'111'!$L$11),"x","")</f>
        <v/>
      </c>
      <c r="S936" s="79" t="str">
        <f>IF(AND($O936=$Q$7,$B936&lt;'111'!$L$11),"x","")</f>
        <v/>
      </c>
      <c r="T936" s="79" t="str">
        <f>IF(ISERROR(FIND('112'!$M$9,G936,1)),"",IF((AND(FIND('112'!$M$9,G936,1)&gt;=1,B936='112'!$K$9,OR($N936='112'!$I$6,$O936='112'!$I$6))),"x",""))</f>
        <v/>
      </c>
      <c r="U936" s="79" t="str">
        <f>IF(ISERROR(FIND('112'!$M$9,G936,1)),"",IF((AND(LEFT(G936,2)=LEFT('112'!$M$9,2),B936&lt;'112'!$K$9,$N936='112'!$I$6)),"x",""))</f>
        <v/>
      </c>
      <c r="V936" s="79" t="str">
        <f>IF(ISERROR(FIND('112'!$M$9,G936,1)),"",IF((AND(RIGHT(G936,2)=RIGHT('112'!$M$9,2),B936&lt;'112'!$K$9,$O936='112'!$I$6)),"x",""))</f>
        <v/>
      </c>
      <c r="W936" s="79" t="str">
        <f>IF(AND('341-CT'!$H$9=H936,OR(LEFT(N936,3)=$W$7,LEFT(O936,3)=$W$7)),"x","")</f>
        <v/>
      </c>
      <c r="X936" s="79" t="str">
        <f>IF(OR(TH!N936=TH!$X$7,O936=TH!$X$7),"x","")</f>
        <v/>
      </c>
      <c r="Y936" s="79" t="str">
        <f>IF(AND(OR(N936="131",O936="131"),H936='131-CT'!$H$9),"x","")</f>
        <v/>
      </c>
      <c r="Z936" s="79"/>
      <c r="AA936" s="79" t="str">
        <f>IF(AND(MONTH(E936)='IN-NX'!$J$5,'IN-NX'!$D$7=D936),"x","")</f>
        <v/>
      </c>
      <c r="AB936" s="79" t="str">
        <f>IF(AND(OR(LEFT(TH!N936,2)="15",LEFT(TH!O936,2)="15"),LEFT(TH!O936,3)&lt;&gt;"111",'152-CT'!$J$8=TH!F936),"x","")</f>
        <v/>
      </c>
      <c r="AC936" s="79" t="str">
        <f>IF(AND(OR(LEFT(TH!N936,2)="15",LEFT(TH!O936,2)="15"),TK!$E$7=TH!F936),"x","")</f>
        <v/>
      </c>
      <c r="AD936" s="79" t="str">
        <f>IF(AND(N936="1521",MONTH(C936)='BK-NL'!$M$11),"x","")</f>
        <v/>
      </c>
    </row>
    <row r="937" spans="1:30" ht="16.5" customHeight="1">
      <c r="A937" s="318" t="str">
        <f>IF(B937&lt;&gt;"",IF(AND(B937='IN-TC'!$S$4,OR(TH!N937="1111",TH!O937="1111")),TH!D937,""),"")</f>
        <v/>
      </c>
      <c r="B937" s="60" t="str">
        <f t="shared" si="154"/>
        <v/>
      </c>
      <c r="C937" s="261"/>
      <c r="D937" s="261"/>
      <c r="E937" s="261"/>
      <c r="F937" s="1103"/>
      <c r="G937" s="1104"/>
      <c r="H937" s="77"/>
      <c r="I937" s="383"/>
      <c r="J937" s="383"/>
      <c r="K937" s="383"/>
      <c r="L937" s="390"/>
      <c r="M937" s="383"/>
      <c r="N937" s="1019"/>
      <c r="O937" s="1019"/>
      <c r="P937" s="79" t="str">
        <f>IF(AND('331-CT'!$E$7=TH!H937,OR(N937="331",O937="331")),"x","")</f>
        <v/>
      </c>
      <c r="Q937" s="79" t="str">
        <f>IF(AND(B937='111'!$L$11,OR($N937=$Q$7,$O937=$Q$7)),"x","")</f>
        <v/>
      </c>
      <c r="R937" s="79" t="str">
        <f>IF(AND($N937=$Q$7,$B937&lt;'111'!$L$11),"x","")</f>
        <v/>
      </c>
      <c r="S937" s="79" t="str">
        <f>IF(AND($O937=$Q$7,$B937&lt;'111'!$L$11),"x","")</f>
        <v/>
      </c>
      <c r="T937" s="79" t="str">
        <f>IF(ISERROR(FIND('112'!$M$9,G937,1)),"",IF((AND(FIND('112'!$M$9,G937,1)&gt;=1,B937='112'!$K$9,OR($N937='112'!$I$6,$O937='112'!$I$6))),"x",""))</f>
        <v/>
      </c>
      <c r="U937" s="79" t="str">
        <f>IF(ISERROR(FIND('112'!$M$9,G937,1)),"",IF((AND(LEFT(G937,2)=LEFT('112'!$M$9,2),B937&lt;'112'!$K$9,$N937='112'!$I$6)),"x",""))</f>
        <v/>
      </c>
      <c r="V937" s="79" t="str">
        <f>IF(ISERROR(FIND('112'!$M$9,G937,1)),"",IF((AND(RIGHT(G937,2)=RIGHT('112'!$M$9,2),B937&lt;'112'!$K$9,$O937='112'!$I$6)),"x",""))</f>
        <v/>
      </c>
      <c r="W937" s="79" t="str">
        <f>IF(AND('341-CT'!$H$9=H937,OR(LEFT(N937,3)=$W$7,LEFT(O937,3)=$W$7)),"x","")</f>
        <v/>
      </c>
      <c r="X937" s="79" t="str">
        <f>IF(OR(TH!N937=TH!$X$7,O937=TH!$X$7),"x","")</f>
        <v/>
      </c>
      <c r="Y937" s="79" t="str">
        <f>IF(AND(OR(N937="131",O937="131"),H937='131-CT'!$H$9),"x","")</f>
        <v/>
      </c>
      <c r="Z937" s="79"/>
      <c r="AA937" s="79" t="str">
        <f>IF(AND(MONTH(E937)='IN-NX'!$J$5,'IN-NX'!$D$7=D937),"x","")</f>
        <v/>
      </c>
      <c r="AB937" s="79" t="str">
        <f>IF(AND(OR(LEFT(TH!N937,2)="15",LEFT(TH!O937,2)="15"),LEFT(TH!O937,3)&lt;&gt;"111",'152-CT'!$J$8=TH!F937),"x","")</f>
        <v/>
      </c>
      <c r="AC937" s="79" t="str">
        <f>IF(AND(OR(LEFT(TH!N937,2)="15",LEFT(TH!O937,2)="15"),TK!$E$7=TH!F937),"x","")</f>
        <v/>
      </c>
      <c r="AD937" s="79" t="str">
        <f>IF(AND(N937="1521",MONTH(C937)='BK-NL'!$M$11),"x","")</f>
        <v/>
      </c>
    </row>
    <row r="938" spans="1:30" ht="16.5" customHeight="1">
      <c r="A938" s="318" t="str">
        <f>IF(B938&lt;&gt;"",IF(AND(B938='IN-TC'!$S$4,OR(TH!N938="1111",TH!O938="1111")),TH!D938,""),"")</f>
        <v/>
      </c>
      <c r="B938" s="60" t="str">
        <f t="shared" si="154"/>
        <v/>
      </c>
      <c r="C938" s="261"/>
      <c r="D938" s="261"/>
      <c r="E938" s="261"/>
      <c r="F938" s="1103"/>
      <c r="G938" s="1104"/>
      <c r="H938" s="77"/>
      <c r="I938" s="383"/>
      <c r="J938" s="383"/>
      <c r="K938" s="383"/>
      <c r="L938" s="390"/>
      <c r="M938" s="383"/>
      <c r="N938" s="1019"/>
      <c r="O938" s="1019"/>
      <c r="P938" s="79" t="str">
        <f>IF(AND('331-CT'!$E$7=TH!H938,OR(N938="331",O938="331")),"x","")</f>
        <v/>
      </c>
      <c r="Q938" s="79" t="str">
        <f>IF(AND(B938='111'!$L$11,OR($N938=$Q$7,$O938=$Q$7)),"x","")</f>
        <v/>
      </c>
      <c r="R938" s="79" t="str">
        <f>IF(AND($N938=$Q$7,$B938&lt;'111'!$L$11),"x","")</f>
        <v/>
      </c>
      <c r="S938" s="79" t="str">
        <f>IF(AND($O938=$Q$7,$B938&lt;'111'!$L$11),"x","")</f>
        <v/>
      </c>
      <c r="T938" s="79" t="str">
        <f>IF(ISERROR(FIND('112'!$M$9,G938,1)),"",IF((AND(FIND('112'!$M$9,G938,1)&gt;=1,B938='112'!$K$9,OR($N938='112'!$I$6,$O938='112'!$I$6))),"x",""))</f>
        <v/>
      </c>
      <c r="U938" s="79" t="str">
        <f>IF(ISERROR(FIND('112'!$M$9,G938,1)),"",IF((AND(LEFT(G938,2)=LEFT('112'!$M$9,2),B938&lt;'112'!$K$9,$N938='112'!$I$6)),"x",""))</f>
        <v/>
      </c>
      <c r="V938" s="79" t="str">
        <f>IF(ISERROR(FIND('112'!$M$9,G938,1)),"",IF((AND(RIGHT(G938,2)=RIGHT('112'!$M$9,2),B938&lt;'112'!$K$9,$O938='112'!$I$6)),"x",""))</f>
        <v/>
      </c>
      <c r="W938" s="79" t="str">
        <f>IF(AND('341-CT'!$H$9=H938,OR(LEFT(N938,3)=$W$7,LEFT(O938,3)=$W$7)),"x","")</f>
        <v/>
      </c>
      <c r="X938" s="79" t="str">
        <f>IF(OR(TH!N938=TH!$X$7,O938=TH!$X$7),"x","")</f>
        <v/>
      </c>
      <c r="Y938" s="79" t="str">
        <f>IF(AND(OR(N938="131",O938="131"),H938='131-CT'!$H$9),"x","")</f>
        <v/>
      </c>
      <c r="Z938" s="79"/>
      <c r="AA938" s="79" t="str">
        <f>IF(AND(MONTH(E938)='IN-NX'!$J$5,'IN-NX'!$D$7=D938),"x","")</f>
        <v/>
      </c>
      <c r="AB938" s="79" t="str">
        <f>IF(AND(OR(LEFT(TH!N938,2)="15",LEFT(TH!O938,2)="15"),LEFT(TH!O938,3)&lt;&gt;"111",'152-CT'!$J$8=TH!F938),"x","")</f>
        <v/>
      </c>
      <c r="AC938" s="79" t="str">
        <f>IF(AND(OR(LEFT(TH!N938,2)="15",LEFT(TH!O938,2)="15"),TK!$E$7=TH!F938),"x","")</f>
        <v/>
      </c>
      <c r="AD938" s="79" t="str">
        <f>IF(AND(N938="1521",MONTH(C938)='BK-NL'!$M$11),"x","")</f>
        <v/>
      </c>
    </row>
    <row r="939" spans="1:30" ht="16.5" customHeight="1">
      <c r="A939" s="318" t="str">
        <f>IF(B939&lt;&gt;"",IF(AND(B939='IN-TC'!$S$4,OR(TH!N939="1111",TH!O939="1111")),TH!D939,""),"")</f>
        <v/>
      </c>
      <c r="B939" s="60" t="str">
        <f t="shared" si="154"/>
        <v/>
      </c>
      <c r="C939" s="261"/>
      <c r="D939" s="261"/>
      <c r="E939" s="261"/>
      <c r="F939" s="1103"/>
      <c r="G939" s="1104"/>
      <c r="H939" s="77"/>
      <c r="I939" s="383"/>
      <c r="J939" s="383"/>
      <c r="K939" s="383"/>
      <c r="L939" s="390"/>
      <c r="M939" s="383"/>
      <c r="N939" s="1019"/>
      <c r="O939" s="1019"/>
      <c r="P939" s="79" t="str">
        <f>IF(AND('331-CT'!$E$7=TH!H939,OR(N939="331",O939="331")),"x","")</f>
        <v/>
      </c>
      <c r="Q939" s="79" t="str">
        <f>IF(AND(B939='111'!$L$11,OR($N939=$Q$7,$O939=$Q$7)),"x","")</f>
        <v/>
      </c>
      <c r="R939" s="79" t="str">
        <f>IF(AND($N939=$Q$7,$B939&lt;'111'!$L$11),"x","")</f>
        <v/>
      </c>
      <c r="S939" s="79" t="str">
        <f>IF(AND($O939=$Q$7,$B939&lt;'111'!$L$11),"x","")</f>
        <v/>
      </c>
      <c r="T939" s="79" t="str">
        <f>IF(ISERROR(FIND('112'!$M$9,G939,1)),"",IF((AND(FIND('112'!$M$9,G939,1)&gt;=1,B939='112'!$K$9,OR($N939='112'!$I$6,$O939='112'!$I$6))),"x",""))</f>
        <v/>
      </c>
      <c r="U939" s="79" t="str">
        <f>IF(ISERROR(FIND('112'!$M$9,G939,1)),"",IF((AND(LEFT(G939,2)=LEFT('112'!$M$9,2),B939&lt;'112'!$K$9,$N939='112'!$I$6)),"x",""))</f>
        <v/>
      </c>
      <c r="V939" s="79" t="str">
        <f>IF(ISERROR(FIND('112'!$M$9,G939,1)),"",IF((AND(RIGHT(G939,2)=RIGHT('112'!$M$9,2),B939&lt;'112'!$K$9,$O939='112'!$I$6)),"x",""))</f>
        <v/>
      </c>
      <c r="W939" s="79" t="str">
        <f>IF(AND('341-CT'!$H$9=H939,OR(LEFT(N939,3)=$W$7,LEFT(O939,3)=$W$7)),"x","")</f>
        <v/>
      </c>
      <c r="X939" s="79" t="str">
        <f>IF(OR(TH!N939=TH!$X$7,O939=TH!$X$7),"x","")</f>
        <v/>
      </c>
      <c r="Y939" s="79" t="str">
        <f>IF(AND(OR(N939="131",O939="131"),H939='131-CT'!$H$9),"x","")</f>
        <v/>
      </c>
      <c r="Z939" s="79"/>
      <c r="AA939" s="79" t="str">
        <f>IF(AND(MONTH(E939)='IN-NX'!$J$5,'IN-NX'!$D$7=D939),"x","")</f>
        <v/>
      </c>
      <c r="AB939" s="79" t="str">
        <f>IF(AND(OR(LEFT(TH!N939,2)="15",LEFT(TH!O939,2)="15"),LEFT(TH!O939,3)&lt;&gt;"111",'152-CT'!$J$8=TH!F939),"x","")</f>
        <v/>
      </c>
      <c r="AC939" s="79" t="str">
        <f>IF(AND(OR(LEFT(TH!N939,2)="15",LEFT(TH!O939,2)="15"),TK!$E$7=TH!F939),"x","")</f>
        <v/>
      </c>
      <c r="AD939" s="79" t="str">
        <f>IF(AND(N939="1521",MONTH(C939)='BK-NL'!$M$11),"x","")</f>
        <v/>
      </c>
    </row>
    <row r="940" spans="1:30" ht="16.5" customHeight="1">
      <c r="A940" s="318" t="str">
        <f>IF(B940&lt;&gt;"",IF(AND(B940='IN-TC'!$S$4,OR(TH!N940="1111",TH!O940="1111")),TH!D940,""),"")</f>
        <v/>
      </c>
      <c r="B940" s="60" t="str">
        <f t="shared" si="154"/>
        <v/>
      </c>
      <c r="C940" s="261"/>
      <c r="D940" s="261"/>
      <c r="E940" s="261"/>
      <c r="F940" s="1103"/>
      <c r="G940" s="1104"/>
      <c r="H940" s="77"/>
      <c r="I940" s="383"/>
      <c r="J940" s="383"/>
      <c r="K940" s="383"/>
      <c r="L940" s="390"/>
      <c r="M940" s="383"/>
      <c r="N940" s="1019"/>
      <c r="O940" s="1019"/>
      <c r="P940" s="79" t="str">
        <f>IF(AND('331-CT'!$E$7=TH!H940,OR(N940="331",O940="331")),"x","")</f>
        <v/>
      </c>
      <c r="Q940" s="79" t="str">
        <f>IF(AND(B940='111'!$L$11,OR($N940=$Q$7,$O940=$Q$7)),"x","")</f>
        <v/>
      </c>
      <c r="R940" s="79" t="str">
        <f>IF(AND($N940=$Q$7,$B940&lt;'111'!$L$11),"x","")</f>
        <v/>
      </c>
      <c r="S940" s="79" t="str">
        <f>IF(AND($O940=$Q$7,$B940&lt;'111'!$L$11),"x","")</f>
        <v/>
      </c>
      <c r="T940" s="79" t="str">
        <f>IF(ISERROR(FIND('112'!$M$9,G940,1)),"",IF((AND(FIND('112'!$M$9,G940,1)&gt;=1,B940='112'!$K$9,OR($N940='112'!$I$6,$O940='112'!$I$6))),"x",""))</f>
        <v/>
      </c>
      <c r="U940" s="79" t="str">
        <f>IF(ISERROR(FIND('112'!$M$9,G940,1)),"",IF((AND(LEFT(G940,2)=LEFT('112'!$M$9,2),B940&lt;'112'!$K$9,$N940='112'!$I$6)),"x",""))</f>
        <v/>
      </c>
      <c r="V940" s="79" t="str">
        <f>IF(ISERROR(FIND('112'!$M$9,G940,1)),"",IF((AND(RIGHT(G940,2)=RIGHT('112'!$M$9,2),B940&lt;'112'!$K$9,$O940='112'!$I$6)),"x",""))</f>
        <v/>
      </c>
      <c r="W940" s="79" t="str">
        <f>IF(AND('341-CT'!$H$9=H940,OR(LEFT(N940,3)=$W$7,LEFT(O940,3)=$W$7)),"x","")</f>
        <v/>
      </c>
      <c r="X940" s="79" t="str">
        <f>IF(OR(TH!N940=TH!$X$7,O940=TH!$X$7),"x","")</f>
        <v/>
      </c>
      <c r="Y940" s="79" t="str">
        <f>IF(AND(OR(N940="131",O940="131"),H940='131-CT'!$H$9),"x","")</f>
        <v/>
      </c>
      <c r="Z940" s="79"/>
      <c r="AA940" s="79" t="str">
        <f>IF(AND(MONTH(E940)='IN-NX'!$J$5,'IN-NX'!$D$7=D940),"x","")</f>
        <v/>
      </c>
      <c r="AB940" s="79" t="str">
        <f>IF(AND(OR(LEFT(TH!N940,2)="15",LEFT(TH!O940,2)="15"),LEFT(TH!O940,3)&lt;&gt;"111",'152-CT'!$J$8=TH!F940),"x","")</f>
        <v/>
      </c>
      <c r="AC940" s="79" t="str">
        <f>IF(AND(OR(LEFT(TH!N940,2)="15",LEFT(TH!O940,2)="15"),TK!$E$7=TH!F940),"x","")</f>
        <v/>
      </c>
      <c r="AD940" s="79" t="str">
        <f>IF(AND(N940="1521",MONTH(C940)='BK-NL'!$M$11),"x","")</f>
        <v/>
      </c>
    </row>
    <row r="941" spans="1:30" ht="16.5" customHeight="1">
      <c r="A941" s="318" t="str">
        <f>IF(B941&lt;&gt;"",IF(AND(B941='IN-TC'!$S$4,OR(TH!N941="1111",TH!O941="1111")),TH!D941,""),"")</f>
        <v/>
      </c>
      <c r="B941" s="60" t="str">
        <f t="shared" si="154"/>
        <v/>
      </c>
      <c r="C941" s="261"/>
      <c r="D941" s="261"/>
      <c r="E941" s="261"/>
      <c r="F941" s="1103"/>
      <c r="G941" s="1104"/>
      <c r="H941" s="77"/>
      <c r="I941" s="383"/>
      <c r="J941" s="383"/>
      <c r="K941" s="383"/>
      <c r="L941" s="390"/>
      <c r="M941" s="383"/>
      <c r="N941" s="1019"/>
      <c r="O941" s="1019"/>
      <c r="P941" s="79" t="str">
        <f>IF(AND('331-CT'!$E$7=TH!H941,OR(N941="331",O941="331")),"x","")</f>
        <v/>
      </c>
      <c r="Q941" s="79" t="str">
        <f>IF(AND(B941='111'!$L$11,OR($N941=$Q$7,$O941=$Q$7)),"x","")</f>
        <v/>
      </c>
      <c r="R941" s="79" t="str">
        <f>IF(AND($N941=$Q$7,$B941&lt;'111'!$L$11),"x","")</f>
        <v/>
      </c>
      <c r="S941" s="79" t="str">
        <f>IF(AND($O941=$Q$7,$B941&lt;'111'!$L$11),"x","")</f>
        <v/>
      </c>
      <c r="T941" s="79" t="str">
        <f>IF(ISERROR(FIND('112'!$M$9,G941,1)),"",IF((AND(FIND('112'!$M$9,G941,1)&gt;=1,B941='112'!$K$9,OR($N941='112'!$I$6,$O941='112'!$I$6))),"x",""))</f>
        <v/>
      </c>
      <c r="U941" s="79" t="str">
        <f>IF(ISERROR(FIND('112'!$M$9,G941,1)),"",IF((AND(LEFT(G941,2)=LEFT('112'!$M$9,2),B941&lt;'112'!$K$9,$N941='112'!$I$6)),"x",""))</f>
        <v/>
      </c>
      <c r="V941" s="79" t="str">
        <f>IF(ISERROR(FIND('112'!$M$9,G941,1)),"",IF((AND(RIGHT(G941,2)=RIGHT('112'!$M$9,2),B941&lt;'112'!$K$9,$O941='112'!$I$6)),"x",""))</f>
        <v/>
      </c>
      <c r="W941" s="79" t="str">
        <f>IF(AND('341-CT'!$H$9=H941,OR(LEFT(N941,3)=$W$7,LEFT(O941,3)=$W$7)),"x","")</f>
        <v/>
      </c>
      <c r="X941" s="79" t="str">
        <f>IF(OR(TH!N941=TH!$X$7,O941=TH!$X$7),"x","")</f>
        <v/>
      </c>
      <c r="Y941" s="79" t="str">
        <f>IF(AND(OR(N941="131",O941="131"),H941='131-CT'!$H$9),"x","")</f>
        <v/>
      </c>
      <c r="Z941" s="79"/>
      <c r="AA941" s="79" t="str">
        <f>IF(AND(MONTH(E941)='IN-NX'!$J$5,'IN-NX'!$D$7=D941),"x","")</f>
        <v/>
      </c>
      <c r="AB941" s="79" t="str">
        <f>IF(AND(OR(LEFT(TH!N941,2)="15",LEFT(TH!O941,2)="15"),LEFT(TH!O941,3)&lt;&gt;"111",'152-CT'!$J$8=TH!F941),"x","")</f>
        <v/>
      </c>
      <c r="AC941" s="79" t="str">
        <f>IF(AND(OR(LEFT(TH!N941,2)="15",LEFT(TH!O941,2)="15"),TK!$E$7=TH!F941),"x","")</f>
        <v/>
      </c>
      <c r="AD941" s="79" t="str">
        <f>IF(AND(N941="1521",MONTH(C941)='BK-NL'!$M$11),"x","")</f>
        <v/>
      </c>
    </row>
    <row r="942" spans="1:30" ht="16.5" customHeight="1">
      <c r="A942" s="318" t="str">
        <f>IF(B942&lt;&gt;"",IF(AND(B942='IN-TC'!$S$4,OR(TH!N942="1111",TH!O942="1111")),TH!D942,""),"")</f>
        <v/>
      </c>
      <c r="B942" s="60" t="str">
        <f t="shared" si="154"/>
        <v/>
      </c>
      <c r="C942" s="261"/>
      <c r="D942" s="261"/>
      <c r="E942" s="261"/>
      <c r="F942" s="1103"/>
      <c r="G942" s="1104"/>
      <c r="H942" s="77"/>
      <c r="I942" s="383"/>
      <c r="J942" s="383"/>
      <c r="K942" s="383"/>
      <c r="L942" s="390"/>
      <c r="M942" s="383"/>
      <c r="N942" s="1019"/>
      <c r="O942" s="1019"/>
      <c r="P942" s="79" t="str">
        <f>IF(AND('331-CT'!$E$7=TH!H942,OR(N942="331",O942="331")),"x","")</f>
        <v/>
      </c>
      <c r="Q942" s="79" t="str">
        <f>IF(AND(B942='111'!$L$11,OR($N942=$Q$7,$O942=$Q$7)),"x","")</f>
        <v/>
      </c>
      <c r="R942" s="79" t="str">
        <f>IF(AND($N942=$Q$7,$B942&lt;'111'!$L$11),"x","")</f>
        <v/>
      </c>
      <c r="S942" s="79" t="str">
        <f>IF(AND($O942=$Q$7,$B942&lt;'111'!$L$11),"x","")</f>
        <v/>
      </c>
      <c r="T942" s="79" t="str">
        <f>IF(ISERROR(FIND('112'!$M$9,G942,1)),"",IF((AND(FIND('112'!$M$9,G942,1)&gt;=1,B942='112'!$K$9,OR($N942='112'!$I$6,$O942='112'!$I$6))),"x",""))</f>
        <v/>
      </c>
      <c r="U942" s="79" t="str">
        <f>IF(ISERROR(FIND('112'!$M$9,G942,1)),"",IF((AND(LEFT(G942,2)=LEFT('112'!$M$9,2),B942&lt;'112'!$K$9,$N942='112'!$I$6)),"x",""))</f>
        <v/>
      </c>
      <c r="V942" s="79" t="str">
        <f>IF(ISERROR(FIND('112'!$M$9,G942,1)),"",IF((AND(RIGHT(G942,2)=RIGHT('112'!$M$9,2),B942&lt;'112'!$K$9,$O942='112'!$I$6)),"x",""))</f>
        <v/>
      </c>
      <c r="W942" s="79" t="str">
        <f>IF(AND('341-CT'!$H$9=H942,OR(LEFT(N942,3)=$W$7,LEFT(O942,3)=$W$7)),"x","")</f>
        <v/>
      </c>
      <c r="X942" s="79" t="str">
        <f>IF(OR(TH!N942=TH!$X$7,O942=TH!$X$7),"x","")</f>
        <v/>
      </c>
      <c r="Y942" s="79" t="str">
        <f>IF(AND(OR(N942="131",O942="131"),H942='131-CT'!$H$9),"x","")</f>
        <v/>
      </c>
      <c r="Z942" s="79"/>
      <c r="AA942" s="79" t="str">
        <f>IF(AND(MONTH(E942)='IN-NX'!$J$5,'IN-NX'!$D$7=D942),"x","")</f>
        <v/>
      </c>
      <c r="AB942" s="79" t="str">
        <f>IF(AND(OR(LEFT(TH!N942,2)="15",LEFT(TH!O942,2)="15"),LEFT(TH!O942,3)&lt;&gt;"111",'152-CT'!$J$8=TH!F942),"x","")</f>
        <v/>
      </c>
      <c r="AC942" s="79" t="str">
        <f>IF(AND(OR(LEFT(TH!N942,2)="15",LEFT(TH!O942,2)="15"),TK!$E$7=TH!F942),"x","")</f>
        <v/>
      </c>
      <c r="AD942" s="79" t="str">
        <f>IF(AND(N942="1521",MONTH(C942)='BK-NL'!$M$11),"x","")</f>
        <v/>
      </c>
    </row>
    <row r="943" spans="1:30" ht="16.5" customHeight="1">
      <c r="A943" s="318" t="str">
        <f>IF(B943&lt;&gt;"",IF(AND(B943='IN-TC'!$S$4,OR(TH!N943="1111",TH!O943="1111")),TH!D943,""),"")</f>
        <v/>
      </c>
      <c r="B943" s="60" t="str">
        <f t="shared" si="154"/>
        <v/>
      </c>
      <c r="C943" s="261"/>
      <c r="D943" s="261"/>
      <c r="E943" s="261"/>
      <c r="F943" s="1103"/>
      <c r="G943" s="1104"/>
      <c r="H943" s="77"/>
      <c r="I943" s="383"/>
      <c r="J943" s="383"/>
      <c r="K943" s="383"/>
      <c r="L943" s="390"/>
      <c r="M943" s="383"/>
      <c r="N943" s="1019"/>
      <c r="O943" s="1019"/>
      <c r="P943" s="79" t="str">
        <f>IF(AND('331-CT'!$E$7=TH!H943,OR(N943="331",O943="331")),"x","")</f>
        <v/>
      </c>
      <c r="Q943" s="79" t="str">
        <f>IF(AND(B943='111'!$L$11,OR($N943=$Q$7,$O943=$Q$7)),"x","")</f>
        <v/>
      </c>
      <c r="R943" s="79" t="str">
        <f>IF(AND($N943=$Q$7,$B943&lt;'111'!$L$11),"x","")</f>
        <v/>
      </c>
      <c r="S943" s="79" t="str">
        <f>IF(AND($O943=$Q$7,$B943&lt;'111'!$L$11),"x","")</f>
        <v/>
      </c>
      <c r="T943" s="79" t="str">
        <f>IF(ISERROR(FIND('112'!$M$9,G943,1)),"",IF((AND(FIND('112'!$M$9,G943,1)&gt;=1,B943='112'!$K$9,OR($N943='112'!$I$6,$O943='112'!$I$6))),"x",""))</f>
        <v/>
      </c>
      <c r="U943" s="79" t="str">
        <f>IF(ISERROR(FIND('112'!$M$9,G943,1)),"",IF((AND(LEFT(G943,2)=LEFT('112'!$M$9,2),B943&lt;'112'!$K$9,$N943='112'!$I$6)),"x",""))</f>
        <v/>
      </c>
      <c r="V943" s="79" t="str">
        <f>IF(ISERROR(FIND('112'!$M$9,G943,1)),"",IF((AND(RIGHT(G943,2)=RIGHT('112'!$M$9,2),B943&lt;'112'!$K$9,$O943='112'!$I$6)),"x",""))</f>
        <v/>
      </c>
      <c r="W943" s="79" t="str">
        <f>IF(AND('341-CT'!$H$9=H943,OR(LEFT(N943,3)=$W$7,LEFT(O943,3)=$W$7)),"x","")</f>
        <v/>
      </c>
      <c r="X943" s="79" t="str">
        <f>IF(OR(TH!N943=TH!$X$7,O943=TH!$X$7),"x","")</f>
        <v/>
      </c>
      <c r="Y943" s="79" t="str">
        <f>IF(AND(OR(N943="131",O943="131"),H943='131-CT'!$H$9),"x","")</f>
        <v/>
      </c>
      <c r="Z943" s="79"/>
      <c r="AA943" s="79" t="str">
        <f>IF(AND(MONTH(E943)='IN-NX'!$J$5,'IN-NX'!$D$7=D943),"x","")</f>
        <v/>
      </c>
      <c r="AB943" s="79" t="str">
        <f>IF(AND(OR(LEFT(TH!N943,2)="15",LEFT(TH!O943,2)="15"),LEFT(TH!O943,3)&lt;&gt;"111",'152-CT'!$J$8=TH!F943),"x","")</f>
        <v/>
      </c>
      <c r="AC943" s="79" t="str">
        <f>IF(AND(OR(LEFT(TH!N943,2)="15",LEFT(TH!O943,2)="15"),TK!$E$7=TH!F943),"x","")</f>
        <v/>
      </c>
      <c r="AD943" s="79" t="str">
        <f>IF(AND(N943="1521",MONTH(C943)='BK-NL'!$M$11),"x","")</f>
        <v/>
      </c>
    </row>
    <row r="944" spans="1:30" ht="16.5" customHeight="1">
      <c r="A944" s="318" t="str">
        <f>IF(B944&lt;&gt;"",IF(AND(B944='IN-TC'!$S$4,OR(TH!N944="1111",TH!O944="1111")),TH!D944,""),"")</f>
        <v/>
      </c>
      <c r="B944" s="60" t="str">
        <f t="shared" si="154"/>
        <v/>
      </c>
      <c r="C944" s="261"/>
      <c r="D944" s="261"/>
      <c r="E944" s="261"/>
      <c r="F944" s="1103"/>
      <c r="G944" s="1104"/>
      <c r="H944" s="77"/>
      <c r="I944" s="383"/>
      <c r="J944" s="383"/>
      <c r="K944" s="383"/>
      <c r="L944" s="390"/>
      <c r="M944" s="383"/>
      <c r="N944" s="1019"/>
      <c r="O944" s="1019"/>
      <c r="P944" s="79" t="str">
        <f>IF(AND('331-CT'!$E$7=TH!H944,OR(N944="331",O944="331")),"x","")</f>
        <v/>
      </c>
      <c r="Q944" s="79" t="str">
        <f>IF(AND(B944='111'!$L$11,OR($N944=$Q$7,$O944=$Q$7)),"x","")</f>
        <v/>
      </c>
      <c r="R944" s="79" t="str">
        <f>IF(AND($N944=$Q$7,$B944&lt;'111'!$L$11),"x","")</f>
        <v/>
      </c>
      <c r="S944" s="79" t="str">
        <f>IF(AND($O944=$Q$7,$B944&lt;'111'!$L$11),"x","")</f>
        <v/>
      </c>
      <c r="T944" s="79" t="str">
        <f>IF(ISERROR(FIND('112'!$M$9,G944,1)),"",IF((AND(FIND('112'!$M$9,G944,1)&gt;=1,B944='112'!$K$9,OR($N944='112'!$I$6,$O944='112'!$I$6))),"x",""))</f>
        <v/>
      </c>
      <c r="U944" s="79" t="str">
        <f>IF(ISERROR(FIND('112'!$M$9,G944,1)),"",IF((AND(LEFT(G944,2)=LEFT('112'!$M$9,2),B944&lt;'112'!$K$9,$N944='112'!$I$6)),"x",""))</f>
        <v/>
      </c>
      <c r="V944" s="79" t="str">
        <f>IF(ISERROR(FIND('112'!$M$9,G944,1)),"",IF((AND(RIGHT(G944,2)=RIGHT('112'!$M$9,2),B944&lt;'112'!$K$9,$O944='112'!$I$6)),"x",""))</f>
        <v/>
      </c>
      <c r="W944" s="79" t="str">
        <f>IF(AND('341-CT'!$H$9=H944,OR(LEFT(N944,3)=$W$7,LEFT(O944,3)=$W$7)),"x","")</f>
        <v/>
      </c>
      <c r="X944" s="79" t="str">
        <f>IF(OR(TH!N944=TH!$X$7,O944=TH!$X$7),"x","")</f>
        <v/>
      </c>
      <c r="Y944" s="79" t="str">
        <f>IF(AND(OR(N944="131",O944="131"),H944='131-CT'!$H$9),"x","")</f>
        <v/>
      </c>
      <c r="Z944" s="79"/>
      <c r="AA944" s="79" t="str">
        <f>IF(AND(MONTH(E944)='IN-NX'!$J$5,'IN-NX'!$D$7=D944),"x","")</f>
        <v/>
      </c>
      <c r="AB944" s="79" t="str">
        <f>IF(AND(OR(LEFT(TH!N944,2)="15",LEFT(TH!O944,2)="15"),LEFT(TH!O944,3)&lt;&gt;"111",'152-CT'!$J$8=TH!F944),"x","")</f>
        <v/>
      </c>
      <c r="AC944" s="79" t="str">
        <f>IF(AND(OR(LEFT(TH!N944,2)="15",LEFT(TH!O944,2)="15"),TK!$E$7=TH!F944),"x","")</f>
        <v/>
      </c>
      <c r="AD944" s="79" t="str">
        <f>IF(AND(N944="1521",MONTH(C944)='BK-NL'!$M$11),"x","")</f>
        <v/>
      </c>
    </row>
    <row r="945" spans="1:30" ht="16.5" customHeight="1">
      <c r="A945" s="318" t="str">
        <f>IF(B945&lt;&gt;"",IF(AND(B945='IN-TC'!$S$4,OR(TH!N945="1111",TH!O945="1111")),TH!D945,""),"")</f>
        <v/>
      </c>
      <c r="B945" s="60" t="str">
        <f t="shared" si="154"/>
        <v/>
      </c>
      <c r="C945" s="261"/>
      <c r="D945" s="261"/>
      <c r="E945" s="261"/>
      <c r="F945" s="1103"/>
      <c r="G945" s="1104"/>
      <c r="H945" s="77"/>
      <c r="I945" s="383"/>
      <c r="J945" s="383"/>
      <c r="K945" s="383"/>
      <c r="L945" s="390"/>
      <c r="M945" s="383"/>
      <c r="N945" s="1019"/>
      <c r="O945" s="1019"/>
      <c r="P945" s="79" t="str">
        <f>IF(AND('331-CT'!$E$7=TH!H945,OR(N945="331",O945="331")),"x","")</f>
        <v/>
      </c>
      <c r="Q945" s="79" t="str">
        <f>IF(AND(B945='111'!$L$11,OR($N945=$Q$7,$O945=$Q$7)),"x","")</f>
        <v/>
      </c>
      <c r="R945" s="79" t="str">
        <f>IF(AND($N945=$Q$7,$B945&lt;'111'!$L$11),"x","")</f>
        <v/>
      </c>
      <c r="S945" s="79" t="str">
        <f>IF(AND($O945=$Q$7,$B945&lt;'111'!$L$11),"x","")</f>
        <v/>
      </c>
      <c r="T945" s="79" t="str">
        <f>IF(ISERROR(FIND('112'!$M$9,G945,1)),"",IF((AND(FIND('112'!$M$9,G945,1)&gt;=1,B945='112'!$K$9,OR($N945='112'!$I$6,$O945='112'!$I$6))),"x",""))</f>
        <v/>
      </c>
      <c r="U945" s="79" t="str">
        <f>IF(ISERROR(FIND('112'!$M$9,G945,1)),"",IF((AND(LEFT(G945,2)=LEFT('112'!$M$9,2),B945&lt;'112'!$K$9,$N945='112'!$I$6)),"x",""))</f>
        <v/>
      </c>
      <c r="V945" s="79" t="str">
        <f>IF(ISERROR(FIND('112'!$M$9,G945,1)),"",IF((AND(RIGHT(G945,2)=RIGHT('112'!$M$9,2),B945&lt;'112'!$K$9,$O945='112'!$I$6)),"x",""))</f>
        <v/>
      </c>
      <c r="W945" s="79" t="str">
        <f>IF(AND('341-CT'!$H$9=H945,OR(LEFT(N945,3)=$W$7,LEFT(O945,3)=$W$7)),"x","")</f>
        <v/>
      </c>
      <c r="X945" s="79" t="str">
        <f>IF(OR(TH!N945=TH!$X$7,O945=TH!$X$7),"x","")</f>
        <v/>
      </c>
      <c r="Y945" s="79" t="str">
        <f>IF(AND(OR(N945="131",O945="131"),H945='131-CT'!$H$9),"x","")</f>
        <v/>
      </c>
      <c r="Z945" s="79"/>
      <c r="AA945" s="79" t="str">
        <f>IF(AND(MONTH(E945)='IN-NX'!$J$5,'IN-NX'!$D$7=D945),"x","")</f>
        <v/>
      </c>
      <c r="AB945" s="79" t="str">
        <f>IF(AND(OR(LEFT(TH!N945,2)="15",LEFT(TH!O945,2)="15"),LEFT(TH!O945,3)&lt;&gt;"111",'152-CT'!$J$8=TH!F945),"x","")</f>
        <v/>
      </c>
      <c r="AC945" s="79" t="str">
        <f>IF(AND(OR(LEFT(TH!N945,2)="15",LEFT(TH!O945,2)="15"),TK!$E$7=TH!F945),"x","")</f>
        <v/>
      </c>
      <c r="AD945" s="79" t="str">
        <f>IF(AND(N945="1521",MONTH(C945)='BK-NL'!$M$11),"x","")</f>
        <v/>
      </c>
    </row>
    <row r="946" spans="1:30" ht="16.5" customHeight="1">
      <c r="A946" s="318" t="str">
        <f>IF(B946&lt;&gt;"",IF(AND(B946='IN-TC'!$S$4,OR(TH!N946="1111",TH!O946="1111")),TH!D946,""),"")</f>
        <v/>
      </c>
      <c r="B946" s="60" t="str">
        <f t="shared" si="154"/>
        <v/>
      </c>
      <c r="C946" s="261"/>
      <c r="D946" s="261"/>
      <c r="E946" s="261"/>
      <c r="F946" s="1103"/>
      <c r="G946" s="1104"/>
      <c r="H946" s="77"/>
      <c r="I946" s="383"/>
      <c r="J946" s="383"/>
      <c r="K946" s="383"/>
      <c r="L946" s="390"/>
      <c r="M946" s="383"/>
      <c r="N946" s="1019"/>
      <c r="O946" s="1019"/>
      <c r="P946" s="79" t="str">
        <f>IF(AND('331-CT'!$E$7=TH!H946,OR(N946="331",O946="331")),"x","")</f>
        <v/>
      </c>
      <c r="Q946" s="79" t="str">
        <f>IF(AND(B946='111'!$L$11,OR($N946=$Q$7,$O946=$Q$7)),"x","")</f>
        <v/>
      </c>
      <c r="R946" s="79" t="str">
        <f>IF(AND($N946=$Q$7,$B946&lt;'111'!$L$11),"x","")</f>
        <v/>
      </c>
      <c r="S946" s="79" t="str">
        <f>IF(AND($O946=$Q$7,$B946&lt;'111'!$L$11),"x","")</f>
        <v/>
      </c>
      <c r="T946" s="79" t="str">
        <f>IF(ISERROR(FIND('112'!$M$9,G946,1)),"",IF((AND(FIND('112'!$M$9,G946,1)&gt;=1,B946='112'!$K$9,OR($N946='112'!$I$6,$O946='112'!$I$6))),"x",""))</f>
        <v/>
      </c>
      <c r="U946" s="79" t="str">
        <f>IF(ISERROR(FIND('112'!$M$9,G946,1)),"",IF((AND(LEFT(G946,2)=LEFT('112'!$M$9,2),B946&lt;'112'!$K$9,$N946='112'!$I$6)),"x",""))</f>
        <v/>
      </c>
      <c r="V946" s="79" t="str">
        <f>IF(ISERROR(FIND('112'!$M$9,G946,1)),"",IF((AND(RIGHT(G946,2)=RIGHT('112'!$M$9,2),B946&lt;'112'!$K$9,$O946='112'!$I$6)),"x",""))</f>
        <v/>
      </c>
      <c r="W946" s="79" t="str">
        <f>IF(AND('341-CT'!$H$9=H946,OR(LEFT(N946,3)=$W$7,LEFT(O946,3)=$W$7)),"x","")</f>
        <v/>
      </c>
      <c r="X946" s="79" t="str">
        <f>IF(OR(TH!N946=TH!$X$7,O946=TH!$X$7),"x","")</f>
        <v/>
      </c>
      <c r="Y946" s="79" t="str">
        <f>IF(AND(OR(N946="131",O946="131"),H946='131-CT'!$H$9),"x","")</f>
        <v/>
      </c>
      <c r="Z946" s="79"/>
      <c r="AA946" s="79" t="str">
        <f>IF(AND(MONTH(E946)='IN-NX'!$J$5,'IN-NX'!$D$7=D946),"x","")</f>
        <v/>
      </c>
      <c r="AB946" s="79" t="str">
        <f>IF(AND(OR(LEFT(TH!N946,2)="15",LEFT(TH!O946,2)="15"),LEFT(TH!O946,3)&lt;&gt;"111",'152-CT'!$J$8=TH!F946),"x","")</f>
        <v/>
      </c>
      <c r="AC946" s="79" t="str">
        <f>IF(AND(OR(LEFT(TH!N946,2)="15",LEFT(TH!O946,2)="15"),TK!$E$7=TH!F946),"x","")</f>
        <v/>
      </c>
      <c r="AD946" s="79" t="str">
        <f>IF(AND(N946="1521",MONTH(C946)='BK-NL'!$M$11),"x","")</f>
        <v/>
      </c>
    </row>
    <row r="947" spans="1:30" ht="16.5" customHeight="1">
      <c r="A947" s="318" t="str">
        <f>IF(B947&lt;&gt;"",IF(AND(B947='IN-TC'!$S$4,OR(TH!N947="1111",TH!O947="1111")),TH!D947,""),"")</f>
        <v/>
      </c>
      <c r="B947" s="60" t="str">
        <f t="shared" si="154"/>
        <v/>
      </c>
      <c r="C947" s="261"/>
      <c r="D947" s="261"/>
      <c r="E947" s="261"/>
      <c r="F947" s="1103"/>
      <c r="G947" s="1104"/>
      <c r="H947" s="77"/>
      <c r="I947" s="383"/>
      <c r="J947" s="383"/>
      <c r="K947" s="383"/>
      <c r="L947" s="390"/>
      <c r="M947" s="383"/>
      <c r="N947" s="1019"/>
      <c r="O947" s="1019"/>
      <c r="P947" s="79" t="str">
        <f>IF(AND('331-CT'!$E$7=TH!H947,OR(N947="331",O947="331")),"x","")</f>
        <v/>
      </c>
      <c r="Q947" s="79" t="str">
        <f>IF(AND(B947='111'!$L$11,OR($N947=$Q$7,$O947=$Q$7)),"x","")</f>
        <v/>
      </c>
      <c r="R947" s="79" t="str">
        <f>IF(AND($N947=$Q$7,$B947&lt;'111'!$L$11),"x","")</f>
        <v/>
      </c>
      <c r="S947" s="79" t="str">
        <f>IF(AND($O947=$Q$7,$B947&lt;'111'!$L$11),"x","")</f>
        <v/>
      </c>
      <c r="T947" s="79" t="str">
        <f>IF(ISERROR(FIND('112'!$M$9,G947,1)),"",IF((AND(FIND('112'!$M$9,G947,1)&gt;=1,B947='112'!$K$9,OR($N947='112'!$I$6,$O947='112'!$I$6))),"x",""))</f>
        <v/>
      </c>
      <c r="U947" s="79" t="str">
        <f>IF(ISERROR(FIND('112'!$M$9,G947,1)),"",IF((AND(LEFT(G947,2)=LEFT('112'!$M$9,2),B947&lt;'112'!$K$9,$N947='112'!$I$6)),"x",""))</f>
        <v/>
      </c>
      <c r="V947" s="79" t="str">
        <f>IF(ISERROR(FIND('112'!$M$9,G947,1)),"",IF((AND(RIGHT(G947,2)=RIGHT('112'!$M$9,2),B947&lt;'112'!$K$9,$O947='112'!$I$6)),"x",""))</f>
        <v/>
      </c>
      <c r="W947" s="79" t="str">
        <f>IF(AND('341-CT'!$H$9=H947,OR(LEFT(N947,3)=$W$7,LEFT(O947,3)=$W$7)),"x","")</f>
        <v/>
      </c>
      <c r="X947" s="79" t="str">
        <f>IF(OR(TH!N947=TH!$X$7,O947=TH!$X$7),"x","")</f>
        <v/>
      </c>
      <c r="Y947" s="79" t="str">
        <f>IF(AND(OR(N947="131",O947="131"),H947='131-CT'!$H$9),"x","")</f>
        <v/>
      </c>
      <c r="Z947" s="79"/>
      <c r="AA947" s="79" t="str">
        <f>IF(AND(MONTH(E947)='IN-NX'!$J$5,'IN-NX'!$D$7=D947),"x","")</f>
        <v/>
      </c>
      <c r="AB947" s="79" t="str">
        <f>IF(AND(OR(LEFT(TH!N947,2)="15",LEFT(TH!O947,2)="15"),LEFT(TH!O947,3)&lt;&gt;"111",'152-CT'!$J$8=TH!F947),"x","")</f>
        <v/>
      </c>
      <c r="AC947" s="79" t="str">
        <f>IF(AND(OR(LEFT(TH!N947,2)="15",LEFT(TH!O947,2)="15"),TK!$E$7=TH!F947),"x","")</f>
        <v/>
      </c>
      <c r="AD947" s="79" t="str">
        <f>IF(AND(N947="1521",MONTH(C947)='BK-NL'!$M$11),"x","")</f>
        <v/>
      </c>
    </row>
    <row r="948" spans="1:30" ht="16.5" customHeight="1">
      <c r="A948" s="318" t="str">
        <f>IF(B948&lt;&gt;"",IF(AND(B948='IN-TC'!$S$4,OR(TH!N948="1111",TH!O948="1111")),TH!D948,""),"")</f>
        <v/>
      </c>
      <c r="B948" s="60" t="str">
        <f t="shared" si="154"/>
        <v/>
      </c>
      <c r="C948" s="261"/>
      <c r="D948" s="261"/>
      <c r="E948" s="261"/>
      <c r="F948" s="1103"/>
      <c r="G948" s="1104"/>
      <c r="H948" s="77"/>
      <c r="I948" s="383"/>
      <c r="J948" s="383"/>
      <c r="K948" s="383"/>
      <c r="L948" s="390"/>
      <c r="M948" s="978"/>
      <c r="N948" s="1019"/>
      <c r="O948" s="1019"/>
      <c r="P948" s="79" t="str">
        <f>IF(AND('331-CT'!$E$7=TH!H948,OR(N948="331",O948="331")),"x","")</f>
        <v/>
      </c>
      <c r="Q948" s="79" t="str">
        <f>IF(AND(B948='111'!$L$11,OR($N948=$Q$7,$O948=$Q$7)),"x","")</f>
        <v/>
      </c>
      <c r="R948" s="79" t="str">
        <f>IF(AND($N948=$Q$7,$B948&lt;'111'!$L$11),"x","")</f>
        <v/>
      </c>
      <c r="S948" s="79" t="str">
        <f>IF(AND($O948=$Q$7,$B948&lt;'111'!$L$11),"x","")</f>
        <v/>
      </c>
      <c r="T948" s="79" t="str">
        <f>IF(ISERROR(FIND('112'!$M$9,G948,1)),"",IF((AND(FIND('112'!$M$9,G948,1)&gt;=1,B948='112'!$K$9,OR($N948='112'!$I$6,$O948='112'!$I$6))),"x",""))</f>
        <v/>
      </c>
      <c r="U948" s="79" t="str">
        <f>IF(ISERROR(FIND('112'!$M$9,G948,1)),"",IF((AND(LEFT(G948,2)=LEFT('112'!$M$9,2),B948&lt;'112'!$K$9,$N948='112'!$I$6)),"x",""))</f>
        <v/>
      </c>
      <c r="V948" s="79" t="str">
        <f>IF(ISERROR(FIND('112'!$M$9,G948,1)),"",IF((AND(RIGHT(G948,2)=RIGHT('112'!$M$9,2),B948&lt;'112'!$K$9,$O948='112'!$I$6)),"x",""))</f>
        <v/>
      </c>
      <c r="W948" s="79" t="str">
        <f>IF(AND('341-CT'!$H$9=H948,OR(LEFT(N948,3)=$W$7,LEFT(O948,3)=$W$7)),"x","")</f>
        <v/>
      </c>
      <c r="X948" s="79" t="str">
        <f>IF(OR(TH!N948=TH!$X$7,O948=TH!$X$7),"x","")</f>
        <v/>
      </c>
      <c r="Y948" s="79" t="str">
        <f>IF(AND(OR(N948="131",O948="131"),H948='131-CT'!$H$9),"x","")</f>
        <v/>
      </c>
      <c r="Z948" s="79"/>
      <c r="AA948" s="79" t="str">
        <f>IF(AND(MONTH(E948)='IN-NX'!$J$5,'IN-NX'!$D$7=D948),"x","")</f>
        <v/>
      </c>
      <c r="AB948" s="79" t="str">
        <f>IF(AND(OR(LEFT(TH!N948,2)="15",LEFT(TH!O948,2)="15"),LEFT(TH!O948,3)&lt;&gt;"111",'152-CT'!$J$8=TH!F948),"x","")</f>
        <v/>
      </c>
      <c r="AC948" s="79" t="str">
        <f>IF(AND(OR(LEFT(TH!N948,2)="15",LEFT(TH!O948,2)="15"),TK!$E$7=TH!F948),"x","")</f>
        <v/>
      </c>
      <c r="AD948" s="79" t="str">
        <f>IF(AND(N948="1521",MONTH(C948)='BK-NL'!$M$11),"x","")</f>
        <v/>
      </c>
    </row>
    <row r="949" spans="1:30" ht="16.5" customHeight="1">
      <c r="A949" s="318" t="str">
        <f>IF(B949&lt;&gt;"",IF(AND(B949='IN-TC'!$S$4,OR(TH!N949="1111",TH!O949="1111")),TH!D949,""),"")</f>
        <v/>
      </c>
      <c r="B949" s="60" t="str">
        <f t="shared" si="154"/>
        <v/>
      </c>
      <c r="C949" s="261"/>
      <c r="D949" s="261"/>
      <c r="E949" s="261"/>
      <c r="F949" s="1103"/>
      <c r="G949" s="1104"/>
      <c r="H949" s="77"/>
      <c r="I949" s="383"/>
      <c r="J949" s="383"/>
      <c r="K949" s="383"/>
      <c r="L949" s="390"/>
      <c r="M949" s="978"/>
      <c r="N949" s="1019"/>
      <c r="O949" s="1019"/>
      <c r="P949" s="79" t="str">
        <f>IF(AND('331-CT'!$E$7=TH!H949,OR(N949="331",O949="331")),"x","")</f>
        <v/>
      </c>
      <c r="Q949" s="79" t="str">
        <f>IF(AND(B949='111'!$L$11,OR($N949=$Q$7,$O949=$Q$7)),"x","")</f>
        <v/>
      </c>
      <c r="R949" s="79" t="str">
        <f>IF(AND($N949=$Q$7,$B949&lt;'111'!$L$11),"x","")</f>
        <v/>
      </c>
      <c r="S949" s="79" t="str">
        <f>IF(AND($O949=$Q$7,$B949&lt;'111'!$L$11),"x","")</f>
        <v/>
      </c>
      <c r="T949" s="79" t="str">
        <f>IF(ISERROR(FIND('112'!$M$9,G949,1)),"",IF((AND(FIND('112'!$M$9,G949,1)&gt;=1,B949='112'!$K$9,OR($N949='112'!$I$6,$O949='112'!$I$6))),"x",""))</f>
        <v/>
      </c>
      <c r="U949" s="79" t="str">
        <f>IF(ISERROR(FIND('112'!$M$9,G949,1)),"",IF((AND(LEFT(G949,2)=LEFT('112'!$M$9,2),B949&lt;'112'!$K$9,$N949='112'!$I$6)),"x",""))</f>
        <v/>
      </c>
      <c r="V949" s="79" t="str">
        <f>IF(ISERROR(FIND('112'!$M$9,G949,1)),"",IF((AND(RIGHT(G949,2)=RIGHT('112'!$M$9,2),B949&lt;'112'!$K$9,$O949='112'!$I$6)),"x",""))</f>
        <v/>
      </c>
      <c r="W949" s="79" t="str">
        <f>IF(AND('341-CT'!$H$9=H949,OR(LEFT(N949,3)=$W$7,LEFT(O949,3)=$W$7)),"x","")</f>
        <v/>
      </c>
      <c r="X949" s="79" t="str">
        <f>IF(OR(TH!N949=TH!$X$7,O949=TH!$X$7),"x","")</f>
        <v/>
      </c>
      <c r="Y949" s="79" t="str">
        <f>IF(AND(OR(N949="131",O949="131"),H949='131-CT'!$H$9),"x","")</f>
        <v/>
      </c>
      <c r="Z949" s="79"/>
      <c r="AA949" s="79" t="str">
        <f>IF(AND(MONTH(E949)='IN-NX'!$J$5,'IN-NX'!$D$7=D949),"x","")</f>
        <v/>
      </c>
      <c r="AB949" s="79" t="str">
        <f>IF(AND(OR(LEFT(TH!N949,2)="15",LEFT(TH!O949,2)="15"),LEFT(TH!O949,3)&lt;&gt;"111",'152-CT'!$J$8=TH!F949),"x","")</f>
        <v/>
      </c>
      <c r="AC949" s="79" t="str">
        <f>IF(AND(OR(LEFT(TH!N949,2)="15",LEFT(TH!O949,2)="15"),TK!$E$7=TH!F949),"x","")</f>
        <v/>
      </c>
      <c r="AD949" s="79" t="str">
        <f>IF(AND(N949="1521",MONTH(C949)='BK-NL'!$M$11),"x","")</f>
        <v/>
      </c>
    </row>
    <row r="950" spans="1:30" ht="16.5" customHeight="1">
      <c r="A950" s="318" t="str">
        <f>IF(B950&lt;&gt;"",IF(AND(B950='IN-TC'!$S$4,OR(TH!N950="1111",TH!O950="1111")),TH!D950,""),"")</f>
        <v/>
      </c>
      <c r="B950" s="60" t="str">
        <f t="shared" si="154"/>
        <v/>
      </c>
      <c r="C950" s="261"/>
      <c r="D950" s="261"/>
      <c r="E950" s="261"/>
      <c r="F950" s="1103"/>
      <c r="G950" s="1104"/>
      <c r="H950" s="77"/>
      <c r="I950" s="383"/>
      <c r="J950" s="383"/>
      <c r="K950" s="383"/>
      <c r="L950" s="390"/>
      <c r="M950" s="978"/>
      <c r="N950" s="1019"/>
      <c r="O950" s="1019"/>
      <c r="P950" s="79" t="str">
        <f>IF(AND('331-CT'!$E$7=TH!H950,OR(N950="331",O950="331")),"x","")</f>
        <v/>
      </c>
      <c r="Q950" s="79" t="str">
        <f>IF(AND(B950='111'!$L$11,OR($N950=$Q$7,$O950=$Q$7)),"x","")</f>
        <v/>
      </c>
      <c r="R950" s="79" t="str">
        <f>IF(AND($N950=$Q$7,$B950&lt;'111'!$L$11),"x","")</f>
        <v/>
      </c>
      <c r="S950" s="79" t="str">
        <f>IF(AND($O950=$Q$7,$B950&lt;'111'!$L$11),"x","")</f>
        <v/>
      </c>
      <c r="T950" s="79" t="str">
        <f>IF(ISERROR(FIND('112'!$M$9,G950,1)),"",IF((AND(FIND('112'!$M$9,G950,1)&gt;=1,B950='112'!$K$9,OR($N950='112'!$I$6,$O950='112'!$I$6))),"x",""))</f>
        <v/>
      </c>
      <c r="U950" s="79" t="str">
        <f>IF(ISERROR(FIND('112'!$M$9,G950,1)),"",IF((AND(LEFT(G950,2)=LEFT('112'!$M$9,2),B950&lt;'112'!$K$9,$N950='112'!$I$6)),"x",""))</f>
        <v/>
      </c>
      <c r="V950" s="79" t="str">
        <f>IF(ISERROR(FIND('112'!$M$9,G950,1)),"",IF((AND(RIGHT(G950,2)=RIGHT('112'!$M$9,2),B950&lt;'112'!$K$9,$O950='112'!$I$6)),"x",""))</f>
        <v/>
      </c>
      <c r="W950" s="79" t="str">
        <f>IF(AND('341-CT'!$H$9=H950,OR(LEFT(N950,3)=$W$7,LEFT(O950,3)=$W$7)),"x","")</f>
        <v/>
      </c>
      <c r="X950" s="79" t="str">
        <f>IF(OR(TH!N950=TH!$X$7,O950=TH!$X$7),"x","")</f>
        <v/>
      </c>
      <c r="Y950" s="79" t="str">
        <f>IF(AND(OR(N950="131",O950="131"),H950='131-CT'!$H$9),"x","")</f>
        <v/>
      </c>
      <c r="Z950" s="79"/>
      <c r="AA950" s="79" t="str">
        <f>IF(AND(MONTH(E950)='IN-NX'!$J$5,'IN-NX'!$D$7=D950),"x","")</f>
        <v/>
      </c>
      <c r="AB950" s="79" t="str">
        <f>IF(AND(OR(LEFT(TH!N950,2)="15",LEFT(TH!O950,2)="15"),LEFT(TH!O950,3)&lt;&gt;"111",'152-CT'!$J$8=TH!F950),"x","")</f>
        <v/>
      </c>
      <c r="AC950" s="79" t="str">
        <f>IF(AND(OR(LEFT(TH!N950,2)="15",LEFT(TH!O950,2)="15"),TK!$E$7=TH!F950),"x","")</f>
        <v/>
      </c>
      <c r="AD950" s="79" t="str">
        <f>IF(AND(N950="1521",MONTH(C950)='BK-NL'!$M$11),"x","")</f>
        <v/>
      </c>
    </row>
    <row r="951" spans="1:30" ht="16.5" customHeight="1">
      <c r="A951" s="318" t="str">
        <f>IF(B951&lt;&gt;"",IF(AND(B951='IN-TC'!$S$4,OR(TH!N951="1111",TH!O951="1111")),TH!D951,""),"")</f>
        <v/>
      </c>
      <c r="B951" s="60" t="str">
        <f t="shared" si="154"/>
        <v/>
      </c>
      <c r="C951" s="261"/>
      <c r="D951" s="261"/>
      <c r="E951" s="261"/>
      <c r="F951" s="1103"/>
      <c r="G951" s="1104"/>
      <c r="H951" s="759"/>
      <c r="I951" s="383"/>
      <c r="J951" s="383"/>
      <c r="K951" s="383"/>
      <c r="L951" s="390"/>
      <c r="M951" s="978"/>
      <c r="N951" s="1019"/>
      <c r="O951" s="1019"/>
      <c r="P951" s="79" t="str">
        <f>IF(AND('331-CT'!$E$7=TH!H951,OR(N951="331",O951="331")),"x","")</f>
        <v/>
      </c>
      <c r="Q951" s="79" t="str">
        <f>IF(AND(B951='111'!$L$11,OR($N951=$Q$7,$O951=$Q$7)),"x","")</f>
        <v/>
      </c>
      <c r="R951" s="79" t="str">
        <f>IF(AND($N951=$Q$7,$B951&lt;'111'!$L$11),"x","")</f>
        <v/>
      </c>
      <c r="S951" s="79" t="str">
        <f>IF(AND($O951=$Q$7,$B951&lt;'111'!$L$11),"x","")</f>
        <v/>
      </c>
      <c r="T951" s="79" t="str">
        <f>IF(ISERROR(FIND('112'!$M$9,G951,1)),"",IF((AND(FIND('112'!$M$9,G951,1)&gt;=1,B951='112'!$K$9,OR($N951='112'!$I$6,$O951='112'!$I$6))),"x",""))</f>
        <v/>
      </c>
      <c r="U951" s="79" t="str">
        <f>IF(ISERROR(FIND('112'!$M$9,G951,1)),"",IF((AND(LEFT(G951,2)=LEFT('112'!$M$9,2),B951&lt;'112'!$K$9,$N951='112'!$I$6)),"x",""))</f>
        <v/>
      </c>
      <c r="V951" s="79" t="str">
        <f>IF(ISERROR(FIND('112'!$M$9,G951,1)),"",IF((AND(RIGHT(G951,2)=RIGHT('112'!$M$9,2),B951&lt;'112'!$K$9,$O951='112'!$I$6)),"x",""))</f>
        <v/>
      </c>
      <c r="W951" s="79" t="str">
        <f>IF(AND('341-CT'!$H$9=H951,OR(LEFT(N951,3)=$W$7,LEFT(O951,3)=$W$7)),"x","")</f>
        <v/>
      </c>
      <c r="X951" s="79" t="str">
        <f>IF(OR(TH!N951=TH!$X$7,O951=TH!$X$7),"x","")</f>
        <v/>
      </c>
      <c r="Y951" s="79" t="str">
        <f>IF(AND(OR(N951="131",O951="131"),H951='131-CT'!$H$9),"x","")</f>
        <v/>
      </c>
      <c r="Z951" s="79"/>
      <c r="AA951" s="79" t="str">
        <f>IF(AND(MONTH(E951)='IN-NX'!$J$5,'IN-NX'!$D$7=D951),"x","")</f>
        <v/>
      </c>
      <c r="AB951" s="79" t="str">
        <f>IF(AND(OR(LEFT(TH!N951,2)="15",LEFT(TH!O951,2)="15"),LEFT(TH!O951,3)&lt;&gt;"111",'152-CT'!$J$8=TH!F951),"x","")</f>
        <v/>
      </c>
      <c r="AC951" s="79" t="str">
        <f>IF(AND(OR(LEFT(TH!N951,2)="15",LEFT(TH!O951,2)="15"),TK!$E$7=TH!F951),"x","")</f>
        <v/>
      </c>
      <c r="AD951" s="79" t="str">
        <f>IF(AND(N951="1521",MONTH(C951)='BK-NL'!$M$11),"x","")</f>
        <v/>
      </c>
    </row>
    <row r="952" spans="1:30" ht="16.5" customHeight="1">
      <c r="A952" s="318" t="str">
        <f>IF(B952&lt;&gt;"",IF(AND(B952='IN-TC'!$S$4,OR(TH!N952="1111",TH!O952="1111")),TH!D952,""),"")</f>
        <v/>
      </c>
      <c r="B952" s="60" t="str">
        <f t="shared" si="154"/>
        <v/>
      </c>
      <c r="C952" s="261"/>
      <c r="D952" s="261"/>
      <c r="E952" s="261"/>
      <c r="F952" s="1103"/>
      <c r="G952" s="1104"/>
      <c r="H952" s="759"/>
      <c r="I952" s="383"/>
      <c r="J952" s="383"/>
      <c r="K952" s="383"/>
      <c r="L952" s="390"/>
      <c r="M952" s="978"/>
      <c r="N952" s="1019"/>
      <c r="O952" s="1019"/>
      <c r="P952" s="79" t="str">
        <f>IF(AND('331-CT'!$E$7=TH!H952,OR(N952="331",O952="331")),"x","")</f>
        <v/>
      </c>
      <c r="Q952" s="79" t="str">
        <f>IF(AND(B952='111'!$L$11,OR($N952=$Q$7,$O952=$Q$7)),"x","")</f>
        <v/>
      </c>
      <c r="R952" s="79" t="str">
        <f>IF(AND($N952=$Q$7,$B952&lt;'111'!$L$11),"x","")</f>
        <v/>
      </c>
      <c r="S952" s="79" t="str">
        <f>IF(AND($O952=$Q$7,$B952&lt;'111'!$L$11),"x","")</f>
        <v/>
      </c>
      <c r="T952" s="79" t="str">
        <f>IF(ISERROR(FIND('112'!$M$9,G952,1)),"",IF((AND(FIND('112'!$M$9,G952,1)&gt;=1,B952='112'!$K$9,OR($N952='112'!$I$6,$O952='112'!$I$6))),"x",""))</f>
        <v/>
      </c>
      <c r="U952" s="79" t="str">
        <f>IF(ISERROR(FIND('112'!$M$9,G952,1)),"",IF((AND(LEFT(G952,2)=LEFT('112'!$M$9,2),B952&lt;'112'!$K$9,$N952='112'!$I$6)),"x",""))</f>
        <v/>
      </c>
      <c r="V952" s="79" t="str">
        <f>IF(ISERROR(FIND('112'!$M$9,G952,1)),"",IF((AND(RIGHT(G952,2)=RIGHT('112'!$M$9,2),B952&lt;'112'!$K$9,$O952='112'!$I$6)),"x",""))</f>
        <v/>
      </c>
      <c r="W952" s="79" t="str">
        <f>IF(AND('341-CT'!$H$9=H952,OR(LEFT(N952,3)=$W$7,LEFT(O952,3)=$W$7)),"x","")</f>
        <v/>
      </c>
      <c r="X952" s="79" t="str">
        <f>IF(OR(TH!N952=TH!$X$7,O952=TH!$X$7),"x","")</f>
        <v/>
      </c>
      <c r="Y952" s="79" t="str">
        <f>IF(AND(OR(N952="131",O952="131"),H952='131-CT'!$H$9),"x","")</f>
        <v/>
      </c>
      <c r="Z952" s="79"/>
      <c r="AA952" s="79" t="str">
        <f>IF(AND(MONTH(E952)='IN-NX'!$J$5,'IN-NX'!$D$7=D952),"x","")</f>
        <v/>
      </c>
      <c r="AB952" s="79" t="str">
        <f>IF(AND(OR(LEFT(TH!N952,2)="15",LEFT(TH!O952,2)="15"),LEFT(TH!O952,3)&lt;&gt;"111",'152-CT'!$J$8=TH!F952),"x","")</f>
        <v/>
      </c>
      <c r="AC952" s="79" t="str">
        <f>IF(AND(OR(LEFT(TH!N952,2)="15",LEFT(TH!O952,2)="15"),TK!$E$7=TH!F952),"x","")</f>
        <v/>
      </c>
      <c r="AD952" s="79" t="str">
        <f>IF(AND(N952="1521",MONTH(C952)='BK-NL'!$M$11),"x","")</f>
        <v/>
      </c>
    </row>
    <row r="953" spans="1:30" ht="16.5" customHeight="1">
      <c r="A953" s="318" t="str">
        <f>IF(B953&lt;&gt;"",IF(AND(B953='IN-TC'!$S$4,OR(TH!N953="1111",TH!O953="1111")),TH!D953,""),"")</f>
        <v/>
      </c>
      <c r="B953" s="60" t="str">
        <f t="shared" si="154"/>
        <v/>
      </c>
      <c r="C953" s="261"/>
      <c r="D953" s="261"/>
      <c r="E953" s="261"/>
      <c r="F953" s="1103"/>
      <c r="G953" s="1104"/>
      <c r="H953" s="759"/>
      <c r="I953" s="383"/>
      <c r="J953" s="383"/>
      <c r="K953" s="383"/>
      <c r="L953" s="390"/>
      <c r="M953" s="978"/>
      <c r="N953" s="1019"/>
      <c r="O953" s="1019"/>
      <c r="P953" s="79" t="str">
        <f>IF(AND('331-CT'!$E$7=TH!H953,OR(N953="331",O953="331")),"x","")</f>
        <v/>
      </c>
      <c r="Q953" s="79" t="str">
        <f>IF(AND(B953='111'!$L$11,OR($N953=$Q$7,$O953=$Q$7)),"x","")</f>
        <v/>
      </c>
      <c r="R953" s="79" t="str">
        <f>IF(AND($N953=$Q$7,$B953&lt;'111'!$L$11),"x","")</f>
        <v/>
      </c>
      <c r="S953" s="79" t="str">
        <f>IF(AND($O953=$Q$7,$B953&lt;'111'!$L$11),"x","")</f>
        <v/>
      </c>
      <c r="T953" s="79" t="str">
        <f>IF(ISERROR(FIND('112'!$M$9,G953,1)),"",IF((AND(FIND('112'!$M$9,G953,1)&gt;=1,B953='112'!$K$9,OR($N953='112'!$I$6,$O953='112'!$I$6))),"x",""))</f>
        <v/>
      </c>
      <c r="U953" s="79" t="str">
        <f>IF(ISERROR(FIND('112'!$M$9,G953,1)),"",IF((AND(LEFT(G953,2)=LEFT('112'!$M$9,2),B953&lt;'112'!$K$9,$N953='112'!$I$6)),"x",""))</f>
        <v/>
      </c>
      <c r="V953" s="79" t="str">
        <f>IF(ISERROR(FIND('112'!$M$9,G953,1)),"",IF((AND(RIGHT(G953,2)=RIGHT('112'!$M$9,2),B953&lt;'112'!$K$9,$O953='112'!$I$6)),"x",""))</f>
        <v/>
      </c>
      <c r="W953" s="79" t="str">
        <f>IF(AND('341-CT'!$H$9=H953,OR(LEFT(N953,3)=$W$7,LEFT(O953,3)=$W$7)),"x","")</f>
        <v/>
      </c>
      <c r="X953" s="79" t="str">
        <f>IF(OR(TH!N953=TH!$X$7,O953=TH!$X$7),"x","")</f>
        <v/>
      </c>
      <c r="Y953" s="79" t="str">
        <f>IF(AND(OR(N953="131",O953="131"),H953='131-CT'!$H$9),"x","")</f>
        <v/>
      </c>
      <c r="Z953" s="79"/>
      <c r="AA953" s="79" t="str">
        <f>IF(AND(MONTH(E953)='IN-NX'!$J$5,'IN-NX'!$D$7=D953),"x","")</f>
        <v/>
      </c>
      <c r="AB953" s="79" t="str">
        <f>IF(AND(OR(LEFT(TH!N953,2)="15",LEFT(TH!O953,2)="15"),LEFT(TH!O953,3)&lt;&gt;"111",'152-CT'!$J$8=TH!F953),"x","")</f>
        <v/>
      </c>
      <c r="AC953" s="79" t="str">
        <f>IF(AND(OR(LEFT(TH!N953,2)="15",LEFT(TH!O953,2)="15"),TK!$E$7=TH!F953),"x","")</f>
        <v/>
      </c>
      <c r="AD953" s="79" t="str">
        <f>IF(AND(N953="1521",MONTH(C953)='BK-NL'!$M$11),"x","")</f>
        <v/>
      </c>
    </row>
    <row r="954" spans="1:30" ht="16.5" customHeight="1">
      <c r="A954" s="318" t="str">
        <f>IF(B954&lt;&gt;"",IF(AND(B954='IN-TC'!$S$4,OR(TH!N954="1111",TH!O954="1111")),TH!D954,""),"")</f>
        <v/>
      </c>
      <c r="B954" s="60" t="str">
        <f t="shared" si="154"/>
        <v/>
      </c>
      <c r="C954" s="261"/>
      <c r="D954" s="261"/>
      <c r="E954" s="261"/>
      <c r="F954" s="1103"/>
      <c r="G954" s="1104"/>
      <c r="H954" s="759"/>
      <c r="I954" s="383"/>
      <c r="J954" s="383"/>
      <c r="K954" s="383"/>
      <c r="L954" s="390"/>
      <c r="M954" s="978"/>
      <c r="N954" s="1019"/>
      <c r="O954" s="1019"/>
      <c r="P954" s="79" t="str">
        <f>IF(AND('331-CT'!$E$7=TH!H954,OR(N954="331",O954="331")),"x","")</f>
        <v/>
      </c>
      <c r="Q954" s="79" t="str">
        <f>IF(AND(B954='111'!$L$11,OR($N954=$Q$7,$O954=$Q$7)),"x","")</f>
        <v/>
      </c>
      <c r="R954" s="79" t="str">
        <f>IF(AND($N954=$Q$7,$B954&lt;'111'!$L$11),"x","")</f>
        <v/>
      </c>
      <c r="S954" s="79" t="str">
        <f>IF(AND($O954=$Q$7,$B954&lt;'111'!$L$11),"x","")</f>
        <v/>
      </c>
      <c r="T954" s="79" t="str">
        <f>IF(ISERROR(FIND('112'!$M$9,G954,1)),"",IF((AND(FIND('112'!$M$9,G954,1)&gt;=1,B954='112'!$K$9,OR($N954='112'!$I$6,$O954='112'!$I$6))),"x",""))</f>
        <v/>
      </c>
      <c r="U954" s="79" t="str">
        <f>IF(ISERROR(FIND('112'!$M$9,G954,1)),"",IF((AND(LEFT(G954,2)=LEFT('112'!$M$9,2),B954&lt;'112'!$K$9,$N954='112'!$I$6)),"x",""))</f>
        <v/>
      </c>
      <c r="V954" s="79" t="str">
        <f>IF(ISERROR(FIND('112'!$M$9,G954,1)),"",IF((AND(RIGHT(G954,2)=RIGHT('112'!$M$9,2),B954&lt;'112'!$K$9,$O954='112'!$I$6)),"x",""))</f>
        <v/>
      </c>
      <c r="W954" s="79" t="str">
        <f>IF(AND('341-CT'!$H$9=H954,OR(LEFT(N954,3)=$W$7,LEFT(O954,3)=$W$7)),"x","")</f>
        <v/>
      </c>
      <c r="X954" s="79" t="str">
        <f>IF(OR(TH!N954=TH!$X$7,O954=TH!$X$7),"x","")</f>
        <v/>
      </c>
      <c r="Y954" s="79" t="str">
        <f>IF(AND(OR(N954="131",O954="131"),H954='131-CT'!$H$9),"x","")</f>
        <v/>
      </c>
      <c r="Z954" s="79"/>
      <c r="AA954" s="79" t="str">
        <f>IF(AND(MONTH(E954)='IN-NX'!$J$5,'IN-NX'!$D$7=D954),"x","")</f>
        <v/>
      </c>
      <c r="AB954" s="79" t="str">
        <f>IF(AND(OR(LEFT(TH!N954,2)="15",LEFT(TH!O954,2)="15"),LEFT(TH!O954,3)&lt;&gt;"111",'152-CT'!$J$8=TH!F954),"x","")</f>
        <v/>
      </c>
      <c r="AC954" s="79" t="str">
        <f>IF(AND(OR(LEFT(TH!N954,2)="15",LEFT(TH!O954,2)="15"),TK!$E$7=TH!F954),"x","")</f>
        <v/>
      </c>
      <c r="AD954" s="79" t="str">
        <f>IF(AND(N954="1521",MONTH(C954)='BK-NL'!$M$11),"x","")</f>
        <v/>
      </c>
    </row>
    <row r="955" spans="1:30" ht="16.5" customHeight="1">
      <c r="A955" s="318" t="str">
        <f>IF(B955&lt;&gt;"",IF(AND(B955='IN-TC'!$S$4,OR(TH!N955="1111",TH!O955="1111")),TH!D955,""),"")</f>
        <v/>
      </c>
      <c r="B955" s="60" t="str">
        <f t="shared" si="154"/>
        <v/>
      </c>
      <c r="C955" s="261"/>
      <c r="D955" s="261"/>
      <c r="E955" s="261"/>
      <c r="F955" s="1103"/>
      <c r="G955" s="1104"/>
      <c r="H955" s="759"/>
      <c r="I955" s="383"/>
      <c r="J955" s="383"/>
      <c r="K955" s="383"/>
      <c r="L955" s="390"/>
      <c r="M955" s="978"/>
      <c r="N955" s="1019"/>
      <c r="O955" s="1019"/>
      <c r="P955" s="79" t="str">
        <f>IF(AND('331-CT'!$E$7=TH!H955,OR(N955="331",O955="331")),"x","")</f>
        <v/>
      </c>
      <c r="Q955" s="79" t="str">
        <f>IF(AND(B955='111'!$L$11,OR($N955=$Q$7,$O955=$Q$7)),"x","")</f>
        <v/>
      </c>
      <c r="R955" s="79" t="str">
        <f>IF(AND($N955=$Q$7,$B955&lt;'111'!$L$11),"x","")</f>
        <v/>
      </c>
      <c r="S955" s="79" t="str">
        <f>IF(AND($O955=$Q$7,$B955&lt;'111'!$L$11),"x","")</f>
        <v/>
      </c>
      <c r="T955" s="79" t="str">
        <f>IF(ISERROR(FIND('112'!$M$9,G955,1)),"",IF((AND(FIND('112'!$M$9,G955,1)&gt;=1,B955='112'!$K$9,OR($N955='112'!$I$6,$O955='112'!$I$6))),"x",""))</f>
        <v/>
      </c>
      <c r="U955" s="79" t="str">
        <f>IF(ISERROR(FIND('112'!$M$9,G955,1)),"",IF((AND(LEFT(G955,2)=LEFT('112'!$M$9,2),B955&lt;'112'!$K$9,$N955='112'!$I$6)),"x",""))</f>
        <v/>
      </c>
      <c r="V955" s="79" t="str">
        <f>IF(ISERROR(FIND('112'!$M$9,G955,1)),"",IF((AND(RIGHT(G955,2)=RIGHT('112'!$M$9,2),B955&lt;'112'!$K$9,$O955='112'!$I$6)),"x",""))</f>
        <v/>
      </c>
      <c r="W955" s="79" t="str">
        <f>IF(AND('341-CT'!$H$9=H955,OR(LEFT(N955,3)=$W$7,LEFT(O955,3)=$W$7)),"x","")</f>
        <v/>
      </c>
      <c r="X955" s="79" t="str">
        <f>IF(OR(TH!N955=TH!$X$7,O955=TH!$X$7),"x","")</f>
        <v/>
      </c>
      <c r="Y955" s="79" t="str">
        <f>IF(AND(OR(N955="131",O955="131"),H955='131-CT'!$H$9),"x","")</f>
        <v/>
      </c>
      <c r="Z955" s="79"/>
      <c r="AA955" s="79" t="str">
        <f>IF(AND(MONTH(E955)='IN-NX'!$J$5,'IN-NX'!$D$7=D955),"x","")</f>
        <v/>
      </c>
      <c r="AB955" s="79" t="str">
        <f>IF(AND(OR(LEFT(TH!N955,2)="15",LEFT(TH!O955,2)="15"),LEFT(TH!O955,3)&lt;&gt;"111",'152-CT'!$J$8=TH!F955),"x","")</f>
        <v/>
      </c>
      <c r="AC955" s="79" t="str">
        <f>IF(AND(OR(LEFT(TH!N955,2)="15",LEFT(TH!O955,2)="15"),TK!$E$7=TH!F955),"x","")</f>
        <v/>
      </c>
      <c r="AD955" s="79" t="str">
        <f>IF(AND(N955="1521",MONTH(C955)='BK-NL'!$M$11),"x","")</f>
        <v/>
      </c>
    </row>
    <row r="956" spans="1:30" ht="16.5" customHeight="1">
      <c r="A956" s="318" t="str">
        <f>IF(B956&lt;&gt;"",IF(AND(B956='IN-TC'!$S$4,OR(TH!N956="1111",TH!O956="1111")),TH!D956,""),"")</f>
        <v/>
      </c>
      <c r="B956" s="60" t="str">
        <f t="shared" si="154"/>
        <v/>
      </c>
      <c r="C956" s="261"/>
      <c r="D956" s="261"/>
      <c r="E956" s="261"/>
      <c r="F956" s="1103"/>
      <c r="G956" s="1104"/>
      <c r="H956" s="759"/>
      <c r="I956" s="383"/>
      <c r="J956" s="383"/>
      <c r="K956" s="383"/>
      <c r="L956" s="390"/>
      <c r="M956" s="978"/>
      <c r="N956" s="1019"/>
      <c r="O956" s="1019"/>
      <c r="P956" s="79" t="str">
        <f>IF(AND('331-CT'!$E$7=TH!H956,OR(N956="331",O956="331")),"x","")</f>
        <v/>
      </c>
      <c r="Q956" s="79" t="str">
        <f>IF(AND(B956='111'!$L$11,OR($N956=$Q$7,$O956=$Q$7)),"x","")</f>
        <v/>
      </c>
      <c r="R956" s="79" t="str">
        <f>IF(AND($N956=$Q$7,$B956&lt;'111'!$L$11),"x","")</f>
        <v/>
      </c>
      <c r="S956" s="79" t="str">
        <f>IF(AND($O956=$Q$7,$B956&lt;'111'!$L$11),"x","")</f>
        <v/>
      </c>
      <c r="T956" s="79" t="str">
        <f>IF(ISERROR(FIND('112'!$M$9,G956,1)),"",IF((AND(FIND('112'!$M$9,G956,1)&gt;=1,B956='112'!$K$9,OR($N956='112'!$I$6,$O956='112'!$I$6))),"x",""))</f>
        <v/>
      </c>
      <c r="U956" s="79" t="str">
        <f>IF(ISERROR(FIND('112'!$M$9,G956,1)),"",IF((AND(LEFT(G956,2)=LEFT('112'!$M$9,2),B956&lt;'112'!$K$9,$N956='112'!$I$6)),"x",""))</f>
        <v/>
      </c>
      <c r="V956" s="79" t="str">
        <f>IF(ISERROR(FIND('112'!$M$9,G956,1)),"",IF((AND(RIGHT(G956,2)=RIGHT('112'!$M$9,2),B956&lt;'112'!$K$9,$O956='112'!$I$6)),"x",""))</f>
        <v/>
      </c>
      <c r="W956" s="79" t="str">
        <f>IF(AND('341-CT'!$H$9=H956,OR(LEFT(N956,3)=$W$7,LEFT(O956,3)=$W$7)),"x","")</f>
        <v/>
      </c>
      <c r="X956" s="79" t="str">
        <f>IF(OR(TH!N956=TH!$X$7,O956=TH!$X$7),"x","")</f>
        <v/>
      </c>
      <c r="Y956" s="79" t="str">
        <f>IF(AND(OR(N956="131",O956="131"),H956='131-CT'!$H$9),"x","")</f>
        <v/>
      </c>
      <c r="Z956" s="79"/>
      <c r="AA956" s="79" t="str">
        <f>IF(AND(MONTH(E956)='IN-NX'!$J$5,'IN-NX'!$D$7=D956),"x","")</f>
        <v/>
      </c>
      <c r="AB956" s="79" t="str">
        <f>IF(AND(OR(LEFT(TH!N956,2)="15",LEFT(TH!O956,2)="15"),LEFT(TH!O956,3)&lt;&gt;"111",'152-CT'!$J$8=TH!F956),"x","")</f>
        <v/>
      </c>
      <c r="AC956" s="79" t="str">
        <f>IF(AND(OR(LEFT(TH!N956,2)="15",LEFT(TH!O956,2)="15"),TK!$E$7=TH!F956),"x","")</f>
        <v/>
      </c>
      <c r="AD956" s="79" t="str">
        <f>IF(AND(N956="1521",MONTH(C956)='BK-NL'!$M$11),"x","")</f>
        <v/>
      </c>
    </row>
    <row r="957" spans="1:30" ht="16.5" customHeight="1">
      <c r="A957" s="318" t="str">
        <f>IF(B957&lt;&gt;"",IF(AND(B957='IN-TC'!$S$4,OR(TH!N957="1111",TH!O957="1111")),TH!D957,""),"")</f>
        <v/>
      </c>
      <c r="B957" s="60" t="str">
        <f t="shared" si="154"/>
        <v/>
      </c>
      <c r="C957" s="261"/>
      <c r="D957" s="261"/>
      <c r="E957" s="261"/>
      <c r="F957" s="1103"/>
      <c r="G957" s="1104"/>
      <c r="H957" s="759"/>
      <c r="I957" s="383"/>
      <c r="J957" s="383"/>
      <c r="K957" s="383"/>
      <c r="L957" s="390"/>
      <c r="M957" s="978"/>
      <c r="N957" s="1019"/>
      <c r="O957" s="1019"/>
      <c r="P957" s="79" t="str">
        <f>IF(AND('331-CT'!$E$7=TH!H957,OR(N957="331",O957="331")),"x","")</f>
        <v/>
      </c>
      <c r="Q957" s="79" t="str">
        <f>IF(AND(B957='111'!$L$11,OR($N957=$Q$7,$O957=$Q$7)),"x","")</f>
        <v/>
      </c>
      <c r="R957" s="79" t="str">
        <f>IF(AND($N957=$Q$7,$B957&lt;'111'!$L$11),"x","")</f>
        <v/>
      </c>
      <c r="S957" s="79" t="str">
        <f>IF(AND($O957=$Q$7,$B957&lt;'111'!$L$11),"x","")</f>
        <v/>
      </c>
      <c r="T957" s="79" t="str">
        <f>IF(ISERROR(FIND('112'!$M$9,G957,1)),"",IF((AND(FIND('112'!$M$9,G957,1)&gt;=1,B957='112'!$K$9,OR($N957='112'!$I$6,$O957='112'!$I$6))),"x",""))</f>
        <v/>
      </c>
      <c r="U957" s="79" t="str">
        <f>IF(ISERROR(FIND('112'!$M$9,G957,1)),"",IF((AND(LEFT(G957,2)=LEFT('112'!$M$9,2),B957&lt;'112'!$K$9,$N957='112'!$I$6)),"x",""))</f>
        <v/>
      </c>
      <c r="V957" s="79" t="str">
        <f>IF(ISERROR(FIND('112'!$M$9,G957,1)),"",IF((AND(RIGHT(G957,2)=RIGHT('112'!$M$9,2),B957&lt;'112'!$K$9,$O957='112'!$I$6)),"x",""))</f>
        <v/>
      </c>
      <c r="W957" s="79" t="str">
        <f>IF(AND('341-CT'!$H$9=H957,OR(LEFT(N957,3)=$W$7,LEFT(O957,3)=$W$7)),"x","")</f>
        <v/>
      </c>
      <c r="X957" s="79" t="str">
        <f>IF(OR(TH!N957=TH!$X$7,O957=TH!$X$7),"x","")</f>
        <v/>
      </c>
      <c r="Y957" s="79" t="str">
        <f>IF(AND(OR(N957="131",O957="131"),H957='131-CT'!$H$9),"x","")</f>
        <v/>
      </c>
      <c r="Z957" s="79"/>
      <c r="AA957" s="79" t="str">
        <f>IF(AND(MONTH(E957)='IN-NX'!$J$5,'IN-NX'!$D$7=D957),"x","")</f>
        <v/>
      </c>
      <c r="AB957" s="79" t="str">
        <f>IF(AND(OR(LEFT(TH!N957,2)="15",LEFT(TH!O957,2)="15"),LEFT(TH!O957,3)&lt;&gt;"111",'152-CT'!$J$8=TH!F957),"x","")</f>
        <v/>
      </c>
      <c r="AC957" s="79" t="str">
        <f>IF(AND(OR(LEFT(TH!N957,2)="15",LEFT(TH!O957,2)="15"),TK!$E$7=TH!F957),"x","")</f>
        <v/>
      </c>
      <c r="AD957" s="79" t="str">
        <f>IF(AND(N957="1521",MONTH(C957)='BK-NL'!$M$11),"x","")</f>
        <v/>
      </c>
    </row>
    <row r="958" spans="1:30" ht="16.5" customHeight="1">
      <c r="A958" s="318" t="str">
        <f>IF(B958&lt;&gt;"",IF(AND(B958='IN-TC'!$S$4,OR(TH!N958="1111",TH!O958="1111")),TH!D958,""),"")</f>
        <v/>
      </c>
      <c r="B958" s="60" t="str">
        <f t="shared" si="154"/>
        <v/>
      </c>
      <c r="C958" s="261"/>
      <c r="D958" s="261"/>
      <c r="E958" s="261"/>
      <c r="F958" s="1131"/>
      <c r="G958" s="1104"/>
      <c r="H958" s="759"/>
      <c r="I958" s="383"/>
      <c r="J958" s="383"/>
      <c r="K958" s="383"/>
      <c r="L958" s="390"/>
      <c r="M958" s="978"/>
      <c r="N958" s="1019"/>
      <c r="O958" s="1019"/>
      <c r="P958" s="79" t="str">
        <f>IF(AND('331-CT'!$E$7=TH!H958,OR(N958="331",O958="331")),"x","")</f>
        <v/>
      </c>
      <c r="Q958" s="79" t="str">
        <f>IF(AND(B958='111'!$L$11,OR($N958=$Q$7,$O958=$Q$7)),"x","")</f>
        <v/>
      </c>
      <c r="R958" s="79" t="str">
        <f>IF(AND($N958=$Q$7,$B958&lt;'111'!$L$11),"x","")</f>
        <v/>
      </c>
      <c r="S958" s="79" t="str">
        <f>IF(AND($O958=$Q$7,$B958&lt;'111'!$L$11),"x","")</f>
        <v/>
      </c>
      <c r="T958" s="79" t="str">
        <f>IF(ISERROR(FIND('112'!$M$9,G958,1)),"",IF((AND(FIND('112'!$M$9,G958,1)&gt;=1,B958='112'!$K$9,OR($N958='112'!$I$6,$O958='112'!$I$6))),"x",""))</f>
        <v/>
      </c>
      <c r="U958" s="79" t="str">
        <f>IF(ISERROR(FIND('112'!$M$9,G958,1)),"",IF((AND(LEFT(G958,2)=LEFT('112'!$M$9,2),B958&lt;'112'!$K$9,$N958='112'!$I$6)),"x",""))</f>
        <v/>
      </c>
      <c r="V958" s="79" t="str">
        <f>IF(ISERROR(FIND('112'!$M$9,G958,1)),"",IF((AND(RIGHT(G958,2)=RIGHT('112'!$M$9,2),B958&lt;'112'!$K$9,$O958='112'!$I$6)),"x",""))</f>
        <v/>
      </c>
      <c r="W958" s="79" t="str">
        <f>IF(AND('341-CT'!$H$9=H958,OR(LEFT(N958,3)=$W$7,LEFT(O958,3)=$W$7)),"x","")</f>
        <v/>
      </c>
      <c r="X958" s="79" t="str">
        <f>IF(OR(TH!N958=TH!$X$7,O958=TH!$X$7),"x","")</f>
        <v/>
      </c>
      <c r="Y958" s="79" t="str">
        <f>IF(AND(OR(N958="131",O958="131"),H958='131-CT'!$H$9),"x","")</f>
        <v/>
      </c>
      <c r="Z958" s="79"/>
      <c r="AA958" s="79" t="str">
        <f>IF(AND(MONTH(E958)='IN-NX'!$J$5,'IN-NX'!$D$7=D958),"x","")</f>
        <v/>
      </c>
      <c r="AB958" s="79" t="str">
        <f>IF(AND(OR(LEFT(TH!N958,2)="15",LEFT(TH!O958,2)="15"),LEFT(TH!O958,3)&lt;&gt;"111",'152-CT'!$J$8=TH!F958),"x","")</f>
        <v/>
      </c>
      <c r="AC958" s="79" t="str">
        <f>IF(AND(OR(LEFT(TH!N958,2)="15",LEFT(TH!O958,2)="15"),TK!$E$7=TH!F958),"x","")</f>
        <v/>
      </c>
      <c r="AD958" s="79" t="str">
        <f>IF(AND(N958="1521",MONTH(C958)='BK-NL'!$M$11),"x","")</f>
        <v/>
      </c>
    </row>
    <row r="959" spans="1:30" ht="16.5" customHeight="1">
      <c r="A959" s="318" t="str">
        <f>IF(B959&lt;&gt;"",IF(AND(B959='IN-TC'!$S$4,OR(TH!N959="1111",TH!O959="1111")),TH!D959,""),"")</f>
        <v/>
      </c>
      <c r="B959" s="60" t="str">
        <f t="shared" si="154"/>
        <v/>
      </c>
      <c r="C959" s="261"/>
      <c r="D959" s="261"/>
      <c r="E959" s="261"/>
      <c r="F959" s="1103"/>
      <c r="G959" s="1104"/>
      <c r="H959" s="759"/>
      <c r="I959" s="383"/>
      <c r="J959" s="383"/>
      <c r="K959" s="383"/>
      <c r="L959" s="390"/>
      <c r="M959" s="978"/>
      <c r="N959" s="1019"/>
      <c r="O959" s="1019"/>
      <c r="P959" s="79" t="str">
        <f>IF(AND('331-CT'!$E$7=TH!H959,OR(N959="331",O959="331")),"x","")</f>
        <v/>
      </c>
      <c r="Q959" s="79" t="str">
        <f>IF(AND(B959='111'!$L$11,OR($N959=$Q$7,$O959=$Q$7)),"x","")</f>
        <v/>
      </c>
      <c r="R959" s="79" t="str">
        <f>IF(AND($N959=$Q$7,$B959&lt;'111'!$L$11),"x","")</f>
        <v/>
      </c>
      <c r="S959" s="79" t="str">
        <f>IF(AND($O959=$Q$7,$B959&lt;'111'!$L$11),"x","")</f>
        <v/>
      </c>
      <c r="T959" s="79" t="str">
        <f>IF(ISERROR(FIND('112'!$M$9,G959,1)),"",IF((AND(FIND('112'!$M$9,G959,1)&gt;=1,B959='112'!$K$9,OR($N959='112'!$I$6,$O959='112'!$I$6))),"x",""))</f>
        <v/>
      </c>
      <c r="U959" s="79" t="str">
        <f>IF(ISERROR(FIND('112'!$M$9,G959,1)),"",IF((AND(LEFT(G959,2)=LEFT('112'!$M$9,2),B959&lt;'112'!$K$9,$N959='112'!$I$6)),"x",""))</f>
        <v/>
      </c>
      <c r="V959" s="79" t="str">
        <f>IF(ISERROR(FIND('112'!$M$9,G959,1)),"",IF((AND(RIGHT(G959,2)=RIGHT('112'!$M$9,2),B959&lt;'112'!$K$9,$O959='112'!$I$6)),"x",""))</f>
        <v/>
      </c>
      <c r="W959" s="79" t="str">
        <f>IF(AND('341-CT'!$H$9=H959,OR(LEFT(N959,3)=$W$7,LEFT(O959,3)=$W$7)),"x","")</f>
        <v/>
      </c>
      <c r="X959" s="79" t="str">
        <f>IF(OR(TH!N959=TH!$X$7,O959=TH!$X$7),"x","")</f>
        <v/>
      </c>
      <c r="Y959" s="79" t="str">
        <f>IF(AND(OR(N959="131",O959="131"),H959='131-CT'!$H$9),"x","")</f>
        <v/>
      </c>
      <c r="Z959" s="79"/>
      <c r="AA959" s="79" t="str">
        <f>IF(AND(MONTH(E959)='IN-NX'!$J$5,'IN-NX'!$D$7=D959),"x","")</f>
        <v/>
      </c>
      <c r="AB959" s="79" t="str">
        <f>IF(AND(OR(LEFT(TH!N959,2)="15",LEFT(TH!O959,2)="15"),LEFT(TH!O959,3)&lt;&gt;"111",'152-CT'!$J$8=TH!F959),"x","")</f>
        <v/>
      </c>
      <c r="AC959" s="79" t="str">
        <f>IF(AND(OR(LEFT(TH!N959,2)="15",LEFT(TH!O959,2)="15"),TK!$E$7=TH!F959),"x","")</f>
        <v/>
      </c>
      <c r="AD959" s="79" t="str">
        <f>IF(AND(N959="1521",MONTH(C959)='BK-NL'!$M$11),"x","")</f>
        <v/>
      </c>
    </row>
    <row r="960" spans="1:30" ht="16.5" customHeight="1">
      <c r="A960" s="318" t="str">
        <f>IF(B960&lt;&gt;"",IF(AND(B960='IN-TC'!$S$4,OR(TH!N960="1111",TH!O960="1111")),TH!D960,""),"")</f>
        <v/>
      </c>
      <c r="B960" s="60" t="str">
        <f t="shared" si="154"/>
        <v/>
      </c>
      <c r="C960" s="261"/>
      <c r="D960" s="261"/>
      <c r="E960" s="261"/>
      <c r="F960" s="1103"/>
      <c r="G960" s="1104"/>
      <c r="H960" s="759"/>
      <c r="I960" s="383"/>
      <c r="J960" s="383"/>
      <c r="K960" s="383"/>
      <c r="L960" s="390"/>
      <c r="M960" s="978"/>
      <c r="N960" s="1019"/>
      <c r="O960" s="1019"/>
      <c r="P960" s="79" t="str">
        <f>IF(AND('331-CT'!$E$7=TH!H960,OR(N960="331",O960="331")),"x","")</f>
        <v/>
      </c>
      <c r="Q960" s="79" t="str">
        <f>IF(AND(B960='111'!$L$11,OR($N960=$Q$7,$O960=$Q$7)),"x","")</f>
        <v/>
      </c>
      <c r="R960" s="79" t="str">
        <f>IF(AND($N960=$Q$7,$B960&lt;'111'!$L$11),"x","")</f>
        <v/>
      </c>
      <c r="S960" s="79" t="str">
        <f>IF(AND($O960=$Q$7,$B960&lt;'111'!$L$11),"x","")</f>
        <v/>
      </c>
      <c r="T960" s="79" t="str">
        <f>IF(ISERROR(FIND('112'!$M$9,G960,1)),"",IF((AND(FIND('112'!$M$9,G960,1)&gt;=1,B960='112'!$K$9,OR($N960='112'!$I$6,$O960='112'!$I$6))),"x",""))</f>
        <v/>
      </c>
      <c r="U960" s="79" t="str">
        <f>IF(ISERROR(FIND('112'!$M$9,G960,1)),"",IF((AND(LEFT(G960,2)=LEFT('112'!$M$9,2),B960&lt;'112'!$K$9,$N960='112'!$I$6)),"x",""))</f>
        <v/>
      </c>
      <c r="V960" s="79" t="str">
        <f>IF(ISERROR(FIND('112'!$M$9,G960,1)),"",IF((AND(RIGHT(G960,2)=RIGHT('112'!$M$9,2),B960&lt;'112'!$K$9,$O960='112'!$I$6)),"x",""))</f>
        <v/>
      </c>
      <c r="W960" s="79" t="str">
        <f>IF(AND('341-CT'!$H$9=H960,OR(LEFT(N960,3)=$W$7,LEFT(O960,3)=$W$7)),"x","")</f>
        <v/>
      </c>
      <c r="X960" s="79" t="str">
        <f>IF(OR(TH!N960=TH!$X$7,O960=TH!$X$7),"x","")</f>
        <v/>
      </c>
      <c r="Y960" s="79" t="str">
        <f>IF(AND(OR(N960="131",O960="131"),H960='131-CT'!$H$9),"x","")</f>
        <v/>
      </c>
      <c r="Z960" s="79"/>
      <c r="AA960" s="79" t="str">
        <f>IF(AND(MONTH(E960)='IN-NX'!$J$5,'IN-NX'!$D$7=D960),"x","")</f>
        <v/>
      </c>
      <c r="AB960" s="79" t="str">
        <f>IF(AND(OR(LEFT(TH!N960,2)="15",LEFT(TH!O960,2)="15"),LEFT(TH!O960,3)&lt;&gt;"111",'152-CT'!$J$8=TH!F960),"x","")</f>
        <v/>
      </c>
      <c r="AC960" s="79" t="str">
        <f>IF(AND(OR(LEFT(TH!N960,2)="15",LEFT(TH!O960,2)="15"),TK!$E$7=TH!F960),"x","")</f>
        <v/>
      </c>
      <c r="AD960" s="79" t="str">
        <f>IF(AND(N960="1521",MONTH(C960)='BK-NL'!$M$11),"x","")</f>
        <v/>
      </c>
    </row>
    <row r="961" spans="1:30" ht="16.5" customHeight="1">
      <c r="A961" s="318" t="str">
        <f>IF(B961&lt;&gt;"",IF(AND(B961='IN-TC'!$S$4,OR(TH!N961="1111",TH!O961="1111")),TH!D961,""),"")</f>
        <v/>
      </c>
      <c r="B961" s="60" t="str">
        <f t="shared" si="154"/>
        <v/>
      </c>
      <c r="C961" s="261"/>
      <c r="D961" s="261"/>
      <c r="E961" s="261"/>
      <c r="F961" s="1103"/>
      <c r="G961" s="1104"/>
      <c r="H961" s="759"/>
      <c r="I961" s="383"/>
      <c r="J961" s="383"/>
      <c r="K961" s="383"/>
      <c r="L961" s="390"/>
      <c r="M961" s="978"/>
      <c r="N961" s="1019"/>
      <c r="O961" s="1019"/>
      <c r="P961" s="79" t="str">
        <f>IF(AND('331-CT'!$E$7=TH!H961,OR(N961="331",O961="331")),"x","")</f>
        <v/>
      </c>
      <c r="Q961" s="79" t="str">
        <f>IF(AND(B961='111'!$L$11,OR($N961=$Q$7,$O961=$Q$7)),"x","")</f>
        <v/>
      </c>
      <c r="R961" s="79" t="str">
        <f>IF(AND($N961=$Q$7,$B961&lt;'111'!$L$11),"x","")</f>
        <v/>
      </c>
      <c r="S961" s="79" t="str">
        <f>IF(AND($O961=$Q$7,$B961&lt;'111'!$L$11),"x","")</f>
        <v/>
      </c>
      <c r="T961" s="79" t="str">
        <f>IF(ISERROR(FIND('112'!$M$9,G961,1)),"",IF((AND(FIND('112'!$M$9,G961,1)&gt;=1,B961='112'!$K$9,OR($N961='112'!$I$6,$O961='112'!$I$6))),"x",""))</f>
        <v/>
      </c>
      <c r="U961" s="79" t="str">
        <f>IF(ISERROR(FIND('112'!$M$9,G961,1)),"",IF((AND(LEFT(G961,2)=LEFT('112'!$M$9,2),B961&lt;'112'!$K$9,$N961='112'!$I$6)),"x",""))</f>
        <v/>
      </c>
      <c r="V961" s="79" t="str">
        <f>IF(ISERROR(FIND('112'!$M$9,G961,1)),"",IF((AND(RIGHT(G961,2)=RIGHT('112'!$M$9,2),B961&lt;'112'!$K$9,$O961='112'!$I$6)),"x",""))</f>
        <v/>
      </c>
      <c r="W961" s="79" t="str">
        <f>IF(AND('341-CT'!$H$9=H961,OR(LEFT(N961,3)=$W$7,LEFT(O961,3)=$W$7)),"x","")</f>
        <v/>
      </c>
      <c r="X961" s="79" t="str">
        <f>IF(OR(TH!N961=TH!$X$7,O961=TH!$X$7),"x","")</f>
        <v/>
      </c>
      <c r="Y961" s="79" t="str">
        <f>IF(AND(OR(N961="131",O961="131"),H961='131-CT'!$H$9),"x","")</f>
        <v/>
      </c>
      <c r="Z961" s="79"/>
      <c r="AA961" s="79" t="str">
        <f>IF(AND(MONTH(E961)='IN-NX'!$J$5,'IN-NX'!$D$7=D961),"x","")</f>
        <v/>
      </c>
      <c r="AB961" s="79" t="str">
        <f>IF(AND(OR(LEFT(TH!N961,2)="15",LEFT(TH!O961,2)="15"),LEFT(TH!O961,3)&lt;&gt;"111",'152-CT'!$J$8=TH!F961),"x","")</f>
        <v/>
      </c>
      <c r="AC961" s="79" t="str">
        <f>IF(AND(OR(LEFT(TH!N961,2)="15",LEFT(TH!O961,2)="15"),TK!$E$7=TH!F961),"x","")</f>
        <v/>
      </c>
      <c r="AD961" s="79" t="str">
        <f>IF(AND(N961="1521",MONTH(C961)='BK-NL'!$M$11),"x","")</f>
        <v/>
      </c>
    </row>
    <row r="962" spans="1:30" s="1102" customFormat="1" ht="16.5" customHeight="1">
      <c r="A962" s="318" t="str">
        <f>IF(B962&lt;&gt;"",IF(AND(B962='IN-TC'!$S$4,OR(TH!N962="1111",TH!O962="1111")),TH!D962,""),"")</f>
        <v/>
      </c>
      <c r="B962" s="60" t="str">
        <f t="shared" ref="B962:B978" si="155">IF(C962&lt;&gt;"",MONTH(C962),"")</f>
        <v/>
      </c>
      <c r="C962" s="981"/>
      <c r="D962" s="981"/>
      <c r="E962" s="981"/>
      <c r="F962" s="1008"/>
      <c r="G962" s="987"/>
      <c r="H962" s="997"/>
      <c r="I962" s="984"/>
      <c r="J962" s="984"/>
      <c r="K962" s="984"/>
      <c r="L962" s="983"/>
      <c r="M962" s="985"/>
      <c r="N962" s="986"/>
      <c r="O962" s="986"/>
      <c r="P962" s="79" t="str">
        <f>IF(AND('331-CT'!$E$7=TH!H962,OR(N962="331",O962="331")),"x","")</f>
        <v/>
      </c>
      <c r="Q962" s="79" t="str">
        <f>IF(AND(B962='111'!$L$11,OR($N962=$Q$7,$O962=$Q$7)),"x","")</f>
        <v/>
      </c>
      <c r="R962" s="79" t="str">
        <f>IF(AND($N962=$Q$7,$B962&lt;'111'!$L$11),"x","")</f>
        <v/>
      </c>
      <c r="S962" s="79" t="str">
        <f>IF(AND($O962=$Q$7,$B962&lt;'111'!$L$11),"x","")</f>
        <v/>
      </c>
      <c r="T962" s="79" t="str">
        <f>IF(ISERROR(FIND('112'!$M$9,G962,1)),"",IF((AND(FIND('112'!$M$9,G962,1)&gt;=1,B962='112'!$K$9,OR($N962='112'!$I$6,$O962='112'!$I$6))),"x",""))</f>
        <v/>
      </c>
      <c r="U962" s="79" t="str">
        <f>IF(ISERROR(FIND('112'!$M$9,G962,1)),"",IF((AND(LEFT(G962,2)=LEFT('112'!$M$9,2),B962&lt;'112'!$K$9,$N962='112'!$I$6)),"x",""))</f>
        <v/>
      </c>
      <c r="V962" s="79" t="str">
        <f>IF(ISERROR(FIND('112'!$M$9,G962,1)),"",IF((AND(RIGHT(G962,2)=RIGHT('112'!$M$9,2),B962&lt;'112'!$K$9,$O962='112'!$I$6)),"x",""))</f>
        <v/>
      </c>
      <c r="W962" s="79" t="str">
        <f>IF(AND('341-CT'!$H$9=H962,OR(LEFT(N962,3)=$W$7,LEFT(O962,3)=$W$7)),"x","")</f>
        <v/>
      </c>
      <c r="X962" s="79" t="str">
        <f>IF(OR(TH!N962=TH!$X$7,O962=TH!$X$7),"x","")</f>
        <v/>
      </c>
      <c r="Y962" s="79" t="str">
        <f>IF(AND(OR(N962="131",O962="131"),H962='131-CT'!$H$9),"x","")</f>
        <v/>
      </c>
      <c r="Z962" s="79"/>
      <c r="AA962" s="79" t="str">
        <f>IF(AND(MONTH(E962)='IN-NX'!$J$5,'IN-NX'!$D$7=D962),"x","")</f>
        <v/>
      </c>
      <c r="AB962" s="79" t="str">
        <f>IF(AND(OR(LEFT(TH!N962,2)="15",LEFT(TH!O962,2)="15"),LEFT(TH!O962,3)&lt;&gt;"111",'152-CT'!$J$8=TH!F962),"x","")</f>
        <v/>
      </c>
      <c r="AC962" s="79" t="str">
        <f>IF(AND(OR(LEFT(TH!N962,2)="15",LEFT(TH!O962,2)="15"),TK!$E$7=TH!F962),"x","")</f>
        <v/>
      </c>
      <c r="AD962" s="79" t="str">
        <f>IF(AND(N962="1521",MONTH(C962)='BK-NL'!$M$11),"x","")</f>
        <v/>
      </c>
    </row>
    <row r="963" spans="1:30" ht="16.5" customHeight="1">
      <c r="A963" s="318" t="str">
        <f>IF(B963&lt;&gt;"",IF(AND(B963='IN-TC'!$S$4,OR(TH!N963="1111",TH!O963="1111")),TH!D963,""),"")</f>
        <v/>
      </c>
      <c r="B963" s="60" t="str">
        <f t="shared" si="155"/>
        <v/>
      </c>
      <c r="C963" s="261"/>
      <c r="D963" s="261"/>
      <c r="E963" s="261"/>
      <c r="F963" s="1103"/>
      <c r="G963" s="1104"/>
      <c r="H963" s="305"/>
      <c r="I963" s="383"/>
      <c r="J963" s="977"/>
      <c r="K963" s="977"/>
      <c r="L963" s="390"/>
      <c r="M963" s="978"/>
      <c r="N963" s="1019"/>
      <c r="O963" s="1019"/>
      <c r="P963" s="79" t="str">
        <f>IF(AND('331-CT'!$E$7=TH!H963,OR(N963="331",O963="331")),"x","")</f>
        <v/>
      </c>
      <c r="Q963" s="79" t="str">
        <f>IF(AND(B963='111'!$L$11,OR($N963=$Q$7,$O963=$Q$7)),"x","")</f>
        <v/>
      </c>
      <c r="R963" s="79" t="str">
        <f>IF(AND($N963=$Q$7,$B963&lt;'111'!$L$11),"x","")</f>
        <v/>
      </c>
      <c r="S963" s="79" t="str">
        <f>IF(AND($O963=$Q$7,$B963&lt;'111'!$L$11),"x","")</f>
        <v/>
      </c>
      <c r="T963" s="79" t="str">
        <f>IF(ISERROR(FIND('112'!$M$9,G963,1)),"",IF((AND(FIND('112'!$M$9,G963,1)&gt;=1,B963='112'!$K$9,OR($N963='112'!$I$6,$O963='112'!$I$6))),"x",""))</f>
        <v/>
      </c>
      <c r="U963" s="79" t="str">
        <f>IF(ISERROR(FIND('112'!$M$9,G963,1)),"",IF((AND(LEFT(G963,2)=LEFT('112'!$M$9,2),B963&lt;'112'!$K$9,$N963='112'!$I$6)),"x",""))</f>
        <v/>
      </c>
      <c r="V963" s="79" t="str">
        <f>IF(ISERROR(FIND('112'!$M$9,G963,1)),"",IF((AND(RIGHT(G963,2)=RIGHT('112'!$M$9,2),B963&lt;'112'!$K$9,$O963='112'!$I$6)),"x",""))</f>
        <v/>
      </c>
      <c r="W963" s="79" t="str">
        <f>IF(AND('341-CT'!$H$9=H963,OR(LEFT(N963,3)=$W$7,LEFT(O963,3)=$W$7)),"x","")</f>
        <v/>
      </c>
      <c r="X963" s="79" t="str">
        <f>IF(OR(TH!N963=TH!$X$7,O963=TH!$X$7),"x","")</f>
        <v/>
      </c>
      <c r="Y963" s="79" t="str">
        <f>IF(AND(OR(N963="131",O963="131"),H963='131-CT'!$H$9),"x","")</f>
        <v/>
      </c>
      <c r="Z963" s="79"/>
      <c r="AA963" s="79" t="str">
        <f>IF(AND(MONTH(E963)='IN-NX'!$J$5,'IN-NX'!$D$7=D963),"x","")</f>
        <v/>
      </c>
      <c r="AB963" s="79" t="str">
        <f>IF(AND(OR(LEFT(TH!N963,2)="15",LEFT(TH!O963,2)="15"),LEFT(TH!O963,3)&lt;&gt;"111",'152-CT'!$J$8=TH!F963),"x","")</f>
        <v/>
      </c>
      <c r="AC963" s="79" t="str">
        <f>IF(AND(OR(LEFT(TH!N963,2)="15",LEFT(TH!O963,2)="15"),TK!$E$7=TH!F963),"x","")</f>
        <v/>
      </c>
      <c r="AD963" s="79" t="str">
        <f>IF(AND(N963="1521",MONTH(C963)='BK-NL'!$M$11),"x","")</f>
        <v/>
      </c>
    </row>
    <row r="964" spans="1:30" ht="16.5" customHeight="1">
      <c r="A964" s="318" t="str">
        <f>IF(B964&lt;&gt;"",IF(AND(B964='IN-TC'!$S$4,OR(TH!N964="1111",TH!O964="1111")),TH!D964,""),"")</f>
        <v/>
      </c>
      <c r="B964" s="60" t="str">
        <f t="shared" si="155"/>
        <v/>
      </c>
      <c r="C964" s="261"/>
      <c r="D964" s="261"/>
      <c r="E964" s="261"/>
      <c r="F964" s="1103"/>
      <c r="G964" s="1104"/>
      <c r="H964" s="759"/>
      <c r="I964" s="383"/>
      <c r="J964" s="383"/>
      <c r="K964" s="383"/>
      <c r="L964" s="390"/>
      <c r="M964" s="978"/>
      <c r="N964" s="1019"/>
      <c r="O964" s="1019"/>
      <c r="P964" s="79" t="str">
        <f>IF(AND('331-CT'!$E$7=TH!H964,OR(N964="331",O964="331")),"x","")</f>
        <v/>
      </c>
      <c r="Q964" s="79" t="str">
        <f>IF(AND(B964='111'!$L$11,OR($N964=$Q$7,$O964=$Q$7)),"x","")</f>
        <v/>
      </c>
      <c r="R964" s="79" t="str">
        <f>IF(AND($N964=$Q$7,$B964&lt;'111'!$L$11),"x","")</f>
        <v/>
      </c>
      <c r="S964" s="79" t="str">
        <f>IF(AND($O964=$Q$7,$B964&lt;'111'!$L$11),"x","")</f>
        <v/>
      </c>
      <c r="T964" s="79" t="str">
        <f>IF(ISERROR(FIND('112'!$M$9,G964,1)),"",IF((AND(FIND('112'!$M$9,G964,1)&gt;=1,B964='112'!$K$9,OR($N964='112'!$I$6,$O964='112'!$I$6))),"x",""))</f>
        <v/>
      </c>
      <c r="U964" s="79" t="str">
        <f>IF(ISERROR(FIND('112'!$M$9,G964,1)),"",IF((AND(LEFT(G964,2)=LEFT('112'!$M$9,2),B964&lt;'112'!$K$9,$N964='112'!$I$6)),"x",""))</f>
        <v/>
      </c>
      <c r="V964" s="79" t="str">
        <f>IF(ISERROR(FIND('112'!$M$9,G964,1)),"",IF((AND(RIGHT(G964,2)=RIGHT('112'!$M$9,2),B964&lt;'112'!$K$9,$O964='112'!$I$6)),"x",""))</f>
        <v/>
      </c>
      <c r="W964" s="79" t="str">
        <f>IF(AND('341-CT'!$H$9=H964,OR(LEFT(N964,3)=$W$7,LEFT(O964,3)=$W$7)),"x","")</f>
        <v/>
      </c>
      <c r="X964" s="79" t="str">
        <f>IF(OR(TH!N964=TH!$X$7,O964=TH!$X$7),"x","")</f>
        <v/>
      </c>
      <c r="Y964" s="79" t="str">
        <f>IF(AND(OR(N964="131",O964="131"),H964='131-CT'!$H$9),"x","")</f>
        <v/>
      </c>
      <c r="Z964" s="79"/>
      <c r="AA964" s="79" t="str">
        <f>IF(AND(MONTH(E964)='IN-NX'!$J$5,'IN-NX'!$D$7=D964),"x","")</f>
        <v/>
      </c>
      <c r="AB964" s="79" t="str">
        <f>IF(AND(OR(LEFT(TH!N964,2)="15",LEFT(TH!O964,2)="15"),LEFT(TH!O964,3)&lt;&gt;"111",'152-CT'!$J$8=TH!F964),"x","")</f>
        <v/>
      </c>
      <c r="AC964" s="79" t="str">
        <f>IF(AND(OR(LEFT(TH!N964,2)="15",LEFT(TH!O964,2)="15"),TK!$E$7=TH!F964),"x","")</f>
        <v/>
      </c>
      <c r="AD964" s="79" t="str">
        <f>IF(AND(N964="1521",MONTH(C964)='BK-NL'!$M$11),"x","")</f>
        <v/>
      </c>
    </row>
    <row r="965" spans="1:30" ht="16.5" customHeight="1">
      <c r="A965" s="318" t="str">
        <f>IF(B965&lt;&gt;"",IF(AND(B965='IN-TC'!$S$4,OR(TH!N965="1111",TH!O965="1111")),TH!D965,""),"")</f>
        <v/>
      </c>
      <c r="B965" s="60" t="str">
        <f t="shared" si="155"/>
        <v/>
      </c>
      <c r="C965" s="261"/>
      <c r="D965" s="261"/>
      <c r="E965" s="261"/>
      <c r="F965" s="1103"/>
      <c r="G965" s="1104"/>
      <c r="H965" s="759"/>
      <c r="I965" s="383"/>
      <c r="J965" s="383"/>
      <c r="K965" s="383"/>
      <c r="L965" s="390"/>
      <c r="M965" s="978"/>
      <c r="N965" s="1019"/>
      <c r="O965" s="1019"/>
      <c r="P965" s="79" t="str">
        <f>IF(AND('331-CT'!$E$7=TH!H965,OR(N965="331",O965="331")),"x","")</f>
        <v/>
      </c>
      <c r="Q965" s="79" t="str">
        <f>IF(AND(B965='111'!$L$11,OR($N965=$Q$7,$O965=$Q$7)),"x","")</f>
        <v/>
      </c>
      <c r="R965" s="79" t="str">
        <f>IF(AND($N965=$Q$7,$B965&lt;'111'!$L$11),"x","")</f>
        <v/>
      </c>
      <c r="S965" s="79" t="str">
        <f>IF(AND($O965=$Q$7,$B965&lt;'111'!$L$11),"x","")</f>
        <v/>
      </c>
      <c r="T965" s="79" t="str">
        <f>IF(ISERROR(FIND('112'!$M$9,G965,1)),"",IF((AND(FIND('112'!$M$9,G965,1)&gt;=1,B965='112'!$K$9,OR($N965='112'!$I$6,$O965='112'!$I$6))),"x",""))</f>
        <v/>
      </c>
      <c r="U965" s="79" t="str">
        <f>IF(ISERROR(FIND('112'!$M$9,G965,1)),"",IF((AND(LEFT(G965,2)=LEFT('112'!$M$9,2),B965&lt;'112'!$K$9,$N965='112'!$I$6)),"x",""))</f>
        <v/>
      </c>
      <c r="V965" s="79" t="str">
        <f>IF(ISERROR(FIND('112'!$M$9,G965,1)),"",IF((AND(RIGHT(G965,2)=RIGHT('112'!$M$9,2),B965&lt;'112'!$K$9,$O965='112'!$I$6)),"x",""))</f>
        <v/>
      </c>
      <c r="W965" s="79" t="str">
        <f>IF(AND('341-CT'!$H$9=H965,OR(LEFT(N965,3)=$W$7,LEFT(O965,3)=$W$7)),"x","")</f>
        <v/>
      </c>
      <c r="X965" s="79" t="str">
        <f>IF(OR(TH!N965=TH!$X$7,O965=TH!$X$7),"x","")</f>
        <v/>
      </c>
      <c r="Y965" s="79" t="str">
        <f>IF(AND(OR(N965="131",O965="131"),H965='131-CT'!$H$9),"x","")</f>
        <v/>
      </c>
      <c r="Z965" s="79"/>
      <c r="AA965" s="79" t="str">
        <f>IF(AND(MONTH(E965)='IN-NX'!$J$5,'IN-NX'!$D$7=D965),"x","")</f>
        <v/>
      </c>
      <c r="AB965" s="79" t="str">
        <f>IF(AND(OR(LEFT(TH!N965,2)="15",LEFT(TH!O965,2)="15"),LEFT(TH!O965,3)&lt;&gt;"111",'152-CT'!$J$8=TH!F965),"x","")</f>
        <v/>
      </c>
      <c r="AC965" s="79" t="str">
        <f>IF(AND(OR(LEFT(TH!N965,2)="15",LEFT(TH!O965,2)="15"),TK!$E$7=TH!F965),"x","")</f>
        <v/>
      </c>
      <c r="AD965" s="79" t="str">
        <f>IF(AND(N965="1521",MONTH(C965)='BK-NL'!$M$11),"x","")</f>
        <v/>
      </c>
    </row>
    <row r="966" spans="1:30" ht="16.5" customHeight="1">
      <c r="A966" s="318" t="str">
        <f>IF(B966&lt;&gt;"",IF(AND(B966='IN-TC'!$S$4,OR(TH!N966="1111",TH!O966="1111")),TH!D966,""),"")</f>
        <v/>
      </c>
      <c r="B966" s="60" t="str">
        <f t="shared" si="155"/>
        <v/>
      </c>
      <c r="C966" s="261"/>
      <c r="D966" s="261"/>
      <c r="E966" s="261"/>
      <c r="F966" s="1103"/>
      <c r="G966" s="1104"/>
      <c r="H966" s="759"/>
      <c r="I966" s="383"/>
      <c r="J966" s="383"/>
      <c r="K966" s="383"/>
      <c r="L966" s="390"/>
      <c r="M966" s="978"/>
      <c r="N966" s="1019"/>
      <c r="O966" s="1019"/>
      <c r="P966" s="79" t="str">
        <f>IF(AND('331-CT'!$E$7=TH!H966,OR(N966="331",O966="331")),"x","")</f>
        <v/>
      </c>
      <c r="Q966" s="79" t="str">
        <f>IF(AND(B966='111'!$L$11,OR($N966=$Q$7,$O966=$Q$7)),"x","")</f>
        <v/>
      </c>
      <c r="R966" s="79" t="str">
        <f>IF(AND($N966=$Q$7,$B966&lt;'111'!$L$11),"x","")</f>
        <v/>
      </c>
      <c r="S966" s="79" t="str">
        <f>IF(AND($O966=$Q$7,$B966&lt;'111'!$L$11),"x","")</f>
        <v/>
      </c>
      <c r="T966" s="79" t="str">
        <f>IF(ISERROR(FIND('112'!$M$9,G966,1)),"",IF((AND(FIND('112'!$M$9,G966,1)&gt;=1,B966='112'!$K$9,OR($N966='112'!$I$6,$O966='112'!$I$6))),"x",""))</f>
        <v/>
      </c>
      <c r="U966" s="79" t="str">
        <f>IF(ISERROR(FIND('112'!$M$9,G966,1)),"",IF((AND(LEFT(G966,2)=LEFT('112'!$M$9,2),B966&lt;'112'!$K$9,$N966='112'!$I$6)),"x",""))</f>
        <v/>
      </c>
      <c r="V966" s="79" t="str">
        <f>IF(ISERROR(FIND('112'!$M$9,G966,1)),"",IF((AND(RIGHT(G966,2)=RIGHT('112'!$M$9,2),B966&lt;'112'!$K$9,$O966='112'!$I$6)),"x",""))</f>
        <v/>
      </c>
      <c r="W966" s="79" t="str">
        <f>IF(AND('341-CT'!$H$9=H966,OR(LEFT(N966,3)=$W$7,LEFT(O966,3)=$W$7)),"x","")</f>
        <v/>
      </c>
      <c r="X966" s="79" t="str">
        <f>IF(OR(TH!N966=TH!$X$7,O966=TH!$X$7),"x","")</f>
        <v/>
      </c>
      <c r="Y966" s="79" t="str">
        <f>IF(AND(OR(N966="131",O966="131"),H966='131-CT'!$H$9),"x","")</f>
        <v/>
      </c>
      <c r="Z966" s="79"/>
      <c r="AA966" s="79" t="str">
        <f>IF(AND(MONTH(E966)='IN-NX'!$J$5,'IN-NX'!$D$7=D966),"x","")</f>
        <v/>
      </c>
      <c r="AB966" s="79" t="str">
        <f>IF(AND(OR(LEFT(TH!N966,2)="15",LEFT(TH!O966,2)="15"),LEFT(TH!O966,3)&lt;&gt;"111",'152-CT'!$J$8=TH!F966),"x","")</f>
        <v/>
      </c>
      <c r="AC966" s="79" t="str">
        <f>IF(AND(OR(LEFT(TH!N966,2)="15",LEFT(TH!O966,2)="15"),TK!$E$7=TH!F966),"x","")</f>
        <v/>
      </c>
      <c r="AD966" s="79" t="str">
        <f>IF(AND(N966="1521",MONTH(C966)='BK-NL'!$M$11),"x","")</f>
        <v/>
      </c>
    </row>
    <row r="967" spans="1:30" ht="16.5" customHeight="1">
      <c r="A967" s="318" t="str">
        <f>IF(B967&lt;&gt;"",IF(AND(B967='IN-TC'!$S$4,OR(TH!N967="1111",TH!O967="1111")),TH!D967,""),"")</f>
        <v/>
      </c>
      <c r="B967" s="60" t="str">
        <f t="shared" si="155"/>
        <v/>
      </c>
      <c r="C967" s="261"/>
      <c r="D967" s="261"/>
      <c r="E967" s="261"/>
      <c r="F967" s="1103"/>
      <c r="G967" s="1104"/>
      <c r="H967" s="759"/>
      <c r="I967" s="383"/>
      <c r="J967" s="383"/>
      <c r="K967" s="383"/>
      <c r="L967" s="390"/>
      <c r="M967" s="978"/>
      <c r="N967" s="1019"/>
      <c r="O967" s="1019"/>
      <c r="P967" s="79" t="str">
        <f>IF(AND('331-CT'!$E$7=TH!H967,OR(N967="331",O967="331")),"x","")</f>
        <v/>
      </c>
      <c r="Q967" s="79" t="str">
        <f>IF(AND(B967='111'!$L$11,OR($N967=$Q$7,$O967=$Q$7)),"x","")</f>
        <v/>
      </c>
      <c r="R967" s="79" t="str">
        <f>IF(AND($N967=$Q$7,$B967&lt;'111'!$L$11),"x","")</f>
        <v/>
      </c>
      <c r="S967" s="79" t="str">
        <f>IF(AND($O967=$Q$7,$B967&lt;'111'!$L$11),"x","")</f>
        <v/>
      </c>
      <c r="T967" s="79" t="str">
        <f>IF(ISERROR(FIND('112'!$M$9,G967,1)),"",IF((AND(FIND('112'!$M$9,G967,1)&gt;=1,B967='112'!$K$9,OR($N967='112'!$I$6,$O967='112'!$I$6))),"x",""))</f>
        <v/>
      </c>
      <c r="U967" s="79" t="str">
        <f>IF(ISERROR(FIND('112'!$M$9,G967,1)),"",IF((AND(LEFT(G967,2)=LEFT('112'!$M$9,2),B967&lt;'112'!$K$9,$N967='112'!$I$6)),"x",""))</f>
        <v/>
      </c>
      <c r="V967" s="79" t="str">
        <f>IF(ISERROR(FIND('112'!$M$9,G967,1)),"",IF((AND(RIGHT(G967,2)=RIGHT('112'!$M$9,2),B967&lt;'112'!$K$9,$O967='112'!$I$6)),"x",""))</f>
        <v/>
      </c>
      <c r="W967" s="79" t="str">
        <f>IF(AND('341-CT'!$H$9=H967,OR(LEFT(N967,3)=$W$7,LEFT(O967,3)=$W$7)),"x","")</f>
        <v/>
      </c>
      <c r="X967" s="79" t="str">
        <f>IF(OR(TH!N967=TH!$X$7,O967=TH!$X$7),"x","")</f>
        <v/>
      </c>
      <c r="Y967" s="79" t="str">
        <f>IF(AND(OR(N967="131",O967="131"),H967='131-CT'!$H$9),"x","")</f>
        <v/>
      </c>
      <c r="Z967" s="79"/>
      <c r="AA967" s="79" t="str">
        <f>IF(AND(MONTH(E967)='IN-NX'!$J$5,'IN-NX'!$D$7=D967),"x","")</f>
        <v/>
      </c>
      <c r="AB967" s="79" t="str">
        <f>IF(AND(OR(LEFT(TH!N967,2)="15",LEFT(TH!O967,2)="15"),LEFT(TH!O967,3)&lt;&gt;"111",'152-CT'!$J$8=TH!F967),"x","")</f>
        <v/>
      </c>
      <c r="AC967" s="79" t="str">
        <f>IF(AND(OR(LEFT(TH!N967,2)="15",LEFT(TH!O967,2)="15"),TK!$E$7=TH!F967),"x","")</f>
        <v/>
      </c>
      <c r="AD967" s="79" t="str">
        <f>IF(AND(N967="1521",MONTH(C967)='BK-NL'!$M$11),"x","")</f>
        <v/>
      </c>
    </row>
    <row r="968" spans="1:30" ht="16.5" customHeight="1">
      <c r="A968" s="318" t="str">
        <f>IF(B968&lt;&gt;"",IF(AND(B968='IN-TC'!$S$4,OR(TH!N968="1111",TH!O968="1111")),TH!D968,""),"")</f>
        <v/>
      </c>
      <c r="B968" s="60" t="str">
        <f t="shared" si="155"/>
        <v/>
      </c>
      <c r="C968" s="261"/>
      <c r="D968" s="261"/>
      <c r="E968" s="261"/>
      <c r="F968" s="1103"/>
      <c r="G968" s="1104"/>
      <c r="H968" s="759"/>
      <c r="I968" s="383"/>
      <c r="J968" s="383"/>
      <c r="K968" s="383"/>
      <c r="L968" s="390"/>
      <c r="M968" s="978"/>
      <c r="N968" s="1019"/>
      <c r="O968" s="1019"/>
      <c r="P968" s="79" t="str">
        <f>IF(AND('331-CT'!$E$7=TH!H968,OR(N968="331",O968="331")),"x","")</f>
        <v/>
      </c>
      <c r="Q968" s="79" t="str">
        <f>IF(AND(B968='111'!$L$11,OR($N968=$Q$7,$O968=$Q$7)),"x","")</f>
        <v/>
      </c>
      <c r="R968" s="79" t="str">
        <f>IF(AND($N968=$Q$7,$B968&lt;'111'!$L$11),"x","")</f>
        <v/>
      </c>
      <c r="S968" s="79" t="str">
        <f>IF(AND($O968=$Q$7,$B968&lt;'111'!$L$11),"x","")</f>
        <v/>
      </c>
      <c r="T968" s="79" t="str">
        <f>IF(ISERROR(FIND('112'!$M$9,G968,1)),"",IF((AND(FIND('112'!$M$9,G968,1)&gt;=1,B968='112'!$K$9,OR($N968='112'!$I$6,$O968='112'!$I$6))),"x",""))</f>
        <v/>
      </c>
      <c r="U968" s="79" t="str">
        <f>IF(ISERROR(FIND('112'!$M$9,G968,1)),"",IF((AND(LEFT(G968,2)=LEFT('112'!$M$9,2),B968&lt;'112'!$K$9,$N968='112'!$I$6)),"x",""))</f>
        <v/>
      </c>
      <c r="V968" s="79" t="str">
        <f>IF(ISERROR(FIND('112'!$M$9,G968,1)),"",IF((AND(RIGHT(G968,2)=RIGHT('112'!$M$9,2),B968&lt;'112'!$K$9,$O968='112'!$I$6)),"x",""))</f>
        <v/>
      </c>
      <c r="W968" s="79" t="str">
        <f>IF(AND('341-CT'!$H$9=H968,OR(LEFT(N968,3)=$W$7,LEFT(O968,3)=$W$7)),"x","")</f>
        <v/>
      </c>
      <c r="X968" s="79" t="str">
        <f>IF(OR(TH!N968=TH!$X$7,O968=TH!$X$7),"x","")</f>
        <v/>
      </c>
      <c r="Y968" s="79" t="str">
        <f>IF(AND(OR(N968="131",O968="131"),H968='131-CT'!$H$9),"x","")</f>
        <v/>
      </c>
      <c r="Z968" s="79"/>
      <c r="AA968" s="79" t="str">
        <f>IF(AND(MONTH(E968)='IN-NX'!$J$5,'IN-NX'!$D$7=D968),"x","")</f>
        <v/>
      </c>
      <c r="AB968" s="79" t="str">
        <f>IF(AND(OR(LEFT(TH!N968,2)="15",LEFT(TH!O968,2)="15"),LEFT(TH!O968,3)&lt;&gt;"111",'152-CT'!$J$8=TH!F968),"x","")</f>
        <v/>
      </c>
      <c r="AC968" s="79" t="str">
        <f>IF(AND(OR(LEFT(TH!N968,2)="15",LEFT(TH!O968,2)="15"),TK!$E$7=TH!F968),"x","")</f>
        <v/>
      </c>
      <c r="AD968" s="79" t="str">
        <f>IF(AND(N968="1521",MONTH(C968)='BK-NL'!$M$11),"x","")</f>
        <v/>
      </c>
    </row>
    <row r="969" spans="1:30" ht="16.5" customHeight="1">
      <c r="A969" s="318" t="str">
        <f>IF(B969&lt;&gt;"",IF(AND(B969='IN-TC'!$S$4,OR(TH!N969="1111",TH!O969="1111")),TH!D969,""),"")</f>
        <v/>
      </c>
      <c r="B969" s="60" t="str">
        <f t="shared" si="155"/>
        <v/>
      </c>
      <c r="C969" s="261"/>
      <c r="D969" s="261"/>
      <c r="E969" s="261"/>
      <c r="F969" s="1103"/>
      <c r="G969" s="1104"/>
      <c r="H969" s="759"/>
      <c r="I969" s="383"/>
      <c r="J969" s="383"/>
      <c r="K969" s="383"/>
      <c r="L969" s="390"/>
      <c r="M969" s="978"/>
      <c r="N969" s="1019"/>
      <c r="O969" s="1019"/>
      <c r="P969" s="79" t="str">
        <f>IF(AND('331-CT'!$E$7=TH!H969,OR(N969="331",O969="331")),"x","")</f>
        <v/>
      </c>
      <c r="Q969" s="79" t="str">
        <f>IF(AND(B969='111'!$L$11,OR($N969=$Q$7,$O969=$Q$7)),"x","")</f>
        <v/>
      </c>
      <c r="R969" s="79" t="str">
        <f>IF(AND($N969=$Q$7,$B969&lt;'111'!$L$11),"x","")</f>
        <v/>
      </c>
      <c r="S969" s="79" t="str">
        <f>IF(AND($O969=$Q$7,$B969&lt;'111'!$L$11),"x","")</f>
        <v/>
      </c>
      <c r="T969" s="79" t="str">
        <f>IF(ISERROR(FIND('112'!$M$9,G969,1)),"",IF((AND(FIND('112'!$M$9,G969,1)&gt;=1,B969='112'!$K$9,OR($N969='112'!$I$6,$O969='112'!$I$6))),"x",""))</f>
        <v/>
      </c>
      <c r="U969" s="79" t="str">
        <f>IF(ISERROR(FIND('112'!$M$9,G969,1)),"",IF((AND(LEFT(G969,2)=LEFT('112'!$M$9,2),B969&lt;'112'!$K$9,$N969='112'!$I$6)),"x",""))</f>
        <v/>
      </c>
      <c r="V969" s="79" t="str">
        <f>IF(ISERROR(FIND('112'!$M$9,G969,1)),"",IF((AND(RIGHT(G969,2)=RIGHT('112'!$M$9,2),B969&lt;'112'!$K$9,$O969='112'!$I$6)),"x",""))</f>
        <v/>
      </c>
      <c r="W969" s="79" t="str">
        <f>IF(AND('341-CT'!$H$9=H969,OR(LEFT(N969,3)=$W$7,LEFT(O969,3)=$W$7)),"x","")</f>
        <v/>
      </c>
      <c r="X969" s="79" t="str">
        <f>IF(OR(TH!N969=TH!$X$7,O969=TH!$X$7),"x","")</f>
        <v/>
      </c>
      <c r="Y969" s="79" t="str">
        <f>IF(AND(OR(N969="131",O969="131"),H969='131-CT'!$H$9),"x","")</f>
        <v/>
      </c>
      <c r="Z969" s="79"/>
      <c r="AA969" s="79" t="str">
        <f>IF(AND(MONTH(E969)='IN-NX'!$J$5,'IN-NX'!$D$7=D969),"x","")</f>
        <v/>
      </c>
      <c r="AB969" s="79" t="str">
        <f>IF(AND(OR(LEFT(TH!N969,2)="15",LEFT(TH!O969,2)="15"),LEFT(TH!O969,3)&lt;&gt;"111",'152-CT'!$J$8=TH!F969),"x","")</f>
        <v/>
      </c>
      <c r="AC969" s="79" t="str">
        <f>IF(AND(OR(LEFT(TH!N969,2)="15",LEFT(TH!O969,2)="15"),TK!$E$7=TH!F969),"x","")</f>
        <v/>
      </c>
      <c r="AD969" s="79" t="str">
        <f>IF(AND(N969="1521",MONTH(C969)='BK-NL'!$M$11),"x","")</f>
        <v/>
      </c>
    </row>
    <row r="970" spans="1:30" ht="16.5" customHeight="1">
      <c r="A970" s="318" t="str">
        <f>IF(B970&lt;&gt;"",IF(AND(B970='IN-TC'!$S$4,OR(TH!N970="1111",TH!O970="1111")),TH!D970,""),"")</f>
        <v/>
      </c>
      <c r="B970" s="60" t="str">
        <f t="shared" si="155"/>
        <v/>
      </c>
      <c r="C970" s="261"/>
      <c r="D970" s="261"/>
      <c r="E970" s="261"/>
      <c r="F970" s="1103"/>
      <c r="G970" s="1104"/>
      <c r="H970" s="759"/>
      <c r="I970" s="383"/>
      <c r="J970" s="383"/>
      <c r="K970" s="383"/>
      <c r="L970" s="390"/>
      <c r="M970" s="978"/>
      <c r="N970" s="1019"/>
      <c r="O970" s="1019"/>
      <c r="P970" s="79" t="str">
        <f>IF(AND('331-CT'!$E$7=TH!H970,OR(N970="331",O970="331")),"x","")</f>
        <v/>
      </c>
      <c r="Q970" s="79" t="str">
        <f>IF(AND(B970='111'!$L$11,OR($N970=$Q$7,$O970=$Q$7)),"x","")</f>
        <v/>
      </c>
      <c r="R970" s="79" t="str">
        <f>IF(AND($N970=$Q$7,$B970&lt;'111'!$L$11),"x","")</f>
        <v/>
      </c>
      <c r="S970" s="79" t="str">
        <f>IF(AND($O970=$Q$7,$B970&lt;'111'!$L$11),"x","")</f>
        <v/>
      </c>
      <c r="T970" s="79" t="str">
        <f>IF(ISERROR(FIND('112'!$M$9,G970,1)),"",IF((AND(FIND('112'!$M$9,G970,1)&gt;=1,B970='112'!$K$9,OR($N970='112'!$I$6,$O970='112'!$I$6))),"x",""))</f>
        <v/>
      </c>
      <c r="U970" s="79" t="str">
        <f>IF(ISERROR(FIND('112'!$M$9,G970,1)),"",IF((AND(LEFT(G970,2)=LEFT('112'!$M$9,2),B970&lt;'112'!$K$9,$N970='112'!$I$6)),"x",""))</f>
        <v/>
      </c>
      <c r="V970" s="79" t="str">
        <f>IF(ISERROR(FIND('112'!$M$9,G970,1)),"",IF((AND(RIGHT(G970,2)=RIGHT('112'!$M$9,2),B970&lt;'112'!$K$9,$O970='112'!$I$6)),"x",""))</f>
        <v/>
      </c>
      <c r="W970" s="79" t="str">
        <f>IF(AND('341-CT'!$H$9=H970,OR(LEFT(N970,3)=$W$7,LEFT(O970,3)=$W$7)),"x","")</f>
        <v/>
      </c>
      <c r="X970" s="79" t="str">
        <f>IF(OR(TH!N970=TH!$X$7,O970=TH!$X$7),"x","")</f>
        <v/>
      </c>
      <c r="Y970" s="79" t="str">
        <f>IF(AND(OR(N970="131",O970="131"),H970='131-CT'!$H$9),"x","")</f>
        <v/>
      </c>
      <c r="Z970" s="79"/>
      <c r="AA970" s="79" t="str">
        <f>IF(AND(MONTH(E970)='IN-NX'!$J$5,'IN-NX'!$D$7=D970),"x","")</f>
        <v/>
      </c>
      <c r="AB970" s="79" t="str">
        <f>IF(AND(OR(LEFT(TH!N970,2)="15",LEFT(TH!O970,2)="15"),LEFT(TH!O970,3)&lt;&gt;"111",'152-CT'!$J$8=TH!F970),"x","")</f>
        <v/>
      </c>
      <c r="AC970" s="79" t="str">
        <f>IF(AND(OR(LEFT(TH!N970,2)="15",LEFT(TH!O970,2)="15"),TK!$E$7=TH!F970),"x","")</f>
        <v/>
      </c>
      <c r="AD970" s="79" t="str">
        <f>IF(AND(N970="1521",MONTH(C970)='BK-NL'!$M$11),"x","")</f>
        <v/>
      </c>
    </row>
    <row r="971" spans="1:30" ht="16.5" customHeight="1">
      <c r="A971" s="318" t="str">
        <f>IF(B971&lt;&gt;"",IF(AND(B971='IN-TC'!$S$4,OR(TH!N971="1111",TH!O971="1111")),TH!D971,""),"")</f>
        <v/>
      </c>
      <c r="B971" s="60" t="str">
        <f t="shared" si="155"/>
        <v/>
      </c>
      <c r="C971" s="261"/>
      <c r="D971" s="261"/>
      <c r="E971" s="261"/>
      <c r="F971" s="1103"/>
      <c r="G971" s="1104"/>
      <c r="H971" s="759"/>
      <c r="I971" s="383"/>
      <c r="J971" s="383"/>
      <c r="K971" s="383"/>
      <c r="L971" s="390"/>
      <c r="M971" s="978"/>
      <c r="N971" s="1019"/>
      <c r="O971" s="1019"/>
      <c r="P971" s="79" t="str">
        <f>IF(AND('331-CT'!$E$7=TH!H971,OR(N971="331",O971="331")),"x","")</f>
        <v/>
      </c>
      <c r="Q971" s="79" t="str">
        <f>IF(AND(B971='111'!$L$11,OR($N971=$Q$7,$O971=$Q$7)),"x","")</f>
        <v/>
      </c>
      <c r="R971" s="79" t="str">
        <f>IF(AND($N971=$Q$7,$B971&lt;'111'!$L$11),"x","")</f>
        <v/>
      </c>
      <c r="S971" s="79" t="str">
        <f>IF(AND($O971=$Q$7,$B971&lt;'111'!$L$11),"x","")</f>
        <v/>
      </c>
      <c r="T971" s="79" t="str">
        <f>IF(ISERROR(FIND('112'!$M$9,G971,1)),"",IF((AND(FIND('112'!$M$9,G971,1)&gt;=1,B971='112'!$K$9,OR($N971='112'!$I$6,$O971='112'!$I$6))),"x",""))</f>
        <v/>
      </c>
      <c r="U971" s="79" t="str">
        <f>IF(ISERROR(FIND('112'!$M$9,G971,1)),"",IF((AND(LEFT(G971,2)=LEFT('112'!$M$9,2),B971&lt;'112'!$K$9,$N971='112'!$I$6)),"x",""))</f>
        <v/>
      </c>
      <c r="V971" s="79" t="str">
        <f>IF(ISERROR(FIND('112'!$M$9,G971,1)),"",IF((AND(RIGHT(G971,2)=RIGHT('112'!$M$9,2),B971&lt;'112'!$K$9,$O971='112'!$I$6)),"x",""))</f>
        <v/>
      </c>
      <c r="W971" s="79" t="str">
        <f>IF(AND('341-CT'!$H$9=H971,OR(LEFT(N971,3)=$W$7,LEFT(O971,3)=$W$7)),"x","")</f>
        <v/>
      </c>
      <c r="X971" s="79" t="str">
        <f>IF(OR(TH!N971=TH!$X$7,O971=TH!$X$7),"x","")</f>
        <v/>
      </c>
      <c r="Y971" s="79" t="str">
        <f>IF(AND(OR(N971="131",O971="131"),H971='131-CT'!$H$9),"x","")</f>
        <v/>
      </c>
      <c r="Z971" s="79"/>
      <c r="AA971" s="79" t="str">
        <f>IF(AND(MONTH(E971)='IN-NX'!$J$5,'IN-NX'!$D$7=D971),"x","")</f>
        <v/>
      </c>
      <c r="AB971" s="79" t="str">
        <f>IF(AND(OR(LEFT(TH!N971,2)="15",LEFT(TH!O971,2)="15"),LEFT(TH!O971,3)&lt;&gt;"111",'152-CT'!$J$8=TH!F971),"x","")</f>
        <v/>
      </c>
      <c r="AC971" s="79" t="str">
        <f>IF(AND(OR(LEFT(TH!N971,2)="15",LEFT(TH!O971,2)="15"),TK!$E$7=TH!F971),"x","")</f>
        <v/>
      </c>
      <c r="AD971" s="79" t="str">
        <f>IF(AND(N971="1521",MONTH(C971)='BK-NL'!$M$11),"x","")</f>
        <v/>
      </c>
    </row>
    <row r="972" spans="1:30" ht="16.5" customHeight="1">
      <c r="A972" s="318" t="str">
        <f>IF(B972&lt;&gt;"",IF(AND(B972='IN-TC'!$S$4,OR(TH!N972="1111",TH!O972="1111")),TH!D972,""),"")</f>
        <v/>
      </c>
      <c r="B972" s="60" t="str">
        <f t="shared" si="155"/>
        <v/>
      </c>
      <c r="C972" s="261"/>
      <c r="D972" s="261"/>
      <c r="E972" s="261"/>
      <c r="F972" s="1103"/>
      <c r="G972" s="1104"/>
      <c r="H972" s="77"/>
      <c r="I972" s="383"/>
      <c r="J972" s="383"/>
      <c r="K972" s="383"/>
      <c r="L972" s="390"/>
      <c r="M972" s="383"/>
      <c r="N972" s="1019"/>
      <c r="O972" s="1019"/>
      <c r="P972" s="79" t="str">
        <f>IF(AND('331-CT'!$E$7=TH!H972,OR(N972="331",O972="331")),"x","")</f>
        <v/>
      </c>
      <c r="Q972" s="79" t="str">
        <f>IF(AND(B972='111'!$L$11,OR($N972=$Q$7,$O972=$Q$7)),"x","")</f>
        <v/>
      </c>
      <c r="R972" s="79" t="str">
        <f>IF(AND($N972=$Q$7,$B972&lt;'111'!$L$11),"x","")</f>
        <v/>
      </c>
      <c r="S972" s="79" t="str">
        <f>IF(AND($O972=$Q$7,$B972&lt;'111'!$L$11),"x","")</f>
        <v/>
      </c>
      <c r="T972" s="79" t="str">
        <f>IF(ISERROR(FIND('112'!$M$9,G972,1)),"",IF((AND(FIND('112'!$M$9,G972,1)&gt;=1,B972='112'!$K$9,OR($N972='112'!$I$6,$O972='112'!$I$6))),"x",""))</f>
        <v/>
      </c>
      <c r="U972" s="79" t="str">
        <f>IF(ISERROR(FIND('112'!$M$9,G972,1)),"",IF((AND(LEFT(G972,2)=LEFT('112'!$M$9,2),B972&lt;'112'!$K$9,$N972='112'!$I$6)),"x",""))</f>
        <v/>
      </c>
      <c r="V972" s="79" t="str">
        <f>IF(ISERROR(FIND('112'!$M$9,G972,1)),"",IF((AND(RIGHT(G972,2)=RIGHT('112'!$M$9,2),B972&lt;'112'!$K$9,$O972='112'!$I$6)),"x",""))</f>
        <v/>
      </c>
      <c r="W972" s="79" t="str">
        <f>IF(AND('341-CT'!$H$9=H972,OR(LEFT(N972,3)=$W$7,LEFT(O972,3)=$W$7)),"x","")</f>
        <v/>
      </c>
      <c r="X972" s="79" t="str">
        <f>IF(OR(TH!N972=TH!$X$7,O972=TH!$X$7),"x","")</f>
        <v/>
      </c>
      <c r="Y972" s="79" t="str">
        <f>IF(AND(OR(N972="131",O972="131"),H972='131-CT'!$H$9),"x","")</f>
        <v/>
      </c>
      <c r="Z972" s="79"/>
      <c r="AA972" s="79" t="str">
        <f>IF(AND(MONTH(E972)='IN-NX'!$J$5,'IN-NX'!$D$7=D972),"x","")</f>
        <v/>
      </c>
      <c r="AB972" s="79" t="str">
        <f>IF(AND(OR(LEFT(TH!N972,2)="15",LEFT(TH!O972,2)="15"),LEFT(TH!O972,3)&lt;&gt;"111",'152-CT'!$J$8=TH!F972),"x","")</f>
        <v/>
      </c>
      <c r="AC972" s="79" t="str">
        <f>IF(AND(OR(LEFT(TH!N972,2)="15",LEFT(TH!O972,2)="15"),TK!$E$7=TH!F972),"x","")</f>
        <v/>
      </c>
      <c r="AD972" s="79" t="str">
        <f>IF(AND(N972="1521",MONTH(C972)='BK-NL'!$M$11),"x","")</f>
        <v/>
      </c>
    </row>
    <row r="973" spans="1:30" ht="16.5" customHeight="1">
      <c r="A973" s="318" t="str">
        <f>IF(B973&lt;&gt;"",IF(AND(B973='IN-TC'!$S$4,OR(TH!N973="1111",TH!O973="1111")),TH!D973,""),"")</f>
        <v/>
      </c>
      <c r="B973" s="60" t="str">
        <f t="shared" si="155"/>
        <v/>
      </c>
      <c r="C973" s="261"/>
      <c r="D973" s="261"/>
      <c r="E973" s="261"/>
      <c r="F973" s="1103"/>
      <c r="G973" s="1104"/>
      <c r="H973" s="77"/>
      <c r="I973" s="383"/>
      <c r="J973" s="383"/>
      <c r="K973" s="383"/>
      <c r="L973" s="390"/>
      <c r="M973" s="383"/>
      <c r="N973" s="1019"/>
      <c r="O973" s="1019"/>
      <c r="P973" s="79" t="str">
        <f>IF(AND('331-CT'!$E$7=TH!H973,OR(N973="331",O973="331")),"x","")</f>
        <v/>
      </c>
      <c r="Q973" s="79" t="str">
        <f>IF(AND(B973='111'!$L$11,OR($N973=$Q$7,$O973=$Q$7)),"x","")</f>
        <v/>
      </c>
      <c r="R973" s="79" t="str">
        <f>IF(AND($N973=$Q$7,$B973&lt;'111'!$L$11),"x","")</f>
        <v/>
      </c>
      <c r="S973" s="79" t="str">
        <f>IF(AND($O973=$Q$7,$B973&lt;'111'!$L$11),"x","")</f>
        <v/>
      </c>
      <c r="T973" s="79" t="str">
        <f>IF(ISERROR(FIND('112'!$M$9,G973,1)),"",IF((AND(FIND('112'!$M$9,G973,1)&gt;=1,B973='112'!$K$9,OR($N973='112'!$I$6,$O973='112'!$I$6))),"x",""))</f>
        <v/>
      </c>
      <c r="U973" s="79" t="str">
        <f>IF(ISERROR(FIND('112'!$M$9,G973,1)),"",IF((AND(LEFT(G973,2)=LEFT('112'!$M$9,2),B973&lt;'112'!$K$9,$N973='112'!$I$6)),"x",""))</f>
        <v/>
      </c>
      <c r="V973" s="79" t="str">
        <f>IF(ISERROR(FIND('112'!$M$9,G973,1)),"",IF((AND(RIGHT(G973,2)=RIGHT('112'!$M$9,2),B973&lt;'112'!$K$9,$O973='112'!$I$6)),"x",""))</f>
        <v/>
      </c>
      <c r="W973" s="79" t="str">
        <f>IF(AND('341-CT'!$H$9=H973,OR(LEFT(N973,3)=$W$7,LEFT(O973,3)=$W$7)),"x","")</f>
        <v/>
      </c>
      <c r="X973" s="79" t="str">
        <f>IF(OR(TH!N973=TH!$X$7,O973=TH!$X$7),"x","")</f>
        <v/>
      </c>
      <c r="Y973" s="79" t="str">
        <f>IF(AND(OR(N973="131",O973="131"),H973='131-CT'!$H$9),"x","")</f>
        <v/>
      </c>
      <c r="Z973" s="79"/>
      <c r="AA973" s="79" t="str">
        <f>IF(AND(MONTH(E973)='IN-NX'!$J$5,'IN-NX'!$D$7=D973),"x","")</f>
        <v/>
      </c>
      <c r="AB973" s="79" t="str">
        <f>IF(AND(OR(LEFT(TH!N973,2)="15",LEFT(TH!O973,2)="15"),LEFT(TH!O973,3)&lt;&gt;"111",'152-CT'!$J$8=TH!F973),"x","")</f>
        <v/>
      </c>
      <c r="AC973" s="79" t="str">
        <f>IF(AND(OR(LEFT(TH!N973,2)="15",LEFT(TH!O973,2)="15"),TK!$E$7=TH!F973),"x","")</f>
        <v/>
      </c>
      <c r="AD973" s="79" t="str">
        <f>IF(AND(N973="1521",MONTH(C973)='BK-NL'!$M$11),"x","")</f>
        <v/>
      </c>
    </row>
    <row r="974" spans="1:30" ht="16.5" customHeight="1">
      <c r="A974" s="318" t="str">
        <f>IF(B974&lt;&gt;"",IF(AND(B974='IN-TC'!$S$4,OR(TH!N974="1111",TH!O974="1111")),TH!D974,""),"")</f>
        <v/>
      </c>
      <c r="B974" s="60" t="str">
        <f t="shared" si="155"/>
        <v/>
      </c>
      <c r="C974" s="261"/>
      <c r="D974" s="261"/>
      <c r="E974" s="261"/>
      <c r="F974" s="1103"/>
      <c r="G974" s="1104"/>
      <c r="H974" s="77"/>
      <c r="I974" s="383"/>
      <c r="J974" s="383"/>
      <c r="K974" s="383"/>
      <c r="L974" s="390"/>
      <c r="M974" s="383"/>
      <c r="N974" s="1019"/>
      <c r="O974" s="1019"/>
      <c r="P974" s="79" t="str">
        <f>IF(AND('331-CT'!$E$7=TH!H974,OR(N974="331",O974="331")),"x","")</f>
        <v/>
      </c>
      <c r="Q974" s="79" t="str">
        <f>IF(AND(B974='111'!$L$11,OR($N974=$Q$7,$O974=$Q$7)),"x","")</f>
        <v/>
      </c>
      <c r="R974" s="79" t="str">
        <f>IF(AND($N974=$Q$7,$B974&lt;'111'!$L$11),"x","")</f>
        <v/>
      </c>
      <c r="S974" s="79" t="str">
        <f>IF(AND($O974=$Q$7,$B974&lt;'111'!$L$11),"x","")</f>
        <v/>
      </c>
      <c r="T974" s="79" t="str">
        <f>IF(ISERROR(FIND('112'!$M$9,G974,1)),"",IF((AND(FIND('112'!$M$9,G974,1)&gt;=1,B974='112'!$K$9,OR($N974='112'!$I$6,$O974='112'!$I$6))),"x",""))</f>
        <v/>
      </c>
      <c r="U974" s="79" t="str">
        <f>IF(ISERROR(FIND('112'!$M$9,G974,1)),"",IF((AND(LEFT(G974,2)=LEFT('112'!$M$9,2),B974&lt;'112'!$K$9,$N974='112'!$I$6)),"x",""))</f>
        <v/>
      </c>
      <c r="V974" s="79" t="str">
        <f>IF(ISERROR(FIND('112'!$M$9,G974,1)),"",IF((AND(RIGHT(G974,2)=RIGHT('112'!$M$9,2),B974&lt;'112'!$K$9,$O974='112'!$I$6)),"x",""))</f>
        <v/>
      </c>
      <c r="W974" s="79" t="str">
        <f>IF(AND('341-CT'!$H$9=H974,OR(LEFT(N974,3)=$W$7,LEFT(O974,3)=$W$7)),"x","")</f>
        <v/>
      </c>
      <c r="X974" s="79" t="str">
        <f>IF(OR(TH!N974=TH!$X$7,O974=TH!$X$7),"x","")</f>
        <v/>
      </c>
      <c r="Y974" s="79" t="str">
        <f>IF(AND(OR(N974="131",O974="131"),H974='131-CT'!$H$9),"x","")</f>
        <v/>
      </c>
      <c r="Z974" s="79"/>
      <c r="AA974" s="79" t="str">
        <f>IF(AND(MONTH(E974)='IN-NX'!$J$5,'IN-NX'!$D$7=D974),"x","")</f>
        <v/>
      </c>
      <c r="AB974" s="79" t="str">
        <f>IF(AND(OR(LEFT(TH!N974,2)="15",LEFT(TH!O974,2)="15"),LEFT(TH!O974,3)&lt;&gt;"111",'152-CT'!$J$8=TH!F974),"x","")</f>
        <v/>
      </c>
      <c r="AC974" s="79" t="str">
        <f>IF(AND(OR(LEFT(TH!N974,2)="15",LEFT(TH!O974,2)="15"),TK!$E$7=TH!F974),"x","")</f>
        <v/>
      </c>
      <c r="AD974" s="79" t="str">
        <f>IF(AND(N974="1521",MONTH(C974)='BK-NL'!$M$11),"x","")</f>
        <v/>
      </c>
    </row>
    <row r="975" spans="1:30" ht="16.5" customHeight="1">
      <c r="A975" s="318" t="str">
        <f>IF(B975&lt;&gt;"",IF(AND(B975='IN-TC'!$S$4,OR(TH!N975="1111",TH!O975="1111")),TH!D975,""),"")</f>
        <v/>
      </c>
      <c r="B975" s="60" t="str">
        <f t="shared" si="155"/>
        <v/>
      </c>
      <c r="C975" s="261"/>
      <c r="D975" s="261"/>
      <c r="E975" s="261"/>
      <c r="F975" s="1103"/>
      <c r="G975" s="1104"/>
      <c r="H975" s="77"/>
      <c r="I975" s="383"/>
      <c r="J975" s="383"/>
      <c r="K975" s="383"/>
      <c r="L975" s="390"/>
      <c r="M975" s="383"/>
      <c r="N975" s="1019"/>
      <c r="O975" s="1019"/>
      <c r="P975" s="79" t="str">
        <f>IF(AND('331-CT'!$E$7=TH!H975,OR(N975="331",O975="331")),"x","")</f>
        <v/>
      </c>
      <c r="Q975" s="79" t="str">
        <f>IF(AND(B975='111'!$L$11,OR($N975=$Q$7,$O975=$Q$7)),"x","")</f>
        <v/>
      </c>
      <c r="R975" s="79" t="str">
        <f>IF(AND($N975=$Q$7,$B975&lt;'111'!$L$11),"x","")</f>
        <v/>
      </c>
      <c r="S975" s="79" t="str">
        <f>IF(AND($O975=$Q$7,$B975&lt;'111'!$L$11),"x","")</f>
        <v/>
      </c>
      <c r="T975" s="79" t="str">
        <f>IF(ISERROR(FIND('112'!$M$9,G975,1)),"",IF((AND(FIND('112'!$M$9,G975,1)&gt;=1,B975='112'!$K$9,OR($N975='112'!$I$6,$O975='112'!$I$6))),"x",""))</f>
        <v/>
      </c>
      <c r="U975" s="79" t="str">
        <f>IF(ISERROR(FIND('112'!$M$9,G975,1)),"",IF((AND(LEFT(G975,2)=LEFT('112'!$M$9,2),B975&lt;'112'!$K$9,$N975='112'!$I$6)),"x",""))</f>
        <v/>
      </c>
      <c r="V975" s="79" t="str">
        <f>IF(ISERROR(FIND('112'!$M$9,G975,1)),"",IF((AND(RIGHT(G975,2)=RIGHT('112'!$M$9,2),B975&lt;'112'!$K$9,$O975='112'!$I$6)),"x",""))</f>
        <v/>
      </c>
      <c r="W975" s="79" t="str">
        <f>IF(AND('341-CT'!$H$9=H975,OR(LEFT(N975,3)=$W$7,LEFT(O975,3)=$W$7)),"x","")</f>
        <v/>
      </c>
      <c r="X975" s="79" t="str">
        <f>IF(OR(TH!N975=TH!$X$7,O975=TH!$X$7),"x","")</f>
        <v/>
      </c>
      <c r="Y975" s="79" t="str">
        <f>IF(AND(OR(N975="131",O975="131"),H975='131-CT'!$H$9),"x","")</f>
        <v/>
      </c>
      <c r="Z975" s="79"/>
      <c r="AA975" s="79" t="str">
        <f>IF(AND(MONTH(E975)='IN-NX'!$J$5,'IN-NX'!$D$7=D975),"x","")</f>
        <v/>
      </c>
      <c r="AB975" s="79" t="str">
        <f>IF(AND(OR(LEFT(TH!N975,2)="15",LEFT(TH!O975,2)="15"),LEFT(TH!O975,3)&lt;&gt;"111",'152-CT'!$J$8=TH!F975),"x","")</f>
        <v/>
      </c>
      <c r="AC975" s="79" t="str">
        <f>IF(AND(OR(LEFT(TH!N975,2)="15",LEFT(TH!O975,2)="15"),TK!$E$7=TH!F975),"x","")</f>
        <v/>
      </c>
      <c r="AD975" s="79" t="str">
        <f>IF(AND(N975="1521",MONTH(C975)='BK-NL'!$M$11),"x","")</f>
        <v/>
      </c>
    </row>
    <row r="976" spans="1:30" ht="16.5" customHeight="1">
      <c r="A976" s="318" t="str">
        <f>IF(B976&lt;&gt;"",IF(AND(B976='IN-TC'!$S$4,OR(TH!N976="1111",TH!O976="1111")),TH!D976,""),"")</f>
        <v/>
      </c>
      <c r="B976" s="60" t="str">
        <f t="shared" si="155"/>
        <v/>
      </c>
      <c r="C976" s="261"/>
      <c r="D976" s="261"/>
      <c r="E976" s="261"/>
      <c r="F976" s="1103"/>
      <c r="G976" s="1104"/>
      <c r="H976" s="77"/>
      <c r="I976" s="383"/>
      <c r="J976" s="383"/>
      <c r="K976" s="383"/>
      <c r="L976" s="390"/>
      <c r="M976" s="383"/>
      <c r="N976" s="1019"/>
      <c r="O976" s="1019"/>
      <c r="P976" s="79" t="str">
        <f>IF(AND('331-CT'!$E$7=TH!H976,OR(N976="331",O976="331")),"x","")</f>
        <v/>
      </c>
      <c r="Q976" s="79" t="str">
        <f>IF(AND(B976='111'!$L$11,OR($N976=$Q$7,$O976=$Q$7)),"x","")</f>
        <v/>
      </c>
      <c r="R976" s="79" t="str">
        <f>IF(AND($N976=$Q$7,$B976&lt;'111'!$L$11),"x","")</f>
        <v/>
      </c>
      <c r="S976" s="79" t="str">
        <f>IF(AND($O976=$Q$7,$B976&lt;'111'!$L$11),"x","")</f>
        <v/>
      </c>
      <c r="T976" s="79" t="str">
        <f>IF(ISERROR(FIND('112'!$M$9,G976,1)),"",IF((AND(FIND('112'!$M$9,G976,1)&gt;=1,B976='112'!$K$9,OR($N976='112'!$I$6,$O976='112'!$I$6))),"x",""))</f>
        <v/>
      </c>
      <c r="U976" s="79" t="str">
        <f>IF(ISERROR(FIND('112'!$M$9,G976,1)),"",IF((AND(LEFT(G976,2)=LEFT('112'!$M$9,2),B976&lt;'112'!$K$9,$N976='112'!$I$6)),"x",""))</f>
        <v/>
      </c>
      <c r="V976" s="79" t="str">
        <f>IF(ISERROR(FIND('112'!$M$9,G976,1)),"",IF((AND(RIGHT(G976,2)=RIGHT('112'!$M$9,2),B976&lt;'112'!$K$9,$O976='112'!$I$6)),"x",""))</f>
        <v/>
      </c>
      <c r="W976" s="79" t="str">
        <f>IF(AND('341-CT'!$H$9=H976,OR(LEFT(N976,3)=$W$7,LEFT(O976,3)=$W$7)),"x","")</f>
        <v/>
      </c>
      <c r="X976" s="79" t="str">
        <f>IF(OR(TH!N976=TH!$X$7,O976=TH!$X$7),"x","")</f>
        <v/>
      </c>
      <c r="Y976" s="79" t="str">
        <f>IF(AND(OR(N976="131",O976="131"),H976='131-CT'!$H$9),"x","")</f>
        <v/>
      </c>
      <c r="Z976" s="79"/>
      <c r="AA976" s="79" t="str">
        <f>IF(AND(MONTH(E976)='IN-NX'!$J$5,'IN-NX'!$D$7=D976),"x","")</f>
        <v/>
      </c>
      <c r="AB976" s="79" t="str">
        <f>IF(AND(OR(LEFT(TH!N976,2)="15",LEFT(TH!O976,2)="15"),LEFT(TH!O976,3)&lt;&gt;"111",'152-CT'!$J$8=TH!F976),"x","")</f>
        <v/>
      </c>
      <c r="AC976" s="79" t="str">
        <f>IF(AND(OR(LEFT(TH!N976,2)="15",LEFT(TH!O976,2)="15"),TK!$E$7=TH!F976),"x","")</f>
        <v/>
      </c>
      <c r="AD976" s="79" t="str">
        <f>IF(AND(N976="1521",MONTH(C976)='BK-NL'!$M$11),"x","")</f>
        <v/>
      </c>
    </row>
    <row r="977" spans="1:30" ht="16.5" customHeight="1">
      <c r="A977" s="318" t="str">
        <f>IF(B977&lt;&gt;"",IF(AND(B977='IN-TC'!$S$4,OR(TH!N977="1111",TH!O977="1111")),TH!D977,""),"")</f>
        <v/>
      </c>
      <c r="B977" s="60" t="str">
        <f t="shared" si="155"/>
        <v/>
      </c>
      <c r="C977" s="261"/>
      <c r="D977" s="261"/>
      <c r="E977" s="261"/>
      <c r="F977" s="1103"/>
      <c r="G977" s="1104"/>
      <c r="H977" s="77"/>
      <c r="I977" s="383"/>
      <c r="J977" s="383"/>
      <c r="K977" s="383"/>
      <c r="L977" s="390"/>
      <c r="M977" s="383"/>
      <c r="N977" s="1019"/>
      <c r="O977" s="1019"/>
      <c r="P977" s="79" t="str">
        <f>IF(AND('331-CT'!$E$7=TH!H977,OR(N977="331",O977="331")),"x","")</f>
        <v/>
      </c>
      <c r="Q977" s="79" t="str">
        <f>IF(AND(B977='111'!$L$11,OR($N977=$Q$7,$O977=$Q$7)),"x","")</f>
        <v/>
      </c>
      <c r="R977" s="79" t="str">
        <f>IF(AND($N977=$Q$7,$B977&lt;'111'!$L$11),"x","")</f>
        <v/>
      </c>
      <c r="S977" s="79" t="str">
        <f>IF(AND($O977=$Q$7,$B977&lt;'111'!$L$11),"x","")</f>
        <v/>
      </c>
      <c r="T977" s="79" t="str">
        <f>IF(ISERROR(FIND('112'!$M$9,G977,1)),"",IF((AND(FIND('112'!$M$9,G977,1)&gt;=1,B977='112'!$K$9,OR($N977='112'!$I$6,$O977='112'!$I$6))),"x",""))</f>
        <v/>
      </c>
      <c r="U977" s="79" t="str">
        <f>IF(ISERROR(FIND('112'!$M$9,G977,1)),"",IF((AND(LEFT(G977,2)=LEFT('112'!$M$9,2),B977&lt;'112'!$K$9,$N977='112'!$I$6)),"x",""))</f>
        <v/>
      </c>
      <c r="V977" s="79" t="str">
        <f>IF(ISERROR(FIND('112'!$M$9,G977,1)),"",IF((AND(RIGHT(G977,2)=RIGHT('112'!$M$9,2),B977&lt;'112'!$K$9,$O977='112'!$I$6)),"x",""))</f>
        <v/>
      </c>
      <c r="W977" s="79" t="str">
        <f>IF(AND('341-CT'!$H$9=H977,OR(LEFT(N977,3)=$W$7,LEFT(O977,3)=$W$7)),"x","")</f>
        <v/>
      </c>
      <c r="X977" s="79" t="str">
        <f>IF(OR(TH!N977=TH!$X$7,O977=TH!$X$7),"x","")</f>
        <v/>
      </c>
      <c r="Y977" s="79" t="str">
        <f>IF(AND(OR(N977="131",O977="131"),H977='131-CT'!$H$9),"x","")</f>
        <v/>
      </c>
      <c r="Z977" s="79"/>
      <c r="AA977" s="79" t="str">
        <f>IF(AND(MONTH(E977)='IN-NX'!$J$5,'IN-NX'!$D$7=D977),"x","")</f>
        <v/>
      </c>
      <c r="AB977" s="79" t="str">
        <f>IF(AND(OR(LEFT(TH!N977,2)="15",LEFT(TH!O977,2)="15"),LEFT(TH!O977,3)&lt;&gt;"111",'152-CT'!$J$8=TH!F977),"x","")</f>
        <v/>
      </c>
      <c r="AC977" s="79" t="str">
        <f>IF(AND(OR(LEFT(TH!N977,2)="15",LEFT(TH!O977,2)="15"),TK!$E$7=TH!F977),"x","")</f>
        <v/>
      </c>
      <c r="AD977" s="79" t="str">
        <f>IF(AND(N977="1521",MONTH(C977)='BK-NL'!$M$11),"x","")</f>
        <v/>
      </c>
    </row>
    <row r="978" spans="1:30" ht="16.5" customHeight="1">
      <c r="A978" s="318" t="str">
        <f>IF(B978&lt;&gt;"",IF(AND(B978='IN-TC'!$S$4,OR(TH!N978="1111",TH!O978="1111")),TH!D978,""),"")</f>
        <v/>
      </c>
      <c r="B978" s="60" t="str">
        <f t="shared" si="155"/>
        <v/>
      </c>
      <c r="C978" s="261"/>
      <c r="D978" s="261"/>
      <c r="E978" s="261"/>
      <c r="F978" s="1103"/>
      <c r="G978" s="1104"/>
      <c r="H978" s="77"/>
      <c r="I978" s="383"/>
      <c r="J978" s="383"/>
      <c r="K978" s="383"/>
      <c r="L978" s="390"/>
      <c r="M978" s="383"/>
      <c r="N978" s="1019"/>
      <c r="O978" s="1019"/>
      <c r="P978" s="79" t="str">
        <f>IF(AND('331-CT'!$E$7=TH!H978,OR(N978="331",O978="331")),"x","")</f>
        <v/>
      </c>
      <c r="Q978" s="79" t="str">
        <f>IF(AND(B978='111'!$L$11,OR($N978=$Q$7,$O978=$Q$7)),"x","")</f>
        <v/>
      </c>
      <c r="R978" s="79" t="str">
        <f>IF(AND($N978=$Q$7,$B978&lt;'111'!$L$11),"x","")</f>
        <v/>
      </c>
      <c r="S978" s="79" t="str">
        <f>IF(AND($O978=$Q$7,$B978&lt;'111'!$L$11),"x","")</f>
        <v/>
      </c>
      <c r="T978" s="79" t="str">
        <f>IF(ISERROR(FIND('112'!$M$9,G978,1)),"",IF((AND(FIND('112'!$M$9,G978,1)&gt;=1,B978='112'!$K$9,OR($N978='112'!$I$6,$O978='112'!$I$6))),"x",""))</f>
        <v/>
      </c>
      <c r="U978" s="79" t="str">
        <f>IF(ISERROR(FIND('112'!$M$9,G978,1)),"",IF((AND(LEFT(G978,2)=LEFT('112'!$M$9,2),B978&lt;'112'!$K$9,$N978='112'!$I$6)),"x",""))</f>
        <v/>
      </c>
      <c r="V978" s="79" t="str">
        <f>IF(ISERROR(FIND('112'!$M$9,G978,1)),"",IF((AND(RIGHT(G978,2)=RIGHT('112'!$M$9,2),B978&lt;'112'!$K$9,$O978='112'!$I$6)),"x",""))</f>
        <v/>
      </c>
      <c r="W978" s="79" t="str">
        <f>IF(AND('341-CT'!$H$9=H978,OR(LEFT(N978,3)=$W$7,LEFT(O978,3)=$W$7)),"x","")</f>
        <v/>
      </c>
      <c r="X978" s="79" t="str">
        <f>IF(OR(TH!N978=TH!$X$7,O978=TH!$X$7),"x","")</f>
        <v/>
      </c>
      <c r="Y978" s="79" t="str">
        <f>IF(AND(OR(N978="131",O978="131"),H978='131-CT'!$H$9),"x","")</f>
        <v/>
      </c>
      <c r="Z978" s="79"/>
      <c r="AA978" s="79" t="str">
        <f>IF(AND(MONTH(E978)='IN-NX'!$J$5,'IN-NX'!$D$7=D978),"x","")</f>
        <v/>
      </c>
      <c r="AB978" s="79" t="str">
        <f>IF(AND(OR(LEFT(TH!N978,2)="15",LEFT(TH!O978,2)="15"),LEFT(TH!O978,3)&lt;&gt;"111",'152-CT'!$J$8=TH!F978),"x","")</f>
        <v/>
      </c>
      <c r="AC978" s="79" t="str">
        <f>IF(AND(OR(LEFT(TH!N978,2)="15",LEFT(TH!O978,2)="15"),TK!$E$7=TH!F978),"x","")</f>
        <v/>
      </c>
      <c r="AD978" s="79" t="str">
        <f>IF(AND(N978="1521",MONTH(C978)='BK-NL'!$M$11),"x","")</f>
        <v/>
      </c>
    </row>
    <row r="979" spans="1:30" ht="16.5" customHeight="1">
      <c r="A979" s="318" t="str">
        <f>IF(B979&lt;&gt;"",IF(AND(B979='IN-TC'!$S$4,OR(TH!N979="1111",TH!O979="1111")),TH!D979,""),"")</f>
        <v/>
      </c>
      <c r="B979" s="60" t="str">
        <f t="shared" ref="B979:B1008" si="156">IF(C979&lt;&gt;"",MONTH(C979),"")</f>
        <v/>
      </c>
      <c r="C979" s="261"/>
      <c r="D979" s="261"/>
      <c r="E979" s="261"/>
      <c r="F979" s="1103"/>
      <c r="G979" s="1104"/>
      <c r="H979" s="77"/>
      <c r="I979" s="383"/>
      <c r="J979" s="383"/>
      <c r="K979" s="383"/>
      <c r="L979" s="390"/>
      <c r="M979" s="383"/>
      <c r="N979" s="1019"/>
      <c r="O979" s="1019"/>
      <c r="P979" s="79" t="str">
        <f>IF(AND('331-CT'!$E$7=TH!H979,OR(N979="331",O979="331")),"x","")</f>
        <v/>
      </c>
      <c r="Q979" s="79" t="str">
        <f>IF(AND(B979='111'!$L$11,OR($N979=$Q$7,$O979=$Q$7)),"x","")</f>
        <v/>
      </c>
      <c r="R979" s="79" t="str">
        <f>IF(AND($N979=$Q$7,$B979&lt;'111'!$L$11),"x","")</f>
        <v/>
      </c>
      <c r="S979" s="79" t="str">
        <f>IF(AND($O979=$Q$7,$B979&lt;'111'!$L$11),"x","")</f>
        <v/>
      </c>
      <c r="T979" s="79" t="str">
        <f>IF(ISERROR(FIND('112'!$M$9,G979,1)),"",IF((AND(FIND('112'!$M$9,G979,1)&gt;=1,B979='112'!$K$9,OR($N979='112'!$I$6,$O979='112'!$I$6))),"x",""))</f>
        <v/>
      </c>
      <c r="U979" s="79" t="str">
        <f>IF(ISERROR(FIND('112'!$M$9,G979,1)),"",IF((AND(LEFT(G979,2)=LEFT('112'!$M$9,2),B979&lt;'112'!$K$9,$N979='112'!$I$6)),"x",""))</f>
        <v/>
      </c>
      <c r="V979" s="79" t="str">
        <f>IF(ISERROR(FIND('112'!$M$9,G979,1)),"",IF((AND(RIGHT(G979,2)=RIGHT('112'!$M$9,2),B979&lt;'112'!$K$9,$O979='112'!$I$6)),"x",""))</f>
        <v/>
      </c>
      <c r="W979" s="79" t="str">
        <f>IF(AND('341-CT'!$H$9=H979,OR(LEFT(N979,3)=$W$7,LEFT(O979,3)=$W$7)),"x","")</f>
        <v/>
      </c>
      <c r="X979" s="79" t="str">
        <f>IF(OR(TH!N979=TH!$X$7,O979=TH!$X$7),"x","")</f>
        <v/>
      </c>
      <c r="Y979" s="79" t="str">
        <f>IF(AND(OR(N979="131",O979="131"),H979='131-CT'!$H$9),"x","")</f>
        <v/>
      </c>
      <c r="Z979" s="79"/>
      <c r="AA979" s="79" t="str">
        <f>IF(AND(MONTH(E979)='IN-NX'!$J$5,'IN-NX'!$D$7=D979),"x","")</f>
        <v/>
      </c>
      <c r="AB979" s="79" t="str">
        <f>IF(AND(OR(LEFT(TH!N979,2)="15",LEFT(TH!O979,2)="15"),LEFT(TH!O979,3)&lt;&gt;"111",'152-CT'!$J$8=TH!F979),"x","")</f>
        <v/>
      </c>
      <c r="AC979" s="79" t="str">
        <f>IF(AND(OR(LEFT(TH!N979,2)="15",LEFT(TH!O979,2)="15"),TK!$E$7=TH!F979),"x","")</f>
        <v/>
      </c>
      <c r="AD979" s="79" t="str">
        <f>IF(AND(N979="1521",MONTH(C979)='BK-NL'!$M$11),"x","")</f>
        <v/>
      </c>
    </row>
    <row r="980" spans="1:30" ht="16.5" customHeight="1">
      <c r="A980" s="318" t="str">
        <f>IF(B980&lt;&gt;"",IF(AND(B980='IN-TC'!$S$4,OR(TH!N980="1111",TH!O980="1111")),TH!D980,""),"")</f>
        <v/>
      </c>
      <c r="B980" s="60" t="str">
        <f t="shared" si="156"/>
        <v/>
      </c>
      <c r="C980" s="261"/>
      <c r="D980" s="261"/>
      <c r="E980" s="261"/>
      <c r="F980" s="1103"/>
      <c r="G980" s="1104"/>
      <c r="H980" s="77"/>
      <c r="I980" s="383"/>
      <c r="J980" s="383"/>
      <c r="K980" s="383"/>
      <c r="L980" s="390"/>
      <c r="M980" s="383"/>
      <c r="N980" s="1019"/>
      <c r="O980" s="1019"/>
      <c r="P980" s="79" t="str">
        <f>IF(AND('331-CT'!$E$7=TH!H980,OR(N980="331",O980="331")),"x","")</f>
        <v/>
      </c>
      <c r="Q980" s="79" t="str">
        <f>IF(AND(B980='111'!$L$11,OR($N980=$Q$7,$O980=$Q$7)),"x","")</f>
        <v/>
      </c>
      <c r="R980" s="79" t="str">
        <f>IF(AND($N980=$Q$7,$B980&lt;'111'!$L$11),"x","")</f>
        <v/>
      </c>
      <c r="S980" s="79" t="str">
        <f>IF(AND($O980=$Q$7,$B980&lt;'111'!$L$11),"x","")</f>
        <v/>
      </c>
      <c r="T980" s="79" t="str">
        <f>IF(ISERROR(FIND('112'!$M$9,G980,1)),"",IF((AND(FIND('112'!$M$9,G980,1)&gt;=1,B980='112'!$K$9,OR($N980='112'!$I$6,$O980='112'!$I$6))),"x",""))</f>
        <v/>
      </c>
      <c r="U980" s="79" t="str">
        <f>IF(ISERROR(FIND('112'!$M$9,G980,1)),"",IF((AND(LEFT(G980,2)=LEFT('112'!$M$9,2),B980&lt;'112'!$K$9,$N980='112'!$I$6)),"x",""))</f>
        <v/>
      </c>
      <c r="V980" s="79" t="str">
        <f>IF(ISERROR(FIND('112'!$M$9,G980,1)),"",IF((AND(RIGHT(G980,2)=RIGHT('112'!$M$9,2),B980&lt;'112'!$K$9,$O980='112'!$I$6)),"x",""))</f>
        <v/>
      </c>
      <c r="W980" s="79" t="str">
        <f>IF(AND('341-CT'!$H$9=H980,OR(LEFT(N980,3)=$W$7,LEFT(O980,3)=$W$7)),"x","")</f>
        <v/>
      </c>
      <c r="X980" s="79" t="str">
        <f>IF(OR(TH!N980=TH!$X$7,O980=TH!$X$7),"x","")</f>
        <v/>
      </c>
      <c r="Y980" s="79" t="str">
        <f>IF(AND(OR(N980="131",O980="131"),H980='131-CT'!$H$9),"x","")</f>
        <v/>
      </c>
      <c r="Z980" s="79"/>
      <c r="AA980" s="79" t="str">
        <f>IF(AND(MONTH(E980)='IN-NX'!$J$5,'IN-NX'!$D$7=D980),"x","")</f>
        <v/>
      </c>
      <c r="AB980" s="79" t="str">
        <f>IF(AND(OR(LEFT(TH!N980,2)="15",LEFT(TH!O980,2)="15"),LEFT(TH!O980,3)&lt;&gt;"111",'152-CT'!$J$8=TH!F980),"x","")</f>
        <v/>
      </c>
      <c r="AC980" s="79" t="str">
        <f>IF(AND(OR(LEFT(TH!N980,2)="15",LEFT(TH!O980,2)="15"),TK!$E$7=TH!F980),"x","")</f>
        <v/>
      </c>
      <c r="AD980" s="79" t="str">
        <f>IF(AND(N980="1521",MONTH(C980)='BK-NL'!$M$11),"x","")</f>
        <v/>
      </c>
    </row>
    <row r="981" spans="1:30" ht="16.5" customHeight="1">
      <c r="A981" s="318" t="str">
        <f>IF(B981&lt;&gt;"",IF(AND(B981='IN-TC'!$S$4,OR(TH!N981="1111",TH!O981="1111")),TH!D981,""),"")</f>
        <v/>
      </c>
      <c r="B981" s="60" t="str">
        <f t="shared" si="156"/>
        <v/>
      </c>
      <c r="C981" s="261"/>
      <c r="D981" s="261"/>
      <c r="E981" s="261"/>
      <c r="F981" s="1103"/>
      <c r="G981" s="1104"/>
      <c r="H981" s="77"/>
      <c r="I981" s="383"/>
      <c r="J981" s="383"/>
      <c r="K981" s="383"/>
      <c r="L981" s="390"/>
      <c r="M981" s="383"/>
      <c r="N981" s="1019"/>
      <c r="O981" s="1019"/>
      <c r="P981" s="79" t="str">
        <f>IF(AND('331-CT'!$E$7=TH!H981,OR(N981="331",O981="331")),"x","")</f>
        <v/>
      </c>
      <c r="Q981" s="79" t="str">
        <f>IF(AND(B981='111'!$L$11,OR($N981=$Q$7,$O981=$Q$7)),"x","")</f>
        <v/>
      </c>
      <c r="R981" s="79" t="str">
        <f>IF(AND($N981=$Q$7,$B981&lt;'111'!$L$11),"x","")</f>
        <v/>
      </c>
      <c r="S981" s="79" t="str">
        <f>IF(AND($O981=$Q$7,$B981&lt;'111'!$L$11),"x","")</f>
        <v/>
      </c>
      <c r="T981" s="79" t="str">
        <f>IF(ISERROR(FIND('112'!$M$9,G981,1)),"",IF((AND(FIND('112'!$M$9,G981,1)&gt;=1,B981='112'!$K$9,OR($N981='112'!$I$6,$O981='112'!$I$6))),"x",""))</f>
        <v/>
      </c>
      <c r="U981" s="79" t="str">
        <f>IF(ISERROR(FIND('112'!$M$9,G981,1)),"",IF((AND(LEFT(G981,2)=LEFT('112'!$M$9,2),B981&lt;'112'!$K$9,$N981='112'!$I$6)),"x",""))</f>
        <v/>
      </c>
      <c r="V981" s="79" t="str">
        <f>IF(ISERROR(FIND('112'!$M$9,G981,1)),"",IF((AND(RIGHT(G981,2)=RIGHT('112'!$M$9,2),B981&lt;'112'!$K$9,$O981='112'!$I$6)),"x",""))</f>
        <v/>
      </c>
      <c r="W981" s="79" t="str">
        <f>IF(AND('341-CT'!$H$9=H981,OR(LEFT(N981,3)=$W$7,LEFT(O981,3)=$W$7)),"x","")</f>
        <v/>
      </c>
      <c r="X981" s="79" t="str">
        <f>IF(OR(TH!N981=TH!$X$7,O981=TH!$X$7),"x","")</f>
        <v/>
      </c>
      <c r="Y981" s="79" t="str">
        <f>IF(AND(OR(N981="131",O981="131"),H981='131-CT'!$H$9),"x","")</f>
        <v/>
      </c>
      <c r="Z981" s="79"/>
      <c r="AA981" s="79" t="str">
        <f>IF(AND(MONTH(E981)='IN-NX'!$J$5,'IN-NX'!$D$7=D981),"x","")</f>
        <v/>
      </c>
      <c r="AB981" s="79" t="str">
        <f>IF(AND(OR(LEFT(TH!N981,2)="15",LEFT(TH!O981,2)="15"),LEFT(TH!O981,3)&lt;&gt;"111",'152-CT'!$J$8=TH!F981),"x","")</f>
        <v/>
      </c>
      <c r="AC981" s="79" t="str">
        <f>IF(AND(OR(LEFT(TH!N981,2)="15",LEFT(TH!O981,2)="15"),TK!$E$7=TH!F981),"x","")</f>
        <v/>
      </c>
      <c r="AD981" s="79" t="str">
        <f>IF(AND(N981="1521",MONTH(C981)='BK-NL'!$M$11),"x","")</f>
        <v/>
      </c>
    </row>
    <row r="982" spans="1:30" s="1102" customFormat="1" ht="16.5" customHeight="1">
      <c r="A982" s="318" t="str">
        <f>IF(B982&lt;&gt;"",IF(AND(B982='IN-TC'!$S$4,OR(TH!N982="1111",TH!O982="1111")),TH!D982,""),"")</f>
        <v/>
      </c>
      <c r="B982" s="60" t="str">
        <f t="shared" si="156"/>
        <v/>
      </c>
      <c r="C982" s="981"/>
      <c r="D982" s="981"/>
      <c r="E982" s="981"/>
      <c r="F982" s="1008"/>
      <c r="G982" s="987"/>
      <c r="H982" s="982"/>
      <c r="I982" s="984"/>
      <c r="J982" s="984"/>
      <c r="K982" s="984"/>
      <c r="L982" s="983"/>
      <c r="M982" s="985"/>
      <c r="N982" s="986"/>
      <c r="O982" s="986"/>
      <c r="P982" s="79" t="str">
        <f>IF(AND('331-CT'!$E$7=TH!H982,OR(N982="331",O982="331")),"x","")</f>
        <v/>
      </c>
      <c r="Q982" s="79" t="str">
        <f>IF(AND(B982='111'!$L$11,OR($N982=$Q$7,$O982=$Q$7)),"x","")</f>
        <v/>
      </c>
      <c r="R982" s="79" t="str">
        <f>IF(AND($N982=$Q$7,$B982&lt;'111'!$L$11),"x","")</f>
        <v/>
      </c>
      <c r="S982" s="79" t="str">
        <f>IF(AND($O982=$Q$7,$B982&lt;'111'!$L$11),"x","")</f>
        <v/>
      </c>
      <c r="T982" s="79" t="str">
        <f>IF(ISERROR(FIND('112'!$M$9,G982,1)),"",IF((AND(FIND('112'!$M$9,G982,1)&gt;=1,B982='112'!$K$9,OR($N982='112'!$I$6,$O982='112'!$I$6))),"x",""))</f>
        <v/>
      </c>
      <c r="U982" s="79" t="str">
        <f>IF(ISERROR(FIND('112'!$M$9,G982,1)),"",IF((AND(LEFT(G982,2)=LEFT('112'!$M$9,2),B982&lt;'112'!$K$9,$N982='112'!$I$6)),"x",""))</f>
        <v/>
      </c>
      <c r="V982" s="79" t="str">
        <f>IF(ISERROR(FIND('112'!$M$9,G982,1)),"",IF((AND(RIGHT(G982,2)=RIGHT('112'!$M$9,2),B982&lt;'112'!$K$9,$O982='112'!$I$6)),"x",""))</f>
        <v/>
      </c>
      <c r="W982" s="79" t="str">
        <f>IF(AND('341-CT'!$H$9=H982,OR(LEFT(N982,3)=$W$7,LEFT(O982,3)=$W$7)),"x","")</f>
        <v/>
      </c>
      <c r="X982" s="79" t="str">
        <f>IF(OR(TH!N982=TH!$X$7,O982=TH!$X$7),"x","")</f>
        <v/>
      </c>
      <c r="Y982" s="79" t="str">
        <f>IF(AND(OR(N982="131",O982="131"),H982='131-CT'!$H$9),"x","")</f>
        <v/>
      </c>
      <c r="Z982" s="79"/>
      <c r="AA982" s="79" t="str">
        <f>IF(AND(MONTH(E982)='IN-NX'!$J$5,'IN-NX'!$D$7=D982),"x","")</f>
        <v/>
      </c>
      <c r="AB982" s="79" t="str">
        <f>IF(AND(OR(LEFT(TH!N982,2)="15",LEFT(TH!O982,2)="15"),LEFT(TH!O982,3)&lt;&gt;"111",'152-CT'!$J$8=TH!F982),"x","")</f>
        <v/>
      </c>
      <c r="AC982" s="79" t="str">
        <f>IF(AND(OR(LEFT(TH!N982,2)="15",LEFT(TH!O982,2)="15"),TK!$E$7=TH!F982),"x","")</f>
        <v/>
      </c>
      <c r="AD982" s="79" t="str">
        <f>IF(AND(N982="1521",MONTH(C982)='BK-NL'!$M$11),"x","")</f>
        <v/>
      </c>
    </row>
    <row r="983" spans="1:30" ht="16.5" customHeight="1">
      <c r="A983" s="318" t="str">
        <f>IF(B983&lt;&gt;"",IF(AND(B983='IN-TC'!$S$4,OR(TH!N983="1111",TH!O983="1111")),TH!D983,""),"")</f>
        <v/>
      </c>
      <c r="B983" s="60" t="str">
        <f t="shared" si="156"/>
        <v/>
      </c>
      <c r="C983" s="261"/>
      <c r="D983" s="261"/>
      <c r="E983" s="261"/>
      <c r="F983" s="1103"/>
      <c r="G983" s="1104"/>
      <c r="H983" s="305"/>
      <c r="I983" s="383"/>
      <c r="J983" s="383"/>
      <c r="K983" s="383"/>
      <c r="L983" s="390"/>
      <c r="M983" s="978"/>
      <c r="N983" s="1019"/>
      <c r="O983" s="1019"/>
      <c r="P983" s="79" t="str">
        <f>IF(AND('331-CT'!$E$7=TH!H983,OR(N983="331",O983="331")),"x","")</f>
        <v/>
      </c>
      <c r="Q983" s="79" t="str">
        <f>IF(AND(B983='111'!$L$11,OR($N983=$Q$7,$O983=$Q$7)),"x","")</f>
        <v/>
      </c>
      <c r="R983" s="79" t="str">
        <f>IF(AND($N983=$Q$7,$B983&lt;'111'!$L$11),"x","")</f>
        <v/>
      </c>
      <c r="S983" s="79" t="str">
        <f>IF(AND($O983=$Q$7,$B983&lt;'111'!$L$11),"x","")</f>
        <v/>
      </c>
      <c r="T983" s="79" t="str">
        <f>IF(ISERROR(FIND('112'!$M$9,G983,1)),"",IF((AND(FIND('112'!$M$9,G983,1)&gt;=1,B983='112'!$K$9,OR($N983='112'!$I$6,$O983='112'!$I$6))),"x",""))</f>
        <v/>
      </c>
      <c r="U983" s="79" t="str">
        <f>IF(ISERROR(FIND('112'!$M$9,G983,1)),"",IF((AND(LEFT(G983,2)=LEFT('112'!$M$9,2),B983&lt;'112'!$K$9,$N983='112'!$I$6)),"x",""))</f>
        <v/>
      </c>
      <c r="V983" s="79" t="str">
        <f>IF(ISERROR(FIND('112'!$M$9,G983,1)),"",IF((AND(RIGHT(G983,2)=RIGHT('112'!$M$9,2),B983&lt;'112'!$K$9,$O983='112'!$I$6)),"x",""))</f>
        <v/>
      </c>
      <c r="W983" s="79" t="str">
        <f>IF(AND('341-CT'!$H$9=H983,OR(LEFT(N983,3)=$W$7,LEFT(O983,3)=$W$7)),"x","")</f>
        <v/>
      </c>
      <c r="X983" s="79" t="str">
        <f>IF(OR(TH!N983=TH!$X$7,O983=TH!$X$7),"x","")</f>
        <v/>
      </c>
      <c r="Y983" s="79" t="str">
        <f>IF(AND(OR(N983="131",O983="131"),H983='131-CT'!$H$9),"x","")</f>
        <v/>
      </c>
      <c r="Z983" s="79"/>
      <c r="AA983" s="79" t="str">
        <f>IF(AND(MONTH(E983)='IN-NX'!$J$5,'IN-NX'!$D$7=D983),"x","")</f>
        <v/>
      </c>
      <c r="AB983" s="79" t="str">
        <f>IF(AND(OR(LEFT(TH!N983,2)="15",LEFT(TH!O983,2)="15"),LEFT(TH!O983,3)&lt;&gt;"111",'152-CT'!$J$8=TH!F983),"x","")</f>
        <v/>
      </c>
      <c r="AC983" s="79" t="str">
        <f>IF(AND(OR(LEFT(TH!N983,2)="15",LEFT(TH!O983,2)="15"),TK!$E$7=TH!F983),"x","")</f>
        <v/>
      </c>
      <c r="AD983" s="79" t="str">
        <f>IF(AND(N983="1521",MONTH(C983)='BK-NL'!$M$11),"x","")</f>
        <v/>
      </c>
    </row>
    <row r="984" spans="1:30" ht="16.5" customHeight="1">
      <c r="A984" s="318" t="str">
        <f>IF(B984&lt;&gt;"",IF(AND(B984='IN-TC'!$S$4,OR(TH!N984="1111",TH!O984="1111")),TH!D984,""),"")</f>
        <v/>
      </c>
      <c r="B984" s="60" t="str">
        <f t="shared" si="156"/>
        <v/>
      </c>
      <c r="C984" s="261"/>
      <c r="D984" s="261"/>
      <c r="E984" s="261"/>
      <c r="F984" s="1103"/>
      <c r="G984" s="1104"/>
      <c r="H984" s="305"/>
      <c r="I984" s="383"/>
      <c r="J984" s="383"/>
      <c r="K984" s="383"/>
      <c r="L984" s="390"/>
      <c r="M984" s="978"/>
      <c r="N984" s="1019"/>
      <c r="O984" s="1019"/>
      <c r="P984" s="79" t="str">
        <f>IF(AND('331-CT'!$E$7=TH!H984,OR(N984="331",O984="331")),"x","")</f>
        <v/>
      </c>
      <c r="Q984" s="79" t="str">
        <f>IF(AND(B984='111'!$L$11,OR($N984=$Q$7,$O984=$Q$7)),"x","")</f>
        <v/>
      </c>
      <c r="R984" s="79" t="str">
        <f>IF(AND($N984=$Q$7,$B984&lt;'111'!$L$11),"x","")</f>
        <v/>
      </c>
      <c r="S984" s="79" t="str">
        <f>IF(AND($O984=$Q$7,$B984&lt;'111'!$L$11),"x","")</f>
        <v/>
      </c>
      <c r="T984" s="79" t="str">
        <f>IF(ISERROR(FIND('112'!$M$9,G984,1)),"",IF((AND(FIND('112'!$M$9,G984,1)&gt;=1,B984='112'!$K$9,OR($N984='112'!$I$6,$O984='112'!$I$6))),"x",""))</f>
        <v/>
      </c>
      <c r="U984" s="79" t="str">
        <f>IF(ISERROR(FIND('112'!$M$9,G984,1)),"",IF((AND(LEFT(G984,2)=LEFT('112'!$M$9,2),B984&lt;'112'!$K$9,$N984='112'!$I$6)),"x",""))</f>
        <v/>
      </c>
      <c r="V984" s="79" t="str">
        <f>IF(ISERROR(FIND('112'!$M$9,G984,1)),"",IF((AND(RIGHT(G984,2)=RIGHT('112'!$M$9,2),B984&lt;'112'!$K$9,$O984='112'!$I$6)),"x",""))</f>
        <v/>
      </c>
      <c r="W984" s="79" t="str">
        <f>IF(AND('341-CT'!$H$9=H984,OR(LEFT(N984,3)=$W$7,LEFT(O984,3)=$W$7)),"x","")</f>
        <v/>
      </c>
      <c r="X984" s="79" t="str">
        <f>IF(OR(TH!N984=TH!$X$7,O984=TH!$X$7),"x","")</f>
        <v/>
      </c>
      <c r="Y984" s="79" t="str">
        <f>IF(AND(OR(N984="131",O984="131"),H984='131-CT'!$H$9),"x","")</f>
        <v/>
      </c>
      <c r="Z984" s="79"/>
      <c r="AA984" s="79" t="str">
        <f>IF(AND(MONTH(E984)='IN-NX'!$J$5,'IN-NX'!$D$7=D984),"x","")</f>
        <v/>
      </c>
      <c r="AB984" s="79" t="str">
        <f>IF(AND(OR(LEFT(TH!N984,2)="15",LEFT(TH!O984,2)="15"),LEFT(TH!O984,3)&lt;&gt;"111",'152-CT'!$J$8=TH!F984),"x","")</f>
        <v/>
      </c>
      <c r="AC984" s="79" t="str">
        <f>IF(AND(OR(LEFT(TH!N984,2)="15",LEFT(TH!O984,2)="15"),TK!$E$7=TH!F984),"x","")</f>
        <v/>
      </c>
      <c r="AD984" s="79" t="str">
        <f>IF(AND(N984="1521",MONTH(C984)='BK-NL'!$M$11),"x","")</f>
        <v/>
      </c>
    </row>
    <row r="985" spans="1:30" ht="16.5" customHeight="1">
      <c r="A985" s="318" t="str">
        <f>IF(B985&lt;&gt;"",IF(AND(B985='IN-TC'!$S$4,OR(TH!N985="1111",TH!O985="1111")),TH!D985,""),"")</f>
        <v/>
      </c>
      <c r="B985" s="60" t="str">
        <f t="shared" si="156"/>
        <v/>
      </c>
      <c r="C985" s="261"/>
      <c r="D985" s="261"/>
      <c r="E985" s="261"/>
      <c r="F985" s="1103"/>
      <c r="G985" s="1104"/>
      <c r="H985" s="305"/>
      <c r="I985" s="383"/>
      <c r="J985" s="383"/>
      <c r="K985" s="383"/>
      <c r="L985" s="390"/>
      <c r="M985" s="978"/>
      <c r="N985" s="1019"/>
      <c r="O985" s="1019"/>
      <c r="P985" s="79" t="str">
        <f>IF(AND('331-CT'!$E$7=TH!H985,OR(N985="331",O985="331")),"x","")</f>
        <v/>
      </c>
      <c r="Q985" s="79" t="str">
        <f>IF(AND(B985='111'!$L$11,OR($N985=$Q$7,$O985=$Q$7)),"x","")</f>
        <v/>
      </c>
      <c r="R985" s="79" t="str">
        <f>IF(AND($N985=$Q$7,$B985&lt;'111'!$L$11),"x","")</f>
        <v/>
      </c>
      <c r="S985" s="79" t="str">
        <f>IF(AND($O985=$Q$7,$B985&lt;'111'!$L$11),"x","")</f>
        <v/>
      </c>
      <c r="T985" s="79" t="str">
        <f>IF(ISERROR(FIND('112'!$M$9,G985,1)),"",IF((AND(FIND('112'!$M$9,G985,1)&gt;=1,B985='112'!$K$9,OR($N985='112'!$I$6,$O985='112'!$I$6))),"x",""))</f>
        <v/>
      </c>
      <c r="U985" s="79" t="str">
        <f>IF(ISERROR(FIND('112'!$M$9,G985,1)),"",IF((AND(LEFT(G985,2)=LEFT('112'!$M$9,2),B985&lt;'112'!$K$9,$N985='112'!$I$6)),"x",""))</f>
        <v/>
      </c>
      <c r="V985" s="79" t="str">
        <f>IF(ISERROR(FIND('112'!$M$9,G985,1)),"",IF((AND(RIGHT(G985,2)=RIGHT('112'!$M$9,2),B985&lt;'112'!$K$9,$O985='112'!$I$6)),"x",""))</f>
        <v/>
      </c>
      <c r="W985" s="79" t="str">
        <f>IF(AND('341-CT'!$H$9=H985,OR(LEFT(N985,3)=$W$7,LEFT(O985,3)=$W$7)),"x","")</f>
        <v/>
      </c>
      <c r="X985" s="79" t="str">
        <f>IF(OR(TH!N985=TH!$X$7,O985=TH!$X$7),"x","")</f>
        <v/>
      </c>
      <c r="Y985" s="79" t="str">
        <f>IF(AND(OR(N985="131",O985="131"),H985='131-CT'!$H$9),"x","")</f>
        <v/>
      </c>
      <c r="Z985" s="79"/>
      <c r="AA985" s="79" t="str">
        <f>IF(AND(MONTH(E985)='IN-NX'!$J$5,'IN-NX'!$D$7=D985),"x","")</f>
        <v/>
      </c>
      <c r="AB985" s="79" t="str">
        <f>IF(AND(OR(LEFT(TH!N985,2)="15",LEFT(TH!O985,2)="15"),LEFT(TH!O985,3)&lt;&gt;"111",'152-CT'!$J$8=TH!F985),"x","")</f>
        <v/>
      </c>
      <c r="AC985" s="79" t="str">
        <f>IF(AND(OR(LEFT(TH!N985,2)="15",LEFT(TH!O985,2)="15"),TK!$E$7=TH!F985),"x","")</f>
        <v/>
      </c>
      <c r="AD985" s="79" t="str">
        <f>IF(AND(N985="1521",MONTH(C985)='BK-NL'!$M$11),"x","")</f>
        <v/>
      </c>
    </row>
    <row r="986" spans="1:30" ht="16.5" customHeight="1">
      <c r="A986" s="318" t="str">
        <f>IF(B986&lt;&gt;"",IF(AND(B986='IN-TC'!$S$4,OR(TH!N986="1111",TH!O986="1111")),TH!D986,""),"")</f>
        <v/>
      </c>
      <c r="B986" s="60" t="str">
        <f t="shared" si="156"/>
        <v/>
      </c>
      <c r="C986" s="261"/>
      <c r="D986" s="261"/>
      <c r="E986" s="261"/>
      <c r="F986" s="1103"/>
      <c r="G986" s="1104"/>
      <c r="H986" s="305"/>
      <c r="I986" s="383"/>
      <c r="J986" s="383"/>
      <c r="K986" s="383"/>
      <c r="L986" s="390"/>
      <c r="M986" s="978"/>
      <c r="N986" s="1019"/>
      <c r="O986" s="1019"/>
      <c r="P986" s="79" t="str">
        <f>IF(AND('331-CT'!$E$7=TH!H986,OR(N986="331",O986="331")),"x","")</f>
        <v/>
      </c>
      <c r="Q986" s="79" t="str">
        <f>IF(AND(B986='111'!$L$11,OR($N986=$Q$7,$O986=$Q$7)),"x","")</f>
        <v/>
      </c>
      <c r="R986" s="79" t="str">
        <f>IF(AND($N986=$Q$7,$B986&lt;'111'!$L$11),"x","")</f>
        <v/>
      </c>
      <c r="S986" s="79" t="str">
        <f>IF(AND($O986=$Q$7,$B986&lt;'111'!$L$11),"x","")</f>
        <v/>
      </c>
      <c r="T986" s="79" t="str">
        <f>IF(ISERROR(FIND('112'!$M$9,G986,1)),"",IF((AND(FIND('112'!$M$9,G986,1)&gt;=1,B986='112'!$K$9,OR($N986='112'!$I$6,$O986='112'!$I$6))),"x",""))</f>
        <v/>
      </c>
      <c r="U986" s="79" t="str">
        <f>IF(ISERROR(FIND('112'!$M$9,G986,1)),"",IF((AND(LEFT(G986,2)=LEFT('112'!$M$9,2),B986&lt;'112'!$K$9,$N986='112'!$I$6)),"x",""))</f>
        <v/>
      </c>
      <c r="V986" s="79" t="str">
        <f>IF(ISERROR(FIND('112'!$M$9,G986,1)),"",IF((AND(RIGHT(G986,2)=RIGHT('112'!$M$9,2),B986&lt;'112'!$K$9,$O986='112'!$I$6)),"x",""))</f>
        <v/>
      </c>
      <c r="W986" s="79" t="str">
        <f>IF(AND('341-CT'!$H$9=H986,OR(LEFT(N986,3)=$W$7,LEFT(O986,3)=$W$7)),"x","")</f>
        <v/>
      </c>
      <c r="X986" s="79" t="str">
        <f>IF(OR(TH!N986=TH!$X$7,O986=TH!$X$7),"x","")</f>
        <v/>
      </c>
      <c r="Y986" s="79" t="str">
        <f>IF(AND(OR(N986="131",O986="131"),H986='131-CT'!$H$9),"x","")</f>
        <v/>
      </c>
      <c r="Z986" s="79"/>
      <c r="AA986" s="79" t="str">
        <f>IF(AND(MONTH(E986)='IN-NX'!$J$5,'IN-NX'!$D$7=D986),"x","")</f>
        <v/>
      </c>
      <c r="AB986" s="79" t="str">
        <f>IF(AND(OR(LEFT(TH!N986,2)="15",LEFT(TH!O986,2)="15"),LEFT(TH!O986,3)&lt;&gt;"111",'152-CT'!$J$8=TH!F986),"x","")</f>
        <v/>
      </c>
      <c r="AC986" s="79" t="str">
        <f>IF(AND(OR(LEFT(TH!N986,2)="15",LEFT(TH!O986,2)="15"),TK!$E$7=TH!F986),"x","")</f>
        <v/>
      </c>
      <c r="AD986" s="79" t="str">
        <f>IF(AND(N986="1521",MONTH(C986)='BK-NL'!$M$11),"x","")</f>
        <v/>
      </c>
    </row>
    <row r="987" spans="1:30" ht="16.5" customHeight="1">
      <c r="A987" s="318" t="str">
        <f>IF(B987&lt;&gt;"",IF(AND(B987='IN-TC'!$S$4,OR(TH!N987="1111",TH!O987="1111")),TH!D987,""),"")</f>
        <v/>
      </c>
      <c r="B987" s="60" t="str">
        <f t="shared" si="156"/>
        <v/>
      </c>
      <c r="C987" s="261"/>
      <c r="D987" s="261"/>
      <c r="E987" s="261"/>
      <c r="F987" s="1103"/>
      <c r="G987" s="1104"/>
      <c r="H987" s="305"/>
      <c r="I987" s="383"/>
      <c r="J987" s="383"/>
      <c r="K987" s="383"/>
      <c r="L987" s="390"/>
      <c r="M987" s="978"/>
      <c r="N987" s="1019"/>
      <c r="O987" s="1019"/>
      <c r="P987" s="79" t="str">
        <f>IF(AND('331-CT'!$E$7=TH!H987,OR(N987="331",O987="331")),"x","")</f>
        <v/>
      </c>
      <c r="Q987" s="79" t="str">
        <f>IF(AND(B987='111'!$L$11,OR($N987=$Q$7,$O987=$Q$7)),"x","")</f>
        <v/>
      </c>
      <c r="R987" s="79" t="str">
        <f>IF(AND($N987=$Q$7,$B987&lt;'111'!$L$11),"x","")</f>
        <v/>
      </c>
      <c r="S987" s="79" t="str">
        <f>IF(AND($O987=$Q$7,$B987&lt;'111'!$L$11),"x","")</f>
        <v/>
      </c>
      <c r="T987" s="79" t="str">
        <f>IF(ISERROR(FIND('112'!$M$9,G987,1)),"",IF((AND(FIND('112'!$M$9,G987,1)&gt;=1,B987='112'!$K$9,OR($N987='112'!$I$6,$O987='112'!$I$6))),"x",""))</f>
        <v/>
      </c>
      <c r="U987" s="79" t="str">
        <f>IF(ISERROR(FIND('112'!$M$9,G987,1)),"",IF((AND(LEFT(G987,2)=LEFT('112'!$M$9,2),B987&lt;'112'!$K$9,$N987='112'!$I$6)),"x",""))</f>
        <v/>
      </c>
      <c r="V987" s="79" t="str">
        <f>IF(ISERROR(FIND('112'!$M$9,G987,1)),"",IF((AND(RIGHT(G987,2)=RIGHT('112'!$M$9,2),B987&lt;'112'!$K$9,$O987='112'!$I$6)),"x",""))</f>
        <v/>
      </c>
      <c r="W987" s="79" t="str">
        <f>IF(AND('341-CT'!$H$9=H987,OR(LEFT(N987,3)=$W$7,LEFT(O987,3)=$W$7)),"x","")</f>
        <v/>
      </c>
      <c r="X987" s="79" t="str">
        <f>IF(OR(TH!N987=TH!$X$7,O987=TH!$X$7),"x","")</f>
        <v/>
      </c>
      <c r="Y987" s="79" t="str">
        <f>IF(AND(OR(N987="131",O987="131"),H987='131-CT'!$H$9),"x","")</f>
        <v/>
      </c>
      <c r="Z987" s="79"/>
      <c r="AA987" s="79" t="str">
        <f>IF(AND(MONTH(E987)='IN-NX'!$J$5,'IN-NX'!$D$7=D987),"x","")</f>
        <v/>
      </c>
      <c r="AB987" s="79" t="str">
        <f>IF(AND(OR(LEFT(TH!N987,2)="15",LEFT(TH!O987,2)="15"),LEFT(TH!O987,3)&lt;&gt;"111",'152-CT'!$J$8=TH!F987),"x","")</f>
        <v/>
      </c>
      <c r="AC987" s="79" t="str">
        <f>IF(AND(OR(LEFT(TH!N987,2)="15",LEFT(TH!O987,2)="15"),TK!$E$7=TH!F987),"x","")</f>
        <v/>
      </c>
      <c r="AD987" s="79" t="str">
        <f>IF(AND(N987="1521",MONTH(C987)='BK-NL'!$M$11),"x","")</f>
        <v/>
      </c>
    </row>
    <row r="988" spans="1:30" ht="16.5" customHeight="1">
      <c r="A988" s="318" t="str">
        <f>IF(B988&lt;&gt;"",IF(AND(B988='IN-TC'!$S$4,OR(TH!N988="1111",TH!O988="1111")),TH!D988,""),"")</f>
        <v/>
      </c>
      <c r="B988" s="60" t="str">
        <f t="shared" si="156"/>
        <v/>
      </c>
      <c r="C988" s="261"/>
      <c r="D988" s="261"/>
      <c r="E988" s="261"/>
      <c r="F988" s="1103"/>
      <c r="G988" s="1104"/>
      <c r="H988" s="305"/>
      <c r="I988" s="383"/>
      <c r="J988" s="383"/>
      <c r="K988" s="383"/>
      <c r="L988" s="390"/>
      <c r="M988" s="978"/>
      <c r="N988" s="1019"/>
      <c r="O988" s="1019"/>
      <c r="P988" s="79" t="str">
        <f>IF(AND('331-CT'!$E$7=TH!H988,OR(N988="331",O988="331")),"x","")</f>
        <v/>
      </c>
      <c r="Q988" s="79" t="str">
        <f>IF(AND(B988='111'!$L$11,OR($N988=$Q$7,$O988=$Q$7)),"x","")</f>
        <v/>
      </c>
      <c r="R988" s="79" t="str">
        <f>IF(AND($N988=$Q$7,$B988&lt;'111'!$L$11),"x","")</f>
        <v/>
      </c>
      <c r="S988" s="79" t="str">
        <f>IF(AND($O988=$Q$7,$B988&lt;'111'!$L$11),"x","")</f>
        <v/>
      </c>
      <c r="T988" s="79" t="str">
        <f>IF(ISERROR(FIND('112'!$M$9,G988,1)),"",IF((AND(FIND('112'!$M$9,G988,1)&gt;=1,B988='112'!$K$9,OR($N988='112'!$I$6,$O988='112'!$I$6))),"x",""))</f>
        <v/>
      </c>
      <c r="U988" s="79" t="str">
        <f>IF(ISERROR(FIND('112'!$M$9,G988,1)),"",IF((AND(LEFT(G988,2)=LEFT('112'!$M$9,2),B988&lt;'112'!$K$9,$N988='112'!$I$6)),"x",""))</f>
        <v/>
      </c>
      <c r="V988" s="79" t="str">
        <f>IF(ISERROR(FIND('112'!$M$9,G988,1)),"",IF((AND(RIGHT(G988,2)=RIGHT('112'!$M$9,2),B988&lt;'112'!$K$9,$O988='112'!$I$6)),"x",""))</f>
        <v/>
      </c>
      <c r="W988" s="79" t="str">
        <f>IF(AND('341-CT'!$H$9=H988,OR(LEFT(N988,3)=$W$7,LEFT(O988,3)=$W$7)),"x","")</f>
        <v/>
      </c>
      <c r="X988" s="79" t="str">
        <f>IF(OR(TH!N988=TH!$X$7,O988=TH!$X$7),"x","")</f>
        <v/>
      </c>
      <c r="Y988" s="79" t="str">
        <f>IF(AND(OR(N988="131",O988="131"),H988='131-CT'!$H$9),"x","")</f>
        <v/>
      </c>
      <c r="Z988" s="79"/>
      <c r="AA988" s="79" t="str">
        <f>IF(AND(MONTH(E988)='IN-NX'!$J$5,'IN-NX'!$D$7=D988),"x","")</f>
        <v/>
      </c>
      <c r="AB988" s="79" t="str">
        <f>IF(AND(OR(LEFT(TH!N988,2)="15",LEFT(TH!O988,2)="15"),LEFT(TH!O988,3)&lt;&gt;"111",'152-CT'!$J$8=TH!F988),"x","")</f>
        <v/>
      </c>
      <c r="AC988" s="79" t="str">
        <f>IF(AND(OR(LEFT(TH!N988,2)="15",LEFT(TH!O988,2)="15"),TK!$E$7=TH!F988),"x","")</f>
        <v/>
      </c>
      <c r="AD988" s="79" t="str">
        <f>IF(AND(N988="1521",MONTH(C988)='BK-NL'!$M$11),"x","")</f>
        <v/>
      </c>
    </row>
    <row r="989" spans="1:30" ht="16.5" customHeight="1">
      <c r="A989" s="318" t="str">
        <f>IF(B989&lt;&gt;"",IF(AND(B989='IN-TC'!$S$4,OR(TH!N989="1111",TH!O989="1111")),TH!D989,""),"")</f>
        <v/>
      </c>
      <c r="B989" s="60" t="str">
        <f t="shared" si="156"/>
        <v/>
      </c>
      <c r="C989" s="261"/>
      <c r="D989" s="261"/>
      <c r="E989" s="261"/>
      <c r="F989" s="1103"/>
      <c r="G989" s="1104"/>
      <c r="H989" s="759"/>
      <c r="I989" s="383"/>
      <c r="J989" s="383"/>
      <c r="K989" s="383"/>
      <c r="L989" s="390"/>
      <c r="M989" s="978"/>
      <c r="N989" s="1019"/>
      <c r="O989" s="1019"/>
      <c r="P989" s="79" t="str">
        <f>IF(AND('331-CT'!$E$7=TH!H989,OR(N989="331",O989="331")),"x","")</f>
        <v/>
      </c>
      <c r="Q989" s="79" t="str">
        <f>IF(AND(B989='111'!$L$11,OR($N989=$Q$7,$O989=$Q$7)),"x","")</f>
        <v/>
      </c>
      <c r="R989" s="79" t="str">
        <f>IF(AND($N989=$Q$7,$B989&lt;'111'!$L$11),"x","")</f>
        <v/>
      </c>
      <c r="S989" s="79" t="str">
        <f>IF(AND($O989=$Q$7,$B989&lt;'111'!$L$11),"x","")</f>
        <v/>
      </c>
      <c r="T989" s="79" t="str">
        <f>IF(ISERROR(FIND('112'!$M$9,G989,1)),"",IF((AND(FIND('112'!$M$9,G989,1)&gt;=1,B989='112'!$K$9,OR($N989='112'!$I$6,$O989='112'!$I$6))),"x",""))</f>
        <v/>
      </c>
      <c r="U989" s="79" t="str">
        <f>IF(ISERROR(FIND('112'!$M$9,G989,1)),"",IF((AND(LEFT(G989,2)=LEFT('112'!$M$9,2),B989&lt;'112'!$K$9,$N989='112'!$I$6)),"x",""))</f>
        <v/>
      </c>
      <c r="V989" s="79" t="str">
        <f>IF(ISERROR(FIND('112'!$M$9,G989,1)),"",IF((AND(RIGHT(G989,2)=RIGHT('112'!$M$9,2),B989&lt;'112'!$K$9,$O989='112'!$I$6)),"x",""))</f>
        <v/>
      </c>
      <c r="W989" s="79" t="str">
        <f>IF(AND('341-CT'!$H$9=H989,OR(LEFT(N989,3)=$W$7,LEFT(O989,3)=$W$7)),"x","")</f>
        <v/>
      </c>
      <c r="X989" s="79" t="str">
        <f>IF(OR(TH!N989=TH!$X$7,O989=TH!$X$7),"x","")</f>
        <v/>
      </c>
      <c r="Y989" s="79" t="str">
        <f>IF(AND(OR(N989="131",O989="131"),H989='131-CT'!$H$9),"x","")</f>
        <v/>
      </c>
      <c r="Z989" s="79"/>
      <c r="AA989" s="79" t="str">
        <f>IF(AND(MONTH(E989)='IN-NX'!$J$5,'IN-NX'!$D$7=D989),"x","")</f>
        <v/>
      </c>
      <c r="AB989" s="79" t="str">
        <f>IF(AND(OR(LEFT(TH!N989,2)="15",LEFT(TH!O989,2)="15"),LEFT(TH!O989,3)&lt;&gt;"111",'152-CT'!$J$8=TH!F989),"x","")</f>
        <v/>
      </c>
      <c r="AC989" s="79" t="str">
        <f>IF(AND(OR(LEFT(TH!N989,2)="15",LEFT(TH!O989,2)="15"),TK!$E$7=TH!F989),"x","")</f>
        <v/>
      </c>
      <c r="AD989" s="79" t="str">
        <f>IF(AND(N989="1521",MONTH(C989)='BK-NL'!$M$11),"x","")</f>
        <v/>
      </c>
    </row>
    <row r="990" spans="1:30" s="1102" customFormat="1" ht="16.5" customHeight="1">
      <c r="A990" s="318" t="str">
        <f>IF(B990&lt;&gt;"",IF(AND(B990='IN-TC'!$S$4,OR(TH!N990="1111",TH!O990="1111")),TH!D990,""),"")</f>
        <v/>
      </c>
      <c r="B990" s="60" t="str">
        <f t="shared" si="156"/>
        <v/>
      </c>
      <c r="C990" s="981"/>
      <c r="D990" s="981"/>
      <c r="E990" s="981"/>
      <c r="F990" s="1008"/>
      <c r="G990" s="987"/>
      <c r="H990" s="85"/>
      <c r="I990" s="984"/>
      <c r="J990" s="984"/>
      <c r="K990" s="984"/>
      <c r="L990" s="983"/>
      <c r="M990" s="984"/>
      <c r="N990" s="986"/>
      <c r="O990" s="986"/>
      <c r="P990" s="79" t="str">
        <f>IF(AND('331-CT'!$E$7=TH!H990,OR(N990="331",O990="331")),"x","")</f>
        <v/>
      </c>
      <c r="Q990" s="79" t="str">
        <f>IF(AND(B990='111'!$L$11,OR($N990=$Q$7,$O990=$Q$7)),"x","")</f>
        <v/>
      </c>
      <c r="R990" s="79" t="str">
        <f>IF(AND($N990=$Q$7,$B990&lt;'111'!$L$11),"x","")</f>
        <v/>
      </c>
      <c r="S990" s="79" t="str">
        <f>IF(AND($O990=$Q$7,$B990&lt;'111'!$L$11),"x","")</f>
        <v/>
      </c>
      <c r="T990" s="79" t="str">
        <f>IF(ISERROR(FIND('112'!$M$9,G990,1)),"",IF((AND(FIND('112'!$M$9,G990,1)&gt;=1,B990='112'!$K$9,OR($N990='112'!$I$6,$O990='112'!$I$6))),"x",""))</f>
        <v/>
      </c>
      <c r="U990" s="79" t="str">
        <f>IF(ISERROR(FIND('112'!$M$9,G990,1)),"",IF((AND(LEFT(G990,2)=LEFT('112'!$M$9,2),B990&lt;'112'!$K$9,$N990='112'!$I$6)),"x",""))</f>
        <v/>
      </c>
      <c r="V990" s="79" t="str">
        <f>IF(ISERROR(FIND('112'!$M$9,G990,1)),"",IF((AND(RIGHT(G990,2)=RIGHT('112'!$M$9,2),B990&lt;'112'!$K$9,$O990='112'!$I$6)),"x",""))</f>
        <v/>
      </c>
      <c r="W990" s="79" t="str">
        <f>IF(AND('341-CT'!$H$9=H990,OR(LEFT(N990,3)=$W$7,LEFT(O990,3)=$W$7)),"x","")</f>
        <v/>
      </c>
      <c r="X990" s="79" t="str">
        <f>IF(OR(TH!N990=TH!$X$7,O990=TH!$X$7),"x","")</f>
        <v/>
      </c>
      <c r="Y990" s="79" t="str">
        <f>IF(AND(OR(N990="131",O990="131"),H990='131-CT'!$H$9),"x","")</f>
        <v/>
      </c>
      <c r="Z990" s="79"/>
      <c r="AA990" s="79" t="str">
        <f>IF(AND(MONTH(E990)='IN-NX'!$J$5,'IN-NX'!$D$7=D990),"x","")</f>
        <v/>
      </c>
      <c r="AB990" s="79" t="str">
        <f>IF(AND(OR(LEFT(TH!N990,2)="15",LEFT(TH!O990,2)="15"),LEFT(TH!O990,3)&lt;&gt;"111",'152-CT'!$J$8=TH!F990),"x","")</f>
        <v/>
      </c>
      <c r="AC990" s="79" t="str">
        <f>IF(AND(OR(LEFT(TH!N990,2)="15",LEFT(TH!O990,2)="15"),TK!$E$7=TH!F990),"x","")</f>
        <v/>
      </c>
      <c r="AD990" s="79" t="str">
        <f>IF(AND(N990="1521",MONTH(C990)='BK-NL'!$M$11),"x","")</f>
        <v/>
      </c>
    </row>
    <row r="991" spans="1:30" ht="16.5" customHeight="1">
      <c r="A991" s="318" t="str">
        <f>IF(B991&lt;&gt;"",IF(AND(B991='IN-TC'!$S$4,OR(TH!N991="1111",TH!O991="1111")),TH!D991,""),"")</f>
        <v/>
      </c>
      <c r="B991" s="60" t="str">
        <f t="shared" si="156"/>
        <v/>
      </c>
      <c r="C991" s="261"/>
      <c r="D991" s="261"/>
      <c r="E991" s="261"/>
      <c r="F991" s="1103"/>
      <c r="G991" s="1104"/>
      <c r="H991" s="77"/>
      <c r="I991" s="383"/>
      <c r="J991" s="383"/>
      <c r="K991" s="383"/>
      <c r="L991" s="390"/>
      <c r="M991" s="383"/>
      <c r="N991" s="1019"/>
      <c r="O991" s="1019"/>
      <c r="P991" s="79" t="str">
        <f>IF(AND('331-CT'!$E$7=TH!H991,OR(N991="331",O991="331")),"x","")</f>
        <v/>
      </c>
      <c r="Q991" s="79" t="str">
        <f>IF(AND(B991='111'!$L$11,OR($N991=$Q$7,$O991=$Q$7)),"x","")</f>
        <v/>
      </c>
      <c r="R991" s="79" t="str">
        <f>IF(AND($N991=$Q$7,$B991&lt;'111'!$L$11),"x","")</f>
        <v/>
      </c>
      <c r="S991" s="79" t="str">
        <f>IF(AND($O991=$Q$7,$B991&lt;'111'!$L$11),"x","")</f>
        <v/>
      </c>
      <c r="T991" s="79" t="str">
        <f>IF(ISERROR(FIND('112'!$M$9,G991,1)),"",IF((AND(FIND('112'!$M$9,G991,1)&gt;=1,B991='112'!$K$9,OR($N991='112'!$I$6,$O991='112'!$I$6))),"x",""))</f>
        <v/>
      </c>
      <c r="U991" s="79" t="str">
        <f>IF(ISERROR(FIND('112'!$M$9,G991,1)),"",IF((AND(LEFT(G991,2)=LEFT('112'!$M$9,2),B991&lt;'112'!$K$9,$N991='112'!$I$6)),"x",""))</f>
        <v/>
      </c>
      <c r="V991" s="79" t="str">
        <f>IF(ISERROR(FIND('112'!$M$9,G991,1)),"",IF((AND(RIGHT(G991,2)=RIGHT('112'!$M$9,2),B991&lt;'112'!$K$9,$O991='112'!$I$6)),"x",""))</f>
        <v/>
      </c>
      <c r="W991" s="79" t="str">
        <f>IF(AND('341-CT'!$H$9=H991,OR(LEFT(N991,3)=$W$7,LEFT(O991,3)=$W$7)),"x","")</f>
        <v/>
      </c>
      <c r="X991" s="79" t="str">
        <f>IF(OR(TH!N991=TH!$X$7,O991=TH!$X$7),"x","")</f>
        <v/>
      </c>
      <c r="Y991" s="79" t="str">
        <f>IF(AND(OR(N991="131",O991="131"),H991='131-CT'!$H$9),"x","")</f>
        <v/>
      </c>
      <c r="Z991" s="79"/>
      <c r="AA991" s="79" t="str">
        <f>IF(AND(MONTH(E991)='IN-NX'!$J$5,'IN-NX'!$D$7=D991),"x","")</f>
        <v/>
      </c>
      <c r="AB991" s="79" t="str">
        <f>IF(AND(OR(LEFT(TH!N991,2)="15",LEFT(TH!O991,2)="15"),LEFT(TH!O991,3)&lt;&gt;"111",'152-CT'!$J$8=TH!F991),"x","")</f>
        <v/>
      </c>
      <c r="AC991" s="79" t="str">
        <f>IF(AND(OR(LEFT(TH!N991,2)="15",LEFT(TH!O991,2)="15"),TK!$E$7=TH!F991),"x","")</f>
        <v/>
      </c>
      <c r="AD991" s="79" t="str">
        <f>IF(AND(N991="1521",MONTH(C991)='BK-NL'!$M$11),"x","")</f>
        <v/>
      </c>
    </row>
    <row r="992" spans="1:30" ht="16.5" customHeight="1">
      <c r="A992" s="318" t="str">
        <f>IF(B992&lt;&gt;"",IF(AND(B992='IN-TC'!$S$4,OR(TH!N992="1111",TH!O992="1111")),TH!D992,""),"")</f>
        <v/>
      </c>
      <c r="B992" s="60" t="str">
        <f t="shared" si="156"/>
        <v/>
      </c>
      <c r="C992" s="261"/>
      <c r="D992" s="261"/>
      <c r="E992" s="261"/>
      <c r="F992" s="1103"/>
      <c r="G992" s="1104"/>
      <c r="H992" s="77"/>
      <c r="I992" s="383"/>
      <c r="J992" s="383"/>
      <c r="K992" s="383"/>
      <c r="L992" s="390"/>
      <c r="M992" s="383"/>
      <c r="N992" s="1019"/>
      <c r="O992" s="1019"/>
      <c r="P992" s="79" t="str">
        <f>IF(AND('331-CT'!$E$7=TH!H992,OR(N992="331",O992="331")),"x","")</f>
        <v/>
      </c>
      <c r="Q992" s="79" t="str">
        <f>IF(AND(B992='111'!$L$11,OR($N992=$Q$7,$O992=$Q$7)),"x","")</f>
        <v/>
      </c>
      <c r="R992" s="79" t="str">
        <f>IF(AND($N992=$Q$7,$B992&lt;'111'!$L$11),"x","")</f>
        <v/>
      </c>
      <c r="S992" s="79" t="str">
        <f>IF(AND($O992=$Q$7,$B992&lt;'111'!$L$11),"x","")</f>
        <v/>
      </c>
      <c r="T992" s="79" t="str">
        <f>IF(ISERROR(FIND('112'!$M$9,G992,1)),"",IF((AND(FIND('112'!$M$9,G992,1)&gt;=1,B992='112'!$K$9,OR($N992='112'!$I$6,$O992='112'!$I$6))),"x",""))</f>
        <v/>
      </c>
      <c r="U992" s="79" t="str">
        <f>IF(ISERROR(FIND('112'!$M$9,G992,1)),"",IF((AND(LEFT(G992,2)=LEFT('112'!$M$9,2),B992&lt;'112'!$K$9,$N992='112'!$I$6)),"x",""))</f>
        <v/>
      </c>
      <c r="V992" s="79" t="str">
        <f>IF(ISERROR(FIND('112'!$M$9,G992,1)),"",IF((AND(RIGHT(G992,2)=RIGHT('112'!$M$9,2),B992&lt;'112'!$K$9,$O992='112'!$I$6)),"x",""))</f>
        <v/>
      </c>
      <c r="W992" s="79" t="str">
        <f>IF(AND('341-CT'!$H$9=H992,OR(LEFT(N992,3)=$W$7,LEFT(O992,3)=$W$7)),"x","")</f>
        <v/>
      </c>
      <c r="X992" s="79" t="str">
        <f>IF(OR(TH!N992=TH!$X$7,O992=TH!$X$7),"x","")</f>
        <v/>
      </c>
      <c r="Y992" s="79" t="str">
        <f>IF(AND(OR(N992="131",O992="131"),H992='131-CT'!$H$9),"x","")</f>
        <v/>
      </c>
      <c r="Z992" s="79"/>
      <c r="AA992" s="79" t="str">
        <f>IF(AND(MONTH(E992)='IN-NX'!$J$5,'IN-NX'!$D$7=D992),"x","")</f>
        <v/>
      </c>
      <c r="AB992" s="79" t="str">
        <f>IF(AND(OR(LEFT(TH!N992,2)="15",LEFT(TH!O992,2)="15"),LEFT(TH!O992,3)&lt;&gt;"111",'152-CT'!$J$8=TH!F992),"x","")</f>
        <v/>
      </c>
      <c r="AC992" s="79" t="str">
        <f>IF(AND(OR(LEFT(TH!N992,2)="15",LEFT(TH!O992,2)="15"),TK!$E$7=TH!F992),"x","")</f>
        <v/>
      </c>
      <c r="AD992" s="79" t="str">
        <f>IF(AND(N992="1521",MONTH(C992)='BK-NL'!$M$11),"x","")</f>
        <v/>
      </c>
    </row>
    <row r="993" spans="1:30" ht="16.5" customHeight="1">
      <c r="A993" s="318" t="str">
        <f>IF(B993&lt;&gt;"",IF(AND(B993='IN-TC'!$S$4,OR(TH!N993="1111",TH!O993="1111")),TH!D993,""),"")</f>
        <v/>
      </c>
      <c r="B993" s="60" t="str">
        <f t="shared" si="156"/>
        <v/>
      </c>
      <c r="C993" s="261"/>
      <c r="D993" s="261"/>
      <c r="E993" s="261"/>
      <c r="F993" s="1103"/>
      <c r="G993" s="1104"/>
      <c r="H993" s="77"/>
      <c r="I993" s="383"/>
      <c r="J993" s="383"/>
      <c r="K993" s="383"/>
      <c r="L993" s="390"/>
      <c r="M993" s="383"/>
      <c r="N993" s="1019"/>
      <c r="O993" s="1019"/>
      <c r="P993" s="79" t="str">
        <f>IF(AND('331-CT'!$E$7=TH!H993,OR(N993="331",O993="331")),"x","")</f>
        <v/>
      </c>
      <c r="Q993" s="79" t="str">
        <f>IF(AND(B993='111'!$L$11,OR($N993=$Q$7,$O993=$Q$7)),"x","")</f>
        <v/>
      </c>
      <c r="R993" s="79" t="str">
        <f>IF(AND($N993=$Q$7,$B993&lt;'111'!$L$11),"x","")</f>
        <v/>
      </c>
      <c r="S993" s="79" t="str">
        <f>IF(AND($O993=$Q$7,$B993&lt;'111'!$L$11),"x","")</f>
        <v/>
      </c>
      <c r="T993" s="79" t="str">
        <f>IF(ISERROR(FIND('112'!$M$9,G993,1)),"",IF((AND(FIND('112'!$M$9,G993,1)&gt;=1,B993='112'!$K$9,OR($N993='112'!$I$6,$O993='112'!$I$6))),"x",""))</f>
        <v/>
      </c>
      <c r="U993" s="79" t="str">
        <f>IF(ISERROR(FIND('112'!$M$9,G993,1)),"",IF((AND(LEFT(G993,2)=LEFT('112'!$M$9,2),B993&lt;'112'!$K$9,$N993='112'!$I$6)),"x",""))</f>
        <v/>
      </c>
      <c r="V993" s="79" t="str">
        <f>IF(ISERROR(FIND('112'!$M$9,G993,1)),"",IF((AND(RIGHT(G993,2)=RIGHT('112'!$M$9,2),B993&lt;'112'!$K$9,$O993='112'!$I$6)),"x",""))</f>
        <v/>
      </c>
      <c r="W993" s="79" t="str">
        <f>IF(AND('341-CT'!$H$9=H993,OR(LEFT(N993,3)=$W$7,LEFT(O993,3)=$W$7)),"x","")</f>
        <v/>
      </c>
      <c r="X993" s="79" t="str">
        <f>IF(OR(TH!N993=TH!$X$7,O993=TH!$X$7),"x","")</f>
        <v/>
      </c>
      <c r="Y993" s="79" t="str">
        <f>IF(AND(OR(N993="131",O993="131"),H993='131-CT'!$H$9),"x","")</f>
        <v/>
      </c>
      <c r="Z993" s="79"/>
      <c r="AA993" s="79" t="str">
        <f>IF(AND(MONTH(E993)='IN-NX'!$J$5,'IN-NX'!$D$7=D993),"x","")</f>
        <v/>
      </c>
      <c r="AB993" s="79" t="str">
        <f>IF(AND(OR(LEFT(TH!N993,2)="15",LEFT(TH!O993,2)="15"),LEFT(TH!O993,3)&lt;&gt;"111",'152-CT'!$J$8=TH!F993),"x","")</f>
        <v/>
      </c>
      <c r="AC993" s="79" t="str">
        <f>IF(AND(OR(LEFT(TH!N993,2)="15",LEFT(TH!O993,2)="15"),TK!$E$7=TH!F993),"x","")</f>
        <v/>
      </c>
      <c r="AD993" s="79" t="str">
        <f>IF(AND(N993="1521",MONTH(C993)='BK-NL'!$M$11),"x","")</f>
        <v/>
      </c>
    </row>
    <row r="994" spans="1:30" ht="16.5" customHeight="1">
      <c r="A994" s="318" t="str">
        <f>IF(B994&lt;&gt;"",IF(AND(B994='IN-TC'!$S$4,OR(TH!N994="1111",TH!O994="1111")),TH!D994,""),"")</f>
        <v/>
      </c>
      <c r="B994" s="60" t="str">
        <f t="shared" si="156"/>
        <v/>
      </c>
      <c r="C994" s="261"/>
      <c r="D994" s="261"/>
      <c r="E994" s="261"/>
      <c r="F994" s="1103"/>
      <c r="G994" s="1104"/>
      <c r="H994" s="77"/>
      <c r="I994" s="383"/>
      <c r="J994" s="383"/>
      <c r="K994" s="383"/>
      <c r="L994" s="390"/>
      <c r="M994" s="383"/>
      <c r="N994" s="1019"/>
      <c r="O994" s="1019"/>
      <c r="P994" s="79" t="str">
        <f>IF(AND('331-CT'!$E$7=TH!H994,OR(N994="331",O994="331")),"x","")</f>
        <v/>
      </c>
      <c r="Q994" s="79" t="str">
        <f>IF(AND(B994='111'!$L$11,OR($N994=$Q$7,$O994=$Q$7)),"x","")</f>
        <v/>
      </c>
      <c r="R994" s="79" t="str">
        <f>IF(AND($N994=$Q$7,$B994&lt;'111'!$L$11),"x","")</f>
        <v/>
      </c>
      <c r="S994" s="79" t="str">
        <f>IF(AND($O994=$Q$7,$B994&lt;'111'!$L$11),"x","")</f>
        <v/>
      </c>
      <c r="T994" s="79" t="str">
        <f>IF(ISERROR(FIND('112'!$M$9,G994,1)),"",IF((AND(FIND('112'!$M$9,G994,1)&gt;=1,B994='112'!$K$9,OR($N994='112'!$I$6,$O994='112'!$I$6))),"x",""))</f>
        <v/>
      </c>
      <c r="U994" s="79" t="str">
        <f>IF(ISERROR(FIND('112'!$M$9,G994,1)),"",IF((AND(LEFT(G994,2)=LEFT('112'!$M$9,2),B994&lt;'112'!$K$9,$N994='112'!$I$6)),"x",""))</f>
        <v/>
      </c>
      <c r="V994" s="79" t="str">
        <f>IF(ISERROR(FIND('112'!$M$9,G994,1)),"",IF((AND(RIGHT(G994,2)=RIGHT('112'!$M$9,2),B994&lt;'112'!$K$9,$O994='112'!$I$6)),"x",""))</f>
        <v/>
      </c>
      <c r="W994" s="79" t="str">
        <f>IF(AND('341-CT'!$H$9=H994,OR(LEFT(N994,3)=$W$7,LEFT(O994,3)=$W$7)),"x","")</f>
        <v/>
      </c>
      <c r="X994" s="79" t="str">
        <f>IF(OR(TH!N994=TH!$X$7,O994=TH!$X$7),"x","")</f>
        <v/>
      </c>
      <c r="Y994" s="79" t="str">
        <f>IF(AND(OR(N994="131",O994="131"),H994='131-CT'!$H$9),"x","")</f>
        <v/>
      </c>
      <c r="Z994" s="79"/>
      <c r="AA994" s="79" t="str">
        <f>IF(AND(MONTH(E994)='IN-NX'!$J$5,'IN-NX'!$D$7=D994),"x","")</f>
        <v/>
      </c>
      <c r="AB994" s="79" t="str">
        <f>IF(AND(OR(LEFT(TH!N994,2)="15",LEFT(TH!O994,2)="15"),LEFT(TH!O994,3)&lt;&gt;"111",'152-CT'!$J$8=TH!F994),"x","")</f>
        <v/>
      </c>
      <c r="AC994" s="79" t="str">
        <f>IF(AND(OR(LEFT(TH!N994,2)="15",LEFT(TH!O994,2)="15"),TK!$E$7=TH!F994),"x","")</f>
        <v/>
      </c>
      <c r="AD994" s="79" t="str">
        <f>IF(AND(N994="1521",MONTH(C994)='BK-NL'!$M$11),"x","")</f>
        <v/>
      </c>
    </row>
    <row r="995" spans="1:30" ht="16.5" customHeight="1">
      <c r="A995" s="318" t="str">
        <f>IF(B995&lt;&gt;"",IF(AND(B995='IN-TC'!$S$4,OR(TH!N995="1111",TH!O995="1111")),TH!D995,""),"")</f>
        <v/>
      </c>
      <c r="B995" s="60" t="str">
        <f t="shared" si="156"/>
        <v/>
      </c>
      <c r="C995" s="261"/>
      <c r="D995" s="261"/>
      <c r="E995" s="261"/>
      <c r="F995" s="1103"/>
      <c r="G995" s="1104"/>
      <c r="H995" s="77"/>
      <c r="I995" s="383"/>
      <c r="J995" s="383"/>
      <c r="K995" s="383"/>
      <c r="L995" s="390"/>
      <c r="M995" s="383"/>
      <c r="N995" s="1019"/>
      <c r="O995" s="1019"/>
      <c r="P995" s="79" t="str">
        <f>IF(AND('331-CT'!$E$7=TH!H995,OR(N995="331",O995="331")),"x","")</f>
        <v/>
      </c>
      <c r="Q995" s="79" t="str">
        <f>IF(AND(B995='111'!$L$11,OR($N995=$Q$7,$O995=$Q$7)),"x","")</f>
        <v/>
      </c>
      <c r="R995" s="79" t="str">
        <f>IF(AND($N995=$Q$7,$B995&lt;'111'!$L$11),"x","")</f>
        <v/>
      </c>
      <c r="S995" s="79" t="str">
        <f>IF(AND($O995=$Q$7,$B995&lt;'111'!$L$11),"x","")</f>
        <v/>
      </c>
      <c r="T995" s="79" t="str">
        <f>IF(ISERROR(FIND('112'!$M$9,G995,1)),"",IF((AND(FIND('112'!$M$9,G995,1)&gt;=1,B995='112'!$K$9,OR($N995='112'!$I$6,$O995='112'!$I$6))),"x",""))</f>
        <v/>
      </c>
      <c r="U995" s="79" t="str">
        <f>IF(ISERROR(FIND('112'!$M$9,G995,1)),"",IF((AND(LEFT(G995,2)=LEFT('112'!$M$9,2),B995&lt;'112'!$K$9,$N995='112'!$I$6)),"x",""))</f>
        <v/>
      </c>
      <c r="V995" s="79" t="str">
        <f>IF(ISERROR(FIND('112'!$M$9,G995,1)),"",IF((AND(RIGHT(G995,2)=RIGHT('112'!$M$9,2),B995&lt;'112'!$K$9,$O995='112'!$I$6)),"x",""))</f>
        <v/>
      </c>
      <c r="W995" s="79" t="str">
        <f>IF(AND('341-CT'!$H$9=H995,OR(LEFT(N995,3)=$W$7,LEFT(O995,3)=$W$7)),"x","")</f>
        <v/>
      </c>
      <c r="X995" s="79" t="str">
        <f>IF(OR(TH!N995=TH!$X$7,O995=TH!$X$7),"x","")</f>
        <v/>
      </c>
      <c r="Y995" s="79" t="str">
        <f>IF(AND(OR(N995="131",O995="131"),H995='131-CT'!$H$9),"x","")</f>
        <v/>
      </c>
      <c r="Z995" s="79"/>
      <c r="AA995" s="79" t="str">
        <f>IF(AND(MONTH(E995)='IN-NX'!$J$5,'IN-NX'!$D$7=D995),"x","")</f>
        <v/>
      </c>
      <c r="AB995" s="79" t="str">
        <f>IF(AND(OR(LEFT(TH!N995,2)="15",LEFT(TH!O995,2)="15"),LEFT(TH!O995,3)&lt;&gt;"111",'152-CT'!$J$8=TH!F995),"x","")</f>
        <v/>
      </c>
      <c r="AC995" s="79" t="str">
        <f>IF(AND(OR(LEFT(TH!N995,2)="15",LEFT(TH!O995,2)="15"),TK!$E$7=TH!F995),"x","")</f>
        <v/>
      </c>
      <c r="AD995" s="79" t="str">
        <f>IF(AND(N995="1521",MONTH(C995)='BK-NL'!$M$11),"x","")</f>
        <v/>
      </c>
    </row>
    <row r="996" spans="1:30" ht="16.5" customHeight="1">
      <c r="A996" s="318" t="str">
        <f>IF(B996&lt;&gt;"",IF(AND(B996='IN-TC'!$S$4,OR(TH!N996="1111",TH!O996="1111")),TH!D996,""),"")</f>
        <v/>
      </c>
      <c r="B996" s="60" t="str">
        <f t="shared" si="156"/>
        <v/>
      </c>
      <c r="C996" s="261"/>
      <c r="D996" s="261"/>
      <c r="E996" s="261"/>
      <c r="F996" s="1103"/>
      <c r="G996" s="1104"/>
      <c r="H996" s="77"/>
      <c r="I996" s="383"/>
      <c r="J996" s="383"/>
      <c r="K996" s="383"/>
      <c r="L996" s="390"/>
      <c r="M996" s="383"/>
      <c r="N996" s="1019"/>
      <c r="O996" s="1019"/>
      <c r="P996" s="79" t="str">
        <f>IF(AND('331-CT'!$E$7=TH!H996,OR(N996="331",O996="331")),"x","")</f>
        <v/>
      </c>
      <c r="Q996" s="79" t="str">
        <f>IF(AND(B996='111'!$L$11,OR($N996=$Q$7,$O996=$Q$7)),"x","")</f>
        <v/>
      </c>
      <c r="R996" s="79" t="str">
        <f>IF(AND($N996=$Q$7,$B996&lt;'111'!$L$11),"x","")</f>
        <v/>
      </c>
      <c r="S996" s="79" t="str">
        <f>IF(AND($O996=$Q$7,$B996&lt;'111'!$L$11),"x","")</f>
        <v/>
      </c>
      <c r="T996" s="79" t="str">
        <f>IF(ISERROR(FIND('112'!$M$9,G996,1)),"",IF((AND(FIND('112'!$M$9,G996,1)&gt;=1,B996='112'!$K$9,OR($N996='112'!$I$6,$O996='112'!$I$6))),"x",""))</f>
        <v/>
      </c>
      <c r="U996" s="79" t="str">
        <f>IF(ISERROR(FIND('112'!$M$9,G996,1)),"",IF((AND(LEFT(G996,2)=LEFT('112'!$M$9,2),B996&lt;'112'!$K$9,$N996='112'!$I$6)),"x",""))</f>
        <v/>
      </c>
      <c r="V996" s="79" t="str">
        <f>IF(ISERROR(FIND('112'!$M$9,G996,1)),"",IF((AND(RIGHT(G996,2)=RIGHT('112'!$M$9,2),B996&lt;'112'!$K$9,$O996='112'!$I$6)),"x",""))</f>
        <v/>
      </c>
      <c r="W996" s="79" t="str">
        <f>IF(AND('341-CT'!$H$9=H996,OR(LEFT(N996,3)=$W$7,LEFT(O996,3)=$W$7)),"x","")</f>
        <v/>
      </c>
      <c r="X996" s="79" t="str">
        <f>IF(OR(TH!N996=TH!$X$7,O996=TH!$X$7),"x","")</f>
        <v/>
      </c>
      <c r="Y996" s="79" t="str">
        <f>IF(AND(OR(N996="131",O996="131"),H996='131-CT'!$H$9),"x","")</f>
        <v/>
      </c>
      <c r="Z996" s="79"/>
      <c r="AA996" s="79" t="str">
        <f>IF(AND(MONTH(E996)='IN-NX'!$J$5,'IN-NX'!$D$7=D996),"x","")</f>
        <v/>
      </c>
      <c r="AB996" s="79" t="str">
        <f>IF(AND(OR(LEFT(TH!N996,2)="15",LEFT(TH!O996,2)="15"),LEFT(TH!O996,3)&lt;&gt;"111",'152-CT'!$J$8=TH!F996),"x","")</f>
        <v/>
      </c>
      <c r="AC996" s="79" t="str">
        <f>IF(AND(OR(LEFT(TH!N996,2)="15",LEFT(TH!O996,2)="15"),TK!$E$7=TH!F996),"x","")</f>
        <v/>
      </c>
      <c r="AD996" s="79" t="str">
        <f>IF(AND(N996="1521",MONTH(C996)='BK-NL'!$M$11),"x","")</f>
        <v/>
      </c>
    </row>
    <row r="997" spans="1:30" ht="16.5" customHeight="1">
      <c r="A997" s="318" t="str">
        <f>IF(B997&lt;&gt;"",IF(AND(B997='IN-TC'!$S$4,OR(TH!N997="1111",TH!O997="1111")),TH!D997,""),"")</f>
        <v/>
      </c>
      <c r="B997" s="60" t="str">
        <f t="shared" si="156"/>
        <v/>
      </c>
      <c r="C997" s="261"/>
      <c r="D997" s="261"/>
      <c r="E997" s="261"/>
      <c r="F997" s="1103"/>
      <c r="G997" s="1104"/>
      <c r="H997" s="77"/>
      <c r="I997" s="383"/>
      <c r="J997" s="383"/>
      <c r="K997" s="383"/>
      <c r="L997" s="390"/>
      <c r="M997" s="383"/>
      <c r="N997" s="1019"/>
      <c r="O997" s="1019"/>
      <c r="P997" s="79" t="str">
        <f>IF(AND('331-CT'!$E$7=TH!H997,OR(N997="331",O997="331")),"x","")</f>
        <v/>
      </c>
      <c r="Q997" s="79" t="str">
        <f>IF(AND(B997='111'!$L$11,OR($N997=$Q$7,$O997=$Q$7)),"x","")</f>
        <v/>
      </c>
      <c r="R997" s="79" t="str">
        <f>IF(AND($N997=$Q$7,$B997&lt;'111'!$L$11),"x","")</f>
        <v/>
      </c>
      <c r="S997" s="79" t="str">
        <f>IF(AND($O997=$Q$7,$B997&lt;'111'!$L$11),"x","")</f>
        <v/>
      </c>
      <c r="T997" s="79" t="str">
        <f>IF(ISERROR(FIND('112'!$M$9,G997,1)),"",IF((AND(FIND('112'!$M$9,G997,1)&gt;=1,B997='112'!$K$9,OR($N997='112'!$I$6,$O997='112'!$I$6))),"x",""))</f>
        <v/>
      </c>
      <c r="U997" s="79" t="str">
        <f>IF(ISERROR(FIND('112'!$M$9,G997,1)),"",IF((AND(LEFT(G997,2)=LEFT('112'!$M$9,2),B997&lt;'112'!$K$9,$N997='112'!$I$6)),"x",""))</f>
        <v/>
      </c>
      <c r="V997" s="79" t="str">
        <f>IF(ISERROR(FIND('112'!$M$9,G997,1)),"",IF((AND(RIGHT(G997,2)=RIGHT('112'!$M$9,2),B997&lt;'112'!$K$9,$O997='112'!$I$6)),"x",""))</f>
        <v/>
      </c>
      <c r="W997" s="79" t="str">
        <f>IF(AND('341-CT'!$H$9=H997,OR(LEFT(N997,3)=$W$7,LEFT(O997,3)=$W$7)),"x","")</f>
        <v/>
      </c>
      <c r="X997" s="79" t="str">
        <f>IF(OR(TH!N997=TH!$X$7,O997=TH!$X$7),"x","")</f>
        <v/>
      </c>
      <c r="Y997" s="79" t="str">
        <f>IF(AND(OR(N997="131",O997="131"),H997='131-CT'!$H$9),"x","")</f>
        <v/>
      </c>
      <c r="Z997" s="79"/>
      <c r="AA997" s="79" t="str">
        <f>IF(AND(MONTH(E997)='IN-NX'!$J$5,'IN-NX'!$D$7=D997),"x","")</f>
        <v/>
      </c>
      <c r="AB997" s="79" t="str">
        <f>IF(AND(OR(LEFT(TH!N997,2)="15",LEFT(TH!O997,2)="15"),LEFT(TH!O997,3)&lt;&gt;"111",'152-CT'!$J$8=TH!F997),"x","")</f>
        <v/>
      </c>
      <c r="AC997" s="79" t="str">
        <f>IF(AND(OR(LEFT(TH!N997,2)="15",LEFT(TH!O997,2)="15"),TK!$E$7=TH!F997),"x","")</f>
        <v/>
      </c>
      <c r="AD997" s="79" t="str">
        <f>IF(AND(N997="1521",MONTH(C997)='BK-NL'!$M$11),"x","")</f>
        <v/>
      </c>
    </row>
    <row r="998" spans="1:30" ht="16.5" customHeight="1">
      <c r="A998" s="318" t="str">
        <f>IF(B998&lt;&gt;"",IF(AND(B998='IN-TC'!$S$4,OR(TH!N998="1111",TH!O998="1111")),TH!D998,""),"")</f>
        <v/>
      </c>
      <c r="B998" s="60" t="str">
        <f t="shared" si="156"/>
        <v/>
      </c>
      <c r="C998" s="261"/>
      <c r="D998" s="261"/>
      <c r="E998" s="261"/>
      <c r="F998" s="1103"/>
      <c r="G998" s="1104"/>
      <c r="H998" s="305"/>
      <c r="I998" s="383"/>
      <c r="J998" s="383"/>
      <c r="K998" s="383"/>
      <c r="L998" s="390"/>
      <c r="M998" s="978"/>
      <c r="N998" s="1019"/>
      <c r="O998" s="1019"/>
      <c r="P998" s="79" t="str">
        <f>IF(AND('331-CT'!$E$7=TH!H998,OR(N998="331",O998="331")),"x","")</f>
        <v/>
      </c>
      <c r="Q998" s="79" t="str">
        <f>IF(AND(B998='111'!$L$11,OR($N998=$Q$7,$O998=$Q$7)),"x","")</f>
        <v/>
      </c>
      <c r="R998" s="79" t="str">
        <f>IF(AND($N998=$Q$7,$B998&lt;'111'!$L$11),"x","")</f>
        <v/>
      </c>
      <c r="S998" s="79" t="str">
        <f>IF(AND($O998=$Q$7,$B998&lt;'111'!$L$11),"x","")</f>
        <v/>
      </c>
      <c r="T998" s="79" t="str">
        <f>IF(ISERROR(FIND('112'!$M$9,G998,1)),"",IF((AND(FIND('112'!$M$9,G998,1)&gt;=1,B998='112'!$K$9,OR($N998='112'!$I$6,$O998='112'!$I$6))),"x",""))</f>
        <v/>
      </c>
      <c r="U998" s="79" t="str">
        <f>IF(ISERROR(FIND('112'!$M$9,G998,1)),"",IF((AND(LEFT(G998,2)=LEFT('112'!$M$9,2),B998&lt;'112'!$K$9,$N998='112'!$I$6)),"x",""))</f>
        <v/>
      </c>
      <c r="V998" s="79" t="str">
        <f>IF(ISERROR(FIND('112'!$M$9,G998,1)),"",IF((AND(RIGHT(G998,2)=RIGHT('112'!$M$9,2),B998&lt;'112'!$K$9,$O998='112'!$I$6)),"x",""))</f>
        <v/>
      </c>
      <c r="W998" s="79" t="str">
        <f>IF(AND('341-CT'!$H$9=H998,OR(LEFT(N998,3)=$W$7,LEFT(O998,3)=$W$7)),"x","")</f>
        <v/>
      </c>
      <c r="X998" s="79" t="str">
        <f>IF(OR(TH!N998=TH!$X$7,O998=TH!$X$7),"x","")</f>
        <v/>
      </c>
      <c r="Y998" s="79" t="str">
        <f>IF(AND(OR(N998="131",O998="131"),H998='131-CT'!$H$9),"x","")</f>
        <v/>
      </c>
      <c r="Z998" s="79"/>
      <c r="AA998" s="79" t="str">
        <f>IF(AND(MONTH(E998)='IN-NX'!$J$5,'IN-NX'!$D$7=D998),"x","")</f>
        <v/>
      </c>
      <c r="AB998" s="79" t="str">
        <f>IF(AND(OR(LEFT(TH!N998,2)="15",LEFT(TH!O998,2)="15"),LEFT(TH!O998,3)&lt;&gt;"111",'152-CT'!$J$8=TH!F998),"x","")</f>
        <v/>
      </c>
      <c r="AC998" s="79" t="str">
        <f>IF(AND(OR(LEFT(TH!N998,2)="15",LEFT(TH!O998,2)="15"),TK!$E$7=TH!F998),"x","")</f>
        <v/>
      </c>
      <c r="AD998" s="79" t="str">
        <f>IF(AND(N998="1521",MONTH(C998)='BK-NL'!$M$11),"x","")</f>
        <v/>
      </c>
    </row>
    <row r="999" spans="1:30" ht="16.5" customHeight="1">
      <c r="A999" s="318" t="str">
        <f>IF(B999&lt;&gt;"",IF(AND(B999='IN-TC'!$S$4,OR(TH!N999="1111",TH!O999="1111")),TH!D999,""),"")</f>
        <v/>
      </c>
      <c r="B999" s="60" t="str">
        <f t="shared" si="156"/>
        <v/>
      </c>
      <c r="C999" s="261"/>
      <c r="D999" s="261"/>
      <c r="E999" s="261"/>
      <c r="F999" s="1103"/>
      <c r="G999" s="1104"/>
      <c r="H999" s="759"/>
      <c r="I999" s="383"/>
      <c r="J999" s="383"/>
      <c r="K999" s="383"/>
      <c r="L999" s="390"/>
      <c r="M999" s="978"/>
      <c r="N999" s="1019"/>
      <c r="O999" s="1019"/>
      <c r="P999" s="79" t="str">
        <f>IF(AND('331-CT'!$E$7=TH!H999,OR(N999="331",O999="331")),"x","")</f>
        <v/>
      </c>
      <c r="Q999" s="79" t="str">
        <f>IF(AND(B999='111'!$L$11,OR($N999=$Q$7,$O999=$Q$7)),"x","")</f>
        <v/>
      </c>
      <c r="R999" s="79" t="str">
        <f>IF(AND($N999=$Q$7,$B999&lt;'111'!$L$11),"x","")</f>
        <v/>
      </c>
      <c r="S999" s="79" t="str">
        <f>IF(AND($O999=$Q$7,$B999&lt;'111'!$L$11),"x","")</f>
        <v/>
      </c>
      <c r="T999" s="79" t="str">
        <f>IF(ISERROR(FIND('112'!$M$9,G999,1)),"",IF((AND(FIND('112'!$M$9,G999,1)&gt;=1,B999='112'!$K$9,OR($N999='112'!$I$6,$O999='112'!$I$6))),"x",""))</f>
        <v/>
      </c>
      <c r="U999" s="79" t="str">
        <f>IF(ISERROR(FIND('112'!$M$9,G999,1)),"",IF((AND(LEFT(G999,2)=LEFT('112'!$M$9,2),B999&lt;'112'!$K$9,$N999='112'!$I$6)),"x",""))</f>
        <v/>
      </c>
      <c r="V999" s="79" t="str">
        <f>IF(ISERROR(FIND('112'!$M$9,G999,1)),"",IF((AND(RIGHT(G999,2)=RIGHT('112'!$M$9,2),B999&lt;'112'!$K$9,$O999='112'!$I$6)),"x",""))</f>
        <v/>
      </c>
      <c r="W999" s="79" t="str">
        <f>IF(AND('341-CT'!$H$9=H999,OR(LEFT(N999,3)=$W$7,LEFT(O999,3)=$W$7)),"x","")</f>
        <v/>
      </c>
      <c r="X999" s="79" t="str">
        <f>IF(OR(TH!N999=TH!$X$7,O999=TH!$X$7),"x","")</f>
        <v/>
      </c>
      <c r="Y999" s="79" t="str">
        <f>IF(AND(OR(N999="131",O999="131"),H999='131-CT'!$H$9),"x","")</f>
        <v/>
      </c>
      <c r="Z999" s="79"/>
      <c r="AA999" s="79" t="str">
        <f>IF(AND(MONTH(E999)='IN-NX'!$J$5,'IN-NX'!$D$7=D999),"x","")</f>
        <v/>
      </c>
      <c r="AB999" s="79" t="str">
        <f>IF(AND(OR(LEFT(TH!N999,2)="15",LEFT(TH!O999,2)="15"),LEFT(TH!O999,3)&lt;&gt;"111",'152-CT'!$J$8=TH!F999),"x","")</f>
        <v/>
      </c>
      <c r="AC999" s="79" t="str">
        <f>IF(AND(OR(LEFT(TH!N999,2)="15",LEFT(TH!O999,2)="15"),TK!$E$7=TH!F999),"x","")</f>
        <v/>
      </c>
      <c r="AD999" s="79" t="str">
        <f>IF(AND(N999="1521",MONTH(C999)='BK-NL'!$M$11),"x","")</f>
        <v/>
      </c>
    </row>
    <row r="1000" spans="1:30" ht="16.5" customHeight="1">
      <c r="A1000" s="318" t="str">
        <f>IF(B1000&lt;&gt;"",IF(AND(B1000='IN-TC'!$S$4,OR(TH!N1000="1111",TH!O1000="1111")),TH!D1000,""),"")</f>
        <v/>
      </c>
      <c r="B1000" s="60" t="str">
        <f t="shared" si="156"/>
        <v/>
      </c>
      <c r="C1000" s="261"/>
      <c r="D1000" s="261"/>
      <c r="E1000" s="261"/>
      <c r="F1000" s="1103"/>
      <c r="G1000" s="1104"/>
      <c r="H1000" s="77"/>
      <c r="I1000" s="383"/>
      <c r="J1000" s="383"/>
      <c r="K1000" s="383"/>
      <c r="L1000" s="390"/>
      <c r="M1000" s="978"/>
      <c r="N1000" s="1019"/>
      <c r="O1000" s="1019"/>
      <c r="P1000" s="79" t="str">
        <f>IF(AND('331-CT'!$E$7=TH!H1000,OR(N1000="331",O1000="331")),"x","")</f>
        <v/>
      </c>
      <c r="Q1000" s="79" t="str">
        <f>IF(AND(B1000='111'!$L$11,OR($N1000=$Q$7,$O1000=$Q$7)),"x","")</f>
        <v/>
      </c>
      <c r="R1000" s="79" t="str">
        <f>IF(AND($N1000=$Q$7,$B1000&lt;'111'!$L$11),"x","")</f>
        <v/>
      </c>
      <c r="S1000" s="79" t="str">
        <f>IF(AND($O1000=$Q$7,$B1000&lt;'111'!$L$11),"x","")</f>
        <v/>
      </c>
      <c r="T1000" s="79" t="str">
        <f>IF(ISERROR(FIND('112'!$M$9,G1000,1)),"",IF((AND(FIND('112'!$M$9,G1000,1)&gt;=1,B1000='112'!$K$9,OR($N1000='112'!$I$6,$O1000='112'!$I$6))),"x",""))</f>
        <v/>
      </c>
      <c r="U1000" s="79" t="str">
        <f>IF(ISERROR(FIND('112'!$M$9,G1000,1)),"",IF((AND(LEFT(G1000,2)=LEFT('112'!$M$9,2),B1000&lt;'112'!$K$9,$N1000='112'!$I$6)),"x",""))</f>
        <v/>
      </c>
      <c r="V1000" s="79" t="str">
        <f>IF(ISERROR(FIND('112'!$M$9,G1000,1)),"",IF((AND(RIGHT(G1000,2)=RIGHT('112'!$M$9,2),B1000&lt;'112'!$K$9,$O1000='112'!$I$6)),"x",""))</f>
        <v/>
      </c>
      <c r="W1000" s="79" t="str">
        <f>IF(AND('341-CT'!$H$9=H1000,OR(LEFT(N1000,3)=$W$7,LEFT(O1000,3)=$W$7)),"x","")</f>
        <v/>
      </c>
      <c r="X1000" s="79" t="str">
        <f>IF(OR(TH!N1000=TH!$X$7,O1000=TH!$X$7),"x","")</f>
        <v/>
      </c>
      <c r="Y1000" s="79" t="str">
        <f>IF(AND(OR(N1000="131",O1000="131"),H1000='131-CT'!$H$9),"x","")</f>
        <v/>
      </c>
      <c r="Z1000" s="79"/>
      <c r="AA1000" s="79" t="str">
        <f>IF(AND(MONTH(E1000)='IN-NX'!$J$5,'IN-NX'!$D$7=D1000),"x","")</f>
        <v/>
      </c>
      <c r="AB1000" s="79" t="str">
        <f>IF(AND(OR(LEFT(TH!N1000,2)="15",LEFT(TH!O1000,2)="15"),LEFT(TH!O1000,3)&lt;&gt;"111",'152-CT'!$J$8=TH!F1000),"x","")</f>
        <v/>
      </c>
      <c r="AC1000" s="79" t="str">
        <f>IF(AND(OR(LEFT(TH!N1000,2)="15",LEFT(TH!O1000,2)="15"),TK!$E$7=TH!F1000),"x","")</f>
        <v/>
      </c>
      <c r="AD1000" s="79" t="str">
        <f>IF(AND(N1000="1521",MONTH(C1000)='BK-NL'!$M$11),"x","")</f>
        <v/>
      </c>
    </row>
    <row r="1001" spans="1:30" ht="16.5" customHeight="1">
      <c r="A1001" s="318" t="str">
        <f>IF(B1001&lt;&gt;"",IF(AND(B1001='IN-TC'!$S$4,OR(TH!N1001="1111",TH!O1001="1111")),TH!D1001,""),"")</f>
        <v/>
      </c>
      <c r="B1001" s="60" t="str">
        <f t="shared" si="156"/>
        <v/>
      </c>
      <c r="C1001" s="261"/>
      <c r="D1001" s="261"/>
      <c r="E1001" s="261"/>
      <c r="F1001" s="1103"/>
      <c r="G1001" s="1104"/>
      <c r="H1001" s="77"/>
      <c r="I1001" s="383"/>
      <c r="J1001" s="383"/>
      <c r="K1001" s="383"/>
      <c r="L1001" s="390"/>
      <c r="M1001" s="978"/>
      <c r="N1001" s="1019"/>
      <c r="O1001" s="1019"/>
      <c r="P1001" s="79" t="str">
        <f>IF(AND('331-CT'!$E$7=TH!H1001,OR(N1001="331",O1001="331")),"x","")</f>
        <v/>
      </c>
      <c r="Q1001" s="79" t="str">
        <f>IF(AND(B1001='111'!$L$11,OR($N1001=$Q$7,$O1001=$Q$7)),"x","")</f>
        <v/>
      </c>
      <c r="R1001" s="79" t="str">
        <f>IF(AND($N1001=$Q$7,$B1001&lt;'111'!$L$11),"x","")</f>
        <v/>
      </c>
      <c r="S1001" s="79" t="str">
        <f>IF(AND($O1001=$Q$7,$B1001&lt;'111'!$L$11),"x","")</f>
        <v/>
      </c>
      <c r="T1001" s="79" t="str">
        <f>IF(ISERROR(FIND('112'!$M$9,G1001,1)),"",IF((AND(FIND('112'!$M$9,G1001,1)&gt;=1,B1001='112'!$K$9,OR($N1001='112'!$I$6,$O1001='112'!$I$6))),"x",""))</f>
        <v/>
      </c>
      <c r="U1001" s="79" t="str">
        <f>IF(ISERROR(FIND('112'!$M$9,G1001,1)),"",IF((AND(LEFT(G1001,2)=LEFT('112'!$M$9,2),B1001&lt;'112'!$K$9,$N1001='112'!$I$6)),"x",""))</f>
        <v/>
      </c>
      <c r="V1001" s="79" t="str">
        <f>IF(ISERROR(FIND('112'!$M$9,G1001,1)),"",IF((AND(RIGHT(G1001,2)=RIGHT('112'!$M$9,2),B1001&lt;'112'!$K$9,$O1001='112'!$I$6)),"x",""))</f>
        <v/>
      </c>
      <c r="W1001" s="79" t="str">
        <f>IF(AND('341-CT'!$H$9=H1001,OR(LEFT(N1001,3)=$W$7,LEFT(O1001,3)=$W$7)),"x","")</f>
        <v/>
      </c>
      <c r="X1001" s="79" t="str">
        <f>IF(OR(TH!N1001=TH!$X$7,O1001=TH!$X$7),"x","")</f>
        <v/>
      </c>
      <c r="Y1001" s="79" t="str">
        <f>IF(AND(OR(N1001="131",O1001="131"),H1001='131-CT'!$H$9),"x","")</f>
        <v/>
      </c>
      <c r="Z1001" s="79"/>
      <c r="AA1001" s="79" t="str">
        <f>IF(AND(MONTH(E1001)='IN-NX'!$J$5,'IN-NX'!$D$7=D1001),"x","")</f>
        <v/>
      </c>
      <c r="AB1001" s="79" t="str">
        <f>IF(AND(OR(LEFT(TH!N1001,2)="15",LEFT(TH!O1001,2)="15"),LEFT(TH!O1001,3)&lt;&gt;"111",'152-CT'!$J$8=TH!F1001),"x","")</f>
        <v/>
      </c>
      <c r="AC1001" s="79" t="str">
        <f>IF(AND(OR(LEFT(TH!N1001,2)="15",LEFT(TH!O1001,2)="15"),TK!$E$7=TH!F1001),"x","")</f>
        <v/>
      </c>
      <c r="AD1001" s="79" t="str">
        <f>IF(AND(N1001="1521",MONTH(C1001)='BK-NL'!$M$11),"x","")</f>
        <v/>
      </c>
    </row>
    <row r="1002" spans="1:30" ht="16.5" customHeight="1">
      <c r="A1002" s="318" t="str">
        <f>IF(B1002&lt;&gt;"",IF(AND(B1002='IN-TC'!$S$4,OR(TH!N1002="1111",TH!O1002="1111")),TH!D1002,""),"")</f>
        <v/>
      </c>
      <c r="B1002" s="60" t="str">
        <f t="shared" si="156"/>
        <v/>
      </c>
      <c r="C1002" s="261"/>
      <c r="D1002" s="261"/>
      <c r="E1002" s="261"/>
      <c r="F1002" s="1103"/>
      <c r="G1002" s="1104"/>
      <c r="H1002" s="759"/>
      <c r="I1002" s="383"/>
      <c r="J1002" s="383"/>
      <c r="K1002" s="383"/>
      <c r="L1002" s="390"/>
      <c r="M1002" s="978"/>
      <c r="N1002" s="1019"/>
      <c r="O1002" s="1019"/>
      <c r="P1002" s="79" t="str">
        <f>IF(AND('331-CT'!$E$7=TH!H1002,OR(N1002="331",O1002="331")),"x","")</f>
        <v/>
      </c>
      <c r="Q1002" s="79" t="str">
        <f>IF(AND(B1002='111'!$L$11,OR($N1002=$Q$7,$O1002=$Q$7)),"x","")</f>
        <v/>
      </c>
      <c r="R1002" s="79" t="str">
        <f>IF(AND($N1002=$Q$7,$B1002&lt;'111'!$L$11),"x","")</f>
        <v/>
      </c>
      <c r="S1002" s="79" t="str">
        <f>IF(AND($O1002=$Q$7,$B1002&lt;'111'!$L$11),"x","")</f>
        <v/>
      </c>
      <c r="T1002" s="79" t="str">
        <f>IF(ISERROR(FIND('112'!$M$9,G1002,1)),"",IF((AND(FIND('112'!$M$9,G1002,1)&gt;=1,B1002='112'!$K$9,OR($N1002='112'!$I$6,$O1002='112'!$I$6))),"x",""))</f>
        <v/>
      </c>
      <c r="U1002" s="79" t="str">
        <f>IF(ISERROR(FIND('112'!$M$9,G1002,1)),"",IF((AND(LEFT(G1002,2)=LEFT('112'!$M$9,2),B1002&lt;'112'!$K$9,$N1002='112'!$I$6)),"x",""))</f>
        <v/>
      </c>
      <c r="V1002" s="79" t="str">
        <f>IF(ISERROR(FIND('112'!$M$9,G1002,1)),"",IF((AND(RIGHT(G1002,2)=RIGHT('112'!$M$9,2),B1002&lt;'112'!$K$9,$O1002='112'!$I$6)),"x",""))</f>
        <v/>
      </c>
      <c r="W1002" s="79" t="str">
        <f>IF(AND('341-CT'!$H$9=H1002,OR(LEFT(N1002,3)=$W$7,LEFT(O1002,3)=$W$7)),"x","")</f>
        <v/>
      </c>
      <c r="X1002" s="79" t="str">
        <f>IF(OR(TH!N1002=TH!$X$7,O1002=TH!$X$7),"x","")</f>
        <v/>
      </c>
      <c r="Y1002" s="79" t="str">
        <f>IF(AND(OR(N1002="131",O1002="131"),H1002='131-CT'!$H$9),"x","")</f>
        <v/>
      </c>
      <c r="Z1002" s="79"/>
      <c r="AA1002" s="79" t="str">
        <f>IF(AND(MONTH(E1002)='IN-NX'!$J$5,'IN-NX'!$D$7=D1002),"x","")</f>
        <v/>
      </c>
      <c r="AB1002" s="79" t="str">
        <f>IF(AND(OR(LEFT(TH!N1002,2)="15",LEFT(TH!O1002,2)="15"),LEFT(TH!O1002,3)&lt;&gt;"111",'152-CT'!$J$8=TH!F1002),"x","")</f>
        <v/>
      </c>
      <c r="AC1002" s="79" t="str">
        <f>IF(AND(OR(LEFT(TH!N1002,2)="15",LEFT(TH!O1002,2)="15"),TK!$E$7=TH!F1002),"x","")</f>
        <v/>
      </c>
      <c r="AD1002" s="79" t="str">
        <f>IF(AND(N1002="1521",MONTH(C1002)='BK-NL'!$M$11),"x","")</f>
        <v/>
      </c>
    </row>
    <row r="1003" spans="1:30" ht="16.5" customHeight="1">
      <c r="A1003" s="318" t="str">
        <f>IF(B1003&lt;&gt;"",IF(AND(B1003='IN-TC'!$S$4,OR(TH!N1003="1111",TH!O1003="1111")),TH!D1003,""),"")</f>
        <v/>
      </c>
      <c r="B1003" s="60" t="str">
        <f t="shared" si="156"/>
        <v/>
      </c>
      <c r="C1003" s="261"/>
      <c r="D1003" s="261"/>
      <c r="E1003" s="261"/>
      <c r="F1003" s="1103"/>
      <c r="G1003" s="1104"/>
      <c r="H1003" s="759"/>
      <c r="I1003" s="383"/>
      <c r="J1003" s="383"/>
      <c r="K1003" s="383"/>
      <c r="L1003" s="390"/>
      <c r="M1003" s="978"/>
      <c r="N1003" s="1019"/>
      <c r="O1003" s="1019"/>
      <c r="P1003" s="79" t="str">
        <f>IF(AND('331-CT'!$E$7=TH!H1003,OR(N1003="331",O1003="331")),"x","")</f>
        <v/>
      </c>
      <c r="Q1003" s="79" t="str">
        <f>IF(AND(B1003='111'!$L$11,OR($N1003=$Q$7,$O1003=$Q$7)),"x","")</f>
        <v/>
      </c>
      <c r="R1003" s="79" t="str">
        <f>IF(AND($N1003=$Q$7,$B1003&lt;'111'!$L$11),"x","")</f>
        <v/>
      </c>
      <c r="S1003" s="79" t="str">
        <f>IF(AND($O1003=$Q$7,$B1003&lt;'111'!$L$11),"x","")</f>
        <v/>
      </c>
      <c r="T1003" s="79" t="str">
        <f>IF(ISERROR(FIND('112'!$M$9,G1003,1)),"",IF((AND(FIND('112'!$M$9,G1003,1)&gt;=1,B1003='112'!$K$9,OR($N1003='112'!$I$6,$O1003='112'!$I$6))),"x",""))</f>
        <v/>
      </c>
      <c r="U1003" s="79" t="str">
        <f>IF(ISERROR(FIND('112'!$M$9,G1003,1)),"",IF((AND(LEFT(G1003,2)=LEFT('112'!$M$9,2),B1003&lt;'112'!$K$9,$N1003='112'!$I$6)),"x",""))</f>
        <v/>
      </c>
      <c r="V1003" s="79" t="str">
        <f>IF(ISERROR(FIND('112'!$M$9,G1003,1)),"",IF((AND(RIGHT(G1003,2)=RIGHT('112'!$M$9,2),B1003&lt;'112'!$K$9,$O1003='112'!$I$6)),"x",""))</f>
        <v/>
      </c>
      <c r="W1003" s="79" t="str">
        <f>IF(AND('341-CT'!$H$9=H1003,OR(LEFT(N1003,3)=$W$7,LEFT(O1003,3)=$W$7)),"x","")</f>
        <v/>
      </c>
      <c r="X1003" s="79" t="str">
        <f>IF(OR(TH!N1003=TH!$X$7,O1003=TH!$X$7),"x","")</f>
        <v/>
      </c>
      <c r="Y1003" s="79" t="str">
        <f>IF(AND(OR(N1003="131",O1003="131"),H1003='131-CT'!$H$9),"x","")</f>
        <v/>
      </c>
      <c r="Z1003" s="79"/>
      <c r="AA1003" s="79" t="str">
        <f>IF(AND(MONTH(E1003)='IN-NX'!$J$5,'IN-NX'!$D$7=D1003),"x","")</f>
        <v/>
      </c>
      <c r="AB1003" s="79" t="str">
        <f>IF(AND(OR(LEFT(TH!N1003,2)="15",LEFT(TH!O1003,2)="15"),LEFT(TH!O1003,3)&lt;&gt;"111",'152-CT'!$J$8=TH!F1003),"x","")</f>
        <v/>
      </c>
      <c r="AC1003" s="79" t="str">
        <f>IF(AND(OR(LEFT(TH!N1003,2)="15",LEFT(TH!O1003,2)="15"),TK!$E$7=TH!F1003),"x","")</f>
        <v/>
      </c>
      <c r="AD1003" s="79" t="str">
        <f>IF(AND(N1003="1521",MONTH(C1003)='BK-NL'!$M$11),"x","")</f>
        <v/>
      </c>
    </row>
    <row r="1004" spans="1:30" ht="16.5" customHeight="1">
      <c r="A1004" s="318" t="str">
        <f>IF(B1004&lt;&gt;"",IF(AND(B1004='IN-TC'!$S$4,OR(TH!N1004="1111",TH!O1004="1111")),TH!D1004,""),"")</f>
        <v/>
      </c>
      <c r="B1004" s="60" t="str">
        <f t="shared" si="156"/>
        <v/>
      </c>
      <c r="C1004" s="261"/>
      <c r="D1004" s="261"/>
      <c r="E1004" s="261"/>
      <c r="F1004" s="1103"/>
      <c r="G1004" s="1104"/>
      <c r="H1004" s="759"/>
      <c r="I1004" s="383"/>
      <c r="J1004" s="383"/>
      <c r="K1004" s="383"/>
      <c r="L1004" s="390"/>
      <c r="M1004" s="978"/>
      <c r="N1004" s="1019"/>
      <c r="O1004" s="1019"/>
      <c r="P1004" s="79" t="str">
        <f>IF(AND('331-CT'!$E$7=TH!H1004,OR(N1004="331",O1004="331")),"x","")</f>
        <v/>
      </c>
      <c r="Q1004" s="79" t="str">
        <f>IF(AND(B1004='111'!$L$11,OR($N1004=$Q$7,$O1004=$Q$7)),"x","")</f>
        <v/>
      </c>
      <c r="R1004" s="79" t="str">
        <f>IF(AND($N1004=$Q$7,$B1004&lt;'111'!$L$11),"x","")</f>
        <v/>
      </c>
      <c r="S1004" s="79" t="str">
        <f>IF(AND($O1004=$Q$7,$B1004&lt;'111'!$L$11),"x","")</f>
        <v/>
      </c>
      <c r="T1004" s="79" t="str">
        <f>IF(ISERROR(FIND('112'!$M$9,G1004,1)),"",IF((AND(FIND('112'!$M$9,G1004,1)&gt;=1,B1004='112'!$K$9,OR($N1004='112'!$I$6,$O1004='112'!$I$6))),"x",""))</f>
        <v/>
      </c>
      <c r="U1004" s="79" t="str">
        <f>IF(ISERROR(FIND('112'!$M$9,G1004,1)),"",IF((AND(LEFT(G1004,2)=LEFT('112'!$M$9,2),B1004&lt;'112'!$K$9,$N1004='112'!$I$6)),"x",""))</f>
        <v/>
      </c>
      <c r="V1004" s="79" t="str">
        <f>IF(ISERROR(FIND('112'!$M$9,G1004,1)),"",IF((AND(RIGHT(G1004,2)=RIGHT('112'!$M$9,2),B1004&lt;'112'!$K$9,$O1004='112'!$I$6)),"x",""))</f>
        <v/>
      </c>
      <c r="W1004" s="79" t="str">
        <f>IF(AND('341-CT'!$H$9=H1004,OR(LEFT(N1004,3)=$W$7,LEFT(O1004,3)=$W$7)),"x","")</f>
        <v/>
      </c>
      <c r="X1004" s="79" t="str">
        <f>IF(OR(TH!N1004=TH!$X$7,O1004=TH!$X$7),"x","")</f>
        <v/>
      </c>
      <c r="Y1004" s="79" t="str">
        <f>IF(AND(OR(N1004="131",O1004="131"),H1004='131-CT'!$H$9),"x","")</f>
        <v/>
      </c>
      <c r="Z1004" s="79"/>
      <c r="AA1004" s="79" t="str">
        <f>IF(AND(MONTH(E1004)='IN-NX'!$J$5,'IN-NX'!$D$7=D1004),"x","")</f>
        <v/>
      </c>
      <c r="AB1004" s="79" t="str">
        <f>IF(AND(OR(LEFT(TH!N1004,2)="15",LEFT(TH!O1004,2)="15"),LEFT(TH!O1004,3)&lt;&gt;"111",'152-CT'!$J$8=TH!F1004),"x","")</f>
        <v/>
      </c>
      <c r="AC1004" s="79" t="str">
        <f>IF(AND(OR(LEFT(TH!N1004,2)="15",LEFT(TH!O1004,2)="15"),TK!$E$7=TH!F1004),"x","")</f>
        <v/>
      </c>
      <c r="AD1004" s="79" t="str">
        <f>IF(AND(N1004="1521",MONTH(C1004)='BK-NL'!$M$11),"x","")</f>
        <v/>
      </c>
    </row>
    <row r="1005" spans="1:30" ht="16.5" customHeight="1">
      <c r="A1005" s="318" t="str">
        <f>IF(B1005&lt;&gt;"",IF(AND(B1005='IN-TC'!$S$4,OR(TH!N1005="1111",TH!O1005="1111")),TH!D1005,""),"")</f>
        <v/>
      </c>
      <c r="B1005" s="60" t="str">
        <f t="shared" si="156"/>
        <v/>
      </c>
      <c r="C1005" s="261"/>
      <c r="D1005" s="261"/>
      <c r="E1005" s="261"/>
      <c r="F1005" s="1103"/>
      <c r="G1005" s="1104"/>
      <c r="H1005" s="759"/>
      <c r="I1005" s="383"/>
      <c r="J1005" s="383"/>
      <c r="K1005" s="383"/>
      <c r="L1005" s="390"/>
      <c r="M1005" s="978"/>
      <c r="N1005" s="1019"/>
      <c r="O1005" s="1019"/>
      <c r="P1005" s="79" t="str">
        <f>IF(AND('331-CT'!$E$7=TH!H1005,OR(N1005="331",O1005="331")),"x","")</f>
        <v/>
      </c>
      <c r="Q1005" s="79" t="str">
        <f>IF(AND(B1005='111'!$L$11,OR($N1005=$Q$7,$O1005=$Q$7)),"x","")</f>
        <v/>
      </c>
      <c r="R1005" s="79" t="str">
        <f>IF(AND($N1005=$Q$7,$B1005&lt;'111'!$L$11),"x","")</f>
        <v/>
      </c>
      <c r="S1005" s="79" t="str">
        <f>IF(AND($O1005=$Q$7,$B1005&lt;'111'!$L$11),"x","")</f>
        <v/>
      </c>
      <c r="T1005" s="79" t="str">
        <f>IF(ISERROR(FIND('112'!$M$9,G1005,1)),"",IF((AND(FIND('112'!$M$9,G1005,1)&gt;=1,B1005='112'!$K$9,OR($N1005='112'!$I$6,$O1005='112'!$I$6))),"x",""))</f>
        <v/>
      </c>
      <c r="U1005" s="79" t="str">
        <f>IF(ISERROR(FIND('112'!$M$9,G1005,1)),"",IF((AND(LEFT(G1005,2)=LEFT('112'!$M$9,2),B1005&lt;'112'!$K$9,$N1005='112'!$I$6)),"x",""))</f>
        <v/>
      </c>
      <c r="V1005" s="79" t="str">
        <f>IF(ISERROR(FIND('112'!$M$9,G1005,1)),"",IF((AND(RIGHT(G1005,2)=RIGHT('112'!$M$9,2),B1005&lt;'112'!$K$9,$O1005='112'!$I$6)),"x",""))</f>
        <v/>
      </c>
      <c r="W1005" s="79" t="str">
        <f>IF(AND('341-CT'!$H$9=H1005,OR(LEFT(N1005,3)=$W$7,LEFT(O1005,3)=$W$7)),"x","")</f>
        <v/>
      </c>
      <c r="X1005" s="79" t="str">
        <f>IF(OR(TH!N1005=TH!$X$7,O1005=TH!$X$7),"x","")</f>
        <v/>
      </c>
      <c r="Y1005" s="79" t="str">
        <f>IF(AND(OR(N1005="131",O1005="131"),H1005='131-CT'!$H$9),"x","")</f>
        <v/>
      </c>
      <c r="Z1005" s="79"/>
      <c r="AA1005" s="79" t="str">
        <f>IF(AND(MONTH(E1005)='IN-NX'!$J$5,'IN-NX'!$D$7=D1005),"x","")</f>
        <v/>
      </c>
      <c r="AB1005" s="79" t="str">
        <f>IF(AND(OR(LEFT(TH!N1005,2)="15",LEFT(TH!O1005,2)="15"),LEFT(TH!O1005,3)&lt;&gt;"111",'152-CT'!$J$8=TH!F1005),"x","")</f>
        <v/>
      </c>
      <c r="AC1005" s="79" t="str">
        <f>IF(AND(OR(LEFT(TH!N1005,2)="15",LEFT(TH!O1005,2)="15"),TK!$E$7=TH!F1005),"x","")</f>
        <v/>
      </c>
      <c r="AD1005" s="79" t="str">
        <f>IF(AND(N1005="1521",MONTH(C1005)='BK-NL'!$M$11),"x","")</f>
        <v/>
      </c>
    </row>
    <row r="1006" spans="1:30" ht="16.5" customHeight="1">
      <c r="A1006" s="318" t="str">
        <f>IF(B1006&lt;&gt;"",IF(AND(B1006='IN-TC'!$S$4,OR(TH!N1006="1111",TH!O1006="1111")),TH!D1006,""),"")</f>
        <v/>
      </c>
      <c r="B1006" s="60" t="str">
        <f t="shared" si="156"/>
        <v/>
      </c>
      <c r="C1006" s="261"/>
      <c r="D1006" s="261"/>
      <c r="E1006" s="261"/>
      <c r="F1006" s="1103"/>
      <c r="G1006" s="1104"/>
      <c r="H1006" s="759"/>
      <c r="I1006" s="383"/>
      <c r="J1006" s="383"/>
      <c r="K1006" s="383"/>
      <c r="L1006" s="390"/>
      <c r="M1006" s="978"/>
      <c r="N1006" s="1019"/>
      <c r="O1006" s="1019"/>
      <c r="P1006" s="79" t="str">
        <f>IF(AND('331-CT'!$E$7=TH!H1006,OR(N1006="331",O1006="331")),"x","")</f>
        <v/>
      </c>
      <c r="Q1006" s="79" t="str">
        <f>IF(AND(B1006='111'!$L$11,OR($N1006=$Q$7,$O1006=$Q$7)),"x","")</f>
        <v/>
      </c>
      <c r="R1006" s="79" t="str">
        <f>IF(AND($N1006=$Q$7,$B1006&lt;'111'!$L$11),"x","")</f>
        <v/>
      </c>
      <c r="S1006" s="79" t="str">
        <f>IF(AND($O1006=$Q$7,$B1006&lt;'111'!$L$11),"x","")</f>
        <v/>
      </c>
      <c r="T1006" s="79" t="str">
        <f>IF(ISERROR(FIND('112'!$M$9,G1006,1)),"",IF((AND(FIND('112'!$M$9,G1006,1)&gt;=1,B1006='112'!$K$9,OR($N1006='112'!$I$6,$O1006='112'!$I$6))),"x",""))</f>
        <v/>
      </c>
      <c r="U1006" s="79" t="str">
        <f>IF(ISERROR(FIND('112'!$M$9,G1006,1)),"",IF((AND(LEFT(G1006,2)=LEFT('112'!$M$9,2),B1006&lt;'112'!$K$9,$N1006='112'!$I$6)),"x",""))</f>
        <v/>
      </c>
      <c r="V1006" s="79" t="str">
        <f>IF(ISERROR(FIND('112'!$M$9,G1006,1)),"",IF((AND(RIGHT(G1006,2)=RIGHT('112'!$M$9,2),B1006&lt;'112'!$K$9,$O1006='112'!$I$6)),"x",""))</f>
        <v/>
      </c>
      <c r="W1006" s="79" t="str">
        <f>IF(AND('341-CT'!$H$9=H1006,OR(LEFT(N1006,3)=$W$7,LEFT(O1006,3)=$W$7)),"x","")</f>
        <v/>
      </c>
      <c r="X1006" s="79" t="str">
        <f>IF(OR(TH!N1006=TH!$X$7,O1006=TH!$X$7),"x","")</f>
        <v/>
      </c>
      <c r="Y1006" s="79" t="str">
        <f>IF(AND(OR(N1006="131",O1006="131"),H1006='131-CT'!$H$9),"x","")</f>
        <v/>
      </c>
      <c r="Z1006" s="79"/>
      <c r="AA1006" s="79" t="str">
        <f>IF(AND(MONTH(E1006)='IN-NX'!$J$5,'IN-NX'!$D$7=D1006),"x","")</f>
        <v/>
      </c>
      <c r="AB1006" s="79" t="str">
        <f>IF(AND(OR(LEFT(TH!N1006,2)="15",LEFT(TH!O1006,2)="15"),LEFT(TH!O1006,3)&lt;&gt;"111",'152-CT'!$J$8=TH!F1006),"x","")</f>
        <v/>
      </c>
      <c r="AC1006" s="79" t="str">
        <f>IF(AND(OR(LEFT(TH!N1006,2)="15",LEFT(TH!O1006,2)="15"),TK!$E$7=TH!F1006),"x","")</f>
        <v/>
      </c>
      <c r="AD1006" s="79" t="str">
        <f>IF(AND(N1006="1521",MONTH(C1006)='BK-NL'!$M$11),"x","")</f>
        <v/>
      </c>
    </row>
    <row r="1007" spans="1:30" ht="16.5" customHeight="1">
      <c r="A1007" s="318" t="str">
        <f>IF(B1007&lt;&gt;"",IF(AND(B1007='IN-TC'!$S$4,OR(TH!N1007="1111",TH!O1007="1111")),TH!D1007,""),"")</f>
        <v/>
      </c>
      <c r="B1007" s="60" t="str">
        <f t="shared" si="156"/>
        <v/>
      </c>
      <c r="C1007" s="261"/>
      <c r="D1007" s="261"/>
      <c r="E1007" s="261"/>
      <c r="F1007" s="1103"/>
      <c r="G1007" s="1104"/>
      <c r="H1007" s="759"/>
      <c r="I1007" s="383"/>
      <c r="J1007" s="383"/>
      <c r="K1007" s="383"/>
      <c r="L1007" s="390"/>
      <c r="M1007" s="978"/>
      <c r="N1007" s="1019"/>
      <c r="O1007" s="1019"/>
      <c r="P1007" s="79" t="str">
        <f>IF(AND('331-CT'!$E$7=TH!H1007,OR(N1007="331",O1007="331")),"x","")</f>
        <v/>
      </c>
      <c r="Q1007" s="79" t="str">
        <f>IF(AND(B1007='111'!$L$11,OR($N1007=$Q$7,$O1007=$Q$7)),"x","")</f>
        <v/>
      </c>
      <c r="R1007" s="79" t="str">
        <f>IF(AND($N1007=$Q$7,$B1007&lt;'111'!$L$11),"x","")</f>
        <v/>
      </c>
      <c r="S1007" s="79" t="str">
        <f>IF(AND($O1007=$Q$7,$B1007&lt;'111'!$L$11),"x","")</f>
        <v/>
      </c>
      <c r="T1007" s="79" t="str">
        <f>IF(ISERROR(FIND('112'!$M$9,G1007,1)),"",IF((AND(FIND('112'!$M$9,G1007,1)&gt;=1,B1007='112'!$K$9,OR($N1007='112'!$I$6,$O1007='112'!$I$6))),"x",""))</f>
        <v/>
      </c>
      <c r="U1007" s="79" t="str">
        <f>IF(ISERROR(FIND('112'!$M$9,G1007,1)),"",IF((AND(LEFT(G1007,2)=LEFT('112'!$M$9,2),B1007&lt;'112'!$K$9,$N1007='112'!$I$6)),"x",""))</f>
        <v/>
      </c>
      <c r="V1007" s="79" t="str">
        <f>IF(ISERROR(FIND('112'!$M$9,G1007,1)),"",IF((AND(RIGHT(G1007,2)=RIGHT('112'!$M$9,2),B1007&lt;'112'!$K$9,$O1007='112'!$I$6)),"x",""))</f>
        <v/>
      </c>
      <c r="W1007" s="79" t="str">
        <f>IF(AND('341-CT'!$H$9=H1007,OR(LEFT(N1007,3)=$W$7,LEFT(O1007,3)=$W$7)),"x","")</f>
        <v/>
      </c>
      <c r="X1007" s="79" t="str">
        <f>IF(OR(TH!N1007=TH!$X$7,O1007=TH!$X$7),"x","")</f>
        <v/>
      </c>
      <c r="Y1007" s="79" t="str">
        <f>IF(AND(OR(N1007="131",O1007="131"),H1007='131-CT'!$H$9),"x","")</f>
        <v/>
      </c>
      <c r="Z1007" s="79"/>
      <c r="AA1007" s="79" t="str">
        <f>IF(AND(MONTH(E1007)='IN-NX'!$J$5,'IN-NX'!$D$7=D1007),"x","")</f>
        <v/>
      </c>
      <c r="AB1007" s="79" t="str">
        <f>IF(AND(OR(LEFT(TH!N1007,2)="15",LEFT(TH!O1007,2)="15"),LEFT(TH!O1007,3)&lt;&gt;"111",'152-CT'!$J$8=TH!F1007),"x","")</f>
        <v/>
      </c>
      <c r="AC1007" s="79" t="str">
        <f>IF(AND(OR(LEFT(TH!N1007,2)="15",LEFT(TH!O1007,2)="15"),TK!$E$7=TH!F1007),"x","")</f>
        <v/>
      </c>
      <c r="AD1007" s="79" t="str">
        <f>IF(AND(N1007="1521",MONTH(C1007)='BK-NL'!$M$11),"x","")</f>
        <v/>
      </c>
    </row>
    <row r="1008" spans="1:30" ht="16.5" customHeight="1">
      <c r="A1008" s="318" t="str">
        <f>IF(B1008&lt;&gt;"",IF(AND(B1008='IN-TC'!$S$4,OR(TH!N1008="1111",TH!O1008="1111")),TH!D1008,""),"")</f>
        <v/>
      </c>
      <c r="B1008" s="60" t="str">
        <f t="shared" si="156"/>
        <v/>
      </c>
      <c r="C1008" s="261"/>
      <c r="D1008" s="261"/>
      <c r="E1008" s="261"/>
      <c r="F1008" s="1103"/>
      <c r="G1008" s="1104"/>
      <c r="H1008" s="759"/>
      <c r="I1008" s="383"/>
      <c r="J1008" s="383"/>
      <c r="K1008" s="383"/>
      <c r="L1008" s="390"/>
      <c r="M1008" s="978"/>
      <c r="N1008" s="1019"/>
      <c r="O1008" s="1019"/>
      <c r="P1008" s="79" t="str">
        <f>IF(AND('331-CT'!$E$7=TH!H1008,OR(N1008="331",O1008="331")),"x","")</f>
        <v/>
      </c>
      <c r="Q1008" s="79" t="str">
        <f>IF(AND(B1008='111'!$L$11,OR($N1008=$Q$7,$O1008=$Q$7)),"x","")</f>
        <v/>
      </c>
      <c r="R1008" s="79" t="str">
        <f>IF(AND($N1008=$Q$7,$B1008&lt;'111'!$L$11),"x","")</f>
        <v/>
      </c>
      <c r="S1008" s="79" t="str">
        <f>IF(AND($O1008=$Q$7,$B1008&lt;'111'!$L$11),"x","")</f>
        <v/>
      </c>
      <c r="T1008" s="79" t="str">
        <f>IF(ISERROR(FIND('112'!$M$9,G1008,1)),"",IF((AND(FIND('112'!$M$9,G1008,1)&gt;=1,B1008='112'!$K$9,OR($N1008='112'!$I$6,$O1008='112'!$I$6))),"x",""))</f>
        <v/>
      </c>
      <c r="U1008" s="79" t="str">
        <f>IF(ISERROR(FIND('112'!$M$9,G1008,1)),"",IF((AND(LEFT(G1008,2)=LEFT('112'!$M$9,2),B1008&lt;'112'!$K$9,$N1008='112'!$I$6)),"x",""))</f>
        <v/>
      </c>
      <c r="V1008" s="79" t="str">
        <f>IF(ISERROR(FIND('112'!$M$9,G1008,1)),"",IF((AND(RIGHT(G1008,2)=RIGHT('112'!$M$9,2),B1008&lt;'112'!$K$9,$O1008='112'!$I$6)),"x",""))</f>
        <v/>
      </c>
      <c r="W1008" s="79" t="str">
        <f>IF(AND('341-CT'!$H$9=H1008,OR(LEFT(N1008,3)=$W$7,LEFT(O1008,3)=$W$7)),"x","")</f>
        <v/>
      </c>
      <c r="X1008" s="79" t="str">
        <f>IF(OR(TH!N1008=TH!$X$7,O1008=TH!$X$7),"x","")</f>
        <v/>
      </c>
      <c r="Y1008" s="79" t="str">
        <f>IF(AND(OR(N1008="131",O1008="131"),H1008='131-CT'!$H$9),"x","")</f>
        <v/>
      </c>
      <c r="Z1008" s="79"/>
      <c r="AA1008" s="79" t="str">
        <f>IF(AND(MONTH(E1008)='IN-NX'!$J$5,'IN-NX'!$D$7=D1008),"x","")</f>
        <v/>
      </c>
      <c r="AB1008" s="79" t="str">
        <f>IF(AND(OR(LEFT(TH!N1008,2)="15",LEFT(TH!O1008,2)="15"),LEFT(TH!O1008,3)&lt;&gt;"111",'152-CT'!$J$8=TH!F1008),"x","")</f>
        <v/>
      </c>
      <c r="AC1008" s="79" t="str">
        <f>IF(AND(OR(LEFT(TH!N1008,2)="15",LEFT(TH!O1008,2)="15"),TK!$E$7=TH!F1008),"x","")</f>
        <v/>
      </c>
      <c r="AD1008" s="79" t="str">
        <f>IF(AND(N1008="1521",MONTH(C1008)='BK-NL'!$M$11),"x","")</f>
        <v/>
      </c>
    </row>
    <row r="1009" spans="1:30" ht="16.5" customHeight="1">
      <c r="A1009" s="318" t="str">
        <f>IF(B1009&lt;&gt;"",IF(AND(B1009='IN-TC'!$S$4,OR(TH!N1009="1111",TH!O1009="1111")),TH!D1009,""),"")</f>
        <v/>
      </c>
      <c r="B1009" s="60" t="str">
        <f t="shared" ref="B1009" si="157">IF(C1009&lt;&gt;"",MONTH(C1009),"")</f>
        <v/>
      </c>
      <c r="C1009" s="261"/>
      <c r="D1009" s="261"/>
      <c r="E1009" s="261"/>
      <c r="F1009" s="1103"/>
      <c r="G1009" s="1104"/>
      <c r="H1009" s="759"/>
      <c r="I1009" s="383"/>
      <c r="J1009" s="383"/>
      <c r="K1009" s="383"/>
      <c r="L1009" s="390"/>
      <c r="M1009" s="978"/>
      <c r="N1009" s="1019"/>
      <c r="O1009" s="1019"/>
      <c r="P1009" s="79" t="str">
        <f>IF(AND('331-CT'!$E$7=TH!H1009,OR(N1009="331",O1009="331")),"x","")</f>
        <v/>
      </c>
      <c r="Q1009" s="79" t="str">
        <f>IF(AND(B1009='111'!$L$11,OR($N1009=$Q$7,$O1009=$Q$7)),"x","")</f>
        <v/>
      </c>
      <c r="R1009" s="79" t="str">
        <f>IF(AND($N1009=$Q$7,$B1009&lt;'111'!$L$11),"x","")</f>
        <v/>
      </c>
      <c r="S1009" s="79" t="str">
        <f>IF(AND($O1009=$Q$7,$B1009&lt;'111'!$L$11),"x","")</f>
        <v/>
      </c>
      <c r="T1009" s="79" t="str">
        <f>IF(ISERROR(FIND('112'!$M$9,G1009,1)),"",IF((AND(FIND('112'!$M$9,G1009,1)&gt;=1,B1009='112'!$K$9,OR($N1009='112'!$I$6,$O1009='112'!$I$6))),"x",""))</f>
        <v/>
      </c>
      <c r="U1009" s="79" t="str">
        <f>IF(ISERROR(FIND('112'!$M$9,G1009,1)),"",IF((AND(LEFT(G1009,2)=LEFT('112'!$M$9,2),B1009&lt;'112'!$K$9,$N1009='112'!$I$6)),"x",""))</f>
        <v/>
      </c>
      <c r="V1009" s="79" t="str">
        <f>IF(ISERROR(FIND('112'!$M$9,G1009,1)),"",IF((AND(RIGHT(G1009,2)=RIGHT('112'!$M$9,2),B1009&lt;'112'!$K$9,$O1009='112'!$I$6)),"x",""))</f>
        <v/>
      </c>
      <c r="W1009" s="79" t="str">
        <f>IF(AND('341-CT'!$H$9=H1009,OR(LEFT(N1009,3)=$W$7,LEFT(O1009,3)=$W$7)),"x","")</f>
        <v/>
      </c>
      <c r="X1009" s="79" t="str">
        <f>IF(OR(TH!N1009=TH!$X$7,O1009=TH!$X$7),"x","")</f>
        <v/>
      </c>
      <c r="Y1009" s="79" t="str">
        <f>IF(AND(OR(N1009="131",O1009="131"),H1009='131-CT'!$H$9),"x","")</f>
        <v/>
      </c>
      <c r="Z1009" s="79"/>
      <c r="AA1009" s="79" t="str">
        <f>IF(AND(MONTH(E1009)='IN-NX'!$J$5,'IN-NX'!$D$7=D1009),"x","")</f>
        <v/>
      </c>
      <c r="AB1009" s="79" t="str">
        <f>IF(AND(OR(LEFT(TH!N1009,2)="15",LEFT(TH!O1009,2)="15"),LEFT(TH!O1009,3)&lt;&gt;"111",'152-CT'!$J$8=TH!F1009),"x","")</f>
        <v/>
      </c>
      <c r="AC1009" s="79" t="str">
        <f>IF(AND(OR(LEFT(TH!N1009,2)="15",LEFT(TH!O1009,2)="15"),TK!$E$7=TH!F1009),"x","")</f>
        <v/>
      </c>
      <c r="AD1009" s="79" t="str">
        <f>IF(AND(N1009="1521",MONTH(C1009)='BK-NL'!$M$11),"x","")</f>
        <v/>
      </c>
    </row>
    <row r="1010" spans="1:30" ht="16.5" customHeight="1">
      <c r="A1010" s="318" t="str">
        <f>IF(B1010&lt;&gt;"",IF(AND(B1010='IN-TC'!$S$4,OR(TH!N1010="1111",TH!O1010="1111")),TH!D1010,""),"")</f>
        <v/>
      </c>
      <c r="B1010" s="60" t="str">
        <f t="shared" ref="B1010" si="158">IF(C1010&lt;&gt;"",MONTH(C1010),"")</f>
        <v/>
      </c>
      <c r="C1010" s="261"/>
      <c r="D1010" s="261"/>
      <c r="E1010" s="261"/>
      <c r="F1010" s="1103"/>
      <c r="G1010" s="1104"/>
      <c r="H1010" s="759"/>
      <c r="I1010" s="383"/>
      <c r="J1010" s="383"/>
      <c r="K1010" s="383"/>
      <c r="L1010" s="390"/>
      <c r="M1010" s="978"/>
      <c r="N1010" s="1019"/>
      <c r="O1010" s="1019"/>
      <c r="P1010" s="79" t="str">
        <f>IF(AND('331-CT'!$E$7=TH!H1010,OR(N1010="331",O1010="331")),"x","")</f>
        <v/>
      </c>
      <c r="Q1010" s="79" t="str">
        <f>IF(AND(B1010='111'!$L$11,OR($N1010=$Q$7,$O1010=$Q$7)),"x","")</f>
        <v/>
      </c>
      <c r="R1010" s="79" t="str">
        <f>IF(AND($N1010=$Q$7,$B1010&lt;'111'!$L$11),"x","")</f>
        <v/>
      </c>
      <c r="S1010" s="79" t="str">
        <f>IF(AND($O1010=$Q$7,$B1010&lt;'111'!$L$11),"x","")</f>
        <v/>
      </c>
      <c r="T1010" s="79" t="str">
        <f>IF(ISERROR(FIND('112'!$M$9,G1010,1)),"",IF((AND(FIND('112'!$M$9,G1010,1)&gt;=1,B1010='112'!$K$9,OR($N1010='112'!$I$6,$O1010='112'!$I$6))),"x",""))</f>
        <v/>
      </c>
      <c r="U1010" s="79" t="str">
        <f>IF(ISERROR(FIND('112'!$M$9,G1010,1)),"",IF((AND(LEFT(G1010,2)=LEFT('112'!$M$9,2),B1010&lt;'112'!$K$9,$N1010='112'!$I$6)),"x",""))</f>
        <v/>
      </c>
      <c r="V1010" s="79" t="str">
        <f>IF(ISERROR(FIND('112'!$M$9,G1010,1)),"",IF((AND(RIGHT(G1010,2)=RIGHT('112'!$M$9,2),B1010&lt;'112'!$K$9,$O1010='112'!$I$6)),"x",""))</f>
        <v/>
      </c>
      <c r="W1010" s="79" t="str">
        <f>IF(AND('341-CT'!$H$9=H1010,OR(LEFT(N1010,3)=$W$7,LEFT(O1010,3)=$W$7)),"x","")</f>
        <v/>
      </c>
      <c r="X1010" s="79" t="str">
        <f>IF(OR(TH!N1010=TH!$X$7,O1010=TH!$X$7),"x","")</f>
        <v/>
      </c>
      <c r="Y1010" s="79" t="str">
        <f>IF(AND(OR(N1010="131",O1010="131"),H1010='131-CT'!$H$9),"x","")</f>
        <v/>
      </c>
      <c r="Z1010" s="79"/>
      <c r="AA1010" s="79" t="str">
        <f>IF(AND(MONTH(E1010)='IN-NX'!$J$5,'IN-NX'!$D$7=D1010),"x","")</f>
        <v/>
      </c>
      <c r="AB1010" s="79" t="str">
        <f>IF(AND(OR(LEFT(TH!N1010,2)="15",LEFT(TH!O1010,2)="15"),LEFT(TH!O1010,3)&lt;&gt;"111",'152-CT'!$J$8=TH!F1010),"x","")</f>
        <v/>
      </c>
      <c r="AC1010" s="79" t="str">
        <f>IF(AND(OR(LEFT(TH!N1010,2)="15",LEFT(TH!O1010,2)="15"),TK!$E$7=TH!F1010),"x","")</f>
        <v/>
      </c>
      <c r="AD1010" s="79" t="str">
        <f>IF(AND(N1010="1521",MONTH(C1010)='BK-NL'!$M$11),"x","")</f>
        <v/>
      </c>
    </row>
    <row r="1011" spans="1:30" ht="16.5" customHeight="1">
      <c r="A1011" s="318" t="str">
        <f>IF(B1011&lt;&gt;"",IF(AND(B1011='IN-TC'!$S$4,OR(TH!N1011="1111",TH!O1011="1111")),TH!D1011,""),"")</f>
        <v/>
      </c>
      <c r="B1011" s="60" t="str">
        <f t="shared" ref="B1011" si="159">IF(C1011&lt;&gt;"",MONTH(C1011),"")</f>
        <v/>
      </c>
      <c r="C1011" s="261"/>
      <c r="D1011" s="261"/>
      <c r="E1011" s="261"/>
      <c r="F1011" s="1103"/>
      <c r="G1011" s="1104"/>
      <c r="H1011" s="759"/>
      <c r="I1011" s="383"/>
      <c r="J1011" s="383"/>
      <c r="K1011" s="383"/>
      <c r="L1011" s="390"/>
      <c r="M1011" s="978"/>
      <c r="N1011" s="1019"/>
      <c r="O1011" s="1019"/>
      <c r="P1011" s="79" t="str">
        <f>IF(AND('331-CT'!$E$7=TH!H1011,OR(N1011="331",O1011="331")),"x","")</f>
        <v/>
      </c>
      <c r="Q1011" s="79" t="str">
        <f>IF(AND(B1011='111'!$L$11,OR($N1011=$Q$7,$O1011=$Q$7)),"x","")</f>
        <v/>
      </c>
      <c r="R1011" s="79" t="str">
        <f>IF(AND($N1011=$Q$7,$B1011&lt;'111'!$L$11),"x","")</f>
        <v/>
      </c>
      <c r="S1011" s="79" t="str">
        <f>IF(AND($O1011=$Q$7,$B1011&lt;'111'!$L$11),"x","")</f>
        <v/>
      </c>
      <c r="T1011" s="79" t="str">
        <f>IF(ISERROR(FIND('112'!$M$9,G1011,1)),"",IF((AND(FIND('112'!$M$9,G1011,1)&gt;=1,B1011='112'!$K$9,OR($N1011='112'!$I$6,$O1011='112'!$I$6))),"x",""))</f>
        <v/>
      </c>
      <c r="U1011" s="79" t="str">
        <f>IF(ISERROR(FIND('112'!$M$9,G1011,1)),"",IF((AND(LEFT(G1011,2)=LEFT('112'!$M$9,2),B1011&lt;'112'!$K$9,$N1011='112'!$I$6)),"x",""))</f>
        <v/>
      </c>
      <c r="V1011" s="79" t="str">
        <f>IF(ISERROR(FIND('112'!$M$9,G1011,1)),"",IF((AND(RIGHT(G1011,2)=RIGHT('112'!$M$9,2),B1011&lt;'112'!$K$9,$O1011='112'!$I$6)),"x",""))</f>
        <v/>
      </c>
      <c r="W1011" s="79" t="str">
        <f>IF(AND('341-CT'!$H$9=H1011,OR(LEFT(N1011,3)=$W$7,LEFT(O1011,3)=$W$7)),"x","")</f>
        <v/>
      </c>
      <c r="X1011" s="79" t="str">
        <f>IF(OR(TH!N1011=TH!$X$7,O1011=TH!$X$7),"x","")</f>
        <v/>
      </c>
      <c r="Y1011" s="79" t="str">
        <f>IF(AND(OR(N1011="131",O1011="131"),H1011='131-CT'!$H$9),"x","")</f>
        <v/>
      </c>
      <c r="Z1011" s="79"/>
      <c r="AA1011" s="79" t="str">
        <f>IF(AND(MONTH(E1011)='IN-NX'!$J$5,'IN-NX'!$D$7=D1011),"x","")</f>
        <v/>
      </c>
      <c r="AB1011" s="79" t="str">
        <f>IF(AND(OR(LEFT(TH!N1011,2)="15",LEFT(TH!O1011,2)="15"),LEFT(TH!O1011,3)&lt;&gt;"111",'152-CT'!$J$8=TH!F1011),"x","")</f>
        <v/>
      </c>
      <c r="AC1011" s="79" t="str">
        <f>IF(AND(OR(LEFT(TH!N1011,2)="15",LEFT(TH!O1011,2)="15"),TK!$E$7=TH!F1011),"x","")</f>
        <v/>
      </c>
      <c r="AD1011" s="79" t="str">
        <f>IF(AND(N1011="1521",MONTH(C1011)='BK-NL'!$M$11),"x","")</f>
        <v/>
      </c>
    </row>
    <row r="1012" spans="1:30" ht="16.5" customHeight="1">
      <c r="A1012" s="318" t="str">
        <f>IF(B1012&lt;&gt;"",IF(AND(B1012='IN-TC'!$S$4,OR(TH!N1012="1111",TH!O1012="1111")),TH!D1012,""),"")</f>
        <v/>
      </c>
      <c r="B1012" s="60" t="str">
        <f>IF(C1012&lt;&gt;"",MONTH(C1012),"")</f>
        <v/>
      </c>
      <c r="C1012" s="261"/>
      <c r="D1012" s="261"/>
      <c r="E1012" s="261"/>
      <c r="F1012" s="1103"/>
      <c r="G1012" s="1104"/>
      <c r="H1012" s="759"/>
      <c r="I1012" s="383"/>
      <c r="J1012" s="383"/>
      <c r="K1012" s="383"/>
      <c r="L1012" s="390"/>
      <c r="M1012" s="978"/>
      <c r="N1012" s="1019"/>
      <c r="O1012" s="1019"/>
      <c r="P1012" s="79" t="str">
        <f>IF(AND('331-CT'!$E$7=TH!H1012,OR(N1012="331",O1012="331")),"x","")</f>
        <v/>
      </c>
      <c r="Q1012" s="79" t="str">
        <f>IF(AND(B1012='111'!$L$11,OR($N1012=$Q$7,$O1012=$Q$7)),"x","")</f>
        <v/>
      </c>
      <c r="R1012" s="79" t="str">
        <f>IF(AND($N1012=$Q$7,$B1012&lt;'111'!$L$11),"x","")</f>
        <v/>
      </c>
      <c r="S1012" s="79" t="str">
        <f>IF(AND($O1012=$Q$7,$B1012&lt;'111'!$L$11),"x","")</f>
        <v/>
      </c>
      <c r="T1012" s="79" t="str">
        <f>IF(ISERROR(FIND('112'!$M$9,G1012,1)),"",IF((AND(FIND('112'!$M$9,G1012,1)&gt;=1,B1012='112'!$K$9,OR($N1012='112'!$I$6,$O1012='112'!$I$6))),"x",""))</f>
        <v/>
      </c>
      <c r="U1012" s="79" t="str">
        <f>IF(ISERROR(FIND('112'!$M$9,G1012,1)),"",IF((AND(LEFT(G1012,2)=LEFT('112'!$M$9,2),B1012&lt;'112'!$K$9,$N1012='112'!$I$6)),"x",""))</f>
        <v/>
      </c>
      <c r="V1012" s="79" t="str">
        <f>IF(ISERROR(FIND('112'!$M$9,G1012,1)),"",IF((AND(RIGHT(G1012,2)=RIGHT('112'!$M$9,2),B1012&lt;'112'!$K$9,$O1012='112'!$I$6)),"x",""))</f>
        <v/>
      </c>
      <c r="W1012" s="79" t="str">
        <f>IF(AND('341-CT'!$H$9=H1012,OR(LEFT(N1012,3)=$W$7,LEFT(O1012,3)=$W$7)),"x","")</f>
        <v/>
      </c>
      <c r="X1012" s="79" t="str">
        <f>IF(OR(TH!N1012=TH!$X$7,O1012=TH!$X$7),"x","")</f>
        <v/>
      </c>
      <c r="Y1012" s="79" t="str">
        <f>IF(AND(OR(N1012="131",O1012="131"),H1012='131-CT'!$H$9),"x","")</f>
        <v/>
      </c>
      <c r="Z1012" s="79"/>
      <c r="AA1012" s="79" t="str">
        <f>IF(AND(MONTH(E1012)='IN-NX'!$J$5,'IN-NX'!$D$7=D1012),"x","")</f>
        <v/>
      </c>
      <c r="AB1012" s="79" t="str">
        <f>IF(AND(OR(LEFT(TH!N1012,2)="15",LEFT(TH!O1012,2)="15"),LEFT(TH!O1012,3)&lt;&gt;"111",'152-CT'!$J$8=TH!F1012),"x","")</f>
        <v/>
      </c>
      <c r="AC1012" s="79" t="str">
        <f>IF(AND(OR(LEFT(TH!N1012,2)="15",LEFT(TH!O1012,2)="15"),TK!$E$7=TH!F1012),"x","")</f>
        <v/>
      </c>
      <c r="AD1012" s="79" t="str">
        <f>IF(AND(N1012="1521",MONTH(C1012)='BK-NL'!$M$11),"x","")</f>
        <v/>
      </c>
    </row>
    <row r="1013" spans="1:30" ht="16.5" customHeight="1">
      <c r="A1013" s="318" t="str">
        <f>IF(B1013&lt;&gt;"",IF(AND(B1013='IN-TC'!$S$4,OR(TH!N1013="1111",TH!O1013="1111")),TH!D1013,""),"")</f>
        <v/>
      </c>
      <c r="B1013" s="60" t="str">
        <f>IF(C1013&lt;&gt;"",MONTH(C1013),"")</f>
        <v/>
      </c>
      <c r="C1013" s="261"/>
      <c r="D1013" s="261"/>
      <c r="E1013" s="261"/>
      <c r="F1013" s="1103"/>
      <c r="G1013" s="1104"/>
      <c r="H1013" s="759"/>
      <c r="I1013" s="383"/>
      <c r="J1013" s="383"/>
      <c r="K1013" s="383"/>
      <c r="L1013" s="390"/>
      <c r="M1013" s="978"/>
      <c r="N1013" s="1019"/>
      <c r="O1013" s="1019"/>
      <c r="P1013" s="79" t="str">
        <f>IF(AND('331-CT'!$E$7=TH!H1013,OR(N1013="331",O1013="331")),"x","")</f>
        <v/>
      </c>
      <c r="Q1013" s="79" t="str">
        <f>IF(AND(B1013='111'!$L$11,OR($N1013=$Q$7,$O1013=$Q$7)),"x","")</f>
        <v/>
      </c>
      <c r="R1013" s="79" t="str">
        <f>IF(AND($N1013=$Q$7,$B1013&lt;'111'!$L$11),"x","")</f>
        <v/>
      </c>
      <c r="S1013" s="79" t="str">
        <f>IF(AND($O1013=$Q$7,$B1013&lt;'111'!$L$11),"x","")</f>
        <v/>
      </c>
      <c r="T1013" s="79" t="str">
        <f>IF(ISERROR(FIND('112'!$M$9,G1013,1)),"",IF((AND(FIND('112'!$M$9,G1013,1)&gt;=1,B1013='112'!$K$9,OR($N1013='112'!$I$6,$O1013='112'!$I$6))),"x",""))</f>
        <v/>
      </c>
      <c r="U1013" s="79" t="str">
        <f>IF(ISERROR(FIND('112'!$M$9,G1013,1)),"",IF((AND(LEFT(G1013,2)=LEFT('112'!$M$9,2),B1013&lt;'112'!$K$9,$N1013='112'!$I$6)),"x",""))</f>
        <v/>
      </c>
      <c r="V1013" s="79" t="str">
        <f>IF(ISERROR(FIND('112'!$M$9,G1013,1)),"",IF((AND(RIGHT(G1013,2)=RIGHT('112'!$M$9,2),B1013&lt;'112'!$K$9,$O1013='112'!$I$6)),"x",""))</f>
        <v/>
      </c>
      <c r="W1013" s="79" t="str">
        <f>IF(AND('341-CT'!$H$9=H1013,OR(LEFT(N1013,3)=$W$7,LEFT(O1013,3)=$W$7)),"x","")</f>
        <v/>
      </c>
      <c r="X1013" s="79" t="str">
        <f>IF(OR(TH!N1013=TH!$X$7,O1013=TH!$X$7),"x","")</f>
        <v/>
      </c>
      <c r="Y1013" s="79" t="str">
        <f>IF(AND(OR(N1013="131",O1013="131"),H1013='131-CT'!$H$9),"x","")</f>
        <v/>
      </c>
      <c r="Z1013" s="79"/>
      <c r="AA1013" s="79" t="str">
        <f>IF(AND(MONTH(E1013)='IN-NX'!$J$5,'IN-NX'!$D$7=D1013),"x","")</f>
        <v/>
      </c>
      <c r="AB1013" s="79" t="str">
        <f>IF(AND(OR(LEFT(TH!N1013,2)="15",LEFT(TH!O1013,2)="15"),LEFT(TH!O1013,3)&lt;&gt;"111",'152-CT'!$J$8=TH!F1013),"x","")</f>
        <v/>
      </c>
      <c r="AC1013" s="79" t="str">
        <f>IF(AND(OR(LEFT(TH!N1013,2)="15",LEFT(TH!O1013,2)="15"),TK!$E$7=TH!F1013),"x","")</f>
        <v/>
      </c>
      <c r="AD1013" s="79" t="str">
        <f>IF(AND(N1013="1521",MONTH(C1013)='BK-NL'!$M$11),"x","")</f>
        <v/>
      </c>
    </row>
    <row r="1014" spans="1:30" ht="16.5" customHeight="1">
      <c r="A1014" s="318" t="str">
        <f>IF(B1014&lt;&gt;"",IF(AND(B1014='IN-TC'!$S$4,OR(TH!N1014="1111",TH!O1014="1111")),TH!D1014,""),"")</f>
        <v/>
      </c>
      <c r="B1014" s="60" t="str">
        <f t="shared" ref="B1014:B1015" si="160">IF(C1014&lt;&gt;"",MONTH(C1014),"")</f>
        <v/>
      </c>
      <c r="C1014" s="261"/>
      <c r="D1014" s="261"/>
      <c r="E1014" s="261"/>
      <c r="F1014" s="1103"/>
      <c r="G1014" s="1104"/>
      <c r="H1014" s="77"/>
      <c r="I1014" s="383"/>
      <c r="J1014" s="383"/>
      <c r="K1014" s="383"/>
      <c r="L1014" s="390"/>
      <c r="M1014" s="383"/>
      <c r="N1014" s="1019"/>
      <c r="O1014" s="1019"/>
      <c r="P1014" s="79" t="str">
        <f>IF(AND('331-CT'!$E$7=TH!H1014,OR(N1014="331",O1014="331")),"x","")</f>
        <v/>
      </c>
      <c r="Q1014" s="79" t="str">
        <f>IF(AND(B1014='111'!$L$11,OR($N1014=$Q$7,$O1014=$Q$7)),"x","")</f>
        <v/>
      </c>
      <c r="R1014" s="79" t="str">
        <f>IF(AND($N1014=$Q$7,$B1014&lt;'111'!$L$11),"x","")</f>
        <v/>
      </c>
      <c r="S1014" s="79" t="str">
        <f>IF(AND($O1014=$Q$7,$B1014&lt;'111'!$L$11),"x","")</f>
        <v/>
      </c>
      <c r="T1014" s="79" t="str">
        <f>IF(ISERROR(FIND('112'!$M$9,G1014,1)),"",IF((AND(FIND('112'!$M$9,G1014,1)&gt;=1,B1014='112'!$K$9,OR($N1014='112'!$I$6,$O1014='112'!$I$6))),"x",""))</f>
        <v/>
      </c>
      <c r="U1014" s="79" t="str">
        <f>IF(ISERROR(FIND('112'!$M$9,G1014,1)),"",IF((AND(LEFT(G1014,2)=LEFT('112'!$M$9,2),B1014&lt;'112'!$K$9,$N1014='112'!$I$6)),"x",""))</f>
        <v/>
      </c>
      <c r="V1014" s="79" t="str">
        <f>IF(ISERROR(FIND('112'!$M$9,G1014,1)),"",IF((AND(RIGHT(G1014,2)=RIGHT('112'!$M$9,2),B1014&lt;'112'!$K$9,$O1014='112'!$I$6)),"x",""))</f>
        <v/>
      </c>
      <c r="W1014" s="79" t="str">
        <f>IF(AND('341-CT'!$H$9=H1014,OR(LEFT(N1014,3)=$W$7,LEFT(O1014,3)=$W$7)),"x","")</f>
        <v/>
      </c>
      <c r="X1014" s="79" t="str">
        <f>IF(OR(TH!N1014=TH!$X$7,O1014=TH!$X$7),"x","")</f>
        <v/>
      </c>
      <c r="Y1014" s="79" t="str">
        <f>IF(AND(OR(N1014="131",O1014="131"),H1014='131-CT'!$H$9),"x","")</f>
        <v/>
      </c>
      <c r="Z1014" s="79"/>
      <c r="AA1014" s="79" t="str">
        <f>IF(AND(MONTH(E1014)='IN-NX'!$J$5,'IN-NX'!$D$7=D1014),"x","")</f>
        <v/>
      </c>
      <c r="AB1014" s="79" t="str">
        <f>IF(AND(OR(LEFT(TH!N1014,2)="15",LEFT(TH!O1014,2)="15"),LEFT(TH!O1014,3)&lt;&gt;"111",'152-CT'!$J$8=TH!F1014),"x","")</f>
        <v/>
      </c>
      <c r="AC1014" s="79" t="str">
        <f>IF(AND(OR(LEFT(TH!N1014,2)="15",LEFT(TH!O1014,2)="15"),TK!$E$7=TH!F1014),"x","")</f>
        <v/>
      </c>
      <c r="AD1014" s="79" t="str">
        <f>IF(AND(N1014="1521",MONTH(C1014)='BK-NL'!$M$11),"x","")</f>
        <v/>
      </c>
    </row>
    <row r="1015" spans="1:30" ht="16.5" customHeight="1">
      <c r="A1015" s="318" t="str">
        <f>IF(B1015&lt;&gt;"",IF(AND(B1015='IN-TC'!$S$4,OR(TH!N1015="1111",TH!O1015="1111")),TH!D1015,""),"")</f>
        <v/>
      </c>
      <c r="B1015" s="60" t="str">
        <f t="shared" si="160"/>
        <v/>
      </c>
      <c r="C1015" s="261"/>
      <c r="D1015" s="261"/>
      <c r="E1015" s="261"/>
      <c r="F1015" s="1103"/>
      <c r="G1015" s="1104"/>
      <c r="H1015" s="77"/>
      <c r="I1015" s="383"/>
      <c r="J1015" s="383"/>
      <c r="K1015" s="383"/>
      <c r="L1015" s="390"/>
      <c r="M1015" s="390"/>
      <c r="N1015" s="1019"/>
      <c r="O1015" s="1019"/>
      <c r="P1015" s="79" t="str">
        <f>IF(AND('331-CT'!$E$7=TH!H1015,OR(N1015="331",O1015="331")),"x","")</f>
        <v/>
      </c>
      <c r="Q1015" s="79" t="str">
        <f>IF(AND(B1015='111'!$L$11,OR($N1015=$Q$7,$O1015=$Q$7)),"x","")</f>
        <v/>
      </c>
      <c r="R1015" s="79" t="str">
        <f>IF(AND($N1015=$Q$7,$B1015&lt;'111'!$L$11),"x","")</f>
        <v/>
      </c>
      <c r="S1015" s="79" t="str">
        <f>IF(AND($O1015=$Q$7,$B1015&lt;'111'!$L$11),"x","")</f>
        <v/>
      </c>
      <c r="T1015" s="79" t="str">
        <f>IF(ISERROR(FIND('112'!$M$9,G1015,1)),"",IF((AND(FIND('112'!$M$9,G1015,1)&gt;=1,B1015='112'!$K$9,OR($N1015='112'!$I$6,$O1015='112'!$I$6))),"x",""))</f>
        <v/>
      </c>
      <c r="U1015" s="79" t="str">
        <f>IF(ISERROR(FIND('112'!$M$9,G1015,1)),"",IF((AND(LEFT(G1015,2)=LEFT('112'!$M$9,2),B1015&lt;'112'!$K$9,$N1015='112'!$I$6)),"x",""))</f>
        <v/>
      </c>
      <c r="V1015" s="79" t="str">
        <f>IF(ISERROR(FIND('112'!$M$9,G1015,1)),"",IF((AND(RIGHT(G1015,2)=RIGHT('112'!$M$9,2),B1015&lt;'112'!$K$9,$O1015='112'!$I$6)),"x",""))</f>
        <v/>
      </c>
      <c r="W1015" s="79" t="str">
        <f>IF(AND('341-CT'!$H$9=H1015,OR(LEFT(N1015,3)=$W$7,LEFT(O1015,3)=$W$7)),"x","")</f>
        <v/>
      </c>
      <c r="X1015" s="79" t="str">
        <f>IF(OR(TH!N1015=TH!$X$7,O1015=TH!$X$7),"x","")</f>
        <v/>
      </c>
      <c r="Y1015" s="79" t="str">
        <f>IF(AND(OR(N1015="131",O1015="131"),H1015='131-CT'!$H$9),"x","")</f>
        <v/>
      </c>
      <c r="Z1015" s="79"/>
      <c r="AA1015" s="79" t="str">
        <f>IF(AND(MONTH(E1015)='IN-NX'!$J$5,'IN-NX'!$D$7=D1015),"x","")</f>
        <v/>
      </c>
      <c r="AB1015" s="79" t="str">
        <f>IF(AND(OR(LEFT(TH!N1015,2)="15",LEFT(TH!O1015,2)="15"),LEFT(TH!O1015,3)&lt;&gt;"111",'152-CT'!$J$8=TH!F1015),"x","")</f>
        <v/>
      </c>
      <c r="AC1015" s="79" t="str">
        <f>IF(AND(OR(LEFT(TH!N1015,2)="15",LEFT(TH!O1015,2)="15"),TK!$E$7=TH!F1015),"x","")</f>
        <v/>
      </c>
      <c r="AD1015" s="79" t="str">
        <f>IF(AND(N1015="1521",MONTH(C1015)='BK-NL'!$M$11),"x","")</f>
        <v/>
      </c>
    </row>
    <row r="1016" spans="1:30" s="1102" customFormat="1" ht="16.5" customHeight="1">
      <c r="A1016" s="318" t="str">
        <f>IF(B1016&lt;&gt;"",IF(AND(B1016='IN-TC'!$S$4,OR(TH!N1016="1111",TH!O1016="1111")),TH!D1016,""),"")</f>
        <v/>
      </c>
      <c r="B1016" s="60" t="str">
        <f t="shared" ref="B1016" si="161">IF(C1016&lt;&gt;"",MONTH(C1016),"")</f>
        <v/>
      </c>
      <c r="C1016" s="981"/>
      <c r="D1016" s="981"/>
      <c r="E1016" s="981"/>
      <c r="F1016" s="1008"/>
      <c r="G1016" s="987"/>
      <c r="H1016" s="997"/>
      <c r="I1016" s="984"/>
      <c r="J1016" s="984"/>
      <c r="K1016" s="984"/>
      <c r="L1016" s="983"/>
      <c r="M1016" s="985"/>
      <c r="N1016" s="986"/>
      <c r="O1016" s="986"/>
      <c r="P1016" s="79" t="str">
        <f>IF(AND('331-CT'!$E$7=TH!H1016,OR(N1016="331",O1016="331")),"x","")</f>
        <v/>
      </c>
      <c r="Q1016" s="79" t="str">
        <f>IF(AND(B1016='111'!$L$11,OR($N1016=$Q$7,$O1016=$Q$7)),"x","")</f>
        <v/>
      </c>
      <c r="R1016" s="79" t="str">
        <f>IF(AND($N1016=$Q$7,$B1016&lt;'111'!$L$11),"x","")</f>
        <v/>
      </c>
      <c r="S1016" s="79" t="str">
        <f>IF(AND($O1016=$Q$7,$B1016&lt;'111'!$L$11),"x","")</f>
        <v/>
      </c>
      <c r="T1016" s="79" t="str">
        <f>IF(ISERROR(FIND('112'!$M$9,G1016,1)),"",IF((AND(FIND('112'!$M$9,G1016,1)&gt;=1,B1016='112'!$K$9,OR($N1016='112'!$I$6,$O1016='112'!$I$6))),"x",""))</f>
        <v/>
      </c>
      <c r="U1016" s="79" t="str">
        <f>IF(ISERROR(FIND('112'!$M$9,G1016,1)),"",IF((AND(LEFT(G1016,2)=LEFT('112'!$M$9,2),B1016&lt;'112'!$K$9,$N1016='112'!$I$6)),"x",""))</f>
        <v/>
      </c>
      <c r="V1016" s="79" t="str">
        <f>IF(ISERROR(FIND('112'!$M$9,G1016,1)),"",IF((AND(RIGHT(G1016,2)=RIGHT('112'!$M$9,2),B1016&lt;'112'!$K$9,$O1016='112'!$I$6)),"x",""))</f>
        <v/>
      </c>
      <c r="W1016" s="79" t="str">
        <f>IF(AND('341-CT'!$H$9=H1016,OR(LEFT(N1016,3)=$W$7,LEFT(O1016,3)=$W$7)),"x","")</f>
        <v/>
      </c>
      <c r="X1016" s="79" t="str">
        <f>IF(OR(TH!N1016=TH!$X$7,O1016=TH!$X$7),"x","")</f>
        <v/>
      </c>
      <c r="Y1016" s="79" t="str">
        <f>IF(AND(OR(N1016="131",O1016="131"),H1016='131-CT'!$H$9),"x","")</f>
        <v/>
      </c>
      <c r="Z1016" s="79"/>
      <c r="AA1016" s="79" t="str">
        <f>IF(AND(MONTH(E1016)='IN-NX'!$J$5,'IN-NX'!$D$7=D1016),"x","")</f>
        <v/>
      </c>
      <c r="AB1016" s="79" t="str">
        <f>IF(AND(OR(LEFT(TH!N1016,2)="15",LEFT(TH!O1016,2)="15"),LEFT(TH!O1016,3)&lt;&gt;"111",'152-CT'!$J$8=TH!F1016),"x","")</f>
        <v/>
      </c>
      <c r="AC1016" s="79" t="str">
        <f>IF(AND(OR(LEFT(TH!N1016,2)="15",LEFT(TH!O1016,2)="15"),TK!$E$7=TH!F1016),"x","")</f>
        <v/>
      </c>
      <c r="AD1016" s="79" t="str">
        <f>IF(AND(N1016="1521",MONTH(C1016)='BK-NL'!$M$11),"x","")</f>
        <v/>
      </c>
    </row>
    <row r="1017" spans="1:30" ht="16.5" customHeight="1">
      <c r="A1017" s="318" t="str">
        <f>IF(B1017&lt;&gt;"",IF(AND(B1017='IN-TC'!$S$4,OR(TH!N1017="1111",TH!O1017="1111")),TH!D1017,""),"")</f>
        <v/>
      </c>
      <c r="B1017" s="60" t="str">
        <f>IF(C1017&lt;&gt;"",MONTH(C1017),"")</f>
        <v/>
      </c>
      <c r="C1017" s="261"/>
      <c r="D1017" s="261"/>
      <c r="E1017" s="261"/>
      <c r="F1017" s="1103"/>
      <c r="G1017" s="1104"/>
      <c r="H1017" s="759"/>
      <c r="I1017" s="383"/>
      <c r="J1017" s="383"/>
      <c r="K1017" s="383"/>
      <c r="L1017" s="390"/>
      <c r="M1017" s="978"/>
      <c r="N1017" s="1019"/>
      <c r="O1017" s="1019"/>
      <c r="P1017" s="79" t="str">
        <f>IF(AND('331-CT'!$E$7=TH!H1017,OR(N1017="331",O1017="331")),"x","")</f>
        <v/>
      </c>
      <c r="Q1017" s="79" t="str">
        <f>IF(AND(B1017='111'!$L$11,OR($N1017=$Q$7,$O1017=$Q$7)),"x","")</f>
        <v/>
      </c>
      <c r="R1017" s="79" t="str">
        <f>IF(AND($N1017=$Q$7,$B1017&lt;'111'!$L$11),"x","")</f>
        <v/>
      </c>
      <c r="S1017" s="79" t="str">
        <f>IF(AND($O1017=$Q$7,$B1017&lt;'111'!$L$11),"x","")</f>
        <v/>
      </c>
      <c r="T1017" s="79" t="str">
        <f>IF(ISERROR(FIND('112'!$M$9,G1017,1)),"",IF((AND(FIND('112'!$M$9,G1017,1)&gt;=1,B1017='112'!$K$9,OR($N1017='112'!$I$6,$O1017='112'!$I$6))),"x",""))</f>
        <v/>
      </c>
      <c r="U1017" s="79" t="str">
        <f>IF(ISERROR(FIND('112'!$M$9,G1017,1)),"",IF((AND(LEFT(G1017,2)=LEFT('112'!$M$9,2),B1017&lt;'112'!$K$9,$N1017='112'!$I$6)),"x",""))</f>
        <v/>
      </c>
      <c r="V1017" s="79" t="str">
        <f>IF(ISERROR(FIND('112'!$M$9,G1017,1)),"",IF((AND(RIGHT(G1017,2)=RIGHT('112'!$M$9,2),B1017&lt;'112'!$K$9,$O1017='112'!$I$6)),"x",""))</f>
        <v/>
      </c>
      <c r="W1017" s="79" t="str">
        <f>IF(AND('341-CT'!$H$9=H1017,OR(LEFT(N1017,3)=$W$7,LEFT(O1017,3)=$W$7)),"x","")</f>
        <v/>
      </c>
      <c r="X1017" s="79" t="str">
        <f>IF(OR(TH!N1017=TH!$X$7,O1017=TH!$X$7),"x","")</f>
        <v/>
      </c>
      <c r="Y1017" s="79" t="str">
        <f>IF(AND(OR(N1017="131",O1017="131"),H1017='131-CT'!$H$9),"x","")</f>
        <v/>
      </c>
      <c r="Z1017" s="79"/>
      <c r="AA1017" s="79" t="str">
        <f>IF(AND(MONTH(E1017)='IN-NX'!$J$5,'IN-NX'!$D$7=D1017),"x","")</f>
        <v/>
      </c>
      <c r="AB1017" s="79" t="str">
        <f>IF(AND(OR(LEFT(TH!N1017,2)="15",LEFT(TH!O1017,2)="15"),LEFT(TH!O1017,3)&lt;&gt;"111",'152-CT'!$J$8=TH!F1017),"x","")</f>
        <v/>
      </c>
      <c r="AC1017" s="79" t="str">
        <f>IF(AND(OR(LEFT(TH!N1017,2)="15",LEFT(TH!O1017,2)="15"),TK!$E$7=TH!F1017),"x","")</f>
        <v/>
      </c>
      <c r="AD1017" s="79" t="str">
        <f>IF(AND(N1017="1521",MONTH(C1017)='BK-NL'!$M$11),"x","")</f>
        <v/>
      </c>
    </row>
    <row r="1018" spans="1:30" ht="16.5" customHeight="1">
      <c r="A1018" s="318" t="str">
        <f>IF(B1018&lt;&gt;"",IF(AND(B1018='IN-TC'!$S$4,OR(TH!N1018="1111",TH!O1018="1111")),TH!D1018,""),"")</f>
        <v/>
      </c>
      <c r="B1018" s="60" t="str">
        <f t="shared" ref="B1018:B1032" si="162">IF(C1018&lt;&gt;"",MONTH(C1018),"")</f>
        <v/>
      </c>
      <c r="C1018" s="261"/>
      <c r="D1018" s="261"/>
      <c r="E1018" s="261"/>
      <c r="F1018" s="1103"/>
      <c r="G1018" s="1104"/>
      <c r="H1018" s="759"/>
      <c r="I1018" s="383"/>
      <c r="J1018" s="383"/>
      <c r="K1018" s="383"/>
      <c r="L1018" s="390"/>
      <c r="M1018" s="978"/>
      <c r="N1018" s="1019"/>
      <c r="O1018" s="1019"/>
      <c r="P1018" s="79" t="str">
        <f>IF(AND('331-CT'!$E$7=TH!H1018,OR(N1018="331",O1018="331")),"x","")</f>
        <v/>
      </c>
      <c r="Q1018" s="79" t="str">
        <f>IF(AND(B1018='111'!$L$11,OR($N1018=$Q$7,$O1018=$Q$7)),"x","")</f>
        <v/>
      </c>
      <c r="R1018" s="79" t="str">
        <f>IF(AND($N1018=$Q$7,$B1018&lt;'111'!$L$11),"x","")</f>
        <v/>
      </c>
      <c r="S1018" s="79" t="str">
        <f>IF(AND($O1018=$Q$7,$B1018&lt;'111'!$L$11),"x","")</f>
        <v/>
      </c>
      <c r="T1018" s="79" t="str">
        <f>IF(ISERROR(FIND('112'!$M$9,G1018,1)),"",IF((AND(FIND('112'!$M$9,G1018,1)&gt;=1,B1018='112'!$K$9,OR($N1018='112'!$I$6,$O1018='112'!$I$6))),"x",""))</f>
        <v/>
      </c>
      <c r="U1018" s="79" t="str">
        <f>IF(ISERROR(FIND('112'!$M$9,G1018,1)),"",IF((AND(LEFT(G1018,2)=LEFT('112'!$M$9,2),B1018&lt;'112'!$K$9,$N1018='112'!$I$6)),"x",""))</f>
        <v/>
      </c>
      <c r="V1018" s="79" t="str">
        <f>IF(ISERROR(FIND('112'!$M$9,G1018,1)),"",IF((AND(RIGHT(G1018,2)=RIGHT('112'!$M$9,2),B1018&lt;'112'!$K$9,$O1018='112'!$I$6)),"x",""))</f>
        <v/>
      </c>
      <c r="W1018" s="79" t="str">
        <f>IF(AND('341-CT'!$H$9=H1018,OR(LEFT(N1018,3)=$W$7,LEFT(O1018,3)=$W$7)),"x","")</f>
        <v/>
      </c>
      <c r="X1018" s="79" t="str">
        <f>IF(OR(TH!N1018=TH!$X$7,O1018=TH!$X$7),"x","")</f>
        <v/>
      </c>
      <c r="Y1018" s="79" t="str">
        <f>IF(AND(OR(N1018="131",O1018="131"),H1018='131-CT'!$H$9),"x","")</f>
        <v/>
      </c>
      <c r="Z1018" s="79"/>
      <c r="AA1018" s="79" t="str">
        <f>IF(AND(MONTH(E1018)='IN-NX'!$J$5,'IN-NX'!$D$7=D1018),"x","")</f>
        <v/>
      </c>
      <c r="AB1018" s="79" t="str">
        <f>IF(AND(OR(LEFT(TH!N1018,2)="15",LEFT(TH!O1018,2)="15"),LEFT(TH!O1018,3)&lt;&gt;"111",'152-CT'!$J$8=TH!F1018),"x","")</f>
        <v/>
      </c>
      <c r="AC1018" s="79" t="str">
        <f>IF(AND(OR(LEFT(TH!N1018,2)="15",LEFT(TH!O1018,2)="15"),TK!$E$7=TH!F1018),"x","")</f>
        <v/>
      </c>
      <c r="AD1018" s="79" t="str">
        <f>IF(AND(N1018="1521",MONTH(C1018)='BK-NL'!$M$11),"x","")</f>
        <v/>
      </c>
    </row>
    <row r="1019" spans="1:30" ht="16.5" customHeight="1">
      <c r="A1019" s="318" t="str">
        <f>IF(B1019&lt;&gt;"",IF(AND(B1019='IN-TC'!$S$4,OR(TH!N1019="1111",TH!O1019="1111")),TH!D1019,""),"")</f>
        <v/>
      </c>
      <c r="B1019" s="60" t="str">
        <f t="shared" si="162"/>
        <v/>
      </c>
      <c r="C1019" s="261"/>
      <c r="D1019" s="261"/>
      <c r="E1019" s="261"/>
      <c r="F1019" s="1103"/>
      <c r="G1019" s="1104"/>
      <c r="H1019" s="759"/>
      <c r="I1019" s="383"/>
      <c r="J1019" s="383"/>
      <c r="K1019" s="383"/>
      <c r="L1019" s="390"/>
      <c r="M1019" s="978"/>
      <c r="N1019" s="1019"/>
      <c r="O1019" s="1019"/>
      <c r="P1019" s="79" t="str">
        <f>IF(AND('331-CT'!$E$7=TH!H1019,OR(N1019="331",O1019="331")),"x","")</f>
        <v/>
      </c>
      <c r="Q1019" s="79" t="str">
        <f>IF(AND(B1019='111'!$L$11,OR($N1019=$Q$7,$O1019=$Q$7)),"x","")</f>
        <v/>
      </c>
      <c r="R1019" s="79" t="str">
        <f>IF(AND($N1019=$Q$7,$B1019&lt;'111'!$L$11),"x","")</f>
        <v/>
      </c>
      <c r="S1019" s="79" t="str">
        <f>IF(AND($O1019=$Q$7,$B1019&lt;'111'!$L$11),"x","")</f>
        <v/>
      </c>
      <c r="T1019" s="79" t="str">
        <f>IF(ISERROR(FIND('112'!$M$9,G1019,1)),"",IF((AND(FIND('112'!$M$9,G1019,1)&gt;=1,B1019='112'!$K$9,OR($N1019='112'!$I$6,$O1019='112'!$I$6))),"x",""))</f>
        <v/>
      </c>
      <c r="U1019" s="79" t="str">
        <f>IF(ISERROR(FIND('112'!$M$9,G1019,1)),"",IF((AND(LEFT(G1019,2)=LEFT('112'!$M$9,2),B1019&lt;'112'!$K$9,$N1019='112'!$I$6)),"x",""))</f>
        <v/>
      </c>
      <c r="V1019" s="79" t="str">
        <f>IF(ISERROR(FIND('112'!$M$9,G1019,1)),"",IF((AND(RIGHT(G1019,2)=RIGHT('112'!$M$9,2),B1019&lt;'112'!$K$9,$O1019='112'!$I$6)),"x",""))</f>
        <v/>
      </c>
      <c r="W1019" s="79" t="str">
        <f>IF(AND('341-CT'!$H$9=H1019,OR(LEFT(N1019,3)=$W$7,LEFT(O1019,3)=$W$7)),"x","")</f>
        <v/>
      </c>
      <c r="X1019" s="79" t="str">
        <f>IF(OR(TH!N1019=TH!$X$7,O1019=TH!$X$7),"x","")</f>
        <v/>
      </c>
      <c r="Y1019" s="79" t="str">
        <f>IF(AND(OR(N1019="131",O1019="131"),H1019='131-CT'!$H$9),"x","")</f>
        <v/>
      </c>
      <c r="Z1019" s="79"/>
      <c r="AA1019" s="79" t="str">
        <f>IF(AND(MONTH(E1019)='IN-NX'!$J$5,'IN-NX'!$D$7=D1019),"x","")</f>
        <v/>
      </c>
      <c r="AB1019" s="79" t="str">
        <f>IF(AND(OR(LEFT(TH!N1019,2)="15",LEFT(TH!O1019,2)="15"),LEFT(TH!O1019,3)&lt;&gt;"111",'152-CT'!$J$8=TH!F1019),"x","")</f>
        <v/>
      </c>
      <c r="AC1019" s="79" t="str">
        <f>IF(AND(OR(LEFT(TH!N1019,2)="15",LEFT(TH!O1019,2)="15"),TK!$E$7=TH!F1019),"x","")</f>
        <v/>
      </c>
      <c r="AD1019" s="79" t="str">
        <f>IF(AND(N1019="1521",MONTH(C1019)='BK-NL'!$M$11),"x","")</f>
        <v/>
      </c>
    </row>
    <row r="1020" spans="1:30" ht="16.5" customHeight="1">
      <c r="A1020" s="318" t="str">
        <f>IF(B1020&lt;&gt;"",IF(AND(B1020='IN-TC'!$S$4,OR(TH!N1020="1111",TH!O1020="1111")),TH!D1020,""),"")</f>
        <v/>
      </c>
      <c r="B1020" s="60" t="str">
        <f t="shared" si="162"/>
        <v/>
      </c>
      <c r="C1020" s="261"/>
      <c r="D1020" s="261"/>
      <c r="E1020" s="261"/>
      <c r="F1020" s="1103"/>
      <c r="G1020" s="1104"/>
      <c r="H1020" s="759"/>
      <c r="I1020" s="383"/>
      <c r="J1020" s="383"/>
      <c r="K1020" s="383"/>
      <c r="L1020" s="390"/>
      <c r="M1020" s="978"/>
      <c r="N1020" s="1019"/>
      <c r="O1020" s="1019"/>
      <c r="P1020" s="79" t="str">
        <f>IF(AND('331-CT'!$E$7=TH!H1020,OR(N1020="331",O1020="331")),"x","")</f>
        <v/>
      </c>
      <c r="Q1020" s="79" t="str">
        <f>IF(AND(B1020='111'!$L$11,OR($N1020=$Q$7,$O1020=$Q$7)),"x","")</f>
        <v/>
      </c>
      <c r="R1020" s="79" t="str">
        <f>IF(AND($N1020=$Q$7,$B1020&lt;'111'!$L$11),"x","")</f>
        <v/>
      </c>
      <c r="S1020" s="79" t="str">
        <f>IF(AND($O1020=$Q$7,$B1020&lt;'111'!$L$11),"x","")</f>
        <v/>
      </c>
      <c r="T1020" s="79" t="str">
        <f>IF(ISERROR(FIND('112'!$M$9,G1020,1)),"",IF((AND(FIND('112'!$M$9,G1020,1)&gt;=1,B1020='112'!$K$9,OR($N1020='112'!$I$6,$O1020='112'!$I$6))),"x",""))</f>
        <v/>
      </c>
      <c r="U1020" s="79" t="str">
        <f>IF(ISERROR(FIND('112'!$M$9,G1020,1)),"",IF((AND(LEFT(G1020,2)=LEFT('112'!$M$9,2),B1020&lt;'112'!$K$9,$N1020='112'!$I$6)),"x",""))</f>
        <v/>
      </c>
      <c r="V1020" s="79" t="str">
        <f>IF(ISERROR(FIND('112'!$M$9,G1020,1)),"",IF((AND(RIGHT(G1020,2)=RIGHT('112'!$M$9,2),B1020&lt;'112'!$K$9,$O1020='112'!$I$6)),"x",""))</f>
        <v/>
      </c>
      <c r="W1020" s="79" t="str">
        <f>IF(AND('341-CT'!$H$9=H1020,OR(LEFT(N1020,3)=$W$7,LEFT(O1020,3)=$W$7)),"x","")</f>
        <v/>
      </c>
      <c r="X1020" s="79" t="str">
        <f>IF(OR(TH!N1020=TH!$X$7,O1020=TH!$X$7),"x","")</f>
        <v/>
      </c>
      <c r="Y1020" s="79" t="str">
        <f>IF(AND(OR(N1020="131",O1020="131"),H1020='131-CT'!$H$9),"x","")</f>
        <v/>
      </c>
      <c r="Z1020" s="79"/>
      <c r="AA1020" s="79" t="str">
        <f>IF(AND(MONTH(E1020)='IN-NX'!$J$5,'IN-NX'!$D$7=D1020),"x","")</f>
        <v/>
      </c>
      <c r="AB1020" s="79" t="str">
        <f>IF(AND(OR(LEFT(TH!N1020,2)="15",LEFT(TH!O1020,2)="15"),LEFT(TH!O1020,3)&lt;&gt;"111",'152-CT'!$J$8=TH!F1020),"x","")</f>
        <v/>
      </c>
      <c r="AC1020" s="79" t="str">
        <f>IF(AND(OR(LEFT(TH!N1020,2)="15",LEFT(TH!O1020,2)="15"),TK!$E$7=TH!F1020),"x","")</f>
        <v/>
      </c>
      <c r="AD1020" s="79" t="str">
        <f>IF(AND(N1020="1521",MONTH(C1020)='BK-NL'!$M$11),"x","")</f>
        <v/>
      </c>
    </row>
    <row r="1021" spans="1:30" ht="16.5" customHeight="1">
      <c r="A1021" s="318" t="str">
        <f>IF(B1021&lt;&gt;"",IF(AND(B1021='IN-TC'!$S$4,OR(TH!N1021="1111",TH!O1021="1111")),TH!D1021,""),"")</f>
        <v/>
      </c>
      <c r="B1021" s="60" t="str">
        <f t="shared" si="162"/>
        <v/>
      </c>
      <c r="C1021" s="261"/>
      <c r="D1021" s="261"/>
      <c r="E1021" s="261"/>
      <c r="F1021" s="1103"/>
      <c r="G1021" s="1104"/>
      <c r="H1021" s="759"/>
      <c r="I1021" s="383"/>
      <c r="J1021" s="383"/>
      <c r="K1021" s="383"/>
      <c r="L1021" s="390"/>
      <c r="M1021" s="978"/>
      <c r="N1021" s="1019"/>
      <c r="O1021" s="1019"/>
      <c r="P1021" s="79" t="str">
        <f>IF(AND('331-CT'!$E$7=TH!H1021,OR(N1021="331",O1021="331")),"x","")</f>
        <v/>
      </c>
      <c r="Q1021" s="79" t="str">
        <f>IF(AND(B1021='111'!$L$11,OR($N1021=$Q$7,$O1021=$Q$7)),"x","")</f>
        <v/>
      </c>
      <c r="R1021" s="79" t="str">
        <f>IF(AND($N1021=$Q$7,$B1021&lt;'111'!$L$11),"x","")</f>
        <v/>
      </c>
      <c r="S1021" s="79" t="str">
        <f>IF(AND($O1021=$Q$7,$B1021&lt;'111'!$L$11),"x","")</f>
        <v/>
      </c>
      <c r="T1021" s="79" t="str">
        <f>IF(ISERROR(FIND('112'!$M$9,G1021,1)),"",IF((AND(FIND('112'!$M$9,G1021,1)&gt;=1,B1021='112'!$K$9,OR($N1021='112'!$I$6,$O1021='112'!$I$6))),"x",""))</f>
        <v/>
      </c>
      <c r="U1021" s="79" t="str">
        <f>IF(ISERROR(FIND('112'!$M$9,G1021,1)),"",IF((AND(LEFT(G1021,2)=LEFT('112'!$M$9,2),B1021&lt;'112'!$K$9,$N1021='112'!$I$6)),"x",""))</f>
        <v/>
      </c>
      <c r="V1021" s="79" t="str">
        <f>IF(ISERROR(FIND('112'!$M$9,G1021,1)),"",IF((AND(RIGHT(G1021,2)=RIGHT('112'!$M$9,2),B1021&lt;'112'!$K$9,$O1021='112'!$I$6)),"x",""))</f>
        <v/>
      </c>
      <c r="W1021" s="79" t="str">
        <f>IF(AND('341-CT'!$H$9=H1021,OR(LEFT(N1021,3)=$W$7,LEFT(O1021,3)=$W$7)),"x","")</f>
        <v/>
      </c>
      <c r="X1021" s="79" t="str">
        <f>IF(OR(TH!N1021=TH!$X$7,O1021=TH!$X$7),"x","")</f>
        <v/>
      </c>
      <c r="Y1021" s="79" t="str">
        <f>IF(AND(OR(N1021="131",O1021="131"),H1021='131-CT'!$H$9),"x","")</f>
        <v/>
      </c>
      <c r="Z1021" s="79"/>
      <c r="AA1021" s="79" t="str">
        <f>IF(AND(MONTH(E1021)='IN-NX'!$J$5,'IN-NX'!$D$7=D1021),"x","")</f>
        <v/>
      </c>
      <c r="AB1021" s="79" t="str">
        <f>IF(AND(OR(LEFT(TH!N1021,2)="15",LEFT(TH!O1021,2)="15"),LEFT(TH!O1021,3)&lt;&gt;"111",'152-CT'!$J$8=TH!F1021),"x","")</f>
        <v/>
      </c>
      <c r="AC1021" s="79" t="str">
        <f>IF(AND(OR(LEFT(TH!N1021,2)="15",LEFT(TH!O1021,2)="15"),TK!$E$7=TH!F1021),"x","")</f>
        <v/>
      </c>
      <c r="AD1021" s="79" t="str">
        <f>IF(AND(N1021="1521",MONTH(C1021)='BK-NL'!$M$11),"x","")</f>
        <v/>
      </c>
    </row>
    <row r="1022" spans="1:30" ht="16.5" customHeight="1">
      <c r="A1022" s="318" t="str">
        <f>IF(B1022&lt;&gt;"",IF(AND(B1022='IN-TC'!$S$4,OR(TH!N1022="1111",TH!O1022="1111")),TH!D1022,""),"")</f>
        <v/>
      </c>
      <c r="B1022" s="60" t="str">
        <f t="shared" si="162"/>
        <v/>
      </c>
      <c r="C1022" s="261"/>
      <c r="D1022" s="261"/>
      <c r="E1022" s="261"/>
      <c r="F1022" s="1103"/>
      <c r="G1022" s="1104"/>
      <c r="H1022" s="759"/>
      <c r="I1022" s="383"/>
      <c r="J1022" s="383"/>
      <c r="K1022" s="383"/>
      <c r="L1022" s="390"/>
      <c r="M1022" s="978"/>
      <c r="N1022" s="1019"/>
      <c r="O1022" s="1019"/>
      <c r="P1022" s="79" t="str">
        <f>IF(AND('331-CT'!$E$7=TH!H1022,OR(N1022="331",O1022="331")),"x","")</f>
        <v/>
      </c>
      <c r="Q1022" s="79" t="str">
        <f>IF(AND(B1022='111'!$L$11,OR($N1022=$Q$7,$O1022=$Q$7)),"x","")</f>
        <v/>
      </c>
      <c r="R1022" s="79" t="str">
        <f>IF(AND($N1022=$Q$7,$B1022&lt;'111'!$L$11),"x","")</f>
        <v/>
      </c>
      <c r="S1022" s="79" t="str">
        <f>IF(AND($O1022=$Q$7,$B1022&lt;'111'!$L$11),"x","")</f>
        <v/>
      </c>
      <c r="T1022" s="79" t="str">
        <f>IF(ISERROR(FIND('112'!$M$9,G1022,1)),"",IF((AND(FIND('112'!$M$9,G1022,1)&gt;=1,B1022='112'!$K$9,OR($N1022='112'!$I$6,$O1022='112'!$I$6))),"x",""))</f>
        <v/>
      </c>
      <c r="U1022" s="79" t="str">
        <f>IF(ISERROR(FIND('112'!$M$9,G1022,1)),"",IF((AND(LEFT(G1022,2)=LEFT('112'!$M$9,2),B1022&lt;'112'!$K$9,$N1022='112'!$I$6)),"x",""))</f>
        <v/>
      </c>
      <c r="V1022" s="79" t="str">
        <f>IF(ISERROR(FIND('112'!$M$9,G1022,1)),"",IF((AND(RIGHT(G1022,2)=RIGHT('112'!$M$9,2),B1022&lt;'112'!$K$9,$O1022='112'!$I$6)),"x",""))</f>
        <v/>
      </c>
      <c r="W1022" s="79" t="str">
        <f>IF(AND('341-CT'!$H$9=H1022,OR(LEFT(N1022,3)=$W$7,LEFT(O1022,3)=$W$7)),"x","")</f>
        <v/>
      </c>
      <c r="X1022" s="79" t="str">
        <f>IF(OR(TH!N1022=TH!$X$7,O1022=TH!$X$7),"x","")</f>
        <v/>
      </c>
      <c r="Y1022" s="79" t="str">
        <f>IF(AND(OR(N1022="131",O1022="131"),H1022='131-CT'!$H$9),"x","")</f>
        <v/>
      </c>
      <c r="Z1022" s="79"/>
      <c r="AA1022" s="79" t="str">
        <f>IF(AND(MONTH(E1022)='IN-NX'!$J$5,'IN-NX'!$D$7=D1022),"x","")</f>
        <v/>
      </c>
      <c r="AB1022" s="79" t="str">
        <f>IF(AND(OR(LEFT(TH!N1022,2)="15",LEFT(TH!O1022,2)="15"),LEFT(TH!O1022,3)&lt;&gt;"111",'152-CT'!$J$8=TH!F1022),"x","")</f>
        <v/>
      </c>
      <c r="AC1022" s="79" t="str">
        <f>IF(AND(OR(LEFT(TH!N1022,2)="15",LEFT(TH!O1022,2)="15"),TK!$E$7=TH!F1022),"x","")</f>
        <v/>
      </c>
      <c r="AD1022" s="79" t="str">
        <f>IF(AND(N1022="1521",MONTH(C1022)='BK-NL'!$M$11),"x","")</f>
        <v/>
      </c>
    </row>
    <row r="1023" spans="1:30" ht="16.5" customHeight="1">
      <c r="A1023" s="318" t="str">
        <f>IF(B1023&lt;&gt;"",IF(AND(B1023='IN-TC'!$S$4,OR(TH!N1023="1111",TH!O1023="1111")),TH!D1023,""),"")</f>
        <v/>
      </c>
      <c r="B1023" s="60" t="str">
        <f t="shared" ref="B1023:B1025" si="163">IF(C1023&lt;&gt;"",MONTH(C1023),"")</f>
        <v/>
      </c>
      <c r="C1023" s="226"/>
      <c r="D1023" s="226"/>
      <c r="E1023" s="226"/>
      <c r="F1023" s="446"/>
      <c r="G1023" s="763"/>
      <c r="H1023" s="321"/>
      <c r="I1023" s="385"/>
      <c r="J1023" s="392"/>
      <c r="K1023" s="385"/>
      <c r="L1023" s="392"/>
      <c r="M1023" s="970"/>
      <c r="N1023" s="980"/>
      <c r="O1023" s="980"/>
      <c r="P1023" s="79" t="str">
        <f>IF(AND('331-CT'!$E$7=TH!H1023,OR(N1023="331",O1023="331")),"x","")</f>
        <v/>
      </c>
      <c r="Q1023" s="79" t="str">
        <f>IF(AND(B1023='111'!$L$11,OR($N1023=$Q$7,$O1023=$Q$7)),"x","")</f>
        <v/>
      </c>
      <c r="R1023" s="79" t="str">
        <f>IF(AND($N1023=$Q$7,$B1023&lt;'111'!$L$11),"x","")</f>
        <v/>
      </c>
      <c r="S1023" s="79" t="str">
        <f>IF(AND($O1023=$Q$7,$B1023&lt;'111'!$L$11),"x","")</f>
        <v/>
      </c>
      <c r="T1023" s="79" t="str">
        <f>IF(ISERROR(FIND('112'!$M$9,G1023,1)),"",IF((AND(FIND('112'!$M$9,G1023,1)&gt;=1,B1023='112'!$K$9,OR($N1023='112'!$I$6,$O1023='112'!$I$6))),"x",""))</f>
        <v/>
      </c>
      <c r="U1023" s="79" t="str">
        <f>IF(ISERROR(FIND('112'!$M$9,G1023,1)),"",IF((AND(LEFT(G1023,2)=LEFT('112'!$M$9,2),B1023&lt;'112'!$K$9,$N1023='112'!$I$6)),"x",""))</f>
        <v/>
      </c>
      <c r="V1023" s="79" t="str">
        <f>IF(ISERROR(FIND('112'!$M$9,G1023,1)),"",IF((AND(RIGHT(G1023,2)=RIGHT('112'!$M$9,2),B1023&lt;'112'!$K$9,$O1023='112'!$I$6)),"x",""))</f>
        <v/>
      </c>
      <c r="W1023" s="79" t="str">
        <f>IF(AND('341-CT'!$H$9=H1023,OR(LEFT(N1023,3)=$W$7,LEFT(O1023,3)=$W$7)),"x","")</f>
        <v/>
      </c>
      <c r="X1023" s="79" t="str">
        <f>IF(OR(TH!N1023=TH!$X$7,O1023=TH!$X$7),"x","")</f>
        <v/>
      </c>
      <c r="Y1023" s="79" t="str">
        <f>IF(AND(OR(N1023="131",O1023="131"),H1023='131-CT'!$H$9),"x","")</f>
        <v/>
      </c>
      <c r="Z1023" s="79"/>
      <c r="AA1023" s="79" t="str">
        <f>IF(AND(MONTH(E1023)='IN-NX'!$J$5,'IN-NX'!$D$7=D1023),"x","")</f>
        <v/>
      </c>
      <c r="AB1023" s="79" t="str">
        <f>IF(AND(OR(LEFT(TH!N1023,2)="15",LEFT(TH!O1023,2)="15"),LEFT(TH!O1023,3)&lt;&gt;"111",'152-CT'!$J$8=TH!F1023),"x","")</f>
        <v/>
      </c>
      <c r="AC1023" s="79" t="str">
        <f>IF(AND(OR(LEFT(TH!N1023,2)="15",LEFT(TH!O1023,2)="15"),TK!$E$7=TH!F1023),"x","")</f>
        <v/>
      </c>
      <c r="AD1023" s="79" t="str">
        <f>IF(AND(N1023="1521",MONTH(C1023)='BK-NL'!$M$11),"x","")</f>
        <v/>
      </c>
    </row>
    <row r="1024" spans="1:30" ht="16.5" customHeight="1">
      <c r="A1024" s="318" t="str">
        <f>IF(B1024&lt;&gt;"",IF(AND(B1024='IN-TC'!$S$4,OR(TH!N1024="1111",TH!O1024="1111")),TH!D1024,""),"")</f>
        <v/>
      </c>
      <c r="B1024" s="60" t="str">
        <f t="shared" si="163"/>
        <v/>
      </c>
      <c r="C1024" s="226"/>
      <c r="D1024" s="226"/>
      <c r="E1024" s="226"/>
      <c r="F1024" s="321"/>
      <c r="G1024" s="763"/>
      <c r="H1024" s="321"/>
      <c r="I1024" s="385"/>
      <c r="J1024" s="385"/>
      <c r="K1024" s="385"/>
      <c r="L1024" s="392"/>
      <c r="M1024" s="970"/>
      <c r="N1024" s="980"/>
      <c r="O1024" s="980"/>
      <c r="P1024" s="79" t="str">
        <f>IF(AND('331-CT'!$E$7=TH!H1024,OR(N1024="331",O1024="331")),"x","")</f>
        <v/>
      </c>
      <c r="Q1024" s="79" t="str">
        <f>IF(AND(B1024='111'!$L$11,OR($N1024=$Q$7,$O1024=$Q$7)),"x","")</f>
        <v/>
      </c>
      <c r="R1024" s="79" t="str">
        <f>IF(AND($N1024=$Q$7,$B1024&lt;'111'!$L$11),"x","")</f>
        <v/>
      </c>
      <c r="S1024" s="79" t="str">
        <f>IF(AND($O1024=$Q$7,$B1024&lt;'111'!$L$11),"x","")</f>
        <v/>
      </c>
      <c r="T1024" s="79" t="str">
        <f>IF(ISERROR(FIND('112'!$M$9,G1024,1)),"",IF((AND(FIND('112'!$M$9,G1024,1)&gt;=1,B1024='112'!$K$9,OR($N1024='112'!$I$6,$O1024='112'!$I$6))),"x",""))</f>
        <v/>
      </c>
      <c r="U1024" s="79" t="str">
        <f>IF(ISERROR(FIND('112'!$M$9,G1024,1)),"",IF((AND(LEFT(G1024,2)=LEFT('112'!$M$9,2),B1024&lt;'112'!$K$9,$N1024='112'!$I$6)),"x",""))</f>
        <v/>
      </c>
      <c r="V1024" s="79" t="str">
        <f>IF(ISERROR(FIND('112'!$M$9,G1024,1)),"",IF((AND(RIGHT(G1024,2)=RIGHT('112'!$M$9,2),B1024&lt;'112'!$K$9,$O1024='112'!$I$6)),"x",""))</f>
        <v/>
      </c>
      <c r="W1024" s="79" t="str">
        <f>IF(AND('341-CT'!$H$9=H1024,OR(LEFT(N1024,3)=$W$7,LEFT(O1024,3)=$W$7)),"x","")</f>
        <v/>
      </c>
      <c r="X1024" s="79" t="str">
        <f>IF(OR(TH!N1024=TH!$X$7,O1024=TH!$X$7),"x","")</f>
        <v/>
      </c>
      <c r="Y1024" s="79" t="str">
        <f>IF(AND(OR(N1024="131",O1024="131"),H1024='131-CT'!$H$9),"x","")</f>
        <v/>
      </c>
      <c r="Z1024" s="79"/>
      <c r="AA1024" s="79" t="str">
        <f>IF(AND(MONTH(E1024)='IN-NX'!$J$5,'IN-NX'!$D$7=D1024),"x","")</f>
        <v/>
      </c>
      <c r="AB1024" s="79" t="str">
        <f>IF(AND(OR(LEFT(TH!N1024,2)="15",LEFT(TH!O1024,2)="15"),LEFT(TH!O1024,3)&lt;&gt;"111",'152-CT'!$J$8=TH!F1024),"x","")</f>
        <v/>
      </c>
      <c r="AC1024" s="79" t="str">
        <f>IF(AND(OR(LEFT(TH!N1024,2)="15",LEFT(TH!O1024,2)="15"),TK!$E$7=TH!F1024),"x","")</f>
        <v/>
      </c>
      <c r="AD1024" s="79" t="str">
        <f>IF(AND(N1024="1521",MONTH(C1024)='BK-NL'!$M$11),"x","")</f>
        <v/>
      </c>
    </row>
    <row r="1025" spans="1:30" ht="16.5" customHeight="1">
      <c r="A1025" s="318" t="str">
        <f>IF(B1025&lt;&gt;"",IF(AND(B1025='IN-TC'!$S$4,OR(TH!N1025="1111",TH!O1025="1111")),TH!D1025,""),"")</f>
        <v/>
      </c>
      <c r="B1025" s="60" t="str">
        <f t="shared" si="163"/>
        <v/>
      </c>
      <c r="C1025" s="226"/>
      <c r="D1025" s="226"/>
      <c r="E1025" s="226"/>
      <c r="F1025" s="321"/>
      <c r="G1025" s="763"/>
      <c r="H1025" s="321"/>
      <c r="I1025" s="385"/>
      <c r="J1025" s="385"/>
      <c r="K1025" s="385"/>
      <c r="L1025" s="392"/>
      <c r="M1025" s="970"/>
      <c r="N1025" s="980"/>
      <c r="O1025" s="980"/>
      <c r="P1025" s="79" t="str">
        <f>IF(AND('331-CT'!$E$7=TH!H1025,OR(N1025="331",O1025="331")),"x","")</f>
        <v/>
      </c>
      <c r="Q1025" s="79" t="str">
        <f>IF(AND(B1025='111'!$L$11,OR($N1025=$Q$7,$O1025=$Q$7)),"x","")</f>
        <v/>
      </c>
      <c r="R1025" s="79" t="str">
        <f>IF(AND($N1025=$Q$7,$B1025&lt;'111'!$L$11),"x","")</f>
        <v/>
      </c>
      <c r="S1025" s="79" t="str">
        <f>IF(AND($O1025=$Q$7,$B1025&lt;'111'!$L$11),"x","")</f>
        <v/>
      </c>
      <c r="T1025" s="79" t="str">
        <f>IF(ISERROR(FIND('112'!$M$9,G1025,1)),"",IF((AND(FIND('112'!$M$9,G1025,1)&gt;=1,B1025='112'!$K$9,OR($N1025='112'!$I$6,$O1025='112'!$I$6))),"x",""))</f>
        <v/>
      </c>
      <c r="U1025" s="79" t="str">
        <f>IF(ISERROR(FIND('112'!$M$9,G1025,1)),"",IF((AND(LEFT(G1025,2)=LEFT('112'!$M$9,2),B1025&lt;'112'!$K$9,$N1025='112'!$I$6)),"x",""))</f>
        <v/>
      </c>
      <c r="V1025" s="79" t="str">
        <f>IF(ISERROR(FIND('112'!$M$9,G1025,1)),"",IF((AND(RIGHT(G1025,2)=RIGHT('112'!$M$9,2),B1025&lt;'112'!$K$9,$O1025='112'!$I$6)),"x",""))</f>
        <v/>
      </c>
      <c r="W1025" s="79" t="str">
        <f>IF(AND('341-CT'!$H$9=H1025,OR(LEFT(N1025,3)=$W$7,LEFT(O1025,3)=$W$7)),"x","")</f>
        <v/>
      </c>
      <c r="X1025" s="79" t="str">
        <f>IF(OR(TH!N1025=TH!$X$7,O1025=TH!$X$7),"x","")</f>
        <v/>
      </c>
      <c r="Y1025" s="79" t="str">
        <f>IF(AND(OR(N1025="131",O1025="131"),H1025='131-CT'!$H$9),"x","")</f>
        <v/>
      </c>
      <c r="Z1025" s="79"/>
      <c r="AA1025" s="79" t="str">
        <f>IF(AND(MONTH(E1025)='IN-NX'!$J$5,'IN-NX'!$D$7=D1025),"x","")</f>
        <v/>
      </c>
      <c r="AB1025" s="79" t="str">
        <f>IF(AND(OR(LEFT(TH!N1025,2)="15",LEFT(TH!O1025,2)="15"),LEFT(TH!O1025,3)&lt;&gt;"111",'152-CT'!$J$8=TH!F1025),"x","")</f>
        <v/>
      </c>
      <c r="AC1025" s="79" t="str">
        <f>IF(AND(OR(LEFT(TH!N1025,2)="15",LEFT(TH!O1025,2)="15"),TK!$E$7=TH!F1025),"x","")</f>
        <v/>
      </c>
      <c r="AD1025" s="79" t="str">
        <f>IF(AND(N1025="1521",MONTH(C1025)='BK-NL'!$M$11),"x","")</f>
        <v/>
      </c>
    </row>
    <row r="1026" spans="1:30" s="313" customFormat="1" ht="16.5" customHeight="1">
      <c r="A1026" s="318" t="str">
        <f>IF(B1026&lt;&gt;"",IF(AND(B1026='IN-TC'!$S$4,OR(TH!N1026="1111",TH!O1026="1111")),TH!D1026,""),"")</f>
        <v/>
      </c>
      <c r="B1026" s="60" t="str">
        <f t="shared" si="162"/>
        <v/>
      </c>
      <c r="C1026" s="226"/>
      <c r="D1026" s="226"/>
      <c r="E1026" s="226"/>
      <c r="F1026" s="446"/>
      <c r="G1026" s="763"/>
      <c r="H1026" s="321"/>
      <c r="I1026" s="385"/>
      <c r="J1026" s="392"/>
      <c r="K1026" s="385"/>
      <c r="L1026" s="392"/>
      <c r="M1026" s="970"/>
      <c r="N1026" s="980"/>
      <c r="O1026" s="980"/>
      <c r="P1026" s="79" t="str">
        <f>IF(AND('331-CT'!$E$7=TH!H1026,OR(N1026="331",O1026="331")),"x","")</f>
        <v/>
      </c>
      <c r="Q1026" s="79" t="str">
        <f>IF(AND(B1026='111'!$L$11,OR($N1026=$Q$7,$O1026=$Q$7)),"x","")</f>
        <v/>
      </c>
      <c r="R1026" s="79" t="str">
        <f>IF(AND($N1026=$Q$7,$B1026&lt;'111'!$L$11),"x","")</f>
        <v/>
      </c>
      <c r="S1026" s="79" t="str">
        <f>IF(AND($O1026=$Q$7,$B1026&lt;'111'!$L$11),"x","")</f>
        <v/>
      </c>
      <c r="T1026" s="79" t="str">
        <f>IF(ISERROR(FIND('112'!$M$9,G1026,1)),"",IF((AND(FIND('112'!$M$9,G1026,1)&gt;=1,B1026='112'!$K$9,OR($N1026='112'!$I$6,$O1026='112'!$I$6))),"x",""))</f>
        <v/>
      </c>
      <c r="U1026" s="79" t="str">
        <f>IF(ISERROR(FIND('112'!$M$9,G1026,1)),"",IF((AND(LEFT(G1026,2)=LEFT('112'!$M$9,2),B1026&lt;'112'!$K$9,$N1026='112'!$I$6)),"x",""))</f>
        <v/>
      </c>
      <c r="V1026" s="79" t="str">
        <f>IF(ISERROR(FIND('112'!$M$9,G1026,1)),"",IF((AND(RIGHT(G1026,2)=RIGHT('112'!$M$9,2),B1026&lt;'112'!$K$9,$O1026='112'!$I$6)),"x",""))</f>
        <v/>
      </c>
      <c r="W1026" s="79" t="str">
        <f>IF(AND('341-CT'!$H$9=H1026,OR(LEFT(N1026,3)=$W$7,LEFT(O1026,3)=$W$7)),"x","")</f>
        <v/>
      </c>
      <c r="X1026" s="79" t="str">
        <f>IF(OR(TH!N1026=TH!$X$7,O1026=TH!$X$7),"x","")</f>
        <v/>
      </c>
      <c r="Y1026" s="79" t="str">
        <f>IF(AND(OR(N1026="131",O1026="131"),H1026='131-CT'!$H$9),"x","")</f>
        <v/>
      </c>
      <c r="Z1026" s="79"/>
      <c r="AA1026" s="79" t="str">
        <f>IF(AND(MONTH(E1026)='IN-NX'!$J$5,'IN-NX'!$D$7=D1026),"x","")</f>
        <v/>
      </c>
      <c r="AB1026" s="79" t="str">
        <f>IF(AND(OR(LEFT(TH!N1026,2)="15",LEFT(TH!O1026,2)="15"),LEFT(TH!O1026,3)&lt;&gt;"111",'152-CT'!$J$8=TH!F1026),"x","")</f>
        <v/>
      </c>
      <c r="AC1026" s="79" t="str">
        <f>IF(AND(OR(LEFT(TH!N1026,2)="15",LEFT(TH!O1026,2)="15"),TK!$E$7=TH!F1026),"x","")</f>
        <v/>
      </c>
      <c r="AD1026" s="79" t="str">
        <f>IF(AND(N1026="1521",MONTH(C1026)='BK-NL'!$M$11),"x","")</f>
        <v/>
      </c>
    </row>
    <row r="1027" spans="1:30" ht="16.5" customHeight="1">
      <c r="A1027" s="318" t="str">
        <f>IF(B1027&lt;&gt;"",IF(AND(B1027='IN-TC'!$S$4,OR(TH!N1027="1111",TH!O1027="1111")),TH!D1027,""),"")</f>
        <v/>
      </c>
      <c r="B1027" s="60" t="str">
        <f t="shared" ref="B1027:B1029" si="164">IF(C1027&lt;&gt;"",MONTH(C1027),"")</f>
        <v/>
      </c>
      <c r="C1027" s="226"/>
      <c r="D1027" s="226"/>
      <c r="E1027" s="226"/>
      <c r="F1027" s="446"/>
      <c r="G1027" s="763"/>
      <c r="H1027" s="321"/>
      <c r="I1027" s="385"/>
      <c r="J1027" s="385"/>
      <c r="K1027" s="385"/>
      <c r="L1027" s="392"/>
      <c r="M1027" s="970"/>
      <c r="N1027" s="980"/>
      <c r="O1027" s="980"/>
      <c r="P1027" s="79" t="str">
        <f>IF(AND('331-CT'!$E$7=TH!H1027,OR(N1027="331",O1027="331")),"x","")</f>
        <v/>
      </c>
      <c r="Q1027" s="79" t="str">
        <f>IF(AND(B1027='111'!$L$11,OR($N1027=$Q$7,$O1027=$Q$7)),"x","")</f>
        <v/>
      </c>
      <c r="R1027" s="79" t="str">
        <f>IF(AND($N1027=$Q$7,$B1027&lt;'111'!$L$11),"x","")</f>
        <v/>
      </c>
      <c r="S1027" s="79" t="str">
        <f>IF(AND($O1027=$Q$7,$B1027&lt;'111'!$L$11),"x","")</f>
        <v/>
      </c>
      <c r="T1027" s="79" t="str">
        <f>IF(ISERROR(FIND('112'!$M$9,G1027,1)),"",IF((AND(FIND('112'!$M$9,G1027,1)&gt;=1,B1027='112'!$K$9,OR($N1027='112'!$I$6,$O1027='112'!$I$6))),"x",""))</f>
        <v/>
      </c>
      <c r="U1027" s="79" t="str">
        <f>IF(ISERROR(FIND('112'!$M$9,G1027,1)),"",IF((AND(LEFT(G1027,2)=LEFT('112'!$M$9,2),B1027&lt;'112'!$K$9,$N1027='112'!$I$6)),"x",""))</f>
        <v/>
      </c>
      <c r="V1027" s="79" t="str">
        <f>IF(ISERROR(FIND('112'!$M$9,G1027,1)),"",IF((AND(RIGHT(G1027,2)=RIGHT('112'!$M$9,2),B1027&lt;'112'!$K$9,$O1027='112'!$I$6)),"x",""))</f>
        <v/>
      </c>
      <c r="W1027" s="79" t="str">
        <f>IF(AND('341-CT'!$H$9=H1027,OR(LEFT(N1027,3)=$W$7,LEFT(O1027,3)=$W$7)),"x","")</f>
        <v/>
      </c>
      <c r="X1027" s="79" t="str">
        <f>IF(OR(TH!N1027=TH!$X$7,O1027=TH!$X$7),"x","")</f>
        <v/>
      </c>
      <c r="Y1027" s="79" t="str">
        <f>IF(AND(OR(N1027="131",O1027="131"),H1027='131-CT'!$H$9),"x","")</f>
        <v/>
      </c>
      <c r="Z1027" s="79"/>
      <c r="AA1027" s="79" t="str">
        <f>IF(AND(MONTH(E1027)='IN-NX'!$J$5,'IN-NX'!$D$7=D1027),"x","")</f>
        <v/>
      </c>
      <c r="AB1027" s="79" t="str">
        <f>IF(AND(OR(LEFT(TH!N1027,2)="15",LEFT(TH!O1027,2)="15"),LEFT(TH!O1027,3)&lt;&gt;"111",'152-CT'!$J$8=TH!F1027),"x","")</f>
        <v/>
      </c>
      <c r="AC1027" s="79" t="str">
        <f>IF(AND(OR(LEFT(TH!N1027,2)="15",LEFT(TH!O1027,2)="15"),TK!$E$7=TH!F1027),"x","")</f>
        <v/>
      </c>
      <c r="AD1027" s="79" t="str">
        <f>IF(AND(N1027="1521",MONTH(C1027)='BK-NL'!$M$11),"x","")</f>
        <v/>
      </c>
    </row>
    <row r="1028" spans="1:30" ht="16.5" customHeight="1">
      <c r="A1028" s="318" t="str">
        <f>IF(B1028&lt;&gt;"",IF(AND(B1028='IN-TC'!$S$4,OR(TH!N1028="1111",TH!O1028="1111")),TH!D1028,""),"")</f>
        <v/>
      </c>
      <c r="B1028" s="60" t="str">
        <f t="shared" si="164"/>
        <v/>
      </c>
      <c r="C1028" s="226"/>
      <c r="D1028" s="226"/>
      <c r="E1028" s="226"/>
      <c r="F1028" s="446"/>
      <c r="G1028" s="763"/>
      <c r="H1028" s="321"/>
      <c r="I1028" s="385"/>
      <c r="J1028" s="385"/>
      <c r="K1028" s="385"/>
      <c r="L1028" s="392"/>
      <c r="M1028" s="970"/>
      <c r="N1028" s="980"/>
      <c r="O1028" s="980"/>
      <c r="P1028" s="79" t="str">
        <f>IF(AND('331-CT'!$E$7=TH!H1028,OR(N1028="331",O1028="331")),"x","")</f>
        <v/>
      </c>
      <c r="Q1028" s="79" t="str">
        <f>IF(AND(B1028='111'!$L$11,OR($N1028=$Q$7,$O1028=$Q$7)),"x","")</f>
        <v/>
      </c>
      <c r="R1028" s="79" t="str">
        <f>IF(AND($N1028=$Q$7,$B1028&lt;'111'!$L$11),"x","")</f>
        <v/>
      </c>
      <c r="S1028" s="79" t="str">
        <f>IF(AND($O1028=$Q$7,$B1028&lt;'111'!$L$11),"x","")</f>
        <v/>
      </c>
      <c r="T1028" s="79" t="str">
        <f>IF(ISERROR(FIND('112'!$M$9,G1028,1)),"",IF((AND(FIND('112'!$M$9,G1028,1)&gt;=1,B1028='112'!$K$9,OR($N1028='112'!$I$6,$O1028='112'!$I$6))),"x",""))</f>
        <v/>
      </c>
      <c r="U1028" s="79" t="str">
        <f>IF(ISERROR(FIND('112'!$M$9,G1028,1)),"",IF((AND(LEFT(G1028,2)=LEFT('112'!$M$9,2),B1028&lt;'112'!$K$9,$N1028='112'!$I$6)),"x",""))</f>
        <v/>
      </c>
      <c r="V1028" s="79" t="str">
        <f>IF(ISERROR(FIND('112'!$M$9,G1028,1)),"",IF((AND(RIGHT(G1028,2)=RIGHT('112'!$M$9,2),B1028&lt;'112'!$K$9,$O1028='112'!$I$6)),"x",""))</f>
        <v/>
      </c>
      <c r="W1028" s="79" t="str">
        <f>IF(AND('341-CT'!$H$9=H1028,OR(LEFT(N1028,3)=$W$7,LEFT(O1028,3)=$W$7)),"x","")</f>
        <v/>
      </c>
      <c r="X1028" s="79" t="str">
        <f>IF(OR(TH!N1028=TH!$X$7,O1028=TH!$X$7),"x","")</f>
        <v/>
      </c>
      <c r="Y1028" s="79" t="str">
        <f>IF(AND(OR(N1028="131",O1028="131"),H1028='131-CT'!$H$9),"x","")</f>
        <v/>
      </c>
      <c r="Z1028" s="79"/>
      <c r="AA1028" s="79" t="str">
        <f>IF(AND(MONTH(E1028)='IN-NX'!$J$5,'IN-NX'!$D$7=D1028),"x","")</f>
        <v/>
      </c>
      <c r="AB1028" s="79" t="str">
        <f>IF(AND(OR(LEFT(TH!N1028,2)="15",LEFT(TH!O1028,2)="15"),LEFT(TH!O1028,3)&lt;&gt;"111",'152-CT'!$J$8=TH!F1028),"x","")</f>
        <v/>
      </c>
      <c r="AC1028" s="79" t="str">
        <f>IF(AND(OR(LEFT(TH!N1028,2)="15",LEFT(TH!O1028,2)="15"),TK!$E$7=TH!F1028),"x","")</f>
        <v/>
      </c>
      <c r="AD1028" s="79" t="str">
        <f>IF(AND(N1028="1521",MONTH(C1028)='BK-NL'!$M$11),"x","")</f>
        <v/>
      </c>
    </row>
    <row r="1029" spans="1:30" ht="16.5" customHeight="1">
      <c r="A1029" s="318" t="str">
        <f>IF(B1029&lt;&gt;"",IF(AND(B1029='IN-TC'!$S$4,OR(TH!N1029="1111",TH!O1029="1111")),TH!D1029,""),"")</f>
        <v/>
      </c>
      <c r="B1029" s="60" t="str">
        <f t="shared" si="164"/>
        <v/>
      </c>
      <c r="C1029" s="226"/>
      <c r="D1029" s="226"/>
      <c r="E1029" s="226"/>
      <c r="F1029" s="446"/>
      <c r="G1029" s="763"/>
      <c r="H1029" s="321"/>
      <c r="I1029" s="385"/>
      <c r="J1029" s="385"/>
      <c r="K1029" s="385"/>
      <c r="L1029" s="392"/>
      <c r="M1029" s="970"/>
      <c r="N1029" s="980"/>
      <c r="O1029" s="980"/>
      <c r="P1029" s="79" t="str">
        <f>IF(AND('331-CT'!$E$7=TH!H1029,OR(N1029="331",O1029="331")),"x","")</f>
        <v/>
      </c>
      <c r="Q1029" s="79" t="str">
        <f>IF(AND(B1029='111'!$L$11,OR($N1029=$Q$7,$O1029=$Q$7)),"x","")</f>
        <v/>
      </c>
      <c r="R1029" s="79" t="str">
        <f>IF(AND($N1029=$Q$7,$B1029&lt;'111'!$L$11),"x","")</f>
        <v/>
      </c>
      <c r="S1029" s="79" t="str">
        <f>IF(AND($O1029=$Q$7,$B1029&lt;'111'!$L$11),"x","")</f>
        <v/>
      </c>
      <c r="T1029" s="79" t="str">
        <f>IF(ISERROR(FIND('112'!$M$9,G1029,1)),"",IF((AND(FIND('112'!$M$9,G1029,1)&gt;=1,B1029='112'!$K$9,OR($N1029='112'!$I$6,$O1029='112'!$I$6))),"x",""))</f>
        <v/>
      </c>
      <c r="U1029" s="79" t="str">
        <f>IF(ISERROR(FIND('112'!$M$9,G1029,1)),"",IF((AND(LEFT(G1029,2)=LEFT('112'!$M$9,2),B1029&lt;'112'!$K$9,$N1029='112'!$I$6)),"x",""))</f>
        <v/>
      </c>
      <c r="V1029" s="79" t="str">
        <f>IF(ISERROR(FIND('112'!$M$9,G1029,1)),"",IF((AND(RIGHT(G1029,2)=RIGHT('112'!$M$9,2),B1029&lt;'112'!$K$9,$O1029='112'!$I$6)),"x",""))</f>
        <v/>
      </c>
      <c r="W1029" s="79" t="str">
        <f>IF(AND('341-CT'!$H$9=H1029,OR(LEFT(N1029,3)=$W$7,LEFT(O1029,3)=$W$7)),"x","")</f>
        <v/>
      </c>
      <c r="X1029" s="79" t="str">
        <f>IF(OR(TH!N1029=TH!$X$7,O1029=TH!$X$7),"x","")</f>
        <v/>
      </c>
      <c r="Y1029" s="79" t="str">
        <f>IF(AND(OR(N1029="131",O1029="131"),H1029='131-CT'!$H$9),"x","")</f>
        <v/>
      </c>
      <c r="Z1029" s="79"/>
      <c r="AA1029" s="79" t="str">
        <f>IF(AND(MONTH(E1029)='IN-NX'!$J$5,'IN-NX'!$D$7=D1029),"x","")</f>
        <v/>
      </c>
      <c r="AB1029" s="79" t="str">
        <f>IF(AND(OR(LEFT(TH!N1029,2)="15",LEFT(TH!O1029,2)="15"),LEFT(TH!O1029,3)&lt;&gt;"111",'152-CT'!$J$8=TH!F1029),"x","")</f>
        <v/>
      </c>
      <c r="AC1029" s="79" t="str">
        <f>IF(AND(OR(LEFT(TH!N1029,2)="15",LEFT(TH!O1029,2)="15"),TK!$E$7=TH!F1029),"x","")</f>
        <v/>
      </c>
      <c r="AD1029" s="79" t="str">
        <f>IF(AND(N1029="1521",MONTH(C1029)='BK-NL'!$M$11),"x","")</f>
        <v/>
      </c>
    </row>
    <row r="1030" spans="1:30" ht="16.5" customHeight="1">
      <c r="A1030" s="318" t="str">
        <f>IF(B1030&lt;&gt;"",IF(AND(B1030='IN-TC'!$S$4,OR(TH!N1030="1111",TH!O1030="1111")),TH!D1030,""),"")</f>
        <v/>
      </c>
      <c r="B1030" s="60" t="str">
        <f t="shared" si="162"/>
        <v/>
      </c>
      <c r="C1030" s="261"/>
      <c r="D1030" s="261"/>
      <c r="E1030" s="261"/>
      <c r="F1030" s="1103"/>
      <c r="G1030" s="1104"/>
      <c r="H1030" s="759"/>
      <c r="I1030" s="383"/>
      <c r="J1030" s="383"/>
      <c r="K1030" s="383"/>
      <c r="L1030" s="390"/>
      <c r="M1030" s="978"/>
      <c r="N1030" s="1019"/>
      <c r="O1030" s="1019"/>
      <c r="P1030" s="79" t="str">
        <f>IF(AND('331-CT'!$E$7=TH!H1030,OR(N1030="331",O1030="331")),"x","")</f>
        <v/>
      </c>
      <c r="Q1030" s="79" t="str">
        <f>IF(AND(B1030='111'!$L$11,OR($N1030=$Q$7,$O1030=$Q$7)),"x","")</f>
        <v/>
      </c>
      <c r="R1030" s="79" t="str">
        <f>IF(AND($N1030=$Q$7,$B1030&lt;'111'!$L$11),"x","")</f>
        <v/>
      </c>
      <c r="S1030" s="79" t="str">
        <f>IF(AND($O1030=$Q$7,$B1030&lt;'111'!$L$11),"x","")</f>
        <v/>
      </c>
      <c r="T1030" s="79" t="str">
        <f>IF(ISERROR(FIND('112'!$M$9,G1030,1)),"",IF((AND(FIND('112'!$M$9,G1030,1)&gt;=1,B1030='112'!$K$9,OR($N1030='112'!$I$6,$O1030='112'!$I$6))),"x",""))</f>
        <v/>
      </c>
      <c r="U1030" s="79" t="str">
        <f>IF(ISERROR(FIND('112'!$M$9,G1030,1)),"",IF((AND(LEFT(G1030,2)=LEFT('112'!$M$9,2),B1030&lt;'112'!$K$9,$N1030='112'!$I$6)),"x",""))</f>
        <v/>
      </c>
      <c r="V1030" s="79" t="str">
        <f>IF(ISERROR(FIND('112'!$M$9,G1030,1)),"",IF((AND(RIGHT(G1030,2)=RIGHT('112'!$M$9,2),B1030&lt;'112'!$K$9,$O1030='112'!$I$6)),"x",""))</f>
        <v/>
      </c>
      <c r="W1030" s="79" t="str">
        <f>IF(AND('341-CT'!$H$9=H1030,OR(LEFT(N1030,3)=$W$7,LEFT(O1030,3)=$W$7)),"x","")</f>
        <v/>
      </c>
      <c r="X1030" s="79" t="str">
        <f>IF(OR(TH!N1030=TH!$X$7,O1030=TH!$X$7),"x","")</f>
        <v/>
      </c>
      <c r="Y1030" s="79" t="str">
        <f>IF(AND(OR(N1030="131",O1030="131"),H1030='131-CT'!$H$9),"x","")</f>
        <v/>
      </c>
      <c r="Z1030" s="79"/>
      <c r="AA1030" s="79" t="str">
        <f>IF(AND(MONTH(E1030)='IN-NX'!$J$5,'IN-NX'!$D$7=D1030),"x","")</f>
        <v/>
      </c>
      <c r="AB1030" s="79" t="str">
        <f>IF(AND(OR(LEFT(TH!N1030,2)="15",LEFT(TH!O1030,2)="15"),LEFT(TH!O1030,3)&lt;&gt;"111",'152-CT'!$J$8=TH!F1030),"x","")</f>
        <v/>
      </c>
      <c r="AC1030" s="79" t="str">
        <f>IF(AND(OR(LEFT(TH!N1030,2)="15",LEFT(TH!O1030,2)="15"),TK!$E$7=TH!F1030),"x","")</f>
        <v/>
      </c>
      <c r="AD1030" s="79" t="str">
        <f>IF(AND(N1030="1521",MONTH(C1030)='BK-NL'!$M$11),"x","")</f>
        <v/>
      </c>
    </row>
    <row r="1031" spans="1:30" ht="16.5" customHeight="1">
      <c r="A1031" s="318" t="str">
        <f>IF(B1031&lt;&gt;"",IF(AND(B1031='IN-TC'!$S$4,OR(TH!N1031="1111",TH!O1031="1111")),TH!D1031,""),"")</f>
        <v/>
      </c>
      <c r="B1031" s="60" t="str">
        <f t="shared" si="162"/>
        <v/>
      </c>
      <c r="C1031" s="226"/>
      <c r="D1031" s="226"/>
      <c r="E1031" s="226"/>
      <c r="F1031" s="446"/>
      <c r="G1031" s="763"/>
      <c r="H1031" s="321"/>
      <c r="I1031" s="385"/>
      <c r="J1031" s="385"/>
      <c r="K1031" s="385"/>
      <c r="L1031" s="392"/>
      <c r="M1031" s="970"/>
      <c r="N1031" s="980"/>
      <c r="O1031" s="980"/>
      <c r="P1031" s="79" t="str">
        <f>IF(AND('331-CT'!$E$7=TH!H1031,OR(N1031="331",O1031="331")),"x","")</f>
        <v/>
      </c>
      <c r="Q1031" s="79" t="str">
        <f>IF(AND(B1031='111'!$L$11,OR($N1031=$Q$7,$O1031=$Q$7)),"x","")</f>
        <v/>
      </c>
      <c r="R1031" s="79" t="str">
        <f>IF(AND($N1031=$Q$7,$B1031&lt;'111'!$L$11),"x","")</f>
        <v/>
      </c>
      <c r="S1031" s="79" t="str">
        <f>IF(AND($O1031=$Q$7,$B1031&lt;'111'!$L$11),"x","")</f>
        <v/>
      </c>
      <c r="T1031" s="79" t="str">
        <f>IF(ISERROR(FIND('112'!$M$9,G1031,1)),"",IF((AND(FIND('112'!$M$9,G1031,1)&gt;=1,B1031='112'!$K$9,OR($N1031='112'!$I$6,$O1031='112'!$I$6))),"x",""))</f>
        <v/>
      </c>
      <c r="U1031" s="79" t="str">
        <f>IF(ISERROR(FIND('112'!$M$9,G1031,1)),"",IF((AND(LEFT(G1031,2)=LEFT('112'!$M$9,2),B1031&lt;'112'!$K$9,$N1031='112'!$I$6)),"x",""))</f>
        <v/>
      </c>
      <c r="V1031" s="79" t="str">
        <f>IF(ISERROR(FIND('112'!$M$9,G1031,1)),"",IF((AND(RIGHT(G1031,2)=RIGHT('112'!$M$9,2),B1031&lt;'112'!$K$9,$O1031='112'!$I$6)),"x",""))</f>
        <v/>
      </c>
      <c r="W1031" s="79" t="str">
        <f>IF(AND('341-CT'!$H$9=H1031,OR(LEFT(N1031,3)=$W$7,LEFT(O1031,3)=$W$7)),"x","")</f>
        <v/>
      </c>
      <c r="X1031" s="79" t="str">
        <f>IF(OR(TH!N1031=TH!$X$7,O1031=TH!$X$7),"x","")</f>
        <v/>
      </c>
      <c r="Y1031" s="79" t="str">
        <f>IF(AND(OR(N1031="131",O1031="131"),H1031='131-CT'!$H$9),"x","")</f>
        <v/>
      </c>
      <c r="Z1031" s="79"/>
      <c r="AA1031" s="79" t="str">
        <f>IF(AND(MONTH(E1031)='IN-NX'!$J$5,'IN-NX'!$D$7=D1031),"x","")</f>
        <v/>
      </c>
      <c r="AB1031" s="79" t="str">
        <f>IF(AND(OR(LEFT(TH!N1031,2)="15",LEFT(TH!O1031,2)="15"),LEFT(TH!O1031,3)&lt;&gt;"111",'152-CT'!$J$8=TH!F1031),"x","")</f>
        <v/>
      </c>
      <c r="AC1031" s="79" t="str">
        <f>IF(AND(OR(LEFT(TH!N1031,2)="15",LEFT(TH!O1031,2)="15"),TK!$E$7=TH!F1031),"x","")</f>
        <v/>
      </c>
      <c r="AD1031" s="79" t="str">
        <f>IF(AND(N1031="1521",MONTH(C1031)='BK-NL'!$M$11),"x","")</f>
        <v/>
      </c>
    </row>
    <row r="1032" spans="1:30" ht="16.5" customHeight="1">
      <c r="A1032" s="318" t="str">
        <f>IF(B1032&lt;&gt;"",IF(AND(B1032='IN-TC'!$S$4,OR(TH!N1032="1111",TH!O1032="1111")),TH!D1032,""),"")</f>
        <v/>
      </c>
      <c r="B1032" s="60" t="str">
        <f t="shared" si="162"/>
        <v/>
      </c>
      <c r="C1032" s="261"/>
      <c r="D1032" s="261"/>
      <c r="E1032" s="261"/>
      <c r="F1032" s="1103"/>
      <c r="G1032" s="1104"/>
      <c r="H1032" s="759"/>
      <c r="I1032" s="383"/>
      <c r="J1032" s="383"/>
      <c r="K1032" s="383"/>
      <c r="L1032" s="390"/>
      <c r="M1032" s="978"/>
      <c r="N1032" s="1019"/>
      <c r="O1032" s="1019"/>
      <c r="P1032" s="79" t="str">
        <f>IF(AND('331-CT'!$E$7=TH!H1032,OR(N1032="331",O1032="331")),"x","")</f>
        <v/>
      </c>
      <c r="Q1032" s="79" t="str">
        <f>IF(AND(B1032='111'!$L$11,OR($N1032=$Q$7,$O1032=$Q$7)),"x","")</f>
        <v/>
      </c>
      <c r="R1032" s="79" t="str">
        <f>IF(AND($N1032=$Q$7,$B1032&lt;'111'!$L$11),"x","")</f>
        <v/>
      </c>
      <c r="S1032" s="79" t="str">
        <f>IF(AND($O1032=$Q$7,$B1032&lt;'111'!$L$11),"x","")</f>
        <v/>
      </c>
      <c r="T1032" s="79" t="str">
        <f>IF(ISERROR(FIND('112'!$M$9,G1032,1)),"",IF((AND(FIND('112'!$M$9,G1032,1)&gt;=1,B1032='112'!$K$9,OR($N1032='112'!$I$6,$O1032='112'!$I$6))),"x",""))</f>
        <v/>
      </c>
      <c r="U1032" s="79" t="str">
        <f>IF(ISERROR(FIND('112'!$M$9,G1032,1)),"",IF((AND(LEFT(G1032,2)=LEFT('112'!$M$9,2),B1032&lt;'112'!$K$9,$N1032='112'!$I$6)),"x",""))</f>
        <v/>
      </c>
      <c r="V1032" s="79" t="str">
        <f>IF(ISERROR(FIND('112'!$M$9,G1032,1)),"",IF((AND(RIGHT(G1032,2)=RIGHT('112'!$M$9,2),B1032&lt;'112'!$K$9,$O1032='112'!$I$6)),"x",""))</f>
        <v/>
      </c>
      <c r="W1032" s="79" t="str">
        <f>IF(AND('341-CT'!$H$9=H1032,OR(LEFT(N1032,3)=$W$7,LEFT(O1032,3)=$W$7)),"x","")</f>
        <v/>
      </c>
      <c r="X1032" s="79" t="str">
        <f>IF(OR(TH!N1032=TH!$X$7,O1032=TH!$X$7),"x","")</f>
        <v/>
      </c>
      <c r="Y1032" s="79" t="str">
        <f>IF(AND(OR(N1032="131",O1032="131"),H1032='131-CT'!$H$9),"x","")</f>
        <v/>
      </c>
      <c r="Z1032" s="79"/>
      <c r="AA1032" s="79" t="str">
        <f>IF(AND(MONTH(E1032)='IN-NX'!$J$5,'IN-NX'!$D$7=D1032),"x","")</f>
        <v/>
      </c>
      <c r="AB1032" s="79" t="str">
        <f>IF(AND(OR(LEFT(TH!N1032,2)="15",LEFT(TH!O1032,2)="15"),LEFT(TH!O1032,3)&lt;&gt;"111",'152-CT'!$J$8=TH!F1032),"x","")</f>
        <v/>
      </c>
      <c r="AC1032" s="79" t="str">
        <f>IF(AND(OR(LEFT(TH!N1032,2)="15",LEFT(TH!O1032,2)="15"),TK!$E$7=TH!F1032),"x","")</f>
        <v/>
      </c>
      <c r="AD1032" s="79" t="str">
        <f>IF(AND(N1032="1521",MONTH(C1032)='BK-NL'!$M$11),"x","")</f>
        <v/>
      </c>
    </row>
    <row r="1033" spans="1:30" ht="16.5" customHeight="1">
      <c r="A1033" s="318" t="str">
        <f>IF(B1033&lt;&gt;"",IF(AND(B1033='IN-TC'!$S$4,OR(TH!N1033="1111",TH!O1033="1111")),TH!D1033,""),"")</f>
        <v/>
      </c>
      <c r="B1033" s="60" t="str">
        <f t="shared" ref="B1033" si="165">IF(C1033&lt;&gt;"",MONTH(C1033),"")</f>
        <v/>
      </c>
      <c r="C1033" s="261"/>
      <c r="D1033" s="261"/>
      <c r="E1033" s="261"/>
      <c r="F1033" s="1103"/>
      <c r="G1033" s="1104"/>
      <c r="H1033" s="759"/>
      <c r="I1033" s="383"/>
      <c r="J1033" s="383"/>
      <c r="K1033" s="383"/>
      <c r="L1033" s="390"/>
      <c r="M1033" s="978"/>
      <c r="N1033" s="1019"/>
      <c r="O1033" s="1019"/>
      <c r="P1033" s="79" t="str">
        <f>IF(AND('331-CT'!$E$7=TH!H1033,OR(N1033="331",O1033="331")),"x","")</f>
        <v/>
      </c>
      <c r="Q1033" s="79" t="str">
        <f>IF(AND(B1033='111'!$L$11,OR($N1033=$Q$7,$O1033=$Q$7)),"x","")</f>
        <v/>
      </c>
      <c r="R1033" s="79" t="str">
        <f>IF(AND($N1033=$Q$7,$B1033&lt;'111'!$L$11),"x","")</f>
        <v/>
      </c>
      <c r="S1033" s="79" t="str">
        <f>IF(AND($O1033=$Q$7,$B1033&lt;'111'!$L$11),"x","")</f>
        <v/>
      </c>
      <c r="T1033" s="79" t="str">
        <f>IF(ISERROR(FIND('112'!$M$9,G1033,1)),"",IF((AND(FIND('112'!$M$9,G1033,1)&gt;=1,B1033='112'!$K$9,OR($N1033='112'!$I$6,$O1033='112'!$I$6))),"x",""))</f>
        <v/>
      </c>
      <c r="U1033" s="79" t="str">
        <f>IF(ISERROR(FIND('112'!$M$9,G1033,1)),"",IF((AND(LEFT(G1033,2)=LEFT('112'!$M$9,2),B1033&lt;'112'!$K$9,$N1033='112'!$I$6)),"x",""))</f>
        <v/>
      </c>
      <c r="V1033" s="79" t="str">
        <f>IF(ISERROR(FIND('112'!$M$9,G1033,1)),"",IF((AND(RIGHT(G1033,2)=RIGHT('112'!$M$9,2),B1033&lt;'112'!$K$9,$O1033='112'!$I$6)),"x",""))</f>
        <v/>
      </c>
      <c r="W1033" s="79" t="str">
        <f>IF(AND('341-CT'!$H$9=H1033,OR(LEFT(N1033,3)=$W$7,LEFT(O1033,3)=$W$7)),"x","")</f>
        <v/>
      </c>
      <c r="X1033" s="79" t="str">
        <f>IF(OR(TH!N1033=TH!$X$7,O1033=TH!$X$7),"x","")</f>
        <v/>
      </c>
      <c r="Y1033" s="79" t="str">
        <f>IF(AND(OR(N1033="131",O1033="131"),H1033='131-CT'!$H$9),"x","")</f>
        <v/>
      </c>
      <c r="Z1033" s="79"/>
      <c r="AA1033" s="79" t="str">
        <f>IF(AND(MONTH(E1033)='IN-NX'!$J$5,'IN-NX'!$D$7=D1033),"x","")</f>
        <v/>
      </c>
      <c r="AB1033" s="79" t="str">
        <f>IF(AND(OR(LEFT(TH!N1033,2)="15",LEFT(TH!O1033,2)="15"),LEFT(TH!O1033,3)&lt;&gt;"111",'152-CT'!$J$8=TH!F1033),"x","")</f>
        <v/>
      </c>
      <c r="AC1033" s="79" t="str">
        <f>IF(AND(OR(LEFT(TH!N1033,2)="15",LEFT(TH!O1033,2)="15"),TK!$E$7=TH!F1033),"x","")</f>
        <v/>
      </c>
      <c r="AD1033" s="79" t="str">
        <f>IF(AND(N1033="1521",MONTH(C1033)='BK-NL'!$M$11),"x","")</f>
        <v/>
      </c>
    </row>
    <row r="1034" spans="1:30" ht="16.5" customHeight="1">
      <c r="A1034" s="318" t="str">
        <f>IF(B1034&lt;&gt;"",IF(AND(B1034='IN-TC'!$S$4,OR(TH!N1034="1111",TH!O1034="1111")),TH!D1034,""),"")</f>
        <v/>
      </c>
      <c r="B1034" s="60" t="str">
        <f t="shared" ref="B1034" si="166">IF(C1034&lt;&gt;"",MONTH(C1034),"")</f>
        <v/>
      </c>
      <c r="C1034" s="261"/>
      <c r="D1034" s="261"/>
      <c r="E1034" s="261"/>
      <c r="F1034" s="1103"/>
      <c r="G1034" s="1104"/>
      <c r="H1034" s="759"/>
      <c r="I1034" s="383"/>
      <c r="J1034" s="383"/>
      <c r="K1034" s="383"/>
      <c r="L1034" s="390"/>
      <c r="M1034" s="978"/>
      <c r="N1034" s="1019"/>
      <c r="O1034" s="1019"/>
      <c r="P1034" s="79" t="str">
        <f>IF(AND('331-CT'!$E$7=TH!H1034,OR(N1034="331",O1034="331")),"x","")</f>
        <v/>
      </c>
      <c r="Q1034" s="79" t="str">
        <f>IF(AND(B1034='111'!$L$11,OR($N1034=$Q$7,$O1034=$Q$7)),"x","")</f>
        <v/>
      </c>
      <c r="R1034" s="79" t="str">
        <f>IF(AND($N1034=$Q$7,$B1034&lt;'111'!$L$11),"x","")</f>
        <v/>
      </c>
      <c r="S1034" s="79" t="str">
        <f>IF(AND($O1034=$Q$7,$B1034&lt;'111'!$L$11),"x","")</f>
        <v/>
      </c>
      <c r="T1034" s="79" t="str">
        <f>IF(ISERROR(FIND('112'!$M$9,G1034,1)),"",IF((AND(FIND('112'!$M$9,G1034,1)&gt;=1,B1034='112'!$K$9,OR($N1034='112'!$I$6,$O1034='112'!$I$6))),"x",""))</f>
        <v/>
      </c>
      <c r="U1034" s="79" t="str">
        <f>IF(ISERROR(FIND('112'!$M$9,G1034,1)),"",IF((AND(LEFT(G1034,2)=LEFT('112'!$M$9,2),B1034&lt;'112'!$K$9,$N1034='112'!$I$6)),"x",""))</f>
        <v/>
      </c>
      <c r="V1034" s="79" t="str">
        <f>IF(ISERROR(FIND('112'!$M$9,G1034,1)),"",IF((AND(RIGHT(G1034,2)=RIGHT('112'!$M$9,2),B1034&lt;'112'!$K$9,$O1034='112'!$I$6)),"x",""))</f>
        <v/>
      </c>
      <c r="W1034" s="79" t="str">
        <f>IF(AND('341-CT'!$H$9=H1034,OR(LEFT(N1034,3)=$W$7,LEFT(O1034,3)=$W$7)),"x","")</f>
        <v/>
      </c>
      <c r="X1034" s="79" t="str">
        <f>IF(OR(TH!N1034=TH!$X$7,O1034=TH!$X$7),"x","")</f>
        <v/>
      </c>
      <c r="Y1034" s="79" t="str">
        <f>IF(AND(OR(N1034="131",O1034="131"),H1034='131-CT'!$H$9),"x","")</f>
        <v/>
      </c>
      <c r="Z1034" s="79"/>
      <c r="AA1034" s="79" t="str">
        <f>IF(AND(MONTH(E1034)='IN-NX'!$J$5,'IN-NX'!$D$7=D1034),"x","")</f>
        <v/>
      </c>
      <c r="AB1034" s="79" t="str">
        <f>IF(AND(OR(LEFT(TH!N1034,2)="15",LEFT(TH!O1034,2)="15"),LEFT(TH!O1034,3)&lt;&gt;"111",'152-CT'!$J$8=TH!F1034),"x","")</f>
        <v/>
      </c>
      <c r="AC1034" s="79" t="str">
        <f>IF(AND(OR(LEFT(TH!N1034,2)="15",LEFT(TH!O1034,2)="15"),TK!$E$7=TH!F1034),"x","")</f>
        <v/>
      </c>
      <c r="AD1034" s="79" t="str">
        <f>IF(AND(N1034="1521",MONTH(C1034)='BK-NL'!$M$11),"x","")</f>
        <v/>
      </c>
    </row>
    <row r="1035" spans="1:30" ht="16.5" customHeight="1">
      <c r="A1035" s="318" t="str">
        <f>IF(B1035&lt;&gt;"",IF(AND(B1035='IN-TC'!$S$4,OR(TH!N1035="1111",TH!O1035="1111")),TH!D1035,""),"")</f>
        <v/>
      </c>
      <c r="B1035" s="60" t="str">
        <f t="shared" ref="B1035" si="167">IF(C1035&lt;&gt;"",MONTH(C1035),"")</f>
        <v/>
      </c>
      <c r="C1035" s="261"/>
      <c r="D1035" s="261"/>
      <c r="E1035" s="261"/>
      <c r="F1035" s="1103"/>
      <c r="G1035" s="1104"/>
      <c r="H1035" s="759"/>
      <c r="I1035" s="383"/>
      <c r="J1035" s="383"/>
      <c r="K1035" s="383"/>
      <c r="L1035" s="390"/>
      <c r="M1035" s="978"/>
      <c r="N1035" s="1019"/>
      <c r="O1035" s="1019"/>
      <c r="P1035" s="79" t="str">
        <f>IF(AND('331-CT'!$E$7=TH!H1035,OR(N1035="331",O1035="331")),"x","")</f>
        <v/>
      </c>
      <c r="Q1035" s="79" t="str">
        <f>IF(AND(B1035='111'!$L$11,OR($N1035=$Q$7,$O1035=$Q$7)),"x","")</f>
        <v/>
      </c>
      <c r="R1035" s="79" t="str">
        <f>IF(AND($N1035=$Q$7,$B1035&lt;'111'!$L$11),"x","")</f>
        <v/>
      </c>
      <c r="S1035" s="79" t="str">
        <f>IF(AND($O1035=$Q$7,$B1035&lt;'111'!$L$11),"x","")</f>
        <v/>
      </c>
      <c r="T1035" s="79" t="str">
        <f>IF(ISERROR(FIND('112'!$M$9,G1035,1)),"",IF((AND(FIND('112'!$M$9,G1035,1)&gt;=1,B1035='112'!$K$9,OR($N1035='112'!$I$6,$O1035='112'!$I$6))),"x",""))</f>
        <v/>
      </c>
      <c r="U1035" s="79" t="str">
        <f>IF(ISERROR(FIND('112'!$M$9,G1035,1)),"",IF((AND(LEFT(G1035,2)=LEFT('112'!$M$9,2),B1035&lt;'112'!$K$9,$N1035='112'!$I$6)),"x",""))</f>
        <v/>
      </c>
      <c r="V1035" s="79" t="str">
        <f>IF(ISERROR(FIND('112'!$M$9,G1035,1)),"",IF((AND(RIGHT(G1035,2)=RIGHT('112'!$M$9,2),B1035&lt;'112'!$K$9,$O1035='112'!$I$6)),"x",""))</f>
        <v/>
      </c>
      <c r="W1035" s="79" t="str">
        <f>IF(AND('341-CT'!$H$9=H1035,OR(LEFT(N1035,3)=$W$7,LEFT(O1035,3)=$W$7)),"x","")</f>
        <v/>
      </c>
      <c r="X1035" s="79" t="str">
        <f>IF(OR(TH!N1035=TH!$X$7,O1035=TH!$X$7),"x","")</f>
        <v/>
      </c>
      <c r="Y1035" s="79" t="str">
        <f>IF(AND(OR(N1035="131",O1035="131"),H1035='131-CT'!$H$9),"x","")</f>
        <v/>
      </c>
      <c r="Z1035" s="79"/>
      <c r="AA1035" s="79" t="str">
        <f>IF(AND(MONTH(E1035)='IN-NX'!$J$5,'IN-NX'!$D$7=D1035),"x","")</f>
        <v/>
      </c>
      <c r="AB1035" s="79" t="str">
        <f>IF(AND(OR(LEFT(TH!N1035,2)="15",LEFT(TH!O1035,2)="15"),LEFT(TH!O1035,3)&lt;&gt;"111",'152-CT'!$J$8=TH!F1035),"x","")</f>
        <v/>
      </c>
      <c r="AC1035" s="79" t="str">
        <f>IF(AND(OR(LEFT(TH!N1035,2)="15",LEFT(TH!O1035,2)="15"),TK!$E$7=TH!F1035),"x","")</f>
        <v/>
      </c>
      <c r="AD1035" s="79" t="str">
        <f>IF(AND(N1035="1521",MONTH(C1035)='BK-NL'!$M$11),"x","")</f>
        <v/>
      </c>
    </row>
    <row r="1036" spans="1:30" ht="16.5" customHeight="1">
      <c r="A1036" s="318" t="str">
        <f>IF(B1036&lt;&gt;"",IF(AND(B1036='IN-TC'!$S$4,OR(TH!N1036="1111",TH!O1036="1111")),TH!D1036,""),"")</f>
        <v/>
      </c>
      <c r="B1036" s="60" t="str">
        <f t="shared" ref="B1036" si="168">IF(C1036&lt;&gt;"",MONTH(C1036),"")</f>
        <v/>
      </c>
      <c r="C1036" s="261"/>
      <c r="D1036" s="261"/>
      <c r="E1036" s="261"/>
      <c r="F1036" s="1103"/>
      <c r="G1036" s="1104"/>
      <c r="H1036" s="759"/>
      <c r="I1036" s="383"/>
      <c r="J1036" s="383"/>
      <c r="K1036" s="383"/>
      <c r="L1036" s="390"/>
      <c r="M1036" s="978"/>
      <c r="N1036" s="1019"/>
      <c r="O1036" s="1019"/>
      <c r="P1036" s="79" t="str">
        <f>IF(AND('331-CT'!$E$7=TH!H1036,OR(N1036="331",O1036="331")),"x","")</f>
        <v/>
      </c>
      <c r="Q1036" s="79" t="str">
        <f>IF(AND(B1036='111'!$L$11,OR($N1036=$Q$7,$O1036=$Q$7)),"x","")</f>
        <v/>
      </c>
      <c r="R1036" s="79" t="str">
        <f>IF(AND($N1036=$Q$7,$B1036&lt;'111'!$L$11),"x","")</f>
        <v/>
      </c>
      <c r="S1036" s="79" t="str">
        <f>IF(AND($O1036=$Q$7,$B1036&lt;'111'!$L$11),"x","")</f>
        <v/>
      </c>
      <c r="T1036" s="79" t="str">
        <f>IF(ISERROR(FIND('112'!$M$9,G1036,1)),"",IF((AND(FIND('112'!$M$9,G1036,1)&gt;=1,B1036='112'!$K$9,OR($N1036='112'!$I$6,$O1036='112'!$I$6))),"x",""))</f>
        <v/>
      </c>
      <c r="U1036" s="79" t="str">
        <f>IF(ISERROR(FIND('112'!$M$9,G1036,1)),"",IF((AND(LEFT(G1036,2)=LEFT('112'!$M$9,2),B1036&lt;'112'!$K$9,$N1036='112'!$I$6)),"x",""))</f>
        <v/>
      </c>
      <c r="V1036" s="79" t="str">
        <f>IF(ISERROR(FIND('112'!$M$9,G1036,1)),"",IF((AND(RIGHT(G1036,2)=RIGHT('112'!$M$9,2),B1036&lt;'112'!$K$9,$O1036='112'!$I$6)),"x",""))</f>
        <v/>
      </c>
      <c r="W1036" s="79" t="str">
        <f>IF(AND('341-CT'!$H$9=H1036,OR(LEFT(N1036,3)=$W$7,LEFT(O1036,3)=$W$7)),"x","")</f>
        <v/>
      </c>
      <c r="X1036" s="79" t="str">
        <f>IF(OR(TH!N1036=TH!$X$7,O1036=TH!$X$7),"x","")</f>
        <v/>
      </c>
      <c r="Y1036" s="79" t="str">
        <f>IF(AND(OR(N1036="131",O1036="131"),H1036='131-CT'!$H$9),"x","")</f>
        <v/>
      </c>
      <c r="Z1036" s="79"/>
      <c r="AA1036" s="79" t="str">
        <f>IF(AND(MONTH(E1036)='IN-NX'!$J$5,'IN-NX'!$D$7=D1036),"x","")</f>
        <v/>
      </c>
      <c r="AB1036" s="79" t="str">
        <f>IF(AND(OR(LEFT(TH!N1036,2)="15",LEFT(TH!O1036,2)="15"),LEFT(TH!O1036,3)&lt;&gt;"111",'152-CT'!$J$8=TH!F1036),"x","")</f>
        <v/>
      </c>
      <c r="AC1036" s="79" t="str">
        <f>IF(AND(OR(LEFT(TH!N1036,2)="15",LEFT(TH!O1036,2)="15"),TK!$E$7=TH!F1036),"x","")</f>
        <v/>
      </c>
      <c r="AD1036" s="79" t="str">
        <f>IF(AND(N1036="1521",MONTH(C1036)='BK-NL'!$M$11),"x","")</f>
        <v/>
      </c>
    </row>
    <row r="1037" spans="1:30" ht="16.5" customHeight="1">
      <c r="A1037" s="318" t="str">
        <f>IF(B1037&lt;&gt;"",IF(AND(B1037='IN-TC'!$S$4,OR(TH!N1037="1111",TH!O1037="1111")),TH!D1037,""),"")</f>
        <v/>
      </c>
      <c r="B1037" s="60" t="str">
        <f>IF(C1037&lt;&gt;"",MONTH(C1037),"")</f>
        <v/>
      </c>
      <c r="C1037" s="226"/>
      <c r="D1037" s="226"/>
      <c r="E1037" s="226"/>
      <c r="F1037" s="446"/>
      <c r="G1037" s="763"/>
      <c r="H1037" s="321"/>
      <c r="I1037" s="385"/>
      <c r="J1037" s="392"/>
      <c r="K1037" s="385"/>
      <c r="L1037" s="392"/>
      <c r="M1037" s="970"/>
      <c r="N1037" s="980"/>
      <c r="O1037" s="980"/>
      <c r="P1037" s="79" t="str">
        <f>IF(AND('331-CT'!$E$7=TH!H1037,OR(N1037="331",O1037="331")),"x","")</f>
        <v/>
      </c>
      <c r="Q1037" s="79" t="str">
        <f>IF(AND(B1037='111'!$L$11,OR($N1037=$Q$7,$O1037=$Q$7)),"x","")</f>
        <v/>
      </c>
      <c r="R1037" s="79" t="str">
        <f>IF(AND($N1037=$Q$7,$B1037&lt;'111'!$L$11),"x","")</f>
        <v/>
      </c>
      <c r="S1037" s="79" t="str">
        <f>IF(AND($O1037=$Q$7,$B1037&lt;'111'!$L$11),"x","")</f>
        <v/>
      </c>
      <c r="T1037" s="79" t="str">
        <f>IF(ISERROR(FIND('112'!$M$9,G1037,1)),"",IF((AND(FIND('112'!$M$9,G1037,1)&gt;=1,B1037='112'!$K$9,OR($N1037='112'!$I$6,$O1037='112'!$I$6))),"x",""))</f>
        <v/>
      </c>
      <c r="U1037" s="79" t="str">
        <f>IF(ISERROR(FIND('112'!$M$9,G1037,1)),"",IF((AND(LEFT(G1037,2)=LEFT('112'!$M$9,2),B1037&lt;'112'!$K$9,$N1037='112'!$I$6)),"x",""))</f>
        <v/>
      </c>
      <c r="V1037" s="79" t="str">
        <f>IF(ISERROR(FIND('112'!$M$9,G1037,1)),"",IF((AND(RIGHT(G1037,2)=RIGHT('112'!$M$9,2),B1037&lt;'112'!$K$9,$O1037='112'!$I$6)),"x",""))</f>
        <v/>
      </c>
      <c r="W1037" s="79" t="str">
        <f>IF(AND('341-CT'!$H$9=H1037,OR(LEFT(N1037,3)=$W$7,LEFT(O1037,3)=$W$7)),"x","")</f>
        <v/>
      </c>
      <c r="X1037" s="79" t="str">
        <f>IF(OR(TH!N1037=TH!$X$7,O1037=TH!$X$7),"x","")</f>
        <v/>
      </c>
      <c r="Y1037" s="79" t="str">
        <f>IF(AND(OR(N1037="131",O1037="131"),H1037='131-CT'!$H$9),"x","")</f>
        <v/>
      </c>
      <c r="Z1037" s="79"/>
      <c r="AA1037" s="79" t="str">
        <f>IF(AND(MONTH(E1037)='IN-NX'!$J$5,'IN-NX'!$D$7=D1037),"x","")</f>
        <v/>
      </c>
      <c r="AB1037" s="79" t="str">
        <f>IF(AND(OR(LEFT(TH!N1037,2)="15",LEFT(TH!O1037,2)="15"),LEFT(TH!O1037,3)&lt;&gt;"111",'152-CT'!$J$8=TH!F1037),"x","")</f>
        <v/>
      </c>
      <c r="AC1037" s="79" t="str">
        <f>IF(AND(OR(LEFT(TH!N1037,2)="15",LEFT(TH!O1037,2)="15"),TK!$E$7=TH!F1037),"x","")</f>
        <v/>
      </c>
      <c r="AD1037" s="79" t="str">
        <f>IF(AND(N1037="1521",MONTH(C1037)='BK-NL'!$M$11),"x","")</f>
        <v/>
      </c>
    </row>
    <row r="1038" spans="1:30" ht="16.5" customHeight="1">
      <c r="A1038" s="318" t="str">
        <f>IF(B1038&lt;&gt;"",IF(AND(B1038='IN-TC'!$S$4,OR(TH!N1038="1111",TH!O1038="1111")),TH!D1038,""),"")</f>
        <v/>
      </c>
      <c r="B1038" s="60" t="str">
        <f>IF(C1038&lt;&gt;"",MONTH(C1038),"")</f>
        <v/>
      </c>
      <c r="C1038" s="226"/>
      <c r="D1038" s="226"/>
      <c r="E1038" s="226"/>
      <c r="F1038" s="321"/>
      <c r="G1038" s="763"/>
      <c r="H1038" s="321"/>
      <c r="I1038" s="385"/>
      <c r="J1038" s="385"/>
      <c r="K1038" s="385"/>
      <c r="L1038" s="392"/>
      <c r="M1038" s="970"/>
      <c r="N1038" s="980"/>
      <c r="O1038" s="980"/>
      <c r="P1038" s="79" t="str">
        <f>IF(AND('331-CT'!$E$7=TH!H1038,OR(N1038="331",O1038="331")),"x","")</f>
        <v/>
      </c>
      <c r="Q1038" s="79" t="str">
        <f>IF(AND(B1038='111'!$L$11,OR($N1038=$Q$7,$O1038=$Q$7)),"x","")</f>
        <v/>
      </c>
      <c r="R1038" s="79" t="str">
        <f>IF(AND($N1038=$Q$7,$B1038&lt;'111'!$L$11),"x","")</f>
        <v/>
      </c>
      <c r="S1038" s="79" t="str">
        <f>IF(AND($O1038=$Q$7,$B1038&lt;'111'!$L$11),"x","")</f>
        <v/>
      </c>
      <c r="T1038" s="79" t="str">
        <f>IF(ISERROR(FIND('112'!$M$9,G1038,1)),"",IF((AND(FIND('112'!$M$9,G1038,1)&gt;=1,B1038='112'!$K$9,OR($N1038='112'!$I$6,$O1038='112'!$I$6))),"x",""))</f>
        <v/>
      </c>
      <c r="U1038" s="79" t="str">
        <f>IF(ISERROR(FIND('112'!$M$9,G1038,1)),"",IF((AND(LEFT(G1038,2)=LEFT('112'!$M$9,2),B1038&lt;'112'!$K$9,$N1038='112'!$I$6)),"x",""))</f>
        <v/>
      </c>
      <c r="V1038" s="79" t="str">
        <f>IF(ISERROR(FIND('112'!$M$9,G1038,1)),"",IF((AND(RIGHT(G1038,2)=RIGHT('112'!$M$9,2),B1038&lt;'112'!$K$9,$O1038='112'!$I$6)),"x",""))</f>
        <v/>
      </c>
      <c r="W1038" s="79" t="str">
        <f>IF(AND('341-CT'!$H$9=H1038,OR(LEFT(N1038,3)=$W$7,LEFT(O1038,3)=$W$7)),"x","")</f>
        <v/>
      </c>
      <c r="X1038" s="79" t="str">
        <f>IF(OR(TH!N1038=TH!$X$7,O1038=TH!$X$7),"x","")</f>
        <v/>
      </c>
      <c r="Y1038" s="79" t="str">
        <f>IF(AND(OR(N1038="131",O1038="131"),H1038='131-CT'!$H$9),"x","")</f>
        <v/>
      </c>
      <c r="Z1038" s="79"/>
      <c r="AA1038" s="79" t="str">
        <f>IF(AND(MONTH(E1038)='IN-NX'!$J$5,'IN-NX'!$D$7=D1038),"x","")</f>
        <v/>
      </c>
      <c r="AB1038" s="79" t="str">
        <f>IF(AND(OR(LEFT(TH!N1038,2)="15",LEFT(TH!O1038,2)="15"),LEFT(TH!O1038,3)&lt;&gt;"111",'152-CT'!$J$8=TH!F1038),"x","")</f>
        <v/>
      </c>
      <c r="AC1038" s="79" t="str">
        <f>IF(AND(OR(LEFT(TH!N1038,2)="15",LEFT(TH!O1038,2)="15"),TK!$E$7=TH!F1038),"x","")</f>
        <v/>
      </c>
      <c r="AD1038" s="79" t="str">
        <f>IF(AND(N1038="1521",MONTH(C1038)='BK-NL'!$M$11),"x","")</f>
        <v/>
      </c>
    </row>
    <row r="1039" spans="1:30" ht="16.5" customHeight="1">
      <c r="A1039" s="318" t="str">
        <f>IF(B1039&lt;&gt;"",IF(AND(B1039='IN-TC'!$S$4,OR(TH!N1039="1111",TH!O1039="1111")),TH!D1039,""),"")</f>
        <v/>
      </c>
      <c r="B1039" s="60" t="str">
        <f>IF(C1039&lt;&gt;"",MONTH(C1039),"")</f>
        <v/>
      </c>
      <c r="C1039" s="226"/>
      <c r="D1039" s="226"/>
      <c r="E1039" s="226"/>
      <c r="F1039" s="321"/>
      <c r="G1039" s="763"/>
      <c r="H1039" s="321"/>
      <c r="I1039" s="385"/>
      <c r="J1039" s="385"/>
      <c r="K1039" s="385"/>
      <c r="L1039" s="392"/>
      <c r="M1039" s="970"/>
      <c r="N1039" s="980"/>
      <c r="O1039" s="980"/>
      <c r="P1039" s="79" t="str">
        <f>IF(AND('331-CT'!$E$7=TH!H1039,OR(N1039="331",O1039="331")),"x","")</f>
        <v/>
      </c>
      <c r="Q1039" s="79" t="str">
        <f>IF(AND(B1039='111'!$L$11,OR($N1039=$Q$7,$O1039=$Q$7)),"x","")</f>
        <v/>
      </c>
      <c r="R1039" s="79" t="str">
        <f>IF(AND($N1039=$Q$7,$B1039&lt;'111'!$L$11),"x","")</f>
        <v/>
      </c>
      <c r="S1039" s="79" t="str">
        <f>IF(AND($O1039=$Q$7,$B1039&lt;'111'!$L$11),"x","")</f>
        <v/>
      </c>
      <c r="T1039" s="79" t="str">
        <f>IF(ISERROR(FIND('112'!$M$9,G1039,1)),"",IF((AND(FIND('112'!$M$9,G1039,1)&gt;=1,B1039='112'!$K$9,OR($N1039='112'!$I$6,$O1039='112'!$I$6))),"x",""))</f>
        <v/>
      </c>
      <c r="U1039" s="79" t="str">
        <f>IF(ISERROR(FIND('112'!$M$9,G1039,1)),"",IF((AND(LEFT(G1039,2)=LEFT('112'!$M$9,2),B1039&lt;'112'!$K$9,$N1039='112'!$I$6)),"x",""))</f>
        <v/>
      </c>
      <c r="V1039" s="79" t="str">
        <f>IF(ISERROR(FIND('112'!$M$9,G1039,1)),"",IF((AND(RIGHT(G1039,2)=RIGHT('112'!$M$9,2),B1039&lt;'112'!$K$9,$O1039='112'!$I$6)),"x",""))</f>
        <v/>
      </c>
      <c r="W1039" s="79" t="str">
        <f>IF(AND('341-CT'!$H$9=H1039,OR(LEFT(N1039,3)=$W$7,LEFT(O1039,3)=$W$7)),"x","")</f>
        <v/>
      </c>
      <c r="X1039" s="79" t="str">
        <f>IF(OR(TH!N1039=TH!$X$7,O1039=TH!$X$7),"x","")</f>
        <v/>
      </c>
      <c r="Y1039" s="79" t="str">
        <f>IF(AND(OR(N1039="131",O1039="131"),H1039='131-CT'!$H$9),"x","")</f>
        <v/>
      </c>
      <c r="Z1039" s="79"/>
      <c r="AA1039" s="79" t="str">
        <f>IF(AND(MONTH(E1039)='IN-NX'!$J$5,'IN-NX'!$D$7=D1039),"x","")</f>
        <v/>
      </c>
      <c r="AB1039" s="79" t="str">
        <f>IF(AND(OR(LEFT(TH!N1039,2)="15",LEFT(TH!O1039,2)="15"),LEFT(TH!O1039,3)&lt;&gt;"111",'152-CT'!$J$8=TH!F1039),"x","")</f>
        <v/>
      </c>
      <c r="AC1039" s="79" t="str">
        <f>IF(AND(OR(LEFT(TH!N1039,2)="15",LEFT(TH!O1039,2)="15"),TK!$E$7=TH!F1039),"x","")</f>
        <v/>
      </c>
      <c r="AD1039" s="79" t="str">
        <f>IF(AND(N1039="1521",MONTH(C1039)='BK-NL'!$M$11),"x","")</f>
        <v/>
      </c>
    </row>
    <row r="1040" spans="1:30" ht="16.5" customHeight="1">
      <c r="A1040" s="318" t="str">
        <f>IF(B1040&lt;&gt;"",IF(AND(B1040='IN-TC'!$S$4,OR(TH!N1040="1111",TH!O1040="1111")),TH!D1040,""),"")</f>
        <v/>
      </c>
      <c r="B1040" s="60" t="str">
        <f t="shared" ref="B1040:B1044" si="169">IF(C1040&lt;&gt;"",MONTH(C1040),"")</f>
        <v/>
      </c>
      <c r="C1040" s="261"/>
      <c r="D1040" s="261"/>
      <c r="E1040" s="261"/>
      <c r="F1040" s="1103"/>
      <c r="G1040" s="1104"/>
      <c r="H1040" s="759"/>
      <c r="I1040" s="383"/>
      <c r="J1040" s="383"/>
      <c r="K1040" s="383"/>
      <c r="L1040" s="390"/>
      <c r="M1040" s="978"/>
      <c r="N1040" s="1019"/>
      <c r="O1040" s="1019"/>
      <c r="P1040" s="79" t="str">
        <f>IF(AND('331-CT'!$E$7=TH!H1040,OR(N1040="331",O1040="331")),"x","")</f>
        <v/>
      </c>
      <c r="Q1040" s="79" t="str">
        <f>IF(AND(B1040='111'!$L$11,OR($N1040=$Q$7,$O1040=$Q$7)),"x","")</f>
        <v/>
      </c>
      <c r="R1040" s="79" t="str">
        <f>IF(AND($N1040=$Q$7,$B1040&lt;'111'!$L$11),"x","")</f>
        <v/>
      </c>
      <c r="S1040" s="79" t="str">
        <f>IF(AND($O1040=$Q$7,$B1040&lt;'111'!$L$11),"x","")</f>
        <v/>
      </c>
      <c r="T1040" s="79" t="str">
        <f>IF(ISERROR(FIND('112'!$M$9,G1040,1)),"",IF((AND(FIND('112'!$M$9,G1040,1)&gt;=1,B1040='112'!$K$9,OR($N1040='112'!$I$6,$O1040='112'!$I$6))),"x",""))</f>
        <v/>
      </c>
      <c r="U1040" s="79" t="str">
        <f>IF(ISERROR(FIND('112'!$M$9,G1040,1)),"",IF((AND(LEFT(G1040,2)=LEFT('112'!$M$9,2),B1040&lt;'112'!$K$9,$N1040='112'!$I$6)),"x",""))</f>
        <v/>
      </c>
      <c r="V1040" s="79" t="str">
        <f>IF(ISERROR(FIND('112'!$M$9,G1040,1)),"",IF((AND(RIGHT(G1040,2)=RIGHT('112'!$M$9,2),B1040&lt;'112'!$K$9,$O1040='112'!$I$6)),"x",""))</f>
        <v/>
      </c>
      <c r="W1040" s="79" t="str">
        <f>IF(AND('341-CT'!$H$9=H1040,OR(LEFT(N1040,3)=$W$7,LEFT(O1040,3)=$W$7)),"x","")</f>
        <v/>
      </c>
      <c r="X1040" s="79" t="str">
        <f>IF(OR(TH!N1040=TH!$X$7,O1040=TH!$X$7),"x","")</f>
        <v/>
      </c>
      <c r="Y1040" s="79" t="str">
        <f>IF(AND(OR(N1040="131",O1040="131"),H1040='131-CT'!$H$9),"x","")</f>
        <v/>
      </c>
      <c r="Z1040" s="79"/>
      <c r="AA1040" s="79" t="str">
        <f>IF(AND(MONTH(E1040)='IN-NX'!$J$5,'IN-NX'!$D$7=D1040),"x","")</f>
        <v/>
      </c>
      <c r="AB1040" s="79" t="str">
        <f>IF(AND(OR(LEFT(TH!N1040,2)="15",LEFT(TH!O1040,2)="15"),LEFT(TH!O1040,3)&lt;&gt;"111",'152-CT'!$J$8=TH!F1040),"x","")</f>
        <v/>
      </c>
      <c r="AC1040" s="79" t="str">
        <f>IF(AND(OR(LEFT(TH!N1040,2)="15",LEFT(TH!O1040,2)="15"),TK!$E$7=TH!F1040),"x","")</f>
        <v/>
      </c>
      <c r="AD1040" s="79" t="str">
        <f>IF(AND(N1040="1521",MONTH(C1040)='BK-NL'!$M$11),"x","")</f>
        <v/>
      </c>
    </row>
    <row r="1041" spans="1:30" ht="16.5" customHeight="1">
      <c r="A1041" s="318" t="str">
        <f>IF(B1041&lt;&gt;"",IF(AND(B1041='IN-TC'!$S$4,OR(TH!N1041="1111",TH!O1041="1111")),TH!D1041,""),"")</f>
        <v/>
      </c>
      <c r="B1041" s="60" t="str">
        <f>IF(C1041&lt;&gt;"",MONTH(C1041),"")</f>
        <v/>
      </c>
      <c r="C1041" s="226"/>
      <c r="D1041" s="226"/>
      <c r="E1041" s="226"/>
      <c r="F1041" s="446"/>
      <c r="G1041" s="763"/>
      <c r="H1041" s="321"/>
      <c r="I1041" s="385"/>
      <c r="J1041" s="392"/>
      <c r="K1041" s="385"/>
      <c r="L1041" s="392"/>
      <c r="M1041" s="970"/>
      <c r="N1041" s="980"/>
      <c r="O1041" s="980"/>
      <c r="P1041" s="79" t="str">
        <f>IF(AND('331-CT'!$E$7=TH!H1041,OR(N1041="331",O1041="331")),"x","")</f>
        <v/>
      </c>
      <c r="Q1041" s="79" t="str">
        <f>IF(AND(B1041='111'!$L$11,OR($N1041=$Q$7,$O1041=$Q$7)),"x","")</f>
        <v/>
      </c>
      <c r="R1041" s="79" t="str">
        <f>IF(AND($N1041=$Q$7,$B1041&lt;'111'!$L$11),"x","")</f>
        <v/>
      </c>
      <c r="S1041" s="79" t="str">
        <f>IF(AND($O1041=$Q$7,$B1041&lt;'111'!$L$11),"x","")</f>
        <v/>
      </c>
      <c r="T1041" s="79" t="str">
        <f>IF(ISERROR(FIND('112'!$M$9,G1041,1)),"",IF((AND(FIND('112'!$M$9,G1041,1)&gt;=1,B1041='112'!$K$9,OR($N1041='112'!$I$6,$O1041='112'!$I$6))),"x",""))</f>
        <v/>
      </c>
      <c r="U1041" s="79" t="str">
        <f>IF(ISERROR(FIND('112'!$M$9,G1041,1)),"",IF((AND(LEFT(G1041,2)=LEFT('112'!$M$9,2),B1041&lt;'112'!$K$9,$N1041='112'!$I$6)),"x",""))</f>
        <v/>
      </c>
      <c r="V1041" s="79" t="str">
        <f>IF(ISERROR(FIND('112'!$M$9,G1041,1)),"",IF((AND(RIGHT(G1041,2)=RIGHT('112'!$M$9,2),B1041&lt;'112'!$K$9,$O1041='112'!$I$6)),"x",""))</f>
        <v/>
      </c>
      <c r="W1041" s="79" t="str">
        <f>IF(AND('341-CT'!$H$9=H1041,OR(LEFT(N1041,3)=$W$7,LEFT(O1041,3)=$W$7)),"x","")</f>
        <v/>
      </c>
      <c r="X1041" s="79" t="str">
        <f>IF(OR(TH!N1041=TH!$X$7,O1041=TH!$X$7),"x","")</f>
        <v/>
      </c>
      <c r="Y1041" s="79" t="str">
        <f>IF(AND(OR(N1041="131",O1041="131"),H1041='131-CT'!$H$9),"x","")</f>
        <v/>
      </c>
      <c r="Z1041" s="79"/>
      <c r="AA1041" s="79" t="str">
        <f>IF(AND(MONTH(E1041)='IN-NX'!$J$5,'IN-NX'!$D$7=D1041),"x","")</f>
        <v/>
      </c>
      <c r="AB1041" s="79" t="str">
        <f>IF(AND(OR(LEFT(TH!N1041,2)="15",LEFT(TH!O1041,2)="15"),LEFT(TH!O1041,3)&lt;&gt;"111",'152-CT'!$J$8=TH!F1041),"x","")</f>
        <v/>
      </c>
      <c r="AC1041" s="79" t="str">
        <f>IF(AND(OR(LEFT(TH!N1041,2)="15",LEFT(TH!O1041,2)="15"),TK!$E$7=TH!F1041),"x","")</f>
        <v/>
      </c>
      <c r="AD1041" s="79" t="str">
        <f>IF(AND(N1041="1521",MONTH(C1041)='BK-NL'!$M$11),"x","")</f>
        <v/>
      </c>
    </row>
    <row r="1042" spans="1:30" ht="16.5" customHeight="1">
      <c r="A1042" s="318" t="str">
        <f>IF(B1042&lt;&gt;"",IF(AND(B1042='IN-TC'!$S$4,OR(TH!N1042="1111",TH!O1042="1111")),TH!D1042,""),"")</f>
        <v/>
      </c>
      <c r="B1042" s="60" t="str">
        <f>IF(C1042&lt;&gt;"",MONTH(C1042),"")</f>
        <v/>
      </c>
      <c r="C1042" s="226"/>
      <c r="D1042" s="226"/>
      <c r="E1042" s="226"/>
      <c r="F1042" s="446"/>
      <c r="G1042" s="763"/>
      <c r="H1042" s="321"/>
      <c r="I1042" s="385"/>
      <c r="J1042" s="392"/>
      <c r="K1042" s="385"/>
      <c r="L1042" s="392"/>
      <c r="M1042" s="970"/>
      <c r="N1042" s="980"/>
      <c r="O1042" s="980"/>
      <c r="P1042" s="79" t="str">
        <f>IF(AND('331-CT'!$E$7=TH!H1042,OR(N1042="331",O1042="331")),"x","")</f>
        <v/>
      </c>
      <c r="Q1042" s="79" t="str">
        <f>IF(AND(B1042='111'!$L$11,OR($N1042=$Q$7,$O1042=$Q$7)),"x","")</f>
        <v/>
      </c>
      <c r="R1042" s="79" t="str">
        <f>IF(AND($N1042=$Q$7,$B1042&lt;'111'!$L$11),"x","")</f>
        <v/>
      </c>
      <c r="S1042" s="79" t="str">
        <f>IF(AND($O1042=$Q$7,$B1042&lt;'111'!$L$11),"x","")</f>
        <v/>
      </c>
      <c r="T1042" s="79" t="str">
        <f>IF(ISERROR(FIND('112'!$M$9,G1042,1)),"",IF((AND(FIND('112'!$M$9,G1042,1)&gt;=1,B1042='112'!$K$9,OR($N1042='112'!$I$6,$O1042='112'!$I$6))),"x",""))</f>
        <v/>
      </c>
      <c r="U1042" s="79" t="str">
        <f>IF(ISERROR(FIND('112'!$M$9,G1042,1)),"",IF((AND(LEFT(G1042,2)=LEFT('112'!$M$9,2),B1042&lt;'112'!$K$9,$N1042='112'!$I$6)),"x",""))</f>
        <v/>
      </c>
      <c r="V1042" s="79" t="str">
        <f>IF(ISERROR(FIND('112'!$M$9,G1042,1)),"",IF((AND(RIGHT(G1042,2)=RIGHT('112'!$M$9,2),B1042&lt;'112'!$K$9,$O1042='112'!$I$6)),"x",""))</f>
        <v/>
      </c>
      <c r="W1042" s="79" t="str">
        <f>IF(AND('341-CT'!$H$9=H1042,OR(LEFT(N1042,3)=$W$7,LEFT(O1042,3)=$W$7)),"x","")</f>
        <v/>
      </c>
      <c r="X1042" s="79" t="str">
        <f>IF(OR(TH!N1042=TH!$X$7,O1042=TH!$X$7),"x","")</f>
        <v/>
      </c>
      <c r="Y1042" s="79" t="str">
        <f>IF(AND(OR(N1042="131",O1042="131"),H1042='131-CT'!$H$9),"x","")</f>
        <v/>
      </c>
      <c r="Z1042" s="79"/>
      <c r="AA1042" s="79" t="str">
        <f>IF(AND(MONTH(E1042)='IN-NX'!$J$5,'IN-NX'!$D$7=D1042),"x","")</f>
        <v/>
      </c>
      <c r="AB1042" s="79" t="str">
        <f>IF(AND(OR(LEFT(TH!N1042,2)="15",LEFT(TH!O1042,2)="15"),LEFT(TH!O1042,3)&lt;&gt;"111",'152-CT'!$J$8=TH!F1042),"x","")</f>
        <v/>
      </c>
      <c r="AC1042" s="79" t="str">
        <f>IF(AND(OR(LEFT(TH!N1042,2)="15",LEFT(TH!O1042,2)="15"),TK!$E$7=TH!F1042),"x","")</f>
        <v/>
      </c>
      <c r="AD1042" s="79" t="str">
        <f>IF(AND(N1042="1521",MONTH(C1042)='BK-NL'!$M$11),"x","")</f>
        <v/>
      </c>
    </row>
    <row r="1043" spans="1:30" ht="16.5" customHeight="1">
      <c r="A1043" s="318" t="str">
        <f>IF(B1043&lt;&gt;"",IF(AND(B1043='IN-TC'!$S$4,OR(TH!N1043="1111",TH!O1043="1111")),TH!D1043,""),"")</f>
        <v/>
      </c>
      <c r="B1043" s="60" t="str">
        <f t="shared" ref="B1043" si="170">IF(C1043&lt;&gt;"",MONTH(C1043),"")</f>
        <v/>
      </c>
      <c r="C1043" s="261"/>
      <c r="D1043" s="261"/>
      <c r="E1043" s="261"/>
      <c r="F1043" s="1103"/>
      <c r="G1043" s="1104"/>
      <c r="H1043" s="759"/>
      <c r="I1043" s="383"/>
      <c r="J1043" s="383"/>
      <c r="K1043" s="383"/>
      <c r="L1043" s="390"/>
      <c r="M1043" s="978"/>
      <c r="N1043" s="1019"/>
      <c r="O1043" s="1019"/>
      <c r="P1043" s="79" t="str">
        <f>IF(AND('331-CT'!$E$7=TH!H1043,OR(N1043="331",O1043="331")),"x","")</f>
        <v/>
      </c>
      <c r="Q1043" s="79" t="str">
        <f>IF(AND(B1043='111'!$L$11,OR($N1043=$Q$7,$O1043=$Q$7)),"x","")</f>
        <v/>
      </c>
      <c r="R1043" s="79" t="str">
        <f>IF(AND($N1043=$Q$7,$B1043&lt;'111'!$L$11),"x","")</f>
        <v/>
      </c>
      <c r="S1043" s="79" t="str">
        <f>IF(AND($O1043=$Q$7,$B1043&lt;'111'!$L$11),"x","")</f>
        <v/>
      </c>
      <c r="T1043" s="79" t="str">
        <f>IF(ISERROR(FIND('112'!$M$9,G1043,1)),"",IF((AND(FIND('112'!$M$9,G1043,1)&gt;=1,B1043='112'!$K$9,OR($N1043='112'!$I$6,$O1043='112'!$I$6))),"x",""))</f>
        <v/>
      </c>
      <c r="U1043" s="79" t="str">
        <f>IF(ISERROR(FIND('112'!$M$9,G1043,1)),"",IF((AND(LEFT(G1043,2)=LEFT('112'!$M$9,2),B1043&lt;'112'!$K$9,$N1043='112'!$I$6)),"x",""))</f>
        <v/>
      </c>
      <c r="V1043" s="79" t="str">
        <f>IF(ISERROR(FIND('112'!$M$9,G1043,1)),"",IF((AND(RIGHT(G1043,2)=RIGHT('112'!$M$9,2),B1043&lt;'112'!$K$9,$O1043='112'!$I$6)),"x",""))</f>
        <v/>
      </c>
      <c r="W1043" s="79" t="str">
        <f>IF(AND('341-CT'!$H$9=H1043,OR(LEFT(N1043,3)=$W$7,LEFT(O1043,3)=$W$7)),"x","")</f>
        <v/>
      </c>
      <c r="X1043" s="79" t="str">
        <f>IF(OR(TH!N1043=TH!$X$7,O1043=TH!$X$7),"x","")</f>
        <v/>
      </c>
      <c r="Y1043" s="79" t="str">
        <f>IF(AND(OR(N1043="131",O1043="131"),H1043='131-CT'!$H$9),"x","")</f>
        <v/>
      </c>
      <c r="Z1043" s="79"/>
      <c r="AA1043" s="79" t="str">
        <f>IF(AND(MONTH(E1043)='IN-NX'!$J$5,'IN-NX'!$D$7=D1043),"x","")</f>
        <v/>
      </c>
      <c r="AB1043" s="79" t="str">
        <f>IF(AND(OR(LEFT(TH!N1043,2)="15",LEFT(TH!O1043,2)="15"),LEFT(TH!O1043,3)&lt;&gt;"111",'152-CT'!$J$8=TH!F1043),"x","")</f>
        <v/>
      </c>
      <c r="AC1043" s="79" t="str">
        <f>IF(AND(OR(LEFT(TH!N1043,2)="15",LEFT(TH!O1043,2)="15"),TK!$E$7=TH!F1043),"x","")</f>
        <v/>
      </c>
      <c r="AD1043" s="79" t="str">
        <f>IF(AND(N1043="1521",MONTH(C1043)='BK-NL'!$M$11),"x","")</f>
        <v/>
      </c>
    </row>
    <row r="1044" spans="1:30" ht="16.5" customHeight="1">
      <c r="A1044" s="318" t="str">
        <f>IF(B1044&lt;&gt;"",IF(AND(B1044='IN-TC'!$S$4,OR(TH!N1044="1111",TH!O1044="1111")),TH!D1044,""),"")</f>
        <v/>
      </c>
      <c r="B1044" s="60" t="str">
        <f t="shared" si="169"/>
        <v/>
      </c>
      <c r="C1044" s="261"/>
      <c r="D1044" s="261"/>
      <c r="E1044" s="261"/>
      <c r="F1044" s="1103"/>
      <c r="G1044" s="1104"/>
      <c r="H1044" s="759"/>
      <c r="I1044" s="383"/>
      <c r="J1044" s="383"/>
      <c r="K1044" s="383"/>
      <c r="L1044" s="390"/>
      <c r="M1044" s="978"/>
      <c r="N1044" s="1019"/>
      <c r="O1044" s="1019"/>
      <c r="P1044" s="79" t="str">
        <f>IF(AND('331-CT'!$E$7=TH!H1044,OR(N1044="331",O1044="331")),"x","")</f>
        <v/>
      </c>
      <c r="Q1044" s="79" t="str">
        <f>IF(AND(B1044='111'!$L$11,OR($N1044=$Q$7,$O1044=$Q$7)),"x","")</f>
        <v/>
      </c>
      <c r="R1044" s="79" t="str">
        <f>IF(AND($N1044=$Q$7,$B1044&lt;'111'!$L$11),"x","")</f>
        <v/>
      </c>
      <c r="S1044" s="79" t="str">
        <f>IF(AND($O1044=$Q$7,$B1044&lt;'111'!$L$11),"x","")</f>
        <v/>
      </c>
      <c r="T1044" s="79" t="str">
        <f>IF(ISERROR(FIND('112'!$M$9,G1044,1)),"",IF((AND(FIND('112'!$M$9,G1044,1)&gt;=1,B1044='112'!$K$9,OR($N1044='112'!$I$6,$O1044='112'!$I$6))),"x",""))</f>
        <v/>
      </c>
      <c r="U1044" s="79" t="str">
        <f>IF(ISERROR(FIND('112'!$M$9,G1044,1)),"",IF((AND(LEFT(G1044,2)=LEFT('112'!$M$9,2),B1044&lt;'112'!$K$9,$N1044='112'!$I$6)),"x",""))</f>
        <v/>
      </c>
      <c r="V1044" s="79" t="str">
        <f>IF(ISERROR(FIND('112'!$M$9,G1044,1)),"",IF((AND(RIGHT(G1044,2)=RIGHT('112'!$M$9,2),B1044&lt;'112'!$K$9,$O1044='112'!$I$6)),"x",""))</f>
        <v/>
      </c>
      <c r="W1044" s="79" t="str">
        <f>IF(AND('341-CT'!$H$9=H1044,OR(LEFT(N1044,3)=$W$7,LEFT(O1044,3)=$W$7)),"x","")</f>
        <v/>
      </c>
      <c r="X1044" s="79" t="str">
        <f>IF(OR(TH!N1044=TH!$X$7,O1044=TH!$X$7),"x","")</f>
        <v/>
      </c>
      <c r="Y1044" s="79" t="str">
        <f>IF(AND(OR(N1044="131",O1044="131"),H1044='131-CT'!$H$9),"x","")</f>
        <v/>
      </c>
      <c r="Z1044" s="79"/>
      <c r="AA1044" s="79" t="str">
        <f>IF(AND(MONTH(E1044)='IN-NX'!$J$5,'IN-NX'!$D$7=D1044),"x","")</f>
        <v/>
      </c>
      <c r="AB1044" s="79" t="str">
        <f>IF(AND(OR(LEFT(TH!N1044,2)="15",LEFT(TH!O1044,2)="15"),LEFT(TH!O1044,3)&lt;&gt;"111",'152-CT'!$J$8=TH!F1044),"x","")</f>
        <v/>
      </c>
      <c r="AC1044" s="79" t="str">
        <f>IF(AND(OR(LEFT(TH!N1044,2)="15",LEFT(TH!O1044,2)="15"),TK!$E$7=TH!F1044),"x","")</f>
        <v/>
      </c>
      <c r="AD1044" s="79" t="str">
        <f>IF(AND(N1044="1521",MONTH(C1044)='BK-NL'!$M$11),"x","")</f>
        <v/>
      </c>
    </row>
    <row r="1045" spans="1:30" ht="16.5" customHeight="1">
      <c r="A1045" s="318" t="str">
        <f>IF(B1045&lt;&gt;"",IF(AND(B1045='IN-TC'!$S$4,OR(TH!N1045="1111",TH!O1045="1111")),TH!D1045,""),"")</f>
        <v/>
      </c>
      <c r="B1045" s="60" t="str">
        <f t="shared" ref="B1045" si="171">IF(C1045&lt;&gt;"",MONTH(C1045),"")</f>
        <v/>
      </c>
      <c r="C1045" s="261"/>
      <c r="D1045" s="261"/>
      <c r="E1045" s="261"/>
      <c r="F1045" s="1103"/>
      <c r="G1045" s="1104"/>
      <c r="H1045" s="759"/>
      <c r="I1045" s="383"/>
      <c r="J1045" s="383"/>
      <c r="K1045" s="383"/>
      <c r="L1045" s="390"/>
      <c r="M1045" s="978"/>
      <c r="N1045" s="1019"/>
      <c r="O1045" s="1019"/>
      <c r="P1045" s="79" t="str">
        <f>IF(AND('331-CT'!$E$7=TH!H1045,OR(N1045="331",O1045="331")),"x","")</f>
        <v/>
      </c>
      <c r="Q1045" s="79" t="str">
        <f>IF(AND(B1045='111'!$L$11,OR($N1045=$Q$7,$O1045=$Q$7)),"x","")</f>
        <v/>
      </c>
      <c r="R1045" s="79" t="str">
        <f>IF(AND($N1045=$Q$7,$B1045&lt;'111'!$L$11),"x","")</f>
        <v/>
      </c>
      <c r="S1045" s="79" t="str">
        <f>IF(AND($O1045=$Q$7,$B1045&lt;'111'!$L$11),"x","")</f>
        <v/>
      </c>
      <c r="T1045" s="79" t="str">
        <f>IF(ISERROR(FIND('112'!$M$9,G1045,1)),"",IF((AND(FIND('112'!$M$9,G1045,1)&gt;=1,B1045='112'!$K$9,OR($N1045='112'!$I$6,$O1045='112'!$I$6))),"x",""))</f>
        <v/>
      </c>
      <c r="U1045" s="79" t="str">
        <f>IF(ISERROR(FIND('112'!$M$9,G1045,1)),"",IF((AND(LEFT(G1045,2)=LEFT('112'!$M$9,2),B1045&lt;'112'!$K$9,$N1045='112'!$I$6)),"x",""))</f>
        <v/>
      </c>
      <c r="V1045" s="79" t="str">
        <f>IF(ISERROR(FIND('112'!$M$9,G1045,1)),"",IF((AND(RIGHT(G1045,2)=RIGHT('112'!$M$9,2),B1045&lt;'112'!$K$9,$O1045='112'!$I$6)),"x",""))</f>
        <v/>
      </c>
      <c r="W1045" s="79" t="str">
        <f>IF(AND('341-CT'!$H$9=H1045,OR(LEFT(N1045,3)=$W$7,LEFT(O1045,3)=$W$7)),"x","")</f>
        <v/>
      </c>
      <c r="X1045" s="79" t="str">
        <f>IF(OR(TH!N1045=TH!$X$7,O1045=TH!$X$7),"x","")</f>
        <v/>
      </c>
      <c r="Y1045" s="79" t="str">
        <f>IF(AND(OR(N1045="131",O1045="131"),H1045='131-CT'!$H$9),"x","")</f>
        <v/>
      </c>
      <c r="Z1045" s="79"/>
      <c r="AA1045" s="79" t="str">
        <f>IF(AND(MONTH(E1045)='IN-NX'!$J$5,'IN-NX'!$D$7=D1045),"x","")</f>
        <v/>
      </c>
      <c r="AB1045" s="79" t="str">
        <f>IF(AND(OR(LEFT(TH!N1045,2)="15",LEFT(TH!O1045,2)="15"),LEFT(TH!O1045,3)&lt;&gt;"111",'152-CT'!$J$8=TH!F1045),"x","")</f>
        <v/>
      </c>
      <c r="AC1045" s="79" t="str">
        <f>IF(AND(OR(LEFT(TH!N1045,2)="15",LEFT(TH!O1045,2)="15"),TK!$E$7=TH!F1045),"x","")</f>
        <v/>
      </c>
      <c r="AD1045" s="79" t="str">
        <f>IF(AND(N1045="1521",MONTH(C1045)='BK-NL'!$M$11),"x","")</f>
        <v/>
      </c>
    </row>
    <row r="1046" spans="1:30" ht="16.5" customHeight="1">
      <c r="A1046" s="318" t="str">
        <f>IF(B1046&lt;&gt;"",IF(AND(B1046='IN-TC'!$S$4,OR(TH!N1046="1111",TH!O1046="1111")),TH!D1046,""),"")</f>
        <v/>
      </c>
      <c r="B1046" s="60" t="str">
        <f t="shared" ref="B1046:B1064" si="172">IF(C1046&lt;&gt;"",MONTH(C1046),"")</f>
        <v/>
      </c>
      <c r="C1046" s="261"/>
      <c r="D1046" s="261"/>
      <c r="E1046" s="261"/>
      <c r="F1046" s="1103"/>
      <c r="G1046" s="1104"/>
      <c r="H1046" s="759"/>
      <c r="I1046" s="383"/>
      <c r="J1046" s="383"/>
      <c r="K1046" s="383"/>
      <c r="L1046" s="390"/>
      <c r="M1046" s="1248"/>
      <c r="N1046" s="1019"/>
      <c r="O1046" s="1019"/>
      <c r="P1046" s="79" t="str">
        <f>IF(AND('331-CT'!$E$7=TH!H1046,OR(N1046="331",O1046="331")),"x","")</f>
        <v/>
      </c>
      <c r="Q1046" s="79" t="str">
        <f>IF(AND(B1046='111'!$L$11,OR($N1046=$Q$7,$O1046=$Q$7)),"x","")</f>
        <v/>
      </c>
      <c r="R1046" s="79" t="str">
        <f>IF(AND($N1046=$Q$7,$B1046&lt;'111'!$L$11),"x","")</f>
        <v/>
      </c>
      <c r="S1046" s="79" t="str">
        <f>IF(AND($O1046=$Q$7,$B1046&lt;'111'!$L$11),"x","")</f>
        <v/>
      </c>
      <c r="T1046" s="79" t="str">
        <f>IF(ISERROR(FIND('112'!$M$9,G1046,1)),"",IF((AND(FIND('112'!$M$9,G1046,1)&gt;=1,B1046='112'!$K$9,OR($N1046='112'!$I$6,$O1046='112'!$I$6))),"x",""))</f>
        <v/>
      </c>
      <c r="U1046" s="79" t="str">
        <f>IF(ISERROR(FIND('112'!$M$9,G1046,1)),"",IF((AND(LEFT(G1046,2)=LEFT('112'!$M$9,2),B1046&lt;'112'!$K$9,$N1046='112'!$I$6)),"x",""))</f>
        <v/>
      </c>
      <c r="V1046" s="79" t="str">
        <f>IF(ISERROR(FIND('112'!$M$9,G1046,1)),"",IF((AND(RIGHT(G1046,2)=RIGHT('112'!$M$9,2),B1046&lt;'112'!$K$9,$O1046='112'!$I$6)),"x",""))</f>
        <v/>
      </c>
      <c r="W1046" s="79" t="str">
        <f>IF(AND('341-CT'!$H$9=H1046,OR(LEFT(N1046,3)=$W$7,LEFT(O1046,3)=$W$7)),"x","")</f>
        <v/>
      </c>
      <c r="X1046" s="79" t="str">
        <f>IF(OR(TH!N1046=TH!$X$7,O1046=TH!$X$7),"x","")</f>
        <v/>
      </c>
      <c r="Y1046" s="79" t="str">
        <f>IF(AND(OR(N1046="131",O1046="131"),H1046='131-CT'!$H$9),"x","")</f>
        <v/>
      </c>
      <c r="Z1046" s="79"/>
      <c r="AA1046" s="79" t="str">
        <f>IF(AND(MONTH(E1046)='IN-NX'!$J$5,'IN-NX'!$D$7=D1046),"x","")</f>
        <v/>
      </c>
      <c r="AB1046" s="79" t="str">
        <f>IF(AND(OR(LEFT(TH!N1046,2)="15",LEFT(TH!O1046,2)="15"),LEFT(TH!O1046,3)&lt;&gt;"111",'152-CT'!$J$8=TH!F1046),"x","")</f>
        <v/>
      </c>
      <c r="AC1046" s="79" t="str">
        <f>IF(AND(OR(LEFT(TH!N1046,2)="15",LEFT(TH!O1046,2)="15"),TK!$E$7=TH!F1046),"x","")</f>
        <v/>
      </c>
      <c r="AD1046" s="79" t="str">
        <f>IF(AND(N1046="1521",MONTH(C1046)='BK-NL'!$M$11),"x","")</f>
        <v/>
      </c>
    </row>
    <row r="1047" spans="1:30" ht="16.5" customHeight="1">
      <c r="A1047" s="318" t="str">
        <f>IF(B1047&lt;&gt;"",IF(AND(B1047='IN-TC'!$S$4,OR(TH!N1047="1111",TH!O1047="1111")),TH!D1047,""),"")</f>
        <v/>
      </c>
      <c r="B1047" s="60" t="str">
        <f t="shared" si="172"/>
        <v/>
      </c>
      <c r="C1047" s="261"/>
      <c r="D1047" s="261"/>
      <c r="E1047" s="261"/>
      <c r="F1047" s="1103"/>
      <c r="G1047" s="1104"/>
      <c r="H1047" s="759"/>
      <c r="I1047" s="383"/>
      <c r="J1047" s="383"/>
      <c r="K1047" s="383"/>
      <c r="L1047" s="390"/>
      <c r="M1047" s="1248"/>
      <c r="N1047" s="1019"/>
      <c r="O1047" s="1019"/>
      <c r="P1047" s="79" t="str">
        <f>IF(AND('331-CT'!$E$7=TH!H1047,OR(N1047="331",O1047="331")),"x","")</f>
        <v/>
      </c>
      <c r="Q1047" s="79" t="str">
        <f>IF(AND(B1047='111'!$L$11,OR($N1047=$Q$7,$O1047=$Q$7)),"x","")</f>
        <v/>
      </c>
      <c r="R1047" s="79" t="str">
        <f>IF(AND($N1047=$Q$7,$B1047&lt;'111'!$L$11),"x","")</f>
        <v/>
      </c>
      <c r="S1047" s="79" t="str">
        <f>IF(AND($O1047=$Q$7,$B1047&lt;'111'!$L$11),"x","")</f>
        <v/>
      </c>
      <c r="T1047" s="79" t="str">
        <f>IF(ISERROR(FIND('112'!$M$9,G1047,1)),"",IF((AND(FIND('112'!$M$9,G1047,1)&gt;=1,B1047='112'!$K$9,OR($N1047='112'!$I$6,$O1047='112'!$I$6))),"x",""))</f>
        <v/>
      </c>
      <c r="U1047" s="79" t="str">
        <f>IF(ISERROR(FIND('112'!$M$9,G1047,1)),"",IF((AND(LEFT(G1047,2)=LEFT('112'!$M$9,2),B1047&lt;'112'!$K$9,$N1047='112'!$I$6)),"x",""))</f>
        <v/>
      </c>
      <c r="V1047" s="79" t="str">
        <f>IF(ISERROR(FIND('112'!$M$9,G1047,1)),"",IF((AND(RIGHT(G1047,2)=RIGHT('112'!$M$9,2),B1047&lt;'112'!$K$9,$O1047='112'!$I$6)),"x",""))</f>
        <v/>
      </c>
      <c r="W1047" s="79" t="str">
        <f>IF(AND('341-CT'!$H$9=H1047,OR(LEFT(N1047,3)=$W$7,LEFT(O1047,3)=$W$7)),"x","")</f>
        <v/>
      </c>
      <c r="X1047" s="79" t="str">
        <f>IF(OR(TH!N1047=TH!$X$7,O1047=TH!$X$7),"x","")</f>
        <v/>
      </c>
      <c r="Y1047" s="79" t="str">
        <f>IF(AND(OR(N1047="131",O1047="131"),H1047='131-CT'!$H$9),"x","")</f>
        <v/>
      </c>
      <c r="Z1047" s="79"/>
      <c r="AA1047" s="79" t="str">
        <f>IF(AND(MONTH(E1047)='IN-NX'!$J$5,'IN-NX'!$D$7=D1047),"x","")</f>
        <v/>
      </c>
      <c r="AB1047" s="79" t="str">
        <f>IF(AND(OR(LEFT(TH!N1047,2)="15",LEFT(TH!O1047,2)="15"),LEFT(TH!O1047,3)&lt;&gt;"111",'152-CT'!$J$8=TH!F1047),"x","")</f>
        <v/>
      </c>
      <c r="AC1047" s="79" t="str">
        <f>IF(AND(OR(LEFT(TH!N1047,2)="15",LEFT(TH!O1047,2)="15"),TK!$E$7=TH!F1047),"x","")</f>
        <v/>
      </c>
      <c r="AD1047" s="79" t="str">
        <f>IF(AND(N1047="1521",MONTH(C1047)='BK-NL'!$M$11),"x","")</f>
        <v/>
      </c>
    </row>
    <row r="1048" spans="1:30" ht="16.5" customHeight="1">
      <c r="A1048" s="318" t="str">
        <f>IF(B1048&lt;&gt;"",IF(AND(B1048='IN-TC'!$S$4,OR(TH!N1048="1111",TH!O1048="1111")),TH!D1048,""),"")</f>
        <v/>
      </c>
      <c r="B1048" s="60" t="str">
        <f t="shared" si="172"/>
        <v/>
      </c>
      <c r="C1048" s="261"/>
      <c r="D1048" s="261"/>
      <c r="E1048" s="261"/>
      <c r="F1048" s="1103"/>
      <c r="G1048" s="1104"/>
      <c r="H1048" s="759"/>
      <c r="I1048" s="383"/>
      <c r="J1048" s="383"/>
      <c r="K1048" s="383"/>
      <c r="L1048" s="390"/>
      <c r="M1048" s="1248"/>
      <c r="N1048" s="1019"/>
      <c r="O1048" s="1019"/>
      <c r="P1048" s="79" t="str">
        <f>IF(AND('331-CT'!$E$7=TH!H1048,OR(N1048="331",O1048="331")),"x","")</f>
        <v/>
      </c>
      <c r="Q1048" s="79" t="str">
        <f>IF(AND(B1048='111'!$L$11,OR($N1048=$Q$7,$O1048=$Q$7)),"x","")</f>
        <v/>
      </c>
      <c r="R1048" s="79" t="str">
        <f>IF(AND($N1048=$Q$7,$B1048&lt;'111'!$L$11),"x","")</f>
        <v/>
      </c>
      <c r="S1048" s="79" t="str">
        <f>IF(AND($O1048=$Q$7,$B1048&lt;'111'!$L$11),"x","")</f>
        <v/>
      </c>
      <c r="T1048" s="79" t="str">
        <f>IF(ISERROR(FIND('112'!$M$9,G1048,1)),"",IF((AND(FIND('112'!$M$9,G1048,1)&gt;=1,B1048='112'!$K$9,OR($N1048='112'!$I$6,$O1048='112'!$I$6))),"x",""))</f>
        <v/>
      </c>
      <c r="U1048" s="79" t="str">
        <f>IF(ISERROR(FIND('112'!$M$9,G1048,1)),"",IF((AND(LEFT(G1048,2)=LEFT('112'!$M$9,2),B1048&lt;'112'!$K$9,$N1048='112'!$I$6)),"x",""))</f>
        <v/>
      </c>
      <c r="V1048" s="79" t="str">
        <f>IF(ISERROR(FIND('112'!$M$9,G1048,1)),"",IF((AND(RIGHT(G1048,2)=RIGHT('112'!$M$9,2),B1048&lt;'112'!$K$9,$O1048='112'!$I$6)),"x",""))</f>
        <v/>
      </c>
      <c r="W1048" s="79" t="str">
        <f>IF(AND('341-CT'!$H$9=H1048,OR(LEFT(N1048,3)=$W$7,LEFT(O1048,3)=$W$7)),"x","")</f>
        <v/>
      </c>
      <c r="X1048" s="79" t="str">
        <f>IF(OR(TH!N1048=TH!$X$7,O1048=TH!$X$7),"x","")</f>
        <v/>
      </c>
      <c r="Y1048" s="79" t="str">
        <f>IF(AND(OR(N1048="131",O1048="131"),H1048='131-CT'!$H$9),"x","")</f>
        <v/>
      </c>
      <c r="Z1048" s="79"/>
      <c r="AA1048" s="79" t="str">
        <f>IF(AND(MONTH(E1048)='IN-NX'!$J$5,'IN-NX'!$D$7=D1048),"x","")</f>
        <v/>
      </c>
      <c r="AB1048" s="79" t="str">
        <f>IF(AND(OR(LEFT(TH!N1048,2)="15",LEFT(TH!O1048,2)="15"),LEFT(TH!O1048,3)&lt;&gt;"111",'152-CT'!$J$8=TH!F1048),"x","")</f>
        <v/>
      </c>
      <c r="AC1048" s="79" t="str">
        <f>IF(AND(OR(LEFT(TH!N1048,2)="15",LEFT(TH!O1048,2)="15"),TK!$E$7=TH!F1048),"x","")</f>
        <v/>
      </c>
      <c r="AD1048" s="79" t="str">
        <f>IF(AND(N1048="1521",MONTH(C1048)='BK-NL'!$M$11),"x","")</f>
        <v/>
      </c>
    </row>
    <row r="1049" spans="1:30" ht="16.5" customHeight="1">
      <c r="A1049" s="318" t="str">
        <f>IF(B1049&lt;&gt;"",IF(AND(B1049='IN-TC'!$S$4,OR(TH!N1049="1111",TH!O1049="1111")),TH!D1049,""),"")</f>
        <v/>
      </c>
      <c r="B1049" s="60" t="str">
        <f t="shared" si="172"/>
        <v/>
      </c>
      <c r="C1049" s="261"/>
      <c r="D1049" s="261"/>
      <c r="E1049" s="261"/>
      <c r="F1049" s="1103"/>
      <c r="G1049" s="1104"/>
      <c r="H1049" s="759"/>
      <c r="I1049" s="383"/>
      <c r="J1049" s="383"/>
      <c r="K1049" s="383"/>
      <c r="L1049" s="390"/>
      <c r="M1049" s="1248"/>
      <c r="N1049" s="1019"/>
      <c r="O1049" s="1019"/>
      <c r="P1049" s="79" t="str">
        <f>IF(AND('331-CT'!$E$7=TH!H1049,OR(N1049="331",O1049="331")),"x","")</f>
        <v/>
      </c>
      <c r="Q1049" s="79" t="str">
        <f>IF(AND(B1049='111'!$L$11,OR($N1049=$Q$7,$O1049=$Q$7)),"x","")</f>
        <v/>
      </c>
      <c r="R1049" s="79" t="str">
        <f>IF(AND($N1049=$Q$7,$B1049&lt;'111'!$L$11),"x","")</f>
        <v/>
      </c>
      <c r="S1049" s="79" t="str">
        <f>IF(AND($O1049=$Q$7,$B1049&lt;'111'!$L$11),"x","")</f>
        <v/>
      </c>
      <c r="T1049" s="79" t="str">
        <f>IF(ISERROR(FIND('112'!$M$9,G1049,1)),"",IF((AND(FIND('112'!$M$9,G1049,1)&gt;=1,B1049='112'!$K$9,OR($N1049='112'!$I$6,$O1049='112'!$I$6))),"x",""))</f>
        <v/>
      </c>
      <c r="U1049" s="79" t="str">
        <f>IF(ISERROR(FIND('112'!$M$9,G1049,1)),"",IF((AND(LEFT(G1049,2)=LEFT('112'!$M$9,2),B1049&lt;'112'!$K$9,$N1049='112'!$I$6)),"x",""))</f>
        <v/>
      </c>
      <c r="V1049" s="79" t="str">
        <f>IF(ISERROR(FIND('112'!$M$9,G1049,1)),"",IF((AND(RIGHT(G1049,2)=RIGHT('112'!$M$9,2),B1049&lt;'112'!$K$9,$O1049='112'!$I$6)),"x",""))</f>
        <v/>
      </c>
      <c r="W1049" s="79" t="str">
        <f>IF(AND('341-CT'!$H$9=H1049,OR(LEFT(N1049,3)=$W$7,LEFT(O1049,3)=$W$7)),"x","")</f>
        <v/>
      </c>
      <c r="X1049" s="79" t="str">
        <f>IF(OR(TH!N1049=TH!$X$7,O1049=TH!$X$7),"x","")</f>
        <v/>
      </c>
      <c r="Y1049" s="79" t="str">
        <f>IF(AND(OR(N1049="131",O1049="131"),H1049='131-CT'!$H$9),"x","")</f>
        <v/>
      </c>
      <c r="Z1049" s="79"/>
      <c r="AA1049" s="79" t="str">
        <f>IF(AND(MONTH(E1049)='IN-NX'!$J$5,'IN-NX'!$D$7=D1049),"x","")</f>
        <v/>
      </c>
      <c r="AB1049" s="79" t="str">
        <f>IF(AND(OR(LEFT(TH!N1049,2)="15",LEFT(TH!O1049,2)="15"),LEFT(TH!O1049,3)&lt;&gt;"111",'152-CT'!$J$8=TH!F1049),"x","")</f>
        <v/>
      </c>
      <c r="AC1049" s="79" t="str">
        <f>IF(AND(OR(LEFT(TH!N1049,2)="15",LEFT(TH!O1049,2)="15"),TK!$E$7=TH!F1049),"x","")</f>
        <v/>
      </c>
      <c r="AD1049" s="79" t="str">
        <f>IF(AND(N1049="1521",MONTH(C1049)='BK-NL'!$M$11),"x","")</f>
        <v/>
      </c>
    </row>
    <row r="1050" spans="1:30" ht="16.5" customHeight="1">
      <c r="A1050" s="318" t="str">
        <f>IF(B1050&lt;&gt;"",IF(AND(B1050='IN-TC'!$S$4,OR(TH!N1050="1111",TH!O1050="1111")),TH!D1050,""),"")</f>
        <v/>
      </c>
      <c r="B1050" s="60" t="str">
        <f t="shared" si="172"/>
        <v/>
      </c>
      <c r="C1050" s="261"/>
      <c r="D1050" s="261"/>
      <c r="E1050" s="261"/>
      <c r="F1050" s="1103"/>
      <c r="G1050" s="1104"/>
      <c r="H1050" s="759"/>
      <c r="I1050" s="383"/>
      <c r="J1050" s="383"/>
      <c r="K1050" s="383"/>
      <c r="L1050" s="390"/>
      <c r="M1050" s="1248"/>
      <c r="N1050" s="1019"/>
      <c r="O1050" s="1019"/>
      <c r="P1050" s="79" t="str">
        <f>IF(AND('331-CT'!$E$7=TH!H1050,OR(N1050="331",O1050="331")),"x","")</f>
        <v/>
      </c>
      <c r="Q1050" s="79" t="str">
        <f>IF(AND(B1050='111'!$L$11,OR($N1050=$Q$7,$O1050=$Q$7)),"x","")</f>
        <v/>
      </c>
      <c r="R1050" s="79" t="str">
        <f>IF(AND($N1050=$Q$7,$B1050&lt;'111'!$L$11),"x","")</f>
        <v/>
      </c>
      <c r="S1050" s="79" t="str">
        <f>IF(AND($O1050=$Q$7,$B1050&lt;'111'!$L$11),"x","")</f>
        <v/>
      </c>
      <c r="T1050" s="79" t="str">
        <f>IF(ISERROR(FIND('112'!$M$9,G1050,1)),"",IF((AND(FIND('112'!$M$9,G1050,1)&gt;=1,B1050='112'!$K$9,OR($N1050='112'!$I$6,$O1050='112'!$I$6))),"x",""))</f>
        <v/>
      </c>
      <c r="U1050" s="79" t="str">
        <f>IF(ISERROR(FIND('112'!$M$9,G1050,1)),"",IF((AND(LEFT(G1050,2)=LEFT('112'!$M$9,2),B1050&lt;'112'!$K$9,$N1050='112'!$I$6)),"x",""))</f>
        <v/>
      </c>
      <c r="V1050" s="79" t="str">
        <f>IF(ISERROR(FIND('112'!$M$9,G1050,1)),"",IF((AND(RIGHT(G1050,2)=RIGHT('112'!$M$9,2),B1050&lt;'112'!$K$9,$O1050='112'!$I$6)),"x",""))</f>
        <v/>
      </c>
      <c r="W1050" s="79" t="str">
        <f>IF(AND('341-CT'!$H$9=H1050,OR(LEFT(N1050,3)=$W$7,LEFT(O1050,3)=$W$7)),"x","")</f>
        <v/>
      </c>
      <c r="X1050" s="79" t="str">
        <f>IF(OR(TH!N1050=TH!$X$7,O1050=TH!$X$7),"x","")</f>
        <v/>
      </c>
      <c r="Y1050" s="79" t="str">
        <f>IF(AND(OR(N1050="131",O1050="131"),H1050='131-CT'!$H$9),"x","")</f>
        <v/>
      </c>
      <c r="Z1050" s="79"/>
      <c r="AA1050" s="79" t="str">
        <f>IF(AND(MONTH(E1050)='IN-NX'!$J$5,'IN-NX'!$D$7=D1050),"x","")</f>
        <v/>
      </c>
      <c r="AB1050" s="79" t="str">
        <f>IF(AND(OR(LEFT(TH!N1050,2)="15",LEFT(TH!O1050,2)="15"),LEFT(TH!O1050,3)&lt;&gt;"111",'152-CT'!$J$8=TH!F1050),"x","")</f>
        <v/>
      </c>
      <c r="AC1050" s="79" t="str">
        <f>IF(AND(OR(LEFT(TH!N1050,2)="15",LEFT(TH!O1050,2)="15"),TK!$E$7=TH!F1050),"x","")</f>
        <v/>
      </c>
      <c r="AD1050" s="79" t="str">
        <f>IF(AND(N1050="1521",MONTH(C1050)='BK-NL'!$M$11),"x","")</f>
        <v/>
      </c>
    </row>
    <row r="1051" spans="1:30" ht="16.5" customHeight="1">
      <c r="A1051" s="318" t="str">
        <f>IF(B1051&lt;&gt;"",IF(AND(B1051='IN-TC'!$S$4,OR(TH!N1051="1111",TH!O1051="1111")),TH!D1051,""),"")</f>
        <v/>
      </c>
      <c r="B1051" s="60" t="str">
        <f t="shared" si="172"/>
        <v/>
      </c>
      <c r="C1051" s="261"/>
      <c r="D1051" s="261"/>
      <c r="E1051" s="261"/>
      <c r="F1051" s="1103"/>
      <c r="G1051" s="1104"/>
      <c r="H1051" s="759"/>
      <c r="I1051" s="383"/>
      <c r="J1051" s="383"/>
      <c r="K1051" s="383"/>
      <c r="L1051" s="390"/>
      <c r="M1051" s="1248"/>
      <c r="N1051" s="1019"/>
      <c r="O1051" s="1019"/>
      <c r="P1051" s="79" t="str">
        <f>IF(AND('331-CT'!$E$7=TH!H1051,OR(N1051="331",O1051="331")),"x","")</f>
        <v/>
      </c>
      <c r="Q1051" s="79" t="str">
        <f>IF(AND(B1051='111'!$L$11,OR($N1051=$Q$7,$O1051=$Q$7)),"x","")</f>
        <v/>
      </c>
      <c r="R1051" s="79" t="str">
        <f>IF(AND($N1051=$Q$7,$B1051&lt;'111'!$L$11),"x","")</f>
        <v/>
      </c>
      <c r="S1051" s="79" t="str">
        <f>IF(AND($O1051=$Q$7,$B1051&lt;'111'!$L$11),"x","")</f>
        <v/>
      </c>
      <c r="T1051" s="79" t="str">
        <f>IF(ISERROR(FIND('112'!$M$9,G1051,1)),"",IF((AND(FIND('112'!$M$9,G1051,1)&gt;=1,B1051='112'!$K$9,OR($N1051='112'!$I$6,$O1051='112'!$I$6))),"x",""))</f>
        <v/>
      </c>
      <c r="U1051" s="79" t="str">
        <f>IF(ISERROR(FIND('112'!$M$9,G1051,1)),"",IF((AND(LEFT(G1051,2)=LEFT('112'!$M$9,2),B1051&lt;'112'!$K$9,$N1051='112'!$I$6)),"x",""))</f>
        <v/>
      </c>
      <c r="V1051" s="79" t="str">
        <f>IF(ISERROR(FIND('112'!$M$9,G1051,1)),"",IF((AND(RIGHT(G1051,2)=RIGHT('112'!$M$9,2),B1051&lt;'112'!$K$9,$O1051='112'!$I$6)),"x",""))</f>
        <v/>
      </c>
      <c r="W1051" s="79" t="str">
        <f>IF(AND('341-CT'!$H$9=H1051,OR(LEFT(N1051,3)=$W$7,LEFT(O1051,3)=$W$7)),"x","")</f>
        <v/>
      </c>
      <c r="X1051" s="79" t="str">
        <f>IF(OR(TH!N1051=TH!$X$7,O1051=TH!$X$7),"x","")</f>
        <v/>
      </c>
      <c r="Y1051" s="79" t="str">
        <f>IF(AND(OR(N1051="131",O1051="131"),H1051='131-CT'!$H$9),"x","")</f>
        <v/>
      </c>
      <c r="Z1051" s="79"/>
      <c r="AA1051" s="79" t="str">
        <f>IF(AND(MONTH(E1051)='IN-NX'!$J$5,'IN-NX'!$D$7=D1051),"x","")</f>
        <v/>
      </c>
      <c r="AB1051" s="79" t="str">
        <f>IF(AND(OR(LEFT(TH!N1051,2)="15",LEFT(TH!O1051,2)="15"),LEFT(TH!O1051,3)&lt;&gt;"111",'152-CT'!$J$8=TH!F1051),"x","")</f>
        <v/>
      </c>
      <c r="AC1051" s="79" t="str">
        <f>IF(AND(OR(LEFT(TH!N1051,2)="15",LEFT(TH!O1051,2)="15"),TK!$E$7=TH!F1051),"x","")</f>
        <v/>
      </c>
      <c r="AD1051" s="79" t="str">
        <f>IF(AND(N1051="1521",MONTH(C1051)='BK-NL'!$M$11),"x","")</f>
        <v/>
      </c>
    </row>
    <row r="1052" spans="1:30" ht="16.5" customHeight="1">
      <c r="A1052" s="318" t="str">
        <f>IF(B1052&lt;&gt;"",IF(AND(B1052='IN-TC'!$S$4,OR(TH!N1052="1111",TH!O1052="1111")),TH!D1052,""),"")</f>
        <v/>
      </c>
      <c r="B1052" s="60" t="str">
        <f t="shared" si="172"/>
        <v/>
      </c>
      <c r="C1052" s="261"/>
      <c r="D1052" s="261"/>
      <c r="E1052" s="261"/>
      <c r="F1052" s="1103"/>
      <c r="G1052" s="1104"/>
      <c r="H1052" s="759"/>
      <c r="I1052" s="383"/>
      <c r="J1052" s="383"/>
      <c r="K1052" s="383"/>
      <c r="L1052" s="390"/>
      <c r="M1052" s="978"/>
      <c r="N1052" s="1019"/>
      <c r="O1052" s="1019"/>
      <c r="P1052" s="79" t="str">
        <f>IF(AND('331-CT'!$E$7=TH!H1052,OR(N1052="331",O1052="331")),"x","")</f>
        <v/>
      </c>
      <c r="Q1052" s="79" t="str">
        <f>IF(AND(B1052='111'!$L$11,OR($N1052=$Q$7,$O1052=$Q$7)),"x","")</f>
        <v/>
      </c>
      <c r="R1052" s="79" t="str">
        <f>IF(AND($N1052=$Q$7,$B1052&lt;'111'!$L$11),"x","")</f>
        <v/>
      </c>
      <c r="S1052" s="79" t="str">
        <f>IF(AND($O1052=$Q$7,$B1052&lt;'111'!$L$11),"x","")</f>
        <v/>
      </c>
      <c r="T1052" s="79" t="str">
        <f>IF(ISERROR(FIND('112'!$M$9,G1052,1)),"",IF((AND(FIND('112'!$M$9,G1052,1)&gt;=1,B1052='112'!$K$9,OR($N1052='112'!$I$6,$O1052='112'!$I$6))),"x",""))</f>
        <v/>
      </c>
      <c r="U1052" s="79" t="str">
        <f>IF(ISERROR(FIND('112'!$M$9,G1052,1)),"",IF((AND(LEFT(G1052,2)=LEFT('112'!$M$9,2),B1052&lt;'112'!$K$9,$N1052='112'!$I$6)),"x",""))</f>
        <v/>
      </c>
      <c r="V1052" s="79" t="str">
        <f>IF(ISERROR(FIND('112'!$M$9,G1052,1)),"",IF((AND(RIGHT(G1052,2)=RIGHT('112'!$M$9,2),B1052&lt;'112'!$K$9,$O1052='112'!$I$6)),"x",""))</f>
        <v/>
      </c>
      <c r="W1052" s="79" t="str">
        <f>IF(AND('341-CT'!$H$9=H1052,OR(LEFT(N1052,3)=$W$7,LEFT(O1052,3)=$W$7)),"x","")</f>
        <v/>
      </c>
      <c r="X1052" s="79" t="str">
        <f>IF(OR(TH!N1052=TH!$X$7,O1052=TH!$X$7),"x","")</f>
        <v/>
      </c>
      <c r="Y1052" s="79" t="str">
        <f>IF(AND(OR(N1052="131",O1052="131"),H1052='131-CT'!$H$9),"x","")</f>
        <v/>
      </c>
      <c r="Z1052" s="79"/>
      <c r="AA1052" s="79" t="str">
        <f>IF(AND(MONTH(E1052)='IN-NX'!$J$5,'IN-NX'!$D$7=D1052),"x","")</f>
        <v/>
      </c>
      <c r="AB1052" s="79" t="str">
        <f>IF(AND(OR(LEFT(TH!N1052,2)="15",LEFT(TH!O1052,2)="15"),LEFT(TH!O1052,3)&lt;&gt;"111",'152-CT'!$J$8=TH!F1052),"x","")</f>
        <v/>
      </c>
      <c r="AC1052" s="79" t="str">
        <f>IF(AND(OR(LEFT(TH!N1052,2)="15",LEFT(TH!O1052,2)="15"),TK!$E$7=TH!F1052),"x","")</f>
        <v/>
      </c>
      <c r="AD1052" s="79" t="str">
        <f>IF(AND(N1052="1521",MONTH(C1052)='BK-NL'!$M$11),"x","")</f>
        <v/>
      </c>
    </row>
    <row r="1053" spans="1:30" ht="16.5" customHeight="1">
      <c r="A1053" s="318" t="str">
        <f>IF(B1053&lt;&gt;"",IF(AND(B1053='IN-TC'!$S$4,OR(TH!N1053="1111",TH!O1053="1111")),TH!D1053,""),"")</f>
        <v/>
      </c>
      <c r="B1053" s="60" t="str">
        <f t="shared" si="172"/>
        <v/>
      </c>
      <c r="C1053" s="261"/>
      <c r="D1053" s="261"/>
      <c r="E1053" s="261"/>
      <c r="F1053" s="1103"/>
      <c r="G1053" s="1104"/>
      <c r="H1053" s="77"/>
      <c r="I1053" s="383"/>
      <c r="J1053" s="383"/>
      <c r="K1053" s="383"/>
      <c r="L1053" s="390"/>
      <c r="M1053" s="390"/>
      <c r="N1053" s="1019"/>
      <c r="O1053" s="1019"/>
      <c r="P1053" s="79" t="str">
        <f>IF(AND('331-CT'!$E$7=TH!H1053,OR(N1053="331",O1053="331")),"x","")</f>
        <v/>
      </c>
      <c r="Q1053" s="79" t="str">
        <f>IF(AND(B1053='111'!$L$11,OR($N1053=$Q$7,$O1053=$Q$7)),"x","")</f>
        <v/>
      </c>
      <c r="R1053" s="79" t="str">
        <f>IF(AND($N1053=$Q$7,$B1053&lt;'111'!$L$11),"x","")</f>
        <v/>
      </c>
      <c r="S1053" s="79" t="str">
        <f>IF(AND($O1053=$Q$7,$B1053&lt;'111'!$L$11),"x","")</f>
        <v/>
      </c>
      <c r="T1053" s="79" t="str">
        <f>IF(ISERROR(FIND('112'!$M$9,G1053,1)),"",IF((AND(FIND('112'!$M$9,G1053,1)&gt;=1,B1053='112'!$K$9,OR($N1053='112'!$I$6,$O1053='112'!$I$6))),"x",""))</f>
        <v/>
      </c>
      <c r="U1053" s="79" t="str">
        <f>IF(ISERROR(FIND('112'!$M$9,G1053,1)),"",IF((AND(LEFT(G1053,2)=LEFT('112'!$M$9,2),B1053&lt;'112'!$K$9,$N1053='112'!$I$6)),"x",""))</f>
        <v/>
      </c>
      <c r="V1053" s="79" t="str">
        <f>IF(ISERROR(FIND('112'!$M$9,G1053,1)),"",IF((AND(RIGHT(G1053,2)=RIGHT('112'!$M$9,2),B1053&lt;'112'!$K$9,$O1053='112'!$I$6)),"x",""))</f>
        <v/>
      </c>
      <c r="W1053" s="79" t="str">
        <f>IF(AND('341-CT'!$H$9=H1053,OR(LEFT(N1053,3)=$W$7,LEFT(O1053,3)=$W$7)),"x","")</f>
        <v/>
      </c>
      <c r="X1053" s="79" t="str">
        <f>IF(OR(TH!N1053=TH!$X$7,O1053=TH!$X$7),"x","")</f>
        <v/>
      </c>
      <c r="Y1053" s="79" t="str">
        <f>IF(AND(OR(N1053="131",O1053="131"),H1053='131-CT'!$H$9),"x","")</f>
        <v/>
      </c>
      <c r="Z1053" s="79"/>
      <c r="AA1053" s="79" t="str">
        <f>IF(AND(MONTH(E1053)='IN-NX'!$J$5,'IN-NX'!$D$7=D1053),"x","")</f>
        <v/>
      </c>
      <c r="AB1053" s="79" t="str">
        <f>IF(AND(OR(LEFT(TH!N1053,2)="15",LEFT(TH!O1053,2)="15"),LEFT(TH!O1053,3)&lt;&gt;"111",'152-CT'!$J$8=TH!F1053),"x","")</f>
        <v/>
      </c>
      <c r="AC1053" s="79" t="str">
        <f>IF(AND(OR(LEFT(TH!N1053,2)="15",LEFT(TH!O1053,2)="15"),TK!$E$7=TH!F1053),"x","")</f>
        <v/>
      </c>
      <c r="AD1053" s="79" t="str">
        <f>IF(AND(N1053="1521",MONTH(C1053)='BK-NL'!$M$11),"x","")</f>
        <v/>
      </c>
    </row>
    <row r="1054" spans="1:30" ht="16.5" customHeight="1">
      <c r="A1054" s="318" t="str">
        <f>IF(B1054&lt;&gt;"",IF(AND(B1054='IN-TC'!$S$4,OR(TH!N1054="1111",TH!O1054="1111")),TH!D1054,""),"")</f>
        <v/>
      </c>
      <c r="B1054" s="60" t="str">
        <f t="shared" ref="B1054" si="173">IF(C1054&lt;&gt;"",MONTH(C1054),"")</f>
        <v/>
      </c>
      <c r="C1054" s="261"/>
      <c r="D1054" s="261"/>
      <c r="E1054" s="261"/>
      <c r="F1054" s="1103"/>
      <c r="G1054" s="1104"/>
      <c r="H1054" s="77"/>
      <c r="I1054" s="383"/>
      <c r="J1054" s="383"/>
      <c r="K1054" s="383"/>
      <c r="L1054" s="390"/>
      <c r="M1054" s="390"/>
      <c r="N1054" s="1019"/>
      <c r="O1054" s="1019"/>
      <c r="P1054" s="79" t="str">
        <f>IF(AND('331-CT'!$E$7=TH!H1054,OR(N1054="331",O1054="331")),"x","")</f>
        <v/>
      </c>
      <c r="Q1054" s="79" t="str">
        <f>IF(AND(B1054='111'!$L$11,OR($N1054=$Q$7,$O1054=$Q$7)),"x","")</f>
        <v/>
      </c>
      <c r="R1054" s="79" t="str">
        <f>IF(AND($N1054=$Q$7,$B1054&lt;'111'!$L$11),"x","")</f>
        <v/>
      </c>
      <c r="S1054" s="79" t="str">
        <f>IF(AND($O1054=$Q$7,$B1054&lt;'111'!$L$11),"x","")</f>
        <v/>
      </c>
      <c r="T1054" s="79" t="str">
        <f>IF(ISERROR(FIND('112'!$M$9,G1054,1)),"",IF((AND(FIND('112'!$M$9,G1054,1)&gt;=1,B1054='112'!$K$9,OR($N1054='112'!$I$6,$O1054='112'!$I$6))),"x",""))</f>
        <v/>
      </c>
      <c r="U1054" s="79" t="str">
        <f>IF(ISERROR(FIND('112'!$M$9,G1054,1)),"",IF((AND(LEFT(G1054,2)=LEFT('112'!$M$9,2),B1054&lt;'112'!$K$9,$N1054='112'!$I$6)),"x",""))</f>
        <v/>
      </c>
      <c r="V1054" s="79" t="str">
        <f>IF(ISERROR(FIND('112'!$M$9,G1054,1)),"",IF((AND(RIGHT(G1054,2)=RIGHT('112'!$M$9,2),B1054&lt;'112'!$K$9,$O1054='112'!$I$6)),"x",""))</f>
        <v/>
      </c>
      <c r="W1054" s="79" t="str">
        <f>IF(AND('341-CT'!$H$9=H1054,OR(LEFT(N1054,3)=$W$7,LEFT(O1054,3)=$W$7)),"x","")</f>
        <v/>
      </c>
      <c r="X1054" s="79" t="str">
        <f>IF(OR(TH!N1054=TH!$X$7,O1054=TH!$X$7),"x","")</f>
        <v/>
      </c>
      <c r="Y1054" s="79" t="str">
        <f>IF(AND(OR(N1054="131",O1054="131"),H1054='131-CT'!$H$9),"x","")</f>
        <v/>
      </c>
      <c r="Z1054" s="79"/>
      <c r="AA1054" s="79" t="str">
        <f>IF(AND(MONTH(E1054)='IN-NX'!$J$5,'IN-NX'!$D$7=D1054),"x","")</f>
        <v/>
      </c>
      <c r="AB1054" s="79" t="str">
        <f>IF(AND(OR(LEFT(TH!N1054,2)="15",LEFT(TH!O1054,2)="15"),LEFT(TH!O1054,3)&lt;&gt;"111",'152-CT'!$J$8=TH!F1054),"x","")</f>
        <v/>
      </c>
      <c r="AC1054" s="79" t="str">
        <f>IF(AND(OR(LEFT(TH!N1054,2)="15",LEFT(TH!O1054,2)="15"),TK!$E$7=TH!F1054),"x","")</f>
        <v/>
      </c>
      <c r="AD1054" s="79" t="str">
        <f>IF(AND(N1054="1521",MONTH(C1054)='BK-NL'!$M$11),"x","")</f>
        <v/>
      </c>
    </row>
    <row r="1055" spans="1:30" ht="16.5" customHeight="1">
      <c r="A1055" s="318" t="str">
        <f>IF(B1055&lt;&gt;"",IF(AND(B1055='IN-TC'!$S$4,OR(TH!N1055="1111",TH!O1055="1111")),TH!D1055,""),"")</f>
        <v/>
      </c>
      <c r="B1055" s="60" t="str">
        <f t="shared" si="172"/>
        <v/>
      </c>
      <c r="C1055" s="261"/>
      <c r="D1055" s="261"/>
      <c r="E1055" s="261"/>
      <c r="F1055" s="1103"/>
      <c r="G1055" s="1104"/>
      <c r="H1055" s="77"/>
      <c r="I1055" s="383"/>
      <c r="J1055" s="383"/>
      <c r="K1055" s="383"/>
      <c r="L1055" s="390"/>
      <c r="M1055" s="390"/>
      <c r="N1055" s="1019"/>
      <c r="O1055" s="1019"/>
      <c r="P1055" s="79" t="str">
        <f>IF(AND('331-CT'!$E$7=TH!H1055,OR(N1055="331",O1055="331")),"x","")</f>
        <v/>
      </c>
      <c r="Q1055" s="79" t="str">
        <f>IF(AND(B1055='111'!$L$11,OR($N1055=$Q$7,$O1055=$Q$7)),"x","")</f>
        <v/>
      </c>
      <c r="R1055" s="79" t="str">
        <f>IF(AND($N1055=$Q$7,$B1055&lt;'111'!$L$11),"x","")</f>
        <v/>
      </c>
      <c r="S1055" s="79" t="str">
        <f>IF(AND($O1055=$Q$7,$B1055&lt;'111'!$L$11),"x","")</f>
        <v/>
      </c>
      <c r="T1055" s="79" t="str">
        <f>IF(ISERROR(FIND('112'!$M$9,G1055,1)),"",IF((AND(FIND('112'!$M$9,G1055,1)&gt;=1,B1055='112'!$K$9,OR($N1055='112'!$I$6,$O1055='112'!$I$6))),"x",""))</f>
        <v/>
      </c>
      <c r="U1055" s="79" t="str">
        <f>IF(ISERROR(FIND('112'!$M$9,G1055,1)),"",IF((AND(LEFT(G1055,2)=LEFT('112'!$M$9,2),B1055&lt;'112'!$K$9,$N1055='112'!$I$6)),"x",""))</f>
        <v/>
      </c>
      <c r="V1055" s="79" t="str">
        <f>IF(ISERROR(FIND('112'!$M$9,G1055,1)),"",IF((AND(RIGHT(G1055,2)=RIGHT('112'!$M$9,2),B1055&lt;'112'!$K$9,$O1055='112'!$I$6)),"x",""))</f>
        <v/>
      </c>
      <c r="W1055" s="79" t="str">
        <f>IF(AND('341-CT'!$H$9=H1055,OR(LEFT(N1055,3)=$W$7,LEFT(O1055,3)=$W$7)),"x","")</f>
        <v/>
      </c>
      <c r="X1055" s="79" t="str">
        <f>IF(OR(TH!N1055=TH!$X$7,O1055=TH!$X$7),"x","")</f>
        <v/>
      </c>
      <c r="Y1055" s="79" t="str">
        <f>IF(AND(OR(N1055="131",O1055="131"),H1055='131-CT'!$H$9),"x","")</f>
        <v/>
      </c>
      <c r="Z1055" s="79"/>
      <c r="AA1055" s="79" t="str">
        <f>IF(AND(MONTH(E1055)='IN-NX'!$J$5,'IN-NX'!$D$7=D1055),"x","")</f>
        <v/>
      </c>
      <c r="AB1055" s="79" t="str">
        <f>IF(AND(OR(LEFT(TH!N1055,2)="15",LEFT(TH!O1055,2)="15"),LEFT(TH!O1055,3)&lt;&gt;"111",'152-CT'!$J$8=TH!F1055),"x","")</f>
        <v/>
      </c>
      <c r="AC1055" s="79" t="str">
        <f>IF(AND(OR(LEFT(TH!N1055,2)="15",LEFT(TH!O1055,2)="15"),TK!$E$7=TH!F1055),"x","")</f>
        <v/>
      </c>
      <c r="AD1055" s="79" t="str">
        <f>IF(AND(N1055="1521",MONTH(C1055)='BK-NL'!$M$11),"x","")</f>
        <v/>
      </c>
    </row>
    <row r="1056" spans="1:30" ht="16.5" customHeight="1">
      <c r="A1056" s="318" t="str">
        <f>IF(B1056&lt;&gt;"",IF(AND(B1056='IN-TC'!$S$4,OR(TH!N1056="1111",TH!O1056="1111")),TH!D1056,""),"")</f>
        <v/>
      </c>
      <c r="B1056" s="60" t="str">
        <f t="shared" si="172"/>
        <v/>
      </c>
      <c r="C1056" s="261"/>
      <c r="D1056" s="261"/>
      <c r="E1056" s="261"/>
      <c r="F1056" s="1103"/>
      <c r="G1056" s="1104"/>
      <c r="H1056" s="759"/>
      <c r="I1056" s="383"/>
      <c r="J1056" s="383"/>
      <c r="K1056" s="383"/>
      <c r="L1056" s="390"/>
      <c r="M1056" s="978"/>
      <c r="N1056" s="1019"/>
      <c r="O1056" s="1019"/>
      <c r="P1056" s="79" t="str">
        <f>IF(AND('331-CT'!$E$7=TH!H1056,OR(N1056="331",O1056="331")),"x","")</f>
        <v/>
      </c>
      <c r="Q1056" s="79" t="str">
        <f>IF(AND(B1056='111'!$L$11,OR($N1056=$Q$7,$O1056=$Q$7)),"x","")</f>
        <v/>
      </c>
      <c r="R1056" s="79" t="str">
        <f>IF(AND($N1056=$Q$7,$B1056&lt;'111'!$L$11),"x","")</f>
        <v/>
      </c>
      <c r="S1056" s="79" t="str">
        <f>IF(AND($O1056=$Q$7,$B1056&lt;'111'!$L$11),"x","")</f>
        <v/>
      </c>
      <c r="T1056" s="79" t="str">
        <f>IF(ISERROR(FIND('112'!$M$9,G1056,1)),"",IF((AND(FIND('112'!$M$9,G1056,1)&gt;=1,B1056='112'!$K$9,OR($N1056='112'!$I$6,$O1056='112'!$I$6))),"x",""))</f>
        <v/>
      </c>
      <c r="U1056" s="79" t="str">
        <f>IF(ISERROR(FIND('112'!$M$9,G1056,1)),"",IF((AND(LEFT(G1056,2)=LEFT('112'!$M$9,2),B1056&lt;'112'!$K$9,$N1056='112'!$I$6)),"x",""))</f>
        <v/>
      </c>
      <c r="V1056" s="79" t="str">
        <f>IF(ISERROR(FIND('112'!$M$9,G1056,1)),"",IF((AND(RIGHT(G1056,2)=RIGHT('112'!$M$9,2),B1056&lt;'112'!$K$9,$O1056='112'!$I$6)),"x",""))</f>
        <v/>
      </c>
      <c r="W1056" s="79" t="str">
        <f>IF(AND('341-CT'!$H$9=H1056,OR(LEFT(N1056,3)=$W$7,LEFT(O1056,3)=$W$7)),"x","")</f>
        <v/>
      </c>
      <c r="X1056" s="79" t="str">
        <f>IF(OR(TH!N1056=TH!$X$7,O1056=TH!$X$7),"x","")</f>
        <v/>
      </c>
      <c r="Y1056" s="79" t="str">
        <f>IF(AND(OR(N1056="131",O1056="131"),H1056='131-CT'!$H$9),"x","")</f>
        <v/>
      </c>
      <c r="Z1056" s="79"/>
      <c r="AA1056" s="79" t="str">
        <f>IF(AND(MONTH(E1056)='IN-NX'!$J$5,'IN-NX'!$D$7=D1056),"x","")</f>
        <v/>
      </c>
      <c r="AB1056" s="79" t="str">
        <f>IF(AND(OR(LEFT(TH!N1056,2)="15",LEFT(TH!O1056,2)="15"),LEFT(TH!O1056,3)&lt;&gt;"111",'152-CT'!$J$8=TH!F1056),"x","")</f>
        <v/>
      </c>
      <c r="AC1056" s="79" t="str">
        <f>IF(AND(OR(LEFT(TH!N1056,2)="15",LEFT(TH!O1056,2)="15"),TK!$E$7=TH!F1056),"x","")</f>
        <v/>
      </c>
      <c r="AD1056" s="79" t="str">
        <f>IF(AND(N1056="1521",MONTH(C1056)='BK-NL'!$M$11),"x","")</f>
        <v/>
      </c>
    </row>
    <row r="1057" spans="1:30" ht="16.5" customHeight="1">
      <c r="A1057" s="318" t="str">
        <f>IF(B1057&lt;&gt;"",IF(AND(B1057='IN-TC'!$S$4,OR(TH!N1057="1111",TH!O1057="1111")),TH!D1057,""),"")</f>
        <v/>
      </c>
      <c r="B1057" s="60" t="str">
        <f t="shared" si="172"/>
        <v/>
      </c>
      <c r="C1057" s="261"/>
      <c r="D1057" s="261"/>
      <c r="E1057" s="261"/>
      <c r="F1057" s="1103"/>
      <c r="G1057" s="1104"/>
      <c r="H1057" s="759"/>
      <c r="I1057" s="383"/>
      <c r="J1057" s="383"/>
      <c r="K1057" s="383"/>
      <c r="L1057" s="390"/>
      <c r="M1057" s="978"/>
      <c r="N1057" s="1019"/>
      <c r="O1057" s="1019"/>
      <c r="P1057" s="79" t="str">
        <f>IF(AND('331-CT'!$E$7=TH!H1057,OR(N1057="331",O1057="331")),"x","")</f>
        <v/>
      </c>
      <c r="Q1057" s="79" t="str">
        <f>IF(AND(B1057='111'!$L$11,OR($N1057=$Q$7,$O1057=$Q$7)),"x","")</f>
        <v/>
      </c>
      <c r="R1057" s="79" t="str">
        <f>IF(AND($N1057=$Q$7,$B1057&lt;'111'!$L$11),"x","")</f>
        <v/>
      </c>
      <c r="S1057" s="79" t="str">
        <f>IF(AND($O1057=$Q$7,$B1057&lt;'111'!$L$11),"x","")</f>
        <v/>
      </c>
      <c r="T1057" s="79" t="str">
        <f>IF(ISERROR(FIND('112'!$M$9,G1057,1)),"",IF((AND(FIND('112'!$M$9,G1057,1)&gt;=1,B1057='112'!$K$9,OR($N1057='112'!$I$6,$O1057='112'!$I$6))),"x",""))</f>
        <v/>
      </c>
      <c r="U1057" s="79" t="str">
        <f>IF(ISERROR(FIND('112'!$M$9,G1057,1)),"",IF((AND(LEFT(G1057,2)=LEFT('112'!$M$9,2),B1057&lt;'112'!$K$9,$N1057='112'!$I$6)),"x",""))</f>
        <v/>
      </c>
      <c r="V1057" s="79" t="str">
        <f>IF(ISERROR(FIND('112'!$M$9,G1057,1)),"",IF((AND(RIGHT(G1057,2)=RIGHT('112'!$M$9,2),B1057&lt;'112'!$K$9,$O1057='112'!$I$6)),"x",""))</f>
        <v/>
      </c>
      <c r="W1057" s="79" t="str">
        <f>IF(AND('341-CT'!$H$9=H1057,OR(LEFT(N1057,3)=$W$7,LEFT(O1057,3)=$W$7)),"x","")</f>
        <v/>
      </c>
      <c r="X1057" s="79" t="str">
        <f>IF(OR(TH!N1057=TH!$X$7,O1057=TH!$X$7),"x","")</f>
        <v/>
      </c>
      <c r="Y1057" s="79" t="str">
        <f>IF(AND(OR(N1057="131",O1057="131"),H1057='131-CT'!$H$9),"x","")</f>
        <v/>
      </c>
      <c r="Z1057" s="79"/>
      <c r="AA1057" s="79" t="str">
        <f>IF(AND(MONTH(E1057)='IN-NX'!$J$5,'IN-NX'!$D$7=D1057),"x","")</f>
        <v/>
      </c>
      <c r="AB1057" s="79" t="str">
        <f>IF(AND(OR(LEFT(TH!N1057,2)="15",LEFT(TH!O1057,2)="15"),LEFT(TH!O1057,3)&lt;&gt;"111",'152-CT'!$J$8=TH!F1057),"x","")</f>
        <v/>
      </c>
      <c r="AC1057" s="79" t="str">
        <f>IF(AND(OR(LEFT(TH!N1057,2)="15",LEFT(TH!O1057,2)="15"),TK!$E$7=TH!F1057),"x","")</f>
        <v/>
      </c>
      <c r="AD1057" s="79" t="str">
        <f>IF(AND(N1057="1521",MONTH(C1057)='BK-NL'!$M$11),"x","")</f>
        <v/>
      </c>
    </row>
    <row r="1058" spans="1:30" ht="16.5" customHeight="1">
      <c r="A1058" s="318" t="str">
        <f>IF(B1058&lt;&gt;"",IF(AND(B1058='IN-TC'!$S$4,OR(TH!N1058="1111",TH!O1058="1111")),TH!D1058,""),"")</f>
        <v/>
      </c>
      <c r="B1058" s="60" t="str">
        <f t="shared" si="172"/>
        <v/>
      </c>
      <c r="C1058" s="261"/>
      <c r="D1058" s="261"/>
      <c r="E1058" s="261"/>
      <c r="F1058" s="1103"/>
      <c r="G1058" s="1104"/>
      <c r="H1058" s="759"/>
      <c r="I1058" s="383"/>
      <c r="J1058" s="383"/>
      <c r="K1058" s="383"/>
      <c r="L1058" s="390"/>
      <c r="M1058" s="978"/>
      <c r="N1058" s="1019"/>
      <c r="O1058" s="1019"/>
      <c r="P1058" s="79" t="str">
        <f>IF(AND('331-CT'!$E$7=TH!H1058,OR(N1058="331",O1058="331")),"x","")</f>
        <v/>
      </c>
      <c r="Q1058" s="79" t="str">
        <f>IF(AND(B1058='111'!$L$11,OR($N1058=$Q$7,$O1058=$Q$7)),"x","")</f>
        <v/>
      </c>
      <c r="R1058" s="79" t="str">
        <f>IF(AND($N1058=$Q$7,$B1058&lt;'111'!$L$11),"x","")</f>
        <v/>
      </c>
      <c r="S1058" s="79" t="str">
        <f>IF(AND($O1058=$Q$7,$B1058&lt;'111'!$L$11),"x","")</f>
        <v/>
      </c>
      <c r="T1058" s="79" t="str">
        <f>IF(ISERROR(FIND('112'!$M$9,G1058,1)),"",IF((AND(FIND('112'!$M$9,G1058,1)&gt;=1,B1058='112'!$K$9,OR($N1058='112'!$I$6,$O1058='112'!$I$6))),"x",""))</f>
        <v/>
      </c>
      <c r="U1058" s="79" t="str">
        <f>IF(ISERROR(FIND('112'!$M$9,G1058,1)),"",IF((AND(LEFT(G1058,2)=LEFT('112'!$M$9,2),B1058&lt;'112'!$K$9,$N1058='112'!$I$6)),"x",""))</f>
        <v/>
      </c>
      <c r="V1058" s="79" t="str">
        <f>IF(ISERROR(FIND('112'!$M$9,G1058,1)),"",IF((AND(RIGHT(G1058,2)=RIGHT('112'!$M$9,2),B1058&lt;'112'!$K$9,$O1058='112'!$I$6)),"x",""))</f>
        <v/>
      </c>
      <c r="W1058" s="79" t="str">
        <f>IF(AND('341-CT'!$H$9=H1058,OR(LEFT(N1058,3)=$W$7,LEFT(O1058,3)=$W$7)),"x","")</f>
        <v/>
      </c>
      <c r="X1058" s="79" t="str">
        <f>IF(OR(TH!N1058=TH!$X$7,O1058=TH!$X$7),"x","")</f>
        <v/>
      </c>
      <c r="Y1058" s="79" t="str">
        <f>IF(AND(OR(N1058="131",O1058="131"),H1058='131-CT'!$H$9),"x","")</f>
        <v/>
      </c>
      <c r="Z1058" s="79"/>
      <c r="AA1058" s="79" t="str">
        <f>IF(AND(MONTH(E1058)='IN-NX'!$J$5,'IN-NX'!$D$7=D1058),"x","")</f>
        <v/>
      </c>
      <c r="AB1058" s="79" t="str">
        <f>IF(AND(OR(LEFT(TH!N1058,2)="15",LEFT(TH!O1058,2)="15"),LEFT(TH!O1058,3)&lt;&gt;"111",'152-CT'!$J$8=TH!F1058),"x","")</f>
        <v/>
      </c>
      <c r="AC1058" s="79" t="str">
        <f>IF(AND(OR(LEFT(TH!N1058,2)="15",LEFT(TH!O1058,2)="15"),TK!$E$7=TH!F1058),"x","")</f>
        <v/>
      </c>
      <c r="AD1058" s="79" t="str">
        <f>IF(AND(N1058="1521",MONTH(C1058)='BK-NL'!$M$11),"x","")</f>
        <v/>
      </c>
    </row>
    <row r="1059" spans="1:30" ht="16.5" customHeight="1">
      <c r="A1059" s="318" t="str">
        <f>IF(B1059&lt;&gt;"",IF(AND(B1059='IN-TC'!$S$4,OR(TH!N1059="1111",TH!O1059="1111")),TH!D1059,""),"")</f>
        <v/>
      </c>
      <c r="B1059" s="60" t="str">
        <f t="shared" si="172"/>
        <v/>
      </c>
      <c r="C1059" s="261"/>
      <c r="D1059" s="261"/>
      <c r="E1059" s="261"/>
      <c r="F1059" s="1103"/>
      <c r="G1059" s="1104"/>
      <c r="H1059" s="759"/>
      <c r="I1059" s="383"/>
      <c r="J1059" s="383"/>
      <c r="K1059" s="383"/>
      <c r="L1059" s="390"/>
      <c r="M1059" s="978"/>
      <c r="N1059" s="1019"/>
      <c r="O1059" s="1019"/>
      <c r="P1059" s="79" t="str">
        <f>IF(AND('331-CT'!$E$7=TH!H1059,OR(N1059="331",O1059="331")),"x","")</f>
        <v/>
      </c>
      <c r="Q1059" s="79" t="str">
        <f>IF(AND(B1059='111'!$L$11,OR($N1059=$Q$7,$O1059=$Q$7)),"x","")</f>
        <v/>
      </c>
      <c r="R1059" s="79" t="str">
        <f>IF(AND($N1059=$Q$7,$B1059&lt;'111'!$L$11),"x","")</f>
        <v/>
      </c>
      <c r="S1059" s="79" t="str">
        <f>IF(AND($O1059=$Q$7,$B1059&lt;'111'!$L$11),"x","")</f>
        <v/>
      </c>
      <c r="T1059" s="79" t="str">
        <f>IF(ISERROR(FIND('112'!$M$9,G1059,1)),"",IF((AND(FIND('112'!$M$9,G1059,1)&gt;=1,B1059='112'!$K$9,OR($N1059='112'!$I$6,$O1059='112'!$I$6))),"x",""))</f>
        <v/>
      </c>
      <c r="U1059" s="79" t="str">
        <f>IF(ISERROR(FIND('112'!$M$9,G1059,1)),"",IF((AND(LEFT(G1059,2)=LEFT('112'!$M$9,2),B1059&lt;'112'!$K$9,$N1059='112'!$I$6)),"x",""))</f>
        <v/>
      </c>
      <c r="V1059" s="79" t="str">
        <f>IF(ISERROR(FIND('112'!$M$9,G1059,1)),"",IF((AND(RIGHT(G1059,2)=RIGHT('112'!$M$9,2),B1059&lt;'112'!$K$9,$O1059='112'!$I$6)),"x",""))</f>
        <v/>
      </c>
      <c r="W1059" s="79" t="str">
        <f>IF(AND('341-CT'!$H$9=H1059,OR(LEFT(N1059,3)=$W$7,LEFT(O1059,3)=$W$7)),"x","")</f>
        <v/>
      </c>
      <c r="X1059" s="79" t="str">
        <f>IF(OR(TH!N1059=TH!$X$7,O1059=TH!$X$7),"x","")</f>
        <v/>
      </c>
      <c r="Y1059" s="79" t="str">
        <f>IF(AND(OR(N1059="131",O1059="131"),H1059='131-CT'!$H$9),"x","")</f>
        <v/>
      </c>
      <c r="Z1059" s="79"/>
      <c r="AA1059" s="79" t="str">
        <f>IF(AND(MONTH(E1059)='IN-NX'!$J$5,'IN-NX'!$D$7=D1059),"x","")</f>
        <v/>
      </c>
      <c r="AB1059" s="79" t="str">
        <f>IF(AND(OR(LEFT(TH!N1059,2)="15",LEFT(TH!O1059,2)="15"),LEFT(TH!O1059,3)&lt;&gt;"111",'152-CT'!$J$8=TH!F1059),"x","")</f>
        <v/>
      </c>
      <c r="AC1059" s="79" t="str">
        <f>IF(AND(OR(LEFT(TH!N1059,2)="15",LEFT(TH!O1059,2)="15"),TK!$E$7=TH!F1059),"x","")</f>
        <v/>
      </c>
      <c r="AD1059" s="79" t="str">
        <f>IF(AND(N1059="1521",MONTH(C1059)='BK-NL'!$M$11),"x","")</f>
        <v/>
      </c>
    </row>
    <row r="1060" spans="1:30" ht="16.5" customHeight="1">
      <c r="A1060" s="318" t="str">
        <f>IF(B1060&lt;&gt;"",IF(AND(B1060='IN-TC'!$S$4,OR(TH!N1060="1111",TH!O1060="1111")),TH!D1060,""),"")</f>
        <v/>
      </c>
      <c r="B1060" s="60" t="str">
        <f t="shared" si="172"/>
        <v/>
      </c>
      <c r="C1060" s="261"/>
      <c r="D1060" s="261"/>
      <c r="E1060" s="261"/>
      <c r="F1060" s="1103"/>
      <c r="G1060" s="1104"/>
      <c r="H1060" s="759"/>
      <c r="I1060" s="383"/>
      <c r="J1060" s="383"/>
      <c r="K1060" s="383"/>
      <c r="L1060" s="390"/>
      <c r="M1060" s="978"/>
      <c r="N1060" s="1019"/>
      <c r="O1060" s="1019"/>
      <c r="P1060" s="79" t="str">
        <f>IF(AND('331-CT'!$E$7=TH!H1060,OR(N1060="331",O1060="331")),"x","")</f>
        <v/>
      </c>
      <c r="Q1060" s="79" t="str">
        <f>IF(AND(B1060='111'!$L$11,OR($N1060=$Q$7,$O1060=$Q$7)),"x","")</f>
        <v/>
      </c>
      <c r="R1060" s="79" t="str">
        <f>IF(AND($N1060=$Q$7,$B1060&lt;'111'!$L$11),"x","")</f>
        <v/>
      </c>
      <c r="S1060" s="79" t="str">
        <f>IF(AND($O1060=$Q$7,$B1060&lt;'111'!$L$11),"x","")</f>
        <v/>
      </c>
      <c r="T1060" s="79" t="str">
        <f>IF(ISERROR(FIND('112'!$M$9,G1060,1)),"",IF((AND(FIND('112'!$M$9,G1060,1)&gt;=1,B1060='112'!$K$9,OR($N1060='112'!$I$6,$O1060='112'!$I$6))),"x",""))</f>
        <v/>
      </c>
      <c r="U1060" s="79" t="str">
        <f>IF(ISERROR(FIND('112'!$M$9,G1060,1)),"",IF((AND(LEFT(G1060,2)=LEFT('112'!$M$9,2),B1060&lt;'112'!$K$9,$N1060='112'!$I$6)),"x",""))</f>
        <v/>
      </c>
      <c r="V1060" s="79" t="str">
        <f>IF(ISERROR(FIND('112'!$M$9,G1060,1)),"",IF((AND(RIGHT(G1060,2)=RIGHT('112'!$M$9,2),B1060&lt;'112'!$K$9,$O1060='112'!$I$6)),"x",""))</f>
        <v/>
      </c>
      <c r="W1060" s="79" t="str">
        <f>IF(AND('341-CT'!$H$9=H1060,OR(LEFT(N1060,3)=$W$7,LEFT(O1060,3)=$W$7)),"x","")</f>
        <v/>
      </c>
      <c r="X1060" s="79" t="str">
        <f>IF(OR(TH!N1060=TH!$X$7,O1060=TH!$X$7),"x","")</f>
        <v/>
      </c>
      <c r="Y1060" s="79" t="str">
        <f>IF(AND(OR(N1060="131",O1060="131"),H1060='131-CT'!$H$9),"x","")</f>
        <v/>
      </c>
      <c r="Z1060" s="79"/>
      <c r="AA1060" s="79" t="str">
        <f>IF(AND(MONTH(E1060)='IN-NX'!$J$5,'IN-NX'!$D$7=D1060),"x","")</f>
        <v/>
      </c>
      <c r="AB1060" s="79" t="str">
        <f>IF(AND(OR(LEFT(TH!N1060,2)="15",LEFT(TH!O1060,2)="15"),LEFT(TH!O1060,3)&lt;&gt;"111",'152-CT'!$J$8=TH!F1060),"x","")</f>
        <v/>
      </c>
      <c r="AC1060" s="79" t="str">
        <f>IF(AND(OR(LEFT(TH!N1060,2)="15",LEFT(TH!O1060,2)="15"),TK!$E$7=TH!F1060),"x","")</f>
        <v/>
      </c>
      <c r="AD1060" s="79" t="str">
        <f>IF(AND(N1060="1521",MONTH(C1060)='BK-NL'!$M$11),"x","")</f>
        <v/>
      </c>
    </row>
    <row r="1061" spans="1:30" ht="16.5" customHeight="1">
      <c r="A1061" s="318" t="str">
        <f>IF(B1061&lt;&gt;"",IF(AND(B1061='IN-TC'!$S$4,OR(TH!N1061="1111",TH!O1061="1111")),TH!D1061,""),"")</f>
        <v/>
      </c>
      <c r="B1061" s="60" t="str">
        <f t="shared" si="172"/>
        <v/>
      </c>
      <c r="C1061" s="261"/>
      <c r="D1061" s="261"/>
      <c r="E1061" s="261"/>
      <c r="F1061" s="1103"/>
      <c r="G1061" s="1104"/>
      <c r="H1061" s="759"/>
      <c r="I1061" s="383"/>
      <c r="J1061" s="383"/>
      <c r="K1061" s="383"/>
      <c r="L1061" s="390"/>
      <c r="M1061" s="978"/>
      <c r="N1061" s="1019"/>
      <c r="O1061" s="1019"/>
      <c r="P1061" s="79" t="str">
        <f>IF(AND('331-CT'!$E$7=TH!H1061,OR(N1061="331",O1061="331")),"x","")</f>
        <v/>
      </c>
      <c r="Q1061" s="79" t="str">
        <f>IF(AND(B1061='111'!$L$11,OR($N1061=$Q$7,$O1061=$Q$7)),"x","")</f>
        <v/>
      </c>
      <c r="R1061" s="79" t="str">
        <f>IF(AND($N1061=$Q$7,$B1061&lt;'111'!$L$11),"x","")</f>
        <v/>
      </c>
      <c r="S1061" s="79" t="str">
        <f>IF(AND($O1061=$Q$7,$B1061&lt;'111'!$L$11),"x","")</f>
        <v/>
      </c>
      <c r="T1061" s="79" t="str">
        <f>IF(ISERROR(FIND('112'!$M$9,G1061,1)),"",IF((AND(FIND('112'!$M$9,G1061,1)&gt;=1,B1061='112'!$K$9,OR($N1061='112'!$I$6,$O1061='112'!$I$6))),"x",""))</f>
        <v/>
      </c>
      <c r="U1061" s="79" t="str">
        <f>IF(ISERROR(FIND('112'!$M$9,G1061,1)),"",IF((AND(LEFT(G1061,2)=LEFT('112'!$M$9,2),B1061&lt;'112'!$K$9,$N1061='112'!$I$6)),"x",""))</f>
        <v/>
      </c>
      <c r="V1061" s="79" t="str">
        <f>IF(ISERROR(FIND('112'!$M$9,G1061,1)),"",IF((AND(RIGHT(G1061,2)=RIGHT('112'!$M$9,2),B1061&lt;'112'!$K$9,$O1061='112'!$I$6)),"x",""))</f>
        <v/>
      </c>
      <c r="W1061" s="79" t="str">
        <f>IF(AND('341-CT'!$H$9=H1061,OR(LEFT(N1061,3)=$W$7,LEFT(O1061,3)=$W$7)),"x","")</f>
        <v/>
      </c>
      <c r="X1061" s="79" t="str">
        <f>IF(OR(TH!N1061=TH!$X$7,O1061=TH!$X$7),"x","")</f>
        <v/>
      </c>
      <c r="Y1061" s="79" t="str">
        <f>IF(AND(OR(N1061="131",O1061="131"),H1061='131-CT'!$H$9),"x","")</f>
        <v/>
      </c>
      <c r="Z1061" s="79"/>
      <c r="AA1061" s="79" t="str">
        <f>IF(AND(MONTH(E1061)='IN-NX'!$J$5,'IN-NX'!$D$7=D1061),"x","")</f>
        <v/>
      </c>
      <c r="AB1061" s="79" t="str">
        <f>IF(AND(OR(LEFT(TH!N1061,2)="15",LEFT(TH!O1061,2)="15"),LEFT(TH!O1061,3)&lt;&gt;"111",'152-CT'!$J$8=TH!F1061),"x","")</f>
        <v/>
      </c>
      <c r="AC1061" s="79" t="str">
        <f>IF(AND(OR(LEFT(TH!N1061,2)="15",LEFT(TH!O1061,2)="15"),TK!$E$7=TH!F1061),"x","")</f>
        <v/>
      </c>
      <c r="AD1061" s="79" t="str">
        <f>IF(AND(N1061="1521",MONTH(C1061)='BK-NL'!$M$11),"x","")</f>
        <v/>
      </c>
    </row>
    <row r="1062" spans="1:30" ht="16.5" customHeight="1">
      <c r="A1062" s="318" t="str">
        <f>IF(B1062&lt;&gt;"",IF(AND(B1062='IN-TC'!$S$4,OR(TH!N1062="1111",TH!O1062="1111")),TH!D1062,""),"")</f>
        <v/>
      </c>
      <c r="B1062" s="60" t="str">
        <f t="shared" si="172"/>
        <v/>
      </c>
      <c r="C1062" s="261"/>
      <c r="D1062" s="261"/>
      <c r="E1062" s="261"/>
      <c r="F1062" s="1103"/>
      <c r="G1062" s="1104"/>
      <c r="H1062" s="759"/>
      <c r="I1062" s="383"/>
      <c r="J1062" s="383"/>
      <c r="K1062" s="383"/>
      <c r="L1062" s="390"/>
      <c r="M1062" s="978"/>
      <c r="N1062" s="1019"/>
      <c r="O1062" s="1019"/>
      <c r="P1062" s="79" t="str">
        <f>IF(AND('331-CT'!$E$7=TH!H1062,OR(N1062="331",O1062="331")),"x","")</f>
        <v/>
      </c>
      <c r="Q1062" s="79" t="str">
        <f>IF(AND(B1062='111'!$L$11,OR($N1062=$Q$7,$O1062=$Q$7)),"x","")</f>
        <v/>
      </c>
      <c r="R1062" s="79" t="str">
        <f>IF(AND($N1062=$Q$7,$B1062&lt;'111'!$L$11),"x","")</f>
        <v/>
      </c>
      <c r="S1062" s="79" t="str">
        <f>IF(AND($O1062=$Q$7,$B1062&lt;'111'!$L$11),"x","")</f>
        <v/>
      </c>
      <c r="T1062" s="79" t="str">
        <f>IF(ISERROR(FIND('112'!$M$9,G1062,1)),"",IF((AND(FIND('112'!$M$9,G1062,1)&gt;=1,B1062='112'!$K$9,OR($N1062='112'!$I$6,$O1062='112'!$I$6))),"x",""))</f>
        <v/>
      </c>
      <c r="U1062" s="79" t="str">
        <f>IF(ISERROR(FIND('112'!$M$9,G1062,1)),"",IF((AND(LEFT(G1062,2)=LEFT('112'!$M$9,2),B1062&lt;'112'!$K$9,$N1062='112'!$I$6)),"x",""))</f>
        <v/>
      </c>
      <c r="V1062" s="79" t="str">
        <f>IF(ISERROR(FIND('112'!$M$9,G1062,1)),"",IF((AND(RIGHT(G1062,2)=RIGHT('112'!$M$9,2),B1062&lt;'112'!$K$9,$O1062='112'!$I$6)),"x",""))</f>
        <v/>
      </c>
      <c r="W1062" s="79" t="str">
        <f>IF(AND('341-CT'!$H$9=H1062,OR(LEFT(N1062,3)=$W$7,LEFT(O1062,3)=$W$7)),"x","")</f>
        <v/>
      </c>
      <c r="X1062" s="79" t="str">
        <f>IF(OR(TH!N1062=TH!$X$7,O1062=TH!$X$7),"x","")</f>
        <v/>
      </c>
      <c r="Y1062" s="79" t="str">
        <f>IF(AND(OR(N1062="131",O1062="131"),H1062='131-CT'!$H$9),"x","")</f>
        <v/>
      </c>
      <c r="Z1062" s="79"/>
      <c r="AA1062" s="79" t="str">
        <f>IF(AND(MONTH(E1062)='IN-NX'!$J$5,'IN-NX'!$D$7=D1062),"x","")</f>
        <v/>
      </c>
      <c r="AB1062" s="79" t="str">
        <f>IF(AND(OR(LEFT(TH!N1062,2)="15",LEFT(TH!O1062,2)="15"),LEFT(TH!O1062,3)&lt;&gt;"111",'152-CT'!$J$8=TH!F1062),"x","")</f>
        <v/>
      </c>
      <c r="AC1062" s="79" t="str">
        <f>IF(AND(OR(LEFT(TH!N1062,2)="15",LEFT(TH!O1062,2)="15"),TK!$E$7=TH!F1062),"x","")</f>
        <v/>
      </c>
      <c r="AD1062" s="79" t="str">
        <f>IF(AND(N1062="1521",MONTH(C1062)='BK-NL'!$M$11),"x","")</f>
        <v/>
      </c>
    </row>
    <row r="1063" spans="1:30" ht="16.5" customHeight="1">
      <c r="A1063" s="318" t="str">
        <f>IF(B1063&lt;&gt;"",IF(AND(B1063='IN-TC'!$S$4,OR(TH!N1063="1111",TH!O1063="1111")),TH!D1063,""),"")</f>
        <v/>
      </c>
      <c r="B1063" s="60" t="str">
        <f t="shared" si="172"/>
        <v/>
      </c>
      <c r="C1063" s="261"/>
      <c r="D1063" s="261"/>
      <c r="E1063" s="261"/>
      <c r="F1063" s="1103"/>
      <c r="G1063" s="1104"/>
      <c r="H1063" s="759"/>
      <c r="I1063" s="383"/>
      <c r="J1063" s="383"/>
      <c r="K1063" s="383"/>
      <c r="L1063" s="390"/>
      <c r="M1063" s="978"/>
      <c r="N1063" s="1019"/>
      <c r="O1063" s="1019"/>
      <c r="P1063" s="79" t="str">
        <f>IF(AND('331-CT'!$E$7=TH!H1063,OR(N1063="331",O1063="331")),"x","")</f>
        <v/>
      </c>
      <c r="Q1063" s="79" t="str">
        <f>IF(AND(B1063='111'!$L$11,OR($N1063=$Q$7,$O1063=$Q$7)),"x","")</f>
        <v/>
      </c>
      <c r="R1063" s="79" t="str">
        <f>IF(AND($N1063=$Q$7,$B1063&lt;'111'!$L$11),"x","")</f>
        <v/>
      </c>
      <c r="S1063" s="79" t="str">
        <f>IF(AND($O1063=$Q$7,$B1063&lt;'111'!$L$11),"x","")</f>
        <v/>
      </c>
      <c r="T1063" s="79" t="str">
        <f>IF(ISERROR(FIND('112'!$M$9,G1063,1)),"",IF((AND(FIND('112'!$M$9,G1063,1)&gt;=1,B1063='112'!$K$9,OR($N1063='112'!$I$6,$O1063='112'!$I$6))),"x",""))</f>
        <v/>
      </c>
      <c r="U1063" s="79" t="str">
        <f>IF(ISERROR(FIND('112'!$M$9,G1063,1)),"",IF((AND(LEFT(G1063,2)=LEFT('112'!$M$9,2),B1063&lt;'112'!$K$9,$N1063='112'!$I$6)),"x",""))</f>
        <v/>
      </c>
      <c r="V1063" s="79" t="str">
        <f>IF(ISERROR(FIND('112'!$M$9,G1063,1)),"",IF((AND(RIGHT(G1063,2)=RIGHT('112'!$M$9,2),B1063&lt;'112'!$K$9,$O1063='112'!$I$6)),"x",""))</f>
        <v/>
      </c>
      <c r="W1063" s="79" t="str">
        <f>IF(AND('341-CT'!$H$9=H1063,OR(LEFT(N1063,3)=$W$7,LEFT(O1063,3)=$W$7)),"x","")</f>
        <v/>
      </c>
      <c r="X1063" s="79" t="str">
        <f>IF(OR(TH!N1063=TH!$X$7,O1063=TH!$X$7),"x","")</f>
        <v/>
      </c>
      <c r="Y1063" s="79" t="str">
        <f>IF(AND(OR(N1063="131",O1063="131"),H1063='131-CT'!$H$9),"x","")</f>
        <v/>
      </c>
      <c r="Z1063" s="79"/>
      <c r="AA1063" s="79" t="str">
        <f>IF(AND(MONTH(E1063)='IN-NX'!$J$5,'IN-NX'!$D$7=D1063),"x","")</f>
        <v/>
      </c>
      <c r="AB1063" s="79" t="str">
        <f>IF(AND(OR(LEFT(TH!N1063,2)="15",LEFT(TH!O1063,2)="15"),LEFT(TH!O1063,3)&lt;&gt;"111",'152-CT'!$J$8=TH!F1063),"x","")</f>
        <v/>
      </c>
      <c r="AC1063" s="79" t="str">
        <f>IF(AND(OR(LEFT(TH!N1063,2)="15",LEFT(TH!O1063,2)="15"),TK!$E$7=TH!F1063),"x","")</f>
        <v/>
      </c>
      <c r="AD1063" s="79" t="str">
        <f>IF(AND(N1063="1521",MONTH(C1063)='BK-NL'!$M$11),"x","")</f>
        <v/>
      </c>
    </row>
    <row r="1064" spans="1:30" ht="16.5" customHeight="1">
      <c r="A1064" s="318" t="str">
        <f>IF(B1064&lt;&gt;"",IF(AND(B1064='IN-TC'!$S$4,OR(TH!N1064="1111",TH!O1064="1111")),TH!D1064,""),"")</f>
        <v/>
      </c>
      <c r="B1064" s="60" t="str">
        <f t="shared" si="172"/>
        <v/>
      </c>
      <c r="C1064" s="261"/>
      <c r="D1064" s="261"/>
      <c r="E1064" s="261"/>
      <c r="F1064" s="1103"/>
      <c r="G1064" s="1104"/>
      <c r="H1064" s="759"/>
      <c r="I1064" s="383"/>
      <c r="J1064" s="383"/>
      <c r="K1064" s="383"/>
      <c r="L1064" s="390"/>
      <c r="M1064" s="978"/>
      <c r="N1064" s="1019"/>
      <c r="O1064" s="1019"/>
      <c r="P1064" s="79" t="str">
        <f>IF(AND('331-CT'!$E$7=TH!H1064,OR(N1064="331",O1064="331")),"x","")</f>
        <v/>
      </c>
      <c r="Q1064" s="79" t="str">
        <f>IF(AND(B1064='111'!$L$11,OR($N1064=$Q$7,$O1064=$Q$7)),"x","")</f>
        <v/>
      </c>
      <c r="R1064" s="79" t="str">
        <f>IF(AND($N1064=$Q$7,$B1064&lt;'111'!$L$11),"x","")</f>
        <v/>
      </c>
      <c r="S1064" s="79" t="str">
        <f>IF(AND($O1064=$Q$7,$B1064&lt;'111'!$L$11),"x","")</f>
        <v/>
      </c>
      <c r="T1064" s="79" t="str">
        <f>IF(ISERROR(FIND('112'!$M$9,G1064,1)),"",IF((AND(FIND('112'!$M$9,G1064,1)&gt;=1,B1064='112'!$K$9,OR($N1064='112'!$I$6,$O1064='112'!$I$6))),"x",""))</f>
        <v/>
      </c>
      <c r="U1064" s="79" t="str">
        <f>IF(ISERROR(FIND('112'!$M$9,G1064,1)),"",IF((AND(LEFT(G1064,2)=LEFT('112'!$M$9,2),B1064&lt;'112'!$K$9,$N1064='112'!$I$6)),"x",""))</f>
        <v/>
      </c>
      <c r="V1064" s="79" t="str">
        <f>IF(ISERROR(FIND('112'!$M$9,G1064,1)),"",IF((AND(RIGHT(G1064,2)=RIGHT('112'!$M$9,2),B1064&lt;'112'!$K$9,$O1064='112'!$I$6)),"x",""))</f>
        <v/>
      </c>
      <c r="W1064" s="79" t="str">
        <f>IF(AND('341-CT'!$H$9=H1064,OR(LEFT(N1064,3)=$W$7,LEFT(O1064,3)=$W$7)),"x","")</f>
        <v/>
      </c>
      <c r="X1064" s="79" t="str">
        <f>IF(OR(TH!N1064=TH!$X$7,O1064=TH!$X$7),"x","")</f>
        <v/>
      </c>
      <c r="Y1064" s="79" t="str">
        <f>IF(AND(OR(N1064="131",O1064="131"),H1064='131-CT'!$H$9),"x","")</f>
        <v/>
      </c>
      <c r="Z1064" s="79"/>
      <c r="AA1064" s="79" t="str">
        <f>IF(AND(MONTH(E1064)='IN-NX'!$J$5,'IN-NX'!$D$7=D1064),"x","")</f>
        <v/>
      </c>
      <c r="AB1064" s="79" t="str">
        <f>IF(AND(OR(LEFT(TH!N1064,2)="15",LEFT(TH!O1064,2)="15"),LEFT(TH!O1064,3)&lt;&gt;"111",'152-CT'!$J$8=TH!F1064),"x","")</f>
        <v/>
      </c>
      <c r="AC1064" s="79" t="str">
        <f>IF(AND(OR(LEFT(TH!N1064,2)="15",LEFT(TH!O1064,2)="15"),TK!$E$7=TH!F1064),"x","")</f>
        <v/>
      </c>
      <c r="AD1064" s="79" t="str">
        <f>IF(AND(N1064="1521",MONTH(C1064)='BK-NL'!$M$11),"x","")</f>
        <v/>
      </c>
    </row>
    <row r="1065" spans="1:30" ht="16.5" customHeight="1">
      <c r="A1065" s="318" t="str">
        <f>IF(B1065&lt;&gt;"",IF(AND(B1065='IN-TC'!$S$4,OR(TH!N1065="1111",TH!O1065="1111")),TH!D1065,""),"")</f>
        <v/>
      </c>
      <c r="B1065" s="60" t="str">
        <f t="shared" ref="B1065" si="174">IF(C1065&lt;&gt;"",MONTH(C1065),"")</f>
        <v/>
      </c>
      <c r="C1065" s="261"/>
      <c r="D1065" s="261"/>
      <c r="E1065" s="261"/>
      <c r="F1065" s="1103"/>
      <c r="G1065" s="1104"/>
      <c r="H1065" s="759"/>
      <c r="I1065" s="383"/>
      <c r="J1065" s="383"/>
      <c r="K1065" s="383"/>
      <c r="L1065" s="390"/>
      <c r="M1065" s="978"/>
      <c r="N1065" s="1019"/>
      <c r="O1065" s="1019"/>
      <c r="P1065" s="79" t="str">
        <f>IF(AND('331-CT'!$E$7=TH!H1065,OR(N1065="331",O1065="331")),"x","")</f>
        <v/>
      </c>
      <c r="Q1065" s="79" t="str">
        <f>IF(AND(B1065='111'!$L$11,OR($N1065=$Q$7,$O1065=$Q$7)),"x","")</f>
        <v/>
      </c>
      <c r="R1065" s="79" t="str">
        <f>IF(AND($N1065=$Q$7,$B1065&lt;'111'!$L$11),"x","")</f>
        <v/>
      </c>
      <c r="S1065" s="79" t="str">
        <f>IF(AND($O1065=$Q$7,$B1065&lt;'111'!$L$11),"x","")</f>
        <v/>
      </c>
      <c r="T1065" s="79" t="str">
        <f>IF(ISERROR(FIND('112'!$M$9,G1065,1)),"",IF((AND(FIND('112'!$M$9,G1065,1)&gt;=1,B1065='112'!$K$9,OR($N1065='112'!$I$6,$O1065='112'!$I$6))),"x",""))</f>
        <v/>
      </c>
      <c r="U1065" s="79" t="str">
        <f>IF(ISERROR(FIND('112'!$M$9,G1065,1)),"",IF((AND(LEFT(G1065,2)=LEFT('112'!$M$9,2),B1065&lt;'112'!$K$9,$N1065='112'!$I$6)),"x",""))</f>
        <v/>
      </c>
      <c r="V1065" s="79" t="str">
        <f>IF(ISERROR(FIND('112'!$M$9,G1065,1)),"",IF((AND(RIGHT(G1065,2)=RIGHT('112'!$M$9,2),B1065&lt;'112'!$K$9,$O1065='112'!$I$6)),"x",""))</f>
        <v/>
      </c>
      <c r="W1065" s="79" t="str">
        <f>IF(AND('341-CT'!$H$9=H1065,OR(LEFT(N1065,3)=$W$7,LEFT(O1065,3)=$W$7)),"x","")</f>
        <v/>
      </c>
      <c r="X1065" s="79" t="str">
        <f>IF(OR(TH!N1065=TH!$X$7,O1065=TH!$X$7),"x","")</f>
        <v/>
      </c>
      <c r="Y1065" s="79" t="str">
        <f>IF(AND(OR(N1065="131",O1065="131"),H1065='131-CT'!$H$9),"x","")</f>
        <v/>
      </c>
      <c r="Z1065" s="79"/>
      <c r="AA1065" s="79" t="str">
        <f>IF(AND(MONTH(E1065)='IN-NX'!$J$5,'IN-NX'!$D$7=D1065),"x","")</f>
        <v/>
      </c>
      <c r="AB1065" s="79" t="str">
        <f>IF(AND(OR(LEFT(TH!N1065,2)="15",LEFT(TH!O1065,2)="15"),LEFT(TH!O1065,3)&lt;&gt;"111",'152-CT'!$J$8=TH!F1065),"x","")</f>
        <v/>
      </c>
      <c r="AC1065" s="79" t="str">
        <f>IF(AND(OR(LEFT(TH!N1065,2)="15",LEFT(TH!O1065,2)="15"),TK!$E$7=TH!F1065),"x","")</f>
        <v/>
      </c>
      <c r="AD1065" s="79" t="str">
        <f>IF(AND(N1065="1521",MONTH(C1065)='BK-NL'!$M$11),"x","")</f>
        <v/>
      </c>
    </row>
    <row r="1066" spans="1:30" ht="16.5" customHeight="1">
      <c r="A1066" s="318" t="str">
        <f>IF(B1066&lt;&gt;"",IF(AND(B1066='IN-TC'!$S$4,OR(TH!N1066="1111",TH!O1066="1111")),TH!D1066,""),"")</f>
        <v/>
      </c>
      <c r="B1066" s="60" t="str">
        <f t="shared" ref="B1066:B1069" si="175">IF(C1066&lt;&gt;"",MONTH(C1066),"")</f>
        <v/>
      </c>
      <c r="C1066" s="261"/>
      <c r="D1066" s="261"/>
      <c r="E1066" s="261"/>
      <c r="F1066" s="1103"/>
      <c r="G1066" s="1104"/>
      <c r="H1066" s="759"/>
      <c r="I1066" s="383"/>
      <c r="J1066" s="383"/>
      <c r="K1066" s="383"/>
      <c r="L1066" s="390"/>
      <c r="M1066" s="978"/>
      <c r="N1066" s="1019"/>
      <c r="O1066" s="1019"/>
      <c r="P1066" s="79" t="str">
        <f>IF(AND('331-CT'!$E$7=TH!H1066,OR(N1066="331",O1066="331")),"x","")</f>
        <v/>
      </c>
      <c r="Q1066" s="79" t="str">
        <f>IF(AND(B1066='111'!$L$11,OR($N1066=$Q$7,$O1066=$Q$7)),"x","")</f>
        <v/>
      </c>
      <c r="R1066" s="79" t="str">
        <f>IF(AND($N1066=$Q$7,$B1066&lt;'111'!$L$11),"x","")</f>
        <v/>
      </c>
      <c r="S1066" s="79" t="str">
        <f>IF(AND($O1066=$Q$7,$B1066&lt;'111'!$L$11),"x","")</f>
        <v/>
      </c>
      <c r="T1066" s="79" t="str">
        <f>IF(ISERROR(FIND('112'!$M$9,G1066,1)),"",IF((AND(FIND('112'!$M$9,G1066,1)&gt;=1,B1066='112'!$K$9,OR($N1066='112'!$I$6,$O1066='112'!$I$6))),"x",""))</f>
        <v/>
      </c>
      <c r="U1066" s="79" t="str">
        <f>IF(ISERROR(FIND('112'!$M$9,G1066,1)),"",IF((AND(LEFT(G1066,2)=LEFT('112'!$M$9,2),B1066&lt;'112'!$K$9,$N1066='112'!$I$6)),"x",""))</f>
        <v/>
      </c>
      <c r="V1066" s="79" t="str">
        <f>IF(ISERROR(FIND('112'!$M$9,G1066,1)),"",IF((AND(RIGHT(G1066,2)=RIGHT('112'!$M$9,2),B1066&lt;'112'!$K$9,$O1066='112'!$I$6)),"x",""))</f>
        <v/>
      </c>
      <c r="W1066" s="79" t="str">
        <f>IF(AND('341-CT'!$H$9=H1066,OR(LEFT(N1066,3)=$W$7,LEFT(O1066,3)=$W$7)),"x","")</f>
        <v/>
      </c>
      <c r="X1066" s="79" t="str">
        <f>IF(OR(TH!N1066=TH!$X$7,O1066=TH!$X$7),"x","")</f>
        <v/>
      </c>
      <c r="Y1066" s="79" t="str">
        <f>IF(AND(OR(N1066="131",O1066="131"),H1066='131-CT'!$H$9),"x","")</f>
        <v/>
      </c>
      <c r="Z1066" s="79"/>
      <c r="AA1066" s="79" t="str">
        <f>IF(AND(MONTH(E1066)='IN-NX'!$J$5,'IN-NX'!$D$7=D1066),"x","")</f>
        <v/>
      </c>
      <c r="AB1066" s="79" t="str">
        <f>IF(AND(OR(LEFT(TH!N1066,2)="15",LEFT(TH!O1066,2)="15"),LEFT(TH!O1066,3)&lt;&gt;"111",'152-CT'!$J$8=TH!F1066),"x","")</f>
        <v/>
      </c>
      <c r="AC1066" s="79" t="str">
        <f>IF(AND(OR(LEFT(TH!N1066,2)="15",LEFT(TH!O1066,2)="15"),TK!$E$7=TH!F1066),"x","")</f>
        <v/>
      </c>
      <c r="AD1066" s="79" t="str">
        <f>IF(AND(N1066="1521",MONTH(C1066)='BK-NL'!$M$11),"x","")</f>
        <v/>
      </c>
    </row>
    <row r="1067" spans="1:30" ht="16.5" customHeight="1">
      <c r="A1067" s="318" t="str">
        <f>IF(B1067&lt;&gt;"",IF(AND(B1067='IN-TC'!$S$4,OR(TH!N1067="1111",TH!O1067="1111")),TH!D1067,""),"")</f>
        <v/>
      </c>
      <c r="B1067" s="60" t="str">
        <f t="shared" si="175"/>
        <v/>
      </c>
      <c r="C1067" s="226"/>
      <c r="D1067" s="226"/>
      <c r="E1067" s="226"/>
      <c r="F1067" s="446"/>
      <c r="G1067" s="763"/>
      <c r="H1067" s="321"/>
      <c r="I1067" s="385"/>
      <c r="J1067" s="385"/>
      <c r="K1067" s="385"/>
      <c r="L1067" s="392"/>
      <c r="M1067" s="970"/>
      <c r="N1067" s="980"/>
      <c r="O1067" s="980"/>
      <c r="P1067" s="79" t="str">
        <f>IF(AND('331-CT'!$E$7=TH!H1067,OR(N1067="331",O1067="331")),"x","")</f>
        <v/>
      </c>
      <c r="Q1067" s="79" t="str">
        <f>IF(AND(B1067='111'!$L$11,OR($N1067=$Q$7,$O1067=$Q$7)),"x","")</f>
        <v/>
      </c>
      <c r="R1067" s="79" t="str">
        <f>IF(AND($N1067=$Q$7,$B1067&lt;'111'!$L$11),"x","")</f>
        <v/>
      </c>
      <c r="S1067" s="79" t="str">
        <f>IF(AND($O1067=$Q$7,$B1067&lt;'111'!$L$11),"x","")</f>
        <v/>
      </c>
      <c r="T1067" s="79" t="str">
        <f>IF(ISERROR(FIND('112'!$M$9,G1067,1)),"",IF((AND(FIND('112'!$M$9,G1067,1)&gt;=1,B1067='112'!$K$9,OR($N1067='112'!$I$6,$O1067='112'!$I$6))),"x",""))</f>
        <v/>
      </c>
      <c r="U1067" s="79" t="str">
        <f>IF(ISERROR(FIND('112'!$M$9,G1067,1)),"",IF((AND(LEFT(G1067,2)=LEFT('112'!$M$9,2),B1067&lt;'112'!$K$9,$N1067='112'!$I$6)),"x",""))</f>
        <v/>
      </c>
      <c r="V1067" s="79" t="str">
        <f>IF(ISERROR(FIND('112'!$M$9,G1067,1)),"",IF((AND(RIGHT(G1067,2)=RIGHT('112'!$M$9,2),B1067&lt;'112'!$K$9,$O1067='112'!$I$6)),"x",""))</f>
        <v/>
      </c>
      <c r="W1067" s="79" t="str">
        <f>IF(AND('341-CT'!$H$9=H1067,OR(LEFT(N1067,3)=$W$7,LEFT(O1067,3)=$W$7)),"x","")</f>
        <v/>
      </c>
      <c r="X1067" s="79" t="str">
        <f>IF(OR(TH!N1067=TH!$X$7,O1067=TH!$X$7),"x","")</f>
        <v/>
      </c>
      <c r="Y1067" s="79" t="str">
        <f>IF(AND(OR(N1067="131",O1067="131"),H1067='131-CT'!$H$9),"x","")</f>
        <v/>
      </c>
      <c r="Z1067" s="79"/>
      <c r="AA1067" s="79" t="str">
        <f>IF(AND(MONTH(E1067)='IN-NX'!$J$5,'IN-NX'!$D$7=D1067),"x","")</f>
        <v/>
      </c>
      <c r="AB1067" s="79" t="str">
        <f>IF(AND(OR(LEFT(TH!N1067,2)="15",LEFT(TH!O1067,2)="15"),LEFT(TH!O1067,3)&lt;&gt;"111",'152-CT'!$J$8=TH!F1067),"x","")</f>
        <v/>
      </c>
      <c r="AC1067" s="79" t="str">
        <f>IF(AND(OR(LEFT(TH!N1067,2)="15",LEFT(TH!O1067,2)="15"),TK!$E$7=TH!F1067),"x","")</f>
        <v/>
      </c>
      <c r="AD1067" s="79" t="str">
        <f>IF(AND(N1067="1521",MONTH(C1067)='BK-NL'!$M$11),"x","")</f>
        <v/>
      </c>
    </row>
    <row r="1068" spans="1:30" ht="16.5" customHeight="1">
      <c r="A1068" s="318" t="str">
        <f>IF(B1068&lt;&gt;"",IF(AND(B1068='IN-TC'!$S$4,OR(TH!N1068="1111",TH!O1068="1111")),TH!D1068,""),"")</f>
        <v/>
      </c>
      <c r="B1068" s="60" t="str">
        <f t="shared" si="175"/>
        <v/>
      </c>
      <c r="C1068" s="226"/>
      <c r="D1068" s="226"/>
      <c r="E1068" s="226"/>
      <c r="F1068" s="446"/>
      <c r="G1068" s="763"/>
      <c r="H1068" s="321"/>
      <c r="I1068" s="385"/>
      <c r="J1068" s="385"/>
      <c r="K1068" s="385"/>
      <c r="L1068" s="392"/>
      <c r="M1068" s="970"/>
      <c r="N1068" s="980"/>
      <c r="O1068" s="980"/>
      <c r="P1068" s="79" t="str">
        <f>IF(AND('331-CT'!$E$7=TH!H1068,OR(N1068="331",O1068="331")),"x","")</f>
        <v/>
      </c>
      <c r="Q1068" s="79" t="str">
        <f>IF(AND(B1068='111'!$L$11,OR($N1068=$Q$7,$O1068=$Q$7)),"x","")</f>
        <v/>
      </c>
      <c r="R1068" s="79" t="str">
        <f>IF(AND($N1068=$Q$7,$B1068&lt;'111'!$L$11),"x","")</f>
        <v/>
      </c>
      <c r="S1068" s="79" t="str">
        <f>IF(AND($O1068=$Q$7,$B1068&lt;'111'!$L$11),"x","")</f>
        <v/>
      </c>
      <c r="T1068" s="79" t="str">
        <f>IF(ISERROR(FIND('112'!$M$9,G1068,1)),"",IF((AND(FIND('112'!$M$9,G1068,1)&gt;=1,B1068='112'!$K$9,OR($N1068='112'!$I$6,$O1068='112'!$I$6))),"x",""))</f>
        <v/>
      </c>
      <c r="U1068" s="79" t="str">
        <f>IF(ISERROR(FIND('112'!$M$9,G1068,1)),"",IF((AND(LEFT(G1068,2)=LEFT('112'!$M$9,2),B1068&lt;'112'!$K$9,$N1068='112'!$I$6)),"x",""))</f>
        <v/>
      </c>
      <c r="V1068" s="79" t="str">
        <f>IF(ISERROR(FIND('112'!$M$9,G1068,1)),"",IF((AND(RIGHT(G1068,2)=RIGHT('112'!$M$9,2),B1068&lt;'112'!$K$9,$O1068='112'!$I$6)),"x",""))</f>
        <v/>
      </c>
      <c r="W1068" s="79" t="str">
        <f>IF(AND('341-CT'!$H$9=H1068,OR(LEFT(N1068,3)=$W$7,LEFT(O1068,3)=$W$7)),"x","")</f>
        <v/>
      </c>
      <c r="X1068" s="79" t="str">
        <f>IF(OR(TH!N1068=TH!$X$7,O1068=TH!$X$7),"x","")</f>
        <v/>
      </c>
      <c r="Y1068" s="79" t="str">
        <f>IF(AND(OR(N1068="131",O1068="131"),H1068='131-CT'!$H$9),"x","")</f>
        <v/>
      </c>
      <c r="Z1068" s="79"/>
      <c r="AA1068" s="79" t="str">
        <f>IF(AND(MONTH(E1068)='IN-NX'!$J$5,'IN-NX'!$D$7=D1068),"x","")</f>
        <v/>
      </c>
      <c r="AB1068" s="79" t="str">
        <f>IF(AND(OR(LEFT(TH!N1068,2)="15",LEFT(TH!O1068,2)="15"),LEFT(TH!O1068,3)&lt;&gt;"111",'152-CT'!$J$8=TH!F1068),"x","")</f>
        <v/>
      </c>
      <c r="AC1068" s="79" t="str">
        <f>IF(AND(OR(LEFT(TH!N1068,2)="15",LEFT(TH!O1068,2)="15"),TK!$E$7=TH!F1068),"x","")</f>
        <v/>
      </c>
      <c r="AD1068" s="79" t="str">
        <f>IF(AND(N1068="1521",MONTH(C1068)='BK-NL'!$M$11),"x","")</f>
        <v/>
      </c>
    </row>
    <row r="1069" spans="1:30" ht="16.5" customHeight="1">
      <c r="A1069" s="318" t="str">
        <f>IF(B1069&lt;&gt;"",IF(AND(B1069='IN-TC'!$S$4,OR(TH!N1069="1111",TH!O1069="1111")),TH!D1069,""),"")</f>
        <v/>
      </c>
      <c r="B1069" s="60" t="str">
        <f t="shared" si="175"/>
        <v/>
      </c>
      <c r="C1069" s="226"/>
      <c r="D1069" s="226"/>
      <c r="E1069" s="226"/>
      <c r="F1069" s="446"/>
      <c r="G1069" s="763"/>
      <c r="H1069" s="321"/>
      <c r="I1069" s="385"/>
      <c r="J1069" s="385"/>
      <c r="K1069" s="385"/>
      <c r="L1069" s="392"/>
      <c r="M1069" s="970"/>
      <c r="N1069" s="980"/>
      <c r="O1069" s="980"/>
      <c r="P1069" s="79" t="str">
        <f>IF(AND('331-CT'!$E$7=TH!H1069,OR(N1069="331",O1069="331")),"x","")</f>
        <v/>
      </c>
      <c r="Q1069" s="79" t="str">
        <f>IF(AND(B1069='111'!$L$11,OR($N1069=$Q$7,$O1069=$Q$7)),"x","")</f>
        <v/>
      </c>
      <c r="R1069" s="79" t="str">
        <f>IF(AND($N1069=$Q$7,$B1069&lt;'111'!$L$11),"x","")</f>
        <v/>
      </c>
      <c r="S1069" s="79" t="str">
        <f>IF(AND($O1069=$Q$7,$B1069&lt;'111'!$L$11),"x","")</f>
        <v/>
      </c>
      <c r="T1069" s="79" t="str">
        <f>IF(ISERROR(FIND('112'!$M$9,G1069,1)),"",IF((AND(FIND('112'!$M$9,G1069,1)&gt;=1,B1069='112'!$K$9,OR($N1069='112'!$I$6,$O1069='112'!$I$6))),"x",""))</f>
        <v/>
      </c>
      <c r="U1069" s="79" t="str">
        <f>IF(ISERROR(FIND('112'!$M$9,G1069,1)),"",IF((AND(LEFT(G1069,2)=LEFT('112'!$M$9,2),B1069&lt;'112'!$K$9,$N1069='112'!$I$6)),"x",""))</f>
        <v/>
      </c>
      <c r="V1069" s="79" t="str">
        <f>IF(ISERROR(FIND('112'!$M$9,G1069,1)),"",IF((AND(RIGHT(G1069,2)=RIGHT('112'!$M$9,2),B1069&lt;'112'!$K$9,$O1069='112'!$I$6)),"x",""))</f>
        <v/>
      </c>
      <c r="W1069" s="79" t="str">
        <f>IF(AND('341-CT'!$H$9=H1069,OR(LEFT(N1069,3)=$W$7,LEFT(O1069,3)=$W$7)),"x","")</f>
        <v/>
      </c>
      <c r="X1069" s="79" t="str">
        <f>IF(OR(TH!N1069=TH!$X$7,O1069=TH!$X$7),"x","")</f>
        <v/>
      </c>
      <c r="Y1069" s="79" t="str">
        <f>IF(AND(OR(N1069="131",O1069="131"),H1069='131-CT'!$H$9),"x","")</f>
        <v/>
      </c>
      <c r="Z1069" s="79"/>
      <c r="AA1069" s="79" t="str">
        <f>IF(AND(MONTH(E1069)='IN-NX'!$J$5,'IN-NX'!$D$7=D1069),"x","")</f>
        <v/>
      </c>
      <c r="AB1069" s="79" t="str">
        <f>IF(AND(OR(LEFT(TH!N1069,2)="15",LEFT(TH!O1069,2)="15"),LEFT(TH!O1069,3)&lt;&gt;"111",'152-CT'!$J$8=TH!F1069),"x","")</f>
        <v/>
      </c>
      <c r="AC1069" s="79" t="str">
        <f>IF(AND(OR(LEFT(TH!N1069,2)="15",LEFT(TH!O1069,2)="15"),TK!$E$7=TH!F1069),"x","")</f>
        <v/>
      </c>
      <c r="AD1069" s="79" t="str">
        <f>IF(AND(N1069="1521",MONTH(C1069)='BK-NL'!$M$11),"x","")</f>
        <v/>
      </c>
    </row>
    <row r="1070" spans="1:30" ht="16.5" customHeight="1">
      <c r="A1070" s="318" t="str">
        <f>IF(B1070&lt;&gt;"",IF(AND(B1070='IN-TC'!$S$4,OR(TH!N1070="1111",TH!O1070="1111")),TH!D1070,""),"")</f>
        <v/>
      </c>
      <c r="B1070" s="60" t="str">
        <f t="shared" ref="B1070:B1072" si="176">IF(C1070&lt;&gt;"",MONTH(C1070),"")</f>
        <v/>
      </c>
      <c r="C1070" s="261"/>
      <c r="D1070" s="261"/>
      <c r="E1070" s="261"/>
      <c r="F1070" s="1103"/>
      <c r="G1070" s="1104"/>
      <c r="H1070" s="759"/>
      <c r="I1070" s="383"/>
      <c r="J1070" s="383"/>
      <c r="K1070" s="383"/>
      <c r="L1070" s="390"/>
      <c r="M1070" s="978"/>
      <c r="N1070" s="1019"/>
      <c r="O1070" s="1019"/>
      <c r="P1070" s="79" t="str">
        <f>IF(AND('331-CT'!$E$7=TH!H1070,OR(N1070="331",O1070="331")),"x","")</f>
        <v/>
      </c>
      <c r="Q1070" s="79" t="str">
        <f>IF(AND(B1070='111'!$L$11,OR($N1070=$Q$7,$O1070=$Q$7)),"x","")</f>
        <v/>
      </c>
      <c r="R1070" s="79" t="str">
        <f>IF(AND($N1070=$Q$7,$B1070&lt;'111'!$L$11),"x","")</f>
        <v/>
      </c>
      <c r="S1070" s="79" t="str">
        <f>IF(AND($O1070=$Q$7,$B1070&lt;'111'!$L$11),"x","")</f>
        <v/>
      </c>
      <c r="T1070" s="79" t="str">
        <f>IF(ISERROR(FIND('112'!$M$9,G1070,1)),"",IF((AND(FIND('112'!$M$9,G1070,1)&gt;=1,B1070='112'!$K$9,OR($N1070='112'!$I$6,$O1070='112'!$I$6))),"x",""))</f>
        <v/>
      </c>
      <c r="U1070" s="79" t="str">
        <f>IF(ISERROR(FIND('112'!$M$9,G1070,1)),"",IF((AND(LEFT(G1070,2)=LEFT('112'!$M$9,2),B1070&lt;'112'!$K$9,$N1070='112'!$I$6)),"x",""))</f>
        <v/>
      </c>
      <c r="V1070" s="79" t="str">
        <f>IF(ISERROR(FIND('112'!$M$9,G1070,1)),"",IF((AND(RIGHT(G1070,2)=RIGHT('112'!$M$9,2),B1070&lt;'112'!$K$9,$O1070='112'!$I$6)),"x",""))</f>
        <v/>
      </c>
      <c r="W1070" s="79" t="str">
        <f>IF(AND('341-CT'!$H$9=H1070,OR(LEFT(N1070,3)=$W$7,LEFT(O1070,3)=$W$7)),"x","")</f>
        <v/>
      </c>
      <c r="X1070" s="79" t="str">
        <f>IF(OR(TH!N1070=TH!$X$7,O1070=TH!$X$7),"x","")</f>
        <v/>
      </c>
      <c r="Y1070" s="79" t="str">
        <f>IF(AND(OR(N1070="131",O1070="131"),H1070='131-CT'!$H$9),"x","")</f>
        <v/>
      </c>
      <c r="Z1070" s="79"/>
      <c r="AA1070" s="79" t="str">
        <f>IF(AND(MONTH(E1070)='IN-NX'!$J$5,'IN-NX'!$D$7=D1070),"x","")</f>
        <v/>
      </c>
      <c r="AB1070" s="79" t="str">
        <f>IF(AND(OR(LEFT(TH!N1070,2)="15",LEFT(TH!O1070,2)="15"),LEFT(TH!O1070,3)&lt;&gt;"111",'152-CT'!$J$8=TH!F1070),"x","")</f>
        <v/>
      </c>
      <c r="AC1070" s="79" t="str">
        <f>IF(AND(OR(LEFT(TH!N1070,2)="15",LEFT(TH!O1070,2)="15"),TK!$E$7=TH!F1070),"x","")</f>
        <v/>
      </c>
      <c r="AD1070" s="79" t="str">
        <f>IF(AND(N1070="1521",MONTH(C1070)='BK-NL'!$M$11),"x","")</f>
        <v/>
      </c>
    </row>
    <row r="1071" spans="1:30" ht="16.5" customHeight="1">
      <c r="A1071" s="318" t="str">
        <f>IF(B1071&lt;&gt;"",IF(AND(B1071='IN-TC'!$S$4,OR(TH!N1071="1111",TH!O1071="1111")),TH!D1071,""),"")</f>
        <v/>
      </c>
      <c r="B1071" s="60" t="str">
        <f t="shared" si="176"/>
        <v/>
      </c>
      <c r="C1071" s="261"/>
      <c r="D1071" s="261"/>
      <c r="E1071" s="261"/>
      <c r="F1071" s="1103"/>
      <c r="G1071" s="1104"/>
      <c r="H1071" s="77"/>
      <c r="I1071" s="383"/>
      <c r="J1071" s="383"/>
      <c r="K1071" s="383"/>
      <c r="L1071" s="390"/>
      <c r="M1071" s="383"/>
      <c r="N1071" s="1019"/>
      <c r="O1071" s="1019"/>
      <c r="P1071" s="79" t="str">
        <f>IF(AND('331-CT'!$E$7=TH!H1071,OR(N1071="331",O1071="331")),"x","")</f>
        <v/>
      </c>
      <c r="Q1071" s="79" t="str">
        <f>IF(AND(B1071='111'!$L$11,OR($N1071=$Q$7,$O1071=$Q$7)),"x","")</f>
        <v/>
      </c>
      <c r="R1071" s="79" t="str">
        <f>IF(AND($N1071=$Q$7,$B1071&lt;'111'!$L$11),"x","")</f>
        <v/>
      </c>
      <c r="S1071" s="79" t="str">
        <f>IF(AND($O1071=$Q$7,$B1071&lt;'111'!$L$11),"x","")</f>
        <v/>
      </c>
      <c r="T1071" s="79" t="str">
        <f>IF(ISERROR(FIND('112'!$M$9,G1071,1)),"",IF((AND(FIND('112'!$M$9,G1071,1)&gt;=1,B1071='112'!$K$9,OR($N1071='112'!$I$6,$O1071='112'!$I$6))),"x",""))</f>
        <v/>
      </c>
      <c r="U1071" s="79" t="str">
        <f>IF(ISERROR(FIND('112'!$M$9,G1071,1)),"",IF((AND(LEFT(G1071,2)=LEFT('112'!$M$9,2),B1071&lt;'112'!$K$9,$N1071='112'!$I$6)),"x",""))</f>
        <v/>
      </c>
      <c r="V1071" s="79" t="str">
        <f>IF(ISERROR(FIND('112'!$M$9,G1071,1)),"",IF((AND(RIGHT(G1071,2)=RIGHT('112'!$M$9,2),B1071&lt;'112'!$K$9,$O1071='112'!$I$6)),"x",""))</f>
        <v/>
      </c>
      <c r="W1071" s="79" t="str">
        <f>IF(AND('341-CT'!$H$9=H1071,OR(LEFT(N1071,3)=$W$7,LEFT(O1071,3)=$W$7)),"x","")</f>
        <v/>
      </c>
      <c r="X1071" s="79" t="str">
        <f>IF(OR(TH!N1071=TH!$X$7,O1071=TH!$X$7),"x","")</f>
        <v/>
      </c>
      <c r="Y1071" s="79" t="str">
        <f>IF(AND(OR(N1071="131",O1071="131"),H1071='131-CT'!$H$9),"x","")</f>
        <v/>
      </c>
      <c r="Z1071" s="79"/>
      <c r="AA1071" s="79" t="str">
        <f>IF(AND(MONTH(E1071)='IN-NX'!$J$5,'IN-NX'!$D$7=D1071),"x","")</f>
        <v/>
      </c>
      <c r="AB1071" s="79" t="str">
        <f>IF(AND(OR(LEFT(TH!N1071,2)="15",LEFT(TH!O1071,2)="15"),LEFT(TH!O1071,3)&lt;&gt;"111",'152-CT'!$J$8=TH!F1071),"x","")</f>
        <v/>
      </c>
      <c r="AC1071" s="79" t="str">
        <f>IF(AND(OR(LEFT(TH!N1071,2)="15",LEFT(TH!O1071,2)="15"),TK!$E$7=TH!F1071),"x","")</f>
        <v/>
      </c>
      <c r="AD1071" s="79" t="str">
        <f>IF(AND(N1071="1521",MONTH(C1071)='BK-NL'!$M$11),"x","")</f>
        <v/>
      </c>
    </row>
    <row r="1072" spans="1:30" ht="16.5" customHeight="1">
      <c r="A1072" s="318" t="str">
        <f>IF(B1072&lt;&gt;"",IF(AND(B1072='IN-TC'!$S$4,OR(TH!N1072="1111",TH!O1072="1111")),TH!D1072,""),"")</f>
        <v/>
      </c>
      <c r="B1072" s="60" t="str">
        <f t="shared" si="176"/>
        <v/>
      </c>
      <c r="C1072" s="261"/>
      <c r="D1072" s="261"/>
      <c r="E1072" s="261"/>
      <c r="F1072" s="1103"/>
      <c r="G1072" s="1104"/>
      <c r="H1072" s="77"/>
      <c r="I1072" s="383"/>
      <c r="J1072" s="383"/>
      <c r="K1072" s="383"/>
      <c r="L1072" s="390"/>
      <c r="M1072" s="390"/>
      <c r="N1072" s="1019"/>
      <c r="O1072" s="1019"/>
      <c r="P1072" s="79" t="str">
        <f>IF(AND('331-CT'!$E$7=TH!H1072,OR(N1072="331",O1072="331")),"x","")</f>
        <v/>
      </c>
      <c r="Q1072" s="79" t="str">
        <f>IF(AND(B1072='111'!$L$11,OR($N1072=$Q$7,$O1072=$Q$7)),"x","")</f>
        <v/>
      </c>
      <c r="R1072" s="79" t="str">
        <f>IF(AND($N1072=$Q$7,$B1072&lt;'111'!$L$11),"x","")</f>
        <v/>
      </c>
      <c r="S1072" s="79" t="str">
        <f>IF(AND($O1072=$Q$7,$B1072&lt;'111'!$L$11),"x","")</f>
        <v/>
      </c>
      <c r="T1072" s="79" t="str">
        <f>IF(ISERROR(FIND('112'!$M$9,G1072,1)),"",IF((AND(FIND('112'!$M$9,G1072,1)&gt;=1,B1072='112'!$K$9,OR($N1072='112'!$I$6,$O1072='112'!$I$6))),"x",""))</f>
        <v/>
      </c>
      <c r="U1072" s="79" t="str">
        <f>IF(ISERROR(FIND('112'!$M$9,G1072,1)),"",IF((AND(LEFT(G1072,2)=LEFT('112'!$M$9,2),B1072&lt;'112'!$K$9,$N1072='112'!$I$6)),"x",""))</f>
        <v/>
      </c>
      <c r="V1072" s="79" t="str">
        <f>IF(ISERROR(FIND('112'!$M$9,G1072,1)),"",IF((AND(RIGHT(G1072,2)=RIGHT('112'!$M$9,2),B1072&lt;'112'!$K$9,$O1072='112'!$I$6)),"x",""))</f>
        <v/>
      </c>
      <c r="W1072" s="79" t="str">
        <f>IF(AND('341-CT'!$H$9=H1072,OR(LEFT(N1072,3)=$W$7,LEFT(O1072,3)=$W$7)),"x","")</f>
        <v/>
      </c>
      <c r="X1072" s="79" t="str">
        <f>IF(OR(TH!N1072=TH!$X$7,O1072=TH!$X$7),"x","")</f>
        <v/>
      </c>
      <c r="Y1072" s="79" t="str">
        <f>IF(AND(OR(N1072="131",O1072="131"),H1072='131-CT'!$H$9),"x","")</f>
        <v/>
      </c>
      <c r="Z1072" s="79"/>
      <c r="AA1072" s="79" t="str">
        <f>IF(AND(MONTH(E1072)='IN-NX'!$J$5,'IN-NX'!$D$7=D1072),"x","")</f>
        <v/>
      </c>
      <c r="AB1072" s="79" t="str">
        <f>IF(AND(OR(LEFT(TH!N1072,2)="15",LEFT(TH!O1072,2)="15"),LEFT(TH!O1072,3)&lt;&gt;"111",'152-CT'!$J$8=TH!F1072),"x","")</f>
        <v/>
      </c>
      <c r="AC1072" s="79" t="str">
        <f>IF(AND(OR(LEFT(TH!N1072,2)="15",LEFT(TH!O1072,2)="15"),TK!$E$7=TH!F1072),"x","")</f>
        <v/>
      </c>
      <c r="AD1072" s="79" t="str">
        <f>IF(AND(N1072="1521",MONTH(C1072)='BK-NL'!$M$11),"x","")</f>
        <v/>
      </c>
    </row>
    <row r="1073" spans="1:30" ht="16.5" customHeight="1">
      <c r="A1073" s="318" t="str">
        <f>IF(B1073&lt;&gt;"",IF(AND(B1073='IN-TC'!$S$4,OR(TH!N1073="1111",TH!O1073="1111")),TH!D1073,""),"")</f>
        <v/>
      </c>
      <c r="B1073" s="60" t="str">
        <f t="shared" ref="B1073" si="177">IF(C1073&lt;&gt;"",MONTH(C1073),"")</f>
        <v/>
      </c>
      <c r="C1073" s="261"/>
      <c r="D1073" s="261"/>
      <c r="E1073" s="261"/>
      <c r="F1073" s="1103"/>
      <c r="G1073" s="1104"/>
      <c r="H1073" s="759"/>
      <c r="I1073" s="383"/>
      <c r="J1073" s="383"/>
      <c r="K1073" s="383"/>
      <c r="L1073" s="390"/>
      <c r="M1073" s="978"/>
      <c r="N1073" s="1019"/>
      <c r="O1073" s="1019"/>
      <c r="P1073" s="79" t="str">
        <f>IF(AND('331-CT'!$E$7=TH!H1073,OR(N1073="331",O1073="331")),"x","")</f>
        <v/>
      </c>
      <c r="Q1073" s="79" t="str">
        <f>IF(AND(B1073='111'!$L$11,OR($N1073=$Q$7,$O1073=$Q$7)),"x","")</f>
        <v/>
      </c>
      <c r="R1073" s="79" t="str">
        <f>IF(AND($N1073=$Q$7,$B1073&lt;'111'!$L$11),"x","")</f>
        <v/>
      </c>
      <c r="S1073" s="79" t="str">
        <f>IF(AND($O1073=$Q$7,$B1073&lt;'111'!$L$11),"x","")</f>
        <v/>
      </c>
      <c r="T1073" s="79" t="str">
        <f>IF(ISERROR(FIND('112'!$M$9,G1073,1)),"",IF((AND(FIND('112'!$M$9,G1073,1)&gt;=1,B1073='112'!$K$9,OR($N1073='112'!$I$6,$O1073='112'!$I$6))),"x",""))</f>
        <v/>
      </c>
      <c r="U1073" s="79" t="str">
        <f>IF(ISERROR(FIND('112'!$M$9,G1073,1)),"",IF((AND(LEFT(G1073,2)=LEFT('112'!$M$9,2),B1073&lt;'112'!$K$9,$N1073='112'!$I$6)),"x",""))</f>
        <v/>
      </c>
      <c r="V1073" s="79" t="str">
        <f>IF(ISERROR(FIND('112'!$M$9,G1073,1)),"",IF((AND(RIGHT(G1073,2)=RIGHT('112'!$M$9,2),B1073&lt;'112'!$K$9,$O1073='112'!$I$6)),"x",""))</f>
        <v/>
      </c>
      <c r="W1073" s="79" t="str">
        <f>IF(AND('341-CT'!$H$9=H1073,OR(LEFT(N1073,3)=$W$7,LEFT(O1073,3)=$W$7)),"x","")</f>
        <v/>
      </c>
      <c r="X1073" s="79" t="str">
        <f>IF(OR(TH!N1073=TH!$X$7,O1073=TH!$X$7),"x","")</f>
        <v/>
      </c>
      <c r="Y1073" s="79" t="str">
        <f>IF(AND(OR(N1073="131",O1073="131"),H1073='131-CT'!$H$9),"x","")</f>
        <v/>
      </c>
      <c r="Z1073" s="79"/>
      <c r="AA1073" s="79" t="str">
        <f>IF(AND(MONTH(E1073)='IN-NX'!$J$5,'IN-NX'!$D$7=D1073),"x","")</f>
        <v/>
      </c>
      <c r="AB1073" s="79" t="str">
        <f>IF(AND(OR(LEFT(TH!N1073,2)="15",LEFT(TH!O1073,2)="15"),LEFT(TH!O1073,3)&lt;&gt;"111",'152-CT'!$J$8=TH!F1073),"x","")</f>
        <v/>
      </c>
      <c r="AC1073" s="79" t="str">
        <f>IF(AND(OR(LEFT(TH!N1073,2)="15",LEFT(TH!O1073,2)="15"),TK!$E$7=TH!F1073),"x","")</f>
        <v/>
      </c>
      <c r="AD1073" s="79" t="str">
        <f>IF(AND(N1073="1521",MONTH(C1073)='BK-NL'!$M$11),"x","")</f>
        <v/>
      </c>
    </row>
    <row r="1074" spans="1:30" ht="16.5" customHeight="1">
      <c r="A1074" s="318" t="str">
        <f>IF(B1074&lt;&gt;"",IF(AND(B1074='IN-TC'!$S$4,OR(TH!N1074="1111",TH!O1074="1111")),TH!D1074,""),"")</f>
        <v/>
      </c>
      <c r="B1074" s="60" t="str">
        <f t="shared" ref="B1074:B1083" si="178">IF(C1074&lt;&gt;"",MONTH(C1074),"")</f>
        <v/>
      </c>
      <c r="C1074" s="261"/>
      <c r="D1074" s="261"/>
      <c r="E1074" s="261"/>
      <c r="F1074" s="1103"/>
      <c r="G1074" s="1104"/>
      <c r="H1074" s="759"/>
      <c r="I1074" s="383"/>
      <c r="J1074" s="383"/>
      <c r="K1074" s="383"/>
      <c r="L1074" s="390"/>
      <c r="M1074" s="978"/>
      <c r="N1074" s="1019"/>
      <c r="O1074" s="1019"/>
      <c r="P1074" s="79" t="str">
        <f>IF(AND('331-CT'!$E$7=TH!H1074,OR(N1074="331",O1074="331")),"x","")</f>
        <v/>
      </c>
      <c r="Q1074" s="79" t="str">
        <f>IF(AND(B1074='111'!$L$11,OR($N1074=$Q$7,$O1074=$Q$7)),"x","")</f>
        <v/>
      </c>
      <c r="R1074" s="79" t="str">
        <f>IF(AND($N1074=$Q$7,$B1074&lt;'111'!$L$11),"x","")</f>
        <v/>
      </c>
      <c r="S1074" s="79" t="str">
        <f>IF(AND($O1074=$Q$7,$B1074&lt;'111'!$L$11),"x","")</f>
        <v/>
      </c>
      <c r="T1074" s="79" t="str">
        <f>IF(ISERROR(FIND('112'!$M$9,G1074,1)),"",IF((AND(FIND('112'!$M$9,G1074,1)&gt;=1,B1074='112'!$K$9,OR($N1074='112'!$I$6,$O1074='112'!$I$6))),"x",""))</f>
        <v/>
      </c>
      <c r="U1074" s="79" t="str">
        <f>IF(ISERROR(FIND('112'!$M$9,G1074,1)),"",IF((AND(LEFT(G1074,2)=LEFT('112'!$M$9,2),B1074&lt;'112'!$K$9,$N1074='112'!$I$6)),"x",""))</f>
        <v/>
      </c>
      <c r="V1074" s="79" t="str">
        <f>IF(ISERROR(FIND('112'!$M$9,G1074,1)),"",IF((AND(RIGHT(G1074,2)=RIGHT('112'!$M$9,2),B1074&lt;'112'!$K$9,$O1074='112'!$I$6)),"x",""))</f>
        <v/>
      </c>
      <c r="W1074" s="79" t="str">
        <f>IF(AND('341-CT'!$H$9=H1074,OR(LEFT(N1074,3)=$W$7,LEFT(O1074,3)=$W$7)),"x","")</f>
        <v/>
      </c>
      <c r="X1074" s="79" t="str">
        <f>IF(OR(TH!N1074=TH!$X$7,O1074=TH!$X$7),"x","")</f>
        <v/>
      </c>
      <c r="Y1074" s="79" t="str">
        <f>IF(AND(OR(N1074="131",O1074="131"),H1074='131-CT'!$H$9),"x","")</f>
        <v/>
      </c>
      <c r="Z1074" s="79"/>
      <c r="AA1074" s="79" t="str">
        <f>IF(AND(MONTH(E1074)='IN-NX'!$J$5,'IN-NX'!$D$7=D1074),"x","")</f>
        <v/>
      </c>
      <c r="AB1074" s="79" t="str">
        <f>IF(AND(OR(LEFT(TH!N1074,2)="15",LEFT(TH!O1074,2)="15"),LEFT(TH!O1074,3)&lt;&gt;"111",'152-CT'!$J$8=TH!F1074),"x","")</f>
        <v/>
      </c>
      <c r="AC1074" s="79" t="str">
        <f>IF(AND(OR(LEFT(TH!N1074,2)="15",LEFT(TH!O1074,2)="15"),TK!$E$7=TH!F1074),"x","")</f>
        <v/>
      </c>
      <c r="AD1074" s="79" t="str">
        <f>IF(AND(N1074="1521",MONTH(C1074)='BK-NL'!$M$11),"x","")</f>
        <v/>
      </c>
    </row>
    <row r="1075" spans="1:30" ht="16.5" customHeight="1">
      <c r="A1075" s="318" t="str">
        <f>IF(B1075&lt;&gt;"",IF(AND(B1075='IN-TC'!$S$4,OR(TH!N1075="1111",TH!O1075="1111")),TH!D1075,""),"")</f>
        <v/>
      </c>
      <c r="B1075" s="60" t="str">
        <f t="shared" ref="B1075:B1082" si="179">IF(C1075&lt;&gt;"",MONTH(C1075),"")</f>
        <v/>
      </c>
      <c r="C1075" s="261"/>
      <c r="D1075" s="261"/>
      <c r="E1075" s="261"/>
      <c r="F1075" s="1103"/>
      <c r="G1075" s="1104"/>
      <c r="H1075" s="759"/>
      <c r="I1075" s="383"/>
      <c r="J1075" s="383"/>
      <c r="K1075" s="383"/>
      <c r="L1075" s="390"/>
      <c r="M1075" s="1248"/>
      <c r="N1075" s="1019"/>
      <c r="O1075" s="1019"/>
      <c r="P1075" s="79" t="str">
        <f>IF(AND('331-CT'!$E$7=TH!H1075,OR(N1075="331",O1075="331")),"x","")</f>
        <v/>
      </c>
      <c r="Q1075" s="79" t="str">
        <f>IF(AND(B1075='111'!$L$11,OR($N1075=$Q$7,$O1075=$Q$7)),"x","")</f>
        <v/>
      </c>
      <c r="R1075" s="79" t="str">
        <f>IF(AND($N1075=$Q$7,$B1075&lt;'111'!$L$11),"x","")</f>
        <v/>
      </c>
      <c r="S1075" s="79" t="str">
        <f>IF(AND($O1075=$Q$7,$B1075&lt;'111'!$L$11),"x","")</f>
        <v/>
      </c>
      <c r="T1075" s="79" t="str">
        <f>IF(ISERROR(FIND('112'!$M$9,G1075,1)),"",IF((AND(FIND('112'!$M$9,G1075,1)&gt;=1,B1075='112'!$K$9,OR($N1075='112'!$I$6,$O1075='112'!$I$6))),"x",""))</f>
        <v/>
      </c>
      <c r="U1075" s="79" t="str">
        <f>IF(ISERROR(FIND('112'!$M$9,G1075,1)),"",IF((AND(LEFT(G1075,2)=LEFT('112'!$M$9,2),B1075&lt;'112'!$K$9,$N1075='112'!$I$6)),"x",""))</f>
        <v/>
      </c>
      <c r="V1075" s="79" t="str">
        <f>IF(ISERROR(FIND('112'!$M$9,G1075,1)),"",IF((AND(RIGHT(G1075,2)=RIGHT('112'!$M$9,2),B1075&lt;'112'!$K$9,$O1075='112'!$I$6)),"x",""))</f>
        <v/>
      </c>
      <c r="W1075" s="79" t="str">
        <f>IF(AND('341-CT'!$H$9=H1075,OR(LEFT(N1075,3)=$W$7,LEFT(O1075,3)=$W$7)),"x","")</f>
        <v/>
      </c>
      <c r="X1075" s="79" t="str">
        <f>IF(OR(TH!N1075=TH!$X$7,O1075=TH!$X$7),"x","")</f>
        <v/>
      </c>
      <c r="Y1075" s="79" t="str">
        <f>IF(AND(OR(N1075="131",O1075="131"),H1075='131-CT'!$H$9),"x","")</f>
        <v/>
      </c>
      <c r="Z1075" s="79"/>
      <c r="AA1075" s="79" t="str">
        <f>IF(AND(MONTH(E1075)='IN-NX'!$J$5,'IN-NX'!$D$7=D1075),"x","")</f>
        <v/>
      </c>
      <c r="AB1075" s="79" t="str">
        <f>IF(AND(OR(LEFT(TH!N1075,2)="15",LEFT(TH!O1075,2)="15"),LEFT(TH!O1075,3)&lt;&gt;"111",'152-CT'!$J$8=TH!F1075),"x","")</f>
        <v/>
      </c>
      <c r="AC1075" s="79" t="str">
        <f>IF(AND(OR(LEFT(TH!N1075,2)="15",LEFT(TH!O1075,2)="15"),TK!$E$7=TH!F1075),"x","")</f>
        <v/>
      </c>
      <c r="AD1075" s="79" t="str">
        <f>IF(AND(N1075="1521",MONTH(C1075)='BK-NL'!$M$11),"x","")</f>
        <v/>
      </c>
    </row>
    <row r="1076" spans="1:30" ht="16.5" customHeight="1">
      <c r="A1076" s="318" t="str">
        <f>IF(B1076&lt;&gt;"",IF(AND(B1076='IN-TC'!$S$4,OR(TH!N1076="1111",TH!O1076="1111")),TH!D1076,""),"")</f>
        <v/>
      </c>
      <c r="B1076" s="60" t="str">
        <f t="shared" si="179"/>
        <v/>
      </c>
      <c r="C1076" s="261"/>
      <c r="D1076" s="261"/>
      <c r="E1076" s="261"/>
      <c r="F1076" s="1103"/>
      <c r="G1076" s="1104"/>
      <c r="H1076" s="759"/>
      <c r="I1076" s="383"/>
      <c r="J1076" s="383"/>
      <c r="K1076" s="383"/>
      <c r="L1076" s="390"/>
      <c r="M1076" s="1248"/>
      <c r="N1076" s="1019"/>
      <c r="O1076" s="1019"/>
      <c r="P1076" s="79" t="str">
        <f>IF(AND('331-CT'!$E$7=TH!H1076,OR(N1076="331",O1076="331")),"x","")</f>
        <v/>
      </c>
      <c r="Q1076" s="79" t="str">
        <f>IF(AND(B1076='111'!$L$11,OR($N1076=$Q$7,$O1076=$Q$7)),"x","")</f>
        <v/>
      </c>
      <c r="R1076" s="79" t="str">
        <f>IF(AND($N1076=$Q$7,$B1076&lt;'111'!$L$11),"x","")</f>
        <v/>
      </c>
      <c r="S1076" s="79" t="str">
        <f>IF(AND($O1076=$Q$7,$B1076&lt;'111'!$L$11),"x","")</f>
        <v/>
      </c>
      <c r="T1076" s="79" t="str">
        <f>IF(ISERROR(FIND('112'!$M$9,G1076,1)),"",IF((AND(FIND('112'!$M$9,G1076,1)&gt;=1,B1076='112'!$K$9,OR($N1076='112'!$I$6,$O1076='112'!$I$6))),"x",""))</f>
        <v/>
      </c>
      <c r="U1076" s="79" t="str">
        <f>IF(ISERROR(FIND('112'!$M$9,G1076,1)),"",IF((AND(LEFT(G1076,2)=LEFT('112'!$M$9,2),B1076&lt;'112'!$K$9,$N1076='112'!$I$6)),"x",""))</f>
        <v/>
      </c>
      <c r="V1076" s="79" t="str">
        <f>IF(ISERROR(FIND('112'!$M$9,G1076,1)),"",IF((AND(RIGHT(G1076,2)=RIGHT('112'!$M$9,2),B1076&lt;'112'!$K$9,$O1076='112'!$I$6)),"x",""))</f>
        <v/>
      </c>
      <c r="W1076" s="79" t="str">
        <f>IF(AND('341-CT'!$H$9=H1076,OR(LEFT(N1076,3)=$W$7,LEFT(O1076,3)=$W$7)),"x","")</f>
        <v/>
      </c>
      <c r="X1076" s="79" t="str">
        <f>IF(OR(TH!N1076=TH!$X$7,O1076=TH!$X$7),"x","")</f>
        <v/>
      </c>
      <c r="Y1076" s="79" t="str">
        <f>IF(AND(OR(N1076="131",O1076="131"),H1076='131-CT'!$H$9),"x","")</f>
        <v/>
      </c>
      <c r="Z1076" s="79"/>
      <c r="AA1076" s="79" t="str">
        <f>IF(AND(MONTH(E1076)='IN-NX'!$J$5,'IN-NX'!$D$7=D1076),"x","")</f>
        <v/>
      </c>
      <c r="AB1076" s="79" t="str">
        <f>IF(AND(OR(LEFT(TH!N1076,2)="15",LEFT(TH!O1076,2)="15"),LEFT(TH!O1076,3)&lt;&gt;"111",'152-CT'!$J$8=TH!F1076),"x","")</f>
        <v/>
      </c>
      <c r="AC1076" s="79" t="str">
        <f>IF(AND(OR(LEFT(TH!N1076,2)="15",LEFT(TH!O1076,2)="15"),TK!$E$7=TH!F1076),"x","")</f>
        <v/>
      </c>
      <c r="AD1076" s="79" t="str">
        <f>IF(AND(N1076="1521",MONTH(C1076)='BK-NL'!$M$11),"x","")</f>
        <v/>
      </c>
    </row>
    <row r="1077" spans="1:30" ht="16.5" customHeight="1">
      <c r="A1077" s="318" t="str">
        <f>IF(B1077&lt;&gt;"",IF(AND(B1077='IN-TC'!$S$4,OR(TH!N1077="1111",TH!O1077="1111")),TH!D1077,""),"")</f>
        <v/>
      </c>
      <c r="B1077" s="60" t="str">
        <f t="shared" si="179"/>
        <v/>
      </c>
      <c r="C1077" s="261"/>
      <c r="D1077" s="261"/>
      <c r="E1077" s="261"/>
      <c r="F1077" s="1103"/>
      <c r="G1077" s="1104"/>
      <c r="H1077" s="759"/>
      <c r="I1077" s="383"/>
      <c r="J1077" s="383"/>
      <c r="K1077" s="383"/>
      <c r="L1077" s="390"/>
      <c r="M1077" s="1248"/>
      <c r="N1077" s="1019"/>
      <c r="O1077" s="1019"/>
      <c r="P1077" s="79" t="str">
        <f>IF(AND('331-CT'!$E$7=TH!H1077,OR(N1077="331",O1077="331")),"x","")</f>
        <v/>
      </c>
      <c r="Q1077" s="79" t="str">
        <f>IF(AND(B1077='111'!$L$11,OR($N1077=$Q$7,$O1077=$Q$7)),"x","")</f>
        <v/>
      </c>
      <c r="R1077" s="79" t="str">
        <f>IF(AND($N1077=$Q$7,$B1077&lt;'111'!$L$11),"x","")</f>
        <v/>
      </c>
      <c r="S1077" s="79" t="str">
        <f>IF(AND($O1077=$Q$7,$B1077&lt;'111'!$L$11),"x","")</f>
        <v/>
      </c>
      <c r="T1077" s="79" t="str">
        <f>IF(ISERROR(FIND('112'!$M$9,G1077,1)),"",IF((AND(FIND('112'!$M$9,G1077,1)&gt;=1,B1077='112'!$K$9,OR($N1077='112'!$I$6,$O1077='112'!$I$6))),"x",""))</f>
        <v/>
      </c>
      <c r="U1077" s="79" t="str">
        <f>IF(ISERROR(FIND('112'!$M$9,G1077,1)),"",IF((AND(LEFT(G1077,2)=LEFT('112'!$M$9,2),B1077&lt;'112'!$K$9,$N1077='112'!$I$6)),"x",""))</f>
        <v/>
      </c>
      <c r="V1077" s="79" t="str">
        <f>IF(ISERROR(FIND('112'!$M$9,G1077,1)),"",IF((AND(RIGHT(G1077,2)=RIGHT('112'!$M$9,2),B1077&lt;'112'!$K$9,$O1077='112'!$I$6)),"x",""))</f>
        <v/>
      </c>
      <c r="W1077" s="79" t="str">
        <f>IF(AND('341-CT'!$H$9=H1077,OR(LEFT(N1077,3)=$W$7,LEFT(O1077,3)=$W$7)),"x","")</f>
        <v/>
      </c>
      <c r="X1077" s="79" t="str">
        <f>IF(OR(TH!N1077=TH!$X$7,O1077=TH!$X$7),"x","")</f>
        <v/>
      </c>
      <c r="Y1077" s="79" t="str">
        <f>IF(AND(OR(N1077="131",O1077="131"),H1077='131-CT'!$H$9),"x","")</f>
        <v/>
      </c>
      <c r="Z1077" s="79"/>
      <c r="AA1077" s="79" t="str">
        <f>IF(AND(MONTH(E1077)='IN-NX'!$J$5,'IN-NX'!$D$7=D1077),"x","")</f>
        <v/>
      </c>
      <c r="AB1077" s="79" t="str">
        <f>IF(AND(OR(LEFT(TH!N1077,2)="15",LEFT(TH!O1077,2)="15"),LEFT(TH!O1077,3)&lt;&gt;"111",'152-CT'!$J$8=TH!F1077),"x","")</f>
        <v/>
      </c>
      <c r="AC1077" s="79" t="str">
        <f>IF(AND(OR(LEFT(TH!N1077,2)="15",LEFT(TH!O1077,2)="15"),TK!$E$7=TH!F1077),"x","")</f>
        <v/>
      </c>
      <c r="AD1077" s="79" t="str">
        <f>IF(AND(N1077="1521",MONTH(C1077)='BK-NL'!$M$11),"x","")</f>
        <v/>
      </c>
    </row>
    <row r="1078" spans="1:30" ht="16.5" customHeight="1">
      <c r="A1078" s="318" t="str">
        <f>IF(B1078&lt;&gt;"",IF(AND(B1078='IN-TC'!$S$4,OR(TH!N1078="1111",TH!O1078="1111")),TH!D1078,""),"")</f>
        <v/>
      </c>
      <c r="B1078" s="60" t="str">
        <f t="shared" si="179"/>
        <v/>
      </c>
      <c r="C1078" s="261"/>
      <c r="D1078" s="261"/>
      <c r="E1078" s="261"/>
      <c r="F1078" s="1103"/>
      <c r="G1078" s="1104"/>
      <c r="H1078" s="759"/>
      <c r="I1078" s="383"/>
      <c r="J1078" s="383"/>
      <c r="K1078" s="383"/>
      <c r="L1078" s="390"/>
      <c r="M1078" s="1248"/>
      <c r="N1078" s="1019"/>
      <c r="O1078" s="1019"/>
      <c r="P1078" s="79" t="str">
        <f>IF(AND('331-CT'!$E$7=TH!H1078,OR(N1078="331",O1078="331")),"x","")</f>
        <v/>
      </c>
      <c r="Q1078" s="79" t="str">
        <f>IF(AND(B1078='111'!$L$11,OR($N1078=$Q$7,$O1078=$Q$7)),"x","")</f>
        <v/>
      </c>
      <c r="R1078" s="79" t="str">
        <f>IF(AND($N1078=$Q$7,$B1078&lt;'111'!$L$11),"x","")</f>
        <v/>
      </c>
      <c r="S1078" s="79" t="str">
        <f>IF(AND($O1078=$Q$7,$B1078&lt;'111'!$L$11),"x","")</f>
        <v/>
      </c>
      <c r="T1078" s="79" t="str">
        <f>IF(ISERROR(FIND('112'!$M$9,G1078,1)),"",IF((AND(FIND('112'!$M$9,G1078,1)&gt;=1,B1078='112'!$K$9,OR($N1078='112'!$I$6,$O1078='112'!$I$6))),"x",""))</f>
        <v/>
      </c>
      <c r="U1078" s="79" t="str">
        <f>IF(ISERROR(FIND('112'!$M$9,G1078,1)),"",IF((AND(LEFT(G1078,2)=LEFT('112'!$M$9,2),B1078&lt;'112'!$K$9,$N1078='112'!$I$6)),"x",""))</f>
        <v/>
      </c>
      <c r="V1078" s="79" t="str">
        <f>IF(ISERROR(FIND('112'!$M$9,G1078,1)),"",IF((AND(RIGHT(G1078,2)=RIGHT('112'!$M$9,2),B1078&lt;'112'!$K$9,$O1078='112'!$I$6)),"x",""))</f>
        <v/>
      </c>
      <c r="W1078" s="79" t="str">
        <f>IF(AND('341-CT'!$H$9=H1078,OR(LEFT(N1078,3)=$W$7,LEFT(O1078,3)=$W$7)),"x","")</f>
        <v/>
      </c>
      <c r="X1078" s="79" t="str">
        <f>IF(OR(TH!N1078=TH!$X$7,O1078=TH!$X$7),"x","")</f>
        <v/>
      </c>
      <c r="Y1078" s="79" t="str">
        <f>IF(AND(OR(N1078="131",O1078="131"),H1078='131-CT'!$H$9),"x","")</f>
        <v/>
      </c>
      <c r="Z1078" s="79"/>
      <c r="AA1078" s="79" t="str">
        <f>IF(AND(MONTH(E1078)='IN-NX'!$J$5,'IN-NX'!$D$7=D1078),"x","")</f>
        <v/>
      </c>
      <c r="AB1078" s="79" t="str">
        <f>IF(AND(OR(LEFT(TH!N1078,2)="15",LEFT(TH!O1078,2)="15"),LEFT(TH!O1078,3)&lt;&gt;"111",'152-CT'!$J$8=TH!F1078),"x","")</f>
        <v/>
      </c>
      <c r="AC1078" s="79" t="str">
        <f>IF(AND(OR(LEFT(TH!N1078,2)="15",LEFT(TH!O1078,2)="15"),TK!$E$7=TH!F1078),"x","")</f>
        <v/>
      </c>
      <c r="AD1078" s="79" t="str">
        <f>IF(AND(N1078="1521",MONTH(C1078)='BK-NL'!$M$11),"x","")</f>
        <v/>
      </c>
    </row>
    <row r="1079" spans="1:30" ht="16.5" customHeight="1">
      <c r="A1079" s="318" t="str">
        <f>IF(B1079&lt;&gt;"",IF(AND(B1079='IN-TC'!$S$4,OR(TH!N1079="1111",TH!O1079="1111")),TH!D1079,""),"")</f>
        <v/>
      </c>
      <c r="B1079" s="60" t="str">
        <f t="shared" si="179"/>
        <v/>
      </c>
      <c r="C1079" s="261"/>
      <c r="D1079" s="261"/>
      <c r="E1079" s="261"/>
      <c r="F1079" s="1103"/>
      <c r="G1079" s="1104"/>
      <c r="H1079" s="759"/>
      <c r="I1079" s="383"/>
      <c r="J1079" s="383"/>
      <c r="K1079" s="383"/>
      <c r="L1079" s="390"/>
      <c r="M1079" s="1248"/>
      <c r="N1079" s="1019"/>
      <c r="O1079" s="1019"/>
      <c r="P1079" s="79" t="str">
        <f>IF(AND('331-CT'!$E$7=TH!H1079,OR(N1079="331",O1079="331")),"x","")</f>
        <v/>
      </c>
      <c r="Q1079" s="79" t="str">
        <f>IF(AND(B1079='111'!$L$11,OR($N1079=$Q$7,$O1079=$Q$7)),"x","")</f>
        <v/>
      </c>
      <c r="R1079" s="79" t="str">
        <f>IF(AND($N1079=$Q$7,$B1079&lt;'111'!$L$11),"x","")</f>
        <v/>
      </c>
      <c r="S1079" s="79" t="str">
        <f>IF(AND($O1079=$Q$7,$B1079&lt;'111'!$L$11),"x","")</f>
        <v/>
      </c>
      <c r="T1079" s="79" t="str">
        <f>IF(ISERROR(FIND('112'!$M$9,G1079,1)),"",IF((AND(FIND('112'!$M$9,G1079,1)&gt;=1,B1079='112'!$K$9,OR($N1079='112'!$I$6,$O1079='112'!$I$6))),"x",""))</f>
        <v/>
      </c>
      <c r="U1079" s="79" t="str">
        <f>IF(ISERROR(FIND('112'!$M$9,G1079,1)),"",IF((AND(LEFT(G1079,2)=LEFT('112'!$M$9,2),B1079&lt;'112'!$K$9,$N1079='112'!$I$6)),"x",""))</f>
        <v/>
      </c>
      <c r="V1079" s="79" t="str">
        <f>IF(ISERROR(FIND('112'!$M$9,G1079,1)),"",IF((AND(RIGHT(G1079,2)=RIGHT('112'!$M$9,2),B1079&lt;'112'!$K$9,$O1079='112'!$I$6)),"x",""))</f>
        <v/>
      </c>
      <c r="W1079" s="79" t="str">
        <f>IF(AND('341-CT'!$H$9=H1079,OR(LEFT(N1079,3)=$W$7,LEFT(O1079,3)=$W$7)),"x","")</f>
        <v/>
      </c>
      <c r="X1079" s="79" t="str">
        <f>IF(OR(TH!N1079=TH!$X$7,O1079=TH!$X$7),"x","")</f>
        <v/>
      </c>
      <c r="Y1079" s="79" t="str">
        <f>IF(AND(OR(N1079="131",O1079="131"),H1079='131-CT'!$H$9),"x","")</f>
        <v/>
      </c>
      <c r="Z1079" s="79"/>
      <c r="AA1079" s="79" t="str">
        <f>IF(AND(MONTH(E1079)='IN-NX'!$J$5,'IN-NX'!$D$7=D1079),"x","")</f>
        <v/>
      </c>
      <c r="AB1079" s="79" t="str">
        <f>IF(AND(OR(LEFT(TH!N1079,2)="15",LEFT(TH!O1079,2)="15"),LEFT(TH!O1079,3)&lt;&gt;"111",'152-CT'!$J$8=TH!F1079),"x","")</f>
        <v/>
      </c>
      <c r="AC1079" s="79" t="str">
        <f>IF(AND(OR(LEFT(TH!N1079,2)="15",LEFT(TH!O1079,2)="15"),TK!$E$7=TH!F1079),"x","")</f>
        <v/>
      </c>
      <c r="AD1079" s="79" t="str">
        <f>IF(AND(N1079="1521",MONTH(C1079)='BK-NL'!$M$11),"x","")</f>
        <v/>
      </c>
    </row>
    <row r="1080" spans="1:30" ht="16.5" customHeight="1">
      <c r="A1080" s="318" t="str">
        <f>IF(B1080&lt;&gt;"",IF(AND(B1080='IN-TC'!$S$4,OR(TH!N1080="1111",TH!O1080="1111")),TH!D1080,""),"")</f>
        <v/>
      </c>
      <c r="B1080" s="60" t="str">
        <f t="shared" si="179"/>
        <v/>
      </c>
      <c r="C1080" s="261"/>
      <c r="D1080" s="261"/>
      <c r="E1080" s="261"/>
      <c r="F1080" s="1103"/>
      <c r="G1080" s="1104"/>
      <c r="H1080" s="759"/>
      <c r="I1080" s="383"/>
      <c r="J1080" s="383"/>
      <c r="K1080" s="383"/>
      <c r="L1080" s="390"/>
      <c r="M1080" s="1248"/>
      <c r="N1080" s="1019"/>
      <c r="O1080" s="1019"/>
      <c r="P1080" s="79" t="str">
        <f>IF(AND('331-CT'!$E$7=TH!H1080,OR(N1080="331",O1080="331")),"x","")</f>
        <v/>
      </c>
      <c r="Q1080" s="79" t="str">
        <f>IF(AND(B1080='111'!$L$11,OR($N1080=$Q$7,$O1080=$Q$7)),"x","")</f>
        <v/>
      </c>
      <c r="R1080" s="79" t="str">
        <f>IF(AND($N1080=$Q$7,$B1080&lt;'111'!$L$11),"x","")</f>
        <v/>
      </c>
      <c r="S1080" s="79" t="str">
        <f>IF(AND($O1080=$Q$7,$B1080&lt;'111'!$L$11),"x","")</f>
        <v/>
      </c>
      <c r="T1080" s="79" t="str">
        <f>IF(ISERROR(FIND('112'!$M$9,G1080,1)),"",IF((AND(FIND('112'!$M$9,G1080,1)&gt;=1,B1080='112'!$K$9,OR($N1080='112'!$I$6,$O1080='112'!$I$6))),"x",""))</f>
        <v/>
      </c>
      <c r="U1080" s="79" t="str">
        <f>IF(ISERROR(FIND('112'!$M$9,G1080,1)),"",IF((AND(LEFT(G1080,2)=LEFT('112'!$M$9,2),B1080&lt;'112'!$K$9,$N1080='112'!$I$6)),"x",""))</f>
        <v/>
      </c>
      <c r="V1080" s="79" t="str">
        <f>IF(ISERROR(FIND('112'!$M$9,G1080,1)),"",IF((AND(RIGHT(G1080,2)=RIGHT('112'!$M$9,2),B1080&lt;'112'!$K$9,$O1080='112'!$I$6)),"x",""))</f>
        <v/>
      </c>
      <c r="W1080" s="79" t="str">
        <f>IF(AND('341-CT'!$H$9=H1080,OR(LEFT(N1080,3)=$W$7,LEFT(O1080,3)=$W$7)),"x","")</f>
        <v/>
      </c>
      <c r="X1080" s="79" t="str">
        <f>IF(OR(TH!N1080=TH!$X$7,O1080=TH!$X$7),"x","")</f>
        <v/>
      </c>
      <c r="Y1080" s="79" t="str">
        <f>IF(AND(OR(N1080="131",O1080="131"),H1080='131-CT'!$H$9),"x","")</f>
        <v/>
      </c>
      <c r="Z1080" s="79"/>
      <c r="AA1080" s="79" t="str">
        <f>IF(AND(MONTH(E1080)='IN-NX'!$J$5,'IN-NX'!$D$7=D1080),"x","")</f>
        <v/>
      </c>
      <c r="AB1080" s="79" t="str">
        <f>IF(AND(OR(LEFT(TH!N1080,2)="15",LEFT(TH!O1080,2)="15"),LEFT(TH!O1080,3)&lt;&gt;"111",'152-CT'!$J$8=TH!F1080),"x","")</f>
        <v/>
      </c>
      <c r="AC1080" s="79" t="str">
        <f>IF(AND(OR(LEFT(TH!N1080,2)="15",LEFT(TH!O1080,2)="15"),TK!$E$7=TH!F1080),"x","")</f>
        <v/>
      </c>
      <c r="AD1080" s="79" t="str">
        <f>IF(AND(N1080="1521",MONTH(C1080)='BK-NL'!$M$11),"x","")</f>
        <v/>
      </c>
    </row>
    <row r="1081" spans="1:30" ht="16.5" customHeight="1">
      <c r="A1081" s="318" t="str">
        <f>IF(B1081&lt;&gt;"",IF(AND(B1081='IN-TC'!$S$4,OR(TH!N1081="1111",TH!O1081="1111")),TH!D1081,""),"")</f>
        <v/>
      </c>
      <c r="B1081" s="60" t="str">
        <f t="shared" ref="B1081" si="180">IF(C1081&lt;&gt;"",MONTH(C1081),"")</f>
        <v/>
      </c>
      <c r="C1081" s="261"/>
      <c r="D1081" s="261"/>
      <c r="E1081" s="261"/>
      <c r="F1081" s="1103"/>
      <c r="G1081" s="1104"/>
      <c r="H1081" s="759"/>
      <c r="I1081" s="383"/>
      <c r="J1081" s="383"/>
      <c r="K1081" s="383"/>
      <c r="L1081" s="390"/>
      <c r="M1081" s="1248"/>
      <c r="N1081" s="1019"/>
      <c r="O1081" s="1019"/>
      <c r="P1081" s="79" t="str">
        <f>IF(AND('331-CT'!$E$7=TH!H1081,OR(N1081="331",O1081="331")),"x","")</f>
        <v/>
      </c>
      <c r="Q1081" s="79" t="str">
        <f>IF(AND(B1081='111'!$L$11,OR($N1081=$Q$7,$O1081=$Q$7)),"x","")</f>
        <v/>
      </c>
      <c r="R1081" s="79" t="str">
        <f>IF(AND($N1081=$Q$7,$B1081&lt;'111'!$L$11),"x","")</f>
        <v/>
      </c>
      <c r="S1081" s="79" t="str">
        <f>IF(AND($O1081=$Q$7,$B1081&lt;'111'!$L$11),"x","")</f>
        <v/>
      </c>
      <c r="T1081" s="79" t="str">
        <f>IF(ISERROR(FIND('112'!$M$9,G1081,1)),"",IF((AND(FIND('112'!$M$9,G1081,1)&gt;=1,B1081='112'!$K$9,OR($N1081='112'!$I$6,$O1081='112'!$I$6))),"x",""))</f>
        <v/>
      </c>
      <c r="U1081" s="79" t="str">
        <f>IF(ISERROR(FIND('112'!$M$9,G1081,1)),"",IF((AND(LEFT(G1081,2)=LEFT('112'!$M$9,2),B1081&lt;'112'!$K$9,$N1081='112'!$I$6)),"x",""))</f>
        <v/>
      </c>
      <c r="V1081" s="79" t="str">
        <f>IF(ISERROR(FIND('112'!$M$9,G1081,1)),"",IF((AND(RIGHT(G1081,2)=RIGHT('112'!$M$9,2),B1081&lt;'112'!$K$9,$O1081='112'!$I$6)),"x",""))</f>
        <v/>
      </c>
      <c r="W1081" s="79" t="str">
        <f>IF(AND('341-CT'!$H$9=H1081,OR(LEFT(N1081,3)=$W$7,LEFT(O1081,3)=$W$7)),"x","")</f>
        <v/>
      </c>
      <c r="X1081" s="79" t="str">
        <f>IF(OR(TH!N1081=TH!$X$7,O1081=TH!$X$7),"x","")</f>
        <v/>
      </c>
      <c r="Y1081" s="79" t="str">
        <f>IF(AND(OR(N1081="131",O1081="131"),H1081='131-CT'!$H$9),"x","")</f>
        <v/>
      </c>
      <c r="Z1081" s="79"/>
      <c r="AA1081" s="79" t="str">
        <f>IF(AND(MONTH(E1081)='IN-NX'!$J$5,'IN-NX'!$D$7=D1081),"x","")</f>
        <v/>
      </c>
      <c r="AB1081" s="79" t="str">
        <f>IF(AND(OR(LEFT(TH!N1081,2)="15",LEFT(TH!O1081,2)="15"),LEFT(TH!O1081,3)&lt;&gt;"111",'152-CT'!$J$8=TH!F1081),"x","")</f>
        <v/>
      </c>
      <c r="AC1081" s="79" t="str">
        <f>IF(AND(OR(LEFT(TH!N1081,2)="15",LEFT(TH!O1081,2)="15"),TK!$E$7=TH!F1081),"x","")</f>
        <v/>
      </c>
      <c r="AD1081" s="79" t="str">
        <f>IF(AND(N1081="1521",MONTH(C1081)='BK-NL'!$M$11),"x","")</f>
        <v/>
      </c>
    </row>
    <row r="1082" spans="1:30" ht="16.5" customHeight="1">
      <c r="A1082" s="318" t="str">
        <f>IF(B1082&lt;&gt;"",IF(AND(B1082='IN-TC'!$S$4,OR(TH!N1082="1111",TH!O1082="1111")),TH!D1082,""),"")</f>
        <v/>
      </c>
      <c r="B1082" s="60" t="str">
        <f t="shared" si="179"/>
        <v/>
      </c>
      <c r="C1082" s="261"/>
      <c r="D1082" s="261"/>
      <c r="E1082" s="261"/>
      <c r="F1082" s="1103"/>
      <c r="G1082" s="1104"/>
      <c r="H1082" s="759"/>
      <c r="I1082" s="383"/>
      <c r="J1082" s="383"/>
      <c r="K1082" s="383"/>
      <c r="L1082" s="390"/>
      <c r="M1082" s="978"/>
      <c r="N1082" s="1019"/>
      <c r="O1082" s="1019"/>
      <c r="P1082" s="79" t="str">
        <f>IF(AND('331-CT'!$E$7=TH!H1082,OR(N1082="331",O1082="331")),"x","")</f>
        <v/>
      </c>
      <c r="Q1082" s="79" t="str">
        <f>IF(AND(B1082='111'!$L$11,OR($N1082=$Q$7,$O1082=$Q$7)),"x","")</f>
        <v/>
      </c>
      <c r="R1082" s="79" t="str">
        <f>IF(AND($N1082=$Q$7,$B1082&lt;'111'!$L$11),"x","")</f>
        <v/>
      </c>
      <c r="S1082" s="79" t="str">
        <f>IF(AND($O1082=$Q$7,$B1082&lt;'111'!$L$11),"x","")</f>
        <v/>
      </c>
      <c r="T1082" s="79" t="str">
        <f>IF(ISERROR(FIND('112'!$M$9,G1082,1)),"",IF((AND(FIND('112'!$M$9,G1082,1)&gt;=1,B1082='112'!$K$9,OR($N1082='112'!$I$6,$O1082='112'!$I$6))),"x",""))</f>
        <v/>
      </c>
      <c r="U1082" s="79" t="str">
        <f>IF(ISERROR(FIND('112'!$M$9,G1082,1)),"",IF((AND(LEFT(G1082,2)=LEFT('112'!$M$9,2),B1082&lt;'112'!$K$9,$N1082='112'!$I$6)),"x",""))</f>
        <v/>
      </c>
      <c r="V1082" s="79" t="str">
        <f>IF(ISERROR(FIND('112'!$M$9,G1082,1)),"",IF((AND(RIGHT(G1082,2)=RIGHT('112'!$M$9,2),B1082&lt;'112'!$K$9,$O1082='112'!$I$6)),"x",""))</f>
        <v/>
      </c>
      <c r="W1082" s="79" t="str">
        <f>IF(AND('341-CT'!$H$9=H1082,OR(LEFT(N1082,3)=$W$7,LEFT(O1082,3)=$W$7)),"x","")</f>
        <v/>
      </c>
      <c r="X1082" s="79" t="str">
        <f>IF(OR(TH!N1082=TH!$X$7,O1082=TH!$X$7),"x","")</f>
        <v/>
      </c>
      <c r="Y1082" s="79" t="str">
        <f>IF(AND(OR(N1082="131",O1082="131"),H1082='131-CT'!$H$9),"x","")</f>
        <v/>
      </c>
      <c r="Z1082" s="79"/>
      <c r="AA1082" s="79" t="str">
        <f>IF(AND(MONTH(E1082)='IN-NX'!$J$5,'IN-NX'!$D$7=D1082),"x","")</f>
        <v/>
      </c>
      <c r="AB1082" s="79" t="str">
        <f>IF(AND(OR(LEFT(TH!N1082,2)="15",LEFT(TH!O1082,2)="15"),LEFT(TH!O1082,3)&lt;&gt;"111",'152-CT'!$J$8=TH!F1082),"x","")</f>
        <v/>
      </c>
      <c r="AC1082" s="79" t="str">
        <f>IF(AND(OR(LEFT(TH!N1082,2)="15",LEFT(TH!O1082,2)="15"),TK!$E$7=TH!F1082),"x","")</f>
        <v/>
      </c>
      <c r="AD1082" s="79" t="str">
        <f>IF(AND(N1082="1521",MONTH(C1082)='BK-NL'!$M$11),"x","")</f>
        <v/>
      </c>
    </row>
    <row r="1083" spans="1:30" ht="16.5" customHeight="1">
      <c r="A1083" s="318" t="str">
        <f>IF(B1083&lt;&gt;"",IF(AND(B1083='IN-TC'!$S$4,OR(TH!N1083="1111",TH!O1083="1111")),TH!D1083,""),"")</f>
        <v/>
      </c>
      <c r="B1083" s="60" t="str">
        <f t="shared" si="178"/>
        <v/>
      </c>
      <c r="C1083" s="261"/>
      <c r="D1083" s="261"/>
      <c r="E1083" s="261"/>
      <c r="F1083" s="1103"/>
      <c r="G1083" s="1104"/>
      <c r="H1083" s="759"/>
      <c r="I1083" s="383"/>
      <c r="J1083" s="383"/>
      <c r="K1083" s="383"/>
      <c r="L1083" s="390"/>
      <c r="M1083" s="978"/>
      <c r="N1083" s="1019"/>
      <c r="O1083" s="1019"/>
      <c r="P1083" s="79" t="str">
        <f>IF(AND('331-CT'!$E$7=TH!H1083,OR(N1083="331",O1083="331")),"x","")</f>
        <v/>
      </c>
      <c r="Q1083" s="79" t="str">
        <f>IF(AND(B1083='111'!$L$11,OR($N1083=$Q$7,$O1083=$Q$7)),"x","")</f>
        <v/>
      </c>
      <c r="R1083" s="79" t="str">
        <f>IF(AND($N1083=$Q$7,$B1083&lt;'111'!$L$11),"x","")</f>
        <v/>
      </c>
      <c r="S1083" s="79" t="str">
        <f>IF(AND($O1083=$Q$7,$B1083&lt;'111'!$L$11),"x","")</f>
        <v/>
      </c>
      <c r="T1083" s="79" t="str">
        <f>IF(ISERROR(FIND('112'!$M$9,G1083,1)),"",IF((AND(FIND('112'!$M$9,G1083,1)&gt;=1,B1083='112'!$K$9,OR($N1083='112'!$I$6,$O1083='112'!$I$6))),"x",""))</f>
        <v/>
      </c>
      <c r="U1083" s="79" t="str">
        <f>IF(ISERROR(FIND('112'!$M$9,G1083,1)),"",IF((AND(LEFT(G1083,2)=LEFT('112'!$M$9,2),B1083&lt;'112'!$K$9,$N1083='112'!$I$6)),"x",""))</f>
        <v/>
      </c>
      <c r="V1083" s="79" t="str">
        <f>IF(ISERROR(FIND('112'!$M$9,G1083,1)),"",IF((AND(RIGHT(G1083,2)=RIGHT('112'!$M$9,2),B1083&lt;'112'!$K$9,$O1083='112'!$I$6)),"x",""))</f>
        <v/>
      </c>
      <c r="W1083" s="79" t="str">
        <f>IF(AND('341-CT'!$H$9=H1083,OR(LEFT(N1083,3)=$W$7,LEFT(O1083,3)=$W$7)),"x","")</f>
        <v/>
      </c>
      <c r="X1083" s="79" t="str">
        <f>IF(OR(TH!N1083=TH!$X$7,O1083=TH!$X$7),"x","")</f>
        <v/>
      </c>
      <c r="Y1083" s="79" t="str">
        <f>IF(AND(OR(N1083="131",O1083="131"),H1083='131-CT'!$H$9),"x","")</f>
        <v/>
      </c>
      <c r="Z1083" s="79"/>
      <c r="AA1083" s="79" t="str">
        <f>IF(AND(MONTH(E1083)='IN-NX'!$J$5,'IN-NX'!$D$7=D1083),"x","")</f>
        <v/>
      </c>
      <c r="AB1083" s="79" t="str">
        <f>IF(AND(OR(LEFT(TH!N1083,2)="15",LEFT(TH!O1083,2)="15"),LEFT(TH!O1083,3)&lt;&gt;"111",'152-CT'!$J$8=TH!F1083),"x","")</f>
        <v/>
      </c>
      <c r="AC1083" s="79" t="str">
        <f>IF(AND(OR(LEFT(TH!N1083,2)="15",LEFT(TH!O1083,2)="15"),TK!$E$7=TH!F1083),"x","")</f>
        <v/>
      </c>
      <c r="AD1083" s="79" t="str">
        <f>IF(AND(N1083="1521",MONTH(C1083)='BK-NL'!$M$11),"x","")</f>
        <v/>
      </c>
    </row>
    <row r="1084" spans="1:30" ht="16.5" customHeight="1">
      <c r="A1084" s="318" t="str">
        <f>IF(B1084&lt;&gt;"",IF(AND(B1084='IN-TC'!$S$4,OR(TH!N1084="1111",TH!O1084="1111")),TH!D1084,""),"")</f>
        <v/>
      </c>
      <c r="B1084" s="60" t="str">
        <f t="shared" ref="B1084:B1086" si="181">IF(C1084&lt;&gt;"",MONTH(C1084),"")</f>
        <v/>
      </c>
      <c r="C1084" s="261"/>
      <c r="D1084" s="261"/>
      <c r="E1084" s="261"/>
      <c r="F1084" s="1103"/>
      <c r="G1084" s="1104"/>
      <c r="H1084" s="759"/>
      <c r="I1084" s="383"/>
      <c r="J1084" s="383"/>
      <c r="K1084" s="383"/>
      <c r="L1084" s="390"/>
      <c r="M1084" s="978"/>
      <c r="N1084" s="1019"/>
      <c r="O1084" s="1019"/>
      <c r="P1084" s="79" t="str">
        <f>IF(AND('331-CT'!$E$7=TH!H1084,OR(N1084="331",O1084="331")),"x","")</f>
        <v/>
      </c>
      <c r="Q1084" s="79" t="str">
        <f>IF(AND(B1084='111'!$L$11,OR($N1084=$Q$7,$O1084=$Q$7)),"x","")</f>
        <v/>
      </c>
      <c r="R1084" s="79" t="str">
        <f>IF(AND($N1084=$Q$7,$B1084&lt;'111'!$L$11),"x","")</f>
        <v/>
      </c>
      <c r="S1084" s="79" t="str">
        <f>IF(AND($O1084=$Q$7,$B1084&lt;'111'!$L$11),"x","")</f>
        <v/>
      </c>
      <c r="T1084" s="79" t="str">
        <f>IF(ISERROR(FIND('112'!$M$9,G1084,1)),"",IF((AND(FIND('112'!$M$9,G1084,1)&gt;=1,B1084='112'!$K$9,OR($N1084='112'!$I$6,$O1084='112'!$I$6))),"x",""))</f>
        <v/>
      </c>
      <c r="U1084" s="79" t="str">
        <f>IF(ISERROR(FIND('112'!$M$9,G1084,1)),"",IF((AND(LEFT(G1084,2)=LEFT('112'!$M$9,2),B1084&lt;'112'!$K$9,$N1084='112'!$I$6)),"x",""))</f>
        <v/>
      </c>
      <c r="V1084" s="79" t="str">
        <f>IF(ISERROR(FIND('112'!$M$9,G1084,1)),"",IF((AND(RIGHT(G1084,2)=RIGHT('112'!$M$9,2),B1084&lt;'112'!$K$9,$O1084='112'!$I$6)),"x",""))</f>
        <v/>
      </c>
      <c r="W1084" s="79" t="str">
        <f>IF(AND('341-CT'!$H$9=H1084,OR(LEFT(N1084,3)=$W$7,LEFT(O1084,3)=$W$7)),"x","")</f>
        <v/>
      </c>
      <c r="X1084" s="79" t="str">
        <f>IF(OR(TH!N1084=TH!$X$7,O1084=TH!$X$7),"x","")</f>
        <v/>
      </c>
      <c r="Y1084" s="79" t="str">
        <f>IF(AND(OR(N1084="131",O1084="131"),H1084='131-CT'!$H$9),"x","")</f>
        <v/>
      </c>
      <c r="Z1084" s="79"/>
      <c r="AA1084" s="79" t="str">
        <f>IF(AND(MONTH(E1084)='IN-NX'!$J$5,'IN-NX'!$D$7=D1084),"x","")</f>
        <v/>
      </c>
      <c r="AB1084" s="79" t="str">
        <f>IF(AND(OR(LEFT(TH!N1084,2)="15",LEFT(TH!O1084,2)="15"),LEFT(TH!O1084,3)&lt;&gt;"111",'152-CT'!$J$8=TH!F1084),"x","")</f>
        <v/>
      </c>
      <c r="AC1084" s="79" t="str">
        <f>IF(AND(OR(LEFT(TH!N1084,2)="15",LEFT(TH!O1084,2)="15"),TK!$E$7=TH!F1084),"x","")</f>
        <v/>
      </c>
      <c r="AD1084" s="79" t="str">
        <f>IF(AND(N1084="1521",MONTH(C1084)='BK-NL'!$M$11),"x","")</f>
        <v/>
      </c>
    </row>
    <row r="1085" spans="1:30" ht="16.5" customHeight="1">
      <c r="A1085" s="318" t="str">
        <f>IF(B1085&lt;&gt;"",IF(AND(B1085='IN-TC'!$S$4,OR(TH!N1085="1111",TH!O1085="1111")),TH!D1085,""),"")</f>
        <v/>
      </c>
      <c r="B1085" s="60" t="str">
        <f t="shared" ref="B1085" si="182">IF(C1085&lt;&gt;"",MONTH(C1085),"")</f>
        <v/>
      </c>
      <c r="C1085" s="261"/>
      <c r="D1085" s="261"/>
      <c r="E1085" s="261"/>
      <c r="F1085" s="1103"/>
      <c r="G1085" s="1104"/>
      <c r="H1085" s="759"/>
      <c r="I1085" s="383"/>
      <c r="J1085" s="383"/>
      <c r="K1085" s="383"/>
      <c r="L1085" s="390"/>
      <c r="M1085" s="978"/>
      <c r="N1085" s="1019"/>
      <c r="O1085" s="1019"/>
      <c r="P1085" s="79" t="str">
        <f>IF(AND('331-CT'!$E$7=TH!H1085,OR(N1085="331",O1085="331")),"x","")</f>
        <v/>
      </c>
      <c r="Q1085" s="79" t="str">
        <f>IF(AND(B1085='111'!$L$11,OR($N1085=$Q$7,$O1085=$Q$7)),"x","")</f>
        <v/>
      </c>
      <c r="R1085" s="79" t="str">
        <f>IF(AND($N1085=$Q$7,$B1085&lt;'111'!$L$11),"x","")</f>
        <v/>
      </c>
      <c r="S1085" s="79" t="str">
        <f>IF(AND($O1085=$Q$7,$B1085&lt;'111'!$L$11),"x","")</f>
        <v/>
      </c>
      <c r="T1085" s="79" t="str">
        <f>IF(ISERROR(FIND('112'!$M$9,G1085,1)),"",IF((AND(FIND('112'!$M$9,G1085,1)&gt;=1,B1085='112'!$K$9,OR($N1085='112'!$I$6,$O1085='112'!$I$6))),"x",""))</f>
        <v/>
      </c>
      <c r="U1085" s="79" t="str">
        <f>IF(ISERROR(FIND('112'!$M$9,G1085,1)),"",IF((AND(LEFT(G1085,2)=LEFT('112'!$M$9,2),B1085&lt;'112'!$K$9,$N1085='112'!$I$6)),"x",""))</f>
        <v/>
      </c>
      <c r="V1085" s="79" t="str">
        <f>IF(ISERROR(FIND('112'!$M$9,G1085,1)),"",IF((AND(RIGHT(G1085,2)=RIGHT('112'!$M$9,2),B1085&lt;'112'!$K$9,$O1085='112'!$I$6)),"x",""))</f>
        <v/>
      </c>
      <c r="W1085" s="79" t="str">
        <f>IF(AND('341-CT'!$H$9=H1085,OR(LEFT(N1085,3)=$W$7,LEFT(O1085,3)=$W$7)),"x","")</f>
        <v/>
      </c>
      <c r="X1085" s="79" t="str">
        <f>IF(OR(TH!N1085=TH!$X$7,O1085=TH!$X$7),"x","")</f>
        <v/>
      </c>
      <c r="Y1085" s="79" t="str">
        <f>IF(AND(OR(N1085="131",O1085="131"),H1085='131-CT'!$H$9),"x","")</f>
        <v/>
      </c>
      <c r="Z1085" s="79"/>
      <c r="AA1085" s="79" t="str">
        <f>IF(AND(MONTH(E1085)='IN-NX'!$J$5,'IN-NX'!$D$7=D1085),"x","")</f>
        <v/>
      </c>
      <c r="AB1085" s="79" t="str">
        <f>IF(AND(OR(LEFT(TH!N1085,2)="15",LEFT(TH!O1085,2)="15"),LEFT(TH!O1085,3)&lt;&gt;"111",'152-CT'!$J$8=TH!F1085),"x","")</f>
        <v/>
      </c>
      <c r="AC1085" s="79" t="str">
        <f>IF(AND(OR(LEFT(TH!N1085,2)="15",LEFT(TH!O1085,2)="15"),TK!$E$7=TH!F1085),"x","")</f>
        <v/>
      </c>
      <c r="AD1085" s="79" t="str">
        <f>IF(AND(N1085="1521",MONTH(C1085)='BK-NL'!$M$11),"x","")</f>
        <v/>
      </c>
    </row>
    <row r="1086" spans="1:30" ht="16.5" customHeight="1">
      <c r="A1086" s="318" t="str">
        <f>IF(B1086&lt;&gt;"",IF(AND(B1086='IN-TC'!$S$4,OR(TH!N1086="1111",TH!O1086="1111")),TH!D1086,""),"")</f>
        <v/>
      </c>
      <c r="B1086" s="60" t="str">
        <f t="shared" si="181"/>
        <v/>
      </c>
      <c r="C1086" s="261"/>
      <c r="D1086" s="261"/>
      <c r="E1086" s="261"/>
      <c r="F1086" s="1103"/>
      <c r="G1086" s="1104"/>
      <c r="H1086" s="759"/>
      <c r="I1086" s="383"/>
      <c r="J1086" s="383"/>
      <c r="K1086" s="383"/>
      <c r="L1086" s="390"/>
      <c r="M1086" s="978"/>
      <c r="N1086" s="1019"/>
      <c r="O1086" s="1019"/>
      <c r="P1086" s="79" t="str">
        <f>IF(AND('331-CT'!$E$7=TH!H1086,OR(N1086="331",O1086="331")),"x","")</f>
        <v/>
      </c>
      <c r="Q1086" s="79" t="str">
        <f>IF(AND(B1086='111'!$L$11,OR($N1086=$Q$7,$O1086=$Q$7)),"x","")</f>
        <v/>
      </c>
      <c r="R1086" s="79" t="str">
        <f>IF(AND($N1086=$Q$7,$B1086&lt;'111'!$L$11),"x","")</f>
        <v/>
      </c>
      <c r="S1086" s="79" t="str">
        <f>IF(AND($O1086=$Q$7,$B1086&lt;'111'!$L$11),"x","")</f>
        <v/>
      </c>
      <c r="T1086" s="79" t="str">
        <f>IF(ISERROR(FIND('112'!$M$9,G1086,1)),"",IF((AND(FIND('112'!$M$9,G1086,1)&gt;=1,B1086='112'!$K$9,OR($N1086='112'!$I$6,$O1086='112'!$I$6))),"x",""))</f>
        <v/>
      </c>
      <c r="U1086" s="79" t="str">
        <f>IF(ISERROR(FIND('112'!$M$9,G1086,1)),"",IF((AND(LEFT(G1086,2)=LEFT('112'!$M$9,2),B1086&lt;'112'!$K$9,$N1086='112'!$I$6)),"x",""))</f>
        <v/>
      </c>
      <c r="V1086" s="79" t="str">
        <f>IF(ISERROR(FIND('112'!$M$9,G1086,1)),"",IF((AND(RIGHT(G1086,2)=RIGHT('112'!$M$9,2),B1086&lt;'112'!$K$9,$O1086='112'!$I$6)),"x",""))</f>
        <v/>
      </c>
      <c r="W1086" s="79" t="str">
        <f>IF(AND('341-CT'!$H$9=H1086,OR(LEFT(N1086,3)=$W$7,LEFT(O1086,3)=$W$7)),"x","")</f>
        <v/>
      </c>
      <c r="X1086" s="79" t="str">
        <f>IF(OR(TH!N1086=TH!$X$7,O1086=TH!$X$7),"x","")</f>
        <v/>
      </c>
      <c r="Y1086" s="79" t="str">
        <f>IF(AND(OR(N1086="131",O1086="131"),H1086='131-CT'!$H$9),"x","")</f>
        <v/>
      </c>
      <c r="Z1086" s="79"/>
      <c r="AA1086" s="79" t="str">
        <f>IF(AND(MONTH(E1086)='IN-NX'!$J$5,'IN-NX'!$D$7=D1086),"x","")</f>
        <v/>
      </c>
      <c r="AB1086" s="79" t="str">
        <f>IF(AND(OR(LEFT(TH!N1086,2)="15",LEFT(TH!O1086,2)="15"),LEFT(TH!O1086,3)&lt;&gt;"111",'152-CT'!$J$8=TH!F1086),"x","")</f>
        <v/>
      </c>
      <c r="AC1086" s="79" t="str">
        <f>IF(AND(OR(LEFT(TH!N1086,2)="15",LEFT(TH!O1086,2)="15"),TK!$E$7=TH!F1086),"x","")</f>
        <v/>
      </c>
      <c r="AD1086" s="79" t="str">
        <f>IF(AND(N1086="1521",MONTH(C1086)='BK-NL'!$M$11),"x","")</f>
        <v/>
      </c>
    </row>
    <row r="1087" spans="1:30" ht="16.5" customHeight="1">
      <c r="A1087" s="318" t="str">
        <f>IF(B1087&lt;&gt;"",IF(AND(B1087='IN-TC'!$S$4,OR(TH!N1087="1111",TH!O1087="1111")),TH!D1087,""),"")</f>
        <v/>
      </c>
      <c r="B1087" s="60" t="str">
        <f t="shared" ref="B1087:B1088" si="183">IF(C1087&lt;&gt;"",MONTH(C1087),"")</f>
        <v/>
      </c>
      <c r="C1087" s="261"/>
      <c r="D1087" s="261"/>
      <c r="E1087" s="261"/>
      <c r="F1087" s="1103"/>
      <c r="G1087" s="1104"/>
      <c r="H1087" s="759"/>
      <c r="I1087" s="383"/>
      <c r="J1087" s="383"/>
      <c r="K1087" s="383"/>
      <c r="L1087" s="390"/>
      <c r="M1087" s="978"/>
      <c r="N1087" s="1019"/>
      <c r="O1087" s="1019"/>
      <c r="P1087" s="79" t="str">
        <f>IF(AND('331-CT'!$E$7=TH!H1087,OR(N1087="331",O1087="331")),"x","")</f>
        <v/>
      </c>
      <c r="Q1087" s="79" t="str">
        <f>IF(AND(B1087='111'!$L$11,OR($N1087=$Q$7,$O1087=$Q$7)),"x","")</f>
        <v/>
      </c>
      <c r="R1087" s="79" t="str">
        <f>IF(AND($N1087=$Q$7,$B1087&lt;'111'!$L$11),"x","")</f>
        <v/>
      </c>
      <c r="S1087" s="79" t="str">
        <f>IF(AND($O1087=$Q$7,$B1087&lt;'111'!$L$11),"x","")</f>
        <v/>
      </c>
      <c r="T1087" s="79" t="str">
        <f>IF(ISERROR(FIND('112'!$M$9,G1087,1)),"",IF((AND(FIND('112'!$M$9,G1087,1)&gt;=1,B1087='112'!$K$9,OR($N1087='112'!$I$6,$O1087='112'!$I$6))),"x",""))</f>
        <v/>
      </c>
      <c r="U1087" s="79" t="str">
        <f>IF(ISERROR(FIND('112'!$M$9,G1087,1)),"",IF((AND(LEFT(G1087,2)=LEFT('112'!$M$9,2),B1087&lt;'112'!$K$9,$N1087='112'!$I$6)),"x",""))</f>
        <v/>
      </c>
      <c r="V1087" s="79" t="str">
        <f>IF(ISERROR(FIND('112'!$M$9,G1087,1)),"",IF((AND(RIGHT(G1087,2)=RIGHT('112'!$M$9,2),B1087&lt;'112'!$K$9,$O1087='112'!$I$6)),"x",""))</f>
        <v/>
      </c>
      <c r="W1087" s="79" t="str">
        <f>IF(AND('341-CT'!$H$9=H1087,OR(LEFT(N1087,3)=$W$7,LEFT(O1087,3)=$W$7)),"x","")</f>
        <v/>
      </c>
      <c r="X1087" s="79" t="str">
        <f>IF(OR(TH!N1087=TH!$X$7,O1087=TH!$X$7),"x","")</f>
        <v/>
      </c>
      <c r="Y1087" s="79" t="str">
        <f>IF(AND(OR(N1087="131",O1087="131"),H1087='131-CT'!$H$9),"x","")</f>
        <v/>
      </c>
      <c r="Z1087" s="79"/>
      <c r="AA1087" s="79" t="str">
        <f>IF(AND(MONTH(E1087)='IN-NX'!$J$5,'IN-NX'!$D$7=D1087),"x","")</f>
        <v/>
      </c>
      <c r="AB1087" s="79" t="str">
        <f>IF(AND(OR(LEFT(TH!N1087,2)="15",LEFT(TH!O1087,2)="15"),LEFT(TH!O1087,3)&lt;&gt;"111",'152-CT'!$J$8=TH!F1087),"x","")</f>
        <v/>
      </c>
      <c r="AC1087" s="79" t="str">
        <f>IF(AND(OR(LEFT(TH!N1087,2)="15",LEFT(TH!O1087,2)="15"),TK!$E$7=TH!F1087),"x","")</f>
        <v/>
      </c>
      <c r="AD1087" s="79" t="str">
        <f>IF(AND(N1087="1521",MONTH(C1087)='BK-NL'!$M$11),"x","")</f>
        <v/>
      </c>
    </row>
    <row r="1088" spans="1:30" ht="16.5" customHeight="1">
      <c r="A1088" s="318" t="str">
        <f>IF(B1088&lt;&gt;"",IF(AND(B1088='IN-TC'!$S$4,OR(TH!N1088="1111",TH!O1088="1111")),TH!D1088,""),"")</f>
        <v/>
      </c>
      <c r="B1088" s="60" t="str">
        <f t="shared" si="183"/>
        <v/>
      </c>
      <c r="C1088" s="261"/>
      <c r="D1088" s="261"/>
      <c r="E1088" s="261"/>
      <c r="F1088" s="1103"/>
      <c r="G1088" s="1104"/>
      <c r="H1088" s="759"/>
      <c r="I1088" s="383"/>
      <c r="J1088" s="383"/>
      <c r="K1088" s="383"/>
      <c r="L1088" s="390"/>
      <c r="M1088" s="978"/>
      <c r="N1088" s="1019"/>
      <c r="O1088" s="1019"/>
      <c r="P1088" s="79" t="str">
        <f>IF(AND('331-CT'!$E$7=TH!H1088,OR(N1088="331",O1088="331")),"x","")</f>
        <v/>
      </c>
      <c r="Q1088" s="79" t="str">
        <f>IF(AND(B1088='111'!$L$11,OR($N1088=$Q$7,$O1088=$Q$7)),"x","")</f>
        <v/>
      </c>
      <c r="R1088" s="79" t="str">
        <f>IF(AND($N1088=$Q$7,$B1088&lt;'111'!$L$11),"x","")</f>
        <v/>
      </c>
      <c r="S1088" s="79" t="str">
        <f>IF(AND($O1088=$Q$7,$B1088&lt;'111'!$L$11),"x","")</f>
        <v/>
      </c>
      <c r="T1088" s="79" t="str">
        <f>IF(ISERROR(FIND('112'!$M$9,G1088,1)),"",IF((AND(FIND('112'!$M$9,G1088,1)&gt;=1,B1088='112'!$K$9,OR($N1088='112'!$I$6,$O1088='112'!$I$6))),"x",""))</f>
        <v/>
      </c>
      <c r="U1088" s="79" t="str">
        <f>IF(ISERROR(FIND('112'!$M$9,G1088,1)),"",IF((AND(LEFT(G1088,2)=LEFT('112'!$M$9,2),B1088&lt;'112'!$K$9,$N1088='112'!$I$6)),"x",""))</f>
        <v/>
      </c>
      <c r="V1088" s="79" t="str">
        <f>IF(ISERROR(FIND('112'!$M$9,G1088,1)),"",IF((AND(RIGHT(G1088,2)=RIGHT('112'!$M$9,2),B1088&lt;'112'!$K$9,$O1088='112'!$I$6)),"x",""))</f>
        <v/>
      </c>
      <c r="W1088" s="79" t="str">
        <f>IF(AND('341-CT'!$H$9=H1088,OR(LEFT(N1088,3)=$W$7,LEFT(O1088,3)=$W$7)),"x","")</f>
        <v/>
      </c>
      <c r="X1088" s="79" t="str">
        <f>IF(OR(TH!N1088=TH!$X$7,O1088=TH!$X$7),"x","")</f>
        <v/>
      </c>
      <c r="Y1088" s="79" t="str">
        <f>IF(AND(OR(N1088="131",O1088="131"),H1088='131-CT'!$H$9),"x","")</f>
        <v/>
      </c>
      <c r="Z1088" s="79"/>
      <c r="AA1088" s="79" t="str">
        <f>IF(AND(MONTH(E1088)='IN-NX'!$J$5,'IN-NX'!$D$7=D1088),"x","")</f>
        <v/>
      </c>
      <c r="AB1088" s="79" t="str">
        <f>IF(AND(OR(LEFT(TH!N1088,2)="15",LEFT(TH!O1088,2)="15"),LEFT(TH!O1088,3)&lt;&gt;"111",'152-CT'!$J$8=TH!F1088),"x","")</f>
        <v/>
      </c>
      <c r="AC1088" s="79" t="str">
        <f>IF(AND(OR(LEFT(TH!N1088,2)="15",LEFT(TH!O1088,2)="15"),TK!$E$7=TH!F1088),"x","")</f>
        <v/>
      </c>
      <c r="AD1088" s="79" t="str">
        <f>IF(AND(N1088="1521",MONTH(C1088)='BK-NL'!$M$11),"x","")</f>
        <v/>
      </c>
    </row>
    <row r="1089" spans="1:30" ht="16.5" customHeight="1">
      <c r="A1089" s="318" t="str">
        <f>IF(B1089&lt;&gt;"",IF(AND(B1089='IN-TC'!$S$4,OR(TH!N1089="1111",TH!O1089="1111")),TH!D1089,""),"")</f>
        <v/>
      </c>
      <c r="B1089" s="60" t="str">
        <f t="shared" ref="B1089:B1092" si="184">IF(C1089&lt;&gt;"",MONTH(C1089),"")</f>
        <v/>
      </c>
      <c r="C1089" s="261"/>
      <c r="D1089" s="261"/>
      <c r="E1089" s="261"/>
      <c r="F1089" s="1103"/>
      <c r="G1089" s="1104"/>
      <c r="H1089" s="759"/>
      <c r="I1089" s="383"/>
      <c r="J1089" s="383"/>
      <c r="K1089" s="383"/>
      <c r="L1089" s="390"/>
      <c r="M1089" s="978"/>
      <c r="N1089" s="1019"/>
      <c r="O1089" s="1019"/>
      <c r="P1089" s="79" t="str">
        <f>IF(AND('331-CT'!$E$7=TH!H1089,OR(N1089="331",O1089="331")),"x","")</f>
        <v/>
      </c>
      <c r="Q1089" s="79" t="str">
        <f>IF(AND(B1089='111'!$L$11,OR($N1089=$Q$7,$O1089=$Q$7)),"x","")</f>
        <v/>
      </c>
      <c r="R1089" s="79" t="str">
        <f>IF(AND($N1089=$Q$7,$B1089&lt;'111'!$L$11),"x","")</f>
        <v/>
      </c>
      <c r="S1089" s="79" t="str">
        <f>IF(AND($O1089=$Q$7,$B1089&lt;'111'!$L$11),"x","")</f>
        <v/>
      </c>
      <c r="T1089" s="79" t="str">
        <f>IF(ISERROR(FIND('112'!$M$9,G1089,1)),"",IF((AND(FIND('112'!$M$9,G1089,1)&gt;=1,B1089='112'!$K$9,OR($N1089='112'!$I$6,$O1089='112'!$I$6))),"x",""))</f>
        <v/>
      </c>
      <c r="U1089" s="79" t="str">
        <f>IF(ISERROR(FIND('112'!$M$9,G1089,1)),"",IF((AND(LEFT(G1089,2)=LEFT('112'!$M$9,2),B1089&lt;'112'!$K$9,$N1089='112'!$I$6)),"x",""))</f>
        <v/>
      </c>
      <c r="V1089" s="79" t="str">
        <f>IF(ISERROR(FIND('112'!$M$9,G1089,1)),"",IF((AND(RIGHT(G1089,2)=RIGHT('112'!$M$9,2),B1089&lt;'112'!$K$9,$O1089='112'!$I$6)),"x",""))</f>
        <v/>
      </c>
      <c r="W1089" s="79" t="str">
        <f>IF(AND('341-CT'!$H$9=H1089,OR(LEFT(N1089,3)=$W$7,LEFT(O1089,3)=$W$7)),"x","")</f>
        <v/>
      </c>
      <c r="X1089" s="79" t="str">
        <f>IF(OR(TH!N1089=TH!$X$7,O1089=TH!$X$7),"x","")</f>
        <v/>
      </c>
      <c r="Y1089" s="79" t="str">
        <f>IF(AND(OR(N1089="131",O1089="131"),H1089='131-CT'!$H$9),"x","")</f>
        <v/>
      </c>
      <c r="Z1089" s="79"/>
      <c r="AA1089" s="79" t="str">
        <f>IF(AND(MONTH(E1089)='IN-NX'!$J$5,'IN-NX'!$D$7=D1089),"x","")</f>
        <v/>
      </c>
      <c r="AB1089" s="79" t="str">
        <f>IF(AND(OR(LEFT(TH!N1089,2)="15",LEFT(TH!O1089,2)="15"),LEFT(TH!O1089,3)&lt;&gt;"111",'152-CT'!$J$8=TH!F1089),"x","")</f>
        <v/>
      </c>
      <c r="AC1089" s="79" t="str">
        <f>IF(AND(OR(LEFT(TH!N1089,2)="15",LEFT(TH!O1089,2)="15"),TK!$E$7=TH!F1089),"x","")</f>
        <v/>
      </c>
      <c r="AD1089" s="79" t="str">
        <f>IF(AND(N1089="1521",MONTH(C1089)='BK-NL'!$M$11),"x","")</f>
        <v/>
      </c>
    </row>
    <row r="1090" spans="1:30" ht="16.5" customHeight="1">
      <c r="A1090" s="318" t="str">
        <f>IF(B1090&lt;&gt;"",IF(AND(B1090='IN-TC'!$S$4,OR(TH!N1090="1111",TH!O1090="1111")),TH!D1090,""),"")</f>
        <v/>
      </c>
      <c r="B1090" s="60" t="str">
        <f t="shared" si="184"/>
        <v/>
      </c>
      <c r="C1090" s="261"/>
      <c r="D1090" s="261"/>
      <c r="E1090" s="261"/>
      <c r="F1090" s="1103"/>
      <c r="G1090" s="1104"/>
      <c r="H1090" s="759"/>
      <c r="I1090" s="383"/>
      <c r="J1090" s="383"/>
      <c r="K1090" s="383"/>
      <c r="L1090" s="390"/>
      <c r="M1090" s="978"/>
      <c r="N1090" s="1019"/>
      <c r="O1090" s="1019"/>
      <c r="P1090" s="79" t="str">
        <f>IF(AND('331-CT'!$E$7=TH!H1090,OR(N1090="331",O1090="331")),"x","")</f>
        <v/>
      </c>
      <c r="Q1090" s="79" t="str">
        <f>IF(AND(B1090='111'!$L$11,OR($N1090=$Q$7,$O1090=$Q$7)),"x","")</f>
        <v/>
      </c>
      <c r="R1090" s="79" t="str">
        <f>IF(AND($N1090=$Q$7,$B1090&lt;'111'!$L$11),"x","")</f>
        <v/>
      </c>
      <c r="S1090" s="79" t="str">
        <f>IF(AND($O1090=$Q$7,$B1090&lt;'111'!$L$11),"x","")</f>
        <v/>
      </c>
      <c r="T1090" s="79" t="str">
        <f>IF(ISERROR(FIND('112'!$M$9,G1090,1)),"",IF((AND(FIND('112'!$M$9,G1090,1)&gt;=1,B1090='112'!$K$9,OR($N1090='112'!$I$6,$O1090='112'!$I$6))),"x",""))</f>
        <v/>
      </c>
      <c r="U1090" s="79" t="str">
        <f>IF(ISERROR(FIND('112'!$M$9,G1090,1)),"",IF((AND(LEFT(G1090,2)=LEFT('112'!$M$9,2),B1090&lt;'112'!$K$9,$N1090='112'!$I$6)),"x",""))</f>
        <v/>
      </c>
      <c r="V1090" s="79" t="str">
        <f>IF(ISERROR(FIND('112'!$M$9,G1090,1)),"",IF((AND(RIGHT(G1090,2)=RIGHT('112'!$M$9,2),B1090&lt;'112'!$K$9,$O1090='112'!$I$6)),"x",""))</f>
        <v/>
      </c>
      <c r="W1090" s="79" t="str">
        <f>IF(AND('341-CT'!$H$9=H1090,OR(LEFT(N1090,3)=$W$7,LEFT(O1090,3)=$W$7)),"x","")</f>
        <v/>
      </c>
      <c r="X1090" s="79" t="str">
        <f>IF(OR(TH!N1090=TH!$X$7,O1090=TH!$X$7),"x","")</f>
        <v/>
      </c>
      <c r="Y1090" s="79" t="str">
        <f>IF(AND(OR(N1090="131",O1090="131"),H1090='131-CT'!$H$9),"x","")</f>
        <v/>
      </c>
      <c r="Z1090" s="79"/>
      <c r="AA1090" s="79" t="str">
        <f>IF(AND(MONTH(E1090)='IN-NX'!$J$5,'IN-NX'!$D$7=D1090),"x","")</f>
        <v/>
      </c>
      <c r="AB1090" s="79" t="str">
        <f>IF(AND(OR(LEFT(TH!N1090,2)="15",LEFT(TH!O1090,2)="15"),LEFT(TH!O1090,3)&lt;&gt;"111",'152-CT'!$J$8=TH!F1090),"x","")</f>
        <v/>
      </c>
      <c r="AC1090" s="79" t="str">
        <f>IF(AND(OR(LEFT(TH!N1090,2)="15",LEFT(TH!O1090,2)="15"),TK!$E$7=TH!F1090),"x","")</f>
        <v/>
      </c>
      <c r="AD1090" s="79" t="str">
        <f>IF(AND(N1090="1521",MONTH(C1090)='BK-NL'!$M$11),"x","")</f>
        <v/>
      </c>
    </row>
    <row r="1091" spans="1:30" ht="16.5" customHeight="1">
      <c r="A1091" s="318" t="str">
        <f>IF(B1091&lt;&gt;"",IF(AND(B1091='IN-TC'!$S$4,OR(TH!N1091="1111",TH!O1091="1111")),TH!D1091,""),"")</f>
        <v/>
      </c>
      <c r="B1091" s="60" t="str">
        <f t="shared" si="184"/>
        <v/>
      </c>
      <c r="C1091" s="261"/>
      <c r="D1091" s="261"/>
      <c r="E1091" s="261"/>
      <c r="F1091" s="1103"/>
      <c r="G1091" s="1104"/>
      <c r="H1091" s="759"/>
      <c r="I1091" s="383"/>
      <c r="J1091" s="383"/>
      <c r="K1091" s="383"/>
      <c r="L1091" s="390"/>
      <c r="M1091" s="978"/>
      <c r="N1091" s="1019"/>
      <c r="O1091" s="1019"/>
      <c r="P1091" s="79" t="str">
        <f>IF(AND('331-CT'!$E$7=TH!H1091,OR(N1091="331",O1091="331")),"x","")</f>
        <v/>
      </c>
      <c r="Q1091" s="79" t="str">
        <f>IF(AND(B1091='111'!$L$11,OR($N1091=$Q$7,$O1091=$Q$7)),"x","")</f>
        <v/>
      </c>
      <c r="R1091" s="79" t="str">
        <f>IF(AND($N1091=$Q$7,$B1091&lt;'111'!$L$11),"x","")</f>
        <v/>
      </c>
      <c r="S1091" s="79" t="str">
        <f>IF(AND($O1091=$Q$7,$B1091&lt;'111'!$L$11),"x","")</f>
        <v/>
      </c>
      <c r="T1091" s="79" t="str">
        <f>IF(ISERROR(FIND('112'!$M$9,G1091,1)),"",IF((AND(FIND('112'!$M$9,G1091,1)&gt;=1,B1091='112'!$K$9,OR($N1091='112'!$I$6,$O1091='112'!$I$6))),"x",""))</f>
        <v/>
      </c>
      <c r="U1091" s="79" t="str">
        <f>IF(ISERROR(FIND('112'!$M$9,G1091,1)),"",IF((AND(LEFT(G1091,2)=LEFT('112'!$M$9,2),B1091&lt;'112'!$K$9,$N1091='112'!$I$6)),"x",""))</f>
        <v/>
      </c>
      <c r="V1091" s="79" t="str">
        <f>IF(ISERROR(FIND('112'!$M$9,G1091,1)),"",IF((AND(RIGHT(G1091,2)=RIGHT('112'!$M$9,2),B1091&lt;'112'!$K$9,$O1091='112'!$I$6)),"x",""))</f>
        <v/>
      </c>
      <c r="W1091" s="79" t="str">
        <f>IF(AND('341-CT'!$H$9=H1091,OR(LEFT(N1091,3)=$W$7,LEFT(O1091,3)=$W$7)),"x","")</f>
        <v/>
      </c>
      <c r="X1091" s="79" t="str">
        <f>IF(OR(TH!N1091=TH!$X$7,O1091=TH!$X$7),"x","")</f>
        <v/>
      </c>
      <c r="Y1091" s="79" t="str">
        <f>IF(AND(OR(N1091="131",O1091="131"),H1091='131-CT'!$H$9),"x","")</f>
        <v/>
      </c>
      <c r="Z1091" s="79"/>
      <c r="AA1091" s="79" t="str">
        <f>IF(AND(MONTH(E1091)='IN-NX'!$J$5,'IN-NX'!$D$7=D1091),"x","")</f>
        <v/>
      </c>
      <c r="AB1091" s="79" t="str">
        <f>IF(AND(OR(LEFT(TH!N1091,2)="15",LEFT(TH!O1091,2)="15"),LEFT(TH!O1091,3)&lt;&gt;"111",'152-CT'!$J$8=TH!F1091),"x","")</f>
        <v/>
      </c>
      <c r="AC1091" s="79" t="str">
        <f>IF(AND(OR(LEFT(TH!N1091,2)="15",LEFT(TH!O1091,2)="15"),TK!$E$7=TH!F1091),"x","")</f>
        <v/>
      </c>
      <c r="AD1091" s="79" t="str">
        <f>IF(AND(N1091="1521",MONTH(C1091)='BK-NL'!$M$11),"x","")</f>
        <v/>
      </c>
    </row>
    <row r="1092" spans="1:30" ht="16.5" customHeight="1">
      <c r="A1092" s="318" t="str">
        <f>IF(B1092&lt;&gt;"",IF(AND(B1092='IN-TC'!$S$4,OR(TH!N1092="1111",TH!O1092="1111")),TH!D1092,""),"")</f>
        <v/>
      </c>
      <c r="B1092" s="60" t="str">
        <f t="shared" si="184"/>
        <v/>
      </c>
      <c r="C1092" s="261"/>
      <c r="D1092" s="261"/>
      <c r="E1092" s="261"/>
      <c r="F1092" s="1103"/>
      <c r="G1092" s="1104"/>
      <c r="H1092" s="759"/>
      <c r="I1092" s="383"/>
      <c r="J1092" s="383"/>
      <c r="K1092" s="383"/>
      <c r="L1092" s="390"/>
      <c r="M1092" s="978"/>
      <c r="N1092" s="1019"/>
      <c r="O1092" s="1019"/>
      <c r="P1092" s="79" t="str">
        <f>IF(AND('331-CT'!$E$7=TH!H1092,OR(N1092="331",O1092="331")),"x","")</f>
        <v/>
      </c>
      <c r="Q1092" s="79" t="str">
        <f>IF(AND(B1092='111'!$L$11,OR($N1092=$Q$7,$O1092=$Q$7)),"x","")</f>
        <v/>
      </c>
      <c r="R1092" s="79" t="str">
        <f>IF(AND($N1092=$Q$7,$B1092&lt;'111'!$L$11),"x","")</f>
        <v/>
      </c>
      <c r="S1092" s="79" t="str">
        <f>IF(AND($O1092=$Q$7,$B1092&lt;'111'!$L$11),"x","")</f>
        <v/>
      </c>
      <c r="T1092" s="79" t="str">
        <f>IF(ISERROR(FIND('112'!$M$9,G1092,1)),"",IF((AND(FIND('112'!$M$9,G1092,1)&gt;=1,B1092='112'!$K$9,OR($N1092='112'!$I$6,$O1092='112'!$I$6))),"x",""))</f>
        <v/>
      </c>
      <c r="U1092" s="79" t="str">
        <f>IF(ISERROR(FIND('112'!$M$9,G1092,1)),"",IF((AND(LEFT(G1092,2)=LEFT('112'!$M$9,2),B1092&lt;'112'!$K$9,$N1092='112'!$I$6)),"x",""))</f>
        <v/>
      </c>
      <c r="V1092" s="79" t="str">
        <f>IF(ISERROR(FIND('112'!$M$9,G1092,1)),"",IF((AND(RIGHT(G1092,2)=RIGHT('112'!$M$9,2),B1092&lt;'112'!$K$9,$O1092='112'!$I$6)),"x",""))</f>
        <v/>
      </c>
      <c r="W1092" s="79" t="str">
        <f>IF(AND('341-CT'!$H$9=H1092,OR(LEFT(N1092,3)=$W$7,LEFT(O1092,3)=$W$7)),"x","")</f>
        <v/>
      </c>
      <c r="X1092" s="79" t="str">
        <f>IF(OR(TH!N1092=TH!$X$7,O1092=TH!$X$7),"x","")</f>
        <v/>
      </c>
      <c r="Y1092" s="79" t="str">
        <f>IF(AND(OR(N1092="131",O1092="131"),H1092='131-CT'!$H$9),"x","")</f>
        <v/>
      </c>
      <c r="Z1092" s="79"/>
      <c r="AA1092" s="79" t="str">
        <f>IF(AND(MONTH(E1092)='IN-NX'!$J$5,'IN-NX'!$D$7=D1092),"x","")</f>
        <v/>
      </c>
      <c r="AB1092" s="79" t="str">
        <f>IF(AND(OR(LEFT(TH!N1092,2)="15",LEFT(TH!O1092,2)="15"),LEFT(TH!O1092,3)&lt;&gt;"111",'152-CT'!$J$8=TH!F1092),"x","")</f>
        <v/>
      </c>
      <c r="AC1092" s="79" t="str">
        <f>IF(AND(OR(LEFT(TH!N1092,2)="15",LEFT(TH!O1092,2)="15"),TK!$E$7=TH!F1092),"x","")</f>
        <v/>
      </c>
      <c r="AD1092" s="79" t="str">
        <f>IF(AND(N1092="1521",MONTH(C1092)='BK-NL'!$M$11),"x","")</f>
        <v/>
      </c>
    </row>
    <row r="1093" spans="1:30" ht="16.5" customHeight="1">
      <c r="A1093" s="318" t="str">
        <f>IF(B1093&lt;&gt;"",IF(AND(B1093='IN-TC'!$S$4,OR(TH!N1093="1111",TH!O1093="1111")),TH!D1093,""),"")</f>
        <v/>
      </c>
      <c r="B1093" s="60" t="str">
        <f t="shared" ref="B1093" si="185">IF(C1093&lt;&gt;"",MONTH(C1093),"")</f>
        <v/>
      </c>
      <c r="C1093" s="261"/>
      <c r="D1093" s="261"/>
      <c r="E1093" s="261"/>
      <c r="F1093" s="1103"/>
      <c r="G1093" s="1104"/>
      <c r="H1093" s="759"/>
      <c r="I1093" s="383"/>
      <c r="J1093" s="383"/>
      <c r="K1093" s="383"/>
      <c r="L1093" s="390"/>
      <c r="M1093" s="978"/>
      <c r="N1093" s="1019"/>
      <c r="O1093" s="1019"/>
      <c r="P1093" s="79" t="str">
        <f>IF(AND('331-CT'!$E$7=TH!H1093,OR(N1093="331",O1093="331")),"x","")</f>
        <v/>
      </c>
      <c r="Q1093" s="79" t="str">
        <f>IF(AND(B1093='111'!$L$11,OR($N1093=$Q$7,$O1093=$Q$7)),"x","")</f>
        <v/>
      </c>
      <c r="R1093" s="79" t="str">
        <f>IF(AND($N1093=$Q$7,$B1093&lt;'111'!$L$11),"x","")</f>
        <v/>
      </c>
      <c r="S1093" s="79" t="str">
        <f>IF(AND($O1093=$Q$7,$B1093&lt;'111'!$L$11),"x","")</f>
        <v/>
      </c>
      <c r="T1093" s="79" t="str">
        <f>IF(ISERROR(FIND('112'!$M$9,G1093,1)),"",IF((AND(FIND('112'!$M$9,G1093,1)&gt;=1,B1093='112'!$K$9,OR($N1093='112'!$I$6,$O1093='112'!$I$6))),"x",""))</f>
        <v/>
      </c>
      <c r="U1093" s="79" t="str">
        <f>IF(ISERROR(FIND('112'!$M$9,G1093,1)),"",IF((AND(LEFT(G1093,2)=LEFT('112'!$M$9,2),B1093&lt;'112'!$K$9,$N1093='112'!$I$6)),"x",""))</f>
        <v/>
      </c>
      <c r="V1093" s="79" t="str">
        <f>IF(ISERROR(FIND('112'!$M$9,G1093,1)),"",IF((AND(RIGHT(G1093,2)=RIGHT('112'!$M$9,2),B1093&lt;'112'!$K$9,$O1093='112'!$I$6)),"x",""))</f>
        <v/>
      </c>
      <c r="W1093" s="79" t="str">
        <f>IF(AND('341-CT'!$H$9=H1093,OR(LEFT(N1093,3)=$W$7,LEFT(O1093,3)=$W$7)),"x","")</f>
        <v/>
      </c>
      <c r="X1093" s="79" t="str">
        <f>IF(OR(TH!N1093=TH!$X$7,O1093=TH!$X$7),"x","")</f>
        <v/>
      </c>
      <c r="Y1093" s="79" t="str">
        <f>IF(AND(OR(N1093="131",O1093="131"),H1093='131-CT'!$H$9),"x","")</f>
        <v/>
      </c>
      <c r="Z1093" s="79"/>
      <c r="AA1093" s="79" t="str">
        <f>IF(AND(MONTH(E1093)='IN-NX'!$J$5,'IN-NX'!$D$7=D1093),"x","")</f>
        <v/>
      </c>
      <c r="AB1093" s="79" t="str">
        <f>IF(AND(OR(LEFT(TH!N1093,2)="15",LEFT(TH!O1093,2)="15"),LEFT(TH!O1093,3)&lt;&gt;"111",'152-CT'!$J$8=TH!F1093),"x","")</f>
        <v/>
      </c>
      <c r="AC1093" s="79" t="str">
        <f>IF(AND(OR(LEFT(TH!N1093,2)="15",LEFT(TH!O1093,2)="15"),TK!$E$7=TH!F1093),"x","")</f>
        <v/>
      </c>
      <c r="AD1093" s="79" t="str">
        <f>IF(AND(N1093="1521",MONTH(C1093)='BK-NL'!$M$11),"x","")</f>
        <v/>
      </c>
    </row>
    <row r="1094" spans="1:30" ht="16.5" customHeight="1">
      <c r="A1094" s="318" t="str">
        <f>IF(B1094&lt;&gt;"",IF(AND(B1094='IN-TC'!$S$4,OR(TH!N1094="1111",TH!O1094="1111")),TH!D1094,""),"")</f>
        <v/>
      </c>
      <c r="B1094" s="60" t="str">
        <f t="shared" ref="B1094:B1100" si="186">IF(C1094&lt;&gt;"",MONTH(C1094),"")</f>
        <v/>
      </c>
      <c r="C1094" s="261"/>
      <c r="D1094" s="261"/>
      <c r="E1094" s="261"/>
      <c r="F1094" s="1103"/>
      <c r="G1094" s="1104"/>
      <c r="H1094" s="759"/>
      <c r="I1094" s="383"/>
      <c r="J1094" s="383"/>
      <c r="K1094" s="383"/>
      <c r="L1094" s="390"/>
      <c r="M1094" s="978"/>
      <c r="N1094" s="1019"/>
      <c r="O1094" s="1019"/>
      <c r="P1094" s="79" t="str">
        <f>IF(AND('331-CT'!$E$7=TH!H1094,OR(N1094="331",O1094="331")),"x","")</f>
        <v/>
      </c>
      <c r="Q1094" s="79" t="str">
        <f>IF(AND(B1094='111'!$L$11,OR($N1094=$Q$7,$O1094=$Q$7)),"x","")</f>
        <v/>
      </c>
      <c r="R1094" s="79" t="str">
        <f>IF(AND($N1094=$Q$7,$B1094&lt;'111'!$L$11),"x","")</f>
        <v/>
      </c>
      <c r="S1094" s="79" t="str">
        <f>IF(AND($O1094=$Q$7,$B1094&lt;'111'!$L$11),"x","")</f>
        <v/>
      </c>
      <c r="T1094" s="79" t="str">
        <f>IF(ISERROR(FIND('112'!$M$9,G1094,1)),"",IF((AND(FIND('112'!$M$9,G1094,1)&gt;=1,B1094='112'!$K$9,OR($N1094='112'!$I$6,$O1094='112'!$I$6))),"x",""))</f>
        <v/>
      </c>
      <c r="U1094" s="79" t="str">
        <f>IF(ISERROR(FIND('112'!$M$9,G1094,1)),"",IF((AND(LEFT(G1094,2)=LEFT('112'!$M$9,2),B1094&lt;'112'!$K$9,$N1094='112'!$I$6)),"x",""))</f>
        <v/>
      </c>
      <c r="V1094" s="79" t="str">
        <f>IF(ISERROR(FIND('112'!$M$9,G1094,1)),"",IF((AND(RIGHT(G1094,2)=RIGHT('112'!$M$9,2),B1094&lt;'112'!$K$9,$O1094='112'!$I$6)),"x",""))</f>
        <v/>
      </c>
      <c r="W1094" s="79" t="str">
        <f>IF(AND('341-CT'!$H$9=H1094,OR(LEFT(N1094,3)=$W$7,LEFT(O1094,3)=$W$7)),"x","")</f>
        <v/>
      </c>
      <c r="X1094" s="79" t="str">
        <f>IF(OR(TH!N1094=TH!$X$7,O1094=TH!$X$7),"x","")</f>
        <v/>
      </c>
      <c r="Y1094" s="79" t="str">
        <f>IF(AND(OR(N1094="131",O1094="131"),H1094='131-CT'!$H$9),"x","")</f>
        <v/>
      </c>
      <c r="Z1094" s="79"/>
      <c r="AA1094" s="79" t="str">
        <f>IF(AND(MONTH(E1094)='IN-NX'!$J$5,'IN-NX'!$D$7=D1094),"x","")</f>
        <v/>
      </c>
      <c r="AB1094" s="79" t="str">
        <f>IF(AND(OR(LEFT(TH!N1094,2)="15",LEFT(TH!O1094,2)="15"),LEFT(TH!O1094,3)&lt;&gt;"111",'152-CT'!$J$8=TH!F1094),"x","")</f>
        <v/>
      </c>
      <c r="AC1094" s="79" t="str">
        <f>IF(AND(OR(LEFT(TH!N1094,2)="15",LEFT(TH!O1094,2)="15"),TK!$E$7=TH!F1094),"x","")</f>
        <v/>
      </c>
      <c r="AD1094" s="79" t="str">
        <f>IF(AND(N1094="1521",MONTH(C1094)='BK-NL'!$M$11),"x","")</f>
        <v/>
      </c>
    </row>
    <row r="1095" spans="1:30" ht="16.5" customHeight="1">
      <c r="A1095" s="318" t="str">
        <f>IF(B1095&lt;&gt;"",IF(AND(B1095='IN-TC'!$S$4,OR(TH!N1095="1111",TH!O1095="1111")),TH!D1095,""),"")</f>
        <v/>
      </c>
      <c r="B1095" s="60" t="str">
        <f t="shared" si="186"/>
        <v/>
      </c>
      <c r="C1095" s="261"/>
      <c r="D1095" s="261"/>
      <c r="E1095" s="261"/>
      <c r="F1095" s="1103"/>
      <c r="G1095" s="1104"/>
      <c r="H1095" s="759"/>
      <c r="I1095" s="383"/>
      <c r="J1095" s="383"/>
      <c r="K1095" s="383"/>
      <c r="L1095" s="390"/>
      <c r="M1095" s="978"/>
      <c r="N1095" s="1019"/>
      <c r="O1095" s="1019"/>
      <c r="P1095" s="79" t="str">
        <f>IF(AND('331-CT'!$E$7=TH!H1095,OR(N1095="331",O1095="331")),"x","")</f>
        <v/>
      </c>
      <c r="Q1095" s="79" t="str">
        <f>IF(AND(B1095='111'!$L$11,OR($N1095=$Q$7,$O1095=$Q$7)),"x","")</f>
        <v/>
      </c>
      <c r="R1095" s="79" t="str">
        <f>IF(AND($N1095=$Q$7,$B1095&lt;'111'!$L$11),"x","")</f>
        <v/>
      </c>
      <c r="S1095" s="79" t="str">
        <f>IF(AND($O1095=$Q$7,$B1095&lt;'111'!$L$11),"x","")</f>
        <v/>
      </c>
      <c r="T1095" s="79" t="str">
        <f>IF(ISERROR(FIND('112'!$M$9,G1095,1)),"",IF((AND(FIND('112'!$M$9,G1095,1)&gt;=1,B1095='112'!$K$9,OR($N1095='112'!$I$6,$O1095='112'!$I$6))),"x",""))</f>
        <v/>
      </c>
      <c r="U1095" s="79" t="str">
        <f>IF(ISERROR(FIND('112'!$M$9,G1095,1)),"",IF((AND(LEFT(G1095,2)=LEFT('112'!$M$9,2),B1095&lt;'112'!$K$9,$N1095='112'!$I$6)),"x",""))</f>
        <v/>
      </c>
      <c r="V1095" s="79" t="str">
        <f>IF(ISERROR(FIND('112'!$M$9,G1095,1)),"",IF((AND(RIGHT(G1095,2)=RIGHT('112'!$M$9,2),B1095&lt;'112'!$K$9,$O1095='112'!$I$6)),"x",""))</f>
        <v/>
      </c>
      <c r="W1095" s="79" t="str">
        <f>IF(AND('341-CT'!$H$9=H1095,OR(LEFT(N1095,3)=$W$7,LEFT(O1095,3)=$W$7)),"x","")</f>
        <v/>
      </c>
      <c r="X1095" s="79" t="str">
        <f>IF(OR(TH!N1095=TH!$X$7,O1095=TH!$X$7),"x","")</f>
        <v/>
      </c>
      <c r="Y1095" s="79" t="str">
        <f>IF(AND(OR(N1095="131",O1095="131"),H1095='131-CT'!$H$9),"x","")</f>
        <v/>
      </c>
      <c r="Z1095" s="79"/>
      <c r="AA1095" s="79" t="str">
        <f>IF(AND(MONTH(E1095)='IN-NX'!$J$5,'IN-NX'!$D$7=D1095),"x","")</f>
        <v/>
      </c>
      <c r="AB1095" s="79" t="str">
        <f>IF(AND(OR(LEFT(TH!N1095,2)="15",LEFT(TH!O1095,2)="15"),LEFT(TH!O1095,3)&lt;&gt;"111",'152-CT'!$J$8=TH!F1095),"x","")</f>
        <v/>
      </c>
      <c r="AC1095" s="79" t="str">
        <f>IF(AND(OR(LEFT(TH!N1095,2)="15",LEFT(TH!O1095,2)="15"),TK!$E$7=TH!F1095),"x","")</f>
        <v/>
      </c>
      <c r="AD1095" s="79" t="str">
        <f>IF(AND(N1095="1521",MONTH(C1095)='BK-NL'!$M$11),"x","")</f>
        <v/>
      </c>
    </row>
    <row r="1096" spans="1:30" ht="16.5" customHeight="1">
      <c r="A1096" s="318" t="str">
        <f>IF(B1096&lt;&gt;"",IF(AND(B1096='IN-TC'!$S$4,OR(TH!N1096="1111",TH!O1096="1111")),TH!D1096,""),"")</f>
        <v/>
      </c>
      <c r="B1096" s="60" t="str">
        <f t="shared" si="186"/>
        <v/>
      </c>
      <c r="C1096" s="261"/>
      <c r="D1096" s="261"/>
      <c r="E1096" s="261"/>
      <c r="F1096" s="1103"/>
      <c r="G1096" s="1104"/>
      <c r="H1096" s="759"/>
      <c r="I1096" s="383"/>
      <c r="J1096" s="383"/>
      <c r="K1096" s="383"/>
      <c r="L1096" s="390"/>
      <c r="M1096" s="978"/>
      <c r="N1096" s="1019"/>
      <c r="O1096" s="1019"/>
      <c r="P1096" s="79" t="str">
        <f>IF(AND('331-CT'!$E$7=TH!H1096,OR(N1096="331",O1096="331")),"x","")</f>
        <v/>
      </c>
      <c r="Q1096" s="79" t="str">
        <f>IF(AND(B1096='111'!$L$11,OR($N1096=$Q$7,$O1096=$Q$7)),"x","")</f>
        <v/>
      </c>
      <c r="R1096" s="79" t="str">
        <f>IF(AND($N1096=$Q$7,$B1096&lt;'111'!$L$11),"x","")</f>
        <v/>
      </c>
      <c r="S1096" s="79" t="str">
        <f>IF(AND($O1096=$Q$7,$B1096&lt;'111'!$L$11),"x","")</f>
        <v/>
      </c>
      <c r="T1096" s="79" t="str">
        <f>IF(ISERROR(FIND('112'!$M$9,G1096,1)),"",IF((AND(FIND('112'!$M$9,G1096,1)&gt;=1,B1096='112'!$K$9,OR($N1096='112'!$I$6,$O1096='112'!$I$6))),"x",""))</f>
        <v/>
      </c>
      <c r="U1096" s="79" t="str">
        <f>IF(ISERROR(FIND('112'!$M$9,G1096,1)),"",IF((AND(LEFT(G1096,2)=LEFT('112'!$M$9,2),B1096&lt;'112'!$K$9,$N1096='112'!$I$6)),"x",""))</f>
        <v/>
      </c>
      <c r="V1096" s="79" t="str">
        <f>IF(ISERROR(FIND('112'!$M$9,G1096,1)),"",IF((AND(RIGHT(G1096,2)=RIGHT('112'!$M$9,2),B1096&lt;'112'!$K$9,$O1096='112'!$I$6)),"x",""))</f>
        <v/>
      </c>
      <c r="W1096" s="79" t="str">
        <f>IF(AND('341-CT'!$H$9=H1096,OR(LEFT(N1096,3)=$W$7,LEFT(O1096,3)=$W$7)),"x","")</f>
        <v/>
      </c>
      <c r="X1096" s="79" t="str">
        <f>IF(OR(TH!N1096=TH!$X$7,O1096=TH!$X$7),"x","")</f>
        <v/>
      </c>
      <c r="Y1096" s="79" t="str">
        <f>IF(AND(OR(N1096="131",O1096="131"),H1096='131-CT'!$H$9),"x","")</f>
        <v/>
      </c>
      <c r="Z1096" s="79"/>
      <c r="AA1096" s="79" t="str">
        <f>IF(AND(MONTH(E1096)='IN-NX'!$J$5,'IN-NX'!$D$7=D1096),"x","")</f>
        <v/>
      </c>
      <c r="AB1096" s="79" t="str">
        <f>IF(AND(OR(LEFT(TH!N1096,2)="15",LEFT(TH!O1096,2)="15"),LEFT(TH!O1096,3)&lt;&gt;"111",'152-CT'!$J$8=TH!F1096),"x","")</f>
        <v/>
      </c>
      <c r="AC1096" s="79" t="str">
        <f>IF(AND(OR(LEFT(TH!N1096,2)="15",LEFT(TH!O1096,2)="15"),TK!$E$7=TH!F1096),"x","")</f>
        <v/>
      </c>
      <c r="AD1096" s="79" t="str">
        <f>IF(AND(N1096="1521",MONTH(C1096)='BK-NL'!$M$11),"x","")</f>
        <v/>
      </c>
    </row>
    <row r="1097" spans="1:30" ht="16.5" customHeight="1">
      <c r="A1097" s="318" t="str">
        <f>IF(B1097&lt;&gt;"",IF(AND(B1097='IN-TC'!$S$4,OR(TH!N1097="1111",TH!O1097="1111")),TH!D1097,""),"")</f>
        <v/>
      </c>
      <c r="B1097" s="60" t="str">
        <f t="shared" si="186"/>
        <v/>
      </c>
      <c r="C1097" s="261"/>
      <c r="D1097" s="261"/>
      <c r="E1097" s="261"/>
      <c r="F1097" s="1103"/>
      <c r="G1097" s="1104"/>
      <c r="H1097" s="759"/>
      <c r="I1097" s="383"/>
      <c r="J1097" s="383"/>
      <c r="K1097" s="383"/>
      <c r="L1097" s="390"/>
      <c r="M1097" s="978"/>
      <c r="N1097" s="1019"/>
      <c r="O1097" s="1019"/>
      <c r="P1097" s="79" t="str">
        <f>IF(AND('331-CT'!$E$7=TH!H1097,OR(N1097="331",O1097="331")),"x","")</f>
        <v/>
      </c>
      <c r="Q1097" s="79" t="str">
        <f>IF(AND(B1097='111'!$L$11,OR($N1097=$Q$7,$O1097=$Q$7)),"x","")</f>
        <v/>
      </c>
      <c r="R1097" s="79" t="str">
        <f>IF(AND($N1097=$Q$7,$B1097&lt;'111'!$L$11),"x","")</f>
        <v/>
      </c>
      <c r="S1097" s="79" t="str">
        <f>IF(AND($O1097=$Q$7,$B1097&lt;'111'!$L$11),"x","")</f>
        <v/>
      </c>
      <c r="T1097" s="79" t="str">
        <f>IF(ISERROR(FIND('112'!$M$9,G1097,1)),"",IF((AND(FIND('112'!$M$9,G1097,1)&gt;=1,B1097='112'!$K$9,OR($N1097='112'!$I$6,$O1097='112'!$I$6))),"x",""))</f>
        <v/>
      </c>
      <c r="U1097" s="79" t="str">
        <f>IF(ISERROR(FIND('112'!$M$9,G1097,1)),"",IF((AND(LEFT(G1097,2)=LEFT('112'!$M$9,2),B1097&lt;'112'!$K$9,$N1097='112'!$I$6)),"x",""))</f>
        <v/>
      </c>
      <c r="V1097" s="79" t="str">
        <f>IF(ISERROR(FIND('112'!$M$9,G1097,1)),"",IF((AND(RIGHT(G1097,2)=RIGHT('112'!$M$9,2),B1097&lt;'112'!$K$9,$O1097='112'!$I$6)),"x",""))</f>
        <v/>
      </c>
      <c r="W1097" s="79" t="str">
        <f>IF(AND('341-CT'!$H$9=H1097,OR(LEFT(N1097,3)=$W$7,LEFT(O1097,3)=$W$7)),"x","")</f>
        <v/>
      </c>
      <c r="X1097" s="79" t="str">
        <f>IF(OR(TH!N1097=TH!$X$7,O1097=TH!$X$7),"x","")</f>
        <v/>
      </c>
      <c r="Y1097" s="79" t="str">
        <f>IF(AND(OR(N1097="131",O1097="131"),H1097='131-CT'!$H$9),"x","")</f>
        <v/>
      </c>
      <c r="Z1097" s="79"/>
      <c r="AA1097" s="79" t="str">
        <f>IF(AND(MONTH(E1097)='IN-NX'!$J$5,'IN-NX'!$D$7=D1097),"x","")</f>
        <v/>
      </c>
      <c r="AB1097" s="79" t="str">
        <f>IF(AND(OR(LEFT(TH!N1097,2)="15",LEFT(TH!O1097,2)="15"),LEFT(TH!O1097,3)&lt;&gt;"111",'152-CT'!$J$8=TH!F1097),"x","")</f>
        <v/>
      </c>
      <c r="AC1097" s="79" t="str">
        <f>IF(AND(OR(LEFT(TH!N1097,2)="15",LEFT(TH!O1097,2)="15"),TK!$E$7=TH!F1097),"x","")</f>
        <v/>
      </c>
      <c r="AD1097" s="79" t="str">
        <f>IF(AND(N1097="1521",MONTH(C1097)='BK-NL'!$M$11),"x","")</f>
        <v/>
      </c>
    </row>
    <row r="1098" spans="1:30" ht="16.5" customHeight="1">
      <c r="A1098" s="318" t="str">
        <f>IF(B1098&lt;&gt;"",IF(AND(B1098='IN-TC'!$S$4,OR(TH!N1098="1111",TH!O1098="1111")),TH!D1098,""),"")</f>
        <v/>
      </c>
      <c r="B1098" s="60" t="str">
        <f t="shared" si="186"/>
        <v/>
      </c>
      <c r="C1098" s="261"/>
      <c r="D1098" s="261"/>
      <c r="E1098" s="261"/>
      <c r="F1098" s="1103"/>
      <c r="G1098" s="1104"/>
      <c r="H1098" s="759"/>
      <c r="I1098" s="383"/>
      <c r="J1098" s="383"/>
      <c r="K1098" s="383"/>
      <c r="L1098" s="390"/>
      <c r="M1098" s="978"/>
      <c r="N1098" s="1019"/>
      <c r="O1098" s="1019"/>
      <c r="P1098" s="79" t="str">
        <f>IF(AND('331-CT'!$E$7=TH!H1098,OR(N1098="331",O1098="331")),"x","")</f>
        <v/>
      </c>
      <c r="Q1098" s="79" t="str">
        <f>IF(AND(B1098='111'!$L$11,OR($N1098=$Q$7,$O1098=$Q$7)),"x","")</f>
        <v/>
      </c>
      <c r="R1098" s="79" t="str">
        <f>IF(AND($N1098=$Q$7,$B1098&lt;'111'!$L$11),"x","")</f>
        <v/>
      </c>
      <c r="S1098" s="79" t="str">
        <f>IF(AND($O1098=$Q$7,$B1098&lt;'111'!$L$11),"x","")</f>
        <v/>
      </c>
      <c r="T1098" s="79" t="str">
        <f>IF(ISERROR(FIND('112'!$M$9,G1098,1)),"",IF((AND(FIND('112'!$M$9,G1098,1)&gt;=1,B1098='112'!$K$9,OR($N1098='112'!$I$6,$O1098='112'!$I$6))),"x",""))</f>
        <v/>
      </c>
      <c r="U1098" s="79" t="str">
        <f>IF(ISERROR(FIND('112'!$M$9,G1098,1)),"",IF((AND(LEFT(G1098,2)=LEFT('112'!$M$9,2),B1098&lt;'112'!$K$9,$N1098='112'!$I$6)),"x",""))</f>
        <v/>
      </c>
      <c r="V1098" s="79" t="str">
        <f>IF(ISERROR(FIND('112'!$M$9,G1098,1)),"",IF((AND(RIGHT(G1098,2)=RIGHT('112'!$M$9,2),B1098&lt;'112'!$K$9,$O1098='112'!$I$6)),"x",""))</f>
        <v/>
      </c>
      <c r="W1098" s="79" t="str">
        <f>IF(AND('341-CT'!$H$9=H1098,OR(LEFT(N1098,3)=$W$7,LEFT(O1098,3)=$W$7)),"x","")</f>
        <v/>
      </c>
      <c r="X1098" s="79" t="str">
        <f>IF(OR(TH!N1098=TH!$X$7,O1098=TH!$X$7),"x","")</f>
        <v/>
      </c>
      <c r="Y1098" s="79" t="str">
        <f>IF(AND(OR(N1098="131",O1098="131"),H1098='131-CT'!$H$9),"x","")</f>
        <v/>
      </c>
      <c r="Z1098" s="79"/>
      <c r="AA1098" s="79" t="str">
        <f>IF(AND(MONTH(E1098)='IN-NX'!$J$5,'IN-NX'!$D$7=D1098),"x","")</f>
        <v/>
      </c>
      <c r="AB1098" s="79" t="str">
        <f>IF(AND(OR(LEFT(TH!N1098,2)="15",LEFT(TH!O1098,2)="15"),LEFT(TH!O1098,3)&lt;&gt;"111",'152-CT'!$J$8=TH!F1098),"x","")</f>
        <v/>
      </c>
      <c r="AC1098" s="79" t="str">
        <f>IF(AND(OR(LEFT(TH!N1098,2)="15",LEFT(TH!O1098,2)="15"),TK!$E$7=TH!F1098),"x","")</f>
        <v/>
      </c>
      <c r="AD1098" s="79" t="str">
        <f>IF(AND(N1098="1521",MONTH(C1098)='BK-NL'!$M$11),"x","")</f>
        <v/>
      </c>
    </row>
    <row r="1099" spans="1:30" ht="16.5" customHeight="1">
      <c r="A1099" s="318" t="str">
        <f>IF(B1099&lt;&gt;"",IF(AND(B1099='IN-TC'!$S$4,OR(TH!N1099="1111",TH!O1099="1111")),TH!D1099,""),"")</f>
        <v/>
      </c>
      <c r="B1099" s="60" t="str">
        <f t="shared" si="186"/>
        <v/>
      </c>
      <c r="C1099" s="261"/>
      <c r="D1099" s="261"/>
      <c r="E1099" s="261"/>
      <c r="F1099" s="1103"/>
      <c r="G1099" s="1104"/>
      <c r="H1099" s="759"/>
      <c r="I1099" s="383"/>
      <c r="J1099" s="383"/>
      <c r="K1099" s="383"/>
      <c r="L1099" s="390"/>
      <c r="M1099" s="978"/>
      <c r="N1099" s="1019"/>
      <c r="O1099" s="1019"/>
      <c r="P1099" s="79" t="str">
        <f>IF(AND('331-CT'!$E$7=TH!H1099,OR(N1099="331",O1099="331")),"x","")</f>
        <v/>
      </c>
      <c r="Q1099" s="79" t="str">
        <f>IF(AND(B1099='111'!$L$11,OR($N1099=$Q$7,$O1099=$Q$7)),"x","")</f>
        <v/>
      </c>
      <c r="R1099" s="79" t="str">
        <f>IF(AND($N1099=$Q$7,$B1099&lt;'111'!$L$11),"x","")</f>
        <v/>
      </c>
      <c r="S1099" s="79" t="str">
        <f>IF(AND($O1099=$Q$7,$B1099&lt;'111'!$L$11),"x","")</f>
        <v/>
      </c>
      <c r="T1099" s="79" t="str">
        <f>IF(ISERROR(FIND('112'!$M$9,G1099,1)),"",IF((AND(FIND('112'!$M$9,G1099,1)&gt;=1,B1099='112'!$K$9,OR($N1099='112'!$I$6,$O1099='112'!$I$6))),"x",""))</f>
        <v/>
      </c>
      <c r="U1099" s="79" t="str">
        <f>IF(ISERROR(FIND('112'!$M$9,G1099,1)),"",IF((AND(LEFT(G1099,2)=LEFT('112'!$M$9,2),B1099&lt;'112'!$K$9,$N1099='112'!$I$6)),"x",""))</f>
        <v/>
      </c>
      <c r="V1099" s="79" t="str">
        <f>IF(ISERROR(FIND('112'!$M$9,G1099,1)),"",IF((AND(RIGHT(G1099,2)=RIGHT('112'!$M$9,2),B1099&lt;'112'!$K$9,$O1099='112'!$I$6)),"x",""))</f>
        <v/>
      </c>
      <c r="W1099" s="79" t="str">
        <f>IF(AND('341-CT'!$H$9=H1099,OR(LEFT(N1099,3)=$W$7,LEFT(O1099,3)=$W$7)),"x","")</f>
        <v/>
      </c>
      <c r="X1099" s="79" t="str">
        <f>IF(OR(TH!N1099=TH!$X$7,O1099=TH!$X$7),"x","")</f>
        <v/>
      </c>
      <c r="Y1099" s="79" t="str">
        <f>IF(AND(OR(N1099="131",O1099="131"),H1099='131-CT'!$H$9),"x","")</f>
        <v/>
      </c>
      <c r="Z1099" s="79"/>
      <c r="AA1099" s="79" t="str">
        <f>IF(AND(MONTH(E1099)='IN-NX'!$J$5,'IN-NX'!$D$7=D1099),"x","")</f>
        <v/>
      </c>
      <c r="AB1099" s="79" t="str">
        <f>IF(AND(OR(LEFT(TH!N1099,2)="15",LEFT(TH!O1099,2)="15"),LEFT(TH!O1099,3)&lt;&gt;"111",'152-CT'!$J$8=TH!F1099),"x","")</f>
        <v/>
      </c>
      <c r="AC1099" s="79" t="str">
        <f>IF(AND(OR(LEFT(TH!N1099,2)="15",LEFT(TH!O1099,2)="15"),TK!$E$7=TH!F1099),"x","")</f>
        <v/>
      </c>
      <c r="AD1099" s="79" t="str">
        <f>IF(AND(N1099="1521",MONTH(C1099)='BK-NL'!$M$11),"x","")</f>
        <v/>
      </c>
    </row>
    <row r="1100" spans="1:30" ht="16.5" customHeight="1">
      <c r="A1100" s="318" t="str">
        <f>IF(B1100&lt;&gt;"",IF(AND(B1100='IN-TC'!$S$4,OR(TH!N1100="1111",TH!O1100="1111")),TH!D1100,""),"")</f>
        <v/>
      </c>
      <c r="B1100" s="60" t="str">
        <f t="shared" si="186"/>
        <v/>
      </c>
      <c r="C1100" s="261"/>
      <c r="D1100" s="261"/>
      <c r="E1100" s="261"/>
      <c r="F1100" s="1103"/>
      <c r="G1100" s="1104"/>
      <c r="H1100" s="759"/>
      <c r="I1100" s="383"/>
      <c r="J1100" s="383"/>
      <c r="K1100" s="383"/>
      <c r="L1100" s="390"/>
      <c r="M1100" s="978"/>
      <c r="N1100" s="1019"/>
      <c r="O1100" s="1019"/>
      <c r="P1100" s="79" t="str">
        <f>IF(AND('331-CT'!$E$7=TH!H1100,OR(N1100="331",O1100="331")),"x","")</f>
        <v/>
      </c>
      <c r="Q1100" s="79" t="str">
        <f>IF(AND(B1100='111'!$L$11,OR($N1100=$Q$7,$O1100=$Q$7)),"x","")</f>
        <v/>
      </c>
      <c r="R1100" s="79" t="str">
        <f>IF(AND($N1100=$Q$7,$B1100&lt;'111'!$L$11),"x","")</f>
        <v/>
      </c>
      <c r="S1100" s="79" t="str">
        <f>IF(AND($O1100=$Q$7,$B1100&lt;'111'!$L$11),"x","")</f>
        <v/>
      </c>
      <c r="T1100" s="79" t="str">
        <f>IF(ISERROR(FIND('112'!$M$9,G1100,1)),"",IF((AND(FIND('112'!$M$9,G1100,1)&gt;=1,B1100='112'!$K$9,OR($N1100='112'!$I$6,$O1100='112'!$I$6))),"x",""))</f>
        <v/>
      </c>
      <c r="U1100" s="79" t="str">
        <f>IF(ISERROR(FIND('112'!$M$9,G1100,1)),"",IF((AND(LEFT(G1100,2)=LEFT('112'!$M$9,2),B1100&lt;'112'!$K$9,$N1100='112'!$I$6)),"x",""))</f>
        <v/>
      </c>
      <c r="V1100" s="79" t="str">
        <f>IF(ISERROR(FIND('112'!$M$9,G1100,1)),"",IF((AND(RIGHT(G1100,2)=RIGHT('112'!$M$9,2),B1100&lt;'112'!$K$9,$O1100='112'!$I$6)),"x",""))</f>
        <v/>
      </c>
      <c r="W1100" s="79" t="str">
        <f>IF(AND('341-CT'!$H$9=H1100,OR(LEFT(N1100,3)=$W$7,LEFT(O1100,3)=$W$7)),"x","")</f>
        <v/>
      </c>
      <c r="X1100" s="79" t="str">
        <f>IF(OR(TH!N1100=TH!$X$7,O1100=TH!$X$7),"x","")</f>
        <v/>
      </c>
      <c r="Y1100" s="79" t="str">
        <f>IF(AND(OR(N1100="131",O1100="131"),H1100='131-CT'!$H$9),"x","")</f>
        <v/>
      </c>
      <c r="Z1100" s="79"/>
      <c r="AA1100" s="79" t="str">
        <f>IF(AND(MONTH(E1100)='IN-NX'!$J$5,'IN-NX'!$D$7=D1100),"x","")</f>
        <v/>
      </c>
      <c r="AB1100" s="79" t="str">
        <f>IF(AND(OR(LEFT(TH!N1100,2)="15",LEFT(TH!O1100,2)="15"),LEFT(TH!O1100,3)&lt;&gt;"111",'152-CT'!$J$8=TH!F1100),"x","")</f>
        <v/>
      </c>
      <c r="AC1100" s="79" t="str">
        <f>IF(AND(OR(LEFT(TH!N1100,2)="15",LEFT(TH!O1100,2)="15"),TK!$E$7=TH!F1100),"x","")</f>
        <v/>
      </c>
      <c r="AD1100" s="79" t="str">
        <f>IF(AND(N1100="1521",MONTH(C1100)='BK-NL'!$M$11),"x","")</f>
        <v/>
      </c>
    </row>
    <row r="1101" spans="1:30" ht="16.5" customHeight="1">
      <c r="A1101" s="318" t="str">
        <f>IF(B1101&lt;&gt;"",IF(AND(B1101='IN-TC'!$S$4,OR(TH!N1101="1111",TH!O1101="1111")),TH!D1101,""),"")</f>
        <v/>
      </c>
      <c r="B1101" s="60" t="str">
        <f t="shared" ref="B1101" si="187">IF(C1101&lt;&gt;"",MONTH(C1101),"")</f>
        <v/>
      </c>
      <c r="C1101" s="261"/>
      <c r="D1101" s="261"/>
      <c r="E1101" s="261"/>
      <c r="F1101" s="1103"/>
      <c r="G1101" s="1104"/>
      <c r="H1101" s="759"/>
      <c r="I1101" s="383"/>
      <c r="J1101" s="383"/>
      <c r="K1101" s="383"/>
      <c r="L1101" s="390"/>
      <c r="M1101" s="978"/>
      <c r="N1101" s="1019"/>
      <c r="O1101" s="1019"/>
      <c r="P1101" s="79" t="str">
        <f>IF(AND('331-CT'!$E$7=TH!H1101,OR(N1101="331",O1101="331")),"x","")</f>
        <v/>
      </c>
      <c r="Q1101" s="79" t="str">
        <f>IF(AND(B1101='111'!$L$11,OR($N1101=$Q$7,$O1101=$Q$7)),"x","")</f>
        <v/>
      </c>
      <c r="R1101" s="79" t="str">
        <f>IF(AND($N1101=$Q$7,$B1101&lt;'111'!$L$11),"x","")</f>
        <v/>
      </c>
      <c r="S1101" s="79" t="str">
        <f>IF(AND($O1101=$Q$7,$B1101&lt;'111'!$L$11),"x","")</f>
        <v/>
      </c>
      <c r="T1101" s="79" t="str">
        <f>IF(ISERROR(FIND('112'!$M$9,G1101,1)),"",IF((AND(FIND('112'!$M$9,G1101,1)&gt;=1,B1101='112'!$K$9,OR($N1101='112'!$I$6,$O1101='112'!$I$6))),"x",""))</f>
        <v/>
      </c>
      <c r="U1101" s="79" t="str">
        <f>IF(ISERROR(FIND('112'!$M$9,G1101,1)),"",IF((AND(LEFT(G1101,2)=LEFT('112'!$M$9,2),B1101&lt;'112'!$K$9,$N1101='112'!$I$6)),"x",""))</f>
        <v/>
      </c>
      <c r="V1101" s="79" t="str">
        <f>IF(ISERROR(FIND('112'!$M$9,G1101,1)),"",IF((AND(RIGHT(G1101,2)=RIGHT('112'!$M$9,2),B1101&lt;'112'!$K$9,$O1101='112'!$I$6)),"x",""))</f>
        <v/>
      </c>
      <c r="W1101" s="79" t="str">
        <f>IF(AND('341-CT'!$H$9=H1101,OR(LEFT(N1101,3)=$W$7,LEFT(O1101,3)=$W$7)),"x","")</f>
        <v/>
      </c>
      <c r="X1101" s="79" t="str">
        <f>IF(OR(TH!N1101=TH!$X$7,O1101=TH!$X$7),"x","")</f>
        <v/>
      </c>
      <c r="Y1101" s="79" t="str">
        <f>IF(AND(OR(N1101="131",O1101="131"),H1101='131-CT'!$H$9),"x","")</f>
        <v/>
      </c>
      <c r="Z1101" s="79"/>
      <c r="AA1101" s="79" t="str">
        <f>IF(AND(MONTH(E1101)='IN-NX'!$J$5,'IN-NX'!$D$7=D1101),"x","")</f>
        <v/>
      </c>
      <c r="AB1101" s="79" t="str">
        <f>IF(AND(OR(LEFT(TH!N1101,2)="15",LEFT(TH!O1101,2)="15"),LEFT(TH!O1101,3)&lt;&gt;"111",'152-CT'!$J$8=TH!F1101),"x","")</f>
        <v/>
      </c>
      <c r="AC1101" s="79" t="str">
        <f>IF(AND(OR(LEFT(TH!N1101,2)="15",LEFT(TH!O1101,2)="15"),TK!$E$7=TH!F1101),"x","")</f>
        <v/>
      </c>
      <c r="AD1101" s="79" t="str">
        <f>IF(AND(N1101="1521",MONTH(C1101)='BK-NL'!$M$11),"x","")</f>
        <v/>
      </c>
    </row>
    <row r="1102" spans="1:30" ht="16.5" customHeight="1">
      <c r="A1102" s="318" t="str">
        <f>IF(B1102&lt;&gt;"",IF(AND(B1102='IN-TC'!$S$4,OR(TH!N1102="1111",TH!O1102="1111")),TH!D1102,""),"")</f>
        <v/>
      </c>
      <c r="B1102" s="60" t="str">
        <f t="shared" ref="B1102:B1111" si="188">IF(C1102&lt;&gt;"",MONTH(C1102),"")</f>
        <v/>
      </c>
      <c r="C1102" s="261"/>
      <c r="D1102" s="261"/>
      <c r="E1102" s="261"/>
      <c r="F1102" s="1103"/>
      <c r="G1102" s="1104"/>
      <c r="H1102" s="759"/>
      <c r="I1102" s="383"/>
      <c r="J1102" s="383"/>
      <c r="K1102" s="383"/>
      <c r="L1102" s="390"/>
      <c r="M1102" s="978"/>
      <c r="N1102" s="1019"/>
      <c r="O1102" s="1019"/>
      <c r="P1102" s="79" t="str">
        <f>IF(AND('331-CT'!$E$7=TH!H1102,OR(N1102="331",O1102="331")),"x","")</f>
        <v/>
      </c>
      <c r="Q1102" s="79" t="str">
        <f>IF(AND(B1102='111'!$L$11,OR($N1102=$Q$7,$O1102=$Q$7)),"x","")</f>
        <v/>
      </c>
      <c r="R1102" s="79" t="str">
        <f>IF(AND($N1102=$Q$7,$B1102&lt;'111'!$L$11),"x","")</f>
        <v/>
      </c>
      <c r="S1102" s="79" t="str">
        <f>IF(AND($O1102=$Q$7,$B1102&lt;'111'!$L$11),"x","")</f>
        <v/>
      </c>
      <c r="T1102" s="79" t="str">
        <f>IF(ISERROR(FIND('112'!$M$9,G1102,1)),"",IF((AND(FIND('112'!$M$9,G1102,1)&gt;=1,B1102='112'!$K$9,OR($N1102='112'!$I$6,$O1102='112'!$I$6))),"x",""))</f>
        <v/>
      </c>
      <c r="U1102" s="79" t="str">
        <f>IF(ISERROR(FIND('112'!$M$9,G1102,1)),"",IF((AND(LEFT(G1102,2)=LEFT('112'!$M$9,2),B1102&lt;'112'!$K$9,$N1102='112'!$I$6)),"x",""))</f>
        <v/>
      </c>
      <c r="V1102" s="79" t="str">
        <f>IF(ISERROR(FIND('112'!$M$9,G1102,1)),"",IF((AND(RIGHT(G1102,2)=RIGHT('112'!$M$9,2),B1102&lt;'112'!$K$9,$O1102='112'!$I$6)),"x",""))</f>
        <v/>
      </c>
      <c r="W1102" s="79" t="str">
        <f>IF(AND('341-CT'!$H$9=H1102,OR(LEFT(N1102,3)=$W$7,LEFT(O1102,3)=$W$7)),"x","")</f>
        <v/>
      </c>
      <c r="X1102" s="79" t="str">
        <f>IF(OR(TH!N1102=TH!$X$7,O1102=TH!$X$7),"x","")</f>
        <v/>
      </c>
      <c r="Y1102" s="79" t="str">
        <f>IF(AND(OR(N1102="131",O1102="131"),H1102='131-CT'!$H$9),"x","")</f>
        <v/>
      </c>
      <c r="Z1102" s="79"/>
      <c r="AA1102" s="79" t="str">
        <f>IF(AND(MONTH(E1102)='IN-NX'!$J$5,'IN-NX'!$D$7=D1102),"x","")</f>
        <v/>
      </c>
      <c r="AB1102" s="79" t="str">
        <f>IF(AND(OR(LEFT(TH!N1102,2)="15",LEFT(TH!O1102,2)="15"),LEFT(TH!O1102,3)&lt;&gt;"111",'152-CT'!$J$8=TH!F1102),"x","")</f>
        <v/>
      </c>
      <c r="AC1102" s="79" t="str">
        <f>IF(AND(OR(LEFT(TH!N1102,2)="15",LEFT(TH!O1102,2)="15"),TK!$E$7=TH!F1102),"x","")</f>
        <v/>
      </c>
      <c r="AD1102" s="79" t="str">
        <f>IF(AND(N1102="1521",MONTH(C1102)='BK-NL'!$M$11),"x","")</f>
        <v/>
      </c>
    </row>
    <row r="1103" spans="1:30" ht="16.5" customHeight="1">
      <c r="A1103" s="318" t="str">
        <f>IF(B1103&lt;&gt;"",IF(AND(B1103='IN-TC'!$S$4,OR(TH!N1103="1111",TH!O1103="1111")),TH!D1103,""),"")</f>
        <v/>
      </c>
      <c r="B1103" s="60" t="str">
        <f t="shared" si="188"/>
        <v/>
      </c>
      <c r="C1103" s="261"/>
      <c r="D1103" s="261"/>
      <c r="E1103" s="261"/>
      <c r="F1103" s="1103"/>
      <c r="G1103" s="1104"/>
      <c r="H1103" s="759"/>
      <c r="I1103" s="383"/>
      <c r="J1103" s="383"/>
      <c r="K1103" s="383"/>
      <c r="L1103" s="390"/>
      <c r="M1103" s="1248"/>
      <c r="N1103" s="1019"/>
      <c r="O1103" s="1019"/>
      <c r="P1103" s="79" t="str">
        <f>IF(AND('331-CT'!$E$7=TH!H1103,OR(N1103="331",O1103="331")),"x","")</f>
        <v/>
      </c>
      <c r="Q1103" s="79" t="str">
        <f>IF(AND(B1103='111'!$L$11,OR($N1103=$Q$7,$O1103=$Q$7)),"x","")</f>
        <v/>
      </c>
      <c r="R1103" s="79" t="str">
        <f>IF(AND($N1103=$Q$7,$B1103&lt;'111'!$L$11),"x","")</f>
        <v/>
      </c>
      <c r="S1103" s="79" t="str">
        <f>IF(AND($O1103=$Q$7,$B1103&lt;'111'!$L$11),"x","")</f>
        <v/>
      </c>
      <c r="T1103" s="79" t="str">
        <f>IF(ISERROR(FIND('112'!$M$9,G1103,1)),"",IF((AND(FIND('112'!$M$9,G1103,1)&gt;=1,B1103='112'!$K$9,OR($N1103='112'!$I$6,$O1103='112'!$I$6))),"x",""))</f>
        <v/>
      </c>
      <c r="U1103" s="79" t="str">
        <f>IF(ISERROR(FIND('112'!$M$9,G1103,1)),"",IF((AND(LEFT(G1103,2)=LEFT('112'!$M$9,2),B1103&lt;'112'!$K$9,$N1103='112'!$I$6)),"x",""))</f>
        <v/>
      </c>
      <c r="V1103" s="79" t="str">
        <f>IF(ISERROR(FIND('112'!$M$9,G1103,1)),"",IF((AND(RIGHT(G1103,2)=RIGHT('112'!$M$9,2),B1103&lt;'112'!$K$9,$O1103='112'!$I$6)),"x",""))</f>
        <v/>
      </c>
      <c r="W1103" s="79" t="str">
        <f>IF(AND('341-CT'!$H$9=H1103,OR(LEFT(N1103,3)=$W$7,LEFT(O1103,3)=$W$7)),"x","")</f>
        <v/>
      </c>
      <c r="X1103" s="79" t="str">
        <f>IF(OR(TH!N1103=TH!$X$7,O1103=TH!$X$7),"x","")</f>
        <v/>
      </c>
      <c r="Y1103" s="79" t="str">
        <f>IF(AND(OR(N1103="131",O1103="131"),H1103='131-CT'!$H$9),"x","")</f>
        <v/>
      </c>
      <c r="Z1103" s="79"/>
      <c r="AA1103" s="79" t="str">
        <f>IF(AND(MONTH(E1103)='IN-NX'!$J$5,'IN-NX'!$D$7=D1103),"x","")</f>
        <v/>
      </c>
      <c r="AB1103" s="79" t="str">
        <f>IF(AND(OR(LEFT(TH!N1103,2)="15",LEFT(TH!O1103,2)="15"),LEFT(TH!O1103,3)&lt;&gt;"111",'152-CT'!$J$8=TH!F1103),"x","")</f>
        <v/>
      </c>
      <c r="AC1103" s="79" t="str">
        <f>IF(AND(OR(LEFT(TH!N1103,2)="15",LEFT(TH!O1103,2)="15"),TK!$E$7=TH!F1103),"x","")</f>
        <v/>
      </c>
      <c r="AD1103" s="79" t="str">
        <f>IF(AND(N1103="1521",MONTH(C1103)='BK-NL'!$M$11),"x","")</f>
        <v/>
      </c>
    </row>
    <row r="1104" spans="1:30" ht="16.5" customHeight="1">
      <c r="A1104" s="318" t="str">
        <f>IF(B1104&lt;&gt;"",IF(AND(B1104='IN-TC'!$S$4,OR(TH!N1104="1111",TH!O1104="1111")),TH!D1104,""),"")</f>
        <v/>
      </c>
      <c r="B1104" s="60" t="str">
        <f t="shared" si="188"/>
        <v/>
      </c>
      <c r="C1104" s="261"/>
      <c r="D1104" s="261"/>
      <c r="E1104" s="261"/>
      <c r="F1104" s="1103"/>
      <c r="G1104" s="1104"/>
      <c r="H1104" s="759"/>
      <c r="I1104" s="383"/>
      <c r="J1104" s="383"/>
      <c r="K1104" s="383"/>
      <c r="L1104" s="390"/>
      <c r="M1104" s="1248"/>
      <c r="N1104" s="1019"/>
      <c r="O1104" s="1019"/>
      <c r="P1104" s="79" t="str">
        <f>IF(AND('331-CT'!$E$7=TH!H1104,OR(N1104="331",O1104="331")),"x","")</f>
        <v/>
      </c>
      <c r="Q1104" s="79" t="str">
        <f>IF(AND(B1104='111'!$L$11,OR($N1104=$Q$7,$O1104=$Q$7)),"x","")</f>
        <v/>
      </c>
      <c r="R1104" s="79" t="str">
        <f>IF(AND($N1104=$Q$7,$B1104&lt;'111'!$L$11),"x","")</f>
        <v/>
      </c>
      <c r="S1104" s="79" t="str">
        <f>IF(AND($O1104=$Q$7,$B1104&lt;'111'!$L$11),"x","")</f>
        <v/>
      </c>
      <c r="T1104" s="79" t="str">
        <f>IF(ISERROR(FIND('112'!$M$9,G1104,1)),"",IF((AND(FIND('112'!$M$9,G1104,1)&gt;=1,B1104='112'!$K$9,OR($N1104='112'!$I$6,$O1104='112'!$I$6))),"x",""))</f>
        <v/>
      </c>
      <c r="U1104" s="79" t="str">
        <f>IF(ISERROR(FIND('112'!$M$9,G1104,1)),"",IF((AND(LEFT(G1104,2)=LEFT('112'!$M$9,2),B1104&lt;'112'!$K$9,$N1104='112'!$I$6)),"x",""))</f>
        <v/>
      </c>
      <c r="V1104" s="79" t="str">
        <f>IF(ISERROR(FIND('112'!$M$9,G1104,1)),"",IF((AND(RIGHT(G1104,2)=RIGHT('112'!$M$9,2),B1104&lt;'112'!$K$9,$O1104='112'!$I$6)),"x",""))</f>
        <v/>
      </c>
      <c r="W1104" s="79" t="str">
        <f>IF(AND('341-CT'!$H$9=H1104,OR(LEFT(N1104,3)=$W$7,LEFT(O1104,3)=$W$7)),"x","")</f>
        <v/>
      </c>
      <c r="X1104" s="79" t="str">
        <f>IF(OR(TH!N1104=TH!$X$7,O1104=TH!$X$7),"x","")</f>
        <v/>
      </c>
      <c r="Y1104" s="79" t="str">
        <f>IF(AND(OR(N1104="131",O1104="131"),H1104='131-CT'!$H$9),"x","")</f>
        <v/>
      </c>
      <c r="Z1104" s="79"/>
      <c r="AA1104" s="79" t="str">
        <f>IF(AND(MONTH(E1104)='IN-NX'!$J$5,'IN-NX'!$D$7=D1104),"x","")</f>
        <v/>
      </c>
      <c r="AB1104" s="79" t="str">
        <f>IF(AND(OR(LEFT(TH!N1104,2)="15",LEFT(TH!O1104,2)="15"),LEFT(TH!O1104,3)&lt;&gt;"111",'152-CT'!$J$8=TH!F1104),"x","")</f>
        <v/>
      </c>
      <c r="AC1104" s="79" t="str">
        <f>IF(AND(OR(LEFT(TH!N1104,2)="15",LEFT(TH!O1104,2)="15"),TK!$E$7=TH!F1104),"x","")</f>
        <v/>
      </c>
      <c r="AD1104" s="79" t="str">
        <f>IF(AND(N1104="1521",MONTH(C1104)='BK-NL'!$M$11),"x","")</f>
        <v/>
      </c>
    </row>
    <row r="1105" spans="1:30" ht="16.5" customHeight="1">
      <c r="A1105" s="318" t="str">
        <f>IF(B1105&lt;&gt;"",IF(AND(B1105='IN-TC'!$S$4,OR(TH!N1105="1111",TH!O1105="1111")),TH!D1105,""),"")</f>
        <v/>
      </c>
      <c r="B1105" s="60" t="str">
        <f t="shared" si="188"/>
        <v/>
      </c>
      <c r="C1105" s="261"/>
      <c r="D1105" s="261"/>
      <c r="E1105" s="261"/>
      <c r="F1105" s="1103"/>
      <c r="G1105" s="1104"/>
      <c r="H1105" s="759"/>
      <c r="I1105" s="383"/>
      <c r="J1105" s="383"/>
      <c r="K1105" s="383"/>
      <c r="L1105" s="390"/>
      <c r="M1105" s="1248"/>
      <c r="N1105" s="1019"/>
      <c r="O1105" s="1019"/>
      <c r="P1105" s="79" t="str">
        <f>IF(AND('331-CT'!$E$7=TH!H1105,OR(N1105="331",O1105="331")),"x","")</f>
        <v/>
      </c>
      <c r="Q1105" s="79" t="str">
        <f>IF(AND(B1105='111'!$L$11,OR($N1105=$Q$7,$O1105=$Q$7)),"x","")</f>
        <v/>
      </c>
      <c r="R1105" s="79" t="str">
        <f>IF(AND($N1105=$Q$7,$B1105&lt;'111'!$L$11),"x","")</f>
        <v/>
      </c>
      <c r="S1105" s="79" t="str">
        <f>IF(AND($O1105=$Q$7,$B1105&lt;'111'!$L$11),"x","")</f>
        <v/>
      </c>
      <c r="T1105" s="79" t="str">
        <f>IF(ISERROR(FIND('112'!$M$9,G1105,1)),"",IF((AND(FIND('112'!$M$9,G1105,1)&gt;=1,B1105='112'!$K$9,OR($N1105='112'!$I$6,$O1105='112'!$I$6))),"x",""))</f>
        <v/>
      </c>
      <c r="U1105" s="79" t="str">
        <f>IF(ISERROR(FIND('112'!$M$9,G1105,1)),"",IF((AND(LEFT(G1105,2)=LEFT('112'!$M$9,2),B1105&lt;'112'!$K$9,$N1105='112'!$I$6)),"x",""))</f>
        <v/>
      </c>
      <c r="V1105" s="79" t="str">
        <f>IF(ISERROR(FIND('112'!$M$9,G1105,1)),"",IF((AND(RIGHT(G1105,2)=RIGHT('112'!$M$9,2),B1105&lt;'112'!$K$9,$O1105='112'!$I$6)),"x",""))</f>
        <v/>
      </c>
      <c r="W1105" s="79" t="str">
        <f>IF(AND('341-CT'!$H$9=H1105,OR(LEFT(N1105,3)=$W$7,LEFT(O1105,3)=$W$7)),"x","")</f>
        <v/>
      </c>
      <c r="X1105" s="79" t="str">
        <f>IF(OR(TH!N1105=TH!$X$7,O1105=TH!$X$7),"x","")</f>
        <v/>
      </c>
      <c r="Y1105" s="79" t="str">
        <f>IF(AND(OR(N1105="131",O1105="131"),H1105='131-CT'!$H$9),"x","")</f>
        <v/>
      </c>
      <c r="Z1105" s="79"/>
      <c r="AA1105" s="79" t="str">
        <f>IF(AND(MONTH(E1105)='IN-NX'!$J$5,'IN-NX'!$D$7=D1105),"x","")</f>
        <v/>
      </c>
      <c r="AB1105" s="79" t="str">
        <f>IF(AND(OR(LEFT(TH!N1105,2)="15",LEFT(TH!O1105,2)="15"),LEFT(TH!O1105,3)&lt;&gt;"111",'152-CT'!$J$8=TH!F1105),"x","")</f>
        <v/>
      </c>
      <c r="AC1105" s="79" t="str">
        <f>IF(AND(OR(LEFT(TH!N1105,2)="15",LEFT(TH!O1105,2)="15"),TK!$E$7=TH!F1105),"x","")</f>
        <v/>
      </c>
      <c r="AD1105" s="79" t="str">
        <f>IF(AND(N1105="1521",MONTH(C1105)='BK-NL'!$M$11),"x","")</f>
        <v/>
      </c>
    </row>
    <row r="1106" spans="1:30" ht="16.5" customHeight="1">
      <c r="A1106" s="318" t="str">
        <f>IF(B1106&lt;&gt;"",IF(AND(B1106='IN-TC'!$S$4,OR(TH!N1106="1111",TH!O1106="1111")),TH!D1106,""),"")</f>
        <v/>
      </c>
      <c r="B1106" s="60" t="str">
        <f t="shared" ref="B1106" si="189">IF(C1106&lt;&gt;"",MONTH(C1106),"")</f>
        <v/>
      </c>
      <c r="C1106" s="261"/>
      <c r="D1106" s="261"/>
      <c r="E1106" s="261"/>
      <c r="F1106" s="1103"/>
      <c r="G1106" s="1104"/>
      <c r="H1106" s="759"/>
      <c r="I1106" s="383"/>
      <c r="J1106" s="383"/>
      <c r="K1106" s="383"/>
      <c r="L1106" s="390"/>
      <c r="M1106" s="1248"/>
      <c r="N1106" s="1019"/>
      <c r="O1106" s="1019"/>
      <c r="P1106" s="79" t="str">
        <f>IF(AND('331-CT'!$E$7=TH!H1106,OR(N1106="331",O1106="331")),"x","")</f>
        <v/>
      </c>
      <c r="Q1106" s="79" t="str">
        <f>IF(AND(B1106='111'!$L$11,OR($N1106=$Q$7,$O1106=$Q$7)),"x","")</f>
        <v/>
      </c>
      <c r="R1106" s="79" t="str">
        <f>IF(AND($N1106=$Q$7,$B1106&lt;'111'!$L$11),"x","")</f>
        <v/>
      </c>
      <c r="S1106" s="79" t="str">
        <f>IF(AND($O1106=$Q$7,$B1106&lt;'111'!$L$11),"x","")</f>
        <v/>
      </c>
      <c r="T1106" s="79" t="str">
        <f>IF(ISERROR(FIND('112'!$M$9,G1106,1)),"",IF((AND(FIND('112'!$M$9,G1106,1)&gt;=1,B1106='112'!$K$9,OR($N1106='112'!$I$6,$O1106='112'!$I$6))),"x",""))</f>
        <v/>
      </c>
      <c r="U1106" s="79" t="str">
        <f>IF(ISERROR(FIND('112'!$M$9,G1106,1)),"",IF((AND(LEFT(G1106,2)=LEFT('112'!$M$9,2),B1106&lt;'112'!$K$9,$N1106='112'!$I$6)),"x",""))</f>
        <v/>
      </c>
      <c r="V1106" s="79" t="str">
        <f>IF(ISERROR(FIND('112'!$M$9,G1106,1)),"",IF((AND(RIGHT(G1106,2)=RIGHT('112'!$M$9,2),B1106&lt;'112'!$K$9,$O1106='112'!$I$6)),"x",""))</f>
        <v/>
      </c>
      <c r="W1106" s="79" t="str">
        <f>IF(AND('341-CT'!$H$9=H1106,OR(LEFT(N1106,3)=$W$7,LEFT(O1106,3)=$W$7)),"x","")</f>
        <v/>
      </c>
      <c r="X1106" s="79" t="str">
        <f>IF(OR(TH!N1106=TH!$X$7,O1106=TH!$X$7),"x","")</f>
        <v/>
      </c>
      <c r="Y1106" s="79" t="str">
        <f>IF(AND(OR(N1106="131",O1106="131"),H1106='131-CT'!$H$9),"x","")</f>
        <v/>
      </c>
      <c r="Z1106" s="79"/>
      <c r="AA1106" s="79" t="str">
        <f>IF(AND(MONTH(E1106)='IN-NX'!$J$5,'IN-NX'!$D$7=D1106),"x","")</f>
        <v/>
      </c>
      <c r="AB1106" s="79" t="str">
        <f>IF(AND(OR(LEFT(TH!N1106,2)="15",LEFT(TH!O1106,2)="15"),LEFT(TH!O1106,3)&lt;&gt;"111",'152-CT'!$J$8=TH!F1106),"x","")</f>
        <v/>
      </c>
      <c r="AC1106" s="79" t="str">
        <f>IF(AND(OR(LEFT(TH!N1106,2)="15",LEFT(TH!O1106,2)="15"),TK!$E$7=TH!F1106),"x","")</f>
        <v/>
      </c>
      <c r="AD1106" s="79" t="str">
        <f>IF(AND(N1106="1521",MONTH(C1106)='BK-NL'!$M$11),"x","")</f>
        <v/>
      </c>
    </row>
    <row r="1107" spans="1:30" ht="16.5" customHeight="1">
      <c r="A1107" s="318" t="str">
        <f>IF(B1107&lt;&gt;"",IF(AND(B1107='IN-TC'!$S$4,OR(TH!N1107="1111",TH!O1107="1111")),TH!D1107,""),"")</f>
        <v/>
      </c>
      <c r="B1107" s="60" t="str">
        <f>IF(C1107&lt;&gt;"",MONTH(C1107),"")</f>
        <v/>
      </c>
      <c r="C1107" s="261"/>
      <c r="D1107" s="261"/>
      <c r="E1107" s="261"/>
      <c r="F1107" s="1103"/>
      <c r="G1107" s="1104"/>
      <c r="H1107" s="759"/>
      <c r="I1107" s="383"/>
      <c r="J1107" s="383"/>
      <c r="K1107" s="383"/>
      <c r="L1107" s="390"/>
      <c r="M1107" s="1248"/>
      <c r="N1107" s="1019"/>
      <c r="O1107" s="1019"/>
      <c r="P1107" s="79" t="str">
        <f>IF(AND('331-CT'!$E$7=TH!H1107,OR(N1107="331",O1107="331")),"x","")</f>
        <v/>
      </c>
      <c r="Q1107" s="79" t="str">
        <f>IF(AND(B1107='111'!$L$11,OR($N1107=$Q$7,$O1107=$Q$7)),"x","")</f>
        <v/>
      </c>
      <c r="R1107" s="79" t="str">
        <f>IF(AND($N1107=$Q$7,$B1107&lt;'111'!$L$11),"x","")</f>
        <v/>
      </c>
      <c r="S1107" s="79" t="str">
        <f>IF(AND($O1107=$Q$7,$B1107&lt;'111'!$L$11),"x","")</f>
        <v/>
      </c>
      <c r="T1107" s="79" t="str">
        <f>IF(ISERROR(FIND('112'!$M$9,G1107,1)),"",IF((AND(FIND('112'!$M$9,G1107,1)&gt;=1,B1107='112'!$K$9,OR($N1107='112'!$I$6,$O1107='112'!$I$6))),"x",""))</f>
        <v/>
      </c>
      <c r="U1107" s="79" t="str">
        <f>IF(ISERROR(FIND('112'!$M$9,G1107,1)),"",IF((AND(LEFT(G1107,2)=LEFT('112'!$M$9,2),B1107&lt;'112'!$K$9,$N1107='112'!$I$6)),"x",""))</f>
        <v/>
      </c>
      <c r="V1107" s="79" t="str">
        <f>IF(ISERROR(FIND('112'!$M$9,G1107,1)),"",IF((AND(RIGHT(G1107,2)=RIGHT('112'!$M$9,2),B1107&lt;'112'!$K$9,$O1107='112'!$I$6)),"x",""))</f>
        <v/>
      </c>
      <c r="W1107" s="79" t="str">
        <f>IF(AND('341-CT'!$H$9=H1107,OR(LEFT(N1107,3)=$W$7,LEFT(O1107,3)=$W$7)),"x","")</f>
        <v/>
      </c>
      <c r="X1107" s="79" t="str">
        <f>IF(OR(TH!N1107=TH!$X$7,O1107=TH!$X$7),"x","")</f>
        <v/>
      </c>
      <c r="Y1107" s="79" t="str">
        <f>IF(AND(OR(N1107="131",O1107="131"),H1107='131-CT'!$H$9),"x","")</f>
        <v/>
      </c>
      <c r="Z1107" s="79"/>
      <c r="AA1107" s="79" t="str">
        <f>IF(AND(MONTH(E1107)='IN-NX'!$J$5,'IN-NX'!$D$7=D1107),"x","")</f>
        <v/>
      </c>
      <c r="AB1107" s="79" t="str">
        <f>IF(AND(OR(LEFT(TH!N1107,2)="15",LEFT(TH!O1107,2)="15"),LEFT(TH!O1107,3)&lt;&gt;"111",'152-CT'!$J$8=TH!F1107),"x","")</f>
        <v/>
      </c>
      <c r="AC1107" s="79" t="str">
        <f>IF(AND(OR(LEFT(TH!N1107,2)="15",LEFT(TH!O1107,2)="15"),TK!$E$7=TH!F1107),"x","")</f>
        <v/>
      </c>
      <c r="AD1107" s="79" t="str">
        <f>IF(AND(N1107="1521",MONTH(C1107)='BK-NL'!$M$11),"x","")</f>
        <v/>
      </c>
    </row>
    <row r="1108" spans="1:30" ht="16.5" customHeight="1">
      <c r="A1108" s="318" t="str">
        <f>IF(B1108&lt;&gt;"",IF(AND(B1108='IN-TC'!$S$4,OR(TH!N1108="1111",TH!O1108="1111")),TH!D1108,""),"")</f>
        <v/>
      </c>
      <c r="B1108" s="60" t="str">
        <f>IF(C1108&lt;&gt;"",MONTH(C1108),"")</f>
        <v/>
      </c>
      <c r="C1108" s="261"/>
      <c r="D1108" s="261"/>
      <c r="E1108" s="261"/>
      <c r="F1108" s="1103"/>
      <c r="G1108" s="1104"/>
      <c r="H1108" s="759"/>
      <c r="I1108" s="383"/>
      <c r="J1108" s="383"/>
      <c r="K1108" s="383"/>
      <c r="L1108" s="390"/>
      <c r="M1108" s="1248"/>
      <c r="N1108" s="1019"/>
      <c r="O1108" s="1019"/>
      <c r="P1108" s="79" t="str">
        <f>IF(AND('331-CT'!$E$7=TH!H1108,OR(N1108="331",O1108="331")),"x","")</f>
        <v/>
      </c>
      <c r="Q1108" s="79" t="str">
        <f>IF(AND(B1108='111'!$L$11,OR($N1108=$Q$7,$O1108=$Q$7)),"x","")</f>
        <v/>
      </c>
      <c r="R1108" s="79" t="str">
        <f>IF(AND($N1108=$Q$7,$B1108&lt;'111'!$L$11),"x","")</f>
        <v/>
      </c>
      <c r="S1108" s="79" t="str">
        <f>IF(AND($O1108=$Q$7,$B1108&lt;'111'!$L$11),"x","")</f>
        <v/>
      </c>
      <c r="T1108" s="79" t="str">
        <f>IF(ISERROR(FIND('112'!$M$9,G1108,1)),"",IF((AND(FIND('112'!$M$9,G1108,1)&gt;=1,B1108='112'!$K$9,OR($N1108='112'!$I$6,$O1108='112'!$I$6))),"x",""))</f>
        <v/>
      </c>
      <c r="U1108" s="79" t="str">
        <f>IF(ISERROR(FIND('112'!$M$9,G1108,1)),"",IF((AND(LEFT(G1108,2)=LEFT('112'!$M$9,2),B1108&lt;'112'!$K$9,$N1108='112'!$I$6)),"x",""))</f>
        <v/>
      </c>
      <c r="V1108" s="79" t="str">
        <f>IF(ISERROR(FIND('112'!$M$9,G1108,1)),"",IF((AND(RIGHT(G1108,2)=RIGHT('112'!$M$9,2),B1108&lt;'112'!$K$9,$O1108='112'!$I$6)),"x",""))</f>
        <v/>
      </c>
      <c r="W1108" s="79" t="str">
        <f>IF(AND('341-CT'!$H$9=H1108,OR(LEFT(N1108,3)=$W$7,LEFT(O1108,3)=$W$7)),"x","")</f>
        <v/>
      </c>
      <c r="X1108" s="79" t="str">
        <f>IF(OR(TH!N1108=TH!$X$7,O1108=TH!$X$7),"x","")</f>
        <v/>
      </c>
      <c r="Y1108" s="79" t="str">
        <f>IF(AND(OR(N1108="131",O1108="131"),H1108='131-CT'!$H$9),"x","")</f>
        <v/>
      </c>
      <c r="Z1108" s="79"/>
      <c r="AA1108" s="79" t="str">
        <f>IF(AND(MONTH(E1108)='IN-NX'!$J$5,'IN-NX'!$D$7=D1108),"x","")</f>
        <v/>
      </c>
      <c r="AB1108" s="79" t="str">
        <f>IF(AND(OR(LEFT(TH!N1108,2)="15",LEFT(TH!O1108,2)="15"),LEFT(TH!O1108,3)&lt;&gt;"111",'152-CT'!$J$8=TH!F1108),"x","")</f>
        <v/>
      </c>
      <c r="AC1108" s="79" t="str">
        <f>IF(AND(OR(LEFT(TH!N1108,2)="15",LEFT(TH!O1108,2)="15"),TK!$E$7=TH!F1108),"x","")</f>
        <v/>
      </c>
      <c r="AD1108" s="79" t="str">
        <f>IF(AND(N1108="1521",MONTH(C1108)='BK-NL'!$M$11),"x","")</f>
        <v/>
      </c>
    </row>
    <row r="1109" spans="1:30" ht="16.5" customHeight="1">
      <c r="A1109" s="318" t="str">
        <f>IF(B1109&lt;&gt;"",IF(AND(B1109='IN-TC'!$S$4,OR(TH!N1109="1111",TH!O1109="1111")),TH!D1109,""),"")</f>
        <v/>
      </c>
      <c r="B1109" s="60" t="str">
        <f t="shared" si="188"/>
        <v/>
      </c>
      <c r="C1109" s="261"/>
      <c r="D1109" s="261"/>
      <c r="E1109" s="261"/>
      <c r="F1109" s="1103"/>
      <c r="G1109" s="1104"/>
      <c r="H1109" s="759"/>
      <c r="I1109" s="383"/>
      <c r="J1109" s="383"/>
      <c r="K1109" s="383"/>
      <c r="L1109" s="390"/>
      <c r="M1109" s="1248"/>
      <c r="N1109" s="1019"/>
      <c r="O1109" s="1019"/>
      <c r="P1109" s="79" t="str">
        <f>IF(AND('331-CT'!$E$7=TH!H1109,OR(N1109="331",O1109="331")),"x","")</f>
        <v/>
      </c>
      <c r="Q1109" s="79" t="str">
        <f>IF(AND(B1109='111'!$L$11,OR($N1109=$Q$7,$O1109=$Q$7)),"x","")</f>
        <v/>
      </c>
      <c r="R1109" s="79" t="str">
        <f>IF(AND($N1109=$Q$7,$B1109&lt;'111'!$L$11),"x","")</f>
        <v/>
      </c>
      <c r="S1109" s="79" t="str">
        <f>IF(AND($O1109=$Q$7,$B1109&lt;'111'!$L$11),"x","")</f>
        <v/>
      </c>
      <c r="T1109" s="79" t="str">
        <f>IF(ISERROR(FIND('112'!$M$9,G1109,1)),"",IF((AND(FIND('112'!$M$9,G1109,1)&gt;=1,B1109='112'!$K$9,OR($N1109='112'!$I$6,$O1109='112'!$I$6))),"x",""))</f>
        <v/>
      </c>
      <c r="U1109" s="79" t="str">
        <f>IF(ISERROR(FIND('112'!$M$9,G1109,1)),"",IF((AND(LEFT(G1109,2)=LEFT('112'!$M$9,2),B1109&lt;'112'!$K$9,$N1109='112'!$I$6)),"x",""))</f>
        <v/>
      </c>
      <c r="V1109" s="79" t="str">
        <f>IF(ISERROR(FIND('112'!$M$9,G1109,1)),"",IF((AND(RIGHT(G1109,2)=RIGHT('112'!$M$9,2),B1109&lt;'112'!$K$9,$O1109='112'!$I$6)),"x",""))</f>
        <v/>
      </c>
      <c r="W1109" s="79" t="str">
        <f>IF(AND('341-CT'!$H$9=H1109,OR(LEFT(N1109,3)=$W$7,LEFT(O1109,3)=$W$7)),"x","")</f>
        <v/>
      </c>
      <c r="X1109" s="79" t="str">
        <f>IF(OR(TH!N1109=TH!$X$7,O1109=TH!$X$7),"x","")</f>
        <v/>
      </c>
      <c r="Y1109" s="79" t="str">
        <f>IF(AND(OR(N1109="131",O1109="131"),H1109='131-CT'!$H$9),"x","")</f>
        <v/>
      </c>
      <c r="Z1109" s="79"/>
      <c r="AA1109" s="79" t="str">
        <f>IF(AND(MONTH(E1109)='IN-NX'!$J$5,'IN-NX'!$D$7=D1109),"x","")</f>
        <v/>
      </c>
      <c r="AB1109" s="79" t="str">
        <f>IF(AND(OR(LEFT(TH!N1109,2)="15",LEFT(TH!O1109,2)="15"),LEFT(TH!O1109,3)&lt;&gt;"111",'152-CT'!$J$8=TH!F1109),"x","")</f>
        <v/>
      </c>
      <c r="AC1109" s="79" t="str">
        <f>IF(AND(OR(LEFT(TH!N1109,2)="15",LEFT(TH!O1109,2)="15"),TK!$E$7=TH!F1109),"x","")</f>
        <v/>
      </c>
      <c r="AD1109" s="79" t="str">
        <f>IF(AND(N1109="1521",MONTH(C1109)='BK-NL'!$M$11),"x","")</f>
        <v/>
      </c>
    </row>
    <row r="1110" spans="1:30" ht="16.5" customHeight="1">
      <c r="A1110" s="318" t="str">
        <f>IF(B1110&lt;&gt;"",IF(AND(B1110='IN-TC'!$S$4,OR(TH!N1110="1111",TH!O1110="1111")),TH!D1110,""),"")</f>
        <v/>
      </c>
      <c r="B1110" s="60" t="str">
        <f t="shared" si="188"/>
        <v/>
      </c>
      <c r="C1110" s="261"/>
      <c r="D1110" s="261"/>
      <c r="E1110" s="261"/>
      <c r="F1110" s="1103"/>
      <c r="G1110" s="1104"/>
      <c r="H1110" s="759"/>
      <c r="I1110" s="383"/>
      <c r="J1110" s="383"/>
      <c r="K1110" s="383"/>
      <c r="L1110" s="390"/>
      <c r="M1110" s="1248"/>
      <c r="N1110" s="1019"/>
      <c r="O1110" s="1019"/>
      <c r="P1110" s="79" t="str">
        <f>IF(AND('331-CT'!$E$7=TH!H1110,OR(N1110="331",O1110="331")),"x","")</f>
        <v/>
      </c>
      <c r="Q1110" s="79" t="str">
        <f>IF(AND(B1110='111'!$L$11,OR($N1110=$Q$7,$O1110=$Q$7)),"x","")</f>
        <v/>
      </c>
      <c r="R1110" s="79" t="str">
        <f>IF(AND($N1110=$Q$7,$B1110&lt;'111'!$L$11),"x","")</f>
        <v/>
      </c>
      <c r="S1110" s="79" t="str">
        <f>IF(AND($O1110=$Q$7,$B1110&lt;'111'!$L$11),"x","")</f>
        <v/>
      </c>
      <c r="T1110" s="79" t="str">
        <f>IF(ISERROR(FIND('112'!$M$9,G1110,1)),"",IF((AND(FIND('112'!$M$9,G1110,1)&gt;=1,B1110='112'!$K$9,OR($N1110='112'!$I$6,$O1110='112'!$I$6))),"x",""))</f>
        <v/>
      </c>
      <c r="U1110" s="79" t="str">
        <f>IF(ISERROR(FIND('112'!$M$9,G1110,1)),"",IF((AND(LEFT(G1110,2)=LEFT('112'!$M$9,2),B1110&lt;'112'!$K$9,$N1110='112'!$I$6)),"x",""))</f>
        <v/>
      </c>
      <c r="V1110" s="79" t="str">
        <f>IF(ISERROR(FIND('112'!$M$9,G1110,1)),"",IF((AND(RIGHT(G1110,2)=RIGHT('112'!$M$9,2),B1110&lt;'112'!$K$9,$O1110='112'!$I$6)),"x",""))</f>
        <v/>
      </c>
      <c r="W1110" s="79" t="str">
        <f>IF(AND('341-CT'!$H$9=H1110,OR(LEFT(N1110,3)=$W$7,LEFT(O1110,3)=$W$7)),"x","")</f>
        <v/>
      </c>
      <c r="X1110" s="79" t="str">
        <f>IF(OR(TH!N1110=TH!$X$7,O1110=TH!$X$7),"x","")</f>
        <v/>
      </c>
      <c r="Y1110" s="79" t="str">
        <f>IF(AND(OR(N1110="131",O1110="131"),H1110='131-CT'!$H$9),"x","")</f>
        <v/>
      </c>
      <c r="Z1110" s="79"/>
      <c r="AA1110" s="79" t="str">
        <f>IF(AND(MONTH(E1110)='IN-NX'!$J$5,'IN-NX'!$D$7=D1110),"x","")</f>
        <v/>
      </c>
      <c r="AB1110" s="79" t="str">
        <f>IF(AND(OR(LEFT(TH!N1110,2)="15",LEFT(TH!O1110,2)="15"),LEFT(TH!O1110,3)&lt;&gt;"111",'152-CT'!$J$8=TH!F1110),"x","")</f>
        <v/>
      </c>
      <c r="AC1110" s="79" t="str">
        <f>IF(AND(OR(LEFT(TH!N1110,2)="15",LEFT(TH!O1110,2)="15"),TK!$E$7=TH!F1110),"x","")</f>
        <v/>
      </c>
      <c r="AD1110" s="79" t="str">
        <f>IF(AND(N1110="1521",MONTH(C1110)='BK-NL'!$M$11),"x","")</f>
        <v/>
      </c>
    </row>
    <row r="1111" spans="1:30" ht="16.5" customHeight="1">
      <c r="A1111" s="318" t="str">
        <f>IF(B1111&lt;&gt;"",IF(AND(B1111='IN-TC'!$S$4,OR(TH!N1111="1111",TH!O1111="1111")),TH!D1111,""),"")</f>
        <v/>
      </c>
      <c r="B1111" s="60" t="str">
        <f t="shared" si="188"/>
        <v/>
      </c>
      <c r="C1111" s="261"/>
      <c r="D1111" s="261"/>
      <c r="E1111" s="261"/>
      <c r="F1111" s="1103"/>
      <c r="G1111" s="1104"/>
      <c r="H1111" s="759"/>
      <c r="I1111" s="383"/>
      <c r="J1111" s="383"/>
      <c r="K1111" s="383"/>
      <c r="L1111" s="390"/>
      <c r="M1111" s="978"/>
      <c r="N1111" s="1019"/>
      <c r="O1111" s="1019"/>
      <c r="P1111" s="79" t="str">
        <f>IF(AND('331-CT'!$E$7=TH!H1111,OR(N1111="331",O1111="331")),"x","")</f>
        <v/>
      </c>
      <c r="Q1111" s="79" t="str">
        <f>IF(AND(B1111='111'!$L$11,OR($N1111=$Q$7,$O1111=$Q$7)),"x","")</f>
        <v/>
      </c>
      <c r="R1111" s="79" t="str">
        <f>IF(AND($N1111=$Q$7,$B1111&lt;'111'!$L$11),"x","")</f>
        <v/>
      </c>
      <c r="S1111" s="79" t="str">
        <f>IF(AND($O1111=$Q$7,$B1111&lt;'111'!$L$11),"x","")</f>
        <v/>
      </c>
      <c r="T1111" s="79" t="str">
        <f>IF(ISERROR(FIND('112'!$M$9,G1111,1)),"",IF((AND(FIND('112'!$M$9,G1111,1)&gt;=1,B1111='112'!$K$9,OR($N1111='112'!$I$6,$O1111='112'!$I$6))),"x",""))</f>
        <v/>
      </c>
      <c r="U1111" s="79" t="str">
        <f>IF(ISERROR(FIND('112'!$M$9,G1111,1)),"",IF((AND(LEFT(G1111,2)=LEFT('112'!$M$9,2),B1111&lt;'112'!$K$9,$N1111='112'!$I$6)),"x",""))</f>
        <v/>
      </c>
      <c r="V1111" s="79" t="str">
        <f>IF(ISERROR(FIND('112'!$M$9,G1111,1)),"",IF((AND(RIGHT(G1111,2)=RIGHT('112'!$M$9,2),B1111&lt;'112'!$K$9,$O1111='112'!$I$6)),"x",""))</f>
        <v/>
      </c>
      <c r="W1111" s="79" t="str">
        <f>IF(AND('341-CT'!$H$9=H1111,OR(LEFT(N1111,3)=$W$7,LEFT(O1111,3)=$W$7)),"x","")</f>
        <v/>
      </c>
      <c r="X1111" s="79" t="str">
        <f>IF(OR(TH!N1111=TH!$X$7,O1111=TH!$X$7),"x","")</f>
        <v/>
      </c>
      <c r="Y1111" s="79" t="str">
        <f>IF(AND(OR(N1111="131",O1111="131"),H1111='131-CT'!$H$9),"x","")</f>
        <v/>
      </c>
      <c r="Z1111" s="79"/>
      <c r="AA1111" s="79" t="str">
        <f>IF(AND(MONTH(E1111)='IN-NX'!$J$5,'IN-NX'!$D$7=D1111),"x","")</f>
        <v/>
      </c>
      <c r="AB1111" s="79" t="str">
        <f>IF(AND(OR(LEFT(TH!N1111,2)="15",LEFT(TH!O1111,2)="15"),LEFT(TH!O1111,3)&lt;&gt;"111",'152-CT'!$J$8=TH!F1111),"x","")</f>
        <v/>
      </c>
      <c r="AC1111" s="79" t="str">
        <f>IF(AND(OR(LEFT(TH!N1111,2)="15",LEFT(TH!O1111,2)="15"),TK!$E$7=TH!F1111),"x","")</f>
        <v/>
      </c>
      <c r="AD1111" s="79" t="str">
        <f>IF(AND(N1111="1521",MONTH(C1111)='BK-NL'!$M$11),"x","")</f>
        <v/>
      </c>
    </row>
    <row r="1112" spans="1:30" ht="16.5" customHeight="1">
      <c r="A1112" s="318" t="str">
        <f>IF(B1112&lt;&gt;"",IF(AND(B1112='IN-TC'!$S$4,OR(TH!N1112="1111",TH!O1112="1111")),TH!D1112,""),"")</f>
        <v/>
      </c>
      <c r="B1112" s="60" t="str">
        <f t="shared" ref="B1112:B1113" si="190">IF(C1112&lt;&gt;"",MONTH(C1112),"")</f>
        <v/>
      </c>
      <c r="C1112" s="261"/>
      <c r="D1112" s="261"/>
      <c r="E1112" s="261"/>
      <c r="F1112" s="1103"/>
      <c r="G1112" s="1104"/>
      <c r="H1112" s="759"/>
      <c r="I1112" s="383"/>
      <c r="J1112" s="383"/>
      <c r="K1112" s="383"/>
      <c r="L1112" s="390"/>
      <c r="M1112" s="1248"/>
      <c r="N1112" s="1019"/>
      <c r="O1112" s="1019"/>
      <c r="P1112" s="79" t="str">
        <f>IF(AND('331-CT'!$E$7=TH!H1112,OR(N1112="331",O1112="331")),"x","")</f>
        <v/>
      </c>
      <c r="Q1112" s="79" t="str">
        <f>IF(AND(B1112='111'!$L$11,OR($N1112=$Q$7,$O1112=$Q$7)),"x","")</f>
        <v/>
      </c>
      <c r="R1112" s="79" t="str">
        <f>IF(AND($N1112=$Q$7,$B1112&lt;'111'!$L$11),"x","")</f>
        <v/>
      </c>
      <c r="S1112" s="79" t="str">
        <f>IF(AND($O1112=$Q$7,$B1112&lt;'111'!$L$11),"x","")</f>
        <v/>
      </c>
      <c r="T1112" s="79" t="str">
        <f>IF(ISERROR(FIND('112'!$M$9,G1112,1)),"",IF((AND(FIND('112'!$M$9,G1112,1)&gt;=1,B1112='112'!$K$9,OR($N1112='112'!$I$6,$O1112='112'!$I$6))),"x",""))</f>
        <v/>
      </c>
      <c r="U1112" s="79" t="str">
        <f>IF(ISERROR(FIND('112'!$M$9,G1112,1)),"",IF((AND(LEFT(G1112,2)=LEFT('112'!$M$9,2),B1112&lt;'112'!$K$9,$N1112='112'!$I$6)),"x",""))</f>
        <v/>
      </c>
      <c r="V1112" s="79" t="str">
        <f>IF(ISERROR(FIND('112'!$M$9,G1112,1)),"",IF((AND(RIGHT(G1112,2)=RIGHT('112'!$M$9,2),B1112&lt;'112'!$K$9,$O1112='112'!$I$6)),"x",""))</f>
        <v/>
      </c>
      <c r="W1112" s="79" t="str">
        <f>IF(AND('341-CT'!$H$9=H1112,OR(LEFT(N1112,3)=$W$7,LEFT(O1112,3)=$W$7)),"x","")</f>
        <v/>
      </c>
      <c r="X1112" s="79" t="str">
        <f>IF(OR(TH!N1112=TH!$X$7,O1112=TH!$X$7),"x","")</f>
        <v/>
      </c>
      <c r="Y1112" s="79" t="str">
        <f>IF(AND(OR(N1112="131",O1112="131"),H1112='131-CT'!$H$9),"x","")</f>
        <v/>
      </c>
      <c r="Z1112" s="79"/>
      <c r="AA1112" s="79" t="str">
        <f>IF(AND(MONTH(E1112)='IN-NX'!$J$5,'IN-NX'!$D$7=D1112),"x","")</f>
        <v/>
      </c>
      <c r="AB1112" s="79" t="str">
        <f>IF(AND(OR(LEFT(TH!N1112,2)="15",LEFT(TH!O1112,2)="15"),LEFT(TH!O1112,3)&lt;&gt;"111",'152-CT'!$J$8=TH!F1112),"x","")</f>
        <v/>
      </c>
      <c r="AC1112" s="79" t="str">
        <f>IF(AND(OR(LEFT(TH!N1112,2)="15",LEFT(TH!O1112,2)="15"),TK!$E$7=TH!F1112),"x","")</f>
        <v/>
      </c>
      <c r="AD1112" s="79" t="str">
        <f>IF(AND(N1112="1521",MONTH(C1112)='BK-NL'!$M$11),"x","")</f>
        <v/>
      </c>
    </row>
    <row r="1113" spans="1:30" ht="16.5" customHeight="1">
      <c r="A1113" s="318" t="str">
        <f>IF(B1113&lt;&gt;"",IF(AND(B1113='IN-TC'!$S$4,OR(TH!N1113="1111",TH!O1113="1111")),TH!D1113,""),"")</f>
        <v/>
      </c>
      <c r="B1113" s="60" t="str">
        <f t="shared" si="190"/>
        <v/>
      </c>
      <c r="C1113" s="261"/>
      <c r="D1113" s="261"/>
      <c r="E1113" s="261"/>
      <c r="F1113" s="1103"/>
      <c r="G1113" s="1104"/>
      <c r="H1113" s="759"/>
      <c r="I1113" s="383"/>
      <c r="J1113" s="383"/>
      <c r="K1113" s="383"/>
      <c r="L1113" s="390"/>
      <c r="M1113" s="978"/>
      <c r="N1113" s="1019"/>
      <c r="O1113" s="1019"/>
      <c r="P1113" s="79" t="str">
        <f>IF(AND('331-CT'!$E$7=TH!H1113,OR(N1113="331",O1113="331")),"x","")</f>
        <v/>
      </c>
      <c r="Q1113" s="79" t="str">
        <f>IF(AND(B1113='111'!$L$11,OR($N1113=$Q$7,$O1113=$Q$7)),"x","")</f>
        <v/>
      </c>
      <c r="R1113" s="79" t="str">
        <f>IF(AND($N1113=$Q$7,$B1113&lt;'111'!$L$11),"x","")</f>
        <v/>
      </c>
      <c r="S1113" s="79" t="str">
        <f>IF(AND($O1113=$Q$7,$B1113&lt;'111'!$L$11),"x","")</f>
        <v/>
      </c>
      <c r="T1113" s="79" t="str">
        <f>IF(ISERROR(FIND('112'!$M$9,G1113,1)),"",IF((AND(FIND('112'!$M$9,G1113,1)&gt;=1,B1113='112'!$K$9,OR($N1113='112'!$I$6,$O1113='112'!$I$6))),"x",""))</f>
        <v/>
      </c>
      <c r="U1113" s="79" t="str">
        <f>IF(ISERROR(FIND('112'!$M$9,G1113,1)),"",IF((AND(LEFT(G1113,2)=LEFT('112'!$M$9,2),B1113&lt;'112'!$K$9,$N1113='112'!$I$6)),"x",""))</f>
        <v/>
      </c>
      <c r="V1113" s="79" t="str">
        <f>IF(ISERROR(FIND('112'!$M$9,G1113,1)),"",IF((AND(RIGHT(G1113,2)=RIGHT('112'!$M$9,2),B1113&lt;'112'!$K$9,$O1113='112'!$I$6)),"x",""))</f>
        <v/>
      </c>
      <c r="W1113" s="79" t="str">
        <f>IF(AND('341-CT'!$H$9=H1113,OR(LEFT(N1113,3)=$W$7,LEFT(O1113,3)=$W$7)),"x","")</f>
        <v/>
      </c>
      <c r="X1113" s="79" t="str">
        <f>IF(OR(TH!N1113=TH!$X$7,O1113=TH!$X$7),"x","")</f>
        <v/>
      </c>
      <c r="Y1113" s="79" t="str">
        <f>IF(AND(OR(N1113="131",O1113="131"),H1113='131-CT'!$H$9),"x","")</f>
        <v/>
      </c>
      <c r="Z1113" s="79"/>
      <c r="AA1113" s="79" t="str">
        <f>IF(AND(MONTH(E1113)='IN-NX'!$J$5,'IN-NX'!$D$7=D1113),"x","")</f>
        <v/>
      </c>
      <c r="AB1113" s="79" t="str">
        <f>IF(AND(OR(LEFT(TH!N1113,2)="15",LEFT(TH!O1113,2)="15"),LEFT(TH!O1113,3)&lt;&gt;"111",'152-CT'!$J$8=TH!F1113),"x","")</f>
        <v/>
      </c>
      <c r="AC1113" s="79" t="str">
        <f>IF(AND(OR(LEFT(TH!N1113,2)="15",LEFT(TH!O1113,2)="15"),TK!$E$7=TH!F1113),"x","")</f>
        <v/>
      </c>
      <c r="AD1113" s="79" t="str">
        <f>IF(AND(N1113="1521",MONTH(C1113)='BK-NL'!$M$11),"x","")</f>
        <v/>
      </c>
    </row>
    <row r="1114" spans="1:30" s="1102" customFormat="1" ht="16.5" customHeight="1">
      <c r="A1114" s="318" t="str">
        <f>IF(B1114&lt;&gt;"",IF(AND(B1114='IN-TC'!$S$4,OR(TH!N1114="1111",TH!O1114="1111")),TH!D1114,""),"")</f>
        <v/>
      </c>
      <c r="B1114" s="60" t="str">
        <f t="shared" ref="B1114:B1117" si="191">IF(C1114&lt;&gt;"",MONTH(C1114),"")</f>
        <v/>
      </c>
      <c r="C1114" s="981"/>
      <c r="D1114" s="981"/>
      <c r="E1114" s="981"/>
      <c r="F1114" s="1008"/>
      <c r="G1114" s="987"/>
      <c r="H1114" s="85"/>
      <c r="I1114" s="984"/>
      <c r="J1114" s="983"/>
      <c r="K1114" s="984"/>
      <c r="L1114" s="983"/>
      <c r="M1114" s="985"/>
      <c r="N1114" s="986"/>
      <c r="O1114" s="986"/>
      <c r="P1114" s="79" t="str">
        <f>IF(AND('331-CT'!$E$7=TH!H1114,OR(N1114="331",O1114="331")),"x","")</f>
        <v/>
      </c>
      <c r="Q1114" s="79" t="str">
        <f>IF(AND(B1114='111'!$L$11,OR($N1114=$Q$7,$O1114=$Q$7)),"x","")</f>
        <v/>
      </c>
      <c r="R1114" s="79" t="str">
        <f>IF(AND($N1114=$Q$7,$B1114&lt;'111'!$L$11),"x","")</f>
        <v/>
      </c>
      <c r="S1114" s="79" t="str">
        <f>IF(AND($O1114=$Q$7,$B1114&lt;'111'!$L$11),"x","")</f>
        <v/>
      </c>
      <c r="T1114" s="79" t="str">
        <f>IF(ISERROR(FIND('112'!$M$9,G1114,1)),"",IF((AND(FIND('112'!$M$9,G1114,1)&gt;=1,B1114='112'!$K$9,OR($N1114='112'!$I$6,$O1114='112'!$I$6))),"x",""))</f>
        <v/>
      </c>
      <c r="U1114" s="79" t="str">
        <f>IF(ISERROR(FIND('112'!$M$9,G1114,1)),"",IF((AND(LEFT(G1114,2)=LEFT('112'!$M$9,2),B1114&lt;'112'!$K$9,$N1114='112'!$I$6)),"x",""))</f>
        <v/>
      </c>
      <c r="V1114" s="79" t="str">
        <f>IF(ISERROR(FIND('112'!$M$9,G1114,1)),"",IF((AND(RIGHT(G1114,2)=RIGHT('112'!$M$9,2),B1114&lt;'112'!$K$9,$O1114='112'!$I$6)),"x",""))</f>
        <v/>
      </c>
      <c r="W1114" s="79" t="str">
        <f>IF(AND('341-CT'!$H$9=H1114,OR(LEFT(N1114,3)=$W$7,LEFT(O1114,3)=$W$7)),"x","")</f>
        <v/>
      </c>
      <c r="X1114" s="79" t="str">
        <f>IF(OR(TH!N1114=TH!$X$7,O1114=TH!$X$7),"x","")</f>
        <v/>
      </c>
      <c r="Y1114" s="79" t="str">
        <f>IF(AND(OR(N1114="131",O1114="131"),H1114='131-CT'!$H$9),"x","")</f>
        <v/>
      </c>
      <c r="Z1114" s="79"/>
      <c r="AA1114" s="79" t="str">
        <f>IF(AND(MONTH(E1114)='IN-NX'!$J$5,'IN-NX'!$D$7=D1114),"x","")</f>
        <v/>
      </c>
      <c r="AB1114" s="79" t="str">
        <f>IF(AND(OR(LEFT(TH!N1114,2)="15",LEFT(TH!O1114,2)="15"),LEFT(TH!O1114,3)&lt;&gt;"111",'152-CT'!$J$8=TH!F1114),"x","")</f>
        <v/>
      </c>
      <c r="AC1114" s="79" t="str">
        <f>IF(AND(OR(LEFT(TH!N1114,2)="15",LEFT(TH!O1114,2)="15"),TK!$E$7=TH!F1114),"x","")</f>
        <v/>
      </c>
      <c r="AD1114" s="79" t="str">
        <f>IF(AND(N1114="1521",MONTH(C1114)='BK-NL'!$M$11),"x","")</f>
        <v/>
      </c>
    </row>
    <row r="1115" spans="1:30" s="1102" customFormat="1" ht="16.5" customHeight="1">
      <c r="A1115" s="318" t="str">
        <f>IF(B1115&lt;&gt;"",IF(AND(B1115='IN-TC'!$S$4,OR(TH!N1115="1111",TH!O1115="1111")),TH!D1115,""),"")</f>
        <v/>
      </c>
      <c r="B1115" s="60" t="str">
        <f t="shared" si="191"/>
        <v/>
      </c>
      <c r="C1115" s="981"/>
      <c r="D1115" s="981"/>
      <c r="E1115" s="981"/>
      <c r="F1115" s="1008"/>
      <c r="G1115" s="987"/>
      <c r="H1115" s="85"/>
      <c r="I1115" s="984"/>
      <c r="J1115" s="983"/>
      <c r="K1115" s="984"/>
      <c r="L1115" s="983"/>
      <c r="M1115" s="985"/>
      <c r="N1115" s="986"/>
      <c r="O1115" s="986"/>
      <c r="P1115" s="79" t="str">
        <f>IF(AND('331-CT'!$E$7=TH!H1115,OR(N1115="331",O1115="331")),"x","")</f>
        <v/>
      </c>
      <c r="Q1115" s="79" t="str">
        <f>IF(AND(B1115='111'!$L$11,OR($N1115=$Q$7,$O1115=$Q$7)),"x","")</f>
        <v/>
      </c>
      <c r="R1115" s="79" t="str">
        <f>IF(AND($N1115=$Q$7,$B1115&lt;'111'!$L$11),"x","")</f>
        <v/>
      </c>
      <c r="S1115" s="79" t="str">
        <f>IF(AND($O1115=$Q$7,$B1115&lt;'111'!$L$11),"x","")</f>
        <v/>
      </c>
      <c r="T1115" s="79" t="str">
        <f>IF(ISERROR(FIND('112'!$M$9,G1115,1)),"",IF((AND(FIND('112'!$M$9,G1115,1)&gt;=1,B1115='112'!$K$9,OR($N1115='112'!$I$6,$O1115='112'!$I$6))),"x",""))</f>
        <v/>
      </c>
      <c r="U1115" s="79" t="str">
        <f>IF(ISERROR(FIND('112'!$M$9,G1115,1)),"",IF((AND(LEFT(G1115,2)=LEFT('112'!$M$9,2),B1115&lt;'112'!$K$9,$N1115='112'!$I$6)),"x",""))</f>
        <v/>
      </c>
      <c r="V1115" s="79" t="str">
        <f>IF(ISERROR(FIND('112'!$M$9,G1115,1)),"",IF((AND(RIGHT(G1115,2)=RIGHT('112'!$M$9,2),B1115&lt;'112'!$K$9,$O1115='112'!$I$6)),"x",""))</f>
        <v/>
      </c>
      <c r="W1115" s="79" t="str">
        <f>IF(AND('341-CT'!$H$9=H1115,OR(LEFT(N1115,3)=$W$7,LEFT(O1115,3)=$W$7)),"x","")</f>
        <v/>
      </c>
      <c r="X1115" s="79" t="str">
        <f>IF(OR(TH!N1115=TH!$X$7,O1115=TH!$X$7),"x","")</f>
        <v/>
      </c>
      <c r="Y1115" s="79" t="str">
        <f>IF(AND(OR(N1115="131",O1115="131"),H1115='131-CT'!$H$9),"x","")</f>
        <v/>
      </c>
      <c r="Z1115" s="79"/>
      <c r="AA1115" s="79" t="str">
        <f>IF(AND(MONTH(E1115)='IN-NX'!$J$5,'IN-NX'!$D$7=D1115),"x","")</f>
        <v/>
      </c>
      <c r="AB1115" s="79" t="str">
        <f>IF(AND(OR(LEFT(TH!N1115,2)="15",LEFT(TH!O1115,2)="15"),LEFT(TH!O1115,3)&lt;&gt;"111",'152-CT'!$J$8=TH!F1115),"x","")</f>
        <v/>
      </c>
      <c r="AC1115" s="79" t="str">
        <f>IF(AND(OR(LEFT(TH!N1115,2)="15",LEFT(TH!O1115,2)="15"),TK!$E$7=TH!F1115),"x","")</f>
        <v/>
      </c>
      <c r="AD1115" s="79" t="str">
        <f>IF(AND(N1115="1521",MONTH(C1115)='BK-NL'!$M$11),"x","")</f>
        <v/>
      </c>
    </row>
    <row r="1116" spans="1:30" s="1102" customFormat="1" ht="16.5" customHeight="1">
      <c r="A1116" s="318" t="str">
        <f>IF(B1116&lt;&gt;"",IF(AND(B1116='IN-TC'!$S$4,OR(TH!N1116="1111",TH!O1116="1111")),TH!D1116,""),"")</f>
        <v/>
      </c>
      <c r="B1116" s="60" t="str">
        <f t="shared" si="191"/>
        <v/>
      </c>
      <c r="C1116" s="981"/>
      <c r="D1116" s="981"/>
      <c r="E1116" s="981"/>
      <c r="F1116" s="1008"/>
      <c r="G1116" s="987"/>
      <c r="H1116" s="85"/>
      <c r="I1116" s="984"/>
      <c r="J1116" s="983"/>
      <c r="K1116" s="984"/>
      <c r="L1116" s="983"/>
      <c r="M1116" s="985"/>
      <c r="N1116" s="986"/>
      <c r="O1116" s="986"/>
      <c r="P1116" s="79" t="str">
        <f>IF(AND('331-CT'!$E$7=TH!H1116,OR(N1116="331",O1116="331")),"x","")</f>
        <v/>
      </c>
      <c r="Q1116" s="79" t="str">
        <f>IF(AND(B1116='111'!$L$11,OR($N1116=$Q$7,$O1116=$Q$7)),"x","")</f>
        <v/>
      </c>
      <c r="R1116" s="79" t="str">
        <f>IF(AND($N1116=$Q$7,$B1116&lt;'111'!$L$11),"x","")</f>
        <v/>
      </c>
      <c r="S1116" s="79" t="str">
        <f>IF(AND($O1116=$Q$7,$B1116&lt;'111'!$L$11),"x","")</f>
        <v/>
      </c>
      <c r="T1116" s="79" t="str">
        <f>IF(ISERROR(FIND('112'!$M$9,G1116,1)),"",IF((AND(FIND('112'!$M$9,G1116,1)&gt;=1,B1116='112'!$K$9,OR($N1116='112'!$I$6,$O1116='112'!$I$6))),"x",""))</f>
        <v/>
      </c>
      <c r="U1116" s="79" t="str">
        <f>IF(ISERROR(FIND('112'!$M$9,G1116,1)),"",IF((AND(LEFT(G1116,2)=LEFT('112'!$M$9,2),B1116&lt;'112'!$K$9,$N1116='112'!$I$6)),"x",""))</f>
        <v/>
      </c>
      <c r="V1116" s="79" t="str">
        <f>IF(ISERROR(FIND('112'!$M$9,G1116,1)),"",IF((AND(RIGHT(G1116,2)=RIGHT('112'!$M$9,2),B1116&lt;'112'!$K$9,$O1116='112'!$I$6)),"x",""))</f>
        <v/>
      </c>
      <c r="W1116" s="79" t="str">
        <f>IF(AND('341-CT'!$H$9=H1116,OR(LEFT(N1116,3)=$W$7,LEFT(O1116,3)=$W$7)),"x","")</f>
        <v/>
      </c>
      <c r="X1116" s="79" t="str">
        <f>IF(OR(TH!N1116=TH!$X$7,O1116=TH!$X$7),"x","")</f>
        <v/>
      </c>
      <c r="Y1116" s="79" t="str">
        <f>IF(AND(OR(N1116="131",O1116="131"),H1116='131-CT'!$H$9),"x","")</f>
        <v/>
      </c>
      <c r="Z1116" s="79"/>
      <c r="AA1116" s="79" t="str">
        <f>IF(AND(MONTH(E1116)='IN-NX'!$J$5,'IN-NX'!$D$7=D1116),"x","")</f>
        <v/>
      </c>
      <c r="AB1116" s="79" t="str">
        <f>IF(AND(OR(LEFT(TH!N1116,2)="15",LEFT(TH!O1116,2)="15"),LEFT(TH!O1116,3)&lt;&gt;"111",'152-CT'!$J$8=TH!F1116),"x","")</f>
        <v/>
      </c>
      <c r="AC1116" s="79" t="str">
        <f>IF(AND(OR(LEFT(TH!N1116,2)="15",LEFT(TH!O1116,2)="15"),TK!$E$7=TH!F1116),"x","")</f>
        <v/>
      </c>
      <c r="AD1116" s="79" t="str">
        <f>IF(AND(N1116="1521",MONTH(C1116)='BK-NL'!$M$11),"x","")</f>
        <v/>
      </c>
    </row>
    <row r="1117" spans="1:30" s="1102" customFormat="1" ht="16.5" customHeight="1">
      <c r="A1117" s="318" t="str">
        <f>IF(B1117&lt;&gt;"",IF(AND(B1117='IN-TC'!$S$4,OR(TH!N1117="1111",TH!O1117="1111")),TH!D1117,""),"")</f>
        <v/>
      </c>
      <c r="B1117" s="60" t="str">
        <f t="shared" si="191"/>
        <v/>
      </c>
      <c r="C1117" s="981"/>
      <c r="D1117" s="981"/>
      <c r="E1117" s="981"/>
      <c r="F1117" s="1008"/>
      <c r="G1117" s="987"/>
      <c r="H1117" s="85"/>
      <c r="I1117" s="984"/>
      <c r="J1117" s="983"/>
      <c r="K1117" s="984"/>
      <c r="L1117" s="983"/>
      <c r="M1117" s="985"/>
      <c r="N1117" s="986"/>
      <c r="O1117" s="986"/>
      <c r="P1117" s="79" t="str">
        <f>IF(AND('331-CT'!$E$7=TH!H1117,OR(N1117="331",O1117="331")),"x","")</f>
        <v/>
      </c>
      <c r="Q1117" s="79" t="str">
        <f>IF(AND(B1117='111'!$L$11,OR($N1117=$Q$7,$O1117=$Q$7)),"x","")</f>
        <v/>
      </c>
      <c r="R1117" s="79" t="str">
        <f>IF(AND($N1117=$Q$7,$B1117&lt;'111'!$L$11),"x","")</f>
        <v/>
      </c>
      <c r="S1117" s="79" t="str">
        <f>IF(AND($O1117=$Q$7,$B1117&lt;'111'!$L$11),"x","")</f>
        <v/>
      </c>
      <c r="T1117" s="79" t="str">
        <f>IF(ISERROR(FIND('112'!$M$9,G1117,1)),"",IF((AND(FIND('112'!$M$9,G1117,1)&gt;=1,B1117='112'!$K$9,OR($N1117='112'!$I$6,$O1117='112'!$I$6))),"x",""))</f>
        <v/>
      </c>
      <c r="U1117" s="79" t="str">
        <f>IF(ISERROR(FIND('112'!$M$9,G1117,1)),"",IF((AND(LEFT(G1117,2)=LEFT('112'!$M$9,2),B1117&lt;'112'!$K$9,$N1117='112'!$I$6)),"x",""))</f>
        <v/>
      </c>
      <c r="V1117" s="79" t="str">
        <f>IF(ISERROR(FIND('112'!$M$9,G1117,1)),"",IF((AND(RIGHT(G1117,2)=RIGHT('112'!$M$9,2),B1117&lt;'112'!$K$9,$O1117='112'!$I$6)),"x",""))</f>
        <v/>
      </c>
      <c r="W1117" s="79" t="str">
        <f>IF(AND('341-CT'!$H$9=H1117,OR(LEFT(N1117,3)=$W$7,LEFT(O1117,3)=$W$7)),"x","")</f>
        <v/>
      </c>
      <c r="X1117" s="79" t="str">
        <f>IF(OR(TH!N1117=TH!$X$7,O1117=TH!$X$7),"x","")</f>
        <v/>
      </c>
      <c r="Y1117" s="79" t="str">
        <f>IF(AND(OR(N1117="131",O1117="131"),H1117='131-CT'!$H$9),"x","")</f>
        <v/>
      </c>
      <c r="Z1117" s="79"/>
      <c r="AA1117" s="79" t="str">
        <f>IF(AND(MONTH(E1117)='IN-NX'!$J$5,'IN-NX'!$D$7=D1117),"x","")</f>
        <v/>
      </c>
      <c r="AB1117" s="79" t="str">
        <f>IF(AND(OR(LEFT(TH!N1117,2)="15",LEFT(TH!O1117,2)="15"),LEFT(TH!O1117,3)&lt;&gt;"111",'152-CT'!$J$8=TH!F1117),"x","")</f>
        <v/>
      </c>
      <c r="AC1117" s="79" t="str">
        <f>IF(AND(OR(LEFT(TH!N1117,2)="15",LEFT(TH!O1117,2)="15"),TK!$E$7=TH!F1117),"x","")</f>
        <v/>
      </c>
      <c r="AD1117" s="79" t="str">
        <f>IF(AND(N1117="1521",MONTH(C1117)='BK-NL'!$M$11),"x","")</f>
        <v/>
      </c>
    </row>
    <row r="1118" spans="1:30" s="1102" customFormat="1" ht="16.5" customHeight="1">
      <c r="A1118" s="318" t="str">
        <f>IF(B1118&lt;&gt;"",IF(AND(B1118='IN-TC'!$S$4,OR(TH!N1118="1111",TH!O1118="1111")),TH!D1118,""),"")</f>
        <v/>
      </c>
      <c r="B1118" s="60" t="str">
        <f t="shared" ref="B1118:B1139" si="192">IF(C1118&lt;&gt;"",MONTH(C1118),"")</f>
        <v/>
      </c>
      <c r="C1118" s="981"/>
      <c r="D1118" s="981"/>
      <c r="E1118" s="981"/>
      <c r="F1118" s="1008"/>
      <c r="G1118" s="987"/>
      <c r="H1118" s="85"/>
      <c r="I1118" s="984"/>
      <c r="J1118" s="983"/>
      <c r="K1118" s="984"/>
      <c r="L1118" s="983"/>
      <c r="M1118" s="985"/>
      <c r="N1118" s="986"/>
      <c r="O1118" s="986"/>
      <c r="P1118" s="79" t="str">
        <f>IF(AND('331-CT'!$E$7=TH!H1118,OR(N1118="331",O1118="331")),"x","")</f>
        <v/>
      </c>
      <c r="Q1118" s="79" t="str">
        <f>IF(AND(B1118='111'!$L$11,OR($N1118=$Q$7,$O1118=$Q$7)),"x","")</f>
        <v/>
      </c>
      <c r="R1118" s="79" t="str">
        <f>IF(AND($N1118=$Q$7,$B1118&lt;'111'!$L$11),"x","")</f>
        <v/>
      </c>
      <c r="S1118" s="79" t="str">
        <f>IF(AND($O1118=$Q$7,$B1118&lt;'111'!$L$11),"x","")</f>
        <v/>
      </c>
      <c r="T1118" s="79" t="str">
        <f>IF(ISERROR(FIND('112'!$M$9,G1118,1)),"",IF((AND(FIND('112'!$M$9,G1118,1)&gt;=1,B1118='112'!$K$9,OR($N1118='112'!$I$6,$O1118='112'!$I$6))),"x",""))</f>
        <v/>
      </c>
      <c r="U1118" s="79" t="str">
        <f>IF(ISERROR(FIND('112'!$M$9,G1118,1)),"",IF((AND(LEFT(G1118,2)=LEFT('112'!$M$9,2),B1118&lt;'112'!$K$9,$N1118='112'!$I$6)),"x",""))</f>
        <v/>
      </c>
      <c r="V1118" s="79" t="str">
        <f>IF(ISERROR(FIND('112'!$M$9,G1118,1)),"",IF((AND(RIGHT(G1118,2)=RIGHT('112'!$M$9,2),B1118&lt;'112'!$K$9,$O1118='112'!$I$6)),"x",""))</f>
        <v/>
      </c>
      <c r="W1118" s="79" t="str">
        <f>IF(AND('341-CT'!$H$9=H1118,OR(LEFT(N1118,3)=$W$7,LEFT(O1118,3)=$W$7)),"x","")</f>
        <v/>
      </c>
      <c r="X1118" s="79" t="str">
        <f>IF(OR(TH!N1118=TH!$X$7,O1118=TH!$X$7),"x","")</f>
        <v/>
      </c>
      <c r="Y1118" s="79" t="str">
        <f>IF(AND(OR(N1118="131",O1118="131"),H1118='131-CT'!$H$9),"x","")</f>
        <v/>
      </c>
      <c r="Z1118" s="79"/>
      <c r="AA1118" s="79" t="str">
        <f>IF(AND(MONTH(E1118)='IN-NX'!$J$5,'IN-NX'!$D$7=D1118),"x","")</f>
        <v/>
      </c>
      <c r="AB1118" s="79" t="str">
        <f>IF(AND(OR(LEFT(TH!N1118,2)="15",LEFT(TH!O1118,2)="15"),LEFT(TH!O1118,3)&lt;&gt;"111",'152-CT'!$J$8=TH!F1118),"x","")</f>
        <v/>
      </c>
      <c r="AC1118" s="79" t="str">
        <f>IF(AND(OR(LEFT(TH!N1118,2)="15",LEFT(TH!O1118,2)="15"),TK!$E$7=TH!F1118),"x","")</f>
        <v/>
      </c>
      <c r="AD1118" s="79" t="str">
        <f>IF(AND(N1118="1521",MONTH(C1118)='BK-NL'!$M$11),"x","")</f>
        <v/>
      </c>
    </row>
    <row r="1119" spans="1:30" s="1102" customFormat="1" ht="16.5" customHeight="1">
      <c r="A1119" s="318" t="str">
        <f>IF(B1119&lt;&gt;"",IF(AND(B1119='IN-TC'!$S$4,OR(TH!N1119="1111",TH!O1119="1111")),TH!D1119,""),"")</f>
        <v/>
      </c>
      <c r="B1119" s="60" t="str">
        <f t="shared" si="192"/>
        <v/>
      </c>
      <c r="C1119" s="981"/>
      <c r="D1119" s="981"/>
      <c r="E1119" s="981"/>
      <c r="F1119" s="1008"/>
      <c r="G1119" s="987"/>
      <c r="H1119" s="85"/>
      <c r="I1119" s="984"/>
      <c r="J1119" s="983"/>
      <c r="K1119" s="984"/>
      <c r="L1119" s="983"/>
      <c r="M1119" s="985"/>
      <c r="N1119" s="986"/>
      <c r="O1119" s="986"/>
      <c r="P1119" s="79" t="str">
        <f>IF(AND('331-CT'!$E$7=TH!H1119,OR(N1119="331",O1119="331")),"x","")</f>
        <v/>
      </c>
      <c r="Q1119" s="79" t="str">
        <f>IF(AND(B1119='111'!$L$11,OR($N1119=$Q$7,$O1119=$Q$7)),"x","")</f>
        <v/>
      </c>
      <c r="R1119" s="79" t="str">
        <f>IF(AND($N1119=$Q$7,$B1119&lt;'111'!$L$11),"x","")</f>
        <v/>
      </c>
      <c r="S1119" s="79" t="str">
        <f>IF(AND($O1119=$Q$7,$B1119&lt;'111'!$L$11),"x","")</f>
        <v/>
      </c>
      <c r="T1119" s="79" t="str">
        <f>IF(ISERROR(FIND('112'!$M$9,G1119,1)),"",IF((AND(FIND('112'!$M$9,G1119,1)&gt;=1,B1119='112'!$K$9,OR($N1119='112'!$I$6,$O1119='112'!$I$6))),"x",""))</f>
        <v/>
      </c>
      <c r="U1119" s="79" t="str">
        <f>IF(ISERROR(FIND('112'!$M$9,G1119,1)),"",IF((AND(LEFT(G1119,2)=LEFT('112'!$M$9,2),B1119&lt;'112'!$K$9,$N1119='112'!$I$6)),"x",""))</f>
        <v/>
      </c>
      <c r="V1119" s="79" t="str">
        <f>IF(ISERROR(FIND('112'!$M$9,G1119,1)),"",IF((AND(RIGHT(G1119,2)=RIGHT('112'!$M$9,2),B1119&lt;'112'!$K$9,$O1119='112'!$I$6)),"x",""))</f>
        <v/>
      </c>
      <c r="W1119" s="79" t="str">
        <f>IF(AND('341-CT'!$H$9=H1119,OR(LEFT(N1119,3)=$W$7,LEFT(O1119,3)=$W$7)),"x","")</f>
        <v/>
      </c>
      <c r="X1119" s="79" t="str">
        <f>IF(OR(TH!N1119=TH!$X$7,O1119=TH!$X$7),"x","")</f>
        <v/>
      </c>
      <c r="Y1119" s="79" t="str">
        <f>IF(AND(OR(N1119="131",O1119="131"),H1119='131-CT'!$H$9),"x","")</f>
        <v/>
      </c>
      <c r="Z1119" s="79"/>
      <c r="AA1119" s="79" t="str">
        <f>IF(AND(MONTH(E1119)='IN-NX'!$J$5,'IN-NX'!$D$7=D1119),"x","")</f>
        <v/>
      </c>
      <c r="AB1119" s="79" t="str">
        <f>IF(AND(OR(LEFT(TH!N1119,2)="15",LEFT(TH!O1119,2)="15"),LEFT(TH!O1119,3)&lt;&gt;"111",'152-CT'!$J$8=TH!F1119),"x","")</f>
        <v/>
      </c>
      <c r="AC1119" s="79" t="str">
        <f>IF(AND(OR(LEFT(TH!N1119,2)="15",LEFT(TH!O1119,2)="15"),TK!$E$7=TH!F1119),"x","")</f>
        <v/>
      </c>
      <c r="AD1119" s="79" t="str">
        <f>IF(AND(N1119="1521",MONTH(C1119)='BK-NL'!$M$11),"x","")</f>
        <v/>
      </c>
    </row>
    <row r="1120" spans="1:30" s="1102" customFormat="1" ht="16.5" customHeight="1">
      <c r="A1120" s="318" t="str">
        <f>IF(B1120&lt;&gt;"",IF(AND(B1120='IN-TC'!$S$4,OR(TH!N1120="1111",TH!O1120="1111")),TH!D1120,""),"")</f>
        <v/>
      </c>
      <c r="B1120" s="60" t="str">
        <f t="shared" si="192"/>
        <v/>
      </c>
      <c r="C1120" s="981"/>
      <c r="D1120" s="981"/>
      <c r="E1120" s="981"/>
      <c r="F1120" s="1008"/>
      <c r="G1120" s="987"/>
      <c r="H1120" s="85"/>
      <c r="I1120" s="984"/>
      <c r="J1120" s="984"/>
      <c r="K1120" s="984"/>
      <c r="L1120" s="983"/>
      <c r="M1120" s="985"/>
      <c r="N1120" s="986"/>
      <c r="O1120" s="986"/>
      <c r="P1120" s="79" t="str">
        <f>IF(AND('331-CT'!$E$7=TH!H1120,OR(N1120="331",O1120="331")),"x","")</f>
        <v/>
      </c>
      <c r="Q1120" s="79" t="str">
        <f>IF(AND(B1120='111'!$L$11,OR($N1120=$Q$7,$O1120=$Q$7)),"x","")</f>
        <v/>
      </c>
      <c r="R1120" s="79" t="str">
        <f>IF(AND($N1120=$Q$7,$B1120&lt;'111'!$L$11),"x","")</f>
        <v/>
      </c>
      <c r="S1120" s="79" t="str">
        <f>IF(AND($O1120=$Q$7,$B1120&lt;'111'!$L$11),"x","")</f>
        <v/>
      </c>
      <c r="T1120" s="79" t="str">
        <f>IF(ISERROR(FIND('112'!$M$9,G1120,1)),"",IF((AND(FIND('112'!$M$9,G1120,1)&gt;=1,B1120='112'!$K$9,OR($N1120='112'!$I$6,$O1120='112'!$I$6))),"x",""))</f>
        <v/>
      </c>
      <c r="U1120" s="79" t="str">
        <f>IF(ISERROR(FIND('112'!$M$9,G1120,1)),"",IF((AND(LEFT(G1120,2)=LEFT('112'!$M$9,2),B1120&lt;'112'!$K$9,$N1120='112'!$I$6)),"x",""))</f>
        <v/>
      </c>
      <c r="V1120" s="79" t="str">
        <f>IF(ISERROR(FIND('112'!$M$9,G1120,1)),"",IF((AND(RIGHT(G1120,2)=RIGHT('112'!$M$9,2),B1120&lt;'112'!$K$9,$O1120='112'!$I$6)),"x",""))</f>
        <v/>
      </c>
      <c r="W1120" s="79" t="str">
        <f>IF(AND('341-CT'!$H$9=H1120,OR(LEFT(N1120,3)=$W$7,LEFT(O1120,3)=$W$7)),"x","")</f>
        <v/>
      </c>
      <c r="X1120" s="79" t="str">
        <f>IF(OR(TH!N1120=TH!$X$7,O1120=TH!$X$7),"x","")</f>
        <v/>
      </c>
      <c r="Y1120" s="79" t="str">
        <f>IF(AND(OR(N1120="131",O1120="131"),H1120='131-CT'!$H$9),"x","")</f>
        <v/>
      </c>
      <c r="Z1120" s="79"/>
      <c r="AA1120" s="79" t="str">
        <f>IF(AND(MONTH(E1120)='IN-NX'!$J$5,'IN-NX'!$D$7=D1120),"x","")</f>
        <v/>
      </c>
      <c r="AB1120" s="79" t="str">
        <f>IF(AND(OR(LEFT(TH!N1120,2)="15",LEFT(TH!O1120,2)="15"),LEFT(TH!O1120,3)&lt;&gt;"111",'152-CT'!$J$8=TH!F1120),"x","")</f>
        <v/>
      </c>
      <c r="AC1120" s="79" t="str">
        <f>IF(AND(OR(LEFT(TH!N1120,2)="15",LEFT(TH!O1120,2)="15"),TK!$E$7=TH!F1120),"x","")</f>
        <v/>
      </c>
      <c r="AD1120" s="79" t="str">
        <f>IF(AND(N1120="1521",MONTH(C1120)='BK-NL'!$M$11),"x","")</f>
        <v/>
      </c>
    </row>
    <row r="1121" spans="1:30" s="1102" customFormat="1" ht="16.5" customHeight="1">
      <c r="A1121" s="318" t="str">
        <f>IF(B1121&lt;&gt;"",IF(AND(B1121='IN-TC'!$S$4,OR(TH!N1121="1111",TH!O1121="1111")),TH!D1121,""),"")</f>
        <v/>
      </c>
      <c r="B1121" s="60" t="str">
        <f t="shared" si="192"/>
        <v/>
      </c>
      <c r="C1121" s="981"/>
      <c r="D1121" s="981"/>
      <c r="E1121" s="981"/>
      <c r="F1121" s="1008"/>
      <c r="G1121" s="987"/>
      <c r="H1121" s="85"/>
      <c r="I1121" s="984"/>
      <c r="J1121" s="984"/>
      <c r="K1121" s="984"/>
      <c r="L1121" s="983"/>
      <c r="M1121" s="985"/>
      <c r="N1121" s="986"/>
      <c r="O1121" s="986"/>
      <c r="P1121" s="79" t="str">
        <f>IF(AND('331-CT'!$E$7=TH!H1121,OR(N1121="331",O1121="331")),"x","")</f>
        <v/>
      </c>
      <c r="Q1121" s="79" t="str">
        <f>IF(AND(B1121='111'!$L$11,OR($N1121=$Q$7,$O1121=$Q$7)),"x","")</f>
        <v/>
      </c>
      <c r="R1121" s="79" t="str">
        <f>IF(AND($N1121=$Q$7,$B1121&lt;'111'!$L$11),"x","")</f>
        <v/>
      </c>
      <c r="S1121" s="79" t="str">
        <f>IF(AND($O1121=$Q$7,$B1121&lt;'111'!$L$11),"x","")</f>
        <v/>
      </c>
      <c r="T1121" s="79" t="str">
        <f>IF(ISERROR(FIND('112'!$M$9,G1121,1)),"",IF((AND(FIND('112'!$M$9,G1121,1)&gt;=1,B1121='112'!$K$9,OR($N1121='112'!$I$6,$O1121='112'!$I$6))),"x",""))</f>
        <v/>
      </c>
      <c r="U1121" s="79" t="str">
        <f>IF(ISERROR(FIND('112'!$M$9,G1121,1)),"",IF((AND(LEFT(G1121,2)=LEFT('112'!$M$9,2),B1121&lt;'112'!$K$9,$N1121='112'!$I$6)),"x",""))</f>
        <v/>
      </c>
      <c r="V1121" s="79" t="str">
        <f>IF(ISERROR(FIND('112'!$M$9,G1121,1)),"",IF((AND(RIGHT(G1121,2)=RIGHT('112'!$M$9,2),B1121&lt;'112'!$K$9,$O1121='112'!$I$6)),"x",""))</f>
        <v/>
      </c>
      <c r="W1121" s="79" t="str">
        <f>IF(AND('341-CT'!$H$9=H1121,OR(LEFT(N1121,3)=$W$7,LEFT(O1121,3)=$W$7)),"x","")</f>
        <v/>
      </c>
      <c r="X1121" s="79" t="str">
        <f>IF(OR(TH!N1121=TH!$X$7,O1121=TH!$X$7),"x","")</f>
        <v/>
      </c>
      <c r="Y1121" s="79" t="str">
        <f>IF(AND(OR(N1121="131",O1121="131"),H1121='131-CT'!$H$9),"x","")</f>
        <v/>
      </c>
      <c r="Z1121" s="79"/>
      <c r="AA1121" s="79" t="str">
        <f>IF(AND(MONTH(E1121)='IN-NX'!$J$5,'IN-NX'!$D$7=D1121),"x","")</f>
        <v/>
      </c>
      <c r="AB1121" s="79" t="str">
        <f>IF(AND(OR(LEFT(TH!N1121,2)="15",LEFT(TH!O1121,2)="15"),LEFT(TH!O1121,3)&lt;&gt;"111",'152-CT'!$J$8=TH!F1121),"x","")</f>
        <v/>
      </c>
      <c r="AC1121" s="79" t="str">
        <f>IF(AND(OR(LEFT(TH!N1121,2)="15",LEFT(TH!O1121,2)="15"),TK!$E$7=TH!F1121),"x","")</f>
        <v/>
      </c>
      <c r="AD1121" s="79" t="str">
        <f>IF(AND(N1121="1521",MONTH(C1121)='BK-NL'!$M$11),"x","")</f>
        <v/>
      </c>
    </row>
    <row r="1122" spans="1:30" s="1102" customFormat="1" ht="16.5" customHeight="1">
      <c r="A1122" s="318" t="str">
        <f>IF(B1122&lt;&gt;"",IF(AND(B1122='IN-TC'!$S$4,OR(TH!N1122="1111",TH!O1122="1111")),TH!D1122,""),"")</f>
        <v/>
      </c>
      <c r="B1122" s="60" t="str">
        <f t="shared" si="192"/>
        <v/>
      </c>
      <c r="C1122" s="981"/>
      <c r="D1122" s="981"/>
      <c r="E1122" s="981"/>
      <c r="F1122" s="1008"/>
      <c r="G1122" s="987"/>
      <c r="H1122" s="85"/>
      <c r="I1122" s="984"/>
      <c r="J1122" s="984"/>
      <c r="K1122" s="984"/>
      <c r="L1122" s="983"/>
      <c r="M1122" s="985"/>
      <c r="N1122" s="986"/>
      <c r="O1122" s="986"/>
      <c r="P1122" s="79" t="str">
        <f>IF(AND('331-CT'!$E$7=TH!H1122,OR(N1122="331",O1122="331")),"x","")</f>
        <v/>
      </c>
      <c r="Q1122" s="79" t="str">
        <f>IF(AND(B1122='111'!$L$11,OR($N1122=$Q$7,$O1122=$Q$7)),"x","")</f>
        <v/>
      </c>
      <c r="R1122" s="79" t="str">
        <f>IF(AND($N1122=$Q$7,$B1122&lt;'111'!$L$11),"x","")</f>
        <v/>
      </c>
      <c r="S1122" s="79" t="str">
        <f>IF(AND($O1122=$Q$7,$B1122&lt;'111'!$L$11),"x","")</f>
        <v/>
      </c>
      <c r="T1122" s="79" t="str">
        <f>IF(ISERROR(FIND('112'!$M$9,G1122,1)),"",IF((AND(FIND('112'!$M$9,G1122,1)&gt;=1,B1122='112'!$K$9,OR($N1122='112'!$I$6,$O1122='112'!$I$6))),"x",""))</f>
        <v/>
      </c>
      <c r="U1122" s="79" t="str">
        <f>IF(ISERROR(FIND('112'!$M$9,G1122,1)),"",IF((AND(LEFT(G1122,2)=LEFT('112'!$M$9,2),B1122&lt;'112'!$K$9,$N1122='112'!$I$6)),"x",""))</f>
        <v/>
      </c>
      <c r="V1122" s="79" t="str">
        <f>IF(ISERROR(FIND('112'!$M$9,G1122,1)),"",IF((AND(RIGHT(G1122,2)=RIGHT('112'!$M$9,2),B1122&lt;'112'!$K$9,$O1122='112'!$I$6)),"x",""))</f>
        <v/>
      </c>
      <c r="W1122" s="79" t="str">
        <f>IF(AND('341-CT'!$H$9=H1122,OR(LEFT(N1122,3)=$W$7,LEFT(O1122,3)=$W$7)),"x","")</f>
        <v/>
      </c>
      <c r="X1122" s="79" t="str">
        <f>IF(OR(TH!N1122=TH!$X$7,O1122=TH!$X$7),"x","")</f>
        <v/>
      </c>
      <c r="Y1122" s="79" t="str">
        <f>IF(AND(OR(N1122="131",O1122="131"),H1122='131-CT'!$H$9),"x","")</f>
        <v/>
      </c>
      <c r="Z1122" s="79"/>
      <c r="AA1122" s="79" t="str">
        <f>IF(AND(MONTH(E1122)='IN-NX'!$J$5,'IN-NX'!$D$7=D1122),"x","")</f>
        <v/>
      </c>
      <c r="AB1122" s="79" t="str">
        <f>IF(AND(OR(LEFT(TH!N1122,2)="15",LEFT(TH!O1122,2)="15"),LEFT(TH!O1122,3)&lt;&gt;"111",'152-CT'!$J$8=TH!F1122),"x","")</f>
        <v/>
      </c>
      <c r="AC1122" s="79" t="str">
        <f>IF(AND(OR(LEFT(TH!N1122,2)="15",LEFT(TH!O1122,2)="15"),TK!$E$7=TH!F1122),"x","")</f>
        <v/>
      </c>
      <c r="AD1122" s="79" t="str">
        <f>IF(AND(N1122="1521",MONTH(C1122)='BK-NL'!$M$11),"x","")</f>
        <v/>
      </c>
    </row>
    <row r="1123" spans="1:30" s="1102" customFormat="1" ht="16.5" customHeight="1">
      <c r="A1123" s="318" t="str">
        <f>IF(B1123&lt;&gt;"",IF(AND(B1123='IN-TC'!$S$4,OR(TH!N1123="1111",TH!O1123="1111")),TH!D1123,""),"")</f>
        <v/>
      </c>
      <c r="B1123" s="60" t="str">
        <f t="shared" si="192"/>
        <v/>
      </c>
      <c r="C1123" s="981"/>
      <c r="D1123" s="981"/>
      <c r="E1123" s="981"/>
      <c r="F1123" s="1008"/>
      <c r="G1123" s="987"/>
      <c r="H1123" s="85"/>
      <c r="I1123" s="984"/>
      <c r="J1123" s="984"/>
      <c r="K1123" s="984"/>
      <c r="L1123" s="983"/>
      <c r="M1123" s="985"/>
      <c r="N1123" s="986"/>
      <c r="O1123" s="986"/>
      <c r="P1123" s="79" t="str">
        <f>IF(AND('331-CT'!$E$7=TH!H1123,OR(N1123="331",O1123="331")),"x","")</f>
        <v/>
      </c>
      <c r="Q1123" s="79" t="str">
        <f>IF(AND(B1123='111'!$L$11,OR($N1123=$Q$7,$O1123=$Q$7)),"x","")</f>
        <v/>
      </c>
      <c r="R1123" s="79" t="str">
        <f>IF(AND($N1123=$Q$7,$B1123&lt;'111'!$L$11),"x","")</f>
        <v/>
      </c>
      <c r="S1123" s="79" t="str">
        <f>IF(AND($O1123=$Q$7,$B1123&lt;'111'!$L$11),"x","")</f>
        <v/>
      </c>
      <c r="T1123" s="79" t="str">
        <f>IF(ISERROR(FIND('112'!$M$9,G1123,1)),"",IF((AND(FIND('112'!$M$9,G1123,1)&gt;=1,B1123='112'!$K$9,OR($N1123='112'!$I$6,$O1123='112'!$I$6))),"x",""))</f>
        <v/>
      </c>
      <c r="U1123" s="79" t="str">
        <f>IF(ISERROR(FIND('112'!$M$9,G1123,1)),"",IF((AND(LEFT(G1123,2)=LEFT('112'!$M$9,2),B1123&lt;'112'!$K$9,$N1123='112'!$I$6)),"x",""))</f>
        <v/>
      </c>
      <c r="V1123" s="79" t="str">
        <f>IF(ISERROR(FIND('112'!$M$9,G1123,1)),"",IF((AND(RIGHT(G1123,2)=RIGHT('112'!$M$9,2),B1123&lt;'112'!$K$9,$O1123='112'!$I$6)),"x",""))</f>
        <v/>
      </c>
      <c r="W1123" s="79" t="str">
        <f>IF(AND('341-CT'!$H$9=H1123,OR(LEFT(N1123,3)=$W$7,LEFT(O1123,3)=$W$7)),"x","")</f>
        <v/>
      </c>
      <c r="X1123" s="79" t="str">
        <f>IF(OR(TH!N1123=TH!$X$7,O1123=TH!$X$7),"x","")</f>
        <v/>
      </c>
      <c r="Y1123" s="79" t="str">
        <f>IF(AND(OR(N1123="131",O1123="131"),H1123='131-CT'!$H$9),"x","")</f>
        <v/>
      </c>
      <c r="Z1123" s="79"/>
      <c r="AA1123" s="79" t="str">
        <f>IF(AND(MONTH(E1123)='IN-NX'!$J$5,'IN-NX'!$D$7=D1123),"x","")</f>
        <v/>
      </c>
      <c r="AB1123" s="79" t="str">
        <f>IF(AND(OR(LEFT(TH!N1123,2)="15",LEFT(TH!O1123,2)="15"),LEFT(TH!O1123,3)&lt;&gt;"111",'152-CT'!$J$8=TH!F1123),"x","")</f>
        <v/>
      </c>
      <c r="AC1123" s="79" t="str">
        <f>IF(AND(OR(LEFT(TH!N1123,2)="15",LEFT(TH!O1123,2)="15"),TK!$E$7=TH!F1123),"x","")</f>
        <v/>
      </c>
      <c r="AD1123" s="79" t="str">
        <f>IF(AND(N1123="1521",MONTH(C1123)='BK-NL'!$M$11),"x","")</f>
        <v/>
      </c>
    </row>
    <row r="1124" spans="1:30" s="1102" customFormat="1" ht="16.5" customHeight="1">
      <c r="A1124" s="318" t="str">
        <f>IF(B1124&lt;&gt;"",IF(AND(B1124='IN-TC'!$S$4,OR(TH!N1124="1111",TH!O1124="1111")),TH!D1124,""),"")</f>
        <v/>
      </c>
      <c r="B1124" s="60" t="str">
        <f t="shared" si="192"/>
        <v/>
      </c>
      <c r="C1124" s="981"/>
      <c r="D1124" s="981"/>
      <c r="E1124" s="981"/>
      <c r="F1124" s="1008"/>
      <c r="G1124" s="987"/>
      <c r="H1124" s="85"/>
      <c r="I1124" s="984"/>
      <c r="J1124" s="984"/>
      <c r="K1124" s="984"/>
      <c r="L1124" s="983"/>
      <c r="M1124" s="985"/>
      <c r="N1124" s="986"/>
      <c r="O1124" s="986"/>
      <c r="P1124" s="79" t="str">
        <f>IF(AND('331-CT'!$E$7=TH!H1124,OR(N1124="331",O1124="331")),"x","")</f>
        <v/>
      </c>
      <c r="Q1124" s="79" t="str">
        <f>IF(AND(B1124='111'!$L$11,OR($N1124=$Q$7,$O1124=$Q$7)),"x","")</f>
        <v/>
      </c>
      <c r="R1124" s="79" t="str">
        <f>IF(AND($N1124=$Q$7,$B1124&lt;'111'!$L$11),"x","")</f>
        <v/>
      </c>
      <c r="S1124" s="79" t="str">
        <f>IF(AND($O1124=$Q$7,$B1124&lt;'111'!$L$11),"x","")</f>
        <v/>
      </c>
      <c r="T1124" s="79" t="str">
        <f>IF(ISERROR(FIND('112'!$M$9,G1124,1)),"",IF((AND(FIND('112'!$M$9,G1124,1)&gt;=1,B1124='112'!$K$9,OR($N1124='112'!$I$6,$O1124='112'!$I$6))),"x",""))</f>
        <v/>
      </c>
      <c r="U1124" s="79" t="str">
        <f>IF(ISERROR(FIND('112'!$M$9,G1124,1)),"",IF((AND(LEFT(G1124,2)=LEFT('112'!$M$9,2),B1124&lt;'112'!$K$9,$N1124='112'!$I$6)),"x",""))</f>
        <v/>
      </c>
      <c r="V1124" s="79" t="str">
        <f>IF(ISERROR(FIND('112'!$M$9,G1124,1)),"",IF((AND(RIGHT(G1124,2)=RIGHT('112'!$M$9,2),B1124&lt;'112'!$K$9,$O1124='112'!$I$6)),"x",""))</f>
        <v/>
      </c>
      <c r="W1124" s="79" t="str">
        <f>IF(AND('341-CT'!$H$9=H1124,OR(LEFT(N1124,3)=$W$7,LEFT(O1124,3)=$W$7)),"x","")</f>
        <v/>
      </c>
      <c r="X1124" s="79" t="str">
        <f>IF(OR(TH!N1124=TH!$X$7,O1124=TH!$X$7),"x","")</f>
        <v/>
      </c>
      <c r="Y1124" s="79" t="str">
        <f>IF(AND(OR(N1124="131",O1124="131"),H1124='131-CT'!$H$9),"x","")</f>
        <v/>
      </c>
      <c r="Z1124" s="79"/>
      <c r="AA1124" s="79" t="str">
        <f>IF(AND(MONTH(E1124)='IN-NX'!$J$5,'IN-NX'!$D$7=D1124),"x","")</f>
        <v/>
      </c>
      <c r="AB1124" s="79" t="str">
        <f>IF(AND(OR(LEFT(TH!N1124,2)="15",LEFT(TH!O1124,2)="15"),LEFT(TH!O1124,3)&lt;&gt;"111",'152-CT'!$J$8=TH!F1124),"x","")</f>
        <v/>
      </c>
      <c r="AC1124" s="79" t="str">
        <f>IF(AND(OR(LEFT(TH!N1124,2)="15",LEFT(TH!O1124,2)="15"),TK!$E$7=TH!F1124),"x","")</f>
        <v/>
      </c>
      <c r="AD1124" s="79" t="str">
        <f>IF(AND(N1124="1521",MONTH(C1124)='BK-NL'!$M$11),"x","")</f>
        <v/>
      </c>
    </row>
    <row r="1125" spans="1:30" s="1102" customFormat="1" ht="16.5" customHeight="1">
      <c r="A1125" s="318" t="str">
        <f>IF(B1125&lt;&gt;"",IF(AND(B1125='IN-TC'!$S$4,OR(TH!N1125="1111",TH!O1125="1111")),TH!D1125,""),"")</f>
        <v/>
      </c>
      <c r="B1125" s="60" t="str">
        <f t="shared" si="192"/>
        <v/>
      </c>
      <c r="C1125" s="981"/>
      <c r="D1125" s="981"/>
      <c r="E1125" s="981"/>
      <c r="F1125" s="1008"/>
      <c r="G1125" s="987"/>
      <c r="H1125" s="997"/>
      <c r="I1125" s="984"/>
      <c r="J1125" s="984"/>
      <c r="K1125" s="984"/>
      <c r="L1125" s="983"/>
      <c r="M1125" s="985"/>
      <c r="N1125" s="986"/>
      <c r="O1125" s="986"/>
      <c r="P1125" s="79" t="str">
        <f>IF(AND('331-CT'!$E$7=TH!H1125,OR(N1125="331",O1125="331")),"x","")</f>
        <v/>
      </c>
      <c r="Q1125" s="79" t="str">
        <f>IF(AND(B1125='111'!$L$11,OR($N1125=$Q$7,$O1125=$Q$7)),"x","")</f>
        <v/>
      </c>
      <c r="R1125" s="79" t="str">
        <f>IF(AND($N1125=$Q$7,$B1125&lt;'111'!$L$11),"x","")</f>
        <v/>
      </c>
      <c r="S1125" s="79" t="str">
        <f>IF(AND($O1125=$Q$7,$B1125&lt;'111'!$L$11),"x","")</f>
        <v/>
      </c>
      <c r="T1125" s="79" t="str">
        <f>IF(ISERROR(FIND('112'!$M$9,G1125,1)),"",IF((AND(FIND('112'!$M$9,G1125,1)&gt;=1,B1125='112'!$K$9,OR($N1125='112'!$I$6,$O1125='112'!$I$6))),"x",""))</f>
        <v/>
      </c>
      <c r="U1125" s="79" t="str">
        <f>IF(ISERROR(FIND('112'!$M$9,G1125,1)),"",IF((AND(LEFT(G1125,2)=LEFT('112'!$M$9,2),B1125&lt;'112'!$K$9,$N1125='112'!$I$6)),"x",""))</f>
        <v/>
      </c>
      <c r="V1125" s="79" t="str">
        <f>IF(ISERROR(FIND('112'!$M$9,G1125,1)),"",IF((AND(RIGHT(G1125,2)=RIGHT('112'!$M$9,2),B1125&lt;'112'!$K$9,$O1125='112'!$I$6)),"x",""))</f>
        <v/>
      </c>
      <c r="W1125" s="79" t="str">
        <f>IF(AND('341-CT'!$H$9=H1125,OR(LEFT(N1125,3)=$W$7,LEFT(O1125,3)=$W$7)),"x","")</f>
        <v/>
      </c>
      <c r="X1125" s="79" t="str">
        <f>IF(OR(TH!N1125=TH!$X$7,O1125=TH!$X$7),"x","")</f>
        <v/>
      </c>
      <c r="Y1125" s="79" t="str">
        <f>IF(AND(OR(N1125="131",O1125="131"),H1125='131-CT'!$H$9),"x","")</f>
        <v/>
      </c>
      <c r="Z1125" s="79"/>
      <c r="AA1125" s="79" t="str">
        <f>IF(AND(MONTH(E1125)='IN-NX'!$J$5,'IN-NX'!$D$7=D1125),"x","")</f>
        <v/>
      </c>
      <c r="AB1125" s="79" t="str">
        <f>IF(AND(OR(LEFT(TH!N1125,2)="15",LEFT(TH!O1125,2)="15"),LEFT(TH!O1125,3)&lt;&gt;"111",'152-CT'!$J$8=TH!F1125),"x","")</f>
        <v/>
      </c>
      <c r="AC1125" s="79" t="str">
        <f>IF(AND(OR(LEFT(TH!N1125,2)="15",LEFT(TH!O1125,2)="15"),TK!$E$7=TH!F1125),"x","")</f>
        <v/>
      </c>
      <c r="AD1125" s="79" t="str">
        <f>IF(AND(N1125="1521",MONTH(C1125)='BK-NL'!$M$11),"x","")</f>
        <v/>
      </c>
    </row>
    <row r="1126" spans="1:30" s="1102" customFormat="1" ht="16.5" customHeight="1">
      <c r="A1126" s="318" t="str">
        <f>IF(B1126&lt;&gt;"",IF(AND(B1126='IN-TC'!$S$4,OR(TH!N1126="1111",TH!O1126="1111")),TH!D1126,""),"")</f>
        <v/>
      </c>
      <c r="B1126" s="60" t="str">
        <f t="shared" si="192"/>
        <v/>
      </c>
      <c r="C1126" s="981"/>
      <c r="D1126" s="981"/>
      <c r="E1126" s="981"/>
      <c r="F1126" s="1008"/>
      <c r="G1126" s="987"/>
      <c r="H1126" s="997"/>
      <c r="I1126" s="984"/>
      <c r="J1126" s="984"/>
      <c r="K1126" s="984"/>
      <c r="L1126" s="983"/>
      <c r="M1126" s="985"/>
      <c r="N1126" s="986"/>
      <c r="O1126" s="986"/>
      <c r="P1126" s="79" t="str">
        <f>IF(AND('331-CT'!$E$7=TH!H1126,OR(N1126="331",O1126="331")),"x","")</f>
        <v/>
      </c>
      <c r="Q1126" s="79" t="str">
        <f>IF(AND(B1126='111'!$L$11,OR($N1126=$Q$7,$O1126=$Q$7)),"x","")</f>
        <v/>
      </c>
      <c r="R1126" s="79" t="str">
        <f>IF(AND($N1126=$Q$7,$B1126&lt;'111'!$L$11),"x","")</f>
        <v/>
      </c>
      <c r="S1126" s="79" t="str">
        <f>IF(AND($O1126=$Q$7,$B1126&lt;'111'!$L$11),"x","")</f>
        <v/>
      </c>
      <c r="T1126" s="79" t="str">
        <f>IF(ISERROR(FIND('112'!$M$9,G1126,1)),"",IF((AND(FIND('112'!$M$9,G1126,1)&gt;=1,B1126='112'!$K$9,OR($N1126='112'!$I$6,$O1126='112'!$I$6))),"x",""))</f>
        <v/>
      </c>
      <c r="U1126" s="79" t="str">
        <f>IF(ISERROR(FIND('112'!$M$9,G1126,1)),"",IF((AND(LEFT(G1126,2)=LEFT('112'!$M$9,2),B1126&lt;'112'!$K$9,$N1126='112'!$I$6)),"x",""))</f>
        <v/>
      </c>
      <c r="V1126" s="79" t="str">
        <f>IF(ISERROR(FIND('112'!$M$9,G1126,1)),"",IF((AND(RIGHT(G1126,2)=RIGHT('112'!$M$9,2),B1126&lt;'112'!$K$9,$O1126='112'!$I$6)),"x",""))</f>
        <v/>
      </c>
      <c r="W1126" s="79" t="str">
        <f>IF(AND('341-CT'!$H$9=H1126,OR(LEFT(N1126,3)=$W$7,LEFT(O1126,3)=$W$7)),"x","")</f>
        <v/>
      </c>
      <c r="X1126" s="79" t="str">
        <f>IF(OR(TH!N1126=TH!$X$7,O1126=TH!$X$7),"x","")</f>
        <v/>
      </c>
      <c r="Y1126" s="79" t="str">
        <f>IF(AND(OR(N1126="131",O1126="131"),H1126='131-CT'!$H$9),"x","")</f>
        <v/>
      </c>
      <c r="Z1126" s="79"/>
      <c r="AA1126" s="79" t="str">
        <f>IF(AND(MONTH(E1126)='IN-NX'!$J$5,'IN-NX'!$D$7=D1126),"x","")</f>
        <v/>
      </c>
      <c r="AB1126" s="79" t="str">
        <f>IF(AND(OR(LEFT(TH!N1126,2)="15",LEFT(TH!O1126,2)="15"),LEFT(TH!O1126,3)&lt;&gt;"111",'152-CT'!$J$8=TH!F1126),"x","")</f>
        <v/>
      </c>
      <c r="AC1126" s="79" t="str">
        <f>IF(AND(OR(LEFT(TH!N1126,2)="15",LEFT(TH!O1126,2)="15"),TK!$E$7=TH!F1126),"x","")</f>
        <v/>
      </c>
      <c r="AD1126" s="79" t="str">
        <f>IF(AND(N1126="1521",MONTH(C1126)='BK-NL'!$M$11),"x","")</f>
        <v/>
      </c>
    </row>
    <row r="1127" spans="1:30" s="1102" customFormat="1" ht="16.5" customHeight="1">
      <c r="A1127" s="318" t="str">
        <f>IF(B1127&lt;&gt;"",IF(AND(B1127='IN-TC'!$S$4,OR(TH!N1127="1111",TH!O1127="1111")),TH!D1127,""),"")</f>
        <v/>
      </c>
      <c r="B1127" s="60" t="str">
        <f t="shared" si="192"/>
        <v/>
      </c>
      <c r="C1127" s="981"/>
      <c r="D1127" s="981"/>
      <c r="E1127" s="981"/>
      <c r="F1127" s="1008"/>
      <c r="G1127" s="987"/>
      <c r="H1127" s="997"/>
      <c r="I1127" s="984"/>
      <c r="J1127" s="984"/>
      <c r="K1127" s="984"/>
      <c r="L1127" s="983"/>
      <c r="M1127" s="985"/>
      <c r="N1127" s="986"/>
      <c r="O1127" s="986"/>
      <c r="P1127" s="79" t="str">
        <f>IF(AND('331-CT'!$E$7=TH!H1127,OR(N1127="331",O1127="331")),"x","")</f>
        <v/>
      </c>
      <c r="Q1127" s="79" t="str">
        <f>IF(AND(B1127='111'!$L$11,OR($N1127=$Q$7,$O1127=$Q$7)),"x","")</f>
        <v/>
      </c>
      <c r="R1127" s="79" t="str">
        <f>IF(AND($N1127=$Q$7,$B1127&lt;'111'!$L$11),"x","")</f>
        <v/>
      </c>
      <c r="S1127" s="79" t="str">
        <f>IF(AND($O1127=$Q$7,$B1127&lt;'111'!$L$11),"x","")</f>
        <v/>
      </c>
      <c r="T1127" s="79" t="str">
        <f>IF(ISERROR(FIND('112'!$M$9,G1127,1)),"",IF((AND(FIND('112'!$M$9,G1127,1)&gt;=1,B1127='112'!$K$9,OR($N1127='112'!$I$6,$O1127='112'!$I$6))),"x",""))</f>
        <v/>
      </c>
      <c r="U1127" s="79" t="str">
        <f>IF(ISERROR(FIND('112'!$M$9,G1127,1)),"",IF((AND(LEFT(G1127,2)=LEFT('112'!$M$9,2),B1127&lt;'112'!$K$9,$N1127='112'!$I$6)),"x",""))</f>
        <v/>
      </c>
      <c r="V1127" s="79" t="str">
        <f>IF(ISERROR(FIND('112'!$M$9,G1127,1)),"",IF((AND(RIGHT(G1127,2)=RIGHT('112'!$M$9,2),B1127&lt;'112'!$K$9,$O1127='112'!$I$6)),"x",""))</f>
        <v/>
      </c>
      <c r="W1127" s="79" t="str">
        <f>IF(AND('341-CT'!$H$9=H1127,OR(LEFT(N1127,3)=$W$7,LEFT(O1127,3)=$W$7)),"x","")</f>
        <v/>
      </c>
      <c r="X1127" s="79" t="str">
        <f>IF(OR(TH!N1127=TH!$X$7,O1127=TH!$X$7),"x","")</f>
        <v/>
      </c>
      <c r="Y1127" s="79" t="str">
        <f>IF(AND(OR(N1127="131",O1127="131"),H1127='131-CT'!$H$9),"x","")</f>
        <v/>
      </c>
      <c r="Z1127" s="79"/>
      <c r="AA1127" s="79" t="str">
        <f>IF(AND(MONTH(E1127)='IN-NX'!$J$5,'IN-NX'!$D$7=D1127),"x","")</f>
        <v/>
      </c>
      <c r="AB1127" s="79" t="str">
        <f>IF(AND(OR(LEFT(TH!N1127,2)="15",LEFT(TH!O1127,2)="15"),LEFT(TH!O1127,3)&lt;&gt;"111",'152-CT'!$J$8=TH!F1127),"x","")</f>
        <v/>
      </c>
      <c r="AC1127" s="79" t="str">
        <f>IF(AND(OR(LEFT(TH!N1127,2)="15",LEFT(TH!O1127,2)="15"),TK!$E$7=TH!F1127),"x","")</f>
        <v/>
      </c>
      <c r="AD1127" s="79" t="str">
        <f>IF(AND(N1127="1521",MONTH(C1127)='BK-NL'!$M$11),"x","")</f>
        <v/>
      </c>
    </row>
    <row r="1128" spans="1:30" s="1102" customFormat="1" ht="16.5" customHeight="1">
      <c r="A1128" s="318" t="str">
        <f>IF(B1128&lt;&gt;"",IF(AND(B1128='IN-TC'!$S$4,OR(TH!N1128="1111",TH!O1128="1111")),TH!D1128,""),"")</f>
        <v/>
      </c>
      <c r="B1128" s="60" t="str">
        <f t="shared" si="192"/>
        <v/>
      </c>
      <c r="C1128" s="981"/>
      <c r="D1128" s="981"/>
      <c r="E1128" s="981"/>
      <c r="F1128" s="1008"/>
      <c r="G1128" s="987"/>
      <c r="H1128" s="997"/>
      <c r="I1128" s="984"/>
      <c r="J1128" s="984"/>
      <c r="K1128" s="984"/>
      <c r="L1128" s="983"/>
      <c r="M1128" s="985"/>
      <c r="N1128" s="986"/>
      <c r="O1128" s="986"/>
      <c r="P1128" s="79" t="str">
        <f>IF(AND('331-CT'!$E$7=TH!H1128,OR(N1128="331",O1128="331")),"x","")</f>
        <v/>
      </c>
      <c r="Q1128" s="79" t="str">
        <f>IF(AND(B1128='111'!$L$11,OR($N1128=$Q$7,$O1128=$Q$7)),"x","")</f>
        <v/>
      </c>
      <c r="R1128" s="79" t="str">
        <f>IF(AND($N1128=$Q$7,$B1128&lt;'111'!$L$11),"x","")</f>
        <v/>
      </c>
      <c r="S1128" s="79" t="str">
        <f>IF(AND($O1128=$Q$7,$B1128&lt;'111'!$L$11),"x","")</f>
        <v/>
      </c>
      <c r="T1128" s="79" t="str">
        <f>IF(ISERROR(FIND('112'!$M$9,G1128,1)),"",IF((AND(FIND('112'!$M$9,G1128,1)&gt;=1,B1128='112'!$K$9,OR($N1128='112'!$I$6,$O1128='112'!$I$6))),"x",""))</f>
        <v/>
      </c>
      <c r="U1128" s="79" t="str">
        <f>IF(ISERROR(FIND('112'!$M$9,G1128,1)),"",IF((AND(LEFT(G1128,2)=LEFT('112'!$M$9,2),B1128&lt;'112'!$K$9,$N1128='112'!$I$6)),"x",""))</f>
        <v/>
      </c>
      <c r="V1128" s="79" t="str">
        <f>IF(ISERROR(FIND('112'!$M$9,G1128,1)),"",IF((AND(RIGHT(G1128,2)=RIGHT('112'!$M$9,2),B1128&lt;'112'!$K$9,$O1128='112'!$I$6)),"x",""))</f>
        <v/>
      </c>
      <c r="W1128" s="79" t="str">
        <f>IF(AND('341-CT'!$H$9=H1128,OR(LEFT(N1128,3)=$W$7,LEFT(O1128,3)=$W$7)),"x","")</f>
        <v/>
      </c>
      <c r="X1128" s="79" t="str">
        <f>IF(OR(TH!N1128=TH!$X$7,O1128=TH!$X$7),"x","")</f>
        <v/>
      </c>
      <c r="Y1128" s="79" t="str">
        <f>IF(AND(OR(N1128="131",O1128="131"),H1128='131-CT'!$H$9),"x","")</f>
        <v/>
      </c>
      <c r="Z1128" s="79"/>
      <c r="AA1128" s="79" t="str">
        <f>IF(AND(MONTH(E1128)='IN-NX'!$J$5,'IN-NX'!$D$7=D1128),"x","")</f>
        <v/>
      </c>
      <c r="AB1128" s="79" t="str">
        <f>IF(AND(OR(LEFT(TH!N1128,2)="15",LEFT(TH!O1128,2)="15"),LEFT(TH!O1128,3)&lt;&gt;"111",'152-CT'!$J$8=TH!F1128),"x","")</f>
        <v/>
      </c>
      <c r="AC1128" s="79" t="str">
        <f>IF(AND(OR(LEFT(TH!N1128,2)="15",LEFT(TH!O1128,2)="15"),TK!$E$7=TH!F1128),"x","")</f>
        <v/>
      </c>
      <c r="AD1128" s="79" t="str">
        <f>IF(AND(N1128="1521",MONTH(C1128)='BK-NL'!$M$11),"x","")</f>
        <v/>
      </c>
    </row>
    <row r="1129" spans="1:30" s="1102" customFormat="1" ht="16.5" customHeight="1">
      <c r="A1129" s="318" t="str">
        <f>IF(B1129&lt;&gt;"",IF(AND(B1129='IN-TC'!$S$4,OR(TH!N1129="1111",TH!O1129="1111")),TH!D1129,""),"")</f>
        <v/>
      </c>
      <c r="B1129" s="60" t="str">
        <f t="shared" si="192"/>
        <v/>
      </c>
      <c r="C1129" s="981"/>
      <c r="D1129" s="981"/>
      <c r="E1129" s="981"/>
      <c r="F1129" s="1008"/>
      <c r="G1129" s="987"/>
      <c r="H1129" s="997"/>
      <c r="I1129" s="984"/>
      <c r="J1129" s="984"/>
      <c r="K1129" s="984"/>
      <c r="L1129" s="983"/>
      <c r="M1129" s="985"/>
      <c r="N1129" s="986"/>
      <c r="O1129" s="986"/>
      <c r="P1129" s="79" t="str">
        <f>IF(AND('331-CT'!$E$7=TH!H1129,OR(N1129="331",O1129="331")),"x","")</f>
        <v/>
      </c>
      <c r="Q1129" s="79" t="str">
        <f>IF(AND(B1129='111'!$L$11,OR($N1129=$Q$7,$O1129=$Q$7)),"x","")</f>
        <v/>
      </c>
      <c r="R1129" s="79" t="str">
        <f>IF(AND($N1129=$Q$7,$B1129&lt;'111'!$L$11),"x","")</f>
        <v/>
      </c>
      <c r="S1129" s="79" t="str">
        <f>IF(AND($O1129=$Q$7,$B1129&lt;'111'!$L$11),"x","")</f>
        <v/>
      </c>
      <c r="T1129" s="79" t="str">
        <f>IF(ISERROR(FIND('112'!$M$9,G1129,1)),"",IF((AND(FIND('112'!$M$9,G1129,1)&gt;=1,B1129='112'!$K$9,OR($N1129='112'!$I$6,$O1129='112'!$I$6))),"x",""))</f>
        <v/>
      </c>
      <c r="U1129" s="79" t="str">
        <f>IF(ISERROR(FIND('112'!$M$9,G1129,1)),"",IF((AND(LEFT(G1129,2)=LEFT('112'!$M$9,2),B1129&lt;'112'!$K$9,$N1129='112'!$I$6)),"x",""))</f>
        <v/>
      </c>
      <c r="V1129" s="79" t="str">
        <f>IF(ISERROR(FIND('112'!$M$9,G1129,1)),"",IF((AND(RIGHT(G1129,2)=RIGHT('112'!$M$9,2),B1129&lt;'112'!$K$9,$O1129='112'!$I$6)),"x",""))</f>
        <v/>
      </c>
      <c r="W1129" s="79" t="str">
        <f>IF(AND('341-CT'!$H$9=H1129,OR(LEFT(N1129,3)=$W$7,LEFT(O1129,3)=$W$7)),"x","")</f>
        <v/>
      </c>
      <c r="X1129" s="79" t="str">
        <f>IF(OR(TH!N1129=TH!$X$7,O1129=TH!$X$7),"x","")</f>
        <v/>
      </c>
      <c r="Y1129" s="79" t="str">
        <f>IF(AND(OR(N1129="131",O1129="131"),H1129='131-CT'!$H$9),"x","")</f>
        <v/>
      </c>
      <c r="Z1129" s="79"/>
      <c r="AA1129" s="79" t="str">
        <f>IF(AND(MONTH(E1129)='IN-NX'!$J$5,'IN-NX'!$D$7=D1129),"x","")</f>
        <v/>
      </c>
      <c r="AB1129" s="79" t="str">
        <f>IF(AND(OR(LEFT(TH!N1129,2)="15",LEFT(TH!O1129,2)="15"),LEFT(TH!O1129,3)&lt;&gt;"111",'152-CT'!$J$8=TH!F1129),"x","")</f>
        <v/>
      </c>
      <c r="AC1129" s="79" t="str">
        <f>IF(AND(OR(LEFT(TH!N1129,2)="15",LEFT(TH!O1129,2)="15"),TK!$E$7=TH!F1129),"x","")</f>
        <v/>
      </c>
      <c r="AD1129" s="79" t="str">
        <f>IF(AND(N1129="1521",MONTH(C1129)='BK-NL'!$M$11),"x","")</f>
        <v/>
      </c>
    </row>
    <row r="1130" spans="1:30" s="1102" customFormat="1" ht="16.5" customHeight="1">
      <c r="A1130" s="318" t="str">
        <f>IF(B1130&lt;&gt;"",IF(AND(B1130='IN-TC'!$S$4,OR(TH!N1130="1111",TH!O1130="1111")),TH!D1130,""),"")</f>
        <v/>
      </c>
      <c r="B1130" s="60" t="str">
        <f t="shared" si="192"/>
        <v/>
      </c>
      <c r="C1130" s="981"/>
      <c r="D1130" s="981"/>
      <c r="E1130" s="981"/>
      <c r="F1130" s="1008"/>
      <c r="G1130" s="987"/>
      <c r="H1130" s="85"/>
      <c r="I1130" s="984"/>
      <c r="J1130" s="984"/>
      <c r="K1130" s="984"/>
      <c r="L1130" s="983"/>
      <c r="M1130" s="985"/>
      <c r="N1130" s="986"/>
      <c r="O1130" s="986"/>
      <c r="P1130" s="79" t="str">
        <f>IF(AND('331-CT'!$E$7=TH!H1130,OR(N1130="331",O1130="331")),"x","")</f>
        <v/>
      </c>
      <c r="Q1130" s="79" t="str">
        <f>IF(AND(B1130='111'!$L$11,OR($N1130=$Q$7,$O1130=$Q$7)),"x","")</f>
        <v/>
      </c>
      <c r="R1130" s="79" t="str">
        <f>IF(AND($N1130=$Q$7,$B1130&lt;'111'!$L$11),"x","")</f>
        <v/>
      </c>
      <c r="S1130" s="79" t="str">
        <f>IF(AND($O1130=$Q$7,$B1130&lt;'111'!$L$11),"x","")</f>
        <v/>
      </c>
      <c r="T1130" s="79" t="str">
        <f>IF(ISERROR(FIND('112'!$M$9,G1130,1)),"",IF((AND(FIND('112'!$M$9,G1130,1)&gt;=1,B1130='112'!$K$9,OR($N1130='112'!$I$6,$O1130='112'!$I$6))),"x",""))</f>
        <v/>
      </c>
      <c r="U1130" s="79" t="str">
        <f>IF(ISERROR(FIND('112'!$M$9,G1130,1)),"",IF((AND(LEFT(G1130,2)=LEFT('112'!$M$9,2),B1130&lt;'112'!$K$9,$N1130='112'!$I$6)),"x",""))</f>
        <v/>
      </c>
      <c r="V1130" s="79" t="str">
        <f>IF(ISERROR(FIND('112'!$M$9,G1130,1)),"",IF((AND(RIGHT(G1130,2)=RIGHT('112'!$M$9,2),B1130&lt;'112'!$K$9,$O1130='112'!$I$6)),"x",""))</f>
        <v/>
      </c>
      <c r="W1130" s="79" t="str">
        <f>IF(AND('341-CT'!$H$9=H1130,OR(LEFT(N1130,3)=$W$7,LEFT(O1130,3)=$W$7)),"x","")</f>
        <v/>
      </c>
      <c r="X1130" s="79" t="str">
        <f>IF(OR(TH!N1130=TH!$X$7,O1130=TH!$X$7),"x","")</f>
        <v/>
      </c>
      <c r="Y1130" s="79" t="str">
        <f>IF(AND(OR(N1130="131",O1130="131"),H1130='131-CT'!$H$9),"x","")</f>
        <v/>
      </c>
      <c r="Z1130" s="79"/>
      <c r="AA1130" s="79" t="str">
        <f>IF(AND(MONTH(E1130)='IN-NX'!$J$5,'IN-NX'!$D$7=D1130),"x","")</f>
        <v/>
      </c>
      <c r="AB1130" s="79" t="str">
        <f>IF(AND(OR(LEFT(TH!N1130,2)="15",LEFT(TH!O1130,2)="15"),LEFT(TH!O1130,3)&lt;&gt;"111",'152-CT'!$J$8=TH!F1130),"x","")</f>
        <v/>
      </c>
      <c r="AC1130" s="79" t="str">
        <f>IF(AND(OR(LEFT(TH!N1130,2)="15",LEFT(TH!O1130,2)="15"),TK!$E$7=TH!F1130),"x","")</f>
        <v/>
      </c>
      <c r="AD1130" s="79" t="str">
        <f>IF(AND(N1130="1521",MONTH(C1130)='BK-NL'!$M$11),"x","")</f>
        <v/>
      </c>
    </row>
    <row r="1131" spans="1:30" s="1102" customFormat="1" ht="16.5" customHeight="1">
      <c r="A1131" s="318" t="str">
        <f>IF(B1131&lt;&gt;"",IF(AND(B1131='IN-TC'!$S$4,OR(TH!N1131="1111",TH!O1131="1111")),TH!D1131,""),"")</f>
        <v/>
      </c>
      <c r="B1131" s="60" t="str">
        <f t="shared" si="192"/>
        <v/>
      </c>
      <c r="C1131" s="981"/>
      <c r="D1131" s="981"/>
      <c r="E1131" s="981"/>
      <c r="F1131" s="1008"/>
      <c r="G1131" s="987"/>
      <c r="H1131" s="997"/>
      <c r="I1131" s="984"/>
      <c r="J1131" s="984"/>
      <c r="K1131" s="984"/>
      <c r="L1131" s="983"/>
      <c r="M1131" s="985"/>
      <c r="N1131" s="986"/>
      <c r="O1131" s="986"/>
      <c r="P1131" s="79" t="str">
        <f>IF(AND('331-CT'!$E$7=TH!H1131,OR(N1131="331",O1131="331")),"x","")</f>
        <v/>
      </c>
      <c r="Q1131" s="79" t="str">
        <f>IF(AND(B1131='111'!$L$11,OR($N1131=$Q$7,$O1131=$Q$7)),"x","")</f>
        <v/>
      </c>
      <c r="R1131" s="79" t="str">
        <f>IF(AND($N1131=$Q$7,$B1131&lt;'111'!$L$11),"x","")</f>
        <v/>
      </c>
      <c r="S1131" s="79" t="str">
        <f>IF(AND($O1131=$Q$7,$B1131&lt;'111'!$L$11),"x","")</f>
        <v/>
      </c>
      <c r="T1131" s="79" t="str">
        <f>IF(ISERROR(FIND('112'!$M$9,G1131,1)),"",IF((AND(FIND('112'!$M$9,G1131,1)&gt;=1,B1131='112'!$K$9,OR($N1131='112'!$I$6,$O1131='112'!$I$6))),"x",""))</f>
        <v/>
      </c>
      <c r="U1131" s="79" t="str">
        <f>IF(ISERROR(FIND('112'!$M$9,G1131,1)),"",IF((AND(LEFT(G1131,2)=LEFT('112'!$M$9,2),B1131&lt;'112'!$K$9,$N1131='112'!$I$6)),"x",""))</f>
        <v/>
      </c>
      <c r="V1131" s="79" t="str">
        <f>IF(ISERROR(FIND('112'!$M$9,G1131,1)),"",IF((AND(RIGHT(G1131,2)=RIGHT('112'!$M$9,2),B1131&lt;'112'!$K$9,$O1131='112'!$I$6)),"x",""))</f>
        <v/>
      </c>
      <c r="W1131" s="79" t="str">
        <f>IF(AND('341-CT'!$H$9=H1131,OR(LEFT(N1131,3)=$W$7,LEFT(O1131,3)=$W$7)),"x","")</f>
        <v/>
      </c>
      <c r="X1131" s="79" t="str">
        <f>IF(OR(TH!N1131=TH!$X$7,O1131=TH!$X$7),"x","")</f>
        <v/>
      </c>
      <c r="Y1131" s="79" t="str">
        <f>IF(AND(OR(N1131="131",O1131="131"),H1131='131-CT'!$H$9),"x","")</f>
        <v/>
      </c>
      <c r="Z1131" s="79"/>
      <c r="AA1131" s="79" t="str">
        <f>IF(AND(MONTH(E1131)='IN-NX'!$J$5,'IN-NX'!$D$7=D1131),"x","")</f>
        <v/>
      </c>
      <c r="AB1131" s="79" t="str">
        <f>IF(AND(OR(LEFT(TH!N1131,2)="15",LEFT(TH!O1131,2)="15"),LEFT(TH!O1131,3)&lt;&gt;"111",'152-CT'!$J$8=TH!F1131),"x","")</f>
        <v/>
      </c>
      <c r="AC1131" s="79" t="str">
        <f>IF(AND(OR(LEFT(TH!N1131,2)="15",LEFT(TH!O1131,2)="15"),TK!$E$7=TH!F1131),"x","")</f>
        <v/>
      </c>
      <c r="AD1131" s="79" t="str">
        <f>IF(AND(N1131="1521",MONTH(C1131)='BK-NL'!$M$11),"x","")</f>
        <v/>
      </c>
    </row>
    <row r="1132" spans="1:30" s="1102" customFormat="1" ht="16.5" customHeight="1">
      <c r="A1132" s="318" t="str">
        <f>IF(B1132&lt;&gt;"",IF(AND(B1132='IN-TC'!$S$4,OR(TH!N1132="1111",TH!O1132="1111")),TH!D1132,""),"")</f>
        <v/>
      </c>
      <c r="B1132" s="60" t="str">
        <f t="shared" si="192"/>
        <v/>
      </c>
      <c r="C1132" s="981"/>
      <c r="D1132" s="981"/>
      <c r="E1132" s="981"/>
      <c r="F1132" s="1008"/>
      <c r="G1132" s="987"/>
      <c r="H1132" s="997"/>
      <c r="I1132" s="984"/>
      <c r="J1132" s="984"/>
      <c r="K1132" s="984"/>
      <c r="L1132" s="983"/>
      <c r="M1132" s="985"/>
      <c r="N1132" s="986"/>
      <c r="O1132" s="986"/>
      <c r="P1132" s="79" t="str">
        <f>IF(AND('331-CT'!$E$7=TH!H1132,OR(N1132="331",O1132="331")),"x","")</f>
        <v/>
      </c>
      <c r="Q1132" s="79" t="str">
        <f>IF(AND(B1132='111'!$L$11,OR($N1132=$Q$7,$O1132=$Q$7)),"x","")</f>
        <v/>
      </c>
      <c r="R1132" s="79" t="str">
        <f>IF(AND($N1132=$Q$7,$B1132&lt;'111'!$L$11),"x","")</f>
        <v/>
      </c>
      <c r="S1132" s="79" t="str">
        <f>IF(AND($O1132=$Q$7,$B1132&lt;'111'!$L$11),"x","")</f>
        <v/>
      </c>
      <c r="T1132" s="79" t="str">
        <f>IF(ISERROR(FIND('112'!$M$9,G1132,1)),"",IF((AND(FIND('112'!$M$9,G1132,1)&gt;=1,B1132='112'!$K$9,OR($N1132='112'!$I$6,$O1132='112'!$I$6))),"x",""))</f>
        <v/>
      </c>
      <c r="U1132" s="79" t="str">
        <f>IF(ISERROR(FIND('112'!$M$9,G1132,1)),"",IF((AND(LEFT(G1132,2)=LEFT('112'!$M$9,2),B1132&lt;'112'!$K$9,$N1132='112'!$I$6)),"x",""))</f>
        <v/>
      </c>
      <c r="V1132" s="79" t="str">
        <f>IF(ISERROR(FIND('112'!$M$9,G1132,1)),"",IF((AND(RIGHT(G1132,2)=RIGHT('112'!$M$9,2),B1132&lt;'112'!$K$9,$O1132='112'!$I$6)),"x",""))</f>
        <v/>
      </c>
      <c r="W1132" s="79" t="str">
        <f>IF(AND('341-CT'!$H$9=H1132,OR(LEFT(N1132,3)=$W$7,LEFT(O1132,3)=$W$7)),"x","")</f>
        <v/>
      </c>
      <c r="X1132" s="79" t="str">
        <f>IF(OR(TH!N1132=TH!$X$7,O1132=TH!$X$7),"x","")</f>
        <v/>
      </c>
      <c r="Y1132" s="79" t="str">
        <f>IF(AND(OR(N1132="131",O1132="131"),H1132='131-CT'!$H$9),"x","")</f>
        <v/>
      </c>
      <c r="Z1132" s="79"/>
      <c r="AA1132" s="79" t="str">
        <f>IF(AND(MONTH(E1132)='IN-NX'!$J$5,'IN-NX'!$D$7=D1132),"x","")</f>
        <v/>
      </c>
      <c r="AB1132" s="79" t="str">
        <f>IF(AND(OR(LEFT(TH!N1132,2)="15",LEFT(TH!O1132,2)="15"),LEFT(TH!O1132,3)&lt;&gt;"111",'152-CT'!$J$8=TH!F1132),"x","")</f>
        <v/>
      </c>
      <c r="AC1132" s="79" t="str">
        <f>IF(AND(OR(LEFT(TH!N1132,2)="15",LEFT(TH!O1132,2)="15"),TK!$E$7=TH!F1132),"x","")</f>
        <v/>
      </c>
      <c r="AD1132" s="79" t="str">
        <f>IF(AND(N1132="1521",MONTH(C1132)='BK-NL'!$M$11),"x","")</f>
        <v/>
      </c>
    </row>
    <row r="1133" spans="1:30" s="1102" customFormat="1" ht="16.5" customHeight="1">
      <c r="A1133" s="318" t="str">
        <f>IF(B1133&lt;&gt;"",IF(AND(B1133='IN-TC'!$S$4,OR(TH!N1133="1111",TH!O1133="1111")),TH!D1133,""),"")</f>
        <v/>
      </c>
      <c r="B1133" s="60" t="str">
        <f t="shared" si="192"/>
        <v/>
      </c>
      <c r="C1133" s="981"/>
      <c r="D1133" s="981"/>
      <c r="E1133" s="981"/>
      <c r="F1133" s="1008"/>
      <c r="G1133" s="987"/>
      <c r="H1133" s="997"/>
      <c r="I1133" s="984"/>
      <c r="J1133" s="984"/>
      <c r="K1133" s="984"/>
      <c r="L1133" s="983"/>
      <c r="M1133" s="985"/>
      <c r="N1133" s="986"/>
      <c r="O1133" s="986"/>
      <c r="P1133" s="79" t="str">
        <f>IF(AND('331-CT'!$E$7=TH!H1133,OR(N1133="331",O1133="331")),"x","")</f>
        <v/>
      </c>
      <c r="Q1133" s="79" t="str">
        <f>IF(AND(B1133='111'!$L$11,OR($N1133=$Q$7,$O1133=$Q$7)),"x","")</f>
        <v/>
      </c>
      <c r="R1133" s="79" t="str">
        <f>IF(AND($N1133=$Q$7,$B1133&lt;'111'!$L$11),"x","")</f>
        <v/>
      </c>
      <c r="S1133" s="79" t="str">
        <f>IF(AND($O1133=$Q$7,$B1133&lt;'111'!$L$11),"x","")</f>
        <v/>
      </c>
      <c r="T1133" s="79" t="str">
        <f>IF(ISERROR(FIND('112'!$M$9,G1133,1)),"",IF((AND(FIND('112'!$M$9,G1133,1)&gt;=1,B1133='112'!$K$9,OR($N1133='112'!$I$6,$O1133='112'!$I$6))),"x",""))</f>
        <v/>
      </c>
      <c r="U1133" s="79" t="str">
        <f>IF(ISERROR(FIND('112'!$M$9,G1133,1)),"",IF((AND(LEFT(G1133,2)=LEFT('112'!$M$9,2),B1133&lt;'112'!$K$9,$N1133='112'!$I$6)),"x",""))</f>
        <v/>
      </c>
      <c r="V1133" s="79" t="str">
        <f>IF(ISERROR(FIND('112'!$M$9,G1133,1)),"",IF((AND(RIGHT(G1133,2)=RIGHT('112'!$M$9,2),B1133&lt;'112'!$K$9,$O1133='112'!$I$6)),"x",""))</f>
        <v/>
      </c>
      <c r="W1133" s="79" t="str">
        <f>IF(AND('341-CT'!$H$9=H1133,OR(LEFT(N1133,3)=$W$7,LEFT(O1133,3)=$W$7)),"x","")</f>
        <v/>
      </c>
      <c r="X1133" s="79" t="str">
        <f>IF(OR(TH!N1133=TH!$X$7,O1133=TH!$X$7),"x","")</f>
        <v/>
      </c>
      <c r="Y1133" s="79" t="str">
        <f>IF(AND(OR(N1133="131",O1133="131"),H1133='131-CT'!$H$9),"x","")</f>
        <v/>
      </c>
      <c r="Z1133" s="79"/>
      <c r="AA1133" s="79" t="str">
        <f>IF(AND(MONTH(E1133)='IN-NX'!$J$5,'IN-NX'!$D$7=D1133),"x","")</f>
        <v/>
      </c>
      <c r="AB1133" s="79" t="str">
        <f>IF(AND(OR(LEFT(TH!N1133,2)="15",LEFT(TH!O1133,2)="15"),LEFT(TH!O1133,3)&lt;&gt;"111",'152-CT'!$J$8=TH!F1133),"x","")</f>
        <v/>
      </c>
      <c r="AC1133" s="79" t="str">
        <f>IF(AND(OR(LEFT(TH!N1133,2)="15",LEFT(TH!O1133,2)="15"),TK!$E$7=TH!F1133),"x","")</f>
        <v/>
      </c>
      <c r="AD1133" s="79" t="str">
        <f>IF(AND(N1133="1521",MONTH(C1133)='BK-NL'!$M$11),"x","")</f>
        <v/>
      </c>
    </row>
    <row r="1134" spans="1:30" s="1102" customFormat="1" ht="16.5" customHeight="1">
      <c r="A1134" s="318" t="str">
        <f>IF(B1134&lt;&gt;"",IF(AND(B1134='IN-TC'!$S$4,OR(TH!N1134="1111",TH!O1134="1111")),TH!D1134,""),"")</f>
        <v/>
      </c>
      <c r="B1134" s="60" t="str">
        <f t="shared" si="192"/>
        <v/>
      </c>
      <c r="C1134" s="981"/>
      <c r="D1134" s="981"/>
      <c r="E1134" s="981"/>
      <c r="F1134" s="1008"/>
      <c r="G1134" s="987"/>
      <c r="H1134" s="997"/>
      <c r="I1134" s="984"/>
      <c r="J1134" s="984"/>
      <c r="K1134" s="984"/>
      <c r="L1134" s="983"/>
      <c r="M1134" s="985"/>
      <c r="N1134" s="986"/>
      <c r="O1134" s="986"/>
      <c r="P1134" s="79" t="str">
        <f>IF(AND('331-CT'!$E$7=TH!H1134,OR(N1134="331",O1134="331")),"x","")</f>
        <v/>
      </c>
      <c r="Q1134" s="79" t="str">
        <f>IF(AND(B1134='111'!$L$11,OR($N1134=$Q$7,$O1134=$Q$7)),"x","")</f>
        <v/>
      </c>
      <c r="R1134" s="79" t="str">
        <f>IF(AND($N1134=$Q$7,$B1134&lt;'111'!$L$11),"x","")</f>
        <v/>
      </c>
      <c r="S1134" s="79" t="str">
        <f>IF(AND($O1134=$Q$7,$B1134&lt;'111'!$L$11),"x","")</f>
        <v/>
      </c>
      <c r="T1134" s="79" t="str">
        <f>IF(ISERROR(FIND('112'!$M$9,G1134,1)),"",IF((AND(FIND('112'!$M$9,G1134,1)&gt;=1,B1134='112'!$K$9,OR($N1134='112'!$I$6,$O1134='112'!$I$6))),"x",""))</f>
        <v/>
      </c>
      <c r="U1134" s="79" t="str">
        <f>IF(ISERROR(FIND('112'!$M$9,G1134,1)),"",IF((AND(LEFT(G1134,2)=LEFT('112'!$M$9,2),B1134&lt;'112'!$K$9,$N1134='112'!$I$6)),"x",""))</f>
        <v/>
      </c>
      <c r="V1134" s="79" t="str">
        <f>IF(ISERROR(FIND('112'!$M$9,G1134,1)),"",IF((AND(RIGHT(G1134,2)=RIGHT('112'!$M$9,2),B1134&lt;'112'!$K$9,$O1134='112'!$I$6)),"x",""))</f>
        <v/>
      </c>
      <c r="W1134" s="79" t="str">
        <f>IF(AND('341-CT'!$H$9=H1134,OR(LEFT(N1134,3)=$W$7,LEFT(O1134,3)=$W$7)),"x","")</f>
        <v/>
      </c>
      <c r="X1134" s="79" t="str">
        <f>IF(OR(TH!N1134=TH!$X$7,O1134=TH!$X$7),"x","")</f>
        <v/>
      </c>
      <c r="Y1134" s="79" t="str">
        <f>IF(AND(OR(N1134="131",O1134="131"),H1134='131-CT'!$H$9),"x","")</f>
        <v/>
      </c>
      <c r="Z1134" s="79"/>
      <c r="AA1134" s="79" t="str">
        <f>IF(AND(MONTH(E1134)='IN-NX'!$J$5,'IN-NX'!$D$7=D1134),"x","")</f>
        <v/>
      </c>
      <c r="AB1134" s="79" t="str">
        <f>IF(AND(OR(LEFT(TH!N1134,2)="15",LEFT(TH!O1134,2)="15"),LEFT(TH!O1134,3)&lt;&gt;"111",'152-CT'!$J$8=TH!F1134),"x","")</f>
        <v/>
      </c>
      <c r="AC1134" s="79" t="str">
        <f>IF(AND(OR(LEFT(TH!N1134,2)="15",LEFT(TH!O1134,2)="15"),TK!$E$7=TH!F1134),"x","")</f>
        <v/>
      </c>
      <c r="AD1134" s="79" t="str">
        <f>IF(AND(N1134="1521",MONTH(C1134)='BK-NL'!$M$11),"x","")</f>
        <v/>
      </c>
    </row>
    <row r="1135" spans="1:30" s="1102" customFormat="1" ht="16.5" customHeight="1">
      <c r="A1135" s="318" t="str">
        <f>IF(B1135&lt;&gt;"",IF(AND(B1135='IN-TC'!$S$4,OR(TH!N1135="1111",TH!O1135="1111")),TH!D1135,""),"")</f>
        <v/>
      </c>
      <c r="B1135" s="60" t="str">
        <f t="shared" si="192"/>
        <v/>
      </c>
      <c r="C1135" s="981"/>
      <c r="D1135" s="981"/>
      <c r="E1135" s="981"/>
      <c r="F1135" s="1008"/>
      <c r="G1135" s="987"/>
      <c r="H1135" s="997"/>
      <c r="I1135" s="984"/>
      <c r="J1135" s="984"/>
      <c r="K1135" s="984"/>
      <c r="L1135" s="983"/>
      <c r="M1135" s="985"/>
      <c r="N1135" s="986"/>
      <c r="O1135" s="986"/>
      <c r="P1135" s="79" t="str">
        <f>IF(AND('331-CT'!$E$7=TH!H1135,OR(N1135="331",O1135="331")),"x","")</f>
        <v/>
      </c>
      <c r="Q1135" s="79" t="str">
        <f>IF(AND(B1135='111'!$L$11,OR($N1135=$Q$7,$O1135=$Q$7)),"x","")</f>
        <v/>
      </c>
      <c r="R1135" s="79" t="str">
        <f>IF(AND($N1135=$Q$7,$B1135&lt;'111'!$L$11),"x","")</f>
        <v/>
      </c>
      <c r="S1135" s="79" t="str">
        <f>IF(AND($O1135=$Q$7,$B1135&lt;'111'!$L$11),"x","")</f>
        <v/>
      </c>
      <c r="T1135" s="79" t="str">
        <f>IF(ISERROR(FIND('112'!$M$9,G1135,1)),"",IF((AND(FIND('112'!$M$9,G1135,1)&gt;=1,B1135='112'!$K$9,OR($N1135='112'!$I$6,$O1135='112'!$I$6))),"x",""))</f>
        <v/>
      </c>
      <c r="U1135" s="79" t="str">
        <f>IF(ISERROR(FIND('112'!$M$9,G1135,1)),"",IF((AND(LEFT(G1135,2)=LEFT('112'!$M$9,2),B1135&lt;'112'!$K$9,$N1135='112'!$I$6)),"x",""))</f>
        <v/>
      </c>
      <c r="V1135" s="79" t="str">
        <f>IF(ISERROR(FIND('112'!$M$9,G1135,1)),"",IF((AND(RIGHT(G1135,2)=RIGHT('112'!$M$9,2),B1135&lt;'112'!$K$9,$O1135='112'!$I$6)),"x",""))</f>
        <v/>
      </c>
      <c r="W1135" s="79" t="str">
        <f>IF(AND('341-CT'!$H$9=H1135,OR(LEFT(N1135,3)=$W$7,LEFT(O1135,3)=$W$7)),"x","")</f>
        <v/>
      </c>
      <c r="X1135" s="79" t="str">
        <f>IF(OR(TH!N1135=TH!$X$7,O1135=TH!$X$7),"x","")</f>
        <v/>
      </c>
      <c r="Y1135" s="79" t="str">
        <f>IF(AND(OR(N1135="131",O1135="131"),H1135='131-CT'!$H$9),"x","")</f>
        <v/>
      </c>
      <c r="Z1135" s="79"/>
      <c r="AA1135" s="79" t="str">
        <f>IF(AND(MONTH(E1135)='IN-NX'!$J$5,'IN-NX'!$D$7=D1135),"x","")</f>
        <v/>
      </c>
      <c r="AB1135" s="79" t="str">
        <f>IF(AND(OR(LEFT(TH!N1135,2)="15",LEFT(TH!O1135,2)="15"),LEFT(TH!O1135,3)&lt;&gt;"111",'152-CT'!$J$8=TH!F1135),"x","")</f>
        <v/>
      </c>
      <c r="AC1135" s="79" t="str">
        <f>IF(AND(OR(LEFT(TH!N1135,2)="15",LEFT(TH!O1135,2)="15"),TK!$E$7=TH!F1135),"x","")</f>
        <v/>
      </c>
      <c r="AD1135" s="79" t="str">
        <f>IF(AND(N1135="1521",MONTH(C1135)='BK-NL'!$M$11),"x","")</f>
        <v/>
      </c>
    </row>
    <row r="1136" spans="1:30" s="1102" customFormat="1" ht="16.5" customHeight="1">
      <c r="A1136" s="318" t="str">
        <f>IF(B1136&lt;&gt;"",IF(AND(B1136='IN-TC'!$S$4,OR(TH!N1136="1111",TH!O1136="1111")),TH!D1136,""),"")</f>
        <v/>
      </c>
      <c r="B1136" s="60" t="str">
        <f t="shared" si="192"/>
        <v/>
      </c>
      <c r="C1136" s="981"/>
      <c r="D1136" s="981"/>
      <c r="E1136" s="981"/>
      <c r="F1136" s="1008"/>
      <c r="G1136" s="987"/>
      <c r="H1136" s="997"/>
      <c r="I1136" s="984"/>
      <c r="J1136" s="984"/>
      <c r="K1136" s="984"/>
      <c r="L1136" s="983"/>
      <c r="M1136" s="985"/>
      <c r="N1136" s="986"/>
      <c r="O1136" s="986"/>
      <c r="P1136" s="79" t="str">
        <f>IF(AND('331-CT'!$E$7=TH!H1136,OR(N1136="331",O1136="331")),"x","")</f>
        <v/>
      </c>
      <c r="Q1136" s="79" t="str">
        <f>IF(AND(B1136='111'!$L$11,OR($N1136=$Q$7,$O1136=$Q$7)),"x","")</f>
        <v/>
      </c>
      <c r="R1136" s="79" t="str">
        <f>IF(AND($N1136=$Q$7,$B1136&lt;'111'!$L$11),"x","")</f>
        <v/>
      </c>
      <c r="S1136" s="79" t="str">
        <f>IF(AND($O1136=$Q$7,$B1136&lt;'111'!$L$11),"x","")</f>
        <v/>
      </c>
      <c r="T1136" s="79" t="str">
        <f>IF(ISERROR(FIND('112'!$M$9,G1136,1)),"",IF((AND(FIND('112'!$M$9,G1136,1)&gt;=1,B1136='112'!$K$9,OR($N1136='112'!$I$6,$O1136='112'!$I$6))),"x",""))</f>
        <v/>
      </c>
      <c r="U1136" s="79" t="str">
        <f>IF(ISERROR(FIND('112'!$M$9,G1136,1)),"",IF((AND(LEFT(G1136,2)=LEFT('112'!$M$9,2),B1136&lt;'112'!$K$9,$N1136='112'!$I$6)),"x",""))</f>
        <v/>
      </c>
      <c r="V1136" s="79" t="str">
        <f>IF(ISERROR(FIND('112'!$M$9,G1136,1)),"",IF((AND(RIGHT(G1136,2)=RIGHT('112'!$M$9,2),B1136&lt;'112'!$K$9,$O1136='112'!$I$6)),"x",""))</f>
        <v/>
      </c>
      <c r="W1136" s="79" t="str">
        <f>IF(AND('341-CT'!$H$9=H1136,OR(LEFT(N1136,3)=$W$7,LEFT(O1136,3)=$W$7)),"x","")</f>
        <v/>
      </c>
      <c r="X1136" s="79" t="str">
        <f>IF(OR(TH!N1136=TH!$X$7,O1136=TH!$X$7),"x","")</f>
        <v/>
      </c>
      <c r="Y1136" s="79" t="str">
        <f>IF(AND(OR(N1136="131",O1136="131"),H1136='131-CT'!$H$9),"x","")</f>
        <v/>
      </c>
      <c r="Z1136" s="79"/>
      <c r="AA1136" s="79" t="str">
        <f>IF(AND(MONTH(E1136)='IN-NX'!$J$5,'IN-NX'!$D$7=D1136),"x","")</f>
        <v/>
      </c>
      <c r="AB1136" s="79" t="str">
        <f>IF(AND(OR(LEFT(TH!N1136,2)="15",LEFT(TH!O1136,2)="15"),LEFT(TH!O1136,3)&lt;&gt;"111",'152-CT'!$J$8=TH!F1136),"x","")</f>
        <v/>
      </c>
      <c r="AC1136" s="79" t="str">
        <f>IF(AND(OR(LEFT(TH!N1136,2)="15",LEFT(TH!O1136,2)="15"),TK!$E$7=TH!F1136),"x","")</f>
        <v/>
      </c>
      <c r="AD1136" s="79" t="str">
        <f>IF(AND(N1136="1521",MONTH(C1136)='BK-NL'!$M$11),"x","")</f>
        <v/>
      </c>
    </row>
    <row r="1137" spans="1:30" s="1102" customFormat="1" ht="16.5" customHeight="1">
      <c r="A1137" s="318" t="str">
        <f>IF(B1137&lt;&gt;"",IF(AND(B1137='IN-TC'!$S$4,OR(TH!N1137="1111",TH!O1137="1111")),TH!D1137,""),"")</f>
        <v/>
      </c>
      <c r="B1137" s="60" t="str">
        <f t="shared" si="192"/>
        <v/>
      </c>
      <c r="C1137" s="981"/>
      <c r="D1137" s="981"/>
      <c r="E1137" s="981"/>
      <c r="F1137" s="1008"/>
      <c r="G1137" s="987"/>
      <c r="H1137" s="997"/>
      <c r="I1137" s="984"/>
      <c r="J1137" s="984"/>
      <c r="K1137" s="984"/>
      <c r="L1137" s="983"/>
      <c r="M1137" s="985"/>
      <c r="N1137" s="986"/>
      <c r="O1137" s="986"/>
      <c r="P1137" s="79" t="str">
        <f>IF(AND('331-CT'!$E$7=TH!H1137,OR(N1137="331",O1137="331")),"x","")</f>
        <v/>
      </c>
      <c r="Q1137" s="79" t="str">
        <f>IF(AND(B1137='111'!$L$11,OR($N1137=$Q$7,$O1137=$Q$7)),"x","")</f>
        <v/>
      </c>
      <c r="R1137" s="79" t="str">
        <f>IF(AND($N1137=$Q$7,$B1137&lt;'111'!$L$11),"x","")</f>
        <v/>
      </c>
      <c r="S1137" s="79" t="str">
        <f>IF(AND($O1137=$Q$7,$B1137&lt;'111'!$L$11),"x","")</f>
        <v/>
      </c>
      <c r="T1137" s="79" t="str">
        <f>IF(ISERROR(FIND('112'!$M$9,G1137,1)),"",IF((AND(FIND('112'!$M$9,G1137,1)&gt;=1,B1137='112'!$K$9,OR($N1137='112'!$I$6,$O1137='112'!$I$6))),"x",""))</f>
        <v/>
      </c>
      <c r="U1137" s="79" t="str">
        <f>IF(ISERROR(FIND('112'!$M$9,G1137,1)),"",IF((AND(LEFT(G1137,2)=LEFT('112'!$M$9,2),B1137&lt;'112'!$K$9,$N1137='112'!$I$6)),"x",""))</f>
        <v/>
      </c>
      <c r="V1137" s="79" t="str">
        <f>IF(ISERROR(FIND('112'!$M$9,G1137,1)),"",IF((AND(RIGHT(G1137,2)=RIGHT('112'!$M$9,2),B1137&lt;'112'!$K$9,$O1137='112'!$I$6)),"x",""))</f>
        <v/>
      </c>
      <c r="W1137" s="79" t="str">
        <f>IF(AND('341-CT'!$H$9=H1137,OR(LEFT(N1137,3)=$W$7,LEFT(O1137,3)=$W$7)),"x","")</f>
        <v/>
      </c>
      <c r="X1137" s="79" t="str">
        <f>IF(OR(TH!N1137=TH!$X$7,O1137=TH!$X$7),"x","")</f>
        <v/>
      </c>
      <c r="Y1137" s="79" t="str">
        <f>IF(AND(OR(N1137="131",O1137="131"),H1137='131-CT'!$H$9),"x","")</f>
        <v/>
      </c>
      <c r="Z1137" s="79"/>
      <c r="AA1137" s="79" t="str">
        <f>IF(AND(MONTH(E1137)='IN-NX'!$J$5,'IN-NX'!$D$7=D1137),"x","")</f>
        <v/>
      </c>
      <c r="AB1137" s="79" t="str">
        <f>IF(AND(OR(LEFT(TH!N1137,2)="15",LEFT(TH!O1137,2)="15"),LEFT(TH!O1137,3)&lt;&gt;"111",'152-CT'!$J$8=TH!F1137),"x","")</f>
        <v/>
      </c>
      <c r="AC1137" s="79" t="str">
        <f>IF(AND(OR(LEFT(TH!N1137,2)="15",LEFT(TH!O1137,2)="15"),TK!$E$7=TH!F1137),"x","")</f>
        <v/>
      </c>
      <c r="AD1137" s="79" t="str">
        <f>IF(AND(N1137="1521",MONTH(C1137)='BK-NL'!$M$11),"x","")</f>
        <v/>
      </c>
    </row>
    <row r="1138" spans="1:30" s="1102" customFormat="1" ht="16.5" customHeight="1">
      <c r="A1138" s="318" t="str">
        <f>IF(B1138&lt;&gt;"",IF(AND(B1138='IN-TC'!$S$4,OR(TH!N1138="1111",TH!O1138="1111")),TH!D1138,""),"")</f>
        <v/>
      </c>
      <c r="B1138" s="60" t="str">
        <f t="shared" si="192"/>
        <v/>
      </c>
      <c r="C1138" s="981"/>
      <c r="D1138" s="981"/>
      <c r="E1138" s="981"/>
      <c r="F1138" s="1008"/>
      <c r="G1138" s="987"/>
      <c r="H1138" s="997"/>
      <c r="I1138" s="984"/>
      <c r="J1138" s="984"/>
      <c r="K1138" s="984"/>
      <c r="L1138" s="983"/>
      <c r="M1138" s="985"/>
      <c r="N1138" s="986"/>
      <c r="O1138" s="986"/>
      <c r="P1138" s="79" t="str">
        <f>IF(AND('331-CT'!$E$7=TH!H1138,OR(N1138="331",O1138="331")),"x","")</f>
        <v/>
      </c>
      <c r="Q1138" s="79" t="str">
        <f>IF(AND(B1138='111'!$L$11,OR($N1138=$Q$7,$O1138=$Q$7)),"x","")</f>
        <v/>
      </c>
      <c r="R1138" s="79" t="str">
        <f>IF(AND($N1138=$Q$7,$B1138&lt;'111'!$L$11),"x","")</f>
        <v/>
      </c>
      <c r="S1138" s="79" t="str">
        <f>IF(AND($O1138=$Q$7,$B1138&lt;'111'!$L$11),"x","")</f>
        <v/>
      </c>
      <c r="T1138" s="79" t="str">
        <f>IF(ISERROR(FIND('112'!$M$9,G1138,1)),"",IF((AND(FIND('112'!$M$9,G1138,1)&gt;=1,B1138='112'!$K$9,OR($N1138='112'!$I$6,$O1138='112'!$I$6))),"x",""))</f>
        <v/>
      </c>
      <c r="U1138" s="79" t="str">
        <f>IF(ISERROR(FIND('112'!$M$9,G1138,1)),"",IF((AND(LEFT(G1138,2)=LEFT('112'!$M$9,2),B1138&lt;'112'!$K$9,$N1138='112'!$I$6)),"x",""))</f>
        <v/>
      </c>
      <c r="V1138" s="79" t="str">
        <f>IF(ISERROR(FIND('112'!$M$9,G1138,1)),"",IF((AND(RIGHT(G1138,2)=RIGHT('112'!$M$9,2),B1138&lt;'112'!$K$9,$O1138='112'!$I$6)),"x",""))</f>
        <v/>
      </c>
      <c r="W1138" s="79" t="str">
        <f>IF(AND('341-CT'!$H$9=H1138,OR(LEFT(N1138,3)=$W$7,LEFT(O1138,3)=$W$7)),"x","")</f>
        <v/>
      </c>
      <c r="X1138" s="79" t="str">
        <f>IF(OR(TH!N1138=TH!$X$7,O1138=TH!$X$7),"x","")</f>
        <v/>
      </c>
      <c r="Y1138" s="79" t="str">
        <f>IF(AND(OR(N1138="131",O1138="131"),H1138='131-CT'!$H$9),"x","")</f>
        <v/>
      </c>
      <c r="Z1138" s="79"/>
      <c r="AA1138" s="79" t="str">
        <f>IF(AND(MONTH(E1138)='IN-NX'!$J$5,'IN-NX'!$D$7=D1138),"x","")</f>
        <v/>
      </c>
      <c r="AB1138" s="79" t="str">
        <f>IF(AND(OR(LEFT(TH!N1138,2)="15",LEFT(TH!O1138,2)="15"),LEFT(TH!O1138,3)&lt;&gt;"111",'152-CT'!$J$8=TH!F1138),"x","")</f>
        <v/>
      </c>
      <c r="AC1138" s="79" t="str">
        <f>IF(AND(OR(LEFT(TH!N1138,2)="15",LEFT(TH!O1138,2)="15"),TK!$E$7=TH!F1138),"x","")</f>
        <v/>
      </c>
      <c r="AD1138" s="79" t="str">
        <f>IF(AND(N1138="1521",MONTH(C1138)='BK-NL'!$M$11),"x","")</f>
        <v/>
      </c>
    </row>
    <row r="1139" spans="1:30" s="1102" customFormat="1" ht="16.5" customHeight="1">
      <c r="A1139" s="318" t="str">
        <f>IF(B1139&lt;&gt;"",IF(AND(B1139='IN-TC'!$S$4,OR(TH!N1139="1111",TH!O1139="1111")),TH!D1139,""),"")</f>
        <v/>
      </c>
      <c r="B1139" s="60" t="str">
        <f t="shared" si="192"/>
        <v/>
      </c>
      <c r="C1139" s="981"/>
      <c r="D1139" s="981"/>
      <c r="E1139" s="981"/>
      <c r="F1139" s="1008"/>
      <c r="G1139" s="987"/>
      <c r="H1139" s="997"/>
      <c r="I1139" s="984"/>
      <c r="J1139" s="984"/>
      <c r="K1139" s="984"/>
      <c r="L1139" s="983"/>
      <c r="M1139" s="985"/>
      <c r="N1139" s="986"/>
      <c r="O1139" s="986"/>
      <c r="P1139" s="79" t="str">
        <f>IF(AND('331-CT'!$E$7=TH!H1139,OR(N1139="331",O1139="331")),"x","")</f>
        <v/>
      </c>
      <c r="Q1139" s="79" t="str">
        <f>IF(AND(B1139='111'!$L$11,OR($N1139=$Q$7,$O1139=$Q$7)),"x","")</f>
        <v/>
      </c>
      <c r="R1139" s="79" t="str">
        <f>IF(AND($N1139=$Q$7,$B1139&lt;'111'!$L$11),"x","")</f>
        <v/>
      </c>
      <c r="S1139" s="79" t="str">
        <f>IF(AND($O1139=$Q$7,$B1139&lt;'111'!$L$11),"x","")</f>
        <v/>
      </c>
      <c r="T1139" s="79" t="str">
        <f>IF(ISERROR(FIND('112'!$M$9,G1139,1)),"",IF((AND(FIND('112'!$M$9,G1139,1)&gt;=1,B1139='112'!$K$9,OR($N1139='112'!$I$6,$O1139='112'!$I$6))),"x",""))</f>
        <v/>
      </c>
      <c r="U1139" s="79" t="str">
        <f>IF(ISERROR(FIND('112'!$M$9,G1139,1)),"",IF((AND(LEFT(G1139,2)=LEFT('112'!$M$9,2),B1139&lt;'112'!$K$9,$N1139='112'!$I$6)),"x",""))</f>
        <v/>
      </c>
      <c r="V1139" s="79" t="str">
        <f>IF(ISERROR(FIND('112'!$M$9,G1139,1)),"",IF((AND(RIGHT(G1139,2)=RIGHT('112'!$M$9,2),B1139&lt;'112'!$K$9,$O1139='112'!$I$6)),"x",""))</f>
        <v/>
      </c>
      <c r="W1139" s="79" t="str">
        <f>IF(AND('341-CT'!$H$9=H1139,OR(LEFT(N1139,3)=$W$7,LEFT(O1139,3)=$W$7)),"x","")</f>
        <v/>
      </c>
      <c r="X1139" s="79" t="str">
        <f>IF(OR(TH!N1139=TH!$X$7,O1139=TH!$X$7),"x","")</f>
        <v/>
      </c>
      <c r="Y1139" s="79" t="str">
        <f>IF(AND(OR(N1139="131",O1139="131"),H1139='131-CT'!$H$9),"x","")</f>
        <v/>
      </c>
      <c r="Z1139" s="79"/>
      <c r="AA1139" s="79" t="str">
        <f>IF(AND(MONTH(E1139)='IN-NX'!$J$5,'IN-NX'!$D$7=D1139),"x","")</f>
        <v/>
      </c>
      <c r="AB1139" s="79" t="str">
        <f>IF(AND(OR(LEFT(TH!N1139,2)="15",LEFT(TH!O1139,2)="15"),LEFT(TH!O1139,3)&lt;&gt;"111",'152-CT'!$J$8=TH!F1139),"x","")</f>
        <v/>
      </c>
      <c r="AC1139" s="79" t="str">
        <f>IF(AND(OR(LEFT(TH!N1139,2)="15",LEFT(TH!O1139,2)="15"),TK!$E$7=TH!F1139),"x","")</f>
        <v/>
      </c>
      <c r="AD1139" s="79" t="str">
        <f>IF(AND(N1139="1521",MONTH(C1139)='BK-NL'!$M$11),"x","")</f>
        <v/>
      </c>
    </row>
    <row r="1140" spans="1:30" s="1102" customFormat="1" ht="16.5" customHeight="1">
      <c r="A1140" s="318" t="str">
        <f>IF(B1140&lt;&gt;"",IF(AND(B1140='IN-TC'!$S$4,OR(TH!N1140="1111",TH!O1140="1111")),TH!D1140,""),"")</f>
        <v/>
      </c>
      <c r="B1140" s="60" t="str">
        <f t="shared" ref="B1140" si="193">IF(C1140&lt;&gt;"",MONTH(C1140),"")</f>
        <v/>
      </c>
      <c r="C1140" s="981"/>
      <c r="D1140" s="981"/>
      <c r="E1140" s="981"/>
      <c r="F1140" s="1008"/>
      <c r="G1140" s="987"/>
      <c r="H1140" s="85"/>
      <c r="I1140" s="984"/>
      <c r="J1140" s="984"/>
      <c r="K1140" s="984"/>
      <c r="L1140" s="983"/>
      <c r="M1140" s="985"/>
      <c r="N1140" s="986"/>
      <c r="O1140" s="986"/>
      <c r="P1140" s="79" t="str">
        <f>IF(AND('331-CT'!$E$7=TH!H1140,OR(N1140="331",O1140="331")),"x","")</f>
        <v/>
      </c>
      <c r="Q1140" s="79" t="str">
        <f>IF(AND(B1140='111'!$L$11,OR($N1140=$Q$7,$O1140=$Q$7)),"x","")</f>
        <v/>
      </c>
      <c r="R1140" s="79" t="str">
        <f>IF(AND($N1140=$Q$7,$B1140&lt;'111'!$L$11),"x","")</f>
        <v/>
      </c>
      <c r="S1140" s="79" t="str">
        <f>IF(AND($O1140=$Q$7,$B1140&lt;'111'!$L$11),"x","")</f>
        <v/>
      </c>
      <c r="T1140" s="79" t="str">
        <f>IF(ISERROR(FIND('112'!$M$9,G1140,1)),"",IF((AND(FIND('112'!$M$9,G1140,1)&gt;=1,B1140='112'!$K$9,OR($N1140='112'!$I$6,$O1140='112'!$I$6))),"x",""))</f>
        <v/>
      </c>
      <c r="U1140" s="79" t="str">
        <f>IF(ISERROR(FIND('112'!$M$9,G1140,1)),"",IF((AND(LEFT(G1140,2)=LEFT('112'!$M$9,2),B1140&lt;'112'!$K$9,$N1140='112'!$I$6)),"x",""))</f>
        <v/>
      </c>
      <c r="V1140" s="79" t="str">
        <f>IF(ISERROR(FIND('112'!$M$9,G1140,1)),"",IF((AND(RIGHT(G1140,2)=RIGHT('112'!$M$9,2),B1140&lt;'112'!$K$9,$O1140='112'!$I$6)),"x",""))</f>
        <v/>
      </c>
      <c r="W1140" s="79" t="str">
        <f>IF(AND('341-CT'!$H$9=H1140,OR(LEFT(N1140,3)=$W$7,LEFT(O1140,3)=$W$7)),"x","")</f>
        <v/>
      </c>
      <c r="X1140" s="79" t="str">
        <f>IF(OR(TH!N1140=TH!$X$7,O1140=TH!$X$7),"x","")</f>
        <v/>
      </c>
      <c r="Y1140" s="79" t="str">
        <f>IF(AND(OR(N1140="131",O1140="131"),H1140='131-CT'!$H$9),"x","")</f>
        <v/>
      </c>
      <c r="Z1140" s="79"/>
      <c r="AA1140" s="79" t="str">
        <f>IF(AND(MONTH(E1140)='IN-NX'!$J$5,'IN-NX'!$D$7=D1140),"x","")</f>
        <v/>
      </c>
      <c r="AB1140" s="79" t="str">
        <f>IF(AND(OR(LEFT(TH!N1140,2)="15",LEFT(TH!O1140,2)="15"),LEFT(TH!O1140,3)&lt;&gt;"111",'152-CT'!$J$8=TH!F1140),"x","")</f>
        <v/>
      </c>
      <c r="AC1140" s="79" t="str">
        <f>IF(AND(OR(LEFT(TH!N1140,2)="15",LEFT(TH!O1140,2)="15"),TK!$E$7=TH!F1140),"x","")</f>
        <v/>
      </c>
      <c r="AD1140" s="79" t="str">
        <f>IF(AND(N1140="1521",MONTH(C1140)='BK-NL'!$M$11),"x","")</f>
        <v/>
      </c>
    </row>
    <row r="1141" spans="1:30" s="1102" customFormat="1" ht="16.5" customHeight="1">
      <c r="A1141" s="318" t="str">
        <f>IF(B1141&lt;&gt;"",IF(AND(B1141='IN-TC'!$S$4,OR(TH!N1141="1111",TH!O1141="1111")),TH!D1141,""),"")</f>
        <v/>
      </c>
      <c r="B1141" s="60" t="str">
        <f t="shared" ref="B1141:B1173" si="194">IF(C1141&lt;&gt;"",MONTH(C1141),"")</f>
        <v/>
      </c>
      <c r="C1141" s="981"/>
      <c r="D1141" s="981"/>
      <c r="E1141" s="981"/>
      <c r="F1141" s="1008"/>
      <c r="G1141" s="987"/>
      <c r="H1141" s="85"/>
      <c r="I1141" s="984"/>
      <c r="J1141" s="984"/>
      <c r="K1141" s="984"/>
      <c r="L1141" s="983"/>
      <c r="M1141" s="985"/>
      <c r="N1141" s="986"/>
      <c r="O1141" s="986"/>
      <c r="P1141" s="79" t="str">
        <f>IF(AND('331-CT'!$E$7=TH!H1141,OR(N1141="331",O1141="331")),"x","")</f>
        <v/>
      </c>
      <c r="Q1141" s="79" t="str">
        <f>IF(AND(B1141='111'!$L$11,OR($N1141=$Q$7,$O1141=$Q$7)),"x","")</f>
        <v/>
      </c>
      <c r="R1141" s="79" t="str">
        <f>IF(AND($N1141=$Q$7,$B1141&lt;'111'!$L$11),"x","")</f>
        <v/>
      </c>
      <c r="S1141" s="79" t="str">
        <f>IF(AND($O1141=$Q$7,$B1141&lt;'111'!$L$11),"x","")</f>
        <v/>
      </c>
      <c r="T1141" s="79" t="str">
        <f>IF(ISERROR(FIND('112'!$M$9,G1141,1)),"",IF((AND(FIND('112'!$M$9,G1141,1)&gt;=1,B1141='112'!$K$9,OR($N1141='112'!$I$6,$O1141='112'!$I$6))),"x",""))</f>
        <v/>
      </c>
      <c r="U1141" s="79" t="str">
        <f>IF(ISERROR(FIND('112'!$M$9,G1141,1)),"",IF((AND(LEFT(G1141,2)=LEFT('112'!$M$9,2),B1141&lt;'112'!$K$9,$N1141='112'!$I$6)),"x",""))</f>
        <v/>
      </c>
      <c r="V1141" s="79" t="str">
        <f>IF(ISERROR(FIND('112'!$M$9,G1141,1)),"",IF((AND(RIGHT(G1141,2)=RIGHT('112'!$M$9,2),B1141&lt;'112'!$K$9,$O1141='112'!$I$6)),"x",""))</f>
        <v/>
      </c>
      <c r="W1141" s="79" t="str">
        <f>IF(AND('341-CT'!$H$9=H1141,OR(LEFT(N1141,3)=$W$7,LEFT(O1141,3)=$W$7)),"x","")</f>
        <v/>
      </c>
      <c r="X1141" s="79" t="str">
        <f>IF(OR(TH!N1141=TH!$X$7,O1141=TH!$X$7),"x","")</f>
        <v/>
      </c>
      <c r="Y1141" s="79" t="str">
        <f>IF(AND(OR(N1141="131",O1141="131"),H1141='131-CT'!$H$9),"x","")</f>
        <v/>
      </c>
      <c r="Z1141" s="79"/>
      <c r="AA1141" s="79" t="str">
        <f>IF(AND(MONTH(E1141)='IN-NX'!$J$5,'IN-NX'!$D$7=D1141),"x","")</f>
        <v/>
      </c>
      <c r="AB1141" s="79" t="str">
        <f>IF(AND(OR(LEFT(TH!N1141,2)="15",LEFT(TH!O1141,2)="15"),LEFT(TH!O1141,3)&lt;&gt;"111",'152-CT'!$J$8=TH!F1141),"x","")</f>
        <v/>
      </c>
      <c r="AC1141" s="79" t="str">
        <f>IF(AND(OR(LEFT(TH!N1141,2)="15",LEFT(TH!O1141,2)="15"),TK!$E$7=TH!F1141),"x","")</f>
        <v/>
      </c>
      <c r="AD1141" s="79" t="str">
        <f>IF(AND(N1141="1521",MONTH(C1141)='BK-NL'!$M$11),"x","")</f>
        <v/>
      </c>
    </row>
    <row r="1142" spans="1:30" s="1102" customFormat="1" ht="16.5" customHeight="1">
      <c r="A1142" s="318" t="str">
        <f>IF(B1142&lt;&gt;"",IF(AND(B1142='IN-TC'!$S$4,OR(TH!N1142="1111",TH!O1142="1111")),TH!D1142,""),"")</f>
        <v/>
      </c>
      <c r="B1142" s="60" t="str">
        <f t="shared" si="194"/>
        <v/>
      </c>
      <c r="C1142" s="981"/>
      <c r="D1142" s="981"/>
      <c r="E1142" s="981"/>
      <c r="F1142" s="1008"/>
      <c r="G1142" s="987"/>
      <c r="H1142" s="997"/>
      <c r="I1142" s="984"/>
      <c r="J1142" s="984"/>
      <c r="K1142" s="984"/>
      <c r="L1142" s="983"/>
      <c r="M1142" s="985"/>
      <c r="N1142" s="986"/>
      <c r="O1142" s="986"/>
      <c r="P1142" s="79" t="str">
        <f>IF(AND('331-CT'!$E$7=TH!H1142,OR(N1142="331",O1142="331")),"x","")</f>
        <v/>
      </c>
      <c r="Q1142" s="79" t="str">
        <f>IF(AND(B1142='111'!$L$11,OR($N1142=$Q$7,$O1142=$Q$7)),"x","")</f>
        <v/>
      </c>
      <c r="R1142" s="79" t="str">
        <f>IF(AND($N1142=$Q$7,$B1142&lt;'111'!$L$11),"x","")</f>
        <v/>
      </c>
      <c r="S1142" s="79" t="str">
        <f>IF(AND($O1142=$Q$7,$B1142&lt;'111'!$L$11),"x","")</f>
        <v/>
      </c>
      <c r="T1142" s="79" t="str">
        <f>IF(ISERROR(FIND('112'!$M$9,G1142,1)),"",IF((AND(FIND('112'!$M$9,G1142,1)&gt;=1,B1142='112'!$K$9,OR($N1142='112'!$I$6,$O1142='112'!$I$6))),"x",""))</f>
        <v/>
      </c>
      <c r="U1142" s="79" t="str">
        <f>IF(ISERROR(FIND('112'!$M$9,G1142,1)),"",IF((AND(LEFT(G1142,2)=LEFT('112'!$M$9,2),B1142&lt;'112'!$K$9,$N1142='112'!$I$6)),"x",""))</f>
        <v/>
      </c>
      <c r="V1142" s="79" t="str">
        <f>IF(ISERROR(FIND('112'!$M$9,G1142,1)),"",IF((AND(RIGHT(G1142,2)=RIGHT('112'!$M$9,2),B1142&lt;'112'!$K$9,$O1142='112'!$I$6)),"x",""))</f>
        <v/>
      </c>
      <c r="W1142" s="79" t="str">
        <f>IF(AND('341-CT'!$H$9=H1142,OR(LEFT(N1142,3)=$W$7,LEFT(O1142,3)=$W$7)),"x","")</f>
        <v/>
      </c>
      <c r="X1142" s="79" t="str">
        <f>IF(OR(TH!N1142=TH!$X$7,O1142=TH!$X$7),"x","")</f>
        <v/>
      </c>
      <c r="Y1142" s="79" t="str">
        <f>IF(AND(OR(N1142="131",O1142="131"),H1142='131-CT'!$H$9),"x","")</f>
        <v/>
      </c>
      <c r="Z1142" s="79"/>
      <c r="AA1142" s="79" t="str">
        <f>IF(AND(MONTH(E1142)='IN-NX'!$J$5,'IN-NX'!$D$7=D1142),"x","")</f>
        <v/>
      </c>
      <c r="AB1142" s="79" t="str">
        <f>IF(AND(OR(LEFT(TH!N1142,2)="15",LEFT(TH!O1142,2)="15"),LEFT(TH!O1142,3)&lt;&gt;"111",'152-CT'!$J$8=TH!F1142),"x","")</f>
        <v/>
      </c>
      <c r="AC1142" s="79" t="str">
        <f>IF(AND(OR(LEFT(TH!N1142,2)="15",LEFT(TH!O1142,2)="15"),TK!$E$7=TH!F1142),"x","")</f>
        <v/>
      </c>
      <c r="AD1142" s="79" t="str">
        <f>IF(AND(N1142="1521",MONTH(C1142)='BK-NL'!$M$11),"x","")</f>
        <v/>
      </c>
    </row>
    <row r="1143" spans="1:30" s="1102" customFormat="1" ht="16.5" customHeight="1">
      <c r="A1143" s="318" t="str">
        <f>IF(B1143&lt;&gt;"",IF(AND(B1143='IN-TC'!$S$4,OR(TH!N1143="1111",TH!O1143="1111")),TH!D1143,""),"")</f>
        <v/>
      </c>
      <c r="B1143" s="60" t="str">
        <f t="shared" si="194"/>
        <v/>
      </c>
      <c r="C1143" s="981"/>
      <c r="D1143" s="981"/>
      <c r="E1143" s="981"/>
      <c r="F1143" s="1008"/>
      <c r="G1143" s="987"/>
      <c r="H1143" s="85"/>
      <c r="I1143" s="984"/>
      <c r="J1143" s="984"/>
      <c r="K1143" s="984"/>
      <c r="L1143" s="983"/>
      <c r="M1143" s="985"/>
      <c r="N1143" s="986"/>
      <c r="O1143" s="986"/>
      <c r="P1143" s="79" t="str">
        <f>IF(AND('331-CT'!$E$7=TH!H1143,OR(N1143="331",O1143="331")),"x","")</f>
        <v/>
      </c>
      <c r="Q1143" s="79" t="str">
        <f>IF(AND(B1143='111'!$L$11,OR($N1143=$Q$7,$O1143=$Q$7)),"x","")</f>
        <v/>
      </c>
      <c r="R1143" s="79" t="str">
        <f>IF(AND($N1143=$Q$7,$B1143&lt;'111'!$L$11),"x","")</f>
        <v/>
      </c>
      <c r="S1143" s="79" t="str">
        <f>IF(AND($O1143=$Q$7,$B1143&lt;'111'!$L$11),"x","")</f>
        <v/>
      </c>
      <c r="T1143" s="79" t="str">
        <f>IF(ISERROR(FIND('112'!$M$9,G1143,1)),"",IF((AND(FIND('112'!$M$9,G1143,1)&gt;=1,B1143='112'!$K$9,OR($N1143='112'!$I$6,$O1143='112'!$I$6))),"x",""))</f>
        <v/>
      </c>
      <c r="U1143" s="79" t="str">
        <f>IF(ISERROR(FIND('112'!$M$9,G1143,1)),"",IF((AND(LEFT(G1143,2)=LEFT('112'!$M$9,2),B1143&lt;'112'!$K$9,$N1143='112'!$I$6)),"x",""))</f>
        <v/>
      </c>
      <c r="V1143" s="79" t="str">
        <f>IF(ISERROR(FIND('112'!$M$9,G1143,1)),"",IF((AND(RIGHT(G1143,2)=RIGHT('112'!$M$9,2),B1143&lt;'112'!$K$9,$O1143='112'!$I$6)),"x",""))</f>
        <v/>
      </c>
      <c r="W1143" s="79" t="str">
        <f>IF(AND('341-CT'!$H$9=H1143,OR(LEFT(N1143,3)=$W$7,LEFT(O1143,3)=$W$7)),"x","")</f>
        <v/>
      </c>
      <c r="X1143" s="79" t="str">
        <f>IF(OR(TH!N1143=TH!$X$7,O1143=TH!$X$7),"x","")</f>
        <v/>
      </c>
      <c r="Y1143" s="79" t="str">
        <f>IF(AND(OR(N1143="131",O1143="131"),H1143='131-CT'!$H$9),"x","")</f>
        <v/>
      </c>
      <c r="Z1143" s="79"/>
      <c r="AA1143" s="79" t="str">
        <f>IF(AND(MONTH(E1143)='IN-NX'!$J$5,'IN-NX'!$D$7=D1143),"x","")</f>
        <v/>
      </c>
      <c r="AB1143" s="79" t="str">
        <f>IF(AND(OR(LEFT(TH!N1143,2)="15",LEFT(TH!O1143,2)="15"),LEFT(TH!O1143,3)&lt;&gt;"111",'152-CT'!$J$8=TH!F1143),"x","")</f>
        <v/>
      </c>
      <c r="AC1143" s="79" t="str">
        <f>IF(AND(OR(LEFT(TH!N1143,2)="15",LEFT(TH!O1143,2)="15"),TK!$E$7=TH!F1143),"x","")</f>
        <v/>
      </c>
      <c r="AD1143" s="79" t="str">
        <f>IF(AND(N1143="1521",MONTH(C1143)='BK-NL'!$M$11),"x","")</f>
        <v/>
      </c>
    </row>
    <row r="1144" spans="1:30" s="1102" customFormat="1" ht="16.5" customHeight="1">
      <c r="A1144" s="318" t="str">
        <f>IF(B1144&lt;&gt;"",IF(AND(B1144='IN-TC'!$S$4,OR(TH!N1144="1111",TH!O1144="1111")),TH!D1144,""),"")</f>
        <v/>
      </c>
      <c r="B1144" s="60" t="str">
        <f t="shared" si="194"/>
        <v/>
      </c>
      <c r="C1144" s="981"/>
      <c r="D1144" s="981"/>
      <c r="E1144" s="981"/>
      <c r="F1144" s="1008"/>
      <c r="G1144" s="987"/>
      <c r="H1144" s="997"/>
      <c r="I1144" s="984"/>
      <c r="J1144" s="984"/>
      <c r="K1144" s="984"/>
      <c r="L1144" s="983"/>
      <c r="M1144" s="985"/>
      <c r="N1144" s="986"/>
      <c r="O1144" s="986"/>
      <c r="P1144" s="79" t="str">
        <f>IF(AND('331-CT'!$E$7=TH!H1144,OR(N1144="331",O1144="331")),"x","")</f>
        <v/>
      </c>
      <c r="Q1144" s="79" t="str">
        <f>IF(AND(B1144='111'!$L$11,OR($N1144=$Q$7,$O1144=$Q$7)),"x","")</f>
        <v/>
      </c>
      <c r="R1144" s="79" t="str">
        <f>IF(AND($N1144=$Q$7,$B1144&lt;'111'!$L$11),"x","")</f>
        <v/>
      </c>
      <c r="S1144" s="79" t="str">
        <f>IF(AND($O1144=$Q$7,$B1144&lt;'111'!$L$11),"x","")</f>
        <v/>
      </c>
      <c r="T1144" s="79" t="str">
        <f>IF(ISERROR(FIND('112'!$M$9,G1144,1)),"",IF((AND(FIND('112'!$M$9,G1144,1)&gt;=1,B1144='112'!$K$9,OR($N1144='112'!$I$6,$O1144='112'!$I$6))),"x",""))</f>
        <v/>
      </c>
      <c r="U1144" s="79" t="str">
        <f>IF(ISERROR(FIND('112'!$M$9,G1144,1)),"",IF((AND(LEFT(G1144,2)=LEFT('112'!$M$9,2),B1144&lt;'112'!$K$9,$N1144='112'!$I$6)),"x",""))</f>
        <v/>
      </c>
      <c r="V1144" s="79" t="str">
        <f>IF(ISERROR(FIND('112'!$M$9,G1144,1)),"",IF((AND(RIGHT(G1144,2)=RIGHT('112'!$M$9,2),B1144&lt;'112'!$K$9,$O1144='112'!$I$6)),"x",""))</f>
        <v/>
      </c>
      <c r="W1144" s="79" t="str">
        <f>IF(AND('341-CT'!$H$9=H1144,OR(LEFT(N1144,3)=$W$7,LEFT(O1144,3)=$W$7)),"x","")</f>
        <v/>
      </c>
      <c r="X1144" s="79" t="str">
        <f>IF(OR(TH!N1144=TH!$X$7,O1144=TH!$X$7),"x","")</f>
        <v/>
      </c>
      <c r="Y1144" s="79" t="str">
        <f>IF(AND(OR(N1144="131",O1144="131"),H1144='131-CT'!$H$9),"x","")</f>
        <v/>
      </c>
      <c r="Z1144" s="79"/>
      <c r="AA1144" s="79" t="str">
        <f>IF(AND(MONTH(E1144)='IN-NX'!$J$5,'IN-NX'!$D$7=D1144),"x","")</f>
        <v/>
      </c>
      <c r="AB1144" s="79" t="str">
        <f>IF(AND(OR(LEFT(TH!N1144,2)="15",LEFT(TH!O1144,2)="15"),LEFT(TH!O1144,3)&lt;&gt;"111",'152-CT'!$J$8=TH!F1144),"x","")</f>
        <v/>
      </c>
      <c r="AC1144" s="79" t="str">
        <f>IF(AND(OR(LEFT(TH!N1144,2)="15",LEFT(TH!O1144,2)="15"),TK!$E$7=TH!F1144),"x","")</f>
        <v/>
      </c>
      <c r="AD1144" s="79" t="str">
        <f>IF(AND(N1144="1521",MONTH(C1144)='BK-NL'!$M$11),"x","")</f>
        <v/>
      </c>
    </row>
    <row r="1145" spans="1:30" s="1102" customFormat="1" ht="16.5" customHeight="1">
      <c r="A1145" s="318" t="str">
        <f>IF(B1145&lt;&gt;"",IF(AND(B1145='IN-TC'!$S$4,OR(TH!N1145="1111",TH!O1145="1111")),TH!D1145,""),"")</f>
        <v/>
      </c>
      <c r="B1145" s="60" t="str">
        <f t="shared" si="194"/>
        <v/>
      </c>
      <c r="C1145" s="981"/>
      <c r="D1145" s="981"/>
      <c r="E1145" s="981"/>
      <c r="F1145" s="1008"/>
      <c r="G1145" s="987"/>
      <c r="H1145" s="85"/>
      <c r="I1145" s="984"/>
      <c r="J1145" s="984"/>
      <c r="K1145" s="984"/>
      <c r="L1145" s="983"/>
      <c r="M1145" s="985"/>
      <c r="N1145" s="986"/>
      <c r="O1145" s="986"/>
      <c r="P1145" s="79" t="str">
        <f>IF(AND('331-CT'!$E$7=TH!H1145,OR(N1145="331",O1145="331")),"x","")</f>
        <v/>
      </c>
      <c r="Q1145" s="79" t="str">
        <f>IF(AND(B1145='111'!$L$11,OR($N1145=$Q$7,$O1145=$Q$7)),"x","")</f>
        <v/>
      </c>
      <c r="R1145" s="79" t="str">
        <f>IF(AND($N1145=$Q$7,$B1145&lt;'111'!$L$11),"x","")</f>
        <v/>
      </c>
      <c r="S1145" s="79" t="str">
        <f>IF(AND($O1145=$Q$7,$B1145&lt;'111'!$L$11),"x","")</f>
        <v/>
      </c>
      <c r="T1145" s="79" t="str">
        <f>IF(ISERROR(FIND('112'!$M$9,G1145,1)),"",IF((AND(FIND('112'!$M$9,G1145,1)&gt;=1,B1145='112'!$K$9,OR($N1145='112'!$I$6,$O1145='112'!$I$6))),"x",""))</f>
        <v/>
      </c>
      <c r="U1145" s="79" t="str">
        <f>IF(ISERROR(FIND('112'!$M$9,G1145,1)),"",IF((AND(LEFT(G1145,2)=LEFT('112'!$M$9,2),B1145&lt;'112'!$K$9,$N1145='112'!$I$6)),"x",""))</f>
        <v/>
      </c>
      <c r="V1145" s="79" t="str">
        <f>IF(ISERROR(FIND('112'!$M$9,G1145,1)),"",IF((AND(RIGHT(G1145,2)=RIGHT('112'!$M$9,2),B1145&lt;'112'!$K$9,$O1145='112'!$I$6)),"x",""))</f>
        <v/>
      </c>
      <c r="W1145" s="79" t="str">
        <f>IF(AND('341-CT'!$H$9=H1145,OR(LEFT(N1145,3)=$W$7,LEFT(O1145,3)=$W$7)),"x","")</f>
        <v/>
      </c>
      <c r="X1145" s="79" t="str">
        <f>IF(OR(TH!N1145=TH!$X$7,O1145=TH!$X$7),"x","")</f>
        <v/>
      </c>
      <c r="Y1145" s="79" t="str">
        <f>IF(AND(OR(N1145="131",O1145="131"),H1145='131-CT'!$H$9),"x","")</f>
        <v/>
      </c>
      <c r="Z1145" s="79"/>
      <c r="AA1145" s="79" t="str">
        <f>IF(AND(MONTH(E1145)='IN-NX'!$J$5,'IN-NX'!$D$7=D1145),"x","")</f>
        <v/>
      </c>
      <c r="AB1145" s="79" t="str">
        <f>IF(AND(OR(LEFT(TH!N1145,2)="15",LEFT(TH!O1145,2)="15"),LEFT(TH!O1145,3)&lt;&gt;"111",'152-CT'!$J$8=TH!F1145),"x","")</f>
        <v/>
      </c>
      <c r="AC1145" s="79" t="str">
        <f>IF(AND(OR(LEFT(TH!N1145,2)="15",LEFT(TH!O1145,2)="15"),TK!$E$7=TH!F1145),"x","")</f>
        <v/>
      </c>
      <c r="AD1145" s="79" t="str">
        <f>IF(AND(N1145="1521",MONTH(C1145)='BK-NL'!$M$11),"x","")</f>
        <v/>
      </c>
    </row>
    <row r="1146" spans="1:30" s="1102" customFormat="1" ht="16.5" customHeight="1">
      <c r="A1146" s="318" t="str">
        <f>IF(B1146&lt;&gt;"",IF(AND(B1146='IN-TC'!$S$4,OR(TH!N1146="1111",TH!O1146="1111")),TH!D1146,""),"")</f>
        <v/>
      </c>
      <c r="B1146" s="60" t="str">
        <f t="shared" si="194"/>
        <v/>
      </c>
      <c r="C1146" s="981"/>
      <c r="D1146" s="981"/>
      <c r="E1146" s="981"/>
      <c r="F1146" s="1008"/>
      <c r="G1146" s="987"/>
      <c r="H1146" s="85"/>
      <c r="I1146" s="984"/>
      <c r="J1146" s="984"/>
      <c r="K1146" s="984"/>
      <c r="L1146" s="983"/>
      <c r="M1146" s="985"/>
      <c r="N1146" s="986"/>
      <c r="O1146" s="986"/>
      <c r="P1146" s="79" t="str">
        <f>IF(AND('331-CT'!$E$7=TH!H1146,OR(N1146="331",O1146="331")),"x","")</f>
        <v/>
      </c>
      <c r="Q1146" s="79" t="str">
        <f>IF(AND(B1146='111'!$L$11,OR($N1146=$Q$7,$O1146=$Q$7)),"x","")</f>
        <v/>
      </c>
      <c r="R1146" s="79" t="str">
        <f>IF(AND($N1146=$Q$7,$B1146&lt;'111'!$L$11),"x","")</f>
        <v/>
      </c>
      <c r="S1146" s="79" t="str">
        <f>IF(AND($O1146=$Q$7,$B1146&lt;'111'!$L$11),"x","")</f>
        <v/>
      </c>
      <c r="T1146" s="79" t="str">
        <f>IF(ISERROR(FIND('112'!$M$9,G1146,1)),"",IF((AND(FIND('112'!$M$9,G1146,1)&gt;=1,B1146='112'!$K$9,OR($N1146='112'!$I$6,$O1146='112'!$I$6))),"x",""))</f>
        <v/>
      </c>
      <c r="U1146" s="79" t="str">
        <f>IF(ISERROR(FIND('112'!$M$9,G1146,1)),"",IF((AND(LEFT(G1146,2)=LEFT('112'!$M$9,2),B1146&lt;'112'!$K$9,$N1146='112'!$I$6)),"x",""))</f>
        <v/>
      </c>
      <c r="V1146" s="79" t="str">
        <f>IF(ISERROR(FIND('112'!$M$9,G1146,1)),"",IF((AND(RIGHT(G1146,2)=RIGHT('112'!$M$9,2),B1146&lt;'112'!$K$9,$O1146='112'!$I$6)),"x",""))</f>
        <v/>
      </c>
      <c r="W1146" s="79" t="str">
        <f>IF(AND('341-CT'!$H$9=H1146,OR(LEFT(N1146,3)=$W$7,LEFT(O1146,3)=$W$7)),"x","")</f>
        <v/>
      </c>
      <c r="X1146" s="79" t="str">
        <f>IF(OR(TH!N1146=TH!$X$7,O1146=TH!$X$7),"x","")</f>
        <v/>
      </c>
      <c r="Y1146" s="79" t="str">
        <f>IF(AND(OR(N1146="131",O1146="131"),H1146='131-CT'!$H$9),"x","")</f>
        <v/>
      </c>
      <c r="Z1146" s="79"/>
      <c r="AA1146" s="79" t="str">
        <f>IF(AND(MONTH(E1146)='IN-NX'!$J$5,'IN-NX'!$D$7=D1146),"x","")</f>
        <v/>
      </c>
      <c r="AB1146" s="79" t="str">
        <f>IF(AND(OR(LEFT(TH!N1146,2)="15",LEFT(TH!O1146,2)="15"),LEFT(TH!O1146,3)&lt;&gt;"111",'152-CT'!$J$8=TH!F1146),"x","")</f>
        <v/>
      </c>
      <c r="AC1146" s="79" t="str">
        <f>IF(AND(OR(LEFT(TH!N1146,2)="15",LEFT(TH!O1146,2)="15"),TK!$E$7=TH!F1146),"x","")</f>
        <v/>
      </c>
      <c r="AD1146" s="79" t="str">
        <f>IF(AND(N1146="1521",MONTH(C1146)='BK-NL'!$M$11),"x","")</f>
        <v/>
      </c>
    </row>
    <row r="1147" spans="1:30" s="1102" customFormat="1" ht="16.5" customHeight="1">
      <c r="A1147" s="318" t="str">
        <f>IF(B1147&lt;&gt;"",IF(AND(B1147='IN-TC'!$S$4,OR(TH!N1147="1111",TH!O1147="1111")),TH!D1147,""),"")</f>
        <v/>
      </c>
      <c r="B1147" s="60" t="str">
        <f t="shared" si="194"/>
        <v/>
      </c>
      <c r="C1147" s="981"/>
      <c r="D1147" s="981"/>
      <c r="E1147" s="981"/>
      <c r="F1147" s="1008"/>
      <c r="G1147" s="987"/>
      <c r="H1147" s="85"/>
      <c r="I1147" s="984"/>
      <c r="J1147" s="984"/>
      <c r="K1147" s="984"/>
      <c r="L1147" s="983"/>
      <c r="M1147" s="985"/>
      <c r="N1147" s="986"/>
      <c r="O1147" s="986"/>
      <c r="P1147" s="79" t="str">
        <f>IF(AND('331-CT'!$E$7=TH!H1147,OR(N1147="331",O1147="331")),"x","")</f>
        <v/>
      </c>
      <c r="Q1147" s="79" t="str">
        <f>IF(AND(B1147='111'!$L$11,OR($N1147=$Q$7,$O1147=$Q$7)),"x","")</f>
        <v/>
      </c>
      <c r="R1147" s="79" t="str">
        <f>IF(AND($N1147=$Q$7,$B1147&lt;'111'!$L$11),"x","")</f>
        <v/>
      </c>
      <c r="S1147" s="79" t="str">
        <f>IF(AND($O1147=$Q$7,$B1147&lt;'111'!$L$11),"x","")</f>
        <v/>
      </c>
      <c r="T1147" s="79" t="str">
        <f>IF(ISERROR(FIND('112'!$M$9,G1147,1)),"",IF((AND(FIND('112'!$M$9,G1147,1)&gt;=1,B1147='112'!$K$9,OR($N1147='112'!$I$6,$O1147='112'!$I$6))),"x",""))</f>
        <v/>
      </c>
      <c r="U1147" s="79" t="str">
        <f>IF(ISERROR(FIND('112'!$M$9,G1147,1)),"",IF((AND(LEFT(G1147,2)=LEFT('112'!$M$9,2),B1147&lt;'112'!$K$9,$N1147='112'!$I$6)),"x",""))</f>
        <v/>
      </c>
      <c r="V1147" s="79" t="str">
        <f>IF(ISERROR(FIND('112'!$M$9,G1147,1)),"",IF((AND(RIGHT(G1147,2)=RIGHT('112'!$M$9,2),B1147&lt;'112'!$K$9,$O1147='112'!$I$6)),"x",""))</f>
        <v/>
      </c>
      <c r="W1147" s="79" t="str">
        <f>IF(AND('341-CT'!$H$9=H1147,OR(LEFT(N1147,3)=$W$7,LEFT(O1147,3)=$W$7)),"x","")</f>
        <v/>
      </c>
      <c r="X1147" s="79" t="str">
        <f>IF(OR(TH!N1147=TH!$X$7,O1147=TH!$X$7),"x","")</f>
        <v/>
      </c>
      <c r="Y1147" s="79" t="str">
        <f>IF(AND(OR(N1147="131",O1147="131"),H1147='131-CT'!$H$9),"x","")</f>
        <v/>
      </c>
      <c r="Z1147" s="79"/>
      <c r="AA1147" s="79" t="str">
        <f>IF(AND(MONTH(E1147)='IN-NX'!$J$5,'IN-NX'!$D$7=D1147),"x","")</f>
        <v/>
      </c>
      <c r="AB1147" s="79" t="str">
        <f>IF(AND(OR(LEFT(TH!N1147,2)="15",LEFT(TH!O1147,2)="15"),LEFT(TH!O1147,3)&lt;&gt;"111",'152-CT'!$J$8=TH!F1147),"x","")</f>
        <v/>
      </c>
      <c r="AC1147" s="79" t="str">
        <f>IF(AND(OR(LEFT(TH!N1147,2)="15",LEFT(TH!O1147,2)="15"),TK!$E$7=TH!F1147),"x","")</f>
        <v/>
      </c>
      <c r="AD1147" s="79" t="str">
        <f>IF(AND(N1147="1521",MONTH(C1147)='BK-NL'!$M$11),"x","")</f>
        <v/>
      </c>
    </row>
    <row r="1148" spans="1:30" s="1102" customFormat="1" ht="16.5" customHeight="1">
      <c r="A1148" s="318" t="str">
        <f>IF(B1148&lt;&gt;"",IF(AND(B1148='IN-TC'!$S$4,OR(TH!N1148="1111",TH!O1148="1111")),TH!D1148,""),"")</f>
        <v/>
      </c>
      <c r="B1148" s="60" t="str">
        <f t="shared" si="194"/>
        <v/>
      </c>
      <c r="C1148" s="981"/>
      <c r="D1148" s="981"/>
      <c r="E1148" s="981"/>
      <c r="F1148" s="1008"/>
      <c r="G1148" s="987"/>
      <c r="H1148" s="85"/>
      <c r="I1148" s="984"/>
      <c r="J1148" s="984"/>
      <c r="K1148" s="984"/>
      <c r="L1148" s="983"/>
      <c r="M1148" s="985"/>
      <c r="N1148" s="986"/>
      <c r="O1148" s="986"/>
      <c r="P1148" s="79" t="str">
        <f>IF(AND('331-CT'!$E$7=TH!H1148,OR(N1148="331",O1148="331")),"x","")</f>
        <v/>
      </c>
      <c r="Q1148" s="79" t="str">
        <f>IF(AND(B1148='111'!$L$11,OR($N1148=$Q$7,$O1148=$Q$7)),"x","")</f>
        <v/>
      </c>
      <c r="R1148" s="79" t="str">
        <f>IF(AND($N1148=$Q$7,$B1148&lt;'111'!$L$11),"x","")</f>
        <v/>
      </c>
      <c r="S1148" s="79" t="str">
        <f>IF(AND($O1148=$Q$7,$B1148&lt;'111'!$L$11),"x","")</f>
        <v/>
      </c>
      <c r="T1148" s="79" t="str">
        <f>IF(ISERROR(FIND('112'!$M$9,G1148,1)),"",IF((AND(FIND('112'!$M$9,G1148,1)&gt;=1,B1148='112'!$K$9,OR($N1148='112'!$I$6,$O1148='112'!$I$6))),"x",""))</f>
        <v/>
      </c>
      <c r="U1148" s="79" t="str">
        <f>IF(ISERROR(FIND('112'!$M$9,G1148,1)),"",IF((AND(LEFT(G1148,2)=LEFT('112'!$M$9,2),B1148&lt;'112'!$K$9,$N1148='112'!$I$6)),"x",""))</f>
        <v/>
      </c>
      <c r="V1148" s="79" t="str">
        <f>IF(ISERROR(FIND('112'!$M$9,G1148,1)),"",IF((AND(RIGHT(G1148,2)=RIGHT('112'!$M$9,2),B1148&lt;'112'!$K$9,$O1148='112'!$I$6)),"x",""))</f>
        <v/>
      </c>
      <c r="W1148" s="79" t="str">
        <f>IF(AND('341-CT'!$H$9=H1148,OR(LEFT(N1148,3)=$W$7,LEFT(O1148,3)=$W$7)),"x","")</f>
        <v/>
      </c>
      <c r="X1148" s="79" t="str">
        <f>IF(OR(TH!N1148=TH!$X$7,O1148=TH!$X$7),"x","")</f>
        <v/>
      </c>
      <c r="Y1148" s="79" t="str">
        <f>IF(AND(OR(N1148="131",O1148="131"),H1148='131-CT'!$H$9),"x","")</f>
        <v/>
      </c>
      <c r="Z1148" s="79"/>
      <c r="AA1148" s="79" t="str">
        <f>IF(AND(MONTH(E1148)='IN-NX'!$J$5,'IN-NX'!$D$7=D1148),"x","")</f>
        <v/>
      </c>
      <c r="AB1148" s="79" t="str">
        <f>IF(AND(OR(LEFT(TH!N1148,2)="15",LEFT(TH!O1148,2)="15"),LEFT(TH!O1148,3)&lt;&gt;"111",'152-CT'!$J$8=TH!F1148),"x","")</f>
        <v/>
      </c>
      <c r="AC1148" s="79" t="str">
        <f>IF(AND(OR(LEFT(TH!N1148,2)="15",LEFT(TH!O1148,2)="15"),TK!$E$7=TH!F1148),"x","")</f>
        <v/>
      </c>
      <c r="AD1148" s="79" t="str">
        <f>IF(AND(N1148="1521",MONTH(C1148)='BK-NL'!$M$11),"x","")</f>
        <v/>
      </c>
    </row>
    <row r="1149" spans="1:30" s="1102" customFormat="1" ht="16.5" customHeight="1">
      <c r="A1149" s="318" t="str">
        <f>IF(B1149&lt;&gt;"",IF(AND(B1149='IN-TC'!$S$4,OR(TH!N1149="1111",TH!O1149="1111")),TH!D1149,""),"")</f>
        <v/>
      </c>
      <c r="B1149" s="60" t="str">
        <f t="shared" si="194"/>
        <v/>
      </c>
      <c r="C1149" s="981"/>
      <c r="D1149" s="981"/>
      <c r="E1149" s="981"/>
      <c r="F1149" s="1008"/>
      <c r="G1149" s="987"/>
      <c r="H1149" s="85"/>
      <c r="I1149" s="984"/>
      <c r="J1149" s="984"/>
      <c r="K1149" s="984"/>
      <c r="L1149" s="983"/>
      <c r="M1149" s="985"/>
      <c r="N1149" s="986"/>
      <c r="O1149" s="986"/>
      <c r="P1149" s="79" t="str">
        <f>IF(AND('331-CT'!$E$7=TH!H1149,OR(N1149="331",O1149="331")),"x","")</f>
        <v/>
      </c>
      <c r="Q1149" s="79" t="str">
        <f>IF(AND(B1149='111'!$L$11,OR($N1149=$Q$7,$O1149=$Q$7)),"x","")</f>
        <v/>
      </c>
      <c r="R1149" s="79" t="str">
        <f>IF(AND($N1149=$Q$7,$B1149&lt;'111'!$L$11),"x","")</f>
        <v/>
      </c>
      <c r="S1149" s="79" t="str">
        <f>IF(AND($O1149=$Q$7,$B1149&lt;'111'!$L$11),"x","")</f>
        <v/>
      </c>
      <c r="T1149" s="79" t="str">
        <f>IF(ISERROR(FIND('112'!$M$9,G1149,1)),"",IF((AND(FIND('112'!$M$9,G1149,1)&gt;=1,B1149='112'!$K$9,OR($N1149='112'!$I$6,$O1149='112'!$I$6))),"x",""))</f>
        <v/>
      </c>
      <c r="U1149" s="79" t="str">
        <f>IF(ISERROR(FIND('112'!$M$9,G1149,1)),"",IF((AND(LEFT(G1149,2)=LEFT('112'!$M$9,2),B1149&lt;'112'!$K$9,$N1149='112'!$I$6)),"x",""))</f>
        <v/>
      </c>
      <c r="V1149" s="79" t="str">
        <f>IF(ISERROR(FIND('112'!$M$9,G1149,1)),"",IF((AND(RIGHT(G1149,2)=RIGHT('112'!$M$9,2),B1149&lt;'112'!$K$9,$O1149='112'!$I$6)),"x",""))</f>
        <v/>
      </c>
      <c r="W1149" s="79" t="str">
        <f>IF(AND('341-CT'!$H$9=H1149,OR(LEFT(N1149,3)=$W$7,LEFT(O1149,3)=$W$7)),"x","")</f>
        <v/>
      </c>
      <c r="X1149" s="79" t="str">
        <f>IF(OR(TH!N1149=TH!$X$7,O1149=TH!$X$7),"x","")</f>
        <v/>
      </c>
      <c r="Y1149" s="79" t="str">
        <f>IF(AND(OR(N1149="131",O1149="131"),H1149='131-CT'!$H$9),"x","")</f>
        <v/>
      </c>
      <c r="Z1149" s="79"/>
      <c r="AA1149" s="79" t="str">
        <f>IF(AND(MONTH(E1149)='IN-NX'!$J$5,'IN-NX'!$D$7=D1149),"x","")</f>
        <v/>
      </c>
      <c r="AB1149" s="79" t="str">
        <f>IF(AND(OR(LEFT(TH!N1149,2)="15",LEFT(TH!O1149,2)="15"),LEFT(TH!O1149,3)&lt;&gt;"111",'152-CT'!$J$8=TH!F1149),"x","")</f>
        <v/>
      </c>
      <c r="AC1149" s="79" t="str">
        <f>IF(AND(OR(LEFT(TH!N1149,2)="15",LEFT(TH!O1149,2)="15"),TK!$E$7=TH!F1149),"x","")</f>
        <v/>
      </c>
      <c r="AD1149" s="79" t="str">
        <f>IF(AND(N1149="1521",MONTH(C1149)='BK-NL'!$M$11),"x","")</f>
        <v/>
      </c>
    </row>
    <row r="1150" spans="1:30" s="1102" customFormat="1" ht="16.5" customHeight="1">
      <c r="A1150" s="318" t="str">
        <f>IF(B1150&lt;&gt;"",IF(AND(B1150='IN-TC'!$S$4,OR(TH!N1150="1111",TH!O1150="1111")),TH!D1150,""),"")</f>
        <v/>
      </c>
      <c r="B1150" s="60" t="str">
        <f t="shared" si="194"/>
        <v/>
      </c>
      <c r="C1150" s="981"/>
      <c r="D1150" s="981"/>
      <c r="E1150" s="981"/>
      <c r="F1150" s="1008"/>
      <c r="G1150" s="987"/>
      <c r="H1150" s="997"/>
      <c r="I1150" s="984"/>
      <c r="J1150" s="984"/>
      <c r="K1150" s="984"/>
      <c r="L1150" s="983"/>
      <c r="M1150" s="985"/>
      <c r="N1150" s="986"/>
      <c r="O1150" s="986"/>
      <c r="P1150" s="79" t="str">
        <f>IF(AND('331-CT'!$E$7=TH!H1150,OR(N1150="331",O1150="331")),"x","")</f>
        <v/>
      </c>
      <c r="Q1150" s="79" t="str">
        <f>IF(AND(B1150='111'!$L$11,OR($N1150=$Q$7,$O1150=$Q$7)),"x","")</f>
        <v/>
      </c>
      <c r="R1150" s="79" t="str">
        <f>IF(AND($N1150=$Q$7,$B1150&lt;'111'!$L$11),"x","")</f>
        <v/>
      </c>
      <c r="S1150" s="79" t="str">
        <f>IF(AND($O1150=$Q$7,$B1150&lt;'111'!$L$11),"x","")</f>
        <v/>
      </c>
      <c r="T1150" s="79" t="str">
        <f>IF(ISERROR(FIND('112'!$M$9,G1150,1)),"",IF((AND(FIND('112'!$M$9,G1150,1)&gt;=1,B1150='112'!$K$9,OR($N1150='112'!$I$6,$O1150='112'!$I$6))),"x",""))</f>
        <v/>
      </c>
      <c r="U1150" s="79" t="str">
        <f>IF(ISERROR(FIND('112'!$M$9,G1150,1)),"",IF((AND(LEFT(G1150,2)=LEFT('112'!$M$9,2),B1150&lt;'112'!$K$9,$N1150='112'!$I$6)),"x",""))</f>
        <v/>
      </c>
      <c r="V1150" s="79" t="str">
        <f>IF(ISERROR(FIND('112'!$M$9,G1150,1)),"",IF((AND(RIGHT(G1150,2)=RIGHT('112'!$M$9,2),B1150&lt;'112'!$K$9,$O1150='112'!$I$6)),"x",""))</f>
        <v/>
      </c>
      <c r="W1150" s="79" t="str">
        <f>IF(AND('341-CT'!$H$9=H1150,OR(LEFT(N1150,3)=$W$7,LEFT(O1150,3)=$W$7)),"x","")</f>
        <v/>
      </c>
      <c r="X1150" s="79" t="str">
        <f>IF(OR(TH!N1150=TH!$X$7,O1150=TH!$X$7),"x","")</f>
        <v/>
      </c>
      <c r="Y1150" s="79" t="str">
        <f>IF(AND(OR(N1150="131",O1150="131"),H1150='131-CT'!$H$9),"x","")</f>
        <v/>
      </c>
      <c r="Z1150" s="79"/>
      <c r="AA1150" s="79" t="str">
        <f>IF(AND(MONTH(E1150)='IN-NX'!$J$5,'IN-NX'!$D$7=D1150),"x","")</f>
        <v/>
      </c>
      <c r="AB1150" s="79" t="str">
        <f>IF(AND(OR(LEFT(TH!N1150,2)="15",LEFT(TH!O1150,2)="15"),LEFT(TH!O1150,3)&lt;&gt;"111",'152-CT'!$J$8=TH!F1150),"x","")</f>
        <v/>
      </c>
      <c r="AC1150" s="79" t="str">
        <f>IF(AND(OR(LEFT(TH!N1150,2)="15",LEFT(TH!O1150,2)="15"),TK!$E$7=TH!F1150),"x","")</f>
        <v/>
      </c>
      <c r="AD1150" s="79" t="str">
        <f>IF(AND(N1150="1521",MONTH(C1150)='BK-NL'!$M$11),"x","")</f>
        <v/>
      </c>
    </row>
    <row r="1151" spans="1:30" s="1102" customFormat="1" ht="16.5" customHeight="1">
      <c r="A1151" s="318" t="str">
        <f>IF(B1151&lt;&gt;"",IF(AND(B1151='IN-TC'!$S$4,OR(TH!N1151="1111",TH!O1151="1111")),TH!D1151,""),"")</f>
        <v/>
      </c>
      <c r="B1151" s="60" t="str">
        <f t="shared" si="194"/>
        <v/>
      </c>
      <c r="C1151" s="981"/>
      <c r="D1151" s="981"/>
      <c r="E1151" s="981"/>
      <c r="F1151" s="1008"/>
      <c r="G1151" s="987"/>
      <c r="H1151" s="85"/>
      <c r="I1151" s="984"/>
      <c r="J1151" s="984"/>
      <c r="K1151" s="984"/>
      <c r="L1151" s="983"/>
      <c r="M1151" s="985"/>
      <c r="N1151" s="986"/>
      <c r="O1151" s="986"/>
      <c r="P1151" s="79" t="str">
        <f>IF(AND('331-CT'!$E$7=TH!H1151,OR(N1151="331",O1151="331")),"x","")</f>
        <v/>
      </c>
      <c r="Q1151" s="79" t="str">
        <f>IF(AND(B1151='111'!$L$11,OR($N1151=$Q$7,$O1151=$Q$7)),"x","")</f>
        <v/>
      </c>
      <c r="R1151" s="79" t="str">
        <f>IF(AND($N1151=$Q$7,$B1151&lt;'111'!$L$11),"x","")</f>
        <v/>
      </c>
      <c r="S1151" s="79" t="str">
        <f>IF(AND($O1151=$Q$7,$B1151&lt;'111'!$L$11),"x","")</f>
        <v/>
      </c>
      <c r="T1151" s="79" t="str">
        <f>IF(ISERROR(FIND('112'!$M$9,G1151,1)),"",IF((AND(FIND('112'!$M$9,G1151,1)&gt;=1,B1151='112'!$K$9,OR($N1151='112'!$I$6,$O1151='112'!$I$6))),"x",""))</f>
        <v/>
      </c>
      <c r="U1151" s="79" t="str">
        <f>IF(ISERROR(FIND('112'!$M$9,G1151,1)),"",IF((AND(LEFT(G1151,2)=LEFT('112'!$M$9,2),B1151&lt;'112'!$K$9,$N1151='112'!$I$6)),"x",""))</f>
        <v/>
      </c>
      <c r="V1151" s="79" t="str">
        <f>IF(ISERROR(FIND('112'!$M$9,G1151,1)),"",IF((AND(RIGHT(G1151,2)=RIGHT('112'!$M$9,2),B1151&lt;'112'!$K$9,$O1151='112'!$I$6)),"x",""))</f>
        <v/>
      </c>
      <c r="W1151" s="79" t="str">
        <f>IF(AND('341-CT'!$H$9=H1151,OR(LEFT(N1151,3)=$W$7,LEFT(O1151,3)=$W$7)),"x","")</f>
        <v/>
      </c>
      <c r="X1151" s="79" t="str">
        <f>IF(OR(TH!N1151=TH!$X$7,O1151=TH!$X$7),"x","")</f>
        <v/>
      </c>
      <c r="Y1151" s="79" t="str">
        <f>IF(AND(OR(N1151="131",O1151="131"),H1151='131-CT'!$H$9),"x","")</f>
        <v/>
      </c>
      <c r="Z1151" s="79"/>
      <c r="AA1151" s="79" t="str">
        <f>IF(AND(MONTH(E1151)='IN-NX'!$J$5,'IN-NX'!$D$7=D1151),"x","")</f>
        <v/>
      </c>
      <c r="AB1151" s="79" t="str">
        <f>IF(AND(OR(LEFT(TH!N1151,2)="15",LEFT(TH!O1151,2)="15"),LEFT(TH!O1151,3)&lt;&gt;"111",'152-CT'!$J$8=TH!F1151),"x","")</f>
        <v/>
      </c>
      <c r="AC1151" s="79" t="str">
        <f>IF(AND(OR(LEFT(TH!N1151,2)="15",LEFT(TH!O1151,2)="15"),TK!$E$7=TH!F1151),"x","")</f>
        <v/>
      </c>
      <c r="AD1151" s="79" t="str">
        <f>IF(AND(N1151="1521",MONTH(C1151)='BK-NL'!$M$11),"x","")</f>
        <v/>
      </c>
    </row>
    <row r="1152" spans="1:30" s="1102" customFormat="1" ht="16.5" customHeight="1">
      <c r="A1152" s="318" t="str">
        <f>IF(B1152&lt;&gt;"",IF(AND(B1152='IN-TC'!$S$4,OR(TH!N1152="1111",TH!O1152="1111")),TH!D1152,""),"")</f>
        <v/>
      </c>
      <c r="B1152" s="60" t="str">
        <f t="shared" si="194"/>
        <v/>
      </c>
      <c r="C1152" s="981"/>
      <c r="D1152" s="981"/>
      <c r="E1152" s="981"/>
      <c r="F1152" s="1008"/>
      <c r="G1152" s="987"/>
      <c r="H1152" s="997"/>
      <c r="I1152" s="984"/>
      <c r="J1152" s="984"/>
      <c r="K1152" s="984"/>
      <c r="L1152" s="983"/>
      <c r="M1152" s="985"/>
      <c r="N1152" s="986"/>
      <c r="O1152" s="986"/>
      <c r="P1152" s="79" t="str">
        <f>IF(AND('331-CT'!$E$7=TH!H1152,OR(N1152="331",O1152="331")),"x","")</f>
        <v/>
      </c>
      <c r="Q1152" s="79" t="str">
        <f>IF(AND(B1152='111'!$L$11,OR($N1152=$Q$7,$O1152=$Q$7)),"x","")</f>
        <v/>
      </c>
      <c r="R1152" s="79" t="str">
        <f>IF(AND($N1152=$Q$7,$B1152&lt;'111'!$L$11),"x","")</f>
        <v/>
      </c>
      <c r="S1152" s="79" t="str">
        <f>IF(AND($O1152=$Q$7,$B1152&lt;'111'!$L$11),"x","")</f>
        <v/>
      </c>
      <c r="T1152" s="79" t="str">
        <f>IF(ISERROR(FIND('112'!$M$9,G1152,1)),"",IF((AND(FIND('112'!$M$9,G1152,1)&gt;=1,B1152='112'!$K$9,OR($N1152='112'!$I$6,$O1152='112'!$I$6))),"x",""))</f>
        <v/>
      </c>
      <c r="U1152" s="79" t="str">
        <f>IF(ISERROR(FIND('112'!$M$9,G1152,1)),"",IF((AND(LEFT(G1152,2)=LEFT('112'!$M$9,2),B1152&lt;'112'!$K$9,$N1152='112'!$I$6)),"x",""))</f>
        <v/>
      </c>
      <c r="V1152" s="79" t="str">
        <f>IF(ISERROR(FIND('112'!$M$9,G1152,1)),"",IF((AND(RIGHT(G1152,2)=RIGHT('112'!$M$9,2),B1152&lt;'112'!$K$9,$O1152='112'!$I$6)),"x",""))</f>
        <v/>
      </c>
      <c r="W1152" s="79" t="str">
        <f>IF(AND('341-CT'!$H$9=H1152,OR(LEFT(N1152,3)=$W$7,LEFT(O1152,3)=$W$7)),"x","")</f>
        <v/>
      </c>
      <c r="X1152" s="79" t="str">
        <f>IF(OR(TH!N1152=TH!$X$7,O1152=TH!$X$7),"x","")</f>
        <v/>
      </c>
      <c r="Y1152" s="79" t="str">
        <f>IF(AND(OR(N1152="131",O1152="131"),H1152='131-CT'!$H$9),"x","")</f>
        <v/>
      </c>
      <c r="Z1152" s="79"/>
      <c r="AA1152" s="79" t="str">
        <f>IF(AND(MONTH(E1152)='IN-NX'!$J$5,'IN-NX'!$D$7=D1152),"x","")</f>
        <v/>
      </c>
      <c r="AB1152" s="79" t="str">
        <f>IF(AND(OR(LEFT(TH!N1152,2)="15",LEFT(TH!O1152,2)="15"),LEFT(TH!O1152,3)&lt;&gt;"111",'152-CT'!$J$8=TH!F1152),"x","")</f>
        <v/>
      </c>
      <c r="AC1152" s="79" t="str">
        <f>IF(AND(OR(LEFT(TH!N1152,2)="15",LEFT(TH!O1152,2)="15"),TK!$E$7=TH!F1152),"x","")</f>
        <v/>
      </c>
      <c r="AD1152" s="79" t="str">
        <f>IF(AND(N1152="1521",MONTH(C1152)='BK-NL'!$M$11),"x","")</f>
        <v/>
      </c>
    </row>
    <row r="1153" spans="1:30" s="1102" customFormat="1" ht="16.5" customHeight="1">
      <c r="A1153" s="318" t="str">
        <f>IF(B1153&lt;&gt;"",IF(AND(B1153='IN-TC'!$S$4,OR(TH!N1153="1111",TH!O1153="1111")),TH!D1153,""),"")</f>
        <v/>
      </c>
      <c r="B1153" s="60" t="str">
        <f t="shared" si="194"/>
        <v/>
      </c>
      <c r="C1153" s="981"/>
      <c r="D1153" s="981"/>
      <c r="E1153" s="981"/>
      <c r="F1153" s="1008"/>
      <c r="G1153" s="987"/>
      <c r="H1153" s="85"/>
      <c r="I1153" s="984"/>
      <c r="J1153" s="984"/>
      <c r="K1153" s="984"/>
      <c r="L1153" s="983"/>
      <c r="M1153" s="985"/>
      <c r="N1153" s="986"/>
      <c r="O1153" s="986"/>
      <c r="P1153" s="79" t="str">
        <f>IF(AND('331-CT'!$E$7=TH!H1153,OR(N1153="331",O1153="331")),"x","")</f>
        <v/>
      </c>
      <c r="Q1153" s="79" t="str">
        <f>IF(AND(B1153='111'!$L$11,OR($N1153=$Q$7,$O1153=$Q$7)),"x","")</f>
        <v/>
      </c>
      <c r="R1153" s="79" t="str">
        <f>IF(AND($N1153=$Q$7,$B1153&lt;'111'!$L$11),"x","")</f>
        <v/>
      </c>
      <c r="S1153" s="79" t="str">
        <f>IF(AND($O1153=$Q$7,$B1153&lt;'111'!$L$11),"x","")</f>
        <v/>
      </c>
      <c r="T1153" s="79" t="str">
        <f>IF(ISERROR(FIND('112'!$M$9,G1153,1)),"",IF((AND(FIND('112'!$M$9,G1153,1)&gt;=1,B1153='112'!$K$9,OR($N1153='112'!$I$6,$O1153='112'!$I$6))),"x",""))</f>
        <v/>
      </c>
      <c r="U1153" s="79" t="str">
        <f>IF(ISERROR(FIND('112'!$M$9,G1153,1)),"",IF((AND(LEFT(G1153,2)=LEFT('112'!$M$9,2),B1153&lt;'112'!$K$9,$N1153='112'!$I$6)),"x",""))</f>
        <v/>
      </c>
      <c r="V1153" s="79" t="str">
        <f>IF(ISERROR(FIND('112'!$M$9,G1153,1)),"",IF((AND(RIGHT(G1153,2)=RIGHT('112'!$M$9,2),B1153&lt;'112'!$K$9,$O1153='112'!$I$6)),"x",""))</f>
        <v/>
      </c>
      <c r="W1153" s="79" t="str">
        <f>IF(AND('341-CT'!$H$9=H1153,OR(LEFT(N1153,3)=$W$7,LEFT(O1153,3)=$W$7)),"x","")</f>
        <v/>
      </c>
      <c r="X1153" s="79" t="str">
        <f>IF(OR(TH!N1153=TH!$X$7,O1153=TH!$X$7),"x","")</f>
        <v/>
      </c>
      <c r="Y1153" s="79" t="str">
        <f>IF(AND(OR(N1153="131",O1153="131"),H1153='131-CT'!$H$9),"x","")</f>
        <v/>
      </c>
      <c r="Z1153" s="79"/>
      <c r="AA1153" s="79" t="str">
        <f>IF(AND(MONTH(E1153)='IN-NX'!$J$5,'IN-NX'!$D$7=D1153),"x","")</f>
        <v/>
      </c>
      <c r="AB1153" s="79" t="str">
        <f>IF(AND(OR(LEFT(TH!N1153,2)="15",LEFT(TH!O1153,2)="15"),LEFT(TH!O1153,3)&lt;&gt;"111",'152-CT'!$J$8=TH!F1153),"x","")</f>
        <v/>
      </c>
      <c r="AC1153" s="79" t="str">
        <f>IF(AND(OR(LEFT(TH!N1153,2)="15",LEFT(TH!O1153,2)="15"),TK!$E$7=TH!F1153),"x","")</f>
        <v/>
      </c>
      <c r="AD1153" s="79" t="str">
        <f>IF(AND(N1153="1521",MONTH(C1153)='BK-NL'!$M$11),"x","")</f>
        <v/>
      </c>
    </row>
    <row r="1154" spans="1:30" s="1102" customFormat="1" ht="16.5" customHeight="1">
      <c r="A1154" s="318" t="str">
        <f>IF(B1154&lt;&gt;"",IF(AND(B1154='IN-TC'!$S$4,OR(TH!N1154="1111",TH!O1154="1111")),TH!D1154,""),"")</f>
        <v/>
      </c>
      <c r="B1154" s="60" t="str">
        <f t="shared" si="194"/>
        <v/>
      </c>
      <c r="C1154" s="981"/>
      <c r="D1154" s="981"/>
      <c r="E1154" s="981"/>
      <c r="F1154" s="1008"/>
      <c r="G1154" s="987"/>
      <c r="H1154" s="85"/>
      <c r="I1154" s="984"/>
      <c r="J1154" s="984"/>
      <c r="K1154" s="984"/>
      <c r="L1154" s="983"/>
      <c r="M1154" s="985"/>
      <c r="N1154" s="986"/>
      <c r="O1154" s="986"/>
      <c r="P1154" s="79" t="str">
        <f>IF(AND('331-CT'!$E$7=TH!H1154,OR(N1154="331",O1154="331")),"x","")</f>
        <v/>
      </c>
      <c r="Q1154" s="79" t="str">
        <f>IF(AND(B1154='111'!$L$11,OR($N1154=$Q$7,$O1154=$Q$7)),"x","")</f>
        <v/>
      </c>
      <c r="R1154" s="79" t="str">
        <f>IF(AND($N1154=$Q$7,$B1154&lt;'111'!$L$11),"x","")</f>
        <v/>
      </c>
      <c r="S1154" s="79" t="str">
        <f>IF(AND($O1154=$Q$7,$B1154&lt;'111'!$L$11),"x","")</f>
        <v/>
      </c>
      <c r="T1154" s="79" t="str">
        <f>IF(ISERROR(FIND('112'!$M$9,G1154,1)),"",IF((AND(FIND('112'!$M$9,G1154,1)&gt;=1,B1154='112'!$K$9,OR($N1154='112'!$I$6,$O1154='112'!$I$6))),"x",""))</f>
        <v/>
      </c>
      <c r="U1154" s="79" t="str">
        <f>IF(ISERROR(FIND('112'!$M$9,G1154,1)),"",IF((AND(LEFT(G1154,2)=LEFT('112'!$M$9,2),B1154&lt;'112'!$K$9,$N1154='112'!$I$6)),"x",""))</f>
        <v/>
      </c>
      <c r="V1154" s="79" t="str">
        <f>IF(ISERROR(FIND('112'!$M$9,G1154,1)),"",IF((AND(RIGHT(G1154,2)=RIGHT('112'!$M$9,2),B1154&lt;'112'!$K$9,$O1154='112'!$I$6)),"x",""))</f>
        <v/>
      </c>
      <c r="W1154" s="79" t="str">
        <f>IF(AND('341-CT'!$H$9=H1154,OR(LEFT(N1154,3)=$W$7,LEFT(O1154,3)=$W$7)),"x","")</f>
        <v/>
      </c>
      <c r="X1154" s="79" t="str">
        <f>IF(OR(TH!N1154=TH!$X$7,O1154=TH!$X$7),"x","")</f>
        <v/>
      </c>
      <c r="Y1154" s="79" t="str">
        <f>IF(AND(OR(N1154="131",O1154="131"),H1154='131-CT'!$H$9),"x","")</f>
        <v/>
      </c>
      <c r="Z1154" s="79"/>
      <c r="AA1154" s="79" t="str">
        <f>IF(AND(MONTH(E1154)='IN-NX'!$J$5,'IN-NX'!$D$7=D1154),"x","")</f>
        <v/>
      </c>
      <c r="AB1154" s="79" t="str">
        <f>IF(AND(OR(LEFT(TH!N1154,2)="15",LEFT(TH!O1154,2)="15"),LEFT(TH!O1154,3)&lt;&gt;"111",'152-CT'!$J$8=TH!F1154),"x","")</f>
        <v/>
      </c>
      <c r="AC1154" s="79" t="str">
        <f>IF(AND(OR(LEFT(TH!N1154,2)="15",LEFT(TH!O1154,2)="15"),TK!$E$7=TH!F1154),"x","")</f>
        <v/>
      </c>
      <c r="AD1154" s="79" t="str">
        <f>IF(AND(N1154="1521",MONTH(C1154)='BK-NL'!$M$11),"x","")</f>
        <v/>
      </c>
    </row>
    <row r="1155" spans="1:30" s="1102" customFormat="1" ht="16.5" customHeight="1">
      <c r="A1155" s="318" t="str">
        <f>IF(B1155&lt;&gt;"",IF(AND(B1155='IN-TC'!$S$4,OR(TH!N1155="1111",TH!O1155="1111")),TH!D1155,""),"")</f>
        <v/>
      </c>
      <c r="B1155" s="60" t="str">
        <f t="shared" si="194"/>
        <v/>
      </c>
      <c r="C1155" s="981"/>
      <c r="D1155" s="981"/>
      <c r="E1155" s="981"/>
      <c r="F1155" s="1008"/>
      <c r="G1155" s="987"/>
      <c r="H1155" s="85"/>
      <c r="I1155" s="984"/>
      <c r="J1155" s="984"/>
      <c r="K1155" s="984"/>
      <c r="L1155" s="983"/>
      <c r="M1155" s="985"/>
      <c r="N1155" s="986"/>
      <c r="O1155" s="986"/>
      <c r="P1155" s="79" t="str">
        <f>IF(AND('331-CT'!$E$7=TH!H1155,OR(N1155="331",O1155="331")),"x","")</f>
        <v/>
      </c>
      <c r="Q1155" s="79" t="str">
        <f>IF(AND(B1155='111'!$L$11,OR($N1155=$Q$7,$O1155=$Q$7)),"x","")</f>
        <v/>
      </c>
      <c r="R1155" s="79" t="str">
        <f>IF(AND($N1155=$Q$7,$B1155&lt;'111'!$L$11),"x","")</f>
        <v/>
      </c>
      <c r="S1155" s="79" t="str">
        <f>IF(AND($O1155=$Q$7,$B1155&lt;'111'!$L$11),"x","")</f>
        <v/>
      </c>
      <c r="T1155" s="79" t="str">
        <f>IF(ISERROR(FIND('112'!$M$9,G1155,1)),"",IF((AND(FIND('112'!$M$9,G1155,1)&gt;=1,B1155='112'!$K$9,OR($N1155='112'!$I$6,$O1155='112'!$I$6))),"x",""))</f>
        <v/>
      </c>
      <c r="U1155" s="79" t="str">
        <f>IF(ISERROR(FIND('112'!$M$9,G1155,1)),"",IF((AND(LEFT(G1155,2)=LEFT('112'!$M$9,2),B1155&lt;'112'!$K$9,$N1155='112'!$I$6)),"x",""))</f>
        <v/>
      </c>
      <c r="V1155" s="79" t="str">
        <f>IF(ISERROR(FIND('112'!$M$9,G1155,1)),"",IF((AND(RIGHT(G1155,2)=RIGHT('112'!$M$9,2),B1155&lt;'112'!$K$9,$O1155='112'!$I$6)),"x",""))</f>
        <v/>
      </c>
      <c r="W1155" s="79" t="str">
        <f>IF(AND('341-CT'!$H$9=H1155,OR(LEFT(N1155,3)=$W$7,LEFT(O1155,3)=$W$7)),"x","")</f>
        <v/>
      </c>
      <c r="X1155" s="79" t="str">
        <f>IF(OR(TH!N1155=TH!$X$7,O1155=TH!$X$7),"x","")</f>
        <v/>
      </c>
      <c r="Y1155" s="79" t="str">
        <f>IF(AND(OR(N1155="131",O1155="131"),H1155='131-CT'!$H$9),"x","")</f>
        <v/>
      </c>
      <c r="Z1155" s="79"/>
      <c r="AA1155" s="79" t="str">
        <f>IF(AND(MONTH(E1155)='IN-NX'!$J$5,'IN-NX'!$D$7=D1155),"x","")</f>
        <v/>
      </c>
      <c r="AB1155" s="79" t="str">
        <f>IF(AND(OR(LEFT(TH!N1155,2)="15",LEFT(TH!O1155,2)="15"),LEFT(TH!O1155,3)&lt;&gt;"111",'152-CT'!$J$8=TH!F1155),"x","")</f>
        <v/>
      </c>
      <c r="AC1155" s="79" t="str">
        <f>IF(AND(OR(LEFT(TH!N1155,2)="15",LEFT(TH!O1155,2)="15"),TK!$E$7=TH!F1155),"x","")</f>
        <v/>
      </c>
      <c r="AD1155" s="79" t="str">
        <f>IF(AND(N1155="1521",MONTH(C1155)='BK-NL'!$M$11),"x","")</f>
        <v/>
      </c>
    </row>
    <row r="1156" spans="1:30" s="1102" customFormat="1" ht="16.5" customHeight="1">
      <c r="A1156" s="318" t="str">
        <f>IF(B1156&lt;&gt;"",IF(AND(B1156='IN-TC'!$S$4,OR(TH!N1156="1111",TH!O1156="1111")),TH!D1156,""),"")</f>
        <v/>
      </c>
      <c r="B1156" s="60" t="str">
        <f t="shared" si="194"/>
        <v/>
      </c>
      <c r="C1156" s="981"/>
      <c r="D1156" s="981"/>
      <c r="E1156" s="981"/>
      <c r="F1156" s="1008"/>
      <c r="G1156" s="987"/>
      <c r="H1156" s="997"/>
      <c r="I1156" s="984"/>
      <c r="J1156" s="984"/>
      <c r="K1156" s="984"/>
      <c r="L1156" s="983"/>
      <c r="M1156" s="985"/>
      <c r="N1156" s="986"/>
      <c r="O1156" s="986"/>
      <c r="P1156" s="79" t="str">
        <f>IF(AND('331-CT'!$E$7=TH!H1156,OR(N1156="331",O1156="331")),"x","")</f>
        <v/>
      </c>
      <c r="Q1156" s="79" t="str">
        <f>IF(AND(B1156='111'!$L$11,OR($N1156=$Q$7,$O1156=$Q$7)),"x","")</f>
        <v/>
      </c>
      <c r="R1156" s="79" t="str">
        <f>IF(AND($N1156=$Q$7,$B1156&lt;'111'!$L$11),"x","")</f>
        <v/>
      </c>
      <c r="S1156" s="79" t="str">
        <f>IF(AND($O1156=$Q$7,$B1156&lt;'111'!$L$11),"x","")</f>
        <v/>
      </c>
      <c r="T1156" s="79" t="str">
        <f>IF(ISERROR(FIND('112'!$M$9,G1156,1)),"",IF((AND(FIND('112'!$M$9,G1156,1)&gt;=1,B1156='112'!$K$9,OR($N1156='112'!$I$6,$O1156='112'!$I$6))),"x",""))</f>
        <v/>
      </c>
      <c r="U1156" s="79" t="str">
        <f>IF(ISERROR(FIND('112'!$M$9,G1156,1)),"",IF((AND(LEFT(G1156,2)=LEFT('112'!$M$9,2),B1156&lt;'112'!$K$9,$N1156='112'!$I$6)),"x",""))</f>
        <v/>
      </c>
      <c r="V1156" s="79" t="str">
        <f>IF(ISERROR(FIND('112'!$M$9,G1156,1)),"",IF((AND(RIGHT(G1156,2)=RIGHT('112'!$M$9,2),B1156&lt;'112'!$K$9,$O1156='112'!$I$6)),"x",""))</f>
        <v/>
      </c>
      <c r="W1156" s="79" t="str">
        <f>IF(AND('341-CT'!$H$9=H1156,OR(LEFT(N1156,3)=$W$7,LEFT(O1156,3)=$W$7)),"x","")</f>
        <v/>
      </c>
      <c r="X1156" s="79" t="str">
        <f>IF(OR(TH!N1156=TH!$X$7,O1156=TH!$X$7),"x","")</f>
        <v/>
      </c>
      <c r="Y1156" s="79" t="str">
        <f>IF(AND(OR(N1156="131",O1156="131"),H1156='131-CT'!$H$9),"x","")</f>
        <v/>
      </c>
      <c r="Z1156" s="79"/>
      <c r="AA1156" s="79" t="str">
        <f>IF(AND(MONTH(E1156)='IN-NX'!$J$5,'IN-NX'!$D$7=D1156),"x","")</f>
        <v/>
      </c>
      <c r="AB1156" s="79" t="str">
        <f>IF(AND(OR(LEFT(TH!N1156,2)="15",LEFT(TH!O1156,2)="15"),LEFT(TH!O1156,3)&lt;&gt;"111",'152-CT'!$J$8=TH!F1156),"x","")</f>
        <v/>
      </c>
      <c r="AC1156" s="79" t="str">
        <f>IF(AND(OR(LEFT(TH!N1156,2)="15",LEFT(TH!O1156,2)="15"),TK!$E$7=TH!F1156),"x","")</f>
        <v/>
      </c>
      <c r="AD1156" s="79" t="str">
        <f>IF(AND(N1156="1521",MONTH(C1156)='BK-NL'!$M$11),"x","")</f>
        <v/>
      </c>
    </row>
    <row r="1157" spans="1:30" s="1102" customFormat="1" ht="16.5" customHeight="1">
      <c r="A1157" s="318" t="str">
        <f>IF(B1157&lt;&gt;"",IF(AND(B1157='IN-TC'!$S$4,OR(TH!N1157="1111",TH!O1157="1111")),TH!D1157,""),"")</f>
        <v/>
      </c>
      <c r="B1157" s="60" t="str">
        <f t="shared" si="194"/>
        <v/>
      </c>
      <c r="C1157" s="981"/>
      <c r="D1157" s="981"/>
      <c r="E1157" s="981"/>
      <c r="F1157" s="1008"/>
      <c r="G1157" s="987"/>
      <c r="H1157" s="85"/>
      <c r="I1157" s="984"/>
      <c r="J1157" s="984"/>
      <c r="K1157" s="984"/>
      <c r="L1157" s="983"/>
      <c r="M1157" s="985"/>
      <c r="N1157" s="986"/>
      <c r="O1157" s="986"/>
      <c r="P1157" s="79" t="str">
        <f>IF(AND('331-CT'!$E$7=TH!H1157,OR(N1157="331",O1157="331")),"x","")</f>
        <v/>
      </c>
      <c r="Q1157" s="79" t="str">
        <f>IF(AND(B1157='111'!$L$11,OR($N1157=$Q$7,$O1157=$Q$7)),"x","")</f>
        <v/>
      </c>
      <c r="R1157" s="79" t="str">
        <f>IF(AND($N1157=$Q$7,$B1157&lt;'111'!$L$11),"x","")</f>
        <v/>
      </c>
      <c r="S1157" s="79" t="str">
        <f>IF(AND($O1157=$Q$7,$B1157&lt;'111'!$L$11),"x","")</f>
        <v/>
      </c>
      <c r="T1157" s="79" t="str">
        <f>IF(ISERROR(FIND('112'!$M$9,G1157,1)),"",IF((AND(FIND('112'!$M$9,G1157,1)&gt;=1,B1157='112'!$K$9,OR($N1157='112'!$I$6,$O1157='112'!$I$6))),"x",""))</f>
        <v/>
      </c>
      <c r="U1157" s="79" t="str">
        <f>IF(ISERROR(FIND('112'!$M$9,G1157,1)),"",IF((AND(LEFT(G1157,2)=LEFT('112'!$M$9,2),B1157&lt;'112'!$K$9,$N1157='112'!$I$6)),"x",""))</f>
        <v/>
      </c>
      <c r="V1157" s="79" t="str">
        <f>IF(ISERROR(FIND('112'!$M$9,G1157,1)),"",IF((AND(RIGHT(G1157,2)=RIGHT('112'!$M$9,2),B1157&lt;'112'!$K$9,$O1157='112'!$I$6)),"x",""))</f>
        <v/>
      </c>
      <c r="W1157" s="79" t="str">
        <f>IF(AND('341-CT'!$H$9=H1157,OR(LEFT(N1157,3)=$W$7,LEFT(O1157,3)=$W$7)),"x","")</f>
        <v/>
      </c>
      <c r="X1157" s="79" t="str">
        <f>IF(OR(TH!N1157=TH!$X$7,O1157=TH!$X$7),"x","")</f>
        <v/>
      </c>
      <c r="Y1157" s="79" t="str">
        <f>IF(AND(OR(N1157="131",O1157="131"),H1157='131-CT'!$H$9),"x","")</f>
        <v/>
      </c>
      <c r="Z1157" s="79"/>
      <c r="AA1157" s="79" t="str">
        <f>IF(AND(MONTH(E1157)='IN-NX'!$J$5,'IN-NX'!$D$7=D1157),"x","")</f>
        <v/>
      </c>
      <c r="AB1157" s="79" t="str">
        <f>IF(AND(OR(LEFT(TH!N1157,2)="15",LEFT(TH!O1157,2)="15"),LEFT(TH!O1157,3)&lt;&gt;"111",'152-CT'!$J$8=TH!F1157),"x","")</f>
        <v/>
      </c>
      <c r="AC1157" s="79" t="str">
        <f>IF(AND(OR(LEFT(TH!N1157,2)="15",LEFT(TH!O1157,2)="15"),TK!$E$7=TH!F1157),"x","")</f>
        <v/>
      </c>
      <c r="AD1157" s="79" t="str">
        <f>IF(AND(N1157="1521",MONTH(C1157)='BK-NL'!$M$11),"x","")</f>
        <v/>
      </c>
    </row>
    <row r="1158" spans="1:30" s="1102" customFormat="1" ht="16.5" customHeight="1">
      <c r="A1158" s="318" t="str">
        <f>IF(B1158&lt;&gt;"",IF(AND(B1158='IN-TC'!$S$4,OR(TH!N1158="1111",TH!O1158="1111")),TH!D1158,""),"")</f>
        <v/>
      </c>
      <c r="B1158" s="60" t="str">
        <f t="shared" si="194"/>
        <v/>
      </c>
      <c r="C1158" s="981"/>
      <c r="D1158" s="981"/>
      <c r="E1158" s="981"/>
      <c r="F1158" s="1008"/>
      <c r="G1158" s="987"/>
      <c r="H1158" s="85"/>
      <c r="I1158" s="984"/>
      <c r="J1158" s="984"/>
      <c r="K1158" s="984"/>
      <c r="L1158" s="983"/>
      <c r="M1158" s="985"/>
      <c r="N1158" s="986"/>
      <c r="O1158" s="986"/>
      <c r="P1158" s="79" t="str">
        <f>IF(AND('331-CT'!$E$7=TH!H1158,OR(N1158="331",O1158="331")),"x","")</f>
        <v/>
      </c>
      <c r="Q1158" s="79" t="str">
        <f>IF(AND(B1158='111'!$L$11,OR($N1158=$Q$7,$O1158=$Q$7)),"x","")</f>
        <v/>
      </c>
      <c r="R1158" s="79" t="str">
        <f>IF(AND($N1158=$Q$7,$B1158&lt;'111'!$L$11),"x","")</f>
        <v/>
      </c>
      <c r="S1158" s="79" t="str">
        <f>IF(AND($O1158=$Q$7,$B1158&lt;'111'!$L$11),"x","")</f>
        <v/>
      </c>
      <c r="T1158" s="79" t="str">
        <f>IF(ISERROR(FIND('112'!$M$9,G1158,1)),"",IF((AND(FIND('112'!$M$9,G1158,1)&gt;=1,B1158='112'!$K$9,OR($N1158='112'!$I$6,$O1158='112'!$I$6))),"x",""))</f>
        <v/>
      </c>
      <c r="U1158" s="79" t="str">
        <f>IF(ISERROR(FIND('112'!$M$9,G1158,1)),"",IF((AND(LEFT(G1158,2)=LEFT('112'!$M$9,2),B1158&lt;'112'!$K$9,$N1158='112'!$I$6)),"x",""))</f>
        <v/>
      </c>
      <c r="V1158" s="79" t="str">
        <f>IF(ISERROR(FIND('112'!$M$9,G1158,1)),"",IF((AND(RIGHT(G1158,2)=RIGHT('112'!$M$9,2),B1158&lt;'112'!$K$9,$O1158='112'!$I$6)),"x",""))</f>
        <v/>
      </c>
      <c r="W1158" s="79" t="str">
        <f>IF(AND('341-CT'!$H$9=H1158,OR(LEFT(N1158,3)=$W$7,LEFT(O1158,3)=$W$7)),"x","")</f>
        <v/>
      </c>
      <c r="X1158" s="79" t="str">
        <f>IF(OR(TH!N1158=TH!$X$7,O1158=TH!$X$7),"x","")</f>
        <v/>
      </c>
      <c r="Y1158" s="79" t="str">
        <f>IF(AND(OR(N1158="131",O1158="131"),H1158='131-CT'!$H$9),"x","")</f>
        <v/>
      </c>
      <c r="Z1158" s="79"/>
      <c r="AA1158" s="79" t="str">
        <f>IF(AND(MONTH(E1158)='IN-NX'!$J$5,'IN-NX'!$D$7=D1158),"x","")</f>
        <v/>
      </c>
      <c r="AB1158" s="79" t="str">
        <f>IF(AND(OR(LEFT(TH!N1158,2)="15",LEFT(TH!O1158,2)="15"),LEFT(TH!O1158,3)&lt;&gt;"111",'152-CT'!$J$8=TH!F1158),"x","")</f>
        <v/>
      </c>
      <c r="AC1158" s="79" t="str">
        <f>IF(AND(OR(LEFT(TH!N1158,2)="15",LEFT(TH!O1158,2)="15"),TK!$E$7=TH!F1158),"x","")</f>
        <v/>
      </c>
      <c r="AD1158" s="79" t="str">
        <f>IF(AND(N1158="1521",MONTH(C1158)='BK-NL'!$M$11),"x","")</f>
        <v/>
      </c>
    </row>
    <row r="1159" spans="1:30" s="1102" customFormat="1" ht="16.5" customHeight="1">
      <c r="A1159" s="318" t="str">
        <f>IF(B1159&lt;&gt;"",IF(AND(B1159='IN-TC'!$S$4,OR(TH!N1159="1111",TH!O1159="1111")),TH!D1159,""),"")</f>
        <v/>
      </c>
      <c r="B1159" s="60" t="str">
        <f t="shared" si="194"/>
        <v/>
      </c>
      <c r="C1159" s="981"/>
      <c r="D1159" s="981"/>
      <c r="E1159" s="981"/>
      <c r="F1159" s="1008"/>
      <c r="G1159" s="987"/>
      <c r="H1159" s="997"/>
      <c r="I1159" s="984"/>
      <c r="J1159" s="984"/>
      <c r="K1159" s="984"/>
      <c r="L1159" s="983"/>
      <c r="M1159" s="985"/>
      <c r="N1159" s="986"/>
      <c r="O1159" s="986"/>
      <c r="P1159" s="79" t="str">
        <f>IF(AND('331-CT'!$E$7=TH!H1159,OR(N1159="331",O1159="331")),"x","")</f>
        <v/>
      </c>
      <c r="Q1159" s="79" t="str">
        <f>IF(AND(B1159='111'!$L$11,OR($N1159=$Q$7,$O1159=$Q$7)),"x","")</f>
        <v/>
      </c>
      <c r="R1159" s="79" t="str">
        <f>IF(AND($N1159=$Q$7,$B1159&lt;'111'!$L$11),"x","")</f>
        <v/>
      </c>
      <c r="S1159" s="79" t="str">
        <f>IF(AND($O1159=$Q$7,$B1159&lt;'111'!$L$11),"x","")</f>
        <v/>
      </c>
      <c r="T1159" s="79" t="str">
        <f>IF(ISERROR(FIND('112'!$M$9,G1159,1)),"",IF((AND(FIND('112'!$M$9,G1159,1)&gt;=1,B1159='112'!$K$9,OR($N1159='112'!$I$6,$O1159='112'!$I$6))),"x",""))</f>
        <v/>
      </c>
      <c r="U1159" s="79" t="str">
        <f>IF(ISERROR(FIND('112'!$M$9,G1159,1)),"",IF((AND(LEFT(G1159,2)=LEFT('112'!$M$9,2),B1159&lt;'112'!$K$9,$N1159='112'!$I$6)),"x",""))</f>
        <v/>
      </c>
      <c r="V1159" s="79" t="str">
        <f>IF(ISERROR(FIND('112'!$M$9,G1159,1)),"",IF((AND(RIGHT(G1159,2)=RIGHT('112'!$M$9,2),B1159&lt;'112'!$K$9,$O1159='112'!$I$6)),"x",""))</f>
        <v/>
      </c>
      <c r="W1159" s="79" t="str">
        <f>IF(AND('341-CT'!$H$9=H1159,OR(LEFT(N1159,3)=$W$7,LEFT(O1159,3)=$W$7)),"x","")</f>
        <v/>
      </c>
      <c r="X1159" s="79" t="str">
        <f>IF(OR(TH!N1159=TH!$X$7,O1159=TH!$X$7),"x","")</f>
        <v/>
      </c>
      <c r="Y1159" s="79" t="str">
        <f>IF(AND(OR(N1159="131",O1159="131"),H1159='131-CT'!$H$9),"x","")</f>
        <v/>
      </c>
      <c r="Z1159" s="79"/>
      <c r="AA1159" s="79" t="str">
        <f>IF(AND(MONTH(E1159)='IN-NX'!$J$5,'IN-NX'!$D$7=D1159),"x","")</f>
        <v/>
      </c>
      <c r="AB1159" s="79" t="str">
        <f>IF(AND(OR(LEFT(TH!N1159,2)="15",LEFT(TH!O1159,2)="15"),LEFT(TH!O1159,3)&lt;&gt;"111",'152-CT'!$J$8=TH!F1159),"x","")</f>
        <v/>
      </c>
      <c r="AC1159" s="79" t="str">
        <f>IF(AND(OR(LEFT(TH!N1159,2)="15",LEFT(TH!O1159,2)="15"),TK!$E$7=TH!F1159),"x","")</f>
        <v/>
      </c>
      <c r="AD1159" s="79" t="str">
        <f>IF(AND(N1159="1521",MONTH(C1159)='BK-NL'!$M$11),"x","")</f>
        <v/>
      </c>
    </row>
    <row r="1160" spans="1:30" s="1102" customFormat="1" ht="16.5" customHeight="1">
      <c r="A1160" s="318" t="str">
        <f>IF(B1160&lt;&gt;"",IF(AND(B1160='IN-TC'!$S$4,OR(TH!N1160="1111",TH!O1160="1111")),TH!D1160,""),"")</f>
        <v/>
      </c>
      <c r="B1160" s="60" t="str">
        <f t="shared" si="194"/>
        <v/>
      </c>
      <c r="C1160" s="981"/>
      <c r="D1160" s="981"/>
      <c r="E1160" s="981"/>
      <c r="F1160" s="1008"/>
      <c r="G1160" s="987"/>
      <c r="H1160" s="85"/>
      <c r="I1160" s="984"/>
      <c r="J1160" s="984"/>
      <c r="K1160" s="984"/>
      <c r="L1160" s="983"/>
      <c r="M1160" s="985"/>
      <c r="N1160" s="986"/>
      <c r="O1160" s="986"/>
      <c r="P1160" s="79" t="str">
        <f>IF(AND('331-CT'!$E$7=TH!H1160,OR(N1160="331",O1160="331")),"x","")</f>
        <v/>
      </c>
      <c r="Q1160" s="79" t="str">
        <f>IF(AND(B1160='111'!$L$11,OR($N1160=$Q$7,$O1160=$Q$7)),"x","")</f>
        <v/>
      </c>
      <c r="R1160" s="79" t="str">
        <f>IF(AND($N1160=$Q$7,$B1160&lt;'111'!$L$11),"x","")</f>
        <v/>
      </c>
      <c r="S1160" s="79" t="str">
        <f>IF(AND($O1160=$Q$7,$B1160&lt;'111'!$L$11),"x","")</f>
        <v/>
      </c>
      <c r="T1160" s="79" t="str">
        <f>IF(ISERROR(FIND('112'!$M$9,G1160,1)),"",IF((AND(FIND('112'!$M$9,G1160,1)&gt;=1,B1160='112'!$K$9,OR($N1160='112'!$I$6,$O1160='112'!$I$6))),"x",""))</f>
        <v/>
      </c>
      <c r="U1160" s="79" t="str">
        <f>IF(ISERROR(FIND('112'!$M$9,G1160,1)),"",IF((AND(LEFT(G1160,2)=LEFT('112'!$M$9,2),B1160&lt;'112'!$K$9,$N1160='112'!$I$6)),"x",""))</f>
        <v/>
      </c>
      <c r="V1160" s="79" t="str">
        <f>IF(ISERROR(FIND('112'!$M$9,G1160,1)),"",IF((AND(RIGHT(G1160,2)=RIGHT('112'!$M$9,2),B1160&lt;'112'!$K$9,$O1160='112'!$I$6)),"x",""))</f>
        <v/>
      </c>
      <c r="W1160" s="79" t="str">
        <f>IF(AND('341-CT'!$H$9=H1160,OR(LEFT(N1160,3)=$W$7,LEFT(O1160,3)=$W$7)),"x","")</f>
        <v/>
      </c>
      <c r="X1160" s="79" t="str">
        <f>IF(OR(TH!N1160=TH!$X$7,O1160=TH!$X$7),"x","")</f>
        <v/>
      </c>
      <c r="Y1160" s="79" t="str">
        <f>IF(AND(OR(N1160="131",O1160="131"),H1160='131-CT'!$H$9),"x","")</f>
        <v/>
      </c>
      <c r="Z1160" s="79"/>
      <c r="AA1160" s="79" t="str">
        <f>IF(AND(MONTH(E1160)='IN-NX'!$J$5,'IN-NX'!$D$7=D1160),"x","")</f>
        <v/>
      </c>
      <c r="AB1160" s="79" t="str">
        <f>IF(AND(OR(LEFT(TH!N1160,2)="15",LEFT(TH!O1160,2)="15"),LEFT(TH!O1160,3)&lt;&gt;"111",'152-CT'!$J$8=TH!F1160),"x","")</f>
        <v/>
      </c>
      <c r="AC1160" s="79" t="str">
        <f>IF(AND(OR(LEFT(TH!N1160,2)="15",LEFT(TH!O1160,2)="15"),TK!$E$7=TH!F1160),"x","")</f>
        <v/>
      </c>
      <c r="AD1160" s="79" t="str">
        <f>IF(AND(N1160="1521",MONTH(C1160)='BK-NL'!$M$11),"x","")</f>
        <v/>
      </c>
    </row>
    <row r="1161" spans="1:30" s="1102" customFormat="1" ht="16.5" customHeight="1">
      <c r="A1161" s="318" t="str">
        <f>IF(B1161&lt;&gt;"",IF(AND(B1161='IN-TC'!$S$4,OR(TH!N1161="1111",TH!O1161="1111")),TH!D1161,""),"")</f>
        <v/>
      </c>
      <c r="B1161" s="60" t="str">
        <f t="shared" si="194"/>
        <v/>
      </c>
      <c r="C1161" s="981"/>
      <c r="D1161" s="981"/>
      <c r="E1161" s="981"/>
      <c r="F1161" s="1008"/>
      <c r="G1161" s="987"/>
      <c r="H1161" s="85"/>
      <c r="I1161" s="984"/>
      <c r="J1161" s="984"/>
      <c r="K1161" s="984"/>
      <c r="L1161" s="983"/>
      <c r="M1161" s="985"/>
      <c r="N1161" s="986"/>
      <c r="O1161" s="986"/>
      <c r="P1161" s="79" t="str">
        <f>IF(AND('331-CT'!$E$7=TH!H1161,OR(N1161="331",O1161="331")),"x","")</f>
        <v/>
      </c>
      <c r="Q1161" s="79" t="str">
        <f>IF(AND(B1161='111'!$L$11,OR($N1161=$Q$7,$O1161=$Q$7)),"x","")</f>
        <v/>
      </c>
      <c r="R1161" s="79" t="str">
        <f>IF(AND($N1161=$Q$7,$B1161&lt;'111'!$L$11),"x","")</f>
        <v/>
      </c>
      <c r="S1161" s="79" t="str">
        <f>IF(AND($O1161=$Q$7,$B1161&lt;'111'!$L$11),"x","")</f>
        <v/>
      </c>
      <c r="T1161" s="79" t="str">
        <f>IF(ISERROR(FIND('112'!$M$9,G1161,1)),"",IF((AND(FIND('112'!$M$9,G1161,1)&gt;=1,B1161='112'!$K$9,OR($N1161='112'!$I$6,$O1161='112'!$I$6))),"x",""))</f>
        <v/>
      </c>
      <c r="U1161" s="79" t="str">
        <f>IF(ISERROR(FIND('112'!$M$9,G1161,1)),"",IF((AND(LEFT(G1161,2)=LEFT('112'!$M$9,2),B1161&lt;'112'!$K$9,$N1161='112'!$I$6)),"x",""))</f>
        <v/>
      </c>
      <c r="V1161" s="79" t="str">
        <f>IF(ISERROR(FIND('112'!$M$9,G1161,1)),"",IF((AND(RIGHT(G1161,2)=RIGHT('112'!$M$9,2),B1161&lt;'112'!$K$9,$O1161='112'!$I$6)),"x",""))</f>
        <v/>
      </c>
      <c r="W1161" s="79" t="str">
        <f>IF(AND('341-CT'!$H$9=H1161,OR(LEFT(N1161,3)=$W$7,LEFT(O1161,3)=$W$7)),"x","")</f>
        <v/>
      </c>
      <c r="X1161" s="79" t="str">
        <f>IF(OR(TH!N1161=TH!$X$7,O1161=TH!$X$7),"x","")</f>
        <v/>
      </c>
      <c r="Y1161" s="79" t="str">
        <f>IF(AND(OR(N1161="131",O1161="131"),H1161='131-CT'!$H$9),"x","")</f>
        <v/>
      </c>
      <c r="Z1161" s="79"/>
      <c r="AA1161" s="79" t="str">
        <f>IF(AND(MONTH(E1161)='IN-NX'!$J$5,'IN-NX'!$D$7=D1161),"x","")</f>
        <v/>
      </c>
      <c r="AB1161" s="79" t="str">
        <f>IF(AND(OR(LEFT(TH!N1161,2)="15",LEFT(TH!O1161,2)="15"),LEFT(TH!O1161,3)&lt;&gt;"111",'152-CT'!$J$8=TH!F1161),"x","")</f>
        <v/>
      </c>
      <c r="AC1161" s="79" t="str">
        <f>IF(AND(OR(LEFT(TH!N1161,2)="15",LEFT(TH!O1161,2)="15"),TK!$E$7=TH!F1161),"x","")</f>
        <v/>
      </c>
      <c r="AD1161" s="79" t="str">
        <f>IF(AND(N1161="1521",MONTH(C1161)='BK-NL'!$M$11),"x","")</f>
        <v/>
      </c>
    </row>
    <row r="1162" spans="1:30" s="1102" customFormat="1" ht="16.5" customHeight="1">
      <c r="A1162" s="318" t="str">
        <f>IF(B1162&lt;&gt;"",IF(AND(B1162='IN-TC'!$S$4,OR(TH!N1162="1111",TH!O1162="1111")),TH!D1162,""),"")</f>
        <v/>
      </c>
      <c r="B1162" s="60" t="str">
        <f t="shared" si="194"/>
        <v/>
      </c>
      <c r="C1162" s="981"/>
      <c r="D1162" s="981"/>
      <c r="E1162" s="981"/>
      <c r="F1162" s="1008"/>
      <c r="G1162" s="987"/>
      <c r="H1162" s="85"/>
      <c r="I1162" s="984"/>
      <c r="J1162" s="984"/>
      <c r="K1162" s="984"/>
      <c r="L1162" s="983"/>
      <c r="M1162" s="985"/>
      <c r="N1162" s="986"/>
      <c r="O1162" s="986"/>
      <c r="P1162" s="79" t="str">
        <f>IF(AND('331-CT'!$E$7=TH!H1162,OR(N1162="331",O1162="331")),"x","")</f>
        <v/>
      </c>
      <c r="Q1162" s="79" t="str">
        <f>IF(AND(B1162='111'!$L$11,OR($N1162=$Q$7,$O1162=$Q$7)),"x","")</f>
        <v/>
      </c>
      <c r="R1162" s="79" t="str">
        <f>IF(AND($N1162=$Q$7,$B1162&lt;'111'!$L$11),"x","")</f>
        <v/>
      </c>
      <c r="S1162" s="79" t="str">
        <f>IF(AND($O1162=$Q$7,$B1162&lt;'111'!$L$11),"x","")</f>
        <v/>
      </c>
      <c r="T1162" s="79" t="str">
        <f>IF(ISERROR(FIND('112'!$M$9,G1162,1)),"",IF((AND(FIND('112'!$M$9,G1162,1)&gt;=1,B1162='112'!$K$9,OR($N1162='112'!$I$6,$O1162='112'!$I$6))),"x",""))</f>
        <v/>
      </c>
      <c r="U1162" s="79" t="str">
        <f>IF(ISERROR(FIND('112'!$M$9,G1162,1)),"",IF((AND(LEFT(G1162,2)=LEFT('112'!$M$9,2),B1162&lt;'112'!$K$9,$N1162='112'!$I$6)),"x",""))</f>
        <v/>
      </c>
      <c r="V1162" s="79" t="str">
        <f>IF(ISERROR(FIND('112'!$M$9,G1162,1)),"",IF((AND(RIGHT(G1162,2)=RIGHT('112'!$M$9,2),B1162&lt;'112'!$K$9,$O1162='112'!$I$6)),"x",""))</f>
        <v/>
      </c>
      <c r="W1162" s="79" t="str">
        <f>IF(AND('341-CT'!$H$9=H1162,OR(LEFT(N1162,3)=$W$7,LEFT(O1162,3)=$W$7)),"x","")</f>
        <v/>
      </c>
      <c r="X1162" s="79" t="str">
        <f>IF(OR(TH!N1162=TH!$X$7,O1162=TH!$X$7),"x","")</f>
        <v/>
      </c>
      <c r="Y1162" s="79" t="str">
        <f>IF(AND(OR(N1162="131",O1162="131"),H1162='131-CT'!$H$9),"x","")</f>
        <v/>
      </c>
      <c r="Z1162" s="79"/>
      <c r="AA1162" s="79" t="str">
        <f>IF(AND(MONTH(E1162)='IN-NX'!$J$5,'IN-NX'!$D$7=D1162),"x","")</f>
        <v/>
      </c>
      <c r="AB1162" s="79" t="str">
        <f>IF(AND(OR(LEFT(TH!N1162,2)="15",LEFT(TH!O1162,2)="15"),LEFT(TH!O1162,3)&lt;&gt;"111",'152-CT'!$J$8=TH!F1162),"x","")</f>
        <v/>
      </c>
      <c r="AC1162" s="79" t="str">
        <f>IF(AND(OR(LEFT(TH!N1162,2)="15",LEFT(TH!O1162,2)="15"),TK!$E$7=TH!F1162),"x","")</f>
        <v/>
      </c>
      <c r="AD1162" s="79" t="str">
        <f>IF(AND(N1162="1521",MONTH(C1162)='BK-NL'!$M$11),"x","")</f>
        <v/>
      </c>
    </row>
    <row r="1163" spans="1:30" s="1102" customFormat="1" ht="16.5" customHeight="1">
      <c r="A1163" s="318" t="str">
        <f>IF(B1163&lt;&gt;"",IF(AND(B1163='IN-TC'!$S$4,OR(TH!N1163="1111",TH!O1163="1111")),TH!D1163,""),"")</f>
        <v/>
      </c>
      <c r="B1163" s="60" t="str">
        <f t="shared" si="194"/>
        <v/>
      </c>
      <c r="C1163" s="981"/>
      <c r="D1163" s="981"/>
      <c r="E1163" s="981"/>
      <c r="F1163" s="1008"/>
      <c r="G1163" s="987"/>
      <c r="H1163" s="85"/>
      <c r="I1163" s="984"/>
      <c r="J1163" s="984"/>
      <c r="K1163" s="984"/>
      <c r="L1163" s="983"/>
      <c r="M1163" s="985"/>
      <c r="N1163" s="986"/>
      <c r="O1163" s="986"/>
      <c r="P1163" s="79" t="str">
        <f>IF(AND('331-CT'!$E$7=TH!H1163,OR(N1163="331",O1163="331")),"x","")</f>
        <v/>
      </c>
      <c r="Q1163" s="79" t="str">
        <f>IF(AND(B1163='111'!$L$11,OR($N1163=$Q$7,$O1163=$Q$7)),"x","")</f>
        <v/>
      </c>
      <c r="R1163" s="79" t="str">
        <f>IF(AND($N1163=$Q$7,$B1163&lt;'111'!$L$11),"x","")</f>
        <v/>
      </c>
      <c r="S1163" s="79" t="str">
        <f>IF(AND($O1163=$Q$7,$B1163&lt;'111'!$L$11),"x","")</f>
        <v/>
      </c>
      <c r="T1163" s="79" t="str">
        <f>IF(ISERROR(FIND('112'!$M$9,G1163,1)),"",IF((AND(FIND('112'!$M$9,G1163,1)&gt;=1,B1163='112'!$K$9,OR($N1163='112'!$I$6,$O1163='112'!$I$6))),"x",""))</f>
        <v/>
      </c>
      <c r="U1163" s="79" t="str">
        <f>IF(ISERROR(FIND('112'!$M$9,G1163,1)),"",IF((AND(LEFT(G1163,2)=LEFT('112'!$M$9,2),B1163&lt;'112'!$K$9,$N1163='112'!$I$6)),"x",""))</f>
        <v/>
      </c>
      <c r="V1163" s="79" t="str">
        <f>IF(ISERROR(FIND('112'!$M$9,G1163,1)),"",IF((AND(RIGHT(G1163,2)=RIGHT('112'!$M$9,2),B1163&lt;'112'!$K$9,$O1163='112'!$I$6)),"x",""))</f>
        <v/>
      </c>
      <c r="W1163" s="79" t="str">
        <f>IF(AND('341-CT'!$H$9=H1163,OR(LEFT(N1163,3)=$W$7,LEFT(O1163,3)=$W$7)),"x","")</f>
        <v/>
      </c>
      <c r="X1163" s="79" t="str">
        <f>IF(OR(TH!N1163=TH!$X$7,O1163=TH!$X$7),"x","")</f>
        <v/>
      </c>
      <c r="Y1163" s="79" t="str">
        <f>IF(AND(OR(N1163="131",O1163="131"),H1163='131-CT'!$H$9),"x","")</f>
        <v/>
      </c>
      <c r="Z1163" s="79"/>
      <c r="AA1163" s="79" t="str">
        <f>IF(AND(MONTH(E1163)='IN-NX'!$J$5,'IN-NX'!$D$7=D1163),"x","")</f>
        <v/>
      </c>
      <c r="AB1163" s="79" t="str">
        <f>IF(AND(OR(LEFT(TH!N1163,2)="15",LEFT(TH!O1163,2)="15"),LEFT(TH!O1163,3)&lt;&gt;"111",'152-CT'!$J$8=TH!F1163),"x","")</f>
        <v/>
      </c>
      <c r="AC1163" s="79" t="str">
        <f>IF(AND(OR(LEFT(TH!N1163,2)="15",LEFT(TH!O1163,2)="15"),TK!$E$7=TH!F1163),"x","")</f>
        <v/>
      </c>
      <c r="AD1163" s="79" t="str">
        <f>IF(AND(N1163="1521",MONTH(C1163)='BK-NL'!$M$11),"x","")</f>
        <v/>
      </c>
    </row>
    <row r="1164" spans="1:30" s="1102" customFormat="1" ht="16.5" customHeight="1">
      <c r="A1164" s="318" t="str">
        <f>IF(B1164&lt;&gt;"",IF(AND(B1164='IN-TC'!$S$4,OR(TH!N1164="1111",TH!O1164="1111")),TH!D1164,""),"")</f>
        <v/>
      </c>
      <c r="B1164" s="60" t="str">
        <f t="shared" si="194"/>
        <v/>
      </c>
      <c r="C1164" s="981"/>
      <c r="D1164" s="981"/>
      <c r="E1164" s="981"/>
      <c r="F1164" s="1008"/>
      <c r="G1164" s="987"/>
      <c r="H1164" s="85"/>
      <c r="I1164" s="984"/>
      <c r="J1164" s="984"/>
      <c r="K1164" s="984"/>
      <c r="L1164" s="983"/>
      <c r="M1164" s="985"/>
      <c r="N1164" s="986"/>
      <c r="O1164" s="986"/>
      <c r="P1164" s="79" t="str">
        <f>IF(AND('331-CT'!$E$7=TH!H1164,OR(N1164="331",O1164="331")),"x","")</f>
        <v/>
      </c>
      <c r="Q1164" s="79" t="str">
        <f>IF(AND(B1164='111'!$L$11,OR($N1164=$Q$7,$O1164=$Q$7)),"x","")</f>
        <v/>
      </c>
      <c r="R1164" s="79" t="str">
        <f>IF(AND($N1164=$Q$7,$B1164&lt;'111'!$L$11),"x","")</f>
        <v/>
      </c>
      <c r="S1164" s="79" t="str">
        <f>IF(AND($O1164=$Q$7,$B1164&lt;'111'!$L$11),"x","")</f>
        <v/>
      </c>
      <c r="T1164" s="79" t="str">
        <f>IF(ISERROR(FIND('112'!$M$9,G1164,1)),"",IF((AND(FIND('112'!$M$9,G1164,1)&gt;=1,B1164='112'!$K$9,OR($N1164='112'!$I$6,$O1164='112'!$I$6))),"x",""))</f>
        <v/>
      </c>
      <c r="U1164" s="79" t="str">
        <f>IF(ISERROR(FIND('112'!$M$9,G1164,1)),"",IF((AND(LEFT(G1164,2)=LEFT('112'!$M$9,2),B1164&lt;'112'!$K$9,$N1164='112'!$I$6)),"x",""))</f>
        <v/>
      </c>
      <c r="V1164" s="79" t="str">
        <f>IF(ISERROR(FIND('112'!$M$9,G1164,1)),"",IF((AND(RIGHT(G1164,2)=RIGHT('112'!$M$9,2),B1164&lt;'112'!$K$9,$O1164='112'!$I$6)),"x",""))</f>
        <v/>
      </c>
      <c r="W1164" s="79" t="str">
        <f>IF(AND('341-CT'!$H$9=H1164,OR(LEFT(N1164,3)=$W$7,LEFT(O1164,3)=$W$7)),"x","")</f>
        <v/>
      </c>
      <c r="X1164" s="79" t="str">
        <f>IF(OR(TH!N1164=TH!$X$7,O1164=TH!$X$7),"x","")</f>
        <v/>
      </c>
      <c r="Y1164" s="79" t="str">
        <f>IF(AND(OR(N1164="131",O1164="131"),H1164='131-CT'!$H$9),"x","")</f>
        <v/>
      </c>
      <c r="Z1164" s="79"/>
      <c r="AA1164" s="79" t="str">
        <f>IF(AND(MONTH(E1164)='IN-NX'!$J$5,'IN-NX'!$D$7=D1164),"x","")</f>
        <v/>
      </c>
      <c r="AB1164" s="79" t="str">
        <f>IF(AND(OR(LEFT(TH!N1164,2)="15",LEFT(TH!O1164,2)="15"),LEFT(TH!O1164,3)&lt;&gt;"111",'152-CT'!$J$8=TH!F1164),"x","")</f>
        <v/>
      </c>
      <c r="AC1164" s="79" t="str">
        <f>IF(AND(OR(LEFT(TH!N1164,2)="15",LEFT(TH!O1164,2)="15"),TK!$E$7=TH!F1164),"x","")</f>
        <v/>
      </c>
      <c r="AD1164" s="79" t="str">
        <f>IF(AND(N1164="1521",MONTH(C1164)='BK-NL'!$M$11),"x","")</f>
        <v/>
      </c>
    </row>
    <row r="1165" spans="1:30" s="1102" customFormat="1" ht="16.5" customHeight="1">
      <c r="A1165" s="318" t="str">
        <f>IF(B1165&lt;&gt;"",IF(AND(B1165='IN-TC'!$S$4,OR(TH!N1165="1111",TH!O1165="1111")),TH!D1165,""),"")</f>
        <v/>
      </c>
      <c r="B1165" s="60" t="str">
        <f t="shared" si="194"/>
        <v/>
      </c>
      <c r="C1165" s="981"/>
      <c r="D1165" s="981"/>
      <c r="E1165" s="981"/>
      <c r="F1165" s="1008"/>
      <c r="G1165" s="987"/>
      <c r="H1165" s="85"/>
      <c r="I1165" s="984"/>
      <c r="J1165" s="984"/>
      <c r="K1165" s="984"/>
      <c r="L1165" s="983"/>
      <c r="M1165" s="985"/>
      <c r="N1165" s="986"/>
      <c r="O1165" s="986"/>
      <c r="P1165" s="79" t="str">
        <f>IF(AND('331-CT'!$E$7=TH!H1165,OR(N1165="331",O1165="331")),"x","")</f>
        <v/>
      </c>
      <c r="Q1165" s="79" t="str">
        <f>IF(AND(B1165='111'!$L$11,OR($N1165=$Q$7,$O1165=$Q$7)),"x","")</f>
        <v/>
      </c>
      <c r="R1165" s="79" t="str">
        <f>IF(AND($N1165=$Q$7,$B1165&lt;'111'!$L$11),"x","")</f>
        <v/>
      </c>
      <c r="S1165" s="79" t="str">
        <f>IF(AND($O1165=$Q$7,$B1165&lt;'111'!$L$11),"x","")</f>
        <v/>
      </c>
      <c r="T1165" s="79" t="str">
        <f>IF(ISERROR(FIND('112'!$M$9,G1165,1)),"",IF((AND(FIND('112'!$M$9,G1165,1)&gt;=1,B1165='112'!$K$9,OR($N1165='112'!$I$6,$O1165='112'!$I$6))),"x",""))</f>
        <v/>
      </c>
      <c r="U1165" s="79" t="str">
        <f>IF(ISERROR(FIND('112'!$M$9,G1165,1)),"",IF((AND(LEFT(G1165,2)=LEFT('112'!$M$9,2),B1165&lt;'112'!$K$9,$N1165='112'!$I$6)),"x",""))</f>
        <v/>
      </c>
      <c r="V1165" s="79" t="str">
        <f>IF(ISERROR(FIND('112'!$M$9,G1165,1)),"",IF((AND(RIGHT(G1165,2)=RIGHT('112'!$M$9,2),B1165&lt;'112'!$K$9,$O1165='112'!$I$6)),"x",""))</f>
        <v/>
      </c>
      <c r="W1165" s="79" t="str">
        <f>IF(AND('341-CT'!$H$9=H1165,OR(LEFT(N1165,3)=$W$7,LEFT(O1165,3)=$W$7)),"x","")</f>
        <v/>
      </c>
      <c r="X1165" s="79" t="str">
        <f>IF(OR(TH!N1165=TH!$X$7,O1165=TH!$X$7),"x","")</f>
        <v/>
      </c>
      <c r="Y1165" s="79" t="str">
        <f>IF(AND(OR(N1165="131",O1165="131"),H1165='131-CT'!$H$9),"x","")</f>
        <v/>
      </c>
      <c r="Z1165" s="79"/>
      <c r="AA1165" s="79" t="str">
        <f>IF(AND(MONTH(E1165)='IN-NX'!$J$5,'IN-NX'!$D$7=D1165),"x","")</f>
        <v/>
      </c>
      <c r="AB1165" s="79" t="str">
        <f>IF(AND(OR(LEFT(TH!N1165,2)="15",LEFT(TH!O1165,2)="15"),LEFT(TH!O1165,3)&lt;&gt;"111",'152-CT'!$J$8=TH!F1165),"x","")</f>
        <v/>
      </c>
      <c r="AC1165" s="79" t="str">
        <f>IF(AND(OR(LEFT(TH!N1165,2)="15",LEFT(TH!O1165,2)="15"),TK!$E$7=TH!F1165),"x","")</f>
        <v/>
      </c>
      <c r="AD1165" s="79" t="str">
        <f>IF(AND(N1165="1521",MONTH(C1165)='BK-NL'!$M$11),"x","")</f>
        <v/>
      </c>
    </row>
    <row r="1166" spans="1:30" s="1102" customFormat="1" ht="16.5" customHeight="1">
      <c r="A1166" s="318" t="str">
        <f>IF(B1166&lt;&gt;"",IF(AND(B1166='IN-TC'!$S$4,OR(TH!N1166="1111",TH!O1166="1111")),TH!D1166,""),"")</f>
        <v/>
      </c>
      <c r="B1166" s="60" t="str">
        <f t="shared" si="194"/>
        <v/>
      </c>
      <c r="C1166" s="981"/>
      <c r="D1166" s="981"/>
      <c r="E1166" s="981"/>
      <c r="F1166" s="1008"/>
      <c r="G1166" s="987"/>
      <c r="H1166" s="85"/>
      <c r="I1166" s="984"/>
      <c r="J1166" s="984"/>
      <c r="K1166" s="984"/>
      <c r="L1166" s="983"/>
      <c r="M1166" s="985"/>
      <c r="N1166" s="986"/>
      <c r="O1166" s="986"/>
      <c r="P1166" s="79" t="str">
        <f>IF(AND('331-CT'!$E$7=TH!H1166,OR(N1166="331",O1166="331")),"x","")</f>
        <v/>
      </c>
      <c r="Q1166" s="79" t="str">
        <f>IF(AND(B1166='111'!$L$11,OR($N1166=$Q$7,$O1166=$Q$7)),"x","")</f>
        <v/>
      </c>
      <c r="R1166" s="79" t="str">
        <f>IF(AND($N1166=$Q$7,$B1166&lt;'111'!$L$11),"x","")</f>
        <v/>
      </c>
      <c r="S1166" s="79" t="str">
        <f>IF(AND($O1166=$Q$7,$B1166&lt;'111'!$L$11),"x","")</f>
        <v/>
      </c>
      <c r="T1166" s="79" t="str">
        <f>IF(ISERROR(FIND('112'!$M$9,G1166,1)),"",IF((AND(FIND('112'!$M$9,G1166,1)&gt;=1,B1166='112'!$K$9,OR($N1166='112'!$I$6,$O1166='112'!$I$6))),"x",""))</f>
        <v/>
      </c>
      <c r="U1166" s="79" t="str">
        <f>IF(ISERROR(FIND('112'!$M$9,G1166,1)),"",IF((AND(LEFT(G1166,2)=LEFT('112'!$M$9,2),B1166&lt;'112'!$K$9,$N1166='112'!$I$6)),"x",""))</f>
        <v/>
      </c>
      <c r="V1166" s="79" t="str">
        <f>IF(ISERROR(FIND('112'!$M$9,G1166,1)),"",IF((AND(RIGHT(G1166,2)=RIGHT('112'!$M$9,2),B1166&lt;'112'!$K$9,$O1166='112'!$I$6)),"x",""))</f>
        <v/>
      </c>
      <c r="W1166" s="79" t="str">
        <f>IF(AND('341-CT'!$H$9=H1166,OR(LEFT(N1166,3)=$W$7,LEFT(O1166,3)=$W$7)),"x","")</f>
        <v/>
      </c>
      <c r="X1166" s="79" t="str">
        <f>IF(OR(TH!N1166=TH!$X$7,O1166=TH!$X$7),"x","")</f>
        <v/>
      </c>
      <c r="Y1166" s="79" t="str">
        <f>IF(AND(OR(N1166="131",O1166="131"),H1166='131-CT'!$H$9),"x","")</f>
        <v/>
      </c>
      <c r="Z1166" s="79"/>
      <c r="AA1166" s="79" t="str">
        <f>IF(AND(MONTH(E1166)='IN-NX'!$J$5,'IN-NX'!$D$7=D1166),"x","")</f>
        <v/>
      </c>
      <c r="AB1166" s="79" t="str">
        <f>IF(AND(OR(LEFT(TH!N1166,2)="15",LEFT(TH!O1166,2)="15"),LEFT(TH!O1166,3)&lt;&gt;"111",'152-CT'!$J$8=TH!F1166),"x","")</f>
        <v/>
      </c>
      <c r="AC1166" s="79" t="str">
        <f>IF(AND(OR(LEFT(TH!N1166,2)="15",LEFT(TH!O1166,2)="15"),TK!$E$7=TH!F1166),"x","")</f>
        <v/>
      </c>
      <c r="AD1166" s="79" t="str">
        <f>IF(AND(N1166="1521",MONTH(C1166)='BK-NL'!$M$11),"x","")</f>
        <v/>
      </c>
    </row>
    <row r="1167" spans="1:30" s="1102" customFormat="1" ht="16.5" customHeight="1">
      <c r="A1167" s="318" t="str">
        <f>IF(B1167&lt;&gt;"",IF(AND(B1167='IN-TC'!$S$4,OR(TH!N1167="1111",TH!O1167="1111")),TH!D1167,""),"")</f>
        <v/>
      </c>
      <c r="B1167" s="60" t="str">
        <f t="shared" si="194"/>
        <v/>
      </c>
      <c r="C1167" s="981"/>
      <c r="D1167" s="981"/>
      <c r="E1167" s="981"/>
      <c r="F1167" s="1008"/>
      <c r="G1167" s="987"/>
      <c r="H1167" s="997"/>
      <c r="I1167" s="984"/>
      <c r="J1167" s="984"/>
      <c r="K1167" s="984"/>
      <c r="L1167" s="983"/>
      <c r="M1167" s="985"/>
      <c r="N1167" s="986"/>
      <c r="O1167" s="986"/>
      <c r="P1167" s="79" t="str">
        <f>IF(AND('331-CT'!$E$7=TH!H1167,OR(N1167="331",O1167="331")),"x","")</f>
        <v/>
      </c>
      <c r="Q1167" s="79" t="str">
        <f>IF(AND(B1167='111'!$L$11,OR($N1167=$Q$7,$O1167=$Q$7)),"x","")</f>
        <v/>
      </c>
      <c r="R1167" s="79" t="str">
        <f>IF(AND($N1167=$Q$7,$B1167&lt;'111'!$L$11),"x","")</f>
        <v/>
      </c>
      <c r="S1167" s="79" t="str">
        <f>IF(AND($O1167=$Q$7,$B1167&lt;'111'!$L$11),"x","")</f>
        <v/>
      </c>
      <c r="T1167" s="79" t="str">
        <f>IF(ISERROR(FIND('112'!$M$9,G1167,1)),"",IF((AND(FIND('112'!$M$9,G1167,1)&gt;=1,B1167='112'!$K$9,OR($N1167='112'!$I$6,$O1167='112'!$I$6))),"x",""))</f>
        <v/>
      </c>
      <c r="U1167" s="79" t="str">
        <f>IF(ISERROR(FIND('112'!$M$9,G1167,1)),"",IF((AND(LEFT(G1167,2)=LEFT('112'!$M$9,2),B1167&lt;'112'!$K$9,$N1167='112'!$I$6)),"x",""))</f>
        <v/>
      </c>
      <c r="V1167" s="79" t="str">
        <f>IF(ISERROR(FIND('112'!$M$9,G1167,1)),"",IF((AND(RIGHT(G1167,2)=RIGHT('112'!$M$9,2),B1167&lt;'112'!$K$9,$O1167='112'!$I$6)),"x",""))</f>
        <v/>
      </c>
      <c r="W1167" s="79" t="str">
        <f>IF(AND('341-CT'!$H$9=H1167,OR(LEFT(N1167,3)=$W$7,LEFT(O1167,3)=$W$7)),"x","")</f>
        <v/>
      </c>
      <c r="X1167" s="79" t="str">
        <f>IF(OR(TH!N1167=TH!$X$7,O1167=TH!$X$7),"x","")</f>
        <v/>
      </c>
      <c r="Y1167" s="79" t="str">
        <f>IF(AND(OR(N1167="131",O1167="131"),H1167='131-CT'!$H$9),"x","")</f>
        <v/>
      </c>
      <c r="Z1167" s="79"/>
      <c r="AA1167" s="79" t="str">
        <f>IF(AND(MONTH(E1167)='IN-NX'!$J$5,'IN-NX'!$D$7=D1167),"x","")</f>
        <v/>
      </c>
      <c r="AB1167" s="79" t="str">
        <f>IF(AND(OR(LEFT(TH!N1167,2)="15",LEFT(TH!O1167,2)="15"),LEFT(TH!O1167,3)&lt;&gt;"111",'152-CT'!$J$8=TH!F1167),"x","")</f>
        <v/>
      </c>
      <c r="AC1167" s="79" t="str">
        <f>IF(AND(OR(LEFT(TH!N1167,2)="15",LEFT(TH!O1167,2)="15"),TK!$E$7=TH!F1167),"x","")</f>
        <v/>
      </c>
      <c r="AD1167" s="79" t="str">
        <f>IF(AND(N1167="1521",MONTH(C1167)='BK-NL'!$M$11),"x","")</f>
        <v/>
      </c>
    </row>
    <row r="1168" spans="1:30" s="1102" customFormat="1" ht="16.5" customHeight="1">
      <c r="A1168" s="318" t="str">
        <f>IF(B1168&lt;&gt;"",IF(AND(B1168='IN-TC'!$S$4,OR(TH!N1168="1111",TH!O1168="1111")),TH!D1168,""),"")</f>
        <v/>
      </c>
      <c r="B1168" s="60" t="str">
        <f t="shared" si="194"/>
        <v/>
      </c>
      <c r="C1168" s="981"/>
      <c r="D1168" s="981"/>
      <c r="E1168" s="981"/>
      <c r="F1168" s="1008"/>
      <c r="G1168" s="987"/>
      <c r="H1168" s="85"/>
      <c r="I1168" s="984"/>
      <c r="J1168" s="984"/>
      <c r="K1168" s="984"/>
      <c r="L1168" s="983"/>
      <c r="M1168" s="985"/>
      <c r="N1168" s="986"/>
      <c r="O1168" s="986"/>
      <c r="P1168" s="79" t="str">
        <f>IF(AND('331-CT'!$E$7=TH!H1168,OR(N1168="331",O1168="331")),"x","")</f>
        <v/>
      </c>
      <c r="Q1168" s="79" t="str">
        <f>IF(AND(B1168='111'!$L$11,OR($N1168=$Q$7,$O1168=$Q$7)),"x","")</f>
        <v/>
      </c>
      <c r="R1168" s="79" t="str">
        <f>IF(AND($N1168=$Q$7,$B1168&lt;'111'!$L$11),"x","")</f>
        <v/>
      </c>
      <c r="S1168" s="79" t="str">
        <f>IF(AND($O1168=$Q$7,$B1168&lt;'111'!$L$11),"x","")</f>
        <v/>
      </c>
      <c r="T1168" s="79" t="str">
        <f>IF(ISERROR(FIND('112'!$M$9,G1168,1)),"",IF((AND(FIND('112'!$M$9,G1168,1)&gt;=1,B1168='112'!$K$9,OR($N1168='112'!$I$6,$O1168='112'!$I$6))),"x",""))</f>
        <v/>
      </c>
      <c r="U1168" s="79" t="str">
        <f>IF(ISERROR(FIND('112'!$M$9,G1168,1)),"",IF((AND(LEFT(G1168,2)=LEFT('112'!$M$9,2),B1168&lt;'112'!$K$9,$N1168='112'!$I$6)),"x",""))</f>
        <v/>
      </c>
      <c r="V1168" s="79" t="str">
        <f>IF(ISERROR(FIND('112'!$M$9,G1168,1)),"",IF((AND(RIGHT(G1168,2)=RIGHT('112'!$M$9,2),B1168&lt;'112'!$K$9,$O1168='112'!$I$6)),"x",""))</f>
        <v/>
      </c>
      <c r="W1168" s="79" t="str">
        <f>IF(AND('341-CT'!$H$9=H1168,OR(LEFT(N1168,3)=$W$7,LEFT(O1168,3)=$W$7)),"x","")</f>
        <v/>
      </c>
      <c r="X1168" s="79" t="str">
        <f>IF(OR(TH!N1168=TH!$X$7,O1168=TH!$X$7),"x","")</f>
        <v/>
      </c>
      <c r="Y1168" s="79" t="str">
        <f>IF(AND(OR(N1168="131",O1168="131"),H1168='131-CT'!$H$9),"x","")</f>
        <v/>
      </c>
      <c r="Z1168" s="79"/>
      <c r="AA1168" s="79" t="str">
        <f>IF(AND(MONTH(E1168)='IN-NX'!$J$5,'IN-NX'!$D$7=D1168),"x","")</f>
        <v/>
      </c>
      <c r="AB1168" s="79" t="str">
        <f>IF(AND(OR(LEFT(TH!N1168,2)="15",LEFT(TH!O1168,2)="15"),LEFT(TH!O1168,3)&lt;&gt;"111",'152-CT'!$J$8=TH!F1168),"x","")</f>
        <v/>
      </c>
      <c r="AC1168" s="79" t="str">
        <f>IF(AND(OR(LEFT(TH!N1168,2)="15",LEFT(TH!O1168,2)="15"),TK!$E$7=TH!F1168),"x","")</f>
        <v/>
      </c>
      <c r="AD1168" s="79" t="str">
        <f>IF(AND(N1168="1521",MONTH(C1168)='BK-NL'!$M$11),"x","")</f>
        <v/>
      </c>
    </row>
    <row r="1169" spans="1:30" s="1102" customFormat="1" ht="16.5" customHeight="1">
      <c r="A1169" s="318" t="str">
        <f>IF(B1169&lt;&gt;"",IF(AND(B1169='IN-TC'!$S$4,OR(TH!N1169="1111",TH!O1169="1111")),TH!D1169,""),"")</f>
        <v/>
      </c>
      <c r="B1169" s="60" t="str">
        <f t="shared" si="194"/>
        <v/>
      </c>
      <c r="C1169" s="981"/>
      <c r="D1169" s="981"/>
      <c r="E1169" s="981"/>
      <c r="F1169" s="1008"/>
      <c r="G1169" s="987"/>
      <c r="H1169" s="997"/>
      <c r="I1169" s="984"/>
      <c r="J1169" s="984"/>
      <c r="K1169" s="984"/>
      <c r="L1169" s="983"/>
      <c r="M1169" s="985"/>
      <c r="N1169" s="986"/>
      <c r="O1169" s="986"/>
      <c r="P1169" s="79" t="str">
        <f>IF(AND('331-CT'!$E$7=TH!H1169,OR(N1169="331",O1169="331")),"x","")</f>
        <v/>
      </c>
      <c r="Q1169" s="79" t="str">
        <f>IF(AND(B1169='111'!$L$11,OR($N1169=$Q$7,$O1169=$Q$7)),"x","")</f>
        <v/>
      </c>
      <c r="R1169" s="79" t="str">
        <f>IF(AND($N1169=$Q$7,$B1169&lt;'111'!$L$11),"x","")</f>
        <v/>
      </c>
      <c r="S1169" s="79" t="str">
        <f>IF(AND($O1169=$Q$7,$B1169&lt;'111'!$L$11),"x","")</f>
        <v/>
      </c>
      <c r="T1169" s="79" t="str">
        <f>IF(ISERROR(FIND('112'!$M$9,G1169,1)),"",IF((AND(FIND('112'!$M$9,G1169,1)&gt;=1,B1169='112'!$K$9,OR($N1169='112'!$I$6,$O1169='112'!$I$6))),"x",""))</f>
        <v/>
      </c>
      <c r="U1169" s="79" t="str">
        <f>IF(ISERROR(FIND('112'!$M$9,G1169,1)),"",IF((AND(LEFT(G1169,2)=LEFT('112'!$M$9,2),B1169&lt;'112'!$K$9,$N1169='112'!$I$6)),"x",""))</f>
        <v/>
      </c>
      <c r="V1169" s="79" t="str">
        <f>IF(ISERROR(FIND('112'!$M$9,G1169,1)),"",IF((AND(RIGHT(G1169,2)=RIGHT('112'!$M$9,2),B1169&lt;'112'!$K$9,$O1169='112'!$I$6)),"x",""))</f>
        <v/>
      </c>
      <c r="W1169" s="79" t="str">
        <f>IF(AND('341-CT'!$H$9=H1169,OR(LEFT(N1169,3)=$W$7,LEFT(O1169,3)=$W$7)),"x","")</f>
        <v/>
      </c>
      <c r="X1169" s="79" t="str">
        <f>IF(OR(TH!N1169=TH!$X$7,O1169=TH!$X$7),"x","")</f>
        <v/>
      </c>
      <c r="Y1169" s="79" t="str">
        <f>IF(AND(OR(N1169="131",O1169="131"),H1169='131-CT'!$H$9),"x","")</f>
        <v/>
      </c>
      <c r="Z1169" s="79"/>
      <c r="AA1169" s="79" t="str">
        <f>IF(AND(MONTH(E1169)='IN-NX'!$J$5,'IN-NX'!$D$7=D1169),"x","")</f>
        <v/>
      </c>
      <c r="AB1169" s="79" t="str">
        <f>IF(AND(OR(LEFT(TH!N1169,2)="15",LEFT(TH!O1169,2)="15"),LEFT(TH!O1169,3)&lt;&gt;"111",'152-CT'!$J$8=TH!F1169),"x","")</f>
        <v/>
      </c>
      <c r="AC1169" s="79" t="str">
        <f>IF(AND(OR(LEFT(TH!N1169,2)="15",LEFT(TH!O1169,2)="15"),TK!$E$7=TH!F1169),"x","")</f>
        <v/>
      </c>
      <c r="AD1169" s="79" t="str">
        <f>IF(AND(N1169="1521",MONTH(C1169)='BK-NL'!$M$11),"x","")</f>
        <v/>
      </c>
    </row>
    <row r="1170" spans="1:30" s="1102" customFormat="1" ht="16.5" customHeight="1">
      <c r="A1170" s="318" t="str">
        <f>IF(B1170&lt;&gt;"",IF(AND(B1170='IN-TC'!$S$4,OR(TH!N1170="1111",TH!O1170="1111")),TH!D1170,""),"")</f>
        <v/>
      </c>
      <c r="B1170" s="60" t="str">
        <f t="shared" si="194"/>
        <v/>
      </c>
      <c r="C1170" s="981"/>
      <c r="D1170" s="981"/>
      <c r="E1170" s="981"/>
      <c r="F1170" s="1008"/>
      <c r="G1170" s="987"/>
      <c r="H1170" s="85"/>
      <c r="I1170" s="984"/>
      <c r="J1170" s="984"/>
      <c r="K1170" s="984"/>
      <c r="L1170" s="983"/>
      <c r="M1170" s="985"/>
      <c r="N1170" s="986"/>
      <c r="O1170" s="986"/>
      <c r="P1170" s="79" t="str">
        <f>IF(AND('331-CT'!$E$7=TH!H1170,OR(N1170="331",O1170="331")),"x","")</f>
        <v/>
      </c>
      <c r="Q1170" s="79" t="str">
        <f>IF(AND(B1170='111'!$L$11,OR($N1170=$Q$7,$O1170=$Q$7)),"x","")</f>
        <v/>
      </c>
      <c r="R1170" s="79" t="str">
        <f>IF(AND($N1170=$Q$7,$B1170&lt;'111'!$L$11),"x","")</f>
        <v/>
      </c>
      <c r="S1170" s="79" t="str">
        <f>IF(AND($O1170=$Q$7,$B1170&lt;'111'!$L$11),"x","")</f>
        <v/>
      </c>
      <c r="T1170" s="79" t="str">
        <f>IF(ISERROR(FIND('112'!$M$9,G1170,1)),"",IF((AND(FIND('112'!$M$9,G1170,1)&gt;=1,B1170='112'!$K$9,OR($N1170='112'!$I$6,$O1170='112'!$I$6))),"x",""))</f>
        <v/>
      </c>
      <c r="U1170" s="79" t="str">
        <f>IF(ISERROR(FIND('112'!$M$9,G1170,1)),"",IF((AND(LEFT(G1170,2)=LEFT('112'!$M$9,2),B1170&lt;'112'!$K$9,$N1170='112'!$I$6)),"x",""))</f>
        <v/>
      </c>
      <c r="V1170" s="79" t="str">
        <f>IF(ISERROR(FIND('112'!$M$9,G1170,1)),"",IF((AND(RIGHT(G1170,2)=RIGHT('112'!$M$9,2),B1170&lt;'112'!$K$9,$O1170='112'!$I$6)),"x",""))</f>
        <v/>
      </c>
      <c r="W1170" s="79" t="str">
        <f>IF(AND('341-CT'!$H$9=H1170,OR(LEFT(N1170,3)=$W$7,LEFT(O1170,3)=$W$7)),"x","")</f>
        <v/>
      </c>
      <c r="X1170" s="79" t="str">
        <f>IF(OR(TH!N1170=TH!$X$7,O1170=TH!$X$7),"x","")</f>
        <v/>
      </c>
      <c r="Y1170" s="79" t="str">
        <f>IF(AND(OR(N1170="131",O1170="131"),H1170='131-CT'!$H$9),"x","")</f>
        <v/>
      </c>
      <c r="Z1170" s="79"/>
      <c r="AA1170" s="79" t="str">
        <f>IF(AND(MONTH(E1170)='IN-NX'!$J$5,'IN-NX'!$D$7=D1170),"x","")</f>
        <v/>
      </c>
      <c r="AB1170" s="79" t="str">
        <f>IF(AND(OR(LEFT(TH!N1170,2)="15",LEFT(TH!O1170,2)="15"),LEFT(TH!O1170,3)&lt;&gt;"111",'152-CT'!$J$8=TH!F1170),"x","")</f>
        <v/>
      </c>
      <c r="AC1170" s="79" t="str">
        <f>IF(AND(OR(LEFT(TH!N1170,2)="15",LEFT(TH!O1170,2)="15"),TK!$E$7=TH!F1170),"x","")</f>
        <v/>
      </c>
      <c r="AD1170" s="79" t="str">
        <f>IF(AND(N1170="1521",MONTH(C1170)='BK-NL'!$M$11),"x","")</f>
        <v/>
      </c>
    </row>
    <row r="1171" spans="1:30" s="1102" customFormat="1" ht="16.5" customHeight="1">
      <c r="A1171" s="318" t="str">
        <f>IF(B1171&lt;&gt;"",IF(AND(B1171='IN-TC'!$S$4,OR(TH!N1171="1111",TH!O1171="1111")),TH!D1171,""),"")</f>
        <v/>
      </c>
      <c r="B1171" s="60" t="str">
        <f t="shared" si="194"/>
        <v/>
      </c>
      <c r="C1171" s="981"/>
      <c r="D1171" s="981"/>
      <c r="E1171" s="981"/>
      <c r="F1171" s="1008"/>
      <c r="G1171" s="987"/>
      <c r="H1171" s="85"/>
      <c r="I1171" s="984"/>
      <c r="J1171" s="984"/>
      <c r="K1171" s="984"/>
      <c r="L1171" s="983"/>
      <c r="M1171" s="985"/>
      <c r="N1171" s="986"/>
      <c r="O1171" s="986"/>
      <c r="P1171" s="79" t="str">
        <f>IF(AND('331-CT'!$E$7=TH!H1171,OR(N1171="331",O1171="331")),"x","")</f>
        <v/>
      </c>
      <c r="Q1171" s="79" t="str">
        <f>IF(AND(B1171='111'!$L$11,OR($N1171=$Q$7,$O1171=$Q$7)),"x","")</f>
        <v/>
      </c>
      <c r="R1171" s="79" t="str">
        <f>IF(AND($N1171=$Q$7,$B1171&lt;'111'!$L$11),"x","")</f>
        <v/>
      </c>
      <c r="S1171" s="79" t="str">
        <f>IF(AND($O1171=$Q$7,$B1171&lt;'111'!$L$11),"x","")</f>
        <v/>
      </c>
      <c r="T1171" s="79" t="str">
        <f>IF(ISERROR(FIND('112'!$M$9,G1171,1)),"",IF((AND(FIND('112'!$M$9,G1171,1)&gt;=1,B1171='112'!$K$9,OR($N1171='112'!$I$6,$O1171='112'!$I$6))),"x",""))</f>
        <v/>
      </c>
      <c r="U1171" s="79" t="str">
        <f>IF(ISERROR(FIND('112'!$M$9,G1171,1)),"",IF((AND(LEFT(G1171,2)=LEFT('112'!$M$9,2),B1171&lt;'112'!$K$9,$N1171='112'!$I$6)),"x",""))</f>
        <v/>
      </c>
      <c r="V1171" s="79" t="str">
        <f>IF(ISERROR(FIND('112'!$M$9,G1171,1)),"",IF((AND(RIGHT(G1171,2)=RIGHT('112'!$M$9,2),B1171&lt;'112'!$K$9,$O1171='112'!$I$6)),"x",""))</f>
        <v/>
      </c>
      <c r="W1171" s="79" t="str">
        <f>IF(AND('341-CT'!$H$9=H1171,OR(LEFT(N1171,3)=$W$7,LEFT(O1171,3)=$W$7)),"x","")</f>
        <v/>
      </c>
      <c r="X1171" s="79" t="str">
        <f>IF(OR(TH!N1171=TH!$X$7,O1171=TH!$X$7),"x","")</f>
        <v/>
      </c>
      <c r="Y1171" s="79" t="str">
        <f>IF(AND(OR(N1171="131",O1171="131"),H1171='131-CT'!$H$9),"x","")</f>
        <v/>
      </c>
      <c r="Z1171" s="79"/>
      <c r="AA1171" s="79" t="str">
        <f>IF(AND(MONTH(E1171)='IN-NX'!$J$5,'IN-NX'!$D$7=D1171),"x","")</f>
        <v/>
      </c>
      <c r="AB1171" s="79" t="str">
        <f>IF(AND(OR(LEFT(TH!N1171,2)="15",LEFT(TH!O1171,2)="15"),LEFT(TH!O1171,3)&lt;&gt;"111",'152-CT'!$J$8=TH!F1171),"x","")</f>
        <v/>
      </c>
      <c r="AC1171" s="79" t="str">
        <f>IF(AND(OR(LEFT(TH!N1171,2)="15",LEFT(TH!O1171,2)="15"),TK!$E$7=TH!F1171),"x","")</f>
        <v/>
      </c>
      <c r="AD1171" s="79" t="str">
        <f>IF(AND(N1171="1521",MONTH(C1171)='BK-NL'!$M$11),"x","")</f>
        <v/>
      </c>
    </row>
    <row r="1172" spans="1:30" s="1102" customFormat="1" ht="16.5" customHeight="1">
      <c r="A1172" s="318" t="str">
        <f>IF(B1172&lt;&gt;"",IF(AND(B1172='IN-TC'!$S$4,OR(TH!N1172="1111",TH!O1172="1111")),TH!D1172,""),"")</f>
        <v/>
      </c>
      <c r="B1172" s="60" t="str">
        <f t="shared" si="194"/>
        <v/>
      </c>
      <c r="C1172" s="981"/>
      <c r="D1172" s="981"/>
      <c r="E1172" s="981"/>
      <c r="F1172" s="1008"/>
      <c r="G1172" s="987"/>
      <c r="H1172" s="85"/>
      <c r="I1172" s="984"/>
      <c r="J1172" s="984"/>
      <c r="K1172" s="984"/>
      <c r="L1172" s="983"/>
      <c r="M1172" s="985"/>
      <c r="N1172" s="986"/>
      <c r="O1172" s="986"/>
      <c r="P1172" s="79" t="str">
        <f>IF(AND('331-CT'!$E$7=TH!H1172,OR(N1172="331",O1172="331")),"x","")</f>
        <v/>
      </c>
      <c r="Q1172" s="79" t="str">
        <f>IF(AND(B1172='111'!$L$11,OR($N1172=$Q$7,$O1172=$Q$7)),"x","")</f>
        <v/>
      </c>
      <c r="R1172" s="79" t="str">
        <f>IF(AND($N1172=$Q$7,$B1172&lt;'111'!$L$11),"x","")</f>
        <v/>
      </c>
      <c r="S1172" s="79" t="str">
        <f>IF(AND($O1172=$Q$7,$B1172&lt;'111'!$L$11),"x","")</f>
        <v/>
      </c>
      <c r="T1172" s="79" t="str">
        <f>IF(ISERROR(FIND('112'!$M$9,G1172,1)),"",IF((AND(FIND('112'!$M$9,G1172,1)&gt;=1,B1172='112'!$K$9,OR($N1172='112'!$I$6,$O1172='112'!$I$6))),"x",""))</f>
        <v/>
      </c>
      <c r="U1172" s="79" t="str">
        <f>IF(ISERROR(FIND('112'!$M$9,G1172,1)),"",IF((AND(LEFT(G1172,2)=LEFT('112'!$M$9,2),B1172&lt;'112'!$K$9,$N1172='112'!$I$6)),"x",""))</f>
        <v/>
      </c>
      <c r="V1172" s="79" t="str">
        <f>IF(ISERROR(FIND('112'!$M$9,G1172,1)),"",IF((AND(RIGHT(G1172,2)=RIGHT('112'!$M$9,2),B1172&lt;'112'!$K$9,$O1172='112'!$I$6)),"x",""))</f>
        <v/>
      </c>
      <c r="W1172" s="79" t="str">
        <f>IF(AND('341-CT'!$H$9=H1172,OR(LEFT(N1172,3)=$W$7,LEFT(O1172,3)=$W$7)),"x","")</f>
        <v/>
      </c>
      <c r="X1172" s="79" t="str">
        <f>IF(OR(TH!N1172=TH!$X$7,O1172=TH!$X$7),"x","")</f>
        <v/>
      </c>
      <c r="Y1172" s="79" t="str">
        <f>IF(AND(OR(N1172="131",O1172="131"),H1172='131-CT'!$H$9),"x","")</f>
        <v/>
      </c>
      <c r="Z1172" s="79"/>
      <c r="AA1172" s="79" t="str">
        <f>IF(AND(MONTH(E1172)='IN-NX'!$J$5,'IN-NX'!$D$7=D1172),"x","")</f>
        <v/>
      </c>
      <c r="AB1172" s="79" t="str">
        <f>IF(AND(OR(LEFT(TH!N1172,2)="15",LEFT(TH!O1172,2)="15"),LEFT(TH!O1172,3)&lt;&gt;"111",'152-CT'!$J$8=TH!F1172),"x","")</f>
        <v/>
      </c>
      <c r="AC1172" s="79" t="str">
        <f>IF(AND(OR(LEFT(TH!N1172,2)="15",LEFT(TH!O1172,2)="15"),TK!$E$7=TH!F1172),"x","")</f>
        <v/>
      </c>
      <c r="AD1172" s="79" t="str">
        <f>IF(AND(N1172="1521",MONTH(C1172)='BK-NL'!$M$11),"x","")</f>
        <v/>
      </c>
    </row>
    <row r="1173" spans="1:30" s="1102" customFormat="1" ht="16.5" customHeight="1">
      <c r="A1173" s="318" t="str">
        <f>IF(B1173&lt;&gt;"",IF(AND(B1173='IN-TC'!$S$4,OR(TH!N1173="1111",TH!O1173="1111")),TH!D1173,""),"")</f>
        <v/>
      </c>
      <c r="B1173" s="60" t="str">
        <f t="shared" si="194"/>
        <v/>
      </c>
      <c r="C1173" s="981"/>
      <c r="D1173" s="981"/>
      <c r="E1173" s="981"/>
      <c r="F1173" s="1008"/>
      <c r="G1173" s="987"/>
      <c r="H1173" s="997"/>
      <c r="I1173" s="984"/>
      <c r="J1173" s="984"/>
      <c r="K1173" s="984"/>
      <c r="L1173" s="983"/>
      <c r="M1173" s="985"/>
      <c r="N1173" s="986"/>
      <c r="O1173" s="986"/>
      <c r="P1173" s="79" t="str">
        <f>IF(AND('331-CT'!$E$7=TH!H1173,OR(N1173="331",O1173="331")),"x","")</f>
        <v/>
      </c>
      <c r="Q1173" s="79" t="str">
        <f>IF(AND(B1173='111'!$L$11,OR($N1173=$Q$7,$O1173=$Q$7)),"x","")</f>
        <v/>
      </c>
      <c r="R1173" s="79" t="str">
        <f>IF(AND($N1173=$Q$7,$B1173&lt;'111'!$L$11),"x","")</f>
        <v/>
      </c>
      <c r="S1173" s="79" t="str">
        <f>IF(AND($O1173=$Q$7,$B1173&lt;'111'!$L$11),"x","")</f>
        <v/>
      </c>
      <c r="T1173" s="79" t="str">
        <f>IF(ISERROR(FIND('112'!$M$9,G1173,1)),"",IF((AND(FIND('112'!$M$9,G1173,1)&gt;=1,B1173='112'!$K$9,OR($N1173='112'!$I$6,$O1173='112'!$I$6))),"x",""))</f>
        <v/>
      </c>
      <c r="U1173" s="79" t="str">
        <f>IF(ISERROR(FIND('112'!$M$9,G1173,1)),"",IF((AND(LEFT(G1173,2)=LEFT('112'!$M$9,2),B1173&lt;'112'!$K$9,$N1173='112'!$I$6)),"x",""))</f>
        <v/>
      </c>
      <c r="V1173" s="79" t="str">
        <f>IF(ISERROR(FIND('112'!$M$9,G1173,1)),"",IF((AND(RIGHT(G1173,2)=RIGHT('112'!$M$9,2),B1173&lt;'112'!$K$9,$O1173='112'!$I$6)),"x",""))</f>
        <v/>
      </c>
      <c r="W1173" s="79" t="str">
        <f>IF(AND('341-CT'!$H$9=H1173,OR(LEFT(N1173,3)=$W$7,LEFT(O1173,3)=$W$7)),"x","")</f>
        <v/>
      </c>
      <c r="X1173" s="79" t="str">
        <f>IF(OR(TH!N1173=TH!$X$7,O1173=TH!$X$7),"x","")</f>
        <v/>
      </c>
      <c r="Y1173" s="79" t="str">
        <f>IF(AND(OR(N1173="131",O1173="131"),H1173='131-CT'!$H$9),"x","")</f>
        <v/>
      </c>
      <c r="Z1173" s="79"/>
      <c r="AA1173" s="79" t="str">
        <f>IF(AND(MONTH(E1173)='IN-NX'!$J$5,'IN-NX'!$D$7=D1173),"x","")</f>
        <v/>
      </c>
      <c r="AB1173" s="79" t="str">
        <f>IF(AND(OR(LEFT(TH!N1173,2)="15",LEFT(TH!O1173,2)="15"),LEFT(TH!O1173,3)&lt;&gt;"111",'152-CT'!$J$8=TH!F1173),"x","")</f>
        <v/>
      </c>
      <c r="AC1173" s="79" t="str">
        <f>IF(AND(OR(LEFT(TH!N1173,2)="15",LEFT(TH!O1173,2)="15"),TK!$E$7=TH!F1173),"x","")</f>
        <v/>
      </c>
      <c r="AD1173" s="79" t="str">
        <f>IF(AND(N1173="1521",MONTH(C1173)='BK-NL'!$M$11),"x","")</f>
        <v/>
      </c>
    </row>
    <row r="1174" spans="1:30" s="1102" customFormat="1" ht="16.5" customHeight="1">
      <c r="A1174" s="318" t="str">
        <f>IF(B1174&lt;&gt;"",IF(AND(B1174='IN-TC'!$S$4,OR(TH!N1174="1111",TH!O1174="1111")),TH!D1174,""),"")</f>
        <v/>
      </c>
      <c r="B1174" s="60" t="str">
        <f t="shared" ref="B1174" si="195">IF(C1174&lt;&gt;"",MONTH(C1174),"")</f>
        <v/>
      </c>
      <c r="C1174" s="981"/>
      <c r="D1174" s="981"/>
      <c r="E1174" s="981"/>
      <c r="F1174" s="1008"/>
      <c r="G1174" s="987"/>
      <c r="H1174" s="997"/>
      <c r="I1174" s="984"/>
      <c r="J1174" s="984"/>
      <c r="K1174" s="984"/>
      <c r="L1174" s="983"/>
      <c r="M1174" s="985"/>
      <c r="N1174" s="986"/>
      <c r="O1174" s="986"/>
      <c r="P1174" s="79" t="str">
        <f>IF(AND('331-CT'!$E$7=TH!H1174,OR(N1174="331",O1174="331")),"x","")</f>
        <v/>
      </c>
      <c r="Q1174" s="79" t="str">
        <f>IF(AND(B1174='111'!$L$11,OR($N1174=$Q$7,$O1174=$Q$7)),"x","")</f>
        <v/>
      </c>
      <c r="R1174" s="79" t="str">
        <f>IF(AND($N1174=$Q$7,$B1174&lt;'111'!$L$11),"x","")</f>
        <v/>
      </c>
      <c r="S1174" s="79" t="str">
        <f>IF(AND($O1174=$Q$7,$B1174&lt;'111'!$L$11),"x","")</f>
        <v/>
      </c>
      <c r="T1174" s="79" t="str">
        <f>IF(ISERROR(FIND('112'!$M$9,G1174,1)),"",IF((AND(FIND('112'!$M$9,G1174,1)&gt;=1,B1174='112'!$K$9,OR($N1174='112'!$I$6,$O1174='112'!$I$6))),"x",""))</f>
        <v/>
      </c>
      <c r="U1174" s="79" t="str">
        <f>IF(ISERROR(FIND('112'!$M$9,G1174,1)),"",IF((AND(LEFT(G1174,2)=LEFT('112'!$M$9,2),B1174&lt;'112'!$K$9,$N1174='112'!$I$6)),"x",""))</f>
        <v/>
      </c>
      <c r="V1174" s="79" t="str">
        <f>IF(ISERROR(FIND('112'!$M$9,G1174,1)),"",IF((AND(RIGHT(G1174,2)=RIGHT('112'!$M$9,2),B1174&lt;'112'!$K$9,$O1174='112'!$I$6)),"x",""))</f>
        <v/>
      </c>
      <c r="W1174" s="79" t="str">
        <f>IF(AND('341-CT'!$H$9=H1174,OR(LEFT(N1174,3)=$W$7,LEFT(O1174,3)=$W$7)),"x","")</f>
        <v/>
      </c>
      <c r="X1174" s="79" t="str">
        <f>IF(OR(TH!N1174=TH!$X$7,O1174=TH!$X$7),"x","")</f>
        <v/>
      </c>
      <c r="Y1174" s="79" t="str">
        <f>IF(AND(OR(N1174="131",O1174="131"),H1174='131-CT'!$H$9),"x","")</f>
        <v/>
      </c>
      <c r="Z1174" s="79"/>
      <c r="AA1174" s="79" t="str">
        <f>IF(AND(MONTH(E1174)='IN-NX'!$J$5,'IN-NX'!$D$7=D1174),"x","")</f>
        <v/>
      </c>
      <c r="AB1174" s="79" t="str">
        <f>IF(AND(OR(LEFT(TH!N1174,2)="15",LEFT(TH!O1174,2)="15"),LEFT(TH!O1174,3)&lt;&gt;"111",'152-CT'!$J$8=TH!F1174),"x","")</f>
        <v/>
      </c>
      <c r="AC1174" s="79" t="str">
        <f>IF(AND(OR(LEFT(TH!N1174,2)="15",LEFT(TH!O1174,2)="15"),TK!$E$7=TH!F1174),"x","")</f>
        <v/>
      </c>
      <c r="AD1174" s="79" t="str">
        <f>IF(AND(N1174="1521",MONTH(C1174)='BK-NL'!$M$11),"x","")</f>
        <v/>
      </c>
    </row>
    <row r="1175" spans="1:30" s="1102" customFormat="1" ht="16.5" customHeight="1">
      <c r="A1175" s="318" t="str">
        <f>IF(B1175&lt;&gt;"",IF(AND(B1175='IN-TC'!$S$4,OR(TH!N1175="1111",TH!O1175="1111")),TH!D1175,""),"")</f>
        <v/>
      </c>
      <c r="B1175" s="60" t="str">
        <f t="shared" ref="B1175" si="196">IF(C1175&lt;&gt;"",MONTH(C1175),"")</f>
        <v/>
      </c>
      <c r="C1175" s="981"/>
      <c r="D1175" s="981"/>
      <c r="E1175" s="981"/>
      <c r="F1175" s="1008"/>
      <c r="G1175" s="987"/>
      <c r="H1175" s="997"/>
      <c r="I1175" s="984"/>
      <c r="J1175" s="984"/>
      <c r="K1175" s="984"/>
      <c r="L1175" s="983"/>
      <c r="M1175" s="985"/>
      <c r="N1175" s="986"/>
      <c r="O1175" s="986"/>
      <c r="P1175" s="79" t="str">
        <f>IF(AND('331-CT'!$E$7=TH!H1175,OR(N1175="331",O1175="331")),"x","")</f>
        <v/>
      </c>
      <c r="Q1175" s="79" t="str">
        <f>IF(AND(B1175='111'!$L$11,OR($N1175=$Q$7,$O1175=$Q$7)),"x","")</f>
        <v/>
      </c>
      <c r="R1175" s="79" t="str">
        <f>IF(AND($N1175=$Q$7,$B1175&lt;'111'!$L$11),"x","")</f>
        <v/>
      </c>
      <c r="S1175" s="79" t="str">
        <f>IF(AND($O1175=$Q$7,$B1175&lt;'111'!$L$11),"x","")</f>
        <v/>
      </c>
      <c r="T1175" s="79" t="str">
        <f>IF(ISERROR(FIND('112'!$M$9,G1175,1)),"",IF((AND(FIND('112'!$M$9,G1175,1)&gt;=1,B1175='112'!$K$9,OR($N1175='112'!$I$6,$O1175='112'!$I$6))),"x",""))</f>
        <v/>
      </c>
      <c r="U1175" s="79" t="str">
        <f>IF(ISERROR(FIND('112'!$M$9,G1175,1)),"",IF((AND(LEFT(G1175,2)=LEFT('112'!$M$9,2),B1175&lt;'112'!$K$9,$N1175='112'!$I$6)),"x",""))</f>
        <v/>
      </c>
      <c r="V1175" s="79" t="str">
        <f>IF(ISERROR(FIND('112'!$M$9,G1175,1)),"",IF((AND(RIGHT(G1175,2)=RIGHT('112'!$M$9,2),B1175&lt;'112'!$K$9,$O1175='112'!$I$6)),"x",""))</f>
        <v/>
      </c>
      <c r="W1175" s="79" t="str">
        <f>IF(AND('341-CT'!$H$9=H1175,OR(LEFT(N1175,3)=$W$7,LEFT(O1175,3)=$W$7)),"x","")</f>
        <v/>
      </c>
      <c r="X1175" s="79" t="str">
        <f>IF(OR(TH!N1175=TH!$X$7,O1175=TH!$X$7),"x","")</f>
        <v/>
      </c>
      <c r="Y1175" s="79" t="str">
        <f>IF(AND(OR(N1175="131",O1175="131"),H1175='131-CT'!$H$9),"x","")</f>
        <v/>
      </c>
      <c r="Z1175" s="79"/>
      <c r="AA1175" s="79" t="str">
        <f>IF(AND(MONTH(E1175)='IN-NX'!$J$5,'IN-NX'!$D$7=D1175),"x","")</f>
        <v/>
      </c>
      <c r="AB1175" s="79" t="str">
        <f>IF(AND(OR(LEFT(TH!N1175,2)="15",LEFT(TH!O1175,2)="15"),LEFT(TH!O1175,3)&lt;&gt;"111",'152-CT'!$J$8=TH!F1175),"x","")</f>
        <v/>
      </c>
      <c r="AC1175" s="79" t="str">
        <f>IF(AND(OR(LEFT(TH!N1175,2)="15",LEFT(TH!O1175,2)="15"),TK!$E$7=TH!F1175),"x","")</f>
        <v/>
      </c>
      <c r="AD1175" s="79" t="str">
        <f>IF(AND(N1175="1521",MONTH(C1175)='BK-NL'!$M$11),"x","")</f>
        <v/>
      </c>
    </row>
    <row r="1176" spans="1:30" s="1102" customFormat="1" ht="16.5" customHeight="1">
      <c r="A1176" s="318" t="str">
        <f>IF(B1176&lt;&gt;"",IF(AND(B1176='IN-TC'!$S$4,OR(TH!N1176="1111",TH!O1176="1111")),TH!D1176,""),"")</f>
        <v/>
      </c>
      <c r="B1176" s="60" t="str">
        <f t="shared" ref="B1176:B1264" si="197">IF(C1176&lt;&gt;"",MONTH(C1176),"")</f>
        <v/>
      </c>
      <c r="C1176" s="981"/>
      <c r="D1176" s="981"/>
      <c r="E1176" s="981"/>
      <c r="F1176" s="1008"/>
      <c r="G1176" s="987"/>
      <c r="H1176" s="85"/>
      <c r="I1176" s="984"/>
      <c r="J1176" s="984"/>
      <c r="K1176" s="984"/>
      <c r="L1176" s="983"/>
      <c r="M1176" s="985"/>
      <c r="N1176" s="986"/>
      <c r="O1176" s="986"/>
      <c r="P1176" s="79" t="str">
        <f>IF(AND('331-CT'!$E$7=TH!H1176,OR(N1176="331",O1176="331")),"x","")</f>
        <v/>
      </c>
      <c r="Q1176" s="79" t="str">
        <f>IF(AND(B1176='111'!$L$11,OR($N1176=$Q$7,$O1176=$Q$7)),"x","")</f>
        <v/>
      </c>
      <c r="R1176" s="79" t="str">
        <f>IF(AND($N1176=$Q$7,$B1176&lt;'111'!$L$11),"x","")</f>
        <v/>
      </c>
      <c r="S1176" s="79" t="str">
        <f>IF(AND($O1176=$Q$7,$B1176&lt;'111'!$L$11),"x","")</f>
        <v/>
      </c>
      <c r="T1176" s="79" t="str">
        <f>IF(ISERROR(FIND('112'!$M$9,G1176,1)),"",IF((AND(FIND('112'!$M$9,G1176,1)&gt;=1,B1176='112'!$K$9,OR($N1176='112'!$I$6,$O1176='112'!$I$6))),"x",""))</f>
        <v/>
      </c>
      <c r="U1176" s="79" t="str">
        <f>IF(ISERROR(FIND('112'!$M$9,G1176,1)),"",IF((AND(LEFT(G1176,2)=LEFT('112'!$M$9,2),B1176&lt;'112'!$K$9,$N1176='112'!$I$6)),"x",""))</f>
        <v/>
      </c>
      <c r="V1176" s="79" t="str">
        <f>IF(ISERROR(FIND('112'!$M$9,G1176,1)),"",IF((AND(RIGHT(G1176,2)=RIGHT('112'!$M$9,2),B1176&lt;'112'!$K$9,$O1176='112'!$I$6)),"x",""))</f>
        <v/>
      </c>
      <c r="W1176" s="79" t="str">
        <f>IF(AND('341-CT'!$H$9=H1176,OR(LEFT(N1176,3)=$W$7,LEFT(O1176,3)=$W$7)),"x","")</f>
        <v/>
      </c>
      <c r="X1176" s="79" t="str">
        <f>IF(OR(TH!N1176=TH!$X$7,O1176=TH!$X$7),"x","")</f>
        <v/>
      </c>
      <c r="Y1176" s="79" t="str">
        <f>IF(AND(OR(N1176="131",O1176="131"),H1176='131-CT'!$H$9),"x","")</f>
        <v/>
      </c>
      <c r="Z1176" s="79"/>
      <c r="AA1176" s="79" t="str">
        <f>IF(AND(MONTH(E1176)='IN-NX'!$J$5,'IN-NX'!$D$7=D1176),"x","")</f>
        <v/>
      </c>
      <c r="AB1176" s="79" t="str">
        <f>IF(AND(OR(LEFT(TH!N1176,2)="15",LEFT(TH!O1176,2)="15"),LEFT(TH!O1176,3)&lt;&gt;"111",'152-CT'!$J$8=TH!F1176),"x","")</f>
        <v/>
      </c>
      <c r="AC1176" s="79" t="str">
        <f>IF(AND(OR(LEFT(TH!N1176,2)="15",LEFT(TH!O1176,2)="15"),TK!$E$7=TH!F1176),"x","")</f>
        <v/>
      </c>
      <c r="AD1176" s="79" t="str">
        <f>IF(AND(N1176="1521",MONTH(C1176)='BK-NL'!$M$11),"x","")</f>
        <v/>
      </c>
    </row>
    <row r="1177" spans="1:30" s="1102" customFormat="1" ht="16.5" customHeight="1">
      <c r="A1177" s="318" t="str">
        <f>IF(B1177&lt;&gt;"",IF(AND(B1177='IN-TC'!$S$4,OR(TH!N1177="1111",TH!O1177="1111")),TH!D1177,""),"")</f>
        <v/>
      </c>
      <c r="B1177" s="60" t="str">
        <f t="shared" si="197"/>
        <v/>
      </c>
      <c r="C1177" s="981"/>
      <c r="D1177" s="981"/>
      <c r="E1177" s="981"/>
      <c r="F1177" s="1008"/>
      <c r="G1177" s="987"/>
      <c r="H1177" s="85"/>
      <c r="I1177" s="984"/>
      <c r="J1177" s="984"/>
      <c r="K1177" s="984"/>
      <c r="L1177" s="983"/>
      <c r="M1177" s="985"/>
      <c r="N1177" s="986"/>
      <c r="O1177" s="986"/>
      <c r="P1177" s="79" t="str">
        <f>IF(AND('331-CT'!$E$7=TH!H1177,OR(N1177="331",O1177="331")),"x","")</f>
        <v/>
      </c>
      <c r="Q1177" s="79" t="str">
        <f>IF(AND(B1177='111'!$L$11,OR($N1177=$Q$7,$O1177=$Q$7)),"x","")</f>
        <v/>
      </c>
      <c r="R1177" s="79" t="str">
        <f>IF(AND($N1177=$Q$7,$B1177&lt;'111'!$L$11),"x","")</f>
        <v/>
      </c>
      <c r="S1177" s="79" t="str">
        <f>IF(AND($O1177=$Q$7,$B1177&lt;'111'!$L$11),"x","")</f>
        <v/>
      </c>
      <c r="T1177" s="79" t="str">
        <f>IF(ISERROR(FIND('112'!$M$9,G1177,1)),"",IF((AND(FIND('112'!$M$9,G1177,1)&gt;=1,B1177='112'!$K$9,OR($N1177='112'!$I$6,$O1177='112'!$I$6))),"x",""))</f>
        <v/>
      </c>
      <c r="U1177" s="79" t="str">
        <f>IF(ISERROR(FIND('112'!$M$9,G1177,1)),"",IF((AND(LEFT(G1177,2)=LEFT('112'!$M$9,2),B1177&lt;'112'!$K$9,$N1177='112'!$I$6)),"x",""))</f>
        <v/>
      </c>
      <c r="V1177" s="79" t="str">
        <f>IF(ISERROR(FIND('112'!$M$9,G1177,1)),"",IF((AND(RIGHT(G1177,2)=RIGHT('112'!$M$9,2),B1177&lt;'112'!$K$9,$O1177='112'!$I$6)),"x",""))</f>
        <v/>
      </c>
      <c r="W1177" s="79" t="str">
        <f>IF(AND('341-CT'!$H$9=H1177,OR(LEFT(N1177,3)=$W$7,LEFT(O1177,3)=$W$7)),"x","")</f>
        <v/>
      </c>
      <c r="X1177" s="79" t="str">
        <f>IF(OR(TH!N1177=TH!$X$7,O1177=TH!$X$7),"x","")</f>
        <v/>
      </c>
      <c r="Y1177" s="79" t="str">
        <f>IF(AND(OR(N1177="131",O1177="131"),H1177='131-CT'!$H$9),"x","")</f>
        <v/>
      </c>
      <c r="Z1177" s="79"/>
      <c r="AA1177" s="79" t="str">
        <f>IF(AND(MONTH(E1177)='IN-NX'!$J$5,'IN-NX'!$D$7=D1177),"x","")</f>
        <v/>
      </c>
      <c r="AB1177" s="79" t="str">
        <f>IF(AND(OR(LEFT(TH!N1177,2)="15",LEFT(TH!O1177,2)="15"),LEFT(TH!O1177,3)&lt;&gt;"111",'152-CT'!$J$8=TH!F1177),"x","")</f>
        <v/>
      </c>
      <c r="AC1177" s="79" t="str">
        <f>IF(AND(OR(LEFT(TH!N1177,2)="15",LEFT(TH!O1177,2)="15"),TK!$E$7=TH!F1177),"x","")</f>
        <v/>
      </c>
      <c r="AD1177" s="79" t="str">
        <f>IF(AND(N1177="1521",MONTH(C1177)='BK-NL'!$M$11),"x","")</f>
        <v/>
      </c>
    </row>
    <row r="1178" spans="1:30" s="1102" customFormat="1" ht="16.5" customHeight="1">
      <c r="A1178" s="318" t="str">
        <f>IF(B1178&lt;&gt;"",IF(AND(B1178='IN-TC'!$S$4,OR(TH!N1178="1111",TH!O1178="1111")),TH!D1178,""),"")</f>
        <v/>
      </c>
      <c r="B1178" s="60" t="str">
        <f t="shared" si="197"/>
        <v/>
      </c>
      <c r="C1178" s="981"/>
      <c r="D1178" s="981"/>
      <c r="E1178" s="981"/>
      <c r="F1178" s="1008"/>
      <c r="G1178" s="987"/>
      <c r="H1178" s="85"/>
      <c r="I1178" s="984"/>
      <c r="J1178" s="984"/>
      <c r="K1178" s="984"/>
      <c r="L1178" s="983"/>
      <c r="M1178" s="985"/>
      <c r="N1178" s="986"/>
      <c r="O1178" s="986"/>
      <c r="P1178" s="79" t="str">
        <f>IF(AND('331-CT'!$E$7=TH!H1178,OR(N1178="331",O1178="331")),"x","")</f>
        <v/>
      </c>
      <c r="Q1178" s="79" t="str">
        <f>IF(AND(B1178='111'!$L$11,OR($N1178=$Q$7,$O1178=$Q$7)),"x","")</f>
        <v/>
      </c>
      <c r="R1178" s="79" t="str">
        <f>IF(AND($N1178=$Q$7,$B1178&lt;'111'!$L$11),"x","")</f>
        <v/>
      </c>
      <c r="S1178" s="79" t="str">
        <f>IF(AND($O1178=$Q$7,$B1178&lt;'111'!$L$11),"x","")</f>
        <v/>
      </c>
      <c r="T1178" s="79" t="str">
        <f>IF(ISERROR(FIND('112'!$M$9,G1178,1)),"",IF((AND(FIND('112'!$M$9,G1178,1)&gt;=1,B1178='112'!$K$9,OR($N1178='112'!$I$6,$O1178='112'!$I$6))),"x",""))</f>
        <v/>
      </c>
      <c r="U1178" s="79" t="str">
        <f>IF(ISERROR(FIND('112'!$M$9,G1178,1)),"",IF((AND(LEFT(G1178,2)=LEFT('112'!$M$9,2),B1178&lt;'112'!$K$9,$N1178='112'!$I$6)),"x",""))</f>
        <v/>
      </c>
      <c r="V1178" s="79" t="str">
        <f>IF(ISERROR(FIND('112'!$M$9,G1178,1)),"",IF((AND(RIGHT(G1178,2)=RIGHT('112'!$M$9,2),B1178&lt;'112'!$K$9,$O1178='112'!$I$6)),"x",""))</f>
        <v/>
      </c>
      <c r="W1178" s="79" t="str">
        <f>IF(AND('341-CT'!$H$9=H1178,OR(LEFT(N1178,3)=$W$7,LEFT(O1178,3)=$W$7)),"x","")</f>
        <v/>
      </c>
      <c r="X1178" s="79" t="str">
        <f>IF(OR(TH!N1178=TH!$X$7,O1178=TH!$X$7),"x","")</f>
        <v/>
      </c>
      <c r="Y1178" s="79" t="str">
        <f>IF(AND(OR(N1178="131",O1178="131"),H1178='131-CT'!$H$9),"x","")</f>
        <v/>
      </c>
      <c r="Z1178" s="79"/>
      <c r="AA1178" s="79" t="str">
        <f>IF(AND(MONTH(E1178)='IN-NX'!$J$5,'IN-NX'!$D$7=D1178),"x","")</f>
        <v/>
      </c>
      <c r="AB1178" s="79" t="str">
        <f>IF(AND(OR(LEFT(TH!N1178,2)="15",LEFT(TH!O1178,2)="15"),LEFT(TH!O1178,3)&lt;&gt;"111",'152-CT'!$J$8=TH!F1178),"x","")</f>
        <v/>
      </c>
      <c r="AC1178" s="79" t="str">
        <f>IF(AND(OR(LEFT(TH!N1178,2)="15",LEFT(TH!O1178,2)="15"),TK!$E$7=TH!F1178),"x","")</f>
        <v/>
      </c>
      <c r="AD1178" s="79" t="str">
        <f>IF(AND(N1178="1521",MONTH(C1178)='BK-NL'!$M$11),"x","")</f>
        <v/>
      </c>
    </row>
    <row r="1179" spans="1:30" s="1102" customFormat="1" ht="16.5" customHeight="1">
      <c r="A1179" s="318" t="str">
        <f>IF(B1179&lt;&gt;"",IF(AND(B1179='IN-TC'!$S$4,OR(TH!N1179="1111",TH!O1179="1111")),TH!D1179,""),"")</f>
        <v/>
      </c>
      <c r="B1179" s="60" t="str">
        <f t="shared" si="197"/>
        <v/>
      </c>
      <c r="C1179" s="981"/>
      <c r="D1179" s="981"/>
      <c r="E1179" s="981"/>
      <c r="F1179" s="1008"/>
      <c r="G1179" s="987"/>
      <c r="H1179" s="997"/>
      <c r="I1179" s="984"/>
      <c r="J1179" s="984"/>
      <c r="K1179" s="984"/>
      <c r="L1179" s="983"/>
      <c r="M1179" s="985"/>
      <c r="N1179" s="986"/>
      <c r="O1179" s="986"/>
      <c r="P1179" s="79" t="str">
        <f>IF(AND('331-CT'!$E$7=TH!H1179,OR(N1179="331",O1179="331")),"x","")</f>
        <v/>
      </c>
      <c r="Q1179" s="79" t="str">
        <f>IF(AND(B1179='111'!$L$11,OR($N1179=$Q$7,$O1179=$Q$7)),"x","")</f>
        <v/>
      </c>
      <c r="R1179" s="79" t="str">
        <f>IF(AND($N1179=$Q$7,$B1179&lt;'111'!$L$11),"x","")</f>
        <v/>
      </c>
      <c r="S1179" s="79" t="str">
        <f>IF(AND($O1179=$Q$7,$B1179&lt;'111'!$L$11),"x","")</f>
        <v/>
      </c>
      <c r="T1179" s="79" t="str">
        <f>IF(ISERROR(FIND('112'!$M$9,G1179,1)),"",IF((AND(FIND('112'!$M$9,G1179,1)&gt;=1,B1179='112'!$K$9,OR($N1179='112'!$I$6,$O1179='112'!$I$6))),"x",""))</f>
        <v/>
      </c>
      <c r="U1179" s="79" t="str">
        <f>IF(ISERROR(FIND('112'!$M$9,G1179,1)),"",IF((AND(LEFT(G1179,2)=LEFT('112'!$M$9,2),B1179&lt;'112'!$K$9,$N1179='112'!$I$6)),"x",""))</f>
        <v/>
      </c>
      <c r="V1179" s="79" t="str">
        <f>IF(ISERROR(FIND('112'!$M$9,G1179,1)),"",IF((AND(RIGHT(G1179,2)=RIGHT('112'!$M$9,2),B1179&lt;'112'!$K$9,$O1179='112'!$I$6)),"x",""))</f>
        <v/>
      </c>
      <c r="W1179" s="79" t="str">
        <f>IF(AND('341-CT'!$H$9=H1179,OR(LEFT(N1179,3)=$W$7,LEFT(O1179,3)=$W$7)),"x","")</f>
        <v/>
      </c>
      <c r="X1179" s="79" t="str">
        <f>IF(OR(TH!N1179=TH!$X$7,O1179=TH!$X$7),"x","")</f>
        <v/>
      </c>
      <c r="Y1179" s="79" t="str">
        <f>IF(AND(OR(N1179="131",O1179="131"),H1179='131-CT'!$H$9),"x","")</f>
        <v/>
      </c>
      <c r="Z1179" s="79"/>
      <c r="AA1179" s="79" t="str">
        <f>IF(AND(MONTH(E1179)='IN-NX'!$J$5,'IN-NX'!$D$7=D1179),"x","")</f>
        <v/>
      </c>
      <c r="AB1179" s="79" t="str">
        <f>IF(AND(OR(LEFT(TH!N1179,2)="15",LEFT(TH!O1179,2)="15"),LEFT(TH!O1179,3)&lt;&gt;"111",'152-CT'!$J$8=TH!F1179),"x","")</f>
        <v/>
      </c>
      <c r="AC1179" s="79" t="str">
        <f>IF(AND(OR(LEFT(TH!N1179,2)="15",LEFT(TH!O1179,2)="15"),TK!$E$7=TH!F1179),"x","")</f>
        <v/>
      </c>
      <c r="AD1179" s="79" t="str">
        <f>IF(AND(N1179="1521",MONTH(C1179)='BK-NL'!$M$11),"x","")</f>
        <v/>
      </c>
    </row>
    <row r="1180" spans="1:30" s="1102" customFormat="1" ht="16.5" customHeight="1">
      <c r="A1180" s="318" t="str">
        <f>IF(B1180&lt;&gt;"",IF(AND(B1180='IN-TC'!$S$4,OR(TH!N1180="1111",TH!O1180="1111")),TH!D1180,""),"")</f>
        <v/>
      </c>
      <c r="B1180" s="60" t="str">
        <f t="shared" si="197"/>
        <v/>
      </c>
      <c r="C1180" s="981"/>
      <c r="D1180" s="981"/>
      <c r="E1180" s="981"/>
      <c r="F1180" s="1008"/>
      <c r="G1180" s="987"/>
      <c r="H1180" s="997"/>
      <c r="I1180" s="984"/>
      <c r="J1180" s="984"/>
      <c r="K1180" s="984"/>
      <c r="L1180" s="983"/>
      <c r="M1180" s="985"/>
      <c r="N1180" s="986"/>
      <c r="O1180" s="986"/>
      <c r="P1180" s="79" t="str">
        <f>IF(AND('331-CT'!$E$7=TH!H1180,OR(N1180="331",O1180="331")),"x","")</f>
        <v/>
      </c>
      <c r="Q1180" s="79" t="str">
        <f>IF(AND(B1180='111'!$L$11,OR($N1180=$Q$7,$O1180=$Q$7)),"x","")</f>
        <v/>
      </c>
      <c r="R1180" s="79" t="str">
        <f>IF(AND($N1180=$Q$7,$B1180&lt;'111'!$L$11),"x","")</f>
        <v/>
      </c>
      <c r="S1180" s="79" t="str">
        <f>IF(AND($O1180=$Q$7,$B1180&lt;'111'!$L$11),"x","")</f>
        <v/>
      </c>
      <c r="T1180" s="79" t="str">
        <f>IF(ISERROR(FIND('112'!$M$9,G1180,1)),"",IF((AND(FIND('112'!$M$9,G1180,1)&gt;=1,B1180='112'!$K$9,OR($N1180='112'!$I$6,$O1180='112'!$I$6))),"x",""))</f>
        <v/>
      </c>
      <c r="U1180" s="79" t="str">
        <f>IF(ISERROR(FIND('112'!$M$9,G1180,1)),"",IF((AND(LEFT(G1180,2)=LEFT('112'!$M$9,2),B1180&lt;'112'!$K$9,$N1180='112'!$I$6)),"x",""))</f>
        <v/>
      </c>
      <c r="V1180" s="79" t="str">
        <f>IF(ISERROR(FIND('112'!$M$9,G1180,1)),"",IF((AND(RIGHT(G1180,2)=RIGHT('112'!$M$9,2),B1180&lt;'112'!$K$9,$O1180='112'!$I$6)),"x",""))</f>
        <v/>
      </c>
      <c r="W1180" s="79" t="str">
        <f>IF(AND('341-CT'!$H$9=H1180,OR(LEFT(N1180,3)=$W$7,LEFT(O1180,3)=$W$7)),"x","")</f>
        <v/>
      </c>
      <c r="X1180" s="79" t="str">
        <f>IF(OR(TH!N1180=TH!$X$7,O1180=TH!$X$7),"x","")</f>
        <v/>
      </c>
      <c r="Y1180" s="79" t="str">
        <f>IF(AND(OR(N1180="131",O1180="131"),H1180='131-CT'!$H$9),"x","")</f>
        <v/>
      </c>
      <c r="Z1180" s="79"/>
      <c r="AA1180" s="79" t="str">
        <f>IF(AND(MONTH(E1180)='IN-NX'!$J$5,'IN-NX'!$D$7=D1180),"x","")</f>
        <v/>
      </c>
      <c r="AB1180" s="79" t="str">
        <f>IF(AND(OR(LEFT(TH!N1180,2)="15",LEFT(TH!O1180,2)="15"),LEFT(TH!O1180,3)&lt;&gt;"111",'152-CT'!$J$8=TH!F1180),"x","")</f>
        <v/>
      </c>
      <c r="AC1180" s="79" t="str">
        <f>IF(AND(OR(LEFT(TH!N1180,2)="15",LEFT(TH!O1180,2)="15"),TK!$E$7=TH!F1180),"x","")</f>
        <v/>
      </c>
      <c r="AD1180" s="79" t="str">
        <f>IF(AND(N1180="1521",MONTH(C1180)='BK-NL'!$M$11),"x","")</f>
        <v/>
      </c>
    </row>
    <row r="1181" spans="1:30" s="1102" customFormat="1" ht="16.5" customHeight="1">
      <c r="A1181" s="318" t="str">
        <f>IF(B1181&lt;&gt;"",IF(AND(B1181='IN-TC'!$S$4,OR(TH!N1181="1111",TH!O1181="1111")),TH!D1181,""),"")</f>
        <v/>
      </c>
      <c r="B1181" s="60" t="str">
        <f t="shared" si="197"/>
        <v/>
      </c>
      <c r="C1181" s="981"/>
      <c r="D1181" s="981"/>
      <c r="E1181" s="981"/>
      <c r="F1181" s="1008"/>
      <c r="G1181" s="987"/>
      <c r="H1181" s="997"/>
      <c r="I1181" s="984"/>
      <c r="J1181" s="984"/>
      <c r="K1181" s="984"/>
      <c r="L1181" s="983"/>
      <c r="M1181" s="985"/>
      <c r="N1181" s="986"/>
      <c r="O1181" s="986"/>
      <c r="P1181" s="79" t="str">
        <f>IF(AND('331-CT'!$E$7=TH!H1181,OR(N1181="331",O1181="331")),"x","")</f>
        <v/>
      </c>
      <c r="Q1181" s="79" t="str">
        <f>IF(AND(B1181='111'!$L$11,OR($N1181=$Q$7,$O1181=$Q$7)),"x","")</f>
        <v/>
      </c>
      <c r="R1181" s="79" t="str">
        <f>IF(AND($N1181=$Q$7,$B1181&lt;'111'!$L$11),"x","")</f>
        <v/>
      </c>
      <c r="S1181" s="79" t="str">
        <f>IF(AND($O1181=$Q$7,$B1181&lt;'111'!$L$11),"x","")</f>
        <v/>
      </c>
      <c r="T1181" s="79" t="str">
        <f>IF(ISERROR(FIND('112'!$M$9,G1181,1)),"",IF((AND(FIND('112'!$M$9,G1181,1)&gt;=1,B1181='112'!$K$9,OR($N1181='112'!$I$6,$O1181='112'!$I$6))),"x",""))</f>
        <v/>
      </c>
      <c r="U1181" s="79" t="str">
        <f>IF(ISERROR(FIND('112'!$M$9,G1181,1)),"",IF((AND(LEFT(G1181,2)=LEFT('112'!$M$9,2),B1181&lt;'112'!$K$9,$N1181='112'!$I$6)),"x",""))</f>
        <v/>
      </c>
      <c r="V1181" s="79" t="str">
        <f>IF(ISERROR(FIND('112'!$M$9,G1181,1)),"",IF((AND(RIGHT(G1181,2)=RIGHT('112'!$M$9,2),B1181&lt;'112'!$K$9,$O1181='112'!$I$6)),"x",""))</f>
        <v/>
      </c>
      <c r="W1181" s="79" t="str">
        <f>IF(AND('341-CT'!$H$9=H1181,OR(LEFT(N1181,3)=$W$7,LEFT(O1181,3)=$W$7)),"x","")</f>
        <v/>
      </c>
      <c r="X1181" s="79" t="str">
        <f>IF(OR(TH!N1181=TH!$X$7,O1181=TH!$X$7),"x","")</f>
        <v/>
      </c>
      <c r="Y1181" s="79" t="str">
        <f>IF(AND(OR(N1181="131",O1181="131"),H1181='131-CT'!$H$9),"x","")</f>
        <v/>
      </c>
      <c r="Z1181" s="79"/>
      <c r="AA1181" s="79" t="str">
        <f>IF(AND(MONTH(E1181)='IN-NX'!$J$5,'IN-NX'!$D$7=D1181),"x","")</f>
        <v/>
      </c>
      <c r="AB1181" s="79" t="str">
        <f>IF(AND(OR(LEFT(TH!N1181,2)="15",LEFT(TH!O1181,2)="15"),LEFT(TH!O1181,3)&lt;&gt;"111",'152-CT'!$J$8=TH!F1181),"x","")</f>
        <v/>
      </c>
      <c r="AC1181" s="79" t="str">
        <f>IF(AND(OR(LEFT(TH!N1181,2)="15",LEFT(TH!O1181,2)="15"),TK!$E$7=TH!F1181),"x","")</f>
        <v/>
      </c>
      <c r="AD1181" s="79" t="str">
        <f>IF(AND(N1181="1521",MONTH(C1181)='BK-NL'!$M$11),"x","")</f>
        <v/>
      </c>
    </row>
    <row r="1182" spans="1:30" s="1102" customFormat="1" ht="16.5" customHeight="1">
      <c r="A1182" s="318" t="str">
        <f>IF(B1182&lt;&gt;"",IF(AND(B1182='IN-TC'!$S$4,OR(TH!N1182="1111",TH!O1182="1111")),TH!D1182,""),"")</f>
        <v/>
      </c>
      <c r="B1182" s="60" t="str">
        <f t="shared" si="197"/>
        <v/>
      </c>
      <c r="C1182" s="981"/>
      <c r="D1182" s="981"/>
      <c r="E1182" s="981"/>
      <c r="F1182" s="1008"/>
      <c r="G1182" s="987"/>
      <c r="H1182" s="997"/>
      <c r="I1182" s="984"/>
      <c r="J1182" s="984"/>
      <c r="K1182" s="984"/>
      <c r="L1182" s="983"/>
      <c r="M1182" s="985"/>
      <c r="N1182" s="986"/>
      <c r="O1182" s="986"/>
      <c r="P1182" s="79" t="str">
        <f>IF(AND('331-CT'!$E$7=TH!H1182,OR(N1182="331",O1182="331")),"x","")</f>
        <v/>
      </c>
      <c r="Q1182" s="79" t="str">
        <f>IF(AND(B1182='111'!$L$11,OR($N1182=$Q$7,$O1182=$Q$7)),"x","")</f>
        <v/>
      </c>
      <c r="R1182" s="79" t="str">
        <f>IF(AND($N1182=$Q$7,$B1182&lt;'111'!$L$11),"x","")</f>
        <v/>
      </c>
      <c r="S1182" s="79" t="str">
        <f>IF(AND($O1182=$Q$7,$B1182&lt;'111'!$L$11),"x","")</f>
        <v/>
      </c>
      <c r="T1182" s="79" t="str">
        <f>IF(ISERROR(FIND('112'!$M$9,G1182,1)),"",IF((AND(FIND('112'!$M$9,G1182,1)&gt;=1,B1182='112'!$K$9,OR($N1182='112'!$I$6,$O1182='112'!$I$6))),"x",""))</f>
        <v/>
      </c>
      <c r="U1182" s="79" t="str">
        <f>IF(ISERROR(FIND('112'!$M$9,G1182,1)),"",IF((AND(LEFT(G1182,2)=LEFT('112'!$M$9,2),B1182&lt;'112'!$K$9,$N1182='112'!$I$6)),"x",""))</f>
        <v/>
      </c>
      <c r="V1182" s="79" t="str">
        <f>IF(ISERROR(FIND('112'!$M$9,G1182,1)),"",IF((AND(RIGHT(G1182,2)=RIGHT('112'!$M$9,2),B1182&lt;'112'!$K$9,$O1182='112'!$I$6)),"x",""))</f>
        <v/>
      </c>
      <c r="W1182" s="79" t="str">
        <f>IF(AND('341-CT'!$H$9=H1182,OR(LEFT(N1182,3)=$W$7,LEFT(O1182,3)=$W$7)),"x","")</f>
        <v/>
      </c>
      <c r="X1182" s="79" t="str">
        <f>IF(OR(TH!N1182=TH!$X$7,O1182=TH!$X$7),"x","")</f>
        <v/>
      </c>
      <c r="Y1182" s="79" t="str">
        <f>IF(AND(OR(N1182="131",O1182="131"),H1182='131-CT'!$H$9),"x","")</f>
        <v/>
      </c>
      <c r="Z1182" s="79"/>
      <c r="AA1182" s="79" t="str">
        <f>IF(AND(MONTH(E1182)='IN-NX'!$J$5,'IN-NX'!$D$7=D1182),"x","")</f>
        <v/>
      </c>
      <c r="AB1182" s="79" t="str">
        <f>IF(AND(OR(LEFT(TH!N1182,2)="15",LEFT(TH!O1182,2)="15"),LEFT(TH!O1182,3)&lt;&gt;"111",'152-CT'!$J$8=TH!F1182),"x","")</f>
        <v/>
      </c>
      <c r="AC1182" s="79" t="str">
        <f>IF(AND(OR(LEFT(TH!N1182,2)="15",LEFT(TH!O1182,2)="15"),TK!$E$7=TH!F1182),"x","")</f>
        <v/>
      </c>
      <c r="AD1182" s="79" t="str">
        <f>IF(AND(N1182="1521",MONTH(C1182)='BK-NL'!$M$11),"x","")</f>
        <v/>
      </c>
    </row>
    <row r="1183" spans="1:30" s="1102" customFormat="1" ht="16.5" customHeight="1">
      <c r="A1183" s="318" t="str">
        <f>IF(B1183&lt;&gt;"",IF(AND(B1183='IN-TC'!$S$4,OR(TH!N1183="1111",TH!O1183="1111")),TH!D1183,""),"")</f>
        <v/>
      </c>
      <c r="B1183" s="60" t="str">
        <f t="shared" si="197"/>
        <v/>
      </c>
      <c r="C1183" s="981"/>
      <c r="D1183" s="981"/>
      <c r="E1183" s="981"/>
      <c r="F1183" s="1008"/>
      <c r="G1183" s="987"/>
      <c r="H1183" s="997"/>
      <c r="I1183" s="984"/>
      <c r="J1183" s="984"/>
      <c r="K1183" s="984"/>
      <c r="L1183" s="983"/>
      <c r="M1183" s="985"/>
      <c r="N1183" s="986"/>
      <c r="O1183" s="986"/>
      <c r="P1183" s="79" t="str">
        <f>IF(AND('331-CT'!$E$7=TH!H1183,OR(N1183="331",O1183="331")),"x","")</f>
        <v/>
      </c>
      <c r="Q1183" s="79" t="str">
        <f>IF(AND(B1183='111'!$L$11,OR($N1183=$Q$7,$O1183=$Q$7)),"x","")</f>
        <v/>
      </c>
      <c r="R1183" s="79" t="str">
        <f>IF(AND($N1183=$Q$7,$B1183&lt;'111'!$L$11),"x","")</f>
        <v/>
      </c>
      <c r="S1183" s="79" t="str">
        <f>IF(AND($O1183=$Q$7,$B1183&lt;'111'!$L$11),"x","")</f>
        <v/>
      </c>
      <c r="T1183" s="79" t="str">
        <f>IF(ISERROR(FIND('112'!$M$9,G1183,1)),"",IF((AND(FIND('112'!$M$9,G1183,1)&gt;=1,B1183='112'!$K$9,OR($N1183='112'!$I$6,$O1183='112'!$I$6))),"x",""))</f>
        <v/>
      </c>
      <c r="U1183" s="79" t="str">
        <f>IF(ISERROR(FIND('112'!$M$9,G1183,1)),"",IF((AND(LEFT(G1183,2)=LEFT('112'!$M$9,2),B1183&lt;'112'!$K$9,$N1183='112'!$I$6)),"x",""))</f>
        <v/>
      </c>
      <c r="V1183" s="79" t="str">
        <f>IF(ISERROR(FIND('112'!$M$9,G1183,1)),"",IF((AND(RIGHT(G1183,2)=RIGHT('112'!$M$9,2),B1183&lt;'112'!$K$9,$O1183='112'!$I$6)),"x",""))</f>
        <v/>
      </c>
      <c r="W1183" s="79" t="str">
        <f>IF(AND('341-CT'!$H$9=H1183,OR(LEFT(N1183,3)=$W$7,LEFT(O1183,3)=$W$7)),"x","")</f>
        <v/>
      </c>
      <c r="X1183" s="79" t="str">
        <f>IF(OR(TH!N1183=TH!$X$7,O1183=TH!$X$7),"x","")</f>
        <v/>
      </c>
      <c r="Y1183" s="79" t="str">
        <f>IF(AND(OR(N1183="131",O1183="131"),H1183='131-CT'!$H$9),"x","")</f>
        <v/>
      </c>
      <c r="Z1183" s="79"/>
      <c r="AA1183" s="79" t="str">
        <f>IF(AND(MONTH(E1183)='IN-NX'!$J$5,'IN-NX'!$D$7=D1183),"x","")</f>
        <v/>
      </c>
      <c r="AB1183" s="79" t="str">
        <f>IF(AND(OR(LEFT(TH!N1183,2)="15",LEFT(TH!O1183,2)="15"),LEFT(TH!O1183,3)&lt;&gt;"111",'152-CT'!$J$8=TH!F1183),"x","")</f>
        <v/>
      </c>
      <c r="AC1183" s="79" t="str">
        <f>IF(AND(OR(LEFT(TH!N1183,2)="15",LEFT(TH!O1183,2)="15"),TK!$E$7=TH!F1183),"x","")</f>
        <v/>
      </c>
      <c r="AD1183" s="79" t="str">
        <f>IF(AND(N1183="1521",MONTH(C1183)='BK-NL'!$M$11),"x","")</f>
        <v/>
      </c>
    </row>
    <row r="1184" spans="1:30" s="1102" customFormat="1" ht="16.5" customHeight="1">
      <c r="A1184" s="318" t="str">
        <f>IF(B1184&lt;&gt;"",IF(AND(B1184='IN-TC'!$S$4,OR(TH!N1184="1111",TH!O1184="1111")),TH!D1184,""),"")</f>
        <v/>
      </c>
      <c r="B1184" s="60" t="str">
        <f t="shared" si="197"/>
        <v/>
      </c>
      <c r="C1184" s="981"/>
      <c r="D1184" s="981"/>
      <c r="E1184" s="981"/>
      <c r="F1184" s="1008"/>
      <c r="G1184" s="987"/>
      <c r="H1184" s="85"/>
      <c r="I1184" s="984"/>
      <c r="J1184" s="984"/>
      <c r="K1184" s="984"/>
      <c r="L1184" s="983"/>
      <c r="M1184" s="985"/>
      <c r="N1184" s="986"/>
      <c r="O1184" s="986"/>
      <c r="P1184" s="79" t="str">
        <f>IF(AND('331-CT'!$E$7=TH!H1184,OR(N1184="331",O1184="331")),"x","")</f>
        <v/>
      </c>
      <c r="Q1184" s="79" t="str">
        <f>IF(AND(B1184='111'!$L$11,OR($N1184=$Q$7,$O1184=$Q$7)),"x","")</f>
        <v/>
      </c>
      <c r="R1184" s="79" t="str">
        <f>IF(AND($N1184=$Q$7,$B1184&lt;'111'!$L$11),"x","")</f>
        <v/>
      </c>
      <c r="S1184" s="79" t="str">
        <f>IF(AND($O1184=$Q$7,$B1184&lt;'111'!$L$11),"x","")</f>
        <v/>
      </c>
      <c r="T1184" s="79" t="str">
        <f>IF(ISERROR(FIND('112'!$M$9,G1184,1)),"",IF((AND(FIND('112'!$M$9,G1184,1)&gt;=1,B1184='112'!$K$9,OR($N1184='112'!$I$6,$O1184='112'!$I$6))),"x",""))</f>
        <v/>
      </c>
      <c r="U1184" s="79" t="str">
        <f>IF(ISERROR(FIND('112'!$M$9,G1184,1)),"",IF((AND(LEFT(G1184,2)=LEFT('112'!$M$9,2),B1184&lt;'112'!$K$9,$N1184='112'!$I$6)),"x",""))</f>
        <v/>
      </c>
      <c r="V1184" s="79" t="str">
        <f>IF(ISERROR(FIND('112'!$M$9,G1184,1)),"",IF((AND(RIGHT(G1184,2)=RIGHT('112'!$M$9,2),B1184&lt;'112'!$K$9,$O1184='112'!$I$6)),"x",""))</f>
        <v/>
      </c>
      <c r="W1184" s="79" t="str">
        <f>IF(AND('341-CT'!$H$9=H1184,OR(LEFT(N1184,3)=$W$7,LEFT(O1184,3)=$W$7)),"x","")</f>
        <v/>
      </c>
      <c r="X1184" s="79" t="str">
        <f>IF(OR(TH!N1184=TH!$X$7,O1184=TH!$X$7),"x","")</f>
        <v/>
      </c>
      <c r="Y1184" s="79" t="str">
        <f>IF(AND(OR(N1184="131",O1184="131"),H1184='131-CT'!$H$9),"x","")</f>
        <v/>
      </c>
      <c r="Z1184" s="79"/>
      <c r="AA1184" s="79" t="str">
        <f>IF(AND(MONTH(E1184)='IN-NX'!$J$5,'IN-NX'!$D$7=D1184),"x","")</f>
        <v/>
      </c>
      <c r="AB1184" s="79" t="str">
        <f>IF(AND(OR(LEFT(TH!N1184,2)="15",LEFT(TH!O1184,2)="15"),LEFT(TH!O1184,3)&lt;&gt;"111",'152-CT'!$J$8=TH!F1184),"x","")</f>
        <v/>
      </c>
      <c r="AC1184" s="79" t="str">
        <f>IF(AND(OR(LEFT(TH!N1184,2)="15",LEFT(TH!O1184,2)="15"),TK!$E$7=TH!F1184),"x","")</f>
        <v/>
      </c>
      <c r="AD1184" s="79" t="str">
        <f>IF(AND(N1184="1521",MONTH(C1184)='BK-NL'!$M$11),"x","")</f>
        <v/>
      </c>
    </row>
    <row r="1185" spans="1:30" s="1102" customFormat="1" ht="16.5" customHeight="1">
      <c r="A1185" s="318" t="str">
        <f>IF(B1185&lt;&gt;"",IF(AND(B1185='IN-TC'!$S$4,OR(TH!N1185="1111",TH!O1185="1111")),TH!D1185,""),"")</f>
        <v/>
      </c>
      <c r="B1185" s="60" t="str">
        <f t="shared" si="197"/>
        <v/>
      </c>
      <c r="C1185" s="981"/>
      <c r="D1185" s="981"/>
      <c r="E1185" s="981"/>
      <c r="F1185" s="1008"/>
      <c r="G1185" s="987"/>
      <c r="H1185" s="997"/>
      <c r="I1185" s="984"/>
      <c r="J1185" s="984"/>
      <c r="K1185" s="984"/>
      <c r="L1185" s="983"/>
      <c r="M1185" s="985"/>
      <c r="N1185" s="986"/>
      <c r="O1185" s="986"/>
      <c r="P1185" s="79" t="str">
        <f>IF(AND('331-CT'!$E$7=TH!H1185,OR(N1185="331",O1185="331")),"x","")</f>
        <v/>
      </c>
      <c r="Q1185" s="79" t="str">
        <f>IF(AND(B1185='111'!$L$11,OR($N1185=$Q$7,$O1185=$Q$7)),"x","")</f>
        <v/>
      </c>
      <c r="R1185" s="79" t="str">
        <f>IF(AND($N1185=$Q$7,$B1185&lt;'111'!$L$11),"x","")</f>
        <v/>
      </c>
      <c r="S1185" s="79" t="str">
        <f>IF(AND($O1185=$Q$7,$B1185&lt;'111'!$L$11),"x","")</f>
        <v/>
      </c>
      <c r="T1185" s="79" t="str">
        <f>IF(ISERROR(FIND('112'!$M$9,G1185,1)),"",IF((AND(FIND('112'!$M$9,G1185,1)&gt;=1,B1185='112'!$K$9,OR($N1185='112'!$I$6,$O1185='112'!$I$6))),"x",""))</f>
        <v/>
      </c>
      <c r="U1185" s="79" t="str">
        <f>IF(ISERROR(FIND('112'!$M$9,G1185,1)),"",IF((AND(LEFT(G1185,2)=LEFT('112'!$M$9,2),B1185&lt;'112'!$K$9,$N1185='112'!$I$6)),"x",""))</f>
        <v/>
      </c>
      <c r="V1185" s="79" t="str">
        <f>IF(ISERROR(FIND('112'!$M$9,G1185,1)),"",IF((AND(RIGHT(G1185,2)=RIGHT('112'!$M$9,2),B1185&lt;'112'!$K$9,$O1185='112'!$I$6)),"x",""))</f>
        <v/>
      </c>
      <c r="W1185" s="79" t="str">
        <f>IF(AND('341-CT'!$H$9=H1185,OR(LEFT(N1185,3)=$W$7,LEFT(O1185,3)=$W$7)),"x","")</f>
        <v/>
      </c>
      <c r="X1185" s="79" t="str">
        <f>IF(OR(TH!N1185=TH!$X$7,O1185=TH!$X$7),"x","")</f>
        <v/>
      </c>
      <c r="Y1185" s="79" t="str">
        <f>IF(AND(OR(N1185="131",O1185="131"),H1185='131-CT'!$H$9),"x","")</f>
        <v/>
      </c>
      <c r="Z1185" s="79"/>
      <c r="AA1185" s="79" t="str">
        <f>IF(AND(MONTH(E1185)='IN-NX'!$J$5,'IN-NX'!$D$7=D1185),"x","")</f>
        <v/>
      </c>
      <c r="AB1185" s="79" t="str">
        <f>IF(AND(OR(LEFT(TH!N1185,2)="15",LEFT(TH!O1185,2)="15"),LEFT(TH!O1185,3)&lt;&gt;"111",'152-CT'!$J$8=TH!F1185),"x","")</f>
        <v/>
      </c>
      <c r="AC1185" s="79" t="str">
        <f>IF(AND(OR(LEFT(TH!N1185,2)="15",LEFT(TH!O1185,2)="15"),TK!$E$7=TH!F1185),"x","")</f>
        <v/>
      </c>
      <c r="AD1185" s="79" t="str">
        <f>IF(AND(N1185="1521",MONTH(C1185)='BK-NL'!$M$11),"x","")</f>
        <v/>
      </c>
    </row>
    <row r="1186" spans="1:30" s="1102" customFormat="1" ht="16.5" customHeight="1">
      <c r="A1186" s="318" t="str">
        <f>IF(B1186&lt;&gt;"",IF(AND(B1186='IN-TC'!$S$4,OR(TH!N1186="1111",TH!O1186="1111")),TH!D1186,""),"")</f>
        <v/>
      </c>
      <c r="B1186" s="60" t="str">
        <f t="shared" si="197"/>
        <v/>
      </c>
      <c r="C1186" s="981"/>
      <c r="D1186" s="981"/>
      <c r="E1186" s="981"/>
      <c r="F1186" s="1008"/>
      <c r="G1186" s="987"/>
      <c r="H1186" s="85"/>
      <c r="I1186" s="984"/>
      <c r="J1186" s="984"/>
      <c r="K1186" s="984"/>
      <c r="L1186" s="983"/>
      <c r="M1186" s="985"/>
      <c r="N1186" s="986"/>
      <c r="O1186" s="986"/>
      <c r="P1186" s="79" t="str">
        <f>IF(AND('331-CT'!$E$7=TH!H1186,OR(N1186="331",O1186="331")),"x","")</f>
        <v/>
      </c>
      <c r="Q1186" s="79" t="str">
        <f>IF(AND(B1186='111'!$L$11,OR($N1186=$Q$7,$O1186=$Q$7)),"x","")</f>
        <v/>
      </c>
      <c r="R1186" s="79" t="str">
        <f>IF(AND($N1186=$Q$7,$B1186&lt;'111'!$L$11),"x","")</f>
        <v/>
      </c>
      <c r="S1186" s="79" t="str">
        <f>IF(AND($O1186=$Q$7,$B1186&lt;'111'!$L$11),"x","")</f>
        <v/>
      </c>
      <c r="T1186" s="79" t="str">
        <f>IF(ISERROR(FIND('112'!$M$9,G1186,1)),"",IF((AND(FIND('112'!$M$9,G1186,1)&gt;=1,B1186='112'!$K$9,OR($N1186='112'!$I$6,$O1186='112'!$I$6))),"x",""))</f>
        <v/>
      </c>
      <c r="U1186" s="79" t="str">
        <f>IF(ISERROR(FIND('112'!$M$9,G1186,1)),"",IF((AND(LEFT(G1186,2)=LEFT('112'!$M$9,2),B1186&lt;'112'!$K$9,$N1186='112'!$I$6)),"x",""))</f>
        <v/>
      </c>
      <c r="V1186" s="79" t="str">
        <f>IF(ISERROR(FIND('112'!$M$9,G1186,1)),"",IF((AND(RIGHT(G1186,2)=RIGHT('112'!$M$9,2),B1186&lt;'112'!$K$9,$O1186='112'!$I$6)),"x",""))</f>
        <v/>
      </c>
      <c r="W1186" s="79" t="str">
        <f>IF(AND('341-CT'!$H$9=H1186,OR(LEFT(N1186,3)=$W$7,LEFT(O1186,3)=$W$7)),"x","")</f>
        <v/>
      </c>
      <c r="X1186" s="79" t="str">
        <f>IF(OR(TH!N1186=TH!$X$7,O1186=TH!$X$7),"x","")</f>
        <v/>
      </c>
      <c r="Y1186" s="79" t="str">
        <f>IF(AND(OR(N1186="131",O1186="131"),H1186='131-CT'!$H$9),"x","")</f>
        <v/>
      </c>
      <c r="Z1186" s="79"/>
      <c r="AA1186" s="79" t="str">
        <f>IF(AND(MONTH(E1186)='IN-NX'!$J$5,'IN-NX'!$D$7=D1186),"x","")</f>
        <v/>
      </c>
      <c r="AB1186" s="79" t="str">
        <f>IF(AND(OR(LEFT(TH!N1186,2)="15",LEFT(TH!O1186,2)="15"),LEFT(TH!O1186,3)&lt;&gt;"111",'152-CT'!$J$8=TH!F1186),"x","")</f>
        <v/>
      </c>
      <c r="AC1186" s="79" t="str">
        <f>IF(AND(OR(LEFT(TH!N1186,2)="15",LEFT(TH!O1186,2)="15"),TK!$E$7=TH!F1186),"x","")</f>
        <v/>
      </c>
      <c r="AD1186" s="79" t="str">
        <f>IF(AND(N1186="1521",MONTH(C1186)='BK-NL'!$M$11),"x","")</f>
        <v/>
      </c>
    </row>
    <row r="1187" spans="1:30" s="1102" customFormat="1" ht="16.5" customHeight="1">
      <c r="A1187" s="318" t="str">
        <f>IF(B1187&lt;&gt;"",IF(AND(B1187='IN-TC'!$S$4,OR(TH!N1187="1111",TH!O1187="1111")),TH!D1187,""),"")</f>
        <v/>
      </c>
      <c r="B1187" s="60" t="str">
        <f t="shared" si="197"/>
        <v/>
      </c>
      <c r="C1187" s="981"/>
      <c r="D1187" s="981"/>
      <c r="E1187" s="981"/>
      <c r="F1187" s="1008"/>
      <c r="G1187" s="987"/>
      <c r="H1187" s="997"/>
      <c r="I1187" s="984"/>
      <c r="J1187" s="984"/>
      <c r="K1187" s="984"/>
      <c r="L1187" s="983"/>
      <c r="M1187" s="985"/>
      <c r="N1187" s="986"/>
      <c r="O1187" s="986"/>
      <c r="P1187" s="79" t="str">
        <f>IF(AND('331-CT'!$E$7=TH!H1187,OR(N1187="331",O1187="331")),"x","")</f>
        <v/>
      </c>
      <c r="Q1187" s="79" t="str">
        <f>IF(AND(B1187='111'!$L$11,OR($N1187=$Q$7,$O1187=$Q$7)),"x","")</f>
        <v/>
      </c>
      <c r="R1187" s="79" t="str">
        <f>IF(AND($N1187=$Q$7,$B1187&lt;'111'!$L$11),"x","")</f>
        <v/>
      </c>
      <c r="S1187" s="79" t="str">
        <f>IF(AND($O1187=$Q$7,$B1187&lt;'111'!$L$11),"x","")</f>
        <v/>
      </c>
      <c r="T1187" s="79" t="str">
        <f>IF(ISERROR(FIND('112'!$M$9,G1187,1)),"",IF((AND(FIND('112'!$M$9,G1187,1)&gt;=1,B1187='112'!$K$9,OR($N1187='112'!$I$6,$O1187='112'!$I$6))),"x",""))</f>
        <v/>
      </c>
      <c r="U1187" s="79" t="str">
        <f>IF(ISERROR(FIND('112'!$M$9,G1187,1)),"",IF((AND(LEFT(G1187,2)=LEFT('112'!$M$9,2),B1187&lt;'112'!$K$9,$N1187='112'!$I$6)),"x",""))</f>
        <v/>
      </c>
      <c r="V1187" s="79" t="str">
        <f>IF(ISERROR(FIND('112'!$M$9,G1187,1)),"",IF((AND(RIGHT(G1187,2)=RIGHT('112'!$M$9,2),B1187&lt;'112'!$K$9,$O1187='112'!$I$6)),"x",""))</f>
        <v/>
      </c>
      <c r="W1187" s="79" t="str">
        <f>IF(AND('341-CT'!$H$9=H1187,OR(LEFT(N1187,3)=$W$7,LEFT(O1187,3)=$W$7)),"x","")</f>
        <v/>
      </c>
      <c r="X1187" s="79" t="str">
        <f>IF(OR(TH!N1187=TH!$X$7,O1187=TH!$X$7),"x","")</f>
        <v/>
      </c>
      <c r="Y1187" s="79" t="str">
        <f>IF(AND(OR(N1187="131",O1187="131"),H1187='131-CT'!$H$9),"x","")</f>
        <v/>
      </c>
      <c r="Z1187" s="79"/>
      <c r="AA1187" s="79" t="str">
        <f>IF(AND(MONTH(E1187)='IN-NX'!$J$5,'IN-NX'!$D$7=D1187),"x","")</f>
        <v/>
      </c>
      <c r="AB1187" s="79" t="str">
        <f>IF(AND(OR(LEFT(TH!N1187,2)="15",LEFT(TH!O1187,2)="15"),LEFT(TH!O1187,3)&lt;&gt;"111",'152-CT'!$J$8=TH!F1187),"x","")</f>
        <v/>
      </c>
      <c r="AC1187" s="79" t="str">
        <f>IF(AND(OR(LEFT(TH!N1187,2)="15",LEFT(TH!O1187,2)="15"),TK!$E$7=TH!F1187),"x","")</f>
        <v/>
      </c>
      <c r="AD1187" s="79" t="str">
        <f>IF(AND(N1187="1521",MONTH(C1187)='BK-NL'!$M$11),"x","")</f>
        <v/>
      </c>
    </row>
    <row r="1188" spans="1:30" s="1102" customFormat="1" ht="17.25" customHeight="1">
      <c r="A1188" s="318" t="str">
        <f>IF(B1188&lt;&gt;"",IF(AND(B1188='IN-TC'!$S$4,OR(TH!N1188="1111",TH!O1188="1111")),TH!D1188,""),"")</f>
        <v/>
      </c>
      <c r="B1188" s="60" t="str">
        <f t="shared" si="197"/>
        <v/>
      </c>
      <c r="C1188" s="981"/>
      <c r="D1188" s="981"/>
      <c r="E1188" s="981"/>
      <c r="F1188" s="1008"/>
      <c r="G1188" s="987"/>
      <c r="H1188" s="997"/>
      <c r="I1188" s="984"/>
      <c r="J1188" s="984"/>
      <c r="K1188" s="984"/>
      <c r="L1188" s="983"/>
      <c r="M1188" s="985"/>
      <c r="N1188" s="986"/>
      <c r="O1188" s="986"/>
      <c r="P1188" s="79" t="str">
        <f>IF(AND('331-CT'!$E$7=TH!H1188,OR(N1188="331",O1188="331")),"x","")</f>
        <v/>
      </c>
      <c r="Q1188" s="79" t="str">
        <f>IF(AND(B1188='111'!$L$11,OR($N1188=$Q$7,$O1188=$Q$7)),"x","")</f>
        <v/>
      </c>
      <c r="R1188" s="79" t="str">
        <f>IF(AND($N1188=$Q$7,$B1188&lt;'111'!$L$11),"x","")</f>
        <v/>
      </c>
      <c r="S1188" s="79" t="str">
        <f>IF(AND($O1188=$Q$7,$B1188&lt;'111'!$L$11),"x","")</f>
        <v/>
      </c>
      <c r="T1188" s="79" t="str">
        <f>IF(ISERROR(FIND('112'!$M$9,G1188,1)),"",IF((AND(FIND('112'!$M$9,G1188,1)&gt;=1,B1188='112'!$K$9,OR($N1188='112'!$I$6,$O1188='112'!$I$6))),"x",""))</f>
        <v/>
      </c>
      <c r="U1188" s="79" t="str">
        <f>IF(ISERROR(FIND('112'!$M$9,G1188,1)),"",IF((AND(LEFT(G1188,2)=LEFT('112'!$M$9,2),B1188&lt;'112'!$K$9,$N1188='112'!$I$6)),"x",""))</f>
        <v/>
      </c>
      <c r="V1188" s="79" t="str">
        <f>IF(ISERROR(FIND('112'!$M$9,G1188,1)),"",IF((AND(RIGHT(G1188,2)=RIGHT('112'!$M$9,2),B1188&lt;'112'!$K$9,$O1188='112'!$I$6)),"x",""))</f>
        <v/>
      </c>
      <c r="W1188" s="79" t="str">
        <f>IF(AND('341-CT'!$H$9=H1188,OR(LEFT(N1188,3)=$W$7,LEFT(O1188,3)=$W$7)),"x","")</f>
        <v/>
      </c>
      <c r="X1188" s="79" t="str">
        <f>IF(OR(TH!N1188=TH!$X$7,O1188=TH!$X$7),"x","")</f>
        <v/>
      </c>
      <c r="Y1188" s="79" t="str">
        <f>IF(AND(OR(N1188="131",O1188="131"),H1188='131-CT'!$H$9),"x","")</f>
        <v/>
      </c>
      <c r="Z1188" s="79"/>
      <c r="AA1188" s="79" t="str">
        <f>IF(AND(MONTH(E1188)='IN-NX'!$J$5,'IN-NX'!$D$7=D1188),"x","")</f>
        <v/>
      </c>
      <c r="AB1188" s="79" t="str">
        <f>IF(AND(OR(LEFT(TH!N1188,2)="15",LEFT(TH!O1188,2)="15"),LEFT(TH!O1188,3)&lt;&gt;"111",'152-CT'!$J$8=TH!F1188),"x","")</f>
        <v/>
      </c>
      <c r="AC1188" s="79" t="str">
        <f>IF(AND(OR(LEFT(TH!N1188,2)="15",LEFT(TH!O1188,2)="15"),TK!$E$7=TH!F1188),"x","")</f>
        <v/>
      </c>
      <c r="AD1188" s="79" t="str">
        <f>IF(AND(N1188="1521",MONTH(C1188)='BK-NL'!$M$11),"x","")</f>
        <v/>
      </c>
    </row>
    <row r="1189" spans="1:30" s="1102" customFormat="1" ht="17.25" customHeight="1">
      <c r="A1189" s="318" t="str">
        <f>IF(B1189&lt;&gt;"",IF(AND(B1189='IN-TC'!$S$4,OR(TH!N1189="1111",TH!O1189="1111")),TH!D1189,""),"")</f>
        <v/>
      </c>
      <c r="B1189" s="60" t="str">
        <f t="shared" si="197"/>
        <v/>
      </c>
      <c r="C1189" s="981"/>
      <c r="D1189" s="981"/>
      <c r="E1189" s="981"/>
      <c r="F1189" s="1008"/>
      <c r="G1189" s="987"/>
      <c r="H1189" s="997"/>
      <c r="I1189" s="984"/>
      <c r="J1189" s="984"/>
      <c r="K1189" s="984"/>
      <c r="L1189" s="983"/>
      <c r="M1189" s="985"/>
      <c r="N1189" s="986"/>
      <c r="O1189" s="986"/>
      <c r="P1189" s="79" t="str">
        <f>IF(AND('331-CT'!$E$7=TH!H1189,OR(N1189="331",O1189="331")),"x","")</f>
        <v/>
      </c>
      <c r="Q1189" s="79" t="str">
        <f>IF(AND(B1189='111'!$L$11,OR($N1189=$Q$7,$O1189=$Q$7)),"x","")</f>
        <v/>
      </c>
      <c r="R1189" s="79" t="str">
        <f>IF(AND($N1189=$Q$7,$B1189&lt;'111'!$L$11),"x","")</f>
        <v/>
      </c>
      <c r="S1189" s="79" t="str">
        <f>IF(AND($O1189=$Q$7,$B1189&lt;'111'!$L$11),"x","")</f>
        <v/>
      </c>
      <c r="T1189" s="79" t="str">
        <f>IF(ISERROR(FIND('112'!$M$9,G1189,1)),"",IF((AND(FIND('112'!$M$9,G1189,1)&gt;=1,B1189='112'!$K$9,OR($N1189='112'!$I$6,$O1189='112'!$I$6))),"x",""))</f>
        <v/>
      </c>
      <c r="U1189" s="79" t="str">
        <f>IF(ISERROR(FIND('112'!$M$9,G1189,1)),"",IF((AND(LEFT(G1189,2)=LEFT('112'!$M$9,2),B1189&lt;'112'!$K$9,$N1189='112'!$I$6)),"x",""))</f>
        <v/>
      </c>
      <c r="V1189" s="79" t="str">
        <f>IF(ISERROR(FIND('112'!$M$9,G1189,1)),"",IF((AND(RIGHT(G1189,2)=RIGHT('112'!$M$9,2),B1189&lt;'112'!$K$9,$O1189='112'!$I$6)),"x",""))</f>
        <v/>
      </c>
      <c r="W1189" s="79" t="str">
        <f>IF(AND('341-CT'!$H$9=H1189,OR(LEFT(N1189,3)=$W$7,LEFT(O1189,3)=$W$7)),"x","")</f>
        <v/>
      </c>
      <c r="X1189" s="79" t="str">
        <f>IF(OR(TH!N1189=TH!$X$7,O1189=TH!$X$7),"x","")</f>
        <v/>
      </c>
      <c r="Y1189" s="79" t="str">
        <f>IF(AND(OR(N1189="131",O1189="131"),H1189='131-CT'!$H$9),"x","")</f>
        <v/>
      </c>
      <c r="Z1189" s="79"/>
      <c r="AA1189" s="79" t="str">
        <f>IF(AND(MONTH(E1189)='IN-NX'!$J$5,'IN-NX'!$D$7=D1189),"x","")</f>
        <v/>
      </c>
      <c r="AB1189" s="79" t="str">
        <f>IF(AND(OR(LEFT(TH!N1189,2)="15",LEFT(TH!O1189,2)="15"),LEFT(TH!O1189,3)&lt;&gt;"111",'152-CT'!$J$8=TH!F1189),"x","")</f>
        <v/>
      </c>
      <c r="AC1189" s="79" t="str">
        <f>IF(AND(OR(LEFT(TH!N1189,2)="15",LEFT(TH!O1189,2)="15"),TK!$E$7=TH!F1189),"x","")</f>
        <v/>
      </c>
      <c r="AD1189" s="79" t="str">
        <f>IF(AND(N1189="1521",MONTH(C1189)='BK-NL'!$M$11),"x","")</f>
        <v/>
      </c>
    </row>
    <row r="1190" spans="1:30" s="1102" customFormat="1" ht="16.5" customHeight="1">
      <c r="A1190" s="318" t="str">
        <f>IF(B1190&lt;&gt;"",IF(AND(B1190='IN-TC'!$S$4,OR(TH!N1190="1111",TH!O1190="1111")),TH!D1190,""),"")</f>
        <v/>
      </c>
      <c r="B1190" s="60" t="str">
        <f t="shared" si="197"/>
        <v/>
      </c>
      <c r="C1190" s="981"/>
      <c r="D1190" s="981"/>
      <c r="E1190" s="981"/>
      <c r="F1190" s="1008"/>
      <c r="G1190" s="987"/>
      <c r="H1190" s="85"/>
      <c r="I1190" s="984"/>
      <c r="J1190" s="984"/>
      <c r="K1190" s="984"/>
      <c r="L1190" s="983"/>
      <c r="M1190" s="985"/>
      <c r="N1190" s="986"/>
      <c r="O1190" s="986"/>
      <c r="P1190" s="79" t="str">
        <f>IF(AND('331-CT'!$E$7=TH!H1190,OR(N1190="331",O1190="331")),"x","")</f>
        <v/>
      </c>
      <c r="Q1190" s="79" t="str">
        <f>IF(AND(B1190='111'!$L$11,OR($N1190=$Q$7,$O1190=$Q$7)),"x","")</f>
        <v/>
      </c>
      <c r="R1190" s="79" t="str">
        <f>IF(AND($N1190=$Q$7,$B1190&lt;'111'!$L$11),"x","")</f>
        <v/>
      </c>
      <c r="S1190" s="79" t="str">
        <f>IF(AND($O1190=$Q$7,$B1190&lt;'111'!$L$11),"x","")</f>
        <v/>
      </c>
      <c r="T1190" s="79" t="str">
        <f>IF(ISERROR(FIND('112'!$M$9,G1190,1)),"",IF((AND(FIND('112'!$M$9,G1190,1)&gt;=1,B1190='112'!$K$9,OR($N1190='112'!$I$6,$O1190='112'!$I$6))),"x",""))</f>
        <v/>
      </c>
      <c r="U1190" s="79" t="str">
        <f>IF(ISERROR(FIND('112'!$M$9,G1190,1)),"",IF((AND(LEFT(G1190,2)=LEFT('112'!$M$9,2),B1190&lt;'112'!$K$9,$N1190='112'!$I$6)),"x",""))</f>
        <v/>
      </c>
      <c r="V1190" s="79" t="str">
        <f>IF(ISERROR(FIND('112'!$M$9,G1190,1)),"",IF((AND(RIGHT(G1190,2)=RIGHT('112'!$M$9,2),B1190&lt;'112'!$K$9,$O1190='112'!$I$6)),"x",""))</f>
        <v/>
      </c>
      <c r="W1190" s="79" t="str">
        <f>IF(AND('341-CT'!$H$9=H1190,OR(LEFT(N1190,3)=$W$7,LEFT(O1190,3)=$W$7)),"x","")</f>
        <v/>
      </c>
      <c r="X1190" s="79" t="str">
        <f>IF(OR(TH!N1190=TH!$X$7,O1190=TH!$X$7),"x","")</f>
        <v/>
      </c>
      <c r="Y1190" s="79" t="str">
        <f>IF(AND(OR(N1190="131",O1190="131"),H1190='131-CT'!$H$9),"x","")</f>
        <v/>
      </c>
      <c r="Z1190" s="79"/>
      <c r="AA1190" s="79" t="str">
        <f>IF(AND(MONTH(E1190)='IN-NX'!$J$5,'IN-NX'!$D$7=D1190),"x","")</f>
        <v/>
      </c>
      <c r="AB1190" s="79" t="str">
        <f>IF(AND(OR(LEFT(TH!N1190,2)="15",LEFT(TH!O1190,2)="15"),LEFT(TH!O1190,3)&lt;&gt;"111",'152-CT'!$J$8=TH!F1190),"x","")</f>
        <v/>
      </c>
      <c r="AC1190" s="79" t="str">
        <f>IF(AND(OR(LEFT(TH!N1190,2)="15",LEFT(TH!O1190,2)="15"),TK!$E$7=TH!F1190),"x","")</f>
        <v/>
      </c>
      <c r="AD1190" s="79" t="str">
        <f>IF(AND(N1190="1521",MONTH(C1190)='BK-NL'!$M$11),"x","")</f>
        <v/>
      </c>
    </row>
    <row r="1191" spans="1:30" s="1102" customFormat="1" ht="16.5" customHeight="1">
      <c r="A1191" s="318" t="str">
        <f>IF(B1191&lt;&gt;"",IF(AND(B1191='IN-TC'!$S$4,OR(TH!N1191="1111",TH!O1191="1111")),TH!D1191,""),"")</f>
        <v/>
      </c>
      <c r="B1191" s="60" t="str">
        <f t="shared" si="197"/>
        <v/>
      </c>
      <c r="C1191" s="981"/>
      <c r="D1191" s="981"/>
      <c r="E1191" s="981"/>
      <c r="F1191" s="1008"/>
      <c r="G1191" s="987"/>
      <c r="H1191" s="85"/>
      <c r="I1191" s="984"/>
      <c r="J1191" s="984"/>
      <c r="K1191" s="984"/>
      <c r="L1191" s="983"/>
      <c r="M1191" s="985"/>
      <c r="N1191" s="986"/>
      <c r="O1191" s="986"/>
      <c r="P1191" s="79" t="str">
        <f>IF(AND('331-CT'!$E$7=TH!H1191,OR(N1191="331",O1191="331")),"x","")</f>
        <v/>
      </c>
      <c r="Q1191" s="79" t="str">
        <f>IF(AND(B1191='111'!$L$11,OR($N1191=$Q$7,$O1191=$Q$7)),"x","")</f>
        <v/>
      </c>
      <c r="R1191" s="79" t="str">
        <f>IF(AND($N1191=$Q$7,$B1191&lt;'111'!$L$11),"x","")</f>
        <v/>
      </c>
      <c r="S1191" s="79" t="str">
        <f>IF(AND($O1191=$Q$7,$B1191&lt;'111'!$L$11),"x","")</f>
        <v/>
      </c>
      <c r="T1191" s="79" t="str">
        <f>IF(ISERROR(FIND('112'!$M$9,G1191,1)),"",IF((AND(FIND('112'!$M$9,G1191,1)&gt;=1,B1191='112'!$K$9,OR($N1191='112'!$I$6,$O1191='112'!$I$6))),"x",""))</f>
        <v/>
      </c>
      <c r="U1191" s="79" t="str">
        <f>IF(ISERROR(FIND('112'!$M$9,G1191,1)),"",IF((AND(LEFT(G1191,2)=LEFT('112'!$M$9,2),B1191&lt;'112'!$K$9,$N1191='112'!$I$6)),"x",""))</f>
        <v/>
      </c>
      <c r="V1191" s="79" t="str">
        <f>IF(ISERROR(FIND('112'!$M$9,G1191,1)),"",IF((AND(RIGHT(G1191,2)=RIGHT('112'!$M$9,2),B1191&lt;'112'!$K$9,$O1191='112'!$I$6)),"x",""))</f>
        <v/>
      </c>
      <c r="W1191" s="79" t="str">
        <f>IF(AND('341-CT'!$H$9=H1191,OR(LEFT(N1191,3)=$W$7,LEFT(O1191,3)=$W$7)),"x","")</f>
        <v/>
      </c>
      <c r="X1191" s="79" t="str">
        <f>IF(OR(TH!N1191=TH!$X$7,O1191=TH!$X$7),"x","")</f>
        <v/>
      </c>
      <c r="Y1191" s="79" t="str">
        <f>IF(AND(OR(N1191="131",O1191="131"),H1191='131-CT'!$H$9),"x","")</f>
        <v/>
      </c>
      <c r="Z1191" s="79"/>
      <c r="AA1191" s="79" t="str">
        <f>IF(AND(MONTH(E1191)='IN-NX'!$J$5,'IN-NX'!$D$7=D1191),"x","")</f>
        <v/>
      </c>
      <c r="AB1191" s="79" t="str">
        <f>IF(AND(OR(LEFT(TH!N1191,2)="15",LEFT(TH!O1191,2)="15"),LEFT(TH!O1191,3)&lt;&gt;"111",'152-CT'!$J$8=TH!F1191),"x","")</f>
        <v/>
      </c>
      <c r="AC1191" s="79" t="str">
        <f>IF(AND(OR(LEFT(TH!N1191,2)="15",LEFT(TH!O1191,2)="15"),TK!$E$7=TH!F1191),"x","")</f>
        <v/>
      </c>
      <c r="AD1191" s="79" t="str">
        <f>IF(AND(N1191="1521",MONTH(C1191)='BK-NL'!$M$11),"x","")</f>
        <v/>
      </c>
    </row>
    <row r="1192" spans="1:30" s="1102" customFormat="1" ht="17.25" customHeight="1">
      <c r="A1192" s="318" t="str">
        <f>IF(B1192&lt;&gt;"",IF(AND(B1192='IN-TC'!$S$4,OR(TH!N1192="1111",TH!O1192="1111")),TH!D1192,""),"")</f>
        <v/>
      </c>
      <c r="B1192" s="60" t="str">
        <f t="shared" si="197"/>
        <v/>
      </c>
      <c r="C1192" s="981"/>
      <c r="D1192" s="981"/>
      <c r="E1192" s="981"/>
      <c r="F1192" s="1008"/>
      <c r="G1192" s="987"/>
      <c r="H1192" s="997"/>
      <c r="I1192" s="984"/>
      <c r="J1192" s="984"/>
      <c r="K1192" s="984"/>
      <c r="L1192" s="983"/>
      <c r="M1192" s="985"/>
      <c r="N1192" s="986"/>
      <c r="O1192" s="986"/>
      <c r="P1192" s="79" t="str">
        <f>IF(AND('331-CT'!$E$7=TH!H1192,OR(N1192="331",O1192="331")),"x","")</f>
        <v/>
      </c>
      <c r="Q1192" s="79" t="str">
        <f>IF(AND(B1192='111'!$L$11,OR($N1192=$Q$7,$O1192=$Q$7)),"x","")</f>
        <v/>
      </c>
      <c r="R1192" s="79" t="str">
        <f>IF(AND($N1192=$Q$7,$B1192&lt;'111'!$L$11),"x","")</f>
        <v/>
      </c>
      <c r="S1192" s="79" t="str">
        <f>IF(AND($O1192=$Q$7,$B1192&lt;'111'!$L$11),"x","")</f>
        <v/>
      </c>
      <c r="T1192" s="79" t="str">
        <f>IF(ISERROR(FIND('112'!$M$9,G1192,1)),"",IF((AND(FIND('112'!$M$9,G1192,1)&gt;=1,B1192='112'!$K$9,OR($N1192='112'!$I$6,$O1192='112'!$I$6))),"x",""))</f>
        <v/>
      </c>
      <c r="U1192" s="79" t="str">
        <f>IF(ISERROR(FIND('112'!$M$9,G1192,1)),"",IF((AND(LEFT(G1192,2)=LEFT('112'!$M$9,2),B1192&lt;'112'!$K$9,$N1192='112'!$I$6)),"x",""))</f>
        <v/>
      </c>
      <c r="V1192" s="79" t="str">
        <f>IF(ISERROR(FIND('112'!$M$9,G1192,1)),"",IF((AND(RIGHT(G1192,2)=RIGHT('112'!$M$9,2),B1192&lt;'112'!$K$9,$O1192='112'!$I$6)),"x",""))</f>
        <v/>
      </c>
      <c r="W1192" s="79" t="str">
        <f>IF(AND('341-CT'!$H$9=H1192,OR(LEFT(N1192,3)=$W$7,LEFT(O1192,3)=$W$7)),"x","")</f>
        <v/>
      </c>
      <c r="X1192" s="79" t="str">
        <f>IF(OR(TH!N1192=TH!$X$7,O1192=TH!$X$7),"x","")</f>
        <v/>
      </c>
      <c r="Y1192" s="79" t="str">
        <f>IF(AND(OR(N1192="131",O1192="131"),H1192='131-CT'!$H$9),"x","")</f>
        <v/>
      </c>
      <c r="Z1192" s="79"/>
      <c r="AA1192" s="79" t="str">
        <f>IF(AND(MONTH(E1192)='IN-NX'!$J$5,'IN-NX'!$D$7=D1192),"x","")</f>
        <v/>
      </c>
      <c r="AB1192" s="79" t="str">
        <f>IF(AND(OR(LEFT(TH!N1192,2)="15",LEFT(TH!O1192,2)="15"),LEFT(TH!O1192,3)&lt;&gt;"111",'152-CT'!$J$8=TH!F1192),"x","")</f>
        <v/>
      </c>
      <c r="AC1192" s="79" t="str">
        <f>IF(AND(OR(LEFT(TH!N1192,2)="15",LEFT(TH!O1192,2)="15"),TK!$E$7=TH!F1192),"x","")</f>
        <v/>
      </c>
      <c r="AD1192" s="79" t="str">
        <f>IF(AND(N1192="1521",MONTH(C1192)='BK-NL'!$M$11),"x","")</f>
        <v/>
      </c>
    </row>
    <row r="1193" spans="1:30" s="1102" customFormat="1" ht="17.25" customHeight="1">
      <c r="A1193" s="318" t="str">
        <f>IF(B1193&lt;&gt;"",IF(AND(B1193='IN-TC'!$S$4,OR(TH!N1193="1111",TH!O1193="1111")),TH!D1193,""),"")</f>
        <v/>
      </c>
      <c r="B1193" s="60" t="str">
        <f t="shared" si="197"/>
        <v/>
      </c>
      <c r="C1193" s="981"/>
      <c r="D1193" s="981"/>
      <c r="E1193" s="981"/>
      <c r="F1193" s="1008"/>
      <c r="G1193" s="987"/>
      <c r="H1193" s="997"/>
      <c r="I1193" s="984"/>
      <c r="J1193" s="984"/>
      <c r="K1193" s="984"/>
      <c r="L1193" s="983"/>
      <c r="M1193" s="985"/>
      <c r="N1193" s="986"/>
      <c r="O1193" s="986"/>
      <c r="P1193" s="79" t="str">
        <f>IF(AND('331-CT'!$E$7=TH!H1193,OR(N1193="331",O1193="331")),"x","")</f>
        <v/>
      </c>
      <c r="Q1193" s="79" t="str">
        <f>IF(AND(B1193='111'!$L$11,OR($N1193=$Q$7,$O1193=$Q$7)),"x","")</f>
        <v/>
      </c>
      <c r="R1193" s="79" t="str">
        <f>IF(AND($N1193=$Q$7,$B1193&lt;'111'!$L$11),"x","")</f>
        <v/>
      </c>
      <c r="S1193" s="79" t="str">
        <f>IF(AND($O1193=$Q$7,$B1193&lt;'111'!$L$11),"x","")</f>
        <v/>
      </c>
      <c r="T1193" s="79" t="str">
        <f>IF(ISERROR(FIND('112'!$M$9,G1193,1)),"",IF((AND(FIND('112'!$M$9,G1193,1)&gt;=1,B1193='112'!$K$9,OR($N1193='112'!$I$6,$O1193='112'!$I$6))),"x",""))</f>
        <v/>
      </c>
      <c r="U1193" s="79" t="str">
        <f>IF(ISERROR(FIND('112'!$M$9,G1193,1)),"",IF((AND(LEFT(G1193,2)=LEFT('112'!$M$9,2),B1193&lt;'112'!$K$9,$N1193='112'!$I$6)),"x",""))</f>
        <v/>
      </c>
      <c r="V1193" s="79" t="str">
        <f>IF(ISERROR(FIND('112'!$M$9,G1193,1)),"",IF((AND(RIGHT(G1193,2)=RIGHT('112'!$M$9,2),B1193&lt;'112'!$K$9,$O1193='112'!$I$6)),"x",""))</f>
        <v/>
      </c>
      <c r="W1193" s="79" t="str">
        <f>IF(AND('341-CT'!$H$9=H1193,OR(LEFT(N1193,3)=$W$7,LEFT(O1193,3)=$W$7)),"x","")</f>
        <v/>
      </c>
      <c r="X1193" s="79" t="str">
        <f>IF(OR(TH!N1193=TH!$X$7,O1193=TH!$X$7),"x","")</f>
        <v/>
      </c>
      <c r="Y1193" s="79" t="str">
        <f>IF(AND(OR(N1193="131",O1193="131"),H1193='131-CT'!$H$9),"x","")</f>
        <v/>
      </c>
      <c r="Z1193" s="79"/>
      <c r="AA1193" s="79" t="str">
        <f>IF(AND(MONTH(E1193)='IN-NX'!$J$5,'IN-NX'!$D$7=D1193),"x","")</f>
        <v/>
      </c>
      <c r="AB1193" s="79" t="str">
        <f>IF(AND(OR(LEFT(TH!N1193,2)="15",LEFT(TH!O1193,2)="15"),LEFT(TH!O1193,3)&lt;&gt;"111",'152-CT'!$J$8=TH!F1193),"x","")</f>
        <v/>
      </c>
      <c r="AC1193" s="79" t="str">
        <f>IF(AND(OR(LEFT(TH!N1193,2)="15",LEFT(TH!O1193,2)="15"),TK!$E$7=TH!F1193),"x","")</f>
        <v/>
      </c>
      <c r="AD1193" s="79" t="str">
        <f>IF(AND(N1193="1521",MONTH(C1193)='BK-NL'!$M$11),"x","")</f>
        <v/>
      </c>
    </row>
    <row r="1194" spans="1:30" s="1102" customFormat="1" ht="17.25" customHeight="1">
      <c r="A1194" s="318" t="str">
        <f>IF(B1194&lt;&gt;"",IF(AND(B1194='IN-TC'!$S$4,OR(TH!N1194="1111",TH!O1194="1111")),TH!D1194,""),"")</f>
        <v/>
      </c>
      <c r="B1194" s="60" t="str">
        <f t="shared" si="197"/>
        <v/>
      </c>
      <c r="C1194" s="981"/>
      <c r="D1194" s="981"/>
      <c r="E1194" s="981"/>
      <c r="F1194" s="1008"/>
      <c r="G1194" s="987"/>
      <c r="H1194" s="997"/>
      <c r="I1194" s="984"/>
      <c r="J1194" s="984"/>
      <c r="K1194" s="984"/>
      <c r="L1194" s="983"/>
      <c r="M1194" s="985"/>
      <c r="N1194" s="986"/>
      <c r="O1194" s="986"/>
      <c r="P1194" s="79" t="str">
        <f>IF(AND('331-CT'!$E$7=TH!H1194,OR(N1194="331",O1194="331")),"x","")</f>
        <v/>
      </c>
      <c r="Q1194" s="79" t="str">
        <f>IF(AND(B1194='111'!$L$11,OR($N1194=$Q$7,$O1194=$Q$7)),"x","")</f>
        <v/>
      </c>
      <c r="R1194" s="79" t="str">
        <f>IF(AND($N1194=$Q$7,$B1194&lt;'111'!$L$11),"x","")</f>
        <v/>
      </c>
      <c r="S1194" s="79" t="str">
        <f>IF(AND($O1194=$Q$7,$B1194&lt;'111'!$L$11),"x","")</f>
        <v/>
      </c>
      <c r="T1194" s="79" t="str">
        <f>IF(ISERROR(FIND('112'!$M$9,G1194,1)),"",IF((AND(FIND('112'!$M$9,G1194,1)&gt;=1,B1194='112'!$K$9,OR($N1194='112'!$I$6,$O1194='112'!$I$6))),"x",""))</f>
        <v/>
      </c>
      <c r="U1194" s="79" t="str">
        <f>IF(ISERROR(FIND('112'!$M$9,G1194,1)),"",IF((AND(LEFT(G1194,2)=LEFT('112'!$M$9,2),B1194&lt;'112'!$K$9,$N1194='112'!$I$6)),"x",""))</f>
        <v/>
      </c>
      <c r="V1194" s="79" t="str">
        <f>IF(ISERROR(FIND('112'!$M$9,G1194,1)),"",IF((AND(RIGHT(G1194,2)=RIGHT('112'!$M$9,2),B1194&lt;'112'!$K$9,$O1194='112'!$I$6)),"x",""))</f>
        <v/>
      </c>
      <c r="W1194" s="79" t="str">
        <f>IF(AND('341-CT'!$H$9=H1194,OR(LEFT(N1194,3)=$W$7,LEFT(O1194,3)=$W$7)),"x","")</f>
        <v/>
      </c>
      <c r="X1194" s="79" t="str">
        <f>IF(OR(TH!N1194=TH!$X$7,O1194=TH!$X$7),"x","")</f>
        <v/>
      </c>
      <c r="Y1194" s="79" t="str">
        <f>IF(AND(OR(N1194="131",O1194="131"),H1194='131-CT'!$H$9),"x","")</f>
        <v/>
      </c>
      <c r="Z1194" s="79"/>
      <c r="AA1194" s="79" t="str">
        <f>IF(AND(MONTH(E1194)='IN-NX'!$J$5,'IN-NX'!$D$7=D1194),"x","")</f>
        <v/>
      </c>
      <c r="AB1194" s="79" t="str">
        <f>IF(AND(OR(LEFT(TH!N1194,2)="15",LEFT(TH!O1194,2)="15"),LEFT(TH!O1194,3)&lt;&gt;"111",'152-CT'!$J$8=TH!F1194),"x","")</f>
        <v/>
      </c>
      <c r="AC1194" s="79" t="str">
        <f>IF(AND(OR(LEFT(TH!N1194,2)="15",LEFT(TH!O1194,2)="15"),TK!$E$7=TH!F1194),"x","")</f>
        <v/>
      </c>
      <c r="AD1194" s="79" t="str">
        <f>IF(AND(N1194="1521",MONTH(C1194)='BK-NL'!$M$11),"x","")</f>
        <v/>
      </c>
    </row>
    <row r="1195" spans="1:30" s="1102" customFormat="1" ht="16.5" customHeight="1">
      <c r="A1195" s="318" t="str">
        <f>IF(B1195&lt;&gt;"",IF(AND(B1195='IN-TC'!$S$4,OR(TH!N1195="1111",TH!O1195="1111")),TH!D1195,""),"")</f>
        <v/>
      </c>
      <c r="B1195" s="60" t="str">
        <f t="shared" si="197"/>
        <v/>
      </c>
      <c r="C1195" s="981"/>
      <c r="D1195" s="981"/>
      <c r="E1195" s="981"/>
      <c r="F1195" s="1008"/>
      <c r="G1195" s="987"/>
      <c r="H1195" s="85"/>
      <c r="I1195" s="984"/>
      <c r="J1195" s="984"/>
      <c r="K1195" s="984"/>
      <c r="L1195" s="983"/>
      <c r="M1195" s="985"/>
      <c r="N1195" s="986"/>
      <c r="O1195" s="986"/>
      <c r="P1195" s="79" t="str">
        <f>IF(AND('331-CT'!$E$7=TH!H1195,OR(N1195="331",O1195="331")),"x","")</f>
        <v/>
      </c>
      <c r="Q1195" s="79" t="str">
        <f>IF(AND(B1195='111'!$L$11,OR($N1195=$Q$7,$O1195=$Q$7)),"x","")</f>
        <v/>
      </c>
      <c r="R1195" s="79" t="str">
        <f>IF(AND($N1195=$Q$7,$B1195&lt;'111'!$L$11),"x","")</f>
        <v/>
      </c>
      <c r="S1195" s="79" t="str">
        <f>IF(AND($O1195=$Q$7,$B1195&lt;'111'!$L$11),"x","")</f>
        <v/>
      </c>
      <c r="T1195" s="79" t="str">
        <f>IF(ISERROR(FIND('112'!$M$9,G1195,1)),"",IF((AND(FIND('112'!$M$9,G1195,1)&gt;=1,B1195='112'!$K$9,OR($N1195='112'!$I$6,$O1195='112'!$I$6))),"x",""))</f>
        <v/>
      </c>
      <c r="U1195" s="79" t="str">
        <f>IF(ISERROR(FIND('112'!$M$9,G1195,1)),"",IF((AND(LEFT(G1195,2)=LEFT('112'!$M$9,2),B1195&lt;'112'!$K$9,$N1195='112'!$I$6)),"x",""))</f>
        <v/>
      </c>
      <c r="V1195" s="79" t="str">
        <f>IF(ISERROR(FIND('112'!$M$9,G1195,1)),"",IF((AND(RIGHT(G1195,2)=RIGHT('112'!$M$9,2),B1195&lt;'112'!$K$9,$O1195='112'!$I$6)),"x",""))</f>
        <v/>
      </c>
      <c r="W1195" s="79" t="str">
        <f>IF(AND('341-CT'!$H$9=H1195,OR(LEFT(N1195,3)=$W$7,LEFT(O1195,3)=$W$7)),"x","")</f>
        <v/>
      </c>
      <c r="X1195" s="79" t="str">
        <f>IF(OR(TH!N1195=TH!$X$7,O1195=TH!$X$7),"x","")</f>
        <v/>
      </c>
      <c r="Y1195" s="79" t="str">
        <f>IF(AND(OR(N1195="131",O1195="131"),H1195='131-CT'!$H$9),"x","")</f>
        <v/>
      </c>
      <c r="Z1195" s="79"/>
      <c r="AA1195" s="79" t="str">
        <f>IF(AND(MONTH(E1195)='IN-NX'!$J$5,'IN-NX'!$D$7=D1195),"x","")</f>
        <v/>
      </c>
      <c r="AB1195" s="79" t="str">
        <f>IF(AND(OR(LEFT(TH!N1195,2)="15",LEFT(TH!O1195,2)="15"),LEFT(TH!O1195,3)&lt;&gt;"111",'152-CT'!$J$8=TH!F1195),"x","")</f>
        <v/>
      </c>
      <c r="AC1195" s="79" t="str">
        <f>IF(AND(OR(LEFT(TH!N1195,2)="15",LEFT(TH!O1195,2)="15"),TK!$E$7=TH!F1195),"x","")</f>
        <v/>
      </c>
      <c r="AD1195" s="79" t="str">
        <f>IF(AND(N1195="1521",MONTH(C1195)='BK-NL'!$M$11),"x","")</f>
        <v/>
      </c>
    </row>
    <row r="1196" spans="1:30" s="1102" customFormat="1" ht="17.25" customHeight="1">
      <c r="A1196" s="318" t="str">
        <f>IF(B1196&lt;&gt;"",IF(AND(B1196='IN-TC'!$S$4,OR(TH!N1196="1111",TH!O1196="1111")),TH!D1196,""),"")</f>
        <v/>
      </c>
      <c r="B1196" s="60" t="str">
        <f t="shared" si="197"/>
        <v/>
      </c>
      <c r="C1196" s="981"/>
      <c r="D1196" s="981"/>
      <c r="E1196" s="981"/>
      <c r="F1196" s="1008"/>
      <c r="G1196" s="987"/>
      <c r="H1196" s="997"/>
      <c r="I1196" s="984"/>
      <c r="J1196" s="984"/>
      <c r="K1196" s="984"/>
      <c r="L1196" s="983"/>
      <c r="M1196" s="985"/>
      <c r="N1196" s="986"/>
      <c r="O1196" s="986"/>
      <c r="P1196" s="79" t="str">
        <f>IF(AND('331-CT'!$E$7=TH!H1196,OR(N1196="331",O1196="331")),"x","")</f>
        <v/>
      </c>
      <c r="Q1196" s="79" t="str">
        <f>IF(AND(B1196='111'!$L$11,OR($N1196=$Q$7,$O1196=$Q$7)),"x","")</f>
        <v/>
      </c>
      <c r="R1196" s="79" t="str">
        <f>IF(AND($N1196=$Q$7,$B1196&lt;'111'!$L$11),"x","")</f>
        <v/>
      </c>
      <c r="S1196" s="79" t="str">
        <f>IF(AND($O1196=$Q$7,$B1196&lt;'111'!$L$11),"x","")</f>
        <v/>
      </c>
      <c r="T1196" s="79" t="str">
        <f>IF(ISERROR(FIND('112'!$M$9,G1196,1)),"",IF((AND(FIND('112'!$M$9,G1196,1)&gt;=1,B1196='112'!$K$9,OR($N1196='112'!$I$6,$O1196='112'!$I$6))),"x",""))</f>
        <v/>
      </c>
      <c r="U1196" s="79" t="str">
        <f>IF(ISERROR(FIND('112'!$M$9,G1196,1)),"",IF((AND(LEFT(G1196,2)=LEFT('112'!$M$9,2),B1196&lt;'112'!$K$9,$N1196='112'!$I$6)),"x",""))</f>
        <v/>
      </c>
      <c r="V1196" s="79" t="str">
        <f>IF(ISERROR(FIND('112'!$M$9,G1196,1)),"",IF((AND(RIGHT(G1196,2)=RIGHT('112'!$M$9,2),B1196&lt;'112'!$K$9,$O1196='112'!$I$6)),"x",""))</f>
        <v/>
      </c>
      <c r="W1196" s="79" t="str">
        <f>IF(AND('341-CT'!$H$9=H1196,OR(LEFT(N1196,3)=$W$7,LEFT(O1196,3)=$W$7)),"x","")</f>
        <v/>
      </c>
      <c r="X1196" s="79" t="str">
        <f>IF(OR(TH!N1196=TH!$X$7,O1196=TH!$X$7),"x","")</f>
        <v/>
      </c>
      <c r="Y1196" s="79" t="str">
        <f>IF(AND(OR(N1196="131",O1196="131"),H1196='131-CT'!$H$9),"x","")</f>
        <v/>
      </c>
      <c r="Z1196" s="79"/>
      <c r="AA1196" s="79" t="str">
        <f>IF(AND(MONTH(E1196)='IN-NX'!$J$5,'IN-NX'!$D$7=D1196),"x","")</f>
        <v/>
      </c>
      <c r="AB1196" s="79" t="str">
        <f>IF(AND(OR(LEFT(TH!N1196,2)="15",LEFT(TH!O1196,2)="15"),LEFT(TH!O1196,3)&lt;&gt;"111",'152-CT'!$J$8=TH!F1196),"x","")</f>
        <v/>
      </c>
      <c r="AC1196" s="79" t="str">
        <f>IF(AND(OR(LEFT(TH!N1196,2)="15",LEFT(TH!O1196,2)="15"),TK!$E$7=TH!F1196),"x","")</f>
        <v/>
      </c>
      <c r="AD1196" s="79" t="str">
        <f>IF(AND(N1196="1521",MONTH(C1196)='BK-NL'!$M$11),"x","")</f>
        <v/>
      </c>
    </row>
    <row r="1197" spans="1:30" s="1102" customFormat="1" ht="17.25" customHeight="1">
      <c r="A1197" s="318" t="str">
        <f>IF(B1197&lt;&gt;"",IF(AND(B1197='IN-TC'!$S$4,OR(TH!N1197="1111",TH!O1197="1111")),TH!D1197,""),"")</f>
        <v/>
      </c>
      <c r="B1197" s="60" t="str">
        <f t="shared" si="197"/>
        <v/>
      </c>
      <c r="C1197" s="981"/>
      <c r="D1197" s="981"/>
      <c r="E1197" s="981"/>
      <c r="F1197" s="1008"/>
      <c r="G1197" s="987"/>
      <c r="H1197" s="997"/>
      <c r="I1197" s="984"/>
      <c r="J1197" s="984"/>
      <c r="K1197" s="984"/>
      <c r="L1197" s="983"/>
      <c r="M1197" s="985"/>
      <c r="N1197" s="986"/>
      <c r="O1197" s="986"/>
      <c r="P1197" s="79" t="str">
        <f>IF(AND('331-CT'!$E$7=TH!H1197,OR(N1197="331",O1197="331")),"x","")</f>
        <v/>
      </c>
      <c r="Q1197" s="79" t="str">
        <f>IF(AND(B1197='111'!$L$11,OR($N1197=$Q$7,$O1197=$Q$7)),"x","")</f>
        <v/>
      </c>
      <c r="R1197" s="79" t="str">
        <f>IF(AND($N1197=$Q$7,$B1197&lt;'111'!$L$11),"x","")</f>
        <v/>
      </c>
      <c r="S1197" s="79" t="str">
        <f>IF(AND($O1197=$Q$7,$B1197&lt;'111'!$L$11),"x","")</f>
        <v/>
      </c>
      <c r="T1197" s="79" t="str">
        <f>IF(ISERROR(FIND('112'!$M$9,G1197,1)),"",IF((AND(FIND('112'!$M$9,G1197,1)&gt;=1,B1197='112'!$K$9,OR($N1197='112'!$I$6,$O1197='112'!$I$6))),"x",""))</f>
        <v/>
      </c>
      <c r="U1197" s="79" t="str">
        <f>IF(ISERROR(FIND('112'!$M$9,G1197,1)),"",IF((AND(LEFT(G1197,2)=LEFT('112'!$M$9,2),B1197&lt;'112'!$K$9,$N1197='112'!$I$6)),"x",""))</f>
        <v/>
      </c>
      <c r="V1197" s="79" t="str">
        <f>IF(ISERROR(FIND('112'!$M$9,G1197,1)),"",IF((AND(RIGHT(G1197,2)=RIGHT('112'!$M$9,2),B1197&lt;'112'!$K$9,$O1197='112'!$I$6)),"x",""))</f>
        <v/>
      </c>
      <c r="W1197" s="79" t="str">
        <f>IF(AND('341-CT'!$H$9=H1197,OR(LEFT(N1197,3)=$W$7,LEFT(O1197,3)=$W$7)),"x","")</f>
        <v/>
      </c>
      <c r="X1197" s="79" t="str">
        <f>IF(OR(TH!N1197=TH!$X$7,O1197=TH!$X$7),"x","")</f>
        <v/>
      </c>
      <c r="Y1197" s="79" t="str">
        <f>IF(AND(OR(N1197="131",O1197="131"),H1197='131-CT'!$H$9),"x","")</f>
        <v/>
      </c>
      <c r="Z1197" s="79"/>
      <c r="AA1197" s="79" t="str">
        <f>IF(AND(MONTH(E1197)='IN-NX'!$J$5,'IN-NX'!$D$7=D1197),"x","")</f>
        <v/>
      </c>
      <c r="AB1197" s="79" t="str">
        <f>IF(AND(OR(LEFT(TH!N1197,2)="15",LEFT(TH!O1197,2)="15"),LEFT(TH!O1197,3)&lt;&gt;"111",'152-CT'!$J$8=TH!F1197),"x","")</f>
        <v/>
      </c>
      <c r="AC1197" s="79" t="str">
        <f>IF(AND(OR(LEFT(TH!N1197,2)="15",LEFT(TH!O1197,2)="15"),TK!$E$7=TH!F1197),"x","")</f>
        <v/>
      </c>
      <c r="AD1197" s="79" t="str">
        <f>IF(AND(N1197="1521",MONTH(C1197)='BK-NL'!$M$11),"x","")</f>
        <v/>
      </c>
    </row>
    <row r="1198" spans="1:30" s="1102" customFormat="1" ht="16.5" customHeight="1">
      <c r="A1198" s="318" t="str">
        <f>IF(B1198&lt;&gt;"",IF(AND(B1198='IN-TC'!$S$4,OR(TH!N1198="1111",TH!O1198="1111")),TH!D1198,""),"")</f>
        <v/>
      </c>
      <c r="B1198" s="60" t="str">
        <f t="shared" si="197"/>
        <v/>
      </c>
      <c r="C1198" s="981"/>
      <c r="D1198" s="981"/>
      <c r="E1198" s="981"/>
      <c r="F1198" s="1008"/>
      <c r="G1198" s="987"/>
      <c r="H1198" s="997"/>
      <c r="I1198" s="984"/>
      <c r="J1198" s="984"/>
      <c r="K1198" s="984"/>
      <c r="L1198" s="983"/>
      <c r="M1198" s="985"/>
      <c r="N1198" s="986"/>
      <c r="O1198" s="986"/>
      <c r="P1198" s="79" t="str">
        <f>IF(AND('331-CT'!$E$7=TH!H1198,OR(N1198="331",O1198="331")),"x","")</f>
        <v/>
      </c>
      <c r="Q1198" s="79" t="str">
        <f>IF(AND(B1198='111'!$L$11,OR($N1198=$Q$7,$O1198=$Q$7)),"x","")</f>
        <v/>
      </c>
      <c r="R1198" s="79" t="str">
        <f>IF(AND($N1198=$Q$7,$B1198&lt;'111'!$L$11),"x","")</f>
        <v/>
      </c>
      <c r="S1198" s="79" t="str">
        <f>IF(AND($O1198=$Q$7,$B1198&lt;'111'!$L$11),"x","")</f>
        <v/>
      </c>
      <c r="T1198" s="79" t="str">
        <f>IF(ISERROR(FIND('112'!$M$9,G1198,1)),"",IF((AND(FIND('112'!$M$9,G1198,1)&gt;=1,B1198='112'!$K$9,OR($N1198='112'!$I$6,$O1198='112'!$I$6))),"x",""))</f>
        <v/>
      </c>
      <c r="U1198" s="79" t="str">
        <f>IF(ISERROR(FIND('112'!$M$9,G1198,1)),"",IF((AND(LEFT(G1198,2)=LEFT('112'!$M$9,2),B1198&lt;'112'!$K$9,$N1198='112'!$I$6)),"x",""))</f>
        <v/>
      </c>
      <c r="V1198" s="79" t="str">
        <f>IF(ISERROR(FIND('112'!$M$9,G1198,1)),"",IF((AND(RIGHT(G1198,2)=RIGHT('112'!$M$9,2),B1198&lt;'112'!$K$9,$O1198='112'!$I$6)),"x",""))</f>
        <v/>
      </c>
      <c r="W1198" s="79" t="str">
        <f>IF(AND('341-CT'!$H$9=H1198,OR(LEFT(N1198,3)=$W$7,LEFT(O1198,3)=$W$7)),"x","")</f>
        <v/>
      </c>
      <c r="X1198" s="79" t="str">
        <f>IF(OR(TH!N1198=TH!$X$7,O1198=TH!$X$7),"x","")</f>
        <v/>
      </c>
      <c r="Y1198" s="79" t="str">
        <f>IF(AND(OR(N1198="131",O1198="131"),H1198='131-CT'!$H$9),"x","")</f>
        <v/>
      </c>
      <c r="Z1198" s="79"/>
      <c r="AA1198" s="79" t="str">
        <f>IF(AND(MONTH(E1198)='IN-NX'!$J$5,'IN-NX'!$D$7=D1198),"x","")</f>
        <v/>
      </c>
      <c r="AB1198" s="79" t="str">
        <f>IF(AND(OR(LEFT(TH!N1198,2)="15",LEFT(TH!O1198,2)="15"),LEFT(TH!O1198,3)&lt;&gt;"111",'152-CT'!$J$8=TH!F1198),"x","")</f>
        <v/>
      </c>
      <c r="AC1198" s="79" t="str">
        <f>IF(AND(OR(LEFT(TH!N1198,2)="15",LEFT(TH!O1198,2)="15"),TK!$E$7=TH!F1198),"x","")</f>
        <v/>
      </c>
      <c r="AD1198" s="79" t="str">
        <f>IF(AND(N1198="1521",MONTH(C1198)='BK-NL'!$M$11),"x","")</f>
        <v/>
      </c>
    </row>
    <row r="1199" spans="1:30" s="1102" customFormat="1" ht="16.5" customHeight="1">
      <c r="A1199" s="318" t="str">
        <f>IF(B1199&lt;&gt;"",IF(AND(B1199='IN-TC'!$S$4,OR(TH!N1199="1111",TH!O1199="1111")),TH!D1199,""),"")</f>
        <v/>
      </c>
      <c r="B1199" s="60" t="str">
        <f t="shared" si="197"/>
        <v/>
      </c>
      <c r="C1199" s="981"/>
      <c r="D1199" s="981"/>
      <c r="E1199" s="981"/>
      <c r="F1199" s="1008"/>
      <c r="G1199" s="987"/>
      <c r="H1199" s="85"/>
      <c r="I1199" s="984"/>
      <c r="J1199" s="984"/>
      <c r="K1199" s="984"/>
      <c r="L1199" s="983"/>
      <c r="M1199" s="985"/>
      <c r="N1199" s="986"/>
      <c r="O1199" s="986"/>
      <c r="P1199" s="79" t="str">
        <f>IF(AND('331-CT'!$E$7=TH!H1199,OR(N1199="331",O1199="331")),"x","")</f>
        <v/>
      </c>
      <c r="Q1199" s="79" t="str">
        <f>IF(AND(B1199='111'!$L$11,OR($N1199=$Q$7,$O1199=$Q$7)),"x","")</f>
        <v/>
      </c>
      <c r="R1199" s="79" t="str">
        <f>IF(AND($N1199=$Q$7,$B1199&lt;'111'!$L$11),"x","")</f>
        <v/>
      </c>
      <c r="S1199" s="79" t="str">
        <f>IF(AND($O1199=$Q$7,$B1199&lt;'111'!$L$11),"x","")</f>
        <v/>
      </c>
      <c r="T1199" s="79" t="str">
        <f>IF(ISERROR(FIND('112'!$M$9,G1199,1)),"",IF((AND(FIND('112'!$M$9,G1199,1)&gt;=1,B1199='112'!$K$9,OR($N1199='112'!$I$6,$O1199='112'!$I$6))),"x",""))</f>
        <v/>
      </c>
      <c r="U1199" s="79" t="str">
        <f>IF(ISERROR(FIND('112'!$M$9,G1199,1)),"",IF((AND(LEFT(G1199,2)=LEFT('112'!$M$9,2),B1199&lt;'112'!$K$9,$N1199='112'!$I$6)),"x",""))</f>
        <v/>
      </c>
      <c r="V1199" s="79" t="str">
        <f>IF(ISERROR(FIND('112'!$M$9,G1199,1)),"",IF((AND(RIGHT(G1199,2)=RIGHT('112'!$M$9,2),B1199&lt;'112'!$K$9,$O1199='112'!$I$6)),"x",""))</f>
        <v/>
      </c>
      <c r="W1199" s="79" t="str">
        <f>IF(AND('341-CT'!$H$9=H1199,OR(LEFT(N1199,3)=$W$7,LEFT(O1199,3)=$W$7)),"x","")</f>
        <v/>
      </c>
      <c r="X1199" s="79" t="str">
        <f>IF(OR(TH!N1199=TH!$X$7,O1199=TH!$X$7),"x","")</f>
        <v/>
      </c>
      <c r="Y1199" s="79" t="str">
        <f>IF(AND(OR(N1199="131",O1199="131"),H1199='131-CT'!$H$9),"x","")</f>
        <v/>
      </c>
      <c r="Z1199" s="79"/>
      <c r="AA1199" s="79" t="str">
        <f>IF(AND(MONTH(E1199)='IN-NX'!$J$5,'IN-NX'!$D$7=D1199),"x","")</f>
        <v/>
      </c>
      <c r="AB1199" s="79" t="str">
        <f>IF(AND(OR(LEFT(TH!N1199,2)="15",LEFT(TH!O1199,2)="15"),LEFT(TH!O1199,3)&lt;&gt;"111",'152-CT'!$J$8=TH!F1199),"x","")</f>
        <v/>
      </c>
      <c r="AC1199" s="79" t="str">
        <f>IF(AND(OR(LEFT(TH!N1199,2)="15",LEFT(TH!O1199,2)="15"),TK!$E$7=TH!F1199),"x","")</f>
        <v/>
      </c>
      <c r="AD1199" s="79" t="str">
        <f>IF(AND(N1199="1521",MONTH(C1199)='BK-NL'!$M$11),"x","")</f>
        <v/>
      </c>
    </row>
    <row r="1200" spans="1:30" s="1102" customFormat="1" ht="16.5" customHeight="1">
      <c r="A1200" s="318" t="str">
        <f>IF(B1200&lt;&gt;"",IF(AND(B1200='IN-TC'!$S$4,OR(TH!N1200="1111",TH!O1200="1111")),TH!D1200,""),"")</f>
        <v/>
      </c>
      <c r="B1200" s="60" t="str">
        <f t="shared" si="197"/>
        <v/>
      </c>
      <c r="C1200" s="981"/>
      <c r="D1200" s="981"/>
      <c r="E1200" s="981"/>
      <c r="F1200" s="1008"/>
      <c r="G1200" s="987"/>
      <c r="H1200" s="85"/>
      <c r="I1200" s="984"/>
      <c r="J1200" s="984"/>
      <c r="K1200" s="984"/>
      <c r="L1200" s="983"/>
      <c r="M1200" s="985"/>
      <c r="N1200" s="986"/>
      <c r="O1200" s="986"/>
      <c r="P1200" s="79" t="str">
        <f>IF(AND('331-CT'!$E$7=TH!H1200,OR(N1200="331",O1200="331")),"x","")</f>
        <v/>
      </c>
      <c r="Q1200" s="79" t="str">
        <f>IF(AND(B1200='111'!$L$11,OR($N1200=$Q$7,$O1200=$Q$7)),"x","")</f>
        <v/>
      </c>
      <c r="R1200" s="79" t="str">
        <f>IF(AND($N1200=$Q$7,$B1200&lt;'111'!$L$11),"x","")</f>
        <v/>
      </c>
      <c r="S1200" s="79" t="str">
        <f>IF(AND($O1200=$Q$7,$B1200&lt;'111'!$L$11),"x","")</f>
        <v/>
      </c>
      <c r="T1200" s="79" t="str">
        <f>IF(ISERROR(FIND('112'!$M$9,G1200,1)),"",IF((AND(FIND('112'!$M$9,G1200,1)&gt;=1,B1200='112'!$K$9,OR($N1200='112'!$I$6,$O1200='112'!$I$6))),"x",""))</f>
        <v/>
      </c>
      <c r="U1200" s="79" t="str">
        <f>IF(ISERROR(FIND('112'!$M$9,G1200,1)),"",IF((AND(LEFT(G1200,2)=LEFT('112'!$M$9,2),B1200&lt;'112'!$K$9,$N1200='112'!$I$6)),"x",""))</f>
        <v/>
      </c>
      <c r="V1200" s="79" t="str">
        <f>IF(ISERROR(FIND('112'!$M$9,G1200,1)),"",IF((AND(RIGHT(G1200,2)=RIGHT('112'!$M$9,2),B1200&lt;'112'!$K$9,$O1200='112'!$I$6)),"x",""))</f>
        <v/>
      </c>
      <c r="W1200" s="79" t="str">
        <f>IF(AND('341-CT'!$H$9=H1200,OR(LEFT(N1200,3)=$W$7,LEFT(O1200,3)=$W$7)),"x","")</f>
        <v/>
      </c>
      <c r="X1200" s="79" t="str">
        <f>IF(OR(TH!N1200=TH!$X$7,O1200=TH!$X$7),"x","")</f>
        <v/>
      </c>
      <c r="Y1200" s="79" t="str">
        <f>IF(AND(OR(N1200="131",O1200="131"),H1200='131-CT'!$H$9),"x","")</f>
        <v/>
      </c>
      <c r="Z1200" s="79"/>
      <c r="AA1200" s="79" t="str">
        <f>IF(AND(MONTH(E1200)='IN-NX'!$J$5,'IN-NX'!$D$7=D1200),"x","")</f>
        <v/>
      </c>
      <c r="AB1200" s="79" t="str">
        <f>IF(AND(OR(LEFT(TH!N1200,2)="15",LEFT(TH!O1200,2)="15"),LEFT(TH!O1200,3)&lt;&gt;"111",'152-CT'!$J$8=TH!F1200),"x","")</f>
        <v/>
      </c>
      <c r="AC1200" s="79" t="str">
        <f>IF(AND(OR(LEFT(TH!N1200,2)="15",LEFT(TH!O1200,2)="15"),TK!$E$7=TH!F1200),"x","")</f>
        <v/>
      </c>
      <c r="AD1200" s="79" t="str">
        <f>IF(AND(N1200="1521",MONTH(C1200)='BK-NL'!$M$11),"x","")</f>
        <v/>
      </c>
    </row>
    <row r="1201" spans="1:30" s="1102" customFormat="1" ht="16.5" customHeight="1">
      <c r="A1201" s="318" t="str">
        <f>IF(B1201&lt;&gt;"",IF(AND(B1201='IN-TC'!$S$4,OR(TH!N1201="1111",TH!O1201="1111")),TH!D1201,""),"")</f>
        <v/>
      </c>
      <c r="B1201" s="60" t="str">
        <f t="shared" si="197"/>
        <v/>
      </c>
      <c r="C1201" s="981"/>
      <c r="D1201" s="981"/>
      <c r="E1201" s="981"/>
      <c r="F1201" s="1008"/>
      <c r="G1201" s="987"/>
      <c r="H1201" s="85"/>
      <c r="I1201" s="984"/>
      <c r="J1201" s="984"/>
      <c r="K1201" s="984"/>
      <c r="L1201" s="983"/>
      <c r="M1201" s="985"/>
      <c r="N1201" s="986"/>
      <c r="O1201" s="986"/>
      <c r="P1201" s="79" t="str">
        <f>IF(AND('331-CT'!$E$7=TH!H1201,OR(N1201="331",O1201="331")),"x","")</f>
        <v/>
      </c>
      <c r="Q1201" s="79" t="str">
        <f>IF(AND(B1201='111'!$L$11,OR($N1201=$Q$7,$O1201=$Q$7)),"x","")</f>
        <v/>
      </c>
      <c r="R1201" s="79" t="str">
        <f>IF(AND($N1201=$Q$7,$B1201&lt;'111'!$L$11),"x","")</f>
        <v/>
      </c>
      <c r="S1201" s="79" t="str">
        <f>IF(AND($O1201=$Q$7,$B1201&lt;'111'!$L$11),"x","")</f>
        <v/>
      </c>
      <c r="T1201" s="79" t="str">
        <f>IF(ISERROR(FIND('112'!$M$9,G1201,1)),"",IF((AND(FIND('112'!$M$9,G1201,1)&gt;=1,B1201='112'!$K$9,OR($N1201='112'!$I$6,$O1201='112'!$I$6))),"x",""))</f>
        <v/>
      </c>
      <c r="U1201" s="79" t="str">
        <f>IF(ISERROR(FIND('112'!$M$9,G1201,1)),"",IF((AND(LEFT(G1201,2)=LEFT('112'!$M$9,2),B1201&lt;'112'!$K$9,$N1201='112'!$I$6)),"x",""))</f>
        <v/>
      </c>
      <c r="V1201" s="79" t="str">
        <f>IF(ISERROR(FIND('112'!$M$9,G1201,1)),"",IF((AND(RIGHT(G1201,2)=RIGHT('112'!$M$9,2),B1201&lt;'112'!$K$9,$O1201='112'!$I$6)),"x",""))</f>
        <v/>
      </c>
      <c r="W1201" s="79" t="str">
        <f>IF(AND('341-CT'!$H$9=H1201,OR(LEFT(N1201,3)=$W$7,LEFT(O1201,3)=$W$7)),"x","")</f>
        <v/>
      </c>
      <c r="X1201" s="79" t="str">
        <f>IF(OR(TH!N1201=TH!$X$7,O1201=TH!$X$7),"x","")</f>
        <v/>
      </c>
      <c r="Y1201" s="79" t="str">
        <f>IF(AND(OR(N1201="131",O1201="131"),H1201='131-CT'!$H$9),"x","")</f>
        <v/>
      </c>
      <c r="Z1201" s="79"/>
      <c r="AA1201" s="79" t="str">
        <f>IF(AND(MONTH(E1201)='IN-NX'!$J$5,'IN-NX'!$D$7=D1201),"x","")</f>
        <v/>
      </c>
      <c r="AB1201" s="79" t="str">
        <f>IF(AND(OR(LEFT(TH!N1201,2)="15",LEFT(TH!O1201,2)="15"),LEFT(TH!O1201,3)&lt;&gt;"111",'152-CT'!$J$8=TH!F1201),"x","")</f>
        <v/>
      </c>
      <c r="AC1201" s="79" t="str">
        <f>IF(AND(OR(LEFT(TH!N1201,2)="15",LEFT(TH!O1201,2)="15"),TK!$E$7=TH!F1201),"x","")</f>
        <v/>
      </c>
      <c r="AD1201" s="79" t="str">
        <f>IF(AND(N1201="1521",MONTH(C1201)='BK-NL'!$M$11),"x","")</f>
        <v/>
      </c>
    </row>
    <row r="1202" spans="1:30" s="1102" customFormat="1" ht="16.5" customHeight="1">
      <c r="A1202" s="318" t="str">
        <f>IF(B1202&lt;&gt;"",IF(AND(B1202='IN-TC'!$S$4,OR(TH!N1202="1111",TH!O1202="1111")),TH!D1202,""),"")</f>
        <v/>
      </c>
      <c r="B1202" s="60" t="str">
        <f t="shared" si="197"/>
        <v/>
      </c>
      <c r="C1202" s="981"/>
      <c r="D1202" s="981"/>
      <c r="E1202" s="981"/>
      <c r="F1202" s="1008"/>
      <c r="G1202" s="987"/>
      <c r="H1202" s="85"/>
      <c r="I1202" s="984"/>
      <c r="J1202" s="984"/>
      <c r="K1202" s="984"/>
      <c r="L1202" s="983"/>
      <c r="M1202" s="985"/>
      <c r="N1202" s="986"/>
      <c r="O1202" s="986"/>
      <c r="P1202" s="79" t="str">
        <f>IF(AND('331-CT'!$E$7=TH!H1202,OR(N1202="331",O1202="331")),"x","")</f>
        <v/>
      </c>
      <c r="Q1202" s="79" t="str">
        <f>IF(AND(B1202='111'!$L$11,OR($N1202=$Q$7,$O1202=$Q$7)),"x","")</f>
        <v/>
      </c>
      <c r="R1202" s="79" t="str">
        <f>IF(AND($N1202=$Q$7,$B1202&lt;'111'!$L$11),"x","")</f>
        <v/>
      </c>
      <c r="S1202" s="79" t="str">
        <f>IF(AND($O1202=$Q$7,$B1202&lt;'111'!$L$11),"x","")</f>
        <v/>
      </c>
      <c r="T1202" s="79" t="str">
        <f>IF(ISERROR(FIND('112'!$M$9,G1202,1)),"",IF((AND(FIND('112'!$M$9,G1202,1)&gt;=1,B1202='112'!$K$9,OR($N1202='112'!$I$6,$O1202='112'!$I$6))),"x",""))</f>
        <v/>
      </c>
      <c r="U1202" s="79" t="str">
        <f>IF(ISERROR(FIND('112'!$M$9,G1202,1)),"",IF((AND(LEFT(G1202,2)=LEFT('112'!$M$9,2),B1202&lt;'112'!$K$9,$N1202='112'!$I$6)),"x",""))</f>
        <v/>
      </c>
      <c r="V1202" s="79" t="str">
        <f>IF(ISERROR(FIND('112'!$M$9,G1202,1)),"",IF((AND(RIGHT(G1202,2)=RIGHT('112'!$M$9,2),B1202&lt;'112'!$K$9,$O1202='112'!$I$6)),"x",""))</f>
        <v/>
      </c>
      <c r="W1202" s="79" t="str">
        <f>IF(AND('341-CT'!$H$9=H1202,OR(LEFT(N1202,3)=$W$7,LEFT(O1202,3)=$W$7)),"x","")</f>
        <v/>
      </c>
      <c r="X1202" s="79" t="str">
        <f>IF(OR(TH!N1202=TH!$X$7,O1202=TH!$X$7),"x","")</f>
        <v/>
      </c>
      <c r="Y1202" s="79" t="str">
        <f>IF(AND(OR(N1202="131",O1202="131"),H1202='131-CT'!$H$9),"x","")</f>
        <v/>
      </c>
      <c r="Z1202" s="79"/>
      <c r="AA1202" s="79" t="str">
        <f>IF(AND(MONTH(E1202)='IN-NX'!$J$5,'IN-NX'!$D$7=D1202),"x","")</f>
        <v/>
      </c>
      <c r="AB1202" s="79" t="str">
        <f>IF(AND(OR(LEFT(TH!N1202,2)="15",LEFT(TH!O1202,2)="15"),LEFT(TH!O1202,3)&lt;&gt;"111",'152-CT'!$J$8=TH!F1202),"x","")</f>
        <v/>
      </c>
      <c r="AC1202" s="79" t="str">
        <f>IF(AND(OR(LEFT(TH!N1202,2)="15",LEFT(TH!O1202,2)="15"),TK!$E$7=TH!F1202),"x","")</f>
        <v/>
      </c>
      <c r="AD1202" s="79" t="str">
        <f>IF(AND(N1202="1521",MONTH(C1202)='BK-NL'!$M$11),"x","")</f>
        <v/>
      </c>
    </row>
    <row r="1203" spans="1:30" s="1102" customFormat="1" ht="16.5" customHeight="1">
      <c r="A1203" s="318" t="str">
        <f>IF(B1203&lt;&gt;"",IF(AND(B1203='IN-TC'!$S$4,OR(TH!N1203="1111",TH!O1203="1111")),TH!D1203,""),"")</f>
        <v/>
      </c>
      <c r="B1203" s="60" t="str">
        <f t="shared" si="197"/>
        <v/>
      </c>
      <c r="C1203" s="981"/>
      <c r="D1203" s="981"/>
      <c r="E1203" s="981"/>
      <c r="F1203" s="1008"/>
      <c r="G1203" s="987"/>
      <c r="H1203" s="997"/>
      <c r="I1203" s="984"/>
      <c r="J1203" s="984"/>
      <c r="K1203" s="984"/>
      <c r="L1203" s="983"/>
      <c r="M1203" s="985"/>
      <c r="N1203" s="986"/>
      <c r="O1203" s="986"/>
      <c r="P1203" s="79" t="str">
        <f>IF(AND('331-CT'!$E$7=TH!H1203,OR(N1203="331",O1203="331")),"x","")</f>
        <v/>
      </c>
      <c r="Q1203" s="79" t="str">
        <f>IF(AND(B1203='111'!$L$11,OR($N1203=$Q$7,$O1203=$Q$7)),"x","")</f>
        <v/>
      </c>
      <c r="R1203" s="79" t="str">
        <f>IF(AND($N1203=$Q$7,$B1203&lt;'111'!$L$11),"x","")</f>
        <v/>
      </c>
      <c r="S1203" s="79" t="str">
        <f>IF(AND($O1203=$Q$7,$B1203&lt;'111'!$L$11),"x","")</f>
        <v/>
      </c>
      <c r="T1203" s="79" t="str">
        <f>IF(ISERROR(FIND('112'!$M$9,G1203,1)),"",IF((AND(FIND('112'!$M$9,G1203,1)&gt;=1,B1203='112'!$K$9,OR($N1203='112'!$I$6,$O1203='112'!$I$6))),"x",""))</f>
        <v/>
      </c>
      <c r="U1203" s="79" t="str">
        <f>IF(ISERROR(FIND('112'!$M$9,G1203,1)),"",IF((AND(LEFT(G1203,2)=LEFT('112'!$M$9,2),B1203&lt;'112'!$K$9,$N1203='112'!$I$6)),"x",""))</f>
        <v/>
      </c>
      <c r="V1203" s="79" t="str">
        <f>IF(ISERROR(FIND('112'!$M$9,G1203,1)),"",IF((AND(RIGHT(G1203,2)=RIGHT('112'!$M$9,2),B1203&lt;'112'!$K$9,$O1203='112'!$I$6)),"x",""))</f>
        <v/>
      </c>
      <c r="W1203" s="79" t="str">
        <f>IF(AND('341-CT'!$H$9=H1203,OR(LEFT(N1203,3)=$W$7,LEFT(O1203,3)=$W$7)),"x","")</f>
        <v/>
      </c>
      <c r="X1203" s="79" t="str">
        <f>IF(OR(TH!N1203=TH!$X$7,O1203=TH!$X$7),"x","")</f>
        <v/>
      </c>
      <c r="Y1203" s="79" t="str">
        <f>IF(AND(OR(N1203="131",O1203="131"),H1203='131-CT'!$H$9),"x","")</f>
        <v/>
      </c>
      <c r="Z1203" s="79"/>
      <c r="AA1203" s="79" t="str">
        <f>IF(AND(MONTH(E1203)='IN-NX'!$J$5,'IN-NX'!$D$7=D1203),"x","")</f>
        <v/>
      </c>
      <c r="AB1203" s="79" t="str">
        <f>IF(AND(OR(LEFT(TH!N1203,2)="15",LEFT(TH!O1203,2)="15"),LEFT(TH!O1203,3)&lt;&gt;"111",'152-CT'!$J$8=TH!F1203),"x","")</f>
        <v/>
      </c>
      <c r="AC1203" s="79" t="str">
        <f>IF(AND(OR(LEFT(TH!N1203,2)="15",LEFT(TH!O1203,2)="15"),TK!$E$7=TH!F1203),"x","")</f>
        <v/>
      </c>
      <c r="AD1203" s="79" t="str">
        <f>IF(AND(N1203="1521",MONTH(C1203)='BK-NL'!$M$11),"x","")</f>
        <v/>
      </c>
    </row>
    <row r="1204" spans="1:30" s="1102" customFormat="1" ht="16.5" customHeight="1">
      <c r="A1204" s="318" t="str">
        <f>IF(B1204&lt;&gt;"",IF(AND(B1204='IN-TC'!$S$4,OR(TH!N1204="1111",TH!O1204="1111")),TH!D1204,""),"")</f>
        <v/>
      </c>
      <c r="B1204" s="60" t="str">
        <f t="shared" si="197"/>
        <v/>
      </c>
      <c r="C1204" s="981"/>
      <c r="D1204" s="981"/>
      <c r="E1204" s="981"/>
      <c r="F1204" s="1008"/>
      <c r="G1204" s="987"/>
      <c r="H1204" s="997"/>
      <c r="I1204" s="984"/>
      <c r="J1204" s="984"/>
      <c r="K1204" s="984"/>
      <c r="L1204" s="983"/>
      <c r="M1204" s="985"/>
      <c r="N1204" s="986"/>
      <c r="O1204" s="986"/>
      <c r="P1204" s="79" t="str">
        <f>IF(AND('331-CT'!$E$7=TH!H1204,OR(N1204="331",O1204="331")),"x","")</f>
        <v/>
      </c>
      <c r="Q1204" s="79" t="str">
        <f>IF(AND(B1204='111'!$L$11,OR($N1204=$Q$7,$O1204=$Q$7)),"x","")</f>
        <v/>
      </c>
      <c r="R1204" s="79" t="str">
        <f>IF(AND($N1204=$Q$7,$B1204&lt;'111'!$L$11),"x","")</f>
        <v/>
      </c>
      <c r="S1204" s="79" t="str">
        <f>IF(AND($O1204=$Q$7,$B1204&lt;'111'!$L$11),"x","")</f>
        <v/>
      </c>
      <c r="T1204" s="79" t="str">
        <f>IF(ISERROR(FIND('112'!$M$9,G1204,1)),"",IF((AND(FIND('112'!$M$9,G1204,1)&gt;=1,B1204='112'!$K$9,OR($N1204='112'!$I$6,$O1204='112'!$I$6))),"x",""))</f>
        <v/>
      </c>
      <c r="U1204" s="79" t="str">
        <f>IF(ISERROR(FIND('112'!$M$9,G1204,1)),"",IF((AND(LEFT(G1204,2)=LEFT('112'!$M$9,2),B1204&lt;'112'!$K$9,$N1204='112'!$I$6)),"x",""))</f>
        <v/>
      </c>
      <c r="V1204" s="79" t="str">
        <f>IF(ISERROR(FIND('112'!$M$9,G1204,1)),"",IF((AND(RIGHT(G1204,2)=RIGHT('112'!$M$9,2),B1204&lt;'112'!$K$9,$O1204='112'!$I$6)),"x",""))</f>
        <v/>
      </c>
      <c r="W1204" s="79" t="str">
        <f>IF(AND('341-CT'!$H$9=H1204,OR(LEFT(N1204,3)=$W$7,LEFT(O1204,3)=$W$7)),"x","")</f>
        <v/>
      </c>
      <c r="X1204" s="79" t="str">
        <f>IF(OR(TH!N1204=TH!$X$7,O1204=TH!$X$7),"x","")</f>
        <v/>
      </c>
      <c r="Y1204" s="79" t="str">
        <f>IF(AND(OR(N1204="131",O1204="131"),H1204='131-CT'!$H$9),"x","")</f>
        <v/>
      </c>
      <c r="Z1204" s="79"/>
      <c r="AA1204" s="79" t="str">
        <f>IF(AND(MONTH(E1204)='IN-NX'!$J$5,'IN-NX'!$D$7=D1204),"x","")</f>
        <v/>
      </c>
      <c r="AB1204" s="79" t="str">
        <f>IF(AND(OR(LEFT(TH!N1204,2)="15",LEFT(TH!O1204,2)="15"),LEFT(TH!O1204,3)&lt;&gt;"111",'152-CT'!$J$8=TH!F1204),"x","")</f>
        <v/>
      </c>
      <c r="AC1204" s="79" t="str">
        <f>IF(AND(OR(LEFT(TH!N1204,2)="15",LEFT(TH!O1204,2)="15"),TK!$E$7=TH!F1204),"x","")</f>
        <v/>
      </c>
      <c r="AD1204" s="79" t="str">
        <f>IF(AND(N1204="1521",MONTH(C1204)='BK-NL'!$M$11),"x","")</f>
        <v/>
      </c>
    </row>
    <row r="1205" spans="1:30" s="1102" customFormat="1" ht="16.5" customHeight="1">
      <c r="A1205" s="318" t="str">
        <f>IF(B1205&lt;&gt;"",IF(AND(B1205='IN-TC'!$S$4,OR(TH!N1205="1111",TH!O1205="1111")),TH!D1205,""),"")</f>
        <v/>
      </c>
      <c r="B1205" s="60" t="str">
        <f t="shared" si="197"/>
        <v/>
      </c>
      <c r="C1205" s="981"/>
      <c r="D1205" s="981"/>
      <c r="E1205" s="981"/>
      <c r="F1205" s="1008"/>
      <c r="G1205" s="987"/>
      <c r="H1205" s="997"/>
      <c r="I1205" s="984"/>
      <c r="J1205" s="984"/>
      <c r="K1205" s="984"/>
      <c r="L1205" s="983"/>
      <c r="M1205" s="985"/>
      <c r="N1205" s="986"/>
      <c r="O1205" s="986"/>
      <c r="P1205" s="79" t="str">
        <f>IF(AND('331-CT'!$E$7=TH!H1205,OR(N1205="331",O1205="331")),"x","")</f>
        <v/>
      </c>
      <c r="Q1205" s="79" t="str">
        <f>IF(AND(B1205='111'!$L$11,OR($N1205=$Q$7,$O1205=$Q$7)),"x","")</f>
        <v/>
      </c>
      <c r="R1205" s="79" t="str">
        <f>IF(AND($N1205=$Q$7,$B1205&lt;'111'!$L$11),"x","")</f>
        <v/>
      </c>
      <c r="S1205" s="79" t="str">
        <f>IF(AND($O1205=$Q$7,$B1205&lt;'111'!$L$11),"x","")</f>
        <v/>
      </c>
      <c r="T1205" s="79" t="str">
        <f>IF(ISERROR(FIND('112'!$M$9,G1205,1)),"",IF((AND(FIND('112'!$M$9,G1205,1)&gt;=1,B1205='112'!$K$9,OR($N1205='112'!$I$6,$O1205='112'!$I$6))),"x",""))</f>
        <v/>
      </c>
      <c r="U1205" s="79" t="str">
        <f>IF(ISERROR(FIND('112'!$M$9,G1205,1)),"",IF((AND(LEFT(G1205,2)=LEFT('112'!$M$9,2),B1205&lt;'112'!$K$9,$N1205='112'!$I$6)),"x",""))</f>
        <v/>
      </c>
      <c r="V1205" s="79" t="str">
        <f>IF(ISERROR(FIND('112'!$M$9,G1205,1)),"",IF((AND(RIGHT(G1205,2)=RIGHT('112'!$M$9,2),B1205&lt;'112'!$K$9,$O1205='112'!$I$6)),"x",""))</f>
        <v/>
      </c>
      <c r="W1205" s="79" t="str">
        <f>IF(AND('341-CT'!$H$9=H1205,OR(LEFT(N1205,3)=$W$7,LEFT(O1205,3)=$W$7)),"x","")</f>
        <v/>
      </c>
      <c r="X1205" s="79" t="str">
        <f>IF(OR(TH!N1205=TH!$X$7,O1205=TH!$X$7),"x","")</f>
        <v/>
      </c>
      <c r="Y1205" s="79" t="str">
        <f>IF(AND(OR(N1205="131",O1205="131"),H1205='131-CT'!$H$9),"x","")</f>
        <v/>
      </c>
      <c r="Z1205" s="79"/>
      <c r="AA1205" s="79" t="str">
        <f>IF(AND(MONTH(E1205)='IN-NX'!$J$5,'IN-NX'!$D$7=D1205),"x","")</f>
        <v/>
      </c>
      <c r="AB1205" s="79" t="str">
        <f>IF(AND(OR(LEFT(TH!N1205,2)="15",LEFT(TH!O1205,2)="15"),LEFT(TH!O1205,3)&lt;&gt;"111",'152-CT'!$J$8=TH!F1205),"x","")</f>
        <v/>
      </c>
      <c r="AC1205" s="79" t="str">
        <f>IF(AND(OR(LEFT(TH!N1205,2)="15",LEFT(TH!O1205,2)="15"),TK!$E$7=TH!F1205),"x","")</f>
        <v/>
      </c>
      <c r="AD1205" s="79" t="str">
        <f>IF(AND(N1205="1521",MONTH(C1205)='BK-NL'!$M$11),"x","")</f>
        <v/>
      </c>
    </row>
    <row r="1206" spans="1:30" s="1102" customFormat="1" ht="16.5" customHeight="1">
      <c r="A1206" s="318" t="str">
        <f>IF(B1206&lt;&gt;"",IF(AND(B1206='IN-TC'!$S$4,OR(TH!N1206="1111",TH!O1206="1111")),TH!D1206,""),"")</f>
        <v/>
      </c>
      <c r="B1206" s="60" t="str">
        <f t="shared" si="197"/>
        <v/>
      </c>
      <c r="C1206" s="981"/>
      <c r="D1206" s="981"/>
      <c r="E1206" s="981"/>
      <c r="F1206" s="1008"/>
      <c r="G1206" s="987"/>
      <c r="H1206" s="997"/>
      <c r="I1206" s="984"/>
      <c r="J1206" s="984"/>
      <c r="K1206" s="984"/>
      <c r="L1206" s="983"/>
      <c r="M1206" s="985"/>
      <c r="N1206" s="986"/>
      <c r="O1206" s="986"/>
      <c r="P1206" s="79" t="str">
        <f>IF(AND('331-CT'!$E$7=TH!H1206,OR(N1206="331",O1206="331")),"x","")</f>
        <v/>
      </c>
      <c r="Q1206" s="79" t="str">
        <f>IF(AND(B1206='111'!$L$11,OR($N1206=$Q$7,$O1206=$Q$7)),"x","")</f>
        <v/>
      </c>
      <c r="R1206" s="79" t="str">
        <f>IF(AND($N1206=$Q$7,$B1206&lt;'111'!$L$11),"x","")</f>
        <v/>
      </c>
      <c r="S1206" s="79" t="str">
        <f>IF(AND($O1206=$Q$7,$B1206&lt;'111'!$L$11),"x","")</f>
        <v/>
      </c>
      <c r="T1206" s="79" t="str">
        <f>IF(ISERROR(FIND('112'!$M$9,G1206,1)),"",IF((AND(FIND('112'!$M$9,G1206,1)&gt;=1,B1206='112'!$K$9,OR($N1206='112'!$I$6,$O1206='112'!$I$6))),"x",""))</f>
        <v/>
      </c>
      <c r="U1206" s="79" t="str">
        <f>IF(ISERROR(FIND('112'!$M$9,G1206,1)),"",IF((AND(LEFT(G1206,2)=LEFT('112'!$M$9,2),B1206&lt;'112'!$K$9,$N1206='112'!$I$6)),"x",""))</f>
        <v/>
      </c>
      <c r="V1206" s="79" t="str">
        <f>IF(ISERROR(FIND('112'!$M$9,G1206,1)),"",IF((AND(RIGHT(G1206,2)=RIGHT('112'!$M$9,2),B1206&lt;'112'!$K$9,$O1206='112'!$I$6)),"x",""))</f>
        <v/>
      </c>
      <c r="W1206" s="79" t="str">
        <f>IF(AND('341-CT'!$H$9=H1206,OR(LEFT(N1206,3)=$W$7,LEFT(O1206,3)=$W$7)),"x","")</f>
        <v/>
      </c>
      <c r="X1206" s="79" t="str">
        <f>IF(OR(TH!N1206=TH!$X$7,O1206=TH!$X$7),"x","")</f>
        <v/>
      </c>
      <c r="Y1206" s="79" t="str">
        <f>IF(AND(OR(N1206="131",O1206="131"),H1206='131-CT'!$H$9),"x","")</f>
        <v/>
      </c>
      <c r="Z1206" s="79"/>
      <c r="AA1206" s="79" t="str">
        <f>IF(AND(MONTH(E1206)='IN-NX'!$J$5,'IN-NX'!$D$7=D1206),"x","")</f>
        <v/>
      </c>
      <c r="AB1206" s="79" t="str">
        <f>IF(AND(OR(LEFT(TH!N1206,2)="15",LEFT(TH!O1206,2)="15"),LEFT(TH!O1206,3)&lt;&gt;"111",'152-CT'!$J$8=TH!F1206),"x","")</f>
        <v/>
      </c>
      <c r="AC1206" s="79" t="str">
        <f>IF(AND(OR(LEFT(TH!N1206,2)="15",LEFT(TH!O1206,2)="15"),TK!$E$7=TH!F1206),"x","")</f>
        <v/>
      </c>
      <c r="AD1206" s="79" t="str">
        <f>IF(AND(N1206="1521",MONTH(C1206)='BK-NL'!$M$11),"x","")</f>
        <v/>
      </c>
    </row>
    <row r="1207" spans="1:30" s="1102" customFormat="1" ht="16.5" customHeight="1">
      <c r="A1207" s="318" t="str">
        <f>IF(B1207&lt;&gt;"",IF(AND(B1207='IN-TC'!$S$4,OR(TH!N1207="1111",TH!O1207="1111")),TH!D1207,""),"")</f>
        <v/>
      </c>
      <c r="B1207" s="60" t="str">
        <f t="shared" si="197"/>
        <v/>
      </c>
      <c r="C1207" s="981"/>
      <c r="D1207" s="981"/>
      <c r="E1207" s="981"/>
      <c r="F1207" s="1008"/>
      <c r="G1207" s="987"/>
      <c r="H1207" s="997"/>
      <c r="I1207" s="984"/>
      <c r="J1207" s="984"/>
      <c r="K1207" s="984"/>
      <c r="L1207" s="983"/>
      <c r="M1207" s="985"/>
      <c r="N1207" s="986"/>
      <c r="O1207" s="986"/>
      <c r="P1207" s="79" t="str">
        <f>IF(AND('331-CT'!$E$7=TH!H1207,OR(N1207="331",O1207="331")),"x","")</f>
        <v/>
      </c>
      <c r="Q1207" s="79" t="str">
        <f>IF(AND(B1207='111'!$L$11,OR($N1207=$Q$7,$O1207=$Q$7)),"x","")</f>
        <v/>
      </c>
      <c r="R1207" s="79" t="str">
        <f>IF(AND($N1207=$Q$7,$B1207&lt;'111'!$L$11),"x","")</f>
        <v/>
      </c>
      <c r="S1207" s="79" t="str">
        <f>IF(AND($O1207=$Q$7,$B1207&lt;'111'!$L$11),"x","")</f>
        <v/>
      </c>
      <c r="T1207" s="79" t="str">
        <f>IF(ISERROR(FIND('112'!$M$9,G1207,1)),"",IF((AND(FIND('112'!$M$9,G1207,1)&gt;=1,B1207='112'!$K$9,OR($N1207='112'!$I$6,$O1207='112'!$I$6))),"x",""))</f>
        <v/>
      </c>
      <c r="U1207" s="79" t="str">
        <f>IF(ISERROR(FIND('112'!$M$9,G1207,1)),"",IF((AND(LEFT(G1207,2)=LEFT('112'!$M$9,2),B1207&lt;'112'!$K$9,$N1207='112'!$I$6)),"x",""))</f>
        <v/>
      </c>
      <c r="V1207" s="79" t="str">
        <f>IF(ISERROR(FIND('112'!$M$9,G1207,1)),"",IF((AND(RIGHT(G1207,2)=RIGHT('112'!$M$9,2),B1207&lt;'112'!$K$9,$O1207='112'!$I$6)),"x",""))</f>
        <v/>
      </c>
      <c r="W1207" s="79" t="str">
        <f>IF(AND('341-CT'!$H$9=H1207,OR(LEFT(N1207,3)=$W$7,LEFT(O1207,3)=$W$7)),"x","")</f>
        <v/>
      </c>
      <c r="X1207" s="79" t="str">
        <f>IF(OR(TH!N1207=TH!$X$7,O1207=TH!$X$7),"x","")</f>
        <v/>
      </c>
      <c r="Y1207" s="79" t="str">
        <f>IF(AND(OR(N1207="131",O1207="131"),H1207='131-CT'!$H$9),"x","")</f>
        <v/>
      </c>
      <c r="Z1207" s="79"/>
      <c r="AA1207" s="79" t="str">
        <f>IF(AND(MONTH(E1207)='IN-NX'!$J$5,'IN-NX'!$D$7=D1207),"x","")</f>
        <v/>
      </c>
      <c r="AB1207" s="79" t="str">
        <f>IF(AND(OR(LEFT(TH!N1207,2)="15",LEFT(TH!O1207,2)="15"),LEFT(TH!O1207,3)&lt;&gt;"111",'152-CT'!$J$8=TH!F1207),"x","")</f>
        <v/>
      </c>
      <c r="AC1207" s="79" t="str">
        <f>IF(AND(OR(LEFT(TH!N1207,2)="15",LEFT(TH!O1207,2)="15"),TK!$E$7=TH!F1207),"x","")</f>
        <v/>
      </c>
      <c r="AD1207" s="79" t="str">
        <f>IF(AND(N1207="1521",MONTH(C1207)='BK-NL'!$M$11),"x","")</f>
        <v/>
      </c>
    </row>
    <row r="1208" spans="1:30" s="1102" customFormat="1" ht="16.5" customHeight="1">
      <c r="A1208" s="318" t="str">
        <f>IF(B1208&lt;&gt;"",IF(AND(B1208='IN-TC'!$S$4,OR(TH!N1208="1111",TH!O1208="1111")),TH!D1208,""),"")</f>
        <v/>
      </c>
      <c r="B1208" s="60" t="str">
        <f t="shared" si="197"/>
        <v/>
      </c>
      <c r="C1208" s="981"/>
      <c r="D1208" s="981"/>
      <c r="E1208" s="981"/>
      <c r="F1208" s="1008"/>
      <c r="G1208" s="987"/>
      <c r="H1208" s="997"/>
      <c r="I1208" s="984"/>
      <c r="J1208" s="984"/>
      <c r="K1208" s="984"/>
      <c r="L1208" s="983"/>
      <c r="M1208" s="985"/>
      <c r="N1208" s="986"/>
      <c r="O1208" s="986"/>
      <c r="P1208" s="79" t="str">
        <f>IF(AND('331-CT'!$E$7=TH!H1208,OR(N1208="331",O1208="331")),"x","")</f>
        <v/>
      </c>
      <c r="Q1208" s="79" t="str">
        <f>IF(AND(B1208='111'!$L$11,OR($N1208=$Q$7,$O1208=$Q$7)),"x","")</f>
        <v/>
      </c>
      <c r="R1208" s="79" t="str">
        <f>IF(AND($N1208=$Q$7,$B1208&lt;'111'!$L$11),"x","")</f>
        <v/>
      </c>
      <c r="S1208" s="79" t="str">
        <f>IF(AND($O1208=$Q$7,$B1208&lt;'111'!$L$11),"x","")</f>
        <v/>
      </c>
      <c r="T1208" s="79" t="str">
        <f>IF(ISERROR(FIND('112'!$M$9,G1208,1)),"",IF((AND(FIND('112'!$M$9,G1208,1)&gt;=1,B1208='112'!$K$9,OR($N1208='112'!$I$6,$O1208='112'!$I$6))),"x",""))</f>
        <v/>
      </c>
      <c r="U1208" s="79" t="str">
        <f>IF(ISERROR(FIND('112'!$M$9,G1208,1)),"",IF((AND(LEFT(G1208,2)=LEFT('112'!$M$9,2),B1208&lt;'112'!$K$9,$N1208='112'!$I$6)),"x",""))</f>
        <v/>
      </c>
      <c r="V1208" s="79" t="str">
        <f>IF(ISERROR(FIND('112'!$M$9,G1208,1)),"",IF((AND(RIGHT(G1208,2)=RIGHT('112'!$M$9,2),B1208&lt;'112'!$K$9,$O1208='112'!$I$6)),"x",""))</f>
        <v/>
      </c>
      <c r="W1208" s="79" t="str">
        <f>IF(AND('341-CT'!$H$9=H1208,OR(LEFT(N1208,3)=$W$7,LEFT(O1208,3)=$W$7)),"x","")</f>
        <v/>
      </c>
      <c r="X1208" s="79" t="str">
        <f>IF(OR(TH!N1208=TH!$X$7,O1208=TH!$X$7),"x","")</f>
        <v/>
      </c>
      <c r="Y1208" s="79" t="str">
        <f>IF(AND(OR(N1208="131",O1208="131"),H1208='131-CT'!$H$9),"x","")</f>
        <v/>
      </c>
      <c r="Z1208" s="79"/>
      <c r="AA1208" s="79" t="str">
        <f>IF(AND(MONTH(E1208)='IN-NX'!$J$5,'IN-NX'!$D$7=D1208),"x","")</f>
        <v/>
      </c>
      <c r="AB1208" s="79" t="str">
        <f>IF(AND(OR(LEFT(TH!N1208,2)="15",LEFT(TH!O1208,2)="15"),LEFT(TH!O1208,3)&lt;&gt;"111",'152-CT'!$J$8=TH!F1208),"x","")</f>
        <v/>
      </c>
      <c r="AC1208" s="79" t="str">
        <f>IF(AND(OR(LEFT(TH!N1208,2)="15",LEFT(TH!O1208,2)="15"),TK!$E$7=TH!F1208),"x","")</f>
        <v/>
      </c>
      <c r="AD1208" s="79" t="str">
        <f>IF(AND(N1208="1521",MONTH(C1208)='BK-NL'!$M$11),"x","")</f>
        <v/>
      </c>
    </row>
    <row r="1209" spans="1:30" s="1102" customFormat="1" ht="16.5" customHeight="1">
      <c r="A1209" s="318" t="str">
        <f>IF(B1209&lt;&gt;"",IF(AND(B1209='IN-TC'!$S$4,OR(TH!N1209="1111",TH!O1209="1111")),TH!D1209,""),"")</f>
        <v/>
      </c>
      <c r="B1209" s="60" t="str">
        <f t="shared" si="197"/>
        <v/>
      </c>
      <c r="C1209" s="981"/>
      <c r="D1209" s="981"/>
      <c r="E1209" s="981"/>
      <c r="F1209" s="1008"/>
      <c r="G1209" s="987"/>
      <c r="H1209" s="997"/>
      <c r="I1209" s="984"/>
      <c r="J1209" s="984"/>
      <c r="K1209" s="984"/>
      <c r="L1209" s="983"/>
      <c r="M1209" s="985"/>
      <c r="N1209" s="986"/>
      <c r="O1209" s="986"/>
      <c r="P1209" s="79" t="str">
        <f>IF(AND('331-CT'!$E$7=TH!H1209,OR(N1209="331",O1209="331")),"x","")</f>
        <v/>
      </c>
      <c r="Q1209" s="79" t="str">
        <f>IF(AND(B1209='111'!$L$11,OR($N1209=$Q$7,$O1209=$Q$7)),"x","")</f>
        <v/>
      </c>
      <c r="R1209" s="79" t="str">
        <f>IF(AND($N1209=$Q$7,$B1209&lt;'111'!$L$11),"x","")</f>
        <v/>
      </c>
      <c r="S1209" s="79" t="str">
        <f>IF(AND($O1209=$Q$7,$B1209&lt;'111'!$L$11),"x","")</f>
        <v/>
      </c>
      <c r="T1209" s="79" t="str">
        <f>IF(ISERROR(FIND('112'!$M$9,G1209,1)),"",IF((AND(FIND('112'!$M$9,G1209,1)&gt;=1,B1209='112'!$K$9,OR($N1209='112'!$I$6,$O1209='112'!$I$6))),"x",""))</f>
        <v/>
      </c>
      <c r="U1209" s="79" t="str">
        <f>IF(ISERROR(FIND('112'!$M$9,G1209,1)),"",IF((AND(LEFT(G1209,2)=LEFT('112'!$M$9,2),B1209&lt;'112'!$K$9,$N1209='112'!$I$6)),"x",""))</f>
        <v/>
      </c>
      <c r="V1209" s="79" t="str">
        <f>IF(ISERROR(FIND('112'!$M$9,G1209,1)),"",IF((AND(RIGHT(G1209,2)=RIGHT('112'!$M$9,2),B1209&lt;'112'!$K$9,$O1209='112'!$I$6)),"x",""))</f>
        <v/>
      </c>
      <c r="W1209" s="79" t="str">
        <f>IF(AND('341-CT'!$H$9=H1209,OR(LEFT(N1209,3)=$W$7,LEFT(O1209,3)=$W$7)),"x","")</f>
        <v/>
      </c>
      <c r="X1209" s="79" t="str">
        <f>IF(OR(TH!N1209=TH!$X$7,O1209=TH!$X$7),"x","")</f>
        <v/>
      </c>
      <c r="Y1209" s="79" t="str">
        <f>IF(AND(OR(N1209="131",O1209="131"),H1209='131-CT'!$H$9),"x","")</f>
        <v/>
      </c>
      <c r="Z1209" s="79"/>
      <c r="AA1209" s="79" t="str">
        <f>IF(AND(MONTH(E1209)='IN-NX'!$J$5,'IN-NX'!$D$7=D1209),"x","")</f>
        <v/>
      </c>
      <c r="AB1209" s="79" t="str">
        <f>IF(AND(OR(LEFT(TH!N1209,2)="15",LEFT(TH!O1209,2)="15"),LEFT(TH!O1209,3)&lt;&gt;"111",'152-CT'!$J$8=TH!F1209),"x","")</f>
        <v/>
      </c>
      <c r="AC1209" s="79" t="str">
        <f>IF(AND(OR(LEFT(TH!N1209,2)="15",LEFT(TH!O1209,2)="15"),TK!$E$7=TH!F1209),"x","")</f>
        <v/>
      </c>
      <c r="AD1209" s="79" t="str">
        <f>IF(AND(N1209="1521",MONTH(C1209)='BK-NL'!$M$11),"x","")</f>
        <v/>
      </c>
    </row>
    <row r="1210" spans="1:30" s="1102" customFormat="1" ht="16.5" customHeight="1">
      <c r="A1210" s="318" t="str">
        <f>IF(B1210&lt;&gt;"",IF(AND(B1210='IN-TC'!$S$4,OR(TH!N1210="1111",TH!O1210="1111")),TH!D1210,""),"")</f>
        <v/>
      </c>
      <c r="B1210" s="60" t="str">
        <f t="shared" si="197"/>
        <v/>
      </c>
      <c r="C1210" s="981"/>
      <c r="D1210" s="981"/>
      <c r="E1210" s="981"/>
      <c r="F1210" s="1008"/>
      <c r="G1210" s="987"/>
      <c r="H1210" s="997"/>
      <c r="I1210" s="984"/>
      <c r="J1210" s="984"/>
      <c r="K1210" s="984"/>
      <c r="L1210" s="983"/>
      <c r="M1210" s="985"/>
      <c r="N1210" s="986"/>
      <c r="O1210" s="986"/>
      <c r="P1210" s="79" t="str">
        <f>IF(AND('331-CT'!$E$7=TH!H1210,OR(N1210="331",O1210="331")),"x","")</f>
        <v/>
      </c>
      <c r="Q1210" s="79" t="str">
        <f>IF(AND(B1210='111'!$L$11,OR($N1210=$Q$7,$O1210=$Q$7)),"x","")</f>
        <v/>
      </c>
      <c r="R1210" s="79" t="str">
        <f>IF(AND($N1210=$Q$7,$B1210&lt;'111'!$L$11),"x","")</f>
        <v/>
      </c>
      <c r="S1210" s="79" t="str">
        <f>IF(AND($O1210=$Q$7,$B1210&lt;'111'!$L$11),"x","")</f>
        <v/>
      </c>
      <c r="T1210" s="79" t="str">
        <f>IF(ISERROR(FIND('112'!$M$9,G1210,1)),"",IF((AND(FIND('112'!$M$9,G1210,1)&gt;=1,B1210='112'!$K$9,OR($N1210='112'!$I$6,$O1210='112'!$I$6))),"x",""))</f>
        <v/>
      </c>
      <c r="U1210" s="79" t="str">
        <f>IF(ISERROR(FIND('112'!$M$9,G1210,1)),"",IF((AND(LEFT(G1210,2)=LEFT('112'!$M$9,2),B1210&lt;'112'!$K$9,$N1210='112'!$I$6)),"x",""))</f>
        <v/>
      </c>
      <c r="V1210" s="79" t="str">
        <f>IF(ISERROR(FIND('112'!$M$9,G1210,1)),"",IF((AND(RIGHT(G1210,2)=RIGHT('112'!$M$9,2),B1210&lt;'112'!$K$9,$O1210='112'!$I$6)),"x",""))</f>
        <v/>
      </c>
      <c r="W1210" s="79" t="str">
        <f>IF(AND('341-CT'!$H$9=H1210,OR(LEFT(N1210,3)=$W$7,LEFT(O1210,3)=$W$7)),"x","")</f>
        <v/>
      </c>
      <c r="X1210" s="79" t="str">
        <f>IF(OR(TH!N1210=TH!$X$7,O1210=TH!$X$7),"x","")</f>
        <v/>
      </c>
      <c r="Y1210" s="79" t="str">
        <f>IF(AND(OR(N1210="131",O1210="131"),H1210='131-CT'!$H$9),"x","")</f>
        <v/>
      </c>
      <c r="Z1210" s="79"/>
      <c r="AA1210" s="79" t="str">
        <f>IF(AND(MONTH(E1210)='IN-NX'!$J$5,'IN-NX'!$D$7=D1210),"x","")</f>
        <v/>
      </c>
      <c r="AB1210" s="79" t="str">
        <f>IF(AND(OR(LEFT(TH!N1210,2)="15",LEFT(TH!O1210,2)="15"),LEFT(TH!O1210,3)&lt;&gt;"111",'152-CT'!$J$8=TH!F1210),"x","")</f>
        <v/>
      </c>
      <c r="AC1210" s="79" t="str">
        <f>IF(AND(OR(LEFT(TH!N1210,2)="15",LEFT(TH!O1210,2)="15"),TK!$E$7=TH!F1210),"x","")</f>
        <v/>
      </c>
      <c r="AD1210" s="79" t="str">
        <f>IF(AND(N1210="1521",MONTH(C1210)='BK-NL'!$M$11),"x","")</f>
        <v/>
      </c>
    </row>
    <row r="1211" spans="1:30" s="1102" customFormat="1" ht="16.5" customHeight="1">
      <c r="A1211" s="318" t="str">
        <f>IF(B1211&lt;&gt;"",IF(AND(B1211='IN-TC'!$S$4,OR(TH!N1211="1111",TH!O1211="1111")),TH!D1211,""),"")</f>
        <v/>
      </c>
      <c r="B1211" s="60" t="str">
        <f t="shared" si="197"/>
        <v/>
      </c>
      <c r="C1211" s="981"/>
      <c r="D1211" s="981"/>
      <c r="E1211" s="981"/>
      <c r="F1211" s="1008"/>
      <c r="G1211" s="987"/>
      <c r="H1211" s="997"/>
      <c r="I1211" s="984"/>
      <c r="J1211" s="984"/>
      <c r="K1211" s="984"/>
      <c r="L1211" s="983"/>
      <c r="M1211" s="985"/>
      <c r="N1211" s="986"/>
      <c r="O1211" s="986"/>
      <c r="P1211" s="79" t="str">
        <f>IF(AND('331-CT'!$E$7=TH!H1211,OR(N1211="331",O1211="331")),"x","")</f>
        <v/>
      </c>
      <c r="Q1211" s="79" t="str">
        <f>IF(AND(B1211='111'!$L$11,OR($N1211=$Q$7,$O1211=$Q$7)),"x","")</f>
        <v/>
      </c>
      <c r="R1211" s="79" t="str">
        <f>IF(AND($N1211=$Q$7,$B1211&lt;'111'!$L$11),"x","")</f>
        <v/>
      </c>
      <c r="S1211" s="79" t="str">
        <f>IF(AND($O1211=$Q$7,$B1211&lt;'111'!$L$11),"x","")</f>
        <v/>
      </c>
      <c r="T1211" s="79" t="str">
        <f>IF(ISERROR(FIND('112'!$M$9,G1211,1)),"",IF((AND(FIND('112'!$M$9,G1211,1)&gt;=1,B1211='112'!$K$9,OR($N1211='112'!$I$6,$O1211='112'!$I$6))),"x",""))</f>
        <v/>
      </c>
      <c r="U1211" s="79" t="str">
        <f>IF(ISERROR(FIND('112'!$M$9,G1211,1)),"",IF((AND(LEFT(G1211,2)=LEFT('112'!$M$9,2),B1211&lt;'112'!$K$9,$N1211='112'!$I$6)),"x",""))</f>
        <v/>
      </c>
      <c r="V1211" s="79" t="str">
        <f>IF(ISERROR(FIND('112'!$M$9,G1211,1)),"",IF((AND(RIGHT(G1211,2)=RIGHT('112'!$M$9,2),B1211&lt;'112'!$K$9,$O1211='112'!$I$6)),"x",""))</f>
        <v/>
      </c>
      <c r="W1211" s="79" t="str">
        <f>IF(AND('341-CT'!$H$9=H1211,OR(LEFT(N1211,3)=$W$7,LEFT(O1211,3)=$W$7)),"x","")</f>
        <v/>
      </c>
      <c r="X1211" s="79" t="str">
        <f>IF(OR(TH!N1211=TH!$X$7,O1211=TH!$X$7),"x","")</f>
        <v/>
      </c>
      <c r="Y1211" s="79" t="str">
        <f>IF(AND(OR(N1211="131",O1211="131"),H1211='131-CT'!$H$9),"x","")</f>
        <v/>
      </c>
      <c r="Z1211" s="79"/>
      <c r="AA1211" s="79" t="str">
        <f>IF(AND(MONTH(E1211)='IN-NX'!$J$5,'IN-NX'!$D$7=D1211),"x","")</f>
        <v/>
      </c>
      <c r="AB1211" s="79" t="str">
        <f>IF(AND(OR(LEFT(TH!N1211,2)="15",LEFT(TH!O1211,2)="15"),LEFT(TH!O1211,3)&lt;&gt;"111",'152-CT'!$J$8=TH!F1211),"x","")</f>
        <v/>
      </c>
      <c r="AC1211" s="79" t="str">
        <f>IF(AND(OR(LEFT(TH!N1211,2)="15",LEFT(TH!O1211,2)="15"),TK!$E$7=TH!F1211),"x","")</f>
        <v/>
      </c>
      <c r="AD1211" s="79" t="str">
        <f>IF(AND(N1211="1521",MONTH(C1211)='BK-NL'!$M$11),"x","")</f>
        <v/>
      </c>
    </row>
    <row r="1212" spans="1:30" s="1102" customFormat="1" ht="16.5" customHeight="1">
      <c r="A1212" s="318" t="str">
        <f>IF(B1212&lt;&gt;"",IF(AND(B1212='IN-TC'!$S$4,OR(TH!N1212="1111",TH!O1212="1111")),TH!D1212,""),"")</f>
        <v/>
      </c>
      <c r="B1212" s="60" t="str">
        <f t="shared" si="197"/>
        <v/>
      </c>
      <c r="C1212" s="981"/>
      <c r="D1212" s="981"/>
      <c r="E1212" s="981"/>
      <c r="F1212" s="1008"/>
      <c r="G1212" s="987"/>
      <c r="H1212" s="997"/>
      <c r="I1212" s="984"/>
      <c r="J1212" s="984"/>
      <c r="K1212" s="984"/>
      <c r="L1212" s="983"/>
      <c r="M1212" s="985"/>
      <c r="N1212" s="986"/>
      <c r="O1212" s="986"/>
      <c r="P1212" s="79" t="str">
        <f>IF(AND('331-CT'!$E$7=TH!H1212,OR(N1212="331",O1212="331")),"x","")</f>
        <v/>
      </c>
      <c r="Q1212" s="79" t="str">
        <f>IF(AND(B1212='111'!$L$11,OR($N1212=$Q$7,$O1212=$Q$7)),"x","")</f>
        <v/>
      </c>
      <c r="R1212" s="79" t="str">
        <f>IF(AND($N1212=$Q$7,$B1212&lt;'111'!$L$11),"x","")</f>
        <v/>
      </c>
      <c r="S1212" s="79" t="str">
        <f>IF(AND($O1212=$Q$7,$B1212&lt;'111'!$L$11),"x","")</f>
        <v/>
      </c>
      <c r="T1212" s="79" t="str">
        <f>IF(ISERROR(FIND('112'!$M$9,G1212,1)),"",IF((AND(FIND('112'!$M$9,G1212,1)&gt;=1,B1212='112'!$K$9,OR($N1212='112'!$I$6,$O1212='112'!$I$6))),"x",""))</f>
        <v/>
      </c>
      <c r="U1212" s="79" t="str">
        <f>IF(ISERROR(FIND('112'!$M$9,G1212,1)),"",IF((AND(LEFT(G1212,2)=LEFT('112'!$M$9,2),B1212&lt;'112'!$K$9,$N1212='112'!$I$6)),"x",""))</f>
        <v/>
      </c>
      <c r="V1212" s="79" t="str">
        <f>IF(ISERROR(FIND('112'!$M$9,G1212,1)),"",IF((AND(RIGHT(G1212,2)=RIGHT('112'!$M$9,2),B1212&lt;'112'!$K$9,$O1212='112'!$I$6)),"x",""))</f>
        <v/>
      </c>
      <c r="W1212" s="79" t="str">
        <f>IF(AND('341-CT'!$H$9=H1212,OR(LEFT(N1212,3)=$W$7,LEFT(O1212,3)=$W$7)),"x","")</f>
        <v/>
      </c>
      <c r="X1212" s="79" t="str">
        <f>IF(OR(TH!N1212=TH!$X$7,O1212=TH!$X$7),"x","")</f>
        <v/>
      </c>
      <c r="Y1212" s="79" t="str">
        <f>IF(AND(OR(N1212="131",O1212="131"),H1212='131-CT'!$H$9),"x","")</f>
        <v/>
      </c>
      <c r="Z1212" s="79"/>
      <c r="AA1212" s="79" t="str">
        <f>IF(AND(MONTH(E1212)='IN-NX'!$J$5,'IN-NX'!$D$7=D1212),"x","")</f>
        <v/>
      </c>
      <c r="AB1212" s="79" t="str">
        <f>IF(AND(OR(LEFT(TH!N1212,2)="15",LEFT(TH!O1212,2)="15"),LEFT(TH!O1212,3)&lt;&gt;"111",'152-CT'!$J$8=TH!F1212),"x","")</f>
        <v/>
      </c>
      <c r="AC1212" s="79" t="str">
        <f>IF(AND(OR(LEFT(TH!N1212,2)="15",LEFT(TH!O1212,2)="15"),TK!$E$7=TH!F1212),"x","")</f>
        <v/>
      </c>
      <c r="AD1212" s="79" t="str">
        <f>IF(AND(N1212="1521",MONTH(C1212)='BK-NL'!$M$11),"x","")</f>
        <v/>
      </c>
    </row>
    <row r="1213" spans="1:30" s="1102" customFormat="1" ht="16.5" customHeight="1">
      <c r="A1213" s="318" t="str">
        <f>IF(B1213&lt;&gt;"",IF(AND(B1213='IN-TC'!$S$4,OR(TH!N1213="1111",TH!O1213="1111")),TH!D1213,""),"")</f>
        <v/>
      </c>
      <c r="B1213" s="60" t="str">
        <f t="shared" si="197"/>
        <v/>
      </c>
      <c r="C1213" s="981"/>
      <c r="D1213" s="981"/>
      <c r="E1213" s="981"/>
      <c r="F1213" s="1008"/>
      <c r="G1213" s="987"/>
      <c r="H1213" s="997"/>
      <c r="I1213" s="984"/>
      <c r="J1213" s="984"/>
      <c r="K1213" s="984"/>
      <c r="L1213" s="983"/>
      <c r="M1213" s="985"/>
      <c r="N1213" s="986"/>
      <c r="O1213" s="986"/>
      <c r="P1213" s="79" t="str">
        <f>IF(AND('331-CT'!$E$7=TH!H1213,OR(N1213="331",O1213="331")),"x","")</f>
        <v/>
      </c>
      <c r="Q1213" s="79" t="str">
        <f>IF(AND(B1213='111'!$L$11,OR($N1213=$Q$7,$O1213=$Q$7)),"x","")</f>
        <v/>
      </c>
      <c r="R1213" s="79" t="str">
        <f>IF(AND($N1213=$Q$7,$B1213&lt;'111'!$L$11),"x","")</f>
        <v/>
      </c>
      <c r="S1213" s="79" t="str">
        <f>IF(AND($O1213=$Q$7,$B1213&lt;'111'!$L$11),"x","")</f>
        <v/>
      </c>
      <c r="T1213" s="79" t="str">
        <f>IF(ISERROR(FIND('112'!$M$9,G1213,1)),"",IF((AND(FIND('112'!$M$9,G1213,1)&gt;=1,B1213='112'!$K$9,OR($N1213='112'!$I$6,$O1213='112'!$I$6))),"x",""))</f>
        <v/>
      </c>
      <c r="U1213" s="79" t="str">
        <f>IF(ISERROR(FIND('112'!$M$9,G1213,1)),"",IF((AND(LEFT(G1213,2)=LEFT('112'!$M$9,2),B1213&lt;'112'!$K$9,$N1213='112'!$I$6)),"x",""))</f>
        <v/>
      </c>
      <c r="V1213" s="79" t="str">
        <f>IF(ISERROR(FIND('112'!$M$9,G1213,1)),"",IF((AND(RIGHT(G1213,2)=RIGHT('112'!$M$9,2),B1213&lt;'112'!$K$9,$O1213='112'!$I$6)),"x",""))</f>
        <v/>
      </c>
      <c r="W1213" s="79" t="str">
        <f>IF(AND('341-CT'!$H$9=H1213,OR(LEFT(N1213,3)=$W$7,LEFT(O1213,3)=$W$7)),"x","")</f>
        <v/>
      </c>
      <c r="X1213" s="79" t="str">
        <f>IF(OR(TH!N1213=TH!$X$7,O1213=TH!$X$7),"x","")</f>
        <v/>
      </c>
      <c r="Y1213" s="79" t="str">
        <f>IF(AND(OR(N1213="131",O1213="131"),H1213='131-CT'!$H$9),"x","")</f>
        <v/>
      </c>
      <c r="Z1213" s="79"/>
      <c r="AA1213" s="79" t="str">
        <f>IF(AND(MONTH(E1213)='IN-NX'!$J$5,'IN-NX'!$D$7=D1213),"x","")</f>
        <v/>
      </c>
      <c r="AB1213" s="79" t="str">
        <f>IF(AND(OR(LEFT(TH!N1213,2)="15",LEFT(TH!O1213,2)="15"),LEFT(TH!O1213,3)&lt;&gt;"111",'152-CT'!$J$8=TH!F1213),"x","")</f>
        <v/>
      </c>
      <c r="AC1213" s="79" t="str">
        <f>IF(AND(OR(LEFT(TH!N1213,2)="15",LEFT(TH!O1213,2)="15"),TK!$E$7=TH!F1213),"x","")</f>
        <v/>
      </c>
      <c r="AD1213" s="79" t="str">
        <f>IF(AND(N1213="1521",MONTH(C1213)='BK-NL'!$M$11),"x","")</f>
        <v/>
      </c>
    </row>
    <row r="1214" spans="1:30" s="1102" customFormat="1" ht="16.5" customHeight="1">
      <c r="A1214" s="318" t="str">
        <f>IF(B1214&lt;&gt;"",IF(AND(B1214='IN-TC'!$S$4,OR(TH!N1214="1111",TH!O1214="1111")),TH!D1214,""),"")</f>
        <v/>
      </c>
      <c r="B1214" s="60" t="str">
        <f t="shared" si="197"/>
        <v/>
      </c>
      <c r="C1214" s="981"/>
      <c r="D1214" s="981"/>
      <c r="E1214" s="981"/>
      <c r="F1214" s="1008"/>
      <c r="G1214" s="987"/>
      <c r="H1214" s="997"/>
      <c r="I1214" s="984"/>
      <c r="J1214" s="984"/>
      <c r="K1214" s="984"/>
      <c r="L1214" s="983"/>
      <c r="M1214" s="985"/>
      <c r="N1214" s="986"/>
      <c r="O1214" s="986"/>
      <c r="P1214" s="79" t="str">
        <f>IF(AND('331-CT'!$E$7=TH!H1214,OR(N1214="331",O1214="331")),"x","")</f>
        <v/>
      </c>
      <c r="Q1214" s="79" t="str">
        <f>IF(AND(B1214='111'!$L$11,OR($N1214=$Q$7,$O1214=$Q$7)),"x","")</f>
        <v/>
      </c>
      <c r="R1214" s="79" t="str">
        <f>IF(AND($N1214=$Q$7,$B1214&lt;'111'!$L$11),"x","")</f>
        <v/>
      </c>
      <c r="S1214" s="79" t="str">
        <f>IF(AND($O1214=$Q$7,$B1214&lt;'111'!$L$11),"x","")</f>
        <v/>
      </c>
      <c r="T1214" s="79" t="str">
        <f>IF(ISERROR(FIND('112'!$M$9,G1214,1)),"",IF((AND(FIND('112'!$M$9,G1214,1)&gt;=1,B1214='112'!$K$9,OR($N1214='112'!$I$6,$O1214='112'!$I$6))),"x",""))</f>
        <v/>
      </c>
      <c r="U1214" s="79" t="str">
        <f>IF(ISERROR(FIND('112'!$M$9,G1214,1)),"",IF((AND(LEFT(G1214,2)=LEFT('112'!$M$9,2),B1214&lt;'112'!$K$9,$N1214='112'!$I$6)),"x",""))</f>
        <v/>
      </c>
      <c r="V1214" s="79" t="str">
        <f>IF(ISERROR(FIND('112'!$M$9,G1214,1)),"",IF((AND(RIGHT(G1214,2)=RIGHT('112'!$M$9,2),B1214&lt;'112'!$K$9,$O1214='112'!$I$6)),"x",""))</f>
        <v/>
      </c>
      <c r="W1214" s="79" t="str">
        <f>IF(AND('341-CT'!$H$9=H1214,OR(LEFT(N1214,3)=$W$7,LEFT(O1214,3)=$W$7)),"x","")</f>
        <v/>
      </c>
      <c r="X1214" s="79" t="str">
        <f>IF(OR(TH!N1214=TH!$X$7,O1214=TH!$X$7),"x","")</f>
        <v/>
      </c>
      <c r="Y1214" s="79" t="str">
        <f>IF(AND(OR(N1214="131",O1214="131"),H1214='131-CT'!$H$9),"x","")</f>
        <v/>
      </c>
      <c r="Z1214" s="79"/>
      <c r="AA1214" s="79" t="str">
        <f>IF(AND(MONTH(E1214)='IN-NX'!$J$5,'IN-NX'!$D$7=D1214),"x","")</f>
        <v/>
      </c>
      <c r="AB1214" s="79" t="str">
        <f>IF(AND(OR(LEFT(TH!N1214,2)="15",LEFT(TH!O1214,2)="15"),LEFT(TH!O1214,3)&lt;&gt;"111",'152-CT'!$J$8=TH!F1214),"x","")</f>
        <v/>
      </c>
      <c r="AC1214" s="79" t="str">
        <f>IF(AND(OR(LEFT(TH!N1214,2)="15",LEFT(TH!O1214,2)="15"),TK!$E$7=TH!F1214),"x","")</f>
        <v/>
      </c>
      <c r="AD1214" s="79" t="str">
        <f>IF(AND(N1214="1521",MONTH(C1214)='BK-NL'!$M$11),"x","")</f>
        <v/>
      </c>
    </row>
    <row r="1215" spans="1:30" s="1102" customFormat="1" ht="16.5" customHeight="1">
      <c r="A1215" s="318" t="str">
        <f>IF(B1215&lt;&gt;"",IF(AND(B1215='IN-TC'!$S$4,OR(TH!N1215="1111",TH!O1215="1111")),TH!D1215,""),"")</f>
        <v/>
      </c>
      <c r="B1215" s="60" t="str">
        <f t="shared" si="197"/>
        <v/>
      </c>
      <c r="C1215" s="981"/>
      <c r="D1215" s="981"/>
      <c r="E1215" s="981"/>
      <c r="F1215" s="1008"/>
      <c r="G1215" s="987"/>
      <c r="H1215" s="997"/>
      <c r="I1215" s="984"/>
      <c r="J1215" s="984"/>
      <c r="K1215" s="984"/>
      <c r="L1215" s="983"/>
      <c r="M1215" s="985"/>
      <c r="N1215" s="986"/>
      <c r="O1215" s="986"/>
      <c r="P1215" s="79" t="str">
        <f>IF(AND('331-CT'!$E$7=TH!H1215,OR(N1215="331",O1215="331")),"x","")</f>
        <v/>
      </c>
      <c r="Q1215" s="79" t="str">
        <f>IF(AND(B1215='111'!$L$11,OR($N1215=$Q$7,$O1215=$Q$7)),"x","")</f>
        <v/>
      </c>
      <c r="R1215" s="79" t="str">
        <f>IF(AND($N1215=$Q$7,$B1215&lt;'111'!$L$11),"x","")</f>
        <v/>
      </c>
      <c r="S1215" s="79" t="str">
        <f>IF(AND($O1215=$Q$7,$B1215&lt;'111'!$L$11),"x","")</f>
        <v/>
      </c>
      <c r="T1215" s="79" t="str">
        <f>IF(ISERROR(FIND('112'!$M$9,G1215,1)),"",IF((AND(FIND('112'!$M$9,G1215,1)&gt;=1,B1215='112'!$K$9,OR($N1215='112'!$I$6,$O1215='112'!$I$6))),"x",""))</f>
        <v/>
      </c>
      <c r="U1215" s="79" t="str">
        <f>IF(ISERROR(FIND('112'!$M$9,G1215,1)),"",IF((AND(LEFT(G1215,2)=LEFT('112'!$M$9,2),B1215&lt;'112'!$K$9,$N1215='112'!$I$6)),"x",""))</f>
        <v/>
      </c>
      <c r="V1215" s="79" t="str">
        <f>IF(ISERROR(FIND('112'!$M$9,G1215,1)),"",IF((AND(RIGHT(G1215,2)=RIGHT('112'!$M$9,2),B1215&lt;'112'!$K$9,$O1215='112'!$I$6)),"x",""))</f>
        <v/>
      </c>
      <c r="W1215" s="79" t="str">
        <f>IF(AND('341-CT'!$H$9=H1215,OR(LEFT(N1215,3)=$W$7,LEFT(O1215,3)=$W$7)),"x","")</f>
        <v/>
      </c>
      <c r="X1215" s="79" t="str">
        <f>IF(OR(TH!N1215=TH!$X$7,O1215=TH!$X$7),"x","")</f>
        <v/>
      </c>
      <c r="Y1215" s="79" t="str">
        <f>IF(AND(OR(N1215="131",O1215="131"),H1215='131-CT'!$H$9),"x","")</f>
        <v/>
      </c>
      <c r="Z1215" s="79"/>
      <c r="AA1215" s="79" t="str">
        <f>IF(AND(MONTH(E1215)='IN-NX'!$J$5,'IN-NX'!$D$7=D1215),"x","")</f>
        <v/>
      </c>
      <c r="AB1215" s="79" t="str">
        <f>IF(AND(OR(LEFT(TH!N1215,2)="15",LEFT(TH!O1215,2)="15"),LEFT(TH!O1215,3)&lt;&gt;"111",'152-CT'!$J$8=TH!F1215),"x","")</f>
        <v/>
      </c>
      <c r="AC1215" s="79" t="str">
        <f>IF(AND(OR(LEFT(TH!N1215,2)="15",LEFT(TH!O1215,2)="15"),TK!$E$7=TH!F1215),"x","")</f>
        <v/>
      </c>
      <c r="AD1215" s="79" t="str">
        <f>IF(AND(N1215="1521",MONTH(C1215)='BK-NL'!$M$11),"x","")</f>
        <v/>
      </c>
    </row>
    <row r="1216" spans="1:30" s="1102" customFormat="1" ht="16.5" customHeight="1">
      <c r="A1216" s="318" t="str">
        <f>IF(B1216&lt;&gt;"",IF(AND(B1216='IN-TC'!$S$4,OR(TH!N1216="1111",TH!O1216="1111")),TH!D1216,""),"")</f>
        <v/>
      </c>
      <c r="B1216" s="60" t="str">
        <f t="shared" si="197"/>
        <v/>
      </c>
      <c r="C1216" s="981"/>
      <c r="D1216" s="981"/>
      <c r="E1216" s="981"/>
      <c r="F1216" s="1008"/>
      <c r="G1216" s="987"/>
      <c r="H1216" s="997"/>
      <c r="I1216" s="984"/>
      <c r="J1216" s="984"/>
      <c r="K1216" s="984"/>
      <c r="L1216" s="983"/>
      <c r="M1216" s="985"/>
      <c r="N1216" s="986"/>
      <c r="O1216" s="986"/>
      <c r="P1216" s="79" t="str">
        <f>IF(AND('331-CT'!$E$7=TH!H1216,OR(N1216="331",O1216="331")),"x","")</f>
        <v/>
      </c>
      <c r="Q1216" s="79" t="str">
        <f>IF(AND(B1216='111'!$L$11,OR($N1216=$Q$7,$O1216=$Q$7)),"x","")</f>
        <v/>
      </c>
      <c r="R1216" s="79" t="str">
        <f>IF(AND($N1216=$Q$7,$B1216&lt;'111'!$L$11),"x","")</f>
        <v/>
      </c>
      <c r="S1216" s="79" t="str">
        <f>IF(AND($O1216=$Q$7,$B1216&lt;'111'!$L$11),"x","")</f>
        <v/>
      </c>
      <c r="T1216" s="79" t="str">
        <f>IF(ISERROR(FIND('112'!$M$9,G1216,1)),"",IF((AND(FIND('112'!$M$9,G1216,1)&gt;=1,B1216='112'!$K$9,OR($N1216='112'!$I$6,$O1216='112'!$I$6))),"x",""))</f>
        <v/>
      </c>
      <c r="U1216" s="79" t="str">
        <f>IF(ISERROR(FIND('112'!$M$9,G1216,1)),"",IF((AND(LEFT(G1216,2)=LEFT('112'!$M$9,2),B1216&lt;'112'!$K$9,$N1216='112'!$I$6)),"x",""))</f>
        <v/>
      </c>
      <c r="V1216" s="79" t="str">
        <f>IF(ISERROR(FIND('112'!$M$9,G1216,1)),"",IF((AND(RIGHT(G1216,2)=RIGHT('112'!$M$9,2),B1216&lt;'112'!$K$9,$O1216='112'!$I$6)),"x",""))</f>
        <v/>
      </c>
      <c r="W1216" s="79" t="str">
        <f>IF(AND('341-CT'!$H$9=H1216,OR(LEFT(N1216,3)=$W$7,LEFT(O1216,3)=$W$7)),"x","")</f>
        <v/>
      </c>
      <c r="X1216" s="79" t="str">
        <f>IF(OR(TH!N1216=TH!$X$7,O1216=TH!$X$7),"x","")</f>
        <v/>
      </c>
      <c r="Y1216" s="79" t="str">
        <f>IF(AND(OR(N1216="131",O1216="131"),H1216='131-CT'!$H$9),"x","")</f>
        <v/>
      </c>
      <c r="Z1216" s="79"/>
      <c r="AA1216" s="79" t="str">
        <f>IF(AND(MONTH(E1216)='IN-NX'!$J$5,'IN-NX'!$D$7=D1216),"x","")</f>
        <v/>
      </c>
      <c r="AB1216" s="79" t="str">
        <f>IF(AND(OR(LEFT(TH!N1216,2)="15",LEFT(TH!O1216,2)="15"),LEFT(TH!O1216,3)&lt;&gt;"111",'152-CT'!$J$8=TH!F1216),"x","")</f>
        <v/>
      </c>
      <c r="AC1216" s="79" t="str">
        <f>IF(AND(OR(LEFT(TH!N1216,2)="15",LEFT(TH!O1216,2)="15"),TK!$E$7=TH!F1216),"x","")</f>
        <v/>
      </c>
      <c r="AD1216" s="79" t="str">
        <f>IF(AND(N1216="1521",MONTH(C1216)='BK-NL'!$M$11),"x","")</f>
        <v/>
      </c>
    </row>
    <row r="1217" spans="1:30" s="1102" customFormat="1" ht="16.5" customHeight="1">
      <c r="A1217" s="318" t="str">
        <f>IF(B1217&lt;&gt;"",IF(AND(B1217='IN-TC'!$S$4,OR(TH!N1217="1111",TH!O1217="1111")),TH!D1217,""),"")</f>
        <v/>
      </c>
      <c r="B1217" s="60" t="str">
        <f t="shared" si="197"/>
        <v/>
      </c>
      <c r="C1217" s="981"/>
      <c r="D1217" s="981"/>
      <c r="E1217" s="981"/>
      <c r="F1217" s="1008"/>
      <c r="G1217" s="987"/>
      <c r="H1217" s="997"/>
      <c r="I1217" s="984"/>
      <c r="J1217" s="984"/>
      <c r="K1217" s="984"/>
      <c r="L1217" s="983"/>
      <c r="M1217" s="985"/>
      <c r="N1217" s="986"/>
      <c r="O1217" s="986"/>
      <c r="P1217" s="79" t="str">
        <f>IF(AND('331-CT'!$E$7=TH!H1217,OR(N1217="331",O1217="331")),"x","")</f>
        <v/>
      </c>
      <c r="Q1217" s="79" t="str">
        <f>IF(AND(B1217='111'!$L$11,OR($N1217=$Q$7,$O1217=$Q$7)),"x","")</f>
        <v/>
      </c>
      <c r="R1217" s="79" t="str">
        <f>IF(AND($N1217=$Q$7,$B1217&lt;'111'!$L$11),"x","")</f>
        <v/>
      </c>
      <c r="S1217" s="79" t="str">
        <f>IF(AND($O1217=$Q$7,$B1217&lt;'111'!$L$11),"x","")</f>
        <v/>
      </c>
      <c r="T1217" s="79" t="str">
        <f>IF(ISERROR(FIND('112'!$M$9,G1217,1)),"",IF((AND(FIND('112'!$M$9,G1217,1)&gt;=1,B1217='112'!$K$9,OR($N1217='112'!$I$6,$O1217='112'!$I$6))),"x",""))</f>
        <v/>
      </c>
      <c r="U1217" s="79" t="str">
        <f>IF(ISERROR(FIND('112'!$M$9,G1217,1)),"",IF((AND(LEFT(G1217,2)=LEFT('112'!$M$9,2),B1217&lt;'112'!$K$9,$N1217='112'!$I$6)),"x",""))</f>
        <v/>
      </c>
      <c r="V1217" s="79" t="str">
        <f>IF(ISERROR(FIND('112'!$M$9,G1217,1)),"",IF((AND(RIGHT(G1217,2)=RIGHT('112'!$M$9,2),B1217&lt;'112'!$K$9,$O1217='112'!$I$6)),"x",""))</f>
        <v/>
      </c>
      <c r="W1217" s="79" t="str">
        <f>IF(AND('341-CT'!$H$9=H1217,OR(LEFT(N1217,3)=$W$7,LEFT(O1217,3)=$W$7)),"x","")</f>
        <v/>
      </c>
      <c r="X1217" s="79" t="str">
        <f>IF(OR(TH!N1217=TH!$X$7,O1217=TH!$X$7),"x","")</f>
        <v/>
      </c>
      <c r="Y1217" s="79" t="str">
        <f>IF(AND(OR(N1217="131",O1217="131"),H1217='131-CT'!$H$9),"x","")</f>
        <v/>
      </c>
      <c r="Z1217" s="79"/>
      <c r="AA1217" s="79" t="str">
        <f>IF(AND(MONTH(E1217)='IN-NX'!$J$5,'IN-NX'!$D$7=D1217),"x","")</f>
        <v/>
      </c>
      <c r="AB1217" s="79" t="str">
        <f>IF(AND(OR(LEFT(TH!N1217,2)="15",LEFT(TH!O1217,2)="15"),LEFT(TH!O1217,3)&lt;&gt;"111",'152-CT'!$J$8=TH!F1217),"x","")</f>
        <v/>
      </c>
      <c r="AC1217" s="79" t="str">
        <f>IF(AND(OR(LEFT(TH!N1217,2)="15",LEFT(TH!O1217,2)="15"),TK!$E$7=TH!F1217),"x","")</f>
        <v/>
      </c>
      <c r="AD1217" s="79" t="str">
        <f>IF(AND(N1217="1521",MONTH(C1217)='BK-NL'!$M$11),"x","")</f>
        <v/>
      </c>
    </row>
    <row r="1218" spans="1:30" s="1102" customFormat="1" ht="16.5" customHeight="1">
      <c r="A1218" s="318" t="str">
        <f>IF(B1218&lt;&gt;"",IF(AND(B1218='IN-TC'!$S$4,OR(TH!N1218="1111",TH!O1218="1111")),TH!D1218,""),"")</f>
        <v/>
      </c>
      <c r="B1218" s="60" t="str">
        <f t="shared" si="197"/>
        <v/>
      </c>
      <c r="C1218" s="981"/>
      <c r="D1218" s="981"/>
      <c r="E1218" s="981"/>
      <c r="F1218" s="1008"/>
      <c r="G1218" s="987"/>
      <c r="H1218" s="997"/>
      <c r="I1218" s="984"/>
      <c r="J1218" s="984"/>
      <c r="K1218" s="984"/>
      <c r="L1218" s="983"/>
      <c r="M1218" s="985"/>
      <c r="N1218" s="986"/>
      <c r="O1218" s="986"/>
      <c r="P1218" s="79" t="str">
        <f>IF(AND('331-CT'!$E$7=TH!H1218,OR(N1218="331",O1218="331")),"x","")</f>
        <v/>
      </c>
      <c r="Q1218" s="79" t="str">
        <f>IF(AND(B1218='111'!$L$11,OR($N1218=$Q$7,$O1218=$Q$7)),"x","")</f>
        <v/>
      </c>
      <c r="R1218" s="79" t="str">
        <f>IF(AND($N1218=$Q$7,$B1218&lt;'111'!$L$11),"x","")</f>
        <v/>
      </c>
      <c r="S1218" s="79" t="str">
        <f>IF(AND($O1218=$Q$7,$B1218&lt;'111'!$L$11),"x","")</f>
        <v/>
      </c>
      <c r="T1218" s="79" t="str">
        <f>IF(ISERROR(FIND('112'!$M$9,G1218,1)),"",IF((AND(FIND('112'!$M$9,G1218,1)&gt;=1,B1218='112'!$K$9,OR($N1218='112'!$I$6,$O1218='112'!$I$6))),"x",""))</f>
        <v/>
      </c>
      <c r="U1218" s="79" t="str">
        <f>IF(ISERROR(FIND('112'!$M$9,G1218,1)),"",IF((AND(LEFT(G1218,2)=LEFT('112'!$M$9,2),B1218&lt;'112'!$K$9,$N1218='112'!$I$6)),"x",""))</f>
        <v/>
      </c>
      <c r="V1218" s="79" t="str">
        <f>IF(ISERROR(FIND('112'!$M$9,G1218,1)),"",IF((AND(RIGHT(G1218,2)=RIGHT('112'!$M$9,2),B1218&lt;'112'!$K$9,$O1218='112'!$I$6)),"x",""))</f>
        <v/>
      </c>
      <c r="W1218" s="79" t="str">
        <f>IF(AND('341-CT'!$H$9=H1218,OR(LEFT(N1218,3)=$W$7,LEFT(O1218,3)=$W$7)),"x","")</f>
        <v/>
      </c>
      <c r="X1218" s="79" t="str">
        <f>IF(OR(TH!N1218=TH!$X$7,O1218=TH!$X$7),"x","")</f>
        <v/>
      </c>
      <c r="Y1218" s="79" t="str">
        <f>IF(AND(OR(N1218="131",O1218="131"),H1218='131-CT'!$H$9),"x","")</f>
        <v/>
      </c>
      <c r="Z1218" s="79"/>
      <c r="AA1218" s="79" t="str">
        <f>IF(AND(MONTH(E1218)='IN-NX'!$J$5,'IN-NX'!$D$7=D1218),"x","")</f>
        <v/>
      </c>
      <c r="AB1218" s="79" t="str">
        <f>IF(AND(OR(LEFT(TH!N1218,2)="15",LEFT(TH!O1218,2)="15"),LEFT(TH!O1218,3)&lt;&gt;"111",'152-CT'!$J$8=TH!F1218),"x","")</f>
        <v/>
      </c>
      <c r="AC1218" s="79" t="str">
        <f>IF(AND(OR(LEFT(TH!N1218,2)="15",LEFT(TH!O1218,2)="15"),TK!$E$7=TH!F1218),"x","")</f>
        <v/>
      </c>
      <c r="AD1218" s="79" t="str">
        <f>IF(AND(N1218="1521",MONTH(C1218)='BK-NL'!$M$11),"x","")</f>
        <v/>
      </c>
    </row>
    <row r="1219" spans="1:30" s="1102" customFormat="1" ht="16.5" customHeight="1">
      <c r="A1219" s="318" t="str">
        <f>IF(B1219&lt;&gt;"",IF(AND(B1219='IN-TC'!$S$4,OR(TH!N1219="1111",TH!O1219="1111")),TH!D1219,""),"")</f>
        <v/>
      </c>
      <c r="B1219" s="60" t="str">
        <f t="shared" si="197"/>
        <v/>
      </c>
      <c r="C1219" s="981"/>
      <c r="D1219" s="981"/>
      <c r="E1219" s="981"/>
      <c r="F1219" s="1008"/>
      <c r="G1219" s="987"/>
      <c r="H1219" s="85"/>
      <c r="I1219" s="984"/>
      <c r="J1219" s="984"/>
      <c r="K1219" s="984"/>
      <c r="L1219" s="983"/>
      <c r="M1219" s="985"/>
      <c r="N1219" s="986"/>
      <c r="O1219" s="986"/>
      <c r="P1219" s="79" t="str">
        <f>IF(AND('331-CT'!$E$7=TH!H1219,OR(N1219="331",O1219="331")),"x","")</f>
        <v/>
      </c>
      <c r="Q1219" s="79" t="str">
        <f>IF(AND(B1219='111'!$L$11,OR($N1219=$Q$7,$O1219=$Q$7)),"x","")</f>
        <v/>
      </c>
      <c r="R1219" s="79" t="str">
        <f>IF(AND($N1219=$Q$7,$B1219&lt;'111'!$L$11),"x","")</f>
        <v/>
      </c>
      <c r="S1219" s="79" t="str">
        <f>IF(AND($O1219=$Q$7,$B1219&lt;'111'!$L$11),"x","")</f>
        <v/>
      </c>
      <c r="T1219" s="79" t="str">
        <f>IF(ISERROR(FIND('112'!$M$9,G1219,1)),"",IF((AND(FIND('112'!$M$9,G1219,1)&gt;=1,B1219='112'!$K$9,OR($N1219='112'!$I$6,$O1219='112'!$I$6))),"x",""))</f>
        <v/>
      </c>
      <c r="U1219" s="79" t="str">
        <f>IF(ISERROR(FIND('112'!$M$9,G1219,1)),"",IF((AND(LEFT(G1219,2)=LEFT('112'!$M$9,2),B1219&lt;'112'!$K$9,$N1219='112'!$I$6)),"x",""))</f>
        <v/>
      </c>
      <c r="V1219" s="79" t="str">
        <f>IF(ISERROR(FIND('112'!$M$9,G1219,1)),"",IF((AND(RIGHT(G1219,2)=RIGHT('112'!$M$9,2),B1219&lt;'112'!$K$9,$O1219='112'!$I$6)),"x",""))</f>
        <v/>
      </c>
      <c r="W1219" s="79" t="str">
        <f>IF(AND('341-CT'!$H$9=H1219,OR(LEFT(N1219,3)=$W$7,LEFT(O1219,3)=$W$7)),"x","")</f>
        <v/>
      </c>
      <c r="X1219" s="79" t="str">
        <f>IF(OR(TH!N1219=TH!$X$7,O1219=TH!$X$7),"x","")</f>
        <v/>
      </c>
      <c r="Y1219" s="79" t="str">
        <f>IF(AND(OR(N1219="131",O1219="131"),H1219='131-CT'!$H$9),"x","")</f>
        <v/>
      </c>
      <c r="Z1219" s="79"/>
      <c r="AA1219" s="79" t="str">
        <f>IF(AND(MONTH(E1219)='IN-NX'!$J$5,'IN-NX'!$D$7=D1219),"x","")</f>
        <v/>
      </c>
      <c r="AB1219" s="79" t="str">
        <f>IF(AND(OR(LEFT(TH!N1219,2)="15",LEFT(TH!O1219,2)="15"),LEFT(TH!O1219,3)&lt;&gt;"111",'152-CT'!$J$8=TH!F1219),"x","")</f>
        <v/>
      </c>
      <c r="AC1219" s="79" t="str">
        <f>IF(AND(OR(LEFT(TH!N1219,2)="15",LEFT(TH!O1219,2)="15"),TK!$E$7=TH!F1219),"x","")</f>
        <v/>
      </c>
      <c r="AD1219" s="79" t="str">
        <f>IF(AND(N1219="1521",MONTH(C1219)='BK-NL'!$M$11),"x","")</f>
        <v/>
      </c>
    </row>
    <row r="1220" spans="1:30" s="1102" customFormat="1" ht="16.5" customHeight="1">
      <c r="A1220" s="318" t="str">
        <f>IF(B1220&lt;&gt;"",IF(AND(B1220='IN-TC'!$S$4,OR(TH!N1220="1111",TH!O1220="1111")),TH!D1220,""),"")</f>
        <v/>
      </c>
      <c r="B1220" s="60" t="str">
        <f t="shared" ref="B1220:B1227" si="198">IF(C1220&lt;&gt;"",MONTH(C1220),"")</f>
        <v/>
      </c>
      <c r="C1220" s="981"/>
      <c r="D1220" s="981"/>
      <c r="E1220" s="981"/>
      <c r="F1220" s="1008"/>
      <c r="G1220" s="987"/>
      <c r="H1220" s="85"/>
      <c r="I1220" s="984"/>
      <c r="J1220" s="984"/>
      <c r="K1220" s="984"/>
      <c r="L1220" s="983"/>
      <c r="M1220" s="985"/>
      <c r="N1220" s="986"/>
      <c r="O1220" s="986"/>
      <c r="P1220" s="79" t="str">
        <f>IF(AND('331-CT'!$E$7=TH!H1220,OR(N1220="331",O1220="331")),"x","")</f>
        <v/>
      </c>
      <c r="Q1220" s="79" t="str">
        <f>IF(AND(B1220='111'!$L$11,OR($N1220=$Q$7,$O1220=$Q$7)),"x","")</f>
        <v/>
      </c>
      <c r="R1220" s="79" t="str">
        <f>IF(AND($N1220=$Q$7,$B1220&lt;'111'!$L$11),"x","")</f>
        <v/>
      </c>
      <c r="S1220" s="79" t="str">
        <f>IF(AND($O1220=$Q$7,$B1220&lt;'111'!$L$11),"x","")</f>
        <v/>
      </c>
      <c r="T1220" s="79" t="str">
        <f>IF(ISERROR(FIND('112'!$M$9,G1220,1)),"",IF((AND(FIND('112'!$M$9,G1220,1)&gt;=1,B1220='112'!$K$9,OR($N1220='112'!$I$6,$O1220='112'!$I$6))),"x",""))</f>
        <v/>
      </c>
      <c r="U1220" s="79" t="str">
        <f>IF(ISERROR(FIND('112'!$M$9,G1220,1)),"",IF((AND(LEFT(G1220,2)=LEFT('112'!$M$9,2),B1220&lt;'112'!$K$9,$N1220='112'!$I$6)),"x",""))</f>
        <v/>
      </c>
      <c r="V1220" s="79" t="str">
        <f>IF(ISERROR(FIND('112'!$M$9,G1220,1)),"",IF((AND(RIGHT(G1220,2)=RIGHT('112'!$M$9,2),B1220&lt;'112'!$K$9,$O1220='112'!$I$6)),"x",""))</f>
        <v/>
      </c>
      <c r="W1220" s="79" t="str">
        <f>IF(AND('341-CT'!$H$9=H1220,OR(LEFT(N1220,3)=$W$7,LEFT(O1220,3)=$W$7)),"x","")</f>
        <v/>
      </c>
      <c r="X1220" s="79" t="str">
        <f>IF(OR(TH!N1220=TH!$X$7,O1220=TH!$X$7),"x","")</f>
        <v/>
      </c>
      <c r="Y1220" s="79" t="str">
        <f>IF(AND(OR(N1220="131",O1220="131"),H1220='131-CT'!$H$9),"x","")</f>
        <v/>
      </c>
      <c r="Z1220" s="79"/>
      <c r="AA1220" s="79" t="str">
        <f>IF(AND(MONTH(E1220)='IN-NX'!$J$5,'IN-NX'!$D$7=D1220),"x","")</f>
        <v/>
      </c>
      <c r="AB1220" s="79" t="str">
        <f>IF(AND(OR(LEFT(TH!N1220,2)="15",LEFT(TH!O1220,2)="15"),LEFT(TH!O1220,3)&lt;&gt;"111",'152-CT'!$J$8=TH!F1220),"x","")</f>
        <v/>
      </c>
      <c r="AC1220" s="79" t="str">
        <f>IF(AND(OR(LEFT(TH!N1220,2)="15",LEFT(TH!O1220,2)="15"),TK!$E$7=TH!F1220),"x","")</f>
        <v/>
      </c>
      <c r="AD1220" s="79" t="str">
        <f>IF(AND(N1220="1521",MONTH(C1220)='BK-NL'!$M$11),"x","")</f>
        <v/>
      </c>
    </row>
    <row r="1221" spans="1:30" s="1102" customFormat="1" ht="16.5" customHeight="1">
      <c r="A1221" s="318" t="str">
        <f>IF(B1221&lt;&gt;"",IF(AND(B1221='IN-TC'!$S$4,OR(TH!N1221="1111",TH!O1221="1111")),TH!D1221,""),"")</f>
        <v/>
      </c>
      <c r="B1221" s="60" t="str">
        <f t="shared" si="198"/>
        <v/>
      </c>
      <c r="C1221" s="981"/>
      <c r="D1221" s="981"/>
      <c r="E1221" s="981"/>
      <c r="F1221" s="1008"/>
      <c r="G1221" s="987"/>
      <c r="H1221" s="85"/>
      <c r="I1221" s="984"/>
      <c r="J1221" s="984"/>
      <c r="K1221" s="984"/>
      <c r="L1221" s="983"/>
      <c r="M1221" s="985"/>
      <c r="N1221" s="986"/>
      <c r="O1221" s="986"/>
      <c r="P1221" s="79" t="str">
        <f>IF(AND('331-CT'!$E$7=TH!H1221,OR(N1221="331",O1221="331")),"x","")</f>
        <v/>
      </c>
      <c r="Q1221" s="79" t="str">
        <f>IF(AND(B1221='111'!$L$11,OR($N1221=$Q$7,$O1221=$Q$7)),"x","")</f>
        <v/>
      </c>
      <c r="R1221" s="79" t="str">
        <f>IF(AND($N1221=$Q$7,$B1221&lt;'111'!$L$11),"x","")</f>
        <v/>
      </c>
      <c r="S1221" s="79" t="str">
        <f>IF(AND($O1221=$Q$7,$B1221&lt;'111'!$L$11),"x","")</f>
        <v/>
      </c>
      <c r="T1221" s="79" t="str">
        <f>IF(ISERROR(FIND('112'!$M$9,G1221,1)),"",IF((AND(FIND('112'!$M$9,G1221,1)&gt;=1,B1221='112'!$K$9,OR($N1221='112'!$I$6,$O1221='112'!$I$6))),"x",""))</f>
        <v/>
      </c>
      <c r="U1221" s="79" t="str">
        <f>IF(ISERROR(FIND('112'!$M$9,G1221,1)),"",IF((AND(LEFT(G1221,2)=LEFT('112'!$M$9,2),B1221&lt;'112'!$K$9,$N1221='112'!$I$6)),"x",""))</f>
        <v/>
      </c>
      <c r="V1221" s="79" t="str">
        <f>IF(ISERROR(FIND('112'!$M$9,G1221,1)),"",IF((AND(RIGHT(G1221,2)=RIGHT('112'!$M$9,2),B1221&lt;'112'!$K$9,$O1221='112'!$I$6)),"x",""))</f>
        <v/>
      </c>
      <c r="W1221" s="79" t="str">
        <f>IF(AND('341-CT'!$H$9=H1221,OR(LEFT(N1221,3)=$W$7,LEFT(O1221,3)=$W$7)),"x","")</f>
        <v/>
      </c>
      <c r="X1221" s="79" t="str">
        <f>IF(OR(TH!N1221=TH!$X$7,O1221=TH!$X$7),"x","")</f>
        <v/>
      </c>
      <c r="Y1221" s="79" t="str">
        <f>IF(AND(OR(N1221="131",O1221="131"),H1221='131-CT'!$H$9),"x","")</f>
        <v/>
      </c>
      <c r="Z1221" s="79"/>
      <c r="AA1221" s="79" t="str">
        <f>IF(AND(MONTH(E1221)='IN-NX'!$J$5,'IN-NX'!$D$7=D1221),"x","")</f>
        <v/>
      </c>
      <c r="AB1221" s="79" t="str">
        <f>IF(AND(OR(LEFT(TH!N1221,2)="15",LEFT(TH!O1221,2)="15"),LEFT(TH!O1221,3)&lt;&gt;"111",'152-CT'!$J$8=TH!F1221),"x","")</f>
        <v/>
      </c>
      <c r="AC1221" s="79" t="str">
        <f>IF(AND(OR(LEFT(TH!N1221,2)="15",LEFT(TH!O1221,2)="15"),TK!$E$7=TH!F1221),"x","")</f>
        <v/>
      </c>
      <c r="AD1221" s="79" t="str">
        <f>IF(AND(N1221="1521",MONTH(C1221)='BK-NL'!$M$11),"x","")</f>
        <v/>
      </c>
    </row>
    <row r="1222" spans="1:30" s="1102" customFormat="1" ht="16.5" customHeight="1">
      <c r="A1222" s="318" t="str">
        <f>IF(B1222&lt;&gt;"",IF(AND(B1222='IN-TC'!$S$4,OR(TH!N1222="1111",TH!O1222="1111")),TH!D1222,""),"")</f>
        <v/>
      </c>
      <c r="B1222" s="60" t="str">
        <f t="shared" si="198"/>
        <v/>
      </c>
      <c r="C1222" s="981"/>
      <c r="D1222" s="981"/>
      <c r="E1222" s="981"/>
      <c r="F1222" s="1008"/>
      <c r="G1222" s="987"/>
      <c r="H1222" s="85"/>
      <c r="I1222" s="984"/>
      <c r="J1222" s="984"/>
      <c r="K1222" s="984"/>
      <c r="L1222" s="983"/>
      <c r="M1222" s="985"/>
      <c r="N1222" s="986"/>
      <c r="O1222" s="986"/>
      <c r="P1222" s="79" t="str">
        <f>IF(AND('331-CT'!$E$7=TH!H1222,OR(N1222="331",O1222="331")),"x","")</f>
        <v/>
      </c>
      <c r="Q1222" s="79" t="str">
        <f>IF(AND(B1222='111'!$L$11,OR($N1222=$Q$7,$O1222=$Q$7)),"x","")</f>
        <v/>
      </c>
      <c r="R1222" s="79" t="str">
        <f>IF(AND($N1222=$Q$7,$B1222&lt;'111'!$L$11),"x","")</f>
        <v/>
      </c>
      <c r="S1222" s="79" t="str">
        <f>IF(AND($O1222=$Q$7,$B1222&lt;'111'!$L$11),"x","")</f>
        <v/>
      </c>
      <c r="T1222" s="79" t="str">
        <f>IF(ISERROR(FIND('112'!$M$9,G1222,1)),"",IF((AND(FIND('112'!$M$9,G1222,1)&gt;=1,B1222='112'!$K$9,OR($N1222='112'!$I$6,$O1222='112'!$I$6))),"x",""))</f>
        <v/>
      </c>
      <c r="U1222" s="79" t="str">
        <f>IF(ISERROR(FIND('112'!$M$9,G1222,1)),"",IF((AND(LEFT(G1222,2)=LEFT('112'!$M$9,2),B1222&lt;'112'!$K$9,$N1222='112'!$I$6)),"x",""))</f>
        <v/>
      </c>
      <c r="V1222" s="79" t="str">
        <f>IF(ISERROR(FIND('112'!$M$9,G1222,1)),"",IF((AND(RIGHT(G1222,2)=RIGHT('112'!$M$9,2),B1222&lt;'112'!$K$9,$O1222='112'!$I$6)),"x",""))</f>
        <v/>
      </c>
      <c r="W1222" s="79" t="str">
        <f>IF(AND('341-CT'!$H$9=H1222,OR(LEFT(N1222,3)=$W$7,LEFT(O1222,3)=$W$7)),"x","")</f>
        <v/>
      </c>
      <c r="X1222" s="79" t="str">
        <f>IF(OR(TH!N1222=TH!$X$7,O1222=TH!$X$7),"x","")</f>
        <v/>
      </c>
      <c r="Y1222" s="79" t="str">
        <f>IF(AND(OR(N1222="131",O1222="131"),H1222='131-CT'!$H$9),"x","")</f>
        <v/>
      </c>
      <c r="Z1222" s="79"/>
      <c r="AA1222" s="79" t="str">
        <f>IF(AND(MONTH(E1222)='IN-NX'!$J$5,'IN-NX'!$D$7=D1222),"x","")</f>
        <v/>
      </c>
      <c r="AB1222" s="79" t="str">
        <f>IF(AND(OR(LEFT(TH!N1222,2)="15",LEFT(TH!O1222,2)="15"),LEFT(TH!O1222,3)&lt;&gt;"111",'152-CT'!$J$8=TH!F1222),"x","")</f>
        <v/>
      </c>
      <c r="AC1222" s="79" t="str">
        <f>IF(AND(OR(LEFT(TH!N1222,2)="15",LEFT(TH!O1222,2)="15"),TK!$E$7=TH!F1222),"x","")</f>
        <v/>
      </c>
      <c r="AD1222" s="79" t="str">
        <f>IF(AND(N1222="1521",MONTH(C1222)='BK-NL'!$M$11),"x","")</f>
        <v/>
      </c>
    </row>
    <row r="1223" spans="1:30" s="1102" customFormat="1" ht="16.5" customHeight="1">
      <c r="A1223" s="318" t="str">
        <f>IF(B1223&lt;&gt;"",IF(AND(B1223='IN-TC'!$S$4,OR(TH!N1223="1111",TH!O1223="1111")),TH!D1223,""),"")</f>
        <v/>
      </c>
      <c r="B1223" s="60" t="str">
        <f t="shared" si="198"/>
        <v/>
      </c>
      <c r="C1223" s="981"/>
      <c r="D1223" s="981"/>
      <c r="E1223" s="981"/>
      <c r="F1223" s="1008"/>
      <c r="G1223" s="987"/>
      <c r="H1223" s="997"/>
      <c r="I1223" s="984"/>
      <c r="J1223" s="984"/>
      <c r="K1223" s="984"/>
      <c r="L1223" s="983"/>
      <c r="M1223" s="985"/>
      <c r="N1223" s="986"/>
      <c r="O1223" s="986"/>
      <c r="P1223" s="79" t="str">
        <f>IF(AND('331-CT'!$E$7=TH!H1223,OR(N1223="331",O1223="331")),"x","")</f>
        <v/>
      </c>
      <c r="Q1223" s="79" t="str">
        <f>IF(AND(B1223='111'!$L$11,OR($N1223=$Q$7,$O1223=$Q$7)),"x","")</f>
        <v/>
      </c>
      <c r="R1223" s="79" t="str">
        <f>IF(AND($N1223=$Q$7,$B1223&lt;'111'!$L$11),"x","")</f>
        <v/>
      </c>
      <c r="S1223" s="79" t="str">
        <f>IF(AND($O1223=$Q$7,$B1223&lt;'111'!$L$11),"x","")</f>
        <v/>
      </c>
      <c r="T1223" s="79" t="str">
        <f>IF(ISERROR(FIND('112'!$M$9,G1223,1)),"",IF((AND(FIND('112'!$M$9,G1223,1)&gt;=1,B1223='112'!$K$9,OR($N1223='112'!$I$6,$O1223='112'!$I$6))),"x",""))</f>
        <v/>
      </c>
      <c r="U1223" s="79" t="str">
        <f>IF(ISERROR(FIND('112'!$M$9,G1223,1)),"",IF((AND(LEFT(G1223,2)=LEFT('112'!$M$9,2),B1223&lt;'112'!$K$9,$N1223='112'!$I$6)),"x",""))</f>
        <v/>
      </c>
      <c r="V1223" s="79" t="str">
        <f>IF(ISERROR(FIND('112'!$M$9,G1223,1)),"",IF((AND(RIGHT(G1223,2)=RIGHT('112'!$M$9,2),B1223&lt;'112'!$K$9,$O1223='112'!$I$6)),"x",""))</f>
        <v/>
      </c>
      <c r="W1223" s="79" t="str">
        <f>IF(AND('341-CT'!$H$9=H1223,OR(LEFT(N1223,3)=$W$7,LEFT(O1223,3)=$W$7)),"x","")</f>
        <v/>
      </c>
      <c r="X1223" s="79" t="str">
        <f>IF(OR(TH!N1223=TH!$X$7,O1223=TH!$X$7),"x","")</f>
        <v/>
      </c>
      <c r="Y1223" s="79" t="str">
        <f>IF(AND(OR(N1223="131",O1223="131"),H1223='131-CT'!$H$9),"x","")</f>
        <v/>
      </c>
      <c r="Z1223" s="79"/>
      <c r="AA1223" s="79" t="str">
        <f>IF(AND(MONTH(E1223)='IN-NX'!$J$5,'IN-NX'!$D$7=D1223),"x","")</f>
        <v/>
      </c>
      <c r="AB1223" s="79" t="str">
        <f>IF(AND(OR(LEFT(TH!N1223,2)="15",LEFT(TH!O1223,2)="15"),LEFT(TH!O1223,3)&lt;&gt;"111",'152-CT'!$J$8=TH!F1223),"x","")</f>
        <v/>
      </c>
      <c r="AC1223" s="79" t="str">
        <f>IF(AND(OR(LEFT(TH!N1223,2)="15",LEFT(TH!O1223,2)="15"),TK!$E$7=TH!F1223),"x","")</f>
        <v/>
      </c>
      <c r="AD1223" s="79" t="str">
        <f>IF(AND(N1223="1521",MONTH(C1223)='BK-NL'!$M$11),"x","")</f>
        <v/>
      </c>
    </row>
    <row r="1224" spans="1:30" s="1102" customFormat="1" ht="16.5" customHeight="1">
      <c r="A1224" s="318" t="str">
        <f>IF(B1224&lt;&gt;"",IF(AND(B1224='IN-TC'!$S$4,OR(TH!N1224="1111",TH!O1224="1111")),TH!D1224,""),"")</f>
        <v/>
      </c>
      <c r="B1224" s="60" t="str">
        <f t="shared" si="198"/>
        <v/>
      </c>
      <c r="C1224" s="981"/>
      <c r="D1224" s="981"/>
      <c r="E1224" s="981"/>
      <c r="F1224" s="1008"/>
      <c r="G1224" s="987"/>
      <c r="H1224" s="997"/>
      <c r="I1224" s="984"/>
      <c r="J1224" s="984"/>
      <c r="K1224" s="984"/>
      <c r="L1224" s="983"/>
      <c r="M1224" s="985"/>
      <c r="N1224" s="986"/>
      <c r="O1224" s="986"/>
      <c r="P1224" s="79" t="str">
        <f>IF(AND('331-CT'!$E$7=TH!H1224,OR(N1224="331",O1224="331")),"x","")</f>
        <v/>
      </c>
      <c r="Q1224" s="79" t="str">
        <f>IF(AND(B1224='111'!$L$11,OR($N1224=$Q$7,$O1224=$Q$7)),"x","")</f>
        <v/>
      </c>
      <c r="R1224" s="79" t="str">
        <f>IF(AND($N1224=$Q$7,$B1224&lt;'111'!$L$11),"x","")</f>
        <v/>
      </c>
      <c r="S1224" s="79" t="str">
        <f>IF(AND($O1224=$Q$7,$B1224&lt;'111'!$L$11),"x","")</f>
        <v/>
      </c>
      <c r="T1224" s="79" t="str">
        <f>IF(ISERROR(FIND('112'!$M$9,G1224,1)),"",IF((AND(FIND('112'!$M$9,G1224,1)&gt;=1,B1224='112'!$K$9,OR($N1224='112'!$I$6,$O1224='112'!$I$6))),"x",""))</f>
        <v/>
      </c>
      <c r="U1224" s="79" t="str">
        <f>IF(ISERROR(FIND('112'!$M$9,G1224,1)),"",IF((AND(LEFT(G1224,2)=LEFT('112'!$M$9,2),B1224&lt;'112'!$K$9,$N1224='112'!$I$6)),"x",""))</f>
        <v/>
      </c>
      <c r="V1224" s="79" t="str">
        <f>IF(ISERROR(FIND('112'!$M$9,G1224,1)),"",IF((AND(RIGHT(G1224,2)=RIGHT('112'!$M$9,2),B1224&lt;'112'!$K$9,$O1224='112'!$I$6)),"x",""))</f>
        <v/>
      </c>
      <c r="W1224" s="79" t="str">
        <f>IF(AND('341-CT'!$H$9=H1224,OR(LEFT(N1224,3)=$W$7,LEFT(O1224,3)=$W$7)),"x","")</f>
        <v/>
      </c>
      <c r="X1224" s="79" t="str">
        <f>IF(OR(TH!N1224=TH!$X$7,O1224=TH!$X$7),"x","")</f>
        <v/>
      </c>
      <c r="Y1224" s="79" t="str">
        <f>IF(AND(OR(N1224="131",O1224="131"),H1224='131-CT'!$H$9),"x","")</f>
        <v/>
      </c>
      <c r="Z1224" s="79"/>
      <c r="AA1224" s="79" t="str">
        <f>IF(AND(MONTH(E1224)='IN-NX'!$J$5,'IN-NX'!$D$7=D1224),"x","")</f>
        <v/>
      </c>
      <c r="AB1224" s="79" t="str">
        <f>IF(AND(OR(LEFT(TH!N1224,2)="15",LEFT(TH!O1224,2)="15"),LEFT(TH!O1224,3)&lt;&gt;"111",'152-CT'!$J$8=TH!F1224),"x","")</f>
        <v/>
      </c>
      <c r="AC1224" s="79" t="str">
        <f>IF(AND(OR(LEFT(TH!N1224,2)="15",LEFT(TH!O1224,2)="15"),TK!$E$7=TH!F1224),"x","")</f>
        <v/>
      </c>
      <c r="AD1224" s="79" t="str">
        <f>IF(AND(N1224="1521",MONTH(C1224)='BK-NL'!$M$11),"x","")</f>
        <v/>
      </c>
    </row>
    <row r="1225" spans="1:30" s="1102" customFormat="1" ht="16.5" customHeight="1">
      <c r="A1225" s="318" t="str">
        <f>IF(B1225&lt;&gt;"",IF(AND(B1225='IN-TC'!$S$4,OR(TH!N1225="1111",TH!O1225="1111")),TH!D1225,""),"")</f>
        <v/>
      </c>
      <c r="B1225" s="60" t="str">
        <f t="shared" si="198"/>
        <v/>
      </c>
      <c r="C1225" s="981"/>
      <c r="D1225" s="981"/>
      <c r="E1225" s="981"/>
      <c r="F1225" s="1008"/>
      <c r="G1225" s="987"/>
      <c r="H1225" s="997"/>
      <c r="I1225" s="984"/>
      <c r="J1225" s="984"/>
      <c r="K1225" s="984"/>
      <c r="L1225" s="983"/>
      <c r="M1225" s="985"/>
      <c r="N1225" s="986"/>
      <c r="O1225" s="986"/>
      <c r="P1225" s="79" t="str">
        <f>IF(AND('331-CT'!$E$7=TH!H1225,OR(N1225="331",O1225="331")),"x","")</f>
        <v/>
      </c>
      <c r="Q1225" s="79" t="str">
        <f>IF(AND(B1225='111'!$L$11,OR($N1225=$Q$7,$O1225=$Q$7)),"x","")</f>
        <v/>
      </c>
      <c r="R1225" s="79" t="str">
        <f>IF(AND($N1225=$Q$7,$B1225&lt;'111'!$L$11),"x","")</f>
        <v/>
      </c>
      <c r="S1225" s="79" t="str">
        <f>IF(AND($O1225=$Q$7,$B1225&lt;'111'!$L$11),"x","")</f>
        <v/>
      </c>
      <c r="T1225" s="79" t="str">
        <f>IF(ISERROR(FIND('112'!$M$9,G1225,1)),"",IF((AND(FIND('112'!$M$9,G1225,1)&gt;=1,B1225='112'!$K$9,OR($N1225='112'!$I$6,$O1225='112'!$I$6))),"x",""))</f>
        <v/>
      </c>
      <c r="U1225" s="79" t="str">
        <f>IF(ISERROR(FIND('112'!$M$9,G1225,1)),"",IF((AND(LEFT(G1225,2)=LEFT('112'!$M$9,2),B1225&lt;'112'!$K$9,$N1225='112'!$I$6)),"x",""))</f>
        <v/>
      </c>
      <c r="V1225" s="79" t="str">
        <f>IF(ISERROR(FIND('112'!$M$9,G1225,1)),"",IF((AND(RIGHT(G1225,2)=RIGHT('112'!$M$9,2),B1225&lt;'112'!$K$9,$O1225='112'!$I$6)),"x",""))</f>
        <v/>
      </c>
      <c r="W1225" s="79" t="str">
        <f>IF(AND('341-CT'!$H$9=H1225,OR(LEFT(N1225,3)=$W$7,LEFT(O1225,3)=$W$7)),"x","")</f>
        <v/>
      </c>
      <c r="X1225" s="79" t="str">
        <f>IF(OR(TH!N1225=TH!$X$7,O1225=TH!$X$7),"x","")</f>
        <v/>
      </c>
      <c r="Y1225" s="79" t="str">
        <f>IF(AND(OR(N1225="131",O1225="131"),H1225='131-CT'!$H$9),"x","")</f>
        <v/>
      </c>
      <c r="Z1225" s="79"/>
      <c r="AA1225" s="79" t="str">
        <f>IF(AND(MONTH(E1225)='IN-NX'!$J$5,'IN-NX'!$D$7=D1225),"x","")</f>
        <v/>
      </c>
      <c r="AB1225" s="79" t="str">
        <f>IF(AND(OR(LEFT(TH!N1225,2)="15",LEFT(TH!O1225,2)="15"),LEFT(TH!O1225,3)&lt;&gt;"111",'152-CT'!$J$8=TH!F1225),"x","")</f>
        <v/>
      </c>
      <c r="AC1225" s="79" t="str">
        <f>IF(AND(OR(LEFT(TH!N1225,2)="15",LEFT(TH!O1225,2)="15"),TK!$E$7=TH!F1225),"x","")</f>
        <v/>
      </c>
      <c r="AD1225" s="79" t="str">
        <f>IF(AND(N1225="1521",MONTH(C1225)='BK-NL'!$M$11),"x","")</f>
        <v/>
      </c>
    </row>
    <row r="1226" spans="1:30" s="1102" customFormat="1" ht="16.5" customHeight="1">
      <c r="A1226" s="318" t="str">
        <f>IF(B1226&lt;&gt;"",IF(AND(B1226='IN-TC'!$S$4,OR(TH!N1226="1111",TH!O1226="1111")),TH!D1226,""),"")</f>
        <v/>
      </c>
      <c r="B1226" s="60" t="str">
        <f t="shared" si="198"/>
        <v/>
      </c>
      <c r="C1226" s="981"/>
      <c r="D1226" s="981"/>
      <c r="E1226" s="981"/>
      <c r="F1226" s="1008"/>
      <c r="G1226" s="987"/>
      <c r="H1226" s="997"/>
      <c r="I1226" s="984"/>
      <c r="J1226" s="984"/>
      <c r="K1226" s="984"/>
      <c r="L1226" s="983"/>
      <c r="M1226" s="985"/>
      <c r="N1226" s="986"/>
      <c r="O1226" s="986"/>
      <c r="P1226" s="79" t="str">
        <f>IF(AND('331-CT'!$E$7=TH!H1226,OR(N1226="331",O1226="331")),"x","")</f>
        <v/>
      </c>
      <c r="Q1226" s="79" t="str">
        <f>IF(AND(B1226='111'!$L$11,OR($N1226=$Q$7,$O1226=$Q$7)),"x","")</f>
        <v/>
      </c>
      <c r="R1226" s="79" t="str">
        <f>IF(AND($N1226=$Q$7,$B1226&lt;'111'!$L$11),"x","")</f>
        <v/>
      </c>
      <c r="S1226" s="79" t="str">
        <f>IF(AND($O1226=$Q$7,$B1226&lt;'111'!$L$11),"x","")</f>
        <v/>
      </c>
      <c r="T1226" s="79" t="str">
        <f>IF(ISERROR(FIND('112'!$M$9,G1226,1)),"",IF((AND(FIND('112'!$M$9,G1226,1)&gt;=1,B1226='112'!$K$9,OR($N1226='112'!$I$6,$O1226='112'!$I$6))),"x",""))</f>
        <v/>
      </c>
      <c r="U1226" s="79" t="str">
        <f>IF(ISERROR(FIND('112'!$M$9,G1226,1)),"",IF((AND(LEFT(G1226,2)=LEFT('112'!$M$9,2),B1226&lt;'112'!$K$9,$N1226='112'!$I$6)),"x",""))</f>
        <v/>
      </c>
      <c r="V1226" s="79" t="str">
        <f>IF(ISERROR(FIND('112'!$M$9,G1226,1)),"",IF((AND(RIGHT(G1226,2)=RIGHT('112'!$M$9,2),B1226&lt;'112'!$K$9,$O1226='112'!$I$6)),"x",""))</f>
        <v/>
      </c>
      <c r="W1226" s="79" t="str">
        <f>IF(AND('341-CT'!$H$9=H1226,OR(LEFT(N1226,3)=$W$7,LEFT(O1226,3)=$W$7)),"x","")</f>
        <v/>
      </c>
      <c r="X1226" s="79" t="str">
        <f>IF(OR(TH!N1226=TH!$X$7,O1226=TH!$X$7),"x","")</f>
        <v/>
      </c>
      <c r="Y1226" s="79" t="str">
        <f>IF(AND(OR(N1226="131",O1226="131"),H1226='131-CT'!$H$9),"x","")</f>
        <v/>
      </c>
      <c r="Z1226" s="79"/>
      <c r="AA1226" s="79" t="str">
        <f>IF(AND(MONTH(E1226)='IN-NX'!$J$5,'IN-NX'!$D$7=D1226),"x","")</f>
        <v/>
      </c>
      <c r="AB1226" s="79" t="str">
        <f>IF(AND(OR(LEFT(TH!N1226,2)="15",LEFT(TH!O1226,2)="15"),LEFT(TH!O1226,3)&lt;&gt;"111",'152-CT'!$J$8=TH!F1226),"x","")</f>
        <v/>
      </c>
      <c r="AC1226" s="79" t="str">
        <f>IF(AND(OR(LEFT(TH!N1226,2)="15",LEFT(TH!O1226,2)="15"),TK!$E$7=TH!F1226),"x","")</f>
        <v/>
      </c>
      <c r="AD1226" s="79" t="str">
        <f>IF(AND(N1226="1521",MONTH(C1226)='BK-NL'!$M$11),"x","")</f>
        <v/>
      </c>
    </row>
    <row r="1227" spans="1:30" s="1102" customFormat="1" ht="16.5" customHeight="1">
      <c r="A1227" s="318" t="str">
        <f>IF(B1227&lt;&gt;"",IF(AND(B1227='IN-TC'!$S$4,OR(TH!N1227="1111",TH!O1227="1111")),TH!D1227,""),"")</f>
        <v/>
      </c>
      <c r="B1227" s="60" t="str">
        <f t="shared" si="198"/>
        <v/>
      </c>
      <c r="C1227" s="981"/>
      <c r="D1227" s="981"/>
      <c r="E1227" s="981"/>
      <c r="F1227" s="1008"/>
      <c r="G1227" s="987"/>
      <c r="H1227" s="997"/>
      <c r="I1227" s="984"/>
      <c r="J1227" s="984"/>
      <c r="K1227" s="984"/>
      <c r="L1227" s="983"/>
      <c r="M1227" s="985"/>
      <c r="N1227" s="986"/>
      <c r="O1227" s="986"/>
      <c r="P1227" s="79" t="str">
        <f>IF(AND('331-CT'!$E$7=TH!H1227,OR(N1227="331",O1227="331")),"x","")</f>
        <v/>
      </c>
      <c r="Q1227" s="79" t="str">
        <f>IF(AND(B1227='111'!$L$11,OR($N1227=$Q$7,$O1227=$Q$7)),"x","")</f>
        <v/>
      </c>
      <c r="R1227" s="79" t="str">
        <f>IF(AND($N1227=$Q$7,$B1227&lt;'111'!$L$11),"x","")</f>
        <v/>
      </c>
      <c r="S1227" s="79" t="str">
        <f>IF(AND($O1227=$Q$7,$B1227&lt;'111'!$L$11),"x","")</f>
        <v/>
      </c>
      <c r="T1227" s="79" t="str">
        <f>IF(ISERROR(FIND('112'!$M$9,G1227,1)),"",IF((AND(FIND('112'!$M$9,G1227,1)&gt;=1,B1227='112'!$K$9,OR($N1227='112'!$I$6,$O1227='112'!$I$6))),"x",""))</f>
        <v/>
      </c>
      <c r="U1227" s="79" t="str">
        <f>IF(ISERROR(FIND('112'!$M$9,G1227,1)),"",IF((AND(LEFT(G1227,2)=LEFT('112'!$M$9,2),B1227&lt;'112'!$K$9,$N1227='112'!$I$6)),"x",""))</f>
        <v/>
      </c>
      <c r="V1227" s="79" t="str">
        <f>IF(ISERROR(FIND('112'!$M$9,G1227,1)),"",IF((AND(RIGHT(G1227,2)=RIGHT('112'!$M$9,2),B1227&lt;'112'!$K$9,$O1227='112'!$I$6)),"x",""))</f>
        <v/>
      </c>
      <c r="W1227" s="79" t="str">
        <f>IF(AND('341-CT'!$H$9=H1227,OR(LEFT(N1227,3)=$W$7,LEFT(O1227,3)=$W$7)),"x","")</f>
        <v/>
      </c>
      <c r="X1227" s="79" t="str">
        <f>IF(OR(TH!N1227=TH!$X$7,O1227=TH!$X$7),"x","")</f>
        <v/>
      </c>
      <c r="Y1227" s="79" t="str">
        <f>IF(AND(OR(N1227="131",O1227="131"),H1227='131-CT'!$H$9),"x","")</f>
        <v/>
      </c>
      <c r="Z1227" s="79"/>
      <c r="AA1227" s="79" t="str">
        <f>IF(AND(MONTH(E1227)='IN-NX'!$J$5,'IN-NX'!$D$7=D1227),"x","")</f>
        <v/>
      </c>
      <c r="AB1227" s="79" t="str">
        <f>IF(AND(OR(LEFT(TH!N1227,2)="15",LEFT(TH!O1227,2)="15"),LEFT(TH!O1227,3)&lt;&gt;"111",'152-CT'!$J$8=TH!F1227),"x","")</f>
        <v/>
      </c>
      <c r="AC1227" s="79" t="str">
        <f>IF(AND(OR(LEFT(TH!N1227,2)="15",LEFT(TH!O1227,2)="15"),TK!$E$7=TH!F1227),"x","")</f>
        <v/>
      </c>
      <c r="AD1227" s="79" t="str">
        <f>IF(AND(N1227="1521",MONTH(C1227)='BK-NL'!$M$11),"x","")</f>
        <v/>
      </c>
    </row>
    <row r="1228" spans="1:30" s="1102" customFormat="1" ht="16.5" customHeight="1">
      <c r="A1228" s="318" t="str">
        <f>IF(B1228&lt;&gt;"",IF(AND(B1228='IN-TC'!$S$4,OR(TH!N1228="1111",TH!O1228="1111")),TH!D1228,""),"")</f>
        <v/>
      </c>
      <c r="B1228" s="60" t="str">
        <f t="shared" si="197"/>
        <v/>
      </c>
      <c r="C1228" s="226"/>
      <c r="D1228" s="226"/>
      <c r="E1228" s="226"/>
      <c r="F1228" s="1010"/>
      <c r="G1228" s="763"/>
      <c r="H1228" s="69"/>
      <c r="I1228" s="385"/>
      <c r="J1228" s="392"/>
      <c r="K1228" s="385"/>
      <c r="L1228" s="392"/>
      <c r="M1228" s="970"/>
      <c r="N1228" s="980"/>
      <c r="O1228" s="980"/>
      <c r="P1228" s="79" t="str">
        <f>IF(AND('331-CT'!$E$7=TH!H1228,OR(N1228="331",O1228="331")),"x","")</f>
        <v/>
      </c>
      <c r="Q1228" s="79" t="str">
        <f>IF(AND(B1228='111'!$L$11,OR($N1228=$Q$7,$O1228=$Q$7)),"x","")</f>
        <v/>
      </c>
      <c r="R1228" s="79" t="str">
        <f>IF(AND($N1228=$Q$7,$B1228&lt;'111'!$L$11),"x","")</f>
        <v/>
      </c>
      <c r="S1228" s="79" t="str">
        <f>IF(AND($O1228=$Q$7,$B1228&lt;'111'!$L$11),"x","")</f>
        <v/>
      </c>
      <c r="T1228" s="79" t="str">
        <f>IF(ISERROR(FIND('112'!$M$9,G1228,1)),"",IF((AND(FIND('112'!$M$9,G1228,1)&gt;=1,B1228='112'!$K$9,OR($N1228='112'!$I$6,$O1228='112'!$I$6))),"x",""))</f>
        <v/>
      </c>
      <c r="U1228" s="79" t="str">
        <f>IF(ISERROR(FIND('112'!$M$9,G1228,1)),"",IF((AND(LEFT(G1228,2)=LEFT('112'!$M$9,2),B1228&lt;'112'!$K$9,$N1228='112'!$I$6)),"x",""))</f>
        <v/>
      </c>
      <c r="V1228" s="79" t="str">
        <f>IF(ISERROR(FIND('112'!$M$9,G1228,1)),"",IF((AND(RIGHT(G1228,2)=RIGHT('112'!$M$9,2),B1228&lt;'112'!$K$9,$O1228='112'!$I$6)),"x",""))</f>
        <v/>
      </c>
      <c r="W1228" s="79" t="str">
        <f>IF(AND('341-CT'!$H$9=H1228,OR(LEFT(N1228,3)=$W$7,LEFT(O1228,3)=$W$7)),"x","")</f>
        <v/>
      </c>
      <c r="X1228" s="79" t="str">
        <f>IF(OR(TH!N1228=TH!$X$7,O1228=TH!$X$7),"x","")</f>
        <v/>
      </c>
      <c r="Y1228" s="79" t="str">
        <f>IF(AND(OR(N1228="131",O1228="131"),H1228='131-CT'!$H$9),"x","")</f>
        <v/>
      </c>
      <c r="Z1228" s="79"/>
      <c r="AA1228" s="79" t="str">
        <f>IF(AND(MONTH(E1228)='IN-NX'!$J$5,'IN-NX'!$D$7=D1228),"x","")</f>
        <v/>
      </c>
      <c r="AB1228" s="79" t="str">
        <f>IF(AND(OR(LEFT(TH!N1228,2)="15",LEFT(TH!O1228,2)="15"),LEFT(TH!O1228,3)&lt;&gt;"111",'152-CT'!$J$8=TH!F1228),"x","")</f>
        <v/>
      </c>
      <c r="AC1228" s="79" t="str">
        <f>IF(AND(OR(LEFT(TH!N1228,2)="15",LEFT(TH!O1228,2)="15"),TK!$E$7=TH!F1228),"x","")</f>
        <v/>
      </c>
      <c r="AD1228" s="79" t="str">
        <f>IF(AND(N1228="1521",MONTH(C1228)='BK-NL'!$M$11),"x","")</f>
        <v/>
      </c>
    </row>
    <row r="1229" spans="1:30" s="1102" customFormat="1" ht="16.5" customHeight="1">
      <c r="A1229" s="318" t="str">
        <f>IF(B1229&lt;&gt;"",IF(AND(B1229='IN-TC'!$S$4,OR(TH!N1229="1111",TH!O1229="1111")),TH!D1229,""),"")</f>
        <v/>
      </c>
      <c r="B1229" s="60" t="str">
        <f t="shared" si="197"/>
        <v/>
      </c>
      <c r="C1229" s="226"/>
      <c r="D1229" s="226"/>
      <c r="E1229" s="226"/>
      <c r="F1229" s="1010"/>
      <c r="G1229" s="763"/>
      <c r="H1229" s="69"/>
      <c r="I1229" s="385"/>
      <c r="J1229" s="392"/>
      <c r="K1229" s="385"/>
      <c r="L1229" s="392"/>
      <c r="M1229" s="970"/>
      <c r="N1229" s="980"/>
      <c r="O1229" s="980"/>
      <c r="P1229" s="79" t="str">
        <f>IF(AND('331-CT'!$E$7=TH!H1229,OR(N1229="331",O1229="331")),"x","")</f>
        <v/>
      </c>
      <c r="Q1229" s="79" t="str">
        <f>IF(AND(B1229='111'!$L$11,OR($N1229=$Q$7,$O1229=$Q$7)),"x","")</f>
        <v/>
      </c>
      <c r="R1229" s="79" t="str">
        <f>IF(AND($N1229=$Q$7,$B1229&lt;'111'!$L$11),"x","")</f>
        <v/>
      </c>
      <c r="S1229" s="79" t="str">
        <f>IF(AND($O1229=$Q$7,$B1229&lt;'111'!$L$11),"x","")</f>
        <v/>
      </c>
      <c r="T1229" s="79" t="str">
        <f>IF(ISERROR(FIND('112'!$M$9,G1229,1)),"",IF((AND(FIND('112'!$M$9,G1229,1)&gt;=1,B1229='112'!$K$9,OR($N1229='112'!$I$6,$O1229='112'!$I$6))),"x",""))</f>
        <v/>
      </c>
      <c r="U1229" s="79" t="str">
        <f>IF(ISERROR(FIND('112'!$M$9,G1229,1)),"",IF((AND(LEFT(G1229,2)=LEFT('112'!$M$9,2),B1229&lt;'112'!$K$9,$N1229='112'!$I$6)),"x",""))</f>
        <v/>
      </c>
      <c r="V1229" s="79" t="str">
        <f>IF(ISERROR(FIND('112'!$M$9,G1229,1)),"",IF((AND(RIGHT(G1229,2)=RIGHT('112'!$M$9,2),B1229&lt;'112'!$K$9,$O1229='112'!$I$6)),"x",""))</f>
        <v/>
      </c>
      <c r="W1229" s="79" t="str">
        <f>IF(AND('341-CT'!$H$9=H1229,OR(LEFT(N1229,3)=$W$7,LEFT(O1229,3)=$W$7)),"x","")</f>
        <v/>
      </c>
      <c r="X1229" s="79" t="str">
        <f>IF(OR(TH!N1229=TH!$X$7,O1229=TH!$X$7),"x","")</f>
        <v/>
      </c>
      <c r="Y1229" s="79" t="str">
        <f>IF(AND(OR(N1229="131",O1229="131"),H1229='131-CT'!$H$9),"x","")</f>
        <v/>
      </c>
      <c r="Z1229" s="79"/>
      <c r="AA1229" s="79" t="str">
        <f>IF(AND(MONTH(E1229)='IN-NX'!$J$5,'IN-NX'!$D$7=D1229),"x","")</f>
        <v/>
      </c>
      <c r="AB1229" s="79" t="str">
        <f>IF(AND(OR(LEFT(TH!N1229,2)="15",LEFT(TH!O1229,2)="15"),LEFT(TH!O1229,3)&lt;&gt;"111",'152-CT'!$J$8=TH!F1229),"x","")</f>
        <v/>
      </c>
      <c r="AC1229" s="79" t="str">
        <f>IF(AND(OR(LEFT(TH!N1229,2)="15",LEFT(TH!O1229,2)="15"),TK!$E$7=TH!F1229),"x","")</f>
        <v/>
      </c>
      <c r="AD1229" s="79" t="str">
        <f>IF(AND(N1229="1521",MONTH(C1229)='BK-NL'!$M$11),"x","")</f>
        <v/>
      </c>
    </row>
    <row r="1230" spans="1:30" s="1102" customFormat="1" ht="16.5" customHeight="1">
      <c r="A1230" s="318" t="str">
        <f>IF(B1230&lt;&gt;"",IF(AND(B1230='IN-TC'!$S$4,OR(TH!N1230="1111",TH!O1230="1111")),TH!D1230,""),"")</f>
        <v/>
      </c>
      <c r="B1230" s="60" t="str">
        <f t="shared" si="197"/>
        <v/>
      </c>
      <c r="C1230" s="226"/>
      <c r="D1230" s="226"/>
      <c r="E1230" s="226"/>
      <c r="F1230" s="1010"/>
      <c r="G1230" s="763"/>
      <c r="H1230" s="69"/>
      <c r="I1230" s="385"/>
      <c r="J1230" s="392"/>
      <c r="K1230" s="385"/>
      <c r="L1230" s="392"/>
      <c r="M1230" s="970"/>
      <c r="N1230" s="980"/>
      <c r="O1230" s="980"/>
      <c r="P1230" s="79" t="str">
        <f>IF(AND('331-CT'!$E$7=TH!H1230,OR(N1230="331",O1230="331")),"x","")</f>
        <v/>
      </c>
      <c r="Q1230" s="79" t="str">
        <f>IF(AND(B1230='111'!$L$11,OR($N1230=$Q$7,$O1230=$Q$7)),"x","")</f>
        <v/>
      </c>
      <c r="R1230" s="79" t="str">
        <f>IF(AND($N1230=$Q$7,$B1230&lt;'111'!$L$11),"x","")</f>
        <v/>
      </c>
      <c r="S1230" s="79" t="str">
        <f>IF(AND($O1230=$Q$7,$B1230&lt;'111'!$L$11),"x","")</f>
        <v/>
      </c>
      <c r="T1230" s="79" t="str">
        <f>IF(ISERROR(FIND('112'!$M$9,G1230,1)),"",IF((AND(FIND('112'!$M$9,G1230,1)&gt;=1,B1230='112'!$K$9,OR($N1230='112'!$I$6,$O1230='112'!$I$6))),"x",""))</f>
        <v/>
      </c>
      <c r="U1230" s="79" t="str">
        <f>IF(ISERROR(FIND('112'!$M$9,G1230,1)),"",IF((AND(LEFT(G1230,2)=LEFT('112'!$M$9,2),B1230&lt;'112'!$K$9,$N1230='112'!$I$6)),"x",""))</f>
        <v/>
      </c>
      <c r="V1230" s="79" t="str">
        <f>IF(ISERROR(FIND('112'!$M$9,G1230,1)),"",IF((AND(RIGHT(G1230,2)=RIGHT('112'!$M$9,2),B1230&lt;'112'!$K$9,$O1230='112'!$I$6)),"x",""))</f>
        <v/>
      </c>
      <c r="W1230" s="79" t="str">
        <f>IF(AND('341-CT'!$H$9=H1230,OR(LEFT(N1230,3)=$W$7,LEFT(O1230,3)=$W$7)),"x","")</f>
        <v/>
      </c>
      <c r="X1230" s="79" t="str">
        <f>IF(OR(TH!N1230=TH!$X$7,O1230=TH!$X$7),"x","")</f>
        <v/>
      </c>
      <c r="Y1230" s="79" t="str">
        <f>IF(AND(OR(N1230="131",O1230="131"),H1230='131-CT'!$H$9),"x","")</f>
        <v/>
      </c>
      <c r="Z1230" s="79"/>
      <c r="AA1230" s="79" t="str">
        <f>IF(AND(MONTH(E1230)='IN-NX'!$J$5,'IN-NX'!$D$7=D1230),"x","")</f>
        <v/>
      </c>
      <c r="AB1230" s="79" t="str">
        <f>IF(AND(OR(LEFT(TH!N1230,2)="15",LEFT(TH!O1230,2)="15"),LEFT(TH!O1230,3)&lt;&gt;"111",'152-CT'!$J$8=TH!F1230),"x","")</f>
        <v/>
      </c>
      <c r="AC1230" s="79" t="str">
        <f>IF(AND(OR(LEFT(TH!N1230,2)="15",LEFT(TH!O1230,2)="15"),TK!$E$7=TH!F1230),"x","")</f>
        <v/>
      </c>
      <c r="AD1230" s="79" t="str">
        <f>IF(AND(N1230="1521",MONTH(C1230)='BK-NL'!$M$11),"x","")</f>
        <v/>
      </c>
    </row>
    <row r="1231" spans="1:30" s="1102" customFormat="1" ht="16.5" customHeight="1">
      <c r="A1231" s="318" t="str">
        <f>IF(B1231&lt;&gt;"",IF(AND(B1231='IN-TC'!$S$4,OR(TH!N1231="1111",TH!O1231="1111")),TH!D1231,""),"")</f>
        <v/>
      </c>
      <c r="B1231" s="60" t="str">
        <f t="shared" si="197"/>
        <v/>
      </c>
      <c r="C1231" s="226"/>
      <c r="D1231" s="226"/>
      <c r="E1231" s="226"/>
      <c r="F1231" s="1010"/>
      <c r="G1231" s="763"/>
      <c r="H1231" s="69"/>
      <c r="I1231" s="385"/>
      <c r="J1231" s="392"/>
      <c r="K1231" s="385"/>
      <c r="L1231" s="392"/>
      <c r="M1231" s="970"/>
      <c r="N1231" s="980"/>
      <c r="O1231" s="980"/>
      <c r="P1231" s="79" t="str">
        <f>IF(AND('331-CT'!$E$7=TH!H1231,OR(N1231="331",O1231="331")),"x","")</f>
        <v/>
      </c>
      <c r="Q1231" s="79" t="str">
        <f>IF(AND(B1231='111'!$L$11,OR($N1231=$Q$7,$O1231=$Q$7)),"x","")</f>
        <v/>
      </c>
      <c r="R1231" s="79" t="str">
        <f>IF(AND($N1231=$Q$7,$B1231&lt;'111'!$L$11),"x","")</f>
        <v/>
      </c>
      <c r="S1231" s="79" t="str">
        <f>IF(AND($O1231=$Q$7,$B1231&lt;'111'!$L$11),"x","")</f>
        <v/>
      </c>
      <c r="T1231" s="79" t="str">
        <f>IF(ISERROR(FIND('112'!$M$9,G1231,1)),"",IF((AND(FIND('112'!$M$9,G1231,1)&gt;=1,B1231='112'!$K$9,OR($N1231='112'!$I$6,$O1231='112'!$I$6))),"x",""))</f>
        <v/>
      </c>
      <c r="U1231" s="79" t="str">
        <f>IF(ISERROR(FIND('112'!$M$9,G1231,1)),"",IF((AND(LEFT(G1231,2)=LEFT('112'!$M$9,2),B1231&lt;'112'!$K$9,$N1231='112'!$I$6)),"x",""))</f>
        <v/>
      </c>
      <c r="V1231" s="79" t="str">
        <f>IF(ISERROR(FIND('112'!$M$9,G1231,1)),"",IF((AND(RIGHT(G1231,2)=RIGHT('112'!$M$9,2),B1231&lt;'112'!$K$9,$O1231='112'!$I$6)),"x",""))</f>
        <v/>
      </c>
      <c r="W1231" s="79" t="str">
        <f>IF(AND('341-CT'!$H$9=H1231,OR(LEFT(N1231,3)=$W$7,LEFT(O1231,3)=$W$7)),"x","")</f>
        <v/>
      </c>
      <c r="X1231" s="79" t="str">
        <f>IF(OR(TH!N1231=TH!$X$7,O1231=TH!$X$7),"x","")</f>
        <v/>
      </c>
      <c r="Y1231" s="79" t="str">
        <f>IF(AND(OR(N1231="131",O1231="131"),H1231='131-CT'!$H$9),"x","")</f>
        <v/>
      </c>
      <c r="Z1231" s="79"/>
      <c r="AA1231" s="79" t="str">
        <f>IF(AND(MONTH(E1231)='IN-NX'!$J$5,'IN-NX'!$D$7=D1231),"x","")</f>
        <v/>
      </c>
      <c r="AB1231" s="79" t="str">
        <f>IF(AND(OR(LEFT(TH!N1231,2)="15",LEFT(TH!O1231,2)="15"),LEFT(TH!O1231,3)&lt;&gt;"111",'152-CT'!$J$8=TH!F1231),"x","")</f>
        <v/>
      </c>
      <c r="AC1231" s="79" t="str">
        <f>IF(AND(OR(LEFT(TH!N1231,2)="15",LEFT(TH!O1231,2)="15"),TK!$E$7=TH!F1231),"x","")</f>
        <v/>
      </c>
      <c r="AD1231" s="79" t="str">
        <f>IF(AND(N1231="1521",MONTH(C1231)='BK-NL'!$M$11),"x","")</f>
        <v/>
      </c>
    </row>
    <row r="1232" spans="1:30" s="1101" customFormat="1" ht="16.5" customHeight="1">
      <c r="A1232" s="318" t="str">
        <f>IF(B1232&lt;&gt;"",IF(AND(B1232='IN-TC'!$S$4,OR(TH!N1232="1111",TH!O1232="1111")),TH!D1232,""),"")</f>
        <v/>
      </c>
      <c r="B1232" s="60" t="str">
        <f t="shared" si="197"/>
        <v/>
      </c>
      <c r="C1232" s="226"/>
      <c r="D1232" s="226"/>
      <c r="E1232" s="226"/>
      <c r="F1232" s="1010"/>
      <c r="G1232" s="763"/>
      <c r="H1232" s="303"/>
      <c r="I1232" s="385"/>
      <c r="J1232" s="385"/>
      <c r="K1232" s="385"/>
      <c r="L1232" s="392"/>
      <c r="M1232" s="970"/>
      <c r="N1232" s="980"/>
      <c r="O1232" s="980"/>
      <c r="P1232" s="79" t="str">
        <f>IF(AND('331-CT'!$E$7=TH!H1232,OR(N1232="331",O1232="331")),"x","")</f>
        <v/>
      </c>
      <c r="Q1232" s="79" t="str">
        <f>IF(AND(B1232='111'!$L$11,OR($N1232=$Q$7,$O1232=$Q$7)),"x","")</f>
        <v/>
      </c>
      <c r="R1232" s="79" t="str">
        <f>IF(AND($N1232=$Q$7,$B1232&lt;'111'!$L$11),"x","")</f>
        <v/>
      </c>
      <c r="S1232" s="79" t="str">
        <f>IF(AND($O1232=$Q$7,$B1232&lt;'111'!$L$11),"x","")</f>
        <v/>
      </c>
      <c r="T1232" s="79" t="str">
        <f>IF(ISERROR(FIND('112'!$M$9,G1232,1)),"",IF((AND(FIND('112'!$M$9,G1232,1)&gt;=1,B1232='112'!$K$9,OR($N1232='112'!$I$6,$O1232='112'!$I$6))),"x",""))</f>
        <v/>
      </c>
      <c r="U1232" s="79" t="str">
        <f>IF(ISERROR(FIND('112'!$M$9,G1232,1)),"",IF((AND(LEFT(G1232,2)=LEFT('112'!$M$9,2),B1232&lt;'112'!$K$9,$N1232='112'!$I$6)),"x",""))</f>
        <v/>
      </c>
      <c r="V1232" s="79" t="str">
        <f>IF(ISERROR(FIND('112'!$M$9,G1232,1)),"",IF((AND(RIGHT(G1232,2)=RIGHT('112'!$M$9,2),B1232&lt;'112'!$K$9,$O1232='112'!$I$6)),"x",""))</f>
        <v/>
      </c>
      <c r="W1232" s="79" t="str">
        <f>IF(AND('341-CT'!$H$9=H1232,OR(LEFT(N1232,3)=$W$7,LEFT(O1232,3)=$W$7)),"x","")</f>
        <v/>
      </c>
      <c r="X1232" s="79" t="str">
        <f>IF(OR(TH!N1232=TH!$X$7,O1232=TH!$X$7),"x","")</f>
        <v/>
      </c>
      <c r="Y1232" s="79" t="str">
        <f>IF(AND(OR(N1232="131",O1232="131"),H1232='131-CT'!$H$9),"x","")</f>
        <v/>
      </c>
      <c r="Z1232" s="79"/>
      <c r="AA1232" s="79" t="str">
        <f>IF(AND(MONTH(E1232)='IN-NX'!$J$5,'IN-NX'!$D$7=D1232),"x","")</f>
        <v/>
      </c>
      <c r="AB1232" s="79" t="str">
        <f>IF(AND(OR(LEFT(TH!N1232,2)="15",LEFT(TH!O1232,2)="15"),LEFT(TH!O1232,3)&lt;&gt;"111",'152-CT'!$J$8=TH!F1232),"x","")</f>
        <v/>
      </c>
      <c r="AC1232" s="79" t="str">
        <f>IF(AND(OR(LEFT(TH!N1232,2)="15",LEFT(TH!O1232,2)="15"),TK!$E$7=TH!F1232),"x","")</f>
        <v/>
      </c>
      <c r="AD1232" s="79" t="str">
        <f>IF(AND(N1232="1521",MONTH(C1232)='BK-NL'!$M$11),"x","")</f>
        <v/>
      </c>
    </row>
    <row r="1233" spans="1:30" ht="16.5" customHeight="1">
      <c r="A1233" s="318" t="str">
        <f>IF(B1233&lt;&gt;"",IF(AND(B1233='IN-TC'!$S$4,OR(TH!N1233="1111",TH!O1233="1111")),TH!D1233,""),"")</f>
        <v/>
      </c>
      <c r="B1233" s="60" t="str">
        <f t="shared" si="197"/>
        <v/>
      </c>
      <c r="C1233" s="226"/>
      <c r="D1233" s="226"/>
      <c r="E1233" s="226"/>
      <c r="F1233" s="446"/>
      <c r="G1233" s="763"/>
      <c r="H1233" s="303"/>
      <c r="I1233" s="385"/>
      <c r="J1233" s="385"/>
      <c r="K1233" s="385"/>
      <c r="L1233" s="392"/>
      <c r="M1233" s="970"/>
      <c r="N1233" s="980"/>
      <c r="O1233" s="980"/>
      <c r="P1233" s="79" t="str">
        <f>IF(AND('331-CT'!$E$7=TH!H1233,OR(N1233="331",O1233="331")),"x","")</f>
        <v/>
      </c>
      <c r="Q1233" s="79" t="str">
        <f>IF(AND(B1233='111'!$L$11,OR($N1233=$Q$7,$O1233=$Q$7)),"x","")</f>
        <v/>
      </c>
      <c r="R1233" s="79" t="str">
        <f>IF(AND($N1233=$Q$7,$B1233&lt;'111'!$L$11),"x","")</f>
        <v/>
      </c>
      <c r="S1233" s="79" t="str">
        <f>IF(AND($O1233=$Q$7,$B1233&lt;'111'!$L$11),"x","")</f>
        <v/>
      </c>
      <c r="T1233" s="79" t="str">
        <f>IF(ISERROR(FIND('112'!$M$9,G1233,1)),"",IF((AND(FIND('112'!$M$9,G1233,1)&gt;=1,B1233='112'!$K$9,OR($N1233='112'!$I$6,$O1233='112'!$I$6))),"x",""))</f>
        <v/>
      </c>
      <c r="U1233" s="79" t="str">
        <f>IF(ISERROR(FIND('112'!$M$9,G1233,1)),"",IF((AND(LEFT(G1233,2)=LEFT('112'!$M$9,2),B1233&lt;'112'!$K$9,$N1233='112'!$I$6)),"x",""))</f>
        <v/>
      </c>
      <c r="V1233" s="79" t="str">
        <f>IF(ISERROR(FIND('112'!$M$9,G1233,1)),"",IF((AND(RIGHT(G1233,2)=RIGHT('112'!$M$9,2),B1233&lt;'112'!$K$9,$O1233='112'!$I$6)),"x",""))</f>
        <v/>
      </c>
      <c r="W1233" s="79" t="str">
        <f>IF(AND('341-CT'!$H$9=H1233,OR(LEFT(N1233,3)=$W$7,LEFT(O1233,3)=$W$7)),"x","")</f>
        <v/>
      </c>
      <c r="X1233" s="79" t="str">
        <f>IF(OR(TH!N1233=TH!$X$7,O1233=TH!$X$7),"x","")</f>
        <v/>
      </c>
      <c r="Y1233" s="79" t="str">
        <f>IF(AND(OR(N1233="131",O1233="131"),H1233='131-CT'!$H$9),"x","")</f>
        <v/>
      </c>
      <c r="Z1233" s="79"/>
      <c r="AA1233" s="79" t="str">
        <f>IF(AND(MONTH(E1233)='IN-NX'!$J$5,'IN-NX'!$D$7=D1233),"x","")</f>
        <v/>
      </c>
      <c r="AB1233" s="79" t="str">
        <f>IF(AND(OR(LEFT(TH!N1233,2)="15",LEFT(TH!O1233,2)="15"),LEFT(TH!O1233,3)&lt;&gt;"111",'152-CT'!$J$8=TH!F1233),"x","")</f>
        <v/>
      </c>
      <c r="AC1233" s="79" t="str">
        <f>IF(AND(OR(LEFT(TH!N1233,2)="15",LEFT(TH!O1233,2)="15"),TK!$E$7=TH!F1233),"x","")</f>
        <v/>
      </c>
      <c r="AD1233" s="79" t="str">
        <f>IF(AND(N1233="1521",MONTH(C1233)='BK-NL'!$M$11),"x","")</f>
        <v/>
      </c>
    </row>
    <row r="1234" spans="1:30" ht="16.5" customHeight="1">
      <c r="A1234" s="318" t="str">
        <f>IF(B1234&lt;&gt;"",IF(AND(B1234='IN-TC'!$S$4,OR(TH!N1234="1111",TH!O1234="1111")),TH!D1234,""),"")</f>
        <v/>
      </c>
      <c r="B1234" s="60" t="str">
        <f t="shared" si="197"/>
        <v/>
      </c>
      <c r="C1234" s="226"/>
      <c r="D1234" s="226"/>
      <c r="E1234" s="226"/>
      <c r="F1234" s="446"/>
      <c r="G1234" s="763"/>
      <c r="H1234" s="321"/>
      <c r="I1234" s="385"/>
      <c r="J1234" s="385"/>
      <c r="K1234" s="385"/>
      <c r="L1234" s="392"/>
      <c r="M1234" s="970"/>
      <c r="N1234" s="980"/>
      <c r="O1234" s="980"/>
      <c r="P1234" s="79" t="str">
        <f>IF(AND('331-CT'!$E$7=TH!H1234,OR(N1234="331",O1234="331")),"x","")</f>
        <v/>
      </c>
      <c r="Q1234" s="79" t="str">
        <f>IF(AND(B1234='111'!$L$11,OR($N1234=$Q$7,$O1234=$Q$7)),"x","")</f>
        <v/>
      </c>
      <c r="R1234" s="79" t="str">
        <f>IF(AND($N1234=$Q$7,$B1234&lt;'111'!$L$11),"x","")</f>
        <v/>
      </c>
      <c r="S1234" s="79" t="str">
        <f>IF(AND($O1234=$Q$7,$B1234&lt;'111'!$L$11),"x","")</f>
        <v/>
      </c>
      <c r="T1234" s="79" t="str">
        <f>IF(ISERROR(FIND('112'!$M$9,G1234,1)),"",IF((AND(FIND('112'!$M$9,G1234,1)&gt;=1,B1234='112'!$K$9,OR($N1234='112'!$I$6,$O1234='112'!$I$6))),"x",""))</f>
        <v/>
      </c>
      <c r="U1234" s="79" t="str">
        <f>IF(ISERROR(FIND('112'!$M$9,G1234,1)),"",IF((AND(LEFT(G1234,2)=LEFT('112'!$M$9,2),B1234&lt;'112'!$K$9,$N1234='112'!$I$6)),"x",""))</f>
        <v/>
      </c>
      <c r="V1234" s="79" t="str">
        <f>IF(ISERROR(FIND('112'!$M$9,G1234,1)),"",IF((AND(RIGHT(G1234,2)=RIGHT('112'!$M$9,2),B1234&lt;'112'!$K$9,$O1234='112'!$I$6)),"x",""))</f>
        <v/>
      </c>
      <c r="W1234" s="79" t="str">
        <f>IF(AND('341-CT'!$H$9=H1234,OR(LEFT(N1234,3)=$W$7,LEFT(O1234,3)=$W$7)),"x","")</f>
        <v/>
      </c>
      <c r="X1234" s="79" t="str">
        <f>IF(OR(TH!N1234=TH!$X$7,O1234=TH!$X$7),"x","")</f>
        <v/>
      </c>
      <c r="Y1234" s="79" t="str">
        <f>IF(AND(OR(N1234="131",O1234="131"),H1234='131-CT'!$H$9),"x","")</f>
        <v/>
      </c>
      <c r="Z1234" s="79"/>
      <c r="AA1234" s="79" t="str">
        <f>IF(AND(MONTH(E1234)='IN-NX'!$J$5,'IN-NX'!$D$7=D1234),"x","")</f>
        <v/>
      </c>
      <c r="AB1234" s="79" t="str">
        <f>IF(AND(OR(LEFT(TH!N1234,2)="15",LEFT(TH!O1234,2)="15"),LEFT(TH!O1234,3)&lt;&gt;"111",'152-CT'!$J$8=TH!F1234),"x","")</f>
        <v/>
      </c>
      <c r="AC1234" s="79" t="str">
        <f>IF(AND(OR(LEFT(TH!N1234,2)="15",LEFT(TH!O1234,2)="15"),TK!$E$7=TH!F1234),"x","")</f>
        <v/>
      </c>
      <c r="AD1234" s="79" t="str">
        <f>IF(AND(N1234="1521",MONTH(C1234)='BK-NL'!$M$11),"x","")</f>
        <v/>
      </c>
    </row>
    <row r="1235" spans="1:30" ht="16.5" customHeight="1">
      <c r="A1235" s="318" t="str">
        <f>IF(B1235&lt;&gt;"",IF(AND(B1235='IN-TC'!$S$4,OR(TH!N1235="1111",TH!O1235="1111")),TH!D1235,""),"")</f>
        <v/>
      </c>
      <c r="B1235" s="60" t="str">
        <f t="shared" si="197"/>
        <v/>
      </c>
      <c r="C1235" s="226"/>
      <c r="D1235" s="226"/>
      <c r="E1235" s="226"/>
      <c r="F1235" s="1010"/>
      <c r="G1235" s="763"/>
      <c r="H1235" s="321"/>
      <c r="I1235" s="385"/>
      <c r="J1235" s="385"/>
      <c r="K1235" s="385"/>
      <c r="L1235" s="392"/>
      <c r="M1235" s="970"/>
      <c r="N1235" s="980"/>
      <c r="O1235" s="980"/>
      <c r="P1235" s="79" t="str">
        <f>IF(AND('331-CT'!$E$7=TH!H1235,OR(N1235="331",O1235="331")),"x","")</f>
        <v/>
      </c>
      <c r="Q1235" s="79" t="str">
        <f>IF(AND(B1235='111'!$L$11,OR($N1235=$Q$7,$O1235=$Q$7)),"x","")</f>
        <v/>
      </c>
      <c r="R1235" s="79" t="str">
        <f>IF(AND($N1235=$Q$7,$B1235&lt;'111'!$L$11),"x","")</f>
        <v/>
      </c>
      <c r="S1235" s="79" t="str">
        <f>IF(AND($O1235=$Q$7,$B1235&lt;'111'!$L$11),"x","")</f>
        <v/>
      </c>
      <c r="T1235" s="79" t="str">
        <f>IF(ISERROR(FIND('112'!$M$9,G1235,1)),"",IF((AND(FIND('112'!$M$9,G1235,1)&gt;=1,B1235='112'!$K$9,OR($N1235='112'!$I$6,$O1235='112'!$I$6))),"x",""))</f>
        <v/>
      </c>
      <c r="U1235" s="79" t="str">
        <f>IF(ISERROR(FIND('112'!$M$9,G1235,1)),"",IF((AND(LEFT(G1235,2)=LEFT('112'!$M$9,2),B1235&lt;'112'!$K$9,$N1235='112'!$I$6)),"x",""))</f>
        <v/>
      </c>
      <c r="V1235" s="79" t="str">
        <f>IF(ISERROR(FIND('112'!$M$9,G1235,1)),"",IF((AND(RIGHT(G1235,2)=RIGHT('112'!$M$9,2),B1235&lt;'112'!$K$9,$O1235='112'!$I$6)),"x",""))</f>
        <v/>
      </c>
      <c r="W1235" s="79" t="str">
        <f>IF(AND('341-CT'!$H$9=H1235,OR(LEFT(N1235,3)=$W$7,LEFT(O1235,3)=$W$7)),"x","")</f>
        <v/>
      </c>
      <c r="X1235" s="79" t="str">
        <f>IF(OR(TH!N1235=TH!$X$7,O1235=TH!$X$7),"x","")</f>
        <v/>
      </c>
      <c r="Y1235" s="79" t="str">
        <f>IF(AND(OR(N1235="131",O1235="131"),H1235='131-CT'!$H$9),"x","")</f>
        <v/>
      </c>
      <c r="Z1235" s="79"/>
      <c r="AA1235" s="79" t="str">
        <f>IF(AND(MONTH(E1235)='IN-NX'!$J$5,'IN-NX'!$D$7=D1235),"x","")</f>
        <v/>
      </c>
      <c r="AB1235" s="79" t="str">
        <f>IF(AND(OR(LEFT(TH!N1235,2)="15",LEFT(TH!O1235,2)="15"),LEFT(TH!O1235,3)&lt;&gt;"111",'152-CT'!$J$8=TH!F1235),"x","")</f>
        <v/>
      </c>
      <c r="AC1235" s="79" t="str">
        <f>IF(AND(OR(LEFT(TH!N1235,2)="15",LEFT(TH!O1235,2)="15"),TK!$E$7=TH!F1235),"x","")</f>
        <v/>
      </c>
      <c r="AD1235" s="79" t="str">
        <f>IF(AND(N1235="1521",MONTH(C1235)='BK-NL'!$M$11),"x","")</f>
        <v/>
      </c>
    </row>
    <row r="1236" spans="1:30" ht="16.5" customHeight="1">
      <c r="A1236" s="318" t="str">
        <f>IF(B1236&lt;&gt;"",IF(AND(B1236='IN-TC'!$S$4,OR(TH!N1236="1111",TH!O1236="1111")),TH!D1236,""),"")</f>
        <v/>
      </c>
      <c r="B1236" s="60" t="str">
        <f t="shared" si="197"/>
        <v/>
      </c>
      <c r="C1236" s="226"/>
      <c r="D1236" s="226"/>
      <c r="E1236" s="226"/>
      <c r="F1236" s="446"/>
      <c r="G1236" s="763"/>
      <c r="H1236" s="303"/>
      <c r="I1236" s="385"/>
      <c r="J1236" s="385"/>
      <c r="K1236" s="385"/>
      <c r="L1236" s="392"/>
      <c r="M1236" s="970"/>
      <c r="N1236" s="980"/>
      <c r="O1236" s="980"/>
      <c r="P1236" s="79" t="str">
        <f>IF(AND('331-CT'!$E$7=TH!H1236,OR(N1236="331",O1236="331")),"x","")</f>
        <v/>
      </c>
      <c r="Q1236" s="79" t="str">
        <f>IF(AND(B1236='111'!$L$11,OR($N1236=$Q$7,$O1236=$Q$7)),"x","")</f>
        <v/>
      </c>
      <c r="R1236" s="79" t="str">
        <f>IF(AND($N1236=$Q$7,$B1236&lt;'111'!$L$11),"x","")</f>
        <v/>
      </c>
      <c r="S1236" s="79" t="str">
        <f>IF(AND($O1236=$Q$7,$B1236&lt;'111'!$L$11),"x","")</f>
        <v/>
      </c>
      <c r="T1236" s="79" t="str">
        <f>IF(ISERROR(FIND('112'!$M$9,G1236,1)),"",IF((AND(FIND('112'!$M$9,G1236,1)&gt;=1,B1236='112'!$K$9,OR($N1236='112'!$I$6,$O1236='112'!$I$6))),"x",""))</f>
        <v/>
      </c>
      <c r="U1236" s="79" t="str">
        <f>IF(ISERROR(FIND('112'!$M$9,G1236,1)),"",IF((AND(LEFT(G1236,2)=LEFT('112'!$M$9,2),B1236&lt;'112'!$K$9,$N1236='112'!$I$6)),"x",""))</f>
        <v/>
      </c>
      <c r="V1236" s="79" t="str">
        <f>IF(ISERROR(FIND('112'!$M$9,G1236,1)),"",IF((AND(RIGHT(G1236,2)=RIGHT('112'!$M$9,2),B1236&lt;'112'!$K$9,$O1236='112'!$I$6)),"x",""))</f>
        <v/>
      </c>
      <c r="W1236" s="79" t="str">
        <f>IF(AND('341-CT'!$H$9=H1236,OR(LEFT(N1236,3)=$W$7,LEFT(O1236,3)=$W$7)),"x","")</f>
        <v/>
      </c>
      <c r="X1236" s="79" t="str">
        <f>IF(OR(TH!N1236=TH!$X$7,O1236=TH!$X$7),"x","")</f>
        <v/>
      </c>
      <c r="Y1236" s="79" t="str">
        <f>IF(AND(OR(N1236="131",O1236="131"),H1236='131-CT'!$H$9),"x","")</f>
        <v/>
      </c>
      <c r="Z1236" s="79"/>
      <c r="AA1236" s="79" t="str">
        <f>IF(AND(MONTH(E1236)='IN-NX'!$J$5,'IN-NX'!$D$7=D1236),"x","")</f>
        <v/>
      </c>
      <c r="AB1236" s="79" t="str">
        <f>IF(AND(OR(LEFT(TH!N1236,2)="15",LEFT(TH!O1236,2)="15"),LEFT(TH!O1236,3)&lt;&gt;"111",'152-CT'!$J$8=TH!F1236),"x","")</f>
        <v/>
      </c>
      <c r="AC1236" s="79" t="str">
        <f>IF(AND(OR(LEFT(TH!N1236,2)="15",LEFT(TH!O1236,2)="15"),TK!$E$7=TH!F1236),"x","")</f>
        <v/>
      </c>
      <c r="AD1236" s="79" t="str">
        <f>IF(AND(N1236="1521",MONTH(C1236)='BK-NL'!$M$11),"x","")</f>
        <v/>
      </c>
    </row>
    <row r="1237" spans="1:30" ht="16.5" customHeight="1">
      <c r="A1237" s="318" t="str">
        <f>IF(B1237&lt;&gt;"",IF(AND(B1237='IN-TC'!$S$4,OR(TH!N1237="1111",TH!O1237="1111")),TH!D1237,""),"")</f>
        <v/>
      </c>
      <c r="B1237" s="60" t="str">
        <f t="shared" si="197"/>
        <v/>
      </c>
      <c r="C1237" s="226"/>
      <c r="D1237" s="226"/>
      <c r="E1237" s="226"/>
      <c r="F1237" s="446"/>
      <c r="G1237" s="763"/>
      <c r="H1237" s="925"/>
      <c r="I1237" s="385"/>
      <c r="J1237" s="385"/>
      <c r="K1237" s="385"/>
      <c r="L1237" s="392"/>
      <c r="M1237" s="970"/>
      <c r="N1237" s="980"/>
      <c r="O1237" s="980"/>
      <c r="P1237" s="79" t="str">
        <f>IF(AND('331-CT'!$E$7=TH!H1237,OR(N1237="331",O1237="331")),"x","")</f>
        <v/>
      </c>
      <c r="Q1237" s="79" t="str">
        <f>IF(AND(B1237='111'!$L$11,OR($N1237=$Q$7,$O1237=$Q$7)),"x","")</f>
        <v/>
      </c>
      <c r="R1237" s="79" t="str">
        <f>IF(AND($N1237=$Q$7,$B1237&lt;'111'!$L$11),"x","")</f>
        <v/>
      </c>
      <c r="S1237" s="79" t="str">
        <f>IF(AND($O1237=$Q$7,$B1237&lt;'111'!$L$11),"x","")</f>
        <v/>
      </c>
      <c r="T1237" s="79" t="str">
        <f>IF(ISERROR(FIND('112'!$M$9,G1237,1)),"",IF((AND(FIND('112'!$M$9,G1237,1)&gt;=1,B1237='112'!$K$9,OR($N1237='112'!$I$6,$O1237='112'!$I$6))),"x",""))</f>
        <v/>
      </c>
      <c r="U1237" s="79" t="str">
        <f>IF(ISERROR(FIND('112'!$M$9,G1237,1)),"",IF((AND(LEFT(G1237,2)=LEFT('112'!$M$9,2),B1237&lt;'112'!$K$9,$N1237='112'!$I$6)),"x",""))</f>
        <v/>
      </c>
      <c r="V1237" s="79" t="str">
        <f>IF(ISERROR(FIND('112'!$M$9,G1237,1)),"",IF((AND(RIGHT(G1237,2)=RIGHT('112'!$M$9,2),B1237&lt;'112'!$K$9,$O1237='112'!$I$6)),"x",""))</f>
        <v/>
      </c>
      <c r="W1237" s="79" t="str">
        <f>IF(AND('341-CT'!$H$9=H1237,OR(LEFT(N1237,3)=$W$7,LEFT(O1237,3)=$W$7)),"x","")</f>
        <v/>
      </c>
      <c r="X1237" s="79" t="str">
        <f>IF(OR(TH!N1237=TH!$X$7,O1237=TH!$X$7),"x","")</f>
        <v/>
      </c>
      <c r="Y1237" s="79" t="str">
        <f>IF(AND(OR(N1237="131",O1237="131"),H1237='131-CT'!$H$9),"x","")</f>
        <v/>
      </c>
      <c r="Z1237" s="79"/>
      <c r="AA1237" s="79" t="str">
        <f>IF(AND(MONTH(E1237)='IN-NX'!$J$5,'IN-NX'!$D$7=D1237),"x","")</f>
        <v/>
      </c>
      <c r="AB1237" s="79" t="str">
        <f>IF(AND(OR(LEFT(TH!N1237,2)="15",LEFT(TH!O1237,2)="15"),LEFT(TH!O1237,3)&lt;&gt;"111",'152-CT'!$J$8=TH!F1237),"x","")</f>
        <v/>
      </c>
      <c r="AC1237" s="79" t="str">
        <f>IF(AND(OR(LEFT(TH!N1237,2)="15",LEFT(TH!O1237,2)="15"),TK!$E$7=TH!F1237),"x","")</f>
        <v/>
      </c>
      <c r="AD1237" s="79" t="str">
        <f>IF(AND(N1237="1521",MONTH(C1237)='BK-NL'!$M$11),"x","")</f>
        <v/>
      </c>
    </row>
    <row r="1238" spans="1:30" ht="16.5" customHeight="1">
      <c r="A1238" s="318" t="str">
        <f>IF(B1238&lt;&gt;"",IF(AND(B1238='IN-TC'!$S$4,OR(TH!N1238="1111",TH!O1238="1111")),TH!D1238,""),"")</f>
        <v/>
      </c>
      <c r="B1238" s="60" t="str">
        <f t="shared" si="197"/>
        <v/>
      </c>
      <c r="C1238" s="226"/>
      <c r="D1238" s="226"/>
      <c r="E1238" s="226"/>
      <c r="F1238" s="1010"/>
      <c r="G1238" s="763"/>
      <c r="H1238" s="69"/>
      <c r="I1238" s="385"/>
      <c r="J1238" s="385"/>
      <c r="K1238" s="385"/>
      <c r="L1238" s="392"/>
      <c r="M1238" s="970"/>
      <c r="N1238" s="980"/>
      <c r="O1238" s="980"/>
      <c r="P1238" s="79" t="str">
        <f>IF(AND('331-CT'!$E$7=TH!H1238,OR(N1238="331",O1238="331")),"x","")</f>
        <v/>
      </c>
      <c r="Q1238" s="79" t="str">
        <f>IF(AND(B1238='111'!$L$11,OR($N1238=$Q$7,$O1238=$Q$7)),"x","")</f>
        <v/>
      </c>
      <c r="R1238" s="79" t="str">
        <f>IF(AND($N1238=$Q$7,$B1238&lt;'111'!$L$11),"x","")</f>
        <v/>
      </c>
      <c r="S1238" s="79" t="str">
        <f>IF(AND($O1238=$Q$7,$B1238&lt;'111'!$L$11),"x","")</f>
        <v/>
      </c>
      <c r="T1238" s="79" t="str">
        <f>IF(ISERROR(FIND('112'!$M$9,G1238,1)),"",IF((AND(FIND('112'!$M$9,G1238,1)&gt;=1,B1238='112'!$K$9,OR($N1238='112'!$I$6,$O1238='112'!$I$6))),"x",""))</f>
        <v/>
      </c>
      <c r="U1238" s="79" t="str">
        <f>IF(ISERROR(FIND('112'!$M$9,G1238,1)),"",IF((AND(LEFT(G1238,2)=LEFT('112'!$M$9,2),B1238&lt;'112'!$K$9,$N1238='112'!$I$6)),"x",""))</f>
        <v/>
      </c>
      <c r="V1238" s="79" t="str">
        <f>IF(ISERROR(FIND('112'!$M$9,G1238,1)),"",IF((AND(RIGHT(G1238,2)=RIGHT('112'!$M$9,2),B1238&lt;'112'!$K$9,$O1238='112'!$I$6)),"x",""))</f>
        <v/>
      </c>
      <c r="W1238" s="79" t="str">
        <f>IF(AND('341-CT'!$H$9=H1238,OR(LEFT(N1238,3)=$W$7,LEFT(O1238,3)=$W$7)),"x","")</f>
        <v/>
      </c>
      <c r="X1238" s="79" t="str">
        <f>IF(OR(TH!N1238=TH!$X$7,O1238=TH!$X$7),"x","")</f>
        <v/>
      </c>
      <c r="Y1238" s="79" t="str">
        <f>IF(AND(OR(N1238="131",O1238="131"),H1238='131-CT'!$H$9),"x","")</f>
        <v/>
      </c>
      <c r="Z1238" s="79"/>
      <c r="AA1238" s="79" t="str">
        <f>IF(AND(MONTH(E1238)='IN-NX'!$J$5,'IN-NX'!$D$7=D1238),"x","")</f>
        <v/>
      </c>
      <c r="AB1238" s="79" t="str">
        <f>IF(AND(OR(LEFT(TH!N1238,2)="15",LEFT(TH!O1238,2)="15"),LEFT(TH!O1238,3)&lt;&gt;"111",'152-CT'!$J$8=TH!F1238),"x","")</f>
        <v/>
      </c>
      <c r="AC1238" s="79" t="str">
        <f>IF(AND(OR(LEFT(TH!N1238,2)="15",LEFT(TH!O1238,2)="15"),TK!$E$7=TH!F1238),"x","")</f>
        <v/>
      </c>
      <c r="AD1238" s="79" t="str">
        <f>IF(AND(N1238="1521",MONTH(C1238)='BK-NL'!$M$11),"x","")</f>
        <v/>
      </c>
    </row>
    <row r="1239" spans="1:30" ht="16.5" customHeight="1">
      <c r="A1239" s="318" t="str">
        <f>IF(B1239&lt;&gt;"",IF(AND(B1239='IN-TC'!$S$4,OR(TH!N1239="1111",TH!O1239="1111")),TH!D1239,""),"")</f>
        <v/>
      </c>
      <c r="B1239" s="60" t="str">
        <f t="shared" si="197"/>
        <v/>
      </c>
      <c r="C1239" s="226"/>
      <c r="D1239" s="226"/>
      <c r="E1239" s="226"/>
      <c r="F1239" s="1010"/>
      <c r="G1239" s="763"/>
      <c r="H1239" s="321"/>
      <c r="I1239" s="385"/>
      <c r="J1239" s="385"/>
      <c r="K1239" s="385"/>
      <c r="L1239" s="392"/>
      <c r="M1239" s="970"/>
      <c r="N1239" s="980"/>
      <c r="O1239" s="980"/>
      <c r="P1239" s="79" t="str">
        <f>IF(AND('331-CT'!$E$7=TH!H1239,OR(N1239="331",O1239="331")),"x","")</f>
        <v/>
      </c>
      <c r="Q1239" s="79" t="str">
        <f>IF(AND(B1239='111'!$L$11,OR($N1239=$Q$7,$O1239=$Q$7)),"x","")</f>
        <v/>
      </c>
      <c r="R1239" s="79" t="str">
        <f>IF(AND($N1239=$Q$7,$B1239&lt;'111'!$L$11),"x","")</f>
        <v/>
      </c>
      <c r="S1239" s="79" t="str">
        <f>IF(AND($O1239=$Q$7,$B1239&lt;'111'!$L$11),"x","")</f>
        <v/>
      </c>
      <c r="T1239" s="79" t="str">
        <f>IF(ISERROR(FIND('112'!$M$9,G1239,1)),"",IF((AND(FIND('112'!$M$9,G1239,1)&gt;=1,B1239='112'!$K$9,OR($N1239='112'!$I$6,$O1239='112'!$I$6))),"x",""))</f>
        <v/>
      </c>
      <c r="U1239" s="79" t="str">
        <f>IF(ISERROR(FIND('112'!$M$9,G1239,1)),"",IF((AND(LEFT(G1239,2)=LEFT('112'!$M$9,2),B1239&lt;'112'!$K$9,$N1239='112'!$I$6)),"x",""))</f>
        <v/>
      </c>
      <c r="V1239" s="79" t="str">
        <f>IF(ISERROR(FIND('112'!$M$9,G1239,1)),"",IF((AND(RIGHT(G1239,2)=RIGHT('112'!$M$9,2),B1239&lt;'112'!$K$9,$O1239='112'!$I$6)),"x",""))</f>
        <v/>
      </c>
      <c r="W1239" s="79" t="str">
        <f>IF(AND('341-CT'!$H$9=H1239,OR(LEFT(N1239,3)=$W$7,LEFT(O1239,3)=$W$7)),"x","")</f>
        <v/>
      </c>
      <c r="X1239" s="79" t="str">
        <f>IF(OR(TH!N1239=TH!$X$7,O1239=TH!$X$7),"x","")</f>
        <v/>
      </c>
      <c r="Y1239" s="79" t="str">
        <f>IF(AND(OR(N1239="131",O1239="131"),H1239='131-CT'!$H$9),"x","")</f>
        <v/>
      </c>
      <c r="Z1239" s="79"/>
      <c r="AA1239" s="79" t="str">
        <f>IF(AND(MONTH(E1239)='IN-NX'!$J$5,'IN-NX'!$D$7=D1239),"x","")</f>
        <v/>
      </c>
      <c r="AB1239" s="79" t="str">
        <f>IF(AND(OR(LEFT(TH!N1239,2)="15",LEFT(TH!O1239,2)="15"),LEFT(TH!O1239,3)&lt;&gt;"111",'152-CT'!$J$8=TH!F1239),"x","")</f>
        <v/>
      </c>
      <c r="AC1239" s="79" t="str">
        <f>IF(AND(OR(LEFT(TH!N1239,2)="15",LEFT(TH!O1239,2)="15"),TK!$E$7=TH!F1239),"x","")</f>
        <v/>
      </c>
      <c r="AD1239" s="79" t="str">
        <f>IF(AND(N1239="1521",MONTH(C1239)='BK-NL'!$M$11),"x","")</f>
        <v/>
      </c>
    </row>
    <row r="1240" spans="1:30" ht="16.5" customHeight="1">
      <c r="A1240" s="318" t="str">
        <f>IF(B1240&lt;&gt;"",IF(AND(B1240='IN-TC'!$S$4,OR(TH!N1240="1111",TH!O1240="1111")),TH!D1240,""),"")</f>
        <v/>
      </c>
      <c r="B1240" s="60" t="str">
        <f t="shared" si="197"/>
        <v/>
      </c>
      <c r="C1240" s="226"/>
      <c r="D1240" s="226"/>
      <c r="E1240" s="226"/>
      <c r="F1240" s="446"/>
      <c r="G1240" s="763"/>
      <c r="H1240" s="321"/>
      <c r="I1240" s="385"/>
      <c r="J1240" s="385"/>
      <c r="K1240" s="385"/>
      <c r="L1240" s="392"/>
      <c r="M1240" s="970"/>
      <c r="N1240" s="980"/>
      <c r="O1240" s="980"/>
      <c r="P1240" s="79" t="str">
        <f>IF(AND('331-CT'!$E$7=TH!H1240,OR(N1240="331",O1240="331")),"x","")</f>
        <v/>
      </c>
      <c r="Q1240" s="79" t="str">
        <f>IF(AND(B1240='111'!$L$11,OR($N1240=$Q$7,$O1240=$Q$7)),"x","")</f>
        <v/>
      </c>
      <c r="R1240" s="79" t="str">
        <f>IF(AND($N1240=$Q$7,$B1240&lt;'111'!$L$11),"x","")</f>
        <v/>
      </c>
      <c r="S1240" s="79" t="str">
        <f>IF(AND($O1240=$Q$7,$B1240&lt;'111'!$L$11),"x","")</f>
        <v/>
      </c>
      <c r="T1240" s="79" t="str">
        <f>IF(ISERROR(FIND('112'!$M$9,G1240,1)),"",IF((AND(FIND('112'!$M$9,G1240,1)&gt;=1,B1240='112'!$K$9,OR($N1240='112'!$I$6,$O1240='112'!$I$6))),"x",""))</f>
        <v/>
      </c>
      <c r="U1240" s="79" t="str">
        <f>IF(ISERROR(FIND('112'!$M$9,G1240,1)),"",IF((AND(LEFT(G1240,2)=LEFT('112'!$M$9,2),B1240&lt;'112'!$K$9,$N1240='112'!$I$6)),"x",""))</f>
        <v/>
      </c>
      <c r="V1240" s="79" t="str">
        <f>IF(ISERROR(FIND('112'!$M$9,G1240,1)),"",IF((AND(RIGHT(G1240,2)=RIGHT('112'!$M$9,2),B1240&lt;'112'!$K$9,$O1240='112'!$I$6)),"x",""))</f>
        <v/>
      </c>
      <c r="W1240" s="79" t="str">
        <f>IF(AND('341-CT'!$H$9=H1240,OR(LEFT(N1240,3)=$W$7,LEFT(O1240,3)=$W$7)),"x","")</f>
        <v/>
      </c>
      <c r="X1240" s="79" t="str">
        <f>IF(OR(TH!N1240=TH!$X$7,O1240=TH!$X$7),"x","")</f>
        <v/>
      </c>
      <c r="Y1240" s="79" t="str">
        <f>IF(AND(OR(N1240="131",O1240="131"),H1240='131-CT'!$H$9),"x","")</f>
        <v/>
      </c>
      <c r="Z1240" s="79"/>
      <c r="AA1240" s="79" t="str">
        <f>IF(AND(MONTH(E1240)='IN-NX'!$J$5,'IN-NX'!$D$7=D1240),"x","")</f>
        <v/>
      </c>
      <c r="AB1240" s="79" t="str">
        <f>IF(AND(OR(LEFT(TH!N1240,2)="15",LEFT(TH!O1240,2)="15"),LEFT(TH!O1240,3)&lt;&gt;"111",'152-CT'!$J$8=TH!F1240),"x","")</f>
        <v/>
      </c>
      <c r="AC1240" s="79" t="str">
        <f>IF(AND(OR(LEFT(TH!N1240,2)="15",LEFT(TH!O1240,2)="15"),TK!$E$7=TH!F1240),"x","")</f>
        <v/>
      </c>
      <c r="AD1240" s="79" t="str">
        <f>IF(AND(N1240="1521",MONTH(C1240)='BK-NL'!$M$11),"x","")</f>
        <v/>
      </c>
    </row>
    <row r="1241" spans="1:30" ht="16.5" customHeight="1">
      <c r="A1241" s="318" t="str">
        <f>IF(B1241&lt;&gt;"",IF(AND(B1241='IN-TC'!$S$4,OR(TH!N1241="1111",TH!O1241="1111")),TH!D1241,""),"")</f>
        <v/>
      </c>
      <c r="B1241" s="60" t="str">
        <f t="shared" si="197"/>
        <v/>
      </c>
      <c r="C1241" s="226"/>
      <c r="D1241" s="226"/>
      <c r="E1241" s="226"/>
      <c r="F1241" s="446"/>
      <c r="G1241" s="763"/>
      <c r="H1241" s="321"/>
      <c r="I1241" s="385"/>
      <c r="J1241" s="385"/>
      <c r="K1241" s="385"/>
      <c r="L1241" s="392"/>
      <c r="M1241" s="970"/>
      <c r="N1241" s="980"/>
      <c r="O1241" s="980"/>
      <c r="P1241" s="79" t="str">
        <f>IF(AND('331-CT'!$E$7=TH!H1241,OR(N1241="331",O1241="331")),"x","")</f>
        <v/>
      </c>
      <c r="Q1241" s="79" t="str">
        <f>IF(AND(B1241='111'!$L$11,OR($N1241=$Q$7,$O1241=$Q$7)),"x","")</f>
        <v/>
      </c>
      <c r="R1241" s="79" t="str">
        <f>IF(AND($N1241=$Q$7,$B1241&lt;'111'!$L$11),"x","")</f>
        <v/>
      </c>
      <c r="S1241" s="79" t="str">
        <f>IF(AND($O1241=$Q$7,$B1241&lt;'111'!$L$11),"x","")</f>
        <v/>
      </c>
      <c r="T1241" s="79" t="str">
        <f>IF(ISERROR(FIND('112'!$M$9,G1241,1)),"",IF((AND(FIND('112'!$M$9,G1241,1)&gt;=1,B1241='112'!$K$9,OR($N1241='112'!$I$6,$O1241='112'!$I$6))),"x",""))</f>
        <v/>
      </c>
      <c r="U1241" s="79" t="str">
        <f>IF(ISERROR(FIND('112'!$M$9,G1241,1)),"",IF((AND(LEFT(G1241,2)=LEFT('112'!$M$9,2),B1241&lt;'112'!$K$9,$N1241='112'!$I$6)),"x",""))</f>
        <v/>
      </c>
      <c r="V1241" s="79" t="str">
        <f>IF(ISERROR(FIND('112'!$M$9,G1241,1)),"",IF((AND(RIGHT(G1241,2)=RIGHT('112'!$M$9,2),B1241&lt;'112'!$K$9,$O1241='112'!$I$6)),"x",""))</f>
        <v/>
      </c>
      <c r="W1241" s="79" t="str">
        <f>IF(AND('341-CT'!$H$9=H1241,OR(LEFT(N1241,3)=$W$7,LEFT(O1241,3)=$W$7)),"x","")</f>
        <v/>
      </c>
      <c r="X1241" s="79" t="str">
        <f>IF(OR(TH!N1241=TH!$X$7,O1241=TH!$X$7),"x","")</f>
        <v/>
      </c>
      <c r="Y1241" s="79" t="str">
        <f>IF(AND(OR(N1241="131",O1241="131"),H1241='131-CT'!$H$9),"x","")</f>
        <v/>
      </c>
      <c r="Z1241" s="79"/>
      <c r="AA1241" s="79" t="str">
        <f>IF(AND(MONTH(E1241)='IN-NX'!$J$5,'IN-NX'!$D$7=D1241),"x","")</f>
        <v/>
      </c>
      <c r="AB1241" s="79" t="str">
        <f>IF(AND(OR(LEFT(TH!N1241,2)="15",LEFT(TH!O1241,2)="15"),LEFT(TH!O1241,3)&lt;&gt;"111",'152-CT'!$J$8=TH!F1241),"x","")</f>
        <v/>
      </c>
      <c r="AC1241" s="79" t="str">
        <f>IF(AND(OR(LEFT(TH!N1241,2)="15",LEFT(TH!O1241,2)="15"),TK!$E$7=TH!F1241),"x","")</f>
        <v/>
      </c>
      <c r="AD1241" s="79" t="str">
        <f>IF(AND(N1241="1521",MONTH(C1241)='BK-NL'!$M$11),"x","")</f>
        <v/>
      </c>
    </row>
    <row r="1242" spans="1:30" ht="16.5" customHeight="1">
      <c r="A1242" s="318" t="str">
        <f>IF(B1242&lt;&gt;"",IF(AND(B1242='IN-TC'!$S$4,OR(TH!N1242="1111",TH!O1242="1111")),TH!D1242,""),"")</f>
        <v/>
      </c>
      <c r="B1242" s="60" t="str">
        <f t="shared" si="197"/>
        <v/>
      </c>
      <c r="C1242" s="226"/>
      <c r="D1242" s="226"/>
      <c r="E1242" s="226"/>
      <c r="F1242" s="446"/>
      <c r="G1242" s="763"/>
      <c r="H1242" s="321"/>
      <c r="I1242" s="385"/>
      <c r="J1242" s="385"/>
      <c r="K1242" s="385"/>
      <c r="L1242" s="392"/>
      <c r="M1242" s="970"/>
      <c r="N1242" s="980"/>
      <c r="O1242" s="980"/>
      <c r="P1242" s="79" t="str">
        <f>IF(AND('331-CT'!$E$7=TH!H1242,OR(N1242="331",O1242="331")),"x","")</f>
        <v/>
      </c>
      <c r="Q1242" s="79" t="str">
        <f>IF(AND(B1242='111'!$L$11,OR($N1242=$Q$7,$O1242=$Q$7)),"x","")</f>
        <v/>
      </c>
      <c r="R1242" s="79" t="str">
        <f>IF(AND($N1242=$Q$7,$B1242&lt;'111'!$L$11),"x","")</f>
        <v/>
      </c>
      <c r="S1242" s="79" t="str">
        <f>IF(AND($O1242=$Q$7,$B1242&lt;'111'!$L$11),"x","")</f>
        <v/>
      </c>
      <c r="T1242" s="79" t="str">
        <f>IF(ISERROR(FIND('112'!$M$9,G1242,1)),"",IF((AND(FIND('112'!$M$9,G1242,1)&gt;=1,B1242='112'!$K$9,OR($N1242='112'!$I$6,$O1242='112'!$I$6))),"x",""))</f>
        <v/>
      </c>
      <c r="U1242" s="79" t="str">
        <f>IF(ISERROR(FIND('112'!$M$9,G1242,1)),"",IF((AND(LEFT(G1242,2)=LEFT('112'!$M$9,2),B1242&lt;'112'!$K$9,$N1242='112'!$I$6)),"x",""))</f>
        <v/>
      </c>
      <c r="V1242" s="79" t="str">
        <f>IF(ISERROR(FIND('112'!$M$9,G1242,1)),"",IF((AND(RIGHT(G1242,2)=RIGHT('112'!$M$9,2),B1242&lt;'112'!$K$9,$O1242='112'!$I$6)),"x",""))</f>
        <v/>
      </c>
      <c r="W1242" s="79" t="str">
        <f>IF(AND('341-CT'!$H$9=H1242,OR(LEFT(N1242,3)=$W$7,LEFT(O1242,3)=$W$7)),"x","")</f>
        <v/>
      </c>
      <c r="X1242" s="79" t="str">
        <f>IF(OR(TH!N1242=TH!$X$7,O1242=TH!$X$7),"x","")</f>
        <v/>
      </c>
      <c r="Y1242" s="79" t="str">
        <f>IF(AND(OR(N1242="131",O1242="131"),H1242='131-CT'!$H$9),"x","")</f>
        <v/>
      </c>
      <c r="Z1242" s="79"/>
      <c r="AA1242" s="79" t="str">
        <f>IF(AND(MONTH(E1242)='IN-NX'!$J$5,'IN-NX'!$D$7=D1242),"x","")</f>
        <v/>
      </c>
      <c r="AB1242" s="79" t="str">
        <f>IF(AND(OR(LEFT(TH!N1242,2)="15",LEFT(TH!O1242,2)="15"),LEFT(TH!O1242,3)&lt;&gt;"111",'152-CT'!$J$8=TH!F1242),"x","")</f>
        <v/>
      </c>
      <c r="AC1242" s="79" t="str">
        <f>IF(AND(OR(LEFT(TH!N1242,2)="15",LEFT(TH!O1242,2)="15"),TK!$E$7=TH!F1242),"x","")</f>
        <v/>
      </c>
      <c r="AD1242" s="79" t="str">
        <f>IF(AND(N1242="1521",MONTH(C1242)='BK-NL'!$M$11),"x","")</f>
        <v/>
      </c>
    </row>
    <row r="1243" spans="1:30" s="1102" customFormat="1" ht="16.5" customHeight="1">
      <c r="A1243" s="318" t="str">
        <f>IF(B1243&lt;&gt;"",IF(AND(B1243='IN-TC'!$S$4,OR(TH!N1243="1111",TH!O1243="1111")),TH!D1243,""),"")</f>
        <v/>
      </c>
      <c r="B1243" s="60" t="str">
        <f t="shared" si="197"/>
        <v/>
      </c>
      <c r="C1243" s="226"/>
      <c r="D1243" s="981"/>
      <c r="E1243" s="981"/>
      <c r="F1243" s="1009"/>
      <c r="G1243" s="987"/>
      <c r="H1243" s="997"/>
      <c r="I1243" s="984"/>
      <c r="J1243" s="984"/>
      <c r="K1243" s="984"/>
      <c r="L1243" s="983"/>
      <c r="M1243" s="970"/>
      <c r="N1243" s="986"/>
      <c r="O1243" s="986"/>
      <c r="P1243" s="79" t="str">
        <f>IF(AND('331-CT'!$E$7=TH!H1243,OR(N1243="331",O1243="331")),"x","")</f>
        <v/>
      </c>
      <c r="Q1243" s="79" t="str">
        <f>IF(AND(B1243='111'!$L$11,OR($N1243=$Q$7,$O1243=$Q$7)),"x","")</f>
        <v/>
      </c>
      <c r="R1243" s="79" t="str">
        <f>IF(AND($N1243=$Q$7,$B1243&lt;'111'!$L$11),"x","")</f>
        <v/>
      </c>
      <c r="S1243" s="79" t="str">
        <f>IF(AND($O1243=$Q$7,$B1243&lt;'111'!$L$11),"x","")</f>
        <v/>
      </c>
      <c r="T1243" s="79" t="str">
        <f>IF(ISERROR(FIND('112'!$M$9,G1243,1)),"",IF((AND(FIND('112'!$M$9,G1243,1)&gt;=1,B1243='112'!$K$9,OR($N1243='112'!$I$6,$O1243='112'!$I$6))),"x",""))</f>
        <v/>
      </c>
      <c r="U1243" s="79" t="str">
        <f>IF(ISERROR(FIND('112'!$M$9,G1243,1)),"",IF((AND(LEFT(G1243,2)=LEFT('112'!$M$9,2),B1243&lt;'112'!$K$9,$N1243='112'!$I$6)),"x",""))</f>
        <v/>
      </c>
      <c r="V1243" s="79" t="str">
        <f>IF(ISERROR(FIND('112'!$M$9,G1243,1)),"",IF((AND(RIGHT(G1243,2)=RIGHT('112'!$M$9,2),B1243&lt;'112'!$K$9,$O1243='112'!$I$6)),"x",""))</f>
        <v/>
      </c>
      <c r="W1243" s="79" t="str">
        <f>IF(AND('341-CT'!$H$9=H1243,OR(LEFT(N1243,3)=$W$7,LEFT(O1243,3)=$W$7)),"x","")</f>
        <v/>
      </c>
      <c r="X1243" s="79" t="str">
        <f>IF(OR(TH!N1243=TH!$X$7,O1243=TH!$X$7),"x","")</f>
        <v/>
      </c>
      <c r="Y1243" s="79" t="str">
        <f>IF(AND(OR(N1243="131",O1243="131"),H1243='131-CT'!$H$9),"x","")</f>
        <v/>
      </c>
      <c r="Z1243" s="79"/>
      <c r="AA1243" s="79" t="str">
        <f>IF(AND(MONTH(E1243)='IN-NX'!$J$5,'IN-NX'!$D$7=D1243),"x","")</f>
        <v/>
      </c>
      <c r="AB1243" s="79" t="str">
        <f>IF(AND(OR(LEFT(TH!N1243,2)="15",LEFT(TH!O1243,2)="15"),LEFT(TH!O1243,3)&lt;&gt;"111",'152-CT'!$J$8=TH!F1243),"x","")</f>
        <v/>
      </c>
      <c r="AC1243" s="79" t="str">
        <f>IF(AND(OR(LEFT(TH!N1243,2)="15",LEFT(TH!O1243,2)="15"),TK!$E$7=TH!F1243),"x","")</f>
        <v/>
      </c>
      <c r="AD1243" s="79" t="str">
        <f>IF(AND(N1243="1521",MONTH(C1243)='BK-NL'!$M$11),"x","")</f>
        <v/>
      </c>
    </row>
    <row r="1244" spans="1:30" ht="16.5" customHeight="1">
      <c r="A1244" s="318" t="str">
        <f>IF(B1244&lt;&gt;"",IF(AND(B1244='IN-TC'!$S$4,OR(TH!N1244="1111",TH!O1244="1111")),TH!D1244,""),"")</f>
        <v/>
      </c>
      <c r="B1244" s="60" t="str">
        <f t="shared" si="197"/>
        <v/>
      </c>
      <c r="C1244" s="226"/>
      <c r="D1244" s="226"/>
      <c r="E1244" s="226"/>
      <c r="F1244" s="446"/>
      <c r="G1244" s="763"/>
      <c r="H1244" s="321"/>
      <c r="I1244" s="385"/>
      <c r="J1244" s="385"/>
      <c r="K1244" s="385"/>
      <c r="L1244" s="392"/>
      <c r="M1244" s="970"/>
      <c r="N1244" s="980"/>
      <c r="O1244" s="980"/>
      <c r="P1244" s="79" t="str">
        <f>IF(AND('331-CT'!$E$7=TH!H1244,OR(N1244="331",O1244="331")),"x","")</f>
        <v/>
      </c>
      <c r="Q1244" s="79" t="str">
        <f>IF(AND(B1244='111'!$L$11,OR($N1244=$Q$7,$O1244=$Q$7)),"x","")</f>
        <v/>
      </c>
      <c r="R1244" s="79" t="str">
        <f>IF(AND($N1244=$Q$7,$B1244&lt;'111'!$L$11),"x","")</f>
        <v/>
      </c>
      <c r="S1244" s="79" t="str">
        <f>IF(AND($O1244=$Q$7,$B1244&lt;'111'!$L$11),"x","")</f>
        <v/>
      </c>
      <c r="T1244" s="79" t="str">
        <f>IF(ISERROR(FIND('112'!$M$9,G1244,1)),"",IF((AND(FIND('112'!$M$9,G1244,1)&gt;=1,B1244='112'!$K$9,OR($N1244='112'!$I$6,$O1244='112'!$I$6))),"x",""))</f>
        <v/>
      </c>
      <c r="U1244" s="79" t="str">
        <f>IF(ISERROR(FIND('112'!$M$9,G1244,1)),"",IF((AND(LEFT(G1244,2)=LEFT('112'!$M$9,2),B1244&lt;'112'!$K$9,$N1244='112'!$I$6)),"x",""))</f>
        <v/>
      </c>
      <c r="V1244" s="79" t="str">
        <f>IF(ISERROR(FIND('112'!$M$9,G1244,1)),"",IF((AND(RIGHT(G1244,2)=RIGHT('112'!$M$9,2),B1244&lt;'112'!$K$9,$O1244='112'!$I$6)),"x",""))</f>
        <v/>
      </c>
      <c r="W1244" s="79" t="str">
        <f>IF(AND('341-CT'!$H$9=H1244,OR(LEFT(N1244,3)=$W$7,LEFT(O1244,3)=$W$7)),"x","")</f>
        <v/>
      </c>
      <c r="X1244" s="79" t="str">
        <f>IF(OR(TH!N1244=TH!$X$7,O1244=TH!$X$7),"x","")</f>
        <v/>
      </c>
      <c r="Y1244" s="79" t="str">
        <f>IF(AND(OR(N1244="131",O1244="131"),H1244='131-CT'!$H$9),"x","")</f>
        <v/>
      </c>
      <c r="Z1244" s="79"/>
      <c r="AA1244" s="79" t="str">
        <f>IF(AND(MONTH(E1244)='IN-NX'!$J$5,'IN-NX'!$D$7=D1244),"x","")</f>
        <v/>
      </c>
      <c r="AB1244" s="79" t="str">
        <f>IF(AND(OR(LEFT(TH!N1244,2)="15",LEFT(TH!O1244,2)="15"),LEFT(TH!O1244,3)&lt;&gt;"111",'152-CT'!$J$8=TH!F1244),"x","")</f>
        <v/>
      </c>
      <c r="AC1244" s="79" t="str">
        <f>IF(AND(OR(LEFT(TH!N1244,2)="15",LEFT(TH!O1244,2)="15"),TK!$E$7=TH!F1244),"x","")</f>
        <v/>
      </c>
      <c r="AD1244" s="79" t="str">
        <f>IF(AND(N1244="1521",MONTH(C1244)='BK-NL'!$M$11),"x","")</f>
        <v/>
      </c>
    </row>
    <row r="1245" spans="1:30" ht="16.5" customHeight="1">
      <c r="A1245" s="318" t="str">
        <f>IF(B1245&lt;&gt;"",IF(AND(B1245='IN-TC'!$S$4,OR(TH!N1245="1111",TH!O1245="1111")),TH!D1245,""),"")</f>
        <v/>
      </c>
      <c r="B1245" s="60" t="str">
        <f t="shared" si="197"/>
        <v/>
      </c>
      <c r="C1245" s="226"/>
      <c r="D1245" s="226"/>
      <c r="E1245" s="226"/>
      <c r="F1245" s="446"/>
      <c r="G1245" s="763"/>
      <c r="H1245" s="321"/>
      <c r="I1245" s="385"/>
      <c r="J1245" s="385"/>
      <c r="K1245" s="385"/>
      <c r="L1245" s="392"/>
      <c r="M1245" s="970"/>
      <c r="N1245" s="980"/>
      <c r="O1245" s="980"/>
      <c r="P1245" s="79" t="str">
        <f>IF(AND('331-CT'!$E$7=TH!H1245,OR(N1245="331",O1245="331")),"x","")</f>
        <v/>
      </c>
      <c r="Q1245" s="79" t="str">
        <f>IF(AND(B1245='111'!$L$11,OR($N1245=$Q$7,$O1245=$Q$7)),"x","")</f>
        <v/>
      </c>
      <c r="R1245" s="79" t="str">
        <f>IF(AND($N1245=$Q$7,$B1245&lt;'111'!$L$11),"x","")</f>
        <v/>
      </c>
      <c r="S1245" s="79" t="str">
        <f>IF(AND($O1245=$Q$7,$B1245&lt;'111'!$L$11),"x","")</f>
        <v/>
      </c>
      <c r="T1245" s="79" t="str">
        <f>IF(ISERROR(FIND('112'!$M$9,G1245,1)),"",IF((AND(FIND('112'!$M$9,G1245,1)&gt;=1,B1245='112'!$K$9,OR($N1245='112'!$I$6,$O1245='112'!$I$6))),"x",""))</f>
        <v/>
      </c>
      <c r="U1245" s="79" t="str">
        <f>IF(ISERROR(FIND('112'!$M$9,G1245,1)),"",IF((AND(LEFT(G1245,2)=LEFT('112'!$M$9,2),B1245&lt;'112'!$K$9,$N1245='112'!$I$6)),"x",""))</f>
        <v/>
      </c>
      <c r="V1245" s="79" t="str">
        <f>IF(ISERROR(FIND('112'!$M$9,G1245,1)),"",IF((AND(RIGHT(G1245,2)=RIGHT('112'!$M$9,2),B1245&lt;'112'!$K$9,$O1245='112'!$I$6)),"x",""))</f>
        <v/>
      </c>
      <c r="W1245" s="79" t="str">
        <f>IF(AND('341-CT'!$H$9=H1245,OR(LEFT(N1245,3)=$W$7,LEFT(O1245,3)=$W$7)),"x","")</f>
        <v/>
      </c>
      <c r="X1245" s="79" t="str">
        <f>IF(OR(TH!N1245=TH!$X$7,O1245=TH!$X$7),"x","")</f>
        <v/>
      </c>
      <c r="Y1245" s="79" t="str">
        <f>IF(AND(OR(N1245="131",O1245="131"),H1245='131-CT'!$H$9),"x","")</f>
        <v/>
      </c>
      <c r="Z1245" s="79"/>
      <c r="AA1245" s="79" t="str">
        <f>IF(AND(MONTH(E1245)='IN-NX'!$J$5,'IN-NX'!$D$7=D1245),"x","")</f>
        <v/>
      </c>
      <c r="AB1245" s="79" t="str">
        <f>IF(AND(OR(LEFT(TH!N1245,2)="15",LEFT(TH!O1245,2)="15"),LEFT(TH!O1245,3)&lt;&gt;"111",'152-CT'!$J$8=TH!F1245),"x","")</f>
        <v/>
      </c>
      <c r="AC1245" s="79" t="str">
        <f>IF(AND(OR(LEFT(TH!N1245,2)="15",LEFT(TH!O1245,2)="15"),TK!$E$7=TH!F1245),"x","")</f>
        <v/>
      </c>
      <c r="AD1245" s="79" t="str">
        <f>IF(AND(N1245="1521",MONTH(C1245)='BK-NL'!$M$11),"x","")</f>
        <v/>
      </c>
    </row>
    <row r="1246" spans="1:30" s="1102" customFormat="1" ht="16.5" customHeight="1">
      <c r="A1246" s="318" t="str">
        <f>IF(B1246&lt;&gt;"",IF(AND(B1246='IN-TC'!$S$4,OR(TH!N1246="1111",TH!O1246="1111")),TH!D1246,""),"")</f>
        <v/>
      </c>
      <c r="B1246" s="60" t="str">
        <f t="shared" si="197"/>
        <v/>
      </c>
      <c r="C1246" s="226"/>
      <c r="D1246" s="981"/>
      <c r="E1246" s="981"/>
      <c r="F1246" s="1009"/>
      <c r="G1246" s="987"/>
      <c r="H1246" s="997"/>
      <c r="I1246" s="984"/>
      <c r="J1246" s="984"/>
      <c r="K1246" s="984"/>
      <c r="L1246" s="983"/>
      <c r="M1246" s="970"/>
      <c r="N1246" s="986"/>
      <c r="O1246" s="986"/>
      <c r="P1246" s="79" t="str">
        <f>IF(AND('331-CT'!$E$7=TH!H1246,OR(N1246="331",O1246="331")),"x","")</f>
        <v/>
      </c>
      <c r="Q1246" s="79" t="str">
        <f>IF(AND(B1246='111'!$L$11,OR($N1246=$Q$7,$O1246=$Q$7)),"x","")</f>
        <v/>
      </c>
      <c r="R1246" s="79" t="str">
        <f>IF(AND($N1246=$Q$7,$B1246&lt;'111'!$L$11),"x","")</f>
        <v/>
      </c>
      <c r="S1246" s="79" t="str">
        <f>IF(AND($O1246=$Q$7,$B1246&lt;'111'!$L$11),"x","")</f>
        <v/>
      </c>
      <c r="T1246" s="79" t="str">
        <f>IF(ISERROR(FIND('112'!$M$9,G1246,1)),"",IF((AND(FIND('112'!$M$9,G1246,1)&gt;=1,B1246='112'!$K$9,OR($N1246='112'!$I$6,$O1246='112'!$I$6))),"x",""))</f>
        <v/>
      </c>
      <c r="U1246" s="79" t="str">
        <f>IF(ISERROR(FIND('112'!$M$9,G1246,1)),"",IF((AND(LEFT(G1246,2)=LEFT('112'!$M$9,2),B1246&lt;'112'!$K$9,$N1246='112'!$I$6)),"x",""))</f>
        <v/>
      </c>
      <c r="V1246" s="79" t="str">
        <f>IF(ISERROR(FIND('112'!$M$9,G1246,1)),"",IF((AND(RIGHT(G1246,2)=RIGHT('112'!$M$9,2),B1246&lt;'112'!$K$9,$O1246='112'!$I$6)),"x",""))</f>
        <v/>
      </c>
      <c r="W1246" s="79" t="str">
        <f>IF(AND('341-CT'!$H$9=H1246,OR(LEFT(N1246,3)=$W$7,LEFT(O1246,3)=$W$7)),"x","")</f>
        <v/>
      </c>
      <c r="X1246" s="79" t="str">
        <f>IF(OR(TH!N1246=TH!$X$7,O1246=TH!$X$7),"x","")</f>
        <v/>
      </c>
      <c r="Y1246" s="79" t="str">
        <f>IF(AND(OR(N1246="131",O1246="131"),H1246='131-CT'!$H$9),"x","")</f>
        <v/>
      </c>
      <c r="Z1246" s="79"/>
      <c r="AA1246" s="79" t="str">
        <f>IF(AND(MONTH(E1246)='IN-NX'!$J$5,'IN-NX'!$D$7=D1246),"x","")</f>
        <v/>
      </c>
      <c r="AB1246" s="79" t="str">
        <f>IF(AND(OR(LEFT(TH!N1246,2)="15",LEFT(TH!O1246,2)="15"),LEFT(TH!O1246,3)&lt;&gt;"111",'152-CT'!$J$8=TH!F1246),"x","")</f>
        <v/>
      </c>
      <c r="AC1246" s="79" t="str">
        <f>IF(AND(OR(LEFT(TH!N1246,2)="15",LEFT(TH!O1246,2)="15"),TK!$E$7=TH!F1246),"x","")</f>
        <v/>
      </c>
      <c r="AD1246" s="79" t="str">
        <f>IF(AND(N1246="1521",MONTH(C1246)='BK-NL'!$M$11),"x","")</f>
        <v/>
      </c>
    </row>
    <row r="1247" spans="1:30" ht="16.5" customHeight="1">
      <c r="A1247" s="318" t="str">
        <f>IF(B1247&lt;&gt;"",IF(AND(B1247='IN-TC'!$S$4,OR(TH!N1247="1111",TH!O1247="1111")),TH!D1247,""),"")</f>
        <v/>
      </c>
      <c r="B1247" s="60" t="str">
        <f t="shared" si="197"/>
        <v/>
      </c>
      <c r="C1247" s="226"/>
      <c r="D1247" s="226"/>
      <c r="E1247" s="226"/>
      <c r="F1247" s="446"/>
      <c r="G1247" s="763"/>
      <c r="H1247" s="321"/>
      <c r="I1247" s="385"/>
      <c r="J1247" s="385"/>
      <c r="K1247" s="392"/>
      <c r="L1247" s="392"/>
      <c r="M1247" s="970"/>
      <c r="N1247" s="980"/>
      <c r="O1247" s="980"/>
      <c r="P1247" s="79" t="str">
        <f>IF(AND('331-CT'!$E$7=TH!H1247,OR(N1247="331",O1247="331")),"x","")</f>
        <v/>
      </c>
      <c r="Q1247" s="79" t="str">
        <f>IF(AND(B1247='111'!$L$11,OR($N1247=$Q$7,$O1247=$Q$7)),"x","")</f>
        <v/>
      </c>
      <c r="R1247" s="79" t="str">
        <f>IF(AND($N1247=$Q$7,$B1247&lt;'111'!$L$11),"x","")</f>
        <v/>
      </c>
      <c r="S1247" s="79" t="str">
        <f>IF(AND($O1247=$Q$7,$B1247&lt;'111'!$L$11),"x","")</f>
        <v/>
      </c>
      <c r="T1247" s="79" t="str">
        <f>IF(ISERROR(FIND('112'!$M$9,G1247,1)),"",IF((AND(FIND('112'!$M$9,G1247,1)&gt;=1,B1247='112'!$K$9,OR($N1247='112'!$I$6,$O1247='112'!$I$6))),"x",""))</f>
        <v/>
      </c>
      <c r="U1247" s="79" t="str">
        <f>IF(ISERROR(FIND('112'!$M$9,G1247,1)),"",IF((AND(LEFT(G1247,2)=LEFT('112'!$M$9,2),B1247&lt;'112'!$K$9,$N1247='112'!$I$6)),"x",""))</f>
        <v/>
      </c>
      <c r="V1247" s="79" t="str">
        <f>IF(ISERROR(FIND('112'!$M$9,G1247,1)),"",IF((AND(RIGHT(G1247,2)=RIGHT('112'!$M$9,2),B1247&lt;'112'!$K$9,$O1247='112'!$I$6)),"x",""))</f>
        <v/>
      </c>
      <c r="W1247" s="79" t="str">
        <f>IF(AND('341-CT'!$H$9=H1247,OR(LEFT(N1247,3)=$W$7,LEFT(O1247,3)=$W$7)),"x","")</f>
        <v/>
      </c>
      <c r="X1247" s="79" t="str">
        <f>IF(OR(TH!N1247=TH!$X$7,O1247=TH!$X$7),"x","")</f>
        <v/>
      </c>
      <c r="Y1247" s="79" t="str">
        <f>IF(AND(OR(N1247="131",O1247="131"),H1247='131-CT'!$H$9),"x","")</f>
        <v/>
      </c>
      <c r="Z1247" s="79"/>
      <c r="AA1247" s="79" t="str">
        <f>IF(AND(MONTH(E1247)='IN-NX'!$J$5,'IN-NX'!$D$7=D1247),"x","")</f>
        <v/>
      </c>
      <c r="AB1247" s="79" t="str">
        <f>IF(AND(OR(LEFT(TH!N1247,2)="15",LEFT(TH!O1247,2)="15"),LEFT(TH!O1247,3)&lt;&gt;"111",'152-CT'!$J$8=TH!F1247),"x","")</f>
        <v/>
      </c>
      <c r="AC1247" s="79" t="str">
        <f>IF(AND(OR(LEFT(TH!N1247,2)="15",LEFT(TH!O1247,2)="15"),TK!$E$7=TH!F1247),"x","")</f>
        <v/>
      </c>
      <c r="AD1247" s="79" t="str">
        <f>IF(AND(N1247="1521",MONTH(C1247)='BK-NL'!$M$11),"x","")</f>
        <v/>
      </c>
    </row>
    <row r="1248" spans="1:30" ht="16.5" customHeight="1">
      <c r="A1248" s="318" t="str">
        <f>IF(B1248&lt;&gt;"",IF(AND(B1248='IN-TC'!$S$4,OR(TH!N1248="1111",TH!O1248="1111")),TH!D1248,""),"")</f>
        <v/>
      </c>
      <c r="B1248" s="60" t="str">
        <f t="shared" si="197"/>
        <v/>
      </c>
      <c r="C1248" s="226"/>
      <c r="D1248" s="226"/>
      <c r="E1248" s="226"/>
      <c r="F1248" s="446"/>
      <c r="G1248" s="763"/>
      <c r="H1248" s="321"/>
      <c r="I1248" s="385"/>
      <c r="J1248" s="385"/>
      <c r="K1248" s="392"/>
      <c r="L1248" s="392"/>
      <c r="M1248" s="970"/>
      <c r="N1248" s="980"/>
      <c r="O1248" s="980"/>
      <c r="P1248" s="79" t="str">
        <f>IF(AND('331-CT'!$E$7=TH!H1248,OR(N1248="331",O1248="331")),"x","")</f>
        <v/>
      </c>
      <c r="Q1248" s="79" t="str">
        <f>IF(AND(B1248='111'!$L$11,OR($N1248=$Q$7,$O1248=$Q$7)),"x","")</f>
        <v/>
      </c>
      <c r="R1248" s="79" t="str">
        <f>IF(AND($N1248=$Q$7,$B1248&lt;'111'!$L$11),"x","")</f>
        <v/>
      </c>
      <c r="S1248" s="79" t="str">
        <f>IF(AND($O1248=$Q$7,$B1248&lt;'111'!$L$11),"x","")</f>
        <v/>
      </c>
      <c r="T1248" s="79" t="str">
        <f>IF(ISERROR(FIND('112'!$M$9,G1248,1)),"",IF((AND(FIND('112'!$M$9,G1248,1)&gt;=1,B1248='112'!$K$9,OR($N1248='112'!$I$6,$O1248='112'!$I$6))),"x",""))</f>
        <v/>
      </c>
      <c r="U1248" s="79" t="str">
        <f>IF(ISERROR(FIND('112'!$M$9,G1248,1)),"",IF((AND(LEFT(G1248,2)=LEFT('112'!$M$9,2),B1248&lt;'112'!$K$9,$N1248='112'!$I$6)),"x",""))</f>
        <v/>
      </c>
      <c r="V1248" s="79" t="str">
        <f>IF(ISERROR(FIND('112'!$M$9,G1248,1)),"",IF((AND(RIGHT(G1248,2)=RIGHT('112'!$M$9,2),B1248&lt;'112'!$K$9,$O1248='112'!$I$6)),"x",""))</f>
        <v/>
      </c>
      <c r="W1248" s="79" t="str">
        <f>IF(AND('341-CT'!$H$9=H1248,OR(LEFT(N1248,3)=$W$7,LEFT(O1248,3)=$W$7)),"x","")</f>
        <v/>
      </c>
      <c r="X1248" s="79" t="str">
        <f>IF(OR(TH!N1248=TH!$X$7,O1248=TH!$X$7),"x","")</f>
        <v/>
      </c>
      <c r="Y1248" s="79" t="str">
        <f>IF(AND(OR(N1248="131",O1248="131"),H1248='131-CT'!$H$9),"x","")</f>
        <v/>
      </c>
      <c r="Z1248" s="79"/>
      <c r="AA1248" s="79" t="str">
        <f>IF(AND(MONTH(E1248)='IN-NX'!$J$5,'IN-NX'!$D$7=D1248),"x","")</f>
        <v/>
      </c>
      <c r="AB1248" s="79" t="str">
        <f>IF(AND(OR(LEFT(TH!N1248,2)="15",LEFT(TH!O1248,2)="15"),LEFT(TH!O1248,3)&lt;&gt;"111",'152-CT'!$J$8=TH!F1248),"x","")</f>
        <v/>
      </c>
      <c r="AC1248" s="79" t="str">
        <f>IF(AND(OR(LEFT(TH!N1248,2)="15",LEFT(TH!O1248,2)="15"),TK!$E$7=TH!F1248),"x","")</f>
        <v/>
      </c>
      <c r="AD1248" s="79" t="str">
        <f>IF(AND(N1248="1521",MONTH(C1248)='BK-NL'!$M$11),"x","")</f>
        <v/>
      </c>
    </row>
    <row r="1249" spans="1:30" ht="16.5" customHeight="1">
      <c r="A1249" s="318" t="str">
        <f>IF(B1249&lt;&gt;"",IF(AND(B1249='IN-TC'!$S$4,OR(TH!N1249="1111",TH!O1249="1111")),TH!D1249,""),"")</f>
        <v/>
      </c>
      <c r="B1249" s="60" t="str">
        <f t="shared" si="197"/>
        <v/>
      </c>
      <c r="C1249" s="226"/>
      <c r="D1249" s="226"/>
      <c r="E1249" s="226"/>
      <c r="F1249" s="446"/>
      <c r="G1249" s="763"/>
      <c r="H1249" s="321"/>
      <c r="I1249" s="385"/>
      <c r="J1249" s="385"/>
      <c r="K1249" s="392"/>
      <c r="L1249" s="392"/>
      <c r="M1249" s="970"/>
      <c r="N1249" s="980"/>
      <c r="O1249" s="980"/>
      <c r="P1249" s="79" t="str">
        <f>IF(AND('331-CT'!$E$7=TH!H1249,OR(N1249="331",O1249="331")),"x","")</f>
        <v/>
      </c>
      <c r="Q1249" s="79" t="str">
        <f>IF(AND(B1249='111'!$L$11,OR($N1249=$Q$7,$O1249=$Q$7)),"x","")</f>
        <v/>
      </c>
      <c r="R1249" s="79" t="str">
        <f>IF(AND($N1249=$Q$7,$B1249&lt;'111'!$L$11),"x","")</f>
        <v/>
      </c>
      <c r="S1249" s="79" t="str">
        <f>IF(AND($O1249=$Q$7,$B1249&lt;'111'!$L$11),"x","")</f>
        <v/>
      </c>
      <c r="T1249" s="79" t="str">
        <f>IF(ISERROR(FIND('112'!$M$9,G1249,1)),"",IF((AND(FIND('112'!$M$9,G1249,1)&gt;=1,B1249='112'!$K$9,OR($N1249='112'!$I$6,$O1249='112'!$I$6))),"x",""))</f>
        <v/>
      </c>
      <c r="U1249" s="79" t="str">
        <f>IF(ISERROR(FIND('112'!$M$9,G1249,1)),"",IF((AND(LEFT(G1249,2)=LEFT('112'!$M$9,2),B1249&lt;'112'!$K$9,$N1249='112'!$I$6)),"x",""))</f>
        <v/>
      </c>
      <c r="V1249" s="79" t="str">
        <f>IF(ISERROR(FIND('112'!$M$9,G1249,1)),"",IF((AND(RIGHT(G1249,2)=RIGHT('112'!$M$9,2),B1249&lt;'112'!$K$9,$O1249='112'!$I$6)),"x",""))</f>
        <v/>
      </c>
      <c r="W1249" s="79" t="str">
        <f>IF(AND('341-CT'!$H$9=H1249,OR(LEFT(N1249,3)=$W$7,LEFT(O1249,3)=$W$7)),"x","")</f>
        <v/>
      </c>
      <c r="X1249" s="79" t="str">
        <f>IF(OR(TH!N1249=TH!$X$7,O1249=TH!$X$7),"x","")</f>
        <v/>
      </c>
      <c r="Y1249" s="79" t="str">
        <f>IF(AND(OR(N1249="131",O1249="131"),H1249='131-CT'!$H$9),"x","")</f>
        <v/>
      </c>
      <c r="Z1249" s="79"/>
      <c r="AA1249" s="79" t="str">
        <f>IF(AND(MONTH(E1249)='IN-NX'!$J$5,'IN-NX'!$D$7=D1249),"x","")</f>
        <v/>
      </c>
      <c r="AB1249" s="79" t="str">
        <f>IF(AND(OR(LEFT(TH!N1249,2)="15",LEFT(TH!O1249,2)="15"),LEFT(TH!O1249,3)&lt;&gt;"111",'152-CT'!$J$8=TH!F1249),"x","")</f>
        <v/>
      </c>
      <c r="AC1249" s="79" t="str">
        <f>IF(AND(OR(LEFT(TH!N1249,2)="15",LEFT(TH!O1249,2)="15"),TK!$E$7=TH!F1249),"x","")</f>
        <v/>
      </c>
      <c r="AD1249" s="79" t="str">
        <f>IF(AND(N1249="1521",MONTH(C1249)='BK-NL'!$M$11),"x","")</f>
        <v/>
      </c>
    </row>
    <row r="1250" spans="1:30" ht="16.5" customHeight="1">
      <c r="A1250" s="318" t="str">
        <f>IF(B1250&lt;&gt;"",IF(AND(B1250='IN-TC'!$S$4,OR(TH!N1250="1111",TH!O1250="1111")),TH!D1250,""),"")</f>
        <v/>
      </c>
      <c r="B1250" s="60" t="str">
        <f t="shared" si="197"/>
        <v/>
      </c>
      <c r="C1250" s="226"/>
      <c r="D1250" s="226"/>
      <c r="E1250" s="226"/>
      <c r="F1250" s="446"/>
      <c r="G1250" s="763"/>
      <c r="H1250" s="321"/>
      <c r="I1250" s="385"/>
      <c r="J1250" s="385"/>
      <c r="K1250" s="392"/>
      <c r="L1250" s="392"/>
      <c r="M1250" s="970"/>
      <c r="N1250" s="980"/>
      <c r="O1250" s="980"/>
      <c r="P1250" s="79" t="str">
        <f>IF(AND('331-CT'!$E$7=TH!H1250,OR(N1250="331",O1250="331")),"x","")</f>
        <v/>
      </c>
      <c r="Q1250" s="79" t="str">
        <f>IF(AND(B1250='111'!$L$11,OR($N1250=$Q$7,$O1250=$Q$7)),"x","")</f>
        <v/>
      </c>
      <c r="R1250" s="79" t="str">
        <f>IF(AND($N1250=$Q$7,$B1250&lt;'111'!$L$11),"x","")</f>
        <v/>
      </c>
      <c r="S1250" s="79" t="str">
        <f>IF(AND($O1250=$Q$7,$B1250&lt;'111'!$L$11),"x","")</f>
        <v/>
      </c>
      <c r="T1250" s="79" t="str">
        <f>IF(ISERROR(FIND('112'!$M$9,G1250,1)),"",IF((AND(FIND('112'!$M$9,G1250,1)&gt;=1,B1250='112'!$K$9,OR($N1250='112'!$I$6,$O1250='112'!$I$6))),"x",""))</f>
        <v/>
      </c>
      <c r="U1250" s="79" t="str">
        <f>IF(ISERROR(FIND('112'!$M$9,G1250,1)),"",IF((AND(LEFT(G1250,2)=LEFT('112'!$M$9,2),B1250&lt;'112'!$K$9,$N1250='112'!$I$6)),"x",""))</f>
        <v/>
      </c>
      <c r="V1250" s="79" t="str">
        <f>IF(ISERROR(FIND('112'!$M$9,G1250,1)),"",IF((AND(RIGHT(G1250,2)=RIGHT('112'!$M$9,2),B1250&lt;'112'!$K$9,$O1250='112'!$I$6)),"x",""))</f>
        <v/>
      </c>
      <c r="W1250" s="79" t="str">
        <f>IF(AND('341-CT'!$H$9=H1250,OR(LEFT(N1250,3)=$W$7,LEFT(O1250,3)=$W$7)),"x","")</f>
        <v/>
      </c>
      <c r="X1250" s="79" t="str">
        <f>IF(OR(TH!N1250=TH!$X$7,O1250=TH!$X$7),"x","")</f>
        <v/>
      </c>
      <c r="Y1250" s="79" t="str">
        <f>IF(AND(OR(N1250="131",O1250="131"),H1250='131-CT'!$H$9),"x","")</f>
        <v/>
      </c>
      <c r="Z1250" s="79"/>
      <c r="AA1250" s="79" t="str">
        <f>IF(AND(MONTH(E1250)='IN-NX'!$J$5,'IN-NX'!$D$7=D1250),"x","")</f>
        <v/>
      </c>
      <c r="AB1250" s="79" t="str">
        <f>IF(AND(OR(LEFT(TH!N1250,2)="15",LEFT(TH!O1250,2)="15"),LEFT(TH!O1250,3)&lt;&gt;"111",'152-CT'!$J$8=TH!F1250),"x","")</f>
        <v/>
      </c>
      <c r="AC1250" s="79" t="str">
        <f>IF(AND(OR(LEFT(TH!N1250,2)="15",LEFT(TH!O1250,2)="15"),TK!$E$7=TH!F1250),"x","")</f>
        <v/>
      </c>
      <c r="AD1250" s="79" t="str">
        <f>IF(AND(N1250="1521",MONTH(C1250)='BK-NL'!$M$11),"x","")</f>
        <v/>
      </c>
    </row>
    <row r="1251" spans="1:30" ht="16.5" customHeight="1">
      <c r="A1251" s="318" t="str">
        <f>IF(B1251&lt;&gt;"",IF(AND(B1251='IN-TC'!$S$4,OR(TH!N1251="1111",TH!O1251="1111")),TH!D1251,""),"")</f>
        <v/>
      </c>
      <c r="B1251" s="60" t="str">
        <f t="shared" si="197"/>
        <v/>
      </c>
      <c r="C1251" s="226"/>
      <c r="D1251" s="226"/>
      <c r="E1251" s="226"/>
      <c r="F1251" s="446"/>
      <c r="G1251" s="763"/>
      <c r="H1251" s="321"/>
      <c r="I1251" s="385"/>
      <c r="J1251" s="385"/>
      <c r="K1251" s="392"/>
      <c r="L1251" s="392"/>
      <c r="M1251" s="970"/>
      <c r="N1251" s="980"/>
      <c r="O1251" s="980"/>
      <c r="P1251" s="79" t="str">
        <f>IF(AND('331-CT'!$E$7=TH!H1251,OR(N1251="331",O1251="331")),"x","")</f>
        <v/>
      </c>
      <c r="Q1251" s="79" t="str">
        <f>IF(AND(B1251='111'!$L$11,OR($N1251=$Q$7,$O1251=$Q$7)),"x","")</f>
        <v/>
      </c>
      <c r="R1251" s="79" t="str">
        <f>IF(AND($N1251=$Q$7,$B1251&lt;'111'!$L$11),"x","")</f>
        <v/>
      </c>
      <c r="S1251" s="79" t="str">
        <f>IF(AND($O1251=$Q$7,$B1251&lt;'111'!$L$11),"x","")</f>
        <v/>
      </c>
      <c r="T1251" s="79" t="str">
        <f>IF(ISERROR(FIND('112'!$M$9,G1251,1)),"",IF((AND(FIND('112'!$M$9,G1251,1)&gt;=1,B1251='112'!$K$9,OR($N1251='112'!$I$6,$O1251='112'!$I$6))),"x",""))</f>
        <v/>
      </c>
      <c r="U1251" s="79" t="str">
        <f>IF(ISERROR(FIND('112'!$M$9,G1251,1)),"",IF((AND(LEFT(G1251,2)=LEFT('112'!$M$9,2),B1251&lt;'112'!$K$9,$N1251='112'!$I$6)),"x",""))</f>
        <v/>
      </c>
      <c r="V1251" s="79" t="str">
        <f>IF(ISERROR(FIND('112'!$M$9,G1251,1)),"",IF((AND(RIGHT(G1251,2)=RIGHT('112'!$M$9,2),B1251&lt;'112'!$K$9,$O1251='112'!$I$6)),"x",""))</f>
        <v/>
      </c>
      <c r="W1251" s="79" t="str">
        <f>IF(AND('341-CT'!$H$9=H1251,OR(LEFT(N1251,3)=$W$7,LEFT(O1251,3)=$W$7)),"x","")</f>
        <v/>
      </c>
      <c r="X1251" s="79" t="str">
        <f>IF(OR(TH!N1251=TH!$X$7,O1251=TH!$X$7),"x","")</f>
        <v/>
      </c>
      <c r="Y1251" s="79" t="str">
        <f>IF(AND(OR(N1251="131",O1251="131"),H1251='131-CT'!$H$9),"x","")</f>
        <v/>
      </c>
      <c r="Z1251" s="79"/>
      <c r="AA1251" s="79" t="str">
        <f>IF(AND(MONTH(E1251)='IN-NX'!$J$5,'IN-NX'!$D$7=D1251),"x","")</f>
        <v/>
      </c>
      <c r="AB1251" s="79" t="str">
        <f>IF(AND(OR(LEFT(TH!N1251,2)="15",LEFT(TH!O1251,2)="15"),LEFT(TH!O1251,3)&lt;&gt;"111",'152-CT'!$J$8=TH!F1251),"x","")</f>
        <v/>
      </c>
      <c r="AC1251" s="79" t="str">
        <f>IF(AND(OR(LEFT(TH!N1251,2)="15",LEFT(TH!O1251,2)="15"),TK!$E$7=TH!F1251),"x","")</f>
        <v/>
      </c>
      <c r="AD1251" s="79" t="str">
        <f>IF(AND(N1251="1521",MONTH(C1251)='BK-NL'!$M$11),"x","")</f>
        <v/>
      </c>
    </row>
    <row r="1252" spans="1:30" s="1101" customFormat="1" ht="16.5" customHeight="1">
      <c r="A1252" s="318" t="str">
        <f>IF(B1252&lt;&gt;"",IF(AND(B1252='IN-TC'!$S$4,OR(TH!N1252="1111",TH!O1252="1111")),TH!D1252,""),"")</f>
        <v/>
      </c>
      <c r="B1252" s="60" t="str">
        <f t="shared" si="197"/>
        <v/>
      </c>
      <c r="C1252" s="226"/>
      <c r="D1252" s="226"/>
      <c r="E1252" s="226"/>
      <c r="F1252" s="1010"/>
      <c r="G1252" s="763"/>
      <c r="H1252" s="303"/>
      <c r="I1252" s="385"/>
      <c r="J1252" s="385"/>
      <c r="K1252" s="385"/>
      <c r="L1252" s="392"/>
      <c r="M1252" s="970"/>
      <c r="N1252" s="980"/>
      <c r="O1252" s="980"/>
      <c r="P1252" s="79" t="str">
        <f>IF(AND('331-CT'!$E$7=TH!H1252,OR(N1252="331",O1252="331")),"x","")</f>
        <v/>
      </c>
      <c r="Q1252" s="79" t="str">
        <f>IF(AND(B1252='111'!$L$11,OR($N1252=$Q$7,$O1252=$Q$7)),"x","")</f>
        <v/>
      </c>
      <c r="R1252" s="79" t="str">
        <f>IF(AND($N1252=$Q$7,$B1252&lt;'111'!$L$11),"x","")</f>
        <v/>
      </c>
      <c r="S1252" s="79" t="str">
        <f>IF(AND($O1252=$Q$7,$B1252&lt;'111'!$L$11),"x","")</f>
        <v/>
      </c>
      <c r="T1252" s="79" t="str">
        <f>IF(ISERROR(FIND('112'!$M$9,G1252,1)),"",IF((AND(FIND('112'!$M$9,G1252,1)&gt;=1,B1252='112'!$K$9,OR($N1252='112'!$I$6,$O1252='112'!$I$6))),"x",""))</f>
        <v/>
      </c>
      <c r="U1252" s="79" t="str">
        <f>IF(ISERROR(FIND('112'!$M$9,G1252,1)),"",IF((AND(LEFT(G1252,2)=LEFT('112'!$M$9,2),B1252&lt;'112'!$K$9,$N1252='112'!$I$6)),"x",""))</f>
        <v/>
      </c>
      <c r="V1252" s="79" t="str">
        <f>IF(ISERROR(FIND('112'!$M$9,G1252,1)),"",IF((AND(RIGHT(G1252,2)=RIGHT('112'!$M$9,2),B1252&lt;'112'!$K$9,$O1252='112'!$I$6)),"x",""))</f>
        <v/>
      </c>
      <c r="W1252" s="79" t="str">
        <f>IF(AND('341-CT'!$H$9=H1252,OR(LEFT(N1252,3)=$W$7,LEFT(O1252,3)=$W$7)),"x","")</f>
        <v/>
      </c>
      <c r="X1252" s="79" t="str">
        <f>IF(OR(TH!N1252=TH!$X$7,O1252=TH!$X$7),"x","")</f>
        <v/>
      </c>
      <c r="Y1252" s="79" t="str">
        <f>IF(AND(OR(N1252="131",O1252="131"),H1252='131-CT'!$H$9),"x","")</f>
        <v/>
      </c>
      <c r="Z1252" s="79"/>
      <c r="AA1252" s="79" t="str">
        <f>IF(AND(MONTH(E1252)='IN-NX'!$J$5,'IN-NX'!$D$7=D1252),"x","")</f>
        <v/>
      </c>
      <c r="AB1252" s="79" t="str">
        <f>IF(AND(OR(LEFT(TH!N1252,2)="15",LEFT(TH!O1252,2)="15"),LEFT(TH!O1252,3)&lt;&gt;"111",'152-CT'!$J$8=TH!F1252),"x","")</f>
        <v/>
      </c>
      <c r="AC1252" s="79" t="str">
        <f>IF(AND(OR(LEFT(TH!N1252,2)="15",LEFT(TH!O1252,2)="15"),TK!$E$7=TH!F1252),"x","")</f>
        <v/>
      </c>
      <c r="AD1252" s="79" t="str">
        <f>IF(AND(N1252="1521",MONTH(C1252)='BK-NL'!$M$11),"x","")</f>
        <v/>
      </c>
    </row>
    <row r="1253" spans="1:30" s="1102" customFormat="1" ht="16.5" customHeight="1">
      <c r="A1253" s="318" t="str">
        <f>IF(B1253&lt;&gt;"",IF(AND(B1253='IN-TC'!$S$4,OR(TH!N1253="1111",TH!O1253="1111")),TH!D1253,""),"")</f>
        <v/>
      </c>
      <c r="B1253" s="60" t="str">
        <f t="shared" si="197"/>
        <v/>
      </c>
      <c r="C1253" s="226"/>
      <c r="D1253" s="226"/>
      <c r="E1253" s="226"/>
      <c r="F1253" s="1008"/>
      <c r="G1253" s="987"/>
      <c r="H1253" s="85"/>
      <c r="I1253" s="984"/>
      <c r="J1253" s="983"/>
      <c r="K1253" s="984"/>
      <c r="L1253" s="983"/>
      <c r="M1253" s="970"/>
      <c r="N1253" s="980"/>
      <c r="O1253" s="980"/>
      <c r="P1253" s="79" t="str">
        <f>IF(AND('331-CT'!$E$7=TH!H1253,OR(N1253="331",O1253="331")),"x","")</f>
        <v/>
      </c>
      <c r="Q1253" s="79" t="str">
        <f>IF(AND(B1253='111'!$L$11,OR($N1253=$Q$7,$O1253=$Q$7)),"x","")</f>
        <v/>
      </c>
      <c r="R1253" s="79" t="str">
        <f>IF(AND($N1253=$Q$7,$B1253&lt;'111'!$L$11),"x","")</f>
        <v/>
      </c>
      <c r="S1253" s="79" t="str">
        <f>IF(AND($O1253=$Q$7,$B1253&lt;'111'!$L$11),"x","")</f>
        <v/>
      </c>
      <c r="T1253" s="79" t="str">
        <f>IF(ISERROR(FIND('112'!$M$9,G1253,1)),"",IF((AND(FIND('112'!$M$9,G1253,1)&gt;=1,B1253='112'!$K$9,OR($N1253='112'!$I$6,$O1253='112'!$I$6))),"x",""))</f>
        <v/>
      </c>
      <c r="U1253" s="79" t="str">
        <f>IF(ISERROR(FIND('112'!$M$9,G1253,1)),"",IF((AND(LEFT(G1253,2)=LEFT('112'!$M$9,2),B1253&lt;'112'!$K$9,$N1253='112'!$I$6)),"x",""))</f>
        <v/>
      </c>
      <c r="V1253" s="79" t="str">
        <f>IF(ISERROR(FIND('112'!$M$9,G1253,1)),"",IF((AND(RIGHT(G1253,2)=RIGHT('112'!$M$9,2),B1253&lt;'112'!$K$9,$O1253='112'!$I$6)),"x",""))</f>
        <v/>
      </c>
      <c r="W1253" s="79" t="str">
        <f>IF(AND('341-CT'!$H$9=H1253,OR(LEFT(N1253,3)=$W$7,LEFT(O1253,3)=$W$7)),"x","")</f>
        <v/>
      </c>
      <c r="X1253" s="79" t="str">
        <f>IF(OR(TH!N1253=TH!$X$7,O1253=TH!$X$7),"x","")</f>
        <v/>
      </c>
      <c r="Y1253" s="79" t="str">
        <f>IF(AND(OR(N1253="131",O1253="131"),H1253='131-CT'!$H$9),"x","")</f>
        <v/>
      </c>
      <c r="Z1253" s="79"/>
      <c r="AA1253" s="79" t="str">
        <f>IF(AND(MONTH(E1253)='IN-NX'!$J$5,'IN-NX'!$D$7=D1253),"x","")</f>
        <v/>
      </c>
      <c r="AB1253" s="79" t="str">
        <f>IF(AND(OR(LEFT(TH!N1253,2)="15",LEFT(TH!O1253,2)="15"),LEFT(TH!O1253,3)&lt;&gt;"111",'152-CT'!$J$8=TH!F1253),"x","")</f>
        <v/>
      </c>
      <c r="AC1253" s="79" t="str">
        <f>IF(AND(OR(LEFT(TH!N1253,2)="15",LEFT(TH!O1253,2)="15"),TK!$E$7=TH!F1253),"x","")</f>
        <v/>
      </c>
      <c r="AD1253" s="79" t="str">
        <f>IF(AND(N1253="1521",MONTH(C1253)='BK-NL'!$M$11),"x","")</f>
        <v/>
      </c>
    </row>
    <row r="1254" spans="1:30" s="1102" customFormat="1" ht="16.5" customHeight="1">
      <c r="A1254" s="318" t="str">
        <f>IF(B1254&lt;&gt;"",IF(AND(B1254='IN-TC'!$S$4,OR(TH!N1254="1111",TH!O1254="1111")),TH!D1254,""),"")</f>
        <v/>
      </c>
      <c r="B1254" s="60" t="str">
        <f t="shared" si="197"/>
        <v/>
      </c>
      <c r="C1254" s="226"/>
      <c r="D1254" s="226"/>
      <c r="E1254" s="226"/>
      <c r="F1254" s="1008"/>
      <c r="G1254" s="987"/>
      <c r="H1254" s="85"/>
      <c r="I1254" s="984"/>
      <c r="J1254" s="983"/>
      <c r="K1254" s="984"/>
      <c r="L1254" s="983"/>
      <c r="M1254" s="970"/>
      <c r="N1254" s="980"/>
      <c r="O1254" s="980"/>
      <c r="P1254" s="79" t="str">
        <f>IF(AND('331-CT'!$E$7=TH!H1254,OR(N1254="331",O1254="331")),"x","")</f>
        <v/>
      </c>
      <c r="Q1254" s="79" t="str">
        <f>IF(AND(B1254='111'!$L$11,OR($N1254=$Q$7,$O1254=$Q$7)),"x","")</f>
        <v/>
      </c>
      <c r="R1254" s="79" t="str">
        <f>IF(AND($N1254=$Q$7,$B1254&lt;'111'!$L$11),"x","")</f>
        <v/>
      </c>
      <c r="S1254" s="79" t="str">
        <f>IF(AND($O1254=$Q$7,$B1254&lt;'111'!$L$11),"x","")</f>
        <v/>
      </c>
      <c r="T1254" s="79" t="str">
        <f>IF(ISERROR(FIND('112'!$M$9,G1254,1)),"",IF((AND(FIND('112'!$M$9,G1254,1)&gt;=1,B1254='112'!$K$9,OR($N1254='112'!$I$6,$O1254='112'!$I$6))),"x",""))</f>
        <v/>
      </c>
      <c r="U1254" s="79" t="str">
        <f>IF(ISERROR(FIND('112'!$M$9,G1254,1)),"",IF((AND(LEFT(G1254,2)=LEFT('112'!$M$9,2),B1254&lt;'112'!$K$9,$N1254='112'!$I$6)),"x",""))</f>
        <v/>
      </c>
      <c r="V1254" s="79" t="str">
        <f>IF(ISERROR(FIND('112'!$M$9,G1254,1)),"",IF((AND(RIGHT(G1254,2)=RIGHT('112'!$M$9,2),B1254&lt;'112'!$K$9,$O1254='112'!$I$6)),"x",""))</f>
        <v/>
      </c>
      <c r="W1254" s="79" t="str">
        <f>IF(AND('341-CT'!$H$9=H1254,OR(LEFT(N1254,3)=$W$7,LEFT(O1254,3)=$W$7)),"x","")</f>
        <v/>
      </c>
      <c r="X1254" s="79" t="str">
        <f>IF(OR(TH!N1254=TH!$X$7,O1254=TH!$X$7),"x","")</f>
        <v/>
      </c>
      <c r="Y1254" s="79" t="str">
        <f>IF(AND(OR(N1254="131",O1254="131"),H1254='131-CT'!$H$9),"x","")</f>
        <v/>
      </c>
      <c r="Z1254" s="79"/>
      <c r="AA1254" s="79" t="str">
        <f>IF(AND(MONTH(E1254)='IN-NX'!$J$5,'IN-NX'!$D$7=D1254),"x","")</f>
        <v/>
      </c>
      <c r="AB1254" s="79" t="str">
        <f>IF(AND(OR(LEFT(TH!N1254,2)="15",LEFT(TH!O1254,2)="15"),LEFT(TH!O1254,3)&lt;&gt;"111",'152-CT'!$J$8=TH!F1254),"x","")</f>
        <v/>
      </c>
      <c r="AC1254" s="79" t="str">
        <f>IF(AND(OR(LEFT(TH!N1254,2)="15",LEFT(TH!O1254,2)="15"),TK!$E$7=TH!F1254),"x","")</f>
        <v/>
      </c>
      <c r="AD1254" s="79" t="str">
        <f>IF(AND(N1254="1521",MONTH(C1254)='BK-NL'!$M$11),"x","")</f>
        <v/>
      </c>
    </row>
    <row r="1255" spans="1:30" ht="16.5" customHeight="1">
      <c r="A1255" s="318" t="str">
        <f>IF(B1255&lt;&gt;"",IF(AND(B1255='IN-TC'!$S$4,OR(TH!N1255="1111",TH!O1255="1111")),TH!D1255,""),"")</f>
        <v/>
      </c>
      <c r="B1255" s="60" t="str">
        <f t="shared" si="197"/>
        <v/>
      </c>
      <c r="C1255" s="226"/>
      <c r="D1255" s="226"/>
      <c r="E1255" s="226"/>
      <c r="F1255" s="1010"/>
      <c r="G1255" s="763"/>
      <c r="H1255" s="303"/>
      <c r="I1255" s="385"/>
      <c r="J1255" s="969"/>
      <c r="K1255" s="969"/>
      <c r="L1255" s="392"/>
      <c r="M1255" s="970"/>
      <c r="N1255" s="980"/>
      <c r="O1255" s="980"/>
      <c r="P1255" s="79" t="str">
        <f>IF(AND('331-CT'!$E$7=TH!H1255,OR(N1255="331",O1255="331")),"x","")</f>
        <v/>
      </c>
      <c r="Q1255" s="79" t="str">
        <f>IF(AND(B1255='111'!$L$11,OR($N1255=$Q$7,$O1255=$Q$7)),"x","")</f>
        <v/>
      </c>
      <c r="R1255" s="79" t="str">
        <f>IF(AND($N1255=$Q$7,$B1255&lt;'111'!$L$11),"x","")</f>
        <v/>
      </c>
      <c r="S1255" s="79" t="str">
        <f>IF(AND($O1255=$Q$7,$B1255&lt;'111'!$L$11),"x","")</f>
        <v/>
      </c>
      <c r="T1255" s="79" t="str">
        <f>IF(ISERROR(FIND('112'!$M$9,G1255,1)),"",IF((AND(FIND('112'!$M$9,G1255,1)&gt;=1,B1255='112'!$K$9,OR($N1255='112'!$I$6,$O1255='112'!$I$6))),"x",""))</f>
        <v/>
      </c>
      <c r="U1255" s="79" t="str">
        <f>IF(ISERROR(FIND('112'!$M$9,G1255,1)),"",IF((AND(LEFT(G1255,2)=LEFT('112'!$M$9,2),B1255&lt;'112'!$K$9,$N1255='112'!$I$6)),"x",""))</f>
        <v/>
      </c>
      <c r="V1255" s="79" t="str">
        <f>IF(ISERROR(FIND('112'!$M$9,G1255,1)),"",IF((AND(RIGHT(G1255,2)=RIGHT('112'!$M$9,2),B1255&lt;'112'!$K$9,$O1255='112'!$I$6)),"x",""))</f>
        <v/>
      </c>
      <c r="W1255" s="79" t="str">
        <f>IF(AND('341-CT'!$H$9=H1255,OR(LEFT(N1255,3)=$W$7,LEFT(O1255,3)=$W$7)),"x","")</f>
        <v/>
      </c>
      <c r="X1255" s="79" t="str">
        <f>IF(OR(TH!N1255=TH!$X$7,O1255=TH!$X$7),"x","")</f>
        <v/>
      </c>
      <c r="Y1255" s="79" t="str">
        <f>IF(AND(OR(N1255="131",O1255="131"),H1255='131-CT'!$H$9),"x","")</f>
        <v/>
      </c>
      <c r="Z1255" s="79"/>
      <c r="AA1255" s="79" t="str">
        <f>IF(AND(MONTH(E1255)='IN-NX'!$J$5,'IN-NX'!$D$7=D1255),"x","")</f>
        <v/>
      </c>
      <c r="AB1255" s="79" t="str">
        <f>IF(AND(OR(LEFT(TH!N1255,2)="15",LEFT(TH!O1255,2)="15"),LEFT(TH!O1255,3)&lt;&gt;"111",'152-CT'!$J$8=TH!F1255),"x","")</f>
        <v/>
      </c>
      <c r="AC1255" s="79" t="str">
        <f>IF(AND(OR(LEFT(TH!N1255,2)="15",LEFT(TH!O1255,2)="15"),TK!$E$7=TH!F1255),"x","")</f>
        <v/>
      </c>
      <c r="AD1255" s="79" t="str">
        <f>IF(AND(N1255="1521",MONTH(C1255)='BK-NL'!$M$11),"x","")</f>
        <v/>
      </c>
    </row>
    <row r="1256" spans="1:30" ht="16.5" customHeight="1">
      <c r="A1256" s="318" t="str">
        <f>IF(B1256&lt;&gt;"",IF(AND(B1256='IN-TC'!$S$4,OR(TH!N1256="1111",TH!O1256="1111")),TH!D1256,""),"")</f>
        <v/>
      </c>
      <c r="B1256" s="60" t="str">
        <f t="shared" si="197"/>
        <v/>
      </c>
      <c r="C1256" s="226"/>
      <c r="D1256" s="226"/>
      <c r="E1256" s="226"/>
      <c r="F1256" s="1010"/>
      <c r="G1256" s="763"/>
      <c r="H1256" s="303"/>
      <c r="I1256" s="385"/>
      <c r="J1256" s="969"/>
      <c r="K1256" s="969"/>
      <c r="L1256" s="392"/>
      <c r="M1256" s="970"/>
      <c r="N1256" s="980"/>
      <c r="O1256" s="980"/>
      <c r="P1256" s="79" t="str">
        <f>IF(AND('331-CT'!$E$7=TH!H1256,OR(N1256="331",O1256="331")),"x","")</f>
        <v/>
      </c>
      <c r="Q1256" s="79" t="str">
        <f>IF(AND(B1256='111'!$L$11,OR($N1256=$Q$7,$O1256=$Q$7)),"x","")</f>
        <v/>
      </c>
      <c r="R1256" s="79" t="str">
        <f>IF(AND($N1256=$Q$7,$B1256&lt;'111'!$L$11),"x","")</f>
        <v/>
      </c>
      <c r="S1256" s="79" t="str">
        <f>IF(AND($O1256=$Q$7,$B1256&lt;'111'!$L$11),"x","")</f>
        <v/>
      </c>
      <c r="T1256" s="79" t="str">
        <f>IF(ISERROR(FIND('112'!$M$9,G1256,1)),"",IF((AND(FIND('112'!$M$9,G1256,1)&gt;=1,B1256='112'!$K$9,OR($N1256='112'!$I$6,$O1256='112'!$I$6))),"x",""))</f>
        <v/>
      </c>
      <c r="U1256" s="79" t="str">
        <f>IF(ISERROR(FIND('112'!$M$9,G1256,1)),"",IF((AND(LEFT(G1256,2)=LEFT('112'!$M$9,2),B1256&lt;'112'!$K$9,$N1256='112'!$I$6)),"x",""))</f>
        <v/>
      </c>
      <c r="V1256" s="79" t="str">
        <f>IF(ISERROR(FIND('112'!$M$9,G1256,1)),"",IF((AND(RIGHT(G1256,2)=RIGHT('112'!$M$9,2),B1256&lt;'112'!$K$9,$O1256='112'!$I$6)),"x",""))</f>
        <v/>
      </c>
      <c r="W1256" s="79" t="str">
        <f>IF(AND('341-CT'!$H$9=H1256,OR(LEFT(N1256,3)=$W$7,LEFT(O1256,3)=$W$7)),"x","")</f>
        <v/>
      </c>
      <c r="X1256" s="79" t="str">
        <f>IF(OR(TH!N1256=TH!$X$7,O1256=TH!$X$7),"x","")</f>
        <v/>
      </c>
      <c r="Y1256" s="79" t="str">
        <f>IF(AND(OR(N1256="131",O1256="131"),H1256='131-CT'!$H$9),"x","")</f>
        <v/>
      </c>
      <c r="Z1256" s="79"/>
      <c r="AA1256" s="79" t="str">
        <f>IF(AND(MONTH(E1256)='IN-NX'!$J$5,'IN-NX'!$D$7=D1256),"x","")</f>
        <v/>
      </c>
      <c r="AB1256" s="79" t="str">
        <f>IF(AND(OR(LEFT(TH!N1256,2)="15",LEFT(TH!O1256,2)="15"),LEFT(TH!O1256,3)&lt;&gt;"111",'152-CT'!$J$8=TH!F1256),"x","")</f>
        <v/>
      </c>
      <c r="AC1256" s="79" t="str">
        <f>IF(AND(OR(LEFT(TH!N1256,2)="15",LEFT(TH!O1256,2)="15"),TK!$E$7=TH!F1256),"x","")</f>
        <v/>
      </c>
      <c r="AD1256" s="79" t="str">
        <f>IF(AND(N1256="1521",MONTH(C1256)='BK-NL'!$M$11),"x","")</f>
        <v/>
      </c>
    </row>
    <row r="1257" spans="1:30" ht="16.5" customHeight="1">
      <c r="A1257" s="318" t="str">
        <f>IF(B1257&lt;&gt;"",IF(AND(B1257='IN-TC'!$S$4,OR(TH!N1257="1111",TH!O1257="1111")),TH!D1257,""),"")</f>
        <v/>
      </c>
      <c r="B1257" s="60" t="str">
        <f t="shared" si="197"/>
        <v/>
      </c>
      <c r="C1257" s="226"/>
      <c r="D1257" s="226"/>
      <c r="E1257" s="226"/>
      <c r="F1257" s="1010"/>
      <c r="G1257" s="763"/>
      <c r="H1257" s="303"/>
      <c r="I1257" s="385"/>
      <c r="J1257" s="969"/>
      <c r="K1257" s="969"/>
      <c r="L1257" s="392"/>
      <c r="M1257" s="970"/>
      <c r="N1257" s="980"/>
      <c r="O1257" s="980"/>
      <c r="P1257" s="79" t="str">
        <f>IF(AND('331-CT'!$E$7=TH!H1257,OR(N1257="331",O1257="331")),"x","")</f>
        <v/>
      </c>
      <c r="Q1257" s="79" t="str">
        <f>IF(AND(B1257='111'!$L$11,OR($N1257=$Q$7,$O1257=$Q$7)),"x","")</f>
        <v/>
      </c>
      <c r="R1257" s="79" t="str">
        <f>IF(AND($N1257=$Q$7,$B1257&lt;'111'!$L$11),"x","")</f>
        <v/>
      </c>
      <c r="S1257" s="79" t="str">
        <f>IF(AND($O1257=$Q$7,$B1257&lt;'111'!$L$11),"x","")</f>
        <v/>
      </c>
      <c r="T1257" s="79" t="str">
        <f>IF(ISERROR(FIND('112'!$M$9,G1257,1)),"",IF((AND(FIND('112'!$M$9,G1257,1)&gt;=1,B1257='112'!$K$9,OR($N1257='112'!$I$6,$O1257='112'!$I$6))),"x",""))</f>
        <v/>
      </c>
      <c r="U1257" s="79" t="str">
        <f>IF(ISERROR(FIND('112'!$M$9,G1257,1)),"",IF((AND(LEFT(G1257,2)=LEFT('112'!$M$9,2),B1257&lt;'112'!$K$9,$N1257='112'!$I$6)),"x",""))</f>
        <v/>
      </c>
      <c r="V1257" s="79" t="str">
        <f>IF(ISERROR(FIND('112'!$M$9,G1257,1)),"",IF((AND(RIGHT(G1257,2)=RIGHT('112'!$M$9,2),B1257&lt;'112'!$K$9,$O1257='112'!$I$6)),"x",""))</f>
        <v/>
      </c>
      <c r="W1257" s="79" t="str">
        <f>IF(AND('341-CT'!$H$9=H1257,OR(LEFT(N1257,3)=$W$7,LEFT(O1257,3)=$W$7)),"x","")</f>
        <v/>
      </c>
      <c r="X1257" s="79" t="str">
        <f>IF(OR(TH!N1257=TH!$X$7,O1257=TH!$X$7),"x","")</f>
        <v/>
      </c>
      <c r="Y1257" s="79" t="str">
        <f>IF(AND(OR(N1257="131",O1257="131"),H1257='131-CT'!$H$9),"x","")</f>
        <v/>
      </c>
      <c r="Z1257" s="79"/>
      <c r="AA1257" s="79" t="str">
        <f>IF(AND(MONTH(E1257)='IN-NX'!$J$5,'IN-NX'!$D$7=D1257),"x","")</f>
        <v/>
      </c>
      <c r="AB1257" s="79" t="str">
        <f>IF(AND(OR(LEFT(TH!N1257,2)="15",LEFT(TH!O1257,2)="15"),LEFT(TH!O1257,3)&lt;&gt;"111",'152-CT'!$J$8=TH!F1257),"x","")</f>
        <v/>
      </c>
      <c r="AC1257" s="79" t="str">
        <f>IF(AND(OR(LEFT(TH!N1257,2)="15",LEFT(TH!O1257,2)="15"),TK!$E$7=TH!F1257),"x","")</f>
        <v/>
      </c>
      <c r="AD1257" s="79" t="str">
        <f>IF(AND(N1257="1521",MONTH(C1257)='BK-NL'!$M$11),"x","")</f>
        <v/>
      </c>
    </row>
    <row r="1258" spans="1:30" s="1102" customFormat="1" ht="16.5" customHeight="1">
      <c r="A1258" s="318" t="str">
        <f>IF(B1258&lt;&gt;"",IF(AND(B1258='IN-TC'!$S$4,OR(TH!N1258="1111",TH!O1258="1111")),TH!D1258,""),"")</f>
        <v/>
      </c>
      <c r="B1258" s="60" t="str">
        <f t="shared" si="197"/>
        <v/>
      </c>
      <c r="C1258" s="226"/>
      <c r="D1258" s="226"/>
      <c r="E1258" s="226"/>
      <c r="F1258" s="1008"/>
      <c r="G1258" s="987"/>
      <c r="H1258" s="85"/>
      <c r="I1258" s="984"/>
      <c r="J1258" s="984"/>
      <c r="K1258" s="984"/>
      <c r="L1258" s="983"/>
      <c r="M1258" s="970"/>
      <c r="N1258" s="980"/>
      <c r="O1258" s="980"/>
      <c r="P1258" s="79" t="str">
        <f>IF(AND('331-CT'!$E$7=TH!H1258,OR(N1258="331",O1258="331")),"x","")</f>
        <v/>
      </c>
      <c r="Q1258" s="79" t="str">
        <f>IF(AND(B1258='111'!$L$11,OR($N1258=$Q$7,$O1258=$Q$7)),"x","")</f>
        <v/>
      </c>
      <c r="R1258" s="79" t="str">
        <f>IF(AND($N1258=$Q$7,$B1258&lt;'111'!$L$11),"x","")</f>
        <v/>
      </c>
      <c r="S1258" s="79" t="str">
        <f>IF(AND($O1258=$Q$7,$B1258&lt;'111'!$L$11),"x","")</f>
        <v/>
      </c>
      <c r="T1258" s="79" t="str">
        <f>IF(ISERROR(FIND('112'!$M$9,G1258,1)),"",IF((AND(FIND('112'!$M$9,G1258,1)&gt;=1,B1258='112'!$K$9,OR($N1258='112'!$I$6,$O1258='112'!$I$6))),"x",""))</f>
        <v/>
      </c>
      <c r="U1258" s="79" t="str">
        <f>IF(ISERROR(FIND('112'!$M$9,G1258,1)),"",IF((AND(LEFT(G1258,2)=LEFT('112'!$M$9,2),B1258&lt;'112'!$K$9,$N1258='112'!$I$6)),"x",""))</f>
        <v/>
      </c>
      <c r="V1258" s="79" t="str">
        <f>IF(ISERROR(FIND('112'!$M$9,G1258,1)),"",IF((AND(RIGHT(G1258,2)=RIGHT('112'!$M$9,2),B1258&lt;'112'!$K$9,$O1258='112'!$I$6)),"x",""))</f>
        <v/>
      </c>
      <c r="W1258" s="79" t="str">
        <f>IF(AND('341-CT'!$H$9=H1258,OR(LEFT(N1258,3)=$W$7,LEFT(O1258,3)=$W$7)),"x","")</f>
        <v/>
      </c>
      <c r="X1258" s="79" t="str">
        <f>IF(OR(TH!N1258=TH!$X$7,O1258=TH!$X$7),"x","")</f>
        <v/>
      </c>
      <c r="Y1258" s="79" t="str">
        <f>IF(AND(OR(N1258="131",O1258="131"),H1258='131-CT'!$H$9),"x","")</f>
        <v/>
      </c>
      <c r="Z1258" s="79"/>
      <c r="AA1258" s="79" t="str">
        <f>IF(AND(MONTH(E1258)='IN-NX'!$J$5,'IN-NX'!$D$7=D1258),"x","")</f>
        <v/>
      </c>
      <c r="AB1258" s="79" t="str">
        <f>IF(AND(OR(LEFT(TH!N1258,2)="15",LEFT(TH!O1258,2)="15"),LEFT(TH!O1258,3)&lt;&gt;"111",'152-CT'!$J$8=TH!F1258),"x","")</f>
        <v/>
      </c>
      <c r="AC1258" s="79" t="str">
        <f>IF(AND(OR(LEFT(TH!N1258,2)="15",LEFT(TH!O1258,2)="15"),TK!$E$7=TH!F1258),"x","")</f>
        <v/>
      </c>
      <c r="AD1258" s="79" t="str">
        <f>IF(AND(N1258="1521",MONTH(C1258)='BK-NL'!$M$11),"x","")</f>
        <v/>
      </c>
    </row>
    <row r="1259" spans="1:30" s="1102" customFormat="1" ht="16.5" customHeight="1">
      <c r="A1259" s="318" t="str">
        <f>IF(B1259&lt;&gt;"",IF(AND(B1259='IN-TC'!$S$4,OR(TH!N1259="1111",TH!O1259="1111")),TH!D1259,""),"")</f>
        <v/>
      </c>
      <c r="B1259" s="60" t="str">
        <f t="shared" si="197"/>
        <v/>
      </c>
      <c r="C1259" s="226"/>
      <c r="D1259" s="226"/>
      <c r="E1259" s="226"/>
      <c r="F1259" s="1008"/>
      <c r="G1259" s="987"/>
      <c r="H1259" s="85"/>
      <c r="I1259" s="984"/>
      <c r="J1259" s="984"/>
      <c r="K1259" s="984"/>
      <c r="L1259" s="983"/>
      <c r="M1259" s="970"/>
      <c r="N1259" s="980"/>
      <c r="O1259" s="980"/>
      <c r="P1259" s="79" t="str">
        <f>IF(AND('331-CT'!$E$7=TH!H1259,OR(N1259="331",O1259="331")),"x","")</f>
        <v/>
      </c>
      <c r="Q1259" s="79" t="str">
        <f>IF(AND(B1259='111'!$L$11,OR($N1259=$Q$7,$O1259=$Q$7)),"x","")</f>
        <v/>
      </c>
      <c r="R1259" s="79" t="str">
        <f>IF(AND($N1259=$Q$7,$B1259&lt;'111'!$L$11),"x","")</f>
        <v/>
      </c>
      <c r="S1259" s="79" t="str">
        <f>IF(AND($O1259=$Q$7,$B1259&lt;'111'!$L$11),"x","")</f>
        <v/>
      </c>
      <c r="T1259" s="79" t="str">
        <f>IF(ISERROR(FIND('112'!$M$9,G1259,1)),"",IF((AND(FIND('112'!$M$9,G1259,1)&gt;=1,B1259='112'!$K$9,OR($N1259='112'!$I$6,$O1259='112'!$I$6))),"x",""))</f>
        <v/>
      </c>
      <c r="U1259" s="79" t="str">
        <f>IF(ISERROR(FIND('112'!$M$9,G1259,1)),"",IF((AND(LEFT(G1259,2)=LEFT('112'!$M$9,2),B1259&lt;'112'!$K$9,$N1259='112'!$I$6)),"x",""))</f>
        <v/>
      </c>
      <c r="V1259" s="79" t="str">
        <f>IF(ISERROR(FIND('112'!$M$9,G1259,1)),"",IF((AND(RIGHT(G1259,2)=RIGHT('112'!$M$9,2),B1259&lt;'112'!$K$9,$O1259='112'!$I$6)),"x",""))</f>
        <v/>
      </c>
      <c r="W1259" s="79" t="str">
        <f>IF(AND('341-CT'!$H$9=H1259,OR(LEFT(N1259,3)=$W$7,LEFT(O1259,3)=$W$7)),"x","")</f>
        <v/>
      </c>
      <c r="X1259" s="79" t="str">
        <f>IF(OR(TH!N1259=TH!$X$7,O1259=TH!$X$7),"x","")</f>
        <v/>
      </c>
      <c r="Y1259" s="79" t="str">
        <f>IF(AND(OR(N1259="131",O1259="131"),H1259='131-CT'!$H$9),"x","")</f>
        <v/>
      </c>
      <c r="Z1259" s="79"/>
      <c r="AA1259" s="79" t="str">
        <f>IF(AND(MONTH(E1259)='IN-NX'!$J$5,'IN-NX'!$D$7=D1259),"x","")</f>
        <v/>
      </c>
      <c r="AB1259" s="79" t="str">
        <f>IF(AND(OR(LEFT(TH!N1259,2)="15",LEFT(TH!O1259,2)="15"),LEFT(TH!O1259,3)&lt;&gt;"111",'152-CT'!$J$8=TH!F1259),"x","")</f>
        <v/>
      </c>
      <c r="AC1259" s="79" t="str">
        <f>IF(AND(OR(LEFT(TH!N1259,2)="15",LEFT(TH!O1259,2)="15"),TK!$E$7=TH!F1259),"x","")</f>
        <v/>
      </c>
      <c r="AD1259" s="79" t="str">
        <f>IF(AND(N1259="1521",MONTH(C1259)='BK-NL'!$M$11),"x","")</f>
        <v/>
      </c>
    </row>
    <row r="1260" spans="1:30" s="1102" customFormat="1" ht="16.5" customHeight="1">
      <c r="A1260" s="318" t="str">
        <f>IF(B1260&lt;&gt;"",IF(AND(B1260='IN-TC'!$S$4,OR(TH!N1260="1111",TH!O1260="1111")),TH!D1260,""),"")</f>
        <v/>
      </c>
      <c r="B1260" s="60" t="str">
        <f t="shared" si="197"/>
        <v/>
      </c>
      <c r="C1260" s="226"/>
      <c r="D1260" s="226"/>
      <c r="E1260" s="226"/>
      <c r="F1260" s="1008"/>
      <c r="G1260" s="987"/>
      <c r="H1260" s="85"/>
      <c r="I1260" s="984"/>
      <c r="J1260" s="984"/>
      <c r="K1260" s="984"/>
      <c r="L1260" s="983"/>
      <c r="M1260" s="970"/>
      <c r="N1260" s="980"/>
      <c r="O1260" s="980"/>
      <c r="P1260" s="79" t="str">
        <f>IF(AND('331-CT'!$E$7=TH!H1260,OR(N1260="331",O1260="331")),"x","")</f>
        <v/>
      </c>
      <c r="Q1260" s="79" t="str">
        <f>IF(AND(B1260='111'!$L$11,OR($N1260=$Q$7,$O1260=$Q$7)),"x","")</f>
        <v/>
      </c>
      <c r="R1260" s="79" t="str">
        <f>IF(AND($N1260=$Q$7,$B1260&lt;'111'!$L$11),"x","")</f>
        <v/>
      </c>
      <c r="S1260" s="79" t="str">
        <f>IF(AND($O1260=$Q$7,$B1260&lt;'111'!$L$11),"x","")</f>
        <v/>
      </c>
      <c r="T1260" s="79" t="str">
        <f>IF(ISERROR(FIND('112'!$M$9,G1260,1)),"",IF((AND(FIND('112'!$M$9,G1260,1)&gt;=1,B1260='112'!$K$9,OR($N1260='112'!$I$6,$O1260='112'!$I$6))),"x",""))</f>
        <v/>
      </c>
      <c r="U1260" s="79" t="str">
        <f>IF(ISERROR(FIND('112'!$M$9,G1260,1)),"",IF((AND(LEFT(G1260,2)=LEFT('112'!$M$9,2),B1260&lt;'112'!$K$9,$N1260='112'!$I$6)),"x",""))</f>
        <v/>
      </c>
      <c r="V1260" s="79" t="str">
        <f>IF(ISERROR(FIND('112'!$M$9,G1260,1)),"",IF((AND(RIGHT(G1260,2)=RIGHT('112'!$M$9,2),B1260&lt;'112'!$K$9,$O1260='112'!$I$6)),"x",""))</f>
        <v/>
      </c>
      <c r="W1260" s="79" t="str">
        <f>IF(AND('341-CT'!$H$9=H1260,OR(LEFT(N1260,3)=$W$7,LEFT(O1260,3)=$W$7)),"x","")</f>
        <v/>
      </c>
      <c r="X1260" s="79" t="str">
        <f>IF(OR(TH!N1260=TH!$X$7,O1260=TH!$X$7),"x","")</f>
        <v/>
      </c>
      <c r="Y1260" s="79" t="str">
        <f>IF(AND(OR(N1260="131",O1260="131"),H1260='131-CT'!$H$9),"x","")</f>
        <v/>
      </c>
      <c r="Z1260" s="79"/>
      <c r="AA1260" s="79" t="str">
        <f>IF(AND(MONTH(E1260)='IN-NX'!$J$5,'IN-NX'!$D$7=D1260),"x","")</f>
        <v/>
      </c>
      <c r="AB1260" s="79" t="str">
        <f>IF(AND(OR(LEFT(TH!N1260,2)="15",LEFT(TH!O1260,2)="15"),LEFT(TH!O1260,3)&lt;&gt;"111",'152-CT'!$J$8=TH!F1260),"x","")</f>
        <v/>
      </c>
      <c r="AC1260" s="79" t="str">
        <f>IF(AND(OR(LEFT(TH!N1260,2)="15",LEFT(TH!O1260,2)="15"),TK!$E$7=TH!F1260),"x","")</f>
        <v/>
      </c>
      <c r="AD1260" s="79" t="str">
        <f>IF(AND(N1260="1521",MONTH(C1260)='BK-NL'!$M$11),"x","")</f>
        <v/>
      </c>
    </row>
    <row r="1261" spans="1:30" s="1102" customFormat="1" ht="16.5" customHeight="1">
      <c r="A1261" s="318" t="str">
        <f>IF(B1261&lt;&gt;"",IF(AND(B1261='IN-TC'!$S$4,OR(TH!N1261="1111",TH!O1261="1111")),TH!D1261,""),"")</f>
        <v/>
      </c>
      <c r="B1261" s="60" t="str">
        <f t="shared" si="197"/>
        <v/>
      </c>
      <c r="C1261" s="226"/>
      <c r="D1261" s="226"/>
      <c r="E1261" s="226"/>
      <c r="F1261" s="1008"/>
      <c r="G1261" s="987"/>
      <c r="H1261" s="85"/>
      <c r="I1261" s="984"/>
      <c r="J1261" s="984"/>
      <c r="K1261" s="984"/>
      <c r="L1261" s="983"/>
      <c r="M1261" s="970"/>
      <c r="N1261" s="980"/>
      <c r="O1261" s="980"/>
      <c r="P1261" s="79" t="str">
        <f>IF(AND('331-CT'!$E$7=TH!H1261,OR(N1261="331",O1261="331")),"x","")</f>
        <v/>
      </c>
      <c r="Q1261" s="79" t="str">
        <f>IF(AND(B1261='111'!$L$11,OR($N1261=$Q$7,$O1261=$Q$7)),"x","")</f>
        <v/>
      </c>
      <c r="R1261" s="79" t="str">
        <f>IF(AND($N1261=$Q$7,$B1261&lt;'111'!$L$11),"x","")</f>
        <v/>
      </c>
      <c r="S1261" s="79" t="str">
        <f>IF(AND($O1261=$Q$7,$B1261&lt;'111'!$L$11),"x","")</f>
        <v/>
      </c>
      <c r="T1261" s="79" t="str">
        <f>IF(ISERROR(FIND('112'!$M$9,G1261,1)),"",IF((AND(FIND('112'!$M$9,G1261,1)&gt;=1,B1261='112'!$K$9,OR($N1261='112'!$I$6,$O1261='112'!$I$6))),"x",""))</f>
        <v/>
      </c>
      <c r="U1261" s="79" t="str">
        <f>IF(ISERROR(FIND('112'!$M$9,G1261,1)),"",IF((AND(LEFT(G1261,2)=LEFT('112'!$M$9,2),B1261&lt;'112'!$K$9,$N1261='112'!$I$6)),"x",""))</f>
        <v/>
      </c>
      <c r="V1261" s="79" t="str">
        <f>IF(ISERROR(FIND('112'!$M$9,G1261,1)),"",IF((AND(RIGHT(G1261,2)=RIGHT('112'!$M$9,2),B1261&lt;'112'!$K$9,$O1261='112'!$I$6)),"x",""))</f>
        <v/>
      </c>
      <c r="W1261" s="79" t="str">
        <f>IF(AND('341-CT'!$H$9=H1261,OR(LEFT(N1261,3)=$W$7,LEFT(O1261,3)=$W$7)),"x","")</f>
        <v/>
      </c>
      <c r="X1261" s="79" t="str">
        <f>IF(OR(TH!N1261=TH!$X$7,O1261=TH!$X$7),"x","")</f>
        <v/>
      </c>
      <c r="Y1261" s="79" t="str">
        <f>IF(AND(OR(N1261="131",O1261="131"),H1261='131-CT'!$H$9),"x","")</f>
        <v/>
      </c>
      <c r="Z1261" s="79"/>
      <c r="AA1261" s="79" t="str">
        <f>IF(AND(MONTH(E1261)='IN-NX'!$J$5,'IN-NX'!$D$7=D1261),"x","")</f>
        <v/>
      </c>
      <c r="AB1261" s="79" t="str">
        <f>IF(AND(OR(LEFT(TH!N1261,2)="15",LEFT(TH!O1261,2)="15"),LEFT(TH!O1261,3)&lt;&gt;"111",'152-CT'!$J$8=TH!F1261),"x","")</f>
        <v/>
      </c>
      <c r="AC1261" s="79" t="str">
        <f>IF(AND(OR(LEFT(TH!N1261,2)="15",LEFT(TH!O1261,2)="15"),TK!$E$7=TH!F1261),"x","")</f>
        <v/>
      </c>
      <c r="AD1261" s="79" t="str">
        <f>IF(AND(N1261="1521",MONTH(C1261)='BK-NL'!$M$11),"x","")</f>
        <v/>
      </c>
    </row>
    <row r="1262" spans="1:30" s="1102" customFormat="1" ht="16.5" customHeight="1">
      <c r="A1262" s="318" t="str">
        <f>IF(B1262&lt;&gt;"",IF(AND(B1262='IN-TC'!$S$4,OR(TH!N1262="1111",TH!O1262="1111")),TH!D1262,""),"")</f>
        <v/>
      </c>
      <c r="B1262" s="60" t="str">
        <f t="shared" si="197"/>
        <v/>
      </c>
      <c r="C1262" s="226"/>
      <c r="D1262" s="226"/>
      <c r="E1262" s="226"/>
      <c r="F1262" s="1008"/>
      <c r="G1262" s="987"/>
      <c r="H1262" s="85"/>
      <c r="I1262" s="984"/>
      <c r="J1262" s="984"/>
      <c r="K1262" s="984"/>
      <c r="L1262" s="983"/>
      <c r="M1262" s="970"/>
      <c r="N1262" s="980"/>
      <c r="O1262" s="980"/>
      <c r="P1262" s="79" t="str">
        <f>IF(AND('331-CT'!$E$7=TH!H1262,OR(N1262="331",O1262="331")),"x","")</f>
        <v/>
      </c>
      <c r="Q1262" s="79" t="str">
        <f>IF(AND(B1262='111'!$L$11,OR($N1262=$Q$7,$O1262=$Q$7)),"x","")</f>
        <v/>
      </c>
      <c r="R1262" s="79" t="str">
        <f>IF(AND($N1262=$Q$7,$B1262&lt;'111'!$L$11),"x","")</f>
        <v/>
      </c>
      <c r="S1262" s="79" t="str">
        <f>IF(AND($O1262=$Q$7,$B1262&lt;'111'!$L$11),"x","")</f>
        <v/>
      </c>
      <c r="T1262" s="79" t="str">
        <f>IF(ISERROR(FIND('112'!$M$9,G1262,1)),"",IF((AND(FIND('112'!$M$9,G1262,1)&gt;=1,B1262='112'!$K$9,OR($N1262='112'!$I$6,$O1262='112'!$I$6))),"x",""))</f>
        <v/>
      </c>
      <c r="U1262" s="79" t="str">
        <f>IF(ISERROR(FIND('112'!$M$9,G1262,1)),"",IF((AND(LEFT(G1262,2)=LEFT('112'!$M$9,2),B1262&lt;'112'!$K$9,$N1262='112'!$I$6)),"x",""))</f>
        <v/>
      </c>
      <c r="V1262" s="79" t="str">
        <f>IF(ISERROR(FIND('112'!$M$9,G1262,1)),"",IF((AND(RIGHT(G1262,2)=RIGHT('112'!$M$9,2),B1262&lt;'112'!$K$9,$O1262='112'!$I$6)),"x",""))</f>
        <v/>
      </c>
      <c r="W1262" s="79" t="str">
        <f>IF(AND('341-CT'!$H$9=H1262,OR(LEFT(N1262,3)=$W$7,LEFT(O1262,3)=$W$7)),"x","")</f>
        <v/>
      </c>
      <c r="X1262" s="79" t="str">
        <f>IF(OR(TH!N1262=TH!$X$7,O1262=TH!$X$7),"x","")</f>
        <v/>
      </c>
      <c r="Y1262" s="79" t="str">
        <f>IF(AND(OR(N1262="131",O1262="131"),H1262='131-CT'!$H$9),"x","")</f>
        <v/>
      </c>
      <c r="Z1262" s="79"/>
      <c r="AA1262" s="79" t="str">
        <f>IF(AND(MONTH(E1262)='IN-NX'!$J$5,'IN-NX'!$D$7=D1262),"x","")</f>
        <v/>
      </c>
      <c r="AB1262" s="79" t="str">
        <f>IF(AND(OR(LEFT(TH!N1262,2)="15",LEFT(TH!O1262,2)="15"),LEFT(TH!O1262,3)&lt;&gt;"111",'152-CT'!$J$8=TH!F1262),"x","")</f>
        <v/>
      </c>
      <c r="AC1262" s="79" t="str">
        <f>IF(AND(OR(LEFT(TH!N1262,2)="15",LEFT(TH!O1262,2)="15"),TK!$E$7=TH!F1262),"x","")</f>
        <v/>
      </c>
      <c r="AD1262" s="79" t="str">
        <f>IF(AND(N1262="1521",MONTH(C1262)='BK-NL'!$M$11),"x","")</f>
        <v/>
      </c>
    </row>
    <row r="1263" spans="1:30" ht="16.5" customHeight="1">
      <c r="A1263" s="318" t="str">
        <f>IF(B1263&lt;&gt;"",IF(AND(B1263='IN-TC'!$S$4,OR(TH!N1263="1111",TH!O1263="1111")),TH!D1263,""),"")</f>
        <v/>
      </c>
      <c r="B1263" s="60" t="str">
        <f t="shared" si="197"/>
        <v/>
      </c>
      <c r="C1263" s="226"/>
      <c r="D1263" s="226"/>
      <c r="E1263" s="226"/>
      <c r="F1263" s="1010"/>
      <c r="G1263" s="763"/>
      <c r="H1263" s="303"/>
      <c r="I1263" s="385"/>
      <c r="J1263" s="969"/>
      <c r="K1263" s="969"/>
      <c r="L1263" s="392"/>
      <c r="M1263" s="970"/>
      <c r="N1263" s="980"/>
      <c r="O1263" s="980"/>
      <c r="P1263" s="79" t="str">
        <f>IF(AND('331-CT'!$E$7=TH!H1263,OR(N1263="331",O1263="331")),"x","")</f>
        <v/>
      </c>
      <c r="Q1263" s="79" t="str">
        <f>IF(AND(B1263='111'!$L$11,OR($N1263=$Q$7,$O1263=$Q$7)),"x","")</f>
        <v/>
      </c>
      <c r="R1263" s="79" t="str">
        <f>IF(AND($N1263=$Q$7,$B1263&lt;'111'!$L$11),"x","")</f>
        <v/>
      </c>
      <c r="S1263" s="79" t="str">
        <f>IF(AND($O1263=$Q$7,$B1263&lt;'111'!$L$11),"x","")</f>
        <v/>
      </c>
      <c r="T1263" s="79" t="str">
        <f>IF(ISERROR(FIND('112'!$M$9,G1263,1)),"",IF((AND(FIND('112'!$M$9,G1263,1)&gt;=1,B1263='112'!$K$9,OR($N1263='112'!$I$6,$O1263='112'!$I$6))),"x",""))</f>
        <v/>
      </c>
      <c r="U1263" s="79" t="str">
        <f>IF(ISERROR(FIND('112'!$M$9,G1263,1)),"",IF((AND(LEFT(G1263,2)=LEFT('112'!$M$9,2),B1263&lt;'112'!$K$9,$N1263='112'!$I$6)),"x",""))</f>
        <v/>
      </c>
      <c r="V1263" s="79" t="str">
        <f>IF(ISERROR(FIND('112'!$M$9,G1263,1)),"",IF((AND(RIGHT(G1263,2)=RIGHT('112'!$M$9,2),B1263&lt;'112'!$K$9,$O1263='112'!$I$6)),"x",""))</f>
        <v/>
      </c>
      <c r="W1263" s="79" t="str">
        <f>IF(AND('341-CT'!$H$9=H1263,OR(LEFT(N1263,3)=$W$7,LEFT(O1263,3)=$W$7)),"x","")</f>
        <v/>
      </c>
      <c r="X1263" s="79" t="str">
        <f>IF(OR(TH!N1263=TH!$X$7,O1263=TH!$X$7),"x","")</f>
        <v/>
      </c>
      <c r="Y1263" s="79" t="str">
        <f>IF(AND(OR(N1263="131",O1263="131"),H1263='131-CT'!$H$9),"x","")</f>
        <v/>
      </c>
      <c r="Z1263" s="79"/>
      <c r="AA1263" s="79" t="str">
        <f>IF(AND(MONTH(E1263)='IN-NX'!$J$5,'IN-NX'!$D$7=D1263),"x","")</f>
        <v/>
      </c>
      <c r="AB1263" s="79" t="str">
        <f>IF(AND(OR(LEFT(TH!N1263,2)="15",LEFT(TH!O1263,2)="15"),LEFT(TH!O1263,3)&lt;&gt;"111",'152-CT'!$J$8=TH!F1263),"x","")</f>
        <v/>
      </c>
      <c r="AC1263" s="79" t="str">
        <f>IF(AND(OR(LEFT(TH!N1263,2)="15",LEFT(TH!O1263,2)="15"),TK!$E$7=TH!F1263),"x","")</f>
        <v/>
      </c>
      <c r="AD1263" s="79" t="str">
        <f>IF(AND(N1263="1521",MONTH(C1263)='BK-NL'!$M$11),"x","")</f>
        <v/>
      </c>
    </row>
    <row r="1264" spans="1:30" ht="16.5" customHeight="1">
      <c r="A1264" s="318" t="str">
        <f>IF(B1264&lt;&gt;"",IF(AND(B1264='IN-TC'!$S$4,OR(TH!N1264="1111",TH!O1264="1111")),TH!D1264,""),"")</f>
        <v/>
      </c>
      <c r="B1264" s="60" t="str">
        <f t="shared" si="197"/>
        <v/>
      </c>
      <c r="C1264" s="226"/>
      <c r="D1264" s="226"/>
      <c r="E1264" s="226"/>
      <c r="F1264" s="446"/>
      <c r="G1264" s="763"/>
      <c r="H1264" s="321"/>
      <c r="I1264" s="385"/>
      <c r="J1264" s="969"/>
      <c r="K1264" s="969"/>
      <c r="L1264" s="392"/>
      <c r="M1264" s="970"/>
      <c r="N1264" s="980"/>
      <c r="O1264" s="980"/>
      <c r="P1264" s="79" t="str">
        <f>IF(AND('331-CT'!$E$7=TH!H1264,OR(N1264="331",O1264="331")),"x","")</f>
        <v/>
      </c>
      <c r="Q1264" s="79" t="str">
        <f>IF(AND(B1264='111'!$L$11,OR($N1264=$Q$7,$O1264=$Q$7)),"x","")</f>
        <v/>
      </c>
      <c r="R1264" s="79" t="str">
        <f>IF(AND($N1264=$Q$7,$B1264&lt;'111'!$L$11),"x","")</f>
        <v/>
      </c>
      <c r="S1264" s="79" t="str">
        <f>IF(AND($O1264=$Q$7,$B1264&lt;'111'!$L$11),"x","")</f>
        <v/>
      </c>
      <c r="T1264" s="79" t="str">
        <f>IF(ISERROR(FIND('112'!$M$9,G1264,1)),"",IF((AND(FIND('112'!$M$9,G1264,1)&gt;=1,B1264='112'!$K$9,OR($N1264='112'!$I$6,$O1264='112'!$I$6))),"x",""))</f>
        <v/>
      </c>
      <c r="U1264" s="79" t="str">
        <f>IF(ISERROR(FIND('112'!$M$9,G1264,1)),"",IF((AND(LEFT(G1264,2)=LEFT('112'!$M$9,2),B1264&lt;'112'!$K$9,$N1264='112'!$I$6)),"x",""))</f>
        <v/>
      </c>
      <c r="V1264" s="79" t="str">
        <f>IF(ISERROR(FIND('112'!$M$9,G1264,1)),"",IF((AND(RIGHT(G1264,2)=RIGHT('112'!$M$9,2),B1264&lt;'112'!$K$9,$O1264='112'!$I$6)),"x",""))</f>
        <v/>
      </c>
      <c r="W1264" s="79" t="str">
        <f>IF(AND('341-CT'!$H$9=H1264,OR(LEFT(N1264,3)=$W$7,LEFT(O1264,3)=$W$7)),"x","")</f>
        <v/>
      </c>
      <c r="X1264" s="79" t="str">
        <f>IF(OR(TH!N1264=TH!$X$7,O1264=TH!$X$7),"x","")</f>
        <v/>
      </c>
      <c r="Y1264" s="79" t="str">
        <f>IF(AND(OR(N1264="131",O1264="131"),H1264='131-CT'!$H$9),"x","")</f>
        <v/>
      </c>
      <c r="Z1264" s="79"/>
      <c r="AA1264" s="79" t="str">
        <f>IF(AND(MONTH(E1264)='IN-NX'!$J$5,'IN-NX'!$D$7=D1264),"x","")</f>
        <v/>
      </c>
      <c r="AB1264" s="79" t="str">
        <f>IF(AND(OR(LEFT(TH!N1264,2)="15",LEFT(TH!O1264,2)="15"),LEFT(TH!O1264,3)&lt;&gt;"111",'152-CT'!$J$8=TH!F1264),"x","")</f>
        <v/>
      </c>
      <c r="AC1264" s="79" t="str">
        <f>IF(AND(OR(LEFT(TH!N1264,2)="15",LEFT(TH!O1264,2)="15"),TK!$E$7=TH!F1264),"x","")</f>
        <v/>
      </c>
      <c r="AD1264" s="79" t="str">
        <f>IF(AND(N1264="1521",MONTH(C1264)='BK-NL'!$M$11),"x","")</f>
        <v/>
      </c>
    </row>
    <row r="1265" spans="1:30" ht="16.5" customHeight="1">
      <c r="A1265" s="318" t="str">
        <f>IF(B1265&lt;&gt;"",IF(AND(B1265='IN-TC'!$S$4,OR(TH!N1265="1111",TH!O1265="1111")),TH!D1265,""),"")</f>
        <v/>
      </c>
      <c r="B1265" s="60" t="str">
        <f t="shared" ref="B1265:B1328" si="199">IF(C1265&lt;&gt;"",MONTH(C1265),"")</f>
        <v/>
      </c>
      <c r="C1265" s="226"/>
      <c r="D1265" s="226"/>
      <c r="E1265" s="226"/>
      <c r="F1265" s="446"/>
      <c r="G1265" s="763"/>
      <c r="H1265" s="321"/>
      <c r="I1265" s="385"/>
      <c r="J1265" s="969"/>
      <c r="K1265" s="969"/>
      <c r="L1265" s="392"/>
      <c r="M1265" s="970"/>
      <c r="N1265" s="980"/>
      <c r="O1265" s="980"/>
      <c r="P1265" s="79" t="str">
        <f>IF(AND('331-CT'!$E$7=TH!H1265,OR(N1265="331",O1265="331")),"x","")</f>
        <v/>
      </c>
      <c r="Q1265" s="79" t="str">
        <f>IF(AND(B1265='111'!$L$11,OR($N1265=$Q$7,$O1265=$Q$7)),"x","")</f>
        <v/>
      </c>
      <c r="R1265" s="79" t="str">
        <f>IF(AND($N1265=$Q$7,$B1265&lt;'111'!$L$11),"x","")</f>
        <v/>
      </c>
      <c r="S1265" s="79" t="str">
        <f>IF(AND($O1265=$Q$7,$B1265&lt;'111'!$L$11),"x","")</f>
        <v/>
      </c>
      <c r="T1265" s="79" t="str">
        <f>IF(ISERROR(FIND('112'!$M$9,G1265,1)),"",IF((AND(FIND('112'!$M$9,G1265,1)&gt;=1,B1265='112'!$K$9,OR($N1265='112'!$I$6,$O1265='112'!$I$6))),"x",""))</f>
        <v/>
      </c>
      <c r="U1265" s="79" t="str">
        <f>IF(ISERROR(FIND('112'!$M$9,G1265,1)),"",IF((AND(LEFT(G1265,2)=LEFT('112'!$M$9,2),B1265&lt;'112'!$K$9,$N1265='112'!$I$6)),"x",""))</f>
        <v/>
      </c>
      <c r="V1265" s="79" t="str">
        <f>IF(ISERROR(FIND('112'!$M$9,G1265,1)),"",IF((AND(RIGHT(G1265,2)=RIGHT('112'!$M$9,2),B1265&lt;'112'!$K$9,$O1265='112'!$I$6)),"x",""))</f>
        <v/>
      </c>
      <c r="W1265" s="79" t="str">
        <f>IF(AND('341-CT'!$H$9=H1265,OR(LEFT(N1265,3)=$W$7,LEFT(O1265,3)=$W$7)),"x","")</f>
        <v/>
      </c>
      <c r="X1265" s="79" t="str">
        <f>IF(OR(TH!N1265=TH!$X$7,O1265=TH!$X$7),"x","")</f>
        <v/>
      </c>
      <c r="Y1265" s="79" t="str">
        <f>IF(AND(OR(N1265="131",O1265="131"),H1265='131-CT'!$H$9),"x","")</f>
        <v/>
      </c>
      <c r="Z1265" s="79"/>
      <c r="AA1265" s="79" t="str">
        <f>IF(AND(MONTH(E1265)='IN-NX'!$J$5,'IN-NX'!$D$7=D1265),"x","")</f>
        <v/>
      </c>
      <c r="AB1265" s="79" t="str">
        <f>IF(AND(OR(LEFT(TH!N1265,2)="15",LEFT(TH!O1265,2)="15"),LEFT(TH!O1265,3)&lt;&gt;"111",'152-CT'!$J$8=TH!F1265),"x","")</f>
        <v/>
      </c>
      <c r="AC1265" s="79" t="str">
        <f>IF(AND(OR(LEFT(TH!N1265,2)="15",LEFT(TH!O1265,2)="15"),TK!$E$7=TH!F1265),"x","")</f>
        <v/>
      </c>
      <c r="AD1265" s="79" t="str">
        <f>IF(AND(N1265="1521",MONTH(C1265)='BK-NL'!$M$11),"x","")</f>
        <v/>
      </c>
    </row>
    <row r="1266" spans="1:30" ht="16.5" customHeight="1">
      <c r="A1266" s="318" t="str">
        <f>IF(B1266&lt;&gt;"",IF(AND(B1266='IN-TC'!$S$4,OR(TH!N1266="1111",TH!O1266="1111")),TH!D1266,""),"")</f>
        <v/>
      </c>
      <c r="B1266" s="60" t="str">
        <f t="shared" si="199"/>
        <v/>
      </c>
      <c r="C1266" s="226"/>
      <c r="D1266" s="226"/>
      <c r="E1266" s="226"/>
      <c r="F1266" s="446"/>
      <c r="G1266" s="763"/>
      <c r="H1266" s="321"/>
      <c r="I1266" s="385"/>
      <c r="J1266" s="969"/>
      <c r="K1266" s="969"/>
      <c r="L1266" s="392"/>
      <c r="M1266" s="970"/>
      <c r="N1266" s="980"/>
      <c r="O1266" s="980"/>
      <c r="P1266" s="79" t="str">
        <f>IF(AND('331-CT'!$E$7=TH!H1266,OR(N1266="331",O1266="331")),"x","")</f>
        <v/>
      </c>
      <c r="Q1266" s="79" t="str">
        <f>IF(AND(B1266='111'!$L$11,OR($N1266=$Q$7,$O1266=$Q$7)),"x","")</f>
        <v/>
      </c>
      <c r="R1266" s="79" t="str">
        <f>IF(AND($N1266=$Q$7,$B1266&lt;'111'!$L$11),"x","")</f>
        <v/>
      </c>
      <c r="S1266" s="79" t="str">
        <f>IF(AND($O1266=$Q$7,$B1266&lt;'111'!$L$11),"x","")</f>
        <v/>
      </c>
      <c r="T1266" s="79" t="str">
        <f>IF(ISERROR(FIND('112'!$M$9,G1266,1)),"",IF((AND(FIND('112'!$M$9,G1266,1)&gt;=1,B1266='112'!$K$9,OR($N1266='112'!$I$6,$O1266='112'!$I$6))),"x",""))</f>
        <v/>
      </c>
      <c r="U1266" s="79" t="str">
        <f>IF(ISERROR(FIND('112'!$M$9,G1266,1)),"",IF((AND(LEFT(G1266,2)=LEFT('112'!$M$9,2),B1266&lt;'112'!$K$9,$N1266='112'!$I$6)),"x",""))</f>
        <v/>
      </c>
      <c r="V1266" s="79" t="str">
        <f>IF(ISERROR(FIND('112'!$M$9,G1266,1)),"",IF((AND(RIGHT(G1266,2)=RIGHT('112'!$M$9,2),B1266&lt;'112'!$K$9,$O1266='112'!$I$6)),"x",""))</f>
        <v/>
      </c>
      <c r="W1266" s="79" t="str">
        <f>IF(AND('341-CT'!$H$9=H1266,OR(LEFT(N1266,3)=$W$7,LEFT(O1266,3)=$W$7)),"x","")</f>
        <v/>
      </c>
      <c r="X1266" s="79" t="str">
        <f>IF(OR(TH!N1266=TH!$X$7,O1266=TH!$X$7),"x","")</f>
        <v/>
      </c>
      <c r="Y1266" s="79" t="str">
        <f>IF(AND(OR(N1266="131",O1266="131"),H1266='131-CT'!$H$9),"x","")</f>
        <v/>
      </c>
      <c r="Z1266" s="79"/>
      <c r="AA1266" s="79" t="str">
        <f>IF(AND(MONTH(E1266)='IN-NX'!$J$5,'IN-NX'!$D$7=D1266),"x","")</f>
        <v/>
      </c>
      <c r="AB1266" s="79" t="str">
        <f>IF(AND(OR(LEFT(TH!N1266,2)="15",LEFT(TH!O1266,2)="15"),LEFT(TH!O1266,3)&lt;&gt;"111",'152-CT'!$J$8=TH!F1266),"x","")</f>
        <v/>
      </c>
      <c r="AC1266" s="79" t="str">
        <f>IF(AND(OR(LEFT(TH!N1266,2)="15",LEFT(TH!O1266,2)="15"),TK!$E$7=TH!F1266),"x","")</f>
        <v/>
      </c>
      <c r="AD1266" s="79" t="str">
        <f>IF(AND(N1266="1521",MONTH(C1266)='BK-NL'!$M$11),"x","")</f>
        <v/>
      </c>
    </row>
    <row r="1267" spans="1:30" ht="16.5" customHeight="1">
      <c r="A1267" s="318" t="str">
        <f>IF(B1267&lt;&gt;"",IF(AND(B1267='IN-TC'!$S$4,OR(TH!N1267="1111",TH!O1267="1111")),TH!D1267,""),"")</f>
        <v/>
      </c>
      <c r="B1267" s="60" t="str">
        <f t="shared" si="199"/>
        <v/>
      </c>
      <c r="C1267" s="226"/>
      <c r="D1267" s="226"/>
      <c r="E1267" s="226"/>
      <c r="F1267" s="1010"/>
      <c r="G1267" s="763"/>
      <c r="H1267" s="321"/>
      <c r="I1267" s="385"/>
      <c r="J1267" s="969"/>
      <c r="K1267" s="969"/>
      <c r="L1267" s="392"/>
      <c r="M1267" s="970"/>
      <c r="N1267" s="980"/>
      <c r="O1267" s="980"/>
      <c r="P1267" s="79" t="str">
        <f>IF(AND('331-CT'!$E$7=TH!H1267,OR(N1267="331",O1267="331")),"x","")</f>
        <v/>
      </c>
      <c r="Q1267" s="79" t="str">
        <f>IF(AND(B1267='111'!$L$11,OR($N1267=$Q$7,$O1267=$Q$7)),"x","")</f>
        <v/>
      </c>
      <c r="R1267" s="79" t="str">
        <f>IF(AND($N1267=$Q$7,$B1267&lt;'111'!$L$11),"x","")</f>
        <v/>
      </c>
      <c r="S1267" s="79" t="str">
        <f>IF(AND($O1267=$Q$7,$B1267&lt;'111'!$L$11),"x","")</f>
        <v/>
      </c>
      <c r="T1267" s="79" t="str">
        <f>IF(ISERROR(FIND('112'!$M$9,G1267,1)),"",IF((AND(FIND('112'!$M$9,G1267,1)&gt;=1,B1267='112'!$K$9,OR($N1267='112'!$I$6,$O1267='112'!$I$6))),"x",""))</f>
        <v/>
      </c>
      <c r="U1267" s="79" t="str">
        <f>IF(ISERROR(FIND('112'!$M$9,G1267,1)),"",IF((AND(LEFT(G1267,2)=LEFT('112'!$M$9,2),B1267&lt;'112'!$K$9,$N1267='112'!$I$6)),"x",""))</f>
        <v/>
      </c>
      <c r="V1267" s="79" t="str">
        <f>IF(ISERROR(FIND('112'!$M$9,G1267,1)),"",IF((AND(RIGHT(G1267,2)=RIGHT('112'!$M$9,2),B1267&lt;'112'!$K$9,$O1267='112'!$I$6)),"x",""))</f>
        <v/>
      </c>
      <c r="W1267" s="79" t="str">
        <f>IF(AND('341-CT'!$H$9=H1267,OR(LEFT(N1267,3)=$W$7,LEFT(O1267,3)=$W$7)),"x","")</f>
        <v/>
      </c>
      <c r="X1267" s="79" t="str">
        <f>IF(OR(TH!N1267=TH!$X$7,O1267=TH!$X$7),"x","")</f>
        <v/>
      </c>
      <c r="Y1267" s="79" t="str">
        <f>IF(AND(OR(N1267="131",O1267="131"),H1267='131-CT'!$H$9),"x","")</f>
        <v/>
      </c>
      <c r="Z1267" s="79"/>
      <c r="AA1267" s="79" t="str">
        <f>IF(AND(MONTH(E1267)='IN-NX'!$J$5,'IN-NX'!$D$7=D1267),"x","")</f>
        <v/>
      </c>
      <c r="AB1267" s="79" t="str">
        <f>IF(AND(OR(LEFT(TH!N1267,2)="15",LEFT(TH!O1267,2)="15"),LEFT(TH!O1267,3)&lt;&gt;"111",'152-CT'!$J$8=TH!F1267),"x","")</f>
        <v/>
      </c>
      <c r="AC1267" s="79" t="str">
        <f>IF(AND(OR(LEFT(TH!N1267,2)="15",LEFT(TH!O1267,2)="15"),TK!$E$7=TH!F1267),"x","")</f>
        <v/>
      </c>
      <c r="AD1267" s="79" t="str">
        <f>IF(AND(N1267="1521",MONTH(C1267)='BK-NL'!$M$11),"x","")</f>
        <v/>
      </c>
    </row>
    <row r="1268" spans="1:30" ht="16.5" customHeight="1">
      <c r="A1268" s="318" t="str">
        <f>IF(B1268&lt;&gt;"",IF(AND(B1268='IN-TC'!$S$4,OR(TH!N1268="1111",TH!O1268="1111")),TH!D1268,""),"")</f>
        <v/>
      </c>
      <c r="B1268" s="60" t="str">
        <f t="shared" si="199"/>
        <v/>
      </c>
      <c r="C1268" s="226"/>
      <c r="D1268" s="226"/>
      <c r="E1268" s="226"/>
      <c r="F1268" s="1010"/>
      <c r="G1268" s="763"/>
      <c r="H1268" s="321"/>
      <c r="I1268" s="385"/>
      <c r="J1268" s="969"/>
      <c r="K1268" s="969"/>
      <c r="L1268" s="392"/>
      <c r="M1268" s="970"/>
      <c r="N1268" s="980"/>
      <c r="O1268" s="980"/>
      <c r="P1268" s="79" t="str">
        <f>IF(AND('331-CT'!$E$7=TH!H1268,OR(N1268="331",O1268="331")),"x","")</f>
        <v/>
      </c>
      <c r="Q1268" s="79" t="str">
        <f>IF(AND(B1268='111'!$L$11,OR($N1268=$Q$7,$O1268=$Q$7)),"x","")</f>
        <v/>
      </c>
      <c r="R1268" s="79" t="str">
        <f>IF(AND($N1268=$Q$7,$B1268&lt;'111'!$L$11),"x","")</f>
        <v/>
      </c>
      <c r="S1268" s="79" t="str">
        <f>IF(AND($O1268=$Q$7,$B1268&lt;'111'!$L$11),"x","")</f>
        <v/>
      </c>
      <c r="T1268" s="79" t="str">
        <f>IF(ISERROR(FIND('112'!$M$9,G1268,1)),"",IF((AND(FIND('112'!$M$9,G1268,1)&gt;=1,B1268='112'!$K$9,OR($N1268='112'!$I$6,$O1268='112'!$I$6))),"x",""))</f>
        <v/>
      </c>
      <c r="U1268" s="79" t="str">
        <f>IF(ISERROR(FIND('112'!$M$9,G1268,1)),"",IF((AND(LEFT(G1268,2)=LEFT('112'!$M$9,2),B1268&lt;'112'!$K$9,$N1268='112'!$I$6)),"x",""))</f>
        <v/>
      </c>
      <c r="V1268" s="79" t="str">
        <f>IF(ISERROR(FIND('112'!$M$9,G1268,1)),"",IF((AND(RIGHT(G1268,2)=RIGHT('112'!$M$9,2),B1268&lt;'112'!$K$9,$O1268='112'!$I$6)),"x",""))</f>
        <v/>
      </c>
      <c r="W1268" s="79" t="str">
        <f>IF(AND('341-CT'!$H$9=H1268,OR(LEFT(N1268,3)=$W$7,LEFT(O1268,3)=$W$7)),"x","")</f>
        <v/>
      </c>
      <c r="X1268" s="79" t="str">
        <f>IF(OR(TH!N1268=TH!$X$7,O1268=TH!$X$7),"x","")</f>
        <v/>
      </c>
      <c r="Y1268" s="79" t="str">
        <f>IF(AND(OR(N1268="131",O1268="131"),H1268='131-CT'!$H$9),"x","")</f>
        <v/>
      </c>
      <c r="Z1268" s="79"/>
      <c r="AA1268" s="79" t="str">
        <f>IF(AND(MONTH(E1268)='IN-NX'!$J$5,'IN-NX'!$D$7=D1268),"x","")</f>
        <v/>
      </c>
      <c r="AB1268" s="79" t="str">
        <f>IF(AND(OR(LEFT(TH!N1268,2)="15",LEFT(TH!O1268,2)="15"),LEFT(TH!O1268,3)&lt;&gt;"111",'152-CT'!$J$8=TH!F1268),"x","")</f>
        <v/>
      </c>
      <c r="AC1268" s="79" t="str">
        <f>IF(AND(OR(LEFT(TH!N1268,2)="15",LEFT(TH!O1268,2)="15"),TK!$E$7=TH!F1268),"x","")</f>
        <v/>
      </c>
      <c r="AD1268" s="79" t="str">
        <f>IF(AND(N1268="1521",MONTH(C1268)='BK-NL'!$M$11),"x","")</f>
        <v/>
      </c>
    </row>
    <row r="1269" spans="1:30" s="1102" customFormat="1" ht="16.5" customHeight="1">
      <c r="A1269" s="318" t="str">
        <f>IF(B1269&lt;&gt;"",IF(AND(B1269='IN-TC'!$S$4,OR(TH!N1269="1111",TH!O1269="1111")),TH!D1269,""),"")</f>
        <v/>
      </c>
      <c r="B1269" s="60" t="str">
        <f t="shared" si="199"/>
        <v/>
      </c>
      <c r="C1269" s="226"/>
      <c r="D1269" s="226"/>
      <c r="E1269" s="226"/>
      <c r="F1269" s="1008"/>
      <c r="G1269" s="987"/>
      <c r="H1269" s="997"/>
      <c r="I1269" s="984"/>
      <c r="J1269" s="984"/>
      <c r="K1269" s="984"/>
      <c r="L1269" s="983"/>
      <c r="M1269" s="970"/>
      <c r="N1269" s="980"/>
      <c r="O1269" s="980"/>
      <c r="P1269" s="79" t="str">
        <f>IF(AND('331-CT'!$E$7=TH!H1269,OR(N1269="331",O1269="331")),"x","")</f>
        <v/>
      </c>
      <c r="Q1269" s="79" t="str">
        <f>IF(AND(B1269='111'!$L$11,OR($N1269=$Q$7,$O1269=$Q$7)),"x","")</f>
        <v/>
      </c>
      <c r="R1269" s="79" t="str">
        <f>IF(AND($N1269=$Q$7,$B1269&lt;'111'!$L$11),"x","")</f>
        <v/>
      </c>
      <c r="S1269" s="79" t="str">
        <f>IF(AND($O1269=$Q$7,$B1269&lt;'111'!$L$11),"x","")</f>
        <v/>
      </c>
      <c r="T1269" s="79" t="str">
        <f>IF(ISERROR(FIND('112'!$M$9,G1269,1)),"",IF((AND(FIND('112'!$M$9,G1269,1)&gt;=1,B1269='112'!$K$9,OR($N1269='112'!$I$6,$O1269='112'!$I$6))),"x",""))</f>
        <v/>
      </c>
      <c r="U1269" s="79" t="str">
        <f>IF(ISERROR(FIND('112'!$M$9,G1269,1)),"",IF((AND(LEFT(G1269,2)=LEFT('112'!$M$9,2),B1269&lt;'112'!$K$9,$N1269='112'!$I$6)),"x",""))</f>
        <v/>
      </c>
      <c r="V1269" s="79" t="str">
        <f>IF(ISERROR(FIND('112'!$M$9,G1269,1)),"",IF((AND(RIGHT(G1269,2)=RIGHT('112'!$M$9,2),B1269&lt;'112'!$K$9,$O1269='112'!$I$6)),"x",""))</f>
        <v/>
      </c>
      <c r="W1269" s="79" t="str">
        <f>IF(AND('341-CT'!$H$9=H1269,OR(LEFT(N1269,3)=$W$7,LEFT(O1269,3)=$W$7)),"x","")</f>
        <v/>
      </c>
      <c r="X1269" s="79" t="str">
        <f>IF(OR(TH!N1269=TH!$X$7,O1269=TH!$X$7),"x","")</f>
        <v/>
      </c>
      <c r="Y1269" s="79" t="str">
        <f>IF(AND(OR(N1269="131",O1269="131"),H1269='131-CT'!$H$9),"x","")</f>
        <v/>
      </c>
      <c r="Z1269" s="79"/>
      <c r="AA1269" s="79" t="str">
        <f>IF(AND(MONTH(E1269)='IN-NX'!$J$5,'IN-NX'!$D$7=D1269),"x","")</f>
        <v/>
      </c>
      <c r="AB1269" s="79" t="str">
        <f>IF(AND(OR(LEFT(TH!N1269,2)="15",LEFT(TH!O1269,2)="15"),LEFT(TH!O1269,3)&lt;&gt;"111",'152-CT'!$J$8=TH!F1269),"x","")</f>
        <v/>
      </c>
      <c r="AC1269" s="79" t="str">
        <f>IF(AND(OR(LEFT(TH!N1269,2)="15",LEFT(TH!O1269,2)="15"),TK!$E$7=TH!F1269),"x","")</f>
        <v/>
      </c>
      <c r="AD1269" s="79" t="str">
        <f>IF(AND(N1269="1521",MONTH(C1269)='BK-NL'!$M$11),"x","")</f>
        <v/>
      </c>
    </row>
    <row r="1270" spans="1:30" s="1101" customFormat="1" ht="16.5" customHeight="1">
      <c r="A1270" s="318" t="str">
        <f>IF(B1270&lt;&gt;"",IF(AND(B1270='IN-TC'!$S$4,OR(TH!N1270="1111",TH!O1270="1111")),TH!D1270,""),"")</f>
        <v/>
      </c>
      <c r="B1270" s="60" t="str">
        <f t="shared" si="199"/>
        <v/>
      </c>
      <c r="C1270" s="226"/>
      <c r="D1270" s="226"/>
      <c r="E1270" s="226"/>
      <c r="F1270" s="1010"/>
      <c r="G1270" s="763"/>
      <c r="H1270" s="303"/>
      <c r="I1270" s="385"/>
      <c r="J1270" s="969"/>
      <c r="K1270" s="969"/>
      <c r="L1270" s="392"/>
      <c r="M1270" s="970"/>
      <c r="N1270" s="980"/>
      <c r="O1270" s="980"/>
      <c r="P1270" s="79" t="str">
        <f>IF(AND('331-CT'!$E$7=TH!H1270,OR(N1270="331",O1270="331")),"x","")</f>
        <v/>
      </c>
      <c r="Q1270" s="79" t="str">
        <f>IF(AND(B1270='111'!$L$11,OR($N1270=$Q$7,$O1270=$Q$7)),"x","")</f>
        <v/>
      </c>
      <c r="R1270" s="79" t="str">
        <f>IF(AND($N1270=$Q$7,$B1270&lt;'111'!$L$11),"x","")</f>
        <v/>
      </c>
      <c r="S1270" s="79" t="str">
        <f>IF(AND($O1270=$Q$7,$B1270&lt;'111'!$L$11),"x","")</f>
        <v/>
      </c>
      <c r="T1270" s="79" t="str">
        <f>IF(ISERROR(FIND('112'!$M$9,G1270,1)),"",IF((AND(FIND('112'!$M$9,G1270,1)&gt;=1,B1270='112'!$K$9,OR($N1270='112'!$I$6,$O1270='112'!$I$6))),"x",""))</f>
        <v/>
      </c>
      <c r="U1270" s="79" t="str">
        <f>IF(ISERROR(FIND('112'!$M$9,G1270,1)),"",IF((AND(LEFT(G1270,2)=LEFT('112'!$M$9,2),B1270&lt;'112'!$K$9,$N1270='112'!$I$6)),"x",""))</f>
        <v/>
      </c>
      <c r="V1270" s="79" t="str">
        <f>IF(ISERROR(FIND('112'!$M$9,G1270,1)),"",IF((AND(RIGHT(G1270,2)=RIGHT('112'!$M$9,2),B1270&lt;'112'!$K$9,$O1270='112'!$I$6)),"x",""))</f>
        <v/>
      </c>
      <c r="W1270" s="79" t="str">
        <f>IF(AND('341-CT'!$H$9=H1270,OR(LEFT(N1270,3)=$W$7,LEFT(O1270,3)=$W$7)),"x","")</f>
        <v/>
      </c>
      <c r="X1270" s="79" t="str">
        <f>IF(OR(TH!N1270=TH!$X$7,O1270=TH!$X$7),"x","")</f>
        <v/>
      </c>
      <c r="Y1270" s="79" t="str">
        <f>IF(AND(OR(N1270="131",O1270="131"),H1270='131-CT'!$H$9),"x","")</f>
        <v/>
      </c>
      <c r="Z1270" s="79"/>
      <c r="AA1270" s="79" t="str">
        <f>IF(AND(MONTH(E1270)='IN-NX'!$J$5,'IN-NX'!$D$7=D1270),"x","")</f>
        <v/>
      </c>
      <c r="AB1270" s="79" t="str">
        <f>IF(AND(OR(LEFT(TH!N1270,2)="15",LEFT(TH!O1270,2)="15"),LEFT(TH!O1270,3)&lt;&gt;"111",'152-CT'!$J$8=TH!F1270),"x","")</f>
        <v/>
      </c>
      <c r="AC1270" s="79" t="str">
        <f>IF(AND(OR(LEFT(TH!N1270,2)="15",LEFT(TH!O1270,2)="15"),TK!$E$7=TH!F1270),"x","")</f>
        <v/>
      </c>
      <c r="AD1270" s="79" t="str">
        <f>IF(AND(N1270="1521",MONTH(C1270)='BK-NL'!$M$11),"x","")</f>
        <v/>
      </c>
    </row>
    <row r="1271" spans="1:30" ht="16.5" customHeight="1">
      <c r="A1271" s="318" t="str">
        <f>IF(B1271&lt;&gt;"",IF(AND(B1271='IN-TC'!$S$4,OR(TH!N1271="1111",TH!O1271="1111")),TH!D1271,""),"")</f>
        <v/>
      </c>
      <c r="B1271" s="60" t="str">
        <f t="shared" si="199"/>
        <v/>
      </c>
      <c r="C1271" s="226"/>
      <c r="D1271" s="226"/>
      <c r="E1271" s="226"/>
      <c r="F1271" s="446"/>
      <c r="G1271" s="763"/>
      <c r="H1271" s="321"/>
      <c r="I1271" s="385"/>
      <c r="J1271" s="969"/>
      <c r="K1271" s="969"/>
      <c r="L1271" s="392"/>
      <c r="M1271" s="970"/>
      <c r="N1271" s="980"/>
      <c r="O1271" s="980"/>
      <c r="P1271" s="79" t="str">
        <f>IF(AND('331-CT'!$E$7=TH!H1271,OR(N1271="331",O1271="331")),"x","")</f>
        <v/>
      </c>
      <c r="Q1271" s="79" t="str">
        <f>IF(AND(B1271='111'!$L$11,OR($N1271=$Q$7,$O1271=$Q$7)),"x","")</f>
        <v/>
      </c>
      <c r="R1271" s="79" t="str">
        <f>IF(AND($N1271=$Q$7,$B1271&lt;'111'!$L$11),"x","")</f>
        <v/>
      </c>
      <c r="S1271" s="79" t="str">
        <f>IF(AND($O1271=$Q$7,$B1271&lt;'111'!$L$11),"x","")</f>
        <v/>
      </c>
      <c r="T1271" s="79" t="str">
        <f>IF(ISERROR(FIND('112'!$M$9,G1271,1)),"",IF((AND(FIND('112'!$M$9,G1271,1)&gt;=1,B1271='112'!$K$9,OR($N1271='112'!$I$6,$O1271='112'!$I$6))),"x",""))</f>
        <v/>
      </c>
      <c r="U1271" s="79" t="str">
        <f>IF(ISERROR(FIND('112'!$M$9,G1271,1)),"",IF((AND(LEFT(G1271,2)=LEFT('112'!$M$9,2),B1271&lt;'112'!$K$9,$N1271='112'!$I$6)),"x",""))</f>
        <v/>
      </c>
      <c r="V1271" s="79" t="str">
        <f>IF(ISERROR(FIND('112'!$M$9,G1271,1)),"",IF((AND(RIGHT(G1271,2)=RIGHT('112'!$M$9,2),B1271&lt;'112'!$K$9,$O1271='112'!$I$6)),"x",""))</f>
        <v/>
      </c>
      <c r="W1271" s="79" t="str">
        <f>IF(AND('341-CT'!$H$9=H1271,OR(LEFT(N1271,3)=$W$7,LEFT(O1271,3)=$W$7)),"x","")</f>
        <v/>
      </c>
      <c r="X1271" s="79" t="str">
        <f>IF(OR(TH!N1271=TH!$X$7,O1271=TH!$X$7),"x","")</f>
        <v/>
      </c>
      <c r="Y1271" s="79" t="str">
        <f>IF(AND(OR(N1271="131",O1271="131"),H1271='131-CT'!$H$9),"x","")</f>
        <v/>
      </c>
      <c r="Z1271" s="79"/>
      <c r="AA1271" s="79" t="str">
        <f>IF(AND(MONTH(E1271)='IN-NX'!$J$5,'IN-NX'!$D$7=D1271),"x","")</f>
        <v/>
      </c>
      <c r="AB1271" s="79" t="str">
        <f>IF(AND(OR(LEFT(TH!N1271,2)="15",LEFT(TH!O1271,2)="15"),LEFT(TH!O1271,3)&lt;&gt;"111",'152-CT'!$J$8=TH!F1271),"x","")</f>
        <v/>
      </c>
      <c r="AC1271" s="79" t="str">
        <f>IF(AND(OR(LEFT(TH!N1271,2)="15",LEFT(TH!O1271,2)="15"),TK!$E$7=TH!F1271),"x","")</f>
        <v/>
      </c>
      <c r="AD1271" s="79" t="str">
        <f>IF(AND(N1271="1521",MONTH(C1271)='BK-NL'!$M$11),"x","")</f>
        <v/>
      </c>
    </row>
    <row r="1272" spans="1:30" ht="16.5" customHeight="1">
      <c r="A1272" s="318" t="str">
        <f>IF(B1272&lt;&gt;"",IF(AND(B1272='IN-TC'!$S$4,OR(TH!N1272="1111",TH!O1272="1111")),TH!D1272,""),"")</f>
        <v/>
      </c>
      <c r="B1272" s="60" t="str">
        <f t="shared" si="199"/>
        <v/>
      </c>
      <c r="C1272" s="226"/>
      <c r="D1272" s="226"/>
      <c r="E1272" s="226"/>
      <c r="F1272" s="446"/>
      <c r="G1272" s="763"/>
      <c r="H1272" s="321"/>
      <c r="I1272" s="385"/>
      <c r="J1272" s="969"/>
      <c r="K1272" s="969"/>
      <c r="L1272" s="392"/>
      <c r="M1272" s="970"/>
      <c r="N1272" s="980"/>
      <c r="O1272" s="980"/>
      <c r="P1272" s="79" t="str">
        <f>IF(AND('331-CT'!$E$7=TH!H1272,OR(N1272="331",O1272="331")),"x","")</f>
        <v/>
      </c>
      <c r="Q1272" s="79" t="str">
        <f>IF(AND(B1272='111'!$L$11,OR($N1272=$Q$7,$O1272=$Q$7)),"x","")</f>
        <v/>
      </c>
      <c r="R1272" s="79" t="str">
        <f>IF(AND($N1272=$Q$7,$B1272&lt;'111'!$L$11),"x","")</f>
        <v/>
      </c>
      <c r="S1272" s="79" t="str">
        <f>IF(AND($O1272=$Q$7,$B1272&lt;'111'!$L$11),"x","")</f>
        <v/>
      </c>
      <c r="T1272" s="79" t="str">
        <f>IF(ISERROR(FIND('112'!$M$9,G1272,1)),"",IF((AND(FIND('112'!$M$9,G1272,1)&gt;=1,B1272='112'!$K$9,OR($N1272='112'!$I$6,$O1272='112'!$I$6))),"x",""))</f>
        <v/>
      </c>
      <c r="U1272" s="79" t="str">
        <f>IF(ISERROR(FIND('112'!$M$9,G1272,1)),"",IF((AND(LEFT(G1272,2)=LEFT('112'!$M$9,2),B1272&lt;'112'!$K$9,$N1272='112'!$I$6)),"x",""))</f>
        <v/>
      </c>
      <c r="V1272" s="79" t="str">
        <f>IF(ISERROR(FIND('112'!$M$9,G1272,1)),"",IF((AND(RIGHT(G1272,2)=RIGHT('112'!$M$9,2),B1272&lt;'112'!$K$9,$O1272='112'!$I$6)),"x",""))</f>
        <v/>
      </c>
      <c r="W1272" s="79" t="str">
        <f>IF(AND('341-CT'!$H$9=H1272,OR(LEFT(N1272,3)=$W$7,LEFT(O1272,3)=$W$7)),"x","")</f>
        <v/>
      </c>
      <c r="X1272" s="79" t="str">
        <f>IF(OR(TH!N1272=TH!$X$7,O1272=TH!$X$7),"x","")</f>
        <v/>
      </c>
      <c r="Y1272" s="79" t="str">
        <f>IF(AND(OR(N1272="131",O1272="131"),H1272='131-CT'!$H$9),"x","")</f>
        <v/>
      </c>
      <c r="Z1272" s="79"/>
      <c r="AA1272" s="79" t="str">
        <f>IF(AND(MONTH(E1272)='IN-NX'!$J$5,'IN-NX'!$D$7=D1272),"x","")</f>
        <v/>
      </c>
      <c r="AB1272" s="79" t="str">
        <f>IF(AND(OR(LEFT(TH!N1272,2)="15",LEFT(TH!O1272,2)="15"),LEFT(TH!O1272,3)&lt;&gt;"111",'152-CT'!$J$8=TH!F1272),"x","")</f>
        <v/>
      </c>
      <c r="AC1272" s="79" t="str">
        <f>IF(AND(OR(LEFT(TH!N1272,2)="15",LEFT(TH!O1272,2)="15"),TK!$E$7=TH!F1272),"x","")</f>
        <v/>
      </c>
      <c r="AD1272" s="79" t="str">
        <f>IF(AND(N1272="1521",MONTH(C1272)='BK-NL'!$M$11),"x","")</f>
        <v/>
      </c>
    </row>
    <row r="1273" spans="1:30" ht="16.5" customHeight="1">
      <c r="A1273" s="318" t="str">
        <f>IF(B1273&lt;&gt;"",IF(AND(B1273='IN-TC'!$S$4,OR(TH!N1273="1111",TH!O1273="1111")),TH!D1273,""),"")</f>
        <v/>
      </c>
      <c r="B1273" s="60" t="str">
        <f t="shared" si="199"/>
        <v/>
      </c>
      <c r="C1273" s="226"/>
      <c r="D1273" s="226"/>
      <c r="E1273" s="226"/>
      <c r="F1273" s="1010"/>
      <c r="G1273" s="763"/>
      <c r="H1273" s="321"/>
      <c r="I1273" s="385"/>
      <c r="J1273" s="969"/>
      <c r="K1273" s="969"/>
      <c r="L1273" s="392"/>
      <c r="M1273" s="970"/>
      <c r="N1273" s="980"/>
      <c r="O1273" s="980"/>
      <c r="P1273" s="79" t="str">
        <f>IF(AND('331-CT'!$E$7=TH!H1273,OR(N1273="331",O1273="331")),"x","")</f>
        <v/>
      </c>
      <c r="Q1273" s="79" t="str">
        <f>IF(AND(B1273='111'!$L$11,OR($N1273=$Q$7,$O1273=$Q$7)),"x","")</f>
        <v/>
      </c>
      <c r="R1273" s="79" t="str">
        <f>IF(AND($N1273=$Q$7,$B1273&lt;'111'!$L$11),"x","")</f>
        <v/>
      </c>
      <c r="S1273" s="79" t="str">
        <f>IF(AND($O1273=$Q$7,$B1273&lt;'111'!$L$11),"x","")</f>
        <v/>
      </c>
      <c r="T1273" s="79" t="str">
        <f>IF(ISERROR(FIND('112'!$M$9,G1273,1)),"",IF((AND(FIND('112'!$M$9,G1273,1)&gt;=1,B1273='112'!$K$9,OR($N1273='112'!$I$6,$O1273='112'!$I$6))),"x",""))</f>
        <v/>
      </c>
      <c r="U1273" s="79" t="str">
        <f>IF(ISERROR(FIND('112'!$M$9,G1273,1)),"",IF((AND(LEFT(G1273,2)=LEFT('112'!$M$9,2),B1273&lt;'112'!$K$9,$N1273='112'!$I$6)),"x",""))</f>
        <v/>
      </c>
      <c r="V1273" s="79" t="str">
        <f>IF(ISERROR(FIND('112'!$M$9,G1273,1)),"",IF((AND(RIGHT(G1273,2)=RIGHT('112'!$M$9,2),B1273&lt;'112'!$K$9,$O1273='112'!$I$6)),"x",""))</f>
        <v/>
      </c>
      <c r="W1273" s="79" t="str">
        <f>IF(AND('341-CT'!$H$9=H1273,OR(LEFT(N1273,3)=$W$7,LEFT(O1273,3)=$W$7)),"x","")</f>
        <v/>
      </c>
      <c r="X1273" s="79" t="str">
        <f>IF(OR(TH!N1273=TH!$X$7,O1273=TH!$X$7),"x","")</f>
        <v/>
      </c>
      <c r="Y1273" s="79" t="str">
        <f>IF(AND(OR(N1273="131",O1273="131"),H1273='131-CT'!$H$9),"x","")</f>
        <v/>
      </c>
      <c r="Z1273" s="79"/>
      <c r="AA1273" s="79" t="str">
        <f>IF(AND(MONTH(E1273)='IN-NX'!$J$5,'IN-NX'!$D$7=D1273),"x","")</f>
        <v/>
      </c>
      <c r="AB1273" s="79" t="str">
        <f>IF(AND(OR(LEFT(TH!N1273,2)="15",LEFT(TH!O1273,2)="15"),LEFT(TH!O1273,3)&lt;&gt;"111",'152-CT'!$J$8=TH!F1273),"x","")</f>
        <v/>
      </c>
      <c r="AC1273" s="79" t="str">
        <f>IF(AND(OR(LEFT(TH!N1273,2)="15",LEFT(TH!O1273,2)="15"),TK!$E$7=TH!F1273),"x","")</f>
        <v/>
      </c>
      <c r="AD1273" s="79" t="str">
        <f>IF(AND(N1273="1521",MONTH(C1273)='BK-NL'!$M$11),"x","")</f>
        <v/>
      </c>
    </row>
    <row r="1274" spans="1:30" ht="16.5" customHeight="1">
      <c r="A1274" s="318" t="str">
        <f>IF(B1274&lt;&gt;"",IF(AND(B1274='IN-TC'!$S$4,OR(TH!N1274="1111",TH!O1274="1111")),TH!D1274,""),"")</f>
        <v/>
      </c>
      <c r="B1274" s="60" t="str">
        <f t="shared" si="199"/>
        <v/>
      </c>
      <c r="C1274" s="226"/>
      <c r="D1274" s="226"/>
      <c r="E1274" s="226"/>
      <c r="F1274" s="1010"/>
      <c r="G1274" s="763"/>
      <c r="H1274" s="321"/>
      <c r="I1274" s="385"/>
      <c r="J1274" s="969"/>
      <c r="K1274" s="969"/>
      <c r="L1274" s="392"/>
      <c r="M1274" s="970"/>
      <c r="N1274" s="980"/>
      <c r="O1274" s="980"/>
      <c r="P1274" s="79" t="str">
        <f>IF(AND('331-CT'!$E$7=TH!H1274,OR(N1274="331",O1274="331")),"x","")</f>
        <v/>
      </c>
      <c r="Q1274" s="79" t="str">
        <f>IF(AND(B1274='111'!$L$11,OR($N1274=$Q$7,$O1274=$Q$7)),"x","")</f>
        <v/>
      </c>
      <c r="R1274" s="79" t="str">
        <f>IF(AND($N1274=$Q$7,$B1274&lt;'111'!$L$11),"x","")</f>
        <v/>
      </c>
      <c r="S1274" s="79" t="str">
        <f>IF(AND($O1274=$Q$7,$B1274&lt;'111'!$L$11),"x","")</f>
        <v/>
      </c>
      <c r="T1274" s="79" t="str">
        <f>IF(ISERROR(FIND('112'!$M$9,G1274,1)),"",IF((AND(FIND('112'!$M$9,G1274,1)&gt;=1,B1274='112'!$K$9,OR($N1274='112'!$I$6,$O1274='112'!$I$6))),"x",""))</f>
        <v/>
      </c>
      <c r="U1274" s="79" t="str">
        <f>IF(ISERROR(FIND('112'!$M$9,G1274,1)),"",IF((AND(LEFT(G1274,2)=LEFT('112'!$M$9,2),B1274&lt;'112'!$K$9,$N1274='112'!$I$6)),"x",""))</f>
        <v/>
      </c>
      <c r="V1274" s="79" t="str">
        <f>IF(ISERROR(FIND('112'!$M$9,G1274,1)),"",IF((AND(RIGHT(G1274,2)=RIGHT('112'!$M$9,2),B1274&lt;'112'!$K$9,$O1274='112'!$I$6)),"x",""))</f>
        <v/>
      </c>
      <c r="W1274" s="79" t="str">
        <f>IF(AND('341-CT'!$H$9=H1274,OR(LEFT(N1274,3)=$W$7,LEFT(O1274,3)=$W$7)),"x","")</f>
        <v/>
      </c>
      <c r="X1274" s="79" t="str">
        <f>IF(OR(TH!N1274=TH!$X$7,O1274=TH!$X$7),"x","")</f>
        <v/>
      </c>
      <c r="Y1274" s="79" t="str">
        <f>IF(AND(OR(N1274="131",O1274="131"),H1274='131-CT'!$H$9),"x","")</f>
        <v/>
      </c>
      <c r="Z1274" s="79"/>
      <c r="AA1274" s="79" t="str">
        <f>IF(AND(MONTH(E1274)='IN-NX'!$J$5,'IN-NX'!$D$7=D1274),"x","")</f>
        <v/>
      </c>
      <c r="AB1274" s="79" t="str">
        <f>IF(AND(OR(LEFT(TH!N1274,2)="15",LEFT(TH!O1274,2)="15"),LEFT(TH!O1274,3)&lt;&gt;"111",'152-CT'!$J$8=TH!F1274),"x","")</f>
        <v/>
      </c>
      <c r="AC1274" s="79" t="str">
        <f>IF(AND(OR(LEFT(TH!N1274,2)="15",LEFT(TH!O1274,2)="15"),TK!$E$7=TH!F1274),"x","")</f>
        <v/>
      </c>
      <c r="AD1274" s="79" t="str">
        <f>IF(AND(N1274="1521",MONTH(C1274)='BK-NL'!$M$11),"x","")</f>
        <v/>
      </c>
    </row>
    <row r="1275" spans="1:30" ht="16.5" customHeight="1">
      <c r="A1275" s="318" t="str">
        <f>IF(B1275&lt;&gt;"",IF(AND(B1275='IN-TC'!$S$4,OR(TH!N1275="1111",TH!O1275="1111")),TH!D1275,""),"")</f>
        <v/>
      </c>
      <c r="B1275" s="60" t="str">
        <f t="shared" si="199"/>
        <v/>
      </c>
      <c r="C1275" s="226"/>
      <c r="D1275" s="226"/>
      <c r="E1275" s="226"/>
      <c r="F1275" s="446"/>
      <c r="G1275" s="763"/>
      <c r="H1275" s="321"/>
      <c r="I1275" s="385"/>
      <c r="J1275" s="969"/>
      <c r="K1275" s="969"/>
      <c r="L1275" s="392"/>
      <c r="M1275" s="970"/>
      <c r="N1275" s="980"/>
      <c r="O1275" s="980"/>
      <c r="P1275" s="79" t="str">
        <f>IF(AND('331-CT'!$E$7=TH!H1275,OR(N1275="331",O1275="331")),"x","")</f>
        <v/>
      </c>
      <c r="Q1275" s="79" t="str">
        <f>IF(AND(B1275='111'!$L$11,OR($N1275=$Q$7,$O1275=$Q$7)),"x","")</f>
        <v/>
      </c>
      <c r="R1275" s="79" t="str">
        <f>IF(AND($N1275=$Q$7,$B1275&lt;'111'!$L$11),"x","")</f>
        <v/>
      </c>
      <c r="S1275" s="79" t="str">
        <f>IF(AND($O1275=$Q$7,$B1275&lt;'111'!$L$11),"x","")</f>
        <v/>
      </c>
      <c r="T1275" s="79" t="str">
        <f>IF(ISERROR(FIND('112'!$M$9,G1275,1)),"",IF((AND(FIND('112'!$M$9,G1275,1)&gt;=1,B1275='112'!$K$9,OR($N1275='112'!$I$6,$O1275='112'!$I$6))),"x",""))</f>
        <v/>
      </c>
      <c r="U1275" s="79" t="str">
        <f>IF(ISERROR(FIND('112'!$M$9,G1275,1)),"",IF((AND(LEFT(G1275,2)=LEFT('112'!$M$9,2),B1275&lt;'112'!$K$9,$N1275='112'!$I$6)),"x",""))</f>
        <v/>
      </c>
      <c r="V1275" s="79" t="str">
        <f>IF(ISERROR(FIND('112'!$M$9,G1275,1)),"",IF((AND(RIGHT(G1275,2)=RIGHT('112'!$M$9,2),B1275&lt;'112'!$K$9,$O1275='112'!$I$6)),"x",""))</f>
        <v/>
      </c>
      <c r="W1275" s="79" t="str">
        <f>IF(AND('341-CT'!$H$9=H1275,OR(LEFT(N1275,3)=$W$7,LEFT(O1275,3)=$W$7)),"x","")</f>
        <v/>
      </c>
      <c r="X1275" s="79" t="str">
        <f>IF(OR(TH!N1275=TH!$X$7,O1275=TH!$X$7),"x","")</f>
        <v/>
      </c>
      <c r="Y1275" s="79" t="str">
        <f>IF(AND(OR(N1275="131",O1275="131"),H1275='131-CT'!$H$9),"x","")</f>
        <v/>
      </c>
      <c r="Z1275" s="79"/>
      <c r="AA1275" s="79" t="str">
        <f>IF(AND(MONTH(E1275)='IN-NX'!$J$5,'IN-NX'!$D$7=D1275),"x","")</f>
        <v/>
      </c>
      <c r="AB1275" s="79" t="str">
        <f>IF(AND(OR(LEFT(TH!N1275,2)="15",LEFT(TH!O1275,2)="15"),LEFT(TH!O1275,3)&lt;&gt;"111",'152-CT'!$J$8=TH!F1275),"x","")</f>
        <v/>
      </c>
      <c r="AC1275" s="79" t="str">
        <f>IF(AND(OR(LEFT(TH!N1275,2)="15",LEFT(TH!O1275,2)="15"),TK!$E$7=TH!F1275),"x","")</f>
        <v/>
      </c>
      <c r="AD1275" s="79" t="str">
        <f>IF(AND(N1275="1521",MONTH(C1275)='BK-NL'!$M$11),"x","")</f>
        <v/>
      </c>
    </row>
    <row r="1276" spans="1:30" s="1102" customFormat="1" ht="16.5" customHeight="1">
      <c r="A1276" s="318" t="str">
        <f>IF(B1276&lt;&gt;"",IF(AND(B1276='IN-TC'!$S$4,OR(TH!N1276="1111",TH!O1276="1111")),TH!D1276,""),"")</f>
        <v/>
      </c>
      <c r="B1276" s="60" t="str">
        <f t="shared" si="199"/>
        <v/>
      </c>
      <c r="C1276" s="226"/>
      <c r="D1276" s="226"/>
      <c r="E1276" s="226"/>
      <c r="F1276" s="1008"/>
      <c r="G1276" s="987"/>
      <c r="H1276" s="997"/>
      <c r="I1276" s="984"/>
      <c r="J1276" s="984"/>
      <c r="K1276" s="984"/>
      <c r="L1276" s="983"/>
      <c r="M1276" s="970"/>
      <c r="N1276" s="980"/>
      <c r="O1276" s="980"/>
      <c r="P1276" s="79" t="str">
        <f>IF(AND('331-CT'!$E$7=TH!H1276,OR(N1276="331",O1276="331")),"x","")</f>
        <v/>
      </c>
      <c r="Q1276" s="79" t="str">
        <f>IF(AND(B1276='111'!$L$11,OR($N1276=$Q$7,$O1276=$Q$7)),"x","")</f>
        <v/>
      </c>
      <c r="R1276" s="79" t="str">
        <f>IF(AND($N1276=$Q$7,$B1276&lt;'111'!$L$11),"x","")</f>
        <v/>
      </c>
      <c r="S1276" s="79" t="str">
        <f>IF(AND($O1276=$Q$7,$B1276&lt;'111'!$L$11),"x","")</f>
        <v/>
      </c>
      <c r="T1276" s="79" t="str">
        <f>IF(ISERROR(FIND('112'!$M$9,G1276,1)),"",IF((AND(FIND('112'!$M$9,G1276,1)&gt;=1,B1276='112'!$K$9,OR($N1276='112'!$I$6,$O1276='112'!$I$6))),"x",""))</f>
        <v/>
      </c>
      <c r="U1276" s="79" t="str">
        <f>IF(ISERROR(FIND('112'!$M$9,G1276,1)),"",IF((AND(LEFT(G1276,2)=LEFT('112'!$M$9,2),B1276&lt;'112'!$K$9,$N1276='112'!$I$6)),"x",""))</f>
        <v/>
      </c>
      <c r="V1276" s="79" t="str">
        <f>IF(ISERROR(FIND('112'!$M$9,G1276,1)),"",IF((AND(RIGHT(G1276,2)=RIGHT('112'!$M$9,2),B1276&lt;'112'!$K$9,$O1276='112'!$I$6)),"x",""))</f>
        <v/>
      </c>
      <c r="W1276" s="79" t="str">
        <f>IF(AND('341-CT'!$H$9=H1276,OR(LEFT(N1276,3)=$W$7,LEFT(O1276,3)=$W$7)),"x","")</f>
        <v/>
      </c>
      <c r="X1276" s="79" t="str">
        <f>IF(OR(TH!N1276=TH!$X$7,O1276=TH!$X$7),"x","")</f>
        <v/>
      </c>
      <c r="Y1276" s="79" t="str">
        <f>IF(AND(OR(N1276="131",O1276="131"),H1276='131-CT'!$H$9),"x","")</f>
        <v/>
      </c>
      <c r="Z1276" s="79"/>
      <c r="AA1276" s="79" t="str">
        <f>IF(AND(MONTH(E1276)='IN-NX'!$J$5,'IN-NX'!$D$7=D1276),"x","")</f>
        <v/>
      </c>
      <c r="AB1276" s="79" t="str">
        <f>IF(AND(OR(LEFT(TH!N1276,2)="15",LEFT(TH!O1276,2)="15"),LEFT(TH!O1276,3)&lt;&gt;"111",'152-CT'!$J$8=TH!F1276),"x","")</f>
        <v/>
      </c>
      <c r="AC1276" s="79" t="str">
        <f>IF(AND(OR(LEFT(TH!N1276,2)="15",LEFT(TH!O1276,2)="15"),TK!$E$7=TH!F1276),"x","")</f>
        <v/>
      </c>
      <c r="AD1276" s="79" t="str">
        <f>IF(AND(N1276="1521",MONTH(C1276)='BK-NL'!$M$11),"x","")</f>
        <v/>
      </c>
    </row>
    <row r="1277" spans="1:30" s="1102" customFormat="1" ht="16.5" customHeight="1">
      <c r="A1277" s="318" t="str">
        <f>IF(B1277&lt;&gt;"",IF(AND(B1277='IN-TC'!$S$4,OR(TH!N1277="1111",TH!O1277="1111")),TH!D1277,""),"")</f>
        <v/>
      </c>
      <c r="B1277" s="60" t="str">
        <f t="shared" si="199"/>
        <v/>
      </c>
      <c r="C1277" s="226"/>
      <c r="D1277" s="226"/>
      <c r="E1277" s="226"/>
      <c r="F1277" s="1008"/>
      <c r="G1277" s="987"/>
      <c r="H1277" s="997"/>
      <c r="I1277" s="984"/>
      <c r="J1277" s="984"/>
      <c r="K1277" s="984"/>
      <c r="L1277" s="983"/>
      <c r="M1277" s="970"/>
      <c r="N1277" s="980"/>
      <c r="O1277" s="980"/>
      <c r="P1277" s="79" t="str">
        <f>IF(AND('331-CT'!$E$7=TH!H1277,OR(N1277="331",O1277="331")),"x","")</f>
        <v/>
      </c>
      <c r="Q1277" s="79" t="str">
        <f>IF(AND(B1277='111'!$L$11,OR($N1277=$Q$7,$O1277=$Q$7)),"x","")</f>
        <v/>
      </c>
      <c r="R1277" s="79" t="str">
        <f>IF(AND($N1277=$Q$7,$B1277&lt;'111'!$L$11),"x","")</f>
        <v/>
      </c>
      <c r="S1277" s="79" t="str">
        <f>IF(AND($O1277=$Q$7,$B1277&lt;'111'!$L$11),"x","")</f>
        <v/>
      </c>
      <c r="T1277" s="79" t="str">
        <f>IF(ISERROR(FIND('112'!$M$9,G1277,1)),"",IF((AND(FIND('112'!$M$9,G1277,1)&gt;=1,B1277='112'!$K$9,OR($N1277='112'!$I$6,$O1277='112'!$I$6))),"x",""))</f>
        <v/>
      </c>
      <c r="U1277" s="79" t="str">
        <f>IF(ISERROR(FIND('112'!$M$9,G1277,1)),"",IF((AND(LEFT(G1277,2)=LEFT('112'!$M$9,2),B1277&lt;'112'!$K$9,$N1277='112'!$I$6)),"x",""))</f>
        <v/>
      </c>
      <c r="V1277" s="79" t="str">
        <f>IF(ISERROR(FIND('112'!$M$9,G1277,1)),"",IF((AND(RIGHT(G1277,2)=RIGHT('112'!$M$9,2),B1277&lt;'112'!$K$9,$O1277='112'!$I$6)),"x",""))</f>
        <v/>
      </c>
      <c r="W1277" s="79" t="str">
        <f>IF(AND('341-CT'!$H$9=H1277,OR(LEFT(N1277,3)=$W$7,LEFT(O1277,3)=$W$7)),"x","")</f>
        <v/>
      </c>
      <c r="X1277" s="79" t="str">
        <f>IF(OR(TH!N1277=TH!$X$7,O1277=TH!$X$7),"x","")</f>
        <v/>
      </c>
      <c r="Y1277" s="79" t="str">
        <f>IF(AND(OR(N1277="131",O1277="131"),H1277='131-CT'!$H$9),"x","")</f>
        <v/>
      </c>
      <c r="Z1277" s="79"/>
      <c r="AA1277" s="79" t="str">
        <f>IF(AND(MONTH(E1277)='IN-NX'!$J$5,'IN-NX'!$D$7=D1277),"x","")</f>
        <v/>
      </c>
      <c r="AB1277" s="79" t="str">
        <f>IF(AND(OR(LEFT(TH!N1277,2)="15",LEFT(TH!O1277,2)="15"),LEFT(TH!O1277,3)&lt;&gt;"111",'152-CT'!$J$8=TH!F1277),"x","")</f>
        <v/>
      </c>
      <c r="AC1277" s="79" t="str">
        <f>IF(AND(OR(LEFT(TH!N1277,2)="15",LEFT(TH!O1277,2)="15"),TK!$E$7=TH!F1277),"x","")</f>
        <v/>
      </c>
      <c r="AD1277" s="79" t="str">
        <f>IF(AND(N1277="1521",MONTH(C1277)='BK-NL'!$M$11),"x","")</f>
        <v/>
      </c>
    </row>
    <row r="1278" spans="1:30" ht="16.5" customHeight="1">
      <c r="A1278" s="318" t="str">
        <f>IF(B1278&lt;&gt;"",IF(AND(B1278='IN-TC'!$S$4,OR(TH!N1278="1111",TH!O1278="1111")),TH!D1278,""),"")</f>
        <v/>
      </c>
      <c r="B1278" s="60" t="str">
        <f t="shared" si="199"/>
        <v/>
      </c>
      <c r="C1278" s="226"/>
      <c r="D1278" s="226"/>
      <c r="E1278" s="226"/>
      <c r="F1278" s="1010"/>
      <c r="G1278" s="763"/>
      <c r="H1278" s="303"/>
      <c r="I1278" s="385"/>
      <c r="J1278" s="969"/>
      <c r="K1278" s="969"/>
      <c r="L1278" s="392"/>
      <c r="M1278" s="970"/>
      <c r="N1278" s="980"/>
      <c r="O1278" s="980"/>
      <c r="P1278" s="79" t="str">
        <f>IF(AND('331-CT'!$E$7=TH!H1278,OR(N1278="331",O1278="331")),"x","")</f>
        <v/>
      </c>
      <c r="Q1278" s="79" t="str">
        <f>IF(AND(B1278='111'!$L$11,OR($N1278=$Q$7,$O1278=$Q$7)),"x","")</f>
        <v/>
      </c>
      <c r="R1278" s="79" t="str">
        <f>IF(AND($N1278=$Q$7,$B1278&lt;'111'!$L$11),"x","")</f>
        <v/>
      </c>
      <c r="S1278" s="79" t="str">
        <f>IF(AND($O1278=$Q$7,$B1278&lt;'111'!$L$11),"x","")</f>
        <v/>
      </c>
      <c r="T1278" s="79" t="str">
        <f>IF(ISERROR(FIND('112'!$M$9,G1278,1)),"",IF((AND(FIND('112'!$M$9,G1278,1)&gt;=1,B1278='112'!$K$9,OR($N1278='112'!$I$6,$O1278='112'!$I$6))),"x",""))</f>
        <v/>
      </c>
      <c r="U1278" s="79" t="str">
        <f>IF(ISERROR(FIND('112'!$M$9,G1278,1)),"",IF((AND(LEFT(G1278,2)=LEFT('112'!$M$9,2),B1278&lt;'112'!$K$9,$N1278='112'!$I$6)),"x",""))</f>
        <v/>
      </c>
      <c r="V1278" s="79" t="str">
        <f>IF(ISERROR(FIND('112'!$M$9,G1278,1)),"",IF((AND(RIGHT(G1278,2)=RIGHT('112'!$M$9,2),B1278&lt;'112'!$K$9,$O1278='112'!$I$6)),"x",""))</f>
        <v/>
      </c>
      <c r="W1278" s="79" t="str">
        <f>IF(AND('341-CT'!$H$9=H1278,OR(LEFT(N1278,3)=$W$7,LEFT(O1278,3)=$W$7)),"x","")</f>
        <v/>
      </c>
      <c r="X1278" s="79" t="str">
        <f>IF(OR(TH!N1278=TH!$X$7,O1278=TH!$X$7),"x","")</f>
        <v/>
      </c>
      <c r="Y1278" s="79" t="str">
        <f>IF(AND(OR(N1278="131",O1278="131"),H1278='131-CT'!$H$9),"x","")</f>
        <v/>
      </c>
      <c r="Z1278" s="79"/>
      <c r="AA1278" s="79" t="str">
        <f>IF(AND(MONTH(E1278)='IN-NX'!$J$5,'IN-NX'!$D$7=D1278),"x","")</f>
        <v/>
      </c>
      <c r="AB1278" s="79" t="str">
        <f>IF(AND(OR(LEFT(TH!N1278,2)="15",LEFT(TH!O1278,2)="15"),LEFT(TH!O1278,3)&lt;&gt;"111",'152-CT'!$J$8=TH!F1278),"x","")</f>
        <v/>
      </c>
      <c r="AC1278" s="79" t="str">
        <f>IF(AND(OR(LEFT(TH!N1278,2)="15",LEFT(TH!O1278,2)="15"),TK!$E$7=TH!F1278),"x","")</f>
        <v/>
      </c>
      <c r="AD1278" s="79" t="str">
        <f>IF(AND(N1278="1521",MONTH(C1278)='BK-NL'!$M$11),"x","")</f>
        <v/>
      </c>
    </row>
    <row r="1279" spans="1:30" s="1102" customFormat="1" ht="16.5" customHeight="1">
      <c r="A1279" s="318" t="str">
        <f>IF(B1279&lt;&gt;"",IF(AND(B1279='IN-TC'!$S$4,OR(TH!N1279="1111",TH!O1279="1111")),TH!D1279,""),"")</f>
        <v/>
      </c>
      <c r="B1279" s="60" t="str">
        <f t="shared" si="199"/>
        <v/>
      </c>
      <c r="C1279" s="226"/>
      <c r="D1279" s="226"/>
      <c r="E1279" s="226"/>
      <c r="F1279" s="1008"/>
      <c r="G1279" s="987"/>
      <c r="H1279" s="997"/>
      <c r="I1279" s="984"/>
      <c r="J1279" s="984"/>
      <c r="K1279" s="984"/>
      <c r="L1279" s="983"/>
      <c r="M1279" s="970"/>
      <c r="N1279" s="980"/>
      <c r="O1279" s="980"/>
      <c r="P1279" s="79" t="str">
        <f>IF(AND('331-CT'!$E$7=TH!H1279,OR(N1279="331",O1279="331")),"x","")</f>
        <v/>
      </c>
      <c r="Q1279" s="79" t="str">
        <f>IF(AND(B1279='111'!$L$11,OR($N1279=$Q$7,$O1279=$Q$7)),"x","")</f>
        <v/>
      </c>
      <c r="R1279" s="79" t="str">
        <f>IF(AND($N1279=$Q$7,$B1279&lt;'111'!$L$11),"x","")</f>
        <v/>
      </c>
      <c r="S1279" s="79" t="str">
        <f>IF(AND($O1279=$Q$7,$B1279&lt;'111'!$L$11),"x","")</f>
        <v/>
      </c>
      <c r="T1279" s="79" t="str">
        <f>IF(ISERROR(FIND('112'!$M$9,G1279,1)),"",IF((AND(FIND('112'!$M$9,G1279,1)&gt;=1,B1279='112'!$K$9,OR($N1279='112'!$I$6,$O1279='112'!$I$6))),"x",""))</f>
        <v/>
      </c>
      <c r="U1279" s="79" t="str">
        <f>IF(ISERROR(FIND('112'!$M$9,G1279,1)),"",IF((AND(LEFT(G1279,2)=LEFT('112'!$M$9,2),B1279&lt;'112'!$K$9,$N1279='112'!$I$6)),"x",""))</f>
        <v/>
      </c>
      <c r="V1279" s="79" t="str">
        <f>IF(ISERROR(FIND('112'!$M$9,G1279,1)),"",IF((AND(RIGHT(G1279,2)=RIGHT('112'!$M$9,2),B1279&lt;'112'!$K$9,$O1279='112'!$I$6)),"x",""))</f>
        <v/>
      </c>
      <c r="W1279" s="79" t="str">
        <f>IF(AND('341-CT'!$H$9=H1279,OR(LEFT(N1279,3)=$W$7,LEFT(O1279,3)=$W$7)),"x","")</f>
        <v/>
      </c>
      <c r="X1279" s="79" t="str">
        <f>IF(OR(TH!N1279=TH!$X$7,O1279=TH!$X$7),"x","")</f>
        <v/>
      </c>
      <c r="Y1279" s="79" t="str">
        <f>IF(AND(OR(N1279="131",O1279="131"),H1279='131-CT'!$H$9),"x","")</f>
        <v/>
      </c>
      <c r="Z1279" s="79"/>
      <c r="AA1279" s="79" t="str">
        <f>IF(AND(MONTH(E1279)='IN-NX'!$J$5,'IN-NX'!$D$7=D1279),"x","")</f>
        <v/>
      </c>
      <c r="AB1279" s="79" t="str">
        <f>IF(AND(OR(LEFT(TH!N1279,2)="15",LEFT(TH!O1279,2)="15"),LEFT(TH!O1279,3)&lt;&gt;"111",'152-CT'!$J$8=TH!F1279),"x","")</f>
        <v/>
      </c>
      <c r="AC1279" s="79" t="str">
        <f>IF(AND(OR(LEFT(TH!N1279,2)="15",LEFT(TH!O1279,2)="15"),TK!$E$7=TH!F1279),"x","")</f>
        <v/>
      </c>
      <c r="AD1279" s="79" t="str">
        <f>IF(AND(N1279="1521",MONTH(C1279)='BK-NL'!$M$11),"x","")</f>
        <v/>
      </c>
    </row>
    <row r="1280" spans="1:30" s="1102" customFormat="1" ht="16.5" customHeight="1">
      <c r="A1280" s="318" t="str">
        <f>IF(B1280&lt;&gt;"",IF(AND(B1280='IN-TC'!$S$4,OR(TH!N1280="1111",TH!O1280="1111")),TH!D1280,""),"")</f>
        <v/>
      </c>
      <c r="B1280" s="60" t="str">
        <f t="shared" si="199"/>
        <v/>
      </c>
      <c r="C1280" s="226"/>
      <c r="D1280" s="226"/>
      <c r="E1280" s="226"/>
      <c r="F1280" s="1008"/>
      <c r="G1280" s="987"/>
      <c r="H1280" s="997"/>
      <c r="I1280" s="984"/>
      <c r="J1280" s="984"/>
      <c r="K1280" s="984"/>
      <c r="L1280" s="983"/>
      <c r="M1280" s="970"/>
      <c r="N1280" s="980"/>
      <c r="O1280" s="980"/>
      <c r="P1280" s="79" t="str">
        <f>IF(AND('331-CT'!$E$7=TH!H1280,OR(N1280="331",O1280="331")),"x","")</f>
        <v/>
      </c>
      <c r="Q1280" s="79" t="str">
        <f>IF(AND(B1280='111'!$L$11,OR($N1280=$Q$7,$O1280=$Q$7)),"x","")</f>
        <v/>
      </c>
      <c r="R1280" s="79" t="str">
        <f>IF(AND($N1280=$Q$7,$B1280&lt;'111'!$L$11),"x","")</f>
        <v/>
      </c>
      <c r="S1280" s="79" t="str">
        <f>IF(AND($O1280=$Q$7,$B1280&lt;'111'!$L$11),"x","")</f>
        <v/>
      </c>
      <c r="T1280" s="79" t="str">
        <f>IF(ISERROR(FIND('112'!$M$9,G1280,1)),"",IF((AND(FIND('112'!$M$9,G1280,1)&gt;=1,B1280='112'!$K$9,OR($N1280='112'!$I$6,$O1280='112'!$I$6))),"x",""))</f>
        <v/>
      </c>
      <c r="U1280" s="79" t="str">
        <f>IF(ISERROR(FIND('112'!$M$9,G1280,1)),"",IF((AND(LEFT(G1280,2)=LEFT('112'!$M$9,2),B1280&lt;'112'!$K$9,$N1280='112'!$I$6)),"x",""))</f>
        <v/>
      </c>
      <c r="V1280" s="79" t="str">
        <f>IF(ISERROR(FIND('112'!$M$9,G1280,1)),"",IF((AND(RIGHT(G1280,2)=RIGHT('112'!$M$9,2),B1280&lt;'112'!$K$9,$O1280='112'!$I$6)),"x",""))</f>
        <v/>
      </c>
      <c r="W1280" s="79" t="str">
        <f>IF(AND('341-CT'!$H$9=H1280,OR(LEFT(N1280,3)=$W$7,LEFT(O1280,3)=$W$7)),"x","")</f>
        <v/>
      </c>
      <c r="X1280" s="79" t="str">
        <f>IF(OR(TH!N1280=TH!$X$7,O1280=TH!$X$7),"x","")</f>
        <v/>
      </c>
      <c r="Y1280" s="79" t="str">
        <f>IF(AND(OR(N1280="131",O1280="131"),H1280='131-CT'!$H$9),"x","")</f>
        <v/>
      </c>
      <c r="Z1280" s="79"/>
      <c r="AA1280" s="79" t="str">
        <f>IF(AND(MONTH(E1280)='IN-NX'!$J$5,'IN-NX'!$D$7=D1280),"x","")</f>
        <v/>
      </c>
      <c r="AB1280" s="79" t="str">
        <f>IF(AND(OR(LEFT(TH!N1280,2)="15",LEFT(TH!O1280,2)="15"),LEFT(TH!O1280,3)&lt;&gt;"111",'152-CT'!$J$8=TH!F1280),"x","")</f>
        <v/>
      </c>
      <c r="AC1280" s="79" t="str">
        <f>IF(AND(OR(LEFT(TH!N1280,2)="15",LEFT(TH!O1280,2)="15"),TK!$E$7=TH!F1280),"x","")</f>
        <v/>
      </c>
      <c r="AD1280" s="79" t="str">
        <f>IF(AND(N1280="1521",MONTH(C1280)='BK-NL'!$M$11),"x","")</f>
        <v/>
      </c>
    </row>
    <row r="1281" spans="1:30" ht="16.5" customHeight="1">
      <c r="A1281" s="318" t="str">
        <f>IF(B1281&lt;&gt;"",IF(AND(B1281='IN-TC'!$S$4,OR(TH!N1281="1111",TH!O1281="1111")),TH!D1281,""),"")</f>
        <v/>
      </c>
      <c r="B1281" s="60" t="str">
        <f t="shared" si="199"/>
        <v/>
      </c>
      <c r="C1281" s="226"/>
      <c r="D1281" s="226"/>
      <c r="E1281" s="226"/>
      <c r="F1281" s="1010"/>
      <c r="G1281" s="763"/>
      <c r="H1281" s="303"/>
      <c r="I1281" s="385"/>
      <c r="J1281" s="969"/>
      <c r="K1281" s="969"/>
      <c r="L1281" s="392"/>
      <c r="M1281" s="970"/>
      <c r="N1281" s="980"/>
      <c r="O1281" s="980"/>
      <c r="P1281" s="79" t="str">
        <f>IF(AND('331-CT'!$E$7=TH!H1281,OR(N1281="331",O1281="331")),"x","")</f>
        <v/>
      </c>
      <c r="Q1281" s="79" t="str">
        <f>IF(AND(B1281='111'!$L$11,OR($N1281=$Q$7,$O1281=$Q$7)),"x","")</f>
        <v/>
      </c>
      <c r="R1281" s="79" t="str">
        <f>IF(AND($N1281=$Q$7,$B1281&lt;'111'!$L$11),"x","")</f>
        <v/>
      </c>
      <c r="S1281" s="79" t="str">
        <f>IF(AND($O1281=$Q$7,$B1281&lt;'111'!$L$11),"x","")</f>
        <v/>
      </c>
      <c r="T1281" s="79" t="str">
        <f>IF(ISERROR(FIND('112'!$M$9,G1281,1)),"",IF((AND(FIND('112'!$M$9,G1281,1)&gt;=1,B1281='112'!$K$9,OR($N1281='112'!$I$6,$O1281='112'!$I$6))),"x",""))</f>
        <v/>
      </c>
      <c r="U1281" s="79" t="str">
        <f>IF(ISERROR(FIND('112'!$M$9,G1281,1)),"",IF((AND(LEFT(G1281,2)=LEFT('112'!$M$9,2),B1281&lt;'112'!$K$9,$N1281='112'!$I$6)),"x",""))</f>
        <v/>
      </c>
      <c r="V1281" s="79" t="str">
        <f>IF(ISERROR(FIND('112'!$M$9,G1281,1)),"",IF((AND(RIGHT(G1281,2)=RIGHT('112'!$M$9,2),B1281&lt;'112'!$K$9,$O1281='112'!$I$6)),"x",""))</f>
        <v/>
      </c>
      <c r="W1281" s="79" t="str">
        <f>IF(AND('341-CT'!$H$9=H1281,OR(LEFT(N1281,3)=$W$7,LEFT(O1281,3)=$W$7)),"x","")</f>
        <v/>
      </c>
      <c r="X1281" s="79" t="str">
        <f>IF(OR(TH!N1281=TH!$X$7,O1281=TH!$X$7),"x","")</f>
        <v/>
      </c>
      <c r="Y1281" s="79" t="str">
        <f>IF(AND(OR(N1281="131",O1281="131"),H1281='131-CT'!$H$9),"x","")</f>
        <v/>
      </c>
      <c r="Z1281" s="79"/>
      <c r="AA1281" s="79" t="str">
        <f>IF(AND(MONTH(E1281)='IN-NX'!$J$5,'IN-NX'!$D$7=D1281),"x","")</f>
        <v/>
      </c>
      <c r="AB1281" s="79" t="str">
        <f>IF(AND(OR(LEFT(TH!N1281,2)="15",LEFT(TH!O1281,2)="15"),LEFT(TH!O1281,3)&lt;&gt;"111",'152-CT'!$J$8=TH!F1281),"x","")</f>
        <v/>
      </c>
      <c r="AC1281" s="79" t="str">
        <f>IF(AND(OR(LEFT(TH!N1281,2)="15",LEFT(TH!O1281,2)="15"),TK!$E$7=TH!F1281),"x","")</f>
        <v/>
      </c>
      <c r="AD1281" s="79" t="str">
        <f>IF(AND(N1281="1521",MONTH(C1281)='BK-NL'!$M$11),"x","")</f>
        <v/>
      </c>
    </row>
    <row r="1282" spans="1:30" ht="16.5" customHeight="1">
      <c r="A1282" s="318" t="str">
        <f>IF(B1282&lt;&gt;"",IF(AND(B1282='IN-TC'!$S$4,OR(TH!N1282="1111",TH!O1282="1111")),TH!D1282,""),"")</f>
        <v/>
      </c>
      <c r="B1282" s="60" t="str">
        <f t="shared" si="199"/>
        <v/>
      </c>
      <c r="C1282" s="226"/>
      <c r="D1282" s="226"/>
      <c r="E1282" s="226"/>
      <c r="F1282" s="1010"/>
      <c r="G1282" s="763"/>
      <c r="H1282" s="303"/>
      <c r="I1282" s="385"/>
      <c r="J1282" s="969"/>
      <c r="K1282" s="969"/>
      <c r="L1282" s="392"/>
      <c r="M1282" s="970"/>
      <c r="N1282" s="980"/>
      <c r="O1282" s="980"/>
      <c r="P1282" s="79" t="str">
        <f>IF(AND('331-CT'!$E$7=TH!H1282,OR(N1282="331",O1282="331")),"x","")</f>
        <v/>
      </c>
      <c r="Q1282" s="79" t="str">
        <f>IF(AND(B1282='111'!$L$11,OR($N1282=$Q$7,$O1282=$Q$7)),"x","")</f>
        <v/>
      </c>
      <c r="R1282" s="79" t="str">
        <f>IF(AND($N1282=$Q$7,$B1282&lt;'111'!$L$11),"x","")</f>
        <v/>
      </c>
      <c r="S1282" s="79" t="str">
        <f>IF(AND($O1282=$Q$7,$B1282&lt;'111'!$L$11),"x","")</f>
        <v/>
      </c>
      <c r="T1282" s="79" t="str">
        <f>IF(ISERROR(FIND('112'!$M$9,G1282,1)),"",IF((AND(FIND('112'!$M$9,G1282,1)&gt;=1,B1282='112'!$K$9,OR($N1282='112'!$I$6,$O1282='112'!$I$6))),"x",""))</f>
        <v/>
      </c>
      <c r="U1282" s="79" t="str">
        <f>IF(ISERROR(FIND('112'!$M$9,G1282,1)),"",IF((AND(LEFT(G1282,2)=LEFT('112'!$M$9,2),B1282&lt;'112'!$K$9,$N1282='112'!$I$6)),"x",""))</f>
        <v/>
      </c>
      <c r="V1282" s="79" t="str">
        <f>IF(ISERROR(FIND('112'!$M$9,G1282,1)),"",IF((AND(RIGHT(G1282,2)=RIGHT('112'!$M$9,2),B1282&lt;'112'!$K$9,$O1282='112'!$I$6)),"x",""))</f>
        <v/>
      </c>
      <c r="W1282" s="79" t="str">
        <f>IF(AND('341-CT'!$H$9=H1282,OR(LEFT(N1282,3)=$W$7,LEFT(O1282,3)=$W$7)),"x","")</f>
        <v/>
      </c>
      <c r="X1282" s="79" t="str">
        <f>IF(OR(TH!N1282=TH!$X$7,O1282=TH!$X$7),"x","")</f>
        <v/>
      </c>
      <c r="Y1282" s="79" t="str">
        <f>IF(AND(OR(N1282="131",O1282="131"),H1282='131-CT'!$H$9),"x","")</f>
        <v/>
      </c>
      <c r="Z1282" s="79"/>
      <c r="AA1282" s="79" t="str">
        <f>IF(AND(MONTH(E1282)='IN-NX'!$J$5,'IN-NX'!$D$7=D1282),"x","")</f>
        <v/>
      </c>
      <c r="AB1282" s="79" t="str">
        <f>IF(AND(OR(LEFT(TH!N1282,2)="15",LEFT(TH!O1282,2)="15"),LEFT(TH!O1282,3)&lt;&gt;"111",'152-CT'!$J$8=TH!F1282),"x","")</f>
        <v/>
      </c>
      <c r="AC1282" s="79" t="str">
        <f>IF(AND(OR(LEFT(TH!N1282,2)="15",LEFT(TH!O1282,2)="15"),TK!$E$7=TH!F1282),"x","")</f>
        <v/>
      </c>
      <c r="AD1282" s="79" t="str">
        <f>IF(AND(N1282="1521",MONTH(C1282)='BK-NL'!$M$11),"x","")</f>
        <v/>
      </c>
    </row>
    <row r="1283" spans="1:30" s="1102" customFormat="1" ht="16.5" customHeight="1">
      <c r="A1283" s="318" t="str">
        <f>IF(B1283&lt;&gt;"",IF(AND(B1283='IN-TC'!$S$4,OR(TH!N1283="1111",TH!O1283="1111")),TH!D1283,""),"")</f>
        <v/>
      </c>
      <c r="B1283" s="60" t="str">
        <f t="shared" si="199"/>
        <v/>
      </c>
      <c r="C1283" s="226"/>
      <c r="D1283" s="226"/>
      <c r="E1283" s="226"/>
      <c r="F1283" s="1008"/>
      <c r="G1283" s="987"/>
      <c r="H1283" s="85"/>
      <c r="I1283" s="984"/>
      <c r="J1283" s="984"/>
      <c r="K1283" s="984"/>
      <c r="L1283" s="983"/>
      <c r="M1283" s="970"/>
      <c r="N1283" s="980"/>
      <c r="O1283" s="980"/>
      <c r="P1283" s="79" t="str">
        <f>IF(AND('331-CT'!$E$7=TH!H1283,OR(N1283="331",O1283="331")),"x","")</f>
        <v/>
      </c>
      <c r="Q1283" s="79" t="str">
        <f>IF(AND(B1283='111'!$L$11,OR($N1283=$Q$7,$O1283=$Q$7)),"x","")</f>
        <v/>
      </c>
      <c r="R1283" s="79" t="str">
        <f>IF(AND($N1283=$Q$7,$B1283&lt;'111'!$L$11),"x","")</f>
        <v/>
      </c>
      <c r="S1283" s="79" t="str">
        <f>IF(AND($O1283=$Q$7,$B1283&lt;'111'!$L$11),"x","")</f>
        <v/>
      </c>
      <c r="T1283" s="79" t="str">
        <f>IF(ISERROR(FIND('112'!$M$9,G1283,1)),"",IF((AND(FIND('112'!$M$9,G1283,1)&gt;=1,B1283='112'!$K$9,OR($N1283='112'!$I$6,$O1283='112'!$I$6))),"x",""))</f>
        <v/>
      </c>
      <c r="U1283" s="79" t="str">
        <f>IF(ISERROR(FIND('112'!$M$9,G1283,1)),"",IF((AND(LEFT(G1283,2)=LEFT('112'!$M$9,2),B1283&lt;'112'!$K$9,$N1283='112'!$I$6)),"x",""))</f>
        <v/>
      </c>
      <c r="V1283" s="79" t="str">
        <f>IF(ISERROR(FIND('112'!$M$9,G1283,1)),"",IF((AND(RIGHT(G1283,2)=RIGHT('112'!$M$9,2),B1283&lt;'112'!$K$9,$O1283='112'!$I$6)),"x",""))</f>
        <v/>
      </c>
      <c r="W1283" s="79" t="str">
        <f>IF(AND('341-CT'!$H$9=H1283,OR(LEFT(N1283,3)=$W$7,LEFT(O1283,3)=$W$7)),"x","")</f>
        <v/>
      </c>
      <c r="X1283" s="79" t="str">
        <f>IF(OR(TH!N1283=TH!$X$7,O1283=TH!$X$7),"x","")</f>
        <v/>
      </c>
      <c r="Y1283" s="79" t="str">
        <f>IF(AND(OR(N1283="131",O1283="131"),H1283='131-CT'!$H$9),"x","")</f>
        <v/>
      </c>
      <c r="Z1283" s="79"/>
      <c r="AA1283" s="79" t="str">
        <f>IF(AND(MONTH(E1283)='IN-NX'!$J$5,'IN-NX'!$D$7=D1283),"x","")</f>
        <v/>
      </c>
      <c r="AB1283" s="79" t="str">
        <f>IF(AND(OR(LEFT(TH!N1283,2)="15",LEFT(TH!O1283,2)="15"),LEFT(TH!O1283,3)&lt;&gt;"111",'152-CT'!$J$8=TH!F1283),"x","")</f>
        <v/>
      </c>
      <c r="AC1283" s="79" t="str">
        <f>IF(AND(OR(LEFT(TH!N1283,2)="15",LEFT(TH!O1283,2)="15"),TK!$E$7=TH!F1283),"x","")</f>
        <v/>
      </c>
      <c r="AD1283" s="79" t="str">
        <f>IF(AND(N1283="1521",MONTH(C1283)='BK-NL'!$M$11),"x","")</f>
        <v/>
      </c>
    </row>
    <row r="1284" spans="1:30" ht="16.5" customHeight="1">
      <c r="A1284" s="318" t="str">
        <f>IF(B1284&lt;&gt;"",IF(AND(B1284='IN-TC'!$S$4,OR(TH!N1284="1111",TH!O1284="1111")),TH!D1284,""),"")</f>
        <v/>
      </c>
      <c r="B1284" s="60" t="str">
        <f t="shared" si="199"/>
        <v/>
      </c>
      <c r="C1284" s="226"/>
      <c r="D1284" s="226"/>
      <c r="E1284" s="226"/>
      <c r="F1284" s="1010"/>
      <c r="G1284" s="763"/>
      <c r="H1284" s="303"/>
      <c r="I1284" s="385"/>
      <c r="J1284" s="969"/>
      <c r="K1284" s="969"/>
      <c r="L1284" s="392"/>
      <c r="M1284" s="970"/>
      <c r="N1284" s="980"/>
      <c r="O1284" s="980"/>
      <c r="P1284" s="79" t="str">
        <f>IF(AND('331-CT'!$E$7=TH!H1284,OR(N1284="331",O1284="331")),"x","")</f>
        <v/>
      </c>
      <c r="Q1284" s="79" t="str">
        <f>IF(AND(B1284='111'!$L$11,OR($N1284=$Q$7,$O1284=$Q$7)),"x","")</f>
        <v/>
      </c>
      <c r="R1284" s="79" t="str">
        <f>IF(AND($N1284=$Q$7,$B1284&lt;'111'!$L$11),"x","")</f>
        <v/>
      </c>
      <c r="S1284" s="79" t="str">
        <f>IF(AND($O1284=$Q$7,$B1284&lt;'111'!$L$11),"x","")</f>
        <v/>
      </c>
      <c r="T1284" s="79" t="str">
        <f>IF(ISERROR(FIND('112'!$M$9,G1284,1)),"",IF((AND(FIND('112'!$M$9,G1284,1)&gt;=1,B1284='112'!$K$9,OR($N1284='112'!$I$6,$O1284='112'!$I$6))),"x",""))</f>
        <v/>
      </c>
      <c r="U1284" s="79" t="str">
        <f>IF(ISERROR(FIND('112'!$M$9,G1284,1)),"",IF((AND(LEFT(G1284,2)=LEFT('112'!$M$9,2),B1284&lt;'112'!$K$9,$N1284='112'!$I$6)),"x",""))</f>
        <v/>
      </c>
      <c r="V1284" s="79" t="str">
        <f>IF(ISERROR(FIND('112'!$M$9,G1284,1)),"",IF((AND(RIGHT(G1284,2)=RIGHT('112'!$M$9,2),B1284&lt;'112'!$K$9,$O1284='112'!$I$6)),"x",""))</f>
        <v/>
      </c>
      <c r="W1284" s="79" t="str">
        <f>IF(AND('341-CT'!$H$9=H1284,OR(LEFT(N1284,3)=$W$7,LEFT(O1284,3)=$W$7)),"x","")</f>
        <v/>
      </c>
      <c r="X1284" s="79" t="str">
        <f>IF(OR(TH!N1284=TH!$X$7,O1284=TH!$X$7),"x","")</f>
        <v/>
      </c>
      <c r="Y1284" s="79" t="str">
        <f>IF(AND(OR(N1284="131",O1284="131"),H1284='131-CT'!$H$9),"x","")</f>
        <v/>
      </c>
      <c r="Z1284" s="79"/>
      <c r="AA1284" s="79" t="str">
        <f>IF(AND(MONTH(E1284)='IN-NX'!$J$5,'IN-NX'!$D$7=D1284),"x","")</f>
        <v/>
      </c>
      <c r="AB1284" s="79" t="str">
        <f>IF(AND(OR(LEFT(TH!N1284,2)="15",LEFT(TH!O1284,2)="15"),LEFT(TH!O1284,3)&lt;&gt;"111",'152-CT'!$J$8=TH!F1284),"x","")</f>
        <v/>
      </c>
      <c r="AC1284" s="79" t="str">
        <f>IF(AND(OR(LEFT(TH!N1284,2)="15",LEFT(TH!O1284,2)="15"),TK!$E$7=TH!F1284),"x","")</f>
        <v/>
      </c>
      <c r="AD1284" s="79" t="str">
        <f>IF(AND(N1284="1521",MONTH(C1284)='BK-NL'!$M$11),"x","")</f>
        <v/>
      </c>
    </row>
    <row r="1285" spans="1:30" ht="16.5" customHeight="1">
      <c r="A1285" s="318" t="str">
        <f>IF(B1285&lt;&gt;"",IF(AND(B1285='IN-TC'!$S$4,OR(TH!N1285="1111",TH!O1285="1111")),TH!D1285,""),"")</f>
        <v/>
      </c>
      <c r="B1285" s="60" t="str">
        <f t="shared" si="199"/>
        <v/>
      </c>
      <c r="C1285" s="226"/>
      <c r="D1285" s="226"/>
      <c r="E1285" s="226"/>
      <c r="F1285" s="446"/>
      <c r="G1285" s="763"/>
      <c r="H1285" s="321"/>
      <c r="I1285" s="385"/>
      <c r="J1285" s="385"/>
      <c r="K1285" s="392"/>
      <c r="L1285" s="392"/>
      <c r="M1285" s="970"/>
      <c r="N1285" s="980"/>
      <c r="O1285" s="980"/>
      <c r="P1285" s="79" t="str">
        <f>IF(AND('331-CT'!$E$7=TH!H1285,OR(N1285="331",O1285="331")),"x","")</f>
        <v/>
      </c>
      <c r="Q1285" s="79" t="str">
        <f>IF(AND(B1285='111'!$L$11,OR($N1285=$Q$7,$O1285=$Q$7)),"x","")</f>
        <v/>
      </c>
      <c r="R1285" s="79" t="str">
        <f>IF(AND($N1285=$Q$7,$B1285&lt;'111'!$L$11),"x","")</f>
        <v/>
      </c>
      <c r="S1285" s="79" t="str">
        <f>IF(AND($O1285=$Q$7,$B1285&lt;'111'!$L$11),"x","")</f>
        <v/>
      </c>
      <c r="T1285" s="79" t="str">
        <f>IF(ISERROR(FIND('112'!$M$9,G1285,1)),"",IF((AND(FIND('112'!$M$9,G1285,1)&gt;=1,B1285='112'!$K$9,OR($N1285='112'!$I$6,$O1285='112'!$I$6))),"x",""))</f>
        <v/>
      </c>
      <c r="U1285" s="79" t="str">
        <f>IF(ISERROR(FIND('112'!$M$9,G1285,1)),"",IF((AND(LEFT(G1285,2)=LEFT('112'!$M$9,2),B1285&lt;'112'!$K$9,$N1285='112'!$I$6)),"x",""))</f>
        <v/>
      </c>
      <c r="V1285" s="79" t="str">
        <f>IF(ISERROR(FIND('112'!$M$9,G1285,1)),"",IF((AND(RIGHT(G1285,2)=RIGHT('112'!$M$9,2),B1285&lt;'112'!$K$9,$O1285='112'!$I$6)),"x",""))</f>
        <v/>
      </c>
      <c r="W1285" s="79" t="str">
        <f>IF(AND('341-CT'!$H$9=H1285,OR(LEFT(N1285,3)=$W$7,LEFT(O1285,3)=$W$7)),"x","")</f>
        <v/>
      </c>
      <c r="X1285" s="79" t="str">
        <f>IF(OR(TH!N1285=TH!$X$7,O1285=TH!$X$7),"x","")</f>
        <v/>
      </c>
      <c r="Y1285" s="79" t="str">
        <f>IF(AND(OR(N1285="131",O1285="131"),H1285='131-CT'!$H$9),"x","")</f>
        <v/>
      </c>
      <c r="Z1285" s="79"/>
      <c r="AA1285" s="79" t="str">
        <f>IF(AND(MONTH(E1285)='IN-NX'!$J$5,'IN-NX'!$D$7=D1285),"x","")</f>
        <v/>
      </c>
      <c r="AB1285" s="79" t="str">
        <f>IF(AND(OR(LEFT(TH!N1285,2)="15",LEFT(TH!O1285,2)="15"),LEFT(TH!O1285,3)&lt;&gt;"111",'152-CT'!$J$8=TH!F1285),"x","")</f>
        <v/>
      </c>
      <c r="AC1285" s="79" t="str">
        <f>IF(AND(OR(LEFT(TH!N1285,2)="15",LEFT(TH!O1285,2)="15"),TK!$E$7=TH!F1285),"x","")</f>
        <v/>
      </c>
      <c r="AD1285" s="79" t="str">
        <f>IF(AND(N1285="1521",MONTH(C1285)='BK-NL'!$M$11),"x","")</f>
        <v/>
      </c>
    </row>
    <row r="1286" spans="1:30" ht="16.5" customHeight="1">
      <c r="A1286" s="318" t="str">
        <f>IF(B1286&lt;&gt;"",IF(AND(B1286='IN-TC'!$S$4,OR(TH!N1286="1111",TH!O1286="1111")),TH!D1286,""),"")</f>
        <v/>
      </c>
      <c r="B1286" s="60" t="str">
        <f t="shared" si="199"/>
        <v/>
      </c>
      <c r="C1286" s="226"/>
      <c r="D1286" s="226"/>
      <c r="E1286" s="226"/>
      <c r="F1286" s="446"/>
      <c r="G1286" s="763"/>
      <c r="H1286" s="321"/>
      <c r="I1286" s="385"/>
      <c r="J1286" s="385"/>
      <c r="K1286" s="392"/>
      <c r="L1286" s="392"/>
      <c r="M1286" s="970"/>
      <c r="N1286" s="980"/>
      <c r="O1286" s="980"/>
      <c r="P1286" s="79" t="str">
        <f>IF(AND('331-CT'!$E$7=TH!H1286,OR(N1286="331",O1286="331")),"x","")</f>
        <v/>
      </c>
      <c r="Q1286" s="79" t="str">
        <f>IF(AND(B1286='111'!$L$11,OR($N1286=$Q$7,$O1286=$Q$7)),"x","")</f>
        <v/>
      </c>
      <c r="R1286" s="79" t="str">
        <f>IF(AND($N1286=$Q$7,$B1286&lt;'111'!$L$11),"x","")</f>
        <v/>
      </c>
      <c r="S1286" s="79" t="str">
        <f>IF(AND($O1286=$Q$7,$B1286&lt;'111'!$L$11),"x","")</f>
        <v/>
      </c>
      <c r="T1286" s="79" t="str">
        <f>IF(ISERROR(FIND('112'!$M$9,G1286,1)),"",IF((AND(FIND('112'!$M$9,G1286,1)&gt;=1,B1286='112'!$K$9,OR($N1286='112'!$I$6,$O1286='112'!$I$6))),"x",""))</f>
        <v/>
      </c>
      <c r="U1286" s="79" t="str">
        <f>IF(ISERROR(FIND('112'!$M$9,G1286,1)),"",IF((AND(LEFT(G1286,2)=LEFT('112'!$M$9,2),B1286&lt;'112'!$K$9,$N1286='112'!$I$6)),"x",""))</f>
        <v/>
      </c>
      <c r="V1286" s="79" t="str">
        <f>IF(ISERROR(FIND('112'!$M$9,G1286,1)),"",IF((AND(RIGHT(G1286,2)=RIGHT('112'!$M$9,2),B1286&lt;'112'!$K$9,$O1286='112'!$I$6)),"x",""))</f>
        <v/>
      </c>
      <c r="W1286" s="79" t="str">
        <f>IF(AND('341-CT'!$H$9=H1286,OR(LEFT(N1286,3)=$W$7,LEFT(O1286,3)=$W$7)),"x","")</f>
        <v/>
      </c>
      <c r="X1286" s="79" t="str">
        <f>IF(OR(TH!N1286=TH!$X$7,O1286=TH!$X$7),"x","")</f>
        <v/>
      </c>
      <c r="Y1286" s="79" t="str">
        <f>IF(AND(OR(N1286="131",O1286="131"),H1286='131-CT'!$H$9),"x","")</f>
        <v/>
      </c>
      <c r="Z1286" s="79"/>
      <c r="AA1286" s="79" t="str">
        <f>IF(AND(MONTH(E1286)='IN-NX'!$J$5,'IN-NX'!$D$7=D1286),"x","")</f>
        <v/>
      </c>
      <c r="AB1286" s="79" t="str">
        <f>IF(AND(OR(LEFT(TH!N1286,2)="15",LEFT(TH!O1286,2)="15"),LEFT(TH!O1286,3)&lt;&gt;"111",'152-CT'!$J$8=TH!F1286),"x","")</f>
        <v/>
      </c>
      <c r="AC1286" s="79" t="str">
        <f>IF(AND(OR(LEFT(TH!N1286,2)="15",LEFT(TH!O1286,2)="15"),TK!$E$7=TH!F1286),"x","")</f>
        <v/>
      </c>
      <c r="AD1286" s="79" t="str">
        <f>IF(AND(N1286="1521",MONTH(C1286)='BK-NL'!$M$11),"x","")</f>
        <v/>
      </c>
    </row>
    <row r="1287" spans="1:30" s="1102" customFormat="1" ht="16.5" customHeight="1">
      <c r="A1287" s="318" t="str">
        <f>IF(B1287&lt;&gt;"",IF(AND(B1287='IN-TC'!$S$4,OR(TH!N1287="1111",TH!O1287="1111")),TH!D1287,""),"")</f>
        <v/>
      </c>
      <c r="B1287" s="60" t="str">
        <f t="shared" si="199"/>
        <v/>
      </c>
      <c r="C1287" s="226"/>
      <c r="D1287" s="981"/>
      <c r="E1287" s="981"/>
      <c r="F1287" s="1008"/>
      <c r="G1287" s="987"/>
      <c r="H1287" s="997"/>
      <c r="I1287" s="984"/>
      <c r="J1287" s="984"/>
      <c r="K1287" s="984"/>
      <c r="L1287" s="983"/>
      <c r="M1287" s="970"/>
      <c r="N1287" s="986"/>
      <c r="O1287" s="986"/>
      <c r="P1287" s="79" t="str">
        <f>IF(AND('331-CT'!$E$7=TH!H1287,OR(N1287="331",O1287="331")),"x","")</f>
        <v/>
      </c>
      <c r="Q1287" s="79" t="str">
        <f>IF(AND(B1287='111'!$L$11,OR($N1287=$Q$7,$O1287=$Q$7)),"x","")</f>
        <v/>
      </c>
      <c r="R1287" s="79" t="str">
        <f>IF(AND($N1287=$Q$7,$B1287&lt;'111'!$L$11),"x","")</f>
        <v/>
      </c>
      <c r="S1287" s="79" t="str">
        <f>IF(AND($O1287=$Q$7,$B1287&lt;'111'!$L$11),"x","")</f>
        <v/>
      </c>
      <c r="T1287" s="79" t="str">
        <f>IF(ISERROR(FIND('112'!$M$9,G1287,1)),"",IF((AND(FIND('112'!$M$9,G1287,1)&gt;=1,B1287='112'!$K$9,OR($N1287='112'!$I$6,$O1287='112'!$I$6))),"x",""))</f>
        <v/>
      </c>
      <c r="U1287" s="79" t="str">
        <f>IF(ISERROR(FIND('112'!$M$9,G1287,1)),"",IF((AND(LEFT(G1287,2)=LEFT('112'!$M$9,2),B1287&lt;'112'!$K$9,$N1287='112'!$I$6)),"x",""))</f>
        <v/>
      </c>
      <c r="V1287" s="79" t="str">
        <f>IF(ISERROR(FIND('112'!$M$9,G1287,1)),"",IF((AND(RIGHT(G1287,2)=RIGHT('112'!$M$9,2),B1287&lt;'112'!$K$9,$O1287='112'!$I$6)),"x",""))</f>
        <v/>
      </c>
      <c r="W1287" s="79" t="str">
        <f>IF(AND('341-CT'!$H$9=H1287,OR(LEFT(N1287,3)=$W$7,LEFT(O1287,3)=$W$7)),"x","")</f>
        <v/>
      </c>
      <c r="X1287" s="79" t="str">
        <f>IF(OR(TH!N1287=TH!$X$7,O1287=TH!$X$7),"x","")</f>
        <v/>
      </c>
      <c r="Y1287" s="79" t="str">
        <f>IF(AND(OR(N1287="131",O1287="131"),H1287='131-CT'!$H$9),"x","")</f>
        <v/>
      </c>
      <c r="Z1287" s="79"/>
      <c r="AA1287" s="79" t="str">
        <f>IF(AND(MONTH(E1287)='IN-NX'!$J$5,'IN-NX'!$D$7=D1287),"x","")</f>
        <v/>
      </c>
      <c r="AB1287" s="79" t="str">
        <f>IF(AND(OR(LEFT(TH!N1287,2)="15",LEFT(TH!O1287,2)="15"),LEFT(TH!O1287,3)&lt;&gt;"111",'152-CT'!$J$8=TH!F1287),"x","")</f>
        <v/>
      </c>
      <c r="AC1287" s="79" t="str">
        <f>IF(AND(OR(LEFT(TH!N1287,2)="15",LEFT(TH!O1287,2)="15"),TK!$E$7=TH!F1287),"x","")</f>
        <v/>
      </c>
      <c r="AD1287" s="79" t="str">
        <f>IF(AND(N1287="1521",MONTH(C1287)='BK-NL'!$M$11),"x","")</f>
        <v/>
      </c>
    </row>
    <row r="1288" spans="1:30" ht="16.5" customHeight="1">
      <c r="A1288" s="318" t="str">
        <f>IF(B1288&lt;&gt;"",IF(AND(B1288='IN-TC'!$S$4,OR(TH!N1288="1111",TH!O1288="1111")),TH!D1288,""),"")</f>
        <v/>
      </c>
      <c r="B1288" s="60" t="str">
        <f t="shared" si="199"/>
        <v/>
      </c>
      <c r="C1288" s="226"/>
      <c r="D1288" s="226"/>
      <c r="E1288" s="226"/>
      <c r="F1288" s="446"/>
      <c r="G1288" s="763"/>
      <c r="H1288" s="321"/>
      <c r="I1288" s="385"/>
      <c r="J1288" s="385"/>
      <c r="K1288" s="385"/>
      <c r="L1288" s="392"/>
      <c r="M1288" s="970"/>
      <c r="N1288" s="980"/>
      <c r="O1288" s="980"/>
      <c r="P1288" s="79" t="str">
        <f>IF(AND('331-CT'!$E$7=TH!H1288,OR(N1288="331",O1288="331")),"x","")</f>
        <v/>
      </c>
      <c r="Q1288" s="79" t="str">
        <f>IF(AND(B1288='111'!$L$11,OR($N1288=$Q$7,$O1288=$Q$7)),"x","")</f>
        <v/>
      </c>
      <c r="R1288" s="79" t="str">
        <f>IF(AND($N1288=$Q$7,$B1288&lt;'111'!$L$11),"x","")</f>
        <v/>
      </c>
      <c r="S1288" s="79" t="str">
        <f>IF(AND($O1288=$Q$7,$B1288&lt;'111'!$L$11),"x","")</f>
        <v/>
      </c>
      <c r="T1288" s="79" t="str">
        <f>IF(ISERROR(FIND('112'!$M$9,G1288,1)),"",IF((AND(FIND('112'!$M$9,G1288,1)&gt;=1,B1288='112'!$K$9,OR($N1288='112'!$I$6,$O1288='112'!$I$6))),"x",""))</f>
        <v/>
      </c>
      <c r="U1288" s="79" t="str">
        <f>IF(ISERROR(FIND('112'!$M$9,G1288,1)),"",IF((AND(LEFT(G1288,2)=LEFT('112'!$M$9,2),B1288&lt;'112'!$K$9,$N1288='112'!$I$6)),"x",""))</f>
        <v/>
      </c>
      <c r="V1288" s="79" t="str">
        <f>IF(ISERROR(FIND('112'!$M$9,G1288,1)),"",IF((AND(RIGHT(G1288,2)=RIGHT('112'!$M$9,2),B1288&lt;'112'!$K$9,$O1288='112'!$I$6)),"x",""))</f>
        <v/>
      </c>
      <c r="W1288" s="79" t="str">
        <f>IF(AND('341-CT'!$H$9=H1288,OR(LEFT(N1288,3)=$W$7,LEFT(O1288,3)=$W$7)),"x","")</f>
        <v/>
      </c>
      <c r="X1288" s="79" t="str">
        <f>IF(OR(TH!N1288=TH!$X$7,O1288=TH!$X$7),"x","")</f>
        <v/>
      </c>
      <c r="Y1288" s="79" t="str">
        <f>IF(AND(OR(N1288="131",O1288="131"),H1288='131-CT'!$H$9),"x","")</f>
        <v/>
      </c>
      <c r="Z1288" s="79"/>
      <c r="AA1288" s="79" t="str">
        <f>IF(AND(MONTH(E1288)='IN-NX'!$J$5,'IN-NX'!$D$7=D1288),"x","")</f>
        <v/>
      </c>
      <c r="AB1288" s="79" t="str">
        <f>IF(AND(OR(LEFT(TH!N1288,2)="15",LEFT(TH!O1288,2)="15"),LEFT(TH!O1288,3)&lt;&gt;"111",'152-CT'!$J$8=TH!F1288),"x","")</f>
        <v/>
      </c>
      <c r="AC1288" s="79" t="str">
        <f>IF(AND(OR(LEFT(TH!N1288,2)="15",LEFT(TH!O1288,2)="15"),TK!$E$7=TH!F1288),"x","")</f>
        <v/>
      </c>
      <c r="AD1288" s="79" t="str">
        <f>IF(AND(N1288="1521",MONTH(C1288)='BK-NL'!$M$11),"x","")</f>
        <v/>
      </c>
    </row>
    <row r="1289" spans="1:30" ht="16.5" customHeight="1">
      <c r="A1289" s="318" t="str">
        <f>IF(B1289&lt;&gt;"",IF(AND(B1289='IN-TC'!$S$4,OR(TH!N1289="1111",TH!O1289="1111")),TH!D1289,""),"")</f>
        <v/>
      </c>
      <c r="B1289" s="60" t="str">
        <f t="shared" si="199"/>
        <v/>
      </c>
      <c r="C1289" s="226"/>
      <c r="D1289" s="226"/>
      <c r="E1289" s="226"/>
      <c r="F1289" s="446"/>
      <c r="G1289" s="763"/>
      <c r="H1289" s="321"/>
      <c r="I1289" s="385"/>
      <c r="J1289" s="385"/>
      <c r="K1289" s="385"/>
      <c r="L1289" s="392"/>
      <c r="M1289" s="970"/>
      <c r="N1289" s="980"/>
      <c r="O1289" s="980"/>
      <c r="P1289" s="79" t="str">
        <f>IF(AND('331-CT'!$E$7=TH!H1289,OR(N1289="331",O1289="331")),"x","")</f>
        <v/>
      </c>
      <c r="Q1289" s="79" t="str">
        <f>IF(AND(B1289='111'!$L$11,OR($N1289=$Q$7,$O1289=$Q$7)),"x","")</f>
        <v/>
      </c>
      <c r="R1289" s="79" t="str">
        <f>IF(AND($N1289=$Q$7,$B1289&lt;'111'!$L$11),"x","")</f>
        <v/>
      </c>
      <c r="S1289" s="79" t="str">
        <f>IF(AND($O1289=$Q$7,$B1289&lt;'111'!$L$11),"x","")</f>
        <v/>
      </c>
      <c r="T1289" s="79" t="str">
        <f>IF(ISERROR(FIND('112'!$M$9,G1289,1)),"",IF((AND(FIND('112'!$M$9,G1289,1)&gt;=1,B1289='112'!$K$9,OR($N1289='112'!$I$6,$O1289='112'!$I$6))),"x",""))</f>
        <v/>
      </c>
      <c r="U1289" s="79" t="str">
        <f>IF(ISERROR(FIND('112'!$M$9,G1289,1)),"",IF((AND(LEFT(G1289,2)=LEFT('112'!$M$9,2),B1289&lt;'112'!$K$9,$N1289='112'!$I$6)),"x",""))</f>
        <v/>
      </c>
      <c r="V1289" s="79" t="str">
        <f>IF(ISERROR(FIND('112'!$M$9,G1289,1)),"",IF((AND(RIGHT(G1289,2)=RIGHT('112'!$M$9,2),B1289&lt;'112'!$K$9,$O1289='112'!$I$6)),"x",""))</f>
        <v/>
      </c>
      <c r="W1289" s="79" t="str">
        <f>IF(AND('341-CT'!$H$9=H1289,OR(LEFT(N1289,3)=$W$7,LEFT(O1289,3)=$W$7)),"x","")</f>
        <v/>
      </c>
      <c r="X1289" s="79" t="str">
        <f>IF(OR(TH!N1289=TH!$X$7,O1289=TH!$X$7),"x","")</f>
        <v/>
      </c>
      <c r="Y1289" s="79" t="str">
        <f>IF(AND(OR(N1289="131",O1289="131"),H1289='131-CT'!$H$9),"x","")</f>
        <v/>
      </c>
      <c r="Z1289" s="79"/>
      <c r="AA1289" s="79" t="str">
        <f>IF(AND(MONTH(E1289)='IN-NX'!$J$5,'IN-NX'!$D$7=D1289),"x","")</f>
        <v/>
      </c>
      <c r="AB1289" s="79" t="str">
        <f>IF(AND(OR(LEFT(TH!N1289,2)="15",LEFT(TH!O1289,2)="15"),LEFT(TH!O1289,3)&lt;&gt;"111",'152-CT'!$J$8=TH!F1289),"x","")</f>
        <v/>
      </c>
      <c r="AC1289" s="79" t="str">
        <f>IF(AND(OR(LEFT(TH!N1289,2)="15",LEFT(TH!O1289,2)="15"),TK!$E$7=TH!F1289),"x","")</f>
        <v/>
      </c>
      <c r="AD1289" s="79" t="str">
        <f>IF(AND(N1289="1521",MONTH(C1289)='BK-NL'!$M$11),"x","")</f>
        <v/>
      </c>
    </row>
    <row r="1290" spans="1:30" ht="16.5" customHeight="1">
      <c r="A1290" s="318" t="str">
        <f>IF(B1290&lt;&gt;"",IF(AND(B1290='IN-TC'!$S$4,OR(TH!N1290="1111",TH!O1290="1111")),TH!D1290,""),"")</f>
        <v/>
      </c>
      <c r="B1290" s="60" t="str">
        <f t="shared" si="199"/>
        <v/>
      </c>
      <c r="C1290" s="226"/>
      <c r="D1290" s="226"/>
      <c r="E1290" s="226"/>
      <c r="F1290" s="1010"/>
      <c r="G1290" s="763"/>
      <c r="H1290" s="321"/>
      <c r="I1290" s="385"/>
      <c r="J1290" s="385"/>
      <c r="K1290" s="385"/>
      <c r="L1290" s="392"/>
      <c r="M1290" s="970"/>
      <c r="N1290" s="980"/>
      <c r="O1290" s="980"/>
      <c r="P1290" s="79" t="str">
        <f>IF(AND('331-CT'!$E$7=TH!H1290,OR(N1290="331",O1290="331")),"x","")</f>
        <v/>
      </c>
      <c r="Q1290" s="79" t="str">
        <f>IF(AND(B1290='111'!$L$11,OR($N1290=$Q$7,$O1290=$Q$7)),"x","")</f>
        <v/>
      </c>
      <c r="R1290" s="79" t="str">
        <f>IF(AND($N1290=$Q$7,$B1290&lt;'111'!$L$11),"x","")</f>
        <v/>
      </c>
      <c r="S1290" s="79" t="str">
        <f>IF(AND($O1290=$Q$7,$B1290&lt;'111'!$L$11),"x","")</f>
        <v/>
      </c>
      <c r="T1290" s="79" t="str">
        <f>IF(ISERROR(FIND('112'!$M$9,G1290,1)),"",IF((AND(FIND('112'!$M$9,G1290,1)&gt;=1,B1290='112'!$K$9,OR($N1290='112'!$I$6,$O1290='112'!$I$6))),"x",""))</f>
        <v/>
      </c>
      <c r="U1290" s="79" t="str">
        <f>IF(ISERROR(FIND('112'!$M$9,G1290,1)),"",IF((AND(LEFT(G1290,2)=LEFT('112'!$M$9,2),B1290&lt;'112'!$K$9,$N1290='112'!$I$6)),"x",""))</f>
        <v/>
      </c>
      <c r="V1290" s="79" t="str">
        <f>IF(ISERROR(FIND('112'!$M$9,G1290,1)),"",IF((AND(RIGHT(G1290,2)=RIGHT('112'!$M$9,2),B1290&lt;'112'!$K$9,$O1290='112'!$I$6)),"x",""))</f>
        <v/>
      </c>
      <c r="W1290" s="79" t="str">
        <f>IF(AND('341-CT'!$H$9=H1290,OR(LEFT(N1290,3)=$W$7,LEFT(O1290,3)=$W$7)),"x","")</f>
        <v/>
      </c>
      <c r="X1290" s="79" t="str">
        <f>IF(OR(TH!N1290=TH!$X$7,O1290=TH!$X$7),"x","")</f>
        <v/>
      </c>
      <c r="Y1290" s="79" t="str">
        <f>IF(AND(OR(N1290="131",O1290="131"),H1290='131-CT'!$H$9),"x","")</f>
        <v/>
      </c>
      <c r="Z1290" s="79"/>
      <c r="AA1290" s="79" t="str">
        <f>IF(AND(MONTH(E1290)='IN-NX'!$J$5,'IN-NX'!$D$7=D1290),"x","")</f>
        <v/>
      </c>
      <c r="AB1290" s="79" t="str">
        <f>IF(AND(OR(LEFT(TH!N1290,2)="15",LEFT(TH!O1290,2)="15"),LEFT(TH!O1290,3)&lt;&gt;"111",'152-CT'!$J$8=TH!F1290),"x","")</f>
        <v/>
      </c>
      <c r="AC1290" s="79" t="str">
        <f>IF(AND(OR(LEFT(TH!N1290,2)="15",LEFT(TH!O1290,2)="15"),TK!$E$7=TH!F1290),"x","")</f>
        <v/>
      </c>
      <c r="AD1290" s="79" t="str">
        <f>IF(AND(N1290="1521",MONTH(C1290)='BK-NL'!$M$11),"x","")</f>
        <v/>
      </c>
    </row>
    <row r="1291" spans="1:30" ht="16.5" customHeight="1">
      <c r="A1291" s="318" t="str">
        <f>IF(B1291&lt;&gt;"",IF(AND(B1291='IN-TC'!$S$4,OR(TH!N1291="1111",TH!O1291="1111")),TH!D1291,""),"")</f>
        <v/>
      </c>
      <c r="B1291" s="60" t="str">
        <f t="shared" si="199"/>
        <v/>
      </c>
      <c r="C1291" s="226"/>
      <c r="D1291" s="226"/>
      <c r="E1291" s="226"/>
      <c r="F1291" s="446"/>
      <c r="G1291" s="763"/>
      <c r="H1291" s="321"/>
      <c r="I1291" s="385"/>
      <c r="J1291" s="385"/>
      <c r="K1291" s="385"/>
      <c r="L1291" s="392"/>
      <c r="M1291" s="970"/>
      <c r="N1291" s="980"/>
      <c r="O1291" s="980"/>
      <c r="P1291" s="79" t="str">
        <f>IF(AND('331-CT'!$E$7=TH!H1291,OR(N1291="331",O1291="331")),"x","")</f>
        <v/>
      </c>
      <c r="Q1291" s="79" t="str">
        <f>IF(AND(B1291='111'!$L$11,OR($N1291=$Q$7,$O1291=$Q$7)),"x","")</f>
        <v/>
      </c>
      <c r="R1291" s="79" t="str">
        <f>IF(AND($N1291=$Q$7,$B1291&lt;'111'!$L$11),"x","")</f>
        <v/>
      </c>
      <c r="S1291" s="79" t="str">
        <f>IF(AND($O1291=$Q$7,$B1291&lt;'111'!$L$11),"x","")</f>
        <v/>
      </c>
      <c r="T1291" s="79" t="str">
        <f>IF(ISERROR(FIND('112'!$M$9,G1291,1)),"",IF((AND(FIND('112'!$M$9,G1291,1)&gt;=1,B1291='112'!$K$9,OR($N1291='112'!$I$6,$O1291='112'!$I$6))),"x",""))</f>
        <v/>
      </c>
      <c r="U1291" s="79" t="str">
        <f>IF(ISERROR(FIND('112'!$M$9,G1291,1)),"",IF((AND(LEFT(G1291,2)=LEFT('112'!$M$9,2),B1291&lt;'112'!$K$9,$N1291='112'!$I$6)),"x",""))</f>
        <v/>
      </c>
      <c r="V1291" s="79" t="str">
        <f>IF(ISERROR(FIND('112'!$M$9,G1291,1)),"",IF((AND(RIGHT(G1291,2)=RIGHT('112'!$M$9,2),B1291&lt;'112'!$K$9,$O1291='112'!$I$6)),"x",""))</f>
        <v/>
      </c>
      <c r="W1291" s="79" t="str">
        <f>IF(AND('341-CT'!$H$9=H1291,OR(LEFT(N1291,3)=$W$7,LEFT(O1291,3)=$W$7)),"x","")</f>
        <v/>
      </c>
      <c r="X1291" s="79" t="str">
        <f>IF(OR(TH!N1291=TH!$X$7,O1291=TH!$X$7),"x","")</f>
        <v/>
      </c>
      <c r="Y1291" s="79" t="str">
        <f>IF(AND(OR(N1291="131",O1291="131"),H1291='131-CT'!$H$9),"x","")</f>
        <v/>
      </c>
      <c r="Z1291" s="79"/>
      <c r="AA1291" s="79" t="str">
        <f>IF(AND(MONTH(E1291)='IN-NX'!$J$5,'IN-NX'!$D$7=D1291),"x","")</f>
        <v/>
      </c>
      <c r="AB1291" s="79" t="str">
        <f>IF(AND(OR(LEFT(TH!N1291,2)="15",LEFT(TH!O1291,2)="15"),LEFT(TH!O1291,3)&lt;&gt;"111",'152-CT'!$J$8=TH!F1291),"x","")</f>
        <v/>
      </c>
      <c r="AC1291" s="79" t="str">
        <f>IF(AND(OR(LEFT(TH!N1291,2)="15",LEFT(TH!O1291,2)="15"),TK!$E$7=TH!F1291),"x","")</f>
        <v/>
      </c>
      <c r="AD1291" s="79" t="str">
        <f>IF(AND(N1291="1521",MONTH(C1291)='BK-NL'!$M$11),"x","")</f>
        <v/>
      </c>
    </row>
    <row r="1292" spans="1:30" s="1102" customFormat="1" ht="16.5" customHeight="1">
      <c r="A1292" s="318" t="str">
        <f>IF(B1292&lt;&gt;"",IF(AND(B1292='IN-TC'!$S$4,OR(TH!N1292="1111",TH!O1292="1111")),TH!D1292,""),"")</f>
        <v/>
      </c>
      <c r="B1292" s="60" t="str">
        <f t="shared" si="199"/>
        <v/>
      </c>
      <c r="C1292" s="226"/>
      <c r="D1292" s="226"/>
      <c r="E1292" s="226"/>
      <c r="F1292" s="1008"/>
      <c r="G1292" s="987"/>
      <c r="H1292" s="997"/>
      <c r="I1292" s="984"/>
      <c r="J1292" s="984"/>
      <c r="K1292" s="984"/>
      <c r="L1292" s="983"/>
      <c r="M1292" s="970"/>
      <c r="N1292" s="980"/>
      <c r="O1292" s="980"/>
      <c r="P1292" s="79" t="str">
        <f>IF(AND('331-CT'!$E$7=TH!H1292,OR(N1292="331",O1292="331")),"x","")</f>
        <v/>
      </c>
      <c r="Q1292" s="79" t="str">
        <f>IF(AND(B1292='111'!$L$11,OR($N1292=$Q$7,$O1292=$Q$7)),"x","")</f>
        <v/>
      </c>
      <c r="R1292" s="79" t="str">
        <f>IF(AND($N1292=$Q$7,$B1292&lt;'111'!$L$11),"x","")</f>
        <v/>
      </c>
      <c r="S1292" s="79" t="str">
        <f>IF(AND($O1292=$Q$7,$B1292&lt;'111'!$L$11),"x","")</f>
        <v/>
      </c>
      <c r="T1292" s="79" t="str">
        <f>IF(ISERROR(FIND('112'!$M$9,G1292,1)),"",IF((AND(FIND('112'!$M$9,G1292,1)&gt;=1,B1292='112'!$K$9,OR($N1292='112'!$I$6,$O1292='112'!$I$6))),"x",""))</f>
        <v/>
      </c>
      <c r="U1292" s="79" t="str">
        <f>IF(ISERROR(FIND('112'!$M$9,G1292,1)),"",IF((AND(LEFT(G1292,2)=LEFT('112'!$M$9,2),B1292&lt;'112'!$K$9,$N1292='112'!$I$6)),"x",""))</f>
        <v/>
      </c>
      <c r="V1292" s="79" t="str">
        <f>IF(ISERROR(FIND('112'!$M$9,G1292,1)),"",IF((AND(RIGHT(G1292,2)=RIGHT('112'!$M$9,2),B1292&lt;'112'!$K$9,$O1292='112'!$I$6)),"x",""))</f>
        <v/>
      </c>
      <c r="W1292" s="79" t="str">
        <f>IF(AND('341-CT'!$H$9=H1292,OR(LEFT(N1292,3)=$W$7,LEFT(O1292,3)=$W$7)),"x","")</f>
        <v/>
      </c>
      <c r="X1292" s="79" t="str">
        <f>IF(OR(TH!N1292=TH!$X$7,O1292=TH!$X$7),"x","")</f>
        <v/>
      </c>
      <c r="Y1292" s="79" t="str">
        <f>IF(AND(OR(N1292="131",O1292="131"),H1292='131-CT'!$H$9),"x","")</f>
        <v/>
      </c>
      <c r="Z1292" s="79"/>
      <c r="AA1292" s="79" t="str">
        <f>IF(AND(MONTH(E1292)='IN-NX'!$J$5,'IN-NX'!$D$7=D1292),"x","")</f>
        <v/>
      </c>
      <c r="AB1292" s="79" t="str">
        <f>IF(AND(OR(LEFT(TH!N1292,2)="15",LEFT(TH!O1292,2)="15"),LEFT(TH!O1292,3)&lt;&gt;"111",'152-CT'!$J$8=TH!F1292),"x","")</f>
        <v/>
      </c>
      <c r="AC1292" s="79" t="str">
        <f>IF(AND(OR(LEFT(TH!N1292,2)="15",LEFT(TH!O1292,2)="15"),TK!$E$7=TH!F1292),"x","")</f>
        <v/>
      </c>
      <c r="AD1292" s="79" t="str">
        <f>IF(AND(N1292="1521",MONTH(C1292)='BK-NL'!$M$11),"x","")</f>
        <v/>
      </c>
    </row>
    <row r="1293" spans="1:30" s="1102" customFormat="1" ht="16.5" customHeight="1">
      <c r="A1293" s="318" t="str">
        <f>IF(B1293&lt;&gt;"",IF(AND(B1293='IN-TC'!$S$4,OR(TH!N1293="1111",TH!O1293="1111")),TH!D1293,""),"")</f>
        <v/>
      </c>
      <c r="B1293" s="60" t="str">
        <f t="shared" si="199"/>
        <v/>
      </c>
      <c r="C1293" s="226"/>
      <c r="D1293" s="226"/>
      <c r="E1293" s="226"/>
      <c r="F1293" s="1008"/>
      <c r="G1293" s="987"/>
      <c r="H1293" s="997"/>
      <c r="I1293" s="984"/>
      <c r="J1293" s="984"/>
      <c r="K1293" s="984"/>
      <c r="L1293" s="983"/>
      <c r="M1293" s="970"/>
      <c r="N1293" s="980"/>
      <c r="O1293" s="980"/>
      <c r="P1293" s="79" t="str">
        <f>IF(AND('331-CT'!$E$7=TH!H1293,OR(N1293="331",O1293="331")),"x","")</f>
        <v/>
      </c>
      <c r="Q1293" s="79" t="str">
        <f>IF(AND(B1293='111'!$L$11,OR($N1293=$Q$7,$O1293=$Q$7)),"x","")</f>
        <v/>
      </c>
      <c r="R1293" s="79" t="str">
        <f>IF(AND($N1293=$Q$7,$B1293&lt;'111'!$L$11),"x","")</f>
        <v/>
      </c>
      <c r="S1293" s="79" t="str">
        <f>IF(AND($O1293=$Q$7,$B1293&lt;'111'!$L$11),"x","")</f>
        <v/>
      </c>
      <c r="T1293" s="79" t="str">
        <f>IF(ISERROR(FIND('112'!$M$9,G1293,1)),"",IF((AND(FIND('112'!$M$9,G1293,1)&gt;=1,B1293='112'!$K$9,OR($N1293='112'!$I$6,$O1293='112'!$I$6))),"x",""))</f>
        <v/>
      </c>
      <c r="U1293" s="79" t="str">
        <f>IF(ISERROR(FIND('112'!$M$9,G1293,1)),"",IF((AND(LEFT(G1293,2)=LEFT('112'!$M$9,2),B1293&lt;'112'!$K$9,$N1293='112'!$I$6)),"x",""))</f>
        <v/>
      </c>
      <c r="V1293" s="79" t="str">
        <f>IF(ISERROR(FIND('112'!$M$9,G1293,1)),"",IF((AND(RIGHT(G1293,2)=RIGHT('112'!$M$9,2),B1293&lt;'112'!$K$9,$O1293='112'!$I$6)),"x",""))</f>
        <v/>
      </c>
      <c r="W1293" s="79" t="str">
        <f>IF(AND('341-CT'!$H$9=H1293,OR(LEFT(N1293,3)=$W$7,LEFT(O1293,3)=$W$7)),"x","")</f>
        <v/>
      </c>
      <c r="X1293" s="79" t="str">
        <f>IF(OR(TH!N1293=TH!$X$7,O1293=TH!$X$7),"x","")</f>
        <v/>
      </c>
      <c r="Y1293" s="79" t="str">
        <f>IF(AND(OR(N1293="131",O1293="131"),H1293='131-CT'!$H$9),"x","")</f>
        <v/>
      </c>
      <c r="Z1293" s="79"/>
      <c r="AA1293" s="79" t="str">
        <f>IF(AND(MONTH(E1293)='IN-NX'!$J$5,'IN-NX'!$D$7=D1293),"x","")</f>
        <v/>
      </c>
      <c r="AB1293" s="79" t="str">
        <f>IF(AND(OR(LEFT(TH!N1293,2)="15",LEFT(TH!O1293,2)="15"),LEFT(TH!O1293,3)&lt;&gt;"111",'152-CT'!$J$8=TH!F1293),"x","")</f>
        <v/>
      </c>
      <c r="AC1293" s="79" t="str">
        <f>IF(AND(OR(LEFT(TH!N1293,2)="15",LEFT(TH!O1293,2)="15"),TK!$E$7=TH!F1293),"x","")</f>
        <v/>
      </c>
      <c r="AD1293" s="79" t="str">
        <f>IF(AND(N1293="1521",MONTH(C1293)='BK-NL'!$M$11),"x","")</f>
        <v/>
      </c>
    </row>
    <row r="1294" spans="1:30" s="1102" customFormat="1" ht="16.5" customHeight="1">
      <c r="A1294" s="318" t="str">
        <f>IF(B1294&lt;&gt;"",IF(AND(B1294='IN-TC'!$S$4,OR(TH!N1294="1111",TH!O1294="1111")),TH!D1294,""),"")</f>
        <v/>
      </c>
      <c r="B1294" s="60" t="str">
        <f t="shared" si="199"/>
        <v/>
      </c>
      <c r="C1294" s="226"/>
      <c r="D1294" s="226"/>
      <c r="E1294" s="226"/>
      <c r="F1294" s="1008"/>
      <c r="G1294" s="987"/>
      <c r="H1294" s="997"/>
      <c r="I1294" s="984"/>
      <c r="J1294" s="984"/>
      <c r="K1294" s="984"/>
      <c r="L1294" s="983"/>
      <c r="M1294" s="970"/>
      <c r="N1294" s="980"/>
      <c r="O1294" s="980"/>
      <c r="P1294" s="79" t="str">
        <f>IF(AND('331-CT'!$E$7=TH!H1294,OR(N1294="331",O1294="331")),"x","")</f>
        <v/>
      </c>
      <c r="Q1294" s="79" t="str">
        <f>IF(AND(B1294='111'!$L$11,OR($N1294=$Q$7,$O1294=$Q$7)),"x","")</f>
        <v/>
      </c>
      <c r="R1294" s="79" t="str">
        <f>IF(AND($N1294=$Q$7,$B1294&lt;'111'!$L$11),"x","")</f>
        <v/>
      </c>
      <c r="S1294" s="79" t="str">
        <f>IF(AND($O1294=$Q$7,$B1294&lt;'111'!$L$11),"x","")</f>
        <v/>
      </c>
      <c r="T1294" s="79" t="str">
        <f>IF(ISERROR(FIND('112'!$M$9,G1294,1)),"",IF((AND(FIND('112'!$M$9,G1294,1)&gt;=1,B1294='112'!$K$9,OR($N1294='112'!$I$6,$O1294='112'!$I$6))),"x",""))</f>
        <v/>
      </c>
      <c r="U1294" s="79" t="str">
        <f>IF(ISERROR(FIND('112'!$M$9,G1294,1)),"",IF((AND(LEFT(G1294,2)=LEFT('112'!$M$9,2),B1294&lt;'112'!$K$9,$N1294='112'!$I$6)),"x",""))</f>
        <v/>
      </c>
      <c r="V1294" s="79" t="str">
        <f>IF(ISERROR(FIND('112'!$M$9,G1294,1)),"",IF((AND(RIGHT(G1294,2)=RIGHT('112'!$M$9,2),B1294&lt;'112'!$K$9,$O1294='112'!$I$6)),"x",""))</f>
        <v/>
      </c>
      <c r="W1294" s="79" t="str">
        <f>IF(AND('341-CT'!$H$9=H1294,OR(LEFT(N1294,3)=$W$7,LEFT(O1294,3)=$W$7)),"x","")</f>
        <v/>
      </c>
      <c r="X1294" s="79" t="str">
        <f>IF(OR(TH!N1294=TH!$X$7,O1294=TH!$X$7),"x","")</f>
        <v/>
      </c>
      <c r="Y1294" s="79" t="str">
        <f>IF(AND(OR(N1294="131",O1294="131"),H1294='131-CT'!$H$9),"x","")</f>
        <v/>
      </c>
      <c r="Z1294" s="79"/>
      <c r="AA1294" s="79" t="str">
        <f>IF(AND(MONTH(E1294)='IN-NX'!$J$5,'IN-NX'!$D$7=D1294),"x","")</f>
        <v/>
      </c>
      <c r="AB1294" s="79" t="str">
        <f>IF(AND(OR(LEFT(TH!N1294,2)="15",LEFT(TH!O1294,2)="15"),LEFT(TH!O1294,3)&lt;&gt;"111",'152-CT'!$J$8=TH!F1294),"x","")</f>
        <v/>
      </c>
      <c r="AC1294" s="79" t="str">
        <f>IF(AND(OR(LEFT(TH!N1294,2)="15",LEFT(TH!O1294,2)="15"),TK!$E$7=TH!F1294),"x","")</f>
        <v/>
      </c>
      <c r="AD1294" s="79" t="str">
        <f>IF(AND(N1294="1521",MONTH(C1294)='BK-NL'!$M$11),"x","")</f>
        <v/>
      </c>
    </row>
    <row r="1295" spans="1:30" ht="16.5" customHeight="1">
      <c r="A1295" s="318" t="str">
        <f>IF(B1295&lt;&gt;"",IF(AND(B1295='IN-TC'!$S$4,OR(TH!N1295="1111",TH!O1295="1111")),TH!D1295,""),"")</f>
        <v/>
      </c>
      <c r="B1295" s="60" t="str">
        <f t="shared" si="199"/>
        <v/>
      </c>
      <c r="C1295" s="226"/>
      <c r="D1295" s="226"/>
      <c r="E1295" s="226"/>
      <c r="F1295" s="446"/>
      <c r="G1295" s="763"/>
      <c r="H1295" s="925"/>
      <c r="I1295" s="385"/>
      <c r="J1295" s="385"/>
      <c r="K1295" s="385"/>
      <c r="L1295" s="392"/>
      <c r="M1295" s="970"/>
      <c r="N1295" s="980"/>
      <c r="O1295" s="980"/>
      <c r="P1295" s="79" t="str">
        <f>IF(AND('331-CT'!$E$7=TH!H1295,OR(N1295="331",O1295="331")),"x","")</f>
        <v/>
      </c>
      <c r="Q1295" s="79" t="str">
        <f>IF(AND(B1295='111'!$L$11,OR($N1295=$Q$7,$O1295=$Q$7)),"x","")</f>
        <v/>
      </c>
      <c r="R1295" s="79" t="str">
        <f>IF(AND($N1295=$Q$7,$B1295&lt;'111'!$L$11),"x","")</f>
        <v/>
      </c>
      <c r="S1295" s="79" t="str">
        <f>IF(AND($O1295=$Q$7,$B1295&lt;'111'!$L$11),"x","")</f>
        <v/>
      </c>
      <c r="T1295" s="79" t="str">
        <f>IF(ISERROR(FIND('112'!$M$9,G1295,1)),"",IF((AND(FIND('112'!$M$9,G1295,1)&gt;=1,B1295='112'!$K$9,OR($N1295='112'!$I$6,$O1295='112'!$I$6))),"x",""))</f>
        <v/>
      </c>
      <c r="U1295" s="79" t="str">
        <f>IF(ISERROR(FIND('112'!$M$9,G1295,1)),"",IF((AND(LEFT(G1295,2)=LEFT('112'!$M$9,2),B1295&lt;'112'!$K$9,$N1295='112'!$I$6)),"x",""))</f>
        <v/>
      </c>
      <c r="V1295" s="79" t="str">
        <f>IF(ISERROR(FIND('112'!$M$9,G1295,1)),"",IF((AND(RIGHT(G1295,2)=RIGHT('112'!$M$9,2),B1295&lt;'112'!$K$9,$O1295='112'!$I$6)),"x",""))</f>
        <v/>
      </c>
      <c r="W1295" s="79" t="str">
        <f>IF(AND('341-CT'!$H$9=H1295,OR(LEFT(N1295,3)=$W$7,LEFT(O1295,3)=$W$7)),"x","")</f>
        <v/>
      </c>
      <c r="X1295" s="79" t="str">
        <f>IF(OR(TH!N1295=TH!$X$7,O1295=TH!$X$7),"x","")</f>
        <v/>
      </c>
      <c r="Y1295" s="79" t="str">
        <f>IF(AND(OR(N1295="131",O1295="131"),H1295='131-CT'!$H$9),"x","")</f>
        <v/>
      </c>
      <c r="Z1295" s="79"/>
      <c r="AA1295" s="79" t="str">
        <f>IF(AND(MONTH(E1295)='IN-NX'!$J$5,'IN-NX'!$D$7=D1295),"x","")</f>
        <v/>
      </c>
      <c r="AB1295" s="79" t="str">
        <f>IF(AND(OR(LEFT(TH!N1295,2)="15",LEFT(TH!O1295,2)="15"),LEFT(TH!O1295,3)&lt;&gt;"111",'152-CT'!$J$8=TH!F1295),"x","")</f>
        <v/>
      </c>
      <c r="AC1295" s="79" t="str">
        <f>IF(AND(OR(LEFT(TH!N1295,2)="15",LEFT(TH!O1295,2)="15"),TK!$E$7=TH!F1295),"x","")</f>
        <v/>
      </c>
      <c r="AD1295" s="79" t="str">
        <f>IF(AND(N1295="1521",MONTH(C1295)='BK-NL'!$M$11),"x","")</f>
        <v/>
      </c>
    </row>
    <row r="1296" spans="1:30" s="1102" customFormat="1" ht="16.5" customHeight="1">
      <c r="A1296" s="318" t="str">
        <f>IF(B1296&lt;&gt;"",IF(AND(B1296='IN-TC'!$S$4,OR(TH!N1296="1111",TH!O1296="1111")),TH!D1296,""),"")</f>
        <v/>
      </c>
      <c r="B1296" s="60" t="str">
        <f t="shared" si="199"/>
        <v/>
      </c>
      <c r="C1296" s="226"/>
      <c r="D1296" s="226"/>
      <c r="E1296" s="226"/>
      <c r="F1296" s="1008"/>
      <c r="G1296" s="987"/>
      <c r="H1296" s="997"/>
      <c r="I1296" s="984"/>
      <c r="J1296" s="984"/>
      <c r="K1296" s="984"/>
      <c r="L1296" s="983"/>
      <c r="M1296" s="970"/>
      <c r="N1296" s="980"/>
      <c r="O1296" s="980"/>
      <c r="P1296" s="79" t="str">
        <f>IF(AND('331-CT'!$E$7=TH!H1296,OR(N1296="331",O1296="331")),"x","")</f>
        <v/>
      </c>
      <c r="Q1296" s="79" t="str">
        <f>IF(AND(B1296='111'!$L$11,OR($N1296=$Q$7,$O1296=$Q$7)),"x","")</f>
        <v/>
      </c>
      <c r="R1296" s="79" t="str">
        <f>IF(AND($N1296=$Q$7,$B1296&lt;'111'!$L$11),"x","")</f>
        <v/>
      </c>
      <c r="S1296" s="79" t="str">
        <f>IF(AND($O1296=$Q$7,$B1296&lt;'111'!$L$11),"x","")</f>
        <v/>
      </c>
      <c r="T1296" s="79" t="str">
        <f>IF(ISERROR(FIND('112'!$M$9,G1296,1)),"",IF((AND(FIND('112'!$M$9,G1296,1)&gt;=1,B1296='112'!$K$9,OR($N1296='112'!$I$6,$O1296='112'!$I$6))),"x",""))</f>
        <v/>
      </c>
      <c r="U1296" s="79" t="str">
        <f>IF(ISERROR(FIND('112'!$M$9,G1296,1)),"",IF((AND(LEFT(G1296,2)=LEFT('112'!$M$9,2),B1296&lt;'112'!$K$9,$N1296='112'!$I$6)),"x",""))</f>
        <v/>
      </c>
      <c r="V1296" s="79" t="str">
        <f>IF(ISERROR(FIND('112'!$M$9,G1296,1)),"",IF((AND(RIGHT(G1296,2)=RIGHT('112'!$M$9,2),B1296&lt;'112'!$K$9,$O1296='112'!$I$6)),"x",""))</f>
        <v/>
      </c>
      <c r="W1296" s="79" t="str">
        <f>IF(AND('341-CT'!$H$9=H1296,OR(LEFT(N1296,3)=$W$7,LEFT(O1296,3)=$W$7)),"x","")</f>
        <v/>
      </c>
      <c r="X1296" s="79" t="str">
        <f>IF(OR(TH!N1296=TH!$X$7,O1296=TH!$X$7),"x","")</f>
        <v/>
      </c>
      <c r="Y1296" s="79" t="str">
        <f>IF(AND(OR(N1296="131",O1296="131"),H1296='131-CT'!$H$9),"x","")</f>
        <v/>
      </c>
      <c r="Z1296" s="79"/>
      <c r="AA1296" s="79" t="str">
        <f>IF(AND(MONTH(E1296)='IN-NX'!$J$5,'IN-NX'!$D$7=D1296),"x","")</f>
        <v/>
      </c>
      <c r="AB1296" s="79" t="str">
        <f>IF(AND(OR(LEFT(TH!N1296,2)="15",LEFT(TH!O1296,2)="15"),LEFT(TH!O1296,3)&lt;&gt;"111",'152-CT'!$J$8=TH!F1296),"x","")</f>
        <v/>
      </c>
      <c r="AC1296" s="79" t="str">
        <f>IF(AND(OR(LEFT(TH!N1296,2)="15",LEFT(TH!O1296,2)="15"),TK!$E$7=TH!F1296),"x","")</f>
        <v/>
      </c>
      <c r="AD1296" s="79" t="str">
        <f>IF(AND(N1296="1521",MONTH(C1296)='BK-NL'!$M$11),"x","")</f>
        <v/>
      </c>
    </row>
    <row r="1297" spans="1:30" ht="16.5" customHeight="1">
      <c r="A1297" s="318" t="str">
        <f>IF(B1297&lt;&gt;"",IF(AND(B1297='IN-TC'!$S$4,OR(TH!N1297="1111",TH!O1297="1111")),TH!D1297,""),"")</f>
        <v/>
      </c>
      <c r="B1297" s="60" t="str">
        <f t="shared" si="199"/>
        <v/>
      </c>
      <c r="C1297" s="226"/>
      <c r="D1297" s="226"/>
      <c r="E1297" s="226"/>
      <c r="F1297" s="1010"/>
      <c r="G1297" s="763"/>
      <c r="H1297" s="321"/>
      <c r="I1297" s="385"/>
      <c r="J1297" s="385"/>
      <c r="K1297" s="385"/>
      <c r="L1297" s="392"/>
      <c r="M1297" s="970"/>
      <c r="N1297" s="980"/>
      <c r="O1297" s="980"/>
      <c r="P1297" s="79" t="str">
        <f>IF(AND('331-CT'!$E$7=TH!H1297,OR(N1297="331",O1297="331")),"x","")</f>
        <v/>
      </c>
      <c r="Q1297" s="79" t="str">
        <f>IF(AND(B1297='111'!$L$11,OR($N1297=$Q$7,$O1297=$Q$7)),"x","")</f>
        <v/>
      </c>
      <c r="R1297" s="79" t="str">
        <f>IF(AND($N1297=$Q$7,$B1297&lt;'111'!$L$11),"x","")</f>
        <v/>
      </c>
      <c r="S1297" s="79" t="str">
        <f>IF(AND($O1297=$Q$7,$B1297&lt;'111'!$L$11),"x","")</f>
        <v/>
      </c>
      <c r="T1297" s="79" t="str">
        <f>IF(ISERROR(FIND('112'!$M$9,G1297,1)),"",IF((AND(FIND('112'!$M$9,G1297,1)&gt;=1,B1297='112'!$K$9,OR($N1297='112'!$I$6,$O1297='112'!$I$6))),"x",""))</f>
        <v/>
      </c>
      <c r="U1297" s="79" t="str">
        <f>IF(ISERROR(FIND('112'!$M$9,G1297,1)),"",IF((AND(LEFT(G1297,2)=LEFT('112'!$M$9,2),B1297&lt;'112'!$K$9,$N1297='112'!$I$6)),"x",""))</f>
        <v/>
      </c>
      <c r="V1297" s="79" t="str">
        <f>IF(ISERROR(FIND('112'!$M$9,G1297,1)),"",IF((AND(RIGHT(G1297,2)=RIGHT('112'!$M$9,2),B1297&lt;'112'!$K$9,$O1297='112'!$I$6)),"x",""))</f>
        <v/>
      </c>
      <c r="W1297" s="79" t="str">
        <f>IF(AND('341-CT'!$H$9=H1297,OR(LEFT(N1297,3)=$W$7,LEFT(O1297,3)=$W$7)),"x","")</f>
        <v/>
      </c>
      <c r="X1297" s="79" t="str">
        <f>IF(OR(TH!N1297=TH!$X$7,O1297=TH!$X$7),"x","")</f>
        <v/>
      </c>
      <c r="Y1297" s="79" t="str">
        <f>IF(AND(OR(N1297="131",O1297="131"),H1297='131-CT'!$H$9),"x","")</f>
        <v/>
      </c>
      <c r="Z1297" s="79"/>
      <c r="AA1297" s="79" t="str">
        <f>IF(AND(MONTH(E1297)='IN-NX'!$J$5,'IN-NX'!$D$7=D1297),"x","")</f>
        <v/>
      </c>
      <c r="AB1297" s="79" t="str">
        <f>IF(AND(OR(LEFT(TH!N1297,2)="15",LEFT(TH!O1297,2)="15"),LEFT(TH!O1297,3)&lt;&gt;"111",'152-CT'!$J$8=TH!F1297),"x","")</f>
        <v/>
      </c>
      <c r="AC1297" s="79" t="str">
        <f>IF(AND(OR(LEFT(TH!N1297,2)="15",LEFT(TH!O1297,2)="15"),TK!$E$7=TH!F1297),"x","")</f>
        <v/>
      </c>
      <c r="AD1297" s="79" t="str">
        <f>IF(AND(N1297="1521",MONTH(C1297)='BK-NL'!$M$11),"x","")</f>
        <v/>
      </c>
    </row>
    <row r="1298" spans="1:30" s="1102" customFormat="1" ht="16.5" customHeight="1">
      <c r="A1298" s="318" t="str">
        <f>IF(B1298&lt;&gt;"",IF(AND(B1298='IN-TC'!$S$4,OR(TH!N1298="1111",TH!O1298="1111")),TH!D1298,""),"")</f>
        <v/>
      </c>
      <c r="B1298" s="60" t="str">
        <f t="shared" si="199"/>
        <v/>
      </c>
      <c r="C1298" s="226"/>
      <c r="D1298" s="226"/>
      <c r="E1298" s="226"/>
      <c r="F1298" s="1008"/>
      <c r="G1298" s="987"/>
      <c r="H1298" s="997"/>
      <c r="I1298" s="984"/>
      <c r="J1298" s="984"/>
      <c r="K1298" s="984"/>
      <c r="L1298" s="983"/>
      <c r="M1298" s="970"/>
      <c r="N1298" s="980"/>
      <c r="O1298" s="980"/>
      <c r="P1298" s="79" t="str">
        <f>IF(AND('331-CT'!$E$7=TH!H1298,OR(N1298="331",O1298="331")),"x","")</f>
        <v/>
      </c>
      <c r="Q1298" s="79" t="str">
        <f>IF(AND(B1298='111'!$L$11,OR($N1298=$Q$7,$O1298=$Q$7)),"x","")</f>
        <v/>
      </c>
      <c r="R1298" s="79" t="str">
        <f>IF(AND($N1298=$Q$7,$B1298&lt;'111'!$L$11),"x","")</f>
        <v/>
      </c>
      <c r="S1298" s="79" t="str">
        <f>IF(AND($O1298=$Q$7,$B1298&lt;'111'!$L$11),"x","")</f>
        <v/>
      </c>
      <c r="T1298" s="79" t="str">
        <f>IF(ISERROR(FIND('112'!$M$9,G1298,1)),"",IF((AND(FIND('112'!$M$9,G1298,1)&gt;=1,B1298='112'!$K$9,OR($N1298='112'!$I$6,$O1298='112'!$I$6))),"x",""))</f>
        <v/>
      </c>
      <c r="U1298" s="79" t="str">
        <f>IF(ISERROR(FIND('112'!$M$9,G1298,1)),"",IF((AND(LEFT(G1298,2)=LEFT('112'!$M$9,2),B1298&lt;'112'!$K$9,$N1298='112'!$I$6)),"x",""))</f>
        <v/>
      </c>
      <c r="V1298" s="79" t="str">
        <f>IF(ISERROR(FIND('112'!$M$9,G1298,1)),"",IF((AND(RIGHT(G1298,2)=RIGHT('112'!$M$9,2),B1298&lt;'112'!$K$9,$O1298='112'!$I$6)),"x",""))</f>
        <v/>
      </c>
      <c r="W1298" s="79" t="str">
        <f>IF(AND('341-CT'!$H$9=H1298,OR(LEFT(N1298,3)=$W$7,LEFT(O1298,3)=$W$7)),"x","")</f>
        <v/>
      </c>
      <c r="X1298" s="79" t="str">
        <f>IF(OR(TH!N1298=TH!$X$7,O1298=TH!$X$7),"x","")</f>
        <v/>
      </c>
      <c r="Y1298" s="79" t="str">
        <f>IF(AND(OR(N1298="131",O1298="131"),H1298='131-CT'!$H$9),"x","")</f>
        <v/>
      </c>
      <c r="Z1298" s="79"/>
      <c r="AA1298" s="79" t="str">
        <f>IF(AND(MONTH(E1298)='IN-NX'!$J$5,'IN-NX'!$D$7=D1298),"x","")</f>
        <v/>
      </c>
      <c r="AB1298" s="79" t="str">
        <f>IF(AND(OR(LEFT(TH!N1298,2)="15",LEFT(TH!O1298,2)="15"),LEFT(TH!O1298,3)&lt;&gt;"111",'152-CT'!$J$8=TH!F1298),"x","")</f>
        <v/>
      </c>
      <c r="AC1298" s="79" t="str">
        <f>IF(AND(OR(LEFT(TH!N1298,2)="15",LEFT(TH!O1298,2)="15"),TK!$E$7=TH!F1298),"x","")</f>
        <v/>
      </c>
      <c r="AD1298" s="79" t="str">
        <f>IF(AND(N1298="1521",MONTH(C1298)='BK-NL'!$M$11),"x","")</f>
        <v/>
      </c>
    </row>
    <row r="1299" spans="1:30" s="1102" customFormat="1" ht="16.5" customHeight="1">
      <c r="A1299" s="318" t="str">
        <f>IF(B1299&lt;&gt;"",IF(AND(B1299='IN-TC'!$S$4,OR(TH!N1299="1111",TH!O1299="1111")),TH!D1299,""),"")</f>
        <v/>
      </c>
      <c r="B1299" s="60" t="str">
        <f t="shared" si="199"/>
        <v/>
      </c>
      <c r="C1299" s="226"/>
      <c r="D1299" s="226"/>
      <c r="E1299" s="226"/>
      <c r="F1299" s="1008"/>
      <c r="G1299" s="987"/>
      <c r="H1299" s="997"/>
      <c r="I1299" s="984"/>
      <c r="J1299" s="984"/>
      <c r="K1299" s="984"/>
      <c r="L1299" s="983"/>
      <c r="M1299" s="970"/>
      <c r="N1299" s="980"/>
      <c r="O1299" s="980"/>
      <c r="P1299" s="79" t="str">
        <f>IF(AND('331-CT'!$E$7=TH!H1299,OR(N1299="331",O1299="331")),"x","")</f>
        <v/>
      </c>
      <c r="Q1299" s="79" t="str">
        <f>IF(AND(B1299='111'!$L$11,OR($N1299=$Q$7,$O1299=$Q$7)),"x","")</f>
        <v/>
      </c>
      <c r="R1299" s="79" t="str">
        <f>IF(AND($N1299=$Q$7,$B1299&lt;'111'!$L$11),"x","")</f>
        <v/>
      </c>
      <c r="S1299" s="79" t="str">
        <f>IF(AND($O1299=$Q$7,$B1299&lt;'111'!$L$11),"x","")</f>
        <v/>
      </c>
      <c r="T1299" s="79" t="str">
        <f>IF(ISERROR(FIND('112'!$M$9,G1299,1)),"",IF((AND(FIND('112'!$M$9,G1299,1)&gt;=1,B1299='112'!$K$9,OR($N1299='112'!$I$6,$O1299='112'!$I$6))),"x",""))</f>
        <v/>
      </c>
      <c r="U1299" s="79" t="str">
        <f>IF(ISERROR(FIND('112'!$M$9,G1299,1)),"",IF((AND(LEFT(G1299,2)=LEFT('112'!$M$9,2),B1299&lt;'112'!$K$9,$N1299='112'!$I$6)),"x",""))</f>
        <v/>
      </c>
      <c r="V1299" s="79" t="str">
        <f>IF(ISERROR(FIND('112'!$M$9,G1299,1)),"",IF((AND(RIGHT(G1299,2)=RIGHT('112'!$M$9,2),B1299&lt;'112'!$K$9,$O1299='112'!$I$6)),"x",""))</f>
        <v/>
      </c>
      <c r="W1299" s="79" t="str">
        <f>IF(AND('341-CT'!$H$9=H1299,OR(LEFT(N1299,3)=$W$7,LEFT(O1299,3)=$W$7)),"x","")</f>
        <v/>
      </c>
      <c r="X1299" s="79" t="str">
        <f>IF(OR(TH!N1299=TH!$X$7,O1299=TH!$X$7),"x","")</f>
        <v/>
      </c>
      <c r="Y1299" s="79" t="str">
        <f>IF(AND(OR(N1299="131",O1299="131"),H1299='131-CT'!$H$9),"x","")</f>
        <v/>
      </c>
      <c r="Z1299" s="79"/>
      <c r="AA1299" s="79" t="str">
        <f>IF(AND(MONTH(E1299)='IN-NX'!$J$5,'IN-NX'!$D$7=D1299),"x","")</f>
        <v/>
      </c>
      <c r="AB1299" s="79" t="str">
        <f>IF(AND(OR(LEFT(TH!N1299,2)="15",LEFT(TH!O1299,2)="15"),LEFT(TH!O1299,3)&lt;&gt;"111",'152-CT'!$J$8=TH!F1299),"x","")</f>
        <v/>
      </c>
      <c r="AC1299" s="79" t="str">
        <f>IF(AND(OR(LEFT(TH!N1299,2)="15",LEFT(TH!O1299,2)="15"),TK!$E$7=TH!F1299),"x","")</f>
        <v/>
      </c>
      <c r="AD1299" s="79" t="str">
        <f>IF(AND(N1299="1521",MONTH(C1299)='BK-NL'!$M$11),"x","")</f>
        <v/>
      </c>
    </row>
    <row r="1300" spans="1:30" ht="16.5" customHeight="1">
      <c r="A1300" s="318" t="str">
        <f>IF(B1300&lt;&gt;"",IF(AND(B1300='IN-TC'!$S$4,OR(TH!N1300="1111",TH!O1300="1111")),TH!D1300,""),"")</f>
        <v/>
      </c>
      <c r="B1300" s="60" t="str">
        <f t="shared" si="199"/>
        <v/>
      </c>
      <c r="C1300" s="226"/>
      <c r="D1300" s="226"/>
      <c r="E1300" s="226"/>
      <c r="F1300" s="1010"/>
      <c r="G1300" s="763"/>
      <c r="H1300" s="321"/>
      <c r="I1300" s="385"/>
      <c r="J1300" s="385"/>
      <c r="K1300" s="385"/>
      <c r="L1300" s="392"/>
      <c r="M1300" s="970"/>
      <c r="N1300" s="980"/>
      <c r="O1300" s="980"/>
      <c r="P1300" s="79" t="str">
        <f>IF(AND('331-CT'!$E$7=TH!H1300,OR(N1300="331",O1300="331")),"x","")</f>
        <v/>
      </c>
      <c r="Q1300" s="79" t="str">
        <f>IF(AND(B1300='111'!$L$11,OR($N1300=$Q$7,$O1300=$Q$7)),"x","")</f>
        <v/>
      </c>
      <c r="R1300" s="79" t="str">
        <f>IF(AND($N1300=$Q$7,$B1300&lt;'111'!$L$11),"x","")</f>
        <v/>
      </c>
      <c r="S1300" s="79" t="str">
        <f>IF(AND($O1300=$Q$7,$B1300&lt;'111'!$L$11),"x","")</f>
        <v/>
      </c>
      <c r="T1300" s="79" t="str">
        <f>IF(ISERROR(FIND('112'!$M$9,G1300,1)),"",IF((AND(FIND('112'!$M$9,G1300,1)&gt;=1,B1300='112'!$K$9,OR($N1300='112'!$I$6,$O1300='112'!$I$6))),"x",""))</f>
        <v/>
      </c>
      <c r="U1300" s="79" t="str">
        <f>IF(ISERROR(FIND('112'!$M$9,G1300,1)),"",IF((AND(LEFT(G1300,2)=LEFT('112'!$M$9,2),B1300&lt;'112'!$K$9,$N1300='112'!$I$6)),"x",""))</f>
        <v/>
      </c>
      <c r="V1300" s="79" t="str">
        <f>IF(ISERROR(FIND('112'!$M$9,G1300,1)),"",IF((AND(RIGHT(G1300,2)=RIGHT('112'!$M$9,2),B1300&lt;'112'!$K$9,$O1300='112'!$I$6)),"x",""))</f>
        <v/>
      </c>
      <c r="W1300" s="79" t="str">
        <f>IF(AND('341-CT'!$H$9=H1300,OR(LEFT(N1300,3)=$W$7,LEFT(O1300,3)=$W$7)),"x","")</f>
        <v/>
      </c>
      <c r="X1300" s="79" t="str">
        <f>IF(OR(TH!N1300=TH!$X$7,O1300=TH!$X$7),"x","")</f>
        <v/>
      </c>
      <c r="Y1300" s="79" t="str">
        <f>IF(AND(OR(N1300="131",O1300="131"),H1300='131-CT'!$H$9),"x","")</f>
        <v/>
      </c>
      <c r="Z1300" s="79"/>
      <c r="AA1300" s="79" t="str">
        <f>IF(AND(MONTH(E1300)='IN-NX'!$J$5,'IN-NX'!$D$7=D1300),"x","")</f>
        <v/>
      </c>
      <c r="AB1300" s="79" t="str">
        <f>IF(AND(OR(LEFT(TH!N1300,2)="15",LEFT(TH!O1300,2)="15"),LEFT(TH!O1300,3)&lt;&gt;"111",'152-CT'!$J$8=TH!F1300),"x","")</f>
        <v/>
      </c>
      <c r="AC1300" s="79" t="str">
        <f>IF(AND(OR(LEFT(TH!N1300,2)="15",LEFT(TH!O1300,2)="15"),TK!$E$7=TH!F1300),"x","")</f>
        <v/>
      </c>
      <c r="AD1300" s="79" t="str">
        <f>IF(AND(N1300="1521",MONTH(C1300)='BK-NL'!$M$11),"x","")</f>
        <v/>
      </c>
    </row>
    <row r="1301" spans="1:30" ht="16.5" customHeight="1">
      <c r="A1301" s="318" t="str">
        <f>IF(B1301&lt;&gt;"",IF(AND(B1301='IN-TC'!$S$4,OR(TH!N1301="1111",TH!O1301="1111")),TH!D1301,""),"")</f>
        <v/>
      </c>
      <c r="B1301" s="60" t="str">
        <f t="shared" si="199"/>
        <v/>
      </c>
      <c r="C1301" s="226"/>
      <c r="D1301" s="226"/>
      <c r="E1301" s="226"/>
      <c r="F1301" s="1010"/>
      <c r="G1301" s="763"/>
      <c r="H1301" s="321"/>
      <c r="I1301" s="385"/>
      <c r="J1301" s="385"/>
      <c r="K1301" s="385"/>
      <c r="L1301" s="392"/>
      <c r="M1301" s="970"/>
      <c r="N1301" s="980"/>
      <c r="O1301" s="980"/>
      <c r="P1301" s="79" t="str">
        <f>IF(AND('331-CT'!$E$7=TH!H1301,OR(N1301="331",O1301="331")),"x","")</f>
        <v/>
      </c>
      <c r="Q1301" s="79" t="str">
        <f>IF(AND(B1301='111'!$L$11,OR($N1301=$Q$7,$O1301=$Q$7)),"x","")</f>
        <v/>
      </c>
      <c r="R1301" s="79" t="str">
        <f>IF(AND($N1301=$Q$7,$B1301&lt;'111'!$L$11),"x","")</f>
        <v/>
      </c>
      <c r="S1301" s="79" t="str">
        <f>IF(AND($O1301=$Q$7,$B1301&lt;'111'!$L$11),"x","")</f>
        <v/>
      </c>
      <c r="T1301" s="79" t="str">
        <f>IF(ISERROR(FIND('112'!$M$9,G1301,1)),"",IF((AND(FIND('112'!$M$9,G1301,1)&gt;=1,B1301='112'!$K$9,OR($N1301='112'!$I$6,$O1301='112'!$I$6))),"x",""))</f>
        <v/>
      </c>
      <c r="U1301" s="79" t="str">
        <f>IF(ISERROR(FIND('112'!$M$9,G1301,1)),"",IF((AND(LEFT(G1301,2)=LEFT('112'!$M$9,2),B1301&lt;'112'!$K$9,$N1301='112'!$I$6)),"x",""))</f>
        <v/>
      </c>
      <c r="V1301" s="79" t="str">
        <f>IF(ISERROR(FIND('112'!$M$9,G1301,1)),"",IF((AND(RIGHT(G1301,2)=RIGHT('112'!$M$9,2),B1301&lt;'112'!$K$9,$O1301='112'!$I$6)),"x",""))</f>
        <v/>
      </c>
      <c r="W1301" s="79" t="str">
        <f>IF(AND('341-CT'!$H$9=H1301,OR(LEFT(N1301,3)=$W$7,LEFT(O1301,3)=$W$7)),"x","")</f>
        <v/>
      </c>
      <c r="X1301" s="79" t="str">
        <f>IF(OR(TH!N1301=TH!$X$7,O1301=TH!$X$7),"x","")</f>
        <v/>
      </c>
      <c r="Y1301" s="79" t="str">
        <f>IF(AND(OR(N1301="131",O1301="131"),H1301='131-CT'!$H$9),"x","")</f>
        <v/>
      </c>
      <c r="Z1301" s="79"/>
      <c r="AA1301" s="79" t="str">
        <f>IF(AND(MONTH(E1301)='IN-NX'!$J$5,'IN-NX'!$D$7=D1301),"x","")</f>
        <v/>
      </c>
      <c r="AB1301" s="79" t="str">
        <f>IF(AND(OR(LEFT(TH!N1301,2)="15",LEFT(TH!O1301,2)="15"),LEFT(TH!O1301,3)&lt;&gt;"111",'152-CT'!$J$8=TH!F1301),"x","")</f>
        <v/>
      </c>
      <c r="AC1301" s="79" t="str">
        <f>IF(AND(OR(LEFT(TH!N1301,2)="15",LEFT(TH!O1301,2)="15"),TK!$E$7=TH!F1301),"x","")</f>
        <v/>
      </c>
      <c r="AD1301" s="79" t="str">
        <f>IF(AND(N1301="1521",MONTH(C1301)='BK-NL'!$M$11),"x","")</f>
        <v/>
      </c>
    </row>
    <row r="1302" spans="1:30" ht="16.5" customHeight="1">
      <c r="A1302" s="318" t="str">
        <f>IF(B1302&lt;&gt;"",IF(AND(B1302='IN-TC'!$S$4,OR(TH!N1302="1111",TH!O1302="1111")),TH!D1302,""),"")</f>
        <v/>
      </c>
      <c r="B1302" s="60" t="str">
        <f t="shared" si="199"/>
        <v/>
      </c>
      <c r="C1302" s="226"/>
      <c r="D1302" s="226"/>
      <c r="E1302" s="226"/>
      <c r="F1302" s="446"/>
      <c r="G1302" s="763"/>
      <c r="H1302" s="321"/>
      <c r="I1302" s="385"/>
      <c r="J1302" s="385"/>
      <c r="K1302" s="385"/>
      <c r="L1302" s="392"/>
      <c r="M1302" s="970"/>
      <c r="N1302" s="980"/>
      <c r="O1302" s="980"/>
      <c r="P1302" s="79" t="str">
        <f>IF(AND('331-CT'!$E$7=TH!H1302,OR(N1302="331",O1302="331")),"x","")</f>
        <v/>
      </c>
      <c r="Q1302" s="79" t="str">
        <f>IF(AND(B1302='111'!$L$11,OR($N1302=$Q$7,$O1302=$Q$7)),"x","")</f>
        <v/>
      </c>
      <c r="R1302" s="79" t="str">
        <f>IF(AND($N1302=$Q$7,$B1302&lt;'111'!$L$11),"x","")</f>
        <v/>
      </c>
      <c r="S1302" s="79" t="str">
        <f>IF(AND($O1302=$Q$7,$B1302&lt;'111'!$L$11),"x","")</f>
        <v/>
      </c>
      <c r="T1302" s="79" t="str">
        <f>IF(ISERROR(FIND('112'!$M$9,G1302,1)),"",IF((AND(FIND('112'!$M$9,G1302,1)&gt;=1,B1302='112'!$K$9,OR($N1302='112'!$I$6,$O1302='112'!$I$6))),"x",""))</f>
        <v/>
      </c>
      <c r="U1302" s="79" t="str">
        <f>IF(ISERROR(FIND('112'!$M$9,G1302,1)),"",IF((AND(LEFT(G1302,2)=LEFT('112'!$M$9,2),B1302&lt;'112'!$K$9,$N1302='112'!$I$6)),"x",""))</f>
        <v/>
      </c>
      <c r="V1302" s="79" t="str">
        <f>IF(ISERROR(FIND('112'!$M$9,G1302,1)),"",IF((AND(RIGHT(G1302,2)=RIGHT('112'!$M$9,2),B1302&lt;'112'!$K$9,$O1302='112'!$I$6)),"x",""))</f>
        <v/>
      </c>
      <c r="W1302" s="79" t="str">
        <f>IF(AND('341-CT'!$H$9=H1302,OR(LEFT(N1302,3)=$W$7,LEFT(O1302,3)=$W$7)),"x","")</f>
        <v/>
      </c>
      <c r="X1302" s="79" t="str">
        <f>IF(OR(TH!N1302=TH!$X$7,O1302=TH!$X$7),"x","")</f>
        <v/>
      </c>
      <c r="Y1302" s="79" t="str">
        <f>IF(AND(OR(N1302="131",O1302="131"),H1302='131-CT'!$H$9),"x","")</f>
        <v/>
      </c>
      <c r="Z1302" s="79"/>
      <c r="AA1302" s="79" t="str">
        <f>IF(AND(MONTH(E1302)='IN-NX'!$J$5,'IN-NX'!$D$7=D1302),"x","")</f>
        <v/>
      </c>
      <c r="AB1302" s="79" t="str">
        <f>IF(AND(OR(LEFT(TH!N1302,2)="15",LEFT(TH!O1302,2)="15"),LEFT(TH!O1302,3)&lt;&gt;"111",'152-CT'!$J$8=TH!F1302),"x","")</f>
        <v/>
      </c>
      <c r="AC1302" s="79" t="str">
        <f>IF(AND(OR(LEFT(TH!N1302,2)="15",LEFT(TH!O1302,2)="15"),TK!$E$7=TH!F1302),"x","")</f>
        <v/>
      </c>
      <c r="AD1302" s="79" t="str">
        <f>IF(AND(N1302="1521",MONTH(C1302)='BK-NL'!$M$11),"x","")</f>
        <v/>
      </c>
    </row>
    <row r="1303" spans="1:30" ht="16.5" customHeight="1">
      <c r="A1303" s="318" t="str">
        <f>IF(B1303&lt;&gt;"",IF(AND(B1303='IN-TC'!$S$4,OR(TH!N1303="1111",TH!O1303="1111")),TH!D1303,""),"")</f>
        <v/>
      </c>
      <c r="B1303" s="60" t="str">
        <f t="shared" si="199"/>
        <v/>
      </c>
      <c r="C1303" s="226"/>
      <c r="D1303" s="226"/>
      <c r="E1303" s="226"/>
      <c r="F1303" s="446"/>
      <c r="G1303" s="763"/>
      <c r="H1303" s="321"/>
      <c r="I1303" s="385"/>
      <c r="J1303" s="385"/>
      <c r="K1303" s="385"/>
      <c r="L1303" s="392"/>
      <c r="M1303" s="970"/>
      <c r="N1303" s="980"/>
      <c r="O1303" s="980"/>
      <c r="P1303" s="79" t="str">
        <f>IF(AND('331-CT'!$E$7=TH!H1303,OR(N1303="331",O1303="331")),"x","")</f>
        <v/>
      </c>
      <c r="Q1303" s="79" t="str">
        <f>IF(AND(B1303='111'!$L$11,OR($N1303=$Q$7,$O1303=$Q$7)),"x","")</f>
        <v/>
      </c>
      <c r="R1303" s="79" t="str">
        <f>IF(AND($N1303=$Q$7,$B1303&lt;'111'!$L$11),"x","")</f>
        <v/>
      </c>
      <c r="S1303" s="79" t="str">
        <f>IF(AND($O1303=$Q$7,$B1303&lt;'111'!$L$11),"x","")</f>
        <v/>
      </c>
      <c r="T1303" s="79" t="str">
        <f>IF(ISERROR(FIND('112'!$M$9,G1303,1)),"",IF((AND(FIND('112'!$M$9,G1303,1)&gt;=1,B1303='112'!$K$9,OR($N1303='112'!$I$6,$O1303='112'!$I$6))),"x",""))</f>
        <v/>
      </c>
      <c r="U1303" s="79" t="str">
        <f>IF(ISERROR(FIND('112'!$M$9,G1303,1)),"",IF((AND(LEFT(G1303,2)=LEFT('112'!$M$9,2),B1303&lt;'112'!$K$9,$N1303='112'!$I$6)),"x",""))</f>
        <v/>
      </c>
      <c r="V1303" s="79" t="str">
        <f>IF(ISERROR(FIND('112'!$M$9,G1303,1)),"",IF((AND(RIGHT(G1303,2)=RIGHT('112'!$M$9,2),B1303&lt;'112'!$K$9,$O1303='112'!$I$6)),"x",""))</f>
        <v/>
      </c>
      <c r="W1303" s="79" t="str">
        <f>IF(AND('341-CT'!$H$9=H1303,OR(LEFT(N1303,3)=$W$7,LEFT(O1303,3)=$W$7)),"x","")</f>
        <v/>
      </c>
      <c r="X1303" s="79" t="str">
        <f>IF(OR(TH!N1303=TH!$X$7,O1303=TH!$X$7),"x","")</f>
        <v/>
      </c>
      <c r="Y1303" s="79" t="str">
        <f>IF(AND(OR(N1303="131",O1303="131"),H1303='131-CT'!$H$9),"x","")</f>
        <v/>
      </c>
      <c r="Z1303" s="79"/>
      <c r="AA1303" s="79" t="str">
        <f>IF(AND(MONTH(E1303)='IN-NX'!$J$5,'IN-NX'!$D$7=D1303),"x","")</f>
        <v/>
      </c>
      <c r="AB1303" s="79" t="str">
        <f>IF(AND(OR(LEFT(TH!N1303,2)="15",LEFT(TH!O1303,2)="15"),LEFT(TH!O1303,3)&lt;&gt;"111",'152-CT'!$J$8=TH!F1303),"x","")</f>
        <v/>
      </c>
      <c r="AC1303" s="79" t="str">
        <f>IF(AND(OR(LEFT(TH!N1303,2)="15",LEFT(TH!O1303,2)="15"),TK!$E$7=TH!F1303),"x","")</f>
        <v/>
      </c>
      <c r="AD1303" s="79" t="str">
        <f>IF(AND(N1303="1521",MONTH(C1303)='BK-NL'!$M$11),"x","")</f>
        <v/>
      </c>
    </row>
    <row r="1304" spans="1:30" s="1102" customFormat="1" ht="16.5" customHeight="1">
      <c r="A1304" s="318" t="str">
        <f>IF(B1304&lt;&gt;"",IF(AND(B1304='IN-TC'!$S$4,OR(TH!N1304="1111",TH!O1304="1111")),TH!D1304,""),"")</f>
        <v/>
      </c>
      <c r="B1304" s="60" t="str">
        <f t="shared" si="199"/>
        <v/>
      </c>
      <c r="C1304" s="226"/>
      <c r="D1304" s="226"/>
      <c r="E1304" s="226"/>
      <c r="F1304" s="1008"/>
      <c r="G1304" s="987"/>
      <c r="H1304" s="997"/>
      <c r="I1304" s="984"/>
      <c r="J1304" s="984"/>
      <c r="K1304" s="984"/>
      <c r="L1304" s="983"/>
      <c r="M1304" s="970"/>
      <c r="N1304" s="980"/>
      <c r="O1304" s="980"/>
      <c r="P1304" s="79" t="str">
        <f>IF(AND('331-CT'!$E$7=TH!H1304,OR(N1304="331",O1304="331")),"x","")</f>
        <v/>
      </c>
      <c r="Q1304" s="79" t="str">
        <f>IF(AND(B1304='111'!$L$11,OR($N1304=$Q$7,$O1304=$Q$7)),"x","")</f>
        <v/>
      </c>
      <c r="R1304" s="79" t="str">
        <f>IF(AND($N1304=$Q$7,$B1304&lt;'111'!$L$11),"x","")</f>
        <v/>
      </c>
      <c r="S1304" s="79" t="str">
        <f>IF(AND($O1304=$Q$7,$B1304&lt;'111'!$L$11),"x","")</f>
        <v/>
      </c>
      <c r="T1304" s="79" t="str">
        <f>IF(ISERROR(FIND('112'!$M$9,G1304,1)),"",IF((AND(FIND('112'!$M$9,G1304,1)&gt;=1,B1304='112'!$K$9,OR($N1304='112'!$I$6,$O1304='112'!$I$6))),"x",""))</f>
        <v/>
      </c>
      <c r="U1304" s="79" t="str">
        <f>IF(ISERROR(FIND('112'!$M$9,G1304,1)),"",IF((AND(LEFT(G1304,2)=LEFT('112'!$M$9,2),B1304&lt;'112'!$K$9,$N1304='112'!$I$6)),"x",""))</f>
        <v/>
      </c>
      <c r="V1304" s="79" t="str">
        <f>IF(ISERROR(FIND('112'!$M$9,G1304,1)),"",IF((AND(RIGHT(G1304,2)=RIGHT('112'!$M$9,2),B1304&lt;'112'!$K$9,$O1304='112'!$I$6)),"x",""))</f>
        <v/>
      </c>
      <c r="W1304" s="79" t="str">
        <f>IF(AND('341-CT'!$H$9=H1304,OR(LEFT(N1304,3)=$W$7,LEFT(O1304,3)=$W$7)),"x","")</f>
        <v/>
      </c>
      <c r="X1304" s="79" t="str">
        <f>IF(OR(TH!N1304=TH!$X$7,O1304=TH!$X$7),"x","")</f>
        <v/>
      </c>
      <c r="Y1304" s="79" t="str">
        <f>IF(AND(OR(N1304="131",O1304="131"),H1304='131-CT'!$H$9),"x","")</f>
        <v/>
      </c>
      <c r="Z1304" s="79"/>
      <c r="AA1304" s="79" t="str">
        <f>IF(AND(MONTH(E1304)='IN-NX'!$J$5,'IN-NX'!$D$7=D1304),"x","")</f>
        <v/>
      </c>
      <c r="AB1304" s="79" t="str">
        <f>IF(AND(OR(LEFT(TH!N1304,2)="15",LEFT(TH!O1304,2)="15"),LEFT(TH!O1304,3)&lt;&gt;"111",'152-CT'!$J$8=TH!F1304),"x","")</f>
        <v/>
      </c>
      <c r="AC1304" s="79" t="str">
        <f>IF(AND(OR(LEFT(TH!N1304,2)="15",LEFT(TH!O1304,2)="15"),TK!$E$7=TH!F1304),"x","")</f>
        <v/>
      </c>
      <c r="AD1304" s="79" t="str">
        <f>IF(AND(N1304="1521",MONTH(C1304)='BK-NL'!$M$11),"x","")</f>
        <v/>
      </c>
    </row>
    <row r="1305" spans="1:30" s="1102" customFormat="1" ht="16.5" customHeight="1">
      <c r="A1305" s="318" t="str">
        <f>IF(B1305&lt;&gt;"",IF(AND(B1305='IN-TC'!$S$4,OR(TH!N1305="1111",TH!O1305="1111")),TH!D1305,""),"")</f>
        <v/>
      </c>
      <c r="B1305" s="60" t="str">
        <f t="shared" si="199"/>
        <v/>
      </c>
      <c r="C1305" s="226"/>
      <c r="D1305" s="226"/>
      <c r="E1305" s="226"/>
      <c r="F1305" s="1008"/>
      <c r="G1305" s="987"/>
      <c r="H1305" s="997"/>
      <c r="I1305" s="984"/>
      <c r="J1305" s="984"/>
      <c r="K1305" s="984"/>
      <c r="L1305" s="983"/>
      <c r="M1305" s="970"/>
      <c r="N1305" s="980"/>
      <c r="O1305" s="980"/>
      <c r="P1305" s="79" t="str">
        <f>IF(AND('331-CT'!$E$7=TH!H1305,OR(N1305="331",O1305="331")),"x","")</f>
        <v/>
      </c>
      <c r="Q1305" s="79" t="str">
        <f>IF(AND(B1305='111'!$L$11,OR($N1305=$Q$7,$O1305=$Q$7)),"x","")</f>
        <v/>
      </c>
      <c r="R1305" s="79" t="str">
        <f>IF(AND($N1305=$Q$7,$B1305&lt;'111'!$L$11),"x","")</f>
        <v/>
      </c>
      <c r="S1305" s="79" t="str">
        <f>IF(AND($O1305=$Q$7,$B1305&lt;'111'!$L$11),"x","")</f>
        <v/>
      </c>
      <c r="T1305" s="79" t="str">
        <f>IF(ISERROR(FIND('112'!$M$9,G1305,1)),"",IF((AND(FIND('112'!$M$9,G1305,1)&gt;=1,B1305='112'!$K$9,OR($N1305='112'!$I$6,$O1305='112'!$I$6))),"x",""))</f>
        <v/>
      </c>
      <c r="U1305" s="79" t="str">
        <f>IF(ISERROR(FIND('112'!$M$9,G1305,1)),"",IF((AND(LEFT(G1305,2)=LEFT('112'!$M$9,2),B1305&lt;'112'!$K$9,$N1305='112'!$I$6)),"x",""))</f>
        <v/>
      </c>
      <c r="V1305" s="79" t="str">
        <f>IF(ISERROR(FIND('112'!$M$9,G1305,1)),"",IF((AND(RIGHT(G1305,2)=RIGHT('112'!$M$9,2),B1305&lt;'112'!$K$9,$O1305='112'!$I$6)),"x",""))</f>
        <v/>
      </c>
      <c r="W1305" s="79" t="str">
        <f>IF(AND('341-CT'!$H$9=H1305,OR(LEFT(N1305,3)=$W$7,LEFT(O1305,3)=$W$7)),"x","")</f>
        <v/>
      </c>
      <c r="X1305" s="79" t="str">
        <f>IF(OR(TH!N1305=TH!$X$7,O1305=TH!$X$7),"x","")</f>
        <v/>
      </c>
      <c r="Y1305" s="79" t="str">
        <f>IF(AND(OR(N1305="131",O1305="131"),H1305='131-CT'!$H$9),"x","")</f>
        <v/>
      </c>
      <c r="Z1305" s="79"/>
      <c r="AA1305" s="79" t="str">
        <f>IF(AND(MONTH(E1305)='IN-NX'!$J$5,'IN-NX'!$D$7=D1305),"x","")</f>
        <v/>
      </c>
      <c r="AB1305" s="79" t="str">
        <f>IF(AND(OR(LEFT(TH!N1305,2)="15",LEFT(TH!O1305,2)="15"),LEFT(TH!O1305,3)&lt;&gt;"111",'152-CT'!$J$8=TH!F1305),"x","")</f>
        <v/>
      </c>
      <c r="AC1305" s="79" t="str">
        <f>IF(AND(OR(LEFT(TH!N1305,2)="15",LEFT(TH!O1305,2)="15"),TK!$E$7=TH!F1305),"x","")</f>
        <v/>
      </c>
      <c r="AD1305" s="79" t="str">
        <f>IF(AND(N1305="1521",MONTH(C1305)='BK-NL'!$M$11),"x","")</f>
        <v/>
      </c>
    </row>
    <row r="1306" spans="1:30" ht="16.5" customHeight="1">
      <c r="A1306" s="318" t="str">
        <f>IF(B1306&lt;&gt;"",IF(AND(B1306='IN-TC'!$S$4,OR(TH!N1306="1111",TH!O1306="1111")),TH!D1306,""),"")</f>
        <v/>
      </c>
      <c r="B1306" s="60" t="str">
        <f t="shared" si="199"/>
        <v/>
      </c>
      <c r="C1306" s="226"/>
      <c r="D1306" s="226"/>
      <c r="E1306" s="226"/>
      <c r="F1306" s="1010"/>
      <c r="G1306" s="763"/>
      <c r="H1306" s="321"/>
      <c r="I1306" s="385"/>
      <c r="J1306" s="385"/>
      <c r="K1306" s="385"/>
      <c r="L1306" s="392"/>
      <c r="M1306" s="970"/>
      <c r="N1306" s="980"/>
      <c r="O1306" s="980"/>
      <c r="P1306" s="79" t="str">
        <f>IF(AND('331-CT'!$E$7=TH!H1306,OR(N1306="331",O1306="331")),"x","")</f>
        <v/>
      </c>
      <c r="Q1306" s="79" t="str">
        <f>IF(AND(B1306='111'!$L$11,OR($N1306=$Q$7,$O1306=$Q$7)),"x","")</f>
        <v/>
      </c>
      <c r="R1306" s="79" t="str">
        <f>IF(AND($N1306=$Q$7,$B1306&lt;'111'!$L$11),"x","")</f>
        <v/>
      </c>
      <c r="S1306" s="79" t="str">
        <f>IF(AND($O1306=$Q$7,$B1306&lt;'111'!$L$11),"x","")</f>
        <v/>
      </c>
      <c r="T1306" s="79" t="str">
        <f>IF(ISERROR(FIND('112'!$M$9,G1306,1)),"",IF((AND(FIND('112'!$M$9,G1306,1)&gt;=1,B1306='112'!$K$9,OR($N1306='112'!$I$6,$O1306='112'!$I$6))),"x",""))</f>
        <v/>
      </c>
      <c r="U1306" s="79" t="str">
        <f>IF(ISERROR(FIND('112'!$M$9,G1306,1)),"",IF((AND(LEFT(G1306,2)=LEFT('112'!$M$9,2),B1306&lt;'112'!$K$9,$N1306='112'!$I$6)),"x",""))</f>
        <v/>
      </c>
      <c r="V1306" s="79" t="str">
        <f>IF(ISERROR(FIND('112'!$M$9,G1306,1)),"",IF((AND(RIGHT(G1306,2)=RIGHT('112'!$M$9,2),B1306&lt;'112'!$K$9,$O1306='112'!$I$6)),"x",""))</f>
        <v/>
      </c>
      <c r="W1306" s="79" t="str">
        <f>IF(AND('341-CT'!$H$9=H1306,OR(LEFT(N1306,3)=$W$7,LEFT(O1306,3)=$W$7)),"x","")</f>
        <v/>
      </c>
      <c r="X1306" s="79" t="str">
        <f>IF(OR(TH!N1306=TH!$X$7,O1306=TH!$X$7),"x","")</f>
        <v/>
      </c>
      <c r="Y1306" s="79" t="str">
        <f>IF(AND(OR(N1306="131",O1306="131"),H1306='131-CT'!$H$9),"x","")</f>
        <v/>
      </c>
      <c r="Z1306" s="79"/>
      <c r="AA1306" s="79" t="str">
        <f>IF(AND(MONTH(E1306)='IN-NX'!$J$5,'IN-NX'!$D$7=D1306),"x","")</f>
        <v/>
      </c>
      <c r="AB1306" s="79" t="str">
        <f>IF(AND(OR(LEFT(TH!N1306,2)="15",LEFT(TH!O1306,2)="15"),LEFT(TH!O1306,3)&lt;&gt;"111",'152-CT'!$J$8=TH!F1306),"x","")</f>
        <v/>
      </c>
      <c r="AC1306" s="79" t="str">
        <f>IF(AND(OR(LEFT(TH!N1306,2)="15",LEFT(TH!O1306,2)="15"),TK!$E$7=TH!F1306),"x","")</f>
        <v/>
      </c>
      <c r="AD1306" s="79" t="str">
        <f>IF(AND(N1306="1521",MONTH(C1306)='BK-NL'!$M$11),"x","")</f>
        <v/>
      </c>
    </row>
    <row r="1307" spans="1:30" s="1102" customFormat="1" ht="16.5" customHeight="1">
      <c r="A1307" s="318" t="str">
        <f>IF(B1307&lt;&gt;"",IF(AND(B1307='IN-TC'!$S$4,OR(TH!N1307="1111",TH!O1307="1111")),TH!D1307,""),"")</f>
        <v/>
      </c>
      <c r="B1307" s="60" t="str">
        <f t="shared" si="199"/>
        <v/>
      </c>
      <c r="C1307" s="226"/>
      <c r="D1307" s="226"/>
      <c r="E1307" s="226"/>
      <c r="F1307" s="1008"/>
      <c r="G1307" s="987"/>
      <c r="H1307" s="997"/>
      <c r="I1307" s="984"/>
      <c r="J1307" s="984"/>
      <c r="K1307" s="984"/>
      <c r="L1307" s="983"/>
      <c r="M1307" s="970"/>
      <c r="N1307" s="980"/>
      <c r="O1307" s="980"/>
      <c r="P1307" s="79" t="str">
        <f>IF(AND('331-CT'!$E$7=TH!H1307,OR(N1307="331",O1307="331")),"x","")</f>
        <v/>
      </c>
      <c r="Q1307" s="79" t="str">
        <f>IF(AND(B1307='111'!$L$11,OR($N1307=$Q$7,$O1307=$Q$7)),"x","")</f>
        <v/>
      </c>
      <c r="R1307" s="79" t="str">
        <f>IF(AND($N1307=$Q$7,$B1307&lt;'111'!$L$11),"x","")</f>
        <v/>
      </c>
      <c r="S1307" s="79" t="str">
        <f>IF(AND($O1307=$Q$7,$B1307&lt;'111'!$L$11),"x","")</f>
        <v/>
      </c>
      <c r="T1307" s="79" t="str">
        <f>IF(ISERROR(FIND('112'!$M$9,G1307,1)),"",IF((AND(FIND('112'!$M$9,G1307,1)&gt;=1,B1307='112'!$K$9,OR($N1307='112'!$I$6,$O1307='112'!$I$6))),"x",""))</f>
        <v/>
      </c>
      <c r="U1307" s="79" t="str">
        <f>IF(ISERROR(FIND('112'!$M$9,G1307,1)),"",IF((AND(LEFT(G1307,2)=LEFT('112'!$M$9,2),B1307&lt;'112'!$K$9,$N1307='112'!$I$6)),"x",""))</f>
        <v/>
      </c>
      <c r="V1307" s="79" t="str">
        <f>IF(ISERROR(FIND('112'!$M$9,G1307,1)),"",IF((AND(RIGHT(G1307,2)=RIGHT('112'!$M$9,2),B1307&lt;'112'!$K$9,$O1307='112'!$I$6)),"x",""))</f>
        <v/>
      </c>
      <c r="W1307" s="79" t="str">
        <f>IF(AND('341-CT'!$H$9=H1307,OR(LEFT(N1307,3)=$W$7,LEFT(O1307,3)=$W$7)),"x","")</f>
        <v/>
      </c>
      <c r="X1307" s="79" t="str">
        <f>IF(OR(TH!N1307=TH!$X$7,O1307=TH!$X$7),"x","")</f>
        <v/>
      </c>
      <c r="Y1307" s="79" t="str">
        <f>IF(AND(OR(N1307="131",O1307="131"),H1307='131-CT'!$H$9),"x","")</f>
        <v/>
      </c>
      <c r="Z1307" s="79"/>
      <c r="AA1307" s="79" t="str">
        <f>IF(AND(MONTH(E1307)='IN-NX'!$J$5,'IN-NX'!$D$7=D1307),"x","")</f>
        <v/>
      </c>
      <c r="AB1307" s="79" t="str">
        <f>IF(AND(OR(LEFT(TH!N1307,2)="15",LEFT(TH!O1307,2)="15"),LEFT(TH!O1307,3)&lt;&gt;"111",'152-CT'!$J$8=TH!F1307),"x","")</f>
        <v/>
      </c>
      <c r="AC1307" s="79" t="str">
        <f>IF(AND(OR(LEFT(TH!N1307,2)="15",LEFT(TH!O1307,2)="15"),TK!$E$7=TH!F1307),"x","")</f>
        <v/>
      </c>
      <c r="AD1307" s="79" t="str">
        <f>IF(AND(N1307="1521",MONTH(C1307)='BK-NL'!$M$11),"x","")</f>
        <v/>
      </c>
    </row>
    <row r="1308" spans="1:30" ht="16.5" customHeight="1">
      <c r="A1308" s="318" t="str">
        <f>IF(B1308&lt;&gt;"",IF(AND(B1308='IN-TC'!$S$4,OR(TH!N1308="1111",TH!O1308="1111")),TH!D1308,""),"")</f>
        <v/>
      </c>
      <c r="B1308" s="60" t="str">
        <f t="shared" si="199"/>
        <v/>
      </c>
      <c r="C1308" s="226"/>
      <c r="D1308" s="226"/>
      <c r="E1308" s="226"/>
      <c r="F1308" s="1010"/>
      <c r="G1308" s="763"/>
      <c r="H1308" s="321"/>
      <c r="I1308" s="385"/>
      <c r="J1308" s="385"/>
      <c r="K1308" s="385"/>
      <c r="L1308" s="392"/>
      <c r="M1308" s="970"/>
      <c r="N1308" s="980"/>
      <c r="O1308" s="980"/>
      <c r="P1308" s="79" t="str">
        <f>IF(AND('331-CT'!$E$7=TH!H1308,OR(N1308="331",O1308="331")),"x","")</f>
        <v/>
      </c>
      <c r="Q1308" s="79" t="str">
        <f>IF(AND(B1308='111'!$L$11,OR($N1308=$Q$7,$O1308=$Q$7)),"x","")</f>
        <v/>
      </c>
      <c r="R1308" s="79" t="str">
        <f>IF(AND($N1308=$Q$7,$B1308&lt;'111'!$L$11),"x","")</f>
        <v/>
      </c>
      <c r="S1308" s="79" t="str">
        <f>IF(AND($O1308=$Q$7,$B1308&lt;'111'!$L$11),"x","")</f>
        <v/>
      </c>
      <c r="T1308" s="79" t="str">
        <f>IF(ISERROR(FIND('112'!$M$9,G1308,1)),"",IF((AND(FIND('112'!$M$9,G1308,1)&gt;=1,B1308='112'!$K$9,OR($N1308='112'!$I$6,$O1308='112'!$I$6))),"x",""))</f>
        <v/>
      </c>
      <c r="U1308" s="79" t="str">
        <f>IF(ISERROR(FIND('112'!$M$9,G1308,1)),"",IF((AND(LEFT(G1308,2)=LEFT('112'!$M$9,2),B1308&lt;'112'!$K$9,$N1308='112'!$I$6)),"x",""))</f>
        <v/>
      </c>
      <c r="V1308" s="79" t="str">
        <f>IF(ISERROR(FIND('112'!$M$9,G1308,1)),"",IF((AND(RIGHT(G1308,2)=RIGHT('112'!$M$9,2),B1308&lt;'112'!$K$9,$O1308='112'!$I$6)),"x",""))</f>
        <v/>
      </c>
      <c r="W1308" s="79" t="str">
        <f>IF(AND('341-CT'!$H$9=H1308,OR(LEFT(N1308,3)=$W$7,LEFT(O1308,3)=$W$7)),"x","")</f>
        <v/>
      </c>
      <c r="X1308" s="79" t="str">
        <f>IF(OR(TH!N1308=TH!$X$7,O1308=TH!$X$7),"x","")</f>
        <v/>
      </c>
      <c r="Y1308" s="79" t="str">
        <f>IF(AND(OR(N1308="131",O1308="131"),H1308='131-CT'!$H$9),"x","")</f>
        <v/>
      </c>
      <c r="Z1308" s="79"/>
      <c r="AA1308" s="79" t="str">
        <f>IF(AND(MONTH(E1308)='IN-NX'!$J$5,'IN-NX'!$D$7=D1308),"x","")</f>
        <v/>
      </c>
      <c r="AB1308" s="79" t="str">
        <f>IF(AND(OR(LEFT(TH!N1308,2)="15",LEFT(TH!O1308,2)="15"),LEFT(TH!O1308,3)&lt;&gt;"111",'152-CT'!$J$8=TH!F1308),"x","")</f>
        <v/>
      </c>
      <c r="AC1308" s="79" t="str">
        <f>IF(AND(OR(LEFT(TH!N1308,2)="15",LEFT(TH!O1308,2)="15"),TK!$E$7=TH!F1308),"x","")</f>
        <v/>
      </c>
      <c r="AD1308" s="79" t="str">
        <f>IF(AND(N1308="1521",MONTH(C1308)='BK-NL'!$M$11),"x","")</f>
        <v/>
      </c>
    </row>
    <row r="1309" spans="1:30" s="1102" customFormat="1" ht="16.5" customHeight="1">
      <c r="A1309" s="318" t="str">
        <f>IF(B1309&lt;&gt;"",IF(AND(B1309='IN-TC'!$S$4,OR(TH!N1309="1111",TH!O1309="1111")),TH!D1309,""),"")</f>
        <v/>
      </c>
      <c r="B1309" s="60" t="str">
        <f t="shared" si="199"/>
        <v/>
      </c>
      <c r="C1309" s="226"/>
      <c r="D1309" s="226"/>
      <c r="E1309" s="226"/>
      <c r="F1309" s="1008"/>
      <c r="G1309" s="987"/>
      <c r="H1309" s="85"/>
      <c r="I1309" s="984"/>
      <c r="J1309" s="984"/>
      <c r="K1309" s="984"/>
      <c r="L1309" s="983"/>
      <c r="M1309" s="970"/>
      <c r="N1309" s="980"/>
      <c r="O1309" s="980"/>
      <c r="P1309" s="79" t="str">
        <f>IF(AND('331-CT'!$E$7=TH!H1309,OR(N1309="331",O1309="331")),"x","")</f>
        <v/>
      </c>
      <c r="Q1309" s="79" t="str">
        <f>IF(AND(B1309='111'!$L$11,OR($N1309=$Q$7,$O1309=$Q$7)),"x","")</f>
        <v/>
      </c>
      <c r="R1309" s="79" t="str">
        <f>IF(AND($N1309=$Q$7,$B1309&lt;'111'!$L$11),"x","")</f>
        <v/>
      </c>
      <c r="S1309" s="79" t="str">
        <f>IF(AND($O1309=$Q$7,$B1309&lt;'111'!$L$11),"x","")</f>
        <v/>
      </c>
      <c r="T1309" s="79" t="str">
        <f>IF(ISERROR(FIND('112'!$M$9,G1309,1)),"",IF((AND(FIND('112'!$M$9,G1309,1)&gt;=1,B1309='112'!$K$9,OR($N1309='112'!$I$6,$O1309='112'!$I$6))),"x",""))</f>
        <v/>
      </c>
      <c r="U1309" s="79" t="str">
        <f>IF(ISERROR(FIND('112'!$M$9,G1309,1)),"",IF((AND(LEFT(G1309,2)=LEFT('112'!$M$9,2),B1309&lt;'112'!$K$9,$N1309='112'!$I$6)),"x",""))</f>
        <v/>
      </c>
      <c r="V1309" s="79" t="str">
        <f>IF(ISERROR(FIND('112'!$M$9,G1309,1)),"",IF((AND(RIGHT(G1309,2)=RIGHT('112'!$M$9,2),B1309&lt;'112'!$K$9,$O1309='112'!$I$6)),"x",""))</f>
        <v/>
      </c>
      <c r="W1309" s="79" t="str">
        <f>IF(AND('341-CT'!$H$9=H1309,OR(LEFT(N1309,3)=$W$7,LEFT(O1309,3)=$W$7)),"x","")</f>
        <v/>
      </c>
      <c r="X1309" s="79" t="str">
        <f>IF(OR(TH!N1309=TH!$X$7,O1309=TH!$X$7),"x","")</f>
        <v/>
      </c>
      <c r="Y1309" s="79" t="str">
        <f>IF(AND(OR(N1309="131",O1309="131"),H1309='131-CT'!$H$9),"x","")</f>
        <v/>
      </c>
      <c r="Z1309" s="79"/>
      <c r="AA1309" s="79" t="str">
        <f>IF(AND(MONTH(E1309)='IN-NX'!$J$5,'IN-NX'!$D$7=D1309),"x","")</f>
        <v/>
      </c>
      <c r="AB1309" s="79" t="str">
        <f>IF(AND(OR(LEFT(TH!N1309,2)="15",LEFT(TH!O1309,2)="15"),LEFT(TH!O1309,3)&lt;&gt;"111",'152-CT'!$J$8=TH!F1309),"x","")</f>
        <v/>
      </c>
      <c r="AC1309" s="79" t="str">
        <f>IF(AND(OR(LEFT(TH!N1309,2)="15",LEFT(TH!O1309,2)="15"),TK!$E$7=TH!F1309),"x","")</f>
        <v/>
      </c>
      <c r="AD1309" s="79" t="str">
        <f>IF(AND(N1309="1521",MONTH(C1309)='BK-NL'!$M$11),"x","")</f>
        <v/>
      </c>
    </row>
    <row r="1310" spans="1:30" s="1102" customFormat="1" ht="16.5" customHeight="1">
      <c r="A1310" s="318" t="str">
        <f>IF(B1310&lt;&gt;"",IF(AND(B1310='IN-TC'!$S$4,OR(TH!N1310="1111",TH!O1310="1111")),TH!D1310,""),"")</f>
        <v/>
      </c>
      <c r="B1310" s="60" t="str">
        <f t="shared" si="199"/>
        <v/>
      </c>
      <c r="C1310" s="226"/>
      <c r="D1310" s="226"/>
      <c r="E1310" s="226"/>
      <c r="F1310" s="1008"/>
      <c r="G1310" s="987"/>
      <c r="H1310" s="85"/>
      <c r="I1310" s="984"/>
      <c r="J1310" s="984"/>
      <c r="K1310" s="984"/>
      <c r="L1310" s="983"/>
      <c r="M1310" s="970"/>
      <c r="N1310" s="980"/>
      <c r="O1310" s="980"/>
      <c r="P1310" s="79" t="str">
        <f>IF(AND('331-CT'!$E$7=TH!H1310,OR(N1310="331",O1310="331")),"x","")</f>
        <v/>
      </c>
      <c r="Q1310" s="79" t="str">
        <f>IF(AND(B1310='111'!$L$11,OR($N1310=$Q$7,$O1310=$Q$7)),"x","")</f>
        <v/>
      </c>
      <c r="R1310" s="79" t="str">
        <f>IF(AND($N1310=$Q$7,$B1310&lt;'111'!$L$11),"x","")</f>
        <v/>
      </c>
      <c r="S1310" s="79" t="str">
        <f>IF(AND($O1310=$Q$7,$B1310&lt;'111'!$L$11),"x","")</f>
        <v/>
      </c>
      <c r="T1310" s="79" t="str">
        <f>IF(ISERROR(FIND('112'!$M$9,G1310,1)),"",IF((AND(FIND('112'!$M$9,G1310,1)&gt;=1,B1310='112'!$K$9,OR($N1310='112'!$I$6,$O1310='112'!$I$6))),"x",""))</f>
        <v/>
      </c>
      <c r="U1310" s="79" t="str">
        <f>IF(ISERROR(FIND('112'!$M$9,G1310,1)),"",IF((AND(LEFT(G1310,2)=LEFT('112'!$M$9,2),B1310&lt;'112'!$K$9,$N1310='112'!$I$6)),"x",""))</f>
        <v/>
      </c>
      <c r="V1310" s="79" t="str">
        <f>IF(ISERROR(FIND('112'!$M$9,G1310,1)),"",IF((AND(RIGHT(G1310,2)=RIGHT('112'!$M$9,2),B1310&lt;'112'!$K$9,$O1310='112'!$I$6)),"x",""))</f>
        <v/>
      </c>
      <c r="W1310" s="79" t="str">
        <f>IF(AND('341-CT'!$H$9=H1310,OR(LEFT(N1310,3)=$W$7,LEFT(O1310,3)=$W$7)),"x","")</f>
        <v/>
      </c>
      <c r="X1310" s="79" t="str">
        <f>IF(OR(TH!N1310=TH!$X$7,O1310=TH!$X$7),"x","")</f>
        <v/>
      </c>
      <c r="Y1310" s="79" t="str">
        <f>IF(AND(OR(N1310="131",O1310="131"),H1310='131-CT'!$H$9),"x","")</f>
        <v/>
      </c>
      <c r="Z1310" s="79"/>
      <c r="AA1310" s="79" t="str">
        <f>IF(AND(MONTH(E1310)='IN-NX'!$J$5,'IN-NX'!$D$7=D1310),"x","")</f>
        <v/>
      </c>
      <c r="AB1310" s="79" t="str">
        <f>IF(AND(OR(LEFT(TH!N1310,2)="15",LEFT(TH!O1310,2)="15"),LEFT(TH!O1310,3)&lt;&gt;"111",'152-CT'!$J$8=TH!F1310),"x","")</f>
        <v/>
      </c>
      <c r="AC1310" s="79" t="str">
        <f>IF(AND(OR(LEFT(TH!N1310,2)="15",LEFT(TH!O1310,2)="15"),TK!$E$7=TH!F1310),"x","")</f>
        <v/>
      </c>
      <c r="AD1310" s="79" t="str">
        <f>IF(AND(N1310="1521",MONTH(C1310)='BK-NL'!$M$11),"x","")</f>
        <v/>
      </c>
    </row>
    <row r="1311" spans="1:30" s="1102" customFormat="1" ht="16.5" customHeight="1">
      <c r="A1311" s="318" t="str">
        <f>IF(B1311&lt;&gt;"",IF(AND(B1311='IN-TC'!$S$4,OR(TH!N1311="1111",TH!O1311="1111")),TH!D1311,""),"")</f>
        <v/>
      </c>
      <c r="B1311" s="60" t="str">
        <f t="shared" si="199"/>
        <v/>
      </c>
      <c r="C1311" s="226"/>
      <c r="D1311" s="226"/>
      <c r="E1311" s="226"/>
      <c r="F1311" s="1008"/>
      <c r="G1311" s="987"/>
      <c r="H1311" s="997"/>
      <c r="I1311" s="984"/>
      <c r="J1311" s="984"/>
      <c r="K1311" s="984"/>
      <c r="L1311" s="983"/>
      <c r="M1311" s="970"/>
      <c r="N1311" s="980"/>
      <c r="O1311" s="980"/>
      <c r="P1311" s="79" t="str">
        <f>IF(AND('331-CT'!$E$7=TH!H1311,OR(N1311="331",O1311="331")),"x","")</f>
        <v/>
      </c>
      <c r="Q1311" s="79" t="str">
        <f>IF(AND(B1311='111'!$L$11,OR($N1311=$Q$7,$O1311=$Q$7)),"x","")</f>
        <v/>
      </c>
      <c r="R1311" s="79" t="str">
        <f>IF(AND($N1311=$Q$7,$B1311&lt;'111'!$L$11),"x","")</f>
        <v/>
      </c>
      <c r="S1311" s="79" t="str">
        <f>IF(AND($O1311=$Q$7,$B1311&lt;'111'!$L$11),"x","")</f>
        <v/>
      </c>
      <c r="T1311" s="79" t="str">
        <f>IF(ISERROR(FIND('112'!$M$9,G1311,1)),"",IF((AND(FIND('112'!$M$9,G1311,1)&gt;=1,B1311='112'!$K$9,OR($N1311='112'!$I$6,$O1311='112'!$I$6))),"x",""))</f>
        <v/>
      </c>
      <c r="U1311" s="79" t="str">
        <f>IF(ISERROR(FIND('112'!$M$9,G1311,1)),"",IF((AND(LEFT(G1311,2)=LEFT('112'!$M$9,2),B1311&lt;'112'!$K$9,$N1311='112'!$I$6)),"x",""))</f>
        <v/>
      </c>
      <c r="V1311" s="79" t="str">
        <f>IF(ISERROR(FIND('112'!$M$9,G1311,1)),"",IF((AND(RIGHT(G1311,2)=RIGHT('112'!$M$9,2),B1311&lt;'112'!$K$9,$O1311='112'!$I$6)),"x",""))</f>
        <v/>
      </c>
      <c r="W1311" s="79" t="str">
        <f>IF(AND('341-CT'!$H$9=H1311,OR(LEFT(N1311,3)=$W$7,LEFT(O1311,3)=$W$7)),"x","")</f>
        <v/>
      </c>
      <c r="X1311" s="79" t="str">
        <f>IF(OR(TH!N1311=TH!$X$7,O1311=TH!$X$7),"x","")</f>
        <v/>
      </c>
      <c r="Y1311" s="79" t="str">
        <f>IF(AND(OR(N1311="131",O1311="131"),H1311='131-CT'!$H$9),"x","")</f>
        <v/>
      </c>
      <c r="Z1311" s="79"/>
      <c r="AA1311" s="79" t="str">
        <f>IF(AND(MONTH(E1311)='IN-NX'!$J$5,'IN-NX'!$D$7=D1311),"x","")</f>
        <v/>
      </c>
      <c r="AB1311" s="79" t="str">
        <f>IF(AND(OR(LEFT(TH!N1311,2)="15",LEFT(TH!O1311,2)="15"),LEFT(TH!O1311,3)&lt;&gt;"111",'152-CT'!$J$8=TH!F1311),"x","")</f>
        <v/>
      </c>
      <c r="AC1311" s="79" t="str">
        <f>IF(AND(OR(LEFT(TH!N1311,2)="15",LEFT(TH!O1311,2)="15"),TK!$E$7=TH!F1311),"x","")</f>
        <v/>
      </c>
      <c r="AD1311" s="79" t="str">
        <f>IF(AND(N1311="1521",MONTH(C1311)='BK-NL'!$M$11),"x","")</f>
        <v/>
      </c>
    </row>
    <row r="1312" spans="1:30" ht="16.5" customHeight="1">
      <c r="A1312" s="318" t="str">
        <f>IF(B1312&lt;&gt;"",IF(AND(B1312='IN-TC'!$S$4,OR(TH!N1312="1111",TH!O1312="1111")),TH!D1312,""),"")</f>
        <v/>
      </c>
      <c r="B1312" s="60" t="str">
        <f t="shared" si="199"/>
        <v/>
      </c>
      <c r="C1312" s="226"/>
      <c r="D1312" s="226"/>
      <c r="E1312" s="226"/>
      <c r="F1312" s="1039"/>
      <c r="G1312" s="763"/>
      <c r="H1312" s="321"/>
      <c r="I1312" s="385"/>
      <c r="J1312" s="385"/>
      <c r="K1312" s="392"/>
      <c r="L1312" s="392"/>
      <c r="M1312" s="970"/>
      <c r="N1312" s="980"/>
      <c r="O1312" s="980"/>
      <c r="P1312" s="79" t="str">
        <f>IF(AND('331-CT'!$E$7=TH!H1312,OR(N1312="331",O1312="331")),"x","")</f>
        <v/>
      </c>
      <c r="Q1312" s="79" t="str">
        <f>IF(AND(B1312='111'!$L$11,OR($N1312=$Q$7,$O1312=$Q$7)),"x","")</f>
        <v/>
      </c>
      <c r="R1312" s="79" t="str">
        <f>IF(AND($N1312=$Q$7,$B1312&lt;'111'!$L$11),"x","")</f>
        <v/>
      </c>
      <c r="S1312" s="79" t="str">
        <f>IF(AND($O1312=$Q$7,$B1312&lt;'111'!$L$11),"x","")</f>
        <v/>
      </c>
      <c r="T1312" s="79" t="str">
        <f>IF(ISERROR(FIND('112'!$M$9,G1312,1)),"",IF((AND(FIND('112'!$M$9,G1312,1)&gt;=1,B1312='112'!$K$9,OR($N1312='112'!$I$6,$O1312='112'!$I$6))),"x",""))</f>
        <v/>
      </c>
      <c r="U1312" s="79" t="str">
        <f>IF(ISERROR(FIND('112'!$M$9,G1312,1)),"",IF((AND(LEFT(G1312,2)=LEFT('112'!$M$9,2),B1312&lt;'112'!$K$9,$N1312='112'!$I$6)),"x",""))</f>
        <v/>
      </c>
      <c r="V1312" s="79" t="str">
        <f>IF(ISERROR(FIND('112'!$M$9,G1312,1)),"",IF((AND(RIGHT(G1312,2)=RIGHT('112'!$M$9,2),B1312&lt;'112'!$K$9,$O1312='112'!$I$6)),"x",""))</f>
        <v/>
      </c>
      <c r="W1312" s="79" t="str">
        <f>IF(AND('341-CT'!$H$9=H1312,OR(LEFT(N1312,3)=$W$7,LEFT(O1312,3)=$W$7)),"x","")</f>
        <v/>
      </c>
      <c r="X1312" s="79" t="str">
        <f>IF(OR(TH!N1312=TH!$X$7,O1312=TH!$X$7),"x","")</f>
        <v/>
      </c>
      <c r="Y1312" s="79" t="str">
        <f>IF(AND(OR(N1312="131",O1312="131"),H1312='131-CT'!$H$9),"x","")</f>
        <v/>
      </c>
      <c r="Z1312" s="79"/>
      <c r="AA1312" s="79" t="str">
        <f>IF(AND(MONTH(E1312)='IN-NX'!$J$5,'IN-NX'!$D$7=D1312),"x","")</f>
        <v/>
      </c>
      <c r="AB1312" s="79" t="str">
        <f>IF(AND(OR(LEFT(TH!N1312,2)="15",LEFT(TH!O1312,2)="15"),LEFT(TH!O1312,3)&lt;&gt;"111",'152-CT'!$J$8=TH!F1312),"x","")</f>
        <v/>
      </c>
      <c r="AC1312" s="79" t="str">
        <f>IF(AND(OR(LEFT(TH!N1312,2)="15",LEFT(TH!O1312,2)="15"),TK!$E$7=TH!F1312),"x","")</f>
        <v/>
      </c>
      <c r="AD1312" s="79" t="str">
        <f>IF(AND(N1312="1521",MONTH(C1312)='BK-NL'!$M$11),"x","")</f>
        <v/>
      </c>
    </row>
    <row r="1313" spans="1:30" ht="16.5" customHeight="1">
      <c r="A1313" s="318" t="str">
        <f>IF(B1313&lt;&gt;"",IF(AND(B1313='IN-TC'!$S$4,OR(TH!N1313="1111",TH!O1313="1111")),TH!D1313,""),"")</f>
        <v/>
      </c>
      <c r="B1313" s="60" t="str">
        <f t="shared" si="199"/>
        <v/>
      </c>
      <c r="C1313" s="226"/>
      <c r="D1313" s="226"/>
      <c r="E1313" s="226"/>
      <c r="F1313" s="1010"/>
      <c r="G1313" s="763"/>
      <c r="H1313" s="321"/>
      <c r="I1313" s="385"/>
      <c r="J1313" s="385"/>
      <c r="K1313" s="392"/>
      <c r="L1313" s="392"/>
      <c r="M1313" s="970"/>
      <c r="N1313" s="980"/>
      <c r="O1313" s="980"/>
      <c r="P1313" s="79" t="str">
        <f>IF(AND('331-CT'!$E$7=TH!H1313,OR(N1313="331",O1313="331")),"x","")</f>
        <v/>
      </c>
      <c r="Q1313" s="79" t="str">
        <f>IF(AND(B1313='111'!$L$11,OR($N1313=$Q$7,$O1313=$Q$7)),"x","")</f>
        <v/>
      </c>
      <c r="R1313" s="79" t="str">
        <f>IF(AND($N1313=$Q$7,$B1313&lt;'111'!$L$11),"x","")</f>
        <v/>
      </c>
      <c r="S1313" s="79" t="str">
        <f>IF(AND($O1313=$Q$7,$B1313&lt;'111'!$L$11),"x","")</f>
        <v/>
      </c>
      <c r="T1313" s="79" t="str">
        <f>IF(ISERROR(FIND('112'!$M$9,G1313,1)),"",IF((AND(FIND('112'!$M$9,G1313,1)&gt;=1,B1313='112'!$K$9,OR($N1313='112'!$I$6,$O1313='112'!$I$6))),"x",""))</f>
        <v/>
      </c>
      <c r="U1313" s="79" t="str">
        <f>IF(ISERROR(FIND('112'!$M$9,G1313,1)),"",IF((AND(LEFT(G1313,2)=LEFT('112'!$M$9,2),B1313&lt;'112'!$K$9,$N1313='112'!$I$6)),"x",""))</f>
        <v/>
      </c>
      <c r="V1313" s="79" t="str">
        <f>IF(ISERROR(FIND('112'!$M$9,G1313,1)),"",IF((AND(RIGHT(G1313,2)=RIGHT('112'!$M$9,2),B1313&lt;'112'!$K$9,$O1313='112'!$I$6)),"x",""))</f>
        <v/>
      </c>
      <c r="W1313" s="79" t="str">
        <f>IF(AND('341-CT'!$H$9=H1313,OR(LEFT(N1313,3)=$W$7,LEFT(O1313,3)=$W$7)),"x","")</f>
        <v/>
      </c>
      <c r="X1313" s="79" t="str">
        <f>IF(OR(TH!N1313=TH!$X$7,O1313=TH!$X$7),"x","")</f>
        <v/>
      </c>
      <c r="Y1313" s="79" t="str">
        <f>IF(AND(OR(N1313="131",O1313="131"),H1313='131-CT'!$H$9),"x","")</f>
        <v/>
      </c>
      <c r="Z1313" s="79"/>
      <c r="AA1313" s="79" t="str">
        <f>IF(AND(MONTH(E1313)='IN-NX'!$J$5,'IN-NX'!$D$7=D1313),"x","")</f>
        <v/>
      </c>
      <c r="AB1313" s="79" t="str">
        <f>IF(AND(OR(LEFT(TH!N1313,2)="15",LEFT(TH!O1313,2)="15"),LEFT(TH!O1313,3)&lt;&gt;"111",'152-CT'!$J$8=TH!F1313),"x","")</f>
        <v/>
      </c>
      <c r="AC1313" s="79" t="str">
        <f>IF(AND(OR(LEFT(TH!N1313,2)="15",LEFT(TH!O1313,2)="15"),TK!$E$7=TH!F1313),"x","")</f>
        <v/>
      </c>
      <c r="AD1313" s="79" t="str">
        <f>IF(AND(N1313="1521",MONTH(C1313)='BK-NL'!$M$11),"x","")</f>
        <v/>
      </c>
    </row>
    <row r="1314" spans="1:30" ht="16.5" customHeight="1">
      <c r="A1314" s="318" t="str">
        <f>IF(B1314&lt;&gt;"",IF(AND(B1314='IN-TC'!$S$4,OR(TH!N1314="1111",TH!O1314="1111")),TH!D1314,""),"")</f>
        <v/>
      </c>
      <c r="B1314" s="60" t="str">
        <f t="shared" si="199"/>
        <v/>
      </c>
      <c r="C1314" s="226"/>
      <c r="D1314" s="226"/>
      <c r="E1314" s="226"/>
      <c r="F1314" s="446"/>
      <c r="G1314" s="763"/>
      <c r="H1314" s="321"/>
      <c r="I1314" s="385"/>
      <c r="J1314" s="385"/>
      <c r="K1314" s="392"/>
      <c r="L1314" s="392"/>
      <c r="M1314" s="970"/>
      <c r="N1314" s="980"/>
      <c r="O1314" s="980"/>
      <c r="P1314" s="79" t="str">
        <f>IF(AND('331-CT'!$E$7=TH!H1314,OR(N1314="331",O1314="331")),"x","")</f>
        <v/>
      </c>
      <c r="Q1314" s="79" t="str">
        <f>IF(AND(B1314='111'!$L$11,OR($N1314=$Q$7,$O1314=$Q$7)),"x","")</f>
        <v/>
      </c>
      <c r="R1314" s="79" t="str">
        <f>IF(AND($N1314=$Q$7,$B1314&lt;'111'!$L$11),"x","")</f>
        <v/>
      </c>
      <c r="S1314" s="79" t="str">
        <f>IF(AND($O1314=$Q$7,$B1314&lt;'111'!$L$11),"x","")</f>
        <v/>
      </c>
      <c r="T1314" s="79" t="str">
        <f>IF(ISERROR(FIND('112'!$M$9,G1314,1)),"",IF((AND(FIND('112'!$M$9,G1314,1)&gt;=1,B1314='112'!$K$9,OR($N1314='112'!$I$6,$O1314='112'!$I$6))),"x",""))</f>
        <v/>
      </c>
      <c r="U1314" s="79" t="str">
        <f>IF(ISERROR(FIND('112'!$M$9,G1314,1)),"",IF((AND(LEFT(G1314,2)=LEFT('112'!$M$9,2),B1314&lt;'112'!$K$9,$N1314='112'!$I$6)),"x",""))</f>
        <v/>
      </c>
      <c r="V1314" s="79" t="str">
        <f>IF(ISERROR(FIND('112'!$M$9,G1314,1)),"",IF((AND(RIGHT(G1314,2)=RIGHT('112'!$M$9,2),B1314&lt;'112'!$K$9,$O1314='112'!$I$6)),"x",""))</f>
        <v/>
      </c>
      <c r="W1314" s="79" t="str">
        <f>IF(AND('341-CT'!$H$9=H1314,OR(LEFT(N1314,3)=$W$7,LEFT(O1314,3)=$W$7)),"x","")</f>
        <v/>
      </c>
      <c r="X1314" s="79" t="str">
        <f>IF(OR(TH!N1314=TH!$X$7,O1314=TH!$X$7),"x","")</f>
        <v/>
      </c>
      <c r="Y1314" s="79" t="str">
        <f>IF(AND(OR(N1314="131",O1314="131"),H1314='131-CT'!$H$9),"x","")</f>
        <v/>
      </c>
      <c r="Z1314" s="79"/>
      <c r="AA1314" s="79" t="str">
        <f>IF(AND(MONTH(E1314)='IN-NX'!$J$5,'IN-NX'!$D$7=D1314),"x","")</f>
        <v/>
      </c>
      <c r="AB1314" s="79" t="str">
        <f>IF(AND(OR(LEFT(TH!N1314,2)="15",LEFT(TH!O1314,2)="15"),LEFT(TH!O1314,3)&lt;&gt;"111",'152-CT'!$J$8=TH!F1314),"x","")</f>
        <v/>
      </c>
      <c r="AC1314" s="79" t="str">
        <f>IF(AND(OR(LEFT(TH!N1314,2)="15",LEFT(TH!O1314,2)="15"),TK!$E$7=TH!F1314),"x","")</f>
        <v/>
      </c>
      <c r="AD1314" s="79" t="str">
        <f>IF(AND(N1314="1521",MONTH(C1314)='BK-NL'!$M$11),"x","")</f>
        <v/>
      </c>
    </row>
    <row r="1315" spans="1:30" s="1102" customFormat="1" ht="16.5" customHeight="1">
      <c r="A1315" s="318" t="str">
        <f>IF(B1315&lt;&gt;"",IF(AND(B1315='IN-TC'!$S$4,OR(TH!N1315="1111",TH!O1315="1111")),TH!D1315,""),"")</f>
        <v/>
      </c>
      <c r="B1315" s="60" t="str">
        <f t="shared" si="199"/>
        <v/>
      </c>
      <c r="C1315" s="226"/>
      <c r="D1315" s="226"/>
      <c r="E1315" s="226"/>
      <c r="F1315" s="1008"/>
      <c r="G1315" s="987"/>
      <c r="H1315" s="85"/>
      <c r="I1315" s="984"/>
      <c r="J1315" s="984"/>
      <c r="K1315" s="984"/>
      <c r="L1315" s="983"/>
      <c r="M1315" s="970"/>
      <c r="N1315" s="980"/>
      <c r="O1315" s="980"/>
      <c r="P1315" s="79" t="str">
        <f>IF(AND('331-CT'!$E$7=TH!H1315,OR(N1315="331",O1315="331")),"x","")</f>
        <v/>
      </c>
      <c r="Q1315" s="79" t="str">
        <f>IF(AND(B1315='111'!$L$11,OR($N1315=$Q$7,$O1315=$Q$7)),"x","")</f>
        <v/>
      </c>
      <c r="R1315" s="79" t="str">
        <f>IF(AND($N1315=$Q$7,$B1315&lt;'111'!$L$11),"x","")</f>
        <v/>
      </c>
      <c r="S1315" s="79" t="str">
        <f>IF(AND($O1315=$Q$7,$B1315&lt;'111'!$L$11),"x","")</f>
        <v/>
      </c>
      <c r="T1315" s="79" t="str">
        <f>IF(ISERROR(FIND('112'!$M$9,G1315,1)),"",IF((AND(FIND('112'!$M$9,G1315,1)&gt;=1,B1315='112'!$K$9,OR($N1315='112'!$I$6,$O1315='112'!$I$6))),"x",""))</f>
        <v/>
      </c>
      <c r="U1315" s="79" t="str">
        <f>IF(ISERROR(FIND('112'!$M$9,G1315,1)),"",IF((AND(LEFT(G1315,2)=LEFT('112'!$M$9,2),B1315&lt;'112'!$K$9,$N1315='112'!$I$6)),"x",""))</f>
        <v/>
      </c>
      <c r="V1315" s="79" t="str">
        <f>IF(ISERROR(FIND('112'!$M$9,G1315,1)),"",IF((AND(RIGHT(G1315,2)=RIGHT('112'!$M$9,2),B1315&lt;'112'!$K$9,$O1315='112'!$I$6)),"x",""))</f>
        <v/>
      </c>
      <c r="W1315" s="79" t="str">
        <f>IF(AND('341-CT'!$H$9=H1315,OR(LEFT(N1315,3)=$W$7,LEFT(O1315,3)=$W$7)),"x","")</f>
        <v/>
      </c>
      <c r="X1315" s="79" t="str">
        <f>IF(OR(TH!N1315=TH!$X$7,O1315=TH!$X$7),"x","")</f>
        <v/>
      </c>
      <c r="Y1315" s="79" t="str">
        <f>IF(AND(OR(N1315="131",O1315="131"),H1315='131-CT'!$H$9),"x","")</f>
        <v/>
      </c>
      <c r="Z1315" s="79"/>
      <c r="AA1315" s="79" t="str">
        <f>IF(AND(MONTH(E1315)='IN-NX'!$J$5,'IN-NX'!$D$7=D1315),"x","")</f>
        <v/>
      </c>
      <c r="AB1315" s="79" t="str">
        <f>IF(AND(OR(LEFT(TH!N1315,2)="15",LEFT(TH!O1315,2)="15"),LEFT(TH!O1315,3)&lt;&gt;"111",'152-CT'!$J$8=TH!F1315),"x","")</f>
        <v/>
      </c>
      <c r="AC1315" s="79" t="str">
        <f>IF(AND(OR(LEFT(TH!N1315,2)="15",LEFT(TH!O1315,2)="15"),TK!$E$7=TH!F1315),"x","")</f>
        <v/>
      </c>
      <c r="AD1315" s="79" t="str">
        <f>IF(AND(N1315="1521",MONTH(C1315)='BK-NL'!$M$11),"x","")</f>
        <v/>
      </c>
    </row>
    <row r="1316" spans="1:30" s="1102" customFormat="1" ht="16.5" customHeight="1">
      <c r="A1316" s="318" t="str">
        <f>IF(B1316&lt;&gt;"",IF(AND(B1316='IN-TC'!$S$4,OR(TH!N1316="1111",TH!O1316="1111")),TH!D1316,""),"")</f>
        <v/>
      </c>
      <c r="B1316" s="60" t="str">
        <f t="shared" si="199"/>
        <v/>
      </c>
      <c r="C1316" s="226"/>
      <c r="D1316" s="226"/>
      <c r="E1316" s="226"/>
      <c r="F1316" s="1008"/>
      <c r="G1316" s="987"/>
      <c r="H1316" s="997"/>
      <c r="I1316" s="984"/>
      <c r="J1316" s="984"/>
      <c r="K1316" s="984"/>
      <c r="L1316" s="983"/>
      <c r="M1316" s="970"/>
      <c r="N1316" s="980"/>
      <c r="O1316" s="980"/>
      <c r="P1316" s="79" t="str">
        <f>IF(AND('331-CT'!$E$7=TH!H1316,OR(N1316="331",O1316="331")),"x","")</f>
        <v/>
      </c>
      <c r="Q1316" s="79" t="str">
        <f>IF(AND(B1316='111'!$L$11,OR($N1316=$Q$7,$O1316=$Q$7)),"x","")</f>
        <v/>
      </c>
      <c r="R1316" s="79" t="str">
        <f>IF(AND($N1316=$Q$7,$B1316&lt;'111'!$L$11),"x","")</f>
        <v/>
      </c>
      <c r="S1316" s="79" t="str">
        <f>IF(AND($O1316=$Q$7,$B1316&lt;'111'!$L$11),"x","")</f>
        <v/>
      </c>
      <c r="T1316" s="79" t="str">
        <f>IF(ISERROR(FIND('112'!$M$9,G1316,1)),"",IF((AND(FIND('112'!$M$9,G1316,1)&gt;=1,B1316='112'!$K$9,OR($N1316='112'!$I$6,$O1316='112'!$I$6))),"x",""))</f>
        <v/>
      </c>
      <c r="U1316" s="79" t="str">
        <f>IF(ISERROR(FIND('112'!$M$9,G1316,1)),"",IF((AND(LEFT(G1316,2)=LEFT('112'!$M$9,2),B1316&lt;'112'!$K$9,$N1316='112'!$I$6)),"x",""))</f>
        <v/>
      </c>
      <c r="V1316" s="79" t="str">
        <f>IF(ISERROR(FIND('112'!$M$9,G1316,1)),"",IF((AND(RIGHT(G1316,2)=RIGHT('112'!$M$9,2),B1316&lt;'112'!$K$9,$O1316='112'!$I$6)),"x",""))</f>
        <v/>
      </c>
      <c r="W1316" s="79" t="str">
        <f>IF(AND('341-CT'!$H$9=H1316,OR(LEFT(N1316,3)=$W$7,LEFT(O1316,3)=$W$7)),"x","")</f>
        <v/>
      </c>
      <c r="X1316" s="79" t="str">
        <f>IF(OR(TH!N1316=TH!$X$7,O1316=TH!$X$7),"x","")</f>
        <v/>
      </c>
      <c r="Y1316" s="79" t="str">
        <f>IF(AND(OR(N1316="131",O1316="131"),H1316='131-CT'!$H$9),"x","")</f>
        <v/>
      </c>
      <c r="Z1316" s="79"/>
      <c r="AA1316" s="79" t="str">
        <f>IF(AND(MONTH(E1316)='IN-NX'!$J$5,'IN-NX'!$D$7=D1316),"x","")</f>
        <v/>
      </c>
      <c r="AB1316" s="79" t="str">
        <f>IF(AND(OR(LEFT(TH!N1316,2)="15",LEFT(TH!O1316,2)="15"),LEFT(TH!O1316,3)&lt;&gt;"111",'152-CT'!$J$8=TH!F1316),"x","")</f>
        <v/>
      </c>
      <c r="AC1316" s="79" t="str">
        <f>IF(AND(OR(LEFT(TH!N1316,2)="15",LEFT(TH!O1316,2)="15"),TK!$E$7=TH!F1316),"x","")</f>
        <v/>
      </c>
      <c r="AD1316" s="79" t="str">
        <f>IF(AND(N1316="1521",MONTH(C1316)='BK-NL'!$M$11),"x","")</f>
        <v/>
      </c>
    </row>
    <row r="1317" spans="1:30" ht="16.5" customHeight="1">
      <c r="A1317" s="318" t="str">
        <f>IF(B1317&lt;&gt;"",IF(AND(B1317='IN-TC'!$S$4,OR(TH!N1317="1111",TH!O1317="1111")),TH!D1317,""),"")</f>
        <v/>
      </c>
      <c r="B1317" s="60" t="str">
        <f t="shared" si="199"/>
        <v/>
      </c>
      <c r="C1317" s="226"/>
      <c r="D1317" s="226"/>
      <c r="E1317" s="226"/>
      <c r="F1317" s="1010"/>
      <c r="G1317" s="763"/>
      <c r="H1317" s="321"/>
      <c r="I1317" s="385"/>
      <c r="J1317" s="385"/>
      <c r="K1317" s="385"/>
      <c r="L1317" s="392"/>
      <c r="M1317" s="970"/>
      <c r="N1317" s="980"/>
      <c r="O1317" s="980"/>
      <c r="P1317" s="79" t="str">
        <f>IF(AND('331-CT'!$E$7=TH!H1317,OR(N1317="331",O1317="331")),"x","")</f>
        <v/>
      </c>
      <c r="Q1317" s="79" t="str">
        <f>IF(AND(B1317='111'!$L$11,OR($N1317=$Q$7,$O1317=$Q$7)),"x","")</f>
        <v/>
      </c>
      <c r="R1317" s="79" t="str">
        <f>IF(AND($N1317=$Q$7,$B1317&lt;'111'!$L$11),"x","")</f>
        <v/>
      </c>
      <c r="S1317" s="79" t="str">
        <f>IF(AND($O1317=$Q$7,$B1317&lt;'111'!$L$11),"x","")</f>
        <v/>
      </c>
      <c r="T1317" s="79" t="str">
        <f>IF(ISERROR(FIND('112'!$M$9,G1317,1)),"",IF((AND(FIND('112'!$M$9,G1317,1)&gt;=1,B1317='112'!$K$9,OR($N1317='112'!$I$6,$O1317='112'!$I$6))),"x",""))</f>
        <v/>
      </c>
      <c r="U1317" s="79" t="str">
        <f>IF(ISERROR(FIND('112'!$M$9,G1317,1)),"",IF((AND(LEFT(G1317,2)=LEFT('112'!$M$9,2),B1317&lt;'112'!$K$9,$N1317='112'!$I$6)),"x",""))</f>
        <v/>
      </c>
      <c r="V1317" s="79" t="str">
        <f>IF(ISERROR(FIND('112'!$M$9,G1317,1)),"",IF((AND(RIGHT(G1317,2)=RIGHT('112'!$M$9,2),B1317&lt;'112'!$K$9,$O1317='112'!$I$6)),"x",""))</f>
        <v/>
      </c>
      <c r="W1317" s="79" t="str">
        <f>IF(AND('341-CT'!$H$9=H1317,OR(LEFT(N1317,3)=$W$7,LEFT(O1317,3)=$W$7)),"x","")</f>
        <v/>
      </c>
      <c r="X1317" s="79" t="str">
        <f>IF(OR(TH!N1317=TH!$X$7,O1317=TH!$X$7),"x","")</f>
        <v/>
      </c>
      <c r="Y1317" s="79" t="str">
        <f>IF(AND(OR(N1317="131",O1317="131"),H1317='131-CT'!$H$9),"x","")</f>
        <v/>
      </c>
      <c r="Z1317" s="79"/>
      <c r="AA1317" s="79" t="str">
        <f>IF(AND(MONTH(E1317)='IN-NX'!$J$5,'IN-NX'!$D$7=D1317),"x","")</f>
        <v/>
      </c>
      <c r="AB1317" s="79" t="str">
        <f>IF(AND(OR(LEFT(TH!N1317,2)="15",LEFT(TH!O1317,2)="15"),LEFT(TH!O1317,3)&lt;&gt;"111",'152-CT'!$J$8=TH!F1317),"x","")</f>
        <v/>
      </c>
      <c r="AC1317" s="79" t="str">
        <f>IF(AND(OR(LEFT(TH!N1317,2)="15",LEFT(TH!O1317,2)="15"),TK!$E$7=TH!F1317),"x","")</f>
        <v/>
      </c>
      <c r="AD1317" s="79" t="str">
        <f>IF(AND(N1317="1521",MONTH(C1317)='BK-NL'!$M$11),"x","")</f>
        <v/>
      </c>
    </row>
    <row r="1318" spans="1:30" ht="16.5" customHeight="1">
      <c r="A1318" s="318" t="str">
        <f>IF(B1318&lt;&gt;"",IF(AND(B1318='IN-TC'!$S$4,OR(TH!N1318="1111",TH!O1318="1111")),TH!D1318,""),"")</f>
        <v/>
      </c>
      <c r="B1318" s="60" t="str">
        <f t="shared" si="199"/>
        <v/>
      </c>
      <c r="C1318" s="226"/>
      <c r="D1318" s="226"/>
      <c r="E1318" s="226"/>
      <c r="F1318" s="1010"/>
      <c r="G1318" s="763"/>
      <c r="H1318" s="321"/>
      <c r="I1318" s="385"/>
      <c r="J1318" s="385"/>
      <c r="K1318" s="385"/>
      <c r="L1318" s="392"/>
      <c r="M1318" s="970"/>
      <c r="N1318" s="980"/>
      <c r="O1318" s="980"/>
      <c r="P1318" s="79" t="str">
        <f>IF(AND('331-CT'!$E$7=TH!H1318,OR(N1318="331",O1318="331")),"x","")</f>
        <v/>
      </c>
      <c r="Q1318" s="79" t="str">
        <f>IF(AND(B1318='111'!$L$11,OR($N1318=$Q$7,$O1318=$Q$7)),"x","")</f>
        <v/>
      </c>
      <c r="R1318" s="79" t="str">
        <f>IF(AND($N1318=$Q$7,$B1318&lt;'111'!$L$11),"x","")</f>
        <v/>
      </c>
      <c r="S1318" s="79" t="str">
        <f>IF(AND($O1318=$Q$7,$B1318&lt;'111'!$L$11),"x","")</f>
        <v/>
      </c>
      <c r="T1318" s="79" t="str">
        <f>IF(ISERROR(FIND('112'!$M$9,G1318,1)),"",IF((AND(FIND('112'!$M$9,G1318,1)&gt;=1,B1318='112'!$K$9,OR($N1318='112'!$I$6,$O1318='112'!$I$6))),"x",""))</f>
        <v/>
      </c>
      <c r="U1318" s="79" t="str">
        <f>IF(ISERROR(FIND('112'!$M$9,G1318,1)),"",IF((AND(LEFT(G1318,2)=LEFT('112'!$M$9,2),B1318&lt;'112'!$K$9,$N1318='112'!$I$6)),"x",""))</f>
        <v/>
      </c>
      <c r="V1318" s="79" t="str">
        <f>IF(ISERROR(FIND('112'!$M$9,G1318,1)),"",IF((AND(RIGHT(G1318,2)=RIGHT('112'!$M$9,2),B1318&lt;'112'!$K$9,$O1318='112'!$I$6)),"x",""))</f>
        <v/>
      </c>
      <c r="W1318" s="79" t="str">
        <f>IF(AND('341-CT'!$H$9=H1318,OR(LEFT(N1318,3)=$W$7,LEFT(O1318,3)=$W$7)),"x","")</f>
        <v/>
      </c>
      <c r="X1318" s="79" t="str">
        <f>IF(OR(TH!N1318=TH!$X$7,O1318=TH!$X$7),"x","")</f>
        <v/>
      </c>
      <c r="Y1318" s="79" t="str">
        <f>IF(AND(OR(N1318="131",O1318="131"),H1318='131-CT'!$H$9),"x","")</f>
        <v/>
      </c>
      <c r="Z1318" s="79"/>
      <c r="AA1318" s="79" t="str">
        <f>IF(AND(MONTH(E1318)='IN-NX'!$J$5,'IN-NX'!$D$7=D1318),"x","")</f>
        <v/>
      </c>
      <c r="AB1318" s="79" t="str">
        <f>IF(AND(OR(LEFT(TH!N1318,2)="15",LEFT(TH!O1318,2)="15"),LEFT(TH!O1318,3)&lt;&gt;"111",'152-CT'!$J$8=TH!F1318),"x","")</f>
        <v/>
      </c>
      <c r="AC1318" s="79" t="str">
        <f>IF(AND(OR(LEFT(TH!N1318,2)="15",LEFT(TH!O1318,2)="15"),TK!$E$7=TH!F1318),"x","")</f>
        <v/>
      </c>
      <c r="AD1318" s="79" t="str">
        <f>IF(AND(N1318="1521",MONTH(C1318)='BK-NL'!$M$11),"x","")</f>
        <v/>
      </c>
    </row>
    <row r="1319" spans="1:30" ht="16.5" customHeight="1">
      <c r="A1319" s="318" t="str">
        <f>IF(B1319&lt;&gt;"",IF(AND(B1319='IN-TC'!$S$4,OR(TH!N1319="1111",TH!O1319="1111")),TH!D1319,""),"")</f>
        <v/>
      </c>
      <c r="B1319" s="60" t="str">
        <f t="shared" si="199"/>
        <v/>
      </c>
      <c r="C1319" s="226"/>
      <c r="D1319" s="226"/>
      <c r="E1319" s="226"/>
      <c r="F1319" s="1010"/>
      <c r="G1319" s="763"/>
      <c r="H1319" s="321"/>
      <c r="I1319" s="385"/>
      <c r="J1319" s="385"/>
      <c r="K1319" s="385"/>
      <c r="L1319" s="392"/>
      <c r="M1319" s="970"/>
      <c r="N1319" s="980"/>
      <c r="O1319" s="980"/>
      <c r="P1319" s="79" t="str">
        <f>IF(AND('331-CT'!$E$7=TH!H1319,OR(N1319="331",O1319="331")),"x","")</f>
        <v/>
      </c>
      <c r="Q1319" s="79" t="str">
        <f>IF(AND(B1319='111'!$L$11,OR($N1319=$Q$7,$O1319=$Q$7)),"x","")</f>
        <v/>
      </c>
      <c r="R1319" s="79" t="str">
        <f>IF(AND($N1319=$Q$7,$B1319&lt;'111'!$L$11),"x","")</f>
        <v/>
      </c>
      <c r="S1319" s="79" t="str">
        <f>IF(AND($O1319=$Q$7,$B1319&lt;'111'!$L$11),"x","")</f>
        <v/>
      </c>
      <c r="T1319" s="79" t="str">
        <f>IF(ISERROR(FIND('112'!$M$9,G1319,1)),"",IF((AND(FIND('112'!$M$9,G1319,1)&gt;=1,B1319='112'!$K$9,OR($N1319='112'!$I$6,$O1319='112'!$I$6))),"x",""))</f>
        <v/>
      </c>
      <c r="U1319" s="79" t="str">
        <f>IF(ISERROR(FIND('112'!$M$9,G1319,1)),"",IF((AND(LEFT(G1319,2)=LEFT('112'!$M$9,2),B1319&lt;'112'!$K$9,$N1319='112'!$I$6)),"x",""))</f>
        <v/>
      </c>
      <c r="V1319" s="79" t="str">
        <f>IF(ISERROR(FIND('112'!$M$9,G1319,1)),"",IF((AND(RIGHT(G1319,2)=RIGHT('112'!$M$9,2),B1319&lt;'112'!$K$9,$O1319='112'!$I$6)),"x",""))</f>
        <v/>
      </c>
      <c r="W1319" s="79" t="str">
        <f>IF(AND('341-CT'!$H$9=H1319,OR(LEFT(N1319,3)=$W$7,LEFT(O1319,3)=$W$7)),"x","")</f>
        <v/>
      </c>
      <c r="X1319" s="79" t="str">
        <f>IF(OR(TH!N1319=TH!$X$7,O1319=TH!$X$7),"x","")</f>
        <v/>
      </c>
      <c r="Y1319" s="79" t="str">
        <f>IF(AND(OR(N1319="131",O1319="131"),H1319='131-CT'!$H$9),"x","")</f>
        <v/>
      </c>
      <c r="Z1319" s="79"/>
      <c r="AA1319" s="79" t="str">
        <f>IF(AND(MONTH(E1319)='IN-NX'!$J$5,'IN-NX'!$D$7=D1319),"x","")</f>
        <v/>
      </c>
      <c r="AB1319" s="79" t="str">
        <f>IF(AND(OR(LEFT(TH!N1319,2)="15",LEFT(TH!O1319,2)="15"),LEFT(TH!O1319,3)&lt;&gt;"111",'152-CT'!$J$8=TH!F1319),"x","")</f>
        <v/>
      </c>
      <c r="AC1319" s="79" t="str">
        <f>IF(AND(OR(LEFT(TH!N1319,2)="15",LEFT(TH!O1319,2)="15"),TK!$E$7=TH!F1319),"x","")</f>
        <v/>
      </c>
      <c r="AD1319" s="79" t="str">
        <f>IF(AND(N1319="1521",MONTH(C1319)='BK-NL'!$M$11),"x","")</f>
        <v/>
      </c>
    </row>
    <row r="1320" spans="1:30" ht="16.5" customHeight="1">
      <c r="A1320" s="318" t="str">
        <f>IF(B1320&lt;&gt;"",IF(AND(B1320='IN-TC'!$S$4,OR(TH!N1320="1111",TH!O1320="1111")),TH!D1320,""),"")</f>
        <v/>
      </c>
      <c r="B1320" s="60" t="str">
        <f t="shared" si="199"/>
        <v/>
      </c>
      <c r="C1320" s="226"/>
      <c r="D1320" s="226"/>
      <c r="E1320" s="226"/>
      <c r="F1320" s="1010"/>
      <c r="G1320" s="763"/>
      <c r="H1320" s="69"/>
      <c r="I1320" s="385"/>
      <c r="J1320" s="385"/>
      <c r="K1320" s="385"/>
      <c r="L1320" s="392"/>
      <c r="M1320" s="970"/>
      <c r="N1320" s="980"/>
      <c r="O1320" s="980"/>
      <c r="P1320" s="79" t="str">
        <f>IF(AND('331-CT'!$E$7=TH!H1320,OR(N1320="331",O1320="331")),"x","")</f>
        <v/>
      </c>
      <c r="Q1320" s="79" t="str">
        <f>IF(AND(B1320='111'!$L$11,OR($N1320=$Q$7,$O1320=$Q$7)),"x","")</f>
        <v/>
      </c>
      <c r="R1320" s="79" t="str">
        <f>IF(AND($N1320=$Q$7,$B1320&lt;'111'!$L$11),"x","")</f>
        <v/>
      </c>
      <c r="S1320" s="79" t="str">
        <f>IF(AND($O1320=$Q$7,$B1320&lt;'111'!$L$11),"x","")</f>
        <v/>
      </c>
      <c r="T1320" s="79" t="str">
        <f>IF(ISERROR(FIND('112'!$M$9,G1320,1)),"",IF((AND(FIND('112'!$M$9,G1320,1)&gt;=1,B1320='112'!$K$9,OR($N1320='112'!$I$6,$O1320='112'!$I$6))),"x",""))</f>
        <v/>
      </c>
      <c r="U1320" s="79" t="str">
        <f>IF(ISERROR(FIND('112'!$M$9,G1320,1)),"",IF((AND(LEFT(G1320,2)=LEFT('112'!$M$9,2),B1320&lt;'112'!$K$9,$N1320='112'!$I$6)),"x",""))</f>
        <v/>
      </c>
      <c r="V1320" s="79" t="str">
        <f>IF(ISERROR(FIND('112'!$M$9,G1320,1)),"",IF((AND(RIGHT(G1320,2)=RIGHT('112'!$M$9,2),B1320&lt;'112'!$K$9,$O1320='112'!$I$6)),"x",""))</f>
        <v/>
      </c>
      <c r="W1320" s="79" t="str">
        <f>IF(AND('341-CT'!$H$9=H1320,OR(LEFT(N1320,3)=$W$7,LEFT(O1320,3)=$W$7)),"x","")</f>
        <v/>
      </c>
      <c r="X1320" s="79" t="str">
        <f>IF(OR(TH!N1320=TH!$X$7,O1320=TH!$X$7),"x","")</f>
        <v/>
      </c>
      <c r="Y1320" s="79" t="str">
        <f>IF(AND(OR(N1320="131",O1320="131"),H1320='131-CT'!$H$9),"x","")</f>
        <v/>
      </c>
      <c r="Z1320" s="79"/>
      <c r="AA1320" s="79" t="str">
        <f>IF(AND(MONTH(E1320)='IN-NX'!$J$5,'IN-NX'!$D$7=D1320),"x","")</f>
        <v/>
      </c>
      <c r="AB1320" s="79" t="str">
        <f>IF(AND(OR(LEFT(TH!N1320,2)="15",LEFT(TH!O1320,2)="15"),LEFT(TH!O1320,3)&lt;&gt;"111",'152-CT'!$J$8=TH!F1320),"x","")</f>
        <v/>
      </c>
      <c r="AC1320" s="79" t="str">
        <f>IF(AND(OR(LEFT(TH!N1320,2)="15",LEFT(TH!O1320,2)="15"),TK!$E$7=TH!F1320),"x","")</f>
        <v/>
      </c>
      <c r="AD1320" s="79" t="str">
        <f>IF(AND(N1320="1521",MONTH(C1320)='BK-NL'!$M$11),"x","")</f>
        <v/>
      </c>
    </row>
    <row r="1321" spans="1:30" ht="16.5" customHeight="1">
      <c r="A1321" s="318" t="str">
        <f>IF(B1321&lt;&gt;"",IF(AND(B1321='IN-TC'!$S$4,OR(TH!N1321="1111",TH!O1321="1111")),TH!D1321,""),"")</f>
        <v/>
      </c>
      <c r="B1321" s="60" t="str">
        <f t="shared" si="199"/>
        <v/>
      </c>
      <c r="C1321" s="226"/>
      <c r="D1321" s="226"/>
      <c r="E1321" s="226"/>
      <c r="F1321" s="1010"/>
      <c r="G1321" s="763"/>
      <c r="H1321" s="69"/>
      <c r="I1321" s="385"/>
      <c r="J1321" s="385"/>
      <c r="K1321" s="385"/>
      <c r="L1321" s="392"/>
      <c r="M1321" s="970"/>
      <c r="N1321" s="980"/>
      <c r="O1321" s="980"/>
      <c r="P1321" s="79" t="str">
        <f>IF(AND('331-CT'!$E$7=TH!H1321,OR(N1321="331",O1321="331")),"x","")</f>
        <v/>
      </c>
      <c r="Q1321" s="79" t="str">
        <f>IF(AND(B1321='111'!$L$11,OR($N1321=$Q$7,$O1321=$Q$7)),"x","")</f>
        <v/>
      </c>
      <c r="R1321" s="79" t="str">
        <f>IF(AND($N1321=$Q$7,$B1321&lt;'111'!$L$11),"x","")</f>
        <v/>
      </c>
      <c r="S1321" s="79" t="str">
        <f>IF(AND($O1321=$Q$7,$B1321&lt;'111'!$L$11),"x","")</f>
        <v/>
      </c>
      <c r="T1321" s="79" t="str">
        <f>IF(ISERROR(FIND('112'!$M$9,G1321,1)),"",IF((AND(FIND('112'!$M$9,G1321,1)&gt;=1,B1321='112'!$K$9,OR($N1321='112'!$I$6,$O1321='112'!$I$6))),"x",""))</f>
        <v/>
      </c>
      <c r="U1321" s="79" t="str">
        <f>IF(ISERROR(FIND('112'!$M$9,G1321,1)),"",IF((AND(LEFT(G1321,2)=LEFT('112'!$M$9,2),B1321&lt;'112'!$K$9,$N1321='112'!$I$6)),"x",""))</f>
        <v/>
      </c>
      <c r="V1321" s="79" t="str">
        <f>IF(ISERROR(FIND('112'!$M$9,G1321,1)),"",IF((AND(RIGHT(G1321,2)=RIGHT('112'!$M$9,2),B1321&lt;'112'!$K$9,$O1321='112'!$I$6)),"x",""))</f>
        <v/>
      </c>
      <c r="W1321" s="79" t="str">
        <f>IF(AND('341-CT'!$H$9=H1321,OR(LEFT(N1321,3)=$W$7,LEFT(O1321,3)=$W$7)),"x","")</f>
        <v/>
      </c>
      <c r="X1321" s="79" t="str">
        <f>IF(OR(TH!N1321=TH!$X$7,O1321=TH!$X$7),"x","")</f>
        <v/>
      </c>
      <c r="Y1321" s="79" t="str">
        <f>IF(AND(OR(N1321="131",O1321="131"),H1321='131-CT'!$H$9),"x","")</f>
        <v/>
      </c>
      <c r="Z1321" s="79"/>
      <c r="AA1321" s="79" t="str">
        <f>IF(AND(MONTH(E1321)='IN-NX'!$J$5,'IN-NX'!$D$7=D1321),"x","")</f>
        <v/>
      </c>
      <c r="AB1321" s="79" t="str">
        <f>IF(AND(OR(LEFT(TH!N1321,2)="15",LEFT(TH!O1321,2)="15"),LEFT(TH!O1321,3)&lt;&gt;"111",'152-CT'!$J$8=TH!F1321),"x","")</f>
        <v/>
      </c>
      <c r="AC1321" s="79" t="str">
        <f>IF(AND(OR(LEFT(TH!N1321,2)="15",LEFT(TH!O1321,2)="15"),TK!$E$7=TH!F1321),"x","")</f>
        <v/>
      </c>
      <c r="AD1321" s="79" t="str">
        <f>IF(AND(N1321="1521",MONTH(C1321)='BK-NL'!$M$11),"x","")</f>
        <v/>
      </c>
    </row>
    <row r="1322" spans="1:30" ht="16.5" customHeight="1">
      <c r="A1322" s="318" t="str">
        <f>IF(B1322&lt;&gt;"",IF(AND(B1322='IN-TC'!$S$4,OR(TH!N1322="1111",TH!O1322="1111")),TH!D1322,""),"")</f>
        <v/>
      </c>
      <c r="B1322" s="60" t="str">
        <f t="shared" si="199"/>
        <v/>
      </c>
      <c r="C1322" s="226"/>
      <c r="D1322" s="226"/>
      <c r="E1322" s="226"/>
      <c r="F1322" s="1010"/>
      <c r="G1322" s="763"/>
      <c r="H1322" s="69"/>
      <c r="I1322" s="385"/>
      <c r="J1322" s="385"/>
      <c r="K1322" s="385"/>
      <c r="L1322" s="392"/>
      <c r="M1322" s="970"/>
      <c r="N1322" s="980"/>
      <c r="O1322" s="980"/>
      <c r="P1322" s="79" t="str">
        <f>IF(AND('331-CT'!$E$7=TH!H1322,OR(N1322="331",O1322="331")),"x","")</f>
        <v/>
      </c>
      <c r="Q1322" s="79" t="str">
        <f>IF(AND(B1322='111'!$L$11,OR($N1322=$Q$7,$O1322=$Q$7)),"x","")</f>
        <v/>
      </c>
      <c r="R1322" s="79" t="str">
        <f>IF(AND($N1322=$Q$7,$B1322&lt;'111'!$L$11),"x","")</f>
        <v/>
      </c>
      <c r="S1322" s="79" t="str">
        <f>IF(AND($O1322=$Q$7,$B1322&lt;'111'!$L$11),"x","")</f>
        <v/>
      </c>
      <c r="T1322" s="79" t="str">
        <f>IF(ISERROR(FIND('112'!$M$9,G1322,1)),"",IF((AND(FIND('112'!$M$9,G1322,1)&gt;=1,B1322='112'!$K$9,OR($N1322='112'!$I$6,$O1322='112'!$I$6))),"x",""))</f>
        <v/>
      </c>
      <c r="U1322" s="79" t="str">
        <f>IF(ISERROR(FIND('112'!$M$9,G1322,1)),"",IF((AND(LEFT(G1322,2)=LEFT('112'!$M$9,2),B1322&lt;'112'!$K$9,$N1322='112'!$I$6)),"x",""))</f>
        <v/>
      </c>
      <c r="V1322" s="79" t="str">
        <f>IF(ISERROR(FIND('112'!$M$9,G1322,1)),"",IF((AND(RIGHT(G1322,2)=RIGHT('112'!$M$9,2),B1322&lt;'112'!$K$9,$O1322='112'!$I$6)),"x",""))</f>
        <v/>
      </c>
      <c r="W1322" s="79" t="str">
        <f>IF(AND('341-CT'!$H$9=H1322,OR(LEFT(N1322,3)=$W$7,LEFT(O1322,3)=$W$7)),"x","")</f>
        <v/>
      </c>
      <c r="X1322" s="79" t="str">
        <f>IF(OR(TH!N1322=TH!$X$7,O1322=TH!$X$7),"x","")</f>
        <v/>
      </c>
      <c r="Y1322" s="79" t="str">
        <f>IF(AND(OR(N1322="131",O1322="131"),H1322='131-CT'!$H$9),"x","")</f>
        <v/>
      </c>
      <c r="Z1322" s="79"/>
      <c r="AA1322" s="79" t="str">
        <f>IF(AND(MONTH(E1322)='IN-NX'!$J$5,'IN-NX'!$D$7=D1322),"x","")</f>
        <v/>
      </c>
      <c r="AB1322" s="79" t="str">
        <f>IF(AND(OR(LEFT(TH!N1322,2)="15",LEFT(TH!O1322,2)="15"),LEFT(TH!O1322,3)&lt;&gt;"111",'152-CT'!$J$8=TH!F1322),"x","")</f>
        <v/>
      </c>
      <c r="AC1322" s="79" t="str">
        <f>IF(AND(OR(LEFT(TH!N1322,2)="15",LEFT(TH!O1322,2)="15"),TK!$E$7=TH!F1322),"x","")</f>
        <v/>
      </c>
      <c r="AD1322" s="79" t="str">
        <f>IF(AND(N1322="1521",MONTH(C1322)='BK-NL'!$M$11),"x","")</f>
        <v/>
      </c>
    </row>
    <row r="1323" spans="1:30" ht="16.5" customHeight="1">
      <c r="A1323" s="318" t="str">
        <f>IF(B1323&lt;&gt;"",IF(AND(B1323='IN-TC'!$S$4,OR(TH!N1323="1111",TH!O1323="1111")),TH!D1323,""),"")</f>
        <v/>
      </c>
      <c r="B1323" s="60" t="str">
        <f t="shared" si="199"/>
        <v/>
      </c>
      <c r="C1323" s="226"/>
      <c r="D1323" s="226"/>
      <c r="E1323" s="226"/>
      <c r="F1323" s="1010"/>
      <c r="G1323" s="763"/>
      <c r="H1323" s="69"/>
      <c r="I1323" s="385"/>
      <c r="J1323" s="385"/>
      <c r="K1323" s="385"/>
      <c r="L1323" s="392"/>
      <c r="M1323" s="970"/>
      <c r="N1323" s="980"/>
      <c r="O1323" s="980"/>
      <c r="P1323" s="79" t="str">
        <f>IF(AND('331-CT'!$E$7=TH!H1323,OR(N1323="331",O1323="331")),"x","")</f>
        <v/>
      </c>
      <c r="Q1323" s="79" t="str">
        <f>IF(AND(B1323='111'!$L$11,OR($N1323=$Q$7,$O1323=$Q$7)),"x","")</f>
        <v/>
      </c>
      <c r="R1323" s="79" t="str">
        <f>IF(AND($N1323=$Q$7,$B1323&lt;'111'!$L$11),"x","")</f>
        <v/>
      </c>
      <c r="S1323" s="79" t="str">
        <f>IF(AND($O1323=$Q$7,$B1323&lt;'111'!$L$11),"x","")</f>
        <v/>
      </c>
      <c r="T1323" s="79" t="str">
        <f>IF(ISERROR(FIND('112'!$M$9,G1323,1)),"",IF((AND(FIND('112'!$M$9,G1323,1)&gt;=1,B1323='112'!$K$9,OR($N1323='112'!$I$6,$O1323='112'!$I$6))),"x",""))</f>
        <v/>
      </c>
      <c r="U1323" s="79" t="str">
        <f>IF(ISERROR(FIND('112'!$M$9,G1323,1)),"",IF((AND(LEFT(G1323,2)=LEFT('112'!$M$9,2),B1323&lt;'112'!$K$9,$N1323='112'!$I$6)),"x",""))</f>
        <v/>
      </c>
      <c r="V1323" s="79" t="str">
        <f>IF(ISERROR(FIND('112'!$M$9,G1323,1)),"",IF((AND(RIGHT(G1323,2)=RIGHT('112'!$M$9,2),B1323&lt;'112'!$K$9,$O1323='112'!$I$6)),"x",""))</f>
        <v/>
      </c>
      <c r="W1323" s="79" t="str">
        <f>IF(AND('341-CT'!$H$9=H1323,OR(LEFT(N1323,3)=$W$7,LEFT(O1323,3)=$W$7)),"x","")</f>
        <v/>
      </c>
      <c r="X1323" s="79" t="str">
        <f>IF(OR(TH!N1323=TH!$X$7,O1323=TH!$X$7),"x","")</f>
        <v/>
      </c>
      <c r="Y1323" s="79" t="str">
        <f>IF(AND(OR(N1323="131",O1323="131"),H1323='131-CT'!$H$9),"x","")</f>
        <v/>
      </c>
      <c r="Z1323" s="79"/>
      <c r="AA1323" s="79" t="str">
        <f>IF(AND(MONTH(E1323)='IN-NX'!$J$5,'IN-NX'!$D$7=D1323),"x","")</f>
        <v/>
      </c>
      <c r="AB1323" s="79" t="str">
        <f>IF(AND(OR(LEFT(TH!N1323,2)="15",LEFT(TH!O1323,2)="15"),LEFT(TH!O1323,3)&lt;&gt;"111",'152-CT'!$J$8=TH!F1323),"x","")</f>
        <v/>
      </c>
      <c r="AC1323" s="79" t="str">
        <f>IF(AND(OR(LEFT(TH!N1323,2)="15",LEFT(TH!O1323,2)="15"),TK!$E$7=TH!F1323),"x","")</f>
        <v/>
      </c>
      <c r="AD1323" s="79" t="str">
        <f>IF(AND(N1323="1521",MONTH(C1323)='BK-NL'!$M$11),"x","")</f>
        <v/>
      </c>
    </row>
    <row r="1324" spans="1:30" ht="16.5" customHeight="1">
      <c r="A1324" s="318" t="str">
        <f>IF(B1324&lt;&gt;"",IF(AND(B1324='IN-TC'!$S$4,OR(TH!N1324="1111",TH!O1324="1111")),TH!D1324,""),"")</f>
        <v/>
      </c>
      <c r="B1324" s="60" t="str">
        <f t="shared" si="199"/>
        <v/>
      </c>
      <c r="C1324" s="226"/>
      <c r="D1324" s="226"/>
      <c r="E1324" s="226"/>
      <c r="F1324" s="1010"/>
      <c r="G1324" s="763"/>
      <c r="H1324" s="69"/>
      <c r="I1324" s="385"/>
      <c r="J1324" s="385"/>
      <c r="K1324" s="385"/>
      <c r="L1324" s="392"/>
      <c r="M1324" s="970"/>
      <c r="N1324" s="980"/>
      <c r="O1324" s="980"/>
      <c r="P1324" s="79" t="str">
        <f>IF(AND('331-CT'!$E$7=TH!H1324,OR(N1324="331",O1324="331")),"x","")</f>
        <v/>
      </c>
      <c r="Q1324" s="79" t="str">
        <f>IF(AND(B1324='111'!$L$11,OR($N1324=$Q$7,$O1324=$Q$7)),"x","")</f>
        <v/>
      </c>
      <c r="R1324" s="79" t="str">
        <f>IF(AND($N1324=$Q$7,$B1324&lt;'111'!$L$11),"x","")</f>
        <v/>
      </c>
      <c r="S1324" s="79" t="str">
        <f>IF(AND($O1324=$Q$7,$B1324&lt;'111'!$L$11),"x","")</f>
        <v/>
      </c>
      <c r="T1324" s="79" t="str">
        <f>IF(ISERROR(FIND('112'!$M$9,G1324,1)),"",IF((AND(FIND('112'!$M$9,G1324,1)&gt;=1,B1324='112'!$K$9,OR($N1324='112'!$I$6,$O1324='112'!$I$6))),"x",""))</f>
        <v/>
      </c>
      <c r="U1324" s="79" t="str">
        <f>IF(ISERROR(FIND('112'!$M$9,G1324,1)),"",IF((AND(LEFT(G1324,2)=LEFT('112'!$M$9,2),B1324&lt;'112'!$K$9,$N1324='112'!$I$6)),"x",""))</f>
        <v/>
      </c>
      <c r="V1324" s="79" t="str">
        <f>IF(ISERROR(FIND('112'!$M$9,G1324,1)),"",IF((AND(RIGHT(G1324,2)=RIGHT('112'!$M$9,2),B1324&lt;'112'!$K$9,$O1324='112'!$I$6)),"x",""))</f>
        <v/>
      </c>
      <c r="W1324" s="79" t="str">
        <f>IF(AND('341-CT'!$H$9=H1324,OR(LEFT(N1324,3)=$W$7,LEFT(O1324,3)=$W$7)),"x","")</f>
        <v/>
      </c>
      <c r="X1324" s="79" t="str">
        <f>IF(OR(TH!N1324=TH!$X$7,O1324=TH!$X$7),"x","")</f>
        <v/>
      </c>
      <c r="Y1324" s="79" t="str">
        <f>IF(AND(OR(N1324="131",O1324="131"),H1324='131-CT'!$H$9),"x","")</f>
        <v/>
      </c>
      <c r="Z1324" s="79"/>
      <c r="AA1324" s="79" t="str">
        <f>IF(AND(MONTH(E1324)='IN-NX'!$J$5,'IN-NX'!$D$7=D1324),"x","")</f>
        <v/>
      </c>
      <c r="AB1324" s="79" t="str">
        <f>IF(AND(OR(LEFT(TH!N1324,2)="15",LEFT(TH!O1324,2)="15"),LEFT(TH!O1324,3)&lt;&gt;"111",'152-CT'!$J$8=TH!F1324),"x","")</f>
        <v/>
      </c>
      <c r="AC1324" s="79" t="str">
        <f>IF(AND(OR(LEFT(TH!N1324,2)="15",LEFT(TH!O1324,2)="15"),TK!$E$7=TH!F1324),"x","")</f>
        <v/>
      </c>
      <c r="AD1324" s="79" t="str">
        <f>IF(AND(N1324="1521",MONTH(C1324)='BK-NL'!$M$11),"x","")</f>
        <v/>
      </c>
    </row>
    <row r="1325" spans="1:30" ht="16.5" customHeight="1">
      <c r="A1325" s="318" t="str">
        <f>IF(B1325&lt;&gt;"",IF(AND(B1325='IN-TC'!$S$4,OR(TH!N1325="1111",TH!O1325="1111")),TH!D1325,""),"")</f>
        <v/>
      </c>
      <c r="B1325" s="60" t="str">
        <f t="shared" si="199"/>
        <v/>
      </c>
      <c r="C1325" s="226"/>
      <c r="D1325" s="226"/>
      <c r="E1325" s="226"/>
      <c r="F1325" s="1010"/>
      <c r="G1325" s="763"/>
      <c r="H1325" s="69"/>
      <c r="I1325" s="385"/>
      <c r="J1325" s="385"/>
      <c r="K1325" s="385"/>
      <c r="L1325" s="392"/>
      <c r="M1325" s="970"/>
      <c r="N1325" s="980"/>
      <c r="O1325" s="980"/>
      <c r="P1325" s="79" t="str">
        <f>IF(AND('331-CT'!$E$7=TH!H1325,OR(N1325="331",O1325="331")),"x","")</f>
        <v/>
      </c>
      <c r="Q1325" s="79" t="str">
        <f>IF(AND(B1325='111'!$L$11,OR($N1325=$Q$7,$O1325=$Q$7)),"x","")</f>
        <v/>
      </c>
      <c r="R1325" s="79" t="str">
        <f>IF(AND($N1325=$Q$7,$B1325&lt;'111'!$L$11),"x","")</f>
        <v/>
      </c>
      <c r="S1325" s="79" t="str">
        <f>IF(AND($O1325=$Q$7,$B1325&lt;'111'!$L$11),"x","")</f>
        <v/>
      </c>
      <c r="T1325" s="79" t="str">
        <f>IF(ISERROR(FIND('112'!$M$9,G1325,1)),"",IF((AND(FIND('112'!$M$9,G1325,1)&gt;=1,B1325='112'!$K$9,OR($N1325='112'!$I$6,$O1325='112'!$I$6))),"x",""))</f>
        <v/>
      </c>
      <c r="U1325" s="79" t="str">
        <f>IF(ISERROR(FIND('112'!$M$9,G1325,1)),"",IF((AND(LEFT(G1325,2)=LEFT('112'!$M$9,2),B1325&lt;'112'!$K$9,$N1325='112'!$I$6)),"x",""))</f>
        <v/>
      </c>
      <c r="V1325" s="79" t="str">
        <f>IF(ISERROR(FIND('112'!$M$9,G1325,1)),"",IF((AND(RIGHT(G1325,2)=RIGHT('112'!$M$9,2),B1325&lt;'112'!$K$9,$O1325='112'!$I$6)),"x",""))</f>
        <v/>
      </c>
      <c r="W1325" s="79" t="str">
        <f>IF(AND('341-CT'!$H$9=H1325,OR(LEFT(N1325,3)=$W$7,LEFT(O1325,3)=$W$7)),"x","")</f>
        <v/>
      </c>
      <c r="X1325" s="79" t="str">
        <f>IF(OR(TH!N1325=TH!$X$7,O1325=TH!$X$7),"x","")</f>
        <v/>
      </c>
      <c r="Y1325" s="79" t="str">
        <f>IF(AND(OR(N1325="131",O1325="131"),H1325='131-CT'!$H$9),"x","")</f>
        <v/>
      </c>
      <c r="Z1325" s="79"/>
      <c r="AA1325" s="79" t="str">
        <f>IF(AND(MONTH(E1325)='IN-NX'!$J$5,'IN-NX'!$D$7=D1325),"x","")</f>
        <v/>
      </c>
      <c r="AB1325" s="79" t="str">
        <f>IF(AND(OR(LEFT(TH!N1325,2)="15",LEFT(TH!O1325,2)="15"),LEFT(TH!O1325,3)&lt;&gt;"111",'152-CT'!$J$8=TH!F1325),"x","")</f>
        <v/>
      </c>
      <c r="AC1325" s="79" t="str">
        <f>IF(AND(OR(LEFT(TH!N1325,2)="15",LEFT(TH!O1325,2)="15"),TK!$E$7=TH!F1325),"x","")</f>
        <v/>
      </c>
      <c r="AD1325" s="79" t="str">
        <f>IF(AND(N1325="1521",MONTH(C1325)='BK-NL'!$M$11),"x","")</f>
        <v/>
      </c>
    </row>
    <row r="1326" spans="1:30" ht="16.5" customHeight="1">
      <c r="A1326" s="318" t="str">
        <f>IF(B1326&lt;&gt;"",IF(AND(B1326='IN-TC'!$S$4,OR(TH!N1326="1111",TH!O1326="1111")),TH!D1326,""),"")</f>
        <v/>
      </c>
      <c r="B1326" s="60" t="str">
        <f t="shared" si="199"/>
        <v/>
      </c>
      <c r="C1326" s="226"/>
      <c r="D1326" s="226"/>
      <c r="E1326" s="226"/>
      <c r="F1326" s="1103"/>
      <c r="G1326" s="763"/>
      <c r="H1326" s="69"/>
      <c r="I1326" s="385"/>
      <c r="J1326" s="385"/>
      <c r="K1326" s="385"/>
      <c r="L1326" s="392"/>
      <c r="M1326" s="970"/>
      <c r="N1326" s="980"/>
      <c r="O1326" s="980"/>
      <c r="P1326" s="79" t="str">
        <f>IF(AND('331-CT'!$E$7=TH!H1326,OR(N1326="331",O1326="331")),"x","")</f>
        <v/>
      </c>
      <c r="Q1326" s="79" t="str">
        <f>IF(AND(B1326='111'!$L$11,OR($N1326=$Q$7,$O1326=$Q$7)),"x","")</f>
        <v/>
      </c>
      <c r="R1326" s="79" t="str">
        <f>IF(AND($N1326=$Q$7,$B1326&lt;'111'!$L$11),"x","")</f>
        <v/>
      </c>
      <c r="S1326" s="79" t="str">
        <f>IF(AND($O1326=$Q$7,$B1326&lt;'111'!$L$11),"x","")</f>
        <v/>
      </c>
      <c r="T1326" s="79" t="str">
        <f>IF(ISERROR(FIND('112'!$M$9,G1326,1)),"",IF((AND(FIND('112'!$M$9,G1326,1)&gt;=1,B1326='112'!$K$9,OR($N1326='112'!$I$6,$O1326='112'!$I$6))),"x",""))</f>
        <v/>
      </c>
      <c r="U1326" s="79" t="str">
        <f>IF(ISERROR(FIND('112'!$M$9,G1326,1)),"",IF((AND(LEFT(G1326,2)=LEFT('112'!$M$9,2),B1326&lt;'112'!$K$9,$N1326='112'!$I$6)),"x",""))</f>
        <v/>
      </c>
      <c r="V1326" s="79" t="str">
        <f>IF(ISERROR(FIND('112'!$M$9,G1326,1)),"",IF((AND(RIGHT(G1326,2)=RIGHT('112'!$M$9,2),B1326&lt;'112'!$K$9,$O1326='112'!$I$6)),"x",""))</f>
        <v/>
      </c>
      <c r="W1326" s="79" t="str">
        <f>IF(AND('341-CT'!$H$9=H1326,OR(LEFT(N1326,3)=$W$7,LEFT(O1326,3)=$W$7)),"x","")</f>
        <v/>
      </c>
      <c r="X1326" s="79" t="str">
        <f>IF(OR(TH!N1326=TH!$X$7,O1326=TH!$X$7),"x","")</f>
        <v/>
      </c>
      <c r="Y1326" s="79" t="str">
        <f>IF(AND(OR(N1326="131",O1326="131"),H1326='131-CT'!$H$9),"x","")</f>
        <v/>
      </c>
      <c r="Z1326" s="79"/>
      <c r="AA1326" s="79" t="str">
        <f>IF(AND(MONTH(E1326)='IN-NX'!$J$5,'IN-NX'!$D$7=D1326),"x","")</f>
        <v/>
      </c>
      <c r="AB1326" s="79" t="str">
        <f>IF(AND(OR(LEFT(TH!N1326,2)="15",LEFT(TH!O1326,2)="15"),LEFT(TH!O1326,3)&lt;&gt;"111",'152-CT'!$J$8=TH!F1326),"x","")</f>
        <v/>
      </c>
      <c r="AC1326" s="79" t="str">
        <f>IF(AND(OR(LEFT(TH!N1326,2)="15",LEFT(TH!O1326,2)="15"),TK!$E$7=TH!F1326),"x","")</f>
        <v/>
      </c>
      <c r="AD1326" s="79" t="str">
        <f>IF(AND(N1326="1521",MONTH(C1326)='BK-NL'!$M$11),"x","")</f>
        <v/>
      </c>
    </row>
    <row r="1327" spans="1:30" ht="16.5" customHeight="1">
      <c r="A1327" s="318" t="str">
        <f>IF(B1327&lt;&gt;"",IF(AND(B1327='IN-TC'!$S$4,OR(TH!N1327="1111",TH!O1327="1111")),TH!D1327,""),"")</f>
        <v/>
      </c>
      <c r="B1327" s="60" t="str">
        <f t="shared" si="199"/>
        <v/>
      </c>
      <c r="C1327" s="226"/>
      <c r="D1327" s="226"/>
      <c r="E1327" s="226"/>
      <c r="F1327" s="1010"/>
      <c r="G1327" s="763"/>
      <c r="H1327" s="69"/>
      <c r="I1327" s="385"/>
      <c r="J1327" s="385"/>
      <c r="K1327" s="385"/>
      <c r="L1327" s="392"/>
      <c r="M1327" s="970"/>
      <c r="N1327" s="980"/>
      <c r="O1327" s="980"/>
      <c r="P1327" s="79" t="str">
        <f>IF(AND('331-CT'!$E$7=TH!H1327,OR(N1327="331",O1327="331")),"x","")</f>
        <v/>
      </c>
      <c r="Q1327" s="79" t="str">
        <f>IF(AND(B1327='111'!$L$11,OR($N1327=$Q$7,$O1327=$Q$7)),"x","")</f>
        <v/>
      </c>
      <c r="R1327" s="79" t="str">
        <f>IF(AND($N1327=$Q$7,$B1327&lt;'111'!$L$11),"x","")</f>
        <v/>
      </c>
      <c r="S1327" s="79" t="str">
        <f>IF(AND($O1327=$Q$7,$B1327&lt;'111'!$L$11),"x","")</f>
        <v/>
      </c>
      <c r="T1327" s="79" t="str">
        <f>IF(ISERROR(FIND('112'!$M$9,G1327,1)),"",IF((AND(FIND('112'!$M$9,G1327,1)&gt;=1,B1327='112'!$K$9,OR($N1327='112'!$I$6,$O1327='112'!$I$6))),"x",""))</f>
        <v/>
      </c>
      <c r="U1327" s="79" t="str">
        <f>IF(ISERROR(FIND('112'!$M$9,G1327,1)),"",IF((AND(LEFT(G1327,2)=LEFT('112'!$M$9,2),B1327&lt;'112'!$K$9,$N1327='112'!$I$6)),"x",""))</f>
        <v/>
      </c>
      <c r="V1327" s="79" t="str">
        <f>IF(ISERROR(FIND('112'!$M$9,G1327,1)),"",IF((AND(RIGHT(G1327,2)=RIGHT('112'!$M$9,2),B1327&lt;'112'!$K$9,$O1327='112'!$I$6)),"x",""))</f>
        <v/>
      </c>
      <c r="W1327" s="79" t="str">
        <f>IF(AND('341-CT'!$H$9=H1327,OR(LEFT(N1327,3)=$W$7,LEFT(O1327,3)=$W$7)),"x","")</f>
        <v/>
      </c>
      <c r="X1327" s="79" t="str">
        <f>IF(OR(TH!N1327=TH!$X$7,O1327=TH!$X$7),"x","")</f>
        <v/>
      </c>
      <c r="Y1327" s="79" t="str">
        <f>IF(AND(OR(N1327="131",O1327="131"),H1327='131-CT'!$H$9),"x","")</f>
        <v/>
      </c>
      <c r="Z1327" s="79"/>
      <c r="AA1327" s="79" t="str">
        <f>IF(AND(MONTH(E1327)='IN-NX'!$J$5,'IN-NX'!$D$7=D1327),"x","")</f>
        <v/>
      </c>
      <c r="AB1327" s="79" t="str">
        <f>IF(AND(OR(LEFT(TH!N1327,2)="15",LEFT(TH!O1327,2)="15"),LEFT(TH!O1327,3)&lt;&gt;"111",'152-CT'!$J$8=TH!F1327),"x","")</f>
        <v/>
      </c>
      <c r="AC1327" s="79" t="str">
        <f>IF(AND(OR(LEFT(TH!N1327,2)="15",LEFT(TH!O1327,2)="15"),TK!$E$7=TH!F1327),"x","")</f>
        <v/>
      </c>
      <c r="AD1327" s="79" t="str">
        <f>IF(AND(N1327="1521",MONTH(C1327)='BK-NL'!$M$11),"x","")</f>
        <v/>
      </c>
    </row>
    <row r="1328" spans="1:30" ht="16.5" customHeight="1">
      <c r="A1328" s="318" t="str">
        <f>IF(B1328&lt;&gt;"",IF(AND(B1328='IN-TC'!$S$4,OR(TH!N1328="1111",TH!O1328="1111")),TH!D1328,""),"")</f>
        <v/>
      </c>
      <c r="B1328" s="60" t="str">
        <f t="shared" si="199"/>
        <v/>
      </c>
      <c r="C1328" s="226"/>
      <c r="D1328" s="226"/>
      <c r="E1328" s="226"/>
      <c r="F1328" s="1010"/>
      <c r="G1328" s="763"/>
      <c r="H1328" s="69"/>
      <c r="I1328" s="385"/>
      <c r="J1328" s="385"/>
      <c r="K1328" s="385"/>
      <c r="L1328" s="392"/>
      <c r="M1328" s="970"/>
      <c r="N1328" s="980"/>
      <c r="O1328" s="980"/>
      <c r="P1328" s="79" t="str">
        <f>IF(AND('331-CT'!$E$7=TH!H1328,OR(N1328="331",O1328="331")),"x","")</f>
        <v/>
      </c>
      <c r="Q1328" s="79" t="str">
        <f>IF(AND(B1328='111'!$L$11,OR($N1328=$Q$7,$O1328=$Q$7)),"x","")</f>
        <v/>
      </c>
      <c r="R1328" s="79" t="str">
        <f>IF(AND($N1328=$Q$7,$B1328&lt;'111'!$L$11),"x","")</f>
        <v/>
      </c>
      <c r="S1328" s="79" t="str">
        <f>IF(AND($O1328=$Q$7,$B1328&lt;'111'!$L$11),"x","")</f>
        <v/>
      </c>
      <c r="T1328" s="79" t="str">
        <f>IF(ISERROR(FIND('112'!$M$9,G1328,1)),"",IF((AND(FIND('112'!$M$9,G1328,1)&gt;=1,B1328='112'!$K$9,OR($N1328='112'!$I$6,$O1328='112'!$I$6))),"x",""))</f>
        <v/>
      </c>
      <c r="U1328" s="79" t="str">
        <f>IF(ISERROR(FIND('112'!$M$9,G1328,1)),"",IF((AND(LEFT(G1328,2)=LEFT('112'!$M$9,2),B1328&lt;'112'!$K$9,$N1328='112'!$I$6)),"x",""))</f>
        <v/>
      </c>
      <c r="V1328" s="79" t="str">
        <f>IF(ISERROR(FIND('112'!$M$9,G1328,1)),"",IF((AND(RIGHT(G1328,2)=RIGHT('112'!$M$9,2),B1328&lt;'112'!$K$9,$O1328='112'!$I$6)),"x",""))</f>
        <v/>
      </c>
      <c r="W1328" s="79" t="str">
        <f>IF(AND('341-CT'!$H$9=H1328,OR(LEFT(N1328,3)=$W$7,LEFT(O1328,3)=$W$7)),"x","")</f>
        <v/>
      </c>
      <c r="X1328" s="79" t="str">
        <f>IF(OR(TH!N1328=TH!$X$7,O1328=TH!$X$7),"x","")</f>
        <v/>
      </c>
      <c r="Y1328" s="79" t="str">
        <f>IF(AND(OR(N1328="131",O1328="131"),H1328='131-CT'!$H$9),"x","")</f>
        <v/>
      </c>
      <c r="Z1328" s="79"/>
      <c r="AA1328" s="79" t="str">
        <f>IF(AND(MONTH(E1328)='IN-NX'!$J$5,'IN-NX'!$D$7=D1328),"x","")</f>
        <v/>
      </c>
      <c r="AB1328" s="79" t="str">
        <f>IF(AND(OR(LEFT(TH!N1328,2)="15",LEFT(TH!O1328,2)="15"),LEFT(TH!O1328,3)&lt;&gt;"111",'152-CT'!$J$8=TH!F1328),"x","")</f>
        <v/>
      </c>
      <c r="AC1328" s="79" t="str">
        <f>IF(AND(OR(LEFT(TH!N1328,2)="15",LEFT(TH!O1328,2)="15"),TK!$E$7=TH!F1328),"x","")</f>
        <v/>
      </c>
      <c r="AD1328" s="79" t="str">
        <f>IF(AND(N1328="1521",MONTH(C1328)='BK-NL'!$M$11),"x","")</f>
        <v/>
      </c>
    </row>
    <row r="1329" spans="1:30" ht="16.5" customHeight="1">
      <c r="A1329" s="318" t="str">
        <f>IF(B1329&lt;&gt;"",IF(AND(B1329='IN-TC'!$S$4,OR(TH!N1329="1111",TH!O1329="1111")),TH!D1329,""),"")</f>
        <v/>
      </c>
      <c r="B1329" s="60" t="str">
        <f t="shared" ref="B1329:B1392" si="200">IF(C1329&lt;&gt;"",MONTH(C1329),"")</f>
        <v/>
      </c>
      <c r="C1329" s="226"/>
      <c r="D1329" s="226"/>
      <c r="E1329" s="226"/>
      <c r="F1329" s="1010"/>
      <c r="G1329" s="763"/>
      <c r="H1329" s="69"/>
      <c r="I1329" s="385"/>
      <c r="J1329" s="385"/>
      <c r="K1329" s="385"/>
      <c r="L1329" s="392"/>
      <c r="M1329" s="970"/>
      <c r="N1329" s="980"/>
      <c r="O1329" s="980"/>
      <c r="P1329" s="79" t="str">
        <f>IF(AND('331-CT'!$E$7=TH!H1329,OR(N1329="331",O1329="331")),"x","")</f>
        <v/>
      </c>
      <c r="Q1329" s="79" t="str">
        <f>IF(AND(B1329='111'!$L$11,OR($N1329=$Q$7,$O1329=$Q$7)),"x","")</f>
        <v/>
      </c>
      <c r="R1329" s="79" t="str">
        <f>IF(AND($N1329=$Q$7,$B1329&lt;'111'!$L$11),"x","")</f>
        <v/>
      </c>
      <c r="S1329" s="79" t="str">
        <f>IF(AND($O1329=$Q$7,$B1329&lt;'111'!$L$11),"x","")</f>
        <v/>
      </c>
      <c r="T1329" s="79" t="str">
        <f>IF(ISERROR(FIND('112'!$M$9,G1329,1)),"",IF((AND(FIND('112'!$M$9,G1329,1)&gt;=1,B1329='112'!$K$9,OR($N1329='112'!$I$6,$O1329='112'!$I$6))),"x",""))</f>
        <v/>
      </c>
      <c r="U1329" s="79" t="str">
        <f>IF(ISERROR(FIND('112'!$M$9,G1329,1)),"",IF((AND(LEFT(G1329,2)=LEFT('112'!$M$9,2),B1329&lt;'112'!$K$9,$N1329='112'!$I$6)),"x",""))</f>
        <v/>
      </c>
      <c r="V1329" s="79" t="str">
        <f>IF(ISERROR(FIND('112'!$M$9,G1329,1)),"",IF((AND(RIGHT(G1329,2)=RIGHT('112'!$M$9,2),B1329&lt;'112'!$K$9,$O1329='112'!$I$6)),"x",""))</f>
        <v/>
      </c>
      <c r="W1329" s="79" t="str">
        <f>IF(AND('341-CT'!$H$9=H1329,OR(LEFT(N1329,3)=$W$7,LEFT(O1329,3)=$W$7)),"x","")</f>
        <v/>
      </c>
      <c r="X1329" s="79" t="str">
        <f>IF(OR(TH!N1329=TH!$X$7,O1329=TH!$X$7),"x","")</f>
        <v/>
      </c>
      <c r="Y1329" s="79" t="str">
        <f>IF(AND(OR(N1329="131",O1329="131"),H1329='131-CT'!$H$9),"x","")</f>
        <v/>
      </c>
      <c r="Z1329" s="79"/>
      <c r="AA1329" s="79" t="str">
        <f>IF(AND(MONTH(E1329)='IN-NX'!$J$5,'IN-NX'!$D$7=D1329),"x","")</f>
        <v/>
      </c>
      <c r="AB1329" s="79" t="str">
        <f>IF(AND(OR(LEFT(TH!N1329,2)="15",LEFT(TH!O1329,2)="15"),LEFT(TH!O1329,3)&lt;&gt;"111",'152-CT'!$J$8=TH!F1329),"x","")</f>
        <v/>
      </c>
      <c r="AC1329" s="79" t="str">
        <f>IF(AND(OR(LEFT(TH!N1329,2)="15",LEFT(TH!O1329,2)="15"),TK!$E$7=TH!F1329),"x","")</f>
        <v/>
      </c>
      <c r="AD1329" s="79" t="str">
        <f>IF(AND(N1329="1521",MONTH(C1329)='BK-NL'!$M$11),"x","")</f>
        <v/>
      </c>
    </row>
    <row r="1330" spans="1:30" ht="16.5" customHeight="1">
      <c r="A1330" s="318" t="str">
        <f>IF(B1330&lt;&gt;"",IF(AND(B1330='IN-TC'!$S$4,OR(TH!N1330="1111",TH!O1330="1111")),TH!D1330,""),"")</f>
        <v/>
      </c>
      <c r="B1330" s="60" t="str">
        <f t="shared" si="200"/>
        <v/>
      </c>
      <c r="C1330" s="226"/>
      <c r="D1330" s="226"/>
      <c r="E1330" s="226"/>
      <c r="F1330" s="1010"/>
      <c r="G1330" s="763"/>
      <c r="H1330" s="69"/>
      <c r="I1330" s="385"/>
      <c r="J1330" s="385"/>
      <c r="K1330" s="385"/>
      <c r="L1330" s="392"/>
      <c r="M1330" s="970"/>
      <c r="N1330" s="980"/>
      <c r="O1330" s="980"/>
      <c r="P1330" s="79" t="str">
        <f>IF(AND('331-CT'!$E$7=TH!H1330,OR(N1330="331",O1330="331")),"x","")</f>
        <v/>
      </c>
      <c r="Q1330" s="79" t="str">
        <f>IF(AND(B1330='111'!$L$11,OR($N1330=$Q$7,$O1330=$Q$7)),"x","")</f>
        <v/>
      </c>
      <c r="R1330" s="79" t="str">
        <f>IF(AND($N1330=$Q$7,$B1330&lt;'111'!$L$11),"x","")</f>
        <v/>
      </c>
      <c r="S1330" s="79" t="str">
        <f>IF(AND($O1330=$Q$7,$B1330&lt;'111'!$L$11),"x","")</f>
        <v/>
      </c>
      <c r="T1330" s="79" t="str">
        <f>IF(ISERROR(FIND('112'!$M$9,G1330,1)),"",IF((AND(FIND('112'!$M$9,G1330,1)&gt;=1,B1330='112'!$K$9,OR($N1330='112'!$I$6,$O1330='112'!$I$6))),"x",""))</f>
        <v/>
      </c>
      <c r="U1330" s="79" t="str">
        <f>IF(ISERROR(FIND('112'!$M$9,G1330,1)),"",IF((AND(LEFT(G1330,2)=LEFT('112'!$M$9,2),B1330&lt;'112'!$K$9,$N1330='112'!$I$6)),"x",""))</f>
        <v/>
      </c>
      <c r="V1330" s="79" t="str">
        <f>IF(ISERROR(FIND('112'!$M$9,G1330,1)),"",IF((AND(RIGHT(G1330,2)=RIGHT('112'!$M$9,2),B1330&lt;'112'!$K$9,$O1330='112'!$I$6)),"x",""))</f>
        <v/>
      </c>
      <c r="W1330" s="79" t="str">
        <f>IF(AND('341-CT'!$H$9=H1330,OR(LEFT(N1330,3)=$W$7,LEFT(O1330,3)=$W$7)),"x","")</f>
        <v/>
      </c>
      <c r="X1330" s="79" t="str">
        <f>IF(OR(TH!N1330=TH!$X$7,O1330=TH!$X$7),"x","")</f>
        <v/>
      </c>
      <c r="Y1330" s="79" t="str">
        <f>IF(AND(OR(N1330="131",O1330="131"),H1330='131-CT'!$H$9),"x","")</f>
        <v/>
      </c>
      <c r="Z1330" s="79"/>
      <c r="AA1330" s="79" t="str">
        <f>IF(AND(MONTH(E1330)='IN-NX'!$J$5,'IN-NX'!$D$7=D1330),"x","")</f>
        <v/>
      </c>
      <c r="AB1330" s="79" t="str">
        <f>IF(AND(OR(LEFT(TH!N1330,2)="15",LEFT(TH!O1330,2)="15"),LEFT(TH!O1330,3)&lt;&gt;"111",'152-CT'!$J$8=TH!F1330),"x","")</f>
        <v/>
      </c>
      <c r="AC1330" s="79" t="str">
        <f>IF(AND(OR(LEFT(TH!N1330,2)="15",LEFT(TH!O1330,2)="15"),TK!$E$7=TH!F1330),"x","")</f>
        <v/>
      </c>
      <c r="AD1330" s="79" t="str">
        <f>IF(AND(N1330="1521",MONTH(C1330)='BK-NL'!$M$11),"x","")</f>
        <v/>
      </c>
    </row>
    <row r="1331" spans="1:30" ht="16.5" customHeight="1">
      <c r="A1331" s="318" t="str">
        <f>IF(B1331&lt;&gt;"",IF(AND(B1331='IN-TC'!$S$4,OR(TH!N1331="1111",TH!O1331="1111")),TH!D1331,""),"")</f>
        <v/>
      </c>
      <c r="B1331" s="60" t="str">
        <f t="shared" si="200"/>
        <v/>
      </c>
      <c r="C1331" s="226"/>
      <c r="D1331" s="226"/>
      <c r="E1331" s="226"/>
      <c r="F1331" s="1010"/>
      <c r="G1331" s="763"/>
      <c r="H1331" s="69"/>
      <c r="I1331" s="385"/>
      <c r="J1331" s="385"/>
      <c r="K1331" s="385"/>
      <c r="L1331" s="392"/>
      <c r="M1331" s="970"/>
      <c r="N1331" s="980"/>
      <c r="O1331" s="980"/>
      <c r="P1331" s="79" t="str">
        <f>IF(AND('331-CT'!$E$7=TH!H1331,OR(N1331="331",O1331="331")),"x","")</f>
        <v/>
      </c>
      <c r="Q1331" s="79" t="str">
        <f>IF(AND(B1331='111'!$L$11,OR($N1331=$Q$7,$O1331=$Q$7)),"x","")</f>
        <v/>
      </c>
      <c r="R1331" s="79" t="str">
        <f>IF(AND($N1331=$Q$7,$B1331&lt;'111'!$L$11),"x","")</f>
        <v/>
      </c>
      <c r="S1331" s="79" t="str">
        <f>IF(AND($O1331=$Q$7,$B1331&lt;'111'!$L$11),"x","")</f>
        <v/>
      </c>
      <c r="T1331" s="79" t="str">
        <f>IF(ISERROR(FIND('112'!$M$9,G1331,1)),"",IF((AND(FIND('112'!$M$9,G1331,1)&gt;=1,B1331='112'!$K$9,OR($N1331='112'!$I$6,$O1331='112'!$I$6))),"x",""))</f>
        <v/>
      </c>
      <c r="U1331" s="79" t="str">
        <f>IF(ISERROR(FIND('112'!$M$9,G1331,1)),"",IF((AND(LEFT(G1331,2)=LEFT('112'!$M$9,2),B1331&lt;'112'!$K$9,$N1331='112'!$I$6)),"x",""))</f>
        <v/>
      </c>
      <c r="V1331" s="79" t="str">
        <f>IF(ISERROR(FIND('112'!$M$9,G1331,1)),"",IF((AND(RIGHT(G1331,2)=RIGHT('112'!$M$9,2),B1331&lt;'112'!$K$9,$O1331='112'!$I$6)),"x",""))</f>
        <v/>
      </c>
      <c r="W1331" s="79" t="str">
        <f>IF(AND('341-CT'!$H$9=H1331,OR(LEFT(N1331,3)=$W$7,LEFT(O1331,3)=$W$7)),"x","")</f>
        <v/>
      </c>
      <c r="X1331" s="79" t="str">
        <f>IF(OR(TH!N1331=TH!$X$7,O1331=TH!$X$7),"x","")</f>
        <v/>
      </c>
      <c r="Y1331" s="79" t="str">
        <f>IF(AND(OR(N1331="131",O1331="131"),H1331='131-CT'!$H$9),"x","")</f>
        <v/>
      </c>
      <c r="Z1331" s="79"/>
      <c r="AA1331" s="79" t="str">
        <f>IF(AND(MONTH(E1331)='IN-NX'!$J$5,'IN-NX'!$D$7=D1331),"x","")</f>
        <v/>
      </c>
      <c r="AB1331" s="79" t="str">
        <f>IF(AND(OR(LEFT(TH!N1331,2)="15",LEFT(TH!O1331,2)="15"),LEFT(TH!O1331,3)&lt;&gt;"111",'152-CT'!$J$8=TH!F1331),"x","")</f>
        <v/>
      </c>
      <c r="AC1331" s="79" t="str">
        <f>IF(AND(OR(LEFT(TH!N1331,2)="15",LEFT(TH!O1331,2)="15"),TK!$E$7=TH!F1331),"x","")</f>
        <v/>
      </c>
      <c r="AD1331" s="79" t="str">
        <f>IF(AND(N1331="1521",MONTH(C1331)='BK-NL'!$M$11),"x","")</f>
        <v/>
      </c>
    </row>
    <row r="1332" spans="1:30" ht="16.5" customHeight="1">
      <c r="A1332" s="318" t="str">
        <f>IF(B1332&lt;&gt;"",IF(AND(B1332='IN-TC'!$S$4,OR(TH!N1332="1111",TH!O1332="1111")),TH!D1332,""),"")</f>
        <v/>
      </c>
      <c r="B1332" s="60" t="str">
        <f t="shared" si="200"/>
        <v/>
      </c>
      <c r="C1332" s="226"/>
      <c r="D1332" s="226"/>
      <c r="E1332" s="226"/>
      <c r="F1332" s="1010"/>
      <c r="G1332" s="763"/>
      <c r="H1332" s="321"/>
      <c r="I1332" s="385"/>
      <c r="J1332" s="385"/>
      <c r="K1332" s="385"/>
      <c r="L1332" s="392"/>
      <c r="M1332" s="970"/>
      <c r="N1332" s="980"/>
      <c r="O1332" s="980"/>
      <c r="P1332" s="79" t="str">
        <f>IF(AND('331-CT'!$E$7=TH!H1332,OR(N1332="331",O1332="331")),"x","")</f>
        <v/>
      </c>
      <c r="Q1332" s="79" t="str">
        <f>IF(AND(B1332='111'!$L$11,OR($N1332=$Q$7,$O1332=$Q$7)),"x","")</f>
        <v/>
      </c>
      <c r="R1332" s="79" t="str">
        <f>IF(AND($N1332=$Q$7,$B1332&lt;'111'!$L$11),"x","")</f>
        <v/>
      </c>
      <c r="S1332" s="79" t="str">
        <f>IF(AND($O1332=$Q$7,$B1332&lt;'111'!$L$11),"x","")</f>
        <v/>
      </c>
      <c r="T1332" s="79" t="str">
        <f>IF(ISERROR(FIND('112'!$M$9,G1332,1)),"",IF((AND(FIND('112'!$M$9,G1332,1)&gt;=1,B1332='112'!$K$9,OR($N1332='112'!$I$6,$O1332='112'!$I$6))),"x",""))</f>
        <v/>
      </c>
      <c r="U1332" s="79" t="str">
        <f>IF(ISERROR(FIND('112'!$M$9,G1332,1)),"",IF((AND(LEFT(G1332,2)=LEFT('112'!$M$9,2),B1332&lt;'112'!$K$9,$N1332='112'!$I$6)),"x",""))</f>
        <v/>
      </c>
      <c r="V1332" s="79" t="str">
        <f>IF(ISERROR(FIND('112'!$M$9,G1332,1)),"",IF((AND(RIGHT(G1332,2)=RIGHT('112'!$M$9,2),B1332&lt;'112'!$K$9,$O1332='112'!$I$6)),"x",""))</f>
        <v/>
      </c>
      <c r="W1332" s="79" t="str">
        <f>IF(AND('341-CT'!$H$9=H1332,OR(LEFT(N1332,3)=$W$7,LEFT(O1332,3)=$W$7)),"x","")</f>
        <v/>
      </c>
      <c r="X1332" s="79" t="str">
        <f>IF(OR(TH!N1332=TH!$X$7,O1332=TH!$X$7),"x","")</f>
        <v/>
      </c>
      <c r="Y1332" s="79" t="str">
        <f>IF(AND(OR(N1332="131",O1332="131"),H1332='131-CT'!$H$9),"x","")</f>
        <v/>
      </c>
      <c r="Z1332" s="79"/>
      <c r="AA1332" s="79" t="str">
        <f>IF(AND(MONTH(E1332)='IN-NX'!$J$5,'IN-NX'!$D$7=D1332),"x","")</f>
        <v/>
      </c>
      <c r="AB1332" s="79" t="str">
        <f>IF(AND(OR(LEFT(TH!N1332,2)="15",LEFT(TH!O1332,2)="15"),LEFT(TH!O1332,3)&lt;&gt;"111",'152-CT'!$J$8=TH!F1332),"x","")</f>
        <v/>
      </c>
      <c r="AC1332" s="79" t="str">
        <f>IF(AND(OR(LEFT(TH!N1332,2)="15",LEFT(TH!O1332,2)="15"),TK!$E$7=TH!F1332),"x","")</f>
        <v/>
      </c>
      <c r="AD1332" s="79" t="str">
        <f>IF(AND(N1332="1521",MONTH(C1332)='BK-NL'!$M$11),"x","")</f>
        <v/>
      </c>
    </row>
    <row r="1333" spans="1:30" ht="16.5" customHeight="1">
      <c r="A1333" s="318" t="str">
        <f>IF(B1333&lt;&gt;"",IF(AND(B1333='IN-TC'!$S$4,OR(TH!N1333="1111",TH!O1333="1111")),TH!D1333,""),"")</f>
        <v/>
      </c>
      <c r="B1333" s="60" t="str">
        <f t="shared" si="200"/>
        <v/>
      </c>
      <c r="C1333" s="226"/>
      <c r="D1333" s="226"/>
      <c r="E1333" s="226"/>
      <c r="F1333" s="1010"/>
      <c r="G1333" s="763"/>
      <c r="H1333" s="321"/>
      <c r="I1333" s="385"/>
      <c r="J1333" s="385"/>
      <c r="K1333" s="385"/>
      <c r="L1333" s="392"/>
      <c r="M1333" s="970"/>
      <c r="N1333" s="980"/>
      <c r="O1333" s="980"/>
      <c r="P1333" s="79" t="str">
        <f>IF(AND('331-CT'!$E$7=TH!H1333,OR(N1333="331",O1333="331")),"x","")</f>
        <v/>
      </c>
      <c r="Q1333" s="79" t="str">
        <f>IF(AND(B1333='111'!$L$11,OR($N1333=$Q$7,$O1333=$Q$7)),"x","")</f>
        <v/>
      </c>
      <c r="R1333" s="79" t="str">
        <f>IF(AND($N1333=$Q$7,$B1333&lt;'111'!$L$11),"x","")</f>
        <v/>
      </c>
      <c r="S1333" s="79" t="str">
        <f>IF(AND($O1333=$Q$7,$B1333&lt;'111'!$L$11),"x","")</f>
        <v/>
      </c>
      <c r="T1333" s="79" t="str">
        <f>IF(ISERROR(FIND('112'!$M$9,G1333,1)),"",IF((AND(FIND('112'!$M$9,G1333,1)&gt;=1,B1333='112'!$K$9,OR($N1333='112'!$I$6,$O1333='112'!$I$6))),"x",""))</f>
        <v/>
      </c>
      <c r="U1333" s="79" t="str">
        <f>IF(ISERROR(FIND('112'!$M$9,G1333,1)),"",IF((AND(LEFT(G1333,2)=LEFT('112'!$M$9,2),B1333&lt;'112'!$K$9,$N1333='112'!$I$6)),"x",""))</f>
        <v/>
      </c>
      <c r="V1333" s="79" t="str">
        <f>IF(ISERROR(FIND('112'!$M$9,G1333,1)),"",IF((AND(RIGHT(G1333,2)=RIGHT('112'!$M$9,2),B1333&lt;'112'!$K$9,$O1333='112'!$I$6)),"x",""))</f>
        <v/>
      </c>
      <c r="W1333" s="79" t="str">
        <f>IF(AND('341-CT'!$H$9=H1333,OR(LEFT(N1333,3)=$W$7,LEFT(O1333,3)=$W$7)),"x","")</f>
        <v/>
      </c>
      <c r="X1333" s="79" t="str">
        <f>IF(OR(TH!N1333=TH!$X$7,O1333=TH!$X$7),"x","")</f>
        <v/>
      </c>
      <c r="Y1333" s="79" t="str">
        <f>IF(AND(OR(N1333="131",O1333="131"),H1333='131-CT'!$H$9),"x","")</f>
        <v/>
      </c>
      <c r="Z1333" s="79"/>
      <c r="AA1333" s="79" t="str">
        <f>IF(AND(MONTH(E1333)='IN-NX'!$J$5,'IN-NX'!$D$7=D1333),"x","")</f>
        <v/>
      </c>
      <c r="AB1333" s="79" t="str">
        <f>IF(AND(OR(LEFT(TH!N1333,2)="15",LEFT(TH!O1333,2)="15"),LEFT(TH!O1333,3)&lt;&gt;"111",'152-CT'!$J$8=TH!F1333),"x","")</f>
        <v/>
      </c>
      <c r="AC1333" s="79" t="str">
        <f>IF(AND(OR(LEFT(TH!N1333,2)="15",LEFT(TH!O1333,2)="15"),TK!$E$7=TH!F1333),"x","")</f>
        <v/>
      </c>
      <c r="AD1333" s="79" t="str">
        <f>IF(AND(N1333="1521",MONTH(C1333)='BK-NL'!$M$11),"x","")</f>
        <v/>
      </c>
    </row>
    <row r="1334" spans="1:30" ht="16.5" customHeight="1">
      <c r="A1334" s="318" t="str">
        <f>IF(B1334&lt;&gt;"",IF(AND(B1334='IN-TC'!$S$4,OR(TH!N1334="1111",TH!O1334="1111")),TH!D1334,""),"")</f>
        <v/>
      </c>
      <c r="B1334" s="60" t="str">
        <f t="shared" si="200"/>
        <v/>
      </c>
      <c r="C1334" s="226"/>
      <c r="D1334" s="226"/>
      <c r="E1334" s="226"/>
      <c r="F1334" s="1010"/>
      <c r="G1334" s="763"/>
      <c r="H1334" s="321"/>
      <c r="I1334" s="385"/>
      <c r="J1334" s="385"/>
      <c r="K1334" s="385"/>
      <c r="L1334" s="392"/>
      <c r="M1334" s="970"/>
      <c r="N1334" s="980"/>
      <c r="O1334" s="980"/>
      <c r="P1334" s="79" t="str">
        <f>IF(AND('331-CT'!$E$7=TH!H1334,OR(N1334="331",O1334="331")),"x","")</f>
        <v/>
      </c>
      <c r="Q1334" s="79" t="str">
        <f>IF(AND(B1334='111'!$L$11,OR($N1334=$Q$7,$O1334=$Q$7)),"x","")</f>
        <v/>
      </c>
      <c r="R1334" s="79" t="str">
        <f>IF(AND($N1334=$Q$7,$B1334&lt;'111'!$L$11),"x","")</f>
        <v/>
      </c>
      <c r="S1334" s="79" t="str">
        <f>IF(AND($O1334=$Q$7,$B1334&lt;'111'!$L$11),"x","")</f>
        <v/>
      </c>
      <c r="T1334" s="79" t="str">
        <f>IF(ISERROR(FIND('112'!$M$9,G1334,1)),"",IF((AND(FIND('112'!$M$9,G1334,1)&gt;=1,B1334='112'!$K$9,OR($N1334='112'!$I$6,$O1334='112'!$I$6))),"x",""))</f>
        <v/>
      </c>
      <c r="U1334" s="79" t="str">
        <f>IF(ISERROR(FIND('112'!$M$9,G1334,1)),"",IF((AND(LEFT(G1334,2)=LEFT('112'!$M$9,2),B1334&lt;'112'!$K$9,$N1334='112'!$I$6)),"x",""))</f>
        <v/>
      </c>
      <c r="V1334" s="79" t="str">
        <f>IF(ISERROR(FIND('112'!$M$9,G1334,1)),"",IF((AND(RIGHT(G1334,2)=RIGHT('112'!$M$9,2),B1334&lt;'112'!$K$9,$O1334='112'!$I$6)),"x",""))</f>
        <v/>
      </c>
      <c r="W1334" s="79" t="str">
        <f>IF(AND('341-CT'!$H$9=H1334,OR(LEFT(N1334,3)=$W$7,LEFT(O1334,3)=$W$7)),"x","")</f>
        <v/>
      </c>
      <c r="X1334" s="79" t="str">
        <f>IF(OR(TH!N1334=TH!$X$7,O1334=TH!$X$7),"x","")</f>
        <v/>
      </c>
      <c r="Y1334" s="79" t="str">
        <f>IF(AND(OR(N1334="131",O1334="131"),H1334='131-CT'!$H$9),"x","")</f>
        <v/>
      </c>
      <c r="Z1334" s="79"/>
      <c r="AA1334" s="79" t="str">
        <f>IF(AND(MONTH(E1334)='IN-NX'!$J$5,'IN-NX'!$D$7=D1334),"x","")</f>
        <v/>
      </c>
      <c r="AB1334" s="79" t="str">
        <f>IF(AND(OR(LEFT(TH!N1334,2)="15",LEFT(TH!O1334,2)="15"),LEFT(TH!O1334,3)&lt;&gt;"111",'152-CT'!$J$8=TH!F1334),"x","")</f>
        <v/>
      </c>
      <c r="AC1334" s="79" t="str">
        <f>IF(AND(OR(LEFT(TH!N1334,2)="15",LEFT(TH!O1334,2)="15"),TK!$E$7=TH!F1334),"x","")</f>
        <v/>
      </c>
      <c r="AD1334" s="79" t="str">
        <f>IF(AND(N1334="1521",MONTH(C1334)='BK-NL'!$M$11),"x","")</f>
        <v/>
      </c>
    </row>
    <row r="1335" spans="1:30" ht="16.5" customHeight="1">
      <c r="A1335" s="318" t="str">
        <f>IF(B1335&lt;&gt;"",IF(AND(B1335='IN-TC'!$S$4,OR(TH!N1335="1111",TH!O1335="1111")),TH!D1335,""),"")</f>
        <v/>
      </c>
      <c r="B1335" s="60" t="str">
        <f t="shared" si="200"/>
        <v/>
      </c>
      <c r="C1335" s="226"/>
      <c r="D1335" s="226"/>
      <c r="E1335" s="226"/>
      <c r="F1335" s="1010"/>
      <c r="G1335" s="763"/>
      <c r="H1335" s="321"/>
      <c r="I1335" s="385"/>
      <c r="J1335" s="385"/>
      <c r="K1335" s="385"/>
      <c r="L1335" s="392"/>
      <c r="M1335" s="970"/>
      <c r="N1335" s="980"/>
      <c r="O1335" s="980"/>
      <c r="P1335" s="79" t="str">
        <f>IF(AND('331-CT'!$E$7=TH!H1335,OR(N1335="331",O1335="331")),"x","")</f>
        <v/>
      </c>
      <c r="Q1335" s="79" t="str">
        <f>IF(AND(B1335='111'!$L$11,OR($N1335=$Q$7,$O1335=$Q$7)),"x","")</f>
        <v/>
      </c>
      <c r="R1335" s="79" t="str">
        <f>IF(AND($N1335=$Q$7,$B1335&lt;'111'!$L$11),"x","")</f>
        <v/>
      </c>
      <c r="S1335" s="79" t="str">
        <f>IF(AND($O1335=$Q$7,$B1335&lt;'111'!$L$11),"x","")</f>
        <v/>
      </c>
      <c r="T1335" s="79" t="str">
        <f>IF(ISERROR(FIND('112'!$M$9,G1335,1)),"",IF((AND(FIND('112'!$M$9,G1335,1)&gt;=1,B1335='112'!$K$9,OR($N1335='112'!$I$6,$O1335='112'!$I$6))),"x",""))</f>
        <v/>
      </c>
      <c r="U1335" s="79" t="str">
        <f>IF(ISERROR(FIND('112'!$M$9,G1335,1)),"",IF((AND(LEFT(G1335,2)=LEFT('112'!$M$9,2),B1335&lt;'112'!$K$9,$N1335='112'!$I$6)),"x",""))</f>
        <v/>
      </c>
      <c r="V1335" s="79" t="str">
        <f>IF(ISERROR(FIND('112'!$M$9,G1335,1)),"",IF((AND(RIGHT(G1335,2)=RIGHT('112'!$M$9,2),B1335&lt;'112'!$K$9,$O1335='112'!$I$6)),"x",""))</f>
        <v/>
      </c>
      <c r="W1335" s="79" t="str">
        <f>IF(AND('341-CT'!$H$9=H1335,OR(LEFT(N1335,3)=$W$7,LEFT(O1335,3)=$W$7)),"x","")</f>
        <v/>
      </c>
      <c r="X1335" s="79" t="str">
        <f>IF(OR(TH!N1335=TH!$X$7,O1335=TH!$X$7),"x","")</f>
        <v/>
      </c>
      <c r="Y1335" s="79" t="str">
        <f>IF(AND(OR(N1335="131",O1335="131"),H1335='131-CT'!$H$9),"x","")</f>
        <v/>
      </c>
      <c r="Z1335" s="79"/>
      <c r="AA1335" s="79" t="str">
        <f>IF(AND(MONTH(E1335)='IN-NX'!$J$5,'IN-NX'!$D$7=D1335),"x","")</f>
        <v/>
      </c>
      <c r="AB1335" s="79" t="str">
        <f>IF(AND(OR(LEFT(TH!N1335,2)="15",LEFT(TH!O1335,2)="15"),LEFT(TH!O1335,3)&lt;&gt;"111",'152-CT'!$J$8=TH!F1335),"x","")</f>
        <v/>
      </c>
      <c r="AC1335" s="79" t="str">
        <f>IF(AND(OR(LEFT(TH!N1335,2)="15",LEFT(TH!O1335,2)="15"),TK!$E$7=TH!F1335),"x","")</f>
        <v/>
      </c>
      <c r="AD1335" s="79" t="str">
        <f>IF(AND(N1335="1521",MONTH(C1335)='BK-NL'!$M$11),"x","")</f>
        <v/>
      </c>
    </row>
    <row r="1336" spans="1:30" ht="16.5" customHeight="1">
      <c r="A1336" s="318" t="str">
        <f>IF(B1336&lt;&gt;"",IF(AND(B1336='IN-TC'!$S$4,OR(TH!N1336="1111",TH!O1336="1111")),TH!D1336,""),"")</f>
        <v/>
      </c>
      <c r="B1336" s="60" t="str">
        <f t="shared" si="200"/>
        <v/>
      </c>
      <c r="C1336" s="226"/>
      <c r="D1336" s="226"/>
      <c r="E1336" s="226"/>
      <c r="F1336" s="1010"/>
      <c r="G1336" s="763"/>
      <c r="H1336" s="321"/>
      <c r="I1336" s="385"/>
      <c r="J1336" s="385"/>
      <c r="K1336" s="385"/>
      <c r="L1336" s="392"/>
      <c r="M1336" s="970"/>
      <c r="N1336" s="980"/>
      <c r="O1336" s="980"/>
      <c r="P1336" s="79" t="str">
        <f>IF(AND('331-CT'!$E$7=TH!H1336,OR(N1336="331",O1336="331")),"x","")</f>
        <v/>
      </c>
      <c r="Q1336" s="79" t="str">
        <f>IF(AND(B1336='111'!$L$11,OR($N1336=$Q$7,$O1336=$Q$7)),"x","")</f>
        <v/>
      </c>
      <c r="R1336" s="79" t="str">
        <f>IF(AND($N1336=$Q$7,$B1336&lt;'111'!$L$11),"x","")</f>
        <v/>
      </c>
      <c r="S1336" s="79" t="str">
        <f>IF(AND($O1336=$Q$7,$B1336&lt;'111'!$L$11),"x","")</f>
        <v/>
      </c>
      <c r="T1336" s="79" t="str">
        <f>IF(ISERROR(FIND('112'!$M$9,G1336,1)),"",IF((AND(FIND('112'!$M$9,G1336,1)&gt;=1,B1336='112'!$K$9,OR($N1336='112'!$I$6,$O1336='112'!$I$6))),"x",""))</f>
        <v/>
      </c>
      <c r="U1336" s="79" t="str">
        <f>IF(ISERROR(FIND('112'!$M$9,G1336,1)),"",IF((AND(LEFT(G1336,2)=LEFT('112'!$M$9,2),B1336&lt;'112'!$K$9,$N1336='112'!$I$6)),"x",""))</f>
        <v/>
      </c>
      <c r="V1336" s="79" t="str">
        <f>IF(ISERROR(FIND('112'!$M$9,G1336,1)),"",IF((AND(RIGHT(G1336,2)=RIGHT('112'!$M$9,2),B1336&lt;'112'!$K$9,$O1336='112'!$I$6)),"x",""))</f>
        <v/>
      </c>
      <c r="W1336" s="79" t="str">
        <f>IF(AND('341-CT'!$H$9=H1336,OR(LEFT(N1336,3)=$W$7,LEFT(O1336,3)=$W$7)),"x","")</f>
        <v/>
      </c>
      <c r="X1336" s="79" t="str">
        <f>IF(OR(TH!N1336=TH!$X$7,O1336=TH!$X$7),"x","")</f>
        <v/>
      </c>
      <c r="Y1336" s="79" t="str">
        <f>IF(AND(OR(N1336="131",O1336="131"),H1336='131-CT'!$H$9),"x","")</f>
        <v/>
      </c>
      <c r="Z1336" s="79"/>
      <c r="AA1336" s="79" t="str">
        <f>IF(AND(MONTH(E1336)='IN-NX'!$J$5,'IN-NX'!$D$7=D1336),"x","")</f>
        <v/>
      </c>
      <c r="AB1336" s="79" t="str">
        <f>IF(AND(OR(LEFT(TH!N1336,2)="15",LEFT(TH!O1336,2)="15"),LEFT(TH!O1336,3)&lt;&gt;"111",'152-CT'!$J$8=TH!F1336),"x","")</f>
        <v/>
      </c>
      <c r="AC1336" s="79" t="str">
        <f>IF(AND(OR(LEFT(TH!N1336,2)="15",LEFT(TH!O1336,2)="15"),TK!$E$7=TH!F1336),"x","")</f>
        <v/>
      </c>
      <c r="AD1336" s="79" t="str">
        <f>IF(AND(N1336="1521",MONTH(C1336)='BK-NL'!$M$11),"x","")</f>
        <v/>
      </c>
    </row>
    <row r="1337" spans="1:30" ht="16.5" customHeight="1">
      <c r="A1337" s="318" t="str">
        <f>IF(B1337&lt;&gt;"",IF(AND(B1337='IN-TC'!$S$4,OR(TH!N1337="1111",TH!O1337="1111")),TH!D1337,""),"")</f>
        <v/>
      </c>
      <c r="B1337" s="60" t="str">
        <f t="shared" si="200"/>
        <v/>
      </c>
      <c r="C1337" s="226"/>
      <c r="D1337" s="226"/>
      <c r="E1337" s="226"/>
      <c r="F1337" s="1010"/>
      <c r="G1337" s="763"/>
      <c r="H1337" s="321"/>
      <c r="I1337" s="385"/>
      <c r="J1337" s="385"/>
      <c r="K1337" s="385"/>
      <c r="L1337" s="392"/>
      <c r="M1337" s="970"/>
      <c r="N1337" s="980"/>
      <c r="O1337" s="980"/>
      <c r="P1337" s="79" t="str">
        <f>IF(AND('331-CT'!$E$7=TH!H1337,OR(N1337="331",O1337="331")),"x","")</f>
        <v/>
      </c>
      <c r="Q1337" s="79" t="str">
        <f>IF(AND(B1337='111'!$L$11,OR($N1337=$Q$7,$O1337=$Q$7)),"x","")</f>
        <v/>
      </c>
      <c r="R1337" s="79" t="str">
        <f>IF(AND($N1337=$Q$7,$B1337&lt;'111'!$L$11),"x","")</f>
        <v/>
      </c>
      <c r="S1337" s="79" t="str">
        <f>IF(AND($O1337=$Q$7,$B1337&lt;'111'!$L$11),"x","")</f>
        <v/>
      </c>
      <c r="T1337" s="79" t="str">
        <f>IF(ISERROR(FIND('112'!$M$9,G1337,1)),"",IF((AND(FIND('112'!$M$9,G1337,1)&gt;=1,B1337='112'!$K$9,OR($N1337='112'!$I$6,$O1337='112'!$I$6))),"x",""))</f>
        <v/>
      </c>
      <c r="U1337" s="79" t="str">
        <f>IF(ISERROR(FIND('112'!$M$9,G1337,1)),"",IF((AND(LEFT(G1337,2)=LEFT('112'!$M$9,2),B1337&lt;'112'!$K$9,$N1337='112'!$I$6)),"x",""))</f>
        <v/>
      </c>
      <c r="V1337" s="79" t="str">
        <f>IF(ISERROR(FIND('112'!$M$9,G1337,1)),"",IF((AND(RIGHT(G1337,2)=RIGHT('112'!$M$9,2),B1337&lt;'112'!$K$9,$O1337='112'!$I$6)),"x",""))</f>
        <v/>
      </c>
      <c r="W1337" s="79" t="str">
        <f>IF(AND('341-CT'!$H$9=H1337,OR(LEFT(N1337,3)=$W$7,LEFT(O1337,3)=$W$7)),"x","")</f>
        <v/>
      </c>
      <c r="X1337" s="79" t="str">
        <f>IF(OR(TH!N1337=TH!$X$7,O1337=TH!$X$7),"x","")</f>
        <v/>
      </c>
      <c r="Y1337" s="79" t="str">
        <f>IF(AND(OR(N1337="131",O1337="131"),H1337='131-CT'!$H$9),"x","")</f>
        <v/>
      </c>
      <c r="Z1337" s="79"/>
      <c r="AA1337" s="79" t="str">
        <f>IF(AND(MONTH(E1337)='IN-NX'!$J$5,'IN-NX'!$D$7=D1337),"x","")</f>
        <v/>
      </c>
      <c r="AB1337" s="79" t="str">
        <f>IF(AND(OR(LEFT(TH!N1337,2)="15",LEFT(TH!O1337,2)="15"),LEFT(TH!O1337,3)&lt;&gt;"111",'152-CT'!$J$8=TH!F1337),"x","")</f>
        <v/>
      </c>
      <c r="AC1337" s="79" t="str">
        <f>IF(AND(OR(LEFT(TH!N1337,2)="15",LEFT(TH!O1337,2)="15"),TK!$E$7=TH!F1337),"x","")</f>
        <v/>
      </c>
      <c r="AD1337" s="79" t="str">
        <f>IF(AND(N1337="1521",MONTH(C1337)='BK-NL'!$M$11),"x","")</f>
        <v/>
      </c>
    </row>
    <row r="1338" spans="1:30" ht="16.5" customHeight="1">
      <c r="A1338" s="318" t="str">
        <f>IF(B1338&lt;&gt;"",IF(AND(B1338='IN-TC'!$S$4,OR(TH!N1338="1111",TH!O1338="1111")),TH!D1338,""),"")</f>
        <v/>
      </c>
      <c r="B1338" s="60" t="str">
        <f t="shared" si="200"/>
        <v/>
      </c>
      <c r="C1338" s="226"/>
      <c r="D1338" s="226"/>
      <c r="E1338" s="226"/>
      <c r="F1338" s="1010"/>
      <c r="G1338" s="763"/>
      <c r="H1338" s="321"/>
      <c r="I1338" s="385"/>
      <c r="J1338" s="385"/>
      <c r="K1338" s="385"/>
      <c r="L1338" s="392"/>
      <c r="M1338" s="970"/>
      <c r="N1338" s="980"/>
      <c r="O1338" s="980"/>
      <c r="P1338" s="79" t="str">
        <f>IF(AND('331-CT'!$E$7=TH!H1338,OR(N1338="331",O1338="331")),"x","")</f>
        <v/>
      </c>
      <c r="Q1338" s="79" t="str">
        <f>IF(AND(B1338='111'!$L$11,OR($N1338=$Q$7,$O1338=$Q$7)),"x","")</f>
        <v/>
      </c>
      <c r="R1338" s="79" t="str">
        <f>IF(AND($N1338=$Q$7,$B1338&lt;'111'!$L$11),"x","")</f>
        <v/>
      </c>
      <c r="S1338" s="79" t="str">
        <f>IF(AND($O1338=$Q$7,$B1338&lt;'111'!$L$11),"x","")</f>
        <v/>
      </c>
      <c r="T1338" s="79" t="str">
        <f>IF(ISERROR(FIND('112'!$M$9,G1338,1)),"",IF((AND(FIND('112'!$M$9,G1338,1)&gt;=1,B1338='112'!$K$9,OR($N1338='112'!$I$6,$O1338='112'!$I$6))),"x",""))</f>
        <v/>
      </c>
      <c r="U1338" s="79" t="str">
        <f>IF(ISERROR(FIND('112'!$M$9,G1338,1)),"",IF((AND(LEFT(G1338,2)=LEFT('112'!$M$9,2),B1338&lt;'112'!$K$9,$N1338='112'!$I$6)),"x",""))</f>
        <v/>
      </c>
      <c r="V1338" s="79" t="str">
        <f>IF(ISERROR(FIND('112'!$M$9,G1338,1)),"",IF((AND(RIGHT(G1338,2)=RIGHT('112'!$M$9,2),B1338&lt;'112'!$K$9,$O1338='112'!$I$6)),"x",""))</f>
        <v/>
      </c>
      <c r="W1338" s="79" t="str">
        <f>IF(AND('341-CT'!$H$9=H1338,OR(LEFT(N1338,3)=$W$7,LEFT(O1338,3)=$W$7)),"x","")</f>
        <v/>
      </c>
      <c r="X1338" s="79" t="str">
        <f>IF(OR(TH!N1338=TH!$X$7,O1338=TH!$X$7),"x","")</f>
        <v/>
      </c>
      <c r="Y1338" s="79" t="str">
        <f>IF(AND(OR(N1338="131",O1338="131"),H1338='131-CT'!$H$9),"x","")</f>
        <v/>
      </c>
      <c r="Z1338" s="79"/>
      <c r="AA1338" s="79" t="str">
        <f>IF(AND(MONTH(E1338)='IN-NX'!$J$5,'IN-NX'!$D$7=D1338),"x","")</f>
        <v/>
      </c>
      <c r="AB1338" s="79" t="str">
        <f>IF(AND(OR(LEFT(TH!N1338,2)="15",LEFT(TH!O1338,2)="15"),LEFT(TH!O1338,3)&lt;&gt;"111",'152-CT'!$J$8=TH!F1338),"x","")</f>
        <v/>
      </c>
      <c r="AC1338" s="79" t="str">
        <f>IF(AND(OR(LEFT(TH!N1338,2)="15",LEFT(TH!O1338,2)="15"),TK!$E$7=TH!F1338),"x","")</f>
        <v/>
      </c>
      <c r="AD1338" s="79" t="str">
        <f>IF(AND(N1338="1521",MONTH(C1338)='BK-NL'!$M$11),"x","")</f>
        <v/>
      </c>
    </row>
    <row r="1339" spans="1:30" ht="16.5" customHeight="1">
      <c r="A1339" s="318" t="str">
        <f>IF(B1339&lt;&gt;"",IF(AND(B1339='IN-TC'!$S$4,OR(TH!N1339="1111",TH!O1339="1111")),TH!D1339,""),"")</f>
        <v/>
      </c>
      <c r="B1339" s="60" t="str">
        <f t="shared" si="200"/>
        <v/>
      </c>
      <c r="C1339" s="226"/>
      <c r="D1339" s="226"/>
      <c r="E1339" s="226"/>
      <c r="F1339" s="1010"/>
      <c r="G1339" s="763"/>
      <c r="H1339" s="321"/>
      <c r="I1339" s="385"/>
      <c r="J1339" s="385"/>
      <c r="K1339" s="385"/>
      <c r="L1339" s="392"/>
      <c r="M1339" s="970"/>
      <c r="N1339" s="980"/>
      <c r="O1339" s="980"/>
      <c r="P1339" s="79" t="str">
        <f>IF(AND('331-CT'!$E$7=TH!H1339,OR(N1339="331",O1339="331")),"x","")</f>
        <v/>
      </c>
      <c r="Q1339" s="79" t="str">
        <f>IF(AND(B1339='111'!$L$11,OR($N1339=$Q$7,$O1339=$Q$7)),"x","")</f>
        <v/>
      </c>
      <c r="R1339" s="79" t="str">
        <f>IF(AND($N1339=$Q$7,$B1339&lt;'111'!$L$11),"x","")</f>
        <v/>
      </c>
      <c r="S1339" s="79" t="str">
        <f>IF(AND($O1339=$Q$7,$B1339&lt;'111'!$L$11),"x","")</f>
        <v/>
      </c>
      <c r="T1339" s="79" t="str">
        <f>IF(ISERROR(FIND('112'!$M$9,G1339,1)),"",IF((AND(FIND('112'!$M$9,G1339,1)&gt;=1,B1339='112'!$K$9,OR($N1339='112'!$I$6,$O1339='112'!$I$6))),"x",""))</f>
        <v/>
      </c>
      <c r="U1339" s="79" t="str">
        <f>IF(ISERROR(FIND('112'!$M$9,G1339,1)),"",IF((AND(LEFT(G1339,2)=LEFT('112'!$M$9,2),B1339&lt;'112'!$K$9,$N1339='112'!$I$6)),"x",""))</f>
        <v/>
      </c>
      <c r="V1339" s="79" t="str">
        <f>IF(ISERROR(FIND('112'!$M$9,G1339,1)),"",IF((AND(RIGHT(G1339,2)=RIGHT('112'!$M$9,2),B1339&lt;'112'!$K$9,$O1339='112'!$I$6)),"x",""))</f>
        <v/>
      </c>
      <c r="W1339" s="79" t="str">
        <f>IF(AND('341-CT'!$H$9=H1339,OR(LEFT(N1339,3)=$W$7,LEFT(O1339,3)=$W$7)),"x","")</f>
        <v/>
      </c>
      <c r="X1339" s="79" t="str">
        <f>IF(OR(TH!N1339=TH!$X$7,O1339=TH!$X$7),"x","")</f>
        <v/>
      </c>
      <c r="Y1339" s="79" t="str">
        <f>IF(AND(OR(N1339="131",O1339="131"),H1339='131-CT'!$H$9),"x","")</f>
        <v/>
      </c>
      <c r="Z1339" s="79"/>
      <c r="AA1339" s="79" t="str">
        <f>IF(AND(MONTH(E1339)='IN-NX'!$J$5,'IN-NX'!$D$7=D1339),"x","")</f>
        <v/>
      </c>
      <c r="AB1339" s="79" t="str">
        <f>IF(AND(OR(LEFT(TH!N1339,2)="15",LEFT(TH!O1339,2)="15"),LEFT(TH!O1339,3)&lt;&gt;"111",'152-CT'!$J$8=TH!F1339),"x","")</f>
        <v/>
      </c>
      <c r="AC1339" s="79" t="str">
        <f>IF(AND(OR(LEFT(TH!N1339,2)="15",LEFT(TH!O1339,2)="15"),TK!$E$7=TH!F1339),"x","")</f>
        <v/>
      </c>
      <c r="AD1339" s="79" t="str">
        <f>IF(AND(N1339="1521",MONTH(C1339)='BK-NL'!$M$11),"x","")</f>
        <v/>
      </c>
    </row>
    <row r="1340" spans="1:30" ht="16.5" customHeight="1">
      <c r="A1340" s="318" t="str">
        <f>IF(B1340&lt;&gt;"",IF(AND(B1340='IN-TC'!$S$4,OR(TH!N1340="1111",TH!O1340="1111")),TH!D1340,""),"")</f>
        <v/>
      </c>
      <c r="B1340" s="60" t="str">
        <f t="shared" si="200"/>
        <v/>
      </c>
      <c r="C1340" s="226"/>
      <c r="D1340" s="226"/>
      <c r="E1340" s="226"/>
      <c r="F1340" s="1010"/>
      <c r="G1340" s="763"/>
      <c r="H1340" s="321"/>
      <c r="I1340" s="385"/>
      <c r="J1340" s="385"/>
      <c r="K1340" s="385"/>
      <c r="L1340" s="392"/>
      <c r="M1340" s="970"/>
      <c r="N1340" s="980"/>
      <c r="O1340" s="980"/>
      <c r="P1340" s="79" t="str">
        <f>IF(AND('331-CT'!$E$7=TH!H1340,OR(N1340="331",O1340="331")),"x","")</f>
        <v/>
      </c>
      <c r="Q1340" s="79" t="str">
        <f>IF(AND(B1340='111'!$L$11,OR($N1340=$Q$7,$O1340=$Q$7)),"x","")</f>
        <v/>
      </c>
      <c r="R1340" s="79" t="str">
        <f>IF(AND($N1340=$Q$7,$B1340&lt;'111'!$L$11),"x","")</f>
        <v/>
      </c>
      <c r="S1340" s="79" t="str">
        <f>IF(AND($O1340=$Q$7,$B1340&lt;'111'!$L$11),"x","")</f>
        <v/>
      </c>
      <c r="T1340" s="79" t="str">
        <f>IF(ISERROR(FIND('112'!$M$9,G1340,1)),"",IF((AND(FIND('112'!$M$9,G1340,1)&gt;=1,B1340='112'!$K$9,OR($N1340='112'!$I$6,$O1340='112'!$I$6))),"x",""))</f>
        <v/>
      </c>
      <c r="U1340" s="79" t="str">
        <f>IF(ISERROR(FIND('112'!$M$9,G1340,1)),"",IF((AND(LEFT(G1340,2)=LEFT('112'!$M$9,2),B1340&lt;'112'!$K$9,$N1340='112'!$I$6)),"x",""))</f>
        <v/>
      </c>
      <c r="V1340" s="79" t="str">
        <f>IF(ISERROR(FIND('112'!$M$9,G1340,1)),"",IF((AND(RIGHT(G1340,2)=RIGHT('112'!$M$9,2),B1340&lt;'112'!$K$9,$O1340='112'!$I$6)),"x",""))</f>
        <v/>
      </c>
      <c r="W1340" s="79" t="str">
        <f>IF(AND('341-CT'!$H$9=H1340,OR(LEFT(N1340,3)=$W$7,LEFT(O1340,3)=$W$7)),"x","")</f>
        <v/>
      </c>
      <c r="X1340" s="79" t="str">
        <f>IF(OR(TH!N1340=TH!$X$7,O1340=TH!$X$7),"x","")</f>
        <v/>
      </c>
      <c r="Y1340" s="79" t="str">
        <f>IF(AND(OR(N1340="131",O1340="131"),H1340='131-CT'!$H$9),"x","")</f>
        <v/>
      </c>
      <c r="Z1340" s="79"/>
      <c r="AA1340" s="79" t="str">
        <f>IF(AND(MONTH(E1340)='IN-NX'!$J$5,'IN-NX'!$D$7=D1340),"x","")</f>
        <v/>
      </c>
      <c r="AB1340" s="79" t="str">
        <f>IF(AND(OR(LEFT(TH!N1340,2)="15",LEFT(TH!O1340,2)="15"),LEFT(TH!O1340,3)&lt;&gt;"111",'152-CT'!$J$8=TH!F1340),"x","")</f>
        <v/>
      </c>
      <c r="AC1340" s="79" t="str">
        <f>IF(AND(OR(LEFT(TH!N1340,2)="15",LEFT(TH!O1340,2)="15"),TK!$E$7=TH!F1340),"x","")</f>
        <v/>
      </c>
      <c r="AD1340" s="79" t="str">
        <f>IF(AND(N1340="1521",MONTH(C1340)='BK-NL'!$M$11),"x","")</f>
        <v/>
      </c>
    </row>
    <row r="1341" spans="1:30" ht="16.5" customHeight="1">
      <c r="A1341" s="318" t="str">
        <f>IF(B1341&lt;&gt;"",IF(AND(B1341='IN-TC'!$S$4,OR(TH!N1341="1111",TH!O1341="1111")),TH!D1341,""),"")</f>
        <v/>
      </c>
      <c r="B1341" s="60" t="str">
        <f t="shared" si="200"/>
        <v/>
      </c>
      <c r="C1341" s="226"/>
      <c r="D1341" s="226"/>
      <c r="E1341" s="226"/>
      <c r="F1341" s="1010"/>
      <c r="G1341" s="763"/>
      <c r="H1341" s="321"/>
      <c r="I1341" s="385"/>
      <c r="J1341" s="385"/>
      <c r="K1341" s="385"/>
      <c r="L1341" s="392"/>
      <c r="M1341" s="970"/>
      <c r="N1341" s="980"/>
      <c r="O1341" s="980"/>
      <c r="P1341" s="79" t="str">
        <f>IF(AND('331-CT'!$E$7=TH!H1341,OR(N1341="331",O1341="331")),"x","")</f>
        <v/>
      </c>
      <c r="Q1341" s="79" t="str">
        <f>IF(AND(B1341='111'!$L$11,OR($N1341=$Q$7,$O1341=$Q$7)),"x","")</f>
        <v/>
      </c>
      <c r="R1341" s="79" t="str">
        <f>IF(AND($N1341=$Q$7,$B1341&lt;'111'!$L$11),"x","")</f>
        <v/>
      </c>
      <c r="S1341" s="79" t="str">
        <f>IF(AND($O1341=$Q$7,$B1341&lt;'111'!$L$11),"x","")</f>
        <v/>
      </c>
      <c r="T1341" s="79" t="str">
        <f>IF(ISERROR(FIND('112'!$M$9,G1341,1)),"",IF((AND(FIND('112'!$M$9,G1341,1)&gt;=1,B1341='112'!$K$9,OR($N1341='112'!$I$6,$O1341='112'!$I$6))),"x",""))</f>
        <v/>
      </c>
      <c r="U1341" s="79" t="str">
        <f>IF(ISERROR(FIND('112'!$M$9,G1341,1)),"",IF((AND(LEFT(G1341,2)=LEFT('112'!$M$9,2),B1341&lt;'112'!$K$9,$N1341='112'!$I$6)),"x",""))</f>
        <v/>
      </c>
      <c r="V1341" s="79" t="str">
        <f>IF(ISERROR(FIND('112'!$M$9,G1341,1)),"",IF((AND(RIGHT(G1341,2)=RIGHT('112'!$M$9,2),B1341&lt;'112'!$K$9,$O1341='112'!$I$6)),"x",""))</f>
        <v/>
      </c>
      <c r="W1341" s="79" t="str">
        <f>IF(AND('341-CT'!$H$9=H1341,OR(LEFT(N1341,3)=$W$7,LEFT(O1341,3)=$W$7)),"x","")</f>
        <v/>
      </c>
      <c r="X1341" s="79" t="str">
        <f>IF(OR(TH!N1341=TH!$X$7,O1341=TH!$X$7),"x","")</f>
        <v/>
      </c>
      <c r="Y1341" s="79" t="str">
        <f>IF(AND(OR(N1341="131",O1341="131"),H1341='131-CT'!$H$9),"x","")</f>
        <v/>
      </c>
      <c r="Z1341" s="79"/>
      <c r="AA1341" s="79" t="str">
        <f>IF(AND(MONTH(E1341)='IN-NX'!$J$5,'IN-NX'!$D$7=D1341),"x","")</f>
        <v/>
      </c>
      <c r="AB1341" s="79" t="str">
        <f>IF(AND(OR(LEFT(TH!N1341,2)="15",LEFT(TH!O1341,2)="15"),LEFT(TH!O1341,3)&lt;&gt;"111",'152-CT'!$J$8=TH!F1341),"x","")</f>
        <v/>
      </c>
      <c r="AC1341" s="79" t="str">
        <f>IF(AND(OR(LEFT(TH!N1341,2)="15",LEFT(TH!O1341,2)="15"),TK!$E$7=TH!F1341),"x","")</f>
        <v/>
      </c>
      <c r="AD1341" s="79" t="str">
        <f>IF(AND(N1341="1521",MONTH(C1341)='BK-NL'!$M$11),"x","")</f>
        <v/>
      </c>
    </row>
    <row r="1342" spans="1:30" s="1102" customFormat="1" ht="16.5" customHeight="1">
      <c r="A1342" s="318" t="str">
        <f>IF(B1342&lt;&gt;"",IF(AND(B1342='IN-TC'!$S$4,OR(TH!N1342="1111",TH!O1342="1111")),TH!D1342,""),"")</f>
        <v/>
      </c>
      <c r="B1342" s="60" t="str">
        <f t="shared" si="200"/>
        <v/>
      </c>
      <c r="C1342" s="226"/>
      <c r="D1342" s="226"/>
      <c r="E1342" s="226"/>
      <c r="F1342" s="1008"/>
      <c r="G1342" s="987"/>
      <c r="H1342" s="85"/>
      <c r="I1342" s="984"/>
      <c r="J1342" s="984"/>
      <c r="K1342" s="984"/>
      <c r="L1342" s="983"/>
      <c r="M1342" s="970"/>
      <c r="N1342" s="980"/>
      <c r="O1342" s="980"/>
      <c r="P1342" s="79" t="str">
        <f>IF(AND('331-CT'!$E$7=TH!H1342,OR(N1342="331",O1342="331")),"x","")</f>
        <v/>
      </c>
      <c r="Q1342" s="79" t="str">
        <f>IF(AND(B1342='111'!$L$11,OR($N1342=$Q$7,$O1342=$Q$7)),"x","")</f>
        <v/>
      </c>
      <c r="R1342" s="79" t="str">
        <f>IF(AND($N1342=$Q$7,$B1342&lt;'111'!$L$11),"x","")</f>
        <v/>
      </c>
      <c r="S1342" s="79" t="str">
        <f>IF(AND($O1342=$Q$7,$B1342&lt;'111'!$L$11),"x","")</f>
        <v/>
      </c>
      <c r="T1342" s="79" t="str">
        <f>IF(ISERROR(FIND('112'!$M$9,G1342,1)),"",IF((AND(FIND('112'!$M$9,G1342,1)&gt;=1,B1342='112'!$K$9,OR($N1342='112'!$I$6,$O1342='112'!$I$6))),"x",""))</f>
        <v/>
      </c>
      <c r="U1342" s="79" t="str">
        <f>IF(ISERROR(FIND('112'!$M$9,G1342,1)),"",IF((AND(LEFT(G1342,2)=LEFT('112'!$M$9,2),B1342&lt;'112'!$K$9,$N1342='112'!$I$6)),"x",""))</f>
        <v/>
      </c>
      <c r="V1342" s="79" t="str">
        <f>IF(ISERROR(FIND('112'!$M$9,G1342,1)),"",IF((AND(RIGHT(G1342,2)=RIGHT('112'!$M$9,2),B1342&lt;'112'!$K$9,$O1342='112'!$I$6)),"x",""))</f>
        <v/>
      </c>
      <c r="W1342" s="79" t="str">
        <f>IF(AND('341-CT'!$H$9=H1342,OR(LEFT(N1342,3)=$W$7,LEFT(O1342,3)=$W$7)),"x","")</f>
        <v/>
      </c>
      <c r="X1342" s="79" t="str">
        <f>IF(OR(TH!N1342=TH!$X$7,O1342=TH!$X$7),"x","")</f>
        <v/>
      </c>
      <c r="Y1342" s="79" t="str">
        <f>IF(AND(OR(N1342="131",O1342="131"),H1342='131-CT'!$H$9),"x","")</f>
        <v/>
      </c>
      <c r="Z1342" s="79"/>
      <c r="AA1342" s="79" t="str">
        <f>IF(AND(MONTH(E1342)='IN-NX'!$J$5,'IN-NX'!$D$7=D1342),"x","")</f>
        <v/>
      </c>
      <c r="AB1342" s="79" t="str">
        <f>IF(AND(OR(LEFT(TH!N1342,2)="15",LEFT(TH!O1342,2)="15"),LEFT(TH!O1342,3)&lt;&gt;"111",'152-CT'!$J$8=TH!F1342),"x","")</f>
        <v/>
      </c>
      <c r="AC1342" s="79" t="str">
        <f>IF(AND(OR(LEFT(TH!N1342,2)="15",LEFT(TH!O1342,2)="15"),TK!$E$7=TH!F1342),"x","")</f>
        <v/>
      </c>
      <c r="AD1342" s="79" t="str">
        <f>IF(AND(N1342="1521",MONTH(C1342)='BK-NL'!$M$11),"x","")</f>
        <v/>
      </c>
    </row>
    <row r="1343" spans="1:30" s="1102" customFormat="1" ht="16.5" customHeight="1">
      <c r="A1343" s="318" t="str">
        <f>IF(B1343&lt;&gt;"",IF(AND(B1343='IN-TC'!$S$4,OR(TH!N1343="1111",TH!O1343="1111")),TH!D1343,""),"")</f>
        <v/>
      </c>
      <c r="B1343" s="60" t="str">
        <f t="shared" si="200"/>
        <v/>
      </c>
      <c r="C1343" s="226"/>
      <c r="D1343" s="226"/>
      <c r="E1343" s="226"/>
      <c r="F1343" s="1008"/>
      <c r="G1343" s="987"/>
      <c r="H1343" s="85"/>
      <c r="I1343" s="984"/>
      <c r="J1343" s="984"/>
      <c r="K1343" s="984"/>
      <c r="L1343" s="983"/>
      <c r="M1343" s="970"/>
      <c r="N1343" s="980"/>
      <c r="O1343" s="980"/>
      <c r="P1343" s="79" t="str">
        <f>IF(AND('331-CT'!$E$7=TH!H1343,OR(N1343="331",O1343="331")),"x","")</f>
        <v/>
      </c>
      <c r="Q1343" s="79" t="str">
        <f>IF(AND(B1343='111'!$L$11,OR($N1343=$Q$7,$O1343=$Q$7)),"x","")</f>
        <v/>
      </c>
      <c r="R1343" s="79" t="str">
        <f>IF(AND($N1343=$Q$7,$B1343&lt;'111'!$L$11),"x","")</f>
        <v/>
      </c>
      <c r="S1343" s="79" t="str">
        <f>IF(AND($O1343=$Q$7,$B1343&lt;'111'!$L$11),"x","")</f>
        <v/>
      </c>
      <c r="T1343" s="79" t="str">
        <f>IF(ISERROR(FIND('112'!$M$9,G1343,1)),"",IF((AND(FIND('112'!$M$9,G1343,1)&gt;=1,B1343='112'!$K$9,OR($N1343='112'!$I$6,$O1343='112'!$I$6))),"x",""))</f>
        <v/>
      </c>
      <c r="U1343" s="79" t="str">
        <f>IF(ISERROR(FIND('112'!$M$9,G1343,1)),"",IF((AND(LEFT(G1343,2)=LEFT('112'!$M$9,2),B1343&lt;'112'!$K$9,$N1343='112'!$I$6)),"x",""))</f>
        <v/>
      </c>
      <c r="V1343" s="79" t="str">
        <f>IF(ISERROR(FIND('112'!$M$9,G1343,1)),"",IF((AND(RIGHT(G1343,2)=RIGHT('112'!$M$9,2),B1343&lt;'112'!$K$9,$O1343='112'!$I$6)),"x",""))</f>
        <v/>
      </c>
      <c r="W1343" s="79" t="str">
        <f>IF(AND('341-CT'!$H$9=H1343,OR(LEFT(N1343,3)=$W$7,LEFT(O1343,3)=$W$7)),"x","")</f>
        <v/>
      </c>
      <c r="X1343" s="79" t="str">
        <f>IF(OR(TH!N1343=TH!$X$7,O1343=TH!$X$7),"x","")</f>
        <v/>
      </c>
      <c r="Y1343" s="79" t="str">
        <f>IF(AND(OR(N1343="131",O1343="131"),H1343='131-CT'!$H$9),"x","")</f>
        <v/>
      </c>
      <c r="Z1343" s="79"/>
      <c r="AA1343" s="79" t="str">
        <f>IF(AND(MONTH(E1343)='IN-NX'!$J$5,'IN-NX'!$D$7=D1343),"x","")</f>
        <v/>
      </c>
      <c r="AB1343" s="79" t="str">
        <f>IF(AND(OR(LEFT(TH!N1343,2)="15",LEFT(TH!O1343,2)="15"),LEFT(TH!O1343,3)&lt;&gt;"111",'152-CT'!$J$8=TH!F1343),"x","")</f>
        <v/>
      </c>
      <c r="AC1343" s="79" t="str">
        <f>IF(AND(OR(LEFT(TH!N1343,2)="15",LEFT(TH!O1343,2)="15"),TK!$E$7=TH!F1343),"x","")</f>
        <v/>
      </c>
      <c r="AD1343" s="79" t="str">
        <f>IF(AND(N1343="1521",MONTH(C1343)='BK-NL'!$M$11),"x","")</f>
        <v/>
      </c>
    </row>
    <row r="1344" spans="1:30" s="1102" customFormat="1" ht="16.5" customHeight="1">
      <c r="A1344" s="318" t="str">
        <f>IF(B1344&lt;&gt;"",IF(AND(B1344='IN-TC'!$S$4,OR(TH!N1344="1111",TH!O1344="1111")),TH!D1344,""),"")</f>
        <v/>
      </c>
      <c r="B1344" s="60" t="str">
        <f t="shared" si="200"/>
        <v/>
      </c>
      <c r="C1344" s="226"/>
      <c r="D1344" s="226"/>
      <c r="E1344" s="226"/>
      <c r="F1344" s="1008"/>
      <c r="G1344" s="987"/>
      <c r="H1344" s="85"/>
      <c r="I1344" s="984"/>
      <c r="J1344" s="984"/>
      <c r="K1344" s="984"/>
      <c r="L1344" s="983"/>
      <c r="M1344" s="970"/>
      <c r="N1344" s="980"/>
      <c r="O1344" s="980"/>
      <c r="P1344" s="79" t="str">
        <f>IF(AND('331-CT'!$E$7=TH!H1344,OR(N1344="331",O1344="331")),"x","")</f>
        <v/>
      </c>
      <c r="Q1344" s="79" t="str">
        <f>IF(AND(B1344='111'!$L$11,OR($N1344=$Q$7,$O1344=$Q$7)),"x","")</f>
        <v/>
      </c>
      <c r="R1344" s="79" t="str">
        <f>IF(AND($N1344=$Q$7,$B1344&lt;'111'!$L$11),"x","")</f>
        <v/>
      </c>
      <c r="S1344" s="79" t="str">
        <f>IF(AND($O1344=$Q$7,$B1344&lt;'111'!$L$11),"x","")</f>
        <v/>
      </c>
      <c r="T1344" s="79" t="str">
        <f>IF(ISERROR(FIND('112'!$M$9,G1344,1)),"",IF((AND(FIND('112'!$M$9,G1344,1)&gt;=1,B1344='112'!$K$9,OR($N1344='112'!$I$6,$O1344='112'!$I$6))),"x",""))</f>
        <v/>
      </c>
      <c r="U1344" s="79" t="str">
        <f>IF(ISERROR(FIND('112'!$M$9,G1344,1)),"",IF((AND(LEFT(G1344,2)=LEFT('112'!$M$9,2),B1344&lt;'112'!$K$9,$N1344='112'!$I$6)),"x",""))</f>
        <v/>
      </c>
      <c r="V1344" s="79" t="str">
        <f>IF(ISERROR(FIND('112'!$M$9,G1344,1)),"",IF((AND(RIGHT(G1344,2)=RIGHT('112'!$M$9,2),B1344&lt;'112'!$K$9,$O1344='112'!$I$6)),"x",""))</f>
        <v/>
      </c>
      <c r="W1344" s="79" t="str">
        <f>IF(AND('341-CT'!$H$9=H1344,OR(LEFT(N1344,3)=$W$7,LEFT(O1344,3)=$W$7)),"x","")</f>
        <v/>
      </c>
      <c r="X1344" s="79" t="str">
        <f>IF(OR(TH!N1344=TH!$X$7,O1344=TH!$X$7),"x","")</f>
        <v/>
      </c>
      <c r="Y1344" s="79" t="str">
        <f>IF(AND(OR(N1344="131",O1344="131"),H1344='131-CT'!$H$9),"x","")</f>
        <v/>
      </c>
      <c r="Z1344" s="79"/>
      <c r="AA1344" s="79" t="str">
        <f>IF(AND(MONTH(E1344)='IN-NX'!$J$5,'IN-NX'!$D$7=D1344),"x","")</f>
        <v/>
      </c>
      <c r="AB1344" s="79" t="str">
        <f>IF(AND(OR(LEFT(TH!N1344,2)="15",LEFT(TH!O1344,2)="15"),LEFT(TH!O1344,3)&lt;&gt;"111",'152-CT'!$J$8=TH!F1344),"x","")</f>
        <v/>
      </c>
      <c r="AC1344" s="79" t="str">
        <f>IF(AND(OR(LEFT(TH!N1344,2)="15",LEFT(TH!O1344,2)="15"),TK!$E$7=TH!F1344),"x","")</f>
        <v/>
      </c>
      <c r="AD1344" s="79" t="str">
        <f>IF(AND(N1344="1521",MONTH(C1344)='BK-NL'!$M$11),"x","")</f>
        <v/>
      </c>
    </row>
    <row r="1345" spans="1:30" s="1102" customFormat="1" ht="16.5" customHeight="1">
      <c r="A1345" s="318" t="str">
        <f>IF(B1345&lt;&gt;"",IF(AND(B1345='IN-TC'!$S$4,OR(TH!N1345="1111",TH!O1345="1111")),TH!D1345,""),"")</f>
        <v/>
      </c>
      <c r="B1345" s="60" t="str">
        <f t="shared" si="200"/>
        <v/>
      </c>
      <c r="C1345" s="226"/>
      <c r="D1345" s="226"/>
      <c r="E1345" s="226"/>
      <c r="F1345" s="1008"/>
      <c r="G1345" s="987"/>
      <c r="H1345" s="85"/>
      <c r="I1345" s="984"/>
      <c r="J1345" s="984"/>
      <c r="K1345" s="984"/>
      <c r="L1345" s="983"/>
      <c r="M1345" s="970"/>
      <c r="N1345" s="980"/>
      <c r="O1345" s="980"/>
      <c r="P1345" s="79" t="str">
        <f>IF(AND('331-CT'!$E$7=TH!H1345,OR(N1345="331",O1345="331")),"x","")</f>
        <v/>
      </c>
      <c r="Q1345" s="79" t="str">
        <f>IF(AND(B1345='111'!$L$11,OR($N1345=$Q$7,$O1345=$Q$7)),"x","")</f>
        <v/>
      </c>
      <c r="R1345" s="79" t="str">
        <f>IF(AND($N1345=$Q$7,$B1345&lt;'111'!$L$11),"x","")</f>
        <v/>
      </c>
      <c r="S1345" s="79" t="str">
        <f>IF(AND($O1345=$Q$7,$B1345&lt;'111'!$L$11),"x","")</f>
        <v/>
      </c>
      <c r="T1345" s="79" t="str">
        <f>IF(ISERROR(FIND('112'!$M$9,G1345,1)),"",IF((AND(FIND('112'!$M$9,G1345,1)&gt;=1,B1345='112'!$K$9,OR($N1345='112'!$I$6,$O1345='112'!$I$6))),"x",""))</f>
        <v/>
      </c>
      <c r="U1345" s="79" t="str">
        <f>IF(ISERROR(FIND('112'!$M$9,G1345,1)),"",IF((AND(LEFT(G1345,2)=LEFT('112'!$M$9,2),B1345&lt;'112'!$K$9,$N1345='112'!$I$6)),"x",""))</f>
        <v/>
      </c>
      <c r="V1345" s="79" t="str">
        <f>IF(ISERROR(FIND('112'!$M$9,G1345,1)),"",IF((AND(RIGHT(G1345,2)=RIGHT('112'!$M$9,2),B1345&lt;'112'!$K$9,$O1345='112'!$I$6)),"x",""))</f>
        <v/>
      </c>
      <c r="W1345" s="79" t="str">
        <f>IF(AND('341-CT'!$H$9=H1345,OR(LEFT(N1345,3)=$W$7,LEFT(O1345,3)=$W$7)),"x","")</f>
        <v/>
      </c>
      <c r="X1345" s="79" t="str">
        <f>IF(OR(TH!N1345=TH!$X$7,O1345=TH!$X$7),"x","")</f>
        <v/>
      </c>
      <c r="Y1345" s="79" t="str">
        <f>IF(AND(OR(N1345="131",O1345="131"),H1345='131-CT'!$H$9),"x","")</f>
        <v/>
      </c>
      <c r="Z1345" s="79"/>
      <c r="AA1345" s="79" t="str">
        <f>IF(AND(MONTH(E1345)='IN-NX'!$J$5,'IN-NX'!$D$7=D1345),"x","")</f>
        <v/>
      </c>
      <c r="AB1345" s="79" t="str">
        <f>IF(AND(OR(LEFT(TH!N1345,2)="15",LEFT(TH!O1345,2)="15"),LEFT(TH!O1345,3)&lt;&gt;"111",'152-CT'!$J$8=TH!F1345),"x","")</f>
        <v/>
      </c>
      <c r="AC1345" s="79" t="str">
        <f>IF(AND(OR(LEFT(TH!N1345,2)="15",LEFT(TH!O1345,2)="15"),TK!$E$7=TH!F1345),"x","")</f>
        <v/>
      </c>
      <c r="AD1345" s="79" t="str">
        <f>IF(AND(N1345="1521",MONTH(C1345)='BK-NL'!$M$11),"x","")</f>
        <v/>
      </c>
    </row>
    <row r="1346" spans="1:30" s="1102" customFormat="1" ht="16.5" customHeight="1">
      <c r="A1346" s="318" t="str">
        <f>IF(B1346&lt;&gt;"",IF(AND(B1346='IN-TC'!$S$4,OR(TH!N1346="1111",TH!O1346="1111")),TH!D1346,""),"")</f>
        <v/>
      </c>
      <c r="B1346" s="60" t="str">
        <f t="shared" si="200"/>
        <v/>
      </c>
      <c r="C1346" s="226"/>
      <c r="D1346" s="226"/>
      <c r="E1346" s="226"/>
      <c r="F1346" s="1008"/>
      <c r="G1346" s="987"/>
      <c r="H1346" s="85"/>
      <c r="I1346" s="984"/>
      <c r="J1346" s="984"/>
      <c r="K1346" s="984"/>
      <c r="L1346" s="983"/>
      <c r="M1346" s="970"/>
      <c r="N1346" s="980"/>
      <c r="O1346" s="980"/>
      <c r="P1346" s="79" t="str">
        <f>IF(AND('331-CT'!$E$7=TH!H1346,OR(N1346="331",O1346="331")),"x","")</f>
        <v/>
      </c>
      <c r="Q1346" s="79" t="str">
        <f>IF(AND(B1346='111'!$L$11,OR($N1346=$Q$7,$O1346=$Q$7)),"x","")</f>
        <v/>
      </c>
      <c r="R1346" s="79" t="str">
        <f>IF(AND($N1346=$Q$7,$B1346&lt;'111'!$L$11),"x","")</f>
        <v/>
      </c>
      <c r="S1346" s="79" t="str">
        <f>IF(AND($O1346=$Q$7,$B1346&lt;'111'!$L$11),"x","")</f>
        <v/>
      </c>
      <c r="T1346" s="79" t="str">
        <f>IF(ISERROR(FIND('112'!$M$9,G1346,1)),"",IF((AND(FIND('112'!$M$9,G1346,1)&gt;=1,B1346='112'!$K$9,OR($N1346='112'!$I$6,$O1346='112'!$I$6))),"x",""))</f>
        <v/>
      </c>
      <c r="U1346" s="79" t="str">
        <f>IF(ISERROR(FIND('112'!$M$9,G1346,1)),"",IF((AND(LEFT(G1346,2)=LEFT('112'!$M$9,2),B1346&lt;'112'!$K$9,$N1346='112'!$I$6)),"x",""))</f>
        <v/>
      </c>
      <c r="V1346" s="79" t="str">
        <f>IF(ISERROR(FIND('112'!$M$9,G1346,1)),"",IF((AND(RIGHT(G1346,2)=RIGHT('112'!$M$9,2),B1346&lt;'112'!$K$9,$O1346='112'!$I$6)),"x",""))</f>
        <v/>
      </c>
      <c r="W1346" s="79" t="str">
        <f>IF(AND('341-CT'!$H$9=H1346,OR(LEFT(N1346,3)=$W$7,LEFT(O1346,3)=$W$7)),"x","")</f>
        <v/>
      </c>
      <c r="X1346" s="79" t="str">
        <f>IF(OR(TH!N1346=TH!$X$7,O1346=TH!$X$7),"x","")</f>
        <v/>
      </c>
      <c r="Y1346" s="79" t="str">
        <f>IF(AND(OR(N1346="131",O1346="131"),H1346='131-CT'!$H$9),"x","")</f>
        <v/>
      </c>
      <c r="Z1346" s="79"/>
      <c r="AA1346" s="79" t="str">
        <f>IF(AND(MONTH(E1346)='IN-NX'!$J$5,'IN-NX'!$D$7=D1346),"x","")</f>
        <v/>
      </c>
      <c r="AB1346" s="79" t="str">
        <f>IF(AND(OR(LEFT(TH!N1346,2)="15",LEFT(TH!O1346,2)="15"),LEFT(TH!O1346,3)&lt;&gt;"111",'152-CT'!$J$8=TH!F1346),"x","")</f>
        <v/>
      </c>
      <c r="AC1346" s="79" t="str">
        <f>IF(AND(OR(LEFT(TH!N1346,2)="15",LEFT(TH!O1346,2)="15"),TK!$E$7=TH!F1346),"x","")</f>
        <v/>
      </c>
      <c r="AD1346" s="79" t="str">
        <f>IF(AND(N1346="1521",MONTH(C1346)='BK-NL'!$M$11),"x","")</f>
        <v/>
      </c>
    </row>
    <row r="1347" spans="1:30" ht="16.5" customHeight="1">
      <c r="A1347" s="318" t="str">
        <f>IF(B1347&lt;&gt;"",IF(AND(B1347='IN-TC'!$S$4,OR(TH!N1347="1111",TH!O1347="1111")),TH!D1347,""),"")</f>
        <v/>
      </c>
      <c r="B1347" s="60" t="str">
        <f t="shared" si="200"/>
        <v/>
      </c>
      <c r="C1347" s="226"/>
      <c r="D1347" s="226"/>
      <c r="E1347" s="226"/>
      <c r="F1347" s="1010"/>
      <c r="G1347" s="763"/>
      <c r="H1347" s="321"/>
      <c r="I1347" s="385"/>
      <c r="J1347" s="385"/>
      <c r="K1347" s="385"/>
      <c r="L1347" s="392"/>
      <c r="M1347" s="970"/>
      <c r="N1347" s="980"/>
      <c r="O1347" s="980"/>
      <c r="P1347" s="79" t="str">
        <f>IF(AND('331-CT'!$E$7=TH!H1347,OR(N1347="331",O1347="331")),"x","")</f>
        <v/>
      </c>
      <c r="Q1347" s="79" t="str">
        <f>IF(AND(B1347='111'!$L$11,OR($N1347=$Q$7,$O1347=$Q$7)),"x","")</f>
        <v/>
      </c>
      <c r="R1347" s="79" t="str">
        <f>IF(AND($N1347=$Q$7,$B1347&lt;'111'!$L$11),"x","")</f>
        <v/>
      </c>
      <c r="S1347" s="79" t="str">
        <f>IF(AND($O1347=$Q$7,$B1347&lt;'111'!$L$11),"x","")</f>
        <v/>
      </c>
      <c r="T1347" s="79" t="str">
        <f>IF(ISERROR(FIND('112'!$M$9,G1347,1)),"",IF((AND(FIND('112'!$M$9,G1347,1)&gt;=1,B1347='112'!$K$9,OR($N1347='112'!$I$6,$O1347='112'!$I$6))),"x",""))</f>
        <v/>
      </c>
      <c r="U1347" s="79" t="str">
        <f>IF(ISERROR(FIND('112'!$M$9,G1347,1)),"",IF((AND(LEFT(G1347,2)=LEFT('112'!$M$9,2),B1347&lt;'112'!$K$9,$N1347='112'!$I$6)),"x",""))</f>
        <v/>
      </c>
      <c r="V1347" s="79" t="str">
        <f>IF(ISERROR(FIND('112'!$M$9,G1347,1)),"",IF((AND(RIGHT(G1347,2)=RIGHT('112'!$M$9,2),B1347&lt;'112'!$K$9,$O1347='112'!$I$6)),"x",""))</f>
        <v/>
      </c>
      <c r="W1347" s="79" t="str">
        <f>IF(AND('341-CT'!$H$9=H1347,OR(LEFT(N1347,3)=$W$7,LEFT(O1347,3)=$W$7)),"x","")</f>
        <v/>
      </c>
      <c r="X1347" s="79" t="str">
        <f>IF(OR(TH!N1347=TH!$X$7,O1347=TH!$X$7),"x","")</f>
        <v/>
      </c>
      <c r="Y1347" s="79" t="str">
        <f>IF(AND(OR(N1347="131",O1347="131"),H1347='131-CT'!$H$9),"x","")</f>
        <v/>
      </c>
      <c r="Z1347" s="79"/>
      <c r="AA1347" s="79" t="str">
        <f>IF(AND(MONTH(E1347)='IN-NX'!$J$5,'IN-NX'!$D$7=D1347),"x","")</f>
        <v/>
      </c>
      <c r="AB1347" s="79" t="str">
        <f>IF(AND(OR(LEFT(TH!N1347,2)="15",LEFT(TH!O1347,2)="15"),LEFT(TH!O1347,3)&lt;&gt;"111",'152-CT'!$J$8=TH!F1347),"x","")</f>
        <v/>
      </c>
      <c r="AC1347" s="79" t="str">
        <f>IF(AND(OR(LEFT(TH!N1347,2)="15",LEFT(TH!O1347,2)="15"),TK!$E$7=TH!F1347),"x","")</f>
        <v/>
      </c>
      <c r="AD1347" s="79" t="str">
        <f>IF(AND(N1347="1521",MONTH(C1347)='BK-NL'!$M$11),"x","")</f>
        <v/>
      </c>
    </row>
    <row r="1348" spans="1:30" s="1102" customFormat="1" ht="16.5" customHeight="1">
      <c r="A1348" s="318" t="str">
        <f>IF(B1348&lt;&gt;"",IF(AND(B1348='IN-TC'!$S$4,OR(TH!N1348="1111",TH!O1348="1111")),TH!D1348,""),"")</f>
        <v/>
      </c>
      <c r="B1348" s="60" t="str">
        <f t="shared" si="200"/>
        <v/>
      </c>
      <c r="C1348" s="226"/>
      <c r="D1348" s="226"/>
      <c r="E1348" s="226"/>
      <c r="F1348" s="1008"/>
      <c r="G1348" s="987"/>
      <c r="H1348" s="85"/>
      <c r="I1348" s="984"/>
      <c r="J1348" s="984"/>
      <c r="K1348" s="984"/>
      <c r="L1348" s="983"/>
      <c r="M1348" s="970"/>
      <c r="N1348" s="980"/>
      <c r="O1348" s="980"/>
      <c r="P1348" s="79" t="str">
        <f>IF(AND('331-CT'!$E$7=TH!H1348,OR(N1348="331",O1348="331")),"x","")</f>
        <v/>
      </c>
      <c r="Q1348" s="79" t="str">
        <f>IF(AND(B1348='111'!$L$11,OR($N1348=$Q$7,$O1348=$Q$7)),"x","")</f>
        <v/>
      </c>
      <c r="R1348" s="79" t="str">
        <f>IF(AND($N1348=$Q$7,$B1348&lt;'111'!$L$11),"x","")</f>
        <v/>
      </c>
      <c r="S1348" s="79" t="str">
        <f>IF(AND($O1348=$Q$7,$B1348&lt;'111'!$L$11),"x","")</f>
        <v/>
      </c>
      <c r="T1348" s="79" t="str">
        <f>IF(ISERROR(FIND('112'!$M$9,G1348,1)),"",IF((AND(FIND('112'!$M$9,G1348,1)&gt;=1,B1348='112'!$K$9,OR($N1348='112'!$I$6,$O1348='112'!$I$6))),"x",""))</f>
        <v/>
      </c>
      <c r="U1348" s="79" t="str">
        <f>IF(ISERROR(FIND('112'!$M$9,G1348,1)),"",IF((AND(LEFT(G1348,2)=LEFT('112'!$M$9,2),B1348&lt;'112'!$K$9,$N1348='112'!$I$6)),"x",""))</f>
        <v/>
      </c>
      <c r="V1348" s="79" t="str">
        <f>IF(ISERROR(FIND('112'!$M$9,G1348,1)),"",IF((AND(RIGHT(G1348,2)=RIGHT('112'!$M$9,2),B1348&lt;'112'!$K$9,$O1348='112'!$I$6)),"x",""))</f>
        <v/>
      </c>
      <c r="W1348" s="79" t="str">
        <f>IF(AND('341-CT'!$H$9=H1348,OR(LEFT(N1348,3)=$W$7,LEFT(O1348,3)=$W$7)),"x","")</f>
        <v/>
      </c>
      <c r="X1348" s="79" t="str">
        <f>IF(OR(TH!N1348=TH!$X$7,O1348=TH!$X$7),"x","")</f>
        <v/>
      </c>
      <c r="Y1348" s="79" t="str">
        <f>IF(AND(OR(N1348="131",O1348="131"),H1348='131-CT'!$H$9),"x","")</f>
        <v/>
      </c>
      <c r="Z1348" s="79"/>
      <c r="AA1348" s="79" t="str">
        <f>IF(AND(MONTH(E1348)='IN-NX'!$J$5,'IN-NX'!$D$7=D1348),"x","")</f>
        <v/>
      </c>
      <c r="AB1348" s="79" t="str">
        <f>IF(AND(OR(LEFT(TH!N1348,2)="15",LEFT(TH!O1348,2)="15"),LEFT(TH!O1348,3)&lt;&gt;"111",'152-CT'!$J$8=TH!F1348),"x","")</f>
        <v/>
      </c>
      <c r="AC1348" s="79" t="str">
        <f>IF(AND(OR(LEFT(TH!N1348,2)="15",LEFT(TH!O1348,2)="15"),TK!$E$7=TH!F1348),"x","")</f>
        <v/>
      </c>
      <c r="AD1348" s="79" t="str">
        <f>IF(AND(N1348="1521",MONTH(C1348)='BK-NL'!$M$11),"x","")</f>
        <v/>
      </c>
    </row>
    <row r="1349" spans="1:30" s="1102" customFormat="1" ht="16.5" customHeight="1">
      <c r="A1349" s="318" t="str">
        <f>IF(B1349&lt;&gt;"",IF(AND(B1349='IN-TC'!$S$4,OR(TH!N1349="1111",TH!O1349="1111")),TH!D1349,""),"")</f>
        <v/>
      </c>
      <c r="B1349" s="60" t="str">
        <f t="shared" si="200"/>
        <v/>
      </c>
      <c r="C1349" s="226"/>
      <c r="D1349" s="226"/>
      <c r="E1349" s="226"/>
      <c r="F1349" s="1008"/>
      <c r="G1349" s="987"/>
      <c r="H1349" s="85"/>
      <c r="I1349" s="984"/>
      <c r="J1349" s="984"/>
      <c r="K1349" s="984"/>
      <c r="L1349" s="983"/>
      <c r="M1349" s="970"/>
      <c r="N1349" s="980"/>
      <c r="O1349" s="980"/>
      <c r="P1349" s="79" t="str">
        <f>IF(AND('331-CT'!$E$7=TH!H1349,OR(N1349="331",O1349="331")),"x","")</f>
        <v/>
      </c>
      <c r="Q1349" s="79" t="str">
        <f>IF(AND(B1349='111'!$L$11,OR($N1349=$Q$7,$O1349=$Q$7)),"x","")</f>
        <v/>
      </c>
      <c r="R1349" s="79" t="str">
        <f>IF(AND($N1349=$Q$7,$B1349&lt;'111'!$L$11),"x","")</f>
        <v/>
      </c>
      <c r="S1349" s="79" t="str">
        <f>IF(AND($O1349=$Q$7,$B1349&lt;'111'!$L$11),"x","")</f>
        <v/>
      </c>
      <c r="T1349" s="79" t="str">
        <f>IF(ISERROR(FIND('112'!$M$9,G1349,1)),"",IF((AND(FIND('112'!$M$9,G1349,1)&gt;=1,B1349='112'!$K$9,OR($N1349='112'!$I$6,$O1349='112'!$I$6))),"x",""))</f>
        <v/>
      </c>
      <c r="U1349" s="79" t="str">
        <f>IF(ISERROR(FIND('112'!$M$9,G1349,1)),"",IF((AND(LEFT(G1349,2)=LEFT('112'!$M$9,2),B1349&lt;'112'!$K$9,$N1349='112'!$I$6)),"x",""))</f>
        <v/>
      </c>
      <c r="V1349" s="79" t="str">
        <f>IF(ISERROR(FIND('112'!$M$9,G1349,1)),"",IF((AND(RIGHT(G1349,2)=RIGHT('112'!$M$9,2),B1349&lt;'112'!$K$9,$O1349='112'!$I$6)),"x",""))</f>
        <v/>
      </c>
      <c r="W1349" s="79" t="str">
        <f>IF(AND('341-CT'!$H$9=H1349,OR(LEFT(N1349,3)=$W$7,LEFT(O1349,3)=$W$7)),"x","")</f>
        <v/>
      </c>
      <c r="X1349" s="79" t="str">
        <f>IF(OR(TH!N1349=TH!$X$7,O1349=TH!$X$7),"x","")</f>
        <v/>
      </c>
      <c r="Y1349" s="79" t="str">
        <f>IF(AND(OR(N1349="131",O1349="131"),H1349='131-CT'!$H$9),"x","")</f>
        <v/>
      </c>
      <c r="Z1349" s="79"/>
      <c r="AA1349" s="79" t="str">
        <f>IF(AND(MONTH(E1349)='IN-NX'!$J$5,'IN-NX'!$D$7=D1349),"x","")</f>
        <v/>
      </c>
      <c r="AB1349" s="79" t="str">
        <f>IF(AND(OR(LEFT(TH!N1349,2)="15",LEFT(TH!O1349,2)="15"),LEFT(TH!O1349,3)&lt;&gt;"111",'152-CT'!$J$8=TH!F1349),"x","")</f>
        <v/>
      </c>
      <c r="AC1349" s="79" t="str">
        <f>IF(AND(OR(LEFT(TH!N1349,2)="15",LEFT(TH!O1349,2)="15"),TK!$E$7=TH!F1349),"x","")</f>
        <v/>
      </c>
      <c r="AD1349" s="79" t="str">
        <f>IF(AND(N1349="1521",MONTH(C1349)='BK-NL'!$M$11),"x","")</f>
        <v/>
      </c>
    </row>
    <row r="1350" spans="1:30" s="1102" customFormat="1" ht="16.5" customHeight="1">
      <c r="A1350" s="318" t="str">
        <f>IF(B1350&lt;&gt;"",IF(AND(B1350='IN-TC'!$S$4,OR(TH!N1350="1111",TH!O1350="1111")),TH!D1350,""),"")</f>
        <v/>
      </c>
      <c r="B1350" s="60" t="str">
        <f t="shared" si="200"/>
        <v/>
      </c>
      <c r="C1350" s="226"/>
      <c r="D1350" s="226"/>
      <c r="E1350" s="226"/>
      <c r="F1350" s="1008"/>
      <c r="G1350" s="987"/>
      <c r="H1350" s="997"/>
      <c r="I1350" s="984"/>
      <c r="J1350" s="984"/>
      <c r="K1350" s="984"/>
      <c r="L1350" s="983"/>
      <c r="M1350" s="970"/>
      <c r="N1350" s="980"/>
      <c r="O1350" s="980"/>
      <c r="P1350" s="79" t="str">
        <f>IF(AND('331-CT'!$E$7=TH!H1350,OR(N1350="331",O1350="331")),"x","")</f>
        <v/>
      </c>
      <c r="Q1350" s="79" t="str">
        <f>IF(AND(B1350='111'!$L$11,OR($N1350=$Q$7,$O1350=$Q$7)),"x","")</f>
        <v/>
      </c>
      <c r="R1350" s="79" t="str">
        <f>IF(AND($N1350=$Q$7,$B1350&lt;'111'!$L$11),"x","")</f>
        <v/>
      </c>
      <c r="S1350" s="79" t="str">
        <f>IF(AND($O1350=$Q$7,$B1350&lt;'111'!$L$11),"x","")</f>
        <v/>
      </c>
      <c r="T1350" s="79" t="str">
        <f>IF(ISERROR(FIND('112'!$M$9,G1350,1)),"",IF((AND(FIND('112'!$M$9,G1350,1)&gt;=1,B1350='112'!$K$9,OR($N1350='112'!$I$6,$O1350='112'!$I$6))),"x",""))</f>
        <v/>
      </c>
      <c r="U1350" s="79" t="str">
        <f>IF(ISERROR(FIND('112'!$M$9,G1350,1)),"",IF((AND(LEFT(G1350,2)=LEFT('112'!$M$9,2),B1350&lt;'112'!$K$9,$N1350='112'!$I$6)),"x",""))</f>
        <v/>
      </c>
      <c r="V1350" s="79" t="str">
        <f>IF(ISERROR(FIND('112'!$M$9,G1350,1)),"",IF((AND(RIGHT(G1350,2)=RIGHT('112'!$M$9,2),B1350&lt;'112'!$K$9,$O1350='112'!$I$6)),"x",""))</f>
        <v/>
      </c>
      <c r="W1350" s="79" t="str">
        <f>IF(AND('341-CT'!$H$9=H1350,OR(LEFT(N1350,3)=$W$7,LEFT(O1350,3)=$W$7)),"x","")</f>
        <v/>
      </c>
      <c r="X1350" s="79" t="str">
        <f>IF(OR(TH!N1350=TH!$X$7,O1350=TH!$X$7),"x","")</f>
        <v/>
      </c>
      <c r="Y1350" s="79" t="str">
        <f>IF(AND(OR(N1350="131",O1350="131"),H1350='131-CT'!$H$9),"x","")</f>
        <v/>
      </c>
      <c r="Z1350" s="79"/>
      <c r="AA1350" s="79" t="str">
        <f>IF(AND(MONTH(E1350)='IN-NX'!$J$5,'IN-NX'!$D$7=D1350),"x","")</f>
        <v/>
      </c>
      <c r="AB1350" s="79" t="str">
        <f>IF(AND(OR(LEFT(TH!N1350,2)="15",LEFT(TH!O1350,2)="15"),LEFT(TH!O1350,3)&lt;&gt;"111",'152-CT'!$J$8=TH!F1350),"x","")</f>
        <v/>
      </c>
      <c r="AC1350" s="79" t="str">
        <f>IF(AND(OR(LEFT(TH!N1350,2)="15",LEFT(TH!O1350,2)="15"),TK!$E$7=TH!F1350),"x","")</f>
        <v/>
      </c>
      <c r="AD1350" s="79" t="str">
        <f>IF(AND(N1350="1521",MONTH(C1350)='BK-NL'!$M$11),"x","")</f>
        <v/>
      </c>
    </row>
    <row r="1351" spans="1:30" s="1102" customFormat="1" ht="16.5" customHeight="1">
      <c r="A1351" s="318" t="str">
        <f>IF(B1351&lt;&gt;"",IF(AND(B1351='IN-TC'!$S$4,OR(TH!N1351="1111",TH!O1351="1111")),TH!D1351,""),"")</f>
        <v/>
      </c>
      <c r="B1351" s="60" t="str">
        <f t="shared" si="200"/>
        <v/>
      </c>
      <c r="C1351" s="226"/>
      <c r="D1351" s="226"/>
      <c r="E1351" s="226"/>
      <c r="F1351" s="1008"/>
      <c r="G1351" s="987"/>
      <c r="H1351" s="85"/>
      <c r="I1351" s="984"/>
      <c r="J1351" s="984"/>
      <c r="K1351" s="984"/>
      <c r="L1351" s="983"/>
      <c r="M1351" s="970"/>
      <c r="N1351" s="980"/>
      <c r="O1351" s="980"/>
      <c r="P1351" s="79" t="str">
        <f>IF(AND('331-CT'!$E$7=TH!H1351,OR(N1351="331",O1351="331")),"x","")</f>
        <v/>
      </c>
      <c r="Q1351" s="79" t="str">
        <f>IF(AND(B1351='111'!$L$11,OR($N1351=$Q$7,$O1351=$Q$7)),"x","")</f>
        <v/>
      </c>
      <c r="R1351" s="79" t="str">
        <f>IF(AND($N1351=$Q$7,$B1351&lt;'111'!$L$11),"x","")</f>
        <v/>
      </c>
      <c r="S1351" s="79" t="str">
        <f>IF(AND($O1351=$Q$7,$B1351&lt;'111'!$L$11),"x","")</f>
        <v/>
      </c>
      <c r="T1351" s="79" t="str">
        <f>IF(ISERROR(FIND('112'!$M$9,G1351,1)),"",IF((AND(FIND('112'!$M$9,G1351,1)&gt;=1,B1351='112'!$K$9,OR($N1351='112'!$I$6,$O1351='112'!$I$6))),"x",""))</f>
        <v/>
      </c>
      <c r="U1351" s="79" t="str">
        <f>IF(ISERROR(FIND('112'!$M$9,G1351,1)),"",IF((AND(LEFT(G1351,2)=LEFT('112'!$M$9,2),B1351&lt;'112'!$K$9,$N1351='112'!$I$6)),"x",""))</f>
        <v/>
      </c>
      <c r="V1351" s="79" t="str">
        <f>IF(ISERROR(FIND('112'!$M$9,G1351,1)),"",IF((AND(RIGHT(G1351,2)=RIGHT('112'!$M$9,2),B1351&lt;'112'!$K$9,$O1351='112'!$I$6)),"x",""))</f>
        <v/>
      </c>
      <c r="W1351" s="79" t="str">
        <f>IF(AND('341-CT'!$H$9=H1351,OR(LEFT(N1351,3)=$W$7,LEFT(O1351,3)=$W$7)),"x","")</f>
        <v/>
      </c>
      <c r="X1351" s="79" t="str">
        <f>IF(OR(TH!N1351=TH!$X$7,O1351=TH!$X$7),"x","")</f>
        <v/>
      </c>
      <c r="Y1351" s="79" t="str">
        <f>IF(AND(OR(N1351="131",O1351="131"),H1351='131-CT'!$H$9),"x","")</f>
        <v/>
      </c>
      <c r="Z1351" s="79"/>
      <c r="AA1351" s="79" t="str">
        <f>IF(AND(MONTH(E1351)='IN-NX'!$J$5,'IN-NX'!$D$7=D1351),"x","")</f>
        <v/>
      </c>
      <c r="AB1351" s="79" t="str">
        <f>IF(AND(OR(LEFT(TH!N1351,2)="15",LEFT(TH!O1351,2)="15"),LEFT(TH!O1351,3)&lt;&gt;"111",'152-CT'!$J$8=TH!F1351),"x","")</f>
        <v/>
      </c>
      <c r="AC1351" s="79" t="str">
        <f>IF(AND(OR(LEFT(TH!N1351,2)="15",LEFT(TH!O1351,2)="15"),TK!$E$7=TH!F1351),"x","")</f>
        <v/>
      </c>
      <c r="AD1351" s="79" t="str">
        <f>IF(AND(N1351="1521",MONTH(C1351)='BK-NL'!$M$11),"x","")</f>
        <v/>
      </c>
    </row>
    <row r="1352" spans="1:30" s="1102" customFormat="1" ht="16.5" customHeight="1">
      <c r="A1352" s="318" t="str">
        <f>IF(B1352&lt;&gt;"",IF(AND(B1352='IN-TC'!$S$4,OR(TH!N1352="1111",TH!O1352="1111")),TH!D1352,""),"")</f>
        <v/>
      </c>
      <c r="B1352" s="60" t="str">
        <f t="shared" si="200"/>
        <v/>
      </c>
      <c r="C1352" s="226"/>
      <c r="D1352" s="226"/>
      <c r="E1352" s="226"/>
      <c r="F1352" s="1010"/>
      <c r="G1352" s="763"/>
      <c r="H1352" s="321"/>
      <c r="I1352" s="385"/>
      <c r="J1352" s="385"/>
      <c r="K1352" s="385"/>
      <c r="L1352" s="392"/>
      <c r="M1352" s="970"/>
      <c r="N1352" s="980"/>
      <c r="O1352" s="980"/>
      <c r="P1352" s="79" t="str">
        <f>IF(AND('331-CT'!$E$7=TH!H1352,OR(N1352="331",O1352="331")),"x","")</f>
        <v/>
      </c>
      <c r="Q1352" s="79" t="str">
        <f>IF(AND(B1352='111'!$L$11,OR($N1352=$Q$7,$O1352=$Q$7)),"x","")</f>
        <v/>
      </c>
      <c r="R1352" s="79" t="str">
        <f>IF(AND($N1352=$Q$7,$B1352&lt;'111'!$L$11),"x","")</f>
        <v/>
      </c>
      <c r="S1352" s="79" t="str">
        <f>IF(AND($O1352=$Q$7,$B1352&lt;'111'!$L$11),"x","")</f>
        <v/>
      </c>
      <c r="T1352" s="79" t="str">
        <f>IF(ISERROR(FIND('112'!$M$9,G1352,1)),"",IF((AND(FIND('112'!$M$9,G1352,1)&gt;=1,B1352='112'!$K$9,OR($N1352='112'!$I$6,$O1352='112'!$I$6))),"x",""))</f>
        <v/>
      </c>
      <c r="U1352" s="79" t="str">
        <f>IF(ISERROR(FIND('112'!$M$9,G1352,1)),"",IF((AND(LEFT(G1352,2)=LEFT('112'!$M$9,2),B1352&lt;'112'!$K$9,$N1352='112'!$I$6)),"x",""))</f>
        <v/>
      </c>
      <c r="V1352" s="79" t="str">
        <f>IF(ISERROR(FIND('112'!$M$9,G1352,1)),"",IF((AND(RIGHT(G1352,2)=RIGHT('112'!$M$9,2),B1352&lt;'112'!$K$9,$O1352='112'!$I$6)),"x",""))</f>
        <v/>
      </c>
      <c r="W1352" s="79" t="str">
        <f>IF(AND('341-CT'!$H$9=H1352,OR(LEFT(N1352,3)=$W$7,LEFT(O1352,3)=$W$7)),"x","")</f>
        <v/>
      </c>
      <c r="X1352" s="79" t="str">
        <f>IF(OR(TH!N1352=TH!$X$7,O1352=TH!$X$7),"x","")</f>
        <v/>
      </c>
      <c r="Y1352" s="79" t="str">
        <f>IF(AND(OR(N1352="131",O1352="131"),H1352='131-CT'!$H$9),"x","")</f>
        <v/>
      </c>
      <c r="Z1352" s="79"/>
      <c r="AA1352" s="79" t="str">
        <f>IF(AND(MONTH(E1352)='IN-NX'!$J$5,'IN-NX'!$D$7=D1352),"x","")</f>
        <v/>
      </c>
      <c r="AB1352" s="79" t="str">
        <f>IF(AND(OR(LEFT(TH!N1352,2)="15",LEFT(TH!O1352,2)="15"),LEFT(TH!O1352,3)&lt;&gt;"111",'152-CT'!$J$8=TH!F1352),"x","")</f>
        <v/>
      </c>
      <c r="AC1352" s="79" t="str">
        <f>IF(AND(OR(LEFT(TH!N1352,2)="15",LEFT(TH!O1352,2)="15"),TK!$E$7=TH!F1352),"x","")</f>
        <v/>
      </c>
      <c r="AD1352" s="79" t="str">
        <f>IF(AND(N1352="1521",MONTH(C1352)='BK-NL'!$M$11),"x","")</f>
        <v/>
      </c>
    </row>
    <row r="1353" spans="1:30" ht="16.5" customHeight="1">
      <c r="A1353" s="318" t="str">
        <f>IF(B1353&lt;&gt;"",IF(AND(B1353='IN-TC'!$S$4,OR(TH!N1353="1111",TH!O1353="1111")),TH!D1353,""),"")</f>
        <v/>
      </c>
      <c r="B1353" s="60" t="str">
        <f t="shared" si="200"/>
        <v/>
      </c>
      <c r="C1353" s="226"/>
      <c r="D1353" s="226"/>
      <c r="E1353" s="226"/>
      <c r="F1353" s="1010"/>
      <c r="G1353" s="763"/>
      <c r="H1353" s="303"/>
      <c r="I1353" s="385"/>
      <c r="J1353" s="969"/>
      <c r="K1353" s="969"/>
      <c r="L1353" s="392"/>
      <c r="M1353" s="970"/>
      <c r="N1353" s="980"/>
      <c r="O1353" s="980"/>
      <c r="P1353" s="79" t="str">
        <f>IF(AND('331-CT'!$E$7=TH!H1353,OR(N1353="331",O1353="331")),"x","")</f>
        <v/>
      </c>
      <c r="Q1353" s="79" t="str">
        <f>IF(AND(B1353='111'!$L$11,OR($N1353=$Q$7,$O1353=$Q$7)),"x","")</f>
        <v/>
      </c>
      <c r="R1353" s="79" t="str">
        <f>IF(AND($N1353=$Q$7,$B1353&lt;'111'!$L$11),"x","")</f>
        <v/>
      </c>
      <c r="S1353" s="79" t="str">
        <f>IF(AND($O1353=$Q$7,$B1353&lt;'111'!$L$11),"x","")</f>
        <v/>
      </c>
      <c r="T1353" s="79" t="str">
        <f>IF(ISERROR(FIND('112'!$M$9,G1353,1)),"",IF((AND(FIND('112'!$M$9,G1353,1)&gt;=1,B1353='112'!$K$9,OR($N1353='112'!$I$6,$O1353='112'!$I$6))),"x",""))</f>
        <v/>
      </c>
      <c r="U1353" s="79" t="str">
        <f>IF(ISERROR(FIND('112'!$M$9,G1353,1)),"",IF((AND(LEFT(G1353,2)=LEFT('112'!$M$9,2),B1353&lt;'112'!$K$9,$N1353='112'!$I$6)),"x",""))</f>
        <v/>
      </c>
      <c r="V1353" s="79" t="str">
        <f>IF(ISERROR(FIND('112'!$M$9,G1353,1)),"",IF((AND(RIGHT(G1353,2)=RIGHT('112'!$M$9,2),B1353&lt;'112'!$K$9,$O1353='112'!$I$6)),"x",""))</f>
        <v/>
      </c>
      <c r="W1353" s="79" t="str">
        <f>IF(AND('341-CT'!$H$9=H1353,OR(LEFT(N1353,3)=$W$7,LEFT(O1353,3)=$W$7)),"x","")</f>
        <v/>
      </c>
      <c r="X1353" s="79" t="str">
        <f>IF(OR(TH!N1353=TH!$X$7,O1353=TH!$X$7),"x","")</f>
        <v/>
      </c>
      <c r="Y1353" s="79" t="str">
        <f>IF(AND(OR(N1353="131",O1353="131"),H1353='131-CT'!$H$9),"x","")</f>
        <v/>
      </c>
      <c r="Z1353" s="79"/>
      <c r="AA1353" s="79" t="str">
        <f>IF(AND(MONTH(E1353)='IN-NX'!$J$5,'IN-NX'!$D$7=D1353),"x","")</f>
        <v/>
      </c>
      <c r="AB1353" s="79" t="str">
        <f>IF(AND(OR(LEFT(TH!N1353,2)="15",LEFT(TH!O1353,2)="15"),LEFT(TH!O1353,3)&lt;&gt;"111",'152-CT'!$J$8=TH!F1353),"x","")</f>
        <v/>
      </c>
      <c r="AC1353" s="79" t="str">
        <f>IF(AND(OR(LEFT(TH!N1353,2)="15",LEFT(TH!O1353,2)="15"),TK!$E$7=TH!F1353),"x","")</f>
        <v/>
      </c>
      <c r="AD1353" s="79" t="str">
        <f>IF(AND(N1353="1521",MONTH(C1353)='BK-NL'!$M$11),"x","")</f>
        <v/>
      </c>
    </row>
    <row r="1354" spans="1:30" s="1102" customFormat="1" ht="16.5" customHeight="1">
      <c r="A1354" s="318" t="str">
        <f>IF(B1354&lt;&gt;"",IF(AND(B1354='IN-TC'!$S$4,OR(TH!N1354="1111",TH!O1354="1111")),TH!D1354,""),"")</f>
        <v/>
      </c>
      <c r="B1354" s="60" t="str">
        <f t="shared" si="200"/>
        <v/>
      </c>
      <c r="C1354" s="226"/>
      <c r="D1354" s="226"/>
      <c r="E1354" s="226"/>
      <c r="F1354" s="1008"/>
      <c r="G1354" s="987"/>
      <c r="H1354" s="997"/>
      <c r="I1354" s="984"/>
      <c r="J1354" s="984"/>
      <c r="K1354" s="984"/>
      <c r="L1354" s="983"/>
      <c r="M1354" s="970"/>
      <c r="N1354" s="980"/>
      <c r="O1354" s="980"/>
      <c r="P1354" s="79" t="str">
        <f>IF(AND('331-CT'!$E$7=TH!H1354,OR(N1354="331",O1354="331")),"x","")</f>
        <v/>
      </c>
      <c r="Q1354" s="79" t="str">
        <f>IF(AND(B1354='111'!$L$11,OR($N1354=$Q$7,$O1354=$Q$7)),"x","")</f>
        <v/>
      </c>
      <c r="R1354" s="79" t="str">
        <f>IF(AND($N1354=$Q$7,$B1354&lt;'111'!$L$11),"x","")</f>
        <v/>
      </c>
      <c r="S1354" s="79" t="str">
        <f>IF(AND($O1354=$Q$7,$B1354&lt;'111'!$L$11),"x","")</f>
        <v/>
      </c>
      <c r="T1354" s="79" t="str">
        <f>IF(ISERROR(FIND('112'!$M$9,G1354,1)),"",IF((AND(FIND('112'!$M$9,G1354,1)&gt;=1,B1354='112'!$K$9,OR($N1354='112'!$I$6,$O1354='112'!$I$6))),"x",""))</f>
        <v/>
      </c>
      <c r="U1354" s="79" t="str">
        <f>IF(ISERROR(FIND('112'!$M$9,G1354,1)),"",IF((AND(LEFT(G1354,2)=LEFT('112'!$M$9,2),B1354&lt;'112'!$K$9,$N1354='112'!$I$6)),"x",""))</f>
        <v/>
      </c>
      <c r="V1354" s="79" t="str">
        <f>IF(ISERROR(FIND('112'!$M$9,G1354,1)),"",IF((AND(RIGHT(G1354,2)=RIGHT('112'!$M$9,2),B1354&lt;'112'!$K$9,$O1354='112'!$I$6)),"x",""))</f>
        <v/>
      </c>
      <c r="W1354" s="79" t="str">
        <f>IF(AND('341-CT'!$H$9=H1354,OR(LEFT(N1354,3)=$W$7,LEFT(O1354,3)=$W$7)),"x","")</f>
        <v/>
      </c>
      <c r="X1354" s="79" t="str">
        <f>IF(OR(TH!N1354=TH!$X$7,O1354=TH!$X$7),"x","")</f>
        <v/>
      </c>
      <c r="Y1354" s="79" t="str">
        <f>IF(AND(OR(N1354="131",O1354="131"),H1354='131-CT'!$H$9),"x","")</f>
        <v/>
      </c>
      <c r="Z1354" s="79"/>
      <c r="AA1354" s="79" t="str">
        <f>IF(AND(MONTH(E1354)='IN-NX'!$J$5,'IN-NX'!$D$7=D1354),"x","")</f>
        <v/>
      </c>
      <c r="AB1354" s="79" t="str">
        <f>IF(AND(OR(LEFT(TH!N1354,2)="15",LEFT(TH!O1354,2)="15"),LEFT(TH!O1354,3)&lt;&gt;"111",'152-CT'!$J$8=TH!F1354),"x","")</f>
        <v/>
      </c>
      <c r="AC1354" s="79" t="str">
        <f>IF(AND(OR(LEFT(TH!N1354,2)="15",LEFT(TH!O1354,2)="15"),TK!$E$7=TH!F1354),"x","")</f>
        <v/>
      </c>
      <c r="AD1354" s="79" t="str">
        <f>IF(AND(N1354="1521",MONTH(C1354)='BK-NL'!$M$11),"x","")</f>
        <v/>
      </c>
    </row>
    <row r="1355" spans="1:30" s="1102" customFormat="1" ht="16.5" customHeight="1">
      <c r="A1355" s="318" t="str">
        <f>IF(B1355&lt;&gt;"",IF(AND(B1355='IN-TC'!$S$4,OR(TH!N1355="1111",TH!O1355="1111")),TH!D1355,""),"")</f>
        <v/>
      </c>
      <c r="B1355" s="60" t="str">
        <f t="shared" si="200"/>
        <v/>
      </c>
      <c r="C1355" s="226"/>
      <c r="D1355" s="226"/>
      <c r="E1355" s="226"/>
      <c r="F1355" s="1008"/>
      <c r="G1355" s="987"/>
      <c r="H1355" s="85"/>
      <c r="I1355" s="984"/>
      <c r="J1355" s="984"/>
      <c r="K1355" s="984"/>
      <c r="L1355" s="983"/>
      <c r="M1355" s="970"/>
      <c r="N1355" s="980"/>
      <c r="O1355" s="980"/>
      <c r="P1355" s="79" t="str">
        <f>IF(AND('331-CT'!$E$7=TH!H1355,OR(N1355="331",O1355="331")),"x","")</f>
        <v/>
      </c>
      <c r="Q1355" s="79" t="str">
        <f>IF(AND(B1355='111'!$L$11,OR($N1355=$Q$7,$O1355=$Q$7)),"x","")</f>
        <v/>
      </c>
      <c r="R1355" s="79" t="str">
        <f>IF(AND($N1355=$Q$7,$B1355&lt;'111'!$L$11),"x","")</f>
        <v/>
      </c>
      <c r="S1355" s="79" t="str">
        <f>IF(AND($O1355=$Q$7,$B1355&lt;'111'!$L$11),"x","")</f>
        <v/>
      </c>
      <c r="T1355" s="79" t="str">
        <f>IF(ISERROR(FIND('112'!$M$9,G1355,1)),"",IF((AND(FIND('112'!$M$9,G1355,1)&gt;=1,B1355='112'!$K$9,OR($N1355='112'!$I$6,$O1355='112'!$I$6))),"x",""))</f>
        <v/>
      </c>
      <c r="U1355" s="79" t="str">
        <f>IF(ISERROR(FIND('112'!$M$9,G1355,1)),"",IF((AND(LEFT(G1355,2)=LEFT('112'!$M$9,2),B1355&lt;'112'!$K$9,$N1355='112'!$I$6)),"x",""))</f>
        <v/>
      </c>
      <c r="V1355" s="79" t="str">
        <f>IF(ISERROR(FIND('112'!$M$9,G1355,1)),"",IF((AND(RIGHT(G1355,2)=RIGHT('112'!$M$9,2),B1355&lt;'112'!$K$9,$O1355='112'!$I$6)),"x",""))</f>
        <v/>
      </c>
      <c r="W1355" s="79" t="str">
        <f>IF(AND('341-CT'!$H$9=H1355,OR(LEFT(N1355,3)=$W$7,LEFT(O1355,3)=$W$7)),"x","")</f>
        <v/>
      </c>
      <c r="X1355" s="79" t="str">
        <f>IF(OR(TH!N1355=TH!$X$7,O1355=TH!$X$7),"x","")</f>
        <v/>
      </c>
      <c r="Y1355" s="79" t="str">
        <f>IF(AND(OR(N1355="131",O1355="131"),H1355='131-CT'!$H$9),"x","")</f>
        <v/>
      </c>
      <c r="Z1355" s="79"/>
      <c r="AA1355" s="79" t="str">
        <f>IF(AND(MONTH(E1355)='IN-NX'!$J$5,'IN-NX'!$D$7=D1355),"x","")</f>
        <v/>
      </c>
      <c r="AB1355" s="79" t="str">
        <f>IF(AND(OR(LEFT(TH!N1355,2)="15",LEFT(TH!O1355,2)="15"),LEFT(TH!O1355,3)&lt;&gt;"111",'152-CT'!$J$8=TH!F1355),"x","")</f>
        <v/>
      </c>
      <c r="AC1355" s="79" t="str">
        <f>IF(AND(OR(LEFT(TH!N1355,2)="15",LEFT(TH!O1355,2)="15"),TK!$E$7=TH!F1355),"x","")</f>
        <v/>
      </c>
      <c r="AD1355" s="79" t="str">
        <f>IF(AND(N1355="1521",MONTH(C1355)='BK-NL'!$M$11),"x","")</f>
        <v/>
      </c>
    </row>
    <row r="1356" spans="1:30" s="1102" customFormat="1" ht="16.5" customHeight="1">
      <c r="A1356" s="318" t="str">
        <f>IF(B1356&lt;&gt;"",IF(AND(B1356='IN-TC'!$S$4,OR(TH!N1356="1111",TH!O1356="1111")),TH!D1356,""),"")</f>
        <v/>
      </c>
      <c r="B1356" s="60" t="str">
        <f t="shared" si="200"/>
        <v/>
      </c>
      <c r="C1356" s="226"/>
      <c r="D1356" s="226"/>
      <c r="E1356" s="226"/>
      <c r="F1356" s="1008"/>
      <c r="G1356" s="987"/>
      <c r="H1356" s="85"/>
      <c r="I1356" s="984"/>
      <c r="J1356" s="984"/>
      <c r="K1356" s="984"/>
      <c r="L1356" s="983"/>
      <c r="M1356" s="970"/>
      <c r="N1356" s="980"/>
      <c r="O1356" s="980"/>
      <c r="P1356" s="79" t="str">
        <f>IF(AND('331-CT'!$E$7=TH!H1356,OR(N1356="331",O1356="331")),"x","")</f>
        <v/>
      </c>
      <c r="Q1356" s="79" t="str">
        <f>IF(AND(B1356='111'!$L$11,OR($N1356=$Q$7,$O1356=$Q$7)),"x","")</f>
        <v/>
      </c>
      <c r="R1356" s="79" t="str">
        <f>IF(AND($N1356=$Q$7,$B1356&lt;'111'!$L$11),"x","")</f>
        <v/>
      </c>
      <c r="S1356" s="79" t="str">
        <f>IF(AND($O1356=$Q$7,$B1356&lt;'111'!$L$11),"x","")</f>
        <v/>
      </c>
      <c r="T1356" s="79" t="str">
        <f>IF(ISERROR(FIND('112'!$M$9,G1356,1)),"",IF((AND(FIND('112'!$M$9,G1356,1)&gt;=1,B1356='112'!$K$9,OR($N1356='112'!$I$6,$O1356='112'!$I$6))),"x",""))</f>
        <v/>
      </c>
      <c r="U1356" s="79" t="str">
        <f>IF(ISERROR(FIND('112'!$M$9,G1356,1)),"",IF((AND(LEFT(G1356,2)=LEFT('112'!$M$9,2),B1356&lt;'112'!$K$9,$N1356='112'!$I$6)),"x",""))</f>
        <v/>
      </c>
      <c r="V1356" s="79" t="str">
        <f>IF(ISERROR(FIND('112'!$M$9,G1356,1)),"",IF((AND(RIGHT(G1356,2)=RIGHT('112'!$M$9,2),B1356&lt;'112'!$K$9,$O1356='112'!$I$6)),"x",""))</f>
        <v/>
      </c>
      <c r="W1356" s="79" t="str">
        <f>IF(AND('341-CT'!$H$9=H1356,OR(LEFT(N1356,3)=$W$7,LEFT(O1356,3)=$W$7)),"x","")</f>
        <v/>
      </c>
      <c r="X1356" s="79" t="str">
        <f>IF(OR(TH!N1356=TH!$X$7,O1356=TH!$X$7),"x","")</f>
        <v/>
      </c>
      <c r="Y1356" s="79" t="str">
        <f>IF(AND(OR(N1356="131",O1356="131"),H1356='131-CT'!$H$9),"x","")</f>
        <v/>
      </c>
      <c r="Z1356" s="79"/>
      <c r="AA1356" s="79" t="str">
        <f>IF(AND(MONTH(E1356)='IN-NX'!$J$5,'IN-NX'!$D$7=D1356),"x","")</f>
        <v/>
      </c>
      <c r="AB1356" s="79" t="str">
        <f>IF(AND(OR(LEFT(TH!N1356,2)="15",LEFT(TH!O1356,2)="15"),LEFT(TH!O1356,3)&lt;&gt;"111",'152-CT'!$J$8=TH!F1356),"x","")</f>
        <v/>
      </c>
      <c r="AC1356" s="79" t="str">
        <f>IF(AND(OR(LEFT(TH!N1356,2)="15",LEFT(TH!O1356,2)="15"),TK!$E$7=TH!F1356),"x","")</f>
        <v/>
      </c>
      <c r="AD1356" s="79" t="str">
        <f>IF(AND(N1356="1521",MONTH(C1356)='BK-NL'!$M$11),"x","")</f>
        <v/>
      </c>
    </row>
    <row r="1357" spans="1:30" s="1102" customFormat="1" ht="16.5" customHeight="1">
      <c r="A1357" s="318" t="str">
        <f>IF(B1357&lt;&gt;"",IF(AND(B1357='IN-TC'!$S$4,OR(TH!N1357="1111",TH!O1357="1111")),TH!D1357,""),"")</f>
        <v/>
      </c>
      <c r="B1357" s="60" t="str">
        <f t="shared" si="200"/>
        <v/>
      </c>
      <c r="C1357" s="226"/>
      <c r="D1357" s="226"/>
      <c r="E1357" s="226"/>
      <c r="F1357" s="1008"/>
      <c r="G1357" s="987"/>
      <c r="H1357" s="85"/>
      <c r="I1357" s="984"/>
      <c r="J1357" s="984"/>
      <c r="K1357" s="984"/>
      <c r="L1357" s="983"/>
      <c r="M1357" s="970"/>
      <c r="N1357" s="980"/>
      <c r="O1357" s="980"/>
      <c r="P1357" s="79" t="str">
        <f>IF(AND('331-CT'!$E$7=TH!H1357,OR(N1357="331",O1357="331")),"x","")</f>
        <v/>
      </c>
      <c r="Q1357" s="79" t="str">
        <f>IF(AND(B1357='111'!$L$11,OR($N1357=$Q$7,$O1357=$Q$7)),"x","")</f>
        <v/>
      </c>
      <c r="R1357" s="79" t="str">
        <f>IF(AND($N1357=$Q$7,$B1357&lt;'111'!$L$11),"x","")</f>
        <v/>
      </c>
      <c r="S1357" s="79" t="str">
        <f>IF(AND($O1357=$Q$7,$B1357&lt;'111'!$L$11),"x","")</f>
        <v/>
      </c>
      <c r="T1357" s="79" t="str">
        <f>IF(ISERROR(FIND('112'!$M$9,G1357,1)),"",IF((AND(FIND('112'!$M$9,G1357,1)&gt;=1,B1357='112'!$K$9,OR($N1357='112'!$I$6,$O1357='112'!$I$6))),"x",""))</f>
        <v/>
      </c>
      <c r="U1357" s="79" t="str">
        <f>IF(ISERROR(FIND('112'!$M$9,G1357,1)),"",IF((AND(LEFT(G1357,2)=LEFT('112'!$M$9,2),B1357&lt;'112'!$K$9,$N1357='112'!$I$6)),"x",""))</f>
        <v/>
      </c>
      <c r="V1357" s="79" t="str">
        <f>IF(ISERROR(FIND('112'!$M$9,G1357,1)),"",IF((AND(RIGHT(G1357,2)=RIGHT('112'!$M$9,2),B1357&lt;'112'!$K$9,$O1357='112'!$I$6)),"x",""))</f>
        <v/>
      </c>
      <c r="W1357" s="79" t="str">
        <f>IF(AND('341-CT'!$H$9=H1357,OR(LEFT(N1357,3)=$W$7,LEFT(O1357,3)=$W$7)),"x","")</f>
        <v/>
      </c>
      <c r="X1357" s="79" t="str">
        <f>IF(OR(TH!N1357=TH!$X$7,O1357=TH!$X$7),"x","")</f>
        <v/>
      </c>
      <c r="Y1357" s="79" t="str">
        <f>IF(AND(OR(N1357="131",O1357="131"),H1357='131-CT'!$H$9),"x","")</f>
        <v/>
      </c>
      <c r="Z1357" s="79"/>
      <c r="AA1357" s="79" t="str">
        <f>IF(AND(MONTH(E1357)='IN-NX'!$J$5,'IN-NX'!$D$7=D1357),"x","")</f>
        <v/>
      </c>
      <c r="AB1357" s="79" t="str">
        <f>IF(AND(OR(LEFT(TH!N1357,2)="15",LEFT(TH!O1357,2)="15"),LEFT(TH!O1357,3)&lt;&gt;"111",'152-CT'!$J$8=TH!F1357),"x","")</f>
        <v/>
      </c>
      <c r="AC1357" s="79" t="str">
        <f>IF(AND(OR(LEFT(TH!N1357,2)="15",LEFT(TH!O1357,2)="15"),TK!$E$7=TH!F1357),"x","")</f>
        <v/>
      </c>
      <c r="AD1357" s="79" t="str">
        <f>IF(AND(N1357="1521",MONTH(C1357)='BK-NL'!$M$11),"x","")</f>
        <v/>
      </c>
    </row>
    <row r="1358" spans="1:30" ht="16.5" customHeight="1">
      <c r="A1358" s="318" t="str">
        <f>IF(B1358&lt;&gt;"",IF(AND(B1358='IN-TC'!$S$4,OR(TH!N1358="1111",TH!O1358="1111")),TH!D1358,""),"")</f>
        <v/>
      </c>
      <c r="B1358" s="60" t="str">
        <f t="shared" si="200"/>
        <v/>
      </c>
      <c r="C1358" s="226"/>
      <c r="D1358" s="226"/>
      <c r="E1358" s="226"/>
      <c r="F1358" s="1010"/>
      <c r="G1358" s="763"/>
      <c r="H1358" s="321"/>
      <c r="I1358" s="385"/>
      <c r="J1358" s="385"/>
      <c r="K1358" s="385"/>
      <c r="L1358" s="392"/>
      <c r="M1358" s="970"/>
      <c r="N1358" s="980"/>
      <c r="O1358" s="980"/>
      <c r="P1358" s="79" t="str">
        <f>IF(AND('331-CT'!$E$7=TH!H1358,OR(N1358="331",O1358="331")),"x","")</f>
        <v/>
      </c>
      <c r="Q1358" s="79" t="str">
        <f>IF(AND(B1358='111'!$L$11,OR($N1358=$Q$7,$O1358=$Q$7)),"x","")</f>
        <v/>
      </c>
      <c r="R1358" s="79" t="str">
        <f>IF(AND($N1358=$Q$7,$B1358&lt;'111'!$L$11),"x","")</f>
        <v/>
      </c>
      <c r="S1358" s="79" t="str">
        <f>IF(AND($O1358=$Q$7,$B1358&lt;'111'!$L$11),"x","")</f>
        <v/>
      </c>
      <c r="T1358" s="79" t="str">
        <f>IF(ISERROR(FIND('112'!$M$9,G1358,1)),"",IF((AND(FIND('112'!$M$9,G1358,1)&gt;=1,B1358='112'!$K$9,OR($N1358='112'!$I$6,$O1358='112'!$I$6))),"x",""))</f>
        <v/>
      </c>
      <c r="U1358" s="79" t="str">
        <f>IF(ISERROR(FIND('112'!$M$9,G1358,1)),"",IF((AND(LEFT(G1358,2)=LEFT('112'!$M$9,2),B1358&lt;'112'!$K$9,$N1358='112'!$I$6)),"x",""))</f>
        <v/>
      </c>
      <c r="V1358" s="79" t="str">
        <f>IF(ISERROR(FIND('112'!$M$9,G1358,1)),"",IF((AND(RIGHT(G1358,2)=RIGHT('112'!$M$9,2),B1358&lt;'112'!$K$9,$O1358='112'!$I$6)),"x",""))</f>
        <v/>
      </c>
      <c r="W1358" s="79" t="str">
        <f>IF(AND('341-CT'!$H$9=H1358,OR(LEFT(N1358,3)=$W$7,LEFT(O1358,3)=$W$7)),"x","")</f>
        <v/>
      </c>
      <c r="X1358" s="79" t="str">
        <f>IF(OR(TH!N1358=TH!$X$7,O1358=TH!$X$7),"x","")</f>
        <v/>
      </c>
      <c r="Y1358" s="79" t="str">
        <f>IF(AND(OR(N1358="131",O1358="131"),H1358='131-CT'!$H$9),"x","")</f>
        <v/>
      </c>
      <c r="Z1358" s="79"/>
      <c r="AA1358" s="79" t="str">
        <f>IF(AND(MONTH(E1358)='IN-NX'!$J$5,'IN-NX'!$D$7=D1358),"x","")</f>
        <v/>
      </c>
      <c r="AB1358" s="79" t="str">
        <f>IF(AND(OR(LEFT(TH!N1358,2)="15",LEFT(TH!O1358,2)="15"),LEFT(TH!O1358,3)&lt;&gt;"111",'152-CT'!$J$8=TH!F1358),"x","")</f>
        <v/>
      </c>
      <c r="AC1358" s="79" t="str">
        <f>IF(AND(OR(LEFT(TH!N1358,2)="15",LEFT(TH!O1358,2)="15"),TK!$E$7=TH!F1358),"x","")</f>
        <v/>
      </c>
      <c r="AD1358" s="79" t="str">
        <f>IF(AND(N1358="1521",MONTH(C1358)='BK-NL'!$M$11),"x","")</f>
        <v/>
      </c>
    </row>
    <row r="1359" spans="1:30" s="1102" customFormat="1" ht="16.5" customHeight="1">
      <c r="A1359" s="318" t="str">
        <f>IF(B1359&lt;&gt;"",IF(AND(B1359='IN-TC'!$S$4,OR(TH!N1359="1111",TH!O1359="1111")),TH!D1359,""),"")</f>
        <v/>
      </c>
      <c r="B1359" s="60" t="str">
        <f t="shared" si="200"/>
        <v/>
      </c>
      <c r="C1359" s="226"/>
      <c r="D1359" s="226"/>
      <c r="E1359" s="226"/>
      <c r="F1359" s="1008"/>
      <c r="G1359" s="987"/>
      <c r="H1359" s="997"/>
      <c r="I1359" s="984"/>
      <c r="J1359" s="984"/>
      <c r="K1359" s="984"/>
      <c r="L1359" s="983"/>
      <c r="M1359" s="970"/>
      <c r="N1359" s="980"/>
      <c r="O1359" s="980"/>
      <c r="P1359" s="79" t="str">
        <f>IF(AND('331-CT'!$E$7=TH!H1359,OR(N1359="331",O1359="331")),"x","")</f>
        <v/>
      </c>
      <c r="Q1359" s="79" t="str">
        <f>IF(AND(B1359='111'!$L$11,OR($N1359=$Q$7,$O1359=$Q$7)),"x","")</f>
        <v/>
      </c>
      <c r="R1359" s="79" t="str">
        <f>IF(AND($N1359=$Q$7,$B1359&lt;'111'!$L$11),"x","")</f>
        <v/>
      </c>
      <c r="S1359" s="79" t="str">
        <f>IF(AND($O1359=$Q$7,$B1359&lt;'111'!$L$11),"x","")</f>
        <v/>
      </c>
      <c r="T1359" s="79" t="str">
        <f>IF(ISERROR(FIND('112'!$M$9,G1359,1)),"",IF((AND(FIND('112'!$M$9,G1359,1)&gt;=1,B1359='112'!$K$9,OR($N1359='112'!$I$6,$O1359='112'!$I$6))),"x",""))</f>
        <v/>
      </c>
      <c r="U1359" s="79" t="str">
        <f>IF(ISERROR(FIND('112'!$M$9,G1359,1)),"",IF((AND(LEFT(G1359,2)=LEFT('112'!$M$9,2),B1359&lt;'112'!$K$9,$N1359='112'!$I$6)),"x",""))</f>
        <v/>
      </c>
      <c r="V1359" s="79" t="str">
        <f>IF(ISERROR(FIND('112'!$M$9,G1359,1)),"",IF((AND(RIGHT(G1359,2)=RIGHT('112'!$M$9,2),B1359&lt;'112'!$K$9,$O1359='112'!$I$6)),"x",""))</f>
        <v/>
      </c>
      <c r="W1359" s="79" t="str">
        <f>IF(AND('341-CT'!$H$9=H1359,OR(LEFT(N1359,3)=$W$7,LEFT(O1359,3)=$W$7)),"x","")</f>
        <v/>
      </c>
      <c r="X1359" s="79" t="str">
        <f>IF(OR(TH!N1359=TH!$X$7,O1359=TH!$X$7),"x","")</f>
        <v/>
      </c>
      <c r="Y1359" s="79" t="str">
        <f>IF(AND(OR(N1359="131",O1359="131"),H1359='131-CT'!$H$9),"x","")</f>
        <v/>
      </c>
      <c r="Z1359" s="79"/>
      <c r="AA1359" s="79" t="str">
        <f>IF(AND(MONTH(E1359)='IN-NX'!$J$5,'IN-NX'!$D$7=D1359),"x","")</f>
        <v/>
      </c>
      <c r="AB1359" s="79" t="str">
        <f>IF(AND(OR(LEFT(TH!N1359,2)="15",LEFT(TH!O1359,2)="15"),LEFT(TH!O1359,3)&lt;&gt;"111",'152-CT'!$J$8=TH!F1359),"x","")</f>
        <v/>
      </c>
      <c r="AC1359" s="79" t="str">
        <f>IF(AND(OR(LEFT(TH!N1359,2)="15",LEFT(TH!O1359,2)="15"),TK!$E$7=TH!F1359),"x","")</f>
        <v/>
      </c>
      <c r="AD1359" s="79" t="str">
        <f>IF(AND(N1359="1521",MONTH(C1359)='BK-NL'!$M$11),"x","")</f>
        <v/>
      </c>
    </row>
    <row r="1360" spans="1:30" s="1102" customFormat="1" ht="16.5" customHeight="1">
      <c r="A1360" s="318" t="str">
        <f>IF(B1360&lt;&gt;"",IF(AND(B1360='IN-TC'!$S$4,OR(TH!N1360="1111",TH!O1360="1111")),TH!D1360,""),"")</f>
        <v/>
      </c>
      <c r="B1360" s="60" t="str">
        <f t="shared" si="200"/>
        <v/>
      </c>
      <c r="C1360" s="226"/>
      <c r="D1360" s="226"/>
      <c r="E1360" s="226"/>
      <c r="F1360" s="1008"/>
      <c r="G1360" s="987"/>
      <c r="H1360" s="85"/>
      <c r="I1360" s="984"/>
      <c r="J1360" s="984"/>
      <c r="K1360" s="984"/>
      <c r="L1360" s="983"/>
      <c r="M1360" s="970"/>
      <c r="N1360" s="980"/>
      <c r="O1360" s="980"/>
      <c r="P1360" s="79" t="str">
        <f>IF(AND('331-CT'!$E$7=TH!H1360,OR(N1360="331",O1360="331")),"x","")</f>
        <v/>
      </c>
      <c r="Q1360" s="79" t="str">
        <f>IF(AND(B1360='111'!$L$11,OR($N1360=$Q$7,$O1360=$Q$7)),"x","")</f>
        <v/>
      </c>
      <c r="R1360" s="79" t="str">
        <f>IF(AND($N1360=$Q$7,$B1360&lt;'111'!$L$11),"x","")</f>
        <v/>
      </c>
      <c r="S1360" s="79" t="str">
        <f>IF(AND($O1360=$Q$7,$B1360&lt;'111'!$L$11),"x","")</f>
        <v/>
      </c>
      <c r="T1360" s="79" t="str">
        <f>IF(ISERROR(FIND('112'!$M$9,G1360,1)),"",IF((AND(FIND('112'!$M$9,G1360,1)&gt;=1,B1360='112'!$K$9,OR($N1360='112'!$I$6,$O1360='112'!$I$6))),"x",""))</f>
        <v/>
      </c>
      <c r="U1360" s="79" t="str">
        <f>IF(ISERROR(FIND('112'!$M$9,G1360,1)),"",IF((AND(LEFT(G1360,2)=LEFT('112'!$M$9,2),B1360&lt;'112'!$K$9,$N1360='112'!$I$6)),"x",""))</f>
        <v/>
      </c>
      <c r="V1360" s="79" t="str">
        <f>IF(ISERROR(FIND('112'!$M$9,G1360,1)),"",IF((AND(RIGHT(G1360,2)=RIGHT('112'!$M$9,2),B1360&lt;'112'!$K$9,$O1360='112'!$I$6)),"x",""))</f>
        <v/>
      </c>
      <c r="W1360" s="79" t="str">
        <f>IF(AND('341-CT'!$H$9=H1360,OR(LEFT(N1360,3)=$W$7,LEFT(O1360,3)=$W$7)),"x","")</f>
        <v/>
      </c>
      <c r="X1360" s="79" t="str">
        <f>IF(OR(TH!N1360=TH!$X$7,O1360=TH!$X$7),"x","")</f>
        <v/>
      </c>
      <c r="Y1360" s="79" t="str">
        <f>IF(AND(OR(N1360="131",O1360="131"),H1360='131-CT'!$H$9),"x","")</f>
        <v/>
      </c>
      <c r="Z1360" s="79"/>
      <c r="AA1360" s="79" t="str">
        <f>IF(AND(MONTH(E1360)='IN-NX'!$J$5,'IN-NX'!$D$7=D1360),"x","")</f>
        <v/>
      </c>
      <c r="AB1360" s="79" t="str">
        <f>IF(AND(OR(LEFT(TH!N1360,2)="15",LEFT(TH!O1360,2)="15"),LEFT(TH!O1360,3)&lt;&gt;"111",'152-CT'!$J$8=TH!F1360),"x","")</f>
        <v/>
      </c>
      <c r="AC1360" s="79" t="str">
        <f>IF(AND(OR(LEFT(TH!N1360,2)="15",LEFT(TH!O1360,2)="15"),TK!$E$7=TH!F1360),"x","")</f>
        <v/>
      </c>
      <c r="AD1360" s="79" t="str">
        <f>IF(AND(N1360="1521",MONTH(C1360)='BK-NL'!$M$11),"x","")</f>
        <v/>
      </c>
    </row>
    <row r="1361" spans="1:30" s="1102" customFormat="1" ht="16.5" customHeight="1">
      <c r="A1361" s="318" t="str">
        <f>IF(B1361&lt;&gt;"",IF(AND(B1361='IN-TC'!$S$4,OR(TH!N1361="1111",TH!O1361="1111")),TH!D1361,""),"")</f>
        <v/>
      </c>
      <c r="B1361" s="60" t="str">
        <f t="shared" si="200"/>
        <v/>
      </c>
      <c r="C1361" s="226"/>
      <c r="D1361" s="226"/>
      <c r="E1361" s="226"/>
      <c r="F1361" s="1008"/>
      <c r="G1361" s="987"/>
      <c r="H1361" s="85"/>
      <c r="I1361" s="984"/>
      <c r="J1361" s="984"/>
      <c r="K1361" s="984"/>
      <c r="L1361" s="983"/>
      <c r="M1361" s="970"/>
      <c r="N1361" s="980"/>
      <c r="O1361" s="980"/>
      <c r="P1361" s="79" t="str">
        <f>IF(AND('331-CT'!$E$7=TH!H1361,OR(N1361="331",O1361="331")),"x","")</f>
        <v/>
      </c>
      <c r="Q1361" s="79" t="str">
        <f>IF(AND(B1361='111'!$L$11,OR($N1361=$Q$7,$O1361=$Q$7)),"x","")</f>
        <v/>
      </c>
      <c r="R1361" s="79" t="str">
        <f>IF(AND($N1361=$Q$7,$B1361&lt;'111'!$L$11),"x","")</f>
        <v/>
      </c>
      <c r="S1361" s="79" t="str">
        <f>IF(AND($O1361=$Q$7,$B1361&lt;'111'!$L$11),"x","")</f>
        <v/>
      </c>
      <c r="T1361" s="79" t="str">
        <f>IF(ISERROR(FIND('112'!$M$9,G1361,1)),"",IF((AND(FIND('112'!$M$9,G1361,1)&gt;=1,B1361='112'!$K$9,OR($N1361='112'!$I$6,$O1361='112'!$I$6))),"x",""))</f>
        <v/>
      </c>
      <c r="U1361" s="79" t="str">
        <f>IF(ISERROR(FIND('112'!$M$9,G1361,1)),"",IF((AND(LEFT(G1361,2)=LEFT('112'!$M$9,2),B1361&lt;'112'!$K$9,$N1361='112'!$I$6)),"x",""))</f>
        <v/>
      </c>
      <c r="V1361" s="79" t="str">
        <f>IF(ISERROR(FIND('112'!$M$9,G1361,1)),"",IF((AND(RIGHT(G1361,2)=RIGHT('112'!$M$9,2),B1361&lt;'112'!$K$9,$O1361='112'!$I$6)),"x",""))</f>
        <v/>
      </c>
      <c r="W1361" s="79" t="str">
        <f>IF(AND('341-CT'!$H$9=H1361,OR(LEFT(N1361,3)=$W$7,LEFT(O1361,3)=$W$7)),"x","")</f>
        <v/>
      </c>
      <c r="X1361" s="79" t="str">
        <f>IF(OR(TH!N1361=TH!$X$7,O1361=TH!$X$7),"x","")</f>
        <v/>
      </c>
      <c r="Y1361" s="79" t="str">
        <f>IF(AND(OR(N1361="131",O1361="131"),H1361='131-CT'!$H$9),"x","")</f>
        <v/>
      </c>
      <c r="Z1361" s="79"/>
      <c r="AA1361" s="79" t="str">
        <f>IF(AND(MONTH(E1361)='IN-NX'!$J$5,'IN-NX'!$D$7=D1361),"x","")</f>
        <v/>
      </c>
      <c r="AB1361" s="79" t="str">
        <f>IF(AND(OR(LEFT(TH!N1361,2)="15",LEFT(TH!O1361,2)="15"),LEFT(TH!O1361,3)&lt;&gt;"111",'152-CT'!$J$8=TH!F1361),"x","")</f>
        <v/>
      </c>
      <c r="AC1361" s="79" t="str">
        <f>IF(AND(OR(LEFT(TH!N1361,2)="15",LEFT(TH!O1361,2)="15"),TK!$E$7=TH!F1361),"x","")</f>
        <v/>
      </c>
      <c r="AD1361" s="79" t="str">
        <f>IF(AND(N1361="1521",MONTH(C1361)='BK-NL'!$M$11),"x","")</f>
        <v/>
      </c>
    </row>
    <row r="1362" spans="1:30" ht="16.5" customHeight="1">
      <c r="A1362" s="318" t="str">
        <f>IF(B1362&lt;&gt;"",IF(AND(B1362='IN-TC'!$S$4,OR(TH!N1362="1111",TH!O1362="1111")),TH!D1362,""),"")</f>
        <v/>
      </c>
      <c r="B1362" s="60" t="str">
        <f t="shared" si="200"/>
        <v/>
      </c>
      <c r="C1362" s="226"/>
      <c r="D1362" s="226"/>
      <c r="E1362" s="226"/>
      <c r="F1362" s="1010"/>
      <c r="G1362" s="763"/>
      <c r="H1362" s="321"/>
      <c r="I1362" s="385"/>
      <c r="J1362" s="385"/>
      <c r="K1362" s="385"/>
      <c r="L1362" s="392"/>
      <c r="M1362" s="970"/>
      <c r="N1362" s="980"/>
      <c r="O1362" s="980"/>
      <c r="P1362" s="79" t="str">
        <f>IF(AND('331-CT'!$E$7=TH!H1362,OR(N1362="331",O1362="331")),"x","")</f>
        <v/>
      </c>
      <c r="Q1362" s="79" t="str">
        <f>IF(AND(B1362='111'!$L$11,OR($N1362=$Q$7,$O1362=$Q$7)),"x","")</f>
        <v/>
      </c>
      <c r="R1362" s="79" t="str">
        <f>IF(AND($N1362=$Q$7,$B1362&lt;'111'!$L$11),"x","")</f>
        <v/>
      </c>
      <c r="S1362" s="79" t="str">
        <f>IF(AND($O1362=$Q$7,$B1362&lt;'111'!$L$11),"x","")</f>
        <v/>
      </c>
      <c r="T1362" s="79" t="str">
        <f>IF(ISERROR(FIND('112'!$M$9,G1362,1)),"",IF((AND(FIND('112'!$M$9,G1362,1)&gt;=1,B1362='112'!$K$9,OR($N1362='112'!$I$6,$O1362='112'!$I$6))),"x",""))</f>
        <v/>
      </c>
      <c r="U1362" s="79" t="str">
        <f>IF(ISERROR(FIND('112'!$M$9,G1362,1)),"",IF((AND(LEFT(G1362,2)=LEFT('112'!$M$9,2),B1362&lt;'112'!$K$9,$N1362='112'!$I$6)),"x",""))</f>
        <v/>
      </c>
      <c r="V1362" s="79" t="str">
        <f>IF(ISERROR(FIND('112'!$M$9,G1362,1)),"",IF((AND(RIGHT(G1362,2)=RIGHT('112'!$M$9,2),B1362&lt;'112'!$K$9,$O1362='112'!$I$6)),"x",""))</f>
        <v/>
      </c>
      <c r="W1362" s="79" t="str">
        <f>IF(AND('341-CT'!$H$9=H1362,OR(LEFT(N1362,3)=$W$7,LEFT(O1362,3)=$W$7)),"x","")</f>
        <v/>
      </c>
      <c r="X1362" s="79" t="str">
        <f>IF(OR(TH!N1362=TH!$X$7,O1362=TH!$X$7),"x","")</f>
        <v/>
      </c>
      <c r="Y1362" s="79" t="str">
        <f>IF(AND(OR(N1362="131",O1362="131"),H1362='131-CT'!$H$9),"x","")</f>
        <v/>
      </c>
      <c r="Z1362" s="79"/>
      <c r="AA1362" s="79" t="str">
        <f>IF(AND(MONTH(E1362)='IN-NX'!$J$5,'IN-NX'!$D$7=D1362),"x","")</f>
        <v/>
      </c>
      <c r="AB1362" s="79" t="str">
        <f>IF(AND(OR(LEFT(TH!N1362,2)="15",LEFT(TH!O1362,2)="15"),LEFT(TH!O1362,3)&lt;&gt;"111",'152-CT'!$J$8=TH!F1362),"x","")</f>
        <v/>
      </c>
      <c r="AC1362" s="79" t="str">
        <f>IF(AND(OR(LEFT(TH!N1362,2)="15",LEFT(TH!O1362,2)="15"),TK!$E$7=TH!F1362),"x","")</f>
        <v/>
      </c>
      <c r="AD1362" s="79" t="str">
        <f>IF(AND(N1362="1521",MONTH(C1362)='BK-NL'!$M$11),"x","")</f>
        <v/>
      </c>
    </row>
    <row r="1363" spans="1:30" s="1102" customFormat="1" ht="16.5" customHeight="1">
      <c r="A1363" s="318" t="str">
        <f>IF(B1363&lt;&gt;"",IF(AND(B1363='IN-TC'!$S$4,OR(TH!N1363="1111",TH!O1363="1111")),TH!D1363,""),"")</f>
        <v/>
      </c>
      <c r="B1363" s="60" t="str">
        <f t="shared" si="200"/>
        <v/>
      </c>
      <c r="C1363" s="226"/>
      <c r="D1363" s="226"/>
      <c r="E1363" s="226"/>
      <c r="F1363" s="1008"/>
      <c r="G1363" s="987"/>
      <c r="H1363" s="997"/>
      <c r="I1363" s="984"/>
      <c r="J1363" s="984"/>
      <c r="K1363" s="984"/>
      <c r="L1363" s="983"/>
      <c r="M1363" s="970"/>
      <c r="N1363" s="980"/>
      <c r="O1363" s="980"/>
      <c r="P1363" s="79" t="str">
        <f>IF(AND('331-CT'!$E$7=TH!H1363,OR(N1363="331",O1363="331")),"x","")</f>
        <v/>
      </c>
      <c r="Q1363" s="79" t="str">
        <f>IF(AND(B1363='111'!$L$11,OR($N1363=$Q$7,$O1363=$Q$7)),"x","")</f>
        <v/>
      </c>
      <c r="R1363" s="79" t="str">
        <f>IF(AND($N1363=$Q$7,$B1363&lt;'111'!$L$11),"x","")</f>
        <v/>
      </c>
      <c r="S1363" s="79" t="str">
        <f>IF(AND($O1363=$Q$7,$B1363&lt;'111'!$L$11),"x","")</f>
        <v/>
      </c>
      <c r="T1363" s="79" t="str">
        <f>IF(ISERROR(FIND('112'!$M$9,G1363,1)),"",IF((AND(FIND('112'!$M$9,G1363,1)&gt;=1,B1363='112'!$K$9,OR($N1363='112'!$I$6,$O1363='112'!$I$6))),"x",""))</f>
        <v/>
      </c>
      <c r="U1363" s="79" t="str">
        <f>IF(ISERROR(FIND('112'!$M$9,G1363,1)),"",IF((AND(LEFT(G1363,2)=LEFT('112'!$M$9,2),B1363&lt;'112'!$K$9,$N1363='112'!$I$6)),"x",""))</f>
        <v/>
      </c>
      <c r="V1363" s="79" t="str">
        <f>IF(ISERROR(FIND('112'!$M$9,G1363,1)),"",IF((AND(RIGHT(G1363,2)=RIGHT('112'!$M$9,2),B1363&lt;'112'!$K$9,$O1363='112'!$I$6)),"x",""))</f>
        <v/>
      </c>
      <c r="W1363" s="79" t="str">
        <f>IF(AND('341-CT'!$H$9=H1363,OR(LEFT(N1363,3)=$W$7,LEFT(O1363,3)=$W$7)),"x","")</f>
        <v/>
      </c>
      <c r="X1363" s="79" t="str">
        <f>IF(OR(TH!N1363=TH!$X$7,O1363=TH!$X$7),"x","")</f>
        <v/>
      </c>
      <c r="Y1363" s="79" t="str">
        <f>IF(AND(OR(N1363="131",O1363="131"),H1363='131-CT'!$H$9),"x","")</f>
        <v/>
      </c>
      <c r="Z1363" s="79"/>
      <c r="AA1363" s="79" t="str">
        <f>IF(AND(MONTH(E1363)='IN-NX'!$J$5,'IN-NX'!$D$7=D1363),"x","")</f>
        <v/>
      </c>
      <c r="AB1363" s="79" t="str">
        <f>IF(AND(OR(LEFT(TH!N1363,2)="15",LEFT(TH!O1363,2)="15"),LEFT(TH!O1363,3)&lt;&gt;"111",'152-CT'!$J$8=TH!F1363),"x","")</f>
        <v/>
      </c>
      <c r="AC1363" s="79" t="str">
        <f>IF(AND(OR(LEFT(TH!N1363,2)="15",LEFT(TH!O1363,2)="15"),TK!$E$7=TH!F1363),"x","")</f>
        <v/>
      </c>
      <c r="AD1363" s="79" t="str">
        <f>IF(AND(N1363="1521",MONTH(C1363)='BK-NL'!$M$11),"x","")</f>
        <v/>
      </c>
    </row>
    <row r="1364" spans="1:30" s="1102" customFormat="1" ht="16.5" customHeight="1">
      <c r="A1364" s="318" t="str">
        <f>IF(B1364&lt;&gt;"",IF(AND(B1364='IN-TC'!$S$4,OR(TH!N1364="1111",TH!O1364="1111")),TH!D1364,""),"")</f>
        <v/>
      </c>
      <c r="B1364" s="60" t="str">
        <f t="shared" si="200"/>
        <v/>
      </c>
      <c r="C1364" s="226"/>
      <c r="D1364" s="226"/>
      <c r="E1364" s="226"/>
      <c r="F1364" s="1008"/>
      <c r="G1364" s="987"/>
      <c r="H1364" s="85"/>
      <c r="I1364" s="984"/>
      <c r="J1364" s="984"/>
      <c r="K1364" s="984"/>
      <c r="L1364" s="983"/>
      <c r="M1364" s="970"/>
      <c r="N1364" s="980"/>
      <c r="O1364" s="980"/>
      <c r="P1364" s="79" t="str">
        <f>IF(AND('331-CT'!$E$7=TH!H1364,OR(N1364="331",O1364="331")),"x","")</f>
        <v/>
      </c>
      <c r="Q1364" s="79" t="str">
        <f>IF(AND(B1364='111'!$L$11,OR($N1364=$Q$7,$O1364=$Q$7)),"x","")</f>
        <v/>
      </c>
      <c r="R1364" s="79" t="str">
        <f>IF(AND($N1364=$Q$7,$B1364&lt;'111'!$L$11),"x","")</f>
        <v/>
      </c>
      <c r="S1364" s="79" t="str">
        <f>IF(AND($O1364=$Q$7,$B1364&lt;'111'!$L$11),"x","")</f>
        <v/>
      </c>
      <c r="T1364" s="79" t="str">
        <f>IF(ISERROR(FIND('112'!$M$9,G1364,1)),"",IF((AND(FIND('112'!$M$9,G1364,1)&gt;=1,B1364='112'!$K$9,OR($N1364='112'!$I$6,$O1364='112'!$I$6))),"x",""))</f>
        <v/>
      </c>
      <c r="U1364" s="79" t="str">
        <f>IF(ISERROR(FIND('112'!$M$9,G1364,1)),"",IF((AND(LEFT(G1364,2)=LEFT('112'!$M$9,2),B1364&lt;'112'!$K$9,$N1364='112'!$I$6)),"x",""))</f>
        <v/>
      </c>
      <c r="V1364" s="79" t="str">
        <f>IF(ISERROR(FIND('112'!$M$9,G1364,1)),"",IF((AND(RIGHT(G1364,2)=RIGHT('112'!$M$9,2),B1364&lt;'112'!$K$9,$O1364='112'!$I$6)),"x",""))</f>
        <v/>
      </c>
      <c r="W1364" s="79" t="str">
        <f>IF(AND('341-CT'!$H$9=H1364,OR(LEFT(N1364,3)=$W$7,LEFT(O1364,3)=$W$7)),"x","")</f>
        <v/>
      </c>
      <c r="X1364" s="79" t="str">
        <f>IF(OR(TH!N1364=TH!$X$7,O1364=TH!$X$7),"x","")</f>
        <v/>
      </c>
      <c r="Y1364" s="79" t="str">
        <f>IF(AND(OR(N1364="131",O1364="131"),H1364='131-CT'!$H$9),"x","")</f>
        <v/>
      </c>
      <c r="Z1364" s="79"/>
      <c r="AA1364" s="79" t="str">
        <f>IF(AND(MONTH(E1364)='IN-NX'!$J$5,'IN-NX'!$D$7=D1364),"x","")</f>
        <v/>
      </c>
      <c r="AB1364" s="79" t="str">
        <f>IF(AND(OR(LEFT(TH!N1364,2)="15",LEFT(TH!O1364,2)="15"),LEFT(TH!O1364,3)&lt;&gt;"111",'152-CT'!$J$8=TH!F1364),"x","")</f>
        <v/>
      </c>
      <c r="AC1364" s="79" t="str">
        <f>IF(AND(OR(LEFT(TH!N1364,2)="15",LEFT(TH!O1364,2)="15"),TK!$E$7=TH!F1364),"x","")</f>
        <v/>
      </c>
      <c r="AD1364" s="79" t="str">
        <f>IF(AND(N1364="1521",MONTH(C1364)='BK-NL'!$M$11),"x","")</f>
        <v/>
      </c>
    </row>
    <row r="1365" spans="1:30" s="1102" customFormat="1" ht="16.5" customHeight="1">
      <c r="A1365" s="318" t="str">
        <f>IF(B1365&lt;&gt;"",IF(AND(B1365='IN-TC'!$S$4,OR(TH!N1365="1111",TH!O1365="1111")),TH!D1365,""),"")</f>
        <v/>
      </c>
      <c r="B1365" s="60" t="str">
        <f t="shared" si="200"/>
        <v/>
      </c>
      <c r="C1365" s="226"/>
      <c r="D1365" s="226"/>
      <c r="E1365" s="226"/>
      <c r="F1365" s="1008"/>
      <c r="G1365" s="987"/>
      <c r="H1365" s="85"/>
      <c r="I1365" s="984"/>
      <c r="J1365" s="984"/>
      <c r="K1365" s="984"/>
      <c r="L1365" s="983"/>
      <c r="M1365" s="970"/>
      <c r="N1365" s="980"/>
      <c r="O1365" s="980"/>
      <c r="P1365" s="79" t="str">
        <f>IF(AND('331-CT'!$E$7=TH!H1365,OR(N1365="331",O1365="331")),"x","")</f>
        <v/>
      </c>
      <c r="Q1365" s="79" t="str">
        <f>IF(AND(B1365='111'!$L$11,OR($N1365=$Q$7,$O1365=$Q$7)),"x","")</f>
        <v/>
      </c>
      <c r="R1365" s="79" t="str">
        <f>IF(AND($N1365=$Q$7,$B1365&lt;'111'!$L$11),"x","")</f>
        <v/>
      </c>
      <c r="S1365" s="79" t="str">
        <f>IF(AND($O1365=$Q$7,$B1365&lt;'111'!$L$11),"x","")</f>
        <v/>
      </c>
      <c r="T1365" s="79" t="str">
        <f>IF(ISERROR(FIND('112'!$M$9,G1365,1)),"",IF((AND(FIND('112'!$M$9,G1365,1)&gt;=1,B1365='112'!$K$9,OR($N1365='112'!$I$6,$O1365='112'!$I$6))),"x",""))</f>
        <v/>
      </c>
      <c r="U1365" s="79" t="str">
        <f>IF(ISERROR(FIND('112'!$M$9,G1365,1)),"",IF((AND(LEFT(G1365,2)=LEFT('112'!$M$9,2),B1365&lt;'112'!$K$9,$N1365='112'!$I$6)),"x",""))</f>
        <v/>
      </c>
      <c r="V1365" s="79" t="str">
        <f>IF(ISERROR(FIND('112'!$M$9,G1365,1)),"",IF((AND(RIGHT(G1365,2)=RIGHT('112'!$M$9,2),B1365&lt;'112'!$K$9,$O1365='112'!$I$6)),"x",""))</f>
        <v/>
      </c>
      <c r="W1365" s="79" t="str">
        <f>IF(AND('341-CT'!$H$9=H1365,OR(LEFT(N1365,3)=$W$7,LEFT(O1365,3)=$W$7)),"x","")</f>
        <v/>
      </c>
      <c r="X1365" s="79" t="str">
        <f>IF(OR(TH!N1365=TH!$X$7,O1365=TH!$X$7),"x","")</f>
        <v/>
      </c>
      <c r="Y1365" s="79" t="str">
        <f>IF(AND(OR(N1365="131",O1365="131"),H1365='131-CT'!$H$9),"x","")</f>
        <v/>
      </c>
      <c r="Z1365" s="79"/>
      <c r="AA1365" s="79" t="str">
        <f>IF(AND(MONTH(E1365)='IN-NX'!$J$5,'IN-NX'!$D$7=D1365),"x","")</f>
        <v/>
      </c>
      <c r="AB1365" s="79" t="str">
        <f>IF(AND(OR(LEFT(TH!N1365,2)="15",LEFT(TH!O1365,2)="15"),LEFT(TH!O1365,3)&lt;&gt;"111",'152-CT'!$J$8=TH!F1365),"x","")</f>
        <v/>
      </c>
      <c r="AC1365" s="79" t="str">
        <f>IF(AND(OR(LEFT(TH!N1365,2)="15",LEFT(TH!O1365,2)="15"),TK!$E$7=TH!F1365),"x","")</f>
        <v/>
      </c>
      <c r="AD1365" s="79" t="str">
        <f>IF(AND(N1365="1521",MONTH(C1365)='BK-NL'!$M$11),"x","")</f>
        <v/>
      </c>
    </row>
    <row r="1366" spans="1:30" s="1102" customFormat="1" ht="16.5" customHeight="1">
      <c r="A1366" s="318" t="str">
        <f>IF(B1366&lt;&gt;"",IF(AND(B1366='IN-TC'!$S$4,OR(TH!N1366="1111",TH!O1366="1111")),TH!D1366,""),"")</f>
        <v/>
      </c>
      <c r="B1366" s="60" t="str">
        <f t="shared" si="200"/>
        <v/>
      </c>
      <c r="C1366" s="226"/>
      <c r="D1366" s="226"/>
      <c r="E1366" s="226"/>
      <c r="F1366" s="1008"/>
      <c r="G1366" s="987"/>
      <c r="H1366" s="85"/>
      <c r="I1366" s="984"/>
      <c r="J1366" s="984"/>
      <c r="K1366" s="984"/>
      <c r="L1366" s="983"/>
      <c r="M1366" s="970"/>
      <c r="N1366" s="980"/>
      <c r="O1366" s="980"/>
      <c r="P1366" s="79" t="str">
        <f>IF(AND('331-CT'!$E$7=TH!H1366,OR(N1366="331",O1366="331")),"x","")</f>
        <v/>
      </c>
      <c r="Q1366" s="79" t="str">
        <f>IF(AND(B1366='111'!$L$11,OR($N1366=$Q$7,$O1366=$Q$7)),"x","")</f>
        <v/>
      </c>
      <c r="R1366" s="79" t="str">
        <f>IF(AND($N1366=$Q$7,$B1366&lt;'111'!$L$11),"x","")</f>
        <v/>
      </c>
      <c r="S1366" s="79" t="str">
        <f>IF(AND($O1366=$Q$7,$B1366&lt;'111'!$L$11),"x","")</f>
        <v/>
      </c>
      <c r="T1366" s="79" t="str">
        <f>IF(ISERROR(FIND('112'!$M$9,G1366,1)),"",IF((AND(FIND('112'!$M$9,G1366,1)&gt;=1,B1366='112'!$K$9,OR($N1366='112'!$I$6,$O1366='112'!$I$6))),"x",""))</f>
        <v/>
      </c>
      <c r="U1366" s="79" t="str">
        <f>IF(ISERROR(FIND('112'!$M$9,G1366,1)),"",IF((AND(LEFT(G1366,2)=LEFT('112'!$M$9,2),B1366&lt;'112'!$K$9,$N1366='112'!$I$6)),"x",""))</f>
        <v/>
      </c>
      <c r="V1366" s="79" t="str">
        <f>IF(ISERROR(FIND('112'!$M$9,G1366,1)),"",IF((AND(RIGHT(G1366,2)=RIGHT('112'!$M$9,2),B1366&lt;'112'!$K$9,$O1366='112'!$I$6)),"x",""))</f>
        <v/>
      </c>
      <c r="W1366" s="79" t="str">
        <f>IF(AND('341-CT'!$H$9=H1366,OR(LEFT(N1366,3)=$W$7,LEFT(O1366,3)=$W$7)),"x","")</f>
        <v/>
      </c>
      <c r="X1366" s="79" t="str">
        <f>IF(OR(TH!N1366=TH!$X$7,O1366=TH!$X$7),"x","")</f>
        <v/>
      </c>
      <c r="Y1366" s="79" t="str">
        <f>IF(AND(OR(N1366="131",O1366="131"),H1366='131-CT'!$H$9),"x","")</f>
        <v/>
      </c>
      <c r="Z1366" s="79"/>
      <c r="AA1366" s="79" t="str">
        <f>IF(AND(MONTH(E1366)='IN-NX'!$J$5,'IN-NX'!$D$7=D1366),"x","")</f>
        <v/>
      </c>
      <c r="AB1366" s="79" t="str">
        <f>IF(AND(OR(LEFT(TH!N1366,2)="15",LEFT(TH!O1366,2)="15"),LEFT(TH!O1366,3)&lt;&gt;"111",'152-CT'!$J$8=TH!F1366),"x","")</f>
        <v/>
      </c>
      <c r="AC1366" s="79" t="str">
        <f>IF(AND(OR(LEFT(TH!N1366,2)="15",LEFT(TH!O1366,2)="15"),TK!$E$7=TH!F1366),"x","")</f>
        <v/>
      </c>
      <c r="AD1366" s="79" t="str">
        <f>IF(AND(N1366="1521",MONTH(C1366)='BK-NL'!$M$11),"x","")</f>
        <v/>
      </c>
    </row>
    <row r="1367" spans="1:30" s="1102" customFormat="1" ht="16.5" customHeight="1">
      <c r="A1367" s="318" t="str">
        <f>IF(B1367&lt;&gt;"",IF(AND(B1367='IN-TC'!$S$4,OR(TH!N1367="1111",TH!O1367="1111")),TH!D1367,""),"")</f>
        <v/>
      </c>
      <c r="B1367" s="60" t="str">
        <f t="shared" si="200"/>
        <v/>
      </c>
      <c r="C1367" s="226"/>
      <c r="D1367" s="226"/>
      <c r="E1367" s="226"/>
      <c r="F1367" s="1008"/>
      <c r="G1367" s="987"/>
      <c r="H1367" s="85"/>
      <c r="I1367" s="984"/>
      <c r="J1367" s="984"/>
      <c r="K1367" s="984"/>
      <c r="L1367" s="983"/>
      <c r="M1367" s="970"/>
      <c r="N1367" s="980"/>
      <c r="O1367" s="980"/>
      <c r="P1367" s="79" t="str">
        <f>IF(AND('331-CT'!$E$7=TH!H1367,OR(N1367="331",O1367="331")),"x","")</f>
        <v/>
      </c>
      <c r="Q1367" s="79" t="str">
        <f>IF(AND(B1367='111'!$L$11,OR($N1367=$Q$7,$O1367=$Q$7)),"x","")</f>
        <v/>
      </c>
      <c r="R1367" s="79" t="str">
        <f>IF(AND($N1367=$Q$7,$B1367&lt;'111'!$L$11),"x","")</f>
        <v/>
      </c>
      <c r="S1367" s="79" t="str">
        <f>IF(AND($O1367=$Q$7,$B1367&lt;'111'!$L$11),"x","")</f>
        <v/>
      </c>
      <c r="T1367" s="79" t="str">
        <f>IF(ISERROR(FIND('112'!$M$9,G1367,1)),"",IF((AND(FIND('112'!$M$9,G1367,1)&gt;=1,B1367='112'!$K$9,OR($N1367='112'!$I$6,$O1367='112'!$I$6))),"x",""))</f>
        <v/>
      </c>
      <c r="U1367" s="79" t="str">
        <f>IF(ISERROR(FIND('112'!$M$9,G1367,1)),"",IF((AND(LEFT(G1367,2)=LEFT('112'!$M$9,2),B1367&lt;'112'!$K$9,$N1367='112'!$I$6)),"x",""))</f>
        <v/>
      </c>
      <c r="V1367" s="79" t="str">
        <f>IF(ISERROR(FIND('112'!$M$9,G1367,1)),"",IF((AND(RIGHT(G1367,2)=RIGHT('112'!$M$9,2),B1367&lt;'112'!$K$9,$O1367='112'!$I$6)),"x",""))</f>
        <v/>
      </c>
      <c r="W1367" s="79" t="str">
        <f>IF(AND('341-CT'!$H$9=H1367,OR(LEFT(N1367,3)=$W$7,LEFT(O1367,3)=$W$7)),"x","")</f>
        <v/>
      </c>
      <c r="X1367" s="79" t="str">
        <f>IF(OR(TH!N1367=TH!$X$7,O1367=TH!$X$7),"x","")</f>
        <v/>
      </c>
      <c r="Y1367" s="79" t="str">
        <f>IF(AND(OR(N1367="131",O1367="131"),H1367='131-CT'!$H$9),"x","")</f>
        <v/>
      </c>
      <c r="Z1367" s="79"/>
      <c r="AA1367" s="79" t="str">
        <f>IF(AND(MONTH(E1367)='IN-NX'!$J$5,'IN-NX'!$D$7=D1367),"x","")</f>
        <v/>
      </c>
      <c r="AB1367" s="79" t="str">
        <f>IF(AND(OR(LEFT(TH!N1367,2)="15",LEFT(TH!O1367,2)="15"),LEFT(TH!O1367,3)&lt;&gt;"111",'152-CT'!$J$8=TH!F1367),"x","")</f>
        <v/>
      </c>
      <c r="AC1367" s="79" t="str">
        <f>IF(AND(OR(LEFT(TH!N1367,2)="15",LEFT(TH!O1367,2)="15"),TK!$E$7=TH!F1367),"x","")</f>
        <v/>
      </c>
      <c r="AD1367" s="79" t="str">
        <f>IF(AND(N1367="1521",MONTH(C1367)='BK-NL'!$M$11),"x","")</f>
        <v/>
      </c>
    </row>
    <row r="1368" spans="1:30" ht="16.5" customHeight="1">
      <c r="A1368" s="318" t="str">
        <f>IF(B1368&lt;&gt;"",IF(AND(B1368='IN-TC'!$S$4,OR(TH!N1368="1111",TH!O1368="1111")),TH!D1368,""),"")</f>
        <v/>
      </c>
      <c r="B1368" s="60" t="str">
        <f t="shared" si="200"/>
        <v/>
      </c>
      <c r="C1368" s="226"/>
      <c r="D1368" s="226"/>
      <c r="E1368" s="226"/>
      <c r="F1368" s="1010"/>
      <c r="G1368" s="763"/>
      <c r="H1368" s="321"/>
      <c r="I1368" s="385"/>
      <c r="J1368" s="385"/>
      <c r="K1368" s="385"/>
      <c r="L1368" s="392"/>
      <c r="M1368" s="970"/>
      <c r="N1368" s="980"/>
      <c r="O1368" s="980"/>
      <c r="P1368" s="79" t="str">
        <f>IF(AND('331-CT'!$E$7=TH!H1368,OR(N1368="331",O1368="331")),"x","")</f>
        <v/>
      </c>
      <c r="Q1368" s="79" t="str">
        <f>IF(AND(B1368='111'!$L$11,OR($N1368=$Q$7,$O1368=$Q$7)),"x","")</f>
        <v/>
      </c>
      <c r="R1368" s="79" t="str">
        <f>IF(AND($N1368=$Q$7,$B1368&lt;'111'!$L$11),"x","")</f>
        <v/>
      </c>
      <c r="S1368" s="79" t="str">
        <f>IF(AND($O1368=$Q$7,$B1368&lt;'111'!$L$11),"x","")</f>
        <v/>
      </c>
      <c r="T1368" s="79" t="str">
        <f>IF(ISERROR(FIND('112'!$M$9,G1368,1)),"",IF((AND(FIND('112'!$M$9,G1368,1)&gt;=1,B1368='112'!$K$9,OR($N1368='112'!$I$6,$O1368='112'!$I$6))),"x",""))</f>
        <v/>
      </c>
      <c r="U1368" s="79" t="str">
        <f>IF(ISERROR(FIND('112'!$M$9,G1368,1)),"",IF((AND(LEFT(G1368,2)=LEFT('112'!$M$9,2),B1368&lt;'112'!$K$9,$N1368='112'!$I$6)),"x",""))</f>
        <v/>
      </c>
      <c r="V1368" s="79" t="str">
        <f>IF(ISERROR(FIND('112'!$M$9,G1368,1)),"",IF((AND(RIGHT(G1368,2)=RIGHT('112'!$M$9,2),B1368&lt;'112'!$K$9,$O1368='112'!$I$6)),"x",""))</f>
        <v/>
      </c>
      <c r="W1368" s="79" t="str">
        <f>IF(AND('341-CT'!$H$9=H1368,OR(LEFT(N1368,3)=$W$7,LEFT(O1368,3)=$W$7)),"x","")</f>
        <v/>
      </c>
      <c r="X1368" s="79" t="str">
        <f>IF(OR(TH!N1368=TH!$X$7,O1368=TH!$X$7),"x","")</f>
        <v/>
      </c>
      <c r="Y1368" s="79" t="str">
        <f>IF(AND(OR(N1368="131",O1368="131"),H1368='131-CT'!$H$9),"x","")</f>
        <v/>
      </c>
      <c r="Z1368" s="79"/>
      <c r="AA1368" s="79" t="str">
        <f>IF(AND(MONTH(E1368)='IN-NX'!$J$5,'IN-NX'!$D$7=D1368),"x","")</f>
        <v/>
      </c>
      <c r="AB1368" s="79" t="str">
        <f>IF(AND(OR(LEFT(TH!N1368,2)="15",LEFT(TH!O1368,2)="15"),LEFT(TH!O1368,3)&lt;&gt;"111",'152-CT'!$J$8=TH!F1368),"x","")</f>
        <v/>
      </c>
      <c r="AC1368" s="79" t="str">
        <f>IF(AND(OR(LEFT(TH!N1368,2)="15",LEFT(TH!O1368,2)="15"),TK!$E$7=TH!F1368),"x","")</f>
        <v/>
      </c>
      <c r="AD1368" s="79" t="str">
        <f>IF(AND(N1368="1521",MONTH(C1368)='BK-NL'!$M$11),"x","")</f>
        <v/>
      </c>
    </row>
    <row r="1369" spans="1:30" s="1102" customFormat="1" ht="16.5" customHeight="1">
      <c r="A1369" s="318" t="str">
        <f>IF(B1369&lt;&gt;"",IF(AND(B1369='IN-TC'!$S$4,OR(TH!N1369="1111",TH!O1369="1111")),TH!D1369,""),"")</f>
        <v/>
      </c>
      <c r="B1369" s="60" t="str">
        <f t="shared" si="200"/>
        <v/>
      </c>
      <c r="C1369" s="981"/>
      <c r="D1369" s="981"/>
      <c r="E1369" s="981"/>
      <c r="F1369" s="1008"/>
      <c r="G1369" s="987"/>
      <c r="H1369" s="85"/>
      <c r="I1369" s="984"/>
      <c r="J1369" s="984"/>
      <c r="K1369" s="984"/>
      <c r="L1369" s="983"/>
      <c r="M1369" s="970"/>
      <c r="N1369" s="980"/>
      <c r="O1369" s="980"/>
      <c r="P1369" s="79" t="str">
        <f>IF(AND('331-CT'!$E$7=TH!H1369,OR(N1369="331",O1369="331")),"x","")</f>
        <v/>
      </c>
      <c r="Q1369" s="79" t="str">
        <f>IF(AND(B1369='111'!$L$11,OR($N1369=$Q$7,$O1369=$Q$7)),"x","")</f>
        <v/>
      </c>
      <c r="R1369" s="79" t="str">
        <f>IF(AND($N1369=$Q$7,$B1369&lt;'111'!$L$11),"x","")</f>
        <v/>
      </c>
      <c r="S1369" s="79" t="str">
        <f>IF(AND($O1369=$Q$7,$B1369&lt;'111'!$L$11),"x","")</f>
        <v/>
      </c>
      <c r="T1369" s="79" t="str">
        <f>IF(ISERROR(FIND('112'!$M$9,G1369,1)),"",IF((AND(FIND('112'!$M$9,G1369,1)&gt;=1,B1369='112'!$K$9,OR($N1369='112'!$I$6,$O1369='112'!$I$6))),"x",""))</f>
        <v/>
      </c>
      <c r="U1369" s="79" t="str">
        <f>IF(ISERROR(FIND('112'!$M$9,G1369,1)),"",IF((AND(LEFT(G1369,2)=LEFT('112'!$M$9,2),B1369&lt;'112'!$K$9,$N1369='112'!$I$6)),"x",""))</f>
        <v/>
      </c>
      <c r="V1369" s="79" t="str">
        <f>IF(ISERROR(FIND('112'!$M$9,G1369,1)),"",IF((AND(RIGHT(G1369,2)=RIGHT('112'!$M$9,2),B1369&lt;'112'!$K$9,$O1369='112'!$I$6)),"x",""))</f>
        <v/>
      </c>
      <c r="W1369" s="79" t="str">
        <f>IF(AND('341-CT'!$H$9=H1369,OR(LEFT(N1369,3)=$W$7,LEFT(O1369,3)=$W$7)),"x","")</f>
        <v/>
      </c>
      <c r="X1369" s="79" t="str">
        <f>IF(OR(TH!N1369=TH!$X$7,O1369=TH!$X$7),"x","")</f>
        <v/>
      </c>
      <c r="Y1369" s="79" t="str">
        <f>IF(AND(OR(N1369="131",O1369="131"),H1369='131-CT'!$H$9),"x","")</f>
        <v/>
      </c>
      <c r="Z1369" s="79"/>
      <c r="AA1369" s="79" t="str">
        <f>IF(AND(MONTH(E1369)='IN-NX'!$J$5,'IN-NX'!$D$7=D1369),"x","")</f>
        <v/>
      </c>
      <c r="AB1369" s="79" t="str">
        <f>IF(AND(OR(LEFT(TH!N1369,2)="15",LEFT(TH!O1369,2)="15"),LEFT(TH!O1369,3)&lt;&gt;"111",'152-CT'!$J$8=TH!F1369),"x","")</f>
        <v/>
      </c>
      <c r="AC1369" s="79" t="str">
        <f>IF(AND(OR(LEFT(TH!N1369,2)="15",LEFT(TH!O1369,2)="15"),TK!$E$7=TH!F1369),"x","")</f>
        <v/>
      </c>
      <c r="AD1369" s="79" t="str">
        <f>IF(AND(N1369="1521",MONTH(C1369)='BK-NL'!$M$11),"x","")</f>
        <v/>
      </c>
    </row>
    <row r="1370" spans="1:30" s="1102" customFormat="1" ht="16.5" customHeight="1">
      <c r="A1370" s="318" t="str">
        <f>IF(B1370&lt;&gt;"",IF(AND(B1370='IN-TC'!$S$4,OR(TH!N1370="1111",TH!O1370="1111")),TH!D1370,""),"")</f>
        <v/>
      </c>
      <c r="B1370" s="60" t="str">
        <f t="shared" si="200"/>
        <v/>
      </c>
      <c r="C1370" s="981"/>
      <c r="D1370" s="981"/>
      <c r="E1370" s="981"/>
      <c r="F1370" s="1008"/>
      <c r="G1370" s="987"/>
      <c r="H1370" s="85"/>
      <c r="I1370" s="984"/>
      <c r="J1370" s="984"/>
      <c r="K1370" s="984"/>
      <c r="L1370" s="983"/>
      <c r="M1370" s="970"/>
      <c r="N1370" s="980"/>
      <c r="O1370" s="980"/>
      <c r="P1370" s="79" t="str">
        <f>IF(AND('331-CT'!$E$7=TH!H1370,OR(N1370="331",O1370="331")),"x","")</f>
        <v/>
      </c>
      <c r="Q1370" s="79" t="str">
        <f>IF(AND(B1370='111'!$L$11,OR($N1370=$Q$7,$O1370=$Q$7)),"x","")</f>
        <v/>
      </c>
      <c r="R1370" s="79" t="str">
        <f>IF(AND($N1370=$Q$7,$B1370&lt;'111'!$L$11),"x","")</f>
        <v/>
      </c>
      <c r="S1370" s="79" t="str">
        <f>IF(AND($O1370=$Q$7,$B1370&lt;'111'!$L$11),"x","")</f>
        <v/>
      </c>
      <c r="T1370" s="79" t="str">
        <f>IF(ISERROR(FIND('112'!$M$9,G1370,1)),"",IF((AND(FIND('112'!$M$9,G1370,1)&gt;=1,B1370='112'!$K$9,OR($N1370='112'!$I$6,$O1370='112'!$I$6))),"x",""))</f>
        <v/>
      </c>
      <c r="U1370" s="79" t="str">
        <f>IF(ISERROR(FIND('112'!$M$9,G1370,1)),"",IF((AND(LEFT(G1370,2)=LEFT('112'!$M$9,2),B1370&lt;'112'!$K$9,$N1370='112'!$I$6)),"x",""))</f>
        <v/>
      </c>
      <c r="V1370" s="79" t="str">
        <f>IF(ISERROR(FIND('112'!$M$9,G1370,1)),"",IF((AND(RIGHT(G1370,2)=RIGHT('112'!$M$9,2),B1370&lt;'112'!$K$9,$O1370='112'!$I$6)),"x",""))</f>
        <v/>
      </c>
      <c r="W1370" s="79" t="str">
        <f>IF(AND('341-CT'!$H$9=H1370,OR(LEFT(N1370,3)=$W$7,LEFT(O1370,3)=$W$7)),"x","")</f>
        <v/>
      </c>
      <c r="X1370" s="79" t="str">
        <f>IF(OR(TH!N1370=TH!$X$7,O1370=TH!$X$7),"x","")</f>
        <v/>
      </c>
      <c r="Y1370" s="79" t="str">
        <f>IF(AND(OR(N1370="131",O1370="131"),H1370='131-CT'!$H$9),"x","")</f>
        <v/>
      </c>
      <c r="Z1370" s="79"/>
      <c r="AA1370" s="79" t="str">
        <f>IF(AND(MONTH(E1370)='IN-NX'!$J$5,'IN-NX'!$D$7=D1370),"x","")</f>
        <v/>
      </c>
      <c r="AB1370" s="79" t="str">
        <f>IF(AND(OR(LEFT(TH!N1370,2)="15",LEFT(TH!O1370,2)="15"),LEFT(TH!O1370,3)&lt;&gt;"111",'152-CT'!$J$8=TH!F1370),"x","")</f>
        <v/>
      </c>
      <c r="AC1370" s="79" t="str">
        <f>IF(AND(OR(LEFT(TH!N1370,2)="15",LEFT(TH!O1370,2)="15"),TK!$E$7=TH!F1370),"x","")</f>
        <v/>
      </c>
      <c r="AD1370" s="79" t="str">
        <f>IF(AND(N1370="1521",MONTH(C1370)='BK-NL'!$M$11),"x","")</f>
        <v/>
      </c>
    </row>
    <row r="1371" spans="1:30" s="1102" customFormat="1" ht="16.5" customHeight="1">
      <c r="A1371" s="318" t="str">
        <f>IF(B1371&lt;&gt;"",IF(AND(B1371='IN-TC'!$S$4,OR(TH!N1371="1111",TH!O1371="1111")),TH!D1371,""),"")</f>
        <v/>
      </c>
      <c r="B1371" s="60" t="str">
        <f t="shared" si="200"/>
        <v/>
      </c>
      <c r="C1371" s="981"/>
      <c r="D1371" s="981"/>
      <c r="E1371" s="981"/>
      <c r="F1371" s="1008"/>
      <c r="G1371" s="987"/>
      <c r="H1371" s="85"/>
      <c r="I1371" s="984"/>
      <c r="J1371" s="984"/>
      <c r="K1371" s="984"/>
      <c r="L1371" s="983"/>
      <c r="M1371" s="970"/>
      <c r="N1371" s="980"/>
      <c r="O1371" s="980"/>
      <c r="P1371" s="79" t="str">
        <f>IF(AND('331-CT'!$E$7=TH!H1371,OR(N1371="331",O1371="331")),"x","")</f>
        <v/>
      </c>
      <c r="Q1371" s="79" t="str">
        <f>IF(AND(B1371='111'!$L$11,OR($N1371=$Q$7,$O1371=$Q$7)),"x","")</f>
        <v/>
      </c>
      <c r="R1371" s="79" t="str">
        <f>IF(AND($N1371=$Q$7,$B1371&lt;'111'!$L$11),"x","")</f>
        <v/>
      </c>
      <c r="S1371" s="79" t="str">
        <f>IF(AND($O1371=$Q$7,$B1371&lt;'111'!$L$11),"x","")</f>
        <v/>
      </c>
      <c r="T1371" s="79" t="str">
        <f>IF(ISERROR(FIND('112'!$M$9,G1371,1)),"",IF((AND(FIND('112'!$M$9,G1371,1)&gt;=1,B1371='112'!$K$9,OR($N1371='112'!$I$6,$O1371='112'!$I$6))),"x",""))</f>
        <v/>
      </c>
      <c r="U1371" s="79" t="str">
        <f>IF(ISERROR(FIND('112'!$M$9,G1371,1)),"",IF((AND(LEFT(G1371,2)=LEFT('112'!$M$9,2),B1371&lt;'112'!$K$9,$N1371='112'!$I$6)),"x",""))</f>
        <v/>
      </c>
      <c r="V1371" s="79" t="str">
        <f>IF(ISERROR(FIND('112'!$M$9,G1371,1)),"",IF((AND(RIGHT(G1371,2)=RIGHT('112'!$M$9,2),B1371&lt;'112'!$K$9,$O1371='112'!$I$6)),"x",""))</f>
        <v/>
      </c>
      <c r="W1371" s="79" t="str">
        <f>IF(AND('341-CT'!$H$9=H1371,OR(LEFT(N1371,3)=$W$7,LEFT(O1371,3)=$W$7)),"x","")</f>
        <v/>
      </c>
      <c r="X1371" s="79" t="str">
        <f>IF(OR(TH!N1371=TH!$X$7,O1371=TH!$X$7),"x","")</f>
        <v/>
      </c>
      <c r="Y1371" s="79" t="str">
        <f>IF(AND(OR(N1371="131",O1371="131"),H1371='131-CT'!$H$9),"x","")</f>
        <v/>
      </c>
      <c r="Z1371" s="79"/>
      <c r="AA1371" s="79" t="str">
        <f>IF(AND(MONTH(E1371)='IN-NX'!$J$5,'IN-NX'!$D$7=D1371),"x","")</f>
        <v/>
      </c>
      <c r="AB1371" s="79" t="str">
        <f>IF(AND(OR(LEFT(TH!N1371,2)="15",LEFT(TH!O1371,2)="15"),LEFT(TH!O1371,3)&lt;&gt;"111",'152-CT'!$J$8=TH!F1371),"x","")</f>
        <v/>
      </c>
      <c r="AC1371" s="79" t="str">
        <f>IF(AND(OR(LEFT(TH!N1371,2)="15",LEFT(TH!O1371,2)="15"),TK!$E$7=TH!F1371),"x","")</f>
        <v/>
      </c>
      <c r="AD1371" s="79" t="str">
        <f>IF(AND(N1371="1521",MONTH(C1371)='BK-NL'!$M$11),"x","")</f>
        <v/>
      </c>
    </row>
    <row r="1372" spans="1:30" s="1102" customFormat="1" ht="16.5" customHeight="1">
      <c r="A1372" s="318" t="str">
        <f>IF(B1372&lt;&gt;"",IF(AND(B1372='IN-TC'!$S$4,OR(TH!N1372="1111",TH!O1372="1111")),TH!D1372,""),"")</f>
        <v/>
      </c>
      <c r="B1372" s="60" t="str">
        <f t="shared" si="200"/>
        <v/>
      </c>
      <c r="C1372" s="981"/>
      <c r="D1372" s="981"/>
      <c r="E1372" s="981"/>
      <c r="F1372" s="1008"/>
      <c r="G1372" s="987"/>
      <c r="H1372" s="997"/>
      <c r="I1372" s="984"/>
      <c r="J1372" s="984"/>
      <c r="K1372" s="984"/>
      <c r="L1372" s="983"/>
      <c r="M1372" s="970"/>
      <c r="N1372" s="980"/>
      <c r="O1372" s="980"/>
      <c r="P1372" s="79" t="str">
        <f>IF(AND('331-CT'!$E$7=TH!H1372,OR(N1372="331",O1372="331")),"x","")</f>
        <v/>
      </c>
      <c r="Q1372" s="79" t="str">
        <f>IF(AND(B1372='111'!$L$11,OR($N1372=$Q$7,$O1372=$Q$7)),"x","")</f>
        <v/>
      </c>
      <c r="R1372" s="79" t="str">
        <f>IF(AND($N1372=$Q$7,$B1372&lt;'111'!$L$11),"x","")</f>
        <v/>
      </c>
      <c r="S1372" s="79" t="str">
        <f>IF(AND($O1372=$Q$7,$B1372&lt;'111'!$L$11),"x","")</f>
        <v/>
      </c>
      <c r="T1372" s="79" t="str">
        <f>IF(ISERROR(FIND('112'!$M$9,G1372,1)),"",IF((AND(FIND('112'!$M$9,G1372,1)&gt;=1,B1372='112'!$K$9,OR($N1372='112'!$I$6,$O1372='112'!$I$6))),"x",""))</f>
        <v/>
      </c>
      <c r="U1372" s="79" t="str">
        <f>IF(ISERROR(FIND('112'!$M$9,G1372,1)),"",IF((AND(LEFT(G1372,2)=LEFT('112'!$M$9,2),B1372&lt;'112'!$K$9,$N1372='112'!$I$6)),"x",""))</f>
        <v/>
      </c>
      <c r="V1372" s="79" t="str">
        <f>IF(ISERROR(FIND('112'!$M$9,G1372,1)),"",IF((AND(RIGHT(G1372,2)=RIGHT('112'!$M$9,2),B1372&lt;'112'!$K$9,$O1372='112'!$I$6)),"x",""))</f>
        <v/>
      </c>
      <c r="W1372" s="79" t="str">
        <f>IF(AND('341-CT'!$H$9=H1372,OR(LEFT(N1372,3)=$W$7,LEFT(O1372,3)=$W$7)),"x","")</f>
        <v/>
      </c>
      <c r="X1372" s="79" t="str">
        <f>IF(OR(TH!N1372=TH!$X$7,O1372=TH!$X$7),"x","")</f>
        <v/>
      </c>
      <c r="Y1372" s="79" t="str">
        <f>IF(AND(OR(N1372="131",O1372="131"),H1372='131-CT'!$H$9),"x","")</f>
        <v/>
      </c>
      <c r="Z1372" s="79"/>
      <c r="AA1372" s="79" t="str">
        <f>IF(AND(MONTH(E1372)='IN-NX'!$J$5,'IN-NX'!$D$7=D1372),"x","")</f>
        <v/>
      </c>
      <c r="AB1372" s="79" t="str">
        <f>IF(AND(OR(LEFT(TH!N1372,2)="15",LEFT(TH!O1372,2)="15"),LEFT(TH!O1372,3)&lt;&gt;"111",'152-CT'!$J$8=TH!F1372),"x","")</f>
        <v/>
      </c>
      <c r="AC1372" s="79" t="str">
        <f>IF(AND(OR(LEFT(TH!N1372,2)="15",LEFT(TH!O1372,2)="15"),TK!$E$7=TH!F1372),"x","")</f>
        <v/>
      </c>
      <c r="AD1372" s="79" t="str">
        <f>IF(AND(N1372="1521",MONTH(C1372)='BK-NL'!$M$11),"x","")</f>
        <v/>
      </c>
    </row>
    <row r="1373" spans="1:30" s="1102" customFormat="1" ht="16.5" customHeight="1">
      <c r="A1373" s="318" t="str">
        <f>IF(B1373&lt;&gt;"",IF(AND(B1373='IN-TC'!$S$4,OR(TH!N1373="1111",TH!O1373="1111")),TH!D1373,""),"")</f>
        <v/>
      </c>
      <c r="B1373" s="60" t="str">
        <f t="shared" si="200"/>
        <v/>
      </c>
      <c r="C1373" s="981"/>
      <c r="D1373" s="981"/>
      <c r="E1373" s="981"/>
      <c r="F1373" s="1008"/>
      <c r="G1373" s="987"/>
      <c r="H1373" s="85"/>
      <c r="I1373" s="984"/>
      <c r="J1373" s="984"/>
      <c r="K1373" s="984"/>
      <c r="L1373" s="983"/>
      <c r="M1373" s="970"/>
      <c r="N1373" s="980"/>
      <c r="O1373" s="980"/>
      <c r="P1373" s="79" t="str">
        <f>IF(AND('331-CT'!$E$7=TH!H1373,OR(N1373="331",O1373="331")),"x","")</f>
        <v/>
      </c>
      <c r="Q1373" s="79" t="str">
        <f>IF(AND(B1373='111'!$L$11,OR($N1373=$Q$7,$O1373=$Q$7)),"x","")</f>
        <v/>
      </c>
      <c r="R1373" s="79" t="str">
        <f>IF(AND($N1373=$Q$7,$B1373&lt;'111'!$L$11),"x","")</f>
        <v/>
      </c>
      <c r="S1373" s="79" t="str">
        <f>IF(AND($O1373=$Q$7,$B1373&lt;'111'!$L$11),"x","")</f>
        <v/>
      </c>
      <c r="T1373" s="79" t="str">
        <f>IF(ISERROR(FIND('112'!$M$9,G1373,1)),"",IF((AND(FIND('112'!$M$9,G1373,1)&gt;=1,B1373='112'!$K$9,OR($N1373='112'!$I$6,$O1373='112'!$I$6))),"x",""))</f>
        <v/>
      </c>
      <c r="U1373" s="79" t="str">
        <f>IF(ISERROR(FIND('112'!$M$9,G1373,1)),"",IF((AND(LEFT(G1373,2)=LEFT('112'!$M$9,2),B1373&lt;'112'!$K$9,$N1373='112'!$I$6)),"x",""))</f>
        <v/>
      </c>
      <c r="V1373" s="79" t="str">
        <f>IF(ISERROR(FIND('112'!$M$9,G1373,1)),"",IF((AND(RIGHT(G1373,2)=RIGHT('112'!$M$9,2),B1373&lt;'112'!$K$9,$O1373='112'!$I$6)),"x",""))</f>
        <v/>
      </c>
      <c r="W1373" s="79" t="str">
        <f>IF(AND('341-CT'!$H$9=H1373,OR(LEFT(N1373,3)=$W$7,LEFT(O1373,3)=$W$7)),"x","")</f>
        <v/>
      </c>
      <c r="X1373" s="79" t="str">
        <f>IF(OR(TH!N1373=TH!$X$7,O1373=TH!$X$7),"x","")</f>
        <v/>
      </c>
      <c r="Y1373" s="79" t="str">
        <f>IF(AND(OR(N1373="131",O1373="131"),H1373='131-CT'!$H$9),"x","")</f>
        <v/>
      </c>
      <c r="Z1373" s="79"/>
      <c r="AA1373" s="79" t="str">
        <f>IF(AND(MONTH(E1373)='IN-NX'!$J$5,'IN-NX'!$D$7=D1373),"x","")</f>
        <v/>
      </c>
      <c r="AB1373" s="79" t="str">
        <f>IF(AND(OR(LEFT(TH!N1373,2)="15",LEFT(TH!O1373,2)="15"),LEFT(TH!O1373,3)&lt;&gt;"111",'152-CT'!$J$8=TH!F1373),"x","")</f>
        <v/>
      </c>
      <c r="AC1373" s="79" t="str">
        <f>IF(AND(OR(LEFT(TH!N1373,2)="15",LEFT(TH!O1373,2)="15"),TK!$E$7=TH!F1373),"x","")</f>
        <v/>
      </c>
      <c r="AD1373" s="79" t="str">
        <f>IF(AND(N1373="1521",MONTH(C1373)='BK-NL'!$M$11),"x","")</f>
        <v/>
      </c>
    </row>
    <row r="1374" spans="1:30" ht="16.5" customHeight="1">
      <c r="A1374" s="318" t="str">
        <f>IF(B1374&lt;&gt;"",IF(AND(B1374='IN-TC'!$S$4,OR(TH!N1374="1111",TH!O1374="1111")),TH!D1374,""),"")</f>
        <v/>
      </c>
      <c r="B1374" s="60" t="str">
        <f t="shared" si="200"/>
        <v/>
      </c>
      <c r="C1374" s="226"/>
      <c r="D1374" s="226"/>
      <c r="E1374" s="226"/>
      <c r="F1374" s="1010"/>
      <c r="G1374" s="763"/>
      <c r="H1374" s="321"/>
      <c r="I1374" s="385"/>
      <c r="J1374" s="385"/>
      <c r="K1374" s="385"/>
      <c r="L1374" s="392"/>
      <c r="M1374" s="970"/>
      <c r="N1374" s="980"/>
      <c r="O1374" s="980"/>
      <c r="P1374" s="79" t="str">
        <f>IF(AND('331-CT'!$E$7=TH!H1374,OR(N1374="331",O1374="331")),"x","")</f>
        <v/>
      </c>
      <c r="Q1374" s="79" t="str">
        <f>IF(AND(B1374='111'!$L$11,OR($N1374=$Q$7,$O1374=$Q$7)),"x","")</f>
        <v/>
      </c>
      <c r="R1374" s="79" t="str">
        <f>IF(AND($N1374=$Q$7,$B1374&lt;'111'!$L$11),"x","")</f>
        <v/>
      </c>
      <c r="S1374" s="79" t="str">
        <f>IF(AND($O1374=$Q$7,$B1374&lt;'111'!$L$11),"x","")</f>
        <v/>
      </c>
      <c r="T1374" s="79" t="str">
        <f>IF(ISERROR(FIND('112'!$M$9,G1374,1)),"",IF((AND(FIND('112'!$M$9,G1374,1)&gt;=1,B1374='112'!$K$9,OR($N1374='112'!$I$6,$O1374='112'!$I$6))),"x",""))</f>
        <v/>
      </c>
      <c r="U1374" s="79" t="str">
        <f>IF(ISERROR(FIND('112'!$M$9,G1374,1)),"",IF((AND(LEFT(G1374,2)=LEFT('112'!$M$9,2),B1374&lt;'112'!$K$9,$N1374='112'!$I$6)),"x",""))</f>
        <v/>
      </c>
      <c r="V1374" s="79" t="str">
        <f>IF(ISERROR(FIND('112'!$M$9,G1374,1)),"",IF((AND(RIGHT(G1374,2)=RIGHT('112'!$M$9,2),B1374&lt;'112'!$K$9,$O1374='112'!$I$6)),"x",""))</f>
        <v/>
      </c>
      <c r="W1374" s="79" t="str">
        <f>IF(AND('341-CT'!$H$9=H1374,OR(LEFT(N1374,3)=$W$7,LEFT(O1374,3)=$W$7)),"x","")</f>
        <v/>
      </c>
      <c r="X1374" s="79" t="str">
        <f>IF(OR(TH!N1374=TH!$X$7,O1374=TH!$X$7),"x","")</f>
        <v/>
      </c>
      <c r="Y1374" s="79" t="str">
        <f>IF(AND(OR(N1374="131",O1374="131"),H1374='131-CT'!$H$9),"x","")</f>
        <v/>
      </c>
      <c r="Z1374" s="79"/>
      <c r="AA1374" s="79" t="str">
        <f>IF(AND(MONTH(E1374)='IN-NX'!$J$5,'IN-NX'!$D$7=D1374),"x","")</f>
        <v/>
      </c>
      <c r="AB1374" s="79" t="str">
        <f>IF(AND(OR(LEFT(TH!N1374,2)="15",LEFT(TH!O1374,2)="15"),LEFT(TH!O1374,3)&lt;&gt;"111",'152-CT'!$J$8=TH!F1374),"x","")</f>
        <v/>
      </c>
      <c r="AC1374" s="79" t="str">
        <f>IF(AND(OR(LEFT(TH!N1374,2)="15",LEFT(TH!O1374,2)="15"),TK!$E$7=TH!F1374),"x","")</f>
        <v/>
      </c>
      <c r="AD1374" s="79" t="str">
        <f>IF(AND(N1374="1521",MONTH(C1374)='BK-NL'!$M$11),"x","")</f>
        <v/>
      </c>
    </row>
    <row r="1375" spans="1:30" ht="16.5" customHeight="1">
      <c r="A1375" s="318" t="str">
        <f>IF(B1375&lt;&gt;"",IF(AND(B1375='IN-TC'!$S$4,OR(TH!N1375="1111",TH!O1375="1111")),TH!D1375,""),"")</f>
        <v/>
      </c>
      <c r="B1375" s="60" t="str">
        <f t="shared" si="200"/>
        <v/>
      </c>
      <c r="C1375" s="226"/>
      <c r="D1375" s="226"/>
      <c r="E1375" s="226"/>
      <c r="F1375" s="1010"/>
      <c r="G1375" s="763"/>
      <c r="H1375" s="321"/>
      <c r="I1375" s="385"/>
      <c r="J1375" s="385"/>
      <c r="K1375" s="385"/>
      <c r="L1375" s="392"/>
      <c r="M1375" s="970"/>
      <c r="N1375" s="980"/>
      <c r="O1375" s="980"/>
      <c r="P1375" s="79" t="str">
        <f>IF(AND('331-CT'!$E$7=TH!H1375,OR(N1375="331",O1375="331")),"x","")</f>
        <v/>
      </c>
      <c r="Q1375" s="79" t="str">
        <f>IF(AND(B1375='111'!$L$11,OR($N1375=$Q$7,$O1375=$Q$7)),"x","")</f>
        <v/>
      </c>
      <c r="R1375" s="79" t="str">
        <f>IF(AND($N1375=$Q$7,$B1375&lt;'111'!$L$11),"x","")</f>
        <v/>
      </c>
      <c r="S1375" s="79" t="str">
        <f>IF(AND($O1375=$Q$7,$B1375&lt;'111'!$L$11),"x","")</f>
        <v/>
      </c>
      <c r="T1375" s="79" t="str">
        <f>IF(ISERROR(FIND('112'!$M$9,G1375,1)),"",IF((AND(FIND('112'!$M$9,G1375,1)&gt;=1,B1375='112'!$K$9,OR($N1375='112'!$I$6,$O1375='112'!$I$6))),"x",""))</f>
        <v/>
      </c>
      <c r="U1375" s="79" t="str">
        <f>IF(ISERROR(FIND('112'!$M$9,G1375,1)),"",IF((AND(LEFT(G1375,2)=LEFT('112'!$M$9,2),B1375&lt;'112'!$K$9,$N1375='112'!$I$6)),"x",""))</f>
        <v/>
      </c>
      <c r="V1375" s="79" t="str">
        <f>IF(ISERROR(FIND('112'!$M$9,G1375,1)),"",IF((AND(RIGHT(G1375,2)=RIGHT('112'!$M$9,2),B1375&lt;'112'!$K$9,$O1375='112'!$I$6)),"x",""))</f>
        <v/>
      </c>
      <c r="W1375" s="79" t="str">
        <f>IF(AND('341-CT'!$H$9=H1375,OR(LEFT(N1375,3)=$W$7,LEFT(O1375,3)=$W$7)),"x","")</f>
        <v/>
      </c>
      <c r="X1375" s="79" t="str">
        <f>IF(OR(TH!N1375=TH!$X$7,O1375=TH!$X$7),"x","")</f>
        <v/>
      </c>
      <c r="Y1375" s="79" t="str">
        <f>IF(AND(OR(N1375="131",O1375="131"),H1375='131-CT'!$H$9),"x","")</f>
        <v/>
      </c>
      <c r="Z1375" s="79"/>
      <c r="AA1375" s="79" t="str">
        <f>IF(AND(MONTH(E1375)='IN-NX'!$J$5,'IN-NX'!$D$7=D1375),"x","")</f>
        <v/>
      </c>
      <c r="AB1375" s="79" t="str">
        <f>IF(AND(OR(LEFT(TH!N1375,2)="15",LEFT(TH!O1375,2)="15"),LEFT(TH!O1375,3)&lt;&gt;"111",'152-CT'!$J$8=TH!F1375),"x","")</f>
        <v/>
      </c>
      <c r="AC1375" s="79" t="str">
        <f>IF(AND(OR(LEFT(TH!N1375,2)="15",LEFT(TH!O1375,2)="15"),TK!$E$7=TH!F1375),"x","")</f>
        <v/>
      </c>
      <c r="AD1375" s="79" t="str">
        <f>IF(AND(N1375="1521",MONTH(C1375)='BK-NL'!$M$11),"x","")</f>
        <v/>
      </c>
    </row>
    <row r="1376" spans="1:30" ht="16.5" customHeight="1">
      <c r="A1376" s="318" t="str">
        <f>IF(B1376&lt;&gt;"",IF(AND(B1376='IN-TC'!$S$4,OR(TH!N1376="1111",TH!O1376="1111")),TH!D1376,""),"")</f>
        <v/>
      </c>
      <c r="B1376" s="60" t="str">
        <f t="shared" si="200"/>
        <v/>
      </c>
      <c r="C1376" s="226"/>
      <c r="D1376" s="226"/>
      <c r="E1376" s="226"/>
      <c r="F1376" s="1010"/>
      <c r="G1376" s="763"/>
      <c r="H1376" s="321"/>
      <c r="I1376" s="385"/>
      <c r="J1376" s="385"/>
      <c r="K1376" s="385"/>
      <c r="L1376" s="392"/>
      <c r="M1376" s="970"/>
      <c r="N1376" s="980"/>
      <c r="O1376" s="980"/>
      <c r="P1376" s="79" t="str">
        <f>IF(AND('331-CT'!$E$7=TH!H1376,OR(N1376="331",O1376="331")),"x","")</f>
        <v/>
      </c>
      <c r="Q1376" s="79" t="str">
        <f>IF(AND(B1376='111'!$L$11,OR($N1376=$Q$7,$O1376=$Q$7)),"x","")</f>
        <v/>
      </c>
      <c r="R1376" s="79" t="str">
        <f>IF(AND($N1376=$Q$7,$B1376&lt;'111'!$L$11),"x","")</f>
        <v/>
      </c>
      <c r="S1376" s="79" t="str">
        <f>IF(AND($O1376=$Q$7,$B1376&lt;'111'!$L$11),"x","")</f>
        <v/>
      </c>
      <c r="T1376" s="79" t="str">
        <f>IF(ISERROR(FIND('112'!$M$9,G1376,1)),"",IF((AND(FIND('112'!$M$9,G1376,1)&gt;=1,B1376='112'!$K$9,OR($N1376='112'!$I$6,$O1376='112'!$I$6))),"x",""))</f>
        <v/>
      </c>
      <c r="U1376" s="79" t="str">
        <f>IF(ISERROR(FIND('112'!$M$9,G1376,1)),"",IF((AND(LEFT(G1376,2)=LEFT('112'!$M$9,2),B1376&lt;'112'!$K$9,$N1376='112'!$I$6)),"x",""))</f>
        <v/>
      </c>
      <c r="V1376" s="79" t="str">
        <f>IF(ISERROR(FIND('112'!$M$9,G1376,1)),"",IF((AND(RIGHT(G1376,2)=RIGHT('112'!$M$9,2),B1376&lt;'112'!$K$9,$O1376='112'!$I$6)),"x",""))</f>
        <v/>
      </c>
      <c r="W1376" s="79" t="str">
        <f>IF(AND('341-CT'!$H$9=H1376,OR(LEFT(N1376,3)=$W$7,LEFT(O1376,3)=$W$7)),"x","")</f>
        <v/>
      </c>
      <c r="X1376" s="79" t="str">
        <f>IF(OR(TH!N1376=TH!$X$7,O1376=TH!$X$7),"x","")</f>
        <v/>
      </c>
      <c r="Y1376" s="79" t="str">
        <f>IF(AND(OR(N1376="131",O1376="131"),H1376='131-CT'!$H$9),"x","")</f>
        <v/>
      </c>
      <c r="Z1376" s="79"/>
      <c r="AA1376" s="79" t="str">
        <f>IF(AND(MONTH(E1376)='IN-NX'!$J$5,'IN-NX'!$D$7=D1376),"x","")</f>
        <v/>
      </c>
      <c r="AB1376" s="79" t="str">
        <f>IF(AND(OR(LEFT(TH!N1376,2)="15",LEFT(TH!O1376,2)="15"),LEFT(TH!O1376,3)&lt;&gt;"111",'152-CT'!$J$8=TH!F1376),"x","")</f>
        <v/>
      </c>
      <c r="AC1376" s="79" t="str">
        <f>IF(AND(OR(LEFT(TH!N1376,2)="15",LEFT(TH!O1376,2)="15"),TK!$E$7=TH!F1376),"x","")</f>
        <v/>
      </c>
      <c r="AD1376" s="79" t="str">
        <f>IF(AND(N1376="1521",MONTH(C1376)='BK-NL'!$M$11),"x","")</f>
        <v/>
      </c>
    </row>
    <row r="1377" spans="1:30" s="1102" customFormat="1" ht="16.5" customHeight="1">
      <c r="A1377" s="318" t="str">
        <f>IF(B1377&lt;&gt;"",IF(AND(B1377='IN-TC'!$S$4,OR(TH!N1377="1111",TH!O1377="1111")),TH!D1377,""),"")</f>
        <v/>
      </c>
      <c r="B1377" s="60" t="str">
        <f t="shared" si="200"/>
        <v/>
      </c>
      <c r="C1377" s="226"/>
      <c r="D1377" s="226"/>
      <c r="E1377" s="226"/>
      <c r="F1377" s="1008"/>
      <c r="G1377" s="987"/>
      <c r="H1377" s="997"/>
      <c r="I1377" s="984"/>
      <c r="J1377" s="984"/>
      <c r="K1377" s="984"/>
      <c r="L1377" s="983"/>
      <c r="M1377" s="970"/>
      <c r="N1377" s="980"/>
      <c r="O1377" s="980"/>
      <c r="P1377" s="79" t="str">
        <f>IF(AND('331-CT'!$E$7=TH!H1377,OR(N1377="331",O1377="331")),"x","")</f>
        <v/>
      </c>
      <c r="Q1377" s="79" t="str">
        <f>IF(AND(B1377='111'!$L$11,OR($N1377=$Q$7,$O1377=$Q$7)),"x","")</f>
        <v/>
      </c>
      <c r="R1377" s="79" t="str">
        <f>IF(AND($N1377=$Q$7,$B1377&lt;'111'!$L$11),"x","")</f>
        <v/>
      </c>
      <c r="S1377" s="79" t="str">
        <f>IF(AND($O1377=$Q$7,$B1377&lt;'111'!$L$11),"x","")</f>
        <v/>
      </c>
      <c r="T1377" s="79" t="str">
        <f>IF(ISERROR(FIND('112'!$M$9,G1377,1)),"",IF((AND(FIND('112'!$M$9,G1377,1)&gt;=1,B1377='112'!$K$9,OR($N1377='112'!$I$6,$O1377='112'!$I$6))),"x",""))</f>
        <v/>
      </c>
      <c r="U1377" s="79" t="str">
        <f>IF(ISERROR(FIND('112'!$M$9,G1377,1)),"",IF((AND(LEFT(G1377,2)=LEFT('112'!$M$9,2),B1377&lt;'112'!$K$9,$N1377='112'!$I$6)),"x",""))</f>
        <v/>
      </c>
      <c r="V1377" s="79" t="str">
        <f>IF(ISERROR(FIND('112'!$M$9,G1377,1)),"",IF((AND(RIGHT(G1377,2)=RIGHT('112'!$M$9,2),B1377&lt;'112'!$K$9,$O1377='112'!$I$6)),"x",""))</f>
        <v/>
      </c>
      <c r="W1377" s="79" t="str">
        <f>IF(AND('341-CT'!$H$9=H1377,OR(LEFT(N1377,3)=$W$7,LEFT(O1377,3)=$W$7)),"x","")</f>
        <v/>
      </c>
      <c r="X1377" s="79" t="str">
        <f>IF(OR(TH!N1377=TH!$X$7,O1377=TH!$X$7),"x","")</f>
        <v/>
      </c>
      <c r="Y1377" s="79" t="str">
        <f>IF(AND(OR(N1377="131",O1377="131"),H1377='131-CT'!$H$9),"x","")</f>
        <v/>
      </c>
      <c r="Z1377" s="79"/>
      <c r="AA1377" s="79" t="str">
        <f>IF(AND(MONTH(E1377)='IN-NX'!$J$5,'IN-NX'!$D$7=D1377),"x","")</f>
        <v/>
      </c>
      <c r="AB1377" s="79" t="str">
        <f>IF(AND(OR(LEFT(TH!N1377,2)="15",LEFT(TH!O1377,2)="15"),LEFT(TH!O1377,3)&lt;&gt;"111",'152-CT'!$J$8=TH!F1377),"x","")</f>
        <v/>
      </c>
      <c r="AC1377" s="79" t="str">
        <f>IF(AND(OR(LEFT(TH!N1377,2)="15",LEFT(TH!O1377,2)="15"),TK!$E$7=TH!F1377),"x","")</f>
        <v/>
      </c>
      <c r="AD1377" s="79" t="str">
        <f>IF(AND(N1377="1521",MONTH(C1377)='BK-NL'!$M$11),"x","")</f>
        <v/>
      </c>
    </row>
    <row r="1378" spans="1:30" s="1102" customFormat="1" ht="16.5" customHeight="1">
      <c r="A1378" s="318" t="str">
        <f>IF(B1378&lt;&gt;"",IF(AND(B1378='IN-TC'!$S$4,OR(TH!N1378="1111",TH!O1378="1111")),TH!D1378,""),"")</f>
        <v/>
      </c>
      <c r="B1378" s="60" t="str">
        <f t="shared" si="200"/>
        <v/>
      </c>
      <c r="C1378" s="226"/>
      <c r="D1378" s="226"/>
      <c r="E1378" s="226"/>
      <c r="F1378" s="1008"/>
      <c r="G1378" s="987"/>
      <c r="H1378" s="85"/>
      <c r="I1378" s="984"/>
      <c r="J1378" s="984"/>
      <c r="K1378" s="984"/>
      <c r="L1378" s="983"/>
      <c r="M1378" s="970"/>
      <c r="N1378" s="980"/>
      <c r="O1378" s="980"/>
      <c r="P1378" s="79" t="str">
        <f>IF(AND('331-CT'!$E$7=TH!H1378,OR(N1378="331",O1378="331")),"x","")</f>
        <v/>
      </c>
      <c r="Q1378" s="79" t="str">
        <f>IF(AND(B1378='111'!$L$11,OR($N1378=$Q$7,$O1378=$Q$7)),"x","")</f>
        <v/>
      </c>
      <c r="R1378" s="79" t="str">
        <f>IF(AND($N1378=$Q$7,$B1378&lt;'111'!$L$11),"x","")</f>
        <v/>
      </c>
      <c r="S1378" s="79" t="str">
        <f>IF(AND($O1378=$Q$7,$B1378&lt;'111'!$L$11),"x","")</f>
        <v/>
      </c>
      <c r="T1378" s="79" t="str">
        <f>IF(ISERROR(FIND('112'!$M$9,G1378,1)),"",IF((AND(FIND('112'!$M$9,G1378,1)&gt;=1,B1378='112'!$K$9,OR($N1378='112'!$I$6,$O1378='112'!$I$6))),"x",""))</f>
        <v/>
      </c>
      <c r="U1378" s="79" t="str">
        <f>IF(ISERROR(FIND('112'!$M$9,G1378,1)),"",IF((AND(LEFT(G1378,2)=LEFT('112'!$M$9,2),B1378&lt;'112'!$K$9,$N1378='112'!$I$6)),"x",""))</f>
        <v/>
      </c>
      <c r="V1378" s="79" t="str">
        <f>IF(ISERROR(FIND('112'!$M$9,G1378,1)),"",IF((AND(RIGHT(G1378,2)=RIGHT('112'!$M$9,2),B1378&lt;'112'!$K$9,$O1378='112'!$I$6)),"x",""))</f>
        <v/>
      </c>
      <c r="W1378" s="79" t="str">
        <f>IF(AND('341-CT'!$H$9=H1378,OR(LEFT(N1378,3)=$W$7,LEFT(O1378,3)=$W$7)),"x","")</f>
        <v/>
      </c>
      <c r="X1378" s="79" t="str">
        <f>IF(OR(TH!N1378=TH!$X$7,O1378=TH!$X$7),"x","")</f>
        <v/>
      </c>
      <c r="Y1378" s="79" t="str">
        <f>IF(AND(OR(N1378="131",O1378="131"),H1378='131-CT'!$H$9),"x","")</f>
        <v/>
      </c>
      <c r="Z1378" s="79"/>
      <c r="AA1378" s="79" t="str">
        <f>IF(AND(MONTH(E1378)='IN-NX'!$J$5,'IN-NX'!$D$7=D1378),"x","")</f>
        <v/>
      </c>
      <c r="AB1378" s="79" t="str">
        <f>IF(AND(OR(LEFT(TH!N1378,2)="15",LEFT(TH!O1378,2)="15"),LEFT(TH!O1378,3)&lt;&gt;"111",'152-CT'!$J$8=TH!F1378),"x","")</f>
        <v/>
      </c>
      <c r="AC1378" s="79" t="str">
        <f>IF(AND(OR(LEFT(TH!N1378,2)="15",LEFT(TH!O1378,2)="15"),TK!$E$7=TH!F1378),"x","")</f>
        <v/>
      </c>
      <c r="AD1378" s="79" t="str">
        <f>IF(AND(N1378="1521",MONTH(C1378)='BK-NL'!$M$11),"x","")</f>
        <v/>
      </c>
    </row>
    <row r="1379" spans="1:30" s="1102" customFormat="1" ht="16.5" customHeight="1">
      <c r="A1379" s="318" t="str">
        <f>IF(B1379&lt;&gt;"",IF(AND(B1379='IN-TC'!$S$4,OR(TH!N1379="1111",TH!O1379="1111")),TH!D1379,""),"")</f>
        <v/>
      </c>
      <c r="B1379" s="60" t="str">
        <f t="shared" si="200"/>
        <v/>
      </c>
      <c r="C1379" s="226"/>
      <c r="D1379" s="226"/>
      <c r="E1379" s="226"/>
      <c r="F1379" s="1008"/>
      <c r="G1379" s="987"/>
      <c r="H1379" s="85"/>
      <c r="I1379" s="984"/>
      <c r="J1379" s="984"/>
      <c r="K1379" s="984"/>
      <c r="L1379" s="983"/>
      <c r="M1379" s="970"/>
      <c r="N1379" s="980"/>
      <c r="O1379" s="980"/>
      <c r="P1379" s="79" t="str">
        <f>IF(AND('331-CT'!$E$7=TH!H1379,OR(N1379="331",O1379="331")),"x","")</f>
        <v/>
      </c>
      <c r="Q1379" s="79" t="str">
        <f>IF(AND(B1379='111'!$L$11,OR($N1379=$Q$7,$O1379=$Q$7)),"x","")</f>
        <v/>
      </c>
      <c r="R1379" s="79" t="str">
        <f>IF(AND($N1379=$Q$7,$B1379&lt;'111'!$L$11),"x","")</f>
        <v/>
      </c>
      <c r="S1379" s="79" t="str">
        <f>IF(AND($O1379=$Q$7,$B1379&lt;'111'!$L$11),"x","")</f>
        <v/>
      </c>
      <c r="T1379" s="79" t="str">
        <f>IF(ISERROR(FIND('112'!$M$9,G1379,1)),"",IF((AND(FIND('112'!$M$9,G1379,1)&gt;=1,B1379='112'!$K$9,OR($N1379='112'!$I$6,$O1379='112'!$I$6))),"x",""))</f>
        <v/>
      </c>
      <c r="U1379" s="79" t="str">
        <f>IF(ISERROR(FIND('112'!$M$9,G1379,1)),"",IF((AND(LEFT(G1379,2)=LEFT('112'!$M$9,2),B1379&lt;'112'!$K$9,$N1379='112'!$I$6)),"x",""))</f>
        <v/>
      </c>
      <c r="V1379" s="79" t="str">
        <f>IF(ISERROR(FIND('112'!$M$9,G1379,1)),"",IF((AND(RIGHT(G1379,2)=RIGHT('112'!$M$9,2),B1379&lt;'112'!$K$9,$O1379='112'!$I$6)),"x",""))</f>
        <v/>
      </c>
      <c r="W1379" s="79" t="str">
        <f>IF(AND('341-CT'!$H$9=H1379,OR(LEFT(N1379,3)=$W$7,LEFT(O1379,3)=$W$7)),"x","")</f>
        <v/>
      </c>
      <c r="X1379" s="79" t="str">
        <f>IF(OR(TH!N1379=TH!$X$7,O1379=TH!$X$7),"x","")</f>
        <v/>
      </c>
      <c r="Y1379" s="79" t="str">
        <f>IF(AND(OR(N1379="131",O1379="131"),H1379='131-CT'!$H$9),"x","")</f>
        <v/>
      </c>
      <c r="Z1379" s="79"/>
      <c r="AA1379" s="79" t="str">
        <f>IF(AND(MONTH(E1379)='IN-NX'!$J$5,'IN-NX'!$D$7=D1379),"x","")</f>
        <v/>
      </c>
      <c r="AB1379" s="79" t="str">
        <f>IF(AND(OR(LEFT(TH!N1379,2)="15",LEFT(TH!O1379,2)="15"),LEFT(TH!O1379,3)&lt;&gt;"111",'152-CT'!$J$8=TH!F1379),"x","")</f>
        <v/>
      </c>
      <c r="AC1379" s="79" t="str">
        <f>IF(AND(OR(LEFT(TH!N1379,2)="15",LEFT(TH!O1379,2)="15"),TK!$E$7=TH!F1379),"x","")</f>
        <v/>
      </c>
      <c r="AD1379" s="79" t="str">
        <f>IF(AND(N1379="1521",MONTH(C1379)='BK-NL'!$M$11),"x","")</f>
        <v/>
      </c>
    </row>
    <row r="1380" spans="1:30" s="1102" customFormat="1" ht="16.5" customHeight="1">
      <c r="A1380" s="318" t="str">
        <f>IF(B1380&lt;&gt;"",IF(AND(B1380='IN-TC'!$S$4,OR(TH!N1380="1111",TH!O1380="1111")),TH!D1380,""),"")</f>
        <v/>
      </c>
      <c r="B1380" s="60" t="str">
        <f t="shared" si="200"/>
        <v/>
      </c>
      <c r="C1380" s="226"/>
      <c r="D1380" s="226"/>
      <c r="E1380" s="226"/>
      <c r="F1380" s="1008"/>
      <c r="G1380" s="987"/>
      <c r="H1380" s="85"/>
      <c r="I1380" s="984"/>
      <c r="J1380" s="984"/>
      <c r="K1380" s="984"/>
      <c r="L1380" s="983"/>
      <c r="M1380" s="970"/>
      <c r="N1380" s="980"/>
      <c r="O1380" s="980"/>
      <c r="P1380" s="79" t="str">
        <f>IF(AND('331-CT'!$E$7=TH!H1380,OR(N1380="331",O1380="331")),"x","")</f>
        <v/>
      </c>
      <c r="Q1380" s="79" t="str">
        <f>IF(AND(B1380='111'!$L$11,OR($N1380=$Q$7,$O1380=$Q$7)),"x","")</f>
        <v/>
      </c>
      <c r="R1380" s="79" t="str">
        <f>IF(AND($N1380=$Q$7,$B1380&lt;'111'!$L$11),"x","")</f>
        <v/>
      </c>
      <c r="S1380" s="79" t="str">
        <f>IF(AND($O1380=$Q$7,$B1380&lt;'111'!$L$11),"x","")</f>
        <v/>
      </c>
      <c r="T1380" s="79" t="str">
        <f>IF(ISERROR(FIND('112'!$M$9,G1380,1)),"",IF((AND(FIND('112'!$M$9,G1380,1)&gt;=1,B1380='112'!$K$9,OR($N1380='112'!$I$6,$O1380='112'!$I$6))),"x",""))</f>
        <v/>
      </c>
      <c r="U1380" s="79" t="str">
        <f>IF(ISERROR(FIND('112'!$M$9,G1380,1)),"",IF((AND(LEFT(G1380,2)=LEFT('112'!$M$9,2),B1380&lt;'112'!$K$9,$N1380='112'!$I$6)),"x",""))</f>
        <v/>
      </c>
      <c r="V1380" s="79" t="str">
        <f>IF(ISERROR(FIND('112'!$M$9,G1380,1)),"",IF((AND(RIGHT(G1380,2)=RIGHT('112'!$M$9,2),B1380&lt;'112'!$K$9,$O1380='112'!$I$6)),"x",""))</f>
        <v/>
      </c>
      <c r="W1380" s="79" t="str">
        <f>IF(AND('341-CT'!$H$9=H1380,OR(LEFT(N1380,3)=$W$7,LEFT(O1380,3)=$W$7)),"x","")</f>
        <v/>
      </c>
      <c r="X1380" s="79" t="str">
        <f>IF(OR(TH!N1380=TH!$X$7,O1380=TH!$X$7),"x","")</f>
        <v/>
      </c>
      <c r="Y1380" s="79" t="str">
        <f>IF(AND(OR(N1380="131",O1380="131"),H1380='131-CT'!$H$9),"x","")</f>
        <v/>
      </c>
      <c r="Z1380" s="79"/>
      <c r="AA1380" s="79" t="str">
        <f>IF(AND(MONTH(E1380)='IN-NX'!$J$5,'IN-NX'!$D$7=D1380),"x","")</f>
        <v/>
      </c>
      <c r="AB1380" s="79" t="str">
        <f>IF(AND(OR(LEFT(TH!N1380,2)="15",LEFT(TH!O1380,2)="15"),LEFT(TH!O1380,3)&lt;&gt;"111",'152-CT'!$J$8=TH!F1380),"x","")</f>
        <v/>
      </c>
      <c r="AC1380" s="79" t="str">
        <f>IF(AND(OR(LEFT(TH!N1380,2)="15",LEFT(TH!O1380,2)="15"),TK!$E$7=TH!F1380),"x","")</f>
        <v/>
      </c>
      <c r="AD1380" s="79" t="str">
        <f>IF(AND(N1380="1521",MONTH(C1380)='BK-NL'!$M$11),"x","")</f>
        <v/>
      </c>
    </row>
    <row r="1381" spans="1:30" ht="16.5" customHeight="1">
      <c r="A1381" s="318" t="str">
        <f>IF(B1381&lt;&gt;"",IF(AND(B1381='IN-TC'!$S$4,OR(TH!N1381="1111",TH!O1381="1111")),TH!D1381,""),"")</f>
        <v/>
      </c>
      <c r="B1381" s="60" t="str">
        <f t="shared" si="200"/>
        <v/>
      </c>
      <c r="C1381" s="226"/>
      <c r="D1381" s="226"/>
      <c r="E1381" s="226"/>
      <c r="F1381" s="1010"/>
      <c r="G1381" s="763"/>
      <c r="H1381" s="321"/>
      <c r="I1381" s="385"/>
      <c r="J1381" s="385"/>
      <c r="K1381" s="385"/>
      <c r="L1381" s="392"/>
      <c r="M1381" s="970"/>
      <c r="N1381" s="980"/>
      <c r="O1381" s="980"/>
      <c r="P1381" s="79" t="str">
        <f>IF(AND('331-CT'!$E$7=TH!H1381,OR(N1381="331",O1381="331")),"x","")</f>
        <v/>
      </c>
      <c r="Q1381" s="79" t="str">
        <f>IF(AND(B1381='111'!$L$11,OR($N1381=$Q$7,$O1381=$Q$7)),"x","")</f>
        <v/>
      </c>
      <c r="R1381" s="79" t="str">
        <f>IF(AND($N1381=$Q$7,$B1381&lt;'111'!$L$11),"x","")</f>
        <v/>
      </c>
      <c r="S1381" s="79" t="str">
        <f>IF(AND($O1381=$Q$7,$B1381&lt;'111'!$L$11),"x","")</f>
        <v/>
      </c>
      <c r="T1381" s="79" t="str">
        <f>IF(ISERROR(FIND('112'!$M$9,G1381,1)),"",IF((AND(FIND('112'!$M$9,G1381,1)&gt;=1,B1381='112'!$K$9,OR($N1381='112'!$I$6,$O1381='112'!$I$6))),"x",""))</f>
        <v/>
      </c>
      <c r="U1381" s="79" t="str">
        <f>IF(ISERROR(FIND('112'!$M$9,G1381,1)),"",IF((AND(LEFT(G1381,2)=LEFT('112'!$M$9,2),B1381&lt;'112'!$K$9,$N1381='112'!$I$6)),"x",""))</f>
        <v/>
      </c>
      <c r="V1381" s="79" t="str">
        <f>IF(ISERROR(FIND('112'!$M$9,G1381,1)),"",IF((AND(RIGHT(G1381,2)=RIGHT('112'!$M$9,2),B1381&lt;'112'!$K$9,$O1381='112'!$I$6)),"x",""))</f>
        <v/>
      </c>
      <c r="W1381" s="79" t="str">
        <f>IF(AND('341-CT'!$H$9=H1381,OR(LEFT(N1381,3)=$W$7,LEFT(O1381,3)=$W$7)),"x","")</f>
        <v/>
      </c>
      <c r="X1381" s="79" t="str">
        <f>IF(OR(TH!N1381=TH!$X$7,O1381=TH!$X$7),"x","")</f>
        <v/>
      </c>
      <c r="Y1381" s="79" t="str">
        <f>IF(AND(OR(N1381="131",O1381="131"),H1381='131-CT'!$H$9),"x","")</f>
        <v/>
      </c>
      <c r="Z1381" s="79"/>
      <c r="AA1381" s="79" t="str">
        <f>IF(AND(MONTH(E1381)='IN-NX'!$J$5,'IN-NX'!$D$7=D1381),"x","")</f>
        <v/>
      </c>
      <c r="AB1381" s="79" t="str">
        <f>IF(AND(OR(LEFT(TH!N1381,2)="15",LEFT(TH!O1381,2)="15"),LEFT(TH!O1381,3)&lt;&gt;"111",'152-CT'!$J$8=TH!F1381),"x","")</f>
        <v/>
      </c>
      <c r="AC1381" s="79" t="str">
        <f>IF(AND(OR(LEFT(TH!N1381,2)="15",LEFT(TH!O1381,2)="15"),TK!$E$7=TH!F1381),"x","")</f>
        <v/>
      </c>
      <c r="AD1381" s="79" t="str">
        <f>IF(AND(N1381="1521",MONTH(C1381)='BK-NL'!$M$11),"x","")</f>
        <v/>
      </c>
    </row>
    <row r="1382" spans="1:30" s="1102" customFormat="1" ht="16.5" customHeight="1">
      <c r="A1382" s="318" t="str">
        <f>IF(B1382&lt;&gt;"",IF(AND(B1382='IN-TC'!$S$4,OR(TH!N1382="1111",TH!O1382="1111")),TH!D1382,""),"")</f>
        <v/>
      </c>
      <c r="B1382" s="60" t="str">
        <f t="shared" si="200"/>
        <v/>
      </c>
      <c r="C1382" s="226"/>
      <c r="D1382" s="226"/>
      <c r="E1382" s="226"/>
      <c r="F1382" s="1008"/>
      <c r="G1382" s="987"/>
      <c r="H1382" s="997"/>
      <c r="I1382" s="984"/>
      <c r="J1382" s="984"/>
      <c r="K1382" s="984"/>
      <c r="L1382" s="983"/>
      <c r="M1382" s="970"/>
      <c r="N1382" s="980"/>
      <c r="O1382" s="980"/>
      <c r="P1382" s="79" t="str">
        <f>IF(AND('331-CT'!$E$7=TH!H1382,OR(N1382="331",O1382="331")),"x","")</f>
        <v/>
      </c>
      <c r="Q1382" s="79" t="str">
        <f>IF(AND(B1382='111'!$L$11,OR($N1382=$Q$7,$O1382=$Q$7)),"x","")</f>
        <v/>
      </c>
      <c r="R1382" s="79" t="str">
        <f>IF(AND($N1382=$Q$7,$B1382&lt;'111'!$L$11),"x","")</f>
        <v/>
      </c>
      <c r="S1382" s="79" t="str">
        <f>IF(AND($O1382=$Q$7,$B1382&lt;'111'!$L$11),"x","")</f>
        <v/>
      </c>
      <c r="T1382" s="79" t="str">
        <f>IF(ISERROR(FIND('112'!$M$9,G1382,1)),"",IF((AND(FIND('112'!$M$9,G1382,1)&gt;=1,B1382='112'!$K$9,OR($N1382='112'!$I$6,$O1382='112'!$I$6))),"x",""))</f>
        <v/>
      </c>
      <c r="U1382" s="79" t="str">
        <f>IF(ISERROR(FIND('112'!$M$9,G1382,1)),"",IF((AND(LEFT(G1382,2)=LEFT('112'!$M$9,2),B1382&lt;'112'!$K$9,$N1382='112'!$I$6)),"x",""))</f>
        <v/>
      </c>
      <c r="V1382" s="79" t="str">
        <f>IF(ISERROR(FIND('112'!$M$9,G1382,1)),"",IF((AND(RIGHT(G1382,2)=RIGHT('112'!$M$9,2),B1382&lt;'112'!$K$9,$O1382='112'!$I$6)),"x",""))</f>
        <v/>
      </c>
      <c r="W1382" s="79" t="str">
        <f>IF(AND('341-CT'!$H$9=H1382,OR(LEFT(N1382,3)=$W$7,LEFT(O1382,3)=$W$7)),"x","")</f>
        <v/>
      </c>
      <c r="X1382" s="79" t="str">
        <f>IF(OR(TH!N1382=TH!$X$7,O1382=TH!$X$7),"x","")</f>
        <v/>
      </c>
      <c r="Y1382" s="79" t="str">
        <f>IF(AND(OR(N1382="131",O1382="131"),H1382='131-CT'!$H$9),"x","")</f>
        <v/>
      </c>
      <c r="Z1382" s="79"/>
      <c r="AA1382" s="79" t="str">
        <f>IF(AND(MONTH(E1382)='IN-NX'!$J$5,'IN-NX'!$D$7=D1382),"x","")</f>
        <v/>
      </c>
      <c r="AB1382" s="79" t="str">
        <f>IF(AND(OR(LEFT(TH!N1382,2)="15",LEFT(TH!O1382,2)="15"),LEFT(TH!O1382,3)&lt;&gt;"111",'152-CT'!$J$8=TH!F1382),"x","")</f>
        <v/>
      </c>
      <c r="AC1382" s="79" t="str">
        <f>IF(AND(OR(LEFT(TH!N1382,2)="15",LEFT(TH!O1382,2)="15"),TK!$E$7=TH!F1382),"x","")</f>
        <v/>
      </c>
      <c r="AD1382" s="79" t="str">
        <f>IF(AND(N1382="1521",MONTH(C1382)='BK-NL'!$M$11),"x","")</f>
        <v/>
      </c>
    </row>
    <row r="1383" spans="1:30" ht="16.5" customHeight="1">
      <c r="A1383" s="318" t="str">
        <f>IF(B1383&lt;&gt;"",IF(AND(B1383='IN-TC'!$S$4,OR(TH!N1383="1111",TH!O1383="1111")),TH!D1383,""),"")</f>
        <v/>
      </c>
      <c r="B1383" s="60" t="str">
        <f t="shared" si="200"/>
        <v/>
      </c>
      <c r="C1383" s="226"/>
      <c r="D1383" s="226"/>
      <c r="E1383" s="226"/>
      <c r="F1383" s="1010"/>
      <c r="G1383" s="763"/>
      <c r="H1383" s="321"/>
      <c r="I1383" s="385"/>
      <c r="J1383" s="385"/>
      <c r="K1383" s="385"/>
      <c r="L1383" s="392"/>
      <c r="M1383" s="970"/>
      <c r="N1383" s="980"/>
      <c r="O1383" s="980"/>
      <c r="P1383" s="79" t="str">
        <f>IF(AND('331-CT'!$E$7=TH!H1383,OR(N1383="331",O1383="331")),"x","")</f>
        <v/>
      </c>
      <c r="Q1383" s="79" t="str">
        <f>IF(AND(B1383='111'!$L$11,OR($N1383=$Q$7,$O1383=$Q$7)),"x","")</f>
        <v/>
      </c>
      <c r="R1383" s="79" t="str">
        <f>IF(AND($N1383=$Q$7,$B1383&lt;'111'!$L$11),"x","")</f>
        <v/>
      </c>
      <c r="S1383" s="79" t="str">
        <f>IF(AND($O1383=$Q$7,$B1383&lt;'111'!$L$11),"x","")</f>
        <v/>
      </c>
      <c r="T1383" s="79" t="str">
        <f>IF(ISERROR(FIND('112'!$M$9,G1383,1)),"",IF((AND(FIND('112'!$M$9,G1383,1)&gt;=1,B1383='112'!$K$9,OR($N1383='112'!$I$6,$O1383='112'!$I$6))),"x",""))</f>
        <v/>
      </c>
      <c r="U1383" s="79" t="str">
        <f>IF(ISERROR(FIND('112'!$M$9,G1383,1)),"",IF((AND(LEFT(G1383,2)=LEFT('112'!$M$9,2),B1383&lt;'112'!$K$9,$N1383='112'!$I$6)),"x",""))</f>
        <v/>
      </c>
      <c r="V1383" s="79" t="str">
        <f>IF(ISERROR(FIND('112'!$M$9,G1383,1)),"",IF((AND(RIGHT(G1383,2)=RIGHT('112'!$M$9,2),B1383&lt;'112'!$K$9,$O1383='112'!$I$6)),"x",""))</f>
        <v/>
      </c>
      <c r="W1383" s="79" t="str">
        <f>IF(AND('341-CT'!$H$9=H1383,OR(LEFT(N1383,3)=$W$7,LEFT(O1383,3)=$W$7)),"x","")</f>
        <v/>
      </c>
      <c r="X1383" s="79" t="str">
        <f>IF(OR(TH!N1383=TH!$X$7,O1383=TH!$X$7),"x","")</f>
        <v/>
      </c>
      <c r="Y1383" s="79" t="str">
        <f>IF(AND(OR(N1383="131",O1383="131"),H1383='131-CT'!$H$9),"x","")</f>
        <v/>
      </c>
      <c r="Z1383" s="79"/>
      <c r="AA1383" s="79" t="str">
        <f>IF(AND(MONTH(E1383)='IN-NX'!$J$5,'IN-NX'!$D$7=D1383),"x","")</f>
        <v/>
      </c>
      <c r="AB1383" s="79" t="str">
        <f>IF(AND(OR(LEFT(TH!N1383,2)="15",LEFT(TH!O1383,2)="15"),LEFT(TH!O1383,3)&lt;&gt;"111",'152-CT'!$J$8=TH!F1383),"x","")</f>
        <v/>
      </c>
      <c r="AC1383" s="79" t="str">
        <f>IF(AND(OR(LEFT(TH!N1383,2)="15",LEFT(TH!O1383,2)="15"),TK!$E$7=TH!F1383),"x","")</f>
        <v/>
      </c>
      <c r="AD1383" s="79" t="str">
        <f>IF(AND(N1383="1521",MONTH(C1383)='BK-NL'!$M$11),"x","")</f>
        <v/>
      </c>
    </row>
    <row r="1384" spans="1:30" ht="16.5" customHeight="1">
      <c r="A1384" s="318" t="str">
        <f>IF(B1384&lt;&gt;"",IF(AND(B1384='IN-TC'!$S$4,OR(TH!N1384="1111",TH!O1384="1111")),TH!D1384,""),"")</f>
        <v/>
      </c>
      <c r="B1384" s="60" t="str">
        <f t="shared" si="200"/>
        <v/>
      </c>
      <c r="C1384" s="226"/>
      <c r="D1384" s="226"/>
      <c r="E1384" s="226"/>
      <c r="F1384" s="1010"/>
      <c r="G1384" s="763"/>
      <c r="H1384" s="69"/>
      <c r="I1384" s="385"/>
      <c r="J1384" s="385"/>
      <c r="K1384" s="385"/>
      <c r="L1384" s="392"/>
      <c r="M1384" s="970"/>
      <c r="N1384" s="980"/>
      <c r="O1384" s="980"/>
      <c r="P1384" s="79" t="str">
        <f>IF(AND('331-CT'!$E$7=TH!H1384,OR(N1384="331",O1384="331")),"x","")</f>
        <v/>
      </c>
      <c r="Q1384" s="79" t="str">
        <f>IF(AND(B1384='111'!$L$11,OR($N1384=$Q$7,$O1384=$Q$7)),"x","")</f>
        <v/>
      </c>
      <c r="R1384" s="79" t="str">
        <f>IF(AND($N1384=$Q$7,$B1384&lt;'111'!$L$11),"x","")</f>
        <v/>
      </c>
      <c r="S1384" s="79" t="str">
        <f>IF(AND($O1384=$Q$7,$B1384&lt;'111'!$L$11),"x","")</f>
        <v/>
      </c>
      <c r="T1384" s="79" t="str">
        <f>IF(ISERROR(FIND('112'!$M$9,G1384,1)),"",IF((AND(FIND('112'!$M$9,G1384,1)&gt;=1,B1384='112'!$K$9,OR($N1384='112'!$I$6,$O1384='112'!$I$6))),"x",""))</f>
        <v/>
      </c>
      <c r="U1384" s="79" t="str">
        <f>IF(ISERROR(FIND('112'!$M$9,G1384,1)),"",IF((AND(LEFT(G1384,2)=LEFT('112'!$M$9,2),B1384&lt;'112'!$K$9,$N1384='112'!$I$6)),"x",""))</f>
        <v/>
      </c>
      <c r="V1384" s="79" t="str">
        <f>IF(ISERROR(FIND('112'!$M$9,G1384,1)),"",IF((AND(RIGHT(G1384,2)=RIGHT('112'!$M$9,2),B1384&lt;'112'!$K$9,$O1384='112'!$I$6)),"x",""))</f>
        <v/>
      </c>
      <c r="W1384" s="79" t="str">
        <f>IF(AND('341-CT'!$H$9=H1384,OR(LEFT(N1384,3)=$W$7,LEFT(O1384,3)=$W$7)),"x","")</f>
        <v/>
      </c>
      <c r="X1384" s="79" t="str">
        <f>IF(OR(TH!N1384=TH!$X$7,O1384=TH!$X$7),"x","")</f>
        <v/>
      </c>
      <c r="Y1384" s="79" t="str">
        <f>IF(AND(OR(N1384="131",O1384="131"),H1384='131-CT'!$H$9),"x","")</f>
        <v/>
      </c>
      <c r="Z1384" s="79"/>
      <c r="AA1384" s="79" t="str">
        <f>IF(AND(MONTH(E1384)='IN-NX'!$J$5,'IN-NX'!$D$7=D1384),"x","")</f>
        <v/>
      </c>
      <c r="AB1384" s="79" t="str">
        <f>IF(AND(OR(LEFT(TH!N1384,2)="15",LEFT(TH!O1384,2)="15"),LEFT(TH!O1384,3)&lt;&gt;"111",'152-CT'!$J$8=TH!F1384),"x","")</f>
        <v/>
      </c>
      <c r="AC1384" s="79" t="str">
        <f>IF(AND(OR(LEFT(TH!N1384,2)="15",LEFT(TH!O1384,2)="15"),TK!$E$7=TH!F1384),"x","")</f>
        <v/>
      </c>
      <c r="AD1384" s="79" t="str">
        <f>IF(AND(N1384="1521",MONTH(C1384)='BK-NL'!$M$11),"x","")</f>
        <v/>
      </c>
    </row>
    <row r="1385" spans="1:30" ht="16.5" customHeight="1">
      <c r="A1385" s="318" t="str">
        <f>IF(B1385&lt;&gt;"",IF(AND(B1385='IN-TC'!$S$4,OR(TH!N1385="1111",TH!O1385="1111")),TH!D1385,""),"")</f>
        <v/>
      </c>
      <c r="B1385" s="60" t="str">
        <f t="shared" si="200"/>
        <v/>
      </c>
      <c r="C1385" s="226"/>
      <c r="D1385" s="226"/>
      <c r="E1385" s="226"/>
      <c r="F1385" s="1010"/>
      <c r="G1385" s="763"/>
      <c r="H1385" s="69"/>
      <c r="I1385" s="385"/>
      <c r="J1385" s="385"/>
      <c r="K1385" s="385"/>
      <c r="L1385" s="392"/>
      <c r="M1385" s="970"/>
      <c r="N1385" s="980"/>
      <c r="O1385" s="980"/>
      <c r="P1385" s="79" t="str">
        <f>IF(AND('331-CT'!$E$7=TH!H1385,OR(N1385="331",O1385="331")),"x","")</f>
        <v/>
      </c>
      <c r="Q1385" s="79" t="str">
        <f>IF(AND(B1385='111'!$L$11,OR($N1385=$Q$7,$O1385=$Q$7)),"x","")</f>
        <v/>
      </c>
      <c r="R1385" s="79" t="str">
        <f>IF(AND($N1385=$Q$7,$B1385&lt;'111'!$L$11),"x","")</f>
        <v/>
      </c>
      <c r="S1385" s="79" t="str">
        <f>IF(AND($O1385=$Q$7,$B1385&lt;'111'!$L$11),"x","")</f>
        <v/>
      </c>
      <c r="T1385" s="79" t="str">
        <f>IF(ISERROR(FIND('112'!$M$9,G1385,1)),"",IF((AND(FIND('112'!$M$9,G1385,1)&gt;=1,B1385='112'!$K$9,OR($N1385='112'!$I$6,$O1385='112'!$I$6))),"x",""))</f>
        <v/>
      </c>
      <c r="U1385" s="79" t="str">
        <f>IF(ISERROR(FIND('112'!$M$9,G1385,1)),"",IF((AND(LEFT(G1385,2)=LEFT('112'!$M$9,2),B1385&lt;'112'!$K$9,$N1385='112'!$I$6)),"x",""))</f>
        <v/>
      </c>
      <c r="V1385" s="79" t="str">
        <f>IF(ISERROR(FIND('112'!$M$9,G1385,1)),"",IF((AND(RIGHT(G1385,2)=RIGHT('112'!$M$9,2),B1385&lt;'112'!$K$9,$O1385='112'!$I$6)),"x",""))</f>
        <v/>
      </c>
      <c r="W1385" s="79" t="str">
        <f>IF(AND('341-CT'!$H$9=H1385,OR(LEFT(N1385,3)=$W$7,LEFT(O1385,3)=$W$7)),"x","")</f>
        <v/>
      </c>
      <c r="X1385" s="79" t="str">
        <f>IF(OR(TH!N1385=TH!$X$7,O1385=TH!$X$7),"x","")</f>
        <v/>
      </c>
      <c r="Y1385" s="79" t="str">
        <f>IF(AND(OR(N1385="131",O1385="131"),H1385='131-CT'!$H$9),"x","")</f>
        <v/>
      </c>
      <c r="Z1385" s="79"/>
      <c r="AA1385" s="79" t="str">
        <f>IF(AND(MONTH(E1385)='IN-NX'!$J$5,'IN-NX'!$D$7=D1385),"x","")</f>
        <v/>
      </c>
      <c r="AB1385" s="79" t="str">
        <f>IF(AND(OR(LEFT(TH!N1385,2)="15",LEFT(TH!O1385,2)="15"),LEFT(TH!O1385,3)&lt;&gt;"111",'152-CT'!$J$8=TH!F1385),"x","")</f>
        <v/>
      </c>
      <c r="AC1385" s="79" t="str">
        <f>IF(AND(OR(LEFT(TH!N1385,2)="15",LEFT(TH!O1385,2)="15"),TK!$E$7=TH!F1385),"x","")</f>
        <v/>
      </c>
      <c r="AD1385" s="79" t="str">
        <f>IF(AND(N1385="1521",MONTH(C1385)='BK-NL'!$M$11),"x","")</f>
        <v/>
      </c>
    </row>
    <row r="1386" spans="1:30" ht="16.5" customHeight="1">
      <c r="A1386" s="318" t="str">
        <f>IF(B1386&lt;&gt;"",IF(AND(B1386='IN-TC'!$S$4,OR(TH!N1386="1111",TH!O1386="1111")),TH!D1386,""),"")</f>
        <v/>
      </c>
      <c r="B1386" s="60" t="str">
        <f t="shared" si="200"/>
        <v/>
      </c>
      <c r="C1386" s="226"/>
      <c r="D1386" s="226"/>
      <c r="E1386" s="226"/>
      <c r="F1386" s="1010"/>
      <c r="G1386" s="763"/>
      <c r="H1386" s="69"/>
      <c r="I1386" s="385"/>
      <c r="J1386" s="385"/>
      <c r="K1386" s="385"/>
      <c r="L1386" s="392"/>
      <c r="M1386" s="970"/>
      <c r="N1386" s="980"/>
      <c r="O1386" s="980"/>
      <c r="P1386" s="79" t="str">
        <f>IF(AND('331-CT'!$E$7=TH!H1386,OR(N1386="331",O1386="331")),"x","")</f>
        <v/>
      </c>
      <c r="Q1386" s="79" t="str">
        <f>IF(AND(B1386='111'!$L$11,OR($N1386=$Q$7,$O1386=$Q$7)),"x","")</f>
        <v/>
      </c>
      <c r="R1386" s="79" t="str">
        <f>IF(AND($N1386=$Q$7,$B1386&lt;'111'!$L$11),"x","")</f>
        <v/>
      </c>
      <c r="S1386" s="79" t="str">
        <f>IF(AND($O1386=$Q$7,$B1386&lt;'111'!$L$11),"x","")</f>
        <v/>
      </c>
      <c r="T1386" s="79" t="str">
        <f>IF(ISERROR(FIND('112'!$M$9,G1386,1)),"",IF((AND(FIND('112'!$M$9,G1386,1)&gt;=1,B1386='112'!$K$9,OR($N1386='112'!$I$6,$O1386='112'!$I$6))),"x",""))</f>
        <v/>
      </c>
      <c r="U1386" s="79" t="str">
        <f>IF(ISERROR(FIND('112'!$M$9,G1386,1)),"",IF((AND(LEFT(G1386,2)=LEFT('112'!$M$9,2),B1386&lt;'112'!$K$9,$N1386='112'!$I$6)),"x",""))</f>
        <v/>
      </c>
      <c r="V1386" s="79" t="str">
        <f>IF(ISERROR(FIND('112'!$M$9,G1386,1)),"",IF((AND(RIGHT(G1386,2)=RIGHT('112'!$M$9,2),B1386&lt;'112'!$K$9,$O1386='112'!$I$6)),"x",""))</f>
        <v/>
      </c>
      <c r="W1386" s="79" t="str">
        <f>IF(AND('341-CT'!$H$9=H1386,OR(LEFT(N1386,3)=$W$7,LEFT(O1386,3)=$W$7)),"x","")</f>
        <v/>
      </c>
      <c r="X1386" s="79" t="str">
        <f>IF(OR(TH!N1386=TH!$X$7,O1386=TH!$X$7),"x","")</f>
        <v/>
      </c>
      <c r="Y1386" s="79" t="str">
        <f>IF(AND(OR(N1386="131",O1386="131"),H1386='131-CT'!$H$9),"x","")</f>
        <v/>
      </c>
      <c r="Z1386" s="79"/>
      <c r="AA1386" s="79" t="str">
        <f>IF(AND(MONTH(E1386)='IN-NX'!$J$5,'IN-NX'!$D$7=D1386),"x","")</f>
        <v/>
      </c>
      <c r="AB1386" s="79" t="str">
        <f>IF(AND(OR(LEFT(TH!N1386,2)="15",LEFT(TH!O1386,2)="15"),LEFT(TH!O1386,3)&lt;&gt;"111",'152-CT'!$J$8=TH!F1386),"x","")</f>
        <v/>
      </c>
      <c r="AC1386" s="79" t="str">
        <f>IF(AND(OR(LEFT(TH!N1386,2)="15",LEFT(TH!O1386,2)="15"),TK!$E$7=TH!F1386),"x","")</f>
        <v/>
      </c>
      <c r="AD1386" s="79" t="str">
        <f>IF(AND(N1386="1521",MONTH(C1386)='BK-NL'!$M$11),"x","")</f>
        <v/>
      </c>
    </row>
    <row r="1387" spans="1:30" ht="16.5" customHeight="1">
      <c r="A1387" s="318" t="str">
        <f>IF(B1387&lt;&gt;"",IF(AND(B1387='IN-TC'!$S$4,OR(TH!N1387="1111",TH!O1387="1111")),TH!D1387,""),"")</f>
        <v/>
      </c>
      <c r="B1387" s="60" t="str">
        <f t="shared" si="200"/>
        <v/>
      </c>
      <c r="C1387" s="226"/>
      <c r="D1387" s="226"/>
      <c r="E1387" s="226"/>
      <c r="F1387" s="1010"/>
      <c r="G1387" s="763"/>
      <c r="H1387" s="69"/>
      <c r="I1387" s="385"/>
      <c r="J1387" s="385"/>
      <c r="K1387" s="385"/>
      <c r="L1387" s="392"/>
      <c r="M1387" s="970"/>
      <c r="N1387" s="980"/>
      <c r="O1387" s="980"/>
      <c r="P1387" s="79" t="str">
        <f>IF(AND('331-CT'!$E$7=TH!H1387,OR(N1387="331",O1387="331")),"x","")</f>
        <v/>
      </c>
      <c r="Q1387" s="79" t="str">
        <f>IF(AND(B1387='111'!$L$11,OR($N1387=$Q$7,$O1387=$Q$7)),"x","")</f>
        <v/>
      </c>
      <c r="R1387" s="79" t="str">
        <f>IF(AND($N1387=$Q$7,$B1387&lt;'111'!$L$11),"x","")</f>
        <v/>
      </c>
      <c r="S1387" s="79" t="str">
        <f>IF(AND($O1387=$Q$7,$B1387&lt;'111'!$L$11),"x","")</f>
        <v/>
      </c>
      <c r="T1387" s="79" t="str">
        <f>IF(ISERROR(FIND('112'!$M$9,G1387,1)),"",IF((AND(FIND('112'!$M$9,G1387,1)&gt;=1,B1387='112'!$K$9,OR($N1387='112'!$I$6,$O1387='112'!$I$6))),"x",""))</f>
        <v/>
      </c>
      <c r="U1387" s="79" t="str">
        <f>IF(ISERROR(FIND('112'!$M$9,G1387,1)),"",IF((AND(LEFT(G1387,2)=LEFT('112'!$M$9,2),B1387&lt;'112'!$K$9,$N1387='112'!$I$6)),"x",""))</f>
        <v/>
      </c>
      <c r="V1387" s="79" t="str">
        <f>IF(ISERROR(FIND('112'!$M$9,G1387,1)),"",IF((AND(RIGHT(G1387,2)=RIGHT('112'!$M$9,2),B1387&lt;'112'!$K$9,$O1387='112'!$I$6)),"x",""))</f>
        <v/>
      </c>
      <c r="W1387" s="79" t="str">
        <f>IF(AND('341-CT'!$H$9=H1387,OR(LEFT(N1387,3)=$W$7,LEFT(O1387,3)=$W$7)),"x","")</f>
        <v/>
      </c>
      <c r="X1387" s="79" t="str">
        <f>IF(OR(TH!N1387=TH!$X$7,O1387=TH!$X$7),"x","")</f>
        <v/>
      </c>
      <c r="Y1387" s="79" t="str">
        <f>IF(AND(OR(N1387="131",O1387="131"),H1387='131-CT'!$H$9),"x","")</f>
        <v/>
      </c>
      <c r="Z1387" s="79"/>
      <c r="AA1387" s="79" t="str">
        <f>IF(AND(MONTH(E1387)='IN-NX'!$J$5,'IN-NX'!$D$7=D1387),"x","")</f>
        <v/>
      </c>
      <c r="AB1387" s="79" t="str">
        <f>IF(AND(OR(LEFT(TH!N1387,2)="15",LEFT(TH!O1387,2)="15"),LEFT(TH!O1387,3)&lt;&gt;"111",'152-CT'!$J$8=TH!F1387),"x","")</f>
        <v/>
      </c>
      <c r="AC1387" s="79" t="str">
        <f>IF(AND(OR(LEFT(TH!N1387,2)="15",LEFT(TH!O1387,2)="15"),TK!$E$7=TH!F1387),"x","")</f>
        <v/>
      </c>
      <c r="AD1387" s="79" t="str">
        <f>IF(AND(N1387="1521",MONTH(C1387)='BK-NL'!$M$11),"x","")</f>
        <v/>
      </c>
    </row>
    <row r="1388" spans="1:30" ht="16.5" customHeight="1">
      <c r="A1388" s="318" t="str">
        <f>IF(B1388&lt;&gt;"",IF(AND(B1388='IN-TC'!$S$4,OR(TH!N1388="1111",TH!O1388="1111")),TH!D1388,""),"")</f>
        <v/>
      </c>
      <c r="B1388" s="60" t="str">
        <f t="shared" si="200"/>
        <v/>
      </c>
      <c r="C1388" s="226"/>
      <c r="D1388" s="226"/>
      <c r="E1388" s="226"/>
      <c r="F1388" s="1010"/>
      <c r="G1388" s="763"/>
      <c r="H1388" s="69"/>
      <c r="I1388" s="385"/>
      <c r="J1388" s="385"/>
      <c r="K1388" s="385"/>
      <c r="L1388" s="392"/>
      <c r="M1388" s="970"/>
      <c r="N1388" s="980"/>
      <c r="O1388" s="980"/>
      <c r="P1388" s="79" t="str">
        <f>IF(AND('331-CT'!$E$7=TH!H1388,OR(N1388="331",O1388="331")),"x","")</f>
        <v/>
      </c>
      <c r="Q1388" s="79" t="str">
        <f>IF(AND(B1388='111'!$L$11,OR($N1388=$Q$7,$O1388=$Q$7)),"x","")</f>
        <v/>
      </c>
      <c r="R1388" s="79" t="str">
        <f>IF(AND($N1388=$Q$7,$B1388&lt;'111'!$L$11),"x","")</f>
        <v/>
      </c>
      <c r="S1388" s="79" t="str">
        <f>IF(AND($O1388=$Q$7,$B1388&lt;'111'!$L$11),"x","")</f>
        <v/>
      </c>
      <c r="T1388" s="79" t="str">
        <f>IF(ISERROR(FIND('112'!$M$9,G1388,1)),"",IF((AND(FIND('112'!$M$9,G1388,1)&gt;=1,B1388='112'!$K$9,OR($N1388='112'!$I$6,$O1388='112'!$I$6))),"x",""))</f>
        <v/>
      </c>
      <c r="U1388" s="79" t="str">
        <f>IF(ISERROR(FIND('112'!$M$9,G1388,1)),"",IF((AND(LEFT(G1388,2)=LEFT('112'!$M$9,2),B1388&lt;'112'!$K$9,$N1388='112'!$I$6)),"x",""))</f>
        <v/>
      </c>
      <c r="V1388" s="79" t="str">
        <f>IF(ISERROR(FIND('112'!$M$9,G1388,1)),"",IF((AND(RIGHT(G1388,2)=RIGHT('112'!$M$9,2),B1388&lt;'112'!$K$9,$O1388='112'!$I$6)),"x",""))</f>
        <v/>
      </c>
      <c r="W1388" s="79" t="str">
        <f>IF(AND('341-CT'!$H$9=H1388,OR(LEFT(N1388,3)=$W$7,LEFT(O1388,3)=$W$7)),"x","")</f>
        <v/>
      </c>
      <c r="X1388" s="79" t="str">
        <f>IF(OR(TH!N1388=TH!$X$7,O1388=TH!$X$7),"x","")</f>
        <v/>
      </c>
      <c r="Y1388" s="79" t="str">
        <f>IF(AND(OR(N1388="131",O1388="131"),H1388='131-CT'!$H$9),"x","")</f>
        <v/>
      </c>
      <c r="Z1388" s="79"/>
      <c r="AA1388" s="79" t="str">
        <f>IF(AND(MONTH(E1388)='IN-NX'!$J$5,'IN-NX'!$D$7=D1388),"x","")</f>
        <v/>
      </c>
      <c r="AB1388" s="79" t="str">
        <f>IF(AND(OR(LEFT(TH!N1388,2)="15",LEFT(TH!O1388,2)="15"),LEFT(TH!O1388,3)&lt;&gt;"111",'152-CT'!$J$8=TH!F1388),"x","")</f>
        <v/>
      </c>
      <c r="AC1388" s="79" t="str">
        <f>IF(AND(OR(LEFT(TH!N1388,2)="15",LEFT(TH!O1388,2)="15"),TK!$E$7=TH!F1388),"x","")</f>
        <v/>
      </c>
      <c r="AD1388" s="79" t="str">
        <f>IF(AND(N1388="1521",MONTH(C1388)='BK-NL'!$M$11),"x","")</f>
        <v/>
      </c>
    </row>
    <row r="1389" spans="1:30" ht="16.5" customHeight="1">
      <c r="A1389" s="318" t="str">
        <f>IF(B1389&lt;&gt;"",IF(AND(B1389='IN-TC'!$S$4,OR(TH!N1389="1111",TH!O1389="1111")),TH!D1389,""),"")</f>
        <v/>
      </c>
      <c r="B1389" s="60" t="str">
        <f t="shared" si="200"/>
        <v/>
      </c>
      <c r="C1389" s="226"/>
      <c r="D1389" s="226"/>
      <c r="E1389" s="226"/>
      <c r="F1389" s="1010"/>
      <c r="G1389" s="763"/>
      <c r="H1389" s="69"/>
      <c r="I1389" s="385"/>
      <c r="J1389" s="385"/>
      <c r="K1389" s="385"/>
      <c r="L1389" s="392"/>
      <c r="M1389" s="970"/>
      <c r="N1389" s="980"/>
      <c r="O1389" s="980"/>
      <c r="P1389" s="79" t="str">
        <f>IF(AND('331-CT'!$E$7=TH!H1389,OR(N1389="331",O1389="331")),"x","")</f>
        <v/>
      </c>
      <c r="Q1389" s="79" t="str">
        <f>IF(AND(B1389='111'!$L$11,OR($N1389=$Q$7,$O1389=$Q$7)),"x","")</f>
        <v/>
      </c>
      <c r="R1389" s="79" t="str">
        <f>IF(AND($N1389=$Q$7,$B1389&lt;'111'!$L$11),"x","")</f>
        <v/>
      </c>
      <c r="S1389" s="79" t="str">
        <f>IF(AND($O1389=$Q$7,$B1389&lt;'111'!$L$11),"x","")</f>
        <v/>
      </c>
      <c r="T1389" s="79" t="str">
        <f>IF(ISERROR(FIND('112'!$M$9,G1389,1)),"",IF((AND(FIND('112'!$M$9,G1389,1)&gt;=1,B1389='112'!$K$9,OR($N1389='112'!$I$6,$O1389='112'!$I$6))),"x",""))</f>
        <v/>
      </c>
      <c r="U1389" s="79" t="str">
        <f>IF(ISERROR(FIND('112'!$M$9,G1389,1)),"",IF((AND(LEFT(G1389,2)=LEFT('112'!$M$9,2),B1389&lt;'112'!$K$9,$N1389='112'!$I$6)),"x",""))</f>
        <v/>
      </c>
      <c r="V1389" s="79" t="str">
        <f>IF(ISERROR(FIND('112'!$M$9,G1389,1)),"",IF((AND(RIGHT(G1389,2)=RIGHT('112'!$M$9,2),B1389&lt;'112'!$K$9,$O1389='112'!$I$6)),"x",""))</f>
        <v/>
      </c>
      <c r="W1389" s="79" t="str">
        <f>IF(AND('341-CT'!$H$9=H1389,OR(LEFT(N1389,3)=$W$7,LEFT(O1389,3)=$W$7)),"x","")</f>
        <v/>
      </c>
      <c r="X1389" s="79" t="str">
        <f>IF(OR(TH!N1389=TH!$X$7,O1389=TH!$X$7),"x","")</f>
        <v/>
      </c>
      <c r="Y1389" s="79" t="str">
        <f>IF(AND(OR(N1389="131",O1389="131"),H1389='131-CT'!$H$9),"x","")</f>
        <v/>
      </c>
      <c r="Z1389" s="79"/>
      <c r="AA1389" s="79" t="str">
        <f>IF(AND(MONTH(E1389)='IN-NX'!$J$5,'IN-NX'!$D$7=D1389),"x","")</f>
        <v/>
      </c>
      <c r="AB1389" s="79" t="str">
        <f>IF(AND(OR(LEFT(TH!N1389,2)="15",LEFT(TH!O1389,2)="15"),LEFT(TH!O1389,3)&lt;&gt;"111",'152-CT'!$J$8=TH!F1389),"x","")</f>
        <v/>
      </c>
      <c r="AC1389" s="79" t="str">
        <f>IF(AND(OR(LEFT(TH!N1389,2)="15",LEFT(TH!O1389,2)="15"),TK!$E$7=TH!F1389),"x","")</f>
        <v/>
      </c>
      <c r="AD1389" s="79" t="str">
        <f>IF(AND(N1389="1521",MONTH(C1389)='BK-NL'!$M$11),"x","")</f>
        <v/>
      </c>
    </row>
    <row r="1390" spans="1:30" ht="16.5" customHeight="1">
      <c r="A1390" s="318" t="str">
        <f>IF(B1390&lt;&gt;"",IF(AND(B1390='IN-TC'!$S$4,OR(TH!N1390="1111",TH!O1390="1111")),TH!D1390,""),"")</f>
        <v/>
      </c>
      <c r="B1390" s="60" t="str">
        <f t="shared" si="200"/>
        <v/>
      </c>
      <c r="C1390" s="226"/>
      <c r="D1390" s="226"/>
      <c r="E1390" s="226"/>
      <c r="F1390" s="1010"/>
      <c r="G1390" s="763"/>
      <c r="H1390" s="69"/>
      <c r="I1390" s="385"/>
      <c r="J1390" s="385"/>
      <c r="K1390" s="385"/>
      <c r="L1390" s="392"/>
      <c r="M1390" s="970"/>
      <c r="N1390" s="980"/>
      <c r="O1390" s="980"/>
      <c r="P1390" s="79" t="str">
        <f>IF(AND('331-CT'!$E$7=TH!H1390,OR(N1390="331",O1390="331")),"x","")</f>
        <v/>
      </c>
      <c r="Q1390" s="79" t="str">
        <f>IF(AND(B1390='111'!$L$11,OR($N1390=$Q$7,$O1390=$Q$7)),"x","")</f>
        <v/>
      </c>
      <c r="R1390" s="79" t="str">
        <f>IF(AND($N1390=$Q$7,$B1390&lt;'111'!$L$11),"x","")</f>
        <v/>
      </c>
      <c r="S1390" s="79" t="str">
        <f>IF(AND($O1390=$Q$7,$B1390&lt;'111'!$L$11),"x","")</f>
        <v/>
      </c>
      <c r="T1390" s="79" t="str">
        <f>IF(ISERROR(FIND('112'!$M$9,G1390,1)),"",IF((AND(FIND('112'!$M$9,G1390,1)&gt;=1,B1390='112'!$K$9,OR($N1390='112'!$I$6,$O1390='112'!$I$6))),"x",""))</f>
        <v/>
      </c>
      <c r="U1390" s="79" t="str">
        <f>IF(ISERROR(FIND('112'!$M$9,G1390,1)),"",IF((AND(LEFT(G1390,2)=LEFT('112'!$M$9,2),B1390&lt;'112'!$K$9,$N1390='112'!$I$6)),"x",""))</f>
        <v/>
      </c>
      <c r="V1390" s="79" t="str">
        <f>IF(ISERROR(FIND('112'!$M$9,G1390,1)),"",IF((AND(RIGHT(G1390,2)=RIGHT('112'!$M$9,2),B1390&lt;'112'!$K$9,$O1390='112'!$I$6)),"x",""))</f>
        <v/>
      </c>
      <c r="W1390" s="79" t="str">
        <f>IF(AND('341-CT'!$H$9=H1390,OR(LEFT(N1390,3)=$W$7,LEFT(O1390,3)=$W$7)),"x","")</f>
        <v/>
      </c>
      <c r="X1390" s="79" t="str">
        <f>IF(OR(TH!N1390=TH!$X$7,O1390=TH!$X$7),"x","")</f>
        <v/>
      </c>
      <c r="Y1390" s="79" t="str">
        <f>IF(AND(OR(N1390="131",O1390="131"),H1390='131-CT'!$H$9),"x","")</f>
        <v/>
      </c>
      <c r="Z1390" s="79"/>
      <c r="AA1390" s="79" t="str">
        <f>IF(AND(MONTH(E1390)='IN-NX'!$J$5,'IN-NX'!$D$7=D1390),"x","")</f>
        <v/>
      </c>
      <c r="AB1390" s="79" t="str">
        <f>IF(AND(OR(LEFT(TH!N1390,2)="15",LEFT(TH!O1390,2)="15"),LEFT(TH!O1390,3)&lt;&gt;"111",'152-CT'!$J$8=TH!F1390),"x","")</f>
        <v/>
      </c>
      <c r="AC1390" s="79" t="str">
        <f>IF(AND(OR(LEFT(TH!N1390,2)="15",LEFT(TH!O1390,2)="15"),TK!$E$7=TH!F1390),"x","")</f>
        <v/>
      </c>
      <c r="AD1390" s="79" t="str">
        <f>IF(AND(N1390="1521",MONTH(C1390)='BK-NL'!$M$11),"x","")</f>
        <v/>
      </c>
    </row>
    <row r="1391" spans="1:30" ht="16.5" customHeight="1">
      <c r="A1391" s="318" t="str">
        <f>IF(B1391&lt;&gt;"",IF(AND(B1391='IN-TC'!$S$4,OR(TH!N1391="1111",TH!O1391="1111")),TH!D1391,""),"")</f>
        <v/>
      </c>
      <c r="B1391" s="60" t="str">
        <f t="shared" si="200"/>
        <v/>
      </c>
      <c r="C1391" s="226"/>
      <c r="D1391" s="226"/>
      <c r="E1391" s="226"/>
      <c r="F1391" s="1010"/>
      <c r="G1391" s="763"/>
      <c r="H1391" s="69"/>
      <c r="I1391" s="385"/>
      <c r="J1391" s="385"/>
      <c r="K1391" s="385"/>
      <c r="L1391" s="392"/>
      <c r="M1391" s="970"/>
      <c r="N1391" s="980"/>
      <c r="O1391" s="980"/>
      <c r="P1391" s="79" t="str">
        <f>IF(AND('331-CT'!$E$7=TH!H1391,OR(N1391="331",O1391="331")),"x","")</f>
        <v/>
      </c>
      <c r="Q1391" s="79" t="str">
        <f>IF(AND(B1391='111'!$L$11,OR($N1391=$Q$7,$O1391=$Q$7)),"x","")</f>
        <v/>
      </c>
      <c r="R1391" s="79" t="str">
        <f>IF(AND($N1391=$Q$7,$B1391&lt;'111'!$L$11),"x","")</f>
        <v/>
      </c>
      <c r="S1391" s="79" t="str">
        <f>IF(AND($O1391=$Q$7,$B1391&lt;'111'!$L$11),"x","")</f>
        <v/>
      </c>
      <c r="T1391" s="79" t="str">
        <f>IF(ISERROR(FIND('112'!$M$9,G1391,1)),"",IF((AND(FIND('112'!$M$9,G1391,1)&gt;=1,B1391='112'!$K$9,OR($N1391='112'!$I$6,$O1391='112'!$I$6))),"x",""))</f>
        <v/>
      </c>
      <c r="U1391" s="79" t="str">
        <f>IF(ISERROR(FIND('112'!$M$9,G1391,1)),"",IF((AND(LEFT(G1391,2)=LEFT('112'!$M$9,2),B1391&lt;'112'!$K$9,$N1391='112'!$I$6)),"x",""))</f>
        <v/>
      </c>
      <c r="V1391" s="79" t="str">
        <f>IF(ISERROR(FIND('112'!$M$9,G1391,1)),"",IF((AND(RIGHT(G1391,2)=RIGHT('112'!$M$9,2),B1391&lt;'112'!$K$9,$O1391='112'!$I$6)),"x",""))</f>
        <v/>
      </c>
      <c r="W1391" s="79" t="str">
        <f>IF(AND('341-CT'!$H$9=H1391,OR(LEFT(N1391,3)=$W$7,LEFT(O1391,3)=$W$7)),"x","")</f>
        <v/>
      </c>
      <c r="X1391" s="79" t="str">
        <f>IF(OR(TH!N1391=TH!$X$7,O1391=TH!$X$7),"x","")</f>
        <v/>
      </c>
      <c r="Y1391" s="79" t="str">
        <f>IF(AND(OR(N1391="131",O1391="131"),H1391='131-CT'!$H$9),"x","")</f>
        <v/>
      </c>
      <c r="Z1391" s="79"/>
      <c r="AA1391" s="79" t="str">
        <f>IF(AND(MONTH(E1391)='IN-NX'!$J$5,'IN-NX'!$D$7=D1391),"x","")</f>
        <v/>
      </c>
      <c r="AB1391" s="79" t="str">
        <f>IF(AND(OR(LEFT(TH!N1391,2)="15",LEFT(TH!O1391,2)="15"),LEFT(TH!O1391,3)&lt;&gt;"111",'152-CT'!$J$8=TH!F1391),"x","")</f>
        <v/>
      </c>
      <c r="AC1391" s="79" t="str">
        <f>IF(AND(OR(LEFT(TH!N1391,2)="15",LEFT(TH!O1391,2)="15"),TK!$E$7=TH!F1391),"x","")</f>
        <v/>
      </c>
      <c r="AD1391" s="79" t="str">
        <f>IF(AND(N1391="1521",MONTH(C1391)='BK-NL'!$M$11),"x","")</f>
        <v/>
      </c>
    </row>
    <row r="1392" spans="1:30" ht="16.5" customHeight="1">
      <c r="A1392" s="318" t="str">
        <f>IF(B1392&lt;&gt;"",IF(AND(B1392='IN-TC'!$S$4,OR(TH!N1392="1111",TH!O1392="1111")),TH!D1392,""),"")</f>
        <v/>
      </c>
      <c r="B1392" s="60" t="str">
        <f t="shared" si="200"/>
        <v/>
      </c>
      <c r="C1392" s="226"/>
      <c r="D1392" s="226"/>
      <c r="E1392" s="226"/>
      <c r="F1392" s="1010"/>
      <c r="G1392" s="763"/>
      <c r="H1392" s="69"/>
      <c r="I1392" s="385"/>
      <c r="J1392" s="385"/>
      <c r="K1392" s="385"/>
      <c r="L1392" s="392"/>
      <c r="M1392" s="970"/>
      <c r="N1392" s="980"/>
      <c r="O1392" s="980"/>
      <c r="P1392" s="79" t="str">
        <f>IF(AND('331-CT'!$E$7=TH!H1392,OR(N1392="331",O1392="331")),"x","")</f>
        <v/>
      </c>
      <c r="Q1392" s="79" t="str">
        <f>IF(AND(B1392='111'!$L$11,OR($N1392=$Q$7,$O1392=$Q$7)),"x","")</f>
        <v/>
      </c>
      <c r="R1392" s="79" t="str">
        <f>IF(AND($N1392=$Q$7,$B1392&lt;'111'!$L$11),"x","")</f>
        <v/>
      </c>
      <c r="S1392" s="79" t="str">
        <f>IF(AND($O1392=$Q$7,$B1392&lt;'111'!$L$11),"x","")</f>
        <v/>
      </c>
      <c r="T1392" s="79" t="str">
        <f>IF(ISERROR(FIND('112'!$M$9,G1392,1)),"",IF((AND(FIND('112'!$M$9,G1392,1)&gt;=1,B1392='112'!$K$9,OR($N1392='112'!$I$6,$O1392='112'!$I$6))),"x",""))</f>
        <v/>
      </c>
      <c r="U1392" s="79" t="str">
        <f>IF(ISERROR(FIND('112'!$M$9,G1392,1)),"",IF((AND(LEFT(G1392,2)=LEFT('112'!$M$9,2),B1392&lt;'112'!$K$9,$N1392='112'!$I$6)),"x",""))</f>
        <v/>
      </c>
      <c r="V1392" s="79" t="str">
        <f>IF(ISERROR(FIND('112'!$M$9,G1392,1)),"",IF((AND(RIGHT(G1392,2)=RIGHT('112'!$M$9,2),B1392&lt;'112'!$K$9,$O1392='112'!$I$6)),"x",""))</f>
        <v/>
      </c>
      <c r="W1392" s="79" t="str">
        <f>IF(AND('341-CT'!$H$9=H1392,OR(LEFT(N1392,3)=$W$7,LEFT(O1392,3)=$W$7)),"x","")</f>
        <v/>
      </c>
      <c r="X1392" s="79" t="str">
        <f>IF(OR(TH!N1392=TH!$X$7,O1392=TH!$X$7),"x","")</f>
        <v/>
      </c>
      <c r="Y1392" s="79" t="str">
        <f>IF(AND(OR(N1392="131",O1392="131"),H1392='131-CT'!$H$9),"x","")</f>
        <v/>
      </c>
      <c r="Z1392" s="79"/>
      <c r="AA1392" s="79" t="str">
        <f>IF(AND(MONTH(E1392)='IN-NX'!$J$5,'IN-NX'!$D$7=D1392),"x","")</f>
        <v/>
      </c>
      <c r="AB1392" s="79" t="str">
        <f>IF(AND(OR(LEFT(TH!N1392,2)="15",LEFT(TH!O1392,2)="15"),LEFT(TH!O1392,3)&lt;&gt;"111",'152-CT'!$J$8=TH!F1392),"x","")</f>
        <v/>
      </c>
      <c r="AC1392" s="79" t="str">
        <f>IF(AND(OR(LEFT(TH!N1392,2)="15",LEFT(TH!O1392,2)="15"),TK!$E$7=TH!F1392),"x","")</f>
        <v/>
      </c>
      <c r="AD1392" s="79" t="str">
        <f>IF(AND(N1392="1521",MONTH(C1392)='BK-NL'!$M$11),"x","")</f>
        <v/>
      </c>
    </row>
    <row r="1393" spans="1:30" s="1102" customFormat="1" ht="16.5" customHeight="1">
      <c r="A1393" s="318" t="str">
        <f>IF(B1393&lt;&gt;"",IF(AND(B1393='IN-TC'!$S$4,OR(TH!N1393="1111",TH!O1393="1111")),TH!D1393,""),"")</f>
        <v/>
      </c>
      <c r="B1393" s="60" t="str">
        <f t="shared" ref="B1393:B1401" si="201">IF(C1393&lt;&gt;"",MONTH(C1393),"")</f>
        <v/>
      </c>
      <c r="C1393" s="226"/>
      <c r="D1393" s="226"/>
      <c r="E1393" s="226"/>
      <c r="F1393" s="1008"/>
      <c r="G1393" s="987"/>
      <c r="H1393" s="997"/>
      <c r="I1393" s="385"/>
      <c r="J1393" s="984"/>
      <c r="K1393" s="984"/>
      <c r="L1393" s="983"/>
      <c r="M1393" s="970"/>
      <c r="N1393" s="980"/>
      <c r="O1393" s="980"/>
      <c r="P1393" s="79" t="str">
        <f>IF(AND('331-CT'!$E$7=TH!H1393,OR(N1393="331",O1393="331")),"x","")</f>
        <v/>
      </c>
      <c r="Q1393" s="79" t="str">
        <f>IF(AND(B1393='111'!$L$11,OR($N1393=$Q$7,$O1393=$Q$7)),"x","")</f>
        <v/>
      </c>
      <c r="R1393" s="79" t="str">
        <f>IF(AND($N1393=$Q$7,$B1393&lt;'111'!$L$11),"x","")</f>
        <v/>
      </c>
      <c r="S1393" s="79" t="str">
        <f>IF(AND($O1393=$Q$7,$B1393&lt;'111'!$L$11),"x","")</f>
        <v/>
      </c>
      <c r="T1393" s="79" t="str">
        <f>IF(ISERROR(FIND('112'!$M$9,G1393,1)),"",IF((AND(FIND('112'!$M$9,G1393,1)&gt;=1,B1393='112'!$K$9,OR($N1393='112'!$I$6,$O1393='112'!$I$6))),"x",""))</f>
        <v/>
      </c>
      <c r="U1393" s="79" t="str">
        <f>IF(ISERROR(FIND('112'!$M$9,G1393,1)),"",IF((AND(LEFT(G1393,2)=LEFT('112'!$M$9,2),B1393&lt;'112'!$K$9,$N1393='112'!$I$6)),"x",""))</f>
        <v/>
      </c>
      <c r="V1393" s="79" t="str">
        <f>IF(ISERROR(FIND('112'!$M$9,G1393,1)),"",IF((AND(RIGHT(G1393,2)=RIGHT('112'!$M$9,2),B1393&lt;'112'!$K$9,$O1393='112'!$I$6)),"x",""))</f>
        <v/>
      </c>
      <c r="W1393" s="79" t="str">
        <f>IF(AND('341-CT'!$H$9=H1393,OR(LEFT(N1393,3)=$W$7,LEFT(O1393,3)=$W$7)),"x","")</f>
        <v/>
      </c>
      <c r="X1393" s="79" t="str">
        <f>IF(OR(TH!N1393=TH!$X$7,O1393=TH!$X$7),"x","")</f>
        <v/>
      </c>
      <c r="Y1393" s="79" t="str">
        <f>IF(AND(OR(N1393="131",O1393="131"),H1393='131-CT'!$H$9),"x","")</f>
        <v/>
      </c>
      <c r="Z1393" s="79"/>
      <c r="AA1393" s="79" t="str">
        <f>IF(AND(MONTH(E1393)='IN-NX'!$J$5,'IN-NX'!$D$7=D1393),"x","")</f>
        <v/>
      </c>
      <c r="AB1393" s="79" t="str">
        <f>IF(AND(OR(LEFT(TH!N1393,2)="15",LEFT(TH!O1393,2)="15"),LEFT(TH!O1393,3)&lt;&gt;"111",'152-CT'!$J$8=TH!F1393),"x","")</f>
        <v/>
      </c>
      <c r="AC1393" s="79" t="str">
        <f>IF(AND(OR(LEFT(TH!N1393,2)="15",LEFT(TH!O1393,2)="15"),TK!$E$7=TH!F1393),"x","")</f>
        <v/>
      </c>
      <c r="AD1393" s="79" t="str">
        <f>IF(AND(N1393="1521",MONTH(C1393)='BK-NL'!$M$11),"x","")</f>
        <v/>
      </c>
    </row>
    <row r="1394" spans="1:30" ht="16.5" customHeight="1">
      <c r="A1394" s="318" t="str">
        <f>IF(B1394&lt;&gt;"",IF(AND(B1394='IN-TC'!$S$4,OR(TH!N1394="1111",TH!O1394="1111")),TH!D1394,""),"")</f>
        <v/>
      </c>
      <c r="B1394" s="60" t="str">
        <f t="shared" si="201"/>
        <v/>
      </c>
      <c r="C1394" s="226"/>
      <c r="D1394" s="226"/>
      <c r="E1394" s="226"/>
      <c r="F1394" s="1010"/>
      <c r="G1394" s="763"/>
      <c r="H1394" s="303"/>
      <c r="I1394" s="385"/>
      <c r="J1394" s="385"/>
      <c r="K1394" s="385"/>
      <c r="L1394" s="392"/>
      <c r="M1394" s="970"/>
      <c r="N1394" s="980"/>
      <c r="O1394" s="980"/>
      <c r="P1394" s="79" t="str">
        <f>IF(AND('331-CT'!$E$7=TH!H1394,OR(N1394="331",O1394="331")),"x","")</f>
        <v/>
      </c>
      <c r="Q1394" s="79" t="str">
        <f>IF(AND(B1394='111'!$L$11,OR($N1394=$Q$7,$O1394=$Q$7)),"x","")</f>
        <v/>
      </c>
      <c r="R1394" s="79" t="str">
        <f>IF(AND($N1394=$Q$7,$B1394&lt;'111'!$L$11),"x","")</f>
        <v/>
      </c>
      <c r="S1394" s="79" t="str">
        <f>IF(AND($O1394=$Q$7,$B1394&lt;'111'!$L$11),"x","")</f>
        <v/>
      </c>
      <c r="T1394" s="79" t="str">
        <f>IF(ISERROR(FIND('112'!$M$9,G1394,1)),"",IF((AND(FIND('112'!$M$9,G1394,1)&gt;=1,B1394='112'!$K$9,OR($N1394='112'!$I$6,$O1394='112'!$I$6))),"x",""))</f>
        <v/>
      </c>
      <c r="U1394" s="79" t="str">
        <f>IF(ISERROR(FIND('112'!$M$9,G1394,1)),"",IF((AND(LEFT(G1394,2)=LEFT('112'!$M$9,2),B1394&lt;'112'!$K$9,$N1394='112'!$I$6)),"x",""))</f>
        <v/>
      </c>
      <c r="V1394" s="79" t="str">
        <f>IF(ISERROR(FIND('112'!$M$9,G1394,1)),"",IF((AND(RIGHT(G1394,2)=RIGHT('112'!$M$9,2),B1394&lt;'112'!$K$9,$O1394='112'!$I$6)),"x",""))</f>
        <v/>
      </c>
      <c r="W1394" s="79" t="str">
        <f>IF(AND('341-CT'!$H$9=H1394,OR(LEFT(N1394,3)=$W$7,LEFT(O1394,3)=$W$7)),"x","")</f>
        <v/>
      </c>
      <c r="X1394" s="79" t="str">
        <f>IF(OR(TH!N1394=TH!$X$7,O1394=TH!$X$7),"x","")</f>
        <v/>
      </c>
      <c r="Y1394" s="79" t="str">
        <f>IF(AND(OR(N1394="131",O1394="131"),H1394='131-CT'!$H$9),"x","")</f>
        <v/>
      </c>
      <c r="Z1394" s="79"/>
      <c r="AA1394" s="79" t="str">
        <f>IF(AND(MONTH(E1394)='IN-NX'!$J$5,'IN-NX'!$D$7=D1394),"x","")</f>
        <v/>
      </c>
      <c r="AB1394" s="79" t="str">
        <f>IF(AND(OR(LEFT(TH!N1394,2)="15",LEFT(TH!O1394,2)="15"),LEFT(TH!O1394,3)&lt;&gt;"111",'152-CT'!$J$8=TH!F1394),"x","")</f>
        <v/>
      </c>
      <c r="AC1394" s="79" t="str">
        <f>IF(AND(OR(LEFT(TH!N1394,2)="15",LEFT(TH!O1394,2)="15"),TK!$E$7=TH!F1394),"x","")</f>
        <v/>
      </c>
      <c r="AD1394" s="79" t="str">
        <f>IF(AND(N1394="1521",MONTH(C1394)='BK-NL'!$M$11),"x","")</f>
        <v/>
      </c>
    </row>
    <row r="1395" spans="1:30" s="1102" customFormat="1" ht="16.5" customHeight="1">
      <c r="A1395" s="318" t="str">
        <f>IF(B1395&lt;&gt;"",IF(AND(B1395='IN-TC'!$S$4,OR(TH!N1395="1111",TH!O1395="1111")),TH!D1395,""),"")</f>
        <v/>
      </c>
      <c r="B1395" s="60" t="str">
        <f t="shared" si="201"/>
        <v/>
      </c>
      <c r="C1395" s="226"/>
      <c r="D1395" s="226"/>
      <c r="E1395" s="226"/>
      <c r="F1395" s="1008"/>
      <c r="G1395" s="987"/>
      <c r="H1395" s="997"/>
      <c r="I1395" s="385"/>
      <c r="J1395" s="984"/>
      <c r="K1395" s="984"/>
      <c r="L1395" s="983"/>
      <c r="M1395" s="970"/>
      <c r="N1395" s="980"/>
      <c r="O1395" s="980"/>
      <c r="P1395" s="79" t="str">
        <f>IF(AND('331-CT'!$E$7=TH!H1395,OR(N1395="331",O1395="331")),"x","")</f>
        <v/>
      </c>
      <c r="Q1395" s="79" t="str">
        <f>IF(AND(B1395='111'!$L$11,OR($N1395=$Q$7,$O1395=$Q$7)),"x","")</f>
        <v/>
      </c>
      <c r="R1395" s="79" t="str">
        <f>IF(AND($N1395=$Q$7,$B1395&lt;'111'!$L$11),"x","")</f>
        <v/>
      </c>
      <c r="S1395" s="79" t="str">
        <f>IF(AND($O1395=$Q$7,$B1395&lt;'111'!$L$11),"x","")</f>
        <v/>
      </c>
      <c r="T1395" s="79" t="str">
        <f>IF(ISERROR(FIND('112'!$M$9,G1395,1)),"",IF((AND(FIND('112'!$M$9,G1395,1)&gt;=1,B1395='112'!$K$9,OR($N1395='112'!$I$6,$O1395='112'!$I$6))),"x",""))</f>
        <v/>
      </c>
      <c r="U1395" s="79" t="str">
        <f>IF(ISERROR(FIND('112'!$M$9,G1395,1)),"",IF((AND(LEFT(G1395,2)=LEFT('112'!$M$9,2),B1395&lt;'112'!$K$9,$N1395='112'!$I$6)),"x",""))</f>
        <v/>
      </c>
      <c r="V1395" s="79" t="str">
        <f>IF(ISERROR(FIND('112'!$M$9,G1395,1)),"",IF((AND(RIGHT(G1395,2)=RIGHT('112'!$M$9,2),B1395&lt;'112'!$K$9,$O1395='112'!$I$6)),"x",""))</f>
        <v/>
      </c>
      <c r="W1395" s="79" t="str">
        <f>IF(AND('341-CT'!$H$9=H1395,OR(LEFT(N1395,3)=$W$7,LEFT(O1395,3)=$W$7)),"x","")</f>
        <v/>
      </c>
      <c r="X1395" s="79" t="str">
        <f>IF(OR(TH!N1395=TH!$X$7,O1395=TH!$X$7),"x","")</f>
        <v/>
      </c>
      <c r="Y1395" s="79" t="str">
        <f>IF(AND(OR(N1395="131",O1395="131"),H1395='131-CT'!$H$9),"x","")</f>
        <v/>
      </c>
      <c r="Z1395" s="79"/>
      <c r="AA1395" s="79" t="str">
        <f>IF(AND(MONTH(E1395)='IN-NX'!$J$5,'IN-NX'!$D$7=D1395),"x","")</f>
        <v/>
      </c>
      <c r="AB1395" s="79" t="str">
        <f>IF(AND(OR(LEFT(TH!N1395,2)="15",LEFT(TH!O1395,2)="15"),LEFT(TH!O1395,3)&lt;&gt;"111",'152-CT'!$J$8=TH!F1395),"x","")</f>
        <v/>
      </c>
      <c r="AC1395" s="79" t="str">
        <f>IF(AND(OR(LEFT(TH!N1395,2)="15",LEFT(TH!O1395,2)="15"),TK!$E$7=TH!F1395),"x","")</f>
        <v/>
      </c>
      <c r="AD1395" s="79" t="str">
        <f>IF(AND(N1395="1521",MONTH(C1395)='BK-NL'!$M$11),"x","")</f>
        <v/>
      </c>
    </row>
    <row r="1396" spans="1:30" s="1102" customFormat="1" ht="16.5" customHeight="1">
      <c r="A1396" s="318" t="str">
        <f>IF(B1396&lt;&gt;"",IF(AND(B1396='IN-TC'!$S$4,OR(TH!N1396="1111",TH!O1396="1111")),TH!D1396,""),"")</f>
        <v/>
      </c>
      <c r="B1396" s="60" t="str">
        <f t="shared" si="201"/>
        <v/>
      </c>
      <c r="C1396" s="226"/>
      <c r="D1396" s="226"/>
      <c r="E1396" s="226"/>
      <c r="F1396" s="1008"/>
      <c r="G1396" s="987"/>
      <c r="H1396" s="997"/>
      <c r="I1396" s="385"/>
      <c r="J1396" s="984"/>
      <c r="K1396" s="984"/>
      <c r="L1396" s="983"/>
      <c r="M1396" s="970"/>
      <c r="N1396" s="980"/>
      <c r="O1396" s="980"/>
      <c r="P1396" s="79" t="str">
        <f>IF(AND('331-CT'!$E$7=TH!H1396,OR(N1396="331",O1396="331")),"x","")</f>
        <v/>
      </c>
      <c r="Q1396" s="79" t="str">
        <f>IF(AND(B1396='111'!$L$11,OR($N1396=$Q$7,$O1396=$Q$7)),"x","")</f>
        <v/>
      </c>
      <c r="R1396" s="79" t="str">
        <f>IF(AND($N1396=$Q$7,$B1396&lt;'111'!$L$11),"x","")</f>
        <v/>
      </c>
      <c r="S1396" s="79" t="str">
        <f>IF(AND($O1396=$Q$7,$B1396&lt;'111'!$L$11),"x","")</f>
        <v/>
      </c>
      <c r="T1396" s="79" t="str">
        <f>IF(ISERROR(FIND('112'!$M$9,G1396,1)),"",IF((AND(FIND('112'!$M$9,G1396,1)&gt;=1,B1396='112'!$K$9,OR($N1396='112'!$I$6,$O1396='112'!$I$6))),"x",""))</f>
        <v/>
      </c>
      <c r="U1396" s="79" t="str">
        <f>IF(ISERROR(FIND('112'!$M$9,G1396,1)),"",IF((AND(LEFT(G1396,2)=LEFT('112'!$M$9,2),B1396&lt;'112'!$K$9,$N1396='112'!$I$6)),"x",""))</f>
        <v/>
      </c>
      <c r="V1396" s="79" t="str">
        <f>IF(ISERROR(FIND('112'!$M$9,G1396,1)),"",IF((AND(RIGHT(G1396,2)=RIGHT('112'!$M$9,2),B1396&lt;'112'!$K$9,$O1396='112'!$I$6)),"x",""))</f>
        <v/>
      </c>
      <c r="W1396" s="79" t="str">
        <f>IF(AND('341-CT'!$H$9=H1396,OR(LEFT(N1396,3)=$W$7,LEFT(O1396,3)=$W$7)),"x","")</f>
        <v/>
      </c>
      <c r="X1396" s="79" t="str">
        <f>IF(OR(TH!N1396=TH!$X$7,O1396=TH!$X$7),"x","")</f>
        <v/>
      </c>
      <c r="Y1396" s="79" t="str">
        <f>IF(AND(OR(N1396="131",O1396="131"),H1396='131-CT'!$H$9),"x","")</f>
        <v/>
      </c>
      <c r="Z1396" s="79"/>
      <c r="AA1396" s="79" t="str">
        <f>IF(AND(MONTH(E1396)='IN-NX'!$J$5,'IN-NX'!$D$7=D1396),"x","")</f>
        <v/>
      </c>
      <c r="AB1396" s="79" t="str">
        <f>IF(AND(OR(LEFT(TH!N1396,2)="15",LEFT(TH!O1396,2)="15"),LEFT(TH!O1396,3)&lt;&gt;"111",'152-CT'!$J$8=TH!F1396),"x","")</f>
        <v/>
      </c>
      <c r="AC1396" s="79" t="str">
        <f>IF(AND(OR(LEFT(TH!N1396,2)="15",LEFT(TH!O1396,2)="15"),TK!$E$7=TH!F1396),"x","")</f>
        <v/>
      </c>
      <c r="AD1396" s="79" t="str">
        <f>IF(AND(N1396="1521",MONTH(C1396)='BK-NL'!$M$11),"x","")</f>
        <v/>
      </c>
    </row>
    <row r="1397" spans="1:30" ht="16.5" customHeight="1">
      <c r="A1397" s="318" t="str">
        <f>IF(B1397&lt;&gt;"",IF(AND(B1397='IN-TC'!$S$4,OR(TH!N1397="1111",TH!O1397="1111")),TH!D1397,""),"")</f>
        <v/>
      </c>
      <c r="B1397" s="60" t="str">
        <f t="shared" si="201"/>
        <v/>
      </c>
      <c r="C1397" s="226"/>
      <c r="D1397" s="226"/>
      <c r="E1397" s="226"/>
      <c r="F1397" s="1010"/>
      <c r="G1397" s="763"/>
      <c r="H1397" s="303"/>
      <c r="I1397" s="385"/>
      <c r="J1397" s="385"/>
      <c r="K1397" s="385"/>
      <c r="L1397" s="392"/>
      <c r="M1397" s="970"/>
      <c r="N1397" s="980"/>
      <c r="O1397" s="980"/>
      <c r="P1397" s="79" t="str">
        <f>IF(AND('331-CT'!$E$7=TH!H1397,OR(N1397="331",O1397="331")),"x","")</f>
        <v/>
      </c>
      <c r="Q1397" s="79" t="str">
        <f>IF(AND(B1397='111'!$L$11,OR($N1397=$Q$7,$O1397=$Q$7)),"x","")</f>
        <v/>
      </c>
      <c r="R1397" s="79" t="str">
        <f>IF(AND($N1397=$Q$7,$B1397&lt;'111'!$L$11),"x","")</f>
        <v/>
      </c>
      <c r="S1397" s="79" t="str">
        <f>IF(AND($O1397=$Q$7,$B1397&lt;'111'!$L$11),"x","")</f>
        <v/>
      </c>
      <c r="T1397" s="79" t="str">
        <f>IF(ISERROR(FIND('112'!$M$9,G1397,1)),"",IF((AND(FIND('112'!$M$9,G1397,1)&gt;=1,B1397='112'!$K$9,OR($N1397='112'!$I$6,$O1397='112'!$I$6))),"x",""))</f>
        <v/>
      </c>
      <c r="U1397" s="79" t="str">
        <f>IF(ISERROR(FIND('112'!$M$9,G1397,1)),"",IF((AND(LEFT(G1397,2)=LEFT('112'!$M$9,2),B1397&lt;'112'!$K$9,$N1397='112'!$I$6)),"x",""))</f>
        <v/>
      </c>
      <c r="V1397" s="79" t="str">
        <f>IF(ISERROR(FIND('112'!$M$9,G1397,1)),"",IF((AND(RIGHT(G1397,2)=RIGHT('112'!$M$9,2),B1397&lt;'112'!$K$9,$O1397='112'!$I$6)),"x",""))</f>
        <v/>
      </c>
      <c r="W1397" s="79" t="str">
        <f>IF(AND('341-CT'!$H$9=H1397,OR(LEFT(N1397,3)=$W$7,LEFT(O1397,3)=$W$7)),"x","")</f>
        <v/>
      </c>
      <c r="X1397" s="79" t="str">
        <f>IF(OR(TH!N1397=TH!$X$7,O1397=TH!$X$7),"x","")</f>
        <v/>
      </c>
      <c r="Y1397" s="79" t="str">
        <f>IF(AND(OR(N1397="131",O1397="131"),H1397='131-CT'!$H$9),"x","")</f>
        <v/>
      </c>
      <c r="Z1397" s="79"/>
      <c r="AA1397" s="79" t="str">
        <f>IF(AND(MONTH(E1397)='IN-NX'!$J$5,'IN-NX'!$D$7=D1397),"x","")</f>
        <v/>
      </c>
      <c r="AB1397" s="79" t="str">
        <f>IF(AND(OR(LEFT(TH!N1397,2)="15",LEFT(TH!O1397,2)="15"),LEFT(TH!O1397,3)&lt;&gt;"111",'152-CT'!$J$8=TH!F1397),"x","")</f>
        <v/>
      </c>
      <c r="AC1397" s="79" t="str">
        <f>IF(AND(OR(LEFT(TH!N1397,2)="15",LEFT(TH!O1397,2)="15"),TK!$E$7=TH!F1397),"x","")</f>
        <v/>
      </c>
      <c r="AD1397" s="79" t="str">
        <f>IF(AND(N1397="1521",MONTH(C1397)='BK-NL'!$M$11),"x","")</f>
        <v/>
      </c>
    </row>
    <row r="1398" spans="1:30" ht="16.5" customHeight="1">
      <c r="A1398" s="318" t="str">
        <f>IF(B1398&lt;&gt;"",IF(AND(B1398='IN-TC'!$S$4,OR(TH!N1398="1111",TH!O1398="1111")),TH!D1398,""),"")</f>
        <v/>
      </c>
      <c r="B1398" s="60" t="str">
        <f t="shared" si="201"/>
        <v/>
      </c>
      <c r="C1398" s="226"/>
      <c r="D1398" s="226"/>
      <c r="E1398" s="226"/>
      <c r="F1398" s="1010"/>
      <c r="G1398" s="763"/>
      <c r="H1398" s="303"/>
      <c r="I1398" s="385"/>
      <c r="J1398" s="385"/>
      <c r="K1398" s="385"/>
      <c r="L1398" s="392"/>
      <c r="M1398" s="970"/>
      <c r="N1398" s="980"/>
      <c r="O1398" s="980"/>
      <c r="P1398" s="79" t="str">
        <f>IF(AND('331-CT'!$E$7=TH!H1398,OR(N1398="331",O1398="331")),"x","")</f>
        <v/>
      </c>
      <c r="Q1398" s="79" t="str">
        <f>IF(AND(B1398='111'!$L$11,OR($N1398=$Q$7,$O1398=$Q$7)),"x","")</f>
        <v/>
      </c>
      <c r="R1398" s="79" t="str">
        <f>IF(AND($N1398=$Q$7,$B1398&lt;'111'!$L$11),"x","")</f>
        <v/>
      </c>
      <c r="S1398" s="79" t="str">
        <f>IF(AND($O1398=$Q$7,$B1398&lt;'111'!$L$11),"x","")</f>
        <v/>
      </c>
      <c r="T1398" s="79" t="str">
        <f>IF(ISERROR(FIND('112'!$M$9,G1398,1)),"",IF((AND(FIND('112'!$M$9,G1398,1)&gt;=1,B1398='112'!$K$9,OR($N1398='112'!$I$6,$O1398='112'!$I$6))),"x",""))</f>
        <v/>
      </c>
      <c r="U1398" s="79" t="str">
        <f>IF(ISERROR(FIND('112'!$M$9,G1398,1)),"",IF((AND(LEFT(G1398,2)=LEFT('112'!$M$9,2),B1398&lt;'112'!$K$9,$N1398='112'!$I$6)),"x",""))</f>
        <v/>
      </c>
      <c r="V1398" s="79" t="str">
        <f>IF(ISERROR(FIND('112'!$M$9,G1398,1)),"",IF((AND(RIGHT(G1398,2)=RIGHT('112'!$M$9,2),B1398&lt;'112'!$K$9,$O1398='112'!$I$6)),"x",""))</f>
        <v/>
      </c>
      <c r="W1398" s="79" t="str">
        <f>IF(AND('341-CT'!$H$9=H1398,OR(LEFT(N1398,3)=$W$7,LEFT(O1398,3)=$W$7)),"x","")</f>
        <v/>
      </c>
      <c r="X1398" s="79" t="str">
        <f>IF(OR(TH!N1398=TH!$X$7,O1398=TH!$X$7),"x","")</f>
        <v/>
      </c>
      <c r="Y1398" s="79" t="str">
        <f>IF(AND(OR(N1398="131",O1398="131"),H1398='131-CT'!$H$9),"x","")</f>
        <v/>
      </c>
      <c r="Z1398" s="79"/>
      <c r="AA1398" s="79" t="str">
        <f>IF(AND(MONTH(E1398)='IN-NX'!$J$5,'IN-NX'!$D$7=D1398),"x","")</f>
        <v/>
      </c>
      <c r="AB1398" s="79" t="str">
        <f>IF(AND(OR(LEFT(TH!N1398,2)="15",LEFT(TH!O1398,2)="15"),LEFT(TH!O1398,3)&lt;&gt;"111",'152-CT'!$J$8=TH!F1398),"x","")</f>
        <v/>
      </c>
      <c r="AC1398" s="79" t="str">
        <f>IF(AND(OR(LEFT(TH!N1398,2)="15",LEFT(TH!O1398,2)="15"),TK!$E$7=TH!F1398),"x","")</f>
        <v/>
      </c>
      <c r="AD1398" s="79" t="str">
        <f>IF(AND(N1398="1521",MONTH(C1398)='BK-NL'!$M$11),"x","")</f>
        <v/>
      </c>
    </row>
    <row r="1399" spans="1:30" s="1102" customFormat="1" ht="16.5" customHeight="1">
      <c r="A1399" s="318" t="str">
        <f>IF(B1399&lt;&gt;"",IF(AND(B1399='IN-TC'!$S$4,OR(TH!N1399="1111",TH!O1399="1111")),TH!D1399,""),"")</f>
        <v/>
      </c>
      <c r="B1399" s="60" t="str">
        <f t="shared" si="201"/>
        <v/>
      </c>
      <c r="C1399" s="226"/>
      <c r="D1399" s="226"/>
      <c r="E1399" s="226"/>
      <c r="F1399" s="1008"/>
      <c r="G1399" s="987"/>
      <c r="H1399" s="997"/>
      <c r="I1399" s="385"/>
      <c r="J1399" s="984"/>
      <c r="K1399" s="984"/>
      <c r="L1399" s="983"/>
      <c r="M1399" s="970"/>
      <c r="N1399" s="980"/>
      <c r="O1399" s="980"/>
      <c r="P1399" s="79" t="str">
        <f>IF(AND('331-CT'!$E$7=TH!H1399,OR(N1399="331",O1399="331")),"x","")</f>
        <v/>
      </c>
      <c r="Q1399" s="79" t="str">
        <f>IF(AND(B1399='111'!$L$11,OR($N1399=$Q$7,$O1399=$Q$7)),"x","")</f>
        <v/>
      </c>
      <c r="R1399" s="79" t="str">
        <f>IF(AND($N1399=$Q$7,$B1399&lt;'111'!$L$11),"x","")</f>
        <v/>
      </c>
      <c r="S1399" s="79" t="str">
        <f>IF(AND($O1399=$Q$7,$B1399&lt;'111'!$L$11),"x","")</f>
        <v/>
      </c>
      <c r="T1399" s="79" t="str">
        <f>IF(ISERROR(FIND('112'!$M$9,G1399,1)),"",IF((AND(FIND('112'!$M$9,G1399,1)&gt;=1,B1399='112'!$K$9,OR($N1399='112'!$I$6,$O1399='112'!$I$6))),"x",""))</f>
        <v/>
      </c>
      <c r="U1399" s="79" t="str">
        <f>IF(ISERROR(FIND('112'!$M$9,G1399,1)),"",IF((AND(LEFT(G1399,2)=LEFT('112'!$M$9,2),B1399&lt;'112'!$K$9,$N1399='112'!$I$6)),"x",""))</f>
        <v/>
      </c>
      <c r="V1399" s="79" t="str">
        <f>IF(ISERROR(FIND('112'!$M$9,G1399,1)),"",IF((AND(RIGHT(G1399,2)=RIGHT('112'!$M$9,2),B1399&lt;'112'!$K$9,$O1399='112'!$I$6)),"x",""))</f>
        <v/>
      </c>
      <c r="W1399" s="79" t="str">
        <f>IF(AND('341-CT'!$H$9=H1399,OR(LEFT(N1399,3)=$W$7,LEFT(O1399,3)=$W$7)),"x","")</f>
        <v/>
      </c>
      <c r="X1399" s="79" t="str">
        <f>IF(OR(TH!N1399=TH!$X$7,O1399=TH!$X$7),"x","")</f>
        <v/>
      </c>
      <c r="Y1399" s="79" t="str">
        <f>IF(AND(OR(N1399="131",O1399="131"),H1399='131-CT'!$H$9),"x","")</f>
        <v/>
      </c>
      <c r="Z1399" s="79"/>
      <c r="AA1399" s="79" t="str">
        <f>IF(AND(MONTH(E1399)='IN-NX'!$J$5,'IN-NX'!$D$7=D1399),"x","")</f>
        <v/>
      </c>
      <c r="AB1399" s="79" t="str">
        <f>IF(AND(OR(LEFT(TH!N1399,2)="15",LEFT(TH!O1399,2)="15"),LEFT(TH!O1399,3)&lt;&gt;"111",'152-CT'!$J$8=TH!F1399),"x","")</f>
        <v/>
      </c>
      <c r="AC1399" s="79" t="str">
        <f>IF(AND(OR(LEFT(TH!N1399,2)="15",LEFT(TH!O1399,2)="15"),TK!$E$7=TH!F1399),"x","")</f>
        <v/>
      </c>
      <c r="AD1399" s="79" t="str">
        <f>IF(AND(N1399="1521",MONTH(C1399)='BK-NL'!$M$11),"x","")</f>
        <v/>
      </c>
    </row>
    <row r="1400" spans="1:30" s="1102" customFormat="1" ht="16.5" customHeight="1">
      <c r="A1400" s="318" t="str">
        <f>IF(B1400&lt;&gt;"",IF(AND(B1400='IN-TC'!$S$4,OR(TH!N1400="1111",TH!O1400="1111")),TH!D1400,""),"")</f>
        <v/>
      </c>
      <c r="B1400" s="60" t="str">
        <f t="shared" si="201"/>
        <v/>
      </c>
      <c r="C1400" s="226"/>
      <c r="D1400" s="226"/>
      <c r="E1400" s="226"/>
      <c r="F1400" s="1008"/>
      <c r="G1400" s="987"/>
      <c r="H1400" s="85"/>
      <c r="I1400" s="984"/>
      <c r="J1400" s="984"/>
      <c r="K1400" s="984"/>
      <c r="L1400" s="983"/>
      <c r="M1400" s="970"/>
      <c r="N1400" s="980"/>
      <c r="O1400" s="980"/>
      <c r="P1400" s="79" t="str">
        <f>IF(AND('331-CT'!$E$7=TH!H1400,OR(N1400="331",O1400="331")),"x","")</f>
        <v/>
      </c>
      <c r="Q1400" s="79" t="str">
        <f>IF(AND(B1400='111'!$L$11,OR($N1400=$Q$7,$O1400=$Q$7)),"x","")</f>
        <v/>
      </c>
      <c r="R1400" s="79" t="str">
        <f>IF(AND($N1400=$Q$7,$B1400&lt;'111'!$L$11),"x","")</f>
        <v/>
      </c>
      <c r="S1400" s="79" t="str">
        <f>IF(AND($O1400=$Q$7,$B1400&lt;'111'!$L$11),"x","")</f>
        <v/>
      </c>
      <c r="T1400" s="79" t="str">
        <f>IF(ISERROR(FIND('112'!$M$9,G1400,1)),"",IF((AND(FIND('112'!$M$9,G1400,1)&gt;=1,B1400='112'!$K$9,OR($N1400='112'!$I$6,$O1400='112'!$I$6))),"x",""))</f>
        <v/>
      </c>
      <c r="U1400" s="79" t="str">
        <f>IF(ISERROR(FIND('112'!$M$9,G1400,1)),"",IF((AND(LEFT(G1400,2)=LEFT('112'!$M$9,2),B1400&lt;'112'!$K$9,$N1400='112'!$I$6)),"x",""))</f>
        <v/>
      </c>
      <c r="V1400" s="79" t="str">
        <f>IF(ISERROR(FIND('112'!$M$9,G1400,1)),"",IF((AND(RIGHT(G1400,2)=RIGHT('112'!$M$9,2),B1400&lt;'112'!$K$9,$O1400='112'!$I$6)),"x",""))</f>
        <v/>
      </c>
      <c r="W1400" s="79" t="str">
        <f>IF(AND('341-CT'!$H$9=H1400,OR(LEFT(N1400,3)=$W$7,LEFT(O1400,3)=$W$7)),"x","")</f>
        <v/>
      </c>
      <c r="X1400" s="79" t="str">
        <f>IF(OR(TH!N1400=TH!$X$7,O1400=TH!$X$7),"x","")</f>
        <v/>
      </c>
      <c r="Y1400" s="79" t="str">
        <f>IF(AND(OR(N1400="131",O1400="131"),H1400='131-CT'!$H$9),"x","")</f>
        <v/>
      </c>
      <c r="Z1400" s="79"/>
      <c r="AA1400" s="79" t="str">
        <f>IF(AND(MONTH(E1400)='IN-NX'!$J$5,'IN-NX'!$D$7=D1400),"x","")</f>
        <v/>
      </c>
      <c r="AB1400" s="79" t="str">
        <f>IF(AND(OR(LEFT(TH!N1400,2)="15",LEFT(TH!O1400,2)="15"),LEFT(TH!O1400,3)&lt;&gt;"111",'152-CT'!$J$8=TH!F1400),"x","")</f>
        <v/>
      </c>
      <c r="AC1400" s="79" t="str">
        <f>IF(AND(OR(LEFT(TH!N1400,2)="15",LEFT(TH!O1400,2)="15"),TK!$E$7=TH!F1400),"x","")</f>
        <v/>
      </c>
      <c r="AD1400" s="79" t="str">
        <f>IF(AND(N1400="1521",MONTH(C1400)='BK-NL'!$M$11),"x","")</f>
        <v/>
      </c>
    </row>
    <row r="1401" spans="1:30" s="1102" customFormat="1" ht="16.5" customHeight="1">
      <c r="A1401" s="318" t="str">
        <f>IF(B1401&lt;&gt;"",IF(AND(B1401='IN-TC'!$S$4,OR(TH!N1401="1111",TH!O1401="1111")),TH!D1401,""),"")</f>
        <v/>
      </c>
      <c r="B1401" s="60" t="str">
        <f t="shared" si="201"/>
        <v/>
      </c>
      <c r="C1401" s="226"/>
      <c r="D1401" s="226"/>
      <c r="E1401" s="226"/>
      <c r="F1401" s="1008"/>
      <c r="G1401" s="987"/>
      <c r="H1401" s="85"/>
      <c r="I1401" s="984"/>
      <c r="J1401" s="984"/>
      <c r="K1401" s="984"/>
      <c r="L1401" s="983"/>
      <c r="M1401" s="970"/>
      <c r="N1401" s="980"/>
      <c r="O1401" s="980"/>
      <c r="P1401" s="79" t="str">
        <f>IF(AND('331-CT'!$E$7=TH!H1401,OR(N1401="331",O1401="331")),"x","")</f>
        <v/>
      </c>
      <c r="Q1401" s="79" t="str">
        <f>IF(AND(B1401='111'!$L$11,OR($N1401=$Q$7,$O1401=$Q$7)),"x","")</f>
        <v/>
      </c>
      <c r="R1401" s="79" t="str">
        <f>IF(AND($N1401=$Q$7,$B1401&lt;'111'!$L$11),"x","")</f>
        <v/>
      </c>
      <c r="S1401" s="79" t="str">
        <f>IF(AND($O1401=$Q$7,$B1401&lt;'111'!$L$11),"x","")</f>
        <v/>
      </c>
      <c r="T1401" s="79" t="str">
        <f>IF(ISERROR(FIND('112'!$M$9,G1401,1)),"",IF((AND(FIND('112'!$M$9,G1401,1)&gt;=1,B1401='112'!$K$9,OR($N1401='112'!$I$6,$O1401='112'!$I$6))),"x",""))</f>
        <v/>
      </c>
      <c r="U1401" s="79" t="str">
        <f>IF(ISERROR(FIND('112'!$M$9,G1401,1)),"",IF((AND(LEFT(G1401,2)=LEFT('112'!$M$9,2),B1401&lt;'112'!$K$9,$N1401='112'!$I$6)),"x",""))</f>
        <v/>
      </c>
      <c r="V1401" s="79" t="str">
        <f>IF(ISERROR(FIND('112'!$M$9,G1401,1)),"",IF((AND(RIGHT(G1401,2)=RIGHT('112'!$M$9,2),B1401&lt;'112'!$K$9,$O1401='112'!$I$6)),"x",""))</f>
        <v/>
      </c>
      <c r="W1401" s="79" t="str">
        <f>IF(AND('341-CT'!$H$9=H1401,OR(LEFT(N1401,3)=$W$7,LEFT(O1401,3)=$W$7)),"x","")</f>
        <v/>
      </c>
      <c r="X1401" s="79" t="str">
        <f>IF(OR(TH!N1401=TH!$X$7,O1401=TH!$X$7),"x","")</f>
        <v/>
      </c>
      <c r="Y1401" s="79" t="str">
        <f>IF(AND(OR(N1401="131",O1401="131"),H1401='131-CT'!$H$9),"x","")</f>
        <v/>
      </c>
      <c r="Z1401" s="79"/>
      <c r="AA1401" s="79" t="str">
        <f>IF(AND(MONTH(E1401)='IN-NX'!$J$5,'IN-NX'!$D$7=D1401),"x","")</f>
        <v/>
      </c>
      <c r="AB1401" s="79" t="str">
        <f>IF(AND(OR(LEFT(TH!N1401,2)="15",LEFT(TH!O1401,2)="15"),LEFT(TH!O1401,3)&lt;&gt;"111",'152-CT'!$J$8=TH!F1401),"x","")</f>
        <v/>
      </c>
      <c r="AC1401" s="79" t="str">
        <f>IF(AND(OR(LEFT(TH!N1401,2)="15",LEFT(TH!O1401,2)="15"),TK!$E$7=TH!F1401),"x","")</f>
        <v/>
      </c>
      <c r="AD1401" s="79" t="str">
        <f>IF(AND(N1401="1521",MONTH(C1401)='BK-NL'!$M$11),"x","")</f>
        <v/>
      </c>
    </row>
    <row r="1402" spans="1:30" ht="16.5" customHeight="1">
      <c r="A1402" s="318" t="str">
        <f>IF(B1402&lt;&gt;"",IF(AND(B1402='IN-TC'!$S$4,OR(TH!N1402="1111",TH!O1402="1111")),TH!D1402,""),"")</f>
        <v/>
      </c>
      <c r="B1402" s="60" t="str">
        <f t="shared" ref="B1402:B1428" si="202">IF(C1402&lt;&gt;"",MONTH(C1402),"")</f>
        <v/>
      </c>
      <c r="C1402" s="226"/>
      <c r="D1402" s="226"/>
      <c r="E1402" s="226"/>
      <c r="F1402" s="1010"/>
      <c r="G1402" s="763"/>
      <c r="H1402" s="321"/>
      <c r="I1402" s="385"/>
      <c r="J1402" s="385"/>
      <c r="K1402" s="385"/>
      <c r="L1402" s="392"/>
      <c r="M1402" s="970"/>
      <c r="N1402" s="980"/>
      <c r="O1402" s="980"/>
      <c r="P1402" s="79" t="str">
        <f>IF(AND('331-CT'!$E$7=TH!H1402,OR(N1402="331",O1402="331")),"x","")</f>
        <v/>
      </c>
      <c r="Q1402" s="79" t="str">
        <f>IF(AND(B1402='111'!$L$11,OR($N1402=$Q$7,$O1402=$Q$7)),"x","")</f>
        <v/>
      </c>
      <c r="R1402" s="79" t="str">
        <f>IF(AND($N1402=$Q$7,$B1402&lt;'111'!$L$11),"x","")</f>
        <v/>
      </c>
      <c r="S1402" s="79" t="str">
        <f>IF(AND($O1402=$Q$7,$B1402&lt;'111'!$L$11),"x","")</f>
        <v/>
      </c>
      <c r="T1402" s="79" t="str">
        <f>IF(ISERROR(FIND('112'!$M$9,G1402,1)),"",IF((AND(FIND('112'!$M$9,G1402,1)&gt;=1,B1402='112'!$K$9,OR($N1402='112'!$I$6,$O1402='112'!$I$6))),"x",""))</f>
        <v/>
      </c>
      <c r="U1402" s="79" t="str">
        <f>IF(ISERROR(FIND('112'!$M$9,G1402,1)),"",IF((AND(LEFT(G1402,2)=LEFT('112'!$M$9,2),B1402&lt;'112'!$K$9,$N1402='112'!$I$6)),"x",""))</f>
        <v/>
      </c>
      <c r="V1402" s="79" t="str">
        <f>IF(ISERROR(FIND('112'!$M$9,G1402,1)),"",IF((AND(RIGHT(G1402,2)=RIGHT('112'!$M$9,2),B1402&lt;'112'!$K$9,$O1402='112'!$I$6)),"x",""))</f>
        <v/>
      </c>
      <c r="W1402" s="79" t="str">
        <f>IF(AND('341-CT'!$H$9=H1402,OR(LEFT(N1402,3)=$W$7,LEFT(O1402,3)=$W$7)),"x","")</f>
        <v/>
      </c>
      <c r="X1402" s="79" t="str">
        <f>IF(OR(TH!N1402=TH!$X$7,O1402=TH!$X$7),"x","")</f>
        <v/>
      </c>
      <c r="Y1402" s="79" t="str">
        <f>IF(AND(OR(N1402="131",O1402="131"),H1402='131-CT'!$H$9),"x","")</f>
        <v/>
      </c>
      <c r="Z1402" s="79"/>
      <c r="AA1402" s="79" t="str">
        <f>IF(AND(MONTH(E1402)='IN-NX'!$J$5,'IN-NX'!$D$7=D1402),"x","")</f>
        <v/>
      </c>
      <c r="AB1402" s="79" t="str">
        <f>IF(AND(OR(LEFT(TH!N1402,2)="15",LEFT(TH!O1402,2)="15"),LEFT(TH!O1402,3)&lt;&gt;"111",'152-CT'!$J$8=TH!F1402),"x","")</f>
        <v/>
      </c>
      <c r="AC1402" s="79" t="str">
        <f>IF(AND(OR(LEFT(TH!N1402,2)="15",LEFT(TH!O1402,2)="15"),TK!$E$7=TH!F1402),"x","")</f>
        <v/>
      </c>
      <c r="AD1402" s="79" t="str">
        <f>IF(AND(N1402="1521",MONTH(C1402)='BK-NL'!$M$11),"x","")</f>
        <v/>
      </c>
    </row>
    <row r="1403" spans="1:30" s="1102" customFormat="1" ht="16.5" customHeight="1">
      <c r="A1403" s="318" t="str">
        <f>IF(B1403&lt;&gt;"",IF(AND(B1403='IN-TC'!$S$4,OR(TH!N1403="1111",TH!O1403="1111")),TH!D1403,""),"")</f>
        <v/>
      </c>
      <c r="B1403" s="60" t="str">
        <f t="shared" si="202"/>
        <v/>
      </c>
      <c r="C1403" s="226"/>
      <c r="D1403" s="226"/>
      <c r="E1403" s="226"/>
      <c r="F1403" s="1010"/>
      <c r="G1403" s="763"/>
      <c r="H1403" s="69"/>
      <c r="I1403" s="385"/>
      <c r="J1403" s="385"/>
      <c r="K1403" s="385"/>
      <c r="L1403" s="392"/>
      <c r="M1403" s="970"/>
      <c r="N1403" s="980"/>
      <c r="O1403" s="980"/>
      <c r="P1403" s="79" t="str">
        <f>IF(AND('331-CT'!$E$7=TH!H1403,OR(N1403="331",O1403="331")),"x","")</f>
        <v/>
      </c>
      <c r="Q1403" s="79" t="str">
        <f>IF(AND(B1403='111'!$L$11,OR($N1403=$Q$7,$O1403=$Q$7)),"x","")</f>
        <v/>
      </c>
      <c r="R1403" s="79" t="str">
        <f>IF(AND($N1403=$Q$7,$B1403&lt;'111'!$L$11),"x","")</f>
        <v/>
      </c>
      <c r="S1403" s="79" t="str">
        <f>IF(AND($O1403=$Q$7,$B1403&lt;'111'!$L$11),"x","")</f>
        <v/>
      </c>
      <c r="T1403" s="79" t="str">
        <f>IF(ISERROR(FIND('112'!$M$9,G1403,1)),"",IF((AND(FIND('112'!$M$9,G1403,1)&gt;=1,B1403='112'!$K$9,OR($N1403='112'!$I$6,$O1403='112'!$I$6))),"x",""))</f>
        <v/>
      </c>
      <c r="U1403" s="79" t="str">
        <f>IF(ISERROR(FIND('112'!$M$9,G1403,1)),"",IF((AND(LEFT(G1403,2)=LEFT('112'!$M$9,2),B1403&lt;'112'!$K$9,$N1403='112'!$I$6)),"x",""))</f>
        <v/>
      </c>
      <c r="V1403" s="79" t="str">
        <f>IF(ISERROR(FIND('112'!$M$9,G1403,1)),"",IF((AND(RIGHT(G1403,2)=RIGHT('112'!$M$9,2),B1403&lt;'112'!$K$9,$O1403='112'!$I$6)),"x",""))</f>
        <v/>
      </c>
      <c r="W1403" s="79" t="str">
        <f>IF(AND('341-CT'!$H$9=H1403,OR(LEFT(N1403,3)=$W$7,LEFT(O1403,3)=$W$7)),"x","")</f>
        <v/>
      </c>
      <c r="X1403" s="79" t="str">
        <f>IF(OR(TH!N1403=TH!$X$7,O1403=TH!$X$7),"x","")</f>
        <v/>
      </c>
      <c r="Y1403" s="79" t="str">
        <f>IF(AND(OR(N1403="131",O1403="131"),H1403='131-CT'!$H$9),"x","")</f>
        <v/>
      </c>
      <c r="Z1403" s="79"/>
      <c r="AA1403" s="79" t="str">
        <f>IF(AND(MONTH(E1403)='IN-NX'!$J$5,'IN-NX'!$D$7=D1403),"x","")</f>
        <v/>
      </c>
      <c r="AB1403" s="79" t="str">
        <f>IF(AND(OR(LEFT(TH!N1403,2)="15",LEFT(TH!O1403,2)="15"),LEFT(TH!O1403,3)&lt;&gt;"111",'152-CT'!$J$8=TH!F1403),"x","")</f>
        <v/>
      </c>
      <c r="AC1403" s="79" t="str">
        <f>IF(AND(OR(LEFT(TH!N1403,2)="15",LEFT(TH!O1403,2)="15"),TK!$E$7=TH!F1403),"x","")</f>
        <v/>
      </c>
      <c r="AD1403" s="79" t="str">
        <f>IF(AND(N1403="1521",MONTH(C1403)='BK-NL'!$M$11),"x","")</f>
        <v/>
      </c>
    </row>
    <row r="1404" spans="1:30" ht="16.5" customHeight="1">
      <c r="A1404" s="318" t="str">
        <f>IF(B1404&lt;&gt;"",IF(AND(B1404='IN-TC'!$S$4,OR(TH!N1404="1111",TH!O1404="1111")),TH!D1404,""),"")</f>
        <v/>
      </c>
      <c r="B1404" s="60" t="str">
        <f t="shared" si="202"/>
        <v/>
      </c>
      <c r="C1404" s="226"/>
      <c r="D1404" s="226"/>
      <c r="E1404" s="226"/>
      <c r="F1404" s="1010"/>
      <c r="G1404" s="763"/>
      <c r="H1404" s="69"/>
      <c r="I1404" s="385"/>
      <c r="J1404" s="385"/>
      <c r="K1404" s="385"/>
      <c r="L1404" s="392"/>
      <c r="M1404" s="970"/>
      <c r="N1404" s="980"/>
      <c r="O1404" s="980"/>
      <c r="P1404" s="79" t="str">
        <f>IF(AND('331-CT'!$E$7=TH!H1404,OR(N1404="331",O1404="331")),"x","")</f>
        <v/>
      </c>
      <c r="Q1404" s="79" t="str">
        <f>IF(AND(B1404='111'!$L$11,OR($N1404=$Q$7,$O1404=$Q$7)),"x","")</f>
        <v/>
      </c>
      <c r="R1404" s="79" t="str">
        <f>IF(AND($N1404=$Q$7,$B1404&lt;'111'!$L$11),"x","")</f>
        <v/>
      </c>
      <c r="S1404" s="79" t="str">
        <f>IF(AND($O1404=$Q$7,$B1404&lt;'111'!$L$11),"x","")</f>
        <v/>
      </c>
      <c r="T1404" s="79" t="str">
        <f>IF(ISERROR(FIND('112'!$M$9,G1404,1)),"",IF((AND(FIND('112'!$M$9,G1404,1)&gt;=1,B1404='112'!$K$9,OR($N1404='112'!$I$6,$O1404='112'!$I$6))),"x",""))</f>
        <v/>
      </c>
      <c r="U1404" s="79" t="str">
        <f>IF(ISERROR(FIND('112'!$M$9,G1404,1)),"",IF((AND(LEFT(G1404,2)=LEFT('112'!$M$9,2),B1404&lt;'112'!$K$9,$N1404='112'!$I$6)),"x",""))</f>
        <v/>
      </c>
      <c r="V1404" s="79" t="str">
        <f>IF(ISERROR(FIND('112'!$M$9,G1404,1)),"",IF((AND(RIGHT(G1404,2)=RIGHT('112'!$M$9,2),B1404&lt;'112'!$K$9,$O1404='112'!$I$6)),"x",""))</f>
        <v/>
      </c>
      <c r="W1404" s="79" t="str">
        <f>IF(AND('341-CT'!$H$9=H1404,OR(LEFT(N1404,3)=$W$7,LEFT(O1404,3)=$W$7)),"x","")</f>
        <v/>
      </c>
      <c r="X1404" s="79" t="str">
        <f>IF(OR(TH!N1404=TH!$X$7,O1404=TH!$X$7),"x","")</f>
        <v/>
      </c>
      <c r="Y1404" s="79" t="str">
        <f>IF(AND(OR(N1404="131",O1404="131"),H1404='131-CT'!$H$9),"x","")</f>
        <v/>
      </c>
      <c r="Z1404" s="79"/>
      <c r="AA1404" s="79" t="str">
        <f>IF(AND(MONTH(E1404)='IN-NX'!$J$5,'IN-NX'!$D$7=D1404),"x","")</f>
        <v/>
      </c>
      <c r="AB1404" s="79" t="str">
        <f>IF(AND(OR(LEFT(TH!N1404,2)="15",LEFT(TH!O1404,2)="15"),LEFT(TH!O1404,3)&lt;&gt;"111",'152-CT'!$J$8=TH!F1404),"x","")</f>
        <v/>
      </c>
      <c r="AC1404" s="79" t="str">
        <f>IF(AND(OR(LEFT(TH!N1404,2)="15",LEFT(TH!O1404,2)="15"),TK!$E$7=TH!F1404),"x","")</f>
        <v/>
      </c>
      <c r="AD1404" s="79" t="str">
        <f>IF(AND(N1404="1521",MONTH(C1404)='BK-NL'!$M$11),"x","")</f>
        <v/>
      </c>
    </row>
    <row r="1405" spans="1:30" ht="16.5" customHeight="1">
      <c r="A1405" s="318" t="str">
        <f>IF(B1405&lt;&gt;"",IF(AND(B1405='IN-TC'!$S$4,OR(TH!N1405="1111",TH!O1405="1111")),TH!D1405,""),"")</f>
        <v/>
      </c>
      <c r="B1405" s="60" t="str">
        <f t="shared" si="202"/>
        <v/>
      </c>
      <c r="C1405" s="226"/>
      <c r="D1405" s="226"/>
      <c r="E1405" s="226"/>
      <c r="F1405" s="1010"/>
      <c r="G1405" s="763"/>
      <c r="H1405" s="69"/>
      <c r="I1405" s="385"/>
      <c r="J1405" s="385"/>
      <c r="K1405" s="385"/>
      <c r="L1405" s="392"/>
      <c r="M1405" s="970"/>
      <c r="N1405" s="980"/>
      <c r="O1405" s="980"/>
      <c r="P1405" s="79" t="str">
        <f>IF(AND('331-CT'!$E$7=TH!H1405,OR(N1405="331",O1405="331")),"x","")</f>
        <v/>
      </c>
      <c r="Q1405" s="79" t="str">
        <f>IF(AND(B1405='111'!$L$11,OR($N1405=$Q$7,$O1405=$Q$7)),"x","")</f>
        <v/>
      </c>
      <c r="R1405" s="79" t="str">
        <f>IF(AND($N1405=$Q$7,$B1405&lt;'111'!$L$11),"x","")</f>
        <v/>
      </c>
      <c r="S1405" s="79" t="str">
        <f>IF(AND($O1405=$Q$7,$B1405&lt;'111'!$L$11),"x","")</f>
        <v/>
      </c>
      <c r="T1405" s="79" t="str">
        <f>IF(ISERROR(FIND('112'!$M$9,G1405,1)),"",IF((AND(FIND('112'!$M$9,G1405,1)&gt;=1,B1405='112'!$K$9,OR($N1405='112'!$I$6,$O1405='112'!$I$6))),"x",""))</f>
        <v/>
      </c>
      <c r="U1405" s="79" t="str">
        <f>IF(ISERROR(FIND('112'!$M$9,G1405,1)),"",IF((AND(LEFT(G1405,2)=LEFT('112'!$M$9,2),B1405&lt;'112'!$K$9,$N1405='112'!$I$6)),"x",""))</f>
        <v/>
      </c>
      <c r="V1405" s="79" t="str">
        <f>IF(ISERROR(FIND('112'!$M$9,G1405,1)),"",IF((AND(RIGHT(G1405,2)=RIGHT('112'!$M$9,2),B1405&lt;'112'!$K$9,$O1405='112'!$I$6)),"x",""))</f>
        <v/>
      </c>
      <c r="W1405" s="79" t="str">
        <f>IF(AND('341-CT'!$H$9=H1405,OR(LEFT(N1405,3)=$W$7,LEFT(O1405,3)=$W$7)),"x","")</f>
        <v/>
      </c>
      <c r="X1405" s="79" t="str">
        <f>IF(OR(TH!N1405=TH!$X$7,O1405=TH!$X$7),"x","")</f>
        <v/>
      </c>
      <c r="Y1405" s="79" t="str">
        <f>IF(AND(OR(N1405="131",O1405="131"),H1405='131-CT'!$H$9),"x","")</f>
        <v/>
      </c>
      <c r="Z1405" s="79"/>
      <c r="AA1405" s="79" t="str">
        <f>IF(AND(MONTH(E1405)='IN-NX'!$J$5,'IN-NX'!$D$7=D1405),"x","")</f>
        <v/>
      </c>
      <c r="AB1405" s="79" t="str">
        <f>IF(AND(OR(LEFT(TH!N1405,2)="15",LEFT(TH!O1405,2)="15"),LEFT(TH!O1405,3)&lt;&gt;"111",'152-CT'!$J$8=TH!F1405),"x","")</f>
        <v/>
      </c>
      <c r="AC1405" s="79" t="str">
        <f>IF(AND(OR(LEFT(TH!N1405,2)="15",LEFT(TH!O1405,2)="15"),TK!$E$7=TH!F1405),"x","")</f>
        <v/>
      </c>
      <c r="AD1405" s="79" t="str">
        <f>IF(AND(N1405="1521",MONTH(C1405)='BK-NL'!$M$11),"x","")</f>
        <v/>
      </c>
    </row>
    <row r="1406" spans="1:30" ht="16.5" customHeight="1">
      <c r="A1406" s="318" t="str">
        <f>IF(B1406&lt;&gt;"",IF(AND(B1406='IN-TC'!$S$4,OR(TH!N1406="1111",TH!O1406="1111")),TH!D1406,""),"")</f>
        <v/>
      </c>
      <c r="B1406" s="60" t="str">
        <f t="shared" si="202"/>
        <v/>
      </c>
      <c r="C1406" s="226"/>
      <c r="D1406" s="226"/>
      <c r="E1406" s="226"/>
      <c r="F1406" s="1010"/>
      <c r="G1406" s="763"/>
      <c r="H1406" s="69"/>
      <c r="I1406" s="385"/>
      <c r="J1406" s="385"/>
      <c r="K1406" s="385"/>
      <c r="L1406" s="392"/>
      <c r="M1406" s="970"/>
      <c r="N1406" s="980"/>
      <c r="O1406" s="980"/>
      <c r="P1406" s="79" t="str">
        <f>IF(AND('331-CT'!$E$7=TH!H1406,OR(N1406="331",O1406="331")),"x","")</f>
        <v/>
      </c>
      <c r="Q1406" s="79" t="str">
        <f>IF(AND(B1406='111'!$L$11,OR($N1406=$Q$7,$O1406=$Q$7)),"x","")</f>
        <v/>
      </c>
      <c r="R1406" s="79" t="str">
        <f>IF(AND($N1406=$Q$7,$B1406&lt;'111'!$L$11),"x","")</f>
        <v/>
      </c>
      <c r="S1406" s="79" t="str">
        <f>IF(AND($O1406=$Q$7,$B1406&lt;'111'!$L$11),"x","")</f>
        <v/>
      </c>
      <c r="T1406" s="79" t="str">
        <f>IF(ISERROR(FIND('112'!$M$9,G1406,1)),"",IF((AND(FIND('112'!$M$9,G1406,1)&gt;=1,B1406='112'!$K$9,OR($N1406='112'!$I$6,$O1406='112'!$I$6))),"x",""))</f>
        <v/>
      </c>
      <c r="U1406" s="79" t="str">
        <f>IF(ISERROR(FIND('112'!$M$9,G1406,1)),"",IF((AND(LEFT(G1406,2)=LEFT('112'!$M$9,2),B1406&lt;'112'!$K$9,$N1406='112'!$I$6)),"x",""))</f>
        <v/>
      </c>
      <c r="V1406" s="79" t="str">
        <f>IF(ISERROR(FIND('112'!$M$9,G1406,1)),"",IF((AND(RIGHT(G1406,2)=RIGHT('112'!$M$9,2),B1406&lt;'112'!$K$9,$O1406='112'!$I$6)),"x",""))</f>
        <v/>
      </c>
      <c r="W1406" s="79" t="str">
        <f>IF(AND('341-CT'!$H$9=H1406,OR(LEFT(N1406,3)=$W$7,LEFT(O1406,3)=$W$7)),"x","")</f>
        <v/>
      </c>
      <c r="X1406" s="79" t="str">
        <f>IF(OR(TH!N1406=TH!$X$7,O1406=TH!$X$7),"x","")</f>
        <v/>
      </c>
      <c r="Y1406" s="79" t="str">
        <f>IF(AND(OR(N1406="131",O1406="131"),H1406='131-CT'!$H$9),"x","")</f>
        <v/>
      </c>
      <c r="Z1406" s="79"/>
      <c r="AA1406" s="79" t="str">
        <f>IF(AND(MONTH(E1406)='IN-NX'!$J$5,'IN-NX'!$D$7=D1406),"x","")</f>
        <v/>
      </c>
      <c r="AB1406" s="79" t="str">
        <f>IF(AND(OR(LEFT(TH!N1406,2)="15",LEFT(TH!O1406,2)="15"),LEFT(TH!O1406,3)&lt;&gt;"111",'152-CT'!$J$8=TH!F1406),"x","")</f>
        <v/>
      </c>
      <c r="AC1406" s="79" t="str">
        <f>IF(AND(OR(LEFT(TH!N1406,2)="15",LEFT(TH!O1406,2)="15"),TK!$E$7=TH!F1406),"x","")</f>
        <v/>
      </c>
      <c r="AD1406" s="79" t="str">
        <f>IF(AND(N1406="1521",MONTH(C1406)='BK-NL'!$M$11),"x","")</f>
        <v/>
      </c>
    </row>
    <row r="1407" spans="1:30" ht="16.5" customHeight="1">
      <c r="A1407" s="318" t="str">
        <f>IF(B1407&lt;&gt;"",IF(AND(B1407='IN-TC'!$S$4,OR(TH!N1407="1111",TH!O1407="1111")),TH!D1407,""),"")</f>
        <v/>
      </c>
      <c r="B1407" s="60" t="str">
        <f t="shared" si="202"/>
        <v/>
      </c>
      <c r="C1407" s="226"/>
      <c r="D1407" s="226"/>
      <c r="E1407" s="226"/>
      <c r="F1407" s="1010"/>
      <c r="G1407" s="763"/>
      <c r="H1407" s="69"/>
      <c r="I1407" s="385"/>
      <c r="J1407" s="385"/>
      <c r="K1407" s="385"/>
      <c r="L1407" s="392"/>
      <c r="M1407" s="970"/>
      <c r="N1407" s="980"/>
      <c r="O1407" s="980"/>
      <c r="P1407" s="79" t="str">
        <f>IF(AND('331-CT'!$E$7=TH!H1407,OR(N1407="331",O1407="331")),"x","")</f>
        <v/>
      </c>
      <c r="Q1407" s="79" t="str">
        <f>IF(AND(B1407='111'!$L$11,OR($N1407=$Q$7,$O1407=$Q$7)),"x","")</f>
        <v/>
      </c>
      <c r="R1407" s="79" t="str">
        <f>IF(AND($N1407=$Q$7,$B1407&lt;'111'!$L$11),"x","")</f>
        <v/>
      </c>
      <c r="S1407" s="79" t="str">
        <f>IF(AND($O1407=$Q$7,$B1407&lt;'111'!$L$11),"x","")</f>
        <v/>
      </c>
      <c r="T1407" s="79" t="str">
        <f>IF(ISERROR(FIND('112'!$M$9,G1407,1)),"",IF((AND(FIND('112'!$M$9,G1407,1)&gt;=1,B1407='112'!$K$9,OR($N1407='112'!$I$6,$O1407='112'!$I$6))),"x",""))</f>
        <v/>
      </c>
      <c r="U1407" s="79" t="str">
        <f>IF(ISERROR(FIND('112'!$M$9,G1407,1)),"",IF((AND(LEFT(G1407,2)=LEFT('112'!$M$9,2),B1407&lt;'112'!$K$9,$N1407='112'!$I$6)),"x",""))</f>
        <v/>
      </c>
      <c r="V1407" s="79" t="str">
        <f>IF(ISERROR(FIND('112'!$M$9,G1407,1)),"",IF((AND(RIGHT(G1407,2)=RIGHT('112'!$M$9,2),B1407&lt;'112'!$K$9,$O1407='112'!$I$6)),"x",""))</f>
        <v/>
      </c>
      <c r="W1407" s="79" t="str">
        <f>IF(AND('341-CT'!$H$9=H1407,OR(LEFT(N1407,3)=$W$7,LEFT(O1407,3)=$W$7)),"x","")</f>
        <v/>
      </c>
      <c r="X1407" s="79" t="str">
        <f>IF(OR(TH!N1407=TH!$X$7,O1407=TH!$X$7),"x","")</f>
        <v/>
      </c>
      <c r="Y1407" s="79" t="str">
        <f>IF(AND(OR(N1407="131",O1407="131"),H1407='131-CT'!$H$9),"x","")</f>
        <v/>
      </c>
      <c r="Z1407" s="79"/>
      <c r="AA1407" s="79" t="str">
        <f>IF(AND(MONTH(E1407)='IN-NX'!$J$5,'IN-NX'!$D$7=D1407),"x","")</f>
        <v/>
      </c>
      <c r="AB1407" s="79" t="str">
        <f>IF(AND(OR(LEFT(TH!N1407,2)="15",LEFT(TH!O1407,2)="15"),LEFT(TH!O1407,3)&lt;&gt;"111",'152-CT'!$J$8=TH!F1407),"x","")</f>
        <v/>
      </c>
      <c r="AC1407" s="79" t="str">
        <f>IF(AND(OR(LEFT(TH!N1407,2)="15",LEFT(TH!O1407,2)="15"),TK!$E$7=TH!F1407),"x","")</f>
        <v/>
      </c>
      <c r="AD1407" s="79" t="str">
        <f>IF(AND(N1407="1521",MONTH(C1407)='BK-NL'!$M$11),"x","")</f>
        <v/>
      </c>
    </row>
    <row r="1408" spans="1:30" ht="16.5" customHeight="1">
      <c r="A1408" s="318" t="str">
        <f>IF(B1408&lt;&gt;"",IF(AND(B1408='IN-TC'!$S$4,OR(TH!N1408="1111",TH!O1408="1111")),TH!D1408,""),"")</f>
        <v/>
      </c>
      <c r="B1408" s="60" t="str">
        <f t="shared" si="202"/>
        <v/>
      </c>
      <c r="C1408" s="226"/>
      <c r="D1408" s="226"/>
      <c r="E1408" s="226"/>
      <c r="F1408" s="1010"/>
      <c r="G1408" s="763"/>
      <c r="H1408" s="69"/>
      <c r="I1408" s="385"/>
      <c r="J1408" s="385"/>
      <c r="K1408" s="385"/>
      <c r="L1408" s="392"/>
      <c r="M1408" s="970"/>
      <c r="N1408" s="980"/>
      <c r="O1408" s="980"/>
      <c r="P1408" s="79" t="str">
        <f>IF(AND('331-CT'!$E$7=TH!H1408,OR(N1408="331",O1408="331")),"x","")</f>
        <v/>
      </c>
      <c r="Q1408" s="79" t="str">
        <f>IF(AND(B1408='111'!$L$11,OR($N1408=$Q$7,$O1408=$Q$7)),"x","")</f>
        <v/>
      </c>
      <c r="R1408" s="79" t="str">
        <f>IF(AND($N1408=$Q$7,$B1408&lt;'111'!$L$11),"x","")</f>
        <v/>
      </c>
      <c r="S1408" s="79" t="str">
        <f>IF(AND($O1408=$Q$7,$B1408&lt;'111'!$L$11),"x","")</f>
        <v/>
      </c>
      <c r="T1408" s="79" t="str">
        <f>IF(ISERROR(FIND('112'!$M$9,G1408,1)),"",IF((AND(FIND('112'!$M$9,G1408,1)&gt;=1,B1408='112'!$K$9,OR($N1408='112'!$I$6,$O1408='112'!$I$6))),"x",""))</f>
        <v/>
      </c>
      <c r="U1408" s="79" t="str">
        <f>IF(ISERROR(FIND('112'!$M$9,G1408,1)),"",IF((AND(LEFT(G1408,2)=LEFT('112'!$M$9,2),B1408&lt;'112'!$K$9,$N1408='112'!$I$6)),"x",""))</f>
        <v/>
      </c>
      <c r="V1408" s="79" t="str">
        <f>IF(ISERROR(FIND('112'!$M$9,G1408,1)),"",IF((AND(RIGHT(G1408,2)=RIGHT('112'!$M$9,2),B1408&lt;'112'!$K$9,$O1408='112'!$I$6)),"x",""))</f>
        <v/>
      </c>
      <c r="W1408" s="79" t="str">
        <f>IF(AND('341-CT'!$H$9=H1408,OR(LEFT(N1408,3)=$W$7,LEFT(O1408,3)=$W$7)),"x","")</f>
        <v/>
      </c>
      <c r="X1408" s="79" t="str">
        <f>IF(OR(TH!N1408=TH!$X$7,O1408=TH!$X$7),"x","")</f>
        <v/>
      </c>
      <c r="Y1408" s="79" t="str">
        <f>IF(AND(OR(N1408="131",O1408="131"),H1408='131-CT'!$H$9),"x","")</f>
        <v/>
      </c>
      <c r="Z1408" s="79"/>
      <c r="AA1408" s="79" t="str">
        <f>IF(AND(MONTH(E1408)='IN-NX'!$J$5,'IN-NX'!$D$7=D1408),"x","")</f>
        <v/>
      </c>
      <c r="AB1408" s="79" t="str">
        <f>IF(AND(OR(LEFT(TH!N1408,2)="15",LEFT(TH!O1408,2)="15"),LEFT(TH!O1408,3)&lt;&gt;"111",'152-CT'!$J$8=TH!F1408),"x","")</f>
        <v/>
      </c>
      <c r="AC1408" s="79" t="str">
        <f>IF(AND(OR(LEFT(TH!N1408,2)="15",LEFT(TH!O1408,2)="15"),TK!$E$7=TH!F1408),"x","")</f>
        <v/>
      </c>
      <c r="AD1408" s="79" t="str">
        <f>IF(AND(N1408="1521",MONTH(C1408)='BK-NL'!$M$11),"x","")</f>
        <v/>
      </c>
    </row>
    <row r="1409" spans="1:30" s="1102" customFormat="1" ht="16.5" customHeight="1">
      <c r="A1409" s="318" t="str">
        <f>IF(B1409&lt;&gt;"",IF(AND(B1409='IN-TC'!$S$4,OR(TH!N1409="1111",TH!O1409="1111")),TH!D1409,""),"")</f>
        <v/>
      </c>
      <c r="B1409" s="60" t="str">
        <f t="shared" si="202"/>
        <v/>
      </c>
      <c r="C1409" s="226"/>
      <c r="D1409" s="226"/>
      <c r="E1409" s="226"/>
      <c r="F1409" s="1008"/>
      <c r="G1409" s="987"/>
      <c r="H1409" s="997"/>
      <c r="I1409" s="385"/>
      <c r="J1409" s="984"/>
      <c r="K1409" s="984"/>
      <c r="L1409" s="983"/>
      <c r="M1409" s="970"/>
      <c r="N1409" s="980"/>
      <c r="O1409" s="980"/>
      <c r="P1409" s="79" t="str">
        <f>IF(AND('331-CT'!$E$7=TH!H1409,OR(N1409="331",O1409="331")),"x","")</f>
        <v/>
      </c>
      <c r="Q1409" s="79" t="str">
        <f>IF(AND(B1409='111'!$L$11,OR($N1409=$Q$7,$O1409=$Q$7)),"x","")</f>
        <v/>
      </c>
      <c r="R1409" s="79" t="str">
        <f>IF(AND($N1409=$Q$7,$B1409&lt;'111'!$L$11),"x","")</f>
        <v/>
      </c>
      <c r="S1409" s="79" t="str">
        <f>IF(AND($O1409=$Q$7,$B1409&lt;'111'!$L$11),"x","")</f>
        <v/>
      </c>
      <c r="T1409" s="79" t="str">
        <f>IF(ISERROR(FIND('112'!$M$9,G1409,1)),"",IF((AND(FIND('112'!$M$9,G1409,1)&gt;=1,B1409='112'!$K$9,OR($N1409='112'!$I$6,$O1409='112'!$I$6))),"x",""))</f>
        <v/>
      </c>
      <c r="U1409" s="79" t="str">
        <f>IF(ISERROR(FIND('112'!$M$9,G1409,1)),"",IF((AND(LEFT(G1409,2)=LEFT('112'!$M$9,2),B1409&lt;'112'!$K$9,$N1409='112'!$I$6)),"x",""))</f>
        <v/>
      </c>
      <c r="V1409" s="79" t="str">
        <f>IF(ISERROR(FIND('112'!$M$9,G1409,1)),"",IF((AND(RIGHT(G1409,2)=RIGHT('112'!$M$9,2),B1409&lt;'112'!$K$9,$O1409='112'!$I$6)),"x",""))</f>
        <v/>
      </c>
      <c r="W1409" s="79" t="str">
        <f>IF(AND('341-CT'!$H$9=H1409,OR(LEFT(N1409,3)=$W$7,LEFT(O1409,3)=$W$7)),"x","")</f>
        <v/>
      </c>
      <c r="X1409" s="79" t="str">
        <f>IF(OR(TH!N1409=TH!$X$7,O1409=TH!$X$7),"x","")</f>
        <v/>
      </c>
      <c r="Y1409" s="79" t="str">
        <f>IF(AND(OR(N1409="131",O1409="131"),H1409='131-CT'!$H$9),"x","")</f>
        <v/>
      </c>
      <c r="Z1409" s="79"/>
      <c r="AA1409" s="79" t="str">
        <f>IF(AND(MONTH(E1409)='IN-NX'!$J$5,'IN-NX'!$D$7=D1409),"x","")</f>
        <v/>
      </c>
      <c r="AB1409" s="79" t="str">
        <f>IF(AND(OR(LEFT(TH!N1409,2)="15",LEFT(TH!O1409,2)="15"),LEFT(TH!O1409,3)&lt;&gt;"111",'152-CT'!$J$8=TH!F1409),"x","")</f>
        <v/>
      </c>
      <c r="AC1409" s="79" t="str">
        <f>IF(AND(OR(LEFT(TH!N1409,2)="15",LEFT(TH!O1409,2)="15"),TK!$E$7=TH!F1409),"x","")</f>
        <v/>
      </c>
      <c r="AD1409" s="79" t="str">
        <f>IF(AND(N1409="1521",MONTH(C1409)='BK-NL'!$M$11),"x","")</f>
        <v/>
      </c>
    </row>
    <row r="1410" spans="1:30" s="1102" customFormat="1" ht="16.5" customHeight="1">
      <c r="A1410" s="318" t="str">
        <f>IF(B1410&lt;&gt;"",IF(AND(B1410='IN-TC'!$S$4,OR(TH!N1410="1111",TH!O1410="1111")),TH!D1410,""),"")</f>
        <v/>
      </c>
      <c r="B1410" s="60" t="str">
        <f>IF(C1410&lt;&gt;"",MONTH(C1410),"")</f>
        <v/>
      </c>
      <c r="C1410" s="226"/>
      <c r="D1410" s="226"/>
      <c r="E1410" s="226"/>
      <c r="F1410" s="1008"/>
      <c r="G1410" s="987"/>
      <c r="H1410" s="85"/>
      <c r="I1410" s="984"/>
      <c r="J1410" s="984"/>
      <c r="K1410" s="984"/>
      <c r="L1410" s="983"/>
      <c r="M1410" s="970"/>
      <c r="N1410" s="980"/>
      <c r="O1410" s="980"/>
      <c r="P1410" s="79" t="str">
        <f>IF(AND('331-CT'!$E$7=TH!H1410,OR(N1410="331",O1410="331")),"x","")</f>
        <v/>
      </c>
      <c r="Q1410" s="79" t="str">
        <f>IF(AND(B1410='111'!$L$11,OR($N1410=$Q$7,$O1410=$Q$7)),"x","")</f>
        <v/>
      </c>
      <c r="R1410" s="79" t="str">
        <f>IF(AND($N1410=$Q$7,$B1410&lt;'111'!$L$11),"x","")</f>
        <v/>
      </c>
      <c r="S1410" s="79" t="str">
        <f>IF(AND($O1410=$Q$7,$B1410&lt;'111'!$L$11),"x","")</f>
        <v/>
      </c>
      <c r="T1410" s="79" t="str">
        <f>IF(ISERROR(FIND('112'!$M$9,G1410,1)),"",IF((AND(FIND('112'!$M$9,G1410,1)&gt;=1,B1410='112'!$K$9,OR($N1410='112'!$I$6,$O1410='112'!$I$6))),"x",""))</f>
        <v/>
      </c>
      <c r="U1410" s="79" t="str">
        <f>IF(ISERROR(FIND('112'!$M$9,G1410,1)),"",IF((AND(LEFT(G1410,2)=LEFT('112'!$M$9,2),B1410&lt;'112'!$K$9,$N1410='112'!$I$6)),"x",""))</f>
        <v/>
      </c>
      <c r="V1410" s="79" t="str">
        <f>IF(ISERROR(FIND('112'!$M$9,G1410,1)),"",IF((AND(RIGHT(G1410,2)=RIGHT('112'!$M$9,2),B1410&lt;'112'!$K$9,$O1410='112'!$I$6)),"x",""))</f>
        <v/>
      </c>
      <c r="W1410" s="79" t="str">
        <f>IF(AND('341-CT'!$H$9=H1410,OR(LEFT(N1410,3)=$W$7,LEFT(O1410,3)=$W$7)),"x","")</f>
        <v/>
      </c>
      <c r="X1410" s="79" t="str">
        <f>IF(OR(TH!N1410=TH!$X$7,O1410=TH!$X$7),"x","")</f>
        <v/>
      </c>
      <c r="Y1410" s="79" t="str">
        <f>IF(AND(OR(N1410="131",O1410="131"),H1410='131-CT'!$H$9),"x","")</f>
        <v/>
      </c>
      <c r="Z1410" s="79"/>
      <c r="AA1410" s="79" t="str">
        <f>IF(AND(MONTH(E1410)='IN-NX'!$J$5,'IN-NX'!$D$7=D1410),"x","")</f>
        <v/>
      </c>
      <c r="AB1410" s="79" t="str">
        <f>IF(AND(OR(LEFT(TH!N1410,2)="15",LEFT(TH!O1410,2)="15"),LEFT(TH!O1410,3)&lt;&gt;"111",'152-CT'!$J$8=TH!F1410),"x","")</f>
        <v/>
      </c>
      <c r="AC1410" s="79" t="str">
        <f>IF(AND(OR(LEFT(TH!N1410,2)="15",LEFT(TH!O1410,2)="15"),TK!$E$7=TH!F1410),"x","")</f>
        <v/>
      </c>
      <c r="AD1410" s="79" t="str">
        <f>IF(AND(N1410="1521",MONTH(C1410)='BK-NL'!$M$11),"x","")</f>
        <v/>
      </c>
    </row>
    <row r="1411" spans="1:30" s="1102" customFormat="1" ht="16.5" customHeight="1">
      <c r="A1411" s="318" t="str">
        <f>IF(B1411&lt;&gt;"",IF(AND(B1411='IN-TC'!$S$4,OR(TH!N1411="1111",TH!O1411="1111")),TH!D1411,""),"")</f>
        <v/>
      </c>
      <c r="B1411" s="60" t="str">
        <f>IF(C1411&lt;&gt;"",MONTH(C1411),"")</f>
        <v/>
      </c>
      <c r="C1411" s="226"/>
      <c r="D1411" s="226"/>
      <c r="E1411" s="226"/>
      <c r="F1411" s="1008"/>
      <c r="G1411" s="987"/>
      <c r="H1411" s="85"/>
      <c r="I1411" s="984"/>
      <c r="J1411" s="984"/>
      <c r="K1411" s="984"/>
      <c r="L1411" s="983"/>
      <c r="M1411" s="970"/>
      <c r="N1411" s="980"/>
      <c r="O1411" s="980"/>
      <c r="P1411" s="79" t="str">
        <f>IF(AND('331-CT'!$E$7=TH!H1411,OR(N1411="331",O1411="331")),"x","")</f>
        <v/>
      </c>
      <c r="Q1411" s="79" t="str">
        <f>IF(AND(B1411='111'!$L$11,OR($N1411=$Q$7,$O1411=$Q$7)),"x","")</f>
        <v/>
      </c>
      <c r="R1411" s="79" t="str">
        <f>IF(AND($N1411=$Q$7,$B1411&lt;'111'!$L$11),"x","")</f>
        <v/>
      </c>
      <c r="S1411" s="79" t="str">
        <f>IF(AND($O1411=$Q$7,$B1411&lt;'111'!$L$11),"x","")</f>
        <v/>
      </c>
      <c r="T1411" s="79" t="str">
        <f>IF(ISERROR(FIND('112'!$M$9,G1411,1)),"",IF((AND(FIND('112'!$M$9,G1411,1)&gt;=1,B1411='112'!$K$9,OR($N1411='112'!$I$6,$O1411='112'!$I$6))),"x",""))</f>
        <v/>
      </c>
      <c r="U1411" s="79" t="str">
        <f>IF(ISERROR(FIND('112'!$M$9,G1411,1)),"",IF((AND(LEFT(G1411,2)=LEFT('112'!$M$9,2),B1411&lt;'112'!$K$9,$N1411='112'!$I$6)),"x",""))</f>
        <v/>
      </c>
      <c r="V1411" s="79" t="str">
        <f>IF(ISERROR(FIND('112'!$M$9,G1411,1)),"",IF((AND(RIGHT(G1411,2)=RIGHT('112'!$M$9,2),B1411&lt;'112'!$K$9,$O1411='112'!$I$6)),"x",""))</f>
        <v/>
      </c>
      <c r="W1411" s="79" t="str">
        <f>IF(AND('341-CT'!$H$9=H1411,OR(LEFT(N1411,3)=$W$7,LEFT(O1411,3)=$W$7)),"x","")</f>
        <v/>
      </c>
      <c r="X1411" s="79" t="str">
        <f>IF(OR(TH!N1411=TH!$X$7,O1411=TH!$X$7),"x","")</f>
        <v/>
      </c>
      <c r="Y1411" s="79" t="str">
        <f>IF(AND(OR(N1411="131",O1411="131"),H1411='131-CT'!$H$9),"x","")</f>
        <v/>
      </c>
      <c r="Z1411" s="79"/>
      <c r="AA1411" s="79" t="str">
        <f>IF(AND(MONTH(E1411)='IN-NX'!$J$5,'IN-NX'!$D$7=D1411),"x","")</f>
        <v/>
      </c>
      <c r="AB1411" s="79" t="str">
        <f>IF(AND(OR(LEFT(TH!N1411,2)="15",LEFT(TH!O1411,2)="15"),LEFT(TH!O1411,3)&lt;&gt;"111",'152-CT'!$J$8=TH!F1411),"x","")</f>
        <v/>
      </c>
      <c r="AC1411" s="79" t="str">
        <f>IF(AND(OR(LEFT(TH!N1411,2)="15",LEFT(TH!O1411,2)="15"),TK!$E$7=TH!F1411),"x","")</f>
        <v/>
      </c>
      <c r="AD1411" s="79" t="str">
        <f>IF(AND(N1411="1521",MONTH(C1411)='BK-NL'!$M$11),"x","")</f>
        <v/>
      </c>
    </row>
    <row r="1412" spans="1:30" ht="16.5" customHeight="1">
      <c r="A1412" s="318" t="str">
        <f>IF(B1412&lt;&gt;"",IF(AND(B1412='IN-TC'!$S$4,OR(TH!N1412="1111",TH!O1412="1111")),TH!D1412,""),"")</f>
        <v/>
      </c>
      <c r="B1412" s="60" t="str">
        <f t="shared" si="202"/>
        <v/>
      </c>
      <c r="C1412" s="226"/>
      <c r="D1412" s="226"/>
      <c r="E1412" s="226"/>
      <c r="F1412" s="1010"/>
      <c r="G1412" s="763"/>
      <c r="H1412" s="321"/>
      <c r="I1412" s="385"/>
      <c r="J1412" s="385"/>
      <c r="K1412" s="385"/>
      <c r="L1412" s="392"/>
      <c r="M1412" s="970"/>
      <c r="N1412" s="980"/>
      <c r="O1412" s="980"/>
      <c r="P1412" s="79" t="str">
        <f>IF(AND('331-CT'!$E$7=TH!H1412,OR(N1412="331",O1412="331")),"x","")</f>
        <v/>
      </c>
      <c r="Q1412" s="79" t="str">
        <f>IF(AND(B1412='111'!$L$11,OR($N1412=$Q$7,$O1412=$Q$7)),"x","")</f>
        <v/>
      </c>
      <c r="R1412" s="79" t="str">
        <f>IF(AND($N1412=$Q$7,$B1412&lt;'111'!$L$11),"x","")</f>
        <v/>
      </c>
      <c r="S1412" s="79" t="str">
        <f>IF(AND($O1412=$Q$7,$B1412&lt;'111'!$L$11),"x","")</f>
        <v/>
      </c>
      <c r="T1412" s="79" t="str">
        <f>IF(ISERROR(FIND('112'!$M$9,G1412,1)),"",IF((AND(FIND('112'!$M$9,G1412,1)&gt;=1,B1412='112'!$K$9,OR($N1412='112'!$I$6,$O1412='112'!$I$6))),"x",""))</f>
        <v/>
      </c>
      <c r="U1412" s="79" t="str">
        <f>IF(ISERROR(FIND('112'!$M$9,G1412,1)),"",IF((AND(LEFT(G1412,2)=LEFT('112'!$M$9,2),B1412&lt;'112'!$K$9,$N1412='112'!$I$6)),"x",""))</f>
        <v/>
      </c>
      <c r="V1412" s="79" t="str">
        <f>IF(ISERROR(FIND('112'!$M$9,G1412,1)),"",IF((AND(RIGHT(G1412,2)=RIGHT('112'!$M$9,2),B1412&lt;'112'!$K$9,$O1412='112'!$I$6)),"x",""))</f>
        <v/>
      </c>
      <c r="W1412" s="79" t="str">
        <f>IF(AND('341-CT'!$H$9=H1412,OR(LEFT(N1412,3)=$W$7,LEFT(O1412,3)=$W$7)),"x","")</f>
        <v/>
      </c>
      <c r="X1412" s="79" t="str">
        <f>IF(OR(TH!N1412=TH!$X$7,O1412=TH!$X$7),"x","")</f>
        <v/>
      </c>
      <c r="Y1412" s="79" t="str">
        <f>IF(AND(OR(N1412="131",O1412="131"),H1412='131-CT'!$H$9),"x","")</f>
        <v/>
      </c>
      <c r="Z1412" s="79"/>
      <c r="AA1412" s="79" t="str">
        <f>IF(AND(MONTH(E1412)='IN-NX'!$J$5,'IN-NX'!$D$7=D1412),"x","")</f>
        <v/>
      </c>
      <c r="AB1412" s="79" t="str">
        <f>IF(AND(OR(LEFT(TH!N1412,2)="15",LEFT(TH!O1412,2)="15"),LEFT(TH!O1412,3)&lt;&gt;"111",'152-CT'!$J$8=TH!F1412),"x","")</f>
        <v/>
      </c>
      <c r="AC1412" s="79" t="str">
        <f>IF(AND(OR(LEFT(TH!N1412,2)="15",LEFT(TH!O1412,2)="15"),TK!$E$7=TH!F1412),"x","")</f>
        <v/>
      </c>
      <c r="AD1412" s="79" t="str">
        <f>IF(AND(N1412="1521",MONTH(C1412)='BK-NL'!$M$11),"x","")</f>
        <v/>
      </c>
    </row>
    <row r="1413" spans="1:30" ht="16.5" customHeight="1">
      <c r="A1413" s="318" t="str">
        <f>IF(B1413&lt;&gt;"",IF(AND(B1413='IN-TC'!$S$4,OR(TH!N1413="1111",TH!O1413="1111")),TH!D1413,""),"")</f>
        <v/>
      </c>
      <c r="B1413" s="60" t="str">
        <f t="shared" si="202"/>
        <v/>
      </c>
      <c r="C1413" s="226"/>
      <c r="D1413" s="226"/>
      <c r="E1413" s="226"/>
      <c r="F1413" s="1010"/>
      <c r="G1413" s="763"/>
      <c r="H1413" s="69"/>
      <c r="I1413" s="385"/>
      <c r="J1413" s="385"/>
      <c r="K1413" s="385"/>
      <c r="L1413" s="392"/>
      <c r="M1413" s="970"/>
      <c r="N1413" s="980"/>
      <c r="O1413" s="980"/>
      <c r="P1413" s="79" t="str">
        <f>IF(AND('331-CT'!$E$7=TH!H1413,OR(N1413="331",O1413="331")),"x","")</f>
        <v/>
      </c>
      <c r="Q1413" s="79" t="str">
        <f>IF(AND(B1413='111'!$L$11,OR($N1413=$Q$7,$O1413=$Q$7)),"x","")</f>
        <v/>
      </c>
      <c r="R1413" s="79" t="str">
        <f>IF(AND($N1413=$Q$7,$B1413&lt;'111'!$L$11),"x","")</f>
        <v/>
      </c>
      <c r="S1413" s="79" t="str">
        <f>IF(AND($O1413=$Q$7,$B1413&lt;'111'!$L$11),"x","")</f>
        <v/>
      </c>
      <c r="T1413" s="79" t="str">
        <f>IF(ISERROR(FIND('112'!$M$9,G1413,1)),"",IF((AND(FIND('112'!$M$9,G1413,1)&gt;=1,B1413='112'!$K$9,OR($N1413='112'!$I$6,$O1413='112'!$I$6))),"x",""))</f>
        <v/>
      </c>
      <c r="U1413" s="79" t="str">
        <f>IF(ISERROR(FIND('112'!$M$9,G1413,1)),"",IF((AND(LEFT(G1413,2)=LEFT('112'!$M$9,2),B1413&lt;'112'!$K$9,$N1413='112'!$I$6)),"x",""))</f>
        <v/>
      </c>
      <c r="V1413" s="79" t="str">
        <f>IF(ISERROR(FIND('112'!$M$9,G1413,1)),"",IF((AND(RIGHT(G1413,2)=RIGHT('112'!$M$9,2),B1413&lt;'112'!$K$9,$O1413='112'!$I$6)),"x",""))</f>
        <v/>
      </c>
      <c r="W1413" s="79" t="str">
        <f>IF(AND('341-CT'!$H$9=H1413,OR(LEFT(N1413,3)=$W$7,LEFT(O1413,3)=$W$7)),"x","")</f>
        <v/>
      </c>
      <c r="X1413" s="79" t="str">
        <f>IF(OR(TH!N1413=TH!$X$7,O1413=TH!$X$7),"x","")</f>
        <v/>
      </c>
      <c r="Y1413" s="79" t="str">
        <f>IF(AND(OR(N1413="131",O1413="131"),H1413='131-CT'!$H$9),"x","")</f>
        <v/>
      </c>
      <c r="Z1413" s="79"/>
      <c r="AA1413" s="79" t="str">
        <f>IF(AND(MONTH(E1413)='IN-NX'!$J$5,'IN-NX'!$D$7=D1413),"x","")</f>
        <v/>
      </c>
      <c r="AB1413" s="79" t="str">
        <f>IF(AND(OR(LEFT(TH!N1413,2)="15",LEFT(TH!O1413,2)="15"),LEFT(TH!O1413,3)&lt;&gt;"111",'152-CT'!$J$8=TH!F1413),"x","")</f>
        <v/>
      </c>
      <c r="AC1413" s="79" t="str">
        <f>IF(AND(OR(LEFT(TH!N1413,2)="15",LEFT(TH!O1413,2)="15"),TK!$E$7=TH!F1413),"x","")</f>
        <v/>
      </c>
      <c r="AD1413" s="79" t="str">
        <f>IF(AND(N1413="1521",MONTH(C1413)='BK-NL'!$M$11),"x","")</f>
        <v/>
      </c>
    </row>
    <row r="1414" spans="1:30" ht="16.5" customHeight="1">
      <c r="A1414" s="318" t="str">
        <f>IF(B1414&lt;&gt;"",IF(AND(B1414='IN-TC'!$S$4,OR(TH!N1414="1111",TH!O1414="1111")),TH!D1414,""),"")</f>
        <v/>
      </c>
      <c r="B1414" s="60" t="str">
        <f t="shared" si="202"/>
        <v/>
      </c>
      <c r="C1414" s="226"/>
      <c r="D1414" s="226"/>
      <c r="E1414" s="226"/>
      <c r="F1414" s="1010"/>
      <c r="G1414" s="763"/>
      <c r="H1414" s="69"/>
      <c r="I1414" s="385"/>
      <c r="J1414" s="385"/>
      <c r="K1414" s="385"/>
      <c r="L1414" s="392"/>
      <c r="M1414" s="970"/>
      <c r="N1414" s="980"/>
      <c r="O1414" s="980"/>
      <c r="P1414" s="79" t="str">
        <f>IF(AND('331-CT'!$E$7=TH!H1414,OR(N1414="331",O1414="331")),"x","")</f>
        <v/>
      </c>
      <c r="Q1414" s="79" t="str">
        <f>IF(AND(B1414='111'!$L$11,OR($N1414=$Q$7,$O1414=$Q$7)),"x","")</f>
        <v/>
      </c>
      <c r="R1414" s="79" t="str">
        <f>IF(AND($N1414=$Q$7,$B1414&lt;'111'!$L$11),"x","")</f>
        <v/>
      </c>
      <c r="S1414" s="79" t="str">
        <f>IF(AND($O1414=$Q$7,$B1414&lt;'111'!$L$11),"x","")</f>
        <v/>
      </c>
      <c r="T1414" s="79" t="str">
        <f>IF(ISERROR(FIND('112'!$M$9,G1414,1)),"",IF((AND(FIND('112'!$M$9,G1414,1)&gt;=1,B1414='112'!$K$9,OR($N1414='112'!$I$6,$O1414='112'!$I$6))),"x",""))</f>
        <v/>
      </c>
      <c r="U1414" s="79" t="str">
        <f>IF(ISERROR(FIND('112'!$M$9,G1414,1)),"",IF((AND(LEFT(G1414,2)=LEFT('112'!$M$9,2),B1414&lt;'112'!$K$9,$N1414='112'!$I$6)),"x",""))</f>
        <v/>
      </c>
      <c r="V1414" s="79" t="str">
        <f>IF(ISERROR(FIND('112'!$M$9,G1414,1)),"",IF((AND(RIGHT(G1414,2)=RIGHT('112'!$M$9,2),B1414&lt;'112'!$K$9,$O1414='112'!$I$6)),"x",""))</f>
        <v/>
      </c>
      <c r="W1414" s="79" t="str">
        <f>IF(AND('341-CT'!$H$9=H1414,OR(LEFT(N1414,3)=$W$7,LEFT(O1414,3)=$W$7)),"x","")</f>
        <v/>
      </c>
      <c r="X1414" s="79" t="str">
        <f>IF(OR(TH!N1414=TH!$X$7,O1414=TH!$X$7),"x","")</f>
        <v/>
      </c>
      <c r="Y1414" s="79" t="str">
        <f>IF(AND(OR(N1414="131",O1414="131"),H1414='131-CT'!$H$9),"x","")</f>
        <v/>
      </c>
      <c r="Z1414" s="79"/>
      <c r="AA1414" s="79" t="str">
        <f>IF(AND(MONTH(E1414)='IN-NX'!$J$5,'IN-NX'!$D$7=D1414),"x","")</f>
        <v/>
      </c>
      <c r="AB1414" s="79" t="str">
        <f>IF(AND(OR(LEFT(TH!N1414,2)="15",LEFT(TH!O1414,2)="15"),LEFT(TH!O1414,3)&lt;&gt;"111",'152-CT'!$J$8=TH!F1414),"x","")</f>
        <v/>
      </c>
      <c r="AC1414" s="79" t="str">
        <f>IF(AND(OR(LEFT(TH!N1414,2)="15",LEFT(TH!O1414,2)="15"),TK!$E$7=TH!F1414),"x","")</f>
        <v/>
      </c>
      <c r="AD1414" s="79" t="str">
        <f>IF(AND(N1414="1521",MONTH(C1414)='BK-NL'!$M$11),"x","")</f>
        <v/>
      </c>
    </row>
    <row r="1415" spans="1:30" s="1102" customFormat="1" ht="16.5" customHeight="1">
      <c r="A1415" s="318" t="str">
        <f>IF(B1415&lt;&gt;"",IF(AND(B1415='IN-TC'!$S$4,OR(TH!N1415="1111",TH!O1415="1111")),TH!D1415,""),"")</f>
        <v/>
      </c>
      <c r="B1415" s="60" t="str">
        <f t="shared" si="202"/>
        <v/>
      </c>
      <c r="C1415" s="226"/>
      <c r="D1415" s="226"/>
      <c r="E1415" s="226"/>
      <c r="F1415" s="1008"/>
      <c r="G1415" s="987"/>
      <c r="H1415" s="997"/>
      <c r="I1415" s="385"/>
      <c r="J1415" s="984"/>
      <c r="K1415" s="984"/>
      <c r="L1415" s="983"/>
      <c r="M1415" s="970"/>
      <c r="N1415" s="980"/>
      <c r="O1415" s="980"/>
      <c r="P1415" s="79" t="str">
        <f>IF(AND('331-CT'!$E$7=TH!H1415,OR(N1415="331",O1415="331")),"x","")</f>
        <v/>
      </c>
      <c r="Q1415" s="79" t="str">
        <f>IF(AND(B1415='111'!$L$11,OR($N1415=$Q$7,$O1415=$Q$7)),"x","")</f>
        <v/>
      </c>
      <c r="R1415" s="79" t="str">
        <f>IF(AND($N1415=$Q$7,$B1415&lt;'111'!$L$11),"x","")</f>
        <v/>
      </c>
      <c r="S1415" s="79" t="str">
        <f>IF(AND($O1415=$Q$7,$B1415&lt;'111'!$L$11),"x","")</f>
        <v/>
      </c>
      <c r="T1415" s="79" t="str">
        <f>IF(ISERROR(FIND('112'!$M$9,G1415,1)),"",IF((AND(FIND('112'!$M$9,G1415,1)&gt;=1,B1415='112'!$K$9,OR($N1415='112'!$I$6,$O1415='112'!$I$6))),"x",""))</f>
        <v/>
      </c>
      <c r="U1415" s="79" t="str">
        <f>IF(ISERROR(FIND('112'!$M$9,G1415,1)),"",IF((AND(LEFT(G1415,2)=LEFT('112'!$M$9,2),B1415&lt;'112'!$K$9,$N1415='112'!$I$6)),"x",""))</f>
        <v/>
      </c>
      <c r="V1415" s="79" t="str">
        <f>IF(ISERROR(FIND('112'!$M$9,G1415,1)),"",IF((AND(RIGHT(G1415,2)=RIGHT('112'!$M$9,2),B1415&lt;'112'!$K$9,$O1415='112'!$I$6)),"x",""))</f>
        <v/>
      </c>
      <c r="W1415" s="79" t="str">
        <f>IF(AND('341-CT'!$H$9=H1415,OR(LEFT(N1415,3)=$W$7,LEFT(O1415,3)=$W$7)),"x","")</f>
        <v/>
      </c>
      <c r="X1415" s="79" t="str">
        <f>IF(OR(TH!N1415=TH!$X$7,O1415=TH!$X$7),"x","")</f>
        <v/>
      </c>
      <c r="Y1415" s="79" t="str">
        <f>IF(AND(OR(N1415="131",O1415="131"),H1415='131-CT'!$H$9),"x","")</f>
        <v/>
      </c>
      <c r="Z1415" s="79"/>
      <c r="AA1415" s="79" t="str">
        <f>IF(AND(MONTH(E1415)='IN-NX'!$J$5,'IN-NX'!$D$7=D1415),"x","")</f>
        <v/>
      </c>
      <c r="AB1415" s="79" t="str">
        <f>IF(AND(OR(LEFT(TH!N1415,2)="15",LEFT(TH!O1415,2)="15"),LEFT(TH!O1415,3)&lt;&gt;"111",'152-CT'!$J$8=TH!F1415),"x","")</f>
        <v/>
      </c>
      <c r="AC1415" s="79" t="str">
        <f>IF(AND(OR(LEFT(TH!N1415,2)="15",LEFT(TH!O1415,2)="15"),TK!$E$7=TH!F1415),"x","")</f>
        <v/>
      </c>
      <c r="AD1415" s="79" t="str">
        <f>IF(AND(N1415="1521",MONTH(C1415)='BK-NL'!$M$11),"x","")</f>
        <v/>
      </c>
    </row>
    <row r="1416" spans="1:30" s="1102" customFormat="1" ht="16.5" customHeight="1">
      <c r="A1416" s="318" t="str">
        <f>IF(B1416&lt;&gt;"",IF(AND(B1416='IN-TC'!$S$4,OR(TH!N1416="1111",TH!O1416="1111")),TH!D1416,""),"")</f>
        <v/>
      </c>
      <c r="B1416" s="60" t="str">
        <f>IF(C1416&lt;&gt;"",MONTH(C1416),"")</f>
        <v/>
      </c>
      <c r="C1416" s="226"/>
      <c r="D1416" s="226"/>
      <c r="E1416" s="226"/>
      <c r="F1416" s="1008"/>
      <c r="G1416" s="987"/>
      <c r="H1416" s="997"/>
      <c r="I1416" s="984"/>
      <c r="J1416" s="984"/>
      <c r="K1416" s="984"/>
      <c r="L1416" s="983"/>
      <c r="M1416" s="970"/>
      <c r="N1416" s="980"/>
      <c r="O1416" s="980"/>
      <c r="P1416" s="79" t="str">
        <f>IF(AND('331-CT'!$E$7=TH!H1416,OR(N1416="331",O1416="331")),"x","")</f>
        <v/>
      </c>
      <c r="Q1416" s="79" t="str">
        <f>IF(AND(B1416='111'!$L$11,OR($N1416=$Q$7,$O1416=$Q$7)),"x","")</f>
        <v/>
      </c>
      <c r="R1416" s="79" t="str">
        <f>IF(AND($N1416=$Q$7,$B1416&lt;'111'!$L$11),"x","")</f>
        <v/>
      </c>
      <c r="S1416" s="79" t="str">
        <f>IF(AND($O1416=$Q$7,$B1416&lt;'111'!$L$11),"x","")</f>
        <v/>
      </c>
      <c r="T1416" s="79" t="str">
        <f>IF(ISERROR(FIND('112'!$M$9,G1416,1)),"",IF((AND(FIND('112'!$M$9,G1416,1)&gt;=1,B1416='112'!$K$9,OR($N1416='112'!$I$6,$O1416='112'!$I$6))),"x",""))</f>
        <v/>
      </c>
      <c r="U1416" s="79" t="str">
        <f>IF(ISERROR(FIND('112'!$M$9,G1416,1)),"",IF((AND(LEFT(G1416,2)=LEFT('112'!$M$9,2),B1416&lt;'112'!$K$9,$N1416='112'!$I$6)),"x",""))</f>
        <v/>
      </c>
      <c r="V1416" s="79" t="str">
        <f>IF(ISERROR(FIND('112'!$M$9,G1416,1)),"",IF((AND(RIGHT(G1416,2)=RIGHT('112'!$M$9,2),B1416&lt;'112'!$K$9,$O1416='112'!$I$6)),"x",""))</f>
        <v/>
      </c>
      <c r="W1416" s="79" t="str">
        <f>IF(AND('341-CT'!$H$9=H1416,OR(LEFT(N1416,3)=$W$7,LEFT(O1416,3)=$W$7)),"x","")</f>
        <v/>
      </c>
      <c r="X1416" s="79" t="str">
        <f>IF(OR(TH!N1416=TH!$X$7,O1416=TH!$X$7),"x","")</f>
        <v/>
      </c>
      <c r="Y1416" s="79" t="str">
        <f>IF(AND(OR(N1416="131",O1416="131"),H1416='131-CT'!$H$9),"x","")</f>
        <v/>
      </c>
      <c r="Z1416" s="79"/>
      <c r="AA1416" s="79" t="str">
        <f>IF(AND(MONTH(E1416)='IN-NX'!$J$5,'IN-NX'!$D$7=D1416),"x","")</f>
        <v/>
      </c>
      <c r="AB1416" s="79" t="str">
        <f>IF(AND(OR(LEFT(TH!N1416,2)="15",LEFT(TH!O1416,2)="15"),LEFT(TH!O1416,3)&lt;&gt;"111",'152-CT'!$J$8=TH!F1416),"x","")</f>
        <v/>
      </c>
      <c r="AC1416" s="79" t="str">
        <f>IF(AND(OR(LEFT(TH!N1416,2)="15",LEFT(TH!O1416,2)="15"),TK!$E$7=TH!F1416),"x","")</f>
        <v/>
      </c>
      <c r="AD1416" s="79" t="str">
        <f>IF(AND(N1416="1521",MONTH(C1416)='BK-NL'!$M$11),"x","")</f>
        <v/>
      </c>
    </row>
    <row r="1417" spans="1:30" ht="16.5" customHeight="1">
      <c r="A1417" s="318" t="str">
        <f>IF(B1417&lt;&gt;"",IF(AND(B1417='IN-TC'!$S$4,OR(TH!N1417="1111",TH!O1417="1111")),TH!D1417,""),"")</f>
        <v/>
      </c>
      <c r="B1417" s="60" t="str">
        <f t="shared" si="202"/>
        <v/>
      </c>
      <c r="C1417" s="226"/>
      <c r="D1417" s="226"/>
      <c r="E1417" s="226"/>
      <c r="F1417" s="1010"/>
      <c r="G1417" s="763"/>
      <c r="H1417" s="321"/>
      <c r="I1417" s="385"/>
      <c r="J1417" s="385"/>
      <c r="K1417" s="385"/>
      <c r="L1417" s="392"/>
      <c r="M1417" s="970"/>
      <c r="N1417" s="980"/>
      <c r="O1417" s="980"/>
      <c r="P1417" s="79" t="str">
        <f>IF(AND('331-CT'!$E$7=TH!H1417,OR(N1417="331",O1417="331")),"x","")</f>
        <v/>
      </c>
      <c r="Q1417" s="79" t="str">
        <f>IF(AND(B1417='111'!$L$11,OR($N1417=$Q$7,$O1417=$Q$7)),"x","")</f>
        <v/>
      </c>
      <c r="R1417" s="79" t="str">
        <f>IF(AND($N1417=$Q$7,$B1417&lt;'111'!$L$11),"x","")</f>
        <v/>
      </c>
      <c r="S1417" s="79" t="str">
        <f>IF(AND($O1417=$Q$7,$B1417&lt;'111'!$L$11),"x","")</f>
        <v/>
      </c>
      <c r="T1417" s="79" t="str">
        <f>IF(ISERROR(FIND('112'!$M$9,G1417,1)),"",IF((AND(FIND('112'!$M$9,G1417,1)&gt;=1,B1417='112'!$K$9,OR($N1417='112'!$I$6,$O1417='112'!$I$6))),"x",""))</f>
        <v/>
      </c>
      <c r="U1417" s="79" t="str">
        <f>IF(ISERROR(FIND('112'!$M$9,G1417,1)),"",IF((AND(LEFT(G1417,2)=LEFT('112'!$M$9,2),B1417&lt;'112'!$K$9,$N1417='112'!$I$6)),"x",""))</f>
        <v/>
      </c>
      <c r="V1417" s="79" t="str">
        <f>IF(ISERROR(FIND('112'!$M$9,G1417,1)),"",IF((AND(RIGHT(G1417,2)=RIGHT('112'!$M$9,2),B1417&lt;'112'!$K$9,$O1417='112'!$I$6)),"x",""))</f>
        <v/>
      </c>
      <c r="W1417" s="79" t="str">
        <f>IF(AND('341-CT'!$H$9=H1417,OR(LEFT(N1417,3)=$W$7,LEFT(O1417,3)=$W$7)),"x","")</f>
        <v/>
      </c>
      <c r="X1417" s="79" t="str">
        <f>IF(OR(TH!N1417=TH!$X$7,O1417=TH!$X$7),"x","")</f>
        <v/>
      </c>
      <c r="Y1417" s="79" t="str">
        <f>IF(AND(OR(N1417="131",O1417="131"),H1417='131-CT'!$H$9),"x","")</f>
        <v/>
      </c>
      <c r="Z1417" s="79"/>
      <c r="AA1417" s="79" t="str">
        <f>IF(AND(MONTH(E1417)='IN-NX'!$J$5,'IN-NX'!$D$7=D1417),"x","")</f>
        <v/>
      </c>
      <c r="AB1417" s="79" t="str">
        <f>IF(AND(OR(LEFT(TH!N1417,2)="15",LEFT(TH!O1417,2)="15"),LEFT(TH!O1417,3)&lt;&gt;"111",'152-CT'!$J$8=TH!F1417),"x","")</f>
        <v/>
      </c>
      <c r="AC1417" s="79" t="str">
        <f>IF(AND(OR(LEFT(TH!N1417,2)="15",LEFT(TH!O1417,2)="15"),TK!$E$7=TH!F1417),"x","")</f>
        <v/>
      </c>
      <c r="AD1417" s="79" t="str">
        <f>IF(AND(N1417="1521",MONTH(C1417)='BK-NL'!$M$11),"x","")</f>
        <v/>
      </c>
    </row>
    <row r="1418" spans="1:30" s="1102" customFormat="1" ht="16.5" customHeight="1">
      <c r="A1418" s="318" t="str">
        <f>IF(B1418&lt;&gt;"",IF(AND(B1418='IN-TC'!$S$4,OR(TH!N1418="1111",TH!O1418="1111")),TH!D1418,""),"")</f>
        <v/>
      </c>
      <c r="B1418" s="60" t="str">
        <f>IF(C1418&lt;&gt;"",MONTH(C1418),"")</f>
        <v/>
      </c>
      <c r="C1418" s="226"/>
      <c r="D1418" s="226"/>
      <c r="E1418" s="226"/>
      <c r="F1418" s="1008"/>
      <c r="G1418" s="987"/>
      <c r="H1418" s="997"/>
      <c r="I1418" s="984"/>
      <c r="J1418" s="984"/>
      <c r="K1418" s="984"/>
      <c r="L1418" s="983"/>
      <c r="M1418" s="970"/>
      <c r="N1418" s="980"/>
      <c r="O1418" s="980"/>
      <c r="P1418" s="79" t="str">
        <f>IF(AND('331-CT'!$E$7=TH!H1418,OR(N1418="331",O1418="331")),"x","")</f>
        <v/>
      </c>
      <c r="Q1418" s="79" t="str">
        <f>IF(AND(B1418='111'!$L$11,OR($N1418=$Q$7,$O1418=$Q$7)),"x","")</f>
        <v/>
      </c>
      <c r="R1418" s="79" t="str">
        <f>IF(AND($N1418=$Q$7,$B1418&lt;'111'!$L$11),"x","")</f>
        <v/>
      </c>
      <c r="S1418" s="79" t="str">
        <f>IF(AND($O1418=$Q$7,$B1418&lt;'111'!$L$11),"x","")</f>
        <v/>
      </c>
      <c r="T1418" s="79" t="str">
        <f>IF(ISERROR(FIND('112'!$M$9,G1418,1)),"",IF((AND(FIND('112'!$M$9,G1418,1)&gt;=1,B1418='112'!$K$9,OR($N1418='112'!$I$6,$O1418='112'!$I$6))),"x",""))</f>
        <v/>
      </c>
      <c r="U1418" s="79" t="str">
        <f>IF(ISERROR(FIND('112'!$M$9,G1418,1)),"",IF((AND(LEFT(G1418,2)=LEFT('112'!$M$9,2),B1418&lt;'112'!$K$9,$N1418='112'!$I$6)),"x",""))</f>
        <v/>
      </c>
      <c r="V1418" s="79" t="str">
        <f>IF(ISERROR(FIND('112'!$M$9,G1418,1)),"",IF((AND(RIGHT(G1418,2)=RIGHT('112'!$M$9,2),B1418&lt;'112'!$K$9,$O1418='112'!$I$6)),"x",""))</f>
        <v/>
      </c>
      <c r="W1418" s="79" t="str">
        <f>IF(AND('341-CT'!$H$9=H1418,OR(LEFT(N1418,3)=$W$7,LEFT(O1418,3)=$W$7)),"x","")</f>
        <v/>
      </c>
      <c r="X1418" s="79" t="str">
        <f>IF(OR(TH!N1418=TH!$X$7,O1418=TH!$X$7),"x","")</f>
        <v/>
      </c>
      <c r="Y1418" s="79" t="str">
        <f>IF(AND(OR(N1418="131",O1418="131"),H1418='131-CT'!$H$9),"x","")</f>
        <v/>
      </c>
      <c r="Z1418" s="79"/>
      <c r="AA1418" s="79" t="str">
        <f>IF(AND(MONTH(E1418)='IN-NX'!$J$5,'IN-NX'!$D$7=D1418),"x","")</f>
        <v/>
      </c>
      <c r="AB1418" s="79" t="str">
        <f>IF(AND(OR(LEFT(TH!N1418,2)="15",LEFT(TH!O1418,2)="15"),LEFT(TH!O1418,3)&lt;&gt;"111",'152-CT'!$J$8=TH!F1418),"x","")</f>
        <v/>
      </c>
      <c r="AC1418" s="79" t="str">
        <f>IF(AND(OR(LEFT(TH!N1418,2)="15",LEFT(TH!O1418,2)="15"),TK!$E$7=TH!F1418),"x","")</f>
        <v/>
      </c>
      <c r="AD1418" s="79" t="str">
        <f>IF(AND(N1418="1521",MONTH(C1418)='BK-NL'!$M$11),"x","")</f>
        <v/>
      </c>
    </row>
    <row r="1419" spans="1:30" ht="16.5" customHeight="1">
      <c r="A1419" s="318" t="str">
        <f>IF(B1419&lt;&gt;"",IF(AND(B1419='IN-TC'!$S$4,OR(TH!N1419="1111",TH!O1419="1111")),TH!D1419,""),"")</f>
        <v/>
      </c>
      <c r="B1419" s="60" t="str">
        <f t="shared" si="202"/>
        <v/>
      </c>
      <c r="C1419" s="226"/>
      <c r="D1419" s="226"/>
      <c r="E1419" s="226"/>
      <c r="F1419" s="1010"/>
      <c r="G1419" s="763"/>
      <c r="H1419" s="321"/>
      <c r="I1419" s="385"/>
      <c r="J1419" s="385"/>
      <c r="K1419" s="385"/>
      <c r="L1419" s="392"/>
      <c r="M1419" s="970"/>
      <c r="N1419" s="980"/>
      <c r="O1419" s="980"/>
      <c r="P1419" s="79" t="str">
        <f>IF(AND('331-CT'!$E$7=TH!H1419,OR(N1419="331",O1419="331")),"x","")</f>
        <v/>
      </c>
      <c r="Q1419" s="79" t="str">
        <f>IF(AND(B1419='111'!$L$11,OR($N1419=$Q$7,$O1419=$Q$7)),"x","")</f>
        <v/>
      </c>
      <c r="R1419" s="79" t="str">
        <f>IF(AND($N1419=$Q$7,$B1419&lt;'111'!$L$11),"x","")</f>
        <v/>
      </c>
      <c r="S1419" s="79" t="str">
        <f>IF(AND($O1419=$Q$7,$B1419&lt;'111'!$L$11),"x","")</f>
        <v/>
      </c>
      <c r="T1419" s="79" t="str">
        <f>IF(ISERROR(FIND('112'!$M$9,G1419,1)),"",IF((AND(FIND('112'!$M$9,G1419,1)&gt;=1,B1419='112'!$K$9,OR($N1419='112'!$I$6,$O1419='112'!$I$6))),"x",""))</f>
        <v/>
      </c>
      <c r="U1419" s="79" t="str">
        <f>IF(ISERROR(FIND('112'!$M$9,G1419,1)),"",IF((AND(LEFT(G1419,2)=LEFT('112'!$M$9,2),B1419&lt;'112'!$K$9,$N1419='112'!$I$6)),"x",""))</f>
        <v/>
      </c>
      <c r="V1419" s="79" t="str">
        <f>IF(ISERROR(FIND('112'!$M$9,G1419,1)),"",IF((AND(RIGHT(G1419,2)=RIGHT('112'!$M$9,2),B1419&lt;'112'!$K$9,$O1419='112'!$I$6)),"x",""))</f>
        <v/>
      </c>
      <c r="W1419" s="79" t="str">
        <f>IF(AND('341-CT'!$H$9=H1419,OR(LEFT(N1419,3)=$W$7,LEFT(O1419,3)=$W$7)),"x","")</f>
        <v/>
      </c>
      <c r="X1419" s="79" t="str">
        <f>IF(OR(TH!N1419=TH!$X$7,O1419=TH!$X$7),"x","")</f>
        <v/>
      </c>
      <c r="Y1419" s="79" t="str">
        <f>IF(AND(OR(N1419="131",O1419="131"),H1419='131-CT'!$H$9),"x","")</f>
        <v/>
      </c>
      <c r="Z1419" s="79"/>
      <c r="AA1419" s="79" t="str">
        <f>IF(AND(MONTH(E1419)='IN-NX'!$J$5,'IN-NX'!$D$7=D1419),"x","")</f>
        <v/>
      </c>
      <c r="AB1419" s="79" t="str">
        <f>IF(AND(OR(LEFT(TH!N1419,2)="15",LEFT(TH!O1419,2)="15"),LEFT(TH!O1419,3)&lt;&gt;"111",'152-CT'!$J$8=TH!F1419),"x","")</f>
        <v/>
      </c>
      <c r="AC1419" s="79" t="str">
        <f>IF(AND(OR(LEFT(TH!N1419,2)="15",LEFT(TH!O1419,2)="15"),TK!$E$7=TH!F1419),"x","")</f>
        <v/>
      </c>
      <c r="AD1419" s="79" t="str">
        <f>IF(AND(N1419="1521",MONTH(C1419)='BK-NL'!$M$11),"x","")</f>
        <v/>
      </c>
    </row>
    <row r="1420" spans="1:30" s="1102" customFormat="1" ht="16.5" customHeight="1">
      <c r="A1420" s="318" t="str">
        <f>IF(B1420&lt;&gt;"",IF(AND(B1420='IN-TC'!$S$4,OR(TH!N1420="1111",TH!O1420="1111")),TH!D1420,""),"")</f>
        <v/>
      </c>
      <c r="B1420" s="60" t="str">
        <f t="shared" ref="B1420" si="203">IF(C1420&lt;&gt;"",MONTH(C1420),"")</f>
        <v/>
      </c>
      <c r="C1420" s="226"/>
      <c r="D1420" s="226"/>
      <c r="E1420" s="226"/>
      <c r="F1420" s="1008"/>
      <c r="G1420" s="987"/>
      <c r="H1420" s="997"/>
      <c r="I1420" s="984"/>
      <c r="J1420" s="984"/>
      <c r="K1420" s="984"/>
      <c r="L1420" s="983"/>
      <c r="M1420" s="970"/>
      <c r="N1420" s="980"/>
      <c r="O1420" s="980"/>
      <c r="P1420" s="79" t="str">
        <f>IF(AND('331-CT'!$E$7=TH!H1420,OR(N1420="331",O1420="331")),"x","")</f>
        <v/>
      </c>
      <c r="Q1420" s="79" t="str">
        <f>IF(AND(B1420='111'!$L$11,OR($N1420=$Q$7,$O1420=$Q$7)),"x","")</f>
        <v/>
      </c>
      <c r="R1420" s="79" t="str">
        <f>IF(AND($N1420=$Q$7,$B1420&lt;'111'!$L$11),"x","")</f>
        <v/>
      </c>
      <c r="S1420" s="79" t="str">
        <f>IF(AND($O1420=$Q$7,$B1420&lt;'111'!$L$11),"x","")</f>
        <v/>
      </c>
      <c r="T1420" s="79" t="str">
        <f>IF(ISERROR(FIND('112'!$M$9,G1420,1)),"",IF((AND(FIND('112'!$M$9,G1420,1)&gt;=1,B1420='112'!$K$9,OR($N1420='112'!$I$6,$O1420='112'!$I$6))),"x",""))</f>
        <v/>
      </c>
      <c r="U1420" s="79" t="str">
        <f>IF(ISERROR(FIND('112'!$M$9,G1420,1)),"",IF((AND(LEFT(G1420,2)=LEFT('112'!$M$9,2),B1420&lt;'112'!$K$9,$N1420='112'!$I$6)),"x",""))</f>
        <v/>
      </c>
      <c r="V1420" s="79" t="str">
        <f>IF(ISERROR(FIND('112'!$M$9,G1420,1)),"",IF((AND(RIGHT(G1420,2)=RIGHT('112'!$M$9,2),B1420&lt;'112'!$K$9,$O1420='112'!$I$6)),"x",""))</f>
        <v/>
      </c>
      <c r="W1420" s="79" t="str">
        <f>IF(AND('341-CT'!$H$9=H1420,OR(LEFT(N1420,3)=$W$7,LEFT(O1420,3)=$W$7)),"x","")</f>
        <v/>
      </c>
      <c r="X1420" s="79" t="str">
        <f>IF(OR(TH!N1420=TH!$X$7,O1420=TH!$X$7),"x","")</f>
        <v/>
      </c>
      <c r="Y1420" s="79" t="str">
        <f>IF(AND(OR(N1420="131",O1420="131"),H1420='131-CT'!$H$9),"x","")</f>
        <v/>
      </c>
      <c r="Z1420" s="79"/>
      <c r="AA1420" s="79" t="str">
        <f>IF(AND(MONTH(E1420)='IN-NX'!$J$5,'IN-NX'!$D$7=D1420),"x","")</f>
        <v/>
      </c>
      <c r="AB1420" s="79" t="str">
        <f>IF(AND(OR(LEFT(TH!N1420,2)="15",LEFT(TH!O1420,2)="15"),LEFT(TH!O1420,3)&lt;&gt;"111",'152-CT'!$J$8=TH!F1420),"x","")</f>
        <v/>
      </c>
      <c r="AC1420" s="79" t="str">
        <f>IF(AND(OR(LEFT(TH!N1420,2)="15",LEFT(TH!O1420,2)="15"),TK!$E$7=TH!F1420),"x","")</f>
        <v/>
      </c>
      <c r="AD1420" s="79" t="str">
        <f>IF(AND(N1420="1521",MONTH(C1420)='BK-NL'!$M$11),"x","")</f>
        <v/>
      </c>
    </row>
    <row r="1421" spans="1:30" s="1102" customFormat="1" ht="16.5" customHeight="1">
      <c r="A1421" s="318" t="str">
        <f>IF(B1421&lt;&gt;"",IF(AND(B1421='IN-TC'!$S$4,OR(TH!N1421="1111",TH!O1421="1111")),TH!D1421,""),"")</f>
        <v/>
      </c>
      <c r="B1421" s="60" t="str">
        <f>IF(C1421&lt;&gt;"",MONTH(C1421),"")</f>
        <v/>
      </c>
      <c r="C1421" s="226"/>
      <c r="D1421" s="226"/>
      <c r="E1421" s="226"/>
      <c r="F1421" s="1008"/>
      <c r="G1421" s="987"/>
      <c r="H1421" s="997"/>
      <c r="I1421" s="984"/>
      <c r="J1421" s="984"/>
      <c r="K1421" s="984"/>
      <c r="L1421" s="983"/>
      <c r="M1421" s="970"/>
      <c r="N1421" s="980"/>
      <c r="O1421" s="980"/>
      <c r="P1421" s="79" t="str">
        <f>IF(AND('331-CT'!$E$7=TH!H1421,OR(N1421="331",O1421="331")),"x","")</f>
        <v/>
      </c>
      <c r="Q1421" s="79" t="str">
        <f>IF(AND(B1421='111'!$L$11,OR($N1421=$Q$7,$O1421=$Q$7)),"x","")</f>
        <v/>
      </c>
      <c r="R1421" s="79" t="str">
        <f>IF(AND($N1421=$Q$7,$B1421&lt;'111'!$L$11),"x","")</f>
        <v/>
      </c>
      <c r="S1421" s="79" t="str">
        <f>IF(AND($O1421=$Q$7,$B1421&lt;'111'!$L$11),"x","")</f>
        <v/>
      </c>
      <c r="T1421" s="79" t="str">
        <f>IF(ISERROR(FIND('112'!$M$9,G1421,1)),"",IF((AND(FIND('112'!$M$9,G1421,1)&gt;=1,B1421='112'!$K$9,OR($N1421='112'!$I$6,$O1421='112'!$I$6))),"x",""))</f>
        <v/>
      </c>
      <c r="U1421" s="79" t="str">
        <f>IF(ISERROR(FIND('112'!$M$9,G1421,1)),"",IF((AND(LEFT(G1421,2)=LEFT('112'!$M$9,2),B1421&lt;'112'!$K$9,$N1421='112'!$I$6)),"x",""))</f>
        <v/>
      </c>
      <c r="V1421" s="79" t="str">
        <f>IF(ISERROR(FIND('112'!$M$9,G1421,1)),"",IF((AND(RIGHT(G1421,2)=RIGHT('112'!$M$9,2),B1421&lt;'112'!$K$9,$O1421='112'!$I$6)),"x",""))</f>
        <v/>
      </c>
      <c r="W1421" s="79" t="str">
        <f>IF(AND('341-CT'!$H$9=H1421,OR(LEFT(N1421,3)=$W$7,LEFT(O1421,3)=$W$7)),"x","")</f>
        <v/>
      </c>
      <c r="X1421" s="79" t="str">
        <f>IF(OR(TH!N1421=TH!$X$7,O1421=TH!$X$7),"x","")</f>
        <v/>
      </c>
      <c r="Y1421" s="79" t="str">
        <f>IF(AND(OR(N1421="131",O1421="131"),H1421='131-CT'!$H$9),"x","")</f>
        <v/>
      </c>
      <c r="Z1421" s="79"/>
      <c r="AA1421" s="79" t="str">
        <f>IF(AND(MONTH(E1421)='IN-NX'!$J$5,'IN-NX'!$D$7=D1421),"x","")</f>
        <v/>
      </c>
      <c r="AB1421" s="79" t="str">
        <f>IF(AND(OR(LEFT(TH!N1421,2)="15",LEFT(TH!O1421,2)="15"),LEFT(TH!O1421,3)&lt;&gt;"111",'152-CT'!$J$8=TH!F1421),"x","")</f>
        <v/>
      </c>
      <c r="AC1421" s="79" t="str">
        <f>IF(AND(OR(LEFT(TH!N1421,2)="15",LEFT(TH!O1421,2)="15"),TK!$E$7=TH!F1421),"x","")</f>
        <v/>
      </c>
      <c r="AD1421" s="79" t="str">
        <f>IF(AND(N1421="1521",MONTH(C1421)='BK-NL'!$M$11),"x","")</f>
        <v/>
      </c>
    </row>
    <row r="1422" spans="1:30" s="1102" customFormat="1" ht="16.5" customHeight="1">
      <c r="A1422" s="318" t="str">
        <f>IF(B1422&lt;&gt;"",IF(AND(B1422='IN-TC'!$S$4,OR(TH!N1422="1111",TH!O1422="1111")),TH!D1422,""),"")</f>
        <v/>
      </c>
      <c r="B1422" s="60" t="str">
        <f>IF(C1422&lt;&gt;"",MONTH(C1422),"")</f>
        <v/>
      </c>
      <c r="C1422" s="226"/>
      <c r="D1422" s="226"/>
      <c r="E1422" s="226"/>
      <c r="F1422" s="1008"/>
      <c r="G1422" s="987"/>
      <c r="H1422" s="85"/>
      <c r="I1422" s="984"/>
      <c r="J1422" s="984"/>
      <c r="K1422" s="984"/>
      <c r="L1422" s="983"/>
      <c r="M1422" s="970"/>
      <c r="N1422" s="980"/>
      <c r="O1422" s="980"/>
      <c r="P1422" s="79" t="str">
        <f>IF(AND('331-CT'!$E$7=TH!H1422,OR(N1422="331",O1422="331")),"x","")</f>
        <v/>
      </c>
      <c r="Q1422" s="79" t="str">
        <f>IF(AND(B1422='111'!$L$11,OR($N1422=$Q$7,$O1422=$Q$7)),"x","")</f>
        <v/>
      </c>
      <c r="R1422" s="79" t="str">
        <f>IF(AND($N1422=$Q$7,$B1422&lt;'111'!$L$11),"x","")</f>
        <v/>
      </c>
      <c r="S1422" s="79" t="str">
        <f>IF(AND($O1422=$Q$7,$B1422&lt;'111'!$L$11),"x","")</f>
        <v/>
      </c>
      <c r="T1422" s="79" t="str">
        <f>IF(ISERROR(FIND('112'!$M$9,G1422,1)),"",IF((AND(FIND('112'!$M$9,G1422,1)&gt;=1,B1422='112'!$K$9,OR($N1422='112'!$I$6,$O1422='112'!$I$6))),"x",""))</f>
        <v/>
      </c>
      <c r="U1422" s="79" t="str">
        <f>IF(ISERROR(FIND('112'!$M$9,G1422,1)),"",IF((AND(LEFT(G1422,2)=LEFT('112'!$M$9,2),B1422&lt;'112'!$K$9,$N1422='112'!$I$6)),"x",""))</f>
        <v/>
      </c>
      <c r="V1422" s="79" t="str">
        <f>IF(ISERROR(FIND('112'!$M$9,G1422,1)),"",IF((AND(RIGHT(G1422,2)=RIGHT('112'!$M$9,2),B1422&lt;'112'!$K$9,$O1422='112'!$I$6)),"x",""))</f>
        <v/>
      </c>
      <c r="W1422" s="79" t="str">
        <f>IF(AND('341-CT'!$H$9=H1422,OR(LEFT(N1422,3)=$W$7,LEFT(O1422,3)=$W$7)),"x","")</f>
        <v/>
      </c>
      <c r="X1422" s="79" t="str">
        <f>IF(OR(TH!N1422=TH!$X$7,O1422=TH!$X$7),"x","")</f>
        <v/>
      </c>
      <c r="Y1422" s="79" t="str">
        <f>IF(AND(OR(N1422="131",O1422="131"),H1422='131-CT'!$H$9),"x","")</f>
        <v/>
      </c>
      <c r="Z1422" s="79"/>
      <c r="AA1422" s="79" t="str">
        <f>IF(AND(MONTH(E1422)='IN-NX'!$J$5,'IN-NX'!$D$7=D1422),"x","")</f>
        <v/>
      </c>
      <c r="AB1422" s="79" t="str">
        <f>IF(AND(OR(LEFT(TH!N1422,2)="15",LEFT(TH!O1422,2)="15"),LEFT(TH!O1422,3)&lt;&gt;"111",'152-CT'!$J$8=TH!F1422),"x","")</f>
        <v/>
      </c>
      <c r="AC1422" s="79" t="str">
        <f>IF(AND(OR(LEFT(TH!N1422,2)="15",LEFT(TH!O1422,2)="15"),TK!$E$7=TH!F1422),"x","")</f>
        <v/>
      </c>
      <c r="AD1422" s="79" t="str">
        <f>IF(AND(N1422="1521",MONTH(C1422)='BK-NL'!$M$11),"x","")</f>
        <v/>
      </c>
    </row>
    <row r="1423" spans="1:30" s="1102" customFormat="1" ht="16.5" customHeight="1">
      <c r="A1423" s="318" t="str">
        <f>IF(B1423&lt;&gt;"",IF(AND(B1423='IN-TC'!$S$4,OR(TH!N1423="1111",TH!O1423="1111")),TH!D1423,""),"")</f>
        <v/>
      </c>
      <c r="B1423" s="60" t="str">
        <f>IF(C1423&lt;&gt;"",MONTH(C1423),"")</f>
        <v/>
      </c>
      <c r="C1423" s="226"/>
      <c r="D1423" s="226"/>
      <c r="E1423" s="226"/>
      <c r="F1423" s="1008"/>
      <c r="G1423" s="987"/>
      <c r="H1423" s="85"/>
      <c r="I1423" s="984"/>
      <c r="J1423" s="984"/>
      <c r="K1423" s="984"/>
      <c r="L1423" s="983"/>
      <c r="M1423" s="970"/>
      <c r="N1423" s="980"/>
      <c r="O1423" s="980"/>
      <c r="P1423" s="79" t="str">
        <f>IF(AND('331-CT'!$E$7=TH!H1423,OR(N1423="331",O1423="331")),"x","")</f>
        <v/>
      </c>
      <c r="Q1423" s="79" t="str">
        <f>IF(AND(B1423='111'!$L$11,OR($N1423=$Q$7,$O1423=$Q$7)),"x","")</f>
        <v/>
      </c>
      <c r="R1423" s="79" t="str">
        <f>IF(AND($N1423=$Q$7,$B1423&lt;'111'!$L$11),"x","")</f>
        <v/>
      </c>
      <c r="S1423" s="79" t="str">
        <f>IF(AND($O1423=$Q$7,$B1423&lt;'111'!$L$11),"x","")</f>
        <v/>
      </c>
      <c r="T1423" s="79" t="str">
        <f>IF(ISERROR(FIND('112'!$M$9,G1423,1)),"",IF((AND(FIND('112'!$M$9,G1423,1)&gt;=1,B1423='112'!$K$9,OR($N1423='112'!$I$6,$O1423='112'!$I$6))),"x",""))</f>
        <v/>
      </c>
      <c r="U1423" s="79" t="str">
        <f>IF(ISERROR(FIND('112'!$M$9,G1423,1)),"",IF((AND(LEFT(G1423,2)=LEFT('112'!$M$9,2),B1423&lt;'112'!$K$9,$N1423='112'!$I$6)),"x",""))</f>
        <v/>
      </c>
      <c r="V1423" s="79" t="str">
        <f>IF(ISERROR(FIND('112'!$M$9,G1423,1)),"",IF((AND(RIGHT(G1423,2)=RIGHT('112'!$M$9,2),B1423&lt;'112'!$K$9,$O1423='112'!$I$6)),"x",""))</f>
        <v/>
      </c>
      <c r="W1423" s="79" t="str">
        <f>IF(AND('341-CT'!$H$9=H1423,OR(LEFT(N1423,3)=$W$7,LEFT(O1423,3)=$W$7)),"x","")</f>
        <v/>
      </c>
      <c r="X1423" s="79" t="str">
        <f>IF(OR(TH!N1423=TH!$X$7,O1423=TH!$X$7),"x","")</f>
        <v/>
      </c>
      <c r="Y1423" s="79" t="str">
        <f>IF(AND(OR(N1423="131",O1423="131"),H1423='131-CT'!$H$9),"x","")</f>
        <v/>
      </c>
      <c r="Z1423" s="79"/>
      <c r="AA1423" s="79" t="str">
        <f>IF(AND(MONTH(E1423)='IN-NX'!$J$5,'IN-NX'!$D$7=D1423),"x","")</f>
        <v/>
      </c>
      <c r="AB1423" s="79" t="str">
        <f>IF(AND(OR(LEFT(TH!N1423,2)="15",LEFT(TH!O1423,2)="15"),LEFT(TH!O1423,3)&lt;&gt;"111",'152-CT'!$J$8=TH!F1423),"x","")</f>
        <v/>
      </c>
      <c r="AC1423" s="79" t="str">
        <f>IF(AND(OR(LEFT(TH!N1423,2)="15",LEFT(TH!O1423,2)="15"),TK!$E$7=TH!F1423),"x","")</f>
        <v/>
      </c>
      <c r="AD1423" s="79" t="str">
        <f>IF(AND(N1423="1521",MONTH(C1423)='BK-NL'!$M$11),"x","")</f>
        <v/>
      </c>
    </row>
    <row r="1424" spans="1:30" ht="16.5" customHeight="1">
      <c r="A1424" s="318" t="str">
        <f>IF(B1424&lt;&gt;"",IF(AND(B1424='IN-TC'!$S$4,OR(TH!N1424="1111",TH!O1424="1111")),TH!D1424,""),"")</f>
        <v/>
      </c>
      <c r="B1424" s="60" t="str">
        <f t="shared" si="202"/>
        <v/>
      </c>
      <c r="C1424" s="226"/>
      <c r="D1424" s="226"/>
      <c r="E1424" s="226"/>
      <c r="F1424" s="1010"/>
      <c r="G1424" s="763"/>
      <c r="H1424" s="321"/>
      <c r="I1424" s="385"/>
      <c r="J1424" s="385"/>
      <c r="K1424" s="385"/>
      <c r="L1424" s="392"/>
      <c r="M1424" s="970"/>
      <c r="N1424" s="980"/>
      <c r="O1424" s="980"/>
      <c r="P1424" s="79" t="str">
        <f>IF(AND('331-CT'!$E$7=TH!H1424,OR(N1424="331",O1424="331")),"x","")</f>
        <v/>
      </c>
      <c r="Q1424" s="79" t="str">
        <f>IF(AND(B1424='111'!$L$11,OR($N1424=$Q$7,$O1424=$Q$7)),"x","")</f>
        <v/>
      </c>
      <c r="R1424" s="79" t="str">
        <f>IF(AND($N1424=$Q$7,$B1424&lt;'111'!$L$11),"x","")</f>
        <v/>
      </c>
      <c r="S1424" s="79" t="str">
        <f>IF(AND($O1424=$Q$7,$B1424&lt;'111'!$L$11),"x","")</f>
        <v/>
      </c>
      <c r="T1424" s="79" t="str">
        <f>IF(ISERROR(FIND('112'!$M$9,G1424,1)),"",IF((AND(FIND('112'!$M$9,G1424,1)&gt;=1,B1424='112'!$K$9,OR($N1424='112'!$I$6,$O1424='112'!$I$6))),"x",""))</f>
        <v/>
      </c>
      <c r="U1424" s="79" t="str">
        <f>IF(ISERROR(FIND('112'!$M$9,G1424,1)),"",IF((AND(LEFT(G1424,2)=LEFT('112'!$M$9,2),B1424&lt;'112'!$K$9,$N1424='112'!$I$6)),"x",""))</f>
        <v/>
      </c>
      <c r="V1424" s="79" t="str">
        <f>IF(ISERROR(FIND('112'!$M$9,G1424,1)),"",IF((AND(RIGHT(G1424,2)=RIGHT('112'!$M$9,2),B1424&lt;'112'!$K$9,$O1424='112'!$I$6)),"x",""))</f>
        <v/>
      </c>
      <c r="W1424" s="79" t="str">
        <f>IF(AND('341-CT'!$H$9=H1424,OR(LEFT(N1424,3)=$W$7,LEFT(O1424,3)=$W$7)),"x","")</f>
        <v/>
      </c>
      <c r="X1424" s="79" t="str">
        <f>IF(OR(TH!N1424=TH!$X$7,O1424=TH!$X$7),"x","")</f>
        <v/>
      </c>
      <c r="Y1424" s="79" t="str">
        <f>IF(AND(OR(N1424="131",O1424="131"),H1424='131-CT'!$H$9),"x","")</f>
        <v/>
      </c>
      <c r="Z1424" s="79"/>
      <c r="AA1424" s="79" t="str">
        <f>IF(AND(MONTH(E1424)='IN-NX'!$J$5,'IN-NX'!$D$7=D1424),"x","")</f>
        <v/>
      </c>
      <c r="AB1424" s="79" t="str">
        <f>IF(AND(OR(LEFT(TH!N1424,2)="15",LEFT(TH!O1424,2)="15"),LEFT(TH!O1424,3)&lt;&gt;"111",'152-CT'!$J$8=TH!F1424),"x","")</f>
        <v/>
      </c>
      <c r="AC1424" s="79" t="str">
        <f>IF(AND(OR(LEFT(TH!N1424,2)="15",LEFT(TH!O1424,2)="15"),TK!$E$7=TH!F1424),"x","")</f>
        <v/>
      </c>
      <c r="AD1424" s="79" t="str">
        <f>IF(AND(N1424="1521",MONTH(C1424)='BK-NL'!$M$11),"x","")</f>
        <v/>
      </c>
    </row>
    <row r="1425" spans="1:30" s="1102" customFormat="1" ht="17.25" customHeight="1">
      <c r="A1425" s="318" t="str">
        <f>IF(B1425&lt;&gt;"",IF(AND(B1425='IN-TC'!$S$4,OR(TH!N1425="1111",TH!O1425="1111")),TH!D1425,""),"")</f>
        <v/>
      </c>
      <c r="B1425" s="60" t="str">
        <f>IF(C1425&lt;&gt;"",MONTH(C1425),"")</f>
        <v/>
      </c>
      <c r="C1425" s="226"/>
      <c r="D1425" s="226"/>
      <c r="E1425" s="226"/>
      <c r="F1425" s="1008"/>
      <c r="G1425" s="987"/>
      <c r="H1425" s="997"/>
      <c r="I1425" s="984"/>
      <c r="J1425" s="984"/>
      <c r="K1425" s="984"/>
      <c r="L1425" s="983"/>
      <c r="M1425" s="970"/>
      <c r="N1425" s="980"/>
      <c r="O1425" s="980"/>
      <c r="P1425" s="79" t="str">
        <f>IF(AND('331-CT'!$E$7=TH!H1425,OR(N1425="331",O1425="331")),"x","")</f>
        <v/>
      </c>
      <c r="Q1425" s="79" t="str">
        <f>IF(AND(B1425='111'!$L$11,OR($N1425=$Q$7,$O1425=$Q$7)),"x","")</f>
        <v/>
      </c>
      <c r="R1425" s="79" t="str">
        <f>IF(AND($N1425=$Q$7,$B1425&lt;'111'!$L$11),"x","")</f>
        <v/>
      </c>
      <c r="S1425" s="79" t="str">
        <f>IF(AND($O1425=$Q$7,$B1425&lt;'111'!$L$11),"x","")</f>
        <v/>
      </c>
      <c r="T1425" s="79" t="str">
        <f>IF(ISERROR(FIND('112'!$M$9,G1425,1)),"",IF((AND(FIND('112'!$M$9,G1425,1)&gt;=1,B1425='112'!$K$9,OR($N1425='112'!$I$6,$O1425='112'!$I$6))),"x",""))</f>
        <v/>
      </c>
      <c r="U1425" s="79" t="str">
        <f>IF(ISERROR(FIND('112'!$M$9,G1425,1)),"",IF((AND(LEFT(G1425,2)=LEFT('112'!$M$9,2),B1425&lt;'112'!$K$9,$N1425='112'!$I$6)),"x",""))</f>
        <v/>
      </c>
      <c r="V1425" s="79" t="str">
        <f>IF(ISERROR(FIND('112'!$M$9,G1425,1)),"",IF((AND(RIGHT(G1425,2)=RIGHT('112'!$M$9,2),B1425&lt;'112'!$K$9,$O1425='112'!$I$6)),"x",""))</f>
        <v/>
      </c>
      <c r="W1425" s="79" t="str">
        <f>IF(AND('341-CT'!$H$9=H1425,OR(LEFT(N1425,3)=$W$7,LEFT(O1425,3)=$W$7)),"x","")</f>
        <v/>
      </c>
      <c r="X1425" s="79" t="str">
        <f>IF(OR(TH!N1425=TH!$X$7,O1425=TH!$X$7),"x","")</f>
        <v/>
      </c>
      <c r="Y1425" s="79" t="str">
        <f>IF(AND(OR(N1425="131",O1425="131"),H1425='131-CT'!$H$9),"x","")</f>
        <v/>
      </c>
      <c r="Z1425" s="79"/>
      <c r="AA1425" s="79" t="str">
        <f>IF(AND(MONTH(E1425)='IN-NX'!$J$5,'IN-NX'!$D$7=D1425),"x","")</f>
        <v/>
      </c>
      <c r="AB1425" s="79" t="str">
        <f>IF(AND(OR(LEFT(TH!N1425,2)="15",LEFT(TH!O1425,2)="15"),LEFT(TH!O1425,3)&lt;&gt;"111",'152-CT'!$J$8=TH!F1425),"x","")</f>
        <v/>
      </c>
      <c r="AC1425" s="79" t="str">
        <f>IF(AND(OR(LEFT(TH!N1425,2)="15",LEFT(TH!O1425,2)="15"),TK!$E$7=TH!F1425),"x","")</f>
        <v/>
      </c>
      <c r="AD1425" s="79" t="str">
        <f>IF(AND(N1425="1521",MONTH(C1425)='BK-NL'!$M$11),"x","")</f>
        <v/>
      </c>
    </row>
    <row r="1426" spans="1:30" s="1102" customFormat="1" ht="17.25" customHeight="1">
      <c r="A1426" s="318" t="str">
        <f>IF(B1426&lt;&gt;"",IF(AND(B1426='IN-TC'!$S$4,OR(TH!N1426="1111",TH!O1426="1111")),TH!D1426,""),"")</f>
        <v/>
      </c>
      <c r="B1426" s="60" t="str">
        <f>IF(C1426&lt;&gt;"",MONTH(C1426),"")</f>
        <v/>
      </c>
      <c r="C1426" s="226"/>
      <c r="D1426" s="226"/>
      <c r="E1426" s="226"/>
      <c r="F1426" s="1008"/>
      <c r="G1426" s="987"/>
      <c r="H1426" s="997"/>
      <c r="I1426" s="984"/>
      <c r="J1426" s="984"/>
      <c r="K1426" s="984"/>
      <c r="L1426" s="983"/>
      <c r="M1426" s="970"/>
      <c r="N1426" s="980"/>
      <c r="O1426" s="980"/>
      <c r="P1426" s="79" t="str">
        <f>IF(AND('331-CT'!$E$7=TH!H1426,OR(N1426="331",O1426="331")),"x","")</f>
        <v/>
      </c>
      <c r="Q1426" s="79" t="str">
        <f>IF(AND(B1426='111'!$L$11,OR($N1426=$Q$7,$O1426=$Q$7)),"x","")</f>
        <v/>
      </c>
      <c r="R1426" s="79" t="str">
        <f>IF(AND($N1426=$Q$7,$B1426&lt;'111'!$L$11),"x","")</f>
        <v/>
      </c>
      <c r="S1426" s="79" t="str">
        <f>IF(AND($O1426=$Q$7,$B1426&lt;'111'!$L$11),"x","")</f>
        <v/>
      </c>
      <c r="T1426" s="79" t="str">
        <f>IF(ISERROR(FIND('112'!$M$9,G1426,1)),"",IF((AND(FIND('112'!$M$9,G1426,1)&gt;=1,B1426='112'!$K$9,OR($N1426='112'!$I$6,$O1426='112'!$I$6))),"x",""))</f>
        <v/>
      </c>
      <c r="U1426" s="79" t="str">
        <f>IF(ISERROR(FIND('112'!$M$9,G1426,1)),"",IF((AND(LEFT(G1426,2)=LEFT('112'!$M$9,2),B1426&lt;'112'!$K$9,$N1426='112'!$I$6)),"x",""))</f>
        <v/>
      </c>
      <c r="V1426" s="79" t="str">
        <f>IF(ISERROR(FIND('112'!$M$9,G1426,1)),"",IF((AND(RIGHT(G1426,2)=RIGHT('112'!$M$9,2),B1426&lt;'112'!$K$9,$O1426='112'!$I$6)),"x",""))</f>
        <v/>
      </c>
      <c r="W1426" s="79" t="str">
        <f>IF(AND('341-CT'!$H$9=H1426,OR(LEFT(N1426,3)=$W$7,LEFT(O1426,3)=$W$7)),"x","")</f>
        <v/>
      </c>
      <c r="X1426" s="79" t="str">
        <f>IF(OR(TH!N1426=TH!$X$7,O1426=TH!$X$7),"x","")</f>
        <v/>
      </c>
      <c r="Y1426" s="79" t="str">
        <f>IF(AND(OR(N1426="131",O1426="131"),H1426='131-CT'!$H$9),"x","")</f>
        <v/>
      </c>
      <c r="Z1426" s="79"/>
      <c r="AA1426" s="79" t="str">
        <f>IF(AND(MONTH(E1426)='IN-NX'!$J$5,'IN-NX'!$D$7=D1426),"x","")</f>
        <v/>
      </c>
      <c r="AB1426" s="79" t="str">
        <f>IF(AND(OR(LEFT(TH!N1426,2)="15",LEFT(TH!O1426,2)="15"),LEFT(TH!O1426,3)&lt;&gt;"111",'152-CT'!$J$8=TH!F1426),"x","")</f>
        <v/>
      </c>
      <c r="AC1426" s="79" t="str">
        <f>IF(AND(OR(LEFT(TH!N1426,2)="15",LEFT(TH!O1426,2)="15"),TK!$E$7=TH!F1426),"x","")</f>
        <v/>
      </c>
      <c r="AD1426" s="79" t="str">
        <f>IF(AND(N1426="1521",MONTH(C1426)='BK-NL'!$M$11),"x","")</f>
        <v/>
      </c>
    </row>
    <row r="1427" spans="1:30" s="1102" customFormat="1" ht="16.5" customHeight="1">
      <c r="A1427" s="318" t="str">
        <f>IF(B1427&lt;&gt;"",IF(AND(B1427='IN-TC'!$S$4,OR(TH!N1427="1111",TH!O1427="1111")),TH!D1427,""),"")</f>
        <v/>
      </c>
      <c r="B1427" s="60" t="str">
        <f>IF(C1427&lt;&gt;"",MONTH(C1427),"")</f>
        <v/>
      </c>
      <c r="C1427" s="226"/>
      <c r="D1427" s="226"/>
      <c r="E1427" s="226"/>
      <c r="F1427" s="1008"/>
      <c r="G1427" s="987"/>
      <c r="H1427" s="85"/>
      <c r="I1427" s="984"/>
      <c r="J1427" s="984"/>
      <c r="K1427" s="984"/>
      <c r="L1427" s="983"/>
      <c r="M1427" s="970"/>
      <c r="N1427" s="980"/>
      <c r="O1427" s="980"/>
      <c r="P1427" s="79" t="str">
        <f>IF(AND('331-CT'!$E$7=TH!H1427,OR(N1427="331",O1427="331")),"x","")</f>
        <v/>
      </c>
      <c r="Q1427" s="79" t="str">
        <f>IF(AND(B1427='111'!$L$11,OR($N1427=$Q$7,$O1427=$Q$7)),"x","")</f>
        <v/>
      </c>
      <c r="R1427" s="79" t="str">
        <f>IF(AND($N1427=$Q$7,$B1427&lt;'111'!$L$11),"x","")</f>
        <v/>
      </c>
      <c r="S1427" s="79" t="str">
        <f>IF(AND($O1427=$Q$7,$B1427&lt;'111'!$L$11),"x","")</f>
        <v/>
      </c>
      <c r="T1427" s="79" t="str">
        <f>IF(ISERROR(FIND('112'!$M$9,G1427,1)),"",IF((AND(FIND('112'!$M$9,G1427,1)&gt;=1,B1427='112'!$K$9,OR($N1427='112'!$I$6,$O1427='112'!$I$6))),"x",""))</f>
        <v/>
      </c>
      <c r="U1427" s="79" t="str">
        <f>IF(ISERROR(FIND('112'!$M$9,G1427,1)),"",IF((AND(LEFT(G1427,2)=LEFT('112'!$M$9,2),B1427&lt;'112'!$K$9,$N1427='112'!$I$6)),"x",""))</f>
        <v/>
      </c>
      <c r="V1427" s="79" t="str">
        <f>IF(ISERROR(FIND('112'!$M$9,G1427,1)),"",IF((AND(RIGHT(G1427,2)=RIGHT('112'!$M$9,2),B1427&lt;'112'!$K$9,$O1427='112'!$I$6)),"x",""))</f>
        <v/>
      </c>
      <c r="W1427" s="79" t="str">
        <f>IF(AND('341-CT'!$H$9=H1427,OR(LEFT(N1427,3)=$W$7,LEFT(O1427,3)=$W$7)),"x","")</f>
        <v/>
      </c>
      <c r="X1427" s="79" t="str">
        <f>IF(OR(TH!N1427=TH!$X$7,O1427=TH!$X$7),"x","")</f>
        <v/>
      </c>
      <c r="Y1427" s="79" t="str">
        <f>IF(AND(OR(N1427="131",O1427="131"),H1427='131-CT'!$H$9),"x","")</f>
        <v/>
      </c>
      <c r="Z1427" s="79"/>
      <c r="AA1427" s="79" t="str">
        <f>IF(AND(MONTH(E1427)='IN-NX'!$J$5,'IN-NX'!$D$7=D1427),"x","")</f>
        <v/>
      </c>
      <c r="AB1427" s="79" t="str">
        <f>IF(AND(OR(LEFT(TH!N1427,2)="15",LEFT(TH!O1427,2)="15"),LEFT(TH!O1427,3)&lt;&gt;"111",'152-CT'!$J$8=TH!F1427),"x","")</f>
        <v/>
      </c>
      <c r="AC1427" s="79" t="str">
        <f>IF(AND(OR(LEFT(TH!N1427,2)="15",LEFT(TH!O1427,2)="15"),TK!$E$7=TH!F1427),"x","")</f>
        <v/>
      </c>
      <c r="AD1427" s="79" t="str">
        <f>IF(AND(N1427="1521",MONTH(C1427)='BK-NL'!$M$11),"x","")</f>
        <v/>
      </c>
    </row>
    <row r="1428" spans="1:30" ht="16.5" customHeight="1">
      <c r="A1428" s="318" t="str">
        <f>IF(B1428&lt;&gt;"",IF(AND(B1428='IN-TC'!$S$4,OR(TH!N1428="1111",TH!O1428="1111")),TH!D1428,""),"")</f>
        <v/>
      </c>
      <c r="B1428" s="60" t="str">
        <f t="shared" si="202"/>
        <v/>
      </c>
      <c r="C1428" s="226"/>
      <c r="D1428" s="226"/>
      <c r="E1428" s="226"/>
      <c r="F1428" s="1010"/>
      <c r="G1428" s="763"/>
      <c r="H1428" s="321"/>
      <c r="I1428" s="385"/>
      <c r="J1428" s="385"/>
      <c r="K1428" s="385"/>
      <c r="L1428" s="392"/>
      <c r="M1428" s="970"/>
      <c r="N1428" s="980"/>
      <c r="O1428" s="980"/>
      <c r="P1428" s="79" t="str">
        <f>IF(AND('331-CT'!$E$7=TH!H1428,OR(N1428="331",O1428="331")),"x","")</f>
        <v/>
      </c>
      <c r="Q1428" s="79" t="str">
        <f>IF(AND(B1428='111'!$L$11,OR($N1428=$Q$7,$O1428=$Q$7)),"x","")</f>
        <v/>
      </c>
      <c r="R1428" s="79" t="str">
        <f>IF(AND($N1428=$Q$7,$B1428&lt;'111'!$L$11),"x","")</f>
        <v/>
      </c>
      <c r="S1428" s="79" t="str">
        <f>IF(AND($O1428=$Q$7,$B1428&lt;'111'!$L$11),"x","")</f>
        <v/>
      </c>
      <c r="T1428" s="79" t="str">
        <f>IF(ISERROR(FIND('112'!$M$9,G1428,1)),"",IF((AND(FIND('112'!$M$9,G1428,1)&gt;=1,B1428='112'!$K$9,OR($N1428='112'!$I$6,$O1428='112'!$I$6))),"x",""))</f>
        <v/>
      </c>
      <c r="U1428" s="79" t="str">
        <f>IF(ISERROR(FIND('112'!$M$9,G1428,1)),"",IF((AND(LEFT(G1428,2)=LEFT('112'!$M$9,2),B1428&lt;'112'!$K$9,$N1428='112'!$I$6)),"x",""))</f>
        <v/>
      </c>
      <c r="V1428" s="79" t="str">
        <f>IF(ISERROR(FIND('112'!$M$9,G1428,1)),"",IF((AND(RIGHT(G1428,2)=RIGHT('112'!$M$9,2),B1428&lt;'112'!$K$9,$O1428='112'!$I$6)),"x",""))</f>
        <v/>
      </c>
      <c r="W1428" s="79" t="str">
        <f>IF(AND('341-CT'!$H$9=H1428,OR(LEFT(N1428,3)=$W$7,LEFT(O1428,3)=$W$7)),"x","")</f>
        <v/>
      </c>
      <c r="X1428" s="79" t="str">
        <f>IF(OR(TH!N1428=TH!$X$7,O1428=TH!$X$7),"x","")</f>
        <v/>
      </c>
      <c r="Y1428" s="79" t="str">
        <f>IF(AND(OR(N1428="131",O1428="131"),H1428='131-CT'!$H$9),"x","")</f>
        <v/>
      </c>
      <c r="Z1428" s="79"/>
      <c r="AA1428" s="79" t="str">
        <f>IF(AND(MONTH(E1428)='IN-NX'!$J$5,'IN-NX'!$D$7=D1428),"x","")</f>
        <v/>
      </c>
      <c r="AB1428" s="79" t="str">
        <f>IF(AND(OR(LEFT(TH!N1428,2)="15",LEFT(TH!O1428,2)="15"),LEFT(TH!O1428,3)&lt;&gt;"111",'152-CT'!$J$8=TH!F1428),"x","")</f>
        <v/>
      </c>
      <c r="AC1428" s="79" t="str">
        <f>IF(AND(OR(LEFT(TH!N1428,2)="15",LEFT(TH!O1428,2)="15"),TK!$E$7=TH!F1428),"x","")</f>
        <v/>
      </c>
      <c r="AD1428" s="79" t="str">
        <f>IF(AND(N1428="1521",MONTH(C1428)='BK-NL'!$M$11),"x","")</f>
        <v/>
      </c>
    </row>
    <row r="1429" spans="1:30" ht="16.5" customHeight="1">
      <c r="A1429" s="318" t="str">
        <f>IF(B1429&lt;&gt;"",IF(AND(B1429='IN-TC'!$S$4,OR(TH!N1429="1111",TH!O1429="1111")),TH!D1429,""),"")</f>
        <v/>
      </c>
      <c r="B1429" s="60" t="str">
        <f t="shared" ref="B1429:B1431" si="204">IF(C1429&lt;&gt;"",MONTH(C1429),"")</f>
        <v/>
      </c>
      <c r="C1429" s="226"/>
      <c r="D1429" s="226"/>
      <c r="E1429" s="226"/>
      <c r="F1429" s="1010"/>
      <c r="G1429" s="763"/>
      <c r="H1429" s="321"/>
      <c r="I1429" s="385"/>
      <c r="J1429" s="385"/>
      <c r="K1429" s="385"/>
      <c r="L1429" s="392"/>
      <c r="M1429" s="970"/>
      <c r="N1429" s="980"/>
      <c r="O1429" s="980"/>
      <c r="P1429" s="79" t="str">
        <f>IF(AND('331-CT'!$E$7=TH!H1429,OR(N1429="331",O1429="331")),"x","")</f>
        <v/>
      </c>
      <c r="Q1429" s="79" t="str">
        <f>IF(AND(B1429='111'!$L$11,OR($N1429=$Q$7,$O1429=$Q$7)),"x","")</f>
        <v/>
      </c>
      <c r="R1429" s="79" t="str">
        <f>IF(AND($N1429=$Q$7,$B1429&lt;'111'!$L$11),"x","")</f>
        <v/>
      </c>
      <c r="S1429" s="79" t="str">
        <f>IF(AND($O1429=$Q$7,$B1429&lt;'111'!$L$11),"x","")</f>
        <v/>
      </c>
      <c r="T1429" s="79" t="str">
        <f>IF(ISERROR(FIND('112'!$M$9,G1429,1)),"",IF((AND(FIND('112'!$M$9,G1429,1)&gt;=1,B1429='112'!$K$9,OR($N1429='112'!$I$6,$O1429='112'!$I$6))),"x",""))</f>
        <v/>
      </c>
      <c r="U1429" s="79" t="str">
        <f>IF(ISERROR(FIND('112'!$M$9,G1429,1)),"",IF((AND(LEFT(G1429,2)=LEFT('112'!$M$9,2),B1429&lt;'112'!$K$9,$N1429='112'!$I$6)),"x",""))</f>
        <v/>
      </c>
      <c r="V1429" s="79" t="str">
        <f>IF(ISERROR(FIND('112'!$M$9,G1429,1)),"",IF((AND(RIGHT(G1429,2)=RIGHT('112'!$M$9,2),B1429&lt;'112'!$K$9,$O1429='112'!$I$6)),"x",""))</f>
        <v/>
      </c>
      <c r="W1429" s="79" t="str">
        <f>IF(AND('341-CT'!$H$9=H1429,OR(LEFT(N1429,3)=$W$7,LEFT(O1429,3)=$W$7)),"x","")</f>
        <v/>
      </c>
      <c r="X1429" s="79" t="str">
        <f>IF(OR(TH!N1429=TH!$X$7,O1429=TH!$X$7),"x","")</f>
        <v/>
      </c>
      <c r="Y1429" s="79" t="str">
        <f>IF(AND(OR(N1429="131",O1429="131"),H1429='131-CT'!$H$9),"x","")</f>
        <v/>
      </c>
      <c r="Z1429" s="79"/>
      <c r="AA1429" s="79" t="str">
        <f>IF(AND(MONTH(E1429)='IN-NX'!$J$5,'IN-NX'!$D$7=D1429),"x","")</f>
        <v/>
      </c>
      <c r="AB1429" s="79" t="str">
        <f>IF(AND(OR(LEFT(TH!N1429,2)="15",LEFT(TH!O1429,2)="15"),LEFT(TH!O1429,3)&lt;&gt;"111",'152-CT'!$J$8=TH!F1429),"x","")</f>
        <v/>
      </c>
      <c r="AC1429" s="79" t="str">
        <f>IF(AND(OR(LEFT(TH!N1429,2)="15",LEFT(TH!O1429,2)="15"),TK!$E$7=TH!F1429),"x","")</f>
        <v/>
      </c>
      <c r="AD1429" s="79" t="str">
        <f>IF(AND(N1429="1521",MONTH(C1429)='BK-NL'!$M$11),"x","")</f>
        <v/>
      </c>
    </row>
    <row r="1430" spans="1:30" ht="16.5" customHeight="1">
      <c r="A1430" s="318" t="str">
        <f>IF(B1430&lt;&gt;"",IF(AND(B1430='IN-TC'!$S$4,OR(TH!N1430="1111",TH!O1430="1111")),TH!D1430,""),"")</f>
        <v/>
      </c>
      <c r="B1430" s="60" t="str">
        <f t="shared" si="204"/>
        <v/>
      </c>
      <c r="C1430" s="226"/>
      <c r="D1430" s="226"/>
      <c r="E1430" s="226"/>
      <c r="F1430" s="1010"/>
      <c r="G1430" s="763"/>
      <c r="H1430" s="321"/>
      <c r="I1430" s="385"/>
      <c r="J1430" s="385"/>
      <c r="K1430" s="385"/>
      <c r="L1430" s="392"/>
      <c r="M1430" s="970"/>
      <c r="N1430" s="980"/>
      <c r="O1430" s="980"/>
      <c r="P1430" s="79" t="str">
        <f>IF(AND('331-CT'!$E$7=TH!H1430,OR(N1430="331",O1430="331")),"x","")</f>
        <v/>
      </c>
      <c r="Q1430" s="79" t="str">
        <f>IF(AND(B1430='111'!$L$11,OR($N1430=$Q$7,$O1430=$Q$7)),"x","")</f>
        <v/>
      </c>
      <c r="R1430" s="79" t="str">
        <f>IF(AND($N1430=$Q$7,$B1430&lt;'111'!$L$11),"x","")</f>
        <v/>
      </c>
      <c r="S1430" s="79" t="str">
        <f>IF(AND($O1430=$Q$7,$B1430&lt;'111'!$L$11),"x","")</f>
        <v/>
      </c>
      <c r="T1430" s="79" t="str">
        <f>IF(ISERROR(FIND('112'!$M$9,G1430,1)),"",IF((AND(FIND('112'!$M$9,G1430,1)&gt;=1,B1430='112'!$K$9,OR($N1430='112'!$I$6,$O1430='112'!$I$6))),"x",""))</f>
        <v/>
      </c>
      <c r="U1430" s="79" t="str">
        <f>IF(ISERROR(FIND('112'!$M$9,G1430,1)),"",IF((AND(LEFT(G1430,2)=LEFT('112'!$M$9,2),B1430&lt;'112'!$K$9,$N1430='112'!$I$6)),"x",""))</f>
        <v/>
      </c>
      <c r="V1430" s="79" t="str">
        <f>IF(ISERROR(FIND('112'!$M$9,G1430,1)),"",IF((AND(RIGHT(G1430,2)=RIGHT('112'!$M$9,2),B1430&lt;'112'!$K$9,$O1430='112'!$I$6)),"x",""))</f>
        <v/>
      </c>
      <c r="W1430" s="79" t="str">
        <f>IF(AND('341-CT'!$H$9=H1430,OR(LEFT(N1430,3)=$W$7,LEFT(O1430,3)=$W$7)),"x","")</f>
        <v/>
      </c>
      <c r="X1430" s="79" t="str">
        <f>IF(OR(TH!N1430=TH!$X$7,O1430=TH!$X$7),"x","")</f>
        <v/>
      </c>
      <c r="Y1430" s="79" t="str">
        <f>IF(AND(OR(N1430="131",O1430="131"),H1430='131-CT'!$H$9),"x","")</f>
        <v/>
      </c>
      <c r="Z1430" s="79"/>
      <c r="AA1430" s="79" t="str">
        <f>IF(AND(MONTH(E1430)='IN-NX'!$J$5,'IN-NX'!$D$7=D1430),"x","")</f>
        <v/>
      </c>
      <c r="AB1430" s="79" t="str">
        <f>IF(AND(OR(LEFT(TH!N1430,2)="15",LEFT(TH!O1430,2)="15"),LEFT(TH!O1430,3)&lt;&gt;"111",'152-CT'!$J$8=TH!F1430),"x","")</f>
        <v/>
      </c>
      <c r="AC1430" s="79" t="str">
        <f>IF(AND(OR(LEFT(TH!N1430,2)="15",LEFT(TH!O1430,2)="15"),TK!$E$7=TH!F1430),"x","")</f>
        <v/>
      </c>
      <c r="AD1430" s="79" t="str">
        <f>IF(AND(N1430="1521",MONTH(C1430)='BK-NL'!$M$11),"x","")</f>
        <v/>
      </c>
    </row>
    <row r="1431" spans="1:30" ht="16.5" customHeight="1">
      <c r="A1431" s="318" t="str">
        <f>IF(B1431&lt;&gt;"",IF(AND(B1431='IN-TC'!$S$4,OR(TH!N1431="1111",TH!O1431="1111")),TH!D1431,""),"")</f>
        <v/>
      </c>
      <c r="B1431" s="60" t="str">
        <f t="shared" si="204"/>
        <v/>
      </c>
      <c r="C1431" s="226"/>
      <c r="D1431" s="226"/>
      <c r="E1431" s="226"/>
      <c r="F1431" s="1010"/>
      <c r="G1431" s="763"/>
      <c r="H1431" s="321"/>
      <c r="I1431" s="385"/>
      <c r="J1431" s="385"/>
      <c r="K1431" s="385"/>
      <c r="L1431" s="392"/>
      <c r="M1431" s="970"/>
      <c r="N1431" s="980"/>
      <c r="O1431" s="980"/>
      <c r="P1431" s="79" t="str">
        <f>IF(AND('331-CT'!$E$7=TH!H1431,OR(N1431="331",O1431="331")),"x","")</f>
        <v/>
      </c>
      <c r="Q1431" s="79" t="str">
        <f>IF(AND(B1431='111'!$L$11,OR($N1431=$Q$7,$O1431=$Q$7)),"x","")</f>
        <v/>
      </c>
      <c r="R1431" s="79" t="str">
        <f>IF(AND($N1431=$Q$7,$B1431&lt;'111'!$L$11),"x","")</f>
        <v/>
      </c>
      <c r="S1431" s="79" t="str">
        <f>IF(AND($O1431=$Q$7,$B1431&lt;'111'!$L$11),"x","")</f>
        <v/>
      </c>
      <c r="T1431" s="79" t="str">
        <f>IF(ISERROR(FIND('112'!$M$9,G1431,1)),"",IF((AND(FIND('112'!$M$9,G1431,1)&gt;=1,B1431='112'!$K$9,OR($N1431='112'!$I$6,$O1431='112'!$I$6))),"x",""))</f>
        <v/>
      </c>
      <c r="U1431" s="79" t="str">
        <f>IF(ISERROR(FIND('112'!$M$9,G1431,1)),"",IF((AND(LEFT(G1431,2)=LEFT('112'!$M$9,2),B1431&lt;'112'!$K$9,$N1431='112'!$I$6)),"x",""))</f>
        <v/>
      </c>
      <c r="V1431" s="79" t="str">
        <f>IF(ISERROR(FIND('112'!$M$9,G1431,1)),"",IF((AND(RIGHT(G1431,2)=RIGHT('112'!$M$9,2),B1431&lt;'112'!$K$9,$O1431='112'!$I$6)),"x",""))</f>
        <v/>
      </c>
      <c r="W1431" s="79" t="str">
        <f>IF(AND('341-CT'!$H$9=H1431,OR(LEFT(N1431,3)=$W$7,LEFT(O1431,3)=$W$7)),"x","")</f>
        <v/>
      </c>
      <c r="X1431" s="79" t="str">
        <f>IF(OR(TH!N1431=TH!$X$7,O1431=TH!$X$7),"x","")</f>
        <v/>
      </c>
      <c r="Y1431" s="79" t="str">
        <f>IF(AND(OR(N1431="131",O1431="131"),H1431='131-CT'!$H$9),"x","")</f>
        <v/>
      </c>
      <c r="Z1431" s="79"/>
      <c r="AA1431" s="79" t="str">
        <f>IF(AND(MONTH(E1431)='IN-NX'!$J$5,'IN-NX'!$D$7=D1431),"x","")</f>
        <v/>
      </c>
      <c r="AB1431" s="79" t="str">
        <f>IF(AND(OR(LEFT(TH!N1431,2)="15",LEFT(TH!O1431,2)="15"),LEFT(TH!O1431,3)&lt;&gt;"111",'152-CT'!$J$8=TH!F1431),"x","")</f>
        <v/>
      </c>
      <c r="AC1431" s="79" t="str">
        <f>IF(AND(OR(LEFT(TH!N1431,2)="15",LEFT(TH!O1431,2)="15"),TK!$E$7=TH!F1431),"x","")</f>
        <v/>
      </c>
      <c r="AD1431" s="79" t="str">
        <f>IF(AND(N1431="1521",MONTH(C1431)='BK-NL'!$M$11),"x","")</f>
        <v/>
      </c>
    </row>
    <row r="1432" spans="1:30" s="1102" customFormat="1" ht="17.25" customHeight="1">
      <c r="A1432" s="318" t="str">
        <f>IF(B1432&lt;&gt;"",IF(AND(B1432='IN-TC'!$S$4,OR(TH!N1432="1111",TH!O1432="1111")),TH!D1432,""),"")</f>
        <v/>
      </c>
      <c r="B1432" s="60" t="str">
        <f>IF(C1432&lt;&gt;"",MONTH(C1432),"")</f>
        <v/>
      </c>
      <c r="C1432" s="226"/>
      <c r="D1432" s="226"/>
      <c r="E1432" s="226"/>
      <c r="F1432" s="1008"/>
      <c r="G1432" s="987"/>
      <c r="H1432" s="997"/>
      <c r="I1432" s="984"/>
      <c r="J1432" s="984"/>
      <c r="K1432" s="984"/>
      <c r="L1432" s="983"/>
      <c r="M1432" s="970"/>
      <c r="N1432" s="980"/>
      <c r="O1432" s="980"/>
      <c r="P1432" s="79" t="str">
        <f>IF(AND('331-CT'!$E$7=TH!H1432,OR(N1432="331",O1432="331")),"x","")</f>
        <v/>
      </c>
      <c r="Q1432" s="79" t="str">
        <f>IF(AND(B1432='111'!$L$11,OR($N1432=$Q$7,$O1432=$Q$7)),"x","")</f>
        <v/>
      </c>
      <c r="R1432" s="79" t="str">
        <f>IF(AND($N1432=$Q$7,$B1432&lt;'111'!$L$11),"x","")</f>
        <v/>
      </c>
      <c r="S1432" s="79" t="str">
        <f>IF(AND($O1432=$Q$7,$B1432&lt;'111'!$L$11),"x","")</f>
        <v/>
      </c>
      <c r="T1432" s="79" t="str">
        <f>IF(ISERROR(FIND('112'!$M$9,G1432,1)),"",IF((AND(FIND('112'!$M$9,G1432,1)&gt;=1,B1432='112'!$K$9,OR($N1432='112'!$I$6,$O1432='112'!$I$6))),"x",""))</f>
        <v/>
      </c>
      <c r="U1432" s="79" t="str">
        <f>IF(ISERROR(FIND('112'!$M$9,G1432,1)),"",IF((AND(LEFT(G1432,2)=LEFT('112'!$M$9,2),B1432&lt;'112'!$K$9,$N1432='112'!$I$6)),"x",""))</f>
        <v/>
      </c>
      <c r="V1432" s="79" t="str">
        <f>IF(ISERROR(FIND('112'!$M$9,G1432,1)),"",IF((AND(RIGHT(G1432,2)=RIGHT('112'!$M$9,2),B1432&lt;'112'!$K$9,$O1432='112'!$I$6)),"x",""))</f>
        <v/>
      </c>
      <c r="W1432" s="79" t="str">
        <f>IF(AND('341-CT'!$H$9=H1432,OR(LEFT(N1432,3)=$W$7,LEFT(O1432,3)=$W$7)),"x","")</f>
        <v/>
      </c>
      <c r="X1432" s="79" t="str">
        <f>IF(OR(TH!N1432=TH!$X$7,O1432=TH!$X$7),"x","")</f>
        <v/>
      </c>
      <c r="Y1432" s="79" t="str">
        <f>IF(AND(OR(N1432="131",O1432="131"),H1432='131-CT'!$H$9),"x","")</f>
        <v/>
      </c>
      <c r="Z1432" s="79"/>
      <c r="AA1432" s="79" t="str">
        <f>IF(AND(MONTH(E1432)='IN-NX'!$J$5,'IN-NX'!$D$7=D1432),"x","")</f>
        <v/>
      </c>
      <c r="AB1432" s="79" t="str">
        <f>IF(AND(OR(LEFT(TH!N1432,2)="15",LEFT(TH!O1432,2)="15"),LEFT(TH!O1432,3)&lt;&gt;"111",'152-CT'!$J$8=TH!F1432),"x","")</f>
        <v/>
      </c>
      <c r="AC1432" s="79" t="str">
        <f>IF(AND(OR(LEFT(TH!N1432,2)="15",LEFT(TH!O1432,2)="15"),TK!$E$7=TH!F1432),"x","")</f>
        <v/>
      </c>
      <c r="AD1432" s="79" t="str">
        <f>IF(AND(N1432="1521",MONTH(C1432)='BK-NL'!$M$11),"x","")</f>
        <v/>
      </c>
    </row>
    <row r="1433" spans="1:30" s="1102" customFormat="1" ht="17.25" customHeight="1">
      <c r="A1433" s="318" t="str">
        <f>IF(B1433&lt;&gt;"",IF(AND(B1433='IN-TC'!$S$4,OR(TH!N1433="1111",TH!O1433="1111")),TH!D1433,""),"")</f>
        <v/>
      </c>
      <c r="B1433" s="60" t="str">
        <f>IF(C1433&lt;&gt;"",MONTH(C1433),"")</f>
        <v/>
      </c>
      <c r="C1433" s="226"/>
      <c r="D1433" s="226"/>
      <c r="E1433" s="226"/>
      <c r="F1433" s="1008"/>
      <c r="G1433" s="987"/>
      <c r="H1433" s="997"/>
      <c r="I1433" s="984"/>
      <c r="J1433" s="984"/>
      <c r="K1433" s="984"/>
      <c r="L1433" s="983"/>
      <c r="M1433" s="970"/>
      <c r="N1433" s="980"/>
      <c r="O1433" s="980"/>
      <c r="P1433" s="79" t="str">
        <f>IF(AND('331-CT'!$E$7=TH!H1433,OR(N1433="331",O1433="331")),"x","")</f>
        <v/>
      </c>
      <c r="Q1433" s="79" t="str">
        <f>IF(AND(B1433='111'!$L$11,OR($N1433=$Q$7,$O1433=$Q$7)),"x","")</f>
        <v/>
      </c>
      <c r="R1433" s="79" t="str">
        <f>IF(AND($N1433=$Q$7,$B1433&lt;'111'!$L$11),"x","")</f>
        <v/>
      </c>
      <c r="S1433" s="79" t="str">
        <f>IF(AND($O1433=$Q$7,$B1433&lt;'111'!$L$11),"x","")</f>
        <v/>
      </c>
      <c r="T1433" s="79" t="str">
        <f>IF(ISERROR(FIND('112'!$M$9,G1433,1)),"",IF((AND(FIND('112'!$M$9,G1433,1)&gt;=1,B1433='112'!$K$9,OR($N1433='112'!$I$6,$O1433='112'!$I$6))),"x",""))</f>
        <v/>
      </c>
      <c r="U1433" s="79" t="str">
        <f>IF(ISERROR(FIND('112'!$M$9,G1433,1)),"",IF((AND(LEFT(G1433,2)=LEFT('112'!$M$9,2),B1433&lt;'112'!$K$9,$N1433='112'!$I$6)),"x",""))</f>
        <v/>
      </c>
      <c r="V1433" s="79" t="str">
        <f>IF(ISERROR(FIND('112'!$M$9,G1433,1)),"",IF((AND(RIGHT(G1433,2)=RIGHT('112'!$M$9,2),B1433&lt;'112'!$K$9,$O1433='112'!$I$6)),"x",""))</f>
        <v/>
      </c>
      <c r="W1433" s="79" t="str">
        <f>IF(AND('341-CT'!$H$9=H1433,OR(LEFT(N1433,3)=$W$7,LEFT(O1433,3)=$W$7)),"x","")</f>
        <v/>
      </c>
      <c r="X1433" s="79" t="str">
        <f>IF(OR(TH!N1433=TH!$X$7,O1433=TH!$X$7),"x","")</f>
        <v/>
      </c>
      <c r="Y1433" s="79" t="str">
        <f>IF(AND(OR(N1433="131",O1433="131"),H1433='131-CT'!$H$9),"x","")</f>
        <v/>
      </c>
      <c r="Z1433" s="79"/>
      <c r="AA1433" s="79" t="str">
        <f>IF(AND(MONTH(E1433)='IN-NX'!$J$5,'IN-NX'!$D$7=D1433),"x","")</f>
        <v/>
      </c>
      <c r="AB1433" s="79" t="str">
        <f>IF(AND(OR(LEFT(TH!N1433,2)="15",LEFT(TH!O1433,2)="15"),LEFT(TH!O1433,3)&lt;&gt;"111",'152-CT'!$J$8=TH!F1433),"x","")</f>
        <v/>
      </c>
      <c r="AC1433" s="79" t="str">
        <f>IF(AND(OR(LEFT(TH!N1433,2)="15",LEFT(TH!O1433,2)="15"),TK!$E$7=TH!F1433),"x","")</f>
        <v/>
      </c>
      <c r="AD1433" s="79" t="str">
        <f>IF(AND(N1433="1521",MONTH(C1433)='BK-NL'!$M$11),"x","")</f>
        <v/>
      </c>
    </row>
    <row r="1434" spans="1:30" ht="16.5" customHeight="1">
      <c r="A1434" s="318" t="str">
        <f>IF(B1434&lt;&gt;"",IF(AND(B1434='IN-TC'!$S$4,OR(TH!N1434="1111",TH!O1434="1111")),TH!D1434,""),"")</f>
        <v/>
      </c>
      <c r="B1434" s="60" t="str">
        <f>IF(C1434&lt;&gt;"",MONTH(C1434),"")</f>
        <v/>
      </c>
      <c r="C1434" s="226"/>
      <c r="D1434" s="226"/>
      <c r="E1434" s="226"/>
      <c r="F1434" s="1010"/>
      <c r="G1434" s="763"/>
      <c r="H1434" s="321"/>
      <c r="I1434" s="385"/>
      <c r="J1434" s="385"/>
      <c r="K1434" s="385"/>
      <c r="L1434" s="392"/>
      <c r="M1434" s="970"/>
      <c r="N1434" s="980"/>
      <c r="O1434" s="980"/>
      <c r="P1434" s="79" t="str">
        <f>IF(AND('331-CT'!$E$7=TH!H1434,OR(N1434="331",O1434="331")),"x","")</f>
        <v/>
      </c>
      <c r="Q1434" s="79" t="str">
        <f>IF(AND(B1434='111'!$L$11,OR($N1434=$Q$7,$O1434=$Q$7)),"x","")</f>
        <v/>
      </c>
      <c r="R1434" s="79" t="str">
        <f>IF(AND($N1434=$Q$7,$B1434&lt;'111'!$L$11),"x","")</f>
        <v/>
      </c>
      <c r="S1434" s="79" t="str">
        <f>IF(AND($O1434=$Q$7,$B1434&lt;'111'!$L$11),"x","")</f>
        <v/>
      </c>
      <c r="T1434" s="79" t="str">
        <f>IF(ISERROR(FIND('112'!$M$9,G1434,1)),"",IF((AND(FIND('112'!$M$9,G1434,1)&gt;=1,B1434='112'!$K$9,OR($N1434='112'!$I$6,$O1434='112'!$I$6))),"x",""))</f>
        <v/>
      </c>
      <c r="U1434" s="79" t="str">
        <f>IF(ISERROR(FIND('112'!$M$9,G1434,1)),"",IF((AND(LEFT(G1434,2)=LEFT('112'!$M$9,2),B1434&lt;'112'!$K$9,$N1434='112'!$I$6)),"x",""))</f>
        <v/>
      </c>
      <c r="V1434" s="79" t="str">
        <f>IF(ISERROR(FIND('112'!$M$9,G1434,1)),"",IF((AND(RIGHT(G1434,2)=RIGHT('112'!$M$9,2),B1434&lt;'112'!$K$9,$O1434='112'!$I$6)),"x",""))</f>
        <v/>
      </c>
      <c r="W1434" s="79" t="str">
        <f>IF(AND('341-CT'!$H$9=H1434,OR(LEFT(N1434,3)=$W$7,LEFT(O1434,3)=$W$7)),"x","")</f>
        <v/>
      </c>
      <c r="X1434" s="79" t="str">
        <f>IF(OR(TH!N1434=TH!$X$7,O1434=TH!$X$7),"x","")</f>
        <v/>
      </c>
      <c r="Y1434" s="79" t="str">
        <f>IF(AND(OR(N1434="131",O1434="131"),H1434='131-CT'!$H$9),"x","")</f>
        <v/>
      </c>
      <c r="Z1434" s="79"/>
      <c r="AA1434" s="79" t="str">
        <f>IF(AND(MONTH(E1434)='IN-NX'!$J$5,'IN-NX'!$D$7=D1434),"x","")</f>
        <v/>
      </c>
      <c r="AB1434" s="79" t="str">
        <f>IF(AND(OR(LEFT(TH!N1434,2)="15",LEFT(TH!O1434,2)="15"),LEFT(TH!O1434,3)&lt;&gt;"111",'152-CT'!$J$8=TH!F1434),"x","")</f>
        <v/>
      </c>
      <c r="AC1434" s="79" t="str">
        <f>IF(AND(OR(LEFT(TH!N1434,2)="15",LEFT(TH!O1434,2)="15"),TK!$E$7=TH!F1434),"x","")</f>
        <v/>
      </c>
      <c r="AD1434" s="79" t="str">
        <f>IF(AND(N1434="1521",MONTH(C1434)='BK-NL'!$M$11),"x","")</f>
        <v/>
      </c>
    </row>
    <row r="1435" spans="1:30" ht="16.5" customHeight="1">
      <c r="A1435" s="318" t="str">
        <f>IF(B1435&lt;&gt;"",IF(AND(B1435='IN-TC'!$S$4,OR(TH!N1435="1111",TH!O1435="1111")),TH!D1435,""),"")</f>
        <v/>
      </c>
      <c r="B1435" s="60" t="str">
        <f>IF(C1435&lt;&gt;"",MONTH(C1435),"")</f>
        <v/>
      </c>
      <c r="C1435" s="226"/>
      <c r="D1435" s="226"/>
      <c r="E1435" s="226"/>
      <c r="F1435" s="1010"/>
      <c r="G1435" s="763"/>
      <c r="H1435" s="321"/>
      <c r="I1435" s="385"/>
      <c r="J1435" s="385"/>
      <c r="K1435" s="385"/>
      <c r="L1435" s="392"/>
      <c r="M1435" s="970"/>
      <c r="N1435" s="980"/>
      <c r="O1435" s="980"/>
      <c r="P1435" s="79" t="str">
        <f>IF(AND('331-CT'!$E$7=TH!H1435,OR(N1435="331",O1435="331")),"x","")</f>
        <v/>
      </c>
      <c r="Q1435" s="79" t="str">
        <f>IF(AND(B1435='111'!$L$11,OR($N1435=$Q$7,$O1435=$Q$7)),"x","")</f>
        <v/>
      </c>
      <c r="R1435" s="79" t="str">
        <f>IF(AND($N1435=$Q$7,$B1435&lt;'111'!$L$11),"x","")</f>
        <v/>
      </c>
      <c r="S1435" s="79" t="str">
        <f>IF(AND($O1435=$Q$7,$B1435&lt;'111'!$L$11),"x","")</f>
        <v/>
      </c>
      <c r="T1435" s="79" t="str">
        <f>IF(ISERROR(FIND('112'!$M$9,G1435,1)),"",IF((AND(FIND('112'!$M$9,G1435,1)&gt;=1,B1435='112'!$K$9,OR($N1435='112'!$I$6,$O1435='112'!$I$6))),"x",""))</f>
        <v/>
      </c>
      <c r="U1435" s="79" t="str">
        <f>IF(ISERROR(FIND('112'!$M$9,G1435,1)),"",IF((AND(LEFT(G1435,2)=LEFT('112'!$M$9,2),B1435&lt;'112'!$K$9,$N1435='112'!$I$6)),"x",""))</f>
        <v/>
      </c>
      <c r="V1435" s="79" t="str">
        <f>IF(ISERROR(FIND('112'!$M$9,G1435,1)),"",IF((AND(RIGHT(G1435,2)=RIGHT('112'!$M$9,2),B1435&lt;'112'!$K$9,$O1435='112'!$I$6)),"x",""))</f>
        <v/>
      </c>
      <c r="W1435" s="79" t="str">
        <f>IF(AND('341-CT'!$H$9=H1435,OR(LEFT(N1435,3)=$W$7,LEFT(O1435,3)=$W$7)),"x","")</f>
        <v/>
      </c>
      <c r="X1435" s="79" t="str">
        <f>IF(OR(TH!N1435=TH!$X$7,O1435=TH!$X$7),"x","")</f>
        <v/>
      </c>
      <c r="Y1435" s="79" t="str">
        <f>IF(AND(OR(N1435="131",O1435="131"),H1435='131-CT'!$H$9),"x","")</f>
        <v/>
      </c>
      <c r="Z1435" s="79"/>
      <c r="AA1435" s="79" t="str">
        <f>IF(AND(MONTH(E1435)='IN-NX'!$J$5,'IN-NX'!$D$7=D1435),"x","")</f>
        <v/>
      </c>
      <c r="AB1435" s="79" t="str">
        <f>IF(AND(OR(LEFT(TH!N1435,2)="15",LEFT(TH!O1435,2)="15"),LEFT(TH!O1435,3)&lt;&gt;"111",'152-CT'!$J$8=TH!F1435),"x","")</f>
        <v/>
      </c>
      <c r="AC1435" s="79" t="str">
        <f>IF(AND(OR(LEFT(TH!N1435,2)="15",LEFT(TH!O1435,2)="15"),TK!$E$7=TH!F1435),"x","")</f>
        <v/>
      </c>
      <c r="AD1435" s="79" t="str">
        <f>IF(AND(N1435="1521",MONTH(C1435)='BK-NL'!$M$11),"x","")</f>
        <v/>
      </c>
    </row>
    <row r="1436" spans="1:30" ht="16.5" customHeight="1">
      <c r="A1436" s="318" t="str">
        <f>IF(B1436&lt;&gt;"",IF(AND(B1436='IN-TC'!$S$4,OR(TH!N1436="1111",TH!O1436="1111")),TH!D1436,""),"")</f>
        <v/>
      </c>
      <c r="B1436" s="60" t="str">
        <f t="shared" ref="B1436:B1446" si="205">IF(C1436&lt;&gt;"",MONTH(C1436),"")</f>
        <v/>
      </c>
      <c r="C1436" s="226"/>
      <c r="D1436" s="226"/>
      <c r="E1436" s="226"/>
      <c r="F1436" s="1103"/>
      <c r="G1436" s="763"/>
      <c r="H1436" s="69"/>
      <c r="I1436" s="385"/>
      <c r="J1436" s="385"/>
      <c r="K1436" s="385"/>
      <c r="L1436" s="392"/>
      <c r="M1436" s="970"/>
      <c r="N1436" s="980"/>
      <c r="O1436" s="980"/>
      <c r="P1436" s="79" t="str">
        <f>IF(AND('331-CT'!$E$7=TH!H1436,OR(N1436="331",O1436="331")),"x","")</f>
        <v/>
      </c>
      <c r="Q1436" s="79" t="str">
        <f>IF(AND(B1436='111'!$L$11,OR($N1436=$Q$7,$O1436=$Q$7)),"x","")</f>
        <v/>
      </c>
      <c r="R1436" s="79" t="str">
        <f>IF(AND($N1436=$Q$7,$B1436&lt;'111'!$L$11),"x","")</f>
        <v/>
      </c>
      <c r="S1436" s="79" t="str">
        <f>IF(AND($O1436=$Q$7,$B1436&lt;'111'!$L$11),"x","")</f>
        <v/>
      </c>
      <c r="T1436" s="79" t="str">
        <f>IF(ISERROR(FIND('112'!$M$9,G1436,1)),"",IF((AND(FIND('112'!$M$9,G1436,1)&gt;=1,B1436='112'!$K$9,OR($N1436='112'!$I$6,$O1436='112'!$I$6))),"x",""))</f>
        <v/>
      </c>
      <c r="U1436" s="79" t="str">
        <f>IF(ISERROR(FIND('112'!$M$9,G1436,1)),"",IF((AND(LEFT(G1436,2)=LEFT('112'!$M$9,2),B1436&lt;'112'!$K$9,$N1436='112'!$I$6)),"x",""))</f>
        <v/>
      </c>
      <c r="V1436" s="79" t="str">
        <f>IF(ISERROR(FIND('112'!$M$9,G1436,1)),"",IF((AND(RIGHT(G1436,2)=RIGHT('112'!$M$9,2),B1436&lt;'112'!$K$9,$O1436='112'!$I$6)),"x",""))</f>
        <v/>
      </c>
      <c r="W1436" s="79" t="str">
        <f>IF(AND('341-CT'!$H$9=H1436,OR(LEFT(N1436,3)=$W$7,LEFT(O1436,3)=$W$7)),"x","")</f>
        <v/>
      </c>
      <c r="X1436" s="79" t="str">
        <f>IF(OR(TH!N1436=TH!$X$7,O1436=TH!$X$7),"x","")</f>
        <v/>
      </c>
      <c r="Y1436" s="79" t="str">
        <f>IF(AND(OR(N1436="131",O1436="131"),H1436='131-CT'!$H$9),"x","")</f>
        <v/>
      </c>
      <c r="Z1436" s="79"/>
      <c r="AA1436" s="79" t="str">
        <f>IF(AND(MONTH(E1436)='IN-NX'!$J$5,'IN-NX'!$D$7=D1436),"x","")</f>
        <v/>
      </c>
      <c r="AB1436" s="79" t="str">
        <f>IF(AND(OR(LEFT(TH!N1436,2)="15",LEFT(TH!O1436,2)="15"),LEFT(TH!O1436,3)&lt;&gt;"111",'152-CT'!$J$8=TH!F1436),"x","")</f>
        <v/>
      </c>
      <c r="AC1436" s="79" t="str">
        <f>IF(AND(OR(LEFT(TH!N1436,2)="15",LEFT(TH!O1436,2)="15"),TK!$E$7=TH!F1436),"x","")</f>
        <v/>
      </c>
      <c r="AD1436" s="79" t="str">
        <f>IF(AND(N1436="1521",MONTH(C1436)='BK-NL'!$M$11),"x","")</f>
        <v/>
      </c>
    </row>
    <row r="1437" spans="1:30" s="1102" customFormat="1" ht="17.25" customHeight="1">
      <c r="A1437" s="318" t="str">
        <f>IF(B1437&lt;&gt;"",IF(AND(B1437='IN-TC'!$S$4,OR(TH!N1437="1111",TH!O1437="1111")),TH!D1437,""),"")</f>
        <v/>
      </c>
      <c r="B1437" s="60" t="str">
        <f t="shared" si="205"/>
        <v/>
      </c>
      <c r="C1437" s="981"/>
      <c r="D1437" s="981"/>
      <c r="E1437" s="981"/>
      <c r="F1437" s="1008"/>
      <c r="G1437" s="987"/>
      <c r="H1437" s="997"/>
      <c r="I1437" s="984"/>
      <c r="J1437" s="984"/>
      <c r="K1437" s="984"/>
      <c r="L1437" s="983"/>
      <c r="M1437" s="970"/>
      <c r="N1437" s="980"/>
      <c r="O1437" s="980"/>
      <c r="P1437" s="79" t="str">
        <f>IF(AND('331-CT'!$E$7=TH!H1437,OR(N1437="331",O1437="331")),"x","")</f>
        <v/>
      </c>
      <c r="Q1437" s="79" t="str">
        <f>IF(AND(B1437='111'!$L$11,OR($N1437=$Q$7,$O1437=$Q$7)),"x","")</f>
        <v/>
      </c>
      <c r="R1437" s="79" t="str">
        <f>IF(AND($N1437=$Q$7,$B1437&lt;'111'!$L$11),"x","")</f>
        <v/>
      </c>
      <c r="S1437" s="79" t="str">
        <f>IF(AND($O1437=$Q$7,$B1437&lt;'111'!$L$11),"x","")</f>
        <v/>
      </c>
      <c r="T1437" s="79" t="str">
        <f>IF(ISERROR(FIND('112'!$M$9,G1437,1)),"",IF((AND(FIND('112'!$M$9,G1437,1)&gt;=1,B1437='112'!$K$9,OR($N1437='112'!$I$6,$O1437='112'!$I$6))),"x",""))</f>
        <v/>
      </c>
      <c r="U1437" s="79" t="str">
        <f>IF(ISERROR(FIND('112'!$M$9,G1437,1)),"",IF((AND(LEFT(G1437,2)=LEFT('112'!$M$9,2),B1437&lt;'112'!$K$9,$N1437='112'!$I$6)),"x",""))</f>
        <v/>
      </c>
      <c r="V1437" s="79" t="str">
        <f>IF(ISERROR(FIND('112'!$M$9,G1437,1)),"",IF((AND(RIGHT(G1437,2)=RIGHT('112'!$M$9,2),B1437&lt;'112'!$K$9,$O1437='112'!$I$6)),"x",""))</f>
        <v/>
      </c>
      <c r="W1437" s="79" t="str">
        <f>IF(AND('341-CT'!$H$9=H1437,OR(LEFT(N1437,3)=$W$7,LEFT(O1437,3)=$W$7)),"x","")</f>
        <v/>
      </c>
      <c r="X1437" s="79" t="str">
        <f>IF(OR(TH!N1437=TH!$X$7,O1437=TH!$X$7),"x","")</f>
        <v/>
      </c>
      <c r="Y1437" s="79" t="str">
        <f>IF(AND(OR(N1437="131",O1437="131"),H1437='131-CT'!$H$9),"x","")</f>
        <v/>
      </c>
      <c r="Z1437" s="79"/>
      <c r="AA1437" s="79" t="str">
        <f>IF(AND(MONTH(E1437)='IN-NX'!$J$5,'IN-NX'!$D$7=D1437),"x","")</f>
        <v/>
      </c>
      <c r="AB1437" s="79" t="str">
        <f>IF(AND(OR(LEFT(TH!N1437,2)="15",LEFT(TH!O1437,2)="15"),LEFT(TH!O1437,3)&lt;&gt;"111",'152-CT'!$J$8=TH!F1437),"x","")</f>
        <v/>
      </c>
      <c r="AC1437" s="79" t="str">
        <f>IF(AND(OR(LEFT(TH!N1437,2)="15",LEFT(TH!O1437,2)="15"),TK!$E$7=TH!F1437),"x","")</f>
        <v/>
      </c>
      <c r="AD1437" s="79" t="str">
        <f>IF(AND(N1437="1521",MONTH(C1437)='BK-NL'!$M$11),"x","")</f>
        <v/>
      </c>
    </row>
    <row r="1438" spans="1:30" s="1102" customFormat="1" ht="17.25" customHeight="1">
      <c r="A1438" s="318" t="str">
        <f>IF(B1438&lt;&gt;"",IF(AND(B1438='IN-TC'!$S$4,OR(TH!N1438="1111",TH!O1438="1111")),TH!D1438,""),"")</f>
        <v/>
      </c>
      <c r="B1438" s="60" t="str">
        <f t="shared" si="205"/>
        <v/>
      </c>
      <c r="C1438" s="981"/>
      <c r="D1438" s="981"/>
      <c r="E1438" s="981"/>
      <c r="F1438" s="1008"/>
      <c r="G1438" s="987"/>
      <c r="H1438" s="997"/>
      <c r="I1438" s="984"/>
      <c r="J1438" s="984"/>
      <c r="K1438" s="984"/>
      <c r="L1438" s="983"/>
      <c r="M1438" s="970"/>
      <c r="N1438" s="980"/>
      <c r="O1438" s="980"/>
      <c r="P1438" s="79" t="str">
        <f>IF(AND('331-CT'!$E$7=TH!H1438,OR(N1438="331",O1438="331")),"x","")</f>
        <v/>
      </c>
      <c r="Q1438" s="79" t="str">
        <f>IF(AND(B1438='111'!$L$11,OR($N1438=$Q$7,$O1438=$Q$7)),"x","")</f>
        <v/>
      </c>
      <c r="R1438" s="79" t="str">
        <f>IF(AND($N1438=$Q$7,$B1438&lt;'111'!$L$11),"x","")</f>
        <v/>
      </c>
      <c r="S1438" s="79" t="str">
        <f>IF(AND($O1438=$Q$7,$B1438&lt;'111'!$L$11),"x","")</f>
        <v/>
      </c>
      <c r="T1438" s="79" t="str">
        <f>IF(ISERROR(FIND('112'!$M$9,G1438,1)),"",IF((AND(FIND('112'!$M$9,G1438,1)&gt;=1,B1438='112'!$K$9,OR($N1438='112'!$I$6,$O1438='112'!$I$6))),"x",""))</f>
        <v/>
      </c>
      <c r="U1438" s="79" t="str">
        <f>IF(ISERROR(FIND('112'!$M$9,G1438,1)),"",IF((AND(LEFT(G1438,2)=LEFT('112'!$M$9,2),B1438&lt;'112'!$K$9,$N1438='112'!$I$6)),"x",""))</f>
        <v/>
      </c>
      <c r="V1438" s="79" t="str">
        <f>IF(ISERROR(FIND('112'!$M$9,G1438,1)),"",IF((AND(RIGHT(G1438,2)=RIGHT('112'!$M$9,2),B1438&lt;'112'!$K$9,$O1438='112'!$I$6)),"x",""))</f>
        <v/>
      </c>
      <c r="W1438" s="79" t="str">
        <f>IF(AND('341-CT'!$H$9=H1438,OR(LEFT(N1438,3)=$W$7,LEFT(O1438,3)=$W$7)),"x","")</f>
        <v/>
      </c>
      <c r="X1438" s="79" t="str">
        <f>IF(OR(TH!N1438=TH!$X$7,O1438=TH!$X$7),"x","")</f>
        <v/>
      </c>
      <c r="Y1438" s="79" t="str">
        <f>IF(AND(OR(N1438="131",O1438="131"),H1438='131-CT'!$H$9),"x","")</f>
        <v/>
      </c>
      <c r="Z1438" s="79"/>
      <c r="AA1438" s="79" t="str">
        <f>IF(AND(MONTH(E1438)='IN-NX'!$J$5,'IN-NX'!$D$7=D1438),"x","")</f>
        <v/>
      </c>
      <c r="AB1438" s="79" t="str">
        <f>IF(AND(OR(LEFT(TH!N1438,2)="15",LEFT(TH!O1438,2)="15"),LEFT(TH!O1438,3)&lt;&gt;"111",'152-CT'!$J$8=TH!F1438),"x","")</f>
        <v/>
      </c>
      <c r="AC1438" s="79" t="str">
        <f>IF(AND(OR(LEFT(TH!N1438,2)="15",LEFT(TH!O1438,2)="15"),TK!$E$7=TH!F1438),"x","")</f>
        <v/>
      </c>
      <c r="AD1438" s="79" t="str">
        <f>IF(AND(N1438="1521",MONTH(C1438)='BK-NL'!$M$11),"x","")</f>
        <v/>
      </c>
    </row>
    <row r="1439" spans="1:30" s="1102" customFormat="1" ht="16.5" customHeight="1">
      <c r="A1439" s="318" t="str">
        <f>IF(B1439&lt;&gt;"",IF(AND(B1439='IN-TC'!$S$4,OR(TH!N1439="1111",TH!O1439="1111")),TH!D1439,""),"")</f>
        <v/>
      </c>
      <c r="B1439" s="60" t="str">
        <f t="shared" si="205"/>
        <v/>
      </c>
      <c r="C1439" s="981"/>
      <c r="D1439" s="981"/>
      <c r="E1439" s="981"/>
      <c r="F1439" s="1008"/>
      <c r="G1439" s="987"/>
      <c r="H1439" s="85"/>
      <c r="I1439" s="984"/>
      <c r="J1439" s="984"/>
      <c r="K1439" s="984"/>
      <c r="L1439" s="983"/>
      <c r="M1439" s="970"/>
      <c r="N1439" s="980"/>
      <c r="O1439" s="980"/>
      <c r="P1439" s="79" t="str">
        <f>IF(AND('331-CT'!$E$7=TH!H1439,OR(N1439="331",O1439="331")),"x","")</f>
        <v/>
      </c>
      <c r="Q1439" s="79" t="str">
        <f>IF(AND(B1439='111'!$L$11,OR($N1439=$Q$7,$O1439=$Q$7)),"x","")</f>
        <v/>
      </c>
      <c r="R1439" s="79" t="str">
        <f>IF(AND($N1439=$Q$7,$B1439&lt;'111'!$L$11),"x","")</f>
        <v/>
      </c>
      <c r="S1439" s="79" t="str">
        <f>IF(AND($O1439=$Q$7,$B1439&lt;'111'!$L$11),"x","")</f>
        <v/>
      </c>
      <c r="T1439" s="79" t="str">
        <f>IF(ISERROR(FIND('112'!$M$9,G1439,1)),"",IF((AND(FIND('112'!$M$9,G1439,1)&gt;=1,B1439='112'!$K$9,OR($N1439='112'!$I$6,$O1439='112'!$I$6))),"x",""))</f>
        <v/>
      </c>
      <c r="U1439" s="79" t="str">
        <f>IF(ISERROR(FIND('112'!$M$9,G1439,1)),"",IF((AND(LEFT(G1439,2)=LEFT('112'!$M$9,2),B1439&lt;'112'!$K$9,$N1439='112'!$I$6)),"x",""))</f>
        <v/>
      </c>
      <c r="V1439" s="79" t="str">
        <f>IF(ISERROR(FIND('112'!$M$9,G1439,1)),"",IF((AND(RIGHT(G1439,2)=RIGHT('112'!$M$9,2),B1439&lt;'112'!$K$9,$O1439='112'!$I$6)),"x",""))</f>
        <v/>
      </c>
      <c r="W1439" s="79" t="str">
        <f>IF(AND('341-CT'!$H$9=H1439,OR(LEFT(N1439,3)=$W$7,LEFT(O1439,3)=$W$7)),"x","")</f>
        <v/>
      </c>
      <c r="X1439" s="79" t="str">
        <f>IF(OR(TH!N1439=TH!$X$7,O1439=TH!$X$7),"x","")</f>
        <v/>
      </c>
      <c r="Y1439" s="79" t="str">
        <f>IF(AND(OR(N1439="131",O1439="131"),H1439='131-CT'!$H$9),"x","")</f>
        <v/>
      </c>
      <c r="Z1439" s="79"/>
      <c r="AA1439" s="79" t="str">
        <f>IF(AND(MONTH(E1439)='IN-NX'!$J$5,'IN-NX'!$D$7=D1439),"x","")</f>
        <v/>
      </c>
      <c r="AB1439" s="79" t="str">
        <f>IF(AND(OR(LEFT(TH!N1439,2)="15",LEFT(TH!O1439,2)="15"),LEFT(TH!O1439,3)&lt;&gt;"111",'152-CT'!$J$8=TH!F1439),"x","")</f>
        <v/>
      </c>
      <c r="AC1439" s="79" t="str">
        <f>IF(AND(OR(LEFT(TH!N1439,2)="15",LEFT(TH!O1439,2)="15"),TK!$E$7=TH!F1439),"x","")</f>
        <v/>
      </c>
      <c r="AD1439" s="79" t="str">
        <f>IF(AND(N1439="1521",MONTH(C1439)='BK-NL'!$M$11),"x","")</f>
        <v/>
      </c>
    </row>
    <row r="1440" spans="1:30" s="1102" customFormat="1" ht="17.25" customHeight="1">
      <c r="A1440" s="318" t="str">
        <f>IF(B1440&lt;&gt;"",IF(AND(B1440='IN-TC'!$S$4,OR(TH!N1440="1111",TH!O1440="1111")),TH!D1440,""),"")</f>
        <v/>
      </c>
      <c r="B1440" s="60" t="str">
        <f t="shared" si="205"/>
        <v/>
      </c>
      <c r="C1440" s="981"/>
      <c r="D1440" s="981"/>
      <c r="E1440" s="981"/>
      <c r="F1440" s="1008"/>
      <c r="G1440" s="987"/>
      <c r="H1440" s="997"/>
      <c r="I1440" s="984"/>
      <c r="J1440" s="984"/>
      <c r="K1440" s="984"/>
      <c r="L1440" s="983"/>
      <c r="M1440" s="970"/>
      <c r="N1440" s="980"/>
      <c r="O1440" s="980"/>
      <c r="P1440" s="79" t="str">
        <f>IF(AND('331-CT'!$E$7=TH!H1440,OR(N1440="331",O1440="331")),"x","")</f>
        <v/>
      </c>
      <c r="Q1440" s="79" t="str">
        <f>IF(AND(B1440='111'!$L$11,OR($N1440=$Q$7,$O1440=$Q$7)),"x","")</f>
        <v/>
      </c>
      <c r="R1440" s="79" t="str">
        <f>IF(AND($N1440=$Q$7,$B1440&lt;'111'!$L$11),"x","")</f>
        <v/>
      </c>
      <c r="S1440" s="79" t="str">
        <f>IF(AND($O1440=$Q$7,$B1440&lt;'111'!$L$11),"x","")</f>
        <v/>
      </c>
      <c r="T1440" s="79" t="str">
        <f>IF(ISERROR(FIND('112'!$M$9,G1440,1)),"",IF((AND(FIND('112'!$M$9,G1440,1)&gt;=1,B1440='112'!$K$9,OR($N1440='112'!$I$6,$O1440='112'!$I$6))),"x",""))</f>
        <v/>
      </c>
      <c r="U1440" s="79" t="str">
        <f>IF(ISERROR(FIND('112'!$M$9,G1440,1)),"",IF((AND(LEFT(G1440,2)=LEFT('112'!$M$9,2),B1440&lt;'112'!$K$9,$N1440='112'!$I$6)),"x",""))</f>
        <v/>
      </c>
      <c r="V1440" s="79" t="str">
        <f>IF(ISERROR(FIND('112'!$M$9,G1440,1)),"",IF((AND(RIGHT(G1440,2)=RIGHT('112'!$M$9,2),B1440&lt;'112'!$K$9,$O1440='112'!$I$6)),"x",""))</f>
        <v/>
      </c>
      <c r="W1440" s="79" t="str">
        <f>IF(AND('341-CT'!$H$9=H1440,OR(LEFT(N1440,3)=$W$7,LEFT(O1440,3)=$W$7)),"x","")</f>
        <v/>
      </c>
      <c r="X1440" s="79" t="str">
        <f>IF(OR(TH!N1440=TH!$X$7,O1440=TH!$X$7),"x","")</f>
        <v/>
      </c>
      <c r="Y1440" s="79" t="str">
        <f>IF(AND(OR(N1440="131",O1440="131"),H1440='131-CT'!$H$9),"x","")</f>
        <v/>
      </c>
      <c r="Z1440" s="79"/>
      <c r="AA1440" s="79" t="str">
        <f>IF(AND(MONTH(E1440)='IN-NX'!$J$5,'IN-NX'!$D$7=D1440),"x","")</f>
        <v/>
      </c>
      <c r="AB1440" s="79" t="str">
        <f>IF(AND(OR(LEFT(TH!N1440,2)="15",LEFT(TH!O1440,2)="15"),LEFT(TH!O1440,3)&lt;&gt;"111",'152-CT'!$J$8=TH!F1440),"x","")</f>
        <v/>
      </c>
      <c r="AC1440" s="79" t="str">
        <f>IF(AND(OR(LEFT(TH!N1440,2)="15",LEFT(TH!O1440,2)="15"),TK!$E$7=TH!F1440),"x","")</f>
        <v/>
      </c>
      <c r="AD1440" s="79" t="str">
        <f>IF(AND(N1440="1521",MONTH(C1440)='BK-NL'!$M$11),"x","")</f>
        <v/>
      </c>
    </row>
    <row r="1441" spans="1:30" s="1102" customFormat="1" ht="16.5" customHeight="1">
      <c r="A1441" s="318" t="str">
        <f>IF(B1441&lt;&gt;"",IF(AND(B1441='IN-TC'!$S$4,OR(TH!N1441="1111",TH!O1441="1111")),TH!D1441,""),"")</f>
        <v/>
      </c>
      <c r="B1441" s="60" t="str">
        <f t="shared" si="205"/>
        <v/>
      </c>
      <c r="C1441" s="981"/>
      <c r="D1441" s="981"/>
      <c r="E1441" s="981"/>
      <c r="F1441" s="1008"/>
      <c r="G1441" s="987"/>
      <c r="H1441" s="997"/>
      <c r="I1441" s="984"/>
      <c r="J1441" s="984"/>
      <c r="K1441" s="984"/>
      <c r="L1441" s="983"/>
      <c r="M1441" s="970"/>
      <c r="N1441" s="980"/>
      <c r="O1441" s="980"/>
      <c r="P1441" s="79" t="str">
        <f>IF(AND('331-CT'!$E$7=TH!H1441,OR(N1441="331",O1441="331")),"x","")</f>
        <v/>
      </c>
      <c r="Q1441" s="79" t="str">
        <f>IF(AND(B1441='111'!$L$11,OR($N1441=$Q$7,$O1441=$Q$7)),"x","")</f>
        <v/>
      </c>
      <c r="R1441" s="79" t="str">
        <f>IF(AND($N1441=$Q$7,$B1441&lt;'111'!$L$11),"x","")</f>
        <v/>
      </c>
      <c r="S1441" s="79" t="str">
        <f>IF(AND($O1441=$Q$7,$B1441&lt;'111'!$L$11),"x","")</f>
        <v/>
      </c>
      <c r="T1441" s="79" t="str">
        <f>IF(ISERROR(FIND('112'!$M$9,G1441,1)),"",IF((AND(FIND('112'!$M$9,G1441,1)&gt;=1,B1441='112'!$K$9,OR($N1441='112'!$I$6,$O1441='112'!$I$6))),"x",""))</f>
        <v/>
      </c>
      <c r="U1441" s="79" t="str">
        <f>IF(ISERROR(FIND('112'!$M$9,G1441,1)),"",IF((AND(LEFT(G1441,2)=LEFT('112'!$M$9,2),B1441&lt;'112'!$K$9,$N1441='112'!$I$6)),"x",""))</f>
        <v/>
      </c>
      <c r="V1441" s="79" t="str">
        <f>IF(ISERROR(FIND('112'!$M$9,G1441,1)),"",IF((AND(RIGHT(G1441,2)=RIGHT('112'!$M$9,2),B1441&lt;'112'!$K$9,$O1441='112'!$I$6)),"x",""))</f>
        <v/>
      </c>
      <c r="W1441" s="79" t="str">
        <f>IF(AND('341-CT'!$H$9=H1441,OR(LEFT(N1441,3)=$W$7,LEFT(O1441,3)=$W$7)),"x","")</f>
        <v/>
      </c>
      <c r="X1441" s="79" t="str">
        <f>IF(OR(TH!N1441=TH!$X$7,O1441=TH!$X$7),"x","")</f>
        <v/>
      </c>
      <c r="Y1441" s="79" t="str">
        <f>IF(AND(OR(N1441="131",O1441="131"),H1441='131-CT'!$H$9),"x","")</f>
        <v/>
      </c>
      <c r="Z1441" s="79"/>
      <c r="AA1441" s="79" t="str">
        <f>IF(AND(MONTH(E1441)='IN-NX'!$J$5,'IN-NX'!$D$7=D1441),"x","")</f>
        <v/>
      </c>
      <c r="AB1441" s="79" t="str">
        <f>IF(AND(OR(LEFT(TH!N1441,2)="15",LEFT(TH!O1441,2)="15"),LEFT(TH!O1441,3)&lt;&gt;"111",'152-CT'!$J$8=TH!F1441),"x","")</f>
        <v/>
      </c>
      <c r="AC1441" s="79" t="str">
        <f>IF(AND(OR(LEFT(TH!N1441,2)="15",LEFT(TH!O1441,2)="15"),TK!$E$7=TH!F1441),"x","")</f>
        <v/>
      </c>
      <c r="AD1441" s="79" t="str">
        <f>IF(AND(N1441="1521",MONTH(C1441)='BK-NL'!$M$11),"x","")</f>
        <v/>
      </c>
    </row>
    <row r="1442" spans="1:30" s="1102" customFormat="1" ht="16.5" customHeight="1">
      <c r="A1442" s="318" t="str">
        <f>IF(B1442&lt;&gt;"",IF(AND(B1442='IN-TC'!$S$4,OR(TH!N1442="1111",TH!O1442="1111")),TH!D1442,""),"")</f>
        <v/>
      </c>
      <c r="B1442" s="60" t="str">
        <f t="shared" si="205"/>
        <v/>
      </c>
      <c r="C1442" s="981"/>
      <c r="D1442" s="981"/>
      <c r="E1442" s="981"/>
      <c r="F1442" s="1008"/>
      <c r="G1442" s="987"/>
      <c r="H1442" s="85"/>
      <c r="I1442" s="984"/>
      <c r="J1442" s="984"/>
      <c r="K1442" s="984"/>
      <c r="L1442" s="983"/>
      <c r="M1442" s="970"/>
      <c r="N1442" s="980"/>
      <c r="O1442" s="980"/>
      <c r="P1442" s="79" t="str">
        <f>IF(AND('331-CT'!$E$7=TH!H1442,OR(N1442="331",O1442="331")),"x","")</f>
        <v/>
      </c>
      <c r="Q1442" s="79" t="str">
        <f>IF(AND(B1442='111'!$L$11,OR($N1442=$Q$7,$O1442=$Q$7)),"x","")</f>
        <v/>
      </c>
      <c r="R1442" s="79" t="str">
        <f>IF(AND($N1442=$Q$7,$B1442&lt;'111'!$L$11),"x","")</f>
        <v/>
      </c>
      <c r="S1442" s="79" t="str">
        <f>IF(AND($O1442=$Q$7,$B1442&lt;'111'!$L$11),"x","")</f>
        <v/>
      </c>
      <c r="T1442" s="79" t="str">
        <f>IF(ISERROR(FIND('112'!$M$9,G1442,1)),"",IF((AND(FIND('112'!$M$9,G1442,1)&gt;=1,B1442='112'!$K$9,OR($N1442='112'!$I$6,$O1442='112'!$I$6))),"x",""))</f>
        <v/>
      </c>
      <c r="U1442" s="79" t="str">
        <f>IF(ISERROR(FIND('112'!$M$9,G1442,1)),"",IF((AND(LEFT(G1442,2)=LEFT('112'!$M$9,2),B1442&lt;'112'!$K$9,$N1442='112'!$I$6)),"x",""))</f>
        <v/>
      </c>
      <c r="V1442" s="79" t="str">
        <f>IF(ISERROR(FIND('112'!$M$9,G1442,1)),"",IF((AND(RIGHT(G1442,2)=RIGHT('112'!$M$9,2),B1442&lt;'112'!$K$9,$O1442='112'!$I$6)),"x",""))</f>
        <v/>
      </c>
      <c r="W1442" s="79" t="str">
        <f>IF(AND('341-CT'!$H$9=H1442,OR(LEFT(N1442,3)=$W$7,LEFT(O1442,3)=$W$7)),"x","")</f>
        <v/>
      </c>
      <c r="X1442" s="79" t="str">
        <f>IF(OR(TH!N1442=TH!$X$7,O1442=TH!$X$7),"x","")</f>
        <v/>
      </c>
      <c r="Y1442" s="79" t="str">
        <f>IF(AND(OR(N1442="131",O1442="131"),H1442='131-CT'!$H$9),"x","")</f>
        <v/>
      </c>
      <c r="Z1442" s="79"/>
      <c r="AA1442" s="79" t="str">
        <f>IF(AND(MONTH(E1442)='IN-NX'!$J$5,'IN-NX'!$D$7=D1442),"x","")</f>
        <v/>
      </c>
      <c r="AB1442" s="79" t="str">
        <f>IF(AND(OR(LEFT(TH!N1442,2)="15",LEFT(TH!O1442,2)="15"),LEFT(TH!O1442,3)&lt;&gt;"111",'152-CT'!$J$8=TH!F1442),"x","")</f>
        <v/>
      </c>
      <c r="AC1442" s="79" t="str">
        <f>IF(AND(OR(LEFT(TH!N1442,2)="15",LEFT(TH!O1442,2)="15"),TK!$E$7=TH!F1442),"x","")</f>
        <v/>
      </c>
      <c r="AD1442" s="79" t="str">
        <f>IF(AND(N1442="1521",MONTH(C1442)='BK-NL'!$M$11),"x","")</f>
        <v/>
      </c>
    </row>
    <row r="1443" spans="1:30" s="1102" customFormat="1" ht="16.5" customHeight="1">
      <c r="A1443" s="318" t="str">
        <f>IF(B1443&lt;&gt;"",IF(AND(B1443='IN-TC'!$S$4,OR(TH!N1443="1111",TH!O1443="1111")),TH!D1443,""),"")</f>
        <v/>
      </c>
      <c r="B1443" s="60" t="str">
        <f t="shared" si="205"/>
        <v/>
      </c>
      <c r="C1443" s="981"/>
      <c r="D1443" s="981"/>
      <c r="E1443" s="981"/>
      <c r="F1443" s="1008"/>
      <c r="G1443" s="987"/>
      <c r="H1443" s="85"/>
      <c r="I1443" s="984"/>
      <c r="J1443" s="984"/>
      <c r="K1443" s="984"/>
      <c r="L1443" s="983"/>
      <c r="M1443" s="970"/>
      <c r="N1443" s="980"/>
      <c r="O1443" s="980"/>
      <c r="P1443" s="79" t="str">
        <f>IF(AND('331-CT'!$E$7=TH!H1443,OR(N1443="331",O1443="331")),"x","")</f>
        <v/>
      </c>
      <c r="Q1443" s="79" t="str">
        <f>IF(AND(B1443='111'!$L$11,OR($N1443=$Q$7,$O1443=$Q$7)),"x","")</f>
        <v/>
      </c>
      <c r="R1443" s="79" t="str">
        <f>IF(AND($N1443=$Q$7,$B1443&lt;'111'!$L$11),"x","")</f>
        <v/>
      </c>
      <c r="S1443" s="79" t="str">
        <f>IF(AND($O1443=$Q$7,$B1443&lt;'111'!$L$11),"x","")</f>
        <v/>
      </c>
      <c r="T1443" s="79" t="str">
        <f>IF(ISERROR(FIND('112'!$M$9,G1443,1)),"",IF((AND(FIND('112'!$M$9,G1443,1)&gt;=1,B1443='112'!$K$9,OR($N1443='112'!$I$6,$O1443='112'!$I$6))),"x",""))</f>
        <v/>
      </c>
      <c r="U1443" s="79" t="str">
        <f>IF(ISERROR(FIND('112'!$M$9,G1443,1)),"",IF((AND(LEFT(G1443,2)=LEFT('112'!$M$9,2),B1443&lt;'112'!$K$9,$N1443='112'!$I$6)),"x",""))</f>
        <v/>
      </c>
      <c r="V1443" s="79" t="str">
        <f>IF(ISERROR(FIND('112'!$M$9,G1443,1)),"",IF((AND(RIGHT(G1443,2)=RIGHT('112'!$M$9,2),B1443&lt;'112'!$K$9,$O1443='112'!$I$6)),"x",""))</f>
        <v/>
      </c>
      <c r="W1443" s="79" t="str">
        <f>IF(AND('341-CT'!$H$9=H1443,OR(LEFT(N1443,3)=$W$7,LEFT(O1443,3)=$W$7)),"x","")</f>
        <v/>
      </c>
      <c r="X1443" s="79" t="str">
        <f>IF(OR(TH!N1443=TH!$X$7,O1443=TH!$X$7),"x","")</f>
        <v/>
      </c>
      <c r="Y1443" s="79" t="str">
        <f>IF(AND(OR(N1443="131",O1443="131"),H1443='131-CT'!$H$9),"x","")</f>
        <v/>
      </c>
      <c r="Z1443" s="79"/>
      <c r="AA1443" s="79" t="str">
        <f>IF(AND(MONTH(E1443)='IN-NX'!$J$5,'IN-NX'!$D$7=D1443),"x","")</f>
        <v/>
      </c>
      <c r="AB1443" s="79" t="str">
        <f>IF(AND(OR(LEFT(TH!N1443,2)="15",LEFT(TH!O1443,2)="15"),LEFT(TH!O1443,3)&lt;&gt;"111",'152-CT'!$J$8=TH!F1443),"x","")</f>
        <v/>
      </c>
      <c r="AC1443" s="79" t="str">
        <f>IF(AND(OR(LEFT(TH!N1443,2)="15",LEFT(TH!O1443,2)="15"),TK!$E$7=TH!F1443),"x","")</f>
        <v/>
      </c>
      <c r="AD1443" s="79" t="str">
        <f>IF(AND(N1443="1521",MONTH(C1443)='BK-NL'!$M$11),"x","")</f>
        <v/>
      </c>
    </row>
    <row r="1444" spans="1:30" s="1102" customFormat="1" ht="16.5" customHeight="1">
      <c r="A1444" s="318" t="str">
        <f>IF(B1444&lt;&gt;"",IF(AND(B1444='IN-TC'!$S$4,OR(TH!N1444="1111",TH!O1444="1111")),TH!D1444,""),"")</f>
        <v/>
      </c>
      <c r="B1444" s="60" t="str">
        <f t="shared" si="205"/>
        <v/>
      </c>
      <c r="C1444" s="981"/>
      <c r="D1444" s="981"/>
      <c r="E1444" s="981"/>
      <c r="F1444" s="1008"/>
      <c r="G1444" s="987"/>
      <c r="H1444" s="85"/>
      <c r="I1444" s="984"/>
      <c r="J1444" s="984"/>
      <c r="K1444" s="984"/>
      <c r="L1444" s="983"/>
      <c r="M1444" s="970"/>
      <c r="N1444" s="980"/>
      <c r="O1444" s="980"/>
      <c r="P1444" s="79" t="str">
        <f>IF(AND('331-CT'!$E$7=TH!H1444,OR(N1444="331",O1444="331")),"x","")</f>
        <v/>
      </c>
      <c r="Q1444" s="79" t="str">
        <f>IF(AND(B1444='111'!$L$11,OR($N1444=$Q$7,$O1444=$Q$7)),"x","")</f>
        <v/>
      </c>
      <c r="R1444" s="79" t="str">
        <f>IF(AND($N1444=$Q$7,$B1444&lt;'111'!$L$11),"x","")</f>
        <v/>
      </c>
      <c r="S1444" s="79" t="str">
        <f>IF(AND($O1444=$Q$7,$B1444&lt;'111'!$L$11),"x","")</f>
        <v/>
      </c>
      <c r="T1444" s="79" t="str">
        <f>IF(ISERROR(FIND('112'!$M$9,G1444,1)),"",IF((AND(FIND('112'!$M$9,G1444,1)&gt;=1,B1444='112'!$K$9,OR($N1444='112'!$I$6,$O1444='112'!$I$6))),"x",""))</f>
        <v/>
      </c>
      <c r="U1444" s="79" t="str">
        <f>IF(ISERROR(FIND('112'!$M$9,G1444,1)),"",IF((AND(LEFT(G1444,2)=LEFT('112'!$M$9,2),B1444&lt;'112'!$K$9,$N1444='112'!$I$6)),"x",""))</f>
        <v/>
      </c>
      <c r="V1444" s="79" t="str">
        <f>IF(ISERROR(FIND('112'!$M$9,G1444,1)),"",IF((AND(RIGHT(G1444,2)=RIGHT('112'!$M$9,2),B1444&lt;'112'!$K$9,$O1444='112'!$I$6)),"x",""))</f>
        <v/>
      </c>
      <c r="W1444" s="79" t="str">
        <f>IF(AND('341-CT'!$H$9=H1444,OR(LEFT(N1444,3)=$W$7,LEFT(O1444,3)=$W$7)),"x","")</f>
        <v/>
      </c>
      <c r="X1444" s="79" t="str">
        <f>IF(OR(TH!N1444=TH!$X$7,O1444=TH!$X$7),"x","")</f>
        <v/>
      </c>
      <c r="Y1444" s="79" t="str">
        <f>IF(AND(OR(N1444="131",O1444="131"),H1444='131-CT'!$H$9),"x","")</f>
        <v/>
      </c>
      <c r="Z1444" s="79"/>
      <c r="AA1444" s="79" t="str">
        <f>IF(AND(MONTH(E1444)='IN-NX'!$J$5,'IN-NX'!$D$7=D1444),"x","")</f>
        <v/>
      </c>
      <c r="AB1444" s="79" t="str">
        <f>IF(AND(OR(LEFT(TH!N1444,2)="15",LEFT(TH!O1444,2)="15"),LEFT(TH!O1444,3)&lt;&gt;"111",'152-CT'!$J$8=TH!F1444),"x","")</f>
        <v/>
      </c>
      <c r="AC1444" s="79" t="str">
        <f>IF(AND(OR(LEFT(TH!N1444,2)="15",LEFT(TH!O1444,2)="15"),TK!$E$7=TH!F1444),"x","")</f>
        <v/>
      </c>
      <c r="AD1444" s="79" t="str">
        <f>IF(AND(N1444="1521",MONTH(C1444)='BK-NL'!$M$11),"x","")</f>
        <v/>
      </c>
    </row>
    <row r="1445" spans="1:30" s="1102" customFormat="1" ht="16.5" customHeight="1">
      <c r="A1445" s="318" t="str">
        <f>IF(B1445&lt;&gt;"",IF(AND(B1445='IN-TC'!$S$4,OR(TH!N1445="1111",TH!O1445="1111")),TH!D1445,""),"")</f>
        <v/>
      </c>
      <c r="B1445" s="60" t="str">
        <f t="shared" si="205"/>
        <v/>
      </c>
      <c r="C1445" s="981"/>
      <c r="D1445" s="981"/>
      <c r="E1445" s="981"/>
      <c r="F1445" s="1008"/>
      <c r="G1445" s="987"/>
      <c r="H1445" s="85"/>
      <c r="I1445" s="984"/>
      <c r="J1445" s="984"/>
      <c r="K1445" s="984"/>
      <c r="L1445" s="983"/>
      <c r="M1445" s="970"/>
      <c r="N1445" s="980"/>
      <c r="O1445" s="980"/>
      <c r="P1445" s="79" t="str">
        <f>IF(AND('331-CT'!$E$7=TH!H1445,OR(N1445="331",O1445="331")),"x","")</f>
        <v/>
      </c>
      <c r="Q1445" s="79" t="str">
        <f>IF(AND(B1445='111'!$L$11,OR($N1445=$Q$7,$O1445=$Q$7)),"x","")</f>
        <v/>
      </c>
      <c r="R1445" s="79" t="str">
        <f>IF(AND($N1445=$Q$7,$B1445&lt;'111'!$L$11),"x","")</f>
        <v/>
      </c>
      <c r="S1445" s="79" t="str">
        <f>IF(AND($O1445=$Q$7,$B1445&lt;'111'!$L$11),"x","")</f>
        <v/>
      </c>
      <c r="T1445" s="79" t="str">
        <f>IF(ISERROR(FIND('112'!$M$9,G1445,1)),"",IF((AND(FIND('112'!$M$9,G1445,1)&gt;=1,B1445='112'!$K$9,OR($N1445='112'!$I$6,$O1445='112'!$I$6))),"x",""))</f>
        <v/>
      </c>
      <c r="U1445" s="79" t="str">
        <f>IF(ISERROR(FIND('112'!$M$9,G1445,1)),"",IF((AND(LEFT(G1445,2)=LEFT('112'!$M$9,2),B1445&lt;'112'!$K$9,$N1445='112'!$I$6)),"x",""))</f>
        <v/>
      </c>
      <c r="V1445" s="79" t="str">
        <f>IF(ISERROR(FIND('112'!$M$9,G1445,1)),"",IF((AND(RIGHT(G1445,2)=RIGHT('112'!$M$9,2),B1445&lt;'112'!$K$9,$O1445='112'!$I$6)),"x",""))</f>
        <v/>
      </c>
      <c r="W1445" s="79" t="str">
        <f>IF(AND('341-CT'!$H$9=H1445,OR(LEFT(N1445,3)=$W$7,LEFT(O1445,3)=$W$7)),"x","")</f>
        <v/>
      </c>
      <c r="X1445" s="79" t="str">
        <f>IF(OR(TH!N1445=TH!$X$7,O1445=TH!$X$7),"x","")</f>
        <v/>
      </c>
      <c r="Y1445" s="79" t="str">
        <f>IF(AND(OR(N1445="131",O1445="131"),H1445='131-CT'!$H$9),"x","")</f>
        <v/>
      </c>
      <c r="Z1445" s="79"/>
      <c r="AA1445" s="79" t="str">
        <f>IF(AND(MONTH(E1445)='IN-NX'!$J$5,'IN-NX'!$D$7=D1445),"x","")</f>
        <v/>
      </c>
      <c r="AB1445" s="79" t="str">
        <f>IF(AND(OR(LEFT(TH!N1445,2)="15",LEFT(TH!O1445,2)="15"),LEFT(TH!O1445,3)&lt;&gt;"111",'152-CT'!$J$8=TH!F1445),"x","")</f>
        <v/>
      </c>
      <c r="AC1445" s="79" t="str">
        <f>IF(AND(OR(LEFT(TH!N1445,2)="15",LEFT(TH!O1445,2)="15"),TK!$E$7=TH!F1445),"x","")</f>
        <v/>
      </c>
      <c r="AD1445" s="79" t="str">
        <f>IF(AND(N1445="1521",MONTH(C1445)='BK-NL'!$M$11),"x","")</f>
        <v/>
      </c>
    </row>
    <row r="1446" spans="1:30" s="1102" customFormat="1" ht="16.5" customHeight="1">
      <c r="A1446" s="318" t="str">
        <f>IF(B1446&lt;&gt;"",IF(AND(B1446='IN-TC'!$S$4,OR(TH!N1446="1111",TH!O1446="1111")),TH!D1446,""),"")</f>
        <v/>
      </c>
      <c r="B1446" s="60" t="str">
        <f t="shared" si="205"/>
        <v/>
      </c>
      <c r="C1446" s="226"/>
      <c r="D1446" s="226"/>
      <c r="E1446" s="226"/>
      <c r="F1446" s="1010"/>
      <c r="G1446" s="763"/>
      <c r="H1446" s="321"/>
      <c r="I1446" s="385"/>
      <c r="J1446" s="385"/>
      <c r="K1446" s="385"/>
      <c r="L1446" s="392"/>
      <c r="M1446" s="970"/>
      <c r="N1446" s="980"/>
      <c r="O1446" s="980"/>
      <c r="P1446" s="79" t="str">
        <f>IF(AND('331-CT'!$E$7=TH!H1446,OR(N1446="331",O1446="331")),"x","")</f>
        <v/>
      </c>
      <c r="Q1446" s="79" t="str">
        <f>IF(AND(B1446='111'!$L$11,OR($N1446=$Q$7,$O1446=$Q$7)),"x","")</f>
        <v/>
      </c>
      <c r="R1446" s="79" t="str">
        <f>IF(AND($N1446=$Q$7,$B1446&lt;'111'!$L$11),"x","")</f>
        <v/>
      </c>
      <c r="S1446" s="79" t="str">
        <f>IF(AND($O1446=$Q$7,$B1446&lt;'111'!$L$11),"x","")</f>
        <v/>
      </c>
      <c r="T1446" s="79" t="str">
        <f>IF(ISERROR(FIND('112'!$M$9,G1446,1)),"",IF((AND(FIND('112'!$M$9,G1446,1)&gt;=1,B1446='112'!$K$9,OR($N1446='112'!$I$6,$O1446='112'!$I$6))),"x",""))</f>
        <v/>
      </c>
      <c r="U1446" s="79" t="str">
        <f>IF(ISERROR(FIND('112'!$M$9,G1446,1)),"",IF((AND(LEFT(G1446,2)=LEFT('112'!$M$9,2),B1446&lt;'112'!$K$9,$N1446='112'!$I$6)),"x",""))</f>
        <v/>
      </c>
      <c r="V1446" s="79" t="str">
        <f>IF(ISERROR(FIND('112'!$M$9,G1446,1)),"",IF((AND(RIGHT(G1446,2)=RIGHT('112'!$M$9,2),B1446&lt;'112'!$K$9,$O1446='112'!$I$6)),"x",""))</f>
        <v/>
      </c>
      <c r="W1446" s="79" t="str">
        <f>IF(AND('341-CT'!$H$9=H1446,OR(LEFT(N1446,3)=$W$7,LEFT(O1446,3)=$W$7)),"x","")</f>
        <v/>
      </c>
      <c r="X1446" s="79" t="str">
        <f>IF(OR(TH!N1446=TH!$X$7,O1446=TH!$X$7),"x","")</f>
        <v/>
      </c>
      <c r="Y1446" s="79" t="str">
        <f>IF(AND(OR(N1446="131",O1446="131"),H1446='131-CT'!$H$9),"x","")</f>
        <v/>
      </c>
      <c r="Z1446" s="79"/>
      <c r="AA1446" s="79" t="str">
        <f>IF(AND(MONTH(E1446)='IN-NX'!$J$5,'IN-NX'!$D$7=D1446),"x","")</f>
        <v/>
      </c>
      <c r="AB1446" s="79" t="str">
        <f>IF(AND(OR(LEFT(TH!N1446,2)="15",LEFT(TH!O1446,2)="15"),LEFT(TH!O1446,3)&lt;&gt;"111",'152-CT'!$J$8=TH!F1446),"x","")</f>
        <v/>
      </c>
      <c r="AC1446" s="79" t="str">
        <f>IF(AND(OR(LEFT(TH!N1446,2)="15",LEFT(TH!O1446,2)="15"),TK!$E$7=TH!F1446),"x","")</f>
        <v/>
      </c>
      <c r="AD1446" s="79" t="str">
        <f>IF(AND(N1446="1521",MONTH(C1446)='BK-NL'!$M$11),"x","")</f>
        <v/>
      </c>
    </row>
    <row r="1447" spans="1:30" ht="16.5" customHeight="1">
      <c r="A1447" s="318" t="str">
        <f>IF(B1447&lt;&gt;"",IF(AND(B1447='IN-TC'!$S$4,OR(TH!N1447="1111",TH!O1447="1111")),TH!D1447,""),"")</f>
        <v/>
      </c>
      <c r="B1447" s="60" t="str">
        <f>IF(C1447&lt;&gt;"",MONTH(C1447),"")</f>
        <v/>
      </c>
      <c r="C1447" s="226"/>
      <c r="D1447" s="226"/>
      <c r="E1447" s="226"/>
      <c r="F1447" s="1010"/>
      <c r="G1447" s="763"/>
      <c r="H1447" s="321"/>
      <c r="I1447" s="385"/>
      <c r="J1447" s="385"/>
      <c r="K1447" s="385"/>
      <c r="L1447" s="392"/>
      <c r="M1447" s="970"/>
      <c r="N1447" s="980"/>
      <c r="O1447" s="980"/>
      <c r="P1447" s="79" t="str">
        <f>IF(AND('331-CT'!$E$7=TH!H1447,OR(N1447="331",O1447="331")),"x","")</f>
        <v/>
      </c>
      <c r="Q1447" s="79" t="str">
        <f>IF(AND(B1447='111'!$L$11,OR($N1447=$Q$7,$O1447=$Q$7)),"x","")</f>
        <v/>
      </c>
      <c r="R1447" s="79" t="str">
        <f>IF(AND($N1447=$Q$7,$B1447&lt;'111'!$L$11),"x","")</f>
        <v/>
      </c>
      <c r="S1447" s="79" t="str">
        <f>IF(AND($O1447=$Q$7,$B1447&lt;'111'!$L$11),"x","")</f>
        <v/>
      </c>
      <c r="T1447" s="79" t="str">
        <f>IF(ISERROR(FIND('112'!$M$9,G1447,1)),"",IF((AND(FIND('112'!$M$9,G1447,1)&gt;=1,B1447='112'!$K$9,OR($N1447='112'!$I$6,$O1447='112'!$I$6))),"x",""))</f>
        <v/>
      </c>
      <c r="U1447" s="79" t="str">
        <f>IF(ISERROR(FIND('112'!$M$9,G1447,1)),"",IF((AND(LEFT(G1447,2)=LEFT('112'!$M$9,2),B1447&lt;'112'!$K$9,$N1447='112'!$I$6)),"x",""))</f>
        <v/>
      </c>
      <c r="V1447" s="79" t="str">
        <f>IF(ISERROR(FIND('112'!$M$9,G1447,1)),"",IF((AND(RIGHT(G1447,2)=RIGHT('112'!$M$9,2),B1447&lt;'112'!$K$9,$O1447='112'!$I$6)),"x",""))</f>
        <v/>
      </c>
      <c r="W1447" s="79" t="str">
        <f>IF(AND('341-CT'!$H$9=H1447,OR(LEFT(N1447,3)=$W$7,LEFT(O1447,3)=$W$7)),"x","")</f>
        <v/>
      </c>
      <c r="X1447" s="79" t="str">
        <f>IF(OR(TH!N1447=TH!$X$7,O1447=TH!$X$7),"x","")</f>
        <v/>
      </c>
      <c r="Y1447" s="79" t="str">
        <f>IF(AND(OR(N1447="131",O1447="131"),H1447='131-CT'!$H$9),"x","")</f>
        <v/>
      </c>
      <c r="Z1447" s="79"/>
      <c r="AA1447" s="79" t="str">
        <f>IF(AND(MONTH(E1447)='IN-NX'!$J$5,'IN-NX'!$D$7=D1447),"x","")</f>
        <v/>
      </c>
      <c r="AB1447" s="79" t="str">
        <f>IF(AND(OR(LEFT(TH!N1447,2)="15",LEFT(TH!O1447,2)="15"),LEFT(TH!O1447,3)&lt;&gt;"111",'152-CT'!$J$8=TH!F1447),"x","")</f>
        <v/>
      </c>
      <c r="AC1447" s="79" t="str">
        <f>IF(AND(OR(LEFT(TH!N1447,2)="15",LEFT(TH!O1447,2)="15"),TK!$E$7=TH!F1447),"x","")</f>
        <v/>
      </c>
      <c r="AD1447" s="79" t="str">
        <f>IF(AND(N1447="1521",MONTH(C1447)='BK-NL'!$M$11),"x","")</f>
        <v/>
      </c>
    </row>
    <row r="1448" spans="1:30" ht="16.5" customHeight="1">
      <c r="A1448" s="318" t="str">
        <f>IF(B1448&lt;&gt;"",IF(AND(B1448='IN-TC'!$S$4,OR(TH!N1448="1111",TH!O1448="1111")),TH!D1448,""),"")</f>
        <v/>
      </c>
      <c r="B1448" s="60" t="str">
        <f t="shared" ref="B1448:B1458" si="206">IF(C1448&lt;&gt;"",MONTH(C1448),"")</f>
        <v/>
      </c>
      <c r="C1448" s="226"/>
      <c r="D1448" s="226"/>
      <c r="E1448" s="226"/>
      <c r="F1448" s="1010"/>
      <c r="G1448" s="763"/>
      <c r="H1448" s="321"/>
      <c r="I1448" s="385"/>
      <c r="J1448" s="385"/>
      <c r="K1448" s="385"/>
      <c r="L1448" s="392"/>
      <c r="M1448" s="970"/>
      <c r="N1448" s="980"/>
      <c r="O1448" s="980"/>
      <c r="P1448" s="79" t="str">
        <f>IF(AND('331-CT'!$E$7=TH!H1448,OR(N1448="331",O1448="331")),"x","")</f>
        <v/>
      </c>
      <c r="Q1448" s="79" t="str">
        <f>IF(AND(B1448='111'!$L$11,OR($N1448=$Q$7,$O1448=$Q$7)),"x","")</f>
        <v/>
      </c>
      <c r="R1448" s="79" t="str">
        <f>IF(AND($N1448=$Q$7,$B1448&lt;'111'!$L$11),"x","")</f>
        <v/>
      </c>
      <c r="S1448" s="79" t="str">
        <f>IF(AND($O1448=$Q$7,$B1448&lt;'111'!$L$11),"x","")</f>
        <v/>
      </c>
      <c r="T1448" s="79" t="str">
        <f>IF(ISERROR(FIND('112'!$M$9,G1448,1)),"",IF((AND(FIND('112'!$M$9,G1448,1)&gt;=1,B1448='112'!$K$9,OR($N1448='112'!$I$6,$O1448='112'!$I$6))),"x",""))</f>
        <v/>
      </c>
      <c r="U1448" s="79" t="str">
        <f>IF(ISERROR(FIND('112'!$M$9,G1448,1)),"",IF((AND(LEFT(G1448,2)=LEFT('112'!$M$9,2),B1448&lt;'112'!$K$9,$N1448='112'!$I$6)),"x",""))</f>
        <v/>
      </c>
      <c r="V1448" s="79" t="str">
        <f>IF(ISERROR(FIND('112'!$M$9,G1448,1)),"",IF((AND(RIGHT(G1448,2)=RIGHT('112'!$M$9,2),B1448&lt;'112'!$K$9,$O1448='112'!$I$6)),"x",""))</f>
        <v/>
      </c>
      <c r="W1448" s="79" t="str">
        <f>IF(AND('341-CT'!$H$9=H1448,OR(LEFT(N1448,3)=$W$7,LEFT(O1448,3)=$W$7)),"x","")</f>
        <v/>
      </c>
      <c r="X1448" s="79" t="str">
        <f>IF(OR(TH!N1448=TH!$X$7,O1448=TH!$X$7),"x","")</f>
        <v/>
      </c>
      <c r="Y1448" s="79" t="str">
        <f>IF(AND(OR(N1448="131",O1448="131"),H1448='131-CT'!$H$9),"x","")</f>
        <v/>
      </c>
      <c r="Z1448" s="79"/>
      <c r="AA1448" s="79" t="str">
        <f>IF(AND(MONTH(E1448)='IN-NX'!$J$5,'IN-NX'!$D$7=D1448),"x","")</f>
        <v/>
      </c>
      <c r="AB1448" s="79" t="str">
        <f>IF(AND(OR(LEFT(TH!N1448,2)="15",LEFT(TH!O1448,2)="15"),LEFT(TH!O1448,3)&lt;&gt;"111",'152-CT'!$J$8=TH!F1448),"x","")</f>
        <v/>
      </c>
      <c r="AC1448" s="79" t="str">
        <f>IF(AND(OR(LEFT(TH!N1448,2)="15",LEFT(TH!O1448,2)="15"),TK!$E$7=TH!F1448),"x","")</f>
        <v/>
      </c>
      <c r="AD1448" s="79" t="str">
        <f>IF(AND(N1448="1521",MONTH(C1448)='BK-NL'!$M$11),"x","")</f>
        <v/>
      </c>
    </row>
    <row r="1449" spans="1:30" ht="16.5" customHeight="1">
      <c r="A1449" s="318" t="str">
        <f>IF(B1449&lt;&gt;"",IF(AND(B1449='IN-TC'!$S$4,OR(TH!N1449="1111",TH!O1449="1111")),TH!D1449,""),"")</f>
        <v/>
      </c>
      <c r="B1449" s="60" t="str">
        <f t="shared" si="206"/>
        <v/>
      </c>
      <c r="C1449" s="226"/>
      <c r="D1449" s="226"/>
      <c r="E1449" s="226"/>
      <c r="F1449" s="1010"/>
      <c r="G1449" s="763"/>
      <c r="H1449" s="321"/>
      <c r="I1449" s="385"/>
      <c r="J1449" s="385"/>
      <c r="K1449" s="385"/>
      <c r="L1449" s="392"/>
      <c r="M1449" s="970"/>
      <c r="N1449" s="980"/>
      <c r="O1449" s="980"/>
      <c r="P1449" s="79" t="str">
        <f>IF(AND('331-CT'!$E$7=TH!H1449,OR(N1449="331",O1449="331")),"x","")</f>
        <v/>
      </c>
      <c r="Q1449" s="79" t="str">
        <f>IF(AND(B1449='111'!$L$11,OR($N1449=$Q$7,$O1449=$Q$7)),"x","")</f>
        <v/>
      </c>
      <c r="R1449" s="79" t="str">
        <f>IF(AND($N1449=$Q$7,$B1449&lt;'111'!$L$11),"x","")</f>
        <v/>
      </c>
      <c r="S1449" s="79" t="str">
        <f>IF(AND($O1449=$Q$7,$B1449&lt;'111'!$L$11),"x","")</f>
        <v/>
      </c>
      <c r="T1449" s="79" t="str">
        <f>IF(ISERROR(FIND('112'!$M$9,G1449,1)),"",IF((AND(FIND('112'!$M$9,G1449,1)&gt;=1,B1449='112'!$K$9,OR($N1449='112'!$I$6,$O1449='112'!$I$6))),"x",""))</f>
        <v/>
      </c>
      <c r="U1449" s="79" t="str">
        <f>IF(ISERROR(FIND('112'!$M$9,G1449,1)),"",IF((AND(LEFT(G1449,2)=LEFT('112'!$M$9,2),B1449&lt;'112'!$K$9,$N1449='112'!$I$6)),"x",""))</f>
        <v/>
      </c>
      <c r="V1449" s="79" t="str">
        <f>IF(ISERROR(FIND('112'!$M$9,G1449,1)),"",IF((AND(RIGHT(G1449,2)=RIGHT('112'!$M$9,2),B1449&lt;'112'!$K$9,$O1449='112'!$I$6)),"x",""))</f>
        <v/>
      </c>
      <c r="W1449" s="79" t="str">
        <f>IF(AND('341-CT'!$H$9=H1449,OR(LEFT(N1449,3)=$W$7,LEFT(O1449,3)=$W$7)),"x","")</f>
        <v/>
      </c>
      <c r="X1449" s="79" t="str">
        <f>IF(OR(TH!N1449=TH!$X$7,O1449=TH!$X$7),"x","")</f>
        <v/>
      </c>
      <c r="Y1449" s="79" t="str">
        <f>IF(AND(OR(N1449="131",O1449="131"),H1449='131-CT'!$H$9),"x","")</f>
        <v/>
      </c>
      <c r="Z1449" s="79"/>
      <c r="AA1449" s="79" t="str">
        <f>IF(AND(MONTH(E1449)='IN-NX'!$J$5,'IN-NX'!$D$7=D1449),"x","")</f>
        <v/>
      </c>
      <c r="AB1449" s="79" t="str">
        <f>IF(AND(OR(LEFT(TH!N1449,2)="15",LEFT(TH!O1449,2)="15"),LEFT(TH!O1449,3)&lt;&gt;"111",'152-CT'!$J$8=TH!F1449),"x","")</f>
        <v/>
      </c>
      <c r="AC1449" s="79" t="str">
        <f>IF(AND(OR(LEFT(TH!N1449,2)="15",LEFT(TH!O1449,2)="15"),TK!$E$7=TH!F1449),"x","")</f>
        <v/>
      </c>
      <c r="AD1449" s="79" t="str">
        <f>IF(AND(N1449="1521",MONTH(C1449)='BK-NL'!$M$11),"x","")</f>
        <v/>
      </c>
    </row>
    <row r="1450" spans="1:30" ht="16.5" customHeight="1">
      <c r="A1450" s="318" t="str">
        <f>IF(B1450&lt;&gt;"",IF(AND(B1450='IN-TC'!$S$4,OR(TH!N1450="1111",TH!O1450="1111")),TH!D1450,""),"")</f>
        <v/>
      </c>
      <c r="B1450" s="60" t="str">
        <f t="shared" si="206"/>
        <v/>
      </c>
      <c r="C1450" s="226"/>
      <c r="D1450" s="226"/>
      <c r="E1450" s="226"/>
      <c r="F1450" s="1010"/>
      <c r="G1450" s="763"/>
      <c r="H1450" s="321"/>
      <c r="I1450" s="385"/>
      <c r="J1450" s="385"/>
      <c r="K1450" s="385"/>
      <c r="L1450" s="392"/>
      <c r="M1450" s="970"/>
      <c r="N1450" s="980"/>
      <c r="O1450" s="980"/>
      <c r="P1450" s="79" t="str">
        <f>IF(AND('331-CT'!$E$7=TH!H1450,OR(N1450="331",O1450="331")),"x","")</f>
        <v/>
      </c>
      <c r="Q1450" s="79" t="str">
        <f>IF(AND(B1450='111'!$L$11,OR($N1450=$Q$7,$O1450=$Q$7)),"x","")</f>
        <v/>
      </c>
      <c r="R1450" s="79" t="str">
        <f>IF(AND($N1450=$Q$7,$B1450&lt;'111'!$L$11),"x","")</f>
        <v/>
      </c>
      <c r="S1450" s="79" t="str">
        <f>IF(AND($O1450=$Q$7,$B1450&lt;'111'!$L$11),"x","")</f>
        <v/>
      </c>
      <c r="T1450" s="79" t="str">
        <f>IF(ISERROR(FIND('112'!$M$9,G1450,1)),"",IF((AND(FIND('112'!$M$9,G1450,1)&gt;=1,B1450='112'!$K$9,OR($N1450='112'!$I$6,$O1450='112'!$I$6))),"x",""))</f>
        <v/>
      </c>
      <c r="U1450" s="79" t="str">
        <f>IF(ISERROR(FIND('112'!$M$9,G1450,1)),"",IF((AND(LEFT(G1450,2)=LEFT('112'!$M$9,2),B1450&lt;'112'!$K$9,$N1450='112'!$I$6)),"x",""))</f>
        <v/>
      </c>
      <c r="V1450" s="79" t="str">
        <f>IF(ISERROR(FIND('112'!$M$9,G1450,1)),"",IF((AND(RIGHT(G1450,2)=RIGHT('112'!$M$9,2),B1450&lt;'112'!$K$9,$O1450='112'!$I$6)),"x",""))</f>
        <v/>
      </c>
      <c r="W1450" s="79" t="str">
        <f>IF(AND('341-CT'!$H$9=H1450,OR(LEFT(N1450,3)=$W$7,LEFT(O1450,3)=$W$7)),"x","")</f>
        <v/>
      </c>
      <c r="X1450" s="79" t="str">
        <f>IF(OR(TH!N1450=TH!$X$7,O1450=TH!$X$7),"x","")</f>
        <v/>
      </c>
      <c r="Y1450" s="79" t="str">
        <f>IF(AND(OR(N1450="131",O1450="131"),H1450='131-CT'!$H$9),"x","")</f>
        <v/>
      </c>
      <c r="Z1450" s="79"/>
      <c r="AA1450" s="79" t="str">
        <f>IF(AND(MONTH(E1450)='IN-NX'!$J$5,'IN-NX'!$D$7=D1450),"x","")</f>
        <v/>
      </c>
      <c r="AB1450" s="79" t="str">
        <f>IF(AND(OR(LEFT(TH!N1450,2)="15",LEFT(TH!O1450,2)="15"),LEFT(TH!O1450,3)&lt;&gt;"111",'152-CT'!$J$8=TH!F1450),"x","")</f>
        <v/>
      </c>
      <c r="AC1450" s="79" t="str">
        <f>IF(AND(OR(LEFT(TH!N1450,2)="15",LEFT(TH!O1450,2)="15"),TK!$E$7=TH!F1450),"x","")</f>
        <v/>
      </c>
      <c r="AD1450" s="79" t="str">
        <f>IF(AND(N1450="1521",MONTH(C1450)='BK-NL'!$M$11),"x","")</f>
        <v/>
      </c>
    </row>
    <row r="1451" spans="1:30" ht="16.5" customHeight="1">
      <c r="A1451" s="318" t="str">
        <f>IF(B1451&lt;&gt;"",IF(AND(B1451='IN-TC'!$S$4,OR(TH!N1451="1111",TH!O1451="1111")),TH!D1451,""),"")</f>
        <v/>
      </c>
      <c r="B1451" s="60" t="str">
        <f t="shared" si="206"/>
        <v/>
      </c>
      <c r="C1451" s="226"/>
      <c r="D1451" s="226"/>
      <c r="E1451" s="226"/>
      <c r="F1451" s="1010"/>
      <c r="G1451" s="763"/>
      <c r="H1451" s="321"/>
      <c r="I1451" s="385"/>
      <c r="J1451" s="385"/>
      <c r="K1451" s="385"/>
      <c r="L1451" s="392"/>
      <c r="M1451" s="970"/>
      <c r="N1451" s="980"/>
      <c r="O1451" s="980"/>
      <c r="P1451" s="79" t="str">
        <f>IF(AND('331-CT'!$E$7=TH!H1451,OR(N1451="331",O1451="331")),"x","")</f>
        <v/>
      </c>
      <c r="Q1451" s="79" t="str">
        <f>IF(AND(B1451='111'!$L$11,OR($N1451=$Q$7,$O1451=$Q$7)),"x","")</f>
        <v/>
      </c>
      <c r="R1451" s="79" t="str">
        <f>IF(AND($N1451=$Q$7,$B1451&lt;'111'!$L$11),"x","")</f>
        <v/>
      </c>
      <c r="S1451" s="79" t="str">
        <f>IF(AND($O1451=$Q$7,$B1451&lt;'111'!$L$11),"x","")</f>
        <v/>
      </c>
      <c r="T1451" s="79" t="str">
        <f>IF(ISERROR(FIND('112'!$M$9,G1451,1)),"",IF((AND(FIND('112'!$M$9,G1451,1)&gt;=1,B1451='112'!$K$9,OR($N1451='112'!$I$6,$O1451='112'!$I$6))),"x",""))</f>
        <v/>
      </c>
      <c r="U1451" s="79" t="str">
        <f>IF(ISERROR(FIND('112'!$M$9,G1451,1)),"",IF((AND(LEFT(G1451,2)=LEFT('112'!$M$9,2),B1451&lt;'112'!$K$9,$N1451='112'!$I$6)),"x",""))</f>
        <v/>
      </c>
      <c r="V1451" s="79" t="str">
        <f>IF(ISERROR(FIND('112'!$M$9,G1451,1)),"",IF((AND(RIGHT(G1451,2)=RIGHT('112'!$M$9,2),B1451&lt;'112'!$K$9,$O1451='112'!$I$6)),"x",""))</f>
        <v/>
      </c>
      <c r="W1451" s="79" t="str">
        <f>IF(AND('341-CT'!$H$9=H1451,OR(LEFT(N1451,3)=$W$7,LEFT(O1451,3)=$W$7)),"x","")</f>
        <v/>
      </c>
      <c r="X1451" s="79" t="str">
        <f>IF(OR(TH!N1451=TH!$X$7,O1451=TH!$X$7),"x","")</f>
        <v/>
      </c>
      <c r="Y1451" s="79" t="str">
        <f>IF(AND(OR(N1451="131",O1451="131"),H1451='131-CT'!$H$9),"x","")</f>
        <v/>
      </c>
      <c r="Z1451" s="79"/>
      <c r="AA1451" s="79" t="str">
        <f>IF(AND(MONTH(E1451)='IN-NX'!$J$5,'IN-NX'!$D$7=D1451),"x","")</f>
        <v/>
      </c>
      <c r="AB1451" s="79" t="str">
        <f>IF(AND(OR(LEFT(TH!N1451,2)="15",LEFT(TH!O1451,2)="15"),LEFT(TH!O1451,3)&lt;&gt;"111",'152-CT'!$J$8=TH!F1451),"x","")</f>
        <v/>
      </c>
      <c r="AC1451" s="79" t="str">
        <f>IF(AND(OR(LEFT(TH!N1451,2)="15",LEFT(TH!O1451,2)="15"),TK!$E$7=TH!F1451),"x","")</f>
        <v/>
      </c>
      <c r="AD1451" s="79" t="str">
        <f>IF(AND(N1451="1521",MONTH(C1451)='BK-NL'!$M$11),"x","")</f>
        <v/>
      </c>
    </row>
    <row r="1452" spans="1:30" ht="16.5" customHeight="1">
      <c r="A1452" s="318" t="str">
        <f>IF(B1452&lt;&gt;"",IF(AND(B1452='IN-TC'!$S$4,OR(TH!N1452="1111",TH!O1452="1111")),TH!D1452,""),"")</f>
        <v/>
      </c>
      <c r="B1452" s="60" t="str">
        <f t="shared" si="206"/>
        <v/>
      </c>
      <c r="C1452" s="226"/>
      <c r="D1452" s="226"/>
      <c r="E1452" s="226"/>
      <c r="F1452" s="1010"/>
      <c r="G1452" s="763"/>
      <c r="H1452" s="321"/>
      <c r="I1452" s="385"/>
      <c r="J1452" s="385"/>
      <c r="K1452" s="385"/>
      <c r="L1452" s="392"/>
      <c r="M1452" s="970"/>
      <c r="N1452" s="980"/>
      <c r="O1452" s="980"/>
      <c r="P1452" s="79" t="str">
        <f>IF(AND('331-CT'!$E$7=TH!H1452,OR(N1452="331",O1452="331")),"x","")</f>
        <v/>
      </c>
      <c r="Q1452" s="79" t="str">
        <f>IF(AND(B1452='111'!$L$11,OR($N1452=$Q$7,$O1452=$Q$7)),"x","")</f>
        <v/>
      </c>
      <c r="R1452" s="79" t="str">
        <f>IF(AND($N1452=$Q$7,$B1452&lt;'111'!$L$11),"x","")</f>
        <v/>
      </c>
      <c r="S1452" s="79" t="str">
        <f>IF(AND($O1452=$Q$7,$B1452&lt;'111'!$L$11),"x","")</f>
        <v/>
      </c>
      <c r="T1452" s="79" t="str">
        <f>IF(ISERROR(FIND('112'!$M$9,G1452,1)),"",IF((AND(FIND('112'!$M$9,G1452,1)&gt;=1,B1452='112'!$K$9,OR($N1452='112'!$I$6,$O1452='112'!$I$6))),"x",""))</f>
        <v/>
      </c>
      <c r="U1452" s="79" t="str">
        <f>IF(ISERROR(FIND('112'!$M$9,G1452,1)),"",IF((AND(LEFT(G1452,2)=LEFT('112'!$M$9,2),B1452&lt;'112'!$K$9,$N1452='112'!$I$6)),"x",""))</f>
        <v/>
      </c>
      <c r="V1452" s="79" t="str">
        <f>IF(ISERROR(FIND('112'!$M$9,G1452,1)),"",IF((AND(RIGHT(G1452,2)=RIGHT('112'!$M$9,2),B1452&lt;'112'!$K$9,$O1452='112'!$I$6)),"x",""))</f>
        <v/>
      </c>
      <c r="W1452" s="79" t="str">
        <f>IF(AND('341-CT'!$H$9=H1452,OR(LEFT(N1452,3)=$W$7,LEFT(O1452,3)=$W$7)),"x","")</f>
        <v/>
      </c>
      <c r="X1452" s="79" t="str">
        <f>IF(OR(TH!N1452=TH!$X$7,O1452=TH!$X$7),"x","")</f>
        <v/>
      </c>
      <c r="Y1452" s="79" t="str">
        <f>IF(AND(OR(N1452="131",O1452="131"),H1452='131-CT'!$H$9),"x","")</f>
        <v/>
      </c>
      <c r="Z1452" s="79"/>
      <c r="AA1452" s="79" t="str">
        <f>IF(AND(MONTH(E1452)='IN-NX'!$J$5,'IN-NX'!$D$7=D1452),"x","")</f>
        <v/>
      </c>
      <c r="AB1452" s="79" t="str">
        <f>IF(AND(OR(LEFT(TH!N1452,2)="15",LEFT(TH!O1452,2)="15"),LEFT(TH!O1452,3)&lt;&gt;"111",'152-CT'!$J$8=TH!F1452),"x","")</f>
        <v/>
      </c>
      <c r="AC1452" s="79" t="str">
        <f>IF(AND(OR(LEFT(TH!N1452,2)="15",LEFT(TH!O1452,2)="15"),TK!$E$7=TH!F1452),"x","")</f>
        <v/>
      </c>
      <c r="AD1452" s="79" t="str">
        <f>IF(AND(N1452="1521",MONTH(C1452)='BK-NL'!$M$11),"x","")</f>
        <v/>
      </c>
    </row>
    <row r="1453" spans="1:30" ht="16.5" customHeight="1">
      <c r="A1453" s="318" t="str">
        <f>IF(B1453&lt;&gt;"",IF(AND(B1453='IN-TC'!$S$4,OR(TH!N1453="1111",TH!O1453="1111")),TH!D1453,""),"")</f>
        <v/>
      </c>
      <c r="B1453" s="60" t="str">
        <f t="shared" si="206"/>
        <v/>
      </c>
      <c r="C1453" s="226"/>
      <c r="D1453" s="226"/>
      <c r="E1453" s="226"/>
      <c r="F1453" s="1010"/>
      <c r="G1453" s="763"/>
      <c r="H1453" s="321"/>
      <c r="I1453" s="385"/>
      <c r="J1453" s="385"/>
      <c r="K1453" s="385"/>
      <c r="L1453" s="392"/>
      <c r="M1453" s="970"/>
      <c r="N1453" s="980"/>
      <c r="O1453" s="980"/>
      <c r="P1453" s="79" t="str">
        <f>IF(AND('331-CT'!$E$7=TH!H1453,OR(N1453="331",O1453="331")),"x","")</f>
        <v/>
      </c>
      <c r="Q1453" s="79" t="str">
        <f>IF(AND(B1453='111'!$L$11,OR($N1453=$Q$7,$O1453=$Q$7)),"x","")</f>
        <v/>
      </c>
      <c r="R1453" s="79" t="str">
        <f>IF(AND($N1453=$Q$7,$B1453&lt;'111'!$L$11),"x","")</f>
        <v/>
      </c>
      <c r="S1453" s="79" t="str">
        <f>IF(AND($O1453=$Q$7,$B1453&lt;'111'!$L$11),"x","")</f>
        <v/>
      </c>
      <c r="T1453" s="79" t="str">
        <f>IF(ISERROR(FIND('112'!$M$9,G1453,1)),"",IF((AND(FIND('112'!$M$9,G1453,1)&gt;=1,B1453='112'!$K$9,OR($N1453='112'!$I$6,$O1453='112'!$I$6))),"x",""))</f>
        <v/>
      </c>
      <c r="U1453" s="79" t="str">
        <f>IF(ISERROR(FIND('112'!$M$9,G1453,1)),"",IF((AND(LEFT(G1453,2)=LEFT('112'!$M$9,2),B1453&lt;'112'!$K$9,$N1453='112'!$I$6)),"x",""))</f>
        <v/>
      </c>
      <c r="V1453" s="79" t="str">
        <f>IF(ISERROR(FIND('112'!$M$9,G1453,1)),"",IF((AND(RIGHT(G1453,2)=RIGHT('112'!$M$9,2),B1453&lt;'112'!$K$9,$O1453='112'!$I$6)),"x",""))</f>
        <v/>
      </c>
      <c r="W1453" s="79" t="str">
        <f>IF(AND('341-CT'!$H$9=H1453,OR(LEFT(N1453,3)=$W$7,LEFT(O1453,3)=$W$7)),"x","")</f>
        <v/>
      </c>
      <c r="X1453" s="79" t="str">
        <f>IF(OR(TH!N1453=TH!$X$7,O1453=TH!$X$7),"x","")</f>
        <v/>
      </c>
      <c r="Y1453" s="79" t="str">
        <f>IF(AND(OR(N1453="131",O1453="131"),H1453='131-CT'!$H$9),"x","")</f>
        <v/>
      </c>
      <c r="Z1453" s="79"/>
      <c r="AA1453" s="79" t="str">
        <f>IF(AND(MONTH(E1453)='IN-NX'!$J$5,'IN-NX'!$D$7=D1453),"x","")</f>
        <v/>
      </c>
      <c r="AB1453" s="79" t="str">
        <f>IF(AND(OR(LEFT(TH!N1453,2)="15",LEFT(TH!O1453,2)="15"),LEFT(TH!O1453,3)&lt;&gt;"111",'152-CT'!$J$8=TH!F1453),"x","")</f>
        <v/>
      </c>
      <c r="AC1453" s="79" t="str">
        <f>IF(AND(OR(LEFT(TH!N1453,2)="15",LEFT(TH!O1453,2)="15"),TK!$E$7=TH!F1453),"x","")</f>
        <v/>
      </c>
      <c r="AD1453" s="79" t="str">
        <f>IF(AND(N1453="1521",MONTH(C1453)='BK-NL'!$M$11),"x","")</f>
        <v/>
      </c>
    </row>
    <row r="1454" spans="1:30" ht="16.5" customHeight="1">
      <c r="A1454" s="318" t="str">
        <f>IF(B1454&lt;&gt;"",IF(AND(B1454='IN-TC'!$S$4,OR(TH!N1454="1111",TH!O1454="1111")),TH!D1454,""),"")</f>
        <v/>
      </c>
      <c r="B1454" s="60" t="str">
        <f t="shared" si="206"/>
        <v/>
      </c>
      <c r="C1454" s="226"/>
      <c r="D1454" s="226"/>
      <c r="E1454" s="226"/>
      <c r="F1454" s="1010"/>
      <c r="G1454" s="763"/>
      <c r="H1454" s="321"/>
      <c r="I1454" s="385"/>
      <c r="J1454" s="385"/>
      <c r="K1454" s="385"/>
      <c r="L1454" s="392"/>
      <c r="M1454" s="970"/>
      <c r="N1454" s="980"/>
      <c r="O1454" s="980"/>
      <c r="P1454" s="79" t="str">
        <f>IF(AND('331-CT'!$E$7=TH!H1454,OR(N1454="331",O1454="331")),"x","")</f>
        <v/>
      </c>
      <c r="Q1454" s="79" t="str">
        <f>IF(AND(B1454='111'!$L$11,OR($N1454=$Q$7,$O1454=$Q$7)),"x","")</f>
        <v/>
      </c>
      <c r="R1454" s="79" t="str">
        <f>IF(AND($N1454=$Q$7,$B1454&lt;'111'!$L$11),"x","")</f>
        <v/>
      </c>
      <c r="S1454" s="79" t="str">
        <f>IF(AND($O1454=$Q$7,$B1454&lt;'111'!$L$11),"x","")</f>
        <v/>
      </c>
      <c r="T1454" s="79" t="str">
        <f>IF(ISERROR(FIND('112'!$M$9,G1454,1)),"",IF((AND(FIND('112'!$M$9,G1454,1)&gt;=1,B1454='112'!$K$9,OR($N1454='112'!$I$6,$O1454='112'!$I$6))),"x",""))</f>
        <v/>
      </c>
      <c r="U1454" s="79" t="str">
        <f>IF(ISERROR(FIND('112'!$M$9,G1454,1)),"",IF((AND(LEFT(G1454,2)=LEFT('112'!$M$9,2),B1454&lt;'112'!$K$9,$N1454='112'!$I$6)),"x",""))</f>
        <v/>
      </c>
      <c r="V1454" s="79" t="str">
        <f>IF(ISERROR(FIND('112'!$M$9,G1454,1)),"",IF((AND(RIGHT(G1454,2)=RIGHT('112'!$M$9,2),B1454&lt;'112'!$K$9,$O1454='112'!$I$6)),"x",""))</f>
        <v/>
      </c>
      <c r="W1454" s="79" t="str">
        <f>IF(AND('341-CT'!$H$9=H1454,OR(LEFT(N1454,3)=$W$7,LEFT(O1454,3)=$W$7)),"x","")</f>
        <v/>
      </c>
      <c r="X1454" s="79" t="str">
        <f>IF(OR(TH!N1454=TH!$X$7,O1454=TH!$X$7),"x","")</f>
        <v/>
      </c>
      <c r="Y1454" s="79" t="str">
        <f>IF(AND(OR(N1454="131",O1454="131"),H1454='131-CT'!$H$9),"x","")</f>
        <v/>
      </c>
      <c r="Z1454" s="79"/>
      <c r="AA1454" s="79" t="str">
        <f>IF(AND(MONTH(E1454)='IN-NX'!$J$5,'IN-NX'!$D$7=D1454),"x","")</f>
        <v/>
      </c>
      <c r="AB1454" s="79" t="str">
        <f>IF(AND(OR(LEFT(TH!N1454,2)="15",LEFT(TH!O1454,2)="15"),LEFT(TH!O1454,3)&lt;&gt;"111",'152-CT'!$J$8=TH!F1454),"x","")</f>
        <v/>
      </c>
      <c r="AC1454" s="79" t="str">
        <f>IF(AND(OR(LEFT(TH!N1454,2)="15",LEFT(TH!O1454,2)="15"),TK!$E$7=TH!F1454),"x","")</f>
        <v/>
      </c>
      <c r="AD1454" s="79" t="str">
        <f>IF(AND(N1454="1521",MONTH(C1454)='BK-NL'!$M$11),"x","")</f>
        <v/>
      </c>
    </row>
    <row r="1455" spans="1:30" ht="16.5" customHeight="1">
      <c r="A1455" s="318" t="str">
        <f>IF(B1455&lt;&gt;"",IF(AND(B1455='IN-TC'!$S$4,OR(TH!N1455="1111",TH!O1455="1111")),TH!D1455,""),"")</f>
        <v/>
      </c>
      <c r="B1455" s="60" t="str">
        <f t="shared" si="206"/>
        <v/>
      </c>
      <c r="C1455" s="226"/>
      <c r="D1455" s="226"/>
      <c r="E1455" s="226"/>
      <c r="F1455" s="1010"/>
      <c r="G1455" s="763"/>
      <c r="H1455" s="321"/>
      <c r="I1455" s="385"/>
      <c r="J1455" s="385"/>
      <c r="K1455" s="385"/>
      <c r="L1455" s="392"/>
      <c r="M1455" s="970"/>
      <c r="N1455" s="980"/>
      <c r="O1455" s="980"/>
      <c r="P1455" s="79" t="str">
        <f>IF(AND('331-CT'!$E$7=TH!H1455,OR(N1455="331",O1455="331")),"x","")</f>
        <v/>
      </c>
      <c r="Q1455" s="79" t="str">
        <f>IF(AND(B1455='111'!$L$11,OR($N1455=$Q$7,$O1455=$Q$7)),"x","")</f>
        <v/>
      </c>
      <c r="R1455" s="79" t="str">
        <f>IF(AND($N1455=$Q$7,$B1455&lt;'111'!$L$11),"x","")</f>
        <v/>
      </c>
      <c r="S1455" s="79" t="str">
        <f>IF(AND($O1455=$Q$7,$B1455&lt;'111'!$L$11),"x","")</f>
        <v/>
      </c>
      <c r="T1455" s="79" t="str">
        <f>IF(ISERROR(FIND('112'!$M$9,G1455,1)),"",IF((AND(FIND('112'!$M$9,G1455,1)&gt;=1,B1455='112'!$K$9,OR($N1455='112'!$I$6,$O1455='112'!$I$6))),"x",""))</f>
        <v/>
      </c>
      <c r="U1455" s="79" t="str">
        <f>IF(ISERROR(FIND('112'!$M$9,G1455,1)),"",IF((AND(LEFT(G1455,2)=LEFT('112'!$M$9,2),B1455&lt;'112'!$K$9,$N1455='112'!$I$6)),"x",""))</f>
        <v/>
      </c>
      <c r="V1455" s="79" t="str">
        <f>IF(ISERROR(FIND('112'!$M$9,G1455,1)),"",IF((AND(RIGHT(G1455,2)=RIGHT('112'!$M$9,2),B1455&lt;'112'!$K$9,$O1455='112'!$I$6)),"x",""))</f>
        <v/>
      </c>
      <c r="W1455" s="79" t="str">
        <f>IF(AND('341-CT'!$H$9=H1455,OR(LEFT(N1455,3)=$W$7,LEFT(O1455,3)=$W$7)),"x","")</f>
        <v/>
      </c>
      <c r="X1455" s="79" t="str">
        <f>IF(OR(TH!N1455=TH!$X$7,O1455=TH!$X$7),"x","")</f>
        <v/>
      </c>
      <c r="Y1455" s="79" t="str">
        <f>IF(AND(OR(N1455="131",O1455="131"),H1455='131-CT'!$H$9),"x","")</f>
        <v/>
      </c>
      <c r="Z1455" s="79"/>
      <c r="AA1455" s="79" t="str">
        <f>IF(AND(MONTH(E1455)='IN-NX'!$J$5,'IN-NX'!$D$7=D1455),"x","")</f>
        <v/>
      </c>
      <c r="AB1455" s="79" t="str">
        <f>IF(AND(OR(LEFT(TH!N1455,2)="15",LEFT(TH!O1455,2)="15"),LEFT(TH!O1455,3)&lt;&gt;"111",'152-CT'!$J$8=TH!F1455),"x","")</f>
        <v/>
      </c>
      <c r="AC1455" s="79" t="str">
        <f>IF(AND(OR(LEFT(TH!N1455,2)="15",LEFT(TH!O1455,2)="15"),TK!$E$7=TH!F1455),"x","")</f>
        <v/>
      </c>
      <c r="AD1455" s="79" t="str">
        <f>IF(AND(N1455="1521",MONTH(C1455)='BK-NL'!$M$11),"x","")</f>
        <v/>
      </c>
    </row>
    <row r="1456" spans="1:30" ht="16.5" customHeight="1">
      <c r="A1456" s="318" t="str">
        <f>IF(B1456&lt;&gt;"",IF(AND(B1456='IN-TC'!$S$4,OR(TH!N1456="1111",TH!O1456="1111")),TH!D1456,""),"")</f>
        <v/>
      </c>
      <c r="B1456" s="60" t="str">
        <f t="shared" si="206"/>
        <v/>
      </c>
      <c r="C1456" s="226"/>
      <c r="D1456" s="226"/>
      <c r="E1456" s="226"/>
      <c r="F1456" s="1010"/>
      <c r="G1456" s="763"/>
      <c r="H1456" s="321"/>
      <c r="I1456" s="385"/>
      <c r="J1456" s="385"/>
      <c r="K1456" s="385"/>
      <c r="L1456" s="392"/>
      <c r="M1456" s="970"/>
      <c r="N1456" s="980"/>
      <c r="O1456" s="980"/>
      <c r="P1456" s="79" t="str">
        <f>IF(AND('331-CT'!$E$7=TH!H1456,OR(N1456="331",O1456="331")),"x","")</f>
        <v/>
      </c>
      <c r="Q1456" s="79" t="str">
        <f>IF(AND(B1456='111'!$L$11,OR($N1456=$Q$7,$O1456=$Q$7)),"x","")</f>
        <v/>
      </c>
      <c r="R1456" s="79" t="str">
        <f>IF(AND($N1456=$Q$7,$B1456&lt;'111'!$L$11),"x","")</f>
        <v/>
      </c>
      <c r="S1456" s="79" t="str">
        <f>IF(AND($O1456=$Q$7,$B1456&lt;'111'!$L$11),"x","")</f>
        <v/>
      </c>
      <c r="T1456" s="79" t="str">
        <f>IF(ISERROR(FIND('112'!$M$9,G1456,1)),"",IF((AND(FIND('112'!$M$9,G1456,1)&gt;=1,B1456='112'!$K$9,OR($N1456='112'!$I$6,$O1456='112'!$I$6))),"x",""))</f>
        <v/>
      </c>
      <c r="U1456" s="79" t="str">
        <f>IF(ISERROR(FIND('112'!$M$9,G1456,1)),"",IF((AND(LEFT(G1456,2)=LEFT('112'!$M$9,2),B1456&lt;'112'!$K$9,$N1456='112'!$I$6)),"x",""))</f>
        <v/>
      </c>
      <c r="V1456" s="79" t="str">
        <f>IF(ISERROR(FIND('112'!$M$9,G1456,1)),"",IF((AND(RIGHT(G1456,2)=RIGHT('112'!$M$9,2),B1456&lt;'112'!$K$9,$O1456='112'!$I$6)),"x",""))</f>
        <v/>
      </c>
      <c r="W1456" s="79" t="str">
        <f>IF(AND('341-CT'!$H$9=H1456,OR(LEFT(N1456,3)=$W$7,LEFT(O1456,3)=$W$7)),"x","")</f>
        <v/>
      </c>
      <c r="X1456" s="79" t="str">
        <f>IF(OR(TH!N1456=TH!$X$7,O1456=TH!$X$7),"x","")</f>
        <v/>
      </c>
      <c r="Y1456" s="79" t="str">
        <f>IF(AND(OR(N1456="131",O1456="131"),H1456='131-CT'!$H$9),"x","")</f>
        <v/>
      </c>
      <c r="Z1456" s="79"/>
      <c r="AA1456" s="79" t="str">
        <f>IF(AND(MONTH(E1456)='IN-NX'!$J$5,'IN-NX'!$D$7=D1456),"x","")</f>
        <v/>
      </c>
      <c r="AB1456" s="79" t="str">
        <f>IF(AND(OR(LEFT(TH!N1456,2)="15",LEFT(TH!O1456,2)="15"),LEFT(TH!O1456,3)&lt;&gt;"111",'152-CT'!$J$8=TH!F1456),"x","")</f>
        <v/>
      </c>
      <c r="AC1456" s="79" t="str">
        <f>IF(AND(OR(LEFT(TH!N1456,2)="15",LEFT(TH!O1456,2)="15"),TK!$E$7=TH!F1456),"x","")</f>
        <v/>
      </c>
      <c r="AD1456" s="79" t="str">
        <f>IF(AND(N1456="1521",MONTH(C1456)='BK-NL'!$M$11),"x","")</f>
        <v/>
      </c>
    </row>
    <row r="1457" spans="1:30" ht="16.5" customHeight="1">
      <c r="A1457" s="318" t="str">
        <f>IF(B1457&lt;&gt;"",IF(AND(B1457='IN-TC'!$S$4,OR(TH!N1457="1111",TH!O1457="1111")),TH!D1457,""),"")</f>
        <v/>
      </c>
      <c r="B1457" s="60" t="str">
        <f t="shared" si="206"/>
        <v/>
      </c>
      <c r="C1457" s="226"/>
      <c r="D1457" s="226"/>
      <c r="E1457" s="226"/>
      <c r="F1457" s="1010"/>
      <c r="G1457" s="763"/>
      <c r="H1457" s="321"/>
      <c r="I1457" s="385"/>
      <c r="J1457" s="385"/>
      <c r="K1457" s="385"/>
      <c r="L1457" s="392"/>
      <c r="M1457" s="970"/>
      <c r="N1457" s="980"/>
      <c r="O1457" s="980"/>
      <c r="P1457" s="79" t="str">
        <f>IF(AND('331-CT'!$E$7=TH!H1457,OR(N1457="331",O1457="331")),"x","")</f>
        <v/>
      </c>
      <c r="Q1457" s="79" t="str">
        <f>IF(AND(B1457='111'!$L$11,OR($N1457=$Q$7,$O1457=$Q$7)),"x","")</f>
        <v/>
      </c>
      <c r="R1457" s="79" t="str">
        <f>IF(AND($N1457=$Q$7,$B1457&lt;'111'!$L$11),"x","")</f>
        <v/>
      </c>
      <c r="S1457" s="79" t="str">
        <f>IF(AND($O1457=$Q$7,$B1457&lt;'111'!$L$11),"x","")</f>
        <v/>
      </c>
      <c r="T1457" s="79" t="str">
        <f>IF(ISERROR(FIND('112'!$M$9,G1457,1)),"",IF((AND(FIND('112'!$M$9,G1457,1)&gt;=1,B1457='112'!$K$9,OR($N1457='112'!$I$6,$O1457='112'!$I$6))),"x",""))</f>
        <v/>
      </c>
      <c r="U1457" s="79" t="str">
        <f>IF(ISERROR(FIND('112'!$M$9,G1457,1)),"",IF((AND(LEFT(G1457,2)=LEFT('112'!$M$9,2),B1457&lt;'112'!$K$9,$N1457='112'!$I$6)),"x",""))</f>
        <v/>
      </c>
      <c r="V1457" s="79" t="str">
        <f>IF(ISERROR(FIND('112'!$M$9,G1457,1)),"",IF((AND(RIGHT(G1457,2)=RIGHT('112'!$M$9,2),B1457&lt;'112'!$K$9,$O1457='112'!$I$6)),"x",""))</f>
        <v/>
      </c>
      <c r="W1457" s="79" t="str">
        <f>IF(AND('341-CT'!$H$9=H1457,OR(LEFT(N1457,3)=$W$7,LEFT(O1457,3)=$W$7)),"x","")</f>
        <v/>
      </c>
      <c r="X1457" s="79" t="str">
        <f>IF(OR(TH!N1457=TH!$X$7,O1457=TH!$X$7),"x","")</f>
        <v/>
      </c>
      <c r="Y1457" s="79" t="str">
        <f>IF(AND(OR(N1457="131",O1457="131"),H1457='131-CT'!$H$9),"x","")</f>
        <v/>
      </c>
      <c r="Z1457" s="79"/>
      <c r="AA1457" s="79" t="str">
        <f>IF(AND(MONTH(E1457)='IN-NX'!$J$5,'IN-NX'!$D$7=D1457),"x","")</f>
        <v/>
      </c>
      <c r="AB1457" s="79" t="str">
        <f>IF(AND(OR(LEFT(TH!N1457,2)="15",LEFT(TH!O1457,2)="15"),LEFT(TH!O1457,3)&lt;&gt;"111",'152-CT'!$J$8=TH!F1457),"x","")</f>
        <v/>
      </c>
      <c r="AC1457" s="79" t="str">
        <f>IF(AND(OR(LEFT(TH!N1457,2)="15",LEFT(TH!O1457,2)="15"),TK!$E$7=TH!F1457),"x","")</f>
        <v/>
      </c>
      <c r="AD1457" s="79" t="str">
        <f>IF(AND(N1457="1521",MONTH(C1457)='BK-NL'!$M$11),"x","")</f>
        <v/>
      </c>
    </row>
    <row r="1458" spans="1:30" ht="16.5" customHeight="1">
      <c r="A1458" s="318" t="str">
        <f>IF(B1458&lt;&gt;"",IF(AND(B1458='IN-TC'!$S$4,OR(TH!N1458="1111",TH!O1458="1111")),TH!D1458,""),"")</f>
        <v/>
      </c>
      <c r="B1458" s="60" t="str">
        <f t="shared" si="206"/>
        <v/>
      </c>
      <c r="C1458" s="226"/>
      <c r="D1458" s="226"/>
      <c r="E1458" s="226"/>
      <c r="F1458" s="1010"/>
      <c r="G1458" s="763"/>
      <c r="H1458" s="321"/>
      <c r="I1458" s="385"/>
      <c r="J1458" s="385"/>
      <c r="K1458" s="385"/>
      <c r="L1458" s="392"/>
      <c r="M1458" s="970"/>
      <c r="N1458" s="980"/>
      <c r="O1458" s="980"/>
      <c r="P1458" s="79" t="str">
        <f>IF(AND('331-CT'!$E$7=TH!H1458,OR(N1458="331",O1458="331")),"x","")</f>
        <v/>
      </c>
      <c r="Q1458" s="79" t="str">
        <f>IF(AND(B1458='111'!$L$11,OR($N1458=$Q$7,$O1458=$Q$7)),"x","")</f>
        <v/>
      </c>
      <c r="R1458" s="79" t="str">
        <f>IF(AND($N1458=$Q$7,$B1458&lt;'111'!$L$11),"x","")</f>
        <v/>
      </c>
      <c r="S1458" s="79" t="str">
        <f>IF(AND($O1458=$Q$7,$B1458&lt;'111'!$L$11),"x","")</f>
        <v/>
      </c>
      <c r="T1458" s="79" t="str">
        <f>IF(ISERROR(FIND('112'!$M$9,G1458,1)),"",IF((AND(FIND('112'!$M$9,G1458,1)&gt;=1,B1458='112'!$K$9,OR($N1458='112'!$I$6,$O1458='112'!$I$6))),"x",""))</f>
        <v/>
      </c>
      <c r="U1458" s="79" t="str">
        <f>IF(ISERROR(FIND('112'!$M$9,G1458,1)),"",IF((AND(LEFT(G1458,2)=LEFT('112'!$M$9,2),B1458&lt;'112'!$K$9,$N1458='112'!$I$6)),"x",""))</f>
        <v/>
      </c>
      <c r="V1458" s="79" t="str">
        <f>IF(ISERROR(FIND('112'!$M$9,G1458,1)),"",IF((AND(RIGHT(G1458,2)=RIGHT('112'!$M$9,2),B1458&lt;'112'!$K$9,$O1458='112'!$I$6)),"x",""))</f>
        <v/>
      </c>
      <c r="W1458" s="79" t="str">
        <f>IF(AND('341-CT'!$H$9=H1458,OR(LEFT(N1458,3)=$W$7,LEFT(O1458,3)=$W$7)),"x","")</f>
        <v/>
      </c>
      <c r="X1458" s="79" t="str">
        <f>IF(OR(TH!N1458=TH!$X$7,O1458=TH!$X$7),"x","")</f>
        <v/>
      </c>
      <c r="Y1458" s="79" t="str">
        <f>IF(AND(OR(N1458="131",O1458="131"),H1458='131-CT'!$H$9),"x","")</f>
        <v/>
      </c>
      <c r="Z1458" s="79"/>
      <c r="AA1458" s="79" t="str">
        <f>IF(AND(MONTH(E1458)='IN-NX'!$J$5,'IN-NX'!$D$7=D1458),"x","")</f>
        <v/>
      </c>
      <c r="AB1458" s="79" t="str">
        <f>IF(AND(OR(LEFT(TH!N1458,2)="15",LEFT(TH!O1458,2)="15"),LEFT(TH!O1458,3)&lt;&gt;"111",'152-CT'!$J$8=TH!F1458),"x","")</f>
        <v/>
      </c>
      <c r="AC1458" s="79" t="str">
        <f>IF(AND(OR(LEFT(TH!N1458,2)="15",LEFT(TH!O1458,2)="15"),TK!$E$7=TH!F1458),"x","")</f>
        <v/>
      </c>
      <c r="AD1458" s="79" t="str">
        <f>IF(AND(N1458="1521",MONTH(C1458)='BK-NL'!$M$11),"x","")</f>
        <v/>
      </c>
    </row>
    <row r="1459" spans="1:30" ht="16.5" customHeight="1">
      <c r="A1459" s="318" t="str">
        <f>IF(B1459&lt;&gt;"",IF(AND(B1459='IN-TC'!$S$4,OR(TH!N1459="1111",TH!O1459="1111")),TH!D1459,""),"")</f>
        <v/>
      </c>
      <c r="B1459" s="60" t="str">
        <f t="shared" ref="B1459:B1522" si="207">IF(C1459&lt;&gt;"",MONTH(C1459),"")</f>
        <v/>
      </c>
      <c r="C1459" s="989"/>
      <c r="D1459" s="989"/>
      <c r="E1459" s="989"/>
      <c r="F1459" s="921"/>
      <c r="G1459" s="991"/>
      <c r="H1459" s="1105"/>
      <c r="I1459" s="994"/>
      <c r="J1459" s="993"/>
      <c r="K1459" s="994"/>
      <c r="L1459" s="992"/>
      <c r="M1459" s="995"/>
      <c r="N1459" s="996"/>
      <c r="O1459" s="996"/>
      <c r="P1459" s="79" t="str">
        <f>IF(AND('331-CT'!$E$7=TH!H1459,OR(N1459="331",O1459="331")),"x","")</f>
        <v/>
      </c>
      <c r="Q1459" s="79" t="str">
        <f>IF(AND(B1459='111'!$L$11,OR($N1459=$Q$7,$O1459=$Q$7)),"x","")</f>
        <v/>
      </c>
      <c r="R1459" s="79" t="str">
        <f>IF(AND($N1459=$Q$7,$B1459&lt;'111'!$L$11),"x","")</f>
        <v/>
      </c>
      <c r="S1459" s="79" t="str">
        <f>IF(AND($O1459=$Q$7,$B1459&lt;'111'!$L$11),"x","")</f>
        <v/>
      </c>
      <c r="T1459" s="79" t="str">
        <f>IF(ISERROR(FIND('112'!$M$9,G1459,1)),"",IF((AND(FIND('112'!$M$9,G1459,1)&gt;=1,B1459='112'!$K$9,OR($N1459='112'!$I$6,$O1459='112'!$I$6))),"x",""))</f>
        <v/>
      </c>
      <c r="U1459" s="79" t="str">
        <f>IF(ISERROR(FIND('112'!$M$9,G1459,1)),"",IF((AND(LEFT(G1459,2)=LEFT('112'!$M$9,2),B1459&lt;'112'!$K$9,$N1459='112'!$I$6)),"x",""))</f>
        <v/>
      </c>
      <c r="V1459" s="79" t="str">
        <f>IF(ISERROR(FIND('112'!$M$9,G1459,1)),"",IF((AND(RIGHT(G1459,2)=RIGHT('112'!$M$9,2),B1459&lt;'112'!$K$9,$O1459='112'!$I$6)),"x",""))</f>
        <v/>
      </c>
      <c r="W1459" s="79" t="str">
        <f>IF(AND('341-CT'!$H$9=H1459,OR(LEFT(N1459,3)=$W$7,LEFT(O1459,3)=$W$7)),"x","")</f>
        <v/>
      </c>
      <c r="X1459" s="79" t="str">
        <f>IF(OR(TH!N1459=TH!$X$7,O1459=TH!$X$7),"x","")</f>
        <v/>
      </c>
      <c r="Y1459" s="79" t="str">
        <f>IF(AND(OR(N1459="131",O1459="131"),H1459='131-CT'!$H$9),"x","")</f>
        <v/>
      </c>
      <c r="Z1459" s="79"/>
      <c r="AA1459" s="79" t="str">
        <f>IF(AND(MONTH(E1459)='IN-NX'!$J$5,'IN-NX'!$D$7=D1459),"x","")</f>
        <v/>
      </c>
      <c r="AB1459" s="79" t="str">
        <f>IF(AND(OR(LEFT(TH!N1459,2)="15",LEFT(TH!O1459,2)="15"),LEFT(TH!O1459,3)&lt;&gt;"111",'152-CT'!$J$8=TH!F1459),"x","")</f>
        <v/>
      </c>
      <c r="AC1459" s="79" t="str">
        <f>IF(AND(OR(LEFT(TH!N1459,2)="15",LEFT(TH!O1459,2)="15"),TK!$E$7=TH!F1459),"x","")</f>
        <v/>
      </c>
      <c r="AD1459" s="79" t="str">
        <f>IF(AND(N1459="1521",MONTH(C1459)='BK-NL'!$M$11),"x","")</f>
        <v/>
      </c>
    </row>
    <row r="1460" spans="1:30" ht="16.5" customHeight="1">
      <c r="A1460" s="318" t="str">
        <f>IF(B1460&lt;&gt;"",IF(AND(B1460='IN-TC'!$S$4,OR(TH!N1460="1111",TH!O1460="1111")),TH!D1460,""),"")</f>
        <v/>
      </c>
      <c r="B1460" s="60" t="str">
        <f t="shared" si="207"/>
        <v/>
      </c>
      <c r="C1460" s="989"/>
      <c r="D1460" s="989"/>
      <c r="E1460" s="989"/>
      <c r="F1460" s="921"/>
      <c r="G1460" s="991"/>
      <c r="H1460" s="1105"/>
      <c r="I1460" s="994"/>
      <c r="J1460" s="993"/>
      <c r="K1460" s="994"/>
      <c r="L1460" s="992"/>
      <c r="M1460" s="995"/>
      <c r="N1460" s="996"/>
      <c r="O1460" s="996"/>
      <c r="P1460" s="79" t="str">
        <f>IF(AND('331-CT'!$E$7=TH!H1460,OR(N1460="331",O1460="331")),"x","")</f>
        <v/>
      </c>
      <c r="Q1460" s="79" t="str">
        <f>IF(AND(B1460='111'!$L$11,OR($N1460=$Q$7,$O1460=$Q$7)),"x","")</f>
        <v/>
      </c>
      <c r="R1460" s="79" t="str">
        <f>IF(AND($N1460=$Q$7,$B1460&lt;'111'!$L$11),"x","")</f>
        <v/>
      </c>
      <c r="S1460" s="79" t="str">
        <f>IF(AND($O1460=$Q$7,$B1460&lt;'111'!$L$11),"x","")</f>
        <v/>
      </c>
      <c r="T1460" s="79" t="str">
        <f>IF(ISERROR(FIND('112'!$M$9,G1460,1)),"",IF((AND(FIND('112'!$M$9,G1460,1)&gt;=1,B1460='112'!$K$9,OR($N1460='112'!$I$6,$O1460='112'!$I$6))),"x",""))</f>
        <v/>
      </c>
      <c r="U1460" s="79" t="str">
        <f>IF(ISERROR(FIND('112'!$M$9,G1460,1)),"",IF((AND(LEFT(G1460,2)=LEFT('112'!$M$9,2),B1460&lt;'112'!$K$9,$N1460='112'!$I$6)),"x",""))</f>
        <v/>
      </c>
      <c r="V1460" s="79" t="str">
        <f>IF(ISERROR(FIND('112'!$M$9,G1460,1)),"",IF((AND(RIGHT(G1460,2)=RIGHT('112'!$M$9,2),B1460&lt;'112'!$K$9,$O1460='112'!$I$6)),"x",""))</f>
        <v/>
      </c>
      <c r="W1460" s="79" t="str">
        <f>IF(AND('341-CT'!$H$9=H1460,OR(LEFT(N1460,3)=$W$7,LEFT(O1460,3)=$W$7)),"x","")</f>
        <v/>
      </c>
      <c r="X1460" s="79" t="str">
        <f>IF(OR(TH!N1460=TH!$X$7,O1460=TH!$X$7),"x","")</f>
        <v/>
      </c>
      <c r="Y1460" s="79" t="str">
        <f>IF(AND(OR(N1460="131",O1460="131"),H1460='131-CT'!$H$9),"x","")</f>
        <v/>
      </c>
      <c r="Z1460" s="79"/>
      <c r="AA1460" s="79" t="str">
        <f>IF(AND(MONTH(E1460)='IN-NX'!$J$5,'IN-NX'!$D$7=D1460),"x","")</f>
        <v/>
      </c>
      <c r="AB1460" s="79" t="str">
        <f>IF(AND(OR(LEFT(TH!N1460,2)="15",LEFT(TH!O1460,2)="15"),LEFT(TH!O1460,3)&lt;&gt;"111",'152-CT'!$J$8=TH!F1460),"x","")</f>
        <v/>
      </c>
      <c r="AC1460" s="79" t="str">
        <f>IF(AND(OR(LEFT(TH!N1460,2)="15",LEFT(TH!O1460,2)="15"),TK!$E$7=TH!F1460),"x","")</f>
        <v/>
      </c>
      <c r="AD1460" s="79" t="str">
        <f>IF(AND(N1460="1521",MONTH(C1460)='BK-NL'!$M$11),"x","")</f>
        <v/>
      </c>
    </row>
    <row r="1461" spans="1:30" ht="16.5" customHeight="1">
      <c r="A1461" s="318" t="str">
        <f>IF(B1461&lt;&gt;"",IF(AND(B1461='IN-TC'!$S$4,OR(TH!N1461="1111",TH!O1461="1111")),TH!D1461,""),"")</f>
        <v/>
      </c>
      <c r="B1461" s="60" t="str">
        <f t="shared" si="207"/>
        <v/>
      </c>
      <c r="C1461" s="989"/>
      <c r="D1461" s="989"/>
      <c r="E1461" s="989"/>
      <c r="F1461" s="921"/>
      <c r="G1461" s="991"/>
      <c r="H1461" s="1105"/>
      <c r="I1461" s="994"/>
      <c r="J1461" s="993"/>
      <c r="K1461" s="994"/>
      <c r="L1461" s="992"/>
      <c r="M1461" s="995"/>
      <c r="N1461" s="996"/>
      <c r="O1461" s="996"/>
      <c r="P1461" s="79" t="str">
        <f>IF(AND('331-CT'!$E$7=TH!H1461,OR(N1461="331",O1461="331")),"x","")</f>
        <v/>
      </c>
      <c r="Q1461" s="79" t="str">
        <f>IF(AND(B1461='111'!$L$11,OR($N1461=$Q$7,$O1461=$Q$7)),"x","")</f>
        <v/>
      </c>
      <c r="R1461" s="79" t="str">
        <f>IF(AND($N1461=$Q$7,$B1461&lt;'111'!$L$11),"x","")</f>
        <v/>
      </c>
      <c r="S1461" s="79" t="str">
        <f>IF(AND($O1461=$Q$7,$B1461&lt;'111'!$L$11),"x","")</f>
        <v/>
      </c>
      <c r="T1461" s="79" t="str">
        <f>IF(ISERROR(FIND('112'!$M$9,G1461,1)),"",IF((AND(FIND('112'!$M$9,G1461,1)&gt;=1,B1461='112'!$K$9,OR($N1461='112'!$I$6,$O1461='112'!$I$6))),"x",""))</f>
        <v/>
      </c>
      <c r="U1461" s="79" t="str">
        <f>IF(ISERROR(FIND('112'!$M$9,G1461,1)),"",IF((AND(LEFT(G1461,2)=LEFT('112'!$M$9,2),B1461&lt;'112'!$K$9,$N1461='112'!$I$6)),"x",""))</f>
        <v/>
      </c>
      <c r="V1461" s="79" t="str">
        <f>IF(ISERROR(FIND('112'!$M$9,G1461,1)),"",IF((AND(RIGHT(G1461,2)=RIGHT('112'!$M$9,2),B1461&lt;'112'!$K$9,$O1461='112'!$I$6)),"x",""))</f>
        <v/>
      </c>
      <c r="W1461" s="79" t="str">
        <f>IF(AND('341-CT'!$H$9=H1461,OR(LEFT(N1461,3)=$W$7,LEFT(O1461,3)=$W$7)),"x","")</f>
        <v/>
      </c>
      <c r="X1461" s="79" t="str">
        <f>IF(OR(TH!N1461=TH!$X$7,O1461=TH!$X$7),"x","")</f>
        <v/>
      </c>
      <c r="Y1461" s="79" t="str">
        <f>IF(AND(OR(N1461="131",O1461="131"),H1461='131-CT'!$H$9),"x","")</f>
        <v/>
      </c>
      <c r="Z1461" s="79"/>
      <c r="AA1461" s="79" t="str">
        <f>IF(AND(MONTH(E1461)='IN-NX'!$J$5,'IN-NX'!$D$7=D1461),"x","")</f>
        <v/>
      </c>
      <c r="AB1461" s="79" t="str">
        <f>IF(AND(OR(LEFT(TH!N1461,2)="15",LEFT(TH!O1461,2)="15"),LEFT(TH!O1461,3)&lt;&gt;"111",'152-CT'!$J$8=TH!F1461),"x","")</f>
        <v/>
      </c>
      <c r="AC1461" s="79" t="str">
        <f>IF(AND(OR(LEFT(TH!N1461,2)="15",LEFT(TH!O1461,2)="15"),TK!$E$7=TH!F1461),"x","")</f>
        <v/>
      </c>
      <c r="AD1461" s="79" t="str">
        <f>IF(AND(N1461="1521",MONTH(C1461)='BK-NL'!$M$11),"x","")</f>
        <v/>
      </c>
    </row>
    <row r="1462" spans="1:30" ht="16.5" customHeight="1">
      <c r="A1462" s="318" t="str">
        <f>IF(B1462&lt;&gt;"",IF(AND(B1462='IN-TC'!$S$4,OR(TH!N1462="1111",TH!O1462="1111")),TH!D1462,""),"")</f>
        <v/>
      </c>
      <c r="B1462" s="60" t="str">
        <f t="shared" si="207"/>
        <v/>
      </c>
      <c r="C1462" s="989"/>
      <c r="D1462" s="989"/>
      <c r="E1462" s="989"/>
      <c r="F1462" s="921"/>
      <c r="G1462" s="991"/>
      <c r="H1462" s="1105"/>
      <c r="I1462" s="994"/>
      <c r="J1462" s="993"/>
      <c r="K1462" s="994"/>
      <c r="L1462" s="992"/>
      <c r="M1462" s="995"/>
      <c r="N1462" s="996"/>
      <c r="O1462" s="996"/>
      <c r="P1462" s="79" t="str">
        <f>IF(AND('331-CT'!$E$7=TH!H1462,OR(N1462="331",O1462="331")),"x","")</f>
        <v/>
      </c>
      <c r="Q1462" s="79" t="str">
        <f>IF(AND(B1462='111'!$L$11,OR($N1462=$Q$7,$O1462=$Q$7)),"x","")</f>
        <v/>
      </c>
      <c r="R1462" s="79" t="str">
        <f>IF(AND($N1462=$Q$7,$B1462&lt;'111'!$L$11),"x","")</f>
        <v/>
      </c>
      <c r="S1462" s="79" t="str">
        <f>IF(AND($O1462=$Q$7,$B1462&lt;'111'!$L$11),"x","")</f>
        <v/>
      </c>
      <c r="T1462" s="79" t="str">
        <f>IF(ISERROR(FIND('112'!$M$9,G1462,1)),"",IF((AND(FIND('112'!$M$9,G1462,1)&gt;=1,B1462='112'!$K$9,OR($N1462='112'!$I$6,$O1462='112'!$I$6))),"x",""))</f>
        <v/>
      </c>
      <c r="U1462" s="79" t="str">
        <f>IF(ISERROR(FIND('112'!$M$9,G1462,1)),"",IF((AND(LEFT(G1462,2)=LEFT('112'!$M$9,2),B1462&lt;'112'!$K$9,$N1462='112'!$I$6)),"x",""))</f>
        <v/>
      </c>
      <c r="V1462" s="79" t="str">
        <f>IF(ISERROR(FIND('112'!$M$9,G1462,1)),"",IF((AND(RIGHT(G1462,2)=RIGHT('112'!$M$9,2),B1462&lt;'112'!$K$9,$O1462='112'!$I$6)),"x",""))</f>
        <v/>
      </c>
      <c r="W1462" s="79" t="str">
        <f>IF(AND('341-CT'!$H$9=H1462,OR(LEFT(N1462,3)=$W$7,LEFT(O1462,3)=$W$7)),"x","")</f>
        <v/>
      </c>
      <c r="X1462" s="79" t="str">
        <f>IF(OR(TH!N1462=TH!$X$7,O1462=TH!$X$7),"x","")</f>
        <v/>
      </c>
      <c r="Y1462" s="79" t="str">
        <f>IF(AND(OR(N1462="131",O1462="131"),H1462='131-CT'!$H$9),"x","")</f>
        <v/>
      </c>
      <c r="Z1462" s="79"/>
      <c r="AA1462" s="79" t="str">
        <f>IF(AND(MONTH(E1462)='IN-NX'!$J$5,'IN-NX'!$D$7=D1462),"x","")</f>
        <v/>
      </c>
      <c r="AB1462" s="79" t="str">
        <f>IF(AND(OR(LEFT(TH!N1462,2)="15",LEFT(TH!O1462,2)="15"),LEFT(TH!O1462,3)&lt;&gt;"111",'152-CT'!$J$8=TH!F1462),"x","")</f>
        <v/>
      </c>
      <c r="AC1462" s="79" t="str">
        <f>IF(AND(OR(LEFT(TH!N1462,2)="15",LEFT(TH!O1462,2)="15"),TK!$E$7=TH!F1462),"x","")</f>
        <v/>
      </c>
      <c r="AD1462" s="79" t="str">
        <f>IF(AND(N1462="1521",MONTH(C1462)='BK-NL'!$M$11),"x","")</f>
        <v/>
      </c>
    </row>
    <row r="1463" spans="1:30" ht="16.5" customHeight="1">
      <c r="A1463" s="318" t="str">
        <f>IF(B1463&lt;&gt;"",IF(AND(B1463='IN-TC'!$S$4,OR(TH!N1463="1111",TH!O1463="1111")),TH!D1463,""),"")</f>
        <v/>
      </c>
      <c r="B1463" s="60" t="str">
        <f t="shared" si="207"/>
        <v/>
      </c>
      <c r="C1463" s="989"/>
      <c r="D1463" s="989"/>
      <c r="E1463" s="989"/>
      <c r="F1463" s="921"/>
      <c r="G1463" s="991"/>
      <c r="H1463" s="1105"/>
      <c r="I1463" s="994"/>
      <c r="J1463" s="993"/>
      <c r="K1463" s="994"/>
      <c r="L1463" s="992"/>
      <c r="M1463" s="995"/>
      <c r="N1463" s="996"/>
      <c r="O1463" s="996"/>
      <c r="P1463" s="79" t="str">
        <f>IF(AND('331-CT'!$E$7=TH!H1463,OR(N1463="331",O1463="331")),"x","")</f>
        <v/>
      </c>
      <c r="Q1463" s="79" t="str">
        <f>IF(AND(B1463='111'!$L$11,OR($N1463=$Q$7,$O1463=$Q$7)),"x","")</f>
        <v/>
      </c>
      <c r="R1463" s="79" t="str">
        <f>IF(AND($N1463=$Q$7,$B1463&lt;'111'!$L$11),"x","")</f>
        <v/>
      </c>
      <c r="S1463" s="79" t="str">
        <f>IF(AND($O1463=$Q$7,$B1463&lt;'111'!$L$11),"x","")</f>
        <v/>
      </c>
      <c r="T1463" s="79" t="str">
        <f>IF(ISERROR(FIND('112'!$M$9,G1463,1)),"",IF((AND(FIND('112'!$M$9,G1463,1)&gt;=1,B1463='112'!$K$9,OR($N1463='112'!$I$6,$O1463='112'!$I$6))),"x",""))</f>
        <v/>
      </c>
      <c r="U1463" s="79" t="str">
        <f>IF(ISERROR(FIND('112'!$M$9,G1463,1)),"",IF((AND(LEFT(G1463,2)=LEFT('112'!$M$9,2),B1463&lt;'112'!$K$9,$N1463='112'!$I$6)),"x",""))</f>
        <v/>
      </c>
      <c r="V1463" s="79" t="str">
        <f>IF(ISERROR(FIND('112'!$M$9,G1463,1)),"",IF((AND(RIGHT(G1463,2)=RIGHT('112'!$M$9,2),B1463&lt;'112'!$K$9,$O1463='112'!$I$6)),"x",""))</f>
        <v/>
      </c>
      <c r="W1463" s="79" t="str">
        <f>IF(AND('341-CT'!$H$9=H1463,OR(LEFT(N1463,3)=$W$7,LEFT(O1463,3)=$W$7)),"x","")</f>
        <v/>
      </c>
      <c r="X1463" s="79" t="str">
        <f>IF(OR(TH!N1463=TH!$X$7,O1463=TH!$X$7),"x","")</f>
        <v/>
      </c>
      <c r="Y1463" s="79" t="str">
        <f>IF(AND(OR(N1463="131",O1463="131"),H1463='131-CT'!$H$9),"x","")</f>
        <v/>
      </c>
      <c r="Z1463" s="79"/>
      <c r="AA1463" s="79" t="str">
        <f>IF(AND(MONTH(E1463)='IN-NX'!$J$5,'IN-NX'!$D$7=D1463),"x","")</f>
        <v/>
      </c>
      <c r="AB1463" s="79" t="str">
        <f>IF(AND(OR(LEFT(TH!N1463,2)="15",LEFT(TH!O1463,2)="15"),LEFT(TH!O1463,3)&lt;&gt;"111",'152-CT'!$J$8=TH!F1463),"x","")</f>
        <v/>
      </c>
      <c r="AC1463" s="79" t="str">
        <f>IF(AND(OR(LEFT(TH!N1463,2)="15",LEFT(TH!O1463,2)="15"),TK!$E$7=TH!F1463),"x","")</f>
        <v/>
      </c>
      <c r="AD1463" s="79" t="str">
        <f>IF(AND(N1463="1521",MONTH(C1463)='BK-NL'!$M$11),"x","")</f>
        <v/>
      </c>
    </row>
    <row r="1464" spans="1:30" ht="16.5" customHeight="1">
      <c r="A1464" s="318" t="str">
        <f>IF(B1464&lt;&gt;"",IF(AND(B1464='IN-TC'!$S$4,OR(TH!N1464="1111",TH!O1464="1111")),TH!D1464,""),"")</f>
        <v/>
      </c>
      <c r="B1464" s="60" t="str">
        <f t="shared" si="207"/>
        <v/>
      </c>
      <c r="C1464" s="989"/>
      <c r="D1464" s="989"/>
      <c r="E1464" s="989"/>
      <c r="F1464" s="921"/>
      <c r="G1464" s="991"/>
      <c r="H1464" s="1105"/>
      <c r="I1464" s="994"/>
      <c r="J1464" s="993"/>
      <c r="K1464" s="994"/>
      <c r="L1464" s="992"/>
      <c r="M1464" s="995"/>
      <c r="N1464" s="996"/>
      <c r="O1464" s="996"/>
      <c r="P1464" s="79" t="str">
        <f>IF(AND('331-CT'!$E$7=TH!H1464,OR(N1464="331",O1464="331")),"x","")</f>
        <v/>
      </c>
      <c r="Q1464" s="79" t="str">
        <f>IF(AND(B1464='111'!$L$11,OR($N1464=$Q$7,$O1464=$Q$7)),"x","")</f>
        <v/>
      </c>
      <c r="R1464" s="79" t="str">
        <f>IF(AND($N1464=$Q$7,$B1464&lt;'111'!$L$11),"x","")</f>
        <v/>
      </c>
      <c r="S1464" s="79" t="str">
        <f>IF(AND($O1464=$Q$7,$B1464&lt;'111'!$L$11),"x","")</f>
        <v/>
      </c>
      <c r="T1464" s="79" t="str">
        <f>IF(ISERROR(FIND('112'!$M$9,G1464,1)),"",IF((AND(FIND('112'!$M$9,G1464,1)&gt;=1,B1464='112'!$K$9,OR($N1464='112'!$I$6,$O1464='112'!$I$6))),"x",""))</f>
        <v/>
      </c>
      <c r="U1464" s="79" t="str">
        <f>IF(ISERROR(FIND('112'!$M$9,G1464,1)),"",IF((AND(LEFT(G1464,2)=LEFT('112'!$M$9,2),B1464&lt;'112'!$K$9,$N1464='112'!$I$6)),"x",""))</f>
        <v/>
      </c>
      <c r="V1464" s="79" t="str">
        <f>IF(ISERROR(FIND('112'!$M$9,G1464,1)),"",IF((AND(RIGHT(G1464,2)=RIGHT('112'!$M$9,2),B1464&lt;'112'!$K$9,$O1464='112'!$I$6)),"x",""))</f>
        <v/>
      </c>
      <c r="W1464" s="79" t="str">
        <f>IF(AND('341-CT'!$H$9=H1464,OR(LEFT(N1464,3)=$W$7,LEFT(O1464,3)=$W$7)),"x","")</f>
        <v/>
      </c>
      <c r="X1464" s="79" t="str">
        <f>IF(OR(TH!N1464=TH!$X$7,O1464=TH!$X$7),"x","")</f>
        <v/>
      </c>
      <c r="Y1464" s="79" t="str">
        <f>IF(AND(OR(N1464="131",O1464="131"),H1464='131-CT'!$H$9),"x","")</f>
        <v/>
      </c>
      <c r="Z1464" s="79"/>
      <c r="AA1464" s="79" t="str">
        <f>IF(AND(MONTH(E1464)='IN-NX'!$J$5,'IN-NX'!$D$7=D1464),"x","")</f>
        <v/>
      </c>
      <c r="AB1464" s="79" t="str">
        <f>IF(AND(OR(LEFT(TH!N1464,2)="15",LEFT(TH!O1464,2)="15"),LEFT(TH!O1464,3)&lt;&gt;"111",'152-CT'!$J$8=TH!F1464),"x","")</f>
        <v/>
      </c>
      <c r="AC1464" s="79" t="str">
        <f>IF(AND(OR(LEFT(TH!N1464,2)="15",LEFT(TH!O1464,2)="15"),TK!$E$7=TH!F1464),"x","")</f>
        <v/>
      </c>
      <c r="AD1464" s="79" t="str">
        <f>IF(AND(N1464="1521",MONTH(C1464)='BK-NL'!$M$11),"x","")</f>
        <v/>
      </c>
    </row>
    <row r="1465" spans="1:30" ht="16.5" customHeight="1">
      <c r="A1465" s="318" t="str">
        <f>IF(B1465&lt;&gt;"",IF(AND(B1465='IN-TC'!$S$4,OR(TH!N1465="1111",TH!O1465="1111")),TH!D1465,""),"")</f>
        <v/>
      </c>
      <c r="B1465" s="60" t="str">
        <f t="shared" si="207"/>
        <v/>
      </c>
      <c r="C1465" s="989"/>
      <c r="D1465" s="989"/>
      <c r="E1465" s="989"/>
      <c r="F1465" s="921"/>
      <c r="G1465" s="991"/>
      <c r="H1465" s="1105"/>
      <c r="I1465" s="994"/>
      <c r="J1465" s="993"/>
      <c r="K1465" s="994"/>
      <c r="L1465" s="992"/>
      <c r="M1465" s="995"/>
      <c r="N1465" s="996"/>
      <c r="O1465" s="996"/>
      <c r="P1465" s="79" t="str">
        <f>IF(AND('331-CT'!$E$7=TH!H1465,OR(N1465="331",O1465="331")),"x","")</f>
        <v/>
      </c>
      <c r="Q1465" s="79" t="str">
        <f>IF(AND(B1465='111'!$L$11,OR($N1465=$Q$7,$O1465=$Q$7)),"x","")</f>
        <v/>
      </c>
      <c r="R1465" s="79" t="str">
        <f>IF(AND($N1465=$Q$7,$B1465&lt;'111'!$L$11),"x","")</f>
        <v/>
      </c>
      <c r="S1465" s="79" t="str">
        <f>IF(AND($O1465=$Q$7,$B1465&lt;'111'!$L$11),"x","")</f>
        <v/>
      </c>
      <c r="T1465" s="79" t="str">
        <f>IF(ISERROR(FIND('112'!$M$9,G1465,1)),"",IF((AND(FIND('112'!$M$9,G1465,1)&gt;=1,B1465='112'!$K$9,OR($N1465='112'!$I$6,$O1465='112'!$I$6))),"x",""))</f>
        <v/>
      </c>
      <c r="U1465" s="79" t="str">
        <f>IF(ISERROR(FIND('112'!$M$9,G1465,1)),"",IF((AND(LEFT(G1465,2)=LEFT('112'!$M$9,2),B1465&lt;'112'!$K$9,$N1465='112'!$I$6)),"x",""))</f>
        <v/>
      </c>
      <c r="V1465" s="79" t="str">
        <f>IF(ISERROR(FIND('112'!$M$9,G1465,1)),"",IF((AND(RIGHT(G1465,2)=RIGHT('112'!$M$9,2),B1465&lt;'112'!$K$9,$O1465='112'!$I$6)),"x",""))</f>
        <v/>
      </c>
      <c r="W1465" s="79" t="str">
        <f>IF(AND('341-CT'!$H$9=H1465,OR(LEFT(N1465,3)=$W$7,LEFT(O1465,3)=$W$7)),"x","")</f>
        <v/>
      </c>
      <c r="X1465" s="79" t="str">
        <f>IF(OR(TH!N1465=TH!$X$7,O1465=TH!$X$7),"x","")</f>
        <v/>
      </c>
      <c r="Y1465" s="79" t="str">
        <f>IF(AND(OR(N1465="131",O1465="131"),H1465='131-CT'!$H$9),"x","")</f>
        <v/>
      </c>
      <c r="Z1465" s="79"/>
      <c r="AA1465" s="79" t="str">
        <f>IF(AND(MONTH(E1465)='IN-NX'!$J$5,'IN-NX'!$D$7=D1465),"x","")</f>
        <v/>
      </c>
      <c r="AB1465" s="79" t="str">
        <f>IF(AND(OR(LEFT(TH!N1465,2)="15",LEFT(TH!O1465,2)="15"),LEFT(TH!O1465,3)&lt;&gt;"111",'152-CT'!$J$8=TH!F1465),"x","")</f>
        <v/>
      </c>
      <c r="AC1465" s="79" t="str">
        <f>IF(AND(OR(LEFT(TH!N1465,2)="15",LEFT(TH!O1465,2)="15"),TK!$E$7=TH!F1465),"x","")</f>
        <v/>
      </c>
      <c r="AD1465" s="79" t="str">
        <f>IF(AND(N1465="1521",MONTH(C1465)='BK-NL'!$M$11),"x","")</f>
        <v/>
      </c>
    </row>
    <row r="1466" spans="1:30" ht="16.5" customHeight="1">
      <c r="A1466" s="318" t="str">
        <f>IF(B1466&lt;&gt;"",IF(AND(B1466='IN-TC'!$S$4,OR(TH!N1466="1111",TH!O1466="1111")),TH!D1466,""),"")</f>
        <v/>
      </c>
      <c r="B1466" s="60" t="str">
        <f t="shared" si="207"/>
        <v/>
      </c>
      <c r="C1466" s="989"/>
      <c r="D1466" s="989"/>
      <c r="E1466" s="989"/>
      <c r="F1466" s="921"/>
      <c r="G1466" s="991"/>
      <c r="H1466" s="1105"/>
      <c r="I1466" s="994"/>
      <c r="J1466" s="993"/>
      <c r="K1466" s="994"/>
      <c r="L1466" s="992"/>
      <c r="M1466" s="995"/>
      <c r="N1466" s="996"/>
      <c r="O1466" s="996"/>
      <c r="P1466" s="79" t="str">
        <f>IF(AND('331-CT'!$E$7=TH!H1466,OR(N1466="331",O1466="331")),"x","")</f>
        <v/>
      </c>
      <c r="Q1466" s="79" t="str">
        <f>IF(AND(B1466='111'!$L$11,OR($N1466=$Q$7,$O1466=$Q$7)),"x","")</f>
        <v/>
      </c>
      <c r="R1466" s="79" t="str">
        <f>IF(AND($N1466=$Q$7,$B1466&lt;'111'!$L$11),"x","")</f>
        <v/>
      </c>
      <c r="S1466" s="79" t="str">
        <f>IF(AND($O1466=$Q$7,$B1466&lt;'111'!$L$11),"x","")</f>
        <v/>
      </c>
      <c r="T1466" s="79" t="str">
        <f>IF(ISERROR(FIND('112'!$M$9,G1466,1)),"",IF((AND(FIND('112'!$M$9,G1466,1)&gt;=1,B1466='112'!$K$9,OR($N1466='112'!$I$6,$O1466='112'!$I$6))),"x",""))</f>
        <v/>
      </c>
      <c r="U1466" s="79" t="str">
        <f>IF(ISERROR(FIND('112'!$M$9,G1466,1)),"",IF((AND(LEFT(G1466,2)=LEFT('112'!$M$9,2),B1466&lt;'112'!$K$9,$N1466='112'!$I$6)),"x",""))</f>
        <v/>
      </c>
      <c r="V1466" s="79" t="str">
        <f>IF(ISERROR(FIND('112'!$M$9,G1466,1)),"",IF((AND(RIGHT(G1466,2)=RIGHT('112'!$M$9,2),B1466&lt;'112'!$K$9,$O1466='112'!$I$6)),"x",""))</f>
        <v/>
      </c>
      <c r="W1466" s="79" t="str">
        <f>IF(AND('341-CT'!$H$9=H1466,OR(LEFT(N1466,3)=$W$7,LEFT(O1466,3)=$W$7)),"x","")</f>
        <v/>
      </c>
      <c r="X1466" s="79" t="str">
        <f>IF(OR(TH!N1466=TH!$X$7,O1466=TH!$X$7),"x","")</f>
        <v/>
      </c>
      <c r="Y1466" s="79" t="str">
        <f>IF(AND(OR(N1466="131",O1466="131"),H1466='131-CT'!$H$9),"x","")</f>
        <v/>
      </c>
      <c r="Z1466" s="79"/>
      <c r="AA1466" s="79" t="str">
        <f>IF(AND(MONTH(E1466)='IN-NX'!$J$5,'IN-NX'!$D$7=D1466),"x","")</f>
        <v/>
      </c>
      <c r="AB1466" s="79" t="str">
        <f>IF(AND(OR(LEFT(TH!N1466,2)="15",LEFT(TH!O1466,2)="15"),LEFT(TH!O1466,3)&lt;&gt;"111",'152-CT'!$J$8=TH!F1466),"x","")</f>
        <v/>
      </c>
      <c r="AC1466" s="79" t="str">
        <f>IF(AND(OR(LEFT(TH!N1466,2)="15",LEFT(TH!O1466,2)="15"),TK!$E$7=TH!F1466),"x","")</f>
        <v/>
      </c>
      <c r="AD1466" s="79" t="str">
        <f>IF(AND(N1466="1521",MONTH(C1466)='BK-NL'!$M$11),"x","")</f>
        <v/>
      </c>
    </row>
    <row r="1467" spans="1:30" ht="16.5" customHeight="1">
      <c r="A1467" s="318" t="str">
        <f>IF(B1467&lt;&gt;"",IF(AND(B1467='IN-TC'!$S$4,OR(TH!N1467="1111",TH!O1467="1111")),TH!D1467,""),"")</f>
        <v/>
      </c>
      <c r="B1467" s="60" t="str">
        <f t="shared" si="207"/>
        <v/>
      </c>
      <c r="C1467" s="989"/>
      <c r="D1467" s="989"/>
      <c r="E1467" s="989"/>
      <c r="F1467" s="921"/>
      <c r="G1467" s="991"/>
      <c r="H1467" s="1105"/>
      <c r="I1467" s="994"/>
      <c r="J1467" s="993"/>
      <c r="K1467" s="994"/>
      <c r="L1467" s="992"/>
      <c r="M1467" s="995"/>
      <c r="N1467" s="996"/>
      <c r="O1467" s="996"/>
      <c r="P1467" s="79" t="str">
        <f>IF(AND('331-CT'!$E$7=TH!H1467,OR(N1467="331",O1467="331")),"x","")</f>
        <v/>
      </c>
      <c r="Q1467" s="79" t="str">
        <f>IF(AND(B1467='111'!$L$11,OR($N1467=$Q$7,$O1467=$Q$7)),"x","")</f>
        <v/>
      </c>
      <c r="R1467" s="79" t="str">
        <f>IF(AND($N1467=$Q$7,$B1467&lt;'111'!$L$11),"x","")</f>
        <v/>
      </c>
      <c r="S1467" s="79" t="str">
        <f>IF(AND($O1467=$Q$7,$B1467&lt;'111'!$L$11),"x","")</f>
        <v/>
      </c>
      <c r="T1467" s="79" t="str">
        <f>IF(ISERROR(FIND('112'!$M$9,G1467,1)),"",IF((AND(FIND('112'!$M$9,G1467,1)&gt;=1,B1467='112'!$K$9,OR($N1467='112'!$I$6,$O1467='112'!$I$6))),"x",""))</f>
        <v/>
      </c>
      <c r="U1467" s="79" t="str">
        <f>IF(ISERROR(FIND('112'!$M$9,G1467,1)),"",IF((AND(LEFT(G1467,2)=LEFT('112'!$M$9,2),B1467&lt;'112'!$K$9,$N1467='112'!$I$6)),"x",""))</f>
        <v/>
      </c>
      <c r="V1467" s="79" t="str">
        <f>IF(ISERROR(FIND('112'!$M$9,G1467,1)),"",IF((AND(RIGHT(G1467,2)=RIGHT('112'!$M$9,2),B1467&lt;'112'!$K$9,$O1467='112'!$I$6)),"x",""))</f>
        <v/>
      </c>
      <c r="W1467" s="79" t="str">
        <f>IF(AND('341-CT'!$H$9=H1467,OR(LEFT(N1467,3)=$W$7,LEFT(O1467,3)=$W$7)),"x","")</f>
        <v/>
      </c>
      <c r="X1467" s="79" t="str">
        <f>IF(OR(TH!N1467=TH!$X$7,O1467=TH!$X$7),"x","")</f>
        <v/>
      </c>
      <c r="Y1467" s="79" t="str">
        <f>IF(AND(OR(N1467="131",O1467="131"),H1467='131-CT'!$H$9),"x","")</f>
        <v/>
      </c>
      <c r="Z1467" s="79"/>
      <c r="AA1467" s="79" t="str">
        <f>IF(AND(MONTH(E1467)='IN-NX'!$J$5,'IN-NX'!$D$7=D1467),"x","")</f>
        <v/>
      </c>
      <c r="AB1467" s="79" t="str">
        <f>IF(AND(OR(LEFT(TH!N1467,2)="15",LEFT(TH!O1467,2)="15"),LEFT(TH!O1467,3)&lt;&gt;"111",'152-CT'!$J$8=TH!F1467),"x","")</f>
        <v/>
      </c>
      <c r="AC1467" s="79" t="str">
        <f>IF(AND(OR(LEFT(TH!N1467,2)="15",LEFT(TH!O1467,2)="15"),TK!$E$7=TH!F1467),"x","")</f>
        <v/>
      </c>
      <c r="AD1467" s="79" t="str">
        <f>IF(AND(N1467="1521",MONTH(C1467)='BK-NL'!$M$11),"x","")</f>
        <v/>
      </c>
    </row>
    <row r="1468" spans="1:30" ht="16.5" customHeight="1">
      <c r="A1468" s="318" t="str">
        <f>IF(B1468&lt;&gt;"",IF(AND(B1468='IN-TC'!$S$4,OR(TH!N1468="1111",TH!O1468="1111")),TH!D1468,""),"")</f>
        <v/>
      </c>
      <c r="B1468" s="60" t="str">
        <f t="shared" si="207"/>
        <v/>
      </c>
      <c r="C1468" s="989"/>
      <c r="D1468" s="989"/>
      <c r="E1468" s="989"/>
      <c r="F1468" s="921"/>
      <c r="G1468" s="991"/>
      <c r="H1468" s="1105"/>
      <c r="I1468" s="994"/>
      <c r="J1468" s="993"/>
      <c r="K1468" s="994"/>
      <c r="L1468" s="992"/>
      <c r="M1468" s="995"/>
      <c r="N1468" s="996"/>
      <c r="O1468" s="996"/>
      <c r="P1468" s="79" t="str">
        <f>IF(AND('331-CT'!$E$7=TH!H1468,OR(N1468="331",O1468="331")),"x","")</f>
        <v/>
      </c>
      <c r="Q1468" s="79" t="str">
        <f>IF(AND(B1468='111'!$L$11,OR($N1468=$Q$7,$O1468=$Q$7)),"x","")</f>
        <v/>
      </c>
      <c r="R1468" s="79" t="str">
        <f>IF(AND($N1468=$Q$7,$B1468&lt;'111'!$L$11),"x","")</f>
        <v/>
      </c>
      <c r="S1468" s="79" t="str">
        <f>IF(AND($O1468=$Q$7,$B1468&lt;'111'!$L$11),"x","")</f>
        <v/>
      </c>
      <c r="T1468" s="79" t="str">
        <f>IF(ISERROR(FIND('112'!$M$9,G1468,1)),"",IF((AND(FIND('112'!$M$9,G1468,1)&gt;=1,B1468='112'!$K$9,OR($N1468='112'!$I$6,$O1468='112'!$I$6))),"x",""))</f>
        <v/>
      </c>
      <c r="U1468" s="79" t="str">
        <f>IF(ISERROR(FIND('112'!$M$9,G1468,1)),"",IF((AND(LEFT(G1468,2)=LEFT('112'!$M$9,2),B1468&lt;'112'!$K$9,$N1468='112'!$I$6)),"x",""))</f>
        <v/>
      </c>
      <c r="V1468" s="79" t="str">
        <f>IF(ISERROR(FIND('112'!$M$9,G1468,1)),"",IF((AND(RIGHT(G1468,2)=RIGHT('112'!$M$9,2),B1468&lt;'112'!$K$9,$O1468='112'!$I$6)),"x",""))</f>
        <v/>
      </c>
      <c r="W1468" s="79" t="str">
        <f>IF(AND('341-CT'!$H$9=H1468,OR(LEFT(N1468,3)=$W$7,LEFT(O1468,3)=$W$7)),"x","")</f>
        <v/>
      </c>
      <c r="X1468" s="79" t="str">
        <f>IF(OR(TH!N1468=TH!$X$7,O1468=TH!$X$7),"x","")</f>
        <v/>
      </c>
      <c r="Y1468" s="79" t="str">
        <f>IF(AND(OR(N1468="131",O1468="131"),H1468='131-CT'!$H$9),"x","")</f>
        <v/>
      </c>
      <c r="Z1468" s="79"/>
      <c r="AA1468" s="79" t="str">
        <f>IF(AND(MONTH(E1468)='IN-NX'!$J$5,'IN-NX'!$D$7=D1468),"x","")</f>
        <v/>
      </c>
      <c r="AB1468" s="79" t="str">
        <f>IF(AND(OR(LEFT(TH!N1468,2)="15",LEFT(TH!O1468,2)="15"),LEFT(TH!O1468,3)&lt;&gt;"111",'152-CT'!$J$8=TH!F1468),"x","")</f>
        <v/>
      </c>
      <c r="AC1468" s="79" t="str">
        <f>IF(AND(OR(LEFT(TH!N1468,2)="15",LEFT(TH!O1468,2)="15"),TK!$E$7=TH!F1468),"x","")</f>
        <v/>
      </c>
      <c r="AD1468" s="79" t="str">
        <f>IF(AND(N1468="1521",MONTH(C1468)='BK-NL'!$M$11),"x","")</f>
        <v/>
      </c>
    </row>
    <row r="1469" spans="1:30" ht="16.5" customHeight="1">
      <c r="A1469" s="318" t="str">
        <f>IF(B1469&lt;&gt;"",IF(AND(B1469='IN-TC'!$S$4,OR(TH!N1469="1111",TH!O1469="1111")),TH!D1469,""),"")</f>
        <v/>
      </c>
      <c r="B1469" s="60" t="str">
        <f t="shared" si="207"/>
        <v/>
      </c>
      <c r="C1469" s="989"/>
      <c r="D1469" s="989"/>
      <c r="E1469" s="989"/>
      <c r="F1469" s="921"/>
      <c r="G1469" s="991"/>
      <c r="H1469" s="1105"/>
      <c r="I1469" s="994"/>
      <c r="J1469" s="993"/>
      <c r="K1469" s="994"/>
      <c r="L1469" s="992"/>
      <c r="M1469" s="995"/>
      <c r="N1469" s="996"/>
      <c r="O1469" s="996"/>
      <c r="P1469" s="79" t="str">
        <f>IF(AND('331-CT'!$E$7=TH!H1469,OR(N1469="331",O1469="331")),"x","")</f>
        <v/>
      </c>
      <c r="Q1469" s="79" t="str">
        <f>IF(AND(B1469='111'!$L$11,OR($N1469=$Q$7,$O1469=$Q$7)),"x","")</f>
        <v/>
      </c>
      <c r="R1469" s="79" t="str">
        <f>IF(AND($N1469=$Q$7,$B1469&lt;'111'!$L$11),"x","")</f>
        <v/>
      </c>
      <c r="S1469" s="79" t="str">
        <f>IF(AND($O1469=$Q$7,$B1469&lt;'111'!$L$11),"x","")</f>
        <v/>
      </c>
      <c r="T1469" s="79" t="str">
        <f>IF(ISERROR(FIND('112'!$M$9,G1469,1)),"",IF((AND(FIND('112'!$M$9,G1469,1)&gt;=1,B1469='112'!$K$9,OR($N1469='112'!$I$6,$O1469='112'!$I$6))),"x",""))</f>
        <v/>
      </c>
      <c r="U1469" s="79" t="str">
        <f>IF(ISERROR(FIND('112'!$M$9,G1469,1)),"",IF((AND(LEFT(G1469,2)=LEFT('112'!$M$9,2),B1469&lt;'112'!$K$9,$N1469='112'!$I$6)),"x",""))</f>
        <v/>
      </c>
      <c r="V1469" s="79" t="str">
        <f>IF(ISERROR(FIND('112'!$M$9,G1469,1)),"",IF((AND(RIGHT(G1469,2)=RIGHT('112'!$M$9,2),B1469&lt;'112'!$K$9,$O1469='112'!$I$6)),"x",""))</f>
        <v/>
      </c>
      <c r="W1469" s="79" t="str">
        <f>IF(AND('341-CT'!$H$9=H1469,OR(LEFT(N1469,3)=$W$7,LEFT(O1469,3)=$W$7)),"x","")</f>
        <v/>
      </c>
      <c r="X1469" s="79" t="str">
        <f>IF(OR(TH!N1469=TH!$X$7,O1469=TH!$X$7),"x","")</f>
        <v/>
      </c>
      <c r="Y1469" s="79" t="str">
        <f>IF(AND(OR(N1469="131",O1469="131"),H1469='131-CT'!$H$9),"x","")</f>
        <v/>
      </c>
      <c r="Z1469" s="79"/>
      <c r="AA1469" s="79" t="str">
        <f>IF(AND(MONTH(E1469)='IN-NX'!$J$5,'IN-NX'!$D$7=D1469),"x","")</f>
        <v/>
      </c>
      <c r="AB1469" s="79" t="str">
        <f>IF(AND(OR(LEFT(TH!N1469,2)="15",LEFT(TH!O1469,2)="15"),LEFT(TH!O1469,3)&lt;&gt;"111",'152-CT'!$J$8=TH!F1469),"x","")</f>
        <v/>
      </c>
      <c r="AC1469" s="79" t="str">
        <f>IF(AND(OR(LEFT(TH!N1469,2)="15",LEFT(TH!O1469,2)="15"),TK!$E$7=TH!F1469),"x","")</f>
        <v/>
      </c>
      <c r="AD1469" s="79" t="str">
        <f>IF(AND(N1469="1521",MONTH(C1469)='BK-NL'!$M$11),"x","")</f>
        <v/>
      </c>
    </row>
    <row r="1470" spans="1:30" ht="16.5" customHeight="1">
      <c r="A1470" s="318" t="str">
        <f>IF(B1470&lt;&gt;"",IF(AND(B1470='IN-TC'!$S$4,OR(TH!N1470="1111",TH!O1470="1111")),TH!D1470,""),"")</f>
        <v/>
      </c>
      <c r="B1470" s="60" t="str">
        <f t="shared" si="207"/>
        <v/>
      </c>
      <c r="C1470" s="989"/>
      <c r="D1470" s="989"/>
      <c r="E1470" s="989"/>
      <c r="F1470" s="921"/>
      <c r="G1470" s="991"/>
      <c r="H1470" s="1105"/>
      <c r="I1470" s="994"/>
      <c r="J1470" s="993"/>
      <c r="K1470" s="994"/>
      <c r="L1470" s="992"/>
      <c r="M1470" s="995"/>
      <c r="N1470" s="996"/>
      <c r="O1470" s="996"/>
      <c r="P1470" s="79" t="str">
        <f>IF(AND('331-CT'!$E$7=TH!H1470,OR(N1470="331",O1470="331")),"x","")</f>
        <v/>
      </c>
      <c r="Q1470" s="79" t="str">
        <f>IF(AND(B1470='111'!$L$11,OR($N1470=$Q$7,$O1470=$Q$7)),"x","")</f>
        <v/>
      </c>
      <c r="R1470" s="79" t="str">
        <f>IF(AND($N1470=$Q$7,$B1470&lt;'111'!$L$11),"x","")</f>
        <v/>
      </c>
      <c r="S1470" s="79" t="str">
        <f>IF(AND($O1470=$Q$7,$B1470&lt;'111'!$L$11),"x","")</f>
        <v/>
      </c>
      <c r="T1470" s="79" t="str">
        <f>IF(ISERROR(FIND('112'!$M$9,G1470,1)),"",IF((AND(FIND('112'!$M$9,G1470,1)&gt;=1,B1470='112'!$K$9,OR($N1470='112'!$I$6,$O1470='112'!$I$6))),"x",""))</f>
        <v/>
      </c>
      <c r="U1470" s="79" t="str">
        <f>IF(ISERROR(FIND('112'!$M$9,G1470,1)),"",IF((AND(LEFT(G1470,2)=LEFT('112'!$M$9,2),B1470&lt;'112'!$K$9,$N1470='112'!$I$6)),"x",""))</f>
        <v/>
      </c>
      <c r="V1470" s="79" t="str">
        <f>IF(ISERROR(FIND('112'!$M$9,G1470,1)),"",IF((AND(RIGHT(G1470,2)=RIGHT('112'!$M$9,2),B1470&lt;'112'!$K$9,$O1470='112'!$I$6)),"x",""))</f>
        <v/>
      </c>
      <c r="W1470" s="79" t="str">
        <f>IF(AND('341-CT'!$H$9=H1470,OR(LEFT(N1470,3)=$W$7,LEFT(O1470,3)=$W$7)),"x","")</f>
        <v/>
      </c>
      <c r="X1470" s="79" t="str">
        <f>IF(OR(TH!N1470=TH!$X$7,O1470=TH!$X$7),"x","")</f>
        <v/>
      </c>
      <c r="Y1470" s="79" t="str">
        <f>IF(AND(OR(N1470="131",O1470="131"),H1470='131-CT'!$H$9),"x","")</f>
        <v/>
      </c>
      <c r="Z1470" s="79"/>
      <c r="AA1470" s="79" t="str">
        <f>IF(AND(MONTH(E1470)='IN-NX'!$J$5,'IN-NX'!$D$7=D1470),"x","")</f>
        <v/>
      </c>
      <c r="AB1470" s="79" t="str">
        <f>IF(AND(OR(LEFT(TH!N1470,2)="15",LEFT(TH!O1470,2)="15"),LEFT(TH!O1470,3)&lt;&gt;"111",'152-CT'!$J$8=TH!F1470),"x","")</f>
        <v/>
      </c>
      <c r="AC1470" s="79" t="str">
        <f>IF(AND(OR(LEFT(TH!N1470,2)="15",LEFT(TH!O1470,2)="15"),TK!$E$7=TH!F1470),"x","")</f>
        <v/>
      </c>
      <c r="AD1470" s="79" t="str">
        <f>IF(AND(N1470="1521",MONTH(C1470)='BK-NL'!$M$11),"x","")</f>
        <v/>
      </c>
    </row>
    <row r="1471" spans="1:30" ht="16.5" customHeight="1">
      <c r="A1471" s="318" t="str">
        <f>IF(B1471&lt;&gt;"",IF(AND(B1471='IN-TC'!$S$4,OR(TH!N1471="1111",TH!O1471="1111")),TH!D1471,""),"")</f>
        <v/>
      </c>
      <c r="B1471" s="60" t="str">
        <f t="shared" si="207"/>
        <v/>
      </c>
      <c r="C1471" s="989"/>
      <c r="D1471" s="989"/>
      <c r="E1471" s="989"/>
      <c r="F1471" s="921"/>
      <c r="G1471" s="991"/>
      <c r="H1471" s="1105"/>
      <c r="I1471" s="994"/>
      <c r="J1471" s="993"/>
      <c r="K1471" s="994"/>
      <c r="L1471" s="992"/>
      <c r="M1471" s="995"/>
      <c r="N1471" s="996"/>
      <c r="O1471" s="996"/>
      <c r="P1471" s="79" t="str">
        <f>IF(AND('331-CT'!$E$7=TH!H1471,OR(N1471="331",O1471="331")),"x","")</f>
        <v/>
      </c>
      <c r="Q1471" s="79" t="str">
        <f>IF(AND(B1471='111'!$L$11,OR($N1471=$Q$7,$O1471=$Q$7)),"x","")</f>
        <v/>
      </c>
      <c r="R1471" s="79" t="str">
        <f>IF(AND($N1471=$Q$7,$B1471&lt;'111'!$L$11),"x","")</f>
        <v/>
      </c>
      <c r="S1471" s="79" t="str">
        <f>IF(AND($O1471=$Q$7,$B1471&lt;'111'!$L$11),"x","")</f>
        <v/>
      </c>
      <c r="T1471" s="79" t="str">
        <f>IF(ISERROR(FIND('112'!$M$9,G1471,1)),"",IF((AND(FIND('112'!$M$9,G1471,1)&gt;=1,B1471='112'!$K$9,OR($N1471='112'!$I$6,$O1471='112'!$I$6))),"x",""))</f>
        <v/>
      </c>
      <c r="U1471" s="79" t="str">
        <f>IF(ISERROR(FIND('112'!$M$9,G1471,1)),"",IF((AND(LEFT(G1471,2)=LEFT('112'!$M$9,2),B1471&lt;'112'!$K$9,$N1471='112'!$I$6)),"x",""))</f>
        <v/>
      </c>
      <c r="V1471" s="79" t="str">
        <f>IF(ISERROR(FIND('112'!$M$9,G1471,1)),"",IF((AND(RIGHT(G1471,2)=RIGHT('112'!$M$9,2),B1471&lt;'112'!$K$9,$O1471='112'!$I$6)),"x",""))</f>
        <v/>
      </c>
      <c r="W1471" s="79" t="str">
        <f>IF(AND('341-CT'!$H$9=H1471,OR(LEFT(N1471,3)=$W$7,LEFT(O1471,3)=$W$7)),"x","")</f>
        <v/>
      </c>
      <c r="X1471" s="79" t="str">
        <f>IF(OR(TH!N1471=TH!$X$7,O1471=TH!$X$7),"x","")</f>
        <v/>
      </c>
      <c r="Y1471" s="79" t="str">
        <f>IF(AND(OR(N1471="131",O1471="131"),H1471='131-CT'!$H$9),"x","")</f>
        <v/>
      </c>
      <c r="Z1471" s="79"/>
      <c r="AA1471" s="79" t="str">
        <f>IF(AND(MONTH(E1471)='IN-NX'!$J$5,'IN-NX'!$D$7=D1471),"x","")</f>
        <v/>
      </c>
      <c r="AB1471" s="79" t="str">
        <f>IF(AND(OR(LEFT(TH!N1471,2)="15",LEFT(TH!O1471,2)="15"),LEFT(TH!O1471,3)&lt;&gt;"111",'152-CT'!$J$8=TH!F1471),"x","")</f>
        <v/>
      </c>
      <c r="AC1471" s="79" t="str">
        <f>IF(AND(OR(LEFT(TH!N1471,2)="15",LEFT(TH!O1471,2)="15"),TK!$E$7=TH!F1471),"x","")</f>
        <v/>
      </c>
      <c r="AD1471" s="79" t="str">
        <f>IF(AND(N1471="1521",MONTH(C1471)='BK-NL'!$M$11),"x","")</f>
        <v/>
      </c>
    </row>
    <row r="1472" spans="1:30" ht="16.5" customHeight="1">
      <c r="A1472" s="318" t="str">
        <f>IF(B1472&lt;&gt;"",IF(AND(B1472='IN-TC'!$S$4,OR(TH!N1472="1111",TH!O1472="1111")),TH!D1472,""),"")</f>
        <v/>
      </c>
      <c r="B1472" s="60" t="str">
        <f t="shared" si="207"/>
        <v/>
      </c>
      <c r="C1472" s="989"/>
      <c r="D1472" s="989"/>
      <c r="E1472" s="989"/>
      <c r="F1472" s="990"/>
      <c r="G1472" s="991"/>
      <c r="H1472" s="1011"/>
      <c r="I1472" s="994"/>
      <c r="J1472" s="993"/>
      <c r="K1472" s="994"/>
      <c r="L1472" s="992"/>
      <c r="M1472" s="995"/>
      <c r="N1472" s="996"/>
      <c r="O1472" s="996"/>
      <c r="P1472" s="79" t="str">
        <f>IF(AND('331-CT'!$E$7=TH!H1472,OR(N1472="331",O1472="331")),"x","")</f>
        <v/>
      </c>
      <c r="Q1472" s="79" t="str">
        <f>IF(AND(B1472='111'!$L$11,OR($N1472=$Q$7,$O1472=$Q$7)),"x","")</f>
        <v/>
      </c>
      <c r="R1472" s="79" t="str">
        <f>IF(AND($N1472=$Q$7,$B1472&lt;'111'!$L$11),"x","")</f>
        <v/>
      </c>
      <c r="S1472" s="79" t="str">
        <f>IF(AND($O1472=$Q$7,$B1472&lt;'111'!$L$11),"x","")</f>
        <v/>
      </c>
      <c r="T1472" s="79" t="str">
        <f>IF(ISERROR(FIND('112'!$M$9,G1472,1)),"",IF((AND(FIND('112'!$M$9,G1472,1)&gt;=1,B1472='112'!$K$9,OR($N1472='112'!$I$6,$O1472='112'!$I$6))),"x",""))</f>
        <v/>
      </c>
      <c r="U1472" s="79" t="str">
        <f>IF(ISERROR(FIND('112'!$M$9,G1472,1)),"",IF((AND(LEFT(G1472,2)=LEFT('112'!$M$9,2),B1472&lt;'112'!$K$9,$N1472='112'!$I$6)),"x",""))</f>
        <v/>
      </c>
      <c r="V1472" s="79" t="str">
        <f>IF(ISERROR(FIND('112'!$M$9,G1472,1)),"",IF((AND(RIGHT(G1472,2)=RIGHT('112'!$M$9,2),B1472&lt;'112'!$K$9,$O1472='112'!$I$6)),"x",""))</f>
        <v/>
      </c>
      <c r="W1472" s="79" t="str">
        <f>IF(AND('341-CT'!$H$9=H1472,OR(LEFT(N1472,3)=$W$7,LEFT(O1472,3)=$W$7)),"x","")</f>
        <v/>
      </c>
      <c r="X1472" s="79" t="str">
        <f>IF(OR(TH!N1472=TH!$X$7,O1472=TH!$X$7),"x","")</f>
        <v/>
      </c>
      <c r="Y1472" s="79" t="str">
        <f>IF(AND(OR(N1472="131",O1472="131"),H1472='131-CT'!$H$9),"x","")</f>
        <v/>
      </c>
      <c r="Z1472" s="79"/>
      <c r="AA1472" s="79" t="str">
        <f>IF(AND(MONTH(E1472)='IN-NX'!$J$5,'IN-NX'!$D$7=D1472),"x","")</f>
        <v/>
      </c>
      <c r="AB1472" s="79" t="str">
        <f>IF(AND(OR(LEFT(TH!N1472,2)="15",LEFT(TH!O1472,2)="15"),LEFT(TH!O1472,3)&lt;&gt;"111",'152-CT'!$J$8=TH!F1472),"x","")</f>
        <v/>
      </c>
      <c r="AC1472" s="79" t="str">
        <f>IF(AND(OR(LEFT(TH!N1472,2)="15",LEFT(TH!O1472,2)="15"),TK!$E$7=TH!F1472),"x","")</f>
        <v/>
      </c>
      <c r="AD1472" s="79" t="str">
        <f>IF(AND(N1472="1521",MONTH(C1472)='BK-NL'!$M$11),"x","")</f>
        <v/>
      </c>
    </row>
    <row r="1473" spans="1:30" ht="16.5" customHeight="1">
      <c r="A1473" s="318" t="str">
        <f>IF(B1473&lt;&gt;"",IF(AND(B1473='IN-TC'!$S$4,OR(TH!N1473="1111",TH!O1473="1111")),TH!D1473,""),"")</f>
        <v/>
      </c>
      <c r="B1473" s="60" t="str">
        <f t="shared" si="207"/>
        <v/>
      </c>
      <c r="C1473" s="989"/>
      <c r="D1473" s="989"/>
      <c r="E1473" s="989"/>
      <c r="F1473" s="990"/>
      <c r="G1473" s="991"/>
      <c r="H1473" s="1011"/>
      <c r="I1473" s="994"/>
      <c r="J1473" s="993"/>
      <c r="K1473" s="994"/>
      <c r="L1473" s="992"/>
      <c r="M1473" s="995"/>
      <c r="N1473" s="996"/>
      <c r="O1473" s="996"/>
      <c r="P1473" s="79" t="str">
        <f>IF(AND('331-CT'!$E$7=TH!H1473,OR(N1473="331",O1473="331")),"x","")</f>
        <v/>
      </c>
      <c r="Q1473" s="79" t="str">
        <f>IF(AND(B1473='111'!$L$11,OR($N1473=$Q$7,$O1473=$Q$7)),"x","")</f>
        <v/>
      </c>
      <c r="R1473" s="79" t="str">
        <f>IF(AND($N1473=$Q$7,$B1473&lt;'111'!$L$11),"x","")</f>
        <v/>
      </c>
      <c r="S1473" s="79" t="str">
        <f>IF(AND($O1473=$Q$7,$B1473&lt;'111'!$L$11),"x","")</f>
        <v/>
      </c>
      <c r="T1473" s="79" t="str">
        <f>IF(ISERROR(FIND('112'!$M$9,G1473,1)),"",IF((AND(FIND('112'!$M$9,G1473,1)&gt;=1,B1473='112'!$K$9,OR($N1473='112'!$I$6,$O1473='112'!$I$6))),"x",""))</f>
        <v/>
      </c>
      <c r="U1473" s="79" t="str">
        <f>IF(ISERROR(FIND('112'!$M$9,G1473,1)),"",IF((AND(LEFT(G1473,2)=LEFT('112'!$M$9,2),B1473&lt;'112'!$K$9,$N1473='112'!$I$6)),"x",""))</f>
        <v/>
      </c>
      <c r="V1473" s="79" t="str">
        <f>IF(ISERROR(FIND('112'!$M$9,G1473,1)),"",IF((AND(RIGHT(G1473,2)=RIGHT('112'!$M$9,2),B1473&lt;'112'!$K$9,$O1473='112'!$I$6)),"x",""))</f>
        <v/>
      </c>
      <c r="W1473" s="79" t="str">
        <f>IF(AND('341-CT'!$H$9=H1473,OR(LEFT(N1473,3)=$W$7,LEFT(O1473,3)=$W$7)),"x","")</f>
        <v/>
      </c>
      <c r="X1473" s="79" t="str">
        <f>IF(OR(TH!N1473=TH!$X$7,O1473=TH!$X$7),"x","")</f>
        <v/>
      </c>
      <c r="Y1473" s="79" t="str">
        <f>IF(AND(OR(N1473="131",O1473="131"),H1473='131-CT'!$H$9),"x","")</f>
        <v/>
      </c>
      <c r="Z1473" s="79"/>
      <c r="AA1473" s="79" t="str">
        <f>IF(AND(MONTH(E1473)='IN-NX'!$J$5,'IN-NX'!$D$7=D1473),"x","")</f>
        <v/>
      </c>
      <c r="AB1473" s="79" t="str">
        <f>IF(AND(OR(LEFT(TH!N1473,2)="15",LEFT(TH!O1473,2)="15"),LEFT(TH!O1473,3)&lt;&gt;"111",'152-CT'!$J$8=TH!F1473),"x","")</f>
        <v/>
      </c>
      <c r="AC1473" s="79" t="str">
        <f>IF(AND(OR(LEFT(TH!N1473,2)="15",LEFT(TH!O1473,2)="15"),TK!$E$7=TH!F1473),"x","")</f>
        <v/>
      </c>
      <c r="AD1473" s="79" t="str">
        <f>IF(AND(N1473="1521",MONTH(C1473)='BK-NL'!$M$11),"x","")</f>
        <v/>
      </c>
    </row>
    <row r="1474" spans="1:30" ht="16.5" customHeight="1">
      <c r="A1474" s="318" t="str">
        <f>IF(B1474&lt;&gt;"",IF(AND(B1474='IN-TC'!$S$4,OR(TH!N1474="1111",TH!O1474="1111")),TH!D1474,""),"")</f>
        <v/>
      </c>
      <c r="B1474" s="60" t="str">
        <f t="shared" si="207"/>
        <v/>
      </c>
      <c r="C1474" s="989"/>
      <c r="D1474" s="989"/>
      <c r="E1474" s="989"/>
      <c r="F1474" s="921"/>
      <c r="G1474" s="991"/>
      <c r="H1474" s="1105"/>
      <c r="I1474" s="994"/>
      <c r="J1474" s="993"/>
      <c r="K1474" s="994"/>
      <c r="L1474" s="992"/>
      <c r="M1474" s="995"/>
      <c r="N1474" s="996"/>
      <c r="O1474" s="996"/>
      <c r="P1474" s="79" t="str">
        <f>IF(AND('331-CT'!$E$7=TH!H1474,OR(N1474="331",O1474="331")),"x","")</f>
        <v/>
      </c>
      <c r="Q1474" s="79" t="str">
        <f>IF(AND(B1474='111'!$L$11,OR($N1474=$Q$7,$O1474=$Q$7)),"x","")</f>
        <v/>
      </c>
      <c r="R1474" s="79" t="str">
        <f>IF(AND($N1474=$Q$7,$B1474&lt;'111'!$L$11),"x","")</f>
        <v/>
      </c>
      <c r="S1474" s="79" t="str">
        <f>IF(AND($O1474=$Q$7,$B1474&lt;'111'!$L$11),"x","")</f>
        <v/>
      </c>
      <c r="T1474" s="79" t="str">
        <f>IF(ISERROR(FIND('112'!$M$9,G1474,1)),"",IF((AND(FIND('112'!$M$9,G1474,1)&gt;=1,B1474='112'!$K$9,OR($N1474='112'!$I$6,$O1474='112'!$I$6))),"x",""))</f>
        <v/>
      </c>
      <c r="U1474" s="79" t="str">
        <f>IF(ISERROR(FIND('112'!$M$9,G1474,1)),"",IF((AND(LEFT(G1474,2)=LEFT('112'!$M$9,2),B1474&lt;'112'!$K$9,$N1474='112'!$I$6)),"x",""))</f>
        <v/>
      </c>
      <c r="V1474" s="79" t="str">
        <f>IF(ISERROR(FIND('112'!$M$9,G1474,1)),"",IF((AND(RIGHT(G1474,2)=RIGHT('112'!$M$9,2),B1474&lt;'112'!$K$9,$O1474='112'!$I$6)),"x",""))</f>
        <v/>
      </c>
      <c r="W1474" s="79" t="str">
        <f>IF(AND('341-CT'!$H$9=H1474,OR(LEFT(N1474,3)=$W$7,LEFT(O1474,3)=$W$7)),"x","")</f>
        <v/>
      </c>
      <c r="X1474" s="79" t="str">
        <f>IF(OR(TH!N1474=TH!$X$7,O1474=TH!$X$7),"x","")</f>
        <v/>
      </c>
      <c r="Y1474" s="79" t="str">
        <f>IF(AND(OR(N1474="131",O1474="131"),H1474='131-CT'!$H$9),"x","")</f>
        <v/>
      </c>
      <c r="Z1474" s="79"/>
      <c r="AA1474" s="79" t="str">
        <f>IF(AND(MONTH(E1474)='IN-NX'!$J$5,'IN-NX'!$D$7=D1474),"x","")</f>
        <v/>
      </c>
      <c r="AB1474" s="79" t="str">
        <f>IF(AND(OR(LEFT(TH!N1474,2)="15",LEFT(TH!O1474,2)="15"),LEFT(TH!O1474,3)&lt;&gt;"111",'152-CT'!$J$8=TH!F1474),"x","")</f>
        <v/>
      </c>
      <c r="AC1474" s="79" t="str">
        <f>IF(AND(OR(LEFT(TH!N1474,2)="15",LEFT(TH!O1474,2)="15"),TK!$E$7=TH!F1474),"x","")</f>
        <v/>
      </c>
      <c r="AD1474" s="79" t="str">
        <f>IF(AND(N1474="1521",MONTH(C1474)='BK-NL'!$M$11),"x","")</f>
        <v/>
      </c>
    </row>
    <row r="1475" spans="1:30" ht="16.5" customHeight="1">
      <c r="A1475" s="318" t="str">
        <f>IF(B1475&lt;&gt;"",IF(AND(B1475='IN-TC'!$S$4,OR(TH!N1475="1111",TH!O1475="1111")),TH!D1475,""),"")</f>
        <v/>
      </c>
      <c r="B1475" s="60" t="str">
        <f t="shared" si="207"/>
        <v/>
      </c>
      <c r="C1475" s="989"/>
      <c r="D1475" s="989"/>
      <c r="E1475" s="989"/>
      <c r="F1475" s="921"/>
      <c r="G1475" s="991"/>
      <c r="H1475" s="1105"/>
      <c r="I1475" s="994"/>
      <c r="J1475" s="993"/>
      <c r="K1475" s="994"/>
      <c r="L1475" s="992"/>
      <c r="M1475" s="995"/>
      <c r="N1475" s="996"/>
      <c r="O1475" s="996"/>
      <c r="P1475" s="79" t="str">
        <f>IF(AND('331-CT'!$E$7=TH!H1475,OR(N1475="331",O1475="331")),"x","")</f>
        <v/>
      </c>
      <c r="Q1475" s="79" t="str">
        <f>IF(AND(B1475='111'!$L$11,OR($N1475=$Q$7,$O1475=$Q$7)),"x","")</f>
        <v/>
      </c>
      <c r="R1475" s="79" t="str">
        <f>IF(AND($N1475=$Q$7,$B1475&lt;'111'!$L$11),"x","")</f>
        <v/>
      </c>
      <c r="S1475" s="79" t="str">
        <f>IF(AND($O1475=$Q$7,$B1475&lt;'111'!$L$11),"x","")</f>
        <v/>
      </c>
      <c r="T1475" s="79" t="str">
        <f>IF(ISERROR(FIND('112'!$M$9,G1475,1)),"",IF((AND(FIND('112'!$M$9,G1475,1)&gt;=1,B1475='112'!$K$9,OR($N1475='112'!$I$6,$O1475='112'!$I$6))),"x",""))</f>
        <v/>
      </c>
      <c r="U1475" s="79" t="str">
        <f>IF(ISERROR(FIND('112'!$M$9,G1475,1)),"",IF((AND(LEFT(G1475,2)=LEFT('112'!$M$9,2),B1475&lt;'112'!$K$9,$N1475='112'!$I$6)),"x",""))</f>
        <v/>
      </c>
      <c r="V1475" s="79" t="str">
        <f>IF(ISERROR(FIND('112'!$M$9,G1475,1)),"",IF((AND(RIGHT(G1475,2)=RIGHT('112'!$M$9,2),B1475&lt;'112'!$K$9,$O1475='112'!$I$6)),"x",""))</f>
        <v/>
      </c>
      <c r="W1475" s="79" t="str">
        <f>IF(AND('341-CT'!$H$9=H1475,OR(LEFT(N1475,3)=$W$7,LEFT(O1475,3)=$W$7)),"x","")</f>
        <v/>
      </c>
      <c r="X1475" s="79" t="str">
        <f>IF(OR(TH!N1475=TH!$X$7,O1475=TH!$X$7),"x","")</f>
        <v/>
      </c>
      <c r="Y1475" s="79" t="str">
        <f>IF(AND(OR(N1475="131",O1475="131"),H1475='131-CT'!$H$9),"x","")</f>
        <v/>
      </c>
      <c r="Z1475" s="79"/>
      <c r="AA1475" s="79" t="str">
        <f>IF(AND(MONTH(E1475)='IN-NX'!$J$5,'IN-NX'!$D$7=D1475),"x","")</f>
        <v/>
      </c>
      <c r="AB1475" s="79" t="str">
        <f>IF(AND(OR(LEFT(TH!N1475,2)="15",LEFT(TH!O1475,2)="15"),LEFT(TH!O1475,3)&lt;&gt;"111",'152-CT'!$J$8=TH!F1475),"x","")</f>
        <v/>
      </c>
      <c r="AC1475" s="79" t="str">
        <f>IF(AND(OR(LEFT(TH!N1475,2)="15",LEFT(TH!O1475,2)="15"),TK!$E$7=TH!F1475),"x","")</f>
        <v/>
      </c>
      <c r="AD1475" s="79" t="str">
        <f>IF(AND(N1475="1521",MONTH(C1475)='BK-NL'!$M$11),"x","")</f>
        <v/>
      </c>
    </row>
    <row r="1476" spans="1:30" ht="16.5" customHeight="1">
      <c r="A1476" s="318" t="str">
        <f>IF(B1476&lt;&gt;"",IF(AND(B1476='IN-TC'!$S$4,OR(TH!N1476="1111",TH!O1476="1111")),TH!D1476,""),"")</f>
        <v/>
      </c>
      <c r="B1476" s="60" t="str">
        <f t="shared" si="207"/>
        <v/>
      </c>
      <c r="C1476" s="989"/>
      <c r="D1476" s="989"/>
      <c r="E1476" s="989"/>
      <c r="F1476" s="921"/>
      <c r="G1476" s="991"/>
      <c r="H1476" s="1105"/>
      <c r="I1476" s="994"/>
      <c r="J1476" s="993"/>
      <c r="K1476" s="994"/>
      <c r="L1476" s="992"/>
      <c r="M1476" s="995"/>
      <c r="N1476" s="996"/>
      <c r="O1476" s="996"/>
      <c r="P1476" s="79" t="str">
        <f>IF(AND('331-CT'!$E$7=TH!H1476,OR(N1476="331",O1476="331")),"x","")</f>
        <v/>
      </c>
      <c r="Q1476" s="79" t="str">
        <f>IF(AND(B1476='111'!$L$11,OR($N1476=$Q$7,$O1476=$Q$7)),"x","")</f>
        <v/>
      </c>
      <c r="R1476" s="79" t="str">
        <f>IF(AND($N1476=$Q$7,$B1476&lt;'111'!$L$11),"x","")</f>
        <v/>
      </c>
      <c r="S1476" s="79" t="str">
        <f>IF(AND($O1476=$Q$7,$B1476&lt;'111'!$L$11),"x","")</f>
        <v/>
      </c>
      <c r="T1476" s="79" t="str">
        <f>IF(ISERROR(FIND('112'!$M$9,G1476,1)),"",IF((AND(FIND('112'!$M$9,G1476,1)&gt;=1,B1476='112'!$K$9,OR($N1476='112'!$I$6,$O1476='112'!$I$6))),"x",""))</f>
        <v/>
      </c>
      <c r="U1476" s="79" t="str">
        <f>IF(ISERROR(FIND('112'!$M$9,G1476,1)),"",IF((AND(LEFT(G1476,2)=LEFT('112'!$M$9,2),B1476&lt;'112'!$K$9,$N1476='112'!$I$6)),"x",""))</f>
        <v/>
      </c>
      <c r="V1476" s="79" t="str">
        <f>IF(ISERROR(FIND('112'!$M$9,G1476,1)),"",IF((AND(RIGHT(G1476,2)=RIGHT('112'!$M$9,2),B1476&lt;'112'!$K$9,$O1476='112'!$I$6)),"x",""))</f>
        <v/>
      </c>
      <c r="W1476" s="79" t="str">
        <f>IF(AND('341-CT'!$H$9=H1476,OR(LEFT(N1476,3)=$W$7,LEFT(O1476,3)=$W$7)),"x","")</f>
        <v/>
      </c>
      <c r="X1476" s="79" t="str">
        <f>IF(OR(TH!N1476=TH!$X$7,O1476=TH!$X$7),"x","")</f>
        <v/>
      </c>
      <c r="Y1476" s="79" t="str">
        <f>IF(AND(OR(N1476="131",O1476="131"),H1476='131-CT'!$H$9),"x","")</f>
        <v/>
      </c>
      <c r="Z1476" s="79"/>
      <c r="AA1476" s="79" t="str">
        <f>IF(AND(MONTH(E1476)='IN-NX'!$J$5,'IN-NX'!$D$7=D1476),"x","")</f>
        <v/>
      </c>
      <c r="AB1476" s="79" t="str">
        <f>IF(AND(OR(LEFT(TH!N1476,2)="15",LEFT(TH!O1476,2)="15"),LEFT(TH!O1476,3)&lt;&gt;"111",'152-CT'!$J$8=TH!F1476),"x","")</f>
        <v/>
      </c>
      <c r="AC1476" s="79" t="str">
        <f>IF(AND(OR(LEFT(TH!N1476,2)="15",LEFT(TH!O1476,2)="15"),TK!$E$7=TH!F1476),"x","")</f>
        <v/>
      </c>
      <c r="AD1476" s="79" t="str">
        <f>IF(AND(N1476="1521",MONTH(C1476)='BK-NL'!$M$11),"x","")</f>
        <v/>
      </c>
    </row>
    <row r="1477" spans="1:30" ht="16.5" customHeight="1">
      <c r="A1477" s="318" t="str">
        <f>IF(B1477&lt;&gt;"",IF(AND(B1477='IN-TC'!$S$4,OR(TH!N1477="1111",TH!O1477="1111")),TH!D1477,""),"")</f>
        <v/>
      </c>
      <c r="B1477" s="60" t="str">
        <f t="shared" si="207"/>
        <v/>
      </c>
      <c r="C1477" s="989"/>
      <c r="D1477" s="989"/>
      <c r="E1477" s="989"/>
      <c r="F1477" s="921"/>
      <c r="G1477" s="991"/>
      <c r="H1477" s="1105"/>
      <c r="I1477" s="994"/>
      <c r="J1477" s="993"/>
      <c r="K1477" s="994"/>
      <c r="L1477" s="992"/>
      <c r="M1477" s="995"/>
      <c r="N1477" s="996"/>
      <c r="O1477" s="996"/>
      <c r="P1477" s="79" t="str">
        <f>IF(AND('331-CT'!$E$7=TH!H1477,OR(N1477="331",O1477="331")),"x","")</f>
        <v/>
      </c>
      <c r="Q1477" s="79" t="str">
        <f>IF(AND(B1477='111'!$L$11,OR($N1477=$Q$7,$O1477=$Q$7)),"x","")</f>
        <v/>
      </c>
      <c r="R1477" s="79" t="str">
        <f>IF(AND($N1477=$Q$7,$B1477&lt;'111'!$L$11),"x","")</f>
        <v/>
      </c>
      <c r="S1477" s="79" t="str">
        <f>IF(AND($O1477=$Q$7,$B1477&lt;'111'!$L$11),"x","")</f>
        <v/>
      </c>
      <c r="T1477" s="79" t="str">
        <f>IF(ISERROR(FIND('112'!$M$9,G1477,1)),"",IF((AND(FIND('112'!$M$9,G1477,1)&gt;=1,B1477='112'!$K$9,OR($N1477='112'!$I$6,$O1477='112'!$I$6))),"x",""))</f>
        <v/>
      </c>
      <c r="U1477" s="79" t="str">
        <f>IF(ISERROR(FIND('112'!$M$9,G1477,1)),"",IF((AND(LEFT(G1477,2)=LEFT('112'!$M$9,2),B1477&lt;'112'!$K$9,$N1477='112'!$I$6)),"x",""))</f>
        <v/>
      </c>
      <c r="V1477" s="79" t="str">
        <f>IF(ISERROR(FIND('112'!$M$9,G1477,1)),"",IF((AND(RIGHT(G1477,2)=RIGHT('112'!$M$9,2),B1477&lt;'112'!$K$9,$O1477='112'!$I$6)),"x",""))</f>
        <v/>
      </c>
      <c r="W1477" s="79" t="str">
        <f>IF(AND('341-CT'!$H$9=H1477,OR(LEFT(N1477,3)=$W$7,LEFT(O1477,3)=$W$7)),"x","")</f>
        <v/>
      </c>
      <c r="X1477" s="79" t="str">
        <f>IF(OR(TH!N1477=TH!$X$7,O1477=TH!$X$7),"x","")</f>
        <v/>
      </c>
      <c r="Y1477" s="79" t="str">
        <f>IF(AND(OR(N1477="131",O1477="131"),H1477='131-CT'!$H$9),"x","")</f>
        <v/>
      </c>
      <c r="Z1477" s="79"/>
      <c r="AA1477" s="79" t="str">
        <f>IF(AND(MONTH(E1477)='IN-NX'!$J$5,'IN-NX'!$D$7=D1477),"x","")</f>
        <v/>
      </c>
      <c r="AB1477" s="79" t="str">
        <f>IF(AND(OR(LEFT(TH!N1477,2)="15",LEFT(TH!O1477,2)="15"),LEFT(TH!O1477,3)&lt;&gt;"111",'152-CT'!$J$8=TH!F1477),"x","")</f>
        <v/>
      </c>
      <c r="AC1477" s="79" t="str">
        <f>IF(AND(OR(LEFT(TH!N1477,2)="15",LEFT(TH!O1477,2)="15"),TK!$E$7=TH!F1477),"x","")</f>
        <v/>
      </c>
      <c r="AD1477" s="79" t="str">
        <f>IF(AND(N1477="1521",MONTH(C1477)='BK-NL'!$M$11),"x","")</f>
        <v/>
      </c>
    </row>
    <row r="1478" spans="1:30" ht="16.5" customHeight="1">
      <c r="A1478" s="318" t="str">
        <f>IF(B1478&lt;&gt;"",IF(AND(B1478='IN-TC'!$S$4,OR(TH!N1478="1111",TH!O1478="1111")),TH!D1478,""),"")</f>
        <v/>
      </c>
      <c r="B1478" s="60" t="str">
        <f t="shared" si="207"/>
        <v/>
      </c>
      <c r="C1478" s="989"/>
      <c r="D1478" s="989"/>
      <c r="E1478" s="989"/>
      <c r="F1478" s="990"/>
      <c r="G1478" s="991"/>
      <c r="H1478" s="921"/>
      <c r="I1478" s="994"/>
      <c r="J1478" s="993"/>
      <c r="K1478" s="994"/>
      <c r="L1478" s="992"/>
      <c r="M1478" s="995"/>
      <c r="N1478" s="996"/>
      <c r="O1478" s="996"/>
      <c r="P1478" s="79" t="str">
        <f>IF(AND('331-CT'!$E$7=TH!H1478,OR(N1478="331",O1478="331")),"x","")</f>
        <v/>
      </c>
      <c r="Q1478" s="79" t="str">
        <f>IF(AND(B1478='111'!$L$11,OR($N1478=$Q$7,$O1478=$Q$7)),"x","")</f>
        <v/>
      </c>
      <c r="R1478" s="79" t="str">
        <f>IF(AND($N1478=$Q$7,$B1478&lt;'111'!$L$11),"x","")</f>
        <v/>
      </c>
      <c r="S1478" s="79" t="str">
        <f>IF(AND($O1478=$Q$7,$B1478&lt;'111'!$L$11),"x","")</f>
        <v/>
      </c>
      <c r="T1478" s="79" t="str">
        <f>IF(ISERROR(FIND('112'!$M$9,G1478,1)),"",IF((AND(FIND('112'!$M$9,G1478,1)&gt;=1,B1478='112'!$K$9,OR($N1478='112'!$I$6,$O1478='112'!$I$6))),"x",""))</f>
        <v/>
      </c>
      <c r="U1478" s="79" t="str">
        <f>IF(ISERROR(FIND('112'!$M$9,G1478,1)),"",IF((AND(LEFT(G1478,2)=LEFT('112'!$M$9,2),B1478&lt;'112'!$K$9,$N1478='112'!$I$6)),"x",""))</f>
        <v/>
      </c>
      <c r="V1478" s="79" t="str">
        <f>IF(ISERROR(FIND('112'!$M$9,G1478,1)),"",IF((AND(RIGHT(G1478,2)=RIGHT('112'!$M$9,2),B1478&lt;'112'!$K$9,$O1478='112'!$I$6)),"x",""))</f>
        <v/>
      </c>
      <c r="W1478" s="79" t="str">
        <f>IF(AND('341-CT'!$H$9=H1478,OR(LEFT(N1478,3)=$W$7,LEFT(O1478,3)=$W$7)),"x","")</f>
        <v/>
      </c>
      <c r="X1478" s="79" t="str">
        <f>IF(OR(TH!N1478=TH!$X$7,O1478=TH!$X$7),"x","")</f>
        <v/>
      </c>
      <c r="Y1478" s="79" t="str">
        <f>IF(AND(OR(N1478="131",O1478="131"),H1478='131-CT'!$H$9),"x","")</f>
        <v/>
      </c>
      <c r="Z1478" s="79"/>
      <c r="AA1478" s="79" t="str">
        <f>IF(AND(MONTH(E1478)='IN-NX'!$J$5,'IN-NX'!$D$7=D1478),"x","")</f>
        <v/>
      </c>
      <c r="AB1478" s="79" t="str">
        <f>IF(AND(OR(LEFT(TH!N1478,2)="15",LEFT(TH!O1478,2)="15"),LEFT(TH!O1478,3)&lt;&gt;"111",'152-CT'!$J$8=TH!F1478),"x","")</f>
        <v/>
      </c>
      <c r="AC1478" s="79" t="str">
        <f>IF(AND(OR(LEFT(TH!N1478,2)="15",LEFT(TH!O1478,2)="15"),TK!$E$7=TH!F1478),"x","")</f>
        <v/>
      </c>
      <c r="AD1478" s="79" t="str">
        <f>IF(AND(N1478="1521",MONTH(C1478)='BK-NL'!$M$11),"x","")</f>
        <v/>
      </c>
    </row>
    <row r="1479" spans="1:30" ht="16.5" customHeight="1">
      <c r="A1479" s="318" t="str">
        <f>IF(B1479&lt;&gt;"",IF(AND(B1479='IN-TC'!$S$4,OR(TH!N1479="1111",TH!O1479="1111")),TH!D1479,""),"")</f>
        <v/>
      </c>
      <c r="B1479" s="60" t="str">
        <f t="shared" si="207"/>
        <v/>
      </c>
      <c r="C1479" s="989"/>
      <c r="D1479" s="989"/>
      <c r="E1479" s="989"/>
      <c r="F1479" s="990"/>
      <c r="G1479" s="991"/>
      <c r="H1479" s="921"/>
      <c r="I1479" s="994"/>
      <c r="J1479" s="993"/>
      <c r="K1479" s="994"/>
      <c r="L1479" s="992"/>
      <c r="M1479" s="995"/>
      <c r="N1479" s="996"/>
      <c r="O1479" s="996"/>
      <c r="P1479" s="79" t="str">
        <f>IF(AND('331-CT'!$E$7=TH!H1479,OR(N1479="331",O1479="331")),"x","")</f>
        <v/>
      </c>
      <c r="Q1479" s="79" t="str">
        <f>IF(AND(B1479='111'!$L$11,OR($N1479=$Q$7,$O1479=$Q$7)),"x","")</f>
        <v/>
      </c>
      <c r="R1479" s="79" t="str">
        <f>IF(AND($N1479=$Q$7,$B1479&lt;'111'!$L$11),"x","")</f>
        <v/>
      </c>
      <c r="S1479" s="79" t="str">
        <f>IF(AND($O1479=$Q$7,$B1479&lt;'111'!$L$11),"x","")</f>
        <v/>
      </c>
      <c r="T1479" s="79" t="str">
        <f>IF(ISERROR(FIND('112'!$M$9,G1479,1)),"",IF((AND(FIND('112'!$M$9,G1479,1)&gt;=1,B1479='112'!$K$9,OR($N1479='112'!$I$6,$O1479='112'!$I$6))),"x",""))</f>
        <v/>
      </c>
      <c r="U1479" s="79" t="str">
        <f>IF(ISERROR(FIND('112'!$M$9,G1479,1)),"",IF((AND(LEFT(G1479,2)=LEFT('112'!$M$9,2),B1479&lt;'112'!$K$9,$N1479='112'!$I$6)),"x",""))</f>
        <v/>
      </c>
      <c r="V1479" s="79" t="str">
        <f>IF(ISERROR(FIND('112'!$M$9,G1479,1)),"",IF((AND(RIGHT(G1479,2)=RIGHT('112'!$M$9,2),B1479&lt;'112'!$K$9,$O1479='112'!$I$6)),"x",""))</f>
        <v/>
      </c>
      <c r="W1479" s="79" t="str">
        <f>IF(AND('341-CT'!$H$9=H1479,OR(LEFT(N1479,3)=$W$7,LEFT(O1479,3)=$W$7)),"x","")</f>
        <v/>
      </c>
      <c r="X1479" s="79" t="str">
        <f>IF(OR(TH!N1479=TH!$X$7,O1479=TH!$X$7),"x","")</f>
        <v/>
      </c>
      <c r="Y1479" s="79" t="str">
        <f>IF(AND(OR(N1479="131",O1479="131"),H1479='131-CT'!$H$9),"x","")</f>
        <v/>
      </c>
      <c r="Z1479" s="79"/>
      <c r="AA1479" s="79" t="str">
        <f>IF(AND(MONTH(E1479)='IN-NX'!$J$5,'IN-NX'!$D$7=D1479),"x","")</f>
        <v/>
      </c>
      <c r="AB1479" s="79" t="str">
        <f>IF(AND(OR(LEFT(TH!N1479,2)="15",LEFT(TH!O1479,2)="15"),LEFT(TH!O1479,3)&lt;&gt;"111",'152-CT'!$J$8=TH!F1479),"x","")</f>
        <v/>
      </c>
      <c r="AC1479" s="79" t="str">
        <f>IF(AND(OR(LEFT(TH!N1479,2)="15",LEFT(TH!O1479,2)="15"),TK!$E$7=TH!F1479),"x","")</f>
        <v/>
      </c>
      <c r="AD1479" s="79" t="str">
        <f>IF(AND(N1479="1521",MONTH(C1479)='BK-NL'!$M$11),"x","")</f>
        <v/>
      </c>
    </row>
    <row r="1480" spans="1:30" ht="16.5" customHeight="1">
      <c r="A1480" s="318" t="str">
        <f>IF(B1480&lt;&gt;"",IF(AND(B1480='IN-TC'!$S$4,OR(TH!N1480="1111",TH!O1480="1111")),TH!D1480,""),"")</f>
        <v/>
      </c>
      <c r="B1480" s="60" t="str">
        <f t="shared" si="207"/>
        <v/>
      </c>
      <c r="C1480" s="989"/>
      <c r="D1480" s="989"/>
      <c r="E1480" s="989"/>
      <c r="F1480" s="921"/>
      <c r="G1480" s="991"/>
      <c r="H1480" s="1105"/>
      <c r="I1480" s="994"/>
      <c r="J1480" s="993"/>
      <c r="K1480" s="994"/>
      <c r="L1480" s="992"/>
      <c r="M1480" s="995"/>
      <c r="N1480" s="996"/>
      <c r="O1480" s="996"/>
      <c r="P1480" s="79" t="str">
        <f>IF(AND('331-CT'!$E$7=TH!H1480,OR(N1480="331",O1480="331")),"x","")</f>
        <v/>
      </c>
      <c r="Q1480" s="79" t="str">
        <f>IF(AND(B1480='111'!$L$11,OR($N1480=$Q$7,$O1480=$Q$7)),"x","")</f>
        <v/>
      </c>
      <c r="R1480" s="79" t="str">
        <f>IF(AND($N1480=$Q$7,$B1480&lt;'111'!$L$11),"x","")</f>
        <v/>
      </c>
      <c r="S1480" s="79" t="str">
        <f>IF(AND($O1480=$Q$7,$B1480&lt;'111'!$L$11),"x","")</f>
        <v/>
      </c>
      <c r="T1480" s="79" t="str">
        <f>IF(ISERROR(FIND('112'!$M$9,G1480,1)),"",IF((AND(FIND('112'!$M$9,G1480,1)&gt;=1,B1480='112'!$K$9,OR($N1480='112'!$I$6,$O1480='112'!$I$6))),"x",""))</f>
        <v/>
      </c>
      <c r="U1480" s="79" t="str">
        <f>IF(ISERROR(FIND('112'!$M$9,G1480,1)),"",IF((AND(LEFT(G1480,2)=LEFT('112'!$M$9,2),B1480&lt;'112'!$K$9,$N1480='112'!$I$6)),"x",""))</f>
        <v/>
      </c>
      <c r="V1480" s="79" t="str">
        <f>IF(ISERROR(FIND('112'!$M$9,G1480,1)),"",IF((AND(RIGHT(G1480,2)=RIGHT('112'!$M$9,2),B1480&lt;'112'!$K$9,$O1480='112'!$I$6)),"x",""))</f>
        <v/>
      </c>
      <c r="W1480" s="79" t="str">
        <f>IF(AND('341-CT'!$H$9=H1480,OR(LEFT(N1480,3)=$W$7,LEFT(O1480,3)=$W$7)),"x","")</f>
        <v/>
      </c>
      <c r="X1480" s="79" t="str">
        <f>IF(OR(TH!N1480=TH!$X$7,O1480=TH!$X$7),"x","")</f>
        <v/>
      </c>
      <c r="Y1480" s="79" t="str">
        <f>IF(AND(OR(N1480="131",O1480="131"),H1480='131-CT'!$H$9),"x","")</f>
        <v/>
      </c>
      <c r="Z1480" s="79"/>
      <c r="AA1480" s="79" t="str">
        <f>IF(AND(MONTH(E1480)='IN-NX'!$J$5,'IN-NX'!$D$7=D1480),"x","")</f>
        <v/>
      </c>
      <c r="AB1480" s="79" t="str">
        <f>IF(AND(OR(LEFT(TH!N1480,2)="15",LEFT(TH!O1480,2)="15"),LEFT(TH!O1480,3)&lt;&gt;"111",'152-CT'!$J$8=TH!F1480),"x","")</f>
        <v/>
      </c>
      <c r="AC1480" s="79" t="str">
        <f>IF(AND(OR(LEFT(TH!N1480,2)="15",LEFT(TH!O1480,2)="15"),TK!$E$7=TH!F1480),"x","")</f>
        <v/>
      </c>
      <c r="AD1480" s="79" t="str">
        <f>IF(AND(N1480="1521",MONTH(C1480)='BK-NL'!$M$11),"x","")</f>
        <v/>
      </c>
    </row>
    <row r="1481" spans="1:30" ht="16.5" customHeight="1">
      <c r="A1481" s="318" t="str">
        <f>IF(B1481&lt;&gt;"",IF(AND(B1481='IN-TC'!$S$4,OR(TH!N1481="1111",TH!O1481="1111")),TH!D1481,""),"")</f>
        <v/>
      </c>
      <c r="B1481" s="60" t="str">
        <f t="shared" si="207"/>
        <v/>
      </c>
      <c r="C1481" s="989"/>
      <c r="D1481" s="989"/>
      <c r="E1481" s="989"/>
      <c r="F1481" s="921"/>
      <c r="G1481" s="991"/>
      <c r="H1481" s="1105"/>
      <c r="I1481" s="994"/>
      <c r="J1481" s="993"/>
      <c r="K1481" s="994"/>
      <c r="L1481" s="992"/>
      <c r="M1481" s="995"/>
      <c r="N1481" s="996"/>
      <c r="O1481" s="996"/>
      <c r="P1481" s="79" t="str">
        <f>IF(AND('331-CT'!$E$7=TH!H1481,OR(N1481="331",O1481="331")),"x","")</f>
        <v/>
      </c>
      <c r="Q1481" s="79" t="str">
        <f>IF(AND(B1481='111'!$L$11,OR($N1481=$Q$7,$O1481=$Q$7)),"x","")</f>
        <v/>
      </c>
      <c r="R1481" s="79" t="str">
        <f>IF(AND($N1481=$Q$7,$B1481&lt;'111'!$L$11),"x","")</f>
        <v/>
      </c>
      <c r="S1481" s="79" t="str">
        <f>IF(AND($O1481=$Q$7,$B1481&lt;'111'!$L$11),"x","")</f>
        <v/>
      </c>
      <c r="T1481" s="79" t="str">
        <f>IF(ISERROR(FIND('112'!$M$9,G1481,1)),"",IF((AND(FIND('112'!$M$9,G1481,1)&gt;=1,B1481='112'!$K$9,OR($N1481='112'!$I$6,$O1481='112'!$I$6))),"x",""))</f>
        <v/>
      </c>
      <c r="U1481" s="79" t="str">
        <f>IF(ISERROR(FIND('112'!$M$9,G1481,1)),"",IF((AND(LEFT(G1481,2)=LEFT('112'!$M$9,2),B1481&lt;'112'!$K$9,$N1481='112'!$I$6)),"x",""))</f>
        <v/>
      </c>
      <c r="V1481" s="79" t="str">
        <f>IF(ISERROR(FIND('112'!$M$9,G1481,1)),"",IF((AND(RIGHT(G1481,2)=RIGHT('112'!$M$9,2),B1481&lt;'112'!$K$9,$O1481='112'!$I$6)),"x",""))</f>
        <v/>
      </c>
      <c r="W1481" s="79" t="str">
        <f>IF(AND('341-CT'!$H$9=H1481,OR(LEFT(N1481,3)=$W$7,LEFT(O1481,3)=$W$7)),"x","")</f>
        <v/>
      </c>
      <c r="X1481" s="79" t="str">
        <f>IF(OR(TH!N1481=TH!$X$7,O1481=TH!$X$7),"x","")</f>
        <v/>
      </c>
      <c r="Y1481" s="79" t="str">
        <f>IF(AND(OR(N1481="131",O1481="131"),H1481='131-CT'!$H$9),"x","")</f>
        <v/>
      </c>
      <c r="Z1481" s="79"/>
      <c r="AA1481" s="79" t="str">
        <f>IF(AND(MONTH(E1481)='IN-NX'!$J$5,'IN-NX'!$D$7=D1481),"x","")</f>
        <v/>
      </c>
      <c r="AB1481" s="79" t="str">
        <f>IF(AND(OR(LEFT(TH!N1481,2)="15",LEFT(TH!O1481,2)="15"),LEFT(TH!O1481,3)&lt;&gt;"111",'152-CT'!$J$8=TH!F1481),"x","")</f>
        <v/>
      </c>
      <c r="AC1481" s="79" t="str">
        <f>IF(AND(OR(LEFT(TH!N1481,2)="15",LEFT(TH!O1481,2)="15"),TK!$E$7=TH!F1481),"x","")</f>
        <v/>
      </c>
      <c r="AD1481" s="79" t="str">
        <f>IF(AND(N1481="1521",MONTH(C1481)='BK-NL'!$M$11),"x","")</f>
        <v/>
      </c>
    </row>
    <row r="1482" spans="1:30" ht="16.5" customHeight="1">
      <c r="A1482" s="318" t="str">
        <f>IF(B1482&lt;&gt;"",IF(AND(B1482='IN-TC'!$S$4,OR(TH!N1482="1111",TH!O1482="1111")),TH!D1482,""),"")</f>
        <v/>
      </c>
      <c r="B1482" s="60" t="str">
        <f t="shared" si="207"/>
        <v/>
      </c>
      <c r="C1482" s="989"/>
      <c r="D1482" s="989"/>
      <c r="E1482" s="989"/>
      <c r="F1482" s="990"/>
      <c r="G1482" s="991"/>
      <c r="H1482" s="1011"/>
      <c r="I1482" s="994"/>
      <c r="J1482" s="993"/>
      <c r="K1482" s="994"/>
      <c r="L1482" s="992"/>
      <c r="M1482" s="995"/>
      <c r="N1482" s="996"/>
      <c r="O1482" s="996"/>
      <c r="P1482" s="79" t="str">
        <f>IF(AND('331-CT'!$E$7=TH!H1482,OR(N1482="331",O1482="331")),"x","")</f>
        <v/>
      </c>
      <c r="Q1482" s="79" t="str">
        <f>IF(AND(B1482='111'!$L$11,OR($N1482=$Q$7,$O1482=$Q$7)),"x","")</f>
        <v/>
      </c>
      <c r="R1482" s="79" t="str">
        <f>IF(AND($N1482=$Q$7,$B1482&lt;'111'!$L$11),"x","")</f>
        <v/>
      </c>
      <c r="S1482" s="79" t="str">
        <f>IF(AND($O1482=$Q$7,$B1482&lt;'111'!$L$11),"x","")</f>
        <v/>
      </c>
      <c r="T1482" s="79" t="str">
        <f>IF(ISERROR(FIND('112'!$M$9,G1482,1)),"",IF((AND(FIND('112'!$M$9,G1482,1)&gt;=1,B1482='112'!$K$9,OR($N1482='112'!$I$6,$O1482='112'!$I$6))),"x",""))</f>
        <v/>
      </c>
      <c r="U1482" s="79" t="str">
        <f>IF(ISERROR(FIND('112'!$M$9,G1482,1)),"",IF((AND(LEFT(G1482,2)=LEFT('112'!$M$9,2),B1482&lt;'112'!$K$9,$N1482='112'!$I$6)),"x",""))</f>
        <v/>
      </c>
      <c r="V1482" s="79" t="str">
        <f>IF(ISERROR(FIND('112'!$M$9,G1482,1)),"",IF((AND(RIGHT(G1482,2)=RIGHT('112'!$M$9,2),B1482&lt;'112'!$K$9,$O1482='112'!$I$6)),"x",""))</f>
        <v/>
      </c>
      <c r="W1482" s="79" t="str">
        <f>IF(AND('341-CT'!$H$9=H1482,OR(LEFT(N1482,3)=$W$7,LEFT(O1482,3)=$W$7)),"x","")</f>
        <v/>
      </c>
      <c r="X1482" s="79" t="str">
        <f>IF(OR(TH!N1482=TH!$X$7,O1482=TH!$X$7),"x","")</f>
        <v/>
      </c>
      <c r="Y1482" s="79" t="str">
        <f>IF(AND(OR(N1482="131",O1482="131"),H1482='131-CT'!$H$9),"x","")</f>
        <v/>
      </c>
      <c r="Z1482" s="79"/>
      <c r="AA1482" s="79" t="str">
        <f>IF(AND(MONTH(E1482)='IN-NX'!$J$5,'IN-NX'!$D$7=D1482),"x","")</f>
        <v/>
      </c>
      <c r="AB1482" s="79" t="str">
        <f>IF(AND(OR(LEFT(TH!N1482,2)="15",LEFT(TH!O1482,2)="15"),LEFT(TH!O1482,3)&lt;&gt;"111",'152-CT'!$J$8=TH!F1482),"x","")</f>
        <v/>
      </c>
      <c r="AC1482" s="79" t="str">
        <f>IF(AND(OR(LEFT(TH!N1482,2)="15",LEFT(TH!O1482,2)="15"),TK!$E$7=TH!F1482),"x","")</f>
        <v/>
      </c>
      <c r="AD1482" s="79" t="str">
        <f>IF(AND(N1482="1521",MONTH(C1482)='BK-NL'!$M$11),"x","")</f>
        <v/>
      </c>
    </row>
    <row r="1483" spans="1:30" ht="16.5" customHeight="1">
      <c r="A1483" s="318" t="str">
        <f>IF(B1483&lt;&gt;"",IF(AND(B1483='IN-TC'!$S$4,OR(TH!N1483="1111",TH!O1483="1111")),TH!D1483,""),"")</f>
        <v/>
      </c>
      <c r="B1483" s="60" t="str">
        <f t="shared" si="207"/>
        <v/>
      </c>
      <c r="C1483" s="989"/>
      <c r="D1483" s="989"/>
      <c r="E1483" s="989"/>
      <c r="F1483" s="921"/>
      <c r="G1483" s="991"/>
      <c r="H1483" s="1011"/>
      <c r="I1483" s="994"/>
      <c r="J1483" s="993"/>
      <c r="K1483" s="994"/>
      <c r="L1483" s="992"/>
      <c r="M1483" s="995"/>
      <c r="N1483" s="996"/>
      <c r="O1483" s="996"/>
      <c r="P1483" s="79" t="str">
        <f>IF(AND('331-CT'!$E$7=TH!H1483,OR(N1483="331",O1483="331")),"x","")</f>
        <v/>
      </c>
      <c r="Q1483" s="79" t="str">
        <f>IF(AND(B1483='111'!$L$11,OR($N1483=$Q$7,$O1483=$Q$7)),"x","")</f>
        <v/>
      </c>
      <c r="R1483" s="79" t="str">
        <f>IF(AND($N1483=$Q$7,$B1483&lt;'111'!$L$11),"x","")</f>
        <v/>
      </c>
      <c r="S1483" s="79" t="str">
        <f>IF(AND($O1483=$Q$7,$B1483&lt;'111'!$L$11),"x","")</f>
        <v/>
      </c>
      <c r="T1483" s="79" t="str">
        <f>IF(ISERROR(FIND('112'!$M$9,G1483,1)),"",IF((AND(FIND('112'!$M$9,G1483,1)&gt;=1,B1483='112'!$K$9,OR($N1483='112'!$I$6,$O1483='112'!$I$6))),"x",""))</f>
        <v/>
      </c>
      <c r="U1483" s="79" t="str">
        <f>IF(ISERROR(FIND('112'!$M$9,G1483,1)),"",IF((AND(LEFT(G1483,2)=LEFT('112'!$M$9,2),B1483&lt;'112'!$K$9,$N1483='112'!$I$6)),"x",""))</f>
        <v/>
      </c>
      <c r="V1483" s="79" t="str">
        <f>IF(ISERROR(FIND('112'!$M$9,G1483,1)),"",IF((AND(RIGHT(G1483,2)=RIGHT('112'!$M$9,2),B1483&lt;'112'!$K$9,$O1483='112'!$I$6)),"x",""))</f>
        <v/>
      </c>
      <c r="W1483" s="79" t="str">
        <f>IF(AND('341-CT'!$H$9=H1483,OR(LEFT(N1483,3)=$W$7,LEFT(O1483,3)=$W$7)),"x","")</f>
        <v/>
      </c>
      <c r="X1483" s="79" t="str">
        <f>IF(OR(TH!N1483=TH!$X$7,O1483=TH!$X$7),"x","")</f>
        <v/>
      </c>
      <c r="Y1483" s="79" t="str">
        <f>IF(AND(OR(N1483="131",O1483="131"),H1483='131-CT'!$H$9),"x","")</f>
        <v/>
      </c>
      <c r="Z1483" s="79"/>
      <c r="AA1483" s="79" t="str">
        <f>IF(AND(MONTH(E1483)='IN-NX'!$J$5,'IN-NX'!$D$7=D1483),"x","")</f>
        <v/>
      </c>
      <c r="AB1483" s="79" t="str">
        <f>IF(AND(OR(LEFT(TH!N1483,2)="15",LEFT(TH!O1483,2)="15"),LEFT(TH!O1483,3)&lt;&gt;"111",'152-CT'!$J$8=TH!F1483),"x","")</f>
        <v/>
      </c>
      <c r="AC1483" s="79" t="str">
        <f>IF(AND(OR(LEFT(TH!N1483,2)="15",LEFT(TH!O1483,2)="15"),TK!$E$7=TH!F1483),"x","")</f>
        <v/>
      </c>
      <c r="AD1483" s="79" t="str">
        <f>IF(AND(N1483="1521",MONTH(C1483)='BK-NL'!$M$11),"x","")</f>
        <v/>
      </c>
    </row>
    <row r="1484" spans="1:30" ht="16.5" customHeight="1">
      <c r="A1484" s="318" t="str">
        <f>IF(B1484&lt;&gt;"",IF(AND(B1484='IN-TC'!$S$4,OR(TH!N1484="1111",TH!O1484="1111")),TH!D1484,""),"")</f>
        <v/>
      </c>
      <c r="B1484" s="60" t="str">
        <f t="shared" si="207"/>
        <v/>
      </c>
      <c r="C1484" s="989"/>
      <c r="D1484" s="989"/>
      <c r="E1484" s="989"/>
      <c r="F1484" s="921"/>
      <c r="G1484" s="991"/>
      <c r="H1484" s="1105"/>
      <c r="I1484" s="994"/>
      <c r="J1484" s="993"/>
      <c r="K1484" s="994"/>
      <c r="L1484" s="992"/>
      <c r="M1484" s="995"/>
      <c r="N1484" s="996"/>
      <c r="O1484" s="996"/>
      <c r="P1484" s="79" t="str">
        <f>IF(AND('331-CT'!$E$7=TH!H1484,OR(N1484="331",O1484="331")),"x","")</f>
        <v/>
      </c>
      <c r="Q1484" s="79" t="str">
        <f>IF(AND(B1484='111'!$L$11,OR($N1484=$Q$7,$O1484=$Q$7)),"x","")</f>
        <v/>
      </c>
      <c r="R1484" s="79" t="str">
        <f>IF(AND($N1484=$Q$7,$B1484&lt;'111'!$L$11),"x","")</f>
        <v/>
      </c>
      <c r="S1484" s="79" t="str">
        <f>IF(AND($O1484=$Q$7,$B1484&lt;'111'!$L$11),"x","")</f>
        <v/>
      </c>
      <c r="T1484" s="79" t="str">
        <f>IF(ISERROR(FIND('112'!$M$9,G1484,1)),"",IF((AND(FIND('112'!$M$9,G1484,1)&gt;=1,B1484='112'!$K$9,OR($N1484='112'!$I$6,$O1484='112'!$I$6))),"x",""))</f>
        <v/>
      </c>
      <c r="U1484" s="79" t="str">
        <f>IF(ISERROR(FIND('112'!$M$9,G1484,1)),"",IF((AND(LEFT(G1484,2)=LEFT('112'!$M$9,2),B1484&lt;'112'!$K$9,$N1484='112'!$I$6)),"x",""))</f>
        <v/>
      </c>
      <c r="V1484" s="79" t="str">
        <f>IF(ISERROR(FIND('112'!$M$9,G1484,1)),"",IF((AND(RIGHT(G1484,2)=RIGHT('112'!$M$9,2),B1484&lt;'112'!$K$9,$O1484='112'!$I$6)),"x",""))</f>
        <v/>
      </c>
      <c r="W1484" s="79" t="str">
        <f>IF(AND('341-CT'!$H$9=H1484,OR(LEFT(N1484,3)=$W$7,LEFT(O1484,3)=$W$7)),"x","")</f>
        <v/>
      </c>
      <c r="X1484" s="79" t="str">
        <f>IF(OR(TH!N1484=TH!$X$7,O1484=TH!$X$7),"x","")</f>
        <v/>
      </c>
      <c r="Y1484" s="79" t="str">
        <f>IF(AND(OR(N1484="131",O1484="131"),H1484='131-CT'!$H$9),"x","")</f>
        <v/>
      </c>
      <c r="Z1484" s="79"/>
      <c r="AA1484" s="79" t="str">
        <f>IF(AND(MONTH(E1484)='IN-NX'!$J$5,'IN-NX'!$D$7=D1484),"x","")</f>
        <v/>
      </c>
      <c r="AB1484" s="79" t="str">
        <f>IF(AND(OR(LEFT(TH!N1484,2)="15",LEFT(TH!O1484,2)="15"),LEFT(TH!O1484,3)&lt;&gt;"111",'152-CT'!$J$8=TH!F1484),"x","")</f>
        <v/>
      </c>
      <c r="AC1484" s="79" t="str">
        <f>IF(AND(OR(LEFT(TH!N1484,2)="15",LEFT(TH!O1484,2)="15"),TK!$E$7=TH!F1484),"x","")</f>
        <v/>
      </c>
      <c r="AD1484" s="79" t="str">
        <f>IF(AND(N1484="1521",MONTH(C1484)='BK-NL'!$M$11),"x","")</f>
        <v/>
      </c>
    </row>
    <row r="1485" spans="1:30" ht="16.5" customHeight="1">
      <c r="A1485" s="318" t="str">
        <f>IF(B1485&lt;&gt;"",IF(AND(B1485='IN-TC'!$S$4,OR(TH!N1485="1111",TH!O1485="1111")),TH!D1485,""),"")</f>
        <v/>
      </c>
      <c r="B1485" s="60" t="str">
        <f t="shared" si="207"/>
        <v/>
      </c>
      <c r="C1485" s="989"/>
      <c r="D1485" s="989"/>
      <c r="E1485" s="989"/>
      <c r="F1485" s="921"/>
      <c r="G1485" s="991"/>
      <c r="H1485" s="1105"/>
      <c r="I1485" s="994"/>
      <c r="J1485" s="993"/>
      <c r="K1485" s="994"/>
      <c r="L1485" s="992"/>
      <c r="M1485" s="995"/>
      <c r="N1485" s="996"/>
      <c r="O1485" s="996"/>
      <c r="P1485" s="79" t="str">
        <f>IF(AND('331-CT'!$E$7=TH!H1485,OR(N1485="331",O1485="331")),"x","")</f>
        <v/>
      </c>
      <c r="Q1485" s="79" t="str">
        <f>IF(AND(B1485='111'!$L$11,OR($N1485=$Q$7,$O1485=$Q$7)),"x","")</f>
        <v/>
      </c>
      <c r="R1485" s="79" t="str">
        <f>IF(AND($N1485=$Q$7,$B1485&lt;'111'!$L$11),"x","")</f>
        <v/>
      </c>
      <c r="S1485" s="79" t="str">
        <f>IF(AND($O1485=$Q$7,$B1485&lt;'111'!$L$11),"x","")</f>
        <v/>
      </c>
      <c r="T1485" s="79" t="str">
        <f>IF(ISERROR(FIND('112'!$M$9,G1485,1)),"",IF((AND(FIND('112'!$M$9,G1485,1)&gt;=1,B1485='112'!$K$9,OR($N1485='112'!$I$6,$O1485='112'!$I$6))),"x",""))</f>
        <v/>
      </c>
      <c r="U1485" s="79" t="str">
        <f>IF(ISERROR(FIND('112'!$M$9,G1485,1)),"",IF((AND(LEFT(G1485,2)=LEFT('112'!$M$9,2),B1485&lt;'112'!$K$9,$N1485='112'!$I$6)),"x",""))</f>
        <v/>
      </c>
      <c r="V1485" s="79" t="str">
        <f>IF(ISERROR(FIND('112'!$M$9,G1485,1)),"",IF((AND(RIGHT(G1485,2)=RIGHT('112'!$M$9,2),B1485&lt;'112'!$K$9,$O1485='112'!$I$6)),"x",""))</f>
        <v/>
      </c>
      <c r="W1485" s="79" t="str">
        <f>IF(AND('341-CT'!$H$9=H1485,OR(LEFT(N1485,3)=$W$7,LEFT(O1485,3)=$W$7)),"x","")</f>
        <v/>
      </c>
      <c r="X1485" s="79" t="str">
        <f>IF(OR(TH!N1485=TH!$X$7,O1485=TH!$X$7),"x","")</f>
        <v/>
      </c>
      <c r="Y1485" s="79" t="str">
        <f>IF(AND(OR(N1485="131",O1485="131"),H1485='131-CT'!$H$9),"x","")</f>
        <v/>
      </c>
      <c r="Z1485" s="79"/>
      <c r="AA1485" s="79" t="str">
        <f>IF(AND(MONTH(E1485)='IN-NX'!$J$5,'IN-NX'!$D$7=D1485),"x","")</f>
        <v/>
      </c>
      <c r="AB1485" s="79" t="str">
        <f>IF(AND(OR(LEFT(TH!N1485,2)="15",LEFT(TH!O1485,2)="15"),LEFT(TH!O1485,3)&lt;&gt;"111",'152-CT'!$J$8=TH!F1485),"x","")</f>
        <v/>
      </c>
      <c r="AC1485" s="79" t="str">
        <f>IF(AND(OR(LEFT(TH!N1485,2)="15",LEFT(TH!O1485,2)="15"),TK!$E$7=TH!F1485),"x","")</f>
        <v/>
      </c>
      <c r="AD1485" s="79" t="str">
        <f>IF(AND(N1485="1521",MONTH(C1485)='BK-NL'!$M$11),"x","")</f>
        <v/>
      </c>
    </row>
    <row r="1486" spans="1:30" ht="16.5" customHeight="1">
      <c r="A1486" s="318" t="str">
        <f>IF(B1486&lt;&gt;"",IF(AND(B1486='IN-TC'!$S$4,OR(TH!N1486="1111",TH!O1486="1111")),TH!D1486,""),"")</f>
        <v/>
      </c>
      <c r="B1486" s="60" t="str">
        <f t="shared" si="207"/>
        <v/>
      </c>
      <c r="C1486" s="989"/>
      <c r="D1486" s="989"/>
      <c r="E1486" s="989"/>
      <c r="F1486" s="921"/>
      <c r="G1486" s="991"/>
      <c r="H1486" s="1105"/>
      <c r="I1486" s="994"/>
      <c r="J1486" s="993"/>
      <c r="K1486" s="994"/>
      <c r="L1486" s="992"/>
      <c r="M1486" s="995"/>
      <c r="N1486" s="996"/>
      <c r="O1486" s="996"/>
      <c r="P1486" s="79" t="str">
        <f>IF(AND('331-CT'!$E$7=TH!H1486,OR(N1486="331",O1486="331")),"x","")</f>
        <v/>
      </c>
      <c r="Q1486" s="79" t="str">
        <f>IF(AND(B1486='111'!$L$11,OR($N1486=$Q$7,$O1486=$Q$7)),"x","")</f>
        <v/>
      </c>
      <c r="R1486" s="79" t="str">
        <f>IF(AND($N1486=$Q$7,$B1486&lt;'111'!$L$11),"x","")</f>
        <v/>
      </c>
      <c r="S1486" s="79" t="str">
        <f>IF(AND($O1486=$Q$7,$B1486&lt;'111'!$L$11),"x","")</f>
        <v/>
      </c>
      <c r="T1486" s="79" t="str">
        <f>IF(ISERROR(FIND('112'!$M$9,G1486,1)),"",IF((AND(FIND('112'!$M$9,G1486,1)&gt;=1,B1486='112'!$K$9,OR($N1486='112'!$I$6,$O1486='112'!$I$6))),"x",""))</f>
        <v/>
      </c>
      <c r="U1486" s="79" t="str">
        <f>IF(ISERROR(FIND('112'!$M$9,G1486,1)),"",IF((AND(LEFT(G1486,2)=LEFT('112'!$M$9,2),B1486&lt;'112'!$K$9,$N1486='112'!$I$6)),"x",""))</f>
        <v/>
      </c>
      <c r="V1486" s="79" t="str">
        <f>IF(ISERROR(FIND('112'!$M$9,G1486,1)),"",IF((AND(RIGHT(G1486,2)=RIGHT('112'!$M$9,2),B1486&lt;'112'!$K$9,$O1486='112'!$I$6)),"x",""))</f>
        <v/>
      </c>
      <c r="W1486" s="79" t="str">
        <f>IF(AND('341-CT'!$H$9=H1486,OR(LEFT(N1486,3)=$W$7,LEFT(O1486,3)=$W$7)),"x","")</f>
        <v/>
      </c>
      <c r="X1486" s="79" t="str">
        <f>IF(OR(TH!N1486=TH!$X$7,O1486=TH!$X$7),"x","")</f>
        <v/>
      </c>
      <c r="Y1486" s="79" t="str">
        <f>IF(AND(OR(N1486="131",O1486="131"),H1486='131-CT'!$H$9),"x","")</f>
        <v/>
      </c>
      <c r="Z1486" s="79"/>
      <c r="AA1486" s="79" t="str">
        <f>IF(AND(MONTH(E1486)='IN-NX'!$J$5,'IN-NX'!$D$7=D1486),"x","")</f>
        <v/>
      </c>
      <c r="AB1486" s="79" t="str">
        <f>IF(AND(OR(LEFT(TH!N1486,2)="15",LEFT(TH!O1486,2)="15"),LEFT(TH!O1486,3)&lt;&gt;"111",'152-CT'!$J$8=TH!F1486),"x","")</f>
        <v/>
      </c>
      <c r="AC1486" s="79" t="str">
        <f>IF(AND(OR(LEFT(TH!N1486,2)="15",LEFT(TH!O1486,2)="15"),TK!$E$7=TH!F1486),"x","")</f>
        <v/>
      </c>
      <c r="AD1486" s="79" t="str">
        <f>IF(AND(N1486="1521",MONTH(C1486)='BK-NL'!$M$11),"x","")</f>
        <v/>
      </c>
    </row>
    <row r="1487" spans="1:30" ht="16.5" customHeight="1">
      <c r="A1487" s="318" t="str">
        <f>IF(B1487&lt;&gt;"",IF(AND(B1487='IN-TC'!$S$4,OR(TH!N1487="1111",TH!O1487="1111")),TH!D1487,""),"")</f>
        <v/>
      </c>
      <c r="B1487" s="60" t="str">
        <f t="shared" si="207"/>
        <v/>
      </c>
      <c r="C1487" s="989"/>
      <c r="D1487" s="989"/>
      <c r="E1487" s="989"/>
      <c r="F1487" s="921"/>
      <c r="G1487" s="991"/>
      <c r="H1487" s="1105"/>
      <c r="I1487" s="994"/>
      <c r="J1487" s="993"/>
      <c r="K1487" s="994"/>
      <c r="L1487" s="992"/>
      <c r="M1487" s="995"/>
      <c r="N1487" s="996"/>
      <c r="O1487" s="996"/>
      <c r="P1487" s="79" t="str">
        <f>IF(AND('331-CT'!$E$7=TH!H1487,OR(N1487="331",O1487="331")),"x","")</f>
        <v/>
      </c>
      <c r="Q1487" s="79" t="str">
        <f>IF(AND(B1487='111'!$L$11,OR($N1487=$Q$7,$O1487=$Q$7)),"x","")</f>
        <v/>
      </c>
      <c r="R1487" s="79" t="str">
        <f>IF(AND($N1487=$Q$7,$B1487&lt;'111'!$L$11),"x","")</f>
        <v/>
      </c>
      <c r="S1487" s="79" t="str">
        <f>IF(AND($O1487=$Q$7,$B1487&lt;'111'!$L$11),"x","")</f>
        <v/>
      </c>
      <c r="T1487" s="79" t="str">
        <f>IF(ISERROR(FIND('112'!$M$9,G1487,1)),"",IF((AND(FIND('112'!$M$9,G1487,1)&gt;=1,B1487='112'!$K$9,OR($N1487='112'!$I$6,$O1487='112'!$I$6))),"x",""))</f>
        <v/>
      </c>
      <c r="U1487" s="79" t="str">
        <f>IF(ISERROR(FIND('112'!$M$9,G1487,1)),"",IF((AND(LEFT(G1487,2)=LEFT('112'!$M$9,2),B1487&lt;'112'!$K$9,$N1487='112'!$I$6)),"x",""))</f>
        <v/>
      </c>
      <c r="V1487" s="79" t="str">
        <f>IF(ISERROR(FIND('112'!$M$9,G1487,1)),"",IF((AND(RIGHT(G1487,2)=RIGHT('112'!$M$9,2),B1487&lt;'112'!$K$9,$O1487='112'!$I$6)),"x",""))</f>
        <v/>
      </c>
      <c r="W1487" s="79" t="str">
        <f>IF(AND('341-CT'!$H$9=H1487,OR(LEFT(N1487,3)=$W$7,LEFT(O1487,3)=$W$7)),"x","")</f>
        <v/>
      </c>
      <c r="X1487" s="79" t="str">
        <f>IF(OR(TH!N1487=TH!$X$7,O1487=TH!$X$7),"x","")</f>
        <v/>
      </c>
      <c r="Y1487" s="79" t="str">
        <f>IF(AND(OR(N1487="131",O1487="131"),H1487='131-CT'!$H$9),"x","")</f>
        <v/>
      </c>
      <c r="Z1487" s="79"/>
      <c r="AA1487" s="79" t="str">
        <f>IF(AND(MONTH(E1487)='IN-NX'!$J$5,'IN-NX'!$D$7=D1487),"x","")</f>
        <v/>
      </c>
      <c r="AB1487" s="79" t="str">
        <f>IF(AND(OR(LEFT(TH!N1487,2)="15",LEFT(TH!O1487,2)="15"),LEFT(TH!O1487,3)&lt;&gt;"111",'152-CT'!$J$8=TH!F1487),"x","")</f>
        <v/>
      </c>
      <c r="AC1487" s="79" t="str">
        <f>IF(AND(OR(LEFT(TH!N1487,2)="15",LEFT(TH!O1487,2)="15"),TK!$E$7=TH!F1487),"x","")</f>
        <v/>
      </c>
      <c r="AD1487" s="79" t="str">
        <f>IF(AND(N1487="1521",MONTH(C1487)='BK-NL'!$M$11),"x","")</f>
        <v/>
      </c>
    </row>
    <row r="1488" spans="1:30" ht="16.5" customHeight="1">
      <c r="A1488" s="318" t="str">
        <f>IF(B1488&lt;&gt;"",IF(AND(B1488='IN-TC'!$S$4,OR(TH!N1488="1111",TH!O1488="1111")),TH!D1488,""),"")</f>
        <v/>
      </c>
      <c r="B1488" s="60" t="str">
        <f t="shared" si="207"/>
        <v/>
      </c>
      <c r="C1488" s="989"/>
      <c r="D1488" s="989"/>
      <c r="E1488" s="989"/>
      <c r="F1488" s="921"/>
      <c r="G1488" s="991"/>
      <c r="H1488" s="1105"/>
      <c r="I1488" s="994"/>
      <c r="J1488" s="993"/>
      <c r="K1488" s="994"/>
      <c r="L1488" s="992"/>
      <c r="M1488" s="995"/>
      <c r="N1488" s="996"/>
      <c r="O1488" s="996"/>
      <c r="P1488" s="79" t="str">
        <f>IF(AND('331-CT'!$E$7=TH!H1488,OR(N1488="331",O1488="331")),"x","")</f>
        <v/>
      </c>
      <c r="Q1488" s="79" t="str">
        <f>IF(AND(B1488='111'!$L$11,OR($N1488=$Q$7,$O1488=$Q$7)),"x","")</f>
        <v/>
      </c>
      <c r="R1488" s="79" t="str">
        <f>IF(AND($N1488=$Q$7,$B1488&lt;'111'!$L$11),"x","")</f>
        <v/>
      </c>
      <c r="S1488" s="79" t="str">
        <f>IF(AND($O1488=$Q$7,$B1488&lt;'111'!$L$11),"x","")</f>
        <v/>
      </c>
      <c r="T1488" s="79" t="str">
        <f>IF(ISERROR(FIND('112'!$M$9,G1488,1)),"",IF((AND(FIND('112'!$M$9,G1488,1)&gt;=1,B1488='112'!$K$9,OR($N1488='112'!$I$6,$O1488='112'!$I$6))),"x",""))</f>
        <v/>
      </c>
      <c r="U1488" s="79" t="str">
        <f>IF(ISERROR(FIND('112'!$M$9,G1488,1)),"",IF((AND(LEFT(G1488,2)=LEFT('112'!$M$9,2),B1488&lt;'112'!$K$9,$N1488='112'!$I$6)),"x",""))</f>
        <v/>
      </c>
      <c r="V1488" s="79" t="str">
        <f>IF(ISERROR(FIND('112'!$M$9,G1488,1)),"",IF((AND(RIGHT(G1488,2)=RIGHT('112'!$M$9,2),B1488&lt;'112'!$K$9,$O1488='112'!$I$6)),"x",""))</f>
        <v/>
      </c>
      <c r="W1488" s="79" t="str">
        <f>IF(AND('341-CT'!$H$9=H1488,OR(LEFT(N1488,3)=$W$7,LEFT(O1488,3)=$W$7)),"x","")</f>
        <v/>
      </c>
      <c r="X1488" s="79" t="str">
        <f>IF(OR(TH!N1488=TH!$X$7,O1488=TH!$X$7),"x","")</f>
        <v/>
      </c>
      <c r="Y1488" s="79" t="str">
        <f>IF(AND(OR(N1488="131",O1488="131"),H1488='131-CT'!$H$9),"x","")</f>
        <v/>
      </c>
      <c r="Z1488" s="79"/>
      <c r="AA1488" s="79" t="str">
        <f>IF(AND(MONTH(E1488)='IN-NX'!$J$5,'IN-NX'!$D$7=D1488),"x","")</f>
        <v/>
      </c>
      <c r="AB1488" s="79" t="str">
        <f>IF(AND(OR(LEFT(TH!N1488,2)="15",LEFT(TH!O1488,2)="15"),LEFT(TH!O1488,3)&lt;&gt;"111",'152-CT'!$J$8=TH!F1488),"x","")</f>
        <v/>
      </c>
      <c r="AC1488" s="79" t="str">
        <f>IF(AND(OR(LEFT(TH!N1488,2)="15",LEFT(TH!O1488,2)="15"),TK!$E$7=TH!F1488),"x","")</f>
        <v/>
      </c>
      <c r="AD1488" s="79" t="str">
        <f>IF(AND(N1488="1521",MONTH(C1488)='BK-NL'!$M$11),"x","")</f>
        <v/>
      </c>
    </row>
    <row r="1489" spans="1:30" ht="16.5" customHeight="1">
      <c r="A1489" s="318" t="str">
        <f>IF(B1489&lt;&gt;"",IF(AND(B1489='IN-TC'!$S$4,OR(TH!N1489="1111",TH!O1489="1111")),TH!D1489,""),"")</f>
        <v/>
      </c>
      <c r="B1489" s="60" t="str">
        <f t="shared" si="207"/>
        <v/>
      </c>
      <c r="C1489" s="989"/>
      <c r="D1489" s="989"/>
      <c r="E1489" s="989"/>
      <c r="F1489" s="921"/>
      <c r="G1489" s="991"/>
      <c r="H1489" s="1105"/>
      <c r="I1489" s="994"/>
      <c r="J1489" s="993"/>
      <c r="K1489" s="994"/>
      <c r="L1489" s="992"/>
      <c r="M1489" s="995"/>
      <c r="N1489" s="996"/>
      <c r="O1489" s="996"/>
      <c r="P1489" s="79" t="str">
        <f>IF(AND('331-CT'!$E$7=TH!H1489,OR(N1489="331",O1489="331")),"x","")</f>
        <v/>
      </c>
      <c r="Q1489" s="79" t="str">
        <f>IF(AND(B1489='111'!$L$11,OR($N1489=$Q$7,$O1489=$Q$7)),"x","")</f>
        <v/>
      </c>
      <c r="R1489" s="79" t="str">
        <f>IF(AND($N1489=$Q$7,$B1489&lt;'111'!$L$11),"x","")</f>
        <v/>
      </c>
      <c r="S1489" s="79" t="str">
        <f>IF(AND($O1489=$Q$7,$B1489&lt;'111'!$L$11),"x","")</f>
        <v/>
      </c>
      <c r="T1489" s="79" t="str">
        <f>IF(ISERROR(FIND('112'!$M$9,G1489,1)),"",IF((AND(FIND('112'!$M$9,G1489,1)&gt;=1,B1489='112'!$K$9,OR($N1489='112'!$I$6,$O1489='112'!$I$6))),"x",""))</f>
        <v/>
      </c>
      <c r="U1489" s="79" t="str">
        <f>IF(ISERROR(FIND('112'!$M$9,G1489,1)),"",IF((AND(LEFT(G1489,2)=LEFT('112'!$M$9,2),B1489&lt;'112'!$K$9,$N1489='112'!$I$6)),"x",""))</f>
        <v/>
      </c>
      <c r="V1489" s="79" t="str">
        <f>IF(ISERROR(FIND('112'!$M$9,G1489,1)),"",IF((AND(RIGHT(G1489,2)=RIGHT('112'!$M$9,2),B1489&lt;'112'!$K$9,$O1489='112'!$I$6)),"x",""))</f>
        <v/>
      </c>
      <c r="W1489" s="79" t="str">
        <f>IF(AND('341-CT'!$H$9=H1489,OR(LEFT(N1489,3)=$W$7,LEFT(O1489,3)=$W$7)),"x","")</f>
        <v/>
      </c>
      <c r="X1489" s="79" t="str">
        <f>IF(OR(TH!N1489=TH!$X$7,O1489=TH!$X$7),"x","")</f>
        <v/>
      </c>
      <c r="Y1489" s="79" t="str">
        <f>IF(AND(OR(N1489="131",O1489="131"),H1489='131-CT'!$H$9),"x","")</f>
        <v/>
      </c>
      <c r="Z1489" s="79"/>
      <c r="AA1489" s="79" t="str">
        <f>IF(AND(MONTH(E1489)='IN-NX'!$J$5,'IN-NX'!$D$7=D1489),"x","")</f>
        <v/>
      </c>
      <c r="AB1489" s="79" t="str">
        <f>IF(AND(OR(LEFT(TH!N1489,2)="15",LEFT(TH!O1489,2)="15"),LEFT(TH!O1489,3)&lt;&gt;"111",'152-CT'!$J$8=TH!F1489),"x","")</f>
        <v/>
      </c>
      <c r="AC1489" s="79" t="str">
        <f>IF(AND(OR(LEFT(TH!N1489,2)="15",LEFT(TH!O1489,2)="15"),TK!$E$7=TH!F1489),"x","")</f>
        <v/>
      </c>
      <c r="AD1489" s="79" t="str">
        <f>IF(AND(N1489="1521",MONTH(C1489)='BK-NL'!$M$11),"x","")</f>
        <v/>
      </c>
    </row>
    <row r="1490" spans="1:30" ht="16.5" customHeight="1">
      <c r="A1490" s="318" t="str">
        <f>IF(B1490&lt;&gt;"",IF(AND(B1490='IN-TC'!$S$4,OR(TH!N1490="1111",TH!O1490="1111")),TH!D1490,""),"")</f>
        <v/>
      </c>
      <c r="B1490" s="60" t="str">
        <f t="shared" si="207"/>
        <v/>
      </c>
      <c r="C1490" s="989"/>
      <c r="D1490" s="989"/>
      <c r="E1490" s="989"/>
      <c r="F1490" s="921"/>
      <c r="G1490" s="991"/>
      <c r="H1490" s="1105"/>
      <c r="I1490" s="994"/>
      <c r="J1490" s="993"/>
      <c r="K1490" s="994"/>
      <c r="L1490" s="992"/>
      <c r="M1490" s="995"/>
      <c r="N1490" s="996"/>
      <c r="O1490" s="996"/>
      <c r="P1490" s="79" t="str">
        <f>IF(AND('331-CT'!$E$7=TH!H1490,OR(N1490="331",O1490="331")),"x","")</f>
        <v/>
      </c>
      <c r="Q1490" s="79" t="str">
        <f>IF(AND(B1490='111'!$L$11,OR($N1490=$Q$7,$O1490=$Q$7)),"x","")</f>
        <v/>
      </c>
      <c r="R1490" s="79" t="str">
        <f>IF(AND($N1490=$Q$7,$B1490&lt;'111'!$L$11),"x","")</f>
        <v/>
      </c>
      <c r="S1490" s="79" t="str">
        <f>IF(AND($O1490=$Q$7,$B1490&lt;'111'!$L$11),"x","")</f>
        <v/>
      </c>
      <c r="T1490" s="79" t="str">
        <f>IF(ISERROR(FIND('112'!$M$9,G1490,1)),"",IF((AND(FIND('112'!$M$9,G1490,1)&gt;=1,B1490='112'!$K$9,OR($N1490='112'!$I$6,$O1490='112'!$I$6))),"x",""))</f>
        <v/>
      </c>
      <c r="U1490" s="79" t="str">
        <f>IF(ISERROR(FIND('112'!$M$9,G1490,1)),"",IF((AND(LEFT(G1490,2)=LEFT('112'!$M$9,2),B1490&lt;'112'!$K$9,$N1490='112'!$I$6)),"x",""))</f>
        <v/>
      </c>
      <c r="V1490" s="79" t="str">
        <f>IF(ISERROR(FIND('112'!$M$9,G1490,1)),"",IF((AND(RIGHT(G1490,2)=RIGHT('112'!$M$9,2),B1490&lt;'112'!$K$9,$O1490='112'!$I$6)),"x",""))</f>
        <v/>
      </c>
      <c r="W1490" s="79" t="str">
        <f>IF(AND('341-CT'!$H$9=H1490,OR(LEFT(N1490,3)=$W$7,LEFT(O1490,3)=$W$7)),"x","")</f>
        <v/>
      </c>
      <c r="X1490" s="79" t="str">
        <f>IF(OR(TH!N1490=TH!$X$7,O1490=TH!$X$7),"x","")</f>
        <v/>
      </c>
      <c r="Y1490" s="79" t="str">
        <f>IF(AND(OR(N1490="131",O1490="131"),H1490='131-CT'!$H$9),"x","")</f>
        <v/>
      </c>
      <c r="Z1490" s="79"/>
      <c r="AA1490" s="79" t="str">
        <f>IF(AND(MONTH(E1490)='IN-NX'!$J$5,'IN-NX'!$D$7=D1490),"x","")</f>
        <v/>
      </c>
      <c r="AB1490" s="79" t="str">
        <f>IF(AND(OR(LEFT(TH!N1490,2)="15",LEFT(TH!O1490,2)="15"),LEFT(TH!O1490,3)&lt;&gt;"111",'152-CT'!$J$8=TH!F1490),"x","")</f>
        <v/>
      </c>
      <c r="AC1490" s="79" t="str">
        <f>IF(AND(OR(LEFT(TH!N1490,2)="15",LEFT(TH!O1490,2)="15"),TK!$E$7=TH!F1490),"x","")</f>
        <v/>
      </c>
      <c r="AD1490" s="79" t="str">
        <f>IF(AND(N1490="1521",MONTH(C1490)='BK-NL'!$M$11),"x","")</f>
        <v/>
      </c>
    </row>
    <row r="1491" spans="1:30" ht="16.5" customHeight="1">
      <c r="A1491" s="318" t="str">
        <f>IF(B1491&lt;&gt;"",IF(AND(B1491='IN-TC'!$S$4,OR(TH!N1491="1111",TH!O1491="1111")),TH!D1491,""),"")</f>
        <v/>
      </c>
      <c r="B1491" s="60" t="str">
        <f t="shared" si="207"/>
        <v/>
      </c>
      <c r="C1491" s="989"/>
      <c r="D1491" s="989"/>
      <c r="E1491" s="989"/>
      <c r="F1491" s="921"/>
      <c r="G1491" s="991"/>
      <c r="H1491" s="1105"/>
      <c r="I1491" s="994"/>
      <c r="J1491" s="993"/>
      <c r="K1491" s="994"/>
      <c r="L1491" s="992"/>
      <c r="M1491" s="995"/>
      <c r="N1491" s="996"/>
      <c r="O1491" s="996"/>
      <c r="P1491" s="79" t="str">
        <f>IF(AND('331-CT'!$E$7=TH!H1491,OR(N1491="331",O1491="331")),"x","")</f>
        <v/>
      </c>
      <c r="Q1491" s="79" t="str">
        <f>IF(AND(B1491='111'!$L$11,OR($N1491=$Q$7,$O1491=$Q$7)),"x","")</f>
        <v/>
      </c>
      <c r="R1491" s="79" t="str">
        <f>IF(AND($N1491=$Q$7,$B1491&lt;'111'!$L$11),"x","")</f>
        <v/>
      </c>
      <c r="S1491" s="79" t="str">
        <f>IF(AND($O1491=$Q$7,$B1491&lt;'111'!$L$11),"x","")</f>
        <v/>
      </c>
      <c r="T1491" s="79" t="str">
        <f>IF(ISERROR(FIND('112'!$M$9,G1491,1)),"",IF((AND(FIND('112'!$M$9,G1491,1)&gt;=1,B1491='112'!$K$9,OR($N1491='112'!$I$6,$O1491='112'!$I$6))),"x",""))</f>
        <v/>
      </c>
      <c r="U1491" s="79" t="str">
        <f>IF(ISERROR(FIND('112'!$M$9,G1491,1)),"",IF((AND(LEFT(G1491,2)=LEFT('112'!$M$9,2),B1491&lt;'112'!$K$9,$N1491='112'!$I$6)),"x",""))</f>
        <v/>
      </c>
      <c r="V1491" s="79" t="str">
        <f>IF(ISERROR(FIND('112'!$M$9,G1491,1)),"",IF((AND(RIGHT(G1491,2)=RIGHT('112'!$M$9,2),B1491&lt;'112'!$K$9,$O1491='112'!$I$6)),"x",""))</f>
        <v/>
      </c>
      <c r="W1491" s="79" t="str">
        <f>IF(AND('341-CT'!$H$9=H1491,OR(LEFT(N1491,3)=$W$7,LEFT(O1491,3)=$W$7)),"x","")</f>
        <v/>
      </c>
      <c r="X1491" s="79" t="str">
        <f>IF(OR(TH!N1491=TH!$X$7,O1491=TH!$X$7),"x","")</f>
        <v/>
      </c>
      <c r="Y1491" s="79" t="str">
        <f>IF(AND(OR(N1491="131",O1491="131"),H1491='131-CT'!$H$9),"x","")</f>
        <v/>
      </c>
      <c r="Z1491" s="79"/>
      <c r="AA1491" s="79" t="str">
        <f>IF(AND(MONTH(E1491)='IN-NX'!$J$5,'IN-NX'!$D$7=D1491),"x","")</f>
        <v/>
      </c>
      <c r="AB1491" s="79" t="str">
        <f>IF(AND(OR(LEFT(TH!N1491,2)="15",LEFT(TH!O1491,2)="15"),LEFT(TH!O1491,3)&lt;&gt;"111",'152-CT'!$J$8=TH!F1491),"x","")</f>
        <v/>
      </c>
      <c r="AC1491" s="79" t="str">
        <f>IF(AND(OR(LEFT(TH!N1491,2)="15",LEFT(TH!O1491,2)="15"),TK!$E$7=TH!F1491),"x","")</f>
        <v/>
      </c>
      <c r="AD1491" s="79" t="str">
        <f>IF(AND(N1491="1521",MONTH(C1491)='BK-NL'!$M$11),"x","")</f>
        <v/>
      </c>
    </row>
    <row r="1492" spans="1:30" ht="16.5" customHeight="1">
      <c r="A1492" s="318" t="str">
        <f>IF(B1492&lt;&gt;"",IF(AND(B1492='IN-TC'!$S$4,OR(TH!N1492="1111",TH!O1492="1111")),TH!D1492,""),"")</f>
        <v/>
      </c>
      <c r="B1492" s="60" t="str">
        <f t="shared" si="207"/>
        <v/>
      </c>
      <c r="C1492" s="989"/>
      <c r="D1492" s="989"/>
      <c r="E1492" s="989"/>
      <c r="F1492" s="990"/>
      <c r="G1492" s="991"/>
      <c r="H1492" s="1011"/>
      <c r="I1492" s="994"/>
      <c r="J1492" s="993"/>
      <c r="K1492" s="994"/>
      <c r="L1492" s="992"/>
      <c r="M1492" s="995"/>
      <c r="N1492" s="996"/>
      <c r="O1492" s="996"/>
      <c r="P1492" s="79" t="str">
        <f>IF(AND('331-CT'!$E$7=TH!H1492,OR(N1492="331",O1492="331")),"x","")</f>
        <v/>
      </c>
      <c r="Q1492" s="79" t="str">
        <f>IF(AND(B1492='111'!$L$11,OR($N1492=$Q$7,$O1492=$Q$7)),"x","")</f>
        <v/>
      </c>
      <c r="R1492" s="79" t="str">
        <f>IF(AND($N1492=$Q$7,$B1492&lt;'111'!$L$11),"x","")</f>
        <v/>
      </c>
      <c r="S1492" s="79" t="str">
        <f>IF(AND($O1492=$Q$7,$B1492&lt;'111'!$L$11),"x","")</f>
        <v/>
      </c>
      <c r="T1492" s="79" t="str">
        <f>IF(ISERROR(FIND('112'!$M$9,G1492,1)),"",IF((AND(FIND('112'!$M$9,G1492,1)&gt;=1,B1492='112'!$K$9,OR($N1492='112'!$I$6,$O1492='112'!$I$6))),"x",""))</f>
        <v/>
      </c>
      <c r="U1492" s="79" t="str">
        <f>IF(ISERROR(FIND('112'!$M$9,G1492,1)),"",IF((AND(LEFT(G1492,2)=LEFT('112'!$M$9,2),B1492&lt;'112'!$K$9,$N1492='112'!$I$6)),"x",""))</f>
        <v/>
      </c>
      <c r="V1492" s="79" t="str">
        <f>IF(ISERROR(FIND('112'!$M$9,G1492,1)),"",IF((AND(RIGHT(G1492,2)=RIGHT('112'!$M$9,2),B1492&lt;'112'!$K$9,$O1492='112'!$I$6)),"x",""))</f>
        <v/>
      </c>
      <c r="W1492" s="79" t="str">
        <f>IF(AND('341-CT'!$H$9=H1492,OR(LEFT(N1492,3)=$W$7,LEFT(O1492,3)=$W$7)),"x","")</f>
        <v/>
      </c>
      <c r="X1492" s="79" t="str">
        <f>IF(OR(TH!N1492=TH!$X$7,O1492=TH!$X$7),"x","")</f>
        <v/>
      </c>
      <c r="Y1492" s="79" t="str">
        <f>IF(AND(OR(N1492="131",O1492="131"),H1492='131-CT'!$H$9),"x","")</f>
        <v/>
      </c>
      <c r="Z1492" s="79"/>
      <c r="AA1492" s="79" t="str">
        <f>IF(AND(MONTH(E1492)='IN-NX'!$J$5,'IN-NX'!$D$7=D1492),"x","")</f>
        <v/>
      </c>
      <c r="AB1492" s="79" t="str">
        <f>IF(AND(OR(LEFT(TH!N1492,2)="15",LEFT(TH!O1492,2)="15"),LEFT(TH!O1492,3)&lt;&gt;"111",'152-CT'!$J$8=TH!F1492),"x","")</f>
        <v/>
      </c>
      <c r="AC1492" s="79" t="str">
        <f>IF(AND(OR(LEFT(TH!N1492,2)="15",LEFT(TH!O1492,2)="15"),TK!$E$7=TH!F1492),"x","")</f>
        <v/>
      </c>
      <c r="AD1492" s="79" t="str">
        <f>IF(AND(N1492="1521",MONTH(C1492)='BK-NL'!$M$11),"x","")</f>
        <v/>
      </c>
    </row>
    <row r="1493" spans="1:30" ht="16.5" customHeight="1">
      <c r="A1493" s="318" t="str">
        <f>IF(B1493&lt;&gt;"",IF(AND(B1493='IN-TC'!$S$4,OR(TH!N1493="1111",TH!O1493="1111")),TH!D1493,""),"")</f>
        <v/>
      </c>
      <c r="B1493" s="60" t="str">
        <f t="shared" si="207"/>
        <v/>
      </c>
      <c r="C1493" s="989"/>
      <c r="D1493" s="989"/>
      <c r="E1493" s="989"/>
      <c r="F1493" s="990"/>
      <c r="G1493" s="991"/>
      <c r="H1493" s="1011"/>
      <c r="I1493" s="994"/>
      <c r="J1493" s="993"/>
      <c r="K1493" s="994"/>
      <c r="L1493" s="992"/>
      <c r="M1493" s="995"/>
      <c r="N1493" s="996"/>
      <c r="O1493" s="996"/>
      <c r="P1493" s="79" t="str">
        <f>IF(AND('331-CT'!$E$7=TH!H1493,OR(N1493="331",O1493="331")),"x","")</f>
        <v/>
      </c>
      <c r="Q1493" s="79" t="str">
        <f>IF(AND(B1493='111'!$L$11,OR($N1493=$Q$7,$O1493=$Q$7)),"x","")</f>
        <v/>
      </c>
      <c r="R1493" s="79" t="str">
        <f>IF(AND($N1493=$Q$7,$B1493&lt;'111'!$L$11),"x","")</f>
        <v/>
      </c>
      <c r="S1493" s="79" t="str">
        <f>IF(AND($O1493=$Q$7,$B1493&lt;'111'!$L$11),"x","")</f>
        <v/>
      </c>
      <c r="T1493" s="79" t="str">
        <f>IF(ISERROR(FIND('112'!$M$9,G1493,1)),"",IF((AND(FIND('112'!$M$9,G1493,1)&gt;=1,B1493='112'!$K$9,OR($N1493='112'!$I$6,$O1493='112'!$I$6))),"x",""))</f>
        <v/>
      </c>
      <c r="U1493" s="79" t="str">
        <f>IF(ISERROR(FIND('112'!$M$9,G1493,1)),"",IF((AND(LEFT(G1493,2)=LEFT('112'!$M$9,2),B1493&lt;'112'!$K$9,$N1493='112'!$I$6)),"x",""))</f>
        <v/>
      </c>
      <c r="V1493" s="79" t="str">
        <f>IF(ISERROR(FIND('112'!$M$9,G1493,1)),"",IF((AND(RIGHT(G1493,2)=RIGHT('112'!$M$9,2),B1493&lt;'112'!$K$9,$O1493='112'!$I$6)),"x",""))</f>
        <v/>
      </c>
      <c r="W1493" s="79" t="str">
        <f>IF(AND('341-CT'!$H$9=H1493,OR(LEFT(N1493,3)=$W$7,LEFT(O1493,3)=$W$7)),"x","")</f>
        <v/>
      </c>
      <c r="X1493" s="79" t="str">
        <f>IF(OR(TH!N1493=TH!$X$7,O1493=TH!$X$7),"x","")</f>
        <v/>
      </c>
      <c r="Y1493" s="79" t="str">
        <f>IF(AND(OR(N1493="131",O1493="131"),H1493='131-CT'!$H$9),"x","")</f>
        <v/>
      </c>
      <c r="Z1493" s="79"/>
      <c r="AA1493" s="79" t="str">
        <f>IF(AND(MONTH(E1493)='IN-NX'!$J$5,'IN-NX'!$D$7=D1493),"x","")</f>
        <v/>
      </c>
      <c r="AB1493" s="79" t="str">
        <f>IF(AND(OR(LEFT(TH!N1493,2)="15",LEFT(TH!O1493,2)="15"),LEFT(TH!O1493,3)&lt;&gt;"111",'152-CT'!$J$8=TH!F1493),"x","")</f>
        <v/>
      </c>
      <c r="AC1493" s="79" t="str">
        <f>IF(AND(OR(LEFT(TH!N1493,2)="15",LEFT(TH!O1493,2)="15"),TK!$E$7=TH!F1493),"x","")</f>
        <v/>
      </c>
      <c r="AD1493" s="79" t="str">
        <f>IF(AND(N1493="1521",MONTH(C1493)='BK-NL'!$M$11),"x","")</f>
        <v/>
      </c>
    </row>
    <row r="1494" spans="1:30" ht="16.5" customHeight="1">
      <c r="A1494" s="318" t="str">
        <f>IF(B1494&lt;&gt;"",IF(AND(B1494='IN-TC'!$S$4,OR(TH!N1494="1111",TH!O1494="1111")),TH!D1494,""),"")</f>
        <v/>
      </c>
      <c r="B1494" s="60" t="str">
        <f t="shared" si="207"/>
        <v/>
      </c>
      <c r="C1494" s="989"/>
      <c r="D1494" s="989"/>
      <c r="E1494" s="989"/>
      <c r="F1494" s="921"/>
      <c r="G1494" s="991"/>
      <c r="H1494" s="1011"/>
      <c r="I1494" s="994"/>
      <c r="J1494" s="992"/>
      <c r="K1494" s="994"/>
      <c r="L1494" s="992"/>
      <c r="M1494" s="995"/>
      <c r="N1494" s="996"/>
      <c r="O1494" s="996"/>
      <c r="P1494" s="79" t="str">
        <f>IF(AND('331-CT'!$E$7=TH!H1494,OR(N1494="331",O1494="331")),"x","")</f>
        <v/>
      </c>
      <c r="Q1494" s="79" t="str">
        <f>IF(AND(B1494='111'!$L$11,OR($N1494=$Q$7,$O1494=$Q$7)),"x","")</f>
        <v/>
      </c>
      <c r="R1494" s="79" t="str">
        <f>IF(AND($N1494=$Q$7,$B1494&lt;'111'!$L$11),"x","")</f>
        <v/>
      </c>
      <c r="S1494" s="79" t="str">
        <f>IF(AND($O1494=$Q$7,$B1494&lt;'111'!$L$11),"x","")</f>
        <v/>
      </c>
      <c r="T1494" s="79" t="str">
        <f>IF(ISERROR(FIND('112'!$M$9,G1494,1)),"",IF((AND(FIND('112'!$M$9,G1494,1)&gt;=1,B1494='112'!$K$9,OR($N1494='112'!$I$6,$O1494='112'!$I$6))),"x",""))</f>
        <v/>
      </c>
      <c r="U1494" s="79" t="str">
        <f>IF(ISERROR(FIND('112'!$M$9,G1494,1)),"",IF((AND(LEFT(G1494,2)=LEFT('112'!$M$9,2),B1494&lt;'112'!$K$9,$N1494='112'!$I$6)),"x",""))</f>
        <v/>
      </c>
      <c r="V1494" s="79" t="str">
        <f>IF(ISERROR(FIND('112'!$M$9,G1494,1)),"",IF((AND(RIGHT(G1494,2)=RIGHT('112'!$M$9,2),B1494&lt;'112'!$K$9,$O1494='112'!$I$6)),"x",""))</f>
        <v/>
      </c>
      <c r="W1494" s="79" t="str">
        <f>IF(AND('341-CT'!$H$9=H1494,OR(LEFT(N1494,3)=$W$7,LEFT(O1494,3)=$W$7)),"x","")</f>
        <v/>
      </c>
      <c r="X1494" s="79" t="str">
        <f>IF(OR(TH!N1494=TH!$X$7,O1494=TH!$X$7),"x","")</f>
        <v/>
      </c>
      <c r="Y1494" s="79" t="str">
        <f>IF(AND(OR(N1494="131",O1494="131"),H1494='131-CT'!$H$9),"x","")</f>
        <v/>
      </c>
      <c r="Z1494" s="79"/>
      <c r="AA1494" s="79" t="str">
        <f>IF(AND(MONTH(E1494)='IN-NX'!$J$5,'IN-NX'!$D$7=D1494),"x","")</f>
        <v/>
      </c>
      <c r="AB1494" s="79" t="str">
        <f>IF(AND(OR(LEFT(TH!N1494,2)="15",LEFT(TH!O1494,2)="15"),LEFT(TH!O1494,3)&lt;&gt;"111",'152-CT'!$J$8=TH!F1494),"x","")</f>
        <v/>
      </c>
      <c r="AC1494" s="79" t="str">
        <f>IF(AND(OR(LEFT(TH!N1494,2)="15",LEFT(TH!O1494,2)="15"),TK!$E$7=TH!F1494),"x","")</f>
        <v/>
      </c>
      <c r="AD1494" s="79" t="str">
        <f>IF(AND(N1494="1521",MONTH(C1494)='BK-NL'!$M$11),"x","")</f>
        <v/>
      </c>
    </row>
    <row r="1495" spans="1:30" ht="16.5" customHeight="1">
      <c r="A1495" s="318" t="str">
        <f>IF(B1495&lt;&gt;"",IF(AND(B1495='IN-TC'!$S$4,OR(TH!N1495="1111",TH!O1495="1111")),TH!D1495,""),"")</f>
        <v/>
      </c>
      <c r="B1495" s="60" t="str">
        <f t="shared" si="207"/>
        <v/>
      </c>
      <c r="C1495" s="989"/>
      <c r="D1495" s="989"/>
      <c r="E1495" s="989"/>
      <c r="F1495" s="921"/>
      <c r="G1495" s="991"/>
      <c r="H1495" s="1105"/>
      <c r="I1495" s="994"/>
      <c r="J1495" s="993"/>
      <c r="K1495" s="994"/>
      <c r="L1495" s="992"/>
      <c r="M1495" s="995"/>
      <c r="N1495" s="996"/>
      <c r="O1495" s="996"/>
      <c r="P1495" s="79" t="str">
        <f>IF(AND('331-CT'!$E$7=TH!H1495,OR(N1495="331",O1495="331")),"x","")</f>
        <v/>
      </c>
      <c r="Q1495" s="79" t="str">
        <f>IF(AND(B1495='111'!$L$11,OR($N1495=$Q$7,$O1495=$Q$7)),"x","")</f>
        <v/>
      </c>
      <c r="R1495" s="79" t="str">
        <f>IF(AND($N1495=$Q$7,$B1495&lt;'111'!$L$11),"x","")</f>
        <v/>
      </c>
      <c r="S1495" s="79" t="str">
        <f>IF(AND($O1495=$Q$7,$B1495&lt;'111'!$L$11),"x","")</f>
        <v/>
      </c>
      <c r="T1495" s="79" t="str">
        <f>IF(ISERROR(FIND('112'!$M$9,G1495,1)),"",IF((AND(FIND('112'!$M$9,G1495,1)&gt;=1,B1495='112'!$K$9,OR($N1495='112'!$I$6,$O1495='112'!$I$6))),"x",""))</f>
        <v/>
      </c>
      <c r="U1495" s="79" t="str">
        <f>IF(ISERROR(FIND('112'!$M$9,G1495,1)),"",IF((AND(LEFT(G1495,2)=LEFT('112'!$M$9,2),B1495&lt;'112'!$K$9,$N1495='112'!$I$6)),"x",""))</f>
        <v/>
      </c>
      <c r="V1495" s="79" t="str">
        <f>IF(ISERROR(FIND('112'!$M$9,G1495,1)),"",IF((AND(RIGHT(G1495,2)=RIGHT('112'!$M$9,2),B1495&lt;'112'!$K$9,$O1495='112'!$I$6)),"x",""))</f>
        <v/>
      </c>
      <c r="W1495" s="79" t="str">
        <f>IF(AND('341-CT'!$H$9=H1495,OR(LEFT(N1495,3)=$W$7,LEFT(O1495,3)=$W$7)),"x","")</f>
        <v/>
      </c>
      <c r="X1495" s="79" t="str">
        <f>IF(OR(TH!N1495=TH!$X$7,O1495=TH!$X$7),"x","")</f>
        <v/>
      </c>
      <c r="Y1495" s="79" t="str">
        <f>IF(AND(OR(N1495="131",O1495="131"),H1495='131-CT'!$H$9),"x","")</f>
        <v/>
      </c>
      <c r="Z1495" s="79"/>
      <c r="AA1495" s="79" t="str">
        <f>IF(AND(MONTH(E1495)='IN-NX'!$J$5,'IN-NX'!$D$7=D1495),"x","")</f>
        <v/>
      </c>
      <c r="AB1495" s="79" t="str">
        <f>IF(AND(OR(LEFT(TH!N1495,2)="15",LEFT(TH!O1495,2)="15"),LEFT(TH!O1495,3)&lt;&gt;"111",'152-CT'!$J$8=TH!F1495),"x","")</f>
        <v/>
      </c>
      <c r="AC1495" s="79" t="str">
        <f>IF(AND(OR(LEFT(TH!N1495,2)="15",LEFT(TH!O1495,2)="15"),TK!$E$7=TH!F1495),"x","")</f>
        <v/>
      </c>
      <c r="AD1495" s="79" t="str">
        <f>IF(AND(N1495="1521",MONTH(C1495)='BK-NL'!$M$11),"x","")</f>
        <v/>
      </c>
    </row>
    <row r="1496" spans="1:30" ht="16.5" customHeight="1">
      <c r="A1496" s="318" t="str">
        <f>IF(B1496&lt;&gt;"",IF(AND(B1496='IN-TC'!$S$4,OR(TH!N1496="1111",TH!O1496="1111")),TH!D1496,""),"")</f>
        <v/>
      </c>
      <c r="B1496" s="60" t="str">
        <f t="shared" si="207"/>
        <v/>
      </c>
      <c r="C1496" s="989"/>
      <c r="D1496" s="989"/>
      <c r="E1496" s="989"/>
      <c r="F1496" s="921"/>
      <c r="G1496" s="991"/>
      <c r="H1496" s="1105"/>
      <c r="I1496" s="994"/>
      <c r="J1496" s="993"/>
      <c r="K1496" s="994"/>
      <c r="L1496" s="992"/>
      <c r="M1496" s="995"/>
      <c r="N1496" s="996"/>
      <c r="O1496" s="996"/>
      <c r="P1496" s="79" t="str">
        <f>IF(AND('331-CT'!$E$7=TH!H1496,OR(N1496="331",O1496="331")),"x","")</f>
        <v/>
      </c>
      <c r="Q1496" s="79" t="str">
        <f>IF(AND(B1496='111'!$L$11,OR($N1496=$Q$7,$O1496=$Q$7)),"x","")</f>
        <v/>
      </c>
      <c r="R1496" s="79" t="str">
        <f>IF(AND($N1496=$Q$7,$B1496&lt;'111'!$L$11),"x","")</f>
        <v/>
      </c>
      <c r="S1496" s="79" t="str">
        <f>IF(AND($O1496=$Q$7,$B1496&lt;'111'!$L$11),"x","")</f>
        <v/>
      </c>
      <c r="T1496" s="79" t="str">
        <f>IF(ISERROR(FIND('112'!$M$9,G1496,1)),"",IF((AND(FIND('112'!$M$9,G1496,1)&gt;=1,B1496='112'!$K$9,OR($N1496='112'!$I$6,$O1496='112'!$I$6))),"x",""))</f>
        <v/>
      </c>
      <c r="U1496" s="79" t="str">
        <f>IF(ISERROR(FIND('112'!$M$9,G1496,1)),"",IF((AND(LEFT(G1496,2)=LEFT('112'!$M$9,2),B1496&lt;'112'!$K$9,$N1496='112'!$I$6)),"x",""))</f>
        <v/>
      </c>
      <c r="V1496" s="79" t="str">
        <f>IF(ISERROR(FIND('112'!$M$9,G1496,1)),"",IF((AND(RIGHT(G1496,2)=RIGHT('112'!$M$9,2),B1496&lt;'112'!$K$9,$O1496='112'!$I$6)),"x",""))</f>
        <v/>
      </c>
      <c r="W1496" s="79" t="str">
        <f>IF(AND('341-CT'!$H$9=H1496,OR(LEFT(N1496,3)=$W$7,LEFT(O1496,3)=$W$7)),"x","")</f>
        <v/>
      </c>
      <c r="X1496" s="79" t="str">
        <f>IF(OR(TH!N1496=TH!$X$7,O1496=TH!$X$7),"x","")</f>
        <v/>
      </c>
      <c r="Y1496" s="79" t="str">
        <f>IF(AND(OR(N1496="131",O1496="131"),H1496='131-CT'!$H$9),"x","")</f>
        <v/>
      </c>
      <c r="Z1496" s="79"/>
      <c r="AA1496" s="79" t="str">
        <f>IF(AND(MONTH(E1496)='IN-NX'!$J$5,'IN-NX'!$D$7=D1496),"x","")</f>
        <v/>
      </c>
      <c r="AB1496" s="79" t="str">
        <f>IF(AND(OR(LEFT(TH!N1496,2)="15",LEFT(TH!O1496,2)="15"),LEFT(TH!O1496,3)&lt;&gt;"111",'152-CT'!$J$8=TH!F1496),"x","")</f>
        <v/>
      </c>
      <c r="AC1496" s="79" t="str">
        <f>IF(AND(OR(LEFT(TH!N1496,2)="15",LEFT(TH!O1496,2)="15"),TK!$E$7=TH!F1496),"x","")</f>
        <v/>
      </c>
      <c r="AD1496" s="79" t="str">
        <f>IF(AND(N1496="1521",MONTH(C1496)='BK-NL'!$M$11),"x","")</f>
        <v/>
      </c>
    </row>
    <row r="1497" spans="1:30" ht="16.5" customHeight="1">
      <c r="A1497" s="318" t="str">
        <f>IF(B1497&lt;&gt;"",IF(AND(B1497='IN-TC'!$S$4,OR(TH!N1497="1111",TH!O1497="1111")),TH!D1497,""),"")</f>
        <v/>
      </c>
      <c r="B1497" s="60" t="str">
        <f t="shared" si="207"/>
        <v/>
      </c>
      <c r="C1497" s="989"/>
      <c r="D1497" s="989"/>
      <c r="E1497" s="989"/>
      <c r="F1497" s="921"/>
      <c r="G1497" s="991"/>
      <c r="H1497" s="1105"/>
      <c r="I1497" s="994"/>
      <c r="J1497" s="993"/>
      <c r="K1497" s="994"/>
      <c r="L1497" s="992"/>
      <c r="M1497" s="995"/>
      <c r="N1497" s="996"/>
      <c r="O1497" s="996"/>
      <c r="P1497" s="79" t="str">
        <f>IF(AND('331-CT'!$E$7=TH!H1497,OR(N1497="331",O1497="331")),"x","")</f>
        <v/>
      </c>
      <c r="Q1497" s="79" t="str">
        <f>IF(AND(B1497='111'!$L$11,OR($N1497=$Q$7,$O1497=$Q$7)),"x","")</f>
        <v/>
      </c>
      <c r="R1497" s="79" t="str">
        <f>IF(AND($N1497=$Q$7,$B1497&lt;'111'!$L$11),"x","")</f>
        <v/>
      </c>
      <c r="S1497" s="79" t="str">
        <f>IF(AND($O1497=$Q$7,$B1497&lt;'111'!$L$11),"x","")</f>
        <v/>
      </c>
      <c r="T1497" s="79" t="str">
        <f>IF(ISERROR(FIND('112'!$M$9,G1497,1)),"",IF((AND(FIND('112'!$M$9,G1497,1)&gt;=1,B1497='112'!$K$9,OR($N1497='112'!$I$6,$O1497='112'!$I$6))),"x",""))</f>
        <v/>
      </c>
      <c r="U1497" s="79" t="str">
        <f>IF(ISERROR(FIND('112'!$M$9,G1497,1)),"",IF((AND(LEFT(G1497,2)=LEFT('112'!$M$9,2),B1497&lt;'112'!$K$9,$N1497='112'!$I$6)),"x",""))</f>
        <v/>
      </c>
      <c r="V1497" s="79" t="str">
        <f>IF(ISERROR(FIND('112'!$M$9,G1497,1)),"",IF((AND(RIGHT(G1497,2)=RIGHT('112'!$M$9,2),B1497&lt;'112'!$K$9,$O1497='112'!$I$6)),"x",""))</f>
        <v/>
      </c>
      <c r="W1497" s="79" t="str">
        <f>IF(AND('341-CT'!$H$9=H1497,OR(LEFT(N1497,3)=$W$7,LEFT(O1497,3)=$W$7)),"x","")</f>
        <v/>
      </c>
      <c r="X1497" s="79" t="str">
        <f>IF(OR(TH!N1497=TH!$X$7,O1497=TH!$X$7),"x","")</f>
        <v/>
      </c>
      <c r="Y1497" s="79" t="str">
        <f>IF(AND(OR(N1497="131",O1497="131"),H1497='131-CT'!$H$9),"x","")</f>
        <v/>
      </c>
      <c r="Z1497" s="79"/>
      <c r="AA1497" s="79" t="str">
        <f>IF(AND(MONTH(E1497)='IN-NX'!$J$5,'IN-NX'!$D$7=D1497),"x","")</f>
        <v/>
      </c>
      <c r="AB1497" s="79" t="str">
        <f>IF(AND(OR(LEFT(TH!N1497,2)="15",LEFT(TH!O1497,2)="15"),LEFT(TH!O1497,3)&lt;&gt;"111",'152-CT'!$J$8=TH!F1497),"x","")</f>
        <v/>
      </c>
      <c r="AC1497" s="79" t="str">
        <f>IF(AND(OR(LEFT(TH!N1497,2)="15",LEFT(TH!O1497,2)="15"),TK!$E$7=TH!F1497),"x","")</f>
        <v/>
      </c>
      <c r="AD1497" s="79" t="str">
        <f>IF(AND(N1497="1521",MONTH(C1497)='BK-NL'!$M$11),"x","")</f>
        <v/>
      </c>
    </row>
    <row r="1498" spans="1:30" ht="16.5" customHeight="1">
      <c r="A1498" s="318" t="str">
        <f>IF(B1498&lt;&gt;"",IF(AND(B1498='IN-TC'!$S$4,OR(TH!N1498="1111",TH!O1498="1111")),TH!D1498,""),"")</f>
        <v/>
      </c>
      <c r="B1498" s="60" t="str">
        <f t="shared" si="207"/>
        <v/>
      </c>
      <c r="C1498" s="989"/>
      <c r="D1498" s="989"/>
      <c r="E1498" s="989"/>
      <c r="F1498" s="921"/>
      <c r="G1498" s="991"/>
      <c r="H1498" s="1105"/>
      <c r="I1498" s="994"/>
      <c r="J1498" s="993"/>
      <c r="K1498" s="994"/>
      <c r="L1498" s="992"/>
      <c r="M1498" s="995"/>
      <c r="N1498" s="996"/>
      <c r="O1498" s="996"/>
      <c r="P1498" s="79" t="str">
        <f>IF(AND('331-CT'!$E$7=TH!H1498,OR(N1498="331",O1498="331")),"x","")</f>
        <v/>
      </c>
      <c r="Q1498" s="79" t="str">
        <f>IF(AND(B1498='111'!$L$11,OR($N1498=$Q$7,$O1498=$Q$7)),"x","")</f>
        <v/>
      </c>
      <c r="R1498" s="79" t="str">
        <f>IF(AND($N1498=$Q$7,$B1498&lt;'111'!$L$11),"x","")</f>
        <v/>
      </c>
      <c r="S1498" s="79" t="str">
        <f>IF(AND($O1498=$Q$7,$B1498&lt;'111'!$L$11),"x","")</f>
        <v/>
      </c>
      <c r="T1498" s="79" t="str">
        <f>IF(ISERROR(FIND('112'!$M$9,G1498,1)),"",IF((AND(FIND('112'!$M$9,G1498,1)&gt;=1,B1498='112'!$K$9,OR($N1498='112'!$I$6,$O1498='112'!$I$6))),"x",""))</f>
        <v/>
      </c>
      <c r="U1498" s="79" t="str">
        <f>IF(ISERROR(FIND('112'!$M$9,G1498,1)),"",IF((AND(LEFT(G1498,2)=LEFT('112'!$M$9,2),B1498&lt;'112'!$K$9,$N1498='112'!$I$6)),"x",""))</f>
        <v/>
      </c>
      <c r="V1498" s="79" t="str">
        <f>IF(ISERROR(FIND('112'!$M$9,G1498,1)),"",IF((AND(RIGHT(G1498,2)=RIGHT('112'!$M$9,2),B1498&lt;'112'!$K$9,$O1498='112'!$I$6)),"x",""))</f>
        <v/>
      </c>
      <c r="W1498" s="79" t="str">
        <f>IF(AND('341-CT'!$H$9=H1498,OR(LEFT(N1498,3)=$W$7,LEFT(O1498,3)=$W$7)),"x","")</f>
        <v/>
      </c>
      <c r="X1498" s="79" t="str">
        <f>IF(OR(TH!N1498=TH!$X$7,O1498=TH!$X$7),"x","")</f>
        <v/>
      </c>
      <c r="Y1498" s="79" t="str">
        <f>IF(AND(OR(N1498="131",O1498="131"),H1498='131-CT'!$H$9),"x","")</f>
        <v/>
      </c>
      <c r="Z1498" s="79"/>
      <c r="AA1498" s="79" t="str">
        <f>IF(AND(MONTH(E1498)='IN-NX'!$J$5,'IN-NX'!$D$7=D1498),"x","")</f>
        <v/>
      </c>
      <c r="AB1498" s="79" t="str">
        <f>IF(AND(OR(LEFT(TH!N1498,2)="15",LEFT(TH!O1498,2)="15"),LEFT(TH!O1498,3)&lt;&gt;"111",'152-CT'!$J$8=TH!F1498),"x","")</f>
        <v/>
      </c>
      <c r="AC1498" s="79" t="str">
        <f>IF(AND(OR(LEFT(TH!N1498,2)="15",LEFT(TH!O1498,2)="15"),TK!$E$7=TH!F1498),"x","")</f>
        <v/>
      </c>
      <c r="AD1498" s="79" t="str">
        <f>IF(AND(N1498="1521",MONTH(C1498)='BK-NL'!$M$11),"x","")</f>
        <v/>
      </c>
    </row>
    <row r="1499" spans="1:30" ht="16.5" customHeight="1">
      <c r="A1499" s="318" t="str">
        <f>IF(B1499&lt;&gt;"",IF(AND(B1499='IN-TC'!$S$4,OR(TH!N1499="1111",TH!O1499="1111")),TH!D1499,""),"")</f>
        <v/>
      </c>
      <c r="B1499" s="60" t="str">
        <f t="shared" si="207"/>
        <v/>
      </c>
      <c r="C1499" s="989"/>
      <c r="D1499" s="989"/>
      <c r="E1499" s="989"/>
      <c r="F1499" s="921"/>
      <c r="G1499" s="991"/>
      <c r="H1499" s="1105"/>
      <c r="I1499" s="994"/>
      <c r="J1499" s="993"/>
      <c r="K1499" s="994"/>
      <c r="L1499" s="992"/>
      <c r="M1499" s="995"/>
      <c r="N1499" s="996"/>
      <c r="O1499" s="996"/>
      <c r="P1499" s="79" t="str">
        <f>IF(AND('331-CT'!$E$7=TH!H1499,OR(N1499="331",O1499="331")),"x","")</f>
        <v/>
      </c>
      <c r="Q1499" s="79" t="str">
        <f>IF(AND(B1499='111'!$L$11,OR($N1499=$Q$7,$O1499=$Q$7)),"x","")</f>
        <v/>
      </c>
      <c r="R1499" s="79" t="str">
        <f>IF(AND($N1499=$Q$7,$B1499&lt;'111'!$L$11),"x","")</f>
        <v/>
      </c>
      <c r="S1499" s="79" t="str">
        <f>IF(AND($O1499=$Q$7,$B1499&lt;'111'!$L$11),"x","")</f>
        <v/>
      </c>
      <c r="T1499" s="79" t="str">
        <f>IF(ISERROR(FIND('112'!$M$9,G1499,1)),"",IF((AND(FIND('112'!$M$9,G1499,1)&gt;=1,B1499='112'!$K$9,OR($N1499='112'!$I$6,$O1499='112'!$I$6))),"x",""))</f>
        <v/>
      </c>
      <c r="U1499" s="79" t="str">
        <f>IF(ISERROR(FIND('112'!$M$9,G1499,1)),"",IF((AND(LEFT(G1499,2)=LEFT('112'!$M$9,2),B1499&lt;'112'!$K$9,$N1499='112'!$I$6)),"x",""))</f>
        <v/>
      </c>
      <c r="V1499" s="79" t="str">
        <f>IF(ISERROR(FIND('112'!$M$9,G1499,1)),"",IF((AND(RIGHT(G1499,2)=RIGHT('112'!$M$9,2),B1499&lt;'112'!$K$9,$O1499='112'!$I$6)),"x",""))</f>
        <v/>
      </c>
      <c r="W1499" s="79" t="str">
        <f>IF(AND('341-CT'!$H$9=H1499,OR(LEFT(N1499,3)=$W$7,LEFT(O1499,3)=$W$7)),"x","")</f>
        <v/>
      </c>
      <c r="X1499" s="79" t="str">
        <f>IF(OR(TH!N1499=TH!$X$7,O1499=TH!$X$7),"x","")</f>
        <v/>
      </c>
      <c r="Y1499" s="79" t="str">
        <f>IF(AND(OR(N1499="131",O1499="131"),H1499='131-CT'!$H$9),"x","")</f>
        <v/>
      </c>
      <c r="Z1499" s="79"/>
      <c r="AA1499" s="79" t="str">
        <f>IF(AND(MONTH(E1499)='IN-NX'!$J$5,'IN-NX'!$D$7=D1499),"x","")</f>
        <v/>
      </c>
      <c r="AB1499" s="79" t="str">
        <f>IF(AND(OR(LEFT(TH!N1499,2)="15",LEFT(TH!O1499,2)="15"),LEFT(TH!O1499,3)&lt;&gt;"111",'152-CT'!$J$8=TH!F1499),"x","")</f>
        <v/>
      </c>
      <c r="AC1499" s="79" t="str">
        <f>IF(AND(OR(LEFT(TH!N1499,2)="15",LEFT(TH!O1499,2)="15"),TK!$E$7=TH!F1499),"x","")</f>
        <v/>
      </c>
      <c r="AD1499" s="79" t="str">
        <f>IF(AND(N1499="1521",MONTH(C1499)='BK-NL'!$M$11),"x","")</f>
        <v/>
      </c>
    </row>
    <row r="1500" spans="1:30" ht="16.5" customHeight="1">
      <c r="A1500" s="318" t="str">
        <f>IF(B1500&lt;&gt;"",IF(AND(B1500='IN-TC'!$S$4,OR(TH!N1500="1111",TH!O1500="1111")),TH!D1500,""),"")</f>
        <v/>
      </c>
      <c r="B1500" s="60" t="str">
        <f t="shared" si="207"/>
        <v/>
      </c>
      <c r="C1500" s="989"/>
      <c r="D1500" s="989"/>
      <c r="E1500" s="989"/>
      <c r="F1500" s="921"/>
      <c r="G1500" s="991"/>
      <c r="H1500" s="1105"/>
      <c r="I1500" s="994"/>
      <c r="J1500" s="993"/>
      <c r="K1500" s="994"/>
      <c r="L1500" s="992"/>
      <c r="M1500" s="995"/>
      <c r="N1500" s="996"/>
      <c r="O1500" s="996"/>
      <c r="P1500" s="79" t="str">
        <f>IF(AND('331-CT'!$E$7=TH!H1500,OR(N1500="331",O1500="331")),"x","")</f>
        <v/>
      </c>
      <c r="Q1500" s="79" t="str">
        <f>IF(AND(B1500='111'!$L$11,OR($N1500=$Q$7,$O1500=$Q$7)),"x","")</f>
        <v/>
      </c>
      <c r="R1500" s="79" t="str">
        <f>IF(AND($N1500=$Q$7,$B1500&lt;'111'!$L$11),"x","")</f>
        <v/>
      </c>
      <c r="S1500" s="79" t="str">
        <f>IF(AND($O1500=$Q$7,$B1500&lt;'111'!$L$11),"x","")</f>
        <v/>
      </c>
      <c r="T1500" s="79" t="str">
        <f>IF(ISERROR(FIND('112'!$M$9,G1500,1)),"",IF((AND(FIND('112'!$M$9,G1500,1)&gt;=1,B1500='112'!$K$9,OR($N1500='112'!$I$6,$O1500='112'!$I$6))),"x",""))</f>
        <v/>
      </c>
      <c r="U1500" s="79" t="str">
        <f>IF(ISERROR(FIND('112'!$M$9,G1500,1)),"",IF((AND(LEFT(G1500,2)=LEFT('112'!$M$9,2),B1500&lt;'112'!$K$9,$N1500='112'!$I$6)),"x",""))</f>
        <v/>
      </c>
      <c r="V1500" s="79" t="str">
        <f>IF(ISERROR(FIND('112'!$M$9,G1500,1)),"",IF((AND(RIGHT(G1500,2)=RIGHT('112'!$M$9,2),B1500&lt;'112'!$K$9,$O1500='112'!$I$6)),"x",""))</f>
        <v/>
      </c>
      <c r="W1500" s="79" t="str">
        <f>IF(AND('341-CT'!$H$9=H1500,OR(LEFT(N1500,3)=$W$7,LEFT(O1500,3)=$W$7)),"x","")</f>
        <v/>
      </c>
      <c r="X1500" s="79" t="str">
        <f>IF(OR(TH!N1500=TH!$X$7,O1500=TH!$X$7),"x","")</f>
        <v/>
      </c>
      <c r="Y1500" s="79" t="str">
        <f>IF(AND(OR(N1500="131",O1500="131"),H1500='131-CT'!$H$9),"x","")</f>
        <v/>
      </c>
      <c r="Z1500" s="79"/>
      <c r="AA1500" s="79" t="str">
        <f>IF(AND(MONTH(E1500)='IN-NX'!$J$5,'IN-NX'!$D$7=D1500),"x","")</f>
        <v/>
      </c>
      <c r="AB1500" s="79" t="str">
        <f>IF(AND(OR(LEFT(TH!N1500,2)="15",LEFT(TH!O1500,2)="15"),LEFT(TH!O1500,3)&lt;&gt;"111",'152-CT'!$J$8=TH!F1500),"x","")</f>
        <v/>
      </c>
      <c r="AC1500" s="79" t="str">
        <f>IF(AND(OR(LEFT(TH!N1500,2)="15",LEFT(TH!O1500,2)="15"),TK!$E$7=TH!F1500),"x","")</f>
        <v/>
      </c>
      <c r="AD1500" s="79" t="str">
        <f>IF(AND(N1500="1521",MONTH(C1500)='BK-NL'!$M$11),"x","")</f>
        <v/>
      </c>
    </row>
    <row r="1501" spans="1:30" ht="16.5" customHeight="1">
      <c r="A1501" s="318" t="str">
        <f>IF(B1501&lt;&gt;"",IF(AND(B1501='IN-TC'!$S$4,OR(TH!N1501="1111",TH!O1501="1111")),TH!D1501,""),"")</f>
        <v/>
      </c>
      <c r="B1501" s="60" t="str">
        <f t="shared" si="207"/>
        <v/>
      </c>
      <c r="C1501" s="989"/>
      <c r="D1501" s="989"/>
      <c r="E1501" s="989"/>
      <c r="F1501" s="921"/>
      <c r="G1501" s="991"/>
      <c r="H1501" s="1105"/>
      <c r="I1501" s="994"/>
      <c r="J1501" s="993"/>
      <c r="K1501" s="994"/>
      <c r="L1501" s="992"/>
      <c r="M1501" s="995"/>
      <c r="N1501" s="996"/>
      <c r="O1501" s="996"/>
      <c r="P1501" s="79" t="str">
        <f>IF(AND('331-CT'!$E$7=TH!H1501,OR(N1501="331",O1501="331")),"x","")</f>
        <v/>
      </c>
      <c r="Q1501" s="79" t="str">
        <f>IF(AND(B1501='111'!$L$11,OR($N1501=$Q$7,$O1501=$Q$7)),"x","")</f>
        <v/>
      </c>
      <c r="R1501" s="79" t="str">
        <f>IF(AND($N1501=$Q$7,$B1501&lt;'111'!$L$11),"x","")</f>
        <v/>
      </c>
      <c r="S1501" s="79" t="str">
        <f>IF(AND($O1501=$Q$7,$B1501&lt;'111'!$L$11),"x","")</f>
        <v/>
      </c>
      <c r="T1501" s="79" t="str">
        <f>IF(ISERROR(FIND('112'!$M$9,G1501,1)),"",IF((AND(FIND('112'!$M$9,G1501,1)&gt;=1,B1501='112'!$K$9,OR($N1501='112'!$I$6,$O1501='112'!$I$6))),"x",""))</f>
        <v/>
      </c>
      <c r="U1501" s="79" t="str">
        <f>IF(ISERROR(FIND('112'!$M$9,G1501,1)),"",IF((AND(LEFT(G1501,2)=LEFT('112'!$M$9,2),B1501&lt;'112'!$K$9,$N1501='112'!$I$6)),"x",""))</f>
        <v/>
      </c>
      <c r="V1501" s="79" t="str">
        <f>IF(ISERROR(FIND('112'!$M$9,G1501,1)),"",IF((AND(RIGHT(G1501,2)=RIGHT('112'!$M$9,2),B1501&lt;'112'!$K$9,$O1501='112'!$I$6)),"x",""))</f>
        <v/>
      </c>
      <c r="W1501" s="79" t="str">
        <f>IF(AND('341-CT'!$H$9=H1501,OR(LEFT(N1501,3)=$W$7,LEFT(O1501,3)=$W$7)),"x","")</f>
        <v/>
      </c>
      <c r="X1501" s="79" t="str">
        <f>IF(OR(TH!N1501=TH!$X$7,O1501=TH!$X$7),"x","")</f>
        <v/>
      </c>
      <c r="Y1501" s="79" t="str">
        <f>IF(AND(OR(N1501="131",O1501="131"),H1501='131-CT'!$H$9),"x","")</f>
        <v/>
      </c>
      <c r="Z1501" s="79"/>
      <c r="AA1501" s="79" t="str">
        <f>IF(AND(MONTH(E1501)='IN-NX'!$J$5,'IN-NX'!$D$7=D1501),"x","")</f>
        <v/>
      </c>
      <c r="AB1501" s="79" t="str">
        <f>IF(AND(OR(LEFT(TH!N1501,2)="15",LEFT(TH!O1501,2)="15"),LEFT(TH!O1501,3)&lt;&gt;"111",'152-CT'!$J$8=TH!F1501),"x","")</f>
        <v/>
      </c>
      <c r="AC1501" s="79" t="str">
        <f>IF(AND(OR(LEFT(TH!N1501,2)="15",LEFT(TH!O1501,2)="15"),TK!$E$7=TH!F1501),"x","")</f>
        <v/>
      </c>
      <c r="AD1501" s="79" t="str">
        <f>IF(AND(N1501="1521",MONTH(C1501)='BK-NL'!$M$11),"x","")</f>
        <v/>
      </c>
    </row>
    <row r="1502" spans="1:30" ht="16.5" customHeight="1">
      <c r="A1502" s="318" t="str">
        <f>IF(B1502&lt;&gt;"",IF(AND(B1502='IN-TC'!$S$4,OR(TH!N1502="1111",TH!O1502="1111")),TH!D1502,""),"")</f>
        <v/>
      </c>
      <c r="B1502" s="60" t="str">
        <f t="shared" si="207"/>
        <v/>
      </c>
      <c r="C1502" s="989"/>
      <c r="D1502" s="989"/>
      <c r="E1502" s="989"/>
      <c r="F1502" s="921"/>
      <c r="G1502" s="991"/>
      <c r="H1502" s="1105"/>
      <c r="I1502" s="994"/>
      <c r="J1502" s="993"/>
      <c r="K1502" s="994"/>
      <c r="L1502" s="992"/>
      <c r="M1502" s="995"/>
      <c r="N1502" s="996"/>
      <c r="O1502" s="996"/>
      <c r="P1502" s="79" t="str">
        <f>IF(AND('331-CT'!$E$7=TH!H1502,OR(N1502="331",O1502="331")),"x","")</f>
        <v/>
      </c>
      <c r="Q1502" s="79" t="str">
        <f>IF(AND(B1502='111'!$L$11,OR($N1502=$Q$7,$O1502=$Q$7)),"x","")</f>
        <v/>
      </c>
      <c r="R1502" s="79" t="str">
        <f>IF(AND($N1502=$Q$7,$B1502&lt;'111'!$L$11),"x","")</f>
        <v/>
      </c>
      <c r="S1502" s="79" t="str">
        <f>IF(AND($O1502=$Q$7,$B1502&lt;'111'!$L$11),"x","")</f>
        <v/>
      </c>
      <c r="T1502" s="79" t="str">
        <f>IF(ISERROR(FIND('112'!$M$9,G1502,1)),"",IF((AND(FIND('112'!$M$9,G1502,1)&gt;=1,B1502='112'!$K$9,OR($N1502='112'!$I$6,$O1502='112'!$I$6))),"x",""))</f>
        <v/>
      </c>
      <c r="U1502" s="79" t="str">
        <f>IF(ISERROR(FIND('112'!$M$9,G1502,1)),"",IF((AND(LEFT(G1502,2)=LEFT('112'!$M$9,2),B1502&lt;'112'!$K$9,$N1502='112'!$I$6)),"x",""))</f>
        <v/>
      </c>
      <c r="V1502" s="79" t="str">
        <f>IF(ISERROR(FIND('112'!$M$9,G1502,1)),"",IF((AND(RIGHT(G1502,2)=RIGHT('112'!$M$9,2),B1502&lt;'112'!$K$9,$O1502='112'!$I$6)),"x",""))</f>
        <v/>
      </c>
      <c r="W1502" s="79" t="str">
        <f>IF(AND('341-CT'!$H$9=H1502,OR(LEFT(N1502,3)=$W$7,LEFT(O1502,3)=$W$7)),"x","")</f>
        <v/>
      </c>
      <c r="X1502" s="79" t="str">
        <f>IF(OR(TH!N1502=TH!$X$7,O1502=TH!$X$7),"x","")</f>
        <v/>
      </c>
      <c r="Y1502" s="79" t="str">
        <f>IF(AND(OR(N1502="131",O1502="131"),H1502='131-CT'!$H$9),"x","")</f>
        <v/>
      </c>
      <c r="Z1502" s="79"/>
      <c r="AA1502" s="79" t="str">
        <f>IF(AND(MONTH(E1502)='IN-NX'!$J$5,'IN-NX'!$D$7=D1502),"x","")</f>
        <v/>
      </c>
      <c r="AB1502" s="79" t="str">
        <f>IF(AND(OR(LEFT(TH!N1502,2)="15",LEFT(TH!O1502,2)="15"),LEFT(TH!O1502,3)&lt;&gt;"111",'152-CT'!$J$8=TH!F1502),"x","")</f>
        <v/>
      </c>
      <c r="AC1502" s="79" t="str">
        <f>IF(AND(OR(LEFT(TH!N1502,2)="15",LEFT(TH!O1502,2)="15"),TK!$E$7=TH!F1502),"x","")</f>
        <v/>
      </c>
      <c r="AD1502" s="79" t="str">
        <f>IF(AND(N1502="1521",MONTH(C1502)='BK-NL'!$M$11),"x","")</f>
        <v/>
      </c>
    </row>
    <row r="1503" spans="1:30" ht="16.5" customHeight="1">
      <c r="A1503" s="318" t="str">
        <f>IF(B1503&lt;&gt;"",IF(AND(B1503='IN-TC'!$S$4,OR(TH!N1503="1111",TH!O1503="1111")),TH!D1503,""),"")</f>
        <v/>
      </c>
      <c r="B1503" s="60" t="str">
        <f t="shared" si="207"/>
        <v/>
      </c>
      <c r="C1503" s="989"/>
      <c r="D1503" s="989"/>
      <c r="E1503" s="989"/>
      <c r="F1503" s="921"/>
      <c r="G1503" s="991"/>
      <c r="H1503" s="1105"/>
      <c r="I1503" s="994"/>
      <c r="J1503" s="993"/>
      <c r="K1503" s="994"/>
      <c r="L1503" s="992"/>
      <c r="M1503" s="995"/>
      <c r="N1503" s="996"/>
      <c r="O1503" s="996"/>
      <c r="P1503" s="79" t="str">
        <f>IF(AND('331-CT'!$E$7=TH!H1503,OR(N1503="331",O1503="331")),"x","")</f>
        <v/>
      </c>
      <c r="Q1503" s="79" t="str">
        <f>IF(AND(B1503='111'!$L$11,OR($N1503=$Q$7,$O1503=$Q$7)),"x","")</f>
        <v/>
      </c>
      <c r="R1503" s="79" t="str">
        <f>IF(AND($N1503=$Q$7,$B1503&lt;'111'!$L$11),"x","")</f>
        <v/>
      </c>
      <c r="S1503" s="79" t="str">
        <f>IF(AND($O1503=$Q$7,$B1503&lt;'111'!$L$11),"x","")</f>
        <v/>
      </c>
      <c r="T1503" s="79" t="str">
        <f>IF(ISERROR(FIND('112'!$M$9,G1503,1)),"",IF((AND(FIND('112'!$M$9,G1503,1)&gt;=1,B1503='112'!$K$9,OR($N1503='112'!$I$6,$O1503='112'!$I$6))),"x",""))</f>
        <v/>
      </c>
      <c r="U1503" s="79" t="str">
        <f>IF(ISERROR(FIND('112'!$M$9,G1503,1)),"",IF((AND(LEFT(G1503,2)=LEFT('112'!$M$9,2),B1503&lt;'112'!$K$9,$N1503='112'!$I$6)),"x",""))</f>
        <v/>
      </c>
      <c r="V1503" s="79" t="str">
        <f>IF(ISERROR(FIND('112'!$M$9,G1503,1)),"",IF((AND(RIGHT(G1503,2)=RIGHT('112'!$M$9,2),B1503&lt;'112'!$K$9,$O1503='112'!$I$6)),"x",""))</f>
        <v/>
      </c>
      <c r="W1503" s="79" t="str">
        <f>IF(AND('341-CT'!$H$9=H1503,OR(LEFT(N1503,3)=$W$7,LEFT(O1503,3)=$W$7)),"x","")</f>
        <v/>
      </c>
      <c r="X1503" s="79" t="str">
        <f>IF(OR(TH!N1503=TH!$X$7,O1503=TH!$X$7),"x","")</f>
        <v/>
      </c>
      <c r="Y1503" s="79" t="str">
        <f>IF(AND(OR(N1503="131",O1503="131"),H1503='131-CT'!$H$9),"x","")</f>
        <v/>
      </c>
      <c r="Z1503" s="79"/>
      <c r="AA1503" s="79" t="str">
        <f>IF(AND(MONTH(E1503)='IN-NX'!$J$5,'IN-NX'!$D$7=D1503),"x","")</f>
        <v/>
      </c>
      <c r="AB1503" s="79" t="str">
        <f>IF(AND(OR(LEFT(TH!N1503,2)="15",LEFT(TH!O1503,2)="15"),LEFT(TH!O1503,3)&lt;&gt;"111",'152-CT'!$J$8=TH!F1503),"x","")</f>
        <v/>
      </c>
      <c r="AC1503" s="79" t="str">
        <f>IF(AND(OR(LEFT(TH!N1503,2)="15",LEFT(TH!O1503,2)="15"),TK!$E$7=TH!F1503),"x","")</f>
        <v/>
      </c>
      <c r="AD1503" s="79" t="str">
        <f>IF(AND(N1503="1521",MONTH(C1503)='BK-NL'!$M$11),"x","")</f>
        <v/>
      </c>
    </row>
    <row r="1504" spans="1:30" ht="16.5" customHeight="1">
      <c r="A1504" s="318" t="str">
        <f>IF(B1504&lt;&gt;"",IF(AND(B1504='IN-TC'!$S$4,OR(TH!N1504="1111",TH!O1504="1111")),TH!D1504,""),"")</f>
        <v/>
      </c>
      <c r="B1504" s="60" t="str">
        <f t="shared" si="207"/>
        <v/>
      </c>
      <c r="C1504" s="989"/>
      <c r="D1504" s="989"/>
      <c r="E1504" s="989"/>
      <c r="F1504" s="921"/>
      <c r="G1504" s="991"/>
      <c r="H1504" s="1105"/>
      <c r="I1504" s="994"/>
      <c r="J1504" s="993"/>
      <c r="K1504" s="994"/>
      <c r="L1504" s="992"/>
      <c r="M1504" s="995"/>
      <c r="N1504" s="996"/>
      <c r="O1504" s="996"/>
      <c r="P1504" s="79" t="str">
        <f>IF(AND('331-CT'!$E$7=TH!H1504,OR(N1504="331",O1504="331")),"x","")</f>
        <v/>
      </c>
      <c r="Q1504" s="79" t="str">
        <f>IF(AND(B1504='111'!$L$11,OR($N1504=$Q$7,$O1504=$Q$7)),"x","")</f>
        <v/>
      </c>
      <c r="R1504" s="79" t="str">
        <f>IF(AND($N1504=$Q$7,$B1504&lt;'111'!$L$11),"x","")</f>
        <v/>
      </c>
      <c r="S1504" s="79" t="str">
        <f>IF(AND($O1504=$Q$7,$B1504&lt;'111'!$L$11),"x","")</f>
        <v/>
      </c>
      <c r="T1504" s="79" t="str">
        <f>IF(ISERROR(FIND('112'!$M$9,G1504,1)),"",IF((AND(FIND('112'!$M$9,G1504,1)&gt;=1,B1504='112'!$K$9,OR($N1504='112'!$I$6,$O1504='112'!$I$6))),"x",""))</f>
        <v/>
      </c>
      <c r="U1504" s="79" t="str">
        <f>IF(ISERROR(FIND('112'!$M$9,G1504,1)),"",IF((AND(LEFT(G1504,2)=LEFT('112'!$M$9,2),B1504&lt;'112'!$K$9,$N1504='112'!$I$6)),"x",""))</f>
        <v/>
      </c>
      <c r="V1504" s="79" t="str">
        <f>IF(ISERROR(FIND('112'!$M$9,G1504,1)),"",IF((AND(RIGHT(G1504,2)=RIGHT('112'!$M$9,2),B1504&lt;'112'!$K$9,$O1504='112'!$I$6)),"x",""))</f>
        <v/>
      </c>
      <c r="W1504" s="79" t="str">
        <f>IF(AND('341-CT'!$H$9=H1504,OR(LEFT(N1504,3)=$W$7,LEFT(O1504,3)=$W$7)),"x","")</f>
        <v/>
      </c>
      <c r="X1504" s="79" t="str">
        <f>IF(OR(TH!N1504=TH!$X$7,O1504=TH!$X$7),"x","")</f>
        <v/>
      </c>
      <c r="Y1504" s="79" t="str">
        <f>IF(AND(OR(N1504="131",O1504="131"),H1504='131-CT'!$H$9),"x","")</f>
        <v/>
      </c>
      <c r="Z1504" s="79"/>
      <c r="AA1504" s="79" t="str">
        <f>IF(AND(MONTH(E1504)='IN-NX'!$J$5,'IN-NX'!$D$7=D1504),"x","")</f>
        <v/>
      </c>
      <c r="AB1504" s="79" t="str">
        <f>IF(AND(OR(LEFT(TH!N1504,2)="15",LEFT(TH!O1504,2)="15"),LEFT(TH!O1504,3)&lt;&gt;"111",'152-CT'!$J$8=TH!F1504),"x","")</f>
        <v/>
      </c>
      <c r="AC1504" s="79" t="str">
        <f>IF(AND(OR(LEFT(TH!N1504,2)="15",LEFT(TH!O1504,2)="15"),TK!$E$7=TH!F1504),"x","")</f>
        <v/>
      </c>
      <c r="AD1504" s="79" t="str">
        <f>IF(AND(N1504="1521",MONTH(C1504)='BK-NL'!$M$11),"x","")</f>
        <v/>
      </c>
    </row>
    <row r="1505" spans="1:30" ht="16.5" customHeight="1">
      <c r="A1505" s="318" t="str">
        <f>IF(B1505&lt;&gt;"",IF(AND(B1505='IN-TC'!$S$4,OR(TH!N1505="1111",TH!O1505="1111")),TH!D1505,""),"")</f>
        <v/>
      </c>
      <c r="B1505" s="60" t="str">
        <f t="shared" si="207"/>
        <v/>
      </c>
      <c r="C1505" s="989"/>
      <c r="D1505" s="989"/>
      <c r="E1505" s="989"/>
      <c r="F1505" s="921"/>
      <c r="G1505" s="991"/>
      <c r="H1505" s="1105"/>
      <c r="I1505" s="994"/>
      <c r="J1505" s="993"/>
      <c r="K1505" s="994"/>
      <c r="L1505" s="992"/>
      <c r="M1505" s="995"/>
      <c r="N1505" s="996"/>
      <c r="O1505" s="996"/>
      <c r="P1505" s="79" t="str">
        <f>IF(AND('331-CT'!$E$7=TH!H1505,OR(N1505="331",O1505="331")),"x","")</f>
        <v/>
      </c>
      <c r="Q1505" s="79" t="str">
        <f>IF(AND(B1505='111'!$L$11,OR($N1505=$Q$7,$O1505=$Q$7)),"x","")</f>
        <v/>
      </c>
      <c r="R1505" s="79" t="str">
        <f>IF(AND($N1505=$Q$7,$B1505&lt;'111'!$L$11),"x","")</f>
        <v/>
      </c>
      <c r="S1505" s="79" t="str">
        <f>IF(AND($O1505=$Q$7,$B1505&lt;'111'!$L$11),"x","")</f>
        <v/>
      </c>
      <c r="T1505" s="79" t="str">
        <f>IF(ISERROR(FIND('112'!$M$9,G1505,1)),"",IF((AND(FIND('112'!$M$9,G1505,1)&gt;=1,B1505='112'!$K$9,OR($N1505='112'!$I$6,$O1505='112'!$I$6))),"x",""))</f>
        <v/>
      </c>
      <c r="U1505" s="79" t="str">
        <f>IF(ISERROR(FIND('112'!$M$9,G1505,1)),"",IF((AND(LEFT(G1505,2)=LEFT('112'!$M$9,2),B1505&lt;'112'!$K$9,$N1505='112'!$I$6)),"x",""))</f>
        <v/>
      </c>
      <c r="V1505" s="79" t="str">
        <f>IF(ISERROR(FIND('112'!$M$9,G1505,1)),"",IF((AND(RIGHT(G1505,2)=RIGHT('112'!$M$9,2),B1505&lt;'112'!$K$9,$O1505='112'!$I$6)),"x",""))</f>
        <v/>
      </c>
      <c r="W1505" s="79" t="str">
        <f>IF(AND('341-CT'!$H$9=H1505,OR(LEFT(N1505,3)=$W$7,LEFT(O1505,3)=$W$7)),"x","")</f>
        <v/>
      </c>
      <c r="X1505" s="79" t="str">
        <f>IF(OR(TH!N1505=TH!$X$7,O1505=TH!$X$7),"x","")</f>
        <v/>
      </c>
      <c r="Y1505" s="79" t="str">
        <f>IF(AND(OR(N1505="131",O1505="131"),H1505='131-CT'!$H$9),"x","")</f>
        <v/>
      </c>
      <c r="Z1505" s="79"/>
      <c r="AA1505" s="79" t="str">
        <f>IF(AND(MONTH(E1505)='IN-NX'!$J$5,'IN-NX'!$D$7=D1505),"x","")</f>
        <v/>
      </c>
      <c r="AB1505" s="79" t="str">
        <f>IF(AND(OR(LEFT(TH!N1505,2)="15",LEFT(TH!O1505,2)="15"),LEFT(TH!O1505,3)&lt;&gt;"111",'152-CT'!$J$8=TH!F1505),"x","")</f>
        <v/>
      </c>
      <c r="AC1505" s="79" t="str">
        <f>IF(AND(OR(LEFT(TH!N1505,2)="15",LEFT(TH!O1505,2)="15"),TK!$E$7=TH!F1505),"x","")</f>
        <v/>
      </c>
      <c r="AD1505" s="79" t="str">
        <f>IF(AND(N1505="1521",MONTH(C1505)='BK-NL'!$M$11),"x","")</f>
        <v/>
      </c>
    </row>
    <row r="1506" spans="1:30" ht="16.5" customHeight="1">
      <c r="A1506" s="318" t="str">
        <f>IF(B1506&lt;&gt;"",IF(AND(B1506='IN-TC'!$S$4,OR(TH!N1506="1111",TH!O1506="1111")),TH!D1506,""),"")</f>
        <v/>
      </c>
      <c r="B1506" s="60" t="str">
        <f t="shared" si="207"/>
        <v/>
      </c>
      <c r="C1506" s="989"/>
      <c r="D1506" s="989"/>
      <c r="E1506" s="989"/>
      <c r="F1506" s="921"/>
      <c r="G1506" s="991"/>
      <c r="H1506" s="1105"/>
      <c r="I1506" s="994"/>
      <c r="J1506" s="993"/>
      <c r="K1506" s="994"/>
      <c r="L1506" s="992"/>
      <c r="M1506" s="995"/>
      <c r="N1506" s="996"/>
      <c r="O1506" s="996"/>
      <c r="P1506" s="79" t="str">
        <f>IF(AND('331-CT'!$E$7=TH!H1506,OR(N1506="331",O1506="331")),"x","")</f>
        <v/>
      </c>
      <c r="Q1506" s="79" t="str">
        <f>IF(AND(B1506='111'!$L$11,OR($N1506=$Q$7,$O1506=$Q$7)),"x","")</f>
        <v/>
      </c>
      <c r="R1506" s="79" t="str">
        <f>IF(AND($N1506=$Q$7,$B1506&lt;'111'!$L$11),"x","")</f>
        <v/>
      </c>
      <c r="S1506" s="79" t="str">
        <f>IF(AND($O1506=$Q$7,$B1506&lt;'111'!$L$11),"x","")</f>
        <v/>
      </c>
      <c r="T1506" s="79" t="str">
        <f>IF(ISERROR(FIND('112'!$M$9,G1506,1)),"",IF((AND(FIND('112'!$M$9,G1506,1)&gt;=1,B1506='112'!$K$9,OR($N1506='112'!$I$6,$O1506='112'!$I$6))),"x",""))</f>
        <v/>
      </c>
      <c r="U1506" s="79" t="str">
        <f>IF(ISERROR(FIND('112'!$M$9,G1506,1)),"",IF((AND(LEFT(G1506,2)=LEFT('112'!$M$9,2),B1506&lt;'112'!$K$9,$N1506='112'!$I$6)),"x",""))</f>
        <v/>
      </c>
      <c r="V1506" s="79" t="str">
        <f>IF(ISERROR(FIND('112'!$M$9,G1506,1)),"",IF((AND(RIGHT(G1506,2)=RIGHT('112'!$M$9,2),B1506&lt;'112'!$K$9,$O1506='112'!$I$6)),"x",""))</f>
        <v/>
      </c>
      <c r="W1506" s="79" t="str">
        <f>IF(AND('341-CT'!$H$9=H1506,OR(LEFT(N1506,3)=$W$7,LEFT(O1506,3)=$W$7)),"x","")</f>
        <v/>
      </c>
      <c r="X1506" s="79" t="str">
        <f>IF(OR(TH!N1506=TH!$X$7,O1506=TH!$X$7),"x","")</f>
        <v/>
      </c>
      <c r="Y1506" s="79" t="str">
        <f>IF(AND(OR(N1506="131",O1506="131"),H1506='131-CT'!$H$9),"x","")</f>
        <v/>
      </c>
      <c r="Z1506" s="79"/>
      <c r="AA1506" s="79" t="str">
        <f>IF(AND(MONTH(E1506)='IN-NX'!$J$5,'IN-NX'!$D$7=D1506),"x","")</f>
        <v/>
      </c>
      <c r="AB1506" s="79" t="str">
        <f>IF(AND(OR(LEFT(TH!N1506,2)="15",LEFT(TH!O1506,2)="15"),LEFT(TH!O1506,3)&lt;&gt;"111",'152-CT'!$J$8=TH!F1506),"x","")</f>
        <v/>
      </c>
      <c r="AC1506" s="79" t="str">
        <f>IF(AND(OR(LEFT(TH!N1506,2)="15",LEFT(TH!O1506,2)="15"),TK!$E$7=TH!F1506),"x","")</f>
        <v/>
      </c>
      <c r="AD1506" s="79" t="str">
        <f>IF(AND(N1506="1521",MONTH(C1506)='BK-NL'!$M$11),"x","")</f>
        <v/>
      </c>
    </row>
    <row r="1507" spans="1:30" ht="16.5" customHeight="1">
      <c r="A1507" s="318" t="str">
        <f>IF(B1507&lt;&gt;"",IF(AND(B1507='IN-TC'!$S$4,OR(TH!N1507="1111",TH!O1507="1111")),TH!D1507,""),"")</f>
        <v/>
      </c>
      <c r="B1507" s="60" t="str">
        <f t="shared" si="207"/>
        <v/>
      </c>
      <c r="C1507" s="989"/>
      <c r="D1507" s="989"/>
      <c r="E1507" s="989"/>
      <c r="F1507" s="921"/>
      <c r="G1507" s="991"/>
      <c r="H1507" s="1105"/>
      <c r="I1507" s="994"/>
      <c r="J1507" s="993"/>
      <c r="K1507" s="994"/>
      <c r="L1507" s="992"/>
      <c r="M1507" s="995"/>
      <c r="N1507" s="996"/>
      <c r="O1507" s="996"/>
      <c r="P1507" s="79" t="str">
        <f>IF(AND('331-CT'!$E$7=TH!H1507,OR(N1507="331",O1507="331")),"x","")</f>
        <v/>
      </c>
      <c r="Q1507" s="79" t="str">
        <f>IF(AND(B1507='111'!$L$11,OR($N1507=$Q$7,$O1507=$Q$7)),"x","")</f>
        <v/>
      </c>
      <c r="R1507" s="79" t="str">
        <f>IF(AND($N1507=$Q$7,$B1507&lt;'111'!$L$11),"x","")</f>
        <v/>
      </c>
      <c r="S1507" s="79" t="str">
        <f>IF(AND($O1507=$Q$7,$B1507&lt;'111'!$L$11),"x","")</f>
        <v/>
      </c>
      <c r="T1507" s="79" t="str">
        <f>IF(ISERROR(FIND('112'!$M$9,G1507,1)),"",IF((AND(FIND('112'!$M$9,G1507,1)&gt;=1,B1507='112'!$K$9,OR($N1507='112'!$I$6,$O1507='112'!$I$6))),"x",""))</f>
        <v/>
      </c>
      <c r="U1507" s="79" t="str">
        <f>IF(ISERROR(FIND('112'!$M$9,G1507,1)),"",IF((AND(LEFT(G1507,2)=LEFT('112'!$M$9,2),B1507&lt;'112'!$K$9,$N1507='112'!$I$6)),"x",""))</f>
        <v/>
      </c>
      <c r="V1507" s="79" t="str">
        <f>IF(ISERROR(FIND('112'!$M$9,G1507,1)),"",IF((AND(RIGHT(G1507,2)=RIGHT('112'!$M$9,2),B1507&lt;'112'!$K$9,$O1507='112'!$I$6)),"x",""))</f>
        <v/>
      </c>
      <c r="W1507" s="79" t="str">
        <f>IF(AND('341-CT'!$H$9=H1507,OR(LEFT(N1507,3)=$W$7,LEFT(O1507,3)=$W$7)),"x","")</f>
        <v/>
      </c>
      <c r="X1507" s="79" t="str">
        <f>IF(OR(TH!N1507=TH!$X$7,O1507=TH!$X$7),"x","")</f>
        <v/>
      </c>
      <c r="Y1507" s="79" t="str">
        <f>IF(AND(OR(N1507="131",O1507="131"),H1507='131-CT'!$H$9),"x","")</f>
        <v/>
      </c>
      <c r="Z1507" s="79"/>
      <c r="AA1507" s="79" t="str">
        <f>IF(AND(MONTH(E1507)='IN-NX'!$J$5,'IN-NX'!$D$7=D1507),"x","")</f>
        <v/>
      </c>
      <c r="AB1507" s="79" t="str">
        <f>IF(AND(OR(LEFT(TH!N1507,2)="15",LEFT(TH!O1507,2)="15"),LEFT(TH!O1507,3)&lt;&gt;"111",'152-CT'!$J$8=TH!F1507),"x","")</f>
        <v/>
      </c>
      <c r="AC1507" s="79" t="str">
        <f>IF(AND(OR(LEFT(TH!N1507,2)="15",LEFT(TH!O1507,2)="15"),TK!$E$7=TH!F1507),"x","")</f>
        <v/>
      </c>
      <c r="AD1507" s="79" t="str">
        <f>IF(AND(N1507="1521",MONTH(C1507)='BK-NL'!$M$11),"x","")</f>
        <v/>
      </c>
    </row>
    <row r="1508" spans="1:30" ht="16.5" customHeight="1">
      <c r="A1508" s="318" t="str">
        <f>IF(B1508&lt;&gt;"",IF(AND(B1508='IN-TC'!$S$4,OR(TH!N1508="1111",TH!O1508="1111")),TH!D1508,""),"")</f>
        <v/>
      </c>
      <c r="B1508" s="60" t="str">
        <f t="shared" si="207"/>
        <v/>
      </c>
      <c r="C1508" s="989"/>
      <c r="D1508" s="989"/>
      <c r="E1508" s="989"/>
      <c r="F1508" s="921"/>
      <c r="G1508" s="991"/>
      <c r="H1508" s="1105"/>
      <c r="I1508" s="994"/>
      <c r="J1508" s="993"/>
      <c r="K1508" s="994"/>
      <c r="L1508" s="992"/>
      <c r="M1508" s="995"/>
      <c r="N1508" s="996"/>
      <c r="O1508" s="996"/>
      <c r="P1508" s="79" t="str">
        <f>IF(AND('331-CT'!$E$7=TH!H1508,OR(N1508="331",O1508="331")),"x","")</f>
        <v/>
      </c>
      <c r="Q1508" s="79" t="str">
        <f>IF(AND(B1508='111'!$L$11,OR($N1508=$Q$7,$O1508=$Q$7)),"x","")</f>
        <v/>
      </c>
      <c r="R1508" s="79" t="str">
        <f>IF(AND($N1508=$Q$7,$B1508&lt;'111'!$L$11),"x","")</f>
        <v/>
      </c>
      <c r="S1508" s="79" t="str">
        <f>IF(AND($O1508=$Q$7,$B1508&lt;'111'!$L$11),"x","")</f>
        <v/>
      </c>
      <c r="T1508" s="79" t="str">
        <f>IF(ISERROR(FIND('112'!$M$9,G1508,1)),"",IF((AND(FIND('112'!$M$9,G1508,1)&gt;=1,B1508='112'!$K$9,OR($N1508='112'!$I$6,$O1508='112'!$I$6))),"x",""))</f>
        <v/>
      </c>
      <c r="U1508" s="79" t="str">
        <f>IF(ISERROR(FIND('112'!$M$9,G1508,1)),"",IF((AND(LEFT(G1508,2)=LEFT('112'!$M$9,2),B1508&lt;'112'!$K$9,$N1508='112'!$I$6)),"x",""))</f>
        <v/>
      </c>
      <c r="V1508" s="79" t="str">
        <f>IF(ISERROR(FIND('112'!$M$9,G1508,1)),"",IF((AND(RIGHT(G1508,2)=RIGHT('112'!$M$9,2),B1508&lt;'112'!$K$9,$O1508='112'!$I$6)),"x",""))</f>
        <v/>
      </c>
      <c r="W1508" s="79" t="str">
        <f>IF(AND('341-CT'!$H$9=H1508,OR(LEFT(N1508,3)=$W$7,LEFT(O1508,3)=$W$7)),"x","")</f>
        <v/>
      </c>
      <c r="X1508" s="79" t="str">
        <f>IF(OR(TH!N1508=TH!$X$7,O1508=TH!$X$7),"x","")</f>
        <v/>
      </c>
      <c r="Y1508" s="79" t="str">
        <f>IF(AND(OR(N1508="131",O1508="131"),H1508='131-CT'!$H$9),"x","")</f>
        <v/>
      </c>
      <c r="Z1508" s="79"/>
      <c r="AA1508" s="79" t="str">
        <f>IF(AND(MONTH(E1508)='IN-NX'!$J$5,'IN-NX'!$D$7=D1508),"x","")</f>
        <v/>
      </c>
      <c r="AB1508" s="79" t="str">
        <f>IF(AND(OR(LEFT(TH!N1508,2)="15",LEFT(TH!O1508,2)="15"),LEFT(TH!O1508,3)&lt;&gt;"111",'152-CT'!$J$8=TH!F1508),"x","")</f>
        <v/>
      </c>
      <c r="AC1508" s="79" t="str">
        <f>IF(AND(OR(LEFT(TH!N1508,2)="15",LEFT(TH!O1508,2)="15"),TK!$E$7=TH!F1508),"x","")</f>
        <v/>
      </c>
      <c r="AD1508" s="79" t="str">
        <f>IF(AND(N1508="1521",MONTH(C1508)='BK-NL'!$M$11),"x","")</f>
        <v/>
      </c>
    </row>
    <row r="1509" spans="1:30" ht="16.5" customHeight="1">
      <c r="A1509" s="318" t="str">
        <f>IF(B1509&lt;&gt;"",IF(AND(B1509='IN-TC'!$S$4,OR(TH!N1509="1111",TH!O1509="1111")),TH!D1509,""),"")</f>
        <v/>
      </c>
      <c r="B1509" s="60" t="str">
        <f t="shared" si="207"/>
        <v/>
      </c>
      <c r="C1509" s="989"/>
      <c r="D1509" s="989"/>
      <c r="E1509" s="989"/>
      <c r="F1509" s="921"/>
      <c r="G1509" s="991"/>
      <c r="H1509" s="1011"/>
      <c r="I1509" s="994"/>
      <c r="J1509" s="993"/>
      <c r="K1509" s="994"/>
      <c r="L1509" s="992"/>
      <c r="M1509" s="995"/>
      <c r="N1509" s="996"/>
      <c r="O1509" s="996"/>
      <c r="P1509" s="79" t="str">
        <f>IF(AND('331-CT'!$E$7=TH!H1509,OR(N1509="331",O1509="331")),"x","")</f>
        <v/>
      </c>
      <c r="Q1509" s="79" t="str">
        <f>IF(AND(B1509='111'!$L$11,OR($N1509=$Q$7,$O1509=$Q$7)),"x","")</f>
        <v/>
      </c>
      <c r="R1509" s="79" t="str">
        <f>IF(AND($N1509=$Q$7,$B1509&lt;'111'!$L$11),"x","")</f>
        <v/>
      </c>
      <c r="S1509" s="79" t="str">
        <f>IF(AND($O1509=$Q$7,$B1509&lt;'111'!$L$11),"x","")</f>
        <v/>
      </c>
      <c r="T1509" s="79" t="str">
        <f>IF(ISERROR(FIND('112'!$M$9,G1509,1)),"",IF((AND(FIND('112'!$M$9,G1509,1)&gt;=1,B1509='112'!$K$9,OR($N1509='112'!$I$6,$O1509='112'!$I$6))),"x",""))</f>
        <v/>
      </c>
      <c r="U1509" s="79" t="str">
        <f>IF(ISERROR(FIND('112'!$M$9,G1509,1)),"",IF((AND(LEFT(G1509,2)=LEFT('112'!$M$9,2),B1509&lt;'112'!$K$9,$N1509='112'!$I$6)),"x",""))</f>
        <v/>
      </c>
      <c r="V1509" s="79" t="str">
        <f>IF(ISERROR(FIND('112'!$M$9,G1509,1)),"",IF((AND(RIGHT(G1509,2)=RIGHT('112'!$M$9,2),B1509&lt;'112'!$K$9,$O1509='112'!$I$6)),"x",""))</f>
        <v/>
      </c>
      <c r="W1509" s="79" t="str">
        <f>IF(AND('341-CT'!$H$9=H1509,OR(LEFT(N1509,3)=$W$7,LEFT(O1509,3)=$W$7)),"x","")</f>
        <v/>
      </c>
      <c r="X1509" s="79" t="str">
        <f>IF(OR(TH!N1509=TH!$X$7,O1509=TH!$X$7),"x","")</f>
        <v/>
      </c>
      <c r="Y1509" s="79" t="str">
        <f>IF(AND(OR(N1509="131",O1509="131"),H1509='131-CT'!$H$9),"x","")</f>
        <v/>
      </c>
      <c r="Z1509" s="79"/>
      <c r="AA1509" s="79" t="str">
        <f>IF(AND(MONTH(E1509)='IN-NX'!$J$5,'IN-NX'!$D$7=D1509),"x","")</f>
        <v/>
      </c>
      <c r="AB1509" s="79" t="str">
        <f>IF(AND(OR(LEFT(TH!N1509,2)="15",LEFT(TH!O1509,2)="15"),LEFT(TH!O1509,3)&lt;&gt;"111",'152-CT'!$J$8=TH!F1509),"x","")</f>
        <v/>
      </c>
      <c r="AC1509" s="79" t="str">
        <f>IF(AND(OR(LEFT(TH!N1509,2)="15",LEFT(TH!O1509,2)="15"),TK!$E$7=TH!F1509),"x","")</f>
        <v/>
      </c>
      <c r="AD1509" s="79" t="str">
        <f>IF(AND(N1509="1521",MONTH(C1509)='BK-NL'!$M$11),"x","")</f>
        <v/>
      </c>
    </row>
    <row r="1510" spans="1:30" ht="16.5" customHeight="1">
      <c r="A1510" s="318" t="str">
        <f>IF(B1510&lt;&gt;"",IF(AND(B1510='IN-TC'!$S$4,OR(TH!N1510="1111",TH!O1510="1111")),TH!D1510,""),"")</f>
        <v/>
      </c>
      <c r="B1510" s="60" t="str">
        <f t="shared" si="207"/>
        <v/>
      </c>
      <c r="C1510" s="989"/>
      <c r="D1510" s="989"/>
      <c r="E1510" s="989"/>
      <c r="F1510" s="921"/>
      <c r="G1510" s="991"/>
      <c r="H1510" s="1105"/>
      <c r="I1510" s="994"/>
      <c r="J1510" s="993"/>
      <c r="K1510" s="994"/>
      <c r="L1510" s="992"/>
      <c r="M1510" s="995"/>
      <c r="N1510" s="996"/>
      <c r="O1510" s="996"/>
      <c r="P1510" s="79" t="str">
        <f>IF(AND('331-CT'!$E$7=TH!H1510,OR(N1510="331",O1510="331")),"x","")</f>
        <v/>
      </c>
      <c r="Q1510" s="79" t="str">
        <f>IF(AND(B1510='111'!$L$11,OR($N1510=$Q$7,$O1510=$Q$7)),"x","")</f>
        <v/>
      </c>
      <c r="R1510" s="79" t="str">
        <f>IF(AND($N1510=$Q$7,$B1510&lt;'111'!$L$11),"x","")</f>
        <v/>
      </c>
      <c r="S1510" s="79" t="str">
        <f>IF(AND($O1510=$Q$7,$B1510&lt;'111'!$L$11),"x","")</f>
        <v/>
      </c>
      <c r="T1510" s="79" t="str">
        <f>IF(ISERROR(FIND('112'!$M$9,G1510,1)),"",IF((AND(FIND('112'!$M$9,G1510,1)&gt;=1,B1510='112'!$K$9,OR($N1510='112'!$I$6,$O1510='112'!$I$6))),"x",""))</f>
        <v/>
      </c>
      <c r="U1510" s="79" t="str">
        <f>IF(ISERROR(FIND('112'!$M$9,G1510,1)),"",IF((AND(LEFT(G1510,2)=LEFT('112'!$M$9,2),B1510&lt;'112'!$K$9,$N1510='112'!$I$6)),"x",""))</f>
        <v/>
      </c>
      <c r="V1510" s="79" t="str">
        <f>IF(ISERROR(FIND('112'!$M$9,G1510,1)),"",IF((AND(RIGHT(G1510,2)=RIGHT('112'!$M$9,2),B1510&lt;'112'!$K$9,$O1510='112'!$I$6)),"x",""))</f>
        <v/>
      </c>
      <c r="W1510" s="79" t="str">
        <f>IF(AND('341-CT'!$H$9=H1510,OR(LEFT(N1510,3)=$W$7,LEFT(O1510,3)=$W$7)),"x","")</f>
        <v/>
      </c>
      <c r="X1510" s="79" t="str">
        <f>IF(OR(TH!N1510=TH!$X$7,O1510=TH!$X$7),"x","")</f>
        <v/>
      </c>
      <c r="Y1510" s="79" t="str">
        <f>IF(AND(OR(N1510="131",O1510="131"),H1510='131-CT'!$H$9),"x","")</f>
        <v/>
      </c>
      <c r="Z1510" s="79"/>
      <c r="AA1510" s="79" t="str">
        <f>IF(AND(MONTH(E1510)='IN-NX'!$J$5,'IN-NX'!$D$7=D1510),"x","")</f>
        <v/>
      </c>
      <c r="AB1510" s="79" t="str">
        <f>IF(AND(OR(LEFT(TH!N1510,2)="15",LEFT(TH!O1510,2)="15"),LEFT(TH!O1510,3)&lt;&gt;"111",'152-CT'!$J$8=TH!F1510),"x","")</f>
        <v/>
      </c>
      <c r="AC1510" s="79" t="str">
        <f>IF(AND(OR(LEFT(TH!N1510,2)="15",LEFT(TH!O1510,2)="15"),TK!$E$7=TH!F1510),"x","")</f>
        <v/>
      </c>
      <c r="AD1510" s="79" t="str">
        <f>IF(AND(N1510="1521",MONTH(C1510)='BK-NL'!$M$11),"x","")</f>
        <v/>
      </c>
    </row>
    <row r="1511" spans="1:30" ht="16.5" customHeight="1">
      <c r="A1511" s="318" t="str">
        <f>IF(B1511&lt;&gt;"",IF(AND(B1511='IN-TC'!$S$4,OR(TH!N1511="1111",TH!O1511="1111")),TH!D1511,""),"")</f>
        <v/>
      </c>
      <c r="B1511" s="60" t="str">
        <f t="shared" si="207"/>
        <v/>
      </c>
      <c r="C1511" s="989"/>
      <c r="D1511" s="989"/>
      <c r="E1511" s="989"/>
      <c r="F1511" s="921"/>
      <c r="G1511" s="991"/>
      <c r="H1511" s="1105"/>
      <c r="I1511" s="994"/>
      <c r="J1511" s="993"/>
      <c r="K1511" s="994"/>
      <c r="L1511" s="992"/>
      <c r="M1511" s="995"/>
      <c r="N1511" s="996"/>
      <c r="O1511" s="996"/>
      <c r="P1511" s="79" t="str">
        <f>IF(AND('331-CT'!$E$7=TH!H1511,OR(N1511="331",O1511="331")),"x","")</f>
        <v/>
      </c>
      <c r="Q1511" s="79" t="str">
        <f>IF(AND(B1511='111'!$L$11,OR($N1511=$Q$7,$O1511=$Q$7)),"x","")</f>
        <v/>
      </c>
      <c r="R1511" s="79" t="str">
        <f>IF(AND($N1511=$Q$7,$B1511&lt;'111'!$L$11),"x","")</f>
        <v/>
      </c>
      <c r="S1511" s="79" t="str">
        <f>IF(AND($O1511=$Q$7,$B1511&lt;'111'!$L$11),"x","")</f>
        <v/>
      </c>
      <c r="T1511" s="79" t="str">
        <f>IF(ISERROR(FIND('112'!$M$9,G1511,1)),"",IF((AND(FIND('112'!$M$9,G1511,1)&gt;=1,B1511='112'!$K$9,OR($N1511='112'!$I$6,$O1511='112'!$I$6))),"x",""))</f>
        <v/>
      </c>
      <c r="U1511" s="79" t="str">
        <f>IF(ISERROR(FIND('112'!$M$9,G1511,1)),"",IF((AND(LEFT(G1511,2)=LEFT('112'!$M$9,2),B1511&lt;'112'!$K$9,$N1511='112'!$I$6)),"x",""))</f>
        <v/>
      </c>
      <c r="V1511" s="79" t="str">
        <f>IF(ISERROR(FIND('112'!$M$9,G1511,1)),"",IF((AND(RIGHT(G1511,2)=RIGHT('112'!$M$9,2),B1511&lt;'112'!$K$9,$O1511='112'!$I$6)),"x",""))</f>
        <v/>
      </c>
      <c r="W1511" s="79" t="str">
        <f>IF(AND('341-CT'!$H$9=H1511,OR(LEFT(N1511,3)=$W$7,LEFT(O1511,3)=$W$7)),"x","")</f>
        <v/>
      </c>
      <c r="X1511" s="79" t="str">
        <f>IF(OR(TH!N1511=TH!$X$7,O1511=TH!$X$7),"x","")</f>
        <v/>
      </c>
      <c r="Y1511" s="79" t="str">
        <f>IF(AND(OR(N1511="131",O1511="131"),H1511='131-CT'!$H$9),"x","")</f>
        <v/>
      </c>
      <c r="Z1511" s="79"/>
      <c r="AA1511" s="79" t="str">
        <f>IF(AND(MONTH(E1511)='IN-NX'!$J$5,'IN-NX'!$D$7=D1511),"x","")</f>
        <v/>
      </c>
      <c r="AB1511" s="79" t="str">
        <f>IF(AND(OR(LEFT(TH!N1511,2)="15",LEFT(TH!O1511,2)="15"),LEFT(TH!O1511,3)&lt;&gt;"111",'152-CT'!$J$8=TH!F1511),"x","")</f>
        <v/>
      </c>
      <c r="AC1511" s="79" t="str">
        <f>IF(AND(OR(LEFT(TH!N1511,2)="15",LEFT(TH!O1511,2)="15"),TK!$E$7=TH!F1511),"x","")</f>
        <v/>
      </c>
      <c r="AD1511" s="79" t="str">
        <f>IF(AND(N1511="1521",MONTH(C1511)='BK-NL'!$M$11),"x","")</f>
        <v/>
      </c>
    </row>
    <row r="1512" spans="1:30" ht="16.5" customHeight="1">
      <c r="A1512" s="318" t="str">
        <f>IF(B1512&lt;&gt;"",IF(AND(B1512='IN-TC'!$S$4,OR(TH!N1512="1111",TH!O1512="1111")),TH!D1512,""),"")</f>
        <v/>
      </c>
      <c r="B1512" s="60" t="str">
        <f t="shared" si="207"/>
        <v/>
      </c>
      <c r="C1512" s="989"/>
      <c r="D1512" s="989"/>
      <c r="E1512" s="989"/>
      <c r="F1512" s="921"/>
      <c r="G1512" s="991"/>
      <c r="H1512" s="1105"/>
      <c r="I1512" s="994"/>
      <c r="J1512" s="993"/>
      <c r="K1512" s="994"/>
      <c r="L1512" s="992"/>
      <c r="M1512" s="995"/>
      <c r="N1512" s="996"/>
      <c r="O1512" s="996"/>
      <c r="P1512" s="79" t="str">
        <f>IF(AND('331-CT'!$E$7=TH!H1512,OR(N1512="331",O1512="331")),"x","")</f>
        <v/>
      </c>
      <c r="Q1512" s="79" t="str">
        <f>IF(AND(B1512='111'!$L$11,OR($N1512=$Q$7,$O1512=$Q$7)),"x","")</f>
        <v/>
      </c>
      <c r="R1512" s="79" t="str">
        <f>IF(AND($N1512=$Q$7,$B1512&lt;'111'!$L$11),"x","")</f>
        <v/>
      </c>
      <c r="S1512" s="79" t="str">
        <f>IF(AND($O1512=$Q$7,$B1512&lt;'111'!$L$11),"x","")</f>
        <v/>
      </c>
      <c r="T1512" s="79" t="str">
        <f>IF(ISERROR(FIND('112'!$M$9,G1512,1)),"",IF((AND(FIND('112'!$M$9,G1512,1)&gt;=1,B1512='112'!$K$9,OR($N1512='112'!$I$6,$O1512='112'!$I$6))),"x",""))</f>
        <v/>
      </c>
      <c r="U1512" s="79" t="str">
        <f>IF(ISERROR(FIND('112'!$M$9,G1512,1)),"",IF((AND(LEFT(G1512,2)=LEFT('112'!$M$9,2),B1512&lt;'112'!$K$9,$N1512='112'!$I$6)),"x",""))</f>
        <v/>
      </c>
      <c r="V1512" s="79" t="str">
        <f>IF(ISERROR(FIND('112'!$M$9,G1512,1)),"",IF((AND(RIGHT(G1512,2)=RIGHT('112'!$M$9,2),B1512&lt;'112'!$K$9,$O1512='112'!$I$6)),"x",""))</f>
        <v/>
      </c>
      <c r="W1512" s="79" t="str">
        <f>IF(AND('341-CT'!$H$9=H1512,OR(LEFT(N1512,3)=$W$7,LEFT(O1512,3)=$W$7)),"x","")</f>
        <v/>
      </c>
      <c r="X1512" s="79" t="str">
        <f>IF(OR(TH!N1512=TH!$X$7,O1512=TH!$X$7),"x","")</f>
        <v/>
      </c>
      <c r="Y1512" s="79" t="str">
        <f>IF(AND(OR(N1512="131",O1512="131"),H1512='131-CT'!$H$9),"x","")</f>
        <v/>
      </c>
      <c r="Z1512" s="79"/>
      <c r="AA1512" s="79" t="str">
        <f>IF(AND(MONTH(E1512)='IN-NX'!$J$5,'IN-NX'!$D$7=D1512),"x","")</f>
        <v/>
      </c>
      <c r="AB1512" s="79" t="str">
        <f>IF(AND(OR(LEFT(TH!N1512,2)="15",LEFT(TH!O1512,2)="15"),LEFT(TH!O1512,3)&lt;&gt;"111",'152-CT'!$J$8=TH!F1512),"x","")</f>
        <v/>
      </c>
      <c r="AC1512" s="79" t="str">
        <f>IF(AND(OR(LEFT(TH!N1512,2)="15",LEFT(TH!O1512,2)="15"),TK!$E$7=TH!F1512),"x","")</f>
        <v/>
      </c>
      <c r="AD1512" s="79" t="str">
        <f>IF(AND(N1512="1521",MONTH(C1512)='BK-NL'!$M$11),"x","")</f>
        <v/>
      </c>
    </row>
    <row r="1513" spans="1:30" ht="16.5" customHeight="1">
      <c r="A1513" s="318" t="str">
        <f>IF(B1513&lt;&gt;"",IF(AND(B1513='IN-TC'!$S$4,OR(TH!N1513="1111",TH!O1513="1111")),TH!D1513,""),"")</f>
        <v/>
      </c>
      <c r="B1513" s="60" t="str">
        <f t="shared" si="207"/>
        <v/>
      </c>
      <c r="C1513" s="989"/>
      <c r="D1513" s="989"/>
      <c r="E1513" s="989"/>
      <c r="F1513" s="921"/>
      <c r="G1513" s="991"/>
      <c r="H1513" s="1105"/>
      <c r="I1513" s="994"/>
      <c r="J1513" s="993"/>
      <c r="K1513" s="994"/>
      <c r="L1513" s="992"/>
      <c r="M1513" s="995"/>
      <c r="N1513" s="996"/>
      <c r="O1513" s="996"/>
      <c r="P1513" s="79" t="str">
        <f>IF(AND('331-CT'!$E$7=TH!H1513,OR(N1513="331",O1513="331")),"x","")</f>
        <v/>
      </c>
      <c r="Q1513" s="79" t="str">
        <f>IF(AND(B1513='111'!$L$11,OR($N1513=$Q$7,$O1513=$Q$7)),"x","")</f>
        <v/>
      </c>
      <c r="R1513" s="79" t="str">
        <f>IF(AND($N1513=$Q$7,$B1513&lt;'111'!$L$11),"x","")</f>
        <v/>
      </c>
      <c r="S1513" s="79" t="str">
        <f>IF(AND($O1513=$Q$7,$B1513&lt;'111'!$L$11),"x","")</f>
        <v/>
      </c>
      <c r="T1513" s="79" t="str">
        <f>IF(ISERROR(FIND('112'!$M$9,G1513,1)),"",IF((AND(FIND('112'!$M$9,G1513,1)&gt;=1,B1513='112'!$K$9,OR($N1513='112'!$I$6,$O1513='112'!$I$6))),"x",""))</f>
        <v/>
      </c>
      <c r="U1513" s="79" t="str">
        <f>IF(ISERROR(FIND('112'!$M$9,G1513,1)),"",IF((AND(LEFT(G1513,2)=LEFT('112'!$M$9,2),B1513&lt;'112'!$K$9,$N1513='112'!$I$6)),"x",""))</f>
        <v/>
      </c>
      <c r="V1513" s="79" t="str">
        <f>IF(ISERROR(FIND('112'!$M$9,G1513,1)),"",IF((AND(RIGHT(G1513,2)=RIGHT('112'!$M$9,2),B1513&lt;'112'!$K$9,$O1513='112'!$I$6)),"x",""))</f>
        <v/>
      </c>
      <c r="W1513" s="79" t="str">
        <f>IF(AND('341-CT'!$H$9=H1513,OR(LEFT(N1513,3)=$W$7,LEFT(O1513,3)=$W$7)),"x","")</f>
        <v/>
      </c>
      <c r="X1513" s="79" t="str">
        <f>IF(OR(TH!N1513=TH!$X$7,O1513=TH!$X$7),"x","")</f>
        <v/>
      </c>
      <c r="Y1513" s="79" t="str">
        <f>IF(AND(OR(N1513="131",O1513="131"),H1513='131-CT'!$H$9),"x","")</f>
        <v/>
      </c>
      <c r="Z1513" s="79"/>
      <c r="AA1513" s="79" t="str">
        <f>IF(AND(MONTH(E1513)='IN-NX'!$J$5,'IN-NX'!$D$7=D1513),"x","")</f>
        <v/>
      </c>
      <c r="AB1513" s="79" t="str">
        <f>IF(AND(OR(LEFT(TH!N1513,2)="15",LEFT(TH!O1513,2)="15"),LEFT(TH!O1513,3)&lt;&gt;"111",'152-CT'!$J$8=TH!F1513),"x","")</f>
        <v/>
      </c>
      <c r="AC1513" s="79" t="str">
        <f>IF(AND(OR(LEFT(TH!N1513,2)="15",LEFT(TH!O1513,2)="15"),TK!$E$7=TH!F1513),"x","")</f>
        <v/>
      </c>
      <c r="AD1513" s="79" t="str">
        <f>IF(AND(N1513="1521",MONTH(C1513)='BK-NL'!$M$11),"x","")</f>
        <v/>
      </c>
    </row>
    <row r="1514" spans="1:30" ht="16.5" customHeight="1">
      <c r="A1514" s="318" t="str">
        <f>IF(B1514&lt;&gt;"",IF(AND(B1514='IN-TC'!$S$4,OR(TH!N1514="1111",TH!O1514="1111")),TH!D1514,""),"")</f>
        <v/>
      </c>
      <c r="B1514" s="60" t="str">
        <f t="shared" si="207"/>
        <v/>
      </c>
      <c r="C1514" s="989"/>
      <c r="D1514" s="989"/>
      <c r="E1514" s="989"/>
      <c r="F1514" s="921"/>
      <c r="G1514" s="991"/>
      <c r="H1514" s="1105"/>
      <c r="I1514" s="994"/>
      <c r="J1514" s="993"/>
      <c r="K1514" s="994"/>
      <c r="L1514" s="992"/>
      <c r="M1514" s="995"/>
      <c r="N1514" s="996"/>
      <c r="O1514" s="996"/>
      <c r="P1514" s="79" t="str">
        <f>IF(AND('331-CT'!$E$7=TH!H1514,OR(N1514="331",O1514="331")),"x","")</f>
        <v/>
      </c>
      <c r="Q1514" s="79" t="str">
        <f>IF(AND(B1514='111'!$L$11,OR($N1514=$Q$7,$O1514=$Q$7)),"x","")</f>
        <v/>
      </c>
      <c r="R1514" s="79" t="str">
        <f>IF(AND($N1514=$Q$7,$B1514&lt;'111'!$L$11),"x","")</f>
        <v/>
      </c>
      <c r="S1514" s="79" t="str">
        <f>IF(AND($O1514=$Q$7,$B1514&lt;'111'!$L$11),"x","")</f>
        <v/>
      </c>
      <c r="T1514" s="79" t="str">
        <f>IF(ISERROR(FIND('112'!$M$9,G1514,1)),"",IF((AND(FIND('112'!$M$9,G1514,1)&gt;=1,B1514='112'!$K$9,OR($N1514='112'!$I$6,$O1514='112'!$I$6))),"x",""))</f>
        <v/>
      </c>
      <c r="U1514" s="79" t="str">
        <f>IF(ISERROR(FIND('112'!$M$9,G1514,1)),"",IF((AND(LEFT(G1514,2)=LEFT('112'!$M$9,2),B1514&lt;'112'!$K$9,$N1514='112'!$I$6)),"x",""))</f>
        <v/>
      </c>
      <c r="V1514" s="79" t="str">
        <f>IF(ISERROR(FIND('112'!$M$9,G1514,1)),"",IF((AND(RIGHT(G1514,2)=RIGHT('112'!$M$9,2),B1514&lt;'112'!$K$9,$O1514='112'!$I$6)),"x",""))</f>
        <v/>
      </c>
      <c r="W1514" s="79" t="str">
        <f>IF(AND('341-CT'!$H$9=H1514,OR(LEFT(N1514,3)=$W$7,LEFT(O1514,3)=$W$7)),"x","")</f>
        <v/>
      </c>
      <c r="X1514" s="79" t="str">
        <f>IF(OR(TH!N1514=TH!$X$7,O1514=TH!$X$7),"x","")</f>
        <v/>
      </c>
      <c r="Y1514" s="79" t="str">
        <f>IF(AND(OR(N1514="131",O1514="131"),H1514='131-CT'!$H$9),"x","")</f>
        <v/>
      </c>
      <c r="Z1514" s="79"/>
      <c r="AA1514" s="79" t="str">
        <f>IF(AND(MONTH(E1514)='IN-NX'!$J$5,'IN-NX'!$D$7=D1514),"x","")</f>
        <v/>
      </c>
      <c r="AB1514" s="79" t="str">
        <f>IF(AND(OR(LEFT(TH!N1514,2)="15",LEFT(TH!O1514,2)="15"),LEFT(TH!O1514,3)&lt;&gt;"111",'152-CT'!$J$8=TH!F1514),"x","")</f>
        <v/>
      </c>
      <c r="AC1514" s="79" t="str">
        <f>IF(AND(OR(LEFT(TH!N1514,2)="15",LEFT(TH!O1514,2)="15"),TK!$E$7=TH!F1514),"x","")</f>
        <v/>
      </c>
      <c r="AD1514" s="79" t="str">
        <f>IF(AND(N1514="1521",MONTH(C1514)='BK-NL'!$M$11),"x","")</f>
        <v/>
      </c>
    </row>
    <row r="1515" spans="1:30" ht="16.5" customHeight="1">
      <c r="A1515" s="318" t="str">
        <f>IF(B1515&lt;&gt;"",IF(AND(B1515='IN-TC'!$S$4,OR(TH!N1515="1111",TH!O1515="1111")),TH!D1515,""),"")</f>
        <v/>
      </c>
      <c r="B1515" s="60" t="str">
        <f t="shared" si="207"/>
        <v/>
      </c>
      <c r="C1515" s="989"/>
      <c r="D1515" s="989"/>
      <c r="E1515" s="989"/>
      <c r="F1515" s="921"/>
      <c r="G1515" s="991"/>
      <c r="H1515" s="1105"/>
      <c r="I1515" s="994"/>
      <c r="J1515" s="993"/>
      <c r="K1515" s="994"/>
      <c r="L1515" s="992"/>
      <c r="M1515" s="995"/>
      <c r="N1515" s="996"/>
      <c r="O1515" s="996"/>
      <c r="P1515" s="79" t="str">
        <f>IF(AND('331-CT'!$E$7=TH!H1515,OR(N1515="331",O1515="331")),"x","")</f>
        <v/>
      </c>
      <c r="Q1515" s="79" t="str">
        <f>IF(AND(B1515='111'!$L$11,OR($N1515=$Q$7,$O1515=$Q$7)),"x","")</f>
        <v/>
      </c>
      <c r="R1515" s="79" t="str">
        <f>IF(AND($N1515=$Q$7,$B1515&lt;'111'!$L$11),"x","")</f>
        <v/>
      </c>
      <c r="S1515" s="79" t="str">
        <f>IF(AND($O1515=$Q$7,$B1515&lt;'111'!$L$11),"x","")</f>
        <v/>
      </c>
      <c r="T1515" s="79" t="str">
        <f>IF(ISERROR(FIND('112'!$M$9,G1515,1)),"",IF((AND(FIND('112'!$M$9,G1515,1)&gt;=1,B1515='112'!$K$9,OR($N1515='112'!$I$6,$O1515='112'!$I$6))),"x",""))</f>
        <v/>
      </c>
      <c r="U1515" s="79" t="str">
        <f>IF(ISERROR(FIND('112'!$M$9,G1515,1)),"",IF((AND(LEFT(G1515,2)=LEFT('112'!$M$9,2),B1515&lt;'112'!$K$9,$N1515='112'!$I$6)),"x",""))</f>
        <v/>
      </c>
      <c r="V1515" s="79" t="str">
        <f>IF(ISERROR(FIND('112'!$M$9,G1515,1)),"",IF((AND(RIGHT(G1515,2)=RIGHT('112'!$M$9,2),B1515&lt;'112'!$K$9,$O1515='112'!$I$6)),"x",""))</f>
        <v/>
      </c>
      <c r="W1515" s="79" t="str">
        <f>IF(AND('341-CT'!$H$9=H1515,OR(LEFT(N1515,3)=$W$7,LEFT(O1515,3)=$W$7)),"x","")</f>
        <v/>
      </c>
      <c r="X1515" s="79" t="str">
        <f>IF(OR(TH!N1515=TH!$X$7,O1515=TH!$X$7),"x","")</f>
        <v/>
      </c>
      <c r="Y1515" s="79" t="str">
        <f>IF(AND(OR(N1515="131",O1515="131"),H1515='131-CT'!$H$9),"x","")</f>
        <v/>
      </c>
      <c r="Z1515" s="79"/>
      <c r="AA1515" s="79" t="str">
        <f>IF(AND(MONTH(E1515)='IN-NX'!$J$5,'IN-NX'!$D$7=D1515),"x","")</f>
        <v/>
      </c>
      <c r="AB1515" s="79" t="str">
        <f>IF(AND(OR(LEFT(TH!N1515,2)="15",LEFT(TH!O1515,2)="15"),LEFT(TH!O1515,3)&lt;&gt;"111",'152-CT'!$J$8=TH!F1515),"x","")</f>
        <v/>
      </c>
      <c r="AC1515" s="79" t="str">
        <f>IF(AND(OR(LEFT(TH!N1515,2)="15",LEFT(TH!O1515,2)="15"),TK!$E$7=TH!F1515),"x","")</f>
        <v/>
      </c>
      <c r="AD1515" s="79" t="str">
        <f>IF(AND(N1515="1521",MONTH(C1515)='BK-NL'!$M$11),"x","")</f>
        <v/>
      </c>
    </row>
    <row r="1516" spans="1:30" ht="16.5" customHeight="1">
      <c r="A1516" s="318" t="str">
        <f>IF(B1516&lt;&gt;"",IF(AND(B1516='IN-TC'!$S$4,OR(TH!N1516="1111",TH!O1516="1111")),TH!D1516,""),"")</f>
        <v/>
      </c>
      <c r="B1516" s="60" t="str">
        <f t="shared" si="207"/>
        <v/>
      </c>
      <c r="C1516" s="989"/>
      <c r="D1516" s="989"/>
      <c r="E1516" s="989"/>
      <c r="F1516" s="921"/>
      <c r="G1516" s="991"/>
      <c r="H1516" s="1105"/>
      <c r="I1516" s="994"/>
      <c r="J1516" s="993"/>
      <c r="K1516" s="994"/>
      <c r="L1516" s="992"/>
      <c r="M1516" s="995"/>
      <c r="N1516" s="996"/>
      <c r="O1516" s="996"/>
      <c r="P1516" s="79" t="str">
        <f>IF(AND('331-CT'!$E$7=TH!H1516,OR(N1516="331",O1516="331")),"x","")</f>
        <v/>
      </c>
      <c r="Q1516" s="79" t="str">
        <f>IF(AND(B1516='111'!$L$11,OR($N1516=$Q$7,$O1516=$Q$7)),"x","")</f>
        <v/>
      </c>
      <c r="R1516" s="79" t="str">
        <f>IF(AND($N1516=$Q$7,$B1516&lt;'111'!$L$11),"x","")</f>
        <v/>
      </c>
      <c r="S1516" s="79" t="str">
        <f>IF(AND($O1516=$Q$7,$B1516&lt;'111'!$L$11),"x","")</f>
        <v/>
      </c>
      <c r="T1516" s="79" t="str">
        <f>IF(ISERROR(FIND('112'!$M$9,G1516,1)),"",IF((AND(FIND('112'!$M$9,G1516,1)&gt;=1,B1516='112'!$K$9,OR($N1516='112'!$I$6,$O1516='112'!$I$6))),"x",""))</f>
        <v/>
      </c>
      <c r="U1516" s="79" t="str">
        <f>IF(ISERROR(FIND('112'!$M$9,G1516,1)),"",IF((AND(LEFT(G1516,2)=LEFT('112'!$M$9,2),B1516&lt;'112'!$K$9,$N1516='112'!$I$6)),"x",""))</f>
        <v/>
      </c>
      <c r="V1516" s="79" t="str">
        <f>IF(ISERROR(FIND('112'!$M$9,G1516,1)),"",IF((AND(RIGHT(G1516,2)=RIGHT('112'!$M$9,2),B1516&lt;'112'!$K$9,$O1516='112'!$I$6)),"x",""))</f>
        <v/>
      </c>
      <c r="W1516" s="79" t="str">
        <f>IF(AND('341-CT'!$H$9=H1516,OR(LEFT(N1516,3)=$W$7,LEFT(O1516,3)=$W$7)),"x","")</f>
        <v/>
      </c>
      <c r="X1516" s="79" t="str">
        <f>IF(OR(TH!N1516=TH!$X$7,O1516=TH!$X$7),"x","")</f>
        <v/>
      </c>
      <c r="Y1516" s="79" t="str">
        <f>IF(AND(OR(N1516="131",O1516="131"),H1516='131-CT'!$H$9),"x","")</f>
        <v/>
      </c>
      <c r="Z1516" s="79"/>
      <c r="AA1516" s="79" t="str">
        <f>IF(AND(MONTH(E1516)='IN-NX'!$J$5,'IN-NX'!$D$7=D1516),"x","")</f>
        <v/>
      </c>
      <c r="AB1516" s="79" t="str">
        <f>IF(AND(OR(LEFT(TH!N1516,2)="15",LEFT(TH!O1516,2)="15"),LEFT(TH!O1516,3)&lt;&gt;"111",'152-CT'!$J$8=TH!F1516),"x","")</f>
        <v/>
      </c>
      <c r="AC1516" s="79" t="str">
        <f>IF(AND(OR(LEFT(TH!N1516,2)="15",LEFT(TH!O1516,2)="15"),TK!$E$7=TH!F1516),"x","")</f>
        <v/>
      </c>
      <c r="AD1516" s="79" t="str">
        <f>IF(AND(N1516="1521",MONTH(C1516)='BK-NL'!$M$11),"x","")</f>
        <v/>
      </c>
    </row>
    <row r="1517" spans="1:30" ht="16.5" customHeight="1">
      <c r="A1517" s="318" t="str">
        <f>IF(B1517&lt;&gt;"",IF(AND(B1517='IN-TC'!$S$4,OR(TH!N1517="1111",TH!O1517="1111")),TH!D1517,""),"")</f>
        <v/>
      </c>
      <c r="B1517" s="60" t="str">
        <f t="shared" si="207"/>
        <v/>
      </c>
      <c r="C1517" s="989"/>
      <c r="D1517" s="989"/>
      <c r="E1517" s="989"/>
      <c r="F1517" s="921"/>
      <c r="G1517" s="991"/>
      <c r="H1517" s="1105"/>
      <c r="I1517" s="994"/>
      <c r="J1517" s="993"/>
      <c r="K1517" s="994"/>
      <c r="L1517" s="992"/>
      <c r="M1517" s="995"/>
      <c r="N1517" s="996"/>
      <c r="O1517" s="996"/>
      <c r="P1517" s="79" t="str">
        <f>IF(AND('331-CT'!$E$7=TH!H1517,OR(N1517="331",O1517="331")),"x","")</f>
        <v/>
      </c>
      <c r="Q1517" s="79" t="str">
        <f>IF(AND(B1517='111'!$L$11,OR($N1517=$Q$7,$O1517=$Q$7)),"x","")</f>
        <v/>
      </c>
      <c r="R1517" s="79" t="str">
        <f>IF(AND($N1517=$Q$7,$B1517&lt;'111'!$L$11),"x","")</f>
        <v/>
      </c>
      <c r="S1517" s="79" t="str">
        <f>IF(AND($O1517=$Q$7,$B1517&lt;'111'!$L$11),"x","")</f>
        <v/>
      </c>
      <c r="T1517" s="79" t="str">
        <f>IF(ISERROR(FIND('112'!$M$9,G1517,1)),"",IF((AND(FIND('112'!$M$9,G1517,1)&gt;=1,B1517='112'!$K$9,OR($N1517='112'!$I$6,$O1517='112'!$I$6))),"x",""))</f>
        <v/>
      </c>
      <c r="U1517" s="79" t="str">
        <f>IF(ISERROR(FIND('112'!$M$9,G1517,1)),"",IF((AND(LEFT(G1517,2)=LEFT('112'!$M$9,2),B1517&lt;'112'!$K$9,$N1517='112'!$I$6)),"x",""))</f>
        <v/>
      </c>
      <c r="V1517" s="79" t="str">
        <f>IF(ISERROR(FIND('112'!$M$9,G1517,1)),"",IF((AND(RIGHT(G1517,2)=RIGHT('112'!$M$9,2),B1517&lt;'112'!$K$9,$O1517='112'!$I$6)),"x",""))</f>
        <v/>
      </c>
      <c r="W1517" s="79" t="str">
        <f>IF(AND('341-CT'!$H$9=H1517,OR(LEFT(N1517,3)=$W$7,LEFT(O1517,3)=$W$7)),"x","")</f>
        <v/>
      </c>
      <c r="X1517" s="79" t="str">
        <f>IF(OR(TH!N1517=TH!$X$7,O1517=TH!$X$7),"x","")</f>
        <v/>
      </c>
      <c r="Y1517" s="79" t="str">
        <f>IF(AND(OR(N1517="131",O1517="131"),H1517='131-CT'!$H$9),"x","")</f>
        <v/>
      </c>
      <c r="Z1517" s="79"/>
      <c r="AA1517" s="79" t="str">
        <f>IF(AND(MONTH(E1517)='IN-NX'!$J$5,'IN-NX'!$D$7=D1517),"x","")</f>
        <v/>
      </c>
      <c r="AB1517" s="79" t="str">
        <f>IF(AND(OR(LEFT(TH!N1517,2)="15",LEFT(TH!O1517,2)="15"),LEFT(TH!O1517,3)&lt;&gt;"111",'152-CT'!$J$8=TH!F1517),"x","")</f>
        <v/>
      </c>
      <c r="AC1517" s="79" t="str">
        <f>IF(AND(OR(LEFT(TH!N1517,2)="15",LEFT(TH!O1517,2)="15"),TK!$E$7=TH!F1517),"x","")</f>
        <v/>
      </c>
      <c r="AD1517" s="79" t="str">
        <f>IF(AND(N1517="1521",MONTH(C1517)='BK-NL'!$M$11),"x","")</f>
        <v/>
      </c>
    </row>
    <row r="1518" spans="1:30" ht="16.5" customHeight="1">
      <c r="A1518" s="318" t="str">
        <f>IF(B1518&lt;&gt;"",IF(AND(B1518='IN-TC'!$S$4,OR(TH!N1518="1111",TH!O1518="1111")),TH!D1518,""),"")</f>
        <v/>
      </c>
      <c r="B1518" s="60" t="str">
        <f t="shared" si="207"/>
        <v/>
      </c>
      <c r="C1518" s="989"/>
      <c r="D1518" s="989"/>
      <c r="E1518" s="989"/>
      <c r="F1518" s="921"/>
      <c r="G1518" s="991"/>
      <c r="H1518" s="1105"/>
      <c r="I1518" s="994"/>
      <c r="J1518" s="993"/>
      <c r="K1518" s="994"/>
      <c r="L1518" s="992"/>
      <c r="M1518" s="995"/>
      <c r="N1518" s="996"/>
      <c r="O1518" s="996"/>
      <c r="P1518" s="79" t="str">
        <f>IF(AND('331-CT'!$E$7=TH!H1518,OR(N1518="331",O1518="331")),"x","")</f>
        <v/>
      </c>
      <c r="Q1518" s="79" t="str">
        <f>IF(AND(B1518='111'!$L$11,OR($N1518=$Q$7,$O1518=$Q$7)),"x","")</f>
        <v/>
      </c>
      <c r="R1518" s="79" t="str">
        <f>IF(AND($N1518=$Q$7,$B1518&lt;'111'!$L$11),"x","")</f>
        <v/>
      </c>
      <c r="S1518" s="79" t="str">
        <f>IF(AND($O1518=$Q$7,$B1518&lt;'111'!$L$11),"x","")</f>
        <v/>
      </c>
      <c r="T1518" s="79" t="str">
        <f>IF(ISERROR(FIND('112'!$M$9,G1518,1)),"",IF((AND(FIND('112'!$M$9,G1518,1)&gt;=1,B1518='112'!$K$9,OR($N1518='112'!$I$6,$O1518='112'!$I$6))),"x",""))</f>
        <v/>
      </c>
      <c r="U1518" s="79" t="str">
        <f>IF(ISERROR(FIND('112'!$M$9,G1518,1)),"",IF((AND(LEFT(G1518,2)=LEFT('112'!$M$9,2),B1518&lt;'112'!$K$9,$N1518='112'!$I$6)),"x",""))</f>
        <v/>
      </c>
      <c r="V1518" s="79" t="str">
        <f>IF(ISERROR(FIND('112'!$M$9,G1518,1)),"",IF((AND(RIGHT(G1518,2)=RIGHT('112'!$M$9,2),B1518&lt;'112'!$K$9,$O1518='112'!$I$6)),"x",""))</f>
        <v/>
      </c>
      <c r="W1518" s="79" t="str">
        <f>IF(AND('341-CT'!$H$9=H1518,OR(LEFT(N1518,3)=$W$7,LEFT(O1518,3)=$W$7)),"x","")</f>
        <v/>
      </c>
      <c r="X1518" s="79" t="str">
        <f>IF(OR(TH!N1518=TH!$X$7,O1518=TH!$X$7),"x","")</f>
        <v/>
      </c>
      <c r="Y1518" s="79" t="str">
        <f>IF(AND(OR(N1518="131",O1518="131"),H1518='131-CT'!$H$9),"x","")</f>
        <v/>
      </c>
      <c r="Z1518" s="79"/>
      <c r="AA1518" s="79" t="str">
        <f>IF(AND(MONTH(E1518)='IN-NX'!$J$5,'IN-NX'!$D$7=D1518),"x","")</f>
        <v/>
      </c>
      <c r="AB1518" s="79" t="str">
        <f>IF(AND(OR(LEFT(TH!N1518,2)="15",LEFT(TH!O1518,2)="15"),LEFT(TH!O1518,3)&lt;&gt;"111",'152-CT'!$J$8=TH!F1518),"x","")</f>
        <v/>
      </c>
      <c r="AC1518" s="79" t="str">
        <f>IF(AND(OR(LEFT(TH!N1518,2)="15",LEFT(TH!O1518,2)="15"),TK!$E$7=TH!F1518),"x","")</f>
        <v/>
      </c>
      <c r="AD1518" s="79" t="str">
        <f>IF(AND(N1518="1521",MONTH(C1518)='BK-NL'!$M$11),"x","")</f>
        <v/>
      </c>
    </row>
    <row r="1519" spans="1:30" ht="16.5" customHeight="1">
      <c r="A1519" s="318" t="str">
        <f>IF(B1519&lt;&gt;"",IF(AND(B1519='IN-TC'!$S$4,OR(TH!N1519="1111",TH!O1519="1111")),TH!D1519,""),"")</f>
        <v/>
      </c>
      <c r="B1519" s="60" t="str">
        <f t="shared" si="207"/>
        <v/>
      </c>
      <c r="C1519" s="989"/>
      <c r="D1519" s="989"/>
      <c r="E1519" s="989"/>
      <c r="F1519" s="921"/>
      <c r="G1519" s="991"/>
      <c r="H1519" s="1105"/>
      <c r="I1519" s="994"/>
      <c r="J1519" s="993"/>
      <c r="K1519" s="994"/>
      <c r="L1519" s="992"/>
      <c r="M1519" s="995"/>
      <c r="N1519" s="996"/>
      <c r="O1519" s="996"/>
      <c r="P1519" s="79" t="str">
        <f>IF(AND('331-CT'!$E$7=TH!H1519,OR(N1519="331",O1519="331")),"x","")</f>
        <v/>
      </c>
      <c r="Q1519" s="79" t="str">
        <f>IF(AND(B1519='111'!$L$11,OR($N1519=$Q$7,$O1519=$Q$7)),"x","")</f>
        <v/>
      </c>
      <c r="R1519" s="79" t="str">
        <f>IF(AND($N1519=$Q$7,$B1519&lt;'111'!$L$11),"x","")</f>
        <v/>
      </c>
      <c r="S1519" s="79" t="str">
        <f>IF(AND($O1519=$Q$7,$B1519&lt;'111'!$L$11),"x","")</f>
        <v/>
      </c>
      <c r="T1519" s="79" t="str">
        <f>IF(ISERROR(FIND('112'!$M$9,G1519,1)),"",IF((AND(FIND('112'!$M$9,G1519,1)&gt;=1,B1519='112'!$K$9,OR($N1519='112'!$I$6,$O1519='112'!$I$6))),"x",""))</f>
        <v/>
      </c>
      <c r="U1519" s="79" t="str">
        <f>IF(ISERROR(FIND('112'!$M$9,G1519,1)),"",IF((AND(LEFT(G1519,2)=LEFT('112'!$M$9,2),B1519&lt;'112'!$K$9,$N1519='112'!$I$6)),"x",""))</f>
        <v/>
      </c>
      <c r="V1519" s="79" t="str">
        <f>IF(ISERROR(FIND('112'!$M$9,G1519,1)),"",IF((AND(RIGHT(G1519,2)=RIGHT('112'!$M$9,2),B1519&lt;'112'!$K$9,$O1519='112'!$I$6)),"x",""))</f>
        <v/>
      </c>
      <c r="W1519" s="79" t="str">
        <f>IF(AND('341-CT'!$H$9=H1519,OR(LEFT(N1519,3)=$W$7,LEFT(O1519,3)=$W$7)),"x","")</f>
        <v/>
      </c>
      <c r="X1519" s="79" t="str">
        <f>IF(OR(TH!N1519=TH!$X$7,O1519=TH!$X$7),"x","")</f>
        <v/>
      </c>
      <c r="Y1519" s="79" t="str">
        <f>IF(AND(OR(N1519="131",O1519="131"),H1519='131-CT'!$H$9),"x","")</f>
        <v/>
      </c>
      <c r="Z1519" s="79"/>
      <c r="AA1519" s="79" t="str">
        <f>IF(AND(MONTH(E1519)='IN-NX'!$J$5,'IN-NX'!$D$7=D1519),"x","")</f>
        <v/>
      </c>
      <c r="AB1519" s="79" t="str">
        <f>IF(AND(OR(LEFT(TH!N1519,2)="15",LEFT(TH!O1519,2)="15"),LEFT(TH!O1519,3)&lt;&gt;"111",'152-CT'!$J$8=TH!F1519),"x","")</f>
        <v/>
      </c>
      <c r="AC1519" s="79" t="str">
        <f>IF(AND(OR(LEFT(TH!N1519,2)="15",LEFT(TH!O1519,2)="15"),TK!$E$7=TH!F1519),"x","")</f>
        <v/>
      </c>
      <c r="AD1519" s="79" t="str">
        <f>IF(AND(N1519="1521",MONTH(C1519)='BK-NL'!$M$11),"x","")</f>
        <v/>
      </c>
    </row>
    <row r="1520" spans="1:30" ht="16.5" customHeight="1">
      <c r="A1520" s="318" t="str">
        <f>IF(B1520&lt;&gt;"",IF(AND(B1520='IN-TC'!$S$4,OR(TH!N1520="1111",TH!O1520="1111")),TH!D1520,""),"")</f>
        <v/>
      </c>
      <c r="B1520" s="60" t="str">
        <f t="shared" si="207"/>
        <v/>
      </c>
      <c r="C1520" s="989"/>
      <c r="D1520" s="989"/>
      <c r="E1520" s="989"/>
      <c r="F1520" s="921"/>
      <c r="G1520" s="991"/>
      <c r="H1520" s="1105"/>
      <c r="I1520" s="994"/>
      <c r="J1520" s="993"/>
      <c r="K1520" s="994"/>
      <c r="L1520" s="992"/>
      <c r="M1520" s="995"/>
      <c r="N1520" s="996"/>
      <c r="O1520" s="996"/>
      <c r="P1520" s="79" t="str">
        <f>IF(AND('331-CT'!$E$7=TH!H1520,OR(N1520="331",O1520="331")),"x","")</f>
        <v/>
      </c>
      <c r="Q1520" s="79" t="str">
        <f>IF(AND(B1520='111'!$L$11,OR($N1520=$Q$7,$O1520=$Q$7)),"x","")</f>
        <v/>
      </c>
      <c r="R1520" s="79" t="str">
        <f>IF(AND($N1520=$Q$7,$B1520&lt;'111'!$L$11),"x","")</f>
        <v/>
      </c>
      <c r="S1520" s="79" t="str">
        <f>IF(AND($O1520=$Q$7,$B1520&lt;'111'!$L$11),"x","")</f>
        <v/>
      </c>
      <c r="T1520" s="79" t="str">
        <f>IF(ISERROR(FIND('112'!$M$9,G1520,1)),"",IF((AND(FIND('112'!$M$9,G1520,1)&gt;=1,B1520='112'!$K$9,OR($N1520='112'!$I$6,$O1520='112'!$I$6))),"x",""))</f>
        <v/>
      </c>
      <c r="U1520" s="79" t="str">
        <f>IF(ISERROR(FIND('112'!$M$9,G1520,1)),"",IF((AND(LEFT(G1520,2)=LEFT('112'!$M$9,2),B1520&lt;'112'!$K$9,$N1520='112'!$I$6)),"x",""))</f>
        <v/>
      </c>
      <c r="V1520" s="79" t="str">
        <f>IF(ISERROR(FIND('112'!$M$9,G1520,1)),"",IF((AND(RIGHT(G1520,2)=RIGHT('112'!$M$9,2),B1520&lt;'112'!$K$9,$O1520='112'!$I$6)),"x",""))</f>
        <v/>
      </c>
      <c r="W1520" s="79" t="str">
        <f>IF(AND('341-CT'!$H$9=H1520,OR(LEFT(N1520,3)=$W$7,LEFT(O1520,3)=$W$7)),"x","")</f>
        <v/>
      </c>
      <c r="X1520" s="79" t="str">
        <f>IF(OR(TH!N1520=TH!$X$7,O1520=TH!$X$7),"x","")</f>
        <v/>
      </c>
      <c r="Y1520" s="79" t="str">
        <f>IF(AND(OR(N1520="131",O1520="131"),H1520='131-CT'!$H$9),"x","")</f>
        <v/>
      </c>
      <c r="Z1520" s="79"/>
      <c r="AA1520" s="79" t="str">
        <f>IF(AND(MONTH(E1520)='IN-NX'!$J$5,'IN-NX'!$D$7=D1520),"x","")</f>
        <v/>
      </c>
      <c r="AB1520" s="79" t="str">
        <f>IF(AND(OR(LEFT(TH!N1520,2)="15",LEFT(TH!O1520,2)="15"),LEFT(TH!O1520,3)&lt;&gt;"111",'152-CT'!$J$8=TH!F1520),"x","")</f>
        <v/>
      </c>
      <c r="AC1520" s="79" t="str">
        <f>IF(AND(OR(LEFT(TH!N1520,2)="15",LEFT(TH!O1520,2)="15"),TK!$E$7=TH!F1520),"x","")</f>
        <v/>
      </c>
      <c r="AD1520" s="79" t="str">
        <f>IF(AND(N1520="1521",MONTH(C1520)='BK-NL'!$M$11),"x","")</f>
        <v/>
      </c>
    </row>
    <row r="1521" spans="1:30" ht="16.5" customHeight="1">
      <c r="A1521" s="318" t="str">
        <f>IF(B1521&lt;&gt;"",IF(AND(B1521='IN-TC'!$S$4,OR(TH!N1521="1111",TH!O1521="1111")),TH!D1521,""),"")</f>
        <v/>
      </c>
      <c r="B1521" s="60" t="str">
        <f t="shared" si="207"/>
        <v/>
      </c>
      <c r="C1521" s="989"/>
      <c r="D1521" s="989"/>
      <c r="E1521" s="989"/>
      <c r="F1521" s="921"/>
      <c r="G1521" s="991"/>
      <c r="H1521" s="1105"/>
      <c r="I1521" s="994"/>
      <c r="J1521" s="993"/>
      <c r="K1521" s="994"/>
      <c r="L1521" s="992"/>
      <c r="M1521" s="995"/>
      <c r="N1521" s="996"/>
      <c r="O1521" s="996"/>
      <c r="P1521" s="79" t="str">
        <f>IF(AND('331-CT'!$E$7=TH!H1521,OR(N1521="331",O1521="331")),"x","")</f>
        <v/>
      </c>
      <c r="Q1521" s="79" t="str">
        <f>IF(AND(B1521='111'!$L$11,OR($N1521=$Q$7,$O1521=$Q$7)),"x","")</f>
        <v/>
      </c>
      <c r="R1521" s="79" t="str">
        <f>IF(AND($N1521=$Q$7,$B1521&lt;'111'!$L$11),"x","")</f>
        <v/>
      </c>
      <c r="S1521" s="79" t="str">
        <f>IF(AND($O1521=$Q$7,$B1521&lt;'111'!$L$11),"x","")</f>
        <v/>
      </c>
      <c r="T1521" s="79" t="str">
        <f>IF(ISERROR(FIND('112'!$M$9,G1521,1)),"",IF((AND(FIND('112'!$M$9,G1521,1)&gt;=1,B1521='112'!$K$9,OR($N1521='112'!$I$6,$O1521='112'!$I$6))),"x",""))</f>
        <v/>
      </c>
      <c r="U1521" s="79" t="str">
        <f>IF(ISERROR(FIND('112'!$M$9,G1521,1)),"",IF((AND(LEFT(G1521,2)=LEFT('112'!$M$9,2),B1521&lt;'112'!$K$9,$N1521='112'!$I$6)),"x",""))</f>
        <v/>
      </c>
      <c r="V1521" s="79" t="str">
        <f>IF(ISERROR(FIND('112'!$M$9,G1521,1)),"",IF((AND(RIGHT(G1521,2)=RIGHT('112'!$M$9,2),B1521&lt;'112'!$K$9,$O1521='112'!$I$6)),"x",""))</f>
        <v/>
      </c>
      <c r="W1521" s="79" t="str">
        <f>IF(AND('341-CT'!$H$9=H1521,OR(LEFT(N1521,3)=$W$7,LEFT(O1521,3)=$W$7)),"x","")</f>
        <v/>
      </c>
      <c r="X1521" s="79" t="str">
        <f>IF(OR(TH!N1521=TH!$X$7,O1521=TH!$X$7),"x","")</f>
        <v/>
      </c>
      <c r="Y1521" s="79" t="str">
        <f>IF(AND(OR(N1521="131",O1521="131"),H1521='131-CT'!$H$9),"x","")</f>
        <v/>
      </c>
      <c r="Z1521" s="79"/>
      <c r="AA1521" s="79" t="str">
        <f>IF(AND(MONTH(E1521)='IN-NX'!$J$5,'IN-NX'!$D$7=D1521),"x","")</f>
        <v/>
      </c>
      <c r="AB1521" s="79" t="str">
        <f>IF(AND(OR(LEFT(TH!N1521,2)="15",LEFT(TH!O1521,2)="15"),LEFT(TH!O1521,3)&lt;&gt;"111",'152-CT'!$J$8=TH!F1521),"x","")</f>
        <v/>
      </c>
      <c r="AC1521" s="79" t="str">
        <f>IF(AND(OR(LEFT(TH!N1521,2)="15",LEFT(TH!O1521,2)="15"),TK!$E$7=TH!F1521),"x","")</f>
        <v/>
      </c>
      <c r="AD1521" s="79" t="str">
        <f>IF(AND(N1521="1521",MONTH(C1521)='BK-NL'!$M$11),"x","")</f>
        <v/>
      </c>
    </row>
    <row r="1522" spans="1:30" ht="16.5" customHeight="1">
      <c r="A1522" s="318" t="str">
        <f>IF(B1522&lt;&gt;"",IF(AND(B1522='IN-TC'!$S$4,OR(TH!N1522="1111",TH!O1522="1111")),TH!D1522,""),"")</f>
        <v/>
      </c>
      <c r="B1522" s="60" t="str">
        <f t="shared" si="207"/>
        <v/>
      </c>
      <c r="C1522" s="989"/>
      <c r="D1522" s="989"/>
      <c r="E1522" s="989"/>
      <c r="F1522" s="921"/>
      <c r="G1522" s="991"/>
      <c r="H1522" s="1105"/>
      <c r="I1522" s="994"/>
      <c r="J1522" s="993"/>
      <c r="K1522" s="994"/>
      <c r="L1522" s="992"/>
      <c r="M1522" s="995"/>
      <c r="N1522" s="996"/>
      <c r="O1522" s="996"/>
      <c r="P1522" s="79" t="str">
        <f>IF(AND('331-CT'!$E$7=TH!H1522,OR(N1522="331",O1522="331")),"x","")</f>
        <v/>
      </c>
      <c r="Q1522" s="79" t="str">
        <f>IF(AND(B1522='111'!$L$11,OR($N1522=$Q$7,$O1522=$Q$7)),"x","")</f>
        <v/>
      </c>
      <c r="R1522" s="79" t="str">
        <f>IF(AND($N1522=$Q$7,$B1522&lt;'111'!$L$11),"x","")</f>
        <v/>
      </c>
      <c r="S1522" s="79" t="str">
        <f>IF(AND($O1522=$Q$7,$B1522&lt;'111'!$L$11),"x","")</f>
        <v/>
      </c>
      <c r="T1522" s="79" t="str">
        <f>IF(ISERROR(FIND('112'!$M$9,G1522,1)),"",IF((AND(FIND('112'!$M$9,G1522,1)&gt;=1,B1522='112'!$K$9,OR($N1522='112'!$I$6,$O1522='112'!$I$6))),"x",""))</f>
        <v/>
      </c>
      <c r="U1522" s="79" t="str">
        <f>IF(ISERROR(FIND('112'!$M$9,G1522,1)),"",IF((AND(LEFT(G1522,2)=LEFT('112'!$M$9,2),B1522&lt;'112'!$K$9,$N1522='112'!$I$6)),"x",""))</f>
        <v/>
      </c>
      <c r="V1522" s="79" t="str">
        <f>IF(ISERROR(FIND('112'!$M$9,G1522,1)),"",IF((AND(RIGHT(G1522,2)=RIGHT('112'!$M$9,2),B1522&lt;'112'!$K$9,$O1522='112'!$I$6)),"x",""))</f>
        <v/>
      </c>
      <c r="W1522" s="79" t="str">
        <f>IF(AND('341-CT'!$H$9=H1522,OR(LEFT(N1522,3)=$W$7,LEFT(O1522,3)=$W$7)),"x","")</f>
        <v/>
      </c>
      <c r="X1522" s="79" t="str">
        <f>IF(OR(TH!N1522=TH!$X$7,O1522=TH!$X$7),"x","")</f>
        <v/>
      </c>
      <c r="Y1522" s="79" t="str">
        <f>IF(AND(OR(N1522="131",O1522="131"),H1522='131-CT'!$H$9),"x","")</f>
        <v/>
      </c>
      <c r="Z1522" s="79"/>
      <c r="AA1522" s="79" t="str">
        <f>IF(AND(MONTH(E1522)='IN-NX'!$J$5,'IN-NX'!$D$7=D1522),"x","")</f>
        <v/>
      </c>
      <c r="AB1522" s="79" t="str">
        <f>IF(AND(OR(LEFT(TH!N1522,2)="15",LEFT(TH!O1522,2)="15"),LEFT(TH!O1522,3)&lt;&gt;"111",'152-CT'!$J$8=TH!F1522),"x","")</f>
        <v/>
      </c>
      <c r="AC1522" s="79" t="str">
        <f>IF(AND(OR(LEFT(TH!N1522,2)="15",LEFT(TH!O1522,2)="15"),TK!$E$7=TH!F1522),"x","")</f>
        <v/>
      </c>
      <c r="AD1522" s="79" t="str">
        <f>IF(AND(N1522="1521",MONTH(C1522)='BK-NL'!$M$11),"x","")</f>
        <v/>
      </c>
    </row>
    <row r="1523" spans="1:30" ht="16.5" customHeight="1">
      <c r="A1523" s="318" t="str">
        <f>IF(B1523&lt;&gt;"",IF(AND(B1523='IN-TC'!$S$4,OR(TH!N1523="1111",TH!O1523="1111")),TH!D1523,""),"")</f>
        <v/>
      </c>
      <c r="B1523" s="60" t="str">
        <f t="shared" ref="B1523:B1586" si="208">IF(C1523&lt;&gt;"",MONTH(C1523),"")</f>
        <v/>
      </c>
      <c r="C1523" s="989"/>
      <c r="D1523" s="989"/>
      <c r="E1523" s="989"/>
      <c r="F1523" s="921"/>
      <c r="G1523" s="991"/>
      <c r="H1523" s="1105"/>
      <c r="I1523" s="994"/>
      <c r="J1523" s="993"/>
      <c r="K1523" s="994"/>
      <c r="L1523" s="992"/>
      <c r="M1523" s="995"/>
      <c r="N1523" s="996"/>
      <c r="O1523" s="996"/>
      <c r="P1523" s="79" t="str">
        <f>IF(AND('331-CT'!$E$7=TH!H1523,OR(N1523="331",O1523="331")),"x","")</f>
        <v/>
      </c>
      <c r="Q1523" s="79" t="str">
        <f>IF(AND(B1523='111'!$L$11,OR($N1523=$Q$7,$O1523=$Q$7)),"x","")</f>
        <v/>
      </c>
      <c r="R1523" s="79" t="str">
        <f>IF(AND($N1523=$Q$7,$B1523&lt;'111'!$L$11),"x","")</f>
        <v/>
      </c>
      <c r="S1523" s="79" t="str">
        <f>IF(AND($O1523=$Q$7,$B1523&lt;'111'!$L$11),"x","")</f>
        <v/>
      </c>
      <c r="T1523" s="79" t="str">
        <f>IF(ISERROR(FIND('112'!$M$9,G1523,1)),"",IF((AND(FIND('112'!$M$9,G1523,1)&gt;=1,B1523='112'!$K$9,OR($N1523='112'!$I$6,$O1523='112'!$I$6))),"x",""))</f>
        <v/>
      </c>
      <c r="U1523" s="79" t="str">
        <f>IF(ISERROR(FIND('112'!$M$9,G1523,1)),"",IF((AND(LEFT(G1523,2)=LEFT('112'!$M$9,2),B1523&lt;'112'!$K$9,$N1523='112'!$I$6)),"x",""))</f>
        <v/>
      </c>
      <c r="V1523" s="79" t="str">
        <f>IF(ISERROR(FIND('112'!$M$9,G1523,1)),"",IF((AND(RIGHT(G1523,2)=RIGHT('112'!$M$9,2),B1523&lt;'112'!$K$9,$O1523='112'!$I$6)),"x",""))</f>
        <v/>
      </c>
      <c r="W1523" s="79" t="str">
        <f>IF(AND('341-CT'!$H$9=H1523,OR(LEFT(N1523,3)=$W$7,LEFT(O1523,3)=$W$7)),"x","")</f>
        <v/>
      </c>
      <c r="X1523" s="79" t="str">
        <f>IF(OR(TH!N1523=TH!$X$7,O1523=TH!$X$7),"x","")</f>
        <v/>
      </c>
      <c r="Y1523" s="79" t="str">
        <f>IF(AND(OR(N1523="131",O1523="131"),H1523='131-CT'!$H$9),"x","")</f>
        <v/>
      </c>
      <c r="Z1523" s="79"/>
      <c r="AA1523" s="79" t="str">
        <f>IF(AND(MONTH(E1523)='IN-NX'!$J$5,'IN-NX'!$D$7=D1523),"x","")</f>
        <v/>
      </c>
      <c r="AB1523" s="79" t="str">
        <f>IF(AND(OR(LEFT(TH!N1523,2)="15",LEFT(TH!O1523,2)="15"),LEFT(TH!O1523,3)&lt;&gt;"111",'152-CT'!$J$8=TH!F1523),"x","")</f>
        <v/>
      </c>
      <c r="AC1523" s="79" t="str">
        <f>IF(AND(OR(LEFT(TH!N1523,2)="15",LEFT(TH!O1523,2)="15"),TK!$E$7=TH!F1523),"x","")</f>
        <v/>
      </c>
      <c r="AD1523" s="79" t="str">
        <f>IF(AND(N1523="1521",MONTH(C1523)='BK-NL'!$M$11),"x","")</f>
        <v/>
      </c>
    </row>
    <row r="1524" spans="1:30" ht="16.5" customHeight="1">
      <c r="A1524" s="318" t="str">
        <f>IF(B1524&lt;&gt;"",IF(AND(B1524='IN-TC'!$S$4,OR(TH!N1524="1111",TH!O1524="1111")),TH!D1524,""),"")</f>
        <v/>
      </c>
      <c r="B1524" s="60" t="str">
        <f t="shared" si="208"/>
        <v/>
      </c>
      <c r="C1524" s="989"/>
      <c r="D1524" s="989"/>
      <c r="E1524" s="989"/>
      <c r="F1524" s="921"/>
      <c r="G1524" s="991"/>
      <c r="H1524" s="1105"/>
      <c r="I1524" s="994"/>
      <c r="J1524" s="993"/>
      <c r="K1524" s="994"/>
      <c r="L1524" s="992"/>
      <c r="M1524" s="995"/>
      <c r="N1524" s="996"/>
      <c r="O1524" s="996"/>
      <c r="P1524" s="79" t="str">
        <f>IF(AND('331-CT'!$E$7=TH!H1524,OR(N1524="331",O1524="331")),"x","")</f>
        <v/>
      </c>
      <c r="Q1524" s="79" t="str">
        <f>IF(AND(B1524='111'!$L$11,OR($N1524=$Q$7,$O1524=$Q$7)),"x","")</f>
        <v/>
      </c>
      <c r="R1524" s="79" t="str">
        <f>IF(AND($N1524=$Q$7,$B1524&lt;'111'!$L$11),"x","")</f>
        <v/>
      </c>
      <c r="S1524" s="79" t="str">
        <f>IF(AND($O1524=$Q$7,$B1524&lt;'111'!$L$11),"x","")</f>
        <v/>
      </c>
      <c r="T1524" s="79" t="str">
        <f>IF(ISERROR(FIND('112'!$M$9,G1524,1)),"",IF((AND(FIND('112'!$M$9,G1524,1)&gt;=1,B1524='112'!$K$9,OR($N1524='112'!$I$6,$O1524='112'!$I$6))),"x",""))</f>
        <v/>
      </c>
      <c r="U1524" s="79" t="str">
        <f>IF(ISERROR(FIND('112'!$M$9,G1524,1)),"",IF((AND(LEFT(G1524,2)=LEFT('112'!$M$9,2),B1524&lt;'112'!$K$9,$N1524='112'!$I$6)),"x",""))</f>
        <v/>
      </c>
      <c r="V1524" s="79" t="str">
        <f>IF(ISERROR(FIND('112'!$M$9,G1524,1)),"",IF((AND(RIGHT(G1524,2)=RIGHT('112'!$M$9,2),B1524&lt;'112'!$K$9,$O1524='112'!$I$6)),"x",""))</f>
        <v/>
      </c>
      <c r="W1524" s="79" t="str">
        <f>IF(AND('341-CT'!$H$9=H1524,OR(LEFT(N1524,3)=$W$7,LEFT(O1524,3)=$W$7)),"x","")</f>
        <v/>
      </c>
      <c r="X1524" s="79" t="str">
        <f>IF(OR(TH!N1524=TH!$X$7,O1524=TH!$X$7),"x","")</f>
        <v/>
      </c>
      <c r="Y1524" s="79" t="str">
        <f>IF(AND(OR(N1524="131",O1524="131"),H1524='131-CT'!$H$9),"x","")</f>
        <v/>
      </c>
      <c r="Z1524" s="79"/>
      <c r="AA1524" s="79" t="str">
        <f>IF(AND(MONTH(E1524)='IN-NX'!$J$5,'IN-NX'!$D$7=D1524),"x","")</f>
        <v/>
      </c>
      <c r="AB1524" s="79" t="str">
        <f>IF(AND(OR(LEFT(TH!N1524,2)="15",LEFT(TH!O1524,2)="15"),LEFT(TH!O1524,3)&lt;&gt;"111",'152-CT'!$J$8=TH!F1524),"x","")</f>
        <v/>
      </c>
      <c r="AC1524" s="79" t="str">
        <f>IF(AND(OR(LEFT(TH!N1524,2)="15",LEFT(TH!O1524,2)="15"),TK!$E$7=TH!F1524),"x","")</f>
        <v/>
      </c>
      <c r="AD1524" s="79" t="str">
        <f>IF(AND(N1524="1521",MONTH(C1524)='BK-NL'!$M$11),"x","")</f>
        <v/>
      </c>
    </row>
    <row r="1525" spans="1:30" ht="16.5" customHeight="1">
      <c r="A1525" s="318" t="str">
        <f>IF(B1525&lt;&gt;"",IF(AND(B1525='IN-TC'!$S$4,OR(TH!N1525="1111",TH!O1525="1111")),TH!D1525,""),"")</f>
        <v/>
      </c>
      <c r="B1525" s="60" t="str">
        <f t="shared" si="208"/>
        <v/>
      </c>
      <c r="C1525" s="989"/>
      <c r="D1525" s="989"/>
      <c r="E1525" s="989"/>
      <c r="F1525" s="921"/>
      <c r="G1525" s="991"/>
      <c r="H1525" s="1105"/>
      <c r="I1525" s="994"/>
      <c r="J1525" s="993"/>
      <c r="K1525" s="994"/>
      <c r="L1525" s="992"/>
      <c r="M1525" s="995"/>
      <c r="N1525" s="996"/>
      <c r="O1525" s="996"/>
      <c r="P1525" s="79" t="str">
        <f>IF(AND('331-CT'!$E$7=TH!H1525,OR(N1525="331",O1525="331")),"x","")</f>
        <v/>
      </c>
      <c r="Q1525" s="79" t="str">
        <f>IF(AND(B1525='111'!$L$11,OR($N1525=$Q$7,$O1525=$Q$7)),"x","")</f>
        <v/>
      </c>
      <c r="R1525" s="79" t="str">
        <f>IF(AND($N1525=$Q$7,$B1525&lt;'111'!$L$11),"x","")</f>
        <v/>
      </c>
      <c r="S1525" s="79" t="str">
        <f>IF(AND($O1525=$Q$7,$B1525&lt;'111'!$L$11),"x","")</f>
        <v/>
      </c>
      <c r="T1525" s="79" t="str">
        <f>IF(ISERROR(FIND('112'!$M$9,G1525,1)),"",IF((AND(FIND('112'!$M$9,G1525,1)&gt;=1,B1525='112'!$K$9,OR($N1525='112'!$I$6,$O1525='112'!$I$6))),"x",""))</f>
        <v/>
      </c>
      <c r="U1525" s="79" t="str">
        <f>IF(ISERROR(FIND('112'!$M$9,G1525,1)),"",IF((AND(LEFT(G1525,2)=LEFT('112'!$M$9,2),B1525&lt;'112'!$K$9,$N1525='112'!$I$6)),"x",""))</f>
        <v/>
      </c>
      <c r="V1525" s="79" t="str">
        <f>IF(ISERROR(FIND('112'!$M$9,G1525,1)),"",IF((AND(RIGHT(G1525,2)=RIGHT('112'!$M$9,2),B1525&lt;'112'!$K$9,$O1525='112'!$I$6)),"x",""))</f>
        <v/>
      </c>
      <c r="W1525" s="79" t="str">
        <f>IF(AND('341-CT'!$H$9=H1525,OR(LEFT(N1525,3)=$W$7,LEFT(O1525,3)=$W$7)),"x","")</f>
        <v/>
      </c>
      <c r="X1525" s="79" t="str">
        <f>IF(OR(TH!N1525=TH!$X$7,O1525=TH!$X$7),"x","")</f>
        <v/>
      </c>
      <c r="Y1525" s="79" t="str">
        <f>IF(AND(OR(N1525="131",O1525="131"),H1525='131-CT'!$H$9),"x","")</f>
        <v/>
      </c>
      <c r="Z1525" s="79"/>
      <c r="AA1525" s="79" t="str">
        <f>IF(AND(MONTH(E1525)='IN-NX'!$J$5,'IN-NX'!$D$7=D1525),"x","")</f>
        <v/>
      </c>
      <c r="AB1525" s="79" t="str">
        <f>IF(AND(OR(LEFT(TH!N1525,2)="15",LEFT(TH!O1525,2)="15"),LEFT(TH!O1525,3)&lt;&gt;"111",'152-CT'!$J$8=TH!F1525),"x","")</f>
        <v/>
      </c>
      <c r="AC1525" s="79" t="str">
        <f>IF(AND(OR(LEFT(TH!N1525,2)="15",LEFT(TH!O1525,2)="15"),TK!$E$7=TH!F1525),"x","")</f>
        <v/>
      </c>
      <c r="AD1525" s="79" t="str">
        <f>IF(AND(N1525="1521",MONTH(C1525)='BK-NL'!$M$11),"x","")</f>
        <v/>
      </c>
    </row>
    <row r="1526" spans="1:30" ht="16.5" customHeight="1">
      <c r="A1526" s="318" t="str">
        <f>IF(B1526&lt;&gt;"",IF(AND(B1526='IN-TC'!$S$4,OR(TH!N1526="1111",TH!O1526="1111")),TH!D1526,""),"")</f>
        <v/>
      </c>
      <c r="B1526" s="60" t="str">
        <f t="shared" si="208"/>
        <v/>
      </c>
      <c r="C1526" s="989"/>
      <c r="D1526" s="989"/>
      <c r="E1526" s="989"/>
      <c r="F1526" s="921"/>
      <c r="G1526" s="991"/>
      <c r="H1526" s="1105"/>
      <c r="I1526" s="994"/>
      <c r="J1526" s="993"/>
      <c r="K1526" s="994"/>
      <c r="L1526" s="992"/>
      <c r="M1526" s="995"/>
      <c r="N1526" s="996"/>
      <c r="O1526" s="996"/>
      <c r="P1526" s="79" t="str">
        <f>IF(AND('331-CT'!$E$7=TH!H1526,OR(N1526="331",O1526="331")),"x","")</f>
        <v/>
      </c>
      <c r="Q1526" s="79" t="str">
        <f>IF(AND(B1526='111'!$L$11,OR($N1526=$Q$7,$O1526=$Q$7)),"x","")</f>
        <v/>
      </c>
      <c r="R1526" s="79" t="str">
        <f>IF(AND($N1526=$Q$7,$B1526&lt;'111'!$L$11),"x","")</f>
        <v/>
      </c>
      <c r="S1526" s="79" t="str">
        <f>IF(AND($O1526=$Q$7,$B1526&lt;'111'!$L$11),"x","")</f>
        <v/>
      </c>
      <c r="T1526" s="79" t="str">
        <f>IF(ISERROR(FIND('112'!$M$9,G1526,1)),"",IF((AND(FIND('112'!$M$9,G1526,1)&gt;=1,B1526='112'!$K$9,OR($N1526='112'!$I$6,$O1526='112'!$I$6))),"x",""))</f>
        <v/>
      </c>
      <c r="U1526" s="79" t="str">
        <f>IF(ISERROR(FIND('112'!$M$9,G1526,1)),"",IF((AND(LEFT(G1526,2)=LEFT('112'!$M$9,2),B1526&lt;'112'!$K$9,$N1526='112'!$I$6)),"x",""))</f>
        <v/>
      </c>
      <c r="V1526" s="79" t="str">
        <f>IF(ISERROR(FIND('112'!$M$9,G1526,1)),"",IF((AND(RIGHT(G1526,2)=RIGHT('112'!$M$9,2),B1526&lt;'112'!$K$9,$O1526='112'!$I$6)),"x",""))</f>
        <v/>
      </c>
      <c r="W1526" s="79" t="str">
        <f>IF(AND('341-CT'!$H$9=H1526,OR(LEFT(N1526,3)=$W$7,LEFT(O1526,3)=$W$7)),"x","")</f>
        <v/>
      </c>
      <c r="X1526" s="79" t="str">
        <f>IF(OR(TH!N1526=TH!$X$7,O1526=TH!$X$7),"x","")</f>
        <v/>
      </c>
      <c r="Y1526" s="79" t="str">
        <f>IF(AND(OR(N1526="131",O1526="131"),H1526='131-CT'!$H$9),"x","")</f>
        <v/>
      </c>
      <c r="Z1526" s="79"/>
      <c r="AA1526" s="79" t="str">
        <f>IF(AND(MONTH(E1526)='IN-NX'!$J$5,'IN-NX'!$D$7=D1526),"x","")</f>
        <v/>
      </c>
      <c r="AB1526" s="79" t="str">
        <f>IF(AND(OR(LEFT(TH!N1526,2)="15",LEFT(TH!O1526,2)="15"),LEFT(TH!O1526,3)&lt;&gt;"111",'152-CT'!$J$8=TH!F1526),"x","")</f>
        <v/>
      </c>
      <c r="AC1526" s="79" t="str">
        <f>IF(AND(OR(LEFT(TH!N1526,2)="15",LEFT(TH!O1526,2)="15"),TK!$E$7=TH!F1526),"x","")</f>
        <v/>
      </c>
      <c r="AD1526" s="79" t="str">
        <f>IF(AND(N1526="1521",MONTH(C1526)='BK-NL'!$M$11),"x","")</f>
        <v/>
      </c>
    </row>
    <row r="1527" spans="1:30" ht="16.5" customHeight="1">
      <c r="A1527" s="318" t="str">
        <f>IF(B1527&lt;&gt;"",IF(AND(B1527='IN-TC'!$S$4,OR(TH!N1527="1111",TH!O1527="1111")),TH!D1527,""),"")</f>
        <v/>
      </c>
      <c r="B1527" s="60" t="str">
        <f t="shared" si="208"/>
        <v/>
      </c>
      <c r="C1527" s="989"/>
      <c r="D1527" s="989"/>
      <c r="E1527" s="989"/>
      <c r="F1527" s="921"/>
      <c r="G1527" s="991"/>
      <c r="H1527" s="1105"/>
      <c r="I1527" s="994"/>
      <c r="J1527" s="993"/>
      <c r="K1527" s="994"/>
      <c r="L1527" s="992"/>
      <c r="M1527" s="995"/>
      <c r="N1527" s="996"/>
      <c r="O1527" s="996"/>
      <c r="P1527" s="79" t="str">
        <f>IF(AND('331-CT'!$E$7=TH!H1527,OR(N1527="331",O1527="331")),"x","")</f>
        <v/>
      </c>
      <c r="Q1527" s="79" t="str">
        <f>IF(AND(B1527='111'!$L$11,OR($N1527=$Q$7,$O1527=$Q$7)),"x","")</f>
        <v/>
      </c>
      <c r="R1527" s="79" t="str">
        <f>IF(AND($N1527=$Q$7,$B1527&lt;'111'!$L$11),"x","")</f>
        <v/>
      </c>
      <c r="S1527" s="79" t="str">
        <f>IF(AND($O1527=$Q$7,$B1527&lt;'111'!$L$11),"x","")</f>
        <v/>
      </c>
      <c r="T1527" s="79" t="str">
        <f>IF(ISERROR(FIND('112'!$M$9,G1527,1)),"",IF((AND(FIND('112'!$M$9,G1527,1)&gt;=1,B1527='112'!$K$9,OR($N1527='112'!$I$6,$O1527='112'!$I$6))),"x",""))</f>
        <v/>
      </c>
      <c r="U1527" s="79" t="str">
        <f>IF(ISERROR(FIND('112'!$M$9,G1527,1)),"",IF((AND(LEFT(G1527,2)=LEFT('112'!$M$9,2),B1527&lt;'112'!$K$9,$N1527='112'!$I$6)),"x",""))</f>
        <v/>
      </c>
      <c r="V1527" s="79" t="str">
        <f>IF(ISERROR(FIND('112'!$M$9,G1527,1)),"",IF((AND(RIGHT(G1527,2)=RIGHT('112'!$M$9,2),B1527&lt;'112'!$K$9,$O1527='112'!$I$6)),"x",""))</f>
        <v/>
      </c>
      <c r="W1527" s="79" t="str">
        <f>IF(AND('341-CT'!$H$9=H1527,OR(LEFT(N1527,3)=$W$7,LEFT(O1527,3)=$W$7)),"x","")</f>
        <v/>
      </c>
      <c r="X1527" s="79" t="str">
        <f>IF(OR(TH!N1527=TH!$X$7,O1527=TH!$X$7),"x","")</f>
        <v/>
      </c>
      <c r="Y1527" s="79" t="str">
        <f>IF(AND(OR(N1527="131",O1527="131"),H1527='131-CT'!$H$9),"x","")</f>
        <v/>
      </c>
      <c r="Z1527" s="79"/>
      <c r="AA1527" s="79" t="str">
        <f>IF(AND(MONTH(E1527)='IN-NX'!$J$5,'IN-NX'!$D$7=D1527),"x","")</f>
        <v/>
      </c>
      <c r="AB1527" s="79" t="str">
        <f>IF(AND(OR(LEFT(TH!N1527,2)="15",LEFT(TH!O1527,2)="15"),LEFT(TH!O1527,3)&lt;&gt;"111",'152-CT'!$J$8=TH!F1527),"x","")</f>
        <v/>
      </c>
      <c r="AC1527" s="79" t="str">
        <f>IF(AND(OR(LEFT(TH!N1527,2)="15",LEFT(TH!O1527,2)="15"),TK!$E$7=TH!F1527),"x","")</f>
        <v/>
      </c>
      <c r="AD1527" s="79" t="str">
        <f>IF(AND(N1527="1521",MONTH(C1527)='BK-NL'!$M$11),"x","")</f>
        <v/>
      </c>
    </row>
    <row r="1528" spans="1:30" ht="16.5" customHeight="1">
      <c r="A1528" s="318" t="str">
        <f>IF(B1528&lt;&gt;"",IF(AND(B1528='IN-TC'!$S$4,OR(TH!N1528="1111",TH!O1528="1111")),TH!D1528,""),"")</f>
        <v/>
      </c>
      <c r="B1528" s="60" t="str">
        <f t="shared" si="208"/>
        <v/>
      </c>
      <c r="C1528" s="989"/>
      <c r="D1528" s="989"/>
      <c r="E1528" s="989"/>
      <c r="F1528" s="921"/>
      <c r="G1528" s="991"/>
      <c r="H1528" s="1105"/>
      <c r="I1528" s="994"/>
      <c r="J1528" s="993"/>
      <c r="K1528" s="994"/>
      <c r="L1528" s="992"/>
      <c r="M1528" s="995"/>
      <c r="N1528" s="996"/>
      <c r="O1528" s="996"/>
      <c r="P1528" s="79" t="str">
        <f>IF(AND('331-CT'!$E$7=TH!H1528,OR(N1528="331",O1528="331")),"x","")</f>
        <v/>
      </c>
      <c r="Q1528" s="79" t="str">
        <f>IF(AND(B1528='111'!$L$11,OR($N1528=$Q$7,$O1528=$Q$7)),"x","")</f>
        <v/>
      </c>
      <c r="R1528" s="79" t="str">
        <f>IF(AND($N1528=$Q$7,$B1528&lt;'111'!$L$11),"x","")</f>
        <v/>
      </c>
      <c r="S1528" s="79" t="str">
        <f>IF(AND($O1528=$Q$7,$B1528&lt;'111'!$L$11),"x","")</f>
        <v/>
      </c>
      <c r="T1528" s="79" t="str">
        <f>IF(ISERROR(FIND('112'!$M$9,G1528,1)),"",IF((AND(FIND('112'!$M$9,G1528,1)&gt;=1,B1528='112'!$K$9,OR($N1528='112'!$I$6,$O1528='112'!$I$6))),"x",""))</f>
        <v/>
      </c>
      <c r="U1528" s="79" t="str">
        <f>IF(ISERROR(FIND('112'!$M$9,G1528,1)),"",IF((AND(LEFT(G1528,2)=LEFT('112'!$M$9,2),B1528&lt;'112'!$K$9,$N1528='112'!$I$6)),"x",""))</f>
        <v/>
      </c>
      <c r="V1528" s="79" t="str">
        <f>IF(ISERROR(FIND('112'!$M$9,G1528,1)),"",IF((AND(RIGHT(G1528,2)=RIGHT('112'!$M$9,2),B1528&lt;'112'!$K$9,$O1528='112'!$I$6)),"x",""))</f>
        <v/>
      </c>
      <c r="W1528" s="79" t="str">
        <f>IF(AND('341-CT'!$H$9=H1528,OR(LEFT(N1528,3)=$W$7,LEFT(O1528,3)=$W$7)),"x","")</f>
        <v/>
      </c>
      <c r="X1528" s="79" t="str">
        <f>IF(OR(TH!N1528=TH!$X$7,O1528=TH!$X$7),"x","")</f>
        <v/>
      </c>
      <c r="Y1528" s="79" t="str">
        <f>IF(AND(OR(N1528="131",O1528="131"),H1528='131-CT'!$H$9),"x","")</f>
        <v/>
      </c>
      <c r="Z1528" s="79"/>
      <c r="AA1528" s="79" t="str">
        <f>IF(AND(MONTH(E1528)='IN-NX'!$J$5,'IN-NX'!$D$7=D1528),"x","")</f>
        <v/>
      </c>
      <c r="AB1528" s="79" t="str">
        <f>IF(AND(OR(LEFT(TH!N1528,2)="15",LEFT(TH!O1528,2)="15"),LEFT(TH!O1528,3)&lt;&gt;"111",'152-CT'!$J$8=TH!F1528),"x","")</f>
        <v/>
      </c>
      <c r="AC1528" s="79" t="str">
        <f>IF(AND(OR(LEFT(TH!N1528,2)="15",LEFT(TH!O1528,2)="15"),TK!$E$7=TH!F1528),"x","")</f>
        <v/>
      </c>
      <c r="AD1528" s="79" t="str">
        <f>IF(AND(N1528="1521",MONTH(C1528)='BK-NL'!$M$11),"x","")</f>
        <v/>
      </c>
    </row>
    <row r="1529" spans="1:30" ht="16.5" customHeight="1">
      <c r="A1529" s="318" t="str">
        <f>IF(B1529&lt;&gt;"",IF(AND(B1529='IN-TC'!$S$4,OR(TH!N1529="1111",TH!O1529="1111")),TH!D1529,""),"")</f>
        <v/>
      </c>
      <c r="B1529" s="60" t="str">
        <f t="shared" si="208"/>
        <v/>
      </c>
      <c r="C1529" s="989"/>
      <c r="D1529" s="989"/>
      <c r="E1529" s="989"/>
      <c r="F1529" s="921"/>
      <c r="G1529" s="991"/>
      <c r="H1529" s="1105"/>
      <c r="I1529" s="994"/>
      <c r="J1529" s="993"/>
      <c r="K1529" s="994"/>
      <c r="L1529" s="992"/>
      <c r="M1529" s="995"/>
      <c r="N1529" s="996"/>
      <c r="O1529" s="996"/>
      <c r="P1529" s="79" t="str">
        <f>IF(AND('331-CT'!$E$7=TH!H1529,OR(N1529="331",O1529="331")),"x","")</f>
        <v/>
      </c>
      <c r="Q1529" s="79" t="str">
        <f>IF(AND(B1529='111'!$L$11,OR($N1529=$Q$7,$O1529=$Q$7)),"x","")</f>
        <v/>
      </c>
      <c r="R1529" s="79" t="str">
        <f>IF(AND($N1529=$Q$7,$B1529&lt;'111'!$L$11),"x","")</f>
        <v/>
      </c>
      <c r="S1529" s="79" t="str">
        <f>IF(AND($O1529=$Q$7,$B1529&lt;'111'!$L$11),"x","")</f>
        <v/>
      </c>
      <c r="T1529" s="79" t="str">
        <f>IF(ISERROR(FIND('112'!$M$9,G1529,1)),"",IF((AND(FIND('112'!$M$9,G1529,1)&gt;=1,B1529='112'!$K$9,OR($N1529='112'!$I$6,$O1529='112'!$I$6))),"x",""))</f>
        <v/>
      </c>
      <c r="U1529" s="79" t="str">
        <f>IF(ISERROR(FIND('112'!$M$9,G1529,1)),"",IF((AND(LEFT(G1529,2)=LEFT('112'!$M$9,2),B1529&lt;'112'!$K$9,$N1529='112'!$I$6)),"x",""))</f>
        <v/>
      </c>
      <c r="V1529" s="79" t="str">
        <f>IF(ISERROR(FIND('112'!$M$9,G1529,1)),"",IF((AND(RIGHT(G1529,2)=RIGHT('112'!$M$9,2),B1529&lt;'112'!$K$9,$O1529='112'!$I$6)),"x",""))</f>
        <v/>
      </c>
      <c r="W1529" s="79" t="str">
        <f>IF(AND('341-CT'!$H$9=H1529,OR(LEFT(N1529,3)=$W$7,LEFT(O1529,3)=$W$7)),"x","")</f>
        <v/>
      </c>
      <c r="X1529" s="79" t="str">
        <f>IF(OR(TH!N1529=TH!$X$7,O1529=TH!$X$7),"x","")</f>
        <v/>
      </c>
      <c r="Y1529" s="79" t="str">
        <f>IF(AND(OR(N1529="131",O1529="131"),H1529='131-CT'!$H$9),"x","")</f>
        <v/>
      </c>
      <c r="Z1529" s="79"/>
      <c r="AA1529" s="79" t="str">
        <f>IF(AND(MONTH(E1529)='IN-NX'!$J$5,'IN-NX'!$D$7=D1529),"x","")</f>
        <v/>
      </c>
      <c r="AB1529" s="79" t="str">
        <f>IF(AND(OR(LEFT(TH!N1529,2)="15",LEFT(TH!O1529,2)="15"),LEFT(TH!O1529,3)&lt;&gt;"111",'152-CT'!$J$8=TH!F1529),"x","")</f>
        <v/>
      </c>
      <c r="AC1529" s="79" t="str">
        <f>IF(AND(OR(LEFT(TH!N1529,2)="15",LEFT(TH!O1529,2)="15"),TK!$E$7=TH!F1529),"x","")</f>
        <v/>
      </c>
      <c r="AD1529" s="79" t="str">
        <f>IF(AND(N1529="1521",MONTH(C1529)='BK-NL'!$M$11),"x","")</f>
        <v/>
      </c>
    </row>
    <row r="1530" spans="1:30" ht="16.5" customHeight="1">
      <c r="A1530" s="318" t="str">
        <f>IF(B1530&lt;&gt;"",IF(AND(B1530='IN-TC'!$S$4,OR(TH!N1530="1111",TH!O1530="1111")),TH!D1530,""),"")</f>
        <v/>
      </c>
      <c r="B1530" s="60" t="str">
        <f t="shared" si="208"/>
        <v/>
      </c>
      <c r="C1530" s="989"/>
      <c r="D1530" s="989"/>
      <c r="E1530" s="989"/>
      <c r="F1530" s="921"/>
      <c r="G1530" s="991"/>
      <c r="H1530" s="1105"/>
      <c r="I1530" s="994"/>
      <c r="J1530" s="993"/>
      <c r="K1530" s="994"/>
      <c r="L1530" s="992"/>
      <c r="M1530" s="995"/>
      <c r="N1530" s="996"/>
      <c r="O1530" s="996"/>
      <c r="P1530" s="79" t="str">
        <f>IF(AND('331-CT'!$E$7=TH!H1530,OR(N1530="331",O1530="331")),"x","")</f>
        <v/>
      </c>
      <c r="Q1530" s="79" t="str">
        <f>IF(AND(B1530='111'!$L$11,OR($N1530=$Q$7,$O1530=$Q$7)),"x","")</f>
        <v/>
      </c>
      <c r="R1530" s="79" t="str">
        <f>IF(AND($N1530=$Q$7,$B1530&lt;'111'!$L$11),"x","")</f>
        <v/>
      </c>
      <c r="S1530" s="79" t="str">
        <f>IF(AND($O1530=$Q$7,$B1530&lt;'111'!$L$11),"x","")</f>
        <v/>
      </c>
      <c r="T1530" s="79" t="str">
        <f>IF(ISERROR(FIND('112'!$M$9,G1530,1)),"",IF((AND(FIND('112'!$M$9,G1530,1)&gt;=1,B1530='112'!$K$9,OR($N1530='112'!$I$6,$O1530='112'!$I$6))),"x",""))</f>
        <v/>
      </c>
      <c r="U1530" s="79" t="str">
        <f>IF(ISERROR(FIND('112'!$M$9,G1530,1)),"",IF((AND(LEFT(G1530,2)=LEFT('112'!$M$9,2),B1530&lt;'112'!$K$9,$N1530='112'!$I$6)),"x",""))</f>
        <v/>
      </c>
      <c r="V1530" s="79" t="str">
        <f>IF(ISERROR(FIND('112'!$M$9,G1530,1)),"",IF((AND(RIGHT(G1530,2)=RIGHT('112'!$M$9,2),B1530&lt;'112'!$K$9,$O1530='112'!$I$6)),"x",""))</f>
        <v/>
      </c>
      <c r="W1530" s="79" t="str">
        <f>IF(AND('341-CT'!$H$9=H1530,OR(LEFT(N1530,3)=$W$7,LEFT(O1530,3)=$W$7)),"x","")</f>
        <v/>
      </c>
      <c r="X1530" s="79" t="str">
        <f>IF(OR(TH!N1530=TH!$X$7,O1530=TH!$X$7),"x","")</f>
        <v/>
      </c>
      <c r="Y1530" s="79" t="str">
        <f>IF(AND(OR(N1530="131",O1530="131"),H1530='131-CT'!$H$9),"x","")</f>
        <v/>
      </c>
      <c r="Z1530" s="79"/>
      <c r="AA1530" s="79" t="str">
        <f>IF(AND(MONTH(E1530)='IN-NX'!$J$5,'IN-NX'!$D$7=D1530),"x","")</f>
        <v/>
      </c>
      <c r="AB1530" s="79" t="str">
        <f>IF(AND(OR(LEFT(TH!N1530,2)="15",LEFT(TH!O1530,2)="15"),LEFT(TH!O1530,3)&lt;&gt;"111",'152-CT'!$J$8=TH!F1530),"x","")</f>
        <v/>
      </c>
      <c r="AC1530" s="79" t="str">
        <f>IF(AND(OR(LEFT(TH!N1530,2)="15",LEFT(TH!O1530,2)="15"),TK!$E$7=TH!F1530),"x","")</f>
        <v/>
      </c>
      <c r="AD1530" s="79" t="str">
        <f>IF(AND(N1530="1521",MONTH(C1530)='BK-NL'!$M$11),"x","")</f>
        <v/>
      </c>
    </row>
    <row r="1531" spans="1:30" ht="16.5" customHeight="1">
      <c r="A1531" s="318" t="str">
        <f>IF(B1531&lt;&gt;"",IF(AND(B1531='IN-TC'!$S$4,OR(TH!N1531="1111",TH!O1531="1111")),TH!D1531,""),"")</f>
        <v/>
      </c>
      <c r="B1531" s="60" t="str">
        <f t="shared" si="208"/>
        <v/>
      </c>
      <c r="C1531" s="989"/>
      <c r="D1531" s="989"/>
      <c r="E1531" s="989"/>
      <c r="F1531" s="921"/>
      <c r="G1531" s="991"/>
      <c r="H1531" s="1105"/>
      <c r="I1531" s="994"/>
      <c r="J1531" s="993"/>
      <c r="K1531" s="994"/>
      <c r="L1531" s="992"/>
      <c r="M1531" s="995"/>
      <c r="N1531" s="996"/>
      <c r="O1531" s="996"/>
      <c r="P1531" s="79" t="str">
        <f>IF(AND('331-CT'!$E$7=TH!H1531,OR(N1531="331",O1531="331")),"x","")</f>
        <v/>
      </c>
      <c r="Q1531" s="79" t="str">
        <f>IF(AND(B1531='111'!$L$11,OR($N1531=$Q$7,$O1531=$Q$7)),"x","")</f>
        <v/>
      </c>
      <c r="R1531" s="79" t="str">
        <f>IF(AND($N1531=$Q$7,$B1531&lt;'111'!$L$11),"x","")</f>
        <v/>
      </c>
      <c r="S1531" s="79" t="str">
        <f>IF(AND($O1531=$Q$7,$B1531&lt;'111'!$L$11),"x","")</f>
        <v/>
      </c>
      <c r="T1531" s="79" t="str">
        <f>IF(ISERROR(FIND('112'!$M$9,G1531,1)),"",IF((AND(FIND('112'!$M$9,G1531,1)&gt;=1,B1531='112'!$K$9,OR($N1531='112'!$I$6,$O1531='112'!$I$6))),"x",""))</f>
        <v/>
      </c>
      <c r="U1531" s="79" t="str">
        <f>IF(ISERROR(FIND('112'!$M$9,G1531,1)),"",IF((AND(LEFT(G1531,2)=LEFT('112'!$M$9,2),B1531&lt;'112'!$K$9,$N1531='112'!$I$6)),"x",""))</f>
        <v/>
      </c>
      <c r="V1531" s="79" t="str">
        <f>IF(ISERROR(FIND('112'!$M$9,G1531,1)),"",IF((AND(RIGHT(G1531,2)=RIGHT('112'!$M$9,2),B1531&lt;'112'!$K$9,$O1531='112'!$I$6)),"x",""))</f>
        <v/>
      </c>
      <c r="W1531" s="79" t="str">
        <f>IF(AND('341-CT'!$H$9=H1531,OR(LEFT(N1531,3)=$W$7,LEFT(O1531,3)=$W$7)),"x","")</f>
        <v/>
      </c>
      <c r="X1531" s="79" t="str">
        <f>IF(OR(TH!N1531=TH!$X$7,O1531=TH!$X$7),"x","")</f>
        <v/>
      </c>
      <c r="Y1531" s="79" t="str">
        <f>IF(AND(OR(N1531="131",O1531="131"),H1531='131-CT'!$H$9),"x","")</f>
        <v/>
      </c>
      <c r="Z1531" s="79"/>
      <c r="AA1531" s="79" t="str">
        <f>IF(AND(MONTH(E1531)='IN-NX'!$J$5,'IN-NX'!$D$7=D1531),"x","")</f>
        <v/>
      </c>
      <c r="AB1531" s="79" t="str">
        <f>IF(AND(OR(LEFT(TH!N1531,2)="15",LEFT(TH!O1531,2)="15"),LEFT(TH!O1531,3)&lt;&gt;"111",'152-CT'!$J$8=TH!F1531),"x","")</f>
        <v/>
      </c>
      <c r="AC1531" s="79" t="str">
        <f>IF(AND(OR(LEFT(TH!N1531,2)="15",LEFT(TH!O1531,2)="15"),TK!$E$7=TH!F1531),"x","")</f>
        <v/>
      </c>
      <c r="AD1531" s="79" t="str">
        <f>IF(AND(N1531="1521",MONTH(C1531)='BK-NL'!$M$11),"x","")</f>
        <v/>
      </c>
    </row>
    <row r="1532" spans="1:30" ht="16.5" customHeight="1">
      <c r="A1532" s="318" t="str">
        <f>IF(B1532&lt;&gt;"",IF(AND(B1532='IN-TC'!$S$4,OR(TH!N1532="1111",TH!O1532="1111")),TH!D1532,""),"")</f>
        <v/>
      </c>
      <c r="B1532" s="60" t="str">
        <f t="shared" si="208"/>
        <v/>
      </c>
      <c r="C1532" s="989"/>
      <c r="D1532" s="989"/>
      <c r="E1532" s="989"/>
      <c r="F1532" s="921"/>
      <c r="G1532" s="991"/>
      <c r="H1532" s="1105"/>
      <c r="I1532" s="994"/>
      <c r="J1532" s="993"/>
      <c r="K1532" s="994"/>
      <c r="L1532" s="992"/>
      <c r="M1532" s="995"/>
      <c r="N1532" s="996"/>
      <c r="O1532" s="996"/>
      <c r="P1532" s="79" t="str">
        <f>IF(AND('331-CT'!$E$7=TH!H1532,OR(N1532="331",O1532="331")),"x","")</f>
        <v/>
      </c>
      <c r="Q1532" s="79" t="str">
        <f>IF(AND(B1532='111'!$L$11,OR($N1532=$Q$7,$O1532=$Q$7)),"x","")</f>
        <v/>
      </c>
      <c r="R1532" s="79" t="str">
        <f>IF(AND($N1532=$Q$7,$B1532&lt;'111'!$L$11),"x","")</f>
        <v/>
      </c>
      <c r="S1532" s="79" t="str">
        <f>IF(AND($O1532=$Q$7,$B1532&lt;'111'!$L$11),"x","")</f>
        <v/>
      </c>
      <c r="T1532" s="79" t="str">
        <f>IF(ISERROR(FIND('112'!$M$9,G1532,1)),"",IF((AND(FIND('112'!$M$9,G1532,1)&gt;=1,B1532='112'!$K$9,OR($N1532='112'!$I$6,$O1532='112'!$I$6))),"x",""))</f>
        <v/>
      </c>
      <c r="U1532" s="79" t="str">
        <f>IF(ISERROR(FIND('112'!$M$9,G1532,1)),"",IF((AND(LEFT(G1532,2)=LEFT('112'!$M$9,2),B1532&lt;'112'!$K$9,$N1532='112'!$I$6)),"x",""))</f>
        <v/>
      </c>
      <c r="V1532" s="79" t="str">
        <f>IF(ISERROR(FIND('112'!$M$9,G1532,1)),"",IF((AND(RIGHT(G1532,2)=RIGHT('112'!$M$9,2),B1532&lt;'112'!$K$9,$O1532='112'!$I$6)),"x",""))</f>
        <v/>
      </c>
      <c r="W1532" s="79" t="str">
        <f>IF(AND('341-CT'!$H$9=H1532,OR(LEFT(N1532,3)=$W$7,LEFT(O1532,3)=$W$7)),"x","")</f>
        <v/>
      </c>
      <c r="X1532" s="79" t="str">
        <f>IF(OR(TH!N1532=TH!$X$7,O1532=TH!$X$7),"x","")</f>
        <v/>
      </c>
      <c r="Y1532" s="79" t="str">
        <f>IF(AND(OR(N1532="131",O1532="131"),H1532='131-CT'!$H$9),"x","")</f>
        <v/>
      </c>
      <c r="Z1532" s="79"/>
      <c r="AA1532" s="79" t="str">
        <f>IF(AND(MONTH(E1532)='IN-NX'!$J$5,'IN-NX'!$D$7=D1532),"x","")</f>
        <v/>
      </c>
      <c r="AB1532" s="79" t="str">
        <f>IF(AND(OR(LEFT(TH!N1532,2)="15",LEFT(TH!O1532,2)="15"),LEFT(TH!O1532,3)&lt;&gt;"111",'152-CT'!$J$8=TH!F1532),"x","")</f>
        <v/>
      </c>
      <c r="AC1532" s="79" t="str">
        <f>IF(AND(OR(LEFT(TH!N1532,2)="15",LEFT(TH!O1532,2)="15"),TK!$E$7=TH!F1532),"x","")</f>
        <v/>
      </c>
      <c r="AD1532" s="79" t="str">
        <f>IF(AND(N1532="1521",MONTH(C1532)='BK-NL'!$M$11),"x","")</f>
        <v/>
      </c>
    </row>
    <row r="1533" spans="1:30" ht="16.5" customHeight="1">
      <c r="A1533" s="318" t="str">
        <f>IF(B1533&lt;&gt;"",IF(AND(B1533='IN-TC'!$S$4,OR(TH!N1533="1111",TH!O1533="1111")),TH!D1533,""),"")</f>
        <v/>
      </c>
      <c r="B1533" s="60" t="str">
        <f t="shared" si="208"/>
        <v/>
      </c>
      <c r="C1533" s="989"/>
      <c r="D1533" s="989"/>
      <c r="E1533" s="989"/>
      <c r="F1533" s="921"/>
      <c r="G1533" s="991"/>
      <c r="H1533" s="1105"/>
      <c r="I1533" s="994"/>
      <c r="J1533" s="993"/>
      <c r="K1533" s="994"/>
      <c r="L1533" s="992"/>
      <c r="M1533" s="995"/>
      <c r="N1533" s="996"/>
      <c r="O1533" s="996"/>
      <c r="P1533" s="79" t="str">
        <f>IF(AND('331-CT'!$E$7=TH!H1533,OR(N1533="331",O1533="331")),"x","")</f>
        <v/>
      </c>
      <c r="Q1533" s="79" t="str">
        <f>IF(AND(B1533='111'!$L$11,OR($N1533=$Q$7,$O1533=$Q$7)),"x","")</f>
        <v/>
      </c>
      <c r="R1533" s="79" t="str">
        <f>IF(AND($N1533=$Q$7,$B1533&lt;'111'!$L$11),"x","")</f>
        <v/>
      </c>
      <c r="S1533" s="79" t="str">
        <f>IF(AND($O1533=$Q$7,$B1533&lt;'111'!$L$11),"x","")</f>
        <v/>
      </c>
      <c r="T1533" s="79" t="str">
        <f>IF(ISERROR(FIND('112'!$M$9,G1533,1)),"",IF((AND(FIND('112'!$M$9,G1533,1)&gt;=1,B1533='112'!$K$9,OR($N1533='112'!$I$6,$O1533='112'!$I$6))),"x",""))</f>
        <v/>
      </c>
      <c r="U1533" s="79" t="str">
        <f>IF(ISERROR(FIND('112'!$M$9,G1533,1)),"",IF((AND(LEFT(G1533,2)=LEFT('112'!$M$9,2),B1533&lt;'112'!$K$9,$N1533='112'!$I$6)),"x",""))</f>
        <v/>
      </c>
      <c r="V1533" s="79" t="str">
        <f>IF(ISERROR(FIND('112'!$M$9,G1533,1)),"",IF((AND(RIGHT(G1533,2)=RIGHT('112'!$M$9,2),B1533&lt;'112'!$K$9,$O1533='112'!$I$6)),"x",""))</f>
        <v/>
      </c>
      <c r="W1533" s="79" t="str">
        <f>IF(AND('341-CT'!$H$9=H1533,OR(LEFT(N1533,3)=$W$7,LEFT(O1533,3)=$W$7)),"x","")</f>
        <v/>
      </c>
      <c r="X1533" s="79" t="str">
        <f>IF(OR(TH!N1533=TH!$X$7,O1533=TH!$X$7),"x","")</f>
        <v/>
      </c>
      <c r="Y1533" s="79" t="str">
        <f>IF(AND(OR(N1533="131",O1533="131"),H1533='131-CT'!$H$9),"x","")</f>
        <v/>
      </c>
      <c r="Z1533" s="79"/>
      <c r="AA1533" s="79" t="str">
        <f>IF(AND(MONTH(E1533)='IN-NX'!$J$5,'IN-NX'!$D$7=D1533),"x","")</f>
        <v/>
      </c>
      <c r="AB1533" s="79" t="str">
        <f>IF(AND(OR(LEFT(TH!N1533,2)="15",LEFT(TH!O1533,2)="15"),LEFT(TH!O1533,3)&lt;&gt;"111",'152-CT'!$J$8=TH!F1533),"x","")</f>
        <v/>
      </c>
      <c r="AC1533" s="79" t="str">
        <f>IF(AND(OR(LEFT(TH!N1533,2)="15",LEFT(TH!O1533,2)="15"),TK!$E$7=TH!F1533),"x","")</f>
        <v/>
      </c>
      <c r="AD1533" s="79" t="str">
        <f>IF(AND(N1533="1521",MONTH(C1533)='BK-NL'!$M$11),"x","")</f>
        <v/>
      </c>
    </row>
    <row r="1534" spans="1:30" ht="16.5" customHeight="1">
      <c r="A1534" s="318" t="str">
        <f>IF(B1534&lt;&gt;"",IF(AND(B1534='IN-TC'!$S$4,OR(TH!N1534="1111",TH!O1534="1111")),TH!D1534,""),"")</f>
        <v/>
      </c>
      <c r="B1534" s="60" t="str">
        <f t="shared" si="208"/>
        <v/>
      </c>
      <c r="C1534" s="989"/>
      <c r="D1534" s="989"/>
      <c r="E1534" s="989"/>
      <c r="F1534" s="921"/>
      <c r="G1534" s="991"/>
      <c r="H1534" s="1105"/>
      <c r="I1534" s="994"/>
      <c r="J1534" s="993"/>
      <c r="K1534" s="994"/>
      <c r="L1534" s="992"/>
      <c r="M1534" s="995"/>
      <c r="N1534" s="996"/>
      <c r="O1534" s="996"/>
      <c r="P1534" s="79" t="str">
        <f>IF(AND('331-CT'!$E$7=TH!H1534,OR(N1534="331",O1534="331")),"x","")</f>
        <v/>
      </c>
      <c r="Q1534" s="79" t="str">
        <f>IF(AND(B1534='111'!$L$11,OR($N1534=$Q$7,$O1534=$Q$7)),"x","")</f>
        <v/>
      </c>
      <c r="R1534" s="79" t="str">
        <f>IF(AND($N1534=$Q$7,$B1534&lt;'111'!$L$11),"x","")</f>
        <v/>
      </c>
      <c r="S1534" s="79" t="str">
        <f>IF(AND($O1534=$Q$7,$B1534&lt;'111'!$L$11),"x","")</f>
        <v/>
      </c>
      <c r="T1534" s="79" t="str">
        <f>IF(ISERROR(FIND('112'!$M$9,G1534,1)),"",IF((AND(FIND('112'!$M$9,G1534,1)&gt;=1,B1534='112'!$K$9,OR($N1534='112'!$I$6,$O1534='112'!$I$6))),"x",""))</f>
        <v/>
      </c>
      <c r="U1534" s="79" t="str">
        <f>IF(ISERROR(FIND('112'!$M$9,G1534,1)),"",IF((AND(LEFT(G1534,2)=LEFT('112'!$M$9,2),B1534&lt;'112'!$K$9,$N1534='112'!$I$6)),"x",""))</f>
        <v/>
      </c>
      <c r="V1534" s="79" t="str">
        <f>IF(ISERROR(FIND('112'!$M$9,G1534,1)),"",IF((AND(RIGHT(G1534,2)=RIGHT('112'!$M$9,2),B1534&lt;'112'!$K$9,$O1534='112'!$I$6)),"x",""))</f>
        <v/>
      </c>
      <c r="W1534" s="79" t="str">
        <f>IF(AND('341-CT'!$H$9=H1534,OR(LEFT(N1534,3)=$W$7,LEFT(O1534,3)=$W$7)),"x","")</f>
        <v/>
      </c>
      <c r="X1534" s="79" t="str">
        <f>IF(OR(TH!N1534=TH!$X$7,O1534=TH!$X$7),"x","")</f>
        <v/>
      </c>
      <c r="Y1534" s="79" t="str">
        <f>IF(AND(OR(N1534="131",O1534="131"),H1534='131-CT'!$H$9),"x","")</f>
        <v/>
      </c>
      <c r="Z1534" s="79"/>
      <c r="AA1534" s="79" t="str">
        <f>IF(AND(MONTH(E1534)='IN-NX'!$J$5,'IN-NX'!$D$7=D1534),"x","")</f>
        <v/>
      </c>
      <c r="AB1534" s="79" t="str">
        <f>IF(AND(OR(LEFT(TH!N1534,2)="15",LEFT(TH!O1534,2)="15"),LEFT(TH!O1534,3)&lt;&gt;"111",'152-CT'!$J$8=TH!F1534),"x","")</f>
        <v/>
      </c>
      <c r="AC1534" s="79" t="str">
        <f>IF(AND(OR(LEFT(TH!N1534,2)="15",LEFT(TH!O1534,2)="15"),TK!$E$7=TH!F1534),"x","")</f>
        <v/>
      </c>
      <c r="AD1534" s="79" t="str">
        <f>IF(AND(N1534="1521",MONTH(C1534)='BK-NL'!$M$11),"x","")</f>
        <v/>
      </c>
    </row>
    <row r="1535" spans="1:30" ht="16.5" customHeight="1">
      <c r="A1535" s="318" t="str">
        <f>IF(B1535&lt;&gt;"",IF(AND(B1535='IN-TC'!$S$4,OR(TH!N1535="1111",TH!O1535="1111")),TH!D1535,""),"")</f>
        <v/>
      </c>
      <c r="B1535" s="60" t="str">
        <f t="shared" si="208"/>
        <v/>
      </c>
      <c r="C1535" s="989"/>
      <c r="D1535" s="989"/>
      <c r="E1535" s="989"/>
      <c r="F1535" s="921"/>
      <c r="G1535" s="991"/>
      <c r="H1535" s="1105"/>
      <c r="I1535" s="994"/>
      <c r="J1535" s="993"/>
      <c r="K1535" s="994"/>
      <c r="L1535" s="992"/>
      <c r="M1535" s="995"/>
      <c r="N1535" s="996"/>
      <c r="O1535" s="996"/>
      <c r="P1535" s="79" t="str">
        <f>IF(AND('331-CT'!$E$7=TH!H1535,OR(N1535="331",O1535="331")),"x","")</f>
        <v/>
      </c>
      <c r="Q1535" s="79" t="str">
        <f>IF(AND(B1535='111'!$L$11,OR($N1535=$Q$7,$O1535=$Q$7)),"x","")</f>
        <v/>
      </c>
      <c r="R1535" s="79" t="str">
        <f>IF(AND($N1535=$Q$7,$B1535&lt;'111'!$L$11),"x","")</f>
        <v/>
      </c>
      <c r="S1535" s="79" t="str">
        <f>IF(AND($O1535=$Q$7,$B1535&lt;'111'!$L$11),"x","")</f>
        <v/>
      </c>
      <c r="T1535" s="79" t="str">
        <f>IF(ISERROR(FIND('112'!$M$9,G1535,1)),"",IF((AND(FIND('112'!$M$9,G1535,1)&gt;=1,B1535='112'!$K$9,OR($N1535='112'!$I$6,$O1535='112'!$I$6))),"x",""))</f>
        <v/>
      </c>
      <c r="U1535" s="79" t="str">
        <f>IF(ISERROR(FIND('112'!$M$9,G1535,1)),"",IF((AND(LEFT(G1535,2)=LEFT('112'!$M$9,2),B1535&lt;'112'!$K$9,$N1535='112'!$I$6)),"x",""))</f>
        <v/>
      </c>
      <c r="V1535" s="79" t="str">
        <f>IF(ISERROR(FIND('112'!$M$9,G1535,1)),"",IF((AND(RIGHT(G1535,2)=RIGHT('112'!$M$9,2),B1535&lt;'112'!$K$9,$O1535='112'!$I$6)),"x",""))</f>
        <v/>
      </c>
      <c r="W1535" s="79" t="str">
        <f>IF(AND('341-CT'!$H$9=H1535,OR(LEFT(N1535,3)=$W$7,LEFT(O1535,3)=$W$7)),"x","")</f>
        <v/>
      </c>
      <c r="X1535" s="79" t="str">
        <f>IF(OR(TH!N1535=TH!$X$7,O1535=TH!$X$7),"x","")</f>
        <v/>
      </c>
      <c r="Y1535" s="79" t="str">
        <f>IF(AND(OR(N1535="131",O1535="131"),H1535='131-CT'!$H$9),"x","")</f>
        <v/>
      </c>
      <c r="Z1535" s="79"/>
      <c r="AA1535" s="79" t="str">
        <f>IF(AND(MONTH(E1535)='IN-NX'!$J$5,'IN-NX'!$D$7=D1535),"x","")</f>
        <v/>
      </c>
      <c r="AB1535" s="79" t="str">
        <f>IF(AND(OR(LEFT(TH!N1535,2)="15",LEFT(TH!O1535,2)="15"),LEFT(TH!O1535,3)&lt;&gt;"111",'152-CT'!$J$8=TH!F1535),"x","")</f>
        <v/>
      </c>
      <c r="AC1535" s="79" t="str">
        <f>IF(AND(OR(LEFT(TH!N1535,2)="15",LEFT(TH!O1535,2)="15"),TK!$E$7=TH!F1535),"x","")</f>
        <v/>
      </c>
      <c r="AD1535" s="79" t="str">
        <f>IF(AND(N1535="1521",MONTH(C1535)='BK-NL'!$M$11),"x","")</f>
        <v/>
      </c>
    </row>
    <row r="1536" spans="1:30" ht="16.5" customHeight="1">
      <c r="A1536" s="318" t="str">
        <f>IF(B1536&lt;&gt;"",IF(AND(B1536='IN-TC'!$S$4,OR(TH!N1536="1111",TH!O1536="1111")),TH!D1536,""),"")</f>
        <v/>
      </c>
      <c r="B1536" s="60" t="str">
        <f t="shared" si="208"/>
        <v/>
      </c>
      <c r="C1536" s="989"/>
      <c r="D1536" s="989"/>
      <c r="E1536" s="989"/>
      <c r="F1536" s="921"/>
      <c r="G1536" s="991"/>
      <c r="H1536" s="1105"/>
      <c r="I1536" s="994"/>
      <c r="J1536" s="993"/>
      <c r="K1536" s="994"/>
      <c r="L1536" s="992"/>
      <c r="M1536" s="995"/>
      <c r="N1536" s="996"/>
      <c r="O1536" s="996"/>
      <c r="P1536" s="79" t="str">
        <f>IF(AND('331-CT'!$E$7=TH!H1536,OR(N1536="331",O1536="331")),"x","")</f>
        <v/>
      </c>
      <c r="Q1536" s="79" t="str">
        <f>IF(AND(B1536='111'!$L$11,OR($N1536=$Q$7,$O1536=$Q$7)),"x","")</f>
        <v/>
      </c>
      <c r="R1536" s="79" t="str">
        <f>IF(AND($N1536=$Q$7,$B1536&lt;'111'!$L$11),"x","")</f>
        <v/>
      </c>
      <c r="S1536" s="79" t="str">
        <f>IF(AND($O1536=$Q$7,$B1536&lt;'111'!$L$11),"x","")</f>
        <v/>
      </c>
      <c r="T1536" s="79" t="str">
        <f>IF(ISERROR(FIND('112'!$M$9,G1536,1)),"",IF((AND(FIND('112'!$M$9,G1536,1)&gt;=1,B1536='112'!$K$9,OR($N1536='112'!$I$6,$O1536='112'!$I$6))),"x",""))</f>
        <v/>
      </c>
      <c r="U1536" s="79" t="str">
        <f>IF(ISERROR(FIND('112'!$M$9,G1536,1)),"",IF((AND(LEFT(G1536,2)=LEFT('112'!$M$9,2),B1536&lt;'112'!$K$9,$N1536='112'!$I$6)),"x",""))</f>
        <v/>
      </c>
      <c r="V1536" s="79" t="str">
        <f>IF(ISERROR(FIND('112'!$M$9,G1536,1)),"",IF((AND(RIGHT(G1536,2)=RIGHT('112'!$M$9,2),B1536&lt;'112'!$K$9,$O1536='112'!$I$6)),"x",""))</f>
        <v/>
      </c>
      <c r="W1536" s="79" t="str">
        <f>IF(AND('341-CT'!$H$9=H1536,OR(LEFT(N1536,3)=$W$7,LEFT(O1536,3)=$W$7)),"x","")</f>
        <v/>
      </c>
      <c r="X1536" s="79" t="str">
        <f>IF(OR(TH!N1536=TH!$X$7,O1536=TH!$X$7),"x","")</f>
        <v/>
      </c>
      <c r="Y1536" s="79" t="str">
        <f>IF(AND(OR(N1536="131",O1536="131"),H1536='131-CT'!$H$9),"x","")</f>
        <v/>
      </c>
      <c r="Z1536" s="79"/>
      <c r="AA1536" s="79" t="str">
        <f>IF(AND(MONTH(E1536)='IN-NX'!$J$5,'IN-NX'!$D$7=D1536),"x","")</f>
        <v/>
      </c>
      <c r="AB1536" s="79" t="str">
        <f>IF(AND(OR(LEFT(TH!N1536,2)="15",LEFT(TH!O1536,2)="15"),LEFT(TH!O1536,3)&lt;&gt;"111",'152-CT'!$J$8=TH!F1536),"x","")</f>
        <v/>
      </c>
      <c r="AC1536" s="79" t="str">
        <f>IF(AND(OR(LEFT(TH!N1536,2)="15",LEFT(TH!O1536,2)="15"),TK!$E$7=TH!F1536),"x","")</f>
        <v/>
      </c>
      <c r="AD1536" s="79" t="str">
        <f>IF(AND(N1536="1521",MONTH(C1536)='BK-NL'!$M$11),"x","")</f>
        <v/>
      </c>
    </row>
    <row r="1537" spans="1:30" ht="16.5" customHeight="1">
      <c r="A1537" s="318" t="str">
        <f>IF(B1537&lt;&gt;"",IF(AND(B1537='IN-TC'!$S$4,OR(TH!N1537="1111",TH!O1537="1111")),TH!D1537,""),"")</f>
        <v/>
      </c>
      <c r="B1537" s="60" t="str">
        <f t="shared" si="208"/>
        <v/>
      </c>
      <c r="C1537" s="989"/>
      <c r="D1537" s="989"/>
      <c r="E1537" s="989"/>
      <c r="F1537" s="921"/>
      <c r="G1537" s="991"/>
      <c r="H1537" s="1105"/>
      <c r="I1537" s="994"/>
      <c r="J1537" s="993"/>
      <c r="K1537" s="994"/>
      <c r="L1537" s="992"/>
      <c r="M1537" s="995"/>
      <c r="N1537" s="996"/>
      <c r="O1537" s="996"/>
      <c r="P1537" s="79" t="str">
        <f>IF(AND('331-CT'!$E$7=TH!H1537,OR(N1537="331",O1537="331")),"x","")</f>
        <v/>
      </c>
      <c r="Q1537" s="79" t="str">
        <f>IF(AND(B1537='111'!$L$11,OR($N1537=$Q$7,$O1537=$Q$7)),"x","")</f>
        <v/>
      </c>
      <c r="R1537" s="79" t="str">
        <f>IF(AND($N1537=$Q$7,$B1537&lt;'111'!$L$11),"x","")</f>
        <v/>
      </c>
      <c r="S1537" s="79" t="str">
        <f>IF(AND($O1537=$Q$7,$B1537&lt;'111'!$L$11),"x","")</f>
        <v/>
      </c>
      <c r="T1537" s="79" t="str">
        <f>IF(ISERROR(FIND('112'!$M$9,G1537,1)),"",IF((AND(FIND('112'!$M$9,G1537,1)&gt;=1,B1537='112'!$K$9,OR($N1537='112'!$I$6,$O1537='112'!$I$6))),"x",""))</f>
        <v/>
      </c>
      <c r="U1537" s="79" t="str">
        <f>IF(ISERROR(FIND('112'!$M$9,G1537,1)),"",IF((AND(LEFT(G1537,2)=LEFT('112'!$M$9,2),B1537&lt;'112'!$K$9,$N1537='112'!$I$6)),"x",""))</f>
        <v/>
      </c>
      <c r="V1537" s="79" t="str">
        <f>IF(ISERROR(FIND('112'!$M$9,G1537,1)),"",IF((AND(RIGHT(G1537,2)=RIGHT('112'!$M$9,2),B1537&lt;'112'!$K$9,$O1537='112'!$I$6)),"x",""))</f>
        <v/>
      </c>
      <c r="W1537" s="79" t="str">
        <f>IF(AND('341-CT'!$H$9=H1537,OR(LEFT(N1537,3)=$W$7,LEFT(O1537,3)=$W$7)),"x","")</f>
        <v/>
      </c>
      <c r="X1537" s="79" t="str">
        <f>IF(OR(TH!N1537=TH!$X$7,O1537=TH!$X$7),"x","")</f>
        <v/>
      </c>
      <c r="Y1537" s="79" t="str">
        <f>IF(AND(OR(N1537="131",O1537="131"),H1537='131-CT'!$H$9),"x","")</f>
        <v/>
      </c>
      <c r="Z1537" s="79"/>
      <c r="AA1537" s="79" t="str">
        <f>IF(AND(MONTH(E1537)='IN-NX'!$J$5,'IN-NX'!$D$7=D1537),"x","")</f>
        <v/>
      </c>
      <c r="AB1537" s="79" t="str">
        <f>IF(AND(OR(LEFT(TH!N1537,2)="15",LEFT(TH!O1537,2)="15"),LEFT(TH!O1537,3)&lt;&gt;"111",'152-CT'!$J$8=TH!F1537),"x","")</f>
        <v/>
      </c>
      <c r="AC1537" s="79" t="str">
        <f>IF(AND(OR(LEFT(TH!N1537,2)="15",LEFT(TH!O1537,2)="15"),TK!$E$7=TH!F1537),"x","")</f>
        <v/>
      </c>
      <c r="AD1537" s="79" t="str">
        <f>IF(AND(N1537="1521",MONTH(C1537)='BK-NL'!$M$11),"x","")</f>
        <v/>
      </c>
    </row>
    <row r="1538" spans="1:30" ht="16.5" customHeight="1">
      <c r="A1538" s="318" t="str">
        <f>IF(B1538&lt;&gt;"",IF(AND(B1538='IN-TC'!$S$4,OR(TH!N1538="1111",TH!O1538="1111")),TH!D1538,""),"")</f>
        <v/>
      </c>
      <c r="B1538" s="60" t="str">
        <f t="shared" si="208"/>
        <v/>
      </c>
      <c r="C1538" s="989"/>
      <c r="D1538" s="989"/>
      <c r="E1538" s="989"/>
      <c r="F1538" s="921"/>
      <c r="G1538" s="991"/>
      <c r="H1538" s="1105"/>
      <c r="I1538" s="994"/>
      <c r="J1538" s="993"/>
      <c r="K1538" s="994"/>
      <c r="L1538" s="992"/>
      <c r="M1538" s="995"/>
      <c r="N1538" s="996"/>
      <c r="O1538" s="996"/>
      <c r="P1538" s="79" t="str">
        <f>IF(AND('331-CT'!$E$7=TH!H1538,OR(N1538="331",O1538="331")),"x","")</f>
        <v/>
      </c>
      <c r="Q1538" s="79" t="str">
        <f>IF(AND(B1538='111'!$L$11,OR($N1538=$Q$7,$O1538=$Q$7)),"x","")</f>
        <v/>
      </c>
      <c r="R1538" s="79" t="str">
        <f>IF(AND($N1538=$Q$7,$B1538&lt;'111'!$L$11),"x","")</f>
        <v/>
      </c>
      <c r="S1538" s="79" t="str">
        <f>IF(AND($O1538=$Q$7,$B1538&lt;'111'!$L$11),"x","")</f>
        <v/>
      </c>
      <c r="T1538" s="79" t="str">
        <f>IF(ISERROR(FIND('112'!$M$9,G1538,1)),"",IF((AND(FIND('112'!$M$9,G1538,1)&gt;=1,B1538='112'!$K$9,OR($N1538='112'!$I$6,$O1538='112'!$I$6))),"x",""))</f>
        <v/>
      </c>
      <c r="U1538" s="79" t="str">
        <f>IF(ISERROR(FIND('112'!$M$9,G1538,1)),"",IF((AND(LEFT(G1538,2)=LEFT('112'!$M$9,2),B1538&lt;'112'!$K$9,$N1538='112'!$I$6)),"x",""))</f>
        <v/>
      </c>
      <c r="V1538" s="79" t="str">
        <f>IF(ISERROR(FIND('112'!$M$9,G1538,1)),"",IF((AND(RIGHT(G1538,2)=RIGHT('112'!$M$9,2),B1538&lt;'112'!$K$9,$O1538='112'!$I$6)),"x",""))</f>
        <v/>
      </c>
      <c r="W1538" s="79" t="str">
        <f>IF(AND('341-CT'!$H$9=H1538,OR(LEFT(N1538,3)=$W$7,LEFT(O1538,3)=$W$7)),"x","")</f>
        <v/>
      </c>
      <c r="X1538" s="79" t="str">
        <f>IF(OR(TH!N1538=TH!$X$7,O1538=TH!$X$7),"x","")</f>
        <v/>
      </c>
      <c r="Y1538" s="79" t="str">
        <f>IF(AND(OR(N1538="131",O1538="131"),H1538='131-CT'!$H$9),"x","")</f>
        <v/>
      </c>
      <c r="Z1538" s="79"/>
      <c r="AA1538" s="79" t="str">
        <f>IF(AND(MONTH(E1538)='IN-NX'!$J$5,'IN-NX'!$D$7=D1538),"x","")</f>
        <v/>
      </c>
      <c r="AB1538" s="79" t="str">
        <f>IF(AND(OR(LEFT(TH!N1538,2)="15",LEFT(TH!O1538,2)="15"),LEFT(TH!O1538,3)&lt;&gt;"111",'152-CT'!$J$8=TH!F1538),"x","")</f>
        <v/>
      </c>
      <c r="AC1538" s="79" t="str">
        <f>IF(AND(OR(LEFT(TH!N1538,2)="15",LEFT(TH!O1538,2)="15"),TK!$E$7=TH!F1538),"x","")</f>
        <v/>
      </c>
      <c r="AD1538" s="79" t="str">
        <f>IF(AND(N1538="1521",MONTH(C1538)='BK-NL'!$M$11),"x","")</f>
        <v/>
      </c>
    </row>
    <row r="1539" spans="1:30" ht="16.5" customHeight="1">
      <c r="A1539" s="318" t="str">
        <f>IF(B1539&lt;&gt;"",IF(AND(B1539='IN-TC'!$S$4,OR(TH!N1539="1111",TH!O1539="1111")),TH!D1539,""),"")</f>
        <v/>
      </c>
      <c r="B1539" s="60" t="str">
        <f t="shared" si="208"/>
        <v/>
      </c>
      <c r="C1539" s="989"/>
      <c r="D1539" s="989"/>
      <c r="E1539" s="989"/>
      <c r="F1539" s="921"/>
      <c r="G1539" s="991"/>
      <c r="H1539" s="1105"/>
      <c r="I1539" s="994"/>
      <c r="J1539" s="992"/>
      <c r="K1539" s="994"/>
      <c r="L1539" s="992"/>
      <c r="M1539" s="995"/>
      <c r="N1539" s="996"/>
      <c r="O1539" s="996"/>
      <c r="P1539" s="79" t="str">
        <f>IF(AND('331-CT'!$E$7=TH!H1539,OR(N1539="331",O1539="331")),"x","")</f>
        <v/>
      </c>
      <c r="Q1539" s="79" t="str">
        <f>IF(AND(B1539='111'!$L$11,OR($N1539=$Q$7,$O1539=$Q$7)),"x","")</f>
        <v/>
      </c>
      <c r="R1539" s="79" t="str">
        <f>IF(AND($N1539=$Q$7,$B1539&lt;'111'!$L$11),"x","")</f>
        <v/>
      </c>
      <c r="S1539" s="79" t="str">
        <f>IF(AND($O1539=$Q$7,$B1539&lt;'111'!$L$11),"x","")</f>
        <v/>
      </c>
      <c r="T1539" s="79" t="str">
        <f>IF(ISERROR(FIND('112'!$M$9,G1539,1)),"",IF((AND(FIND('112'!$M$9,G1539,1)&gt;=1,B1539='112'!$K$9,OR($N1539='112'!$I$6,$O1539='112'!$I$6))),"x",""))</f>
        <v/>
      </c>
      <c r="U1539" s="79" t="str">
        <f>IF(ISERROR(FIND('112'!$M$9,G1539,1)),"",IF((AND(LEFT(G1539,2)=LEFT('112'!$M$9,2),B1539&lt;'112'!$K$9,$N1539='112'!$I$6)),"x",""))</f>
        <v/>
      </c>
      <c r="V1539" s="79" t="str">
        <f>IF(ISERROR(FIND('112'!$M$9,G1539,1)),"",IF((AND(RIGHT(G1539,2)=RIGHT('112'!$M$9,2),B1539&lt;'112'!$K$9,$O1539='112'!$I$6)),"x",""))</f>
        <v/>
      </c>
      <c r="W1539" s="79" t="str">
        <f>IF(AND('341-CT'!$H$9=H1539,OR(LEFT(N1539,3)=$W$7,LEFT(O1539,3)=$W$7)),"x","")</f>
        <v/>
      </c>
      <c r="X1539" s="79" t="str">
        <f>IF(OR(TH!N1539=TH!$X$7,O1539=TH!$X$7),"x","")</f>
        <v/>
      </c>
      <c r="Y1539" s="79" t="str">
        <f>IF(AND(OR(N1539="131",O1539="131"),H1539='131-CT'!$H$9),"x","")</f>
        <v/>
      </c>
      <c r="Z1539" s="79"/>
      <c r="AA1539" s="79" t="str">
        <f>IF(AND(MONTH(E1539)='IN-NX'!$J$5,'IN-NX'!$D$7=D1539),"x","")</f>
        <v/>
      </c>
      <c r="AB1539" s="79" t="str">
        <f>IF(AND(OR(LEFT(TH!N1539,2)="15",LEFT(TH!O1539,2)="15"),LEFT(TH!O1539,3)&lt;&gt;"111",'152-CT'!$J$8=TH!F1539),"x","")</f>
        <v/>
      </c>
      <c r="AC1539" s="79" t="str">
        <f>IF(AND(OR(LEFT(TH!N1539,2)="15",LEFT(TH!O1539,2)="15"),TK!$E$7=TH!F1539),"x","")</f>
        <v/>
      </c>
      <c r="AD1539" s="79" t="str">
        <f>IF(AND(N1539="1521",MONTH(C1539)='BK-NL'!$M$11),"x","")</f>
        <v/>
      </c>
    </row>
    <row r="1540" spans="1:30" ht="16.5" customHeight="1">
      <c r="A1540" s="318" t="str">
        <f>IF(B1540&lt;&gt;"",IF(AND(B1540='IN-TC'!$S$4,OR(TH!N1540="1111",TH!O1540="1111")),TH!D1540,""),"")</f>
        <v/>
      </c>
      <c r="B1540" s="60" t="str">
        <f t="shared" si="208"/>
        <v/>
      </c>
      <c r="C1540" s="989"/>
      <c r="D1540" s="989"/>
      <c r="E1540" s="989"/>
      <c r="F1540" s="921"/>
      <c r="G1540" s="991"/>
      <c r="H1540" s="1105"/>
      <c r="I1540" s="994"/>
      <c r="J1540" s="992"/>
      <c r="K1540" s="994"/>
      <c r="L1540" s="992"/>
      <c r="M1540" s="995"/>
      <c r="N1540" s="996"/>
      <c r="O1540" s="996"/>
      <c r="P1540" s="79" t="str">
        <f>IF(AND('331-CT'!$E$7=TH!H1540,OR(N1540="331",O1540="331")),"x","")</f>
        <v/>
      </c>
      <c r="Q1540" s="79" t="str">
        <f>IF(AND(B1540='111'!$L$11,OR($N1540=$Q$7,$O1540=$Q$7)),"x","")</f>
        <v/>
      </c>
      <c r="R1540" s="79" t="str">
        <f>IF(AND($N1540=$Q$7,$B1540&lt;'111'!$L$11),"x","")</f>
        <v/>
      </c>
      <c r="S1540" s="79" t="str">
        <f>IF(AND($O1540=$Q$7,$B1540&lt;'111'!$L$11),"x","")</f>
        <v/>
      </c>
      <c r="T1540" s="79" t="str">
        <f>IF(ISERROR(FIND('112'!$M$9,G1540,1)),"",IF((AND(FIND('112'!$M$9,G1540,1)&gt;=1,B1540='112'!$K$9,OR($N1540='112'!$I$6,$O1540='112'!$I$6))),"x",""))</f>
        <v/>
      </c>
      <c r="U1540" s="79" t="str">
        <f>IF(ISERROR(FIND('112'!$M$9,G1540,1)),"",IF((AND(LEFT(G1540,2)=LEFT('112'!$M$9,2),B1540&lt;'112'!$K$9,$N1540='112'!$I$6)),"x",""))</f>
        <v/>
      </c>
      <c r="V1540" s="79" t="str">
        <f>IF(ISERROR(FIND('112'!$M$9,G1540,1)),"",IF((AND(RIGHT(G1540,2)=RIGHT('112'!$M$9,2),B1540&lt;'112'!$K$9,$O1540='112'!$I$6)),"x",""))</f>
        <v/>
      </c>
      <c r="W1540" s="79" t="str">
        <f>IF(AND('341-CT'!$H$9=H1540,OR(LEFT(N1540,3)=$W$7,LEFT(O1540,3)=$W$7)),"x","")</f>
        <v/>
      </c>
      <c r="X1540" s="79" t="str">
        <f>IF(OR(TH!N1540=TH!$X$7,O1540=TH!$X$7),"x","")</f>
        <v/>
      </c>
      <c r="Y1540" s="79" t="str">
        <f>IF(AND(OR(N1540="131",O1540="131"),H1540='131-CT'!$H$9),"x","")</f>
        <v/>
      </c>
      <c r="Z1540" s="79"/>
      <c r="AA1540" s="79" t="str">
        <f>IF(AND(MONTH(E1540)='IN-NX'!$J$5,'IN-NX'!$D$7=D1540),"x","")</f>
        <v/>
      </c>
      <c r="AB1540" s="79" t="str">
        <f>IF(AND(OR(LEFT(TH!N1540,2)="15",LEFT(TH!O1540,2)="15"),LEFT(TH!O1540,3)&lt;&gt;"111",'152-CT'!$J$8=TH!F1540),"x","")</f>
        <v/>
      </c>
      <c r="AC1540" s="79" t="str">
        <f>IF(AND(OR(LEFT(TH!N1540,2)="15",LEFT(TH!O1540,2)="15"),TK!$E$7=TH!F1540),"x","")</f>
        <v/>
      </c>
      <c r="AD1540" s="79" t="str">
        <f>IF(AND(N1540="1521",MONTH(C1540)='BK-NL'!$M$11),"x","")</f>
        <v/>
      </c>
    </row>
    <row r="1541" spans="1:30" ht="16.5" customHeight="1">
      <c r="A1541" s="318" t="str">
        <f>IF(B1541&lt;&gt;"",IF(AND(B1541='IN-TC'!$S$4,OR(TH!N1541="1111",TH!O1541="1111")),TH!D1541,""),"")</f>
        <v/>
      </c>
      <c r="B1541" s="60" t="str">
        <f t="shared" si="208"/>
        <v/>
      </c>
      <c r="C1541" s="989"/>
      <c r="D1541" s="989"/>
      <c r="E1541" s="989"/>
      <c r="F1541" s="921"/>
      <c r="G1541" s="991"/>
      <c r="H1541" s="1105"/>
      <c r="I1541" s="994"/>
      <c r="J1541" s="992"/>
      <c r="K1541" s="994"/>
      <c r="L1541" s="992"/>
      <c r="M1541" s="995"/>
      <c r="N1541" s="996"/>
      <c r="O1541" s="996"/>
      <c r="P1541" s="79" t="str">
        <f>IF(AND('331-CT'!$E$7=TH!H1541,OR(N1541="331",O1541="331")),"x","")</f>
        <v/>
      </c>
      <c r="Q1541" s="79" t="str">
        <f>IF(AND(B1541='111'!$L$11,OR($N1541=$Q$7,$O1541=$Q$7)),"x","")</f>
        <v/>
      </c>
      <c r="R1541" s="79" t="str">
        <f>IF(AND($N1541=$Q$7,$B1541&lt;'111'!$L$11),"x","")</f>
        <v/>
      </c>
      <c r="S1541" s="79" t="str">
        <f>IF(AND($O1541=$Q$7,$B1541&lt;'111'!$L$11),"x","")</f>
        <v/>
      </c>
      <c r="T1541" s="79" t="str">
        <f>IF(ISERROR(FIND('112'!$M$9,G1541,1)),"",IF((AND(FIND('112'!$M$9,G1541,1)&gt;=1,B1541='112'!$K$9,OR($N1541='112'!$I$6,$O1541='112'!$I$6))),"x",""))</f>
        <v/>
      </c>
      <c r="U1541" s="79" t="str">
        <f>IF(ISERROR(FIND('112'!$M$9,G1541,1)),"",IF((AND(LEFT(G1541,2)=LEFT('112'!$M$9,2),B1541&lt;'112'!$K$9,$N1541='112'!$I$6)),"x",""))</f>
        <v/>
      </c>
      <c r="V1541" s="79" t="str">
        <f>IF(ISERROR(FIND('112'!$M$9,G1541,1)),"",IF((AND(RIGHT(G1541,2)=RIGHT('112'!$M$9,2),B1541&lt;'112'!$K$9,$O1541='112'!$I$6)),"x",""))</f>
        <v/>
      </c>
      <c r="W1541" s="79" t="str">
        <f>IF(AND('341-CT'!$H$9=H1541,OR(LEFT(N1541,3)=$W$7,LEFT(O1541,3)=$W$7)),"x","")</f>
        <v/>
      </c>
      <c r="X1541" s="79" t="str">
        <f>IF(OR(TH!N1541=TH!$X$7,O1541=TH!$X$7),"x","")</f>
        <v/>
      </c>
      <c r="Y1541" s="79" t="str">
        <f>IF(AND(OR(N1541="131",O1541="131"),H1541='131-CT'!$H$9),"x","")</f>
        <v/>
      </c>
      <c r="Z1541" s="79"/>
      <c r="AA1541" s="79" t="str">
        <f>IF(AND(MONTH(E1541)='IN-NX'!$J$5,'IN-NX'!$D$7=D1541),"x","")</f>
        <v/>
      </c>
      <c r="AB1541" s="79" t="str">
        <f>IF(AND(OR(LEFT(TH!N1541,2)="15",LEFT(TH!O1541,2)="15"),LEFT(TH!O1541,3)&lt;&gt;"111",'152-CT'!$J$8=TH!F1541),"x","")</f>
        <v/>
      </c>
      <c r="AC1541" s="79" t="str">
        <f>IF(AND(OR(LEFT(TH!N1541,2)="15",LEFT(TH!O1541,2)="15"),TK!$E$7=TH!F1541),"x","")</f>
        <v/>
      </c>
      <c r="AD1541" s="79" t="str">
        <f>IF(AND(N1541="1521",MONTH(C1541)='BK-NL'!$M$11),"x","")</f>
        <v/>
      </c>
    </row>
    <row r="1542" spans="1:30" ht="16.5" customHeight="1">
      <c r="A1542" s="318" t="str">
        <f>IF(B1542&lt;&gt;"",IF(AND(B1542='IN-TC'!$S$4,OR(TH!N1542="1111",TH!O1542="1111")),TH!D1542,""),"")</f>
        <v/>
      </c>
      <c r="B1542" s="60" t="str">
        <f t="shared" si="208"/>
        <v/>
      </c>
      <c r="C1542" s="989"/>
      <c r="D1542" s="989"/>
      <c r="E1542" s="989"/>
      <c r="F1542" s="921"/>
      <c r="G1542" s="991"/>
      <c r="H1542" s="1105"/>
      <c r="I1542" s="994"/>
      <c r="J1542" s="992"/>
      <c r="K1542" s="994"/>
      <c r="L1542" s="992"/>
      <c r="M1542" s="995"/>
      <c r="N1542" s="996"/>
      <c r="O1542" s="996"/>
      <c r="P1542" s="79" t="str">
        <f>IF(AND('331-CT'!$E$7=TH!H1542,OR(N1542="331",O1542="331")),"x","")</f>
        <v/>
      </c>
      <c r="Q1542" s="79" t="str">
        <f>IF(AND(B1542='111'!$L$11,OR($N1542=$Q$7,$O1542=$Q$7)),"x","")</f>
        <v/>
      </c>
      <c r="R1542" s="79" t="str">
        <f>IF(AND($N1542=$Q$7,$B1542&lt;'111'!$L$11),"x","")</f>
        <v/>
      </c>
      <c r="S1542" s="79" t="str">
        <f>IF(AND($O1542=$Q$7,$B1542&lt;'111'!$L$11),"x","")</f>
        <v/>
      </c>
      <c r="T1542" s="79" t="str">
        <f>IF(ISERROR(FIND('112'!$M$9,G1542,1)),"",IF((AND(FIND('112'!$M$9,G1542,1)&gt;=1,B1542='112'!$K$9,OR($N1542='112'!$I$6,$O1542='112'!$I$6))),"x",""))</f>
        <v/>
      </c>
      <c r="U1542" s="79" t="str">
        <f>IF(ISERROR(FIND('112'!$M$9,G1542,1)),"",IF((AND(LEFT(G1542,2)=LEFT('112'!$M$9,2),B1542&lt;'112'!$K$9,$N1542='112'!$I$6)),"x",""))</f>
        <v/>
      </c>
      <c r="V1542" s="79" t="str">
        <f>IF(ISERROR(FIND('112'!$M$9,G1542,1)),"",IF((AND(RIGHT(G1542,2)=RIGHT('112'!$M$9,2),B1542&lt;'112'!$K$9,$O1542='112'!$I$6)),"x",""))</f>
        <v/>
      </c>
      <c r="W1542" s="79" t="str">
        <f>IF(AND('341-CT'!$H$9=H1542,OR(LEFT(N1542,3)=$W$7,LEFT(O1542,3)=$W$7)),"x","")</f>
        <v/>
      </c>
      <c r="X1542" s="79" t="str">
        <f>IF(OR(TH!N1542=TH!$X$7,O1542=TH!$X$7),"x","")</f>
        <v/>
      </c>
      <c r="Y1542" s="79" t="str">
        <f>IF(AND(OR(N1542="131",O1542="131"),H1542='131-CT'!$H$9),"x","")</f>
        <v/>
      </c>
      <c r="Z1542" s="79"/>
      <c r="AA1542" s="79" t="str">
        <f>IF(AND(MONTH(E1542)='IN-NX'!$J$5,'IN-NX'!$D$7=D1542),"x","")</f>
        <v/>
      </c>
      <c r="AB1542" s="79" t="str">
        <f>IF(AND(OR(LEFT(TH!N1542,2)="15",LEFT(TH!O1542,2)="15"),LEFT(TH!O1542,3)&lt;&gt;"111",'152-CT'!$J$8=TH!F1542),"x","")</f>
        <v/>
      </c>
      <c r="AC1542" s="79" t="str">
        <f>IF(AND(OR(LEFT(TH!N1542,2)="15",LEFT(TH!O1542,2)="15"),TK!$E$7=TH!F1542),"x","")</f>
        <v/>
      </c>
      <c r="AD1542" s="79" t="str">
        <f>IF(AND(N1542="1521",MONTH(C1542)='BK-NL'!$M$11),"x","")</f>
        <v/>
      </c>
    </row>
    <row r="1543" spans="1:30" ht="16.5" customHeight="1">
      <c r="A1543" s="318" t="str">
        <f>IF(B1543&lt;&gt;"",IF(AND(B1543='IN-TC'!$S$4,OR(TH!N1543="1111",TH!O1543="1111")),TH!D1543,""),"")</f>
        <v/>
      </c>
      <c r="B1543" s="60" t="str">
        <f t="shared" si="208"/>
        <v/>
      </c>
      <c r="C1543" s="989"/>
      <c r="D1543" s="989"/>
      <c r="E1543" s="989"/>
      <c r="F1543" s="921"/>
      <c r="G1543" s="991"/>
      <c r="H1543" s="1105"/>
      <c r="I1543" s="994"/>
      <c r="J1543" s="992"/>
      <c r="K1543" s="994"/>
      <c r="L1543" s="992"/>
      <c r="M1543" s="995"/>
      <c r="N1543" s="996"/>
      <c r="O1543" s="996"/>
      <c r="P1543" s="79" t="str">
        <f>IF(AND('331-CT'!$E$7=TH!H1543,OR(N1543="331",O1543="331")),"x","")</f>
        <v/>
      </c>
      <c r="Q1543" s="79" t="str">
        <f>IF(AND(B1543='111'!$L$11,OR($N1543=$Q$7,$O1543=$Q$7)),"x","")</f>
        <v/>
      </c>
      <c r="R1543" s="79" t="str">
        <f>IF(AND($N1543=$Q$7,$B1543&lt;'111'!$L$11),"x","")</f>
        <v/>
      </c>
      <c r="S1543" s="79" t="str">
        <f>IF(AND($O1543=$Q$7,$B1543&lt;'111'!$L$11),"x","")</f>
        <v/>
      </c>
      <c r="T1543" s="79" t="str">
        <f>IF(ISERROR(FIND('112'!$M$9,G1543,1)),"",IF((AND(FIND('112'!$M$9,G1543,1)&gt;=1,B1543='112'!$K$9,OR($N1543='112'!$I$6,$O1543='112'!$I$6))),"x",""))</f>
        <v/>
      </c>
      <c r="U1543" s="79" t="str">
        <f>IF(ISERROR(FIND('112'!$M$9,G1543,1)),"",IF((AND(LEFT(G1543,2)=LEFT('112'!$M$9,2),B1543&lt;'112'!$K$9,$N1543='112'!$I$6)),"x",""))</f>
        <v/>
      </c>
      <c r="V1543" s="79" t="str">
        <f>IF(ISERROR(FIND('112'!$M$9,G1543,1)),"",IF((AND(RIGHT(G1543,2)=RIGHT('112'!$M$9,2),B1543&lt;'112'!$K$9,$O1543='112'!$I$6)),"x",""))</f>
        <v/>
      </c>
      <c r="W1543" s="79" t="str">
        <f>IF(AND('341-CT'!$H$9=H1543,OR(LEFT(N1543,3)=$W$7,LEFT(O1543,3)=$W$7)),"x","")</f>
        <v/>
      </c>
      <c r="X1543" s="79" t="str">
        <f>IF(OR(TH!N1543=TH!$X$7,O1543=TH!$X$7),"x","")</f>
        <v/>
      </c>
      <c r="Y1543" s="79" t="str">
        <f>IF(AND(OR(N1543="131",O1543="131"),H1543='131-CT'!$H$9),"x","")</f>
        <v/>
      </c>
      <c r="Z1543" s="79"/>
      <c r="AA1543" s="79" t="str">
        <f>IF(AND(MONTH(E1543)='IN-NX'!$J$5,'IN-NX'!$D$7=D1543),"x","")</f>
        <v/>
      </c>
      <c r="AB1543" s="79" t="str">
        <f>IF(AND(OR(LEFT(TH!N1543,2)="15",LEFT(TH!O1543,2)="15"),LEFT(TH!O1543,3)&lt;&gt;"111",'152-CT'!$J$8=TH!F1543),"x","")</f>
        <v/>
      </c>
      <c r="AC1543" s="79" t="str">
        <f>IF(AND(OR(LEFT(TH!N1543,2)="15",LEFT(TH!O1543,2)="15"),TK!$E$7=TH!F1543),"x","")</f>
        <v/>
      </c>
      <c r="AD1543" s="79" t="str">
        <f>IF(AND(N1543="1521",MONTH(C1543)='BK-NL'!$M$11),"x","")</f>
        <v/>
      </c>
    </row>
    <row r="1544" spans="1:30" ht="16.5" customHeight="1">
      <c r="A1544" s="318" t="str">
        <f>IF(B1544&lt;&gt;"",IF(AND(B1544='IN-TC'!$S$4,OR(TH!N1544="1111",TH!O1544="1111")),TH!D1544,""),"")</f>
        <v/>
      </c>
      <c r="B1544" s="60" t="str">
        <f t="shared" si="208"/>
        <v/>
      </c>
      <c r="C1544" s="989"/>
      <c r="D1544" s="989"/>
      <c r="E1544" s="989"/>
      <c r="F1544" s="921"/>
      <c r="G1544" s="991"/>
      <c r="H1544" s="1105"/>
      <c r="I1544" s="994"/>
      <c r="J1544" s="992"/>
      <c r="K1544" s="994"/>
      <c r="L1544" s="992"/>
      <c r="M1544" s="995"/>
      <c r="N1544" s="996"/>
      <c r="O1544" s="996"/>
      <c r="P1544" s="79" t="str">
        <f>IF(AND('331-CT'!$E$7=TH!H1544,OR(N1544="331",O1544="331")),"x","")</f>
        <v/>
      </c>
      <c r="Q1544" s="79" t="str">
        <f>IF(AND(B1544='111'!$L$11,OR($N1544=$Q$7,$O1544=$Q$7)),"x","")</f>
        <v/>
      </c>
      <c r="R1544" s="79" t="str">
        <f>IF(AND($N1544=$Q$7,$B1544&lt;'111'!$L$11),"x","")</f>
        <v/>
      </c>
      <c r="S1544" s="79" t="str">
        <f>IF(AND($O1544=$Q$7,$B1544&lt;'111'!$L$11),"x","")</f>
        <v/>
      </c>
      <c r="T1544" s="79" t="str">
        <f>IF(ISERROR(FIND('112'!$M$9,G1544,1)),"",IF((AND(FIND('112'!$M$9,G1544,1)&gt;=1,B1544='112'!$K$9,OR($N1544='112'!$I$6,$O1544='112'!$I$6))),"x",""))</f>
        <v/>
      </c>
      <c r="U1544" s="79" t="str">
        <f>IF(ISERROR(FIND('112'!$M$9,G1544,1)),"",IF((AND(LEFT(G1544,2)=LEFT('112'!$M$9,2),B1544&lt;'112'!$K$9,$N1544='112'!$I$6)),"x",""))</f>
        <v/>
      </c>
      <c r="V1544" s="79" t="str">
        <f>IF(ISERROR(FIND('112'!$M$9,G1544,1)),"",IF((AND(RIGHT(G1544,2)=RIGHT('112'!$M$9,2),B1544&lt;'112'!$K$9,$O1544='112'!$I$6)),"x",""))</f>
        <v/>
      </c>
      <c r="W1544" s="79" t="str">
        <f>IF(AND('341-CT'!$H$9=H1544,OR(LEFT(N1544,3)=$W$7,LEFT(O1544,3)=$W$7)),"x","")</f>
        <v/>
      </c>
      <c r="X1544" s="79" t="str">
        <f>IF(OR(TH!N1544=TH!$X$7,O1544=TH!$X$7),"x","")</f>
        <v/>
      </c>
      <c r="Y1544" s="79" t="str">
        <f>IF(AND(OR(N1544="131",O1544="131"),H1544='131-CT'!$H$9),"x","")</f>
        <v/>
      </c>
      <c r="Z1544" s="79"/>
      <c r="AA1544" s="79" t="str">
        <f>IF(AND(MONTH(E1544)='IN-NX'!$J$5,'IN-NX'!$D$7=D1544),"x","")</f>
        <v/>
      </c>
      <c r="AB1544" s="79" t="str">
        <f>IF(AND(OR(LEFT(TH!N1544,2)="15",LEFT(TH!O1544,2)="15"),LEFT(TH!O1544,3)&lt;&gt;"111",'152-CT'!$J$8=TH!F1544),"x","")</f>
        <v/>
      </c>
      <c r="AC1544" s="79" t="str">
        <f>IF(AND(OR(LEFT(TH!N1544,2)="15",LEFT(TH!O1544,2)="15"),TK!$E$7=TH!F1544),"x","")</f>
        <v/>
      </c>
      <c r="AD1544" s="79" t="str">
        <f>IF(AND(N1544="1521",MONTH(C1544)='BK-NL'!$M$11),"x","")</f>
        <v/>
      </c>
    </row>
    <row r="1545" spans="1:30" ht="16.5" customHeight="1">
      <c r="A1545" s="318" t="str">
        <f>IF(B1545&lt;&gt;"",IF(AND(B1545='IN-TC'!$S$4,OR(TH!N1545="1111",TH!O1545="1111")),TH!D1545,""),"")</f>
        <v/>
      </c>
      <c r="B1545" s="60" t="str">
        <f t="shared" si="208"/>
        <v/>
      </c>
      <c r="C1545" s="989"/>
      <c r="D1545" s="989"/>
      <c r="E1545" s="989"/>
      <c r="F1545" s="921"/>
      <c r="G1545" s="991"/>
      <c r="H1545" s="1105"/>
      <c r="I1545" s="994"/>
      <c r="J1545" s="992"/>
      <c r="K1545" s="994"/>
      <c r="L1545" s="992"/>
      <c r="M1545" s="995"/>
      <c r="N1545" s="996"/>
      <c r="O1545" s="996"/>
      <c r="P1545" s="79" t="str">
        <f>IF(AND('331-CT'!$E$7=TH!H1545,OR(N1545="331",O1545="331")),"x","")</f>
        <v/>
      </c>
      <c r="Q1545" s="79" t="str">
        <f>IF(AND(B1545='111'!$L$11,OR($N1545=$Q$7,$O1545=$Q$7)),"x","")</f>
        <v/>
      </c>
      <c r="R1545" s="79" t="str">
        <f>IF(AND($N1545=$Q$7,$B1545&lt;'111'!$L$11),"x","")</f>
        <v/>
      </c>
      <c r="S1545" s="79" t="str">
        <f>IF(AND($O1545=$Q$7,$B1545&lt;'111'!$L$11),"x","")</f>
        <v/>
      </c>
      <c r="T1545" s="79" t="str">
        <f>IF(ISERROR(FIND('112'!$M$9,G1545,1)),"",IF((AND(FIND('112'!$M$9,G1545,1)&gt;=1,B1545='112'!$K$9,OR($N1545='112'!$I$6,$O1545='112'!$I$6))),"x",""))</f>
        <v/>
      </c>
      <c r="U1545" s="79" t="str">
        <f>IF(ISERROR(FIND('112'!$M$9,G1545,1)),"",IF((AND(LEFT(G1545,2)=LEFT('112'!$M$9,2),B1545&lt;'112'!$K$9,$N1545='112'!$I$6)),"x",""))</f>
        <v/>
      </c>
      <c r="V1545" s="79" t="str">
        <f>IF(ISERROR(FIND('112'!$M$9,G1545,1)),"",IF((AND(RIGHT(G1545,2)=RIGHT('112'!$M$9,2),B1545&lt;'112'!$K$9,$O1545='112'!$I$6)),"x",""))</f>
        <v/>
      </c>
      <c r="W1545" s="79" t="str">
        <f>IF(AND('341-CT'!$H$9=H1545,OR(LEFT(N1545,3)=$W$7,LEFT(O1545,3)=$W$7)),"x","")</f>
        <v/>
      </c>
      <c r="X1545" s="79" t="str">
        <f>IF(OR(TH!N1545=TH!$X$7,O1545=TH!$X$7),"x","")</f>
        <v/>
      </c>
      <c r="Y1545" s="79" t="str">
        <f>IF(AND(OR(N1545="131",O1545="131"),H1545='131-CT'!$H$9),"x","")</f>
        <v/>
      </c>
      <c r="Z1545" s="79"/>
      <c r="AA1545" s="79" t="str">
        <f>IF(AND(MONTH(E1545)='IN-NX'!$J$5,'IN-NX'!$D$7=D1545),"x","")</f>
        <v/>
      </c>
      <c r="AB1545" s="79" t="str">
        <f>IF(AND(OR(LEFT(TH!N1545,2)="15",LEFT(TH!O1545,2)="15"),LEFT(TH!O1545,3)&lt;&gt;"111",'152-CT'!$J$8=TH!F1545),"x","")</f>
        <v/>
      </c>
      <c r="AC1545" s="79" t="str">
        <f>IF(AND(OR(LEFT(TH!N1545,2)="15",LEFT(TH!O1545,2)="15"),TK!$E$7=TH!F1545),"x","")</f>
        <v/>
      </c>
      <c r="AD1545" s="79" t="str">
        <f>IF(AND(N1545="1521",MONTH(C1545)='BK-NL'!$M$11),"x","")</f>
        <v/>
      </c>
    </row>
    <row r="1546" spans="1:30" ht="16.5" customHeight="1">
      <c r="A1546" s="318" t="str">
        <f>IF(B1546&lt;&gt;"",IF(AND(B1546='IN-TC'!$S$4,OR(TH!N1546="1111",TH!O1546="1111")),TH!D1546,""),"")</f>
        <v/>
      </c>
      <c r="B1546" s="60" t="str">
        <f t="shared" si="208"/>
        <v/>
      </c>
      <c r="C1546" s="989"/>
      <c r="D1546" s="989"/>
      <c r="E1546" s="989"/>
      <c r="F1546" s="921"/>
      <c r="G1546" s="991"/>
      <c r="H1546" s="1105"/>
      <c r="I1546" s="994"/>
      <c r="J1546" s="992"/>
      <c r="K1546" s="994"/>
      <c r="L1546" s="992"/>
      <c r="M1546" s="995"/>
      <c r="N1546" s="996"/>
      <c r="O1546" s="996"/>
      <c r="P1546" s="79" t="str">
        <f>IF(AND('331-CT'!$E$7=TH!H1546,OR(N1546="331",O1546="331")),"x","")</f>
        <v/>
      </c>
      <c r="Q1546" s="79" t="str">
        <f>IF(AND(B1546='111'!$L$11,OR($N1546=$Q$7,$O1546=$Q$7)),"x","")</f>
        <v/>
      </c>
      <c r="R1546" s="79" t="str">
        <f>IF(AND($N1546=$Q$7,$B1546&lt;'111'!$L$11),"x","")</f>
        <v/>
      </c>
      <c r="S1546" s="79" t="str">
        <f>IF(AND($O1546=$Q$7,$B1546&lt;'111'!$L$11),"x","")</f>
        <v/>
      </c>
      <c r="T1546" s="79" t="str">
        <f>IF(ISERROR(FIND('112'!$M$9,G1546,1)),"",IF((AND(FIND('112'!$M$9,G1546,1)&gt;=1,B1546='112'!$K$9,OR($N1546='112'!$I$6,$O1546='112'!$I$6))),"x",""))</f>
        <v/>
      </c>
      <c r="U1546" s="79" t="str">
        <f>IF(ISERROR(FIND('112'!$M$9,G1546,1)),"",IF((AND(LEFT(G1546,2)=LEFT('112'!$M$9,2),B1546&lt;'112'!$K$9,$N1546='112'!$I$6)),"x",""))</f>
        <v/>
      </c>
      <c r="V1546" s="79" t="str">
        <f>IF(ISERROR(FIND('112'!$M$9,G1546,1)),"",IF((AND(RIGHT(G1546,2)=RIGHT('112'!$M$9,2),B1546&lt;'112'!$K$9,$O1546='112'!$I$6)),"x",""))</f>
        <v/>
      </c>
      <c r="W1546" s="79" t="str">
        <f>IF(AND('341-CT'!$H$9=H1546,OR(LEFT(N1546,3)=$W$7,LEFT(O1546,3)=$W$7)),"x","")</f>
        <v/>
      </c>
      <c r="X1546" s="79" t="str">
        <f>IF(OR(TH!N1546=TH!$X$7,O1546=TH!$X$7),"x","")</f>
        <v/>
      </c>
      <c r="Y1546" s="79" t="str">
        <f>IF(AND(OR(N1546="131",O1546="131"),H1546='131-CT'!$H$9),"x","")</f>
        <v/>
      </c>
      <c r="Z1546" s="79"/>
      <c r="AA1546" s="79" t="str">
        <f>IF(AND(MONTH(E1546)='IN-NX'!$J$5,'IN-NX'!$D$7=D1546),"x","")</f>
        <v/>
      </c>
      <c r="AB1546" s="79" t="str">
        <f>IF(AND(OR(LEFT(TH!N1546,2)="15",LEFT(TH!O1546,2)="15"),LEFT(TH!O1546,3)&lt;&gt;"111",'152-CT'!$J$8=TH!F1546),"x","")</f>
        <v/>
      </c>
      <c r="AC1546" s="79" t="str">
        <f>IF(AND(OR(LEFT(TH!N1546,2)="15",LEFT(TH!O1546,2)="15"),TK!$E$7=TH!F1546),"x","")</f>
        <v/>
      </c>
      <c r="AD1546" s="79" t="str">
        <f>IF(AND(N1546="1521",MONTH(C1546)='BK-NL'!$M$11),"x","")</f>
        <v/>
      </c>
    </row>
    <row r="1547" spans="1:30" ht="16.5" customHeight="1">
      <c r="A1547" s="318" t="str">
        <f>IF(B1547&lt;&gt;"",IF(AND(B1547='IN-TC'!$S$4,OR(TH!N1547="1111",TH!O1547="1111")),TH!D1547,""),"")</f>
        <v/>
      </c>
      <c r="B1547" s="60" t="str">
        <f t="shared" si="208"/>
        <v/>
      </c>
      <c r="C1547" s="989"/>
      <c r="D1547" s="989"/>
      <c r="E1547" s="989"/>
      <c r="F1547" s="990"/>
      <c r="G1547" s="991"/>
      <c r="H1547" s="1105"/>
      <c r="I1547" s="994"/>
      <c r="J1547" s="993"/>
      <c r="K1547" s="994"/>
      <c r="L1547" s="992"/>
      <c r="M1547" s="995"/>
      <c r="N1547" s="996"/>
      <c r="O1547" s="996"/>
      <c r="P1547" s="79" t="str">
        <f>IF(AND('331-CT'!$E$7=TH!H1547,OR(N1547="331",O1547="331")),"x","")</f>
        <v/>
      </c>
      <c r="Q1547" s="79" t="str">
        <f>IF(AND(B1547='111'!$L$11,OR($N1547=$Q$7,$O1547=$Q$7)),"x","")</f>
        <v/>
      </c>
      <c r="R1547" s="79" t="str">
        <f>IF(AND($N1547=$Q$7,$B1547&lt;'111'!$L$11),"x","")</f>
        <v/>
      </c>
      <c r="S1547" s="79" t="str">
        <f>IF(AND($O1547=$Q$7,$B1547&lt;'111'!$L$11),"x","")</f>
        <v/>
      </c>
      <c r="T1547" s="79" t="str">
        <f>IF(ISERROR(FIND('112'!$M$9,G1547,1)),"",IF((AND(FIND('112'!$M$9,G1547,1)&gt;=1,B1547='112'!$K$9,OR($N1547='112'!$I$6,$O1547='112'!$I$6))),"x",""))</f>
        <v/>
      </c>
      <c r="U1547" s="79" t="str">
        <f>IF(ISERROR(FIND('112'!$M$9,G1547,1)),"",IF((AND(LEFT(G1547,2)=LEFT('112'!$M$9,2),B1547&lt;'112'!$K$9,$N1547='112'!$I$6)),"x",""))</f>
        <v/>
      </c>
      <c r="V1547" s="79" t="str">
        <f>IF(ISERROR(FIND('112'!$M$9,G1547,1)),"",IF((AND(RIGHT(G1547,2)=RIGHT('112'!$M$9,2),B1547&lt;'112'!$K$9,$O1547='112'!$I$6)),"x",""))</f>
        <v/>
      </c>
      <c r="W1547" s="79" t="str">
        <f>IF(AND('341-CT'!$H$9=H1547,OR(LEFT(N1547,3)=$W$7,LEFT(O1547,3)=$W$7)),"x","")</f>
        <v/>
      </c>
      <c r="X1547" s="79" t="str">
        <f>IF(OR(TH!N1547=TH!$X$7,O1547=TH!$X$7),"x","")</f>
        <v/>
      </c>
      <c r="Y1547" s="79" t="str">
        <f>IF(AND(OR(N1547="131",O1547="131"),H1547='131-CT'!$H$9),"x","")</f>
        <v/>
      </c>
      <c r="Z1547" s="79"/>
      <c r="AA1547" s="79" t="str">
        <f>IF(AND(MONTH(E1547)='IN-NX'!$J$5,'IN-NX'!$D$7=D1547),"x","")</f>
        <v/>
      </c>
      <c r="AB1547" s="79" t="str">
        <f>IF(AND(OR(LEFT(TH!N1547,2)="15",LEFT(TH!O1547,2)="15"),LEFT(TH!O1547,3)&lt;&gt;"111",'152-CT'!$J$8=TH!F1547),"x","")</f>
        <v/>
      </c>
      <c r="AC1547" s="79" t="str">
        <f>IF(AND(OR(LEFT(TH!N1547,2)="15",LEFT(TH!O1547,2)="15"),TK!$E$7=TH!F1547),"x","")</f>
        <v/>
      </c>
      <c r="AD1547" s="79" t="str">
        <f>IF(AND(N1547="1521",MONTH(C1547)='BK-NL'!$M$11),"x","")</f>
        <v/>
      </c>
    </row>
    <row r="1548" spans="1:30" ht="16.5" customHeight="1">
      <c r="A1548" s="318" t="str">
        <f>IF(B1548&lt;&gt;"",IF(AND(B1548='IN-TC'!$S$4,OR(TH!N1548="1111",TH!O1548="1111")),TH!D1548,""),"")</f>
        <v/>
      </c>
      <c r="B1548" s="60" t="str">
        <f t="shared" si="208"/>
        <v/>
      </c>
      <c r="C1548" s="989"/>
      <c r="D1548" s="989"/>
      <c r="E1548" s="989"/>
      <c r="F1548" s="990"/>
      <c r="G1548" s="991"/>
      <c r="H1548" s="1105"/>
      <c r="I1548" s="994"/>
      <c r="J1548" s="993"/>
      <c r="K1548" s="994"/>
      <c r="L1548" s="992"/>
      <c r="M1548" s="995"/>
      <c r="N1548" s="996"/>
      <c r="O1548" s="996"/>
      <c r="P1548" s="79" t="str">
        <f>IF(AND('331-CT'!$E$7=TH!H1548,OR(N1548="331",O1548="331")),"x","")</f>
        <v/>
      </c>
      <c r="Q1548" s="79" t="str">
        <f>IF(AND(B1548='111'!$L$11,OR($N1548=$Q$7,$O1548=$Q$7)),"x","")</f>
        <v/>
      </c>
      <c r="R1548" s="79" t="str">
        <f>IF(AND($N1548=$Q$7,$B1548&lt;'111'!$L$11),"x","")</f>
        <v/>
      </c>
      <c r="S1548" s="79" t="str">
        <f>IF(AND($O1548=$Q$7,$B1548&lt;'111'!$L$11),"x","")</f>
        <v/>
      </c>
      <c r="T1548" s="79" t="str">
        <f>IF(ISERROR(FIND('112'!$M$9,G1548,1)),"",IF((AND(FIND('112'!$M$9,G1548,1)&gt;=1,B1548='112'!$K$9,OR($N1548='112'!$I$6,$O1548='112'!$I$6))),"x",""))</f>
        <v/>
      </c>
      <c r="U1548" s="79" t="str">
        <f>IF(ISERROR(FIND('112'!$M$9,G1548,1)),"",IF((AND(LEFT(G1548,2)=LEFT('112'!$M$9,2),B1548&lt;'112'!$K$9,$N1548='112'!$I$6)),"x",""))</f>
        <v/>
      </c>
      <c r="V1548" s="79" t="str">
        <f>IF(ISERROR(FIND('112'!$M$9,G1548,1)),"",IF((AND(RIGHT(G1548,2)=RIGHT('112'!$M$9,2),B1548&lt;'112'!$K$9,$O1548='112'!$I$6)),"x",""))</f>
        <v/>
      </c>
      <c r="W1548" s="79" t="str">
        <f>IF(AND('341-CT'!$H$9=H1548,OR(LEFT(N1548,3)=$W$7,LEFT(O1548,3)=$W$7)),"x","")</f>
        <v/>
      </c>
      <c r="X1548" s="79" t="str">
        <f>IF(OR(TH!N1548=TH!$X$7,O1548=TH!$X$7),"x","")</f>
        <v/>
      </c>
      <c r="Y1548" s="79" t="str">
        <f>IF(AND(OR(N1548="131",O1548="131"),H1548='131-CT'!$H$9),"x","")</f>
        <v/>
      </c>
      <c r="Z1548" s="79"/>
      <c r="AA1548" s="79" t="str">
        <f>IF(AND(MONTH(E1548)='IN-NX'!$J$5,'IN-NX'!$D$7=D1548),"x","")</f>
        <v/>
      </c>
      <c r="AB1548" s="79" t="str">
        <f>IF(AND(OR(LEFT(TH!N1548,2)="15",LEFT(TH!O1548,2)="15"),LEFT(TH!O1548,3)&lt;&gt;"111",'152-CT'!$J$8=TH!F1548),"x","")</f>
        <v/>
      </c>
      <c r="AC1548" s="79" t="str">
        <f>IF(AND(OR(LEFT(TH!N1548,2)="15",LEFT(TH!O1548,2)="15"),TK!$E$7=TH!F1548),"x","")</f>
        <v/>
      </c>
      <c r="AD1548" s="79" t="str">
        <f>IF(AND(N1548="1521",MONTH(C1548)='BK-NL'!$M$11),"x","")</f>
        <v/>
      </c>
    </row>
    <row r="1549" spans="1:30" ht="16.5" customHeight="1">
      <c r="A1549" s="318" t="str">
        <f>IF(B1549&lt;&gt;"",IF(AND(B1549='IN-TC'!$S$4,OR(TH!N1549="1111",TH!O1549="1111")),TH!D1549,""),"")</f>
        <v/>
      </c>
      <c r="B1549" s="60" t="str">
        <f t="shared" si="208"/>
        <v/>
      </c>
      <c r="C1549" s="989"/>
      <c r="D1549" s="989"/>
      <c r="E1549" s="989"/>
      <c r="F1549" s="921"/>
      <c r="G1549" s="991"/>
      <c r="H1549" s="1105"/>
      <c r="I1549" s="994"/>
      <c r="J1549" s="992"/>
      <c r="K1549" s="994"/>
      <c r="L1549" s="992"/>
      <c r="M1549" s="995"/>
      <c r="N1549" s="996"/>
      <c r="O1549" s="996"/>
      <c r="P1549" s="79" t="str">
        <f>IF(AND('331-CT'!$E$7=TH!H1549,OR(N1549="331",O1549="331")),"x","")</f>
        <v/>
      </c>
      <c r="Q1549" s="79" t="str">
        <f>IF(AND(B1549='111'!$L$11,OR($N1549=$Q$7,$O1549=$Q$7)),"x","")</f>
        <v/>
      </c>
      <c r="R1549" s="79" t="str">
        <f>IF(AND($N1549=$Q$7,$B1549&lt;'111'!$L$11),"x","")</f>
        <v/>
      </c>
      <c r="S1549" s="79" t="str">
        <f>IF(AND($O1549=$Q$7,$B1549&lt;'111'!$L$11),"x","")</f>
        <v/>
      </c>
      <c r="T1549" s="79" t="str">
        <f>IF(ISERROR(FIND('112'!$M$9,G1549,1)),"",IF((AND(FIND('112'!$M$9,G1549,1)&gt;=1,B1549='112'!$K$9,OR($N1549='112'!$I$6,$O1549='112'!$I$6))),"x",""))</f>
        <v/>
      </c>
      <c r="U1549" s="79" t="str">
        <f>IF(ISERROR(FIND('112'!$M$9,G1549,1)),"",IF((AND(LEFT(G1549,2)=LEFT('112'!$M$9,2),B1549&lt;'112'!$K$9,$N1549='112'!$I$6)),"x",""))</f>
        <v/>
      </c>
      <c r="V1549" s="79" t="str">
        <f>IF(ISERROR(FIND('112'!$M$9,G1549,1)),"",IF((AND(RIGHT(G1549,2)=RIGHT('112'!$M$9,2),B1549&lt;'112'!$K$9,$O1549='112'!$I$6)),"x",""))</f>
        <v/>
      </c>
      <c r="W1549" s="79" t="str">
        <f>IF(AND('341-CT'!$H$9=H1549,OR(LEFT(N1549,3)=$W$7,LEFT(O1549,3)=$W$7)),"x","")</f>
        <v/>
      </c>
      <c r="X1549" s="79" t="str">
        <f>IF(OR(TH!N1549=TH!$X$7,O1549=TH!$X$7),"x","")</f>
        <v/>
      </c>
      <c r="Y1549" s="79" t="str">
        <f>IF(AND(OR(N1549="131",O1549="131"),H1549='131-CT'!$H$9),"x","")</f>
        <v/>
      </c>
      <c r="Z1549" s="79"/>
      <c r="AA1549" s="79" t="str">
        <f>IF(AND(MONTH(E1549)='IN-NX'!$J$5,'IN-NX'!$D$7=D1549),"x","")</f>
        <v/>
      </c>
      <c r="AB1549" s="79" t="str">
        <f>IF(AND(OR(LEFT(TH!N1549,2)="15",LEFT(TH!O1549,2)="15"),LEFT(TH!O1549,3)&lt;&gt;"111",'152-CT'!$J$8=TH!F1549),"x","")</f>
        <v/>
      </c>
      <c r="AC1549" s="79" t="str">
        <f>IF(AND(OR(LEFT(TH!N1549,2)="15",LEFT(TH!O1549,2)="15"),TK!$E$7=TH!F1549),"x","")</f>
        <v/>
      </c>
      <c r="AD1549" s="79" t="str">
        <f>IF(AND(N1549="1521",MONTH(C1549)='BK-NL'!$M$11),"x","")</f>
        <v/>
      </c>
    </row>
    <row r="1550" spans="1:30" ht="16.5" customHeight="1">
      <c r="A1550" s="318" t="str">
        <f>IF(B1550&lt;&gt;"",IF(AND(B1550='IN-TC'!$S$4,OR(TH!N1550="1111",TH!O1550="1111")),TH!D1550,""),"")</f>
        <v/>
      </c>
      <c r="B1550" s="60" t="str">
        <f t="shared" si="208"/>
        <v/>
      </c>
      <c r="C1550" s="989"/>
      <c r="D1550" s="989"/>
      <c r="E1550" s="989"/>
      <c r="F1550" s="921"/>
      <c r="G1550" s="991"/>
      <c r="H1550" s="1105"/>
      <c r="I1550" s="994"/>
      <c r="J1550" s="992"/>
      <c r="K1550" s="994"/>
      <c r="L1550" s="992"/>
      <c r="M1550" s="995"/>
      <c r="N1550" s="996"/>
      <c r="O1550" s="996"/>
      <c r="P1550" s="79" t="str">
        <f>IF(AND('331-CT'!$E$7=TH!H1550,OR(N1550="331",O1550="331")),"x","")</f>
        <v/>
      </c>
      <c r="Q1550" s="79" t="str">
        <f>IF(AND(B1550='111'!$L$11,OR($N1550=$Q$7,$O1550=$Q$7)),"x","")</f>
        <v/>
      </c>
      <c r="R1550" s="79" t="str">
        <f>IF(AND($N1550=$Q$7,$B1550&lt;'111'!$L$11),"x","")</f>
        <v/>
      </c>
      <c r="S1550" s="79" t="str">
        <f>IF(AND($O1550=$Q$7,$B1550&lt;'111'!$L$11),"x","")</f>
        <v/>
      </c>
      <c r="T1550" s="79" t="str">
        <f>IF(ISERROR(FIND('112'!$M$9,G1550,1)),"",IF((AND(FIND('112'!$M$9,G1550,1)&gt;=1,B1550='112'!$K$9,OR($N1550='112'!$I$6,$O1550='112'!$I$6))),"x",""))</f>
        <v/>
      </c>
      <c r="U1550" s="79" t="str">
        <f>IF(ISERROR(FIND('112'!$M$9,G1550,1)),"",IF((AND(LEFT(G1550,2)=LEFT('112'!$M$9,2),B1550&lt;'112'!$K$9,$N1550='112'!$I$6)),"x",""))</f>
        <v/>
      </c>
      <c r="V1550" s="79" t="str">
        <f>IF(ISERROR(FIND('112'!$M$9,G1550,1)),"",IF((AND(RIGHT(G1550,2)=RIGHT('112'!$M$9,2),B1550&lt;'112'!$K$9,$O1550='112'!$I$6)),"x",""))</f>
        <v/>
      </c>
      <c r="W1550" s="79" t="str">
        <f>IF(AND('341-CT'!$H$9=H1550,OR(LEFT(N1550,3)=$W$7,LEFT(O1550,3)=$W$7)),"x","")</f>
        <v/>
      </c>
      <c r="X1550" s="79" t="str">
        <f>IF(OR(TH!N1550=TH!$X$7,O1550=TH!$X$7),"x","")</f>
        <v/>
      </c>
      <c r="Y1550" s="79" t="str">
        <f>IF(AND(OR(N1550="131",O1550="131"),H1550='131-CT'!$H$9),"x","")</f>
        <v/>
      </c>
      <c r="Z1550" s="79"/>
      <c r="AA1550" s="79" t="str">
        <f>IF(AND(MONTH(E1550)='IN-NX'!$J$5,'IN-NX'!$D$7=D1550),"x","")</f>
        <v/>
      </c>
      <c r="AB1550" s="79" t="str">
        <f>IF(AND(OR(LEFT(TH!N1550,2)="15",LEFT(TH!O1550,2)="15"),LEFT(TH!O1550,3)&lt;&gt;"111",'152-CT'!$J$8=TH!F1550),"x","")</f>
        <v/>
      </c>
      <c r="AC1550" s="79" t="str">
        <f>IF(AND(OR(LEFT(TH!N1550,2)="15",LEFT(TH!O1550,2)="15"),TK!$E$7=TH!F1550),"x","")</f>
        <v/>
      </c>
      <c r="AD1550" s="79" t="str">
        <f>IF(AND(N1550="1521",MONTH(C1550)='BK-NL'!$M$11),"x","")</f>
        <v/>
      </c>
    </row>
    <row r="1551" spans="1:30" ht="16.5" customHeight="1">
      <c r="A1551" s="318" t="str">
        <f>IF(B1551&lt;&gt;"",IF(AND(B1551='IN-TC'!$S$4,OR(TH!N1551="1111",TH!O1551="1111")),TH!D1551,""),"")</f>
        <v/>
      </c>
      <c r="B1551" s="60" t="str">
        <f t="shared" si="208"/>
        <v/>
      </c>
      <c r="C1551" s="989"/>
      <c r="D1551" s="989"/>
      <c r="E1551" s="989"/>
      <c r="F1551" s="921"/>
      <c r="G1551" s="991"/>
      <c r="H1551" s="1105"/>
      <c r="I1551" s="994"/>
      <c r="J1551" s="992"/>
      <c r="K1551" s="994"/>
      <c r="L1551" s="992"/>
      <c r="M1551" s="995"/>
      <c r="N1551" s="996"/>
      <c r="O1551" s="996"/>
      <c r="P1551" s="79" t="str">
        <f>IF(AND('331-CT'!$E$7=TH!H1551,OR(N1551="331",O1551="331")),"x","")</f>
        <v/>
      </c>
      <c r="Q1551" s="79" t="str">
        <f>IF(AND(B1551='111'!$L$11,OR($N1551=$Q$7,$O1551=$Q$7)),"x","")</f>
        <v/>
      </c>
      <c r="R1551" s="79" t="str">
        <f>IF(AND($N1551=$Q$7,$B1551&lt;'111'!$L$11),"x","")</f>
        <v/>
      </c>
      <c r="S1551" s="79" t="str">
        <f>IF(AND($O1551=$Q$7,$B1551&lt;'111'!$L$11),"x","")</f>
        <v/>
      </c>
      <c r="T1551" s="79" t="str">
        <f>IF(ISERROR(FIND('112'!$M$9,G1551,1)),"",IF((AND(FIND('112'!$M$9,G1551,1)&gt;=1,B1551='112'!$K$9,OR($N1551='112'!$I$6,$O1551='112'!$I$6))),"x",""))</f>
        <v/>
      </c>
      <c r="U1551" s="79" t="str">
        <f>IF(ISERROR(FIND('112'!$M$9,G1551,1)),"",IF((AND(LEFT(G1551,2)=LEFT('112'!$M$9,2),B1551&lt;'112'!$K$9,$N1551='112'!$I$6)),"x",""))</f>
        <v/>
      </c>
      <c r="V1551" s="79" t="str">
        <f>IF(ISERROR(FIND('112'!$M$9,G1551,1)),"",IF((AND(RIGHT(G1551,2)=RIGHT('112'!$M$9,2),B1551&lt;'112'!$K$9,$O1551='112'!$I$6)),"x",""))</f>
        <v/>
      </c>
      <c r="W1551" s="79" t="str">
        <f>IF(AND('341-CT'!$H$9=H1551,OR(LEFT(N1551,3)=$W$7,LEFT(O1551,3)=$W$7)),"x","")</f>
        <v/>
      </c>
      <c r="X1551" s="79" t="str">
        <f>IF(OR(TH!N1551=TH!$X$7,O1551=TH!$X$7),"x","")</f>
        <v/>
      </c>
      <c r="Y1551" s="79" t="str">
        <f>IF(AND(OR(N1551="131",O1551="131"),H1551='131-CT'!$H$9),"x","")</f>
        <v/>
      </c>
      <c r="Z1551" s="79"/>
      <c r="AA1551" s="79" t="str">
        <f>IF(AND(MONTH(E1551)='IN-NX'!$J$5,'IN-NX'!$D$7=D1551),"x","")</f>
        <v/>
      </c>
      <c r="AB1551" s="79" t="str">
        <f>IF(AND(OR(LEFT(TH!N1551,2)="15",LEFT(TH!O1551,2)="15"),LEFT(TH!O1551,3)&lt;&gt;"111",'152-CT'!$J$8=TH!F1551),"x","")</f>
        <v/>
      </c>
      <c r="AC1551" s="79" t="str">
        <f>IF(AND(OR(LEFT(TH!N1551,2)="15",LEFT(TH!O1551,2)="15"),TK!$E$7=TH!F1551),"x","")</f>
        <v/>
      </c>
      <c r="AD1551" s="79" t="str">
        <f>IF(AND(N1551="1521",MONTH(C1551)='BK-NL'!$M$11),"x","")</f>
        <v/>
      </c>
    </row>
    <row r="1552" spans="1:30" ht="16.5" customHeight="1">
      <c r="A1552" s="318" t="str">
        <f>IF(B1552&lt;&gt;"",IF(AND(B1552='IN-TC'!$S$4,OR(TH!N1552="1111",TH!O1552="1111")),TH!D1552,""),"")</f>
        <v/>
      </c>
      <c r="B1552" s="60" t="str">
        <f t="shared" si="208"/>
        <v/>
      </c>
      <c r="C1552" s="989"/>
      <c r="D1552" s="989"/>
      <c r="E1552" s="989"/>
      <c r="F1552" s="921"/>
      <c r="G1552" s="991"/>
      <c r="H1552" s="1105"/>
      <c r="I1552" s="994"/>
      <c r="J1552" s="992"/>
      <c r="K1552" s="994"/>
      <c r="L1552" s="992"/>
      <c r="M1552" s="995"/>
      <c r="N1552" s="996"/>
      <c r="O1552" s="996"/>
      <c r="P1552" s="79" t="str">
        <f>IF(AND('331-CT'!$E$7=TH!H1552,OR(N1552="331",O1552="331")),"x","")</f>
        <v/>
      </c>
      <c r="Q1552" s="79" t="str">
        <f>IF(AND(B1552='111'!$L$11,OR($N1552=$Q$7,$O1552=$Q$7)),"x","")</f>
        <v/>
      </c>
      <c r="R1552" s="79" t="str">
        <f>IF(AND($N1552=$Q$7,$B1552&lt;'111'!$L$11),"x","")</f>
        <v/>
      </c>
      <c r="S1552" s="79" t="str">
        <f>IF(AND($O1552=$Q$7,$B1552&lt;'111'!$L$11),"x","")</f>
        <v/>
      </c>
      <c r="T1552" s="79" t="str">
        <f>IF(ISERROR(FIND('112'!$M$9,G1552,1)),"",IF((AND(FIND('112'!$M$9,G1552,1)&gt;=1,B1552='112'!$K$9,OR($N1552='112'!$I$6,$O1552='112'!$I$6))),"x",""))</f>
        <v/>
      </c>
      <c r="U1552" s="79" t="str">
        <f>IF(ISERROR(FIND('112'!$M$9,G1552,1)),"",IF((AND(LEFT(G1552,2)=LEFT('112'!$M$9,2),B1552&lt;'112'!$K$9,$N1552='112'!$I$6)),"x",""))</f>
        <v/>
      </c>
      <c r="V1552" s="79" t="str">
        <f>IF(ISERROR(FIND('112'!$M$9,G1552,1)),"",IF((AND(RIGHT(G1552,2)=RIGHT('112'!$M$9,2),B1552&lt;'112'!$K$9,$O1552='112'!$I$6)),"x",""))</f>
        <v/>
      </c>
      <c r="W1552" s="79" t="str">
        <f>IF(AND('341-CT'!$H$9=H1552,OR(LEFT(N1552,3)=$W$7,LEFT(O1552,3)=$W$7)),"x","")</f>
        <v/>
      </c>
      <c r="X1552" s="79" t="str">
        <f>IF(OR(TH!N1552=TH!$X$7,O1552=TH!$X$7),"x","")</f>
        <v/>
      </c>
      <c r="Y1552" s="79" t="str">
        <f>IF(AND(OR(N1552="131",O1552="131"),H1552='131-CT'!$H$9),"x","")</f>
        <v/>
      </c>
      <c r="Z1552" s="79"/>
      <c r="AA1552" s="79" t="str">
        <f>IF(AND(MONTH(E1552)='IN-NX'!$J$5,'IN-NX'!$D$7=D1552),"x","")</f>
        <v/>
      </c>
      <c r="AB1552" s="79" t="str">
        <f>IF(AND(OR(LEFT(TH!N1552,2)="15",LEFT(TH!O1552,2)="15"),LEFT(TH!O1552,3)&lt;&gt;"111",'152-CT'!$J$8=TH!F1552),"x","")</f>
        <v/>
      </c>
      <c r="AC1552" s="79" t="str">
        <f>IF(AND(OR(LEFT(TH!N1552,2)="15",LEFT(TH!O1552,2)="15"),TK!$E$7=TH!F1552),"x","")</f>
        <v/>
      </c>
      <c r="AD1552" s="79" t="str">
        <f>IF(AND(N1552="1521",MONTH(C1552)='BK-NL'!$M$11),"x","")</f>
        <v/>
      </c>
    </row>
    <row r="1553" spans="1:30" ht="16.5" customHeight="1">
      <c r="A1553" s="318" t="str">
        <f>IF(B1553&lt;&gt;"",IF(AND(B1553='IN-TC'!$S$4,OR(TH!N1553="1111",TH!O1553="1111")),TH!D1553,""),"")</f>
        <v/>
      </c>
      <c r="B1553" s="60" t="str">
        <f t="shared" si="208"/>
        <v/>
      </c>
      <c r="C1553" s="1211"/>
      <c r="D1553" s="989"/>
      <c r="E1553" s="1211"/>
      <c r="F1553" s="1212"/>
      <c r="G1553" s="1212"/>
      <c r="H1553" s="1011"/>
      <c r="I1553" s="994"/>
      <c r="J1553" s="992"/>
      <c r="K1553" s="994"/>
      <c r="L1553" s="992"/>
      <c r="M1553" s="1213"/>
      <c r="N1553" s="1171"/>
      <c r="O1553" s="996"/>
      <c r="P1553" s="79" t="str">
        <f>IF(AND('331-CT'!$E$7=TH!H1553,OR(N1553="331",O1553="331")),"x","")</f>
        <v/>
      </c>
      <c r="Q1553" s="79" t="str">
        <f>IF(AND(B1553='111'!$L$11,OR($N1553=$Q$7,$O1553=$Q$7)),"x","")</f>
        <v/>
      </c>
      <c r="R1553" s="79" t="str">
        <f>IF(AND($N1553=$Q$7,$B1553&lt;'111'!$L$11),"x","")</f>
        <v/>
      </c>
      <c r="S1553" s="79" t="str">
        <f>IF(AND($O1553=$Q$7,$B1553&lt;'111'!$L$11),"x","")</f>
        <v/>
      </c>
      <c r="T1553" s="79" t="str">
        <f>IF(ISERROR(FIND('112'!$M$9,G1553,1)),"",IF((AND(FIND('112'!$M$9,G1553,1)&gt;=1,B1553='112'!$K$9,OR($N1553='112'!$I$6,$O1553='112'!$I$6))),"x",""))</f>
        <v/>
      </c>
      <c r="U1553" s="79" t="str">
        <f>IF(ISERROR(FIND('112'!$M$9,G1553,1)),"",IF((AND(LEFT(G1553,2)=LEFT('112'!$M$9,2),B1553&lt;'112'!$K$9,$N1553='112'!$I$6)),"x",""))</f>
        <v/>
      </c>
      <c r="V1553" s="79" t="str">
        <f>IF(ISERROR(FIND('112'!$M$9,G1553,1)),"",IF((AND(RIGHT(G1553,2)=RIGHT('112'!$M$9,2),B1553&lt;'112'!$K$9,$O1553='112'!$I$6)),"x",""))</f>
        <v/>
      </c>
      <c r="W1553" s="79" t="str">
        <f>IF(AND('341-CT'!$H$9=H1553,OR(LEFT(N1553,3)=$W$7,LEFT(O1553,3)=$W$7)),"x","")</f>
        <v/>
      </c>
      <c r="X1553" s="79" t="str">
        <f>IF(OR(TH!N1553=TH!$X$7,O1553=TH!$X$7),"x","")</f>
        <v/>
      </c>
      <c r="Y1553" s="79" t="str">
        <f>IF(AND(OR(N1553="131",O1553="131"),H1553='131-CT'!$H$9),"x","")</f>
        <v/>
      </c>
      <c r="Z1553" s="79"/>
      <c r="AA1553" s="79" t="str">
        <f>IF(AND(MONTH(E1553)='IN-NX'!$J$5,'IN-NX'!$D$7=D1553),"x","")</f>
        <v/>
      </c>
      <c r="AB1553" s="79" t="str">
        <f>IF(AND(OR(LEFT(TH!N1553,2)="15",LEFT(TH!O1553,2)="15"),LEFT(TH!O1553,3)&lt;&gt;"111",'152-CT'!$J$8=TH!F1553),"x","")</f>
        <v/>
      </c>
      <c r="AC1553" s="79" t="str">
        <f>IF(AND(OR(LEFT(TH!N1553,2)="15",LEFT(TH!O1553,2)="15"),TK!$E$7=TH!F1553),"x","")</f>
        <v/>
      </c>
      <c r="AD1553" s="79" t="str">
        <f>IF(AND(N1553="1521",MONTH(C1553)='BK-NL'!$M$11),"x","")</f>
        <v/>
      </c>
    </row>
    <row r="1554" spans="1:30" ht="16.5" customHeight="1">
      <c r="A1554" s="318" t="str">
        <f>IF(B1554&lt;&gt;"",IF(AND(B1554='IN-TC'!$S$4,OR(TH!N1554="1111",TH!O1554="1111")),TH!D1554,""),"")</f>
        <v/>
      </c>
      <c r="B1554" s="60" t="str">
        <f t="shared" si="208"/>
        <v/>
      </c>
      <c r="C1554" s="1211"/>
      <c r="D1554" s="989"/>
      <c r="E1554" s="1211"/>
      <c r="F1554" s="1212"/>
      <c r="G1554" s="1214"/>
      <c r="H1554" s="1011"/>
      <c r="I1554" s="994"/>
      <c r="J1554" s="992"/>
      <c r="K1554" s="994"/>
      <c r="L1554" s="992"/>
      <c r="M1554" s="1213"/>
      <c r="N1554" s="1171"/>
      <c r="O1554" s="996"/>
      <c r="P1554" s="79" t="str">
        <f>IF(AND('331-CT'!$E$7=TH!H1554,OR(N1554="331",O1554="331")),"x","")</f>
        <v/>
      </c>
      <c r="Q1554" s="79" t="str">
        <f>IF(AND(B1554='111'!$L$11,OR($N1554=$Q$7,$O1554=$Q$7)),"x","")</f>
        <v/>
      </c>
      <c r="R1554" s="79" t="str">
        <f>IF(AND($N1554=$Q$7,$B1554&lt;'111'!$L$11),"x","")</f>
        <v/>
      </c>
      <c r="S1554" s="79" t="str">
        <f>IF(AND($O1554=$Q$7,$B1554&lt;'111'!$L$11),"x","")</f>
        <v/>
      </c>
      <c r="T1554" s="79" t="str">
        <f>IF(ISERROR(FIND('112'!$M$9,G1554,1)),"",IF((AND(FIND('112'!$M$9,G1554,1)&gt;=1,B1554='112'!$K$9,OR($N1554='112'!$I$6,$O1554='112'!$I$6))),"x",""))</f>
        <v/>
      </c>
      <c r="U1554" s="79" t="str">
        <f>IF(ISERROR(FIND('112'!$M$9,G1554,1)),"",IF((AND(LEFT(G1554,2)=LEFT('112'!$M$9,2),B1554&lt;'112'!$K$9,$N1554='112'!$I$6)),"x",""))</f>
        <v/>
      </c>
      <c r="V1554" s="79" t="str">
        <f>IF(ISERROR(FIND('112'!$M$9,G1554,1)),"",IF((AND(RIGHT(G1554,2)=RIGHT('112'!$M$9,2),B1554&lt;'112'!$K$9,$O1554='112'!$I$6)),"x",""))</f>
        <v/>
      </c>
      <c r="W1554" s="79" t="str">
        <f>IF(AND('341-CT'!$H$9=H1554,OR(LEFT(N1554,3)=$W$7,LEFT(O1554,3)=$W$7)),"x","")</f>
        <v/>
      </c>
      <c r="X1554" s="79" t="str">
        <f>IF(OR(TH!N1554=TH!$X$7,O1554=TH!$X$7),"x","")</f>
        <v/>
      </c>
      <c r="Y1554" s="79" t="str">
        <f>IF(AND(OR(N1554="131",O1554="131"),H1554='131-CT'!$H$9),"x","")</f>
        <v/>
      </c>
      <c r="Z1554" s="79"/>
      <c r="AA1554" s="79" t="str">
        <f>IF(AND(MONTH(E1554)='IN-NX'!$J$5,'IN-NX'!$D$7=D1554),"x","")</f>
        <v/>
      </c>
      <c r="AB1554" s="79" t="str">
        <f>IF(AND(OR(LEFT(TH!N1554,2)="15",LEFT(TH!O1554,2)="15"),LEFT(TH!O1554,3)&lt;&gt;"111",'152-CT'!$J$8=TH!F1554),"x","")</f>
        <v/>
      </c>
      <c r="AC1554" s="79" t="str">
        <f>IF(AND(OR(LEFT(TH!N1554,2)="15",LEFT(TH!O1554,2)="15"),TK!$E$7=TH!F1554),"x","")</f>
        <v/>
      </c>
      <c r="AD1554" s="79" t="str">
        <f>IF(AND(N1554="1521",MONTH(C1554)='BK-NL'!$M$11),"x","")</f>
        <v/>
      </c>
    </row>
    <row r="1555" spans="1:30" ht="16.5" customHeight="1">
      <c r="A1555" s="318" t="str">
        <f>IF(B1555&lt;&gt;"",IF(AND(B1555='IN-TC'!$S$4,OR(TH!N1555="1111",TH!O1555="1111")),TH!D1555,""),"")</f>
        <v/>
      </c>
      <c r="B1555" s="60" t="str">
        <f t="shared" si="208"/>
        <v/>
      </c>
      <c r="C1555" s="989"/>
      <c r="D1555" s="989"/>
      <c r="E1555" s="989"/>
      <c r="F1555" s="990"/>
      <c r="G1555" s="991"/>
      <c r="H1555" s="1011"/>
      <c r="I1555" s="994"/>
      <c r="J1555" s="993"/>
      <c r="K1555" s="994"/>
      <c r="L1555" s="992"/>
      <c r="M1555" s="995"/>
      <c r="N1555" s="996"/>
      <c r="O1555" s="996"/>
      <c r="P1555" s="79" t="str">
        <f>IF(AND('331-CT'!$E$7=TH!H1555,OR(N1555="331",O1555="331")),"x","")</f>
        <v/>
      </c>
      <c r="Q1555" s="79" t="str">
        <f>IF(AND(B1555='111'!$L$11,OR($N1555=$Q$7,$O1555=$Q$7)),"x","")</f>
        <v/>
      </c>
      <c r="R1555" s="79" t="str">
        <f>IF(AND($N1555=$Q$7,$B1555&lt;'111'!$L$11),"x","")</f>
        <v/>
      </c>
      <c r="S1555" s="79" t="str">
        <f>IF(AND($O1555=$Q$7,$B1555&lt;'111'!$L$11),"x","")</f>
        <v/>
      </c>
      <c r="T1555" s="79" t="str">
        <f>IF(ISERROR(FIND('112'!$M$9,G1555,1)),"",IF((AND(FIND('112'!$M$9,G1555,1)&gt;=1,B1555='112'!$K$9,OR($N1555='112'!$I$6,$O1555='112'!$I$6))),"x",""))</f>
        <v/>
      </c>
      <c r="U1555" s="79" t="str">
        <f>IF(ISERROR(FIND('112'!$M$9,G1555,1)),"",IF((AND(LEFT(G1555,2)=LEFT('112'!$M$9,2),B1555&lt;'112'!$K$9,$N1555='112'!$I$6)),"x",""))</f>
        <v/>
      </c>
      <c r="V1555" s="79" t="str">
        <f>IF(ISERROR(FIND('112'!$M$9,G1555,1)),"",IF((AND(RIGHT(G1555,2)=RIGHT('112'!$M$9,2),B1555&lt;'112'!$K$9,$O1555='112'!$I$6)),"x",""))</f>
        <v/>
      </c>
      <c r="W1555" s="79" t="str">
        <f>IF(AND('341-CT'!$H$9=H1555,OR(LEFT(N1555,3)=$W$7,LEFT(O1555,3)=$W$7)),"x","")</f>
        <v/>
      </c>
      <c r="X1555" s="79" t="str">
        <f>IF(OR(TH!N1555=TH!$X$7,O1555=TH!$X$7),"x","")</f>
        <v/>
      </c>
      <c r="Y1555" s="79" t="str">
        <f>IF(AND(OR(N1555="131",O1555="131"),H1555='131-CT'!$H$9),"x","")</f>
        <v/>
      </c>
      <c r="Z1555" s="79"/>
      <c r="AA1555" s="79" t="str">
        <f>IF(AND(MONTH(E1555)='IN-NX'!$J$5,'IN-NX'!$D$7=D1555),"x","")</f>
        <v/>
      </c>
      <c r="AB1555" s="79" t="str">
        <f>IF(AND(OR(LEFT(TH!N1555,2)="15",LEFT(TH!O1555,2)="15"),LEFT(TH!O1555,3)&lt;&gt;"111",'152-CT'!$J$8=TH!F1555),"x","")</f>
        <v/>
      </c>
      <c r="AC1555" s="79" t="str">
        <f>IF(AND(OR(LEFT(TH!N1555,2)="15",LEFT(TH!O1555,2)="15"),TK!$E$7=TH!F1555),"x","")</f>
        <v/>
      </c>
      <c r="AD1555" s="79" t="str">
        <f>IF(AND(N1555="1521",MONTH(C1555)='BK-NL'!$M$11),"x","")</f>
        <v/>
      </c>
    </row>
    <row r="1556" spans="1:30" ht="16.5" customHeight="1">
      <c r="A1556" s="318" t="str">
        <f>IF(B1556&lt;&gt;"",IF(AND(B1556='IN-TC'!$S$4,OR(TH!N1556="1111",TH!O1556="1111")),TH!D1556,""),"")</f>
        <v/>
      </c>
      <c r="B1556" s="60" t="str">
        <f t="shared" si="208"/>
        <v/>
      </c>
      <c r="C1556" s="989"/>
      <c r="D1556" s="989"/>
      <c r="E1556" s="989"/>
      <c r="F1556" s="990"/>
      <c r="G1556" s="991"/>
      <c r="H1556" s="1011"/>
      <c r="I1556" s="994"/>
      <c r="J1556" s="993"/>
      <c r="K1556" s="994"/>
      <c r="L1556" s="992"/>
      <c r="M1556" s="995"/>
      <c r="N1556" s="996"/>
      <c r="O1556" s="996"/>
      <c r="P1556" s="79" t="str">
        <f>IF(AND('331-CT'!$E$7=TH!H1556,OR(N1556="331",O1556="331")),"x","")</f>
        <v/>
      </c>
      <c r="Q1556" s="79" t="str">
        <f>IF(AND(B1556='111'!$L$11,OR($N1556=$Q$7,$O1556=$Q$7)),"x","")</f>
        <v/>
      </c>
      <c r="R1556" s="79" t="str">
        <f>IF(AND($N1556=$Q$7,$B1556&lt;'111'!$L$11),"x","")</f>
        <v/>
      </c>
      <c r="S1556" s="79" t="str">
        <f>IF(AND($O1556=$Q$7,$B1556&lt;'111'!$L$11),"x","")</f>
        <v/>
      </c>
      <c r="T1556" s="79" t="str">
        <f>IF(ISERROR(FIND('112'!$M$9,G1556,1)),"",IF((AND(FIND('112'!$M$9,G1556,1)&gt;=1,B1556='112'!$K$9,OR($N1556='112'!$I$6,$O1556='112'!$I$6))),"x",""))</f>
        <v/>
      </c>
      <c r="U1556" s="79" t="str">
        <f>IF(ISERROR(FIND('112'!$M$9,G1556,1)),"",IF((AND(LEFT(G1556,2)=LEFT('112'!$M$9,2),B1556&lt;'112'!$K$9,$N1556='112'!$I$6)),"x",""))</f>
        <v/>
      </c>
      <c r="V1556" s="79" t="str">
        <f>IF(ISERROR(FIND('112'!$M$9,G1556,1)),"",IF((AND(RIGHT(G1556,2)=RIGHT('112'!$M$9,2),B1556&lt;'112'!$K$9,$O1556='112'!$I$6)),"x",""))</f>
        <v/>
      </c>
      <c r="W1556" s="79" t="str">
        <f>IF(AND('341-CT'!$H$9=H1556,OR(LEFT(N1556,3)=$W$7,LEFT(O1556,3)=$W$7)),"x","")</f>
        <v/>
      </c>
      <c r="X1556" s="79" t="str">
        <f>IF(OR(TH!N1556=TH!$X$7,O1556=TH!$X$7),"x","")</f>
        <v/>
      </c>
      <c r="Y1556" s="79" t="str">
        <f>IF(AND(OR(N1556="131",O1556="131"),H1556='131-CT'!$H$9),"x","")</f>
        <v/>
      </c>
      <c r="Z1556" s="79"/>
      <c r="AA1556" s="79" t="str">
        <f>IF(AND(MONTH(E1556)='IN-NX'!$J$5,'IN-NX'!$D$7=D1556),"x","")</f>
        <v/>
      </c>
      <c r="AB1556" s="79" t="str">
        <f>IF(AND(OR(LEFT(TH!N1556,2)="15",LEFT(TH!O1556,2)="15"),LEFT(TH!O1556,3)&lt;&gt;"111",'152-CT'!$J$8=TH!F1556),"x","")</f>
        <v/>
      </c>
      <c r="AC1556" s="79" t="str">
        <f>IF(AND(OR(LEFT(TH!N1556,2)="15",LEFT(TH!O1556,2)="15"),TK!$E$7=TH!F1556),"x","")</f>
        <v/>
      </c>
      <c r="AD1556" s="79" t="str">
        <f>IF(AND(N1556="1521",MONTH(C1556)='BK-NL'!$M$11),"x","")</f>
        <v/>
      </c>
    </row>
    <row r="1557" spans="1:30" ht="16.5" customHeight="1">
      <c r="A1557" s="318" t="str">
        <f>IF(B1557&lt;&gt;"",IF(AND(B1557='IN-TC'!$S$4,OR(TH!N1557="1111",TH!O1557="1111")),TH!D1557,""),"")</f>
        <v/>
      </c>
      <c r="B1557" s="60" t="str">
        <f t="shared" si="208"/>
        <v/>
      </c>
      <c r="C1557" s="989"/>
      <c r="D1557" s="989"/>
      <c r="E1557" s="989"/>
      <c r="F1557" s="990"/>
      <c r="G1557" s="991"/>
      <c r="H1557" s="1011"/>
      <c r="I1557" s="994"/>
      <c r="J1557" s="993"/>
      <c r="K1557" s="994"/>
      <c r="L1557" s="992"/>
      <c r="M1557" s="995"/>
      <c r="N1557" s="996"/>
      <c r="O1557" s="996"/>
      <c r="P1557" s="79" t="str">
        <f>IF(AND('331-CT'!$E$7=TH!H1557,OR(N1557="331",O1557="331")),"x","")</f>
        <v/>
      </c>
      <c r="Q1557" s="79" t="str">
        <f>IF(AND(B1557='111'!$L$11,OR($N1557=$Q$7,$O1557=$Q$7)),"x","")</f>
        <v/>
      </c>
      <c r="R1557" s="79" t="str">
        <f>IF(AND($N1557=$Q$7,$B1557&lt;'111'!$L$11),"x","")</f>
        <v/>
      </c>
      <c r="S1557" s="79" t="str">
        <f>IF(AND($O1557=$Q$7,$B1557&lt;'111'!$L$11),"x","")</f>
        <v/>
      </c>
      <c r="T1557" s="79" t="str">
        <f>IF(ISERROR(FIND('112'!$M$9,G1557,1)),"",IF((AND(FIND('112'!$M$9,G1557,1)&gt;=1,B1557='112'!$K$9,OR($N1557='112'!$I$6,$O1557='112'!$I$6))),"x",""))</f>
        <v/>
      </c>
      <c r="U1557" s="79" t="str">
        <f>IF(ISERROR(FIND('112'!$M$9,G1557,1)),"",IF((AND(LEFT(G1557,2)=LEFT('112'!$M$9,2),B1557&lt;'112'!$K$9,$N1557='112'!$I$6)),"x",""))</f>
        <v/>
      </c>
      <c r="V1557" s="79" t="str">
        <f>IF(ISERROR(FIND('112'!$M$9,G1557,1)),"",IF((AND(RIGHT(G1557,2)=RIGHT('112'!$M$9,2),B1557&lt;'112'!$K$9,$O1557='112'!$I$6)),"x",""))</f>
        <v/>
      </c>
      <c r="W1557" s="79" t="str">
        <f>IF(AND('341-CT'!$H$9=H1557,OR(LEFT(N1557,3)=$W$7,LEFT(O1557,3)=$W$7)),"x","")</f>
        <v/>
      </c>
      <c r="X1557" s="79" t="str">
        <f>IF(OR(TH!N1557=TH!$X$7,O1557=TH!$X$7),"x","")</f>
        <v/>
      </c>
      <c r="Y1557" s="79" t="str">
        <f>IF(AND(OR(N1557="131",O1557="131"),H1557='131-CT'!$H$9),"x","")</f>
        <v/>
      </c>
      <c r="Z1557" s="79"/>
      <c r="AA1557" s="79" t="str">
        <f>IF(AND(MONTH(E1557)='IN-NX'!$J$5,'IN-NX'!$D$7=D1557),"x","")</f>
        <v/>
      </c>
      <c r="AB1557" s="79" t="str">
        <f>IF(AND(OR(LEFT(TH!N1557,2)="15",LEFT(TH!O1557,2)="15"),LEFT(TH!O1557,3)&lt;&gt;"111",'152-CT'!$J$8=TH!F1557),"x","")</f>
        <v/>
      </c>
      <c r="AC1557" s="79" t="str">
        <f>IF(AND(OR(LEFT(TH!N1557,2)="15",LEFT(TH!O1557,2)="15"),TK!$E$7=TH!F1557),"x","")</f>
        <v/>
      </c>
      <c r="AD1557" s="79" t="str">
        <f>IF(AND(N1557="1521",MONTH(C1557)='BK-NL'!$M$11),"x","")</f>
        <v/>
      </c>
    </row>
    <row r="1558" spans="1:30" ht="16.5" customHeight="1">
      <c r="A1558" s="318" t="str">
        <f>IF(B1558&lt;&gt;"",IF(AND(B1558='IN-TC'!$S$4,OR(TH!N1558="1111",TH!O1558="1111")),TH!D1558,""),"")</f>
        <v/>
      </c>
      <c r="B1558" s="60" t="str">
        <f t="shared" si="208"/>
        <v/>
      </c>
      <c r="C1558" s="989"/>
      <c r="D1558" s="989"/>
      <c r="E1558" s="989"/>
      <c r="F1558" s="990"/>
      <c r="G1558" s="991"/>
      <c r="H1558" s="1011"/>
      <c r="I1558" s="994"/>
      <c r="J1558" s="993"/>
      <c r="K1558" s="994"/>
      <c r="L1558" s="992"/>
      <c r="M1558" s="995"/>
      <c r="N1558" s="996"/>
      <c r="O1558" s="996"/>
      <c r="P1558" s="79" t="str">
        <f>IF(AND('331-CT'!$E$7=TH!H1558,OR(N1558="331",O1558="331")),"x","")</f>
        <v/>
      </c>
      <c r="Q1558" s="79" t="str">
        <f>IF(AND(B1558='111'!$L$11,OR($N1558=$Q$7,$O1558=$Q$7)),"x","")</f>
        <v/>
      </c>
      <c r="R1558" s="79" t="str">
        <f>IF(AND($N1558=$Q$7,$B1558&lt;'111'!$L$11),"x","")</f>
        <v/>
      </c>
      <c r="S1558" s="79" t="str">
        <f>IF(AND($O1558=$Q$7,$B1558&lt;'111'!$L$11),"x","")</f>
        <v/>
      </c>
      <c r="T1558" s="79" t="str">
        <f>IF(ISERROR(FIND('112'!$M$9,G1558,1)),"",IF((AND(FIND('112'!$M$9,G1558,1)&gt;=1,B1558='112'!$K$9,OR($N1558='112'!$I$6,$O1558='112'!$I$6))),"x",""))</f>
        <v/>
      </c>
      <c r="U1558" s="79" t="str">
        <f>IF(ISERROR(FIND('112'!$M$9,G1558,1)),"",IF((AND(LEFT(G1558,2)=LEFT('112'!$M$9,2),B1558&lt;'112'!$K$9,$N1558='112'!$I$6)),"x",""))</f>
        <v/>
      </c>
      <c r="V1558" s="79" t="str">
        <f>IF(ISERROR(FIND('112'!$M$9,G1558,1)),"",IF((AND(RIGHT(G1558,2)=RIGHT('112'!$M$9,2),B1558&lt;'112'!$K$9,$O1558='112'!$I$6)),"x",""))</f>
        <v/>
      </c>
      <c r="W1558" s="79" t="str">
        <f>IF(AND('341-CT'!$H$9=H1558,OR(LEFT(N1558,3)=$W$7,LEFT(O1558,3)=$W$7)),"x","")</f>
        <v/>
      </c>
      <c r="X1558" s="79" t="str">
        <f>IF(OR(TH!N1558=TH!$X$7,O1558=TH!$X$7),"x","")</f>
        <v/>
      </c>
      <c r="Y1558" s="79" t="str">
        <f>IF(AND(OR(N1558="131",O1558="131"),H1558='131-CT'!$H$9),"x","")</f>
        <v/>
      </c>
      <c r="Z1558" s="79"/>
      <c r="AA1558" s="79" t="str">
        <f>IF(AND(MONTH(E1558)='IN-NX'!$J$5,'IN-NX'!$D$7=D1558),"x","")</f>
        <v/>
      </c>
      <c r="AB1558" s="79" t="str">
        <f>IF(AND(OR(LEFT(TH!N1558,2)="15",LEFT(TH!O1558,2)="15"),LEFT(TH!O1558,3)&lt;&gt;"111",'152-CT'!$J$8=TH!F1558),"x","")</f>
        <v/>
      </c>
      <c r="AC1558" s="79" t="str">
        <f>IF(AND(OR(LEFT(TH!N1558,2)="15",LEFT(TH!O1558,2)="15"),TK!$E$7=TH!F1558),"x","")</f>
        <v/>
      </c>
      <c r="AD1558" s="79" t="str">
        <f>IF(AND(N1558="1521",MONTH(C1558)='BK-NL'!$M$11),"x","")</f>
        <v/>
      </c>
    </row>
    <row r="1559" spans="1:30" ht="16.5" customHeight="1">
      <c r="A1559" s="318" t="str">
        <f>IF(B1559&lt;&gt;"",IF(AND(B1559='IN-TC'!$S$4,OR(TH!N1559="1111",TH!O1559="1111")),TH!D1559,""),"")</f>
        <v/>
      </c>
      <c r="B1559" s="60" t="str">
        <f t="shared" si="208"/>
        <v/>
      </c>
      <c r="C1559" s="989"/>
      <c r="D1559" s="989"/>
      <c r="E1559" s="989"/>
      <c r="F1559" s="990"/>
      <c r="G1559" s="991"/>
      <c r="H1559" s="1011"/>
      <c r="I1559" s="994"/>
      <c r="J1559" s="993"/>
      <c r="K1559" s="994"/>
      <c r="L1559" s="992"/>
      <c r="M1559" s="995"/>
      <c r="N1559" s="996"/>
      <c r="O1559" s="996"/>
      <c r="P1559" s="79" t="str">
        <f>IF(AND('331-CT'!$E$7=TH!H1559,OR(N1559="331",O1559="331")),"x","")</f>
        <v/>
      </c>
      <c r="Q1559" s="79" t="str">
        <f>IF(AND(B1559='111'!$L$11,OR($N1559=$Q$7,$O1559=$Q$7)),"x","")</f>
        <v/>
      </c>
      <c r="R1559" s="79" t="str">
        <f>IF(AND($N1559=$Q$7,$B1559&lt;'111'!$L$11),"x","")</f>
        <v/>
      </c>
      <c r="S1559" s="79" t="str">
        <f>IF(AND($O1559=$Q$7,$B1559&lt;'111'!$L$11),"x","")</f>
        <v/>
      </c>
      <c r="T1559" s="79" t="str">
        <f>IF(ISERROR(FIND('112'!$M$9,G1559,1)),"",IF((AND(FIND('112'!$M$9,G1559,1)&gt;=1,B1559='112'!$K$9,OR($N1559='112'!$I$6,$O1559='112'!$I$6))),"x",""))</f>
        <v/>
      </c>
      <c r="U1559" s="79" t="str">
        <f>IF(ISERROR(FIND('112'!$M$9,G1559,1)),"",IF((AND(LEFT(G1559,2)=LEFT('112'!$M$9,2),B1559&lt;'112'!$K$9,$N1559='112'!$I$6)),"x",""))</f>
        <v/>
      </c>
      <c r="V1559" s="79" t="str">
        <f>IF(ISERROR(FIND('112'!$M$9,G1559,1)),"",IF((AND(RIGHT(G1559,2)=RIGHT('112'!$M$9,2),B1559&lt;'112'!$K$9,$O1559='112'!$I$6)),"x",""))</f>
        <v/>
      </c>
      <c r="W1559" s="79" t="str">
        <f>IF(AND('341-CT'!$H$9=H1559,OR(LEFT(N1559,3)=$W$7,LEFT(O1559,3)=$W$7)),"x","")</f>
        <v/>
      </c>
      <c r="X1559" s="79" t="str">
        <f>IF(OR(TH!N1559=TH!$X$7,O1559=TH!$X$7),"x","")</f>
        <v/>
      </c>
      <c r="Y1559" s="79" t="str">
        <f>IF(AND(OR(N1559="131",O1559="131"),H1559='131-CT'!$H$9),"x","")</f>
        <v/>
      </c>
      <c r="Z1559" s="79"/>
      <c r="AA1559" s="79" t="str">
        <f>IF(AND(MONTH(E1559)='IN-NX'!$J$5,'IN-NX'!$D$7=D1559),"x","")</f>
        <v/>
      </c>
      <c r="AB1559" s="79" t="str">
        <f>IF(AND(OR(LEFT(TH!N1559,2)="15",LEFT(TH!O1559,2)="15"),LEFT(TH!O1559,3)&lt;&gt;"111",'152-CT'!$J$8=TH!F1559),"x","")</f>
        <v/>
      </c>
      <c r="AC1559" s="79" t="str">
        <f>IF(AND(OR(LEFT(TH!N1559,2)="15",LEFT(TH!O1559,2)="15"),TK!$E$7=TH!F1559),"x","")</f>
        <v/>
      </c>
      <c r="AD1559" s="79" t="str">
        <f>IF(AND(N1559="1521",MONTH(C1559)='BK-NL'!$M$11),"x","")</f>
        <v/>
      </c>
    </row>
    <row r="1560" spans="1:30" ht="16.5" customHeight="1">
      <c r="A1560" s="318" t="str">
        <f>IF(B1560&lt;&gt;"",IF(AND(B1560='IN-TC'!$S$4,OR(TH!N1560="1111",TH!O1560="1111")),TH!D1560,""),"")</f>
        <v/>
      </c>
      <c r="B1560" s="60" t="str">
        <f t="shared" si="208"/>
        <v/>
      </c>
      <c r="C1560" s="989"/>
      <c r="D1560" s="989"/>
      <c r="E1560" s="989"/>
      <c r="F1560" s="990"/>
      <c r="G1560" s="991"/>
      <c r="H1560" s="1011"/>
      <c r="I1560" s="994"/>
      <c r="J1560" s="993"/>
      <c r="K1560" s="994"/>
      <c r="L1560" s="992"/>
      <c r="M1560" s="995"/>
      <c r="N1560" s="996"/>
      <c r="O1560" s="996"/>
      <c r="P1560" s="79" t="str">
        <f>IF(AND('331-CT'!$E$7=TH!H1560,OR(N1560="331",O1560="331")),"x","")</f>
        <v/>
      </c>
      <c r="Q1560" s="79" t="str">
        <f>IF(AND(B1560='111'!$L$11,OR($N1560=$Q$7,$O1560=$Q$7)),"x","")</f>
        <v/>
      </c>
      <c r="R1560" s="79" t="str">
        <f>IF(AND($N1560=$Q$7,$B1560&lt;'111'!$L$11),"x","")</f>
        <v/>
      </c>
      <c r="S1560" s="79" t="str">
        <f>IF(AND($O1560=$Q$7,$B1560&lt;'111'!$L$11),"x","")</f>
        <v/>
      </c>
      <c r="T1560" s="79" t="str">
        <f>IF(ISERROR(FIND('112'!$M$9,G1560,1)),"",IF((AND(FIND('112'!$M$9,G1560,1)&gt;=1,B1560='112'!$K$9,OR($N1560='112'!$I$6,$O1560='112'!$I$6))),"x",""))</f>
        <v/>
      </c>
      <c r="U1560" s="79" t="str">
        <f>IF(ISERROR(FIND('112'!$M$9,G1560,1)),"",IF((AND(LEFT(G1560,2)=LEFT('112'!$M$9,2),B1560&lt;'112'!$K$9,$N1560='112'!$I$6)),"x",""))</f>
        <v/>
      </c>
      <c r="V1560" s="79" t="str">
        <f>IF(ISERROR(FIND('112'!$M$9,G1560,1)),"",IF((AND(RIGHT(G1560,2)=RIGHT('112'!$M$9,2),B1560&lt;'112'!$K$9,$O1560='112'!$I$6)),"x",""))</f>
        <v/>
      </c>
      <c r="W1560" s="79" t="str">
        <f>IF(AND('341-CT'!$H$9=H1560,OR(LEFT(N1560,3)=$W$7,LEFT(O1560,3)=$W$7)),"x","")</f>
        <v/>
      </c>
      <c r="X1560" s="79" t="str">
        <f>IF(OR(TH!N1560=TH!$X$7,O1560=TH!$X$7),"x","")</f>
        <v/>
      </c>
      <c r="Y1560" s="79" t="str">
        <f>IF(AND(OR(N1560="131",O1560="131"),H1560='131-CT'!$H$9),"x","")</f>
        <v/>
      </c>
      <c r="Z1560" s="79"/>
      <c r="AA1560" s="79" t="str">
        <f>IF(AND(MONTH(E1560)='IN-NX'!$J$5,'IN-NX'!$D$7=D1560),"x","")</f>
        <v/>
      </c>
      <c r="AB1560" s="79" t="str">
        <f>IF(AND(OR(LEFT(TH!N1560,2)="15",LEFT(TH!O1560,2)="15"),LEFT(TH!O1560,3)&lt;&gt;"111",'152-CT'!$J$8=TH!F1560),"x","")</f>
        <v/>
      </c>
      <c r="AC1560" s="79" t="str">
        <f>IF(AND(OR(LEFT(TH!N1560,2)="15",LEFT(TH!O1560,2)="15"),TK!$E$7=TH!F1560),"x","")</f>
        <v/>
      </c>
      <c r="AD1560" s="79" t="str">
        <f>IF(AND(N1560="1521",MONTH(C1560)='BK-NL'!$M$11),"x","")</f>
        <v/>
      </c>
    </row>
    <row r="1561" spans="1:30" ht="16.5" customHeight="1">
      <c r="A1561" s="318" t="str">
        <f>IF(B1561&lt;&gt;"",IF(AND(B1561='IN-TC'!$S$4,OR(TH!N1561="1111",TH!O1561="1111")),TH!D1561,""),"")</f>
        <v/>
      </c>
      <c r="B1561" s="60" t="str">
        <f t="shared" si="208"/>
        <v/>
      </c>
      <c r="C1561" s="989"/>
      <c r="D1561" s="989"/>
      <c r="E1561" s="989"/>
      <c r="F1561" s="990"/>
      <c r="G1561" s="991"/>
      <c r="H1561" s="1011"/>
      <c r="I1561" s="994"/>
      <c r="J1561" s="993"/>
      <c r="K1561" s="994"/>
      <c r="L1561" s="992"/>
      <c r="M1561" s="995"/>
      <c r="N1561" s="996"/>
      <c r="O1561" s="996"/>
      <c r="P1561" s="79" t="str">
        <f>IF(AND('331-CT'!$E$7=TH!H1561,OR(N1561="331",O1561="331")),"x","")</f>
        <v/>
      </c>
      <c r="Q1561" s="79" t="str">
        <f>IF(AND(B1561='111'!$L$11,OR($N1561=$Q$7,$O1561=$Q$7)),"x","")</f>
        <v/>
      </c>
      <c r="R1561" s="79" t="str">
        <f>IF(AND($N1561=$Q$7,$B1561&lt;'111'!$L$11),"x","")</f>
        <v/>
      </c>
      <c r="S1561" s="79" t="str">
        <f>IF(AND($O1561=$Q$7,$B1561&lt;'111'!$L$11),"x","")</f>
        <v/>
      </c>
      <c r="T1561" s="79" t="str">
        <f>IF(ISERROR(FIND('112'!$M$9,G1561,1)),"",IF((AND(FIND('112'!$M$9,G1561,1)&gt;=1,B1561='112'!$K$9,OR($N1561='112'!$I$6,$O1561='112'!$I$6))),"x",""))</f>
        <v/>
      </c>
      <c r="U1561" s="79" t="str">
        <f>IF(ISERROR(FIND('112'!$M$9,G1561,1)),"",IF((AND(LEFT(G1561,2)=LEFT('112'!$M$9,2),B1561&lt;'112'!$K$9,$N1561='112'!$I$6)),"x",""))</f>
        <v/>
      </c>
      <c r="V1561" s="79" t="str">
        <f>IF(ISERROR(FIND('112'!$M$9,G1561,1)),"",IF((AND(RIGHT(G1561,2)=RIGHT('112'!$M$9,2),B1561&lt;'112'!$K$9,$O1561='112'!$I$6)),"x",""))</f>
        <v/>
      </c>
      <c r="W1561" s="79" t="str">
        <f>IF(AND('341-CT'!$H$9=H1561,OR(LEFT(N1561,3)=$W$7,LEFT(O1561,3)=$W$7)),"x","")</f>
        <v/>
      </c>
      <c r="X1561" s="79" t="str">
        <f>IF(OR(TH!N1561=TH!$X$7,O1561=TH!$X$7),"x","")</f>
        <v/>
      </c>
      <c r="Y1561" s="79" t="str">
        <f>IF(AND(OR(N1561="131",O1561="131"),H1561='131-CT'!$H$9),"x","")</f>
        <v/>
      </c>
      <c r="Z1561" s="79"/>
      <c r="AA1561" s="79" t="str">
        <f>IF(AND(MONTH(E1561)='IN-NX'!$J$5,'IN-NX'!$D$7=D1561),"x","")</f>
        <v/>
      </c>
      <c r="AB1561" s="79" t="str">
        <f>IF(AND(OR(LEFT(TH!N1561,2)="15",LEFT(TH!O1561,2)="15"),LEFT(TH!O1561,3)&lt;&gt;"111",'152-CT'!$J$8=TH!F1561),"x","")</f>
        <v/>
      </c>
      <c r="AC1561" s="79" t="str">
        <f>IF(AND(OR(LEFT(TH!N1561,2)="15",LEFT(TH!O1561,2)="15"),TK!$E$7=TH!F1561),"x","")</f>
        <v/>
      </c>
      <c r="AD1561" s="79" t="str">
        <f>IF(AND(N1561="1521",MONTH(C1561)='BK-NL'!$M$11),"x","")</f>
        <v/>
      </c>
    </row>
    <row r="1562" spans="1:30" ht="16.5" customHeight="1">
      <c r="A1562" s="318" t="str">
        <f>IF(B1562&lt;&gt;"",IF(AND(B1562='IN-TC'!$S$4,OR(TH!N1562="1111",TH!O1562="1111")),TH!D1562,""),"")</f>
        <v/>
      </c>
      <c r="B1562" s="60" t="str">
        <f t="shared" si="208"/>
        <v/>
      </c>
      <c r="C1562" s="989"/>
      <c r="D1562" s="989"/>
      <c r="E1562" s="989"/>
      <c r="F1562" s="990"/>
      <c r="G1562" s="991"/>
      <c r="H1562" s="1011"/>
      <c r="I1562" s="994"/>
      <c r="J1562" s="992"/>
      <c r="K1562" s="994"/>
      <c r="L1562" s="992"/>
      <c r="M1562" s="995"/>
      <c r="N1562" s="996"/>
      <c r="O1562" s="996"/>
      <c r="P1562" s="79" t="str">
        <f>IF(AND('331-CT'!$E$7=TH!H1562,OR(N1562="331",O1562="331")),"x","")</f>
        <v/>
      </c>
      <c r="Q1562" s="79" t="str">
        <f>IF(AND(B1562='111'!$L$11,OR($N1562=$Q$7,$O1562=$Q$7)),"x","")</f>
        <v/>
      </c>
      <c r="R1562" s="79" t="str">
        <f>IF(AND($N1562=$Q$7,$B1562&lt;'111'!$L$11),"x","")</f>
        <v/>
      </c>
      <c r="S1562" s="79" t="str">
        <f>IF(AND($O1562=$Q$7,$B1562&lt;'111'!$L$11),"x","")</f>
        <v/>
      </c>
      <c r="T1562" s="79" t="str">
        <f>IF(ISERROR(FIND('112'!$M$9,G1562,1)),"",IF((AND(FIND('112'!$M$9,G1562,1)&gt;=1,B1562='112'!$K$9,OR($N1562='112'!$I$6,$O1562='112'!$I$6))),"x",""))</f>
        <v/>
      </c>
      <c r="U1562" s="79" t="str">
        <f>IF(ISERROR(FIND('112'!$M$9,G1562,1)),"",IF((AND(LEFT(G1562,2)=LEFT('112'!$M$9,2),B1562&lt;'112'!$K$9,$N1562='112'!$I$6)),"x",""))</f>
        <v/>
      </c>
      <c r="V1562" s="79" t="str">
        <f>IF(ISERROR(FIND('112'!$M$9,G1562,1)),"",IF((AND(RIGHT(G1562,2)=RIGHT('112'!$M$9,2),B1562&lt;'112'!$K$9,$O1562='112'!$I$6)),"x",""))</f>
        <v/>
      </c>
      <c r="W1562" s="79" t="str">
        <f>IF(AND('341-CT'!$H$9=H1562,OR(LEFT(N1562,3)=$W$7,LEFT(O1562,3)=$W$7)),"x","")</f>
        <v/>
      </c>
      <c r="X1562" s="79" t="str">
        <f>IF(OR(TH!N1562=TH!$X$7,O1562=TH!$X$7),"x","")</f>
        <v/>
      </c>
      <c r="Y1562" s="79" t="str">
        <f>IF(AND(OR(N1562="131",O1562="131"),H1562='131-CT'!$H$9),"x","")</f>
        <v/>
      </c>
      <c r="Z1562" s="79"/>
      <c r="AA1562" s="79" t="str">
        <f>IF(AND(MONTH(E1562)='IN-NX'!$J$5,'IN-NX'!$D$7=D1562),"x","")</f>
        <v/>
      </c>
      <c r="AB1562" s="79" t="str">
        <f>IF(AND(OR(LEFT(TH!N1562,2)="15",LEFT(TH!O1562,2)="15"),LEFT(TH!O1562,3)&lt;&gt;"111",'152-CT'!$J$8=TH!F1562),"x","")</f>
        <v/>
      </c>
      <c r="AC1562" s="79" t="str">
        <f>IF(AND(OR(LEFT(TH!N1562,2)="15",LEFT(TH!O1562,2)="15"),TK!$E$7=TH!F1562),"x","")</f>
        <v/>
      </c>
      <c r="AD1562" s="79" t="str">
        <f>IF(AND(N1562="1521",MONTH(C1562)='BK-NL'!$M$11),"x","")</f>
        <v/>
      </c>
    </row>
    <row r="1563" spans="1:30" ht="16.5" customHeight="1">
      <c r="A1563" s="318" t="str">
        <f>IF(B1563&lt;&gt;"",IF(AND(B1563='IN-TC'!$S$4,OR(TH!N1563="1111",TH!O1563="1111")),TH!D1563,""),"")</f>
        <v/>
      </c>
      <c r="B1563" s="60" t="str">
        <f t="shared" si="208"/>
        <v/>
      </c>
      <c r="C1563" s="989"/>
      <c r="D1563" s="989"/>
      <c r="E1563" s="989"/>
      <c r="F1563" s="921"/>
      <c r="G1563" s="991"/>
      <c r="H1563" s="1105"/>
      <c r="I1563" s="994"/>
      <c r="J1563" s="992"/>
      <c r="K1563" s="994"/>
      <c r="L1563" s="992"/>
      <c r="M1563" s="995"/>
      <c r="N1563" s="996"/>
      <c r="O1563" s="996"/>
      <c r="P1563" s="79" t="str">
        <f>IF(AND('331-CT'!$E$7=TH!H1563,OR(N1563="331",O1563="331")),"x","")</f>
        <v/>
      </c>
      <c r="Q1563" s="79" t="str">
        <f>IF(AND(B1563='111'!$L$11,OR($N1563=$Q$7,$O1563=$Q$7)),"x","")</f>
        <v/>
      </c>
      <c r="R1563" s="79" t="str">
        <f>IF(AND($N1563=$Q$7,$B1563&lt;'111'!$L$11),"x","")</f>
        <v/>
      </c>
      <c r="S1563" s="79" t="str">
        <f>IF(AND($O1563=$Q$7,$B1563&lt;'111'!$L$11),"x","")</f>
        <v/>
      </c>
      <c r="T1563" s="79" t="str">
        <f>IF(ISERROR(FIND('112'!$M$9,G1563,1)),"",IF((AND(FIND('112'!$M$9,G1563,1)&gt;=1,B1563='112'!$K$9,OR($N1563='112'!$I$6,$O1563='112'!$I$6))),"x",""))</f>
        <v/>
      </c>
      <c r="U1563" s="79" t="str">
        <f>IF(ISERROR(FIND('112'!$M$9,G1563,1)),"",IF((AND(LEFT(G1563,2)=LEFT('112'!$M$9,2),B1563&lt;'112'!$K$9,$N1563='112'!$I$6)),"x",""))</f>
        <v/>
      </c>
      <c r="V1563" s="79" t="str">
        <f>IF(ISERROR(FIND('112'!$M$9,G1563,1)),"",IF((AND(RIGHT(G1563,2)=RIGHT('112'!$M$9,2),B1563&lt;'112'!$K$9,$O1563='112'!$I$6)),"x",""))</f>
        <v/>
      </c>
      <c r="W1563" s="79" t="str">
        <f>IF(AND('341-CT'!$H$9=H1563,OR(LEFT(N1563,3)=$W$7,LEFT(O1563,3)=$W$7)),"x","")</f>
        <v/>
      </c>
      <c r="X1563" s="79" t="str">
        <f>IF(OR(TH!N1563=TH!$X$7,O1563=TH!$X$7),"x","")</f>
        <v/>
      </c>
      <c r="Y1563" s="79" t="str">
        <f>IF(AND(OR(N1563="131",O1563="131"),H1563='131-CT'!$H$9),"x","")</f>
        <v/>
      </c>
      <c r="Z1563" s="79"/>
      <c r="AA1563" s="79" t="str">
        <f>IF(AND(MONTH(E1563)='IN-NX'!$J$5,'IN-NX'!$D$7=D1563),"x","")</f>
        <v/>
      </c>
      <c r="AB1563" s="79" t="str">
        <f>IF(AND(OR(LEFT(TH!N1563,2)="15",LEFT(TH!O1563,2)="15"),LEFT(TH!O1563,3)&lt;&gt;"111",'152-CT'!$J$8=TH!F1563),"x","")</f>
        <v/>
      </c>
      <c r="AC1563" s="79" t="str">
        <f>IF(AND(OR(LEFT(TH!N1563,2)="15",LEFT(TH!O1563,2)="15"),TK!$E$7=TH!F1563),"x","")</f>
        <v/>
      </c>
      <c r="AD1563" s="79" t="str">
        <f>IF(AND(N1563="1521",MONTH(C1563)='BK-NL'!$M$11),"x","")</f>
        <v/>
      </c>
    </row>
    <row r="1564" spans="1:30" ht="16.5" customHeight="1">
      <c r="A1564" s="318" t="str">
        <f>IF(B1564&lt;&gt;"",IF(AND(B1564='IN-TC'!$S$4,OR(TH!N1564="1111",TH!O1564="1111")),TH!D1564,""),"")</f>
        <v/>
      </c>
      <c r="B1564" s="60" t="str">
        <f t="shared" si="208"/>
        <v/>
      </c>
      <c r="C1564" s="989"/>
      <c r="D1564" s="989"/>
      <c r="E1564" s="989"/>
      <c r="F1564" s="921"/>
      <c r="G1564" s="991"/>
      <c r="H1564" s="1105"/>
      <c r="I1564" s="994"/>
      <c r="J1564" s="992"/>
      <c r="K1564" s="994"/>
      <c r="L1564" s="992"/>
      <c r="M1564" s="995"/>
      <c r="N1564" s="996"/>
      <c r="O1564" s="996"/>
      <c r="P1564" s="79" t="str">
        <f>IF(AND('331-CT'!$E$7=TH!H1564,OR(N1564="331",O1564="331")),"x","")</f>
        <v/>
      </c>
      <c r="Q1564" s="79" t="str">
        <f>IF(AND(B1564='111'!$L$11,OR($N1564=$Q$7,$O1564=$Q$7)),"x","")</f>
        <v/>
      </c>
      <c r="R1564" s="79" t="str">
        <f>IF(AND($N1564=$Q$7,$B1564&lt;'111'!$L$11),"x","")</f>
        <v/>
      </c>
      <c r="S1564" s="79" t="str">
        <f>IF(AND($O1564=$Q$7,$B1564&lt;'111'!$L$11),"x","")</f>
        <v/>
      </c>
      <c r="T1564" s="79" t="str">
        <f>IF(ISERROR(FIND('112'!$M$9,G1564,1)),"",IF((AND(FIND('112'!$M$9,G1564,1)&gt;=1,B1564='112'!$K$9,OR($N1564='112'!$I$6,$O1564='112'!$I$6))),"x",""))</f>
        <v/>
      </c>
      <c r="U1564" s="79" t="str">
        <f>IF(ISERROR(FIND('112'!$M$9,G1564,1)),"",IF((AND(LEFT(G1564,2)=LEFT('112'!$M$9,2),B1564&lt;'112'!$K$9,$N1564='112'!$I$6)),"x",""))</f>
        <v/>
      </c>
      <c r="V1564" s="79" t="str">
        <f>IF(ISERROR(FIND('112'!$M$9,G1564,1)),"",IF((AND(RIGHT(G1564,2)=RIGHT('112'!$M$9,2),B1564&lt;'112'!$K$9,$O1564='112'!$I$6)),"x",""))</f>
        <v/>
      </c>
      <c r="W1564" s="79" t="str">
        <f>IF(AND('341-CT'!$H$9=H1564,OR(LEFT(N1564,3)=$W$7,LEFT(O1564,3)=$W$7)),"x","")</f>
        <v/>
      </c>
      <c r="X1564" s="79" t="str">
        <f>IF(OR(TH!N1564=TH!$X$7,O1564=TH!$X$7),"x","")</f>
        <v/>
      </c>
      <c r="Y1564" s="79" t="str">
        <f>IF(AND(OR(N1564="131",O1564="131"),H1564='131-CT'!$H$9),"x","")</f>
        <v/>
      </c>
      <c r="Z1564" s="79"/>
      <c r="AA1564" s="79" t="str">
        <f>IF(AND(MONTH(E1564)='IN-NX'!$J$5,'IN-NX'!$D$7=D1564),"x","")</f>
        <v/>
      </c>
      <c r="AB1564" s="79" t="str">
        <f>IF(AND(OR(LEFT(TH!N1564,2)="15",LEFT(TH!O1564,2)="15"),LEFT(TH!O1564,3)&lt;&gt;"111",'152-CT'!$J$8=TH!F1564),"x","")</f>
        <v/>
      </c>
      <c r="AC1564" s="79" t="str">
        <f>IF(AND(OR(LEFT(TH!N1564,2)="15",LEFT(TH!O1564,2)="15"),TK!$E$7=TH!F1564),"x","")</f>
        <v/>
      </c>
      <c r="AD1564" s="79" t="str">
        <f>IF(AND(N1564="1521",MONTH(C1564)='BK-NL'!$M$11),"x","")</f>
        <v/>
      </c>
    </row>
    <row r="1565" spans="1:30" ht="16.5" customHeight="1">
      <c r="A1565" s="318" t="str">
        <f>IF(B1565&lt;&gt;"",IF(AND(B1565='IN-TC'!$S$4,OR(TH!N1565="1111",TH!O1565="1111")),TH!D1565,""),"")</f>
        <v/>
      </c>
      <c r="B1565" s="60" t="str">
        <f t="shared" si="208"/>
        <v/>
      </c>
      <c r="C1565" s="989"/>
      <c r="D1565" s="989"/>
      <c r="E1565" s="989"/>
      <c r="F1565" s="921"/>
      <c r="G1565" s="991"/>
      <c r="H1565" s="1105"/>
      <c r="I1565" s="994"/>
      <c r="J1565" s="992"/>
      <c r="K1565" s="994"/>
      <c r="L1565" s="992"/>
      <c r="M1565" s="995"/>
      <c r="N1565" s="996"/>
      <c r="O1565" s="996"/>
      <c r="P1565" s="79" t="str">
        <f>IF(AND('331-CT'!$E$7=TH!H1565,OR(N1565="331",O1565="331")),"x","")</f>
        <v/>
      </c>
      <c r="Q1565" s="79" t="str">
        <f>IF(AND(B1565='111'!$L$11,OR($N1565=$Q$7,$O1565=$Q$7)),"x","")</f>
        <v/>
      </c>
      <c r="R1565" s="79" t="str">
        <f>IF(AND($N1565=$Q$7,$B1565&lt;'111'!$L$11),"x","")</f>
        <v/>
      </c>
      <c r="S1565" s="79" t="str">
        <f>IF(AND($O1565=$Q$7,$B1565&lt;'111'!$L$11),"x","")</f>
        <v/>
      </c>
      <c r="T1565" s="79" t="str">
        <f>IF(ISERROR(FIND('112'!$M$9,G1565,1)),"",IF((AND(FIND('112'!$M$9,G1565,1)&gt;=1,B1565='112'!$K$9,OR($N1565='112'!$I$6,$O1565='112'!$I$6))),"x",""))</f>
        <v/>
      </c>
      <c r="U1565" s="79" t="str">
        <f>IF(ISERROR(FIND('112'!$M$9,G1565,1)),"",IF((AND(LEFT(G1565,2)=LEFT('112'!$M$9,2),B1565&lt;'112'!$K$9,$N1565='112'!$I$6)),"x",""))</f>
        <v/>
      </c>
      <c r="V1565" s="79" t="str">
        <f>IF(ISERROR(FIND('112'!$M$9,G1565,1)),"",IF((AND(RIGHT(G1565,2)=RIGHT('112'!$M$9,2),B1565&lt;'112'!$K$9,$O1565='112'!$I$6)),"x",""))</f>
        <v/>
      </c>
      <c r="W1565" s="79" t="str">
        <f>IF(AND('341-CT'!$H$9=H1565,OR(LEFT(N1565,3)=$W$7,LEFT(O1565,3)=$W$7)),"x","")</f>
        <v/>
      </c>
      <c r="X1565" s="79" t="str">
        <f>IF(OR(TH!N1565=TH!$X$7,O1565=TH!$X$7),"x","")</f>
        <v/>
      </c>
      <c r="Y1565" s="79" t="str">
        <f>IF(AND(OR(N1565="131",O1565="131"),H1565='131-CT'!$H$9),"x","")</f>
        <v/>
      </c>
      <c r="Z1565" s="79"/>
      <c r="AA1565" s="79" t="str">
        <f>IF(AND(MONTH(E1565)='IN-NX'!$J$5,'IN-NX'!$D$7=D1565),"x","")</f>
        <v/>
      </c>
      <c r="AB1565" s="79" t="str">
        <f>IF(AND(OR(LEFT(TH!N1565,2)="15",LEFT(TH!O1565,2)="15"),LEFT(TH!O1565,3)&lt;&gt;"111",'152-CT'!$J$8=TH!F1565),"x","")</f>
        <v/>
      </c>
      <c r="AC1565" s="79" t="str">
        <f>IF(AND(OR(LEFT(TH!N1565,2)="15",LEFT(TH!O1565,2)="15"),TK!$E$7=TH!F1565),"x","")</f>
        <v/>
      </c>
      <c r="AD1565" s="79" t="str">
        <f>IF(AND(N1565="1521",MONTH(C1565)='BK-NL'!$M$11),"x","")</f>
        <v/>
      </c>
    </row>
    <row r="1566" spans="1:30" ht="16.5" customHeight="1">
      <c r="A1566" s="318" t="str">
        <f>IF(B1566&lt;&gt;"",IF(AND(B1566='IN-TC'!$S$4,OR(TH!N1566="1111",TH!O1566="1111")),TH!D1566,""),"")</f>
        <v/>
      </c>
      <c r="B1566" s="60" t="str">
        <f t="shared" si="208"/>
        <v/>
      </c>
      <c r="C1566" s="989"/>
      <c r="D1566" s="989"/>
      <c r="E1566" s="989"/>
      <c r="F1566" s="921"/>
      <c r="G1566" s="991"/>
      <c r="H1566" s="1105"/>
      <c r="I1566" s="994"/>
      <c r="J1566" s="992"/>
      <c r="K1566" s="994"/>
      <c r="L1566" s="992"/>
      <c r="M1566" s="995"/>
      <c r="N1566" s="996"/>
      <c r="O1566" s="996"/>
      <c r="P1566" s="79" t="str">
        <f>IF(AND('331-CT'!$E$7=TH!H1566,OR(N1566="331",O1566="331")),"x","")</f>
        <v/>
      </c>
      <c r="Q1566" s="79" t="str">
        <f>IF(AND(B1566='111'!$L$11,OR($N1566=$Q$7,$O1566=$Q$7)),"x","")</f>
        <v/>
      </c>
      <c r="R1566" s="79" t="str">
        <f>IF(AND($N1566=$Q$7,$B1566&lt;'111'!$L$11),"x","")</f>
        <v/>
      </c>
      <c r="S1566" s="79" t="str">
        <f>IF(AND($O1566=$Q$7,$B1566&lt;'111'!$L$11),"x","")</f>
        <v/>
      </c>
      <c r="T1566" s="79" t="str">
        <f>IF(ISERROR(FIND('112'!$M$9,G1566,1)),"",IF((AND(FIND('112'!$M$9,G1566,1)&gt;=1,B1566='112'!$K$9,OR($N1566='112'!$I$6,$O1566='112'!$I$6))),"x",""))</f>
        <v/>
      </c>
      <c r="U1566" s="79" t="str">
        <f>IF(ISERROR(FIND('112'!$M$9,G1566,1)),"",IF((AND(LEFT(G1566,2)=LEFT('112'!$M$9,2),B1566&lt;'112'!$K$9,$N1566='112'!$I$6)),"x",""))</f>
        <v/>
      </c>
      <c r="V1566" s="79" t="str">
        <f>IF(ISERROR(FIND('112'!$M$9,G1566,1)),"",IF((AND(RIGHT(G1566,2)=RIGHT('112'!$M$9,2),B1566&lt;'112'!$K$9,$O1566='112'!$I$6)),"x",""))</f>
        <v/>
      </c>
      <c r="W1566" s="79" t="str">
        <f>IF(AND('341-CT'!$H$9=H1566,OR(LEFT(N1566,3)=$W$7,LEFT(O1566,3)=$W$7)),"x","")</f>
        <v/>
      </c>
      <c r="X1566" s="79" t="str">
        <f>IF(OR(TH!N1566=TH!$X$7,O1566=TH!$X$7),"x","")</f>
        <v/>
      </c>
      <c r="Y1566" s="79" t="str">
        <f>IF(AND(OR(N1566="131",O1566="131"),H1566='131-CT'!$H$9),"x","")</f>
        <v/>
      </c>
      <c r="Z1566" s="79"/>
      <c r="AA1566" s="79" t="str">
        <f>IF(AND(MONTH(E1566)='IN-NX'!$J$5,'IN-NX'!$D$7=D1566),"x","")</f>
        <v/>
      </c>
      <c r="AB1566" s="79" t="str">
        <f>IF(AND(OR(LEFT(TH!N1566,2)="15",LEFT(TH!O1566,2)="15"),LEFT(TH!O1566,3)&lt;&gt;"111",'152-CT'!$J$8=TH!F1566),"x","")</f>
        <v/>
      </c>
      <c r="AC1566" s="79" t="str">
        <f>IF(AND(OR(LEFT(TH!N1566,2)="15",LEFT(TH!O1566,2)="15"),TK!$E$7=TH!F1566),"x","")</f>
        <v/>
      </c>
      <c r="AD1566" s="79" t="str">
        <f>IF(AND(N1566="1521",MONTH(C1566)='BK-NL'!$M$11),"x","")</f>
        <v/>
      </c>
    </row>
    <row r="1567" spans="1:30" ht="16.5" customHeight="1">
      <c r="A1567" s="318" t="str">
        <f>IF(B1567&lt;&gt;"",IF(AND(B1567='IN-TC'!$S$4,OR(TH!N1567="1111",TH!O1567="1111")),TH!D1567,""),"")</f>
        <v/>
      </c>
      <c r="B1567" s="60" t="str">
        <f t="shared" si="208"/>
        <v/>
      </c>
      <c r="C1567" s="989"/>
      <c r="D1567" s="989"/>
      <c r="E1567" s="989"/>
      <c r="F1567" s="921"/>
      <c r="G1567" s="991"/>
      <c r="H1567" s="1105"/>
      <c r="I1567" s="994"/>
      <c r="J1567" s="992"/>
      <c r="K1567" s="994"/>
      <c r="L1567" s="992"/>
      <c r="M1567" s="995"/>
      <c r="N1567" s="996"/>
      <c r="O1567" s="996"/>
      <c r="P1567" s="79" t="str">
        <f>IF(AND('331-CT'!$E$7=TH!H1567,OR(N1567="331",O1567="331")),"x","")</f>
        <v/>
      </c>
      <c r="Q1567" s="79" t="str">
        <f>IF(AND(B1567='111'!$L$11,OR($N1567=$Q$7,$O1567=$Q$7)),"x","")</f>
        <v/>
      </c>
      <c r="R1567" s="79" t="str">
        <f>IF(AND($N1567=$Q$7,$B1567&lt;'111'!$L$11),"x","")</f>
        <v/>
      </c>
      <c r="S1567" s="79" t="str">
        <f>IF(AND($O1567=$Q$7,$B1567&lt;'111'!$L$11),"x","")</f>
        <v/>
      </c>
      <c r="T1567" s="79" t="str">
        <f>IF(ISERROR(FIND('112'!$M$9,G1567,1)),"",IF((AND(FIND('112'!$M$9,G1567,1)&gt;=1,B1567='112'!$K$9,OR($N1567='112'!$I$6,$O1567='112'!$I$6))),"x",""))</f>
        <v/>
      </c>
      <c r="U1567" s="79" t="str">
        <f>IF(ISERROR(FIND('112'!$M$9,G1567,1)),"",IF((AND(LEFT(G1567,2)=LEFT('112'!$M$9,2),B1567&lt;'112'!$K$9,$N1567='112'!$I$6)),"x",""))</f>
        <v/>
      </c>
      <c r="V1567" s="79" t="str">
        <f>IF(ISERROR(FIND('112'!$M$9,G1567,1)),"",IF((AND(RIGHT(G1567,2)=RIGHT('112'!$M$9,2),B1567&lt;'112'!$K$9,$O1567='112'!$I$6)),"x",""))</f>
        <v/>
      </c>
      <c r="W1567" s="79" t="str">
        <f>IF(AND('341-CT'!$H$9=H1567,OR(LEFT(N1567,3)=$W$7,LEFT(O1567,3)=$W$7)),"x","")</f>
        <v/>
      </c>
      <c r="X1567" s="79" t="str">
        <f>IF(OR(TH!N1567=TH!$X$7,O1567=TH!$X$7),"x","")</f>
        <v/>
      </c>
      <c r="Y1567" s="79" t="str">
        <f>IF(AND(OR(N1567="131",O1567="131"),H1567='131-CT'!$H$9),"x","")</f>
        <v/>
      </c>
      <c r="Z1567" s="79"/>
      <c r="AA1567" s="79" t="str">
        <f>IF(AND(MONTH(E1567)='IN-NX'!$J$5,'IN-NX'!$D$7=D1567),"x","")</f>
        <v/>
      </c>
      <c r="AB1567" s="79" t="str">
        <f>IF(AND(OR(LEFT(TH!N1567,2)="15",LEFT(TH!O1567,2)="15"),LEFT(TH!O1567,3)&lt;&gt;"111",'152-CT'!$J$8=TH!F1567),"x","")</f>
        <v/>
      </c>
      <c r="AC1567" s="79" t="str">
        <f>IF(AND(OR(LEFT(TH!N1567,2)="15",LEFT(TH!O1567,2)="15"),TK!$E$7=TH!F1567),"x","")</f>
        <v/>
      </c>
      <c r="AD1567" s="79" t="str">
        <f>IF(AND(N1567="1521",MONTH(C1567)='BK-NL'!$M$11),"x","")</f>
        <v/>
      </c>
    </row>
    <row r="1568" spans="1:30" ht="16.5" customHeight="1">
      <c r="A1568" s="318" t="str">
        <f>IF(B1568&lt;&gt;"",IF(AND(B1568='IN-TC'!$S$4,OR(TH!N1568="1111",TH!O1568="1111")),TH!D1568,""),"")</f>
        <v/>
      </c>
      <c r="B1568" s="60" t="str">
        <f t="shared" si="208"/>
        <v/>
      </c>
      <c r="C1568" s="989"/>
      <c r="D1568" s="989"/>
      <c r="E1568" s="989"/>
      <c r="F1568" s="921"/>
      <c r="G1568" s="991"/>
      <c r="H1568" s="1105"/>
      <c r="I1568" s="994"/>
      <c r="J1568" s="992"/>
      <c r="K1568" s="994"/>
      <c r="L1568" s="992"/>
      <c r="M1568" s="995"/>
      <c r="N1568" s="996"/>
      <c r="O1568" s="996"/>
      <c r="P1568" s="79" t="str">
        <f>IF(AND('331-CT'!$E$7=TH!H1568,OR(N1568="331",O1568="331")),"x","")</f>
        <v/>
      </c>
      <c r="Q1568" s="79" t="str">
        <f>IF(AND(B1568='111'!$L$11,OR($N1568=$Q$7,$O1568=$Q$7)),"x","")</f>
        <v/>
      </c>
      <c r="R1568" s="79" t="str">
        <f>IF(AND($N1568=$Q$7,$B1568&lt;'111'!$L$11),"x","")</f>
        <v/>
      </c>
      <c r="S1568" s="79" t="str">
        <f>IF(AND($O1568=$Q$7,$B1568&lt;'111'!$L$11),"x","")</f>
        <v/>
      </c>
      <c r="T1568" s="79" t="str">
        <f>IF(ISERROR(FIND('112'!$M$9,G1568,1)),"",IF((AND(FIND('112'!$M$9,G1568,1)&gt;=1,B1568='112'!$K$9,OR($N1568='112'!$I$6,$O1568='112'!$I$6))),"x",""))</f>
        <v/>
      </c>
      <c r="U1568" s="79" t="str">
        <f>IF(ISERROR(FIND('112'!$M$9,G1568,1)),"",IF((AND(LEFT(G1568,2)=LEFT('112'!$M$9,2),B1568&lt;'112'!$K$9,$N1568='112'!$I$6)),"x",""))</f>
        <v/>
      </c>
      <c r="V1568" s="79" t="str">
        <f>IF(ISERROR(FIND('112'!$M$9,G1568,1)),"",IF((AND(RIGHT(G1568,2)=RIGHT('112'!$M$9,2),B1568&lt;'112'!$K$9,$O1568='112'!$I$6)),"x",""))</f>
        <v/>
      </c>
      <c r="W1568" s="79" t="str">
        <f>IF(AND('341-CT'!$H$9=H1568,OR(LEFT(N1568,3)=$W$7,LEFT(O1568,3)=$W$7)),"x","")</f>
        <v/>
      </c>
      <c r="X1568" s="79" t="str">
        <f>IF(OR(TH!N1568=TH!$X$7,O1568=TH!$X$7),"x","")</f>
        <v/>
      </c>
      <c r="Y1568" s="79" t="str">
        <f>IF(AND(OR(N1568="131",O1568="131"),H1568='131-CT'!$H$9),"x","")</f>
        <v/>
      </c>
      <c r="Z1568" s="79"/>
      <c r="AA1568" s="79" t="str">
        <f>IF(AND(MONTH(E1568)='IN-NX'!$J$5,'IN-NX'!$D$7=D1568),"x","")</f>
        <v/>
      </c>
      <c r="AB1568" s="79" t="str">
        <f>IF(AND(OR(LEFT(TH!N1568,2)="15",LEFT(TH!O1568,2)="15"),LEFT(TH!O1568,3)&lt;&gt;"111",'152-CT'!$J$8=TH!F1568),"x","")</f>
        <v/>
      </c>
      <c r="AC1568" s="79" t="str">
        <f>IF(AND(OR(LEFT(TH!N1568,2)="15",LEFT(TH!O1568,2)="15"),TK!$E$7=TH!F1568),"x","")</f>
        <v/>
      </c>
      <c r="AD1568" s="79" t="str">
        <f>IF(AND(N1568="1521",MONTH(C1568)='BK-NL'!$M$11),"x","")</f>
        <v/>
      </c>
    </row>
    <row r="1569" spans="1:30" ht="16.5" customHeight="1">
      <c r="A1569" s="318" t="str">
        <f>IF(B1569&lt;&gt;"",IF(AND(B1569='IN-TC'!$S$4,OR(TH!N1569="1111",TH!O1569="1111")),TH!D1569,""),"")</f>
        <v/>
      </c>
      <c r="B1569" s="60" t="str">
        <f t="shared" si="208"/>
        <v/>
      </c>
      <c r="C1569" s="989"/>
      <c r="D1569" s="989"/>
      <c r="E1569" s="989"/>
      <c r="F1569" s="990"/>
      <c r="G1569" s="991"/>
      <c r="H1569" s="1105"/>
      <c r="I1569" s="994"/>
      <c r="J1569" s="993"/>
      <c r="K1569" s="994"/>
      <c r="L1569" s="992"/>
      <c r="M1569" s="995"/>
      <c r="N1569" s="996"/>
      <c r="O1569" s="996"/>
      <c r="P1569" s="79" t="str">
        <f>IF(AND('331-CT'!$E$7=TH!H1569,OR(N1569="331",O1569="331")),"x","")</f>
        <v/>
      </c>
      <c r="Q1569" s="79" t="str">
        <f>IF(AND(B1569='111'!$L$11,OR($N1569=$Q$7,$O1569=$Q$7)),"x","")</f>
        <v/>
      </c>
      <c r="R1569" s="79" t="str">
        <f>IF(AND($N1569=$Q$7,$B1569&lt;'111'!$L$11),"x","")</f>
        <v/>
      </c>
      <c r="S1569" s="79" t="str">
        <f>IF(AND($O1569=$Q$7,$B1569&lt;'111'!$L$11),"x","")</f>
        <v/>
      </c>
      <c r="T1569" s="79" t="str">
        <f>IF(ISERROR(FIND('112'!$M$9,G1569,1)),"",IF((AND(FIND('112'!$M$9,G1569,1)&gt;=1,B1569='112'!$K$9,OR($N1569='112'!$I$6,$O1569='112'!$I$6))),"x",""))</f>
        <v/>
      </c>
      <c r="U1569" s="79" t="str">
        <f>IF(ISERROR(FIND('112'!$M$9,G1569,1)),"",IF((AND(LEFT(G1569,2)=LEFT('112'!$M$9,2),B1569&lt;'112'!$K$9,$N1569='112'!$I$6)),"x",""))</f>
        <v/>
      </c>
      <c r="V1569" s="79" t="str">
        <f>IF(ISERROR(FIND('112'!$M$9,G1569,1)),"",IF((AND(RIGHT(G1569,2)=RIGHT('112'!$M$9,2),B1569&lt;'112'!$K$9,$O1569='112'!$I$6)),"x",""))</f>
        <v/>
      </c>
      <c r="W1569" s="79" t="str">
        <f>IF(AND('341-CT'!$H$9=H1569,OR(LEFT(N1569,3)=$W$7,LEFT(O1569,3)=$W$7)),"x","")</f>
        <v/>
      </c>
      <c r="X1569" s="79" t="str">
        <f>IF(OR(TH!N1569=TH!$X$7,O1569=TH!$X$7),"x","")</f>
        <v/>
      </c>
      <c r="Y1569" s="79" t="str">
        <f>IF(AND(OR(N1569="131",O1569="131"),H1569='131-CT'!$H$9),"x","")</f>
        <v/>
      </c>
      <c r="Z1569" s="79"/>
      <c r="AA1569" s="79" t="str">
        <f>IF(AND(MONTH(E1569)='IN-NX'!$J$5,'IN-NX'!$D$7=D1569),"x","")</f>
        <v/>
      </c>
      <c r="AB1569" s="79" t="str">
        <f>IF(AND(OR(LEFT(TH!N1569,2)="15",LEFT(TH!O1569,2)="15"),LEFT(TH!O1569,3)&lt;&gt;"111",'152-CT'!$J$8=TH!F1569),"x","")</f>
        <v/>
      </c>
      <c r="AC1569" s="79" t="str">
        <f>IF(AND(OR(LEFT(TH!N1569,2)="15",LEFT(TH!O1569,2)="15"),TK!$E$7=TH!F1569),"x","")</f>
        <v/>
      </c>
      <c r="AD1569" s="79" t="str">
        <f>IF(AND(N1569="1521",MONTH(C1569)='BK-NL'!$M$11),"x","")</f>
        <v/>
      </c>
    </row>
    <row r="1570" spans="1:30" ht="16.5" customHeight="1">
      <c r="A1570" s="318" t="str">
        <f>IF(B1570&lt;&gt;"",IF(AND(B1570='IN-TC'!$S$4,OR(TH!N1570="1111",TH!O1570="1111")),TH!D1570,""),"")</f>
        <v/>
      </c>
      <c r="B1570" s="60" t="str">
        <f t="shared" si="208"/>
        <v/>
      </c>
      <c r="C1570" s="989"/>
      <c r="D1570" s="989"/>
      <c r="E1570" s="989"/>
      <c r="F1570" s="990"/>
      <c r="G1570" s="991"/>
      <c r="H1570" s="921"/>
      <c r="I1570" s="994"/>
      <c r="J1570" s="993"/>
      <c r="K1570" s="994"/>
      <c r="L1570" s="992"/>
      <c r="M1570" s="995"/>
      <c r="N1570" s="996"/>
      <c r="O1570" s="996"/>
      <c r="P1570" s="79" t="str">
        <f>IF(AND('331-CT'!$E$7=TH!H1570,OR(N1570="331",O1570="331")),"x","")</f>
        <v/>
      </c>
      <c r="Q1570" s="79" t="str">
        <f>IF(AND(B1570='111'!$L$11,OR($N1570=$Q$7,$O1570=$Q$7)),"x","")</f>
        <v/>
      </c>
      <c r="R1570" s="79" t="str">
        <f>IF(AND($N1570=$Q$7,$B1570&lt;'111'!$L$11),"x","")</f>
        <v/>
      </c>
      <c r="S1570" s="79" t="str">
        <f>IF(AND($O1570=$Q$7,$B1570&lt;'111'!$L$11),"x","")</f>
        <v/>
      </c>
      <c r="T1570" s="79" t="str">
        <f>IF(ISERROR(FIND('112'!$M$9,G1570,1)),"",IF((AND(FIND('112'!$M$9,G1570,1)&gt;=1,B1570='112'!$K$9,OR($N1570='112'!$I$6,$O1570='112'!$I$6))),"x",""))</f>
        <v/>
      </c>
      <c r="U1570" s="79" t="str">
        <f>IF(ISERROR(FIND('112'!$M$9,G1570,1)),"",IF((AND(LEFT(G1570,2)=LEFT('112'!$M$9,2),B1570&lt;'112'!$K$9,$N1570='112'!$I$6)),"x",""))</f>
        <v/>
      </c>
      <c r="V1570" s="79" t="str">
        <f>IF(ISERROR(FIND('112'!$M$9,G1570,1)),"",IF((AND(RIGHT(G1570,2)=RIGHT('112'!$M$9,2),B1570&lt;'112'!$K$9,$O1570='112'!$I$6)),"x",""))</f>
        <v/>
      </c>
      <c r="W1570" s="79" t="str">
        <f>IF(AND('341-CT'!$H$9=H1570,OR(LEFT(N1570,3)=$W$7,LEFT(O1570,3)=$W$7)),"x","")</f>
        <v/>
      </c>
      <c r="X1570" s="79" t="str">
        <f>IF(OR(TH!N1570=TH!$X$7,O1570=TH!$X$7),"x","")</f>
        <v/>
      </c>
      <c r="Y1570" s="79" t="str">
        <f>IF(AND(OR(N1570="131",O1570="131"),H1570='131-CT'!$H$9),"x","")</f>
        <v/>
      </c>
      <c r="Z1570" s="79"/>
      <c r="AA1570" s="79" t="str">
        <f>IF(AND(MONTH(E1570)='IN-NX'!$J$5,'IN-NX'!$D$7=D1570),"x","")</f>
        <v/>
      </c>
      <c r="AB1570" s="79" t="str">
        <f>IF(AND(OR(LEFT(TH!N1570,2)="15",LEFT(TH!O1570,2)="15"),LEFT(TH!O1570,3)&lt;&gt;"111",'152-CT'!$J$8=TH!F1570),"x","")</f>
        <v/>
      </c>
      <c r="AC1570" s="79" t="str">
        <f>IF(AND(OR(LEFT(TH!N1570,2)="15",LEFT(TH!O1570,2)="15"),TK!$E$7=TH!F1570),"x","")</f>
        <v/>
      </c>
      <c r="AD1570" s="79" t="str">
        <f>IF(AND(N1570="1521",MONTH(C1570)='BK-NL'!$M$11),"x","")</f>
        <v/>
      </c>
    </row>
    <row r="1571" spans="1:30" ht="16.5" customHeight="1">
      <c r="A1571" s="318" t="str">
        <f>IF(B1571&lt;&gt;"",IF(AND(B1571='IN-TC'!$S$4,OR(TH!N1571="1111",TH!O1571="1111")),TH!D1571,""),"")</f>
        <v/>
      </c>
      <c r="B1571" s="60" t="str">
        <f t="shared" si="208"/>
        <v/>
      </c>
      <c r="C1571" s="989"/>
      <c r="D1571" s="989"/>
      <c r="E1571" s="989"/>
      <c r="F1571" s="921"/>
      <c r="G1571" s="991"/>
      <c r="H1571" s="1105"/>
      <c r="I1571" s="994"/>
      <c r="J1571" s="992"/>
      <c r="K1571" s="994"/>
      <c r="L1571" s="992"/>
      <c r="M1571" s="995"/>
      <c r="N1571" s="996"/>
      <c r="O1571" s="996"/>
      <c r="P1571" s="79" t="str">
        <f>IF(AND('331-CT'!$E$7=TH!H1571,OR(N1571="331",O1571="331")),"x","")</f>
        <v/>
      </c>
      <c r="Q1571" s="79" t="str">
        <f>IF(AND(B1571='111'!$L$11,OR($N1571=$Q$7,$O1571=$Q$7)),"x","")</f>
        <v/>
      </c>
      <c r="R1571" s="79" t="str">
        <f>IF(AND($N1571=$Q$7,$B1571&lt;'111'!$L$11),"x","")</f>
        <v/>
      </c>
      <c r="S1571" s="79" t="str">
        <f>IF(AND($O1571=$Q$7,$B1571&lt;'111'!$L$11),"x","")</f>
        <v/>
      </c>
      <c r="T1571" s="79" t="str">
        <f>IF(ISERROR(FIND('112'!$M$9,G1571,1)),"",IF((AND(FIND('112'!$M$9,G1571,1)&gt;=1,B1571='112'!$K$9,OR($N1571='112'!$I$6,$O1571='112'!$I$6))),"x",""))</f>
        <v/>
      </c>
      <c r="U1571" s="79" t="str">
        <f>IF(ISERROR(FIND('112'!$M$9,G1571,1)),"",IF((AND(LEFT(G1571,2)=LEFT('112'!$M$9,2),B1571&lt;'112'!$K$9,$N1571='112'!$I$6)),"x",""))</f>
        <v/>
      </c>
      <c r="V1571" s="79" t="str">
        <f>IF(ISERROR(FIND('112'!$M$9,G1571,1)),"",IF((AND(RIGHT(G1571,2)=RIGHT('112'!$M$9,2),B1571&lt;'112'!$K$9,$O1571='112'!$I$6)),"x",""))</f>
        <v/>
      </c>
      <c r="W1571" s="79" t="str">
        <f>IF(AND('341-CT'!$H$9=H1571,OR(LEFT(N1571,3)=$W$7,LEFT(O1571,3)=$W$7)),"x","")</f>
        <v/>
      </c>
      <c r="X1571" s="79" t="str">
        <f>IF(OR(TH!N1571=TH!$X$7,O1571=TH!$X$7),"x","")</f>
        <v/>
      </c>
      <c r="Y1571" s="79" t="str">
        <f>IF(AND(OR(N1571="131",O1571="131"),H1571='131-CT'!$H$9),"x","")</f>
        <v/>
      </c>
      <c r="Z1571" s="79"/>
      <c r="AA1571" s="79" t="str">
        <f>IF(AND(MONTH(E1571)='IN-NX'!$J$5,'IN-NX'!$D$7=D1571),"x","")</f>
        <v/>
      </c>
      <c r="AB1571" s="79" t="str">
        <f>IF(AND(OR(LEFT(TH!N1571,2)="15",LEFT(TH!O1571,2)="15"),LEFT(TH!O1571,3)&lt;&gt;"111",'152-CT'!$J$8=TH!F1571),"x","")</f>
        <v/>
      </c>
      <c r="AC1571" s="79" t="str">
        <f>IF(AND(OR(LEFT(TH!N1571,2)="15",LEFT(TH!O1571,2)="15"),TK!$E$7=TH!F1571),"x","")</f>
        <v/>
      </c>
      <c r="AD1571" s="79" t="str">
        <f>IF(AND(N1571="1521",MONTH(C1571)='BK-NL'!$M$11),"x","")</f>
        <v/>
      </c>
    </row>
    <row r="1572" spans="1:30" ht="16.5" customHeight="1">
      <c r="A1572" s="318" t="str">
        <f>IF(B1572&lt;&gt;"",IF(AND(B1572='IN-TC'!$S$4,OR(TH!N1572="1111",TH!O1572="1111")),TH!D1572,""),"")</f>
        <v/>
      </c>
      <c r="B1572" s="60" t="str">
        <f t="shared" si="208"/>
        <v/>
      </c>
      <c r="C1572" s="989"/>
      <c r="D1572" s="989"/>
      <c r="E1572" s="989"/>
      <c r="F1572" s="921"/>
      <c r="G1572" s="991"/>
      <c r="H1572" s="1105"/>
      <c r="I1572" s="994"/>
      <c r="J1572" s="992"/>
      <c r="K1572" s="994"/>
      <c r="L1572" s="992"/>
      <c r="M1572" s="995"/>
      <c r="N1572" s="996"/>
      <c r="O1572" s="996"/>
      <c r="P1572" s="79" t="str">
        <f>IF(AND('331-CT'!$E$7=TH!H1572,OR(N1572="331",O1572="331")),"x","")</f>
        <v/>
      </c>
      <c r="Q1572" s="79" t="str">
        <f>IF(AND(B1572='111'!$L$11,OR($N1572=$Q$7,$O1572=$Q$7)),"x","")</f>
        <v/>
      </c>
      <c r="R1572" s="79" t="str">
        <f>IF(AND($N1572=$Q$7,$B1572&lt;'111'!$L$11),"x","")</f>
        <v/>
      </c>
      <c r="S1572" s="79" t="str">
        <f>IF(AND($O1572=$Q$7,$B1572&lt;'111'!$L$11),"x","")</f>
        <v/>
      </c>
      <c r="T1572" s="79" t="str">
        <f>IF(ISERROR(FIND('112'!$M$9,G1572,1)),"",IF((AND(FIND('112'!$M$9,G1572,1)&gt;=1,B1572='112'!$K$9,OR($N1572='112'!$I$6,$O1572='112'!$I$6))),"x",""))</f>
        <v/>
      </c>
      <c r="U1572" s="79" t="str">
        <f>IF(ISERROR(FIND('112'!$M$9,G1572,1)),"",IF((AND(LEFT(G1572,2)=LEFT('112'!$M$9,2),B1572&lt;'112'!$K$9,$N1572='112'!$I$6)),"x",""))</f>
        <v/>
      </c>
      <c r="V1572" s="79" t="str">
        <f>IF(ISERROR(FIND('112'!$M$9,G1572,1)),"",IF((AND(RIGHT(G1572,2)=RIGHT('112'!$M$9,2),B1572&lt;'112'!$K$9,$O1572='112'!$I$6)),"x",""))</f>
        <v/>
      </c>
      <c r="W1572" s="79" t="str">
        <f>IF(AND('341-CT'!$H$9=H1572,OR(LEFT(N1572,3)=$W$7,LEFT(O1572,3)=$W$7)),"x","")</f>
        <v/>
      </c>
      <c r="X1572" s="79" t="str">
        <f>IF(OR(TH!N1572=TH!$X$7,O1572=TH!$X$7),"x","")</f>
        <v/>
      </c>
      <c r="Y1572" s="79" t="str">
        <f>IF(AND(OR(N1572="131",O1572="131"),H1572='131-CT'!$H$9),"x","")</f>
        <v/>
      </c>
      <c r="Z1572" s="79"/>
      <c r="AA1572" s="79" t="str">
        <f>IF(AND(MONTH(E1572)='IN-NX'!$J$5,'IN-NX'!$D$7=D1572),"x","")</f>
        <v/>
      </c>
      <c r="AB1572" s="79" t="str">
        <f>IF(AND(OR(LEFT(TH!N1572,2)="15",LEFT(TH!O1572,2)="15"),LEFT(TH!O1572,3)&lt;&gt;"111",'152-CT'!$J$8=TH!F1572),"x","")</f>
        <v/>
      </c>
      <c r="AC1572" s="79" t="str">
        <f>IF(AND(OR(LEFT(TH!N1572,2)="15",LEFT(TH!O1572,2)="15"),TK!$E$7=TH!F1572),"x","")</f>
        <v/>
      </c>
      <c r="AD1572" s="79" t="str">
        <f>IF(AND(N1572="1521",MONTH(C1572)='BK-NL'!$M$11),"x","")</f>
        <v/>
      </c>
    </row>
    <row r="1573" spans="1:30" ht="16.5" customHeight="1">
      <c r="A1573" s="318" t="str">
        <f>IF(B1573&lt;&gt;"",IF(AND(B1573='IN-TC'!$S$4,OR(TH!N1573="1111",TH!O1573="1111")),TH!D1573,""),"")</f>
        <v/>
      </c>
      <c r="B1573" s="60" t="str">
        <f t="shared" si="208"/>
        <v/>
      </c>
      <c r="C1573" s="989"/>
      <c r="D1573" s="989"/>
      <c r="E1573" s="989"/>
      <c r="F1573" s="921"/>
      <c r="G1573" s="991"/>
      <c r="H1573" s="1105"/>
      <c r="I1573" s="994"/>
      <c r="J1573" s="992"/>
      <c r="K1573" s="994"/>
      <c r="L1573" s="992"/>
      <c r="M1573" s="995"/>
      <c r="N1573" s="996"/>
      <c r="O1573" s="996"/>
      <c r="P1573" s="79" t="str">
        <f>IF(AND('331-CT'!$E$7=TH!H1573,OR(N1573="331",O1573="331")),"x","")</f>
        <v/>
      </c>
      <c r="Q1573" s="79" t="str">
        <f>IF(AND(B1573='111'!$L$11,OR($N1573=$Q$7,$O1573=$Q$7)),"x","")</f>
        <v/>
      </c>
      <c r="R1573" s="79" t="str">
        <f>IF(AND($N1573=$Q$7,$B1573&lt;'111'!$L$11),"x","")</f>
        <v/>
      </c>
      <c r="S1573" s="79" t="str">
        <f>IF(AND($O1573=$Q$7,$B1573&lt;'111'!$L$11),"x","")</f>
        <v/>
      </c>
      <c r="T1573" s="79" t="str">
        <f>IF(ISERROR(FIND('112'!$M$9,G1573,1)),"",IF((AND(FIND('112'!$M$9,G1573,1)&gt;=1,B1573='112'!$K$9,OR($N1573='112'!$I$6,$O1573='112'!$I$6))),"x",""))</f>
        <v/>
      </c>
      <c r="U1573" s="79" t="str">
        <f>IF(ISERROR(FIND('112'!$M$9,G1573,1)),"",IF((AND(LEFT(G1573,2)=LEFT('112'!$M$9,2),B1573&lt;'112'!$K$9,$N1573='112'!$I$6)),"x",""))</f>
        <v/>
      </c>
      <c r="V1573" s="79" t="str">
        <f>IF(ISERROR(FIND('112'!$M$9,G1573,1)),"",IF((AND(RIGHT(G1573,2)=RIGHT('112'!$M$9,2),B1573&lt;'112'!$K$9,$O1573='112'!$I$6)),"x",""))</f>
        <v/>
      </c>
      <c r="W1573" s="79" t="str">
        <f>IF(AND('341-CT'!$H$9=H1573,OR(LEFT(N1573,3)=$W$7,LEFT(O1573,3)=$W$7)),"x","")</f>
        <v/>
      </c>
      <c r="X1573" s="79" t="str">
        <f>IF(OR(TH!N1573=TH!$X$7,O1573=TH!$X$7),"x","")</f>
        <v/>
      </c>
      <c r="Y1573" s="79" t="str">
        <f>IF(AND(OR(N1573="131",O1573="131"),H1573='131-CT'!$H$9),"x","")</f>
        <v/>
      </c>
      <c r="Z1573" s="79"/>
      <c r="AA1573" s="79" t="str">
        <f>IF(AND(MONTH(E1573)='IN-NX'!$J$5,'IN-NX'!$D$7=D1573),"x","")</f>
        <v/>
      </c>
      <c r="AB1573" s="79" t="str">
        <f>IF(AND(OR(LEFT(TH!N1573,2)="15",LEFT(TH!O1573,2)="15"),LEFT(TH!O1573,3)&lt;&gt;"111",'152-CT'!$J$8=TH!F1573),"x","")</f>
        <v/>
      </c>
      <c r="AC1573" s="79" t="str">
        <f>IF(AND(OR(LEFT(TH!N1573,2)="15",LEFT(TH!O1573,2)="15"),TK!$E$7=TH!F1573),"x","")</f>
        <v/>
      </c>
      <c r="AD1573" s="79" t="str">
        <f>IF(AND(N1573="1521",MONTH(C1573)='BK-NL'!$M$11),"x","")</f>
        <v/>
      </c>
    </row>
    <row r="1574" spans="1:30" ht="16.5" customHeight="1">
      <c r="A1574" s="318" t="str">
        <f>IF(B1574&lt;&gt;"",IF(AND(B1574='IN-TC'!$S$4,OR(TH!N1574="1111",TH!O1574="1111")),TH!D1574,""),"")</f>
        <v/>
      </c>
      <c r="B1574" s="60" t="str">
        <f t="shared" si="208"/>
        <v/>
      </c>
      <c r="C1574" s="989"/>
      <c r="D1574" s="989"/>
      <c r="E1574" s="989"/>
      <c r="F1574" s="921"/>
      <c r="G1574" s="991"/>
      <c r="H1574" s="1105"/>
      <c r="I1574" s="994"/>
      <c r="J1574" s="992"/>
      <c r="K1574" s="994"/>
      <c r="L1574" s="992"/>
      <c r="M1574" s="995"/>
      <c r="N1574" s="996"/>
      <c r="O1574" s="996"/>
      <c r="P1574" s="79" t="str">
        <f>IF(AND('331-CT'!$E$7=TH!H1574,OR(N1574="331",O1574="331")),"x","")</f>
        <v/>
      </c>
      <c r="Q1574" s="79" t="str">
        <f>IF(AND(B1574='111'!$L$11,OR($N1574=$Q$7,$O1574=$Q$7)),"x","")</f>
        <v/>
      </c>
      <c r="R1574" s="79" t="str">
        <f>IF(AND($N1574=$Q$7,$B1574&lt;'111'!$L$11),"x","")</f>
        <v/>
      </c>
      <c r="S1574" s="79" t="str">
        <f>IF(AND($O1574=$Q$7,$B1574&lt;'111'!$L$11),"x","")</f>
        <v/>
      </c>
      <c r="T1574" s="79" t="str">
        <f>IF(ISERROR(FIND('112'!$M$9,G1574,1)),"",IF((AND(FIND('112'!$M$9,G1574,1)&gt;=1,B1574='112'!$K$9,OR($N1574='112'!$I$6,$O1574='112'!$I$6))),"x",""))</f>
        <v/>
      </c>
      <c r="U1574" s="79" t="str">
        <f>IF(ISERROR(FIND('112'!$M$9,G1574,1)),"",IF((AND(LEFT(G1574,2)=LEFT('112'!$M$9,2),B1574&lt;'112'!$K$9,$N1574='112'!$I$6)),"x",""))</f>
        <v/>
      </c>
      <c r="V1574" s="79" t="str">
        <f>IF(ISERROR(FIND('112'!$M$9,G1574,1)),"",IF((AND(RIGHT(G1574,2)=RIGHT('112'!$M$9,2),B1574&lt;'112'!$K$9,$O1574='112'!$I$6)),"x",""))</f>
        <v/>
      </c>
      <c r="W1574" s="79" t="str">
        <f>IF(AND('341-CT'!$H$9=H1574,OR(LEFT(N1574,3)=$W$7,LEFT(O1574,3)=$W$7)),"x","")</f>
        <v/>
      </c>
      <c r="X1574" s="79" t="str">
        <f>IF(OR(TH!N1574=TH!$X$7,O1574=TH!$X$7),"x","")</f>
        <v/>
      </c>
      <c r="Y1574" s="79" t="str">
        <f>IF(AND(OR(N1574="131",O1574="131"),H1574='131-CT'!$H$9),"x","")</f>
        <v/>
      </c>
      <c r="Z1574" s="79"/>
      <c r="AA1574" s="79" t="str">
        <f>IF(AND(MONTH(E1574)='IN-NX'!$J$5,'IN-NX'!$D$7=D1574),"x","")</f>
        <v/>
      </c>
      <c r="AB1574" s="79" t="str">
        <f>IF(AND(OR(LEFT(TH!N1574,2)="15",LEFT(TH!O1574,2)="15"),LEFT(TH!O1574,3)&lt;&gt;"111",'152-CT'!$J$8=TH!F1574),"x","")</f>
        <v/>
      </c>
      <c r="AC1574" s="79" t="str">
        <f>IF(AND(OR(LEFT(TH!N1574,2)="15",LEFT(TH!O1574,2)="15"),TK!$E$7=TH!F1574),"x","")</f>
        <v/>
      </c>
      <c r="AD1574" s="79" t="str">
        <f>IF(AND(N1574="1521",MONTH(C1574)='BK-NL'!$M$11),"x","")</f>
        <v/>
      </c>
    </row>
    <row r="1575" spans="1:30" ht="16.5" customHeight="1">
      <c r="A1575" s="318" t="str">
        <f>IF(B1575&lt;&gt;"",IF(AND(B1575='IN-TC'!$S$4,OR(TH!N1575="1111",TH!O1575="1111")),TH!D1575,""),"")</f>
        <v/>
      </c>
      <c r="B1575" s="60" t="str">
        <f t="shared" si="208"/>
        <v/>
      </c>
      <c r="C1575" s="989"/>
      <c r="D1575" s="989"/>
      <c r="E1575" s="989"/>
      <c r="F1575" s="921"/>
      <c r="G1575" s="991"/>
      <c r="H1575" s="1105"/>
      <c r="I1575" s="994"/>
      <c r="J1575" s="992"/>
      <c r="K1575" s="994"/>
      <c r="L1575" s="992"/>
      <c r="M1575" s="995"/>
      <c r="N1575" s="996"/>
      <c r="O1575" s="996"/>
      <c r="P1575" s="79" t="str">
        <f>IF(AND('331-CT'!$E$7=TH!H1575,OR(N1575="331",O1575="331")),"x","")</f>
        <v/>
      </c>
      <c r="Q1575" s="79" t="str">
        <f>IF(AND(B1575='111'!$L$11,OR($N1575=$Q$7,$O1575=$Q$7)),"x","")</f>
        <v/>
      </c>
      <c r="R1575" s="79" t="str">
        <f>IF(AND($N1575=$Q$7,$B1575&lt;'111'!$L$11),"x","")</f>
        <v/>
      </c>
      <c r="S1575" s="79" t="str">
        <f>IF(AND($O1575=$Q$7,$B1575&lt;'111'!$L$11),"x","")</f>
        <v/>
      </c>
      <c r="T1575" s="79" t="str">
        <f>IF(ISERROR(FIND('112'!$M$9,G1575,1)),"",IF((AND(FIND('112'!$M$9,G1575,1)&gt;=1,B1575='112'!$K$9,OR($N1575='112'!$I$6,$O1575='112'!$I$6))),"x",""))</f>
        <v/>
      </c>
      <c r="U1575" s="79" t="str">
        <f>IF(ISERROR(FIND('112'!$M$9,G1575,1)),"",IF((AND(LEFT(G1575,2)=LEFT('112'!$M$9,2),B1575&lt;'112'!$K$9,$N1575='112'!$I$6)),"x",""))</f>
        <v/>
      </c>
      <c r="V1575" s="79" t="str">
        <f>IF(ISERROR(FIND('112'!$M$9,G1575,1)),"",IF((AND(RIGHT(G1575,2)=RIGHT('112'!$M$9,2),B1575&lt;'112'!$K$9,$O1575='112'!$I$6)),"x",""))</f>
        <v/>
      </c>
      <c r="W1575" s="79" t="str">
        <f>IF(AND('341-CT'!$H$9=H1575,OR(LEFT(N1575,3)=$W$7,LEFT(O1575,3)=$W$7)),"x","")</f>
        <v/>
      </c>
      <c r="X1575" s="79" t="str">
        <f>IF(OR(TH!N1575=TH!$X$7,O1575=TH!$X$7),"x","")</f>
        <v/>
      </c>
      <c r="Y1575" s="79" t="str">
        <f>IF(AND(OR(N1575="131",O1575="131"),H1575='131-CT'!$H$9),"x","")</f>
        <v/>
      </c>
      <c r="Z1575" s="79"/>
      <c r="AA1575" s="79" t="str">
        <f>IF(AND(MONTH(E1575)='IN-NX'!$J$5,'IN-NX'!$D$7=D1575),"x","")</f>
        <v/>
      </c>
      <c r="AB1575" s="79" t="str">
        <f>IF(AND(OR(LEFT(TH!N1575,2)="15",LEFT(TH!O1575,2)="15"),LEFT(TH!O1575,3)&lt;&gt;"111",'152-CT'!$J$8=TH!F1575),"x","")</f>
        <v/>
      </c>
      <c r="AC1575" s="79" t="str">
        <f>IF(AND(OR(LEFT(TH!N1575,2)="15",LEFT(TH!O1575,2)="15"),TK!$E$7=TH!F1575),"x","")</f>
        <v/>
      </c>
      <c r="AD1575" s="79" t="str">
        <f>IF(AND(N1575="1521",MONTH(C1575)='BK-NL'!$M$11),"x","")</f>
        <v/>
      </c>
    </row>
    <row r="1576" spans="1:30" ht="16.5" customHeight="1">
      <c r="A1576" s="318" t="str">
        <f>IF(B1576&lt;&gt;"",IF(AND(B1576='IN-TC'!$S$4,OR(TH!N1576="1111",TH!O1576="1111")),TH!D1576,""),"")</f>
        <v/>
      </c>
      <c r="B1576" s="60" t="str">
        <f t="shared" si="208"/>
        <v/>
      </c>
      <c r="C1576" s="989"/>
      <c r="D1576" s="989"/>
      <c r="E1576" s="989"/>
      <c r="F1576" s="921"/>
      <c r="G1576" s="991"/>
      <c r="H1576" s="1105"/>
      <c r="I1576" s="994"/>
      <c r="J1576" s="992"/>
      <c r="K1576" s="994"/>
      <c r="L1576" s="992"/>
      <c r="M1576" s="995"/>
      <c r="N1576" s="996"/>
      <c r="O1576" s="996"/>
      <c r="P1576" s="79" t="str">
        <f>IF(AND('331-CT'!$E$7=TH!H1576,OR(N1576="331",O1576="331")),"x","")</f>
        <v/>
      </c>
      <c r="Q1576" s="79" t="str">
        <f>IF(AND(B1576='111'!$L$11,OR($N1576=$Q$7,$O1576=$Q$7)),"x","")</f>
        <v/>
      </c>
      <c r="R1576" s="79" t="str">
        <f>IF(AND($N1576=$Q$7,$B1576&lt;'111'!$L$11),"x","")</f>
        <v/>
      </c>
      <c r="S1576" s="79" t="str">
        <f>IF(AND($O1576=$Q$7,$B1576&lt;'111'!$L$11),"x","")</f>
        <v/>
      </c>
      <c r="T1576" s="79" t="str">
        <f>IF(ISERROR(FIND('112'!$M$9,G1576,1)),"",IF((AND(FIND('112'!$M$9,G1576,1)&gt;=1,B1576='112'!$K$9,OR($N1576='112'!$I$6,$O1576='112'!$I$6))),"x",""))</f>
        <v/>
      </c>
      <c r="U1576" s="79" t="str">
        <f>IF(ISERROR(FIND('112'!$M$9,G1576,1)),"",IF((AND(LEFT(G1576,2)=LEFT('112'!$M$9,2),B1576&lt;'112'!$K$9,$N1576='112'!$I$6)),"x",""))</f>
        <v/>
      </c>
      <c r="V1576" s="79" t="str">
        <f>IF(ISERROR(FIND('112'!$M$9,G1576,1)),"",IF((AND(RIGHT(G1576,2)=RIGHT('112'!$M$9,2),B1576&lt;'112'!$K$9,$O1576='112'!$I$6)),"x",""))</f>
        <v/>
      </c>
      <c r="W1576" s="79" t="str">
        <f>IF(AND('341-CT'!$H$9=H1576,OR(LEFT(N1576,3)=$W$7,LEFT(O1576,3)=$W$7)),"x","")</f>
        <v/>
      </c>
      <c r="X1576" s="79" t="str">
        <f>IF(OR(TH!N1576=TH!$X$7,O1576=TH!$X$7),"x","")</f>
        <v/>
      </c>
      <c r="Y1576" s="79" t="str">
        <f>IF(AND(OR(N1576="131",O1576="131"),H1576='131-CT'!$H$9),"x","")</f>
        <v/>
      </c>
      <c r="Z1576" s="79"/>
      <c r="AA1576" s="79" t="str">
        <f>IF(AND(MONTH(E1576)='IN-NX'!$J$5,'IN-NX'!$D$7=D1576),"x","")</f>
        <v/>
      </c>
      <c r="AB1576" s="79" t="str">
        <f>IF(AND(OR(LEFT(TH!N1576,2)="15",LEFT(TH!O1576,2)="15"),LEFT(TH!O1576,3)&lt;&gt;"111",'152-CT'!$J$8=TH!F1576),"x","")</f>
        <v/>
      </c>
      <c r="AC1576" s="79" t="str">
        <f>IF(AND(OR(LEFT(TH!N1576,2)="15",LEFT(TH!O1576,2)="15"),TK!$E$7=TH!F1576),"x","")</f>
        <v/>
      </c>
      <c r="AD1576" s="79" t="str">
        <f>IF(AND(N1576="1521",MONTH(C1576)='BK-NL'!$M$11),"x","")</f>
        <v/>
      </c>
    </row>
    <row r="1577" spans="1:30" ht="16.5" customHeight="1">
      <c r="A1577" s="318" t="str">
        <f>IF(B1577&lt;&gt;"",IF(AND(B1577='IN-TC'!$S$4,OR(TH!N1577="1111",TH!O1577="1111")),TH!D1577,""),"")</f>
        <v/>
      </c>
      <c r="B1577" s="60" t="str">
        <f t="shared" si="208"/>
        <v/>
      </c>
      <c r="C1577" s="989"/>
      <c r="D1577" s="989"/>
      <c r="E1577" s="989"/>
      <c r="F1577" s="921"/>
      <c r="G1577" s="991"/>
      <c r="H1577" s="1105"/>
      <c r="I1577" s="994"/>
      <c r="J1577" s="992"/>
      <c r="K1577" s="994"/>
      <c r="L1577" s="992"/>
      <c r="M1577" s="995"/>
      <c r="N1577" s="996"/>
      <c r="O1577" s="996"/>
      <c r="P1577" s="79" t="str">
        <f>IF(AND('331-CT'!$E$7=TH!H1577,OR(N1577="331",O1577="331")),"x","")</f>
        <v/>
      </c>
      <c r="Q1577" s="79" t="str">
        <f>IF(AND(B1577='111'!$L$11,OR($N1577=$Q$7,$O1577=$Q$7)),"x","")</f>
        <v/>
      </c>
      <c r="R1577" s="79" t="str">
        <f>IF(AND($N1577=$Q$7,$B1577&lt;'111'!$L$11),"x","")</f>
        <v/>
      </c>
      <c r="S1577" s="79" t="str">
        <f>IF(AND($O1577=$Q$7,$B1577&lt;'111'!$L$11),"x","")</f>
        <v/>
      </c>
      <c r="T1577" s="79" t="str">
        <f>IF(ISERROR(FIND('112'!$M$9,G1577,1)),"",IF((AND(FIND('112'!$M$9,G1577,1)&gt;=1,B1577='112'!$K$9,OR($N1577='112'!$I$6,$O1577='112'!$I$6))),"x",""))</f>
        <v/>
      </c>
      <c r="U1577" s="79" t="str">
        <f>IF(ISERROR(FIND('112'!$M$9,G1577,1)),"",IF((AND(LEFT(G1577,2)=LEFT('112'!$M$9,2),B1577&lt;'112'!$K$9,$N1577='112'!$I$6)),"x",""))</f>
        <v/>
      </c>
      <c r="V1577" s="79" t="str">
        <f>IF(ISERROR(FIND('112'!$M$9,G1577,1)),"",IF((AND(RIGHT(G1577,2)=RIGHT('112'!$M$9,2),B1577&lt;'112'!$K$9,$O1577='112'!$I$6)),"x",""))</f>
        <v/>
      </c>
      <c r="W1577" s="79" t="str">
        <f>IF(AND('341-CT'!$H$9=H1577,OR(LEFT(N1577,3)=$W$7,LEFT(O1577,3)=$W$7)),"x","")</f>
        <v/>
      </c>
      <c r="X1577" s="79" t="str">
        <f>IF(OR(TH!N1577=TH!$X$7,O1577=TH!$X$7),"x","")</f>
        <v/>
      </c>
      <c r="Y1577" s="79" t="str">
        <f>IF(AND(OR(N1577="131",O1577="131"),H1577='131-CT'!$H$9),"x","")</f>
        <v/>
      </c>
      <c r="Z1577" s="79"/>
      <c r="AA1577" s="79" t="str">
        <f>IF(AND(MONTH(E1577)='IN-NX'!$J$5,'IN-NX'!$D$7=D1577),"x","")</f>
        <v/>
      </c>
      <c r="AB1577" s="79" t="str">
        <f>IF(AND(OR(LEFT(TH!N1577,2)="15",LEFT(TH!O1577,2)="15"),LEFT(TH!O1577,3)&lt;&gt;"111",'152-CT'!$J$8=TH!F1577),"x","")</f>
        <v/>
      </c>
      <c r="AC1577" s="79" t="str">
        <f>IF(AND(OR(LEFT(TH!N1577,2)="15",LEFT(TH!O1577,2)="15"),TK!$E$7=TH!F1577),"x","")</f>
        <v/>
      </c>
      <c r="AD1577" s="79" t="str">
        <f>IF(AND(N1577="1521",MONTH(C1577)='BK-NL'!$M$11),"x","")</f>
        <v/>
      </c>
    </row>
    <row r="1578" spans="1:30" ht="16.5" customHeight="1">
      <c r="A1578" s="318" t="str">
        <f>IF(B1578&lt;&gt;"",IF(AND(B1578='IN-TC'!$S$4,OR(TH!N1578="1111",TH!O1578="1111")),TH!D1578,""),"")</f>
        <v/>
      </c>
      <c r="B1578" s="60" t="str">
        <f t="shared" si="208"/>
        <v/>
      </c>
      <c r="C1578" s="989"/>
      <c r="D1578" s="989"/>
      <c r="E1578" s="989"/>
      <c r="F1578" s="921"/>
      <c r="G1578" s="991"/>
      <c r="H1578" s="1105"/>
      <c r="I1578" s="994"/>
      <c r="J1578" s="992"/>
      <c r="K1578" s="994"/>
      <c r="L1578" s="992"/>
      <c r="M1578" s="995"/>
      <c r="N1578" s="996"/>
      <c r="O1578" s="996"/>
      <c r="P1578" s="79" t="str">
        <f>IF(AND('331-CT'!$E$7=TH!H1578,OR(N1578="331",O1578="331")),"x","")</f>
        <v/>
      </c>
      <c r="Q1578" s="79" t="str">
        <f>IF(AND(B1578='111'!$L$11,OR($N1578=$Q$7,$O1578=$Q$7)),"x","")</f>
        <v/>
      </c>
      <c r="R1578" s="79" t="str">
        <f>IF(AND($N1578=$Q$7,$B1578&lt;'111'!$L$11),"x","")</f>
        <v/>
      </c>
      <c r="S1578" s="79" t="str">
        <f>IF(AND($O1578=$Q$7,$B1578&lt;'111'!$L$11),"x","")</f>
        <v/>
      </c>
      <c r="T1578" s="79" t="str">
        <f>IF(ISERROR(FIND('112'!$M$9,G1578,1)),"",IF((AND(FIND('112'!$M$9,G1578,1)&gt;=1,B1578='112'!$K$9,OR($N1578='112'!$I$6,$O1578='112'!$I$6))),"x",""))</f>
        <v/>
      </c>
      <c r="U1578" s="79" t="str">
        <f>IF(ISERROR(FIND('112'!$M$9,G1578,1)),"",IF((AND(LEFT(G1578,2)=LEFT('112'!$M$9,2),B1578&lt;'112'!$K$9,$N1578='112'!$I$6)),"x",""))</f>
        <v/>
      </c>
      <c r="V1578" s="79" t="str">
        <f>IF(ISERROR(FIND('112'!$M$9,G1578,1)),"",IF((AND(RIGHT(G1578,2)=RIGHT('112'!$M$9,2),B1578&lt;'112'!$K$9,$O1578='112'!$I$6)),"x",""))</f>
        <v/>
      </c>
      <c r="W1578" s="79" t="str">
        <f>IF(AND('341-CT'!$H$9=H1578,OR(LEFT(N1578,3)=$W$7,LEFT(O1578,3)=$W$7)),"x","")</f>
        <v/>
      </c>
      <c r="X1578" s="79" t="str">
        <f>IF(OR(TH!N1578=TH!$X$7,O1578=TH!$X$7),"x","")</f>
        <v/>
      </c>
      <c r="Y1578" s="79" t="str">
        <f>IF(AND(OR(N1578="131",O1578="131"),H1578='131-CT'!$H$9),"x","")</f>
        <v/>
      </c>
      <c r="Z1578" s="79"/>
      <c r="AA1578" s="79" t="str">
        <f>IF(AND(MONTH(E1578)='IN-NX'!$J$5,'IN-NX'!$D$7=D1578),"x","")</f>
        <v/>
      </c>
      <c r="AB1578" s="79" t="str">
        <f>IF(AND(OR(LEFT(TH!N1578,2)="15",LEFT(TH!O1578,2)="15"),LEFT(TH!O1578,3)&lt;&gt;"111",'152-CT'!$J$8=TH!F1578),"x","")</f>
        <v/>
      </c>
      <c r="AC1578" s="79" t="str">
        <f>IF(AND(OR(LEFT(TH!N1578,2)="15",LEFT(TH!O1578,2)="15"),TK!$E$7=TH!F1578),"x","")</f>
        <v/>
      </c>
      <c r="AD1578" s="79" t="str">
        <f>IF(AND(N1578="1521",MONTH(C1578)='BK-NL'!$M$11),"x","")</f>
        <v/>
      </c>
    </row>
    <row r="1579" spans="1:30" ht="16.5" customHeight="1">
      <c r="A1579" s="318" t="str">
        <f>IF(B1579&lt;&gt;"",IF(AND(B1579='IN-TC'!$S$4,OR(TH!N1579="1111",TH!O1579="1111")),TH!D1579,""),"")</f>
        <v/>
      </c>
      <c r="B1579" s="60" t="str">
        <f t="shared" si="208"/>
        <v/>
      </c>
      <c r="C1579" s="989"/>
      <c r="D1579" s="989"/>
      <c r="E1579" s="989"/>
      <c r="F1579" s="921"/>
      <c r="G1579" s="991"/>
      <c r="H1579" s="1105"/>
      <c r="I1579" s="994"/>
      <c r="J1579" s="992"/>
      <c r="K1579" s="994"/>
      <c r="L1579" s="992"/>
      <c r="M1579" s="995"/>
      <c r="N1579" s="996"/>
      <c r="O1579" s="996"/>
      <c r="P1579" s="79" t="str">
        <f>IF(AND('331-CT'!$E$7=TH!H1579,OR(N1579="331",O1579="331")),"x","")</f>
        <v/>
      </c>
      <c r="Q1579" s="79" t="str">
        <f>IF(AND(B1579='111'!$L$11,OR($N1579=$Q$7,$O1579=$Q$7)),"x","")</f>
        <v/>
      </c>
      <c r="R1579" s="79" t="str">
        <f>IF(AND($N1579=$Q$7,$B1579&lt;'111'!$L$11),"x","")</f>
        <v/>
      </c>
      <c r="S1579" s="79" t="str">
        <f>IF(AND($O1579=$Q$7,$B1579&lt;'111'!$L$11),"x","")</f>
        <v/>
      </c>
      <c r="T1579" s="79" t="str">
        <f>IF(ISERROR(FIND('112'!$M$9,G1579,1)),"",IF((AND(FIND('112'!$M$9,G1579,1)&gt;=1,B1579='112'!$K$9,OR($N1579='112'!$I$6,$O1579='112'!$I$6))),"x",""))</f>
        <v/>
      </c>
      <c r="U1579" s="79" t="str">
        <f>IF(ISERROR(FIND('112'!$M$9,G1579,1)),"",IF((AND(LEFT(G1579,2)=LEFT('112'!$M$9,2),B1579&lt;'112'!$K$9,$N1579='112'!$I$6)),"x",""))</f>
        <v/>
      </c>
      <c r="V1579" s="79" t="str">
        <f>IF(ISERROR(FIND('112'!$M$9,G1579,1)),"",IF((AND(RIGHT(G1579,2)=RIGHT('112'!$M$9,2),B1579&lt;'112'!$K$9,$O1579='112'!$I$6)),"x",""))</f>
        <v/>
      </c>
      <c r="W1579" s="79" t="str">
        <f>IF(AND('341-CT'!$H$9=H1579,OR(LEFT(N1579,3)=$W$7,LEFT(O1579,3)=$W$7)),"x","")</f>
        <v/>
      </c>
      <c r="X1579" s="79" t="str">
        <f>IF(OR(TH!N1579=TH!$X$7,O1579=TH!$X$7),"x","")</f>
        <v/>
      </c>
      <c r="Y1579" s="79" t="str">
        <f>IF(AND(OR(N1579="131",O1579="131"),H1579='131-CT'!$H$9),"x","")</f>
        <v/>
      </c>
      <c r="Z1579" s="79"/>
      <c r="AA1579" s="79" t="str">
        <f>IF(AND(MONTH(E1579)='IN-NX'!$J$5,'IN-NX'!$D$7=D1579),"x","")</f>
        <v/>
      </c>
      <c r="AB1579" s="79" t="str">
        <f>IF(AND(OR(LEFT(TH!N1579,2)="15",LEFT(TH!O1579,2)="15"),LEFT(TH!O1579,3)&lt;&gt;"111",'152-CT'!$J$8=TH!F1579),"x","")</f>
        <v/>
      </c>
      <c r="AC1579" s="79" t="str">
        <f>IF(AND(OR(LEFT(TH!N1579,2)="15",LEFT(TH!O1579,2)="15"),TK!$E$7=TH!F1579),"x","")</f>
        <v/>
      </c>
      <c r="AD1579" s="79" t="str">
        <f>IF(AND(N1579="1521",MONTH(C1579)='BK-NL'!$M$11),"x","")</f>
        <v/>
      </c>
    </row>
    <row r="1580" spans="1:30" ht="16.5" customHeight="1">
      <c r="A1580" s="318" t="str">
        <f>IF(B1580&lt;&gt;"",IF(AND(B1580='IN-TC'!$S$4,OR(TH!N1580="1111",TH!O1580="1111")),TH!D1580,""),"")</f>
        <v/>
      </c>
      <c r="B1580" s="60" t="str">
        <f t="shared" si="208"/>
        <v/>
      </c>
      <c r="C1580" s="989"/>
      <c r="D1580" s="989"/>
      <c r="E1580" s="989"/>
      <c r="F1580" s="921"/>
      <c r="G1580" s="991"/>
      <c r="H1580" s="1105"/>
      <c r="I1580" s="994"/>
      <c r="J1580" s="992"/>
      <c r="K1580" s="994"/>
      <c r="L1580" s="992"/>
      <c r="M1580" s="995"/>
      <c r="N1580" s="996"/>
      <c r="O1580" s="996"/>
      <c r="P1580" s="79" t="str">
        <f>IF(AND('331-CT'!$E$7=TH!H1580,OR(N1580="331",O1580="331")),"x","")</f>
        <v/>
      </c>
      <c r="Q1580" s="79" t="str">
        <f>IF(AND(B1580='111'!$L$11,OR($N1580=$Q$7,$O1580=$Q$7)),"x","")</f>
        <v/>
      </c>
      <c r="R1580" s="79" t="str">
        <f>IF(AND($N1580=$Q$7,$B1580&lt;'111'!$L$11),"x","")</f>
        <v/>
      </c>
      <c r="S1580" s="79" t="str">
        <f>IF(AND($O1580=$Q$7,$B1580&lt;'111'!$L$11),"x","")</f>
        <v/>
      </c>
      <c r="T1580" s="79" t="str">
        <f>IF(ISERROR(FIND('112'!$M$9,G1580,1)),"",IF((AND(FIND('112'!$M$9,G1580,1)&gt;=1,B1580='112'!$K$9,OR($N1580='112'!$I$6,$O1580='112'!$I$6))),"x",""))</f>
        <v/>
      </c>
      <c r="U1580" s="79" t="str">
        <f>IF(ISERROR(FIND('112'!$M$9,G1580,1)),"",IF((AND(LEFT(G1580,2)=LEFT('112'!$M$9,2),B1580&lt;'112'!$K$9,$N1580='112'!$I$6)),"x",""))</f>
        <v/>
      </c>
      <c r="V1580" s="79" t="str">
        <f>IF(ISERROR(FIND('112'!$M$9,G1580,1)),"",IF((AND(RIGHT(G1580,2)=RIGHT('112'!$M$9,2),B1580&lt;'112'!$K$9,$O1580='112'!$I$6)),"x",""))</f>
        <v/>
      </c>
      <c r="W1580" s="79" t="str">
        <f>IF(AND('341-CT'!$H$9=H1580,OR(LEFT(N1580,3)=$W$7,LEFT(O1580,3)=$W$7)),"x","")</f>
        <v/>
      </c>
      <c r="X1580" s="79" t="str">
        <f>IF(OR(TH!N1580=TH!$X$7,O1580=TH!$X$7),"x","")</f>
        <v/>
      </c>
      <c r="Y1580" s="79" t="str">
        <f>IF(AND(OR(N1580="131",O1580="131"),H1580='131-CT'!$H$9),"x","")</f>
        <v/>
      </c>
      <c r="Z1580" s="79"/>
      <c r="AA1580" s="79" t="str">
        <f>IF(AND(MONTH(E1580)='IN-NX'!$J$5,'IN-NX'!$D$7=D1580),"x","")</f>
        <v/>
      </c>
      <c r="AB1580" s="79" t="str">
        <f>IF(AND(OR(LEFT(TH!N1580,2)="15",LEFT(TH!O1580,2)="15"),LEFT(TH!O1580,3)&lt;&gt;"111",'152-CT'!$J$8=TH!F1580),"x","")</f>
        <v/>
      </c>
      <c r="AC1580" s="79" t="str">
        <f>IF(AND(OR(LEFT(TH!N1580,2)="15",LEFT(TH!O1580,2)="15"),TK!$E$7=TH!F1580),"x","")</f>
        <v/>
      </c>
      <c r="AD1580" s="79" t="str">
        <f>IF(AND(N1580="1521",MONTH(C1580)='BK-NL'!$M$11),"x","")</f>
        <v/>
      </c>
    </row>
    <row r="1581" spans="1:30" ht="16.5" customHeight="1">
      <c r="A1581" s="318" t="str">
        <f>IF(B1581&lt;&gt;"",IF(AND(B1581='IN-TC'!$S$4,OR(TH!N1581="1111",TH!O1581="1111")),TH!D1581,""),"")</f>
        <v/>
      </c>
      <c r="B1581" s="60" t="str">
        <f t="shared" si="208"/>
        <v/>
      </c>
      <c r="C1581" s="989"/>
      <c r="D1581" s="989"/>
      <c r="E1581" s="989"/>
      <c r="F1581" s="921"/>
      <c r="G1581" s="991"/>
      <c r="H1581" s="1105"/>
      <c r="I1581" s="994"/>
      <c r="J1581" s="992"/>
      <c r="K1581" s="994"/>
      <c r="L1581" s="992"/>
      <c r="M1581" s="995"/>
      <c r="N1581" s="996"/>
      <c r="O1581" s="996"/>
      <c r="P1581" s="79" t="str">
        <f>IF(AND('331-CT'!$E$7=TH!H1581,OR(N1581="331",O1581="331")),"x","")</f>
        <v/>
      </c>
      <c r="Q1581" s="79" t="str">
        <f>IF(AND(B1581='111'!$L$11,OR($N1581=$Q$7,$O1581=$Q$7)),"x","")</f>
        <v/>
      </c>
      <c r="R1581" s="79" t="str">
        <f>IF(AND($N1581=$Q$7,$B1581&lt;'111'!$L$11),"x","")</f>
        <v/>
      </c>
      <c r="S1581" s="79" t="str">
        <f>IF(AND($O1581=$Q$7,$B1581&lt;'111'!$L$11),"x","")</f>
        <v/>
      </c>
      <c r="T1581" s="79" t="str">
        <f>IF(ISERROR(FIND('112'!$M$9,G1581,1)),"",IF((AND(FIND('112'!$M$9,G1581,1)&gt;=1,B1581='112'!$K$9,OR($N1581='112'!$I$6,$O1581='112'!$I$6))),"x",""))</f>
        <v/>
      </c>
      <c r="U1581" s="79" t="str">
        <f>IF(ISERROR(FIND('112'!$M$9,G1581,1)),"",IF((AND(LEFT(G1581,2)=LEFT('112'!$M$9,2),B1581&lt;'112'!$K$9,$N1581='112'!$I$6)),"x",""))</f>
        <v/>
      </c>
      <c r="V1581" s="79" t="str">
        <f>IF(ISERROR(FIND('112'!$M$9,G1581,1)),"",IF((AND(RIGHT(G1581,2)=RIGHT('112'!$M$9,2),B1581&lt;'112'!$K$9,$O1581='112'!$I$6)),"x",""))</f>
        <v/>
      </c>
      <c r="W1581" s="79" t="str">
        <f>IF(AND('341-CT'!$H$9=H1581,OR(LEFT(N1581,3)=$W$7,LEFT(O1581,3)=$W$7)),"x","")</f>
        <v/>
      </c>
      <c r="X1581" s="79" t="str">
        <f>IF(OR(TH!N1581=TH!$X$7,O1581=TH!$X$7),"x","")</f>
        <v/>
      </c>
      <c r="Y1581" s="79" t="str">
        <f>IF(AND(OR(N1581="131",O1581="131"),H1581='131-CT'!$H$9),"x","")</f>
        <v/>
      </c>
      <c r="Z1581" s="79"/>
      <c r="AA1581" s="79" t="str">
        <f>IF(AND(MONTH(E1581)='IN-NX'!$J$5,'IN-NX'!$D$7=D1581),"x","")</f>
        <v/>
      </c>
      <c r="AB1581" s="79" t="str">
        <f>IF(AND(OR(LEFT(TH!N1581,2)="15",LEFT(TH!O1581,2)="15"),LEFT(TH!O1581,3)&lt;&gt;"111",'152-CT'!$J$8=TH!F1581),"x","")</f>
        <v/>
      </c>
      <c r="AC1581" s="79" t="str">
        <f>IF(AND(OR(LEFT(TH!N1581,2)="15",LEFT(TH!O1581,2)="15"),TK!$E$7=TH!F1581),"x","")</f>
        <v/>
      </c>
      <c r="AD1581" s="79" t="str">
        <f>IF(AND(N1581="1521",MONTH(C1581)='BK-NL'!$M$11),"x","")</f>
        <v/>
      </c>
    </row>
    <row r="1582" spans="1:30" ht="16.5" customHeight="1">
      <c r="A1582" s="318" t="str">
        <f>IF(B1582&lt;&gt;"",IF(AND(B1582='IN-TC'!$S$4,OR(TH!N1582="1111",TH!O1582="1111")),TH!D1582,""),"")</f>
        <v/>
      </c>
      <c r="B1582" s="60" t="str">
        <f t="shared" si="208"/>
        <v/>
      </c>
      <c r="C1582" s="989"/>
      <c r="D1582" s="989"/>
      <c r="E1582" s="989"/>
      <c r="F1582" s="921"/>
      <c r="G1582" s="991"/>
      <c r="H1582" s="1105"/>
      <c r="I1582" s="994"/>
      <c r="J1582" s="992"/>
      <c r="K1582" s="994"/>
      <c r="L1582" s="992"/>
      <c r="M1582" s="995"/>
      <c r="N1582" s="996"/>
      <c r="O1582" s="996"/>
      <c r="P1582" s="79" t="str">
        <f>IF(AND('331-CT'!$E$7=TH!H1582,OR(N1582="331",O1582="331")),"x","")</f>
        <v/>
      </c>
      <c r="Q1582" s="79" t="str">
        <f>IF(AND(B1582='111'!$L$11,OR($N1582=$Q$7,$O1582=$Q$7)),"x","")</f>
        <v/>
      </c>
      <c r="R1582" s="79" t="str">
        <f>IF(AND($N1582=$Q$7,$B1582&lt;'111'!$L$11),"x","")</f>
        <v/>
      </c>
      <c r="S1582" s="79" t="str">
        <f>IF(AND($O1582=$Q$7,$B1582&lt;'111'!$L$11),"x","")</f>
        <v/>
      </c>
      <c r="T1582" s="79" t="str">
        <f>IF(ISERROR(FIND('112'!$M$9,G1582,1)),"",IF((AND(FIND('112'!$M$9,G1582,1)&gt;=1,B1582='112'!$K$9,OR($N1582='112'!$I$6,$O1582='112'!$I$6))),"x",""))</f>
        <v/>
      </c>
      <c r="U1582" s="79" t="str">
        <f>IF(ISERROR(FIND('112'!$M$9,G1582,1)),"",IF((AND(LEFT(G1582,2)=LEFT('112'!$M$9,2),B1582&lt;'112'!$K$9,$N1582='112'!$I$6)),"x",""))</f>
        <v/>
      </c>
      <c r="V1582" s="79" t="str">
        <f>IF(ISERROR(FIND('112'!$M$9,G1582,1)),"",IF((AND(RIGHT(G1582,2)=RIGHT('112'!$M$9,2),B1582&lt;'112'!$K$9,$O1582='112'!$I$6)),"x",""))</f>
        <v/>
      </c>
      <c r="W1582" s="79" t="str">
        <f>IF(AND('341-CT'!$H$9=H1582,OR(LEFT(N1582,3)=$W$7,LEFT(O1582,3)=$W$7)),"x","")</f>
        <v/>
      </c>
      <c r="X1582" s="79" t="str">
        <f>IF(OR(TH!N1582=TH!$X$7,O1582=TH!$X$7),"x","")</f>
        <v/>
      </c>
      <c r="Y1582" s="79" t="str">
        <f>IF(AND(OR(N1582="131",O1582="131"),H1582='131-CT'!$H$9),"x","")</f>
        <v/>
      </c>
      <c r="Z1582" s="79"/>
      <c r="AA1582" s="79" t="str">
        <f>IF(AND(MONTH(E1582)='IN-NX'!$J$5,'IN-NX'!$D$7=D1582),"x","")</f>
        <v/>
      </c>
      <c r="AB1582" s="79" t="str">
        <f>IF(AND(OR(LEFT(TH!N1582,2)="15",LEFT(TH!O1582,2)="15"),LEFT(TH!O1582,3)&lt;&gt;"111",'152-CT'!$J$8=TH!F1582),"x","")</f>
        <v/>
      </c>
      <c r="AC1582" s="79" t="str">
        <f>IF(AND(OR(LEFT(TH!N1582,2)="15",LEFT(TH!O1582,2)="15"),TK!$E$7=TH!F1582),"x","")</f>
        <v/>
      </c>
      <c r="AD1582" s="79" t="str">
        <f>IF(AND(N1582="1521",MONTH(C1582)='BK-NL'!$M$11),"x","")</f>
        <v/>
      </c>
    </row>
    <row r="1583" spans="1:30" ht="16.5" customHeight="1">
      <c r="A1583" s="318" t="str">
        <f>IF(B1583&lt;&gt;"",IF(AND(B1583='IN-TC'!$S$4,OR(TH!N1583="1111",TH!O1583="1111")),TH!D1583,""),"")</f>
        <v/>
      </c>
      <c r="B1583" s="60" t="str">
        <f t="shared" si="208"/>
        <v/>
      </c>
      <c r="C1583" s="989"/>
      <c r="D1583" s="989"/>
      <c r="E1583" s="989"/>
      <c r="F1583" s="921"/>
      <c r="G1583" s="991"/>
      <c r="H1583" s="1105"/>
      <c r="I1583" s="994"/>
      <c r="J1583" s="992"/>
      <c r="K1583" s="994"/>
      <c r="L1583" s="992"/>
      <c r="M1583" s="995"/>
      <c r="N1583" s="996"/>
      <c r="O1583" s="996"/>
      <c r="P1583" s="79" t="str">
        <f>IF(AND('331-CT'!$E$7=TH!H1583,OR(N1583="331",O1583="331")),"x","")</f>
        <v/>
      </c>
      <c r="Q1583" s="79" t="str">
        <f>IF(AND(B1583='111'!$L$11,OR($N1583=$Q$7,$O1583=$Q$7)),"x","")</f>
        <v/>
      </c>
      <c r="R1583" s="79" t="str">
        <f>IF(AND($N1583=$Q$7,$B1583&lt;'111'!$L$11),"x","")</f>
        <v/>
      </c>
      <c r="S1583" s="79" t="str">
        <f>IF(AND($O1583=$Q$7,$B1583&lt;'111'!$L$11),"x","")</f>
        <v/>
      </c>
      <c r="T1583" s="79" t="str">
        <f>IF(ISERROR(FIND('112'!$M$9,G1583,1)),"",IF((AND(FIND('112'!$M$9,G1583,1)&gt;=1,B1583='112'!$K$9,OR($N1583='112'!$I$6,$O1583='112'!$I$6))),"x",""))</f>
        <v/>
      </c>
      <c r="U1583" s="79" t="str">
        <f>IF(ISERROR(FIND('112'!$M$9,G1583,1)),"",IF((AND(LEFT(G1583,2)=LEFT('112'!$M$9,2),B1583&lt;'112'!$K$9,$N1583='112'!$I$6)),"x",""))</f>
        <v/>
      </c>
      <c r="V1583" s="79" t="str">
        <f>IF(ISERROR(FIND('112'!$M$9,G1583,1)),"",IF((AND(RIGHT(G1583,2)=RIGHT('112'!$M$9,2),B1583&lt;'112'!$K$9,$O1583='112'!$I$6)),"x",""))</f>
        <v/>
      </c>
      <c r="W1583" s="79" t="str">
        <f>IF(AND('341-CT'!$H$9=H1583,OR(LEFT(N1583,3)=$W$7,LEFT(O1583,3)=$W$7)),"x","")</f>
        <v/>
      </c>
      <c r="X1583" s="79" t="str">
        <f>IF(OR(TH!N1583=TH!$X$7,O1583=TH!$X$7),"x","")</f>
        <v/>
      </c>
      <c r="Y1583" s="79" t="str">
        <f>IF(AND(OR(N1583="131",O1583="131"),H1583='131-CT'!$H$9),"x","")</f>
        <v/>
      </c>
      <c r="Z1583" s="79"/>
      <c r="AA1583" s="79" t="str">
        <f>IF(AND(MONTH(E1583)='IN-NX'!$J$5,'IN-NX'!$D$7=D1583),"x","")</f>
        <v/>
      </c>
      <c r="AB1583" s="79" t="str">
        <f>IF(AND(OR(LEFT(TH!N1583,2)="15",LEFT(TH!O1583,2)="15"),LEFT(TH!O1583,3)&lt;&gt;"111",'152-CT'!$J$8=TH!F1583),"x","")</f>
        <v/>
      </c>
      <c r="AC1583" s="79" t="str">
        <f>IF(AND(OR(LEFT(TH!N1583,2)="15",LEFT(TH!O1583,2)="15"),TK!$E$7=TH!F1583),"x","")</f>
        <v/>
      </c>
      <c r="AD1583" s="79" t="str">
        <f>IF(AND(N1583="1521",MONTH(C1583)='BK-NL'!$M$11),"x","")</f>
        <v/>
      </c>
    </row>
    <row r="1584" spans="1:30" ht="16.5" customHeight="1">
      <c r="A1584" s="318" t="str">
        <f>IF(B1584&lt;&gt;"",IF(AND(B1584='IN-TC'!$S$4,OR(TH!N1584="1111",TH!O1584="1111")),TH!D1584,""),"")</f>
        <v/>
      </c>
      <c r="B1584" s="60" t="str">
        <f t="shared" si="208"/>
        <v/>
      </c>
      <c r="C1584" s="989"/>
      <c r="D1584" s="989"/>
      <c r="E1584" s="989"/>
      <c r="F1584" s="921"/>
      <c r="G1584" s="991"/>
      <c r="H1584" s="1105"/>
      <c r="I1584" s="994"/>
      <c r="J1584" s="992"/>
      <c r="K1584" s="994"/>
      <c r="L1584" s="992"/>
      <c r="M1584" s="995"/>
      <c r="N1584" s="996"/>
      <c r="O1584" s="996"/>
      <c r="P1584" s="79" t="str">
        <f>IF(AND('331-CT'!$E$7=TH!H1584,OR(N1584="331",O1584="331")),"x","")</f>
        <v/>
      </c>
      <c r="Q1584" s="79" t="str">
        <f>IF(AND(B1584='111'!$L$11,OR($N1584=$Q$7,$O1584=$Q$7)),"x","")</f>
        <v/>
      </c>
      <c r="R1584" s="79" t="str">
        <f>IF(AND($N1584=$Q$7,$B1584&lt;'111'!$L$11),"x","")</f>
        <v/>
      </c>
      <c r="S1584" s="79" t="str">
        <f>IF(AND($O1584=$Q$7,$B1584&lt;'111'!$L$11),"x","")</f>
        <v/>
      </c>
      <c r="T1584" s="79" t="str">
        <f>IF(ISERROR(FIND('112'!$M$9,G1584,1)),"",IF((AND(FIND('112'!$M$9,G1584,1)&gt;=1,B1584='112'!$K$9,OR($N1584='112'!$I$6,$O1584='112'!$I$6))),"x",""))</f>
        <v/>
      </c>
      <c r="U1584" s="79" t="str">
        <f>IF(ISERROR(FIND('112'!$M$9,G1584,1)),"",IF((AND(LEFT(G1584,2)=LEFT('112'!$M$9,2),B1584&lt;'112'!$K$9,$N1584='112'!$I$6)),"x",""))</f>
        <v/>
      </c>
      <c r="V1584" s="79" t="str">
        <f>IF(ISERROR(FIND('112'!$M$9,G1584,1)),"",IF((AND(RIGHT(G1584,2)=RIGHT('112'!$M$9,2),B1584&lt;'112'!$K$9,$O1584='112'!$I$6)),"x",""))</f>
        <v/>
      </c>
      <c r="W1584" s="79" t="str">
        <f>IF(AND('341-CT'!$H$9=H1584,OR(LEFT(N1584,3)=$W$7,LEFT(O1584,3)=$W$7)),"x","")</f>
        <v/>
      </c>
      <c r="X1584" s="79" t="str">
        <f>IF(OR(TH!N1584=TH!$X$7,O1584=TH!$X$7),"x","")</f>
        <v/>
      </c>
      <c r="Y1584" s="79" t="str">
        <f>IF(AND(OR(N1584="131",O1584="131"),H1584='131-CT'!$H$9),"x","")</f>
        <v/>
      </c>
      <c r="Z1584" s="79"/>
      <c r="AA1584" s="79" t="str">
        <f>IF(AND(MONTH(E1584)='IN-NX'!$J$5,'IN-NX'!$D$7=D1584),"x","")</f>
        <v/>
      </c>
      <c r="AB1584" s="79" t="str">
        <f>IF(AND(OR(LEFT(TH!N1584,2)="15",LEFT(TH!O1584,2)="15"),LEFT(TH!O1584,3)&lt;&gt;"111",'152-CT'!$J$8=TH!F1584),"x","")</f>
        <v/>
      </c>
      <c r="AC1584" s="79" t="str">
        <f>IF(AND(OR(LEFT(TH!N1584,2)="15",LEFT(TH!O1584,2)="15"),TK!$E$7=TH!F1584),"x","")</f>
        <v/>
      </c>
      <c r="AD1584" s="79" t="str">
        <f>IF(AND(N1584="1521",MONTH(C1584)='BK-NL'!$M$11),"x","")</f>
        <v/>
      </c>
    </row>
    <row r="1585" spans="1:30" ht="16.5" customHeight="1">
      <c r="A1585" s="318" t="str">
        <f>IF(B1585&lt;&gt;"",IF(AND(B1585='IN-TC'!$S$4,OR(TH!N1585="1111",TH!O1585="1111")),TH!D1585,""),"")</f>
        <v/>
      </c>
      <c r="B1585" s="60" t="str">
        <f t="shared" si="208"/>
        <v/>
      </c>
      <c r="C1585" s="989"/>
      <c r="D1585" s="989"/>
      <c r="E1585" s="989"/>
      <c r="F1585" s="921"/>
      <c r="G1585" s="991"/>
      <c r="H1585" s="1105"/>
      <c r="I1585" s="994"/>
      <c r="J1585" s="992"/>
      <c r="K1585" s="994"/>
      <c r="L1585" s="992"/>
      <c r="M1585" s="995"/>
      <c r="N1585" s="996"/>
      <c r="O1585" s="996"/>
      <c r="P1585" s="79" t="str">
        <f>IF(AND('331-CT'!$E$7=TH!H1585,OR(N1585="331",O1585="331")),"x","")</f>
        <v/>
      </c>
      <c r="Q1585" s="79" t="str">
        <f>IF(AND(B1585='111'!$L$11,OR($N1585=$Q$7,$O1585=$Q$7)),"x","")</f>
        <v/>
      </c>
      <c r="R1585" s="79" t="str">
        <f>IF(AND($N1585=$Q$7,$B1585&lt;'111'!$L$11),"x","")</f>
        <v/>
      </c>
      <c r="S1585" s="79" t="str">
        <f>IF(AND($O1585=$Q$7,$B1585&lt;'111'!$L$11),"x","")</f>
        <v/>
      </c>
      <c r="T1585" s="79" t="str">
        <f>IF(ISERROR(FIND('112'!$M$9,G1585,1)),"",IF((AND(FIND('112'!$M$9,G1585,1)&gt;=1,B1585='112'!$K$9,OR($N1585='112'!$I$6,$O1585='112'!$I$6))),"x",""))</f>
        <v/>
      </c>
      <c r="U1585" s="79" t="str">
        <f>IF(ISERROR(FIND('112'!$M$9,G1585,1)),"",IF((AND(LEFT(G1585,2)=LEFT('112'!$M$9,2),B1585&lt;'112'!$K$9,$N1585='112'!$I$6)),"x",""))</f>
        <v/>
      </c>
      <c r="V1585" s="79" t="str">
        <f>IF(ISERROR(FIND('112'!$M$9,G1585,1)),"",IF((AND(RIGHT(G1585,2)=RIGHT('112'!$M$9,2),B1585&lt;'112'!$K$9,$O1585='112'!$I$6)),"x",""))</f>
        <v/>
      </c>
      <c r="W1585" s="79" t="str">
        <f>IF(AND('341-CT'!$H$9=H1585,OR(LEFT(N1585,3)=$W$7,LEFT(O1585,3)=$W$7)),"x","")</f>
        <v/>
      </c>
      <c r="X1585" s="79" t="str">
        <f>IF(OR(TH!N1585=TH!$X$7,O1585=TH!$X$7),"x","")</f>
        <v/>
      </c>
      <c r="Y1585" s="79" t="str">
        <f>IF(AND(OR(N1585="131",O1585="131"),H1585='131-CT'!$H$9),"x","")</f>
        <v/>
      </c>
      <c r="Z1585" s="79"/>
      <c r="AA1585" s="79" t="str">
        <f>IF(AND(MONTH(E1585)='IN-NX'!$J$5,'IN-NX'!$D$7=D1585),"x","")</f>
        <v/>
      </c>
      <c r="AB1585" s="79" t="str">
        <f>IF(AND(OR(LEFT(TH!N1585,2)="15",LEFT(TH!O1585,2)="15"),LEFT(TH!O1585,3)&lt;&gt;"111",'152-CT'!$J$8=TH!F1585),"x","")</f>
        <v/>
      </c>
      <c r="AC1585" s="79" t="str">
        <f>IF(AND(OR(LEFT(TH!N1585,2)="15",LEFT(TH!O1585,2)="15"),TK!$E$7=TH!F1585),"x","")</f>
        <v/>
      </c>
      <c r="AD1585" s="79" t="str">
        <f>IF(AND(N1585="1521",MONTH(C1585)='BK-NL'!$M$11),"x","")</f>
        <v/>
      </c>
    </row>
    <row r="1586" spans="1:30" ht="16.5" customHeight="1">
      <c r="A1586" s="318" t="str">
        <f>IF(B1586&lt;&gt;"",IF(AND(B1586='IN-TC'!$S$4,OR(TH!N1586="1111",TH!O1586="1111")),TH!D1586,""),"")</f>
        <v/>
      </c>
      <c r="B1586" s="60" t="str">
        <f t="shared" si="208"/>
        <v/>
      </c>
      <c r="C1586" s="989"/>
      <c r="D1586" s="989"/>
      <c r="E1586" s="989"/>
      <c r="F1586" s="921"/>
      <c r="G1586" s="991"/>
      <c r="H1586" s="1105"/>
      <c r="I1586" s="994"/>
      <c r="J1586" s="992"/>
      <c r="K1586" s="994"/>
      <c r="L1586" s="992"/>
      <c r="M1586" s="995"/>
      <c r="N1586" s="996"/>
      <c r="O1586" s="996"/>
      <c r="P1586" s="79" t="str">
        <f>IF(AND('331-CT'!$E$7=TH!H1586,OR(N1586="331",O1586="331")),"x","")</f>
        <v/>
      </c>
      <c r="Q1586" s="79" t="str">
        <f>IF(AND(B1586='111'!$L$11,OR($N1586=$Q$7,$O1586=$Q$7)),"x","")</f>
        <v/>
      </c>
      <c r="R1586" s="79" t="str">
        <f>IF(AND($N1586=$Q$7,$B1586&lt;'111'!$L$11),"x","")</f>
        <v/>
      </c>
      <c r="S1586" s="79" t="str">
        <f>IF(AND($O1586=$Q$7,$B1586&lt;'111'!$L$11),"x","")</f>
        <v/>
      </c>
      <c r="T1586" s="79" t="str">
        <f>IF(ISERROR(FIND('112'!$M$9,G1586,1)),"",IF((AND(FIND('112'!$M$9,G1586,1)&gt;=1,B1586='112'!$K$9,OR($N1586='112'!$I$6,$O1586='112'!$I$6))),"x",""))</f>
        <v/>
      </c>
      <c r="U1586" s="79" t="str">
        <f>IF(ISERROR(FIND('112'!$M$9,G1586,1)),"",IF((AND(LEFT(G1586,2)=LEFT('112'!$M$9,2),B1586&lt;'112'!$K$9,$N1586='112'!$I$6)),"x",""))</f>
        <v/>
      </c>
      <c r="V1586" s="79" t="str">
        <f>IF(ISERROR(FIND('112'!$M$9,G1586,1)),"",IF((AND(RIGHT(G1586,2)=RIGHT('112'!$M$9,2),B1586&lt;'112'!$K$9,$O1586='112'!$I$6)),"x",""))</f>
        <v/>
      </c>
      <c r="W1586" s="79" t="str">
        <f>IF(AND('341-CT'!$H$9=H1586,OR(LEFT(N1586,3)=$W$7,LEFT(O1586,3)=$W$7)),"x","")</f>
        <v/>
      </c>
      <c r="X1586" s="79" t="str">
        <f>IF(OR(TH!N1586=TH!$X$7,O1586=TH!$X$7),"x","")</f>
        <v/>
      </c>
      <c r="Y1586" s="79" t="str">
        <f>IF(AND(OR(N1586="131",O1586="131"),H1586='131-CT'!$H$9),"x","")</f>
        <v/>
      </c>
      <c r="Z1586" s="79"/>
      <c r="AA1586" s="79" t="str">
        <f>IF(AND(MONTH(E1586)='IN-NX'!$J$5,'IN-NX'!$D$7=D1586),"x","")</f>
        <v/>
      </c>
      <c r="AB1586" s="79" t="str">
        <f>IF(AND(OR(LEFT(TH!N1586,2)="15",LEFT(TH!O1586,2)="15"),LEFT(TH!O1586,3)&lt;&gt;"111",'152-CT'!$J$8=TH!F1586),"x","")</f>
        <v/>
      </c>
      <c r="AC1586" s="79" t="str">
        <f>IF(AND(OR(LEFT(TH!N1586,2)="15",LEFT(TH!O1586,2)="15"),TK!$E$7=TH!F1586),"x","")</f>
        <v/>
      </c>
      <c r="AD1586" s="79" t="str">
        <f>IF(AND(N1586="1521",MONTH(C1586)='BK-NL'!$M$11),"x","")</f>
        <v/>
      </c>
    </row>
    <row r="1587" spans="1:30" ht="16.5" customHeight="1">
      <c r="A1587" s="318" t="str">
        <f>IF(B1587&lt;&gt;"",IF(AND(B1587='IN-TC'!$S$4,OR(TH!N1587="1111",TH!O1587="1111")),TH!D1587,""),"")</f>
        <v/>
      </c>
      <c r="B1587" s="60" t="str">
        <f t="shared" ref="B1587:B1650" si="209">IF(C1587&lt;&gt;"",MONTH(C1587),"")</f>
        <v/>
      </c>
      <c r="C1587" s="989"/>
      <c r="D1587" s="989"/>
      <c r="E1587" s="989"/>
      <c r="F1587" s="921"/>
      <c r="G1587" s="991"/>
      <c r="H1587" s="1105"/>
      <c r="I1587" s="994"/>
      <c r="J1587" s="992"/>
      <c r="K1587" s="994"/>
      <c r="L1587" s="992"/>
      <c r="M1587" s="995"/>
      <c r="N1587" s="996"/>
      <c r="O1587" s="996"/>
      <c r="P1587" s="79" t="str">
        <f>IF(AND('331-CT'!$E$7=TH!H1587,OR(N1587="331",O1587="331")),"x","")</f>
        <v/>
      </c>
      <c r="Q1587" s="79" t="str">
        <f>IF(AND(B1587='111'!$L$11,OR($N1587=$Q$7,$O1587=$Q$7)),"x","")</f>
        <v/>
      </c>
      <c r="R1587" s="79" t="str">
        <f>IF(AND($N1587=$Q$7,$B1587&lt;'111'!$L$11),"x","")</f>
        <v/>
      </c>
      <c r="S1587" s="79" t="str">
        <f>IF(AND($O1587=$Q$7,$B1587&lt;'111'!$L$11),"x","")</f>
        <v/>
      </c>
      <c r="T1587" s="79" t="str">
        <f>IF(ISERROR(FIND('112'!$M$9,G1587,1)),"",IF((AND(FIND('112'!$M$9,G1587,1)&gt;=1,B1587='112'!$K$9,OR($N1587='112'!$I$6,$O1587='112'!$I$6))),"x",""))</f>
        <v/>
      </c>
      <c r="U1587" s="79" t="str">
        <f>IF(ISERROR(FIND('112'!$M$9,G1587,1)),"",IF((AND(LEFT(G1587,2)=LEFT('112'!$M$9,2),B1587&lt;'112'!$K$9,$N1587='112'!$I$6)),"x",""))</f>
        <v/>
      </c>
      <c r="V1587" s="79" t="str">
        <f>IF(ISERROR(FIND('112'!$M$9,G1587,1)),"",IF((AND(RIGHT(G1587,2)=RIGHT('112'!$M$9,2),B1587&lt;'112'!$K$9,$O1587='112'!$I$6)),"x",""))</f>
        <v/>
      </c>
      <c r="W1587" s="79" t="str">
        <f>IF(AND('341-CT'!$H$9=H1587,OR(LEFT(N1587,3)=$W$7,LEFT(O1587,3)=$W$7)),"x","")</f>
        <v/>
      </c>
      <c r="X1587" s="79" t="str">
        <f>IF(OR(TH!N1587=TH!$X$7,O1587=TH!$X$7),"x","")</f>
        <v/>
      </c>
      <c r="Y1587" s="79" t="str">
        <f>IF(AND(OR(N1587="131",O1587="131"),H1587='131-CT'!$H$9),"x","")</f>
        <v/>
      </c>
      <c r="Z1587" s="79"/>
      <c r="AA1587" s="79" t="str">
        <f>IF(AND(MONTH(E1587)='IN-NX'!$J$5,'IN-NX'!$D$7=D1587),"x","")</f>
        <v/>
      </c>
      <c r="AB1587" s="79" t="str">
        <f>IF(AND(OR(LEFT(TH!N1587,2)="15",LEFT(TH!O1587,2)="15"),LEFT(TH!O1587,3)&lt;&gt;"111",'152-CT'!$J$8=TH!F1587),"x","")</f>
        <v/>
      </c>
      <c r="AC1587" s="79" t="str">
        <f>IF(AND(OR(LEFT(TH!N1587,2)="15",LEFT(TH!O1587,2)="15"),TK!$E$7=TH!F1587),"x","")</f>
        <v/>
      </c>
      <c r="AD1587" s="79" t="str">
        <f>IF(AND(N1587="1521",MONTH(C1587)='BK-NL'!$M$11),"x","")</f>
        <v/>
      </c>
    </row>
    <row r="1588" spans="1:30" ht="16.5" customHeight="1">
      <c r="A1588" s="318" t="str">
        <f>IF(B1588&lt;&gt;"",IF(AND(B1588='IN-TC'!$S$4,OR(TH!N1588="1111",TH!O1588="1111")),TH!D1588,""),"")</f>
        <v/>
      </c>
      <c r="B1588" s="60" t="str">
        <f t="shared" si="209"/>
        <v/>
      </c>
      <c r="C1588" s="989"/>
      <c r="D1588" s="989"/>
      <c r="E1588" s="989"/>
      <c r="F1588" s="921"/>
      <c r="G1588" s="991"/>
      <c r="H1588" s="1105"/>
      <c r="I1588" s="994"/>
      <c r="J1588" s="992"/>
      <c r="K1588" s="994"/>
      <c r="L1588" s="992"/>
      <c r="M1588" s="995"/>
      <c r="N1588" s="996"/>
      <c r="O1588" s="996"/>
      <c r="P1588" s="79" t="str">
        <f>IF(AND('331-CT'!$E$7=TH!H1588,OR(N1588="331",O1588="331")),"x","")</f>
        <v/>
      </c>
      <c r="Q1588" s="79" t="str">
        <f>IF(AND(B1588='111'!$L$11,OR($N1588=$Q$7,$O1588=$Q$7)),"x","")</f>
        <v/>
      </c>
      <c r="R1588" s="79" t="str">
        <f>IF(AND($N1588=$Q$7,$B1588&lt;'111'!$L$11),"x","")</f>
        <v/>
      </c>
      <c r="S1588" s="79" t="str">
        <f>IF(AND($O1588=$Q$7,$B1588&lt;'111'!$L$11),"x","")</f>
        <v/>
      </c>
      <c r="T1588" s="79" t="str">
        <f>IF(ISERROR(FIND('112'!$M$9,G1588,1)),"",IF((AND(FIND('112'!$M$9,G1588,1)&gt;=1,B1588='112'!$K$9,OR($N1588='112'!$I$6,$O1588='112'!$I$6))),"x",""))</f>
        <v/>
      </c>
      <c r="U1588" s="79" t="str">
        <f>IF(ISERROR(FIND('112'!$M$9,G1588,1)),"",IF((AND(LEFT(G1588,2)=LEFT('112'!$M$9,2),B1588&lt;'112'!$K$9,$N1588='112'!$I$6)),"x",""))</f>
        <v/>
      </c>
      <c r="V1588" s="79" t="str">
        <f>IF(ISERROR(FIND('112'!$M$9,G1588,1)),"",IF((AND(RIGHT(G1588,2)=RIGHT('112'!$M$9,2),B1588&lt;'112'!$K$9,$O1588='112'!$I$6)),"x",""))</f>
        <v/>
      </c>
      <c r="W1588" s="79" t="str">
        <f>IF(AND('341-CT'!$H$9=H1588,OR(LEFT(N1588,3)=$W$7,LEFT(O1588,3)=$W$7)),"x","")</f>
        <v/>
      </c>
      <c r="X1588" s="79" t="str">
        <f>IF(OR(TH!N1588=TH!$X$7,O1588=TH!$X$7),"x","")</f>
        <v/>
      </c>
      <c r="Y1588" s="79" t="str">
        <f>IF(AND(OR(N1588="131",O1588="131"),H1588='131-CT'!$H$9),"x","")</f>
        <v/>
      </c>
      <c r="Z1588" s="79"/>
      <c r="AA1588" s="79" t="str">
        <f>IF(AND(MONTH(E1588)='IN-NX'!$J$5,'IN-NX'!$D$7=D1588),"x","")</f>
        <v/>
      </c>
      <c r="AB1588" s="79" t="str">
        <f>IF(AND(OR(LEFT(TH!N1588,2)="15",LEFT(TH!O1588,2)="15"),LEFT(TH!O1588,3)&lt;&gt;"111",'152-CT'!$J$8=TH!F1588),"x","")</f>
        <v/>
      </c>
      <c r="AC1588" s="79" t="str">
        <f>IF(AND(OR(LEFT(TH!N1588,2)="15",LEFT(TH!O1588,2)="15"),TK!$E$7=TH!F1588),"x","")</f>
        <v/>
      </c>
      <c r="AD1588" s="79" t="str">
        <f>IF(AND(N1588="1521",MONTH(C1588)='BK-NL'!$M$11),"x","")</f>
        <v/>
      </c>
    </row>
    <row r="1589" spans="1:30" ht="16.5" customHeight="1">
      <c r="A1589" s="318" t="str">
        <f>IF(B1589&lt;&gt;"",IF(AND(B1589='IN-TC'!$S$4,OR(TH!N1589="1111",TH!O1589="1111")),TH!D1589,""),"")</f>
        <v/>
      </c>
      <c r="B1589" s="60" t="str">
        <f t="shared" si="209"/>
        <v/>
      </c>
      <c r="C1589" s="989"/>
      <c r="D1589" s="989"/>
      <c r="E1589" s="989"/>
      <c r="F1589" s="921"/>
      <c r="G1589" s="991"/>
      <c r="H1589" s="1105"/>
      <c r="I1589" s="994"/>
      <c r="J1589" s="992"/>
      <c r="K1589" s="994"/>
      <c r="L1589" s="992"/>
      <c r="M1589" s="995"/>
      <c r="N1589" s="996"/>
      <c r="O1589" s="996"/>
      <c r="P1589" s="79" t="str">
        <f>IF(AND('331-CT'!$E$7=TH!H1589,OR(N1589="331",O1589="331")),"x","")</f>
        <v/>
      </c>
      <c r="Q1589" s="79" t="str">
        <f>IF(AND(B1589='111'!$L$11,OR($N1589=$Q$7,$O1589=$Q$7)),"x","")</f>
        <v/>
      </c>
      <c r="R1589" s="79" t="str">
        <f>IF(AND($N1589=$Q$7,$B1589&lt;'111'!$L$11),"x","")</f>
        <v/>
      </c>
      <c r="S1589" s="79" t="str">
        <f>IF(AND($O1589=$Q$7,$B1589&lt;'111'!$L$11),"x","")</f>
        <v/>
      </c>
      <c r="T1589" s="79" t="str">
        <f>IF(ISERROR(FIND('112'!$M$9,G1589,1)),"",IF((AND(FIND('112'!$M$9,G1589,1)&gt;=1,B1589='112'!$K$9,OR($N1589='112'!$I$6,$O1589='112'!$I$6))),"x",""))</f>
        <v/>
      </c>
      <c r="U1589" s="79" t="str">
        <f>IF(ISERROR(FIND('112'!$M$9,G1589,1)),"",IF((AND(LEFT(G1589,2)=LEFT('112'!$M$9,2),B1589&lt;'112'!$K$9,$N1589='112'!$I$6)),"x",""))</f>
        <v/>
      </c>
      <c r="V1589" s="79" t="str">
        <f>IF(ISERROR(FIND('112'!$M$9,G1589,1)),"",IF((AND(RIGHT(G1589,2)=RIGHT('112'!$M$9,2),B1589&lt;'112'!$K$9,$O1589='112'!$I$6)),"x",""))</f>
        <v/>
      </c>
      <c r="W1589" s="79" t="str">
        <f>IF(AND('341-CT'!$H$9=H1589,OR(LEFT(N1589,3)=$W$7,LEFT(O1589,3)=$W$7)),"x","")</f>
        <v/>
      </c>
      <c r="X1589" s="79" t="str">
        <f>IF(OR(TH!N1589=TH!$X$7,O1589=TH!$X$7),"x","")</f>
        <v/>
      </c>
      <c r="Y1589" s="79" t="str">
        <f>IF(AND(OR(N1589="131",O1589="131"),H1589='131-CT'!$H$9),"x","")</f>
        <v/>
      </c>
      <c r="Z1589" s="79"/>
      <c r="AA1589" s="79" t="str">
        <f>IF(AND(MONTH(E1589)='IN-NX'!$J$5,'IN-NX'!$D$7=D1589),"x","")</f>
        <v/>
      </c>
      <c r="AB1589" s="79" t="str">
        <f>IF(AND(OR(LEFT(TH!N1589,2)="15",LEFT(TH!O1589,2)="15"),LEFT(TH!O1589,3)&lt;&gt;"111",'152-CT'!$J$8=TH!F1589),"x","")</f>
        <v/>
      </c>
      <c r="AC1589" s="79" t="str">
        <f>IF(AND(OR(LEFT(TH!N1589,2)="15",LEFT(TH!O1589,2)="15"),TK!$E$7=TH!F1589),"x","")</f>
        <v/>
      </c>
      <c r="AD1589" s="79" t="str">
        <f>IF(AND(N1589="1521",MONTH(C1589)='BK-NL'!$M$11),"x","")</f>
        <v/>
      </c>
    </row>
    <row r="1590" spans="1:30" ht="16.5" customHeight="1">
      <c r="A1590" s="318" t="str">
        <f>IF(B1590&lt;&gt;"",IF(AND(B1590='IN-TC'!$S$4,OR(TH!N1590="1111",TH!O1590="1111")),TH!D1590,""),"")</f>
        <v/>
      </c>
      <c r="B1590" s="60" t="str">
        <f t="shared" si="209"/>
        <v/>
      </c>
      <c r="C1590" s="989"/>
      <c r="D1590" s="989"/>
      <c r="E1590" s="989"/>
      <c r="F1590" s="921"/>
      <c r="G1590" s="991"/>
      <c r="H1590" s="1105"/>
      <c r="I1590" s="994"/>
      <c r="J1590" s="992"/>
      <c r="K1590" s="994"/>
      <c r="L1590" s="992"/>
      <c r="M1590" s="995"/>
      <c r="N1590" s="996"/>
      <c r="O1590" s="996"/>
      <c r="P1590" s="79" t="str">
        <f>IF(AND('331-CT'!$E$7=TH!H1590,OR(N1590="331",O1590="331")),"x","")</f>
        <v/>
      </c>
      <c r="Q1590" s="79" t="str">
        <f>IF(AND(B1590='111'!$L$11,OR($N1590=$Q$7,$O1590=$Q$7)),"x","")</f>
        <v/>
      </c>
      <c r="R1590" s="79" t="str">
        <f>IF(AND($N1590=$Q$7,$B1590&lt;'111'!$L$11),"x","")</f>
        <v/>
      </c>
      <c r="S1590" s="79" t="str">
        <f>IF(AND($O1590=$Q$7,$B1590&lt;'111'!$L$11),"x","")</f>
        <v/>
      </c>
      <c r="T1590" s="79" t="str">
        <f>IF(ISERROR(FIND('112'!$M$9,G1590,1)),"",IF((AND(FIND('112'!$M$9,G1590,1)&gt;=1,B1590='112'!$K$9,OR($N1590='112'!$I$6,$O1590='112'!$I$6))),"x",""))</f>
        <v/>
      </c>
      <c r="U1590" s="79" t="str">
        <f>IF(ISERROR(FIND('112'!$M$9,G1590,1)),"",IF((AND(LEFT(G1590,2)=LEFT('112'!$M$9,2),B1590&lt;'112'!$K$9,$N1590='112'!$I$6)),"x",""))</f>
        <v/>
      </c>
      <c r="V1590" s="79" t="str">
        <f>IF(ISERROR(FIND('112'!$M$9,G1590,1)),"",IF((AND(RIGHT(G1590,2)=RIGHT('112'!$M$9,2),B1590&lt;'112'!$K$9,$O1590='112'!$I$6)),"x",""))</f>
        <v/>
      </c>
      <c r="W1590" s="79" t="str">
        <f>IF(AND('341-CT'!$H$9=H1590,OR(LEFT(N1590,3)=$W$7,LEFT(O1590,3)=$W$7)),"x","")</f>
        <v/>
      </c>
      <c r="X1590" s="79" t="str">
        <f>IF(OR(TH!N1590=TH!$X$7,O1590=TH!$X$7),"x","")</f>
        <v/>
      </c>
      <c r="Y1590" s="79" t="str">
        <f>IF(AND(OR(N1590="131",O1590="131"),H1590='131-CT'!$H$9),"x","")</f>
        <v/>
      </c>
      <c r="Z1590" s="79"/>
      <c r="AA1590" s="79" t="str">
        <f>IF(AND(MONTH(E1590)='IN-NX'!$J$5,'IN-NX'!$D$7=D1590),"x","")</f>
        <v/>
      </c>
      <c r="AB1590" s="79" t="str">
        <f>IF(AND(OR(LEFT(TH!N1590,2)="15",LEFT(TH!O1590,2)="15"),LEFT(TH!O1590,3)&lt;&gt;"111",'152-CT'!$J$8=TH!F1590),"x","")</f>
        <v/>
      </c>
      <c r="AC1590" s="79" t="str">
        <f>IF(AND(OR(LEFT(TH!N1590,2)="15",LEFT(TH!O1590,2)="15"),TK!$E$7=TH!F1590),"x","")</f>
        <v/>
      </c>
      <c r="AD1590" s="79" t="str">
        <f>IF(AND(N1590="1521",MONTH(C1590)='BK-NL'!$M$11),"x","")</f>
        <v/>
      </c>
    </row>
    <row r="1591" spans="1:30" ht="16.5" customHeight="1">
      <c r="A1591" s="318" t="str">
        <f>IF(B1591&lt;&gt;"",IF(AND(B1591='IN-TC'!$S$4,OR(TH!N1591="1111",TH!O1591="1111")),TH!D1591,""),"")</f>
        <v/>
      </c>
      <c r="B1591" s="60" t="str">
        <f t="shared" si="209"/>
        <v/>
      </c>
      <c r="C1591" s="989"/>
      <c r="D1591" s="989"/>
      <c r="E1591" s="989"/>
      <c r="F1591" s="990"/>
      <c r="G1591" s="991"/>
      <c r="H1591" s="1011"/>
      <c r="I1591" s="994"/>
      <c r="J1591" s="992"/>
      <c r="K1591" s="994"/>
      <c r="L1591" s="992"/>
      <c r="M1591" s="995"/>
      <c r="N1591" s="996"/>
      <c r="O1591" s="996"/>
      <c r="P1591" s="79" t="str">
        <f>IF(AND('331-CT'!$E$7=TH!H1591,OR(N1591="331",O1591="331")),"x","")</f>
        <v/>
      </c>
      <c r="Q1591" s="79" t="str">
        <f>IF(AND(B1591='111'!$L$11,OR($N1591=$Q$7,$O1591=$Q$7)),"x","")</f>
        <v/>
      </c>
      <c r="R1591" s="79" t="str">
        <f>IF(AND($N1591=$Q$7,$B1591&lt;'111'!$L$11),"x","")</f>
        <v/>
      </c>
      <c r="S1591" s="79" t="str">
        <f>IF(AND($O1591=$Q$7,$B1591&lt;'111'!$L$11),"x","")</f>
        <v/>
      </c>
      <c r="T1591" s="79" t="str">
        <f>IF(ISERROR(FIND('112'!$M$9,G1591,1)),"",IF((AND(FIND('112'!$M$9,G1591,1)&gt;=1,B1591='112'!$K$9,OR($N1591='112'!$I$6,$O1591='112'!$I$6))),"x",""))</f>
        <v/>
      </c>
      <c r="U1591" s="79" t="str">
        <f>IF(ISERROR(FIND('112'!$M$9,G1591,1)),"",IF((AND(LEFT(G1591,2)=LEFT('112'!$M$9,2),B1591&lt;'112'!$K$9,$N1591='112'!$I$6)),"x",""))</f>
        <v/>
      </c>
      <c r="V1591" s="79" t="str">
        <f>IF(ISERROR(FIND('112'!$M$9,G1591,1)),"",IF((AND(RIGHT(G1591,2)=RIGHT('112'!$M$9,2),B1591&lt;'112'!$K$9,$O1591='112'!$I$6)),"x",""))</f>
        <v/>
      </c>
      <c r="W1591" s="79" t="str">
        <f>IF(AND('341-CT'!$H$9=H1591,OR(LEFT(N1591,3)=$W$7,LEFT(O1591,3)=$W$7)),"x","")</f>
        <v/>
      </c>
      <c r="X1591" s="79" t="str">
        <f>IF(OR(TH!N1591=TH!$X$7,O1591=TH!$X$7),"x","")</f>
        <v/>
      </c>
      <c r="Y1591" s="79" t="str">
        <f>IF(AND(OR(N1591="131",O1591="131"),H1591='131-CT'!$H$9),"x","")</f>
        <v/>
      </c>
      <c r="Z1591" s="79"/>
      <c r="AA1591" s="79" t="str">
        <f>IF(AND(MONTH(E1591)='IN-NX'!$J$5,'IN-NX'!$D$7=D1591),"x","")</f>
        <v/>
      </c>
      <c r="AB1591" s="79" t="str">
        <f>IF(AND(OR(LEFT(TH!N1591,2)="15",LEFT(TH!O1591,2)="15"),LEFT(TH!O1591,3)&lt;&gt;"111",'152-CT'!$J$8=TH!F1591),"x","")</f>
        <v/>
      </c>
      <c r="AC1591" s="79" t="str">
        <f>IF(AND(OR(LEFT(TH!N1591,2)="15",LEFT(TH!O1591,2)="15"),TK!$E$7=TH!F1591),"x","")</f>
        <v/>
      </c>
      <c r="AD1591" s="79" t="str">
        <f>IF(AND(N1591="1521",MONTH(C1591)='BK-NL'!$M$11),"x","")</f>
        <v/>
      </c>
    </row>
    <row r="1592" spans="1:30" ht="16.5" customHeight="1">
      <c r="A1592" s="318" t="str">
        <f>IF(B1592&lt;&gt;"",IF(AND(B1592='IN-TC'!$S$4,OR(TH!N1592="1111",TH!O1592="1111")),TH!D1592,""),"")</f>
        <v/>
      </c>
      <c r="B1592" s="60" t="str">
        <f t="shared" si="209"/>
        <v/>
      </c>
      <c r="C1592" s="989"/>
      <c r="D1592" s="989"/>
      <c r="E1592" s="989"/>
      <c r="F1592" s="921"/>
      <c r="G1592" s="991"/>
      <c r="H1592" s="1011"/>
      <c r="I1592" s="994"/>
      <c r="J1592" s="992"/>
      <c r="K1592" s="994"/>
      <c r="L1592" s="992"/>
      <c r="M1592" s="995"/>
      <c r="N1592" s="996"/>
      <c r="O1592" s="996"/>
      <c r="P1592" s="79" t="str">
        <f>IF(AND('331-CT'!$E$7=TH!H1592,OR(N1592="331",O1592="331")),"x","")</f>
        <v/>
      </c>
      <c r="Q1592" s="79" t="str">
        <f>IF(AND(B1592='111'!$L$11,OR($N1592=$Q$7,$O1592=$Q$7)),"x","")</f>
        <v/>
      </c>
      <c r="R1592" s="79" t="str">
        <f>IF(AND($N1592=$Q$7,$B1592&lt;'111'!$L$11),"x","")</f>
        <v/>
      </c>
      <c r="S1592" s="79" t="str">
        <f>IF(AND($O1592=$Q$7,$B1592&lt;'111'!$L$11),"x","")</f>
        <v/>
      </c>
      <c r="T1592" s="79" t="str">
        <f>IF(ISERROR(FIND('112'!$M$9,G1592,1)),"",IF((AND(FIND('112'!$M$9,G1592,1)&gt;=1,B1592='112'!$K$9,OR($N1592='112'!$I$6,$O1592='112'!$I$6))),"x",""))</f>
        <v/>
      </c>
      <c r="U1592" s="79" t="str">
        <f>IF(ISERROR(FIND('112'!$M$9,G1592,1)),"",IF((AND(LEFT(G1592,2)=LEFT('112'!$M$9,2),B1592&lt;'112'!$K$9,$N1592='112'!$I$6)),"x",""))</f>
        <v/>
      </c>
      <c r="V1592" s="79" t="str">
        <f>IF(ISERROR(FIND('112'!$M$9,G1592,1)),"",IF((AND(RIGHT(G1592,2)=RIGHT('112'!$M$9,2),B1592&lt;'112'!$K$9,$O1592='112'!$I$6)),"x",""))</f>
        <v/>
      </c>
      <c r="W1592" s="79" t="str">
        <f>IF(AND('341-CT'!$H$9=H1592,OR(LEFT(N1592,3)=$W$7,LEFT(O1592,3)=$W$7)),"x","")</f>
        <v/>
      </c>
      <c r="X1592" s="79" t="str">
        <f>IF(OR(TH!N1592=TH!$X$7,O1592=TH!$X$7),"x","")</f>
        <v/>
      </c>
      <c r="Y1592" s="79" t="str">
        <f>IF(AND(OR(N1592="131",O1592="131"),H1592='131-CT'!$H$9),"x","")</f>
        <v/>
      </c>
      <c r="Z1592" s="79"/>
      <c r="AA1592" s="79" t="str">
        <f>IF(AND(MONTH(E1592)='IN-NX'!$J$5,'IN-NX'!$D$7=D1592),"x","")</f>
        <v/>
      </c>
      <c r="AB1592" s="79" t="str">
        <f>IF(AND(OR(LEFT(TH!N1592,2)="15",LEFT(TH!O1592,2)="15"),LEFT(TH!O1592,3)&lt;&gt;"111",'152-CT'!$J$8=TH!F1592),"x","")</f>
        <v/>
      </c>
      <c r="AC1592" s="79" t="str">
        <f>IF(AND(OR(LEFT(TH!N1592,2)="15",LEFT(TH!O1592,2)="15"),TK!$E$7=TH!F1592),"x","")</f>
        <v/>
      </c>
      <c r="AD1592" s="79" t="str">
        <f>IF(AND(N1592="1521",MONTH(C1592)='BK-NL'!$M$11),"x","")</f>
        <v/>
      </c>
    </row>
    <row r="1593" spans="1:30" ht="16.5" customHeight="1">
      <c r="A1593" s="318" t="str">
        <f>IF(B1593&lt;&gt;"",IF(AND(B1593='IN-TC'!$S$4,OR(TH!N1593="1111",TH!O1593="1111")),TH!D1593,""),"")</f>
        <v/>
      </c>
      <c r="B1593" s="60" t="str">
        <f t="shared" si="209"/>
        <v/>
      </c>
      <c r="C1593" s="989"/>
      <c r="D1593" s="989"/>
      <c r="E1593" s="989"/>
      <c r="F1593" s="990"/>
      <c r="G1593" s="991"/>
      <c r="H1593" s="1011"/>
      <c r="I1593" s="994"/>
      <c r="J1593" s="992"/>
      <c r="K1593" s="994"/>
      <c r="L1593" s="992"/>
      <c r="M1593" s="995"/>
      <c r="N1593" s="996"/>
      <c r="O1593" s="996"/>
      <c r="P1593" s="79" t="str">
        <f>IF(AND('331-CT'!$E$7=TH!H1593,OR(N1593="331",O1593="331")),"x","")</f>
        <v/>
      </c>
      <c r="Q1593" s="79" t="str">
        <f>IF(AND(B1593='111'!$L$11,OR($N1593=$Q$7,$O1593=$Q$7)),"x","")</f>
        <v/>
      </c>
      <c r="R1593" s="79" t="str">
        <f>IF(AND($N1593=$Q$7,$B1593&lt;'111'!$L$11),"x","")</f>
        <v/>
      </c>
      <c r="S1593" s="79" t="str">
        <f>IF(AND($O1593=$Q$7,$B1593&lt;'111'!$L$11),"x","")</f>
        <v/>
      </c>
      <c r="T1593" s="79" t="str">
        <f>IF(ISERROR(FIND('112'!$M$9,G1593,1)),"",IF((AND(FIND('112'!$M$9,G1593,1)&gt;=1,B1593='112'!$K$9,OR($N1593='112'!$I$6,$O1593='112'!$I$6))),"x",""))</f>
        <v/>
      </c>
      <c r="U1593" s="79" t="str">
        <f>IF(ISERROR(FIND('112'!$M$9,G1593,1)),"",IF((AND(LEFT(G1593,2)=LEFT('112'!$M$9,2),B1593&lt;'112'!$K$9,$N1593='112'!$I$6)),"x",""))</f>
        <v/>
      </c>
      <c r="V1593" s="79" t="str">
        <f>IF(ISERROR(FIND('112'!$M$9,G1593,1)),"",IF((AND(RIGHT(G1593,2)=RIGHT('112'!$M$9,2),B1593&lt;'112'!$K$9,$O1593='112'!$I$6)),"x",""))</f>
        <v/>
      </c>
      <c r="W1593" s="79" t="str">
        <f>IF(AND('341-CT'!$H$9=H1593,OR(LEFT(N1593,3)=$W$7,LEFT(O1593,3)=$W$7)),"x","")</f>
        <v/>
      </c>
      <c r="X1593" s="79" t="str">
        <f>IF(OR(TH!N1593=TH!$X$7,O1593=TH!$X$7),"x","")</f>
        <v/>
      </c>
      <c r="Y1593" s="79" t="str">
        <f>IF(AND(OR(N1593="131",O1593="131"),H1593='131-CT'!$H$9),"x","")</f>
        <v/>
      </c>
      <c r="Z1593" s="79"/>
      <c r="AA1593" s="79" t="str">
        <f>IF(AND(MONTH(E1593)='IN-NX'!$J$5,'IN-NX'!$D$7=D1593),"x","")</f>
        <v/>
      </c>
      <c r="AB1593" s="79" t="str">
        <f>IF(AND(OR(LEFT(TH!N1593,2)="15",LEFT(TH!O1593,2)="15"),LEFT(TH!O1593,3)&lt;&gt;"111",'152-CT'!$J$8=TH!F1593),"x","")</f>
        <v/>
      </c>
      <c r="AC1593" s="79" t="str">
        <f>IF(AND(OR(LEFT(TH!N1593,2)="15",LEFT(TH!O1593,2)="15"),TK!$E$7=TH!F1593),"x","")</f>
        <v/>
      </c>
      <c r="AD1593" s="79" t="str">
        <f>IF(AND(N1593="1521",MONTH(C1593)='BK-NL'!$M$11),"x","")</f>
        <v/>
      </c>
    </row>
    <row r="1594" spans="1:30" ht="16.5" customHeight="1">
      <c r="A1594" s="318" t="str">
        <f>IF(B1594&lt;&gt;"",IF(AND(B1594='IN-TC'!$S$4,OR(TH!N1594="1111",TH!O1594="1111")),TH!D1594,""),"")</f>
        <v/>
      </c>
      <c r="B1594" s="60" t="str">
        <f t="shared" si="209"/>
        <v/>
      </c>
      <c r="C1594" s="989"/>
      <c r="D1594" s="989"/>
      <c r="E1594" s="989"/>
      <c r="F1594" s="921"/>
      <c r="G1594" s="991"/>
      <c r="H1594" s="1105"/>
      <c r="I1594" s="994"/>
      <c r="J1594" s="992"/>
      <c r="K1594" s="994"/>
      <c r="L1594" s="992"/>
      <c r="M1594" s="995"/>
      <c r="N1594" s="996"/>
      <c r="O1594" s="996"/>
      <c r="P1594" s="79" t="str">
        <f>IF(AND('331-CT'!$E$7=TH!H1594,OR(N1594="331",O1594="331")),"x","")</f>
        <v/>
      </c>
      <c r="Q1594" s="79" t="str">
        <f>IF(AND(B1594='111'!$L$11,OR($N1594=$Q$7,$O1594=$Q$7)),"x","")</f>
        <v/>
      </c>
      <c r="R1594" s="79" t="str">
        <f>IF(AND($N1594=$Q$7,$B1594&lt;'111'!$L$11),"x","")</f>
        <v/>
      </c>
      <c r="S1594" s="79" t="str">
        <f>IF(AND($O1594=$Q$7,$B1594&lt;'111'!$L$11),"x","")</f>
        <v/>
      </c>
      <c r="T1594" s="79" t="str">
        <f>IF(ISERROR(FIND('112'!$M$9,G1594,1)),"",IF((AND(FIND('112'!$M$9,G1594,1)&gt;=1,B1594='112'!$K$9,OR($N1594='112'!$I$6,$O1594='112'!$I$6))),"x",""))</f>
        <v/>
      </c>
      <c r="U1594" s="79" t="str">
        <f>IF(ISERROR(FIND('112'!$M$9,G1594,1)),"",IF((AND(LEFT(G1594,2)=LEFT('112'!$M$9,2),B1594&lt;'112'!$K$9,$N1594='112'!$I$6)),"x",""))</f>
        <v/>
      </c>
      <c r="V1594" s="79" t="str">
        <f>IF(ISERROR(FIND('112'!$M$9,G1594,1)),"",IF((AND(RIGHT(G1594,2)=RIGHT('112'!$M$9,2),B1594&lt;'112'!$K$9,$O1594='112'!$I$6)),"x",""))</f>
        <v/>
      </c>
      <c r="W1594" s="79" t="str">
        <f>IF(AND('341-CT'!$H$9=H1594,OR(LEFT(N1594,3)=$W$7,LEFT(O1594,3)=$W$7)),"x","")</f>
        <v/>
      </c>
      <c r="X1594" s="79" t="str">
        <f>IF(OR(TH!N1594=TH!$X$7,O1594=TH!$X$7),"x","")</f>
        <v/>
      </c>
      <c r="Y1594" s="79" t="str">
        <f>IF(AND(OR(N1594="131",O1594="131"),H1594='131-CT'!$H$9),"x","")</f>
        <v/>
      </c>
      <c r="Z1594" s="79"/>
      <c r="AA1594" s="79" t="str">
        <f>IF(AND(MONTH(E1594)='IN-NX'!$J$5,'IN-NX'!$D$7=D1594),"x","")</f>
        <v/>
      </c>
      <c r="AB1594" s="79" t="str">
        <f>IF(AND(OR(LEFT(TH!N1594,2)="15",LEFT(TH!O1594,2)="15"),LEFT(TH!O1594,3)&lt;&gt;"111",'152-CT'!$J$8=TH!F1594),"x","")</f>
        <v/>
      </c>
      <c r="AC1594" s="79" t="str">
        <f>IF(AND(OR(LEFT(TH!N1594,2)="15",LEFT(TH!O1594,2)="15"),TK!$E$7=TH!F1594),"x","")</f>
        <v/>
      </c>
      <c r="AD1594" s="79" t="str">
        <f>IF(AND(N1594="1521",MONTH(C1594)='BK-NL'!$M$11),"x","")</f>
        <v/>
      </c>
    </row>
    <row r="1595" spans="1:30" ht="16.5" customHeight="1">
      <c r="A1595" s="318" t="str">
        <f>IF(B1595&lt;&gt;"",IF(AND(B1595='IN-TC'!$S$4,OR(TH!N1595="1111",TH!O1595="1111")),TH!D1595,""),"")</f>
        <v/>
      </c>
      <c r="B1595" s="60" t="str">
        <f t="shared" si="209"/>
        <v/>
      </c>
      <c r="C1595" s="989"/>
      <c r="D1595" s="989"/>
      <c r="E1595" s="989"/>
      <c r="F1595" s="921"/>
      <c r="G1595" s="991"/>
      <c r="H1595" s="1105"/>
      <c r="I1595" s="994"/>
      <c r="J1595" s="992"/>
      <c r="K1595" s="994"/>
      <c r="L1595" s="992"/>
      <c r="M1595" s="995"/>
      <c r="N1595" s="996"/>
      <c r="O1595" s="996"/>
      <c r="P1595" s="79" t="str">
        <f>IF(AND('331-CT'!$E$7=TH!H1595,OR(N1595="331",O1595="331")),"x","")</f>
        <v/>
      </c>
      <c r="Q1595" s="79" t="str">
        <f>IF(AND(B1595='111'!$L$11,OR($N1595=$Q$7,$O1595=$Q$7)),"x","")</f>
        <v/>
      </c>
      <c r="R1595" s="79" t="str">
        <f>IF(AND($N1595=$Q$7,$B1595&lt;'111'!$L$11),"x","")</f>
        <v/>
      </c>
      <c r="S1595" s="79" t="str">
        <f>IF(AND($O1595=$Q$7,$B1595&lt;'111'!$L$11),"x","")</f>
        <v/>
      </c>
      <c r="T1595" s="79" t="str">
        <f>IF(ISERROR(FIND('112'!$M$9,G1595,1)),"",IF((AND(FIND('112'!$M$9,G1595,1)&gt;=1,B1595='112'!$K$9,OR($N1595='112'!$I$6,$O1595='112'!$I$6))),"x",""))</f>
        <v/>
      </c>
      <c r="U1595" s="79" t="str">
        <f>IF(ISERROR(FIND('112'!$M$9,G1595,1)),"",IF((AND(LEFT(G1595,2)=LEFT('112'!$M$9,2),B1595&lt;'112'!$K$9,$N1595='112'!$I$6)),"x",""))</f>
        <v/>
      </c>
      <c r="V1595" s="79" t="str">
        <f>IF(ISERROR(FIND('112'!$M$9,G1595,1)),"",IF((AND(RIGHT(G1595,2)=RIGHT('112'!$M$9,2),B1595&lt;'112'!$K$9,$O1595='112'!$I$6)),"x",""))</f>
        <v/>
      </c>
      <c r="W1595" s="79" t="str">
        <f>IF(AND('341-CT'!$H$9=H1595,OR(LEFT(N1595,3)=$W$7,LEFT(O1595,3)=$W$7)),"x","")</f>
        <v/>
      </c>
      <c r="X1595" s="79" t="str">
        <f>IF(OR(TH!N1595=TH!$X$7,O1595=TH!$X$7),"x","")</f>
        <v/>
      </c>
      <c r="Y1595" s="79" t="str">
        <f>IF(AND(OR(N1595="131",O1595="131"),H1595='131-CT'!$H$9),"x","")</f>
        <v/>
      </c>
      <c r="Z1595" s="79"/>
      <c r="AA1595" s="79" t="str">
        <f>IF(AND(MONTH(E1595)='IN-NX'!$J$5,'IN-NX'!$D$7=D1595),"x","")</f>
        <v/>
      </c>
      <c r="AB1595" s="79" t="str">
        <f>IF(AND(OR(LEFT(TH!N1595,2)="15",LEFT(TH!O1595,2)="15"),LEFT(TH!O1595,3)&lt;&gt;"111",'152-CT'!$J$8=TH!F1595),"x","")</f>
        <v/>
      </c>
      <c r="AC1595" s="79" t="str">
        <f>IF(AND(OR(LEFT(TH!N1595,2)="15",LEFT(TH!O1595,2)="15"),TK!$E$7=TH!F1595),"x","")</f>
        <v/>
      </c>
      <c r="AD1595" s="79" t="str">
        <f>IF(AND(N1595="1521",MONTH(C1595)='BK-NL'!$M$11),"x","")</f>
        <v/>
      </c>
    </row>
    <row r="1596" spans="1:30" ht="16.5" customHeight="1">
      <c r="A1596" s="318" t="str">
        <f>IF(B1596&lt;&gt;"",IF(AND(B1596='IN-TC'!$S$4,OR(TH!N1596="1111",TH!O1596="1111")),TH!D1596,""),"")</f>
        <v/>
      </c>
      <c r="B1596" s="60" t="str">
        <f t="shared" si="209"/>
        <v/>
      </c>
      <c r="C1596" s="989"/>
      <c r="D1596" s="989"/>
      <c r="E1596" s="989"/>
      <c r="F1596" s="921"/>
      <c r="G1596" s="991"/>
      <c r="H1596" s="1105"/>
      <c r="I1596" s="994"/>
      <c r="J1596" s="992"/>
      <c r="K1596" s="994"/>
      <c r="L1596" s="992"/>
      <c r="M1596" s="995"/>
      <c r="N1596" s="996"/>
      <c r="O1596" s="996"/>
      <c r="P1596" s="79" t="str">
        <f>IF(AND('331-CT'!$E$7=TH!H1596,OR(N1596="331",O1596="331")),"x","")</f>
        <v/>
      </c>
      <c r="Q1596" s="79" t="str">
        <f>IF(AND(B1596='111'!$L$11,OR($N1596=$Q$7,$O1596=$Q$7)),"x","")</f>
        <v/>
      </c>
      <c r="R1596" s="79" t="str">
        <f>IF(AND($N1596=$Q$7,$B1596&lt;'111'!$L$11),"x","")</f>
        <v/>
      </c>
      <c r="S1596" s="79" t="str">
        <f>IF(AND($O1596=$Q$7,$B1596&lt;'111'!$L$11),"x","")</f>
        <v/>
      </c>
      <c r="T1596" s="79" t="str">
        <f>IF(ISERROR(FIND('112'!$M$9,G1596,1)),"",IF((AND(FIND('112'!$M$9,G1596,1)&gt;=1,B1596='112'!$K$9,OR($N1596='112'!$I$6,$O1596='112'!$I$6))),"x",""))</f>
        <v/>
      </c>
      <c r="U1596" s="79" t="str">
        <f>IF(ISERROR(FIND('112'!$M$9,G1596,1)),"",IF((AND(LEFT(G1596,2)=LEFT('112'!$M$9,2),B1596&lt;'112'!$K$9,$N1596='112'!$I$6)),"x",""))</f>
        <v/>
      </c>
      <c r="V1596" s="79" t="str">
        <f>IF(ISERROR(FIND('112'!$M$9,G1596,1)),"",IF((AND(RIGHT(G1596,2)=RIGHT('112'!$M$9,2),B1596&lt;'112'!$K$9,$O1596='112'!$I$6)),"x",""))</f>
        <v/>
      </c>
      <c r="W1596" s="79" t="str">
        <f>IF(AND('341-CT'!$H$9=H1596,OR(LEFT(N1596,3)=$W$7,LEFT(O1596,3)=$W$7)),"x","")</f>
        <v/>
      </c>
      <c r="X1596" s="79" t="str">
        <f>IF(OR(TH!N1596=TH!$X$7,O1596=TH!$X$7),"x","")</f>
        <v/>
      </c>
      <c r="Y1596" s="79" t="str">
        <f>IF(AND(OR(N1596="131",O1596="131"),H1596='131-CT'!$H$9),"x","")</f>
        <v/>
      </c>
      <c r="Z1596" s="79"/>
      <c r="AA1596" s="79" t="str">
        <f>IF(AND(MONTH(E1596)='IN-NX'!$J$5,'IN-NX'!$D$7=D1596),"x","")</f>
        <v/>
      </c>
      <c r="AB1596" s="79" t="str">
        <f>IF(AND(OR(LEFT(TH!N1596,2)="15",LEFT(TH!O1596,2)="15"),LEFT(TH!O1596,3)&lt;&gt;"111",'152-CT'!$J$8=TH!F1596),"x","")</f>
        <v/>
      </c>
      <c r="AC1596" s="79" t="str">
        <f>IF(AND(OR(LEFT(TH!N1596,2)="15",LEFT(TH!O1596,2)="15"),TK!$E$7=TH!F1596),"x","")</f>
        <v/>
      </c>
      <c r="AD1596" s="79" t="str">
        <f>IF(AND(N1596="1521",MONTH(C1596)='BK-NL'!$M$11),"x","")</f>
        <v/>
      </c>
    </row>
    <row r="1597" spans="1:30" ht="16.5" customHeight="1">
      <c r="A1597" s="318" t="str">
        <f>IF(B1597&lt;&gt;"",IF(AND(B1597='IN-TC'!$S$4,OR(TH!N1597="1111",TH!O1597="1111")),TH!D1597,""),"")</f>
        <v/>
      </c>
      <c r="B1597" s="60" t="str">
        <f t="shared" si="209"/>
        <v/>
      </c>
      <c r="C1597" s="989"/>
      <c r="D1597" s="989"/>
      <c r="E1597" s="989"/>
      <c r="F1597" s="921"/>
      <c r="G1597" s="991"/>
      <c r="H1597" s="1105"/>
      <c r="I1597" s="994"/>
      <c r="J1597" s="992"/>
      <c r="K1597" s="994"/>
      <c r="L1597" s="992"/>
      <c r="M1597" s="995"/>
      <c r="N1597" s="996"/>
      <c r="O1597" s="996"/>
      <c r="P1597" s="79" t="str">
        <f>IF(AND('331-CT'!$E$7=TH!H1597,OR(N1597="331",O1597="331")),"x","")</f>
        <v/>
      </c>
      <c r="Q1597" s="79" t="str">
        <f>IF(AND(B1597='111'!$L$11,OR($N1597=$Q$7,$O1597=$Q$7)),"x","")</f>
        <v/>
      </c>
      <c r="R1597" s="79" t="str">
        <f>IF(AND($N1597=$Q$7,$B1597&lt;'111'!$L$11),"x","")</f>
        <v/>
      </c>
      <c r="S1597" s="79" t="str">
        <f>IF(AND($O1597=$Q$7,$B1597&lt;'111'!$L$11),"x","")</f>
        <v/>
      </c>
      <c r="T1597" s="79" t="str">
        <f>IF(ISERROR(FIND('112'!$M$9,G1597,1)),"",IF((AND(FIND('112'!$M$9,G1597,1)&gt;=1,B1597='112'!$K$9,OR($N1597='112'!$I$6,$O1597='112'!$I$6))),"x",""))</f>
        <v/>
      </c>
      <c r="U1597" s="79" t="str">
        <f>IF(ISERROR(FIND('112'!$M$9,G1597,1)),"",IF((AND(LEFT(G1597,2)=LEFT('112'!$M$9,2),B1597&lt;'112'!$K$9,$N1597='112'!$I$6)),"x",""))</f>
        <v/>
      </c>
      <c r="V1597" s="79" t="str">
        <f>IF(ISERROR(FIND('112'!$M$9,G1597,1)),"",IF((AND(RIGHT(G1597,2)=RIGHT('112'!$M$9,2),B1597&lt;'112'!$K$9,$O1597='112'!$I$6)),"x",""))</f>
        <v/>
      </c>
      <c r="W1597" s="79" t="str">
        <f>IF(AND('341-CT'!$H$9=H1597,OR(LEFT(N1597,3)=$W$7,LEFT(O1597,3)=$W$7)),"x","")</f>
        <v/>
      </c>
      <c r="X1597" s="79" t="str">
        <f>IF(OR(TH!N1597=TH!$X$7,O1597=TH!$X$7),"x","")</f>
        <v/>
      </c>
      <c r="Y1597" s="79" t="str">
        <f>IF(AND(OR(N1597="131",O1597="131"),H1597='131-CT'!$H$9),"x","")</f>
        <v/>
      </c>
      <c r="Z1597" s="79"/>
      <c r="AA1597" s="79" t="str">
        <f>IF(AND(MONTH(E1597)='IN-NX'!$J$5,'IN-NX'!$D$7=D1597),"x","")</f>
        <v/>
      </c>
      <c r="AB1597" s="79" t="str">
        <f>IF(AND(OR(LEFT(TH!N1597,2)="15",LEFT(TH!O1597,2)="15"),LEFT(TH!O1597,3)&lt;&gt;"111",'152-CT'!$J$8=TH!F1597),"x","")</f>
        <v/>
      </c>
      <c r="AC1597" s="79" t="str">
        <f>IF(AND(OR(LEFT(TH!N1597,2)="15",LEFT(TH!O1597,2)="15"),TK!$E$7=TH!F1597),"x","")</f>
        <v/>
      </c>
      <c r="AD1597" s="79" t="str">
        <f>IF(AND(N1597="1521",MONTH(C1597)='BK-NL'!$M$11),"x","")</f>
        <v/>
      </c>
    </row>
    <row r="1598" spans="1:30" ht="16.5" customHeight="1">
      <c r="A1598" s="318" t="str">
        <f>IF(B1598&lt;&gt;"",IF(AND(B1598='IN-TC'!$S$4,OR(TH!N1598="1111",TH!O1598="1111")),TH!D1598,""),"")</f>
        <v/>
      </c>
      <c r="B1598" s="60" t="str">
        <f t="shared" si="209"/>
        <v/>
      </c>
      <c r="C1598" s="989"/>
      <c r="D1598" s="989"/>
      <c r="E1598" s="989"/>
      <c r="F1598" s="921"/>
      <c r="G1598" s="991"/>
      <c r="H1598" s="1105"/>
      <c r="I1598" s="994"/>
      <c r="J1598" s="992"/>
      <c r="K1598" s="994"/>
      <c r="L1598" s="992"/>
      <c r="M1598" s="995"/>
      <c r="N1598" s="996"/>
      <c r="O1598" s="996"/>
      <c r="P1598" s="79" t="str">
        <f>IF(AND('331-CT'!$E$7=TH!H1598,OR(N1598="331",O1598="331")),"x","")</f>
        <v/>
      </c>
      <c r="Q1598" s="79" t="str">
        <f>IF(AND(B1598='111'!$L$11,OR($N1598=$Q$7,$O1598=$Q$7)),"x","")</f>
        <v/>
      </c>
      <c r="R1598" s="79" t="str">
        <f>IF(AND($N1598=$Q$7,$B1598&lt;'111'!$L$11),"x","")</f>
        <v/>
      </c>
      <c r="S1598" s="79" t="str">
        <f>IF(AND($O1598=$Q$7,$B1598&lt;'111'!$L$11),"x","")</f>
        <v/>
      </c>
      <c r="T1598" s="79" t="str">
        <f>IF(ISERROR(FIND('112'!$M$9,G1598,1)),"",IF((AND(FIND('112'!$M$9,G1598,1)&gt;=1,B1598='112'!$K$9,OR($N1598='112'!$I$6,$O1598='112'!$I$6))),"x",""))</f>
        <v/>
      </c>
      <c r="U1598" s="79" t="str">
        <f>IF(ISERROR(FIND('112'!$M$9,G1598,1)),"",IF((AND(LEFT(G1598,2)=LEFT('112'!$M$9,2),B1598&lt;'112'!$K$9,$N1598='112'!$I$6)),"x",""))</f>
        <v/>
      </c>
      <c r="V1598" s="79" t="str">
        <f>IF(ISERROR(FIND('112'!$M$9,G1598,1)),"",IF((AND(RIGHT(G1598,2)=RIGHT('112'!$M$9,2),B1598&lt;'112'!$K$9,$O1598='112'!$I$6)),"x",""))</f>
        <v/>
      </c>
      <c r="W1598" s="79" t="str">
        <f>IF(AND('341-CT'!$H$9=H1598,OR(LEFT(N1598,3)=$W$7,LEFT(O1598,3)=$W$7)),"x","")</f>
        <v/>
      </c>
      <c r="X1598" s="79" t="str">
        <f>IF(OR(TH!N1598=TH!$X$7,O1598=TH!$X$7),"x","")</f>
        <v/>
      </c>
      <c r="Y1598" s="79" t="str">
        <f>IF(AND(OR(N1598="131",O1598="131"),H1598='131-CT'!$H$9),"x","")</f>
        <v/>
      </c>
      <c r="Z1598" s="79"/>
      <c r="AA1598" s="79" t="str">
        <f>IF(AND(MONTH(E1598)='IN-NX'!$J$5,'IN-NX'!$D$7=D1598),"x","")</f>
        <v/>
      </c>
      <c r="AB1598" s="79" t="str">
        <f>IF(AND(OR(LEFT(TH!N1598,2)="15",LEFT(TH!O1598,2)="15"),LEFT(TH!O1598,3)&lt;&gt;"111",'152-CT'!$J$8=TH!F1598),"x","")</f>
        <v/>
      </c>
      <c r="AC1598" s="79" t="str">
        <f>IF(AND(OR(LEFT(TH!N1598,2)="15",LEFT(TH!O1598,2)="15"),TK!$E$7=TH!F1598),"x","")</f>
        <v/>
      </c>
      <c r="AD1598" s="79" t="str">
        <f>IF(AND(N1598="1521",MONTH(C1598)='BK-NL'!$M$11),"x","")</f>
        <v/>
      </c>
    </row>
    <row r="1599" spans="1:30" ht="16.5" customHeight="1">
      <c r="A1599" s="318" t="str">
        <f>IF(B1599&lt;&gt;"",IF(AND(B1599='IN-TC'!$S$4,OR(TH!N1599="1111",TH!O1599="1111")),TH!D1599,""),"")</f>
        <v/>
      </c>
      <c r="B1599" s="60" t="str">
        <f t="shared" si="209"/>
        <v/>
      </c>
      <c r="C1599" s="989"/>
      <c r="D1599" s="989"/>
      <c r="E1599" s="989"/>
      <c r="F1599" s="921"/>
      <c r="G1599" s="991"/>
      <c r="H1599" s="1105"/>
      <c r="I1599" s="994"/>
      <c r="J1599" s="992"/>
      <c r="K1599" s="994"/>
      <c r="L1599" s="992"/>
      <c r="M1599" s="995"/>
      <c r="N1599" s="996"/>
      <c r="O1599" s="996"/>
      <c r="P1599" s="79" t="str">
        <f>IF(AND('331-CT'!$E$7=TH!H1599,OR(N1599="331",O1599="331")),"x","")</f>
        <v/>
      </c>
      <c r="Q1599" s="79" t="str">
        <f>IF(AND(B1599='111'!$L$11,OR($N1599=$Q$7,$O1599=$Q$7)),"x","")</f>
        <v/>
      </c>
      <c r="R1599" s="79" t="str">
        <f>IF(AND($N1599=$Q$7,$B1599&lt;'111'!$L$11),"x","")</f>
        <v/>
      </c>
      <c r="S1599" s="79" t="str">
        <f>IF(AND($O1599=$Q$7,$B1599&lt;'111'!$L$11),"x","")</f>
        <v/>
      </c>
      <c r="T1599" s="79" t="str">
        <f>IF(ISERROR(FIND('112'!$M$9,G1599,1)),"",IF((AND(FIND('112'!$M$9,G1599,1)&gt;=1,B1599='112'!$K$9,OR($N1599='112'!$I$6,$O1599='112'!$I$6))),"x",""))</f>
        <v/>
      </c>
      <c r="U1599" s="79" t="str">
        <f>IF(ISERROR(FIND('112'!$M$9,G1599,1)),"",IF((AND(LEFT(G1599,2)=LEFT('112'!$M$9,2),B1599&lt;'112'!$K$9,$N1599='112'!$I$6)),"x",""))</f>
        <v/>
      </c>
      <c r="V1599" s="79" t="str">
        <f>IF(ISERROR(FIND('112'!$M$9,G1599,1)),"",IF((AND(RIGHT(G1599,2)=RIGHT('112'!$M$9,2),B1599&lt;'112'!$K$9,$O1599='112'!$I$6)),"x",""))</f>
        <v/>
      </c>
      <c r="W1599" s="79" t="str">
        <f>IF(AND('341-CT'!$H$9=H1599,OR(LEFT(N1599,3)=$W$7,LEFT(O1599,3)=$W$7)),"x","")</f>
        <v/>
      </c>
      <c r="X1599" s="79" t="str">
        <f>IF(OR(TH!N1599=TH!$X$7,O1599=TH!$X$7),"x","")</f>
        <v/>
      </c>
      <c r="Y1599" s="79" t="str">
        <f>IF(AND(OR(N1599="131",O1599="131"),H1599='131-CT'!$H$9),"x","")</f>
        <v/>
      </c>
      <c r="Z1599" s="79"/>
      <c r="AA1599" s="79" t="str">
        <f>IF(AND(MONTH(E1599)='IN-NX'!$J$5,'IN-NX'!$D$7=D1599),"x","")</f>
        <v/>
      </c>
      <c r="AB1599" s="79" t="str">
        <f>IF(AND(OR(LEFT(TH!N1599,2)="15",LEFT(TH!O1599,2)="15"),LEFT(TH!O1599,3)&lt;&gt;"111",'152-CT'!$J$8=TH!F1599),"x","")</f>
        <v/>
      </c>
      <c r="AC1599" s="79" t="str">
        <f>IF(AND(OR(LEFT(TH!N1599,2)="15",LEFT(TH!O1599,2)="15"),TK!$E$7=TH!F1599),"x","")</f>
        <v/>
      </c>
      <c r="AD1599" s="79" t="str">
        <f>IF(AND(N1599="1521",MONTH(C1599)='BK-NL'!$M$11),"x","")</f>
        <v/>
      </c>
    </row>
    <row r="1600" spans="1:30" ht="16.5" customHeight="1">
      <c r="A1600" s="318" t="str">
        <f>IF(B1600&lt;&gt;"",IF(AND(B1600='IN-TC'!$S$4,OR(TH!N1600="1111",TH!O1600="1111")),TH!D1600,""),"")</f>
        <v/>
      </c>
      <c r="B1600" s="60" t="str">
        <f t="shared" si="209"/>
        <v/>
      </c>
      <c r="C1600" s="989"/>
      <c r="D1600" s="989"/>
      <c r="E1600" s="989"/>
      <c r="F1600" s="921"/>
      <c r="G1600" s="991"/>
      <c r="H1600" s="1105"/>
      <c r="I1600" s="994"/>
      <c r="J1600" s="992"/>
      <c r="K1600" s="994"/>
      <c r="L1600" s="992"/>
      <c r="M1600" s="995"/>
      <c r="N1600" s="996"/>
      <c r="O1600" s="996"/>
      <c r="P1600" s="79" t="str">
        <f>IF(AND('331-CT'!$E$7=TH!H1600,OR(N1600="331",O1600="331")),"x","")</f>
        <v/>
      </c>
      <c r="Q1600" s="79" t="str">
        <f>IF(AND(B1600='111'!$L$11,OR($N1600=$Q$7,$O1600=$Q$7)),"x","")</f>
        <v/>
      </c>
      <c r="R1600" s="79" t="str">
        <f>IF(AND($N1600=$Q$7,$B1600&lt;'111'!$L$11),"x","")</f>
        <v/>
      </c>
      <c r="S1600" s="79" t="str">
        <f>IF(AND($O1600=$Q$7,$B1600&lt;'111'!$L$11),"x","")</f>
        <v/>
      </c>
      <c r="T1600" s="79" t="str">
        <f>IF(ISERROR(FIND('112'!$M$9,G1600,1)),"",IF((AND(FIND('112'!$M$9,G1600,1)&gt;=1,B1600='112'!$K$9,OR($N1600='112'!$I$6,$O1600='112'!$I$6))),"x",""))</f>
        <v/>
      </c>
      <c r="U1600" s="79" t="str">
        <f>IF(ISERROR(FIND('112'!$M$9,G1600,1)),"",IF((AND(LEFT(G1600,2)=LEFT('112'!$M$9,2),B1600&lt;'112'!$K$9,$N1600='112'!$I$6)),"x",""))</f>
        <v/>
      </c>
      <c r="V1600" s="79" t="str">
        <f>IF(ISERROR(FIND('112'!$M$9,G1600,1)),"",IF((AND(RIGHT(G1600,2)=RIGHT('112'!$M$9,2),B1600&lt;'112'!$K$9,$O1600='112'!$I$6)),"x",""))</f>
        <v/>
      </c>
      <c r="W1600" s="79" t="str">
        <f>IF(AND('341-CT'!$H$9=H1600,OR(LEFT(N1600,3)=$W$7,LEFT(O1600,3)=$W$7)),"x","")</f>
        <v/>
      </c>
      <c r="X1600" s="79" t="str">
        <f>IF(OR(TH!N1600=TH!$X$7,O1600=TH!$X$7),"x","")</f>
        <v/>
      </c>
      <c r="Y1600" s="79" t="str">
        <f>IF(AND(OR(N1600="131",O1600="131"),H1600='131-CT'!$H$9),"x","")</f>
        <v/>
      </c>
      <c r="Z1600" s="79"/>
      <c r="AA1600" s="79" t="str">
        <f>IF(AND(MONTH(E1600)='IN-NX'!$J$5,'IN-NX'!$D$7=D1600),"x","")</f>
        <v/>
      </c>
      <c r="AB1600" s="79" t="str">
        <f>IF(AND(OR(LEFT(TH!N1600,2)="15",LEFT(TH!O1600,2)="15"),LEFT(TH!O1600,3)&lt;&gt;"111",'152-CT'!$J$8=TH!F1600),"x","")</f>
        <v/>
      </c>
      <c r="AC1600" s="79" t="str">
        <f>IF(AND(OR(LEFT(TH!N1600,2)="15",LEFT(TH!O1600,2)="15"),TK!$E$7=TH!F1600),"x","")</f>
        <v/>
      </c>
      <c r="AD1600" s="79" t="str">
        <f>IF(AND(N1600="1521",MONTH(C1600)='BK-NL'!$M$11),"x","")</f>
        <v/>
      </c>
    </row>
    <row r="1601" spans="1:30" ht="16.5" customHeight="1">
      <c r="A1601" s="318" t="str">
        <f>IF(B1601&lt;&gt;"",IF(AND(B1601='IN-TC'!$S$4,OR(TH!N1601="1111",TH!O1601="1111")),TH!D1601,""),"")</f>
        <v/>
      </c>
      <c r="B1601" s="60" t="str">
        <f t="shared" si="209"/>
        <v/>
      </c>
      <c r="C1601" s="989"/>
      <c r="D1601" s="989"/>
      <c r="E1601" s="989"/>
      <c r="F1601" s="921"/>
      <c r="G1601" s="991"/>
      <c r="H1601" s="1105"/>
      <c r="I1601" s="994"/>
      <c r="J1601" s="992"/>
      <c r="K1601" s="994"/>
      <c r="L1601" s="992"/>
      <c r="M1601" s="995"/>
      <c r="N1601" s="996"/>
      <c r="O1601" s="996"/>
      <c r="P1601" s="79" t="str">
        <f>IF(AND('331-CT'!$E$7=TH!H1601,OR(N1601="331",O1601="331")),"x","")</f>
        <v/>
      </c>
      <c r="Q1601" s="79" t="str">
        <f>IF(AND(B1601='111'!$L$11,OR($N1601=$Q$7,$O1601=$Q$7)),"x","")</f>
        <v/>
      </c>
      <c r="R1601" s="79" t="str">
        <f>IF(AND($N1601=$Q$7,$B1601&lt;'111'!$L$11),"x","")</f>
        <v/>
      </c>
      <c r="S1601" s="79" t="str">
        <f>IF(AND($O1601=$Q$7,$B1601&lt;'111'!$L$11),"x","")</f>
        <v/>
      </c>
      <c r="T1601" s="79" t="str">
        <f>IF(ISERROR(FIND('112'!$M$9,G1601,1)),"",IF((AND(FIND('112'!$M$9,G1601,1)&gt;=1,B1601='112'!$K$9,OR($N1601='112'!$I$6,$O1601='112'!$I$6))),"x",""))</f>
        <v/>
      </c>
      <c r="U1601" s="79" t="str">
        <f>IF(ISERROR(FIND('112'!$M$9,G1601,1)),"",IF((AND(LEFT(G1601,2)=LEFT('112'!$M$9,2),B1601&lt;'112'!$K$9,$N1601='112'!$I$6)),"x",""))</f>
        <v/>
      </c>
      <c r="V1601" s="79" t="str">
        <f>IF(ISERROR(FIND('112'!$M$9,G1601,1)),"",IF((AND(RIGHT(G1601,2)=RIGHT('112'!$M$9,2),B1601&lt;'112'!$K$9,$O1601='112'!$I$6)),"x",""))</f>
        <v/>
      </c>
      <c r="W1601" s="79" t="str">
        <f>IF(AND('341-CT'!$H$9=H1601,OR(LEFT(N1601,3)=$W$7,LEFT(O1601,3)=$W$7)),"x","")</f>
        <v/>
      </c>
      <c r="X1601" s="79" t="str">
        <f>IF(OR(TH!N1601=TH!$X$7,O1601=TH!$X$7),"x","")</f>
        <v/>
      </c>
      <c r="Y1601" s="79" t="str">
        <f>IF(AND(OR(N1601="131",O1601="131"),H1601='131-CT'!$H$9),"x","")</f>
        <v/>
      </c>
      <c r="Z1601" s="79"/>
      <c r="AA1601" s="79" t="str">
        <f>IF(AND(MONTH(E1601)='IN-NX'!$J$5,'IN-NX'!$D$7=D1601),"x","")</f>
        <v/>
      </c>
      <c r="AB1601" s="79" t="str">
        <f>IF(AND(OR(LEFT(TH!N1601,2)="15",LEFT(TH!O1601,2)="15"),LEFT(TH!O1601,3)&lt;&gt;"111",'152-CT'!$J$8=TH!F1601),"x","")</f>
        <v/>
      </c>
      <c r="AC1601" s="79" t="str">
        <f>IF(AND(OR(LEFT(TH!N1601,2)="15",LEFT(TH!O1601,2)="15"),TK!$E$7=TH!F1601),"x","")</f>
        <v/>
      </c>
      <c r="AD1601" s="79" t="str">
        <f>IF(AND(N1601="1521",MONTH(C1601)='BK-NL'!$M$11),"x","")</f>
        <v/>
      </c>
    </row>
    <row r="1602" spans="1:30" ht="16.5" customHeight="1">
      <c r="A1602" s="318" t="str">
        <f>IF(B1602&lt;&gt;"",IF(AND(B1602='IN-TC'!$S$4,OR(TH!N1602="1111",TH!O1602="1111")),TH!D1602,""),"")</f>
        <v/>
      </c>
      <c r="B1602" s="60" t="str">
        <f t="shared" si="209"/>
        <v/>
      </c>
      <c r="C1602" s="989"/>
      <c r="D1602" s="989"/>
      <c r="E1602" s="989"/>
      <c r="F1602" s="921"/>
      <c r="G1602" s="991"/>
      <c r="H1602" s="1105"/>
      <c r="I1602" s="994"/>
      <c r="J1602" s="992"/>
      <c r="K1602" s="994"/>
      <c r="L1602" s="992"/>
      <c r="M1602" s="995"/>
      <c r="N1602" s="996"/>
      <c r="O1602" s="996"/>
      <c r="P1602" s="79" t="str">
        <f>IF(AND('331-CT'!$E$7=TH!H1602,OR(N1602="331",O1602="331")),"x","")</f>
        <v/>
      </c>
      <c r="Q1602" s="79" t="str">
        <f>IF(AND(B1602='111'!$L$11,OR($N1602=$Q$7,$O1602=$Q$7)),"x","")</f>
        <v/>
      </c>
      <c r="R1602" s="79" t="str">
        <f>IF(AND($N1602=$Q$7,$B1602&lt;'111'!$L$11),"x","")</f>
        <v/>
      </c>
      <c r="S1602" s="79" t="str">
        <f>IF(AND($O1602=$Q$7,$B1602&lt;'111'!$L$11),"x","")</f>
        <v/>
      </c>
      <c r="T1602" s="79" t="str">
        <f>IF(ISERROR(FIND('112'!$M$9,G1602,1)),"",IF((AND(FIND('112'!$M$9,G1602,1)&gt;=1,B1602='112'!$K$9,OR($N1602='112'!$I$6,$O1602='112'!$I$6))),"x",""))</f>
        <v/>
      </c>
      <c r="U1602" s="79" t="str">
        <f>IF(ISERROR(FIND('112'!$M$9,G1602,1)),"",IF((AND(LEFT(G1602,2)=LEFT('112'!$M$9,2),B1602&lt;'112'!$K$9,$N1602='112'!$I$6)),"x",""))</f>
        <v/>
      </c>
      <c r="V1602" s="79" t="str">
        <f>IF(ISERROR(FIND('112'!$M$9,G1602,1)),"",IF((AND(RIGHT(G1602,2)=RIGHT('112'!$M$9,2),B1602&lt;'112'!$K$9,$O1602='112'!$I$6)),"x",""))</f>
        <v/>
      </c>
      <c r="W1602" s="79" t="str">
        <f>IF(AND('341-CT'!$H$9=H1602,OR(LEFT(N1602,3)=$W$7,LEFT(O1602,3)=$W$7)),"x","")</f>
        <v/>
      </c>
      <c r="X1602" s="79" t="str">
        <f>IF(OR(TH!N1602=TH!$X$7,O1602=TH!$X$7),"x","")</f>
        <v/>
      </c>
      <c r="Y1602" s="79" t="str">
        <f>IF(AND(OR(N1602="131",O1602="131"),H1602='131-CT'!$H$9),"x","")</f>
        <v/>
      </c>
      <c r="Z1602" s="79"/>
      <c r="AA1602" s="79" t="str">
        <f>IF(AND(MONTH(E1602)='IN-NX'!$J$5,'IN-NX'!$D$7=D1602),"x","")</f>
        <v/>
      </c>
      <c r="AB1602" s="79" t="str">
        <f>IF(AND(OR(LEFT(TH!N1602,2)="15",LEFT(TH!O1602,2)="15"),LEFT(TH!O1602,3)&lt;&gt;"111",'152-CT'!$J$8=TH!F1602),"x","")</f>
        <v/>
      </c>
      <c r="AC1602" s="79" t="str">
        <f>IF(AND(OR(LEFT(TH!N1602,2)="15",LEFT(TH!O1602,2)="15"),TK!$E$7=TH!F1602),"x","")</f>
        <v/>
      </c>
      <c r="AD1602" s="79" t="str">
        <f>IF(AND(N1602="1521",MONTH(C1602)='BK-NL'!$M$11),"x","")</f>
        <v/>
      </c>
    </row>
    <row r="1603" spans="1:30" ht="16.5" customHeight="1">
      <c r="A1603" s="318" t="str">
        <f>IF(B1603&lt;&gt;"",IF(AND(B1603='IN-TC'!$S$4,OR(TH!N1603="1111",TH!O1603="1111")),TH!D1603,""),"")</f>
        <v/>
      </c>
      <c r="B1603" s="60" t="str">
        <f t="shared" si="209"/>
        <v/>
      </c>
      <c r="C1603" s="989"/>
      <c r="D1603" s="989"/>
      <c r="E1603" s="989"/>
      <c r="F1603" s="921"/>
      <c r="G1603" s="991"/>
      <c r="H1603" s="1105"/>
      <c r="I1603" s="994"/>
      <c r="J1603" s="992"/>
      <c r="K1603" s="994"/>
      <c r="L1603" s="992"/>
      <c r="M1603" s="995"/>
      <c r="N1603" s="996"/>
      <c r="O1603" s="996"/>
      <c r="P1603" s="79" t="str">
        <f>IF(AND('331-CT'!$E$7=TH!H1603,OR(N1603="331",O1603="331")),"x","")</f>
        <v/>
      </c>
      <c r="Q1603" s="79" t="str">
        <f>IF(AND(B1603='111'!$L$11,OR($N1603=$Q$7,$O1603=$Q$7)),"x","")</f>
        <v/>
      </c>
      <c r="R1603" s="79" t="str">
        <f>IF(AND($N1603=$Q$7,$B1603&lt;'111'!$L$11),"x","")</f>
        <v/>
      </c>
      <c r="S1603" s="79" t="str">
        <f>IF(AND($O1603=$Q$7,$B1603&lt;'111'!$L$11),"x","")</f>
        <v/>
      </c>
      <c r="T1603" s="79" t="str">
        <f>IF(ISERROR(FIND('112'!$M$9,G1603,1)),"",IF((AND(FIND('112'!$M$9,G1603,1)&gt;=1,B1603='112'!$K$9,OR($N1603='112'!$I$6,$O1603='112'!$I$6))),"x",""))</f>
        <v/>
      </c>
      <c r="U1603" s="79" t="str">
        <f>IF(ISERROR(FIND('112'!$M$9,G1603,1)),"",IF((AND(LEFT(G1603,2)=LEFT('112'!$M$9,2),B1603&lt;'112'!$K$9,$N1603='112'!$I$6)),"x",""))</f>
        <v/>
      </c>
      <c r="V1603" s="79" t="str">
        <f>IF(ISERROR(FIND('112'!$M$9,G1603,1)),"",IF((AND(RIGHT(G1603,2)=RIGHT('112'!$M$9,2),B1603&lt;'112'!$K$9,$O1603='112'!$I$6)),"x",""))</f>
        <v/>
      </c>
      <c r="W1603" s="79" t="str">
        <f>IF(AND('341-CT'!$H$9=H1603,OR(LEFT(N1603,3)=$W$7,LEFT(O1603,3)=$W$7)),"x","")</f>
        <v/>
      </c>
      <c r="X1603" s="79" t="str">
        <f>IF(OR(TH!N1603=TH!$X$7,O1603=TH!$X$7),"x","")</f>
        <v/>
      </c>
      <c r="Y1603" s="79" t="str">
        <f>IF(AND(OR(N1603="131",O1603="131"),H1603='131-CT'!$H$9),"x","")</f>
        <v/>
      </c>
      <c r="Z1603" s="79"/>
      <c r="AA1603" s="79" t="str">
        <f>IF(AND(MONTH(E1603)='IN-NX'!$J$5,'IN-NX'!$D$7=D1603),"x","")</f>
        <v/>
      </c>
      <c r="AB1603" s="79" t="str">
        <f>IF(AND(OR(LEFT(TH!N1603,2)="15",LEFT(TH!O1603,2)="15"),LEFT(TH!O1603,3)&lt;&gt;"111",'152-CT'!$J$8=TH!F1603),"x","")</f>
        <v/>
      </c>
      <c r="AC1603" s="79" t="str">
        <f>IF(AND(OR(LEFT(TH!N1603,2)="15",LEFT(TH!O1603,2)="15"),TK!$E$7=TH!F1603),"x","")</f>
        <v/>
      </c>
      <c r="AD1603" s="79" t="str">
        <f>IF(AND(N1603="1521",MONTH(C1603)='BK-NL'!$M$11),"x","")</f>
        <v/>
      </c>
    </row>
    <row r="1604" spans="1:30" ht="16.5" customHeight="1">
      <c r="A1604" s="318" t="str">
        <f>IF(B1604&lt;&gt;"",IF(AND(B1604='IN-TC'!$S$4,OR(TH!N1604="1111",TH!O1604="1111")),TH!D1604,""),"")</f>
        <v/>
      </c>
      <c r="B1604" s="60" t="str">
        <f t="shared" si="209"/>
        <v/>
      </c>
      <c r="C1604" s="989"/>
      <c r="D1604" s="989"/>
      <c r="E1604" s="989"/>
      <c r="F1604" s="921"/>
      <c r="G1604" s="991"/>
      <c r="H1604" s="1105"/>
      <c r="I1604" s="994"/>
      <c r="J1604" s="992"/>
      <c r="K1604" s="994"/>
      <c r="L1604" s="992"/>
      <c r="M1604" s="995"/>
      <c r="N1604" s="996"/>
      <c r="O1604" s="996"/>
      <c r="P1604" s="79" t="str">
        <f>IF(AND('331-CT'!$E$7=TH!H1604,OR(N1604="331",O1604="331")),"x","")</f>
        <v/>
      </c>
      <c r="Q1604" s="79" t="str">
        <f>IF(AND(B1604='111'!$L$11,OR($N1604=$Q$7,$O1604=$Q$7)),"x","")</f>
        <v/>
      </c>
      <c r="R1604" s="79" t="str">
        <f>IF(AND($N1604=$Q$7,$B1604&lt;'111'!$L$11),"x","")</f>
        <v/>
      </c>
      <c r="S1604" s="79" t="str">
        <f>IF(AND($O1604=$Q$7,$B1604&lt;'111'!$L$11),"x","")</f>
        <v/>
      </c>
      <c r="T1604" s="79" t="str">
        <f>IF(ISERROR(FIND('112'!$M$9,G1604,1)),"",IF((AND(FIND('112'!$M$9,G1604,1)&gt;=1,B1604='112'!$K$9,OR($N1604='112'!$I$6,$O1604='112'!$I$6))),"x",""))</f>
        <v/>
      </c>
      <c r="U1604" s="79" t="str">
        <f>IF(ISERROR(FIND('112'!$M$9,G1604,1)),"",IF((AND(LEFT(G1604,2)=LEFT('112'!$M$9,2),B1604&lt;'112'!$K$9,$N1604='112'!$I$6)),"x",""))</f>
        <v/>
      </c>
      <c r="V1604" s="79" t="str">
        <f>IF(ISERROR(FIND('112'!$M$9,G1604,1)),"",IF((AND(RIGHT(G1604,2)=RIGHT('112'!$M$9,2),B1604&lt;'112'!$K$9,$O1604='112'!$I$6)),"x",""))</f>
        <v/>
      </c>
      <c r="W1604" s="79" t="str">
        <f>IF(AND('341-CT'!$H$9=H1604,OR(LEFT(N1604,3)=$W$7,LEFT(O1604,3)=$W$7)),"x","")</f>
        <v/>
      </c>
      <c r="X1604" s="79" t="str">
        <f>IF(OR(TH!N1604=TH!$X$7,O1604=TH!$X$7),"x","")</f>
        <v/>
      </c>
      <c r="Y1604" s="79" t="str">
        <f>IF(AND(OR(N1604="131",O1604="131"),H1604='131-CT'!$H$9),"x","")</f>
        <v/>
      </c>
      <c r="Z1604" s="79"/>
      <c r="AA1604" s="79" t="str">
        <f>IF(AND(MONTH(E1604)='IN-NX'!$J$5,'IN-NX'!$D$7=D1604),"x","")</f>
        <v/>
      </c>
      <c r="AB1604" s="79" t="str">
        <f>IF(AND(OR(LEFT(TH!N1604,2)="15",LEFT(TH!O1604,2)="15"),LEFT(TH!O1604,3)&lt;&gt;"111",'152-CT'!$J$8=TH!F1604),"x","")</f>
        <v/>
      </c>
      <c r="AC1604" s="79" t="str">
        <f>IF(AND(OR(LEFT(TH!N1604,2)="15",LEFT(TH!O1604,2)="15"),TK!$E$7=TH!F1604),"x","")</f>
        <v/>
      </c>
      <c r="AD1604" s="79" t="str">
        <f>IF(AND(N1604="1521",MONTH(C1604)='BK-NL'!$M$11),"x","")</f>
        <v/>
      </c>
    </row>
    <row r="1605" spans="1:30" ht="16.5" customHeight="1">
      <c r="A1605" s="318" t="str">
        <f>IF(B1605&lt;&gt;"",IF(AND(B1605='IN-TC'!$S$4,OR(TH!N1605="1111",TH!O1605="1111")),TH!D1605,""),"")</f>
        <v/>
      </c>
      <c r="B1605" s="60" t="str">
        <f t="shared" si="209"/>
        <v/>
      </c>
      <c r="C1605" s="989"/>
      <c r="D1605" s="989"/>
      <c r="E1605" s="989"/>
      <c r="F1605" s="921"/>
      <c r="G1605" s="991"/>
      <c r="H1605" s="1105"/>
      <c r="I1605" s="994"/>
      <c r="J1605" s="992"/>
      <c r="K1605" s="994"/>
      <c r="L1605" s="992"/>
      <c r="M1605" s="995"/>
      <c r="N1605" s="996"/>
      <c r="O1605" s="996"/>
      <c r="P1605" s="79" t="str">
        <f>IF(AND('331-CT'!$E$7=TH!H1605,OR(N1605="331",O1605="331")),"x","")</f>
        <v/>
      </c>
      <c r="Q1605" s="79" t="str">
        <f>IF(AND(B1605='111'!$L$11,OR($N1605=$Q$7,$O1605=$Q$7)),"x","")</f>
        <v/>
      </c>
      <c r="R1605" s="79" t="str">
        <f>IF(AND($N1605=$Q$7,$B1605&lt;'111'!$L$11),"x","")</f>
        <v/>
      </c>
      <c r="S1605" s="79" t="str">
        <f>IF(AND($O1605=$Q$7,$B1605&lt;'111'!$L$11),"x","")</f>
        <v/>
      </c>
      <c r="T1605" s="79" t="str">
        <f>IF(ISERROR(FIND('112'!$M$9,G1605,1)),"",IF((AND(FIND('112'!$M$9,G1605,1)&gt;=1,B1605='112'!$K$9,OR($N1605='112'!$I$6,$O1605='112'!$I$6))),"x",""))</f>
        <v/>
      </c>
      <c r="U1605" s="79" t="str">
        <f>IF(ISERROR(FIND('112'!$M$9,G1605,1)),"",IF((AND(LEFT(G1605,2)=LEFT('112'!$M$9,2),B1605&lt;'112'!$K$9,$N1605='112'!$I$6)),"x",""))</f>
        <v/>
      </c>
      <c r="V1605" s="79" t="str">
        <f>IF(ISERROR(FIND('112'!$M$9,G1605,1)),"",IF((AND(RIGHT(G1605,2)=RIGHT('112'!$M$9,2),B1605&lt;'112'!$K$9,$O1605='112'!$I$6)),"x",""))</f>
        <v/>
      </c>
      <c r="W1605" s="79" t="str">
        <f>IF(AND('341-CT'!$H$9=H1605,OR(LEFT(N1605,3)=$W$7,LEFT(O1605,3)=$W$7)),"x","")</f>
        <v/>
      </c>
      <c r="X1605" s="79" t="str">
        <f>IF(OR(TH!N1605=TH!$X$7,O1605=TH!$X$7),"x","")</f>
        <v/>
      </c>
      <c r="Y1605" s="79" t="str">
        <f>IF(AND(OR(N1605="131",O1605="131"),H1605='131-CT'!$H$9),"x","")</f>
        <v/>
      </c>
      <c r="Z1605" s="79"/>
      <c r="AA1605" s="79" t="str">
        <f>IF(AND(MONTH(E1605)='IN-NX'!$J$5,'IN-NX'!$D$7=D1605),"x","")</f>
        <v/>
      </c>
      <c r="AB1605" s="79" t="str">
        <f>IF(AND(OR(LEFT(TH!N1605,2)="15",LEFT(TH!O1605,2)="15"),LEFT(TH!O1605,3)&lt;&gt;"111",'152-CT'!$J$8=TH!F1605),"x","")</f>
        <v/>
      </c>
      <c r="AC1605" s="79" t="str">
        <f>IF(AND(OR(LEFT(TH!N1605,2)="15",LEFT(TH!O1605,2)="15"),TK!$E$7=TH!F1605),"x","")</f>
        <v/>
      </c>
      <c r="AD1605" s="79" t="str">
        <f>IF(AND(N1605="1521",MONTH(C1605)='BK-NL'!$M$11),"x","")</f>
        <v/>
      </c>
    </row>
    <row r="1606" spans="1:30" ht="16.5" customHeight="1">
      <c r="A1606" s="318" t="str">
        <f>IF(B1606&lt;&gt;"",IF(AND(B1606='IN-TC'!$S$4,OR(TH!N1606="1111",TH!O1606="1111")),TH!D1606,""),"")</f>
        <v/>
      </c>
      <c r="B1606" s="60" t="str">
        <f t="shared" si="209"/>
        <v/>
      </c>
      <c r="C1606" s="989"/>
      <c r="D1606" s="989"/>
      <c r="E1606" s="989"/>
      <c r="F1606" s="921"/>
      <c r="G1606" s="991"/>
      <c r="H1606" s="1105"/>
      <c r="I1606" s="994"/>
      <c r="J1606" s="992"/>
      <c r="K1606" s="994"/>
      <c r="L1606" s="992"/>
      <c r="M1606" s="995"/>
      <c r="N1606" s="996"/>
      <c r="O1606" s="996"/>
      <c r="P1606" s="79" t="str">
        <f>IF(AND('331-CT'!$E$7=TH!H1606,OR(N1606="331",O1606="331")),"x","")</f>
        <v/>
      </c>
      <c r="Q1606" s="79" t="str">
        <f>IF(AND(B1606='111'!$L$11,OR($N1606=$Q$7,$O1606=$Q$7)),"x","")</f>
        <v/>
      </c>
      <c r="R1606" s="79" t="str">
        <f>IF(AND($N1606=$Q$7,$B1606&lt;'111'!$L$11),"x","")</f>
        <v/>
      </c>
      <c r="S1606" s="79" t="str">
        <f>IF(AND($O1606=$Q$7,$B1606&lt;'111'!$L$11),"x","")</f>
        <v/>
      </c>
      <c r="T1606" s="79" t="str">
        <f>IF(ISERROR(FIND('112'!$M$9,G1606,1)),"",IF((AND(FIND('112'!$M$9,G1606,1)&gt;=1,B1606='112'!$K$9,OR($N1606='112'!$I$6,$O1606='112'!$I$6))),"x",""))</f>
        <v/>
      </c>
      <c r="U1606" s="79" t="str">
        <f>IF(ISERROR(FIND('112'!$M$9,G1606,1)),"",IF((AND(LEFT(G1606,2)=LEFT('112'!$M$9,2),B1606&lt;'112'!$K$9,$N1606='112'!$I$6)),"x",""))</f>
        <v/>
      </c>
      <c r="V1606" s="79" t="str">
        <f>IF(ISERROR(FIND('112'!$M$9,G1606,1)),"",IF((AND(RIGHT(G1606,2)=RIGHT('112'!$M$9,2),B1606&lt;'112'!$K$9,$O1606='112'!$I$6)),"x",""))</f>
        <v/>
      </c>
      <c r="W1606" s="79" t="str">
        <f>IF(AND('341-CT'!$H$9=H1606,OR(LEFT(N1606,3)=$W$7,LEFT(O1606,3)=$W$7)),"x","")</f>
        <v/>
      </c>
      <c r="X1606" s="79" t="str">
        <f>IF(OR(TH!N1606=TH!$X$7,O1606=TH!$X$7),"x","")</f>
        <v/>
      </c>
      <c r="Y1606" s="79" t="str">
        <f>IF(AND(OR(N1606="131",O1606="131"),H1606='131-CT'!$H$9),"x","")</f>
        <v/>
      </c>
      <c r="Z1606" s="79"/>
      <c r="AA1606" s="79" t="str">
        <f>IF(AND(MONTH(E1606)='IN-NX'!$J$5,'IN-NX'!$D$7=D1606),"x","")</f>
        <v/>
      </c>
      <c r="AB1606" s="79" t="str">
        <f>IF(AND(OR(LEFT(TH!N1606,2)="15",LEFT(TH!O1606,2)="15"),LEFT(TH!O1606,3)&lt;&gt;"111",'152-CT'!$J$8=TH!F1606),"x","")</f>
        <v/>
      </c>
      <c r="AC1606" s="79" t="str">
        <f>IF(AND(OR(LEFT(TH!N1606,2)="15",LEFT(TH!O1606,2)="15"),TK!$E$7=TH!F1606),"x","")</f>
        <v/>
      </c>
      <c r="AD1606" s="79" t="str">
        <f>IF(AND(N1606="1521",MONTH(C1606)='BK-NL'!$M$11),"x","")</f>
        <v/>
      </c>
    </row>
    <row r="1607" spans="1:30" ht="16.5" customHeight="1">
      <c r="A1607" s="318" t="str">
        <f>IF(B1607&lt;&gt;"",IF(AND(B1607='IN-TC'!$S$4,OR(TH!N1607="1111",TH!O1607="1111")),TH!D1607,""),"")</f>
        <v/>
      </c>
      <c r="B1607" s="60" t="str">
        <f t="shared" si="209"/>
        <v/>
      </c>
      <c r="C1607" s="989"/>
      <c r="D1607" s="989"/>
      <c r="E1607" s="989"/>
      <c r="F1607" s="921"/>
      <c r="G1607" s="991"/>
      <c r="H1607" s="1105"/>
      <c r="I1607" s="994"/>
      <c r="J1607" s="992"/>
      <c r="K1607" s="994"/>
      <c r="L1607" s="992"/>
      <c r="M1607" s="995"/>
      <c r="N1607" s="996"/>
      <c r="O1607" s="996"/>
      <c r="P1607" s="79" t="str">
        <f>IF(AND('331-CT'!$E$7=TH!H1607,OR(N1607="331",O1607="331")),"x","")</f>
        <v/>
      </c>
      <c r="Q1607" s="79" t="str">
        <f>IF(AND(B1607='111'!$L$11,OR($N1607=$Q$7,$O1607=$Q$7)),"x","")</f>
        <v/>
      </c>
      <c r="R1607" s="79" t="str">
        <f>IF(AND($N1607=$Q$7,$B1607&lt;'111'!$L$11),"x","")</f>
        <v/>
      </c>
      <c r="S1607" s="79" t="str">
        <f>IF(AND($O1607=$Q$7,$B1607&lt;'111'!$L$11),"x","")</f>
        <v/>
      </c>
      <c r="T1607" s="79" t="str">
        <f>IF(ISERROR(FIND('112'!$M$9,G1607,1)),"",IF((AND(FIND('112'!$M$9,G1607,1)&gt;=1,B1607='112'!$K$9,OR($N1607='112'!$I$6,$O1607='112'!$I$6))),"x",""))</f>
        <v/>
      </c>
      <c r="U1607" s="79" t="str">
        <f>IF(ISERROR(FIND('112'!$M$9,G1607,1)),"",IF((AND(LEFT(G1607,2)=LEFT('112'!$M$9,2),B1607&lt;'112'!$K$9,$N1607='112'!$I$6)),"x",""))</f>
        <v/>
      </c>
      <c r="V1607" s="79" t="str">
        <f>IF(ISERROR(FIND('112'!$M$9,G1607,1)),"",IF((AND(RIGHT(G1607,2)=RIGHT('112'!$M$9,2),B1607&lt;'112'!$K$9,$O1607='112'!$I$6)),"x",""))</f>
        <v/>
      </c>
      <c r="W1607" s="79" t="str">
        <f>IF(AND('341-CT'!$H$9=H1607,OR(LEFT(N1607,3)=$W$7,LEFT(O1607,3)=$W$7)),"x","")</f>
        <v/>
      </c>
      <c r="X1607" s="79" t="str">
        <f>IF(OR(TH!N1607=TH!$X$7,O1607=TH!$X$7),"x","")</f>
        <v/>
      </c>
      <c r="Y1607" s="79" t="str">
        <f>IF(AND(OR(N1607="131",O1607="131"),H1607='131-CT'!$H$9),"x","")</f>
        <v/>
      </c>
      <c r="Z1607" s="79"/>
      <c r="AA1607" s="79" t="str">
        <f>IF(AND(MONTH(E1607)='IN-NX'!$J$5,'IN-NX'!$D$7=D1607),"x","")</f>
        <v/>
      </c>
      <c r="AB1607" s="79" t="str">
        <f>IF(AND(OR(LEFT(TH!N1607,2)="15",LEFT(TH!O1607,2)="15"),LEFT(TH!O1607,3)&lt;&gt;"111",'152-CT'!$J$8=TH!F1607),"x","")</f>
        <v/>
      </c>
      <c r="AC1607" s="79" t="str">
        <f>IF(AND(OR(LEFT(TH!N1607,2)="15",LEFT(TH!O1607,2)="15"),TK!$E$7=TH!F1607),"x","")</f>
        <v/>
      </c>
      <c r="AD1607" s="79" t="str">
        <f>IF(AND(N1607="1521",MONTH(C1607)='BK-NL'!$M$11),"x","")</f>
        <v/>
      </c>
    </row>
    <row r="1608" spans="1:30" ht="16.5" customHeight="1">
      <c r="A1608" s="318" t="str">
        <f>IF(B1608&lt;&gt;"",IF(AND(B1608='IN-TC'!$S$4,OR(TH!N1608="1111",TH!O1608="1111")),TH!D1608,""),"")</f>
        <v/>
      </c>
      <c r="B1608" s="60" t="str">
        <f t="shared" si="209"/>
        <v/>
      </c>
      <c r="C1608" s="989"/>
      <c r="D1608" s="989"/>
      <c r="E1608" s="989"/>
      <c r="F1608" s="990"/>
      <c r="G1608" s="991"/>
      <c r="H1608" s="1141"/>
      <c r="I1608" s="994"/>
      <c r="J1608" s="992"/>
      <c r="K1608" s="994"/>
      <c r="L1608" s="992"/>
      <c r="M1608" s="995"/>
      <c r="N1608" s="996"/>
      <c r="O1608" s="996"/>
      <c r="P1608" s="79" t="str">
        <f>IF(AND('331-CT'!$E$7=TH!H1608,OR(N1608="331",O1608="331")),"x","")</f>
        <v/>
      </c>
      <c r="Q1608" s="79" t="str">
        <f>IF(AND(B1608='111'!$L$11,OR($N1608=$Q$7,$O1608=$Q$7)),"x","")</f>
        <v/>
      </c>
      <c r="R1608" s="79" t="str">
        <f>IF(AND($N1608=$Q$7,$B1608&lt;'111'!$L$11),"x","")</f>
        <v/>
      </c>
      <c r="S1608" s="79" t="str">
        <f>IF(AND($O1608=$Q$7,$B1608&lt;'111'!$L$11),"x","")</f>
        <v/>
      </c>
      <c r="T1608" s="79" t="str">
        <f>IF(ISERROR(FIND('112'!$M$9,G1608,1)),"",IF((AND(FIND('112'!$M$9,G1608,1)&gt;=1,B1608='112'!$K$9,OR($N1608='112'!$I$6,$O1608='112'!$I$6))),"x",""))</f>
        <v/>
      </c>
      <c r="U1608" s="79" t="str">
        <f>IF(ISERROR(FIND('112'!$M$9,G1608,1)),"",IF((AND(LEFT(G1608,2)=LEFT('112'!$M$9,2),B1608&lt;'112'!$K$9,$N1608='112'!$I$6)),"x",""))</f>
        <v/>
      </c>
      <c r="V1608" s="79" t="str">
        <f>IF(ISERROR(FIND('112'!$M$9,G1608,1)),"",IF((AND(RIGHT(G1608,2)=RIGHT('112'!$M$9,2),B1608&lt;'112'!$K$9,$O1608='112'!$I$6)),"x",""))</f>
        <v/>
      </c>
      <c r="W1608" s="79" t="str">
        <f>IF(AND('341-CT'!$H$9=H1608,OR(LEFT(N1608,3)=$W$7,LEFT(O1608,3)=$W$7)),"x","")</f>
        <v/>
      </c>
      <c r="X1608" s="79" t="str">
        <f>IF(OR(TH!N1608=TH!$X$7,O1608=TH!$X$7),"x","")</f>
        <v/>
      </c>
      <c r="Y1608" s="79" t="str">
        <f>IF(AND(OR(N1608="131",O1608="131"),H1608='131-CT'!$H$9),"x","")</f>
        <v/>
      </c>
      <c r="Z1608" s="79"/>
      <c r="AA1608" s="79" t="str">
        <f>IF(AND(MONTH(E1608)='IN-NX'!$J$5,'IN-NX'!$D$7=D1608),"x","")</f>
        <v/>
      </c>
      <c r="AB1608" s="79" t="str">
        <f>IF(AND(OR(LEFT(TH!N1608,2)="15",LEFT(TH!O1608,2)="15"),LEFT(TH!O1608,3)&lt;&gt;"111",'152-CT'!$J$8=TH!F1608),"x","")</f>
        <v/>
      </c>
      <c r="AC1608" s="79" t="str">
        <f>IF(AND(OR(LEFT(TH!N1608,2)="15",LEFT(TH!O1608,2)="15"),TK!$E$7=TH!F1608),"x","")</f>
        <v/>
      </c>
      <c r="AD1608" s="79" t="str">
        <f>IF(AND(N1608="1521",MONTH(C1608)='BK-NL'!$M$11),"x","")</f>
        <v/>
      </c>
    </row>
    <row r="1609" spans="1:30" ht="16.5" customHeight="1">
      <c r="A1609" s="318" t="str">
        <f>IF(B1609&lt;&gt;"",IF(AND(B1609='IN-TC'!$S$4,OR(TH!N1609="1111",TH!O1609="1111")),TH!D1609,""),"")</f>
        <v/>
      </c>
      <c r="B1609" s="60" t="str">
        <f t="shared" si="209"/>
        <v/>
      </c>
      <c r="C1609" s="989"/>
      <c r="D1609" s="989"/>
      <c r="E1609" s="989"/>
      <c r="F1609" s="990"/>
      <c r="G1609" s="991"/>
      <c r="H1609" s="1141"/>
      <c r="I1609" s="994"/>
      <c r="J1609" s="992"/>
      <c r="K1609" s="994"/>
      <c r="L1609" s="992"/>
      <c r="M1609" s="995"/>
      <c r="N1609" s="996"/>
      <c r="O1609" s="996"/>
      <c r="P1609" s="79" t="str">
        <f>IF(AND('331-CT'!$E$7=TH!H1609,OR(N1609="331",O1609="331")),"x","")</f>
        <v/>
      </c>
      <c r="Q1609" s="79" t="str">
        <f>IF(AND(B1609='111'!$L$11,OR($N1609=$Q$7,$O1609=$Q$7)),"x","")</f>
        <v/>
      </c>
      <c r="R1609" s="79" t="str">
        <f>IF(AND($N1609=$Q$7,$B1609&lt;'111'!$L$11),"x","")</f>
        <v/>
      </c>
      <c r="S1609" s="79" t="str">
        <f>IF(AND($O1609=$Q$7,$B1609&lt;'111'!$L$11),"x","")</f>
        <v/>
      </c>
      <c r="T1609" s="79" t="str">
        <f>IF(ISERROR(FIND('112'!$M$9,G1609,1)),"",IF((AND(FIND('112'!$M$9,G1609,1)&gt;=1,B1609='112'!$K$9,OR($N1609='112'!$I$6,$O1609='112'!$I$6))),"x",""))</f>
        <v/>
      </c>
      <c r="U1609" s="79" t="str">
        <f>IF(ISERROR(FIND('112'!$M$9,G1609,1)),"",IF((AND(LEFT(G1609,2)=LEFT('112'!$M$9,2),B1609&lt;'112'!$K$9,$N1609='112'!$I$6)),"x",""))</f>
        <v/>
      </c>
      <c r="V1609" s="79" t="str">
        <f>IF(ISERROR(FIND('112'!$M$9,G1609,1)),"",IF((AND(RIGHT(G1609,2)=RIGHT('112'!$M$9,2),B1609&lt;'112'!$K$9,$O1609='112'!$I$6)),"x",""))</f>
        <v/>
      </c>
      <c r="W1609" s="79" t="str">
        <f>IF(AND('341-CT'!$H$9=H1609,OR(LEFT(N1609,3)=$W$7,LEFT(O1609,3)=$W$7)),"x","")</f>
        <v/>
      </c>
      <c r="X1609" s="79" t="str">
        <f>IF(OR(TH!N1609=TH!$X$7,O1609=TH!$X$7),"x","")</f>
        <v/>
      </c>
      <c r="Y1609" s="79" t="str">
        <f>IF(AND(OR(N1609="131",O1609="131"),H1609='131-CT'!$H$9),"x","")</f>
        <v/>
      </c>
      <c r="Z1609" s="79"/>
      <c r="AA1609" s="79" t="str">
        <f>IF(AND(MONTH(E1609)='IN-NX'!$J$5,'IN-NX'!$D$7=D1609),"x","")</f>
        <v/>
      </c>
      <c r="AB1609" s="79" t="str">
        <f>IF(AND(OR(LEFT(TH!N1609,2)="15",LEFT(TH!O1609,2)="15"),LEFT(TH!O1609,3)&lt;&gt;"111",'152-CT'!$J$8=TH!F1609),"x","")</f>
        <v/>
      </c>
      <c r="AC1609" s="79" t="str">
        <f>IF(AND(OR(LEFT(TH!N1609,2)="15",LEFT(TH!O1609,2)="15"),TK!$E$7=TH!F1609),"x","")</f>
        <v/>
      </c>
      <c r="AD1609" s="79" t="str">
        <f>IF(AND(N1609="1521",MONTH(C1609)='BK-NL'!$M$11),"x","")</f>
        <v/>
      </c>
    </row>
    <row r="1610" spans="1:30" ht="16.5" customHeight="1">
      <c r="A1610" s="318" t="str">
        <f>IF(B1610&lt;&gt;"",IF(AND(B1610='IN-TC'!$S$4,OR(TH!N1610="1111",TH!O1610="1111")),TH!D1610,""),"")</f>
        <v/>
      </c>
      <c r="B1610" s="60" t="str">
        <f t="shared" si="209"/>
        <v/>
      </c>
      <c r="C1610" s="989"/>
      <c r="D1610" s="989"/>
      <c r="E1610" s="989"/>
      <c r="F1610" s="921"/>
      <c r="G1610" s="991"/>
      <c r="H1610" s="1105"/>
      <c r="I1610" s="994"/>
      <c r="J1610" s="992"/>
      <c r="K1610" s="994"/>
      <c r="L1610" s="992"/>
      <c r="M1610" s="995"/>
      <c r="N1610" s="996"/>
      <c r="O1610" s="996"/>
      <c r="P1610" s="79" t="str">
        <f>IF(AND('331-CT'!$E$7=TH!H1610,OR(N1610="331",O1610="331")),"x","")</f>
        <v/>
      </c>
      <c r="Q1610" s="79" t="str">
        <f>IF(AND(B1610='111'!$L$11,OR($N1610=$Q$7,$O1610=$Q$7)),"x","")</f>
        <v/>
      </c>
      <c r="R1610" s="79" t="str">
        <f>IF(AND($N1610=$Q$7,$B1610&lt;'111'!$L$11),"x","")</f>
        <v/>
      </c>
      <c r="S1610" s="79" t="str">
        <f>IF(AND($O1610=$Q$7,$B1610&lt;'111'!$L$11),"x","")</f>
        <v/>
      </c>
      <c r="T1610" s="79" t="str">
        <f>IF(ISERROR(FIND('112'!$M$9,G1610,1)),"",IF((AND(FIND('112'!$M$9,G1610,1)&gt;=1,B1610='112'!$K$9,OR($N1610='112'!$I$6,$O1610='112'!$I$6))),"x",""))</f>
        <v/>
      </c>
      <c r="U1610" s="79" t="str">
        <f>IF(ISERROR(FIND('112'!$M$9,G1610,1)),"",IF((AND(LEFT(G1610,2)=LEFT('112'!$M$9,2),B1610&lt;'112'!$K$9,$N1610='112'!$I$6)),"x",""))</f>
        <v/>
      </c>
      <c r="V1610" s="79" t="str">
        <f>IF(ISERROR(FIND('112'!$M$9,G1610,1)),"",IF((AND(RIGHT(G1610,2)=RIGHT('112'!$M$9,2),B1610&lt;'112'!$K$9,$O1610='112'!$I$6)),"x",""))</f>
        <v/>
      </c>
      <c r="W1610" s="79" t="str">
        <f>IF(AND('341-CT'!$H$9=H1610,OR(LEFT(N1610,3)=$W$7,LEFT(O1610,3)=$W$7)),"x","")</f>
        <v/>
      </c>
      <c r="X1610" s="79" t="str">
        <f>IF(OR(TH!N1610=TH!$X$7,O1610=TH!$X$7),"x","")</f>
        <v/>
      </c>
      <c r="Y1610" s="79" t="str">
        <f>IF(AND(OR(N1610="131",O1610="131"),H1610='131-CT'!$H$9),"x","")</f>
        <v/>
      </c>
      <c r="Z1610" s="79"/>
      <c r="AA1610" s="79" t="str">
        <f>IF(AND(MONTH(E1610)='IN-NX'!$J$5,'IN-NX'!$D$7=D1610),"x","")</f>
        <v/>
      </c>
      <c r="AB1610" s="79" t="str">
        <f>IF(AND(OR(LEFT(TH!N1610,2)="15",LEFT(TH!O1610,2)="15"),LEFT(TH!O1610,3)&lt;&gt;"111",'152-CT'!$J$8=TH!F1610),"x","")</f>
        <v/>
      </c>
      <c r="AC1610" s="79" t="str">
        <f>IF(AND(OR(LEFT(TH!N1610,2)="15",LEFT(TH!O1610,2)="15"),TK!$E$7=TH!F1610),"x","")</f>
        <v/>
      </c>
      <c r="AD1610" s="79" t="str">
        <f>IF(AND(N1610="1521",MONTH(C1610)='BK-NL'!$M$11),"x","")</f>
        <v/>
      </c>
    </row>
    <row r="1611" spans="1:30" ht="16.5" customHeight="1">
      <c r="A1611" s="318" t="str">
        <f>IF(B1611&lt;&gt;"",IF(AND(B1611='IN-TC'!$S$4,OR(TH!N1611="1111",TH!O1611="1111")),TH!D1611,""),"")</f>
        <v/>
      </c>
      <c r="B1611" s="60" t="str">
        <f t="shared" si="209"/>
        <v/>
      </c>
      <c r="C1611" s="989"/>
      <c r="D1611" s="989"/>
      <c r="E1611" s="989"/>
      <c r="F1611" s="921"/>
      <c r="G1611" s="991"/>
      <c r="H1611" s="1105"/>
      <c r="I1611" s="994"/>
      <c r="J1611" s="992"/>
      <c r="K1611" s="994"/>
      <c r="L1611" s="992"/>
      <c r="M1611" s="995"/>
      <c r="N1611" s="996"/>
      <c r="O1611" s="996"/>
      <c r="P1611" s="79" t="str">
        <f>IF(AND('331-CT'!$E$7=TH!H1611,OR(N1611="331",O1611="331")),"x","")</f>
        <v/>
      </c>
      <c r="Q1611" s="79" t="str">
        <f>IF(AND(B1611='111'!$L$11,OR($N1611=$Q$7,$O1611=$Q$7)),"x","")</f>
        <v/>
      </c>
      <c r="R1611" s="79" t="str">
        <f>IF(AND($N1611=$Q$7,$B1611&lt;'111'!$L$11),"x","")</f>
        <v/>
      </c>
      <c r="S1611" s="79" t="str">
        <f>IF(AND($O1611=$Q$7,$B1611&lt;'111'!$L$11),"x","")</f>
        <v/>
      </c>
      <c r="T1611" s="79" t="str">
        <f>IF(ISERROR(FIND('112'!$M$9,G1611,1)),"",IF((AND(FIND('112'!$M$9,G1611,1)&gt;=1,B1611='112'!$K$9,OR($N1611='112'!$I$6,$O1611='112'!$I$6))),"x",""))</f>
        <v/>
      </c>
      <c r="U1611" s="79" t="str">
        <f>IF(ISERROR(FIND('112'!$M$9,G1611,1)),"",IF((AND(LEFT(G1611,2)=LEFT('112'!$M$9,2),B1611&lt;'112'!$K$9,$N1611='112'!$I$6)),"x",""))</f>
        <v/>
      </c>
      <c r="V1611" s="79" t="str">
        <f>IF(ISERROR(FIND('112'!$M$9,G1611,1)),"",IF((AND(RIGHT(G1611,2)=RIGHT('112'!$M$9,2),B1611&lt;'112'!$K$9,$O1611='112'!$I$6)),"x",""))</f>
        <v/>
      </c>
      <c r="W1611" s="79" t="str">
        <f>IF(AND('341-CT'!$H$9=H1611,OR(LEFT(N1611,3)=$W$7,LEFT(O1611,3)=$W$7)),"x","")</f>
        <v/>
      </c>
      <c r="X1611" s="79" t="str">
        <f>IF(OR(TH!N1611=TH!$X$7,O1611=TH!$X$7),"x","")</f>
        <v/>
      </c>
      <c r="Y1611" s="79" t="str">
        <f>IF(AND(OR(N1611="131",O1611="131"),H1611='131-CT'!$H$9),"x","")</f>
        <v/>
      </c>
      <c r="Z1611" s="79"/>
      <c r="AA1611" s="79" t="str">
        <f>IF(AND(MONTH(E1611)='IN-NX'!$J$5,'IN-NX'!$D$7=D1611),"x","")</f>
        <v/>
      </c>
      <c r="AB1611" s="79" t="str">
        <f>IF(AND(OR(LEFT(TH!N1611,2)="15",LEFT(TH!O1611,2)="15"),LEFT(TH!O1611,3)&lt;&gt;"111",'152-CT'!$J$8=TH!F1611),"x","")</f>
        <v/>
      </c>
      <c r="AC1611" s="79" t="str">
        <f>IF(AND(OR(LEFT(TH!N1611,2)="15",LEFT(TH!O1611,2)="15"),TK!$E$7=TH!F1611),"x","")</f>
        <v/>
      </c>
      <c r="AD1611" s="79" t="str">
        <f>IF(AND(N1611="1521",MONTH(C1611)='BK-NL'!$M$11),"x","")</f>
        <v/>
      </c>
    </row>
    <row r="1612" spans="1:30" ht="16.5" customHeight="1">
      <c r="A1612" s="318" t="str">
        <f>IF(B1612&lt;&gt;"",IF(AND(B1612='IN-TC'!$S$4,OR(TH!N1612="1111",TH!O1612="1111")),TH!D1612,""),"")</f>
        <v/>
      </c>
      <c r="B1612" s="60" t="str">
        <f t="shared" si="209"/>
        <v/>
      </c>
      <c r="C1612" s="989"/>
      <c r="D1612" s="989"/>
      <c r="E1612" s="989"/>
      <c r="F1612" s="921"/>
      <c r="G1612" s="991"/>
      <c r="H1612" s="1105"/>
      <c r="I1612" s="994"/>
      <c r="J1612" s="992"/>
      <c r="K1612" s="994"/>
      <c r="L1612" s="992"/>
      <c r="M1612" s="995"/>
      <c r="N1612" s="996"/>
      <c r="O1612" s="996"/>
      <c r="P1612" s="79" t="str">
        <f>IF(AND('331-CT'!$E$7=TH!H1612,OR(N1612="331",O1612="331")),"x","")</f>
        <v/>
      </c>
      <c r="Q1612" s="79" t="str">
        <f>IF(AND(B1612='111'!$L$11,OR($N1612=$Q$7,$O1612=$Q$7)),"x","")</f>
        <v/>
      </c>
      <c r="R1612" s="79" t="str">
        <f>IF(AND($N1612=$Q$7,$B1612&lt;'111'!$L$11),"x","")</f>
        <v/>
      </c>
      <c r="S1612" s="79" t="str">
        <f>IF(AND($O1612=$Q$7,$B1612&lt;'111'!$L$11),"x","")</f>
        <v/>
      </c>
      <c r="T1612" s="79" t="str">
        <f>IF(ISERROR(FIND('112'!$M$9,G1612,1)),"",IF((AND(FIND('112'!$M$9,G1612,1)&gt;=1,B1612='112'!$K$9,OR($N1612='112'!$I$6,$O1612='112'!$I$6))),"x",""))</f>
        <v/>
      </c>
      <c r="U1612" s="79" t="str">
        <f>IF(ISERROR(FIND('112'!$M$9,G1612,1)),"",IF((AND(LEFT(G1612,2)=LEFT('112'!$M$9,2),B1612&lt;'112'!$K$9,$N1612='112'!$I$6)),"x",""))</f>
        <v/>
      </c>
      <c r="V1612" s="79" t="str">
        <f>IF(ISERROR(FIND('112'!$M$9,G1612,1)),"",IF((AND(RIGHT(G1612,2)=RIGHT('112'!$M$9,2),B1612&lt;'112'!$K$9,$O1612='112'!$I$6)),"x",""))</f>
        <v/>
      </c>
      <c r="W1612" s="79" t="str">
        <f>IF(AND('341-CT'!$H$9=H1612,OR(LEFT(N1612,3)=$W$7,LEFT(O1612,3)=$W$7)),"x","")</f>
        <v/>
      </c>
      <c r="X1612" s="79" t="str">
        <f>IF(OR(TH!N1612=TH!$X$7,O1612=TH!$X$7),"x","")</f>
        <v/>
      </c>
      <c r="Y1612" s="79" t="str">
        <f>IF(AND(OR(N1612="131",O1612="131"),H1612='131-CT'!$H$9),"x","")</f>
        <v/>
      </c>
      <c r="Z1612" s="79"/>
      <c r="AA1612" s="79" t="str">
        <f>IF(AND(MONTH(E1612)='IN-NX'!$J$5,'IN-NX'!$D$7=D1612),"x","")</f>
        <v/>
      </c>
      <c r="AB1612" s="79" t="str">
        <f>IF(AND(OR(LEFT(TH!N1612,2)="15",LEFT(TH!O1612,2)="15"),LEFT(TH!O1612,3)&lt;&gt;"111",'152-CT'!$J$8=TH!F1612),"x","")</f>
        <v/>
      </c>
      <c r="AC1612" s="79" t="str">
        <f>IF(AND(OR(LEFT(TH!N1612,2)="15",LEFT(TH!O1612,2)="15"),TK!$E$7=TH!F1612),"x","")</f>
        <v/>
      </c>
      <c r="AD1612" s="79" t="str">
        <f>IF(AND(N1612="1521",MONTH(C1612)='BK-NL'!$M$11),"x","")</f>
        <v/>
      </c>
    </row>
    <row r="1613" spans="1:30" ht="16.5" customHeight="1">
      <c r="A1613" s="318" t="str">
        <f>IF(B1613&lt;&gt;"",IF(AND(B1613='IN-TC'!$S$4,OR(TH!N1613="1111",TH!O1613="1111")),TH!D1613,""),"")</f>
        <v/>
      </c>
      <c r="B1613" s="60" t="str">
        <f t="shared" si="209"/>
        <v/>
      </c>
      <c r="C1613" s="989"/>
      <c r="D1613" s="989"/>
      <c r="E1613" s="989"/>
      <c r="F1613" s="921"/>
      <c r="G1613" s="991"/>
      <c r="H1613" s="1105"/>
      <c r="I1613" s="994"/>
      <c r="J1613" s="992"/>
      <c r="K1613" s="994"/>
      <c r="L1613" s="992"/>
      <c r="M1613" s="995"/>
      <c r="N1613" s="996"/>
      <c r="O1613" s="996"/>
      <c r="P1613" s="79" t="str">
        <f>IF(AND('331-CT'!$E$7=TH!H1613,OR(N1613="331",O1613="331")),"x","")</f>
        <v/>
      </c>
      <c r="Q1613" s="79" t="str">
        <f>IF(AND(B1613='111'!$L$11,OR($N1613=$Q$7,$O1613=$Q$7)),"x","")</f>
        <v/>
      </c>
      <c r="R1613" s="79" t="str">
        <f>IF(AND($N1613=$Q$7,$B1613&lt;'111'!$L$11),"x","")</f>
        <v/>
      </c>
      <c r="S1613" s="79" t="str">
        <f>IF(AND($O1613=$Q$7,$B1613&lt;'111'!$L$11),"x","")</f>
        <v/>
      </c>
      <c r="T1613" s="79" t="str">
        <f>IF(ISERROR(FIND('112'!$M$9,G1613,1)),"",IF((AND(FIND('112'!$M$9,G1613,1)&gt;=1,B1613='112'!$K$9,OR($N1613='112'!$I$6,$O1613='112'!$I$6))),"x",""))</f>
        <v/>
      </c>
      <c r="U1613" s="79" t="str">
        <f>IF(ISERROR(FIND('112'!$M$9,G1613,1)),"",IF((AND(LEFT(G1613,2)=LEFT('112'!$M$9,2),B1613&lt;'112'!$K$9,$N1613='112'!$I$6)),"x",""))</f>
        <v/>
      </c>
      <c r="V1613" s="79" t="str">
        <f>IF(ISERROR(FIND('112'!$M$9,G1613,1)),"",IF((AND(RIGHT(G1613,2)=RIGHT('112'!$M$9,2),B1613&lt;'112'!$K$9,$O1613='112'!$I$6)),"x",""))</f>
        <v/>
      </c>
      <c r="W1613" s="79" t="str">
        <f>IF(AND('341-CT'!$H$9=H1613,OR(LEFT(N1613,3)=$W$7,LEFT(O1613,3)=$W$7)),"x","")</f>
        <v/>
      </c>
      <c r="X1613" s="79" t="str">
        <f>IF(OR(TH!N1613=TH!$X$7,O1613=TH!$X$7),"x","")</f>
        <v/>
      </c>
      <c r="Y1613" s="79" t="str">
        <f>IF(AND(OR(N1613="131",O1613="131"),H1613='131-CT'!$H$9),"x","")</f>
        <v/>
      </c>
      <c r="Z1613" s="79"/>
      <c r="AA1613" s="79" t="str">
        <f>IF(AND(MONTH(E1613)='IN-NX'!$J$5,'IN-NX'!$D$7=D1613),"x","")</f>
        <v/>
      </c>
      <c r="AB1613" s="79" t="str">
        <f>IF(AND(OR(LEFT(TH!N1613,2)="15",LEFT(TH!O1613,2)="15"),LEFT(TH!O1613,3)&lt;&gt;"111",'152-CT'!$J$8=TH!F1613),"x","")</f>
        <v/>
      </c>
      <c r="AC1613" s="79" t="str">
        <f>IF(AND(OR(LEFT(TH!N1613,2)="15",LEFT(TH!O1613,2)="15"),TK!$E$7=TH!F1613),"x","")</f>
        <v/>
      </c>
      <c r="AD1613" s="79" t="str">
        <f>IF(AND(N1613="1521",MONTH(C1613)='BK-NL'!$M$11),"x","")</f>
        <v/>
      </c>
    </row>
    <row r="1614" spans="1:30" ht="16.5" customHeight="1">
      <c r="A1614" s="318" t="str">
        <f>IF(B1614&lt;&gt;"",IF(AND(B1614='IN-TC'!$S$4,OR(TH!N1614="1111",TH!O1614="1111")),TH!D1614,""),"")</f>
        <v/>
      </c>
      <c r="B1614" s="60" t="str">
        <f t="shared" si="209"/>
        <v/>
      </c>
      <c r="C1614" s="989"/>
      <c r="D1614" s="989"/>
      <c r="E1614" s="989"/>
      <c r="F1614" s="921"/>
      <c r="G1614" s="991"/>
      <c r="H1614" s="1105"/>
      <c r="I1614" s="994"/>
      <c r="J1614" s="992"/>
      <c r="K1614" s="994"/>
      <c r="L1614" s="992"/>
      <c r="M1614" s="995"/>
      <c r="N1614" s="996"/>
      <c r="O1614" s="996"/>
      <c r="P1614" s="79" t="str">
        <f>IF(AND('331-CT'!$E$7=TH!H1614,OR(N1614="331",O1614="331")),"x","")</f>
        <v/>
      </c>
      <c r="Q1614" s="79" t="str">
        <f>IF(AND(B1614='111'!$L$11,OR($N1614=$Q$7,$O1614=$Q$7)),"x","")</f>
        <v/>
      </c>
      <c r="R1614" s="79" t="str">
        <f>IF(AND($N1614=$Q$7,$B1614&lt;'111'!$L$11),"x","")</f>
        <v/>
      </c>
      <c r="S1614" s="79" t="str">
        <f>IF(AND($O1614=$Q$7,$B1614&lt;'111'!$L$11),"x","")</f>
        <v/>
      </c>
      <c r="T1614" s="79" t="str">
        <f>IF(ISERROR(FIND('112'!$M$9,G1614,1)),"",IF((AND(FIND('112'!$M$9,G1614,1)&gt;=1,B1614='112'!$K$9,OR($N1614='112'!$I$6,$O1614='112'!$I$6))),"x",""))</f>
        <v/>
      </c>
      <c r="U1614" s="79" t="str">
        <f>IF(ISERROR(FIND('112'!$M$9,G1614,1)),"",IF((AND(LEFT(G1614,2)=LEFT('112'!$M$9,2),B1614&lt;'112'!$K$9,$N1614='112'!$I$6)),"x",""))</f>
        <v/>
      </c>
      <c r="V1614" s="79" t="str">
        <f>IF(ISERROR(FIND('112'!$M$9,G1614,1)),"",IF((AND(RIGHT(G1614,2)=RIGHT('112'!$M$9,2),B1614&lt;'112'!$K$9,$O1614='112'!$I$6)),"x",""))</f>
        <v/>
      </c>
      <c r="W1614" s="79" t="str">
        <f>IF(AND('341-CT'!$H$9=H1614,OR(LEFT(N1614,3)=$W$7,LEFT(O1614,3)=$W$7)),"x","")</f>
        <v/>
      </c>
      <c r="X1614" s="79" t="str">
        <f>IF(OR(TH!N1614=TH!$X$7,O1614=TH!$X$7),"x","")</f>
        <v/>
      </c>
      <c r="Y1614" s="79" t="str">
        <f>IF(AND(OR(N1614="131",O1614="131"),H1614='131-CT'!$H$9),"x","")</f>
        <v/>
      </c>
      <c r="Z1614" s="79"/>
      <c r="AA1614" s="79" t="str">
        <f>IF(AND(MONTH(E1614)='IN-NX'!$J$5,'IN-NX'!$D$7=D1614),"x","")</f>
        <v/>
      </c>
      <c r="AB1614" s="79" t="str">
        <f>IF(AND(OR(LEFT(TH!N1614,2)="15",LEFT(TH!O1614,2)="15"),LEFT(TH!O1614,3)&lt;&gt;"111",'152-CT'!$J$8=TH!F1614),"x","")</f>
        <v/>
      </c>
      <c r="AC1614" s="79" t="str">
        <f>IF(AND(OR(LEFT(TH!N1614,2)="15",LEFT(TH!O1614,2)="15"),TK!$E$7=TH!F1614),"x","")</f>
        <v/>
      </c>
      <c r="AD1614" s="79" t="str">
        <f>IF(AND(N1614="1521",MONTH(C1614)='BK-NL'!$M$11),"x","")</f>
        <v/>
      </c>
    </row>
    <row r="1615" spans="1:30" ht="16.5" customHeight="1">
      <c r="A1615" s="318" t="str">
        <f>IF(B1615&lt;&gt;"",IF(AND(B1615='IN-TC'!$S$4,OR(TH!N1615="1111",TH!O1615="1111")),TH!D1615,""),"")</f>
        <v/>
      </c>
      <c r="B1615" s="60" t="str">
        <f t="shared" si="209"/>
        <v/>
      </c>
      <c r="C1615" s="989"/>
      <c r="D1615" s="989"/>
      <c r="E1615" s="989"/>
      <c r="F1615" s="921"/>
      <c r="G1615" s="991"/>
      <c r="H1615" s="1105"/>
      <c r="I1615" s="994"/>
      <c r="J1615" s="992"/>
      <c r="K1615" s="994"/>
      <c r="L1615" s="992"/>
      <c r="M1615" s="995"/>
      <c r="N1615" s="996"/>
      <c r="O1615" s="996"/>
      <c r="P1615" s="79" t="str">
        <f>IF(AND('331-CT'!$E$7=TH!H1615,OR(N1615="331",O1615="331")),"x","")</f>
        <v/>
      </c>
      <c r="Q1615" s="79" t="str">
        <f>IF(AND(B1615='111'!$L$11,OR($N1615=$Q$7,$O1615=$Q$7)),"x","")</f>
        <v/>
      </c>
      <c r="R1615" s="79" t="str">
        <f>IF(AND($N1615=$Q$7,$B1615&lt;'111'!$L$11),"x","")</f>
        <v/>
      </c>
      <c r="S1615" s="79" t="str">
        <f>IF(AND($O1615=$Q$7,$B1615&lt;'111'!$L$11),"x","")</f>
        <v/>
      </c>
      <c r="T1615" s="79" t="str">
        <f>IF(ISERROR(FIND('112'!$M$9,G1615,1)),"",IF((AND(FIND('112'!$M$9,G1615,1)&gt;=1,B1615='112'!$K$9,OR($N1615='112'!$I$6,$O1615='112'!$I$6))),"x",""))</f>
        <v/>
      </c>
      <c r="U1615" s="79" t="str">
        <f>IF(ISERROR(FIND('112'!$M$9,G1615,1)),"",IF((AND(LEFT(G1615,2)=LEFT('112'!$M$9,2),B1615&lt;'112'!$K$9,$N1615='112'!$I$6)),"x",""))</f>
        <v/>
      </c>
      <c r="V1615" s="79" t="str">
        <f>IF(ISERROR(FIND('112'!$M$9,G1615,1)),"",IF((AND(RIGHT(G1615,2)=RIGHT('112'!$M$9,2),B1615&lt;'112'!$K$9,$O1615='112'!$I$6)),"x",""))</f>
        <v/>
      </c>
      <c r="W1615" s="79" t="str">
        <f>IF(AND('341-CT'!$H$9=H1615,OR(LEFT(N1615,3)=$W$7,LEFT(O1615,3)=$W$7)),"x","")</f>
        <v/>
      </c>
      <c r="X1615" s="79" t="str">
        <f>IF(OR(TH!N1615=TH!$X$7,O1615=TH!$X$7),"x","")</f>
        <v/>
      </c>
      <c r="Y1615" s="79" t="str">
        <f>IF(AND(OR(N1615="131",O1615="131"),H1615='131-CT'!$H$9),"x","")</f>
        <v/>
      </c>
      <c r="Z1615" s="79"/>
      <c r="AA1615" s="79" t="str">
        <f>IF(AND(MONTH(E1615)='IN-NX'!$J$5,'IN-NX'!$D$7=D1615),"x","")</f>
        <v/>
      </c>
      <c r="AB1615" s="79" t="str">
        <f>IF(AND(OR(LEFT(TH!N1615,2)="15",LEFT(TH!O1615,2)="15"),LEFT(TH!O1615,3)&lt;&gt;"111",'152-CT'!$J$8=TH!F1615),"x","")</f>
        <v/>
      </c>
      <c r="AC1615" s="79" t="str">
        <f>IF(AND(OR(LEFT(TH!N1615,2)="15",LEFT(TH!O1615,2)="15"),TK!$E$7=TH!F1615),"x","")</f>
        <v/>
      </c>
      <c r="AD1615" s="79" t="str">
        <f>IF(AND(N1615="1521",MONTH(C1615)='BK-NL'!$M$11),"x","")</f>
        <v/>
      </c>
    </row>
    <row r="1616" spans="1:30" ht="16.5" customHeight="1">
      <c r="A1616" s="318" t="str">
        <f>IF(B1616&lt;&gt;"",IF(AND(B1616='IN-TC'!$S$4,OR(TH!N1616="1111",TH!O1616="1111")),TH!D1616,""),"")</f>
        <v/>
      </c>
      <c r="B1616" s="60" t="str">
        <f t="shared" si="209"/>
        <v/>
      </c>
      <c r="C1616" s="989"/>
      <c r="D1616" s="989"/>
      <c r="E1616" s="989"/>
      <c r="F1616" s="990"/>
      <c r="G1616" s="991"/>
      <c r="H1616" s="1011"/>
      <c r="I1616" s="994"/>
      <c r="J1616" s="992"/>
      <c r="K1616" s="994"/>
      <c r="L1616" s="992"/>
      <c r="M1616" s="995"/>
      <c r="N1616" s="996"/>
      <c r="O1616" s="996"/>
      <c r="P1616" s="79" t="str">
        <f>IF(AND('331-CT'!$E$7=TH!H1616,OR(N1616="331",O1616="331")),"x","")</f>
        <v/>
      </c>
      <c r="Q1616" s="79" t="str">
        <f>IF(AND(B1616='111'!$L$11,OR($N1616=$Q$7,$O1616=$Q$7)),"x","")</f>
        <v/>
      </c>
      <c r="R1616" s="79" t="str">
        <f>IF(AND($N1616=$Q$7,$B1616&lt;'111'!$L$11),"x","")</f>
        <v/>
      </c>
      <c r="S1616" s="79" t="str">
        <f>IF(AND($O1616=$Q$7,$B1616&lt;'111'!$L$11),"x","")</f>
        <v/>
      </c>
      <c r="T1616" s="79" t="str">
        <f>IF(ISERROR(FIND('112'!$M$9,G1616,1)),"",IF((AND(FIND('112'!$M$9,G1616,1)&gt;=1,B1616='112'!$K$9,OR($N1616='112'!$I$6,$O1616='112'!$I$6))),"x",""))</f>
        <v/>
      </c>
      <c r="U1616" s="79" t="str">
        <f>IF(ISERROR(FIND('112'!$M$9,G1616,1)),"",IF((AND(LEFT(G1616,2)=LEFT('112'!$M$9,2),B1616&lt;'112'!$K$9,$N1616='112'!$I$6)),"x",""))</f>
        <v/>
      </c>
      <c r="V1616" s="79" t="str">
        <f>IF(ISERROR(FIND('112'!$M$9,G1616,1)),"",IF((AND(RIGHT(G1616,2)=RIGHT('112'!$M$9,2),B1616&lt;'112'!$K$9,$O1616='112'!$I$6)),"x",""))</f>
        <v/>
      </c>
      <c r="W1616" s="79" t="str">
        <f>IF(AND('341-CT'!$H$9=H1616,OR(LEFT(N1616,3)=$W$7,LEFT(O1616,3)=$W$7)),"x","")</f>
        <v/>
      </c>
      <c r="X1616" s="79" t="str">
        <f>IF(OR(TH!N1616=TH!$X$7,O1616=TH!$X$7),"x","")</f>
        <v/>
      </c>
      <c r="Y1616" s="79" t="str">
        <f>IF(AND(OR(N1616="131",O1616="131"),H1616='131-CT'!$H$9),"x","")</f>
        <v/>
      </c>
      <c r="Z1616" s="79"/>
      <c r="AA1616" s="79" t="str">
        <f>IF(AND(MONTH(E1616)='IN-NX'!$J$5,'IN-NX'!$D$7=D1616),"x","")</f>
        <v/>
      </c>
      <c r="AB1616" s="79" t="str">
        <f>IF(AND(OR(LEFT(TH!N1616,2)="15",LEFT(TH!O1616,2)="15"),LEFT(TH!O1616,3)&lt;&gt;"111",'152-CT'!$J$8=TH!F1616),"x","")</f>
        <v/>
      </c>
      <c r="AC1616" s="79" t="str">
        <f>IF(AND(OR(LEFT(TH!N1616,2)="15",LEFT(TH!O1616,2)="15"),TK!$E$7=TH!F1616),"x","")</f>
        <v/>
      </c>
      <c r="AD1616" s="79" t="str">
        <f>IF(AND(N1616="1521",MONTH(C1616)='BK-NL'!$M$11),"x","")</f>
        <v/>
      </c>
    </row>
    <row r="1617" spans="1:30" ht="16.5" customHeight="1">
      <c r="A1617" s="318" t="str">
        <f>IF(B1617&lt;&gt;"",IF(AND(B1617='IN-TC'!$S$4,OR(TH!N1617="1111",TH!O1617="1111")),TH!D1617,""),"")</f>
        <v/>
      </c>
      <c r="B1617" s="60" t="str">
        <f t="shared" si="209"/>
        <v/>
      </c>
      <c r="C1617" s="989"/>
      <c r="D1617" s="989"/>
      <c r="E1617" s="989"/>
      <c r="F1617" s="990"/>
      <c r="G1617" s="991"/>
      <c r="H1617" s="1011"/>
      <c r="I1617" s="994"/>
      <c r="J1617" s="992"/>
      <c r="K1617" s="994"/>
      <c r="L1617" s="992"/>
      <c r="M1617" s="995"/>
      <c r="N1617" s="996"/>
      <c r="O1617" s="996"/>
      <c r="P1617" s="79" t="str">
        <f>IF(AND('331-CT'!$E$7=TH!H1617,OR(N1617="331",O1617="331")),"x","")</f>
        <v/>
      </c>
      <c r="Q1617" s="79" t="str">
        <f>IF(AND(B1617='111'!$L$11,OR($N1617=$Q$7,$O1617=$Q$7)),"x","")</f>
        <v/>
      </c>
      <c r="R1617" s="79" t="str">
        <f>IF(AND($N1617=$Q$7,$B1617&lt;'111'!$L$11),"x","")</f>
        <v/>
      </c>
      <c r="S1617" s="79" t="str">
        <f>IF(AND($O1617=$Q$7,$B1617&lt;'111'!$L$11),"x","")</f>
        <v/>
      </c>
      <c r="T1617" s="79" t="str">
        <f>IF(ISERROR(FIND('112'!$M$9,G1617,1)),"",IF((AND(FIND('112'!$M$9,G1617,1)&gt;=1,B1617='112'!$K$9,OR($N1617='112'!$I$6,$O1617='112'!$I$6))),"x",""))</f>
        <v/>
      </c>
      <c r="U1617" s="79" t="str">
        <f>IF(ISERROR(FIND('112'!$M$9,G1617,1)),"",IF((AND(LEFT(G1617,2)=LEFT('112'!$M$9,2),B1617&lt;'112'!$K$9,$N1617='112'!$I$6)),"x",""))</f>
        <v/>
      </c>
      <c r="V1617" s="79" t="str">
        <f>IF(ISERROR(FIND('112'!$M$9,G1617,1)),"",IF((AND(RIGHT(G1617,2)=RIGHT('112'!$M$9,2),B1617&lt;'112'!$K$9,$O1617='112'!$I$6)),"x",""))</f>
        <v/>
      </c>
      <c r="W1617" s="79" t="str">
        <f>IF(AND('341-CT'!$H$9=H1617,OR(LEFT(N1617,3)=$W$7,LEFT(O1617,3)=$W$7)),"x","")</f>
        <v/>
      </c>
      <c r="X1617" s="79" t="str">
        <f>IF(OR(TH!N1617=TH!$X$7,O1617=TH!$X$7),"x","")</f>
        <v/>
      </c>
      <c r="Y1617" s="79" t="str">
        <f>IF(AND(OR(N1617="131",O1617="131"),H1617='131-CT'!$H$9),"x","")</f>
        <v/>
      </c>
      <c r="Z1617" s="79"/>
      <c r="AA1617" s="79" t="str">
        <f>IF(AND(MONTH(E1617)='IN-NX'!$J$5,'IN-NX'!$D$7=D1617),"x","")</f>
        <v/>
      </c>
      <c r="AB1617" s="79" t="str">
        <f>IF(AND(OR(LEFT(TH!N1617,2)="15",LEFT(TH!O1617,2)="15"),LEFT(TH!O1617,3)&lt;&gt;"111",'152-CT'!$J$8=TH!F1617),"x","")</f>
        <v/>
      </c>
      <c r="AC1617" s="79" t="str">
        <f>IF(AND(OR(LEFT(TH!N1617,2)="15",LEFT(TH!O1617,2)="15"),TK!$E$7=TH!F1617),"x","")</f>
        <v/>
      </c>
      <c r="AD1617" s="79" t="str">
        <f>IF(AND(N1617="1521",MONTH(C1617)='BK-NL'!$M$11),"x","")</f>
        <v/>
      </c>
    </row>
    <row r="1618" spans="1:30" ht="16.5" customHeight="1">
      <c r="A1618" s="318" t="str">
        <f>IF(B1618&lt;&gt;"",IF(AND(B1618='IN-TC'!$S$4,OR(TH!N1618="1111",TH!O1618="1111")),TH!D1618,""),"")</f>
        <v/>
      </c>
      <c r="B1618" s="60" t="str">
        <f t="shared" si="209"/>
        <v/>
      </c>
      <c r="C1618" s="989"/>
      <c r="D1618" s="989"/>
      <c r="E1618" s="989"/>
      <c r="F1618" s="921"/>
      <c r="G1618" s="991"/>
      <c r="H1618" s="1105"/>
      <c r="I1618" s="994"/>
      <c r="J1618" s="992"/>
      <c r="K1618" s="994"/>
      <c r="L1618" s="992"/>
      <c r="M1618" s="995"/>
      <c r="N1618" s="996"/>
      <c r="O1618" s="996"/>
      <c r="P1618" s="79" t="str">
        <f>IF(AND('331-CT'!$E$7=TH!H1618,OR(N1618="331",O1618="331")),"x","")</f>
        <v/>
      </c>
      <c r="Q1618" s="79" t="str">
        <f>IF(AND(B1618='111'!$L$11,OR($N1618=$Q$7,$O1618=$Q$7)),"x","")</f>
        <v/>
      </c>
      <c r="R1618" s="79" t="str">
        <f>IF(AND($N1618=$Q$7,$B1618&lt;'111'!$L$11),"x","")</f>
        <v/>
      </c>
      <c r="S1618" s="79" t="str">
        <f>IF(AND($O1618=$Q$7,$B1618&lt;'111'!$L$11),"x","")</f>
        <v/>
      </c>
      <c r="T1618" s="79" t="str">
        <f>IF(ISERROR(FIND('112'!$M$9,G1618,1)),"",IF((AND(FIND('112'!$M$9,G1618,1)&gt;=1,B1618='112'!$K$9,OR($N1618='112'!$I$6,$O1618='112'!$I$6))),"x",""))</f>
        <v/>
      </c>
      <c r="U1618" s="79" t="str">
        <f>IF(ISERROR(FIND('112'!$M$9,G1618,1)),"",IF((AND(LEFT(G1618,2)=LEFT('112'!$M$9,2),B1618&lt;'112'!$K$9,$N1618='112'!$I$6)),"x",""))</f>
        <v/>
      </c>
      <c r="V1618" s="79" t="str">
        <f>IF(ISERROR(FIND('112'!$M$9,G1618,1)),"",IF((AND(RIGHT(G1618,2)=RIGHT('112'!$M$9,2),B1618&lt;'112'!$K$9,$O1618='112'!$I$6)),"x",""))</f>
        <v/>
      </c>
      <c r="W1618" s="79" t="str">
        <f>IF(AND('341-CT'!$H$9=H1618,OR(LEFT(N1618,3)=$W$7,LEFT(O1618,3)=$W$7)),"x","")</f>
        <v/>
      </c>
      <c r="X1618" s="79" t="str">
        <f>IF(OR(TH!N1618=TH!$X$7,O1618=TH!$X$7),"x","")</f>
        <v/>
      </c>
      <c r="Y1618" s="79" t="str">
        <f>IF(AND(OR(N1618="131",O1618="131"),H1618='131-CT'!$H$9),"x","")</f>
        <v/>
      </c>
      <c r="Z1618" s="79"/>
      <c r="AA1618" s="79" t="str">
        <f>IF(AND(MONTH(E1618)='IN-NX'!$J$5,'IN-NX'!$D$7=D1618),"x","")</f>
        <v/>
      </c>
      <c r="AB1618" s="79" t="str">
        <f>IF(AND(OR(LEFT(TH!N1618,2)="15",LEFT(TH!O1618,2)="15"),LEFT(TH!O1618,3)&lt;&gt;"111",'152-CT'!$J$8=TH!F1618),"x","")</f>
        <v/>
      </c>
      <c r="AC1618" s="79" t="str">
        <f>IF(AND(OR(LEFT(TH!N1618,2)="15",LEFT(TH!O1618,2)="15"),TK!$E$7=TH!F1618),"x","")</f>
        <v/>
      </c>
      <c r="AD1618" s="79" t="str">
        <f>IF(AND(N1618="1521",MONTH(C1618)='BK-NL'!$M$11),"x","")</f>
        <v/>
      </c>
    </row>
    <row r="1619" spans="1:30" ht="16.5" customHeight="1">
      <c r="A1619" s="318" t="str">
        <f>IF(B1619&lt;&gt;"",IF(AND(B1619='IN-TC'!$S$4,OR(TH!N1619="1111",TH!O1619="1111")),TH!D1619,""),"")</f>
        <v/>
      </c>
      <c r="B1619" s="60" t="str">
        <f t="shared" si="209"/>
        <v/>
      </c>
      <c r="C1619" s="989"/>
      <c r="D1619" s="989"/>
      <c r="E1619" s="989"/>
      <c r="F1619" s="921"/>
      <c r="G1619" s="991"/>
      <c r="H1619" s="1105"/>
      <c r="I1619" s="994"/>
      <c r="J1619" s="992"/>
      <c r="K1619" s="994"/>
      <c r="L1619" s="992"/>
      <c r="M1619" s="995"/>
      <c r="N1619" s="996"/>
      <c r="O1619" s="996"/>
      <c r="P1619" s="79" t="str">
        <f>IF(AND('331-CT'!$E$7=TH!H1619,OR(N1619="331",O1619="331")),"x","")</f>
        <v/>
      </c>
      <c r="Q1619" s="79" t="str">
        <f>IF(AND(B1619='111'!$L$11,OR($N1619=$Q$7,$O1619=$Q$7)),"x","")</f>
        <v/>
      </c>
      <c r="R1619" s="79" t="str">
        <f>IF(AND($N1619=$Q$7,$B1619&lt;'111'!$L$11),"x","")</f>
        <v/>
      </c>
      <c r="S1619" s="79" t="str">
        <f>IF(AND($O1619=$Q$7,$B1619&lt;'111'!$L$11),"x","")</f>
        <v/>
      </c>
      <c r="T1619" s="79" t="str">
        <f>IF(ISERROR(FIND('112'!$M$9,G1619,1)),"",IF((AND(FIND('112'!$M$9,G1619,1)&gt;=1,B1619='112'!$K$9,OR($N1619='112'!$I$6,$O1619='112'!$I$6))),"x",""))</f>
        <v/>
      </c>
      <c r="U1619" s="79" t="str">
        <f>IF(ISERROR(FIND('112'!$M$9,G1619,1)),"",IF((AND(LEFT(G1619,2)=LEFT('112'!$M$9,2),B1619&lt;'112'!$K$9,$N1619='112'!$I$6)),"x",""))</f>
        <v/>
      </c>
      <c r="V1619" s="79" t="str">
        <f>IF(ISERROR(FIND('112'!$M$9,G1619,1)),"",IF((AND(RIGHT(G1619,2)=RIGHT('112'!$M$9,2),B1619&lt;'112'!$K$9,$O1619='112'!$I$6)),"x",""))</f>
        <v/>
      </c>
      <c r="W1619" s="79" t="str">
        <f>IF(AND('341-CT'!$H$9=H1619,OR(LEFT(N1619,3)=$W$7,LEFT(O1619,3)=$W$7)),"x","")</f>
        <v/>
      </c>
      <c r="X1619" s="79" t="str">
        <f>IF(OR(TH!N1619=TH!$X$7,O1619=TH!$X$7),"x","")</f>
        <v/>
      </c>
      <c r="Y1619" s="79" t="str">
        <f>IF(AND(OR(N1619="131",O1619="131"),H1619='131-CT'!$H$9),"x","")</f>
        <v/>
      </c>
      <c r="Z1619" s="79"/>
      <c r="AA1619" s="79" t="str">
        <f>IF(AND(MONTH(E1619)='IN-NX'!$J$5,'IN-NX'!$D$7=D1619),"x","")</f>
        <v/>
      </c>
      <c r="AB1619" s="79" t="str">
        <f>IF(AND(OR(LEFT(TH!N1619,2)="15",LEFT(TH!O1619,2)="15"),LEFT(TH!O1619,3)&lt;&gt;"111",'152-CT'!$J$8=TH!F1619),"x","")</f>
        <v/>
      </c>
      <c r="AC1619" s="79" t="str">
        <f>IF(AND(OR(LEFT(TH!N1619,2)="15",LEFT(TH!O1619,2)="15"),TK!$E$7=TH!F1619),"x","")</f>
        <v/>
      </c>
      <c r="AD1619" s="79" t="str">
        <f>IF(AND(N1619="1521",MONTH(C1619)='BK-NL'!$M$11),"x","")</f>
        <v/>
      </c>
    </row>
    <row r="1620" spans="1:30" ht="16.5" customHeight="1">
      <c r="A1620" s="318" t="str">
        <f>IF(B1620&lt;&gt;"",IF(AND(B1620='IN-TC'!$S$4,OR(TH!N1620="1111",TH!O1620="1111")),TH!D1620,""),"")</f>
        <v/>
      </c>
      <c r="B1620" s="60" t="str">
        <f t="shared" si="209"/>
        <v/>
      </c>
      <c r="C1620" s="989"/>
      <c r="D1620" s="989"/>
      <c r="E1620" s="989"/>
      <c r="F1620" s="921"/>
      <c r="G1620" s="991"/>
      <c r="H1620" s="1105"/>
      <c r="I1620" s="994"/>
      <c r="J1620" s="992"/>
      <c r="K1620" s="994"/>
      <c r="L1620" s="992"/>
      <c r="M1620" s="995"/>
      <c r="N1620" s="996"/>
      <c r="O1620" s="996"/>
      <c r="P1620" s="79" t="str">
        <f>IF(AND('331-CT'!$E$7=TH!H1620,OR(N1620="331",O1620="331")),"x","")</f>
        <v/>
      </c>
      <c r="Q1620" s="79" t="str">
        <f>IF(AND(B1620='111'!$L$11,OR($N1620=$Q$7,$O1620=$Q$7)),"x","")</f>
        <v/>
      </c>
      <c r="R1620" s="79" t="str">
        <f>IF(AND($N1620=$Q$7,$B1620&lt;'111'!$L$11),"x","")</f>
        <v/>
      </c>
      <c r="S1620" s="79" t="str">
        <f>IF(AND($O1620=$Q$7,$B1620&lt;'111'!$L$11),"x","")</f>
        <v/>
      </c>
      <c r="T1620" s="79" t="str">
        <f>IF(ISERROR(FIND('112'!$M$9,G1620,1)),"",IF((AND(FIND('112'!$M$9,G1620,1)&gt;=1,B1620='112'!$K$9,OR($N1620='112'!$I$6,$O1620='112'!$I$6))),"x",""))</f>
        <v/>
      </c>
      <c r="U1620" s="79" t="str">
        <f>IF(ISERROR(FIND('112'!$M$9,G1620,1)),"",IF((AND(LEFT(G1620,2)=LEFT('112'!$M$9,2),B1620&lt;'112'!$K$9,$N1620='112'!$I$6)),"x",""))</f>
        <v/>
      </c>
      <c r="V1620" s="79" t="str">
        <f>IF(ISERROR(FIND('112'!$M$9,G1620,1)),"",IF((AND(RIGHT(G1620,2)=RIGHT('112'!$M$9,2),B1620&lt;'112'!$K$9,$O1620='112'!$I$6)),"x",""))</f>
        <v/>
      </c>
      <c r="W1620" s="79" t="str">
        <f>IF(AND('341-CT'!$H$9=H1620,OR(LEFT(N1620,3)=$W$7,LEFT(O1620,3)=$W$7)),"x","")</f>
        <v/>
      </c>
      <c r="X1620" s="79" t="str">
        <f>IF(OR(TH!N1620=TH!$X$7,O1620=TH!$X$7),"x","")</f>
        <v/>
      </c>
      <c r="Y1620" s="79" t="str">
        <f>IF(AND(OR(N1620="131",O1620="131"),H1620='131-CT'!$H$9),"x","")</f>
        <v/>
      </c>
      <c r="Z1620" s="79"/>
      <c r="AA1620" s="79" t="str">
        <f>IF(AND(MONTH(E1620)='IN-NX'!$J$5,'IN-NX'!$D$7=D1620),"x","")</f>
        <v/>
      </c>
      <c r="AB1620" s="79" t="str">
        <f>IF(AND(OR(LEFT(TH!N1620,2)="15",LEFT(TH!O1620,2)="15"),LEFT(TH!O1620,3)&lt;&gt;"111",'152-CT'!$J$8=TH!F1620),"x","")</f>
        <v/>
      </c>
      <c r="AC1620" s="79" t="str">
        <f>IF(AND(OR(LEFT(TH!N1620,2)="15",LEFT(TH!O1620,2)="15"),TK!$E$7=TH!F1620),"x","")</f>
        <v/>
      </c>
      <c r="AD1620" s="79" t="str">
        <f>IF(AND(N1620="1521",MONTH(C1620)='BK-NL'!$M$11),"x","")</f>
        <v/>
      </c>
    </row>
    <row r="1621" spans="1:30" ht="16.5" customHeight="1">
      <c r="A1621" s="318" t="str">
        <f>IF(B1621&lt;&gt;"",IF(AND(B1621='IN-TC'!$S$4,OR(TH!N1621="1111",TH!O1621="1111")),TH!D1621,""),"")</f>
        <v/>
      </c>
      <c r="B1621" s="60" t="str">
        <f t="shared" si="209"/>
        <v/>
      </c>
      <c r="C1621" s="989"/>
      <c r="D1621" s="989"/>
      <c r="E1621" s="989"/>
      <c r="F1621" s="921"/>
      <c r="G1621" s="991"/>
      <c r="H1621" s="1105"/>
      <c r="I1621" s="994"/>
      <c r="J1621" s="992"/>
      <c r="K1621" s="994"/>
      <c r="L1621" s="992"/>
      <c r="M1621" s="995"/>
      <c r="N1621" s="996"/>
      <c r="O1621" s="996"/>
      <c r="P1621" s="79" t="str">
        <f>IF(AND('331-CT'!$E$7=TH!H1621,OR(N1621="331",O1621="331")),"x","")</f>
        <v/>
      </c>
      <c r="Q1621" s="79" t="str">
        <f>IF(AND(B1621='111'!$L$11,OR($N1621=$Q$7,$O1621=$Q$7)),"x","")</f>
        <v/>
      </c>
      <c r="R1621" s="79" t="str">
        <f>IF(AND($N1621=$Q$7,$B1621&lt;'111'!$L$11),"x","")</f>
        <v/>
      </c>
      <c r="S1621" s="79" t="str">
        <f>IF(AND($O1621=$Q$7,$B1621&lt;'111'!$L$11),"x","")</f>
        <v/>
      </c>
      <c r="T1621" s="79" t="str">
        <f>IF(ISERROR(FIND('112'!$M$9,G1621,1)),"",IF((AND(FIND('112'!$M$9,G1621,1)&gt;=1,B1621='112'!$K$9,OR($N1621='112'!$I$6,$O1621='112'!$I$6))),"x",""))</f>
        <v/>
      </c>
      <c r="U1621" s="79" t="str">
        <f>IF(ISERROR(FIND('112'!$M$9,G1621,1)),"",IF((AND(LEFT(G1621,2)=LEFT('112'!$M$9,2),B1621&lt;'112'!$K$9,$N1621='112'!$I$6)),"x",""))</f>
        <v/>
      </c>
      <c r="V1621" s="79" t="str">
        <f>IF(ISERROR(FIND('112'!$M$9,G1621,1)),"",IF((AND(RIGHT(G1621,2)=RIGHT('112'!$M$9,2),B1621&lt;'112'!$K$9,$O1621='112'!$I$6)),"x",""))</f>
        <v/>
      </c>
      <c r="W1621" s="79" t="str">
        <f>IF(AND('341-CT'!$H$9=H1621,OR(LEFT(N1621,3)=$W$7,LEFT(O1621,3)=$W$7)),"x","")</f>
        <v/>
      </c>
      <c r="X1621" s="79" t="str">
        <f>IF(OR(TH!N1621=TH!$X$7,O1621=TH!$X$7),"x","")</f>
        <v/>
      </c>
      <c r="Y1621" s="79" t="str">
        <f>IF(AND(OR(N1621="131",O1621="131"),H1621='131-CT'!$H$9),"x","")</f>
        <v/>
      </c>
      <c r="Z1621" s="79"/>
      <c r="AA1621" s="79" t="str">
        <f>IF(AND(MONTH(E1621)='IN-NX'!$J$5,'IN-NX'!$D$7=D1621),"x","")</f>
        <v/>
      </c>
      <c r="AB1621" s="79" t="str">
        <f>IF(AND(OR(LEFT(TH!N1621,2)="15",LEFT(TH!O1621,2)="15"),LEFT(TH!O1621,3)&lt;&gt;"111",'152-CT'!$J$8=TH!F1621),"x","")</f>
        <v/>
      </c>
      <c r="AC1621" s="79" t="str">
        <f>IF(AND(OR(LEFT(TH!N1621,2)="15",LEFT(TH!O1621,2)="15"),TK!$E$7=TH!F1621),"x","")</f>
        <v/>
      </c>
      <c r="AD1621" s="79" t="str">
        <f>IF(AND(N1621="1521",MONTH(C1621)='BK-NL'!$M$11),"x","")</f>
        <v/>
      </c>
    </row>
    <row r="1622" spans="1:30" ht="16.5" customHeight="1">
      <c r="A1622" s="318" t="str">
        <f>IF(B1622&lt;&gt;"",IF(AND(B1622='IN-TC'!$S$4,OR(TH!N1622="1111",TH!O1622="1111")),TH!D1622,""),"")</f>
        <v/>
      </c>
      <c r="B1622" s="60" t="str">
        <f t="shared" si="209"/>
        <v/>
      </c>
      <c r="C1622" s="989"/>
      <c r="D1622" s="989"/>
      <c r="E1622" s="989"/>
      <c r="F1622" s="921"/>
      <c r="G1622" s="991"/>
      <c r="H1622" s="1105"/>
      <c r="I1622" s="994"/>
      <c r="J1622" s="992"/>
      <c r="K1622" s="994"/>
      <c r="L1622" s="992"/>
      <c r="M1622" s="995"/>
      <c r="N1622" s="996"/>
      <c r="O1622" s="996"/>
      <c r="P1622" s="79" t="str">
        <f>IF(AND('331-CT'!$E$7=TH!H1622,OR(N1622="331",O1622="331")),"x","")</f>
        <v/>
      </c>
      <c r="Q1622" s="79" t="str">
        <f>IF(AND(B1622='111'!$L$11,OR($N1622=$Q$7,$O1622=$Q$7)),"x","")</f>
        <v/>
      </c>
      <c r="R1622" s="79" t="str">
        <f>IF(AND($N1622=$Q$7,$B1622&lt;'111'!$L$11),"x","")</f>
        <v/>
      </c>
      <c r="S1622" s="79" t="str">
        <f>IF(AND($O1622=$Q$7,$B1622&lt;'111'!$L$11),"x","")</f>
        <v/>
      </c>
      <c r="T1622" s="79" t="str">
        <f>IF(ISERROR(FIND('112'!$M$9,G1622,1)),"",IF((AND(FIND('112'!$M$9,G1622,1)&gt;=1,B1622='112'!$K$9,OR($N1622='112'!$I$6,$O1622='112'!$I$6))),"x",""))</f>
        <v/>
      </c>
      <c r="U1622" s="79" t="str">
        <f>IF(ISERROR(FIND('112'!$M$9,G1622,1)),"",IF((AND(LEFT(G1622,2)=LEFT('112'!$M$9,2),B1622&lt;'112'!$K$9,$N1622='112'!$I$6)),"x",""))</f>
        <v/>
      </c>
      <c r="V1622" s="79" t="str">
        <f>IF(ISERROR(FIND('112'!$M$9,G1622,1)),"",IF((AND(RIGHT(G1622,2)=RIGHT('112'!$M$9,2),B1622&lt;'112'!$K$9,$O1622='112'!$I$6)),"x",""))</f>
        <v/>
      </c>
      <c r="W1622" s="79" t="str">
        <f>IF(AND('341-CT'!$H$9=H1622,OR(LEFT(N1622,3)=$W$7,LEFT(O1622,3)=$W$7)),"x","")</f>
        <v/>
      </c>
      <c r="X1622" s="79" t="str">
        <f>IF(OR(TH!N1622=TH!$X$7,O1622=TH!$X$7),"x","")</f>
        <v/>
      </c>
      <c r="Y1622" s="79" t="str">
        <f>IF(AND(OR(N1622="131",O1622="131"),H1622='131-CT'!$H$9),"x","")</f>
        <v/>
      </c>
      <c r="Z1622" s="79"/>
      <c r="AA1622" s="79" t="str">
        <f>IF(AND(MONTH(E1622)='IN-NX'!$J$5,'IN-NX'!$D$7=D1622),"x","")</f>
        <v/>
      </c>
      <c r="AB1622" s="79" t="str">
        <f>IF(AND(OR(LEFT(TH!N1622,2)="15",LEFT(TH!O1622,2)="15"),LEFT(TH!O1622,3)&lt;&gt;"111",'152-CT'!$J$8=TH!F1622),"x","")</f>
        <v/>
      </c>
      <c r="AC1622" s="79" t="str">
        <f>IF(AND(OR(LEFT(TH!N1622,2)="15",LEFT(TH!O1622,2)="15"),TK!$E$7=TH!F1622),"x","")</f>
        <v/>
      </c>
      <c r="AD1622" s="79" t="str">
        <f>IF(AND(N1622="1521",MONTH(C1622)='BK-NL'!$M$11),"x","")</f>
        <v/>
      </c>
    </row>
    <row r="1623" spans="1:30" ht="16.5" customHeight="1">
      <c r="A1623" s="318" t="str">
        <f>IF(B1623&lt;&gt;"",IF(AND(B1623='IN-TC'!$S$4,OR(TH!N1623="1111",TH!O1623="1111")),TH!D1623,""),"")</f>
        <v/>
      </c>
      <c r="B1623" s="60" t="str">
        <f t="shared" si="209"/>
        <v/>
      </c>
      <c r="C1623" s="989"/>
      <c r="D1623" s="989"/>
      <c r="E1623" s="989"/>
      <c r="F1623" s="921"/>
      <c r="G1623" s="991"/>
      <c r="H1623" s="1105"/>
      <c r="I1623" s="994"/>
      <c r="J1623" s="992"/>
      <c r="K1623" s="994"/>
      <c r="L1623" s="992"/>
      <c r="M1623" s="995"/>
      <c r="N1623" s="996"/>
      <c r="O1623" s="996"/>
      <c r="P1623" s="79" t="str">
        <f>IF(AND('331-CT'!$E$7=TH!H1623,OR(N1623="331",O1623="331")),"x","")</f>
        <v/>
      </c>
      <c r="Q1623" s="79" t="str">
        <f>IF(AND(B1623='111'!$L$11,OR($N1623=$Q$7,$O1623=$Q$7)),"x","")</f>
        <v/>
      </c>
      <c r="R1623" s="79" t="str">
        <f>IF(AND($N1623=$Q$7,$B1623&lt;'111'!$L$11),"x","")</f>
        <v/>
      </c>
      <c r="S1623" s="79" t="str">
        <f>IF(AND($O1623=$Q$7,$B1623&lt;'111'!$L$11),"x","")</f>
        <v/>
      </c>
      <c r="T1623" s="79" t="str">
        <f>IF(ISERROR(FIND('112'!$M$9,G1623,1)),"",IF((AND(FIND('112'!$M$9,G1623,1)&gt;=1,B1623='112'!$K$9,OR($N1623='112'!$I$6,$O1623='112'!$I$6))),"x",""))</f>
        <v/>
      </c>
      <c r="U1623" s="79" t="str">
        <f>IF(ISERROR(FIND('112'!$M$9,G1623,1)),"",IF((AND(LEFT(G1623,2)=LEFT('112'!$M$9,2),B1623&lt;'112'!$K$9,$N1623='112'!$I$6)),"x",""))</f>
        <v/>
      </c>
      <c r="V1623" s="79" t="str">
        <f>IF(ISERROR(FIND('112'!$M$9,G1623,1)),"",IF((AND(RIGHT(G1623,2)=RIGHT('112'!$M$9,2),B1623&lt;'112'!$K$9,$O1623='112'!$I$6)),"x",""))</f>
        <v/>
      </c>
      <c r="W1623" s="79" t="str">
        <f>IF(AND('341-CT'!$H$9=H1623,OR(LEFT(N1623,3)=$W$7,LEFT(O1623,3)=$W$7)),"x","")</f>
        <v/>
      </c>
      <c r="X1623" s="79" t="str">
        <f>IF(OR(TH!N1623=TH!$X$7,O1623=TH!$X$7),"x","")</f>
        <v/>
      </c>
      <c r="Y1623" s="79" t="str">
        <f>IF(AND(OR(N1623="131",O1623="131"),H1623='131-CT'!$H$9),"x","")</f>
        <v/>
      </c>
      <c r="Z1623" s="79"/>
      <c r="AA1623" s="79" t="str">
        <f>IF(AND(MONTH(E1623)='IN-NX'!$J$5,'IN-NX'!$D$7=D1623),"x","")</f>
        <v/>
      </c>
      <c r="AB1623" s="79" t="str">
        <f>IF(AND(OR(LEFT(TH!N1623,2)="15",LEFT(TH!O1623,2)="15"),LEFT(TH!O1623,3)&lt;&gt;"111",'152-CT'!$J$8=TH!F1623),"x","")</f>
        <v/>
      </c>
      <c r="AC1623" s="79" t="str">
        <f>IF(AND(OR(LEFT(TH!N1623,2)="15",LEFT(TH!O1623,2)="15"),TK!$E$7=TH!F1623),"x","")</f>
        <v/>
      </c>
      <c r="AD1623" s="79" t="str">
        <f>IF(AND(N1623="1521",MONTH(C1623)='BK-NL'!$M$11),"x","")</f>
        <v/>
      </c>
    </row>
    <row r="1624" spans="1:30" ht="16.5" customHeight="1">
      <c r="A1624" s="318" t="str">
        <f>IF(B1624&lt;&gt;"",IF(AND(B1624='IN-TC'!$S$4,OR(TH!N1624="1111",TH!O1624="1111")),TH!D1624,""),"")</f>
        <v/>
      </c>
      <c r="B1624" s="60" t="str">
        <f t="shared" si="209"/>
        <v/>
      </c>
      <c r="C1624" s="989"/>
      <c r="D1624" s="989"/>
      <c r="E1624" s="989"/>
      <c r="F1624" s="921"/>
      <c r="G1624" s="991"/>
      <c r="H1624" s="1105"/>
      <c r="I1624" s="994"/>
      <c r="J1624" s="992"/>
      <c r="K1624" s="994"/>
      <c r="L1624" s="992"/>
      <c r="M1624" s="995"/>
      <c r="N1624" s="996"/>
      <c r="O1624" s="996"/>
      <c r="P1624" s="79" t="str">
        <f>IF(AND('331-CT'!$E$7=TH!H1624,OR(N1624="331",O1624="331")),"x","")</f>
        <v/>
      </c>
      <c r="Q1624" s="79" t="str">
        <f>IF(AND(B1624='111'!$L$11,OR($N1624=$Q$7,$O1624=$Q$7)),"x","")</f>
        <v/>
      </c>
      <c r="R1624" s="79" t="str">
        <f>IF(AND($N1624=$Q$7,$B1624&lt;'111'!$L$11),"x","")</f>
        <v/>
      </c>
      <c r="S1624" s="79" t="str">
        <f>IF(AND($O1624=$Q$7,$B1624&lt;'111'!$L$11),"x","")</f>
        <v/>
      </c>
      <c r="T1624" s="79" t="str">
        <f>IF(ISERROR(FIND('112'!$M$9,G1624,1)),"",IF((AND(FIND('112'!$M$9,G1624,1)&gt;=1,B1624='112'!$K$9,OR($N1624='112'!$I$6,$O1624='112'!$I$6))),"x",""))</f>
        <v/>
      </c>
      <c r="U1624" s="79" t="str">
        <f>IF(ISERROR(FIND('112'!$M$9,G1624,1)),"",IF((AND(LEFT(G1624,2)=LEFT('112'!$M$9,2),B1624&lt;'112'!$K$9,$N1624='112'!$I$6)),"x",""))</f>
        <v/>
      </c>
      <c r="V1624" s="79" t="str">
        <f>IF(ISERROR(FIND('112'!$M$9,G1624,1)),"",IF((AND(RIGHT(G1624,2)=RIGHT('112'!$M$9,2),B1624&lt;'112'!$K$9,$O1624='112'!$I$6)),"x",""))</f>
        <v/>
      </c>
      <c r="W1624" s="79" t="str">
        <f>IF(AND('341-CT'!$H$9=H1624,OR(LEFT(N1624,3)=$W$7,LEFT(O1624,3)=$W$7)),"x","")</f>
        <v/>
      </c>
      <c r="X1624" s="79" t="str">
        <f>IF(OR(TH!N1624=TH!$X$7,O1624=TH!$X$7),"x","")</f>
        <v/>
      </c>
      <c r="Y1624" s="79" t="str">
        <f>IF(AND(OR(N1624="131",O1624="131"),H1624='131-CT'!$H$9),"x","")</f>
        <v/>
      </c>
      <c r="Z1624" s="79"/>
      <c r="AA1624" s="79" t="str">
        <f>IF(AND(MONTH(E1624)='IN-NX'!$J$5,'IN-NX'!$D$7=D1624),"x","")</f>
        <v/>
      </c>
      <c r="AB1624" s="79" t="str">
        <f>IF(AND(OR(LEFT(TH!N1624,2)="15",LEFT(TH!O1624,2)="15"),LEFT(TH!O1624,3)&lt;&gt;"111",'152-CT'!$J$8=TH!F1624),"x","")</f>
        <v/>
      </c>
      <c r="AC1624" s="79" t="str">
        <f>IF(AND(OR(LEFT(TH!N1624,2)="15",LEFT(TH!O1624,2)="15"),TK!$E$7=TH!F1624),"x","")</f>
        <v/>
      </c>
      <c r="AD1624" s="79" t="str">
        <f>IF(AND(N1624="1521",MONTH(C1624)='BK-NL'!$M$11),"x","")</f>
        <v/>
      </c>
    </row>
    <row r="1625" spans="1:30" ht="16.5" customHeight="1">
      <c r="A1625" s="318" t="str">
        <f>IF(B1625&lt;&gt;"",IF(AND(B1625='IN-TC'!$S$4,OR(TH!N1625="1111",TH!O1625="1111")),TH!D1625,""),"")</f>
        <v/>
      </c>
      <c r="B1625" s="60" t="str">
        <f t="shared" si="209"/>
        <v/>
      </c>
      <c r="C1625" s="989"/>
      <c r="D1625" s="989"/>
      <c r="E1625" s="989"/>
      <c r="F1625" s="921"/>
      <c r="G1625" s="991"/>
      <c r="H1625" s="1105"/>
      <c r="I1625" s="994"/>
      <c r="J1625" s="992"/>
      <c r="K1625" s="994"/>
      <c r="L1625" s="992"/>
      <c r="M1625" s="995"/>
      <c r="N1625" s="996"/>
      <c r="O1625" s="996"/>
      <c r="P1625" s="79" t="str">
        <f>IF(AND('331-CT'!$E$7=TH!H1625,OR(N1625="331",O1625="331")),"x","")</f>
        <v/>
      </c>
      <c r="Q1625" s="79" t="str">
        <f>IF(AND(B1625='111'!$L$11,OR($N1625=$Q$7,$O1625=$Q$7)),"x","")</f>
        <v/>
      </c>
      <c r="R1625" s="79" t="str">
        <f>IF(AND($N1625=$Q$7,$B1625&lt;'111'!$L$11),"x","")</f>
        <v/>
      </c>
      <c r="S1625" s="79" t="str">
        <f>IF(AND($O1625=$Q$7,$B1625&lt;'111'!$L$11),"x","")</f>
        <v/>
      </c>
      <c r="T1625" s="79" t="str">
        <f>IF(ISERROR(FIND('112'!$M$9,G1625,1)),"",IF((AND(FIND('112'!$M$9,G1625,1)&gt;=1,B1625='112'!$K$9,OR($N1625='112'!$I$6,$O1625='112'!$I$6))),"x",""))</f>
        <v/>
      </c>
      <c r="U1625" s="79" t="str">
        <f>IF(ISERROR(FIND('112'!$M$9,G1625,1)),"",IF((AND(LEFT(G1625,2)=LEFT('112'!$M$9,2),B1625&lt;'112'!$K$9,$N1625='112'!$I$6)),"x",""))</f>
        <v/>
      </c>
      <c r="V1625" s="79" t="str">
        <f>IF(ISERROR(FIND('112'!$M$9,G1625,1)),"",IF((AND(RIGHT(G1625,2)=RIGHT('112'!$M$9,2),B1625&lt;'112'!$K$9,$O1625='112'!$I$6)),"x",""))</f>
        <v/>
      </c>
      <c r="W1625" s="79" t="str">
        <f>IF(AND('341-CT'!$H$9=H1625,OR(LEFT(N1625,3)=$W$7,LEFT(O1625,3)=$W$7)),"x","")</f>
        <v/>
      </c>
      <c r="X1625" s="79" t="str">
        <f>IF(OR(TH!N1625=TH!$X$7,O1625=TH!$X$7),"x","")</f>
        <v/>
      </c>
      <c r="Y1625" s="79" t="str">
        <f>IF(AND(OR(N1625="131",O1625="131"),H1625='131-CT'!$H$9),"x","")</f>
        <v/>
      </c>
      <c r="Z1625" s="79"/>
      <c r="AA1625" s="79" t="str">
        <f>IF(AND(MONTH(E1625)='IN-NX'!$J$5,'IN-NX'!$D$7=D1625),"x","")</f>
        <v/>
      </c>
      <c r="AB1625" s="79" t="str">
        <f>IF(AND(OR(LEFT(TH!N1625,2)="15",LEFT(TH!O1625,2)="15"),LEFT(TH!O1625,3)&lt;&gt;"111",'152-CT'!$J$8=TH!F1625),"x","")</f>
        <v/>
      </c>
      <c r="AC1625" s="79" t="str">
        <f>IF(AND(OR(LEFT(TH!N1625,2)="15",LEFT(TH!O1625,2)="15"),TK!$E$7=TH!F1625),"x","")</f>
        <v/>
      </c>
      <c r="AD1625" s="79" t="str">
        <f>IF(AND(N1625="1521",MONTH(C1625)='BK-NL'!$M$11),"x","")</f>
        <v/>
      </c>
    </row>
    <row r="1626" spans="1:30" ht="16.5" customHeight="1">
      <c r="A1626" s="318" t="str">
        <f>IF(B1626&lt;&gt;"",IF(AND(B1626='IN-TC'!$S$4,OR(TH!N1626="1111",TH!O1626="1111")),TH!D1626,""),"")</f>
        <v/>
      </c>
      <c r="B1626" s="60" t="str">
        <f t="shared" si="209"/>
        <v/>
      </c>
      <c r="C1626" s="989"/>
      <c r="D1626" s="989"/>
      <c r="E1626" s="989"/>
      <c r="F1626" s="921"/>
      <c r="G1626" s="991"/>
      <c r="H1626" s="1105"/>
      <c r="I1626" s="994"/>
      <c r="J1626" s="992"/>
      <c r="K1626" s="994"/>
      <c r="L1626" s="992"/>
      <c r="M1626" s="995"/>
      <c r="N1626" s="996"/>
      <c r="O1626" s="996"/>
      <c r="P1626" s="79" t="str">
        <f>IF(AND('331-CT'!$E$7=TH!H1626,OR(N1626="331",O1626="331")),"x","")</f>
        <v/>
      </c>
      <c r="Q1626" s="79" t="str">
        <f>IF(AND(B1626='111'!$L$11,OR($N1626=$Q$7,$O1626=$Q$7)),"x","")</f>
        <v/>
      </c>
      <c r="R1626" s="79" t="str">
        <f>IF(AND($N1626=$Q$7,$B1626&lt;'111'!$L$11),"x","")</f>
        <v/>
      </c>
      <c r="S1626" s="79" t="str">
        <f>IF(AND($O1626=$Q$7,$B1626&lt;'111'!$L$11),"x","")</f>
        <v/>
      </c>
      <c r="T1626" s="79" t="str">
        <f>IF(ISERROR(FIND('112'!$M$9,G1626,1)),"",IF((AND(FIND('112'!$M$9,G1626,1)&gt;=1,B1626='112'!$K$9,OR($N1626='112'!$I$6,$O1626='112'!$I$6))),"x",""))</f>
        <v/>
      </c>
      <c r="U1626" s="79" t="str">
        <f>IF(ISERROR(FIND('112'!$M$9,G1626,1)),"",IF((AND(LEFT(G1626,2)=LEFT('112'!$M$9,2),B1626&lt;'112'!$K$9,$N1626='112'!$I$6)),"x",""))</f>
        <v/>
      </c>
      <c r="V1626" s="79" t="str">
        <f>IF(ISERROR(FIND('112'!$M$9,G1626,1)),"",IF((AND(RIGHT(G1626,2)=RIGHT('112'!$M$9,2),B1626&lt;'112'!$K$9,$O1626='112'!$I$6)),"x",""))</f>
        <v/>
      </c>
      <c r="W1626" s="79" t="str">
        <f>IF(AND('341-CT'!$H$9=H1626,OR(LEFT(N1626,3)=$W$7,LEFT(O1626,3)=$W$7)),"x","")</f>
        <v/>
      </c>
      <c r="X1626" s="79" t="str">
        <f>IF(OR(TH!N1626=TH!$X$7,O1626=TH!$X$7),"x","")</f>
        <v/>
      </c>
      <c r="Y1626" s="79" t="str">
        <f>IF(AND(OR(N1626="131",O1626="131"),H1626='131-CT'!$H$9),"x","")</f>
        <v/>
      </c>
      <c r="Z1626" s="79"/>
      <c r="AA1626" s="79" t="str">
        <f>IF(AND(MONTH(E1626)='IN-NX'!$J$5,'IN-NX'!$D$7=D1626),"x","")</f>
        <v/>
      </c>
      <c r="AB1626" s="79" t="str">
        <f>IF(AND(OR(LEFT(TH!N1626,2)="15",LEFT(TH!O1626,2)="15"),LEFT(TH!O1626,3)&lt;&gt;"111",'152-CT'!$J$8=TH!F1626),"x","")</f>
        <v/>
      </c>
      <c r="AC1626" s="79" t="str">
        <f>IF(AND(OR(LEFT(TH!N1626,2)="15",LEFT(TH!O1626,2)="15"),TK!$E$7=TH!F1626),"x","")</f>
        <v/>
      </c>
      <c r="AD1626" s="79" t="str">
        <f>IF(AND(N1626="1521",MONTH(C1626)='BK-NL'!$M$11),"x","")</f>
        <v/>
      </c>
    </row>
    <row r="1627" spans="1:30" ht="16.5" customHeight="1">
      <c r="A1627" s="318" t="str">
        <f>IF(B1627&lt;&gt;"",IF(AND(B1627='IN-TC'!$S$4,OR(TH!N1627="1111",TH!O1627="1111")),TH!D1627,""),"")</f>
        <v/>
      </c>
      <c r="B1627" s="60" t="str">
        <f t="shared" si="209"/>
        <v/>
      </c>
      <c r="C1627" s="989"/>
      <c r="D1627" s="989"/>
      <c r="E1627" s="989"/>
      <c r="F1627" s="921"/>
      <c r="G1627" s="991"/>
      <c r="H1627" s="1105"/>
      <c r="I1627" s="994"/>
      <c r="J1627" s="992"/>
      <c r="K1627" s="994"/>
      <c r="L1627" s="992"/>
      <c r="M1627" s="995"/>
      <c r="N1627" s="996"/>
      <c r="O1627" s="996"/>
      <c r="P1627" s="79" t="str">
        <f>IF(AND('331-CT'!$E$7=TH!H1627,OR(N1627="331",O1627="331")),"x","")</f>
        <v/>
      </c>
      <c r="Q1627" s="79" t="str">
        <f>IF(AND(B1627='111'!$L$11,OR($N1627=$Q$7,$O1627=$Q$7)),"x","")</f>
        <v/>
      </c>
      <c r="R1627" s="79" t="str">
        <f>IF(AND($N1627=$Q$7,$B1627&lt;'111'!$L$11),"x","")</f>
        <v/>
      </c>
      <c r="S1627" s="79" t="str">
        <f>IF(AND($O1627=$Q$7,$B1627&lt;'111'!$L$11),"x","")</f>
        <v/>
      </c>
      <c r="T1627" s="79" t="str">
        <f>IF(ISERROR(FIND('112'!$M$9,G1627,1)),"",IF((AND(FIND('112'!$M$9,G1627,1)&gt;=1,B1627='112'!$K$9,OR($N1627='112'!$I$6,$O1627='112'!$I$6))),"x",""))</f>
        <v/>
      </c>
      <c r="U1627" s="79" t="str">
        <f>IF(ISERROR(FIND('112'!$M$9,G1627,1)),"",IF((AND(LEFT(G1627,2)=LEFT('112'!$M$9,2),B1627&lt;'112'!$K$9,$N1627='112'!$I$6)),"x",""))</f>
        <v/>
      </c>
      <c r="V1627" s="79" t="str">
        <f>IF(ISERROR(FIND('112'!$M$9,G1627,1)),"",IF((AND(RIGHT(G1627,2)=RIGHT('112'!$M$9,2),B1627&lt;'112'!$K$9,$O1627='112'!$I$6)),"x",""))</f>
        <v/>
      </c>
      <c r="W1627" s="79" t="str">
        <f>IF(AND('341-CT'!$H$9=H1627,OR(LEFT(N1627,3)=$W$7,LEFT(O1627,3)=$W$7)),"x","")</f>
        <v/>
      </c>
      <c r="X1627" s="79" t="str">
        <f>IF(OR(TH!N1627=TH!$X$7,O1627=TH!$X$7),"x","")</f>
        <v/>
      </c>
      <c r="Y1627" s="79" t="str">
        <f>IF(AND(OR(N1627="131",O1627="131"),H1627='131-CT'!$H$9),"x","")</f>
        <v/>
      </c>
      <c r="Z1627" s="79"/>
      <c r="AA1627" s="79" t="str">
        <f>IF(AND(MONTH(E1627)='IN-NX'!$J$5,'IN-NX'!$D$7=D1627),"x","")</f>
        <v/>
      </c>
      <c r="AB1627" s="79" t="str">
        <f>IF(AND(OR(LEFT(TH!N1627,2)="15",LEFT(TH!O1627,2)="15"),LEFT(TH!O1627,3)&lt;&gt;"111",'152-CT'!$J$8=TH!F1627),"x","")</f>
        <v/>
      </c>
      <c r="AC1627" s="79" t="str">
        <f>IF(AND(OR(LEFT(TH!N1627,2)="15",LEFT(TH!O1627,2)="15"),TK!$E$7=TH!F1627),"x","")</f>
        <v/>
      </c>
      <c r="AD1627" s="79" t="str">
        <f>IF(AND(N1627="1521",MONTH(C1627)='BK-NL'!$M$11),"x","")</f>
        <v/>
      </c>
    </row>
    <row r="1628" spans="1:30" ht="16.5" customHeight="1">
      <c r="A1628" s="318" t="str">
        <f>IF(B1628&lt;&gt;"",IF(AND(B1628='IN-TC'!$S$4,OR(TH!N1628="1111",TH!O1628="1111")),TH!D1628,""),"")</f>
        <v/>
      </c>
      <c r="B1628" s="60" t="str">
        <f t="shared" si="209"/>
        <v/>
      </c>
      <c r="C1628" s="989"/>
      <c r="D1628" s="989"/>
      <c r="E1628" s="989"/>
      <c r="F1628" s="990"/>
      <c r="G1628" s="991"/>
      <c r="H1628" s="1011"/>
      <c r="I1628" s="994"/>
      <c r="J1628" s="992"/>
      <c r="K1628" s="994"/>
      <c r="L1628" s="992"/>
      <c r="M1628" s="995"/>
      <c r="N1628" s="996"/>
      <c r="O1628" s="996"/>
      <c r="P1628" s="79" t="str">
        <f>IF(AND('331-CT'!$E$7=TH!H1628,OR(N1628="331",O1628="331")),"x","")</f>
        <v/>
      </c>
      <c r="Q1628" s="79" t="str">
        <f>IF(AND(B1628='111'!$L$11,OR($N1628=$Q$7,$O1628=$Q$7)),"x","")</f>
        <v/>
      </c>
      <c r="R1628" s="79" t="str">
        <f>IF(AND($N1628=$Q$7,$B1628&lt;'111'!$L$11),"x","")</f>
        <v/>
      </c>
      <c r="S1628" s="79" t="str">
        <f>IF(AND($O1628=$Q$7,$B1628&lt;'111'!$L$11),"x","")</f>
        <v/>
      </c>
      <c r="T1628" s="79" t="str">
        <f>IF(ISERROR(FIND('112'!$M$9,G1628,1)),"",IF((AND(FIND('112'!$M$9,G1628,1)&gt;=1,B1628='112'!$K$9,OR($N1628='112'!$I$6,$O1628='112'!$I$6))),"x",""))</f>
        <v/>
      </c>
      <c r="U1628" s="79" t="str">
        <f>IF(ISERROR(FIND('112'!$M$9,G1628,1)),"",IF((AND(LEFT(G1628,2)=LEFT('112'!$M$9,2),B1628&lt;'112'!$K$9,$N1628='112'!$I$6)),"x",""))</f>
        <v/>
      </c>
      <c r="V1628" s="79" t="str">
        <f>IF(ISERROR(FIND('112'!$M$9,G1628,1)),"",IF((AND(RIGHT(G1628,2)=RIGHT('112'!$M$9,2),B1628&lt;'112'!$K$9,$O1628='112'!$I$6)),"x",""))</f>
        <v/>
      </c>
      <c r="W1628" s="79" t="str">
        <f>IF(AND('341-CT'!$H$9=H1628,OR(LEFT(N1628,3)=$W$7,LEFT(O1628,3)=$W$7)),"x","")</f>
        <v/>
      </c>
      <c r="X1628" s="79" t="str">
        <f>IF(OR(TH!N1628=TH!$X$7,O1628=TH!$X$7),"x","")</f>
        <v/>
      </c>
      <c r="Y1628" s="79" t="str">
        <f>IF(AND(OR(N1628="131",O1628="131"),H1628='131-CT'!$H$9),"x","")</f>
        <v/>
      </c>
      <c r="Z1628" s="79"/>
      <c r="AA1628" s="79" t="str">
        <f>IF(AND(MONTH(E1628)='IN-NX'!$J$5,'IN-NX'!$D$7=D1628),"x","")</f>
        <v/>
      </c>
      <c r="AB1628" s="79" t="str">
        <f>IF(AND(OR(LEFT(TH!N1628,2)="15",LEFT(TH!O1628,2)="15"),LEFT(TH!O1628,3)&lt;&gt;"111",'152-CT'!$J$8=TH!F1628),"x","")</f>
        <v/>
      </c>
      <c r="AC1628" s="79" t="str">
        <f>IF(AND(OR(LEFT(TH!N1628,2)="15",LEFT(TH!O1628,2)="15"),TK!$E$7=TH!F1628),"x","")</f>
        <v/>
      </c>
      <c r="AD1628" s="79" t="str">
        <f>IF(AND(N1628="1521",MONTH(C1628)='BK-NL'!$M$11),"x","")</f>
        <v/>
      </c>
    </row>
    <row r="1629" spans="1:30" ht="16.5" customHeight="1">
      <c r="A1629" s="318" t="str">
        <f>IF(B1629&lt;&gt;"",IF(AND(B1629='IN-TC'!$S$4,OR(TH!N1629="1111",TH!O1629="1111")),TH!D1629,""),"")</f>
        <v/>
      </c>
      <c r="B1629" s="60" t="str">
        <f t="shared" si="209"/>
        <v/>
      </c>
      <c r="C1629" s="989"/>
      <c r="D1629" s="989"/>
      <c r="E1629" s="989"/>
      <c r="F1629" s="990"/>
      <c r="G1629" s="991"/>
      <c r="H1629" s="1011"/>
      <c r="I1629" s="994"/>
      <c r="J1629" s="992"/>
      <c r="K1629" s="994"/>
      <c r="L1629" s="992"/>
      <c r="M1629" s="995"/>
      <c r="N1629" s="996"/>
      <c r="O1629" s="996"/>
      <c r="P1629" s="79" t="str">
        <f>IF(AND('331-CT'!$E$7=TH!H1629,OR(N1629="331",O1629="331")),"x","")</f>
        <v/>
      </c>
      <c r="Q1629" s="79" t="str">
        <f>IF(AND(B1629='111'!$L$11,OR($N1629=$Q$7,$O1629=$Q$7)),"x","")</f>
        <v/>
      </c>
      <c r="R1629" s="79" t="str">
        <f>IF(AND($N1629=$Q$7,$B1629&lt;'111'!$L$11),"x","")</f>
        <v/>
      </c>
      <c r="S1629" s="79" t="str">
        <f>IF(AND($O1629=$Q$7,$B1629&lt;'111'!$L$11),"x","")</f>
        <v/>
      </c>
      <c r="T1629" s="79" t="str">
        <f>IF(ISERROR(FIND('112'!$M$9,G1629,1)),"",IF((AND(FIND('112'!$M$9,G1629,1)&gt;=1,B1629='112'!$K$9,OR($N1629='112'!$I$6,$O1629='112'!$I$6))),"x",""))</f>
        <v/>
      </c>
      <c r="U1629" s="79" t="str">
        <f>IF(ISERROR(FIND('112'!$M$9,G1629,1)),"",IF((AND(LEFT(G1629,2)=LEFT('112'!$M$9,2),B1629&lt;'112'!$K$9,$N1629='112'!$I$6)),"x",""))</f>
        <v/>
      </c>
      <c r="V1629" s="79" t="str">
        <f>IF(ISERROR(FIND('112'!$M$9,G1629,1)),"",IF((AND(RIGHT(G1629,2)=RIGHT('112'!$M$9,2),B1629&lt;'112'!$K$9,$O1629='112'!$I$6)),"x",""))</f>
        <v/>
      </c>
      <c r="W1629" s="79" t="str">
        <f>IF(AND('341-CT'!$H$9=H1629,OR(LEFT(N1629,3)=$W$7,LEFT(O1629,3)=$W$7)),"x","")</f>
        <v/>
      </c>
      <c r="X1629" s="79" t="str">
        <f>IF(OR(TH!N1629=TH!$X$7,O1629=TH!$X$7),"x","")</f>
        <v/>
      </c>
      <c r="Y1629" s="79" t="str">
        <f>IF(AND(OR(N1629="131",O1629="131"),H1629='131-CT'!$H$9),"x","")</f>
        <v/>
      </c>
      <c r="Z1629" s="79"/>
      <c r="AA1629" s="79" t="str">
        <f>IF(AND(MONTH(E1629)='IN-NX'!$J$5,'IN-NX'!$D$7=D1629),"x","")</f>
        <v/>
      </c>
      <c r="AB1629" s="79" t="str">
        <f>IF(AND(OR(LEFT(TH!N1629,2)="15",LEFT(TH!O1629,2)="15"),LEFT(TH!O1629,3)&lt;&gt;"111",'152-CT'!$J$8=TH!F1629),"x","")</f>
        <v/>
      </c>
      <c r="AC1629" s="79" t="str">
        <f>IF(AND(OR(LEFT(TH!N1629,2)="15",LEFT(TH!O1629,2)="15"),TK!$E$7=TH!F1629),"x","")</f>
        <v/>
      </c>
      <c r="AD1629" s="79" t="str">
        <f>IF(AND(N1629="1521",MONTH(C1629)='BK-NL'!$M$11),"x","")</f>
        <v/>
      </c>
    </row>
    <row r="1630" spans="1:30" ht="16.5" customHeight="1">
      <c r="A1630" s="318" t="str">
        <f>IF(B1630&lt;&gt;"",IF(AND(B1630='IN-TC'!$S$4,OR(TH!N1630="1111",TH!O1630="1111")),TH!D1630,""),"")</f>
        <v/>
      </c>
      <c r="B1630" s="60" t="str">
        <f t="shared" si="209"/>
        <v/>
      </c>
      <c r="C1630" s="989"/>
      <c r="D1630" s="989"/>
      <c r="E1630" s="989"/>
      <c r="F1630" s="990"/>
      <c r="G1630" s="991"/>
      <c r="H1630" s="1011"/>
      <c r="I1630" s="994"/>
      <c r="J1630" s="992"/>
      <c r="K1630" s="994"/>
      <c r="L1630" s="992"/>
      <c r="M1630" s="995"/>
      <c r="N1630" s="996"/>
      <c r="O1630" s="996"/>
      <c r="P1630" s="79" t="str">
        <f>IF(AND('331-CT'!$E$7=TH!H1630,OR(N1630="331",O1630="331")),"x","")</f>
        <v/>
      </c>
      <c r="Q1630" s="79" t="str">
        <f>IF(AND(B1630='111'!$L$11,OR($N1630=$Q$7,$O1630=$Q$7)),"x","")</f>
        <v/>
      </c>
      <c r="R1630" s="79" t="str">
        <f>IF(AND($N1630=$Q$7,$B1630&lt;'111'!$L$11),"x","")</f>
        <v/>
      </c>
      <c r="S1630" s="79" t="str">
        <f>IF(AND($O1630=$Q$7,$B1630&lt;'111'!$L$11),"x","")</f>
        <v/>
      </c>
      <c r="T1630" s="79" t="str">
        <f>IF(ISERROR(FIND('112'!$M$9,G1630,1)),"",IF((AND(FIND('112'!$M$9,G1630,1)&gt;=1,B1630='112'!$K$9,OR($N1630='112'!$I$6,$O1630='112'!$I$6))),"x",""))</f>
        <v/>
      </c>
      <c r="U1630" s="79" t="str">
        <f>IF(ISERROR(FIND('112'!$M$9,G1630,1)),"",IF((AND(LEFT(G1630,2)=LEFT('112'!$M$9,2),B1630&lt;'112'!$K$9,$N1630='112'!$I$6)),"x",""))</f>
        <v/>
      </c>
      <c r="V1630" s="79" t="str">
        <f>IF(ISERROR(FIND('112'!$M$9,G1630,1)),"",IF((AND(RIGHT(G1630,2)=RIGHT('112'!$M$9,2),B1630&lt;'112'!$K$9,$O1630='112'!$I$6)),"x",""))</f>
        <v/>
      </c>
      <c r="W1630" s="79" t="str">
        <f>IF(AND('341-CT'!$H$9=H1630,OR(LEFT(N1630,3)=$W$7,LEFT(O1630,3)=$W$7)),"x","")</f>
        <v/>
      </c>
      <c r="X1630" s="79" t="str">
        <f>IF(OR(TH!N1630=TH!$X$7,O1630=TH!$X$7),"x","")</f>
        <v/>
      </c>
      <c r="Y1630" s="79" t="str">
        <f>IF(AND(OR(N1630="131",O1630="131"),H1630='131-CT'!$H$9),"x","")</f>
        <v/>
      </c>
      <c r="Z1630" s="79"/>
      <c r="AA1630" s="79" t="str">
        <f>IF(AND(MONTH(E1630)='IN-NX'!$J$5,'IN-NX'!$D$7=D1630),"x","")</f>
        <v/>
      </c>
      <c r="AB1630" s="79" t="str">
        <f>IF(AND(OR(LEFT(TH!N1630,2)="15",LEFT(TH!O1630,2)="15"),LEFT(TH!O1630,3)&lt;&gt;"111",'152-CT'!$J$8=TH!F1630),"x","")</f>
        <v/>
      </c>
      <c r="AC1630" s="79" t="str">
        <f>IF(AND(OR(LEFT(TH!N1630,2)="15",LEFT(TH!O1630,2)="15"),TK!$E$7=TH!F1630),"x","")</f>
        <v/>
      </c>
      <c r="AD1630" s="79" t="str">
        <f>IF(AND(N1630="1521",MONTH(C1630)='BK-NL'!$M$11),"x","")</f>
        <v/>
      </c>
    </row>
    <row r="1631" spans="1:30" ht="16.5" customHeight="1">
      <c r="A1631" s="318" t="str">
        <f>IF(B1631&lt;&gt;"",IF(AND(B1631='IN-TC'!$S$4,OR(TH!N1631="1111",TH!O1631="1111")),TH!D1631,""),"")</f>
        <v/>
      </c>
      <c r="B1631" s="60" t="str">
        <f t="shared" si="209"/>
        <v/>
      </c>
      <c r="C1631" s="989"/>
      <c r="D1631" s="989"/>
      <c r="E1631" s="989"/>
      <c r="F1631" s="990"/>
      <c r="G1631" s="991"/>
      <c r="H1631" s="1011"/>
      <c r="I1631" s="994"/>
      <c r="J1631" s="992"/>
      <c r="K1631" s="994"/>
      <c r="L1631" s="992"/>
      <c r="M1631" s="995"/>
      <c r="N1631" s="996"/>
      <c r="O1631" s="996"/>
      <c r="P1631" s="79" t="str">
        <f>IF(AND('331-CT'!$E$7=TH!H1631,OR(N1631="331",O1631="331")),"x","")</f>
        <v/>
      </c>
      <c r="Q1631" s="79" t="str">
        <f>IF(AND(B1631='111'!$L$11,OR($N1631=$Q$7,$O1631=$Q$7)),"x","")</f>
        <v/>
      </c>
      <c r="R1631" s="79" t="str">
        <f>IF(AND($N1631=$Q$7,$B1631&lt;'111'!$L$11),"x","")</f>
        <v/>
      </c>
      <c r="S1631" s="79" t="str">
        <f>IF(AND($O1631=$Q$7,$B1631&lt;'111'!$L$11),"x","")</f>
        <v/>
      </c>
      <c r="T1631" s="79" t="str">
        <f>IF(ISERROR(FIND('112'!$M$9,G1631,1)),"",IF((AND(FIND('112'!$M$9,G1631,1)&gt;=1,B1631='112'!$K$9,OR($N1631='112'!$I$6,$O1631='112'!$I$6))),"x",""))</f>
        <v/>
      </c>
      <c r="U1631" s="79" t="str">
        <f>IF(ISERROR(FIND('112'!$M$9,G1631,1)),"",IF((AND(LEFT(G1631,2)=LEFT('112'!$M$9,2),B1631&lt;'112'!$K$9,$N1631='112'!$I$6)),"x",""))</f>
        <v/>
      </c>
      <c r="V1631" s="79" t="str">
        <f>IF(ISERROR(FIND('112'!$M$9,G1631,1)),"",IF((AND(RIGHT(G1631,2)=RIGHT('112'!$M$9,2),B1631&lt;'112'!$K$9,$O1631='112'!$I$6)),"x",""))</f>
        <v/>
      </c>
      <c r="W1631" s="79" t="str">
        <f>IF(AND('341-CT'!$H$9=H1631,OR(LEFT(N1631,3)=$W$7,LEFT(O1631,3)=$W$7)),"x","")</f>
        <v/>
      </c>
      <c r="X1631" s="79" t="str">
        <f>IF(OR(TH!N1631=TH!$X$7,O1631=TH!$X$7),"x","")</f>
        <v/>
      </c>
      <c r="Y1631" s="79" t="str">
        <f>IF(AND(OR(N1631="131",O1631="131"),H1631='131-CT'!$H$9),"x","")</f>
        <v/>
      </c>
      <c r="Z1631" s="79"/>
      <c r="AA1631" s="79" t="str">
        <f>IF(AND(MONTH(E1631)='IN-NX'!$J$5,'IN-NX'!$D$7=D1631),"x","")</f>
        <v/>
      </c>
      <c r="AB1631" s="79" t="str">
        <f>IF(AND(OR(LEFT(TH!N1631,2)="15",LEFT(TH!O1631,2)="15"),LEFT(TH!O1631,3)&lt;&gt;"111",'152-CT'!$J$8=TH!F1631),"x","")</f>
        <v/>
      </c>
      <c r="AC1631" s="79" t="str">
        <f>IF(AND(OR(LEFT(TH!N1631,2)="15",LEFT(TH!O1631,2)="15"),TK!$E$7=TH!F1631),"x","")</f>
        <v/>
      </c>
      <c r="AD1631" s="79" t="str">
        <f>IF(AND(N1631="1521",MONTH(C1631)='BK-NL'!$M$11),"x","")</f>
        <v/>
      </c>
    </row>
    <row r="1632" spans="1:30" ht="16.5" customHeight="1">
      <c r="A1632" s="318" t="str">
        <f>IF(B1632&lt;&gt;"",IF(AND(B1632='IN-TC'!$S$4,OR(TH!N1632="1111",TH!O1632="1111")),TH!D1632,""),"")</f>
        <v/>
      </c>
      <c r="B1632" s="60" t="str">
        <f t="shared" si="209"/>
        <v/>
      </c>
      <c r="C1632" s="989"/>
      <c r="D1632" s="989"/>
      <c r="E1632" s="989"/>
      <c r="F1632" s="990"/>
      <c r="G1632" s="991"/>
      <c r="H1632" s="1011"/>
      <c r="I1632" s="994"/>
      <c r="J1632" s="992"/>
      <c r="K1632" s="994"/>
      <c r="L1632" s="992"/>
      <c r="M1632" s="995"/>
      <c r="N1632" s="996"/>
      <c r="O1632" s="996"/>
      <c r="P1632" s="79" t="str">
        <f>IF(AND('331-CT'!$E$7=TH!H1632,OR(N1632="331",O1632="331")),"x","")</f>
        <v/>
      </c>
      <c r="Q1632" s="79" t="str">
        <f>IF(AND(B1632='111'!$L$11,OR($N1632=$Q$7,$O1632=$Q$7)),"x","")</f>
        <v/>
      </c>
      <c r="R1632" s="79" t="str">
        <f>IF(AND($N1632=$Q$7,$B1632&lt;'111'!$L$11),"x","")</f>
        <v/>
      </c>
      <c r="S1632" s="79" t="str">
        <f>IF(AND($O1632=$Q$7,$B1632&lt;'111'!$L$11),"x","")</f>
        <v/>
      </c>
      <c r="T1632" s="79" t="str">
        <f>IF(ISERROR(FIND('112'!$M$9,G1632,1)),"",IF((AND(FIND('112'!$M$9,G1632,1)&gt;=1,B1632='112'!$K$9,OR($N1632='112'!$I$6,$O1632='112'!$I$6))),"x",""))</f>
        <v/>
      </c>
      <c r="U1632" s="79" t="str">
        <f>IF(ISERROR(FIND('112'!$M$9,G1632,1)),"",IF((AND(LEFT(G1632,2)=LEFT('112'!$M$9,2),B1632&lt;'112'!$K$9,$N1632='112'!$I$6)),"x",""))</f>
        <v/>
      </c>
      <c r="V1632" s="79" t="str">
        <f>IF(ISERROR(FIND('112'!$M$9,G1632,1)),"",IF((AND(RIGHT(G1632,2)=RIGHT('112'!$M$9,2),B1632&lt;'112'!$K$9,$O1632='112'!$I$6)),"x",""))</f>
        <v/>
      </c>
      <c r="W1632" s="79" t="str">
        <f>IF(AND('341-CT'!$H$9=H1632,OR(LEFT(N1632,3)=$W$7,LEFT(O1632,3)=$W$7)),"x","")</f>
        <v/>
      </c>
      <c r="X1632" s="79" t="str">
        <f>IF(OR(TH!N1632=TH!$X$7,O1632=TH!$X$7),"x","")</f>
        <v/>
      </c>
      <c r="Y1632" s="79" t="str">
        <f>IF(AND(OR(N1632="131",O1632="131"),H1632='131-CT'!$H$9),"x","")</f>
        <v/>
      </c>
      <c r="Z1632" s="79"/>
      <c r="AA1632" s="79" t="str">
        <f>IF(AND(MONTH(E1632)='IN-NX'!$J$5,'IN-NX'!$D$7=D1632),"x","")</f>
        <v/>
      </c>
      <c r="AB1632" s="79" t="str">
        <f>IF(AND(OR(LEFT(TH!N1632,2)="15",LEFT(TH!O1632,2)="15"),LEFT(TH!O1632,3)&lt;&gt;"111",'152-CT'!$J$8=TH!F1632),"x","")</f>
        <v/>
      </c>
      <c r="AC1632" s="79" t="str">
        <f>IF(AND(OR(LEFT(TH!N1632,2)="15",LEFT(TH!O1632,2)="15"),TK!$E$7=TH!F1632),"x","")</f>
        <v/>
      </c>
      <c r="AD1632" s="79" t="str">
        <f>IF(AND(N1632="1521",MONTH(C1632)='BK-NL'!$M$11),"x","")</f>
        <v/>
      </c>
    </row>
    <row r="1633" spans="1:30" ht="16.5" customHeight="1">
      <c r="A1633" s="318" t="str">
        <f>IF(B1633&lt;&gt;"",IF(AND(B1633='IN-TC'!$S$4,OR(TH!N1633="1111",TH!O1633="1111")),TH!D1633,""),"")</f>
        <v/>
      </c>
      <c r="B1633" s="60" t="str">
        <f t="shared" si="209"/>
        <v/>
      </c>
      <c r="C1633" s="989"/>
      <c r="D1633" s="989"/>
      <c r="E1633" s="989"/>
      <c r="F1633" s="921"/>
      <c r="G1633" s="991"/>
      <c r="H1633" s="1105"/>
      <c r="I1633" s="994"/>
      <c r="J1633" s="992"/>
      <c r="K1633" s="994"/>
      <c r="L1633" s="992"/>
      <c r="M1633" s="995"/>
      <c r="N1633" s="996"/>
      <c r="O1633" s="996"/>
      <c r="P1633" s="79" t="str">
        <f>IF(AND('331-CT'!$E$7=TH!H1633,OR(N1633="331",O1633="331")),"x","")</f>
        <v/>
      </c>
      <c r="Q1633" s="79" t="str">
        <f>IF(AND(B1633='111'!$L$11,OR($N1633=$Q$7,$O1633=$Q$7)),"x","")</f>
        <v/>
      </c>
      <c r="R1633" s="79" t="str">
        <f>IF(AND($N1633=$Q$7,$B1633&lt;'111'!$L$11),"x","")</f>
        <v/>
      </c>
      <c r="S1633" s="79" t="str">
        <f>IF(AND($O1633=$Q$7,$B1633&lt;'111'!$L$11),"x","")</f>
        <v/>
      </c>
      <c r="T1633" s="79" t="str">
        <f>IF(ISERROR(FIND('112'!$M$9,G1633,1)),"",IF((AND(FIND('112'!$M$9,G1633,1)&gt;=1,B1633='112'!$K$9,OR($N1633='112'!$I$6,$O1633='112'!$I$6))),"x",""))</f>
        <v/>
      </c>
      <c r="U1633" s="79" t="str">
        <f>IF(ISERROR(FIND('112'!$M$9,G1633,1)),"",IF((AND(LEFT(G1633,2)=LEFT('112'!$M$9,2),B1633&lt;'112'!$K$9,$N1633='112'!$I$6)),"x",""))</f>
        <v/>
      </c>
      <c r="V1633" s="79" t="str">
        <f>IF(ISERROR(FIND('112'!$M$9,G1633,1)),"",IF((AND(RIGHT(G1633,2)=RIGHT('112'!$M$9,2),B1633&lt;'112'!$K$9,$O1633='112'!$I$6)),"x",""))</f>
        <v/>
      </c>
      <c r="W1633" s="79" t="str">
        <f>IF(AND('341-CT'!$H$9=H1633,OR(LEFT(N1633,3)=$W$7,LEFT(O1633,3)=$W$7)),"x","")</f>
        <v/>
      </c>
      <c r="X1633" s="79" t="str">
        <f>IF(OR(TH!N1633=TH!$X$7,O1633=TH!$X$7),"x","")</f>
        <v/>
      </c>
      <c r="Y1633" s="79" t="str">
        <f>IF(AND(OR(N1633="131",O1633="131"),H1633='131-CT'!$H$9),"x","")</f>
        <v/>
      </c>
      <c r="Z1633" s="79"/>
      <c r="AA1633" s="79" t="str">
        <f>IF(AND(MONTH(E1633)='IN-NX'!$J$5,'IN-NX'!$D$7=D1633),"x","")</f>
        <v/>
      </c>
      <c r="AB1633" s="79" t="str">
        <f>IF(AND(OR(LEFT(TH!N1633,2)="15",LEFT(TH!O1633,2)="15"),LEFT(TH!O1633,3)&lt;&gt;"111",'152-CT'!$J$8=TH!F1633),"x","")</f>
        <v/>
      </c>
      <c r="AC1633" s="79" t="str">
        <f>IF(AND(OR(LEFT(TH!N1633,2)="15",LEFT(TH!O1633,2)="15"),TK!$E$7=TH!F1633),"x","")</f>
        <v/>
      </c>
      <c r="AD1633" s="79" t="str">
        <f>IF(AND(N1633="1521",MONTH(C1633)='BK-NL'!$M$11),"x","")</f>
        <v/>
      </c>
    </row>
    <row r="1634" spans="1:30" ht="16.5" customHeight="1">
      <c r="A1634" s="318" t="str">
        <f>IF(B1634&lt;&gt;"",IF(AND(B1634='IN-TC'!$S$4,OR(TH!N1634="1111",TH!O1634="1111")),TH!D1634,""),"")</f>
        <v/>
      </c>
      <c r="B1634" s="60" t="str">
        <f t="shared" si="209"/>
        <v/>
      </c>
      <c r="C1634" s="989"/>
      <c r="D1634" s="989"/>
      <c r="E1634" s="989"/>
      <c r="F1634" s="921"/>
      <c r="G1634" s="991"/>
      <c r="H1634" s="1105"/>
      <c r="I1634" s="994"/>
      <c r="J1634" s="992"/>
      <c r="K1634" s="994"/>
      <c r="L1634" s="992"/>
      <c r="M1634" s="995"/>
      <c r="N1634" s="996"/>
      <c r="O1634" s="996"/>
      <c r="P1634" s="79" t="str">
        <f>IF(AND('331-CT'!$E$7=TH!H1634,OR(N1634="331",O1634="331")),"x","")</f>
        <v/>
      </c>
      <c r="Q1634" s="79" t="str">
        <f>IF(AND(B1634='111'!$L$11,OR($N1634=$Q$7,$O1634=$Q$7)),"x","")</f>
        <v/>
      </c>
      <c r="R1634" s="79" t="str">
        <f>IF(AND($N1634=$Q$7,$B1634&lt;'111'!$L$11),"x","")</f>
        <v/>
      </c>
      <c r="S1634" s="79" t="str">
        <f>IF(AND($O1634=$Q$7,$B1634&lt;'111'!$L$11),"x","")</f>
        <v/>
      </c>
      <c r="T1634" s="79" t="str">
        <f>IF(ISERROR(FIND('112'!$M$9,G1634,1)),"",IF((AND(FIND('112'!$M$9,G1634,1)&gt;=1,B1634='112'!$K$9,OR($N1634='112'!$I$6,$O1634='112'!$I$6))),"x",""))</f>
        <v/>
      </c>
      <c r="U1634" s="79" t="str">
        <f>IF(ISERROR(FIND('112'!$M$9,G1634,1)),"",IF((AND(LEFT(G1634,2)=LEFT('112'!$M$9,2),B1634&lt;'112'!$K$9,$N1634='112'!$I$6)),"x",""))</f>
        <v/>
      </c>
      <c r="V1634" s="79" t="str">
        <f>IF(ISERROR(FIND('112'!$M$9,G1634,1)),"",IF((AND(RIGHT(G1634,2)=RIGHT('112'!$M$9,2),B1634&lt;'112'!$K$9,$O1634='112'!$I$6)),"x",""))</f>
        <v/>
      </c>
      <c r="W1634" s="79" t="str">
        <f>IF(AND('341-CT'!$H$9=H1634,OR(LEFT(N1634,3)=$W$7,LEFT(O1634,3)=$W$7)),"x","")</f>
        <v/>
      </c>
      <c r="X1634" s="79" t="str">
        <f>IF(OR(TH!N1634=TH!$X$7,O1634=TH!$X$7),"x","")</f>
        <v/>
      </c>
      <c r="Y1634" s="79" t="str">
        <f>IF(AND(OR(N1634="131",O1634="131"),H1634='131-CT'!$H$9),"x","")</f>
        <v/>
      </c>
      <c r="Z1634" s="79"/>
      <c r="AA1634" s="79" t="str">
        <f>IF(AND(MONTH(E1634)='IN-NX'!$J$5,'IN-NX'!$D$7=D1634),"x","")</f>
        <v/>
      </c>
      <c r="AB1634" s="79" t="str">
        <f>IF(AND(OR(LEFT(TH!N1634,2)="15",LEFT(TH!O1634,2)="15"),LEFT(TH!O1634,3)&lt;&gt;"111",'152-CT'!$J$8=TH!F1634),"x","")</f>
        <v/>
      </c>
      <c r="AC1634" s="79" t="str">
        <f>IF(AND(OR(LEFT(TH!N1634,2)="15",LEFT(TH!O1634,2)="15"),TK!$E$7=TH!F1634),"x","")</f>
        <v/>
      </c>
      <c r="AD1634" s="79" t="str">
        <f>IF(AND(N1634="1521",MONTH(C1634)='BK-NL'!$M$11),"x","")</f>
        <v/>
      </c>
    </row>
    <row r="1635" spans="1:30" ht="16.5" customHeight="1">
      <c r="A1635" s="318" t="str">
        <f>IF(B1635&lt;&gt;"",IF(AND(B1635='IN-TC'!$S$4,OR(TH!N1635="1111",TH!O1635="1111")),TH!D1635,""),"")</f>
        <v/>
      </c>
      <c r="B1635" s="60" t="str">
        <f t="shared" si="209"/>
        <v/>
      </c>
      <c r="C1635" s="989"/>
      <c r="D1635" s="989"/>
      <c r="E1635" s="989"/>
      <c r="F1635" s="921"/>
      <c r="G1635" s="991"/>
      <c r="H1635" s="1105"/>
      <c r="I1635" s="994"/>
      <c r="J1635" s="992"/>
      <c r="K1635" s="994"/>
      <c r="L1635" s="992"/>
      <c r="M1635" s="995"/>
      <c r="N1635" s="996"/>
      <c r="O1635" s="996"/>
      <c r="P1635" s="79" t="str">
        <f>IF(AND('331-CT'!$E$7=TH!H1635,OR(N1635="331",O1635="331")),"x","")</f>
        <v/>
      </c>
      <c r="Q1635" s="79" t="str">
        <f>IF(AND(B1635='111'!$L$11,OR($N1635=$Q$7,$O1635=$Q$7)),"x","")</f>
        <v/>
      </c>
      <c r="R1635" s="79" t="str">
        <f>IF(AND($N1635=$Q$7,$B1635&lt;'111'!$L$11),"x","")</f>
        <v/>
      </c>
      <c r="S1635" s="79" t="str">
        <f>IF(AND($O1635=$Q$7,$B1635&lt;'111'!$L$11),"x","")</f>
        <v/>
      </c>
      <c r="T1635" s="79" t="str">
        <f>IF(ISERROR(FIND('112'!$M$9,G1635,1)),"",IF((AND(FIND('112'!$M$9,G1635,1)&gt;=1,B1635='112'!$K$9,OR($N1635='112'!$I$6,$O1635='112'!$I$6))),"x",""))</f>
        <v/>
      </c>
      <c r="U1635" s="79" t="str">
        <f>IF(ISERROR(FIND('112'!$M$9,G1635,1)),"",IF((AND(LEFT(G1635,2)=LEFT('112'!$M$9,2),B1635&lt;'112'!$K$9,$N1635='112'!$I$6)),"x",""))</f>
        <v/>
      </c>
      <c r="V1635" s="79" t="str">
        <f>IF(ISERROR(FIND('112'!$M$9,G1635,1)),"",IF((AND(RIGHT(G1635,2)=RIGHT('112'!$M$9,2),B1635&lt;'112'!$K$9,$O1635='112'!$I$6)),"x",""))</f>
        <v/>
      </c>
      <c r="W1635" s="79" t="str">
        <f>IF(AND('341-CT'!$H$9=H1635,OR(LEFT(N1635,3)=$W$7,LEFT(O1635,3)=$W$7)),"x","")</f>
        <v/>
      </c>
      <c r="X1635" s="79" t="str">
        <f>IF(OR(TH!N1635=TH!$X$7,O1635=TH!$X$7),"x","")</f>
        <v/>
      </c>
      <c r="Y1635" s="79" t="str">
        <f>IF(AND(OR(N1635="131",O1635="131"),H1635='131-CT'!$H$9),"x","")</f>
        <v/>
      </c>
      <c r="Z1635" s="79"/>
      <c r="AA1635" s="79" t="str">
        <f>IF(AND(MONTH(E1635)='IN-NX'!$J$5,'IN-NX'!$D$7=D1635),"x","")</f>
        <v/>
      </c>
      <c r="AB1635" s="79" t="str">
        <f>IF(AND(OR(LEFT(TH!N1635,2)="15",LEFT(TH!O1635,2)="15"),LEFT(TH!O1635,3)&lt;&gt;"111",'152-CT'!$J$8=TH!F1635),"x","")</f>
        <v/>
      </c>
      <c r="AC1635" s="79" t="str">
        <f>IF(AND(OR(LEFT(TH!N1635,2)="15",LEFT(TH!O1635,2)="15"),TK!$E$7=TH!F1635),"x","")</f>
        <v/>
      </c>
      <c r="AD1635" s="79" t="str">
        <f>IF(AND(N1635="1521",MONTH(C1635)='BK-NL'!$M$11),"x","")</f>
        <v/>
      </c>
    </row>
    <row r="1636" spans="1:30" ht="16.5" customHeight="1">
      <c r="A1636" s="318" t="str">
        <f>IF(B1636&lt;&gt;"",IF(AND(B1636='IN-TC'!$S$4,OR(TH!N1636="1111",TH!O1636="1111")),TH!D1636,""),"")</f>
        <v/>
      </c>
      <c r="B1636" s="60" t="str">
        <f t="shared" si="209"/>
        <v/>
      </c>
      <c r="C1636" s="989"/>
      <c r="D1636" s="989"/>
      <c r="E1636" s="989"/>
      <c r="F1636" s="921"/>
      <c r="G1636" s="991"/>
      <c r="H1636" s="1105"/>
      <c r="I1636" s="994"/>
      <c r="J1636" s="992"/>
      <c r="K1636" s="994"/>
      <c r="L1636" s="992"/>
      <c r="M1636" s="995"/>
      <c r="N1636" s="996"/>
      <c r="O1636" s="996"/>
      <c r="P1636" s="79" t="str">
        <f>IF(AND('331-CT'!$E$7=TH!H1636,OR(N1636="331",O1636="331")),"x","")</f>
        <v/>
      </c>
      <c r="Q1636" s="79" t="str">
        <f>IF(AND(B1636='111'!$L$11,OR($N1636=$Q$7,$O1636=$Q$7)),"x","")</f>
        <v/>
      </c>
      <c r="R1636" s="79" t="str">
        <f>IF(AND($N1636=$Q$7,$B1636&lt;'111'!$L$11),"x","")</f>
        <v/>
      </c>
      <c r="S1636" s="79" t="str">
        <f>IF(AND($O1636=$Q$7,$B1636&lt;'111'!$L$11),"x","")</f>
        <v/>
      </c>
      <c r="T1636" s="79" t="str">
        <f>IF(ISERROR(FIND('112'!$M$9,G1636,1)),"",IF((AND(FIND('112'!$M$9,G1636,1)&gt;=1,B1636='112'!$K$9,OR($N1636='112'!$I$6,$O1636='112'!$I$6))),"x",""))</f>
        <v/>
      </c>
      <c r="U1636" s="79" t="str">
        <f>IF(ISERROR(FIND('112'!$M$9,G1636,1)),"",IF((AND(LEFT(G1636,2)=LEFT('112'!$M$9,2),B1636&lt;'112'!$K$9,$N1636='112'!$I$6)),"x",""))</f>
        <v/>
      </c>
      <c r="V1636" s="79" t="str">
        <f>IF(ISERROR(FIND('112'!$M$9,G1636,1)),"",IF((AND(RIGHT(G1636,2)=RIGHT('112'!$M$9,2),B1636&lt;'112'!$K$9,$O1636='112'!$I$6)),"x",""))</f>
        <v/>
      </c>
      <c r="W1636" s="79" t="str">
        <f>IF(AND('341-CT'!$H$9=H1636,OR(LEFT(N1636,3)=$W$7,LEFT(O1636,3)=$W$7)),"x","")</f>
        <v/>
      </c>
      <c r="X1636" s="79" t="str">
        <f>IF(OR(TH!N1636=TH!$X$7,O1636=TH!$X$7),"x","")</f>
        <v/>
      </c>
      <c r="Y1636" s="79" t="str">
        <f>IF(AND(OR(N1636="131",O1636="131"),H1636='131-CT'!$H$9),"x","")</f>
        <v/>
      </c>
      <c r="Z1636" s="79"/>
      <c r="AA1636" s="79" t="str">
        <f>IF(AND(MONTH(E1636)='IN-NX'!$J$5,'IN-NX'!$D$7=D1636),"x","")</f>
        <v/>
      </c>
      <c r="AB1636" s="79" t="str">
        <f>IF(AND(OR(LEFT(TH!N1636,2)="15",LEFT(TH!O1636,2)="15"),LEFT(TH!O1636,3)&lt;&gt;"111",'152-CT'!$J$8=TH!F1636),"x","")</f>
        <v/>
      </c>
      <c r="AC1636" s="79" t="str">
        <f>IF(AND(OR(LEFT(TH!N1636,2)="15",LEFT(TH!O1636,2)="15"),TK!$E$7=TH!F1636),"x","")</f>
        <v/>
      </c>
      <c r="AD1636" s="79" t="str">
        <f>IF(AND(N1636="1521",MONTH(C1636)='BK-NL'!$M$11),"x","")</f>
        <v/>
      </c>
    </row>
    <row r="1637" spans="1:30" ht="16.5" customHeight="1">
      <c r="A1637" s="318" t="str">
        <f>IF(B1637&lt;&gt;"",IF(AND(B1637='IN-TC'!$S$4,OR(TH!N1637="1111",TH!O1637="1111")),TH!D1637,""),"")</f>
        <v/>
      </c>
      <c r="B1637" s="60" t="str">
        <f t="shared" si="209"/>
        <v/>
      </c>
      <c r="C1637" s="989"/>
      <c r="D1637" s="989"/>
      <c r="E1637" s="989"/>
      <c r="F1637" s="921"/>
      <c r="G1637" s="991"/>
      <c r="H1637" s="1105"/>
      <c r="I1637" s="994"/>
      <c r="J1637" s="992"/>
      <c r="K1637" s="994"/>
      <c r="L1637" s="992"/>
      <c r="M1637" s="995"/>
      <c r="N1637" s="996"/>
      <c r="O1637" s="996"/>
      <c r="P1637" s="79" t="str">
        <f>IF(AND('331-CT'!$E$7=TH!H1637,OR(N1637="331",O1637="331")),"x","")</f>
        <v/>
      </c>
      <c r="Q1637" s="79" t="str">
        <f>IF(AND(B1637='111'!$L$11,OR($N1637=$Q$7,$O1637=$Q$7)),"x","")</f>
        <v/>
      </c>
      <c r="R1637" s="79" t="str">
        <f>IF(AND($N1637=$Q$7,$B1637&lt;'111'!$L$11),"x","")</f>
        <v/>
      </c>
      <c r="S1637" s="79" t="str">
        <f>IF(AND($O1637=$Q$7,$B1637&lt;'111'!$L$11),"x","")</f>
        <v/>
      </c>
      <c r="T1637" s="79" t="str">
        <f>IF(ISERROR(FIND('112'!$M$9,G1637,1)),"",IF((AND(FIND('112'!$M$9,G1637,1)&gt;=1,B1637='112'!$K$9,OR($N1637='112'!$I$6,$O1637='112'!$I$6))),"x",""))</f>
        <v/>
      </c>
      <c r="U1637" s="79" t="str">
        <f>IF(ISERROR(FIND('112'!$M$9,G1637,1)),"",IF((AND(LEFT(G1637,2)=LEFT('112'!$M$9,2),B1637&lt;'112'!$K$9,$N1637='112'!$I$6)),"x",""))</f>
        <v/>
      </c>
      <c r="V1637" s="79" t="str">
        <f>IF(ISERROR(FIND('112'!$M$9,G1637,1)),"",IF((AND(RIGHT(G1637,2)=RIGHT('112'!$M$9,2),B1637&lt;'112'!$K$9,$O1637='112'!$I$6)),"x",""))</f>
        <v/>
      </c>
      <c r="W1637" s="79" t="str">
        <f>IF(AND('341-CT'!$H$9=H1637,OR(LEFT(N1637,3)=$W$7,LEFT(O1637,3)=$W$7)),"x","")</f>
        <v/>
      </c>
      <c r="X1637" s="79" t="str">
        <f>IF(OR(TH!N1637=TH!$X$7,O1637=TH!$X$7),"x","")</f>
        <v/>
      </c>
      <c r="Y1637" s="79" t="str">
        <f>IF(AND(OR(N1637="131",O1637="131"),H1637='131-CT'!$H$9),"x","")</f>
        <v/>
      </c>
      <c r="Z1637" s="79"/>
      <c r="AA1637" s="79" t="str">
        <f>IF(AND(MONTH(E1637)='IN-NX'!$J$5,'IN-NX'!$D$7=D1637),"x","")</f>
        <v/>
      </c>
      <c r="AB1637" s="79" t="str">
        <f>IF(AND(OR(LEFT(TH!N1637,2)="15",LEFT(TH!O1637,2)="15"),LEFT(TH!O1637,3)&lt;&gt;"111",'152-CT'!$J$8=TH!F1637),"x","")</f>
        <v/>
      </c>
      <c r="AC1637" s="79" t="str">
        <f>IF(AND(OR(LEFT(TH!N1637,2)="15",LEFT(TH!O1637,2)="15"),TK!$E$7=TH!F1637),"x","")</f>
        <v/>
      </c>
      <c r="AD1637" s="79" t="str">
        <f>IF(AND(N1637="1521",MONTH(C1637)='BK-NL'!$M$11),"x","")</f>
        <v/>
      </c>
    </row>
    <row r="1638" spans="1:30" ht="16.5" customHeight="1">
      <c r="A1638" s="318" t="str">
        <f>IF(B1638&lt;&gt;"",IF(AND(B1638='IN-TC'!$S$4,OR(TH!N1638="1111",TH!O1638="1111")),TH!D1638,""),"")</f>
        <v/>
      </c>
      <c r="B1638" s="60" t="str">
        <f t="shared" si="209"/>
        <v/>
      </c>
      <c r="C1638" s="989"/>
      <c r="D1638" s="989"/>
      <c r="E1638" s="989"/>
      <c r="F1638" s="921"/>
      <c r="G1638" s="991"/>
      <c r="H1638" s="1105"/>
      <c r="I1638" s="994"/>
      <c r="J1638" s="992"/>
      <c r="K1638" s="994"/>
      <c r="L1638" s="992"/>
      <c r="M1638" s="995"/>
      <c r="N1638" s="996"/>
      <c r="O1638" s="996"/>
      <c r="P1638" s="79" t="str">
        <f>IF(AND('331-CT'!$E$7=TH!H1638,OR(N1638="331",O1638="331")),"x","")</f>
        <v/>
      </c>
      <c r="Q1638" s="79" t="str">
        <f>IF(AND(B1638='111'!$L$11,OR($N1638=$Q$7,$O1638=$Q$7)),"x","")</f>
        <v/>
      </c>
      <c r="R1638" s="79" t="str">
        <f>IF(AND($N1638=$Q$7,$B1638&lt;'111'!$L$11),"x","")</f>
        <v/>
      </c>
      <c r="S1638" s="79" t="str">
        <f>IF(AND($O1638=$Q$7,$B1638&lt;'111'!$L$11),"x","")</f>
        <v/>
      </c>
      <c r="T1638" s="79" t="str">
        <f>IF(ISERROR(FIND('112'!$M$9,G1638,1)),"",IF((AND(FIND('112'!$M$9,G1638,1)&gt;=1,B1638='112'!$K$9,OR($N1638='112'!$I$6,$O1638='112'!$I$6))),"x",""))</f>
        <v/>
      </c>
      <c r="U1638" s="79" t="str">
        <f>IF(ISERROR(FIND('112'!$M$9,G1638,1)),"",IF((AND(LEFT(G1638,2)=LEFT('112'!$M$9,2),B1638&lt;'112'!$K$9,$N1638='112'!$I$6)),"x",""))</f>
        <v/>
      </c>
      <c r="V1638" s="79" t="str">
        <f>IF(ISERROR(FIND('112'!$M$9,G1638,1)),"",IF((AND(RIGHT(G1638,2)=RIGHT('112'!$M$9,2),B1638&lt;'112'!$K$9,$O1638='112'!$I$6)),"x",""))</f>
        <v/>
      </c>
      <c r="W1638" s="79" t="str">
        <f>IF(AND('341-CT'!$H$9=H1638,OR(LEFT(N1638,3)=$W$7,LEFT(O1638,3)=$W$7)),"x","")</f>
        <v/>
      </c>
      <c r="X1638" s="79" t="str">
        <f>IF(OR(TH!N1638=TH!$X$7,O1638=TH!$X$7),"x","")</f>
        <v/>
      </c>
      <c r="Y1638" s="79" t="str">
        <f>IF(AND(OR(N1638="131",O1638="131"),H1638='131-CT'!$H$9),"x","")</f>
        <v/>
      </c>
      <c r="Z1638" s="79"/>
      <c r="AA1638" s="79" t="str">
        <f>IF(AND(MONTH(E1638)='IN-NX'!$J$5,'IN-NX'!$D$7=D1638),"x","")</f>
        <v/>
      </c>
      <c r="AB1638" s="79" t="str">
        <f>IF(AND(OR(LEFT(TH!N1638,2)="15",LEFT(TH!O1638,2)="15"),LEFT(TH!O1638,3)&lt;&gt;"111",'152-CT'!$J$8=TH!F1638),"x","")</f>
        <v/>
      </c>
      <c r="AC1638" s="79" t="str">
        <f>IF(AND(OR(LEFT(TH!N1638,2)="15",LEFT(TH!O1638,2)="15"),TK!$E$7=TH!F1638),"x","")</f>
        <v/>
      </c>
      <c r="AD1638" s="79" t="str">
        <f>IF(AND(N1638="1521",MONTH(C1638)='BK-NL'!$M$11),"x","")</f>
        <v/>
      </c>
    </row>
    <row r="1639" spans="1:30" ht="16.5" customHeight="1">
      <c r="A1639" s="318" t="str">
        <f>IF(B1639&lt;&gt;"",IF(AND(B1639='IN-TC'!$S$4,OR(TH!N1639="1111",TH!O1639="1111")),TH!D1639,""),"")</f>
        <v/>
      </c>
      <c r="B1639" s="60" t="str">
        <f t="shared" si="209"/>
        <v/>
      </c>
      <c r="C1639" s="989"/>
      <c r="D1639" s="989"/>
      <c r="E1639" s="989"/>
      <c r="F1639" s="990"/>
      <c r="G1639" s="991"/>
      <c r="H1639" s="1011"/>
      <c r="I1639" s="994"/>
      <c r="J1639" s="992"/>
      <c r="K1639" s="994"/>
      <c r="L1639" s="992"/>
      <c r="M1639" s="995"/>
      <c r="N1639" s="996"/>
      <c r="O1639" s="996"/>
      <c r="P1639" s="79" t="str">
        <f>IF(AND('331-CT'!$E$7=TH!H1639,OR(N1639="331",O1639="331")),"x","")</f>
        <v/>
      </c>
      <c r="Q1639" s="79" t="str">
        <f>IF(AND(B1639='111'!$L$11,OR($N1639=$Q$7,$O1639=$Q$7)),"x","")</f>
        <v/>
      </c>
      <c r="R1639" s="79" t="str">
        <f>IF(AND($N1639=$Q$7,$B1639&lt;'111'!$L$11),"x","")</f>
        <v/>
      </c>
      <c r="S1639" s="79" t="str">
        <f>IF(AND($O1639=$Q$7,$B1639&lt;'111'!$L$11),"x","")</f>
        <v/>
      </c>
      <c r="T1639" s="79" t="str">
        <f>IF(ISERROR(FIND('112'!$M$9,G1639,1)),"",IF((AND(FIND('112'!$M$9,G1639,1)&gt;=1,B1639='112'!$K$9,OR($N1639='112'!$I$6,$O1639='112'!$I$6))),"x",""))</f>
        <v/>
      </c>
      <c r="U1639" s="79" t="str">
        <f>IF(ISERROR(FIND('112'!$M$9,G1639,1)),"",IF((AND(LEFT(G1639,2)=LEFT('112'!$M$9,2),B1639&lt;'112'!$K$9,$N1639='112'!$I$6)),"x",""))</f>
        <v/>
      </c>
      <c r="V1639" s="79" t="str">
        <f>IF(ISERROR(FIND('112'!$M$9,G1639,1)),"",IF((AND(RIGHT(G1639,2)=RIGHT('112'!$M$9,2),B1639&lt;'112'!$K$9,$O1639='112'!$I$6)),"x",""))</f>
        <v/>
      </c>
      <c r="W1639" s="79" t="str">
        <f>IF(AND('341-CT'!$H$9=H1639,OR(LEFT(N1639,3)=$W$7,LEFT(O1639,3)=$W$7)),"x","")</f>
        <v/>
      </c>
      <c r="X1639" s="79" t="str">
        <f>IF(OR(TH!N1639=TH!$X$7,O1639=TH!$X$7),"x","")</f>
        <v/>
      </c>
      <c r="Y1639" s="79" t="str">
        <f>IF(AND(OR(N1639="131",O1639="131"),H1639='131-CT'!$H$9),"x","")</f>
        <v/>
      </c>
      <c r="Z1639" s="79"/>
      <c r="AA1639" s="79" t="str">
        <f>IF(AND(MONTH(E1639)='IN-NX'!$J$5,'IN-NX'!$D$7=D1639),"x","")</f>
        <v/>
      </c>
      <c r="AB1639" s="79" t="str">
        <f>IF(AND(OR(LEFT(TH!N1639,2)="15",LEFT(TH!O1639,2)="15"),LEFT(TH!O1639,3)&lt;&gt;"111",'152-CT'!$J$8=TH!F1639),"x","")</f>
        <v/>
      </c>
      <c r="AC1639" s="79" t="str">
        <f>IF(AND(OR(LEFT(TH!N1639,2)="15",LEFT(TH!O1639,2)="15"),TK!$E$7=TH!F1639),"x","")</f>
        <v/>
      </c>
      <c r="AD1639" s="79" t="str">
        <f>IF(AND(N1639="1521",MONTH(C1639)='BK-NL'!$M$11),"x","")</f>
        <v/>
      </c>
    </row>
    <row r="1640" spans="1:30" ht="16.5" customHeight="1">
      <c r="A1640" s="318" t="str">
        <f>IF(B1640&lt;&gt;"",IF(AND(B1640='IN-TC'!$S$4,OR(TH!N1640="1111",TH!O1640="1111")),TH!D1640,""),"")</f>
        <v/>
      </c>
      <c r="B1640" s="60" t="str">
        <f t="shared" si="209"/>
        <v/>
      </c>
      <c r="C1640" s="989"/>
      <c r="D1640" s="989"/>
      <c r="E1640" s="989"/>
      <c r="F1640" s="990"/>
      <c r="G1640" s="991"/>
      <c r="H1640" s="1011"/>
      <c r="I1640" s="994"/>
      <c r="J1640" s="992"/>
      <c r="K1640" s="994"/>
      <c r="L1640" s="992"/>
      <c r="M1640" s="995"/>
      <c r="N1640" s="996"/>
      <c r="O1640" s="996"/>
      <c r="P1640" s="79" t="str">
        <f>IF(AND('331-CT'!$E$7=TH!H1640,OR(N1640="331",O1640="331")),"x","")</f>
        <v/>
      </c>
      <c r="Q1640" s="79" t="str">
        <f>IF(AND(B1640='111'!$L$11,OR($N1640=$Q$7,$O1640=$Q$7)),"x","")</f>
        <v/>
      </c>
      <c r="R1640" s="79" t="str">
        <f>IF(AND($N1640=$Q$7,$B1640&lt;'111'!$L$11),"x","")</f>
        <v/>
      </c>
      <c r="S1640" s="79" t="str">
        <f>IF(AND($O1640=$Q$7,$B1640&lt;'111'!$L$11),"x","")</f>
        <v/>
      </c>
      <c r="T1640" s="79" t="str">
        <f>IF(ISERROR(FIND('112'!$M$9,G1640,1)),"",IF((AND(FIND('112'!$M$9,G1640,1)&gt;=1,B1640='112'!$K$9,OR($N1640='112'!$I$6,$O1640='112'!$I$6))),"x",""))</f>
        <v/>
      </c>
      <c r="U1640" s="79" t="str">
        <f>IF(ISERROR(FIND('112'!$M$9,G1640,1)),"",IF((AND(LEFT(G1640,2)=LEFT('112'!$M$9,2),B1640&lt;'112'!$K$9,$N1640='112'!$I$6)),"x",""))</f>
        <v/>
      </c>
      <c r="V1640" s="79" t="str">
        <f>IF(ISERROR(FIND('112'!$M$9,G1640,1)),"",IF((AND(RIGHT(G1640,2)=RIGHT('112'!$M$9,2),B1640&lt;'112'!$K$9,$O1640='112'!$I$6)),"x",""))</f>
        <v/>
      </c>
      <c r="W1640" s="79" t="str">
        <f>IF(AND('341-CT'!$H$9=H1640,OR(LEFT(N1640,3)=$W$7,LEFT(O1640,3)=$W$7)),"x","")</f>
        <v/>
      </c>
      <c r="X1640" s="79" t="str">
        <f>IF(OR(TH!N1640=TH!$X$7,O1640=TH!$X$7),"x","")</f>
        <v/>
      </c>
      <c r="Y1640" s="79" t="str">
        <f>IF(AND(OR(N1640="131",O1640="131"),H1640='131-CT'!$H$9),"x","")</f>
        <v/>
      </c>
      <c r="Z1640" s="79"/>
      <c r="AA1640" s="79" t="str">
        <f>IF(AND(MONTH(E1640)='IN-NX'!$J$5,'IN-NX'!$D$7=D1640),"x","")</f>
        <v/>
      </c>
      <c r="AB1640" s="79" t="str">
        <f>IF(AND(OR(LEFT(TH!N1640,2)="15",LEFT(TH!O1640,2)="15"),LEFT(TH!O1640,3)&lt;&gt;"111",'152-CT'!$J$8=TH!F1640),"x","")</f>
        <v/>
      </c>
      <c r="AC1640" s="79" t="str">
        <f>IF(AND(OR(LEFT(TH!N1640,2)="15",LEFT(TH!O1640,2)="15"),TK!$E$7=TH!F1640),"x","")</f>
        <v/>
      </c>
      <c r="AD1640" s="79" t="str">
        <f>IF(AND(N1640="1521",MONTH(C1640)='BK-NL'!$M$11),"x","")</f>
        <v/>
      </c>
    </row>
    <row r="1641" spans="1:30" ht="16.5" customHeight="1">
      <c r="A1641" s="318" t="str">
        <f>IF(B1641&lt;&gt;"",IF(AND(B1641='IN-TC'!$S$4,OR(TH!N1641="1111",TH!O1641="1111")),TH!D1641,""),"")</f>
        <v/>
      </c>
      <c r="B1641" s="60" t="str">
        <f t="shared" si="209"/>
        <v/>
      </c>
      <c r="C1641" s="989"/>
      <c r="D1641" s="989"/>
      <c r="E1641" s="989"/>
      <c r="F1641" s="990"/>
      <c r="G1641" s="991"/>
      <c r="H1641" s="1011"/>
      <c r="I1641" s="994"/>
      <c r="J1641" s="992"/>
      <c r="K1641" s="994"/>
      <c r="L1641" s="992"/>
      <c r="M1641" s="995"/>
      <c r="N1641" s="996"/>
      <c r="O1641" s="996"/>
      <c r="P1641" s="79" t="str">
        <f>IF(AND('331-CT'!$E$7=TH!H1641,OR(N1641="331",O1641="331")),"x","")</f>
        <v/>
      </c>
      <c r="Q1641" s="79" t="str">
        <f>IF(AND(B1641='111'!$L$11,OR($N1641=$Q$7,$O1641=$Q$7)),"x","")</f>
        <v/>
      </c>
      <c r="R1641" s="79" t="str">
        <f>IF(AND($N1641=$Q$7,$B1641&lt;'111'!$L$11),"x","")</f>
        <v/>
      </c>
      <c r="S1641" s="79" t="str">
        <f>IF(AND($O1641=$Q$7,$B1641&lt;'111'!$L$11),"x","")</f>
        <v/>
      </c>
      <c r="T1641" s="79" t="str">
        <f>IF(ISERROR(FIND('112'!$M$9,G1641,1)),"",IF((AND(FIND('112'!$M$9,G1641,1)&gt;=1,B1641='112'!$K$9,OR($N1641='112'!$I$6,$O1641='112'!$I$6))),"x",""))</f>
        <v/>
      </c>
      <c r="U1641" s="79" t="str">
        <f>IF(ISERROR(FIND('112'!$M$9,G1641,1)),"",IF((AND(LEFT(G1641,2)=LEFT('112'!$M$9,2),B1641&lt;'112'!$K$9,$N1641='112'!$I$6)),"x",""))</f>
        <v/>
      </c>
      <c r="V1641" s="79" t="str">
        <f>IF(ISERROR(FIND('112'!$M$9,G1641,1)),"",IF((AND(RIGHT(G1641,2)=RIGHT('112'!$M$9,2),B1641&lt;'112'!$K$9,$O1641='112'!$I$6)),"x",""))</f>
        <v/>
      </c>
      <c r="W1641" s="79" t="str">
        <f>IF(AND('341-CT'!$H$9=H1641,OR(LEFT(N1641,3)=$W$7,LEFT(O1641,3)=$W$7)),"x","")</f>
        <v/>
      </c>
      <c r="X1641" s="79" t="str">
        <f>IF(OR(TH!N1641=TH!$X$7,O1641=TH!$X$7),"x","")</f>
        <v/>
      </c>
      <c r="Y1641" s="79" t="str">
        <f>IF(AND(OR(N1641="131",O1641="131"),H1641='131-CT'!$H$9),"x","")</f>
        <v/>
      </c>
      <c r="Z1641" s="79"/>
      <c r="AA1641" s="79" t="str">
        <f>IF(AND(MONTH(E1641)='IN-NX'!$J$5,'IN-NX'!$D$7=D1641),"x","")</f>
        <v/>
      </c>
      <c r="AB1641" s="79" t="str">
        <f>IF(AND(OR(LEFT(TH!N1641,2)="15",LEFT(TH!O1641,2)="15"),LEFT(TH!O1641,3)&lt;&gt;"111",'152-CT'!$J$8=TH!F1641),"x","")</f>
        <v/>
      </c>
      <c r="AC1641" s="79" t="str">
        <f>IF(AND(OR(LEFT(TH!N1641,2)="15",LEFT(TH!O1641,2)="15"),TK!$E$7=TH!F1641),"x","")</f>
        <v/>
      </c>
      <c r="AD1641" s="79" t="str">
        <f>IF(AND(N1641="1521",MONTH(C1641)='BK-NL'!$M$11),"x","")</f>
        <v/>
      </c>
    </row>
    <row r="1642" spans="1:30" ht="16.5" customHeight="1">
      <c r="A1642" s="318" t="str">
        <f>IF(B1642&lt;&gt;"",IF(AND(B1642='IN-TC'!$S$4,OR(TH!N1642="1111",TH!O1642="1111")),TH!D1642,""),"")</f>
        <v/>
      </c>
      <c r="B1642" s="60" t="str">
        <f t="shared" si="209"/>
        <v/>
      </c>
      <c r="C1642" s="989"/>
      <c r="D1642" s="989"/>
      <c r="E1642" s="989"/>
      <c r="F1642" s="990"/>
      <c r="G1642" s="991"/>
      <c r="H1642" s="1011"/>
      <c r="I1642" s="994"/>
      <c r="J1642" s="992"/>
      <c r="K1642" s="994"/>
      <c r="L1642" s="992"/>
      <c r="M1642" s="995"/>
      <c r="N1642" s="996"/>
      <c r="O1642" s="996"/>
      <c r="P1642" s="79" t="str">
        <f>IF(AND('331-CT'!$E$7=TH!H1642,OR(N1642="331",O1642="331")),"x","")</f>
        <v/>
      </c>
      <c r="Q1642" s="79" t="str">
        <f>IF(AND(B1642='111'!$L$11,OR($N1642=$Q$7,$O1642=$Q$7)),"x","")</f>
        <v/>
      </c>
      <c r="R1642" s="79" t="str">
        <f>IF(AND($N1642=$Q$7,$B1642&lt;'111'!$L$11),"x","")</f>
        <v/>
      </c>
      <c r="S1642" s="79" t="str">
        <f>IF(AND($O1642=$Q$7,$B1642&lt;'111'!$L$11),"x","")</f>
        <v/>
      </c>
      <c r="T1642" s="79" t="str">
        <f>IF(ISERROR(FIND('112'!$M$9,G1642,1)),"",IF((AND(FIND('112'!$M$9,G1642,1)&gt;=1,B1642='112'!$K$9,OR($N1642='112'!$I$6,$O1642='112'!$I$6))),"x",""))</f>
        <v/>
      </c>
      <c r="U1642" s="79" t="str">
        <f>IF(ISERROR(FIND('112'!$M$9,G1642,1)),"",IF((AND(LEFT(G1642,2)=LEFT('112'!$M$9,2),B1642&lt;'112'!$K$9,$N1642='112'!$I$6)),"x",""))</f>
        <v/>
      </c>
      <c r="V1642" s="79" t="str">
        <f>IF(ISERROR(FIND('112'!$M$9,G1642,1)),"",IF((AND(RIGHT(G1642,2)=RIGHT('112'!$M$9,2),B1642&lt;'112'!$K$9,$O1642='112'!$I$6)),"x",""))</f>
        <v/>
      </c>
      <c r="W1642" s="79" t="str">
        <f>IF(AND('341-CT'!$H$9=H1642,OR(LEFT(N1642,3)=$W$7,LEFT(O1642,3)=$W$7)),"x","")</f>
        <v/>
      </c>
      <c r="X1642" s="79" t="str">
        <f>IF(OR(TH!N1642=TH!$X$7,O1642=TH!$X$7),"x","")</f>
        <v/>
      </c>
      <c r="Y1642" s="79" t="str">
        <f>IF(AND(OR(N1642="131",O1642="131"),H1642='131-CT'!$H$9),"x","")</f>
        <v/>
      </c>
      <c r="Z1642" s="79"/>
      <c r="AA1642" s="79" t="str">
        <f>IF(AND(MONTH(E1642)='IN-NX'!$J$5,'IN-NX'!$D$7=D1642),"x","")</f>
        <v/>
      </c>
      <c r="AB1642" s="79" t="str">
        <f>IF(AND(OR(LEFT(TH!N1642,2)="15",LEFT(TH!O1642,2)="15"),LEFT(TH!O1642,3)&lt;&gt;"111",'152-CT'!$J$8=TH!F1642),"x","")</f>
        <v/>
      </c>
      <c r="AC1642" s="79" t="str">
        <f>IF(AND(OR(LEFT(TH!N1642,2)="15",LEFT(TH!O1642,2)="15"),TK!$E$7=TH!F1642),"x","")</f>
        <v/>
      </c>
      <c r="AD1642" s="79" t="str">
        <f>IF(AND(N1642="1521",MONTH(C1642)='BK-NL'!$M$11),"x","")</f>
        <v/>
      </c>
    </row>
    <row r="1643" spans="1:30" ht="16.5" customHeight="1">
      <c r="A1643" s="318" t="str">
        <f>IF(B1643&lt;&gt;"",IF(AND(B1643='IN-TC'!$S$4,OR(TH!N1643="1111",TH!O1643="1111")),TH!D1643,""),"")</f>
        <v/>
      </c>
      <c r="B1643" s="60" t="str">
        <f t="shared" si="209"/>
        <v/>
      </c>
      <c r="C1643" s="989"/>
      <c r="D1643" s="989"/>
      <c r="E1643" s="989"/>
      <c r="F1643" s="990"/>
      <c r="G1643" s="991"/>
      <c r="H1643" s="1011"/>
      <c r="I1643" s="994"/>
      <c r="J1643" s="992"/>
      <c r="K1643" s="994"/>
      <c r="L1643" s="992"/>
      <c r="M1643" s="995"/>
      <c r="N1643" s="996"/>
      <c r="O1643" s="996"/>
      <c r="P1643" s="79" t="str">
        <f>IF(AND('331-CT'!$E$7=TH!H1643,OR(N1643="331",O1643="331")),"x","")</f>
        <v/>
      </c>
      <c r="Q1643" s="79" t="str">
        <f>IF(AND(B1643='111'!$L$11,OR($N1643=$Q$7,$O1643=$Q$7)),"x","")</f>
        <v/>
      </c>
      <c r="R1643" s="79" t="str">
        <f>IF(AND($N1643=$Q$7,$B1643&lt;'111'!$L$11),"x","")</f>
        <v/>
      </c>
      <c r="S1643" s="79" t="str">
        <f>IF(AND($O1643=$Q$7,$B1643&lt;'111'!$L$11),"x","")</f>
        <v/>
      </c>
      <c r="T1643" s="79" t="str">
        <f>IF(ISERROR(FIND('112'!$M$9,G1643,1)),"",IF((AND(FIND('112'!$M$9,G1643,1)&gt;=1,B1643='112'!$K$9,OR($N1643='112'!$I$6,$O1643='112'!$I$6))),"x",""))</f>
        <v/>
      </c>
      <c r="U1643" s="79" t="str">
        <f>IF(ISERROR(FIND('112'!$M$9,G1643,1)),"",IF((AND(LEFT(G1643,2)=LEFT('112'!$M$9,2),B1643&lt;'112'!$K$9,$N1643='112'!$I$6)),"x",""))</f>
        <v/>
      </c>
      <c r="V1643" s="79" t="str">
        <f>IF(ISERROR(FIND('112'!$M$9,G1643,1)),"",IF((AND(RIGHT(G1643,2)=RIGHT('112'!$M$9,2),B1643&lt;'112'!$K$9,$O1643='112'!$I$6)),"x",""))</f>
        <v/>
      </c>
      <c r="W1643" s="79" t="str">
        <f>IF(AND('341-CT'!$H$9=H1643,OR(LEFT(N1643,3)=$W$7,LEFT(O1643,3)=$W$7)),"x","")</f>
        <v/>
      </c>
      <c r="X1643" s="79" t="str">
        <f>IF(OR(TH!N1643=TH!$X$7,O1643=TH!$X$7),"x","")</f>
        <v/>
      </c>
      <c r="Y1643" s="79" t="str">
        <f>IF(AND(OR(N1643="131",O1643="131"),H1643='131-CT'!$H$9),"x","")</f>
        <v/>
      </c>
      <c r="Z1643" s="79"/>
      <c r="AA1643" s="79" t="str">
        <f>IF(AND(MONTH(E1643)='IN-NX'!$J$5,'IN-NX'!$D$7=D1643),"x","")</f>
        <v/>
      </c>
      <c r="AB1643" s="79" t="str">
        <f>IF(AND(OR(LEFT(TH!N1643,2)="15",LEFT(TH!O1643,2)="15"),LEFT(TH!O1643,3)&lt;&gt;"111",'152-CT'!$J$8=TH!F1643),"x","")</f>
        <v/>
      </c>
      <c r="AC1643" s="79" t="str">
        <f>IF(AND(OR(LEFT(TH!N1643,2)="15",LEFT(TH!O1643,2)="15"),TK!$E$7=TH!F1643),"x","")</f>
        <v/>
      </c>
      <c r="AD1643" s="79" t="str">
        <f>IF(AND(N1643="1521",MONTH(C1643)='BK-NL'!$M$11),"x","")</f>
        <v/>
      </c>
    </row>
    <row r="1644" spans="1:30" ht="16.5" customHeight="1">
      <c r="A1644" s="318" t="str">
        <f>IF(B1644&lt;&gt;"",IF(AND(B1644='IN-TC'!$S$4,OR(TH!N1644="1111",TH!O1644="1111")),TH!D1644,""),"")</f>
        <v/>
      </c>
      <c r="B1644" s="60" t="str">
        <f t="shared" si="209"/>
        <v/>
      </c>
      <c r="C1644" s="989"/>
      <c r="D1644" s="989"/>
      <c r="E1644" s="989"/>
      <c r="F1644" s="990"/>
      <c r="G1644" s="991"/>
      <c r="H1644" s="1011"/>
      <c r="I1644" s="994"/>
      <c r="J1644" s="992"/>
      <c r="K1644" s="994"/>
      <c r="L1644" s="992"/>
      <c r="M1644" s="995"/>
      <c r="N1644" s="996"/>
      <c r="O1644" s="996"/>
      <c r="P1644" s="79" t="str">
        <f>IF(AND('331-CT'!$E$7=TH!H1644,OR(N1644="331",O1644="331")),"x","")</f>
        <v/>
      </c>
      <c r="Q1644" s="79" t="str">
        <f>IF(AND(B1644='111'!$L$11,OR($N1644=$Q$7,$O1644=$Q$7)),"x","")</f>
        <v/>
      </c>
      <c r="R1644" s="79" t="str">
        <f>IF(AND($N1644=$Q$7,$B1644&lt;'111'!$L$11),"x","")</f>
        <v/>
      </c>
      <c r="S1644" s="79" t="str">
        <f>IF(AND($O1644=$Q$7,$B1644&lt;'111'!$L$11),"x","")</f>
        <v/>
      </c>
      <c r="T1644" s="79" t="str">
        <f>IF(ISERROR(FIND('112'!$M$9,G1644,1)),"",IF((AND(FIND('112'!$M$9,G1644,1)&gt;=1,B1644='112'!$K$9,OR($N1644='112'!$I$6,$O1644='112'!$I$6))),"x",""))</f>
        <v/>
      </c>
      <c r="U1644" s="79" t="str">
        <f>IF(ISERROR(FIND('112'!$M$9,G1644,1)),"",IF((AND(LEFT(G1644,2)=LEFT('112'!$M$9,2),B1644&lt;'112'!$K$9,$N1644='112'!$I$6)),"x",""))</f>
        <v/>
      </c>
      <c r="V1644" s="79" t="str">
        <f>IF(ISERROR(FIND('112'!$M$9,G1644,1)),"",IF((AND(RIGHT(G1644,2)=RIGHT('112'!$M$9,2),B1644&lt;'112'!$K$9,$O1644='112'!$I$6)),"x",""))</f>
        <v/>
      </c>
      <c r="W1644" s="79" t="str">
        <f>IF(AND('341-CT'!$H$9=H1644,OR(LEFT(N1644,3)=$W$7,LEFT(O1644,3)=$W$7)),"x","")</f>
        <v/>
      </c>
      <c r="X1644" s="79" t="str">
        <f>IF(OR(TH!N1644=TH!$X$7,O1644=TH!$X$7),"x","")</f>
        <v/>
      </c>
      <c r="Y1644" s="79" t="str">
        <f>IF(AND(OR(N1644="131",O1644="131"),H1644='131-CT'!$H$9),"x","")</f>
        <v/>
      </c>
      <c r="Z1644" s="79"/>
      <c r="AA1644" s="79" t="str">
        <f>IF(AND(MONTH(E1644)='IN-NX'!$J$5,'IN-NX'!$D$7=D1644),"x","")</f>
        <v/>
      </c>
      <c r="AB1644" s="79" t="str">
        <f>IF(AND(OR(LEFT(TH!N1644,2)="15",LEFT(TH!O1644,2)="15"),LEFT(TH!O1644,3)&lt;&gt;"111",'152-CT'!$J$8=TH!F1644),"x","")</f>
        <v/>
      </c>
      <c r="AC1644" s="79" t="str">
        <f>IF(AND(OR(LEFT(TH!N1644,2)="15",LEFT(TH!O1644,2)="15"),TK!$E$7=TH!F1644),"x","")</f>
        <v/>
      </c>
      <c r="AD1644" s="79" t="str">
        <f>IF(AND(N1644="1521",MONTH(C1644)='BK-NL'!$M$11),"x","")</f>
        <v/>
      </c>
    </row>
    <row r="1645" spans="1:30" ht="16.5" customHeight="1">
      <c r="A1645" s="318" t="str">
        <f>IF(B1645&lt;&gt;"",IF(AND(B1645='IN-TC'!$S$4,OR(TH!N1645="1111",TH!O1645="1111")),TH!D1645,""),"")</f>
        <v/>
      </c>
      <c r="B1645" s="60" t="str">
        <f t="shared" si="209"/>
        <v/>
      </c>
      <c r="C1645" s="989"/>
      <c r="D1645" s="989"/>
      <c r="E1645" s="989"/>
      <c r="F1645" s="990"/>
      <c r="G1645" s="991"/>
      <c r="H1645" s="921"/>
      <c r="I1645" s="994"/>
      <c r="J1645" s="993"/>
      <c r="K1645" s="994"/>
      <c r="L1645" s="992"/>
      <c r="M1645" s="995"/>
      <c r="N1645" s="996"/>
      <c r="O1645" s="996"/>
      <c r="P1645" s="79" t="str">
        <f>IF(AND('331-CT'!$E$7=TH!H1645,OR(N1645="331",O1645="331")),"x","")</f>
        <v/>
      </c>
      <c r="Q1645" s="79" t="str">
        <f>IF(AND(B1645='111'!$L$11,OR($N1645=$Q$7,$O1645=$Q$7)),"x","")</f>
        <v/>
      </c>
      <c r="R1645" s="79" t="str">
        <f>IF(AND($N1645=$Q$7,$B1645&lt;'111'!$L$11),"x","")</f>
        <v/>
      </c>
      <c r="S1645" s="79" t="str">
        <f>IF(AND($O1645=$Q$7,$B1645&lt;'111'!$L$11),"x","")</f>
        <v/>
      </c>
      <c r="T1645" s="79" t="str">
        <f>IF(ISERROR(FIND('112'!$M$9,G1645,1)),"",IF((AND(FIND('112'!$M$9,G1645,1)&gt;=1,B1645='112'!$K$9,OR($N1645='112'!$I$6,$O1645='112'!$I$6))),"x",""))</f>
        <v/>
      </c>
      <c r="U1645" s="79" t="str">
        <f>IF(ISERROR(FIND('112'!$M$9,G1645,1)),"",IF((AND(LEFT(G1645,2)=LEFT('112'!$M$9,2),B1645&lt;'112'!$K$9,$N1645='112'!$I$6)),"x",""))</f>
        <v/>
      </c>
      <c r="V1645" s="79" t="str">
        <f>IF(ISERROR(FIND('112'!$M$9,G1645,1)),"",IF((AND(RIGHT(G1645,2)=RIGHT('112'!$M$9,2),B1645&lt;'112'!$K$9,$O1645='112'!$I$6)),"x",""))</f>
        <v/>
      </c>
      <c r="W1645" s="79" t="str">
        <f>IF(AND('341-CT'!$H$9=H1645,OR(LEFT(N1645,3)=$W$7,LEFT(O1645,3)=$W$7)),"x","")</f>
        <v/>
      </c>
      <c r="X1645" s="79" t="str">
        <f>IF(OR(TH!N1645=TH!$X$7,O1645=TH!$X$7),"x","")</f>
        <v/>
      </c>
      <c r="Y1645" s="79" t="str">
        <f>IF(AND(OR(N1645="131",O1645="131"),H1645='131-CT'!$H$9),"x","")</f>
        <v/>
      </c>
      <c r="Z1645" s="79"/>
      <c r="AA1645" s="79" t="str">
        <f>IF(AND(MONTH(E1645)='IN-NX'!$J$5,'IN-NX'!$D$7=D1645),"x","")</f>
        <v/>
      </c>
      <c r="AB1645" s="79" t="str">
        <f>IF(AND(OR(LEFT(TH!N1645,2)="15",LEFT(TH!O1645,2)="15"),LEFT(TH!O1645,3)&lt;&gt;"111",'152-CT'!$J$8=TH!F1645),"x","")</f>
        <v/>
      </c>
      <c r="AC1645" s="79" t="str">
        <f>IF(AND(OR(LEFT(TH!N1645,2)="15",LEFT(TH!O1645,2)="15"),TK!$E$7=TH!F1645),"x","")</f>
        <v/>
      </c>
      <c r="AD1645" s="79" t="str">
        <f>IF(AND(N1645="1521",MONTH(C1645)='BK-NL'!$M$11),"x","")</f>
        <v/>
      </c>
    </row>
    <row r="1646" spans="1:30" ht="16.5" customHeight="1">
      <c r="A1646" s="318" t="str">
        <f>IF(B1646&lt;&gt;"",IF(AND(B1646='IN-TC'!$S$4,OR(TH!N1646="1111",TH!O1646="1111")),TH!D1646,""),"")</f>
        <v/>
      </c>
      <c r="B1646" s="60" t="str">
        <f t="shared" si="209"/>
        <v/>
      </c>
      <c r="C1646" s="989"/>
      <c r="D1646" s="989"/>
      <c r="E1646" s="989"/>
      <c r="F1646" s="990"/>
      <c r="G1646" s="991"/>
      <c r="H1646" s="921"/>
      <c r="I1646" s="994"/>
      <c r="J1646" s="993"/>
      <c r="K1646" s="994"/>
      <c r="L1646" s="992"/>
      <c r="M1646" s="995"/>
      <c r="N1646" s="996"/>
      <c r="O1646" s="996"/>
      <c r="P1646" s="79" t="str">
        <f>IF(AND('331-CT'!$E$7=TH!H1646,OR(N1646="331",O1646="331")),"x","")</f>
        <v/>
      </c>
      <c r="Q1646" s="79" t="str">
        <f>IF(AND(B1646='111'!$L$11,OR($N1646=$Q$7,$O1646=$Q$7)),"x","")</f>
        <v/>
      </c>
      <c r="R1646" s="79" t="str">
        <f>IF(AND($N1646=$Q$7,$B1646&lt;'111'!$L$11),"x","")</f>
        <v/>
      </c>
      <c r="S1646" s="79" t="str">
        <f>IF(AND($O1646=$Q$7,$B1646&lt;'111'!$L$11),"x","")</f>
        <v/>
      </c>
      <c r="T1646" s="79" t="str">
        <f>IF(ISERROR(FIND('112'!$M$9,G1646,1)),"",IF((AND(FIND('112'!$M$9,G1646,1)&gt;=1,B1646='112'!$K$9,OR($N1646='112'!$I$6,$O1646='112'!$I$6))),"x",""))</f>
        <v/>
      </c>
      <c r="U1646" s="79" t="str">
        <f>IF(ISERROR(FIND('112'!$M$9,G1646,1)),"",IF((AND(LEFT(G1646,2)=LEFT('112'!$M$9,2),B1646&lt;'112'!$K$9,$N1646='112'!$I$6)),"x",""))</f>
        <v/>
      </c>
      <c r="V1646" s="79" t="str">
        <f>IF(ISERROR(FIND('112'!$M$9,G1646,1)),"",IF((AND(RIGHT(G1646,2)=RIGHT('112'!$M$9,2),B1646&lt;'112'!$K$9,$O1646='112'!$I$6)),"x",""))</f>
        <v/>
      </c>
      <c r="W1646" s="79" t="str">
        <f>IF(AND('341-CT'!$H$9=H1646,OR(LEFT(N1646,3)=$W$7,LEFT(O1646,3)=$W$7)),"x","")</f>
        <v/>
      </c>
      <c r="X1646" s="79" t="str">
        <f>IF(OR(TH!N1646=TH!$X$7,O1646=TH!$X$7),"x","")</f>
        <v/>
      </c>
      <c r="Y1646" s="79" t="str">
        <f>IF(AND(OR(N1646="131",O1646="131"),H1646='131-CT'!$H$9),"x","")</f>
        <v/>
      </c>
      <c r="Z1646" s="79"/>
      <c r="AA1646" s="79" t="str">
        <f>IF(AND(MONTH(E1646)='IN-NX'!$J$5,'IN-NX'!$D$7=D1646),"x","")</f>
        <v/>
      </c>
      <c r="AB1646" s="79" t="str">
        <f>IF(AND(OR(LEFT(TH!N1646,2)="15",LEFT(TH!O1646,2)="15"),LEFT(TH!O1646,3)&lt;&gt;"111",'152-CT'!$J$8=TH!F1646),"x","")</f>
        <v/>
      </c>
      <c r="AC1646" s="79" t="str">
        <f>IF(AND(OR(LEFT(TH!N1646,2)="15",LEFT(TH!O1646,2)="15"),TK!$E$7=TH!F1646),"x","")</f>
        <v/>
      </c>
      <c r="AD1646" s="79" t="str">
        <f>IF(AND(N1646="1521",MONTH(C1646)='BK-NL'!$M$11),"x","")</f>
        <v/>
      </c>
    </row>
    <row r="1647" spans="1:30" ht="16.5" customHeight="1">
      <c r="A1647" s="318" t="str">
        <f>IF(B1647&lt;&gt;"",IF(AND(B1647='IN-TC'!$S$4,OR(TH!N1647="1111",TH!O1647="1111")),TH!D1647,""),"")</f>
        <v/>
      </c>
      <c r="B1647" s="60" t="str">
        <f t="shared" si="209"/>
        <v/>
      </c>
      <c r="C1647" s="989"/>
      <c r="D1647" s="989"/>
      <c r="E1647" s="989"/>
      <c r="F1647" s="921"/>
      <c r="G1647" s="991"/>
      <c r="H1647" s="1011"/>
      <c r="I1647" s="994"/>
      <c r="J1647" s="992"/>
      <c r="K1647" s="994"/>
      <c r="L1647" s="992"/>
      <c r="M1647" s="995"/>
      <c r="N1647" s="996"/>
      <c r="O1647" s="996"/>
      <c r="P1647" s="79" t="str">
        <f>IF(AND('331-CT'!$E$7=TH!H1647,OR(N1647="331",O1647="331")),"x","")</f>
        <v/>
      </c>
      <c r="Q1647" s="79" t="str">
        <f>IF(AND(B1647='111'!$L$11,OR($N1647=$Q$7,$O1647=$Q$7)),"x","")</f>
        <v/>
      </c>
      <c r="R1647" s="79" t="str">
        <f>IF(AND($N1647=$Q$7,$B1647&lt;'111'!$L$11),"x","")</f>
        <v/>
      </c>
      <c r="S1647" s="79" t="str">
        <f>IF(AND($O1647=$Q$7,$B1647&lt;'111'!$L$11),"x","")</f>
        <v/>
      </c>
      <c r="T1647" s="79" t="str">
        <f>IF(ISERROR(FIND('112'!$M$9,G1647,1)),"",IF((AND(FIND('112'!$M$9,G1647,1)&gt;=1,B1647='112'!$K$9,OR($N1647='112'!$I$6,$O1647='112'!$I$6))),"x",""))</f>
        <v/>
      </c>
      <c r="U1647" s="79" t="str">
        <f>IF(ISERROR(FIND('112'!$M$9,G1647,1)),"",IF((AND(LEFT(G1647,2)=LEFT('112'!$M$9,2),B1647&lt;'112'!$K$9,$N1647='112'!$I$6)),"x",""))</f>
        <v/>
      </c>
      <c r="V1647" s="79" t="str">
        <f>IF(ISERROR(FIND('112'!$M$9,G1647,1)),"",IF((AND(RIGHT(G1647,2)=RIGHT('112'!$M$9,2),B1647&lt;'112'!$K$9,$O1647='112'!$I$6)),"x",""))</f>
        <v/>
      </c>
      <c r="W1647" s="79" t="str">
        <f>IF(AND('341-CT'!$H$9=H1647,OR(LEFT(N1647,3)=$W$7,LEFT(O1647,3)=$W$7)),"x","")</f>
        <v/>
      </c>
      <c r="X1647" s="79" t="str">
        <f>IF(OR(TH!N1647=TH!$X$7,O1647=TH!$X$7),"x","")</f>
        <v/>
      </c>
      <c r="Y1647" s="79" t="str">
        <f>IF(AND(OR(N1647="131",O1647="131"),H1647='131-CT'!$H$9),"x","")</f>
        <v/>
      </c>
      <c r="Z1647" s="79"/>
      <c r="AA1647" s="79" t="str">
        <f>IF(AND(MONTH(E1647)='IN-NX'!$J$5,'IN-NX'!$D$7=D1647),"x","")</f>
        <v/>
      </c>
      <c r="AB1647" s="79" t="str">
        <f>IF(AND(OR(LEFT(TH!N1647,2)="15",LEFT(TH!O1647,2)="15"),LEFT(TH!O1647,3)&lt;&gt;"111",'152-CT'!$J$8=TH!F1647),"x","")</f>
        <v/>
      </c>
      <c r="AC1647" s="79" t="str">
        <f>IF(AND(OR(LEFT(TH!N1647,2)="15",LEFT(TH!O1647,2)="15"),TK!$E$7=TH!F1647),"x","")</f>
        <v/>
      </c>
      <c r="AD1647" s="79" t="str">
        <f>IF(AND(N1647="1521",MONTH(C1647)='BK-NL'!$M$11),"x","")</f>
        <v/>
      </c>
    </row>
    <row r="1648" spans="1:30" ht="16.5" customHeight="1">
      <c r="A1648" s="318" t="str">
        <f>IF(B1648&lt;&gt;"",IF(AND(B1648='IN-TC'!$S$4,OR(TH!N1648="1111",TH!O1648="1111")),TH!D1648,""),"")</f>
        <v/>
      </c>
      <c r="B1648" s="60" t="str">
        <f t="shared" si="209"/>
        <v/>
      </c>
      <c r="C1648" s="989"/>
      <c r="D1648" s="989"/>
      <c r="E1648" s="989"/>
      <c r="F1648" s="921"/>
      <c r="G1648" s="991"/>
      <c r="H1648" s="1011"/>
      <c r="I1648" s="994"/>
      <c r="J1648" s="992"/>
      <c r="K1648" s="994"/>
      <c r="L1648" s="992"/>
      <c r="M1648" s="995"/>
      <c r="N1648" s="996"/>
      <c r="O1648" s="996"/>
      <c r="P1648" s="79" t="str">
        <f>IF(AND('331-CT'!$E$7=TH!H1648,OR(N1648="331",O1648="331")),"x","")</f>
        <v/>
      </c>
      <c r="Q1648" s="79" t="str">
        <f>IF(AND(B1648='111'!$L$11,OR($N1648=$Q$7,$O1648=$Q$7)),"x","")</f>
        <v/>
      </c>
      <c r="R1648" s="79" t="str">
        <f>IF(AND($N1648=$Q$7,$B1648&lt;'111'!$L$11),"x","")</f>
        <v/>
      </c>
      <c r="S1648" s="79" t="str">
        <f>IF(AND($O1648=$Q$7,$B1648&lt;'111'!$L$11),"x","")</f>
        <v/>
      </c>
      <c r="T1648" s="79" t="str">
        <f>IF(ISERROR(FIND('112'!$M$9,G1648,1)),"",IF((AND(FIND('112'!$M$9,G1648,1)&gt;=1,B1648='112'!$K$9,OR($N1648='112'!$I$6,$O1648='112'!$I$6))),"x",""))</f>
        <v/>
      </c>
      <c r="U1648" s="79" t="str">
        <f>IF(ISERROR(FIND('112'!$M$9,G1648,1)),"",IF((AND(LEFT(G1648,2)=LEFT('112'!$M$9,2),B1648&lt;'112'!$K$9,$N1648='112'!$I$6)),"x",""))</f>
        <v/>
      </c>
      <c r="V1648" s="79" t="str">
        <f>IF(ISERROR(FIND('112'!$M$9,G1648,1)),"",IF((AND(RIGHT(G1648,2)=RIGHT('112'!$M$9,2),B1648&lt;'112'!$K$9,$O1648='112'!$I$6)),"x",""))</f>
        <v/>
      </c>
      <c r="W1648" s="79" t="str">
        <f>IF(AND('341-CT'!$H$9=H1648,OR(LEFT(N1648,3)=$W$7,LEFT(O1648,3)=$W$7)),"x","")</f>
        <v/>
      </c>
      <c r="X1648" s="79" t="str">
        <f>IF(OR(TH!N1648=TH!$X$7,O1648=TH!$X$7),"x","")</f>
        <v/>
      </c>
      <c r="Y1648" s="79" t="str">
        <f>IF(AND(OR(N1648="131",O1648="131"),H1648='131-CT'!$H$9),"x","")</f>
        <v/>
      </c>
      <c r="Z1648" s="79"/>
      <c r="AA1648" s="79" t="str">
        <f>IF(AND(MONTH(E1648)='IN-NX'!$J$5,'IN-NX'!$D$7=D1648),"x","")</f>
        <v/>
      </c>
      <c r="AB1648" s="79" t="str">
        <f>IF(AND(OR(LEFT(TH!N1648,2)="15",LEFT(TH!O1648,2)="15"),LEFT(TH!O1648,3)&lt;&gt;"111",'152-CT'!$J$8=TH!F1648),"x","")</f>
        <v/>
      </c>
      <c r="AC1648" s="79" t="str">
        <f>IF(AND(OR(LEFT(TH!N1648,2)="15",LEFT(TH!O1648,2)="15"),TK!$E$7=TH!F1648),"x","")</f>
        <v/>
      </c>
      <c r="AD1648" s="79" t="str">
        <f>IF(AND(N1648="1521",MONTH(C1648)='BK-NL'!$M$11),"x","")</f>
        <v/>
      </c>
    </row>
    <row r="1649" spans="1:30" ht="16.5" customHeight="1">
      <c r="A1649" s="318" t="str">
        <f>IF(B1649&lt;&gt;"",IF(AND(B1649='IN-TC'!$S$4,OR(TH!N1649="1111",TH!O1649="1111")),TH!D1649,""),"")</f>
        <v/>
      </c>
      <c r="B1649" s="60" t="str">
        <f t="shared" si="209"/>
        <v/>
      </c>
      <c r="C1649" s="989"/>
      <c r="D1649" s="989"/>
      <c r="E1649" s="989"/>
      <c r="F1649" s="921"/>
      <c r="G1649" s="991"/>
      <c r="H1649" s="1011"/>
      <c r="I1649" s="994"/>
      <c r="J1649" s="992"/>
      <c r="K1649" s="994"/>
      <c r="L1649" s="992"/>
      <c r="M1649" s="995"/>
      <c r="N1649" s="996"/>
      <c r="O1649" s="996"/>
      <c r="P1649" s="79" t="str">
        <f>IF(AND('331-CT'!$E$7=TH!H1649,OR(N1649="331",O1649="331")),"x","")</f>
        <v/>
      </c>
      <c r="Q1649" s="79" t="str">
        <f>IF(AND(B1649='111'!$L$11,OR($N1649=$Q$7,$O1649=$Q$7)),"x","")</f>
        <v/>
      </c>
      <c r="R1649" s="79" t="str">
        <f>IF(AND($N1649=$Q$7,$B1649&lt;'111'!$L$11),"x","")</f>
        <v/>
      </c>
      <c r="S1649" s="79" t="str">
        <f>IF(AND($O1649=$Q$7,$B1649&lt;'111'!$L$11),"x","")</f>
        <v/>
      </c>
      <c r="T1649" s="79" t="str">
        <f>IF(ISERROR(FIND('112'!$M$9,G1649,1)),"",IF((AND(FIND('112'!$M$9,G1649,1)&gt;=1,B1649='112'!$K$9,OR($N1649='112'!$I$6,$O1649='112'!$I$6))),"x",""))</f>
        <v/>
      </c>
      <c r="U1649" s="79" t="str">
        <f>IF(ISERROR(FIND('112'!$M$9,G1649,1)),"",IF((AND(LEFT(G1649,2)=LEFT('112'!$M$9,2),B1649&lt;'112'!$K$9,$N1649='112'!$I$6)),"x",""))</f>
        <v/>
      </c>
      <c r="V1649" s="79" t="str">
        <f>IF(ISERROR(FIND('112'!$M$9,G1649,1)),"",IF((AND(RIGHT(G1649,2)=RIGHT('112'!$M$9,2),B1649&lt;'112'!$K$9,$O1649='112'!$I$6)),"x",""))</f>
        <v/>
      </c>
      <c r="W1649" s="79" t="str">
        <f>IF(AND('341-CT'!$H$9=H1649,OR(LEFT(N1649,3)=$W$7,LEFT(O1649,3)=$W$7)),"x","")</f>
        <v/>
      </c>
      <c r="X1649" s="79" t="str">
        <f>IF(OR(TH!N1649=TH!$X$7,O1649=TH!$X$7),"x","")</f>
        <v/>
      </c>
      <c r="Y1649" s="79" t="str">
        <f>IF(AND(OR(N1649="131",O1649="131"),H1649='131-CT'!$H$9),"x","")</f>
        <v/>
      </c>
      <c r="Z1649" s="79"/>
      <c r="AA1649" s="79" t="str">
        <f>IF(AND(MONTH(E1649)='IN-NX'!$J$5,'IN-NX'!$D$7=D1649),"x","")</f>
        <v/>
      </c>
      <c r="AB1649" s="79" t="str">
        <f>IF(AND(OR(LEFT(TH!N1649,2)="15",LEFT(TH!O1649,2)="15"),LEFT(TH!O1649,3)&lt;&gt;"111",'152-CT'!$J$8=TH!F1649),"x","")</f>
        <v/>
      </c>
      <c r="AC1649" s="79" t="str">
        <f>IF(AND(OR(LEFT(TH!N1649,2)="15",LEFT(TH!O1649,2)="15"),TK!$E$7=TH!F1649),"x","")</f>
        <v/>
      </c>
      <c r="AD1649" s="79" t="str">
        <f>IF(AND(N1649="1521",MONTH(C1649)='BK-NL'!$M$11),"x","")</f>
        <v/>
      </c>
    </row>
    <row r="1650" spans="1:30" ht="16.5" customHeight="1">
      <c r="A1650" s="318" t="str">
        <f>IF(B1650&lt;&gt;"",IF(AND(B1650='IN-TC'!$S$4,OR(TH!N1650="1111",TH!O1650="1111")),TH!D1650,""),"")</f>
        <v/>
      </c>
      <c r="B1650" s="60" t="str">
        <f t="shared" si="209"/>
        <v/>
      </c>
      <c r="C1650" s="989"/>
      <c r="D1650" s="989"/>
      <c r="E1650" s="989"/>
      <c r="F1650" s="921"/>
      <c r="G1650" s="991"/>
      <c r="H1650" s="1011"/>
      <c r="I1650" s="994"/>
      <c r="J1650" s="992"/>
      <c r="K1650" s="994"/>
      <c r="L1650" s="992"/>
      <c r="M1650" s="995"/>
      <c r="N1650" s="996"/>
      <c r="O1650" s="996"/>
      <c r="P1650" s="79" t="str">
        <f>IF(AND('331-CT'!$E$7=TH!H1650,OR(N1650="331",O1650="331")),"x","")</f>
        <v/>
      </c>
      <c r="Q1650" s="79" t="str">
        <f>IF(AND(B1650='111'!$L$11,OR($N1650=$Q$7,$O1650=$Q$7)),"x","")</f>
        <v/>
      </c>
      <c r="R1650" s="79" t="str">
        <f>IF(AND($N1650=$Q$7,$B1650&lt;'111'!$L$11),"x","")</f>
        <v/>
      </c>
      <c r="S1650" s="79" t="str">
        <f>IF(AND($O1650=$Q$7,$B1650&lt;'111'!$L$11),"x","")</f>
        <v/>
      </c>
      <c r="T1650" s="79" t="str">
        <f>IF(ISERROR(FIND('112'!$M$9,G1650,1)),"",IF((AND(FIND('112'!$M$9,G1650,1)&gt;=1,B1650='112'!$K$9,OR($N1650='112'!$I$6,$O1650='112'!$I$6))),"x",""))</f>
        <v/>
      </c>
      <c r="U1650" s="79" t="str">
        <f>IF(ISERROR(FIND('112'!$M$9,G1650,1)),"",IF((AND(LEFT(G1650,2)=LEFT('112'!$M$9,2),B1650&lt;'112'!$K$9,$N1650='112'!$I$6)),"x",""))</f>
        <v/>
      </c>
      <c r="V1650" s="79" t="str">
        <f>IF(ISERROR(FIND('112'!$M$9,G1650,1)),"",IF((AND(RIGHT(G1650,2)=RIGHT('112'!$M$9,2),B1650&lt;'112'!$K$9,$O1650='112'!$I$6)),"x",""))</f>
        <v/>
      </c>
      <c r="W1650" s="79" t="str">
        <f>IF(AND('341-CT'!$H$9=H1650,OR(LEFT(N1650,3)=$W$7,LEFT(O1650,3)=$W$7)),"x","")</f>
        <v/>
      </c>
      <c r="X1650" s="79" t="str">
        <f>IF(OR(TH!N1650=TH!$X$7,O1650=TH!$X$7),"x","")</f>
        <v/>
      </c>
      <c r="Y1650" s="79" t="str">
        <f>IF(AND(OR(N1650="131",O1650="131"),H1650='131-CT'!$H$9),"x","")</f>
        <v/>
      </c>
      <c r="Z1650" s="79"/>
      <c r="AA1650" s="79" t="str">
        <f>IF(AND(MONTH(E1650)='IN-NX'!$J$5,'IN-NX'!$D$7=D1650),"x","")</f>
        <v/>
      </c>
      <c r="AB1650" s="79" t="str">
        <f>IF(AND(OR(LEFT(TH!N1650,2)="15",LEFT(TH!O1650,2)="15"),LEFT(TH!O1650,3)&lt;&gt;"111",'152-CT'!$J$8=TH!F1650),"x","")</f>
        <v/>
      </c>
      <c r="AC1650" s="79" t="str">
        <f>IF(AND(OR(LEFT(TH!N1650,2)="15",LEFT(TH!O1650,2)="15"),TK!$E$7=TH!F1650),"x","")</f>
        <v/>
      </c>
      <c r="AD1650" s="79" t="str">
        <f>IF(AND(N1650="1521",MONTH(C1650)='BK-NL'!$M$11),"x","")</f>
        <v/>
      </c>
    </row>
    <row r="1651" spans="1:30" ht="16.5" customHeight="1">
      <c r="A1651" s="318" t="str">
        <f>IF(B1651&lt;&gt;"",IF(AND(B1651='IN-TC'!$S$4,OR(TH!N1651="1111",TH!O1651="1111")),TH!D1651,""),"")</f>
        <v/>
      </c>
      <c r="B1651" s="60" t="str">
        <f t="shared" ref="B1651:B1714" si="210">IF(C1651&lt;&gt;"",MONTH(C1651),"")</f>
        <v/>
      </c>
      <c r="C1651" s="989"/>
      <c r="D1651" s="989"/>
      <c r="E1651" s="989"/>
      <c r="F1651" s="921"/>
      <c r="G1651" s="991"/>
      <c r="H1651" s="1011"/>
      <c r="I1651" s="994"/>
      <c r="J1651" s="992"/>
      <c r="K1651" s="994"/>
      <c r="L1651" s="992"/>
      <c r="M1651" s="995"/>
      <c r="N1651" s="996"/>
      <c r="O1651" s="996"/>
      <c r="P1651" s="79" t="str">
        <f>IF(AND('331-CT'!$E$7=TH!H1651,OR(N1651="331",O1651="331")),"x","")</f>
        <v/>
      </c>
      <c r="Q1651" s="79" t="str">
        <f>IF(AND(B1651='111'!$L$11,OR($N1651=$Q$7,$O1651=$Q$7)),"x","")</f>
        <v/>
      </c>
      <c r="R1651" s="79" t="str">
        <f>IF(AND($N1651=$Q$7,$B1651&lt;'111'!$L$11),"x","")</f>
        <v/>
      </c>
      <c r="S1651" s="79" t="str">
        <f>IF(AND($O1651=$Q$7,$B1651&lt;'111'!$L$11),"x","")</f>
        <v/>
      </c>
      <c r="T1651" s="79" t="str">
        <f>IF(ISERROR(FIND('112'!$M$9,G1651,1)),"",IF((AND(FIND('112'!$M$9,G1651,1)&gt;=1,B1651='112'!$K$9,OR($N1651='112'!$I$6,$O1651='112'!$I$6))),"x",""))</f>
        <v/>
      </c>
      <c r="U1651" s="79" t="str">
        <f>IF(ISERROR(FIND('112'!$M$9,G1651,1)),"",IF((AND(LEFT(G1651,2)=LEFT('112'!$M$9,2),B1651&lt;'112'!$K$9,$N1651='112'!$I$6)),"x",""))</f>
        <v/>
      </c>
      <c r="V1651" s="79" t="str">
        <f>IF(ISERROR(FIND('112'!$M$9,G1651,1)),"",IF((AND(RIGHT(G1651,2)=RIGHT('112'!$M$9,2),B1651&lt;'112'!$K$9,$O1651='112'!$I$6)),"x",""))</f>
        <v/>
      </c>
      <c r="W1651" s="79" t="str">
        <f>IF(AND('341-CT'!$H$9=H1651,OR(LEFT(N1651,3)=$W$7,LEFT(O1651,3)=$W$7)),"x","")</f>
        <v/>
      </c>
      <c r="X1651" s="79" t="str">
        <f>IF(OR(TH!N1651=TH!$X$7,O1651=TH!$X$7),"x","")</f>
        <v/>
      </c>
      <c r="Y1651" s="79" t="str">
        <f>IF(AND(OR(N1651="131",O1651="131"),H1651='131-CT'!$H$9),"x","")</f>
        <v/>
      </c>
      <c r="Z1651" s="79"/>
      <c r="AA1651" s="79" t="str">
        <f>IF(AND(MONTH(E1651)='IN-NX'!$J$5,'IN-NX'!$D$7=D1651),"x","")</f>
        <v/>
      </c>
      <c r="AB1651" s="79" t="str">
        <f>IF(AND(OR(LEFT(TH!N1651,2)="15",LEFT(TH!O1651,2)="15"),LEFT(TH!O1651,3)&lt;&gt;"111",'152-CT'!$J$8=TH!F1651),"x","")</f>
        <v/>
      </c>
      <c r="AC1651" s="79" t="str">
        <f>IF(AND(OR(LEFT(TH!N1651,2)="15",LEFT(TH!O1651,2)="15"),TK!$E$7=TH!F1651),"x","")</f>
        <v/>
      </c>
      <c r="AD1651" s="79" t="str">
        <f>IF(AND(N1651="1521",MONTH(C1651)='BK-NL'!$M$11),"x","")</f>
        <v/>
      </c>
    </row>
    <row r="1652" spans="1:30" ht="16.5" customHeight="1">
      <c r="A1652" s="318" t="str">
        <f>IF(B1652&lt;&gt;"",IF(AND(B1652='IN-TC'!$S$4,OR(TH!N1652="1111",TH!O1652="1111")),TH!D1652,""),"")</f>
        <v/>
      </c>
      <c r="B1652" s="60" t="str">
        <f t="shared" si="210"/>
        <v/>
      </c>
      <c r="C1652" s="989"/>
      <c r="D1652" s="989"/>
      <c r="E1652" s="989"/>
      <c r="F1652" s="921"/>
      <c r="G1652" s="991"/>
      <c r="H1652" s="1011"/>
      <c r="I1652" s="994"/>
      <c r="J1652" s="992"/>
      <c r="K1652" s="994"/>
      <c r="L1652" s="992"/>
      <c r="M1652" s="995"/>
      <c r="N1652" s="996"/>
      <c r="O1652" s="996"/>
      <c r="P1652" s="79" t="str">
        <f>IF(AND('331-CT'!$E$7=TH!H1652,OR(N1652="331",O1652="331")),"x","")</f>
        <v/>
      </c>
      <c r="Q1652" s="79" t="str">
        <f>IF(AND(B1652='111'!$L$11,OR($N1652=$Q$7,$O1652=$Q$7)),"x","")</f>
        <v/>
      </c>
      <c r="R1652" s="79" t="str">
        <f>IF(AND($N1652=$Q$7,$B1652&lt;'111'!$L$11),"x","")</f>
        <v/>
      </c>
      <c r="S1652" s="79" t="str">
        <f>IF(AND($O1652=$Q$7,$B1652&lt;'111'!$L$11),"x","")</f>
        <v/>
      </c>
      <c r="T1652" s="79" t="str">
        <f>IF(ISERROR(FIND('112'!$M$9,G1652,1)),"",IF((AND(FIND('112'!$M$9,G1652,1)&gt;=1,B1652='112'!$K$9,OR($N1652='112'!$I$6,$O1652='112'!$I$6))),"x",""))</f>
        <v/>
      </c>
      <c r="U1652" s="79" t="str">
        <f>IF(ISERROR(FIND('112'!$M$9,G1652,1)),"",IF((AND(LEFT(G1652,2)=LEFT('112'!$M$9,2),B1652&lt;'112'!$K$9,$N1652='112'!$I$6)),"x",""))</f>
        <v/>
      </c>
      <c r="V1652" s="79" t="str">
        <f>IF(ISERROR(FIND('112'!$M$9,G1652,1)),"",IF((AND(RIGHT(G1652,2)=RIGHT('112'!$M$9,2),B1652&lt;'112'!$K$9,$O1652='112'!$I$6)),"x",""))</f>
        <v/>
      </c>
      <c r="W1652" s="79" t="str">
        <f>IF(AND('341-CT'!$H$9=H1652,OR(LEFT(N1652,3)=$W$7,LEFT(O1652,3)=$W$7)),"x","")</f>
        <v/>
      </c>
      <c r="X1652" s="79" t="str">
        <f>IF(OR(TH!N1652=TH!$X$7,O1652=TH!$X$7),"x","")</f>
        <v/>
      </c>
      <c r="Y1652" s="79" t="str">
        <f>IF(AND(OR(N1652="131",O1652="131"),H1652='131-CT'!$H$9),"x","")</f>
        <v/>
      </c>
      <c r="Z1652" s="79"/>
      <c r="AA1652" s="79" t="str">
        <f>IF(AND(MONTH(E1652)='IN-NX'!$J$5,'IN-NX'!$D$7=D1652),"x","")</f>
        <v/>
      </c>
      <c r="AB1652" s="79" t="str">
        <f>IF(AND(OR(LEFT(TH!N1652,2)="15",LEFT(TH!O1652,2)="15"),LEFT(TH!O1652,3)&lt;&gt;"111",'152-CT'!$J$8=TH!F1652),"x","")</f>
        <v/>
      </c>
      <c r="AC1652" s="79" t="str">
        <f>IF(AND(OR(LEFT(TH!N1652,2)="15",LEFT(TH!O1652,2)="15"),TK!$E$7=TH!F1652),"x","")</f>
        <v/>
      </c>
      <c r="AD1652" s="79" t="str">
        <f>IF(AND(N1652="1521",MONTH(C1652)='BK-NL'!$M$11),"x","")</f>
        <v/>
      </c>
    </row>
    <row r="1653" spans="1:30" ht="16.5" customHeight="1">
      <c r="A1653" s="318" t="str">
        <f>IF(B1653&lt;&gt;"",IF(AND(B1653='IN-TC'!$S$4,OR(TH!N1653="1111",TH!O1653="1111")),TH!D1653,""),"")</f>
        <v/>
      </c>
      <c r="B1653" s="60" t="str">
        <f t="shared" si="210"/>
        <v/>
      </c>
      <c r="C1653" s="989"/>
      <c r="D1653" s="989"/>
      <c r="E1653" s="989"/>
      <c r="F1653" s="921"/>
      <c r="G1653" s="991"/>
      <c r="H1653" s="1011"/>
      <c r="I1653" s="994"/>
      <c r="J1653" s="992"/>
      <c r="K1653" s="994"/>
      <c r="L1653" s="992"/>
      <c r="M1653" s="995"/>
      <c r="N1653" s="996"/>
      <c r="O1653" s="996"/>
      <c r="P1653" s="79" t="str">
        <f>IF(AND('331-CT'!$E$7=TH!H1653,OR(N1653="331",O1653="331")),"x","")</f>
        <v/>
      </c>
      <c r="Q1653" s="79" t="str">
        <f>IF(AND(B1653='111'!$L$11,OR($N1653=$Q$7,$O1653=$Q$7)),"x","")</f>
        <v/>
      </c>
      <c r="R1653" s="79" t="str">
        <f>IF(AND($N1653=$Q$7,$B1653&lt;'111'!$L$11),"x","")</f>
        <v/>
      </c>
      <c r="S1653" s="79" t="str">
        <f>IF(AND($O1653=$Q$7,$B1653&lt;'111'!$L$11),"x","")</f>
        <v/>
      </c>
      <c r="T1653" s="79" t="str">
        <f>IF(ISERROR(FIND('112'!$M$9,G1653,1)),"",IF((AND(FIND('112'!$M$9,G1653,1)&gt;=1,B1653='112'!$K$9,OR($N1653='112'!$I$6,$O1653='112'!$I$6))),"x",""))</f>
        <v/>
      </c>
      <c r="U1653" s="79" t="str">
        <f>IF(ISERROR(FIND('112'!$M$9,G1653,1)),"",IF((AND(LEFT(G1653,2)=LEFT('112'!$M$9,2),B1653&lt;'112'!$K$9,$N1653='112'!$I$6)),"x",""))</f>
        <v/>
      </c>
      <c r="V1653" s="79" t="str">
        <f>IF(ISERROR(FIND('112'!$M$9,G1653,1)),"",IF((AND(RIGHT(G1653,2)=RIGHT('112'!$M$9,2),B1653&lt;'112'!$K$9,$O1653='112'!$I$6)),"x",""))</f>
        <v/>
      </c>
      <c r="W1653" s="79" t="str">
        <f>IF(AND('341-CT'!$H$9=H1653,OR(LEFT(N1653,3)=$W$7,LEFT(O1653,3)=$W$7)),"x","")</f>
        <v/>
      </c>
      <c r="X1653" s="79" t="str">
        <f>IF(OR(TH!N1653=TH!$X$7,O1653=TH!$X$7),"x","")</f>
        <v/>
      </c>
      <c r="Y1653" s="79" t="str">
        <f>IF(AND(OR(N1653="131",O1653="131"),H1653='131-CT'!$H$9),"x","")</f>
        <v/>
      </c>
      <c r="Z1653" s="79"/>
      <c r="AA1653" s="79" t="str">
        <f>IF(AND(MONTH(E1653)='IN-NX'!$J$5,'IN-NX'!$D$7=D1653),"x","")</f>
        <v/>
      </c>
      <c r="AB1653" s="79" t="str">
        <f>IF(AND(OR(LEFT(TH!N1653,2)="15",LEFT(TH!O1653,2)="15"),LEFT(TH!O1653,3)&lt;&gt;"111",'152-CT'!$J$8=TH!F1653),"x","")</f>
        <v/>
      </c>
      <c r="AC1653" s="79" t="str">
        <f>IF(AND(OR(LEFT(TH!N1653,2)="15",LEFT(TH!O1653,2)="15"),TK!$E$7=TH!F1653),"x","")</f>
        <v/>
      </c>
      <c r="AD1653" s="79" t="str">
        <f>IF(AND(N1653="1521",MONTH(C1653)='BK-NL'!$M$11),"x","")</f>
        <v/>
      </c>
    </row>
    <row r="1654" spans="1:30" ht="16.5" customHeight="1">
      <c r="A1654" s="318" t="str">
        <f>IF(B1654&lt;&gt;"",IF(AND(B1654='IN-TC'!$S$4,OR(TH!N1654="1111",TH!O1654="1111")),TH!D1654,""),"")</f>
        <v/>
      </c>
      <c r="B1654" s="60" t="str">
        <f t="shared" si="210"/>
        <v/>
      </c>
      <c r="C1654" s="989"/>
      <c r="D1654" s="989"/>
      <c r="E1654" s="989"/>
      <c r="F1654" s="921"/>
      <c r="G1654" s="991"/>
      <c r="H1654" s="1011"/>
      <c r="I1654" s="994"/>
      <c r="J1654" s="992"/>
      <c r="K1654" s="994"/>
      <c r="L1654" s="992"/>
      <c r="M1654" s="995"/>
      <c r="N1654" s="996"/>
      <c r="O1654" s="996"/>
      <c r="P1654" s="79" t="str">
        <f>IF(AND('331-CT'!$E$7=TH!H1654,OR(N1654="331",O1654="331")),"x","")</f>
        <v/>
      </c>
      <c r="Q1654" s="79" t="str">
        <f>IF(AND(B1654='111'!$L$11,OR($N1654=$Q$7,$O1654=$Q$7)),"x","")</f>
        <v/>
      </c>
      <c r="R1654" s="79" t="str">
        <f>IF(AND($N1654=$Q$7,$B1654&lt;'111'!$L$11),"x","")</f>
        <v/>
      </c>
      <c r="S1654" s="79" t="str">
        <f>IF(AND($O1654=$Q$7,$B1654&lt;'111'!$L$11),"x","")</f>
        <v/>
      </c>
      <c r="T1654" s="79" t="str">
        <f>IF(ISERROR(FIND('112'!$M$9,G1654,1)),"",IF((AND(FIND('112'!$M$9,G1654,1)&gt;=1,B1654='112'!$K$9,OR($N1654='112'!$I$6,$O1654='112'!$I$6))),"x",""))</f>
        <v/>
      </c>
      <c r="U1654" s="79" t="str">
        <f>IF(ISERROR(FIND('112'!$M$9,G1654,1)),"",IF((AND(LEFT(G1654,2)=LEFT('112'!$M$9,2),B1654&lt;'112'!$K$9,$N1654='112'!$I$6)),"x",""))</f>
        <v/>
      </c>
      <c r="V1654" s="79" t="str">
        <f>IF(ISERROR(FIND('112'!$M$9,G1654,1)),"",IF((AND(RIGHT(G1654,2)=RIGHT('112'!$M$9,2),B1654&lt;'112'!$K$9,$O1654='112'!$I$6)),"x",""))</f>
        <v/>
      </c>
      <c r="W1654" s="79" t="str">
        <f>IF(AND('341-CT'!$H$9=H1654,OR(LEFT(N1654,3)=$W$7,LEFT(O1654,3)=$W$7)),"x","")</f>
        <v/>
      </c>
      <c r="X1654" s="79" t="str">
        <f>IF(OR(TH!N1654=TH!$X$7,O1654=TH!$X$7),"x","")</f>
        <v/>
      </c>
      <c r="Y1654" s="79" t="str">
        <f>IF(AND(OR(N1654="131",O1654="131"),H1654='131-CT'!$H$9),"x","")</f>
        <v/>
      </c>
      <c r="Z1654" s="79"/>
      <c r="AA1654" s="79" t="str">
        <f>IF(AND(MONTH(E1654)='IN-NX'!$J$5,'IN-NX'!$D$7=D1654),"x","")</f>
        <v/>
      </c>
      <c r="AB1654" s="79" t="str">
        <f>IF(AND(OR(LEFT(TH!N1654,2)="15",LEFT(TH!O1654,2)="15"),LEFT(TH!O1654,3)&lt;&gt;"111",'152-CT'!$J$8=TH!F1654),"x","")</f>
        <v/>
      </c>
      <c r="AC1654" s="79" t="str">
        <f>IF(AND(OR(LEFT(TH!N1654,2)="15",LEFT(TH!O1654,2)="15"),TK!$E$7=TH!F1654),"x","")</f>
        <v/>
      </c>
      <c r="AD1654" s="79" t="str">
        <f>IF(AND(N1654="1521",MONTH(C1654)='BK-NL'!$M$11),"x","")</f>
        <v/>
      </c>
    </row>
    <row r="1655" spans="1:30" ht="16.5" customHeight="1">
      <c r="A1655" s="318" t="str">
        <f>IF(B1655&lt;&gt;"",IF(AND(B1655='IN-TC'!$S$4,OR(TH!N1655="1111",TH!O1655="1111")),TH!D1655,""),"")</f>
        <v/>
      </c>
      <c r="B1655" s="60" t="str">
        <f t="shared" si="210"/>
        <v/>
      </c>
      <c r="C1655" s="989"/>
      <c r="D1655" s="989"/>
      <c r="E1655" s="989"/>
      <c r="F1655" s="921"/>
      <c r="G1655" s="991"/>
      <c r="H1655" s="1011"/>
      <c r="I1655" s="994"/>
      <c r="J1655" s="992"/>
      <c r="K1655" s="994"/>
      <c r="L1655" s="992"/>
      <c r="M1655" s="995"/>
      <c r="N1655" s="996"/>
      <c r="O1655" s="996"/>
      <c r="P1655" s="79" t="str">
        <f>IF(AND('331-CT'!$E$7=TH!H1655,OR(N1655="331",O1655="331")),"x","")</f>
        <v/>
      </c>
      <c r="Q1655" s="79" t="str">
        <f>IF(AND(B1655='111'!$L$11,OR($N1655=$Q$7,$O1655=$Q$7)),"x","")</f>
        <v/>
      </c>
      <c r="R1655" s="79" t="str">
        <f>IF(AND($N1655=$Q$7,$B1655&lt;'111'!$L$11),"x","")</f>
        <v/>
      </c>
      <c r="S1655" s="79" t="str">
        <f>IF(AND($O1655=$Q$7,$B1655&lt;'111'!$L$11),"x","")</f>
        <v/>
      </c>
      <c r="T1655" s="79" t="str">
        <f>IF(ISERROR(FIND('112'!$M$9,G1655,1)),"",IF((AND(FIND('112'!$M$9,G1655,1)&gt;=1,B1655='112'!$K$9,OR($N1655='112'!$I$6,$O1655='112'!$I$6))),"x",""))</f>
        <v/>
      </c>
      <c r="U1655" s="79" t="str">
        <f>IF(ISERROR(FIND('112'!$M$9,G1655,1)),"",IF((AND(LEFT(G1655,2)=LEFT('112'!$M$9,2),B1655&lt;'112'!$K$9,$N1655='112'!$I$6)),"x",""))</f>
        <v/>
      </c>
      <c r="V1655" s="79" t="str">
        <f>IF(ISERROR(FIND('112'!$M$9,G1655,1)),"",IF((AND(RIGHT(G1655,2)=RIGHT('112'!$M$9,2),B1655&lt;'112'!$K$9,$O1655='112'!$I$6)),"x",""))</f>
        <v/>
      </c>
      <c r="W1655" s="79" t="str">
        <f>IF(AND('341-CT'!$H$9=H1655,OR(LEFT(N1655,3)=$W$7,LEFT(O1655,3)=$W$7)),"x","")</f>
        <v/>
      </c>
      <c r="X1655" s="79" t="str">
        <f>IF(OR(TH!N1655=TH!$X$7,O1655=TH!$X$7),"x","")</f>
        <v/>
      </c>
      <c r="Y1655" s="79" t="str">
        <f>IF(AND(OR(N1655="131",O1655="131"),H1655='131-CT'!$H$9),"x","")</f>
        <v/>
      </c>
      <c r="Z1655" s="79"/>
      <c r="AA1655" s="79" t="str">
        <f>IF(AND(MONTH(E1655)='IN-NX'!$J$5,'IN-NX'!$D$7=D1655),"x","")</f>
        <v/>
      </c>
      <c r="AB1655" s="79" t="str">
        <f>IF(AND(OR(LEFT(TH!N1655,2)="15",LEFT(TH!O1655,2)="15"),LEFT(TH!O1655,3)&lt;&gt;"111",'152-CT'!$J$8=TH!F1655),"x","")</f>
        <v/>
      </c>
      <c r="AC1655" s="79" t="str">
        <f>IF(AND(OR(LEFT(TH!N1655,2)="15",LEFT(TH!O1655,2)="15"),TK!$E$7=TH!F1655),"x","")</f>
        <v/>
      </c>
      <c r="AD1655" s="79" t="str">
        <f>IF(AND(N1655="1521",MONTH(C1655)='BK-NL'!$M$11),"x","")</f>
        <v/>
      </c>
    </row>
    <row r="1656" spans="1:30" ht="16.5" customHeight="1">
      <c r="A1656" s="318" t="str">
        <f>IF(B1656&lt;&gt;"",IF(AND(B1656='IN-TC'!$S$4,OR(TH!N1656="1111",TH!O1656="1111")),TH!D1656,""),"")</f>
        <v/>
      </c>
      <c r="B1656" s="60" t="str">
        <f t="shared" si="210"/>
        <v/>
      </c>
      <c r="C1656" s="989"/>
      <c r="D1656" s="989"/>
      <c r="E1656" s="989"/>
      <c r="F1656" s="921"/>
      <c r="G1656" s="991"/>
      <c r="H1656" s="1011"/>
      <c r="I1656" s="994"/>
      <c r="J1656" s="992"/>
      <c r="K1656" s="994"/>
      <c r="L1656" s="992"/>
      <c r="M1656" s="995"/>
      <c r="N1656" s="996"/>
      <c r="O1656" s="996"/>
      <c r="P1656" s="79" t="str">
        <f>IF(AND('331-CT'!$E$7=TH!H1656,OR(N1656="331",O1656="331")),"x","")</f>
        <v/>
      </c>
      <c r="Q1656" s="79" t="str">
        <f>IF(AND(B1656='111'!$L$11,OR($N1656=$Q$7,$O1656=$Q$7)),"x","")</f>
        <v/>
      </c>
      <c r="R1656" s="79" t="str">
        <f>IF(AND($N1656=$Q$7,$B1656&lt;'111'!$L$11),"x","")</f>
        <v/>
      </c>
      <c r="S1656" s="79" t="str">
        <f>IF(AND($O1656=$Q$7,$B1656&lt;'111'!$L$11),"x","")</f>
        <v/>
      </c>
      <c r="T1656" s="79" t="str">
        <f>IF(ISERROR(FIND('112'!$M$9,G1656,1)),"",IF((AND(FIND('112'!$M$9,G1656,1)&gt;=1,B1656='112'!$K$9,OR($N1656='112'!$I$6,$O1656='112'!$I$6))),"x",""))</f>
        <v/>
      </c>
      <c r="U1656" s="79" t="str">
        <f>IF(ISERROR(FIND('112'!$M$9,G1656,1)),"",IF((AND(LEFT(G1656,2)=LEFT('112'!$M$9,2),B1656&lt;'112'!$K$9,$N1656='112'!$I$6)),"x",""))</f>
        <v/>
      </c>
      <c r="V1656" s="79" t="str">
        <f>IF(ISERROR(FIND('112'!$M$9,G1656,1)),"",IF((AND(RIGHT(G1656,2)=RIGHT('112'!$M$9,2),B1656&lt;'112'!$K$9,$O1656='112'!$I$6)),"x",""))</f>
        <v/>
      </c>
      <c r="W1656" s="79" t="str">
        <f>IF(AND('341-CT'!$H$9=H1656,OR(LEFT(N1656,3)=$W$7,LEFT(O1656,3)=$W$7)),"x","")</f>
        <v/>
      </c>
      <c r="X1656" s="79" t="str">
        <f>IF(OR(TH!N1656=TH!$X$7,O1656=TH!$X$7),"x","")</f>
        <v/>
      </c>
      <c r="Y1656" s="79" t="str">
        <f>IF(AND(OR(N1656="131",O1656="131"),H1656='131-CT'!$H$9),"x","")</f>
        <v/>
      </c>
      <c r="Z1656" s="79"/>
      <c r="AA1656" s="79" t="str">
        <f>IF(AND(MONTH(E1656)='IN-NX'!$J$5,'IN-NX'!$D$7=D1656),"x","")</f>
        <v/>
      </c>
      <c r="AB1656" s="79" t="str">
        <f>IF(AND(OR(LEFT(TH!N1656,2)="15",LEFT(TH!O1656,2)="15"),LEFT(TH!O1656,3)&lt;&gt;"111",'152-CT'!$J$8=TH!F1656),"x","")</f>
        <v/>
      </c>
      <c r="AC1656" s="79" t="str">
        <f>IF(AND(OR(LEFT(TH!N1656,2)="15",LEFT(TH!O1656,2)="15"),TK!$E$7=TH!F1656),"x","")</f>
        <v/>
      </c>
      <c r="AD1656" s="79" t="str">
        <f>IF(AND(N1656="1521",MONTH(C1656)='BK-NL'!$M$11),"x","")</f>
        <v/>
      </c>
    </row>
    <row r="1657" spans="1:30" ht="16.5" customHeight="1">
      <c r="A1657" s="318" t="str">
        <f>IF(B1657&lt;&gt;"",IF(AND(B1657='IN-TC'!$S$4,OR(TH!N1657="1111",TH!O1657="1111")),TH!D1657,""),"")</f>
        <v/>
      </c>
      <c r="B1657" s="60" t="str">
        <f t="shared" si="210"/>
        <v/>
      </c>
      <c r="C1657" s="989"/>
      <c r="D1657" s="989"/>
      <c r="E1657" s="989"/>
      <c r="F1657" s="921"/>
      <c r="G1657" s="991"/>
      <c r="H1657" s="1011"/>
      <c r="I1657" s="994"/>
      <c r="J1657" s="992"/>
      <c r="K1657" s="994"/>
      <c r="L1657" s="992"/>
      <c r="M1657" s="995"/>
      <c r="N1657" s="996"/>
      <c r="O1657" s="996"/>
      <c r="P1657" s="79" t="str">
        <f>IF(AND('331-CT'!$E$7=TH!H1657,OR(N1657="331",O1657="331")),"x","")</f>
        <v/>
      </c>
      <c r="Q1657" s="79" t="str">
        <f>IF(AND(B1657='111'!$L$11,OR($N1657=$Q$7,$O1657=$Q$7)),"x","")</f>
        <v/>
      </c>
      <c r="R1657" s="79" t="str">
        <f>IF(AND($N1657=$Q$7,$B1657&lt;'111'!$L$11),"x","")</f>
        <v/>
      </c>
      <c r="S1657" s="79" t="str">
        <f>IF(AND($O1657=$Q$7,$B1657&lt;'111'!$L$11),"x","")</f>
        <v/>
      </c>
      <c r="T1657" s="79" t="str">
        <f>IF(ISERROR(FIND('112'!$M$9,G1657,1)),"",IF((AND(FIND('112'!$M$9,G1657,1)&gt;=1,B1657='112'!$K$9,OR($N1657='112'!$I$6,$O1657='112'!$I$6))),"x",""))</f>
        <v/>
      </c>
      <c r="U1657" s="79" t="str">
        <f>IF(ISERROR(FIND('112'!$M$9,G1657,1)),"",IF((AND(LEFT(G1657,2)=LEFT('112'!$M$9,2),B1657&lt;'112'!$K$9,$N1657='112'!$I$6)),"x",""))</f>
        <v/>
      </c>
      <c r="V1657" s="79" t="str">
        <f>IF(ISERROR(FIND('112'!$M$9,G1657,1)),"",IF((AND(RIGHT(G1657,2)=RIGHT('112'!$M$9,2),B1657&lt;'112'!$K$9,$O1657='112'!$I$6)),"x",""))</f>
        <v/>
      </c>
      <c r="W1657" s="79" t="str">
        <f>IF(AND('341-CT'!$H$9=H1657,OR(LEFT(N1657,3)=$W$7,LEFT(O1657,3)=$W$7)),"x","")</f>
        <v/>
      </c>
      <c r="X1657" s="79" t="str">
        <f>IF(OR(TH!N1657=TH!$X$7,O1657=TH!$X$7),"x","")</f>
        <v/>
      </c>
      <c r="Y1657" s="79" t="str">
        <f>IF(AND(OR(N1657="131",O1657="131"),H1657='131-CT'!$H$9),"x","")</f>
        <v/>
      </c>
      <c r="Z1657" s="79"/>
      <c r="AA1657" s="79" t="str">
        <f>IF(AND(MONTH(E1657)='IN-NX'!$J$5,'IN-NX'!$D$7=D1657),"x","")</f>
        <v/>
      </c>
      <c r="AB1657" s="79" t="str">
        <f>IF(AND(OR(LEFT(TH!N1657,2)="15",LEFT(TH!O1657,2)="15"),LEFT(TH!O1657,3)&lt;&gt;"111",'152-CT'!$J$8=TH!F1657),"x","")</f>
        <v/>
      </c>
      <c r="AC1657" s="79" t="str">
        <f>IF(AND(OR(LEFT(TH!N1657,2)="15",LEFT(TH!O1657,2)="15"),TK!$E$7=TH!F1657),"x","")</f>
        <v/>
      </c>
      <c r="AD1657" s="79" t="str">
        <f>IF(AND(N1657="1521",MONTH(C1657)='BK-NL'!$M$11),"x","")</f>
        <v/>
      </c>
    </row>
    <row r="1658" spans="1:30" ht="16.5" customHeight="1">
      <c r="A1658" s="318" t="str">
        <f>IF(B1658&lt;&gt;"",IF(AND(B1658='IN-TC'!$S$4,OR(TH!N1658="1111",TH!O1658="1111")),TH!D1658,""),"")</f>
        <v/>
      </c>
      <c r="B1658" s="60" t="str">
        <f t="shared" si="210"/>
        <v/>
      </c>
      <c r="C1658" s="989"/>
      <c r="D1658" s="989"/>
      <c r="E1658" s="989"/>
      <c r="F1658" s="921"/>
      <c r="G1658" s="991"/>
      <c r="H1658" s="1011"/>
      <c r="I1658" s="994"/>
      <c r="J1658" s="992"/>
      <c r="K1658" s="994"/>
      <c r="L1658" s="992"/>
      <c r="M1658" s="995"/>
      <c r="N1658" s="996"/>
      <c r="O1658" s="996"/>
      <c r="P1658" s="79" t="str">
        <f>IF(AND('331-CT'!$E$7=TH!H1658,OR(N1658="331",O1658="331")),"x","")</f>
        <v/>
      </c>
      <c r="Q1658" s="79" t="str">
        <f>IF(AND(B1658='111'!$L$11,OR($N1658=$Q$7,$O1658=$Q$7)),"x","")</f>
        <v/>
      </c>
      <c r="R1658" s="79" t="str">
        <f>IF(AND($N1658=$Q$7,$B1658&lt;'111'!$L$11),"x","")</f>
        <v/>
      </c>
      <c r="S1658" s="79" t="str">
        <f>IF(AND($O1658=$Q$7,$B1658&lt;'111'!$L$11),"x","")</f>
        <v/>
      </c>
      <c r="T1658" s="79" t="str">
        <f>IF(ISERROR(FIND('112'!$M$9,G1658,1)),"",IF((AND(FIND('112'!$M$9,G1658,1)&gt;=1,B1658='112'!$K$9,OR($N1658='112'!$I$6,$O1658='112'!$I$6))),"x",""))</f>
        <v/>
      </c>
      <c r="U1658" s="79" t="str">
        <f>IF(ISERROR(FIND('112'!$M$9,G1658,1)),"",IF((AND(LEFT(G1658,2)=LEFT('112'!$M$9,2),B1658&lt;'112'!$K$9,$N1658='112'!$I$6)),"x",""))</f>
        <v/>
      </c>
      <c r="V1658" s="79" t="str">
        <f>IF(ISERROR(FIND('112'!$M$9,G1658,1)),"",IF((AND(RIGHT(G1658,2)=RIGHT('112'!$M$9,2),B1658&lt;'112'!$K$9,$O1658='112'!$I$6)),"x",""))</f>
        <v/>
      </c>
      <c r="W1658" s="79" t="str">
        <f>IF(AND('341-CT'!$H$9=H1658,OR(LEFT(N1658,3)=$W$7,LEFT(O1658,3)=$W$7)),"x","")</f>
        <v/>
      </c>
      <c r="X1658" s="79" t="str">
        <f>IF(OR(TH!N1658=TH!$X$7,O1658=TH!$X$7),"x","")</f>
        <v/>
      </c>
      <c r="Y1658" s="79" t="str">
        <f>IF(AND(OR(N1658="131",O1658="131"),H1658='131-CT'!$H$9),"x","")</f>
        <v/>
      </c>
      <c r="Z1658" s="79"/>
      <c r="AA1658" s="79" t="str">
        <f>IF(AND(MONTH(E1658)='IN-NX'!$J$5,'IN-NX'!$D$7=D1658),"x","")</f>
        <v/>
      </c>
      <c r="AB1658" s="79" t="str">
        <f>IF(AND(OR(LEFT(TH!N1658,2)="15",LEFT(TH!O1658,2)="15"),LEFT(TH!O1658,3)&lt;&gt;"111",'152-CT'!$J$8=TH!F1658),"x","")</f>
        <v/>
      </c>
      <c r="AC1658" s="79" t="str">
        <f>IF(AND(OR(LEFT(TH!N1658,2)="15",LEFT(TH!O1658,2)="15"),TK!$E$7=TH!F1658),"x","")</f>
        <v/>
      </c>
      <c r="AD1658" s="79" t="str">
        <f>IF(AND(N1658="1521",MONTH(C1658)='BK-NL'!$M$11),"x","")</f>
        <v/>
      </c>
    </row>
    <row r="1659" spans="1:30" ht="16.5" customHeight="1">
      <c r="A1659" s="318" t="str">
        <f>IF(B1659&lt;&gt;"",IF(AND(B1659='IN-TC'!$S$4,OR(TH!N1659="1111",TH!O1659="1111")),TH!D1659,""),"")</f>
        <v/>
      </c>
      <c r="B1659" s="60" t="str">
        <f t="shared" si="210"/>
        <v/>
      </c>
      <c r="C1659" s="989"/>
      <c r="D1659" s="989"/>
      <c r="E1659" s="989"/>
      <c r="F1659" s="921"/>
      <c r="G1659" s="991"/>
      <c r="H1659" s="1011"/>
      <c r="I1659" s="994"/>
      <c r="J1659" s="992"/>
      <c r="K1659" s="994"/>
      <c r="L1659" s="992"/>
      <c r="M1659" s="995"/>
      <c r="N1659" s="996"/>
      <c r="O1659" s="996"/>
      <c r="P1659" s="79" t="str">
        <f>IF(AND('331-CT'!$E$7=TH!H1659,OR(N1659="331",O1659="331")),"x","")</f>
        <v/>
      </c>
      <c r="Q1659" s="79" t="str">
        <f>IF(AND(B1659='111'!$L$11,OR($N1659=$Q$7,$O1659=$Q$7)),"x","")</f>
        <v/>
      </c>
      <c r="R1659" s="79" t="str">
        <f>IF(AND($N1659=$Q$7,$B1659&lt;'111'!$L$11),"x","")</f>
        <v/>
      </c>
      <c r="S1659" s="79" t="str">
        <f>IF(AND($O1659=$Q$7,$B1659&lt;'111'!$L$11),"x","")</f>
        <v/>
      </c>
      <c r="T1659" s="79" t="str">
        <f>IF(ISERROR(FIND('112'!$M$9,G1659,1)),"",IF((AND(FIND('112'!$M$9,G1659,1)&gt;=1,B1659='112'!$K$9,OR($N1659='112'!$I$6,$O1659='112'!$I$6))),"x",""))</f>
        <v/>
      </c>
      <c r="U1659" s="79" t="str">
        <f>IF(ISERROR(FIND('112'!$M$9,G1659,1)),"",IF((AND(LEFT(G1659,2)=LEFT('112'!$M$9,2),B1659&lt;'112'!$K$9,$N1659='112'!$I$6)),"x",""))</f>
        <v/>
      </c>
      <c r="V1659" s="79" t="str">
        <f>IF(ISERROR(FIND('112'!$M$9,G1659,1)),"",IF((AND(RIGHT(G1659,2)=RIGHT('112'!$M$9,2),B1659&lt;'112'!$K$9,$O1659='112'!$I$6)),"x",""))</f>
        <v/>
      </c>
      <c r="W1659" s="79" t="str">
        <f>IF(AND('341-CT'!$H$9=H1659,OR(LEFT(N1659,3)=$W$7,LEFT(O1659,3)=$W$7)),"x","")</f>
        <v/>
      </c>
      <c r="X1659" s="79" t="str">
        <f>IF(OR(TH!N1659=TH!$X$7,O1659=TH!$X$7),"x","")</f>
        <v/>
      </c>
      <c r="Y1659" s="79" t="str">
        <f>IF(AND(OR(N1659="131",O1659="131"),H1659='131-CT'!$H$9),"x","")</f>
        <v/>
      </c>
      <c r="Z1659" s="79"/>
      <c r="AA1659" s="79" t="str">
        <f>IF(AND(MONTH(E1659)='IN-NX'!$J$5,'IN-NX'!$D$7=D1659),"x","")</f>
        <v/>
      </c>
      <c r="AB1659" s="79" t="str">
        <f>IF(AND(OR(LEFT(TH!N1659,2)="15",LEFT(TH!O1659,2)="15"),LEFT(TH!O1659,3)&lt;&gt;"111",'152-CT'!$J$8=TH!F1659),"x","")</f>
        <v/>
      </c>
      <c r="AC1659" s="79" t="str">
        <f>IF(AND(OR(LEFT(TH!N1659,2)="15",LEFT(TH!O1659,2)="15"),TK!$E$7=TH!F1659),"x","")</f>
        <v/>
      </c>
      <c r="AD1659" s="79" t="str">
        <f>IF(AND(N1659="1521",MONTH(C1659)='BK-NL'!$M$11),"x","")</f>
        <v/>
      </c>
    </row>
    <row r="1660" spans="1:30" ht="16.5" customHeight="1">
      <c r="A1660" s="318" t="str">
        <f>IF(B1660&lt;&gt;"",IF(AND(B1660='IN-TC'!$S$4,OR(TH!N1660="1111",TH!O1660="1111")),TH!D1660,""),"")</f>
        <v/>
      </c>
      <c r="B1660" s="60" t="str">
        <f t="shared" si="210"/>
        <v/>
      </c>
      <c r="C1660" s="989"/>
      <c r="D1660" s="989"/>
      <c r="E1660" s="989"/>
      <c r="F1660" s="921"/>
      <c r="G1660" s="991"/>
      <c r="H1660" s="1011"/>
      <c r="I1660" s="994"/>
      <c r="J1660" s="992"/>
      <c r="K1660" s="994"/>
      <c r="L1660" s="992"/>
      <c r="M1660" s="995"/>
      <c r="N1660" s="996"/>
      <c r="O1660" s="996"/>
      <c r="P1660" s="79" t="str">
        <f>IF(AND('331-CT'!$E$7=TH!H1660,OR(N1660="331",O1660="331")),"x","")</f>
        <v/>
      </c>
      <c r="Q1660" s="79" t="str">
        <f>IF(AND(B1660='111'!$L$11,OR($N1660=$Q$7,$O1660=$Q$7)),"x","")</f>
        <v/>
      </c>
      <c r="R1660" s="79" t="str">
        <f>IF(AND($N1660=$Q$7,$B1660&lt;'111'!$L$11),"x","")</f>
        <v/>
      </c>
      <c r="S1660" s="79" t="str">
        <f>IF(AND($O1660=$Q$7,$B1660&lt;'111'!$L$11),"x","")</f>
        <v/>
      </c>
      <c r="T1660" s="79" t="str">
        <f>IF(ISERROR(FIND('112'!$M$9,G1660,1)),"",IF((AND(FIND('112'!$M$9,G1660,1)&gt;=1,B1660='112'!$K$9,OR($N1660='112'!$I$6,$O1660='112'!$I$6))),"x",""))</f>
        <v/>
      </c>
      <c r="U1660" s="79" t="str">
        <f>IF(ISERROR(FIND('112'!$M$9,G1660,1)),"",IF((AND(LEFT(G1660,2)=LEFT('112'!$M$9,2),B1660&lt;'112'!$K$9,$N1660='112'!$I$6)),"x",""))</f>
        <v/>
      </c>
      <c r="V1660" s="79" t="str">
        <f>IF(ISERROR(FIND('112'!$M$9,G1660,1)),"",IF((AND(RIGHT(G1660,2)=RIGHT('112'!$M$9,2),B1660&lt;'112'!$K$9,$O1660='112'!$I$6)),"x",""))</f>
        <v/>
      </c>
      <c r="W1660" s="79" t="str">
        <f>IF(AND('341-CT'!$H$9=H1660,OR(LEFT(N1660,3)=$W$7,LEFT(O1660,3)=$W$7)),"x","")</f>
        <v/>
      </c>
      <c r="X1660" s="79" t="str">
        <f>IF(OR(TH!N1660=TH!$X$7,O1660=TH!$X$7),"x","")</f>
        <v/>
      </c>
      <c r="Y1660" s="79" t="str">
        <f>IF(AND(OR(N1660="131",O1660="131"),H1660='131-CT'!$H$9),"x","")</f>
        <v/>
      </c>
      <c r="Z1660" s="79"/>
      <c r="AA1660" s="79" t="str">
        <f>IF(AND(MONTH(E1660)='IN-NX'!$J$5,'IN-NX'!$D$7=D1660),"x","")</f>
        <v/>
      </c>
      <c r="AB1660" s="79" t="str">
        <f>IF(AND(OR(LEFT(TH!N1660,2)="15",LEFT(TH!O1660,2)="15"),LEFT(TH!O1660,3)&lt;&gt;"111",'152-CT'!$J$8=TH!F1660),"x","")</f>
        <v/>
      </c>
      <c r="AC1660" s="79" t="str">
        <f>IF(AND(OR(LEFT(TH!N1660,2)="15",LEFT(TH!O1660,2)="15"),TK!$E$7=TH!F1660),"x","")</f>
        <v/>
      </c>
      <c r="AD1660" s="79" t="str">
        <f>IF(AND(N1660="1521",MONTH(C1660)='BK-NL'!$M$11),"x","")</f>
        <v/>
      </c>
    </row>
    <row r="1661" spans="1:30" ht="16.5" customHeight="1">
      <c r="A1661" s="318" t="str">
        <f>IF(B1661&lt;&gt;"",IF(AND(B1661='IN-TC'!$S$4,OR(TH!N1661="1111",TH!O1661="1111")),TH!D1661,""),"")</f>
        <v/>
      </c>
      <c r="B1661" s="60" t="str">
        <f t="shared" si="210"/>
        <v/>
      </c>
      <c r="C1661" s="989"/>
      <c r="D1661" s="989"/>
      <c r="E1661" s="989"/>
      <c r="F1661" s="990"/>
      <c r="G1661" s="991"/>
      <c r="H1661" s="1011"/>
      <c r="I1661" s="994"/>
      <c r="J1661" s="992"/>
      <c r="K1661" s="994"/>
      <c r="L1661" s="992"/>
      <c r="M1661" s="995"/>
      <c r="N1661" s="996"/>
      <c r="O1661" s="996"/>
      <c r="P1661" s="79" t="str">
        <f>IF(AND('331-CT'!$E$7=TH!H1661,OR(N1661="331",O1661="331")),"x","")</f>
        <v/>
      </c>
      <c r="Q1661" s="79" t="str">
        <f>IF(AND(B1661='111'!$L$11,OR($N1661=$Q$7,$O1661=$Q$7)),"x","")</f>
        <v/>
      </c>
      <c r="R1661" s="79" t="str">
        <f>IF(AND($N1661=$Q$7,$B1661&lt;'111'!$L$11),"x","")</f>
        <v/>
      </c>
      <c r="S1661" s="79" t="str">
        <f>IF(AND($O1661=$Q$7,$B1661&lt;'111'!$L$11),"x","")</f>
        <v/>
      </c>
      <c r="T1661" s="79" t="str">
        <f>IF(ISERROR(FIND('112'!$M$9,G1661,1)),"",IF((AND(FIND('112'!$M$9,G1661,1)&gt;=1,B1661='112'!$K$9,OR($N1661='112'!$I$6,$O1661='112'!$I$6))),"x",""))</f>
        <v/>
      </c>
      <c r="U1661" s="79" t="str">
        <f>IF(ISERROR(FIND('112'!$M$9,G1661,1)),"",IF((AND(LEFT(G1661,2)=LEFT('112'!$M$9,2),B1661&lt;'112'!$K$9,$N1661='112'!$I$6)),"x",""))</f>
        <v/>
      </c>
      <c r="V1661" s="79" t="str">
        <f>IF(ISERROR(FIND('112'!$M$9,G1661,1)),"",IF((AND(RIGHT(G1661,2)=RIGHT('112'!$M$9,2),B1661&lt;'112'!$K$9,$O1661='112'!$I$6)),"x",""))</f>
        <v/>
      </c>
      <c r="W1661" s="79" t="str">
        <f>IF(AND('341-CT'!$H$9=H1661,OR(LEFT(N1661,3)=$W$7,LEFT(O1661,3)=$W$7)),"x","")</f>
        <v/>
      </c>
      <c r="X1661" s="79" t="str">
        <f>IF(OR(TH!N1661=TH!$X$7,O1661=TH!$X$7),"x","")</f>
        <v/>
      </c>
      <c r="Y1661" s="79" t="str">
        <f>IF(AND(OR(N1661="131",O1661="131"),H1661='131-CT'!$H$9),"x","")</f>
        <v/>
      </c>
      <c r="Z1661" s="79"/>
      <c r="AA1661" s="79" t="str">
        <f>IF(AND(MONTH(E1661)='IN-NX'!$J$5,'IN-NX'!$D$7=D1661),"x","")</f>
        <v/>
      </c>
      <c r="AB1661" s="79" t="str">
        <f>IF(AND(OR(LEFT(TH!N1661,2)="15",LEFT(TH!O1661,2)="15"),LEFT(TH!O1661,3)&lt;&gt;"111",'152-CT'!$J$8=TH!F1661),"x","")</f>
        <v/>
      </c>
      <c r="AC1661" s="79" t="str">
        <f>IF(AND(OR(LEFT(TH!N1661,2)="15",LEFT(TH!O1661,2)="15"),TK!$E$7=TH!F1661),"x","")</f>
        <v/>
      </c>
      <c r="AD1661" s="79" t="str">
        <f>IF(AND(N1661="1521",MONTH(C1661)='BK-NL'!$M$11),"x","")</f>
        <v/>
      </c>
    </row>
    <row r="1662" spans="1:30" ht="16.5" customHeight="1">
      <c r="A1662" s="318" t="str">
        <f>IF(B1662&lt;&gt;"",IF(AND(B1662='IN-TC'!$S$4,OR(TH!N1662="1111",TH!O1662="1111")),TH!D1662,""),"")</f>
        <v/>
      </c>
      <c r="B1662" s="60" t="str">
        <f t="shared" si="210"/>
        <v/>
      </c>
      <c r="C1662" s="989"/>
      <c r="D1662" s="989"/>
      <c r="E1662" s="989"/>
      <c r="F1662" s="990"/>
      <c r="G1662" s="991"/>
      <c r="H1662" s="1011"/>
      <c r="I1662" s="994"/>
      <c r="J1662" s="992"/>
      <c r="K1662" s="994"/>
      <c r="L1662" s="992"/>
      <c r="M1662" s="995"/>
      <c r="N1662" s="996"/>
      <c r="O1662" s="996"/>
      <c r="P1662" s="79" t="str">
        <f>IF(AND('331-CT'!$E$7=TH!H1662,OR(N1662="331",O1662="331")),"x","")</f>
        <v/>
      </c>
      <c r="Q1662" s="79" t="str">
        <f>IF(AND(B1662='111'!$L$11,OR($N1662=$Q$7,$O1662=$Q$7)),"x","")</f>
        <v/>
      </c>
      <c r="R1662" s="79" t="str">
        <f>IF(AND($N1662=$Q$7,$B1662&lt;'111'!$L$11),"x","")</f>
        <v/>
      </c>
      <c r="S1662" s="79" t="str">
        <f>IF(AND($O1662=$Q$7,$B1662&lt;'111'!$L$11),"x","")</f>
        <v/>
      </c>
      <c r="T1662" s="79" t="str">
        <f>IF(ISERROR(FIND('112'!$M$9,G1662,1)),"",IF((AND(FIND('112'!$M$9,G1662,1)&gt;=1,B1662='112'!$K$9,OR($N1662='112'!$I$6,$O1662='112'!$I$6))),"x",""))</f>
        <v/>
      </c>
      <c r="U1662" s="79" t="str">
        <f>IF(ISERROR(FIND('112'!$M$9,G1662,1)),"",IF((AND(LEFT(G1662,2)=LEFT('112'!$M$9,2),B1662&lt;'112'!$K$9,$N1662='112'!$I$6)),"x",""))</f>
        <v/>
      </c>
      <c r="V1662" s="79" t="str">
        <f>IF(ISERROR(FIND('112'!$M$9,G1662,1)),"",IF((AND(RIGHT(G1662,2)=RIGHT('112'!$M$9,2),B1662&lt;'112'!$K$9,$O1662='112'!$I$6)),"x",""))</f>
        <v/>
      </c>
      <c r="W1662" s="79" t="str">
        <f>IF(AND('341-CT'!$H$9=H1662,OR(LEFT(N1662,3)=$W$7,LEFT(O1662,3)=$W$7)),"x","")</f>
        <v/>
      </c>
      <c r="X1662" s="79" t="str">
        <f>IF(OR(TH!N1662=TH!$X$7,O1662=TH!$X$7),"x","")</f>
        <v/>
      </c>
      <c r="Y1662" s="79" t="str">
        <f>IF(AND(OR(N1662="131",O1662="131"),H1662='131-CT'!$H$9),"x","")</f>
        <v/>
      </c>
      <c r="Z1662" s="79"/>
      <c r="AA1662" s="79" t="str">
        <f>IF(AND(MONTH(E1662)='IN-NX'!$J$5,'IN-NX'!$D$7=D1662),"x","")</f>
        <v/>
      </c>
      <c r="AB1662" s="79" t="str">
        <f>IF(AND(OR(LEFT(TH!N1662,2)="15",LEFT(TH!O1662,2)="15"),LEFT(TH!O1662,3)&lt;&gt;"111",'152-CT'!$J$8=TH!F1662),"x","")</f>
        <v/>
      </c>
      <c r="AC1662" s="79" t="str">
        <f>IF(AND(OR(LEFT(TH!N1662,2)="15",LEFT(TH!O1662,2)="15"),TK!$E$7=TH!F1662),"x","")</f>
        <v/>
      </c>
      <c r="AD1662" s="79" t="str">
        <f>IF(AND(N1662="1521",MONTH(C1662)='BK-NL'!$M$11),"x","")</f>
        <v/>
      </c>
    </row>
    <row r="1663" spans="1:30" ht="16.5" customHeight="1">
      <c r="A1663" s="318" t="str">
        <f>IF(B1663&lt;&gt;"",IF(AND(B1663='IN-TC'!$S$4,OR(TH!N1663="1111",TH!O1663="1111")),TH!D1663,""),"")</f>
        <v/>
      </c>
      <c r="B1663" s="60" t="str">
        <f t="shared" si="210"/>
        <v/>
      </c>
      <c r="C1663" s="989"/>
      <c r="D1663" s="989"/>
      <c r="E1663" s="989"/>
      <c r="F1663" s="990"/>
      <c r="G1663" s="991"/>
      <c r="H1663" s="1011"/>
      <c r="I1663" s="994"/>
      <c r="J1663" s="992"/>
      <c r="K1663" s="994"/>
      <c r="L1663" s="992"/>
      <c r="M1663" s="995"/>
      <c r="N1663" s="996"/>
      <c r="O1663" s="996"/>
      <c r="P1663" s="79" t="str">
        <f>IF(AND('331-CT'!$E$7=TH!H1663,OR(N1663="331",O1663="331")),"x","")</f>
        <v/>
      </c>
      <c r="Q1663" s="79" t="str">
        <f>IF(AND(B1663='111'!$L$11,OR($N1663=$Q$7,$O1663=$Q$7)),"x","")</f>
        <v/>
      </c>
      <c r="R1663" s="79" t="str">
        <f>IF(AND($N1663=$Q$7,$B1663&lt;'111'!$L$11),"x","")</f>
        <v/>
      </c>
      <c r="S1663" s="79" t="str">
        <f>IF(AND($O1663=$Q$7,$B1663&lt;'111'!$L$11),"x","")</f>
        <v/>
      </c>
      <c r="T1663" s="79" t="str">
        <f>IF(ISERROR(FIND('112'!$M$9,G1663,1)),"",IF((AND(FIND('112'!$M$9,G1663,1)&gt;=1,B1663='112'!$K$9,OR($N1663='112'!$I$6,$O1663='112'!$I$6))),"x",""))</f>
        <v/>
      </c>
      <c r="U1663" s="79" t="str">
        <f>IF(ISERROR(FIND('112'!$M$9,G1663,1)),"",IF((AND(LEFT(G1663,2)=LEFT('112'!$M$9,2),B1663&lt;'112'!$K$9,$N1663='112'!$I$6)),"x",""))</f>
        <v/>
      </c>
      <c r="V1663" s="79" t="str">
        <f>IF(ISERROR(FIND('112'!$M$9,G1663,1)),"",IF((AND(RIGHT(G1663,2)=RIGHT('112'!$M$9,2),B1663&lt;'112'!$K$9,$O1663='112'!$I$6)),"x",""))</f>
        <v/>
      </c>
      <c r="W1663" s="79" t="str">
        <f>IF(AND('341-CT'!$H$9=H1663,OR(LEFT(N1663,3)=$W$7,LEFT(O1663,3)=$W$7)),"x","")</f>
        <v/>
      </c>
      <c r="X1663" s="79" t="str">
        <f>IF(OR(TH!N1663=TH!$X$7,O1663=TH!$X$7),"x","")</f>
        <v/>
      </c>
      <c r="Y1663" s="79" t="str">
        <f>IF(AND(OR(N1663="131",O1663="131"),H1663='131-CT'!$H$9),"x","")</f>
        <v/>
      </c>
      <c r="Z1663" s="79"/>
      <c r="AA1663" s="79" t="str">
        <f>IF(AND(MONTH(E1663)='IN-NX'!$J$5,'IN-NX'!$D$7=D1663),"x","")</f>
        <v/>
      </c>
      <c r="AB1663" s="79" t="str">
        <f>IF(AND(OR(LEFT(TH!N1663,2)="15",LEFT(TH!O1663,2)="15"),LEFT(TH!O1663,3)&lt;&gt;"111",'152-CT'!$J$8=TH!F1663),"x","")</f>
        <v/>
      </c>
      <c r="AC1663" s="79" t="str">
        <f>IF(AND(OR(LEFT(TH!N1663,2)="15",LEFT(TH!O1663,2)="15"),TK!$E$7=TH!F1663),"x","")</f>
        <v/>
      </c>
      <c r="AD1663" s="79" t="str">
        <f>IF(AND(N1663="1521",MONTH(C1663)='BK-NL'!$M$11),"x","")</f>
        <v/>
      </c>
    </row>
    <row r="1664" spans="1:30" ht="16.5" customHeight="1">
      <c r="A1664" s="318" t="str">
        <f>IF(B1664&lt;&gt;"",IF(AND(B1664='IN-TC'!$S$4,OR(TH!N1664="1111",TH!O1664="1111")),TH!D1664,""),"")</f>
        <v/>
      </c>
      <c r="B1664" s="60" t="str">
        <f t="shared" si="210"/>
        <v/>
      </c>
      <c r="C1664" s="989"/>
      <c r="D1664" s="989"/>
      <c r="E1664" s="989"/>
      <c r="F1664" s="990"/>
      <c r="G1664" s="991"/>
      <c r="H1664" s="1011"/>
      <c r="I1664" s="994"/>
      <c r="J1664" s="992"/>
      <c r="K1664" s="994"/>
      <c r="L1664" s="992"/>
      <c r="M1664" s="995"/>
      <c r="N1664" s="996"/>
      <c r="O1664" s="996"/>
      <c r="P1664" s="79" t="str">
        <f>IF(AND('331-CT'!$E$7=TH!H1664,OR(N1664="331",O1664="331")),"x","")</f>
        <v/>
      </c>
      <c r="Q1664" s="79" t="str">
        <f>IF(AND(B1664='111'!$L$11,OR($N1664=$Q$7,$O1664=$Q$7)),"x","")</f>
        <v/>
      </c>
      <c r="R1664" s="79" t="str">
        <f>IF(AND($N1664=$Q$7,$B1664&lt;'111'!$L$11),"x","")</f>
        <v/>
      </c>
      <c r="S1664" s="79" t="str">
        <f>IF(AND($O1664=$Q$7,$B1664&lt;'111'!$L$11),"x","")</f>
        <v/>
      </c>
      <c r="T1664" s="79" t="str">
        <f>IF(ISERROR(FIND('112'!$M$9,G1664,1)),"",IF((AND(FIND('112'!$M$9,G1664,1)&gt;=1,B1664='112'!$K$9,OR($N1664='112'!$I$6,$O1664='112'!$I$6))),"x",""))</f>
        <v/>
      </c>
      <c r="U1664" s="79" t="str">
        <f>IF(ISERROR(FIND('112'!$M$9,G1664,1)),"",IF((AND(LEFT(G1664,2)=LEFT('112'!$M$9,2),B1664&lt;'112'!$K$9,$N1664='112'!$I$6)),"x",""))</f>
        <v/>
      </c>
      <c r="V1664" s="79" t="str">
        <f>IF(ISERROR(FIND('112'!$M$9,G1664,1)),"",IF((AND(RIGHT(G1664,2)=RIGHT('112'!$M$9,2),B1664&lt;'112'!$K$9,$O1664='112'!$I$6)),"x",""))</f>
        <v/>
      </c>
      <c r="W1664" s="79" t="str">
        <f>IF(AND('341-CT'!$H$9=H1664,OR(LEFT(N1664,3)=$W$7,LEFT(O1664,3)=$W$7)),"x","")</f>
        <v/>
      </c>
      <c r="X1664" s="79" t="str">
        <f>IF(OR(TH!N1664=TH!$X$7,O1664=TH!$X$7),"x","")</f>
        <v/>
      </c>
      <c r="Y1664" s="79" t="str">
        <f>IF(AND(OR(N1664="131",O1664="131"),H1664='131-CT'!$H$9),"x","")</f>
        <v/>
      </c>
      <c r="Z1664" s="79"/>
      <c r="AA1664" s="79" t="str">
        <f>IF(AND(MONTH(E1664)='IN-NX'!$J$5,'IN-NX'!$D$7=D1664),"x","")</f>
        <v/>
      </c>
      <c r="AB1664" s="79" t="str">
        <f>IF(AND(OR(LEFT(TH!N1664,2)="15",LEFT(TH!O1664,2)="15"),LEFT(TH!O1664,3)&lt;&gt;"111",'152-CT'!$J$8=TH!F1664),"x","")</f>
        <v/>
      </c>
      <c r="AC1664" s="79" t="str">
        <f>IF(AND(OR(LEFT(TH!N1664,2)="15",LEFT(TH!O1664,2)="15"),TK!$E$7=TH!F1664),"x","")</f>
        <v/>
      </c>
      <c r="AD1664" s="79" t="str">
        <f>IF(AND(N1664="1521",MONTH(C1664)='BK-NL'!$M$11),"x","")</f>
        <v/>
      </c>
    </row>
    <row r="1665" spans="1:30" ht="16.5" customHeight="1">
      <c r="A1665" s="318" t="str">
        <f>IF(B1665&lt;&gt;"",IF(AND(B1665='IN-TC'!$S$4,OR(TH!N1665="1111",TH!O1665="1111")),TH!D1665,""),"")</f>
        <v/>
      </c>
      <c r="B1665" s="60" t="str">
        <f t="shared" si="210"/>
        <v/>
      </c>
      <c r="C1665" s="989"/>
      <c r="D1665" s="989"/>
      <c r="E1665" s="989"/>
      <c r="F1665" s="990"/>
      <c r="G1665" s="991"/>
      <c r="H1665" s="1011"/>
      <c r="I1665" s="994"/>
      <c r="J1665" s="992"/>
      <c r="K1665" s="994"/>
      <c r="L1665" s="992"/>
      <c r="M1665" s="995"/>
      <c r="N1665" s="996"/>
      <c r="O1665" s="996"/>
      <c r="P1665" s="79" t="str">
        <f>IF(AND('331-CT'!$E$7=TH!H1665,OR(N1665="331",O1665="331")),"x","")</f>
        <v/>
      </c>
      <c r="Q1665" s="79" t="str">
        <f>IF(AND(B1665='111'!$L$11,OR($N1665=$Q$7,$O1665=$Q$7)),"x","")</f>
        <v/>
      </c>
      <c r="R1665" s="79" t="str">
        <f>IF(AND($N1665=$Q$7,$B1665&lt;'111'!$L$11),"x","")</f>
        <v/>
      </c>
      <c r="S1665" s="79" t="str">
        <f>IF(AND($O1665=$Q$7,$B1665&lt;'111'!$L$11),"x","")</f>
        <v/>
      </c>
      <c r="T1665" s="79" t="str">
        <f>IF(ISERROR(FIND('112'!$M$9,G1665,1)),"",IF((AND(FIND('112'!$M$9,G1665,1)&gt;=1,B1665='112'!$K$9,OR($N1665='112'!$I$6,$O1665='112'!$I$6))),"x",""))</f>
        <v/>
      </c>
      <c r="U1665" s="79" t="str">
        <f>IF(ISERROR(FIND('112'!$M$9,G1665,1)),"",IF((AND(LEFT(G1665,2)=LEFT('112'!$M$9,2),B1665&lt;'112'!$K$9,$N1665='112'!$I$6)),"x",""))</f>
        <v/>
      </c>
      <c r="V1665" s="79" t="str">
        <f>IF(ISERROR(FIND('112'!$M$9,G1665,1)),"",IF((AND(RIGHT(G1665,2)=RIGHT('112'!$M$9,2),B1665&lt;'112'!$K$9,$O1665='112'!$I$6)),"x",""))</f>
        <v/>
      </c>
      <c r="W1665" s="79" t="str">
        <f>IF(AND('341-CT'!$H$9=H1665,OR(LEFT(N1665,3)=$W$7,LEFT(O1665,3)=$W$7)),"x","")</f>
        <v/>
      </c>
      <c r="X1665" s="79" t="str">
        <f>IF(OR(TH!N1665=TH!$X$7,O1665=TH!$X$7),"x","")</f>
        <v/>
      </c>
      <c r="Y1665" s="79" t="str">
        <f>IF(AND(OR(N1665="131",O1665="131"),H1665='131-CT'!$H$9),"x","")</f>
        <v/>
      </c>
      <c r="Z1665" s="79"/>
      <c r="AA1665" s="79" t="str">
        <f>IF(AND(MONTH(E1665)='IN-NX'!$J$5,'IN-NX'!$D$7=D1665),"x","")</f>
        <v/>
      </c>
      <c r="AB1665" s="79" t="str">
        <f>IF(AND(OR(LEFT(TH!N1665,2)="15",LEFT(TH!O1665,2)="15"),LEFT(TH!O1665,3)&lt;&gt;"111",'152-CT'!$J$8=TH!F1665),"x","")</f>
        <v/>
      </c>
      <c r="AC1665" s="79" t="str">
        <f>IF(AND(OR(LEFT(TH!N1665,2)="15",LEFT(TH!O1665,2)="15"),TK!$E$7=TH!F1665),"x","")</f>
        <v/>
      </c>
      <c r="AD1665" s="79" t="str">
        <f>IF(AND(N1665="1521",MONTH(C1665)='BK-NL'!$M$11),"x","")</f>
        <v/>
      </c>
    </row>
    <row r="1666" spans="1:30" ht="16.5" customHeight="1">
      <c r="A1666" s="318" t="str">
        <f>IF(B1666&lt;&gt;"",IF(AND(B1666='IN-TC'!$S$4,OR(TH!N1666="1111",TH!O1666="1111")),TH!D1666,""),"")</f>
        <v/>
      </c>
      <c r="B1666" s="60" t="str">
        <f t="shared" si="210"/>
        <v/>
      </c>
      <c r="C1666" s="989"/>
      <c r="D1666" s="989"/>
      <c r="E1666" s="989"/>
      <c r="F1666" s="990"/>
      <c r="G1666" s="991"/>
      <c r="H1666" s="1011"/>
      <c r="I1666" s="994"/>
      <c r="J1666" s="992"/>
      <c r="K1666" s="994"/>
      <c r="L1666" s="992"/>
      <c r="M1666" s="995"/>
      <c r="N1666" s="996"/>
      <c r="O1666" s="996"/>
      <c r="P1666" s="79" t="str">
        <f>IF(AND('331-CT'!$E$7=TH!H1666,OR(N1666="331",O1666="331")),"x","")</f>
        <v/>
      </c>
      <c r="Q1666" s="79" t="str">
        <f>IF(AND(B1666='111'!$L$11,OR($N1666=$Q$7,$O1666=$Q$7)),"x","")</f>
        <v/>
      </c>
      <c r="R1666" s="79" t="str">
        <f>IF(AND($N1666=$Q$7,$B1666&lt;'111'!$L$11),"x","")</f>
        <v/>
      </c>
      <c r="S1666" s="79" t="str">
        <f>IF(AND($O1666=$Q$7,$B1666&lt;'111'!$L$11),"x","")</f>
        <v/>
      </c>
      <c r="T1666" s="79" t="str">
        <f>IF(ISERROR(FIND('112'!$M$9,G1666,1)),"",IF((AND(FIND('112'!$M$9,G1666,1)&gt;=1,B1666='112'!$K$9,OR($N1666='112'!$I$6,$O1666='112'!$I$6))),"x",""))</f>
        <v/>
      </c>
      <c r="U1666" s="79" t="str">
        <f>IF(ISERROR(FIND('112'!$M$9,G1666,1)),"",IF((AND(LEFT(G1666,2)=LEFT('112'!$M$9,2),B1666&lt;'112'!$K$9,$N1666='112'!$I$6)),"x",""))</f>
        <v/>
      </c>
      <c r="V1666" s="79" t="str">
        <f>IF(ISERROR(FIND('112'!$M$9,G1666,1)),"",IF((AND(RIGHT(G1666,2)=RIGHT('112'!$M$9,2),B1666&lt;'112'!$K$9,$O1666='112'!$I$6)),"x",""))</f>
        <v/>
      </c>
      <c r="W1666" s="79" t="str">
        <f>IF(AND('341-CT'!$H$9=H1666,OR(LEFT(N1666,3)=$W$7,LEFT(O1666,3)=$W$7)),"x","")</f>
        <v/>
      </c>
      <c r="X1666" s="79" t="str">
        <f>IF(OR(TH!N1666=TH!$X$7,O1666=TH!$X$7),"x","")</f>
        <v/>
      </c>
      <c r="Y1666" s="79" t="str">
        <f>IF(AND(OR(N1666="131",O1666="131"),H1666='131-CT'!$H$9),"x","")</f>
        <v/>
      </c>
      <c r="Z1666" s="79"/>
      <c r="AA1666" s="79" t="str">
        <f>IF(AND(MONTH(E1666)='IN-NX'!$J$5,'IN-NX'!$D$7=D1666),"x","")</f>
        <v/>
      </c>
      <c r="AB1666" s="79" t="str">
        <f>IF(AND(OR(LEFT(TH!N1666,2)="15",LEFT(TH!O1666,2)="15"),LEFT(TH!O1666,3)&lt;&gt;"111",'152-CT'!$J$8=TH!F1666),"x","")</f>
        <v/>
      </c>
      <c r="AC1666" s="79" t="str">
        <f>IF(AND(OR(LEFT(TH!N1666,2)="15",LEFT(TH!O1666,2)="15"),TK!$E$7=TH!F1666),"x","")</f>
        <v/>
      </c>
      <c r="AD1666" s="79" t="str">
        <f>IF(AND(N1666="1521",MONTH(C1666)='BK-NL'!$M$11),"x","")</f>
        <v/>
      </c>
    </row>
    <row r="1667" spans="1:30" ht="16.5" customHeight="1">
      <c r="A1667" s="318" t="str">
        <f>IF(B1667&lt;&gt;"",IF(AND(B1667='IN-TC'!$S$4,OR(TH!N1667="1111",TH!O1667="1111")),TH!D1667,""),"")</f>
        <v/>
      </c>
      <c r="B1667" s="60" t="str">
        <f t="shared" si="210"/>
        <v/>
      </c>
      <c r="C1667" s="989"/>
      <c r="D1667" s="989"/>
      <c r="E1667" s="989"/>
      <c r="F1667" s="921"/>
      <c r="G1667" s="991"/>
      <c r="H1667" s="1011"/>
      <c r="I1667" s="994"/>
      <c r="J1667" s="992"/>
      <c r="K1667" s="994"/>
      <c r="L1667" s="992"/>
      <c r="M1667" s="995"/>
      <c r="N1667" s="996"/>
      <c r="O1667" s="996"/>
      <c r="P1667" s="79" t="str">
        <f>IF(AND('331-CT'!$E$7=TH!H1667,OR(N1667="331",O1667="331")),"x","")</f>
        <v/>
      </c>
      <c r="Q1667" s="79" t="str">
        <f>IF(AND(B1667='111'!$L$11,OR($N1667=$Q$7,$O1667=$Q$7)),"x","")</f>
        <v/>
      </c>
      <c r="R1667" s="79" t="str">
        <f>IF(AND($N1667=$Q$7,$B1667&lt;'111'!$L$11),"x","")</f>
        <v/>
      </c>
      <c r="S1667" s="79" t="str">
        <f>IF(AND($O1667=$Q$7,$B1667&lt;'111'!$L$11),"x","")</f>
        <v/>
      </c>
      <c r="T1667" s="79" t="str">
        <f>IF(ISERROR(FIND('112'!$M$9,G1667,1)),"",IF((AND(FIND('112'!$M$9,G1667,1)&gt;=1,B1667='112'!$K$9,OR($N1667='112'!$I$6,$O1667='112'!$I$6))),"x",""))</f>
        <v/>
      </c>
      <c r="U1667" s="79" t="str">
        <f>IF(ISERROR(FIND('112'!$M$9,G1667,1)),"",IF((AND(LEFT(G1667,2)=LEFT('112'!$M$9,2),B1667&lt;'112'!$K$9,$N1667='112'!$I$6)),"x",""))</f>
        <v/>
      </c>
      <c r="V1667" s="79" t="str">
        <f>IF(ISERROR(FIND('112'!$M$9,G1667,1)),"",IF((AND(RIGHT(G1667,2)=RIGHT('112'!$M$9,2),B1667&lt;'112'!$K$9,$O1667='112'!$I$6)),"x",""))</f>
        <v/>
      </c>
      <c r="W1667" s="79" t="str">
        <f>IF(AND('341-CT'!$H$9=H1667,OR(LEFT(N1667,3)=$W$7,LEFT(O1667,3)=$W$7)),"x","")</f>
        <v/>
      </c>
      <c r="X1667" s="79" t="str">
        <f>IF(OR(TH!N1667=TH!$X$7,O1667=TH!$X$7),"x","")</f>
        <v/>
      </c>
      <c r="Y1667" s="79" t="str">
        <f>IF(AND(OR(N1667="131",O1667="131"),H1667='131-CT'!$H$9),"x","")</f>
        <v/>
      </c>
      <c r="Z1667" s="79"/>
      <c r="AA1667" s="79" t="str">
        <f>IF(AND(MONTH(E1667)='IN-NX'!$J$5,'IN-NX'!$D$7=D1667),"x","")</f>
        <v/>
      </c>
      <c r="AB1667" s="79" t="str">
        <f>IF(AND(OR(LEFT(TH!N1667,2)="15",LEFT(TH!O1667,2)="15"),LEFT(TH!O1667,3)&lt;&gt;"111",'152-CT'!$J$8=TH!F1667),"x","")</f>
        <v/>
      </c>
      <c r="AC1667" s="79" t="str">
        <f>IF(AND(OR(LEFT(TH!N1667,2)="15",LEFT(TH!O1667,2)="15"),TK!$E$7=TH!F1667),"x","")</f>
        <v/>
      </c>
      <c r="AD1667" s="79" t="str">
        <f>IF(AND(N1667="1521",MONTH(C1667)='BK-NL'!$M$11),"x","")</f>
        <v/>
      </c>
    </row>
    <row r="1668" spans="1:30" ht="16.5" customHeight="1">
      <c r="A1668" s="318" t="str">
        <f>IF(B1668&lt;&gt;"",IF(AND(B1668='IN-TC'!$S$4,OR(TH!N1668="1111",TH!O1668="1111")),TH!D1668,""),"")</f>
        <v/>
      </c>
      <c r="B1668" s="60" t="str">
        <f t="shared" si="210"/>
        <v/>
      </c>
      <c r="C1668" s="989"/>
      <c r="D1668" s="989"/>
      <c r="E1668" s="989"/>
      <c r="F1668" s="921"/>
      <c r="G1668" s="991"/>
      <c r="H1668" s="1011"/>
      <c r="I1668" s="994"/>
      <c r="J1668" s="992"/>
      <c r="K1668" s="994"/>
      <c r="L1668" s="992"/>
      <c r="M1668" s="995"/>
      <c r="N1668" s="996"/>
      <c r="O1668" s="996"/>
      <c r="P1668" s="79" t="str">
        <f>IF(AND('331-CT'!$E$7=TH!H1668,OR(N1668="331",O1668="331")),"x","")</f>
        <v/>
      </c>
      <c r="Q1668" s="79" t="str">
        <f>IF(AND(B1668='111'!$L$11,OR($N1668=$Q$7,$O1668=$Q$7)),"x","")</f>
        <v/>
      </c>
      <c r="R1668" s="79" t="str">
        <f>IF(AND($N1668=$Q$7,$B1668&lt;'111'!$L$11),"x","")</f>
        <v/>
      </c>
      <c r="S1668" s="79" t="str">
        <f>IF(AND($O1668=$Q$7,$B1668&lt;'111'!$L$11),"x","")</f>
        <v/>
      </c>
      <c r="T1668" s="79" t="str">
        <f>IF(ISERROR(FIND('112'!$M$9,G1668,1)),"",IF((AND(FIND('112'!$M$9,G1668,1)&gt;=1,B1668='112'!$K$9,OR($N1668='112'!$I$6,$O1668='112'!$I$6))),"x",""))</f>
        <v/>
      </c>
      <c r="U1668" s="79" t="str">
        <f>IF(ISERROR(FIND('112'!$M$9,G1668,1)),"",IF((AND(LEFT(G1668,2)=LEFT('112'!$M$9,2),B1668&lt;'112'!$K$9,$N1668='112'!$I$6)),"x",""))</f>
        <v/>
      </c>
      <c r="V1668" s="79" t="str">
        <f>IF(ISERROR(FIND('112'!$M$9,G1668,1)),"",IF((AND(RIGHT(G1668,2)=RIGHT('112'!$M$9,2),B1668&lt;'112'!$K$9,$O1668='112'!$I$6)),"x",""))</f>
        <v/>
      </c>
      <c r="W1668" s="79" t="str">
        <f>IF(AND('341-CT'!$H$9=H1668,OR(LEFT(N1668,3)=$W$7,LEFT(O1668,3)=$W$7)),"x","")</f>
        <v/>
      </c>
      <c r="X1668" s="79" t="str">
        <f>IF(OR(TH!N1668=TH!$X$7,O1668=TH!$X$7),"x","")</f>
        <v/>
      </c>
      <c r="Y1668" s="79" t="str">
        <f>IF(AND(OR(N1668="131",O1668="131"),H1668='131-CT'!$H$9),"x","")</f>
        <v/>
      </c>
      <c r="Z1668" s="79"/>
      <c r="AA1668" s="79" t="str">
        <f>IF(AND(MONTH(E1668)='IN-NX'!$J$5,'IN-NX'!$D$7=D1668),"x","")</f>
        <v/>
      </c>
      <c r="AB1668" s="79" t="str">
        <f>IF(AND(OR(LEFT(TH!N1668,2)="15",LEFT(TH!O1668,2)="15"),LEFT(TH!O1668,3)&lt;&gt;"111",'152-CT'!$J$8=TH!F1668),"x","")</f>
        <v/>
      </c>
      <c r="AC1668" s="79" t="str">
        <f>IF(AND(OR(LEFT(TH!N1668,2)="15",LEFT(TH!O1668,2)="15"),TK!$E$7=TH!F1668),"x","")</f>
        <v/>
      </c>
      <c r="AD1668" s="79" t="str">
        <f>IF(AND(N1668="1521",MONTH(C1668)='BK-NL'!$M$11),"x","")</f>
        <v/>
      </c>
    </row>
    <row r="1669" spans="1:30" ht="16.5" customHeight="1">
      <c r="A1669" s="318" t="str">
        <f>IF(B1669&lt;&gt;"",IF(AND(B1669='IN-TC'!$S$4,OR(TH!N1669="1111",TH!O1669="1111")),TH!D1669,""),"")</f>
        <v/>
      </c>
      <c r="B1669" s="60" t="str">
        <f t="shared" si="210"/>
        <v/>
      </c>
      <c r="C1669" s="989"/>
      <c r="D1669" s="989"/>
      <c r="E1669" s="989"/>
      <c r="F1669" s="990"/>
      <c r="G1669" s="991"/>
      <c r="H1669" s="1011"/>
      <c r="I1669" s="994"/>
      <c r="J1669" s="992"/>
      <c r="K1669" s="994"/>
      <c r="L1669" s="992"/>
      <c r="M1669" s="995"/>
      <c r="N1669" s="996"/>
      <c r="O1669" s="996"/>
      <c r="P1669" s="79" t="str">
        <f>IF(AND('331-CT'!$E$7=TH!H1669,OR(N1669="331",O1669="331")),"x","")</f>
        <v/>
      </c>
      <c r="Q1669" s="79" t="str">
        <f>IF(AND(B1669='111'!$L$11,OR($N1669=$Q$7,$O1669=$Q$7)),"x","")</f>
        <v/>
      </c>
      <c r="R1669" s="79" t="str">
        <f>IF(AND($N1669=$Q$7,$B1669&lt;'111'!$L$11),"x","")</f>
        <v/>
      </c>
      <c r="S1669" s="79" t="str">
        <f>IF(AND($O1669=$Q$7,$B1669&lt;'111'!$L$11),"x","")</f>
        <v/>
      </c>
      <c r="T1669" s="79" t="str">
        <f>IF(ISERROR(FIND('112'!$M$9,G1669,1)),"",IF((AND(FIND('112'!$M$9,G1669,1)&gt;=1,B1669='112'!$K$9,OR($N1669='112'!$I$6,$O1669='112'!$I$6))),"x",""))</f>
        <v/>
      </c>
      <c r="U1669" s="79" t="str">
        <f>IF(ISERROR(FIND('112'!$M$9,G1669,1)),"",IF((AND(LEFT(G1669,2)=LEFT('112'!$M$9,2),B1669&lt;'112'!$K$9,$N1669='112'!$I$6)),"x",""))</f>
        <v/>
      </c>
      <c r="V1669" s="79" t="str">
        <f>IF(ISERROR(FIND('112'!$M$9,G1669,1)),"",IF((AND(RIGHT(G1669,2)=RIGHT('112'!$M$9,2),B1669&lt;'112'!$K$9,$O1669='112'!$I$6)),"x",""))</f>
        <v/>
      </c>
      <c r="W1669" s="79" t="str">
        <f>IF(AND('341-CT'!$H$9=H1669,OR(LEFT(N1669,3)=$W$7,LEFT(O1669,3)=$W$7)),"x","")</f>
        <v/>
      </c>
      <c r="X1669" s="79" t="str">
        <f>IF(OR(TH!N1669=TH!$X$7,O1669=TH!$X$7),"x","")</f>
        <v/>
      </c>
      <c r="Y1669" s="79" t="str">
        <f>IF(AND(OR(N1669="131",O1669="131"),H1669='131-CT'!$H$9),"x","")</f>
        <v/>
      </c>
      <c r="Z1669" s="79"/>
      <c r="AA1669" s="79" t="str">
        <f>IF(AND(MONTH(E1669)='IN-NX'!$J$5,'IN-NX'!$D$7=D1669),"x","")</f>
        <v/>
      </c>
      <c r="AB1669" s="79" t="str">
        <f>IF(AND(OR(LEFT(TH!N1669,2)="15",LEFT(TH!O1669,2)="15"),LEFT(TH!O1669,3)&lt;&gt;"111",'152-CT'!$J$8=TH!F1669),"x","")</f>
        <v/>
      </c>
      <c r="AC1669" s="79" t="str">
        <f>IF(AND(OR(LEFT(TH!N1669,2)="15",LEFT(TH!O1669,2)="15"),TK!$E$7=TH!F1669),"x","")</f>
        <v/>
      </c>
      <c r="AD1669" s="79" t="str">
        <f>IF(AND(N1669="1521",MONTH(C1669)='BK-NL'!$M$11),"x","")</f>
        <v/>
      </c>
    </row>
    <row r="1670" spans="1:30" ht="16.5" customHeight="1">
      <c r="A1670" s="318" t="str">
        <f>IF(B1670&lt;&gt;"",IF(AND(B1670='IN-TC'!$S$4,OR(TH!N1670="1111",TH!O1670="1111")),TH!D1670,""),"")</f>
        <v/>
      </c>
      <c r="B1670" s="60" t="str">
        <f t="shared" si="210"/>
        <v/>
      </c>
      <c r="C1670" s="989"/>
      <c r="D1670" s="989"/>
      <c r="E1670" s="989"/>
      <c r="F1670" s="990"/>
      <c r="G1670" s="991"/>
      <c r="H1670" s="1011"/>
      <c r="I1670" s="994"/>
      <c r="J1670" s="992"/>
      <c r="K1670" s="994"/>
      <c r="L1670" s="992"/>
      <c r="M1670" s="995"/>
      <c r="N1670" s="996"/>
      <c r="O1670" s="996"/>
      <c r="P1670" s="79" t="str">
        <f>IF(AND('331-CT'!$E$7=TH!H1670,OR(N1670="331",O1670="331")),"x","")</f>
        <v/>
      </c>
      <c r="Q1670" s="79" t="str">
        <f>IF(AND(B1670='111'!$L$11,OR($N1670=$Q$7,$O1670=$Q$7)),"x","")</f>
        <v/>
      </c>
      <c r="R1670" s="79" t="str">
        <f>IF(AND($N1670=$Q$7,$B1670&lt;'111'!$L$11),"x","")</f>
        <v/>
      </c>
      <c r="S1670" s="79" t="str">
        <f>IF(AND($O1670=$Q$7,$B1670&lt;'111'!$L$11),"x","")</f>
        <v/>
      </c>
      <c r="T1670" s="79" t="str">
        <f>IF(ISERROR(FIND('112'!$M$9,G1670,1)),"",IF((AND(FIND('112'!$M$9,G1670,1)&gt;=1,B1670='112'!$K$9,OR($N1670='112'!$I$6,$O1670='112'!$I$6))),"x",""))</f>
        <v/>
      </c>
      <c r="U1670" s="79" t="str">
        <f>IF(ISERROR(FIND('112'!$M$9,G1670,1)),"",IF((AND(LEFT(G1670,2)=LEFT('112'!$M$9,2),B1670&lt;'112'!$K$9,$N1670='112'!$I$6)),"x",""))</f>
        <v/>
      </c>
      <c r="V1670" s="79" t="str">
        <f>IF(ISERROR(FIND('112'!$M$9,G1670,1)),"",IF((AND(RIGHT(G1670,2)=RIGHT('112'!$M$9,2),B1670&lt;'112'!$K$9,$O1670='112'!$I$6)),"x",""))</f>
        <v/>
      </c>
      <c r="W1670" s="79" t="str">
        <f>IF(AND('341-CT'!$H$9=H1670,OR(LEFT(N1670,3)=$W$7,LEFT(O1670,3)=$W$7)),"x","")</f>
        <v/>
      </c>
      <c r="X1670" s="79" t="str">
        <f>IF(OR(TH!N1670=TH!$X$7,O1670=TH!$X$7),"x","")</f>
        <v/>
      </c>
      <c r="Y1670" s="79" t="str">
        <f>IF(AND(OR(N1670="131",O1670="131"),H1670='131-CT'!$H$9),"x","")</f>
        <v/>
      </c>
      <c r="Z1670" s="79"/>
      <c r="AA1670" s="79" t="str">
        <f>IF(AND(MONTH(E1670)='IN-NX'!$J$5,'IN-NX'!$D$7=D1670),"x","")</f>
        <v/>
      </c>
      <c r="AB1670" s="79" t="str">
        <f>IF(AND(OR(LEFT(TH!N1670,2)="15",LEFT(TH!O1670,2)="15"),LEFT(TH!O1670,3)&lt;&gt;"111",'152-CT'!$J$8=TH!F1670),"x","")</f>
        <v/>
      </c>
      <c r="AC1670" s="79" t="str">
        <f>IF(AND(OR(LEFT(TH!N1670,2)="15",LEFT(TH!O1670,2)="15"),TK!$E$7=TH!F1670),"x","")</f>
        <v/>
      </c>
      <c r="AD1670" s="79" t="str">
        <f>IF(AND(N1670="1521",MONTH(C1670)='BK-NL'!$M$11),"x","")</f>
        <v/>
      </c>
    </row>
    <row r="1671" spans="1:30" ht="16.5" customHeight="1">
      <c r="A1671" s="318" t="str">
        <f>IF(B1671&lt;&gt;"",IF(AND(B1671='IN-TC'!$S$4,OR(TH!N1671="1111",TH!O1671="1111")),TH!D1671,""),"")</f>
        <v/>
      </c>
      <c r="B1671" s="60" t="str">
        <f t="shared" si="210"/>
        <v/>
      </c>
      <c r="C1671" s="989"/>
      <c r="D1671" s="989"/>
      <c r="E1671" s="989"/>
      <c r="F1671" s="990"/>
      <c r="G1671" s="991"/>
      <c r="H1671" s="1011"/>
      <c r="I1671" s="994"/>
      <c r="J1671" s="992"/>
      <c r="K1671" s="994"/>
      <c r="L1671" s="992"/>
      <c r="M1671" s="995"/>
      <c r="N1671" s="996"/>
      <c r="O1671" s="996"/>
      <c r="P1671" s="79" t="str">
        <f>IF(AND('331-CT'!$E$7=TH!H1671,OR(N1671="331",O1671="331")),"x","")</f>
        <v/>
      </c>
      <c r="Q1671" s="79" t="str">
        <f>IF(AND(B1671='111'!$L$11,OR($N1671=$Q$7,$O1671=$Q$7)),"x","")</f>
        <v/>
      </c>
      <c r="R1671" s="79" t="str">
        <f>IF(AND($N1671=$Q$7,$B1671&lt;'111'!$L$11),"x","")</f>
        <v/>
      </c>
      <c r="S1671" s="79" t="str">
        <f>IF(AND($O1671=$Q$7,$B1671&lt;'111'!$L$11),"x","")</f>
        <v/>
      </c>
      <c r="T1671" s="79" t="str">
        <f>IF(ISERROR(FIND('112'!$M$9,G1671,1)),"",IF((AND(FIND('112'!$M$9,G1671,1)&gt;=1,B1671='112'!$K$9,OR($N1671='112'!$I$6,$O1671='112'!$I$6))),"x",""))</f>
        <v/>
      </c>
      <c r="U1671" s="79" t="str">
        <f>IF(ISERROR(FIND('112'!$M$9,G1671,1)),"",IF((AND(LEFT(G1671,2)=LEFT('112'!$M$9,2),B1671&lt;'112'!$K$9,$N1671='112'!$I$6)),"x",""))</f>
        <v/>
      </c>
      <c r="V1671" s="79" t="str">
        <f>IF(ISERROR(FIND('112'!$M$9,G1671,1)),"",IF((AND(RIGHT(G1671,2)=RIGHT('112'!$M$9,2),B1671&lt;'112'!$K$9,$O1671='112'!$I$6)),"x",""))</f>
        <v/>
      </c>
      <c r="W1671" s="79" t="str">
        <f>IF(AND('341-CT'!$H$9=H1671,OR(LEFT(N1671,3)=$W$7,LEFT(O1671,3)=$W$7)),"x","")</f>
        <v/>
      </c>
      <c r="X1671" s="79" t="str">
        <f>IF(OR(TH!N1671=TH!$X$7,O1671=TH!$X$7),"x","")</f>
        <v/>
      </c>
      <c r="Y1671" s="79" t="str">
        <f>IF(AND(OR(N1671="131",O1671="131"),H1671='131-CT'!$H$9),"x","")</f>
        <v/>
      </c>
      <c r="Z1671" s="79"/>
      <c r="AA1671" s="79" t="str">
        <f>IF(AND(MONTH(E1671)='IN-NX'!$J$5,'IN-NX'!$D$7=D1671),"x","")</f>
        <v/>
      </c>
      <c r="AB1671" s="79" t="str">
        <f>IF(AND(OR(LEFT(TH!N1671,2)="15",LEFT(TH!O1671,2)="15"),LEFT(TH!O1671,3)&lt;&gt;"111",'152-CT'!$J$8=TH!F1671),"x","")</f>
        <v/>
      </c>
      <c r="AC1671" s="79" t="str">
        <f>IF(AND(OR(LEFT(TH!N1671,2)="15",LEFT(TH!O1671,2)="15"),TK!$E$7=TH!F1671),"x","")</f>
        <v/>
      </c>
      <c r="AD1671" s="79" t="str">
        <f>IF(AND(N1671="1521",MONTH(C1671)='BK-NL'!$M$11),"x","")</f>
        <v/>
      </c>
    </row>
    <row r="1672" spans="1:30" ht="16.5" customHeight="1">
      <c r="A1672" s="318" t="str">
        <f>IF(B1672&lt;&gt;"",IF(AND(B1672='IN-TC'!$S$4,OR(TH!N1672="1111",TH!O1672="1111")),TH!D1672,""),"")</f>
        <v/>
      </c>
      <c r="B1672" s="60" t="str">
        <f t="shared" si="210"/>
        <v/>
      </c>
      <c r="C1672" s="989"/>
      <c r="D1672" s="989"/>
      <c r="E1672" s="989"/>
      <c r="F1672" s="990"/>
      <c r="G1672" s="991"/>
      <c r="H1672" s="1141"/>
      <c r="I1672" s="994"/>
      <c r="J1672" s="992"/>
      <c r="K1672" s="994"/>
      <c r="L1672" s="992"/>
      <c r="M1672" s="995"/>
      <c r="N1672" s="996"/>
      <c r="O1672" s="996"/>
      <c r="P1672" s="79" t="str">
        <f>IF(AND('331-CT'!$E$7=TH!H1672,OR(N1672="331",O1672="331")),"x","")</f>
        <v/>
      </c>
      <c r="Q1672" s="79" t="str">
        <f>IF(AND(B1672='111'!$L$11,OR($N1672=$Q$7,$O1672=$Q$7)),"x","")</f>
        <v/>
      </c>
      <c r="R1672" s="79" t="str">
        <f>IF(AND($N1672=$Q$7,$B1672&lt;'111'!$L$11),"x","")</f>
        <v/>
      </c>
      <c r="S1672" s="79" t="str">
        <f>IF(AND($O1672=$Q$7,$B1672&lt;'111'!$L$11),"x","")</f>
        <v/>
      </c>
      <c r="T1672" s="79" t="str">
        <f>IF(ISERROR(FIND('112'!$M$9,G1672,1)),"",IF((AND(FIND('112'!$M$9,G1672,1)&gt;=1,B1672='112'!$K$9,OR($N1672='112'!$I$6,$O1672='112'!$I$6))),"x",""))</f>
        <v/>
      </c>
      <c r="U1672" s="79" t="str">
        <f>IF(ISERROR(FIND('112'!$M$9,G1672,1)),"",IF((AND(LEFT(G1672,2)=LEFT('112'!$M$9,2),B1672&lt;'112'!$K$9,$N1672='112'!$I$6)),"x",""))</f>
        <v/>
      </c>
      <c r="V1672" s="79" t="str">
        <f>IF(ISERROR(FIND('112'!$M$9,G1672,1)),"",IF((AND(RIGHT(G1672,2)=RIGHT('112'!$M$9,2),B1672&lt;'112'!$K$9,$O1672='112'!$I$6)),"x",""))</f>
        <v/>
      </c>
      <c r="W1672" s="79" t="str">
        <f>IF(AND('341-CT'!$H$9=H1672,OR(LEFT(N1672,3)=$W$7,LEFT(O1672,3)=$W$7)),"x","")</f>
        <v/>
      </c>
      <c r="X1672" s="79" t="str">
        <f>IF(OR(TH!N1672=TH!$X$7,O1672=TH!$X$7),"x","")</f>
        <v/>
      </c>
      <c r="Y1672" s="79" t="str">
        <f>IF(AND(OR(N1672="131",O1672="131"),H1672='131-CT'!$H$9),"x","")</f>
        <v/>
      </c>
      <c r="Z1672" s="79"/>
      <c r="AA1672" s="79" t="str">
        <f>IF(AND(MONTH(E1672)='IN-NX'!$J$5,'IN-NX'!$D$7=D1672),"x","")</f>
        <v/>
      </c>
      <c r="AB1672" s="79" t="str">
        <f>IF(AND(OR(LEFT(TH!N1672,2)="15",LEFT(TH!O1672,2)="15"),LEFT(TH!O1672,3)&lt;&gt;"111",'152-CT'!$J$8=TH!F1672),"x","")</f>
        <v/>
      </c>
      <c r="AC1672" s="79" t="str">
        <f>IF(AND(OR(LEFT(TH!N1672,2)="15",LEFT(TH!O1672,2)="15"),TK!$E$7=TH!F1672),"x","")</f>
        <v/>
      </c>
      <c r="AD1672" s="79" t="str">
        <f>IF(AND(N1672="1521",MONTH(C1672)='BK-NL'!$M$11),"x","")</f>
        <v/>
      </c>
    </row>
    <row r="1673" spans="1:30" ht="16.5" customHeight="1">
      <c r="A1673" s="318" t="str">
        <f>IF(B1673&lt;&gt;"",IF(AND(B1673='IN-TC'!$S$4,OR(TH!N1673="1111",TH!O1673="1111")),TH!D1673,""),"")</f>
        <v/>
      </c>
      <c r="B1673" s="60" t="str">
        <f t="shared" si="210"/>
        <v/>
      </c>
      <c r="C1673" s="989"/>
      <c r="D1673" s="989"/>
      <c r="E1673" s="989"/>
      <c r="F1673" s="990"/>
      <c r="G1673" s="991"/>
      <c r="H1673" s="1141"/>
      <c r="I1673" s="994"/>
      <c r="J1673" s="992"/>
      <c r="K1673" s="994"/>
      <c r="L1673" s="992"/>
      <c r="M1673" s="995"/>
      <c r="N1673" s="996"/>
      <c r="O1673" s="996"/>
      <c r="P1673" s="79" t="str">
        <f>IF(AND('331-CT'!$E$7=TH!H1673,OR(N1673="331",O1673="331")),"x","")</f>
        <v/>
      </c>
      <c r="Q1673" s="79" t="str">
        <f>IF(AND(B1673='111'!$L$11,OR($N1673=$Q$7,$O1673=$Q$7)),"x","")</f>
        <v/>
      </c>
      <c r="R1673" s="79" t="str">
        <f>IF(AND($N1673=$Q$7,$B1673&lt;'111'!$L$11),"x","")</f>
        <v/>
      </c>
      <c r="S1673" s="79" t="str">
        <f>IF(AND($O1673=$Q$7,$B1673&lt;'111'!$L$11),"x","")</f>
        <v/>
      </c>
      <c r="T1673" s="79" t="str">
        <f>IF(ISERROR(FIND('112'!$M$9,G1673,1)),"",IF((AND(FIND('112'!$M$9,G1673,1)&gt;=1,B1673='112'!$K$9,OR($N1673='112'!$I$6,$O1673='112'!$I$6))),"x",""))</f>
        <v/>
      </c>
      <c r="U1673" s="79" t="str">
        <f>IF(ISERROR(FIND('112'!$M$9,G1673,1)),"",IF((AND(LEFT(G1673,2)=LEFT('112'!$M$9,2),B1673&lt;'112'!$K$9,$N1673='112'!$I$6)),"x",""))</f>
        <v/>
      </c>
      <c r="V1673" s="79" t="str">
        <f>IF(ISERROR(FIND('112'!$M$9,G1673,1)),"",IF((AND(RIGHT(G1673,2)=RIGHT('112'!$M$9,2),B1673&lt;'112'!$K$9,$O1673='112'!$I$6)),"x",""))</f>
        <v/>
      </c>
      <c r="W1673" s="79" t="str">
        <f>IF(AND('341-CT'!$H$9=H1673,OR(LEFT(N1673,3)=$W$7,LEFT(O1673,3)=$W$7)),"x","")</f>
        <v/>
      </c>
      <c r="X1673" s="79" t="str">
        <f>IF(OR(TH!N1673=TH!$X$7,O1673=TH!$X$7),"x","")</f>
        <v/>
      </c>
      <c r="Y1673" s="79" t="str">
        <f>IF(AND(OR(N1673="131",O1673="131"),H1673='131-CT'!$H$9),"x","")</f>
        <v/>
      </c>
      <c r="Z1673" s="79"/>
      <c r="AA1673" s="79" t="str">
        <f>IF(AND(MONTH(E1673)='IN-NX'!$J$5,'IN-NX'!$D$7=D1673),"x","")</f>
        <v/>
      </c>
      <c r="AB1673" s="79" t="str">
        <f>IF(AND(OR(LEFT(TH!N1673,2)="15",LEFT(TH!O1673,2)="15"),LEFT(TH!O1673,3)&lt;&gt;"111",'152-CT'!$J$8=TH!F1673),"x","")</f>
        <v/>
      </c>
      <c r="AC1673" s="79" t="str">
        <f>IF(AND(OR(LEFT(TH!N1673,2)="15",LEFT(TH!O1673,2)="15"),TK!$E$7=TH!F1673),"x","")</f>
        <v/>
      </c>
      <c r="AD1673" s="79" t="str">
        <f>IF(AND(N1673="1521",MONTH(C1673)='BK-NL'!$M$11),"x","")</f>
        <v/>
      </c>
    </row>
    <row r="1674" spans="1:30" ht="16.5" customHeight="1">
      <c r="A1674" s="318" t="str">
        <f>IF(B1674&lt;&gt;"",IF(AND(B1674='IN-TC'!$S$4,OR(TH!N1674="1111",TH!O1674="1111")),TH!D1674,""),"")</f>
        <v/>
      </c>
      <c r="B1674" s="60" t="str">
        <f t="shared" si="210"/>
        <v/>
      </c>
      <c r="C1674" s="989"/>
      <c r="D1674" s="989"/>
      <c r="E1674" s="989"/>
      <c r="F1674" s="921"/>
      <c r="G1674" s="991"/>
      <c r="H1674" s="1011"/>
      <c r="I1674" s="994"/>
      <c r="J1674" s="992"/>
      <c r="K1674" s="994"/>
      <c r="L1674" s="992"/>
      <c r="M1674" s="995"/>
      <c r="N1674" s="996"/>
      <c r="O1674" s="996"/>
      <c r="P1674" s="79" t="str">
        <f>IF(AND('331-CT'!$E$7=TH!H1674,OR(N1674="331",O1674="331")),"x","")</f>
        <v/>
      </c>
      <c r="Q1674" s="79" t="str">
        <f>IF(AND(B1674='111'!$L$11,OR($N1674=$Q$7,$O1674=$Q$7)),"x","")</f>
        <v/>
      </c>
      <c r="R1674" s="79" t="str">
        <f>IF(AND($N1674=$Q$7,$B1674&lt;'111'!$L$11),"x","")</f>
        <v/>
      </c>
      <c r="S1674" s="79" t="str">
        <f>IF(AND($O1674=$Q$7,$B1674&lt;'111'!$L$11),"x","")</f>
        <v/>
      </c>
      <c r="T1674" s="79" t="str">
        <f>IF(ISERROR(FIND('112'!$M$9,G1674,1)),"",IF((AND(FIND('112'!$M$9,G1674,1)&gt;=1,B1674='112'!$K$9,OR($N1674='112'!$I$6,$O1674='112'!$I$6))),"x",""))</f>
        <v/>
      </c>
      <c r="U1674" s="79" t="str">
        <f>IF(ISERROR(FIND('112'!$M$9,G1674,1)),"",IF((AND(LEFT(G1674,2)=LEFT('112'!$M$9,2),B1674&lt;'112'!$K$9,$N1674='112'!$I$6)),"x",""))</f>
        <v/>
      </c>
      <c r="V1674" s="79" t="str">
        <f>IF(ISERROR(FIND('112'!$M$9,G1674,1)),"",IF((AND(RIGHT(G1674,2)=RIGHT('112'!$M$9,2),B1674&lt;'112'!$K$9,$O1674='112'!$I$6)),"x",""))</f>
        <v/>
      </c>
      <c r="W1674" s="79" t="str">
        <f>IF(AND('341-CT'!$H$9=H1674,OR(LEFT(N1674,3)=$W$7,LEFT(O1674,3)=$W$7)),"x","")</f>
        <v/>
      </c>
      <c r="X1674" s="79" t="str">
        <f>IF(OR(TH!N1674=TH!$X$7,O1674=TH!$X$7),"x","")</f>
        <v/>
      </c>
      <c r="Y1674" s="79" t="str">
        <f>IF(AND(OR(N1674="131",O1674="131"),H1674='131-CT'!$H$9),"x","")</f>
        <v/>
      </c>
      <c r="Z1674" s="79"/>
      <c r="AA1674" s="79" t="str">
        <f>IF(AND(MONTH(E1674)='IN-NX'!$J$5,'IN-NX'!$D$7=D1674),"x","")</f>
        <v/>
      </c>
      <c r="AB1674" s="79" t="str">
        <f>IF(AND(OR(LEFT(TH!N1674,2)="15",LEFT(TH!O1674,2)="15"),LEFT(TH!O1674,3)&lt;&gt;"111",'152-CT'!$J$8=TH!F1674),"x","")</f>
        <v/>
      </c>
      <c r="AC1674" s="79" t="str">
        <f>IF(AND(OR(LEFT(TH!N1674,2)="15",LEFT(TH!O1674,2)="15"),TK!$E$7=TH!F1674),"x","")</f>
        <v/>
      </c>
      <c r="AD1674" s="79" t="str">
        <f>IF(AND(N1674="1521",MONTH(C1674)='BK-NL'!$M$11),"x","")</f>
        <v/>
      </c>
    </row>
    <row r="1675" spans="1:30" ht="16.5" customHeight="1">
      <c r="A1675" s="318" t="str">
        <f>IF(B1675&lt;&gt;"",IF(AND(B1675='IN-TC'!$S$4,OR(TH!N1675="1111",TH!O1675="1111")),TH!D1675,""),"")</f>
        <v/>
      </c>
      <c r="B1675" s="60" t="str">
        <f t="shared" si="210"/>
        <v/>
      </c>
      <c r="C1675" s="989"/>
      <c r="D1675" s="989"/>
      <c r="E1675" s="989"/>
      <c r="F1675" s="921"/>
      <c r="G1675" s="991"/>
      <c r="H1675" s="1011"/>
      <c r="I1675" s="994"/>
      <c r="J1675" s="992"/>
      <c r="K1675" s="994"/>
      <c r="L1675" s="992"/>
      <c r="M1675" s="995"/>
      <c r="N1675" s="996"/>
      <c r="O1675" s="996"/>
      <c r="P1675" s="79" t="str">
        <f>IF(AND('331-CT'!$E$7=TH!H1675,OR(N1675="331",O1675="331")),"x","")</f>
        <v/>
      </c>
      <c r="Q1675" s="79" t="str">
        <f>IF(AND(B1675='111'!$L$11,OR($N1675=$Q$7,$O1675=$Q$7)),"x","")</f>
        <v/>
      </c>
      <c r="R1675" s="79" t="str">
        <f>IF(AND($N1675=$Q$7,$B1675&lt;'111'!$L$11),"x","")</f>
        <v/>
      </c>
      <c r="S1675" s="79" t="str">
        <f>IF(AND($O1675=$Q$7,$B1675&lt;'111'!$L$11),"x","")</f>
        <v/>
      </c>
      <c r="T1675" s="79" t="str">
        <f>IF(ISERROR(FIND('112'!$M$9,G1675,1)),"",IF((AND(FIND('112'!$M$9,G1675,1)&gt;=1,B1675='112'!$K$9,OR($N1675='112'!$I$6,$O1675='112'!$I$6))),"x",""))</f>
        <v/>
      </c>
      <c r="U1675" s="79" t="str">
        <f>IF(ISERROR(FIND('112'!$M$9,G1675,1)),"",IF((AND(LEFT(G1675,2)=LEFT('112'!$M$9,2),B1675&lt;'112'!$K$9,$N1675='112'!$I$6)),"x",""))</f>
        <v/>
      </c>
      <c r="V1675" s="79" t="str">
        <f>IF(ISERROR(FIND('112'!$M$9,G1675,1)),"",IF((AND(RIGHT(G1675,2)=RIGHT('112'!$M$9,2),B1675&lt;'112'!$K$9,$O1675='112'!$I$6)),"x",""))</f>
        <v/>
      </c>
      <c r="W1675" s="79" t="str">
        <f>IF(AND('341-CT'!$H$9=H1675,OR(LEFT(N1675,3)=$W$7,LEFT(O1675,3)=$W$7)),"x","")</f>
        <v/>
      </c>
      <c r="X1675" s="79" t="str">
        <f>IF(OR(TH!N1675=TH!$X$7,O1675=TH!$X$7),"x","")</f>
        <v/>
      </c>
      <c r="Y1675" s="79" t="str">
        <f>IF(AND(OR(N1675="131",O1675="131"),H1675='131-CT'!$H$9),"x","")</f>
        <v/>
      </c>
      <c r="Z1675" s="79"/>
      <c r="AA1675" s="79" t="str">
        <f>IF(AND(MONTH(E1675)='IN-NX'!$J$5,'IN-NX'!$D$7=D1675),"x","")</f>
        <v/>
      </c>
      <c r="AB1675" s="79" t="str">
        <f>IF(AND(OR(LEFT(TH!N1675,2)="15",LEFT(TH!O1675,2)="15"),LEFT(TH!O1675,3)&lt;&gt;"111",'152-CT'!$J$8=TH!F1675),"x","")</f>
        <v/>
      </c>
      <c r="AC1675" s="79" t="str">
        <f>IF(AND(OR(LEFT(TH!N1675,2)="15",LEFT(TH!O1675,2)="15"),TK!$E$7=TH!F1675),"x","")</f>
        <v/>
      </c>
      <c r="AD1675" s="79" t="str">
        <f>IF(AND(N1675="1521",MONTH(C1675)='BK-NL'!$M$11),"x","")</f>
        <v/>
      </c>
    </row>
    <row r="1676" spans="1:30" ht="16.5" customHeight="1">
      <c r="A1676" s="318" t="str">
        <f>IF(B1676&lt;&gt;"",IF(AND(B1676='IN-TC'!$S$4,OR(TH!N1676="1111",TH!O1676="1111")),TH!D1676,""),"")</f>
        <v/>
      </c>
      <c r="B1676" s="60" t="str">
        <f t="shared" si="210"/>
        <v/>
      </c>
      <c r="C1676" s="989"/>
      <c r="D1676" s="989"/>
      <c r="E1676" s="989"/>
      <c r="F1676" s="921"/>
      <c r="G1676" s="991"/>
      <c r="H1676" s="1011"/>
      <c r="I1676" s="994"/>
      <c r="J1676" s="992"/>
      <c r="K1676" s="994"/>
      <c r="L1676" s="992"/>
      <c r="M1676" s="995"/>
      <c r="N1676" s="996"/>
      <c r="O1676" s="996"/>
      <c r="P1676" s="79" t="str">
        <f>IF(AND('331-CT'!$E$7=TH!H1676,OR(N1676="331",O1676="331")),"x","")</f>
        <v/>
      </c>
      <c r="Q1676" s="79" t="str">
        <f>IF(AND(B1676='111'!$L$11,OR($N1676=$Q$7,$O1676=$Q$7)),"x","")</f>
        <v/>
      </c>
      <c r="R1676" s="79" t="str">
        <f>IF(AND($N1676=$Q$7,$B1676&lt;'111'!$L$11),"x","")</f>
        <v/>
      </c>
      <c r="S1676" s="79" t="str">
        <f>IF(AND($O1676=$Q$7,$B1676&lt;'111'!$L$11),"x","")</f>
        <v/>
      </c>
      <c r="T1676" s="79" t="str">
        <f>IF(ISERROR(FIND('112'!$M$9,G1676,1)),"",IF((AND(FIND('112'!$M$9,G1676,1)&gt;=1,B1676='112'!$K$9,OR($N1676='112'!$I$6,$O1676='112'!$I$6))),"x",""))</f>
        <v/>
      </c>
      <c r="U1676" s="79" t="str">
        <f>IF(ISERROR(FIND('112'!$M$9,G1676,1)),"",IF((AND(LEFT(G1676,2)=LEFT('112'!$M$9,2),B1676&lt;'112'!$K$9,$N1676='112'!$I$6)),"x",""))</f>
        <v/>
      </c>
      <c r="V1676" s="79" t="str">
        <f>IF(ISERROR(FIND('112'!$M$9,G1676,1)),"",IF((AND(RIGHT(G1676,2)=RIGHT('112'!$M$9,2),B1676&lt;'112'!$K$9,$O1676='112'!$I$6)),"x",""))</f>
        <v/>
      </c>
      <c r="W1676" s="79" t="str">
        <f>IF(AND('341-CT'!$H$9=H1676,OR(LEFT(N1676,3)=$W$7,LEFT(O1676,3)=$W$7)),"x","")</f>
        <v/>
      </c>
      <c r="X1676" s="79" t="str">
        <f>IF(OR(TH!N1676=TH!$X$7,O1676=TH!$X$7),"x","")</f>
        <v/>
      </c>
      <c r="Y1676" s="79" t="str">
        <f>IF(AND(OR(N1676="131",O1676="131"),H1676='131-CT'!$H$9),"x","")</f>
        <v/>
      </c>
      <c r="Z1676" s="79"/>
      <c r="AA1676" s="79" t="str">
        <f>IF(AND(MONTH(E1676)='IN-NX'!$J$5,'IN-NX'!$D$7=D1676),"x","")</f>
        <v/>
      </c>
      <c r="AB1676" s="79" t="str">
        <f>IF(AND(OR(LEFT(TH!N1676,2)="15",LEFT(TH!O1676,2)="15"),LEFT(TH!O1676,3)&lt;&gt;"111",'152-CT'!$J$8=TH!F1676),"x","")</f>
        <v/>
      </c>
      <c r="AC1676" s="79" t="str">
        <f>IF(AND(OR(LEFT(TH!N1676,2)="15",LEFT(TH!O1676,2)="15"),TK!$E$7=TH!F1676),"x","")</f>
        <v/>
      </c>
      <c r="AD1676" s="79" t="str">
        <f>IF(AND(N1676="1521",MONTH(C1676)='BK-NL'!$M$11),"x","")</f>
        <v/>
      </c>
    </row>
    <row r="1677" spans="1:30" ht="16.5" customHeight="1">
      <c r="A1677" s="318" t="str">
        <f>IF(B1677&lt;&gt;"",IF(AND(B1677='IN-TC'!$S$4,OR(TH!N1677="1111",TH!O1677="1111")),TH!D1677,""),"")</f>
        <v/>
      </c>
      <c r="B1677" s="60" t="str">
        <f t="shared" si="210"/>
        <v/>
      </c>
      <c r="C1677" s="989"/>
      <c r="D1677" s="989"/>
      <c r="E1677" s="989"/>
      <c r="F1677" s="921"/>
      <c r="G1677" s="991"/>
      <c r="H1677" s="1011"/>
      <c r="I1677" s="994"/>
      <c r="J1677" s="992"/>
      <c r="K1677" s="994"/>
      <c r="L1677" s="992"/>
      <c r="M1677" s="995"/>
      <c r="N1677" s="996"/>
      <c r="O1677" s="996"/>
      <c r="P1677" s="79" t="str">
        <f>IF(AND('331-CT'!$E$7=TH!H1677,OR(N1677="331",O1677="331")),"x","")</f>
        <v/>
      </c>
      <c r="Q1677" s="79" t="str">
        <f>IF(AND(B1677='111'!$L$11,OR($N1677=$Q$7,$O1677=$Q$7)),"x","")</f>
        <v/>
      </c>
      <c r="R1677" s="79" t="str">
        <f>IF(AND($N1677=$Q$7,$B1677&lt;'111'!$L$11),"x","")</f>
        <v/>
      </c>
      <c r="S1677" s="79" t="str">
        <f>IF(AND($O1677=$Q$7,$B1677&lt;'111'!$L$11),"x","")</f>
        <v/>
      </c>
      <c r="T1677" s="79" t="str">
        <f>IF(ISERROR(FIND('112'!$M$9,G1677,1)),"",IF((AND(FIND('112'!$M$9,G1677,1)&gt;=1,B1677='112'!$K$9,OR($N1677='112'!$I$6,$O1677='112'!$I$6))),"x",""))</f>
        <v/>
      </c>
      <c r="U1677" s="79" t="str">
        <f>IF(ISERROR(FIND('112'!$M$9,G1677,1)),"",IF((AND(LEFT(G1677,2)=LEFT('112'!$M$9,2),B1677&lt;'112'!$K$9,$N1677='112'!$I$6)),"x",""))</f>
        <v/>
      </c>
      <c r="V1677" s="79" t="str">
        <f>IF(ISERROR(FIND('112'!$M$9,G1677,1)),"",IF((AND(RIGHT(G1677,2)=RIGHT('112'!$M$9,2),B1677&lt;'112'!$K$9,$O1677='112'!$I$6)),"x",""))</f>
        <v/>
      </c>
      <c r="W1677" s="79" t="str">
        <f>IF(AND('341-CT'!$H$9=H1677,OR(LEFT(N1677,3)=$W$7,LEFT(O1677,3)=$W$7)),"x","")</f>
        <v/>
      </c>
      <c r="X1677" s="79" t="str">
        <f>IF(OR(TH!N1677=TH!$X$7,O1677=TH!$X$7),"x","")</f>
        <v/>
      </c>
      <c r="Y1677" s="79" t="str">
        <f>IF(AND(OR(N1677="131",O1677="131"),H1677='131-CT'!$H$9),"x","")</f>
        <v/>
      </c>
      <c r="Z1677" s="79"/>
      <c r="AA1677" s="79" t="str">
        <f>IF(AND(MONTH(E1677)='IN-NX'!$J$5,'IN-NX'!$D$7=D1677),"x","")</f>
        <v/>
      </c>
      <c r="AB1677" s="79" t="str">
        <f>IF(AND(OR(LEFT(TH!N1677,2)="15",LEFT(TH!O1677,2)="15"),LEFT(TH!O1677,3)&lt;&gt;"111",'152-CT'!$J$8=TH!F1677),"x","")</f>
        <v/>
      </c>
      <c r="AC1677" s="79" t="str">
        <f>IF(AND(OR(LEFT(TH!N1677,2)="15",LEFT(TH!O1677,2)="15"),TK!$E$7=TH!F1677),"x","")</f>
        <v/>
      </c>
      <c r="AD1677" s="79" t="str">
        <f>IF(AND(N1677="1521",MONTH(C1677)='BK-NL'!$M$11),"x","")</f>
        <v/>
      </c>
    </row>
    <row r="1678" spans="1:30" ht="16.5" customHeight="1">
      <c r="A1678" s="318" t="str">
        <f>IF(B1678&lt;&gt;"",IF(AND(B1678='IN-TC'!$S$4,OR(TH!N1678="1111",TH!O1678="1111")),TH!D1678,""),"")</f>
        <v/>
      </c>
      <c r="B1678" s="60" t="str">
        <f t="shared" si="210"/>
        <v/>
      </c>
      <c r="C1678" s="989"/>
      <c r="D1678" s="989"/>
      <c r="E1678" s="989"/>
      <c r="F1678" s="921"/>
      <c r="G1678" s="991"/>
      <c r="H1678" s="1011"/>
      <c r="I1678" s="994"/>
      <c r="J1678" s="992"/>
      <c r="K1678" s="994"/>
      <c r="L1678" s="992"/>
      <c r="M1678" s="995"/>
      <c r="N1678" s="996"/>
      <c r="O1678" s="996"/>
      <c r="P1678" s="79" t="str">
        <f>IF(AND('331-CT'!$E$7=TH!H1678,OR(N1678="331",O1678="331")),"x","")</f>
        <v/>
      </c>
      <c r="Q1678" s="79" t="str">
        <f>IF(AND(B1678='111'!$L$11,OR($N1678=$Q$7,$O1678=$Q$7)),"x","")</f>
        <v/>
      </c>
      <c r="R1678" s="79" t="str">
        <f>IF(AND($N1678=$Q$7,$B1678&lt;'111'!$L$11),"x","")</f>
        <v/>
      </c>
      <c r="S1678" s="79" t="str">
        <f>IF(AND($O1678=$Q$7,$B1678&lt;'111'!$L$11),"x","")</f>
        <v/>
      </c>
      <c r="T1678" s="79" t="str">
        <f>IF(ISERROR(FIND('112'!$M$9,G1678,1)),"",IF((AND(FIND('112'!$M$9,G1678,1)&gt;=1,B1678='112'!$K$9,OR($N1678='112'!$I$6,$O1678='112'!$I$6))),"x",""))</f>
        <v/>
      </c>
      <c r="U1678" s="79" t="str">
        <f>IF(ISERROR(FIND('112'!$M$9,G1678,1)),"",IF((AND(LEFT(G1678,2)=LEFT('112'!$M$9,2),B1678&lt;'112'!$K$9,$N1678='112'!$I$6)),"x",""))</f>
        <v/>
      </c>
      <c r="V1678" s="79" t="str">
        <f>IF(ISERROR(FIND('112'!$M$9,G1678,1)),"",IF((AND(RIGHT(G1678,2)=RIGHT('112'!$M$9,2),B1678&lt;'112'!$K$9,$O1678='112'!$I$6)),"x",""))</f>
        <v/>
      </c>
      <c r="W1678" s="79" t="str">
        <f>IF(AND('341-CT'!$H$9=H1678,OR(LEFT(N1678,3)=$W$7,LEFT(O1678,3)=$W$7)),"x","")</f>
        <v/>
      </c>
      <c r="X1678" s="79" t="str">
        <f>IF(OR(TH!N1678=TH!$X$7,O1678=TH!$X$7),"x","")</f>
        <v/>
      </c>
      <c r="Y1678" s="79" t="str">
        <f>IF(AND(OR(N1678="131",O1678="131"),H1678='131-CT'!$H$9),"x","")</f>
        <v/>
      </c>
      <c r="Z1678" s="79"/>
      <c r="AA1678" s="79" t="str">
        <f>IF(AND(MONTH(E1678)='IN-NX'!$J$5,'IN-NX'!$D$7=D1678),"x","")</f>
        <v/>
      </c>
      <c r="AB1678" s="79" t="str">
        <f>IF(AND(OR(LEFT(TH!N1678,2)="15",LEFT(TH!O1678,2)="15"),LEFT(TH!O1678,3)&lt;&gt;"111",'152-CT'!$J$8=TH!F1678),"x","")</f>
        <v/>
      </c>
      <c r="AC1678" s="79" t="str">
        <f>IF(AND(OR(LEFT(TH!N1678,2)="15",LEFT(TH!O1678,2)="15"),TK!$E$7=TH!F1678),"x","")</f>
        <v/>
      </c>
      <c r="AD1678" s="79" t="str">
        <f>IF(AND(N1678="1521",MONTH(C1678)='BK-NL'!$M$11),"x","")</f>
        <v/>
      </c>
    </row>
    <row r="1679" spans="1:30" ht="16.5" customHeight="1">
      <c r="A1679" s="318" t="str">
        <f>IF(B1679&lt;&gt;"",IF(AND(B1679='IN-TC'!$S$4,OR(TH!N1679="1111",TH!O1679="1111")),TH!D1679,""),"")</f>
        <v/>
      </c>
      <c r="B1679" s="60" t="str">
        <f t="shared" si="210"/>
        <v/>
      </c>
      <c r="C1679" s="989"/>
      <c r="D1679" s="989"/>
      <c r="E1679" s="989"/>
      <c r="F1679" s="921"/>
      <c r="G1679" s="991"/>
      <c r="H1679" s="1011"/>
      <c r="I1679" s="994"/>
      <c r="J1679" s="992"/>
      <c r="K1679" s="994"/>
      <c r="L1679" s="992"/>
      <c r="M1679" s="995"/>
      <c r="N1679" s="996"/>
      <c r="O1679" s="996"/>
      <c r="P1679" s="79" t="str">
        <f>IF(AND('331-CT'!$E$7=TH!H1679,OR(N1679="331",O1679="331")),"x","")</f>
        <v/>
      </c>
      <c r="Q1679" s="79" t="str">
        <f>IF(AND(B1679='111'!$L$11,OR($N1679=$Q$7,$O1679=$Q$7)),"x","")</f>
        <v/>
      </c>
      <c r="R1679" s="79" t="str">
        <f>IF(AND($N1679=$Q$7,$B1679&lt;'111'!$L$11),"x","")</f>
        <v/>
      </c>
      <c r="S1679" s="79" t="str">
        <f>IF(AND($O1679=$Q$7,$B1679&lt;'111'!$L$11),"x","")</f>
        <v/>
      </c>
      <c r="T1679" s="79" t="str">
        <f>IF(ISERROR(FIND('112'!$M$9,G1679,1)),"",IF((AND(FIND('112'!$M$9,G1679,1)&gt;=1,B1679='112'!$K$9,OR($N1679='112'!$I$6,$O1679='112'!$I$6))),"x",""))</f>
        <v/>
      </c>
      <c r="U1679" s="79" t="str">
        <f>IF(ISERROR(FIND('112'!$M$9,G1679,1)),"",IF((AND(LEFT(G1679,2)=LEFT('112'!$M$9,2),B1679&lt;'112'!$K$9,$N1679='112'!$I$6)),"x",""))</f>
        <v/>
      </c>
      <c r="V1679" s="79" t="str">
        <f>IF(ISERROR(FIND('112'!$M$9,G1679,1)),"",IF((AND(RIGHT(G1679,2)=RIGHT('112'!$M$9,2),B1679&lt;'112'!$K$9,$O1679='112'!$I$6)),"x",""))</f>
        <v/>
      </c>
      <c r="W1679" s="79" t="str">
        <f>IF(AND('341-CT'!$H$9=H1679,OR(LEFT(N1679,3)=$W$7,LEFT(O1679,3)=$W$7)),"x","")</f>
        <v/>
      </c>
      <c r="X1679" s="79" t="str">
        <f>IF(OR(TH!N1679=TH!$X$7,O1679=TH!$X$7),"x","")</f>
        <v/>
      </c>
      <c r="Y1679" s="79" t="str">
        <f>IF(AND(OR(N1679="131",O1679="131"),H1679='131-CT'!$H$9),"x","")</f>
        <v/>
      </c>
      <c r="Z1679" s="79"/>
      <c r="AA1679" s="79" t="str">
        <f>IF(AND(MONTH(E1679)='IN-NX'!$J$5,'IN-NX'!$D$7=D1679),"x","")</f>
        <v/>
      </c>
      <c r="AB1679" s="79" t="str">
        <f>IF(AND(OR(LEFT(TH!N1679,2)="15",LEFT(TH!O1679,2)="15"),LEFT(TH!O1679,3)&lt;&gt;"111",'152-CT'!$J$8=TH!F1679),"x","")</f>
        <v/>
      </c>
      <c r="AC1679" s="79" t="str">
        <f>IF(AND(OR(LEFT(TH!N1679,2)="15",LEFT(TH!O1679,2)="15"),TK!$E$7=TH!F1679),"x","")</f>
        <v/>
      </c>
      <c r="AD1679" s="79" t="str">
        <f>IF(AND(N1679="1521",MONTH(C1679)='BK-NL'!$M$11),"x","")</f>
        <v/>
      </c>
    </row>
    <row r="1680" spans="1:30" ht="16.5" customHeight="1">
      <c r="A1680" s="318" t="str">
        <f>IF(B1680&lt;&gt;"",IF(AND(B1680='IN-TC'!$S$4,OR(TH!N1680="1111",TH!O1680="1111")),TH!D1680,""),"")</f>
        <v/>
      </c>
      <c r="B1680" s="60" t="str">
        <f t="shared" si="210"/>
        <v/>
      </c>
      <c r="C1680" s="989"/>
      <c r="D1680" s="989"/>
      <c r="E1680" s="989"/>
      <c r="F1680" s="990"/>
      <c r="G1680" s="991"/>
      <c r="H1680" s="1011"/>
      <c r="I1680" s="994"/>
      <c r="J1680" s="992"/>
      <c r="K1680" s="994"/>
      <c r="L1680" s="992"/>
      <c r="M1680" s="995"/>
      <c r="N1680" s="996"/>
      <c r="O1680" s="996"/>
      <c r="P1680" s="79" t="str">
        <f>IF(AND('331-CT'!$E$7=TH!H1680,OR(N1680="331",O1680="331")),"x","")</f>
        <v/>
      </c>
      <c r="Q1680" s="79" t="str">
        <f>IF(AND(B1680='111'!$L$11,OR($N1680=$Q$7,$O1680=$Q$7)),"x","")</f>
        <v/>
      </c>
      <c r="R1680" s="79" t="str">
        <f>IF(AND($N1680=$Q$7,$B1680&lt;'111'!$L$11),"x","")</f>
        <v/>
      </c>
      <c r="S1680" s="79" t="str">
        <f>IF(AND($O1680=$Q$7,$B1680&lt;'111'!$L$11),"x","")</f>
        <v/>
      </c>
      <c r="T1680" s="79" t="str">
        <f>IF(ISERROR(FIND('112'!$M$9,G1680,1)),"",IF((AND(FIND('112'!$M$9,G1680,1)&gt;=1,B1680='112'!$K$9,OR($N1680='112'!$I$6,$O1680='112'!$I$6))),"x",""))</f>
        <v/>
      </c>
      <c r="U1680" s="79" t="str">
        <f>IF(ISERROR(FIND('112'!$M$9,G1680,1)),"",IF((AND(LEFT(G1680,2)=LEFT('112'!$M$9,2),B1680&lt;'112'!$K$9,$N1680='112'!$I$6)),"x",""))</f>
        <v/>
      </c>
      <c r="V1680" s="79" t="str">
        <f>IF(ISERROR(FIND('112'!$M$9,G1680,1)),"",IF((AND(RIGHT(G1680,2)=RIGHT('112'!$M$9,2),B1680&lt;'112'!$K$9,$O1680='112'!$I$6)),"x",""))</f>
        <v/>
      </c>
      <c r="W1680" s="79" t="str">
        <f>IF(AND('341-CT'!$H$9=H1680,OR(LEFT(N1680,3)=$W$7,LEFT(O1680,3)=$W$7)),"x","")</f>
        <v/>
      </c>
      <c r="X1680" s="79" t="str">
        <f>IF(OR(TH!N1680=TH!$X$7,O1680=TH!$X$7),"x","")</f>
        <v/>
      </c>
      <c r="Y1680" s="79" t="str">
        <f>IF(AND(OR(N1680="131",O1680="131"),H1680='131-CT'!$H$9),"x","")</f>
        <v/>
      </c>
      <c r="Z1680" s="79"/>
      <c r="AA1680" s="79" t="str">
        <f>IF(AND(MONTH(E1680)='IN-NX'!$J$5,'IN-NX'!$D$7=D1680),"x","")</f>
        <v/>
      </c>
      <c r="AB1680" s="79" t="str">
        <f>IF(AND(OR(LEFT(TH!N1680,2)="15",LEFT(TH!O1680,2)="15"),LEFT(TH!O1680,3)&lt;&gt;"111",'152-CT'!$J$8=TH!F1680),"x","")</f>
        <v/>
      </c>
      <c r="AC1680" s="79" t="str">
        <f>IF(AND(OR(LEFT(TH!N1680,2)="15",LEFT(TH!O1680,2)="15"),TK!$E$7=TH!F1680),"x","")</f>
        <v/>
      </c>
      <c r="AD1680" s="79" t="str">
        <f>IF(AND(N1680="1521",MONTH(C1680)='BK-NL'!$M$11),"x","")</f>
        <v/>
      </c>
    </row>
    <row r="1681" spans="1:30" ht="16.5" customHeight="1">
      <c r="A1681" s="318" t="str">
        <f>IF(B1681&lt;&gt;"",IF(AND(B1681='IN-TC'!$S$4,OR(TH!N1681="1111",TH!O1681="1111")),TH!D1681,""),"")</f>
        <v/>
      </c>
      <c r="B1681" s="60" t="str">
        <f t="shared" si="210"/>
        <v/>
      </c>
      <c r="C1681" s="989"/>
      <c r="D1681" s="989"/>
      <c r="E1681" s="989"/>
      <c r="F1681" s="990"/>
      <c r="G1681" s="991"/>
      <c r="H1681" s="1011"/>
      <c r="I1681" s="994"/>
      <c r="J1681" s="992"/>
      <c r="K1681" s="994"/>
      <c r="L1681" s="992"/>
      <c r="M1681" s="995"/>
      <c r="N1681" s="996"/>
      <c r="O1681" s="996"/>
      <c r="P1681" s="79" t="str">
        <f>IF(AND('331-CT'!$E$7=TH!H1681,OR(N1681="331",O1681="331")),"x","")</f>
        <v/>
      </c>
      <c r="Q1681" s="79" t="str">
        <f>IF(AND(B1681='111'!$L$11,OR($N1681=$Q$7,$O1681=$Q$7)),"x","")</f>
        <v/>
      </c>
      <c r="R1681" s="79" t="str">
        <f>IF(AND($N1681=$Q$7,$B1681&lt;'111'!$L$11),"x","")</f>
        <v/>
      </c>
      <c r="S1681" s="79" t="str">
        <f>IF(AND($O1681=$Q$7,$B1681&lt;'111'!$L$11),"x","")</f>
        <v/>
      </c>
      <c r="T1681" s="79" t="str">
        <f>IF(ISERROR(FIND('112'!$M$9,G1681,1)),"",IF((AND(FIND('112'!$M$9,G1681,1)&gt;=1,B1681='112'!$K$9,OR($N1681='112'!$I$6,$O1681='112'!$I$6))),"x",""))</f>
        <v/>
      </c>
      <c r="U1681" s="79" t="str">
        <f>IF(ISERROR(FIND('112'!$M$9,G1681,1)),"",IF((AND(LEFT(G1681,2)=LEFT('112'!$M$9,2),B1681&lt;'112'!$K$9,$N1681='112'!$I$6)),"x",""))</f>
        <v/>
      </c>
      <c r="V1681" s="79" t="str">
        <f>IF(ISERROR(FIND('112'!$M$9,G1681,1)),"",IF((AND(RIGHT(G1681,2)=RIGHT('112'!$M$9,2),B1681&lt;'112'!$K$9,$O1681='112'!$I$6)),"x",""))</f>
        <v/>
      </c>
      <c r="W1681" s="79" t="str">
        <f>IF(AND('341-CT'!$H$9=H1681,OR(LEFT(N1681,3)=$W$7,LEFT(O1681,3)=$W$7)),"x","")</f>
        <v/>
      </c>
      <c r="X1681" s="79" t="str">
        <f>IF(OR(TH!N1681=TH!$X$7,O1681=TH!$X$7),"x","")</f>
        <v/>
      </c>
      <c r="Y1681" s="79" t="str">
        <f>IF(AND(OR(N1681="131",O1681="131"),H1681='131-CT'!$H$9),"x","")</f>
        <v/>
      </c>
      <c r="Z1681" s="79"/>
      <c r="AA1681" s="79" t="str">
        <f>IF(AND(MONTH(E1681)='IN-NX'!$J$5,'IN-NX'!$D$7=D1681),"x","")</f>
        <v/>
      </c>
      <c r="AB1681" s="79" t="str">
        <f>IF(AND(OR(LEFT(TH!N1681,2)="15",LEFT(TH!O1681,2)="15"),LEFT(TH!O1681,3)&lt;&gt;"111",'152-CT'!$J$8=TH!F1681),"x","")</f>
        <v/>
      </c>
      <c r="AC1681" s="79" t="str">
        <f>IF(AND(OR(LEFT(TH!N1681,2)="15",LEFT(TH!O1681,2)="15"),TK!$E$7=TH!F1681),"x","")</f>
        <v/>
      </c>
      <c r="AD1681" s="79" t="str">
        <f>IF(AND(N1681="1521",MONTH(C1681)='BK-NL'!$M$11),"x","")</f>
        <v/>
      </c>
    </row>
    <row r="1682" spans="1:30" ht="16.5" customHeight="1">
      <c r="A1682" s="318" t="str">
        <f>IF(B1682&lt;&gt;"",IF(AND(B1682='IN-TC'!$S$4,OR(TH!N1682="1111",TH!O1682="1111")),TH!D1682,""),"")</f>
        <v/>
      </c>
      <c r="B1682" s="60" t="str">
        <f t="shared" si="210"/>
        <v/>
      </c>
      <c r="C1682" s="989"/>
      <c r="D1682" s="989"/>
      <c r="E1682" s="989"/>
      <c r="F1682" s="990"/>
      <c r="G1682" s="991"/>
      <c r="H1682" s="1011"/>
      <c r="I1682" s="994"/>
      <c r="J1682" s="992"/>
      <c r="K1682" s="994"/>
      <c r="L1682" s="992"/>
      <c r="M1682" s="995"/>
      <c r="N1682" s="996"/>
      <c r="O1682" s="996"/>
      <c r="P1682" s="79" t="str">
        <f>IF(AND('331-CT'!$E$7=TH!H1682,OR(N1682="331",O1682="331")),"x","")</f>
        <v/>
      </c>
      <c r="Q1682" s="79" t="str">
        <f>IF(AND(B1682='111'!$L$11,OR($N1682=$Q$7,$O1682=$Q$7)),"x","")</f>
        <v/>
      </c>
      <c r="R1682" s="79" t="str">
        <f>IF(AND($N1682=$Q$7,$B1682&lt;'111'!$L$11),"x","")</f>
        <v/>
      </c>
      <c r="S1682" s="79" t="str">
        <f>IF(AND($O1682=$Q$7,$B1682&lt;'111'!$L$11),"x","")</f>
        <v/>
      </c>
      <c r="T1682" s="79" t="str">
        <f>IF(ISERROR(FIND('112'!$M$9,G1682,1)),"",IF((AND(FIND('112'!$M$9,G1682,1)&gt;=1,B1682='112'!$K$9,OR($N1682='112'!$I$6,$O1682='112'!$I$6))),"x",""))</f>
        <v/>
      </c>
      <c r="U1682" s="79" t="str">
        <f>IF(ISERROR(FIND('112'!$M$9,G1682,1)),"",IF((AND(LEFT(G1682,2)=LEFT('112'!$M$9,2),B1682&lt;'112'!$K$9,$N1682='112'!$I$6)),"x",""))</f>
        <v/>
      </c>
      <c r="V1682" s="79" t="str">
        <f>IF(ISERROR(FIND('112'!$M$9,G1682,1)),"",IF((AND(RIGHT(G1682,2)=RIGHT('112'!$M$9,2),B1682&lt;'112'!$K$9,$O1682='112'!$I$6)),"x",""))</f>
        <v/>
      </c>
      <c r="W1682" s="79" t="str">
        <f>IF(AND('341-CT'!$H$9=H1682,OR(LEFT(N1682,3)=$W$7,LEFT(O1682,3)=$W$7)),"x","")</f>
        <v/>
      </c>
      <c r="X1682" s="79" t="str">
        <f>IF(OR(TH!N1682=TH!$X$7,O1682=TH!$X$7),"x","")</f>
        <v/>
      </c>
      <c r="Y1682" s="79" t="str">
        <f>IF(AND(OR(N1682="131",O1682="131"),H1682='131-CT'!$H$9),"x","")</f>
        <v/>
      </c>
      <c r="Z1682" s="79"/>
      <c r="AA1682" s="79" t="str">
        <f>IF(AND(MONTH(E1682)='IN-NX'!$J$5,'IN-NX'!$D$7=D1682),"x","")</f>
        <v/>
      </c>
      <c r="AB1682" s="79" t="str">
        <f>IF(AND(OR(LEFT(TH!N1682,2)="15",LEFT(TH!O1682,2)="15"),LEFT(TH!O1682,3)&lt;&gt;"111",'152-CT'!$J$8=TH!F1682),"x","")</f>
        <v/>
      </c>
      <c r="AC1682" s="79" t="str">
        <f>IF(AND(OR(LEFT(TH!N1682,2)="15",LEFT(TH!O1682,2)="15"),TK!$E$7=TH!F1682),"x","")</f>
        <v/>
      </c>
      <c r="AD1682" s="79" t="str">
        <f>IF(AND(N1682="1521",MONTH(C1682)='BK-NL'!$M$11),"x","")</f>
        <v/>
      </c>
    </row>
    <row r="1683" spans="1:30" ht="16.5" customHeight="1">
      <c r="A1683" s="318" t="str">
        <f>IF(B1683&lt;&gt;"",IF(AND(B1683='IN-TC'!$S$4,OR(TH!N1683="1111",TH!O1683="1111")),TH!D1683,""),"")</f>
        <v/>
      </c>
      <c r="B1683" s="60" t="str">
        <f t="shared" si="210"/>
        <v/>
      </c>
      <c r="C1683" s="989"/>
      <c r="D1683" s="989"/>
      <c r="E1683" s="989"/>
      <c r="F1683" s="990"/>
      <c r="G1683" s="991"/>
      <c r="H1683" s="1011"/>
      <c r="I1683" s="994"/>
      <c r="J1683" s="992"/>
      <c r="K1683" s="994"/>
      <c r="L1683" s="992"/>
      <c r="M1683" s="995"/>
      <c r="N1683" s="996"/>
      <c r="O1683" s="996"/>
      <c r="P1683" s="79" t="str">
        <f>IF(AND('331-CT'!$E$7=TH!H1683,OR(N1683="331",O1683="331")),"x","")</f>
        <v/>
      </c>
      <c r="Q1683" s="79" t="str">
        <f>IF(AND(B1683='111'!$L$11,OR($N1683=$Q$7,$O1683=$Q$7)),"x","")</f>
        <v/>
      </c>
      <c r="R1683" s="79" t="str">
        <f>IF(AND($N1683=$Q$7,$B1683&lt;'111'!$L$11),"x","")</f>
        <v/>
      </c>
      <c r="S1683" s="79" t="str">
        <f>IF(AND($O1683=$Q$7,$B1683&lt;'111'!$L$11),"x","")</f>
        <v/>
      </c>
      <c r="T1683" s="79" t="str">
        <f>IF(ISERROR(FIND('112'!$M$9,G1683,1)),"",IF((AND(FIND('112'!$M$9,G1683,1)&gt;=1,B1683='112'!$K$9,OR($N1683='112'!$I$6,$O1683='112'!$I$6))),"x",""))</f>
        <v/>
      </c>
      <c r="U1683" s="79" t="str">
        <f>IF(ISERROR(FIND('112'!$M$9,G1683,1)),"",IF((AND(LEFT(G1683,2)=LEFT('112'!$M$9,2),B1683&lt;'112'!$K$9,$N1683='112'!$I$6)),"x",""))</f>
        <v/>
      </c>
      <c r="V1683" s="79" t="str">
        <f>IF(ISERROR(FIND('112'!$M$9,G1683,1)),"",IF((AND(RIGHT(G1683,2)=RIGHT('112'!$M$9,2),B1683&lt;'112'!$K$9,$O1683='112'!$I$6)),"x",""))</f>
        <v/>
      </c>
      <c r="W1683" s="79" t="str">
        <f>IF(AND('341-CT'!$H$9=H1683,OR(LEFT(N1683,3)=$W$7,LEFT(O1683,3)=$W$7)),"x","")</f>
        <v/>
      </c>
      <c r="X1683" s="79" t="str">
        <f>IF(OR(TH!N1683=TH!$X$7,O1683=TH!$X$7),"x","")</f>
        <v/>
      </c>
      <c r="Y1683" s="79" t="str">
        <f>IF(AND(OR(N1683="131",O1683="131"),H1683='131-CT'!$H$9),"x","")</f>
        <v/>
      </c>
      <c r="Z1683" s="79"/>
      <c r="AA1683" s="79" t="str">
        <f>IF(AND(MONTH(E1683)='IN-NX'!$J$5,'IN-NX'!$D$7=D1683),"x","")</f>
        <v/>
      </c>
      <c r="AB1683" s="79" t="str">
        <f>IF(AND(OR(LEFT(TH!N1683,2)="15",LEFT(TH!O1683,2)="15"),LEFT(TH!O1683,3)&lt;&gt;"111",'152-CT'!$J$8=TH!F1683),"x","")</f>
        <v/>
      </c>
      <c r="AC1683" s="79" t="str">
        <f>IF(AND(OR(LEFT(TH!N1683,2)="15",LEFT(TH!O1683,2)="15"),TK!$E$7=TH!F1683),"x","")</f>
        <v/>
      </c>
      <c r="AD1683" s="79" t="str">
        <f>IF(AND(N1683="1521",MONTH(C1683)='BK-NL'!$M$11),"x","")</f>
        <v/>
      </c>
    </row>
    <row r="1684" spans="1:30" ht="16.5" customHeight="1">
      <c r="A1684" s="318" t="str">
        <f>IF(B1684&lt;&gt;"",IF(AND(B1684='IN-TC'!$S$4,OR(TH!N1684="1111",TH!O1684="1111")),TH!D1684,""),"")</f>
        <v/>
      </c>
      <c r="B1684" s="60" t="str">
        <f t="shared" si="210"/>
        <v/>
      </c>
      <c r="C1684" s="989"/>
      <c r="D1684" s="989"/>
      <c r="E1684" s="989"/>
      <c r="F1684" s="921"/>
      <c r="G1684" s="991"/>
      <c r="H1684" s="1011"/>
      <c r="I1684" s="994"/>
      <c r="J1684" s="992"/>
      <c r="K1684" s="994"/>
      <c r="L1684" s="992"/>
      <c r="M1684" s="995"/>
      <c r="N1684" s="996"/>
      <c r="O1684" s="996"/>
      <c r="P1684" s="79" t="str">
        <f>IF(AND('331-CT'!$E$7=TH!H1684,OR(N1684="331",O1684="331")),"x","")</f>
        <v/>
      </c>
      <c r="Q1684" s="79" t="str">
        <f>IF(AND(B1684='111'!$L$11,OR($N1684=$Q$7,$O1684=$Q$7)),"x","")</f>
        <v/>
      </c>
      <c r="R1684" s="79" t="str">
        <f>IF(AND($N1684=$Q$7,$B1684&lt;'111'!$L$11),"x","")</f>
        <v/>
      </c>
      <c r="S1684" s="79" t="str">
        <f>IF(AND($O1684=$Q$7,$B1684&lt;'111'!$L$11),"x","")</f>
        <v/>
      </c>
      <c r="T1684" s="79" t="str">
        <f>IF(ISERROR(FIND('112'!$M$9,G1684,1)),"",IF((AND(FIND('112'!$M$9,G1684,1)&gt;=1,B1684='112'!$K$9,OR($N1684='112'!$I$6,$O1684='112'!$I$6))),"x",""))</f>
        <v/>
      </c>
      <c r="U1684" s="79" t="str">
        <f>IF(ISERROR(FIND('112'!$M$9,G1684,1)),"",IF((AND(LEFT(G1684,2)=LEFT('112'!$M$9,2),B1684&lt;'112'!$K$9,$N1684='112'!$I$6)),"x",""))</f>
        <v/>
      </c>
      <c r="V1684" s="79" t="str">
        <f>IF(ISERROR(FIND('112'!$M$9,G1684,1)),"",IF((AND(RIGHT(G1684,2)=RIGHT('112'!$M$9,2),B1684&lt;'112'!$K$9,$O1684='112'!$I$6)),"x",""))</f>
        <v/>
      </c>
      <c r="W1684" s="79" t="str">
        <f>IF(AND('341-CT'!$H$9=H1684,OR(LEFT(N1684,3)=$W$7,LEFT(O1684,3)=$W$7)),"x","")</f>
        <v/>
      </c>
      <c r="X1684" s="79" t="str">
        <f>IF(OR(TH!N1684=TH!$X$7,O1684=TH!$X$7),"x","")</f>
        <v/>
      </c>
      <c r="Y1684" s="79" t="str">
        <f>IF(AND(OR(N1684="131",O1684="131"),H1684='131-CT'!$H$9),"x","")</f>
        <v/>
      </c>
      <c r="Z1684" s="79"/>
      <c r="AA1684" s="79" t="str">
        <f>IF(AND(MONTH(E1684)='IN-NX'!$J$5,'IN-NX'!$D$7=D1684),"x","")</f>
        <v/>
      </c>
      <c r="AB1684" s="79" t="str">
        <f>IF(AND(OR(LEFT(TH!N1684,2)="15",LEFT(TH!O1684,2)="15"),LEFT(TH!O1684,3)&lt;&gt;"111",'152-CT'!$J$8=TH!F1684),"x","")</f>
        <v/>
      </c>
      <c r="AC1684" s="79" t="str">
        <f>IF(AND(OR(LEFT(TH!N1684,2)="15",LEFT(TH!O1684,2)="15"),TK!$E$7=TH!F1684),"x","")</f>
        <v/>
      </c>
      <c r="AD1684" s="79" t="str">
        <f>IF(AND(N1684="1521",MONTH(C1684)='BK-NL'!$M$11),"x","")</f>
        <v/>
      </c>
    </row>
    <row r="1685" spans="1:30" ht="16.5" customHeight="1">
      <c r="A1685" s="318" t="str">
        <f>IF(B1685&lt;&gt;"",IF(AND(B1685='IN-TC'!$S$4,OR(TH!N1685="1111",TH!O1685="1111")),TH!D1685,""),"")</f>
        <v/>
      </c>
      <c r="B1685" s="60" t="str">
        <f t="shared" si="210"/>
        <v/>
      </c>
      <c r="C1685" s="989"/>
      <c r="D1685" s="989"/>
      <c r="E1685" s="989"/>
      <c r="F1685" s="921"/>
      <c r="G1685" s="991"/>
      <c r="H1685" s="1011"/>
      <c r="I1685" s="994"/>
      <c r="J1685" s="992"/>
      <c r="K1685" s="994"/>
      <c r="L1685" s="992"/>
      <c r="M1685" s="995"/>
      <c r="N1685" s="996"/>
      <c r="O1685" s="996"/>
      <c r="P1685" s="79" t="str">
        <f>IF(AND('331-CT'!$E$7=TH!H1685,OR(N1685="331",O1685="331")),"x","")</f>
        <v/>
      </c>
      <c r="Q1685" s="79" t="str">
        <f>IF(AND(B1685='111'!$L$11,OR($N1685=$Q$7,$O1685=$Q$7)),"x","")</f>
        <v/>
      </c>
      <c r="R1685" s="79" t="str">
        <f>IF(AND($N1685=$Q$7,$B1685&lt;'111'!$L$11),"x","")</f>
        <v/>
      </c>
      <c r="S1685" s="79" t="str">
        <f>IF(AND($O1685=$Q$7,$B1685&lt;'111'!$L$11),"x","")</f>
        <v/>
      </c>
      <c r="T1685" s="79" t="str">
        <f>IF(ISERROR(FIND('112'!$M$9,G1685,1)),"",IF((AND(FIND('112'!$M$9,G1685,1)&gt;=1,B1685='112'!$K$9,OR($N1685='112'!$I$6,$O1685='112'!$I$6))),"x",""))</f>
        <v/>
      </c>
      <c r="U1685" s="79" t="str">
        <f>IF(ISERROR(FIND('112'!$M$9,G1685,1)),"",IF((AND(LEFT(G1685,2)=LEFT('112'!$M$9,2),B1685&lt;'112'!$K$9,$N1685='112'!$I$6)),"x",""))</f>
        <v/>
      </c>
      <c r="V1685" s="79" t="str">
        <f>IF(ISERROR(FIND('112'!$M$9,G1685,1)),"",IF((AND(RIGHT(G1685,2)=RIGHT('112'!$M$9,2),B1685&lt;'112'!$K$9,$O1685='112'!$I$6)),"x",""))</f>
        <v/>
      </c>
      <c r="W1685" s="79" t="str">
        <f>IF(AND('341-CT'!$H$9=H1685,OR(LEFT(N1685,3)=$W$7,LEFT(O1685,3)=$W$7)),"x","")</f>
        <v/>
      </c>
      <c r="X1685" s="79" t="str">
        <f>IF(OR(TH!N1685=TH!$X$7,O1685=TH!$X$7),"x","")</f>
        <v/>
      </c>
      <c r="Y1685" s="79" t="str">
        <f>IF(AND(OR(N1685="131",O1685="131"),H1685='131-CT'!$H$9),"x","")</f>
        <v/>
      </c>
      <c r="Z1685" s="79"/>
      <c r="AA1685" s="79" t="str">
        <f>IF(AND(MONTH(E1685)='IN-NX'!$J$5,'IN-NX'!$D$7=D1685),"x","")</f>
        <v/>
      </c>
      <c r="AB1685" s="79" t="str">
        <f>IF(AND(OR(LEFT(TH!N1685,2)="15",LEFT(TH!O1685,2)="15"),LEFT(TH!O1685,3)&lt;&gt;"111",'152-CT'!$J$8=TH!F1685),"x","")</f>
        <v/>
      </c>
      <c r="AC1685" s="79" t="str">
        <f>IF(AND(OR(LEFT(TH!N1685,2)="15",LEFT(TH!O1685,2)="15"),TK!$E$7=TH!F1685),"x","")</f>
        <v/>
      </c>
      <c r="AD1685" s="79" t="str">
        <f>IF(AND(N1685="1521",MONTH(C1685)='BK-NL'!$M$11),"x","")</f>
        <v/>
      </c>
    </row>
    <row r="1686" spans="1:30" ht="16.5" customHeight="1">
      <c r="A1686" s="318" t="str">
        <f>IF(B1686&lt;&gt;"",IF(AND(B1686='IN-TC'!$S$4,OR(TH!N1686="1111",TH!O1686="1111")),TH!D1686,""),"")</f>
        <v/>
      </c>
      <c r="B1686" s="60" t="str">
        <f t="shared" si="210"/>
        <v/>
      </c>
      <c r="C1686" s="989"/>
      <c r="D1686" s="989"/>
      <c r="E1686" s="989"/>
      <c r="F1686" s="990"/>
      <c r="G1686" s="991"/>
      <c r="H1686" s="1141"/>
      <c r="I1686" s="994"/>
      <c r="J1686" s="992"/>
      <c r="K1686" s="994"/>
      <c r="L1686" s="992"/>
      <c r="M1686" s="995"/>
      <c r="N1686" s="996"/>
      <c r="O1686" s="996"/>
      <c r="P1686" s="79" t="str">
        <f>IF(AND('331-CT'!$E$7=TH!H1686,OR(N1686="331",O1686="331")),"x","")</f>
        <v/>
      </c>
      <c r="Q1686" s="79" t="str">
        <f>IF(AND(B1686='111'!$L$11,OR($N1686=$Q$7,$O1686=$Q$7)),"x","")</f>
        <v/>
      </c>
      <c r="R1686" s="79" t="str">
        <f>IF(AND($N1686=$Q$7,$B1686&lt;'111'!$L$11),"x","")</f>
        <v/>
      </c>
      <c r="S1686" s="79" t="str">
        <f>IF(AND($O1686=$Q$7,$B1686&lt;'111'!$L$11),"x","")</f>
        <v/>
      </c>
      <c r="T1686" s="79" t="str">
        <f>IF(ISERROR(FIND('112'!$M$9,G1686,1)),"",IF((AND(FIND('112'!$M$9,G1686,1)&gt;=1,B1686='112'!$K$9,OR($N1686='112'!$I$6,$O1686='112'!$I$6))),"x",""))</f>
        <v/>
      </c>
      <c r="U1686" s="79" t="str">
        <f>IF(ISERROR(FIND('112'!$M$9,G1686,1)),"",IF((AND(LEFT(G1686,2)=LEFT('112'!$M$9,2),B1686&lt;'112'!$K$9,$N1686='112'!$I$6)),"x",""))</f>
        <v/>
      </c>
      <c r="V1686" s="79" t="str">
        <f>IF(ISERROR(FIND('112'!$M$9,G1686,1)),"",IF((AND(RIGHT(G1686,2)=RIGHT('112'!$M$9,2),B1686&lt;'112'!$K$9,$O1686='112'!$I$6)),"x",""))</f>
        <v/>
      </c>
      <c r="W1686" s="79" t="str">
        <f>IF(AND('341-CT'!$H$9=H1686,OR(LEFT(N1686,3)=$W$7,LEFT(O1686,3)=$W$7)),"x","")</f>
        <v/>
      </c>
      <c r="X1686" s="79" t="str">
        <f>IF(OR(TH!N1686=TH!$X$7,O1686=TH!$X$7),"x","")</f>
        <v/>
      </c>
      <c r="Y1686" s="79" t="str">
        <f>IF(AND(OR(N1686="131",O1686="131"),H1686='131-CT'!$H$9),"x","")</f>
        <v/>
      </c>
      <c r="Z1686" s="79"/>
      <c r="AA1686" s="79" t="str">
        <f>IF(AND(MONTH(E1686)='IN-NX'!$J$5,'IN-NX'!$D$7=D1686),"x","")</f>
        <v/>
      </c>
      <c r="AB1686" s="79" t="str">
        <f>IF(AND(OR(LEFT(TH!N1686,2)="15",LEFT(TH!O1686,2)="15"),LEFT(TH!O1686,3)&lt;&gt;"111",'152-CT'!$J$8=TH!F1686),"x","")</f>
        <v/>
      </c>
      <c r="AC1686" s="79" t="str">
        <f>IF(AND(OR(LEFT(TH!N1686,2)="15",LEFT(TH!O1686,2)="15"),TK!$E$7=TH!F1686),"x","")</f>
        <v/>
      </c>
      <c r="AD1686" s="79" t="str">
        <f>IF(AND(N1686="1521",MONTH(C1686)='BK-NL'!$M$11),"x","")</f>
        <v/>
      </c>
    </row>
    <row r="1687" spans="1:30" ht="16.5" customHeight="1">
      <c r="A1687" s="318" t="str">
        <f>IF(B1687&lt;&gt;"",IF(AND(B1687='IN-TC'!$S$4,OR(TH!N1687="1111",TH!O1687="1111")),TH!D1687,""),"")</f>
        <v/>
      </c>
      <c r="B1687" s="60" t="str">
        <f t="shared" si="210"/>
        <v/>
      </c>
      <c r="C1687" s="989"/>
      <c r="D1687" s="989"/>
      <c r="E1687" s="989"/>
      <c r="F1687" s="990"/>
      <c r="G1687" s="991"/>
      <c r="H1687" s="1141"/>
      <c r="I1687" s="994"/>
      <c r="J1687" s="992"/>
      <c r="K1687" s="994"/>
      <c r="L1687" s="992"/>
      <c r="M1687" s="995"/>
      <c r="N1687" s="996"/>
      <c r="O1687" s="996"/>
      <c r="P1687" s="79" t="str">
        <f>IF(AND('331-CT'!$E$7=TH!H1687,OR(N1687="331",O1687="331")),"x","")</f>
        <v/>
      </c>
      <c r="Q1687" s="79" t="str">
        <f>IF(AND(B1687='111'!$L$11,OR($N1687=$Q$7,$O1687=$Q$7)),"x","")</f>
        <v/>
      </c>
      <c r="R1687" s="79" t="str">
        <f>IF(AND($N1687=$Q$7,$B1687&lt;'111'!$L$11),"x","")</f>
        <v/>
      </c>
      <c r="S1687" s="79" t="str">
        <f>IF(AND($O1687=$Q$7,$B1687&lt;'111'!$L$11),"x","")</f>
        <v/>
      </c>
      <c r="T1687" s="79" t="str">
        <f>IF(ISERROR(FIND('112'!$M$9,G1687,1)),"",IF((AND(FIND('112'!$M$9,G1687,1)&gt;=1,B1687='112'!$K$9,OR($N1687='112'!$I$6,$O1687='112'!$I$6))),"x",""))</f>
        <v/>
      </c>
      <c r="U1687" s="79" t="str">
        <f>IF(ISERROR(FIND('112'!$M$9,G1687,1)),"",IF((AND(LEFT(G1687,2)=LEFT('112'!$M$9,2),B1687&lt;'112'!$K$9,$N1687='112'!$I$6)),"x",""))</f>
        <v/>
      </c>
      <c r="V1687" s="79" t="str">
        <f>IF(ISERROR(FIND('112'!$M$9,G1687,1)),"",IF((AND(RIGHT(G1687,2)=RIGHT('112'!$M$9,2),B1687&lt;'112'!$K$9,$O1687='112'!$I$6)),"x",""))</f>
        <v/>
      </c>
      <c r="W1687" s="79" t="str">
        <f>IF(AND('341-CT'!$H$9=H1687,OR(LEFT(N1687,3)=$W$7,LEFT(O1687,3)=$W$7)),"x","")</f>
        <v/>
      </c>
      <c r="X1687" s="79" t="str">
        <f>IF(OR(TH!N1687=TH!$X$7,O1687=TH!$X$7),"x","")</f>
        <v/>
      </c>
      <c r="Y1687" s="79" t="str">
        <f>IF(AND(OR(N1687="131",O1687="131"),H1687='131-CT'!$H$9),"x","")</f>
        <v/>
      </c>
      <c r="Z1687" s="79"/>
      <c r="AA1687" s="79" t="str">
        <f>IF(AND(MONTH(E1687)='IN-NX'!$J$5,'IN-NX'!$D$7=D1687),"x","")</f>
        <v/>
      </c>
      <c r="AB1687" s="79" t="str">
        <f>IF(AND(OR(LEFT(TH!N1687,2)="15",LEFT(TH!O1687,2)="15"),LEFT(TH!O1687,3)&lt;&gt;"111",'152-CT'!$J$8=TH!F1687),"x","")</f>
        <v/>
      </c>
      <c r="AC1687" s="79" t="str">
        <f>IF(AND(OR(LEFT(TH!N1687,2)="15",LEFT(TH!O1687,2)="15"),TK!$E$7=TH!F1687),"x","")</f>
        <v/>
      </c>
      <c r="AD1687" s="79" t="str">
        <f>IF(AND(N1687="1521",MONTH(C1687)='BK-NL'!$M$11),"x","")</f>
        <v/>
      </c>
    </row>
    <row r="1688" spans="1:30" ht="16.5" customHeight="1">
      <c r="A1688" s="318" t="str">
        <f>IF(B1688&lt;&gt;"",IF(AND(B1688='IN-TC'!$S$4,OR(TH!N1688="1111",TH!O1688="1111")),TH!D1688,""),"")</f>
        <v/>
      </c>
      <c r="B1688" s="60" t="str">
        <f t="shared" si="210"/>
        <v/>
      </c>
      <c r="C1688" s="989"/>
      <c r="D1688" s="989"/>
      <c r="E1688" s="989"/>
      <c r="F1688" s="921"/>
      <c r="G1688" s="991"/>
      <c r="H1688" s="1011"/>
      <c r="I1688" s="994"/>
      <c r="J1688" s="992"/>
      <c r="K1688" s="994"/>
      <c r="L1688" s="992"/>
      <c r="M1688" s="995"/>
      <c r="N1688" s="996"/>
      <c r="O1688" s="996"/>
      <c r="P1688" s="79" t="str">
        <f>IF(AND('331-CT'!$E$7=TH!H1688,OR(N1688="331",O1688="331")),"x","")</f>
        <v/>
      </c>
      <c r="Q1688" s="79" t="str">
        <f>IF(AND(B1688='111'!$L$11,OR($N1688=$Q$7,$O1688=$Q$7)),"x","")</f>
        <v/>
      </c>
      <c r="R1688" s="79" t="str">
        <f>IF(AND($N1688=$Q$7,$B1688&lt;'111'!$L$11),"x","")</f>
        <v/>
      </c>
      <c r="S1688" s="79" t="str">
        <f>IF(AND($O1688=$Q$7,$B1688&lt;'111'!$L$11),"x","")</f>
        <v/>
      </c>
      <c r="T1688" s="79" t="str">
        <f>IF(ISERROR(FIND('112'!$M$9,G1688,1)),"",IF((AND(FIND('112'!$M$9,G1688,1)&gt;=1,B1688='112'!$K$9,OR($N1688='112'!$I$6,$O1688='112'!$I$6))),"x",""))</f>
        <v/>
      </c>
      <c r="U1688" s="79" t="str">
        <f>IF(ISERROR(FIND('112'!$M$9,G1688,1)),"",IF((AND(LEFT(G1688,2)=LEFT('112'!$M$9,2),B1688&lt;'112'!$K$9,$N1688='112'!$I$6)),"x",""))</f>
        <v/>
      </c>
      <c r="V1688" s="79" t="str">
        <f>IF(ISERROR(FIND('112'!$M$9,G1688,1)),"",IF((AND(RIGHT(G1688,2)=RIGHT('112'!$M$9,2),B1688&lt;'112'!$K$9,$O1688='112'!$I$6)),"x",""))</f>
        <v/>
      </c>
      <c r="W1688" s="79" t="str">
        <f>IF(AND('341-CT'!$H$9=H1688,OR(LEFT(N1688,3)=$W$7,LEFT(O1688,3)=$W$7)),"x","")</f>
        <v/>
      </c>
      <c r="X1688" s="79" t="str">
        <f>IF(OR(TH!N1688=TH!$X$7,O1688=TH!$X$7),"x","")</f>
        <v/>
      </c>
      <c r="Y1688" s="79" t="str">
        <f>IF(AND(OR(N1688="131",O1688="131"),H1688='131-CT'!$H$9),"x","")</f>
        <v/>
      </c>
      <c r="Z1688" s="79"/>
      <c r="AA1688" s="79" t="str">
        <f>IF(AND(MONTH(E1688)='IN-NX'!$J$5,'IN-NX'!$D$7=D1688),"x","")</f>
        <v/>
      </c>
      <c r="AB1688" s="79" t="str">
        <f>IF(AND(OR(LEFT(TH!N1688,2)="15",LEFT(TH!O1688,2)="15"),LEFT(TH!O1688,3)&lt;&gt;"111",'152-CT'!$J$8=TH!F1688),"x","")</f>
        <v/>
      </c>
      <c r="AC1688" s="79" t="str">
        <f>IF(AND(OR(LEFT(TH!N1688,2)="15",LEFT(TH!O1688,2)="15"),TK!$E$7=TH!F1688),"x","")</f>
        <v/>
      </c>
      <c r="AD1688" s="79" t="str">
        <f>IF(AND(N1688="1521",MONTH(C1688)='BK-NL'!$M$11),"x","")</f>
        <v/>
      </c>
    </row>
    <row r="1689" spans="1:30" ht="16.5" customHeight="1">
      <c r="A1689" s="318" t="str">
        <f>IF(B1689&lt;&gt;"",IF(AND(B1689='IN-TC'!$S$4,OR(TH!N1689="1111",TH!O1689="1111")),TH!D1689,""),"")</f>
        <v/>
      </c>
      <c r="B1689" s="60" t="str">
        <f t="shared" si="210"/>
        <v/>
      </c>
      <c r="C1689" s="989"/>
      <c r="D1689" s="989"/>
      <c r="E1689" s="989"/>
      <c r="F1689" s="921"/>
      <c r="G1689" s="991"/>
      <c r="H1689" s="1011"/>
      <c r="I1689" s="994"/>
      <c r="J1689" s="992"/>
      <c r="K1689" s="994"/>
      <c r="L1689" s="992"/>
      <c r="M1689" s="995"/>
      <c r="N1689" s="996"/>
      <c r="O1689" s="996"/>
      <c r="P1689" s="79" t="str">
        <f>IF(AND('331-CT'!$E$7=TH!H1689,OR(N1689="331",O1689="331")),"x","")</f>
        <v/>
      </c>
      <c r="Q1689" s="79" t="str">
        <f>IF(AND(B1689='111'!$L$11,OR($N1689=$Q$7,$O1689=$Q$7)),"x","")</f>
        <v/>
      </c>
      <c r="R1689" s="79" t="str">
        <f>IF(AND($N1689=$Q$7,$B1689&lt;'111'!$L$11),"x","")</f>
        <v/>
      </c>
      <c r="S1689" s="79" t="str">
        <f>IF(AND($O1689=$Q$7,$B1689&lt;'111'!$L$11),"x","")</f>
        <v/>
      </c>
      <c r="T1689" s="79" t="str">
        <f>IF(ISERROR(FIND('112'!$M$9,G1689,1)),"",IF((AND(FIND('112'!$M$9,G1689,1)&gt;=1,B1689='112'!$K$9,OR($N1689='112'!$I$6,$O1689='112'!$I$6))),"x",""))</f>
        <v/>
      </c>
      <c r="U1689" s="79" t="str">
        <f>IF(ISERROR(FIND('112'!$M$9,G1689,1)),"",IF((AND(LEFT(G1689,2)=LEFT('112'!$M$9,2),B1689&lt;'112'!$K$9,$N1689='112'!$I$6)),"x",""))</f>
        <v/>
      </c>
      <c r="V1689" s="79" t="str">
        <f>IF(ISERROR(FIND('112'!$M$9,G1689,1)),"",IF((AND(RIGHT(G1689,2)=RIGHT('112'!$M$9,2),B1689&lt;'112'!$K$9,$O1689='112'!$I$6)),"x",""))</f>
        <v/>
      </c>
      <c r="W1689" s="79" t="str">
        <f>IF(AND('341-CT'!$H$9=H1689,OR(LEFT(N1689,3)=$W$7,LEFT(O1689,3)=$W$7)),"x","")</f>
        <v/>
      </c>
      <c r="X1689" s="79" t="str">
        <f>IF(OR(TH!N1689=TH!$X$7,O1689=TH!$X$7),"x","")</f>
        <v/>
      </c>
      <c r="Y1689" s="79" t="str">
        <f>IF(AND(OR(N1689="131",O1689="131"),H1689='131-CT'!$H$9),"x","")</f>
        <v/>
      </c>
      <c r="Z1689" s="79"/>
      <c r="AA1689" s="79" t="str">
        <f>IF(AND(MONTH(E1689)='IN-NX'!$J$5,'IN-NX'!$D$7=D1689),"x","")</f>
        <v/>
      </c>
      <c r="AB1689" s="79" t="str">
        <f>IF(AND(OR(LEFT(TH!N1689,2)="15",LEFT(TH!O1689,2)="15"),LEFT(TH!O1689,3)&lt;&gt;"111",'152-CT'!$J$8=TH!F1689),"x","")</f>
        <v/>
      </c>
      <c r="AC1689" s="79" t="str">
        <f>IF(AND(OR(LEFT(TH!N1689,2)="15",LEFT(TH!O1689,2)="15"),TK!$E$7=TH!F1689),"x","")</f>
        <v/>
      </c>
      <c r="AD1689" s="79" t="str">
        <f>IF(AND(N1689="1521",MONTH(C1689)='BK-NL'!$M$11),"x","")</f>
        <v/>
      </c>
    </row>
    <row r="1690" spans="1:30" ht="16.5" customHeight="1">
      <c r="A1690" s="318" t="str">
        <f>IF(B1690&lt;&gt;"",IF(AND(B1690='IN-TC'!$S$4,OR(TH!N1690="1111",TH!O1690="1111")),TH!D1690,""),"")</f>
        <v/>
      </c>
      <c r="B1690" s="60" t="str">
        <f t="shared" si="210"/>
        <v/>
      </c>
      <c r="C1690" s="989"/>
      <c r="D1690" s="989"/>
      <c r="E1690" s="989"/>
      <c r="F1690" s="921"/>
      <c r="G1690" s="991"/>
      <c r="H1690" s="1011"/>
      <c r="I1690" s="994"/>
      <c r="J1690" s="992"/>
      <c r="K1690" s="994"/>
      <c r="L1690" s="992"/>
      <c r="M1690" s="995"/>
      <c r="N1690" s="996"/>
      <c r="O1690" s="996"/>
      <c r="P1690" s="79" t="str">
        <f>IF(AND('331-CT'!$E$7=TH!H1690,OR(N1690="331",O1690="331")),"x","")</f>
        <v/>
      </c>
      <c r="Q1690" s="79" t="str">
        <f>IF(AND(B1690='111'!$L$11,OR($N1690=$Q$7,$O1690=$Q$7)),"x","")</f>
        <v/>
      </c>
      <c r="R1690" s="79" t="str">
        <f>IF(AND($N1690=$Q$7,$B1690&lt;'111'!$L$11),"x","")</f>
        <v/>
      </c>
      <c r="S1690" s="79" t="str">
        <f>IF(AND($O1690=$Q$7,$B1690&lt;'111'!$L$11),"x","")</f>
        <v/>
      </c>
      <c r="T1690" s="79" t="str">
        <f>IF(ISERROR(FIND('112'!$M$9,G1690,1)),"",IF((AND(FIND('112'!$M$9,G1690,1)&gt;=1,B1690='112'!$K$9,OR($N1690='112'!$I$6,$O1690='112'!$I$6))),"x",""))</f>
        <v/>
      </c>
      <c r="U1690" s="79" t="str">
        <f>IF(ISERROR(FIND('112'!$M$9,G1690,1)),"",IF((AND(LEFT(G1690,2)=LEFT('112'!$M$9,2),B1690&lt;'112'!$K$9,$N1690='112'!$I$6)),"x",""))</f>
        <v/>
      </c>
      <c r="V1690" s="79" t="str">
        <f>IF(ISERROR(FIND('112'!$M$9,G1690,1)),"",IF((AND(RIGHT(G1690,2)=RIGHT('112'!$M$9,2),B1690&lt;'112'!$K$9,$O1690='112'!$I$6)),"x",""))</f>
        <v/>
      </c>
      <c r="W1690" s="79" t="str">
        <f>IF(AND('341-CT'!$H$9=H1690,OR(LEFT(N1690,3)=$W$7,LEFT(O1690,3)=$W$7)),"x","")</f>
        <v/>
      </c>
      <c r="X1690" s="79" t="str">
        <f>IF(OR(TH!N1690=TH!$X$7,O1690=TH!$X$7),"x","")</f>
        <v/>
      </c>
      <c r="Y1690" s="79" t="str">
        <f>IF(AND(OR(N1690="131",O1690="131"),H1690='131-CT'!$H$9),"x","")</f>
        <v/>
      </c>
      <c r="Z1690" s="79"/>
      <c r="AA1690" s="79" t="str">
        <f>IF(AND(MONTH(E1690)='IN-NX'!$J$5,'IN-NX'!$D$7=D1690),"x","")</f>
        <v/>
      </c>
      <c r="AB1690" s="79" t="str">
        <f>IF(AND(OR(LEFT(TH!N1690,2)="15",LEFT(TH!O1690,2)="15"),LEFT(TH!O1690,3)&lt;&gt;"111",'152-CT'!$J$8=TH!F1690),"x","")</f>
        <v/>
      </c>
      <c r="AC1690" s="79" t="str">
        <f>IF(AND(OR(LEFT(TH!N1690,2)="15",LEFT(TH!O1690,2)="15"),TK!$E$7=TH!F1690),"x","")</f>
        <v/>
      </c>
      <c r="AD1690" s="79" t="str">
        <f>IF(AND(N1690="1521",MONTH(C1690)='BK-NL'!$M$11),"x","")</f>
        <v/>
      </c>
    </row>
    <row r="1691" spans="1:30" ht="16.5" customHeight="1">
      <c r="A1691" s="318" t="str">
        <f>IF(B1691&lt;&gt;"",IF(AND(B1691='IN-TC'!$S$4,OR(TH!N1691="1111",TH!O1691="1111")),TH!D1691,""),"")</f>
        <v/>
      </c>
      <c r="B1691" s="60" t="str">
        <f t="shared" si="210"/>
        <v/>
      </c>
      <c r="C1691" s="989"/>
      <c r="D1691" s="989"/>
      <c r="E1691" s="989"/>
      <c r="F1691" s="921"/>
      <c r="G1691" s="991"/>
      <c r="H1691" s="1011"/>
      <c r="I1691" s="994"/>
      <c r="J1691" s="992"/>
      <c r="K1691" s="994"/>
      <c r="L1691" s="992"/>
      <c r="M1691" s="995"/>
      <c r="N1691" s="996"/>
      <c r="O1691" s="996"/>
      <c r="P1691" s="79" t="str">
        <f>IF(AND('331-CT'!$E$7=TH!H1691,OR(N1691="331",O1691="331")),"x","")</f>
        <v/>
      </c>
      <c r="Q1691" s="79" t="str">
        <f>IF(AND(B1691='111'!$L$11,OR($N1691=$Q$7,$O1691=$Q$7)),"x","")</f>
        <v/>
      </c>
      <c r="R1691" s="79" t="str">
        <f>IF(AND($N1691=$Q$7,$B1691&lt;'111'!$L$11),"x","")</f>
        <v/>
      </c>
      <c r="S1691" s="79" t="str">
        <f>IF(AND($O1691=$Q$7,$B1691&lt;'111'!$L$11),"x","")</f>
        <v/>
      </c>
      <c r="T1691" s="79" t="str">
        <f>IF(ISERROR(FIND('112'!$M$9,G1691,1)),"",IF((AND(FIND('112'!$M$9,G1691,1)&gt;=1,B1691='112'!$K$9,OR($N1691='112'!$I$6,$O1691='112'!$I$6))),"x",""))</f>
        <v/>
      </c>
      <c r="U1691" s="79" t="str">
        <f>IF(ISERROR(FIND('112'!$M$9,G1691,1)),"",IF((AND(LEFT(G1691,2)=LEFT('112'!$M$9,2),B1691&lt;'112'!$K$9,$N1691='112'!$I$6)),"x",""))</f>
        <v/>
      </c>
      <c r="V1691" s="79" t="str">
        <f>IF(ISERROR(FIND('112'!$M$9,G1691,1)),"",IF((AND(RIGHT(G1691,2)=RIGHT('112'!$M$9,2),B1691&lt;'112'!$K$9,$O1691='112'!$I$6)),"x",""))</f>
        <v/>
      </c>
      <c r="W1691" s="79" t="str">
        <f>IF(AND('341-CT'!$H$9=H1691,OR(LEFT(N1691,3)=$W$7,LEFT(O1691,3)=$W$7)),"x","")</f>
        <v/>
      </c>
      <c r="X1691" s="79" t="str">
        <f>IF(OR(TH!N1691=TH!$X$7,O1691=TH!$X$7),"x","")</f>
        <v/>
      </c>
      <c r="Y1691" s="79" t="str">
        <f>IF(AND(OR(N1691="131",O1691="131"),H1691='131-CT'!$H$9),"x","")</f>
        <v/>
      </c>
      <c r="Z1691" s="79"/>
      <c r="AA1691" s="79" t="str">
        <f>IF(AND(MONTH(E1691)='IN-NX'!$J$5,'IN-NX'!$D$7=D1691),"x","")</f>
        <v/>
      </c>
      <c r="AB1691" s="79" t="str">
        <f>IF(AND(OR(LEFT(TH!N1691,2)="15",LEFT(TH!O1691,2)="15"),LEFT(TH!O1691,3)&lt;&gt;"111",'152-CT'!$J$8=TH!F1691),"x","")</f>
        <v/>
      </c>
      <c r="AC1691" s="79" t="str">
        <f>IF(AND(OR(LEFT(TH!N1691,2)="15",LEFT(TH!O1691,2)="15"),TK!$E$7=TH!F1691),"x","")</f>
        <v/>
      </c>
      <c r="AD1691" s="79" t="str">
        <f>IF(AND(N1691="1521",MONTH(C1691)='BK-NL'!$M$11),"x","")</f>
        <v/>
      </c>
    </row>
    <row r="1692" spans="1:30" ht="16.5" customHeight="1">
      <c r="A1692" s="318" t="str">
        <f>IF(B1692&lt;&gt;"",IF(AND(B1692='IN-TC'!$S$4,OR(TH!N1692="1111",TH!O1692="1111")),TH!D1692,""),"")</f>
        <v/>
      </c>
      <c r="B1692" s="60" t="str">
        <f t="shared" si="210"/>
        <v/>
      </c>
      <c r="C1692" s="989"/>
      <c r="D1692" s="989"/>
      <c r="E1692" s="989"/>
      <c r="F1692" s="921"/>
      <c r="G1692" s="991"/>
      <c r="H1692" s="1011"/>
      <c r="I1692" s="994"/>
      <c r="J1692" s="992"/>
      <c r="K1692" s="994"/>
      <c r="L1692" s="992"/>
      <c r="M1692" s="995"/>
      <c r="N1692" s="996"/>
      <c r="O1692" s="996"/>
      <c r="P1692" s="79" t="str">
        <f>IF(AND('331-CT'!$E$7=TH!H1692,OR(N1692="331",O1692="331")),"x","")</f>
        <v/>
      </c>
      <c r="Q1692" s="79" t="str">
        <f>IF(AND(B1692='111'!$L$11,OR($N1692=$Q$7,$O1692=$Q$7)),"x","")</f>
        <v/>
      </c>
      <c r="R1692" s="79" t="str">
        <f>IF(AND($N1692=$Q$7,$B1692&lt;'111'!$L$11),"x","")</f>
        <v/>
      </c>
      <c r="S1692" s="79" t="str">
        <f>IF(AND($O1692=$Q$7,$B1692&lt;'111'!$L$11),"x","")</f>
        <v/>
      </c>
      <c r="T1692" s="79" t="str">
        <f>IF(ISERROR(FIND('112'!$M$9,G1692,1)),"",IF((AND(FIND('112'!$M$9,G1692,1)&gt;=1,B1692='112'!$K$9,OR($N1692='112'!$I$6,$O1692='112'!$I$6))),"x",""))</f>
        <v/>
      </c>
      <c r="U1692" s="79" t="str">
        <f>IF(ISERROR(FIND('112'!$M$9,G1692,1)),"",IF((AND(LEFT(G1692,2)=LEFT('112'!$M$9,2),B1692&lt;'112'!$K$9,$N1692='112'!$I$6)),"x",""))</f>
        <v/>
      </c>
      <c r="V1692" s="79" t="str">
        <f>IF(ISERROR(FIND('112'!$M$9,G1692,1)),"",IF((AND(RIGHT(G1692,2)=RIGHT('112'!$M$9,2),B1692&lt;'112'!$K$9,$O1692='112'!$I$6)),"x",""))</f>
        <v/>
      </c>
      <c r="W1692" s="79" t="str">
        <f>IF(AND('341-CT'!$H$9=H1692,OR(LEFT(N1692,3)=$W$7,LEFT(O1692,3)=$W$7)),"x","")</f>
        <v/>
      </c>
      <c r="X1692" s="79" t="str">
        <f>IF(OR(TH!N1692=TH!$X$7,O1692=TH!$X$7),"x","")</f>
        <v/>
      </c>
      <c r="Y1692" s="79" t="str">
        <f>IF(AND(OR(N1692="131",O1692="131"),H1692='131-CT'!$H$9),"x","")</f>
        <v/>
      </c>
      <c r="Z1692" s="79"/>
      <c r="AA1692" s="79" t="str">
        <f>IF(AND(MONTH(E1692)='IN-NX'!$J$5,'IN-NX'!$D$7=D1692),"x","")</f>
        <v/>
      </c>
      <c r="AB1692" s="79" t="str">
        <f>IF(AND(OR(LEFT(TH!N1692,2)="15",LEFT(TH!O1692,2)="15"),LEFT(TH!O1692,3)&lt;&gt;"111",'152-CT'!$J$8=TH!F1692),"x","")</f>
        <v/>
      </c>
      <c r="AC1692" s="79" t="str">
        <f>IF(AND(OR(LEFT(TH!N1692,2)="15",LEFT(TH!O1692,2)="15"),TK!$E$7=TH!F1692),"x","")</f>
        <v/>
      </c>
      <c r="AD1692" s="79" t="str">
        <f>IF(AND(N1692="1521",MONTH(C1692)='BK-NL'!$M$11),"x","")</f>
        <v/>
      </c>
    </row>
    <row r="1693" spans="1:30" ht="16.5" customHeight="1">
      <c r="A1693" s="318" t="str">
        <f>IF(B1693&lt;&gt;"",IF(AND(B1693='IN-TC'!$S$4,OR(TH!N1693="1111",TH!O1693="1111")),TH!D1693,""),"")</f>
        <v/>
      </c>
      <c r="B1693" s="60" t="str">
        <f t="shared" si="210"/>
        <v/>
      </c>
      <c r="C1693" s="989"/>
      <c r="D1693" s="989"/>
      <c r="E1693" s="989"/>
      <c r="F1693" s="921"/>
      <c r="G1693" s="991"/>
      <c r="H1693" s="1011"/>
      <c r="I1693" s="994"/>
      <c r="J1693" s="992"/>
      <c r="K1693" s="994"/>
      <c r="L1693" s="992"/>
      <c r="M1693" s="995"/>
      <c r="N1693" s="996"/>
      <c r="O1693" s="996"/>
      <c r="P1693" s="79" t="str">
        <f>IF(AND('331-CT'!$E$7=TH!H1693,OR(N1693="331",O1693="331")),"x","")</f>
        <v/>
      </c>
      <c r="Q1693" s="79" t="str">
        <f>IF(AND(B1693='111'!$L$11,OR($N1693=$Q$7,$O1693=$Q$7)),"x","")</f>
        <v/>
      </c>
      <c r="R1693" s="79" t="str">
        <f>IF(AND($N1693=$Q$7,$B1693&lt;'111'!$L$11),"x","")</f>
        <v/>
      </c>
      <c r="S1693" s="79" t="str">
        <f>IF(AND($O1693=$Q$7,$B1693&lt;'111'!$L$11),"x","")</f>
        <v/>
      </c>
      <c r="T1693" s="79" t="str">
        <f>IF(ISERROR(FIND('112'!$M$9,G1693,1)),"",IF((AND(FIND('112'!$M$9,G1693,1)&gt;=1,B1693='112'!$K$9,OR($N1693='112'!$I$6,$O1693='112'!$I$6))),"x",""))</f>
        <v/>
      </c>
      <c r="U1693" s="79" t="str">
        <f>IF(ISERROR(FIND('112'!$M$9,G1693,1)),"",IF((AND(LEFT(G1693,2)=LEFT('112'!$M$9,2),B1693&lt;'112'!$K$9,$N1693='112'!$I$6)),"x",""))</f>
        <v/>
      </c>
      <c r="V1693" s="79" t="str">
        <f>IF(ISERROR(FIND('112'!$M$9,G1693,1)),"",IF((AND(RIGHT(G1693,2)=RIGHT('112'!$M$9,2),B1693&lt;'112'!$K$9,$O1693='112'!$I$6)),"x",""))</f>
        <v/>
      </c>
      <c r="W1693" s="79" t="str">
        <f>IF(AND('341-CT'!$H$9=H1693,OR(LEFT(N1693,3)=$W$7,LEFT(O1693,3)=$W$7)),"x","")</f>
        <v/>
      </c>
      <c r="X1693" s="79" t="str">
        <f>IF(OR(TH!N1693=TH!$X$7,O1693=TH!$X$7),"x","")</f>
        <v/>
      </c>
      <c r="Y1693" s="79" t="str">
        <f>IF(AND(OR(N1693="131",O1693="131"),H1693='131-CT'!$H$9),"x","")</f>
        <v/>
      </c>
      <c r="Z1693" s="79"/>
      <c r="AA1693" s="79" t="str">
        <f>IF(AND(MONTH(E1693)='IN-NX'!$J$5,'IN-NX'!$D$7=D1693),"x","")</f>
        <v/>
      </c>
      <c r="AB1693" s="79" t="str">
        <f>IF(AND(OR(LEFT(TH!N1693,2)="15",LEFT(TH!O1693,2)="15"),LEFT(TH!O1693,3)&lt;&gt;"111",'152-CT'!$J$8=TH!F1693),"x","")</f>
        <v/>
      </c>
      <c r="AC1693" s="79" t="str">
        <f>IF(AND(OR(LEFT(TH!N1693,2)="15",LEFT(TH!O1693,2)="15"),TK!$E$7=TH!F1693),"x","")</f>
        <v/>
      </c>
      <c r="AD1693" s="79" t="str">
        <f>IF(AND(N1693="1521",MONTH(C1693)='BK-NL'!$M$11),"x","")</f>
        <v/>
      </c>
    </row>
    <row r="1694" spans="1:30" ht="16.5" customHeight="1">
      <c r="A1694" s="318" t="str">
        <f>IF(B1694&lt;&gt;"",IF(AND(B1694='IN-TC'!$S$4,OR(TH!N1694="1111",TH!O1694="1111")),TH!D1694,""),"")</f>
        <v/>
      </c>
      <c r="B1694" s="60" t="str">
        <f t="shared" si="210"/>
        <v/>
      </c>
      <c r="C1694" s="989"/>
      <c r="D1694" s="989"/>
      <c r="E1694" s="989"/>
      <c r="F1694" s="921"/>
      <c r="G1694" s="991"/>
      <c r="H1694" s="1011"/>
      <c r="I1694" s="994"/>
      <c r="J1694" s="992"/>
      <c r="K1694" s="994"/>
      <c r="L1694" s="992"/>
      <c r="M1694" s="995"/>
      <c r="N1694" s="996"/>
      <c r="O1694" s="996"/>
      <c r="P1694" s="79" t="str">
        <f>IF(AND('331-CT'!$E$7=TH!H1694,OR(N1694="331",O1694="331")),"x","")</f>
        <v/>
      </c>
      <c r="Q1694" s="79" t="str">
        <f>IF(AND(B1694='111'!$L$11,OR($N1694=$Q$7,$O1694=$Q$7)),"x","")</f>
        <v/>
      </c>
      <c r="R1694" s="79" t="str">
        <f>IF(AND($N1694=$Q$7,$B1694&lt;'111'!$L$11),"x","")</f>
        <v/>
      </c>
      <c r="S1694" s="79" t="str">
        <f>IF(AND($O1694=$Q$7,$B1694&lt;'111'!$L$11),"x","")</f>
        <v/>
      </c>
      <c r="T1694" s="79" t="str">
        <f>IF(ISERROR(FIND('112'!$M$9,G1694,1)),"",IF((AND(FIND('112'!$M$9,G1694,1)&gt;=1,B1694='112'!$K$9,OR($N1694='112'!$I$6,$O1694='112'!$I$6))),"x",""))</f>
        <v/>
      </c>
      <c r="U1694" s="79" t="str">
        <f>IF(ISERROR(FIND('112'!$M$9,G1694,1)),"",IF((AND(LEFT(G1694,2)=LEFT('112'!$M$9,2),B1694&lt;'112'!$K$9,$N1694='112'!$I$6)),"x",""))</f>
        <v/>
      </c>
      <c r="V1694" s="79" t="str">
        <f>IF(ISERROR(FIND('112'!$M$9,G1694,1)),"",IF((AND(RIGHT(G1694,2)=RIGHT('112'!$M$9,2),B1694&lt;'112'!$K$9,$O1694='112'!$I$6)),"x",""))</f>
        <v/>
      </c>
      <c r="W1694" s="79" t="str">
        <f>IF(AND('341-CT'!$H$9=H1694,OR(LEFT(N1694,3)=$W$7,LEFT(O1694,3)=$W$7)),"x","")</f>
        <v/>
      </c>
      <c r="X1694" s="79" t="str">
        <f>IF(OR(TH!N1694=TH!$X$7,O1694=TH!$X$7),"x","")</f>
        <v/>
      </c>
      <c r="Y1694" s="79" t="str">
        <f>IF(AND(OR(N1694="131",O1694="131"),H1694='131-CT'!$H$9),"x","")</f>
        <v/>
      </c>
      <c r="Z1694" s="79"/>
      <c r="AA1694" s="79" t="str">
        <f>IF(AND(MONTH(E1694)='IN-NX'!$J$5,'IN-NX'!$D$7=D1694),"x","")</f>
        <v/>
      </c>
      <c r="AB1694" s="79" t="str">
        <f>IF(AND(OR(LEFT(TH!N1694,2)="15",LEFT(TH!O1694,2)="15"),LEFT(TH!O1694,3)&lt;&gt;"111",'152-CT'!$J$8=TH!F1694),"x","")</f>
        <v/>
      </c>
      <c r="AC1694" s="79" t="str">
        <f>IF(AND(OR(LEFT(TH!N1694,2)="15",LEFT(TH!O1694,2)="15"),TK!$E$7=TH!F1694),"x","")</f>
        <v/>
      </c>
      <c r="AD1694" s="79" t="str">
        <f>IF(AND(N1694="1521",MONTH(C1694)='BK-NL'!$M$11),"x","")</f>
        <v/>
      </c>
    </row>
    <row r="1695" spans="1:30" ht="16.5" customHeight="1">
      <c r="A1695" s="318" t="str">
        <f>IF(B1695&lt;&gt;"",IF(AND(B1695='IN-TC'!$S$4,OR(TH!N1695="1111",TH!O1695="1111")),TH!D1695,""),"")</f>
        <v/>
      </c>
      <c r="B1695" s="60" t="str">
        <f t="shared" si="210"/>
        <v/>
      </c>
      <c r="C1695" s="989"/>
      <c r="D1695" s="989"/>
      <c r="E1695" s="989"/>
      <c r="F1695" s="921"/>
      <c r="G1695" s="991"/>
      <c r="H1695" s="1011"/>
      <c r="I1695" s="994"/>
      <c r="J1695" s="992"/>
      <c r="K1695" s="994"/>
      <c r="L1695" s="992"/>
      <c r="M1695" s="995"/>
      <c r="N1695" s="996"/>
      <c r="O1695" s="996"/>
      <c r="P1695" s="79" t="str">
        <f>IF(AND('331-CT'!$E$7=TH!H1695,OR(N1695="331",O1695="331")),"x","")</f>
        <v/>
      </c>
      <c r="Q1695" s="79" t="str">
        <f>IF(AND(B1695='111'!$L$11,OR($N1695=$Q$7,$O1695=$Q$7)),"x","")</f>
        <v/>
      </c>
      <c r="R1695" s="79" t="str">
        <f>IF(AND($N1695=$Q$7,$B1695&lt;'111'!$L$11),"x","")</f>
        <v/>
      </c>
      <c r="S1695" s="79" t="str">
        <f>IF(AND($O1695=$Q$7,$B1695&lt;'111'!$L$11),"x","")</f>
        <v/>
      </c>
      <c r="T1695" s="79" t="str">
        <f>IF(ISERROR(FIND('112'!$M$9,G1695,1)),"",IF((AND(FIND('112'!$M$9,G1695,1)&gt;=1,B1695='112'!$K$9,OR($N1695='112'!$I$6,$O1695='112'!$I$6))),"x",""))</f>
        <v/>
      </c>
      <c r="U1695" s="79" t="str">
        <f>IF(ISERROR(FIND('112'!$M$9,G1695,1)),"",IF((AND(LEFT(G1695,2)=LEFT('112'!$M$9,2),B1695&lt;'112'!$K$9,$N1695='112'!$I$6)),"x",""))</f>
        <v/>
      </c>
      <c r="V1695" s="79" t="str">
        <f>IF(ISERROR(FIND('112'!$M$9,G1695,1)),"",IF((AND(RIGHT(G1695,2)=RIGHT('112'!$M$9,2),B1695&lt;'112'!$K$9,$O1695='112'!$I$6)),"x",""))</f>
        <v/>
      </c>
      <c r="W1695" s="79" t="str">
        <f>IF(AND('341-CT'!$H$9=H1695,OR(LEFT(N1695,3)=$W$7,LEFT(O1695,3)=$W$7)),"x","")</f>
        <v/>
      </c>
      <c r="X1695" s="79" t="str">
        <f>IF(OR(TH!N1695=TH!$X$7,O1695=TH!$X$7),"x","")</f>
        <v/>
      </c>
      <c r="Y1695" s="79" t="str">
        <f>IF(AND(OR(N1695="131",O1695="131"),H1695='131-CT'!$H$9),"x","")</f>
        <v/>
      </c>
      <c r="Z1695" s="79"/>
      <c r="AA1695" s="79" t="str">
        <f>IF(AND(MONTH(E1695)='IN-NX'!$J$5,'IN-NX'!$D$7=D1695),"x","")</f>
        <v/>
      </c>
      <c r="AB1695" s="79" t="str">
        <f>IF(AND(OR(LEFT(TH!N1695,2)="15",LEFT(TH!O1695,2)="15"),LEFT(TH!O1695,3)&lt;&gt;"111",'152-CT'!$J$8=TH!F1695),"x","")</f>
        <v/>
      </c>
      <c r="AC1695" s="79" t="str">
        <f>IF(AND(OR(LEFT(TH!N1695,2)="15",LEFT(TH!O1695,2)="15"),TK!$E$7=TH!F1695),"x","")</f>
        <v/>
      </c>
      <c r="AD1695" s="79" t="str">
        <f>IF(AND(N1695="1521",MONTH(C1695)='BK-NL'!$M$11),"x","")</f>
        <v/>
      </c>
    </row>
    <row r="1696" spans="1:30" ht="16.5" customHeight="1">
      <c r="A1696" s="318" t="str">
        <f>IF(B1696&lt;&gt;"",IF(AND(B1696='IN-TC'!$S$4,OR(TH!N1696="1111",TH!O1696="1111")),TH!D1696,""),"")</f>
        <v/>
      </c>
      <c r="B1696" s="60" t="str">
        <f t="shared" si="210"/>
        <v/>
      </c>
      <c r="C1696" s="989"/>
      <c r="D1696" s="989"/>
      <c r="E1696" s="989"/>
      <c r="F1696" s="921"/>
      <c r="G1696" s="991"/>
      <c r="H1696" s="1011"/>
      <c r="I1696" s="994"/>
      <c r="J1696" s="992"/>
      <c r="K1696" s="994"/>
      <c r="L1696" s="992"/>
      <c r="M1696" s="995"/>
      <c r="N1696" s="996"/>
      <c r="O1696" s="996"/>
      <c r="P1696" s="79" t="str">
        <f>IF(AND('331-CT'!$E$7=TH!H1696,OR(N1696="331",O1696="331")),"x","")</f>
        <v/>
      </c>
      <c r="Q1696" s="79" t="str">
        <f>IF(AND(B1696='111'!$L$11,OR($N1696=$Q$7,$O1696=$Q$7)),"x","")</f>
        <v/>
      </c>
      <c r="R1696" s="79" t="str">
        <f>IF(AND($N1696=$Q$7,$B1696&lt;'111'!$L$11),"x","")</f>
        <v/>
      </c>
      <c r="S1696" s="79" t="str">
        <f>IF(AND($O1696=$Q$7,$B1696&lt;'111'!$L$11),"x","")</f>
        <v/>
      </c>
      <c r="T1696" s="79" t="str">
        <f>IF(ISERROR(FIND('112'!$M$9,G1696,1)),"",IF((AND(FIND('112'!$M$9,G1696,1)&gt;=1,B1696='112'!$K$9,OR($N1696='112'!$I$6,$O1696='112'!$I$6))),"x",""))</f>
        <v/>
      </c>
      <c r="U1696" s="79" t="str">
        <f>IF(ISERROR(FIND('112'!$M$9,G1696,1)),"",IF((AND(LEFT(G1696,2)=LEFT('112'!$M$9,2),B1696&lt;'112'!$K$9,$N1696='112'!$I$6)),"x",""))</f>
        <v/>
      </c>
      <c r="V1696" s="79" t="str">
        <f>IF(ISERROR(FIND('112'!$M$9,G1696,1)),"",IF((AND(RIGHT(G1696,2)=RIGHT('112'!$M$9,2),B1696&lt;'112'!$K$9,$O1696='112'!$I$6)),"x",""))</f>
        <v/>
      </c>
      <c r="W1696" s="79" t="str">
        <f>IF(AND('341-CT'!$H$9=H1696,OR(LEFT(N1696,3)=$W$7,LEFT(O1696,3)=$W$7)),"x","")</f>
        <v/>
      </c>
      <c r="X1696" s="79" t="str">
        <f>IF(OR(TH!N1696=TH!$X$7,O1696=TH!$X$7),"x","")</f>
        <v/>
      </c>
      <c r="Y1696" s="79" t="str">
        <f>IF(AND(OR(N1696="131",O1696="131"),H1696='131-CT'!$H$9),"x","")</f>
        <v/>
      </c>
      <c r="Z1696" s="79"/>
      <c r="AA1696" s="79" t="str">
        <f>IF(AND(MONTH(E1696)='IN-NX'!$J$5,'IN-NX'!$D$7=D1696),"x","")</f>
        <v/>
      </c>
      <c r="AB1696" s="79" t="str">
        <f>IF(AND(OR(LEFT(TH!N1696,2)="15",LEFT(TH!O1696,2)="15"),LEFT(TH!O1696,3)&lt;&gt;"111",'152-CT'!$J$8=TH!F1696),"x","")</f>
        <v/>
      </c>
      <c r="AC1696" s="79" t="str">
        <f>IF(AND(OR(LEFT(TH!N1696,2)="15",LEFT(TH!O1696,2)="15"),TK!$E$7=TH!F1696),"x","")</f>
        <v/>
      </c>
      <c r="AD1696" s="79" t="str">
        <f>IF(AND(N1696="1521",MONTH(C1696)='BK-NL'!$M$11),"x","")</f>
        <v/>
      </c>
    </row>
    <row r="1697" spans="1:30" ht="16.5" customHeight="1">
      <c r="A1697" s="318" t="str">
        <f>IF(B1697&lt;&gt;"",IF(AND(B1697='IN-TC'!$S$4,OR(TH!N1697="1111",TH!O1697="1111")),TH!D1697,""),"")</f>
        <v/>
      </c>
      <c r="B1697" s="60" t="str">
        <f t="shared" si="210"/>
        <v/>
      </c>
      <c r="C1697" s="989"/>
      <c r="D1697" s="989"/>
      <c r="E1697" s="989"/>
      <c r="F1697" s="921"/>
      <c r="G1697" s="991"/>
      <c r="H1697" s="1011"/>
      <c r="I1697" s="994"/>
      <c r="J1697" s="992"/>
      <c r="K1697" s="994"/>
      <c r="L1697" s="992"/>
      <c r="M1697" s="995"/>
      <c r="N1697" s="996"/>
      <c r="O1697" s="996"/>
      <c r="P1697" s="79" t="str">
        <f>IF(AND('331-CT'!$E$7=TH!H1697,OR(N1697="331",O1697="331")),"x","")</f>
        <v/>
      </c>
      <c r="Q1697" s="79" t="str">
        <f>IF(AND(B1697='111'!$L$11,OR($N1697=$Q$7,$O1697=$Q$7)),"x","")</f>
        <v/>
      </c>
      <c r="R1697" s="79" t="str">
        <f>IF(AND($N1697=$Q$7,$B1697&lt;'111'!$L$11),"x","")</f>
        <v/>
      </c>
      <c r="S1697" s="79" t="str">
        <f>IF(AND($O1697=$Q$7,$B1697&lt;'111'!$L$11),"x","")</f>
        <v/>
      </c>
      <c r="T1697" s="79" t="str">
        <f>IF(ISERROR(FIND('112'!$M$9,G1697,1)),"",IF((AND(FIND('112'!$M$9,G1697,1)&gt;=1,B1697='112'!$K$9,OR($N1697='112'!$I$6,$O1697='112'!$I$6))),"x",""))</f>
        <v/>
      </c>
      <c r="U1697" s="79" t="str">
        <f>IF(ISERROR(FIND('112'!$M$9,G1697,1)),"",IF((AND(LEFT(G1697,2)=LEFT('112'!$M$9,2),B1697&lt;'112'!$K$9,$N1697='112'!$I$6)),"x",""))</f>
        <v/>
      </c>
      <c r="V1697" s="79" t="str">
        <f>IF(ISERROR(FIND('112'!$M$9,G1697,1)),"",IF((AND(RIGHT(G1697,2)=RIGHT('112'!$M$9,2),B1697&lt;'112'!$K$9,$O1697='112'!$I$6)),"x",""))</f>
        <v/>
      </c>
      <c r="W1697" s="79" t="str">
        <f>IF(AND('341-CT'!$H$9=H1697,OR(LEFT(N1697,3)=$W$7,LEFT(O1697,3)=$W$7)),"x","")</f>
        <v/>
      </c>
      <c r="X1697" s="79" t="str">
        <f>IF(OR(TH!N1697=TH!$X$7,O1697=TH!$X$7),"x","")</f>
        <v/>
      </c>
      <c r="Y1697" s="79" t="str">
        <f>IF(AND(OR(N1697="131",O1697="131"),H1697='131-CT'!$H$9),"x","")</f>
        <v/>
      </c>
      <c r="Z1697" s="79"/>
      <c r="AA1697" s="79" t="str">
        <f>IF(AND(MONTH(E1697)='IN-NX'!$J$5,'IN-NX'!$D$7=D1697),"x","")</f>
        <v/>
      </c>
      <c r="AB1697" s="79" t="str">
        <f>IF(AND(OR(LEFT(TH!N1697,2)="15",LEFT(TH!O1697,2)="15"),LEFT(TH!O1697,3)&lt;&gt;"111",'152-CT'!$J$8=TH!F1697),"x","")</f>
        <v/>
      </c>
      <c r="AC1697" s="79" t="str">
        <f>IF(AND(OR(LEFT(TH!N1697,2)="15",LEFT(TH!O1697,2)="15"),TK!$E$7=TH!F1697),"x","")</f>
        <v/>
      </c>
      <c r="AD1697" s="79" t="str">
        <f>IF(AND(N1697="1521",MONTH(C1697)='BK-NL'!$M$11),"x","")</f>
        <v/>
      </c>
    </row>
    <row r="1698" spans="1:30" ht="16.5" customHeight="1">
      <c r="A1698" s="318" t="str">
        <f>IF(B1698&lt;&gt;"",IF(AND(B1698='IN-TC'!$S$4,OR(TH!N1698="1111",TH!O1698="1111")),TH!D1698,""),"")</f>
        <v/>
      </c>
      <c r="B1698" s="60" t="str">
        <f t="shared" si="210"/>
        <v/>
      </c>
      <c r="C1698" s="989"/>
      <c r="D1698" s="989"/>
      <c r="E1698" s="989"/>
      <c r="F1698" s="990"/>
      <c r="G1698" s="991"/>
      <c r="H1698" s="1011"/>
      <c r="I1698" s="994"/>
      <c r="J1698" s="992"/>
      <c r="K1698" s="994"/>
      <c r="L1698" s="992"/>
      <c r="M1698" s="995"/>
      <c r="N1698" s="996"/>
      <c r="O1698" s="996"/>
      <c r="P1698" s="79" t="str">
        <f>IF(AND('331-CT'!$E$7=TH!H1698,OR(N1698="331",O1698="331")),"x","")</f>
        <v/>
      </c>
      <c r="Q1698" s="79" t="str">
        <f>IF(AND(B1698='111'!$L$11,OR($N1698=$Q$7,$O1698=$Q$7)),"x","")</f>
        <v/>
      </c>
      <c r="R1698" s="79" t="str">
        <f>IF(AND($N1698=$Q$7,$B1698&lt;'111'!$L$11),"x","")</f>
        <v/>
      </c>
      <c r="S1698" s="79" t="str">
        <f>IF(AND($O1698=$Q$7,$B1698&lt;'111'!$L$11),"x","")</f>
        <v/>
      </c>
      <c r="T1698" s="79" t="str">
        <f>IF(ISERROR(FIND('112'!$M$9,G1698,1)),"",IF((AND(FIND('112'!$M$9,G1698,1)&gt;=1,B1698='112'!$K$9,OR($N1698='112'!$I$6,$O1698='112'!$I$6))),"x",""))</f>
        <v/>
      </c>
      <c r="U1698" s="79" t="str">
        <f>IF(ISERROR(FIND('112'!$M$9,G1698,1)),"",IF((AND(LEFT(G1698,2)=LEFT('112'!$M$9,2),B1698&lt;'112'!$K$9,$N1698='112'!$I$6)),"x",""))</f>
        <v/>
      </c>
      <c r="V1698" s="79" t="str">
        <f>IF(ISERROR(FIND('112'!$M$9,G1698,1)),"",IF((AND(RIGHT(G1698,2)=RIGHT('112'!$M$9,2),B1698&lt;'112'!$K$9,$O1698='112'!$I$6)),"x",""))</f>
        <v/>
      </c>
      <c r="W1698" s="79" t="str">
        <f>IF(AND('341-CT'!$H$9=H1698,OR(LEFT(N1698,3)=$W$7,LEFT(O1698,3)=$W$7)),"x","")</f>
        <v/>
      </c>
      <c r="X1698" s="79" t="str">
        <f>IF(OR(TH!N1698=TH!$X$7,O1698=TH!$X$7),"x","")</f>
        <v/>
      </c>
      <c r="Y1698" s="79" t="str">
        <f>IF(AND(OR(N1698="131",O1698="131"),H1698='131-CT'!$H$9),"x","")</f>
        <v/>
      </c>
      <c r="Z1698" s="79"/>
      <c r="AA1698" s="79" t="str">
        <f>IF(AND(MONTH(E1698)='IN-NX'!$J$5,'IN-NX'!$D$7=D1698),"x","")</f>
        <v/>
      </c>
      <c r="AB1698" s="79" t="str">
        <f>IF(AND(OR(LEFT(TH!N1698,2)="15",LEFT(TH!O1698,2)="15"),LEFT(TH!O1698,3)&lt;&gt;"111",'152-CT'!$J$8=TH!F1698),"x","")</f>
        <v/>
      </c>
      <c r="AC1698" s="79" t="str">
        <f>IF(AND(OR(LEFT(TH!N1698,2)="15",LEFT(TH!O1698,2)="15"),TK!$E$7=TH!F1698),"x","")</f>
        <v/>
      </c>
      <c r="AD1698" s="79" t="str">
        <f>IF(AND(N1698="1521",MONTH(C1698)='BK-NL'!$M$11),"x","")</f>
        <v/>
      </c>
    </row>
    <row r="1699" spans="1:30" ht="16.5" customHeight="1">
      <c r="A1699" s="318" t="str">
        <f>IF(B1699&lt;&gt;"",IF(AND(B1699='IN-TC'!$S$4,OR(TH!N1699="1111",TH!O1699="1111")),TH!D1699,""),"")</f>
        <v/>
      </c>
      <c r="B1699" s="60" t="str">
        <f t="shared" si="210"/>
        <v/>
      </c>
      <c r="C1699" s="989"/>
      <c r="D1699" s="989"/>
      <c r="E1699" s="989"/>
      <c r="F1699" s="990"/>
      <c r="G1699" s="991"/>
      <c r="H1699" s="1011"/>
      <c r="I1699" s="994"/>
      <c r="J1699" s="992"/>
      <c r="K1699" s="994"/>
      <c r="L1699" s="992"/>
      <c r="M1699" s="995"/>
      <c r="N1699" s="996"/>
      <c r="O1699" s="996"/>
      <c r="P1699" s="79" t="str">
        <f>IF(AND('331-CT'!$E$7=TH!H1699,OR(N1699="331",O1699="331")),"x","")</f>
        <v/>
      </c>
      <c r="Q1699" s="79" t="str">
        <f>IF(AND(B1699='111'!$L$11,OR($N1699=$Q$7,$O1699=$Q$7)),"x","")</f>
        <v/>
      </c>
      <c r="R1699" s="79" t="str">
        <f>IF(AND($N1699=$Q$7,$B1699&lt;'111'!$L$11),"x","")</f>
        <v/>
      </c>
      <c r="S1699" s="79" t="str">
        <f>IF(AND($O1699=$Q$7,$B1699&lt;'111'!$L$11),"x","")</f>
        <v/>
      </c>
      <c r="T1699" s="79" t="str">
        <f>IF(ISERROR(FIND('112'!$M$9,G1699,1)),"",IF((AND(FIND('112'!$M$9,G1699,1)&gt;=1,B1699='112'!$K$9,OR($N1699='112'!$I$6,$O1699='112'!$I$6))),"x",""))</f>
        <v/>
      </c>
      <c r="U1699" s="79" t="str">
        <f>IF(ISERROR(FIND('112'!$M$9,G1699,1)),"",IF((AND(LEFT(G1699,2)=LEFT('112'!$M$9,2),B1699&lt;'112'!$K$9,$N1699='112'!$I$6)),"x",""))</f>
        <v/>
      </c>
      <c r="V1699" s="79" t="str">
        <f>IF(ISERROR(FIND('112'!$M$9,G1699,1)),"",IF((AND(RIGHT(G1699,2)=RIGHT('112'!$M$9,2),B1699&lt;'112'!$K$9,$O1699='112'!$I$6)),"x",""))</f>
        <v/>
      </c>
      <c r="W1699" s="79" t="str">
        <f>IF(AND('341-CT'!$H$9=H1699,OR(LEFT(N1699,3)=$W$7,LEFT(O1699,3)=$W$7)),"x","")</f>
        <v/>
      </c>
      <c r="X1699" s="79" t="str">
        <f>IF(OR(TH!N1699=TH!$X$7,O1699=TH!$X$7),"x","")</f>
        <v/>
      </c>
      <c r="Y1699" s="79" t="str">
        <f>IF(AND(OR(N1699="131",O1699="131"),H1699='131-CT'!$H$9),"x","")</f>
        <v/>
      </c>
      <c r="Z1699" s="79"/>
      <c r="AA1699" s="79" t="str">
        <f>IF(AND(MONTH(E1699)='IN-NX'!$J$5,'IN-NX'!$D$7=D1699),"x","")</f>
        <v/>
      </c>
      <c r="AB1699" s="79" t="str">
        <f>IF(AND(OR(LEFT(TH!N1699,2)="15",LEFT(TH!O1699,2)="15"),LEFT(TH!O1699,3)&lt;&gt;"111",'152-CT'!$J$8=TH!F1699),"x","")</f>
        <v/>
      </c>
      <c r="AC1699" s="79" t="str">
        <f>IF(AND(OR(LEFT(TH!N1699,2)="15",LEFT(TH!O1699,2)="15"),TK!$E$7=TH!F1699),"x","")</f>
        <v/>
      </c>
      <c r="AD1699" s="79" t="str">
        <f>IF(AND(N1699="1521",MONTH(C1699)='BK-NL'!$M$11),"x","")</f>
        <v/>
      </c>
    </row>
    <row r="1700" spans="1:30" ht="16.5" customHeight="1">
      <c r="A1700" s="318" t="str">
        <f>IF(B1700&lt;&gt;"",IF(AND(B1700='IN-TC'!$S$4,OR(TH!N1700="1111",TH!O1700="1111")),TH!D1700,""),"")</f>
        <v/>
      </c>
      <c r="B1700" s="60" t="str">
        <f t="shared" si="210"/>
        <v/>
      </c>
      <c r="C1700" s="989"/>
      <c r="D1700" s="989"/>
      <c r="E1700" s="989"/>
      <c r="F1700" s="1105"/>
      <c r="G1700" s="991"/>
      <c r="H1700" s="1011"/>
      <c r="I1700" s="994"/>
      <c r="J1700" s="992"/>
      <c r="K1700" s="994"/>
      <c r="L1700" s="992"/>
      <c r="M1700" s="995"/>
      <c r="N1700" s="996"/>
      <c r="O1700" s="996"/>
      <c r="P1700" s="79" t="str">
        <f>IF(AND('331-CT'!$E$7=TH!H1700,OR(N1700="331",O1700="331")),"x","")</f>
        <v/>
      </c>
      <c r="Q1700" s="79" t="str">
        <f>IF(AND(B1700='111'!$L$11,OR($N1700=$Q$7,$O1700=$Q$7)),"x","")</f>
        <v/>
      </c>
      <c r="R1700" s="79" t="str">
        <f>IF(AND($N1700=$Q$7,$B1700&lt;'111'!$L$11),"x","")</f>
        <v/>
      </c>
      <c r="S1700" s="79" t="str">
        <f>IF(AND($O1700=$Q$7,$B1700&lt;'111'!$L$11),"x","")</f>
        <v/>
      </c>
      <c r="T1700" s="79" t="str">
        <f>IF(ISERROR(FIND('112'!$M$9,G1700,1)),"",IF((AND(FIND('112'!$M$9,G1700,1)&gt;=1,B1700='112'!$K$9,OR($N1700='112'!$I$6,$O1700='112'!$I$6))),"x",""))</f>
        <v/>
      </c>
      <c r="U1700" s="79" t="str">
        <f>IF(ISERROR(FIND('112'!$M$9,G1700,1)),"",IF((AND(LEFT(G1700,2)=LEFT('112'!$M$9,2),B1700&lt;'112'!$K$9,$N1700='112'!$I$6)),"x",""))</f>
        <v/>
      </c>
      <c r="V1700" s="79" t="str">
        <f>IF(ISERROR(FIND('112'!$M$9,G1700,1)),"",IF((AND(RIGHT(G1700,2)=RIGHT('112'!$M$9,2),B1700&lt;'112'!$K$9,$O1700='112'!$I$6)),"x",""))</f>
        <v/>
      </c>
      <c r="W1700" s="79" t="str">
        <f>IF(AND('341-CT'!$H$9=H1700,OR(LEFT(N1700,3)=$W$7,LEFT(O1700,3)=$W$7)),"x","")</f>
        <v/>
      </c>
      <c r="X1700" s="79" t="str">
        <f>IF(OR(TH!N1700=TH!$X$7,O1700=TH!$X$7),"x","")</f>
        <v/>
      </c>
      <c r="Y1700" s="79" t="str">
        <f>IF(AND(OR(N1700="131",O1700="131"),H1700='131-CT'!$H$9),"x","")</f>
        <v/>
      </c>
      <c r="Z1700" s="79"/>
      <c r="AA1700" s="79" t="str">
        <f>IF(AND(MONTH(E1700)='IN-NX'!$J$5,'IN-NX'!$D$7=D1700),"x","")</f>
        <v/>
      </c>
      <c r="AB1700" s="79" t="str">
        <f>IF(AND(OR(LEFT(TH!N1700,2)="15",LEFT(TH!O1700,2)="15"),LEFT(TH!O1700,3)&lt;&gt;"111",'152-CT'!$J$8=TH!F1700),"x","")</f>
        <v/>
      </c>
      <c r="AC1700" s="79" t="str">
        <f>IF(AND(OR(LEFT(TH!N1700,2)="15",LEFT(TH!O1700,2)="15"),TK!$E$7=TH!F1700),"x","")</f>
        <v/>
      </c>
      <c r="AD1700" s="79" t="str">
        <f>IF(AND(N1700="1521",MONTH(C1700)='BK-NL'!$M$11),"x","")</f>
        <v/>
      </c>
    </row>
    <row r="1701" spans="1:30" ht="16.5" customHeight="1">
      <c r="A1701" s="318" t="str">
        <f>IF(B1701&lt;&gt;"",IF(AND(B1701='IN-TC'!$S$4,OR(TH!N1701="1111",TH!O1701="1111")),TH!D1701,""),"")</f>
        <v/>
      </c>
      <c r="B1701" s="60" t="str">
        <f t="shared" si="210"/>
        <v/>
      </c>
      <c r="C1701" s="989"/>
      <c r="D1701" s="989"/>
      <c r="E1701" s="989"/>
      <c r="F1701" s="990"/>
      <c r="G1701" s="991"/>
      <c r="H1701" s="1011"/>
      <c r="I1701" s="994"/>
      <c r="J1701" s="992"/>
      <c r="K1701" s="994"/>
      <c r="L1701" s="992"/>
      <c r="M1701" s="995"/>
      <c r="N1701" s="996"/>
      <c r="O1701" s="996"/>
      <c r="P1701" s="79" t="str">
        <f>IF(AND('331-CT'!$E$7=TH!H1701,OR(N1701="331",O1701="331")),"x","")</f>
        <v/>
      </c>
      <c r="Q1701" s="79" t="str">
        <f>IF(AND(B1701='111'!$L$11,OR($N1701=$Q$7,$O1701=$Q$7)),"x","")</f>
        <v/>
      </c>
      <c r="R1701" s="79" t="str">
        <f>IF(AND($N1701=$Q$7,$B1701&lt;'111'!$L$11),"x","")</f>
        <v/>
      </c>
      <c r="S1701" s="79" t="str">
        <f>IF(AND($O1701=$Q$7,$B1701&lt;'111'!$L$11),"x","")</f>
        <v/>
      </c>
      <c r="T1701" s="79" t="str">
        <f>IF(ISERROR(FIND('112'!$M$9,G1701,1)),"",IF((AND(FIND('112'!$M$9,G1701,1)&gt;=1,B1701='112'!$K$9,OR($N1701='112'!$I$6,$O1701='112'!$I$6))),"x",""))</f>
        <v/>
      </c>
      <c r="U1701" s="79" t="str">
        <f>IF(ISERROR(FIND('112'!$M$9,G1701,1)),"",IF((AND(LEFT(G1701,2)=LEFT('112'!$M$9,2),B1701&lt;'112'!$K$9,$N1701='112'!$I$6)),"x",""))</f>
        <v/>
      </c>
      <c r="V1701" s="79" t="str">
        <f>IF(ISERROR(FIND('112'!$M$9,G1701,1)),"",IF((AND(RIGHT(G1701,2)=RIGHT('112'!$M$9,2),B1701&lt;'112'!$K$9,$O1701='112'!$I$6)),"x",""))</f>
        <v/>
      </c>
      <c r="W1701" s="79" t="str">
        <f>IF(AND('341-CT'!$H$9=H1701,OR(LEFT(N1701,3)=$W$7,LEFT(O1701,3)=$W$7)),"x","")</f>
        <v/>
      </c>
      <c r="X1701" s="79" t="str">
        <f>IF(OR(TH!N1701=TH!$X$7,O1701=TH!$X$7),"x","")</f>
        <v/>
      </c>
      <c r="Y1701" s="79" t="str">
        <f>IF(AND(OR(N1701="131",O1701="131"),H1701='131-CT'!$H$9),"x","")</f>
        <v/>
      </c>
      <c r="Z1701" s="79"/>
      <c r="AA1701" s="79" t="str">
        <f>IF(AND(MONTH(E1701)='IN-NX'!$J$5,'IN-NX'!$D$7=D1701),"x","")</f>
        <v/>
      </c>
      <c r="AB1701" s="79" t="str">
        <f>IF(AND(OR(LEFT(TH!N1701,2)="15",LEFT(TH!O1701,2)="15"),LEFT(TH!O1701,3)&lt;&gt;"111",'152-CT'!$J$8=TH!F1701),"x","")</f>
        <v/>
      </c>
      <c r="AC1701" s="79" t="str">
        <f>IF(AND(OR(LEFT(TH!N1701,2)="15",LEFT(TH!O1701,2)="15"),TK!$E$7=TH!F1701),"x","")</f>
        <v/>
      </c>
      <c r="AD1701" s="79" t="str">
        <f>IF(AND(N1701="1521",MONTH(C1701)='BK-NL'!$M$11),"x","")</f>
        <v/>
      </c>
    </row>
    <row r="1702" spans="1:30" ht="16.5" customHeight="1">
      <c r="A1702" s="318" t="str">
        <f>IF(B1702&lt;&gt;"",IF(AND(B1702='IN-TC'!$S$4,OR(TH!N1702="1111",TH!O1702="1111")),TH!D1702,""),"")</f>
        <v/>
      </c>
      <c r="B1702" s="60" t="str">
        <f t="shared" si="210"/>
        <v/>
      </c>
      <c r="C1702" s="989"/>
      <c r="D1702" s="989"/>
      <c r="E1702" s="989"/>
      <c r="F1702" s="990"/>
      <c r="G1702" s="991"/>
      <c r="H1702" s="1011"/>
      <c r="I1702" s="994"/>
      <c r="J1702" s="992"/>
      <c r="K1702" s="994"/>
      <c r="L1702" s="992"/>
      <c r="M1702" s="995"/>
      <c r="N1702" s="996"/>
      <c r="O1702" s="996"/>
      <c r="P1702" s="79" t="str">
        <f>IF(AND('331-CT'!$E$7=TH!H1702,OR(N1702="331",O1702="331")),"x","")</f>
        <v/>
      </c>
      <c r="Q1702" s="79" t="str">
        <f>IF(AND(B1702='111'!$L$11,OR($N1702=$Q$7,$O1702=$Q$7)),"x","")</f>
        <v/>
      </c>
      <c r="R1702" s="79" t="str">
        <f>IF(AND($N1702=$Q$7,$B1702&lt;'111'!$L$11),"x","")</f>
        <v/>
      </c>
      <c r="S1702" s="79" t="str">
        <f>IF(AND($O1702=$Q$7,$B1702&lt;'111'!$L$11),"x","")</f>
        <v/>
      </c>
      <c r="T1702" s="79" t="str">
        <f>IF(ISERROR(FIND('112'!$M$9,G1702,1)),"",IF((AND(FIND('112'!$M$9,G1702,1)&gt;=1,B1702='112'!$K$9,OR($N1702='112'!$I$6,$O1702='112'!$I$6))),"x",""))</f>
        <v/>
      </c>
      <c r="U1702" s="79" t="str">
        <f>IF(ISERROR(FIND('112'!$M$9,G1702,1)),"",IF((AND(LEFT(G1702,2)=LEFT('112'!$M$9,2),B1702&lt;'112'!$K$9,$N1702='112'!$I$6)),"x",""))</f>
        <v/>
      </c>
      <c r="V1702" s="79" t="str">
        <f>IF(ISERROR(FIND('112'!$M$9,G1702,1)),"",IF((AND(RIGHT(G1702,2)=RIGHT('112'!$M$9,2),B1702&lt;'112'!$K$9,$O1702='112'!$I$6)),"x",""))</f>
        <v/>
      </c>
      <c r="W1702" s="79" t="str">
        <f>IF(AND('341-CT'!$H$9=H1702,OR(LEFT(N1702,3)=$W$7,LEFT(O1702,3)=$W$7)),"x","")</f>
        <v/>
      </c>
      <c r="X1702" s="79" t="str">
        <f>IF(OR(TH!N1702=TH!$X$7,O1702=TH!$X$7),"x","")</f>
        <v/>
      </c>
      <c r="Y1702" s="79" t="str">
        <f>IF(AND(OR(N1702="131",O1702="131"),H1702='131-CT'!$H$9),"x","")</f>
        <v/>
      </c>
      <c r="Z1702" s="79"/>
      <c r="AA1702" s="79" t="str">
        <f>IF(AND(MONTH(E1702)='IN-NX'!$J$5,'IN-NX'!$D$7=D1702),"x","")</f>
        <v/>
      </c>
      <c r="AB1702" s="79" t="str">
        <f>IF(AND(OR(LEFT(TH!N1702,2)="15",LEFT(TH!O1702,2)="15"),LEFT(TH!O1702,3)&lt;&gt;"111",'152-CT'!$J$8=TH!F1702),"x","")</f>
        <v/>
      </c>
      <c r="AC1702" s="79" t="str">
        <f>IF(AND(OR(LEFT(TH!N1702,2)="15",LEFT(TH!O1702,2)="15"),TK!$E$7=TH!F1702),"x","")</f>
        <v/>
      </c>
      <c r="AD1702" s="79" t="str">
        <f>IF(AND(N1702="1521",MONTH(C1702)='BK-NL'!$M$11),"x","")</f>
        <v/>
      </c>
    </row>
    <row r="1703" spans="1:30" ht="16.5" customHeight="1">
      <c r="A1703" s="318" t="str">
        <f>IF(B1703&lt;&gt;"",IF(AND(B1703='IN-TC'!$S$4,OR(TH!N1703="1111",TH!O1703="1111")),TH!D1703,""),"")</f>
        <v/>
      </c>
      <c r="B1703" s="60" t="str">
        <f t="shared" si="210"/>
        <v/>
      </c>
      <c r="C1703" s="989"/>
      <c r="D1703" s="989"/>
      <c r="E1703" s="989"/>
      <c r="F1703" s="921"/>
      <c r="G1703" s="991"/>
      <c r="H1703" s="1011"/>
      <c r="I1703" s="994"/>
      <c r="J1703" s="992"/>
      <c r="K1703" s="994"/>
      <c r="L1703" s="992"/>
      <c r="M1703" s="995"/>
      <c r="N1703" s="996"/>
      <c r="O1703" s="996"/>
      <c r="P1703" s="79" t="str">
        <f>IF(AND('331-CT'!$E$7=TH!H1703,OR(N1703="331",O1703="331")),"x","")</f>
        <v/>
      </c>
      <c r="Q1703" s="79" t="str">
        <f>IF(AND(B1703='111'!$L$11,OR($N1703=$Q$7,$O1703=$Q$7)),"x","")</f>
        <v/>
      </c>
      <c r="R1703" s="79" t="str">
        <f>IF(AND($N1703=$Q$7,$B1703&lt;'111'!$L$11),"x","")</f>
        <v/>
      </c>
      <c r="S1703" s="79" t="str">
        <f>IF(AND($O1703=$Q$7,$B1703&lt;'111'!$L$11),"x","")</f>
        <v/>
      </c>
      <c r="T1703" s="79" t="str">
        <f>IF(ISERROR(FIND('112'!$M$9,G1703,1)),"",IF((AND(FIND('112'!$M$9,G1703,1)&gt;=1,B1703='112'!$K$9,OR($N1703='112'!$I$6,$O1703='112'!$I$6))),"x",""))</f>
        <v/>
      </c>
      <c r="U1703" s="79" t="str">
        <f>IF(ISERROR(FIND('112'!$M$9,G1703,1)),"",IF((AND(LEFT(G1703,2)=LEFT('112'!$M$9,2),B1703&lt;'112'!$K$9,$N1703='112'!$I$6)),"x",""))</f>
        <v/>
      </c>
      <c r="V1703" s="79" t="str">
        <f>IF(ISERROR(FIND('112'!$M$9,G1703,1)),"",IF((AND(RIGHT(G1703,2)=RIGHT('112'!$M$9,2),B1703&lt;'112'!$K$9,$O1703='112'!$I$6)),"x",""))</f>
        <v/>
      </c>
      <c r="W1703" s="79" t="str">
        <f>IF(AND('341-CT'!$H$9=H1703,OR(LEFT(N1703,3)=$W$7,LEFT(O1703,3)=$W$7)),"x","")</f>
        <v/>
      </c>
      <c r="X1703" s="79" t="str">
        <f>IF(OR(TH!N1703=TH!$X$7,O1703=TH!$X$7),"x","")</f>
        <v/>
      </c>
      <c r="Y1703" s="79" t="str">
        <f>IF(AND(OR(N1703="131",O1703="131"),H1703='131-CT'!$H$9),"x","")</f>
        <v/>
      </c>
      <c r="Z1703" s="79"/>
      <c r="AA1703" s="79" t="str">
        <f>IF(AND(MONTH(E1703)='IN-NX'!$J$5,'IN-NX'!$D$7=D1703),"x","")</f>
        <v/>
      </c>
      <c r="AB1703" s="79" t="str">
        <f>IF(AND(OR(LEFT(TH!N1703,2)="15",LEFT(TH!O1703,2)="15"),LEFT(TH!O1703,3)&lt;&gt;"111",'152-CT'!$J$8=TH!F1703),"x","")</f>
        <v/>
      </c>
      <c r="AC1703" s="79" t="str">
        <f>IF(AND(OR(LEFT(TH!N1703,2)="15",LEFT(TH!O1703,2)="15"),TK!$E$7=TH!F1703),"x","")</f>
        <v/>
      </c>
      <c r="AD1703" s="79" t="str">
        <f>IF(AND(N1703="1521",MONTH(C1703)='BK-NL'!$M$11),"x","")</f>
        <v/>
      </c>
    </row>
    <row r="1704" spans="1:30" ht="16.5" customHeight="1">
      <c r="A1704" s="318" t="str">
        <f>IF(B1704&lt;&gt;"",IF(AND(B1704='IN-TC'!$S$4,OR(TH!N1704="1111",TH!O1704="1111")),TH!D1704,""),"")</f>
        <v/>
      </c>
      <c r="B1704" s="60" t="str">
        <f t="shared" si="210"/>
        <v/>
      </c>
      <c r="C1704" s="989"/>
      <c r="D1704" s="989"/>
      <c r="E1704" s="989"/>
      <c r="F1704" s="921"/>
      <c r="G1704" s="991"/>
      <c r="H1704" s="1011"/>
      <c r="I1704" s="994"/>
      <c r="J1704" s="992"/>
      <c r="K1704" s="994"/>
      <c r="L1704" s="992"/>
      <c r="M1704" s="995"/>
      <c r="N1704" s="996"/>
      <c r="O1704" s="996"/>
      <c r="P1704" s="79" t="str">
        <f>IF(AND('331-CT'!$E$7=TH!H1704,OR(N1704="331",O1704="331")),"x","")</f>
        <v/>
      </c>
      <c r="Q1704" s="79" t="str">
        <f>IF(AND(B1704='111'!$L$11,OR($N1704=$Q$7,$O1704=$Q$7)),"x","")</f>
        <v/>
      </c>
      <c r="R1704" s="79" t="str">
        <f>IF(AND($N1704=$Q$7,$B1704&lt;'111'!$L$11),"x","")</f>
        <v/>
      </c>
      <c r="S1704" s="79" t="str">
        <f>IF(AND($O1704=$Q$7,$B1704&lt;'111'!$L$11),"x","")</f>
        <v/>
      </c>
      <c r="T1704" s="79" t="str">
        <f>IF(ISERROR(FIND('112'!$M$9,G1704,1)),"",IF((AND(FIND('112'!$M$9,G1704,1)&gt;=1,B1704='112'!$K$9,OR($N1704='112'!$I$6,$O1704='112'!$I$6))),"x",""))</f>
        <v/>
      </c>
      <c r="U1704" s="79" t="str">
        <f>IF(ISERROR(FIND('112'!$M$9,G1704,1)),"",IF((AND(LEFT(G1704,2)=LEFT('112'!$M$9,2),B1704&lt;'112'!$K$9,$N1704='112'!$I$6)),"x",""))</f>
        <v/>
      </c>
      <c r="V1704" s="79" t="str">
        <f>IF(ISERROR(FIND('112'!$M$9,G1704,1)),"",IF((AND(RIGHT(G1704,2)=RIGHT('112'!$M$9,2),B1704&lt;'112'!$K$9,$O1704='112'!$I$6)),"x",""))</f>
        <v/>
      </c>
      <c r="W1704" s="79" t="str">
        <f>IF(AND('341-CT'!$H$9=H1704,OR(LEFT(N1704,3)=$W$7,LEFT(O1704,3)=$W$7)),"x","")</f>
        <v/>
      </c>
      <c r="X1704" s="79" t="str">
        <f>IF(OR(TH!N1704=TH!$X$7,O1704=TH!$X$7),"x","")</f>
        <v/>
      </c>
      <c r="Y1704" s="79" t="str">
        <f>IF(AND(OR(N1704="131",O1704="131"),H1704='131-CT'!$H$9),"x","")</f>
        <v/>
      </c>
      <c r="Z1704" s="79"/>
      <c r="AA1704" s="79" t="str">
        <f>IF(AND(MONTH(E1704)='IN-NX'!$J$5,'IN-NX'!$D$7=D1704),"x","")</f>
        <v/>
      </c>
      <c r="AB1704" s="79" t="str">
        <f>IF(AND(OR(LEFT(TH!N1704,2)="15",LEFT(TH!O1704,2)="15"),LEFT(TH!O1704,3)&lt;&gt;"111",'152-CT'!$J$8=TH!F1704),"x","")</f>
        <v/>
      </c>
      <c r="AC1704" s="79" t="str">
        <f>IF(AND(OR(LEFT(TH!N1704,2)="15",LEFT(TH!O1704,2)="15"),TK!$E$7=TH!F1704),"x","")</f>
        <v/>
      </c>
      <c r="AD1704" s="79" t="str">
        <f>IF(AND(N1704="1521",MONTH(C1704)='BK-NL'!$M$11),"x","")</f>
        <v/>
      </c>
    </row>
    <row r="1705" spans="1:30" ht="16.5" customHeight="1">
      <c r="A1705" s="318" t="str">
        <f>IF(B1705&lt;&gt;"",IF(AND(B1705='IN-TC'!$S$4,OR(TH!N1705="1111",TH!O1705="1111")),TH!D1705,""),"")</f>
        <v/>
      </c>
      <c r="B1705" s="60" t="str">
        <f t="shared" si="210"/>
        <v/>
      </c>
      <c r="C1705" s="989"/>
      <c r="D1705" s="989"/>
      <c r="E1705" s="989"/>
      <c r="F1705" s="921"/>
      <c r="G1705" s="991"/>
      <c r="H1705" s="1011"/>
      <c r="I1705" s="994"/>
      <c r="J1705" s="992"/>
      <c r="K1705" s="994"/>
      <c r="L1705" s="992"/>
      <c r="M1705" s="995"/>
      <c r="N1705" s="996"/>
      <c r="O1705" s="996"/>
      <c r="P1705" s="79" t="str">
        <f>IF(AND('331-CT'!$E$7=TH!H1705,OR(N1705="331",O1705="331")),"x","")</f>
        <v/>
      </c>
      <c r="Q1705" s="79" t="str">
        <f>IF(AND(B1705='111'!$L$11,OR($N1705=$Q$7,$O1705=$Q$7)),"x","")</f>
        <v/>
      </c>
      <c r="R1705" s="79" t="str">
        <f>IF(AND($N1705=$Q$7,$B1705&lt;'111'!$L$11),"x","")</f>
        <v/>
      </c>
      <c r="S1705" s="79" t="str">
        <f>IF(AND($O1705=$Q$7,$B1705&lt;'111'!$L$11),"x","")</f>
        <v/>
      </c>
      <c r="T1705" s="79" t="str">
        <f>IF(ISERROR(FIND('112'!$M$9,G1705,1)),"",IF((AND(FIND('112'!$M$9,G1705,1)&gt;=1,B1705='112'!$K$9,OR($N1705='112'!$I$6,$O1705='112'!$I$6))),"x",""))</f>
        <v/>
      </c>
      <c r="U1705" s="79" t="str">
        <f>IF(ISERROR(FIND('112'!$M$9,G1705,1)),"",IF((AND(LEFT(G1705,2)=LEFT('112'!$M$9,2),B1705&lt;'112'!$K$9,$N1705='112'!$I$6)),"x",""))</f>
        <v/>
      </c>
      <c r="V1705" s="79" t="str">
        <f>IF(ISERROR(FIND('112'!$M$9,G1705,1)),"",IF((AND(RIGHT(G1705,2)=RIGHT('112'!$M$9,2),B1705&lt;'112'!$K$9,$O1705='112'!$I$6)),"x",""))</f>
        <v/>
      </c>
      <c r="W1705" s="79" t="str">
        <f>IF(AND('341-CT'!$H$9=H1705,OR(LEFT(N1705,3)=$W$7,LEFT(O1705,3)=$W$7)),"x","")</f>
        <v/>
      </c>
      <c r="X1705" s="79" t="str">
        <f>IF(OR(TH!N1705=TH!$X$7,O1705=TH!$X$7),"x","")</f>
        <v/>
      </c>
      <c r="Y1705" s="79" t="str">
        <f>IF(AND(OR(N1705="131",O1705="131"),H1705='131-CT'!$H$9),"x","")</f>
        <v/>
      </c>
      <c r="Z1705" s="79"/>
      <c r="AA1705" s="79" t="str">
        <f>IF(AND(MONTH(E1705)='IN-NX'!$J$5,'IN-NX'!$D$7=D1705),"x","")</f>
        <v/>
      </c>
      <c r="AB1705" s="79" t="str">
        <f>IF(AND(OR(LEFT(TH!N1705,2)="15",LEFT(TH!O1705,2)="15"),LEFT(TH!O1705,3)&lt;&gt;"111",'152-CT'!$J$8=TH!F1705),"x","")</f>
        <v/>
      </c>
      <c r="AC1705" s="79" t="str">
        <f>IF(AND(OR(LEFT(TH!N1705,2)="15",LEFT(TH!O1705,2)="15"),TK!$E$7=TH!F1705),"x","")</f>
        <v/>
      </c>
      <c r="AD1705" s="79" t="str">
        <f>IF(AND(N1705="1521",MONTH(C1705)='BK-NL'!$M$11),"x","")</f>
        <v/>
      </c>
    </row>
    <row r="1706" spans="1:30" ht="16.5" customHeight="1">
      <c r="A1706" s="318" t="str">
        <f>IF(B1706&lt;&gt;"",IF(AND(B1706='IN-TC'!$S$4,OR(TH!N1706="1111",TH!O1706="1111")),TH!D1706,""),"")</f>
        <v/>
      </c>
      <c r="B1706" s="60" t="str">
        <f t="shared" si="210"/>
        <v/>
      </c>
      <c r="C1706" s="989"/>
      <c r="D1706" s="989"/>
      <c r="E1706" s="989"/>
      <c r="F1706" s="921"/>
      <c r="G1706" s="991"/>
      <c r="H1706" s="1011"/>
      <c r="I1706" s="994"/>
      <c r="J1706" s="992"/>
      <c r="K1706" s="994"/>
      <c r="L1706" s="992"/>
      <c r="M1706" s="995"/>
      <c r="N1706" s="996"/>
      <c r="O1706" s="996"/>
      <c r="P1706" s="79" t="str">
        <f>IF(AND('331-CT'!$E$7=TH!H1706,OR(N1706="331",O1706="331")),"x","")</f>
        <v/>
      </c>
      <c r="Q1706" s="79" t="str">
        <f>IF(AND(B1706='111'!$L$11,OR($N1706=$Q$7,$O1706=$Q$7)),"x","")</f>
        <v/>
      </c>
      <c r="R1706" s="79" t="str">
        <f>IF(AND($N1706=$Q$7,$B1706&lt;'111'!$L$11),"x","")</f>
        <v/>
      </c>
      <c r="S1706" s="79" t="str">
        <f>IF(AND($O1706=$Q$7,$B1706&lt;'111'!$L$11),"x","")</f>
        <v/>
      </c>
      <c r="T1706" s="79" t="str">
        <f>IF(ISERROR(FIND('112'!$M$9,G1706,1)),"",IF((AND(FIND('112'!$M$9,G1706,1)&gt;=1,B1706='112'!$K$9,OR($N1706='112'!$I$6,$O1706='112'!$I$6))),"x",""))</f>
        <v/>
      </c>
      <c r="U1706" s="79" t="str">
        <f>IF(ISERROR(FIND('112'!$M$9,G1706,1)),"",IF((AND(LEFT(G1706,2)=LEFT('112'!$M$9,2),B1706&lt;'112'!$K$9,$N1706='112'!$I$6)),"x",""))</f>
        <v/>
      </c>
      <c r="V1706" s="79" t="str">
        <f>IF(ISERROR(FIND('112'!$M$9,G1706,1)),"",IF((AND(RIGHT(G1706,2)=RIGHT('112'!$M$9,2),B1706&lt;'112'!$K$9,$O1706='112'!$I$6)),"x",""))</f>
        <v/>
      </c>
      <c r="W1706" s="79" t="str">
        <f>IF(AND('341-CT'!$H$9=H1706,OR(LEFT(N1706,3)=$W$7,LEFT(O1706,3)=$W$7)),"x","")</f>
        <v/>
      </c>
      <c r="X1706" s="79" t="str">
        <f>IF(OR(TH!N1706=TH!$X$7,O1706=TH!$X$7),"x","")</f>
        <v/>
      </c>
      <c r="Y1706" s="79" t="str">
        <f>IF(AND(OR(N1706="131",O1706="131"),H1706='131-CT'!$H$9),"x","")</f>
        <v/>
      </c>
      <c r="Z1706" s="79"/>
      <c r="AA1706" s="79" t="str">
        <f>IF(AND(MONTH(E1706)='IN-NX'!$J$5,'IN-NX'!$D$7=D1706),"x","")</f>
        <v/>
      </c>
      <c r="AB1706" s="79" t="str">
        <f>IF(AND(OR(LEFT(TH!N1706,2)="15",LEFT(TH!O1706,2)="15"),LEFT(TH!O1706,3)&lt;&gt;"111",'152-CT'!$J$8=TH!F1706),"x","")</f>
        <v/>
      </c>
      <c r="AC1706" s="79" t="str">
        <f>IF(AND(OR(LEFT(TH!N1706,2)="15",LEFT(TH!O1706,2)="15"),TK!$E$7=TH!F1706),"x","")</f>
        <v/>
      </c>
      <c r="AD1706" s="79" t="str">
        <f>IF(AND(N1706="1521",MONTH(C1706)='BK-NL'!$M$11),"x","")</f>
        <v/>
      </c>
    </row>
    <row r="1707" spans="1:30" ht="16.5" customHeight="1">
      <c r="A1707" s="318" t="str">
        <f>IF(B1707&lt;&gt;"",IF(AND(B1707='IN-TC'!$S$4,OR(TH!N1707="1111",TH!O1707="1111")),TH!D1707,""),"")</f>
        <v/>
      </c>
      <c r="B1707" s="60" t="str">
        <f t="shared" si="210"/>
        <v/>
      </c>
      <c r="C1707" s="989"/>
      <c r="D1707" s="989"/>
      <c r="E1707" s="989"/>
      <c r="F1707" s="990"/>
      <c r="G1707" s="991"/>
      <c r="H1707" s="1141"/>
      <c r="I1707" s="994"/>
      <c r="J1707" s="992"/>
      <c r="K1707" s="994"/>
      <c r="L1707" s="992"/>
      <c r="M1707" s="995"/>
      <c r="N1707" s="996"/>
      <c r="O1707" s="996"/>
      <c r="P1707" s="79" t="str">
        <f>IF(AND('331-CT'!$E$7=TH!H1707,OR(N1707="331",O1707="331")),"x","")</f>
        <v/>
      </c>
      <c r="Q1707" s="79" t="str">
        <f>IF(AND(B1707='111'!$L$11,OR($N1707=$Q$7,$O1707=$Q$7)),"x","")</f>
        <v/>
      </c>
      <c r="R1707" s="79" t="str">
        <f>IF(AND($N1707=$Q$7,$B1707&lt;'111'!$L$11),"x","")</f>
        <v/>
      </c>
      <c r="S1707" s="79" t="str">
        <f>IF(AND($O1707=$Q$7,$B1707&lt;'111'!$L$11),"x","")</f>
        <v/>
      </c>
      <c r="T1707" s="79" t="str">
        <f>IF(ISERROR(FIND('112'!$M$9,G1707,1)),"",IF((AND(FIND('112'!$M$9,G1707,1)&gt;=1,B1707='112'!$K$9,OR($N1707='112'!$I$6,$O1707='112'!$I$6))),"x",""))</f>
        <v/>
      </c>
      <c r="U1707" s="79" t="str">
        <f>IF(ISERROR(FIND('112'!$M$9,G1707,1)),"",IF((AND(LEFT(G1707,2)=LEFT('112'!$M$9,2),B1707&lt;'112'!$K$9,$N1707='112'!$I$6)),"x",""))</f>
        <v/>
      </c>
      <c r="V1707" s="79" t="str">
        <f>IF(ISERROR(FIND('112'!$M$9,G1707,1)),"",IF((AND(RIGHT(G1707,2)=RIGHT('112'!$M$9,2),B1707&lt;'112'!$K$9,$O1707='112'!$I$6)),"x",""))</f>
        <v/>
      </c>
      <c r="W1707" s="79" t="str">
        <f>IF(AND('341-CT'!$H$9=H1707,OR(LEFT(N1707,3)=$W$7,LEFT(O1707,3)=$W$7)),"x","")</f>
        <v/>
      </c>
      <c r="X1707" s="79" t="str">
        <f>IF(OR(TH!N1707=TH!$X$7,O1707=TH!$X$7),"x","")</f>
        <v/>
      </c>
      <c r="Y1707" s="79" t="str">
        <f>IF(AND(OR(N1707="131",O1707="131"),H1707='131-CT'!$H$9),"x","")</f>
        <v/>
      </c>
      <c r="Z1707" s="79"/>
      <c r="AA1707" s="79" t="str">
        <f>IF(AND(MONTH(E1707)='IN-NX'!$J$5,'IN-NX'!$D$7=D1707),"x","")</f>
        <v/>
      </c>
      <c r="AB1707" s="79" t="str">
        <f>IF(AND(OR(LEFT(TH!N1707,2)="15",LEFT(TH!O1707,2)="15"),LEFT(TH!O1707,3)&lt;&gt;"111",'152-CT'!$J$8=TH!F1707),"x","")</f>
        <v/>
      </c>
      <c r="AC1707" s="79" t="str">
        <f>IF(AND(OR(LEFT(TH!N1707,2)="15",LEFT(TH!O1707,2)="15"),TK!$E$7=TH!F1707),"x","")</f>
        <v/>
      </c>
      <c r="AD1707" s="79" t="str">
        <f>IF(AND(N1707="1521",MONTH(C1707)='BK-NL'!$M$11),"x","")</f>
        <v/>
      </c>
    </row>
    <row r="1708" spans="1:30" ht="16.5" customHeight="1">
      <c r="A1708" s="318" t="str">
        <f>IF(B1708&lt;&gt;"",IF(AND(B1708='IN-TC'!$S$4,OR(TH!N1708="1111",TH!O1708="1111")),TH!D1708,""),"")</f>
        <v/>
      </c>
      <c r="B1708" s="60" t="str">
        <f t="shared" si="210"/>
        <v/>
      </c>
      <c r="C1708" s="989"/>
      <c r="D1708" s="989"/>
      <c r="E1708" s="989"/>
      <c r="F1708" s="990"/>
      <c r="G1708" s="991"/>
      <c r="H1708" s="1141"/>
      <c r="I1708" s="994"/>
      <c r="J1708" s="992"/>
      <c r="K1708" s="994"/>
      <c r="L1708" s="992"/>
      <c r="M1708" s="995"/>
      <c r="N1708" s="996"/>
      <c r="O1708" s="996"/>
      <c r="P1708" s="79" t="str">
        <f>IF(AND('331-CT'!$E$7=TH!H1708,OR(N1708="331",O1708="331")),"x","")</f>
        <v/>
      </c>
      <c r="Q1708" s="79" t="str">
        <f>IF(AND(B1708='111'!$L$11,OR($N1708=$Q$7,$O1708=$Q$7)),"x","")</f>
        <v/>
      </c>
      <c r="R1708" s="79" t="str">
        <f>IF(AND($N1708=$Q$7,$B1708&lt;'111'!$L$11),"x","")</f>
        <v/>
      </c>
      <c r="S1708" s="79" t="str">
        <f>IF(AND($O1708=$Q$7,$B1708&lt;'111'!$L$11),"x","")</f>
        <v/>
      </c>
      <c r="T1708" s="79" t="str">
        <f>IF(ISERROR(FIND('112'!$M$9,G1708,1)),"",IF((AND(FIND('112'!$M$9,G1708,1)&gt;=1,B1708='112'!$K$9,OR($N1708='112'!$I$6,$O1708='112'!$I$6))),"x",""))</f>
        <v/>
      </c>
      <c r="U1708" s="79" t="str">
        <f>IF(ISERROR(FIND('112'!$M$9,G1708,1)),"",IF((AND(LEFT(G1708,2)=LEFT('112'!$M$9,2),B1708&lt;'112'!$K$9,$N1708='112'!$I$6)),"x",""))</f>
        <v/>
      </c>
      <c r="V1708" s="79" t="str">
        <f>IF(ISERROR(FIND('112'!$M$9,G1708,1)),"",IF((AND(RIGHT(G1708,2)=RIGHT('112'!$M$9,2),B1708&lt;'112'!$K$9,$O1708='112'!$I$6)),"x",""))</f>
        <v/>
      </c>
      <c r="W1708" s="79" t="str">
        <f>IF(AND('341-CT'!$H$9=H1708,OR(LEFT(N1708,3)=$W$7,LEFT(O1708,3)=$W$7)),"x","")</f>
        <v/>
      </c>
      <c r="X1708" s="79" t="str">
        <f>IF(OR(TH!N1708=TH!$X$7,O1708=TH!$X$7),"x","")</f>
        <v/>
      </c>
      <c r="Y1708" s="79" t="str">
        <f>IF(AND(OR(N1708="131",O1708="131"),H1708='131-CT'!$H$9),"x","")</f>
        <v/>
      </c>
      <c r="Z1708" s="79"/>
      <c r="AA1708" s="79" t="str">
        <f>IF(AND(MONTH(E1708)='IN-NX'!$J$5,'IN-NX'!$D$7=D1708),"x","")</f>
        <v/>
      </c>
      <c r="AB1708" s="79" t="str">
        <f>IF(AND(OR(LEFT(TH!N1708,2)="15",LEFT(TH!O1708,2)="15"),LEFT(TH!O1708,3)&lt;&gt;"111",'152-CT'!$J$8=TH!F1708),"x","")</f>
        <v/>
      </c>
      <c r="AC1708" s="79" t="str">
        <f>IF(AND(OR(LEFT(TH!N1708,2)="15",LEFT(TH!O1708,2)="15"),TK!$E$7=TH!F1708),"x","")</f>
        <v/>
      </c>
      <c r="AD1708" s="79" t="str">
        <f>IF(AND(N1708="1521",MONTH(C1708)='BK-NL'!$M$11),"x","")</f>
        <v/>
      </c>
    </row>
    <row r="1709" spans="1:30" ht="16.5" customHeight="1">
      <c r="A1709" s="318" t="str">
        <f>IF(B1709&lt;&gt;"",IF(AND(B1709='IN-TC'!$S$4,OR(TH!N1709="1111",TH!O1709="1111")),TH!D1709,""),"")</f>
        <v/>
      </c>
      <c r="B1709" s="60" t="str">
        <f t="shared" si="210"/>
        <v/>
      </c>
      <c r="C1709" s="989"/>
      <c r="D1709" s="989"/>
      <c r="E1709" s="989"/>
      <c r="F1709" s="921"/>
      <c r="G1709" s="991"/>
      <c r="H1709" s="1011"/>
      <c r="I1709" s="994"/>
      <c r="J1709" s="992"/>
      <c r="K1709" s="994"/>
      <c r="L1709" s="992"/>
      <c r="M1709" s="995"/>
      <c r="N1709" s="996"/>
      <c r="O1709" s="996"/>
      <c r="P1709" s="79" t="str">
        <f>IF(AND('331-CT'!$E$7=TH!H1709,OR(N1709="331",O1709="331")),"x","")</f>
        <v/>
      </c>
      <c r="Q1709" s="79" t="str">
        <f>IF(AND(B1709='111'!$L$11,OR($N1709=$Q$7,$O1709=$Q$7)),"x","")</f>
        <v/>
      </c>
      <c r="R1709" s="79" t="str">
        <f>IF(AND($N1709=$Q$7,$B1709&lt;'111'!$L$11),"x","")</f>
        <v/>
      </c>
      <c r="S1709" s="79" t="str">
        <f>IF(AND($O1709=$Q$7,$B1709&lt;'111'!$L$11),"x","")</f>
        <v/>
      </c>
      <c r="T1709" s="79" t="str">
        <f>IF(ISERROR(FIND('112'!$M$9,G1709,1)),"",IF((AND(FIND('112'!$M$9,G1709,1)&gt;=1,B1709='112'!$K$9,OR($N1709='112'!$I$6,$O1709='112'!$I$6))),"x",""))</f>
        <v/>
      </c>
      <c r="U1709" s="79" t="str">
        <f>IF(ISERROR(FIND('112'!$M$9,G1709,1)),"",IF((AND(LEFT(G1709,2)=LEFT('112'!$M$9,2),B1709&lt;'112'!$K$9,$N1709='112'!$I$6)),"x",""))</f>
        <v/>
      </c>
      <c r="V1709" s="79" t="str">
        <f>IF(ISERROR(FIND('112'!$M$9,G1709,1)),"",IF((AND(RIGHT(G1709,2)=RIGHT('112'!$M$9,2),B1709&lt;'112'!$K$9,$O1709='112'!$I$6)),"x",""))</f>
        <v/>
      </c>
      <c r="W1709" s="79" t="str">
        <f>IF(AND('341-CT'!$H$9=H1709,OR(LEFT(N1709,3)=$W$7,LEFT(O1709,3)=$W$7)),"x","")</f>
        <v/>
      </c>
      <c r="X1709" s="79" t="str">
        <f>IF(OR(TH!N1709=TH!$X$7,O1709=TH!$X$7),"x","")</f>
        <v/>
      </c>
      <c r="Y1709" s="79" t="str">
        <f>IF(AND(OR(N1709="131",O1709="131"),H1709='131-CT'!$H$9),"x","")</f>
        <v/>
      </c>
      <c r="Z1709" s="79"/>
      <c r="AA1709" s="79" t="str">
        <f>IF(AND(MONTH(E1709)='IN-NX'!$J$5,'IN-NX'!$D$7=D1709),"x","")</f>
        <v/>
      </c>
      <c r="AB1709" s="79" t="str">
        <f>IF(AND(OR(LEFT(TH!N1709,2)="15",LEFT(TH!O1709,2)="15"),LEFT(TH!O1709,3)&lt;&gt;"111",'152-CT'!$J$8=TH!F1709),"x","")</f>
        <v/>
      </c>
      <c r="AC1709" s="79" t="str">
        <f>IF(AND(OR(LEFT(TH!N1709,2)="15",LEFT(TH!O1709,2)="15"),TK!$E$7=TH!F1709),"x","")</f>
        <v/>
      </c>
      <c r="AD1709" s="79" t="str">
        <f>IF(AND(N1709="1521",MONTH(C1709)='BK-NL'!$M$11),"x","")</f>
        <v/>
      </c>
    </row>
    <row r="1710" spans="1:30" ht="16.5" customHeight="1">
      <c r="A1710" s="318" t="str">
        <f>IF(B1710&lt;&gt;"",IF(AND(B1710='IN-TC'!$S$4,OR(TH!N1710="1111",TH!O1710="1111")),TH!D1710,""),"")</f>
        <v/>
      </c>
      <c r="B1710" s="60" t="str">
        <f t="shared" si="210"/>
        <v/>
      </c>
      <c r="C1710" s="989"/>
      <c r="D1710" s="989"/>
      <c r="E1710" s="989"/>
      <c r="F1710" s="921"/>
      <c r="G1710" s="991"/>
      <c r="H1710" s="1011"/>
      <c r="I1710" s="994"/>
      <c r="J1710" s="992"/>
      <c r="K1710" s="994"/>
      <c r="L1710" s="992"/>
      <c r="M1710" s="995"/>
      <c r="N1710" s="996"/>
      <c r="O1710" s="996"/>
      <c r="P1710" s="79" t="str">
        <f>IF(AND('331-CT'!$E$7=TH!H1710,OR(N1710="331",O1710="331")),"x","")</f>
        <v/>
      </c>
      <c r="Q1710" s="79" t="str">
        <f>IF(AND(B1710='111'!$L$11,OR($N1710=$Q$7,$O1710=$Q$7)),"x","")</f>
        <v/>
      </c>
      <c r="R1710" s="79" t="str">
        <f>IF(AND($N1710=$Q$7,$B1710&lt;'111'!$L$11),"x","")</f>
        <v/>
      </c>
      <c r="S1710" s="79" t="str">
        <f>IF(AND($O1710=$Q$7,$B1710&lt;'111'!$L$11),"x","")</f>
        <v/>
      </c>
      <c r="T1710" s="79" t="str">
        <f>IF(ISERROR(FIND('112'!$M$9,G1710,1)),"",IF((AND(FIND('112'!$M$9,G1710,1)&gt;=1,B1710='112'!$K$9,OR($N1710='112'!$I$6,$O1710='112'!$I$6))),"x",""))</f>
        <v/>
      </c>
      <c r="U1710" s="79" t="str">
        <f>IF(ISERROR(FIND('112'!$M$9,G1710,1)),"",IF((AND(LEFT(G1710,2)=LEFT('112'!$M$9,2),B1710&lt;'112'!$K$9,$N1710='112'!$I$6)),"x",""))</f>
        <v/>
      </c>
      <c r="V1710" s="79" t="str">
        <f>IF(ISERROR(FIND('112'!$M$9,G1710,1)),"",IF((AND(RIGHT(G1710,2)=RIGHT('112'!$M$9,2),B1710&lt;'112'!$K$9,$O1710='112'!$I$6)),"x",""))</f>
        <v/>
      </c>
      <c r="W1710" s="79" t="str">
        <f>IF(AND('341-CT'!$H$9=H1710,OR(LEFT(N1710,3)=$W$7,LEFT(O1710,3)=$W$7)),"x","")</f>
        <v/>
      </c>
      <c r="X1710" s="79" t="str">
        <f>IF(OR(TH!N1710=TH!$X$7,O1710=TH!$X$7),"x","")</f>
        <v/>
      </c>
      <c r="Y1710" s="79" t="str">
        <f>IF(AND(OR(N1710="131",O1710="131"),H1710='131-CT'!$H$9),"x","")</f>
        <v/>
      </c>
      <c r="Z1710" s="79"/>
      <c r="AA1710" s="79" t="str">
        <f>IF(AND(MONTH(E1710)='IN-NX'!$J$5,'IN-NX'!$D$7=D1710),"x","")</f>
        <v/>
      </c>
      <c r="AB1710" s="79" t="str">
        <f>IF(AND(OR(LEFT(TH!N1710,2)="15",LEFT(TH!O1710,2)="15"),LEFT(TH!O1710,3)&lt;&gt;"111",'152-CT'!$J$8=TH!F1710),"x","")</f>
        <v/>
      </c>
      <c r="AC1710" s="79" t="str">
        <f>IF(AND(OR(LEFT(TH!N1710,2)="15",LEFT(TH!O1710,2)="15"),TK!$E$7=TH!F1710),"x","")</f>
        <v/>
      </c>
      <c r="AD1710" s="79" t="str">
        <f>IF(AND(N1710="1521",MONTH(C1710)='BK-NL'!$M$11),"x","")</f>
        <v/>
      </c>
    </row>
    <row r="1711" spans="1:30" ht="16.5" customHeight="1">
      <c r="A1711" s="318" t="str">
        <f>IF(B1711&lt;&gt;"",IF(AND(B1711='IN-TC'!$S$4,OR(TH!N1711="1111",TH!O1711="1111")),TH!D1711,""),"")</f>
        <v/>
      </c>
      <c r="B1711" s="60" t="str">
        <f t="shared" si="210"/>
        <v/>
      </c>
      <c r="C1711" s="989"/>
      <c r="D1711" s="989"/>
      <c r="E1711" s="989"/>
      <c r="F1711" s="921"/>
      <c r="G1711" s="991"/>
      <c r="H1711" s="1011"/>
      <c r="I1711" s="994"/>
      <c r="J1711" s="992"/>
      <c r="K1711" s="994"/>
      <c r="L1711" s="992"/>
      <c r="M1711" s="995"/>
      <c r="N1711" s="996"/>
      <c r="O1711" s="996"/>
      <c r="P1711" s="79" t="str">
        <f>IF(AND('331-CT'!$E$7=TH!H1711,OR(N1711="331",O1711="331")),"x","")</f>
        <v/>
      </c>
      <c r="Q1711" s="79" t="str">
        <f>IF(AND(B1711='111'!$L$11,OR($N1711=$Q$7,$O1711=$Q$7)),"x","")</f>
        <v/>
      </c>
      <c r="R1711" s="79" t="str">
        <f>IF(AND($N1711=$Q$7,$B1711&lt;'111'!$L$11),"x","")</f>
        <v/>
      </c>
      <c r="S1711" s="79" t="str">
        <f>IF(AND($O1711=$Q$7,$B1711&lt;'111'!$L$11),"x","")</f>
        <v/>
      </c>
      <c r="T1711" s="79" t="str">
        <f>IF(ISERROR(FIND('112'!$M$9,G1711,1)),"",IF((AND(FIND('112'!$M$9,G1711,1)&gt;=1,B1711='112'!$K$9,OR($N1711='112'!$I$6,$O1711='112'!$I$6))),"x",""))</f>
        <v/>
      </c>
      <c r="U1711" s="79" t="str">
        <f>IF(ISERROR(FIND('112'!$M$9,G1711,1)),"",IF((AND(LEFT(G1711,2)=LEFT('112'!$M$9,2),B1711&lt;'112'!$K$9,$N1711='112'!$I$6)),"x",""))</f>
        <v/>
      </c>
      <c r="V1711" s="79" t="str">
        <f>IF(ISERROR(FIND('112'!$M$9,G1711,1)),"",IF((AND(RIGHT(G1711,2)=RIGHT('112'!$M$9,2),B1711&lt;'112'!$K$9,$O1711='112'!$I$6)),"x",""))</f>
        <v/>
      </c>
      <c r="W1711" s="79" t="str">
        <f>IF(AND('341-CT'!$H$9=H1711,OR(LEFT(N1711,3)=$W$7,LEFT(O1711,3)=$W$7)),"x","")</f>
        <v/>
      </c>
      <c r="X1711" s="79" t="str">
        <f>IF(OR(TH!N1711=TH!$X$7,O1711=TH!$X$7),"x","")</f>
        <v/>
      </c>
      <c r="Y1711" s="79" t="str">
        <f>IF(AND(OR(N1711="131",O1711="131"),H1711='131-CT'!$H$9),"x","")</f>
        <v/>
      </c>
      <c r="Z1711" s="79"/>
      <c r="AA1711" s="79" t="str">
        <f>IF(AND(MONTH(E1711)='IN-NX'!$J$5,'IN-NX'!$D$7=D1711),"x","")</f>
        <v/>
      </c>
      <c r="AB1711" s="79" t="str">
        <f>IF(AND(OR(LEFT(TH!N1711,2)="15",LEFT(TH!O1711,2)="15"),LEFT(TH!O1711,3)&lt;&gt;"111",'152-CT'!$J$8=TH!F1711),"x","")</f>
        <v/>
      </c>
      <c r="AC1711" s="79" t="str">
        <f>IF(AND(OR(LEFT(TH!N1711,2)="15",LEFT(TH!O1711,2)="15"),TK!$E$7=TH!F1711),"x","")</f>
        <v/>
      </c>
      <c r="AD1711" s="79" t="str">
        <f>IF(AND(N1711="1521",MONTH(C1711)='BK-NL'!$M$11),"x","")</f>
        <v/>
      </c>
    </row>
    <row r="1712" spans="1:30" ht="16.5" customHeight="1">
      <c r="A1712" s="318" t="str">
        <f>IF(B1712&lt;&gt;"",IF(AND(B1712='IN-TC'!$S$4,OR(TH!N1712="1111",TH!O1712="1111")),TH!D1712,""),"")</f>
        <v/>
      </c>
      <c r="B1712" s="60" t="str">
        <f t="shared" si="210"/>
        <v/>
      </c>
      <c r="C1712" s="989"/>
      <c r="D1712" s="989"/>
      <c r="E1712" s="989"/>
      <c r="F1712" s="921"/>
      <c r="G1712" s="991"/>
      <c r="H1712" s="1011"/>
      <c r="I1712" s="994"/>
      <c r="J1712" s="992"/>
      <c r="K1712" s="994"/>
      <c r="L1712" s="992"/>
      <c r="M1712" s="995"/>
      <c r="N1712" s="996"/>
      <c r="O1712" s="996"/>
      <c r="P1712" s="79" t="str">
        <f>IF(AND('331-CT'!$E$7=TH!H1712,OR(N1712="331",O1712="331")),"x","")</f>
        <v/>
      </c>
      <c r="Q1712" s="79" t="str">
        <f>IF(AND(B1712='111'!$L$11,OR($N1712=$Q$7,$O1712=$Q$7)),"x","")</f>
        <v/>
      </c>
      <c r="R1712" s="79" t="str">
        <f>IF(AND($N1712=$Q$7,$B1712&lt;'111'!$L$11),"x","")</f>
        <v/>
      </c>
      <c r="S1712" s="79" t="str">
        <f>IF(AND($O1712=$Q$7,$B1712&lt;'111'!$L$11),"x","")</f>
        <v/>
      </c>
      <c r="T1712" s="79" t="str">
        <f>IF(ISERROR(FIND('112'!$M$9,G1712,1)),"",IF((AND(FIND('112'!$M$9,G1712,1)&gt;=1,B1712='112'!$K$9,OR($N1712='112'!$I$6,$O1712='112'!$I$6))),"x",""))</f>
        <v/>
      </c>
      <c r="U1712" s="79" t="str">
        <f>IF(ISERROR(FIND('112'!$M$9,G1712,1)),"",IF((AND(LEFT(G1712,2)=LEFT('112'!$M$9,2),B1712&lt;'112'!$K$9,$N1712='112'!$I$6)),"x",""))</f>
        <v/>
      </c>
      <c r="V1712" s="79" t="str">
        <f>IF(ISERROR(FIND('112'!$M$9,G1712,1)),"",IF((AND(RIGHT(G1712,2)=RIGHT('112'!$M$9,2),B1712&lt;'112'!$K$9,$O1712='112'!$I$6)),"x",""))</f>
        <v/>
      </c>
      <c r="W1712" s="79" t="str">
        <f>IF(AND('341-CT'!$H$9=H1712,OR(LEFT(N1712,3)=$W$7,LEFT(O1712,3)=$W$7)),"x","")</f>
        <v/>
      </c>
      <c r="X1712" s="79" t="str">
        <f>IF(OR(TH!N1712=TH!$X$7,O1712=TH!$X$7),"x","")</f>
        <v/>
      </c>
      <c r="Y1712" s="79" t="str">
        <f>IF(AND(OR(N1712="131",O1712="131"),H1712='131-CT'!$H$9),"x","")</f>
        <v/>
      </c>
      <c r="Z1712" s="79"/>
      <c r="AA1712" s="79" t="str">
        <f>IF(AND(MONTH(E1712)='IN-NX'!$J$5,'IN-NX'!$D$7=D1712),"x","")</f>
        <v/>
      </c>
      <c r="AB1712" s="79" t="str">
        <f>IF(AND(OR(LEFT(TH!N1712,2)="15",LEFT(TH!O1712,2)="15"),LEFT(TH!O1712,3)&lt;&gt;"111",'152-CT'!$J$8=TH!F1712),"x","")</f>
        <v/>
      </c>
      <c r="AC1712" s="79" t="str">
        <f>IF(AND(OR(LEFT(TH!N1712,2)="15",LEFT(TH!O1712,2)="15"),TK!$E$7=TH!F1712),"x","")</f>
        <v/>
      </c>
      <c r="AD1712" s="79" t="str">
        <f>IF(AND(N1712="1521",MONTH(C1712)='BK-NL'!$M$11),"x","")</f>
        <v/>
      </c>
    </row>
    <row r="1713" spans="1:30" ht="16.5" customHeight="1">
      <c r="A1713" s="318" t="str">
        <f>IF(B1713&lt;&gt;"",IF(AND(B1713='IN-TC'!$S$4,OR(TH!N1713="1111",TH!O1713="1111")),TH!D1713,""),"")</f>
        <v/>
      </c>
      <c r="B1713" s="60" t="str">
        <f t="shared" si="210"/>
        <v/>
      </c>
      <c r="C1713" s="989"/>
      <c r="D1713" s="989"/>
      <c r="E1713" s="989"/>
      <c r="F1713" s="990"/>
      <c r="G1713" s="991"/>
      <c r="H1713" s="1141"/>
      <c r="I1713" s="994"/>
      <c r="J1713" s="992"/>
      <c r="K1713" s="994"/>
      <c r="L1713" s="992"/>
      <c r="M1713" s="995"/>
      <c r="N1713" s="996"/>
      <c r="O1713" s="996"/>
      <c r="P1713" s="79" t="str">
        <f>IF(AND('331-CT'!$E$7=TH!H1713,OR(N1713="331",O1713="331")),"x","")</f>
        <v/>
      </c>
      <c r="Q1713" s="79" t="str">
        <f>IF(AND(B1713='111'!$L$11,OR($N1713=$Q$7,$O1713=$Q$7)),"x","")</f>
        <v/>
      </c>
      <c r="R1713" s="79" t="str">
        <f>IF(AND($N1713=$Q$7,$B1713&lt;'111'!$L$11),"x","")</f>
        <v/>
      </c>
      <c r="S1713" s="79" t="str">
        <f>IF(AND($O1713=$Q$7,$B1713&lt;'111'!$L$11),"x","")</f>
        <v/>
      </c>
      <c r="T1713" s="79" t="str">
        <f>IF(ISERROR(FIND('112'!$M$9,G1713,1)),"",IF((AND(FIND('112'!$M$9,G1713,1)&gt;=1,B1713='112'!$K$9,OR($N1713='112'!$I$6,$O1713='112'!$I$6))),"x",""))</f>
        <v/>
      </c>
      <c r="U1713" s="79" t="str">
        <f>IF(ISERROR(FIND('112'!$M$9,G1713,1)),"",IF((AND(LEFT(G1713,2)=LEFT('112'!$M$9,2),B1713&lt;'112'!$K$9,$N1713='112'!$I$6)),"x",""))</f>
        <v/>
      </c>
      <c r="V1713" s="79" t="str">
        <f>IF(ISERROR(FIND('112'!$M$9,G1713,1)),"",IF((AND(RIGHT(G1713,2)=RIGHT('112'!$M$9,2),B1713&lt;'112'!$K$9,$O1713='112'!$I$6)),"x",""))</f>
        <v/>
      </c>
      <c r="W1713" s="79" t="str">
        <f>IF(AND('341-CT'!$H$9=H1713,OR(LEFT(N1713,3)=$W$7,LEFT(O1713,3)=$W$7)),"x","")</f>
        <v/>
      </c>
      <c r="X1713" s="79" t="str">
        <f>IF(OR(TH!N1713=TH!$X$7,O1713=TH!$X$7),"x","")</f>
        <v/>
      </c>
      <c r="Y1713" s="79" t="str">
        <f>IF(AND(OR(N1713="131",O1713="131"),H1713='131-CT'!$H$9),"x","")</f>
        <v/>
      </c>
      <c r="Z1713" s="79"/>
      <c r="AA1713" s="79" t="str">
        <f>IF(AND(MONTH(E1713)='IN-NX'!$J$5,'IN-NX'!$D$7=D1713),"x","")</f>
        <v/>
      </c>
      <c r="AB1713" s="79" t="str">
        <f>IF(AND(OR(LEFT(TH!N1713,2)="15",LEFT(TH!O1713,2)="15"),LEFT(TH!O1713,3)&lt;&gt;"111",'152-CT'!$J$8=TH!F1713),"x","")</f>
        <v/>
      </c>
      <c r="AC1713" s="79" t="str">
        <f>IF(AND(OR(LEFT(TH!N1713,2)="15",LEFT(TH!O1713,2)="15"),TK!$E$7=TH!F1713),"x","")</f>
        <v/>
      </c>
      <c r="AD1713" s="79" t="str">
        <f>IF(AND(N1713="1521",MONTH(C1713)='BK-NL'!$M$11),"x","")</f>
        <v/>
      </c>
    </row>
    <row r="1714" spans="1:30" ht="16.5" customHeight="1">
      <c r="A1714" s="318" t="str">
        <f>IF(B1714&lt;&gt;"",IF(AND(B1714='IN-TC'!$S$4,OR(TH!N1714="1111",TH!O1714="1111")),TH!D1714,""),"")</f>
        <v/>
      </c>
      <c r="B1714" s="60" t="str">
        <f t="shared" si="210"/>
        <v/>
      </c>
      <c r="C1714" s="989"/>
      <c r="D1714" s="989"/>
      <c r="E1714" s="989"/>
      <c r="F1714" s="990"/>
      <c r="G1714" s="991"/>
      <c r="H1714" s="1141"/>
      <c r="I1714" s="994"/>
      <c r="J1714" s="992"/>
      <c r="K1714" s="994"/>
      <c r="L1714" s="992"/>
      <c r="M1714" s="995"/>
      <c r="N1714" s="996"/>
      <c r="O1714" s="996"/>
      <c r="P1714" s="79" t="str">
        <f>IF(AND('331-CT'!$E$7=TH!H1714,OR(N1714="331",O1714="331")),"x","")</f>
        <v/>
      </c>
      <c r="Q1714" s="79" t="str">
        <f>IF(AND(B1714='111'!$L$11,OR($N1714=$Q$7,$O1714=$Q$7)),"x","")</f>
        <v/>
      </c>
      <c r="R1714" s="79" t="str">
        <f>IF(AND($N1714=$Q$7,$B1714&lt;'111'!$L$11),"x","")</f>
        <v/>
      </c>
      <c r="S1714" s="79" t="str">
        <f>IF(AND($O1714=$Q$7,$B1714&lt;'111'!$L$11),"x","")</f>
        <v/>
      </c>
      <c r="T1714" s="79" t="str">
        <f>IF(ISERROR(FIND('112'!$M$9,G1714,1)),"",IF((AND(FIND('112'!$M$9,G1714,1)&gt;=1,B1714='112'!$K$9,OR($N1714='112'!$I$6,$O1714='112'!$I$6))),"x",""))</f>
        <v/>
      </c>
      <c r="U1714" s="79" t="str">
        <f>IF(ISERROR(FIND('112'!$M$9,G1714,1)),"",IF((AND(LEFT(G1714,2)=LEFT('112'!$M$9,2),B1714&lt;'112'!$K$9,$N1714='112'!$I$6)),"x",""))</f>
        <v/>
      </c>
      <c r="V1714" s="79" t="str">
        <f>IF(ISERROR(FIND('112'!$M$9,G1714,1)),"",IF((AND(RIGHT(G1714,2)=RIGHT('112'!$M$9,2),B1714&lt;'112'!$K$9,$O1714='112'!$I$6)),"x",""))</f>
        <v/>
      </c>
      <c r="W1714" s="79" t="str">
        <f>IF(AND('341-CT'!$H$9=H1714,OR(LEFT(N1714,3)=$W$7,LEFT(O1714,3)=$W$7)),"x","")</f>
        <v/>
      </c>
      <c r="X1714" s="79" t="str">
        <f>IF(OR(TH!N1714=TH!$X$7,O1714=TH!$X$7),"x","")</f>
        <v/>
      </c>
      <c r="Y1714" s="79" t="str">
        <f>IF(AND(OR(N1714="131",O1714="131"),H1714='131-CT'!$H$9),"x","")</f>
        <v/>
      </c>
      <c r="Z1714" s="79"/>
      <c r="AA1714" s="79" t="str">
        <f>IF(AND(MONTH(E1714)='IN-NX'!$J$5,'IN-NX'!$D$7=D1714),"x","")</f>
        <v/>
      </c>
      <c r="AB1714" s="79" t="str">
        <f>IF(AND(OR(LEFT(TH!N1714,2)="15",LEFT(TH!O1714,2)="15"),LEFT(TH!O1714,3)&lt;&gt;"111",'152-CT'!$J$8=TH!F1714),"x","")</f>
        <v/>
      </c>
      <c r="AC1714" s="79" t="str">
        <f>IF(AND(OR(LEFT(TH!N1714,2)="15",LEFT(TH!O1714,2)="15"),TK!$E$7=TH!F1714),"x","")</f>
        <v/>
      </c>
      <c r="AD1714" s="79" t="str">
        <f>IF(AND(N1714="1521",MONTH(C1714)='BK-NL'!$M$11),"x","")</f>
        <v/>
      </c>
    </row>
    <row r="1715" spans="1:30" ht="16.5" customHeight="1">
      <c r="A1715" s="318" t="str">
        <f>IF(B1715&lt;&gt;"",IF(AND(B1715='IN-TC'!$S$4,OR(TH!N1715="1111",TH!O1715="1111")),TH!D1715,""),"")</f>
        <v/>
      </c>
      <c r="B1715" s="60" t="str">
        <f t="shared" ref="B1715:B1840" si="211">IF(C1715&lt;&gt;"",MONTH(C1715),"")</f>
        <v/>
      </c>
      <c r="C1715" s="989"/>
      <c r="D1715" s="989"/>
      <c r="E1715" s="989"/>
      <c r="F1715" s="921"/>
      <c r="G1715" s="991"/>
      <c r="H1715" s="1011"/>
      <c r="I1715" s="994"/>
      <c r="J1715" s="992"/>
      <c r="K1715" s="994"/>
      <c r="L1715" s="992"/>
      <c r="M1715" s="995"/>
      <c r="N1715" s="996"/>
      <c r="O1715" s="996"/>
      <c r="P1715" s="79" t="str">
        <f>IF(AND('331-CT'!$E$7=TH!H1715,OR(N1715="331",O1715="331")),"x","")</f>
        <v/>
      </c>
      <c r="Q1715" s="79" t="str">
        <f>IF(AND(B1715='111'!$L$11,OR($N1715=$Q$7,$O1715=$Q$7)),"x","")</f>
        <v/>
      </c>
      <c r="R1715" s="79" t="str">
        <f>IF(AND($N1715=$Q$7,$B1715&lt;'111'!$L$11),"x","")</f>
        <v/>
      </c>
      <c r="S1715" s="79" t="str">
        <f>IF(AND($O1715=$Q$7,$B1715&lt;'111'!$L$11),"x","")</f>
        <v/>
      </c>
      <c r="T1715" s="79" t="str">
        <f>IF(ISERROR(FIND('112'!$M$9,G1715,1)),"",IF((AND(FIND('112'!$M$9,G1715,1)&gt;=1,B1715='112'!$K$9,OR($N1715='112'!$I$6,$O1715='112'!$I$6))),"x",""))</f>
        <v/>
      </c>
      <c r="U1715" s="79" t="str">
        <f>IF(ISERROR(FIND('112'!$M$9,G1715,1)),"",IF((AND(LEFT(G1715,2)=LEFT('112'!$M$9,2),B1715&lt;'112'!$K$9,$N1715='112'!$I$6)),"x",""))</f>
        <v/>
      </c>
      <c r="V1715" s="79" t="str">
        <f>IF(ISERROR(FIND('112'!$M$9,G1715,1)),"",IF((AND(RIGHT(G1715,2)=RIGHT('112'!$M$9,2),B1715&lt;'112'!$K$9,$O1715='112'!$I$6)),"x",""))</f>
        <v/>
      </c>
      <c r="W1715" s="79" t="str">
        <f>IF(AND('341-CT'!$H$9=H1715,OR(LEFT(N1715,3)=$W$7,LEFT(O1715,3)=$W$7)),"x","")</f>
        <v/>
      </c>
      <c r="X1715" s="79" t="str">
        <f>IF(OR(TH!N1715=TH!$X$7,O1715=TH!$X$7),"x","")</f>
        <v/>
      </c>
      <c r="Y1715" s="79" t="str">
        <f>IF(AND(OR(N1715="131",O1715="131"),H1715='131-CT'!$H$9),"x","")</f>
        <v/>
      </c>
      <c r="Z1715" s="79"/>
      <c r="AA1715" s="79" t="str">
        <f>IF(AND(MONTH(E1715)='IN-NX'!$J$5,'IN-NX'!$D$7=D1715),"x","")</f>
        <v/>
      </c>
      <c r="AB1715" s="79" t="str">
        <f>IF(AND(OR(LEFT(TH!N1715,2)="15",LEFT(TH!O1715,2)="15"),LEFT(TH!O1715,3)&lt;&gt;"111",'152-CT'!$J$8=TH!F1715),"x","")</f>
        <v/>
      </c>
      <c r="AC1715" s="79" t="str">
        <f>IF(AND(OR(LEFT(TH!N1715,2)="15",LEFT(TH!O1715,2)="15"),TK!$E$7=TH!F1715),"x","")</f>
        <v/>
      </c>
      <c r="AD1715" s="79" t="str">
        <f>IF(AND(N1715="1521",MONTH(C1715)='BK-NL'!$M$11),"x","")</f>
        <v/>
      </c>
    </row>
    <row r="1716" spans="1:30" ht="16.5" customHeight="1">
      <c r="A1716" s="318" t="str">
        <f>IF(B1716&lt;&gt;"",IF(AND(B1716='IN-TC'!$S$4,OR(TH!N1716="1111",TH!O1716="1111")),TH!D1716,""),"")</f>
        <v/>
      </c>
      <c r="B1716" s="60" t="str">
        <f t="shared" si="211"/>
        <v/>
      </c>
      <c r="C1716" s="989"/>
      <c r="D1716" s="989"/>
      <c r="E1716" s="989"/>
      <c r="F1716" s="921"/>
      <c r="G1716" s="991"/>
      <c r="H1716" s="1011"/>
      <c r="I1716" s="994"/>
      <c r="J1716" s="992"/>
      <c r="K1716" s="994"/>
      <c r="L1716" s="992"/>
      <c r="M1716" s="995"/>
      <c r="N1716" s="996"/>
      <c r="O1716" s="996"/>
      <c r="P1716" s="79" t="str">
        <f>IF(AND('331-CT'!$E$7=TH!H1716,OR(N1716="331",O1716="331")),"x","")</f>
        <v/>
      </c>
      <c r="Q1716" s="79" t="str">
        <f>IF(AND(B1716='111'!$L$11,OR($N1716=$Q$7,$O1716=$Q$7)),"x","")</f>
        <v/>
      </c>
      <c r="R1716" s="79" t="str">
        <f>IF(AND($N1716=$Q$7,$B1716&lt;'111'!$L$11),"x","")</f>
        <v/>
      </c>
      <c r="S1716" s="79" t="str">
        <f>IF(AND($O1716=$Q$7,$B1716&lt;'111'!$L$11),"x","")</f>
        <v/>
      </c>
      <c r="T1716" s="79" t="str">
        <f>IF(ISERROR(FIND('112'!$M$9,G1716,1)),"",IF((AND(FIND('112'!$M$9,G1716,1)&gt;=1,B1716='112'!$K$9,OR($N1716='112'!$I$6,$O1716='112'!$I$6))),"x",""))</f>
        <v/>
      </c>
      <c r="U1716" s="79" t="str">
        <f>IF(ISERROR(FIND('112'!$M$9,G1716,1)),"",IF((AND(LEFT(G1716,2)=LEFT('112'!$M$9,2),B1716&lt;'112'!$K$9,$N1716='112'!$I$6)),"x",""))</f>
        <v/>
      </c>
      <c r="V1716" s="79" t="str">
        <f>IF(ISERROR(FIND('112'!$M$9,G1716,1)),"",IF((AND(RIGHT(G1716,2)=RIGHT('112'!$M$9,2),B1716&lt;'112'!$K$9,$O1716='112'!$I$6)),"x",""))</f>
        <v/>
      </c>
      <c r="W1716" s="79" t="str">
        <f>IF(AND('341-CT'!$H$9=H1716,OR(LEFT(N1716,3)=$W$7,LEFT(O1716,3)=$W$7)),"x","")</f>
        <v/>
      </c>
      <c r="X1716" s="79" t="str">
        <f>IF(OR(TH!N1716=TH!$X$7,O1716=TH!$X$7),"x","")</f>
        <v/>
      </c>
      <c r="Y1716" s="79" t="str">
        <f>IF(AND(OR(N1716="131",O1716="131"),H1716='131-CT'!$H$9),"x","")</f>
        <v/>
      </c>
      <c r="Z1716" s="79"/>
      <c r="AA1716" s="79" t="str">
        <f>IF(AND(MONTH(E1716)='IN-NX'!$J$5,'IN-NX'!$D$7=D1716),"x","")</f>
        <v/>
      </c>
      <c r="AB1716" s="79" t="str">
        <f>IF(AND(OR(LEFT(TH!N1716,2)="15",LEFT(TH!O1716,2)="15"),LEFT(TH!O1716,3)&lt;&gt;"111",'152-CT'!$J$8=TH!F1716),"x","")</f>
        <v/>
      </c>
      <c r="AC1716" s="79" t="str">
        <f>IF(AND(OR(LEFT(TH!N1716,2)="15",LEFT(TH!O1716,2)="15"),TK!$E$7=TH!F1716),"x","")</f>
        <v/>
      </c>
      <c r="AD1716" s="79" t="str">
        <f>IF(AND(N1716="1521",MONTH(C1716)='BK-NL'!$M$11),"x","")</f>
        <v/>
      </c>
    </row>
    <row r="1717" spans="1:30" ht="16.5" customHeight="1">
      <c r="A1717" s="318" t="str">
        <f>IF(B1717&lt;&gt;"",IF(AND(B1717='IN-TC'!$S$4,OR(TH!N1717="1111",TH!O1717="1111")),TH!D1717,""),"")</f>
        <v/>
      </c>
      <c r="B1717" s="60" t="str">
        <f t="shared" si="211"/>
        <v/>
      </c>
      <c r="C1717" s="989"/>
      <c r="D1717" s="989"/>
      <c r="E1717" s="989"/>
      <c r="F1717" s="921"/>
      <c r="G1717" s="991"/>
      <c r="H1717" s="1011"/>
      <c r="I1717" s="994"/>
      <c r="J1717" s="992"/>
      <c r="K1717" s="994"/>
      <c r="L1717" s="992"/>
      <c r="M1717" s="995"/>
      <c r="N1717" s="996"/>
      <c r="O1717" s="996"/>
      <c r="P1717" s="79" t="str">
        <f>IF(AND('331-CT'!$E$7=TH!H1717,OR(N1717="331",O1717="331")),"x","")</f>
        <v/>
      </c>
      <c r="Q1717" s="79" t="str">
        <f>IF(AND(B1717='111'!$L$11,OR($N1717=$Q$7,$O1717=$Q$7)),"x","")</f>
        <v/>
      </c>
      <c r="R1717" s="79" t="str">
        <f>IF(AND($N1717=$Q$7,$B1717&lt;'111'!$L$11),"x","")</f>
        <v/>
      </c>
      <c r="S1717" s="79" t="str">
        <f>IF(AND($O1717=$Q$7,$B1717&lt;'111'!$L$11),"x","")</f>
        <v/>
      </c>
      <c r="T1717" s="79" t="str">
        <f>IF(ISERROR(FIND('112'!$M$9,G1717,1)),"",IF((AND(FIND('112'!$M$9,G1717,1)&gt;=1,B1717='112'!$K$9,OR($N1717='112'!$I$6,$O1717='112'!$I$6))),"x",""))</f>
        <v/>
      </c>
      <c r="U1717" s="79" t="str">
        <f>IF(ISERROR(FIND('112'!$M$9,G1717,1)),"",IF((AND(LEFT(G1717,2)=LEFT('112'!$M$9,2),B1717&lt;'112'!$K$9,$N1717='112'!$I$6)),"x",""))</f>
        <v/>
      </c>
      <c r="V1717" s="79" t="str">
        <f>IF(ISERROR(FIND('112'!$M$9,G1717,1)),"",IF((AND(RIGHT(G1717,2)=RIGHT('112'!$M$9,2),B1717&lt;'112'!$K$9,$O1717='112'!$I$6)),"x",""))</f>
        <v/>
      </c>
      <c r="W1717" s="79" t="str">
        <f>IF(AND('341-CT'!$H$9=H1717,OR(LEFT(N1717,3)=$W$7,LEFT(O1717,3)=$W$7)),"x","")</f>
        <v/>
      </c>
      <c r="X1717" s="79" t="str">
        <f>IF(OR(TH!N1717=TH!$X$7,O1717=TH!$X$7),"x","")</f>
        <v/>
      </c>
      <c r="Y1717" s="79" t="str">
        <f>IF(AND(OR(N1717="131",O1717="131"),H1717='131-CT'!$H$9),"x","")</f>
        <v/>
      </c>
      <c r="Z1717" s="79"/>
      <c r="AA1717" s="79" t="str">
        <f>IF(AND(MONTH(E1717)='IN-NX'!$J$5,'IN-NX'!$D$7=D1717),"x","")</f>
        <v/>
      </c>
      <c r="AB1717" s="79" t="str">
        <f>IF(AND(OR(LEFT(TH!N1717,2)="15",LEFT(TH!O1717,2)="15"),LEFT(TH!O1717,3)&lt;&gt;"111",'152-CT'!$J$8=TH!F1717),"x","")</f>
        <v/>
      </c>
      <c r="AC1717" s="79" t="str">
        <f>IF(AND(OR(LEFT(TH!N1717,2)="15",LEFT(TH!O1717,2)="15"),TK!$E$7=TH!F1717),"x","")</f>
        <v/>
      </c>
      <c r="AD1717" s="79" t="str">
        <f>IF(AND(N1717="1521",MONTH(C1717)='BK-NL'!$M$11),"x","")</f>
        <v/>
      </c>
    </row>
    <row r="1718" spans="1:30" ht="16.5" customHeight="1">
      <c r="A1718" s="318" t="str">
        <f>IF(B1718&lt;&gt;"",IF(AND(B1718='IN-TC'!$S$4,OR(TH!N1718="1111",TH!O1718="1111")),TH!D1718,""),"")</f>
        <v/>
      </c>
      <c r="B1718" s="60" t="str">
        <f t="shared" si="211"/>
        <v/>
      </c>
      <c r="C1718" s="989"/>
      <c r="D1718" s="989"/>
      <c r="E1718" s="989"/>
      <c r="F1718" s="921"/>
      <c r="G1718" s="991"/>
      <c r="H1718" s="1011"/>
      <c r="I1718" s="994"/>
      <c r="J1718" s="992"/>
      <c r="K1718" s="994"/>
      <c r="L1718" s="992"/>
      <c r="M1718" s="995"/>
      <c r="N1718" s="996"/>
      <c r="O1718" s="996"/>
      <c r="P1718" s="79" t="str">
        <f>IF(AND('331-CT'!$E$7=TH!H1718,OR(N1718="331",O1718="331")),"x","")</f>
        <v/>
      </c>
      <c r="Q1718" s="79" t="str">
        <f>IF(AND(B1718='111'!$L$11,OR($N1718=$Q$7,$O1718=$Q$7)),"x","")</f>
        <v/>
      </c>
      <c r="R1718" s="79" t="str">
        <f>IF(AND($N1718=$Q$7,$B1718&lt;'111'!$L$11),"x","")</f>
        <v/>
      </c>
      <c r="S1718" s="79" t="str">
        <f>IF(AND($O1718=$Q$7,$B1718&lt;'111'!$L$11),"x","")</f>
        <v/>
      </c>
      <c r="T1718" s="79" t="str">
        <f>IF(ISERROR(FIND('112'!$M$9,G1718,1)),"",IF((AND(FIND('112'!$M$9,G1718,1)&gt;=1,B1718='112'!$K$9,OR($N1718='112'!$I$6,$O1718='112'!$I$6))),"x",""))</f>
        <v/>
      </c>
      <c r="U1718" s="79" t="str">
        <f>IF(ISERROR(FIND('112'!$M$9,G1718,1)),"",IF((AND(LEFT(G1718,2)=LEFT('112'!$M$9,2),B1718&lt;'112'!$K$9,$N1718='112'!$I$6)),"x",""))</f>
        <v/>
      </c>
      <c r="V1718" s="79" t="str">
        <f>IF(ISERROR(FIND('112'!$M$9,G1718,1)),"",IF((AND(RIGHT(G1718,2)=RIGHT('112'!$M$9,2),B1718&lt;'112'!$K$9,$O1718='112'!$I$6)),"x",""))</f>
        <v/>
      </c>
      <c r="W1718" s="79" t="str">
        <f>IF(AND('341-CT'!$H$9=H1718,OR(LEFT(N1718,3)=$W$7,LEFT(O1718,3)=$W$7)),"x","")</f>
        <v/>
      </c>
      <c r="X1718" s="79" t="str">
        <f>IF(OR(TH!N1718=TH!$X$7,O1718=TH!$X$7),"x","")</f>
        <v/>
      </c>
      <c r="Y1718" s="79" t="str">
        <f>IF(AND(OR(N1718="131",O1718="131"),H1718='131-CT'!$H$9),"x","")</f>
        <v/>
      </c>
      <c r="Z1718" s="79"/>
      <c r="AA1718" s="79" t="str">
        <f>IF(AND(MONTH(E1718)='IN-NX'!$J$5,'IN-NX'!$D$7=D1718),"x","")</f>
        <v/>
      </c>
      <c r="AB1718" s="79" t="str">
        <f>IF(AND(OR(LEFT(TH!N1718,2)="15",LEFT(TH!O1718,2)="15"),LEFT(TH!O1718,3)&lt;&gt;"111",'152-CT'!$J$8=TH!F1718),"x","")</f>
        <v/>
      </c>
      <c r="AC1718" s="79" t="str">
        <f>IF(AND(OR(LEFT(TH!N1718,2)="15",LEFT(TH!O1718,2)="15"),TK!$E$7=TH!F1718),"x","")</f>
        <v/>
      </c>
      <c r="AD1718" s="79" t="str">
        <f>IF(AND(N1718="1521",MONTH(C1718)='BK-NL'!$M$11),"x","")</f>
        <v/>
      </c>
    </row>
    <row r="1719" spans="1:30" ht="16.5" customHeight="1">
      <c r="A1719" s="318" t="str">
        <f>IF(B1719&lt;&gt;"",IF(AND(B1719='IN-TC'!$S$4,OR(TH!N1719="1111",TH!O1719="1111")),TH!D1719,""),"")</f>
        <v/>
      </c>
      <c r="B1719" s="60" t="str">
        <f t="shared" si="211"/>
        <v/>
      </c>
      <c r="C1719" s="989"/>
      <c r="D1719" s="989"/>
      <c r="E1719" s="989"/>
      <c r="F1719" s="921"/>
      <c r="G1719" s="991"/>
      <c r="H1719" s="1011"/>
      <c r="I1719" s="994"/>
      <c r="J1719" s="992"/>
      <c r="K1719" s="994"/>
      <c r="L1719" s="992"/>
      <c r="M1719" s="995"/>
      <c r="N1719" s="996"/>
      <c r="O1719" s="996"/>
      <c r="P1719" s="79" t="str">
        <f>IF(AND('331-CT'!$E$7=TH!H1719,OR(N1719="331",O1719="331")),"x","")</f>
        <v/>
      </c>
      <c r="Q1719" s="79" t="str">
        <f>IF(AND(B1719='111'!$L$11,OR($N1719=$Q$7,$O1719=$Q$7)),"x","")</f>
        <v/>
      </c>
      <c r="R1719" s="79" t="str">
        <f>IF(AND($N1719=$Q$7,$B1719&lt;'111'!$L$11),"x","")</f>
        <v/>
      </c>
      <c r="S1719" s="79" t="str">
        <f>IF(AND($O1719=$Q$7,$B1719&lt;'111'!$L$11),"x","")</f>
        <v/>
      </c>
      <c r="T1719" s="79" t="str">
        <f>IF(ISERROR(FIND('112'!$M$9,G1719,1)),"",IF((AND(FIND('112'!$M$9,G1719,1)&gt;=1,B1719='112'!$K$9,OR($N1719='112'!$I$6,$O1719='112'!$I$6))),"x",""))</f>
        <v/>
      </c>
      <c r="U1719" s="79" t="str">
        <f>IF(ISERROR(FIND('112'!$M$9,G1719,1)),"",IF((AND(LEFT(G1719,2)=LEFT('112'!$M$9,2),B1719&lt;'112'!$K$9,$N1719='112'!$I$6)),"x",""))</f>
        <v/>
      </c>
      <c r="V1719" s="79" t="str">
        <f>IF(ISERROR(FIND('112'!$M$9,G1719,1)),"",IF((AND(RIGHT(G1719,2)=RIGHT('112'!$M$9,2),B1719&lt;'112'!$K$9,$O1719='112'!$I$6)),"x",""))</f>
        <v/>
      </c>
      <c r="W1719" s="79" t="str">
        <f>IF(AND('341-CT'!$H$9=H1719,OR(LEFT(N1719,3)=$W$7,LEFT(O1719,3)=$W$7)),"x","")</f>
        <v/>
      </c>
      <c r="X1719" s="79" t="str">
        <f>IF(OR(TH!N1719=TH!$X$7,O1719=TH!$X$7),"x","")</f>
        <v/>
      </c>
      <c r="Y1719" s="79" t="str">
        <f>IF(AND(OR(N1719="131",O1719="131"),H1719='131-CT'!$H$9),"x","")</f>
        <v/>
      </c>
      <c r="Z1719" s="79"/>
      <c r="AA1719" s="79" t="str">
        <f>IF(AND(MONTH(E1719)='IN-NX'!$J$5,'IN-NX'!$D$7=D1719),"x","")</f>
        <v/>
      </c>
      <c r="AB1719" s="79" t="str">
        <f>IF(AND(OR(LEFT(TH!N1719,2)="15",LEFT(TH!O1719,2)="15"),LEFT(TH!O1719,3)&lt;&gt;"111",'152-CT'!$J$8=TH!F1719),"x","")</f>
        <v/>
      </c>
      <c r="AC1719" s="79" t="str">
        <f>IF(AND(OR(LEFT(TH!N1719,2)="15",LEFT(TH!O1719,2)="15"),TK!$E$7=TH!F1719),"x","")</f>
        <v/>
      </c>
      <c r="AD1719" s="79" t="str">
        <f>IF(AND(N1719="1521",MONTH(C1719)='BK-NL'!$M$11),"x","")</f>
        <v/>
      </c>
    </row>
    <row r="1720" spans="1:30" ht="16.5" customHeight="1">
      <c r="A1720" s="318" t="str">
        <f>IF(B1720&lt;&gt;"",IF(AND(B1720='IN-TC'!$S$4,OR(TH!N1720="1111",TH!O1720="1111")),TH!D1720,""),"")</f>
        <v/>
      </c>
      <c r="B1720" s="60" t="str">
        <f t="shared" si="211"/>
        <v/>
      </c>
      <c r="C1720" s="989"/>
      <c r="D1720" s="989"/>
      <c r="E1720" s="989"/>
      <c r="F1720" s="921"/>
      <c r="G1720" s="991"/>
      <c r="H1720" s="1011"/>
      <c r="I1720" s="994"/>
      <c r="J1720" s="992"/>
      <c r="K1720" s="994"/>
      <c r="L1720" s="992"/>
      <c r="M1720" s="995"/>
      <c r="N1720" s="996"/>
      <c r="O1720" s="996"/>
      <c r="P1720" s="79" t="str">
        <f>IF(AND('331-CT'!$E$7=TH!H1720,OR(N1720="331",O1720="331")),"x","")</f>
        <v/>
      </c>
      <c r="Q1720" s="79" t="str">
        <f>IF(AND(B1720='111'!$L$11,OR($N1720=$Q$7,$O1720=$Q$7)),"x","")</f>
        <v/>
      </c>
      <c r="R1720" s="79" t="str">
        <f>IF(AND($N1720=$Q$7,$B1720&lt;'111'!$L$11),"x","")</f>
        <v/>
      </c>
      <c r="S1720" s="79" t="str">
        <f>IF(AND($O1720=$Q$7,$B1720&lt;'111'!$L$11),"x","")</f>
        <v/>
      </c>
      <c r="T1720" s="79" t="str">
        <f>IF(ISERROR(FIND('112'!$M$9,G1720,1)),"",IF((AND(FIND('112'!$M$9,G1720,1)&gt;=1,B1720='112'!$K$9,OR($N1720='112'!$I$6,$O1720='112'!$I$6))),"x",""))</f>
        <v/>
      </c>
      <c r="U1720" s="79" t="str">
        <f>IF(ISERROR(FIND('112'!$M$9,G1720,1)),"",IF((AND(LEFT(G1720,2)=LEFT('112'!$M$9,2),B1720&lt;'112'!$K$9,$N1720='112'!$I$6)),"x",""))</f>
        <v/>
      </c>
      <c r="V1720" s="79" t="str">
        <f>IF(ISERROR(FIND('112'!$M$9,G1720,1)),"",IF((AND(RIGHT(G1720,2)=RIGHT('112'!$M$9,2),B1720&lt;'112'!$K$9,$O1720='112'!$I$6)),"x",""))</f>
        <v/>
      </c>
      <c r="W1720" s="79" t="str">
        <f>IF(AND('341-CT'!$H$9=H1720,OR(LEFT(N1720,3)=$W$7,LEFT(O1720,3)=$W$7)),"x","")</f>
        <v/>
      </c>
      <c r="X1720" s="79" t="str">
        <f>IF(OR(TH!N1720=TH!$X$7,O1720=TH!$X$7),"x","")</f>
        <v/>
      </c>
      <c r="Y1720" s="79" t="str">
        <f>IF(AND(OR(N1720="131",O1720="131"),H1720='131-CT'!$H$9),"x","")</f>
        <v/>
      </c>
      <c r="Z1720" s="79"/>
      <c r="AA1720" s="79" t="str">
        <f>IF(AND(MONTH(E1720)='IN-NX'!$J$5,'IN-NX'!$D$7=D1720),"x","")</f>
        <v/>
      </c>
      <c r="AB1720" s="79" t="str">
        <f>IF(AND(OR(LEFT(TH!N1720,2)="15",LEFT(TH!O1720,2)="15"),LEFT(TH!O1720,3)&lt;&gt;"111",'152-CT'!$J$8=TH!F1720),"x","")</f>
        <v/>
      </c>
      <c r="AC1720" s="79" t="str">
        <f>IF(AND(OR(LEFT(TH!N1720,2)="15",LEFT(TH!O1720,2)="15"),TK!$E$7=TH!F1720),"x","")</f>
        <v/>
      </c>
      <c r="AD1720" s="79" t="str">
        <f>IF(AND(N1720="1521",MONTH(C1720)='BK-NL'!$M$11),"x","")</f>
        <v/>
      </c>
    </row>
    <row r="1721" spans="1:30" ht="16.5" customHeight="1">
      <c r="A1721" s="318" t="str">
        <f>IF(B1721&lt;&gt;"",IF(AND(B1721='IN-TC'!$S$4,OR(TH!N1721="1111",TH!O1721="1111")),TH!D1721,""),"")</f>
        <v/>
      </c>
      <c r="B1721" s="60" t="str">
        <f t="shared" si="211"/>
        <v/>
      </c>
      <c r="C1721" s="989"/>
      <c r="D1721" s="989"/>
      <c r="E1721" s="989"/>
      <c r="F1721" s="921"/>
      <c r="G1721" s="991"/>
      <c r="H1721" s="1011"/>
      <c r="I1721" s="994"/>
      <c r="J1721" s="992"/>
      <c r="K1721" s="994"/>
      <c r="L1721" s="992"/>
      <c r="M1721" s="995"/>
      <c r="N1721" s="996"/>
      <c r="O1721" s="996"/>
      <c r="P1721" s="79" t="str">
        <f>IF(AND('331-CT'!$E$7=TH!H1721,OR(N1721="331",O1721="331")),"x","")</f>
        <v/>
      </c>
      <c r="Q1721" s="79" t="str">
        <f>IF(AND(B1721='111'!$L$11,OR($N1721=$Q$7,$O1721=$Q$7)),"x","")</f>
        <v/>
      </c>
      <c r="R1721" s="79" t="str">
        <f>IF(AND($N1721=$Q$7,$B1721&lt;'111'!$L$11),"x","")</f>
        <v/>
      </c>
      <c r="S1721" s="79" t="str">
        <f>IF(AND($O1721=$Q$7,$B1721&lt;'111'!$L$11),"x","")</f>
        <v/>
      </c>
      <c r="T1721" s="79" t="str">
        <f>IF(ISERROR(FIND('112'!$M$9,G1721,1)),"",IF((AND(FIND('112'!$M$9,G1721,1)&gt;=1,B1721='112'!$K$9,OR($N1721='112'!$I$6,$O1721='112'!$I$6))),"x",""))</f>
        <v/>
      </c>
      <c r="U1721" s="79" t="str">
        <f>IF(ISERROR(FIND('112'!$M$9,G1721,1)),"",IF((AND(LEFT(G1721,2)=LEFT('112'!$M$9,2),B1721&lt;'112'!$K$9,$N1721='112'!$I$6)),"x",""))</f>
        <v/>
      </c>
      <c r="V1721" s="79" t="str">
        <f>IF(ISERROR(FIND('112'!$M$9,G1721,1)),"",IF((AND(RIGHT(G1721,2)=RIGHT('112'!$M$9,2),B1721&lt;'112'!$K$9,$O1721='112'!$I$6)),"x",""))</f>
        <v/>
      </c>
      <c r="W1721" s="79" t="str">
        <f>IF(AND('341-CT'!$H$9=H1721,OR(LEFT(N1721,3)=$W$7,LEFT(O1721,3)=$W$7)),"x","")</f>
        <v/>
      </c>
      <c r="X1721" s="79" t="str">
        <f>IF(OR(TH!N1721=TH!$X$7,O1721=TH!$X$7),"x","")</f>
        <v/>
      </c>
      <c r="Y1721" s="79" t="str">
        <f>IF(AND(OR(N1721="131",O1721="131"),H1721='131-CT'!$H$9),"x","")</f>
        <v/>
      </c>
      <c r="Z1721" s="79"/>
      <c r="AA1721" s="79" t="str">
        <f>IF(AND(MONTH(E1721)='IN-NX'!$J$5,'IN-NX'!$D$7=D1721),"x","")</f>
        <v/>
      </c>
      <c r="AB1721" s="79" t="str">
        <f>IF(AND(OR(LEFT(TH!N1721,2)="15",LEFT(TH!O1721,2)="15"),LEFT(TH!O1721,3)&lt;&gt;"111",'152-CT'!$J$8=TH!F1721),"x","")</f>
        <v/>
      </c>
      <c r="AC1721" s="79" t="str">
        <f>IF(AND(OR(LEFT(TH!N1721,2)="15",LEFT(TH!O1721,2)="15"),TK!$E$7=TH!F1721),"x","")</f>
        <v/>
      </c>
      <c r="AD1721" s="79" t="str">
        <f>IF(AND(N1721="1521",MONTH(C1721)='BK-NL'!$M$11),"x","")</f>
        <v/>
      </c>
    </row>
    <row r="1722" spans="1:30" ht="16.5" customHeight="1">
      <c r="A1722" s="318" t="str">
        <f>IF(B1722&lt;&gt;"",IF(AND(B1722='IN-TC'!$S$4,OR(TH!N1722="1111",TH!O1722="1111")),TH!D1722,""),"")</f>
        <v/>
      </c>
      <c r="B1722" s="60" t="str">
        <f t="shared" si="211"/>
        <v/>
      </c>
      <c r="C1722" s="989"/>
      <c r="D1722" s="989"/>
      <c r="E1722" s="989"/>
      <c r="F1722" s="921"/>
      <c r="G1722" s="991"/>
      <c r="H1722" s="1011"/>
      <c r="I1722" s="994"/>
      <c r="J1722" s="992"/>
      <c r="K1722" s="994"/>
      <c r="L1722" s="992"/>
      <c r="M1722" s="995"/>
      <c r="N1722" s="996"/>
      <c r="O1722" s="996"/>
      <c r="P1722" s="79" t="str">
        <f>IF(AND('331-CT'!$E$7=TH!H1722,OR(N1722="331",O1722="331")),"x","")</f>
        <v/>
      </c>
      <c r="Q1722" s="79" t="str">
        <f>IF(AND(B1722='111'!$L$11,OR($N1722=$Q$7,$O1722=$Q$7)),"x","")</f>
        <v/>
      </c>
      <c r="R1722" s="79" t="str">
        <f>IF(AND($N1722=$Q$7,$B1722&lt;'111'!$L$11),"x","")</f>
        <v/>
      </c>
      <c r="S1722" s="79" t="str">
        <f>IF(AND($O1722=$Q$7,$B1722&lt;'111'!$L$11),"x","")</f>
        <v/>
      </c>
      <c r="T1722" s="79" t="str">
        <f>IF(ISERROR(FIND('112'!$M$9,G1722,1)),"",IF((AND(FIND('112'!$M$9,G1722,1)&gt;=1,B1722='112'!$K$9,OR($N1722='112'!$I$6,$O1722='112'!$I$6))),"x",""))</f>
        <v/>
      </c>
      <c r="U1722" s="79" t="str">
        <f>IF(ISERROR(FIND('112'!$M$9,G1722,1)),"",IF((AND(LEFT(G1722,2)=LEFT('112'!$M$9,2),B1722&lt;'112'!$K$9,$N1722='112'!$I$6)),"x",""))</f>
        <v/>
      </c>
      <c r="V1722" s="79" t="str">
        <f>IF(ISERROR(FIND('112'!$M$9,G1722,1)),"",IF((AND(RIGHT(G1722,2)=RIGHT('112'!$M$9,2),B1722&lt;'112'!$K$9,$O1722='112'!$I$6)),"x",""))</f>
        <v/>
      </c>
      <c r="W1722" s="79" t="str">
        <f>IF(AND('341-CT'!$H$9=H1722,OR(LEFT(N1722,3)=$W$7,LEFT(O1722,3)=$W$7)),"x","")</f>
        <v/>
      </c>
      <c r="X1722" s="79" t="str">
        <f>IF(OR(TH!N1722=TH!$X$7,O1722=TH!$X$7),"x","")</f>
        <v/>
      </c>
      <c r="Y1722" s="79" t="str">
        <f>IF(AND(OR(N1722="131",O1722="131"),H1722='131-CT'!$H$9),"x","")</f>
        <v/>
      </c>
      <c r="Z1722" s="79"/>
      <c r="AA1722" s="79" t="str">
        <f>IF(AND(MONTH(E1722)='IN-NX'!$J$5,'IN-NX'!$D$7=D1722),"x","")</f>
        <v/>
      </c>
      <c r="AB1722" s="79" t="str">
        <f>IF(AND(OR(LEFT(TH!N1722,2)="15",LEFT(TH!O1722,2)="15"),LEFT(TH!O1722,3)&lt;&gt;"111",'152-CT'!$J$8=TH!F1722),"x","")</f>
        <v/>
      </c>
      <c r="AC1722" s="79" t="str">
        <f>IF(AND(OR(LEFT(TH!N1722,2)="15",LEFT(TH!O1722,2)="15"),TK!$E$7=TH!F1722),"x","")</f>
        <v/>
      </c>
      <c r="AD1722" s="79" t="str">
        <f>IF(AND(N1722="1521",MONTH(C1722)='BK-NL'!$M$11),"x","")</f>
        <v/>
      </c>
    </row>
    <row r="1723" spans="1:30" ht="16.5" customHeight="1">
      <c r="A1723" s="318" t="str">
        <f>IF(B1723&lt;&gt;"",IF(AND(B1723='IN-TC'!$S$4,OR(TH!N1723="1111",TH!O1723="1111")),TH!D1723,""),"")</f>
        <v/>
      </c>
      <c r="B1723" s="60" t="str">
        <f t="shared" si="211"/>
        <v/>
      </c>
      <c r="C1723" s="989"/>
      <c r="D1723" s="989"/>
      <c r="E1723" s="989"/>
      <c r="F1723" s="921"/>
      <c r="G1723" s="991"/>
      <c r="H1723" s="1011"/>
      <c r="I1723" s="994"/>
      <c r="J1723" s="992"/>
      <c r="K1723" s="994"/>
      <c r="L1723" s="992"/>
      <c r="M1723" s="995"/>
      <c r="N1723" s="996"/>
      <c r="O1723" s="996"/>
      <c r="P1723" s="79" t="str">
        <f>IF(AND('331-CT'!$E$7=TH!H1723,OR(N1723="331",O1723="331")),"x","")</f>
        <v/>
      </c>
      <c r="Q1723" s="79" t="str">
        <f>IF(AND(B1723='111'!$L$11,OR($N1723=$Q$7,$O1723=$Q$7)),"x","")</f>
        <v/>
      </c>
      <c r="R1723" s="79" t="str">
        <f>IF(AND($N1723=$Q$7,$B1723&lt;'111'!$L$11),"x","")</f>
        <v/>
      </c>
      <c r="S1723" s="79" t="str">
        <f>IF(AND($O1723=$Q$7,$B1723&lt;'111'!$L$11),"x","")</f>
        <v/>
      </c>
      <c r="T1723" s="79" t="str">
        <f>IF(ISERROR(FIND('112'!$M$9,G1723,1)),"",IF((AND(FIND('112'!$M$9,G1723,1)&gt;=1,B1723='112'!$K$9,OR($N1723='112'!$I$6,$O1723='112'!$I$6))),"x",""))</f>
        <v/>
      </c>
      <c r="U1723" s="79" t="str">
        <f>IF(ISERROR(FIND('112'!$M$9,G1723,1)),"",IF((AND(LEFT(G1723,2)=LEFT('112'!$M$9,2),B1723&lt;'112'!$K$9,$N1723='112'!$I$6)),"x",""))</f>
        <v/>
      </c>
      <c r="V1723" s="79" t="str">
        <f>IF(ISERROR(FIND('112'!$M$9,G1723,1)),"",IF((AND(RIGHT(G1723,2)=RIGHT('112'!$M$9,2),B1723&lt;'112'!$K$9,$O1723='112'!$I$6)),"x",""))</f>
        <v/>
      </c>
      <c r="W1723" s="79" t="str">
        <f>IF(AND('341-CT'!$H$9=H1723,OR(LEFT(N1723,3)=$W$7,LEFT(O1723,3)=$W$7)),"x","")</f>
        <v/>
      </c>
      <c r="X1723" s="79" t="str">
        <f>IF(OR(TH!N1723=TH!$X$7,O1723=TH!$X$7),"x","")</f>
        <v/>
      </c>
      <c r="Y1723" s="79" t="str">
        <f>IF(AND(OR(N1723="131",O1723="131"),H1723='131-CT'!$H$9),"x","")</f>
        <v/>
      </c>
      <c r="Z1723" s="79"/>
      <c r="AA1723" s="79" t="str">
        <f>IF(AND(MONTH(E1723)='IN-NX'!$J$5,'IN-NX'!$D$7=D1723),"x","")</f>
        <v/>
      </c>
      <c r="AB1723" s="79" t="str">
        <f>IF(AND(OR(LEFT(TH!N1723,2)="15",LEFT(TH!O1723,2)="15"),LEFT(TH!O1723,3)&lt;&gt;"111",'152-CT'!$J$8=TH!F1723),"x","")</f>
        <v/>
      </c>
      <c r="AC1723" s="79" t="str">
        <f>IF(AND(OR(LEFT(TH!N1723,2)="15",LEFT(TH!O1723,2)="15"),TK!$E$7=TH!F1723),"x","")</f>
        <v/>
      </c>
      <c r="AD1723" s="79" t="str">
        <f>IF(AND(N1723="1521",MONTH(C1723)='BK-NL'!$M$11),"x","")</f>
        <v/>
      </c>
    </row>
    <row r="1724" spans="1:30" ht="16.5" customHeight="1">
      <c r="A1724" s="318" t="str">
        <f>IF(B1724&lt;&gt;"",IF(AND(B1724='IN-TC'!$S$4,OR(TH!N1724="1111",TH!O1724="1111")),TH!D1724,""),"")</f>
        <v/>
      </c>
      <c r="B1724" s="60" t="str">
        <f t="shared" si="211"/>
        <v/>
      </c>
      <c r="C1724" s="989"/>
      <c r="D1724" s="989"/>
      <c r="E1724" s="989"/>
      <c r="F1724" s="921"/>
      <c r="G1724" s="991"/>
      <c r="H1724" s="1011"/>
      <c r="I1724" s="994"/>
      <c r="J1724" s="992"/>
      <c r="K1724" s="994"/>
      <c r="L1724" s="992"/>
      <c r="M1724" s="995"/>
      <c r="N1724" s="996"/>
      <c r="O1724" s="996"/>
      <c r="P1724" s="79" t="str">
        <f>IF(AND('331-CT'!$E$7=TH!H1724,OR(N1724="331",O1724="331")),"x","")</f>
        <v/>
      </c>
      <c r="Q1724" s="79" t="str">
        <f>IF(AND(B1724='111'!$L$11,OR($N1724=$Q$7,$O1724=$Q$7)),"x","")</f>
        <v/>
      </c>
      <c r="R1724" s="79" t="str">
        <f>IF(AND($N1724=$Q$7,$B1724&lt;'111'!$L$11),"x","")</f>
        <v/>
      </c>
      <c r="S1724" s="79" t="str">
        <f>IF(AND($O1724=$Q$7,$B1724&lt;'111'!$L$11),"x","")</f>
        <v/>
      </c>
      <c r="T1724" s="79" t="str">
        <f>IF(ISERROR(FIND('112'!$M$9,G1724,1)),"",IF((AND(FIND('112'!$M$9,G1724,1)&gt;=1,B1724='112'!$K$9,OR($N1724='112'!$I$6,$O1724='112'!$I$6))),"x",""))</f>
        <v/>
      </c>
      <c r="U1724" s="79" t="str">
        <f>IF(ISERROR(FIND('112'!$M$9,G1724,1)),"",IF((AND(LEFT(G1724,2)=LEFT('112'!$M$9,2),B1724&lt;'112'!$K$9,$N1724='112'!$I$6)),"x",""))</f>
        <v/>
      </c>
      <c r="V1724" s="79" t="str">
        <f>IF(ISERROR(FIND('112'!$M$9,G1724,1)),"",IF((AND(RIGHT(G1724,2)=RIGHT('112'!$M$9,2),B1724&lt;'112'!$K$9,$O1724='112'!$I$6)),"x",""))</f>
        <v/>
      </c>
      <c r="W1724" s="79" t="str">
        <f>IF(AND('341-CT'!$H$9=H1724,OR(LEFT(N1724,3)=$W$7,LEFT(O1724,3)=$W$7)),"x","")</f>
        <v/>
      </c>
      <c r="X1724" s="79" t="str">
        <f>IF(OR(TH!N1724=TH!$X$7,O1724=TH!$X$7),"x","")</f>
        <v/>
      </c>
      <c r="Y1724" s="79" t="str">
        <f>IF(AND(OR(N1724="131",O1724="131"),H1724='131-CT'!$H$9),"x","")</f>
        <v/>
      </c>
      <c r="Z1724" s="79"/>
      <c r="AA1724" s="79" t="str">
        <f>IF(AND(MONTH(E1724)='IN-NX'!$J$5,'IN-NX'!$D$7=D1724),"x","")</f>
        <v/>
      </c>
      <c r="AB1724" s="79" t="str">
        <f>IF(AND(OR(LEFT(TH!N1724,2)="15",LEFT(TH!O1724,2)="15"),LEFT(TH!O1724,3)&lt;&gt;"111",'152-CT'!$J$8=TH!F1724),"x","")</f>
        <v/>
      </c>
      <c r="AC1724" s="79" t="str">
        <f>IF(AND(OR(LEFT(TH!N1724,2)="15",LEFT(TH!O1724,2)="15"),TK!$E$7=TH!F1724),"x","")</f>
        <v/>
      </c>
      <c r="AD1724" s="79" t="str">
        <f>IF(AND(N1724="1521",MONTH(C1724)='BK-NL'!$M$11),"x","")</f>
        <v/>
      </c>
    </row>
    <row r="1725" spans="1:30" ht="16.5" customHeight="1">
      <c r="A1725" s="318" t="str">
        <f>IF(B1725&lt;&gt;"",IF(AND(B1725='IN-TC'!$S$4,OR(TH!N1725="1111",TH!O1725="1111")),TH!D1725,""),"")</f>
        <v/>
      </c>
      <c r="B1725" s="60" t="str">
        <f t="shared" si="211"/>
        <v/>
      </c>
      <c r="C1725" s="989"/>
      <c r="D1725" s="989"/>
      <c r="E1725" s="989"/>
      <c r="F1725" s="921"/>
      <c r="G1725" s="991"/>
      <c r="H1725" s="1011"/>
      <c r="I1725" s="994"/>
      <c r="J1725" s="992"/>
      <c r="K1725" s="994"/>
      <c r="L1725" s="992"/>
      <c r="M1725" s="995"/>
      <c r="N1725" s="996"/>
      <c r="O1725" s="996"/>
      <c r="P1725" s="79" t="str">
        <f>IF(AND('331-CT'!$E$7=TH!H1725,OR(N1725="331",O1725="331")),"x","")</f>
        <v/>
      </c>
      <c r="Q1725" s="79" t="str">
        <f>IF(AND(B1725='111'!$L$11,OR($N1725=$Q$7,$O1725=$Q$7)),"x","")</f>
        <v/>
      </c>
      <c r="R1725" s="79" t="str">
        <f>IF(AND($N1725=$Q$7,$B1725&lt;'111'!$L$11),"x","")</f>
        <v/>
      </c>
      <c r="S1725" s="79" t="str">
        <f>IF(AND($O1725=$Q$7,$B1725&lt;'111'!$L$11),"x","")</f>
        <v/>
      </c>
      <c r="T1725" s="79" t="str">
        <f>IF(ISERROR(FIND('112'!$M$9,G1725,1)),"",IF((AND(FIND('112'!$M$9,G1725,1)&gt;=1,B1725='112'!$K$9,OR($N1725='112'!$I$6,$O1725='112'!$I$6))),"x",""))</f>
        <v/>
      </c>
      <c r="U1725" s="79" t="str">
        <f>IF(ISERROR(FIND('112'!$M$9,G1725,1)),"",IF((AND(LEFT(G1725,2)=LEFT('112'!$M$9,2),B1725&lt;'112'!$K$9,$N1725='112'!$I$6)),"x",""))</f>
        <v/>
      </c>
      <c r="V1725" s="79" t="str">
        <f>IF(ISERROR(FIND('112'!$M$9,G1725,1)),"",IF((AND(RIGHT(G1725,2)=RIGHT('112'!$M$9,2),B1725&lt;'112'!$K$9,$O1725='112'!$I$6)),"x",""))</f>
        <v/>
      </c>
      <c r="W1725" s="79" t="str">
        <f>IF(AND('341-CT'!$H$9=H1725,OR(LEFT(N1725,3)=$W$7,LEFT(O1725,3)=$W$7)),"x","")</f>
        <v/>
      </c>
      <c r="X1725" s="79" t="str">
        <f>IF(OR(TH!N1725=TH!$X$7,O1725=TH!$X$7),"x","")</f>
        <v/>
      </c>
      <c r="Y1725" s="79" t="str">
        <f>IF(AND(OR(N1725="131",O1725="131"),H1725='131-CT'!$H$9),"x","")</f>
        <v/>
      </c>
      <c r="Z1725" s="79"/>
      <c r="AA1725" s="79" t="str">
        <f>IF(AND(MONTH(E1725)='IN-NX'!$J$5,'IN-NX'!$D$7=D1725),"x","")</f>
        <v/>
      </c>
      <c r="AB1725" s="79" t="str">
        <f>IF(AND(OR(LEFT(TH!N1725,2)="15",LEFT(TH!O1725,2)="15"),LEFT(TH!O1725,3)&lt;&gt;"111",'152-CT'!$J$8=TH!F1725),"x","")</f>
        <v/>
      </c>
      <c r="AC1725" s="79" t="str">
        <f>IF(AND(OR(LEFT(TH!N1725,2)="15",LEFT(TH!O1725,2)="15"),TK!$E$7=TH!F1725),"x","")</f>
        <v/>
      </c>
      <c r="AD1725" s="79" t="str">
        <f>IF(AND(N1725="1521",MONTH(C1725)='BK-NL'!$M$11),"x","")</f>
        <v/>
      </c>
    </row>
    <row r="1726" spans="1:30" ht="16.5" customHeight="1">
      <c r="A1726" s="318" t="str">
        <f>IF(B1726&lt;&gt;"",IF(AND(B1726='IN-TC'!$S$4,OR(TH!N1726="1111",TH!O1726="1111")),TH!D1726,""),"")</f>
        <v/>
      </c>
      <c r="B1726" s="60" t="str">
        <f t="shared" si="211"/>
        <v/>
      </c>
      <c r="C1726" s="989"/>
      <c r="D1726" s="989"/>
      <c r="E1726" s="989"/>
      <c r="F1726" s="921"/>
      <c r="G1726" s="991"/>
      <c r="H1726" s="1011"/>
      <c r="I1726" s="994"/>
      <c r="J1726" s="992"/>
      <c r="K1726" s="994"/>
      <c r="L1726" s="992"/>
      <c r="M1726" s="995"/>
      <c r="N1726" s="996"/>
      <c r="O1726" s="996"/>
      <c r="P1726" s="79" t="str">
        <f>IF(AND('331-CT'!$E$7=TH!H1726,OR(N1726="331",O1726="331")),"x","")</f>
        <v/>
      </c>
      <c r="Q1726" s="79" t="str">
        <f>IF(AND(B1726='111'!$L$11,OR($N1726=$Q$7,$O1726=$Q$7)),"x","")</f>
        <v/>
      </c>
      <c r="R1726" s="79" t="str">
        <f>IF(AND($N1726=$Q$7,$B1726&lt;'111'!$L$11),"x","")</f>
        <v/>
      </c>
      <c r="S1726" s="79" t="str">
        <f>IF(AND($O1726=$Q$7,$B1726&lt;'111'!$L$11),"x","")</f>
        <v/>
      </c>
      <c r="T1726" s="79" t="str">
        <f>IF(ISERROR(FIND('112'!$M$9,G1726,1)),"",IF((AND(FIND('112'!$M$9,G1726,1)&gt;=1,B1726='112'!$K$9,OR($N1726='112'!$I$6,$O1726='112'!$I$6))),"x",""))</f>
        <v/>
      </c>
      <c r="U1726" s="79" t="str">
        <f>IF(ISERROR(FIND('112'!$M$9,G1726,1)),"",IF((AND(LEFT(G1726,2)=LEFT('112'!$M$9,2),B1726&lt;'112'!$K$9,$N1726='112'!$I$6)),"x",""))</f>
        <v/>
      </c>
      <c r="V1726" s="79" t="str">
        <f>IF(ISERROR(FIND('112'!$M$9,G1726,1)),"",IF((AND(RIGHT(G1726,2)=RIGHT('112'!$M$9,2),B1726&lt;'112'!$K$9,$O1726='112'!$I$6)),"x",""))</f>
        <v/>
      </c>
      <c r="W1726" s="79" t="str">
        <f>IF(AND('341-CT'!$H$9=H1726,OR(LEFT(N1726,3)=$W$7,LEFT(O1726,3)=$W$7)),"x","")</f>
        <v/>
      </c>
      <c r="X1726" s="79" t="str">
        <f>IF(OR(TH!N1726=TH!$X$7,O1726=TH!$X$7),"x","")</f>
        <v/>
      </c>
      <c r="Y1726" s="79" t="str">
        <f>IF(AND(OR(N1726="131",O1726="131"),H1726='131-CT'!$H$9),"x","")</f>
        <v/>
      </c>
      <c r="Z1726" s="79"/>
      <c r="AA1726" s="79" t="str">
        <f>IF(AND(MONTH(E1726)='IN-NX'!$J$5,'IN-NX'!$D$7=D1726),"x","")</f>
        <v/>
      </c>
      <c r="AB1726" s="79" t="str">
        <f>IF(AND(OR(LEFT(TH!N1726,2)="15",LEFT(TH!O1726,2)="15"),LEFT(TH!O1726,3)&lt;&gt;"111",'152-CT'!$J$8=TH!F1726),"x","")</f>
        <v/>
      </c>
      <c r="AC1726" s="79" t="str">
        <f>IF(AND(OR(LEFT(TH!N1726,2)="15",LEFT(TH!O1726,2)="15"),TK!$E$7=TH!F1726),"x","")</f>
        <v/>
      </c>
      <c r="AD1726" s="79" t="str">
        <f>IF(AND(N1726="1521",MONTH(C1726)='BK-NL'!$M$11),"x","")</f>
        <v/>
      </c>
    </row>
    <row r="1727" spans="1:30" ht="16.5" customHeight="1">
      <c r="A1727" s="318" t="str">
        <f>IF(B1727&lt;&gt;"",IF(AND(B1727='IN-TC'!$S$4,OR(TH!N1727="1111",TH!O1727="1111")),TH!D1727,""),"")</f>
        <v/>
      </c>
      <c r="B1727" s="60" t="str">
        <f t="shared" si="211"/>
        <v/>
      </c>
      <c r="C1727" s="989"/>
      <c r="D1727" s="989"/>
      <c r="E1727" s="989"/>
      <c r="F1727" s="990"/>
      <c r="G1727" s="991"/>
      <c r="H1727" s="1141"/>
      <c r="I1727" s="994"/>
      <c r="J1727" s="992"/>
      <c r="K1727" s="994"/>
      <c r="L1727" s="992"/>
      <c r="M1727" s="995"/>
      <c r="N1727" s="996"/>
      <c r="O1727" s="996"/>
      <c r="P1727" s="79" t="str">
        <f>IF(AND('331-CT'!$E$7=TH!H1727,OR(N1727="331",O1727="331")),"x","")</f>
        <v/>
      </c>
      <c r="Q1727" s="79" t="str">
        <f>IF(AND(B1727='111'!$L$11,OR($N1727=$Q$7,$O1727=$Q$7)),"x","")</f>
        <v/>
      </c>
      <c r="R1727" s="79" t="str">
        <f>IF(AND($N1727=$Q$7,$B1727&lt;'111'!$L$11),"x","")</f>
        <v/>
      </c>
      <c r="S1727" s="79" t="str">
        <f>IF(AND($O1727=$Q$7,$B1727&lt;'111'!$L$11),"x","")</f>
        <v/>
      </c>
      <c r="T1727" s="79" t="str">
        <f>IF(ISERROR(FIND('112'!$M$9,G1727,1)),"",IF((AND(FIND('112'!$M$9,G1727,1)&gt;=1,B1727='112'!$K$9,OR($N1727='112'!$I$6,$O1727='112'!$I$6))),"x",""))</f>
        <v/>
      </c>
      <c r="U1727" s="79" t="str">
        <f>IF(ISERROR(FIND('112'!$M$9,G1727,1)),"",IF((AND(LEFT(G1727,2)=LEFT('112'!$M$9,2),B1727&lt;'112'!$K$9,$N1727='112'!$I$6)),"x",""))</f>
        <v/>
      </c>
      <c r="V1727" s="79" t="str">
        <f>IF(ISERROR(FIND('112'!$M$9,G1727,1)),"",IF((AND(RIGHT(G1727,2)=RIGHT('112'!$M$9,2),B1727&lt;'112'!$K$9,$O1727='112'!$I$6)),"x",""))</f>
        <v/>
      </c>
      <c r="W1727" s="79" t="str">
        <f>IF(AND('341-CT'!$H$9=H1727,OR(LEFT(N1727,3)=$W$7,LEFT(O1727,3)=$W$7)),"x","")</f>
        <v/>
      </c>
      <c r="X1727" s="79" t="str">
        <f>IF(OR(TH!N1727=TH!$X$7,O1727=TH!$X$7),"x","")</f>
        <v/>
      </c>
      <c r="Y1727" s="79" t="str">
        <f>IF(AND(OR(N1727="131",O1727="131"),H1727='131-CT'!$H$9),"x","")</f>
        <v/>
      </c>
      <c r="Z1727" s="79"/>
      <c r="AA1727" s="79" t="str">
        <f>IF(AND(MONTH(E1727)='IN-NX'!$J$5,'IN-NX'!$D$7=D1727),"x","")</f>
        <v/>
      </c>
      <c r="AB1727" s="79" t="str">
        <f>IF(AND(OR(LEFT(TH!N1727,2)="15",LEFT(TH!O1727,2)="15"),LEFT(TH!O1727,3)&lt;&gt;"111",'152-CT'!$J$8=TH!F1727),"x","")</f>
        <v/>
      </c>
      <c r="AC1727" s="79" t="str">
        <f>IF(AND(OR(LEFT(TH!N1727,2)="15",LEFT(TH!O1727,2)="15"),TK!$E$7=TH!F1727),"x","")</f>
        <v/>
      </c>
      <c r="AD1727" s="79" t="str">
        <f>IF(AND(N1727="1521",MONTH(C1727)='BK-NL'!$M$11),"x","")</f>
        <v/>
      </c>
    </row>
    <row r="1728" spans="1:30" ht="16.5" customHeight="1">
      <c r="A1728" s="318" t="str">
        <f>IF(B1728&lt;&gt;"",IF(AND(B1728='IN-TC'!$S$4,OR(TH!N1728="1111",TH!O1728="1111")),TH!D1728,""),"")</f>
        <v/>
      </c>
      <c r="B1728" s="60" t="str">
        <f t="shared" si="211"/>
        <v/>
      </c>
      <c r="C1728" s="989"/>
      <c r="D1728" s="989"/>
      <c r="E1728" s="989"/>
      <c r="F1728" s="990"/>
      <c r="G1728" s="991"/>
      <c r="H1728" s="1141"/>
      <c r="I1728" s="994"/>
      <c r="J1728" s="992"/>
      <c r="K1728" s="994"/>
      <c r="L1728" s="992"/>
      <c r="M1728" s="995"/>
      <c r="N1728" s="996"/>
      <c r="O1728" s="996"/>
      <c r="P1728" s="79" t="str">
        <f>IF(AND('331-CT'!$E$7=TH!H1728,OR(N1728="331",O1728="331")),"x","")</f>
        <v/>
      </c>
      <c r="Q1728" s="79" t="str">
        <f>IF(AND(B1728='111'!$L$11,OR($N1728=$Q$7,$O1728=$Q$7)),"x","")</f>
        <v/>
      </c>
      <c r="R1728" s="79" t="str">
        <f>IF(AND($N1728=$Q$7,$B1728&lt;'111'!$L$11),"x","")</f>
        <v/>
      </c>
      <c r="S1728" s="79" t="str">
        <f>IF(AND($O1728=$Q$7,$B1728&lt;'111'!$L$11),"x","")</f>
        <v/>
      </c>
      <c r="T1728" s="79" t="str">
        <f>IF(ISERROR(FIND('112'!$M$9,G1728,1)),"",IF((AND(FIND('112'!$M$9,G1728,1)&gt;=1,B1728='112'!$K$9,OR($N1728='112'!$I$6,$O1728='112'!$I$6))),"x",""))</f>
        <v/>
      </c>
      <c r="U1728" s="79" t="str">
        <f>IF(ISERROR(FIND('112'!$M$9,G1728,1)),"",IF((AND(LEFT(G1728,2)=LEFT('112'!$M$9,2),B1728&lt;'112'!$K$9,$N1728='112'!$I$6)),"x",""))</f>
        <v/>
      </c>
      <c r="V1728" s="79" t="str">
        <f>IF(ISERROR(FIND('112'!$M$9,G1728,1)),"",IF((AND(RIGHT(G1728,2)=RIGHT('112'!$M$9,2),B1728&lt;'112'!$K$9,$O1728='112'!$I$6)),"x",""))</f>
        <v/>
      </c>
      <c r="W1728" s="79" t="str">
        <f>IF(AND('341-CT'!$H$9=H1728,OR(LEFT(N1728,3)=$W$7,LEFT(O1728,3)=$W$7)),"x","")</f>
        <v/>
      </c>
      <c r="X1728" s="79" t="str">
        <f>IF(OR(TH!N1728=TH!$X$7,O1728=TH!$X$7),"x","")</f>
        <v/>
      </c>
      <c r="Y1728" s="79" t="str">
        <f>IF(AND(OR(N1728="131",O1728="131"),H1728='131-CT'!$H$9),"x","")</f>
        <v/>
      </c>
      <c r="Z1728" s="79"/>
      <c r="AA1728" s="79" t="str">
        <f>IF(AND(MONTH(E1728)='IN-NX'!$J$5,'IN-NX'!$D$7=D1728),"x","")</f>
        <v/>
      </c>
      <c r="AB1728" s="79" t="str">
        <f>IF(AND(OR(LEFT(TH!N1728,2)="15",LEFT(TH!O1728,2)="15"),LEFT(TH!O1728,3)&lt;&gt;"111",'152-CT'!$J$8=TH!F1728),"x","")</f>
        <v/>
      </c>
      <c r="AC1728" s="79" t="str">
        <f>IF(AND(OR(LEFT(TH!N1728,2)="15",LEFT(TH!O1728,2)="15"),TK!$E$7=TH!F1728),"x","")</f>
        <v/>
      </c>
      <c r="AD1728" s="79" t="str">
        <f>IF(AND(N1728="1521",MONTH(C1728)='BK-NL'!$M$11),"x","")</f>
        <v/>
      </c>
    </row>
    <row r="1729" spans="1:30" ht="16.5" customHeight="1">
      <c r="A1729" s="318" t="str">
        <f>IF(B1729&lt;&gt;"",IF(AND(B1729='IN-TC'!$S$4,OR(TH!N1729="1111",TH!O1729="1111")),TH!D1729,""),"")</f>
        <v/>
      </c>
      <c r="B1729" s="60" t="str">
        <f t="shared" si="211"/>
        <v/>
      </c>
      <c r="C1729" s="989"/>
      <c r="D1729" s="989"/>
      <c r="E1729" s="989"/>
      <c r="F1729" s="921"/>
      <c r="G1729" s="991"/>
      <c r="H1729" s="1011"/>
      <c r="I1729" s="994"/>
      <c r="J1729" s="992"/>
      <c r="K1729" s="994"/>
      <c r="L1729" s="992"/>
      <c r="M1729" s="995"/>
      <c r="N1729" s="996"/>
      <c r="O1729" s="996"/>
      <c r="P1729" s="79" t="str">
        <f>IF(AND('331-CT'!$E$7=TH!H1729,OR(N1729="331",O1729="331")),"x","")</f>
        <v/>
      </c>
      <c r="Q1729" s="79" t="str">
        <f>IF(AND(B1729='111'!$L$11,OR($N1729=$Q$7,$O1729=$Q$7)),"x","")</f>
        <v/>
      </c>
      <c r="R1729" s="79" t="str">
        <f>IF(AND($N1729=$Q$7,$B1729&lt;'111'!$L$11),"x","")</f>
        <v/>
      </c>
      <c r="S1729" s="79" t="str">
        <f>IF(AND($O1729=$Q$7,$B1729&lt;'111'!$L$11),"x","")</f>
        <v/>
      </c>
      <c r="T1729" s="79" t="str">
        <f>IF(ISERROR(FIND('112'!$M$9,G1729,1)),"",IF((AND(FIND('112'!$M$9,G1729,1)&gt;=1,B1729='112'!$K$9,OR($N1729='112'!$I$6,$O1729='112'!$I$6))),"x",""))</f>
        <v/>
      </c>
      <c r="U1729" s="79" t="str">
        <f>IF(ISERROR(FIND('112'!$M$9,G1729,1)),"",IF((AND(LEFT(G1729,2)=LEFT('112'!$M$9,2),B1729&lt;'112'!$K$9,$N1729='112'!$I$6)),"x",""))</f>
        <v/>
      </c>
      <c r="V1729" s="79" t="str">
        <f>IF(ISERROR(FIND('112'!$M$9,G1729,1)),"",IF((AND(RIGHT(G1729,2)=RIGHT('112'!$M$9,2),B1729&lt;'112'!$K$9,$O1729='112'!$I$6)),"x",""))</f>
        <v/>
      </c>
      <c r="W1729" s="79" t="str">
        <f>IF(AND('341-CT'!$H$9=H1729,OR(LEFT(N1729,3)=$W$7,LEFT(O1729,3)=$W$7)),"x","")</f>
        <v/>
      </c>
      <c r="X1729" s="79" t="str">
        <f>IF(OR(TH!N1729=TH!$X$7,O1729=TH!$X$7),"x","")</f>
        <v/>
      </c>
      <c r="Y1729" s="79" t="str">
        <f>IF(AND(OR(N1729="131",O1729="131"),H1729='131-CT'!$H$9),"x","")</f>
        <v/>
      </c>
      <c r="Z1729" s="79"/>
      <c r="AA1729" s="79" t="str">
        <f>IF(AND(MONTH(E1729)='IN-NX'!$J$5,'IN-NX'!$D$7=D1729),"x","")</f>
        <v/>
      </c>
      <c r="AB1729" s="79" t="str">
        <f>IF(AND(OR(LEFT(TH!N1729,2)="15",LEFT(TH!O1729,2)="15"),LEFT(TH!O1729,3)&lt;&gt;"111",'152-CT'!$J$8=TH!F1729),"x","")</f>
        <v/>
      </c>
      <c r="AC1729" s="79" t="str">
        <f>IF(AND(OR(LEFT(TH!N1729,2)="15",LEFT(TH!O1729,2)="15"),TK!$E$7=TH!F1729),"x","")</f>
        <v/>
      </c>
      <c r="AD1729" s="79" t="str">
        <f>IF(AND(N1729="1521",MONTH(C1729)='BK-NL'!$M$11),"x","")</f>
        <v/>
      </c>
    </row>
    <row r="1730" spans="1:30" ht="16.5" customHeight="1">
      <c r="A1730" s="318" t="str">
        <f>IF(B1730&lt;&gt;"",IF(AND(B1730='IN-TC'!$S$4,OR(TH!N1730="1111",TH!O1730="1111")),TH!D1730,""),"")</f>
        <v/>
      </c>
      <c r="B1730" s="60" t="str">
        <f t="shared" si="211"/>
        <v/>
      </c>
      <c r="C1730" s="989"/>
      <c r="D1730" s="989"/>
      <c r="E1730" s="989"/>
      <c r="F1730" s="921"/>
      <c r="G1730" s="991"/>
      <c r="H1730" s="1011"/>
      <c r="I1730" s="994"/>
      <c r="J1730" s="992"/>
      <c r="K1730" s="994"/>
      <c r="L1730" s="992"/>
      <c r="M1730" s="995"/>
      <c r="N1730" s="996"/>
      <c r="O1730" s="996"/>
      <c r="P1730" s="79" t="str">
        <f>IF(AND('331-CT'!$E$7=TH!H1730,OR(N1730="331",O1730="331")),"x","")</f>
        <v/>
      </c>
      <c r="Q1730" s="79" t="str">
        <f>IF(AND(B1730='111'!$L$11,OR($N1730=$Q$7,$O1730=$Q$7)),"x","")</f>
        <v/>
      </c>
      <c r="R1730" s="79" t="str">
        <f>IF(AND($N1730=$Q$7,$B1730&lt;'111'!$L$11),"x","")</f>
        <v/>
      </c>
      <c r="S1730" s="79" t="str">
        <f>IF(AND($O1730=$Q$7,$B1730&lt;'111'!$L$11),"x","")</f>
        <v/>
      </c>
      <c r="T1730" s="79" t="str">
        <f>IF(ISERROR(FIND('112'!$M$9,G1730,1)),"",IF((AND(FIND('112'!$M$9,G1730,1)&gt;=1,B1730='112'!$K$9,OR($N1730='112'!$I$6,$O1730='112'!$I$6))),"x",""))</f>
        <v/>
      </c>
      <c r="U1730" s="79" t="str">
        <f>IF(ISERROR(FIND('112'!$M$9,G1730,1)),"",IF((AND(LEFT(G1730,2)=LEFT('112'!$M$9,2),B1730&lt;'112'!$K$9,$N1730='112'!$I$6)),"x",""))</f>
        <v/>
      </c>
      <c r="V1730" s="79" t="str">
        <f>IF(ISERROR(FIND('112'!$M$9,G1730,1)),"",IF((AND(RIGHT(G1730,2)=RIGHT('112'!$M$9,2),B1730&lt;'112'!$K$9,$O1730='112'!$I$6)),"x",""))</f>
        <v/>
      </c>
      <c r="W1730" s="79" t="str">
        <f>IF(AND('341-CT'!$H$9=H1730,OR(LEFT(N1730,3)=$W$7,LEFT(O1730,3)=$W$7)),"x","")</f>
        <v/>
      </c>
      <c r="X1730" s="79" t="str">
        <f>IF(OR(TH!N1730=TH!$X$7,O1730=TH!$X$7),"x","")</f>
        <v/>
      </c>
      <c r="Y1730" s="79" t="str">
        <f>IF(AND(OR(N1730="131",O1730="131"),H1730='131-CT'!$H$9),"x","")</f>
        <v/>
      </c>
      <c r="Z1730" s="79"/>
      <c r="AA1730" s="79" t="str">
        <f>IF(AND(MONTH(E1730)='IN-NX'!$J$5,'IN-NX'!$D$7=D1730),"x","")</f>
        <v/>
      </c>
      <c r="AB1730" s="79" t="str">
        <f>IF(AND(OR(LEFT(TH!N1730,2)="15",LEFT(TH!O1730,2)="15"),LEFT(TH!O1730,3)&lt;&gt;"111",'152-CT'!$J$8=TH!F1730),"x","")</f>
        <v/>
      </c>
      <c r="AC1730" s="79" t="str">
        <f>IF(AND(OR(LEFT(TH!N1730,2)="15",LEFT(TH!O1730,2)="15"),TK!$E$7=TH!F1730),"x","")</f>
        <v/>
      </c>
      <c r="AD1730" s="79" t="str">
        <f>IF(AND(N1730="1521",MONTH(C1730)='BK-NL'!$M$11),"x","")</f>
        <v/>
      </c>
    </row>
    <row r="1731" spans="1:30" ht="16.5" customHeight="1">
      <c r="A1731" s="318" t="str">
        <f>IF(B1731&lt;&gt;"",IF(AND(B1731='IN-TC'!$S$4,OR(TH!N1731="1111",TH!O1731="1111")),TH!D1731,""),"")</f>
        <v/>
      </c>
      <c r="B1731" s="60" t="str">
        <f t="shared" si="211"/>
        <v/>
      </c>
      <c r="C1731" s="989"/>
      <c r="D1731" s="989"/>
      <c r="E1731" s="989"/>
      <c r="F1731" s="921"/>
      <c r="G1731" s="991"/>
      <c r="H1731" s="1011"/>
      <c r="I1731" s="994"/>
      <c r="J1731" s="992"/>
      <c r="K1731" s="994"/>
      <c r="L1731" s="992"/>
      <c r="M1731" s="995"/>
      <c r="N1731" s="996"/>
      <c r="O1731" s="996"/>
      <c r="P1731" s="79" t="str">
        <f>IF(AND('331-CT'!$E$7=TH!H1731,OR(N1731="331",O1731="331")),"x","")</f>
        <v/>
      </c>
      <c r="Q1731" s="79" t="str">
        <f>IF(AND(B1731='111'!$L$11,OR($N1731=$Q$7,$O1731=$Q$7)),"x","")</f>
        <v/>
      </c>
      <c r="R1731" s="79" t="str">
        <f>IF(AND($N1731=$Q$7,$B1731&lt;'111'!$L$11),"x","")</f>
        <v/>
      </c>
      <c r="S1731" s="79" t="str">
        <f>IF(AND($O1731=$Q$7,$B1731&lt;'111'!$L$11),"x","")</f>
        <v/>
      </c>
      <c r="T1731" s="79" t="str">
        <f>IF(ISERROR(FIND('112'!$M$9,G1731,1)),"",IF((AND(FIND('112'!$M$9,G1731,1)&gt;=1,B1731='112'!$K$9,OR($N1731='112'!$I$6,$O1731='112'!$I$6))),"x",""))</f>
        <v/>
      </c>
      <c r="U1731" s="79" t="str">
        <f>IF(ISERROR(FIND('112'!$M$9,G1731,1)),"",IF((AND(LEFT(G1731,2)=LEFT('112'!$M$9,2),B1731&lt;'112'!$K$9,$N1731='112'!$I$6)),"x",""))</f>
        <v/>
      </c>
      <c r="V1731" s="79" t="str">
        <f>IF(ISERROR(FIND('112'!$M$9,G1731,1)),"",IF((AND(RIGHT(G1731,2)=RIGHT('112'!$M$9,2),B1731&lt;'112'!$K$9,$O1731='112'!$I$6)),"x",""))</f>
        <v/>
      </c>
      <c r="W1731" s="79" t="str">
        <f>IF(AND('341-CT'!$H$9=H1731,OR(LEFT(N1731,3)=$W$7,LEFT(O1731,3)=$W$7)),"x","")</f>
        <v/>
      </c>
      <c r="X1731" s="79" t="str">
        <f>IF(OR(TH!N1731=TH!$X$7,O1731=TH!$X$7),"x","")</f>
        <v/>
      </c>
      <c r="Y1731" s="79" t="str">
        <f>IF(AND(OR(N1731="131",O1731="131"),H1731='131-CT'!$H$9),"x","")</f>
        <v/>
      </c>
      <c r="Z1731" s="79"/>
      <c r="AA1731" s="79" t="str">
        <f>IF(AND(MONTH(E1731)='IN-NX'!$J$5,'IN-NX'!$D$7=D1731),"x","")</f>
        <v/>
      </c>
      <c r="AB1731" s="79" t="str">
        <f>IF(AND(OR(LEFT(TH!N1731,2)="15",LEFT(TH!O1731,2)="15"),LEFT(TH!O1731,3)&lt;&gt;"111",'152-CT'!$J$8=TH!F1731),"x","")</f>
        <v/>
      </c>
      <c r="AC1731" s="79" t="str">
        <f>IF(AND(OR(LEFT(TH!N1731,2)="15",LEFT(TH!O1731,2)="15"),TK!$E$7=TH!F1731),"x","")</f>
        <v/>
      </c>
      <c r="AD1731" s="79" t="str">
        <f>IF(AND(N1731="1521",MONTH(C1731)='BK-NL'!$M$11),"x","")</f>
        <v/>
      </c>
    </row>
    <row r="1732" spans="1:30" ht="16.5" customHeight="1">
      <c r="A1732" s="318" t="str">
        <f>IF(B1732&lt;&gt;"",IF(AND(B1732='IN-TC'!$S$4,OR(TH!N1732="1111",TH!O1732="1111")),TH!D1732,""),"")</f>
        <v/>
      </c>
      <c r="B1732" s="60" t="str">
        <f t="shared" si="211"/>
        <v/>
      </c>
      <c r="C1732" s="989"/>
      <c r="D1732" s="989"/>
      <c r="E1732" s="989"/>
      <c r="F1732" s="921"/>
      <c r="G1732" s="991"/>
      <c r="H1732" s="1011"/>
      <c r="I1732" s="994"/>
      <c r="J1732" s="992"/>
      <c r="K1732" s="994"/>
      <c r="L1732" s="992"/>
      <c r="M1732" s="995"/>
      <c r="N1732" s="996"/>
      <c r="O1732" s="996"/>
      <c r="P1732" s="79" t="str">
        <f>IF(AND('331-CT'!$E$7=TH!H1732,OR(N1732="331",O1732="331")),"x","")</f>
        <v/>
      </c>
      <c r="Q1732" s="79" t="str">
        <f>IF(AND(B1732='111'!$L$11,OR($N1732=$Q$7,$O1732=$Q$7)),"x","")</f>
        <v/>
      </c>
      <c r="R1732" s="79" t="str">
        <f>IF(AND($N1732=$Q$7,$B1732&lt;'111'!$L$11),"x","")</f>
        <v/>
      </c>
      <c r="S1732" s="79" t="str">
        <f>IF(AND($O1732=$Q$7,$B1732&lt;'111'!$L$11),"x","")</f>
        <v/>
      </c>
      <c r="T1732" s="79" t="str">
        <f>IF(ISERROR(FIND('112'!$M$9,G1732,1)),"",IF((AND(FIND('112'!$M$9,G1732,1)&gt;=1,B1732='112'!$K$9,OR($N1732='112'!$I$6,$O1732='112'!$I$6))),"x",""))</f>
        <v/>
      </c>
      <c r="U1732" s="79" t="str">
        <f>IF(ISERROR(FIND('112'!$M$9,G1732,1)),"",IF((AND(LEFT(G1732,2)=LEFT('112'!$M$9,2),B1732&lt;'112'!$K$9,$N1732='112'!$I$6)),"x",""))</f>
        <v/>
      </c>
      <c r="V1732" s="79" t="str">
        <f>IF(ISERROR(FIND('112'!$M$9,G1732,1)),"",IF((AND(RIGHT(G1732,2)=RIGHT('112'!$M$9,2),B1732&lt;'112'!$K$9,$O1732='112'!$I$6)),"x",""))</f>
        <v/>
      </c>
      <c r="W1732" s="79" t="str">
        <f>IF(AND('341-CT'!$H$9=H1732,OR(LEFT(N1732,3)=$W$7,LEFT(O1732,3)=$W$7)),"x","")</f>
        <v/>
      </c>
      <c r="X1732" s="79" t="str">
        <f>IF(OR(TH!N1732=TH!$X$7,O1732=TH!$X$7),"x","")</f>
        <v/>
      </c>
      <c r="Y1732" s="79" t="str">
        <f>IF(AND(OR(N1732="131",O1732="131"),H1732='131-CT'!$H$9),"x","")</f>
        <v/>
      </c>
      <c r="Z1732" s="79"/>
      <c r="AA1732" s="79" t="str">
        <f>IF(AND(MONTH(E1732)='IN-NX'!$J$5,'IN-NX'!$D$7=D1732),"x","")</f>
        <v/>
      </c>
      <c r="AB1732" s="79" t="str">
        <f>IF(AND(OR(LEFT(TH!N1732,2)="15",LEFT(TH!O1732,2)="15"),LEFT(TH!O1732,3)&lt;&gt;"111",'152-CT'!$J$8=TH!F1732),"x","")</f>
        <v/>
      </c>
      <c r="AC1732" s="79" t="str">
        <f>IF(AND(OR(LEFT(TH!N1732,2)="15",LEFT(TH!O1732,2)="15"),TK!$E$7=TH!F1732),"x","")</f>
        <v/>
      </c>
      <c r="AD1732" s="79" t="str">
        <f>IF(AND(N1732="1521",MONTH(C1732)='BK-NL'!$M$11),"x","")</f>
        <v/>
      </c>
    </row>
    <row r="1733" spans="1:30" ht="16.5" customHeight="1">
      <c r="A1733" s="318" t="str">
        <f>IF(B1733&lt;&gt;"",IF(AND(B1733='IN-TC'!$S$4,OR(TH!N1733="1111",TH!O1733="1111")),TH!D1733,""),"")</f>
        <v/>
      </c>
      <c r="B1733" s="60" t="str">
        <f t="shared" si="211"/>
        <v/>
      </c>
      <c r="C1733" s="989"/>
      <c r="D1733" s="989"/>
      <c r="E1733" s="989"/>
      <c r="F1733" s="921"/>
      <c r="G1733" s="991"/>
      <c r="H1733" s="1011"/>
      <c r="I1733" s="994"/>
      <c r="J1733" s="992"/>
      <c r="K1733" s="994"/>
      <c r="L1733" s="992"/>
      <c r="M1733" s="995"/>
      <c r="N1733" s="996"/>
      <c r="O1733" s="996"/>
      <c r="P1733" s="79" t="str">
        <f>IF(AND('331-CT'!$E$7=TH!H1733,OR(N1733="331",O1733="331")),"x","")</f>
        <v/>
      </c>
      <c r="Q1733" s="79" t="str">
        <f>IF(AND(B1733='111'!$L$11,OR($N1733=$Q$7,$O1733=$Q$7)),"x","")</f>
        <v/>
      </c>
      <c r="R1733" s="79" t="str">
        <f>IF(AND($N1733=$Q$7,$B1733&lt;'111'!$L$11),"x","")</f>
        <v/>
      </c>
      <c r="S1733" s="79" t="str">
        <f>IF(AND($O1733=$Q$7,$B1733&lt;'111'!$L$11),"x","")</f>
        <v/>
      </c>
      <c r="T1733" s="79" t="str">
        <f>IF(ISERROR(FIND('112'!$M$9,G1733,1)),"",IF((AND(FIND('112'!$M$9,G1733,1)&gt;=1,B1733='112'!$K$9,OR($N1733='112'!$I$6,$O1733='112'!$I$6))),"x",""))</f>
        <v/>
      </c>
      <c r="U1733" s="79" t="str">
        <f>IF(ISERROR(FIND('112'!$M$9,G1733,1)),"",IF((AND(LEFT(G1733,2)=LEFT('112'!$M$9,2),B1733&lt;'112'!$K$9,$N1733='112'!$I$6)),"x",""))</f>
        <v/>
      </c>
      <c r="V1733" s="79" t="str">
        <f>IF(ISERROR(FIND('112'!$M$9,G1733,1)),"",IF((AND(RIGHT(G1733,2)=RIGHT('112'!$M$9,2),B1733&lt;'112'!$K$9,$O1733='112'!$I$6)),"x",""))</f>
        <v/>
      </c>
      <c r="W1733" s="79" t="str">
        <f>IF(AND('341-CT'!$H$9=H1733,OR(LEFT(N1733,3)=$W$7,LEFT(O1733,3)=$W$7)),"x","")</f>
        <v/>
      </c>
      <c r="X1733" s="79" t="str">
        <f>IF(OR(TH!N1733=TH!$X$7,O1733=TH!$X$7),"x","")</f>
        <v/>
      </c>
      <c r="Y1733" s="79" t="str">
        <f>IF(AND(OR(N1733="131",O1733="131"),H1733='131-CT'!$H$9),"x","")</f>
        <v/>
      </c>
      <c r="Z1733" s="79"/>
      <c r="AA1733" s="79" t="str">
        <f>IF(AND(MONTH(E1733)='IN-NX'!$J$5,'IN-NX'!$D$7=D1733),"x","")</f>
        <v/>
      </c>
      <c r="AB1733" s="79" t="str">
        <f>IF(AND(OR(LEFT(TH!N1733,2)="15",LEFT(TH!O1733,2)="15"),LEFT(TH!O1733,3)&lt;&gt;"111",'152-CT'!$J$8=TH!F1733),"x","")</f>
        <v/>
      </c>
      <c r="AC1733" s="79" t="str">
        <f>IF(AND(OR(LEFT(TH!N1733,2)="15",LEFT(TH!O1733,2)="15"),TK!$E$7=TH!F1733),"x","")</f>
        <v/>
      </c>
      <c r="AD1733" s="79" t="str">
        <f>IF(AND(N1733="1521",MONTH(C1733)='BK-NL'!$M$11),"x","")</f>
        <v/>
      </c>
    </row>
    <row r="1734" spans="1:30" ht="16.5" customHeight="1">
      <c r="A1734" s="318" t="str">
        <f>IF(B1734&lt;&gt;"",IF(AND(B1734='IN-TC'!$S$4,OR(TH!N1734="1111",TH!O1734="1111")),TH!D1734,""),"")</f>
        <v/>
      </c>
      <c r="B1734" s="60" t="str">
        <f t="shared" si="211"/>
        <v/>
      </c>
      <c r="C1734" s="989"/>
      <c r="D1734" s="989"/>
      <c r="E1734" s="989"/>
      <c r="F1734" s="921"/>
      <c r="G1734" s="991"/>
      <c r="H1734" s="1011"/>
      <c r="I1734" s="994"/>
      <c r="J1734" s="992"/>
      <c r="K1734" s="994"/>
      <c r="L1734" s="992"/>
      <c r="M1734" s="995"/>
      <c r="N1734" s="996"/>
      <c r="O1734" s="996"/>
      <c r="P1734" s="79" t="str">
        <f>IF(AND('331-CT'!$E$7=TH!H1734,OR(N1734="331",O1734="331")),"x","")</f>
        <v/>
      </c>
      <c r="Q1734" s="79" t="str">
        <f>IF(AND(B1734='111'!$L$11,OR($N1734=$Q$7,$O1734=$Q$7)),"x","")</f>
        <v/>
      </c>
      <c r="R1734" s="79" t="str">
        <f>IF(AND($N1734=$Q$7,$B1734&lt;'111'!$L$11),"x","")</f>
        <v/>
      </c>
      <c r="S1734" s="79" t="str">
        <f>IF(AND($O1734=$Q$7,$B1734&lt;'111'!$L$11),"x","")</f>
        <v/>
      </c>
      <c r="T1734" s="79" t="str">
        <f>IF(ISERROR(FIND('112'!$M$9,G1734,1)),"",IF((AND(FIND('112'!$M$9,G1734,1)&gt;=1,B1734='112'!$K$9,OR($N1734='112'!$I$6,$O1734='112'!$I$6))),"x",""))</f>
        <v/>
      </c>
      <c r="U1734" s="79" t="str">
        <f>IF(ISERROR(FIND('112'!$M$9,G1734,1)),"",IF((AND(LEFT(G1734,2)=LEFT('112'!$M$9,2),B1734&lt;'112'!$K$9,$N1734='112'!$I$6)),"x",""))</f>
        <v/>
      </c>
      <c r="V1734" s="79" t="str">
        <f>IF(ISERROR(FIND('112'!$M$9,G1734,1)),"",IF((AND(RIGHT(G1734,2)=RIGHT('112'!$M$9,2),B1734&lt;'112'!$K$9,$O1734='112'!$I$6)),"x",""))</f>
        <v/>
      </c>
      <c r="W1734" s="79" t="str">
        <f>IF(AND('341-CT'!$H$9=H1734,OR(LEFT(N1734,3)=$W$7,LEFT(O1734,3)=$W$7)),"x","")</f>
        <v/>
      </c>
      <c r="X1734" s="79" t="str">
        <f>IF(OR(TH!N1734=TH!$X$7,O1734=TH!$X$7),"x","")</f>
        <v/>
      </c>
      <c r="Y1734" s="79" t="str">
        <f>IF(AND(OR(N1734="131",O1734="131"),H1734='131-CT'!$H$9),"x","")</f>
        <v/>
      </c>
      <c r="Z1734" s="79"/>
      <c r="AA1734" s="79" t="str">
        <f>IF(AND(MONTH(E1734)='IN-NX'!$J$5,'IN-NX'!$D$7=D1734),"x","")</f>
        <v/>
      </c>
      <c r="AB1734" s="79" t="str">
        <f>IF(AND(OR(LEFT(TH!N1734,2)="15",LEFT(TH!O1734,2)="15"),LEFT(TH!O1734,3)&lt;&gt;"111",'152-CT'!$J$8=TH!F1734),"x","")</f>
        <v/>
      </c>
      <c r="AC1734" s="79" t="str">
        <f>IF(AND(OR(LEFT(TH!N1734,2)="15",LEFT(TH!O1734,2)="15"),TK!$E$7=TH!F1734),"x","")</f>
        <v/>
      </c>
      <c r="AD1734" s="79" t="str">
        <f>IF(AND(N1734="1521",MONTH(C1734)='BK-NL'!$M$11),"x","")</f>
        <v/>
      </c>
    </row>
    <row r="1735" spans="1:30" ht="16.5" customHeight="1">
      <c r="A1735" s="318" t="str">
        <f>IF(B1735&lt;&gt;"",IF(AND(B1735='IN-TC'!$S$4,OR(TH!N1735="1111",TH!O1735="1111")),TH!D1735,""),"")</f>
        <v/>
      </c>
      <c r="B1735" s="60" t="str">
        <f t="shared" si="211"/>
        <v/>
      </c>
      <c r="C1735" s="989"/>
      <c r="D1735" s="989"/>
      <c r="E1735" s="989"/>
      <c r="F1735" s="921"/>
      <c r="G1735" s="991"/>
      <c r="H1735" s="1011"/>
      <c r="I1735" s="994"/>
      <c r="J1735" s="992"/>
      <c r="K1735" s="994"/>
      <c r="L1735" s="992"/>
      <c r="M1735" s="995"/>
      <c r="N1735" s="996"/>
      <c r="O1735" s="996"/>
      <c r="P1735" s="79" t="str">
        <f>IF(AND('331-CT'!$E$7=TH!H1735,OR(N1735="331",O1735="331")),"x","")</f>
        <v/>
      </c>
      <c r="Q1735" s="79" t="str">
        <f>IF(AND(B1735='111'!$L$11,OR($N1735=$Q$7,$O1735=$Q$7)),"x","")</f>
        <v/>
      </c>
      <c r="R1735" s="79" t="str">
        <f>IF(AND($N1735=$Q$7,$B1735&lt;'111'!$L$11),"x","")</f>
        <v/>
      </c>
      <c r="S1735" s="79" t="str">
        <f>IF(AND($O1735=$Q$7,$B1735&lt;'111'!$L$11),"x","")</f>
        <v/>
      </c>
      <c r="T1735" s="79" t="str">
        <f>IF(ISERROR(FIND('112'!$M$9,G1735,1)),"",IF((AND(FIND('112'!$M$9,G1735,1)&gt;=1,B1735='112'!$K$9,OR($N1735='112'!$I$6,$O1735='112'!$I$6))),"x",""))</f>
        <v/>
      </c>
      <c r="U1735" s="79" t="str">
        <f>IF(ISERROR(FIND('112'!$M$9,G1735,1)),"",IF((AND(LEFT(G1735,2)=LEFT('112'!$M$9,2),B1735&lt;'112'!$K$9,$N1735='112'!$I$6)),"x",""))</f>
        <v/>
      </c>
      <c r="V1735" s="79" t="str">
        <f>IF(ISERROR(FIND('112'!$M$9,G1735,1)),"",IF((AND(RIGHT(G1735,2)=RIGHT('112'!$M$9,2),B1735&lt;'112'!$K$9,$O1735='112'!$I$6)),"x",""))</f>
        <v/>
      </c>
      <c r="W1735" s="79" t="str">
        <f>IF(AND('341-CT'!$H$9=H1735,OR(LEFT(N1735,3)=$W$7,LEFT(O1735,3)=$W$7)),"x","")</f>
        <v/>
      </c>
      <c r="X1735" s="79" t="str">
        <f>IF(OR(TH!N1735=TH!$X$7,O1735=TH!$X$7),"x","")</f>
        <v/>
      </c>
      <c r="Y1735" s="79" t="str">
        <f>IF(AND(OR(N1735="131",O1735="131"),H1735='131-CT'!$H$9),"x","")</f>
        <v/>
      </c>
      <c r="Z1735" s="79"/>
      <c r="AA1735" s="79" t="str">
        <f>IF(AND(MONTH(E1735)='IN-NX'!$J$5,'IN-NX'!$D$7=D1735),"x","")</f>
        <v/>
      </c>
      <c r="AB1735" s="79" t="str">
        <f>IF(AND(OR(LEFT(TH!N1735,2)="15",LEFT(TH!O1735,2)="15"),LEFT(TH!O1735,3)&lt;&gt;"111",'152-CT'!$J$8=TH!F1735),"x","")</f>
        <v/>
      </c>
      <c r="AC1735" s="79" t="str">
        <f>IF(AND(OR(LEFT(TH!N1735,2)="15",LEFT(TH!O1735,2)="15"),TK!$E$7=TH!F1735),"x","")</f>
        <v/>
      </c>
      <c r="AD1735" s="79" t="str">
        <f>IF(AND(N1735="1521",MONTH(C1735)='BK-NL'!$M$11),"x","")</f>
        <v/>
      </c>
    </row>
    <row r="1736" spans="1:30" ht="16.5" customHeight="1">
      <c r="A1736" s="318" t="str">
        <f>IF(B1736&lt;&gt;"",IF(AND(B1736='IN-TC'!$S$4,OR(TH!N1736="1111",TH!O1736="1111")),TH!D1736,""),"")</f>
        <v/>
      </c>
      <c r="B1736" s="60" t="str">
        <f t="shared" si="211"/>
        <v/>
      </c>
      <c r="C1736" s="989"/>
      <c r="D1736" s="989"/>
      <c r="E1736" s="989"/>
      <c r="F1736" s="921"/>
      <c r="G1736" s="991"/>
      <c r="H1736" s="1011"/>
      <c r="I1736" s="994"/>
      <c r="J1736" s="992"/>
      <c r="K1736" s="994"/>
      <c r="L1736" s="992"/>
      <c r="M1736" s="995"/>
      <c r="N1736" s="996"/>
      <c r="O1736" s="996"/>
      <c r="P1736" s="79" t="str">
        <f>IF(AND('331-CT'!$E$7=TH!H1736,OR(N1736="331",O1736="331")),"x","")</f>
        <v/>
      </c>
      <c r="Q1736" s="79" t="str">
        <f>IF(AND(B1736='111'!$L$11,OR($N1736=$Q$7,$O1736=$Q$7)),"x","")</f>
        <v/>
      </c>
      <c r="R1736" s="79" t="str">
        <f>IF(AND($N1736=$Q$7,$B1736&lt;'111'!$L$11),"x","")</f>
        <v/>
      </c>
      <c r="S1736" s="79" t="str">
        <f>IF(AND($O1736=$Q$7,$B1736&lt;'111'!$L$11),"x","")</f>
        <v/>
      </c>
      <c r="T1736" s="79" t="str">
        <f>IF(ISERROR(FIND('112'!$M$9,G1736,1)),"",IF((AND(FIND('112'!$M$9,G1736,1)&gt;=1,B1736='112'!$K$9,OR($N1736='112'!$I$6,$O1736='112'!$I$6))),"x",""))</f>
        <v/>
      </c>
      <c r="U1736" s="79" t="str">
        <f>IF(ISERROR(FIND('112'!$M$9,G1736,1)),"",IF((AND(LEFT(G1736,2)=LEFT('112'!$M$9,2),B1736&lt;'112'!$K$9,$N1736='112'!$I$6)),"x",""))</f>
        <v/>
      </c>
      <c r="V1736" s="79" t="str">
        <f>IF(ISERROR(FIND('112'!$M$9,G1736,1)),"",IF((AND(RIGHT(G1736,2)=RIGHT('112'!$M$9,2),B1736&lt;'112'!$K$9,$O1736='112'!$I$6)),"x",""))</f>
        <v/>
      </c>
      <c r="W1736" s="79" t="str">
        <f>IF(AND('341-CT'!$H$9=H1736,OR(LEFT(N1736,3)=$W$7,LEFT(O1736,3)=$W$7)),"x","")</f>
        <v/>
      </c>
      <c r="X1736" s="79" t="str">
        <f>IF(OR(TH!N1736=TH!$X$7,O1736=TH!$X$7),"x","")</f>
        <v/>
      </c>
      <c r="Y1736" s="79" t="str">
        <f>IF(AND(OR(N1736="131",O1736="131"),H1736='131-CT'!$H$9),"x","")</f>
        <v/>
      </c>
      <c r="Z1736" s="79"/>
      <c r="AA1736" s="79" t="str">
        <f>IF(AND(MONTH(E1736)='IN-NX'!$J$5,'IN-NX'!$D$7=D1736),"x","")</f>
        <v/>
      </c>
      <c r="AB1736" s="79" t="str">
        <f>IF(AND(OR(LEFT(TH!N1736,2)="15",LEFT(TH!O1736,2)="15"),LEFT(TH!O1736,3)&lt;&gt;"111",'152-CT'!$J$8=TH!F1736),"x","")</f>
        <v/>
      </c>
      <c r="AC1736" s="79" t="str">
        <f>IF(AND(OR(LEFT(TH!N1736,2)="15",LEFT(TH!O1736,2)="15"),TK!$E$7=TH!F1736),"x","")</f>
        <v/>
      </c>
      <c r="AD1736" s="79" t="str">
        <f>IF(AND(N1736="1521",MONTH(C1736)='BK-NL'!$M$11),"x","")</f>
        <v/>
      </c>
    </row>
    <row r="1737" spans="1:30" ht="16.5" customHeight="1">
      <c r="A1737" s="318" t="str">
        <f>IF(B1737&lt;&gt;"",IF(AND(B1737='IN-TC'!$S$4,OR(TH!N1737="1111",TH!O1737="1111")),TH!D1737,""),"")</f>
        <v/>
      </c>
      <c r="B1737" s="60" t="str">
        <f t="shared" si="211"/>
        <v/>
      </c>
      <c r="C1737" s="989"/>
      <c r="D1737" s="989"/>
      <c r="E1737" s="989"/>
      <c r="F1737" s="921"/>
      <c r="G1737" s="991"/>
      <c r="H1737" s="1011"/>
      <c r="I1737" s="994"/>
      <c r="J1737" s="992"/>
      <c r="K1737" s="994"/>
      <c r="L1737" s="992"/>
      <c r="M1737" s="995"/>
      <c r="N1737" s="996"/>
      <c r="O1737" s="996"/>
      <c r="P1737" s="79" t="str">
        <f>IF(AND('331-CT'!$E$7=TH!H1737,OR(N1737="331",O1737="331")),"x","")</f>
        <v/>
      </c>
      <c r="Q1737" s="79" t="str">
        <f>IF(AND(B1737='111'!$L$11,OR($N1737=$Q$7,$O1737=$Q$7)),"x","")</f>
        <v/>
      </c>
      <c r="R1737" s="79" t="str">
        <f>IF(AND($N1737=$Q$7,$B1737&lt;'111'!$L$11),"x","")</f>
        <v/>
      </c>
      <c r="S1737" s="79" t="str">
        <f>IF(AND($O1737=$Q$7,$B1737&lt;'111'!$L$11),"x","")</f>
        <v/>
      </c>
      <c r="T1737" s="79" t="str">
        <f>IF(ISERROR(FIND('112'!$M$9,G1737,1)),"",IF((AND(FIND('112'!$M$9,G1737,1)&gt;=1,B1737='112'!$K$9,OR($N1737='112'!$I$6,$O1737='112'!$I$6))),"x",""))</f>
        <v/>
      </c>
      <c r="U1737" s="79" t="str">
        <f>IF(ISERROR(FIND('112'!$M$9,G1737,1)),"",IF((AND(LEFT(G1737,2)=LEFT('112'!$M$9,2),B1737&lt;'112'!$K$9,$N1737='112'!$I$6)),"x",""))</f>
        <v/>
      </c>
      <c r="V1737" s="79" t="str">
        <f>IF(ISERROR(FIND('112'!$M$9,G1737,1)),"",IF((AND(RIGHT(G1737,2)=RIGHT('112'!$M$9,2),B1737&lt;'112'!$K$9,$O1737='112'!$I$6)),"x",""))</f>
        <v/>
      </c>
      <c r="W1737" s="79" t="str">
        <f>IF(AND('341-CT'!$H$9=H1737,OR(LEFT(N1737,3)=$W$7,LEFT(O1737,3)=$W$7)),"x","")</f>
        <v/>
      </c>
      <c r="X1737" s="79" t="str">
        <f>IF(OR(TH!N1737=TH!$X$7,O1737=TH!$X$7),"x","")</f>
        <v/>
      </c>
      <c r="Y1737" s="79" t="str">
        <f>IF(AND(OR(N1737="131",O1737="131"),H1737='131-CT'!$H$9),"x","")</f>
        <v/>
      </c>
      <c r="Z1737" s="79"/>
      <c r="AA1737" s="79" t="str">
        <f>IF(AND(MONTH(E1737)='IN-NX'!$J$5,'IN-NX'!$D$7=D1737),"x","")</f>
        <v/>
      </c>
      <c r="AB1737" s="79" t="str">
        <f>IF(AND(OR(LEFT(TH!N1737,2)="15",LEFT(TH!O1737,2)="15"),LEFT(TH!O1737,3)&lt;&gt;"111",'152-CT'!$J$8=TH!F1737),"x","")</f>
        <v/>
      </c>
      <c r="AC1737" s="79" t="str">
        <f>IF(AND(OR(LEFT(TH!N1737,2)="15",LEFT(TH!O1737,2)="15"),TK!$E$7=TH!F1737),"x","")</f>
        <v/>
      </c>
      <c r="AD1737" s="79" t="str">
        <f>IF(AND(N1737="1521",MONTH(C1737)='BK-NL'!$M$11),"x","")</f>
        <v/>
      </c>
    </row>
    <row r="1738" spans="1:30" ht="16.5" customHeight="1">
      <c r="A1738" s="318" t="str">
        <f>IF(B1738&lt;&gt;"",IF(AND(B1738='IN-TC'!$S$4,OR(TH!N1738="1111",TH!O1738="1111")),TH!D1738,""),"")</f>
        <v/>
      </c>
      <c r="B1738" s="60" t="str">
        <f t="shared" si="211"/>
        <v/>
      </c>
      <c r="C1738" s="989"/>
      <c r="D1738" s="989"/>
      <c r="E1738" s="989"/>
      <c r="F1738" s="921"/>
      <c r="G1738" s="991"/>
      <c r="H1738" s="1011"/>
      <c r="I1738" s="994"/>
      <c r="J1738" s="992"/>
      <c r="K1738" s="994"/>
      <c r="L1738" s="992"/>
      <c r="M1738" s="995"/>
      <c r="N1738" s="996"/>
      <c r="O1738" s="996"/>
      <c r="P1738" s="79" t="str">
        <f>IF(AND('331-CT'!$E$7=TH!H1738,OR(N1738="331",O1738="331")),"x","")</f>
        <v/>
      </c>
      <c r="Q1738" s="79" t="str">
        <f>IF(AND(B1738='111'!$L$11,OR($N1738=$Q$7,$O1738=$Q$7)),"x","")</f>
        <v/>
      </c>
      <c r="R1738" s="79" t="str">
        <f>IF(AND($N1738=$Q$7,$B1738&lt;'111'!$L$11),"x","")</f>
        <v/>
      </c>
      <c r="S1738" s="79" t="str">
        <f>IF(AND($O1738=$Q$7,$B1738&lt;'111'!$L$11),"x","")</f>
        <v/>
      </c>
      <c r="T1738" s="79" t="str">
        <f>IF(ISERROR(FIND('112'!$M$9,G1738,1)),"",IF((AND(FIND('112'!$M$9,G1738,1)&gt;=1,B1738='112'!$K$9,OR($N1738='112'!$I$6,$O1738='112'!$I$6))),"x",""))</f>
        <v/>
      </c>
      <c r="U1738" s="79" t="str">
        <f>IF(ISERROR(FIND('112'!$M$9,G1738,1)),"",IF((AND(LEFT(G1738,2)=LEFT('112'!$M$9,2),B1738&lt;'112'!$K$9,$N1738='112'!$I$6)),"x",""))</f>
        <v/>
      </c>
      <c r="V1738" s="79" t="str">
        <f>IF(ISERROR(FIND('112'!$M$9,G1738,1)),"",IF((AND(RIGHT(G1738,2)=RIGHT('112'!$M$9,2),B1738&lt;'112'!$K$9,$O1738='112'!$I$6)),"x",""))</f>
        <v/>
      </c>
      <c r="W1738" s="79" t="str">
        <f>IF(AND('341-CT'!$H$9=H1738,OR(LEFT(N1738,3)=$W$7,LEFT(O1738,3)=$W$7)),"x","")</f>
        <v/>
      </c>
      <c r="X1738" s="79" t="str">
        <f>IF(OR(TH!N1738=TH!$X$7,O1738=TH!$X$7),"x","")</f>
        <v/>
      </c>
      <c r="Y1738" s="79" t="str">
        <f>IF(AND(OR(N1738="131",O1738="131"),H1738='131-CT'!$H$9),"x","")</f>
        <v/>
      </c>
      <c r="Z1738" s="79"/>
      <c r="AA1738" s="79" t="str">
        <f>IF(AND(MONTH(E1738)='IN-NX'!$J$5,'IN-NX'!$D$7=D1738),"x","")</f>
        <v/>
      </c>
      <c r="AB1738" s="79" t="str">
        <f>IF(AND(OR(LEFT(TH!N1738,2)="15",LEFT(TH!O1738,2)="15"),LEFT(TH!O1738,3)&lt;&gt;"111",'152-CT'!$J$8=TH!F1738),"x","")</f>
        <v/>
      </c>
      <c r="AC1738" s="79" t="str">
        <f>IF(AND(OR(LEFT(TH!N1738,2)="15",LEFT(TH!O1738,2)="15"),TK!$E$7=TH!F1738),"x","")</f>
        <v/>
      </c>
      <c r="AD1738" s="79" t="str">
        <f>IF(AND(N1738="1521",MONTH(C1738)='BK-NL'!$M$11),"x","")</f>
        <v/>
      </c>
    </row>
    <row r="1739" spans="1:30" ht="16.5" customHeight="1">
      <c r="A1739" s="318" t="str">
        <f>IF(B1739&lt;&gt;"",IF(AND(B1739='IN-TC'!$S$4,OR(TH!N1739="1111",TH!O1739="1111")),TH!D1739,""),"")</f>
        <v/>
      </c>
      <c r="B1739" s="60" t="str">
        <f t="shared" si="211"/>
        <v/>
      </c>
      <c r="C1739" s="989"/>
      <c r="D1739" s="989"/>
      <c r="E1739" s="989"/>
      <c r="F1739" s="990"/>
      <c r="G1739" s="991"/>
      <c r="H1739" s="1011"/>
      <c r="I1739" s="994"/>
      <c r="J1739" s="992"/>
      <c r="K1739" s="994"/>
      <c r="L1739" s="992"/>
      <c r="M1739" s="995"/>
      <c r="N1739" s="996"/>
      <c r="O1739" s="996"/>
      <c r="P1739" s="79" t="str">
        <f>IF(AND('331-CT'!$E$7=TH!H1739,OR(N1739="331",O1739="331")),"x","")</f>
        <v/>
      </c>
      <c r="Q1739" s="79" t="str">
        <f>IF(AND(B1739='111'!$L$11,OR($N1739=$Q$7,$O1739=$Q$7)),"x","")</f>
        <v/>
      </c>
      <c r="R1739" s="79" t="str">
        <f>IF(AND($N1739=$Q$7,$B1739&lt;'111'!$L$11),"x","")</f>
        <v/>
      </c>
      <c r="S1739" s="79" t="str">
        <f>IF(AND($O1739=$Q$7,$B1739&lt;'111'!$L$11),"x","")</f>
        <v/>
      </c>
      <c r="T1739" s="79" t="str">
        <f>IF(ISERROR(FIND('112'!$M$9,G1739,1)),"",IF((AND(FIND('112'!$M$9,G1739,1)&gt;=1,B1739='112'!$K$9,OR($N1739='112'!$I$6,$O1739='112'!$I$6))),"x",""))</f>
        <v/>
      </c>
      <c r="U1739" s="79" t="str">
        <f>IF(ISERROR(FIND('112'!$M$9,G1739,1)),"",IF((AND(LEFT(G1739,2)=LEFT('112'!$M$9,2),B1739&lt;'112'!$K$9,$N1739='112'!$I$6)),"x",""))</f>
        <v/>
      </c>
      <c r="V1739" s="79" t="str">
        <f>IF(ISERROR(FIND('112'!$M$9,G1739,1)),"",IF((AND(RIGHT(G1739,2)=RIGHT('112'!$M$9,2),B1739&lt;'112'!$K$9,$O1739='112'!$I$6)),"x",""))</f>
        <v/>
      </c>
      <c r="W1739" s="79" t="str">
        <f>IF(AND('341-CT'!$H$9=H1739,OR(LEFT(N1739,3)=$W$7,LEFT(O1739,3)=$W$7)),"x","")</f>
        <v/>
      </c>
      <c r="X1739" s="79" t="str">
        <f>IF(OR(TH!N1739=TH!$X$7,O1739=TH!$X$7),"x","")</f>
        <v/>
      </c>
      <c r="Y1739" s="79" t="str">
        <f>IF(AND(OR(N1739="131",O1739="131"),H1739='131-CT'!$H$9),"x","")</f>
        <v/>
      </c>
      <c r="Z1739" s="79"/>
      <c r="AA1739" s="79" t="str">
        <f>IF(AND(MONTH(E1739)='IN-NX'!$J$5,'IN-NX'!$D$7=D1739),"x","")</f>
        <v/>
      </c>
      <c r="AB1739" s="79" t="str">
        <f>IF(AND(OR(LEFT(TH!N1739,2)="15",LEFT(TH!O1739,2)="15"),LEFT(TH!O1739,3)&lt;&gt;"111",'152-CT'!$J$8=TH!F1739),"x","")</f>
        <v/>
      </c>
      <c r="AC1739" s="79" t="str">
        <f>IF(AND(OR(LEFT(TH!N1739,2)="15",LEFT(TH!O1739,2)="15"),TK!$E$7=TH!F1739),"x","")</f>
        <v/>
      </c>
      <c r="AD1739" s="79" t="str">
        <f>IF(AND(N1739="1521",MONTH(C1739)='BK-NL'!$M$11),"x","")</f>
        <v/>
      </c>
    </row>
    <row r="1740" spans="1:30" ht="16.5" customHeight="1">
      <c r="A1740" s="318" t="str">
        <f>IF(B1740&lt;&gt;"",IF(AND(B1740='IN-TC'!$S$4,OR(TH!N1740="1111",TH!O1740="1111")),TH!D1740,""),"")</f>
        <v/>
      </c>
      <c r="B1740" s="60" t="str">
        <f t="shared" si="211"/>
        <v/>
      </c>
      <c r="C1740" s="989"/>
      <c r="D1740" s="989"/>
      <c r="E1740" s="989"/>
      <c r="F1740" s="990"/>
      <c r="G1740" s="991"/>
      <c r="H1740" s="1011"/>
      <c r="I1740" s="994"/>
      <c r="J1740" s="992"/>
      <c r="K1740" s="994"/>
      <c r="L1740" s="992"/>
      <c r="M1740" s="995"/>
      <c r="N1740" s="996"/>
      <c r="O1740" s="996"/>
      <c r="P1740" s="79" t="str">
        <f>IF(AND('331-CT'!$E$7=TH!H1740,OR(N1740="331",O1740="331")),"x","")</f>
        <v/>
      </c>
      <c r="Q1740" s="79" t="str">
        <f>IF(AND(B1740='111'!$L$11,OR($N1740=$Q$7,$O1740=$Q$7)),"x","")</f>
        <v/>
      </c>
      <c r="R1740" s="79" t="str">
        <f>IF(AND($N1740=$Q$7,$B1740&lt;'111'!$L$11),"x","")</f>
        <v/>
      </c>
      <c r="S1740" s="79" t="str">
        <f>IF(AND($O1740=$Q$7,$B1740&lt;'111'!$L$11),"x","")</f>
        <v/>
      </c>
      <c r="T1740" s="79" t="str">
        <f>IF(ISERROR(FIND('112'!$M$9,G1740,1)),"",IF((AND(FIND('112'!$M$9,G1740,1)&gt;=1,B1740='112'!$K$9,OR($N1740='112'!$I$6,$O1740='112'!$I$6))),"x",""))</f>
        <v/>
      </c>
      <c r="U1740" s="79" t="str">
        <f>IF(ISERROR(FIND('112'!$M$9,G1740,1)),"",IF((AND(LEFT(G1740,2)=LEFT('112'!$M$9,2),B1740&lt;'112'!$K$9,$N1740='112'!$I$6)),"x",""))</f>
        <v/>
      </c>
      <c r="V1740" s="79" t="str">
        <f>IF(ISERROR(FIND('112'!$M$9,G1740,1)),"",IF((AND(RIGHT(G1740,2)=RIGHT('112'!$M$9,2),B1740&lt;'112'!$K$9,$O1740='112'!$I$6)),"x",""))</f>
        <v/>
      </c>
      <c r="W1740" s="79" t="str">
        <f>IF(AND('341-CT'!$H$9=H1740,OR(LEFT(N1740,3)=$W$7,LEFT(O1740,3)=$W$7)),"x","")</f>
        <v/>
      </c>
      <c r="X1740" s="79" t="str">
        <f>IF(OR(TH!N1740=TH!$X$7,O1740=TH!$X$7),"x","")</f>
        <v/>
      </c>
      <c r="Y1740" s="79" t="str">
        <f>IF(AND(OR(N1740="131",O1740="131"),H1740='131-CT'!$H$9),"x","")</f>
        <v/>
      </c>
      <c r="Z1740" s="79"/>
      <c r="AA1740" s="79" t="str">
        <f>IF(AND(MONTH(E1740)='IN-NX'!$J$5,'IN-NX'!$D$7=D1740),"x","")</f>
        <v/>
      </c>
      <c r="AB1740" s="79" t="str">
        <f>IF(AND(OR(LEFT(TH!N1740,2)="15",LEFT(TH!O1740,2)="15"),LEFT(TH!O1740,3)&lt;&gt;"111",'152-CT'!$J$8=TH!F1740),"x","")</f>
        <v/>
      </c>
      <c r="AC1740" s="79" t="str">
        <f>IF(AND(OR(LEFT(TH!N1740,2)="15",LEFT(TH!O1740,2)="15"),TK!$E$7=TH!F1740),"x","")</f>
        <v/>
      </c>
      <c r="AD1740" s="79" t="str">
        <f>IF(AND(N1740="1521",MONTH(C1740)='BK-NL'!$M$11),"x","")</f>
        <v/>
      </c>
    </row>
    <row r="1741" spans="1:30" ht="16.5" customHeight="1">
      <c r="A1741" s="318" t="str">
        <f>IF(B1741&lt;&gt;"",IF(AND(B1741='IN-TC'!$S$4,OR(TH!N1741="1111",TH!O1741="1111")),TH!D1741,""),"")</f>
        <v/>
      </c>
      <c r="B1741" s="60" t="str">
        <f t="shared" si="211"/>
        <v/>
      </c>
      <c r="C1741" s="989"/>
      <c r="D1741" s="989"/>
      <c r="E1741" s="989"/>
      <c r="F1741" s="921"/>
      <c r="G1741" s="991"/>
      <c r="H1741" s="1011"/>
      <c r="I1741" s="994"/>
      <c r="J1741" s="992"/>
      <c r="K1741" s="994"/>
      <c r="L1741" s="992"/>
      <c r="M1741" s="995"/>
      <c r="N1741" s="996"/>
      <c r="O1741" s="996"/>
      <c r="P1741" s="79" t="str">
        <f>IF(AND('331-CT'!$E$7=TH!H1741,OR(N1741="331",O1741="331")),"x","")</f>
        <v/>
      </c>
      <c r="Q1741" s="79" t="str">
        <f>IF(AND(B1741='111'!$L$11,OR($N1741=$Q$7,$O1741=$Q$7)),"x","")</f>
        <v/>
      </c>
      <c r="R1741" s="79" t="str">
        <f>IF(AND($N1741=$Q$7,$B1741&lt;'111'!$L$11),"x","")</f>
        <v/>
      </c>
      <c r="S1741" s="79" t="str">
        <f>IF(AND($O1741=$Q$7,$B1741&lt;'111'!$L$11),"x","")</f>
        <v/>
      </c>
      <c r="T1741" s="79" t="str">
        <f>IF(ISERROR(FIND('112'!$M$9,G1741,1)),"",IF((AND(FIND('112'!$M$9,G1741,1)&gt;=1,B1741='112'!$K$9,OR($N1741='112'!$I$6,$O1741='112'!$I$6))),"x",""))</f>
        <v/>
      </c>
      <c r="U1741" s="79" t="str">
        <f>IF(ISERROR(FIND('112'!$M$9,G1741,1)),"",IF((AND(LEFT(G1741,2)=LEFT('112'!$M$9,2),B1741&lt;'112'!$K$9,$N1741='112'!$I$6)),"x",""))</f>
        <v/>
      </c>
      <c r="V1741" s="79" t="str">
        <f>IF(ISERROR(FIND('112'!$M$9,G1741,1)),"",IF((AND(RIGHT(G1741,2)=RIGHT('112'!$M$9,2),B1741&lt;'112'!$K$9,$O1741='112'!$I$6)),"x",""))</f>
        <v/>
      </c>
      <c r="W1741" s="79" t="str">
        <f>IF(AND('341-CT'!$H$9=H1741,OR(LEFT(N1741,3)=$W$7,LEFT(O1741,3)=$W$7)),"x","")</f>
        <v/>
      </c>
      <c r="X1741" s="79" t="str">
        <f>IF(OR(TH!N1741=TH!$X$7,O1741=TH!$X$7),"x","")</f>
        <v/>
      </c>
      <c r="Y1741" s="79" t="str">
        <f>IF(AND(OR(N1741="131",O1741="131"),H1741='131-CT'!$H$9),"x","")</f>
        <v/>
      </c>
      <c r="Z1741" s="79"/>
      <c r="AA1741" s="79" t="str">
        <f>IF(AND(MONTH(E1741)='IN-NX'!$J$5,'IN-NX'!$D$7=D1741),"x","")</f>
        <v/>
      </c>
      <c r="AB1741" s="79" t="str">
        <f>IF(AND(OR(LEFT(TH!N1741,2)="15",LEFT(TH!O1741,2)="15"),LEFT(TH!O1741,3)&lt;&gt;"111",'152-CT'!$J$8=TH!F1741),"x","")</f>
        <v/>
      </c>
      <c r="AC1741" s="79" t="str">
        <f>IF(AND(OR(LEFT(TH!N1741,2)="15",LEFT(TH!O1741,2)="15"),TK!$E$7=TH!F1741),"x","")</f>
        <v/>
      </c>
      <c r="AD1741" s="79" t="str">
        <f>IF(AND(N1741="1521",MONTH(C1741)='BK-NL'!$M$11),"x","")</f>
        <v/>
      </c>
    </row>
    <row r="1742" spans="1:30" ht="16.5" customHeight="1">
      <c r="A1742" s="318" t="str">
        <f>IF(B1742&lt;&gt;"",IF(AND(B1742='IN-TC'!$S$4,OR(TH!N1742="1111",TH!O1742="1111")),TH!D1742,""),"")</f>
        <v/>
      </c>
      <c r="B1742" s="60" t="str">
        <f t="shared" si="211"/>
        <v/>
      </c>
      <c r="C1742" s="989"/>
      <c r="D1742" s="989"/>
      <c r="E1742" s="989"/>
      <c r="F1742" s="921"/>
      <c r="G1742" s="991"/>
      <c r="H1742" s="1011"/>
      <c r="I1742" s="994"/>
      <c r="J1742" s="992"/>
      <c r="K1742" s="994"/>
      <c r="L1742" s="992"/>
      <c r="M1742" s="995"/>
      <c r="N1742" s="996"/>
      <c r="O1742" s="996"/>
      <c r="P1742" s="79" t="str">
        <f>IF(AND('331-CT'!$E$7=TH!H1742,OR(N1742="331",O1742="331")),"x","")</f>
        <v/>
      </c>
      <c r="Q1742" s="79" t="str">
        <f>IF(AND(B1742='111'!$L$11,OR($N1742=$Q$7,$O1742=$Q$7)),"x","")</f>
        <v/>
      </c>
      <c r="R1742" s="79" t="str">
        <f>IF(AND($N1742=$Q$7,$B1742&lt;'111'!$L$11),"x","")</f>
        <v/>
      </c>
      <c r="S1742" s="79" t="str">
        <f>IF(AND($O1742=$Q$7,$B1742&lt;'111'!$L$11),"x","")</f>
        <v/>
      </c>
      <c r="T1742" s="79" t="str">
        <f>IF(ISERROR(FIND('112'!$M$9,G1742,1)),"",IF((AND(FIND('112'!$M$9,G1742,1)&gt;=1,B1742='112'!$K$9,OR($N1742='112'!$I$6,$O1742='112'!$I$6))),"x",""))</f>
        <v/>
      </c>
      <c r="U1742" s="79" t="str">
        <f>IF(ISERROR(FIND('112'!$M$9,G1742,1)),"",IF((AND(LEFT(G1742,2)=LEFT('112'!$M$9,2),B1742&lt;'112'!$K$9,$N1742='112'!$I$6)),"x",""))</f>
        <v/>
      </c>
      <c r="V1742" s="79" t="str">
        <f>IF(ISERROR(FIND('112'!$M$9,G1742,1)),"",IF((AND(RIGHT(G1742,2)=RIGHT('112'!$M$9,2),B1742&lt;'112'!$K$9,$O1742='112'!$I$6)),"x",""))</f>
        <v/>
      </c>
      <c r="W1742" s="79" t="str">
        <f>IF(AND('341-CT'!$H$9=H1742,OR(LEFT(N1742,3)=$W$7,LEFT(O1742,3)=$W$7)),"x","")</f>
        <v/>
      </c>
      <c r="X1742" s="79" t="str">
        <f>IF(OR(TH!N1742=TH!$X$7,O1742=TH!$X$7),"x","")</f>
        <v/>
      </c>
      <c r="Y1742" s="79" t="str">
        <f>IF(AND(OR(N1742="131",O1742="131"),H1742='131-CT'!$H$9),"x","")</f>
        <v/>
      </c>
      <c r="Z1742" s="79"/>
      <c r="AA1742" s="79" t="str">
        <f>IF(AND(MONTH(E1742)='IN-NX'!$J$5,'IN-NX'!$D$7=D1742),"x","")</f>
        <v/>
      </c>
      <c r="AB1742" s="79" t="str">
        <f>IF(AND(OR(LEFT(TH!N1742,2)="15",LEFT(TH!O1742,2)="15"),LEFT(TH!O1742,3)&lt;&gt;"111",'152-CT'!$J$8=TH!F1742),"x","")</f>
        <v/>
      </c>
      <c r="AC1742" s="79" t="str">
        <f>IF(AND(OR(LEFT(TH!N1742,2)="15",LEFT(TH!O1742,2)="15"),TK!$E$7=TH!F1742),"x","")</f>
        <v/>
      </c>
      <c r="AD1742" s="79" t="str">
        <f>IF(AND(N1742="1521",MONTH(C1742)='BK-NL'!$M$11),"x","")</f>
        <v/>
      </c>
    </row>
    <row r="1743" spans="1:30" ht="16.5" customHeight="1">
      <c r="A1743" s="318" t="str">
        <f>IF(B1743&lt;&gt;"",IF(AND(B1743='IN-TC'!$S$4,OR(TH!N1743="1111",TH!O1743="1111")),TH!D1743,""),"")</f>
        <v/>
      </c>
      <c r="B1743" s="60" t="str">
        <f t="shared" si="211"/>
        <v/>
      </c>
      <c r="C1743" s="989"/>
      <c r="D1743" s="989"/>
      <c r="E1743" s="989"/>
      <c r="F1743" s="921"/>
      <c r="G1743" s="991"/>
      <c r="H1743" s="1011"/>
      <c r="I1743" s="994"/>
      <c r="J1743" s="992"/>
      <c r="K1743" s="994"/>
      <c r="L1743" s="992"/>
      <c r="M1743" s="995"/>
      <c r="N1743" s="996"/>
      <c r="O1743" s="996"/>
      <c r="P1743" s="79" t="str">
        <f>IF(AND('331-CT'!$E$7=TH!H1743,OR(N1743="331",O1743="331")),"x","")</f>
        <v/>
      </c>
      <c r="Q1743" s="79" t="str">
        <f>IF(AND(B1743='111'!$L$11,OR($N1743=$Q$7,$O1743=$Q$7)),"x","")</f>
        <v/>
      </c>
      <c r="R1743" s="79" t="str">
        <f>IF(AND($N1743=$Q$7,$B1743&lt;'111'!$L$11),"x","")</f>
        <v/>
      </c>
      <c r="S1743" s="79" t="str">
        <f>IF(AND($O1743=$Q$7,$B1743&lt;'111'!$L$11),"x","")</f>
        <v/>
      </c>
      <c r="T1743" s="79" t="str">
        <f>IF(ISERROR(FIND('112'!$M$9,G1743,1)),"",IF((AND(FIND('112'!$M$9,G1743,1)&gt;=1,B1743='112'!$K$9,OR($N1743='112'!$I$6,$O1743='112'!$I$6))),"x",""))</f>
        <v/>
      </c>
      <c r="U1743" s="79" t="str">
        <f>IF(ISERROR(FIND('112'!$M$9,G1743,1)),"",IF((AND(LEFT(G1743,2)=LEFT('112'!$M$9,2),B1743&lt;'112'!$K$9,$N1743='112'!$I$6)),"x",""))</f>
        <v/>
      </c>
      <c r="V1743" s="79" t="str">
        <f>IF(ISERROR(FIND('112'!$M$9,G1743,1)),"",IF((AND(RIGHT(G1743,2)=RIGHT('112'!$M$9,2),B1743&lt;'112'!$K$9,$O1743='112'!$I$6)),"x",""))</f>
        <v/>
      </c>
      <c r="W1743" s="79" t="str">
        <f>IF(AND('341-CT'!$H$9=H1743,OR(LEFT(N1743,3)=$W$7,LEFT(O1743,3)=$W$7)),"x","")</f>
        <v/>
      </c>
      <c r="X1743" s="79" t="str">
        <f>IF(OR(TH!N1743=TH!$X$7,O1743=TH!$X$7),"x","")</f>
        <v/>
      </c>
      <c r="Y1743" s="79" t="str">
        <f>IF(AND(OR(N1743="131",O1743="131"),H1743='131-CT'!$H$9),"x","")</f>
        <v/>
      </c>
      <c r="Z1743" s="79"/>
      <c r="AA1743" s="79" t="str">
        <f>IF(AND(MONTH(E1743)='IN-NX'!$J$5,'IN-NX'!$D$7=D1743),"x","")</f>
        <v/>
      </c>
      <c r="AB1743" s="79" t="str">
        <f>IF(AND(OR(LEFT(TH!N1743,2)="15",LEFT(TH!O1743,2)="15"),LEFT(TH!O1743,3)&lt;&gt;"111",'152-CT'!$J$8=TH!F1743),"x","")</f>
        <v/>
      </c>
      <c r="AC1743" s="79" t="str">
        <f>IF(AND(OR(LEFT(TH!N1743,2)="15",LEFT(TH!O1743,2)="15"),TK!$E$7=TH!F1743),"x","")</f>
        <v/>
      </c>
      <c r="AD1743" s="79" t="str">
        <f>IF(AND(N1743="1521",MONTH(C1743)='BK-NL'!$M$11),"x","")</f>
        <v/>
      </c>
    </row>
    <row r="1744" spans="1:30" ht="16.5" customHeight="1">
      <c r="A1744" s="318" t="str">
        <f>IF(B1744&lt;&gt;"",IF(AND(B1744='IN-TC'!$S$4,OR(TH!N1744="1111",TH!O1744="1111")),TH!D1744,""),"")</f>
        <v/>
      </c>
      <c r="B1744" s="60" t="str">
        <f t="shared" si="211"/>
        <v/>
      </c>
      <c r="C1744" s="989"/>
      <c r="D1744" s="989"/>
      <c r="E1744" s="989"/>
      <c r="F1744" s="921"/>
      <c r="G1744" s="991"/>
      <c r="H1744" s="1011"/>
      <c r="I1744" s="994"/>
      <c r="J1744" s="992"/>
      <c r="K1744" s="994"/>
      <c r="L1744" s="992"/>
      <c r="M1744" s="995"/>
      <c r="N1744" s="996"/>
      <c r="O1744" s="996"/>
      <c r="P1744" s="79" t="str">
        <f>IF(AND('331-CT'!$E$7=TH!H1744,OR(N1744="331",O1744="331")),"x","")</f>
        <v/>
      </c>
      <c r="Q1744" s="79" t="str">
        <f>IF(AND(B1744='111'!$L$11,OR($N1744=$Q$7,$O1744=$Q$7)),"x","")</f>
        <v/>
      </c>
      <c r="R1744" s="79" t="str">
        <f>IF(AND($N1744=$Q$7,$B1744&lt;'111'!$L$11),"x","")</f>
        <v/>
      </c>
      <c r="S1744" s="79" t="str">
        <f>IF(AND($O1744=$Q$7,$B1744&lt;'111'!$L$11),"x","")</f>
        <v/>
      </c>
      <c r="T1744" s="79" t="str">
        <f>IF(ISERROR(FIND('112'!$M$9,G1744,1)),"",IF((AND(FIND('112'!$M$9,G1744,1)&gt;=1,B1744='112'!$K$9,OR($N1744='112'!$I$6,$O1744='112'!$I$6))),"x",""))</f>
        <v/>
      </c>
      <c r="U1744" s="79" t="str">
        <f>IF(ISERROR(FIND('112'!$M$9,G1744,1)),"",IF((AND(LEFT(G1744,2)=LEFT('112'!$M$9,2),B1744&lt;'112'!$K$9,$N1744='112'!$I$6)),"x",""))</f>
        <v/>
      </c>
      <c r="V1744" s="79" t="str">
        <f>IF(ISERROR(FIND('112'!$M$9,G1744,1)),"",IF((AND(RIGHT(G1744,2)=RIGHT('112'!$M$9,2),B1744&lt;'112'!$K$9,$O1744='112'!$I$6)),"x",""))</f>
        <v/>
      </c>
      <c r="W1744" s="79" t="str">
        <f>IF(AND('341-CT'!$H$9=H1744,OR(LEFT(N1744,3)=$W$7,LEFT(O1744,3)=$W$7)),"x","")</f>
        <v/>
      </c>
      <c r="X1744" s="79" t="str">
        <f>IF(OR(TH!N1744=TH!$X$7,O1744=TH!$X$7),"x","")</f>
        <v/>
      </c>
      <c r="Y1744" s="79" t="str">
        <f>IF(AND(OR(N1744="131",O1744="131"),H1744='131-CT'!$H$9),"x","")</f>
        <v/>
      </c>
      <c r="Z1744" s="79"/>
      <c r="AA1744" s="79" t="str">
        <f>IF(AND(MONTH(E1744)='IN-NX'!$J$5,'IN-NX'!$D$7=D1744),"x","")</f>
        <v/>
      </c>
      <c r="AB1744" s="79" t="str">
        <f>IF(AND(OR(LEFT(TH!N1744,2)="15",LEFT(TH!O1744,2)="15"),LEFT(TH!O1744,3)&lt;&gt;"111",'152-CT'!$J$8=TH!F1744),"x","")</f>
        <v/>
      </c>
      <c r="AC1744" s="79" t="str">
        <f>IF(AND(OR(LEFT(TH!N1744,2)="15",LEFT(TH!O1744,2)="15"),TK!$E$7=TH!F1744),"x","")</f>
        <v/>
      </c>
      <c r="AD1744" s="79" t="str">
        <f>IF(AND(N1744="1521",MONTH(C1744)='BK-NL'!$M$11),"x","")</f>
        <v/>
      </c>
    </row>
    <row r="1745" spans="1:30" ht="17.25" customHeight="1">
      <c r="A1745" s="318" t="str">
        <f>IF(B1745&lt;&gt;"",IF(AND(B1745='IN-TC'!$S$4,OR(TH!N1745="1111",TH!O1745="1111")),TH!D1745,""),"")</f>
        <v/>
      </c>
      <c r="B1745" s="60" t="str">
        <f t="shared" si="211"/>
        <v/>
      </c>
      <c r="C1745" s="989"/>
      <c r="D1745" s="989"/>
      <c r="E1745" s="989"/>
      <c r="F1745" s="921"/>
      <c r="G1745" s="991"/>
      <c r="H1745" s="1011"/>
      <c r="I1745" s="994"/>
      <c r="J1745" s="992"/>
      <c r="K1745" s="994"/>
      <c r="L1745" s="992"/>
      <c r="M1745" s="995"/>
      <c r="N1745" s="996"/>
      <c r="O1745" s="996"/>
      <c r="P1745" s="79" t="str">
        <f>IF(AND('331-CT'!$E$7=TH!H1745,OR(N1745="331",O1745="331")),"x","")</f>
        <v/>
      </c>
      <c r="Q1745" s="79" t="str">
        <f>IF(AND(B1745='111'!$L$11,OR($N1745=$Q$7,$O1745=$Q$7)),"x","")</f>
        <v/>
      </c>
      <c r="R1745" s="79" t="str">
        <f>IF(AND($N1745=$Q$7,$B1745&lt;'111'!$L$11),"x","")</f>
        <v/>
      </c>
      <c r="S1745" s="79" t="str">
        <f>IF(AND($O1745=$Q$7,$B1745&lt;'111'!$L$11),"x","")</f>
        <v/>
      </c>
      <c r="T1745" s="79" t="str">
        <f>IF(ISERROR(FIND('112'!$M$9,G1745,1)),"",IF((AND(FIND('112'!$M$9,G1745,1)&gt;=1,B1745='112'!$K$9,OR($N1745='112'!$I$6,$O1745='112'!$I$6))),"x",""))</f>
        <v/>
      </c>
      <c r="U1745" s="79" t="str">
        <f>IF(ISERROR(FIND('112'!$M$9,G1745,1)),"",IF((AND(LEFT(G1745,2)=LEFT('112'!$M$9,2),B1745&lt;'112'!$K$9,$N1745='112'!$I$6)),"x",""))</f>
        <v/>
      </c>
      <c r="V1745" s="79" t="str">
        <f>IF(ISERROR(FIND('112'!$M$9,G1745,1)),"",IF((AND(RIGHT(G1745,2)=RIGHT('112'!$M$9,2),B1745&lt;'112'!$K$9,$O1745='112'!$I$6)),"x",""))</f>
        <v/>
      </c>
      <c r="W1745" s="79" t="str">
        <f>IF(AND('341-CT'!$H$9=H1745,OR(LEFT(N1745,3)=$W$7,LEFT(O1745,3)=$W$7)),"x","")</f>
        <v/>
      </c>
      <c r="X1745" s="79" t="str">
        <f>IF(OR(TH!N1745=TH!$X$7,O1745=TH!$X$7),"x","")</f>
        <v/>
      </c>
      <c r="Y1745" s="79" t="str">
        <f>IF(AND(OR(N1745="131",O1745="131"),H1745='131-CT'!$H$9),"x","")</f>
        <v/>
      </c>
      <c r="Z1745" s="79"/>
      <c r="AA1745" s="79" t="str">
        <f>IF(AND(MONTH(E1745)='IN-NX'!$J$5,'IN-NX'!$D$7=D1745),"x","")</f>
        <v/>
      </c>
      <c r="AB1745" s="79" t="str">
        <f>IF(AND(OR(LEFT(TH!N1745,2)="15",LEFT(TH!O1745,2)="15"),LEFT(TH!O1745,3)&lt;&gt;"111",'152-CT'!$J$8=TH!F1745),"x","")</f>
        <v/>
      </c>
      <c r="AC1745" s="79" t="str">
        <f>IF(AND(OR(LEFT(TH!N1745,2)="15",LEFT(TH!O1745,2)="15"),TK!$E$7=TH!F1745),"x","")</f>
        <v/>
      </c>
      <c r="AD1745" s="79" t="str">
        <f>IF(AND(N1745="1521",MONTH(C1745)='BK-NL'!$M$11),"x","")</f>
        <v/>
      </c>
    </row>
    <row r="1746" spans="1:30" ht="17.25" customHeight="1">
      <c r="A1746" s="318" t="str">
        <f>IF(B1746&lt;&gt;"",IF(AND(B1746='IN-TC'!$S$4,OR(TH!N1746="1111",TH!O1746="1111")),TH!D1746,""),"")</f>
        <v/>
      </c>
      <c r="B1746" s="60" t="str">
        <f t="shared" si="211"/>
        <v/>
      </c>
      <c r="C1746" s="989"/>
      <c r="D1746" s="989"/>
      <c r="E1746" s="989"/>
      <c r="F1746" s="921"/>
      <c r="G1746" s="991"/>
      <c r="H1746" s="1011"/>
      <c r="I1746" s="994"/>
      <c r="J1746" s="992"/>
      <c r="K1746" s="994"/>
      <c r="L1746" s="992"/>
      <c r="M1746" s="995"/>
      <c r="N1746" s="996"/>
      <c r="O1746" s="996"/>
      <c r="P1746" s="79" t="str">
        <f>IF(AND('331-CT'!$E$7=TH!H1746,OR(N1746="331",O1746="331")),"x","")</f>
        <v/>
      </c>
      <c r="Q1746" s="79" t="str">
        <f>IF(AND(B1746='111'!$L$11,OR($N1746=$Q$7,$O1746=$Q$7)),"x","")</f>
        <v/>
      </c>
      <c r="R1746" s="79" t="str">
        <f>IF(AND($N1746=$Q$7,$B1746&lt;'111'!$L$11),"x","")</f>
        <v/>
      </c>
      <c r="S1746" s="79" t="str">
        <f>IF(AND($O1746=$Q$7,$B1746&lt;'111'!$L$11),"x","")</f>
        <v/>
      </c>
      <c r="T1746" s="79" t="str">
        <f>IF(ISERROR(FIND('112'!$M$9,G1746,1)),"",IF((AND(FIND('112'!$M$9,G1746,1)&gt;=1,B1746='112'!$K$9,OR($N1746='112'!$I$6,$O1746='112'!$I$6))),"x",""))</f>
        <v/>
      </c>
      <c r="U1746" s="79" t="str">
        <f>IF(ISERROR(FIND('112'!$M$9,G1746,1)),"",IF((AND(LEFT(G1746,2)=LEFT('112'!$M$9,2),B1746&lt;'112'!$K$9,$N1746='112'!$I$6)),"x",""))</f>
        <v/>
      </c>
      <c r="V1746" s="79" t="str">
        <f>IF(ISERROR(FIND('112'!$M$9,G1746,1)),"",IF((AND(RIGHT(G1746,2)=RIGHT('112'!$M$9,2),B1746&lt;'112'!$K$9,$O1746='112'!$I$6)),"x",""))</f>
        <v/>
      </c>
      <c r="W1746" s="79" t="str">
        <f>IF(AND('341-CT'!$H$9=H1746,OR(LEFT(N1746,3)=$W$7,LEFT(O1746,3)=$W$7)),"x","")</f>
        <v/>
      </c>
      <c r="X1746" s="79" t="str">
        <f>IF(OR(TH!N1746=TH!$X$7,O1746=TH!$X$7),"x","")</f>
        <v/>
      </c>
      <c r="Y1746" s="79" t="str">
        <f>IF(AND(OR(N1746="131",O1746="131"),H1746='131-CT'!$H$9),"x","")</f>
        <v/>
      </c>
      <c r="Z1746" s="79"/>
      <c r="AA1746" s="79" t="str">
        <f>IF(AND(MONTH(E1746)='IN-NX'!$J$5,'IN-NX'!$D$7=D1746),"x","")</f>
        <v/>
      </c>
      <c r="AB1746" s="79" t="str">
        <f>IF(AND(OR(LEFT(TH!N1746,2)="15",LEFT(TH!O1746,2)="15"),LEFT(TH!O1746,3)&lt;&gt;"111",'152-CT'!$J$8=TH!F1746),"x","")</f>
        <v/>
      </c>
      <c r="AC1746" s="79" t="str">
        <f>IF(AND(OR(LEFT(TH!N1746,2)="15",LEFT(TH!O1746,2)="15"),TK!$E$7=TH!F1746),"x","")</f>
        <v/>
      </c>
      <c r="AD1746" s="79" t="str">
        <f>IF(AND(N1746="1521",MONTH(C1746)='BK-NL'!$M$11),"x","")</f>
        <v/>
      </c>
    </row>
    <row r="1747" spans="1:30" ht="16.5" customHeight="1">
      <c r="A1747" s="318" t="str">
        <f>IF(B1747&lt;&gt;"",IF(AND(B1747='IN-TC'!$S$4,OR(TH!N1747="1111",TH!O1747="1111")),TH!D1747,""),"")</f>
        <v/>
      </c>
      <c r="B1747" s="60" t="str">
        <f t="shared" si="211"/>
        <v/>
      </c>
      <c r="C1747" s="989"/>
      <c r="D1747" s="989"/>
      <c r="E1747" s="989"/>
      <c r="F1747" s="921"/>
      <c r="G1747" s="991"/>
      <c r="H1747" s="1011"/>
      <c r="I1747" s="994"/>
      <c r="J1747" s="992"/>
      <c r="K1747" s="994"/>
      <c r="L1747" s="992"/>
      <c r="M1747" s="995"/>
      <c r="N1747" s="996"/>
      <c r="O1747" s="996"/>
      <c r="P1747" s="79" t="str">
        <f>IF(AND('331-CT'!$E$7=TH!H1747,OR(N1747="331",O1747="331")),"x","")</f>
        <v/>
      </c>
      <c r="Q1747" s="79" t="str">
        <f>IF(AND(B1747='111'!$L$11,OR($N1747=$Q$7,$O1747=$Q$7)),"x","")</f>
        <v/>
      </c>
      <c r="R1747" s="79" t="str">
        <f>IF(AND($N1747=$Q$7,$B1747&lt;'111'!$L$11),"x","")</f>
        <v/>
      </c>
      <c r="S1747" s="79" t="str">
        <f>IF(AND($O1747=$Q$7,$B1747&lt;'111'!$L$11),"x","")</f>
        <v/>
      </c>
      <c r="T1747" s="79" t="str">
        <f>IF(ISERROR(FIND('112'!$M$9,G1747,1)),"",IF((AND(FIND('112'!$M$9,G1747,1)&gt;=1,B1747='112'!$K$9,OR($N1747='112'!$I$6,$O1747='112'!$I$6))),"x",""))</f>
        <v/>
      </c>
      <c r="U1747" s="79" t="str">
        <f>IF(ISERROR(FIND('112'!$M$9,G1747,1)),"",IF((AND(LEFT(G1747,2)=LEFT('112'!$M$9,2),B1747&lt;'112'!$K$9,$N1747='112'!$I$6)),"x",""))</f>
        <v/>
      </c>
      <c r="V1747" s="79" t="str">
        <f>IF(ISERROR(FIND('112'!$M$9,G1747,1)),"",IF((AND(RIGHT(G1747,2)=RIGHT('112'!$M$9,2),B1747&lt;'112'!$K$9,$O1747='112'!$I$6)),"x",""))</f>
        <v/>
      </c>
      <c r="W1747" s="79" t="str">
        <f>IF(AND('341-CT'!$H$9=H1747,OR(LEFT(N1747,3)=$W$7,LEFT(O1747,3)=$W$7)),"x","")</f>
        <v/>
      </c>
      <c r="X1747" s="79" t="str">
        <f>IF(OR(TH!N1747=TH!$X$7,O1747=TH!$X$7),"x","")</f>
        <v/>
      </c>
      <c r="Y1747" s="79" t="str">
        <f>IF(AND(OR(N1747="131",O1747="131"),H1747='131-CT'!$H$9),"x","")</f>
        <v/>
      </c>
      <c r="Z1747" s="79"/>
      <c r="AA1747" s="79" t="str">
        <f>IF(AND(MONTH(E1747)='IN-NX'!$J$5,'IN-NX'!$D$7=D1747),"x","")</f>
        <v/>
      </c>
      <c r="AB1747" s="79" t="str">
        <f>IF(AND(OR(LEFT(TH!N1747,2)="15",LEFT(TH!O1747,2)="15"),LEFT(TH!O1747,3)&lt;&gt;"111",'152-CT'!$J$8=TH!F1747),"x","")</f>
        <v/>
      </c>
      <c r="AC1747" s="79" t="str">
        <f>IF(AND(OR(LEFT(TH!N1747,2)="15",LEFT(TH!O1747,2)="15"),TK!$E$7=TH!F1747),"x","")</f>
        <v/>
      </c>
      <c r="AD1747" s="79" t="str">
        <f>IF(AND(N1747="1521",MONTH(C1747)='BK-NL'!$M$11),"x","")</f>
        <v/>
      </c>
    </row>
    <row r="1748" spans="1:30" ht="16.5" customHeight="1">
      <c r="A1748" s="318" t="str">
        <f>IF(B1748&lt;&gt;"",IF(AND(B1748='IN-TC'!$S$4,OR(TH!N1748="1111",TH!O1748="1111")),TH!D1748,""),"")</f>
        <v/>
      </c>
      <c r="B1748" s="60" t="str">
        <f t="shared" si="211"/>
        <v/>
      </c>
      <c r="C1748" s="989"/>
      <c r="D1748" s="989"/>
      <c r="E1748" s="989"/>
      <c r="F1748" s="921"/>
      <c r="G1748" s="991"/>
      <c r="H1748" s="1011"/>
      <c r="I1748" s="994"/>
      <c r="J1748" s="992"/>
      <c r="K1748" s="994"/>
      <c r="L1748" s="992"/>
      <c r="M1748" s="995"/>
      <c r="N1748" s="996"/>
      <c r="O1748" s="996"/>
      <c r="P1748" s="79" t="str">
        <f>IF(AND('331-CT'!$E$7=TH!H1748,OR(N1748="331",O1748="331")),"x","")</f>
        <v/>
      </c>
      <c r="Q1748" s="79" t="str">
        <f>IF(AND(B1748='111'!$L$11,OR($N1748=$Q$7,$O1748=$Q$7)),"x","")</f>
        <v/>
      </c>
      <c r="R1748" s="79" t="str">
        <f>IF(AND($N1748=$Q$7,$B1748&lt;'111'!$L$11),"x","")</f>
        <v/>
      </c>
      <c r="S1748" s="79" t="str">
        <f>IF(AND($O1748=$Q$7,$B1748&lt;'111'!$L$11),"x","")</f>
        <v/>
      </c>
      <c r="T1748" s="79" t="str">
        <f>IF(ISERROR(FIND('112'!$M$9,G1748,1)),"",IF((AND(FIND('112'!$M$9,G1748,1)&gt;=1,B1748='112'!$K$9,OR($N1748='112'!$I$6,$O1748='112'!$I$6))),"x",""))</f>
        <v/>
      </c>
      <c r="U1748" s="79" t="str">
        <f>IF(ISERROR(FIND('112'!$M$9,G1748,1)),"",IF((AND(LEFT(G1748,2)=LEFT('112'!$M$9,2),B1748&lt;'112'!$K$9,$N1748='112'!$I$6)),"x",""))</f>
        <v/>
      </c>
      <c r="V1748" s="79" t="str">
        <f>IF(ISERROR(FIND('112'!$M$9,G1748,1)),"",IF((AND(RIGHT(G1748,2)=RIGHT('112'!$M$9,2),B1748&lt;'112'!$K$9,$O1748='112'!$I$6)),"x",""))</f>
        <v/>
      </c>
      <c r="W1748" s="79" t="str">
        <f>IF(AND('341-CT'!$H$9=H1748,OR(LEFT(N1748,3)=$W$7,LEFT(O1748,3)=$W$7)),"x","")</f>
        <v/>
      </c>
      <c r="X1748" s="79" t="str">
        <f>IF(OR(TH!N1748=TH!$X$7,O1748=TH!$X$7),"x","")</f>
        <v/>
      </c>
      <c r="Y1748" s="79" t="str">
        <f>IF(AND(OR(N1748="131",O1748="131"),H1748='131-CT'!$H$9),"x","")</f>
        <v/>
      </c>
      <c r="Z1748" s="79"/>
      <c r="AA1748" s="79" t="str">
        <f>IF(AND(MONTH(E1748)='IN-NX'!$J$5,'IN-NX'!$D$7=D1748),"x","")</f>
        <v/>
      </c>
      <c r="AB1748" s="79" t="str">
        <f>IF(AND(OR(LEFT(TH!N1748,2)="15",LEFT(TH!O1748,2)="15"),LEFT(TH!O1748,3)&lt;&gt;"111",'152-CT'!$J$8=TH!F1748),"x","")</f>
        <v/>
      </c>
      <c r="AC1748" s="79" t="str">
        <f>IF(AND(OR(LEFT(TH!N1748,2)="15",LEFT(TH!O1748,2)="15"),TK!$E$7=TH!F1748),"x","")</f>
        <v/>
      </c>
      <c r="AD1748" s="79" t="str">
        <f>IF(AND(N1748="1521",MONTH(C1748)='BK-NL'!$M$11),"x","")</f>
        <v/>
      </c>
    </row>
    <row r="1749" spans="1:30" ht="16.5" customHeight="1">
      <c r="A1749" s="318" t="str">
        <f>IF(B1749&lt;&gt;"",IF(AND(B1749='IN-TC'!$S$4,OR(TH!N1749="1111",TH!O1749="1111")),TH!D1749,""),"")</f>
        <v/>
      </c>
      <c r="B1749" s="60" t="str">
        <f t="shared" si="211"/>
        <v/>
      </c>
      <c r="C1749" s="989"/>
      <c r="D1749" s="989"/>
      <c r="E1749" s="989"/>
      <c r="F1749" s="921"/>
      <c r="G1749" s="991"/>
      <c r="H1749" s="1011"/>
      <c r="I1749" s="994"/>
      <c r="J1749" s="992"/>
      <c r="K1749" s="994"/>
      <c r="L1749" s="992"/>
      <c r="M1749" s="995"/>
      <c r="N1749" s="996"/>
      <c r="O1749" s="996"/>
      <c r="P1749" s="79" t="str">
        <f>IF(AND('331-CT'!$E$7=TH!H1749,OR(N1749="331",O1749="331")),"x","")</f>
        <v/>
      </c>
      <c r="Q1749" s="79" t="str">
        <f>IF(AND(B1749='111'!$L$11,OR($N1749=$Q$7,$O1749=$Q$7)),"x","")</f>
        <v/>
      </c>
      <c r="R1749" s="79" t="str">
        <f>IF(AND($N1749=$Q$7,$B1749&lt;'111'!$L$11),"x","")</f>
        <v/>
      </c>
      <c r="S1749" s="79" t="str">
        <f>IF(AND($O1749=$Q$7,$B1749&lt;'111'!$L$11),"x","")</f>
        <v/>
      </c>
      <c r="T1749" s="79" t="str">
        <f>IF(ISERROR(FIND('112'!$M$9,G1749,1)),"",IF((AND(FIND('112'!$M$9,G1749,1)&gt;=1,B1749='112'!$K$9,OR($N1749='112'!$I$6,$O1749='112'!$I$6))),"x",""))</f>
        <v/>
      </c>
      <c r="U1749" s="79" t="str">
        <f>IF(ISERROR(FIND('112'!$M$9,G1749,1)),"",IF((AND(LEFT(G1749,2)=LEFT('112'!$M$9,2),B1749&lt;'112'!$K$9,$N1749='112'!$I$6)),"x",""))</f>
        <v/>
      </c>
      <c r="V1749" s="79" t="str">
        <f>IF(ISERROR(FIND('112'!$M$9,G1749,1)),"",IF((AND(RIGHT(G1749,2)=RIGHT('112'!$M$9,2),B1749&lt;'112'!$K$9,$O1749='112'!$I$6)),"x",""))</f>
        <v/>
      </c>
      <c r="W1749" s="79" t="str">
        <f>IF(AND('341-CT'!$H$9=H1749,OR(LEFT(N1749,3)=$W$7,LEFT(O1749,3)=$W$7)),"x","")</f>
        <v/>
      </c>
      <c r="X1749" s="79" t="str">
        <f>IF(OR(TH!N1749=TH!$X$7,O1749=TH!$X$7),"x","")</f>
        <v/>
      </c>
      <c r="Y1749" s="79" t="str">
        <f>IF(AND(OR(N1749="131",O1749="131"),H1749='131-CT'!$H$9),"x","")</f>
        <v/>
      </c>
      <c r="Z1749" s="79"/>
      <c r="AA1749" s="79" t="str">
        <f>IF(AND(MONTH(E1749)='IN-NX'!$J$5,'IN-NX'!$D$7=D1749),"x","")</f>
        <v/>
      </c>
      <c r="AB1749" s="79" t="str">
        <f>IF(AND(OR(LEFT(TH!N1749,2)="15",LEFT(TH!O1749,2)="15"),LEFT(TH!O1749,3)&lt;&gt;"111",'152-CT'!$J$8=TH!F1749),"x","")</f>
        <v/>
      </c>
      <c r="AC1749" s="79" t="str">
        <f>IF(AND(OR(LEFT(TH!N1749,2)="15",LEFT(TH!O1749,2)="15"),TK!$E$7=TH!F1749),"x","")</f>
        <v/>
      </c>
      <c r="AD1749" s="79" t="str">
        <f>IF(AND(N1749="1521",MONTH(C1749)='BK-NL'!$M$11),"x","")</f>
        <v/>
      </c>
    </row>
    <row r="1750" spans="1:30" ht="16.5" customHeight="1">
      <c r="A1750" s="318" t="str">
        <f>IF(B1750&lt;&gt;"",IF(AND(B1750='IN-TC'!$S$4,OR(TH!N1750="1111",TH!O1750="1111")),TH!D1750,""),"")</f>
        <v/>
      </c>
      <c r="B1750" s="60" t="str">
        <f t="shared" si="211"/>
        <v/>
      </c>
      <c r="C1750" s="989"/>
      <c r="D1750" s="989"/>
      <c r="E1750" s="989"/>
      <c r="F1750" s="921"/>
      <c r="G1750" s="991"/>
      <c r="H1750" s="1011"/>
      <c r="I1750" s="994"/>
      <c r="J1750" s="992"/>
      <c r="K1750" s="994"/>
      <c r="L1750" s="992"/>
      <c r="M1750" s="995"/>
      <c r="N1750" s="996"/>
      <c r="O1750" s="996"/>
      <c r="P1750" s="79" t="str">
        <f>IF(AND('331-CT'!$E$7=TH!H1750,OR(N1750="331",O1750="331")),"x","")</f>
        <v/>
      </c>
      <c r="Q1750" s="79" t="str">
        <f>IF(AND(B1750='111'!$L$11,OR($N1750=$Q$7,$O1750=$Q$7)),"x","")</f>
        <v/>
      </c>
      <c r="R1750" s="79" t="str">
        <f>IF(AND($N1750=$Q$7,$B1750&lt;'111'!$L$11),"x","")</f>
        <v/>
      </c>
      <c r="S1750" s="79" t="str">
        <f>IF(AND($O1750=$Q$7,$B1750&lt;'111'!$L$11),"x","")</f>
        <v/>
      </c>
      <c r="T1750" s="79" t="str">
        <f>IF(ISERROR(FIND('112'!$M$9,G1750,1)),"",IF((AND(FIND('112'!$M$9,G1750,1)&gt;=1,B1750='112'!$K$9,OR($N1750='112'!$I$6,$O1750='112'!$I$6))),"x",""))</f>
        <v/>
      </c>
      <c r="U1750" s="79" t="str">
        <f>IF(ISERROR(FIND('112'!$M$9,G1750,1)),"",IF((AND(LEFT(G1750,2)=LEFT('112'!$M$9,2),B1750&lt;'112'!$K$9,$N1750='112'!$I$6)),"x",""))</f>
        <v/>
      </c>
      <c r="V1750" s="79" t="str">
        <f>IF(ISERROR(FIND('112'!$M$9,G1750,1)),"",IF((AND(RIGHT(G1750,2)=RIGHT('112'!$M$9,2),B1750&lt;'112'!$K$9,$O1750='112'!$I$6)),"x",""))</f>
        <v/>
      </c>
      <c r="W1750" s="79" t="str">
        <f>IF(AND('341-CT'!$H$9=H1750,OR(LEFT(N1750,3)=$W$7,LEFT(O1750,3)=$W$7)),"x","")</f>
        <v/>
      </c>
      <c r="X1750" s="79" t="str">
        <f>IF(OR(TH!N1750=TH!$X$7,O1750=TH!$X$7),"x","")</f>
        <v/>
      </c>
      <c r="Y1750" s="79" t="str">
        <f>IF(AND(OR(N1750="131",O1750="131"),H1750='131-CT'!$H$9),"x","")</f>
        <v/>
      </c>
      <c r="Z1750" s="79"/>
      <c r="AA1750" s="79" t="str">
        <f>IF(AND(MONTH(E1750)='IN-NX'!$J$5,'IN-NX'!$D$7=D1750),"x","")</f>
        <v/>
      </c>
      <c r="AB1750" s="79" t="str">
        <f>IF(AND(OR(LEFT(TH!N1750,2)="15",LEFT(TH!O1750,2)="15"),LEFT(TH!O1750,3)&lt;&gt;"111",'152-CT'!$J$8=TH!F1750),"x","")</f>
        <v/>
      </c>
      <c r="AC1750" s="79" t="str">
        <f>IF(AND(OR(LEFT(TH!N1750,2)="15",LEFT(TH!O1750,2)="15"),TK!$E$7=TH!F1750),"x","")</f>
        <v/>
      </c>
      <c r="AD1750" s="79" t="str">
        <f>IF(AND(N1750="1521",MONTH(C1750)='BK-NL'!$M$11),"x","")</f>
        <v/>
      </c>
    </row>
    <row r="1751" spans="1:30" ht="16.5" customHeight="1">
      <c r="A1751" s="318" t="str">
        <f>IF(B1751&lt;&gt;"",IF(AND(B1751='IN-TC'!$S$4,OR(TH!N1751="1111",TH!O1751="1111")),TH!D1751,""),"")</f>
        <v/>
      </c>
      <c r="B1751" s="60" t="str">
        <f t="shared" si="211"/>
        <v/>
      </c>
      <c r="C1751" s="989"/>
      <c r="D1751" s="989"/>
      <c r="E1751" s="989"/>
      <c r="F1751" s="921"/>
      <c r="G1751" s="991"/>
      <c r="H1751" s="1011"/>
      <c r="I1751" s="994"/>
      <c r="J1751" s="992"/>
      <c r="K1751" s="994"/>
      <c r="L1751" s="992"/>
      <c r="M1751" s="995"/>
      <c r="N1751" s="996"/>
      <c r="O1751" s="996"/>
      <c r="P1751" s="79" t="str">
        <f>IF(AND('331-CT'!$E$7=TH!H1751,OR(N1751="331",O1751="331")),"x","")</f>
        <v/>
      </c>
      <c r="Q1751" s="79" t="str">
        <f>IF(AND(B1751='111'!$L$11,OR($N1751=$Q$7,$O1751=$Q$7)),"x","")</f>
        <v/>
      </c>
      <c r="R1751" s="79" t="str">
        <f>IF(AND($N1751=$Q$7,$B1751&lt;'111'!$L$11),"x","")</f>
        <v/>
      </c>
      <c r="S1751" s="79" t="str">
        <f>IF(AND($O1751=$Q$7,$B1751&lt;'111'!$L$11),"x","")</f>
        <v/>
      </c>
      <c r="T1751" s="79" t="str">
        <f>IF(ISERROR(FIND('112'!$M$9,G1751,1)),"",IF((AND(FIND('112'!$M$9,G1751,1)&gt;=1,B1751='112'!$K$9,OR($N1751='112'!$I$6,$O1751='112'!$I$6))),"x",""))</f>
        <v/>
      </c>
      <c r="U1751" s="79" t="str">
        <f>IF(ISERROR(FIND('112'!$M$9,G1751,1)),"",IF((AND(LEFT(G1751,2)=LEFT('112'!$M$9,2),B1751&lt;'112'!$K$9,$N1751='112'!$I$6)),"x",""))</f>
        <v/>
      </c>
      <c r="V1751" s="79" t="str">
        <f>IF(ISERROR(FIND('112'!$M$9,G1751,1)),"",IF((AND(RIGHT(G1751,2)=RIGHT('112'!$M$9,2),B1751&lt;'112'!$K$9,$O1751='112'!$I$6)),"x",""))</f>
        <v/>
      </c>
      <c r="W1751" s="79" t="str">
        <f>IF(AND('341-CT'!$H$9=H1751,OR(LEFT(N1751,3)=$W$7,LEFT(O1751,3)=$W$7)),"x","")</f>
        <v/>
      </c>
      <c r="X1751" s="79" t="str">
        <f>IF(OR(TH!N1751=TH!$X$7,O1751=TH!$X$7),"x","")</f>
        <v/>
      </c>
      <c r="Y1751" s="79" t="str">
        <f>IF(AND(OR(N1751="131",O1751="131"),H1751='131-CT'!$H$9),"x","")</f>
        <v/>
      </c>
      <c r="Z1751" s="79"/>
      <c r="AA1751" s="79" t="str">
        <f>IF(AND(MONTH(E1751)='IN-NX'!$J$5,'IN-NX'!$D$7=D1751),"x","")</f>
        <v/>
      </c>
      <c r="AB1751" s="79" t="str">
        <f>IF(AND(OR(LEFT(TH!N1751,2)="15",LEFT(TH!O1751,2)="15"),LEFT(TH!O1751,3)&lt;&gt;"111",'152-CT'!$J$8=TH!F1751),"x","")</f>
        <v/>
      </c>
      <c r="AC1751" s="79" t="str">
        <f>IF(AND(OR(LEFT(TH!N1751,2)="15",LEFT(TH!O1751,2)="15"),TK!$E$7=TH!F1751),"x","")</f>
        <v/>
      </c>
      <c r="AD1751" s="79" t="str">
        <f>IF(AND(N1751="1521",MONTH(C1751)='BK-NL'!$M$11),"x","")</f>
        <v/>
      </c>
    </row>
    <row r="1752" spans="1:30" ht="16.5" customHeight="1">
      <c r="A1752" s="318" t="str">
        <f>IF(B1752&lt;&gt;"",IF(AND(B1752='IN-TC'!$S$4,OR(TH!N1752="1111",TH!O1752="1111")),TH!D1752,""),"")</f>
        <v/>
      </c>
      <c r="B1752" s="60" t="str">
        <f t="shared" si="211"/>
        <v/>
      </c>
      <c r="C1752" s="989"/>
      <c r="D1752" s="989"/>
      <c r="E1752" s="989"/>
      <c r="F1752" s="921"/>
      <c r="G1752" s="991"/>
      <c r="H1752" s="1011"/>
      <c r="I1752" s="994"/>
      <c r="J1752" s="992"/>
      <c r="K1752" s="994"/>
      <c r="L1752" s="992"/>
      <c r="M1752" s="995"/>
      <c r="N1752" s="996"/>
      <c r="O1752" s="996"/>
      <c r="P1752" s="79" t="str">
        <f>IF(AND('331-CT'!$E$7=TH!H1752,OR(N1752="331",O1752="331")),"x","")</f>
        <v/>
      </c>
      <c r="Q1752" s="79" t="str">
        <f>IF(AND(B1752='111'!$L$11,OR($N1752=$Q$7,$O1752=$Q$7)),"x","")</f>
        <v/>
      </c>
      <c r="R1752" s="79" t="str">
        <f>IF(AND($N1752=$Q$7,$B1752&lt;'111'!$L$11),"x","")</f>
        <v/>
      </c>
      <c r="S1752" s="79" t="str">
        <f>IF(AND($O1752=$Q$7,$B1752&lt;'111'!$L$11),"x","")</f>
        <v/>
      </c>
      <c r="T1752" s="79" t="str">
        <f>IF(ISERROR(FIND('112'!$M$9,G1752,1)),"",IF((AND(FIND('112'!$M$9,G1752,1)&gt;=1,B1752='112'!$K$9,OR($N1752='112'!$I$6,$O1752='112'!$I$6))),"x",""))</f>
        <v/>
      </c>
      <c r="U1752" s="79" t="str">
        <f>IF(ISERROR(FIND('112'!$M$9,G1752,1)),"",IF((AND(LEFT(G1752,2)=LEFT('112'!$M$9,2),B1752&lt;'112'!$K$9,$N1752='112'!$I$6)),"x",""))</f>
        <v/>
      </c>
      <c r="V1752" s="79" t="str">
        <f>IF(ISERROR(FIND('112'!$M$9,G1752,1)),"",IF((AND(RIGHT(G1752,2)=RIGHT('112'!$M$9,2),B1752&lt;'112'!$K$9,$O1752='112'!$I$6)),"x",""))</f>
        <v/>
      </c>
      <c r="W1752" s="79" t="str">
        <f>IF(AND('341-CT'!$H$9=H1752,OR(LEFT(N1752,3)=$W$7,LEFT(O1752,3)=$W$7)),"x","")</f>
        <v/>
      </c>
      <c r="X1752" s="79" t="str">
        <f>IF(OR(TH!N1752=TH!$X$7,O1752=TH!$X$7),"x","")</f>
        <v/>
      </c>
      <c r="Y1752" s="79" t="str">
        <f>IF(AND(OR(N1752="131",O1752="131"),H1752='131-CT'!$H$9),"x","")</f>
        <v/>
      </c>
      <c r="Z1752" s="79"/>
      <c r="AA1752" s="79" t="str">
        <f>IF(AND(MONTH(E1752)='IN-NX'!$J$5,'IN-NX'!$D$7=D1752),"x","")</f>
        <v/>
      </c>
      <c r="AB1752" s="79" t="str">
        <f>IF(AND(OR(LEFT(TH!N1752,2)="15",LEFT(TH!O1752,2)="15"),LEFT(TH!O1752,3)&lt;&gt;"111",'152-CT'!$J$8=TH!F1752),"x","")</f>
        <v/>
      </c>
      <c r="AC1752" s="79" t="str">
        <f>IF(AND(OR(LEFT(TH!N1752,2)="15",LEFT(TH!O1752,2)="15"),TK!$E$7=TH!F1752),"x","")</f>
        <v/>
      </c>
      <c r="AD1752" s="79" t="str">
        <f>IF(AND(N1752="1521",MONTH(C1752)='BK-NL'!$M$11),"x","")</f>
        <v/>
      </c>
    </row>
    <row r="1753" spans="1:30" ht="16.5" customHeight="1">
      <c r="A1753" s="318" t="str">
        <f>IF(B1753&lt;&gt;"",IF(AND(B1753='IN-TC'!$S$4,OR(TH!N1753="1111",TH!O1753="1111")),TH!D1753,""),"")</f>
        <v/>
      </c>
      <c r="B1753" s="60" t="str">
        <f t="shared" si="211"/>
        <v/>
      </c>
      <c r="C1753" s="989"/>
      <c r="D1753" s="989"/>
      <c r="E1753" s="989"/>
      <c r="F1753" s="921"/>
      <c r="G1753" s="991"/>
      <c r="H1753" s="1011"/>
      <c r="I1753" s="994"/>
      <c r="J1753" s="992"/>
      <c r="K1753" s="994"/>
      <c r="L1753" s="992"/>
      <c r="M1753" s="995"/>
      <c r="N1753" s="996"/>
      <c r="O1753" s="996"/>
      <c r="P1753" s="79" t="str">
        <f>IF(AND('331-CT'!$E$7=TH!H1753,OR(N1753="331",O1753="331")),"x","")</f>
        <v/>
      </c>
      <c r="Q1753" s="79" t="str">
        <f>IF(AND(B1753='111'!$L$11,OR($N1753=$Q$7,$O1753=$Q$7)),"x","")</f>
        <v/>
      </c>
      <c r="R1753" s="79" t="str">
        <f>IF(AND($N1753=$Q$7,$B1753&lt;'111'!$L$11),"x","")</f>
        <v/>
      </c>
      <c r="S1753" s="79" t="str">
        <f>IF(AND($O1753=$Q$7,$B1753&lt;'111'!$L$11),"x","")</f>
        <v/>
      </c>
      <c r="T1753" s="79" t="str">
        <f>IF(ISERROR(FIND('112'!$M$9,G1753,1)),"",IF((AND(FIND('112'!$M$9,G1753,1)&gt;=1,B1753='112'!$K$9,OR($N1753='112'!$I$6,$O1753='112'!$I$6))),"x",""))</f>
        <v/>
      </c>
      <c r="U1753" s="79" t="str">
        <f>IF(ISERROR(FIND('112'!$M$9,G1753,1)),"",IF((AND(LEFT(G1753,2)=LEFT('112'!$M$9,2),B1753&lt;'112'!$K$9,$N1753='112'!$I$6)),"x",""))</f>
        <v/>
      </c>
      <c r="V1753" s="79" t="str">
        <f>IF(ISERROR(FIND('112'!$M$9,G1753,1)),"",IF((AND(RIGHT(G1753,2)=RIGHT('112'!$M$9,2),B1753&lt;'112'!$K$9,$O1753='112'!$I$6)),"x",""))</f>
        <v/>
      </c>
      <c r="W1753" s="79" t="str">
        <f>IF(AND('341-CT'!$H$9=H1753,OR(LEFT(N1753,3)=$W$7,LEFT(O1753,3)=$W$7)),"x","")</f>
        <v/>
      </c>
      <c r="X1753" s="79" t="str">
        <f>IF(OR(TH!N1753=TH!$X$7,O1753=TH!$X$7),"x","")</f>
        <v/>
      </c>
      <c r="Y1753" s="79" t="str">
        <f>IF(AND(OR(N1753="131",O1753="131"),H1753='131-CT'!$H$9),"x","")</f>
        <v/>
      </c>
      <c r="Z1753" s="79"/>
      <c r="AA1753" s="79" t="str">
        <f>IF(AND(MONTH(E1753)='IN-NX'!$J$5,'IN-NX'!$D$7=D1753),"x","")</f>
        <v/>
      </c>
      <c r="AB1753" s="79" t="str">
        <f>IF(AND(OR(LEFT(TH!N1753,2)="15",LEFT(TH!O1753,2)="15"),LEFT(TH!O1753,3)&lt;&gt;"111",'152-CT'!$J$8=TH!F1753),"x","")</f>
        <v/>
      </c>
      <c r="AC1753" s="79" t="str">
        <f>IF(AND(OR(LEFT(TH!N1753,2)="15",LEFT(TH!O1753,2)="15"),TK!$E$7=TH!F1753),"x","")</f>
        <v/>
      </c>
      <c r="AD1753" s="79" t="str">
        <f>IF(AND(N1753="1521",MONTH(C1753)='BK-NL'!$M$11),"x","")</f>
        <v/>
      </c>
    </row>
    <row r="1754" spans="1:30" ht="16.5" customHeight="1">
      <c r="A1754" s="318" t="str">
        <f>IF(B1754&lt;&gt;"",IF(AND(B1754='IN-TC'!$S$4,OR(TH!N1754="1111",TH!O1754="1111")),TH!D1754,""),"")</f>
        <v/>
      </c>
      <c r="B1754" s="60" t="str">
        <f t="shared" si="211"/>
        <v/>
      </c>
      <c r="C1754" s="989"/>
      <c r="D1754" s="989"/>
      <c r="E1754" s="989"/>
      <c r="F1754" s="921"/>
      <c r="G1754" s="991"/>
      <c r="H1754" s="1011"/>
      <c r="I1754" s="994"/>
      <c r="J1754" s="992"/>
      <c r="K1754" s="994"/>
      <c r="L1754" s="992"/>
      <c r="M1754" s="995"/>
      <c r="N1754" s="996"/>
      <c r="O1754" s="996"/>
      <c r="P1754" s="79" t="str">
        <f>IF(AND('331-CT'!$E$7=TH!H1754,OR(N1754="331",O1754="331")),"x","")</f>
        <v/>
      </c>
      <c r="Q1754" s="79" t="str">
        <f>IF(AND(B1754='111'!$L$11,OR($N1754=$Q$7,$O1754=$Q$7)),"x","")</f>
        <v/>
      </c>
      <c r="R1754" s="79" t="str">
        <f>IF(AND($N1754=$Q$7,$B1754&lt;'111'!$L$11),"x","")</f>
        <v/>
      </c>
      <c r="S1754" s="79" t="str">
        <f>IF(AND($O1754=$Q$7,$B1754&lt;'111'!$L$11),"x","")</f>
        <v/>
      </c>
      <c r="T1754" s="79" t="str">
        <f>IF(ISERROR(FIND('112'!$M$9,G1754,1)),"",IF((AND(FIND('112'!$M$9,G1754,1)&gt;=1,B1754='112'!$K$9,OR($N1754='112'!$I$6,$O1754='112'!$I$6))),"x",""))</f>
        <v/>
      </c>
      <c r="U1754" s="79" t="str">
        <f>IF(ISERROR(FIND('112'!$M$9,G1754,1)),"",IF((AND(LEFT(G1754,2)=LEFT('112'!$M$9,2),B1754&lt;'112'!$K$9,$N1754='112'!$I$6)),"x",""))</f>
        <v/>
      </c>
      <c r="V1754" s="79" t="str">
        <f>IF(ISERROR(FIND('112'!$M$9,G1754,1)),"",IF((AND(RIGHT(G1754,2)=RIGHT('112'!$M$9,2),B1754&lt;'112'!$K$9,$O1754='112'!$I$6)),"x",""))</f>
        <v/>
      </c>
      <c r="W1754" s="79" t="str">
        <f>IF(AND('341-CT'!$H$9=H1754,OR(LEFT(N1754,3)=$W$7,LEFT(O1754,3)=$W$7)),"x","")</f>
        <v/>
      </c>
      <c r="X1754" s="79" t="str">
        <f>IF(OR(TH!N1754=TH!$X$7,O1754=TH!$X$7),"x","")</f>
        <v/>
      </c>
      <c r="Y1754" s="79" t="str">
        <f>IF(AND(OR(N1754="131",O1754="131"),H1754='131-CT'!$H$9),"x","")</f>
        <v/>
      </c>
      <c r="Z1754" s="79"/>
      <c r="AA1754" s="79" t="str">
        <f>IF(AND(MONTH(E1754)='IN-NX'!$J$5,'IN-NX'!$D$7=D1754),"x","")</f>
        <v/>
      </c>
      <c r="AB1754" s="79" t="str">
        <f>IF(AND(OR(LEFT(TH!N1754,2)="15",LEFT(TH!O1754,2)="15"),LEFT(TH!O1754,3)&lt;&gt;"111",'152-CT'!$J$8=TH!F1754),"x","")</f>
        <v/>
      </c>
      <c r="AC1754" s="79" t="str">
        <f>IF(AND(OR(LEFT(TH!N1754,2)="15",LEFT(TH!O1754,2)="15"),TK!$E$7=TH!F1754),"x","")</f>
        <v/>
      </c>
      <c r="AD1754" s="79" t="str">
        <f>IF(AND(N1754="1521",MONTH(C1754)='BK-NL'!$M$11),"x","")</f>
        <v/>
      </c>
    </row>
    <row r="1755" spans="1:30" ht="17.25" customHeight="1">
      <c r="A1755" s="318" t="str">
        <f>IF(B1755&lt;&gt;"",IF(AND(B1755='IN-TC'!$S$4,OR(TH!N1755="1111",TH!O1755="1111")),TH!D1755,""),"")</f>
        <v/>
      </c>
      <c r="B1755" s="60" t="str">
        <f t="shared" ref="B1755:B1756" si="212">IF(C1755&lt;&gt;"",MONTH(C1755),"")</f>
        <v/>
      </c>
      <c r="C1755" s="989"/>
      <c r="D1755" s="989"/>
      <c r="E1755" s="989"/>
      <c r="F1755" s="921"/>
      <c r="G1755" s="991"/>
      <c r="H1755" s="1011"/>
      <c r="I1755" s="994"/>
      <c r="J1755" s="992"/>
      <c r="K1755" s="994"/>
      <c r="L1755" s="992"/>
      <c r="M1755" s="995"/>
      <c r="N1755" s="996"/>
      <c r="O1755" s="996"/>
      <c r="P1755" s="79" t="str">
        <f>IF(AND('331-CT'!$E$7=TH!H1755,OR(N1755="331",O1755="331")),"x","")</f>
        <v/>
      </c>
      <c r="Q1755" s="79" t="str">
        <f>IF(AND(B1755='111'!$L$11,OR($N1755=$Q$7,$O1755=$Q$7)),"x","")</f>
        <v/>
      </c>
      <c r="R1755" s="79" t="str">
        <f>IF(AND($N1755=$Q$7,$B1755&lt;'111'!$L$11),"x","")</f>
        <v/>
      </c>
      <c r="S1755" s="79" t="str">
        <f>IF(AND($O1755=$Q$7,$B1755&lt;'111'!$L$11),"x","")</f>
        <v/>
      </c>
      <c r="T1755" s="79" t="str">
        <f>IF(ISERROR(FIND('112'!$M$9,G1755,1)),"",IF((AND(FIND('112'!$M$9,G1755,1)&gt;=1,B1755='112'!$K$9,OR($N1755='112'!$I$6,$O1755='112'!$I$6))),"x",""))</f>
        <v/>
      </c>
      <c r="U1755" s="79" t="str">
        <f>IF(ISERROR(FIND('112'!$M$9,G1755,1)),"",IF((AND(LEFT(G1755,2)=LEFT('112'!$M$9,2),B1755&lt;'112'!$K$9,$N1755='112'!$I$6)),"x",""))</f>
        <v/>
      </c>
      <c r="V1755" s="79" t="str">
        <f>IF(ISERROR(FIND('112'!$M$9,G1755,1)),"",IF((AND(RIGHT(G1755,2)=RIGHT('112'!$M$9,2),B1755&lt;'112'!$K$9,$O1755='112'!$I$6)),"x",""))</f>
        <v/>
      </c>
      <c r="W1755" s="79" t="str">
        <f>IF(AND('341-CT'!$H$9=H1755,OR(LEFT(N1755,3)=$W$7,LEFT(O1755,3)=$W$7)),"x","")</f>
        <v/>
      </c>
      <c r="X1755" s="79" t="str">
        <f>IF(OR(TH!N1755=TH!$X$7,O1755=TH!$X$7),"x","")</f>
        <v/>
      </c>
      <c r="Y1755" s="79" t="str">
        <f>IF(AND(OR(N1755="131",O1755="131"),H1755='131-CT'!$H$9),"x","")</f>
        <v/>
      </c>
      <c r="Z1755" s="79"/>
      <c r="AA1755" s="79" t="str">
        <f>IF(AND(MONTH(E1755)='IN-NX'!$J$5,'IN-NX'!$D$7=D1755),"x","")</f>
        <v/>
      </c>
      <c r="AB1755" s="79" t="str">
        <f>IF(AND(OR(LEFT(TH!N1755,2)="15",LEFT(TH!O1755,2)="15"),LEFT(TH!O1755,3)&lt;&gt;"111",'152-CT'!$J$8=TH!F1755),"x","")</f>
        <v/>
      </c>
      <c r="AC1755" s="79" t="str">
        <f>IF(AND(OR(LEFT(TH!N1755,2)="15",LEFT(TH!O1755,2)="15"),TK!$E$7=TH!F1755),"x","")</f>
        <v/>
      </c>
      <c r="AD1755" s="79" t="str">
        <f>IF(AND(N1755="1521",MONTH(C1755)='BK-NL'!$M$11),"x","")</f>
        <v/>
      </c>
    </row>
    <row r="1756" spans="1:30" ht="17.25" customHeight="1">
      <c r="A1756" s="318" t="str">
        <f>IF(B1756&lt;&gt;"",IF(AND(B1756='IN-TC'!$S$4,OR(TH!N1756="1111",TH!O1756="1111")),TH!D1756,""),"")</f>
        <v/>
      </c>
      <c r="B1756" s="60" t="str">
        <f t="shared" si="212"/>
        <v/>
      </c>
      <c r="C1756" s="989"/>
      <c r="D1756" s="989"/>
      <c r="E1756" s="989"/>
      <c r="F1756" s="921"/>
      <c r="G1756" s="991"/>
      <c r="H1756" s="1011"/>
      <c r="I1756" s="994"/>
      <c r="J1756" s="992"/>
      <c r="K1756" s="994"/>
      <c r="L1756" s="992"/>
      <c r="M1756" s="995"/>
      <c r="N1756" s="996"/>
      <c r="O1756" s="996"/>
      <c r="P1756" s="79" t="str">
        <f>IF(AND('331-CT'!$E$7=TH!H1756,OR(N1756="331",O1756="331")),"x","")</f>
        <v/>
      </c>
      <c r="Q1756" s="79" t="str">
        <f>IF(AND(B1756='111'!$L$11,OR($N1756=$Q$7,$O1756=$Q$7)),"x","")</f>
        <v/>
      </c>
      <c r="R1756" s="79" t="str">
        <f>IF(AND($N1756=$Q$7,$B1756&lt;'111'!$L$11),"x","")</f>
        <v/>
      </c>
      <c r="S1756" s="79" t="str">
        <f>IF(AND($O1756=$Q$7,$B1756&lt;'111'!$L$11),"x","")</f>
        <v/>
      </c>
      <c r="T1756" s="79" t="str">
        <f>IF(ISERROR(FIND('112'!$M$9,G1756,1)),"",IF((AND(FIND('112'!$M$9,G1756,1)&gt;=1,B1756='112'!$K$9,OR($N1756='112'!$I$6,$O1756='112'!$I$6))),"x",""))</f>
        <v/>
      </c>
      <c r="U1756" s="79" t="str">
        <f>IF(ISERROR(FIND('112'!$M$9,G1756,1)),"",IF((AND(LEFT(G1756,2)=LEFT('112'!$M$9,2),B1756&lt;'112'!$K$9,$N1756='112'!$I$6)),"x",""))</f>
        <v/>
      </c>
      <c r="V1756" s="79" t="str">
        <f>IF(ISERROR(FIND('112'!$M$9,G1756,1)),"",IF((AND(RIGHT(G1756,2)=RIGHT('112'!$M$9,2),B1756&lt;'112'!$K$9,$O1756='112'!$I$6)),"x",""))</f>
        <v/>
      </c>
      <c r="W1756" s="79" t="str">
        <f>IF(AND('341-CT'!$H$9=H1756,OR(LEFT(N1756,3)=$W$7,LEFT(O1756,3)=$W$7)),"x","")</f>
        <v/>
      </c>
      <c r="X1756" s="79" t="str">
        <f>IF(OR(TH!N1756=TH!$X$7,O1756=TH!$X$7),"x","")</f>
        <v/>
      </c>
      <c r="Y1756" s="79" t="str">
        <f>IF(AND(OR(N1756="131",O1756="131"),H1756='131-CT'!$H$9),"x","")</f>
        <v/>
      </c>
      <c r="Z1756" s="79"/>
      <c r="AA1756" s="79" t="str">
        <f>IF(AND(MONTH(E1756)='IN-NX'!$J$5,'IN-NX'!$D$7=D1756),"x","")</f>
        <v/>
      </c>
      <c r="AB1756" s="79" t="str">
        <f>IF(AND(OR(LEFT(TH!N1756,2)="15",LEFT(TH!O1756,2)="15"),LEFT(TH!O1756,3)&lt;&gt;"111",'152-CT'!$J$8=TH!F1756),"x","")</f>
        <v/>
      </c>
      <c r="AC1756" s="79" t="str">
        <f>IF(AND(OR(LEFT(TH!N1756,2)="15",LEFT(TH!O1756,2)="15"),TK!$E$7=TH!F1756),"x","")</f>
        <v/>
      </c>
      <c r="AD1756" s="79" t="str">
        <f>IF(AND(N1756="1521",MONTH(C1756)='BK-NL'!$M$11),"x","")</f>
        <v/>
      </c>
    </row>
    <row r="1757" spans="1:30" ht="16.5" customHeight="1">
      <c r="A1757" s="318" t="str">
        <f>IF(B1757&lt;&gt;"",IF(AND(B1757='IN-TC'!$S$4,OR(TH!N1757="1111",TH!O1757="1111")),TH!D1757,""),"")</f>
        <v/>
      </c>
      <c r="B1757" s="60" t="str">
        <f t="shared" si="211"/>
        <v/>
      </c>
      <c r="C1757" s="989"/>
      <c r="D1757" s="989"/>
      <c r="E1757" s="989"/>
      <c r="F1757" s="921"/>
      <c r="G1757" s="991"/>
      <c r="H1757" s="1105"/>
      <c r="I1757" s="994"/>
      <c r="J1757" s="993"/>
      <c r="K1757" s="994"/>
      <c r="L1757" s="992"/>
      <c r="M1757" s="995"/>
      <c r="N1757" s="996"/>
      <c r="O1757" s="996"/>
      <c r="P1757" s="79" t="str">
        <f>IF(AND('331-CT'!$E$7=TH!H1757,OR(N1757="331",O1757="331")),"x","")</f>
        <v/>
      </c>
      <c r="Q1757" s="79" t="str">
        <f>IF(AND(B1757='111'!$L$11,OR($N1757=$Q$7,$O1757=$Q$7)),"x","")</f>
        <v/>
      </c>
      <c r="R1757" s="79" t="str">
        <f>IF(AND($N1757=$Q$7,$B1757&lt;'111'!$L$11),"x","")</f>
        <v/>
      </c>
      <c r="S1757" s="79" t="str">
        <f>IF(AND($O1757=$Q$7,$B1757&lt;'111'!$L$11),"x","")</f>
        <v/>
      </c>
      <c r="T1757" s="79" t="str">
        <f>IF(ISERROR(FIND('112'!$M$9,G1757,1)),"",IF((AND(FIND('112'!$M$9,G1757,1)&gt;=1,B1757='112'!$K$9,OR($N1757='112'!$I$6,$O1757='112'!$I$6))),"x",""))</f>
        <v/>
      </c>
      <c r="U1757" s="79" t="str">
        <f>IF(ISERROR(FIND('112'!$M$9,G1757,1)),"",IF((AND(LEFT(G1757,2)=LEFT('112'!$M$9,2),B1757&lt;'112'!$K$9,$N1757='112'!$I$6)),"x",""))</f>
        <v/>
      </c>
      <c r="V1757" s="79" t="str">
        <f>IF(ISERROR(FIND('112'!$M$9,G1757,1)),"",IF((AND(RIGHT(G1757,2)=RIGHT('112'!$M$9,2),B1757&lt;'112'!$K$9,$O1757='112'!$I$6)),"x",""))</f>
        <v/>
      </c>
      <c r="W1757" s="79" t="str">
        <f>IF(AND('341-CT'!$H$9=H1757,OR(LEFT(N1757,3)=$W$7,LEFT(O1757,3)=$W$7)),"x","")</f>
        <v/>
      </c>
      <c r="X1757" s="79" t="str">
        <f>IF(OR(TH!N1757=TH!$X$7,O1757=TH!$X$7),"x","")</f>
        <v/>
      </c>
      <c r="Y1757" s="79" t="str">
        <f>IF(AND(OR(N1757="131",O1757="131"),H1757='131-CT'!$H$9),"x","")</f>
        <v/>
      </c>
      <c r="Z1757" s="79"/>
      <c r="AA1757" s="79" t="str">
        <f>IF(AND(MONTH(E1757)='IN-NX'!$J$5,'IN-NX'!$D$7=D1757),"x","")</f>
        <v/>
      </c>
      <c r="AB1757" s="79" t="str">
        <f>IF(AND(OR(LEFT(TH!N1757,2)="15",LEFT(TH!O1757,2)="15"),LEFT(TH!O1757,3)&lt;&gt;"111",'152-CT'!$J$8=TH!F1757),"x","")</f>
        <v/>
      </c>
      <c r="AC1757" s="79" t="str">
        <f>IF(AND(OR(LEFT(TH!N1757,2)="15",LEFT(TH!O1757,2)="15"),TK!$E$7=TH!F1757),"x","")</f>
        <v/>
      </c>
      <c r="AD1757" s="79" t="str">
        <f>IF(AND(N1757="1521",MONTH(C1757)='BK-NL'!$M$11),"x","")</f>
        <v/>
      </c>
    </row>
    <row r="1758" spans="1:30" ht="16.5" customHeight="1">
      <c r="A1758" s="318" t="str">
        <f>IF(B1758&lt;&gt;"",IF(AND(B1758='IN-TC'!$S$4,OR(TH!N1758="1111",TH!O1758="1111")),TH!D1758,""),"")</f>
        <v/>
      </c>
      <c r="B1758" s="60" t="str">
        <f t="shared" si="211"/>
        <v/>
      </c>
      <c r="C1758" s="989"/>
      <c r="D1758" s="989"/>
      <c r="E1758" s="989"/>
      <c r="F1758" s="921"/>
      <c r="G1758" s="991"/>
      <c r="H1758" s="1105"/>
      <c r="I1758" s="994"/>
      <c r="J1758" s="993"/>
      <c r="K1758" s="994"/>
      <c r="L1758" s="992"/>
      <c r="M1758" s="995"/>
      <c r="N1758" s="996"/>
      <c r="O1758" s="996"/>
      <c r="P1758" s="79" t="str">
        <f>IF(AND('331-CT'!$E$7=TH!H1758,OR(N1758="331",O1758="331")),"x","")</f>
        <v/>
      </c>
      <c r="Q1758" s="79" t="str">
        <f>IF(AND(B1758='111'!$L$11,OR($N1758=$Q$7,$O1758=$Q$7)),"x","")</f>
        <v/>
      </c>
      <c r="R1758" s="79" t="str">
        <f>IF(AND($N1758=$Q$7,$B1758&lt;'111'!$L$11),"x","")</f>
        <v/>
      </c>
      <c r="S1758" s="79" t="str">
        <f>IF(AND($O1758=$Q$7,$B1758&lt;'111'!$L$11),"x","")</f>
        <v/>
      </c>
      <c r="T1758" s="79" t="str">
        <f>IF(ISERROR(FIND('112'!$M$9,G1758,1)),"",IF((AND(FIND('112'!$M$9,G1758,1)&gt;=1,B1758='112'!$K$9,OR($N1758='112'!$I$6,$O1758='112'!$I$6))),"x",""))</f>
        <v/>
      </c>
      <c r="U1758" s="79" t="str">
        <f>IF(ISERROR(FIND('112'!$M$9,G1758,1)),"",IF((AND(LEFT(G1758,2)=LEFT('112'!$M$9,2),B1758&lt;'112'!$K$9,$N1758='112'!$I$6)),"x",""))</f>
        <v/>
      </c>
      <c r="V1758" s="79" t="str">
        <f>IF(ISERROR(FIND('112'!$M$9,G1758,1)),"",IF((AND(RIGHT(G1758,2)=RIGHT('112'!$M$9,2),B1758&lt;'112'!$K$9,$O1758='112'!$I$6)),"x",""))</f>
        <v/>
      </c>
      <c r="W1758" s="79" t="str">
        <f>IF(AND('341-CT'!$H$9=H1758,OR(LEFT(N1758,3)=$W$7,LEFT(O1758,3)=$W$7)),"x","")</f>
        <v/>
      </c>
      <c r="X1758" s="79" t="str">
        <f>IF(OR(TH!N1758=TH!$X$7,O1758=TH!$X$7),"x","")</f>
        <v/>
      </c>
      <c r="Y1758" s="79" t="str">
        <f>IF(AND(OR(N1758="131",O1758="131"),H1758='131-CT'!$H$9),"x","")</f>
        <v/>
      </c>
      <c r="Z1758" s="79"/>
      <c r="AA1758" s="79" t="str">
        <f>IF(AND(MONTH(E1758)='IN-NX'!$J$5,'IN-NX'!$D$7=D1758),"x","")</f>
        <v/>
      </c>
      <c r="AB1758" s="79" t="str">
        <f>IF(AND(OR(LEFT(TH!N1758,2)="15",LEFT(TH!O1758,2)="15"),LEFT(TH!O1758,3)&lt;&gt;"111",'152-CT'!$J$8=TH!F1758),"x","")</f>
        <v/>
      </c>
      <c r="AC1758" s="79" t="str">
        <f>IF(AND(OR(LEFT(TH!N1758,2)="15",LEFT(TH!O1758,2)="15"),TK!$E$7=TH!F1758),"x","")</f>
        <v/>
      </c>
      <c r="AD1758" s="79" t="str">
        <f>IF(AND(N1758="1521",MONTH(C1758)='BK-NL'!$M$11),"x","")</f>
        <v/>
      </c>
    </row>
    <row r="1759" spans="1:30" ht="16.5" customHeight="1">
      <c r="A1759" s="318" t="str">
        <f>IF(B1759&lt;&gt;"",IF(AND(B1759='IN-TC'!$S$4,OR(TH!N1759="1111",TH!O1759="1111")),TH!D1759,""),"")</f>
        <v/>
      </c>
      <c r="B1759" s="60" t="str">
        <f t="shared" si="211"/>
        <v/>
      </c>
      <c r="C1759" s="989"/>
      <c r="D1759" s="989"/>
      <c r="E1759" s="989"/>
      <c r="F1759" s="921"/>
      <c r="G1759" s="991"/>
      <c r="H1759" s="1011"/>
      <c r="I1759" s="994"/>
      <c r="J1759" s="992"/>
      <c r="K1759" s="994"/>
      <c r="L1759" s="992"/>
      <c r="M1759" s="995"/>
      <c r="N1759" s="996"/>
      <c r="O1759" s="996"/>
      <c r="P1759" s="79" t="str">
        <f>IF(AND('331-CT'!$E$7=TH!H1759,OR(N1759="331",O1759="331")),"x","")</f>
        <v/>
      </c>
      <c r="Q1759" s="79" t="str">
        <f>IF(AND(B1759='111'!$L$11,OR($N1759=$Q$7,$O1759=$Q$7)),"x","")</f>
        <v/>
      </c>
      <c r="R1759" s="79" t="str">
        <f>IF(AND($N1759=$Q$7,$B1759&lt;'111'!$L$11),"x","")</f>
        <v/>
      </c>
      <c r="S1759" s="79" t="str">
        <f>IF(AND($O1759=$Q$7,$B1759&lt;'111'!$L$11),"x","")</f>
        <v/>
      </c>
      <c r="T1759" s="79" t="str">
        <f>IF(ISERROR(FIND('112'!$M$9,G1759,1)),"",IF((AND(FIND('112'!$M$9,G1759,1)&gt;=1,B1759='112'!$K$9,OR($N1759='112'!$I$6,$O1759='112'!$I$6))),"x",""))</f>
        <v/>
      </c>
      <c r="U1759" s="79" t="str">
        <f>IF(ISERROR(FIND('112'!$M$9,G1759,1)),"",IF((AND(LEFT(G1759,2)=LEFT('112'!$M$9,2),B1759&lt;'112'!$K$9,$N1759='112'!$I$6)),"x",""))</f>
        <v/>
      </c>
      <c r="V1759" s="79" t="str">
        <f>IF(ISERROR(FIND('112'!$M$9,G1759,1)),"",IF((AND(RIGHT(G1759,2)=RIGHT('112'!$M$9,2),B1759&lt;'112'!$K$9,$O1759='112'!$I$6)),"x",""))</f>
        <v/>
      </c>
      <c r="W1759" s="79" t="str">
        <f>IF(AND('341-CT'!$H$9=H1759,OR(LEFT(N1759,3)=$W$7,LEFT(O1759,3)=$W$7)),"x","")</f>
        <v/>
      </c>
      <c r="X1759" s="79" t="str">
        <f>IF(OR(TH!N1759=TH!$X$7,O1759=TH!$X$7),"x","")</f>
        <v/>
      </c>
      <c r="Y1759" s="79" t="str">
        <f>IF(AND(OR(N1759="131",O1759="131"),H1759='131-CT'!$H$9),"x","")</f>
        <v/>
      </c>
      <c r="Z1759" s="79"/>
      <c r="AA1759" s="79" t="str">
        <f>IF(AND(MONTH(E1759)='IN-NX'!$J$5,'IN-NX'!$D$7=D1759),"x","")</f>
        <v/>
      </c>
      <c r="AB1759" s="79" t="str">
        <f>IF(AND(OR(LEFT(TH!N1759,2)="15",LEFT(TH!O1759,2)="15"),LEFT(TH!O1759,3)&lt;&gt;"111",'152-CT'!$J$8=TH!F1759),"x","")</f>
        <v/>
      </c>
      <c r="AC1759" s="79" t="str">
        <f>IF(AND(OR(LEFT(TH!N1759,2)="15",LEFT(TH!O1759,2)="15"),TK!$E$7=TH!F1759),"x","")</f>
        <v/>
      </c>
      <c r="AD1759" s="79" t="str">
        <f>IF(AND(N1759="1521",MONTH(C1759)='BK-NL'!$M$11),"x","")</f>
        <v/>
      </c>
    </row>
    <row r="1760" spans="1:30" ht="16.5" customHeight="1">
      <c r="A1760" s="318" t="str">
        <f>IF(B1760&lt;&gt;"",IF(AND(B1760='IN-TC'!$S$4,OR(TH!N1760="1111",TH!O1760="1111")),TH!D1760,""),"")</f>
        <v/>
      </c>
      <c r="B1760" s="60" t="str">
        <f t="shared" si="211"/>
        <v/>
      </c>
      <c r="C1760" s="989"/>
      <c r="D1760" s="989"/>
      <c r="E1760" s="989"/>
      <c r="F1760" s="921"/>
      <c r="G1760" s="991"/>
      <c r="H1760" s="1011"/>
      <c r="I1760" s="994"/>
      <c r="J1760" s="992"/>
      <c r="K1760" s="994"/>
      <c r="L1760" s="992"/>
      <c r="M1760" s="995"/>
      <c r="N1760" s="996"/>
      <c r="O1760" s="996"/>
      <c r="P1760" s="79" t="str">
        <f>IF(AND('331-CT'!$E$7=TH!H1760,OR(N1760="331",O1760="331")),"x","")</f>
        <v/>
      </c>
      <c r="Q1760" s="79" t="str">
        <f>IF(AND(B1760='111'!$L$11,OR($N1760=$Q$7,$O1760=$Q$7)),"x","")</f>
        <v/>
      </c>
      <c r="R1760" s="79" t="str">
        <f>IF(AND($N1760=$Q$7,$B1760&lt;'111'!$L$11),"x","")</f>
        <v/>
      </c>
      <c r="S1760" s="79" t="str">
        <f>IF(AND($O1760=$Q$7,$B1760&lt;'111'!$L$11),"x","")</f>
        <v/>
      </c>
      <c r="T1760" s="79" t="str">
        <f>IF(ISERROR(FIND('112'!$M$9,G1760,1)),"",IF((AND(FIND('112'!$M$9,G1760,1)&gt;=1,B1760='112'!$K$9,OR($N1760='112'!$I$6,$O1760='112'!$I$6))),"x",""))</f>
        <v/>
      </c>
      <c r="U1760" s="79" t="str">
        <f>IF(ISERROR(FIND('112'!$M$9,G1760,1)),"",IF((AND(LEFT(G1760,2)=LEFT('112'!$M$9,2),B1760&lt;'112'!$K$9,$N1760='112'!$I$6)),"x",""))</f>
        <v/>
      </c>
      <c r="V1760" s="79" t="str">
        <f>IF(ISERROR(FIND('112'!$M$9,G1760,1)),"",IF((AND(RIGHT(G1760,2)=RIGHT('112'!$M$9,2),B1760&lt;'112'!$K$9,$O1760='112'!$I$6)),"x",""))</f>
        <v/>
      </c>
      <c r="W1760" s="79" t="str">
        <f>IF(AND('341-CT'!$H$9=H1760,OR(LEFT(N1760,3)=$W$7,LEFT(O1760,3)=$W$7)),"x","")</f>
        <v/>
      </c>
      <c r="X1760" s="79" t="str">
        <f>IF(OR(TH!N1760=TH!$X$7,O1760=TH!$X$7),"x","")</f>
        <v/>
      </c>
      <c r="Y1760" s="79" t="str">
        <f>IF(AND(OR(N1760="131",O1760="131"),H1760='131-CT'!$H$9),"x","")</f>
        <v/>
      </c>
      <c r="Z1760" s="79"/>
      <c r="AA1760" s="79" t="str">
        <f>IF(AND(MONTH(E1760)='IN-NX'!$J$5,'IN-NX'!$D$7=D1760),"x","")</f>
        <v/>
      </c>
      <c r="AB1760" s="79" t="str">
        <f>IF(AND(OR(LEFT(TH!N1760,2)="15",LEFT(TH!O1760,2)="15"),LEFT(TH!O1760,3)&lt;&gt;"111",'152-CT'!$J$8=TH!F1760),"x","")</f>
        <v/>
      </c>
      <c r="AC1760" s="79" t="str">
        <f>IF(AND(OR(LEFT(TH!N1760,2)="15",LEFT(TH!O1760,2)="15"),TK!$E$7=TH!F1760),"x","")</f>
        <v/>
      </c>
      <c r="AD1760" s="79" t="str">
        <f>IF(AND(N1760="1521",MONTH(C1760)='BK-NL'!$M$11),"x","")</f>
        <v/>
      </c>
    </row>
    <row r="1761" spans="1:30" ht="17.25" customHeight="1">
      <c r="A1761" s="318" t="str">
        <f>IF(B1761&lt;&gt;"",IF(AND(B1761='IN-TC'!$S$4,OR(TH!N1761="1111",TH!O1761="1111")),TH!D1761,""),"")</f>
        <v/>
      </c>
      <c r="B1761" s="60" t="str">
        <f t="shared" si="211"/>
        <v/>
      </c>
      <c r="C1761" s="989"/>
      <c r="D1761" s="989"/>
      <c r="E1761" s="989"/>
      <c r="F1761" s="921"/>
      <c r="G1761" s="991"/>
      <c r="H1761" s="1011"/>
      <c r="I1761" s="994"/>
      <c r="J1761" s="992"/>
      <c r="K1761" s="994"/>
      <c r="L1761" s="992"/>
      <c r="M1761" s="995"/>
      <c r="N1761" s="996"/>
      <c r="O1761" s="996"/>
      <c r="P1761" s="79" t="str">
        <f>IF(AND('331-CT'!$E$7=TH!H1761,OR(N1761="331",O1761="331")),"x","")</f>
        <v/>
      </c>
      <c r="Q1761" s="79" t="str">
        <f>IF(AND(B1761='111'!$L$11,OR($N1761=$Q$7,$O1761=$Q$7)),"x","")</f>
        <v/>
      </c>
      <c r="R1761" s="79" t="str">
        <f>IF(AND($N1761=$Q$7,$B1761&lt;'111'!$L$11),"x","")</f>
        <v/>
      </c>
      <c r="S1761" s="79" t="str">
        <f>IF(AND($O1761=$Q$7,$B1761&lt;'111'!$L$11),"x","")</f>
        <v/>
      </c>
      <c r="T1761" s="79" t="str">
        <f>IF(ISERROR(FIND('112'!$M$9,G1761,1)),"",IF((AND(FIND('112'!$M$9,G1761,1)&gt;=1,B1761='112'!$K$9,OR($N1761='112'!$I$6,$O1761='112'!$I$6))),"x",""))</f>
        <v/>
      </c>
      <c r="U1761" s="79" t="str">
        <f>IF(ISERROR(FIND('112'!$M$9,G1761,1)),"",IF((AND(LEFT(G1761,2)=LEFT('112'!$M$9,2),B1761&lt;'112'!$K$9,$N1761='112'!$I$6)),"x",""))</f>
        <v/>
      </c>
      <c r="V1761" s="79" t="str">
        <f>IF(ISERROR(FIND('112'!$M$9,G1761,1)),"",IF((AND(RIGHT(G1761,2)=RIGHT('112'!$M$9,2),B1761&lt;'112'!$K$9,$O1761='112'!$I$6)),"x",""))</f>
        <v/>
      </c>
      <c r="W1761" s="79" t="str">
        <f>IF(AND('341-CT'!$H$9=H1761,OR(LEFT(N1761,3)=$W$7,LEFT(O1761,3)=$W$7)),"x","")</f>
        <v/>
      </c>
      <c r="X1761" s="79" t="str">
        <f>IF(OR(TH!N1761=TH!$X$7,O1761=TH!$X$7),"x","")</f>
        <v/>
      </c>
      <c r="Y1761" s="79" t="str">
        <f>IF(AND(OR(N1761="131",O1761="131"),H1761='131-CT'!$H$9),"x","")</f>
        <v/>
      </c>
      <c r="Z1761" s="79"/>
      <c r="AA1761" s="79" t="str">
        <f>IF(AND(MONTH(E1761)='IN-NX'!$J$5,'IN-NX'!$D$7=D1761),"x","")</f>
        <v/>
      </c>
      <c r="AB1761" s="79" t="str">
        <f>IF(AND(OR(LEFT(TH!N1761,2)="15",LEFT(TH!O1761,2)="15"),LEFT(TH!O1761,3)&lt;&gt;"111",'152-CT'!$J$8=TH!F1761),"x","")</f>
        <v/>
      </c>
      <c r="AC1761" s="79" t="str">
        <f>IF(AND(OR(LEFT(TH!N1761,2)="15",LEFT(TH!O1761,2)="15"),TK!$E$7=TH!F1761),"x","")</f>
        <v/>
      </c>
      <c r="AD1761" s="79" t="str">
        <f>IF(AND(N1761="1521",MONTH(C1761)='BK-NL'!$M$11),"x","")</f>
        <v/>
      </c>
    </row>
    <row r="1762" spans="1:30" ht="17.25" customHeight="1">
      <c r="A1762" s="318" t="str">
        <f>IF(B1762&lt;&gt;"",IF(AND(B1762='IN-TC'!$S$4,OR(TH!N1762="1111",TH!O1762="1111")),TH!D1762,""),"")</f>
        <v/>
      </c>
      <c r="B1762" s="60" t="str">
        <f t="shared" si="211"/>
        <v/>
      </c>
      <c r="C1762" s="989"/>
      <c r="D1762" s="989"/>
      <c r="E1762" s="989"/>
      <c r="F1762" s="921"/>
      <c r="G1762" s="991"/>
      <c r="H1762" s="1011"/>
      <c r="I1762" s="994"/>
      <c r="J1762" s="992"/>
      <c r="K1762" s="994"/>
      <c r="L1762" s="992"/>
      <c r="M1762" s="995"/>
      <c r="N1762" s="996"/>
      <c r="O1762" s="996"/>
      <c r="P1762" s="79" t="str">
        <f>IF(AND('331-CT'!$E$7=TH!H1762,OR(N1762="331",O1762="331")),"x","")</f>
        <v/>
      </c>
      <c r="Q1762" s="79" t="str">
        <f>IF(AND(B1762='111'!$L$11,OR($N1762=$Q$7,$O1762=$Q$7)),"x","")</f>
        <v/>
      </c>
      <c r="R1762" s="79" t="str">
        <f>IF(AND($N1762=$Q$7,$B1762&lt;'111'!$L$11),"x","")</f>
        <v/>
      </c>
      <c r="S1762" s="79" t="str">
        <f>IF(AND($O1762=$Q$7,$B1762&lt;'111'!$L$11),"x","")</f>
        <v/>
      </c>
      <c r="T1762" s="79" t="str">
        <f>IF(ISERROR(FIND('112'!$M$9,G1762,1)),"",IF((AND(FIND('112'!$M$9,G1762,1)&gt;=1,B1762='112'!$K$9,OR($N1762='112'!$I$6,$O1762='112'!$I$6))),"x",""))</f>
        <v/>
      </c>
      <c r="U1762" s="79" t="str">
        <f>IF(ISERROR(FIND('112'!$M$9,G1762,1)),"",IF((AND(LEFT(G1762,2)=LEFT('112'!$M$9,2),B1762&lt;'112'!$K$9,$N1762='112'!$I$6)),"x",""))</f>
        <v/>
      </c>
      <c r="V1762" s="79" t="str">
        <f>IF(ISERROR(FIND('112'!$M$9,G1762,1)),"",IF((AND(RIGHT(G1762,2)=RIGHT('112'!$M$9,2),B1762&lt;'112'!$K$9,$O1762='112'!$I$6)),"x",""))</f>
        <v/>
      </c>
      <c r="W1762" s="79" t="str">
        <f>IF(AND('341-CT'!$H$9=H1762,OR(LEFT(N1762,3)=$W$7,LEFT(O1762,3)=$W$7)),"x","")</f>
        <v/>
      </c>
      <c r="X1762" s="79" t="str">
        <f>IF(OR(TH!N1762=TH!$X$7,O1762=TH!$X$7),"x","")</f>
        <v/>
      </c>
      <c r="Y1762" s="79" t="str">
        <f>IF(AND(OR(N1762="131",O1762="131"),H1762='131-CT'!$H$9),"x","")</f>
        <v/>
      </c>
      <c r="Z1762" s="79"/>
      <c r="AA1762" s="79" t="str">
        <f>IF(AND(MONTH(E1762)='IN-NX'!$J$5,'IN-NX'!$D$7=D1762),"x","")</f>
        <v/>
      </c>
      <c r="AB1762" s="79" t="str">
        <f>IF(AND(OR(LEFT(TH!N1762,2)="15",LEFT(TH!O1762,2)="15"),LEFT(TH!O1762,3)&lt;&gt;"111",'152-CT'!$J$8=TH!F1762),"x","")</f>
        <v/>
      </c>
      <c r="AC1762" s="79" t="str">
        <f>IF(AND(OR(LEFT(TH!N1762,2)="15",LEFT(TH!O1762,2)="15"),TK!$E$7=TH!F1762),"x","")</f>
        <v/>
      </c>
      <c r="AD1762" s="79" t="str">
        <f>IF(AND(N1762="1521",MONTH(C1762)='BK-NL'!$M$11),"x","")</f>
        <v/>
      </c>
    </row>
    <row r="1763" spans="1:30" ht="17.25" customHeight="1">
      <c r="A1763" s="318" t="str">
        <f>IF(B1763&lt;&gt;"",IF(AND(B1763='IN-TC'!$S$4,OR(TH!N1763="1111",TH!O1763="1111")),TH!D1763,""),"")</f>
        <v/>
      </c>
      <c r="B1763" s="60" t="str">
        <f t="shared" ref="B1763:B1764" si="213">IF(C1763&lt;&gt;"",MONTH(C1763),"")</f>
        <v/>
      </c>
      <c r="C1763" s="989"/>
      <c r="D1763" s="989"/>
      <c r="E1763" s="989"/>
      <c r="F1763" s="921"/>
      <c r="G1763" s="991"/>
      <c r="H1763" s="1011"/>
      <c r="I1763" s="994"/>
      <c r="J1763" s="992"/>
      <c r="K1763" s="994"/>
      <c r="L1763" s="992"/>
      <c r="M1763" s="995"/>
      <c r="N1763" s="996"/>
      <c r="O1763" s="996"/>
      <c r="P1763" s="79" t="str">
        <f>IF(AND('331-CT'!$E$7=TH!H1763,OR(N1763="331",O1763="331")),"x","")</f>
        <v/>
      </c>
      <c r="Q1763" s="79" t="str">
        <f>IF(AND(B1763='111'!$L$11,OR($N1763=$Q$7,$O1763=$Q$7)),"x","")</f>
        <v/>
      </c>
      <c r="R1763" s="79" t="str">
        <f>IF(AND($N1763=$Q$7,$B1763&lt;'111'!$L$11),"x","")</f>
        <v/>
      </c>
      <c r="S1763" s="79" t="str">
        <f>IF(AND($O1763=$Q$7,$B1763&lt;'111'!$L$11),"x","")</f>
        <v/>
      </c>
      <c r="T1763" s="79" t="str">
        <f>IF(ISERROR(FIND('112'!$M$9,G1763,1)),"",IF((AND(FIND('112'!$M$9,G1763,1)&gt;=1,B1763='112'!$K$9,OR($N1763='112'!$I$6,$O1763='112'!$I$6))),"x",""))</f>
        <v/>
      </c>
      <c r="U1763" s="79" t="str">
        <f>IF(ISERROR(FIND('112'!$M$9,G1763,1)),"",IF((AND(LEFT(G1763,2)=LEFT('112'!$M$9,2),B1763&lt;'112'!$K$9,$N1763='112'!$I$6)),"x",""))</f>
        <v/>
      </c>
      <c r="V1763" s="79" t="str">
        <f>IF(ISERROR(FIND('112'!$M$9,G1763,1)),"",IF((AND(RIGHT(G1763,2)=RIGHT('112'!$M$9,2),B1763&lt;'112'!$K$9,$O1763='112'!$I$6)),"x",""))</f>
        <v/>
      </c>
      <c r="W1763" s="79" t="str">
        <f>IF(AND('341-CT'!$H$9=H1763,OR(LEFT(N1763,3)=$W$7,LEFT(O1763,3)=$W$7)),"x","")</f>
        <v/>
      </c>
      <c r="X1763" s="79" t="str">
        <f>IF(OR(TH!N1763=TH!$X$7,O1763=TH!$X$7),"x","")</f>
        <v/>
      </c>
      <c r="Y1763" s="79" t="str">
        <f>IF(AND(OR(N1763="131",O1763="131"),H1763='131-CT'!$H$9),"x","")</f>
        <v/>
      </c>
      <c r="Z1763" s="79"/>
      <c r="AA1763" s="79" t="str">
        <f>IF(AND(MONTH(E1763)='IN-NX'!$J$5,'IN-NX'!$D$7=D1763),"x","")</f>
        <v/>
      </c>
      <c r="AB1763" s="79" t="str">
        <f>IF(AND(OR(LEFT(TH!N1763,2)="15",LEFT(TH!O1763,2)="15"),LEFT(TH!O1763,3)&lt;&gt;"111",'152-CT'!$J$8=TH!F1763),"x","")</f>
        <v/>
      </c>
      <c r="AC1763" s="79" t="str">
        <f>IF(AND(OR(LEFT(TH!N1763,2)="15",LEFT(TH!O1763,2)="15"),TK!$E$7=TH!F1763),"x","")</f>
        <v/>
      </c>
      <c r="AD1763" s="79" t="str">
        <f>IF(AND(N1763="1521",MONTH(C1763)='BK-NL'!$M$11),"x","")</f>
        <v/>
      </c>
    </row>
    <row r="1764" spans="1:30" ht="17.25" customHeight="1">
      <c r="A1764" s="318" t="str">
        <f>IF(B1764&lt;&gt;"",IF(AND(B1764='IN-TC'!$S$4,OR(TH!N1764="1111",TH!O1764="1111")),TH!D1764,""),"")</f>
        <v/>
      </c>
      <c r="B1764" s="60" t="str">
        <f t="shared" si="213"/>
        <v/>
      </c>
      <c r="C1764" s="989"/>
      <c r="D1764" s="989"/>
      <c r="E1764" s="989"/>
      <c r="F1764" s="921"/>
      <c r="G1764" s="991"/>
      <c r="H1764" s="1011"/>
      <c r="I1764" s="994"/>
      <c r="J1764" s="992"/>
      <c r="K1764" s="994"/>
      <c r="L1764" s="992"/>
      <c r="M1764" s="995"/>
      <c r="N1764" s="996"/>
      <c r="O1764" s="996"/>
      <c r="P1764" s="79" t="str">
        <f>IF(AND('331-CT'!$E$7=TH!H1764,OR(N1764="331",O1764="331")),"x","")</f>
        <v/>
      </c>
      <c r="Q1764" s="79" t="str">
        <f>IF(AND(B1764='111'!$L$11,OR($N1764=$Q$7,$O1764=$Q$7)),"x","")</f>
        <v/>
      </c>
      <c r="R1764" s="79" t="str">
        <f>IF(AND($N1764=$Q$7,$B1764&lt;'111'!$L$11),"x","")</f>
        <v/>
      </c>
      <c r="S1764" s="79" t="str">
        <f>IF(AND($O1764=$Q$7,$B1764&lt;'111'!$L$11),"x","")</f>
        <v/>
      </c>
      <c r="T1764" s="79" t="str">
        <f>IF(ISERROR(FIND('112'!$M$9,G1764,1)),"",IF((AND(FIND('112'!$M$9,G1764,1)&gt;=1,B1764='112'!$K$9,OR($N1764='112'!$I$6,$O1764='112'!$I$6))),"x",""))</f>
        <v/>
      </c>
      <c r="U1764" s="79" t="str">
        <f>IF(ISERROR(FIND('112'!$M$9,G1764,1)),"",IF((AND(LEFT(G1764,2)=LEFT('112'!$M$9,2),B1764&lt;'112'!$K$9,$N1764='112'!$I$6)),"x",""))</f>
        <v/>
      </c>
      <c r="V1764" s="79" t="str">
        <f>IF(ISERROR(FIND('112'!$M$9,G1764,1)),"",IF((AND(RIGHT(G1764,2)=RIGHT('112'!$M$9,2),B1764&lt;'112'!$K$9,$O1764='112'!$I$6)),"x",""))</f>
        <v/>
      </c>
      <c r="W1764" s="79" t="str">
        <f>IF(AND('341-CT'!$H$9=H1764,OR(LEFT(N1764,3)=$W$7,LEFT(O1764,3)=$W$7)),"x","")</f>
        <v/>
      </c>
      <c r="X1764" s="79" t="str">
        <f>IF(OR(TH!N1764=TH!$X$7,O1764=TH!$X$7),"x","")</f>
        <v/>
      </c>
      <c r="Y1764" s="79" t="str">
        <f>IF(AND(OR(N1764="131",O1764="131"),H1764='131-CT'!$H$9),"x","")</f>
        <v/>
      </c>
      <c r="Z1764" s="79"/>
      <c r="AA1764" s="79" t="str">
        <f>IF(AND(MONTH(E1764)='IN-NX'!$J$5,'IN-NX'!$D$7=D1764),"x","")</f>
        <v/>
      </c>
      <c r="AB1764" s="79" t="str">
        <f>IF(AND(OR(LEFT(TH!N1764,2)="15",LEFT(TH!O1764,2)="15"),LEFT(TH!O1764,3)&lt;&gt;"111",'152-CT'!$J$8=TH!F1764),"x","")</f>
        <v/>
      </c>
      <c r="AC1764" s="79" t="str">
        <f>IF(AND(OR(LEFT(TH!N1764,2)="15",LEFT(TH!O1764,2)="15"),TK!$E$7=TH!F1764),"x","")</f>
        <v/>
      </c>
      <c r="AD1764" s="79" t="str">
        <f>IF(AND(N1764="1521",MONTH(C1764)='BK-NL'!$M$11),"x","")</f>
        <v/>
      </c>
    </row>
    <row r="1765" spans="1:30" ht="16.5" customHeight="1">
      <c r="A1765" s="318" t="str">
        <f>IF(B1765&lt;&gt;"",IF(AND(B1765='IN-TC'!$S$4,OR(TH!N1765="1111",TH!O1765="1111")),TH!D1765,""),"")</f>
        <v/>
      </c>
      <c r="B1765" s="60" t="str">
        <f t="shared" si="211"/>
        <v/>
      </c>
      <c r="C1765" s="989"/>
      <c r="D1765" s="989"/>
      <c r="E1765" s="989"/>
      <c r="F1765" s="990"/>
      <c r="G1765" s="991"/>
      <c r="H1765" s="1011"/>
      <c r="I1765" s="994"/>
      <c r="J1765" s="992"/>
      <c r="K1765" s="994"/>
      <c r="L1765" s="992"/>
      <c r="M1765" s="995"/>
      <c r="N1765" s="996"/>
      <c r="O1765" s="996"/>
      <c r="P1765" s="79" t="str">
        <f>IF(AND('331-CT'!$E$7=TH!H1765,OR(N1765="331",O1765="331")),"x","")</f>
        <v/>
      </c>
      <c r="Q1765" s="79" t="str">
        <f>IF(AND(B1765='111'!$L$11,OR($N1765=$Q$7,$O1765=$Q$7)),"x","")</f>
        <v/>
      </c>
      <c r="R1765" s="79" t="str">
        <f>IF(AND($N1765=$Q$7,$B1765&lt;'111'!$L$11),"x","")</f>
        <v/>
      </c>
      <c r="S1765" s="79" t="str">
        <f>IF(AND($O1765=$Q$7,$B1765&lt;'111'!$L$11),"x","")</f>
        <v/>
      </c>
      <c r="T1765" s="79" t="str">
        <f>IF(ISERROR(FIND('112'!$M$9,G1765,1)),"",IF((AND(FIND('112'!$M$9,G1765,1)&gt;=1,B1765='112'!$K$9,OR($N1765='112'!$I$6,$O1765='112'!$I$6))),"x",""))</f>
        <v/>
      </c>
      <c r="U1765" s="79" t="str">
        <f>IF(ISERROR(FIND('112'!$M$9,G1765,1)),"",IF((AND(LEFT(G1765,2)=LEFT('112'!$M$9,2),B1765&lt;'112'!$K$9,$N1765='112'!$I$6)),"x",""))</f>
        <v/>
      </c>
      <c r="V1765" s="79" t="str">
        <f>IF(ISERROR(FIND('112'!$M$9,G1765,1)),"",IF((AND(RIGHT(G1765,2)=RIGHT('112'!$M$9,2),B1765&lt;'112'!$K$9,$O1765='112'!$I$6)),"x",""))</f>
        <v/>
      </c>
      <c r="W1765" s="79" t="str">
        <f>IF(AND('341-CT'!$H$9=H1765,OR(LEFT(N1765,3)=$W$7,LEFT(O1765,3)=$W$7)),"x","")</f>
        <v/>
      </c>
      <c r="X1765" s="79" t="str">
        <f>IF(OR(TH!N1765=TH!$X$7,O1765=TH!$X$7),"x","")</f>
        <v/>
      </c>
      <c r="Y1765" s="79" t="str">
        <f>IF(AND(OR(N1765="131",O1765="131"),H1765='131-CT'!$H$9),"x","")</f>
        <v/>
      </c>
      <c r="Z1765" s="79"/>
      <c r="AA1765" s="79" t="str">
        <f>IF(AND(MONTH(E1765)='IN-NX'!$J$5,'IN-NX'!$D$7=D1765),"x","")</f>
        <v/>
      </c>
      <c r="AB1765" s="79" t="str">
        <f>IF(AND(OR(LEFT(TH!N1765,2)="15",LEFT(TH!O1765,2)="15"),LEFT(TH!O1765,3)&lt;&gt;"111",'152-CT'!$J$8=TH!F1765),"x","")</f>
        <v/>
      </c>
      <c r="AC1765" s="79" t="str">
        <f>IF(AND(OR(LEFT(TH!N1765,2)="15",LEFT(TH!O1765,2)="15"),TK!$E$7=TH!F1765),"x","")</f>
        <v/>
      </c>
      <c r="AD1765" s="79" t="str">
        <f>IF(AND(N1765="1521",MONTH(C1765)='BK-NL'!$M$11),"x","")</f>
        <v/>
      </c>
    </row>
    <row r="1766" spans="1:30" ht="16.5" customHeight="1">
      <c r="A1766" s="318" t="str">
        <f>IF(B1766&lt;&gt;"",IF(AND(B1766='IN-TC'!$S$4,OR(TH!N1766="1111",TH!O1766="1111")),TH!D1766,""),"")</f>
        <v/>
      </c>
      <c r="B1766" s="60" t="str">
        <f t="shared" si="211"/>
        <v/>
      </c>
      <c r="C1766" s="989"/>
      <c r="D1766" s="989"/>
      <c r="E1766" s="989"/>
      <c r="F1766" s="990"/>
      <c r="G1766" s="991"/>
      <c r="H1766" s="1011"/>
      <c r="I1766" s="994"/>
      <c r="J1766" s="992"/>
      <c r="K1766" s="994"/>
      <c r="L1766" s="992"/>
      <c r="M1766" s="995"/>
      <c r="N1766" s="996"/>
      <c r="O1766" s="996"/>
      <c r="P1766" s="79" t="str">
        <f>IF(AND('331-CT'!$E$7=TH!H1766,OR(N1766="331",O1766="331")),"x","")</f>
        <v/>
      </c>
      <c r="Q1766" s="79" t="str">
        <f>IF(AND(B1766='111'!$L$11,OR($N1766=$Q$7,$O1766=$Q$7)),"x","")</f>
        <v/>
      </c>
      <c r="R1766" s="79" t="str">
        <f>IF(AND($N1766=$Q$7,$B1766&lt;'111'!$L$11),"x","")</f>
        <v/>
      </c>
      <c r="S1766" s="79" t="str">
        <f>IF(AND($O1766=$Q$7,$B1766&lt;'111'!$L$11),"x","")</f>
        <v/>
      </c>
      <c r="T1766" s="79" t="str">
        <f>IF(ISERROR(FIND('112'!$M$9,G1766,1)),"",IF((AND(FIND('112'!$M$9,G1766,1)&gt;=1,B1766='112'!$K$9,OR($N1766='112'!$I$6,$O1766='112'!$I$6))),"x",""))</f>
        <v/>
      </c>
      <c r="U1766" s="79" t="str">
        <f>IF(ISERROR(FIND('112'!$M$9,G1766,1)),"",IF((AND(LEFT(G1766,2)=LEFT('112'!$M$9,2),B1766&lt;'112'!$K$9,$N1766='112'!$I$6)),"x",""))</f>
        <v/>
      </c>
      <c r="V1766" s="79" t="str">
        <f>IF(ISERROR(FIND('112'!$M$9,G1766,1)),"",IF((AND(RIGHT(G1766,2)=RIGHT('112'!$M$9,2),B1766&lt;'112'!$K$9,$O1766='112'!$I$6)),"x",""))</f>
        <v/>
      </c>
      <c r="W1766" s="79" t="str">
        <f>IF(AND('341-CT'!$H$9=H1766,OR(LEFT(N1766,3)=$W$7,LEFT(O1766,3)=$W$7)),"x","")</f>
        <v/>
      </c>
      <c r="X1766" s="79" t="str">
        <f>IF(OR(TH!N1766=TH!$X$7,O1766=TH!$X$7),"x","")</f>
        <v/>
      </c>
      <c r="Y1766" s="79" t="str">
        <f>IF(AND(OR(N1766="131",O1766="131"),H1766='131-CT'!$H$9),"x","")</f>
        <v/>
      </c>
      <c r="Z1766" s="79"/>
      <c r="AA1766" s="79" t="str">
        <f>IF(AND(MONTH(E1766)='IN-NX'!$J$5,'IN-NX'!$D$7=D1766),"x","")</f>
        <v/>
      </c>
      <c r="AB1766" s="79" t="str">
        <f>IF(AND(OR(LEFT(TH!N1766,2)="15",LEFT(TH!O1766,2)="15"),LEFT(TH!O1766,3)&lt;&gt;"111",'152-CT'!$J$8=TH!F1766),"x","")</f>
        <v/>
      </c>
      <c r="AC1766" s="79" t="str">
        <f>IF(AND(OR(LEFT(TH!N1766,2)="15",LEFT(TH!O1766,2)="15"),TK!$E$7=TH!F1766),"x","")</f>
        <v/>
      </c>
      <c r="AD1766" s="79" t="str">
        <f>IF(AND(N1766="1521",MONTH(C1766)='BK-NL'!$M$11),"x","")</f>
        <v/>
      </c>
    </row>
    <row r="1767" spans="1:30" ht="16.5" customHeight="1">
      <c r="A1767" s="318" t="str">
        <f>IF(B1767&lt;&gt;"",IF(AND(B1767='IN-TC'!$S$4,OR(TH!N1767="1111",TH!O1767="1111")),TH!D1767,""),"")</f>
        <v/>
      </c>
      <c r="B1767" s="60" t="str">
        <f t="shared" si="211"/>
        <v/>
      </c>
      <c r="C1767" s="989"/>
      <c r="D1767" s="989"/>
      <c r="E1767" s="989"/>
      <c r="F1767" s="990"/>
      <c r="G1767" s="991"/>
      <c r="H1767" s="1011"/>
      <c r="I1767" s="994"/>
      <c r="J1767" s="992"/>
      <c r="K1767" s="994"/>
      <c r="L1767" s="992"/>
      <c r="M1767" s="995"/>
      <c r="N1767" s="996"/>
      <c r="O1767" s="996"/>
      <c r="P1767" s="79" t="str">
        <f>IF(AND('331-CT'!$E$7=TH!H1767,OR(N1767="331",O1767="331")),"x","")</f>
        <v/>
      </c>
      <c r="Q1767" s="79" t="str">
        <f>IF(AND(B1767='111'!$L$11,OR($N1767=$Q$7,$O1767=$Q$7)),"x","")</f>
        <v/>
      </c>
      <c r="R1767" s="79" t="str">
        <f>IF(AND($N1767=$Q$7,$B1767&lt;'111'!$L$11),"x","")</f>
        <v/>
      </c>
      <c r="S1767" s="79" t="str">
        <f>IF(AND($O1767=$Q$7,$B1767&lt;'111'!$L$11),"x","")</f>
        <v/>
      </c>
      <c r="T1767" s="79" t="str">
        <f>IF(ISERROR(FIND('112'!$M$9,G1767,1)),"",IF((AND(FIND('112'!$M$9,G1767,1)&gt;=1,B1767='112'!$K$9,OR($N1767='112'!$I$6,$O1767='112'!$I$6))),"x",""))</f>
        <v/>
      </c>
      <c r="U1767" s="79" t="str">
        <f>IF(ISERROR(FIND('112'!$M$9,G1767,1)),"",IF((AND(LEFT(G1767,2)=LEFT('112'!$M$9,2),B1767&lt;'112'!$K$9,$N1767='112'!$I$6)),"x",""))</f>
        <v/>
      </c>
      <c r="V1767" s="79" t="str">
        <f>IF(ISERROR(FIND('112'!$M$9,G1767,1)),"",IF((AND(RIGHT(G1767,2)=RIGHT('112'!$M$9,2),B1767&lt;'112'!$K$9,$O1767='112'!$I$6)),"x",""))</f>
        <v/>
      </c>
      <c r="W1767" s="79" t="str">
        <f>IF(AND('341-CT'!$H$9=H1767,OR(LEFT(N1767,3)=$W$7,LEFT(O1767,3)=$W$7)),"x","")</f>
        <v/>
      </c>
      <c r="X1767" s="79" t="str">
        <f>IF(OR(TH!N1767=TH!$X$7,O1767=TH!$X$7),"x","")</f>
        <v/>
      </c>
      <c r="Y1767" s="79" t="str">
        <f>IF(AND(OR(N1767="131",O1767="131"),H1767='131-CT'!$H$9),"x","")</f>
        <v/>
      </c>
      <c r="Z1767" s="79"/>
      <c r="AA1767" s="79" t="str">
        <f>IF(AND(MONTH(E1767)='IN-NX'!$J$5,'IN-NX'!$D$7=D1767),"x","")</f>
        <v/>
      </c>
      <c r="AB1767" s="79" t="str">
        <f>IF(AND(OR(LEFT(TH!N1767,2)="15",LEFT(TH!O1767,2)="15"),LEFT(TH!O1767,3)&lt;&gt;"111",'152-CT'!$J$8=TH!F1767),"x","")</f>
        <v/>
      </c>
      <c r="AC1767" s="79" t="str">
        <f>IF(AND(OR(LEFT(TH!N1767,2)="15",LEFT(TH!O1767,2)="15"),TK!$E$7=TH!F1767),"x","")</f>
        <v/>
      </c>
      <c r="AD1767" s="79" t="str">
        <f>IF(AND(N1767="1521",MONTH(C1767)='BK-NL'!$M$11),"x","")</f>
        <v/>
      </c>
    </row>
    <row r="1768" spans="1:30" ht="16.5" customHeight="1">
      <c r="A1768" s="318" t="str">
        <f>IF(B1768&lt;&gt;"",IF(AND(B1768='IN-TC'!$S$4,OR(TH!N1768="1111",TH!O1768="1111")),TH!D1768,""),"")</f>
        <v/>
      </c>
      <c r="B1768" s="60" t="str">
        <f t="shared" si="211"/>
        <v/>
      </c>
      <c r="C1768" s="989"/>
      <c r="D1768" s="989"/>
      <c r="E1768" s="989"/>
      <c r="F1768" s="1105"/>
      <c r="G1768" s="991"/>
      <c r="H1768" s="1011"/>
      <c r="I1768" s="994"/>
      <c r="J1768" s="992"/>
      <c r="K1768" s="994"/>
      <c r="L1768" s="992"/>
      <c r="M1768" s="995"/>
      <c r="N1768" s="996"/>
      <c r="O1768" s="996"/>
      <c r="P1768" s="79" t="str">
        <f>IF(AND('331-CT'!$E$7=TH!H1768,OR(N1768="331",O1768="331")),"x","")</f>
        <v/>
      </c>
      <c r="Q1768" s="79" t="str">
        <f>IF(AND(B1768='111'!$L$11,OR($N1768=$Q$7,$O1768=$Q$7)),"x","")</f>
        <v/>
      </c>
      <c r="R1768" s="79" t="str">
        <f>IF(AND($N1768=$Q$7,$B1768&lt;'111'!$L$11),"x","")</f>
        <v/>
      </c>
      <c r="S1768" s="79" t="str">
        <f>IF(AND($O1768=$Q$7,$B1768&lt;'111'!$L$11),"x","")</f>
        <v/>
      </c>
      <c r="T1768" s="79" t="str">
        <f>IF(ISERROR(FIND('112'!$M$9,G1768,1)),"",IF((AND(FIND('112'!$M$9,G1768,1)&gt;=1,B1768='112'!$K$9,OR($N1768='112'!$I$6,$O1768='112'!$I$6))),"x",""))</f>
        <v/>
      </c>
      <c r="U1768" s="79" t="str">
        <f>IF(ISERROR(FIND('112'!$M$9,G1768,1)),"",IF((AND(LEFT(G1768,2)=LEFT('112'!$M$9,2),B1768&lt;'112'!$K$9,$N1768='112'!$I$6)),"x",""))</f>
        <v/>
      </c>
      <c r="V1768" s="79" t="str">
        <f>IF(ISERROR(FIND('112'!$M$9,G1768,1)),"",IF((AND(RIGHT(G1768,2)=RIGHT('112'!$M$9,2),B1768&lt;'112'!$K$9,$O1768='112'!$I$6)),"x",""))</f>
        <v/>
      </c>
      <c r="W1768" s="79" t="str">
        <f>IF(AND('341-CT'!$H$9=H1768,OR(LEFT(N1768,3)=$W$7,LEFT(O1768,3)=$W$7)),"x","")</f>
        <v/>
      </c>
      <c r="X1768" s="79" t="str">
        <f>IF(OR(TH!N1768=TH!$X$7,O1768=TH!$X$7),"x","")</f>
        <v/>
      </c>
      <c r="Y1768" s="79" t="str">
        <f>IF(AND(OR(N1768="131",O1768="131"),H1768='131-CT'!$H$9),"x","")</f>
        <v/>
      </c>
      <c r="Z1768" s="79"/>
      <c r="AA1768" s="79" t="str">
        <f>IF(AND(MONTH(E1768)='IN-NX'!$J$5,'IN-NX'!$D$7=D1768),"x","")</f>
        <v/>
      </c>
      <c r="AB1768" s="79" t="str">
        <f>IF(AND(OR(LEFT(TH!N1768,2)="15",LEFT(TH!O1768,2)="15"),LEFT(TH!O1768,3)&lt;&gt;"111",'152-CT'!$J$8=TH!F1768),"x","")</f>
        <v/>
      </c>
      <c r="AC1768" s="79" t="str">
        <f>IF(AND(OR(LEFT(TH!N1768,2)="15",LEFT(TH!O1768,2)="15"),TK!$E$7=TH!F1768),"x","")</f>
        <v/>
      </c>
      <c r="AD1768" s="79" t="str">
        <f>IF(AND(N1768="1521",MONTH(C1768)='BK-NL'!$M$11),"x","")</f>
        <v/>
      </c>
    </row>
    <row r="1769" spans="1:30" ht="16.5" customHeight="1">
      <c r="A1769" s="318" t="str">
        <f>IF(B1769&lt;&gt;"",IF(AND(B1769='IN-TC'!$S$4,OR(TH!N1769="1111",TH!O1769="1111")),TH!D1769,""),"")</f>
        <v/>
      </c>
      <c r="B1769" s="60" t="str">
        <f t="shared" si="211"/>
        <v/>
      </c>
      <c r="C1769" s="989"/>
      <c r="D1769" s="989"/>
      <c r="E1769" s="989"/>
      <c r="F1769" s="921"/>
      <c r="G1769" s="991"/>
      <c r="H1769" s="1011"/>
      <c r="I1769" s="994"/>
      <c r="J1769" s="992"/>
      <c r="K1769" s="994"/>
      <c r="L1769" s="992"/>
      <c r="M1769" s="995"/>
      <c r="N1769" s="996"/>
      <c r="O1769" s="996"/>
      <c r="P1769" s="79" t="str">
        <f>IF(AND('331-CT'!$E$7=TH!H1769,OR(N1769="331",O1769="331")),"x","")</f>
        <v/>
      </c>
      <c r="Q1769" s="79" t="str">
        <f>IF(AND(B1769='111'!$L$11,OR($N1769=$Q$7,$O1769=$Q$7)),"x","")</f>
        <v/>
      </c>
      <c r="R1769" s="79" t="str">
        <f>IF(AND($N1769=$Q$7,$B1769&lt;'111'!$L$11),"x","")</f>
        <v/>
      </c>
      <c r="S1769" s="79" t="str">
        <f>IF(AND($O1769=$Q$7,$B1769&lt;'111'!$L$11),"x","")</f>
        <v/>
      </c>
      <c r="T1769" s="79" t="str">
        <f>IF(ISERROR(FIND('112'!$M$9,G1769,1)),"",IF((AND(FIND('112'!$M$9,G1769,1)&gt;=1,B1769='112'!$K$9,OR($N1769='112'!$I$6,$O1769='112'!$I$6))),"x",""))</f>
        <v/>
      </c>
      <c r="U1769" s="79" t="str">
        <f>IF(ISERROR(FIND('112'!$M$9,G1769,1)),"",IF((AND(LEFT(G1769,2)=LEFT('112'!$M$9,2),B1769&lt;'112'!$K$9,$N1769='112'!$I$6)),"x",""))</f>
        <v/>
      </c>
      <c r="V1769" s="79" t="str">
        <f>IF(ISERROR(FIND('112'!$M$9,G1769,1)),"",IF((AND(RIGHT(G1769,2)=RIGHT('112'!$M$9,2),B1769&lt;'112'!$K$9,$O1769='112'!$I$6)),"x",""))</f>
        <v/>
      </c>
      <c r="W1769" s="79" t="str">
        <f>IF(AND('341-CT'!$H$9=H1769,OR(LEFT(N1769,3)=$W$7,LEFT(O1769,3)=$W$7)),"x","")</f>
        <v/>
      </c>
      <c r="X1769" s="79" t="str">
        <f>IF(OR(TH!N1769=TH!$X$7,O1769=TH!$X$7),"x","")</f>
        <v/>
      </c>
      <c r="Y1769" s="79" t="str">
        <f>IF(AND(OR(N1769="131",O1769="131"),H1769='131-CT'!$H$9),"x","")</f>
        <v/>
      </c>
      <c r="Z1769" s="79"/>
      <c r="AA1769" s="79" t="str">
        <f>IF(AND(MONTH(E1769)='IN-NX'!$J$5,'IN-NX'!$D$7=D1769),"x","")</f>
        <v/>
      </c>
      <c r="AB1769" s="79" t="str">
        <f>IF(AND(OR(LEFT(TH!N1769,2)="15",LEFT(TH!O1769,2)="15"),LEFT(TH!O1769,3)&lt;&gt;"111",'152-CT'!$J$8=TH!F1769),"x","")</f>
        <v/>
      </c>
      <c r="AC1769" s="79" t="str">
        <f>IF(AND(OR(LEFT(TH!N1769,2)="15",LEFT(TH!O1769,2)="15"),TK!$E$7=TH!F1769),"x","")</f>
        <v/>
      </c>
      <c r="AD1769" s="79" t="str">
        <f>IF(AND(N1769="1521",MONTH(C1769)='BK-NL'!$M$11),"x","")</f>
        <v/>
      </c>
    </row>
    <row r="1770" spans="1:30" ht="16.5" customHeight="1">
      <c r="A1770" s="318" t="str">
        <f>IF(B1770&lt;&gt;"",IF(AND(B1770='IN-TC'!$S$4,OR(TH!N1770="1111",TH!O1770="1111")),TH!D1770,""),"")</f>
        <v/>
      </c>
      <c r="B1770" s="60" t="str">
        <f t="shared" si="211"/>
        <v/>
      </c>
      <c r="C1770" s="989"/>
      <c r="D1770" s="989"/>
      <c r="E1770" s="989"/>
      <c r="F1770" s="921"/>
      <c r="G1770" s="991"/>
      <c r="H1770" s="1011"/>
      <c r="I1770" s="994"/>
      <c r="J1770" s="992"/>
      <c r="K1770" s="994"/>
      <c r="L1770" s="992"/>
      <c r="M1770" s="995"/>
      <c r="N1770" s="996"/>
      <c r="O1770" s="996"/>
      <c r="P1770" s="79" t="str">
        <f>IF(AND('331-CT'!$E$7=TH!H1770,OR(N1770="331",O1770="331")),"x","")</f>
        <v/>
      </c>
      <c r="Q1770" s="79" t="str">
        <f>IF(AND(B1770='111'!$L$11,OR($N1770=$Q$7,$O1770=$Q$7)),"x","")</f>
        <v/>
      </c>
      <c r="R1770" s="79" t="str">
        <f>IF(AND($N1770=$Q$7,$B1770&lt;'111'!$L$11),"x","")</f>
        <v/>
      </c>
      <c r="S1770" s="79" t="str">
        <f>IF(AND($O1770=$Q$7,$B1770&lt;'111'!$L$11),"x","")</f>
        <v/>
      </c>
      <c r="T1770" s="79" t="str">
        <f>IF(ISERROR(FIND('112'!$M$9,G1770,1)),"",IF((AND(FIND('112'!$M$9,G1770,1)&gt;=1,B1770='112'!$K$9,OR($N1770='112'!$I$6,$O1770='112'!$I$6))),"x",""))</f>
        <v/>
      </c>
      <c r="U1770" s="79" t="str">
        <f>IF(ISERROR(FIND('112'!$M$9,G1770,1)),"",IF((AND(LEFT(G1770,2)=LEFT('112'!$M$9,2),B1770&lt;'112'!$K$9,$N1770='112'!$I$6)),"x",""))</f>
        <v/>
      </c>
      <c r="V1770" s="79" t="str">
        <f>IF(ISERROR(FIND('112'!$M$9,G1770,1)),"",IF((AND(RIGHT(G1770,2)=RIGHT('112'!$M$9,2),B1770&lt;'112'!$K$9,$O1770='112'!$I$6)),"x",""))</f>
        <v/>
      </c>
      <c r="W1770" s="79" t="str">
        <f>IF(AND('341-CT'!$H$9=H1770,OR(LEFT(N1770,3)=$W$7,LEFT(O1770,3)=$W$7)),"x","")</f>
        <v/>
      </c>
      <c r="X1770" s="79" t="str">
        <f>IF(OR(TH!N1770=TH!$X$7,O1770=TH!$X$7),"x","")</f>
        <v/>
      </c>
      <c r="Y1770" s="79" t="str">
        <f>IF(AND(OR(N1770="131",O1770="131"),H1770='131-CT'!$H$9),"x","")</f>
        <v/>
      </c>
      <c r="Z1770" s="79"/>
      <c r="AA1770" s="79" t="str">
        <f>IF(AND(MONTH(E1770)='IN-NX'!$J$5,'IN-NX'!$D$7=D1770),"x","")</f>
        <v/>
      </c>
      <c r="AB1770" s="79" t="str">
        <f>IF(AND(OR(LEFT(TH!N1770,2)="15",LEFT(TH!O1770,2)="15"),LEFT(TH!O1770,3)&lt;&gt;"111",'152-CT'!$J$8=TH!F1770),"x","")</f>
        <v/>
      </c>
      <c r="AC1770" s="79" t="str">
        <f>IF(AND(OR(LEFT(TH!N1770,2)="15",LEFT(TH!O1770,2)="15"),TK!$E$7=TH!F1770),"x","")</f>
        <v/>
      </c>
      <c r="AD1770" s="79" t="str">
        <f>IF(AND(N1770="1521",MONTH(C1770)='BK-NL'!$M$11),"x","")</f>
        <v/>
      </c>
    </row>
    <row r="1771" spans="1:30" ht="16.5" customHeight="1">
      <c r="A1771" s="318" t="str">
        <f>IF(B1771&lt;&gt;"",IF(AND(B1771='IN-TC'!$S$4,OR(TH!N1771="1111",TH!O1771="1111")),TH!D1771,""),"")</f>
        <v/>
      </c>
      <c r="B1771" s="60" t="str">
        <f t="shared" si="211"/>
        <v/>
      </c>
      <c r="C1771" s="989"/>
      <c r="D1771" s="989"/>
      <c r="E1771" s="989"/>
      <c r="F1771" s="921"/>
      <c r="G1771" s="991"/>
      <c r="H1771" s="1011"/>
      <c r="I1771" s="994"/>
      <c r="J1771" s="992"/>
      <c r="K1771" s="994"/>
      <c r="L1771" s="992"/>
      <c r="M1771" s="995"/>
      <c r="N1771" s="996"/>
      <c r="O1771" s="996"/>
      <c r="P1771" s="79" t="str">
        <f>IF(AND('331-CT'!$E$7=TH!H1771,OR(N1771="331",O1771="331")),"x","")</f>
        <v/>
      </c>
      <c r="Q1771" s="79" t="str">
        <f>IF(AND(B1771='111'!$L$11,OR($N1771=$Q$7,$O1771=$Q$7)),"x","")</f>
        <v/>
      </c>
      <c r="R1771" s="79" t="str">
        <f>IF(AND($N1771=$Q$7,$B1771&lt;'111'!$L$11),"x","")</f>
        <v/>
      </c>
      <c r="S1771" s="79" t="str">
        <f>IF(AND($O1771=$Q$7,$B1771&lt;'111'!$L$11),"x","")</f>
        <v/>
      </c>
      <c r="T1771" s="79" t="str">
        <f>IF(ISERROR(FIND('112'!$M$9,G1771,1)),"",IF((AND(FIND('112'!$M$9,G1771,1)&gt;=1,B1771='112'!$K$9,OR($N1771='112'!$I$6,$O1771='112'!$I$6))),"x",""))</f>
        <v/>
      </c>
      <c r="U1771" s="79" t="str">
        <f>IF(ISERROR(FIND('112'!$M$9,G1771,1)),"",IF((AND(LEFT(G1771,2)=LEFT('112'!$M$9,2),B1771&lt;'112'!$K$9,$N1771='112'!$I$6)),"x",""))</f>
        <v/>
      </c>
      <c r="V1771" s="79" t="str">
        <f>IF(ISERROR(FIND('112'!$M$9,G1771,1)),"",IF((AND(RIGHT(G1771,2)=RIGHT('112'!$M$9,2),B1771&lt;'112'!$K$9,$O1771='112'!$I$6)),"x",""))</f>
        <v/>
      </c>
      <c r="W1771" s="79" t="str">
        <f>IF(AND('341-CT'!$H$9=H1771,OR(LEFT(N1771,3)=$W$7,LEFT(O1771,3)=$W$7)),"x","")</f>
        <v/>
      </c>
      <c r="X1771" s="79" t="str">
        <f>IF(OR(TH!N1771=TH!$X$7,O1771=TH!$X$7),"x","")</f>
        <v/>
      </c>
      <c r="Y1771" s="79" t="str">
        <f>IF(AND(OR(N1771="131",O1771="131"),H1771='131-CT'!$H$9),"x","")</f>
        <v/>
      </c>
      <c r="Z1771" s="79"/>
      <c r="AA1771" s="79" t="str">
        <f>IF(AND(MONTH(E1771)='IN-NX'!$J$5,'IN-NX'!$D$7=D1771),"x","")</f>
        <v/>
      </c>
      <c r="AB1771" s="79" t="str">
        <f>IF(AND(OR(LEFT(TH!N1771,2)="15",LEFT(TH!O1771,2)="15"),LEFT(TH!O1771,3)&lt;&gt;"111",'152-CT'!$J$8=TH!F1771),"x","")</f>
        <v/>
      </c>
      <c r="AC1771" s="79" t="str">
        <f>IF(AND(OR(LEFT(TH!N1771,2)="15",LEFT(TH!O1771,2)="15"),TK!$E$7=TH!F1771),"x","")</f>
        <v/>
      </c>
      <c r="AD1771" s="79" t="str">
        <f>IF(AND(N1771="1521",MONTH(C1771)='BK-NL'!$M$11),"x","")</f>
        <v/>
      </c>
    </row>
    <row r="1772" spans="1:30" ht="16.5" customHeight="1">
      <c r="A1772" s="318" t="str">
        <f>IF(B1772&lt;&gt;"",IF(AND(B1772='IN-TC'!$S$4,OR(TH!N1772="1111",TH!O1772="1111")),TH!D1772,""),"")</f>
        <v/>
      </c>
      <c r="B1772" s="60" t="str">
        <f t="shared" si="211"/>
        <v/>
      </c>
      <c r="C1772" s="989"/>
      <c r="D1772" s="989"/>
      <c r="E1772" s="989"/>
      <c r="F1772" s="921"/>
      <c r="G1772" s="991"/>
      <c r="H1772" s="1011"/>
      <c r="I1772" s="994"/>
      <c r="J1772" s="992"/>
      <c r="K1772" s="994"/>
      <c r="L1772" s="992"/>
      <c r="M1772" s="995"/>
      <c r="N1772" s="996"/>
      <c r="O1772" s="996"/>
      <c r="P1772" s="79" t="str">
        <f>IF(AND('331-CT'!$E$7=TH!H1772,OR(N1772="331",O1772="331")),"x","")</f>
        <v/>
      </c>
      <c r="Q1772" s="79" t="str">
        <f>IF(AND(B1772='111'!$L$11,OR($N1772=$Q$7,$O1772=$Q$7)),"x","")</f>
        <v/>
      </c>
      <c r="R1772" s="79" t="str">
        <f>IF(AND($N1772=$Q$7,$B1772&lt;'111'!$L$11),"x","")</f>
        <v/>
      </c>
      <c r="S1772" s="79" t="str">
        <f>IF(AND($O1772=$Q$7,$B1772&lt;'111'!$L$11),"x","")</f>
        <v/>
      </c>
      <c r="T1772" s="79" t="str">
        <f>IF(ISERROR(FIND('112'!$M$9,G1772,1)),"",IF((AND(FIND('112'!$M$9,G1772,1)&gt;=1,B1772='112'!$K$9,OR($N1772='112'!$I$6,$O1772='112'!$I$6))),"x",""))</f>
        <v/>
      </c>
      <c r="U1772" s="79" t="str">
        <f>IF(ISERROR(FIND('112'!$M$9,G1772,1)),"",IF((AND(LEFT(G1772,2)=LEFT('112'!$M$9,2),B1772&lt;'112'!$K$9,$N1772='112'!$I$6)),"x",""))</f>
        <v/>
      </c>
      <c r="V1772" s="79" t="str">
        <f>IF(ISERROR(FIND('112'!$M$9,G1772,1)),"",IF((AND(RIGHT(G1772,2)=RIGHT('112'!$M$9,2),B1772&lt;'112'!$K$9,$O1772='112'!$I$6)),"x",""))</f>
        <v/>
      </c>
      <c r="W1772" s="79" t="str">
        <f>IF(AND('341-CT'!$H$9=H1772,OR(LEFT(N1772,3)=$W$7,LEFT(O1772,3)=$W$7)),"x","")</f>
        <v/>
      </c>
      <c r="X1772" s="79" t="str">
        <f>IF(OR(TH!N1772=TH!$X$7,O1772=TH!$X$7),"x","")</f>
        <v/>
      </c>
      <c r="Y1772" s="79" t="str">
        <f>IF(AND(OR(N1772="131",O1772="131"),H1772='131-CT'!$H$9),"x","")</f>
        <v/>
      </c>
      <c r="Z1772" s="79"/>
      <c r="AA1772" s="79" t="str">
        <f>IF(AND(MONTH(E1772)='IN-NX'!$J$5,'IN-NX'!$D$7=D1772),"x","")</f>
        <v/>
      </c>
      <c r="AB1772" s="79" t="str">
        <f>IF(AND(OR(LEFT(TH!N1772,2)="15",LEFT(TH!O1772,2)="15"),LEFT(TH!O1772,3)&lt;&gt;"111",'152-CT'!$J$8=TH!F1772),"x","")</f>
        <v/>
      </c>
      <c r="AC1772" s="79" t="str">
        <f>IF(AND(OR(LEFT(TH!N1772,2)="15",LEFT(TH!O1772,2)="15"),TK!$E$7=TH!F1772),"x","")</f>
        <v/>
      </c>
      <c r="AD1772" s="79" t="str">
        <f>IF(AND(N1772="1521",MONTH(C1772)='BK-NL'!$M$11),"x","")</f>
        <v/>
      </c>
    </row>
    <row r="1773" spans="1:30" ht="16.5" customHeight="1">
      <c r="A1773" s="318" t="str">
        <f>IF(B1773&lt;&gt;"",IF(AND(B1773='IN-TC'!$S$4,OR(TH!N1773="1111",TH!O1773="1111")),TH!D1773,""),"")</f>
        <v/>
      </c>
      <c r="B1773" s="60" t="str">
        <f t="shared" si="211"/>
        <v/>
      </c>
      <c r="C1773" s="989"/>
      <c r="D1773" s="989"/>
      <c r="E1773" s="989"/>
      <c r="F1773" s="990"/>
      <c r="G1773" s="991"/>
      <c r="H1773" s="1011"/>
      <c r="I1773" s="994"/>
      <c r="J1773" s="992"/>
      <c r="K1773" s="994"/>
      <c r="L1773" s="992"/>
      <c r="M1773" s="995"/>
      <c r="N1773" s="996"/>
      <c r="O1773" s="996"/>
      <c r="P1773" s="79" t="str">
        <f>IF(AND('331-CT'!$E$7=TH!H1773,OR(N1773="331",O1773="331")),"x","")</f>
        <v/>
      </c>
      <c r="Q1773" s="79" t="str">
        <f>IF(AND(B1773='111'!$L$11,OR($N1773=$Q$7,$O1773=$Q$7)),"x","")</f>
        <v/>
      </c>
      <c r="R1773" s="79" t="str">
        <f>IF(AND($N1773=$Q$7,$B1773&lt;'111'!$L$11),"x","")</f>
        <v/>
      </c>
      <c r="S1773" s="79" t="str">
        <f>IF(AND($O1773=$Q$7,$B1773&lt;'111'!$L$11),"x","")</f>
        <v/>
      </c>
      <c r="T1773" s="79" t="str">
        <f>IF(ISERROR(FIND('112'!$M$9,G1773,1)),"",IF((AND(FIND('112'!$M$9,G1773,1)&gt;=1,B1773='112'!$K$9,OR($N1773='112'!$I$6,$O1773='112'!$I$6))),"x",""))</f>
        <v/>
      </c>
      <c r="U1773" s="79" t="str">
        <f>IF(ISERROR(FIND('112'!$M$9,G1773,1)),"",IF((AND(LEFT(G1773,2)=LEFT('112'!$M$9,2),B1773&lt;'112'!$K$9,$N1773='112'!$I$6)),"x",""))</f>
        <v/>
      </c>
      <c r="V1773" s="79" t="str">
        <f>IF(ISERROR(FIND('112'!$M$9,G1773,1)),"",IF((AND(RIGHT(G1773,2)=RIGHT('112'!$M$9,2),B1773&lt;'112'!$K$9,$O1773='112'!$I$6)),"x",""))</f>
        <v/>
      </c>
      <c r="W1773" s="79" t="str">
        <f>IF(AND('341-CT'!$H$9=H1773,OR(LEFT(N1773,3)=$W$7,LEFT(O1773,3)=$W$7)),"x","")</f>
        <v/>
      </c>
      <c r="X1773" s="79" t="str">
        <f>IF(OR(TH!N1773=TH!$X$7,O1773=TH!$X$7),"x","")</f>
        <v/>
      </c>
      <c r="Y1773" s="79" t="str">
        <f>IF(AND(OR(N1773="131",O1773="131"),H1773='131-CT'!$H$9),"x","")</f>
        <v/>
      </c>
      <c r="Z1773" s="79"/>
      <c r="AA1773" s="79" t="str">
        <f>IF(AND(MONTH(E1773)='IN-NX'!$J$5,'IN-NX'!$D$7=D1773),"x","")</f>
        <v/>
      </c>
      <c r="AB1773" s="79" t="str">
        <f>IF(AND(OR(LEFT(TH!N1773,2)="15",LEFT(TH!O1773,2)="15"),LEFT(TH!O1773,3)&lt;&gt;"111",'152-CT'!$J$8=TH!F1773),"x","")</f>
        <v/>
      </c>
      <c r="AC1773" s="79" t="str">
        <f>IF(AND(OR(LEFT(TH!N1773,2)="15",LEFT(TH!O1773,2)="15"),TK!$E$7=TH!F1773),"x","")</f>
        <v/>
      </c>
      <c r="AD1773" s="79" t="str">
        <f>IF(AND(N1773="1521",MONTH(C1773)='BK-NL'!$M$11),"x","")</f>
        <v/>
      </c>
    </row>
    <row r="1774" spans="1:30" ht="16.5" customHeight="1">
      <c r="A1774" s="318" t="str">
        <f>IF(B1774&lt;&gt;"",IF(AND(B1774='IN-TC'!$S$4,OR(TH!N1774="1111",TH!O1774="1111")),TH!D1774,""),"")</f>
        <v/>
      </c>
      <c r="B1774" s="60" t="str">
        <f t="shared" si="211"/>
        <v/>
      </c>
      <c r="C1774" s="989"/>
      <c r="D1774" s="989"/>
      <c r="E1774" s="989"/>
      <c r="F1774" s="990"/>
      <c r="G1774" s="991"/>
      <c r="H1774" s="1011"/>
      <c r="I1774" s="994"/>
      <c r="J1774" s="992"/>
      <c r="K1774" s="994"/>
      <c r="L1774" s="992"/>
      <c r="M1774" s="995"/>
      <c r="N1774" s="996"/>
      <c r="O1774" s="996"/>
      <c r="P1774" s="79" t="str">
        <f>IF(AND('331-CT'!$E$7=TH!H1774,OR(N1774="331",O1774="331")),"x","")</f>
        <v/>
      </c>
      <c r="Q1774" s="79" t="str">
        <f>IF(AND(B1774='111'!$L$11,OR($N1774=$Q$7,$O1774=$Q$7)),"x","")</f>
        <v/>
      </c>
      <c r="R1774" s="79" t="str">
        <f>IF(AND($N1774=$Q$7,$B1774&lt;'111'!$L$11),"x","")</f>
        <v/>
      </c>
      <c r="S1774" s="79" t="str">
        <f>IF(AND($O1774=$Q$7,$B1774&lt;'111'!$L$11),"x","")</f>
        <v/>
      </c>
      <c r="T1774" s="79" t="str">
        <f>IF(ISERROR(FIND('112'!$M$9,G1774,1)),"",IF((AND(FIND('112'!$M$9,G1774,1)&gt;=1,B1774='112'!$K$9,OR($N1774='112'!$I$6,$O1774='112'!$I$6))),"x",""))</f>
        <v/>
      </c>
      <c r="U1774" s="79" t="str">
        <f>IF(ISERROR(FIND('112'!$M$9,G1774,1)),"",IF((AND(LEFT(G1774,2)=LEFT('112'!$M$9,2),B1774&lt;'112'!$K$9,$N1774='112'!$I$6)),"x",""))</f>
        <v/>
      </c>
      <c r="V1774" s="79" t="str">
        <f>IF(ISERROR(FIND('112'!$M$9,G1774,1)),"",IF((AND(RIGHT(G1774,2)=RIGHT('112'!$M$9,2),B1774&lt;'112'!$K$9,$O1774='112'!$I$6)),"x",""))</f>
        <v/>
      </c>
      <c r="W1774" s="79" t="str">
        <f>IF(AND('341-CT'!$H$9=H1774,OR(LEFT(N1774,3)=$W$7,LEFT(O1774,3)=$W$7)),"x","")</f>
        <v/>
      </c>
      <c r="X1774" s="79" t="str">
        <f>IF(OR(TH!N1774=TH!$X$7,O1774=TH!$X$7),"x","")</f>
        <v/>
      </c>
      <c r="Y1774" s="79" t="str">
        <f>IF(AND(OR(N1774="131",O1774="131"),H1774='131-CT'!$H$9),"x","")</f>
        <v/>
      </c>
      <c r="Z1774" s="79"/>
      <c r="AA1774" s="79" t="str">
        <f>IF(AND(MONTH(E1774)='IN-NX'!$J$5,'IN-NX'!$D$7=D1774),"x","")</f>
        <v/>
      </c>
      <c r="AB1774" s="79" t="str">
        <f>IF(AND(OR(LEFT(TH!N1774,2)="15",LEFT(TH!O1774,2)="15"),LEFT(TH!O1774,3)&lt;&gt;"111",'152-CT'!$J$8=TH!F1774),"x","")</f>
        <v/>
      </c>
      <c r="AC1774" s="79" t="str">
        <f>IF(AND(OR(LEFT(TH!N1774,2)="15",LEFT(TH!O1774,2)="15"),TK!$E$7=TH!F1774),"x","")</f>
        <v/>
      </c>
      <c r="AD1774" s="79" t="str">
        <f>IF(AND(N1774="1521",MONTH(C1774)='BK-NL'!$M$11),"x","")</f>
        <v/>
      </c>
    </row>
    <row r="1775" spans="1:30" ht="16.5" customHeight="1">
      <c r="A1775" s="318" t="str">
        <f>IF(B1775&lt;&gt;"",IF(AND(B1775='IN-TC'!$S$4,OR(TH!N1775="1111",TH!O1775="1111")),TH!D1775,""),"")</f>
        <v/>
      </c>
      <c r="B1775" s="60" t="str">
        <f t="shared" si="211"/>
        <v/>
      </c>
      <c r="C1775" s="989"/>
      <c r="D1775" s="989"/>
      <c r="E1775" s="989"/>
      <c r="F1775" s="990"/>
      <c r="G1775" s="991"/>
      <c r="H1775" s="1141"/>
      <c r="I1775" s="994"/>
      <c r="J1775" s="992"/>
      <c r="K1775" s="994"/>
      <c r="L1775" s="992"/>
      <c r="M1775" s="995"/>
      <c r="N1775" s="996"/>
      <c r="O1775" s="996"/>
      <c r="P1775" s="79" t="str">
        <f>IF(AND('331-CT'!$E$7=TH!H1775,OR(N1775="331",O1775="331")),"x","")</f>
        <v/>
      </c>
      <c r="Q1775" s="79" t="str">
        <f>IF(AND(B1775='111'!$L$11,OR($N1775=$Q$7,$O1775=$Q$7)),"x","")</f>
        <v/>
      </c>
      <c r="R1775" s="79" t="str">
        <f>IF(AND($N1775=$Q$7,$B1775&lt;'111'!$L$11),"x","")</f>
        <v/>
      </c>
      <c r="S1775" s="79" t="str">
        <f>IF(AND($O1775=$Q$7,$B1775&lt;'111'!$L$11),"x","")</f>
        <v/>
      </c>
      <c r="T1775" s="79" t="str">
        <f>IF(ISERROR(FIND('112'!$M$9,G1775,1)),"",IF((AND(FIND('112'!$M$9,G1775,1)&gt;=1,B1775='112'!$K$9,OR($N1775='112'!$I$6,$O1775='112'!$I$6))),"x",""))</f>
        <v/>
      </c>
      <c r="U1775" s="79" t="str">
        <f>IF(ISERROR(FIND('112'!$M$9,G1775,1)),"",IF((AND(LEFT(G1775,2)=LEFT('112'!$M$9,2),B1775&lt;'112'!$K$9,$N1775='112'!$I$6)),"x",""))</f>
        <v/>
      </c>
      <c r="V1775" s="79" t="str">
        <f>IF(ISERROR(FIND('112'!$M$9,G1775,1)),"",IF((AND(RIGHT(G1775,2)=RIGHT('112'!$M$9,2),B1775&lt;'112'!$K$9,$O1775='112'!$I$6)),"x",""))</f>
        <v/>
      </c>
      <c r="W1775" s="79" t="str">
        <f>IF(AND('341-CT'!$H$9=H1775,OR(LEFT(N1775,3)=$W$7,LEFT(O1775,3)=$W$7)),"x","")</f>
        <v/>
      </c>
      <c r="X1775" s="79" t="str">
        <f>IF(OR(TH!N1775=TH!$X$7,O1775=TH!$X$7),"x","")</f>
        <v/>
      </c>
      <c r="Y1775" s="79" t="str">
        <f>IF(AND(OR(N1775="131",O1775="131"),H1775='131-CT'!$H$9),"x","")</f>
        <v/>
      </c>
      <c r="Z1775" s="79"/>
      <c r="AA1775" s="79" t="str">
        <f>IF(AND(MONTH(E1775)='IN-NX'!$J$5,'IN-NX'!$D$7=D1775),"x","")</f>
        <v/>
      </c>
      <c r="AB1775" s="79" t="str">
        <f>IF(AND(OR(LEFT(TH!N1775,2)="15",LEFT(TH!O1775,2)="15"),LEFT(TH!O1775,3)&lt;&gt;"111",'152-CT'!$J$8=TH!F1775),"x","")</f>
        <v/>
      </c>
      <c r="AC1775" s="79" t="str">
        <f>IF(AND(OR(LEFT(TH!N1775,2)="15",LEFT(TH!O1775,2)="15"),TK!$E$7=TH!F1775),"x","")</f>
        <v/>
      </c>
      <c r="AD1775" s="79" t="str">
        <f>IF(AND(N1775="1521",MONTH(C1775)='BK-NL'!$M$11),"x","")</f>
        <v/>
      </c>
    </row>
    <row r="1776" spans="1:30" ht="16.5" customHeight="1">
      <c r="A1776" s="318" t="str">
        <f>IF(B1776&lt;&gt;"",IF(AND(B1776='IN-TC'!$S$4,OR(TH!N1776="1111",TH!O1776="1111")),TH!D1776,""),"")</f>
        <v/>
      </c>
      <c r="B1776" s="60" t="str">
        <f t="shared" si="211"/>
        <v/>
      </c>
      <c r="C1776" s="989"/>
      <c r="D1776" s="989"/>
      <c r="E1776" s="989"/>
      <c r="F1776" s="990"/>
      <c r="G1776" s="991"/>
      <c r="H1776" s="1141"/>
      <c r="I1776" s="994"/>
      <c r="J1776" s="992"/>
      <c r="K1776" s="994"/>
      <c r="L1776" s="992"/>
      <c r="M1776" s="995"/>
      <c r="N1776" s="996"/>
      <c r="O1776" s="996"/>
      <c r="P1776" s="79" t="str">
        <f>IF(AND('331-CT'!$E$7=TH!H1776,OR(N1776="331",O1776="331")),"x","")</f>
        <v/>
      </c>
      <c r="Q1776" s="79" t="str">
        <f>IF(AND(B1776='111'!$L$11,OR($N1776=$Q$7,$O1776=$Q$7)),"x","")</f>
        <v/>
      </c>
      <c r="R1776" s="79" t="str">
        <f>IF(AND($N1776=$Q$7,$B1776&lt;'111'!$L$11),"x","")</f>
        <v/>
      </c>
      <c r="S1776" s="79" t="str">
        <f>IF(AND($O1776=$Q$7,$B1776&lt;'111'!$L$11),"x","")</f>
        <v/>
      </c>
      <c r="T1776" s="79" t="str">
        <f>IF(ISERROR(FIND('112'!$M$9,G1776,1)),"",IF((AND(FIND('112'!$M$9,G1776,1)&gt;=1,B1776='112'!$K$9,OR($N1776='112'!$I$6,$O1776='112'!$I$6))),"x",""))</f>
        <v/>
      </c>
      <c r="U1776" s="79" t="str">
        <f>IF(ISERROR(FIND('112'!$M$9,G1776,1)),"",IF((AND(LEFT(G1776,2)=LEFT('112'!$M$9,2),B1776&lt;'112'!$K$9,$N1776='112'!$I$6)),"x",""))</f>
        <v/>
      </c>
      <c r="V1776" s="79" t="str">
        <f>IF(ISERROR(FIND('112'!$M$9,G1776,1)),"",IF((AND(RIGHT(G1776,2)=RIGHT('112'!$M$9,2),B1776&lt;'112'!$K$9,$O1776='112'!$I$6)),"x",""))</f>
        <v/>
      </c>
      <c r="W1776" s="79" t="str">
        <f>IF(AND('341-CT'!$H$9=H1776,OR(LEFT(N1776,3)=$W$7,LEFT(O1776,3)=$W$7)),"x","")</f>
        <v/>
      </c>
      <c r="X1776" s="79" t="str">
        <f>IF(OR(TH!N1776=TH!$X$7,O1776=TH!$X$7),"x","")</f>
        <v/>
      </c>
      <c r="Y1776" s="79" t="str">
        <f>IF(AND(OR(N1776="131",O1776="131"),H1776='131-CT'!$H$9),"x","")</f>
        <v/>
      </c>
      <c r="Z1776" s="79"/>
      <c r="AA1776" s="79" t="str">
        <f>IF(AND(MONTH(E1776)='IN-NX'!$J$5,'IN-NX'!$D$7=D1776),"x","")</f>
        <v/>
      </c>
      <c r="AB1776" s="79" t="str">
        <f>IF(AND(OR(LEFT(TH!N1776,2)="15",LEFT(TH!O1776,2)="15"),LEFT(TH!O1776,3)&lt;&gt;"111",'152-CT'!$J$8=TH!F1776),"x","")</f>
        <v/>
      </c>
      <c r="AC1776" s="79" t="str">
        <f>IF(AND(OR(LEFT(TH!N1776,2)="15",LEFT(TH!O1776,2)="15"),TK!$E$7=TH!F1776),"x","")</f>
        <v/>
      </c>
      <c r="AD1776" s="79" t="str">
        <f>IF(AND(N1776="1521",MONTH(C1776)='BK-NL'!$M$11),"x","")</f>
        <v/>
      </c>
    </row>
    <row r="1777" spans="1:30" ht="17.25" customHeight="1">
      <c r="A1777" s="318" t="str">
        <f>IF(B1777&lt;&gt;"",IF(AND(B1777='IN-TC'!$S$4,OR(TH!N1777="1111",TH!O1777="1111")),TH!D1777,""),"")</f>
        <v/>
      </c>
      <c r="B1777" s="60" t="str">
        <f t="shared" si="211"/>
        <v/>
      </c>
      <c r="C1777" s="989"/>
      <c r="D1777" s="989"/>
      <c r="E1777" s="989"/>
      <c r="F1777" s="921"/>
      <c r="G1777" s="991"/>
      <c r="H1777" s="1011"/>
      <c r="I1777" s="994"/>
      <c r="J1777" s="992"/>
      <c r="K1777" s="994"/>
      <c r="L1777" s="992"/>
      <c r="M1777" s="995"/>
      <c r="N1777" s="996"/>
      <c r="O1777" s="996"/>
      <c r="P1777" s="79" t="str">
        <f>IF(AND('331-CT'!$E$7=TH!H1777,OR(N1777="331",O1777="331")),"x","")</f>
        <v/>
      </c>
      <c r="Q1777" s="79" t="str">
        <f>IF(AND(B1777='111'!$L$11,OR($N1777=$Q$7,$O1777=$Q$7)),"x","")</f>
        <v/>
      </c>
      <c r="R1777" s="79" t="str">
        <f>IF(AND($N1777=$Q$7,$B1777&lt;'111'!$L$11),"x","")</f>
        <v/>
      </c>
      <c r="S1777" s="79" t="str">
        <f>IF(AND($O1777=$Q$7,$B1777&lt;'111'!$L$11),"x","")</f>
        <v/>
      </c>
      <c r="T1777" s="79" t="str">
        <f>IF(ISERROR(FIND('112'!$M$9,G1777,1)),"",IF((AND(FIND('112'!$M$9,G1777,1)&gt;=1,B1777='112'!$K$9,OR($N1777='112'!$I$6,$O1777='112'!$I$6))),"x",""))</f>
        <v/>
      </c>
      <c r="U1777" s="79" t="str">
        <f>IF(ISERROR(FIND('112'!$M$9,G1777,1)),"",IF((AND(LEFT(G1777,2)=LEFT('112'!$M$9,2),B1777&lt;'112'!$K$9,$N1777='112'!$I$6)),"x",""))</f>
        <v/>
      </c>
      <c r="V1777" s="79" t="str">
        <f>IF(ISERROR(FIND('112'!$M$9,G1777,1)),"",IF((AND(RIGHT(G1777,2)=RIGHT('112'!$M$9,2),B1777&lt;'112'!$K$9,$O1777='112'!$I$6)),"x",""))</f>
        <v/>
      </c>
      <c r="W1777" s="79" t="str">
        <f>IF(AND('341-CT'!$H$9=H1777,OR(LEFT(N1777,3)=$W$7,LEFT(O1777,3)=$W$7)),"x","")</f>
        <v/>
      </c>
      <c r="X1777" s="79" t="str">
        <f>IF(OR(TH!N1777=TH!$X$7,O1777=TH!$X$7),"x","")</f>
        <v/>
      </c>
      <c r="Y1777" s="79" t="str">
        <f>IF(AND(OR(N1777="131",O1777="131"),H1777='131-CT'!$H$9),"x","")</f>
        <v/>
      </c>
      <c r="Z1777" s="79"/>
      <c r="AA1777" s="79" t="str">
        <f>IF(AND(MONTH(E1777)='IN-NX'!$J$5,'IN-NX'!$D$7=D1777),"x","")</f>
        <v/>
      </c>
      <c r="AB1777" s="79" t="str">
        <f>IF(AND(OR(LEFT(TH!N1777,2)="15",LEFT(TH!O1777,2)="15"),LEFT(TH!O1777,3)&lt;&gt;"111",'152-CT'!$J$8=TH!F1777),"x","")</f>
        <v/>
      </c>
      <c r="AC1777" s="79" t="str">
        <f>IF(AND(OR(LEFT(TH!N1777,2)="15",LEFT(TH!O1777,2)="15"),TK!$E$7=TH!F1777),"x","")</f>
        <v/>
      </c>
      <c r="AD1777" s="79" t="str">
        <f>IF(AND(N1777="1521",MONTH(C1777)='BK-NL'!$M$11),"x","")</f>
        <v/>
      </c>
    </row>
    <row r="1778" spans="1:30" ht="17.25" customHeight="1">
      <c r="A1778" s="318" t="str">
        <f>IF(B1778&lt;&gt;"",IF(AND(B1778='IN-TC'!$S$4,OR(TH!N1778="1111",TH!O1778="1111")),TH!D1778,""),"")</f>
        <v/>
      </c>
      <c r="B1778" s="60" t="str">
        <f t="shared" si="211"/>
        <v/>
      </c>
      <c r="C1778" s="989"/>
      <c r="D1778" s="989"/>
      <c r="E1778" s="989"/>
      <c r="F1778" s="921"/>
      <c r="G1778" s="991"/>
      <c r="H1778" s="1011"/>
      <c r="I1778" s="994"/>
      <c r="J1778" s="992"/>
      <c r="K1778" s="994"/>
      <c r="L1778" s="992"/>
      <c r="M1778" s="995"/>
      <c r="N1778" s="996"/>
      <c r="O1778" s="996"/>
      <c r="P1778" s="79" t="str">
        <f>IF(AND('331-CT'!$E$7=TH!H1778,OR(N1778="331",O1778="331")),"x","")</f>
        <v/>
      </c>
      <c r="Q1778" s="79" t="str">
        <f>IF(AND(B1778='111'!$L$11,OR($N1778=$Q$7,$O1778=$Q$7)),"x","")</f>
        <v/>
      </c>
      <c r="R1778" s="79" t="str">
        <f>IF(AND($N1778=$Q$7,$B1778&lt;'111'!$L$11),"x","")</f>
        <v/>
      </c>
      <c r="S1778" s="79" t="str">
        <f>IF(AND($O1778=$Q$7,$B1778&lt;'111'!$L$11),"x","")</f>
        <v/>
      </c>
      <c r="T1778" s="79" t="str">
        <f>IF(ISERROR(FIND('112'!$M$9,G1778,1)),"",IF((AND(FIND('112'!$M$9,G1778,1)&gt;=1,B1778='112'!$K$9,OR($N1778='112'!$I$6,$O1778='112'!$I$6))),"x",""))</f>
        <v/>
      </c>
      <c r="U1778" s="79" t="str">
        <f>IF(ISERROR(FIND('112'!$M$9,G1778,1)),"",IF((AND(LEFT(G1778,2)=LEFT('112'!$M$9,2),B1778&lt;'112'!$K$9,$N1778='112'!$I$6)),"x",""))</f>
        <v/>
      </c>
      <c r="V1778" s="79" t="str">
        <f>IF(ISERROR(FIND('112'!$M$9,G1778,1)),"",IF((AND(RIGHT(G1778,2)=RIGHT('112'!$M$9,2),B1778&lt;'112'!$K$9,$O1778='112'!$I$6)),"x",""))</f>
        <v/>
      </c>
      <c r="W1778" s="79" t="str">
        <f>IF(AND('341-CT'!$H$9=H1778,OR(LEFT(N1778,3)=$W$7,LEFT(O1778,3)=$W$7)),"x","")</f>
        <v/>
      </c>
      <c r="X1778" s="79" t="str">
        <f>IF(OR(TH!N1778=TH!$X$7,O1778=TH!$X$7),"x","")</f>
        <v/>
      </c>
      <c r="Y1778" s="79" t="str">
        <f>IF(AND(OR(N1778="131",O1778="131"),H1778='131-CT'!$H$9),"x","")</f>
        <v/>
      </c>
      <c r="Z1778" s="79"/>
      <c r="AA1778" s="79" t="str">
        <f>IF(AND(MONTH(E1778)='IN-NX'!$J$5,'IN-NX'!$D$7=D1778),"x","")</f>
        <v/>
      </c>
      <c r="AB1778" s="79" t="str">
        <f>IF(AND(OR(LEFT(TH!N1778,2)="15",LEFT(TH!O1778,2)="15"),LEFT(TH!O1778,3)&lt;&gt;"111",'152-CT'!$J$8=TH!F1778),"x","")</f>
        <v/>
      </c>
      <c r="AC1778" s="79" t="str">
        <f>IF(AND(OR(LEFT(TH!N1778,2)="15",LEFT(TH!O1778,2)="15"),TK!$E$7=TH!F1778),"x","")</f>
        <v/>
      </c>
      <c r="AD1778" s="79" t="str">
        <f>IF(AND(N1778="1521",MONTH(C1778)='BK-NL'!$M$11),"x","")</f>
        <v/>
      </c>
    </row>
    <row r="1779" spans="1:30" ht="16.5" customHeight="1">
      <c r="A1779" s="318" t="str">
        <f>IF(B1779&lt;&gt;"",IF(AND(B1779='IN-TC'!$S$4,OR(TH!N1779="1111",TH!O1779="1111")),TH!D1779,""),"")</f>
        <v/>
      </c>
      <c r="B1779" s="60" t="str">
        <f t="shared" si="211"/>
        <v/>
      </c>
      <c r="C1779" s="989"/>
      <c r="D1779" s="989"/>
      <c r="E1779" s="989"/>
      <c r="F1779" s="990"/>
      <c r="G1779" s="991"/>
      <c r="H1779" s="1011"/>
      <c r="I1779" s="994"/>
      <c r="J1779" s="992"/>
      <c r="K1779" s="994"/>
      <c r="L1779" s="992"/>
      <c r="M1779" s="995"/>
      <c r="N1779" s="996"/>
      <c r="O1779" s="996"/>
      <c r="P1779" s="79" t="str">
        <f>IF(AND('331-CT'!$E$7=TH!H1779,OR(N1779="331",O1779="331")),"x","")</f>
        <v/>
      </c>
      <c r="Q1779" s="79" t="str">
        <f>IF(AND(B1779='111'!$L$11,OR($N1779=$Q$7,$O1779=$Q$7)),"x","")</f>
        <v/>
      </c>
      <c r="R1779" s="79" t="str">
        <f>IF(AND($N1779=$Q$7,$B1779&lt;'111'!$L$11),"x","")</f>
        <v/>
      </c>
      <c r="S1779" s="79" t="str">
        <f>IF(AND($O1779=$Q$7,$B1779&lt;'111'!$L$11),"x","")</f>
        <v/>
      </c>
      <c r="T1779" s="79" t="str">
        <f>IF(ISERROR(FIND('112'!$M$9,G1779,1)),"",IF((AND(FIND('112'!$M$9,G1779,1)&gt;=1,B1779='112'!$K$9,OR($N1779='112'!$I$6,$O1779='112'!$I$6))),"x",""))</f>
        <v/>
      </c>
      <c r="U1779" s="79" t="str">
        <f>IF(ISERROR(FIND('112'!$M$9,G1779,1)),"",IF((AND(LEFT(G1779,2)=LEFT('112'!$M$9,2),B1779&lt;'112'!$K$9,$N1779='112'!$I$6)),"x",""))</f>
        <v/>
      </c>
      <c r="V1779" s="79" t="str">
        <f>IF(ISERROR(FIND('112'!$M$9,G1779,1)),"",IF((AND(RIGHT(G1779,2)=RIGHT('112'!$M$9,2),B1779&lt;'112'!$K$9,$O1779='112'!$I$6)),"x",""))</f>
        <v/>
      </c>
      <c r="W1779" s="79" t="str">
        <f>IF(AND('341-CT'!$H$9=H1779,OR(LEFT(N1779,3)=$W$7,LEFT(O1779,3)=$W$7)),"x","")</f>
        <v/>
      </c>
      <c r="X1779" s="79" t="str">
        <f>IF(OR(TH!N1779=TH!$X$7,O1779=TH!$X$7),"x","")</f>
        <v/>
      </c>
      <c r="Y1779" s="79" t="str">
        <f>IF(AND(OR(N1779="131",O1779="131"),H1779='131-CT'!$H$9),"x","")</f>
        <v/>
      </c>
      <c r="Z1779" s="79"/>
      <c r="AA1779" s="79" t="str">
        <f>IF(AND(MONTH(E1779)='IN-NX'!$J$5,'IN-NX'!$D$7=D1779),"x","")</f>
        <v/>
      </c>
      <c r="AB1779" s="79" t="str">
        <f>IF(AND(OR(LEFT(TH!N1779,2)="15",LEFT(TH!O1779,2)="15"),LEFT(TH!O1779,3)&lt;&gt;"111",'152-CT'!$J$8=TH!F1779),"x","")</f>
        <v/>
      </c>
      <c r="AC1779" s="79" t="str">
        <f>IF(AND(OR(LEFT(TH!N1779,2)="15",LEFT(TH!O1779,2)="15"),TK!$E$7=TH!F1779),"x","")</f>
        <v/>
      </c>
      <c r="AD1779" s="79" t="str">
        <f>IF(AND(N1779="1521",MONTH(C1779)='BK-NL'!$M$11),"x","")</f>
        <v/>
      </c>
    </row>
    <row r="1780" spans="1:30" ht="16.5" customHeight="1">
      <c r="A1780" s="318" t="str">
        <f>IF(B1780&lt;&gt;"",IF(AND(B1780='IN-TC'!$S$4,OR(TH!N1780="1111",TH!O1780="1111")),TH!D1780,""),"")</f>
        <v/>
      </c>
      <c r="B1780" s="60" t="str">
        <f t="shared" si="211"/>
        <v/>
      </c>
      <c r="C1780" s="989"/>
      <c r="D1780" s="989"/>
      <c r="E1780" s="989"/>
      <c r="F1780" s="990"/>
      <c r="G1780" s="991"/>
      <c r="H1780" s="1011"/>
      <c r="I1780" s="994"/>
      <c r="J1780" s="992"/>
      <c r="K1780" s="994"/>
      <c r="L1780" s="992"/>
      <c r="M1780" s="995"/>
      <c r="N1780" s="996"/>
      <c r="O1780" s="996"/>
      <c r="P1780" s="79" t="str">
        <f>IF(AND('331-CT'!$E$7=TH!H1780,OR(N1780="331",O1780="331")),"x","")</f>
        <v/>
      </c>
      <c r="Q1780" s="79" t="str">
        <f>IF(AND(B1780='111'!$L$11,OR($N1780=$Q$7,$O1780=$Q$7)),"x","")</f>
        <v/>
      </c>
      <c r="R1780" s="79" t="str">
        <f>IF(AND($N1780=$Q$7,$B1780&lt;'111'!$L$11),"x","")</f>
        <v/>
      </c>
      <c r="S1780" s="79" t="str">
        <f>IF(AND($O1780=$Q$7,$B1780&lt;'111'!$L$11),"x","")</f>
        <v/>
      </c>
      <c r="T1780" s="79" t="str">
        <f>IF(ISERROR(FIND('112'!$M$9,G1780,1)),"",IF((AND(FIND('112'!$M$9,G1780,1)&gt;=1,B1780='112'!$K$9,OR($N1780='112'!$I$6,$O1780='112'!$I$6))),"x",""))</f>
        <v/>
      </c>
      <c r="U1780" s="79" t="str">
        <f>IF(ISERROR(FIND('112'!$M$9,G1780,1)),"",IF((AND(LEFT(G1780,2)=LEFT('112'!$M$9,2),B1780&lt;'112'!$K$9,$N1780='112'!$I$6)),"x",""))</f>
        <v/>
      </c>
      <c r="V1780" s="79" t="str">
        <f>IF(ISERROR(FIND('112'!$M$9,G1780,1)),"",IF((AND(RIGHT(G1780,2)=RIGHT('112'!$M$9,2),B1780&lt;'112'!$K$9,$O1780='112'!$I$6)),"x",""))</f>
        <v/>
      </c>
      <c r="W1780" s="79" t="str">
        <f>IF(AND('341-CT'!$H$9=H1780,OR(LEFT(N1780,3)=$W$7,LEFT(O1780,3)=$W$7)),"x","")</f>
        <v/>
      </c>
      <c r="X1780" s="79" t="str">
        <f>IF(OR(TH!N1780=TH!$X$7,O1780=TH!$X$7),"x","")</f>
        <v/>
      </c>
      <c r="Y1780" s="79" t="str">
        <f>IF(AND(OR(N1780="131",O1780="131"),H1780='131-CT'!$H$9),"x","")</f>
        <v/>
      </c>
      <c r="Z1780" s="79"/>
      <c r="AA1780" s="79" t="str">
        <f>IF(AND(MONTH(E1780)='IN-NX'!$J$5,'IN-NX'!$D$7=D1780),"x","")</f>
        <v/>
      </c>
      <c r="AB1780" s="79" t="str">
        <f>IF(AND(OR(LEFT(TH!N1780,2)="15",LEFT(TH!O1780,2)="15"),LEFT(TH!O1780,3)&lt;&gt;"111",'152-CT'!$J$8=TH!F1780),"x","")</f>
        <v/>
      </c>
      <c r="AC1780" s="79" t="str">
        <f>IF(AND(OR(LEFT(TH!N1780,2)="15",LEFT(TH!O1780,2)="15"),TK!$E$7=TH!F1780),"x","")</f>
        <v/>
      </c>
      <c r="AD1780" s="79" t="str">
        <f>IF(AND(N1780="1521",MONTH(C1780)='BK-NL'!$M$11),"x","")</f>
        <v/>
      </c>
    </row>
    <row r="1781" spans="1:30" ht="16.5" customHeight="1">
      <c r="A1781" s="318" t="str">
        <f>IF(B1781&lt;&gt;"",IF(AND(B1781='IN-TC'!$S$4,OR(TH!N1781="1111",TH!O1781="1111")),TH!D1781,""),"")</f>
        <v/>
      </c>
      <c r="B1781" s="60" t="str">
        <f t="shared" si="211"/>
        <v/>
      </c>
      <c r="C1781" s="989"/>
      <c r="D1781" s="989"/>
      <c r="E1781" s="989"/>
      <c r="F1781" s="1105"/>
      <c r="G1781" s="991"/>
      <c r="H1781" s="1011"/>
      <c r="I1781" s="994"/>
      <c r="J1781" s="992"/>
      <c r="K1781" s="994"/>
      <c r="L1781" s="992"/>
      <c r="M1781" s="995"/>
      <c r="N1781" s="996"/>
      <c r="O1781" s="996"/>
      <c r="P1781" s="79" t="str">
        <f>IF(AND('331-CT'!$E$7=TH!H1781,OR(N1781="331",O1781="331")),"x","")</f>
        <v/>
      </c>
      <c r="Q1781" s="79" t="str">
        <f>IF(AND(B1781='111'!$L$11,OR($N1781=$Q$7,$O1781=$Q$7)),"x","")</f>
        <v/>
      </c>
      <c r="R1781" s="79" t="str">
        <f>IF(AND($N1781=$Q$7,$B1781&lt;'111'!$L$11),"x","")</f>
        <v/>
      </c>
      <c r="S1781" s="79" t="str">
        <f>IF(AND($O1781=$Q$7,$B1781&lt;'111'!$L$11),"x","")</f>
        <v/>
      </c>
      <c r="T1781" s="79" t="str">
        <f>IF(ISERROR(FIND('112'!$M$9,G1781,1)),"",IF((AND(FIND('112'!$M$9,G1781,1)&gt;=1,B1781='112'!$K$9,OR($N1781='112'!$I$6,$O1781='112'!$I$6))),"x",""))</f>
        <v/>
      </c>
      <c r="U1781" s="79" t="str">
        <f>IF(ISERROR(FIND('112'!$M$9,G1781,1)),"",IF((AND(LEFT(G1781,2)=LEFT('112'!$M$9,2),B1781&lt;'112'!$K$9,$N1781='112'!$I$6)),"x",""))</f>
        <v/>
      </c>
      <c r="V1781" s="79" t="str">
        <f>IF(ISERROR(FIND('112'!$M$9,G1781,1)),"",IF((AND(RIGHT(G1781,2)=RIGHT('112'!$M$9,2),B1781&lt;'112'!$K$9,$O1781='112'!$I$6)),"x",""))</f>
        <v/>
      </c>
      <c r="W1781" s="79" t="str">
        <f>IF(AND('341-CT'!$H$9=H1781,OR(LEFT(N1781,3)=$W$7,LEFT(O1781,3)=$W$7)),"x","")</f>
        <v/>
      </c>
      <c r="X1781" s="79" t="str">
        <f>IF(OR(TH!N1781=TH!$X$7,O1781=TH!$X$7),"x","")</f>
        <v/>
      </c>
      <c r="Y1781" s="79" t="str">
        <f>IF(AND(OR(N1781="131",O1781="131"),H1781='131-CT'!$H$9),"x","")</f>
        <v/>
      </c>
      <c r="Z1781" s="79"/>
      <c r="AA1781" s="79" t="str">
        <f>IF(AND(MONTH(E1781)='IN-NX'!$J$5,'IN-NX'!$D$7=D1781),"x","")</f>
        <v/>
      </c>
      <c r="AB1781" s="79" t="str">
        <f>IF(AND(OR(LEFT(TH!N1781,2)="15",LEFT(TH!O1781,2)="15"),LEFT(TH!O1781,3)&lt;&gt;"111",'152-CT'!$J$8=TH!F1781),"x","")</f>
        <v/>
      </c>
      <c r="AC1781" s="79" t="str">
        <f>IF(AND(OR(LEFT(TH!N1781,2)="15",LEFT(TH!O1781,2)="15"),TK!$E$7=TH!F1781),"x","")</f>
        <v/>
      </c>
      <c r="AD1781" s="79" t="str">
        <f>IF(AND(N1781="1521",MONTH(C1781)='BK-NL'!$M$11),"x","")</f>
        <v/>
      </c>
    </row>
    <row r="1782" spans="1:30" ht="16.5" customHeight="1">
      <c r="A1782" s="318" t="str">
        <f>IF(B1782&lt;&gt;"",IF(AND(B1782='IN-TC'!$S$4,OR(TH!N1782="1111",TH!O1782="1111")),TH!D1782,""),"")</f>
        <v/>
      </c>
      <c r="B1782" s="60" t="str">
        <f t="shared" si="211"/>
        <v/>
      </c>
      <c r="C1782" s="989"/>
      <c r="D1782" s="989"/>
      <c r="E1782" s="989"/>
      <c r="F1782" s="1105"/>
      <c r="G1782" s="991"/>
      <c r="H1782" s="1011"/>
      <c r="I1782" s="994"/>
      <c r="J1782" s="992"/>
      <c r="K1782" s="994"/>
      <c r="L1782" s="992"/>
      <c r="M1782" s="995"/>
      <c r="N1782" s="996"/>
      <c r="O1782" s="996"/>
      <c r="P1782" s="79" t="str">
        <f>IF(AND('331-CT'!$E$7=TH!H1782,OR(N1782="331",O1782="331")),"x","")</f>
        <v/>
      </c>
      <c r="Q1782" s="79" t="str">
        <f>IF(AND(B1782='111'!$L$11,OR($N1782=$Q$7,$O1782=$Q$7)),"x","")</f>
        <v/>
      </c>
      <c r="R1782" s="79" t="str">
        <f>IF(AND($N1782=$Q$7,$B1782&lt;'111'!$L$11),"x","")</f>
        <v/>
      </c>
      <c r="S1782" s="79" t="str">
        <f>IF(AND($O1782=$Q$7,$B1782&lt;'111'!$L$11),"x","")</f>
        <v/>
      </c>
      <c r="T1782" s="79" t="str">
        <f>IF(ISERROR(FIND('112'!$M$9,G1782,1)),"",IF((AND(FIND('112'!$M$9,G1782,1)&gt;=1,B1782='112'!$K$9,OR($N1782='112'!$I$6,$O1782='112'!$I$6))),"x",""))</f>
        <v/>
      </c>
      <c r="U1782" s="79" t="str">
        <f>IF(ISERROR(FIND('112'!$M$9,G1782,1)),"",IF((AND(LEFT(G1782,2)=LEFT('112'!$M$9,2),B1782&lt;'112'!$K$9,$N1782='112'!$I$6)),"x",""))</f>
        <v/>
      </c>
      <c r="V1782" s="79" t="str">
        <f>IF(ISERROR(FIND('112'!$M$9,G1782,1)),"",IF((AND(RIGHT(G1782,2)=RIGHT('112'!$M$9,2),B1782&lt;'112'!$K$9,$O1782='112'!$I$6)),"x",""))</f>
        <v/>
      </c>
      <c r="W1782" s="79" t="str">
        <f>IF(AND('341-CT'!$H$9=H1782,OR(LEFT(N1782,3)=$W$7,LEFT(O1782,3)=$W$7)),"x","")</f>
        <v/>
      </c>
      <c r="X1782" s="79" t="str">
        <f>IF(OR(TH!N1782=TH!$X$7,O1782=TH!$X$7),"x","")</f>
        <v/>
      </c>
      <c r="Y1782" s="79" t="str">
        <f>IF(AND(OR(N1782="131",O1782="131"),H1782='131-CT'!$H$9),"x","")</f>
        <v/>
      </c>
      <c r="Z1782" s="79"/>
      <c r="AA1782" s="79" t="str">
        <f>IF(AND(MONTH(E1782)='IN-NX'!$J$5,'IN-NX'!$D$7=D1782),"x","")</f>
        <v/>
      </c>
      <c r="AB1782" s="79" t="str">
        <f>IF(AND(OR(LEFT(TH!N1782,2)="15",LEFT(TH!O1782,2)="15"),LEFT(TH!O1782,3)&lt;&gt;"111",'152-CT'!$J$8=TH!F1782),"x","")</f>
        <v/>
      </c>
      <c r="AC1782" s="79" t="str">
        <f>IF(AND(OR(LEFT(TH!N1782,2)="15",LEFT(TH!O1782,2)="15"),TK!$E$7=TH!F1782),"x","")</f>
        <v/>
      </c>
      <c r="AD1782" s="79" t="str">
        <f>IF(AND(N1782="1521",MONTH(C1782)='BK-NL'!$M$11),"x","")</f>
        <v/>
      </c>
    </row>
    <row r="1783" spans="1:30" ht="16.5" customHeight="1">
      <c r="A1783" s="318" t="str">
        <f>IF(B1783&lt;&gt;"",IF(AND(B1783='IN-TC'!$S$4,OR(TH!N1783="1111",TH!O1783="1111")),TH!D1783,""),"")</f>
        <v/>
      </c>
      <c r="B1783" s="60" t="str">
        <f t="shared" si="211"/>
        <v/>
      </c>
      <c r="C1783" s="989"/>
      <c r="D1783" s="989"/>
      <c r="E1783" s="989"/>
      <c r="F1783" s="990"/>
      <c r="G1783" s="991"/>
      <c r="H1783" s="1011"/>
      <c r="I1783" s="994"/>
      <c r="J1783" s="992"/>
      <c r="K1783" s="994"/>
      <c r="L1783" s="992"/>
      <c r="M1783" s="995"/>
      <c r="N1783" s="996"/>
      <c r="O1783" s="996"/>
      <c r="P1783" s="79" t="str">
        <f>IF(AND('331-CT'!$E$7=TH!H1783,OR(N1783="331",O1783="331")),"x","")</f>
        <v/>
      </c>
      <c r="Q1783" s="79" t="str">
        <f>IF(AND(B1783='111'!$L$11,OR($N1783=$Q$7,$O1783=$Q$7)),"x","")</f>
        <v/>
      </c>
      <c r="R1783" s="79" t="str">
        <f>IF(AND($N1783=$Q$7,$B1783&lt;'111'!$L$11),"x","")</f>
        <v/>
      </c>
      <c r="S1783" s="79" t="str">
        <f>IF(AND($O1783=$Q$7,$B1783&lt;'111'!$L$11),"x","")</f>
        <v/>
      </c>
      <c r="T1783" s="79" t="str">
        <f>IF(ISERROR(FIND('112'!$M$9,G1783,1)),"",IF((AND(FIND('112'!$M$9,G1783,1)&gt;=1,B1783='112'!$K$9,OR($N1783='112'!$I$6,$O1783='112'!$I$6))),"x",""))</f>
        <v/>
      </c>
      <c r="U1783" s="79" t="str">
        <f>IF(ISERROR(FIND('112'!$M$9,G1783,1)),"",IF((AND(LEFT(G1783,2)=LEFT('112'!$M$9,2),B1783&lt;'112'!$K$9,$N1783='112'!$I$6)),"x",""))</f>
        <v/>
      </c>
      <c r="V1783" s="79" t="str">
        <f>IF(ISERROR(FIND('112'!$M$9,G1783,1)),"",IF((AND(RIGHT(G1783,2)=RIGHT('112'!$M$9,2),B1783&lt;'112'!$K$9,$O1783='112'!$I$6)),"x",""))</f>
        <v/>
      </c>
      <c r="W1783" s="79" t="str">
        <f>IF(AND('341-CT'!$H$9=H1783,OR(LEFT(N1783,3)=$W$7,LEFT(O1783,3)=$W$7)),"x","")</f>
        <v/>
      </c>
      <c r="X1783" s="79" t="str">
        <f>IF(OR(TH!N1783=TH!$X$7,O1783=TH!$X$7),"x","")</f>
        <v/>
      </c>
      <c r="Y1783" s="79" t="str">
        <f>IF(AND(OR(N1783="131",O1783="131"),H1783='131-CT'!$H$9),"x","")</f>
        <v/>
      </c>
      <c r="Z1783" s="79"/>
      <c r="AA1783" s="79" t="str">
        <f>IF(AND(MONTH(E1783)='IN-NX'!$J$5,'IN-NX'!$D$7=D1783),"x","")</f>
        <v/>
      </c>
      <c r="AB1783" s="79" t="str">
        <f>IF(AND(OR(LEFT(TH!N1783,2)="15",LEFT(TH!O1783,2)="15"),LEFT(TH!O1783,3)&lt;&gt;"111",'152-CT'!$J$8=TH!F1783),"x","")</f>
        <v/>
      </c>
      <c r="AC1783" s="79" t="str">
        <f>IF(AND(OR(LEFT(TH!N1783,2)="15",LEFT(TH!O1783,2)="15"),TK!$E$7=TH!F1783),"x","")</f>
        <v/>
      </c>
      <c r="AD1783" s="79" t="str">
        <f>IF(AND(N1783="1521",MONTH(C1783)='BK-NL'!$M$11),"x","")</f>
        <v/>
      </c>
    </row>
    <row r="1784" spans="1:30" ht="16.5" customHeight="1">
      <c r="A1784" s="318" t="str">
        <f>IF(B1784&lt;&gt;"",IF(AND(B1784='IN-TC'!$S$4,OR(TH!N1784="1111",TH!O1784="1111")),TH!D1784,""),"")</f>
        <v/>
      </c>
      <c r="B1784" s="60" t="str">
        <f t="shared" si="211"/>
        <v/>
      </c>
      <c r="C1784" s="989"/>
      <c r="D1784" s="989"/>
      <c r="E1784" s="989"/>
      <c r="F1784" s="990"/>
      <c r="G1784" s="991"/>
      <c r="H1784" s="1011"/>
      <c r="I1784" s="994"/>
      <c r="J1784" s="992"/>
      <c r="K1784" s="994"/>
      <c r="L1784" s="992"/>
      <c r="M1784" s="995"/>
      <c r="N1784" s="996"/>
      <c r="O1784" s="996"/>
      <c r="P1784" s="79" t="str">
        <f>IF(AND('331-CT'!$E$7=TH!H1784,OR(N1784="331",O1784="331")),"x","")</f>
        <v/>
      </c>
      <c r="Q1784" s="79" t="str">
        <f>IF(AND(B1784='111'!$L$11,OR($N1784=$Q$7,$O1784=$Q$7)),"x","")</f>
        <v/>
      </c>
      <c r="R1784" s="79" t="str">
        <f>IF(AND($N1784=$Q$7,$B1784&lt;'111'!$L$11),"x","")</f>
        <v/>
      </c>
      <c r="S1784" s="79" t="str">
        <f>IF(AND($O1784=$Q$7,$B1784&lt;'111'!$L$11),"x","")</f>
        <v/>
      </c>
      <c r="T1784" s="79" t="str">
        <f>IF(ISERROR(FIND('112'!$M$9,G1784,1)),"",IF((AND(FIND('112'!$M$9,G1784,1)&gt;=1,B1784='112'!$K$9,OR($N1784='112'!$I$6,$O1784='112'!$I$6))),"x",""))</f>
        <v/>
      </c>
      <c r="U1784" s="79" t="str">
        <f>IF(ISERROR(FIND('112'!$M$9,G1784,1)),"",IF((AND(LEFT(G1784,2)=LEFT('112'!$M$9,2),B1784&lt;'112'!$K$9,$N1784='112'!$I$6)),"x",""))</f>
        <v/>
      </c>
      <c r="V1784" s="79" t="str">
        <f>IF(ISERROR(FIND('112'!$M$9,G1784,1)),"",IF((AND(RIGHT(G1784,2)=RIGHT('112'!$M$9,2),B1784&lt;'112'!$K$9,$O1784='112'!$I$6)),"x",""))</f>
        <v/>
      </c>
      <c r="W1784" s="79" t="str">
        <f>IF(AND('341-CT'!$H$9=H1784,OR(LEFT(N1784,3)=$W$7,LEFT(O1784,3)=$W$7)),"x","")</f>
        <v/>
      </c>
      <c r="X1784" s="79" t="str">
        <f>IF(OR(TH!N1784=TH!$X$7,O1784=TH!$X$7),"x","")</f>
        <v/>
      </c>
      <c r="Y1784" s="79" t="str">
        <f>IF(AND(OR(N1784="131",O1784="131"),H1784='131-CT'!$H$9),"x","")</f>
        <v/>
      </c>
      <c r="Z1784" s="79"/>
      <c r="AA1784" s="79" t="str">
        <f>IF(AND(MONTH(E1784)='IN-NX'!$J$5,'IN-NX'!$D$7=D1784),"x","")</f>
        <v/>
      </c>
      <c r="AB1784" s="79" t="str">
        <f>IF(AND(OR(LEFT(TH!N1784,2)="15",LEFT(TH!O1784,2)="15"),LEFT(TH!O1784,3)&lt;&gt;"111",'152-CT'!$J$8=TH!F1784),"x","")</f>
        <v/>
      </c>
      <c r="AC1784" s="79" t="str">
        <f>IF(AND(OR(LEFT(TH!N1784,2)="15",LEFT(TH!O1784,2)="15"),TK!$E$7=TH!F1784),"x","")</f>
        <v/>
      </c>
      <c r="AD1784" s="79" t="str">
        <f>IF(AND(N1784="1521",MONTH(C1784)='BK-NL'!$M$11),"x","")</f>
        <v/>
      </c>
    </row>
    <row r="1785" spans="1:30" ht="16.5" customHeight="1">
      <c r="A1785" s="318" t="str">
        <f>IF(B1785&lt;&gt;"",IF(AND(B1785='IN-TC'!$S$4,OR(TH!N1785="1111",TH!O1785="1111")),TH!D1785,""),"")</f>
        <v/>
      </c>
      <c r="B1785" s="60" t="str">
        <f t="shared" si="211"/>
        <v/>
      </c>
      <c r="C1785" s="989"/>
      <c r="D1785" s="989"/>
      <c r="E1785" s="989"/>
      <c r="F1785" s="990"/>
      <c r="G1785" s="991"/>
      <c r="H1785" s="1011"/>
      <c r="I1785" s="994"/>
      <c r="J1785" s="992"/>
      <c r="K1785" s="994"/>
      <c r="L1785" s="992"/>
      <c r="M1785" s="995"/>
      <c r="N1785" s="996"/>
      <c r="O1785" s="996"/>
      <c r="P1785" s="79" t="str">
        <f>IF(AND('331-CT'!$E$7=TH!H1785,OR(N1785="331",O1785="331")),"x","")</f>
        <v/>
      </c>
      <c r="Q1785" s="79" t="str">
        <f>IF(AND(B1785='111'!$L$11,OR($N1785=$Q$7,$O1785=$Q$7)),"x","")</f>
        <v/>
      </c>
      <c r="R1785" s="79" t="str">
        <f>IF(AND($N1785=$Q$7,$B1785&lt;'111'!$L$11),"x","")</f>
        <v/>
      </c>
      <c r="S1785" s="79" t="str">
        <f>IF(AND($O1785=$Q$7,$B1785&lt;'111'!$L$11),"x","")</f>
        <v/>
      </c>
      <c r="T1785" s="79" t="str">
        <f>IF(ISERROR(FIND('112'!$M$9,G1785,1)),"",IF((AND(FIND('112'!$M$9,G1785,1)&gt;=1,B1785='112'!$K$9,OR($N1785='112'!$I$6,$O1785='112'!$I$6))),"x",""))</f>
        <v/>
      </c>
      <c r="U1785" s="79" t="str">
        <f>IF(ISERROR(FIND('112'!$M$9,G1785,1)),"",IF((AND(LEFT(G1785,2)=LEFT('112'!$M$9,2),B1785&lt;'112'!$K$9,$N1785='112'!$I$6)),"x",""))</f>
        <v/>
      </c>
      <c r="V1785" s="79" t="str">
        <f>IF(ISERROR(FIND('112'!$M$9,G1785,1)),"",IF((AND(RIGHT(G1785,2)=RIGHT('112'!$M$9,2),B1785&lt;'112'!$K$9,$O1785='112'!$I$6)),"x",""))</f>
        <v/>
      </c>
      <c r="W1785" s="79" t="str">
        <f>IF(AND('341-CT'!$H$9=H1785,OR(LEFT(N1785,3)=$W$7,LEFT(O1785,3)=$W$7)),"x","")</f>
        <v/>
      </c>
      <c r="X1785" s="79" t="str">
        <f>IF(OR(TH!N1785=TH!$X$7,O1785=TH!$X$7),"x","")</f>
        <v/>
      </c>
      <c r="Y1785" s="79" t="str">
        <f>IF(AND(OR(N1785="131",O1785="131"),H1785='131-CT'!$H$9),"x","")</f>
        <v/>
      </c>
      <c r="Z1785" s="79"/>
      <c r="AA1785" s="79" t="str">
        <f>IF(AND(MONTH(E1785)='IN-NX'!$J$5,'IN-NX'!$D$7=D1785),"x","")</f>
        <v/>
      </c>
      <c r="AB1785" s="79" t="str">
        <f>IF(AND(OR(LEFT(TH!N1785,2)="15",LEFT(TH!O1785,2)="15"),LEFT(TH!O1785,3)&lt;&gt;"111",'152-CT'!$J$8=TH!F1785),"x","")</f>
        <v/>
      </c>
      <c r="AC1785" s="79" t="str">
        <f>IF(AND(OR(LEFT(TH!N1785,2)="15",LEFT(TH!O1785,2)="15"),TK!$E$7=TH!F1785),"x","")</f>
        <v/>
      </c>
      <c r="AD1785" s="79" t="str">
        <f>IF(AND(N1785="1521",MONTH(C1785)='BK-NL'!$M$11),"x","")</f>
        <v/>
      </c>
    </row>
    <row r="1786" spans="1:30" ht="16.5" customHeight="1">
      <c r="A1786" s="318" t="str">
        <f>IF(B1786&lt;&gt;"",IF(AND(B1786='IN-TC'!$S$4,OR(TH!N1786="1111",TH!O1786="1111")),TH!D1786,""),"")</f>
        <v/>
      </c>
      <c r="B1786" s="60" t="str">
        <f t="shared" si="211"/>
        <v/>
      </c>
      <c r="C1786" s="989"/>
      <c r="D1786" s="989"/>
      <c r="E1786" s="989"/>
      <c r="F1786" s="990"/>
      <c r="G1786" s="991"/>
      <c r="H1786" s="1011"/>
      <c r="I1786" s="994"/>
      <c r="J1786" s="992"/>
      <c r="K1786" s="994"/>
      <c r="L1786" s="992"/>
      <c r="M1786" s="995"/>
      <c r="N1786" s="996"/>
      <c r="O1786" s="996"/>
      <c r="P1786" s="79" t="str">
        <f>IF(AND('331-CT'!$E$7=TH!H1786,OR(N1786="331",O1786="331")),"x","")</f>
        <v/>
      </c>
      <c r="Q1786" s="79" t="str">
        <f>IF(AND(B1786='111'!$L$11,OR($N1786=$Q$7,$O1786=$Q$7)),"x","")</f>
        <v/>
      </c>
      <c r="R1786" s="79" t="str">
        <f>IF(AND($N1786=$Q$7,$B1786&lt;'111'!$L$11),"x","")</f>
        <v/>
      </c>
      <c r="S1786" s="79" t="str">
        <f>IF(AND($O1786=$Q$7,$B1786&lt;'111'!$L$11),"x","")</f>
        <v/>
      </c>
      <c r="T1786" s="79" t="str">
        <f>IF(ISERROR(FIND('112'!$M$9,G1786,1)),"",IF((AND(FIND('112'!$M$9,G1786,1)&gt;=1,B1786='112'!$K$9,OR($N1786='112'!$I$6,$O1786='112'!$I$6))),"x",""))</f>
        <v/>
      </c>
      <c r="U1786" s="79" t="str">
        <f>IF(ISERROR(FIND('112'!$M$9,G1786,1)),"",IF((AND(LEFT(G1786,2)=LEFT('112'!$M$9,2),B1786&lt;'112'!$K$9,$N1786='112'!$I$6)),"x",""))</f>
        <v/>
      </c>
      <c r="V1786" s="79" t="str">
        <f>IF(ISERROR(FIND('112'!$M$9,G1786,1)),"",IF((AND(RIGHT(G1786,2)=RIGHT('112'!$M$9,2),B1786&lt;'112'!$K$9,$O1786='112'!$I$6)),"x",""))</f>
        <v/>
      </c>
      <c r="W1786" s="79" t="str">
        <f>IF(AND('341-CT'!$H$9=H1786,OR(LEFT(N1786,3)=$W$7,LEFT(O1786,3)=$W$7)),"x","")</f>
        <v/>
      </c>
      <c r="X1786" s="79" t="str">
        <f>IF(OR(TH!N1786=TH!$X$7,O1786=TH!$X$7),"x","")</f>
        <v/>
      </c>
      <c r="Y1786" s="79" t="str">
        <f>IF(AND(OR(N1786="131",O1786="131"),H1786='131-CT'!$H$9),"x","")</f>
        <v/>
      </c>
      <c r="Z1786" s="79"/>
      <c r="AA1786" s="79" t="str">
        <f>IF(AND(MONTH(E1786)='IN-NX'!$J$5,'IN-NX'!$D$7=D1786),"x","")</f>
        <v/>
      </c>
      <c r="AB1786" s="79" t="str">
        <f>IF(AND(OR(LEFT(TH!N1786,2)="15",LEFT(TH!O1786,2)="15"),LEFT(TH!O1786,3)&lt;&gt;"111",'152-CT'!$J$8=TH!F1786),"x","")</f>
        <v/>
      </c>
      <c r="AC1786" s="79" t="str">
        <f>IF(AND(OR(LEFT(TH!N1786,2)="15",LEFT(TH!O1786,2)="15"),TK!$E$7=TH!F1786),"x","")</f>
        <v/>
      </c>
      <c r="AD1786" s="79" t="str">
        <f>IF(AND(N1786="1521",MONTH(C1786)='BK-NL'!$M$11),"x","")</f>
        <v/>
      </c>
    </row>
    <row r="1787" spans="1:30" ht="16.5" customHeight="1">
      <c r="A1787" s="318" t="str">
        <f>IF(B1787&lt;&gt;"",IF(AND(B1787='IN-TC'!$S$4,OR(TH!N1787="1111",TH!O1787="1111")),TH!D1787,""),"")</f>
        <v/>
      </c>
      <c r="B1787" s="60" t="str">
        <f t="shared" si="211"/>
        <v/>
      </c>
      <c r="C1787" s="989"/>
      <c r="D1787" s="989"/>
      <c r="E1787" s="989"/>
      <c r="F1787" s="921"/>
      <c r="G1787" s="991"/>
      <c r="H1787" s="1011"/>
      <c r="I1787" s="994"/>
      <c r="J1787" s="992"/>
      <c r="K1787" s="994"/>
      <c r="L1787" s="992"/>
      <c r="M1787" s="995"/>
      <c r="N1787" s="996"/>
      <c r="O1787" s="996"/>
      <c r="P1787" s="79" t="str">
        <f>IF(AND('331-CT'!$E$7=TH!H1787,OR(N1787="331",O1787="331")),"x","")</f>
        <v/>
      </c>
      <c r="Q1787" s="79" t="str">
        <f>IF(AND(B1787='111'!$L$11,OR($N1787=$Q$7,$O1787=$Q$7)),"x","")</f>
        <v/>
      </c>
      <c r="R1787" s="79" t="str">
        <f>IF(AND($N1787=$Q$7,$B1787&lt;'111'!$L$11),"x","")</f>
        <v/>
      </c>
      <c r="S1787" s="79" t="str">
        <f>IF(AND($O1787=$Q$7,$B1787&lt;'111'!$L$11),"x","")</f>
        <v/>
      </c>
      <c r="T1787" s="79" t="str">
        <f>IF(ISERROR(FIND('112'!$M$9,G1787,1)),"",IF((AND(FIND('112'!$M$9,G1787,1)&gt;=1,B1787='112'!$K$9,OR($N1787='112'!$I$6,$O1787='112'!$I$6))),"x",""))</f>
        <v/>
      </c>
      <c r="U1787" s="79" t="str">
        <f>IF(ISERROR(FIND('112'!$M$9,G1787,1)),"",IF((AND(LEFT(G1787,2)=LEFT('112'!$M$9,2),B1787&lt;'112'!$K$9,$N1787='112'!$I$6)),"x",""))</f>
        <v/>
      </c>
      <c r="V1787" s="79" t="str">
        <f>IF(ISERROR(FIND('112'!$M$9,G1787,1)),"",IF((AND(RIGHT(G1787,2)=RIGHT('112'!$M$9,2),B1787&lt;'112'!$K$9,$O1787='112'!$I$6)),"x",""))</f>
        <v/>
      </c>
      <c r="W1787" s="79" t="str">
        <f>IF(AND('341-CT'!$H$9=H1787,OR(LEFT(N1787,3)=$W$7,LEFT(O1787,3)=$W$7)),"x","")</f>
        <v/>
      </c>
      <c r="X1787" s="79" t="str">
        <f>IF(OR(TH!N1787=TH!$X$7,O1787=TH!$X$7),"x","")</f>
        <v/>
      </c>
      <c r="Y1787" s="79" t="str">
        <f>IF(AND(OR(N1787="131",O1787="131"),H1787='131-CT'!$H$9),"x","")</f>
        <v/>
      </c>
      <c r="Z1787" s="79"/>
      <c r="AA1787" s="79" t="str">
        <f>IF(AND(MONTH(E1787)='IN-NX'!$J$5,'IN-NX'!$D$7=D1787),"x","")</f>
        <v/>
      </c>
      <c r="AB1787" s="79" t="str">
        <f>IF(AND(OR(LEFT(TH!N1787,2)="15",LEFT(TH!O1787,2)="15"),LEFT(TH!O1787,3)&lt;&gt;"111",'152-CT'!$J$8=TH!F1787),"x","")</f>
        <v/>
      </c>
      <c r="AC1787" s="79" t="str">
        <f>IF(AND(OR(LEFT(TH!N1787,2)="15",LEFT(TH!O1787,2)="15"),TK!$E$7=TH!F1787),"x","")</f>
        <v/>
      </c>
      <c r="AD1787" s="79" t="str">
        <f>IF(AND(N1787="1521",MONTH(C1787)='BK-NL'!$M$11),"x","")</f>
        <v/>
      </c>
    </row>
    <row r="1788" spans="1:30" ht="16.5" customHeight="1">
      <c r="A1788" s="318" t="str">
        <f>IF(B1788&lt;&gt;"",IF(AND(B1788='IN-TC'!$S$4,OR(TH!N1788="1111",TH!O1788="1111")),TH!D1788,""),"")</f>
        <v/>
      </c>
      <c r="B1788" s="60" t="str">
        <f t="shared" si="211"/>
        <v/>
      </c>
      <c r="C1788" s="989"/>
      <c r="D1788" s="989"/>
      <c r="E1788" s="989"/>
      <c r="F1788" s="921"/>
      <c r="G1788" s="991"/>
      <c r="H1788" s="1011"/>
      <c r="I1788" s="994"/>
      <c r="J1788" s="992"/>
      <c r="K1788" s="994"/>
      <c r="L1788" s="992"/>
      <c r="M1788" s="995"/>
      <c r="N1788" s="996"/>
      <c r="O1788" s="996"/>
      <c r="P1788" s="79" t="str">
        <f>IF(AND('331-CT'!$E$7=TH!H1788,OR(N1788="331",O1788="331")),"x","")</f>
        <v/>
      </c>
      <c r="Q1788" s="79" t="str">
        <f>IF(AND(B1788='111'!$L$11,OR($N1788=$Q$7,$O1788=$Q$7)),"x","")</f>
        <v/>
      </c>
      <c r="R1788" s="79" t="str">
        <f>IF(AND($N1788=$Q$7,$B1788&lt;'111'!$L$11),"x","")</f>
        <v/>
      </c>
      <c r="S1788" s="79" t="str">
        <f>IF(AND($O1788=$Q$7,$B1788&lt;'111'!$L$11),"x","")</f>
        <v/>
      </c>
      <c r="T1788" s="79" t="str">
        <f>IF(ISERROR(FIND('112'!$M$9,G1788,1)),"",IF((AND(FIND('112'!$M$9,G1788,1)&gt;=1,B1788='112'!$K$9,OR($N1788='112'!$I$6,$O1788='112'!$I$6))),"x",""))</f>
        <v/>
      </c>
      <c r="U1788" s="79" t="str">
        <f>IF(ISERROR(FIND('112'!$M$9,G1788,1)),"",IF((AND(LEFT(G1788,2)=LEFT('112'!$M$9,2),B1788&lt;'112'!$K$9,$N1788='112'!$I$6)),"x",""))</f>
        <v/>
      </c>
      <c r="V1788" s="79" t="str">
        <f>IF(ISERROR(FIND('112'!$M$9,G1788,1)),"",IF((AND(RIGHT(G1788,2)=RIGHT('112'!$M$9,2),B1788&lt;'112'!$K$9,$O1788='112'!$I$6)),"x",""))</f>
        <v/>
      </c>
      <c r="W1788" s="79" t="str">
        <f>IF(AND('341-CT'!$H$9=H1788,OR(LEFT(N1788,3)=$W$7,LEFT(O1788,3)=$W$7)),"x","")</f>
        <v/>
      </c>
      <c r="X1788" s="79" t="str">
        <f>IF(OR(TH!N1788=TH!$X$7,O1788=TH!$X$7),"x","")</f>
        <v/>
      </c>
      <c r="Y1788" s="79" t="str">
        <f>IF(AND(OR(N1788="131",O1788="131"),H1788='131-CT'!$H$9),"x","")</f>
        <v/>
      </c>
      <c r="Z1788" s="79"/>
      <c r="AA1788" s="79" t="str">
        <f>IF(AND(MONTH(E1788)='IN-NX'!$J$5,'IN-NX'!$D$7=D1788),"x","")</f>
        <v/>
      </c>
      <c r="AB1788" s="79" t="str">
        <f>IF(AND(OR(LEFT(TH!N1788,2)="15",LEFT(TH!O1788,2)="15"),LEFT(TH!O1788,3)&lt;&gt;"111",'152-CT'!$J$8=TH!F1788),"x","")</f>
        <v/>
      </c>
      <c r="AC1788" s="79" t="str">
        <f>IF(AND(OR(LEFT(TH!N1788,2)="15",LEFT(TH!O1788,2)="15"),TK!$E$7=TH!F1788),"x","")</f>
        <v/>
      </c>
      <c r="AD1788" s="79" t="str">
        <f>IF(AND(N1788="1521",MONTH(C1788)='BK-NL'!$M$11),"x","")</f>
        <v/>
      </c>
    </row>
    <row r="1789" spans="1:30" ht="17.25" customHeight="1">
      <c r="A1789" s="318" t="str">
        <f>IF(B1789&lt;&gt;"",IF(AND(B1789='IN-TC'!$S$4,OR(TH!N1789="1111",TH!O1789="1111")),TH!D1789,""),"")</f>
        <v/>
      </c>
      <c r="B1789" s="60" t="str">
        <f t="shared" ref="B1789:B1790" si="214">IF(C1789&lt;&gt;"",MONTH(C1789),"")</f>
        <v/>
      </c>
      <c r="C1789" s="989"/>
      <c r="D1789" s="989"/>
      <c r="E1789" s="989"/>
      <c r="F1789" s="921"/>
      <c r="G1789" s="991"/>
      <c r="H1789" s="1011"/>
      <c r="I1789" s="994"/>
      <c r="J1789" s="992"/>
      <c r="K1789" s="994"/>
      <c r="L1789" s="992"/>
      <c r="M1789" s="995"/>
      <c r="N1789" s="996"/>
      <c r="O1789" s="996"/>
      <c r="P1789" s="79" t="str">
        <f>IF(AND('331-CT'!$E$7=TH!H1789,OR(N1789="331",O1789="331")),"x","")</f>
        <v/>
      </c>
      <c r="Q1789" s="79" t="str">
        <f>IF(AND(B1789='111'!$L$11,OR($N1789=$Q$7,$O1789=$Q$7)),"x","")</f>
        <v/>
      </c>
      <c r="R1789" s="79" t="str">
        <f>IF(AND($N1789=$Q$7,$B1789&lt;'111'!$L$11),"x","")</f>
        <v/>
      </c>
      <c r="S1789" s="79" t="str">
        <f>IF(AND($O1789=$Q$7,$B1789&lt;'111'!$L$11),"x","")</f>
        <v/>
      </c>
      <c r="T1789" s="79" t="str">
        <f>IF(ISERROR(FIND('112'!$M$9,G1789,1)),"",IF((AND(FIND('112'!$M$9,G1789,1)&gt;=1,B1789='112'!$K$9,OR($N1789='112'!$I$6,$O1789='112'!$I$6))),"x",""))</f>
        <v/>
      </c>
      <c r="U1789" s="79" t="str">
        <f>IF(ISERROR(FIND('112'!$M$9,G1789,1)),"",IF((AND(LEFT(G1789,2)=LEFT('112'!$M$9,2),B1789&lt;'112'!$K$9,$N1789='112'!$I$6)),"x",""))</f>
        <v/>
      </c>
      <c r="V1789" s="79" t="str">
        <f>IF(ISERROR(FIND('112'!$M$9,G1789,1)),"",IF((AND(RIGHT(G1789,2)=RIGHT('112'!$M$9,2),B1789&lt;'112'!$K$9,$O1789='112'!$I$6)),"x",""))</f>
        <v/>
      </c>
      <c r="W1789" s="79" t="str">
        <f>IF(AND('341-CT'!$H$9=H1789,OR(LEFT(N1789,3)=$W$7,LEFT(O1789,3)=$W$7)),"x","")</f>
        <v/>
      </c>
      <c r="X1789" s="79" t="str">
        <f>IF(OR(TH!N1789=TH!$X$7,O1789=TH!$X$7),"x","")</f>
        <v/>
      </c>
      <c r="Y1789" s="79" t="str">
        <f>IF(AND(OR(N1789="131",O1789="131"),H1789='131-CT'!$H$9),"x","")</f>
        <v/>
      </c>
      <c r="Z1789" s="79"/>
      <c r="AA1789" s="79" t="str">
        <f>IF(AND(MONTH(E1789)='IN-NX'!$J$5,'IN-NX'!$D$7=D1789),"x","")</f>
        <v/>
      </c>
      <c r="AB1789" s="79" t="str">
        <f>IF(AND(OR(LEFT(TH!N1789,2)="15",LEFT(TH!O1789,2)="15"),LEFT(TH!O1789,3)&lt;&gt;"111",'152-CT'!$J$8=TH!F1789),"x","")</f>
        <v/>
      </c>
      <c r="AC1789" s="79" t="str">
        <f>IF(AND(OR(LEFT(TH!N1789,2)="15",LEFT(TH!O1789,2)="15"),TK!$E$7=TH!F1789),"x","")</f>
        <v/>
      </c>
      <c r="AD1789" s="79" t="str">
        <f>IF(AND(N1789="1521",MONTH(C1789)='BK-NL'!$M$11),"x","")</f>
        <v/>
      </c>
    </row>
    <row r="1790" spans="1:30" ht="17.25" customHeight="1">
      <c r="A1790" s="318" t="str">
        <f>IF(B1790&lt;&gt;"",IF(AND(B1790='IN-TC'!$S$4,OR(TH!N1790="1111",TH!O1790="1111")),TH!D1790,""),"")</f>
        <v/>
      </c>
      <c r="B1790" s="60" t="str">
        <f t="shared" si="214"/>
        <v/>
      </c>
      <c r="C1790" s="989"/>
      <c r="D1790" s="989"/>
      <c r="E1790" s="989"/>
      <c r="F1790" s="921"/>
      <c r="G1790" s="991"/>
      <c r="H1790" s="1011"/>
      <c r="I1790" s="994"/>
      <c r="J1790" s="992"/>
      <c r="K1790" s="994"/>
      <c r="L1790" s="992"/>
      <c r="M1790" s="995"/>
      <c r="N1790" s="996"/>
      <c r="O1790" s="996"/>
      <c r="P1790" s="79" t="str">
        <f>IF(AND('331-CT'!$E$7=TH!H1790,OR(N1790="331",O1790="331")),"x","")</f>
        <v/>
      </c>
      <c r="Q1790" s="79" t="str">
        <f>IF(AND(B1790='111'!$L$11,OR($N1790=$Q$7,$O1790=$Q$7)),"x","")</f>
        <v/>
      </c>
      <c r="R1790" s="79" t="str">
        <f>IF(AND($N1790=$Q$7,$B1790&lt;'111'!$L$11),"x","")</f>
        <v/>
      </c>
      <c r="S1790" s="79" t="str">
        <f>IF(AND($O1790=$Q$7,$B1790&lt;'111'!$L$11),"x","")</f>
        <v/>
      </c>
      <c r="T1790" s="79" t="str">
        <f>IF(ISERROR(FIND('112'!$M$9,G1790,1)),"",IF((AND(FIND('112'!$M$9,G1790,1)&gt;=1,B1790='112'!$K$9,OR($N1790='112'!$I$6,$O1790='112'!$I$6))),"x",""))</f>
        <v/>
      </c>
      <c r="U1790" s="79" t="str">
        <f>IF(ISERROR(FIND('112'!$M$9,G1790,1)),"",IF((AND(LEFT(G1790,2)=LEFT('112'!$M$9,2),B1790&lt;'112'!$K$9,$N1790='112'!$I$6)),"x",""))</f>
        <v/>
      </c>
      <c r="V1790" s="79" t="str">
        <f>IF(ISERROR(FIND('112'!$M$9,G1790,1)),"",IF((AND(RIGHT(G1790,2)=RIGHT('112'!$M$9,2),B1790&lt;'112'!$K$9,$O1790='112'!$I$6)),"x",""))</f>
        <v/>
      </c>
      <c r="W1790" s="79" t="str">
        <f>IF(AND('341-CT'!$H$9=H1790,OR(LEFT(N1790,3)=$W$7,LEFT(O1790,3)=$W$7)),"x","")</f>
        <v/>
      </c>
      <c r="X1790" s="79" t="str">
        <f>IF(OR(TH!N1790=TH!$X$7,O1790=TH!$X$7),"x","")</f>
        <v/>
      </c>
      <c r="Y1790" s="79" t="str">
        <f>IF(AND(OR(N1790="131",O1790="131"),H1790='131-CT'!$H$9),"x","")</f>
        <v/>
      </c>
      <c r="Z1790" s="79"/>
      <c r="AA1790" s="79" t="str">
        <f>IF(AND(MONTH(E1790)='IN-NX'!$J$5,'IN-NX'!$D$7=D1790),"x","")</f>
        <v/>
      </c>
      <c r="AB1790" s="79" t="str">
        <f>IF(AND(OR(LEFT(TH!N1790,2)="15",LEFT(TH!O1790,2)="15"),LEFT(TH!O1790,3)&lt;&gt;"111",'152-CT'!$J$8=TH!F1790),"x","")</f>
        <v/>
      </c>
      <c r="AC1790" s="79" t="str">
        <f>IF(AND(OR(LEFT(TH!N1790,2)="15",LEFT(TH!O1790,2)="15"),TK!$E$7=TH!F1790),"x","")</f>
        <v/>
      </c>
      <c r="AD1790" s="79" t="str">
        <f>IF(AND(N1790="1521",MONTH(C1790)='BK-NL'!$M$11),"x","")</f>
        <v/>
      </c>
    </row>
    <row r="1791" spans="1:30" ht="16.5" customHeight="1">
      <c r="A1791" s="318" t="str">
        <f>IF(B1791&lt;&gt;"",IF(AND(B1791='IN-TC'!$S$4,OR(TH!N1791="1111",TH!O1791="1111")),TH!D1791,""),"")</f>
        <v/>
      </c>
      <c r="B1791" s="60" t="str">
        <f t="shared" ref="B1791:B1813" si="215">IF(C1791&lt;&gt;"",MONTH(C1791),"")</f>
        <v/>
      </c>
      <c r="C1791" s="989"/>
      <c r="D1791" s="989"/>
      <c r="E1791" s="989"/>
      <c r="F1791" s="921"/>
      <c r="G1791" s="991"/>
      <c r="H1791" s="1011"/>
      <c r="I1791" s="994"/>
      <c r="J1791" s="992"/>
      <c r="K1791" s="994"/>
      <c r="L1791" s="992"/>
      <c r="M1791" s="995"/>
      <c r="N1791" s="996"/>
      <c r="O1791" s="996"/>
      <c r="P1791" s="79" t="str">
        <f>IF(AND('331-CT'!$E$7=TH!H1791,OR(N1791="331",O1791="331")),"x","")</f>
        <v/>
      </c>
      <c r="Q1791" s="79" t="str">
        <f>IF(AND(B1791='111'!$L$11,OR($N1791=$Q$7,$O1791=$Q$7)),"x","")</f>
        <v/>
      </c>
      <c r="R1791" s="79" t="str">
        <f>IF(AND($N1791=$Q$7,$B1791&lt;'111'!$L$11),"x","")</f>
        <v/>
      </c>
      <c r="S1791" s="79" t="str">
        <f>IF(AND($O1791=$Q$7,$B1791&lt;'111'!$L$11),"x","")</f>
        <v/>
      </c>
      <c r="T1791" s="79" t="str">
        <f>IF(ISERROR(FIND('112'!$M$9,G1791,1)),"",IF((AND(FIND('112'!$M$9,G1791,1)&gt;=1,B1791='112'!$K$9,OR($N1791='112'!$I$6,$O1791='112'!$I$6))),"x",""))</f>
        <v/>
      </c>
      <c r="U1791" s="79" t="str">
        <f>IF(ISERROR(FIND('112'!$M$9,G1791,1)),"",IF((AND(LEFT(G1791,2)=LEFT('112'!$M$9,2),B1791&lt;'112'!$K$9,$N1791='112'!$I$6)),"x",""))</f>
        <v/>
      </c>
      <c r="V1791" s="79" t="str">
        <f>IF(ISERROR(FIND('112'!$M$9,G1791,1)),"",IF((AND(RIGHT(G1791,2)=RIGHT('112'!$M$9,2),B1791&lt;'112'!$K$9,$O1791='112'!$I$6)),"x",""))</f>
        <v/>
      </c>
      <c r="W1791" s="79" t="str">
        <f>IF(AND('341-CT'!$H$9=H1791,OR(LEFT(N1791,3)=$W$7,LEFT(O1791,3)=$W$7)),"x","")</f>
        <v/>
      </c>
      <c r="X1791" s="79" t="str">
        <f>IF(OR(TH!N1791=TH!$X$7,O1791=TH!$X$7),"x","")</f>
        <v/>
      </c>
      <c r="Y1791" s="79" t="str">
        <f>IF(AND(OR(N1791="131",O1791="131"),H1791='131-CT'!$H$9),"x","")</f>
        <v/>
      </c>
      <c r="Z1791" s="79"/>
      <c r="AA1791" s="79" t="str">
        <f>IF(AND(MONTH(E1791)='IN-NX'!$J$5,'IN-NX'!$D$7=D1791),"x","")</f>
        <v/>
      </c>
      <c r="AB1791" s="79" t="str">
        <f>IF(AND(OR(LEFT(TH!N1791,2)="15",LEFT(TH!O1791,2)="15"),LEFT(TH!O1791,3)&lt;&gt;"111",'152-CT'!$J$8=TH!F1791),"x","")</f>
        <v/>
      </c>
      <c r="AC1791" s="79" t="str">
        <f>IF(AND(OR(LEFT(TH!N1791,2)="15",LEFT(TH!O1791,2)="15"),TK!$E$7=TH!F1791),"x","")</f>
        <v/>
      </c>
      <c r="AD1791" s="79" t="str">
        <f>IF(AND(N1791="1521",MONTH(C1791)='BK-NL'!$M$11),"x","")</f>
        <v/>
      </c>
    </row>
    <row r="1792" spans="1:30" ht="16.5" customHeight="1">
      <c r="A1792" s="318" t="str">
        <f>IF(B1792&lt;&gt;"",IF(AND(B1792='IN-TC'!$S$4,OR(TH!N1792="1111",TH!O1792="1111")),TH!D1792,""),"")</f>
        <v/>
      </c>
      <c r="B1792" s="60" t="str">
        <f t="shared" si="215"/>
        <v/>
      </c>
      <c r="C1792" s="989"/>
      <c r="D1792" s="989"/>
      <c r="E1792" s="989"/>
      <c r="F1792" s="921"/>
      <c r="G1792" s="991"/>
      <c r="H1792" s="1011"/>
      <c r="I1792" s="994"/>
      <c r="J1792" s="992"/>
      <c r="K1792" s="994"/>
      <c r="L1792" s="992"/>
      <c r="M1792" s="995"/>
      <c r="N1792" s="996"/>
      <c r="O1792" s="996"/>
      <c r="P1792" s="79" t="str">
        <f>IF(AND('331-CT'!$E$7=TH!H1792,OR(N1792="331",O1792="331")),"x","")</f>
        <v/>
      </c>
      <c r="Q1792" s="79" t="str">
        <f>IF(AND(B1792='111'!$L$11,OR($N1792=$Q$7,$O1792=$Q$7)),"x","")</f>
        <v/>
      </c>
      <c r="R1792" s="79" t="str">
        <f>IF(AND($N1792=$Q$7,$B1792&lt;'111'!$L$11),"x","")</f>
        <v/>
      </c>
      <c r="S1792" s="79" t="str">
        <f>IF(AND($O1792=$Q$7,$B1792&lt;'111'!$L$11),"x","")</f>
        <v/>
      </c>
      <c r="T1792" s="79" t="str">
        <f>IF(ISERROR(FIND('112'!$M$9,G1792,1)),"",IF((AND(FIND('112'!$M$9,G1792,1)&gt;=1,B1792='112'!$K$9,OR($N1792='112'!$I$6,$O1792='112'!$I$6))),"x",""))</f>
        <v/>
      </c>
      <c r="U1792" s="79" t="str">
        <f>IF(ISERROR(FIND('112'!$M$9,G1792,1)),"",IF((AND(LEFT(G1792,2)=LEFT('112'!$M$9,2),B1792&lt;'112'!$K$9,$N1792='112'!$I$6)),"x",""))</f>
        <v/>
      </c>
      <c r="V1792" s="79" t="str">
        <f>IF(ISERROR(FIND('112'!$M$9,G1792,1)),"",IF((AND(RIGHT(G1792,2)=RIGHT('112'!$M$9,2),B1792&lt;'112'!$K$9,$O1792='112'!$I$6)),"x",""))</f>
        <v/>
      </c>
      <c r="W1792" s="79" t="str">
        <f>IF(AND('341-CT'!$H$9=H1792,OR(LEFT(N1792,3)=$W$7,LEFT(O1792,3)=$W$7)),"x","")</f>
        <v/>
      </c>
      <c r="X1792" s="79" t="str">
        <f>IF(OR(TH!N1792=TH!$X$7,O1792=TH!$X$7),"x","")</f>
        <v/>
      </c>
      <c r="Y1792" s="79" t="str">
        <f>IF(AND(OR(N1792="131",O1792="131"),H1792='131-CT'!$H$9),"x","")</f>
        <v/>
      </c>
      <c r="Z1792" s="79"/>
      <c r="AA1792" s="79" t="str">
        <f>IF(AND(MONTH(E1792)='IN-NX'!$J$5,'IN-NX'!$D$7=D1792),"x","")</f>
        <v/>
      </c>
      <c r="AB1792" s="79" t="str">
        <f>IF(AND(OR(LEFT(TH!N1792,2)="15",LEFT(TH!O1792,2)="15"),LEFT(TH!O1792,3)&lt;&gt;"111",'152-CT'!$J$8=TH!F1792),"x","")</f>
        <v/>
      </c>
      <c r="AC1792" s="79" t="str">
        <f>IF(AND(OR(LEFT(TH!N1792,2)="15",LEFT(TH!O1792,2)="15"),TK!$E$7=TH!F1792),"x","")</f>
        <v/>
      </c>
      <c r="AD1792" s="79" t="str">
        <f>IF(AND(N1792="1521",MONTH(C1792)='BK-NL'!$M$11),"x","")</f>
        <v/>
      </c>
    </row>
    <row r="1793" spans="1:30" ht="17.25" customHeight="1">
      <c r="A1793" s="318" t="str">
        <f>IF(B1793&lt;&gt;"",IF(AND(B1793='IN-TC'!$S$4,OR(TH!N1793="1111",TH!O1793="1111")),TH!D1793,""),"")</f>
        <v/>
      </c>
      <c r="B1793" s="60" t="str">
        <f t="shared" si="215"/>
        <v/>
      </c>
      <c r="C1793" s="989"/>
      <c r="D1793" s="989"/>
      <c r="E1793" s="989"/>
      <c r="F1793" s="921"/>
      <c r="G1793" s="991"/>
      <c r="H1793" s="1011"/>
      <c r="I1793" s="994"/>
      <c r="J1793" s="992"/>
      <c r="K1793" s="994"/>
      <c r="L1793" s="992"/>
      <c r="M1793" s="995"/>
      <c r="N1793" s="996"/>
      <c r="O1793" s="996"/>
      <c r="P1793" s="79" t="str">
        <f>IF(AND('331-CT'!$E$7=TH!H1793,OR(N1793="331",O1793="331")),"x","")</f>
        <v/>
      </c>
      <c r="Q1793" s="79" t="str">
        <f>IF(AND(B1793='111'!$L$11,OR($N1793=$Q$7,$O1793=$Q$7)),"x","")</f>
        <v/>
      </c>
      <c r="R1793" s="79" t="str">
        <f>IF(AND($N1793=$Q$7,$B1793&lt;'111'!$L$11),"x","")</f>
        <v/>
      </c>
      <c r="S1793" s="79" t="str">
        <f>IF(AND($O1793=$Q$7,$B1793&lt;'111'!$L$11),"x","")</f>
        <v/>
      </c>
      <c r="T1793" s="79" t="str">
        <f>IF(ISERROR(FIND('112'!$M$9,G1793,1)),"",IF((AND(FIND('112'!$M$9,G1793,1)&gt;=1,B1793='112'!$K$9,OR($N1793='112'!$I$6,$O1793='112'!$I$6))),"x",""))</f>
        <v/>
      </c>
      <c r="U1793" s="79" t="str">
        <f>IF(ISERROR(FIND('112'!$M$9,G1793,1)),"",IF((AND(LEFT(G1793,2)=LEFT('112'!$M$9,2),B1793&lt;'112'!$K$9,$N1793='112'!$I$6)),"x",""))</f>
        <v/>
      </c>
      <c r="V1793" s="79" t="str">
        <f>IF(ISERROR(FIND('112'!$M$9,G1793,1)),"",IF((AND(RIGHT(G1793,2)=RIGHT('112'!$M$9,2),B1793&lt;'112'!$K$9,$O1793='112'!$I$6)),"x",""))</f>
        <v/>
      </c>
      <c r="W1793" s="79" t="str">
        <f>IF(AND('341-CT'!$H$9=H1793,OR(LEFT(N1793,3)=$W$7,LEFT(O1793,3)=$W$7)),"x","")</f>
        <v/>
      </c>
      <c r="X1793" s="79" t="str">
        <f>IF(OR(TH!N1793=TH!$X$7,O1793=TH!$X$7),"x","")</f>
        <v/>
      </c>
      <c r="Y1793" s="79" t="str">
        <f>IF(AND(OR(N1793="131",O1793="131"),H1793='131-CT'!$H$9),"x","")</f>
        <v/>
      </c>
      <c r="Z1793" s="79"/>
      <c r="AA1793" s="79" t="str">
        <f>IF(AND(MONTH(E1793)='IN-NX'!$J$5,'IN-NX'!$D$7=D1793),"x","")</f>
        <v/>
      </c>
      <c r="AB1793" s="79" t="str">
        <f>IF(AND(OR(LEFT(TH!N1793,2)="15",LEFT(TH!O1793,2)="15"),LEFT(TH!O1793,3)&lt;&gt;"111",'152-CT'!$J$8=TH!F1793),"x","")</f>
        <v/>
      </c>
      <c r="AC1793" s="79" t="str">
        <f>IF(AND(OR(LEFT(TH!N1793,2)="15",LEFT(TH!O1793,2)="15"),TK!$E$7=TH!F1793),"x","")</f>
        <v/>
      </c>
      <c r="AD1793" s="79" t="str">
        <f>IF(AND(N1793="1521",MONTH(C1793)='BK-NL'!$M$11),"x","")</f>
        <v/>
      </c>
    </row>
    <row r="1794" spans="1:30" ht="17.25" customHeight="1">
      <c r="A1794" s="318" t="str">
        <f>IF(B1794&lt;&gt;"",IF(AND(B1794='IN-TC'!$S$4,OR(TH!N1794="1111",TH!O1794="1111")),TH!D1794,""),"")</f>
        <v/>
      </c>
      <c r="B1794" s="60" t="str">
        <f t="shared" si="215"/>
        <v/>
      </c>
      <c r="C1794" s="989"/>
      <c r="D1794" s="989"/>
      <c r="E1794" s="989"/>
      <c r="F1794" s="921"/>
      <c r="G1794" s="991"/>
      <c r="H1794" s="1011"/>
      <c r="I1794" s="994"/>
      <c r="J1794" s="992"/>
      <c r="K1794" s="994"/>
      <c r="L1794" s="992"/>
      <c r="M1794" s="995"/>
      <c r="N1794" s="996"/>
      <c r="O1794" s="996"/>
      <c r="P1794" s="79" t="str">
        <f>IF(AND('331-CT'!$E$7=TH!H1794,OR(N1794="331",O1794="331")),"x","")</f>
        <v/>
      </c>
      <c r="Q1794" s="79" t="str">
        <f>IF(AND(B1794='111'!$L$11,OR($N1794=$Q$7,$O1794=$Q$7)),"x","")</f>
        <v/>
      </c>
      <c r="R1794" s="79" t="str">
        <f>IF(AND($N1794=$Q$7,$B1794&lt;'111'!$L$11),"x","")</f>
        <v/>
      </c>
      <c r="S1794" s="79" t="str">
        <f>IF(AND($O1794=$Q$7,$B1794&lt;'111'!$L$11),"x","")</f>
        <v/>
      </c>
      <c r="T1794" s="79" t="str">
        <f>IF(ISERROR(FIND('112'!$M$9,G1794,1)),"",IF((AND(FIND('112'!$M$9,G1794,1)&gt;=1,B1794='112'!$K$9,OR($N1794='112'!$I$6,$O1794='112'!$I$6))),"x",""))</f>
        <v/>
      </c>
      <c r="U1794" s="79" t="str">
        <f>IF(ISERROR(FIND('112'!$M$9,G1794,1)),"",IF((AND(LEFT(G1794,2)=LEFT('112'!$M$9,2),B1794&lt;'112'!$K$9,$N1794='112'!$I$6)),"x",""))</f>
        <v/>
      </c>
      <c r="V1794" s="79" t="str">
        <f>IF(ISERROR(FIND('112'!$M$9,G1794,1)),"",IF((AND(RIGHT(G1794,2)=RIGHT('112'!$M$9,2),B1794&lt;'112'!$K$9,$O1794='112'!$I$6)),"x",""))</f>
        <v/>
      </c>
      <c r="W1794" s="79" t="str">
        <f>IF(AND('341-CT'!$H$9=H1794,OR(LEFT(N1794,3)=$W$7,LEFT(O1794,3)=$W$7)),"x","")</f>
        <v/>
      </c>
      <c r="X1794" s="79" t="str">
        <f>IF(OR(TH!N1794=TH!$X$7,O1794=TH!$X$7),"x","")</f>
        <v/>
      </c>
      <c r="Y1794" s="79" t="str">
        <f>IF(AND(OR(N1794="131",O1794="131"),H1794='131-CT'!$H$9),"x","")</f>
        <v/>
      </c>
      <c r="Z1794" s="79"/>
      <c r="AA1794" s="79" t="str">
        <f>IF(AND(MONTH(E1794)='IN-NX'!$J$5,'IN-NX'!$D$7=D1794),"x","")</f>
        <v/>
      </c>
      <c r="AB1794" s="79" t="str">
        <f>IF(AND(OR(LEFT(TH!N1794,2)="15",LEFT(TH!O1794,2)="15"),LEFT(TH!O1794,3)&lt;&gt;"111",'152-CT'!$J$8=TH!F1794),"x","")</f>
        <v/>
      </c>
      <c r="AC1794" s="79" t="str">
        <f>IF(AND(OR(LEFT(TH!N1794,2)="15",LEFT(TH!O1794,2)="15"),TK!$E$7=TH!F1794),"x","")</f>
        <v/>
      </c>
      <c r="AD1794" s="79" t="str">
        <f>IF(AND(N1794="1521",MONTH(C1794)='BK-NL'!$M$11),"x","")</f>
        <v/>
      </c>
    </row>
    <row r="1795" spans="1:30" ht="16.5" customHeight="1">
      <c r="A1795" s="318" t="str">
        <f>IF(B1795&lt;&gt;"",IF(AND(B1795='IN-TC'!$S$4,OR(TH!N1795="1111",TH!O1795="1111")),TH!D1795,""),"")</f>
        <v/>
      </c>
      <c r="B1795" s="60" t="str">
        <f t="shared" si="215"/>
        <v/>
      </c>
      <c r="C1795" s="989"/>
      <c r="D1795" s="989"/>
      <c r="E1795" s="989"/>
      <c r="F1795" s="921"/>
      <c r="G1795" s="991"/>
      <c r="H1795" s="1011"/>
      <c r="I1795" s="994"/>
      <c r="J1795" s="992"/>
      <c r="K1795" s="994"/>
      <c r="L1795" s="992"/>
      <c r="M1795" s="995"/>
      <c r="N1795" s="996"/>
      <c r="O1795" s="996"/>
      <c r="P1795" s="79" t="str">
        <f>IF(AND('331-CT'!$E$7=TH!H1795,OR(N1795="331",O1795="331")),"x","")</f>
        <v/>
      </c>
      <c r="Q1795" s="79" t="str">
        <f>IF(AND(B1795='111'!$L$11,OR($N1795=$Q$7,$O1795=$Q$7)),"x","")</f>
        <v/>
      </c>
      <c r="R1795" s="79" t="str">
        <f>IF(AND($N1795=$Q$7,$B1795&lt;'111'!$L$11),"x","")</f>
        <v/>
      </c>
      <c r="S1795" s="79" t="str">
        <f>IF(AND($O1795=$Q$7,$B1795&lt;'111'!$L$11),"x","")</f>
        <v/>
      </c>
      <c r="T1795" s="79" t="str">
        <f>IF(ISERROR(FIND('112'!$M$9,G1795,1)),"",IF((AND(FIND('112'!$M$9,G1795,1)&gt;=1,B1795='112'!$K$9,OR($N1795='112'!$I$6,$O1795='112'!$I$6))),"x",""))</f>
        <v/>
      </c>
      <c r="U1795" s="79" t="str">
        <f>IF(ISERROR(FIND('112'!$M$9,G1795,1)),"",IF((AND(LEFT(G1795,2)=LEFT('112'!$M$9,2),B1795&lt;'112'!$K$9,$N1795='112'!$I$6)),"x",""))</f>
        <v/>
      </c>
      <c r="V1795" s="79" t="str">
        <f>IF(ISERROR(FIND('112'!$M$9,G1795,1)),"",IF((AND(RIGHT(G1795,2)=RIGHT('112'!$M$9,2),B1795&lt;'112'!$K$9,$O1795='112'!$I$6)),"x",""))</f>
        <v/>
      </c>
      <c r="W1795" s="79" t="str">
        <f>IF(AND('341-CT'!$H$9=H1795,OR(LEFT(N1795,3)=$W$7,LEFT(O1795,3)=$W$7)),"x","")</f>
        <v/>
      </c>
      <c r="X1795" s="79" t="str">
        <f>IF(OR(TH!N1795=TH!$X$7,O1795=TH!$X$7),"x","")</f>
        <v/>
      </c>
      <c r="Y1795" s="79" t="str">
        <f>IF(AND(OR(N1795="131",O1795="131"),H1795='131-CT'!$H$9),"x","")</f>
        <v/>
      </c>
      <c r="Z1795" s="79"/>
      <c r="AA1795" s="79" t="str">
        <f>IF(AND(MONTH(E1795)='IN-NX'!$J$5,'IN-NX'!$D$7=D1795),"x","")</f>
        <v/>
      </c>
      <c r="AB1795" s="79" t="str">
        <f>IF(AND(OR(LEFT(TH!N1795,2)="15",LEFT(TH!O1795,2)="15"),LEFT(TH!O1795,3)&lt;&gt;"111",'152-CT'!$J$8=TH!F1795),"x","")</f>
        <v/>
      </c>
      <c r="AC1795" s="79" t="str">
        <f>IF(AND(OR(LEFT(TH!N1795,2)="15",LEFT(TH!O1795,2)="15"),TK!$E$7=TH!F1795),"x","")</f>
        <v/>
      </c>
      <c r="AD1795" s="79" t="str">
        <f>IF(AND(N1795="1521",MONTH(C1795)='BK-NL'!$M$11),"x","")</f>
        <v/>
      </c>
    </row>
    <row r="1796" spans="1:30" ht="16.5" customHeight="1">
      <c r="A1796" s="318" t="str">
        <f>IF(B1796&lt;&gt;"",IF(AND(B1796='IN-TC'!$S$4,OR(TH!N1796="1111",TH!O1796="1111")),TH!D1796,""),"")</f>
        <v/>
      </c>
      <c r="B1796" s="60" t="str">
        <f t="shared" si="215"/>
        <v/>
      </c>
      <c r="C1796" s="989"/>
      <c r="D1796" s="989"/>
      <c r="E1796" s="989"/>
      <c r="F1796" s="921"/>
      <c r="G1796" s="991"/>
      <c r="H1796" s="1011"/>
      <c r="I1796" s="994"/>
      <c r="J1796" s="992"/>
      <c r="K1796" s="994"/>
      <c r="L1796" s="992"/>
      <c r="M1796" s="995"/>
      <c r="N1796" s="996"/>
      <c r="O1796" s="996"/>
      <c r="P1796" s="79" t="str">
        <f>IF(AND('331-CT'!$E$7=TH!H1796,OR(N1796="331",O1796="331")),"x","")</f>
        <v/>
      </c>
      <c r="Q1796" s="79" t="str">
        <f>IF(AND(B1796='111'!$L$11,OR($N1796=$Q$7,$O1796=$Q$7)),"x","")</f>
        <v/>
      </c>
      <c r="R1796" s="79" t="str">
        <f>IF(AND($N1796=$Q$7,$B1796&lt;'111'!$L$11),"x","")</f>
        <v/>
      </c>
      <c r="S1796" s="79" t="str">
        <f>IF(AND($O1796=$Q$7,$B1796&lt;'111'!$L$11),"x","")</f>
        <v/>
      </c>
      <c r="T1796" s="79" t="str">
        <f>IF(ISERROR(FIND('112'!$M$9,G1796,1)),"",IF((AND(FIND('112'!$M$9,G1796,1)&gt;=1,B1796='112'!$K$9,OR($N1796='112'!$I$6,$O1796='112'!$I$6))),"x",""))</f>
        <v/>
      </c>
      <c r="U1796" s="79" t="str">
        <f>IF(ISERROR(FIND('112'!$M$9,G1796,1)),"",IF((AND(LEFT(G1796,2)=LEFT('112'!$M$9,2),B1796&lt;'112'!$K$9,$N1796='112'!$I$6)),"x",""))</f>
        <v/>
      </c>
      <c r="V1796" s="79" t="str">
        <f>IF(ISERROR(FIND('112'!$M$9,G1796,1)),"",IF((AND(RIGHT(G1796,2)=RIGHT('112'!$M$9,2),B1796&lt;'112'!$K$9,$O1796='112'!$I$6)),"x",""))</f>
        <v/>
      </c>
      <c r="W1796" s="79" t="str">
        <f>IF(AND('341-CT'!$H$9=H1796,OR(LEFT(N1796,3)=$W$7,LEFT(O1796,3)=$W$7)),"x","")</f>
        <v/>
      </c>
      <c r="X1796" s="79" t="str">
        <f>IF(OR(TH!N1796=TH!$X$7,O1796=TH!$X$7),"x","")</f>
        <v/>
      </c>
      <c r="Y1796" s="79" t="str">
        <f>IF(AND(OR(N1796="131",O1796="131"),H1796='131-CT'!$H$9),"x","")</f>
        <v/>
      </c>
      <c r="Z1796" s="79"/>
      <c r="AA1796" s="79" t="str">
        <f>IF(AND(MONTH(E1796)='IN-NX'!$J$5,'IN-NX'!$D$7=D1796),"x","")</f>
        <v/>
      </c>
      <c r="AB1796" s="79" t="str">
        <f>IF(AND(OR(LEFT(TH!N1796,2)="15",LEFT(TH!O1796,2)="15"),LEFT(TH!O1796,3)&lt;&gt;"111",'152-CT'!$J$8=TH!F1796),"x","")</f>
        <v/>
      </c>
      <c r="AC1796" s="79" t="str">
        <f>IF(AND(OR(LEFT(TH!N1796,2)="15",LEFT(TH!O1796,2)="15"),TK!$E$7=TH!F1796),"x","")</f>
        <v/>
      </c>
      <c r="AD1796" s="79" t="str">
        <f>IF(AND(N1796="1521",MONTH(C1796)='BK-NL'!$M$11),"x","")</f>
        <v/>
      </c>
    </row>
    <row r="1797" spans="1:30" ht="16.5" customHeight="1">
      <c r="A1797" s="318" t="str">
        <f>IF(B1797&lt;&gt;"",IF(AND(B1797='IN-TC'!$S$4,OR(TH!N1797="1111",TH!O1797="1111")),TH!D1797,""),"")</f>
        <v/>
      </c>
      <c r="B1797" s="60" t="str">
        <f t="shared" si="215"/>
        <v/>
      </c>
      <c r="C1797" s="989"/>
      <c r="D1797" s="989"/>
      <c r="E1797" s="989"/>
      <c r="F1797" s="921"/>
      <c r="G1797" s="991"/>
      <c r="H1797" s="1011"/>
      <c r="I1797" s="994"/>
      <c r="J1797" s="992"/>
      <c r="K1797" s="994"/>
      <c r="L1797" s="992"/>
      <c r="M1797" s="995"/>
      <c r="N1797" s="996"/>
      <c r="O1797" s="996"/>
      <c r="P1797" s="79" t="str">
        <f>IF(AND('331-CT'!$E$7=TH!H1797,OR(N1797="331",O1797="331")),"x","")</f>
        <v/>
      </c>
      <c r="Q1797" s="79" t="str">
        <f>IF(AND(B1797='111'!$L$11,OR($N1797=$Q$7,$O1797=$Q$7)),"x","")</f>
        <v/>
      </c>
      <c r="R1797" s="79" t="str">
        <f>IF(AND($N1797=$Q$7,$B1797&lt;'111'!$L$11),"x","")</f>
        <v/>
      </c>
      <c r="S1797" s="79" t="str">
        <f>IF(AND($O1797=$Q$7,$B1797&lt;'111'!$L$11),"x","")</f>
        <v/>
      </c>
      <c r="T1797" s="79" t="str">
        <f>IF(ISERROR(FIND('112'!$M$9,G1797,1)),"",IF((AND(FIND('112'!$M$9,G1797,1)&gt;=1,B1797='112'!$K$9,OR($N1797='112'!$I$6,$O1797='112'!$I$6))),"x",""))</f>
        <v/>
      </c>
      <c r="U1797" s="79" t="str">
        <f>IF(ISERROR(FIND('112'!$M$9,G1797,1)),"",IF((AND(LEFT(G1797,2)=LEFT('112'!$M$9,2),B1797&lt;'112'!$K$9,$N1797='112'!$I$6)),"x",""))</f>
        <v/>
      </c>
      <c r="V1797" s="79" t="str">
        <f>IF(ISERROR(FIND('112'!$M$9,G1797,1)),"",IF((AND(RIGHT(G1797,2)=RIGHT('112'!$M$9,2),B1797&lt;'112'!$K$9,$O1797='112'!$I$6)),"x",""))</f>
        <v/>
      </c>
      <c r="W1797" s="79" t="str">
        <f>IF(AND('341-CT'!$H$9=H1797,OR(LEFT(N1797,3)=$W$7,LEFT(O1797,3)=$W$7)),"x","")</f>
        <v/>
      </c>
      <c r="X1797" s="79" t="str">
        <f>IF(OR(TH!N1797=TH!$X$7,O1797=TH!$X$7),"x","")</f>
        <v/>
      </c>
      <c r="Y1797" s="79" t="str">
        <f>IF(AND(OR(N1797="131",O1797="131"),H1797='131-CT'!$H$9),"x","")</f>
        <v/>
      </c>
      <c r="Z1797" s="79"/>
      <c r="AA1797" s="79" t="str">
        <f>IF(AND(MONTH(E1797)='IN-NX'!$J$5,'IN-NX'!$D$7=D1797),"x","")</f>
        <v/>
      </c>
      <c r="AB1797" s="79" t="str">
        <f>IF(AND(OR(LEFT(TH!N1797,2)="15",LEFT(TH!O1797,2)="15"),LEFT(TH!O1797,3)&lt;&gt;"111",'152-CT'!$J$8=TH!F1797),"x","")</f>
        <v/>
      </c>
      <c r="AC1797" s="79" t="str">
        <f>IF(AND(OR(LEFT(TH!N1797,2)="15",LEFT(TH!O1797,2)="15"),TK!$E$7=TH!F1797),"x","")</f>
        <v/>
      </c>
      <c r="AD1797" s="79" t="str">
        <f>IF(AND(N1797="1521",MONTH(C1797)='BK-NL'!$M$11),"x","")</f>
        <v/>
      </c>
    </row>
    <row r="1798" spans="1:30" ht="16.5" customHeight="1">
      <c r="A1798" s="318" t="str">
        <f>IF(B1798&lt;&gt;"",IF(AND(B1798='IN-TC'!$S$4,OR(TH!N1798="1111",TH!O1798="1111")),TH!D1798,""),"")</f>
        <v/>
      </c>
      <c r="B1798" s="60" t="str">
        <f t="shared" si="215"/>
        <v/>
      </c>
      <c r="C1798" s="989"/>
      <c r="D1798" s="989"/>
      <c r="E1798" s="989"/>
      <c r="F1798" s="921"/>
      <c r="G1798" s="991"/>
      <c r="H1798" s="1011"/>
      <c r="I1798" s="994"/>
      <c r="J1798" s="992"/>
      <c r="K1798" s="994"/>
      <c r="L1798" s="992"/>
      <c r="M1798" s="995"/>
      <c r="N1798" s="996"/>
      <c r="O1798" s="996"/>
      <c r="P1798" s="79" t="str">
        <f>IF(AND('331-CT'!$E$7=TH!H1798,OR(N1798="331",O1798="331")),"x","")</f>
        <v/>
      </c>
      <c r="Q1798" s="79" t="str">
        <f>IF(AND(B1798='111'!$L$11,OR($N1798=$Q$7,$O1798=$Q$7)),"x","")</f>
        <v/>
      </c>
      <c r="R1798" s="79" t="str">
        <f>IF(AND($N1798=$Q$7,$B1798&lt;'111'!$L$11),"x","")</f>
        <v/>
      </c>
      <c r="S1798" s="79" t="str">
        <f>IF(AND($O1798=$Q$7,$B1798&lt;'111'!$L$11),"x","")</f>
        <v/>
      </c>
      <c r="T1798" s="79" t="str">
        <f>IF(ISERROR(FIND('112'!$M$9,G1798,1)),"",IF((AND(FIND('112'!$M$9,G1798,1)&gt;=1,B1798='112'!$K$9,OR($N1798='112'!$I$6,$O1798='112'!$I$6))),"x",""))</f>
        <v/>
      </c>
      <c r="U1798" s="79" t="str">
        <f>IF(ISERROR(FIND('112'!$M$9,G1798,1)),"",IF((AND(LEFT(G1798,2)=LEFT('112'!$M$9,2),B1798&lt;'112'!$K$9,$N1798='112'!$I$6)),"x",""))</f>
        <v/>
      </c>
      <c r="V1798" s="79" t="str">
        <f>IF(ISERROR(FIND('112'!$M$9,G1798,1)),"",IF((AND(RIGHT(G1798,2)=RIGHT('112'!$M$9,2),B1798&lt;'112'!$K$9,$O1798='112'!$I$6)),"x",""))</f>
        <v/>
      </c>
      <c r="W1798" s="79" t="str">
        <f>IF(AND('341-CT'!$H$9=H1798,OR(LEFT(N1798,3)=$W$7,LEFT(O1798,3)=$W$7)),"x","")</f>
        <v/>
      </c>
      <c r="X1798" s="79" t="str">
        <f>IF(OR(TH!N1798=TH!$X$7,O1798=TH!$X$7),"x","")</f>
        <v/>
      </c>
      <c r="Y1798" s="79" t="str">
        <f>IF(AND(OR(N1798="131",O1798="131"),H1798='131-CT'!$H$9),"x","")</f>
        <v/>
      </c>
      <c r="Z1798" s="79"/>
      <c r="AA1798" s="79" t="str">
        <f>IF(AND(MONTH(E1798)='IN-NX'!$J$5,'IN-NX'!$D$7=D1798),"x","")</f>
        <v/>
      </c>
      <c r="AB1798" s="79" t="str">
        <f>IF(AND(OR(LEFT(TH!N1798,2)="15",LEFT(TH!O1798,2)="15"),LEFT(TH!O1798,3)&lt;&gt;"111",'152-CT'!$J$8=TH!F1798),"x","")</f>
        <v/>
      </c>
      <c r="AC1798" s="79" t="str">
        <f>IF(AND(OR(LEFT(TH!N1798,2)="15",LEFT(TH!O1798,2)="15"),TK!$E$7=TH!F1798),"x","")</f>
        <v/>
      </c>
      <c r="AD1798" s="79" t="str">
        <f>IF(AND(N1798="1521",MONTH(C1798)='BK-NL'!$M$11),"x","")</f>
        <v/>
      </c>
    </row>
    <row r="1799" spans="1:30" ht="16.5" customHeight="1">
      <c r="A1799" s="318" t="str">
        <f>IF(B1799&lt;&gt;"",IF(AND(B1799='IN-TC'!$S$4,OR(TH!N1799="1111",TH!O1799="1111")),TH!D1799,""),"")</f>
        <v/>
      </c>
      <c r="B1799" s="60" t="str">
        <f t="shared" si="215"/>
        <v/>
      </c>
      <c r="C1799" s="989"/>
      <c r="D1799" s="989"/>
      <c r="E1799" s="989"/>
      <c r="F1799" s="921"/>
      <c r="G1799" s="991"/>
      <c r="H1799" s="1011"/>
      <c r="I1799" s="994"/>
      <c r="J1799" s="992"/>
      <c r="K1799" s="994"/>
      <c r="L1799" s="992"/>
      <c r="M1799" s="995"/>
      <c r="N1799" s="996"/>
      <c r="O1799" s="996"/>
      <c r="P1799" s="79" t="str">
        <f>IF(AND('331-CT'!$E$7=TH!H1799,OR(N1799="331",O1799="331")),"x","")</f>
        <v/>
      </c>
      <c r="Q1799" s="79" t="str">
        <f>IF(AND(B1799='111'!$L$11,OR($N1799=$Q$7,$O1799=$Q$7)),"x","")</f>
        <v/>
      </c>
      <c r="R1799" s="79" t="str">
        <f>IF(AND($N1799=$Q$7,$B1799&lt;'111'!$L$11),"x","")</f>
        <v/>
      </c>
      <c r="S1799" s="79" t="str">
        <f>IF(AND($O1799=$Q$7,$B1799&lt;'111'!$L$11),"x","")</f>
        <v/>
      </c>
      <c r="T1799" s="79" t="str">
        <f>IF(ISERROR(FIND('112'!$M$9,G1799,1)),"",IF((AND(FIND('112'!$M$9,G1799,1)&gt;=1,B1799='112'!$K$9,OR($N1799='112'!$I$6,$O1799='112'!$I$6))),"x",""))</f>
        <v/>
      </c>
      <c r="U1799" s="79" t="str">
        <f>IF(ISERROR(FIND('112'!$M$9,G1799,1)),"",IF((AND(LEFT(G1799,2)=LEFT('112'!$M$9,2),B1799&lt;'112'!$K$9,$N1799='112'!$I$6)),"x",""))</f>
        <v/>
      </c>
      <c r="V1799" s="79" t="str">
        <f>IF(ISERROR(FIND('112'!$M$9,G1799,1)),"",IF((AND(RIGHT(G1799,2)=RIGHT('112'!$M$9,2),B1799&lt;'112'!$K$9,$O1799='112'!$I$6)),"x",""))</f>
        <v/>
      </c>
      <c r="W1799" s="79" t="str">
        <f>IF(AND('341-CT'!$H$9=H1799,OR(LEFT(N1799,3)=$W$7,LEFT(O1799,3)=$W$7)),"x","")</f>
        <v/>
      </c>
      <c r="X1799" s="79" t="str">
        <f>IF(OR(TH!N1799=TH!$X$7,O1799=TH!$X$7),"x","")</f>
        <v/>
      </c>
      <c r="Y1799" s="79" t="str">
        <f>IF(AND(OR(N1799="131",O1799="131"),H1799='131-CT'!$H$9),"x","")</f>
        <v/>
      </c>
      <c r="Z1799" s="79"/>
      <c r="AA1799" s="79" t="str">
        <f>IF(AND(MONTH(E1799)='IN-NX'!$J$5,'IN-NX'!$D$7=D1799),"x","")</f>
        <v/>
      </c>
      <c r="AB1799" s="79" t="str">
        <f>IF(AND(OR(LEFT(TH!N1799,2)="15",LEFT(TH!O1799,2)="15"),LEFT(TH!O1799,3)&lt;&gt;"111",'152-CT'!$J$8=TH!F1799),"x","")</f>
        <v/>
      </c>
      <c r="AC1799" s="79" t="str">
        <f>IF(AND(OR(LEFT(TH!N1799,2)="15",LEFT(TH!O1799,2)="15"),TK!$E$7=TH!F1799),"x","")</f>
        <v/>
      </c>
      <c r="AD1799" s="79" t="str">
        <f>IF(AND(N1799="1521",MONTH(C1799)='BK-NL'!$M$11),"x","")</f>
        <v/>
      </c>
    </row>
    <row r="1800" spans="1:30" ht="16.5" customHeight="1">
      <c r="A1800" s="318" t="str">
        <f>IF(B1800&lt;&gt;"",IF(AND(B1800='IN-TC'!$S$4,OR(TH!N1800="1111",TH!O1800="1111")),TH!D1800,""),"")</f>
        <v/>
      </c>
      <c r="B1800" s="60" t="str">
        <f t="shared" si="215"/>
        <v/>
      </c>
      <c r="C1800" s="989"/>
      <c r="D1800" s="989"/>
      <c r="E1800" s="989"/>
      <c r="F1800" s="921"/>
      <c r="G1800" s="991"/>
      <c r="H1800" s="1011"/>
      <c r="I1800" s="994"/>
      <c r="J1800" s="992"/>
      <c r="K1800" s="994"/>
      <c r="L1800" s="992"/>
      <c r="M1800" s="995"/>
      <c r="N1800" s="996"/>
      <c r="O1800" s="996"/>
      <c r="P1800" s="79" t="str">
        <f>IF(AND('331-CT'!$E$7=TH!H1800,OR(N1800="331",O1800="331")),"x","")</f>
        <v/>
      </c>
      <c r="Q1800" s="79" t="str">
        <f>IF(AND(B1800='111'!$L$11,OR($N1800=$Q$7,$O1800=$Q$7)),"x","")</f>
        <v/>
      </c>
      <c r="R1800" s="79" t="str">
        <f>IF(AND($N1800=$Q$7,$B1800&lt;'111'!$L$11),"x","")</f>
        <v/>
      </c>
      <c r="S1800" s="79" t="str">
        <f>IF(AND($O1800=$Q$7,$B1800&lt;'111'!$L$11),"x","")</f>
        <v/>
      </c>
      <c r="T1800" s="79" t="str">
        <f>IF(ISERROR(FIND('112'!$M$9,G1800,1)),"",IF((AND(FIND('112'!$M$9,G1800,1)&gt;=1,B1800='112'!$K$9,OR($N1800='112'!$I$6,$O1800='112'!$I$6))),"x",""))</f>
        <v/>
      </c>
      <c r="U1800" s="79" t="str">
        <f>IF(ISERROR(FIND('112'!$M$9,G1800,1)),"",IF((AND(LEFT(G1800,2)=LEFT('112'!$M$9,2),B1800&lt;'112'!$K$9,$N1800='112'!$I$6)),"x",""))</f>
        <v/>
      </c>
      <c r="V1800" s="79" t="str">
        <f>IF(ISERROR(FIND('112'!$M$9,G1800,1)),"",IF((AND(RIGHT(G1800,2)=RIGHT('112'!$M$9,2),B1800&lt;'112'!$K$9,$O1800='112'!$I$6)),"x",""))</f>
        <v/>
      </c>
      <c r="W1800" s="79" t="str">
        <f>IF(AND('341-CT'!$H$9=H1800,OR(LEFT(N1800,3)=$W$7,LEFT(O1800,3)=$W$7)),"x","")</f>
        <v/>
      </c>
      <c r="X1800" s="79" t="str">
        <f>IF(OR(TH!N1800=TH!$X$7,O1800=TH!$X$7),"x","")</f>
        <v/>
      </c>
      <c r="Y1800" s="79" t="str">
        <f>IF(AND(OR(N1800="131",O1800="131"),H1800='131-CT'!$H$9),"x","")</f>
        <v/>
      </c>
      <c r="Z1800" s="79"/>
      <c r="AA1800" s="79" t="str">
        <f>IF(AND(MONTH(E1800)='IN-NX'!$J$5,'IN-NX'!$D$7=D1800),"x","")</f>
        <v/>
      </c>
      <c r="AB1800" s="79" t="str">
        <f>IF(AND(OR(LEFT(TH!N1800,2)="15",LEFT(TH!O1800,2)="15"),LEFT(TH!O1800,3)&lt;&gt;"111",'152-CT'!$J$8=TH!F1800),"x","")</f>
        <v/>
      </c>
      <c r="AC1800" s="79" t="str">
        <f>IF(AND(OR(LEFT(TH!N1800,2)="15",LEFT(TH!O1800,2)="15"),TK!$E$7=TH!F1800),"x","")</f>
        <v/>
      </c>
      <c r="AD1800" s="79" t="str">
        <f>IF(AND(N1800="1521",MONTH(C1800)='BK-NL'!$M$11),"x","")</f>
        <v/>
      </c>
    </row>
    <row r="1801" spans="1:30" ht="16.5" customHeight="1">
      <c r="A1801" s="318" t="str">
        <f>IF(B1801&lt;&gt;"",IF(AND(B1801='IN-TC'!$S$4,OR(TH!N1801="1111",TH!O1801="1111")),TH!D1801,""),"")</f>
        <v/>
      </c>
      <c r="B1801" s="60" t="str">
        <f t="shared" si="215"/>
        <v/>
      </c>
      <c r="C1801" s="989"/>
      <c r="D1801" s="989"/>
      <c r="E1801" s="989"/>
      <c r="F1801" s="1105"/>
      <c r="G1801" s="991"/>
      <c r="H1801" s="1011"/>
      <c r="I1801" s="994"/>
      <c r="J1801" s="992"/>
      <c r="K1801" s="994"/>
      <c r="L1801" s="992"/>
      <c r="M1801" s="995"/>
      <c r="N1801" s="996"/>
      <c r="O1801" s="996"/>
      <c r="P1801" s="79" t="str">
        <f>IF(AND('331-CT'!$E$7=TH!H1801,OR(N1801="331",O1801="331")),"x","")</f>
        <v/>
      </c>
      <c r="Q1801" s="79" t="str">
        <f>IF(AND(B1801='111'!$L$11,OR($N1801=$Q$7,$O1801=$Q$7)),"x","")</f>
        <v/>
      </c>
      <c r="R1801" s="79" t="str">
        <f>IF(AND($N1801=$Q$7,$B1801&lt;'111'!$L$11),"x","")</f>
        <v/>
      </c>
      <c r="S1801" s="79" t="str">
        <f>IF(AND($O1801=$Q$7,$B1801&lt;'111'!$L$11),"x","")</f>
        <v/>
      </c>
      <c r="T1801" s="79" t="str">
        <f>IF(ISERROR(FIND('112'!$M$9,G1801,1)),"",IF((AND(FIND('112'!$M$9,G1801,1)&gt;=1,B1801='112'!$K$9,OR($N1801='112'!$I$6,$O1801='112'!$I$6))),"x",""))</f>
        <v/>
      </c>
      <c r="U1801" s="79" t="str">
        <f>IF(ISERROR(FIND('112'!$M$9,G1801,1)),"",IF((AND(LEFT(G1801,2)=LEFT('112'!$M$9,2),B1801&lt;'112'!$K$9,$N1801='112'!$I$6)),"x",""))</f>
        <v/>
      </c>
      <c r="V1801" s="79" t="str">
        <f>IF(ISERROR(FIND('112'!$M$9,G1801,1)),"",IF((AND(RIGHT(G1801,2)=RIGHT('112'!$M$9,2),B1801&lt;'112'!$K$9,$O1801='112'!$I$6)),"x",""))</f>
        <v/>
      </c>
      <c r="W1801" s="79" t="str">
        <f>IF(AND('341-CT'!$H$9=H1801,OR(LEFT(N1801,3)=$W$7,LEFT(O1801,3)=$W$7)),"x","")</f>
        <v/>
      </c>
      <c r="X1801" s="79" t="str">
        <f>IF(OR(TH!N1801=TH!$X$7,O1801=TH!$X$7),"x","")</f>
        <v/>
      </c>
      <c r="Y1801" s="79" t="str">
        <f>IF(AND(OR(N1801="131",O1801="131"),H1801='131-CT'!$H$9),"x","")</f>
        <v/>
      </c>
      <c r="Z1801" s="79"/>
      <c r="AA1801" s="79" t="str">
        <f>IF(AND(MONTH(E1801)='IN-NX'!$J$5,'IN-NX'!$D$7=D1801),"x","")</f>
        <v/>
      </c>
      <c r="AB1801" s="79" t="str">
        <f>IF(AND(OR(LEFT(TH!N1801,2)="15",LEFT(TH!O1801,2)="15"),LEFT(TH!O1801,3)&lt;&gt;"111",'152-CT'!$J$8=TH!F1801),"x","")</f>
        <v/>
      </c>
      <c r="AC1801" s="79" t="str">
        <f>IF(AND(OR(LEFT(TH!N1801,2)="15",LEFT(TH!O1801,2)="15"),TK!$E$7=TH!F1801),"x","")</f>
        <v/>
      </c>
      <c r="AD1801" s="79" t="str">
        <f>IF(AND(N1801="1521",MONTH(C1801)='BK-NL'!$M$11),"x","")</f>
        <v/>
      </c>
    </row>
    <row r="1802" spans="1:30" ht="16.5" customHeight="1">
      <c r="A1802" s="318" t="str">
        <f>IF(B1802&lt;&gt;"",IF(AND(B1802='IN-TC'!$S$4,OR(TH!N1802="1111",TH!O1802="1111")),TH!D1802,""),"")</f>
        <v/>
      </c>
      <c r="B1802" s="60" t="str">
        <f t="shared" si="215"/>
        <v/>
      </c>
      <c r="C1802" s="989"/>
      <c r="D1802" s="989"/>
      <c r="E1802" s="989"/>
      <c r="F1802" s="1105"/>
      <c r="G1802" s="991"/>
      <c r="H1802" s="1011"/>
      <c r="I1802" s="994"/>
      <c r="J1802" s="992"/>
      <c r="K1802" s="994"/>
      <c r="L1802" s="992"/>
      <c r="M1802" s="995"/>
      <c r="N1802" s="996"/>
      <c r="O1802" s="996"/>
      <c r="P1802" s="79" t="str">
        <f>IF(AND('331-CT'!$E$7=TH!H1802,OR(N1802="331",O1802="331")),"x","")</f>
        <v/>
      </c>
      <c r="Q1802" s="79" t="str">
        <f>IF(AND(B1802='111'!$L$11,OR($N1802=$Q$7,$O1802=$Q$7)),"x","")</f>
        <v/>
      </c>
      <c r="R1802" s="79" t="str">
        <f>IF(AND($N1802=$Q$7,$B1802&lt;'111'!$L$11),"x","")</f>
        <v/>
      </c>
      <c r="S1802" s="79" t="str">
        <f>IF(AND($O1802=$Q$7,$B1802&lt;'111'!$L$11),"x","")</f>
        <v/>
      </c>
      <c r="T1802" s="79" t="str">
        <f>IF(ISERROR(FIND('112'!$M$9,G1802,1)),"",IF((AND(FIND('112'!$M$9,G1802,1)&gt;=1,B1802='112'!$K$9,OR($N1802='112'!$I$6,$O1802='112'!$I$6))),"x",""))</f>
        <v/>
      </c>
      <c r="U1802" s="79" t="str">
        <f>IF(ISERROR(FIND('112'!$M$9,G1802,1)),"",IF((AND(LEFT(G1802,2)=LEFT('112'!$M$9,2),B1802&lt;'112'!$K$9,$N1802='112'!$I$6)),"x",""))</f>
        <v/>
      </c>
      <c r="V1802" s="79" t="str">
        <f>IF(ISERROR(FIND('112'!$M$9,G1802,1)),"",IF((AND(RIGHT(G1802,2)=RIGHT('112'!$M$9,2),B1802&lt;'112'!$K$9,$O1802='112'!$I$6)),"x",""))</f>
        <v/>
      </c>
      <c r="W1802" s="79" t="str">
        <f>IF(AND('341-CT'!$H$9=H1802,OR(LEFT(N1802,3)=$W$7,LEFT(O1802,3)=$W$7)),"x","")</f>
        <v/>
      </c>
      <c r="X1802" s="79" t="str">
        <f>IF(OR(TH!N1802=TH!$X$7,O1802=TH!$X$7),"x","")</f>
        <v/>
      </c>
      <c r="Y1802" s="79" t="str">
        <f>IF(AND(OR(N1802="131",O1802="131"),H1802='131-CT'!$H$9),"x","")</f>
        <v/>
      </c>
      <c r="Z1802" s="79"/>
      <c r="AA1802" s="79" t="str">
        <f>IF(AND(MONTH(E1802)='IN-NX'!$J$5,'IN-NX'!$D$7=D1802),"x","")</f>
        <v/>
      </c>
      <c r="AB1802" s="79" t="str">
        <f>IF(AND(OR(LEFT(TH!N1802,2)="15",LEFT(TH!O1802,2)="15"),LEFT(TH!O1802,3)&lt;&gt;"111",'152-CT'!$J$8=TH!F1802),"x","")</f>
        <v/>
      </c>
      <c r="AC1802" s="79" t="str">
        <f>IF(AND(OR(LEFT(TH!N1802,2)="15",LEFT(TH!O1802,2)="15"),TK!$E$7=TH!F1802),"x","")</f>
        <v/>
      </c>
      <c r="AD1802" s="79" t="str">
        <f>IF(AND(N1802="1521",MONTH(C1802)='BK-NL'!$M$11),"x","")</f>
        <v/>
      </c>
    </row>
    <row r="1803" spans="1:30" ht="16.5" customHeight="1">
      <c r="A1803" s="318" t="str">
        <f>IF(B1803&lt;&gt;"",IF(AND(B1803='IN-TC'!$S$4,OR(TH!N1803="1111",TH!O1803="1111")),TH!D1803,""),"")</f>
        <v/>
      </c>
      <c r="B1803" s="60" t="str">
        <f t="shared" si="215"/>
        <v/>
      </c>
      <c r="C1803" s="989"/>
      <c r="D1803" s="989"/>
      <c r="E1803" s="989"/>
      <c r="F1803" s="990"/>
      <c r="G1803" s="991"/>
      <c r="H1803" s="1011"/>
      <c r="I1803" s="994"/>
      <c r="J1803" s="992"/>
      <c r="K1803" s="994"/>
      <c r="L1803" s="992"/>
      <c r="M1803" s="995"/>
      <c r="N1803" s="996"/>
      <c r="O1803" s="996"/>
      <c r="P1803" s="79" t="str">
        <f>IF(AND('331-CT'!$E$7=TH!H1803,OR(N1803="331",O1803="331")),"x","")</f>
        <v/>
      </c>
      <c r="Q1803" s="79" t="str">
        <f>IF(AND(B1803='111'!$L$11,OR($N1803=$Q$7,$O1803=$Q$7)),"x","")</f>
        <v/>
      </c>
      <c r="R1803" s="79" t="str">
        <f>IF(AND($N1803=$Q$7,$B1803&lt;'111'!$L$11),"x","")</f>
        <v/>
      </c>
      <c r="S1803" s="79" t="str">
        <f>IF(AND($O1803=$Q$7,$B1803&lt;'111'!$L$11),"x","")</f>
        <v/>
      </c>
      <c r="T1803" s="79" t="str">
        <f>IF(ISERROR(FIND('112'!$M$9,G1803,1)),"",IF((AND(FIND('112'!$M$9,G1803,1)&gt;=1,B1803='112'!$K$9,OR($N1803='112'!$I$6,$O1803='112'!$I$6))),"x",""))</f>
        <v/>
      </c>
      <c r="U1803" s="79" t="str">
        <f>IF(ISERROR(FIND('112'!$M$9,G1803,1)),"",IF((AND(LEFT(G1803,2)=LEFT('112'!$M$9,2),B1803&lt;'112'!$K$9,$N1803='112'!$I$6)),"x",""))</f>
        <v/>
      </c>
      <c r="V1803" s="79" t="str">
        <f>IF(ISERROR(FIND('112'!$M$9,G1803,1)),"",IF((AND(RIGHT(G1803,2)=RIGHT('112'!$M$9,2),B1803&lt;'112'!$K$9,$O1803='112'!$I$6)),"x",""))</f>
        <v/>
      </c>
      <c r="W1803" s="79" t="str">
        <f>IF(AND('341-CT'!$H$9=H1803,OR(LEFT(N1803,3)=$W$7,LEFT(O1803,3)=$W$7)),"x","")</f>
        <v/>
      </c>
      <c r="X1803" s="79" t="str">
        <f>IF(OR(TH!N1803=TH!$X$7,O1803=TH!$X$7),"x","")</f>
        <v/>
      </c>
      <c r="Y1803" s="79" t="str">
        <f>IF(AND(OR(N1803="131",O1803="131"),H1803='131-CT'!$H$9),"x","")</f>
        <v/>
      </c>
      <c r="Z1803" s="79"/>
      <c r="AA1803" s="79" t="str">
        <f>IF(AND(MONTH(E1803)='IN-NX'!$J$5,'IN-NX'!$D$7=D1803),"x","")</f>
        <v/>
      </c>
      <c r="AB1803" s="79" t="str">
        <f>IF(AND(OR(LEFT(TH!N1803,2)="15",LEFT(TH!O1803,2)="15"),LEFT(TH!O1803,3)&lt;&gt;"111",'152-CT'!$J$8=TH!F1803),"x","")</f>
        <v/>
      </c>
      <c r="AC1803" s="79" t="str">
        <f>IF(AND(OR(LEFT(TH!N1803,2)="15",LEFT(TH!O1803,2)="15"),TK!$E$7=TH!F1803),"x","")</f>
        <v/>
      </c>
      <c r="AD1803" s="79" t="str">
        <f>IF(AND(N1803="1521",MONTH(C1803)='BK-NL'!$M$11),"x","")</f>
        <v/>
      </c>
    </row>
    <row r="1804" spans="1:30" ht="16.5" customHeight="1">
      <c r="A1804" s="318" t="str">
        <f>IF(B1804&lt;&gt;"",IF(AND(B1804='IN-TC'!$S$4,OR(TH!N1804="1111",TH!O1804="1111")),TH!D1804,""),"")</f>
        <v/>
      </c>
      <c r="B1804" s="60" t="str">
        <f t="shared" si="215"/>
        <v/>
      </c>
      <c r="C1804" s="989"/>
      <c r="D1804" s="989"/>
      <c r="E1804" s="989"/>
      <c r="F1804" s="1105"/>
      <c r="G1804" s="991"/>
      <c r="H1804" s="1011"/>
      <c r="I1804" s="994"/>
      <c r="J1804" s="992"/>
      <c r="K1804" s="994"/>
      <c r="L1804" s="992"/>
      <c r="M1804" s="995"/>
      <c r="N1804" s="996"/>
      <c r="O1804" s="996"/>
      <c r="P1804" s="79" t="str">
        <f>IF(AND('331-CT'!$E$7=TH!H1804,OR(N1804="331",O1804="331")),"x","")</f>
        <v/>
      </c>
      <c r="Q1804" s="79" t="str">
        <f>IF(AND(B1804='111'!$L$11,OR($N1804=$Q$7,$O1804=$Q$7)),"x","")</f>
        <v/>
      </c>
      <c r="R1804" s="79" t="str">
        <f>IF(AND($N1804=$Q$7,$B1804&lt;'111'!$L$11),"x","")</f>
        <v/>
      </c>
      <c r="S1804" s="79" t="str">
        <f>IF(AND($O1804=$Q$7,$B1804&lt;'111'!$L$11),"x","")</f>
        <v/>
      </c>
      <c r="T1804" s="79" t="str">
        <f>IF(ISERROR(FIND('112'!$M$9,G1804,1)),"",IF((AND(FIND('112'!$M$9,G1804,1)&gt;=1,B1804='112'!$K$9,OR($N1804='112'!$I$6,$O1804='112'!$I$6))),"x",""))</f>
        <v/>
      </c>
      <c r="U1804" s="79" t="str">
        <f>IF(ISERROR(FIND('112'!$M$9,G1804,1)),"",IF((AND(LEFT(G1804,2)=LEFT('112'!$M$9,2),B1804&lt;'112'!$K$9,$N1804='112'!$I$6)),"x",""))</f>
        <v/>
      </c>
      <c r="V1804" s="79" t="str">
        <f>IF(ISERROR(FIND('112'!$M$9,G1804,1)),"",IF((AND(RIGHT(G1804,2)=RIGHT('112'!$M$9,2),B1804&lt;'112'!$K$9,$O1804='112'!$I$6)),"x",""))</f>
        <v/>
      </c>
      <c r="W1804" s="79" t="str">
        <f>IF(AND('341-CT'!$H$9=H1804,OR(LEFT(N1804,3)=$W$7,LEFT(O1804,3)=$W$7)),"x","")</f>
        <v/>
      </c>
      <c r="X1804" s="79" t="str">
        <f>IF(OR(TH!N1804=TH!$X$7,O1804=TH!$X$7),"x","")</f>
        <v/>
      </c>
      <c r="Y1804" s="79" t="str">
        <f>IF(AND(OR(N1804="131",O1804="131"),H1804='131-CT'!$H$9),"x","")</f>
        <v/>
      </c>
      <c r="Z1804" s="79"/>
      <c r="AA1804" s="79" t="str">
        <f>IF(AND(MONTH(E1804)='IN-NX'!$J$5,'IN-NX'!$D$7=D1804),"x","")</f>
        <v/>
      </c>
      <c r="AB1804" s="79" t="str">
        <f>IF(AND(OR(LEFT(TH!N1804,2)="15",LEFT(TH!O1804,2)="15"),LEFT(TH!O1804,3)&lt;&gt;"111",'152-CT'!$J$8=TH!F1804),"x","")</f>
        <v/>
      </c>
      <c r="AC1804" s="79" t="str">
        <f>IF(AND(OR(LEFT(TH!N1804,2)="15",LEFT(TH!O1804,2)="15"),TK!$E$7=TH!F1804),"x","")</f>
        <v/>
      </c>
      <c r="AD1804" s="79" t="str">
        <f>IF(AND(N1804="1521",MONTH(C1804)='BK-NL'!$M$11),"x","")</f>
        <v/>
      </c>
    </row>
    <row r="1805" spans="1:30" ht="16.5" customHeight="1">
      <c r="A1805" s="318" t="str">
        <f>IF(B1805&lt;&gt;"",IF(AND(B1805='IN-TC'!$S$4,OR(TH!N1805="1111",TH!O1805="1111")),TH!D1805,""),"")</f>
        <v/>
      </c>
      <c r="B1805" s="60" t="str">
        <f t="shared" si="215"/>
        <v/>
      </c>
      <c r="C1805" s="989"/>
      <c r="D1805" s="989"/>
      <c r="E1805" s="989"/>
      <c r="F1805" s="1105"/>
      <c r="G1805" s="991"/>
      <c r="H1805" s="1011"/>
      <c r="I1805" s="994"/>
      <c r="J1805" s="992"/>
      <c r="K1805" s="994"/>
      <c r="L1805" s="992"/>
      <c r="M1805" s="995"/>
      <c r="N1805" s="996"/>
      <c r="O1805" s="996"/>
      <c r="P1805" s="79" t="str">
        <f>IF(AND('331-CT'!$E$7=TH!H1805,OR(N1805="331",O1805="331")),"x","")</f>
        <v/>
      </c>
      <c r="Q1805" s="79" t="str">
        <f>IF(AND(B1805='111'!$L$11,OR($N1805=$Q$7,$O1805=$Q$7)),"x","")</f>
        <v/>
      </c>
      <c r="R1805" s="79" t="str">
        <f>IF(AND($N1805=$Q$7,$B1805&lt;'111'!$L$11),"x","")</f>
        <v/>
      </c>
      <c r="S1805" s="79" t="str">
        <f>IF(AND($O1805=$Q$7,$B1805&lt;'111'!$L$11),"x","")</f>
        <v/>
      </c>
      <c r="T1805" s="79" t="str">
        <f>IF(ISERROR(FIND('112'!$M$9,G1805,1)),"",IF((AND(FIND('112'!$M$9,G1805,1)&gt;=1,B1805='112'!$K$9,OR($N1805='112'!$I$6,$O1805='112'!$I$6))),"x",""))</f>
        <v/>
      </c>
      <c r="U1805" s="79" t="str">
        <f>IF(ISERROR(FIND('112'!$M$9,G1805,1)),"",IF((AND(LEFT(G1805,2)=LEFT('112'!$M$9,2),B1805&lt;'112'!$K$9,$N1805='112'!$I$6)),"x",""))</f>
        <v/>
      </c>
      <c r="V1805" s="79" t="str">
        <f>IF(ISERROR(FIND('112'!$M$9,G1805,1)),"",IF((AND(RIGHT(G1805,2)=RIGHT('112'!$M$9,2),B1805&lt;'112'!$K$9,$O1805='112'!$I$6)),"x",""))</f>
        <v/>
      </c>
      <c r="W1805" s="79" t="str">
        <f>IF(AND('341-CT'!$H$9=H1805,OR(LEFT(N1805,3)=$W$7,LEFT(O1805,3)=$W$7)),"x","")</f>
        <v/>
      </c>
      <c r="X1805" s="79" t="str">
        <f>IF(OR(TH!N1805=TH!$X$7,O1805=TH!$X$7),"x","")</f>
        <v/>
      </c>
      <c r="Y1805" s="79" t="str">
        <f>IF(AND(OR(N1805="131",O1805="131"),H1805='131-CT'!$H$9),"x","")</f>
        <v/>
      </c>
      <c r="Z1805" s="79"/>
      <c r="AA1805" s="79" t="str">
        <f>IF(AND(MONTH(E1805)='IN-NX'!$J$5,'IN-NX'!$D$7=D1805),"x","")</f>
        <v/>
      </c>
      <c r="AB1805" s="79" t="str">
        <f>IF(AND(OR(LEFT(TH!N1805,2)="15",LEFT(TH!O1805,2)="15"),LEFT(TH!O1805,3)&lt;&gt;"111",'152-CT'!$J$8=TH!F1805),"x","")</f>
        <v/>
      </c>
      <c r="AC1805" s="79" t="str">
        <f>IF(AND(OR(LEFT(TH!N1805,2)="15",LEFT(TH!O1805,2)="15"),TK!$E$7=TH!F1805),"x","")</f>
        <v/>
      </c>
      <c r="AD1805" s="79" t="str">
        <f>IF(AND(N1805="1521",MONTH(C1805)='BK-NL'!$M$11),"x","")</f>
        <v/>
      </c>
    </row>
    <row r="1806" spans="1:30" ht="16.5" customHeight="1">
      <c r="A1806" s="318" t="str">
        <f>IF(B1806&lt;&gt;"",IF(AND(B1806='IN-TC'!$S$4,OR(TH!N1806="1111",TH!O1806="1111")),TH!D1806,""),"")</f>
        <v/>
      </c>
      <c r="B1806" s="60" t="str">
        <f t="shared" si="215"/>
        <v/>
      </c>
      <c r="C1806" s="989"/>
      <c r="D1806" s="989"/>
      <c r="E1806" s="989"/>
      <c r="F1806" s="1105"/>
      <c r="G1806" s="991"/>
      <c r="H1806" s="1011"/>
      <c r="I1806" s="994"/>
      <c r="J1806" s="992"/>
      <c r="K1806" s="994"/>
      <c r="L1806" s="992"/>
      <c r="M1806" s="995"/>
      <c r="N1806" s="996"/>
      <c r="O1806" s="996"/>
      <c r="P1806" s="79" t="str">
        <f>IF(AND('331-CT'!$E$7=TH!H1806,OR(N1806="331",O1806="331")),"x","")</f>
        <v/>
      </c>
      <c r="Q1806" s="79" t="str">
        <f>IF(AND(B1806='111'!$L$11,OR($N1806=$Q$7,$O1806=$Q$7)),"x","")</f>
        <v/>
      </c>
      <c r="R1806" s="79" t="str">
        <f>IF(AND($N1806=$Q$7,$B1806&lt;'111'!$L$11),"x","")</f>
        <v/>
      </c>
      <c r="S1806" s="79" t="str">
        <f>IF(AND($O1806=$Q$7,$B1806&lt;'111'!$L$11),"x","")</f>
        <v/>
      </c>
      <c r="T1806" s="79" t="str">
        <f>IF(ISERROR(FIND('112'!$M$9,G1806,1)),"",IF((AND(FIND('112'!$M$9,G1806,1)&gt;=1,B1806='112'!$K$9,OR($N1806='112'!$I$6,$O1806='112'!$I$6))),"x",""))</f>
        <v/>
      </c>
      <c r="U1806" s="79" t="str">
        <f>IF(ISERROR(FIND('112'!$M$9,G1806,1)),"",IF((AND(LEFT(G1806,2)=LEFT('112'!$M$9,2),B1806&lt;'112'!$K$9,$N1806='112'!$I$6)),"x",""))</f>
        <v/>
      </c>
      <c r="V1806" s="79" t="str">
        <f>IF(ISERROR(FIND('112'!$M$9,G1806,1)),"",IF((AND(RIGHT(G1806,2)=RIGHT('112'!$M$9,2),B1806&lt;'112'!$K$9,$O1806='112'!$I$6)),"x",""))</f>
        <v/>
      </c>
      <c r="W1806" s="79" t="str">
        <f>IF(AND('341-CT'!$H$9=H1806,OR(LEFT(N1806,3)=$W$7,LEFT(O1806,3)=$W$7)),"x","")</f>
        <v/>
      </c>
      <c r="X1806" s="79" t="str">
        <f>IF(OR(TH!N1806=TH!$X$7,O1806=TH!$X$7),"x","")</f>
        <v/>
      </c>
      <c r="Y1806" s="79" t="str">
        <f>IF(AND(OR(N1806="131",O1806="131"),H1806='131-CT'!$H$9),"x","")</f>
        <v/>
      </c>
      <c r="Z1806" s="79"/>
      <c r="AA1806" s="79" t="str">
        <f>IF(AND(MONTH(E1806)='IN-NX'!$J$5,'IN-NX'!$D$7=D1806),"x","")</f>
        <v/>
      </c>
      <c r="AB1806" s="79" t="str">
        <f>IF(AND(OR(LEFT(TH!N1806,2)="15",LEFT(TH!O1806,2)="15"),LEFT(TH!O1806,3)&lt;&gt;"111",'152-CT'!$J$8=TH!F1806),"x","")</f>
        <v/>
      </c>
      <c r="AC1806" s="79" t="str">
        <f>IF(AND(OR(LEFT(TH!N1806,2)="15",LEFT(TH!O1806,2)="15"),TK!$E$7=TH!F1806),"x","")</f>
        <v/>
      </c>
      <c r="AD1806" s="79" t="str">
        <f>IF(AND(N1806="1521",MONTH(C1806)='BK-NL'!$M$11),"x","")</f>
        <v/>
      </c>
    </row>
    <row r="1807" spans="1:30" ht="16.5" customHeight="1">
      <c r="A1807" s="318" t="str">
        <f>IF(B1807&lt;&gt;"",IF(AND(B1807='IN-TC'!$S$4,OR(TH!N1807="1111",TH!O1807="1111")),TH!D1807,""),"")</f>
        <v/>
      </c>
      <c r="B1807" s="60" t="str">
        <f t="shared" si="215"/>
        <v/>
      </c>
      <c r="C1807" s="989"/>
      <c r="D1807" s="989"/>
      <c r="E1807" s="989"/>
      <c r="F1807" s="990"/>
      <c r="G1807" s="991"/>
      <c r="H1807" s="1011"/>
      <c r="I1807" s="994"/>
      <c r="J1807" s="992"/>
      <c r="K1807" s="994"/>
      <c r="L1807" s="992"/>
      <c r="M1807" s="995"/>
      <c r="N1807" s="996"/>
      <c r="O1807" s="996"/>
      <c r="P1807" s="79" t="str">
        <f>IF(AND('331-CT'!$E$7=TH!H1807,OR(N1807="331",O1807="331")),"x","")</f>
        <v/>
      </c>
      <c r="Q1807" s="79" t="str">
        <f>IF(AND(B1807='111'!$L$11,OR($N1807=$Q$7,$O1807=$Q$7)),"x","")</f>
        <v/>
      </c>
      <c r="R1807" s="79" t="str">
        <f>IF(AND($N1807=$Q$7,$B1807&lt;'111'!$L$11),"x","")</f>
        <v/>
      </c>
      <c r="S1807" s="79" t="str">
        <f>IF(AND($O1807=$Q$7,$B1807&lt;'111'!$L$11),"x","")</f>
        <v/>
      </c>
      <c r="T1807" s="79" t="str">
        <f>IF(ISERROR(FIND('112'!$M$9,G1807,1)),"",IF((AND(FIND('112'!$M$9,G1807,1)&gt;=1,B1807='112'!$K$9,OR($N1807='112'!$I$6,$O1807='112'!$I$6))),"x",""))</f>
        <v/>
      </c>
      <c r="U1807" s="79" t="str">
        <f>IF(ISERROR(FIND('112'!$M$9,G1807,1)),"",IF((AND(LEFT(G1807,2)=LEFT('112'!$M$9,2),B1807&lt;'112'!$K$9,$N1807='112'!$I$6)),"x",""))</f>
        <v/>
      </c>
      <c r="V1807" s="79" t="str">
        <f>IF(ISERROR(FIND('112'!$M$9,G1807,1)),"",IF((AND(RIGHT(G1807,2)=RIGHT('112'!$M$9,2),B1807&lt;'112'!$K$9,$O1807='112'!$I$6)),"x",""))</f>
        <v/>
      </c>
      <c r="W1807" s="79" t="str">
        <f>IF(AND('341-CT'!$H$9=H1807,OR(LEFT(N1807,3)=$W$7,LEFT(O1807,3)=$W$7)),"x","")</f>
        <v/>
      </c>
      <c r="X1807" s="79" t="str">
        <f>IF(OR(TH!N1807=TH!$X$7,O1807=TH!$X$7),"x","")</f>
        <v/>
      </c>
      <c r="Y1807" s="79" t="str">
        <f>IF(AND(OR(N1807="131",O1807="131"),H1807='131-CT'!$H$9),"x","")</f>
        <v/>
      </c>
      <c r="Z1807" s="79"/>
      <c r="AA1807" s="79" t="str">
        <f>IF(AND(MONTH(E1807)='IN-NX'!$J$5,'IN-NX'!$D$7=D1807),"x","")</f>
        <v/>
      </c>
      <c r="AB1807" s="79" t="str">
        <f>IF(AND(OR(LEFT(TH!N1807,2)="15",LEFT(TH!O1807,2)="15"),LEFT(TH!O1807,3)&lt;&gt;"111",'152-CT'!$J$8=TH!F1807),"x","")</f>
        <v/>
      </c>
      <c r="AC1807" s="79" t="str">
        <f>IF(AND(OR(LEFT(TH!N1807,2)="15",LEFT(TH!O1807,2)="15"),TK!$E$7=TH!F1807),"x","")</f>
        <v/>
      </c>
      <c r="AD1807" s="79" t="str">
        <f>IF(AND(N1807="1521",MONTH(C1807)='BK-NL'!$M$11),"x","")</f>
        <v/>
      </c>
    </row>
    <row r="1808" spans="1:30" ht="16.5" customHeight="1">
      <c r="A1808" s="318" t="str">
        <f>IF(B1808&lt;&gt;"",IF(AND(B1808='IN-TC'!$S$4,OR(TH!N1808="1111",TH!O1808="1111")),TH!D1808,""),"")</f>
        <v/>
      </c>
      <c r="B1808" s="60" t="str">
        <f t="shared" si="215"/>
        <v/>
      </c>
      <c r="C1808" s="989"/>
      <c r="D1808" s="989"/>
      <c r="E1808" s="989"/>
      <c r="F1808" s="921"/>
      <c r="G1808" s="991"/>
      <c r="H1808" s="1011"/>
      <c r="I1808" s="994"/>
      <c r="J1808" s="992"/>
      <c r="K1808" s="994"/>
      <c r="L1808" s="992"/>
      <c r="M1808" s="995"/>
      <c r="N1808" s="996"/>
      <c r="O1808" s="996"/>
      <c r="P1808" s="79" t="str">
        <f>IF(AND('331-CT'!$E$7=TH!H1808,OR(N1808="331",O1808="331")),"x","")</f>
        <v/>
      </c>
      <c r="Q1808" s="79" t="str">
        <f>IF(AND(B1808='111'!$L$11,OR($N1808=$Q$7,$O1808=$Q$7)),"x","")</f>
        <v/>
      </c>
      <c r="R1808" s="79" t="str">
        <f>IF(AND($N1808=$Q$7,$B1808&lt;'111'!$L$11),"x","")</f>
        <v/>
      </c>
      <c r="S1808" s="79" t="str">
        <f>IF(AND($O1808=$Q$7,$B1808&lt;'111'!$L$11),"x","")</f>
        <v/>
      </c>
      <c r="T1808" s="79" t="str">
        <f>IF(ISERROR(FIND('112'!$M$9,G1808,1)),"",IF((AND(FIND('112'!$M$9,G1808,1)&gt;=1,B1808='112'!$K$9,OR($N1808='112'!$I$6,$O1808='112'!$I$6))),"x",""))</f>
        <v/>
      </c>
      <c r="U1808" s="79" t="str">
        <f>IF(ISERROR(FIND('112'!$M$9,G1808,1)),"",IF((AND(LEFT(G1808,2)=LEFT('112'!$M$9,2),B1808&lt;'112'!$K$9,$N1808='112'!$I$6)),"x",""))</f>
        <v/>
      </c>
      <c r="V1808" s="79" t="str">
        <f>IF(ISERROR(FIND('112'!$M$9,G1808,1)),"",IF((AND(RIGHT(G1808,2)=RIGHT('112'!$M$9,2),B1808&lt;'112'!$K$9,$O1808='112'!$I$6)),"x",""))</f>
        <v/>
      </c>
      <c r="W1808" s="79" t="str">
        <f>IF(AND('341-CT'!$H$9=H1808,OR(LEFT(N1808,3)=$W$7,LEFT(O1808,3)=$W$7)),"x","")</f>
        <v/>
      </c>
      <c r="X1808" s="79" t="str">
        <f>IF(OR(TH!N1808=TH!$X$7,O1808=TH!$X$7),"x","")</f>
        <v/>
      </c>
      <c r="Y1808" s="79" t="str">
        <f>IF(AND(OR(N1808="131",O1808="131"),H1808='131-CT'!$H$9),"x","")</f>
        <v/>
      </c>
      <c r="Z1808" s="79"/>
      <c r="AA1808" s="79" t="str">
        <f>IF(AND(MONTH(E1808)='IN-NX'!$J$5,'IN-NX'!$D$7=D1808),"x","")</f>
        <v/>
      </c>
      <c r="AB1808" s="79" t="str">
        <f>IF(AND(OR(LEFT(TH!N1808,2)="15",LEFT(TH!O1808,2)="15"),LEFT(TH!O1808,3)&lt;&gt;"111",'152-CT'!$J$8=TH!F1808),"x","")</f>
        <v/>
      </c>
      <c r="AC1808" s="79" t="str">
        <f>IF(AND(OR(LEFT(TH!N1808,2)="15",LEFT(TH!O1808,2)="15"),TK!$E$7=TH!F1808),"x","")</f>
        <v/>
      </c>
      <c r="AD1808" s="79" t="str">
        <f>IF(AND(N1808="1521",MONTH(C1808)='BK-NL'!$M$11),"x","")</f>
        <v/>
      </c>
    </row>
    <row r="1809" spans="1:30" ht="16.5" customHeight="1">
      <c r="A1809" s="318" t="str">
        <f>IF(B1809&lt;&gt;"",IF(AND(B1809='IN-TC'!$S$4,OR(TH!N1809="1111",TH!O1809="1111")),TH!D1809,""),"")</f>
        <v/>
      </c>
      <c r="B1809" s="60" t="str">
        <f t="shared" si="215"/>
        <v/>
      </c>
      <c r="C1809" s="989"/>
      <c r="D1809" s="989"/>
      <c r="E1809" s="989"/>
      <c r="F1809" s="921"/>
      <c r="G1809" s="991"/>
      <c r="H1809" s="1011"/>
      <c r="I1809" s="994"/>
      <c r="J1809" s="992"/>
      <c r="K1809" s="994"/>
      <c r="L1809" s="992"/>
      <c r="M1809" s="995"/>
      <c r="N1809" s="996"/>
      <c r="O1809" s="996"/>
      <c r="P1809" s="79" t="str">
        <f>IF(AND('331-CT'!$E$7=TH!H1809,OR(N1809="331",O1809="331")),"x","")</f>
        <v/>
      </c>
      <c r="Q1809" s="79" t="str">
        <f>IF(AND(B1809='111'!$L$11,OR($N1809=$Q$7,$O1809=$Q$7)),"x","")</f>
        <v/>
      </c>
      <c r="R1809" s="79" t="str">
        <f>IF(AND($N1809=$Q$7,$B1809&lt;'111'!$L$11),"x","")</f>
        <v/>
      </c>
      <c r="S1809" s="79" t="str">
        <f>IF(AND($O1809=$Q$7,$B1809&lt;'111'!$L$11),"x","")</f>
        <v/>
      </c>
      <c r="T1809" s="79" t="str">
        <f>IF(ISERROR(FIND('112'!$M$9,G1809,1)),"",IF((AND(FIND('112'!$M$9,G1809,1)&gt;=1,B1809='112'!$K$9,OR($N1809='112'!$I$6,$O1809='112'!$I$6))),"x",""))</f>
        <v/>
      </c>
      <c r="U1809" s="79" t="str">
        <f>IF(ISERROR(FIND('112'!$M$9,G1809,1)),"",IF((AND(LEFT(G1809,2)=LEFT('112'!$M$9,2),B1809&lt;'112'!$K$9,$N1809='112'!$I$6)),"x",""))</f>
        <v/>
      </c>
      <c r="V1809" s="79" t="str">
        <f>IF(ISERROR(FIND('112'!$M$9,G1809,1)),"",IF((AND(RIGHT(G1809,2)=RIGHT('112'!$M$9,2),B1809&lt;'112'!$K$9,$O1809='112'!$I$6)),"x",""))</f>
        <v/>
      </c>
      <c r="W1809" s="79" t="str">
        <f>IF(AND('341-CT'!$H$9=H1809,OR(LEFT(N1809,3)=$W$7,LEFT(O1809,3)=$W$7)),"x","")</f>
        <v/>
      </c>
      <c r="X1809" s="79" t="str">
        <f>IF(OR(TH!N1809=TH!$X$7,O1809=TH!$X$7),"x","")</f>
        <v/>
      </c>
      <c r="Y1809" s="79" t="str">
        <f>IF(AND(OR(N1809="131",O1809="131"),H1809='131-CT'!$H$9),"x","")</f>
        <v/>
      </c>
      <c r="Z1809" s="79"/>
      <c r="AA1809" s="79" t="str">
        <f>IF(AND(MONTH(E1809)='IN-NX'!$J$5,'IN-NX'!$D$7=D1809),"x","")</f>
        <v/>
      </c>
      <c r="AB1809" s="79" t="str">
        <f>IF(AND(OR(LEFT(TH!N1809,2)="15",LEFT(TH!O1809,2)="15"),LEFT(TH!O1809,3)&lt;&gt;"111",'152-CT'!$J$8=TH!F1809),"x","")</f>
        <v/>
      </c>
      <c r="AC1809" s="79" t="str">
        <f>IF(AND(OR(LEFT(TH!N1809,2)="15",LEFT(TH!O1809,2)="15"),TK!$E$7=TH!F1809),"x","")</f>
        <v/>
      </c>
      <c r="AD1809" s="79" t="str">
        <f>IF(AND(N1809="1521",MONTH(C1809)='BK-NL'!$M$11),"x","")</f>
        <v/>
      </c>
    </row>
    <row r="1810" spans="1:30" ht="16.5" customHeight="1">
      <c r="A1810" s="318" t="str">
        <f>IF(B1810&lt;&gt;"",IF(AND(B1810='IN-TC'!$S$4,OR(TH!N1810="1111",TH!O1810="1111")),TH!D1810,""),"")</f>
        <v/>
      </c>
      <c r="B1810" s="60" t="str">
        <f t="shared" si="215"/>
        <v/>
      </c>
      <c r="C1810" s="989"/>
      <c r="D1810" s="989"/>
      <c r="E1810" s="989"/>
      <c r="F1810" s="921"/>
      <c r="G1810" s="991"/>
      <c r="H1810" s="1011"/>
      <c r="I1810" s="994"/>
      <c r="J1810" s="992"/>
      <c r="K1810" s="994"/>
      <c r="L1810" s="992"/>
      <c r="M1810" s="995"/>
      <c r="N1810" s="996"/>
      <c r="O1810" s="996"/>
      <c r="P1810" s="79" t="str">
        <f>IF(AND('331-CT'!$E$7=TH!H1810,OR(N1810="331",O1810="331")),"x","")</f>
        <v/>
      </c>
      <c r="Q1810" s="79" t="str">
        <f>IF(AND(B1810='111'!$L$11,OR($N1810=$Q$7,$O1810=$Q$7)),"x","")</f>
        <v/>
      </c>
      <c r="R1810" s="79" t="str">
        <f>IF(AND($N1810=$Q$7,$B1810&lt;'111'!$L$11),"x","")</f>
        <v/>
      </c>
      <c r="S1810" s="79" t="str">
        <f>IF(AND($O1810=$Q$7,$B1810&lt;'111'!$L$11),"x","")</f>
        <v/>
      </c>
      <c r="T1810" s="79" t="str">
        <f>IF(ISERROR(FIND('112'!$M$9,G1810,1)),"",IF((AND(FIND('112'!$M$9,G1810,1)&gt;=1,B1810='112'!$K$9,OR($N1810='112'!$I$6,$O1810='112'!$I$6))),"x",""))</f>
        <v/>
      </c>
      <c r="U1810" s="79" t="str">
        <f>IF(ISERROR(FIND('112'!$M$9,G1810,1)),"",IF((AND(LEFT(G1810,2)=LEFT('112'!$M$9,2),B1810&lt;'112'!$K$9,$N1810='112'!$I$6)),"x",""))</f>
        <v/>
      </c>
      <c r="V1810" s="79" t="str">
        <f>IF(ISERROR(FIND('112'!$M$9,G1810,1)),"",IF((AND(RIGHT(G1810,2)=RIGHT('112'!$M$9,2),B1810&lt;'112'!$K$9,$O1810='112'!$I$6)),"x",""))</f>
        <v/>
      </c>
      <c r="W1810" s="79" t="str">
        <f>IF(AND('341-CT'!$H$9=H1810,OR(LEFT(N1810,3)=$W$7,LEFT(O1810,3)=$W$7)),"x","")</f>
        <v/>
      </c>
      <c r="X1810" s="79" t="str">
        <f>IF(OR(TH!N1810=TH!$X$7,O1810=TH!$X$7),"x","")</f>
        <v/>
      </c>
      <c r="Y1810" s="79" t="str">
        <f>IF(AND(OR(N1810="131",O1810="131"),H1810='131-CT'!$H$9),"x","")</f>
        <v/>
      </c>
      <c r="Z1810" s="79"/>
      <c r="AA1810" s="79" t="str">
        <f>IF(AND(MONTH(E1810)='IN-NX'!$J$5,'IN-NX'!$D$7=D1810),"x","")</f>
        <v/>
      </c>
      <c r="AB1810" s="79" t="str">
        <f>IF(AND(OR(LEFT(TH!N1810,2)="15",LEFT(TH!O1810,2)="15"),LEFT(TH!O1810,3)&lt;&gt;"111",'152-CT'!$J$8=TH!F1810),"x","")</f>
        <v/>
      </c>
      <c r="AC1810" s="79" t="str">
        <f>IF(AND(OR(LEFT(TH!N1810,2)="15",LEFT(TH!O1810,2)="15"),TK!$E$7=TH!F1810),"x","")</f>
        <v/>
      </c>
      <c r="AD1810" s="79" t="str">
        <f>IF(AND(N1810="1521",MONTH(C1810)='BK-NL'!$M$11),"x","")</f>
        <v/>
      </c>
    </row>
    <row r="1811" spans="1:30" ht="16.5" customHeight="1">
      <c r="A1811" s="318" t="str">
        <f>IF(B1811&lt;&gt;"",IF(AND(B1811='IN-TC'!$S$4,OR(TH!N1811="1111",TH!O1811="1111")),TH!D1811,""),"")</f>
        <v/>
      </c>
      <c r="B1811" s="60" t="str">
        <f t="shared" si="215"/>
        <v/>
      </c>
      <c r="C1811" s="989"/>
      <c r="D1811" s="989"/>
      <c r="E1811" s="989"/>
      <c r="F1811" s="921"/>
      <c r="G1811" s="991"/>
      <c r="H1811" s="1011"/>
      <c r="I1811" s="994"/>
      <c r="J1811" s="992"/>
      <c r="K1811" s="994"/>
      <c r="L1811" s="992"/>
      <c r="M1811" s="995"/>
      <c r="N1811" s="996"/>
      <c r="O1811" s="996"/>
      <c r="P1811" s="79" t="str">
        <f>IF(AND('331-CT'!$E$7=TH!H1811,OR(N1811="331",O1811="331")),"x","")</f>
        <v/>
      </c>
      <c r="Q1811" s="79" t="str">
        <f>IF(AND(B1811='111'!$L$11,OR($N1811=$Q$7,$O1811=$Q$7)),"x","")</f>
        <v/>
      </c>
      <c r="R1811" s="79" t="str">
        <f>IF(AND($N1811=$Q$7,$B1811&lt;'111'!$L$11),"x","")</f>
        <v/>
      </c>
      <c r="S1811" s="79" t="str">
        <f>IF(AND($O1811=$Q$7,$B1811&lt;'111'!$L$11),"x","")</f>
        <v/>
      </c>
      <c r="T1811" s="79" t="str">
        <f>IF(ISERROR(FIND('112'!$M$9,G1811,1)),"",IF((AND(FIND('112'!$M$9,G1811,1)&gt;=1,B1811='112'!$K$9,OR($N1811='112'!$I$6,$O1811='112'!$I$6))),"x",""))</f>
        <v/>
      </c>
      <c r="U1811" s="79" t="str">
        <f>IF(ISERROR(FIND('112'!$M$9,G1811,1)),"",IF((AND(LEFT(G1811,2)=LEFT('112'!$M$9,2),B1811&lt;'112'!$K$9,$N1811='112'!$I$6)),"x",""))</f>
        <v/>
      </c>
      <c r="V1811" s="79" t="str">
        <f>IF(ISERROR(FIND('112'!$M$9,G1811,1)),"",IF((AND(RIGHT(G1811,2)=RIGHT('112'!$M$9,2),B1811&lt;'112'!$K$9,$O1811='112'!$I$6)),"x",""))</f>
        <v/>
      </c>
      <c r="W1811" s="79" t="str">
        <f>IF(AND('341-CT'!$H$9=H1811,OR(LEFT(N1811,3)=$W$7,LEFT(O1811,3)=$W$7)),"x","")</f>
        <v/>
      </c>
      <c r="X1811" s="79" t="str">
        <f>IF(OR(TH!N1811=TH!$X$7,O1811=TH!$X$7),"x","")</f>
        <v/>
      </c>
      <c r="Y1811" s="79" t="str">
        <f>IF(AND(OR(N1811="131",O1811="131"),H1811='131-CT'!$H$9),"x","")</f>
        <v/>
      </c>
      <c r="Z1811" s="79"/>
      <c r="AA1811" s="79" t="str">
        <f>IF(AND(MONTH(E1811)='IN-NX'!$J$5,'IN-NX'!$D$7=D1811),"x","")</f>
        <v/>
      </c>
      <c r="AB1811" s="79" t="str">
        <f>IF(AND(OR(LEFT(TH!N1811,2)="15",LEFT(TH!O1811,2)="15"),LEFT(TH!O1811,3)&lt;&gt;"111",'152-CT'!$J$8=TH!F1811),"x","")</f>
        <v/>
      </c>
      <c r="AC1811" s="79" t="str">
        <f>IF(AND(OR(LEFT(TH!N1811,2)="15",LEFT(TH!O1811,2)="15"),TK!$E$7=TH!F1811),"x","")</f>
        <v/>
      </c>
      <c r="AD1811" s="79" t="str">
        <f>IF(AND(N1811="1521",MONTH(C1811)='BK-NL'!$M$11),"x","")</f>
        <v/>
      </c>
    </row>
    <row r="1812" spans="1:30" ht="16.5" customHeight="1">
      <c r="A1812" s="318" t="str">
        <f>IF(B1812&lt;&gt;"",IF(AND(B1812='IN-TC'!$S$4,OR(TH!N1812="1111",TH!O1812="1111")),TH!D1812,""),"")</f>
        <v/>
      </c>
      <c r="B1812" s="60" t="str">
        <f t="shared" si="215"/>
        <v/>
      </c>
      <c r="C1812" s="989"/>
      <c r="D1812" s="989"/>
      <c r="E1812" s="989"/>
      <c r="F1812" s="921"/>
      <c r="G1812" s="991"/>
      <c r="H1812" s="1011"/>
      <c r="I1812" s="994"/>
      <c r="J1812" s="992"/>
      <c r="K1812" s="994"/>
      <c r="L1812" s="992"/>
      <c r="M1812" s="995"/>
      <c r="N1812" s="996"/>
      <c r="O1812" s="996"/>
      <c r="P1812" s="79" t="str">
        <f>IF(AND('331-CT'!$E$7=TH!H1812,OR(N1812="331",O1812="331")),"x","")</f>
        <v/>
      </c>
      <c r="Q1812" s="79" t="str">
        <f>IF(AND(B1812='111'!$L$11,OR($N1812=$Q$7,$O1812=$Q$7)),"x","")</f>
        <v/>
      </c>
      <c r="R1812" s="79" t="str">
        <f>IF(AND($N1812=$Q$7,$B1812&lt;'111'!$L$11),"x","")</f>
        <v/>
      </c>
      <c r="S1812" s="79" t="str">
        <f>IF(AND($O1812=$Q$7,$B1812&lt;'111'!$L$11),"x","")</f>
        <v/>
      </c>
      <c r="T1812" s="79" t="str">
        <f>IF(ISERROR(FIND('112'!$M$9,G1812,1)),"",IF((AND(FIND('112'!$M$9,G1812,1)&gt;=1,B1812='112'!$K$9,OR($N1812='112'!$I$6,$O1812='112'!$I$6))),"x",""))</f>
        <v/>
      </c>
      <c r="U1812" s="79" t="str">
        <f>IF(ISERROR(FIND('112'!$M$9,G1812,1)),"",IF((AND(LEFT(G1812,2)=LEFT('112'!$M$9,2),B1812&lt;'112'!$K$9,$N1812='112'!$I$6)),"x",""))</f>
        <v/>
      </c>
      <c r="V1812" s="79" t="str">
        <f>IF(ISERROR(FIND('112'!$M$9,G1812,1)),"",IF((AND(RIGHT(G1812,2)=RIGHT('112'!$M$9,2),B1812&lt;'112'!$K$9,$O1812='112'!$I$6)),"x",""))</f>
        <v/>
      </c>
      <c r="W1812" s="79" t="str">
        <f>IF(AND('341-CT'!$H$9=H1812,OR(LEFT(N1812,3)=$W$7,LEFT(O1812,3)=$W$7)),"x","")</f>
        <v/>
      </c>
      <c r="X1812" s="79" t="str">
        <f>IF(OR(TH!N1812=TH!$X$7,O1812=TH!$X$7),"x","")</f>
        <v/>
      </c>
      <c r="Y1812" s="79" t="str">
        <f>IF(AND(OR(N1812="131",O1812="131"),H1812='131-CT'!$H$9),"x","")</f>
        <v/>
      </c>
      <c r="Z1812" s="79"/>
      <c r="AA1812" s="79" t="str">
        <f>IF(AND(MONTH(E1812)='IN-NX'!$J$5,'IN-NX'!$D$7=D1812),"x","")</f>
        <v/>
      </c>
      <c r="AB1812" s="79" t="str">
        <f>IF(AND(OR(LEFT(TH!N1812,2)="15",LEFT(TH!O1812,2)="15"),LEFT(TH!O1812,3)&lt;&gt;"111",'152-CT'!$J$8=TH!F1812),"x","")</f>
        <v/>
      </c>
      <c r="AC1812" s="79" t="str">
        <f>IF(AND(OR(LEFT(TH!N1812,2)="15",LEFT(TH!O1812,2)="15"),TK!$E$7=TH!F1812),"x","")</f>
        <v/>
      </c>
      <c r="AD1812" s="79" t="str">
        <f>IF(AND(N1812="1521",MONTH(C1812)='BK-NL'!$M$11),"x","")</f>
        <v/>
      </c>
    </row>
    <row r="1813" spans="1:30" ht="16.5" customHeight="1">
      <c r="A1813" s="318" t="str">
        <f>IF(B1813&lt;&gt;"",IF(AND(B1813='IN-TC'!$S$4,OR(TH!N1813="1111",TH!O1813="1111")),TH!D1813,""),"")</f>
        <v/>
      </c>
      <c r="B1813" s="60" t="str">
        <f t="shared" si="215"/>
        <v/>
      </c>
      <c r="C1813" s="989"/>
      <c r="D1813" s="989"/>
      <c r="E1813" s="989"/>
      <c r="F1813" s="921"/>
      <c r="G1813" s="991"/>
      <c r="H1813" s="1011"/>
      <c r="I1813" s="994"/>
      <c r="J1813" s="992"/>
      <c r="K1813" s="994"/>
      <c r="L1813" s="992"/>
      <c r="M1813" s="995"/>
      <c r="N1813" s="996"/>
      <c r="O1813" s="996"/>
      <c r="P1813" s="79" t="str">
        <f>IF(AND('331-CT'!$E$7=TH!H1813,OR(N1813="331",O1813="331")),"x","")</f>
        <v/>
      </c>
      <c r="Q1813" s="79" t="str">
        <f>IF(AND(B1813='111'!$L$11,OR($N1813=$Q$7,$O1813=$Q$7)),"x","")</f>
        <v/>
      </c>
      <c r="R1813" s="79" t="str">
        <f>IF(AND($N1813=$Q$7,$B1813&lt;'111'!$L$11),"x","")</f>
        <v/>
      </c>
      <c r="S1813" s="79" t="str">
        <f>IF(AND($O1813=$Q$7,$B1813&lt;'111'!$L$11),"x","")</f>
        <v/>
      </c>
      <c r="T1813" s="79" t="str">
        <f>IF(ISERROR(FIND('112'!$M$9,G1813,1)),"",IF((AND(FIND('112'!$M$9,G1813,1)&gt;=1,B1813='112'!$K$9,OR($N1813='112'!$I$6,$O1813='112'!$I$6))),"x",""))</f>
        <v/>
      </c>
      <c r="U1813" s="79" t="str">
        <f>IF(ISERROR(FIND('112'!$M$9,G1813,1)),"",IF((AND(LEFT(G1813,2)=LEFT('112'!$M$9,2),B1813&lt;'112'!$K$9,$N1813='112'!$I$6)),"x",""))</f>
        <v/>
      </c>
      <c r="V1813" s="79" t="str">
        <f>IF(ISERROR(FIND('112'!$M$9,G1813,1)),"",IF((AND(RIGHT(G1813,2)=RIGHT('112'!$M$9,2),B1813&lt;'112'!$K$9,$O1813='112'!$I$6)),"x",""))</f>
        <v/>
      </c>
      <c r="W1813" s="79" t="str">
        <f>IF(AND('341-CT'!$H$9=H1813,OR(LEFT(N1813,3)=$W$7,LEFT(O1813,3)=$W$7)),"x","")</f>
        <v/>
      </c>
      <c r="X1813" s="79" t="str">
        <f>IF(OR(TH!N1813=TH!$X$7,O1813=TH!$X$7),"x","")</f>
        <v/>
      </c>
      <c r="Y1813" s="79" t="str">
        <f>IF(AND(OR(N1813="131",O1813="131"),H1813='131-CT'!$H$9),"x","")</f>
        <v/>
      </c>
      <c r="Z1813" s="79"/>
      <c r="AA1813" s="79" t="str">
        <f>IF(AND(MONTH(E1813)='IN-NX'!$J$5,'IN-NX'!$D$7=D1813),"x","")</f>
        <v/>
      </c>
      <c r="AB1813" s="79" t="str">
        <f>IF(AND(OR(LEFT(TH!N1813,2)="15",LEFT(TH!O1813,2)="15"),LEFT(TH!O1813,3)&lt;&gt;"111",'152-CT'!$J$8=TH!F1813),"x","")</f>
        <v/>
      </c>
      <c r="AC1813" s="79" t="str">
        <f>IF(AND(OR(LEFT(TH!N1813,2)="15",LEFT(TH!O1813,2)="15"),TK!$E$7=TH!F1813),"x","")</f>
        <v/>
      </c>
      <c r="AD1813" s="79" t="str">
        <f>IF(AND(N1813="1521",MONTH(C1813)='BK-NL'!$M$11),"x","")</f>
        <v/>
      </c>
    </row>
    <row r="1814" spans="1:30" ht="16.5" customHeight="1">
      <c r="A1814" s="318" t="str">
        <f>IF(B1814&lt;&gt;"",IF(AND(B1814='IN-TC'!$S$4,OR(TH!N1814="1111",TH!O1814="1111")),TH!D1814,""),"")</f>
        <v/>
      </c>
      <c r="B1814" s="60" t="str">
        <f t="shared" ref="B1814:B1824" si="216">IF(C1814&lt;&gt;"",MONTH(C1814),"")</f>
        <v/>
      </c>
      <c r="C1814" s="989"/>
      <c r="D1814" s="989"/>
      <c r="E1814" s="989"/>
      <c r="F1814" s="921"/>
      <c r="G1814" s="991"/>
      <c r="H1814" s="1011"/>
      <c r="I1814" s="994"/>
      <c r="J1814" s="992"/>
      <c r="K1814" s="994"/>
      <c r="L1814" s="992"/>
      <c r="M1814" s="995"/>
      <c r="N1814" s="996"/>
      <c r="O1814" s="996"/>
      <c r="P1814" s="79" t="str">
        <f>IF(AND('331-CT'!$E$7=TH!H1814,OR(N1814="331",O1814="331")),"x","")</f>
        <v/>
      </c>
      <c r="Q1814" s="79" t="str">
        <f>IF(AND(B1814='111'!$L$11,OR($N1814=$Q$7,$O1814=$Q$7)),"x","")</f>
        <v/>
      </c>
      <c r="R1814" s="79" t="str">
        <f>IF(AND($N1814=$Q$7,$B1814&lt;'111'!$L$11),"x","")</f>
        <v/>
      </c>
      <c r="S1814" s="79" t="str">
        <f>IF(AND($O1814=$Q$7,$B1814&lt;'111'!$L$11),"x","")</f>
        <v/>
      </c>
      <c r="T1814" s="79" t="str">
        <f>IF(ISERROR(FIND('112'!$M$9,G1814,1)),"",IF((AND(FIND('112'!$M$9,G1814,1)&gt;=1,B1814='112'!$K$9,OR($N1814='112'!$I$6,$O1814='112'!$I$6))),"x",""))</f>
        <v/>
      </c>
      <c r="U1814" s="79" t="str">
        <f>IF(ISERROR(FIND('112'!$M$9,G1814,1)),"",IF((AND(LEFT(G1814,2)=LEFT('112'!$M$9,2),B1814&lt;'112'!$K$9,$N1814='112'!$I$6)),"x",""))</f>
        <v/>
      </c>
      <c r="V1814" s="79" t="str">
        <f>IF(ISERROR(FIND('112'!$M$9,G1814,1)),"",IF((AND(RIGHT(G1814,2)=RIGHT('112'!$M$9,2),B1814&lt;'112'!$K$9,$O1814='112'!$I$6)),"x",""))</f>
        <v/>
      </c>
      <c r="W1814" s="79" t="str">
        <f>IF(AND('341-CT'!$H$9=H1814,OR(LEFT(N1814,3)=$W$7,LEFT(O1814,3)=$W$7)),"x","")</f>
        <v/>
      </c>
      <c r="X1814" s="79" t="str">
        <f>IF(OR(TH!N1814=TH!$X$7,O1814=TH!$X$7),"x","")</f>
        <v/>
      </c>
      <c r="Y1814" s="79" t="str">
        <f>IF(AND(OR(N1814="131",O1814="131"),H1814='131-CT'!$H$9),"x","")</f>
        <v/>
      </c>
      <c r="Z1814" s="79"/>
      <c r="AA1814" s="79" t="str">
        <f>IF(AND(MONTH(E1814)='IN-NX'!$J$5,'IN-NX'!$D$7=D1814),"x","")</f>
        <v/>
      </c>
      <c r="AB1814" s="79" t="str">
        <f>IF(AND(OR(LEFT(TH!N1814,2)="15",LEFT(TH!O1814,2)="15"),LEFT(TH!O1814,3)&lt;&gt;"111",'152-CT'!$J$8=TH!F1814),"x","")</f>
        <v/>
      </c>
      <c r="AC1814" s="79" t="str">
        <f>IF(AND(OR(LEFT(TH!N1814,2)="15",LEFT(TH!O1814,2)="15"),TK!$E$7=TH!F1814),"x","")</f>
        <v/>
      </c>
      <c r="AD1814" s="79" t="str">
        <f>IF(AND(N1814="1521",MONTH(C1814)='BK-NL'!$M$11),"x","")</f>
        <v/>
      </c>
    </row>
    <row r="1815" spans="1:30" ht="16.5" customHeight="1">
      <c r="A1815" s="318" t="str">
        <f>IF(B1815&lt;&gt;"",IF(AND(B1815='IN-TC'!$S$4,OR(TH!N1815="1111",TH!O1815="1111")),TH!D1815,""),"")</f>
        <v/>
      </c>
      <c r="B1815" s="60" t="str">
        <f t="shared" si="216"/>
        <v/>
      </c>
      <c r="C1815" s="989"/>
      <c r="D1815" s="989"/>
      <c r="E1815" s="989"/>
      <c r="F1815" s="921"/>
      <c r="G1815" s="991"/>
      <c r="H1815" s="1011"/>
      <c r="I1815" s="994"/>
      <c r="J1815" s="992"/>
      <c r="K1815" s="994"/>
      <c r="L1815" s="992"/>
      <c r="M1815" s="995"/>
      <c r="N1815" s="996"/>
      <c r="O1815" s="996"/>
      <c r="P1815" s="79" t="str">
        <f>IF(AND('331-CT'!$E$7=TH!H1815,OR(N1815="331",O1815="331")),"x","")</f>
        <v/>
      </c>
      <c r="Q1815" s="79" t="str">
        <f>IF(AND(B1815='111'!$L$11,OR($N1815=$Q$7,$O1815=$Q$7)),"x","")</f>
        <v/>
      </c>
      <c r="R1815" s="79" t="str">
        <f>IF(AND($N1815=$Q$7,$B1815&lt;'111'!$L$11),"x","")</f>
        <v/>
      </c>
      <c r="S1815" s="79" t="str">
        <f>IF(AND($O1815=$Q$7,$B1815&lt;'111'!$L$11),"x","")</f>
        <v/>
      </c>
      <c r="T1815" s="79" t="str">
        <f>IF(ISERROR(FIND('112'!$M$9,G1815,1)),"",IF((AND(FIND('112'!$M$9,G1815,1)&gt;=1,B1815='112'!$K$9,OR($N1815='112'!$I$6,$O1815='112'!$I$6))),"x",""))</f>
        <v/>
      </c>
      <c r="U1815" s="79" t="str">
        <f>IF(ISERROR(FIND('112'!$M$9,G1815,1)),"",IF((AND(LEFT(G1815,2)=LEFT('112'!$M$9,2),B1815&lt;'112'!$K$9,$N1815='112'!$I$6)),"x",""))</f>
        <v/>
      </c>
      <c r="V1815" s="79" t="str">
        <f>IF(ISERROR(FIND('112'!$M$9,G1815,1)),"",IF((AND(RIGHT(G1815,2)=RIGHT('112'!$M$9,2),B1815&lt;'112'!$K$9,$O1815='112'!$I$6)),"x",""))</f>
        <v/>
      </c>
      <c r="W1815" s="79" t="str">
        <f>IF(AND('341-CT'!$H$9=H1815,OR(LEFT(N1815,3)=$W$7,LEFT(O1815,3)=$W$7)),"x","")</f>
        <v/>
      </c>
      <c r="X1815" s="79" t="str">
        <f>IF(OR(TH!N1815=TH!$X$7,O1815=TH!$X$7),"x","")</f>
        <v/>
      </c>
      <c r="Y1815" s="79" t="str">
        <f>IF(AND(OR(N1815="131",O1815="131"),H1815='131-CT'!$H$9),"x","")</f>
        <v/>
      </c>
      <c r="Z1815" s="79"/>
      <c r="AA1815" s="79" t="str">
        <f>IF(AND(MONTH(E1815)='IN-NX'!$J$5,'IN-NX'!$D$7=D1815),"x","")</f>
        <v/>
      </c>
      <c r="AB1815" s="79" t="str">
        <f>IF(AND(OR(LEFT(TH!N1815,2)="15",LEFT(TH!O1815,2)="15"),LEFT(TH!O1815,3)&lt;&gt;"111",'152-CT'!$J$8=TH!F1815),"x","")</f>
        <v/>
      </c>
      <c r="AC1815" s="79" t="str">
        <f>IF(AND(OR(LEFT(TH!N1815,2)="15",LEFT(TH!O1815,2)="15"),TK!$E$7=TH!F1815),"x","")</f>
        <v/>
      </c>
      <c r="AD1815" s="79" t="str">
        <f>IF(AND(N1815="1521",MONTH(C1815)='BK-NL'!$M$11),"x","")</f>
        <v/>
      </c>
    </row>
    <row r="1816" spans="1:30" ht="16.5" customHeight="1">
      <c r="A1816" s="318" t="str">
        <f>IF(B1816&lt;&gt;"",IF(AND(B1816='IN-TC'!$S$4,OR(TH!N1816="1111",TH!O1816="1111")),TH!D1816,""),"")</f>
        <v/>
      </c>
      <c r="B1816" s="60" t="str">
        <f t="shared" si="216"/>
        <v/>
      </c>
      <c r="C1816" s="989"/>
      <c r="D1816" s="989"/>
      <c r="E1816" s="989"/>
      <c r="F1816" s="921"/>
      <c r="G1816" s="991"/>
      <c r="H1816" s="1011"/>
      <c r="I1816" s="994"/>
      <c r="J1816" s="992"/>
      <c r="K1816" s="994"/>
      <c r="L1816" s="992"/>
      <c r="M1816" s="995"/>
      <c r="N1816" s="996"/>
      <c r="O1816" s="996"/>
      <c r="P1816" s="79" t="str">
        <f>IF(AND('331-CT'!$E$7=TH!H1816,OR(N1816="331",O1816="331")),"x","")</f>
        <v/>
      </c>
      <c r="Q1816" s="79" t="str">
        <f>IF(AND(B1816='111'!$L$11,OR($N1816=$Q$7,$O1816=$Q$7)),"x","")</f>
        <v/>
      </c>
      <c r="R1816" s="79" t="str">
        <f>IF(AND($N1816=$Q$7,$B1816&lt;'111'!$L$11),"x","")</f>
        <v/>
      </c>
      <c r="S1816" s="79" t="str">
        <f>IF(AND($O1816=$Q$7,$B1816&lt;'111'!$L$11),"x","")</f>
        <v/>
      </c>
      <c r="T1816" s="79" t="str">
        <f>IF(ISERROR(FIND('112'!$M$9,G1816,1)),"",IF((AND(FIND('112'!$M$9,G1816,1)&gt;=1,B1816='112'!$K$9,OR($N1816='112'!$I$6,$O1816='112'!$I$6))),"x",""))</f>
        <v/>
      </c>
      <c r="U1816" s="79" t="str">
        <f>IF(ISERROR(FIND('112'!$M$9,G1816,1)),"",IF((AND(LEFT(G1816,2)=LEFT('112'!$M$9,2),B1816&lt;'112'!$K$9,$N1816='112'!$I$6)),"x",""))</f>
        <v/>
      </c>
      <c r="V1816" s="79" t="str">
        <f>IF(ISERROR(FIND('112'!$M$9,G1816,1)),"",IF((AND(RIGHT(G1816,2)=RIGHT('112'!$M$9,2),B1816&lt;'112'!$K$9,$O1816='112'!$I$6)),"x",""))</f>
        <v/>
      </c>
      <c r="W1816" s="79" t="str">
        <f>IF(AND('341-CT'!$H$9=H1816,OR(LEFT(N1816,3)=$W$7,LEFT(O1816,3)=$W$7)),"x","")</f>
        <v/>
      </c>
      <c r="X1816" s="79" t="str">
        <f>IF(OR(TH!N1816=TH!$X$7,O1816=TH!$X$7),"x","")</f>
        <v/>
      </c>
      <c r="Y1816" s="79" t="str">
        <f>IF(AND(OR(N1816="131",O1816="131"),H1816='131-CT'!$H$9),"x","")</f>
        <v/>
      </c>
      <c r="Z1816" s="79"/>
      <c r="AA1816" s="79" t="str">
        <f>IF(AND(MONTH(E1816)='IN-NX'!$J$5,'IN-NX'!$D$7=D1816),"x","")</f>
        <v/>
      </c>
      <c r="AB1816" s="79" t="str">
        <f>IF(AND(OR(LEFT(TH!N1816,2)="15",LEFT(TH!O1816,2)="15"),LEFT(TH!O1816,3)&lt;&gt;"111",'152-CT'!$J$8=TH!F1816),"x","")</f>
        <v/>
      </c>
      <c r="AC1816" s="79" t="str">
        <f>IF(AND(OR(LEFT(TH!N1816,2)="15",LEFT(TH!O1816,2)="15"),TK!$E$7=TH!F1816),"x","")</f>
        <v/>
      </c>
      <c r="AD1816" s="79" t="str">
        <f>IF(AND(N1816="1521",MONTH(C1816)='BK-NL'!$M$11),"x","")</f>
        <v/>
      </c>
    </row>
    <row r="1817" spans="1:30" ht="16.5" customHeight="1">
      <c r="A1817" s="318" t="str">
        <f>IF(B1817&lt;&gt;"",IF(AND(B1817='IN-TC'!$S$4,OR(TH!N1817="1111",TH!O1817="1111")),TH!D1817,""),"")</f>
        <v/>
      </c>
      <c r="B1817" s="60" t="str">
        <f t="shared" si="216"/>
        <v/>
      </c>
      <c r="C1817" s="989"/>
      <c r="D1817" s="989"/>
      <c r="E1817" s="989"/>
      <c r="F1817" s="921"/>
      <c r="G1817" s="991"/>
      <c r="H1817" s="1011"/>
      <c r="I1817" s="994"/>
      <c r="J1817" s="992"/>
      <c r="K1817" s="994"/>
      <c r="L1817" s="992"/>
      <c r="M1817" s="995"/>
      <c r="N1817" s="996"/>
      <c r="O1817" s="996"/>
      <c r="P1817" s="79" t="str">
        <f>IF(AND('331-CT'!$E$7=TH!H1817,OR(N1817="331",O1817="331")),"x","")</f>
        <v/>
      </c>
      <c r="Q1817" s="79" t="str">
        <f>IF(AND(B1817='111'!$L$11,OR($N1817=$Q$7,$O1817=$Q$7)),"x","")</f>
        <v/>
      </c>
      <c r="R1817" s="79" t="str">
        <f>IF(AND($N1817=$Q$7,$B1817&lt;'111'!$L$11),"x","")</f>
        <v/>
      </c>
      <c r="S1817" s="79" t="str">
        <f>IF(AND($O1817=$Q$7,$B1817&lt;'111'!$L$11),"x","")</f>
        <v/>
      </c>
      <c r="T1817" s="79" t="str">
        <f>IF(ISERROR(FIND('112'!$M$9,G1817,1)),"",IF((AND(FIND('112'!$M$9,G1817,1)&gt;=1,B1817='112'!$K$9,OR($N1817='112'!$I$6,$O1817='112'!$I$6))),"x",""))</f>
        <v/>
      </c>
      <c r="U1817" s="79" t="str">
        <f>IF(ISERROR(FIND('112'!$M$9,G1817,1)),"",IF((AND(LEFT(G1817,2)=LEFT('112'!$M$9,2),B1817&lt;'112'!$K$9,$N1817='112'!$I$6)),"x",""))</f>
        <v/>
      </c>
      <c r="V1817" s="79" t="str">
        <f>IF(ISERROR(FIND('112'!$M$9,G1817,1)),"",IF((AND(RIGHT(G1817,2)=RIGHT('112'!$M$9,2),B1817&lt;'112'!$K$9,$O1817='112'!$I$6)),"x",""))</f>
        <v/>
      </c>
      <c r="W1817" s="79" t="str">
        <f>IF(AND('341-CT'!$H$9=H1817,OR(LEFT(N1817,3)=$W$7,LEFT(O1817,3)=$W$7)),"x","")</f>
        <v/>
      </c>
      <c r="X1817" s="79" t="str">
        <f>IF(OR(TH!N1817=TH!$X$7,O1817=TH!$X$7),"x","")</f>
        <v/>
      </c>
      <c r="Y1817" s="79" t="str">
        <f>IF(AND(OR(N1817="131",O1817="131"),H1817='131-CT'!$H$9),"x","")</f>
        <v/>
      </c>
      <c r="Z1817" s="79"/>
      <c r="AA1817" s="79" t="str">
        <f>IF(AND(MONTH(E1817)='IN-NX'!$J$5,'IN-NX'!$D$7=D1817),"x","")</f>
        <v/>
      </c>
      <c r="AB1817" s="79" t="str">
        <f>IF(AND(OR(LEFT(TH!N1817,2)="15",LEFT(TH!O1817,2)="15"),LEFT(TH!O1817,3)&lt;&gt;"111",'152-CT'!$J$8=TH!F1817),"x","")</f>
        <v/>
      </c>
      <c r="AC1817" s="79" t="str">
        <f>IF(AND(OR(LEFT(TH!N1817,2)="15",LEFT(TH!O1817,2)="15"),TK!$E$7=TH!F1817),"x","")</f>
        <v/>
      </c>
      <c r="AD1817" s="79" t="str">
        <f>IF(AND(N1817="1521",MONTH(C1817)='BK-NL'!$M$11),"x","")</f>
        <v/>
      </c>
    </row>
    <row r="1818" spans="1:30" ht="16.5" customHeight="1">
      <c r="A1818" s="318" t="str">
        <f>IF(B1818&lt;&gt;"",IF(AND(B1818='IN-TC'!$S$4,OR(TH!N1818="1111",TH!O1818="1111")),TH!D1818,""),"")</f>
        <v/>
      </c>
      <c r="B1818" s="60" t="str">
        <f t="shared" si="216"/>
        <v/>
      </c>
      <c r="C1818" s="989"/>
      <c r="D1818" s="989"/>
      <c r="E1818" s="989"/>
      <c r="F1818" s="921"/>
      <c r="G1818" s="991"/>
      <c r="H1818" s="1011"/>
      <c r="I1818" s="994"/>
      <c r="J1818" s="992"/>
      <c r="K1818" s="994"/>
      <c r="L1818" s="992"/>
      <c r="M1818" s="995"/>
      <c r="N1818" s="996"/>
      <c r="O1818" s="996"/>
      <c r="P1818" s="79" t="str">
        <f>IF(AND('331-CT'!$E$7=TH!H1818,OR(N1818="331",O1818="331")),"x","")</f>
        <v/>
      </c>
      <c r="Q1818" s="79" t="str">
        <f>IF(AND(B1818='111'!$L$11,OR($N1818=$Q$7,$O1818=$Q$7)),"x","")</f>
        <v/>
      </c>
      <c r="R1818" s="79" t="str">
        <f>IF(AND($N1818=$Q$7,$B1818&lt;'111'!$L$11),"x","")</f>
        <v/>
      </c>
      <c r="S1818" s="79" t="str">
        <f>IF(AND($O1818=$Q$7,$B1818&lt;'111'!$L$11),"x","")</f>
        <v/>
      </c>
      <c r="T1818" s="79" t="str">
        <f>IF(ISERROR(FIND('112'!$M$9,G1818,1)),"",IF((AND(FIND('112'!$M$9,G1818,1)&gt;=1,B1818='112'!$K$9,OR($N1818='112'!$I$6,$O1818='112'!$I$6))),"x",""))</f>
        <v/>
      </c>
      <c r="U1818" s="79" t="str">
        <f>IF(ISERROR(FIND('112'!$M$9,G1818,1)),"",IF((AND(LEFT(G1818,2)=LEFT('112'!$M$9,2),B1818&lt;'112'!$K$9,$N1818='112'!$I$6)),"x",""))</f>
        <v/>
      </c>
      <c r="V1818" s="79" t="str">
        <f>IF(ISERROR(FIND('112'!$M$9,G1818,1)),"",IF((AND(RIGHT(G1818,2)=RIGHT('112'!$M$9,2),B1818&lt;'112'!$K$9,$O1818='112'!$I$6)),"x",""))</f>
        <v/>
      </c>
      <c r="W1818" s="79" t="str">
        <f>IF(AND('341-CT'!$H$9=H1818,OR(LEFT(N1818,3)=$W$7,LEFT(O1818,3)=$W$7)),"x","")</f>
        <v/>
      </c>
      <c r="X1818" s="79" t="str">
        <f>IF(OR(TH!N1818=TH!$X$7,O1818=TH!$X$7),"x","")</f>
        <v/>
      </c>
      <c r="Y1818" s="79" t="str">
        <f>IF(AND(OR(N1818="131",O1818="131"),H1818='131-CT'!$H$9),"x","")</f>
        <v/>
      </c>
      <c r="Z1818" s="79"/>
      <c r="AA1818" s="79" t="str">
        <f>IF(AND(MONTH(E1818)='IN-NX'!$J$5,'IN-NX'!$D$7=D1818),"x","")</f>
        <v/>
      </c>
      <c r="AB1818" s="79" t="str">
        <f>IF(AND(OR(LEFT(TH!N1818,2)="15",LEFT(TH!O1818,2)="15"),LEFT(TH!O1818,3)&lt;&gt;"111",'152-CT'!$J$8=TH!F1818),"x","")</f>
        <v/>
      </c>
      <c r="AC1818" s="79" t="str">
        <f>IF(AND(OR(LEFT(TH!N1818,2)="15",LEFT(TH!O1818,2)="15"),TK!$E$7=TH!F1818),"x","")</f>
        <v/>
      </c>
      <c r="AD1818" s="79" t="str">
        <f>IF(AND(N1818="1521",MONTH(C1818)='BK-NL'!$M$11),"x","")</f>
        <v/>
      </c>
    </row>
    <row r="1819" spans="1:30" ht="16.5" customHeight="1">
      <c r="A1819" s="318" t="str">
        <f>IF(B1819&lt;&gt;"",IF(AND(B1819='IN-TC'!$S$4,OR(TH!N1819="1111",TH!O1819="1111")),TH!D1819,""),"")</f>
        <v/>
      </c>
      <c r="B1819" s="60" t="str">
        <f t="shared" si="216"/>
        <v/>
      </c>
      <c r="C1819" s="989"/>
      <c r="D1819" s="989"/>
      <c r="E1819" s="989"/>
      <c r="F1819" s="1105"/>
      <c r="G1819" s="991"/>
      <c r="H1819" s="1011"/>
      <c r="I1819" s="994"/>
      <c r="J1819" s="992"/>
      <c r="K1819" s="994"/>
      <c r="L1819" s="992"/>
      <c r="M1819" s="995"/>
      <c r="N1819" s="996"/>
      <c r="O1819" s="996"/>
      <c r="P1819" s="79" t="str">
        <f>IF(AND('331-CT'!$E$7=TH!H1819,OR(N1819="331",O1819="331")),"x","")</f>
        <v/>
      </c>
      <c r="Q1819" s="79" t="str">
        <f>IF(AND(B1819='111'!$L$11,OR($N1819=$Q$7,$O1819=$Q$7)),"x","")</f>
        <v/>
      </c>
      <c r="R1819" s="79" t="str">
        <f>IF(AND($N1819=$Q$7,$B1819&lt;'111'!$L$11),"x","")</f>
        <v/>
      </c>
      <c r="S1819" s="79" t="str">
        <f>IF(AND($O1819=$Q$7,$B1819&lt;'111'!$L$11),"x","")</f>
        <v/>
      </c>
      <c r="T1819" s="79" t="str">
        <f>IF(ISERROR(FIND('112'!$M$9,G1819,1)),"",IF((AND(FIND('112'!$M$9,G1819,1)&gt;=1,B1819='112'!$K$9,OR($N1819='112'!$I$6,$O1819='112'!$I$6))),"x",""))</f>
        <v/>
      </c>
      <c r="U1819" s="79" t="str">
        <f>IF(ISERROR(FIND('112'!$M$9,G1819,1)),"",IF((AND(LEFT(G1819,2)=LEFT('112'!$M$9,2),B1819&lt;'112'!$K$9,$N1819='112'!$I$6)),"x",""))</f>
        <v/>
      </c>
      <c r="V1819" s="79" t="str">
        <f>IF(ISERROR(FIND('112'!$M$9,G1819,1)),"",IF((AND(RIGHT(G1819,2)=RIGHT('112'!$M$9,2),B1819&lt;'112'!$K$9,$O1819='112'!$I$6)),"x",""))</f>
        <v/>
      </c>
      <c r="W1819" s="79" t="str">
        <f>IF(AND('341-CT'!$H$9=H1819,OR(LEFT(N1819,3)=$W$7,LEFT(O1819,3)=$W$7)),"x","")</f>
        <v/>
      </c>
      <c r="X1819" s="79" t="str">
        <f>IF(OR(TH!N1819=TH!$X$7,O1819=TH!$X$7),"x","")</f>
        <v/>
      </c>
      <c r="Y1819" s="79" t="str">
        <f>IF(AND(OR(N1819="131",O1819="131"),H1819='131-CT'!$H$9),"x","")</f>
        <v/>
      </c>
      <c r="Z1819" s="79"/>
      <c r="AA1819" s="79" t="str">
        <f>IF(AND(MONTH(E1819)='IN-NX'!$J$5,'IN-NX'!$D$7=D1819),"x","")</f>
        <v/>
      </c>
      <c r="AB1819" s="79" t="str">
        <f>IF(AND(OR(LEFT(TH!N1819,2)="15",LEFT(TH!O1819,2)="15"),LEFT(TH!O1819,3)&lt;&gt;"111",'152-CT'!$J$8=TH!F1819),"x","")</f>
        <v/>
      </c>
      <c r="AC1819" s="79" t="str">
        <f>IF(AND(OR(LEFT(TH!N1819,2)="15",LEFT(TH!O1819,2)="15"),TK!$E$7=TH!F1819),"x","")</f>
        <v/>
      </c>
      <c r="AD1819" s="79" t="str">
        <f>IF(AND(N1819="1521",MONTH(C1819)='BK-NL'!$M$11),"x","")</f>
        <v/>
      </c>
    </row>
    <row r="1820" spans="1:30" ht="16.5" customHeight="1">
      <c r="A1820" s="318" t="str">
        <f>IF(B1820&lt;&gt;"",IF(AND(B1820='IN-TC'!$S$4,OR(TH!N1820="1111",TH!O1820="1111")),TH!D1820,""),"")</f>
        <v/>
      </c>
      <c r="B1820" s="60" t="str">
        <f t="shared" si="216"/>
        <v/>
      </c>
      <c r="C1820" s="989"/>
      <c r="D1820" s="989"/>
      <c r="E1820" s="989"/>
      <c r="F1820" s="990"/>
      <c r="G1820" s="991"/>
      <c r="H1820" s="1011"/>
      <c r="I1820" s="994"/>
      <c r="J1820" s="992"/>
      <c r="K1820" s="994"/>
      <c r="L1820" s="992"/>
      <c r="M1820" s="995"/>
      <c r="N1820" s="996"/>
      <c r="O1820" s="996"/>
      <c r="P1820" s="79" t="str">
        <f>IF(AND('331-CT'!$E$7=TH!H1820,OR(N1820="331",O1820="331")),"x","")</f>
        <v/>
      </c>
      <c r="Q1820" s="79" t="str">
        <f>IF(AND(B1820='111'!$L$11,OR($N1820=$Q$7,$O1820=$Q$7)),"x","")</f>
        <v/>
      </c>
      <c r="R1820" s="79" t="str">
        <f>IF(AND($N1820=$Q$7,$B1820&lt;'111'!$L$11),"x","")</f>
        <v/>
      </c>
      <c r="S1820" s="79" t="str">
        <f>IF(AND($O1820=$Q$7,$B1820&lt;'111'!$L$11),"x","")</f>
        <v/>
      </c>
      <c r="T1820" s="79" t="str">
        <f>IF(ISERROR(FIND('112'!$M$9,G1820,1)),"",IF((AND(FIND('112'!$M$9,G1820,1)&gt;=1,B1820='112'!$K$9,OR($N1820='112'!$I$6,$O1820='112'!$I$6))),"x",""))</f>
        <v/>
      </c>
      <c r="U1820" s="79" t="str">
        <f>IF(ISERROR(FIND('112'!$M$9,G1820,1)),"",IF((AND(LEFT(G1820,2)=LEFT('112'!$M$9,2),B1820&lt;'112'!$K$9,$N1820='112'!$I$6)),"x",""))</f>
        <v/>
      </c>
      <c r="V1820" s="79" t="str">
        <f>IF(ISERROR(FIND('112'!$M$9,G1820,1)),"",IF((AND(RIGHT(G1820,2)=RIGHT('112'!$M$9,2),B1820&lt;'112'!$K$9,$O1820='112'!$I$6)),"x",""))</f>
        <v/>
      </c>
      <c r="W1820" s="79" t="str">
        <f>IF(AND('341-CT'!$H$9=H1820,OR(LEFT(N1820,3)=$W$7,LEFT(O1820,3)=$W$7)),"x","")</f>
        <v/>
      </c>
      <c r="X1820" s="79" t="str">
        <f>IF(OR(TH!N1820=TH!$X$7,O1820=TH!$X$7),"x","")</f>
        <v/>
      </c>
      <c r="Y1820" s="79" t="str">
        <f>IF(AND(OR(N1820="131",O1820="131"),H1820='131-CT'!$H$9),"x","")</f>
        <v/>
      </c>
      <c r="Z1820" s="79"/>
      <c r="AA1820" s="79" t="str">
        <f>IF(AND(MONTH(E1820)='IN-NX'!$J$5,'IN-NX'!$D$7=D1820),"x","")</f>
        <v/>
      </c>
      <c r="AB1820" s="79" t="str">
        <f>IF(AND(OR(LEFT(TH!N1820,2)="15",LEFT(TH!O1820,2)="15"),LEFT(TH!O1820,3)&lt;&gt;"111",'152-CT'!$J$8=TH!F1820),"x","")</f>
        <v/>
      </c>
      <c r="AC1820" s="79" t="str">
        <f>IF(AND(OR(LEFT(TH!N1820,2)="15",LEFT(TH!O1820,2)="15"),TK!$E$7=TH!F1820),"x","")</f>
        <v/>
      </c>
      <c r="AD1820" s="79" t="str">
        <f>IF(AND(N1820="1521",MONTH(C1820)='BK-NL'!$M$11),"x","")</f>
        <v/>
      </c>
    </row>
    <row r="1821" spans="1:30" ht="16.5" customHeight="1">
      <c r="A1821" s="318" t="str">
        <f>IF(B1821&lt;&gt;"",IF(AND(B1821='IN-TC'!$S$4,OR(TH!N1821="1111",TH!O1821="1111")),TH!D1821,""),"")</f>
        <v/>
      </c>
      <c r="B1821" s="60" t="str">
        <f t="shared" si="216"/>
        <v/>
      </c>
      <c r="C1821" s="989"/>
      <c r="D1821" s="989"/>
      <c r="E1821" s="989"/>
      <c r="F1821" s="990"/>
      <c r="G1821" s="991"/>
      <c r="H1821" s="1011"/>
      <c r="I1821" s="994"/>
      <c r="J1821" s="992"/>
      <c r="K1821" s="994"/>
      <c r="L1821" s="992"/>
      <c r="M1821" s="995"/>
      <c r="N1821" s="996"/>
      <c r="O1821" s="996"/>
      <c r="P1821" s="79" t="str">
        <f>IF(AND('331-CT'!$E$7=TH!H1821,OR(N1821="331",O1821="331")),"x","")</f>
        <v/>
      </c>
      <c r="Q1821" s="79" t="str">
        <f>IF(AND(B1821='111'!$L$11,OR($N1821=$Q$7,$O1821=$Q$7)),"x","")</f>
        <v/>
      </c>
      <c r="R1821" s="79" t="str">
        <f>IF(AND($N1821=$Q$7,$B1821&lt;'111'!$L$11),"x","")</f>
        <v/>
      </c>
      <c r="S1821" s="79" t="str">
        <f>IF(AND($O1821=$Q$7,$B1821&lt;'111'!$L$11),"x","")</f>
        <v/>
      </c>
      <c r="T1821" s="79" t="str">
        <f>IF(ISERROR(FIND('112'!$M$9,G1821,1)),"",IF((AND(FIND('112'!$M$9,G1821,1)&gt;=1,B1821='112'!$K$9,OR($N1821='112'!$I$6,$O1821='112'!$I$6))),"x",""))</f>
        <v/>
      </c>
      <c r="U1821" s="79" t="str">
        <f>IF(ISERROR(FIND('112'!$M$9,G1821,1)),"",IF((AND(LEFT(G1821,2)=LEFT('112'!$M$9,2),B1821&lt;'112'!$K$9,$N1821='112'!$I$6)),"x",""))</f>
        <v/>
      </c>
      <c r="V1821" s="79" t="str">
        <f>IF(ISERROR(FIND('112'!$M$9,G1821,1)),"",IF((AND(RIGHT(G1821,2)=RIGHT('112'!$M$9,2),B1821&lt;'112'!$K$9,$O1821='112'!$I$6)),"x",""))</f>
        <v/>
      </c>
      <c r="W1821" s="79" t="str">
        <f>IF(AND('341-CT'!$H$9=H1821,OR(LEFT(N1821,3)=$W$7,LEFT(O1821,3)=$W$7)),"x","")</f>
        <v/>
      </c>
      <c r="X1821" s="79" t="str">
        <f>IF(OR(TH!N1821=TH!$X$7,O1821=TH!$X$7),"x","")</f>
        <v/>
      </c>
      <c r="Y1821" s="79" t="str">
        <f>IF(AND(OR(N1821="131",O1821="131"),H1821='131-CT'!$H$9),"x","")</f>
        <v/>
      </c>
      <c r="Z1821" s="79"/>
      <c r="AA1821" s="79" t="str">
        <f>IF(AND(MONTH(E1821)='IN-NX'!$J$5,'IN-NX'!$D$7=D1821),"x","")</f>
        <v/>
      </c>
      <c r="AB1821" s="79" t="str">
        <f>IF(AND(OR(LEFT(TH!N1821,2)="15",LEFT(TH!O1821,2)="15"),LEFT(TH!O1821,3)&lt;&gt;"111",'152-CT'!$J$8=TH!F1821),"x","")</f>
        <v/>
      </c>
      <c r="AC1821" s="79" t="str">
        <f>IF(AND(OR(LEFT(TH!N1821,2)="15",LEFT(TH!O1821,2)="15"),TK!$E$7=TH!F1821),"x","")</f>
        <v/>
      </c>
      <c r="AD1821" s="79" t="str">
        <f>IF(AND(N1821="1521",MONTH(C1821)='BK-NL'!$M$11),"x","")</f>
        <v/>
      </c>
    </row>
    <row r="1822" spans="1:30" ht="16.5" customHeight="1">
      <c r="A1822" s="318" t="str">
        <f>IF(B1822&lt;&gt;"",IF(AND(B1822='IN-TC'!$S$4,OR(TH!N1822="1111",TH!O1822="1111")),TH!D1822,""),"")</f>
        <v/>
      </c>
      <c r="B1822" s="60" t="str">
        <f t="shared" si="216"/>
        <v/>
      </c>
      <c r="C1822" s="989"/>
      <c r="D1822" s="989"/>
      <c r="E1822" s="989"/>
      <c r="F1822" s="1105"/>
      <c r="G1822" s="991"/>
      <c r="H1822" s="1011"/>
      <c r="I1822" s="994"/>
      <c r="J1822" s="992"/>
      <c r="K1822" s="994"/>
      <c r="L1822" s="992"/>
      <c r="M1822" s="995"/>
      <c r="N1822" s="996"/>
      <c r="O1822" s="996"/>
      <c r="P1822" s="79" t="str">
        <f>IF(AND('331-CT'!$E$7=TH!H1822,OR(N1822="331",O1822="331")),"x","")</f>
        <v/>
      </c>
      <c r="Q1822" s="79" t="str">
        <f>IF(AND(B1822='111'!$L$11,OR($N1822=$Q$7,$O1822=$Q$7)),"x","")</f>
        <v/>
      </c>
      <c r="R1822" s="79" t="str">
        <f>IF(AND($N1822=$Q$7,$B1822&lt;'111'!$L$11),"x","")</f>
        <v/>
      </c>
      <c r="S1822" s="79" t="str">
        <f>IF(AND($O1822=$Q$7,$B1822&lt;'111'!$L$11),"x","")</f>
        <v/>
      </c>
      <c r="T1822" s="79" t="str">
        <f>IF(ISERROR(FIND('112'!$M$9,G1822,1)),"",IF((AND(FIND('112'!$M$9,G1822,1)&gt;=1,B1822='112'!$K$9,OR($N1822='112'!$I$6,$O1822='112'!$I$6))),"x",""))</f>
        <v/>
      </c>
      <c r="U1822" s="79" t="str">
        <f>IF(ISERROR(FIND('112'!$M$9,G1822,1)),"",IF((AND(LEFT(G1822,2)=LEFT('112'!$M$9,2),B1822&lt;'112'!$K$9,$N1822='112'!$I$6)),"x",""))</f>
        <v/>
      </c>
      <c r="V1822" s="79" t="str">
        <f>IF(ISERROR(FIND('112'!$M$9,G1822,1)),"",IF((AND(RIGHT(G1822,2)=RIGHT('112'!$M$9,2),B1822&lt;'112'!$K$9,$O1822='112'!$I$6)),"x",""))</f>
        <v/>
      </c>
      <c r="W1822" s="79" t="str">
        <f>IF(AND('341-CT'!$H$9=H1822,OR(LEFT(N1822,3)=$W$7,LEFT(O1822,3)=$W$7)),"x","")</f>
        <v/>
      </c>
      <c r="X1822" s="79" t="str">
        <f>IF(OR(TH!N1822=TH!$X$7,O1822=TH!$X$7),"x","")</f>
        <v/>
      </c>
      <c r="Y1822" s="79" t="str">
        <f>IF(AND(OR(N1822="131",O1822="131"),H1822='131-CT'!$H$9),"x","")</f>
        <v/>
      </c>
      <c r="Z1822" s="79"/>
      <c r="AA1822" s="79" t="str">
        <f>IF(AND(MONTH(E1822)='IN-NX'!$J$5,'IN-NX'!$D$7=D1822),"x","")</f>
        <v/>
      </c>
      <c r="AB1822" s="79" t="str">
        <f>IF(AND(OR(LEFT(TH!N1822,2)="15",LEFT(TH!O1822,2)="15"),LEFT(TH!O1822,3)&lt;&gt;"111",'152-CT'!$J$8=TH!F1822),"x","")</f>
        <v/>
      </c>
      <c r="AC1822" s="79" t="str">
        <f>IF(AND(OR(LEFT(TH!N1822,2)="15",LEFT(TH!O1822,2)="15"),TK!$E$7=TH!F1822),"x","")</f>
        <v/>
      </c>
      <c r="AD1822" s="79" t="str">
        <f>IF(AND(N1822="1521",MONTH(C1822)='BK-NL'!$M$11),"x","")</f>
        <v/>
      </c>
    </row>
    <row r="1823" spans="1:30" ht="16.5" customHeight="1">
      <c r="A1823" s="318" t="str">
        <f>IF(B1823&lt;&gt;"",IF(AND(B1823='IN-TC'!$S$4,OR(TH!N1823="1111",TH!O1823="1111")),TH!D1823,""),"")</f>
        <v/>
      </c>
      <c r="B1823" s="60" t="str">
        <f t="shared" si="216"/>
        <v/>
      </c>
      <c r="C1823" s="989"/>
      <c r="D1823" s="989"/>
      <c r="E1823" s="989"/>
      <c r="F1823" s="1105"/>
      <c r="G1823" s="991"/>
      <c r="H1823" s="1011"/>
      <c r="I1823" s="994"/>
      <c r="J1823" s="992"/>
      <c r="K1823" s="994"/>
      <c r="L1823" s="992"/>
      <c r="M1823" s="995"/>
      <c r="N1823" s="996"/>
      <c r="O1823" s="996"/>
      <c r="P1823" s="79" t="str">
        <f>IF(AND('331-CT'!$E$7=TH!H1823,OR(N1823="331",O1823="331")),"x","")</f>
        <v/>
      </c>
      <c r="Q1823" s="79" t="str">
        <f>IF(AND(B1823='111'!$L$11,OR($N1823=$Q$7,$O1823=$Q$7)),"x","")</f>
        <v/>
      </c>
      <c r="R1823" s="79" t="str">
        <f>IF(AND($N1823=$Q$7,$B1823&lt;'111'!$L$11),"x","")</f>
        <v/>
      </c>
      <c r="S1823" s="79" t="str">
        <f>IF(AND($O1823=$Q$7,$B1823&lt;'111'!$L$11),"x","")</f>
        <v/>
      </c>
      <c r="T1823" s="79" t="str">
        <f>IF(ISERROR(FIND('112'!$M$9,G1823,1)),"",IF((AND(FIND('112'!$M$9,G1823,1)&gt;=1,B1823='112'!$K$9,OR($N1823='112'!$I$6,$O1823='112'!$I$6))),"x",""))</f>
        <v/>
      </c>
      <c r="U1823" s="79" t="str">
        <f>IF(ISERROR(FIND('112'!$M$9,G1823,1)),"",IF((AND(LEFT(G1823,2)=LEFT('112'!$M$9,2),B1823&lt;'112'!$K$9,$N1823='112'!$I$6)),"x",""))</f>
        <v/>
      </c>
      <c r="V1823" s="79" t="str">
        <f>IF(ISERROR(FIND('112'!$M$9,G1823,1)),"",IF((AND(RIGHT(G1823,2)=RIGHT('112'!$M$9,2),B1823&lt;'112'!$K$9,$O1823='112'!$I$6)),"x",""))</f>
        <v/>
      </c>
      <c r="W1823" s="79" t="str">
        <f>IF(AND('341-CT'!$H$9=H1823,OR(LEFT(N1823,3)=$W$7,LEFT(O1823,3)=$W$7)),"x","")</f>
        <v/>
      </c>
      <c r="X1823" s="79" t="str">
        <f>IF(OR(TH!N1823=TH!$X$7,O1823=TH!$X$7),"x","")</f>
        <v/>
      </c>
      <c r="Y1823" s="79" t="str">
        <f>IF(AND(OR(N1823="131",O1823="131"),H1823='131-CT'!$H$9),"x","")</f>
        <v/>
      </c>
      <c r="Z1823" s="79"/>
      <c r="AA1823" s="79" t="str">
        <f>IF(AND(MONTH(E1823)='IN-NX'!$J$5,'IN-NX'!$D$7=D1823),"x","")</f>
        <v/>
      </c>
      <c r="AB1823" s="79" t="str">
        <f>IF(AND(OR(LEFT(TH!N1823,2)="15",LEFT(TH!O1823,2)="15"),LEFT(TH!O1823,3)&lt;&gt;"111",'152-CT'!$J$8=TH!F1823),"x","")</f>
        <v/>
      </c>
      <c r="AC1823" s="79" t="str">
        <f>IF(AND(OR(LEFT(TH!N1823,2)="15",LEFT(TH!O1823,2)="15"),TK!$E$7=TH!F1823),"x","")</f>
        <v/>
      </c>
      <c r="AD1823" s="79" t="str">
        <f>IF(AND(N1823="1521",MONTH(C1823)='BK-NL'!$M$11),"x","")</f>
        <v/>
      </c>
    </row>
    <row r="1824" spans="1:30" ht="16.5" customHeight="1">
      <c r="A1824" s="318" t="str">
        <f>IF(B1824&lt;&gt;"",IF(AND(B1824='IN-TC'!$S$4,OR(TH!N1824="1111",TH!O1824="1111")),TH!D1824,""),"")</f>
        <v/>
      </c>
      <c r="B1824" s="60" t="str">
        <f t="shared" si="216"/>
        <v/>
      </c>
      <c r="C1824" s="989"/>
      <c r="D1824" s="989"/>
      <c r="E1824" s="989"/>
      <c r="F1824" s="990"/>
      <c r="G1824" s="991"/>
      <c r="H1824" s="1011"/>
      <c r="I1824" s="994"/>
      <c r="J1824" s="992"/>
      <c r="K1824" s="994"/>
      <c r="L1824" s="992"/>
      <c r="M1824" s="995"/>
      <c r="N1824" s="996"/>
      <c r="O1824" s="996"/>
      <c r="P1824" s="79" t="str">
        <f>IF(AND('331-CT'!$E$7=TH!H1824,OR(N1824="331",O1824="331")),"x","")</f>
        <v/>
      </c>
      <c r="Q1824" s="79" t="str">
        <f>IF(AND(B1824='111'!$L$11,OR($N1824=$Q$7,$O1824=$Q$7)),"x","")</f>
        <v/>
      </c>
      <c r="R1824" s="79" t="str">
        <f>IF(AND($N1824=$Q$7,$B1824&lt;'111'!$L$11),"x","")</f>
        <v/>
      </c>
      <c r="S1824" s="79" t="str">
        <f>IF(AND($O1824=$Q$7,$B1824&lt;'111'!$L$11),"x","")</f>
        <v/>
      </c>
      <c r="T1824" s="79" t="str">
        <f>IF(ISERROR(FIND('112'!$M$9,G1824,1)),"",IF((AND(FIND('112'!$M$9,G1824,1)&gt;=1,B1824='112'!$K$9,OR($N1824='112'!$I$6,$O1824='112'!$I$6))),"x",""))</f>
        <v/>
      </c>
      <c r="U1824" s="79" t="str">
        <f>IF(ISERROR(FIND('112'!$M$9,G1824,1)),"",IF((AND(LEFT(G1824,2)=LEFT('112'!$M$9,2),B1824&lt;'112'!$K$9,$N1824='112'!$I$6)),"x",""))</f>
        <v/>
      </c>
      <c r="V1824" s="79" t="str">
        <f>IF(ISERROR(FIND('112'!$M$9,G1824,1)),"",IF((AND(RIGHT(G1824,2)=RIGHT('112'!$M$9,2),B1824&lt;'112'!$K$9,$O1824='112'!$I$6)),"x",""))</f>
        <v/>
      </c>
      <c r="W1824" s="79" t="str">
        <f>IF(AND('341-CT'!$H$9=H1824,OR(LEFT(N1824,3)=$W$7,LEFT(O1824,3)=$W$7)),"x","")</f>
        <v/>
      </c>
      <c r="X1824" s="79" t="str">
        <f>IF(OR(TH!N1824=TH!$X$7,O1824=TH!$X$7),"x","")</f>
        <v/>
      </c>
      <c r="Y1824" s="79" t="str">
        <f>IF(AND(OR(N1824="131",O1824="131"),H1824='131-CT'!$H$9),"x","")</f>
        <v/>
      </c>
      <c r="Z1824" s="79"/>
      <c r="AA1824" s="79" t="str">
        <f>IF(AND(MONTH(E1824)='IN-NX'!$J$5,'IN-NX'!$D$7=D1824),"x","")</f>
        <v/>
      </c>
      <c r="AB1824" s="79" t="str">
        <f>IF(AND(OR(LEFT(TH!N1824,2)="15",LEFT(TH!O1824,2)="15"),LEFT(TH!O1824,3)&lt;&gt;"111",'152-CT'!$J$8=TH!F1824),"x","")</f>
        <v/>
      </c>
      <c r="AC1824" s="79" t="str">
        <f>IF(AND(OR(LEFT(TH!N1824,2)="15",LEFT(TH!O1824,2)="15"),TK!$E$7=TH!F1824),"x","")</f>
        <v/>
      </c>
      <c r="AD1824" s="79" t="str">
        <f>IF(AND(N1824="1521",MONTH(C1824)='BK-NL'!$M$11),"x","")</f>
        <v/>
      </c>
    </row>
    <row r="1825" spans="1:30" ht="16.5" customHeight="1">
      <c r="A1825" s="318" t="str">
        <f>IF(B1825&lt;&gt;"",IF(AND(B1825='IN-TC'!$S$4,OR(TH!N1825="1111",TH!O1825="1111")),TH!D1825,""),"")</f>
        <v/>
      </c>
      <c r="B1825" s="60" t="str">
        <f t="shared" ref="B1825:B1829" si="217">IF(C1825&lt;&gt;"",MONTH(C1825),"")</f>
        <v/>
      </c>
      <c r="C1825" s="989"/>
      <c r="D1825" s="989"/>
      <c r="E1825" s="989"/>
      <c r="F1825" s="1105"/>
      <c r="G1825" s="991"/>
      <c r="H1825" s="1011"/>
      <c r="I1825" s="994"/>
      <c r="J1825" s="992"/>
      <c r="K1825" s="994"/>
      <c r="L1825" s="992"/>
      <c r="M1825" s="995"/>
      <c r="N1825" s="996"/>
      <c r="O1825" s="996"/>
      <c r="P1825" s="79" t="str">
        <f>IF(AND('331-CT'!$E$7=TH!H1825,OR(N1825="331",O1825="331")),"x","")</f>
        <v/>
      </c>
      <c r="Q1825" s="79" t="str">
        <f>IF(AND(B1825='111'!$L$11,OR($N1825=$Q$7,$O1825=$Q$7)),"x","")</f>
        <v/>
      </c>
      <c r="R1825" s="79" t="str">
        <f>IF(AND($N1825=$Q$7,$B1825&lt;'111'!$L$11),"x","")</f>
        <v/>
      </c>
      <c r="S1825" s="79" t="str">
        <f>IF(AND($O1825=$Q$7,$B1825&lt;'111'!$L$11),"x","")</f>
        <v/>
      </c>
      <c r="T1825" s="79" t="str">
        <f>IF(ISERROR(FIND('112'!$M$9,G1825,1)),"",IF((AND(FIND('112'!$M$9,G1825,1)&gt;=1,B1825='112'!$K$9,OR($N1825='112'!$I$6,$O1825='112'!$I$6))),"x",""))</f>
        <v/>
      </c>
      <c r="U1825" s="79" t="str">
        <f>IF(ISERROR(FIND('112'!$M$9,G1825,1)),"",IF((AND(LEFT(G1825,2)=LEFT('112'!$M$9,2),B1825&lt;'112'!$K$9,$N1825='112'!$I$6)),"x",""))</f>
        <v/>
      </c>
      <c r="V1825" s="79" t="str">
        <f>IF(ISERROR(FIND('112'!$M$9,G1825,1)),"",IF((AND(RIGHT(G1825,2)=RIGHT('112'!$M$9,2),B1825&lt;'112'!$K$9,$O1825='112'!$I$6)),"x",""))</f>
        <v/>
      </c>
      <c r="W1825" s="79" t="str">
        <f>IF(AND('341-CT'!$H$9=H1825,OR(LEFT(N1825,3)=$W$7,LEFT(O1825,3)=$W$7)),"x","")</f>
        <v/>
      </c>
      <c r="X1825" s="79" t="str">
        <f>IF(OR(TH!N1825=TH!$X$7,O1825=TH!$X$7),"x","")</f>
        <v/>
      </c>
      <c r="Y1825" s="79" t="str">
        <f>IF(AND(OR(N1825="131",O1825="131"),H1825='131-CT'!$H$9),"x","")</f>
        <v/>
      </c>
      <c r="Z1825" s="79"/>
      <c r="AA1825" s="79" t="str">
        <f>IF(AND(MONTH(E1825)='IN-NX'!$J$5,'IN-NX'!$D$7=D1825),"x","")</f>
        <v/>
      </c>
      <c r="AB1825" s="79" t="str">
        <f>IF(AND(OR(LEFT(TH!N1825,2)="15",LEFT(TH!O1825,2)="15"),LEFT(TH!O1825,3)&lt;&gt;"111",'152-CT'!$J$8=TH!F1825),"x","")</f>
        <v/>
      </c>
      <c r="AC1825" s="79" t="str">
        <f>IF(AND(OR(LEFT(TH!N1825,2)="15",LEFT(TH!O1825,2)="15"),TK!$E$7=TH!F1825),"x","")</f>
        <v/>
      </c>
      <c r="AD1825" s="79" t="str">
        <f>IF(AND(N1825="1521",MONTH(C1825)='BK-NL'!$M$11),"x","")</f>
        <v/>
      </c>
    </row>
    <row r="1826" spans="1:30" ht="16.5" customHeight="1">
      <c r="A1826" s="318" t="str">
        <f>IF(B1826&lt;&gt;"",IF(AND(B1826='IN-TC'!$S$4,OR(TH!N1826="1111",TH!O1826="1111")),TH!D1826,""),"")</f>
        <v/>
      </c>
      <c r="B1826" s="60" t="str">
        <f t="shared" si="217"/>
        <v/>
      </c>
      <c r="C1826" s="989"/>
      <c r="D1826" s="989"/>
      <c r="E1826" s="989"/>
      <c r="F1826" s="1105"/>
      <c r="G1826" s="991"/>
      <c r="H1826" s="1011"/>
      <c r="I1826" s="994"/>
      <c r="J1826" s="992"/>
      <c r="K1826" s="994"/>
      <c r="L1826" s="992"/>
      <c r="M1826" s="995"/>
      <c r="N1826" s="996"/>
      <c r="O1826" s="996"/>
      <c r="P1826" s="79" t="str">
        <f>IF(AND('331-CT'!$E$7=TH!H1826,OR(N1826="331",O1826="331")),"x","")</f>
        <v/>
      </c>
      <c r="Q1826" s="79" t="str">
        <f>IF(AND(B1826='111'!$L$11,OR($N1826=$Q$7,$O1826=$Q$7)),"x","")</f>
        <v/>
      </c>
      <c r="R1826" s="79" t="str">
        <f>IF(AND($N1826=$Q$7,$B1826&lt;'111'!$L$11),"x","")</f>
        <v/>
      </c>
      <c r="S1826" s="79" t="str">
        <f>IF(AND($O1826=$Q$7,$B1826&lt;'111'!$L$11),"x","")</f>
        <v/>
      </c>
      <c r="T1826" s="79" t="str">
        <f>IF(ISERROR(FIND('112'!$M$9,G1826,1)),"",IF((AND(FIND('112'!$M$9,G1826,1)&gt;=1,B1826='112'!$K$9,OR($N1826='112'!$I$6,$O1826='112'!$I$6))),"x",""))</f>
        <v/>
      </c>
      <c r="U1826" s="79" t="str">
        <f>IF(ISERROR(FIND('112'!$M$9,G1826,1)),"",IF((AND(LEFT(G1826,2)=LEFT('112'!$M$9,2),B1826&lt;'112'!$K$9,$N1826='112'!$I$6)),"x",""))</f>
        <v/>
      </c>
      <c r="V1826" s="79" t="str">
        <f>IF(ISERROR(FIND('112'!$M$9,G1826,1)),"",IF((AND(RIGHT(G1826,2)=RIGHT('112'!$M$9,2),B1826&lt;'112'!$K$9,$O1826='112'!$I$6)),"x",""))</f>
        <v/>
      </c>
      <c r="W1826" s="79" t="str">
        <f>IF(AND('341-CT'!$H$9=H1826,OR(LEFT(N1826,3)=$W$7,LEFT(O1826,3)=$W$7)),"x","")</f>
        <v/>
      </c>
      <c r="X1826" s="79" t="str">
        <f>IF(OR(TH!N1826=TH!$X$7,O1826=TH!$X$7),"x","")</f>
        <v/>
      </c>
      <c r="Y1826" s="79" t="str">
        <f>IF(AND(OR(N1826="131",O1826="131"),H1826='131-CT'!$H$9),"x","")</f>
        <v/>
      </c>
      <c r="Z1826" s="79"/>
      <c r="AA1826" s="79" t="str">
        <f>IF(AND(MONTH(E1826)='IN-NX'!$J$5,'IN-NX'!$D$7=D1826),"x","")</f>
        <v/>
      </c>
      <c r="AB1826" s="79" t="str">
        <f>IF(AND(OR(LEFT(TH!N1826,2)="15",LEFT(TH!O1826,2)="15"),LEFT(TH!O1826,3)&lt;&gt;"111",'152-CT'!$J$8=TH!F1826),"x","")</f>
        <v/>
      </c>
      <c r="AC1826" s="79" t="str">
        <f>IF(AND(OR(LEFT(TH!N1826,2)="15",LEFT(TH!O1826,2)="15"),TK!$E$7=TH!F1826),"x","")</f>
        <v/>
      </c>
      <c r="AD1826" s="79" t="str">
        <f>IF(AND(N1826="1521",MONTH(C1826)='BK-NL'!$M$11),"x","")</f>
        <v/>
      </c>
    </row>
    <row r="1827" spans="1:30" ht="16.5" customHeight="1">
      <c r="A1827" s="318" t="str">
        <f>IF(B1827&lt;&gt;"",IF(AND(B1827='IN-TC'!$S$4,OR(TH!N1827="1111",TH!O1827="1111")),TH!D1827,""),"")</f>
        <v/>
      </c>
      <c r="B1827" s="60" t="str">
        <f t="shared" si="217"/>
        <v/>
      </c>
      <c r="C1827" s="989"/>
      <c r="D1827" s="989"/>
      <c r="E1827" s="989"/>
      <c r="F1827" s="1105"/>
      <c r="G1827" s="991"/>
      <c r="H1827" s="1011"/>
      <c r="I1827" s="994"/>
      <c r="J1827" s="992"/>
      <c r="K1827" s="994"/>
      <c r="L1827" s="992"/>
      <c r="M1827" s="995"/>
      <c r="N1827" s="996"/>
      <c r="O1827" s="996"/>
      <c r="P1827" s="79" t="str">
        <f>IF(AND('331-CT'!$E$7=TH!H1827,OR(N1827="331",O1827="331")),"x","")</f>
        <v/>
      </c>
      <c r="Q1827" s="79" t="str">
        <f>IF(AND(B1827='111'!$L$11,OR($N1827=$Q$7,$O1827=$Q$7)),"x","")</f>
        <v/>
      </c>
      <c r="R1827" s="79" t="str">
        <f>IF(AND($N1827=$Q$7,$B1827&lt;'111'!$L$11),"x","")</f>
        <v/>
      </c>
      <c r="S1827" s="79" t="str">
        <f>IF(AND($O1827=$Q$7,$B1827&lt;'111'!$L$11),"x","")</f>
        <v/>
      </c>
      <c r="T1827" s="79" t="str">
        <f>IF(ISERROR(FIND('112'!$M$9,G1827,1)),"",IF((AND(FIND('112'!$M$9,G1827,1)&gt;=1,B1827='112'!$K$9,OR($N1827='112'!$I$6,$O1827='112'!$I$6))),"x",""))</f>
        <v/>
      </c>
      <c r="U1827" s="79" t="str">
        <f>IF(ISERROR(FIND('112'!$M$9,G1827,1)),"",IF((AND(LEFT(G1827,2)=LEFT('112'!$M$9,2),B1827&lt;'112'!$K$9,$N1827='112'!$I$6)),"x",""))</f>
        <v/>
      </c>
      <c r="V1827" s="79" t="str">
        <f>IF(ISERROR(FIND('112'!$M$9,G1827,1)),"",IF((AND(RIGHT(G1827,2)=RIGHT('112'!$M$9,2),B1827&lt;'112'!$K$9,$O1827='112'!$I$6)),"x",""))</f>
        <v/>
      </c>
      <c r="W1827" s="79" t="str">
        <f>IF(AND('341-CT'!$H$9=H1827,OR(LEFT(N1827,3)=$W$7,LEFT(O1827,3)=$W$7)),"x","")</f>
        <v/>
      </c>
      <c r="X1827" s="79" t="str">
        <f>IF(OR(TH!N1827=TH!$X$7,O1827=TH!$X$7),"x","")</f>
        <v/>
      </c>
      <c r="Y1827" s="79" t="str">
        <f>IF(AND(OR(N1827="131",O1827="131"),H1827='131-CT'!$H$9),"x","")</f>
        <v/>
      </c>
      <c r="Z1827" s="79"/>
      <c r="AA1827" s="79" t="str">
        <f>IF(AND(MONTH(E1827)='IN-NX'!$J$5,'IN-NX'!$D$7=D1827),"x","")</f>
        <v/>
      </c>
      <c r="AB1827" s="79" t="str">
        <f>IF(AND(OR(LEFT(TH!N1827,2)="15",LEFT(TH!O1827,2)="15"),LEFT(TH!O1827,3)&lt;&gt;"111",'152-CT'!$J$8=TH!F1827),"x","")</f>
        <v/>
      </c>
      <c r="AC1827" s="79" t="str">
        <f>IF(AND(OR(LEFT(TH!N1827,2)="15",LEFT(TH!O1827,2)="15"),TK!$E$7=TH!F1827),"x","")</f>
        <v/>
      </c>
      <c r="AD1827" s="79" t="str">
        <f>IF(AND(N1827="1521",MONTH(C1827)='BK-NL'!$M$11),"x","")</f>
        <v/>
      </c>
    </row>
    <row r="1828" spans="1:30" ht="16.5" customHeight="1">
      <c r="A1828" s="318" t="str">
        <f>IF(B1828&lt;&gt;"",IF(AND(B1828='IN-TC'!$S$4,OR(TH!N1828="1111",TH!O1828="1111")),TH!D1828,""),"")</f>
        <v/>
      </c>
      <c r="B1828" s="60" t="str">
        <f t="shared" si="217"/>
        <v/>
      </c>
      <c r="C1828" s="989"/>
      <c r="D1828" s="989"/>
      <c r="E1828" s="989"/>
      <c r="F1828" s="1105"/>
      <c r="G1828" s="991"/>
      <c r="H1828" s="1011"/>
      <c r="I1828" s="994"/>
      <c r="J1828" s="992"/>
      <c r="K1828" s="994"/>
      <c r="L1828" s="992"/>
      <c r="M1828" s="995"/>
      <c r="N1828" s="996"/>
      <c r="O1828" s="996"/>
      <c r="P1828" s="79" t="str">
        <f>IF(AND('331-CT'!$E$7=TH!H1828,OR(N1828="331",O1828="331")),"x","")</f>
        <v/>
      </c>
      <c r="Q1828" s="79" t="str">
        <f>IF(AND(B1828='111'!$L$11,OR($N1828=$Q$7,$O1828=$Q$7)),"x","")</f>
        <v/>
      </c>
      <c r="R1828" s="79" t="str">
        <f>IF(AND($N1828=$Q$7,$B1828&lt;'111'!$L$11),"x","")</f>
        <v/>
      </c>
      <c r="S1828" s="79" t="str">
        <f>IF(AND($O1828=$Q$7,$B1828&lt;'111'!$L$11),"x","")</f>
        <v/>
      </c>
      <c r="T1828" s="79" t="str">
        <f>IF(ISERROR(FIND('112'!$M$9,G1828,1)),"",IF((AND(FIND('112'!$M$9,G1828,1)&gt;=1,B1828='112'!$K$9,OR($N1828='112'!$I$6,$O1828='112'!$I$6))),"x",""))</f>
        <v/>
      </c>
      <c r="U1828" s="79" t="str">
        <f>IF(ISERROR(FIND('112'!$M$9,G1828,1)),"",IF((AND(LEFT(G1828,2)=LEFT('112'!$M$9,2),B1828&lt;'112'!$K$9,$N1828='112'!$I$6)),"x",""))</f>
        <v/>
      </c>
      <c r="V1828" s="79" t="str">
        <f>IF(ISERROR(FIND('112'!$M$9,G1828,1)),"",IF((AND(RIGHT(G1828,2)=RIGHT('112'!$M$9,2),B1828&lt;'112'!$K$9,$O1828='112'!$I$6)),"x",""))</f>
        <v/>
      </c>
      <c r="W1828" s="79" t="str">
        <f>IF(AND('341-CT'!$H$9=H1828,OR(LEFT(N1828,3)=$W$7,LEFT(O1828,3)=$W$7)),"x","")</f>
        <v/>
      </c>
      <c r="X1828" s="79" t="str">
        <f>IF(OR(TH!N1828=TH!$X$7,O1828=TH!$X$7),"x","")</f>
        <v/>
      </c>
      <c r="Y1828" s="79" t="str">
        <f>IF(AND(OR(N1828="131",O1828="131"),H1828='131-CT'!$H$9),"x","")</f>
        <v/>
      </c>
      <c r="Z1828" s="79"/>
      <c r="AA1828" s="79" t="str">
        <f>IF(AND(MONTH(E1828)='IN-NX'!$J$5,'IN-NX'!$D$7=D1828),"x","")</f>
        <v/>
      </c>
      <c r="AB1828" s="79" t="str">
        <f>IF(AND(OR(LEFT(TH!N1828,2)="15",LEFT(TH!O1828,2)="15"),LEFT(TH!O1828,3)&lt;&gt;"111",'152-CT'!$J$8=TH!F1828),"x","")</f>
        <v/>
      </c>
      <c r="AC1828" s="79" t="str">
        <f>IF(AND(OR(LEFT(TH!N1828,2)="15",LEFT(TH!O1828,2)="15"),TK!$E$7=TH!F1828),"x","")</f>
        <v/>
      </c>
      <c r="AD1828" s="79" t="str">
        <f>IF(AND(N1828="1521",MONTH(C1828)='BK-NL'!$M$11),"x","")</f>
        <v/>
      </c>
    </row>
    <row r="1829" spans="1:30" ht="16.5" customHeight="1">
      <c r="A1829" s="318" t="str">
        <f>IF(B1829&lt;&gt;"",IF(AND(B1829='IN-TC'!$S$4,OR(TH!N1829="1111",TH!O1829="1111")),TH!D1829,""),"")</f>
        <v/>
      </c>
      <c r="B1829" s="60" t="str">
        <f t="shared" si="217"/>
        <v/>
      </c>
      <c r="C1829" s="989"/>
      <c r="D1829" s="989"/>
      <c r="E1829" s="989"/>
      <c r="F1829" s="990"/>
      <c r="G1829" s="991"/>
      <c r="H1829" s="1011"/>
      <c r="I1829" s="994"/>
      <c r="J1829" s="992"/>
      <c r="K1829" s="994"/>
      <c r="L1829" s="992"/>
      <c r="M1829" s="995"/>
      <c r="N1829" s="996"/>
      <c r="O1829" s="996"/>
      <c r="P1829" s="79" t="str">
        <f>IF(AND('331-CT'!$E$7=TH!H1829,OR(N1829="331",O1829="331")),"x","")</f>
        <v/>
      </c>
      <c r="Q1829" s="79" t="str">
        <f>IF(AND(B1829='111'!$L$11,OR($N1829=$Q$7,$O1829=$Q$7)),"x","")</f>
        <v/>
      </c>
      <c r="R1829" s="79" t="str">
        <f>IF(AND($N1829=$Q$7,$B1829&lt;'111'!$L$11),"x","")</f>
        <v/>
      </c>
      <c r="S1829" s="79" t="str">
        <f>IF(AND($O1829=$Q$7,$B1829&lt;'111'!$L$11),"x","")</f>
        <v/>
      </c>
      <c r="T1829" s="79" t="str">
        <f>IF(ISERROR(FIND('112'!$M$9,G1829,1)),"",IF((AND(FIND('112'!$M$9,G1829,1)&gt;=1,B1829='112'!$K$9,OR($N1829='112'!$I$6,$O1829='112'!$I$6))),"x",""))</f>
        <v/>
      </c>
      <c r="U1829" s="79" t="str">
        <f>IF(ISERROR(FIND('112'!$M$9,G1829,1)),"",IF((AND(LEFT(G1829,2)=LEFT('112'!$M$9,2),B1829&lt;'112'!$K$9,$N1829='112'!$I$6)),"x",""))</f>
        <v/>
      </c>
      <c r="V1829" s="79" t="str">
        <f>IF(ISERROR(FIND('112'!$M$9,G1829,1)),"",IF((AND(RIGHT(G1829,2)=RIGHT('112'!$M$9,2),B1829&lt;'112'!$K$9,$O1829='112'!$I$6)),"x",""))</f>
        <v/>
      </c>
      <c r="W1829" s="79" t="str">
        <f>IF(AND('341-CT'!$H$9=H1829,OR(LEFT(N1829,3)=$W$7,LEFT(O1829,3)=$W$7)),"x","")</f>
        <v/>
      </c>
      <c r="X1829" s="79" t="str">
        <f>IF(OR(TH!N1829=TH!$X$7,O1829=TH!$X$7),"x","")</f>
        <v/>
      </c>
      <c r="Y1829" s="79" t="str">
        <f>IF(AND(OR(N1829="131",O1829="131"),H1829='131-CT'!$H$9),"x","")</f>
        <v/>
      </c>
      <c r="Z1829" s="79"/>
      <c r="AA1829" s="79" t="str">
        <f>IF(AND(MONTH(E1829)='IN-NX'!$J$5,'IN-NX'!$D$7=D1829),"x","")</f>
        <v/>
      </c>
      <c r="AB1829" s="79" t="str">
        <f>IF(AND(OR(LEFT(TH!N1829,2)="15",LEFT(TH!O1829,2)="15"),LEFT(TH!O1829,3)&lt;&gt;"111",'152-CT'!$J$8=TH!F1829),"x","")</f>
        <v/>
      </c>
      <c r="AC1829" s="79" t="str">
        <f>IF(AND(OR(LEFT(TH!N1829,2)="15",LEFT(TH!O1829,2)="15"),TK!$E$7=TH!F1829),"x","")</f>
        <v/>
      </c>
      <c r="AD1829" s="79" t="str">
        <f>IF(AND(N1829="1521",MONTH(C1829)='BK-NL'!$M$11),"x","")</f>
        <v/>
      </c>
    </row>
    <row r="1830" spans="1:30" ht="16.5" customHeight="1">
      <c r="A1830" s="318" t="str">
        <f>IF(B1830&lt;&gt;"",IF(AND(B1830='IN-TC'!$S$4,OR(TH!N1830="1111",TH!O1830="1111")),TH!D1830,""),"")</f>
        <v/>
      </c>
      <c r="B1830" s="60" t="str">
        <f t="shared" ref="B1830:B1836" si="218">IF(C1830&lt;&gt;"",MONTH(C1830),"")</f>
        <v/>
      </c>
      <c r="C1830" s="974"/>
      <c r="D1830" s="974"/>
      <c r="E1830" s="974"/>
      <c r="F1830" s="1131"/>
      <c r="G1830" s="976"/>
      <c r="H1830" s="759"/>
      <c r="I1830" s="383"/>
      <c r="J1830" s="390"/>
      <c r="K1830" s="383"/>
      <c r="L1830" s="390"/>
      <c r="M1830" s="978"/>
      <c r="N1830" s="979"/>
      <c r="O1830" s="979"/>
      <c r="P1830" s="79" t="str">
        <f>IF(AND('331-CT'!$E$7=TH!H1830,OR(N1830="331",O1830="331")),"x","")</f>
        <v/>
      </c>
      <c r="Q1830" s="79" t="str">
        <f>IF(AND(B1830='111'!$L$11,OR($N1830=$Q$7,$O1830=$Q$7)),"x","")</f>
        <v/>
      </c>
      <c r="R1830" s="79" t="str">
        <f>IF(AND($N1830=$Q$7,$B1830&lt;'111'!$L$11),"x","")</f>
        <v/>
      </c>
      <c r="S1830" s="79" t="str">
        <f>IF(AND($O1830=$Q$7,$B1830&lt;'111'!$L$11),"x","")</f>
        <v/>
      </c>
      <c r="T1830" s="79" t="str">
        <f>IF(ISERROR(FIND('112'!$M$9,G1830,1)),"",IF((AND(FIND('112'!$M$9,G1830,1)&gt;=1,B1830='112'!$K$9,OR($N1830='112'!$I$6,$O1830='112'!$I$6))),"x",""))</f>
        <v/>
      </c>
      <c r="U1830" s="79" t="str">
        <f>IF(ISERROR(FIND('112'!$M$9,G1830,1)),"",IF((AND(LEFT(G1830,2)=LEFT('112'!$M$9,2),B1830&lt;'112'!$K$9,$N1830='112'!$I$6)),"x",""))</f>
        <v/>
      </c>
      <c r="V1830" s="79" t="str">
        <f>IF(ISERROR(FIND('112'!$M$9,G1830,1)),"",IF((AND(RIGHT(G1830,2)=RIGHT('112'!$M$9,2),B1830&lt;'112'!$K$9,$O1830='112'!$I$6)),"x",""))</f>
        <v/>
      </c>
      <c r="W1830" s="79" t="str">
        <f>IF(AND('341-CT'!$H$9=H1830,OR(LEFT(N1830,3)=$W$7,LEFT(O1830,3)=$W$7)),"x","")</f>
        <v/>
      </c>
      <c r="X1830" s="79" t="str">
        <f>IF(OR(TH!N1830=TH!$X$7,O1830=TH!$X$7),"x","")</f>
        <v/>
      </c>
      <c r="Y1830" s="79" t="str">
        <f>IF(AND(OR(N1830="131",O1830="131"),H1830='131-CT'!$H$9),"x","")</f>
        <v/>
      </c>
      <c r="Z1830" s="79"/>
      <c r="AA1830" s="79" t="str">
        <f>IF(AND(MONTH(E1830)='IN-NX'!$J$5,'IN-NX'!$D$7=D1830),"x","")</f>
        <v/>
      </c>
      <c r="AB1830" s="79" t="str">
        <f>IF(AND(OR(LEFT(TH!N1830,2)="15",LEFT(TH!O1830,2)="15"),LEFT(TH!O1830,3)&lt;&gt;"111",'152-CT'!$J$8=TH!F1830),"x","")</f>
        <v/>
      </c>
      <c r="AC1830" s="79" t="str">
        <f>IF(AND(OR(LEFT(TH!N1830,2)="15",LEFT(TH!O1830,2)="15"),TK!$E$7=TH!F1830),"x","")</f>
        <v/>
      </c>
      <c r="AD1830" s="79" t="str">
        <f>IF(AND(N1830="1521",MONTH(C1830)='BK-NL'!$M$11),"x","")</f>
        <v/>
      </c>
    </row>
    <row r="1831" spans="1:30" ht="16.5" customHeight="1">
      <c r="A1831" s="318" t="str">
        <f>IF(B1831&lt;&gt;"",IF(AND(B1831='IN-TC'!$S$4,OR(TH!N1831="1111",TH!O1831="1111")),TH!D1831,""),"")</f>
        <v/>
      </c>
      <c r="B1831" s="60" t="str">
        <f t="shared" si="218"/>
        <v/>
      </c>
      <c r="C1831" s="974"/>
      <c r="D1831" s="974"/>
      <c r="E1831" s="974"/>
      <c r="F1831" s="1131"/>
      <c r="G1831" s="976"/>
      <c r="H1831" s="759"/>
      <c r="I1831" s="383"/>
      <c r="J1831" s="390"/>
      <c r="K1831" s="383"/>
      <c r="L1831" s="390"/>
      <c r="M1831" s="978"/>
      <c r="N1831" s="979"/>
      <c r="O1831" s="979"/>
      <c r="P1831" s="79" t="str">
        <f>IF(AND('331-CT'!$E$7=TH!H1831,OR(N1831="331",O1831="331")),"x","")</f>
        <v/>
      </c>
      <c r="Q1831" s="79" t="str">
        <f>IF(AND(B1831='111'!$L$11,OR($N1831=$Q$7,$O1831=$Q$7)),"x","")</f>
        <v/>
      </c>
      <c r="R1831" s="79" t="str">
        <f>IF(AND($N1831=$Q$7,$B1831&lt;'111'!$L$11),"x","")</f>
        <v/>
      </c>
      <c r="S1831" s="79" t="str">
        <f>IF(AND($O1831=$Q$7,$B1831&lt;'111'!$L$11),"x","")</f>
        <v/>
      </c>
      <c r="T1831" s="79" t="str">
        <f>IF(ISERROR(FIND('112'!$M$9,G1831,1)),"",IF((AND(FIND('112'!$M$9,G1831,1)&gt;=1,B1831='112'!$K$9,OR($N1831='112'!$I$6,$O1831='112'!$I$6))),"x",""))</f>
        <v/>
      </c>
      <c r="U1831" s="79" t="str">
        <f>IF(ISERROR(FIND('112'!$M$9,G1831,1)),"",IF((AND(LEFT(G1831,2)=LEFT('112'!$M$9,2),B1831&lt;'112'!$K$9,$N1831='112'!$I$6)),"x",""))</f>
        <v/>
      </c>
      <c r="V1831" s="79" t="str">
        <f>IF(ISERROR(FIND('112'!$M$9,G1831,1)),"",IF((AND(RIGHT(G1831,2)=RIGHT('112'!$M$9,2),B1831&lt;'112'!$K$9,$O1831='112'!$I$6)),"x",""))</f>
        <v/>
      </c>
      <c r="W1831" s="79" t="str">
        <f>IF(AND('341-CT'!$H$9=H1831,OR(LEFT(N1831,3)=$W$7,LEFT(O1831,3)=$W$7)),"x","")</f>
        <v/>
      </c>
      <c r="X1831" s="79" t="str">
        <f>IF(OR(TH!N1831=TH!$X$7,O1831=TH!$X$7),"x","")</f>
        <v/>
      </c>
      <c r="Y1831" s="79" t="str">
        <f>IF(AND(OR(N1831="131",O1831="131"),H1831='131-CT'!$H$9),"x","")</f>
        <v/>
      </c>
      <c r="Z1831" s="79"/>
      <c r="AA1831" s="79" t="str">
        <f>IF(AND(MONTH(E1831)='IN-NX'!$J$5,'IN-NX'!$D$7=D1831),"x","")</f>
        <v/>
      </c>
      <c r="AB1831" s="79" t="str">
        <f>IF(AND(OR(LEFT(TH!N1831,2)="15",LEFT(TH!O1831,2)="15"),LEFT(TH!O1831,3)&lt;&gt;"111",'152-CT'!$J$8=TH!F1831),"x","")</f>
        <v/>
      </c>
      <c r="AC1831" s="79" t="str">
        <f>IF(AND(OR(LEFT(TH!N1831,2)="15",LEFT(TH!O1831,2)="15"),TK!$E$7=TH!F1831),"x","")</f>
        <v/>
      </c>
      <c r="AD1831" s="79" t="str">
        <f>IF(AND(N1831="1521",MONTH(C1831)='BK-NL'!$M$11),"x","")</f>
        <v/>
      </c>
    </row>
    <row r="1832" spans="1:30" ht="16.5" customHeight="1">
      <c r="A1832" s="318" t="str">
        <f>IF(B1832&lt;&gt;"",IF(AND(B1832='IN-TC'!$S$4,OR(TH!N1832="1111",TH!O1832="1111")),TH!D1832,""),"")</f>
        <v/>
      </c>
      <c r="B1832" s="60" t="str">
        <f t="shared" si="218"/>
        <v/>
      </c>
      <c r="C1832" s="974"/>
      <c r="D1832" s="974"/>
      <c r="E1832" s="974"/>
      <c r="F1832" s="305"/>
      <c r="G1832" s="976"/>
      <c r="H1832" s="759"/>
      <c r="I1832" s="383"/>
      <c r="J1832" s="390"/>
      <c r="K1832" s="383"/>
      <c r="L1832" s="390"/>
      <c r="M1832" s="978"/>
      <c r="N1832" s="979"/>
      <c r="O1832" s="979"/>
      <c r="P1832" s="79" t="str">
        <f>IF(AND('331-CT'!$E$7=TH!H1832,OR(N1832="331",O1832="331")),"x","")</f>
        <v/>
      </c>
      <c r="Q1832" s="79" t="str">
        <f>IF(AND(B1832='111'!$L$11,OR($N1832=$Q$7,$O1832=$Q$7)),"x","")</f>
        <v/>
      </c>
      <c r="R1832" s="79" t="str">
        <f>IF(AND($N1832=$Q$7,$B1832&lt;'111'!$L$11),"x","")</f>
        <v/>
      </c>
      <c r="S1832" s="79" t="str">
        <f>IF(AND($O1832=$Q$7,$B1832&lt;'111'!$L$11),"x","")</f>
        <v/>
      </c>
      <c r="T1832" s="79" t="str">
        <f>IF(ISERROR(FIND('112'!$M$9,G1832,1)),"",IF((AND(FIND('112'!$M$9,G1832,1)&gt;=1,B1832='112'!$K$9,OR($N1832='112'!$I$6,$O1832='112'!$I$6))),"x",""))</f>
        <v/>
      </c>
      <c r="U1832" s="79" t="str">
        <f>IF(ISERROR(FIND('112'!$M$9,G1832,1)),"",IF((AND(LEFT(G1832,2)=LEFT('112'!$M$9,2),B1832&lt;'112'!$K$9,$N1832='112'!$I$6)),"x",""))</f>
        <v/>
      </c>
      <c r="V1832" s="79" t="str">
        <f>IF(ISERROR(FIND('112'!$M$9,G1832,1)),"",IF((AND(RIGHT(G1832,2)=RIGHT('112'!$M$9,2),B1832&lt;'112'!$K$9,$O1832='112'!$I$6)),"x",""))</f>
        <v/>
      </c>
      <c r="W1832" s="79" t="str">
        <f>IF(AND('341-CT'!$H$9=H1832,OR(LEFT(N1832,3)=$W$7,LEFT(O1832,3)=$W$7)),"x","")</f>
        <v/>
      </c>
      <c r="X1832" s="79" t="str">
        <f>IF(OR(TH!N1832=TH!$X$7,O1832=TH!$X$7),"x","")</f>
        <v/>
      </c>
      <c r="Y1832" s="79" t="str">
        <f>IF(AND(OR(N1832="131",O1832="131"),H1832='131-CT'!$H$9),"x","")</f>
        <v/>
      </c>
      <c r="Z1832" s="79"/>
      <c r="AA1832" s="79" t="str">
        <f>IF(AND(MONTH(E1832)='IN-NX'!$J$5,'IN-NX'!$D$7=D1832),"x","")</f>
        <v/>
      </c>
      <c r="AB1832" s="79" t="str">
        <f>IF(AND(OR(LEFT(TH!N1832,2)="15",LEFT(TH!O1832,2)="15"),LEFT(TH!O1832,3)&lt;&gt;"111",'152-CT'!$J$8=TH!F1832),"x","")</f>
        <v/>
      </c>
      <c r="AC1832" s="79" t="str">
        <f>IF(AND(OR(LEFT(TH!N1832,2)="15",LEFT(TH!O1832,2)="15"),TK!$E$7=TH!F1832),"x","")</f>
        <v/>
      </c>
      <c r="AD1832" s="79" t="str">
        <f>IF(AND(N1832="1521",MONTH(C1832)='BK-NL'!$M$11),"x","")</f>
        <v/>
      </c>
    </row>
    <row r="1833" spans="1:30" ht="16.5" customHeight="1">
      <c r="A1833" s="318" t="str">
        <f>IF(B1833&lt;&gt;"",IF(AND(B1833='IN-TC'!$S$4,OR(TH!N1833="1111",TH!O1833="1111")),TH!D1833,""),"")</f>
        <v/>
      </c>
      <c r="B1833" s="60" t="str">
        <f t="shared" si="218"/>
        <v/>
      </c>
      <c r="C1833" s="974"/>
      <c r="D1833" s="974"/>
      <c r="E1833" s="974"/>
      <c r="F1833" s="305"/>
      <c r="G1833" s="976"/>
      <c r="H1833" s="759"/>
      <c r="I1833" s="383"/>
      <c r="J1833" s="390"/>
      <c r="K1833" s="383"/>
      <c r="L1833" s="390"/>
      <c r="M1833" s="978"/>
      <c r="N1833" s="979"/>
      <c r="O1833" s="979"/>
      <c r="P1833" s="79" t="str">
        <f>IF(AND('331-CT'!$E$7=TH!H1833,OR(N1833="331",O1833="331")),"x","")</f>
        <v/>
      </c>
      <c r="Q1833" s="79" t="str">
        <f>IF(AND(B1833='111'!$L$11,OR($N1833=$Q$7,$O1833=$Q$7)),"x","")</f>
        <v/>
      </c>
      <c r="R1833" s="79" t="str">
        <f>IF(AND($N1833=$Q$7,$B1833&lt;'111'!$L$11),"x","")</f>
        <v/>
      </c>
      <c r="S1833" s="79" t="str">
        <f>IF(AND($O1833=$Q$7,$B1833&lt;'111'!$L$11),"x","")</f>
        <v/>
      </c>
      <c r="T1833" s="79" t="str">
        <f>IF(ISERROR(FIND('112'!$M$9,G1833,1)),"",IF((AND(FIND('112'!$M$9,G1833,1)&gt;=1,B1833='112'!$K$9,OR($N1833='112'!$I$6,$O1833='112'!$I$6))),"x",""))</f>
        <v/>
      </c>
      <c r="U1833" s="79" t="str">
        <f>IF(ISERROR(FIND('112'!$M$9,G1833,1)),"",IF((AND(LEFT(G1833,2)=LEFT('112'!$M$9,2),B1833&lt;'112'!$K$9,$N1833='112'!$I$6)),"x",""))</f>
        <v/>
      </c>
      <c r="V1833" s="79" t="str">
        <f>IF(ISERROR(FIND('112'!$M$9,G1833,1)),"",IF((AND(RIGHT(G1833,2)=RIGHT('112'!$M$9,2),B1833&lt;'112'!$K$9,$O1833='112'!$I$6)),"x",""))</f>
        <v/>
      </c>
      <c r="W1833" s="79" t="str">
        <f>IF(AND('341-CT'!$H$9=H1833,OR(LEFT(N1833,3)=$W$7,LEFT(O1833,3)=$W$7)),"x","")</f>
        <v/>
      </c>
      <c r="X1833" s="79" t="str">
        <f>IF(OR(TH!N1833=TH!$X$7,O1833=TH!$X$7),"x","")</f>
        <v/>
      </c>
      <c r="Y1833" s="79" t="str">
        <f>IF(AND(OR(N1833="131",O1833="131"),H1833='131-CT'!$H$9),"x","")</f>
        <v/>
      </c>
      <c r="Z1833" s="79"/>
      <c r="AA1833" s="79" t="str">
        <f>IF(AND(MONTH(E1833)='IN-NX'!$J$5,'IN-NX'!$D$7=D1833),"x","")</f>
        <v/>
      </c>
      <c r="AB1833" s="79" t="str">
        <f>IF(AND(OR(LEFT(TH!N1833,2)="15",LEFT(TH!O1833,2)="15"),LEFT(TH!O1833,3)&lt;&gt;"111",'152-CT'!$J$8=TH!F1833),"x","")</f>
        <v/>
      </c>
      <c r="AC1833" s="79" t="str">
        <f>IF(AND(OR(LEFT(TH!N1833,2)="15",LEFT(TH!O1833,2)="15"),TK!$E$7=TH!F1833),"x","")</f>
        <v/>
      </c>
      <c r="AD1833" s="79" t="str">
        <f>IF(AND(N1833="1521",MONTH(C1833)='BK-NL'!$M$11),"x","")</f>
        <v/>
      </c>
    </row>
    <row r="1834" spans="1:30" ht="16.5" customHeight="1">
      <c r="A1834" s="318" t="str">
        <f>IF(B1834&lt;&gt;"",IF(AND(B1834='IN-TC'!$S$4,OR(TH!N1834="1111",TH!O1834="1111")),TH!D1834,""),"")</f>
        <v/>
      </c>
      <c r="B1834" s="60" t="str">
        <f t="shared" si="218"/>
        <v/>
      </c>
      <c r="C1834" s="974"/>
      <c r="D1834" s="974"/>
      <c r="E1834" s="974"/>
      <c r="F1834" s="1131"/>
      <c r="G1834" s="976"/>
      <c r="H1834" s="759"/>
      <c r="I1834" s="383"/>
      <c r="J1834" s="390"/>
      <c r="K1834" s="383"/>
      <c r="L1834" s="390"/>
      <c r="M1834" s="978"/>
      <c r="N1834" s="979"/>
      <c r="O1834" s="979"/>
      <c r="P1834" s="79" t="str">
        <f>IF(AND('331-CT'!$E$7=TH!H1834,OR(N1834="331",O1834="331")),"x","")</f>
        <v/>
      </c>
      <c r="Q1834" s="79" t="str">
        <f>IF(AND(B1834='111'!$L$11,OR($N1834=$Q$7,$O1834=$Q$7)),"x","")</f>
        <v/>
      </c>
      <c r="R1834" s="79" t="str">
        <f>IF(AND($N1834=$Q$7,$B1834&lt;'111'!$L$11),"x","")</f>
        <v/>
      </c>
      <c r="S1834" s="79" t="str">
        <f>IF(AND($O1834=$Q$7,$B1834&lt;'111'!$L$11),"x","")</f>
        <v/>
      </c>
      <c r="T1834" s="79" t="str">
        <f>IF(ISERROR(FIND('112'!$M$9,G1834,1)),"",IF((AND(FIND('112'!$M$9,G1834,1)&gt;=1,B1834='112'!$K$9,OR($N1834='112'!$I$6,$O1834='112'!$I$6))),"x",""))</f>
        <v/>
      </c>
      <c r="U1834" s="79" t="str">
        <f>IF(ISERROR(FIND('112'!$M$9,G1834,1)),"",IF((AND(LEFT(G1834,2)=LEFT('112'!$M$9,2),B1834&lt;'112'!$K$9,$N1834='112'!$I$6)),"x",""))</f>
        <v/>
      </c>
      <c r="V1834" s="79" t="str">
        <f>IF(ISERROR(FIND('112'!$M$9,G1834,1)),"",IF((AND(RIGHT(G1834,2)=RIGHT('112'!$M$9,2),B1834&lt;'112'!$K$9,$O1834='112'!$I$6)),"x",""))</f>
        <v/>
      </c>
      <c r="W1834" s="79" t="str">
        <f>IF(AND('341-CT'!$H$9=H1834,OR(LEFT(N1834,3)=$W$7,LEFT(O1834,3)=$W$7)),"x","")</f>
        <v/>
      </c>
      <c r="X1834" s="79" t="str">
        <f>IF(OR(TH!N1834=TH!$X$7,O1834=TH!$X$7),"x","")</f>
        <v/>
      </c>
      <c r="Y1834" s="79" t="str">
        <f>IF(AND(OR(N1834="131",O1834="131"),H1834='131-CT'!$H$9),"x","")</f>
        <v/>
      </c>
      <c r="Z1834" s="79"/>
      <c r="AA1834" s="79" t="str">
        <f>IF(AND(MONTH(E1834)='IN-NX'!$J$5,'IN-NX'!$D$7=D1834),"x","")</f>
        <v/>
      </c>
      <c r="AB1834" s="79" t="str">
        <f>IF(AND(OR(LEFT(TH!N1834,2)="15",LEFT(TH!O1834,2)="15"),LEFT(TH!O1834,3)&lt;&gt;"111",'152-CT'!$J$8=TH!F1834),"x","")</f>
        <v/>
      </c>
      <c r="AC1834" s="79" t="str">
        <f>IF(AND(OR(LEFT(TH!N1834,2)="15",LEFT(TH!O1834,2)="15"),TK!$E$7=TH!F1834),"x","")</f>
        <v/>
      </c>
      <c r="AD1834" s="79" t="str">
        <f>IF(AND(N1834="1521",MONTH(C1834)='BK-NL'!$M$11),"x","")</f>
        <v/>
      </c>
    </row>
    <row r="1835" spans="1:30" ht="16.5" customHeight="1">
      <c r="A1835" s="318" t="str">
        <f>IF(B1835&lt;&gt;"",IF(AND(B1835='IN-TC'!$S$4,OR(TH!N1835="1111",TH!O1835="1111")),TH!D1835,""),"")</f>
        <v/>
      </c>
      <c r="B1835" s="60" t="str">
        <f t="shared" si="218"/>
        <v/>
      </c>
      <c r="C1835" s="974"/>
      <c r="D1835" s="974"/>
      <c r="E1835" s="974"/>
      <c r="F1835" s="1131"/>
      <c r="G1835" s="976"/>
      <c r="H1835" s="759"/>
      <c r="I1835" s="383"/>
      <c r="J1835" s="390"/>
      <c r="K1835" s="383"/>
      <c r="L1835" s="390"/>
      <c r="M1835" s="978"/>
      <c r="N1835" s="979"/>
      <c r="O1835" s="979"/>
      <c r="P1835" s="79" t="str">
        <f>IF(AND('331-CT'!$E$7=TH!H1835,OR(N1835="331",O1835="331")),"x","")</f>
        <v/>
      </c>
      <c r="Q1835" s="79" t="str">
        <f>IF(AND(B1835='111'!$L$11,OR($N1835=$Q$7,$O1835=$Q$7)),"x","")</f>
        <v/>
      </c>
      <c r="R1835" s="79" t="str">
        <f>IF(AND($N1835=$Q$7,$B1835&lt;'111'!$L$11),"x","")</f>
        <v/>
      </c>
      <c r="S1835" s="79" t="str">
        <f>IF(AND($O1835=$Q$7,$B1835&lt;'111'!$L$11),"x","")</f>
        <v/>
      </c>
      <c r="T1835" s="79" t="str">
        <f>IF(ISERROR(FIND('112'!$M$9,G1835,1)),"",IF((AND(FIND('112'!$M$9,G1835,1)&gt;=1,B1835='112'!$K$9,OR($N1835='112'!$I$6,$O1835='112'!$I$6))),"x",""))</f>
        <v/>
      </c>
      <c r="U1835" s="79" t="str">
        <f>IF(ISERROR(FIND('112'!$M$9,G1835,1)),"",IF((AND(LEFT(G1835,2)=LEFT('112'!$M$9,2),B1835&lt;'112'!$K$9,$N1835='112'!$I$6)),"x",""))</f>
        <v/>
      </c>
      <c r="V1835" s="79" t="str">
        <f>IF(ISERROR(FIND('112'!$M$9,G1835,1)),"",IF((AND(RIGHT(G1835,2)=RIGHT('112'!$M$9,2),B1835&lt;'112'!$K$9,$O1835='112'!$I$6)),"x",""))</f>
        <v/>
      </c>
      <c r="W1835" s="79" t="str">
        <f>IF(AND('341-CT'!$H$9=H1835,OR(LEFT(N1835,3)=$W$7,LEFT(O1835,3)=$W$7)),"x","")</f>
        <v/>
      </c>
      <c r="X1835" s="79" t="str">
        <f>IF(OR(TH!N1835=TH!$X$7,O1835=TH!$X$7),"x","")</f>
        <v/>
      </c>
      <c r="Y1835" s="79" t="str">
        <f>IF(AND(OR(N1835="131",O1835="131"),H1835='131-CT'!$H$9),"x","")</f>
        <v/>
      </c>
      <c r="Z1835" s="79"/>
      <c r="AA1835" s="79" t="str">
        <f>IF(AND(MONTH(E1835)='IN-NX'!$J$5,'IN-NX'!$D$7=D1835),"x","")</f>
        <v/>
      </c>
      <c r="AB1835" s="79" t="str">
        <f>IF(AND(OR(LEFT(TH!N1835,2)="15",LEFT(TH!O1835,2)="15"),LEFT(TH!O1835,3)&lt;&gt;"111",'152-CT'!$J$8=TH!F1835),"x","")</f>
        <v/>
      </c>
      <c r="AC1835" s="79" t="str">
        <f>IF(AND(OR(LEFT(TH!N1835,2)="15",LEFT(TH!O1835,2)="15"),TK!$E$7=TH!F1835),"x","")</f>
        <v/>
      </c>
      <c r="AD1835" s="79" t="str">
        <f>IF(AND(N1835="1521",MONTH(C1835)='BK-NL'!$M$11),"x","")</f>
        <v/>
      </c>
    </row>
    <row r="1836" spans="1:30" ht="16.5" customHeight="1">
      <c r="A1836" s="318" t="str">
        <f>IF(B1836&lt;&gt;"",IF(AND(B1836='IN-TC'!$S$4,OR(TH!N1836="1111",TH!O1836="1111")),TH!D1836,""),"")</f>
        <v/>
      </c>
      <c r="B1836" s="60" t="str">
        <f t="shared" si="218"/>
        <v/>
      </c>
      <c r="C1836" s="974"/>
      <c r="D1836" s="974"/>
      <c r="E1836" s="974"/>
      <c r="F1836" s="1131"/>
      <c r="G1836" s="976"/>
      <c r="H1836" s="759"/>
      <c r="I1836" s="383"/>
      <c r="J1836" s="390"/>
      <c r="K1836" s="383"/>
      <c r="L1836" s="390"/>
      <c r="M1836" s="978"/>
      <c r="N1836" s="979"/>
      <c r="O1836" s="979"/>
      <c r="P1836" s="79" t="str">
        <f>IF(AND('331-CT'!$E$7=TH!H1836,OR(N1836="331",O1836="331")),"x","")</f>
        <v/>
      </c>
      <c r="Q1836" s="79" t="str">
        <f>IF(AND(B1836='111'!$L$11,OR($N1836=$Q$7,$O1836=$Q$7)),"x","")</f>
        <v/>
      </c>
      <c r="R1836" s="79" t="str">
        <f>IF(AND($N1836=$Q$7,$B1836&lt;'111'!$L$11),"x","")</f>
        <v/>
      </c>
      <c r="S1836" s="79" t="str">
        <f>IF(AND($O1836=$Q$7,$B1836&lt;'111'!$L$11),"x","")</f>
        <v/>
      </c>
      <c r="T1836" s="79" t="str">
        <f>IF(ISERROR(FIND('112'!$M$9,G1836,1)),"",IF((AND(FIND('112'!$M$9,G1836,1)&gt;=1,B1836='112'!$K$9,OR($N1836='112'!$I$6,$O1836='112'!$I$6))),"x",""))</f>
        <v/>
      </c>
      <c r="U1836" s="79" t="str">
        <f>IF(ISERROR(FIND('112'!$M$9,G1836,1)),"",IF((AND(LEFT(G1836,2)=LEFT('112'!$M$9,2),B1836&lt;'112'!$K$9,$N1836='112'!$I$6)),"x",""))</f>
        <v/>
      </c>
      <c r="V1836" s="79" t="str">
        <f>IF(ISERROR(FIND('112'!$M$9,G1836,1)),"",IF((AND(RIGHT(G1836,2)=RIGHT('112'!$M$9,2),B1836&lt;'112'!$K$9,$O1836='112'!$I$6)),"x",""))</f>
        <v/>
      </c>
      <c r="W1836" s="79" t="str">
        <f>IF(AND('341-CT'!$H$9=H1836,OR(LEFT(N1836,3)=$W$7,LEFT(O1836,3)=$W$7)),"x","")</f>
        <v/>
      </c>
      <c r="X1836" s="79" t="str">
        <f>IF(OR(TH!N1836=TH!$X$7,O1836=TH!$X$7),"x","")</f>
        <v/>
      </c>
      <c r="Y1836" s="79" t="str">
        <f>IF(AND(OR(N1836="131",O1836="131"),H1836='131-CT'!$H$9),"x","")</f>
        <v/>
      </c>
      <c r="Z1836" s="79"/>
      <c r="AA1836" s="79" t="str">
        <f>IF(AND(MONTH(E1836)='IN-NX'!$J$5,'IN-NX'!$D$7=D1836),"x","")</f>
        <v/>
      </c>
      <c r="AB1836" s="79" t="str">
        <f>IF(AND(OR(LEFT(TH!N1836,2)="15",LEFT(TH!O1836,2)="15"),LEFT(TH!O1836,3)&lt;&gt;"111",'152-CT'!$J$8=TH!F1836),"x","")</f>
        <v/>
      </c>
      <c r="AC1836" s="79" t="str">
        <f>IF(AND(OR(LEFT(TH!N1836,2)="15",LEFT(TH!O1836,2)="15"),TK!$E$7=TH!F1836),"x","")</f>
        <v/>
      </c>
      <c r="AD1836" s="79" t="str">
        <f>IF(AND(N1836="1521",MONTH(C1836)='BK-NL'!$M$11),"x","")</f>
        <v/>
      </c>
    </row>
    <row r="1837" spans="1:30" ht="16.5" customHeight="1">
      <c r="A1837" s="318" t="str">
        <f>IF(B1837&lt;&gt;"",IF(AND(B1837='IN-TC'!$S$4,OR(TH!N1837="1111",TH!O1837="1111")),TH!D1837,""),"")</f>
        <v/>
      </c>
      <c r="B1837" s="60" t="str">
        <f t="shared" si="211"/>
        <v/>
      </c>
      <c r="C1837" s="974"/>
      <c r="D1837" s="974"/>
      <c r="E1837" s="974"/>
      <c r="F1837" s="1131"/>
      <c r="G1837" s="976"/>
      <c r="H1837" s="759"/>
      <c r="I1837" s="383"/>
      <c r="J1837" s="390"/>
      <c r="K1837" s="383"/>
      <c r="L1837" s="390"/>
      <c r="M1837" s="978"/>
      <c r="N1837" s="979"/>
      <c r="O1837" s="979"/>
      <c r="P1837" s="79" t="str">
        <f>IF(AND('331-CT'!$E$7=TH!H1837,OR(N1837="331",O1837="331")),"x","")</f>
        <v/>
      </c>
      <c r="Q1837" s="79" t="str">
        <f>IF(AND(B1837='111'!$L$11,OR($N1837=$Q$7,$O1837=$Q$7)),"x","")</f>
        <v/>
      </c>
      <c r="R1837" s="79" t="str">
        <f>IF(AND($N1837=$Q$7,$B1837&lt;'111'!$L$11),"x","")</f>
        <v/>
      </c>
      <c r="S1837" s="79" t="str">
        <f>IF(AND($O1837=$Q$7,$B1837&lt;'111'!$L$11),"x","")</f>
        <v/>
      </c>
      <c r="T1837" s="79" t="str">
        <f>IF(ISERROR(FIND('112'!$M$9,G1837,1)),"",IF((AND(FIND('112'!$M$9,G1837,1)&gt;=1,B1837='112'!$K$9,OR($N1837='112'!$I$6,$O1837='112'!$I$6))),"x",""))</f>
        <v/>
      </c>
      <c r="U1837" s="79" t="str">
        <f>IF(ISERROR(FIND('112'!$M$9,G1837,1)),"",IF((AND(LEFT(G1837,2)=LEFT('112'!$M$9,2),B1837&lt;'112'!$K$9,$N1837='112'!$I$6)),"x",""))</f>
        <v/>
      </c>
      <c r="V1837" s="79" t="str">
        <f>IF(ISERROR(FIND('112'!$M$9,G1837,1)),"",IF((AND(RIGHT(G1837,2)=RIGHT('112'!$M$9,2),B1837&lt;'112'!$K$9,$O1837='112'!$I$6)),"x",""))</f>
        <v/>
      </c>
      <c r="W1837" s="79" t="str">
        <f>IF(AND('341-CT'!$H$9=H1837,OR(LEFT(N1837,3)=$W$7,LEFT(O1837,3)=$W$7)),"x","")</f>
        <v/>
      </c>
      <c r="X1837" s="79" t="str">
        <f>IF(OR(TH!N1837=TH!$X$7,O1837=TH!$X$7),"x","")</f>
        <v/>
      </c>
      <c r="Y1837" s="79" t="str">
        <f>IF(AND(OR(N1837="131",O1837="131"),H1837='131-CT'!$H$9),"x","")</f>
        <v/>
      </c>
      <c r="Z1837" s="79"/>
      <c r="AA1837" s="79" t="str">
        <f>IF(AND(MONTH(E1837)='IN-NX'!$J$5,'IN-NX'!$D$7=D1837),"x","")</f>
        <v/>
      </c>
      <c r="AB1837" s="79" t="str">
        <f>IF(AND(OR(LEFT(TH!N1837,2)="15",LEFT(TH!O1837,2)="15"),LEFT(TH!O1837,3)&lt;&gt;"111",'152-CT'!$J$8=TH!F1837),"x","")</f>
        <v/>
      </c>
      <c r="AC1837" s="79" t="str">
        <f>IF(AND(OR(LEFT(TH!N1837,2)="15",LEFT(TH!O1837,2)="15"),TK!$E$7=TH!F1837),"x","")</f>
        <v/>
      </c>
      <c r="AD1837" s="79" t="str">
        <f>IF(AND(N1837="1521",MONTH(C1837)='BK-NL'!$M$11),"x","")</f>
        <v/>
      </c>
    </row>
    <row r="1838" spans="1:30" ht="16.5" customHeight="1">
      <c r="A1838" s="318" t="str">
        <f>IF(B1838&lt;&gt;"",IF(AND(B1838='IN-TC'!$S$4,OR(TH!N1838="1111",TH!O1838="1111")),TH!D1838,""),"")</f>
        <v/>
      </c>
      <c r="B1838" s="60" t="str">
        <f t="shared" si="211"/>
        <v/>
      </c>
      <c r="C1838" s="974"/>
      <c r="D1838" s="974"/>
      <c r="E1838" s="974"/>
      <c r="F1838" s="1131"/>
      <c r="G1838" s="976"/>
      <c r="H1838" s="759"/>
      <c r="I1838" s="383"/>
      <c r="J1838" s="390"/>
      <c r="K1838" s="383"/>
      <c r="L1838" s="390"/>
      <c r="M1838" s="978"/>
      <c r="N1838" s="979"/>
      <c r="O1838" s="979"/>
      <c r="P1838" s="79" t="str">
        <f>IF(AND('331-CT'!$E$7=TH!H1838,OR(N1838="331",O1838="331")),"x","")</f>
        <v/>
      </c>
      <c r="Q1838" s="79" t="str">
        <f>IF(AND(B1838='111'!$L$11,OR($N1838=$Q$7,$O1838=$Q$7)),"x","")</f>
        <v/>
      </c>
      <c r="R1838" s="79" t="str">
        <f>IF(AND($N1838=$Q$7,$B1838&lt;'111'!$L$11),"x","")</f>
        <v/>
      </c>
      <c r="S1838" s="79" t="str">
        <f>IF(AND($O1838=$Q$7,$B1838&lt;'111'!$L$11),"x","")</f>
        <v/>
      </c>
      <c r="T1838" s="79" t="str">
        <f>IF(ISERROR(FIND('112'!$M$9,G1838,1)),"",IF((AND(FIND('112'!$M$9,G1838,1)&gt;=1,B1838='112'!$K$9,OR($N1838='112'!$I$6,$O1838='112'!$I$6))),"x",""))</f>
        <v/>
      </c>
      <c r="U1838" s="79" t="str">
        <f>IF(ISERROR(FIND('112'!$M$9,G1838,1)),"",IF((AND(LEFT(G1838,2)=LEFT('112'!$M$9,2),B1838&lt;'112'!$K$9,$N1838='112'!$I$6)),"x",""))</f>
        <v/>
      </c>
      <c r="V1838" s="79" t="str">
        <f>IF(ISERROR(FIND('112'!$M$9,G1838,1)),"",IF((AND(RIGHT(G1838,2)=RIGHT('112'!$M$9,2),B1838&lt;'112'!$K$9,$O1838='112'!$I$6)),"x",""))</f>
        <v/>
      </c>
      <c r="W1838" s="79" t="str">
        <f>IF(AND('341-CT'!$H$9=H1838,OR(LEFT(N1838,3)=$W$7,LEFT(O1838,3)=$W$7)),"x","")</f>
        <v/>
      </c>
      <c r="X1838" s="79" t="str">
        <f>IF(OR(TH!N1838=TH!$X$7,O1838=TH!$X$7),"x","")</f>
        <v/>
      </c>
      <c r="Y1838" s="79" t="str">
        <f>IF(AND(OR(N1838="131",O1838="131"),H1838='131-CT'!$H$9),"x","")</f>
        <v/>
      </c>
      <c r="Z1838" s="79"/>
      <c r="AA1838" s="79" t="str">
        <f>IF(AND(MONTH(E1838)='IN-NX'!$J$5,'IN-NX'!$D$7=D1838),"x","")</f>
        <v/>
      </c>
      <c r="AB1838" s="79" t="str">
        <f>IF(AND(OR(LEFT(TH!N1838,2)="15",LEFT(TH!O1838,2)="15"),LEFT(TH!O1838,3)&lt;&gt;"111",'152-CT'!$J$8=TH!F1838),"x","")</f>
        <v/>
      </c>
      <c r="AC1838" s="79" t="str">
        <f>IF(AND(OR(LEFT(TH!N1838,2)="15",LEFT(TH!O1838,2)="15"),TK!$E$7=TH!F1838),"x","")</f>
        <v/>
      </c>
      <c r="AD1838" s="79" t="str">
        <f>IF(AND(N1838="1521",MONTH(C1838)='BK-NL'!$M$11),"x","")</f>
        <v/>
      </c>
    </row>
    <row r="1839" spans="1:30" ht="16.5" customHeight="1">
      <c r="A1839" s="318" t="str">
        <f>IF(B1839&lt;&gt;"",IF(AND(B1839='IN-TC'!$S$4,OR(TH!N1839="1111",TH!O1839="1111")),TH!D1839,""),"")</f>
        <v/>
      </c>
      <c r="B1839" s="60" t="str">
        <f t="shared" si="211"/>
        <v/>
      </c>
      <c r="C1839" s="974"/>
      <c r="D1839" s="974"/>
      <c r="E1839" s="974"/>
      <c r="F1839" s="305"/>
      <c r="G1839" s="976"/>
      <c r="H1839" s="759"/>
      <c r="I1839" s="383"/>
      <c r="J1839" s="390"/>
      <c r="K1839" s="383"/>
      <c r="L1839" s="390"/>
      <c r="M1839" s="978"/>
      <c r="N1839" s="979"/>
      <c r="O1839" s="979"/>
      <c r="P1839" s="79" t="str">
        <f>IF(AND('331-CT'!$E$7=TH!H1839,OR(N1839="331",O1839="331")),"x","")</f>
        <v/>
      </c>
      <c r="Q1839" s="79" t="str">
        <f>IF(AND(B1839='111'!$L$11,OR($N1839=$Q$7,$O1839=$Q$7)),"x","")</f>
        <v/>
      </c>
      <c r="R1839" s="79" t="str">
        <f>IF(AND($N1839=$Q$7,$B1839&lt;'111'!$L$11),"x","")</f>
        <v/>
      </c>
      <c r="S1839" s="79" t="str">
        <f>IF(AND($O1839=$Q$7,$B1839&lt;'111'!$L$11),"x","")</f>
        <v/>
      </c>
      <c r="T1839" s="79" t="str">
        <f>IF(ISERROR(FIND('112'!$M$9,G1839,1)),"",IF((AND(FIND('112'!$M$9,G1839,1)&gt;=1,B1839='112'!$K$9,OR($N1839='112'!$I$6,$O1839='112'!$I$6))),"x",""))</f>
        <v/>
      </c>
      <c r="U1839" s="79" t="str">
        <f>IF(ISERROR(FIND('112'!$M$9,G1839,1)),"",IF((AND(LEFT(G1839,2)=LEFT('112'!$M$9,2),B1839&lt;'112'!$K$9,$N1839='112'!$I$6)),"x",""))</f>
        <v/>
      </c>
      <c r="V1839" s="79" t="str">
        <f>IF(ISERROR(FIND('112'!$M$9,G1839,1)),"",IF((AND(RIGHT(G1839,2)=RIGHT('112'!$M$9,2),B1839&lt;'112'!$K$9,$O1839='112'!$I$6)),"x",""))</f>
        <v/>
      </c>
      <c r="W1839" s="79" t="str">
        <f>IF(AND('341-CT'!$H$9=H1839,OR(LEFT(N1839,3)=$W$7,LEFT(O1839,3)=$W$7)),"x","")</f>
        <v/>
      </c>
      <c r="X1839" s="79" t="str">
        <f>IF(OR(TH!N1839=TH!$X$7,O1839=TH!$X$7),"x","")</f>
        <v/>
      </c>
      <c r="Y1839" s="79" t="str">
        <f>IF(AND(OR(N1839="131",O1839="131"),H1839='131-CT'!$H$9),"x","")</f>
        <v/>
      </c>
      <c r="Z1839" s="79"/>
      <c r="AA1839" s="79" t="str">
        <f>IF(AND(MONTH(E1839)='IN-NX'!$J$5,'IN-NX'!$D$7=D1839),"x","")</f>
        <v/>
      </c>
      <c r="AB1839" s="79" t="str">
        <f>IF(AND(OR(LEFT(TH!N1839,2)="15",LEFT(TH!O1839,2)="15"),LEFT(TH!O1839,3)&lt;&gt;"111",'152-CT'!$J$8=TH!F1839),"x","")</f>
        <v/>
      </c>
      <c r="AC1839" s="79" t="str">
        <f>IF(AND(OR(LEFT(TH!N1839,2)="15",LEFT(TH!O1839,2)="15"),TK!$E$7=TH!F1839),"x","")</f>
        <v/>
      </c>
      <c r="AD1839" s="79" t="str">
        <f>IF(AND(N1839="1521",MONTH(C1839)='BK-NL'!$M$11),"x","")</f>
        <v/>
      </c>
    </row>
    <row r="1840" spans="1:30" ht="16.5" customHeight="1">
      <c r="A1840" s="318" t="str">
        <f>IF(B1840&lt;&gt;"",IF(AND(B1840='IN-TC'!$S$4,OR(TH!N1840="1111",TH!O1840="1111")),TH!D1840,""),"")</f>
        <v/>
      </c>
      <c r="B1840" s="60" t="str">
        <f t="shared" si="211"/>
        <v/>
      </c>
      <c r="C1840" s="974"/>
      <c r="D1840" s="974"/>
      <c r="E1840" s="974"/>
      <c r="F1840" s="305"/>
      <c r="G1840" s="976"/>
      <c r="H1840" s="759"/>
      <c r="I1840" s="383"/>
      <c r="J1840" s="390"/>
      <c r="K1840" s="383"/>
      <c r="L1840" s="390"/>
      <c r="M1840" s="978"/>
      <c r="N1840" s="979"/>
      <c r="O1840" s="979"/>
      <c r="P1840" s="79" t="str">
        <f>IF(AND('331-CT'!$E$7=TH!H1840,OR(N1840="331",O1840="331")),"x","")</f>
        <v/>
      </c>
      <c r="Q1840" s="79" t="str">
        <f>IF(AND(B1840='111'!$L$11,OR($N1840=$Q$7,$O1840=$Q$7)),"x","")</f>
        <v/>
      </c>
      <c r="R1840" s="79" t="str">
        <f>IF(AND($N1840=$Q$7,$B1840&lt;'111'!$L$11),"x","")</f>
        <v/>
      </c>
      <c r="S1840" s="79" t="str">
        <f>IF(AND($O1840=$Q$7,$B1840&lt;'111'!$L$11),"x","")</f>
        <v/>
      </c>
      <c r="T1840" s="79" t="str">
        <f>IF(ISERROR(FIND('112'!$M$9,G1840,1)),"",IF((AND(FIND('112'!$M$9,G1840,1)&gt;=1,B1840='112'!$K$9,OR($N1840='112'!$I$6,$O1840='112'!$I$6))),"x",""))</f>
        <v/>
      </c>
      <c r="U1840" s="79" t="str">
        <f>IF(ISERROR(FIND('112'!$M$9,G1840,1)),"",IF((AND(LEFT(G1840,2)=LEFT('112'!$M$9,2),B1840&lt;'112'!$K$9,$N1840='112'!$I$6)),"x",""))</f>
        <v/>
      </c>
      <c r="V1840" s="79" t="str">
        <f>IF(ISERROR(FIND('112'!$M$9,G1840,1)),"",IF((AND(RIGHT(G1840,2)=RIGHT('112'!$M$9,2),B1840&lt;'112'!$K$9,$O1840='112'!$I$6)),"x",""))</f>
        <v/>
      </c>
      <c r="W1840" s="79" t="str">
        <f>IF(AND('341-CT'!$H$9=H1840,OR(LEFT(N1840,3)=$W$7,LEFT(O1840,3)=$W$7)),"x","")</f>
        <v/>
      </c>
      <c r="X1840" s="79" t="str">
        <f>IF(OR(TH!N1840=TH!$X$7,O1840=TH!$X$7),"x","")</f>
        <v/>
      </c>
      <c r="Y1840" s="79" t="str">
        <f>IF(AND(OR(N1840="131",O1840="131"),H1840='131-CT'!$H$9),"x","")</f>
        <v/>
      </c>
      <c r="Z1840" s="79"/>
      <c r="AA1840" s="79" t="str">
        <f>IF(AND(MONTH(E1840)='IN-NX'!$J$5,'IN-NX'!$D$7=D1840),"x","")</f>
        <v/>
      </c>
      <c r="AB1840" s="79" t="str">
        <f>IF(AND(OR(LEFT(TH!N1840,2)="15",LEFT(TH!O1840,2)="15"),LEFT(TH!O1840,3)&lt;&gt;"111",'152-CT'!$J$8=TH!F1840),"x","")</f>
        <v/>
      </c>
      <c r="AC1840" s="79" t="str">
        <f>IF(AND(OR(LEFT(TH!N1840,2)="15",LEFT(TH!O1840,2)="15"),TK!$E$7=TH!F1840),"x","")</f>
        <v/>
      </c>
      <c r="AD1840" s="79" t="str">
        <f>IF(AND(N1840="1521",MONTH(C1840)='BK-NL'!$M$11),"x","")</f>
        <v/>
      </c>
    </row>
    <row r="1841" spans="1:30" ht="16.5" customHeight="1">
      <c r="A1841" s="318" t="str">
        <f>IF(B1841&lt;&gt;"",IF(AND(B1841='IN-TC'!$S$4,OR(TH!N1841="1111",TH!O1841="1111")),TH!D1841,""),"")</f>
        <v/>
      </c>
      <c r="B1841" s="60" t="str">
        <f t="shared" ref="B1841:B1843" si="219">IF(C1841&lt;&gt;"",MONTH(C1841),"")</f>
        <v/>
      </c>
      <c r="C1841" s="974"/>
      <c r="D1841" s="974"/>
      <c r="E1841" s="974"/>
      <c r="F1841" s="1131"/>
      <c r="G1841" s="976"/>
      <c r="H1841" s="759"/>
      <c r="I1841" s="383"/>
      <c r="J1841" s="390"/>
      <c r="K1841" s="383"/>
      <c r="L1841" s="390"/>
      <c r="M1841" s="978"/>
      <c r="N1841" s="979"/>
      <c r="O1841" s="979"/>
      <c r="P1841" s="79" t="str">
        <f>IF(AND('331-CT'!$E$7=TH!H1841,OR(N1841="331",O1841="331")),"x","")</f>
        <v/>
      </c>
      <c r="Q1841" s="79" t="str">
        <f>IF(AND(B1841='111'!$L$11,OR($N1841=$Q$7,$O1841=$Q$7)),"x","")</f>
        <v/>
      </c>
      <c r="R1841" s="79" t="str">
        <f>IF(AND($N1841=$Q$7,$B1841&lt;'111'!$L$11),"x","")</f>
        <v/>
      </c>
      <c r="S1841" s="79" t="str">
        <f>IF(AND($O1841=$Q$7,$B1841&lt;'111'!$L$11),"x","")</f>
        <v/>
      </c>
      <c r="T1841" s="79" t="str">
        <f>IF(ISERROR(FIND('112'!$M$9,G1841,1)),"",IF((AND(FIND('112'!$M$9,G1841,1)&gt;=1,B1841='112'!$K$9,OR($N1841='112'!$I$6,$O1841='112'!$I$6))),"x",""))</f>
        <v/>
      </c>
      <c r="U1841" s="79" t="str">
        <f>IF(ISERROR(FIND('112'!$M$9,G1841,1)),"",IF((AND(LEFT(G1841,2)=LEFT('112'!$M$9,2),B1841&lt;'112'!$K$9,$N1841='112'!$I$6)),"x",""))</f>
        <v/>
      </c>
      <c r="V1841" s="79" t="str">
        <f>IF(ISERROR(FIND('112'!$M$9,G1841,1)),"",IF((AND(RIGHT(G1841,2)=RIGHT('112'!$M$9,2),B1841&lt;'112'!$K$9,$O1841='112'!$I$6)),"x",""))</f>
        <v/>
      </c>
      <c r="W1841" s="79" t="str">
        <f>IF(AND('341-CT'!$H$9=H1841,OR(LEFT(N1841,3)=$W$7,LEFT(O1841,3)=$W$7)),"x","")</f>
        <v/>
      </c>
      <c r="X1841" s="79" t="str">
        <f>IF(OR(TH!N1841=TH!$X$7,O1841=TH!$X$7),"x","")</f>
        <v/>
      </c>
      <c r="Y1841" s="79" t="str">
        <f>IF(AND(OR(N1841="131",O1841="131"),H1841='131-CT'!$H$9),"x","")</f>
        <v/>
      </c>
      <c r="Z1841" s="79"/>
      <c r="AA1841" s="79" t="str">
        <f>IF(AND(MONTH(E1841)='IN-NX'!$J$5,'IN-NX'!$D$7=D1841),"x","")</f>
        <v/>
      </c>
      <c r="AB1841" s="79" t="str">
        <f>IF(AND(OR(LEFT(TH!N1841,2)="15",LEFT(TH!O1841,2)="15"),LEFT(TH!O1841,3)&lt;&gt;"111",'152-CT'!$J$8=TH!F1841),"x","")</f>
        <v/>
      </c>
      <c r="AC1841" s="79" t="str">
        <f>IF(AND(OR(LEFT(TH!N1841,2)="15",LEFT(TH!O1841,2)="15"),TK!$E$7=TH!F1841),"x","")</f>
        <v/>
      </c>
      <c r="AD1841" s="79" t="str">
        <f>IF(AND(N1841="1521",MONTH(C1841)='BK-NL'!$M$11),"x","")</f>
        <v/>
      </c>
    </row>
    <row r="1842" spans="1:30" ht="16.5" customHeight="1">
      <c r="A1842" s="318" t="str">
        <f>IF(B1842&lt;&gt;"",IF(AND(B1842='IN-TC'!$S$4,OR(TH!N1842="1111",TH!O1842="1111")),TH!D1842,""),"")</f>
        <v/>
      </c>
      <c r="B1842" s="60" t="str">
        <f t="shared" si="219"/>
        <v/>
      </c>
      <c r="C1842" s="974"/>
      <c r="D1842" s="974"/>
      <c r="E1842" s="974"/>
      <c r="F1842" s="1131"/>
      <c r="G1842" s="976"/>
      <c r="H1842" s="759"/>
      <c r="I1842" s="383"/>
      <c r="J1842" s="390"/>
      <c r="K1842" s="383"/>
      <c r="L1842" s="390"/>
      <c r="M1842" s="978"/>
      <c r="N1842" s="979"/>
      <c r="O1842" s="979"/>
      <c r="P1842" s="79" t="str">
        <f>IF(AND('331-CT'!$E$7=TH!H1842,OR(N1842="331",O1842="331")),"x","")</f>
        <v/>
      </c>
      <c r="Q1842" s="79" t="str">
        <f>IF(AND(B1842='111'!$L$11,OR($N1842=$Q$7,$O1842=$Q$7)),"x","")</f>
        <v/>
      </c>
      <c r="R1842" s="79" t="str">
        <f>IF(AND($N1842=$Q$7,$B1842&lt;'111'!$L$11),"x","")</f>
        <v/>
      </c>
      <c r="S1842" s="79" t="str">
        <f>IF(AND($O1842=$Q$7,$B1842&lt;'111'!$L$11),"x","")</f>
        <v/>
      </c>
      <c r="T1842" s="79" t="str">
        <f>IF(ISERROR(FIND('112'!$M$9,G1842,1)),"",IF((AND(FIND('112'!$M$9,G1842,1)&gt;=1,B1842='112'!$K$9,OR($N1842='112'!$I$6,$O1842='112'!$I$6))),"x",""))</f>
        <v/>
      </c>
      <c r="U1842" s="79" t="str">
        <f>IF(ISERROR(FIND('112'!$M$9,G1842,1)),"",IF((AND(LEFT(G1842,2)=LEFT('112'!$M$9,2),B1842&lt;'112'!$K$9,$N1842='112'!$I$6)),"x",""))</f>
        <v/>
      </c>
      <c r="V1842" s="79" t="str">
        <f>IF(ISERROR(FIND('112'!$M$9,G1842,1)),"",IF((AND(RIGHT(G1842,2)=RIGHT('112'!$M$9,2),B1842&lt;'112'!$K$9,$O1842='112'!$I$6)),"x",""))</f>
        <v/>
      </c>
      <c r="W1842" s="79" t="str">
        <f>IF(AND('341-CT'!$H$9=H1842,OR(LEFT(N1842,3)=$W$7,LEFT(O1842,3)=$W$7)),"x","")</f>
        <v/>
      </c>
      <c r="X1842" s="79" t="str">
        <f>IF(OR(TH!N1842=TH!$X$7,O1842=TH!$X$7),"x","")</f>
        <v/>
      </c>
      <c r="Y1842" s="79" t="str">
        <f>IF(AND(OR(N1842="131",O1842="131"),H1842='131-CT'!$H$9),"x","")</f>
        <v/>
      </c>
      <c r="Z1842" s="79"/>
      <c r="AA1842" s="79" t="str">
        <f>IF(AND(MONTH(E1842)='IN-NX'!$J$5,'IN-NX'!$D$7=D1842),"x","")</f>
        <v/>
      </c>
      <c r="AB1842" s="79" t="str">
        <f>IF(AND(OR(LEFT(TH!N1842,2)="15",LEFT(TH!O1842,2)="15"),LEFT(TH!O1842,3)&lt;&gt;"111",'152-CT'!$J$8=TH!F1842),"x","")</f>
        <v/>
      </c>
      <c r="AC1842" s="79" t="str">
        <f>IF(AND(OR(LEFT(TH!N1842,2)="15",LEFT(TH!O1842,2)="15"),TK!$E$7=TH!F1842),"x","")</f>
        <v/>
      </c>
      <c r="AD1842" s="79" t="str">
        <f>IF(AND(N1842="1521",MONTH(C1842)='BK-NL'!$M$11),"x","")</f>
        <v/>
      </c>
    </row>
    <row r="1843" spans="1:30" ht="16.5" customHeight="1">
      <c r="A1843" s="318" t="str">
        <f>IF(B1843&lt;&gt;"",IF(AND(B1843='IN-TC'!$S$4,OR(TH!N1843="1111",TH!O1843="1111")),TH!D1843,""),"")</f>
        <v/>
      </c>
      <c r="B1843" s="60" t="str">
        <f t="shared" si="219"/>
        <v/>
      </c>
      <c r="C1843" s="974"/>
      <c r="D1843" s="974"/>
      <c r="E1843" s="974"/>
      <c r="F1843" s="1131"/>
      <c r="G1843" s="976"/>
      <c r="H1843" s="759"/>
      <c r="I1843" s="383"/>
      <c r="J1843" s="390"/>
      <c r="K1843" s="383"/>
      <c r="L1843" s="390"/>
      <c r="M1843" s="978"/>
      <c r="N1843" s="979"/>
      <c r="O1843" s="979"/>
      <c r="P1843" s="79" t="str">
        <f>IF(AND('331-CT'!$E$7=TH!H1843,OR(N1843="331",O1843="331")),"x","")</f>
        <v/>
      </c>
      <c r="Q1843" s="79" t="str">
        <f>IF(AND(B1843='111'!$L$11,OR($N1843=$Q$7,$O1843=$Q$7)),"x","")</f>
        <v/>
      </c>
      <c r="R1843" s="79" t="str">
        <f>IF(AND($N1843=$Q$7,$B1843&lt;'111'!$L$11),"x","")</f>
        <v/>
      </c>
      <c r="S1843" s="79" t="str">
        <f>IF(AND($O1843=$Q$7,$B1843&lt;'111'!$L$11),"x","")</f>
        <v/>
      </c>
      <c r="T1843" s="79" t="str">
        <f>IF(ISERROR(FIND('112'!$M$9,G1843,1)),"",IF((AND(FIND('112'!$M$9,G1843,1)&gt;=1,B1843='112'!$K$9,OR($N1843='112'!$I$6,$O1843='112'!$I$6))),"x",""))</f>
        <v/>
      </c>
      <c r="U1843" s="79" t="str">
        <f>IF(ISERROR(FIND('112'!$M$9,G1843,1)),"",IF((AND(LEFT(G1843,2)=LEFT('112'!$M$9,2),B1843&lt;'112'!$K$9,$N1843='112'!$I$6)),"x",""))</f>
        <v/>
      </c>
      <c r="V1843" s="79" t="str">
        <f>IF(ISERROR(FIND('112'!$M$9,G1843,1)),"",IF((AND(RIGHT(G1843,2)=RIGHT('112'!$M$9,2),B1843&lt;'112'!$K$9,$O1843='112'!$I$6)),"x",""))</f>
        <v/>
      </c>
      <c r="W1843" s="79" t="str">
        <f>IF(AND('341-CT'!$H$9=H1843,OR(LEFT(N1843,3)=$W$7,LEFT(O1843,3)=$W$7)),"x","")</f>
        <v/>
      </c>
      <c r="X1843" s="79" t="str">
        <f>IF(OR(TH!N1843=TH!$X$7,O1843=TH!$X$7),"x","")</f>
        <v/>
      </c>
      <c r="Y1843" s="79" t="str">
        <f>IF(AND(OR(N1843="131",O1843="131"),H1843='131-CT'!$H$9),"x","")</f>
        <v/>
      </c>
      <c r="Z1843" s="79"/>
      <c r="AA1843" s="79" t="str">
        <f>IF(AND(MONTH(E1843)='IN-NX'!$J$5,'IN-NX'!$D$7=D1843),"x","")</f>
        <v/>
      </c>
      <c r="AB1843" s="79" t="str">
        <f>IF(AND(OR(LEFT(TH!N1843,2)="15",LEFT(TH!O1843,2)="15"),LEFT(TH!O1843,3)&lt;&gt;"111",'152-CT'!$J$8=TH!F1843),"x","")</f>
        <v/>
      </c>
      <c r="AC1843" s="79" t="str">
        <f>IF(AND(OR(LEFT(TH!N1843,2)="15",LEFT(TH!O1843,2)="15"),TK!$E$7=TH!F1843),"x","")</f>
        <v/>
      </c>
      <c r="AD1843" s="79" t="str">
        <f>IF(AND(N1843="1521",MONTH(C1843)='BK-NL'!$M$11),"x","")</f>
        <v/>
      </c>
    </row>
    <row r="1844" spans="1:30" ht="16.5" customHeight="1">
      <c r="A1844" s="318" t="str">
        <f>IF(B1844&lt;&gt;"",IF(AND(B1844='IN-TC'!$S$4,OR(TH!N1844="1111",TH!O1844="1111")),TH!D1844,""),"")</f>
        <v/>
      </c>
      <c r="B1844" s="60" t="str">
        <f t="shared" ref="B1844:B1969" si="220">IF(C1844&lt;&gt;"",MONTH(C1844),"")</f>
        <v/>
      </c>
      <c r="C1844" s="974"/>
      <c r="D1844" s="974"/>
      <c r="E1844" s="974"/>
      <c r="F1844" s="1131"/>
      <c r="G1844" s="976"/>
      <c r="H1844" s="759"/>
      <c r="I1844" s="383"/>
      <c r="J1844" s="390"/>
      <c r="K1844" s="383"/>
      <c r="L1844" s="390"/>
      <c r="M1844" s="978"/>
      <c r="N1844" s="979"/>
      <c r="O1844" s="979"/>
      <c r="P1844" s="79" t="str">
        <f>IF(AND('331-CT'!$E$7=TH!H1844,OR(N1844="331",O1844="331")),"x","")</f>
        <v/>
      </c>
      <c r="Q1844" s="79" t="str">
        <f>IF(AND(B1844='111'!$L$11,OR($N1844=$Q$7,$O1844=$Q$7)),"x","")</f>
        <v/>
      </c>
      <c r="R1844" s="79" t="str">
        <f>IF(AND($N1844=$Q$7,$B1844&lt;'111'!$L$11),"x","")</f>
        <v/>
      </c>
      <c r="S1844" s="79" t="str">
        <f>IF(AND($O1844=$Q$7,$B1844&lt;'111'!$L$11),"x","")</f>
        <v/>
      </c>
      <c r="T1844" s="79" t="str">
        <f>IF(ISERROR(FIND('112'!$M$9,G1844,1)),"",IF((AND(FIND('112'!$M$9,G1844,1)&gt;=1,B1844='112'!$K$9,OR($N1844='112'!$I$6,$O1844='112'!$I$6))),"x",""))</f>
        <v/>
      </c>
      <c r="U1844" s="79" t="str">
        <f>IF(ISERROR(FIND('112'!$M$9,G1844,1)),"",IF((AND(LEFT(G1844,2)=LEFT('112'!$M$9,2),B1844&lt;'112'!$K$9,$N1844='112'!$I$6)),"x",""))</f>
        <v/>
      </c>
      <c r="V1844" s="79" t="str">
        <f>IF(ISERROR(FIND('112'!$M$9,G1844,1)),"",IF((AND(RIGHT(G1844,2)=RIGHT('112'!$M$9,2),B1844&lt;'112'!$K$9,$O1844='112'!$I$6)),"x",""))</f>
        <v/>
      </c>
      <c r="W1844" s="79" t="str">
        <f>IF(AND('341-CT'!$H$9=H1844,OR(LEFT(N1844,3)=$W$7,LEFT(O1844,3)=$W$7)),"x","")</f>
        <v/>
      </c>
      <c r="X1844" s="79" t="str">
        <f>IF(OR(TH!N1844=TH!$X$7,O1844=TH!$X$7),"x","")</f>
        <v/>
      </c>
      <c r="Y1844" s="79" t="str">
        <f>IF(AND(OR(N1844="131",O1844="131"),H1844='131-CT'!$H$9),"x","")</f>
        <v/>
      </c>
      <c r="Z1844" s="79"/>
      <c r="AA1844" s="79" t="str">
        <f>IF(AND(MONTH(E1844)='IN-NX'!$J$5,'IN-NX'!$D$7=D1844),"x","")</f>
        <v/>
      </c>
      <c r="AB1844" s="79" t="str">
        <f>IF(AND(OR(LEFT(TH!N1844,2)="15",LEFT(TH!O1844,2)="15"),LEFT(TH!O1844,3)&lt;&gt;"111",'152-CT'!$J$8=TH!F1844),"x","")</f>
        <v/>
      </c>
      <c r="AC1844" s="79" t="str">
        <f>IF(AND(OR(LEFT(TH!N1844,2)="15",LEFT(TH!O1844,2)="15"),TK!$E$7=TH!F1844),"x","")</f>
        <v/>
      </c>
      <c r="AD1844" s="79" t="str">
        <f>IF(AND(N1844="1521",MONTH(C1844)='BK-NL'!$M$11),"x","")</f>
        <v/>
      </c>
    </row>
    <row r="1845" spans="1:30" ht="16.5" customHeight="1">
      <c r="A1845" s="318" t="str">
        <f>IF(B1845&lt;&gt;"",IF(AND(B1845='IN-TC'!$S$4,OR(TH!N1845="1111",TH!O1845="1111")),TH!D1845,""),"")</f>
        <v/>
      </c>
      <c r="B1845" s="60" t="str">
        <f t="shared" si="220"/>
        <v/>
      </c>
      <c r="C1845" s="974"/>
      <c r="D1845" s="974"/>
      <c r="E1845" s="974"/>
      <c r="F1845" s="1131"/>
      <c r="G1845" s="976"/>
      <c r="H1845" s="759"/>
      <c r="I1845" s="383"/>
      <c r="J1845" s="390"/>
      <c r="K1845" s="383"/>
      <c r="L1845" s="390"/>
      <c r="M1845" s="978"/>
      <c r="N1845" s="979"/>
      <c r="O1845" s="979"/>
      <c r="P1845" s="79" t="str">
        <f>IF(AND('331-CT'!$E$7=TH!H1845,OR(N1845="331",O1845="331")),"x","")</f>
        <v/>
      </c>
      <c r="Q1845" s="79" t="str">
        <f>IF(AND(B1845='111'!$L$11,OR($N1845=$Q$7,$O1845=$Q$7)),"x","")</f>
        <v/>
      </c>
      <c r="R1845" s="79" t="str">
        <f>IF(AND($N1845=$Q$7,$B1845&lt;'111'!$L$11),"x","")</f>
        <v/>
      </c>
      <c r="S1845" s="79" t="str">
        <f>IF(AND($O1845=$Q$7,$B1845&lt;'111'!$L$11),"x","")</f>
        <v/>
      </c>
      <c r="T1845" s="79" t="str">
        <f>IF(ISERROR(FIND('112'!$M$9,G1845,1)),"",IF((AND(FIND('112'!$M$9,G1845,1)&gt;=1,B1845='112'!$K$9,OR($N1845='112'!$I$6,$O1845='112'!$I$6))),"x",""))</f>
        <v/>
      </c>
      <c r="U1845" s="79" t="str">
        <f>IF(ISERROR(FIND('112'!$M$9,G1845,1)),"",IF((AND(LEFT(G1845,2)=LEFT('112'!$M$9,2),B1845&lt;'112'!$K$9,$N1845='112'!$I$6)),"x",""))</f>
        <v/>
      </c>
      <c r="V1845" s="79" t="str">
        <f>IF(ISERROR(FIND('112'!$M$9,G1845,1)),"",IF((AND(RIGHT(G1845,2)=RIGHT('112'!$M$9,2),B1845&lt;'112'!$K$9,$O1845='112'!$I$6)),"x",""))</f>
        <v/>
      </c>
      <c r="W1845" s="79" t="str">
        <f>IF(AND('341-CT'!$H$9=H1845,OR(LEFT(N1845,3)=$W$7,LEFT(O1845,3)=$W$7)),"x","")</f>
        <v/>
      </c>
      <c r="X1845" s="79" t="str">
        <f>IF(OR(TH!N1845=TH!$X$7,O1845=TH!$X$7),"x","")</f>
        <v/>
      </c>
      <c r="Y1845" s="79" t="str">
        <f>IF(AND(OR(N1845="131",O1845="131"),H1845='131-CT'!$H$9),"x","")</f>
        <v/>
      </c>
      <c r="Z1845" s="79"/>
      <c r="AA1845" s="79" t="str">
        <f>IF(AND(MONTH(E1845)='IN-NX'!$J$5,'IN-NX'!$D$7=D1845),"x","")</f>
        <v/>
      </c>
      <c r="AB1845" s="79" t="str">
        <f>IF(AND(OR(LEFT(TH!N1845,2)="15",LEFT(TH!O1845,2)="15"),LEFT(TH!O1845,3)&lt;&gt;"111",'152-CT'!$J$8=TH!F1845),"x","")</f>
        <v/>
      </c>
      <c r="AC1845" s="79" t="str">
        <f>IF(AND(OR(LEFT(TH!N1845,2)="15",LEFT(TH!O1845,2)="15"),TK!$E$7=TH!F1845),"x","")</f>
        <v/>
      </c>
      <c r="AD1845" s="79" t="str">
        <f>IF(AND(N1845="1521",MONTH(C1845)='BK-NL'!$M$11),"x","")</f>
        <v/>
      </c>
    </row>
    <row r="1846" spans="1:30" ht="16.5" customHeight="1">
      <c r="A1846" s="318" t="str">
        <f>IF(B1846&lt;&gt;"",IF(AND(B1846='IN-TC'!$S$4,OR(TH!N1846="1111",TH!O1846="1111")),TH!D1846,""),"")</f>
        <v/>
      </c>
      <c r="B1846" s="60" t="str">
        <f t="shared" si="220"/>
        <v/>
      </c>
      <c r="C1846" s="974"/>
      <c r="D1846" s="974"/>
      <c r="E1846" s="974"/>
      <c r="F1846" s="305"/>
      <c r="G1846" s="976"/>
      <c r="H1846" s="759"/>
      <c r="I1846" s="383"/>
      <c r="J1846" s="390"/>
      <c r="K1846" s="383"/>
      <c r="L1846" s="390"/>
      <c r="M1846" s="978"/>
      <c r="N1846" s="979"/>
      <c r="O1846" s="979"/>
      <c r="P1846" s="79" t="str">
        <f>IF(AND('331-CT'!$E$7=TH!H1846,OR(N1846="331",O1846="331")),"x","")</f>
        <v/>
      </c>
      <c r="Q1846" s="79" t="str">
        <f>IF(AND(B1846='111'!$L$11,OR($N1846=$Q$7,$O1846=$Q$7)),"x","")</f>
        <v/>
      </c>
      <c r="R1846" s="79" t="str">
        <f>IF(AND($N1846=$Q$7,$B1846&lt;'111'!$L$11),"x","")</f>
        <v/>
      </c>
      <c r="S1846" s="79" t="str">
        <f>IF(AND($O1846=$Q$7,$B1846&lt;'111'!$L$11),"x","")</f>
        <v/>
      </c>
      <c r="T1846" s="79" t="str">
        <f>IF(ISERROR(FIND('112'!$M$9,G1846,1)),"",IF((AND(FIND('112'!$M$9,G1846,1)&gt;=1,B1846='112'!$K$9,OR($N1846='112'!$I$6,$O1846='112'!$I$6))),"x",""))</f>
        <v/>
      </c>
      <c r="U1846" s="79" t="str">
        <f>IF(ISERROR(FIND('112'!$M$9,G1846,1)),"",IF((AND(LEFT(G1846,2)=LEFT('112'!$M$9,2),B1846&lt;'112'!$K$9,$N1846='112'!$I$6)),"x",""))</f>
        <v/>
      </c>
      <c r="V1846" s="79" t="str">
        <f>IF(ISERROR(FIND('112'!$M$9,G1846,1)),"",IF((AND(RIGHT(G1846,2)=RIGHT('112'!$M$9,2),B1846&lt;'112'!$K$9,$O1846='112'!$I$6)),"x",""))</f>
        <v/>
      </c>
      <c r="W1846" s="79" t="str">
        <f>IF(AND('341-CT'!$H$9=H1846,OR(LEFT(N1846,3)=$W$7,LEFT(O1846,3)=$W$7)),"x","")</f>
        <v/>
      </c>
      <c r="X1846" s="79" t="str">
        <f>IF(OR(TH!N1846=TH!$X$7,O1846=TH!$X$7),"x","")</f>
        <v/>
      </c>
      <c r="Y1846" s="79" t="str">
        <f>IF(AND(OR(N1846="131",O1846="131"),H1846='131-CT'!$H$9),"x","")</f>
        <v/>
      </c>
      <c r="Z1846" s="79"/>
      <c r="AA1846" s="79" t="str">
        <f>IF(AND(MONTH(E1846)='IN-NX'!$J$5,'IN-NX'!$D$7=D1846),"x","")</f>
        <v/>
      </c>
      <c r="AB1846" s="79" t="str">
        <f>IF(AND(OR(LEFT(TH!N1846,2)="15",LEFT(TH!O1846,2)="15"),LEFT(TH!O1846,3)&lt;&gt;"111",'152-CT'!$J$8=TH!F1846),"x","")</f>
        <v/>
      </c>
      <c r="AC1846" s="79" t="str">
        <f>IF(AND(OR(LEFT(TH!N1846,2)="15",LEFT(TH!O1846,2)="15"),TK!$E$7=TH!F1846),"x","")</f>
        <v/>
      </c>
      <c r="AD1846" s="79" t="str">
        <f>IF(AND(N1846="1521",MONTH(C1846)='BK-NL'!$M$11),"x","")</f>
        <v/>
      </c>
    </row>
    <row r="1847" spans="1:30" ht="16.5" customHeight="1">
      <c r="A1847" s="318" t="str">
        <f>IF(B1847&lt;&gt;"",IF(AND(B1847='IN-TC'!$S$4,OR(TH!N1847="1111",TH!O1847="1111")),TH!D1847,""),"")</f>
        <v/>
      </c>
      <c r="B1847" s="60" t="str">
        <f t="shared" si="220"/>
        <v/>
      </c>
      <c r="C1847" s="974"/>
      <c r="D1847" s="974"/>
      <c r="E1847" s="974"/>
      <c r="F1847" s="305"/>
      <c r="G1847" s="976"/>
      <c r="H1847" s="759"/>
      <c r="I1847" s="383"/>
      <c r="J1847" s="390"/>
      <c r="K1847" s="383"/>
      <c r="L1847" s="390"/>
      <c r="M1847" s="978"/>
      <c r="N1847" s="979"/>
      <c r="O1847" s="979"/>
      <c r="P1847" s="79" t="str">
        <f>IF(AND('331-CT'!$E$7=TH!H1847,OR(N1847="331",O1847="331")),"x","")</f>
        <v/>
      </c>
      <c r="Q1847" s="79" t="str">
        <f>IF(AND(B1847='111'!$L$11,OR($N1847=$Q$7,$O1847=$Q$7)),"x","")</f>
        <v/>
      </c>
      <c r="R1847" s="79" t="str">
        <f>IF(AND($N1847=$Q$7,$B1847&lt;'111'!$L$11),"x","")</f>
        <v/>
      </c>
      <c r="S1847" s="79" t="str">
        <f>IF(AND($O1847=$Q$7,$B1847&lt;'111'!$L$11),"x","")</f>
        <v/>
      </c>
      <c r="T1847" s="79" t="str">
        <f>IF(ISERROR(FIND('112'!$M$9,G1847,1)),"",IF((AND(FIND('112'!$M$9,G1847,1)&gt;=1,B1847='112'!$K$9,OR($N1847='112'!$I$6,$O1847='112'!$I$6))),"x",""))</f>
        <v/>
      </c>
      <c r="U1847" s="79" t="str">
        <f>IF(ISERROR(FIND('112'!$M$9,G1847,1)),"",IF((AND(LEFT(G1847,2)=LEFT('112'!$M$9,2),B1847&lt;'112'!$K$9,$N1847='112'!$I$6)),"x",""))</f>
        <v/>
      </c>
      <c r="V1847" s="79" t="str">
        <f>IF(ISERROR(FIND('112'!$M$9,G1847,1)),"",IF((AND(RIGHT(G1847,2)=RIGHT('112'!$M$9,2),B1847&lt;'112'!$K$9,$O1847='112'!$I$6)),"x",""))</f>
        <v/>
      </c>
      <c r="W1847" s="79" t="str">
        <f>IF(AND('341-CT'!$H$9=H1847,OR(LEFT(N1847,3)=$W$7,LEFT(O1847,3)=$W$7)),"x","")</f>
        <v/>
      </c>
      <c r="X1847" s="79" t="str">
        <f>IF(OR(TH!N1847=TH!$X$7,O1847=TH!$X$7),"x","")</f>
        <v/>
      </c>
      <c r="Y1847" s="79" t="str">
        <f>IF(AND(OR(N1847="131",O1847="131"),H1847='131-CT'!$H$9),"x","")</f>
        <v/>
      </c>
      <c r="Z1847" s="79"/>
      <c r="AA1847" s="79" t="str">
        <f>IF(AND(MONTH(E1847)='IN-NX'!$J$5,'IN-NX'!$D$7=D1847),"x","")</f>
        <v/>
      </c>
      <c r="AB1847" s="79" t="str">
        <f>IF(AND(OR(LEFT(TH!N1847,2)="15",LEFT(TH!O1847,2)="15"),LEFT(TH!O1847,3)&lt;&gt;"111",'152-CT'!$J$8=TH!F1847),"x","")</f>
        <v/>
      </c>
      <c r="AC1847" s="79" t="str">
        <f>IF(AND(OR(LEFT(TH!N1847,2)="15",LEFT(TH!O1847,2)="15"),TK!$E$7=TH!F1847),"x","")</f>
        <v/>
      </c>
      <c r="AD1847" s="79" t="str">
        <f>IF(AND(N1847="1521",MONTH(C1847)='BK-NL'!$M$11),"x","")</f>
        <v/>
      </c>
    </row>
    <row r="1848" spans="1:30" ht="16.5" customHeight="1">
      <c r="A1848" s="318" t="str">
        <f>IF(B1848&lt;&gt;"",IF(AND(B1848='IN-TC'!$S$4,OR(TH!N1848="1111",TH!O1848="1111")),TH!D1848,""),"")</f>
        <v/>
      </c>
      <c r="B1848" s="60" t="str">
        <f t="shared" si="220"/>
        <v/>
      </c>
      <c r="C1848" s="974"/>
      <c r="D1848" s="974"/>
      <c r="E1848" s="974"/>
      <c r="F1848" s="1131"/>
      <c r="G1848" s="976"/>
      <c r="H1848" s="759"/>
      <c r="I1848" s="383"/>
      <c r="J1848" s="390"/>
      <c r="K1848" s="383"/>
      <c r="L1848" s="390"/>
      <c r="M1848" s="978"/>
      <c r="N1848" s="979"/>
      <c r="O1848" s="979"/>
      <c r="P1848" s="79" t="str">
        <f>IF(AND('331-CT'!$E$7=TH!H1848,OR(N1848="331",O1848="331")),"x","")</f>
        <v/>
      </c>
      <c r="Q1848" s="79" t="str">
        <f>IF(AND(B1848='111'!$L$11,OR($N1848=$Q$7,$O1848=$Q$7)),"x","")</f>
        <v/>
      </c>
      <c r="R1848" s="79" t="str">
        <f>IF(AND($N1848=$Q$7,$B1848&lt;'111'!$L$11),"x","")</f>
        <v/>
      </c>
      <c r="S1848" s="79" t="str">
        <f>IF(AND($O1848=$Q$7,$B1848&lt;'111'!$L$11),"x","")</f>
        <v/>
      </c>
      <c r="T1848" s="79" t="str">
        <f>IF(ISERROR(FIND('112'!$M$9,G1848,1)),"",IF((AND(FIND('112'!$M$9,G1848,1)&gt;=1,B1848='112'!$K$9,OR($N1848='112'!$I$6,$O1848='112'!$I$6))),"x",""))</f>
        <v/>
      </c>
      <c r="U1848" s="79" t="str">
        <f>IF(ISERROR(FIND('112'!$M$9,G1848,1)),"",IF((AND(LEFT(G1848,2)=LEFT('112'!$M$9,2),B1848&lt;'112'!$K$9,$N1848='112'!$I$6)),"x",""))</f>
        <v/>
      </c>
      <c r="V1848" s="79" t="str">
        <f>IF(ISERROR(FIND('112'!$M$9,G1848,1)),"",IF((AND(RIGHT(G1848,2)=RIGHT('112'!$M$9,2),B1848&lt;'112'!$K$9,$O1848='112'!$I$6)),"x",""))</f>
        <v/>
      </c>
      <c r="W1848" s="79" t="str">
        <f>IF(AND('341-CT'!$H$9=H1848,OR(LEFT(N1848,3)=$W$7,LEFT(O1848,3)=$W$7)),"x","")</f>
        <v/>
      </c>
      <c r="X1848" s="79" t="str">
        <f>IF(OR(TH!N1848=TH!$X$7,O1848=TH!$X$7),"x","")</f>
        <v/>
      </c>
      <c r="Y1848" s="79" t="str">
        <f>IF(AND(OR(N1848="131",O1848="131"),H1848='131-CT'!$H$9),"x","")</f>
        <v/>
      </c>
      <c r="Z1848" s="79"/>
      <c r="AA1848" s="79" t="str">
        <f>IF(AND(MONTH(E1848)='IN-NX'!$J$5,'IN-NX'!$D$7=D1848),"x","")</f>
        <v/>
      </c>
      <c r="AB1848" s="79" t="str">
        <f>IF(AND(OR(LEFT(TH!N1848,2)="15",LEFT(TH!O1848,2)="15"),LEFT(TH!O1848,3)&lt;&gt;"111",'152-CT'!$J$8=TH!F1848),"x","")</f>
        <v/>
      </c>
      <c r="AC1848" s="79" t="str">
        <f>IF(AND(OR(LEFT(TH!N1848,2)="15",LEFT(TH!O1848,2)="15"),TK!$E$7=TH!F1848),"x","")</f>
        <v/>
      </c>
      <c r="AD1848" s="79" t="str">
        <f>IF(AND(N1848="1521",MONTH(C1848)='BK-NL'!$M$11),"x","")</f>
        <v/>
      </c>
    </row>
    <row r="1849" spans="1:30" ht="16.5" customHeight="1">
      <c r="A1849" s="318" t="str">
        <f>IF(B1849&lt;&gt;"",IF(AND(B1849='IN-TC'!$S$4,OR(TH!N1849="1111",TH!O1849="1111")),TH!D1849,""),"")</f>
        <v/>
      </c>
      <c r="B1849" s="60" t="str">
        <f t="shared" si="220"/>
        <v/>
      </c>
      <c r="C1849" s="974"/>
      <c r="D1849" s="974"/>
      <c r="E1849" s="974"/>
      <c r="F1849" s="1131"/>
      <c r="G1849" s="976"/>
      <c r="H1849" s="759"/>
      <c r="I1849" s="383"/>
      <c r="J1849" s="390"/>
      <c r="K1849" s="383"/>
      <c r="L1849" s="390"/>
      <c r="M1849" s="978"/>
      <c r="N1849" s="979"/>
      <c r="O1849" s="979"/>
      <c r="P1849" s="79" t="str">
        <f>IF(AND('331-CT'!$E$7=TH!H1849,OR(N1849="331",O1849="331")),"x","")</f>
        <v/>
      </c>
      <c r="Q1849" s="79" t="str">
        <f>IF(AND(B1849='111'!$L$11,OR($N1849=$Q$7,$O1849=$Q$7)),"x","")</f>
        <v/>
      </c>
      <c r="R1849" s="79" t="str">
        <f>IF(AND($N1849=$Q$7,$B1849&lt;'111'!$L$11),"x","")</f>
        <v/>
      </c>
      <c r="S1849" s="79" t="str">
        <f>IF(AND($O1849=$Q$7,$B1849&lt;'111'!$L$11),"x","")</f>
        <v/>
      </c>
      <c r="T1849" s="79" t="str">
        <f>IF(ISERROR(FIND('112'!$M$9,G1849,1)),"",IF((AND(FIND('112'!$M$9,G1849,1)&gt;=1,B1849='112'!$K$9,OR($N1849='112'!$I$6,$O1849='112'!$I$6))),"x",""))</f>
        <v/>
      </c>
      <c r="U1849" s="79" t="str">
        <f>IF(ISERROR(FIND('112'!$M$9,G1849,1)),"",IF((AND(LEFT(G1849,2)=LEFT('112'!$M$9,2),B1849&lt;'112'!$K$9,$N1849='112'!$I$6)),"x",""))</f>
        <v/>
      </c>
      <c r="V1849" s="79" t="str">
        <f>IF(ISERROR(FIND('112'!$M$9,G1849,1)),"",IF((AND(RIGHT(G1849,2)=RIGHT('112'!$M$9,2),B1849&lt;'112'!$K$9,$O1849='112'!$I$6)),"x",""))</f>
        <v/>
      </c>
      <c r="W1849" s="79" t="str">
        <f>IF(AND('341-CT'!$H$9=H1849,OR(LEFT(N1849,3)=$W$7,LEFT(O1849,3)=$W$7)),"x","")</f>
        <v/>
      </c>
      <c r="X1849" s="79" t="str">
        <f>IF(OR(TH!N1849=TH!$X$7,O1849=TH!$X$7),"x","")</f>
        <v/>
      </c>
      <c r="Y1849" s="79" t="str">
        <f>IF(AND(OR(N1849="131",O1849="131"),H1849='131-CT'!$H$9),"x","")</f>
        <v/>
      </c>
      <c r="Z1849" s="79"/>
      <c r="AA1849" s="79" t="str">
        <f>IF(AND(MONTH(E1849)='IN-NX'!$J$5,'IN-NX'!$D$7=D1849),"x","")</f>
        <v/>
      </c>
      <c r="AB1849" s="79" t="str">
        <f>IF(AND(OR(LEFT(TH!N1849,2)="15",LEFT(TH!O1849,2)="15"),LEFT(TH!O1849,3)&lt;&gt;"111",'152-CT'!$J$8=TH!F1849),"x","")</f>
        <v/>
      </c>
      <c r="AC1849" s="79" t="str">
        <f>IF(AND(OR(LEFT(TH!N1849,2)="15",LEFT(TH!O1849,2)="15"),TK!$E$7=TH!F1849),"x","")</f>
        <v/>
      </c>
      <c r="AD1849" s="79" t="str">
        <f>IF(AND(N1849="1521",MONTH(C1849)='BK-NL'!$M$11),"x","")</f>
        <v/>
      </c>
    </row>
    <row r="1850" spans="1:30" ht="16.5" customHeight="1">
      <c r="A1850" s="318" t="str">
        <f>IF(B1850&lt;&gt;"",IF(AND(B1850='IN-TC'!$S$4,OR(TH!N1850="1111",TH!O1850="1111")),TH!D1850,""),"")</f>
        <v/>
      </c>
      <c r="B1850" s="60" t="str">
        <f t="shared" si="220"/>
        <v/>
      </c>
      <c r="C1850" s="974"/>
      <c r="D1850" s="974"/>
      <c r="E1850" s="974"/>
      <c r="F1850" s="1131"/>
      <c r="G1850" s="976"/>
      <c r="H1850" s="759"/>
      <c r="I1850" s="383"/>
      <c r="J1850" s="390"/>
      <c r="K1850" s="383"/>
      <c r="L1850" s="390"/>
      <c r="M1850" s="978"/>
      <c r="N1850" s="979"/>
      <c r="O1850" s="979"/>
      <c r="P1850" s="79" t="str">
        <f>IF(AND('331-CT'!$E$7=TH!H1850,OR(N1850="331",O1850="331")),"x","")</f>
        <v/>
      </c>
      <c r="Q1850" s="79" t="str">
        <f>IF(AND(B1850='111'!$L$11,OR($N1850=$Q$7,$O1850=$Q$7)),"x","")</f>
        <v/>
      </c>
      <c r="R1850" s="79" t="str">
        <f>IF(AND($N1850=$Q$7,$B1850&lt;'111'!$L$11),"x","")</f>
        <v/>
      </c>
      <c r="S1850" s="79" t="str">
        <f>IF(AND($O1850=$Q$7,$B1850&lt;'111'!$L$11),"x","")</f>
        <v/>
      </c>
      <c r="T1850" s="79" t="str">
        <f>IF(ISERROR(FIND('112'!$M$9,G1850,1)),"",IF((AND(FIND('112'!$M$9,G1850,1)&gt;=1,B1850='112'!$K$9,OR($N1850='112'!$I$6,$O1850='112'!$I$6))),"x",""))</f>
        <v/>
      </c>
      <c r="U1850" s="79" t="str">
        <f>IF(ISERROR(FIND('112'!$M$9,G1850,1)),"",IF((AND(LEFT(G1850,2)=LEFT('112'!$M$9,2),B1850&lt;'112'!$K$9,$N1850='112'!$I$6)),"x",""))</f>
        <v/>
      </c>
      <c r="V1850" s="79" t="str">
        <f>IF(ISERROR(FIND('112'!$M$9,G1850,1)),"",IF((AND(RIGHT(G1850,2)=RIGHT('112'!$M$9,2),B1850&lt;'112'!$K$9,$O1850='112'!$I$6)),"x",""))</f>
        <v/>
      </c>
      <c r="W1850" s="79" t="str">
        <f>IF(AND('341-CT'!$H$9=H1850,OR(LEFT(N1850,3)=$W$7,LEFT(O1850,3)=$W$7)),"x","")</f>
        <v/>
      </c>
      <c r="X1850" s="79" t="str">
        <f>IF(OR(TH!N1850=TH!$X$7,O1850=TH!$X$7),"x","")</f>
        <v/>
      </c>
      <c r="Y1850" s="79" t="str">
        <f>IF(AND(OR(N1850="131",O1850="131"),H1850='131-CT'!$H$9),"x","")</f>
        <v/>
      </c>
      <c r="Z1850" s="79"/>
      <c r="AA1850" s="79" t="str">
        <f>IF(AND(MONTH(E1850)='IN-NX'!$J$5,'IN-NX'!$D$7=D1850),"x","")</f>
        <v/>
      </c>
      <c r="AB1850" s="79" t="str">
        <f>IF(AND(OR(LEFT(TH!N1850,2)="15",LEFT(TH!O1850,2)="15"),LEFT(TH!O1850,3)&lt;&gt;"111",'152-CT'!$J$8=TH!F1850),"x","")</f>
        <v/>
      </c>
      <c r="AC1850" s="79" t="str">
        <f>IF(AND(OR(LEFT(TH!N1850,2)="15",LEFT(TH!O1850,2)="15"),TK!$E$7=TH!F1850),"x","")</f>
        <v/>
      </c>
      <c r="AD1850" s="79" t="str">
        <f>IF(AND(N1850="1521",MONTH(C1850)='BK-NL'!$M$11),"x","")</f>
        <v/>
      </c>
    </row>
    <row r="1851" spans="1:30" ht="16.5" customHeight="1">
      <c r="A1851" s="318" t="str">
        <f>IF(B1851&lt;&gt;"",IF(AND(B1851='IN-TC'!$S$4,OR(TH!N1851="1111",TH!O1851="1111")),TH!D1851,""),"")</f>
        <v/>
      </c>
      <c r="B1851" s="60" t="str">
        <f t="shared" ref="B1851:B1856" si="221">IF(C1851&lt;&gt;"",MONTH(C1851),"")</f>
        <v/>
      </c>
      <c r="C1851" s="974"/>
      <c r="D1851" s="974"/>
      <c r="E1851" s="974"/>
      <c r="F1851" s="1131"/>
      <c r="G1851" s="976"/>
      <c r="H1851" s="759"/>
      <c r="I1851" s="383"/>
      <c r="J1851" s="390"/>
      <c r="K1851" s="383"/>
      <c r="L1851" s="390"/>
      <c r="M1851" s="978"/>
      <c r="N1851" s="979"/>
      <c r="O1851" s="979"/>
      <c r="P1851" s="79" t="str">
        <f>IF(AND('331-CT'!$E$7=TH!H1851,OR(N1851="331",O1851="331")),"x","")</f>
        <v/>
      </c>
      <c r="Q1851" s="79" t="str">
        <f>IF(AND(B1851='111'!$L$11,OR($N1851=$Q$7,$O1851=$Q$7)),"x","")</f>
        <v/>
      </c>
      <c r="R1851" s="79" t="str">
        <f>IF(AND($N1851=$Q$7,$B1851&lt;'111'!$L$11),"x","")</f>
        <v/>
      </c>
      <c r="S1851" s="79" t="str">
        <f>IF(AND($O1851=$Q$7,$B1851&lt;'111'!$L$11),"x","")</f>
        <v/>
      </c>
      <c r="T1851" s="79" t="str">
        <f>IF(ISERROR(FIND('112'!$M$9,G1851,1)),"",IF((AND(FIND('112'!$M$9,G1851,1)&gt;=1,B1851='112'!$K$9,OR($N1851='112'!$I$6,$O1851='112'!$I$6))),"x",""))</f>
        <v/>
      </c>
      <c r="U1851" s="79" t="str">
        <f>IF(ISERROR(FIND('112'!$M$9,G1851,1)),"",IF((AND(LEFT(G1851,2)=LEFT('112'!$M$9,2),B1851&lt;'112'!$K$9,$N1851='112'!$I$6)),"x",""))</f>
        <v/>
      </c>
      <c r="V1851" s="79" t="str">
        <f>IF(ISERROR(FIND('112'!$M$9,G1851,1)),"",IF((AND(RIGHT(G1851,2)=RIGHT('112'!$M$9,2),B1851&lt;'112'!$K$9,$O1851='112'!$I$6)),"x",""))</f>
        <v/>
      </c>
      <c r="W1851" s="79" t="str">
        <f>IF(AND('341-CT'!$H$9=H1851,OR(LEFT(N1851,3)=$W$7,LEFT(O1851,3)=$W$7)),"x","")</f>
        <v/>
      </c>
      <c r="X1851" s="79" t="str">
        <f>IF(OR(TH!N1851=TH!$X$7,O1851=TH!$X$7),"x","")</f>
        <v/>
      </c>
      <c r="Y1851" s="79" t="str">
        <f>IF(AND(OR(N1851="131",O1851="131"),H1851='131-CT'!$H$9),"x","")</f>
        <v/>
      </c>
      <c r="Z1851" s="79"/>
      <c r="AA1851" s="79" t="str">
        <f>IF(AND(MONTH(E1851)='IN-NX'!$J$5,'IN-NX'!$D$7=D1851),"x","")</f>
        <v/>
      </c>
      <c r="AB1851" s="79" t="str">
        <f>IF(AND(OR(LEFT(TH!N1851,2)="15",LEFT(TH!O1851,2)="15"),LEFT(TH!O1851,3)&lt;&gt;"111",'152-CT'!$J$8=TH!F1851),"x","")</f>
        <v/>
      </c>
      <c r="AC1851" s="79" t="str">
        <f>IF(AND(OR(LEFT(TH!N1851,2)="15",LEFT(TH!O1851,2)="15"),TK!$E$7=TH!F1851),"x","")</f>
        <v/>
      </c>
      <c r="AD1851" s="79" t="str">
        <f>IF(AND(N1851="1521",MONTH(C1851)='BK-NL'!$M$11),"x","")</f>
        <v/>
      </c>
    </row>
    <row r="1852" spans="1:30" ht="16.5" customHeight="1">
      <c r="A1852" s="318" t="str">
        <f>IF(B1852&lt;&gt;"",IF(AND(B1852='IN-TC'!$S$4,OR(TH!N1852="1111",TH!O1852="1111")),TH!D1852,""),"")</f>
        <v/>
      </c>
      <c r="B1852" s="60" t="str">
        <f t="shared" si="221"/>
        <v/>
      </c>
      <c r="C1852" s="974"/>
      <c r="D1852" s="974"/>
      <c r="E1852" s="974"/>
      <c r="F1852" s="305"/>
      <c r="G1852" s="976"/>
      <c r="H1852" s="759"/>
      <c r="I1852" s="383"/>
      <c r="J1852" s="390"/>
      <c r="K1852" s="383"/>
      <c r="L1852" s="390"/>
      <c r="M1852" s="978"/>
      <c r="N1852" s="979"/>
      <c r="O1852" s="979"/>
      <c r="P1852" s="79" t="str">
        <f>IF(AND('331-CT'!$E$7=TH!H1852,OR(N1852="331",O1852="331")),"x","")</f>
        <v/>
      </c>
      <c r="Q1852" s="79" t="str">
        <f>IF(AND(B1852='111'!$L$11,OR($N1852=$Q$7,$O1852=$Q$7)),"x","")</f>
        <v/>
      </c>
      <c r="R1852" s="79" t="str">
        <f>IF(AND($N1852=$Q$7,$B1852&lt;'111'!$L$11),"x","")</f>
        <v/>
      </c>
      <c r="S1852" s="79" t="str">
        <f>IF(AND($O1852=$Q$7,$B1852&lt;'111'!$L$11),"x","")</f>
        <v/>
      </c>
      <c r="T1852" s="79" t="str">
        <f>IF(ISERROR(FIND('112'!$M$9,G1852,1)),"",IF((AND(FIND('112'!$M$9,G1852,1)&gt;=1,B1852='112'!$K$9,OR($N1852='112'!$I$6,$O1852='112'!$I$6))),"x",""))</f>
        <v/>
      </c>
      <c r="U1852" s="79" t="str">
        <f>IF(ISERROR(FIND('112'!$M$9,G1852,1)),"",IF((AND(LEFT(G1852,2)=LEFT('112'!$M$9,2),B1852&lt;'112'!$K$9,$N1852='112'!$I$6)),"x",""))</f>
        <v/>
      </c>
      <c r="V1852" s="79" t="str">
        <f>IF(ISERROR(FIND('112'!$M$9,G1852,1)),"",IF((AND(RIGHT(G1852,2)=RIGHT('112'!$M$9,2),B1852&lt;'112'!$K$9,$O1852='112'!$I$6)),"x",""))</f>
        <v/>
      </c>
      <c r="W1852" s="79" t="str">
        <f>IF(AND('341-CT'!$H$9=H1852,OR(LEFT(N1852,3)=$W$7,LEFT(O1852,3)=$W$7)),"x","")</f>
        <v/>
      </c>
      <c r="X1852" s="79" t="str">
        <f>IF(OR(TH!N1852=TH!$X$7,O1852=TH!$X$7),"x","")</f>
        <v/>
      </c>
      <c r="Y1852" s="79" t="str">
        <f>IF(AND(OR(N1852="131",O1852="131"),H1852='131-CT'!$H$9),"x","")</f>
        <v/>
      </c>
      <c r="Z1852" s="79"/>
      <c r="AA1852" s="79" t="str">
        <f>IF(AND(MONTH(E1852)='IN-NX'!$J$5,'IN-NX'!$D$7=D1852),"x","")</f>
        <v/>
      </c>
      <c r="AB1852" s="79" t="str">
        <f>IF(AND(OR(LEFT(TH!N1852,2)="15",LEFT(TH!O1852,2)="15"),LEFT(TH!O1852,3)&lt;&gt;"111",'152-CT'!$J$8=TH!F1852),"x","")</f>
        <v/>
      </c>
      <c r="AC1852" s="79" t="str">
        <f>IF(AND(OR(LEFT(TH!N1852,2)="15",LEFT(TH!O1852,2)="15"),TK!$E$7=TH!F1852),"x","")</f>
        <v/>
      </c>
      <c r="AD1852" s="79" t="str">
        <f>IF(AND(N1852="1521",MONTH(C1852)='BK-NL'!$M$11),"x","")</f>
        <v/>
      </c>
    </row>
    <row r="1853" spans="1:30" ht="16.5" customHeight="1">
      <c r="A1853" s="318" t="str">
        <f>IF(B1853&lt;&gt;"",IF(AND(B1853='IN-TC'!$S$4,OR(TH!N1853="1111",TH!O1853="1111")),TH!D1853,""),"")</f>
        <v/>
      </c>
      <c r="B1853" s="60" t="str">
        <f t="shared" si="221"/>
        <v/>
      </c>
      <c r="C1853" s="974"/>
      <c r="D1853" s="974"/>
      <c r="E1853" s="974"/>
      <c r="F1853" s="305"/>
      <c r="G1853" s="976"/>
      <c r="H1853" s="759"/>
      <c r="I1853" s="383"/>
      <c r="J1853" s="390"/>
      <c r="K1853" s="383"/>
      <c r="L1853" s="390"/>
      <c r="M1853" s="978"/>
      <c r="N1853" s="979"/>
      <c r="O1853" s="979"/>
      <c r="P1853" s="79" t="str">
        <f>IF(AND('331-CT'!$E$7=TH!H1853,OR(N1853="331",O1853="331")),"x","")</f>
        <v/>
      </c>
      <c r="Q1853" s="79" t="str">
        <f>IF(AND(B1853='111'!$L$11,OR($N1853=$Q$7,$O1853=$Q$7)),"x","")</f>
        <v/>
      </c>
      <c r="R1853" s="79" t="str">
        <f>IF(AND($N1853=$Q$7,$B1853&lt;'111'!$L$11),"x","")</f>
        <v/>
      </c>
      <c r="S1853" s="79" t="str">
        <f>IF(AND($O1853=$Q$7,$B1853&lt;'111'!$L$11),"x","")</f>
        <v/>
      </c>
      <c r="T1853" s="79" t="str">
        <f>IF(ISERROR(FIND('112'!$M$9,G1853,1)),"",IF((AND(FIND('112'!$M$9,G1853,1)&gt;=1,B1853='112'!$K$9,OR($N1853='112'!$I$6,$O1853='112'!$I$6))),"x",""))</f>
        <v/>
      </c>
      <c r="U1853" s="79" t="str">
        <f>IF(ISERROR(FIND('112'!$M$9,G1853,1)),"",IF((AND(LEFT(G1853,2)=LEFT('112'!$M$9,2),B1853&lt;'112'!$K$9,$N1853='112'!$I$6)),"x",""))</f>
        <v/>
      </c>
      <c r="V1853" s="79" t="str">
        <f>IF(ISERROR(FIND('112'!$M$9,G1853,1)),"",IF((AND(RIGHT(G1853,2)=RIGHT('112'!$M$9,2),B1853&lt;'112'!$K$9,$O1853='112'!$I$6)),"x",""))</f>
        <v/>
      </c>
      <c r="W1853" s="79" t="str">
        <f>IF(AND('341-CT'!$H$9=H1853,OR(LEFT(N1853,3)=$W$7,LEFT(O1853,3)=$W$7)),"x","")</f>
        <v/>
      </c>
      <c r="X1853" s="79" t="str">
        <f>IF(OR(TH!N1853=TH!$X$7,O1853=TH!$X$7),"x","")</f>
        <v/>
      </c>
      <c r="Y1853" s="79" t="str">
        <f>IF(AND(OR(N1853="131",O1853="131"),H1853='131-CT'!$H$9),"x","")</f>
        <v/>
      </c>
      <c r="Z1853" s="79"/>
      <c r="AA1853" s="79" t="str">
        <f>IF(AND(MONTH(E1853)='IN-NX'!$J$5,'IN-NX'!$D$7=D1853),"x","")</f>
        <v/>
      </c>
      <c r="AB1853" s="79" t="str">
        <f>IF(AND(OR(LEFT(TH!N1853,2)="15",LEFT(TH!O1853,2)="15"),LEFT(TH!O1853,3)&lt;&gt;"111",'152-CT'!$J$8=TH!F1853),"x","")</f>
        <v/>
      </c>
      <c r="AC1853" s="79" t="str">
        <f>IF(AND(OR(LEFT(TH!N1853,2)="15",LEFT(TH!O1853,2)="15"),TK!$E$7=TH!F1853),"x","")</f>
        <v/>
      </c>
      <c r="AD1853" s="79" t="str">
        <f>IF(AND(N1853="1521",MONTH(C1853)='BK-NL'!$M$11),"x","")</f>
        <v/>
      </c>
    </row>
    <row r="1854" spans="1:30" ht="16.5" customHeight="1">
      <c r="A1854" s="318" t="str">
        <f>IF(B1854&lt;&gt;"",IF(AND(B1854='IN-TC'!$S$4,OR(TH!N1854="1111",TH!O1854="1111")),TH!D1854,""),"")</f>
        <v/>
      </c>
      <c r="B1854" s="60" t="str">
        <f t="shared" si="221"/>
        <v/>
      </c>
      <c r="C1854" s="974"/>
      <c r="D1854" s="974"/>
      <c r="E1854" s="974"/>
      <c r="F1854" s="1131"/>
      <c r="G1854" s="976"/>
      <c r="H1854" s="759"/>
      <c r="I1854" s="383"/>
      <c r="J1854" s="390"/>
      <c r="K1854" s="383"/>
      <c r="L1854" s="390"/>
      <c r="M1854" s="978"/>
      <c r="N1854" s="979"/>
      <c r="O1854" s="979"/>
      <c r="P1854" s="79" t="str">
        <f>IF(AND('331-CT'!$E$7=TH!H1854,OR(N1854="331",O1854="331")),"x","")</f>
        <v/>
      </c>
      <c r="Q1854" s="79" t="str">
        <f>IF(AND(B1854='111'!$L$11,OR($N1854=$Q$7,$O1854=$Q$7)),"x","")</f>
        <v/>
      </c>
      <c r="R1854" s="79" t="str">
        <f>IF(AND($N1854=$Q$7,$B1854&lt;'111'!$L$11),"x","")</f>
        <v/>
      </c>
      <c r="S1854" s="79" t="str">
        <f>IF(AND($O1854=$Q$7,$B1854&lt;'111'!$L$11),"x","")</f>
        <v/>
      </c>
      <c r="T1854" s="79" t="str">
        <f>IF(ISERROR(FIND('112'!$M$9,G1854,1)),"",IF((AND(FIND('112'!$M$9,G1854,1)&gt;=1,B1854='112'!$K$9,OR($N1854='112'!$I$6,$O1854='112'!$I$6))),"x",""))</f>
        <v/>
      </c>
      <c r="U1854" s="79" t="str">
        <f>IF(ISERROR(FIND('112'!$M$9,G1854,1)),"",IF((AND(LEFT(G1854,2)=LEFT('112'!$M$9,2),B1854&lt;'112'!$K$9,$N1854='112'!$I$6)),"x",""))</f>
        <v/>
      </c>
      <c r="V1854" s="79" t="str">
        <f>IF(ISERROR(FIND('112'!$M$9,G1854,1)),"",IF((AND(RIGHT(G1854,2)=RIGHT('112'!$M$9,2),B1854&lt;'112'!$K$9,$O1854='112'!$I$6)),"x",""))</f>
        <v/>
      </c>
      <c r="W1854" s="79" t="str">
        <f>IF(AND('341-CT'!$H$9=H1854,OR(LEFT(N1854,3)=$W$7,LEFT(O1854,3)=$W$7)),"x","")</f>
        <v/>
      </c>
      <c r="X1854" s="79" t="str">
        <f>IF(OR(TH!N1854=TH!$X$7,O1854=TH!$X$7),"x","")</f>
        <v/>
      </c>
      <c r="Y1854" s="79" t="str">
        <f>IF(AND(OR(N1854="131",O1854="131"),H1854='131-CT'!$H$9),"x","")</f>
        <v/>
      </c>
      <c r="Z1854" s="79"/>
      <c r="AA1854" s="79" t="str">
        <f>IF(AND(MONTH(E1854)='IN-NX'!$J$5,'IN-NX'!$D$7=D1854),"x","")</f>
        <v/>
      </c>
      <c r="AB1854" s="79" t="str">
        <f>IF(AND(OR(LEFT(TH!N1854,2)="15",LEFT(TH!O1854,2)="15"),LEFT(TH!O1854,3)&lt;&gt;"111",'152-CT'!$J$8=TH!F1854),"x","")</f>
        <v/>
      </c>
      <c r="AC1854" s="79" t="str">
        <f>IF(AND(OR(LEFT(TH!N1854,2)="15",LEFT(TH!O1854,2)="15"),TK!$E$7=TH!F1854),"x","")</f>
        <v/>
      </c>
      <c r="AD1854" s="79" t="str">
        <f>IF(AND(N1854="1521",MONTH(C1854)='BK-NL'!$M$11),"x","")</f>
        <v/>
      </c>
    </row>
    <row r="1855" spans="1:30" ht="16.5" customHeight="1">
      <c r="A1855" s="318" t="str">
        <f>IF(B1855&lt;&gt;"",IF(AND(B1855='IN-TC'!$S$4,OR(TH!N1855="1111",TH!O1855="1111")),TH!D1855,""),"")</f>
        <v/>
      </c>
      <c r="B1855" s="60" t="str">
        <f t="shared" si="221"/>
        <v/>
      </c>
      <c r="C1855" s="974"/>
      <c r="D1855" s="974"/>
      <c r="E1855" s="974"/>
      <c r="F1855" s="1131"/>
      <c r="G1855" s="976"/>
      <c r="H1855" s="759"/>
      <c r="I1855" s="383"/>
      <c r="J1855" s="390"/>
      <c r="K1855" s="383"/>
      <c r="L1855" s="390"/>
      <c r="M1855" s="978"/>
      <c r="N1855" s="979"/>
      <c r="O1855" s="979"/>
      <c r="P1855" s="79" t="str">
        <f>IF(AND('331-CT'!$E$7=TH!H1855,OR(N1855="331",O1855="331")),"x","")</f>
        <v/>
      </c>
      <c r="Q1855" s="79" t="str">
        <f>IF(AND(B1855='111'!$L$11,OR($N1855=$Q$7,$O1855=$Q$7)),"x","")</f>
        <v/>
      </c>
      <c r="R1855" s="79" t="str">
        <f>IF(AND($N1855=$Q$7,$B1855&lt;'111'!$L$11),"x","")</f>
        <v/>
      </c>
      <c r="S1855" s="79" t="str">
        <f>IF(AND($O1855=$Q$7,$B1855&lt;'111'!$L$11),"x","")</f>
        <v/>
      </c>
      <c r="T1855" s="79" t="str">
        <f>IF(ISERROR(FIND('112'!$M$9,G1855,1)),"",IF((AND(FIND('112'!$M$9,G1855,1)&gt;=1,B1855='112'!$K$9,OR($N1855='112'!$I$6,$O1855='112'!$I$6))),"x",""))</f>
        <v/>
      </c>
      <c r="U1855" s="79" t="str">
        <f>IF(ISERROR(FIND('112'!$M$9,G1855,1)),"",IF((AND(LEFT(G1855,2)=LEFT('112'!$M$9,2),B1855&lt;'112'!$K$9,$N1855='112'!$I$6)),"x",""))</f>
        <v/>
      </c>
      <c r="V1855" s="79" t="str">
        <f>IF(ISERROR(FIND('112'!$M$9,G1855,1)),"",IF((AND(RIGHT(G1855,2)=RIGHT('112'!$M$9,2),B1855&lt;'112'!$K$9,$O1855='112'!$I$6)),"x",""))</f>
        <v/>
      </c>
      <c r="W1855" s="79" t="str">
        <f>IF(AND('341-CT'!$H$9=H1855,OR(LEFT(N1855,3)=$W$7,LEFT(O1855,3)=$W$7)),"x","")</f>
        <v/>
      </c>
      <c r="X1855" s="79" t="str">
        <f>IF(OR(TH!N1855=TH!$X$7,O1855=TH!$X$7),"x","")</f>
        <v/>
      </c>
      <c r="Y1855" s="79" t="str">
        <f>IF(AND(OR(N1855="131",O1855="131"),H1855='131-CT'!$H$9),"x","")</f>
        <v/>
      </c>
      <c r="Z1855" s="79"/>
      <c r="AA1855" s="79" t="str">
        <f>IF(AND(MONTH(E1855)='IN-NX'!$J$5,'IN-NX'!$D$7=D1855),"x","")</f>
        <v/>
      </c>
      <c r="AB1855" s="79" t="str">
        <f>IF(AND(OR(LEFT(TH!N1855,2)="15",LEFT(TH!O1855,2)="15"),LEFT(TH!O1855,3)&lt;&gt;"111",'152-CT'!$J$8=TH!F1855),"x","")</f>
        <v/>
      </c>
      <c r="AC1855" s="79" t="str">
        <f>IF(AND(OR(LEFT(TH!N1855,2)="15",LEFT(TH!O1855,2)="15"),TK!$E$7=TH!F1855),"x","")</f>
        <v/>
      </c>
      <c r="AD1855" s="79" t="str">
        <f>IF(AND(N1855="1521",MONTH(C1855)='BK-NL'!$M$11),"x","")</f>
        <v/>
      </c>
    </row>
    <row r="1856" spans="1:30" ht="16.5" customHeight="1">
      <c r="A1856" s="318" t="str">
        <f>IF(B1856&lt;&gt;"",IF(AND(B1856='IN-TC'!$S$4,OR(TH!N1856="1111",TH!O1856="1111")),TH!D1856,""),"")</f>
        <v/>
      </c>
      <c r="B1856" s="60" t="str">
        <f t="shared" si="221"/>
        <v/>
      </c>
      <c r="C1856" s="974"/>
      <c r="D1856" s="974"/>
      <c r="E1856" s="974"/>
      <c r="F1856" s="1131"/>
      <c r="G1856" s="976"/>
      <c r="H1856" s="759"/>
      <c r="I1856" s="383"/>
      <c r="J1856" s="390"/>
      <c r="K1856" s="383"/>
      <c r="L1856" s="390"/>
      <c r="M1856" s="978"/>
      <c r="N1856" s="979"/>
      <c r="O1856" s="979"/>
      <c r="P1856" s="79" t="str">
        <f>IF(AND('331-CT'!$E$7=TH!H1856,OR(N1856="331",O1856="331")),"x","")</f>
        <v/>
      </c>
      <c r="Q1856" s="79" t="str">
        <f>IF(AND(B1856='111'!$L$11,OR($N1856=$Q$7,$O1856=$Q$7)),"x","")</f>
        <v/>
      </c>
      <c r="R1856" s="79" t="str">
        <f>IF(AND($N1856=$Q$7,$B1856&lt;'111'!$L$11),"x","")</f>
        <v/>
      </c>
      <c r="S1856" s="79" t="str">
        <f>IF(AND($O1856=$Q$7,$B1856&lt;'111'!$L$11),"x","")</f>
        <v/>
      </c>
      <c r="T1856" s="79" t="str">
        <f>IF(ISERROR(FIND('112'!$M$9,G1856,1)),"",IF((AND(FIND('112'!$M$9,G1856,1)&gt;=1,B1856='112'!$K$9,OR($N1856='112'!$I$6,$O1856='112'!$I$6))),"x",""))</f>
        <v/>
      </c>
      <c r="U1856" s="79" t="str">
        <f>IF(ISERROR(FIND('112'!$M$9,G1856,1)),"",IF((AND(LEFT(G1856,2)=LEFT('112'!$M$9,2),B1856&lt;'112'!$K$9,$N1856='112'!$I$6)),"x",""))</f>
        <v/>
      </c>
      <c r="V1856" s="79" t="str">
        <f>IF(ISERROR(FIND('112'!$M$9,G1856,1)),"",IF((AND(RIGHT(G1856,2)=RIGHT('112'!$M$9,2),B1856&lt;'112'!$K$9,$O1856='112'!$I$6)),"x",""))</f>
        <v/>
      </c>
      <c r="W1856" s="79" t="str">
        <f>IF(AND('341-CT'!$H$9=H1856,OR(LEFT(N1856,3)=$W$7,LEFT(O1856,3)=$W$7)),"x","")</f>
        <v/>
      </c>
      <c r="X1856" s="79" t="str">
        <f>IF(OR(TH!N1856=TH!$X$7,O1856=TH!$X$7),"x","")</f>
        <v/>
      </c>
      <c r="Y1856" s="79" t="str">
        <f>IF(AND(OR(N1856="131",O1856="131"),H1856='131-CT'!$H$9),"x","")</f>
        <v/>
      </c>
      <c r="Z1856" s="79"/>
      <c r="AA1856" s="79" t="str">
        <f>IF(AND(MONTH(E1856)='IN-NX'!$J$5,'IN-NX'!$D$7=D1856),"x","")</f>
        <v/>
      </c>
      <c r="AB1856" s="79" t="str">
        <f>IF(AND(OR(LEFT(TH!N1856,2)="15",LEFT(TH!O1856,2)="15"),LEFT(TH!O1856,3)&lt;&gt;"111",'152-CT'!$J$8=TH!F1856),"x","")</f>
        <v/>
      </c>
      <c r="AC1856" s="79" t="str">
        <f>IF(AND(OR(LEFT(TH!N1856,2)="15",LEFT(TH!O1856,2)="15"),TK!$E$7=TH!F1856),"x","")</f>
        <v/>
      </c>
      <c r="AD1856" s="79" t="str">
        <f>IF(AND(N1856="1521",MONTH(C1856)='BK-NL'!$M$11),"x","")</f>
        <v/>
      </c>
    </row>
    <row r="1857" spans="1:30" ht="16.5" customHeight="1">
      <c r="A1857" s="318" t="str">
        <f>IF(B1857&lt;&gt;"",IF(AND(B1857='IN-TC'!$S$4,OR(TH!N1857="1111",TH!O1857="1111")),TH!D1857,""),"")</f>
        <v/>
      </c>
      <c r="B1857" s="60" t="str">
        <f t="shared" ref="B1857:B1900" si="222">IF(C1857&lt;&gt;"",MONTH(C1857),"")</f>
        <v/>
      </c>
      <c r="C1857" s="974"/>
      <c r="D1857" s="974"/>
      <c r="E1857" s="974"/>
      <c r="F1857" s="1131"/>
      <c r="G1857" s="976"/>
      <c r="H1857" s="759"/>
      <c r="I1857" s="383"/>
      <c r="J1857" s="390"/>
      <c r="K1857" s="383"/>
      <c r="L1857" s="390"/>
      <c r="M1857" s="978"/>
      <c r="N1857" s="979"/>
      <c r="O1857" s="979"/>
      <c r="P1857" s="79" t="str">
        <f>IF(AND('331-CT'!$E$7=TH!H1857,OR(N1857="331",O1857="331")),"x","")</f>
        <v/>
      </c>
      <c r="Q1857" s="79" t="str">
        <f>IF(AND(B1857='111'!$L$11,OR($N1857=$Q$7,$O1857=$Q$7)),"x","")</f>
        <v/>
      </c>
      <c r="R1857" s="79" t="str">
        <f>IF(AND($N1857=$Q$7,$B1857&lt;'111'!$L$11),"x","")</f>
        <v/>
      </c>
      <c r="S1857" s="79" t="str">
        <f>IF(AND($O1857=$Q$7,$B1857&lt;'111'!$L$11),"x","")</f>
        <v/>
      </c>
      <c r="T1857" s="79" t="str">
        <f>IF(ISERROR(FIND('112'!$M$9,G1857,1)),"",IF((AND(FIND('112'!$M$9,G1857,1)&gt;=1,B1857='112'!$K$9,OR($N1857='112'!$I$6,$O1857='112'!$I$6))),"x",""))</f>
        <v/>
      </c>
      <c r="U1857" s="79" t="str">
        <f>IF(ISERROR(FIND('112'!$M$9,G1857,1)),"",IF((AND(LEFT(G1857,2)=LEFT('112'!$M$9,2),B1857&lt;'112'!$K$9,$N1857='112'!$I$6)),"x",""))</f>
        <v/>
      </c>
      <c r="V1857" s="79" t="str">
        <f>IF(ISERROR(FIND('112'!$M$9,G1857,1)),"",IF((AND(RIGHT(G1857,2)=RIGHT('112'!$M$9,2),B1857&lt;'112'!$K$9,$O1857='112'!$I$6)),"x",""))</f>
        <v/>
      </c>
      <c r="W1857" s="79" t="str">
        <f>IF(AND('341-CT'!$H$9=H1857,OR(LEFT(N1857,3)=$W$7,LEFT(O1857,3)=$W$7)),"x","")</f>
        <v/>
      </c>
      <c r="X1857" s="79" t="str">
        <f>IF(OR(TH!N1857=TH!$X$7,O1857=TH!$X$7),"x","")</f>
        <v/>
      </c>
      <c r="Y1857" s="79" t="str">
        <f>IF(AND(OR(N1857="131",O1857="131"),H1857='131-CT'!$H$9),"x","")</f>
        <v/>
      </c>
      <c r="Z1857" s="79"/>
      <c r="AA1857" s="79" t="str">
        <f>IF(AND(MONTH(E1857)='IN-NX'!$J$5,'IN-NX'!$D$7=D1857),"x","")</f>
        <v/>
      </c>
      <c r="AB1857" s="79" t="str">
        <f>IF(AND(OR(LEFT(TH!N1857,2)="15",LEFT(TH!O1857,2)="15"),LEFT(TH!O1857,3)&lt;&gt;"111",'152-CT'!$J$8=TH!F1857),"x","")</f>
        <v/>
      </c>
      <c r="AC1857" s="79" t="str">
        <f>IF(AND(OR(LEFT(TH!N1857,2)="15",LEFT(TH!O1857,2)="15"),TK!$E$7=TH!F1857),"x","")</f>
        <v/>
      </c>
      <c r="AD1857" s="79" t="str">
        <f>IF(AND(N1857="1521",MONTH(C1857)='BK-NL'!$M$11),"x","")</f>
        <v/>
      </c>
    </row>
    <row r="1858" spans="1:30" ht="16.5" customHeight="1">
      <c r="A1858" s="318" t="str">
        <f>IF(B1858&lt;&gt;"",IF(AND(B1858='IN-TC'!$S$4,OR(TH!N1858="1111",TH!O1858="1111")),TH!D1858,""),"")</f>
        <v/>
      </c>
      <c r="B1858" s="60" t="str">
        <f t="shared" si="222"/>
        <v/>
      </c>
      <c r="C1858" s="974"/>
      <c r="D1858" s="974"/>
      <c r="E1858" s="974"/>
      <c r="F1858" s="305"/>
      <c r="G1858" s="976"/>
      <c r="H1858" s="759"/>
      <c r="I1858" s="383"/>
      <c r="J1858" s="390"/>
      <c r="K1858" s="383"/>
      <c r="L1858" s="390"/>
      <c r="M1858" s="978"/>
      <c r="N1858" s="979"/>
      <c r="O1858" s="979"/>
      <c r="P1858" s="79" t="str">
        <f>IF(AND('331-CT'!$E$7=TH!H1858,OR(N1858="331",O1858="331")),"x","")</f>
        <v/>
      </c>
      <c r="Q1858" s="79" t="str">
        <f>IF(AND(B1858='111'!$L$11,OR($N1858=$Q$7,$O1858=$Q$7)),"x","")</f>
        <v/>
      </c>
      <c r="R1858" s="79" t="str">
        <f>IF(AND($N1858=$Q$7,$B1858&lt;'111'!$L$11),"x","")</f>
        <v/>
      </c>
      <c r="S1858" s="79" t="str">
        <f>IF(AND($O1858=$Q$7,$B1858&lt;'111'!$L$11),"x","")</f>
        <v/>
      </c>
      <c r="T1858" s="79" t="str">
        <f>IF(ISERROR(FIND('112'!$M$9,G1858,1)),"",IF((AND(FIND('112'!$M$9,G1858,1)&gt;=1,B1858='112'!$K$9,OR($N1858='112'!$I$6,$O1858='112'!$I$6))),"x",""))</f>
        <v/>
      </c>
      <c r="U1858" s="79" t="str">
        <f>IF(ISERROR(FIND('112'!$M$9,G1858,1)),"",IF((AND(LEFT(G1858,2)=LEFT('112'!$M$9,2),B1858&lt;'112'!$K$9,$N1858='112'!$I$6)),"x",""))</f>
        <v/>
      </c>
      <c r="V1858" s="79" t="str">
        <f>IF(ISERROR(FIND('112'!$M$9,G1858,1)),"",IF((AND(RIGHT(G1858,2)=RIGHT('112'!$M$9,2),B1858&lt;'112'!$K$9,$O1858='112'!$I$6)),"x",""))</f>
        <v/>
      </c>
      <c r="W1858" s="79" t="str">
        <f>IF(AND('341-CT'!$H$9=H1858,OR(LEFT(N1858,3)=$W$7,LEFT(O1858,3)=$W$7)),"x","")</f>
        <v/>
      </c>
      <c r="X1858" s="79" t="str">
        <f>IF(OR(TH!N1858=TH!$X$7,O1858=TH!$X$7),"x","")</f>
        <v/>
      </c>
      <c r="Y1858" s="79" t="str">
        <f>IF(AND(OR(N1858="131",O1858="131"),H1858='131-CT'!$H$9),"x","")</f>
        <v/>
      </c>
      <c r="Z1858" s="79"/>
      <c r="AA1858" s="79" t="str">
        <f>IF(AND(MONTH(E1858)='IN-NX'!$J$5,'IN-NX'!$D$7=D1858),"x","")</f>
        <v/>
      </c>
      <c r="AB1858" s="79" t="str">
        <f>IF(AND(OR(LEFT(TH!N1858,2)="15",LEFT(TH!O1858,2)="15"),LEFT(TH!O1858,3)&lt;&gt;"111",'152-CT'!$J$8=TH!F1858),"x","")</f>
        <v/>
      </c>
      <c r="AC1858" s="79" t="str">
        <f>IF(AND(OR(LEFT(TH!N1858,2)="15",LEFT(TH!O1858,2)="15"),TK!$E$7=TH!F1858),"x","")</f>
        <v/>
      </c>
      <c r="AD1858" s="79" t="str">
        <f>IF(AND(N1858="1521",MONTH(C1858)='BK-NL'!$M$11),"x","")</f>
        <v/>
      </c>
    </row>
    <row r="1859" spans="1:30" ht="16.5" customHeight="1">
      <c r="A1859" s="318" t="str">
        <f>IF(B1859&lt;&gt;"",IF(AND(B1859='IN-TC'!$S$4,OR(TH!N1859="1111",TH!O1859="1111")),TH!D1859,""),"")</f>
        <v/>
      </c>
      <c r="B1859" s="60" t="str">
        <f t="shared" si="222"/>
        <v/>
      </c>
      <c r="C1859" s="974"/>
      <c r="D1859" s="974"/>
      <c r="E1859" s="974"/>
      <c r="F1859" s="305"/>
      <c r="G1859" s="976"/>
      <c r="H1859" s="759"/>
      <c r="I1859" s="383"/>
      <c r="J1859" s="390"/>
      <c r="K1859" s="383"/>
      <c r="L1859" s="390"/>
      <c r="M1859" s="978"/>
      <c r="N1859" s="979"/>
      <c r="O1859" s="979"/>
      <c r="P1859" s="79" t="str">
        <f>IF(AND('331-CT'!$E$7=TH!H1859,OR(N1859="331",O1859="331")),"x","")</f>
        <v/>
      </c>
      <c r="Q1859" s="79" t="str">
        <f>IF(AND(B1859='111'!$L$11,OR($N1859=$Q$7,$O1859=$Q$7)),"x","")</f>
        <v/>
      </c>
      <c r="R1859" s="79" t="str">
        <f>IF(AND($N1859=$Q$7,$B1859&lt;'111'!$L$11),"x","")</f>
        <v/>
      </c>
      <c r="S1859" s="79" t="str">
        <f>IF(AND($O1859=$Q$7,$B1859&lt;'111'!$L$11),"x","")</f>
        <v/>
      </c>
      <c r="T1859" s="79" t="str">
        <f>IF(ISERROR(FIND('112'!$M$9,G1859,1)),"",IF((AND(FIND('112'!$M$9,G1859,1)&gt;=1,B1859='112'!$K$9,OR($N1859='112'!$I$6,$O1859='112'!$I$6))),"x",""))</f>
        <v/>
      </c>
      <c r="U1859" s="79" t="str">
        <f>IF(ISERROR(FIND('112'!$M$9,G1859,1)),"",IF((AND(LEFT(G1859,2)=LEFT('112'!$M$9,2),B1859&lt;'112'!$K$9,$N1859='112'!$I$6)),"x",""))</f>
        <v/>
      </c>
      <c r="V1859" s="79" t="str">
        <f>IF(ISERROR(FIND('112'!$M$9,G1859,1)),"",IF((AND(RIGHT(G1859,2)=RIGHT('112'!$M$9,2),B1859&lt;'112'!$K$9,$O1859='112'!$I$6)),"x",""))</f>
        <v/>
      </c>
      <c r="W1859" s="79" t="str">
        <f>IF(AND('341-CT'!$H$9=H1859,OR(LEFT(N1859,3)=$W$7,LEFT(O1859,3)=$W$7)),"x","")</f>
        <v/>
      </c>
      <c r="X1859" s="79" t="str">
        <f>IF(OR(TH!N1859=TH!$X$7,O1859=TH!$X$7),"x","")</f>
        <v/>
      </c>
      <c r="Y1859" s="79" t="str">
        <f>IF(AND(OR(N1859="131",O1859="131"),H1859='131-CT'!$H$9),"x","")</f>
        <v/>
      </c>
      <c r="Z1859" s="79"/>
      <c r="AA1859" s="79" t="str">
        <f>IF(AND(MONTH(E1859)='IN-NX'!$J$5,'IN-NX'!$D$7=D1859),"x","")</f>
        <v/>
      </c>
      <c r="AB1859" s="79" t="str">
        <f>IF(AND(OR(LEFT(TH!N1859,2)="15",LEFT(TH!O1859,2)="15"),LEFT(TH!O1859,3)&lt;&gt;"111",'152-CT'!$J$8=TH!F1859),"x","")</f>
        <v/>
      </c>
      <c r="AC1859" s="79" t="str">
        <f>IF(AND(OR(LEFT(TH!N1859,2)="15",LEFT(TH!O1859,2)="15"),TK!$E$7=TH!F1859),"x","")</f>
        <v/>
      </c>
      <c r="AD1859" s="79" t="str">
        <f>IF(AND(N1859="1521",MONTH(C1859)='BK-NL'!$M$11),"x","")</f>
        <v/>
      </c>
    </row>
    <row r="1860" spans="1:30" ht="16.5" customHeight="1">
      <c r="A1860" s="318" t="str">
        <f>IF(B1860&lt;&gt;"",IF(AND(B1860='IN-TC'!$S$4,OR(TH!N1860="1111",TH!O1860="1111")),TH!D1860,""),"")</f>
        <v/>
      </c>
      <c r="B1860" s="60" t="str">
        <f t="shared" si="222"/>
        <v/>
      </c>
      <c r="C1860" s="974"/>
      <c r="D1860" s="974"/>
      <c r="E1860" s="974"/>
      <c r="F1860" s="1131"/>
      <c r="G1860" s="976"/>
      <c r="H1860" s="759"/>
      <c r="I1860" s="383"/>
      <c r="J1860" s="390"/>
      <c r="K1860" s="383"/>
      <c r="L1860" s="390"/>
      <c r="M1860" s="978"/>
      <c r="N1860" s="979"/>
      <c r="O1860" s="979"/>
      <c r="P1860" s="79" t="str">
        <f>IF(AND('331-CT'!$E$7=TH!H1860,OR(N1860="331",O1860="331")),"x","")</f>
        <v/>
      </c>
      <c r="Q1860" s="79" t="str">
        <f>IF(AND(B1860='111'!$L$11,OR($N1860=$Q$7,$O1860=$Q$7)),"x","")</f>
        <v/>
      </c>
      <c r="R1860" s="79" t="str">
        <f>IF(AND($N1860=$Q$7,$B1860&lt;'111'!$L$11),"x","")</f>
        <v/>
      </c>
      <c r="S1860" s="79" t="str">
        <f>IF(AND($O1860=$Q$7,$B1860&lt;'111'!$L$11),"x","")</f>
        <v/>
      </c>
      <c r="T1860" s="79" t="str">
        <f>IF(ISERROR(FIND('112'!$M$9,G1860,1)),"",IF((AND(FIND('112'!$M$9,G1860,1)&gt;=1,B1860='112'!$K$9,OR($N1860='112'!$I$6,$O1860='112'!$I$6))),"x",""))</f>
        <v/>
      </c>
      <c r="U1860" s="79" t="str">
        <f>IF(ISERROR(FIND('112'!$M$9,G1860,1)),"",IF((AND(LEFT(G1860,2)=LEFT('112'!$M$9,2),B1860&lt;'112'!$K$9,$N1860='112'!$I$6)),"x",""))</f>
        <v/>
      </c>
      <c r="V1860" s="79" t="str">
        <f>IF(ISERROR(FIND('112'!$M$9,G1860,1)),"",IF((AND(RIGHT(G1860,2)=RIGHT('112'!$M$9,2),B1860&lt;'112'!$K$9,$O1860='112'!$I$6)),"x",""))</f>
        <v/>
      </c>
      <c r="W1860" s="79" t="str">
        <f>IF(AND('341-CT'!$H$9=H1860,OR(LEFT(N1860,3)=$W$7,LEFT(O1860,3)=$W$7)),"x","")</f>
        <v/>
      </c>
      <c r="X1860" s="79" t="str">
        <f>IF(OR(TH!N1860=TH!$X$7,O1860=TH!$X$7),"x","")</f>
        <v/>
      </c>
      <c r="Y1860" s="79" t="str">
        <f>IF(AND(OR(N1860="131",O1860="131"),H1860='131-CT'!$H$9),"x","")</f>
        <v/>
      </c>
      <c r="Z1860" s="79"/>
      <c r="AA1860" s="79" t="str">
        <f>IF(AND(MONTH(E1860)='IN-NX'!$J$5,'IN-NX'!$D$7=D1860),"x","")</f>
        <v/>
      </c>
      <c r="AB1860" s="79" t="str">
        <f>IF(AND(OR(LEFT(TH!N1860,2)="15",LEFT(TH!O1860,2)="15"),LEFT(TH!O1860,3)&lt;&gt;"111",'152-CT'!$J$8=TH!F1860),"x","")</f>
        <v/>
      </c>
      <c r="AC1860" s="79" t="str">
        <f>IF(AND(OR(LEFT(TH!N1860,2)="15",LEFT(TH!O1860,2)="15"),TK!$E$7=TH!F1860),"x","")</f>
        <v/>
      </c>
      <c r="AD1860" s="79" t="str">
        <f>IF(AND(N1860="1521",MONTH(C1860)='BK-NL'!$M$11),"x","")</f>
        <v/>
      </c>
    </row>
    <row r="1861" spans="1:30" ht="16.5" customHeight="1">
      <c r="A1861" s="318" t="str">
        <f>IF(B1861&lt;&gt;"",IF(AND(B1861='IN-TC'!$S$4,OR(TH!N1861="1111",TH!O1861="1111")),TH!D1861,""),"")</f>
        <v/>
      </c>
      <c r="B1861" s="60" t="str">
        <f t="shared" si="222"/>
        <v/>
      </c>
      <c r="C1861" s="974"/>
      <c r="D1861" s="974"/>
      <c r="E1861" s="974"/>
      <c r="F1861" s="1131"/>
      <c r="G1861" s="976"/>
      <c r="H1861" s="759"/>
      <c r="I1861" s="383"/>
      <c r="J1861" s="390"/>
      <c r="K1861" s="383"/>
      <c r="L1861" s="390"/>
      <c r="M1861" s="978"/>
      <c r="N1861" s="979"/>
      <c r="O1861" s="979"/>
      <c r="P1861" s="79" t="str">
        <f>IF(AND('331-CT'!$E$7=TH!H1861,OR(N1861="331",O1861="331")),"x","")</f>
        <v/>
      </c>
      <c r="Q1861" s="79" t="str">
        <f>IF(AND(B1861='111'!$L$11,OR($N1861=$Q$7,$O1861=$Q$7)),"x","")</f>
        <v/>
      </c>
      <c r="R1861" s="79" t="str">
        <f>IF(AND($N1861=$Q$7,$B1861&lt;'111'!$L$11),"x","")</f>
        <v/>
      </c>
      <c r="S1861" s="79" t="str">
        <f>IF(AND($O1861=$Q$7,$B1861&lt;'111'!$L$11),"x","")</f>
        <v/>
      </c>
      <c r="T1861" s="79" t="str">
        <f>IF(ISERROR(FIND('112'!$M$9,G1861,1)),"",IF((AND(FIND('112'!$M$9,G1861,1)&gt;=1,B1861='112'!$K$9,OR($N1861='112'!$I$6,$O1861='112'!$I$6))),"x",""))</f>
        <v/>
      </c>
      <c r="U1861" s="79" t="str">
        <f>IF(ISERROR(FIND('112'!$M$9,G1861,1)),"",IF((AND(LEFT(G1861,2)=LEFT('112'!$M$9,2),B1861&lt;'112'!$K$9,$N1861='112'!$I$6)),"x",""))</f>
        <v/>
      </c>
      <c r="V1861" s="79" t="str">
        <f>IF(ISERROR(FIND('112'!$M$9,G1861,1)),"",IF((AND(RIGHT(G1861,2)=RIGHT('112'!$M$9,2),B1861&lt;'112'!$K$9,$O1861='112'!$I$6)),"x",""))</f>
        <v/>
      </c>
      <c r="W1861" s="79" t="str">
        <f>IF(AND('341-CT'!$H$9=H1861,OR(LEFT(N1861,3)=$W$7,LEFT(O1861,3)=$W$7)),"x","")</f>
        <v/>
      </c>
      <c r="X1861" s="79" t="str">
        <f>IF(OR(TH!N1861=TH!$X$7,O1861=TH!$X$7),"x","")</f>
        <v/>
      </c>
      <c r="Y1861" s="79" t="str">
        <f>IF(AND(OR(N1861="131",O1861="131"),H1861='131-CT'!$H$9),"x","")</f>
        <v/>
      </c>
      <c r="Z1861" s="79"/>
      <c r="AA1861" s="79" t="str">
        <f>IF(AND(MONTH(E1861)='IN-NX'!$J$5,'IN-NX'!$D$7=D1861),"x","")</f>
        <v/>
      </c>
      <c r="AB1861" s="79" t="str">
        <f>IF(AND(OR(LEFT(TH!N1861,2)="15",LEFT(TH!O1861,2)="15"),LEFT(TH!O1861,3)&lt;&gt;"111",'152-CT'!$J$8=TH!F1861),"x","")</f>
        <v/>
      </c>
      <c r="AC1861" s="79" t="str">
        <f>IF(AND(OR(LEFT(TH!N1861,2)="15",LEFT(TH!O1861,2)="15"),TK!$E$7=TH!F1861),"x","")</f>
        <v/>
      </c>
      <c r="AD1861" s="79" t="str">
        <f>IF(AND(N1861="1521",MONTH(C1861)='BK-NL'!$M$11),"x","")</f>
        <v/>
      </c>
    </row>
    <row r="1862" spans="1:30" ht="16.5" customHeight="1">
      <c r="A1862" s="318" t="str">
        <f>IF(B1862&lt;&gt;"",IF(AND(B1862='IN-TC'!$S$4,OR(TH!N1862="1111",TH!O1862="1111")),TH!D1862,""),"")</f>
        <v/>
      </c>
      <c r="B1862" s="60" t="str">
        <f t="shared" si="222"/>
        <v/>
      </c>
      <c r="C1862" s="974"/>
      <c r="D1862" s="974"/>
      <c r="E1862" s="974"/>
      <c r="F1862" s="1131"/>
      <c r="G1862" s="976"/>
      <c r="H1862" s="759"/>
      <c r="I1862" s="383"/>
      <c r="J1862" s="390"/>
      <c r="K1862" s="383"/>
      <c r="L1862" s="390"/>
      <c r="M1862" s="978"/>
      <c r="N1862" s="979"/>
      <c r="O1862" s="979"/>
      <c r="P1862" s="79" t="str">
        <f>IF(AND('331-CT'!$E$7=TH!H1862,OR(N1862="331",O1862="331")),"x","")</f>
        <v/>
      </c>
      <c r="Q1862" s="79" t="str">
        <f>IF(AND(B1862='111'!$L$11,OR($N1862=$Q$7,$O1862=$Q$7)),"x","")</f>
        <v/>
      </c>
      <c r="R1862" s="79" t="str">
        <f>IF(AND($N1862=$Q$7,$B1862&lt;'111'!$L$11),"x","")</f>
        <v/>
      </c>
      <c r="S1862" s="79" t="str">
        <f>IF(AND($O1862=$Q$7,$B1862&lt;'111'!$L$11),"x","")</f>
        <v/>
      </c>
      <c r="T1862" s="79" t="str">
        <f>IF(ISERROR(FIND('112'!$M$9,G1862,1)),"",IF((AND(FIND('112'!$M$9,G1862,1)&gt;=1,B1862='112'!$K$9,OR($N1862='112'!$I$6,$O1862='112'!$I$6))),"x",""))</f>
        <v/>
      </c>
      <c r="U1862" s="79" t="str">
        <f>IF(ISERROR(FIND('112'!$M$9,G1862,1)),"",IF((AND(LEFT(G1862,2)=LEFT('112'!$M$9,2),B1862&lt;'112'!$K$9,$N1862='112'!$I$6)),"x",""))</f>
        <v/>
      </c>
      <c r="V1862" s="79" t="str">
        <f>IF(ISERROR(FIND('112'!$M$9,G1862,1)),"",IF((AND(RIGHT(G1862,2)=RIGHT('112'!$M$9,2),B1862&lt;'112'!$K$9,$O1862='112'!$I$6)),"x",""))</f>
        <v/>
      </c>
      <c r="W1862" s="79" t="str">
        <f>IF(AND('341-CT'!$H$9=H1862,OR(LEFT(N1862,3)=$W$7,LEFT(O1862,3)=$W$7)),"x","")</f>
        <v/>
      </c>
      <c r="X1862" s="79" t="str">
        <f>IF(OR(TH!N1862=TH!$X$7,O1862=TH!$X$7),"x","")</f>
        <v/>
      </c>
      <c r="Y1862" s="79" t="str">
        <f>IF(AND(OR(N1862="131",O1862="131"),H1862='131-CT'!$H$9),"x","")</f>
        <v/>
      </c>
      <c r="Z1862" s="79"/>
      <c r="AA1862" s="79" t="str">
        <f>IF(AND(MONTH(E1862)='IN-NX'!$J$5,'IN-NX'!$D$7=D1862),"x","")</f>
        <v/>
      </c>
      <c r="AB1862" s="79" t="str">
        <f>IF(AND(OR(LEFT(TH!N1862,2)="15",LEFT(TH!O1862,2)="15"),LEFT(TH!O1862,3)&lt;&gt;"111",'152-CT'!$J$8=TH!F1862),"x","")</f>
        <v/>
      </c>
      <c r="AC1862" s="79" t="str">
        <f>IF(AND(OR(LEFT(TH!N1862,2)="15",LEFT(TH!O1862,2)="15"),TK!$E$7=TH!F1862),"x","")</f>
        <v/>
      </c>
      <c r="AD1862" s="79" t="str">
        <f>IF(AND(N1862="1521",MONTH(C1862)='BK-NL'!$M$11),"x","")</f>
        <v/>
      </c>
    </row>
    <row r="1863" spans="1:30" ht="16.5" customHeight="1">
      <c r="A1863" s="318" t="str">
        <f>IF(B1863&lt;&gt;"",IF(AND(B1863='IN-TC'!$S$4,OR(TH!N1863="1111",TH!O1863="1111")),TH!D1863,""),"")</f>
        <v/>
      </c>
      <c r="B1863" s="60" t="str">
        <f t="shared" si="222"/>
        <v/>
      </c>
      <c r="C1863" s="974"/>
      <c r="D1863" s="974"/>
      <c r="E1863" s="974"/>
      <c r="F1863" s="1131"/>
      <c r="G1863" s="976"/>
      <c r="H1863" s="759"/>
      <c r="I1863" s="383"/>
      <c r="J1863" s="390"/>
      <c r="K1863" s="383"/>
      <c r="L1863" s="390"/>
      <c r="M1863" s="978"/>
      <c r="N1863" s="979"/>
      <c r="O1863" s="979"/>
      <c r="P1863" s="79" t="str">
        <f>IF(AND('331-CT'!$E$7=TH!H1863,OR(N1863="331",O1863="331")),"x","")</f>
        <v/>
      </c>
      <c r="Q1863" s="79" t="str">
        <f>IF(AND(B1863='111'!$L$11,OR($N1863=$Q$7,$O1863=$Q$7)),"x","")</f>
        <v/>
      </c>
      <c r="R1863" s="79" t="str">
        <f>IF(AND($N1863=$Q$7,$B1863&lt;'111'!$L$11),"x","")</f>
        <v/>
      </c>
      <c r="S1863" s="79" t="str">
        <f>IF(AND($O1863=$Q$7,$B1863&lt;'111'!$L$11),"x","")</f>
        <v/>
      </c>
      <c r="T1863" s="79" t="str">
        <f>IF(ISERROR(FIND('112'!$M$9,G1863,1)),"",IF((AND(FIND('112'!$M$9,G1863,1)&gt;=1,B1863='112'!$K$9,OR($N1863='112'!$I$6,$O1863='112'!$I$6))),"x",""))</f>
        <v/>
      </c>
      <c r="U1863" s="79" t="str">
        <f>IF(ISERROR(FIND('112'!$M$9,G1863,1)),"",IF((AND(LEFT(G1863,2)=LEFT('112'!$M$9,2),B1863&lt;'112'!$K$9,$N1863='112'!$I$6)),"x",""))</f>
        <v/>
      </c>
      <c r="V1863" s="79" t="str">
        <f>IF(ISERROR(FIND('112'!$M$9,G1863,1)),"",IF((AND(RIGHT(G1863,2)=RIGHT('112'!$M$9,2),B1863&lt;'112'!$K$9,$O1863='112'!$I$6)),"x",""))</f>
        <v/>
      </c>
      <c r="W1863" s="79" t="str">
        <f>IF(AND('341-CT'!$H$9=H1863,OR(LEFT(N1863,3)=$W$7,LEFT(O1863,3)=$W$7)),"x","")</f>
        <v/>
      </c>
      <c r="X1863" s="79" t="str">
        <f>IF(OR(TH!N1863=TH!$X$7,O1863=TH!$X$7),"x","")</f>
        <v/>
      </c>
      <c r="Y1863" s="79" t="str">
        <f>IF(AND(OR(N1863="131",O1863="131"),H1863='131-CT'!$H$9),"x","")</f>
        <v/>
      </c>
      <c r="Z1863" s="79"/>
      <c r="AA1863" s="79" t="str">
        <f>IF(AND(MONTH(E1863)='IN-NX'!$J$5,'IN-NX'!$D$7=D1863),"x","")</f>
        <v/>
      </c>
      <c r="AB1863" s="79" t="str">
        <f>IF(AND(OR(LEFT(TH!N1863,2)="15",LEFT(TH!O1863,2)="15"),LEFT(TH!O1863,3)&lt;&gt;"111",'152-CT'!$J$8=TH!F1863),"x","")</f>
        <v/>
      </c>
      <c r="AC1863" s="79" t="str">
        <f>IF(AND(OR(LEFT(TH!N1863,2)="15",LEFT(TH!O1863,2)="15"),TK!$E$7=TH!F1863),"x","")</f>
        <v/>
      </c>
      <c r="AD1863" s="79" t="str">
        <f>IF(AND(N1863="1521",MONTH(C1863)='BK-NL'!$M$11),"x","")</f>
        <v/>
      </c>
    </row>
    <row r="1864" spans="1:30" ht="16.5" customHeight="1">
      <c r="A1864" s="318" t="str">
        <f>IF(B1864&lt;&gt;"",IF(AND(B1864='IN-TC'!$S$4,OR(TH!N1864="1111",TH!O1864="1111")),TH!D1864,""),"")</f>
        <v/>
      </c>
      <c r="B1864" s="60" t="str">
        <f t="shared" si="222"/>
        <v/>
      </c>
      <c r="C1864" s="974"/>
      <c r="D1864" s="974"/>
      <c r="E1864" s="974"/>
      <c r="F1864" s="305"/>
      <c r="G1864" s="976"/>
      <c r="H1864" s="759"/>
      <c r="I1864" s="383"/>
      <c r="J1864" s="390"/>
      <c r="K1864" s="383"/>
      <c r="L1864" s="390"/>
      <c r="M1864" s="978"/>
      <c r="N1864" s="979"/>
      <c r="O1864" s="979"/>
      <c r="P1864" s="79" t="str">
        <f>IF(AND('331-CT'!$E$7=TH!H1864,OR(N1864="331",O1864="331")),"x","")</f>
        <v/>
      </c>
      <c r="Q1864" s="79" t="str">
        <f>IF(AND(B1864='111'!$L$11,OR($N1864=$Q$7,$O1864=$Q$7)),"x","")</f>
        <v/>
      </c>
      <c r="R1864" s="79" t="str">
        <f>IF(AND($N1864=$Q$7,$B1864&lt;'111'!$L$11),"x","")</f>
        <v/>
      </c>
      <c r="S1864" s="79" t="str">
        <f>IF(AND($O1864=$Q$7,$B1864&lt;'111'!$L$11),"x","")</f>
        <v/>
      </c>
      <c r="T1864" s="79" t="str">
        <f>IF(ISERROR(FIND('112'!$M$9,G1864,1)),"",IF((AND(FIND('112'!$M$9,G1864,1)&gt;=1,B1864='112'!$K$9,OR($N1864='112'!$I$6,$O1864='112'!$I$6))),"x",""))</f>
        <v/>
      </c>
      <c r="U1864" s="79" t="str">
        <f>IF(ISERROR(FIND('112'!$M$9,G1864,1)),"",IF((AND(LEFT(G1864,2)=LEFT('112'!$M$9,2),B1864&lt;'112'!$K$9,$N1864='112'!$I$6)),"x",""))</f>
        <v/>
      </c>
      <c r="V1864" s="79" t="str">
        <f>IF(ISERROR(FIND('112'!$M$9,G1864,1)),"",IF((AND(RIGHT(G1864,2)=RIGHT('112'!$M$9,2),B1864&lt;'112'!$K$9,$O1864='112'!$I$6)),"x",""))</f>
        <v/>
      </c>
      <c r="W1864" s="79" t="str">
        <f>IF(AND('341-CT'!$H$9=H1864,OR(LEFT(N1864,3)=$W$7,LEFT(O1864,3)=$W$7)),"x","")</f>
        <v/>
      </c>
      <c r="X1864" s="79" t="str">
        <f>IF(OR(TH!N1864=TH!$X$7,O1864=TH!$X$7),"x","")</f>
        <v/>
      </c>
      <c r="Y1864" s="79" t="str">
        <f>IF(AND(OR(N1864="131",O1864="131"),H1864='131-CT'!$H$9),"x","")</f>
        <v/>
      </c>
      <c r="Z1864" s="79"/>
      <c r="AA1864" s="79" t="str">
        <f>IF(AND(MONTH(E1864)='IN-NX'!$J$5,'IN-NX'!$D$7=D1864),"x","")</f>
        <v/>
      </c>
      <c r="AB1864" s="79" t="str">
        <f>IF(AND(OR(LEFT(TH!N1864,2)="15",LEFT(TH!O1864,2)="15"),LEFT(TH!O1864,3)&lt;&gt;"111",'152-CT'!$J$8=TH!F1864),"x","")</f>
        <v/>
      </c>
      <c r="AC1864" s="79" t="str">
        <f>IF(AND(OR(LEFT(TH!N1864,2)="15",LEFT(TH!O1864,2)="15"),TK!$E$7=TH!F1864),"x","")</f>
        <v/>
      </c>
      <c r="AD1864" s="79" t="str">
        <f>IF(AND(N1864="1521",MONTH(C1864)='BK-NL'!$M$11),"x","")</f>
        <v/>
      </c>
    </row>
    <row r="1865" spans="1:30" ht="16.5" customHeight="1">
      <c r="A1865" s="318" t="str">
        <f>IF(B1865&lt;&gt;"",IF(AND(B1865='IN-TC'!$S$4,OR(TH!N1865="1111",TH!O1865="1111")),TH!D1865,""),"")</f>
        <v/>
      </c>
      <c r="B1865" s="60" t="str">
        <f t="shared" si="222"/>
        <v/>
      </c>
      <c r="C1865" s="974"/>
      <c r="D1865" s="974"/>
      <c r="E1865" s="974"/>
      <c r="F1865" s="305"/>
      <c r="G1865" s="976"/>
      <c r="H1865" s="759"/>
      <c r="I1865" s="383"/>
      <c r="J1865" s="390"/>
      <c r="K1865" s="383"/>
      <c r="L1865" s="390"/>
      <c r="M1865" s="978"/>
      <c r="N1865" s="979"/>
      <c r="O1865" s="979"/>
      <c r="P1865" s="79" t="str">
        <f>IF(AND('331-CT'!$E$7=TH!H1865,OR(N1865="331",O1865="331")),"x","")</f>
        <v/>
      </c>
      <c r="Q1865" s="79" t="str">
        <f>IF(AND(B1865='111'!$L$11,OR($N1865=$Q$7,$O1865=$Q$7)),"x","")</f>
        <v/>
      </c>
      <c r="R1865" s="79" t="str">
        <f>IF(AND($N1865=$Q$7,$B1865&lt;'111'!$L$11),"x","")</f>
        <v/>
      </c>
      <c r="S1865" s="79" t="str">
        <f>IF(AND($O1865=$Q$7,$B1865&lt;'111'!$L$11),"x","")</f>
        <v/>
      </c>
      <c r="T1865" s="79" t="str">
        <f>IF(ISERROR(FIND('112'!$M$9,G1865,1)),"",IF((AND(FIND('112'!$M$9,G1865,1)&gt;=1,B1865='112'!$K$9,OR($N1865='112'!$I$6,$O1865='112'!$I$6))),"x",""))</f>
        <v/>
      </c>
      <c r="U1865" s="79" t="str">
        <f>IF(ISERROR(FIND('112'!$M$9,G1865,1)),"",IF((AND(LEFT(G1865,2)=LEFT('112'!$M$9,2),B1865&lt;'112'!$K$9,$N1865='112'!$I$6)),"x",""))</f>
        <v/>
      </c>
      <c r="V1865" s="79" t="str">
        <f>IF(ISERROR(FIND('112'!$M$9,G1865,1)),"",IF((AND(RIGHT(G1865,2)=RIGHT('112'!$M$9,2),B1865&lt;'112'!$K$9,$O1865='112'!$I$6)),"x",""))</f>
        <v/>
      </c>
      <c r="W1865" s="79" t="str">
        <f>IF(AND('341-CT'!$H$9=H1865,OR(LEFT(N1865,3)=$W$7,LEFT(O1865,3)=$W$7)),"x","")</f>
        <v/>
      </c>
      <c r="X1865" s="79" t="str">
        <f>IF(OR(TH!N1865=TH!$X$7,O1865=TH!$X$7),"x","")</f>
        <v/>
      </c>
      <c r="Y1865" s="79" t="str">
        <f>IF(AND(OR(N1865="131",O1865="131"),H1865='131-CT'!$H$9),"x","")</f>
        <v/>
      </c>
      <c r="Z1865" s="79"/>
      <c r="AA1865" s="79" t="str">
        <f>IF(AND(MONTH(E1865)='IN-NX'!$J$5,'IN-NX'!$D$7=D1865),"x","")</f>
        <v/>
      </c>
      <c r="AB1865" s="79" t="str">
        <f>IF(AND(OR(LEFT(TH!N1865,2)="15",LEFT(TH!O1865,2)="15"),LEFT(TH!O1865,3)&lt;&gt;"111",'152-CT'!$J$8=TH!F1865),"x","")</f>
        <v/>
      </c>
      <c r="AC1865" s="79" t="str">
        <f>IF(AND(OR(LEFT(TH!N1865,2)="15",LEFT(TH!O1865,2)="15"),TK!$E$7=TH!F1865),"x","")</f>
        <v/>
      </c>
      <c r="AD1865" s="79" t="str">
        <f>IF(AND(N1865="1521",MONTH(C1865)='BK-NL'!$M$11),"x","")</f>
        <v/>
      </c>
    </row>
    <row r="1866" spans="1:30" ht="16.5" customHeight="1">
      <c r="A1866" s="318" t="str">
        <f>IF(B1866&lt;&gt;"",IF(AND(B1866='IN-TC'!$S$4,OR(TH!N1866="1111",TH!O1866="1111")),TH!D1866,""),"")</f>
        <v/>
      </c>
      <c r="B1866" s="60" t="str">
        <f t="shared" si="222"/>
        <v/>
      </c>
      <c r="C1866" s="974"/>
      <c r="D1866" s="974"/>
      <c r="E1866" s="974"/>
      <c r="F1866" s="1131"/>
      <c r="G1866" s="976"/>
      <c r="H1866" s="759"/>
      <c r="I1866" s="383"/>
      <c r="J1866" s="390"/>
      <c r="K1866" s="383"/>
      <c r="L1866" s="390"/>
      <c r="M1866" s="978"/>
      <c r="N1866" s="979"/>
      <c r="O1866" s="979"/>
      <c r="P1866" s="79" t="str">
        <f>IF(AND('331-CT'!$E$7=TH!H1866,OR(N1866="331",O1866="331")),"x","")</f>
        <v/>
      </c>
      <c r="Q1866" s="79" t="str">
        <f>IF(AND(B1866='111'!$L$11,OR($N1866=$Q$7,$O1866=$Q$7)),"x","")</f>
        <v/>
      </c>
      <c r="R1866" s="79" t="str">
        <f>IF(AND($N1866=$Q$7,$B1866&lt;'111'!$L$11),"x","")</f>
        <v/>
      </c>
      <c r="S1866" s="79" t="str">
        <f>IF(AND($O1866=$Q$7,$B1866&lt;'111'!$L$11),"x","")</f>
        <v/>
      </c>
      <c r="T1866" s="79" t="str">
        <f>IF(ISERROR(FIND('112'!$M$9,G1866,1)),"",IF((AND(FIND('112'!$M$9,G1866,1)&gt;=1,B1866='112'!$K$9,OR($N1866='112'!$I$6,$O1866='112'!$I$6))),"x",""))</f>
        <v/>
      </c>
      <c r="U1866" s="79" t="str">
        <f>IF(ISERROR(FIND('112'!$M$9,G1866,1)),"",IF((AND(LEFT(G1866,2)=LEFT('112'!$M$9,2),B1866&lt;'112'!$K$9,$N1866='112'!$I$6)),"x",""))</f>
        <v/>
      </c>
      <c r="V1866" s="79" t="str">
        <f>IF(ISERROR(FIND('112'!$M$9,G1866,1)),"",IF((AND(RIGHT(G1866,2)=RIGHT('112'!$M$9,2),B1866&lt;'112'!$K$9,$O1866='112'!$I$6)),"x",""))</f>
        <v/>
      </c>
      <c r="W1866" s="79" t="str">
        <f>IF(AND('341-CT'!$H$9=H1866,OR(LEFT(N1866,3)=$W$7,LEFT(O1866,3)=$W$7)),"x","")</f>
        <v/>
      </c>
      <c r="X1866" s="79" t="str">
        <f>IF(OR(TH!N1866=TH!$X$7,O1866=TH!$X$7),"x","")</f>
        <v/>
      </c>
      <c r="Y1866" s="79" t="str">
        <f>IF(AND(OR(N1866="131",O1866="131"),H1866='131-CT'!$H$9),"x","")</f>
        <v/>
      </c>
      <c r="Z1866" s="79"/>
      <c r="AA1866" s="79" t="str">
        <f>IF(AND(MONTH(E1866)='IN-NX'!$J$5,'IN-NX'!$D$7=D1866),"x","")</f>
        <v/>
      </c>
      <c r="AB1866" s="79" t="str">
        <f>IF(AND(OR(LEFT(TH!N1866,2)="15",LEFT(TH!O1866,2)="15"),LEFT(TH!O1866,3)&lt;&gt;"111",'152-CT'!$J$8=TH!F1866),"x","")</f>
        <v/>
      </c>
      <c r="AC1866" s="79" t="str">
        <f>IF(AND(OR(LEFT(TH!N1866,2)="15",LEFT(TH!O1866,2)="15"),TK!$E$7=TH!F1866),"x","")</f>
        <v/>
      </c>
      <c r="AD1866" s="79" t="str">
        <f>IF(AND(N1866="1521",MONTH(C1866)='BK-NL'!$M$11),"x","")</f>
        <v/>
      </c>
    </row>
    <row r="1867" spans="1:30" ht="16.5" customHeight="1">
      <c r="A1867" s="318" t="str">
        <f>IF(B1867&lt;&gt;"",IF(AND(B1867='IN-TC'!$S$4,OR(TH!N1867="1111",TH!O1867="1111")),TH!D1867,""),"")</f>
        <v/>
      </c>
      <c r="B1867" s="60" t="str">
        <f t="shared" si="222"/>
        <v/>
      </c>
      <c r="C1867" s="974"/>
      <c r="D1867" s="974"/>
      <c r="E1867" s="974"/>
      <c r="F1867" s="1131"/>
      <c r="G1867" s="976"/>
      <c r="H1867" s="759"/>
      <c r="I1867" s="383"/>
      <c r="J1867" s="390"/>
      <c r="K1867" s="383"/>
      <c r="L1867" s="390"/>
      <c r="M1867" s="978"/>
      <c r="N1867" s="979"/>
      <c r="O1867" s="979"/>
      <c r="P1867" s="79" t="str">
        <f>IF(AND('331-CT'!$E$7=TH!H1867,OR(N1867="331",O1867="331")),"x","")</f>
        <v/>
      </c>
      <c r="Q1867" s="79" t="str">
        <f>IF(AND(B1867='111'!$L$11,OR($N1867=$Q$7,$O1867=$Q$7)),"x","")</f>
        <v/>
      </c>
      <c r="R1867" s="79" t="str">
        <f>IF(AND($N1867=$Q$7,$B1867&lt;'111'!$L$11),"x","")</f>
        <v/>
      </c>
      <c r="S1867" s="79" t="str">
        <f>IF(AND($O1867=$Q$7,$B1867&lt;'111'!$L$11),"x","")</f>
        <v/>
      </c>
      <c r="T1867" s="79" t="str">
        <f>IF(ISERROR(FIND('112'!$M$9,G1867,1)),"",IF((AND(FIND('112'!$M$9,G1867,1)&gt;=1,B1867='112'!$K$9,OR($N1867='112'!$I$6,$O1867='112'!$I$6))),"x",""))</f>
        <v/>
      </c>
      <c r="U1867" s="79" t="str">
        <f>IF(ISERROR(FIND('112'!$M$9,G1867,1)),"",IF((AND(LEFT(G1867,2)=LEFT('112'!$M$9,2),B1867&lt;'112'!$K$9,$N1867='112'!$I$6)),"x",""))</f>
        <v/>
      </c>
      <c r="V1867" s="79" t="str">
        <f>IF(ISERROR(FIND('112'!$M$9,G1867,1)),"",IF((AND(RIGHT(G1867,2)=RIGHT('112'!$M$9,2),B1867&lt;'112'!$K$9,$O1867='112'!$I$6)),"x",""))</f>
        <v/>
      </c>
      <c r="W1867" s="79" t="str">
        <f>IF(AND('341-CT'!$H$9=H1867,OR(LEFT(N1867,3)=$W$7,LEFT(O1867,3)=$W$7)),"x","")</f>
        <v/>
      </c>
      <c r="X1867" s="79" t="str">
        <f>IF(OR(TH!N1867=TH!$X$7,O1867=TH!$X$7),"x","")</f>
        <v/>
      </c>
      <c r="Y1867" s="79" t="str">
        <f>IF(AND(OR(N1867="131",O1867="131"),H1867='131-CT'!$H$9),"x","")</f>
        <v/>
      </c>
      <c r="Z1867" s="79"/>
      <c r="AA1867" s="79" t="str">
        <f>IF(AND(MONTH(E1867)='IN-NX'!$J$5,'IN-NX'!$D$7=D1867),"x","")</f>
        <v/>
      </c>
      <c r="AB1867" s="79" t="str">
        <f>IF(AND(OR(LEFT(TH!N1867,2)="15",LEFT(TH!O1867,2)="15"),LEFT(TH!O1867,3)&lt;&gt;"111",'152-CT'!$J$8=TH!F1867),"x","")</f>
        <v/>
      </c>
      <c r="AC1867" s="79" t="str">
        <f>IF(AND(OR(LEFT(TH!N1867,2)="15",LEFT(TH!O1867,2)="15"),TK!$E$7=TH!F1867),"x","")</f>
        <v/>
      </c>
      <c r="AD1867" s="79" t="str">
        <f>IF(AND(N1867="1521",MONTH(C1867)='BK-NL'!$M$11),"x","")</f>
        <v/>
      </c>
    </row>
    <row r="1868" spans="1:30" ht="16.5" customHeight="1">
      <c r="A1868" s="318" t="str">
        <f>IF(B1868&lt;&gt;"",IF(AND(B1868='IN-TC'!$S$4,OR(TH!N1868="1111",TH!O1868="1111")),TH!D1868,""),"")</f>
        <v/>
      </c>
      <c r="B1868" s="60" t="str">
        <f t="shared" si="222"/>
        <v/>
      </c>
      <c r="C1868" s="974"/>
      <c r="D1868" s="974"/>
      <c r="E1868" s="974"/>
      <c r="F1868" s="1131"/>
      <c r="G1868" s="976"/>
      <c r="H1868" s="759"/>
      <c r="I1868" s="383"/>
      <c r="J1868" s="390"/>
      <c r="K1868" s="383"/>
      <c r="L1868" s="390"/>
      <c r="M1868" s="978"/>
      <c r="N1868" s="979"/>
      <c r="O1868" s="979"/>
      <c r="P1868" s="79" t="str">
        <f>IF(AND('331-CT'!$E$7=TH!H1868,OR(N1868="331",O1868="331")),"x","")</f>
        <v/>
      </c>
      <c r="Q1868" s="79" t="str">
        <f>IF(AND(B1868='111'!$L$11,OR($N1868=$Q$7,$O1868=$Q$7)),"x","")</f>
        <v/>
      </c>
      <c r="R1868" s="79" t="str">
        <f>IF(AND($N1868=$Q$7,$B1868&lt;'111'!$L$11),"x","")</f>
        <v/>
      </c>
      <c r="S1868" s="79" t="str">
        <f>IF(AND($O1868=$Q$7,$B1868&lt;'111'!$L$11),"x","")</f>
        <v/>
      </c>
      <c r="T1868" s="79" t="str">
        <f>IF(ISERROR(FIND('112'!$M$9,G1868,1)),"",IF((AND(FIND('112'!$M$9,G1868,1)&gt;=1,B1868='112'!$K$9,OR($N1868='112'!$I$6,$O1868='112'!$I$6))),"x",""))</f>
        <v/>
      </c>
      <c r="U1868" s="79" t="str">
        <f>IF(ISERROR(FIND('112'!$M$9,G1868,1)),"",IF((AND(LEFT(G1868,2)=LEFT('112'!$M$9,2),B1868&lt;'112'!$K$9,$N1868='112'!$I$6)),"x",""))</f>
        <v/>
      </c>
      <c r="V1868" s="79" t="str">
        <f>IF(ISERROR(FIND('112'!$M$9,G1868,1)),"",IF((AND(RIGHT(G1868,2)=RIGHT('112'!$M$9,2),B1868&lt;'112'!$K$9,$O1868='112'!$I$6)),"x",""))</f>
        <v/>
      </c>
      <c r="W1868" s="79" t="str">
        <f>IF(AND('341-CT'!$H$9=H1868,OR(LEFT(N1868,3)=$W$7,LEFT(O1868,3)=$W$7)),"x","")</f>
        <v/>
      </c>
      <c r="X1868" s="79" t="str">
        <f>IF(OR(TH!N1868=TH!$X$7,O1868=TH!$X$7),"x","")</f>
        <v/>
      </c>
      <c r="Y1868" s="79" t="str">
        <f>IF(AND(OR(N1868="131",O1868="131"),H1868='131-CT'!$H$9),"x","")</f>
        <v/>
      </c>
      <c r="Z1868" s="79"/>
      <c r="AA1868" s="79" t="str">
        <f>IF(AND(MONTH(E1868)='IN-NX'!$J$5,'IN-NX'!$D$7=D1868),"x","")</f>
        <v/>
      </c>
      <c r="AB1868" s="79" t="str">
        <f>IF(AND(OR(LEFT(TH!N1868,2)="15",LEFT(TH!O1868,2)="15"),LEFT(TH!O1868,3)&lt;&gt;"111",'152-CT'!$J$8=TH!F1868),"x","")</f>
        <v/>
      </c>
      <c r="AC1868" s="79" t="str">
        <f>IF(AND(OR(LEFT(TH!N1868,2)="15",LEFT(TH!O1868,2)="15"),TK!$E$7=TH!F1868),"x","")</f>
        <v/>
      </c>
      <c r="AD1868" s="79" t="str">
        <f>IF(AND(N1868="1521",MONTH(C1868)='BK-NL'!$M$11),"x","")</f>
        <v/>
      </c>
    </row>
    <row r="1869" spans="1:30" ht="16.5" customHeight="1">
      <c r="A1869" s="318" t="str">
        <f>IF(B1869&lt;&gt;"",IF(AND(B1869='IN-TC'!$S$4,OR(TH!N1869="1111",TH!O1869="1111")),TH!D1869,""),"")</f>
        <v/>
      </c>
      <c r="B1869" s="60" t="str">
        <f t="shared" ref="B1869:B1898" si="223">IF(C1869&lt;&gt;"",MONTH(C1869),"")</f>
        <v/>
      </c>
      <c r="C1869" s="974"/>
      <c r="D1869" s="974"/>
      <c r="E1869" s="974"/>
      <c r="F1869" s="1131"/>
      <c r="G1869" s="976"/>
      <c r="H1869" s="759"/>
      <c r="I1869" s="383"/>
      <c r="J1869" s="390"/>
      <c r="K1869" s="383"/>
      <c r="L1869" s="390"/>
      <c r="M1869" s="978"/>
      <c r="N1869" s="979"/>
      <c r="O1869" s="979"/>
      <c r="P1869" s="79" t="str">
        <f>IF(AND('331-CT'!$E$7=TH!H1869,OR(N1869="331",O1869="331")),"x","")</f>
        <v/>
      </c>
      <c r="Q1869" s="79" t="str">
        <f>IF(AND(B1869='111'!$L$11,OR($N1869=$Q$7,$O1869=$Q$7)),"x","")</f>
        <v/>
      </c>
      <c r="R1869" s="79" t="str">
        <f>IF(AND($N1869=$Q$7,$B1869&lt;'111'!$L$11),"x","")</f>
        <v/>
      </c>
      <c r="S1869" s="79" t="str">
        <f>IF(AND($O1869=$Q$7,$B1869&lt;'111'!$L$11),"x","")</f>
        <v/>
      </c>
      <c r="T1869" s="79" t="str">
        <f>IF(ISERROR(FIND('112'!$M$9,G1869,1)),"",IF((AND(FIND('112'!$M$9,G1869,1)&gt;=1,B1869='112'!$K$9,OR($N1869='112'!$I$6,$O1869='112'!$I$6))),"x",""))</f>
        <v/>
      </c>
      <c r="U1869" s="79" t="str">
        <f>IF(ISERROR(FIND('112'!$M$9,G1869,1)),"",IF((AND(LEFT(G1869,2)=LEFT('112'!$M$9,2),B1869&lt;'112'!$K$9,$N1869='112'!$I$6)),"x",""))</f>
        <v/>
      </c>
      <c r="V1869" s="79" t="str">
        <f>IF(ISERROR(FIND('112'!$M$9,G1869,1)),"",IF((AND(RIGHT(G1869,2)=RIGHT('112'!$M$9,2),B1869&lt;'112'!$K$9,$O1869='112'!$I$6)),"x",""))</f>
        <v/>
      </c>
      <c r="W1869" s="79" t="str">
        <f>IF(AND('341-CT'!$H$9=H1869,OR(LEFT(N1869,3)=$W$7,LEFT(O1869,3)=$W$7)),"x","")</f>
        <v/>
      </c>
      <c r="X1869" s="79" t="str">
        <f>IF(OR(TH!N1869=TH!$X$7,O1869=TH!$X$7),"x","")</f>
        <v/>
      </c>
      <c r="Y1869" s="79" t="str">
        <f>IF(AND(OR(N1869="131",O1869="131"),H1869='131-CT'!$H$9),"x","")</f>
        <v/>
      </c>
      <c r="Z1869" s="79"/>
      <c r="AA1869" s="79" t="str">
        <f>IF(AND(MONTH(E1869)='IN-NX'!$J$5,'IN-NX'!$D$7=D1869),"x","")</f>
        <v/>
      </c>
      <c r="AB1869" s="79" t="str">
        <f>IF(AND(OR(LEFT(TH!N1869,2)="15",LEFT(TH!O1869,2)="15"),LEFT(TH!O1869,3)&lt;&gt;"111",'152-CT'!$J$8=TH!F1869),"x","")</f>
        <v/>
      </c>
      <c r="AC1869" s="79" t="str">
        <f>IF(AND(OR(LEFT(TH!N1869,2)="15",LEFT(TH!O1869,2)="15"),TK!$E$7=TH!F1869),"x","")</f>
        <v/>
      </c>
      <c r="AD1869" s="79" t="str">
        <f>IF(AND(N1869="1521",MONTH(C1869)='BK-NL'!$M$11),"x","")</f>
        <v/>
      </c>
    </row>
    <row r="1870" spans="1:30" ht="16.5" customHeight="1">
      <c r="A1870" s="318" t="str">
        <f>IF(B1870&lt;&gt;"",IF(AND(B1870='IN-TC'!$S$4,OR(TH!N1870="1111",TH!O1870="1111")),TH!D1870,""),"")</f>
        <v/>
      </c>
      <c r="B1870" s="60" t="str">
        <f t="shared" si="223"/>
        <v/>
      </c>
      <c r="C1870" s="974"/>
      <c r="D1870" s="974"/>
      <c r="E1870" s="974"/>
      <c r="F1870" s="1131"/>
      <c r="G1870" s="976"/>
      <c r="H1870" s="759"/>
      <c r="I1870" s="383"/>
      <c r="J1870" s="390"/>
      <c r="K1870" s="383"/>
      <c r="L1870" s="390"/>
      <c r="M1870" s="978"/>
      <c r="N1870" s="979"/>
      <c r="O1870" s="979"/>
      <c r="P1870" s="79" t="str">
        <f>IF(AND('331-CT'!$E$7=TH!H1870,OR(N1870="331",O1870="331")),"x","")</f>
        <v/>
      </c>
      <c r="Q1870" s="79" t="str">
        <f>IF(AND(B1870='111'!$L$11,OR($N1870=$Q$7,$O1870=$Q$7)),"x","")</f>
        <v/>
      </c>
      <c r="R1870" s="79" t="str">
        <f>IF(AND($N1870=$Q$7,$B1870&lt;'111'!$L$11),"x","")</f>
        <v/>
      </c>
      <c r="S1870" s="79" t="str">
        <f>IF(AND($O1870=$Q$7,$B1870&lt;'111'!$L$11),"x","")</f>
        <v/>
      </c>
      <c r="T1870" s="79" t="str">
        <f>IF(ISERROR(FIND('112'!$M$9,G1870,1)),"",IF((AND(FIND('112'!$M$9,G1870,1)&gt;=1,B1870='112'!$K$9,OR($N1870='112'!$I$6,$O1870='112'!$I$6))),"x",""))</f>
        <v/>
      </c>
      <c r="U1870" s="79" t="str">
        <f>IF(ISERROR(FIND('112'!$M$9,G1870,1)),"",IF((AND(LEFT(G1870,2)=LEFT('112'!$M$9,2),B1870&lt;'112'!$K$9,$N1870='112'!$I$6)),"x",""))</f>
        <v/>
      </c>
      <c r="V1870" s="79" t="str">
        <f>IF(ISERROR(FIND('112'!$M$9,G1870,1)),"",IF((AND(RIGHT(G1870,2)=RIGHT('112'!$M$9,2),B1870&lt;'112'!$K$9,$O1870='112'!$I$6)),"x",""))</f>
        <v/>
      </c>
      <c r="W1870" s="79" t="str">
        <f>IF(AND('341-CT'!$H$9=H1870,OR(LEFT(N1870,3)=$W$7,LEFT(O1870,3)=$W$7)),"x","")</f>
        <v/>
      </c>
      <c r="X1870" s="79" t="str">
        <f>IF(OR(TH!N1870=TH!$X$7,O1870=TH!$X$7),"x","")</f>
        <v/>
      </c>
      <c r="Y1870" s="79" t="str">
        <f>IF(AND(OR(N1870="131",O1870="131"),H1870='131-CT'!$H$9),"x","")</f>
        <v/>
      </c>
      <c r="Z1870" s="79"/>
      <c r="AA1870" s="79" t="str">
        <f>IF(AND(MONTH(E1870)='IN-NX'!$J$5,'IN-NX'!$D$7=D1870),"x","")</f>
        <v/>
      </c>
      <c r="AB1870" s="79" t="str">
        <f>IF(AND(OR(LEFT(TH!N1870,2)="15",LEFT(TH!O1870,2)="15"),LEFT(TH!O1870,3)&lt;&gt;"111",'152-CT'!$J$8=TH!F1870),"x","")</f>
        <v/>
      </c>
      <c r="AC1870" s="79" t="str">
        <f>IF(AND(OR(LEFT(TH!N1870,2)="15",LEFT(TH!O1870,2)="15"),TK!$E$7=TH!F1870),"x","")</f>
        <v/>
      </c>
      <c r="AD1870" s="79" t="str">
        <f>IF(AND(N1870="1521",MONTH(C1870)='BK-NL'!$M$11),"x","")</f>
        <v/>
      </c>
    </row>
    <row r="1871" spans="1:30" ht="16.5" customHeight="1">
      <c r="A1871" s="318" t="str">
        <f>IF(B1871&lt;&gt;"",IF(AND(B1871='IN-TC'!$S$4,OR(TH!N1871="1111",TH!O1871="1111")),TH!D1871,""),"")</f>
        <v/>
      </c>
      <c r="B1871" s="60" t="str">
        <f t="shared" si="223"/>
        <v/>
      </c>
      <c r="C1871" s="974"/>
      <c r="D1871" s="974"/>
      <c r="E1871" s="974"/>
      <c r="F1871" s="1131"/>
      <c r="G1871" s="976"/>
      <c r="H1871" s="759"/>
      <c r="I1871" s="383"/>
      <c r="J1871" s="390"/>
      <c r="K1871" s="383"/>
      <c r="L1871" s="390"/>
      <c r="M1871" s="978"/>
      <c r="N1871" s="979"/>
      <c r="O1871" s="979"/>
      <c r="P1871" s="79" t="str">
        <f>IF(AND('331-CT'!$E$7=TH!H1871,OR(N1871="331",O1871="331")),"x","")</f>
        <v/>
      </c>
      <c r="Q1871" s="79" t="str">
        <f>IF(AND(B1871='111'!$L$11,OR($N1871=$Q$7,$O1871=$Q$7)),"x","")</f>
        <v/>
      </c>
      <c r="R1871" s="79" t="str">
        <f>IF(AND($N1871=$Q$7,$B1871&lt;'111'!$L$11),"x","")</f>
        <v/>
      </c>
      <c r="S1871" s="79" t="str">
        <f>IF(AND($O1871=$Q$7,$B1871&lt;'111'!$L$11),"x","")</f>
        <v/>
      </c>
      <c r="T1871" s="79" t="str">
        <f>IF(ISERROR(FIND('112'!$M$9,G1871,1)),"",IF((AND(FIND('112'!$M$9,G1871,1)&gt;=1,B1871='112'!$K$9,OR($N1871='112'!$I$6,$O1871='112'!$I$6))),"x",""))</f>
        <v/>
      </c>
      <c r="U1871" s="79" t="str">
        <f>IF(ISERROR(FIND('112'!$M$9,G1871,1)),"",IF((AND(LEFT(G1871,2)=LEFT('112'!$M$9,2),B1871&lt;'112'!$K$9,$N1871='112'!$I$6)),"x",""))</f>
        <v/>
      </c>
      <c r="V1871" s="79" t="str">
        <f>IF(ISERROR(FIND('112'!$M$9,G1871,1)),"",IF((AND(RIGHT(G1871,2)=RIGHT('112'!$M$9,2),B1871&lt;'112'!$K$9,$O1871='112'!$I$6)),"x",""))</f>
        <v/>
      </c>
      <c r="W1871" s="79" t="str">
        <f>IF(AND('341-CT'!$H$9=H1871,OR(LEFT(N1871,3)=$W$7,LEFT(O1871,3)=$W$7)),"x","")</f>
        <v/>
      </c>
      <c r="X1871" s="79" t="str">
        <f>IF(OR(TH!N1871=TH!$X$7,O1871=TH!$X$7),"x","")</f>
        <v/>
      </c>
      <c r="Y1871" s="79" t="str">
        <f>IF(AND(OR(N1871="131",O1871="131"),H1871='131-CT'!$H$9),"x","")</f>
        <v/>
      </c>
      <c r="Z1871" s="79"/>
      <c r="AA1871" s="79" t="str">
        <f>IF(AND(MONTH(E1871)='IN-NX'!$J$5,'IN-NX'!$D$7=D1871),"x","")</f>
        <v/>
      </c>
      <c r="AB1871" s="79" t="str">
        <f>IF(AND(OR(LEFT(TH!N1871,2)="15",LEFT(TH!O1871,2)="15"),LEFT(TH!O1871,3)&lt;&gt;"111",'152-CT'!$J$8=TH!F1871),"x","")</f>
        <v/>
      </c>
      <c r="AC1871" s="79" t="str">
        <f>IF(AND(OR(LEFT(TH!N1871,2)="15",LEFT(TH!O1871,2)="15"),TK!$E$7=TH!F1871),"x","")</f>
        <v/>
      </c>
      <c r="AD1871" s="79" t="str">
        <f>IF(AND(N1871="1521",MONTH(C1871)='BK-NL'!$M$11),"x","")</f>
        <v/>
      </c>
    </row>
    <row r="1872" spans="1:30" ht="16.5" customHeight="1">
      <c r="A1872" s="318" t="str">
        <f>IF(B1872&lt;&gt;"",IF(AND(B1872='IN-TC'!$S$4,OR(TH!N1872="1111",TH!O1872="1111")),TH!D1872,""),"")</f>
        <v/>
      </c>
      <c r="B1872" s="60" t="str">
        <f t="shared" si="223"/>
        <v/>
      </c>
      <c r="C1872" s="974"/>
      <c r="D1872" s="974"/>
      <c r="E1872" s="974"/>
      <c r="F1872" s="305"/>
      <c r="G1872" s="976"/>
      <c r="H1872" s="759"/>
      <c r="I1872" s="383"/>
      <c r="J1872" s="390"/>
      <c r="K1872" s="383"/>
      <c r="L1872" s="390"/>
      <c r="M1872" s="978"/>
      <c r="N1872" s="979"/>
      <c r="O1872" s="979"/>
      <c r="P1872" s="79" t="str">
        <f>IF(AND('331-CT'!$E$7=TH!H1872,OR(N1872="331",O1872="331")),"x","")</f>
        <v/>
      </c>
      <c r="Q1872" s="79" t="str">
        <f>IF(AND(B1872='111'!$L$11,OR($N1872=$Q$7,$O1872=$Q$7)),"x","")</f>
        <v/>
      </c>
      <c r="R1872" s="79" t="str">
        <f>IF(AND($N1872=$Q$7,$B1872&lt;'111'!$L$11),"x","")</f>
        <v/>
      </c>
      <c r="S1872" s="79" t="str">
        <f>IF(AND($O1872=$Q$7,$B1872&lt;'111'!$L$11),"x","")</f>
        <v/>
      </c>
      <c r="T1872" s="79" t="str">
        <f>IF(ISERROR(FIND('112'!$M$9,G1872,1)),"",IF((AND(FIND('112'!$M$9,G1872,1)&gt;=1,B1872='112'!$K$9,OR($N1872='112'!$I$6,$O1872='112'!$I$6))),"x",""))</f>
        <v/>
      </c>
      <c r="U1872" s="79" t="str">
        <f>IF(ISERROR(FIND('112'!$M$9,G1872,1)),"",IF((AND(LEFT(G1872,2)=LEFT('112'!$M$9,2),B1872&lt;'112'!$K$9,$N1872='112'!$I$6)),"x",""))</f>
        <v/>
      </c>
      <c r="V1872" s="79" t="str">
        <f>IF(ISERROR(FIND('112'!$M$9,G1872,1)),"",IF((AND(RIGHT(G1872,2)=RIGHT('112'!$M$9,2),B1872&lt;'112'!$K$9,$O1872='112'!$I$6)),"x",""))</f>
        <v/>
      </c>
      <c r="W1872" s="79" t="str">
        <f>IF(AND('341-CT'!$H$9=H1872,OR(LEFT(N1872,3)=$W$7,LEFT(O1872,3)=$W$7)),"x","")</f>
        <v/>
      </c>
      <c r="X1872" s="79" t="str">
        <f>IF(OR(TH!N1872=TH!$X$7,O1872=TH!$X$7),"x","")</f>
        <v/>
      </c>
      <c r="Y1872" s="79" t="str">
        <f>IF(AND(OR(N1872="131",O1872="131"),H1872='131-CT'!$H$9),"x","")</f>
        <v/>
      </c>
      <c r="Z1872" s="79"/>
      <c r="AA1872" s="79" t="str">
        <f>IF(AND(MONTH(E1872)='IN-NX'!$J$5,'IN-NX'!$D$7=D1872),"x","")</f>
        <v/>
      </c>
      <c r="AB1872" s="79" t="str">
        <f>IF(AND(OR(LEFT(TH!N1872,2)="15",LEFT(TH!O1872,2)="15"),LEFT(TH!O1872,3)&lt;&gt;"111",'152-CT'!$J$8=TH!F1872),"x","")</f>
        <v/>
      </c>
      <c r="AC1872" s="79" t="str">
        <f>IF(AND(OR(LEFT(TH!N1872,2)="15",LEFT(TH!O1872,2)="15"),TK!$E$7=TH!F1872),"x","")</f>
        <v/>
      </c>
      <c r="AD1872" s="79" t="str">
        <f>IF(AND(N1872="1521",MONTH(C1872)='BK-NL'!$M$11),"x","")</f>
        <v/>
      </c>
    </row>
    <row r="1873" spans="1:30" ht="16.5" customHeight="1">
      <c r="A1873" s="318" t="str">
        <f>IF(B1873&lt;&gt;"",IF(AND(B1873='IN-TC'!$S$4,OR(TH!N1873="1111",TH!O1873="1111")),TH!D1873,""),"")</f>
        <v/>
      </c>
      <c r="B1873" s="60" t="str">
        <f t="shared" si="223"/>
        <v/>
      </c>
      <c r="C1873" s="974"/>
      <c r="D1873" s="974"/>
      <c r="E1873" s="974"/>
      <c r="F1873" s="305"/>
      <c r="G1873" s="976"/>
      <c r="H1873" s="759"/>
      <c r="I1873" s="383"/>
      <c r="J1873" s="390"/>
      <c r="K1873" s="383"/>
      <c r="L1873" s="390"/>
      <c r="M1873" s="978"/>
      <c r="N1873" s="979"/>
      <c r="O1873" s="979"/>
      <c r="P1873" s="79" t="str">
        <f>IF(AND('331-CT'!$E$7=TH!H1873,OR(N1873="331",O1873="331")),"x","")</f>
        <v/>
      </c>
      <c r="Q1873" s="79" t="str">
        <f>IF(AND(B1873='111'!$L$11,OR($N1873=$Q$7,$O1873=$Q$7)),"x","")</f>
        <v/>
      </c>
      <c r="R1873" s="79" t="str">
        <f>IF(AND($N1873=$Q$7,$B1873&lt;'111'!$L$11),"x","")</f>
        <v/>
      </c>
      <c r="S1873" s="79" t="str">
        <f>IF(AND($O1873=$Q$7,$B1873&lt;'111'!$L$11),"x","")</f>
        <v/>
      </c>
      <c r="T1873" s="79" t="str">
        <f>IF(ISERROR(FIND('112'!$M$9,G1873,1)),"",IF((AND(FIND('112'!$M$9,G1873,1)&gt;=1,B1873='112'!$K$9,OR($N1873='112'!$I$6,$O1873='112'!$I$6))),"x",""))</f>
        <v/>
      </c>
      <c r="U1873" s="79" t="str">
        <f>IF(ISERROR(FIND('112'!$M$9,G1873,1)),"",IF((AND(LEFT(G1873,2)=LEFT('112'!$M$9,2),B1873&lt;'112'!$K$9,$N1873='112'!$I$6)),"x",""))</f>
        <v/>
      </c>
      <c r="V1873" s="79" t="str">
        <f>IF(ISERROR(FIND('112'!$M$9,G1873,1)),"",IF((AND(RIGHT(G1873,2)=RIGHT('112'!$M$9,2),B1873&lt;'112'!$K$9,$O1873='112'!$I$6)),"x",""))</f>
        <v/>
      </c>
      <c r="W1873" s="79" t="str">
        <f>IF(AND('341-CT'!$H$9=H1873,OR(LEFT(N1873,3)=$W$7,LEFT(O1873,3)=$W$7)),"x","")</f>
        <v/>
      </c>
      <c r="X1873" s="79" t="str">
        <f>IF(OR(TH!N1873=TH!$X$7,O1873=TH!$X$7),"x","")</f>
        <v/>
      </c>
      <c r="Y1873" s="79" t="str">
        <f>IF(AND(OR(N1873="131",O1873="131"),H1873='131-CT'!$H$9),"x","")</f>
        <v/>
      </c>
      <c r="Z1873" s="79"/>
      <c r="AA1873" s="79" t="str">
        <f>IF(AND(MONTH(E1873)='IN-NX'!$J$5,'IN-NX'!$D$7=D1873),"x","")</f>
        <v/>
      </c>
      <c r="AB1873" s="79" t="str">
        <f>IF(AND(OR(LEFT(TH!N1873,2)="15",LEFT(TH!O1873,2)="15"),LEFT(TH!O1873,3)&lt;&gt;"111",'152-CT'!$J$8=TH!F1873),"x","")</f>
        <v/>
      </c>
      <c r="AC1873" s="79" t="str">
        <f>IF(AND(OR(LEFT(TH!N1873,2)="15",LEFT(TH!O1873,2)="15"),TK!$E$7=TH!F1873),"x","")</f>
        <v/>
      </c>
      <c r="AD1873" s="79" t="str">
        <f>IF(AND(N1873="1521",MONTH(C1873)='BK-NL'!$M$11),"x","")</f>
        <v/>
      </c>
    </row>
    <row r="1874" spans="1:30" ht="16.5" customHeight="1">
      <c r="A1874" s="318" t="str">
        <f>IF(B1874&lt;&gt;"",IF(AND(B1874='IN-TC'!$S$4,OR(TH!N1874="1111",TH!O1874="1111")),TH!D1874,""),"")</f>
        <v/>
      </c>
      <c r="B1874" s="60" t="str">
        <f t="shared" si="223"/>
        <v/>
      </c>
      <c r="C1874" s="974"/>
      <c r="D1874" s="974"/>
      <c r="E1874" s="974"/>
      <c r="F1874" s="1131"/>
      <c r="G1874" s="976"/>
      <c r="H1874" s="759"/>
      <c r="I1874" s="383"/>
      <c r="J1874" s="390"/>
      <c r="K1874" s="383"/>
      <c r="L1874" s="390"/>
      <c r="M1874" s="978"/>
      <c r="N1874" s="979"/>
      <c r="O1874" s="979"/>
      <c r="P1874" s="79" t="str">
        <f>IF(AND('331-CT'!$E$7=TH!H1874,OR(N1874="331",O1874="331")),"x","")</f>
        <v/>
      </c>
      <c r="Q1874" s="79" t="str">
        <f>IF(AND(B1874='111'!$L$11,OR($N1874=$Q$7,$O1874=$Q$7)),"x","")</f>
        <v/>
      </c>
      <c r="R1874" s="79" t="str">
        <f>IF(AND($N1874=$Q$7,$B1874&lt;'111'!$L$11),"x","")</f>
        <v/>
      </c>
      <c r="S1874" s="79" t="str">
        <f>IF(AND($O1874=$Q$7,$B1874&lt;'111'!$L$11),"x","")</f>
        <v/>
      </c>
      <c r="T1874" s="79" t="str">
        <f>IF(ISERROR(FIND('112'!$M$9,G1874,1)),"",IF((AND(FIND('112'!$M$9,G1874,1)&gt;=1,B1874='112'!$K$9,OR($N1874='112'!$I$6,$O1874='112'!$I$6))),"x",""))</f>
        <v/>
      </c>
      <c r="U1874" s="79" t="str">
        <f>IF(ISERROR(FIND('112'!$M$9,G1874,1)),"",IF((AND(LEFT(G1874,2)=LEFT('112'!$M$9,2),B1874&lt;'112'!$K$9,$N1874='112'!$I$6)),"x",""))</f>
        <v/>
      </c>
      <c r="V1874" s="79" t="str">
        <f>IF(ISERROR(FIND('112'!$M$9,G1874,1)),"",IF((AND(RIGHT(G1874,2)=RIGHT('112'!$M$9,2),B1874&lt;'112'!$K$9,$O1874='112'!$I$6)),"x",""))</f>
        <v/>
      </c>
      <c r="W1874" s="79" t="str">
        <f>IF(AND('341-CT'!$H$9=H1874,OR(LEFT(N1874,3)=$W$7,LEFT(O1874,3)=$W$7)),"x","")</f>
        <v/>
      </c>
      <c r="X1874" s="79" t="str">
        <f>IF(OR(TH!N1874=TH!$X$7,O1874=TH!$X$7),"x","")</f>
        <v/>
      </c>
      <c r="Y1874" s="79" t="str">
        <f>IF(AND(OR(N1874="131",O1874="131"),H1874='131-CT'!$H$9),"x","")</f>
        <v/>
      </c>
      <c r="Z1874" s="79"/>
      <c r="AA1874" s="79" t="str">
        <f>IF(AND(MONTH(E1874)='IN-NX'!$J$5,'IN-NX'!$D$7=D1874),"x","")</f>
        <v/>
      </c>
      <c r="AB1874" s="79" t="str">
        <f>IF(AND(OR(LEFT(TH!N1874,2)="15",LEFT(TH!O1874,2)="15"),LEFT(TH!O1874,3)&lt;&gt;"111",'152-CT'!$J$8=TH!F1874),"x","")</f>
        <v/>
      </c>
      <c r="AC1874" s="79" t="str">
        <f>IF(AND(OR(LEFT(TH!N1874,2)="15",LEFT(TH!O1874,2)="15"),TK!$E$7=TH!F1874),"x","")</f>
        <v/>
      </c>
      <c r="AD1874" s="79" t="str">
        <f>IF(AND(N1874="1521",MONTH(C1874)='BK-NL'!$M$11),"x","")</f>
        <v/>
      </c>
    </row>
    <row r="1875" spans="1:30" ht="16.5" customHeight="1">
      <c r="A1875" s="318" t="str">
        <f>IF(B1875&lt;&gt;"",IF(AND(B1875='IN-TC'!$S$4,OR(TH!N1875="1111",TH!O1875="1111")),TH!D1875,""),"")</f>
        <v/>
      </c>
      <c r="B1875" s="60" t="str">
        <f t="shared" si="223"/>
        <v/>
      </c>
      <c r="C1875" s="974"/>
      <c r="D1875" s="974"/>
      <c r="E1875" s="974"/>
      <c r="F1875" s="1131"/>
      <c r="G1875" s="976"/>
      <c r="H1875" s="759"/>
      <c r="I1875" s="383"/>
      <c r="J1875" s="390"/>
      <c r="K1875" s="383"/>
      <c r="L1875" s="390"/>
      <c r="M1875" s="978"/>
      <c r="N1875" s="979"/>
      <c r="O1875" s="979"/>
      <c r="P1875" s="79" t="str">
        <f>IF(AND('331-CT'!$E$7=TH!H1875,OR(N1875="331",O1875="331")),"x","")</f>
        <v/>
      </c>
      <c r="Q1875" s="79" t="str">
        <f>IF(AND(B1875='111'!$L$11,OR($N1875=$Q$7,$O1875=$Q$7)),"x","")</f>
        <v/>
      </c>
      <c r="R1875" s="79" t="str">
        <f>IF(AND($N1875=$Q$7,$B1875&lt;'111'!$L$11),"x","")</f>
        <v/>
      </c>
      <c r="S1875" s="79" t="str">
        <f>IF(AND($O1875=$Q$7,$B1875&lt;'111'!$L$11),"x","")</f>
        <v/>
      </c>
      <c r="T1875" s="79" t="str">
        <f>IF(ISERROR(FIND('112'!$M$9,G1875,1)),"",IF((AND(FIND('112'!$M$9,G1875,1)&gt;=1,B1875='112'!$K$9,OR($N1875='112'!$I$6,$O1875='112'!$I$6))),"x",""))</f>
        <v/>
      </c>
      <c r="U1875" s="79" t="str">
        <f>IF(ISERROR(FIND('112'!$M$9,G1875,1)),"",IF((AND(LEFT(G1875,2)=LEFT('112'!$M$9,2),B1875&lt;'112'!$K$9,$N1875='112'!$I$6)),"x",""))</f>
        <v/>
      </c>
      <c r="V1875" s="79" t="str">
        <f>IF(ISERROR(FIND('112'!$M$9,G1875,1)),"",IF((AND(RIGHT(G1875,2)=RIGHT('112'!$M$9,2),B1875&lt;'112'!$K$9,$O1875='112'!$I$6)),"x",""))</f>
        <v/>
      </c>
      <c r="W1875" s="79" t="str">
        <f>IF(AND('341-CT'!$H$9=H1875,OR(LEFT(N1875,3)=$W$7,LEFT(O1875,3)=$W$7)),"x","")</f>
        <v/>
      </c>
      <c r="X1875" s="79" t="str">
        <f>IF(OR(TH!N1875=TH!$X$7,O1875=TH!$X$7),"x","")</f>
        <v/>
      </c>
      <c r="Y1875" s="79" t="str">
        <f>IF(AND(OR(N1875="131",O1875="131"),H1875='131-CT'!$H$9),"x","")</f>
        <v/>
      </c>
      <c r="Z1875" s="79"/>
      <c r="AA1875" s="79" t="str">
        <f>IF(AND(MONTH(E1875)='IN-NX'!$J$5,'IN-NX'!$D$7=D1875),"x","")</f>
        <v/>
      </c>
      <c r="AB1875" s="79" t="str">
        <f>IF(AND(OR(LEFT(TH!N1875,2)="15",LEFT(TH!O1875,2)="15"),LEFT(TH!O1875,3)&lt;&gt;"111",'152-CT'!$J$8=TH!F1875),"x","")</f>
        <v/>
      </c>
      <c r="AC1875" s="79" t="str">
        <f>IF(AND(OR(LEFT(TH!N1875,2)="15",LEFT(TH!O1875,2)="15"),TK!$E$7=TH!F1875),"x","")</f>
        <v/>
      </c>
      <c r="AD1875" s="79" t="str">
        <f>IF(AND(N1875="1521",MONTH(C1875)='BK-NL'!$M$11),"x","")</f>
        <v/>
      </c>
    </row>
    <row r="1876" spans="1:30" ht="16.5" customHeight="1">
      <c r="A1876" s="318" t="str">
        <f>IF(B1876&lt;&gt;"",IF(AND(B1876='IN-TC'!$S$4,OR(TH!N1876="1111",TH!O1876="1111")),TH!D1876,""),"")</f>
        <v/>
      </c>
      <c r="B1876" s="60" t="str">
        <f t="shared" si="223"/>
        <v/>
      </c>
      <c r="C1876" s="974"/>
      <c r="D1876" s="974"/>
      <c r="E1876" s="974"/>
      <c r="F1876" s="1131"/>
      <c r="G1876" s="976"/>
      <c r="H1876" s="759"/>
      <c r="I1876" s="383"/>
      <c r="J1876" s="390"/>
      <c r="K1876" s="383"/>
      <c r="L1876" s="390"/>
      <c r="M1876" s="978"/>
      <c r="N1876" s="979"/>
      <c r="O1876" s="979"/>
      <c r="P1876" s="79" t="str">
        <f>IF(AND('331-CT'!$E$7=TH!H1876,OR(N1876="331",O1876="331")),"x","")</f>
        <v/>
      </c>
      <c r="Q1876" s="79" t="str">
        <f>IF(AND(B1876='111'!$L$11,OR($N1876=$Q$7,$O1876=$Q$7)),"x","")</f>
        <v/>
      </c>
      <c r="R1876" s="79" t="str">
        <f>IF(AND($N1876=$Q$7,$B1876&lt;'111'!$L$11),"x","")</f>
        <v/>
      </c>
      <c r="S1876" s="79" t="str">
        <f>IF(AND($O1876=$Q$7,$B1876&lt;'111'!$L$11),"x","")</f>
        <v/>
      </c>
      <c r="T1876" s="79" t="str">
        <f>IF(ISERROR(FIND('112'!$M$9,G1876,1)),"",IF((AND(FIND('112'!$M$9,G1876,1)&gt;=1,B1876='112'!$K$9,OR($N1876='112'!$I$6,$O1876='112'!$I$6))),"x",""))</f>
        <v/>
      </c>
      <c r="U1876" s="79" t="str">
        <f>IF(ISERROR(FIND('112'!$M$9,G1876,1)),"",IF((AND(LEFT(G1876,2)=LEFT('112'!$M$9,2),B1876&lt;'112'!$K$9,$N1876='112'!$I$6)),"x",""))</f>
        <v/>
      </c>
      <c r="V1876" s="79" t="str">
        <f>IF(ISERROR(FIND('112'!$M$9,G1876,1)),"",IF((AND(RIGHT(G1876,2)=RIGHT('112'!$M$9,2),B1876&lt;'112'!$K$9,$O1876='112'!$I$6)),"x",""))</f>
        <v/>
      </c>
      <c r="W1876" s="79" t="str">
        <f>IF(AND('341-CT'!$H$9=H1876,OR(LEFT(N1876,3)=$W$7,LEFT(O1876,3)=$W$7)),"x","")</f>
        <v/>
      </c>
      <c r="X1876" s="79" t="str">
        <f>IF(OR(TH!N1876=TH!$X$7,O1876=TH!$X$7),"x","")</f>
        <v/>
      </c>
      <c r="Y1876" s="79" t="str">
        <f>IF(AND(OR(N1876="131",O1876="131"),H1876='131-CT'!$H$9),"x","")</f>
        <v/>
      </c>
      <c r="Z1876" s="79"/>
      <c r="AA1876" s="79" t="str">
        <f>IF(AND(MONTH(E1876)='IN-NX'!$J$5,'IN-NX'!$D$7=D1876),"x","")</f>
        <v/>
      </c>
      <c r="AB1876" s="79" t="str">
        <f>IF(AND(OR(LEFT(TH!N1876,2)="15",LEFT(TH!O1876,2)="15"),LEFT(TH!O1876,3)&lt;&gt;"111",'152-CT'!$J$8=TH!F1876),"x","")</f>
        <v/>
      </c>
      <c r="AC1876" s="79" t="str">
        <f>IF(AND(OR(LEFT(TH!N1876,2)="15",LEFT(TH!O1876,2)="15"),TK!$E$7=TH!F1876),"x","")</f>
        <v/>
      </c>
      <c r="AD1876" s="79" t="str">
        <f>IF(AND(N1876="1521",MONTH(C1876)='BK-NL'!$M$11),"x","")</f>
        <v/>
      </c>
    </row>
    <row r="1877" spans="1:30" ht="16.5" customHeight="1">
      <c r="A1877" s="318" t="str">
        <f>IF(B1877&lt;&gt;"",IF(AND(B1877='IN-TC'!$S$4,OR(TH!N1877="1111",TH!O1877="1111")),TH!D1877,""),"")</f>
        <v/>
      </c>
      <c r="B1877" s="60" t="str">
        <f t="shared" si="223"/>
        <v/>
      </c>
      <c r="C1877" s="974"/>
      <c r="D1877" s="974"/>
      <c r="E1877" s="974"/>
      <c r="F1877" s="1131"/>
      <c r="G1877" s="976"/>
      <c r="H1877" s="759"/>
      <c r="I1877" s="383"/>
      <c r="J1877" s="390"/>
      <c r="K1877" s="383"/>
      <c r="L1877" s="390"/>
      <c r="M1877" s="978"/>
      <c r="N1877" s="979"/>
      <c r="O1877" s="979"/>
      <c r="P1877" s="79" t="str">
        <f>IF(AND('331-CT'!$E$7=TH!H1877,OR(N1877="331",O1877="331")),"x","")</f>
        <v/>
      </c>
      <c r="Q1877" s="79" t="str">
        <f>IF(AND(B1877='111'!$L$11,OR($N1877=$Q$7,$O1877=$Q$7)),"x","")</f>
        <v/>
      </c>
      <c r="R1877" s="79" t="str">
        <f>IF(AND($N1877=$Q$7,$B1877&lt;'111'!$L$11),"x","")</f>
        <v/>
      </c>
      <c r="S1877" s="79" t="str">
        <f>IF(AND($O1877=$Q$7,$B1877&lt;'111'!$L$11),"x","")</f>
        <v/>
      </c>
      <c r="T1877" s="79" t="str">
        <f>IF(ISERROR(FIND('112'!$M$9,G1877,1)),"",IF((AND(FIND('112'!$M$9,G1877,1)&gt;=1,B1877='112'!$K$9,OR($N1877='112'!$I$6,$O1877='112'!$I$6))),"x",""))</f>
        <v/>
      </c>
      <c r="U1877" s="79" t="str">
        <f>IF(ISERROR(FIND('112'!$M$9,G1877,1)),"",IF((AND(LEFT(G1877,2)=LEFT('112'!$M$9,2),B1877&lt;'112'!$K$9,$N1877='112'!$I$6)),"x",""))</f>
        <v/>
      </c>
      <c r="V1877" s="79" t="str">
        <f>IF(ISERROR(FIND('112'!$M$9,G1877,1)),"",IF((AND(RIGHT(G1877,2)=RIGHT('112'!$M$9,2),B1877&lt;'112'!$K$9,$O1877='112'!$I$6)),"x",""))</f>
        <v/>
      </c>
      <c r="W1877" s="79" t="str">
        <f>IF(AND('341-CT'!$H$9=H1877,OR(LEFT(N1877,3)=$W$7,LEFT(O1877,3)=$W$7)),"x","")</f>
        <v/>
      </c>
      <c r="X1877" s="79" t="str">
        <f>IF(OR(TH!N1877=TH!$X$7,O1877=TH!$X$7),"x","")</f>
        <v/>
      </c>
      <c r="Y1877" s="79" t="str">
        <f>IF(AND(OR(N1877="131",O1877="131"),H1877='131-CT'!$H$9),"x","")</f>
        <v/>
      </c>
      <c r="Z1877" s="79"/>
      <c r="AA1877" s="79" t="str">
        <f>IF(AND(MONTH(E1877)='IN-NX'!$J$5,'IN-NX'!$D$7=D1877),"x","")</f>
        <v/>
      </c>
      <c r="AB1877" s="79" t="str">
        <f>IF(AND(OR(LEFT(TH!N1877,2)="15",LEFT(TH!O1877,2)="15"),LEFT(TH!O1877,3)&lt;&gt;"111",'152-CT'!$J$8=TH!F1877),"x","")</f>
        <v/>
      </c>
      <c r="AC1877" s="79" t="str">
        <f>IF(AND(OR(LEFT(TH!N1877,2)="15",LEFT(TH!O1877,2)="15"),TK!$E$7=TH!F1877),"x","")</f>
        <v/>
      </c>
      <c r="AD1877" s="79" t="str">
        <f>IF(AND(N1877="1521",MONTH(C1877)='BK-NL'!$M$11),"x","")</f>
        <v/>
      </c>
    </row>
    <row r="1878" spans="1:30" ht="16.5" customHeight="1">
      <c r="A1878" s="318" t="str">
        <f>IF(B1878&lt;&gt;"",IF(AND(B1878='IN-TC'!$S$4,OR(TH!N1878="1111",TH!O1878="1111")),TH!D1878,""),"")</f>
        <v/>
      </c>
      <c r="B1878" s="60" t="str">
        <f t="shared" si="223"/>
        <v/>
      </c>
      <c r="C1878" s="974"/>
      <c r="D1878" s="974"/>
      <c r="E1878" s="974"/>
      <c r="F1878" s="1131"/>
      <c r="G1878" s="976"/>
      <c r="H1878" s="759"/>
      <c r="I1878" s="383"/>
      <c r="J1878" s="390"/>
      <c r="K1878" s="383"/>
      <c r="L1878" s="390"/>
      <c r="M1878" s="978"/>
      <c r="N1878" s="979"/>
      <c r="O1878" s="979"/>
      <c r="P1878" s="79" t="str">
        <f>IF(AND('331-CT'!$E$7=TH!H1878,OR(N1878="331",O1878="331")),"x","")</f>
        <v/>
      </c>
      <c r="Q1878" s="79" t="str">
        <f>IF(AND(B1878='111'!$L$11,OR($N1878=$Q$7,$O1878=$Q$7)),"x","")</f>
        <v/>
      </c>
      <c r="R1878" s="79" t="str">
        <f>IF(AND($N1878=$Q$7,$B1878&lt;'111'!$L$11),"x","")</f>
        <v/>
      </c>
      <c r="S1878" s="79" t="str">
        <f>IF(AND($O1878=$Q$7,$B1878&lt;'111'!$L$11),"x","")</f>
        <v/>
      </c>
      <c r="T1878" s="79" t="str">
        <f>IF(ISERROR(FIND('112'!$M$9,G1878,1)),"",IF((AND(FIND('112'!$M$9,G1878,1)&gt;=1,B1878='112'!$K$9,OR($N1878='112'!$I$6,$O1878='112'!$I$6))),"x",""))</f>
        <v/>
      </c>
      <c r="U1878" s="79" t="str">
        <f>IF(ISERROR(FIND('112'!$M$9,G1878,1)),"",IF((AND(LEFT(G1878,2)=LEFT('112'!$M$9,2),B1878&lt;'112'!$K$9,$N1878='112'!$I$6)),"x",""))</f>
        <v/>
      </c>
      <c r="V1878" s="79" t="str">
        <f>IF(ISERROR(FIND('112'!$M$9,G1878,1)),"",IF((AND(RIGHT(G1878,2)=RIGHT('112'!$M$9,2),B1878&lt;'112'!$K$9,$O1878='112'!$I$6)),"x",""))</f>
        <v/>
      </c>
      <c r="W1878" s="79" t="str">
        <f>IF(AND('341-CT'!$H$9=H1878,OR(LEFT(N1878,3)=$W$7,LEFT(O1878,3)=$W$7)),"x","")</f>
        <v/>
      </c>
      <c r="X1878" s="79" t="str">
        <f>IF(OR(TH!N1878=TH!$X$7,O1878=TH!$X$7),"x","")</f>
        <v/>
      </c>
      <c r="Y1878" s="79" t="str">
        <f>IF(AND(OR(N1878="131",O1878="131"),H1878='131-CT'!$H$9),"x","")</f>
        <v/>
      </c>
      <c r="Z1878" s="79"/>
      <c r="AA1878" s="79" t="str">
        <f>IF(AND(MONTH(E1878)='IN-NX'!$J$5,'IN-NX'!$D$7=D1878),"x","")</f>
        <v/>
      </c>
      <c r="AB1878" s="79" t="str">
        <f>IF(AND(OR(LEFT(TH!N1878,2)="15",LEFT(TH!O1878,2)="15"),LEFT(TH!O1878,3)&lt;&gt;"111",'152-CT'!$J$8=TH!F1878),"x","")</f>
        <v/>
      </c>
      <c r="AC1878" s="79" t="str">
        <f>IF(AND(OR(LEFT(TH!N1878,2)="15",LEFT(TH!O1878,2)="15"),TK!$E$7=TH!F1878),"x","")</f>
        <v/>
      </c>
      <c r="AD1878" s="79" t="str">
        <f>IF(AND(N1878="1521",MONTH(C1878)='BK-NL'!$M$11),"x","")</f>
        <v/>
      </c>
    </row>
    <row r="1879" spans="1:30" ht="16.5" customHeight="1">
      <c r="A1879" s="318" t="str">
        <f>IF(B1879&lt;&gt;"",IF(AND(B1879='IN-TC'!$S$4,OR(TH!N1879="1111",TH!O1879="1111")),TH!D1879,""),"")</f>
        <v/>
      </c>
      <c r="B1879" s="60" t="str">
        <f t="shared" si="223"/>
        <v/>
      </c>
      <c r="C1879" s="974"/>
      <c r="D1879" s="974"/>
      <c r="E1879" s="974"/>
      <c r="F1879" s="1131"/>
      <c r="G1879" s="976"/>
      <c r="H1879" s="759"/>
      <c r="I1879" s="383"/>
      <c r="J1879" s="390"/>
      <c r="K1879" s="383"/>
      <c r="L1879" s="390"/>
      <c r="M1879" s="978"/>
      <c r="N1879" s="979"/>
      <c r="O1879" s="979"/>
      <c r="P1879" s="79" t="str">
        <f>IF(AND('331-CT'!$E$7=TH!H1879,OR(N1879="331",O1879="331")),"x","")</f>
        <v/>
      </c>
      <c r="Q1879" s="79" t="str">
        <f>IF(AND(B1879='111'!$L$11,OR($N1879=$Q$7,$O1879=$Q$7)),"x","")</f>
        <v/>
      </c>
      <c r="R1879" s="79" t="str">
        <f>IF(AND($N1879=$Q$7,$B1879&lt;'111'!$L$11),"x","")</f>
        <v/>
      </c>
      <c r="S1879" s="79" t="str">
        <f>IF(AND($O1879=$Q$7,$B1879&lt;'111'!$L$11),"x","")</f>
        <v/>
      </c>
      <c r="T1879" s="79" t="str">
        <f>IF(ISERROR(FIND('112'!$M$9,G1879,1)),"",IF((AND(FIND('112'!$M$9,G1879,1)&gt;=1,B1879='112'!$K$9,OR($N1879='112'!$I$6,$O1879='112'!$I$6))),"x",""))</f>
        <v/>
      </c>
      <c r="U1879" s="79" t="str">
        <f>IF(ISERROR(FIND('112'!$M$9,G1879,1)),"",IF((AND(LEFT(G1879,2)=LEFT('112'!$M$9,2),B1879&lt;'112'!$K$9,$N1879='112'!$I$6)),"x",""))</f>
        <v/>
      </c>
      <c r="V1879" s="79" t="str">
        <f>IF(ISERROR(FIND('112'!$M$9,G1879,1)),"",IF((AND(RIGHT(G1879,2)=RIGHT('112'!$M$9,2),B1879&lt;'112'!$K$9,$O1879='112'!$I$6)),"x",""))</f>
        <v/>
      </c>
      <c r="W1879" s="79" t="str">
        <f>IF(AND('341-CT'!$H$9=H1879,OR(LEFT(N1879,3)=$W$7,LEFT(O1879,3)=$W$7)),"x","")</f>
        <v/>
      </c>
      <c r="X1879" s="79" t="str">
        <f>IF(OR(TH!N1879=TH!$X$7,O1879=TH!$X$7),"x","")</f>
        <v/>
      </c>
      <c r="Y1879" s="79" t="str">
        <f>IF(AND(OR(N1879="131",O1879="131"),H1879='131-CT'!$H$9),"x","")</f>
        <v/>
      </c>
      <c r="Z1879" s="79"/>
      <c r="AA1879" s="79" t="str">
        <f>IF(AND(MONTH(E1879)='IN-NX'!$J$5,'IN-NX'!$D$7=D1879),"x","")</f>
        <v/>
      </c>
      <c r="AB1879" s="79" t="str">
        <f>IF(AND(OR(LEFT(TH!N1879,2)="15",LEFT(TH!O1879,2)="15"),LEFT(TH!O1879,3)&lt;&gt;"111",'152-CT'!$J$8=TH!F1879),"x","")</f>
        <v/>
      </c>
      <c r="AC1879" s="79" t="str">
        <f>IF(AND(OR(LEFT(TH!N1879,2)="15",LEFT(TH!O1879,2)="15"),TK!$E$7=TH!F1879),"x","")</f>
        <v/>
      </c>
      <c r="AD1879" s="79" t="str">
        <f>IF(AND(N1879="1521",MONTH(C1879)='BK-NL'!$M$11),"x","")</f>
        <v/>
      </c>
    </row>
    <row r="1880" spans="1:30" ht="16.5" customHeight="1">
      <c r="A1880" s="318" t="str">
        <f>IF(B1880&lt;&gt;"",IF(AND(B1880='IN-TC'!$S$4,OR(TH!N1880="1111",TH!O1880="1111")),TH!D1880,""),"")</f>
        <v/>
      </c>
      <c r="B1880" s="60" t="str">
        <f t="shared" si="223"/>
        <v/>
      </c>
      <c r="C1880" s="974"/>
      <c r="D1880" s="974"/>
      <c r="E1880" s="974"/>
      <c r="F1880" s="305"/>
      <c r="G1880" s="976"/>
      <c r="H1880" s="759"/>
      <c r="I1880" s="383"/>
      <c r="J1880" s="390"/>
      <c r="K1880" s="383"/>
      <c r="L1880" s="390"/>
      <c r="M1880" s="978"/>
      <c r="N1880" s="979"/>
      <c r="O1880" s="979"/>
      <c r="P1880" s="79" t="str">
        <f>IF(AND('331-CT'!$E$7=TH!H1880,OR(N1880="331",O1880="331")),"x","")</f>
        <v/>
      </c>
      <c r="Q1880" s="79" t="str">
        <f>IF(AND(B1880='111'!$L$11,OR($N1880=$Q$7,$O1880=$Q$7)),"x","")</f>
        <v/>
      </c>
      <c r="R1880" s="79" t="str">
        <f>IF(AND($N1880=$Q$7,$B1880&lt;'111'!$L$11),"x","")</f>
        <v/>
      </c>
      <c r="S1880" s="79" t="str">
        <f>IF(AND($O1880=$Q$7,$B1880&lt;'111'!$L$11),"x","")</f>
        <v/>
      </c>
      <c r="T1880" s="79" t="str">
        <f>IF(ISERROR(FIND('112'!$M$9,G1880,1)),"",IF((AND(FIND('112'!$M$9,G1880,1)&gt;=1,B1880='112'!$K$9,OR($N1880='112'!$I$6,$O1880='112'!$I$6))),"x",""))</f>
        <v/>
      </c>
      <c r="U1880" s="79" t="str">
        <f>IF(ISERROR(FIND('112'!$M$9,G1880,1)),"",IF((AND(LEFT(G1880,2)=LEFT('112'!$M$9,2),B1880&lt;'112'!$K$9,$N1880='112'!$I$6)),"x",""))</f>
        <v/>
      </c>
      <c r="V1880" s="79" t="str">
        <f>IF(ISERROR(FIND('112'!$M$9,G1880,1)),"",IF((AND(RIGHT(G1880,2)=RIGHT('112'!$M$9,2),B1880&lt;'112'!$K$9,$O1880='112'!$I$6)),"x",""))</f>
        <v/>
      </c>
      <c r="W1880" s="79" t="str">
        <f>IF(AND('341-CT'!$H$9=H1880,OR(LEFT(N1880,3)=$W$7,LEFT(O1880,3)=$W$7)),"x","")</f>
        <v/>
      </c>
      <c r="X1880" s="79" t="str">
        <f>IF(OR(TH!N1880=TH!$X$7,O1880=TH!$X$7),"x","")</f>
        <v/>
      </c>
      <c r="Y1880" s="79" t="str">
        <f>IF(AND(OR(N1880="131",O1880="131"),H1880='131-CT'!$H$9),"x","")</f>
        <v/>
      </c>
      <c r="Z1880" s="79"/>
      <c r="AA1880" s="79" t="str">
        <f>IF(AND(MONTH(E1880)='IN-NX'!$J$5,'IN-NX'!$D$7=D1880),"x","")</f>
        <v/>
      </c>
      <c r="AB1880" s="79" t="str">
        <f>IF(AND(OR(LEFT(TH!N1880,2)="15",LEFT(TH!O1880,2)="15"),LEFT(TH!O1880,3)&lt;&gt;"111",'152-CT'!$J$8=TH!F1880),"x","")</f>
        <v/>
      </c>
      <c r="AC1880" s="79" t="str">
        <f>IF(AND(OR(LEFT(TH!N1880,2)="15",LEFT(TH!O1880,2)="15"),TK!$E$7=TH!F1880),"x","")</f>
        <v/>
      </c>
      <c r="AD1880" s="79" t="str">
        <f>IF(AND(N1880="1521",MONTH(C1880)='BK-NL'!$M$11),"x","")</f>
        <v/>
      </c>
    </row>
    <row r="1881" spans="1:30" ht="16.5" customHeight="1">
      <c r="A1881" s="318" t="str">
        <f>IF(B1881&lt;&gt;"",IF(AND(B1881='IN-TC'!$S$4,OR(TH!N1881="1111",TH!O1881="1111")),TH!D1881,""),"")</f>
        <v/>
      </c>
      <c r="B1881" s="60" t="str">
        <f t="shared" si="223"/>
        <v/>
      </c>
      <c r="C1881" s="974"/>
      <c r="D1881" s="974"/>
      <c r="E1881" s="974"/>
      <c r="F1881" s="305"/>
      <c r="G1881" s="976"/>
      <c r="H1881" s="759"/>
      <c r="I1881" s="383"/>
      <c r="J1881" s="390"/>
      <c r="K1881" s="383"/>
      <c r="L1881" s="390"/>
      <c r="M1881" s="978"/>
      <c r="N1881" s="979"/>
      <c r="O1881" s="979"/>
      <c r="P1881" s="79" t="str">
        <f>IF(AND('331-CT'!$E$7=TH!H1881,OR(N1881="331",O1881="331")),"x","")</f>
        <v/>
      </c>
      <c r="Q1881" s="79" t="str">
        <f>IF(AND(B1881='111'!$L$11,OR($N1881=$Q$7,$O1881=$Q$7)),"x","")</f>
        <v/>
      </c>
      <c r="R1881" s="79" t="str">
        <f>IF(AND($N1881=$Q$7,$B1881&lt;'111'!$L$11),"x","")</f>
        <v/>
      </c>
      <c r="S1881" s="79" t="str">
        <f>IF(AND($O1881=$Q$7,$B1881&lt;'111'!$L$11),"x","")</f>
        <v/>
      </c>
      <c r="T1881" s="79" t="str">
        <f>IF(ISERROR(FIND('112'!$M$9,G1881,1)),"",IF((AND(FIND('112'!$M$9,G1881,1)&gt;=1,B1881='112'!$K$9,OR($N1881='112'!$I$6,$O1881='112'!$I$6))),"x",""))</f>
        <v/>
      </c>
      <c r="U1881" s="79" t="str">
        <f>IF(ISERROR(FIND('112'!$M$9,G1881,1)),"",IF((AND(LEFT(G1881,2)=LEFT('112'!$M$9,2),B1881&lt;'112'!$K$9,$N1881='112'!$I$6)),"x",""))</f>
        <v/>
      </c>
      <c r="V1881" s="79" t="str">
        <f>IF(ISERROR(FIND('112'!$M$9,G1881,1)),"",IF((AND(RIGHT(G1881,2)=RIGHT('112'!$M$9,2),B1881&lt;'112'!$K$9,$O1881='112'!$I$6)),"x",""))</f>
        <v/>
      </c>
      <c r="W1881" s="79" t="str">
        <f>IF(AND('341-CT'!$H$9=H1881,OR(LEFT(N1881,3)=$W$7,LEFT(O1881,3)=$W$7)),"x","")</f>
        <v/>
      </c>
      <c r="X1881" s="79" t="str">
        <f>IF(OR(TH!N1881=TH!$X$7,O1881=TH!$X$7),"x","")</f>
        <v/>
      </c>
      <c r="Y1881" s="79" t="str">
        <f>IF(AND(OR(N1881="131",O1881="131"),H1881='131-CT'!$H$9),"x","")</f>
        <v/>
      </c>
      <c r="Z1881" s="79"/>
      <c r="AA1881" s="79" t="str">
        <f>IF(AND(MONTH(E1881)='IN-NX'!$J$5,'IN-NX'!$D$7=D1881),"x","")</f>
        <v/>
      </c>
      <c r="AB1881" s="79" t="str">
        <f>IF(AND(OR(LEFT(TH!N1881,2)="15",LEFT(TH!O1881,2)="15"),LEFT(TH!O1881,3)&lt;&gt;"111",'152-CT'!$J$8=TH!F1881),"x","")</f>
        <v/>
      </c>
      <c r="AC1881" s="79" t="str">
        <f>IF(AND(OR(LEFT(TH!N1881,2)="15",LEFT(TH!O1881,2)="15"),TK!$E$7=TH!F1881),"x","")</f>
        <v/>
      </c>
      <c r="AD1881" s="79" t="str">
        <f>IF(AND(N1881="1521",MONTH(C1881)='BK-NL'!$M$11),"x","")</f>
        <v/>
      </c>
    </row>
    <row r="1882" spans="1:30" ht="16.5" customHeight="1">
      <c r="A1882" s="318" t="str">
        <f>IF(B1882&lt;&gt;"",IF(AND(B1882='IN-TC'!$S$4,OR(TH!N1882="1111",TH!O1882="1111")),TH!D1882,""),"")</f>
        <v/>
      </c>
      <c r="B1882" s="60" t="str">
        <f t="shared" si="223"/>
        <v/>
      </c>
      <c r="C1882" s="974"/>
      <c r="D1882" s="974"/>
      <c r="E1882" s="974"/>
      <c r="F1882" s="1131"/>
      <c r="G1882" s="976"/>
      <c r="H1882" s="759"/>
      <c r="I1882" s="383"/>
      <c r="J1882" s="390"/>
      <c r="K1882" s="383"/>
      <c r="L1882" s="390"/>
      <c r="M1882" s="978"/>
      <c r="N1882" s="979"/>
      <c r="O1882" s="979"/>
      <c r="P1882" s="79" t="str">
        <f>IF(AND('331-CT'!$E$7=TH!H1882,OR(N1882="331",O1882="331")),"x","")</f>
        <v/>
      </c>
      <c r="Q1882" s="79" t="str">
        <f>IF(AND(B1882='111'!$L$11,OR($N1882=$Q$7,$O1882=$Q$7)),"x","")</f>
        <v/>
      </c>
      <c r="R1882" s="79" t="str">
        <f>IF(AND($N1882=$Q$7,$B1882&lt;'111'!$L$11),"x","")</f>
        <v/>
      </c>
      <c r="S1882" s="79" t="str">
        <f>IF(AND($O1882=$Q$7,$B1882&lt;'111'!$L$11),"x","")</f>
        <v/>
      </c>
      <c r="T1882" s="79" t="str">
        <f>IF(ISERROR(FIND('112'!$M$9,G1882,1)),"",IF((AND(FIND('112'!$M$9,G1882,1)&gt;=1,B1882='112'!$K$9,OR($N1882='112'!$I$6,$O1882='112'!$I$6))),"x",""))</f>
        <v/>
      </c>
      <c r="U1882" s="79" t="str">
        <f>IF(ISERROR(FIND('112'!$M$9,G1882,1)),"",IF((AND(LEFT(G1882,2)=LEFT('112'!$M$9,2),B1882&lt;'112'!$K$9,$N1882='112'!$I$6)),"x",""))</f>
        <v/>
      </c>
      <c r="V1882" s="79" t="str">
        <f>IF(ISERROR(FIND('112'!$M$9,G1882,1)),"",IF((AND(RIGHT(G1882,2)=RIGHT('112'!$M$9,2),B1882&lt;'112'!$K$9,$O1882='112'!$I$6)),"x",""))</f>
        <v/>
      </c>
      <c r="W1882" s="79" t="str">
        <f>IF(AND('341-CT'!$H$9=H1882,OR(LEFT(N1882,3)=$W$7,LEFT(O1882,3)=$W$7)),"x","")</f>
        <v/>
      </c>
      <c r="X1882" s="79" t="str">
        <f>IF(OR(TH!N1882=TH!$X$7,O1882=TH!$X$7),"x","")</f>
        <v/>
      </c>
      <c r="Y1882" s="79" t="str">
        <f>IF(AND(OR(N1882="131",O1882="131"),H1882='131-CT'!$H$9),"x","")</f>
        <v/>
      </c>
      <c r="Z1882" s="79"/>
      <c r="AA1882" s="79" t="str">
        <f>IF(AND(MONTH(E1882)='IN-NX'!$J$5,'IN-NX'!$D$7=D1882),"x","")</f>
        <v/>
      </c>
      <c r="AB1882" s="79" t="str">
        <f>IF(AND(OR(LEFT(TH!N1882,2)="15",LEFT(TH!O1882,2)="15"),LEFT(TH!O1882,3)&lt;&gt;"111",'152-CT'!$J$8=TH!F1882),"x","")</f>
        <v/>
      </c>
      <c r="AC1882" s="79" t="str">
        <f>IF(AND(OR(LEFT(TH!N1882,2)="15",LEFT(TH!O1882,2)="15"),TK!$E$7=TH!F1882),"x","")</f>
        <v/>
      </c>
      <c r="AD1882" s="79" t="str">
        <f>IF(AND(N1882="1521",MONTH(C1882)='BK-NL'!$M$11),"x","")</f>
        <v/>
      </c>
    </row>
    <row r="1883" spans="1:30" ht="16.5" customHeight="1">
      <c r="A1883" s="318" t="str">
        <f>IF(B1883&lt;&gt;"",IF(AND(B1883='IN-TC'!$S$4,OR(TH!N1883="1111",TH!O1883="1111")),TH!D1883,""),"")</f>
        <v/>
      </c>
      <c r="B1883" s="60" t="str">
        <f t="shared" si="223"/>
        <v/>
      </c>
      <c r="C1883" s="974"/>
      <c r="D1883" s="974"/>
      <c r="E1883" s="974"/>
      <c r="F1883" s="1131"/>
      <c r="G1883" s="976"/>
      <c r="H1883" s="759"/>
      <c r="I1883" s="383"/>
      <c r="J1883" s="390"/>
      <c r="K1883" s="383"/>
      <c r="L1883" s="390"/>
      <c r="M1883" s="978"/>
      <c r="N1883" s="979"/>
      <c r="O1883" s="979"/>
      <c r="P1883" s="79" t="str">
        <f>IF(AND('331-CT'!$E$7=TH!H1883,OR(N1883="331",O1883="331")),"x","")</f>
        <v/>
      </c>
      <c r="Q1883" s="79" t="str">
        <f>IF(AND(B1883='111'!$L$11,OR($N1883=$Q$7,$O1883=$Q$7)),"x","")</f>
        <v/>
      </c>
      <c r="R1883" s="79" t="str">
        <f>IF(AND($N1883=$Q$7,$B1883&lt;'111'!$L$11),"x","")</f>
        <v/>
      </c>
      <c r="S1883" s="79" t="str">
        <f>IF(AND($O1883=$Q$7,$B1883&lt;'111'!$L$11),"x","")</f>
        <v/>
      </c>
      <c r="T1883" s="79" t="str">
        <f>IF(ISERROR(FIND('112'!$M$9,G1883,1)),"",IF((AND(FIND('112'!$M$9,G1883,1)&gt;=1,B1883='112'!$K$9,OR($N1883='112'!$I$6,$O1883='112'!$I$6))),"x",""))</f>
        <v/>
      </c>
      <c r="U1883" s="79" t="str">
        <f>IF(ISERROR(FIND('112'!$M$9,G1883,1)),"",IF((AND(LEFT(G1883,2)=LEFT('112'!$M$9,2),B1883&lt;'112'!$K$9,$N1883='112'!$I$6)),"x",""))</f>
        <v/>
      </c>
      <c r="V1883" s="79" t="str">
        <f>IF(ISERROR(FIND('112'!$M$9,G1883,1)),"",IF((AND(RIGHT(G1883,2)=RIGHT('112'!$M$9,2),B1883&lt;'112'!$K$9,$O1883='112'!$I$6)),"x",""))</f>
        <v/>
      </c>
      <c r="W1883" s="79" t="str">
        <f>IF(AND('341-CT'!$H$9=H1883,OR(LEFT(N1883,3)=$W$7,LEFT(O1883,3)=$W$7)),"x","")</f>
        <v/>
      </c>
      <c r="X1883" s="79" t="str">
        <f>IF(OR(TH!N1883=TH!$X$7,O1883=TH!$X$7),"x","")</f>
        <v/>
      </c>
      <c r="Y1883" s="79" t="str">
        <f>IF(AND(OR(N1883="131",O1883="131"),H1883='131-CT'!$H$9),"x","")</f>
        <v/>
      </c>
      <c r="Z1883" s="79"/>
      <c r="AA1883" s="79" t="str">
        <f>IF(AND(MONTH(E1883)='IN-NX'!$J$5,'IN-NX'!$D$7=D1883),"x","")</f>
        <v/>
      </c>
      <c r="AB1883" s="79" t="str">
        <f>IF(AND(OR(LEFT(TH!N1883,2)="15",LEFT(TH!O1883,2)="15"),LEFT(TH!O1883,3)&lt;&gt;"111",'152-CT'!$J$8=TH!F1883),"x","")</f>
        <v/>
      </c>
      <c r="AC1883" s="79" t="str">
        <f>IF(AND(OR(LEFT(TH!N1883,2)="15",LEFT(TH!O1883,2)="15"),TK!$E$7=TH!F1883),"x","")</f>
        <v/>
      </c>
      <c r="AD1883" s="79" t="str">
        <f>IF(AND(N1883="1521",MONTH(C1883)='BK-NL'!$M$11),"x","")</f>
        <v/>
      </c>
    </row>
    <row r="1884" spans="1:30" ht="16.5" customHeight="1">
      <c r="A1884" s="318" t="str">
        <f>IF(B1884&lt;&gt;"",IF(AND(B1884='IN-TC'!$S$4,OR(TH!N1884="1111",TH!O1884="1111")),TH!D1884,""),"")</f>
        <v/>
      </c>
      <c r="B1884" s="60" t="str">
        <f t="shared" si="223"/>
        <v/>
      </c>
      <c r="C1884" s="974"/>
      <c r="D1884" s="974"/>
      <c r="E1884" s="974"/>
      <c r="F1884" s="1131"/>
      <c r="G1884" s="976"/>
      <c r="H1884" s="759"/>
      <c r="I1884" s="383"/>
      <c r="J1884" s="390"/>
      <c r="K1884" s="383"/>
      <c r="L1884" s="390"/>
      <c r="M1884" s="978"/>
      <c r="N1884" s="979"/>
      <c r="O1884" s="979"/>
      <c r="P1884" s="79" t="str">
        <f>IF(AND('331-CT'!$E$7=TH!H1884,OR(N1884="331",O1884="331")),"x","")</f>
        <v/>
      </c>
      <c r="Q1884" s="79" t="str">
        <f>IF(AND(B1884='111'!$L$11,OR($N1884=$Q$7,$O1884=$Q$7)),"x","")</f>
        <v/>
      </c>
      <c r="R1884" s="79" t="str">
        <f>IF(AND($N1884=$Q$7,$B1884&lt;'111'!$L$11),"x","")</f>
        <v/>
      </c>
      <c r="S1884" s="79" t="str">
        <f>IF(AND($O1884=$Q$7,$B1884&lt;'111'!$L$11),"x","")</f>
        <v/>
      </c>
      <c r="T1884" s="79" t="str">
        <f>IF(ISERROR(FIND('112'!$M$9,G1884,1)),"",IF((AND(FIND('112'!$M$9,G1884,1)&gt;=1,B1884='112'!$K$9,OR($N1884='112'!$I$6,$O1884='112'!$I$6))),"x",""))</f>
        <v/>
      </c>
      <c r="U1884" s="79" t="str">
        <f>IF(ISERROR(FIND('112'!$M$9,G1884,1)),"",IF((AND(LEFT(G1884,2)=LEFT('112'!$M$9,2),B1884&lt;'112'!$K$9,$N1884='112'!$I$6)),"x",""))</f>
        <v/>
      </c>
      <c r="V1884" s="79" t="str">
        <f>IF(ISERROR(FIND('112'!$M$9,G1884,1)),"",IF((AND(RIGHT(G1884,2)=RIGHT('112'!$M$9,2),B1884&lt;'112'!$K$9,$O1884='112'!$I$6)),"x",""))</f>
        <v/>
      </c>
      <c r="W1884" s="79" t="str">
        <f>IF(AND('341-CT'!$H$9=H1884,OR(LEFT(N1884,3)=$W$7,LEFT(O1884,3)=$W$7)),"x","")</f>
        <v/>
      </c>
      <c r="X1884" s="79" t="str">
        <f>IF(OR(TH!N1884=TH!$X$7,O1884=TH!$X$7),"x","")</f>
        <v/>
      </c>
      <c r="Y1884" s="79" t="str">
        <f>IF(AND(OR(N1884="131",O1884="131"),H1884='131-CT'!$H$9),"x","")</f>
        <v/>
      </c>
      <c r="Z1884" s="79"/>
      <c r="AA1884" s="79" t="str">
        <f>IF(AND(MONTH(E1884)='IN-NX'!$J$5,'IN-NX'!$D$7=D1884),"x","")</f>
        <v/>
      </c>
      <c r="AB1884" s="79" t="str">
        <f>IF(AND(OR(LEFT(TH!N1884,2)="15",LEFT(TH!O1884,2)="15"),LEFT(TH!O1884,3)&lt;&gt;"111",'152-CT'!$J$8=TH!F1884),"x","")</f>
        <v/>
      </c>
      <c r="AC1884" s="79" t="str">
        <f>IF(AND(OR(LEFT(TH!N1884,2)="15",LEFT(TH!O1884,2)="15"),TK!$E$7=TH!F1884),"x","")</f>
        <v/>
      </c>
      <c r="AD1884" s="79" t="str">
        <f>IF(AND(N1884="1521",MONTH(C1884)='BK-NL'!$M$11),"x","")</f>
        <v/>
      </c>
    </row>
    <row r="1885" spans="1:30" ht="16.5" customHeight="1">
      <c r="A1885" s="318" t="str">
        <f>IF(B1885&lt;&gt;"",IF(AND(B1885='IN-TC'!$S$4,OR(TH!N1885="1111",TH!O1885="1111")),TH!D1885,""),"")</f>
        <v/>
      </c>
      <c r="B1885" s="60" t="str">
        <f t="shared" ref="B1885:B1895" si="224">IF(C1885&lt;&gt;"",MONTH(C1885),"")</f>
        <v/>
      </c>
      <c r="C1885" s="974"/>
      <c r="D1885" s="974"/>
      <c r="E1885" s="974"/>
      <c r="F1885" s="1131"/>
      <c r="G1885" s="976"/>
      <c r="H1885" s="759"/>
      <c r="I1885" s="383"/>
      <c r="J1885" s="390"/>
      <c r="K1885" s="383"/>
      <c r="L1885" s="390"/>
      <c r="M1885" s="978"/>
      <c r="N1885" s="979"/>
      <c r="O1885" s="979"/>
      <c r="P1885" s="79" t="str">
        <f>IF(AND('331-CT'!$E$7=TH!H1885,OR(N1885="331",O1885="331")),"x","")</f>
        <v/>
      </c>
      <c r="Q1885" s="79" t="str">
        <f>IF(AND(B1885='111'!$L$11,OR($N1885=$Q$7,$O1885=$Q$7)),"x","")</f>
        <v/>
      </c>
      <c r="R1885" s="79" t="str">
        <f>IF(AND($N1885=$Q$7,$B1885&lt;'111'!$L$11),"x","")</f>
        <v/>
      </c>
      <c r="S1885" s="79" t="str">
        <f>IF(AND($O1885=$Q$7,$B1885&lt;'111'!$L$11),"x","")</f>
        <v/>
      </c>
      <c r="T1885" s="79" t="str">
        <f>IF(ISERROR(FIND('112'!$M$9,G1885,1)),"",IF((AND(FIND('112'!$M$9,G1885,1)&gt;=1,B1885='112'!$K$9,OR($N1885='112'!$I$6,$O1885='112'!$I$6))),"x",""))</f>
        <v/>
      </c>
      <c r="U1885" s="79" t="str">
        <f>IF(ISERROR(FIND('112'!$M$9,G1885,1)),"",IF((AND(LEFT(G1885,2)=LEFT('112'!$M$9,2),B1885&lt;'112'!$K$9,$N1885='112'!$I$6)),"x",""))</f>
        <v/>
      </c>
      <c r="V1885" s="79" t="str">
        <f>IF(ISERROR(FIND('112'!$M$9,G1885,1)),"",IF((AND(RIGHT(G1885,2)=RIGHT('112'!$M$9,2),B1885&lt;'112'!$K$9,$O1885='112'!$I$6)),"x",""))</f>
        <v/>
      </c>
      <c r="W1885" s="79" t="str">
        <f>IF(AND('341-CT'!$H$9=H1885,OR(LEFT(N1885,3)=$W$7,LEFT(O1885,3)=$W$7)),"x","")</f>
        <v/>
      </c>
      <c r="X1885" s="79" t="str">
        <f>IF(OR(TH!N1885=TH!$X$7,O1885=TH!$X$7),"x","")</f>
        <v/>
      </c>
      <c r="Y1885" s="79" t="str">
        <f>IF(AND(OR(N1885="131",O1885="131"),H1885='131-CT'!$H$9),"x","")</f>
        <v/>
      </c>
      <c r="Z1885" s="79"/>
      <c r="AA1885" s="79" t="str">
        <f>IF(AND(MONTH(E1885)='IN-NX'!$J$5,'IN-NX'!$D$7=D1885),"x","")</f>
        <v/>
      </c>
      <c r="AB1885" s="79" t="str">
        <f>IF(AND(OR(LEFT(TH!N1885,2)="15",LEFT(TH!O1885,2)="15"),LEFT(TH!O1885,3)&lt;&gt;"111",'152-CT'!$J$8=TH!F1885),"x","")</f>
        <v/>
      </c>
      <c r="AC1885" s="79" t="str">
        <f>IF(AND(OR(LEFT(TH!N1885,2)="15",LEFT(TH!O1885,2)="15"),TK!$E$7=TH!F1885),"x","")</f>
        <v/>
      </c>
      <c r="AD1885" s="79" t="str">
        <f>IF(AND(N1885="1521",MONTH(C1885)='BK-NL'!$M$11),"x","")</f>
        <v/>
      </c>
    </row>
    <row r="1886" spans="1:30" ht="16.5" customHeight="1">
      <c r="A1886" s="318" t="str">
        <f>IF(B1886&lt;&gt;"",IF(AND(B1886='IN-TC'!$S$4,OR(TH!N1886="1111",TH!O1886="1111")),TH!D1886,""),"")</f>
        <v/>
      </c>
      <c r="B1886" s="60" t="str">
        <f t="shared" si="224"/>
        <v/>
      </c>
      <c r="C1886" s="974"/>
      <c r="D1886" s="974"/>
      <c r="E1886" s="974"/>
      <c r="F1886" s="1131"/>
      <c r="G1886" s="976"/>
      <c r="H1886" s="759"/>
      <c r="I1886" s="383"/>
      <c r="J1886" s="390"/>
      <c r="K1886" s="383"/>
      <c r="L1886" s="390"/>
      <c r="M1886" s="978"/>
      <c r="N1886" s="979"/>
      <c r="O1886" s="979"/>
      <c r="P1886" s="79" t="str">
        <f>IF(AND('331-CT'!$E$7=TH!H1886,OR(N1886="331",O1886="331")),"x","")</f>
        <v/>
      </c>
      <c r="Q1886" s="79" t="str">
        <f>IF(AND(B1886='111'!$L$11,OR($N1886=$Q$7,$O1886=$Q$7)),"x","")</f>
        <v/>
      </c>
      <c r="R1886" s="79" t="str">
        <f>IF(AND($N1886=$Q$7,$B1886&lt;'111'!$L$11),"x","")</f>
        <v/>
      </c>
      <c r="S1886" s="79" t="str">
        <f>IF(AND($O1886=$Q$7,$B1886&lt;'111'!$L$11),"x","")</f>
        <v/>
      </c>
      <c r="T1886" s="79" t="str">
        <f>IF(ISERROR(FIND('112'!$M$9,G1886,1)),"",IF((AND(FIND('112'!$M$9,G1886,1)&gt;=1,B1886='112'!$K$9,OR($N1886='112'!$I$6,$O1886='112'!$I$6))),"x",""))</f>
        <v/>
      </c>
      <c r="U1886" s="79" t="str">
        <f>IF(ISERROR(FIND('112'!$M$9,G1886,1)),"",IF((AND(LEFT(G1886,2)=LEFT('112'!$M$9,2),B1886&lt;'112'!$K$9,$N1886='112'!$I$6)),"x",""))</f>
        <v/>
      </c>
      <c r="V1886" s="79" t="str">
        <f>IF(ISERROR(FIND('112'!$M$9,G1886,1)),"",IF((AND(RIGHT(G1886,2)=RIGHT('112'!$M$9,2),B1886&lt;'112'!$K$9,$O1886='112'!$I$6)),"x",""))</f>
        <v/>
      </c>
      <c r="W1886" s="79" t="str">
        <f>IF(AND('341-CT'!$H$9=H1886,OR(LEFT(N1886,3)=$W$7,LEFT(O1886,3)=$W$7)),"x","")</f>
        <v/>
      </c>
      <c r="X1886" s="79" t="str">
        <f>IF(OR(TH!N1886=TH!$X$7,O1886=TH!$X$7),"x","")</f>
        <v/>
      </c>
      <c r="Y1886" s="79" t="str">
        <f>IF(AND(OR(N1886="131",O1886="131"),H1886='131-CT'!$H$9),"x","")</f>
        <v/>
      </c>
      <c r="Z1886" s="79"/>
      <c r="AA1886" s="79" t="str">
        <f>IF(AND(MONTH(E1886)='IN-NX'!$J$5,'IN-NX'!$D$7=D1886),"x","")</f>
        <v/>
      </c>
      <c r="AB1886" s="79" t="str">
        <f>IF(AND(OR(LEFT(TH!N1886,2)="15",LEFT(TH!O1886,2)="15"),LEFT(TH!O1886,3)&lt;&gt;"111",'152-CT'!$J$8=TH!F1886),"x","")</f>
        <v/>
      </c>
      <c r="AC1886" s="79" t="str">
        <f>IF(AND(OR(LEFT(TH!N1886,2)="15",LEFT(TH!O1886,2)="15"),TK!$E$7=TH!F1886),"x","")</f>
        <v/>
      </c>
      <c r="AD1886" s="79" t="str">
        <f>IF(AND(N1886="1521",MONTH(C1886)='BK-NL'!$M$11),"x","")</f>
        <v/>
      </c>
    </row>
    <row r="1887" spans="1:30" ht="16.5" customHeight="1">
      <c r="A1887" s="318" t="str">
        <f>IF(B1887&lt;&gt;"",IF(AND(B1887='IN-TC'!$S$4,OR(TH!N1887="1111",TH!O1887="1111")),TH!D1887,""),"")</f>
        <v/>
      </c>
      <c r="B1887" s="60" t="str">
        <f t="shared" si="224"/>
        <v/>
      </c>
      <c r="C1887" s="974"/>
      <c r="D1887" s="974"/>
      <c r="E1887" s="974"/>
      <c r="F1887" s="1131"/>
      <c r="G1887" s="976"/>
      <c r="H1887" s="759"/>
      <c r="I1887" s="383"/>
      <c r="J1887" s="390"/>
      <c r="K1887" s="383"/>
      <c r="L1887" s="390"/>
      <c r="M1887" s="978"/>
      <c r="N1887" s="979"/>
      <c r="O1887" s="979"/>
      <c r="P1887" s="79" t="str">
        <f>IF(AND('331-CT'!$E$7=TH!H1887,OR(N1887="331",O1887="331")),"x","")</f>
        <v/>
      </c>
      <c r="Q1887" s="79" t="str">
        <f>IF(AND(B1887='111'!$L$11,OR($N1887=$Q$7,$O1887=$Q$7)),"x","")</f>
        <v/>
      </c>
      <c r="R1887" s="79" t="str">
        <f>IF(AND($N1887=$Q$7,$B1887&lt;'111'!$L$11),"x","")</f>
        <v/>
      </c>
      <c r="S1887" s="79" t="str">
        <f>IF(AND($O1887=$Q$7,$B1887&lt;'111'!$L$11),"x","")</f>
        <v/>
      </c>
      <c r="T1887" s="79" t="str">
        <f>IF(ISERROR(FIND('112'!$M$9,G1887,1)),"",IF((AND(FIND('112'!$M$9,G1887,1)&gt;=1,B1887='112'!$K$9,OR($N1887='112'!$I$6,$O1887='112'!$I$6))),"x",""))</f>
        <v/>
      </c>
      <c r="U1887" s="79" t="str">
        <f>IF(ISERROR(FIND('112'!$M$9,G1887,1)),"",IF((AND(LEFT(G1887,2)=LEFT('112'!$M$9,2),B1887&lt;'112'!$K$9,$N1887='112'!$I$6)),"x",""))</f>
        <v/>
      </c>
      <c r="V1887" s="79" t="str">
        <f>IF(ISERROR(FIND('112'!$M$9,G1887,1)),"",IF((AND(RIGHT(G1887,2)=RIGHT('112'!$M$9,2),B1887&lt;'112'!$K$9,$O1887='112'!$I$6)),"x",""))</f>
        <v/>
      </c>
      <c r="W1887" s="79" t="str">
        <f>IF(AND('341-CT'!$H$9=H1887,OR(LEFT(N1887,3)=$W$7,LEFT(O1887,3)=$W$7)),"x","")</f>
        <v/>
      </c>
      <c r="X1887" s="79" t="str">
        <f>IF(OR(TH!N1887=TH!$X$7,O1887=TH!$X$7),"x","")</f>
        <v/>
      </c>
      <c r="Y1887" s="79" t="str">
        <f>IF(AND(OR(N1887="131",O1887="131"),H1887='131-CT'!$H$9),"x","")</f>
        <v/>
      </c>
      <c r="Z1887" s="79"/>
      <c r="AA1887" s="79" t="str">
        <f>IF(AND(MONTH(E1887)='IN-NX'!$J$5,'IN-NX'!$D$7=D1887),"x","")</f>
        <v/>
      </c>
      <c r="AB1887" s="79" t="str">
        <f>IF(AND(OR(LEFT(TH!N1887,2)="15",LEFT(TH!O1887,2)="15"),LEFT(TH!O1887,3)&lt;&gt;"111",'152-CT'!$J$8=TH!F1887),"x","")</f>
        <v/>
      </c>
      <c r="AC1887" s="79" t="str">
        <f>IF(AND(OR(LEFT(TH!N1887,2)="15",LEFT(TH!O1887,2)="15"),TK!$E$7=TH!F1887),"x","")</f>
        <v/>
      </c>
      <c r="AD1887" s="79" t="str">
        <f>IF(AND(N1887="1521",MONTH(C1887)='BK-NL'!$M$11),"x","")</f>
        <v/>
      </c>
    </row>
    <row r="1888" spans="1:30" ht="16.5" customHeight="1">
      <c r="A1888" s="318" t="str">
        <f>IF(B1888&lt;&gt;"",IF(AND(B1888='IN-TC'!$S$4,OR(TH!N1888="1111",TH!O1888="1111")),TH!D1888,""),"")</f>
        <v/>
      </c>
      <c r="B1888" s="60" t="str">
        <f t="shared" si="224"/>
        <v/>
      </c>
      <c r="C1888" s="974"/>
      <c r="D1888" s="974"/>
      <c r="E1888" s="974"/>
      <c r="F1888" s="1131"/>
      <c r="G1888" s="976"/>
      <c r="H1888" s="759"/>
      <c r="I1888" s="383"/>
      <c r="J1888" s="390"/>
      <c r="K1888" s="383"/>
      <c r="L1888" s="390"/>
      <c r="M1888" s="978"/>
      <c r="N1888" s="979"/>
      <c r="O1888" s="979"/>
      <c r="P1888" s="79" t="str">
        <f>IF(AND('331-CT'!$E$7=TH!H1888,OR(N1888="331",O1888="331")),"x","")</f>
        <v/>
      </c>
      <c r="Q1888" s="79" t="str">
        <f>IF(AND(B1888='111'!$L$11,OR($N1888=$Q$7,$O1888=$Q$7)),"x","")</f>
        <v/>
      </c>
      <c r="R1888" s="79" t="str">
        <f>IF(AND($N1888=$Q$7,$B1888&lt;'111'!$L$11),"x","")</f>
        <v/>
      </c>
      <c r="S1888" s="79" t="str">
        <f>IF(AND($O1888=$Q$7,$B1888&lt;'111'!$L$11),"x","")</f>
        <v/>
      </c>
      <c r="T1888" s="79" t="str">
        <f>IF(ISERROR(FIND('112'!$M$9,G1888,1)),"",IF((AND(FIND('112'!$M$9,G1888,1)&gt;=1,B1888='112'!$K$9,OR($N1888='112'!$I$6,$O1888='112'!$I$6))),"x",""))</f>
        <v/>
      </c>
      <c r="U1888" s="79" t="str">
        <f>IF(ISERROR(FIND('112'!$M$9,G1888,1)),"",IF((AND(LEFT(G1888,2)=LEFT('112'!$M$9,2),B1888&lt;'112'!$K$9,$N1888='112'!$I$6)),"x",""))</f>
        <v/>
      </c>
      <c r="V1888" s="79" t="str">
        <f>IF(ISERROR(FIND('112'!$M$9,G1888,1)),"",IF((AND(RIGHT(G1888,2)=RIGHT('112'!$M$9,2),B1888&lt;'112'!$K$9,$O1888='112'!$I$6)),"x",""))</f>
        <v/>
      </c>
      <c r="W1888" s="79" t="str">
        <f>IF(AND('341-CT'!$H$9=H1888,OR(LEFT(N1888,3)=$W$7,LEFT(O1888,3)=$W$7)),"x","")</f>
        <v/>
      </c>
      <c r="X1888" s="79" t="str">
        <f>IF(OR(TH!N1888=TH!$X$7,O1888=TH!$X$7),"x","")</f>
        <v/>
      </c>
      <c r="Y1888" s="79" t="str">
        <f>IF(AND(OR(N1888="131",O1888="131"),H1888='131-CT'!$H$9),"x","")</f>
        <v/>
      </c>
      <c r="Z1888" s="79"/>
      <c r="AA1888" s="79" t="str">
        <f>IF(AND(MONTH(E1888)='IN-NX'!$J$5,'IN-NX'!$D$7=D1888),"x","")</f>
        <v/>
      </c>
      <c r="AB1888" s="79" t="str">
        <f>IF(AND(OR(LEFT(TH!N1888,2)="15",LEFT(TH!O1888,2)="15"),LEFT(TH!O1888,3)&lt;&gt;"111",'152-CT'!$J$8=TH!F1888),"x","")</f>
        <v/>
      </c>
      <c r="AC1888" s="79" t="str">
        <f>IF(AND(OR(LEFT(TH!N1888,2)="15",LEFT(TH!O1888,2)="15"),TK!$E$7=TH!F1888),"x","")</f>
        <v/>
      </c>
      <c r="AD1888" s="79" t="str">
        <f>IF(AND(N1888="1521",MONTH(C1888)='BK-NL'!$M$11),"x","")</f>
        <v/>
      </c>
    </row>
    <row r="1889" spans="1:30" ht="16.5" customHeight="1">
      <c r="A1889" s="318" t="str">
        <f>IF(B1889&lt;&gt;"",IF(AND(B1889='IN-TC'!$S$4,OR(TH!N1889="1111",TH!O1889="1111")),TH!D1889,""),"")</f>
        <v/>
      </c>
      <c r="B1889" s="60" t="str">
        <f t="shared" si="224"/>
        <v/>
      </c>
      <c r="C1889" s="974"/>
      <c r="D1889" s="974"/>
      <c r="E1889" s="974"/>
      <c r="F1889" s="1131"/>
      <c r="G1889" s="976"/>
      <c r="H1889" s="759"/>
      <c r="I1889" s="383"/>
      <c r="J1889" s="390"/>
      <c r="K1889" s="383"/>
      <c r="L1889" s="390"/>
      <c r="M1889" s="978"/>
      <c r="N1889" s="979"/>
      <c r="O1889" s="979"/>
      <c r="P1889" s="79" t="str">
        <f>IF(AND('331-CT'!$E$7=TH!H1889,OR(N1889="331",O1889="331")),"x","")</f>
        <v/>
      </c>
      <c r="Q1889" s="79" t="str">
        <f>IF(AND(B1889='111'!$L$11,OR($N1889=$Q$7,$O1889=$Q$7)),"x","")</f>
        <v/>
      </c>
      <c r="R1889" s="79" t="str">
        <f>IF(AND($N1889=$Q$7,$B1889&lt;'111'!$L$11),"x","")</f>
        <v/>
      </c>
      <c r="S1889" s="79" t="str">
        <f>IF(AND($O1889=$Q$7,$B1889&lt;'111'!$L$11),"x","")</f>
        <v/>
      </c>
      <c r="T1889" s="79" t="str">
        <f>IF(ISERROR(FIND('112'!$M$9,G1889,1)),"",IF((AND(FIND('112'!$M$9,G1889,1)&gt;=1,B1889='112'!$K$9,OR($N1889='112'!$I$6,$O1889='112'!$I$6))),"x",""))</f>
        <v/>
      </c>
      <c r="U1889" s="79" t="str">
        <f>IF(ISERROR(FIND('112'!$M$9,G1889,1)),"",IF((AND(LEFT(G1889,2)=LEFT('112'!$M$9,2),B1889&lt;'112'!$K$9,$N1889='112'!$I$6)),"x",""))</f>
        <v/>
      </c>
      <c r="V1889" s="79" t="str">
        <f>IF(ISERROR(FIND('112'!$M$9,G1889,1)),"",IF((AND(RIGHT(G1889,2)=RIGHT('112'!$M$9,2),B1889&lt;'112'!$K$9,$O1889='112'!$I$6)),"x",""))</f>
        <v/>
      </c>
      <c r="W1889" s="79" t="str">
        <f>IF(AND('341-CT'!$H$9=H1889,OR(LEFT(N1889,3)=$W$7,LEFT(O1889,3)=$W$7)),"x","")</f>
        <v/>
      </c>
      <c r="X1889" s="79" t="str">
        <f>IF(OR(TH!N1889=TH!$X$7,O1889=TH!$X$7),"x","")</f>
        <v/>
      </c>
      <c r="Y1889" s="79" t="str">
        <f>IF(AND(OR(N1889="131",O1889="131"),H1889='131-CT'!$H$9),"x","")</f>
        <v/>
      </c>
      <c r="Z1889" s="79"/>
      <c r="AA1889" s="79" t="str">
        <f>IF(AND(MONTH(E1889)='IN-NX'!$J$5,'IN-NX'!$D$7=D1889),"x","")</f>
        <v/>
      </c>
      <c r="AB1889" s="79" t="str">
        <f>IF(AND(OR(LEFT(TH!N1889,2)="15",LEFT(TH!O1889,2)="15"),LEFT(TH!O1889,3)&lt;&gt;"111",'152-CT'!$J$8=TH!F1889),"x","")</f>
        <v/>
      </c>
      <c r="AC1889" s="79" t="str">
        <f>IF(AND(OR(LEFT(TH!N1889,2)="15",LEFT(TH!O1889,2)="15"),TK!$E$7=TH!F1889),"x","")</f>
        <v/>
      </c>
      <c r="AD1889" s="79" t="str">
        <f>IF(AND(N1889="1521",MONTH(C1889)='BK-NL'!$M$11),"x","")</f>
        <v/>
      </c>
    </row>
    <row r="1890" spans="1:30" ht="16.5" customHeight="1">
      <c r="A1890" s="318" t="str">
        <f>IF(B1890&lt;&gt;"",IF(AND(B1890='IN-TC'!$S$4,OR(TH!N1890="1111",TH!O1890="1111")),TH!D1890,""),"")</f>
        <v/>
      </c>
      <c r="B1890" s="60" t="str">
        <f t="shared" si="224"/>
        <v/>
      </c>
      <c r="C1890" s="974"/>
      <c r="D1890" s="974"/>
      <c r="E1890" s="974"/>
      <c r="F1890" s="1131"/>
      <c r="G1890" s="976"/>
      <c r="H1890" s="759"/>
      <c r="I1890" s="383"/>
      <c r="J1890" s="390"/>
      <c r="K1890" s="383"/>
      <c r="L1890" s="390"/>
      <c r="M1890" s="978"/>
      <c r="N1890" s="979"/>
      <c r="O1890" s="979"/>
      <c r="P1890" s="79" t="str">
        <f>IF(AND('331-CT'!$E$7=TH!H1890,OR(N1890="331",O1890="331")),"x","")</f>
        <v/>
      </c>
      <c r="Q1890" s="79" t="str">
        <f>IF(AND(B1890='111'!$L$11,OR($N1890=$Q$7,$O1890=$Q$7)),"x","")</f>
        <v/>
      </c>
      <c r="R1890" s="79" t="str">
        <f>IF(AND($N1890=$Q$7,$B1890&lt;'111'!$L$11),"x","")</f>
        <v/>
      </c>
      <c r="S1890" s="79" t="str">
        <f>IF(AND($O1890=$Q$7,$B1890&lt;'111'!$L$11),"x","")</f>
        <v/>
      </c>
      <c r="T1890" s="79" t="str">
        <f>IF(ISERROR(FIND('112'!$M$9,G1890,1)),"",IF((AND(FIND('112'!$M$9,G1890,1)&gt;=1,B1890='112'!$K$9,OR($N1890='112'!$I$6,$O1890='112'!$I$6))),"x",""))</f>
        <v/>
      </c>
      <c r="U1890" s="79" t="str">
        <f>IF(ISERROR(FIND('112'!$M$9,G1890,1)),"",IF((AND(LEFT(G1890,2)=LEFT('112'!$M$9,2),B1890&lt;'112'!$K$9,$N1890='112'!$I$6)),"x",""))</f>
        <v/>
      </c>
      <c r="V1890" s="79" t="str">
        <f>IF(ISERROR(FIND('112'!$M$9,G1890,1)),"",IF((AND(RIGHT(G1890,2)=RIGHT('112'!$M$9,2),B1890&lt;'112'!$K$9,$O1890='112'!$I$6)),"x",""))</f>
        <v/>
      </c>
      <c r="W1890" s="79" t="str">
        <f>IF(AND('341-CT'!$H$9=H1890,OR(LEFT(N1890,3)=$W$7,LEFT(O1890,3)=$W$7)),"x","")</f>
        <v/>
      </c>
      <c r="X1890" s="79" t="str">
        <f>IF(OR(TH!N1890=TH!$X$7,O1890=TH!$X$7),"x","")</f>
        <v/>
      </c>
      <c r="Y1890" s="79" t="str">
        <f>IF(AND(OR(N1890="131",O1890="131"),H1890='131-CT'!$H$9),"x","")</f>
        <v/>
      </c>
      <c r="Z1890" s="79"/>
      <c r="AA1890" s="79" t="str">
        <f>IF(AND(MONTH(E1890)='IN-NX'!$J$5,'IN-NX'!$D$7=D1890),"x","")</f>
        <v/>
      </c>
      <c r="AB1890" s="79" t="str">
        <f>IF(AND(OR(LEFT(TH!N1890,2)="15",LEFT(TH!O1890,2)="15"),LEFT(TH!O1890,3)&lt;&gt;"111",'152-CT'!$J$8=TH!F1890),"x","")</f>
        <v/>
      </c>
      <c r="AC1890" s="79" t="str">
        <f>IF(AND(OR(LEFT(TH!N1890,2)="15",LEFT(TH!O1890,2)="15"),TK!$E$7=TH!F1890),"x","")</f>
        <v/>
      </c>
      <c r="AD1890" s="79" t="str">
        <f>IF(AND(N1890="1521",MONTH(C1890)='BK-NL'!$M$11),"x","")</f>
        <v/>
      </c>
    </row>
    <row r="1891" spans="1:30" ht="16.5" customHeight="1">
      <c r="A1891" s="318" t="str">
        <f>IF(B1891&lt;&gt;"",IF(AND(B1891='IN-TC'!$S$4,OR(TH!N1891="1111",TH!O1891="1111")),TH!D1891,""),"")</f>
        <v/>
      </c>
      <c r="B1891" s="60" t="str">
        <f t="shared" si="224"/>
        <v/>
      </c>
      <c r="C1891" s="974"/>
      <c r="D1891" s="974"/>
      <c r="E1891" s="974"/>
      <c r="F1891" s="305"/>
      <c r="G1891" s="976"/>
      <c r="H1891" s="759"/>
      <c r="I1891" s="383"/>
      <c r="J1891" s="390"/>
      <c r="K1891" s="383"/>
      <c r="L1891" s="390"/>
      <c r="M1891" s="978"/>
      <c r="N1891" s="979"/>
      <c r="O1891" s="979"/>
      <c r="P1891" s="79" t="str">
        <f>IF(AND('331-CT'!$E$7=TH!H1891,OR(N1891="331",O1891="331")),"x","")</f>
        <v/>
      </c>
      <c r="Q1891" s="79" t="str">
        <f>IF(AND(B1891='111'!$L$11,OR($N1891=$Q$7,$O1891=$Q$7)),"x","")</f>
        <v/>
      </c>
      <c r="R1891" s="79" t="str">
        <f>IF(AND($N1891=$Q$7,$B1891&lt;'111'!$L$11),"x","")</f>
        <v/>
      </c>
      <c r="S1891" s="79" t="str">
        <f>IF(AND($O1891=$Q$7,$B1891&lt;'111'!$L$11),"x","")</f>
        <v/>
      </c>
      <c r="T1891" s="79" t="str">
        <f>IF(ISERROR(FIND('112'!$M$9,G1891,1)),"",IF((AND(FIND('112'!$M$9,G1891,1)&gt;=1,B1891='112'!$K$9,OR($N1891='112'!$I$6,$O1891='112'!$I$6))),"x",""))</f>
        <v/>
      </c>
      <c r="U1891" s="79" t="str">
        <f>IF(ISERROR(FIND('112'!$M$9,G1891,1)),"",IF((AND(LEFT(G1891,2)=LEFT('112'!$M$9,2),B1891&lt;'112'!$K$9,$N1891='112'!$I$6)),"x",""))</f>
        <v/>
      </c>
      <c r="V1891" s="79" t="str">
        <f>IF(ISERROR(FIND('112'!$M$9,G1891,1)),"",IF((AND(RIGHT(G1891,2)=RIGHT('112'!$M$9,2),B1891&lt;'112'!$K$9,$O1891='112'!$I$6)),"x",""))</f>
        <v/>
      </c>
      <c r="W1891" s="79" t="str">
        <f>IF(AND('341-CT'!$H$9=H1891,OR(LEFT(N1891,3)=$W$7,LEFT(O1891,3)=$W$7)),"x","")</f>
        <v/>
      </c>
      <c r="X1891" s="79" t="str">
        <f>IF(OR(TH!N1891=TH!$X$7,O1891=TH!$X$7),"x","")</f>
        <v/>
      </c>
      <c r="Y1891" s="79" t="str">
        <f>IF(AND(OR(N1891="131",O1891="131"),H1891='131-CT'!$H$9),"x","")</f>
        <v/>
      </c>
      <c r="Z1891" s="79"/>
      <c r="AA1891" s="79" t="str">
        <f>IF(AND(MONTH(E1891)='IN-NX'!$J$5,'IN-NX'!$D$7=D1891),"x","")</f>
        <v/>
      </c>
      <c r="AB1891" s="79" t="str">
        <f>IF(AND(OR(LEFT(TH!N1891,2)="15",LEFT(TH!O1891,2)="15"),LEFT(TH!O1891,3)&lt;&gt;"111",'152-CT'!$J$8=TH!F1891),"x","")</f>
        <v/>
      </c>
      <c r="AC1891" s="79" t="str">
        <f>IF(AND(OR(LEFT(TH!N1891,2)="15",LEFT(TH!O1891,2)="15"),TK!$E$7=TH!F1891),"x","")</f>
        <v/>
      </c>
      <c r="AD1891" s="79" t="str">
        <f>IF(AND(N1891="1521",MONTH(C1891)='BK-NL'!$M$11),"x","")</f>
        <v/>
      </c>
    </row>
    <row r="1892" spans="1:30" ht="16.5" customHeight="1">
      <c r="A1892" s="318" t="str">
        <f>IF(B1892&lt;&gt;"",IF(AND(B1892='IN-TC'!$S$4,OR(TH!N1892="1111",TH!O1892="1111")),TH!D1892,""),"")</f>
        <v/>
      </c>
      <c r="B1892" s="60" t="str">
        <f t="shared" si="224"/>
        <v/>
      </c>
      <c r="C1892" s="974"/>
      <c r="D1892" s="974"/>
      <c r="E1892" s="974"/>
      <c r="F1892" s="305"/>
      <c r="G1892" s="976"/>
      <c r="H1892" s="759"/>
      <c r="I1892" s="383"/>
      <c r="J1892" s="390"/>
      <c r="K1892" s="383"/>
      <c r="L1892" s="390"/>
      <c r="M1892" s="978"/>
      <c r="N1892" s="979"/>
      <c r="O1892" s="979"/>
      <c r="P1892" s="79" t="str">
        <f>IF(AND('331-CT'!$E$7=TH!H1892,OR(N1892="331",O1892="331")),"x","")</f>
        <v/>
      </c>
      <c r="Q1892" s="79" t="str">
        <f>IF(AND(B1892='111'!$L$11,OR($N1892=$Q$7,$O1892=$Q$7)),"x","")</f>
        <v/>
      </c>
      <c r="R1892" s="79" t="str">
        <f>IF(AND($N1892=$Q$7,$B1892&lt;'111'!$L$11),"x","")</f>
        <v/>
      </c>
      <c r="S1892" s="79" t="str">
        <f>IF(AND($O1892=$Q$7,$B1892&lt;'111'!$L$11),"x","")</f>
        <v/>
      </c>
      <c r="T1892" s="79" t="str">
        <f>IF(ISERROR(FIND('112'!$M$9,G1892,1)),"",IF((AND(FIND('112'!$M$9,G1892,1)&gt;=1,B1892='112'!$K$9,OR($N1892='112'!$I$6,$O1892='112'!$I$6))),"x",""))</f>
        <v/>
      </c>
      <c r="U1892" s="79" t="str">
        <f>IF(ISERROR(FIND('112'!$M$9,G1892,1)),"",IF((AND(LEFT(G1892,2)=LEFT('112'!$M$9,2),B1892&lt;'112'!$K$9,$N1892='112'!$I$6)),"x",""))</f>
        <v/>
      </c>
      <c r="V1892" s="79" t="str">
        <f>IF(ISERROR(FIND('112'!$M$9,G1892,1)),"",IF((AND(RIGHT(G1892,2)=RIGHT('112'!$M$9,2),B1892&lt;'112'!$K$9,$O1892='112'!$I$6)),"x",""))</f>
        <v/>
      </c>
      <c r="W1892" s="79" t="str">
        <f>IF(AND('341-CT'!$H$9=H1892,OR(LEFT(N1892,3)=$W$7,LEFT(O1892,3)=$W$7)),"x","")</f>
        <v/>
      </c>
      <c r="X1892" s="79" t="str">
        <f>IF(OR(TH!N1892=TH!$X$7,O1892=TH!$X$7),"x","")</f>
        <v/>
      </c>
      <c r="Y1892" s="79" t="str">
        <f>IF(AND(OR(N1892="131",O1892="131"),H1892='131-CT'!$H$9),"x","")</f>
        <v/>
      </c>
      <c r="Z1892" s="79"/>
      <c r="AA1892" s="79" t="str">
        <f>IF(AND(MONTH(E1892)='IN-NX'!$J$5,'IN-NX'!$D$7=D1892),"x","")</f>
        <v/>
      </c>
      <c r="AB1892" s="79" t="str">
        <f>IF(AND(OR(LEFT(TH!N1892,2)="15",LEFT(TH!O1892,2)="15"),LEFT(TH!O1892,3)&lt;&gt;"111",'152-CT'!$J$8=TH!F1892),"x","")</f>
        <v/>
      </c>
      <c r="AC1892" s="79" t="str">
        <f>IF(AND(OR(LEFT(TH!N1892,2)="15",LEFT(TH!O1892,2)="15"),TK!$E$7=TH!F1892),"x","")</f>
        <v/>
      </c>
      <c r="AD1892" s="79" t="str">
        <f>IF(AND(N1892="1521",MONTH(C1892)='BK-NL'!$M$11),"x","")</f>
        <v/>
      </c>
    </row>
    <row r="1893" spans="1:30" ht="16.5" customHeight="1">
      <c r="A1893" s="318" t="str">
        <f>IF(B1893&lt;&gt;"",IF(AND(B1893='IN-TC'!$S$4,OR(TH!N1893="1111",TH!O1893="1111")),TH!D1893,""),"")</f>
        <v/>
      </c>
      <c r="B1893" s="60" t="str">
        <f t="shared" si="224"/>
        <v/>
      </c>
      <c r="C1893" s="974"/>
      <c r="D1893" s="974"/>
      <c r="E1893" s="974"/>
      <c r="F1893" s="1131"/>
      <c r="G1893" s="976"/>
      <c r="H1893" s="759"/>
      <c r="I1893" s="383"/>
      <c r="J1893" s="390"/>
      <c r="K1893" s="383"/>
      <c r="L1893" s="390"/>
      <c r="M1893" s="978"/>
      <c r="N1893" s="979"/>
      <c r="O1893" s="979"/>
      <c r="P1893" s="79" t="str">
        <f>IF(AND('331-CT'!$E$7=TH!H1893,OR(N1893="331",O1893="331")),"x","")</f>
        <v/>
      </c>
      <c r="Q1893" s="79" t="str">
        <f>IF(AND(B1893='111'!$L$11,OR($N1893=$Q$7,$O1893=$Q$7)),"x","")</f>
        <v/>
      </c>
      <c r="R1893" s="79" t="str">
        <f>IF(AND($N1893=$Q$7,$B1893&lt;'111'!$L$11),"x","")</f>
        <v/>
      </c>
      <c r="S1893" s="79" t="str">
        <f>IF(AND($O1893=$Q$7,$B1893&lt;'111'!$L$11),"x","")</f>
        <v/>
      </c>
      <c r="T1893" s="79" t="str">
        <f>IF(ISERROR(FIND('112'!$M$9,G1893,1)),"",IF((AND(FIND('112'!$M$9,G1893,1)&gt;=1,B1893='112'!$K$9,OR($N1893='112'!$I$6,$O1893='112'!$I$6))),"x",""))</f>
        <v/>
      </c>
      <c r="U1893" s="79" t="str">
        <f>IF(ISERROR(FIND('112'!$M$9,G1893,1)),"",IF((AND(LEFT(G1893,2)=LEFT('112'!$M$9,2),B1893&lt;'112'!$K$9,$N1893='112'!$I$6)),"x",""))</f>
        <v/>
      </c>
      <c r="V1893" s="79" t="str">
        <f>IF(ISERROR(FIND('112'!$M$9,G1893,1)),"",IF((AND(RIGHT(G1893,2)=RIGHT('112'!$M$9,2),B1893&lt;'112'!$K$9,$O1893='112'!$I$6)),"x",""))</f>
        <v/>
      </c>
      <c r="W1893" s="79" t="str">
        <f>IF(AND('341-CT'!$H$9=H1893,OR(LEFT(N1893,3)=$W$7,LEFT(O1893,3)=$W$7)),"x","")</f>
        <v/>
      </c>
      <c r="X1893" s="79" t="str">
        <f>IF(OR(TH!N1893=TH!$X$7,O1893=TH!$X$7),"x","")</f>
        <v/>
      </c>
      <c r="Y1893" s="79" t="str">
        <f>IF(AND(OR(N1893="131",O1893="131"),H1893='131-CT'!$H$9),"x","")</f>
        <v/>
      </c>
      <c r="Z1893" s="79"/>
      <c r="AA1893" s="79" t="str">
        <f>IF(AND(MONTH(E1893)='IN-NX'!$J$5,'IN-NX'!$D$7=D1893),"x","")</f>
        <v/>
      </c>
      <c r="AB1893" s="79" t="str">
        <f>IF(AND(OR(LEFT(TH!N1893,2)="15",LEFT(TH!O1893,2)="15"),LEFT(TH!O1893,3)&lt;&gt;"111",'152-CT'!$J$8=TH!F1893),"x","")</f>
        <v/>
      </c>
      <c r="AC1893" s="79" t="str">
        <f>IF(AND(OR(LEFT(TH!N1893,2)="15",LEFT(TH!O1893,2)="15"),TK!$E$7=TH!F1893),"x","")</f>
        <v/>
      </c>
      <c r="AD1893" s="79" t="str">
        <f>IF(AND(N1893="1521",MONTH(C1893)='BK-NL'!$M$11),"x","")</f>
        <v/>
      </c>
    </row>
    <row r="1894" spans="1:30" ht="16.5" customHeight="1">
      <c r="A1894" s="318" t="str">
        <f>IF(B1894&lt;&gt;"",IF(AND(B1894='IN-TC'!$S$4,OR(TH!N1894="1111",TH!O1894="1111")),TH!D1894,""),"")</f>
        <v/>
      </c>
      <c r="B1894" s="60" t="str">
        <f t="shared" si="224"/>
        <v/>
      </c>
      <c r="C1894" s="974"/>
      <c r="D1894" s="974"/>
      <c r="E1894" s="974"/>
      <c r="F1894" s="1131"/>
      <c r="G1894" s="976"/>
      <c r="H1894" s="759"/>
      <c r="I1894" s="383"/>
      <c r="J1894" s="390"/>
      <c r="K1894" s="383"/>
      <c r="L1894" s="390"/>
      <c r="M1894" s="978"/>
      <c r="N1894" s="979"/>
      <c r="O1894" s="979"/>
      <c r="P1894" s="79" t="str">
        <f>IF(AND('331-CT'!$E$7=TH!H1894,OR(N1894="331",O1894="331")),"x","")</f>
        <v/>
      </c>
      <c r="Q1894" s="79" t="str">
        <f>IF(AND(B1894='111'!$L$11,OR($N1894=$Q$7,$O1894=$Q$7)),"x","")</f>
        <v/>
      </c>
      <c r="R1894" s="79" t="str">
        <f>IF(AND($N1894=$Q$7,$B1894&lt;'111'!$L$11),"x","")</f>
        <v/>
      </c>
      <c r="S1894" s="79" t="str">
        <f>IF(AND($O1894=$Q$7,$B1894&lt;'111'!$L$11),"x","")</f>
        <v/>
      </c>
      <c r="T1894" s="79" t="str">
        <f>IF(ISERROR(FIND('112'!$M$9,G1894,1)),"",IF((AND(FIND('112'!$M$9,G1894,1)&gt;=1,B1894='112'!$K$9,OR($N1894='112'!$I$6,$O1894='112'!$I$6))),"x",""))</f>
        <v/>
      </c>
      <c r="U1894" s="79" t="str">
        <f>IF(ISERROR(FIND('112'!$M$9,G1894,1)),"",IF((AND(LEFT(G1894,2)=LEFT('112'!$M$9,2),B1894&lt;'112'!$K$9,$N1894='112'!$I$6)),"x",""))</f>
        <v/>
      </c>
      <c r="V1894" s="79" t="str">
        <f>IF(ISERROR(FIND('112'!$M$9,G1894,1)),"",IF((AND(RIGHT(G1894,2)=RIGHT('112'!$M$9,2),B1894&lt;'112'!$K$9,$O1894='112'!$I$6)),"x",""))</f>
        <v/>
      </c>
      <c r="W1894" s="79" t="str">
        <f>IF(AND('341-CT'!$H$9=H1894,OR(LEFT(N1894,3)=$W$7,LEFT(O1894,3)=$W$7)),"x","")</f>
        <v/>
      </c>
      <c r="X1894" s="79" t="str">
        <f>IF(OR(TH!N1894=TH!$X$7,O1894=TH!$X$7),"x","")</f>
        <v/>
      </c>
      <c r="Y1894" s="79" t="str">
        <f>IF(AND(OR(N1894="131",O1894="131"),H1894='131-CT'!$H$9),"x","")</f>
        <v/>
      </c>
      <c r="Z1894" s="79"/>
      <c r="AA1894" s="79" t="str">
        <f>IF(AND(MONTH(E1894)='IN-NX'!$J$5,'IN-NX'!$D$7=D1894),"x","")</f>
        <v/>
      </c>
      <c r="AB1894" s="79" t="str">
        <f>IF(AND(OR(LEFT(TH!N1894,2)="15",LEFT(TH!O1894,2)="15"),LEFT(TH!O1894,3)&lt;&gt;"111",'152-CT'!$J$8=TH!F1894),"x","")</f>
        <v/>
      </c>
      <c r="AC1894" s="79" t="str">
        <f>IF(AND(OR(LEFT(TH!N1894,2)="15",LEFT(TH!O1894,2)="15"),TK!$E$7=TH!F1894),"x","")</f>
        <v/>
      </c>
      <c r="AD1894" s="79" t="str">
        <f>IF(AND(N1894="1521",MONTH(C1894)='BK-NL'!$M$11),"x","")</f>
        <v/>
      </c>
    </row>
    <row r="1895" spans="1:30" ht="16.5" customHeight="1">
      <c r="A1895" s="318" t="str">
        <f>IF(B1895&lt;&gt;"",IF(AND(B1895='IN-TC'!$S$4,OR(TH!N1895="1111",TH!O1895="1111")),TH!D1895,""),"")</f>
        <v/>
      </c>
      <c r="B1895" s="60" t="str">
        <f t="shared" si="224"/>
        <v/>
      </c>
      <c r="C1895" s="974"/>
      <c r="D1895" s="974"/>
      <c r="E1895" s="974"/>
      <c r="F1895" s="1131"/>
      <c r="G1895" s="976"/>
      <c r="H1895" s="759"/>
      <c r="I1895" s="383"/>
      <c r="J1895" s="390"/>
      <c r="K1895" s="383"/>
      <c r="L1895" s="390"/>
      <c r="M1895" s="978"/>
      <c r="N1895" s="979"/>
      <c r="O1895" s="979"/>
      <c r="P1895" s="79" t="str">
        <f>IF(AND('331-CT'!$E$7=TH!H1895,OR(N1895="331",O1895="331")),"x","")</f>
        <v/>
      </c>
      <c r="Q1895" s="79" t="str">
        <f>IF(AND(B1895='111'!$L$11,OR($N1895=$Q$7,$O1895=$Q$7)),"x","")</f>
        <v/>
      </c>
      <c r="R1895" s="79" t="str">
        <f>IF(AND($N1895=$Q$7,$B1895&lt;'111'!$L$11),"x","")</f>
        <v/>
      </c>
      <c r="S1895" s="79" t="str">
        <f>IF(AND($O1895=$Q$7,$B1895&lt;'111'!$L$11),"x","")</f>
        <v/>
      </c>
      <c r="T1895" s="79" t="str">
        <f>IF(ISERROR(FIND('112'!$M$9,G1895,1)),"",IF((AND(FIND('112'!$M$9,G1895,1)&gt;=1,B1895='112'!$K$9,OR($N1895='112'!$I$6,$O1895='112'!$I$6))),"x",""))</f>
        <v/>
      </c>
      <c r="U1895" s="79" t="str">
        <f>IF(ISERROR(FIND('112'!$M$9,G1895,1)),"",IF((AND(LEFT(G1895,2)=LEFT('112'!$M$9,2),B1895&lt;'112'!$K$9,$N1895='112'!$I$6)),"x",""))</f>
        <v/>
      </c>
      <c r="V1895" s="79" t="str">
        <f>IF(ISERROR(FIND('112'!$M$9,G1895,1)),"",IF((AND(RIGHT(G1895,2)=RIGHT('112'!$M$9,2),B1895&lt;'112'!$K$9,$O1895='112'!$I$6)),"x",""))</f>
        <v/>
      </c>
      <c r="W1895" s="79" t="str">
        <f>IF(AND('341-CT'!$H$9=H1895,OR(LEFT(N1895,3)=$W$7,LEFT(O1895,3)=$W$7)),"x","")</f>
        <v/>
      </c>
      <c r="X1895" s="79" t="str">
        <f>IF(OR(TH!N1895=TH!$X$7,O1895=TH!$X$7),"x","")</f>
        <v/>
      </c>
      <c r="Y1895" s="79" t="str">
        <f>IF(AND(OR(N1895="131",O1895="131"),H1895='131-CT'!$H$9),"x","")</f>
        <v/>
      </c>
      <c r="Z1895" s="79"/>
      <c r="AA1895" s="79" t="str">
        <f>IF(AND(MONTH(E1895)='IN-NX'!$J$5,'IN-NX'!$D$7=D1895),"x","")</f>
        <v/>
      </c>
      <c r="AB1895" s="79" t="str">
        <f>IF(AND(OR(LEFT(TH!N1895,2)="15",LEFT(TH!O1895,2)="15"),LEFT(TH!O1895,3)&lt;&gt;"111",'152-CT'!$J$8=TH!F1895),"x","")</f>
        <v/>
      </c>
      <c r="AC1895" s="79" t="str">
        <f>IF(AND(OR(LEFT(TH!N1895,2)="15",LEFT(TH!O1895,2)="15"),TK!$E$7=TH!F1895),"x","")</f>
        <v/>
      </c>
      <c r="AD1895" s="79" t="str">
        <f>IF(AND(N1895="1521",MONTH(C1895)='BK-NL'!$M$11),"x","")</f>
        <v/>
      </c>
    </row>
    <row r="1896" spans="1:30" ht="16.5" customHeight="1">
      <c r="A1896" s="318" t="str">
        <f>IF(B1896&lt;&gt;"",IF(AND(B1896='IN-TC'!$S$4,OR(TH!N1896="1111",TH!O1896="1111")),TH!D1896,""),"")</f>
        <v/>
      </c>
      <c r="B1896" s="60" t="str">
        <f t="shared" si="223"/>
        <v/>
      </c>
      <c r="C1896" s="974"/>
      <c r="D1896" s="974"/>
      <c r="E1896" s="974"/>
      <c r="F1896" s="1131"/>
      <c r="G1896" s="976"/>
      <c r="H1896" s="759"/>
      <c r="I1896" s="383"/>
      <c r="J1896" s="390"/>
      <c r="K1896" s="383"/>
      <c r="L1896" s="390"/>
      <c r="M1896" s="978"/>
      <c r="N1896" s="979"/>
      <c r="O1896" s="979"/>
      <c r="P1896" s="79" t="str">
        <f>IF(AND('331-CT'!$E$7=TH!H1896,OR(N1896="331",O1896="331")),"x","")</f>
        <v/>
      </c>
      <c r="Q1896" s="79" t="str">
        <f>IF(AND(B1896='111'!$L$11,OR($N1896=$Q$7,$O1896=$Q$7)),"x","")</f>
        <v/>
      </c>
      <c r="R1896" s="79" t="str">
        <f>IF(AND($N1896=$Q$7,$B1896&lt;'111'!$L$11),"x","")</f>
        <v/>
      </c>
      <c r="S1896" s="79" t="str">
        <f>IF(AND($O1896=$Q$7,$B1896&lt;'111'!$L$11),"x","")</f>
        <v/>
      </c>
      <c r="T1896" s="79" t="str">
        <f>IF(ISERROR(FIND('112'!$M$9,G1896,1)),"",IF((AND(FIND('112'!$M$9,G1896,1)&gt;=1,B1896='112'!$K$9,OR($N1896='112'!$I$6,$O1896='112'!$I$6))),"x",""))</f>
        <v/>
      </c>
      <c r="U1896" s="79" t="str">
        <f>IF(ISERROR(FIND('112'!$M$9,G1896,1)),"",IF((AND(LEFT(G1896,2)=LEFT('112'!$M$9,2),B1896&lt;'112'!$K$9,$N1896='112'!$I$6)),"x",""))</f>
        <v/>
      </c>
      <c r="V1896" s="79" t="str">
        <f>IF(ISERROR(FIND('112'!$M$9,G1896,1)),"",IF((AND(RIGHT(G1896,2)=RIGHT('112'!$M$9,2),B1896&lt;'112'!$K$9,$O1896='112'!$I$6)),"x",""))</f>
        <v/>
      </c>
      <c r="W1896" s="79" t="str">
        <f>IF(AND('341-CT'!$H$9=H1896,OR(LEFT(N1896,3)=$W$7,LEFT(O1896,3)=$W$7)),"x","")</f>
        <v/>
      </c>
      <c r="X1896" s="79" t="str">
        <f>IF(OR(TH!N1896=TH!$X$7,O1896=TH!$X$7),"x","")</f>
        <v/>
      </c>
      <c r="Y1896" s="79" t="str">
        <f>IF(AND(OR(N1896="131",O1896="131"),H1896='131-CT'!$H$9),"x","")</f>
        <v/>
      </c>
      <c r="Z1896" s="79"/>
      <c r="AA1896" s="79" t="str">
        <f>IF(AND(MONTH(E1896)='IN-NX'!$J$5,'IN-NX'!$D$7=D1896),"x","")</f>
        <v/>
      </c>
      <c r="AB1896" s="79" t="str">
        <f>IF(AND(OR(LEFT(TH!N1896,2)="15",LEFT(TH!O1896,2)="15"),LEFT(TH!O1896,3)&lt;&gt;"111",'152-CT'!$J$8=TH!F1896),"x","")</f>
        <v/>
      </c>
      <c r="AC1896" s="79" t="str">
        <f>IF(AND(OR(LEFT(TH!N1896,2)="15",LEFT(TH!O1896,2)="15"),TK!$E$7=TH!F1896),"x","")</f>
        <v/>
      </c>
      <c r="AD1896" s="79" t="str">
        <f>IF(AND(N1896="1521",MONTH(C1896)='BK-NL'!$M$11),"x","")</f>
        <v/>
      </c>
    </row>
    <row r="1897" spans="1:30" ht="16.5" customHeight="1">
      <c r="A1897" s="318" t="str">
        <f>IF(B1897&lt;&gt;"",IF(AND(B1897='IN-TC'!$S$4,OR(TH!N1897="1111",TH!O1897="1111")),TH!D1897,""),"")</f>
        <v/>
      </c>
      <c r="B1897" s="60" t="str">
        <f t="shared" si="223"/>
        <v/>
      </c>
      <c r="C1897" s="974"/>
      <c r="D1897" s="974"/>
      <c r="E1897" s="974"/>
      <c r="F1897" s="1131"/>
      <c r="G1897" s="976"/>
      <c r="H1897" s="759"/>
      <c r="I1897" s="383"/>
      <c r="J1897" s="390"/>
      <c r="K1897" s="383"/>
      <c r="L1897" s="390"/>
      <c r="M1897" s="978"/>
      <c r="N1897" s="979"/>
      <c r="O1897" s="979"/>
      <c r="P1897" s="79" t="str">
        <f>IF(AND('331-CT'!$E$7=TH!H1897,OR(N1897="331",O1897="331")),"x","")</f>
        <v/>
      </c>
      <c r="Q1897" s="79" t="str">
        <f>IF(AND(B1897='111'!$L$11,OR($N1897=$Q$7,$O1897=$Q$7)),"x","")</f>
        <v/>
      </c>
      <c r="R1897" s="79" t="str">
        <f>IF(AND($N1897=$Q$7,$B1897&lt;'111'!$L$11),"x","")</f>
        <v/>
      </c>
      <c r="S1897" s="79" t="str">
        <f>IF(AND($O1897=$Q$7,$B1897&lt;'111'!$L$11),"x","")</f>
        <v/>
      </c>
      <c r="T1897" s="79" t="str">
        <f>IF(ISERROR(FIND('112'!$M$9,G1897,1)),"",IF((AND(FIND('112'!$M$9,G1897,1)&gt;=1,B1897='112'!$K$9,OR($N1897='112'!$I$6,$O1897='112'!$I$6))),"x",""))</f>
        <v/>
      </c>
      <c r="U1897" s="79" t="str">
        <f>IF(ISERROR(FIND('112'!$M$9,G1897,1)),"",IF((AND(LEFT(G1897,2)=LEFT('112'!$M$9,2),B1897&lt;'112'!$K$9,$N1897='112'!$I$6)),"x",""))</f>
        <v/>
      </c>
      <c r="V1897" s="79" t="str">
        <f>IF(ISERROR(FIND('112'!$M$9,G1897,1)),"",IF((AND(RIGHT(G1897,2)=RIGHT('112'!$M$9,2),B1897&lt;'112'!$K$9,$O1897='112'!$I$6)),"x",""))</f>
        <v/>
      </c>
      <c r="W1897" s="79" t="str">
        <f>IF(AND('341-CT'!$H$9=H1897,OR(LEFT(N1897,3)=$W$7,LEFT(O1897,3)=$W$7)),"x","")</f>
        <v/>
      </c>
      <c r="X1897" s="79" t="str">
        <f>IF(OR(TH!N1897=TH!$X$7,O1897=TH!$X$7),"x","")</f>
        <v/>
      </c>
      <c r="Y1897" s="79" t="str">
        <f>IF(AND(OR(N1897="131",O1897="131"),H1897='131-CT'!$H$9),"x","")</f>
        <v/>
      </c>
      <c r="Z1897" s="79"/>
      <c r="AA1897" s="79" t="str">
        <f>IF(AND(MONTH(E1897)='IN-NX'!$J$5,'IN-NX'!$D$7=D1897),"x","")</f>
        <v/>
      </c>
      <c r="AB1897" s="79" t="str">
        <f>IF(AND(OR(LEFT(TH!N1897,2)="15",LEFT(TH!O1897,2)="15"),LEFT(TH!O1897,3)&lt;&gt;"111",'152-CT'!$J$8=TH!F1897),"x","")</f>
        <v/>
      </c>
      <c r="AC1897" s="79" t="str">
        <f>IF(AND(OR(LEFT(TH!N1897,2)="15",LEFT(TH!O1897,2)="15"),TK!$E$7=TH!F1897),"x","")</f>
        <v/>
      </c>
      <c r="AD1897" s="79" t="str">
        <f>IF(AND(N1897="1521",MONTH(C1897)='BK-NL'!$M$11),"x","")</f>
        <v/>
      </c>
    </row>
    <row r="1898" spans="1:30" ht="16.5" customHeight="1">
      <c r="A1898" s="318" t="str">
        <f>IF(B1898&lt;&gt;"",IF(AND(B1898='IN-TC'!$S$4,OR(TH!N1898="1111",TH!O1898="1111")),TH!D1898,""),"")</f>
        <v/>
      </c>
      <c r="B1898" s="60" t="str">
        <f t="shared" si="223"/>
        <v/>
      </c>
      <c r="C1898" s="974"/>
      <c r="D1898" s="974"/>
      <c r="E1898" s="974"/>
      <c r="F1898" s="1131"/>
      <c r="G1898" s="976"/>
      <c r="H1898" s="759"/>
      <c r="I1898" s="383"/>
      <c r="J1898" s="390"/>
      <c r="K1898" s="383"/>
      <c r="L1898" s="390"/>
      <c r="M1898" s="978"/>
      <c r="N1898" s="979"/>
      <c r="O1898" s="979"/>
      <c r="P1898" s="79" t="str">
        <f>IF(AND('331-CT'!$E$7=TH!H1898,OR(N1898="331",O1898="331")),"x","")</f>
        <v/>
      </c>
      <c r="Q1898" s="79" t="str">
        <f>IF(AND(B1898='111'!$L$11,OR($N1898=$Q$7,$O1898=$Q$7)),"x","")</f>
        <v/>
      </c>
      <c r="R1898" s="79" t="str">
        <f>IF(AND($N1898=$Q$7,$B1898&lt;'111'!$L$11),"x","")</f>
        <v/>
      </c>
      <c r="S1898" s="79" t="str">
        <f>IF(AND($O1898=$Q$7,$B1898&lt;'111'!$L$11),"x","")</f>
        <v/>
      </c>
      <c r="T1898" s="79" t="str">
        <f>IF(ISERROR(FIND('112'!$M$9,G1898,1)),"",IF((AND(FIND('112'!$M$9,G1898,1)&gt;=1,B1898='112'!$K$9,OR($N1898='112'!$I$6,$O1898='112'!$I$6))),"x",""))</f>
        <v/>
      </c>
      <c r="U1898" s="79" t="str">
        <f>IF(ISERROR(FIND('112'!$M$9,G1898,1)),"",IF((AND(LEFT(G1898,2)=LEFT('112'!$M$9,2),B1898&lt;'112'!$K$9,$N1898='112'!$I$6)),"x",""))</f>
        <v/>
      </c>
      <c r="V1898" s="79" t="str">
        <f>IF(ISERROR(FIND('112'!$M$9,G1898,1)),"",IF((AND(RIGHT(G1898,2)=RIGHT('112'!$M$9,2),B1898&lt;'112'!$K$9,$O1898='112'!$I$6)),"x",""))</f>
        <v/>
      </c>
      <c r="W1898" s="79" t="str">
        <f>IF(AND('341-CT'!$H$9=H1898,OR(LEFT(N1898,3)=$W$7,LEFT(O1898,3)=$W$7)),"x","")</f>
        <v/>
      </c>
      <c r="X1898" s="79" t="str">
        <f>IF(OR(TH!N1898=TH!$X$7,O1898=TH!$X$7),"x","")</f>
        <v/>
      </c>
      <c r="Y1898" s="79" t="str">
        <f>IF(AND(OR(N1898="131",O1898="131"),H1898='131-CT'!$H$9),"x","")</f>
        <v/>
      </c>
      <c r="Z1898" s="79"/>
      <c r="AA1898" s="79" t="str">
        <f>IF(AND(MONTH(E1898)='IN-NX'!$J$5,'IN-NX'!$D$7=D1898),"x","")</f>
        <v/>
      </c>
      <c r="AB1898" s="79" t="str">
        <f>IF(AND(OR(LEFT(TH!N1898,2)="15",LEFT(TH!O1898,2)="15"),LEFT(TH!O1898,3)&lt;&gt;"111",'152-CT'!$J$8=TH!F1898),"x","")</f>
        <v/>
      </c>
      <c r="AC1898" s="79" t="str">
        <f>IF(AND(OR(LEFT(TH!N1898,2)="15",LEFT(TH!O1898,2)="15"),TK!$E$7=TH!F1898),"x","")</f>
        <v/>
      </c>
      <c r="AD1898" s="79" t="str">
        <f>IF(AND(N1898="1521",MONTH(C1898)='BK-NL'!$M$11),"x","")</f>
        <v/>
      </c>
    </row>
    <row r="1899" spans="1:30" ht="16.5" customHeight="1">
      <c r="A1899" s="318" t="str">
        <f>IF(B1899&lt;&gt;"",IF(AND(B1899='IN-TC'!$S$4,OR(TH!N1899="1111",TH!O1899="1111")),TH!D1899,""),"")</f>
        <v/>
      </c>
      <c r="B1899" s="60" t="str">
        <f t="shared" si="222"/>
        <v/>
      </c>
      <c r="C1899" s="974"/>
      <c r="D1899" s="974"/>
      <c r="E1899" s="974"/>
      <c r="F1899" s="1131"/>
      <c r="G1899" s="976"/>
      <c r="H1899" s="759"/>
      <c r="I1899" s="383"/>
      <c r="J1899" s="390"/>
      <c r="K1899" s="383"/>
      <c r="L1899" s="390"/>
      <c r="M1899" s="978"/>
      <c r="N1899" s="979"/>
      <c r="O1899" s="979"/>
      <c r="P1899" s="79" t="str">
        <f>IF(AND('331-CT'!$E$7=TH!H1899,OR(N1899="331",O1899="331")),"x","")</f>
        <v/>
      </c>
      <c r="Q1899" s="79" t="str">
        <f>IF(AND(B1899='111'!$L$11,OR($N1899=$Q$7,$O1899=$Q$7)),"x","")</f>
        <v/>
      </c>
      <c r="R1899" s="79" t="str">
        <f>IF(AND($N1899=$Q$7,$B1899&lt;'111'!$L$11),"x","")</f>
        <v/>
      </c>
      <c r="S1899" s="79" t="str">
        <f>IF(AND($O1899=$Q$7,$B1899&lt;'111'!$L$11),"x","")</f>
        <v/>
      </c>
      <c r="T1899" s="79" t="str">
        <f>IF(ISERROR(FIND('112'!$M$9,G1899,1)),"",IF((AND(FIND('112'!$M$9,G1899,1)&gt;=1,B1899='112'!$K$9,OR($N1899='112'!$I$6,$O1899='112'!$I$6))),"x",""))</f>
        <v/>
      </c>
      <c r="U1899" s="79" t="str">
        <f>IF(ISERROR(FIND('112'!$M$9,G1899,1)),"",IF((AND(LEFT(G1899,2)=LEFT('112'!$M$9,2),B1899&lt;'112'!$K$9,$N1899='112'!$I$6)),"x",""))</f>
        <v/>
      </c>
      <c r="V1899" s="79" t="str">
        <f>IF(ISERROR(FIND('112'!$M$9,G1899,1)),"",IF((AND(RIGHT(G1899,2)=RIGHT('112'!$M$9,2),B1899&lt;'112'!$K$9,$O1899='112'!$I$6)),"x",""))</f>
        <v/>
      </c>
      <c r="W1899" s="79" t="str">
        <f>IF(AND('341-CT'!$H$9=H1899,OR(LEFT(N1899,3)=$W$7,LEFT(O1899,3)=$W$7)),"x","")</f>
        <v/>
      </c>
      <c r="X1899" s="79" t="str">
        <f>IF(OR(TH!N1899=TH!$X$7,O1899=TH!$X$7),"x","")</f>
        <v/>
      </c>
      <c r="Y1899" s="79" t="str">
        <f>IF(AND(OR(N1899="131",O1899="131"),H1899='131-CT'!$H$9),"x","")</f>
        <v/>
      </c>
      <c r="Z1899" s="79"/>
      <c r="AA1899" s="79" t="str">
        <f>IF(AND(MONTH(E1899)='IN-NX'!$J$5,'IN-NX'!$D$7=D1899),"x","")</f>
        <v/>
      </c>
      <c r="AB1899" s="79" t="str">
        <f>IF(AND(OR(LEFT(TH!N1899,2)="15",LEFT(TH!O1899,2)="15"),LEFT(TH!O1899,3)&lt;&gt;"111",'152-CT'!$J$8=TH!F1899),"x","")</f>
        <v/>
      </c>
      <c r="AC1899" s="79" t="str">
        <f>IF(AND(OR(LEFT(TH!N1899,2)="15",LEFT(TH!O1899,2)="15"),TK!$E$7=TH!F1899),"x","")</f>
        <v/>
      </c>
      <c r="AD1899" s="79" t="str">
        <f>IF(AND(N1899="1521",MONTH(C1899)='BK-NL'!$M$11),"x","")</f>
        <v/>
      </c>
    </row>
    <row r="1900" spans="1:30" ht="16.5" customHeight="1">
      <c r="A1900" s="318" t="str">
        <f>IF(B1900&lt;&gt;"",IF(AND(B1900='IN-TC'!$S$4,OR(TH!N1900="1111",TH!O1900="1111")),TH!D1900,""),"")</f>
        <v/>
      </c>
      <c r="B1900" s="60" t="str">
        <f t="shared" si="222"/>
        <v/>
      </c>
      <c r="C1900" s="974"/>
      <c r="D1900" s="974"/>
      <c r="E1900" s="974"/>
      <c r="F1900" s="1131"/>
      <c r="G1900" s="976"/>
      <c r="H1900" s="759"/>
      <c r="I1900" s="383"/>
      <c r="J1900" s="390"/>
      <c r="K1900" s="383"/>
      <c r="L1900" s="390"/>
      <c r="M1900" s="978"/>
      <c r="N1900" s="979"/>
      <c r="O1900" s="979"/>
      <c r="P1900" s="79" t="str">
        <f>IF(AND('331-CT'!$E$7=TH!H1900,OR(N1900="331",O1900="331")),"x","")</f>
        <v/>
      </c>
      <c r="Q1900" s="79" t="str">
        <f>IF(AND(B1900='111'!$L$11,OR($N1900=$Q$7,$O1900=$Q$7)),"x","")</f>
        <v/>
      </c>
      <c r="R1900" s="79" t="str">
        <f>IF(AND($N1900=$Q$7,$B1900&lt;'111'!$L$11),"x","")</f>
        <v/>
      </c>
      <c r="S1900" s="79" t="str">
        <f>IF(AND($O1900=$Q$7,$B1900&lt;'111'!$L$11),"x","")</f>
        <v/>
      </c>
      <c r="T1900" s="79" t="str">
        <f>IF(ISERROR(FIND('112'!$M$9,G1900,1)),"",IF((AND(FIND('112'!$M$9,G1900,1)&gt;=1,B1900='112'!$K$9,OR($N1900='112'!$I$6,$O1900='112'!$I$6))),"x",""))</f>
        <v/>
      </c>
      <c r="U1900" s="79" t="str">
        <f>IF(ISERROR(FIND('112'!$M$9,G1900,1)),"",IF((AND(LEFT(G1900,2)=LEFT('112'!$M$9,2),B1900&lt;'112'!$K$9,$N1900='112'!$I$6)),"x",""))</f>
        <v/>
      </c>
      <c r="V1900" s="79" t="str">
        <f>IF(ISERROR(FIND('112'!$M$9,G1900,1)),"",IF((AND(RIGHT(G1900,2)=RIGHT('112'!$M$9,2),B1900&lt;'112'!$K$9,$O1900='112'!$I$6)),"x",""))</f>
        <v/>
      </c>
      <c r="W1900" s="79" t="str">
        <f>IF(AND('341-CT'!$H$9=H1900,OR(LEFT(N1900,3)=$W$7,LEFT(O1900,3)=$W$7)),"x","")</f>
        <v/>
      </c>
      <c r="X1900" s="79" t="str">
        <f>IF(OR(TH!N1900=TH!$X$7,O1900=TH!$X$7),"x","")</f>
        <v/>
      </c>
      <c r="Y1900" s="79" t="str">
        <f>IF(AND(OR(N1900="131",O1900="131"),H1900='131-CT'!$H$9),"x","")</f>
        <v/>
      </c>
      <c r="Z1900" s="79"/>
      <c r="AA1900" s="79" t="str">
        <f>IF(AND(MONTH(E1900)='IN-NX'!$J$5,'IN-NX'!$D$7=D1900),"x","")</f>
        <v/>
      </c>
      <c r="AB1900" s="79" t="str">
        <f>IF(AND(OR(LEFT(TH!N1900,2)="15",LEFT(TH!O1900,2)="15"),LEFT(TH!O1900,3)&lt;&gt;"111",'152-CT'!$J$8=TH!F1900),"x","")</f>
        <v/>
      </c>
      <c r="AC1900" s="79" t="str">
        <f>IF(AND(OR(LEFT(TH!N1900,2)="15",LEFT(TH!O1900,2)="15"),TK!$E$7=TH!F1900),"x","")</f>
        <v/>
      </c>
      <c r="AD1900" s="79" t="str">
        <f>IF(AND(N1900="1521",MONTH(C1900)='BK-NL'!$M$11),"x","")</f>
        <v/>
      </c>
    </row>
    <row r="1901" spans="1:30" ht="16.5" customHeight="1">
      <c r="A1901" s="318" t="str">
        <f>IF(B1901&lt;&gt;"",IF(AND(B1901='IN-TC'!$S$4,OR(TH!N1901="1111",TH!O1901="1111")),TH!D1901,""),"")</f>
        <v/>
      </c>
      <c r="B1901" s="60" t="str">
        <f t="shared" si="220"/>
        <v/>
      </c>
      <c r="C1901" s="974"/>
      <c r="D1901" s="974"/>
      <c r="E1901" s="974"/>
      <c r="F1901" s="1131"/>
      <c r="G1901" s="976"/>
      <c r="H1901" s="759"/>
      <c r="I1901" s="383"/>
      <c r="J1901" s="390"/>
      <c r="K1901" s="383"/>
      <c r="L1901" s="390"/>
      <c r="M1901" s="978"/>
      <c r="N1901" s="979"/>
      <c r="O1901" s="979"/>
      <c r="P1901" s="79" t="str">
        <f>IF(AND('331-CT'!$E$7=TH!H1901,OR(N1901="331",O1901="331")),"x","")</f>
        <v/>
      </c>
      <c r="Q1901" s="79" t="str">
        <f>IF(AND(B1901='111'!$L$11,OR($N1901=$Q$7,$O1901=$Q$7)),"x","")</f>
        <v/>
      </c>
      <c r="R1901" s="79" t="str">
        <f>IF(AND($N1901=$Q$7,$B1901&lt;'111'!$L$11),"x","")</f>
        <v/>
      </c>
      <c r="S1901" s="79" t="str">
        <f>IF(AND($O1901=$Q$7,$B1901&lt;'111'!$L$11),"x","")</f>
        <v/>
      </c>
      <c r="T1901" s="79" t="str">
        <f>IF(ISERROR(FIND('112'!$M$9,G1901,1)),"",IF((AND(FIND('112'!$M$9,G1901,1)&gt;=1,B1901='112'!$K$9,OR($N1901='112'!$I$6,$O1901='112'!$I$6))),"x",""))</f>
        <v/>
      </c>
      <c r="U1901" s="79" t="str">
        <f>IF(ISERROR(FIND('112'!$M$9,G1901,1)),"",IF((AND(LEFT(G1901,2)=LEFT('112'!$M$9,2),B1901&lt;'112'!$K$9,$N1901='112'!$I$6)),"x",""))</f>
        <v/>
      </c>
      <c r="V1901" s="79" t="str">
        <f>IF(ISERROR(FIND('112'!$M$9,G1901,1)),"",IF((AND(RIGHT(G1901,2)=RIGHT('112'!$M$9,2),B1901&lt;'112'!$K$9,$O1901='112'!$I$6)),"x",""))</f>
        <v/>
      </c>
      <c r="W1901" s="79" t="str">
        <f>IF(AND('341-CT'!$H$9=H1901,OR(LEFT(N1901,3)=$W$7,LEFT(O1901,3)=$W$7)),"x","")</f>
        <v/>
      </c>
      <c r="X1901" s="79" t="str">
        <f>IF(OR(TH!N1901=TH!$X$7,O1901=TH!$X$7),"x","")</f>
        <v/>
      </c>
      <c r="Y1901" s="79" t="str">
        <f>IF(AND(OR(N1901="131",O1901="131"),H1901='131-CT'!$H$9),"x","")</f>
        <v/>
      </c>
      <c r="Z1901" s="79"/>
      <c r="AA1901" s="79" t="str">
        <f>IF(AND(MONTH(E1901)='IN-NX'!$J$5,'IN-NX'!$D$7=D1901),"x","")</f>
        <v/>
      </c>
      <c r="AB1901" s="79" t="str">
        <f>IF(AND(OR(LEFT(TH!N1901,2)="15",LEFT(TH!O1901,2)="15"),LEFT(TH!O1901,3)&lt;&gt;"111",'152-CT'!$J$8=TH!F1901),"x","")</f>
        <v/>
      </c>
      <c r="AC1901" s="79" t="str">
        <f>IF(AND(OR(LEFT(TH!N1901,2)="15",LEFT(TH!O1901,2)="15"),TK!$E$7=TH!F1901),"x","")</f>
        <v/>
      </c>
      <c r="AD1901" s="79" t="str">
        <f>IF(AND(N1901="1521",MONTH(C1901)='BK-NL'!$M$11),"x","")</f>
        <v/>
      </c>
    </row>
    <row r="1902" spans="1:30" ht="16.5" customHeight="1">
      <c r="A1902" s="318" t="str">
        <f>IF(B1902&lt;&gt;"",IF(AND(B1902='IN-TC'!$S$4,OR(TH!N1902="1111",TH!O1902="1111")),TH!D1902,""),"")</f>
        <v/>
      </c>
      <c r="B1902" s="60" t="str">
        <f t="shared" si="220"/>
        <v/>
      </c>
      <c r="C1902" s="974"/>
      <c r="D1902" s="974"/>
      <c r="E1902" s="974"/>
      <c r="F1902" s="305"/>
      <c r="G1902" s="976"/>
      <c r="H1902" s="759"/>
      <c r="I1902" s="383"/>
      <c r="J1902" s="390"/>
      <c r="K1902" s="383"/>
      <c r="L1902" s="390"/>
      <c r="M1902" s="978"/>
      <c r="N1902" s="979"/>
      <c r="O1902" s="979"/>
      <c r="P1902" s="79" t="str">
        <f>IF(AND('331-CT'!$E$7=TH!H1902,OR(N1902="331",O1902="331")),"x","")</f>
        <v/>
      </c>
      <c r="Q1902" s="79" t="str">
        <f>IF(AND(B1902='111'!$L$11,OR($N1902=$Q$7,$O1902=$Q$7)),"x","")</f>
        <v/>
      </c>
      <c r="R1902" s="79" t="str">
        <f>IF(AND($N1902=$Q$7,$B1902&lt;'111'!$L$11),"x","")</f>
        <v/>
      </c>
      <c r="S1902" s="79" t="str">
        <f>IF(AND($O1902=$Q$7,$B1902&lt;'111'!$L$11),"x","")</f>
        <v/>
      </c>
      <c r="T1902" s="79" t="str">
        <f>IF(ISERROR(FIND('112'!$M$9,G1902,1)),"",IF((AND(FIND('112'!$M$9,G1902,1)&gt;=1,B1902='112'!$K$9,OR($N1902='112'!$I$6,$O1902='112'!$I$6))),"x",""))</f>
        <v/>
      </c>
      <c r="U1902" s="79" t="str">
        <f>IF(ISERROR(FIND('112'!$M$9,G1902,1)),"",IF((AND(LEFT(G1902,2)=LEFT('112'!$M$9,2),B1902&lt;'112'!$K$9,$N1902='112'!$I$6)),"x",""))</f>
        <v/>
      </c>
      <c r="V1902" s="79" t="str">
        <f>IF(ISERROR(FIND('112'!$M$9,G1902,1)),"",IF((AND(RIGHT(G1902,2)=RIGHT('112'!$M$9,2),B1902&lt;'112'!$K$9,$O1902='112'!$I$6)),"x",""))</f>
        <v/>
      </c>
      <c r="W1902" s="79" t="str">
        <f>IF(AND('341-CT'!$H$9=H1902,OR(LEFT(N1902,3)=$W$7,LEFT(O1902,3)=$W$7)),"x","")</f>
        <v/>
      </c>
      <c r="X1902" s="79" t="str">
        <f>IF(OR(TH!N1902=TH!$X$7,O1902=TH!$X$7),"x","")</f>
        <v/>
      </c>
      <c r="Y1902" s="79" t="str">
        <f>IF(AND(OR(N1902="131",O1902="131"),H1902='131-CT'!$H$9),"x","")</f>
        <v/>
      </c>
      <c r="Z1902" s="79"/>
      <c r="AA1902" s="79" t="str">
        <f>IF(AND(MONTH(E1902)='IN-NX'!$J$5,'IN-NX'!$D$7=D1902),"x","")</f>
        <v/>
      </c>
      <c r="AB1902" s="79" t="str">
        <f>IF(AND(OR(LEFT(TH!N1902,2)="15",LEFT(TH!O1902,2)="15"),LEFT(TH!O1902,3)&lt;&gt;"111",'152-CT'!$J$8=TH!F1902),"x","")</f>
        <v/>
      </c>
      <c r="AC1902" s="79" t="str">
        <f>IF(AND(OR(LEFT(TH!N1902,2)="15",LEFT(TH!O1902,2)="15"),TK!$E$7=TH!F1902),"x","")</f>
        <v/>
      </c>
      <c r="AD1902" s="79" t="str">
        <f>IF(AND(N1902="1521",MONTH(C1902)='BK-NL'!$M$11),"x","")</f>
        <v/>
      </c>
    </row>
    <row r="1903" spans="1:30" ht="16.5" customHeight="1">
      <c r="A1903" s="318" t="str">
        <f>IF(B1903&lt;&gt;"",IF(AND(B1903='IN-TC'!$S$4,OR(TH!N1903="1111",TH!O1903="1111")),TH!D1903,""),"")</f>
        <v/>
      </c>
      <c r="B1903" s="60" t="str">
        <f t="shared" si="220"/>
        <v/>
      </c>
      <c r="C1903" s="974"/>
      <c r="D1903" s="974"/>
      <c r="E1903" s="974"/>
      <c r="F1903" s="305"/>
      <c r="G1903" s="976"/>
      <c r="H1903" s="759"/>
      <c r="I1903" s="383"/>
      <c r="J1903" s="390"/>
      <c r="K1903" s="383"/>
      <c r="L1903" s="390"/>
      <c r="M1903" s="978"/>
      <c r="N1903" s="979"/>
      <c r="O1903" s="979"/>
      <c r="P1903" s="79" t="str">
        <f>IF(AND('331-CT'!$E$7=TH!H1903,OR(N1903="331",O1903="331")),"x","")</f>
        <v/>
      </c>
      <c r="Q1903" s="79" t="str">
        <f>IF(AND(B1903='111'!$L$11,OR($N1903=$Q$7,$O1903=$Q$7)),"x","")</f>
        <v/>
      </c>
      <c r="R1903" s="79" t="str">
        <f>IF(AND($N1903=$Q$7,$B1903&lt;'111'!$L$11),"x","")</f>
        <v/>
      </c>
      <c r="S1903" s="79" t="str">
        <f>IF(AND($O1903=$Q$7,$B1903&lt;'111'!$L$11),"x","")</f>
        <v/>
      </c>
      <c r="T1903" s="79" t="str">
        <f>IF(ISERROR(FIND('112'!$M$9,G1903,1)),"",IF((AND(FIND('112'!$M$9,G1903,1)&gt;=1,B1903='112'!$K$9,OR($N1903='112'!$I$6,$O1903='112'!$I$6))),"x",""))</f>
        <v/>
      </c>
      <c r="U1903" s="79" t="str">
        <f>IF(ISERROR(FIND('112'!$M$9,G1903,1)),"",IF((AND(LEFT(G1903,2)=LEFT('112'!$M$9,2),B1903&lt;'112'!$K$9,$N1903='112'!$I$6)),"x",""))</f>
        <v/>
      </c>
      <c r="V1903" s="79" t="str">
        <f>IF(ISERROR(FIND('112'!$M$9,G1903,1)),"",IF((AND(RIGHT(G1903,2)=RIGHT('112'!$M$9,2),B1903&lt;'112'!$K$9,$O1903='112'!$I$6)),"x",""))</f>
        <v/>
      </c>
      <c r="W1903" s="79" t="str">
        <f>IF(AND('341-CT'!$H$9=H1903,OR(LEFT(N1903,3)=$W$7,LEFT(O1903,3)=$W$7)),"x","")</f>
        <v/>
      </c>
      <c r="X1903" s="79" t="str">
        <f>IF(OR(TH!N1903=TH!$X$7,O1903=TH!$X$7),"x","")</f>
        <v/>
      </c>
      <c r="Y1903" s="79" t="str">
        <f>IF(AND(OR(N1903="131",O1903="131"),H1903='131-CT'!$H$9),"x","")</f>
        <v/>
      </c>
      <c r="Z1903" s="79"/>
      <c r="AA1903" s="79" t="str">
        <f>IF(AND(MONTH(E1903)='IN-NX'!$J$5,'IN-NX'!$D$7=D1903),"x","")</f>
        <v/>
      </c>
      <c r="AB1903" s="79" t="str">
        <f>IF(AND(OR(LEFT(TH!N1903,2)="15",LEFT(TH!O1903,2)="15"),LEFT(TH!O1903,3)&lt;&gt;"111",'152-CT'!$J$8=TH!F1903),"x","")</f>
        <v/>
      </c>
      <c r="AC1903" s="79" t="str">
        <f>IF(AND(OR(LEFT(TH!N1903,2)="15",LEFT(TH!O1903,2)="15"),TK!$E$7=TH!F1903),"x","")</f>
        <v/>
      </c>
      <c r="AD1903" s="79" t="str">
        <f>IF(AND(N1903="1521",MONTH(C1903)='BK-NL'!$M$11),"x","")</f>
        <v/>
      </c>
    </row>
    <row r="1904" spans="1:30" ht="16.5" customHeight="1">
      <c r="A1904" s="318" t="str">
        <f>IF(B1904&lt;&gt;"",IF(AND(B1904='IN-TC'!$S$4,OR(TH!N1904="1111",TH!O1904="1111")),TH!D1904,""),"")</f>
        <v/>
      </c>
      <c r="B1904" s="60" t="str">
        <f t="shared" si="220"/>
        <v/>
      </c>
      <c r="C1904" s="974"/>
      <c r="D1904" s="974"/>
      <c r="E1904" s="974"/>
      <c r="F1904" s="1131"/>
      <c r="G1904" s="976"/>
      <c r="H1904" s="759"/>
      <c r="I1904" s="383"/>
      <c r="J1904" s="390"/>
      <c r="K1904" s="383"/>
      <c r="L1904" s="390"/>
      <c r="M1904" s="978"/>
      <c r="N1904" s="979"/>
      <c r="O1904" s="979"/>
      <c r="P1904" s="79" t="str">
        <f>IF(AND('331-CT'!$E$7=TH!H1904,OR(N1904="331",O1904="331")),"x","")</f>
        <v/>
      </c>
      <c r="Q1904" s="79" t="str">
        <f>IF(AND(B1904='111'!$L$11,OR($N1904=$Q$7,$O1904=$Q$7)),"x","")</f>
        <v/>
      </c>
      <c r="R1904" s="79" t="str">
        <f>IF(AND($N1904=$Q$7,$B1904&lt;'111'!$L$11),"x","")</f>
        <v/>
      </c>
      <c r="S1904" s="79" t="str">
        <f>IF(AND($O1904=$Q$7,$B1904&lt;'111'!$L$11),"x","")</f>
        <v/>
      </c>
      <c r="T1904" s="79" t="str">
        <f>IF(ISERROR(FIND('112'!$M$9,G1904,1)),"",IF((AND(FIND('112'!$M$9,G1904,1)&gt;=1,B1904='112'!$K$9,OR($N1904='112'!$I$6,$O1904='112'!$I$6))),"x",""))</f>
        <v/>
      </c>
      <c r="U1904" s="79" t="str">
        <f>IF(ISERROR(FIND('112'!$M$9,G1904,1)),"",IF((AND(LEFT(G1904,2)=LEFT('112'!$M$9,2),B1904&lt;'112'!$K$9,$N1904='112'!$I$6)),"x",""))</f>
        <v/>
      </c>
      <c r="V1904" s="79" t="str">
        <f>IF(ISERROR(FIND('112'!$M$9,G1904,1)),"",IF((AND(RIGHT(G1904,2)=RIGHT('112'!$M$9,2),B1904&lt;'112'!$K$9,$O1904='112'!$I$6)),"x",""))</f>
        <v/>
      </c>
      <c r="W1904" s="79" t="str">
        <f>IF(AND('341-CT'!$H$9=H1904,OR(LEFT(N1904,3)=$W$7,LEFT(O1904,3)=$W$7)),"x","")</f>
        <v/>
      </c>
      <c r="X1904" s="79" t="str">
        <f>IF(OR(TH!N1904=TH!$X$7,O1904=TH!$X$7),"x","")</f>
        <v/>
      </c>
      <c r="Y1904" s="79" t="str">
        <f>IF(AND(OR(N1904="131",O1904="131"),H1904='131-CT'!$H$9),"x","")</f>
        <v/>
      </c>
      <c r="Z1904" s="79"/>
      <c r="AA1904" s="79" t="str">
        <f>IF(AND(MONTH(E1904)='IN-NX'!$J$5,'IN-NX'!$D$7=D1904),"x","")</f>
        <v/>
      </c>
      <c r="AB1904" s="79" t="str">
        <f>IF(AND(OR(LEFT(TH!N1904,2)="15",LEFT(TH!O1904,2)="15"),LEFT(TH!O1904,3)&lt;&gt;"111",'152-CT'!$J$8=TH!F1904),"x","")</f>
        <v/>
      </c>
      <c r="AC1904" s="79" t="str">
        <f>IF(AND(OR(LEFT(TH!N1904,2)="15",LEFT(TH!O1904,2)="15"),TK!$E$7=TH!F1904),"x","")</f>
        <v/>
      </c>
      <c r="AD1904" s="79" t="str">
        <f>IF(AND(N1904="1521",MONTH(C1904)='BK-NL'!$M$11),"x","")</f>
        <v/>
      </c>
    </row>
    <row r="1905" spans="1:30" ht="16.5" customHeight="1">
      <c r="A1905" s="318" t="str">
        <f>IF(B1905&lt;&gt;"",IF(AND(B1905='IN-TC'!$S$4,OR(TH!N1905="1111",TH!O1905="1111")),TH!D1905,""),"")</f>
        <v/>
      </c>
      <c r="B1905" s="60" t="str">
        <f t="shared" si="220"/>
        <v/>
      </c>
      <c r="C1905" s="974"/>
      <c r="D1905" s="974"/>
      <c r="E1905" s="974"/>
      <c r="F1905" s="1131"/>
      <c r="G1905" s="976"/>
      <c r="H1905" s="759"/>
      <c r="I1905" s="383"/>
      <c r="J1905" s="390"/>
      <c r="K1905" s="383"/>
      <c r="L1905" s="390"/>
      <c r="M1905" s="978"/>
      <c r="N1905" s="979"/>
      <c r="O1905" s="979"/>
      <c r="P1905" s="79" t="str">
        <f>IF(AND('331-CT'!$E$7=TH!H1905,OR(N1905="331",O1905="331")),"x","")</f>
        <v/>
      </c>
      <c r="Q1905" s="79" t="str">
        <f>IF(AND(B1905='111'!$L$11,OR($N1905=$Q$7,$O1905=$Q$7)),"x","")</f>
        <v/>
      </c>
      <c r="R1905" s="79" t="str">
        <f>IF(AND($N1905=$Q$7,$B1905&lt;'111'!$L$11),"x","")</f>
        <v/>
      </c>
      <c r="S1905" s="79" t="str">
        <f>IF(AND($O1905=$Q$7,$B1905&lt;'111'!$L$11),"x","")</f>
        <v/>
      </c>
      <c r="T1905" s="79" t="str">
        <f>IF(ISERROR(FIND('112'!$M$9,G1905,1)),"",IF((AND(FIND('112'!$M$9,G1905,1)&gt;=1,B1905='112'!$K$9,OR($N1905='112'!$I$6,$O1905='112'!$I$6))),"x",""))</f>
        <v/>
      </c>
      <c r="U1905" s="79" t="str">
        <f>IF(ISERROR(FIND('112'!$M$9,G1905,1)),"",IF((AND(LEFT(G1905,2)=LEFT('112'!$M$9,2),B1905&lt;'112'!$K$9,$N1905='112'!$I$6)),"x",""))</f>
        <v/>
      </c>
      <c r="V1905" s="79" t="str">
        <f>IF(ISERROR(FIND('112'!$M$9,G1905,1)),"",IF((AND(RIGHT(G1905,2)=RIGHT('112'!$M$9,2),B1905&lt;'112'!$K$9,$O1905='112'!$I$6)),"x",""))</f>
        <v/>
      </c>
      <c r="W1905" s="79" t="str">
        <f>IF(AND('341-CT'!$H$9=H1905,OR(LEFT(N1905,3)=$W$7,LEFT(O1905,3)=$W$7)),"x","")</f>
        <v/>
      </c>
      <c r="X1905" s="79" t="str">
        <f>IF(OR(TH!N1905=TH!$X$7,O1905=TH!$X$7),"x","")</f>
        <v/>
      </c>
      <c r="Y1905" s="79" t="str">
        <f>IF(AND(OR(N1905="131",O1905="131"),H1905='131-CT'!$H$9),"x","")</f>
        <v/>
      </c>
      <c r="Z1905" s="79"/>
      <c r="AA1905" s="79" t="str">
        <f>IF(AND(MONTH(E1905)='IN-NX'!$J$5,'IN-NX'!$D$7=D1905),"x","")</f>
        <v/>
      </c>
      <c r="AB1905" s="79" t="str">
        <f>IF(AND(OR(LEFT(TH!N1905,2)="15",LEFT(TH!O1905,2)="15"),LEFT(TH!O1905,3)&lt;&gt;"111",'152-CT'!$J$8=TH!F1905),"x","")</f>
        <v/>
      </c>
      <c r="AC1905" s="79" t="str">
        <f>IF(AND(OR(LEFT(TH!N1905,2)="15",LEFT(TH!O1905,2)="15"),TK!$E$7=TH!F1905),"x","")</f>
        <v/>
      </c>
      <c r="AD1905" s="79" t="str">
        <f>IF(AND(N1905="1521",MONTH(C1905)='BK-NL'!$M$11),"x","")</f>
        <v/>
      </c>
    </row>
    <row r="1906" spans="1:30" ht="16.5" customHeight="1">
      <c r="A1906" s="318" t="str">
        <f>IF(B1906&lt;&gt;"",IF(AND(B1906='IN-TC'!$S$4,OR(TH!N1906="1111",TH!O1906="1111")),TH!D1906,""),"")</f>
        <v/>
      </c>
      <c r="B1906" s="60" t="str">
        <f t="shared" ref="B1906:B1921" si="225">IF(C1906&lt;&gt;"",MONTH(C1906),"")</f>
        <v/>
      </c>
      <c r="C1906" s="974"/>
      <c r="D1906" s="974"/>
      <c r="E1906" s="974"/>
      <c r="F1906" s="1131"/>
      <c r="G1906" s="976"/>
      <c r="H1906" s="759"/>
      <c r="I1906" s="383"/>
      <c r="J1906" s="390"/>
      <c r="K1906" s="383"/>
      <c r="L1906" s="390"/>
      <c r="M1906" s="978"/>
      <c r="N1906" s="979"/>
      <c r="O1906" s="979"/>
      <c r="P1906" s="79" t="str">
        <f>IF(AND('331-CT'!$E$7=TH!H1906,OR(N1906="331",O1906="331")),"x","")</f>
        <v/>
      </c>
      <c r="Q1906" s="79" t="str">
        <f>IF(AND(B1906='111'!$L$11,OR($N1906=$Q$7,$O1906=$Q$7)),"x","")</f>
        <v/>
      </c>
      <c r="R1906" s="79" t="str">
        <f>IF(AND($N1906=$Q$7,$B1906&lt;'111'!$L$11),"x","")</f>
        <v/>
      </c>
      <c r="S1906" s="79" t="str">
        <f>IF(AND($O1906=$Q$7,$B1906&lt;'111'!$L$11),"x","")</f>
        <v/>
      </c>
      <c r="T1906" s="79" t="str">
        <f>IF(ISERROR(FIND('112'!$M$9,G1906,1)),"",IF((AND(FIND('112'!$M$9,G1906,1)&gt;=1,B1906='112'!$K$9,OR($N1906='112'!$I$6,$O1906='112'!$I$6))),"x",""))</f>
        <v/>
      </c>
      <c r="U1906" s="79" t="str">
        <f>IF(ISERROR(FIND('112'!$M$9,G1906,1)),"",IF((AND(LEFT(G1906,2)=LEFT('112'!$M$9,2),B1906&lt;'112'!$K$9,$N1906='112'!$I$6)),"x",""))</f>
        <v/>
      </c>
      <c r="V1906" s="79" t="str">
        <f>IF(ISERROR(FIND('112'!$M$9,G1906,1)),"",IF((AND(RIGHT(G1906,2)=RIGHT('112'!$M$9,2),B1906&lt;'112'!$K$9,$O1906='112'!$I$6)),"x",""))</f>
        <v/>
      </c>
      <c r="W1906" s="79" t="str">
        <f>IF(AND('341-CT'!$H$9=H1906,OR(LEFT(N1906,3)=$W$7,LEFT(O1906,3)=$W$7)),"x","")</f>
        <v/>
      </c>
      <c r="X1906" s="79" t="str">
        <f>IF(OR(TH!N1906=TH!$X$7,O1906=TH!$X$7),"x","")</f>
        <v/>
      </c>
      <c r="Y1906" s="79" t="str">
        <f>IF(AND(OR(N1906="131",O1906="131"),H1906='131-CT'!$H$9),"x","")</f>
        <v/>
      </c>
      <c r="Z1906" s="79"/>
      <c r="AA1906" s="79" t="str">
        <f>IF(AND(MONTH(E1906)='IN-NX'!$J$5,'IN-NX'!$D$7=D1906),"x","")</f>
        <v/>
      </c>
      <c r="AB1906" s="79" t="str">
        <f>IF(AND(OR(LEFT(TH!N1906,2)="15",LEFT(TH!O1906,2)="15"),LEFT(TH!O1906,3)&lt;&gt;"111",'152-CT'!$J$8=TH!F1906),"x","")</f>
        <v/>
      </c>
      <c r="AC1906" s="79" t="str">
        <f>IF(AND(OR(LEFT(TH!N1906,2)="15",LEFT(TH!O1906,2)="15"),TK!$E$7=TH!F1906),"x","")</f>
        <v/>
      </c>
      <c r="AD1906" s="79" t="str">
        <f>IF(AND(N1906="1521",MONTH(C1906)='BK-NL'!$M$11),"x","")</f>
        <v/>
      </c>
    </row>
    <row r="1907" spans="1:30" ht="16.5" customHeight="1">
      <c r="A1907" s="318" t="str">
        <f>IF(B1907&lt;&gt;"",IF(AND(B1907='IN-TC'!$S$4,OR(TH!N1907="1111",TH!O1907="1111")),TH!D1907,""),"")</f>
        <v/>
      </c>
      <c r="B1907" s="60" t="str">
        <f t="shared" si="225"/>
        <v/>
      </c>
      <c r="C1907" s="974"/>
      <c r="D1907" s="974"/>
      <c r="E1907" s="974"/>
      <c r="F1907" s="1131"/>
      <c r="G1907" s="976"/>
      <c r="H1907" s="759"/>
      <c r="I1907" s="383"/>
      <c r="J1907" s="390"/>
      <c r="K1907" s="383"/>
      <c r="L1907" s="390"/>
      <c r="M1907" s="978"/>
      <c r="N1907" s="979"/>
      <c r="O1907" s="979"/>
      <c r="P1907" s="79" t="str">
        <f>IF(AND('331-CT'!$E$7=TH!H1907,OR(N1907="331",O1907="331")),"x","")</f>
        <v/>
      </c>
      <c r="Q1907" s="79" t="str">
        <f>IF(AND(B1907='111'!$L$11,OR($N1907=$Q$7,$O1907=$Q$7)),"x","")</f>
        <v/>
      </c>
      <c r="R1907" s="79" t="str">
        <f>IF(AND($N1907=$Q$7,$B1907&lt;'111'!$L$11),"x","")</f>
        <v/>
      </c>
      <c r="S1907" s="79" t="str">
        <f>IF(AND($O1907=$Q$7,$B1907&lt;'111'!$L$11),"x","")</f>
        <v/>
      </c>
      <c r="T1907" s="79" t="str">
        <f>IF(ISERROR(FIND('112'!$M$9,G1907,1)),"",IF((AND(FIND('112'!$M$9,G1907,1)&gt;=1,B1907='112'!$K$9,OR($N1907='112'!$I$6,$O1907='112'!$I$6))),"x",""))</f>
        <v/>
      </c>
      <c r="U1907" s="79" t="str">
        <f>IF(ISERROR(FIND('112'!$M$9,G1907,1)),"",IF((AND(LEFT(G1907,2)=LEFT('112'!$M$9,2),B1907&lt;'112'!$K$9,$N1907='112'!$I$6)),"x",""))</f>
        <v/>
      </c>
      <c r="V1907" s="79" t="str">
        <f>IF(ISERROR(FIND('112'!$M$9,G1907,1)),"",IF((AND(RIGHT(G1907,2)=RIGHT('112'!$M$9,2),B1907&lt;'112'!$K$9,$O1907='112'!$I$6)),"x",""))</f>
        <v/>
      </c>
      <c r="W1907" s="79" t="str">
        <f>IF(AND('341-CT'!$H$9=H1907,OR(LEFT(N1907,3)=$W$7,LEFT(O1907,3)=$W$7)),"x","")</f>
        <v/>
      </c>
      <c r="X1907" s="79" t="str">
        <f>IF(OR(TH!N1907=TH!$X$7,O1907=TH!$X$7),"x","")</f>
        <v/>
      </c>
      <c r="Y1907" s="79" t="str">
        <f>IF(AND(OR(N1907="131",O1907="131"),H1907='131-CT'!$H$9),"x","")</f>
        <v/>
      </c>
      <c r="Z1907" s="79"/>
      <c r="AA1907" s="79" t="str">
        <f>IF(AND(MONTH(E1907)='IN-NX'!$J$5,'IN-NX'!$D$7=D1907),"x","")</f>
        <v/>
      </c>
      <c r="AB1907" s="79" t="str">
        <f>IF(AND(OR(LEFT(TH!N1907,2)="15",LEFT(TH!O1907,2)="15"),LEFT(TH!O1907,3)&lt;&gt;"111",'152-CT'!$J$8=TH!F1907),"x","")</f>
        <v/>
      </c>
      <c r="AC1907" s="79" t="str">
        <f>IF(AND(OR(LEFT(TH!N1907,2)="15",LEFT(TH!O1907,2)="15"),TK!$E$7=TH!F1907),"x","")</f>
        <v/>
      </c>
      <c r="AD1907" s="79" t="str">
        <f>IF(AND(N1907="1521",MONTH(C1907)='BK-NL'!$M$11),"x","")</f>
        <v/>
      </c>
    </row>
    <row r="1908" spans="1:30" ht="16.5" customHeight="1">
      <c r="A1908" s="318" t="str">
        <f>IF(B1908&lt;&gt;"",IF(AND(B1908='IN-TC'!$S$4,OR(TH!N1908="1111",TH!O1908="1111")),TH!D1908,""),"")</f>
        <v/>
      </c>
      <c r="B1908" s="60" t="str">
        <f t="shared" si="225"/>
        <v/>
      </c>
      <c r="C1908" s="974"/>
      <c r="D1908" s="974"/>
      <c r="E1908" s="974"/>
      <c r="F1908" s="1131"/>
      <c r="G1908" s="976"/>
      <c r="H1908" s="759"/>
      <c r="I1908" s="383"/>
      <c r="J1908" s="390"/>
      <c r="K1908" s="383"/>
      <c r="L1908" s="390"/>
      <c r="M1908" s="978"/>
      <c r="N1908" s="979"/>
      <c r="O1908" s="979"/>
      <c r="P1908" s="79" t="str">
        <f>IF(AND('331-CT'!$E$7=TH!H1908,OR(N1908="331",O1908="331")),"x","")</f>
        <v/>
      </c>
      <c r="Q1908" s="79" t="str">
        <f>IF(AND(B1908='111'!$L$11,OR($N1908=$Q$7,$O1908=$Q$7)),"x","")</f>
        <v/>
      </c>
      <c r="R1908" s="79" t="str">
        <f>IF(AND($N1908=$Q$7,$B1908&lt;'111'!$L$11),"x","")</f>
        <v/>
      </c>
      <c r="S1908" s="79" t="str">
        <f>IF(AND($O1908=$Q$7,$B1908&lt;'111'!$L$11),"x","")</f>
        <v/>
      </c>
      <c r="T1908" s="79" t="str">
        <f>IF(ISERROR(FIND('112'!$M$9,G1908,1)),"",IF((AND(FIND('112'!$M$9,G1908,1)&gt;=1,B1908='112'!$K$9,OR($N1908='112'!$I$6,$O1908='112'!$I$6))),"x",""))</f>
        <v/>
      </c>
      <c r="U1908" s="79" t="str">
        <f>IF(ISERROR(FIND('112'!$M$9,G1908,1)),"",IF((AND(LEFT(G1908,2)=LEFT('112'!$M$9,2),B1908&lt;'112'!$K$9,$N1908='112'!$I$6)),"x",""))</f>
        <v/>
      </c>
      <c r="V1908" s="79" t="str">
        <f>IF(ISERROR(FIND('112'!$M$9,G1908,1)),"",IF((AND(RIGHT(G1908,2)=RIGHT('112'!$M$9,2),B1908&lt;'112'!$K$9,$O1908='112'!$I$6)),"x",""))</f>
        <v/>
      </c>
      <c r="W1908" s="79" t="str">
        <f>IF(AND('341-CT'!$H$9=H1908,OR(LEFT(N1908,3)=$W$7,LEFT(O1908,3)=$W$7)),"x","")</f>
        <v/>
      </c>
      <c r="X1908" s="79" t="str">
        <f>IF(OR(TH!N1908=TH!$X$7,O1908=TH!$X$7),"x","")</f>
        <v/>
      </c>
      <c r="Y1908" s="79" t="str">
        <f>IF(AND(OR(N1908="131",O1908="131"),H1908='131-CT'!$H$9),"x","")</f>
        <v/>
      </c>
      <c r="Z1908" s="79"/>
      <c r="AA1908" s="79" t="str">
        <f>IF(AND(MONTH(E1908)='IN-NX'!$J$5,'IN-NX'!$D$7=D1908),"x","")</f>
        <v/>
      </c>
      <c r="AB1908" s="79" t="str">
        <f>IF(AND(OR(LEFT(TH!N1908,2)="15",LEFT(TH!O1908,2)="15"),LEFT(TH!O1908,3)&lt;&gt;"111",'152-CT'!$J$8=TH!F1908),"x","")</f>
        <v/>
      </c>
      <c r="AC1908" s="79" t="str">
        <f>IF(AND(OR(LEFT(TH!N1908,2)="15",LEFT(TH!O1908,2)="15"),TK!$E$7=TH!F1908),"x","")</f>
        <v/>
      </c>
      <c r="AD1908" s="79" t="str">
        <f>IF(AND(N1908="1521",MONTH(C1908)='BK-NL'!$M$11),"x","")</f>
        <v/>
      </c>
    </row>
    <row r="1909" spans="1:30" ht="16.5" customHeight="1">
      <c r="A1909" s="318" t="str">
        <f>IF(B1909&lt;&gt;"",IF(AND(B1909='IN-TC'!$S$4,OR(TH!N1909="1111",TH!O1909="1111")),TH!D1909,""),"")</f>
        <v/>
      </c>
      <c r="B1909" s="60" t="str">
        <f t="shared" si="225"/>
        <v/>
      </c>
      <c r="C1909" s="974"/>
      <c r="D1909" s="974"/>
      <c r="E1909" s="974"/>
      <c r="F1909" s="1131"/>
      <c r="G1909" s="976"/>
      <c r="H1909" s="759"/>
      <c r="I1909" s="383"/>
      <c r="J1909" s="390"/>
      <c r="K1909" s="383"/>
      <c r="L1909" s="390"/>
      <c r="M1909" s="978"/>
      <c r="N1909" s="979"/>
      <c r="O1909" s="979"/>
      <c r="P1909" s="79" t="str">
        <f>IF(AND('331-CT'!$E$7=TH!H1909,OR(N1909="331",O1909="331")),"x","")</f>
        <v/>
      </c>
      <c r="Q1909" s="79" t="str">
        <f>IF(AND(B1909='111'!$L$11,OR($N1909=$Q$7,$O1909=$Q$7)),"x","")</f>
        <v/>
      </c>
      <c r="R1909" s="79" t="str">
        <f>IF(AND($N1909=$Q$7,$B1909&lt;'111'!$L$11),"x","")</f>
        <v/>
      </c>
      <c r="S1909" s="79" t="str">
        <f>IF(AND($O1909=$Q$7,$B1909&lt;'111'!$L$11),"x","")</f>
        <v/>
      </c>
      <c r="T1909" s="79" t="str">
        <f>IF(ISERROR(FIND('112'!$M$9,G1909,1)),"",IF((AND(FIND('112'!$M$9,G1909,1)&gt;=1,B1909='112'!$K$9,OR($N1909='112'!$I$6,$O1909='112'!$I$6))),"x",""))</f>
        <v/>
      </c>
      <c r="U1909" s="79" t="str">
        <f>IF(ISERROR(FIND('112'!$M$9,G1909,1)),"",IF((AND(LEFT(G1909,2)=LEFT('112'!$M$9,2),B1909&lt;'112'!$K$9,$N1909='112'!$I$6)),"x",""))</f>
        <v/>
      </c>
      <c r="V1909" s="79" t="str">
        <f>IF(ISERROR(FIND('112'!$M$9,G1909,1)),"",IF((AND(RIGHT(G1909,2)=RIGHT('112'!$M$9,2),B1909&lt;'112'!$K$9,$O1909='112'!$I$6)),"x",""))</f>
        <v/>
      </c>
      <c r="W1909" s="79" t="str">
        <f>IF(AND('341-CT'!$H$9=H1909,OR(LEFT(N1909,3)=$W$7,LEFT(O1909,3)=$W$7)),"x","")</f>
        <v/>
      </c>
      <c r="X1909" s="79" t="str">
        <f>IF(OR(TH!N1909=TH!$X$7,O1909=TH!$X$7),"x","")</f>
        <v/>
      </c>
      <c r="Y1909" s="79" t="str">
        <f>IF(AND(OR(N1909="131",O1909="131"),H1909='131-CT'!$H$9),"x","")</f>
        <v/>
      </c>
      <c r="Z1909" s="79"/>
      <c r="AA1909" s="79" t="str">
        <f>IF(AND(MONTH(E1909)='IN-NX'!$J$5,'IN-NX'!$D$7=D1909),"x","")</f>
        <v/>
      </c>
      <c r="AB1909" s="79" t="str">
        <f>IF(AND(OR(LEFT(TH!N1909,2)="15",LEFT(TH!O1909,2)="15"),LEFT(TH!O1909,3)&lt;&gt;"111",'152-CT'!$J$8=TH!F1909),"x","")</f>
        <v/>
      </c>
      <c r="AC1909" s="79" t="str">
        <f>IF(AND(OR(LEFT(TH!N1909,2)="15",LEFT(TH!O1909,2)="15"),TK!$E$7=TH!F1909),"x","")</f>
        <v/>
      </c>
      <c r="AD1909" s="79" t="str">
        <f>IF(AND(N1909="1521",MONTH(C1909)='BK-NL'!$M$11),"x","")</f>
        <v/>
      </c>
    </row>
    <row r="1910" spans="1:30" ht="16.5" customHeight="1">
      <c r="A1910" s="318" t="str">
        <f>IF(B1910&lt;&gt;"",IF(AND(B1910='IN-TC'!$S$4,OR(TH!N1910="1111",TH!O1910="1111")),TH!D1910,""),"")</f>
        <v/>
      </c>
      <c r="B1910" s="60" t="str">
        <f t="shared" si="225"/>
        <v/>
      </c>
      <c r="C1910" s="974"/>
      <c r="D1910" s="974"/>
      <c r="E1910" s="974"/>
      <c r="F1910" s="1131"/>
      <c r="G1910" s="976"/>
      <c r="H1910" s="759"/>
      <c r="I1910" s="383"/>
      <c r="J1910" s="390"/>
      <c r="K1910" s="383"/>
      <c r="L1910" s="390"/>
      <c r="M1910" s="978"/>
      <c r="N1910" s="979"/>
      <c r="O1910" s="979"/>
      <c r="P1910" s="79" t="str">
        <f>IF(AND('331-CT'!$E$7=TH!H1910,OR(N1910="331",O1910="331")),"x","")</f>
        <v/>
      </c>
      <c r="Q1910" s="79" t="str">
        <f>IF(AND(B1910='111'!$L$11,OR($N1910=$Q$7,$O1910=$Q$7)),"x","")</f>
        <v/>
      </c>
      <c r="R1910" s="79" t="str">
        <f>IF(AND($N1910=$Q$7,$B1910&lt;'111'!$L$11),"x","")</f>
        <v/>
      </c>
      <c r="S1910" s="79" t="str">
        <f>IF(AND($O1910=$Q$7,$B1910&lt;'111'!$L$11),"x","")</f>
        <v/>
      </c>
      <c r="T1910" s="79" t="str">
        <f>IF(ISERROR(FIND('112'!$M$9,G1910,1)),"",IF((AND(FIND('112'!$M$9,G1910,1)&gt;=1,B1910='112'!$K$9,OR($N1910='112'!$I$6,$O1910='112'!$I$6))),"x",""))</f>
        <v/>
      </c>
      <c r="U1910" s="79" t="str">
        <f>IF(ISERROR(FIND('112'!$M$9,G1910,1)),"",IF((AND(LEFT(G1910,2)=LEFT('112'!$M$9,2),B1910&lt;'112'!$K$9,$N1910='112'!$I$6)),"x",""))</f>
        <v/>
      </c>
      <c r="V1910" s="79" t="str">
        <f>IF(ISERROR(FIND('112'!$M$9,G1910,1)),"",IF((AND(RIGHT(G1910,2)=RIGHT('112'!$M$9,2),B1910&lt;'112'!$K$9,$O1910='112'!$I$6)),"x",""))</f>
        <v/>
      </c>
      <c r="W1910" s="79" t="str">
        <f>IF(AND('341-CT'!$H$9=H1910,OR(LEFT(N1910,3)=$W$7,LEFT(O1910,3)=$W$7)),"x","")</f>
        <v/>
      </c>
      <c r="X1910" s="79" t="str">
        <f>IF(OR(TH!N1910=TH!$X$7,O1910=TH!$X$7),"x","")</f>
        <v/>
      </c>
      <c r="Y1910" s="79" t="str">
        <f>IF(AND(OR(N1910="131",O1910="131"),H1910='131-CT'!$H$9),"x","")</f>
        <v/>
      </c>
      <c r="Z1910" s="79"/>
      <c r="AA1910" s="79" t="str">
        <f>IF(AND(MONTH(E1910)='IN-NX'!$J$5,'IN-NX'!$D$7=D1910),"x","")</f>
        <v/>
      </c>
      <c r="AB1910" s="79" t="str">
        <f>IF(AND(OR(LEFT(TH!N1910,2)="15",LEFT(TH!O1910,2)="15"),LEFT(TH!O1910,3)&lt;&gt;"111",'152-CT'!$J$8=TH!F1910),"x","")</f>
        <v/>
      </c>
      <c r="AC1910" s="79" t="str">
        <f>IF(AND(OR(LEFT(TH!N1910,2)="15",LEFT(TH!O1910,2)="15"),TK!$E$7=TH!F1910),"x","")</f>
        <v/>
      </c>
      <c r="AD1910" s="79" t="str">
        <f>IF(AND(N1910="1521",MONTH(C1910)='BK-NL'!$M$11),"x","")</f>
        <v/>
      </c>
    </row>
    <row r="1911" spans="1:30" ht="16.5" customHeight="1">
      <c r="A1911" s="318" t="str">
        <f>IF(B1911&lt;&gt;"",IF(AND(B1911='IN-TC'!$S$4,OR(TH!N1911="1111",TH!O1911="1111")),TH!D1911,""),"")</f>
        <v/>
      </c>
      <c r="B1911" s="60" t="str">
        <f t="shared" si="225"/>
        <v/>
      </c>
      <c r="C1911" s="974"/>
      <c r="D1911" s="974"/>
      <c r="E1911" s="974"/>
      <c r="F1911" s="1131"/>
      <c r="G1911" s="976"/>
      <c r="H1911" s="759"/>
      <c r="I1911" s="383"/>
      <c r="J1911" s="390"/>
      <c r="K1911" s="383"/>
      <c r="L1911" s="390"/>
      <c r="M1911" s="978"/>
      <c r="N1911" s="979"/>
      <c r="O1911" s="979"/>
      <c r="P1911" s="79" t="str">
        <f>IF(AND('331-CT'!$E$7=TH!H1911,OR(N1911="331",O1911="331")),"x","")</f>
        <v/>
      </c>
      <c r="Q1911" s="79" t="str">
        <f>IF(AND(B1911='111'!$L$11,OR($N1911=$Q$7,$O1911=$Q$7)),"x","")</f>
        <v/>
      </c>
      <c r="R1911" s="79" t="str">
        <f>IF(AND($N1911=$Q$7,$B1911&lt;'111'!$L$11),"x","")</f>
        <v/>
      </c>
      <c r="S1911" s="79" t="str">
        <f>IF(AND($O1911=$Q$7,$B1911&lt;'111'!$L$11),"x","")</f>
        <v/>
      </c>
      <c r="T1911" s="79" t="str">
        <f>IF(ISERROR(FIND('112'!$M$9,G1911,1)),"",IF((AND(FIND('112'!$M$9,G1911,1)&gt;=1,B1911='112'!$K$9,OR($N1911='112'!$I$6,$O1911='112'!$I$6))),"x",""))</f>
        <v/>
      </c>
      <c r="U1911" s="79" t="str">
        <f>IF(ISERROR(FIND('112'!$M$9,G1911,1)),"",IF((AND(LEFT(G1911,2)=LEFT('112'!$M$9,2),B1911&lt;'112'!$K$9,$N1911='112'!$I$6)),"x",""))</f>
        <v/>
      </c>
      <c r="V1911" s="79" t="str">
        <f>IF(ISERROR(FIND('112'!$M$9,G1911,1)),"",IF((AND(RIGHT(G1911,2)=RIGHT('112'!$M$9,2),B1911&lt;'112'!$K$9,$O1911='112'!$I$6)),"x",""))</f>
        <v/>
      </c>
      <c r="W1911" s="79" t="str">
        <f>IF(AND('341-CT'!$H$9=H1911,OR(LEFT(N1911,3)=$W$7,LEFT(O1911,3)=$W$7)),"x","")</f>
        <v/>
      </c>
      <c r="X1911" s="79" t="str">
        <f>IF(OR(TH!N1911=TH!$X$7,O1911=TH!$X$7),"x","")</f>
        <v/>
      </c>
      <c r="Y1911" s="79" t="str">
        <f>IF(AND(OR(N1911="131",O1911="131"),H1911='131-CT'!$H$9),"x","")</f>
        <v/>
      </c>
      <c r="Z1911" s="79"/>
      <c r="AA1911" s="79" t="str">
        <f>IF(AND(MONTH(E1911)='IN-NX'!$J$5,'IN-NX'!$D$7=D1911),"x","")</f>
        <v/>
      </c>
      <c r="AB1911" s="79" t="str">
        <f>IF(AND(OR(LEFT(TH!N1911,2)="15",LEFT(TH!O1911,2)="15"),LEFT(TH!O1911,3)&lt;&gt;"111",'152-CT'!$J$8=TH!F1911),"x","")</f>
        <v/>
      </c>
      <c r="AC1911" s="79" t="str">
        <f>IF(AND(OR(LEFT(TH!N1911,2)="15",LEFT(TH!O1911,2)="15"),TK!$E$7=TH!F1911),"x","")</f>
        <v/>
      </c>
      <c r="AD1911" s="79" t="str">
        <f>IF(AND(N1911="1521",MONTH(C1911)='BK-NL'!$M$11),"x","")</f>
        <v/>
      </c>
    </row>
    <row r="1912" spans="1:30" ht="16.5" customHeight="1">
      <c r="A1912" s="318" t="str">
        <f>IF(B1912&lt;&gt;"",IF(AND(B1912='IN-TC'!$S$4,OR(TH!N1912="1111",TH!O1912="1111")),TH!D1912,""),"")</f>
        <v/>
      </c>
      <c r="B1912" s="60" t="str">
        <f t="shared" si="225"/>
        <v/>
      </c>
      <c r="C1912" s="974"/>
      <c r="D1912" s="974"/>
      <c r="E1912" s="974"/>
      <c r="F1912" s="1131"/>
      <c r="G1912" s="976"/>
      <c r="H1912" s="759"/>
      <c r="I1912" s="383"/>
      <c r="J1912" s="390"/>
      <c r="K1912" s="383"/>
      <c r="L1912" s="390"/>
      <c r="M1912" s="978"/>
      <c r="N1912" s="979"/>
      <c r="O1912" s="979"/>
      <c r="P1912" s="79" t="str">
        <f>IF(AND('331-CT'!$E$7=TH!H1912,OR(N1912="331",O1912="331")),"x","")</f>
        <v/>
      </c>
      <c r="Q1912" s="79" t="str">
        <f>IF(AND(B1912='111'!$L$11,OR($N1912=$Q$7,$O1912=$Q$7)),"x","")</f>
        <v/>
      </c>
      <c r="R1912" s="79" t="str">
        <f>IF(AND($N1912=$Q$7,$B1912&lt;'111'!$L$11),"x","")</f>
        <v/>
      </c>
      <c r="S1912" s="79" t="str">
        <f>IF(AND($O1912=$Q$7,$B1912&lt;'111'!$L$11),"x","")</f>
        <v/>
      </c>
      <c r="T1912" s="79" t="str">
        <f>IF(ISERROR(FIND('112'!$M$9,G1912,1)),"",IF((AND(FIND('112'!$M$9,G1912,1)&gt;=1,B1912='112'!$K$9,OR($N1912='112'!$I$6,$O1912='112'!$I$6))),"x",""))</f>
        <v/>
      </c>
      <c r="U1912" s="79" t="str">
        <f>IF(ISERROR(FIND('112'!$M$9,G1912,1)),"",IF((AND(LEFT(G1912,2)=LEFT('112'!$M$9,2),B1912&lt;'112'!$K$9,$N1912='112'!$I$6)),"x",""))</f>
        <v/>
      </c>
      <c r="V1912" s="79" t="str">
        <f>IF(ISERROR(FIND('112'!$M$9,G1912,1)),"",IF((AND(RIGHT(G1912,2)=RIGHT('112'!$M$9,2),B1912&lt;'112'!$K$9,$O1912='112'!$I$6)),"x",""))</f>
        <v/>
      </c>
      <c r="W1912" s="79" t="str">
        <f>IF(AND('341-CT'!$H$9=H1912,OR(LEFT(N1912,3)=$W$7,LEFT(O1912,3)=$W$7)),"x","")</f>
        <v/>
      </c>
      <c r="X1912" s="79" t="str">
        <f>IF(OR(TH!N1912=TH!$X$7,O1912=TH!$X$7),"x","")</f>
        <v/>
      </c>
      <c r="Y1912" s="79" t="str">
        <f>IF(AND(OR(N1912="131",O1912="131"),H1912='131-CT'!$H$9),"x","")</f>
        <v/>
      </c>
      <c r="Z1912" s="79"/>
      <c r="AA1912" s="79" t="str">
        <f>IF(AND(MONTH(E1912)='IN-NX'!$J$5,'IN-NX'!$D$7=D1912),"x","")</f>
        <v/>
      </c>
      <c r="AB1912" s="79" t="str">
        <f>IF(AND(OR(LEFT(TH!N1912,2)="15",LEFT(TH!O1912,2)="15"),LEFT(TH!O1912,3)&lt;&gt;"111",'152-CT'!$J$8=TH!F1912),"x","")</f>
        <v/>
      </c>
      <c r="AC1912" s="79" t="str">
        <f>IF(AND(OR(LEFT(TH!N1912,2)="15",LEFT(TH!O1912,2)="15"),TK!$E$7=TH!F1912),"x","")</f>
        <v/>
      </c>
      <c r="AD1912" s="79" t="str">
        <f>IF(AND(N1912="1521",MONTH(C1912)='BK-NL'!$M$11),"x","")</f>
        <v/>
      </c>
    </row>
    <row r="1913" spans="1:30" ht="16.5" customHeight="1">
      <c r="A1913" s="318" t="str">
        <f>IF(B1913&lt;&gt;"",IF(AND(B1913='IN-TC'!$S$4,OR(TH!N1913="1111",TH!O1913="1111")),TH!D1913,""),"")</f>
        <v/>
      </c>
      <c r="B1913" s="60" t="str">
        <f t="shared" si="225"/>
        <v/>
      </c>
      <c r="C1913" s="974"/>
      <c r="D1913" s="974"/>
      <c r="E1913" s="974"/>
      <c r="F1913" s="1131"/>
      <c r="G1913" s="976"/>
      <c r="H1913" s="759"/>
      <c r="I1913" s="383"/>
      <c r="J1913" s="390"/>
      <c r="K1913" s="383"/>
      <c r="L1913" s="390"/>
      <c r="M1913" s="978"/>
      <c r="N1913" s="979"/>
      <c r="O1913" s="979"/>
      <c r="P1913" s="79" t="str">
        <f>IF(AND('331-CT'!$E$7=TH!H1913,OR(N1913="331",O1913="331")),"x","")</f>
        <v/>
      </c>
      <c r="Q1913" s="79" t="str">
        <f>IF(AND(B1913='111'!$L$11,OR($N1913=$Q$7,$O1913=$Q$7)),"x","")</f>
        <v/>
      </c>
      <c r="R1913" s="79" t="str">
        <f>IF(AND($N1913=$Q$7,$B1913&lt;'111'!$L$11),"x","")</f>
        <v/>
      </c>
      <c r="S1913" s="79" t="str">
        <f>IF(AND($O1913=$Q$7,$B1913&lt;'111'!$L$11),"x","")</f>
        <v/>
      </c>
      <c r="T1913" s="79" t="str">
        <f>IF(ISERROR(FIND('112'!$M$9,G1913,1)),"",IF((AND(FIND('112'!$M$9,G1913,1)&gt;=1,B1913='112'!$K$9,OR($N1913='112'!$I$6,$O1913='112'!$I$6))),"x",""))</f>
        <v/>
      </c>
      <c r="U1913" s="79" t="str">
        <f>IF(ISERROR(FIND('112'!$M$9,G1913,1)),"",IF((AND(LEFT(G1913,2)=LEFT('112'!$M$9,2),B1913&lt;'112'!$K$9,$N1913='112'!$I$6)),"x",""))</f>
        <v/>
      </c>
      <c r="V1913" s="79" t="str">
        <f>IF(ISERROR(FIND('112'!$M$9,G1913,1)),"",IF((AND(RIGHT(G1913,2)=RIGHT('112'!$M$9,2),B1913&lt;'112'!$K$9,$O1913='112'!$I$6)),"x",""))</f>
        <v/>
      </c>
      <c r="W1913" s="79" t="str">
        <f>IF(AND('341-CT'!$H$9=H1913,OR(LEFT(N1913,3)=$W$7,LEFT(O1913,3)=$W$7)),"x","")</f>
        <v/>
      </c>
      <c r="X1913" s="79" t="str">
        <f>IF(OR(TH!N1913=TH!$X$7,O1913=TH!$X$7),"x","")</f>
        <v/>
      </c>
      <c r="Y1913" s="79" t="str">
        <f>IF(AND(OR(N1913="131",O1913="131"),H1913='131-CT'!$H$9),"x","")</f>
        <v/>
      </c>
      <c r="Z1913" s="79"/>
      <c r="AA1913" s="79" t="str">
        <f>IF(AND(MONTH(E1913)='IN-NX'!$J$5,'IN-NX'!$D$7=D1913),"x","")</f>
        <v/>
      </c>
      <c r="AB1913" s="79" t="str">
        <f>IF(AND(OR(LEFT(TH!N1913,2)="15",LEFT(TH!O1913,2)="15"),LEFT(TH!O1913,3)&lt;&gt;"111",'152-CT'!$J$8=TH!F1913),"x","")</f>
        <v/>
      </c>
      <c r="AC1913" s="79" t="str">
        <f>IF(AND(OR(LEFT(TH!N1913,2)="15",LEFT(TH!O1913,2)="15"),TK!$E$7=TH!F1913),"x","")</f>
        <v/>
      </c>
      <c r="AD1913" s="79" t="str">
        <f>IF(AND(N1913="1521",MONTH(C1913)='BK-NL'!$M$11),"x","")</f>
        <v/>
      </c>
    </row>
    <row r="1914" spans="1:30" ht="16.5" customHeight="1">
      <c r="A1914" s="318" t="str">
        <f>IF(B1914&lt;&gt;"",IF(AND(B1914='IN-TC'!$S$4,OR(TH!N1914="1111",TH!O1914="1111")),TH!D1914,""),"")</f>
        <v/>
      </c>
      <c r="B1914" s="60" t="str">
        <f t="shared" si="225"/>
        <v/>
      </c>
      <c r="C1914" s="974"/>
      <c r="D1914" s="974"/>
      <c r="E1914" s="974"/>
      <c r="F1914" s="1131"/>
      <c r="G1914" s="976"/>
      <c r="H1914" s="759"/>
      <c r="I1914" s="383"/>
      <c r="J1914" s="390"/>
      <c r="K1914" s="383"/>
      <c r="L1914" s="390"/>
      <c r="M1914" s="978"/>
      <c r="N1914" s="979"/>
      <c r="O1914" s="979"/>
      <c r="P1914" s="79" t="str">
        <f>IF(AND('331-CT'!$E$7=TH!H1914,OR(N1914="331",O1914="331")),"x","")</f>
        <v/>
      </c>
      <c r="Q1914" s="79" t="str">
        <f>IF(AND(B1914='111'!$L$11,OR($N1914=$Q$7,$O1914=$Q$7)),"x","")</f>
        <v/>
      </c>
      <c r="R1914" s="79" t="str">
        <f>IF(AND($N1914=$Q$7,$B1914&lt;'111'!$L$11),"x","")</f>
        <v/>
      </c>
      <c r="S1914" s="79" t="str">
        <f>IF(AND($O1914=$Q$7,$B1914&lt;'111'!$L$11),"x","")</f>
        <v/>
      </c>
      <c r="T1914" s="79" t="str">
        <f>IF(ISERROR(FIND('112'!$M$9,G1914,1)),"",IF((AND(FIND('112'!$M$9,G1914,1)&gt;=1,B1914='112'!$K$9,OR($N1914='112'!$I$6,$O1914='112'!$I$6))),"x",""))</f>
        <v/>
      </c>
      <c r="U1914" s="79" t="str">
        <f>IF(ISERROR(FIND('112'!$M$9,G1914,1)),"",IF((AND(LEFT(G1914,2)=LEFT('112'!$M$9,2),B1914&lt;'112'!$K$9,$N1914='112'!$I$6)),"x",""))</f>
        <v/>
      </c>
      <c r="V1914" s="79" t="str">
        <f>IF(ISERROR(FIND('112'!$M$9,G1914,1)),"",IF((AND(RIGHT(G1914,2)=RIGHT('112'!$M$9,2),B1914&lt;'112'!$K$9,$O1914='112'!$I$6)),"x",""))</f>
        <v/>
      </c>
      <c r="W1914" s="79" t="str">
        <f>IF(AND('341-CT'!$H$9=H1914,OR(LEFT(N1914,3)=$W$7,LEFT(O1914,3)=$W$7)),"x","")</f>
        <v/>
      </c>
      <c r="X1914" s="79" t="str">
        <f>IF(OR(TH!N1914=TH!$X$7,O1914=TH!$X$7),"x","")</f>
        <v/>
      </c>
      <c r="Y1914" s="79" t="str">
        <f>IF(AND(OR(N1914="131",O1914="131"),H1914='131-CT'!$H$9),"x","")</f>
        <v/>
      </c>
      <c r="Z1914" s="79"/>
      <c r="AA1914" s="79" t="str">
        <f>IF(AND(MONTH(E1914)='IN-NX'!$J$5,'IN-NX'!$D$7=D1914),"x","")</f>
        <v/>
      </c>
      <c r="AB1914" s="79" t="str">
        <f>IF(AND(OR(LEFT(TH!N1914,2)="15",LEFT(TH!O1914,2)="15"),LEFT(TH!O1914,3)&lt;&gt;"111",'152-CT'!$J$8=TH!F1914),"x","")</f>
        <v/>
      </c>
      <c r="AC1914" s="79" t="str">
        <f>IF(AND(OR(LEFT(TH!N1914,2)="15",LEFT(TH!O1914,2)="15"),TK!$E$7=TH!F1914),"x","")</f>
        <v/>
      </c>
      <c r="AD1914" s="79" t="str">
        <f>IF(AND(N1914="1521",MONTH(C1914)='BK-NL'!$M$11),"x","")</f>
        <v/>
      </c>
    </row>
    <row r="1915" spans="1:30" ht="16.5" customHeight="1">
      <c r="A1915" s="318" t="str">
        <f>IF(B1915&lt;&gt;"",IF(AND(B1915='IN-TC'!$S$4,OR(TH!N1915="1111",TH!O1915="1111")),TH!D1915,""),"")</f>
        <v/>
      </c>
      <c r="B1915" s="60" t="str">
        <f t="shared" si="225"/>
        <v/>
      </c>
      <c r="C1915" s="974"/>
      <c r="D1915" s="974"/>
      <c r="E1915" s="974"/>
      <c r="F1915" s="1131"/>
      <c r="G1915" s="976"/>
      <c r="H1915" s="759"/>
      <c r="I1915" s="383"/>
      <c r="J1915" s="390"/>
      <c r="K1915" s="383"/>
      <c r="L1915" s="390"/>
      <c r="M1915" s="978"/>
      <c r="N1915" s="979"/>
      <c r="O1915" s="979"/>
      <c r="P1915" s="79" t="str">
        <f>IF(AND('331-CT'!$E$7=TH!H1915,OR(N1915="331",O1915="331")),"x","")</f>
        <v/>
      </c>
      <c r="Q1915" s="79" t="str">
        <f>IF(AND(B1915='111'!$L$11,OR($N1915=$Q$7,$O1915=$Q$7)),"x","")</f>
        <v/>
      </c>
      <c r="R1915" s="79" t="str">
        <f>IF(AND($N1915=$Q$7,$B1915&lt;'111'!$L$11),"x","")</f>
        <v/>
      </c>
      <c r="S1915" s="79" t="str">
        <f>IF(AND($O1915=$Q$7,$B1915&lt;'111'!$L$11),"x","")</f>
        <v/>
      </c>
      <c r="T1915" s="79" t="str">
        <f>IF(ISERROR(FIND('112'!$M$9,G1915,1)),"",IF((AND(FIND('112'!$M$9,G1915,1)&gt;=1,B1915='112'!$K$9,OR($N1915='112'!$I$6,$O1915='112'!$I$6))),"x",""))</f>
        <v/>
      </c>
      <c r="U1915" s="79" t="str">
        <f>IF(ISERROR(FIND('112'!$M$9,G1915,1)),"",IF((AND(LEFT(G1915,2)=LEFT('112'!$M$9,2),B1915&lt;'112'!$K$9,$N1915='112'!$I$6)),"x",""))</f>
        <v/>
      </c>
      <c r="V1915" s="79" t="str">
        <f>IF(ISERROR(FIND('112'!$M$9,G1915,1)),"",IF((AND(RIGHT(G1915,2)=RIGHT('112'!$M$9,2),B1915&lt;'112'!$K$9,$O1915='112'!$I$6)),"x",""))</f>
        <v/>
      </c>
      <c r="W1915" s="79" t="str">
        <f>IF(AND('341-CT'!$H$9=H1915,OR(LEFT(N1915,3)=$W$7,LEFT(O1915,3)=$W$7)),"x","")</f>
        <v/>
      </c>
      <c r="X1915" s="79" t="str">
        <f>IF(OR(TH!N1915=TH!$X$7,O1915=TH!$X$7),"x","")</f>
        <v/>
      </c>
      <c r="Y1915" s="79" t="str">
        <f>IF(AND(OR(N1915="131",O1915="131"),H1915='131-CT'!$H$9),"x","")</f>
        <v/>
      </c>
      <c r="Z1915" s="79"/>
      <c r="AA1915" s="79" t="str">
        <f>IF(AND(MONTH(E1915)='IN-NX'!$J$5,'IN-NX'!$D$7=D1915),"x","")</f>
        <v/>
      </c>
      <c r="AB1915" s="79" t="str">
        <f>IF(AND(OR(LEFT(TH!N1915,2)="15",LEFT(TH!O1915,2)="15"),LEFT(TH!O1915,3)&lt;&gt;"111",'152-CT'!$J$8=TH!F1915),"x","")</f>
        <v/>
      </c>
      <c r="AC1915" s="79" t="str">
        <f>IF(AND(OR(LEFT(TH!N1915,2)="15",LEFT(TH!O1915,2)="15"),TK!$E$7=TH!F1915),"x","")</f>
        <v/>
      </c>
      <c r="AD1915" s="79" t="str">
        <f>IF(AND(N1915="1521",MONTH(C1915)='BK-NL'!$M$11),"x","")</f>
        <v/>
      </c>
    </row>
    <row r="1916" spans="1:30" ht="16.5" customHeight="1">
      <c r="A1916" s="318" t="str">
        <f>IF(B1916&lt;&gt;"",IF(AND(B1916='IN-TC'!$S$4,OR(TH!N1916="1111",TH!O1916="1111")),TH!D1916,""),"")</f>
        <v/>
      </c>
      <c r="B1916" s="60" t="str">
        <f t="shared" si="225"/>
        <v/>
      </c>
      <c r="C1916" s="974"/>
      <c r="D1916" s="974"/>
      <c r="E1916" s="974"/>
      <c r="F1916" s="1131"/>
      <c r="G1916" s="976"/>
      <c r="H1916" s="759"/>
      <c r="I1916" s="383"/>
      <c r="J1916" s="390"/>
      <c r="K1916" s="383"/>
      <c r="L1916" s="390"/>
      <c r="M1916" s="978"/>
      <c r="N1916" s="979"/>
      <c r="O1916" s="979"/>
      <c r="P1916" s="79" t="str">
        <f>IF(AND('331-CT'!$E$7=TH!H1916,OR(N1916="331",O1916="331")),"x","")</f>
        <v/>
      </c>
      <c r="Q1916" s="79" t="str">
        <f>IF(AND(B1916='111'!$L$11,OR($N1916=$Q$7,$O1916=$Q$7)),"x","")</f>
        <v/>
      </c>
      <c r="R1916" s="79" t="str">
        <f>IF(AND($N1916=$Q$7,$B1916&lt;'111'!$L$11),"x","")</f>
        <v/>
      </c>
      <c r="S1916" s="79" t="str">
        <f>IF(AND($O1916=$Q$7,$B1916&lt;'111'!$L$11),"x","")</f>
        <v/>
      </c>
      <c r="T1916" s="79" t="str">
        <f>IF(ISERROR(FIND('112'!$M$9,G1916,1)),"",IF((AND(FIND('112'!$M$9,G1916,1)&gt;=1,B1916='112'!$K$9,OR($N1916='112'!$I$6,$O1916='112'!$I$6))),"x",""))</f>
        <v/>
      </c>
      <c r="U1916" s="79" t="str">
        <f>IF(ISERROR(FIND('112'!$M$9,G1916,1)),"",IF((AND(LEFT(G1916,2)=LEFT('112'!$M$9,2),B1916&lt;'112'!$K$9,$N1916='112'!$I$6)),"x",""))</f>
        <v/>
      </c>
      <c r="V1916" s="79" t="str">
        <f>IF(ISERROR(FIND('112'!$M$9,G1916,1)),"",IF((AND(RIGHT(G1916,2)=RIGHT('112'!$M$9,2),B1916&lt;'112'!$K$9,$O1916='112'!$I$6)),"x",""))</f>
        <v/>
      </c>
      <c r="W1916" s="79" t="str">
        <f>IF(AND('341-CT'!$H$9=H1916,OR(LEFT(N1916,3)=$W$7,LEFT(O1916,3)=$W$7)),"x","")</f>
        <v/>
      </c>
      <c r="X1916" s="79" t="str">
        <f>IF(OR(TH!N1916=TH!$X$7,O1916=TH!$X$7),"x","")</f>
        <v/>
      </c>
      <c r="Y1916" s="79" t="str">
        <f>IF(AND(OR(N1916="131",O1916="131"),H1916='131-CT'!$H$9),"x","")</f>
        <v/>
      </c>
      <c r="Z1916" s="79"/>
      <c r="AA1916" s="79" t="str">
        <f>IF(AND(MONTH(E1916)='IN-NX'!$J$5,'IN-NX'!$D$7=D1916),"x","")</f>
        <v/>
      </c>
      <c r="AB1916" s="79" t="str">
        <f>IF(AND(OR(LEFT(TH!N1916,2)="15",LEFT(TH!O1916,2)="15"),LEFT(TH!O1916,3)&lt;&gt;"111",'152-CT'!$J$8=TH!F1916),"x","")</f>
        <v/>
      </c>
      <c r="AC1916" s="79" t="str">
        <f>IF(AND(OR(LEFT(TH!N1916,2)="15",LEFT(TH!O1916,2)="15"),TK!$E$7=TH!F1916),"x","")</f>
        <v/>
      </c>
      <c r="AD1916" s="79" t="str">
        <f>IF(AND(N1916="1521",MONTH(C1916)='BK-NL'!$M$11),"x","")</f>
        <v/>
      </c>
    </row>
    <row r="1917" spans="1:30" ht="16.5" customHeight="1">
      <c r="A1917" s="318" t="str">
        <f>IF(B1917&lt;&gt;"",IF(AND(B1917='IN-TC'!$S$4,OR(TH!N1917="1111",TH!O1917="1111")),TH!D1917,""),"")</f>
        <v/>
      </c>
      <c r="B1917" s="60" t="str">
        <f t="shared" si="225"/>
        <v/>
      </c>
      <c r="C1917" s="974"/>
      <c r="D1917" s="974"/>
      <c r="E1917" s="974"/>
      <c r="F1917" s="1131"/>
      <c r="G1917" s="976"/>
      <c r="H1917" s="759"/>
      <c r="I1917" s="383"/>
      <c r="J1917" s="390"/>
      <c r="K1917" s="383"/>
      <c r="L1917" s="390"/>
      <c r="M1917" s="978"/>
      <c r="N1917" s="979"/>
      <c r="O1917" s="979"/>
      <c r="P1917" s="79" t="str">
        <f>IF(AND('331-CT'!$E$7=TH!H1917,OR(N1917="331",O1917="331")),"x","")</f>
        <v/>
      </c>
      <c r="Q1917" s="79" t="str">
        <f>IF(AND(B1917='111'!$L$11,OR($N1917=$Q$7,$O1917=$Q$7)),"x","")</f>
        <v/>
      </c>
      <c r="R1917" s="79" t="str">
        <f>IF(AND($N1917=$Q$7,$B1917&lt;'111'!$L$11),"x","")</f>
        <v/>
      </c>
      <c r="S1917" s="79" t="str">
        <f>IF(AND($O1917=$Q$7,$B1917&lt;'111'!$L$11),"x","")</f>
        <v/>
      </c>
      <c r="T1917" s="79" t="str">
        <f>IF(ISERROR(FIND('112'!$M$9,G1917,1)),"",IF((AND(FIND('112'!$M$9,G1917,1)&gt;=1,B1917='112'!$K$9,OR($N1917='112'!$I$6,$O1917='112'!$I$6))),"x",""))</f>
        <v/>
      </c>
      <c r="U1917" s="79" t="str">
        <f>IF(ISERROR(FIND('112'!$M$9,G1917,1)),"",IF((AND(LEFT(G1917,2)=LEFT('112'!$M$9,2),B1917&lt;'112'!$K$9,$N1917='112'!$I$6)),"x",""))</f>
        <v/>
      </c>
      <c r="V1917" s="79" t="str">
        <f>IF(ISERROR(FIND('112'!$M$9,G1917,1)),"",IF((AND(RIGHT(G1917,2)=RIGHT('112'!$M$9,2),B1917&lt;'112'!$K$9,$O1917='112'!$I$6)),"x",""))</f>
        <v/>
      </c>
      <c r="W1917" s="79" t="str">
        <f>IF(AND('341-CT'!$H$9=H1917,OR(LEFT(N1917,3)=$W$7,LEFT(O1917,3)=$W$7)),"x","")</f>
        <v/>
      </c>
      <c r="X1917" s="79" t="str">
        <f>IF(OR(TH!N1917=TH!$X$7,O1917=TH!$X$7),"x","")</f>
        <v/>
      </c>
      <c r="Y1917" s="79" t="str">
        <f>IF(AND(OR(N1917="131",O1917="131"),H1917='131-CT'!$H$9),"x","")</f>
        <v/>
      </c>
      <c r="Z1917" s="79"/>
      <c r="AA1917" s="79" t="str">
        <f>IF(AND(MONTH(E1917)='IN-NX'!$J$5,'IN-NX'!$D$7=D1917),"x","")</f>
        <v/>
      </c>
      <c r="AB1917" s="79" t="str">
        <f>IF(AND(OR(LEFT(TH!N1917,2)="15",LEFT(TH!O1917,2)="15"),LEFT(TH!O1917,3)&lt;&gt;"111",'152-CT'!$J$8=TH!F1917),"x","")</f>
        <v/>
      </c>
      <c r="AC1917" s="79" t="str">
        <f>IF(AND(OR(LEFT(TH!N1917,2)="15",LEFT(TH!O1917,2)="15"),TK!$E$7=TH!F1917),"x","")</f>
        <v/>
      </c>
      <c r="AD1917" s="79" t="str">
        <f>IF(AND(N1917="1521",MONTH(C1917)='BK-NL'!$M$11),"x","")</f>
        <v/>
      </c>
    </row>
    <row r="1918" spans="1:30" ht="16.5" customHeight="1">
      <c r="A1918" s="318" t="str">
        <f>IF(B1918&lt;&gt;"",IF(AND(B1918='IN-TC'!$S$4,OR(TH!N1918="1111",TH!O1918="1111")),TH!D1918,""),"")</f>
        <v/>
      </c>
      <c r="B1918" s="60" t="str">
        <f t="shared" si="225"/>
        <v/>
      </c>
      <c r="C1918" s="974"/>
      <c r="D1918" s="974"/>
      <c r="E1918" s="974"/>
      <c r="F1918" s="1131"/>
      <c r="G1918" s="976"/>
      <c r="H1918" s="759"/>
      <c r="I1918" s="383"/>
      <c r="J1918" s="390"/>
      <c r="K1918" s="383"/>
      <c r="L1918" s="390"/>
      <c r="M1918" s="978"/>
      <c r="N1918" s="979"/>
      <c r="O1918" s="979"/>
      <c r="P1918" s="79" t="str">
        <f>IF(AND('331-CT'!$E$7=TH!H1918,OR(N1918="331",O1918="331")),"x","")</f>
        <v/>
      </c>
      <c r="Q1918" s="79" t="str">
        <f>IF(AND(B1918='111'!$L$11,OR($N1918=$Q$7,$O1918=$Q$7)),"x","")</f>
        <v/>
      </c>
      <c r="R1918" s="79" t="str">
        <f>IF(AND($N1918=$Q$7,$B1918&lt;'111'!$L$11),"x","")</f>
        <v/>
      </c>
      <c r="S1918" s="79" t="str">
        <f>IF(AND($O1918=$Q$7,$B1918&lt;'111'!$L$11),"x","")</f>
        <v/>
      </c>
      <c r="T1918" s="79" t="str">
        <f>IF(ISERROR(FIND('112'!$M$9,G1918,1)),"",IF((AND(FIND('112'!$M$9,G1918,1)&gt;=1,B1918='112'!$K$9,OR($N1918='112'!$I$6,$O1918='112'!$I$6))),"x",""))</f>
        <v/>
      </c>
      <c r="U1918" s="79" t="str">
        <f>IF(ISERROR(FIND('112'!$M$9,G1918,1)),"",IF((AND(LEFT(G1918,2)=LEFT('112'!$M$9,2),B1918&lt;'112'!$K$9,$N1918='112'!$I$6)),"x",""))</f>
        <v/>
      </c>
      <c r="V1918" s="79" t="str">
        <f>IF(ISERROR(FIND('112'!$M$9,G1918,1)),"",IF((AND(RIGHT(G1918,2)=RIGHT('112'!$M$9,2),B1918&lt;'112'!$K$9,$O1918='112'!$I$6)),"x",""))</f>
        <v/>
      </c>
      <c r="W1918" s="79" t="str">
        <f>IF(AND('341-CT'!$H$9=H1918,OR(LEFT(N1918,3)=$W$7,LEFT(O1918,3)=$W$7)),"x","")</f>
        <v/>
      </c>
      <c r="X1918" s="79" t="str">
        <f>IF(OR(TH!N1918=TH!$X$7,O1918=TH!$X$7),"x","")</f>
        <v/>
      </c>
      <c r="Y1918" s="79" t="str">
        <f>IF(AND(OR(N1918="131",O1918="131"),H1918='131-CT'!$H$9),"x","")</f>
        <v/>
      </c>
      <c r="Z1918" s="79"/>
      <c r="AA1918" s="79" t="str">
        <f>IF(AND(MONTH(E1918)='IN-NX'!$J$5,'IN-NX'!$D$7=D1918),"x","")</f>
        <v/>
      </c>
      <c r="AB1918" s="79" t="str">
        <f>IF(AND(OR(LEFT(TH!N1918,2)="15",LEFT(TH!O1918,2)="15"),LEFT(TH!O1918,3)&lt;&gt;"111",'152-CT'!$J$8=TH!F1918),"x","")</f>
        <v/>
      </c>
      <c r="AC1918" s="79" t="str">
        <f>IF(AND(OR(LEFT(TH!N1918,2)="15",LEFT(TH!O1918,2)="15"),TK!$E$7=TH!F1918),"x","")</f>
        <v/>
      </c>
      <c r="AD1918" s="79" t="str">
        <f>IF(AND(N1918="1521",MONTH(C1918)='BK-NL'!$M$11),"x","")</f>
        <v/>
      </c>
    </row>
    <row r="1919" spans="1:30" ht="16.5" customHeight="1">
      <c r="A1919" s="318" t="str">
        <f>IF(B1919&lt;&gt;"",IF(AND(B1919='IN-TC'!$S$4,OR(TH!N1919="1111",TH!O1919="1111")),TH!D1919,""),"")</f>
        <v/>
      </c>
      <c r="B1919" s="60" t="str">
        <f t="shared" si="225"/>
        <v/>
      </c>
      <c r="C1919" s="974"/>
      <c r="D1919" s="974"/>
      <c r="E1919" s="974"/>
      <c r="F1919" s="1131"/>
      <c r="G1919" s="976"/>
      <c r="H1919" s="759"/>
      <c r="I1919" s="383"/>
      <c r="J1919" s="390"/>
      <c r="K1919" s="383"/>
      <c r="L1919" s="390"/>
      <c r="M1919" s="978"/>
      <c r="N1919" s="979"/>
      <c r="O1919" s="979"/>
      <c r="P1919" s="79" t="str">
        <f>IF(AND('331-CT'!$E$7=TH!H1919,OR(N1919="331",O1919="331")),"x","")</f>
        <v/>
      </c>
      <c r="Q1919" s="79" t="str">
        <f>IF(AND(B1919='111'!$L$11,OR($N1919=$Q$7,$O1919=$Q$7)),"x","")</f>
        <v/>
      </c>
      <c r="R1919" s="79" t="str">
        <f>IF(AND($N1919=$Q$7,$B1919&lt;'111'!$L$11),"x","")</f>
        <v/>
      </c>
      <c r="S1919" s="79" t="str">
        <f>IF(AND($O1919=$Q$7,$B1919&lt;'111'!$L$11),"x","")</f>
        <v/>
      </c>
      <c r="T1919" s="79" t="str">
        <f>IF(ISERROR(FIND('112'!$M$9,G1919,1)),"",IF((AND(FIND('112'!$M$9,G1919,1)&gt;=1,B1919='112'!$K$9,OR($N1919='112'!$I$6,$O1919='112'!$I$6))),"x",""))</f>
        <v/>
      </c>
      <c r="U1919" s="79" t="str">
        <f>IF(ISERROR(FIND('112'!$M$9,G1919,1)),"",IF((AND(LEFT(G1919,2)=LEFT('112'!$M$9,2),B1919&lt;'112'!$K$9,$N1919='112'!$I$6)),"x",""))</f>
        <v/>
      </c>
      <c r="V1919" s="79" t="str">
        <f>IF(ISERROR(FIND('112'!$M$9,G1919,1)),"",IF((AND(RIGHT(G1919,2)=RIGHT('112'!$M$9,2),B1919&lt;'112'!$K$9,$O1919='112'!$I$6)),"x",""))</f>
        <v/>
      </c>
      <c r="W1919" s="79" t="str">
        <f>IF(AND('341-CT'!$H$9=H1919,OR(LEFT(N1919,3)=$W$7,LEFT(O1919,3)=$W$7)),"x","")</f>
        <v/>
      </c>
      <c r="X1919" s="79" t="str">
        <f>IF(OR(TH!N1919=TH!$X$7,O1919=TH!$X$7),"x","")</f>
        <v/>
      </c>
      <c r="Y1919" s="79" t="str">
        <f>IF(AND(OR(N1919="131",O1919="131"),H1919='131-CT'!$H$9),"x","")</f>
        <v/>
      </c>
      <c r="Z1919" s="79"/>
      <c r="AA1919" s="79" t="str">
        <f>IF(AND(MONTH(E1919)='IN-NX'!$J$5,'IN-NX'!$D$7=D1919),"x","")</f>
        <v/>
      </c>
      <c r="AB1919" s="79" t="str">
        <f>IF(AND(OR(LEFT(TH!N1919,2)="15",LEFT(TH!O1919,2)="15"),LEFT(TH!O1919,3)&lt;&gt;"111",'152-CT'!$J$8=TH!F1919),"x","")</f>
        <v/>
      </c>
      <c r="AC1919" s="79" t="str">
        <f>IF(AND(OR(LEFT(TH!N1919,2)="15",LEFT(TH!O1919,2)="15"),TK!$E$7=TH!F1919),"x","")</f>
        <v/>
      </c>
      <c r="AD1919" s="79" t="str">
        <f>IF(AND(N1919="1521",MONTH(C1919)='BK-NL'!$M$11),"x","")</f>
        <v/>
      </c>
    </row>
    <row r="1920" spans="1:30" ht="16.5" customHeight="1">
      <c r="A1920" s="318" t="str">
        <f>IF(B1920&lt;&gt;"",IF(AND(B1920='IN-TC'!$S$4,OR(TH!N1920="1111",TH!O1920="1111")),TH!D1920,""),"")</f>
        <v/>
      </c>
      <c r="B1920" s="60" t="str">
        <f t="shared" si="225"/>
        <v/>
      </c>
      <c r="C1920" s="974"/>
      <c r="D1920" s="974"/>
      <c r="E1920" s="974"/>
      <c r="F1920" s="1131"/>
      <c r="G1920" s="976"/>
      <c r="H1920" s="759"/>
      <c r="I1920" s="383"/>
      <c r="J1920" s="390"/>
      <c r="K1920" s="383"/>
      <c r="L1920" s="390"/>
      <c r="M1920" s="978"/>
      <c r="N1920" s="979"/>
      <c r="O1920" s="979"/>
      <c r="P1920" s="79" t="str">
        <f>IF(AND('331-CT'!$E$7=TH!H1920,OR(N1920="331",O1920="331")),"x","")</f>
        <v/>
      </c>
      <c r="Q1920" s="79" t="str">
        <f>IF(AND(B1920='111'!$L$11,OR($N1920=$Q$7,$O1920=$Q$7)),"x","")</f>
        <v/>
      </c>
      <c r="R1920" s="79" t="str">
        <f>IF(AND($N1920=$Q$7,$B1920&lt;'111'!$L$11),"x","")</f>
        <v/>
      </c>
      <c r="S1920" s="79" t="str">
        <f>IF(AND($O1920=$Q$7,$B1920&lt;'111'!$L$11),"x","")</f>
        <v/>
      </c>
      <c r="T1920" s="79" t="str">
        <f>IF(ISERROR(FIND('112'!$M$9,G1920,1)),"",IF((AND(FIND('112'!$M$9,G1920,1)&gt;=1,B1920='112'!$K$9,OR($N1920='112'!$I$6,$O1920='112'!$I$6))),"x",""))</f>
        <v/>
      </c>
      <c r="U1920" s="79" t="str">
        <f>IF(ISERROR(FIND('112'!$M$9,G1920,1)),"",IF((AND(LEFT(G1920,2)=LEFT('112'!$M$9,2),B1920&lt;'112'!$K$9,$N1920='112'!$I$6)),"x",""))</f>
        <v/>
      </c>
      <c r="V1920" s="79" t="str">
        <f>IF(ISERROR(FIND('112'!$M$9,G1920,1)),"",IF((AND(RIGHT(G1920,2)=RIGHT('112'!$M$9,2),B1920&lt;'112'!$K$9,$O1920='112'!$I$6)),"x",""))</f>
        <v/>
      </c>
      <c r="W1920" s="79" t="str">
        <f>IF(AND('341-CT'!$H$9=H1920,OR(LEFT(N1920,3)=$W$7,LEFT(O1920,3)=$W$7)),"x","")</f>
        <v/>
      </c>
      <c r="X1920" s="79" t="str">
        <f>IF(OR(TH!N1920=TH!$X$7,O1920=TH!$X$7),"x","")</f>
        <v/>
      </c>
      <c r="Y1920" s="79" t="str">
        <f>IF(AND(OR(N1920="131",O1920="131"),H1920='131-CT'!$H$9),"x","")</f>
        <v/>
      </c>
      <c r="Z1920" s="79"/>
      <c r="AA1920" s="79" t="str">
        <f>IF(AND(MONTH(E1920)='IN-NX'!$J$5,'IN-NX'!$D$7=D1920),"x","")</f>
        <v/>
      </c>
      <c r="AB1920" s="79" t="str">
        <f>IF(AND(OR(LEFT(TH!N1920,2)="15",LEFT(TH!O1920,2)="15"),LEFT(TH!O1920,3)&lt;&gt;"111",'152-CT'!$J$8=TH!F1920),"x","")</f>
        <v/>
      </c>
      <c r="AC1920" s="79" t="str">
        <f>IF(AND(OR(LEFT(TH!N1920,2)="15",LEFT(TH!O1920,2)="15"),TK!$E$7=TH!F1920),"x","")</f>
        <v/>
      </c>
      <c r="AD1920" s="79" t="str">
        <f>IF(AND(N1920="1521",MONTH(C1920)='BK-NL'!$M$11),"x","")</f>
        <v/>
      </c>
    </row>
    <row r="1921" spans="1:30" ht="16.5" customHeight="1">
      <c r="A1921" s="318" t="str">
        <f>IF(B1921&lt;&gt;"",IF(AND(B1921='IN-TC'!$S$4,OR(TH!N1921="1111",TH!O1921="1111")),TH!D1921,""),"")</f>
        <v/>
      </c>
      <c r="B1921" s="60" t="str">
        <f t="shared" si="225"/>
        <v/>
      </c>
      <c r="C1921" s="974"/>
      <c r="D1921" s="974"/>
      <c r="E1921" s="974"/>
      <c r="F1921" s="1131"/>
      <c r="G1921" s="976"/>
      <c r="H1921" s="759"/>
      <c r="I1921" s="383"/>
      <c r="J1921" s="390"/>
      <c r="K1921" s="383"/>
      <c r="L1921" s="390"/>
      <c r="M1921" s="978"/>
      <c r="N1921" s="979"/>
      <c r="O1921" s="979"/>
      <c r="P1921" s="79" t="str">
        <f>IF(AND('331-CT'!$E$7=TH!H1921,OR(N1921="331",O1921="331")),"x","")</f>
        <v/>
      </c>
      <c r="Q1921" s="79" t="str">
        <f>IF(AND(B1921='111'!$L$11,OR($N1921=$Q$7,$O1921=$Q$7)),"x","")</f>
        <v/>
      </c>
      <c r="R1921" s="79" t="str">
        <f>IF(AND($N1921=$Q$7,$B1921&lt;'111'!$L$11),"x","")</f>
        <v/>
      </c>
      <c r="S1921" s="79" t="str">
        <f>IF(AND($O1921=$Q$7,$B1921&lt;'111'!$L$11),"x","")</f>
        <v/>
      </c>
      <c r="T1921" s="79" t="str">
        <f>IF(ISERROR(FIND('112'!$M$9,G1921,1)),"",IF((AND(FIND('112'!$M$9,G1921,1)&gt;=1,B1921='112'!$K$9,OR($N1921='112'!$I$6,$O1921='112'!$I$6))),"x",""))</f>
        <v/>
      </c>
      <c r="U1921" s="79" t="str">
        <f>IF(ISERROR(FIND('112'!$M$9,G1921,1)),"",IF((AND(LEFT(G1921,2)=LEFT('112'!$M$9,2),B1921&lt;'112'!$K$9,$N1921='112'!$I$6)),"x",""))</f>
        <v/>
      </c>
      <c r="V1921" s="79" t="str">
        <f>IF(ISERROR(FIND('112'!$M$9,G1921,1)),"",IF((AND(RIGHT(G1921,2)=RIGHT('112'!$M$9,2),B1921&lt;'112'!$K$9,$O1921='112'!$I$6)),"x",""))</f>
        <v/>
      </c>
      <c r="W1921" s="79" t="str">
        <f>IF(AND('341-CT'!$H$9=H1921,OR(LEFT(N1921,3)=$W$7,LEFT(O1921,3)=$W$7)),"x","")</f>
        <v/>
      </c>
      <c r="X1921" s="79" t="str">
        <f>IF(OR(TH!N1921=TH!$X$7,O1921=TH!$X$7),"x","")</f>
        <v/>
      </c>
      <c r="Y1921" s="79" t="str">
        <f>IF(AND(OR(N1921="131",O1921="131"),H1921='131-CT'!$H$9),"x","")</f>
        <v/>
      </c>
      <c r="Z1921" s="79"/>
      <c r="AA1921" s="79" t="str">
        <f>IF(AND(MONTH(E1921)='IN-NX'!$J$5,'IN-NX'!$D$7=D1921),"x","")</f>
        <v/>
      </c>
      <c r="AB1921" s="79" t="str">
        <f>IF(AND(OR(LEFT(TH!N1921,2)="15",LEFT(TH!O1921,2)="15"),LEFT(TH!O1921,3)&lt;&gt;"111",'152-CT'!$J$8=TH!F1921),"x","")</f>
        <v/>
      </c>
      <c r="AC1921" s="79" t="str">
        <f>IF(AND(OR(LEFT(TH!N1921,2)="15",LEFT(TH!O1921,2)="15"),TK!$E$7=TH!F1921),"x","")</f>
        <v/>
      </c>
      <c r="AD1921" s="79" t="str">
        <f>IF(AND(N1921="1521",MONTH(C1921)='BK-NL'!$M$11),"x","")</f>
        <v/>
      </c>
    </row>
    <row r="1922" spans="1:30" ht="16.5" customHeight="1">
      <c r="A1922" s="318" t="str">
        <f>IF(B1922&lt;&gt;"",IF(AND(B1922='IN-TC'!$S$4,OR(TH!N1922="1111",TH!O1922="1111")),TH!D1922,""),"")</f>
        <v/>
      </c>
      <c r="B1922" s="60" t="str">
        <f t="shared" si="220"/>
        <v/>
      </c>
      <c r="C1922" s="974"/>
      <c r="D1922" s="974"/>
      <c r="E1922" s="974"/>
      <c r="F1922" s="1131"/>
      <c r="G1922" s="976"/>
      <c r="H1922" s="759"/>
      <c r="I1922" s="383"/>
      <c r="J1922" s="390"/>
      <c r="K1922" s="383"/>
      <c r="L1922" s="390"/>
      <c r="M1922" s="978"/>
      <c r="N1922" s="979"/>
      <c r="O1922" s="979"/>
      <c r="P1922" s="79" t="str">
        <f>IF(AND('331-CT'!$E$7=TH!H1922,OR(N1922="331",O1922="331")),"x","")</f>
        <v/>
      </c>
      <c r="Q1922" s="79" t="str">
        <f>IF(AND(B1922='111'!$L$11,OR($N1922=$Q$7,$O1922=$Q$7)),"x","")</f>
        <v/>
      </c>
      <c r="R1922" s="79" t="str">
        <f>IF(AND($N1922=$Q$7,$B1922&lt;'111'!$L$11),"x","")</f>
        <v/>
      </c>
      <c r="S1922" s="79" t="str">
        <f>IF(AND($O1922=$Q$7,$B1922&lt;'111'!$L$11),"x","")</f>
        <v/>
      </c>
      <c r="T1922" s="79" t="str">
        <f>IF(ISERROR(FIND('112'!$M$9,G1922,1)),"",IF((AND(FIND('112'!$M$9,G1922,1)&gt;=1,B1922='112'!$K$9,OR($N1922='112'!$I$6,$O1922='112'!$I$6))),"x",""))</f>
        <v/>
      </c>
      <c r="U1922" s="79" t="str">
        <f>IF(ISERROR(FIND('112'!$M$9,G1922,1)),"",IF((AND(LEFT(G1922,2)=LEFT('112'!$M$9,2),B1922&lt;'112'!$K$9,$N1922='112'!$I$6)),"x",""))</f>
        <v/>
      </c>
      <c r="V1922" s="79" t="str">
        <f>IF(ISERROR(FIND('112'!$M$9,G1922,1)),"",IF((AND(RIGHT(G1922,2)=RIGHT('112'!$M$9,2),B1922&lt;'112'!$K$9,$O1922='112'!$I$6)),"x",""))</f>
        <v/>
      </c>
      <c r="W1922" s="79" t="str">
        <f>IF(AND('341-CT'!$H$9=H1922,OR(LEFT(N1922,3)=$W$7,LEFT(O1922,3)=$W$7)),"x","")</f>
        <v/>
      </c>
      <c r="X1922" s="79" t="str">
        <f>IF(OR(TH!N1922=TH!$X$7,O1922=TH!$X$7),"x","")</f>
        <v/>
      </c>
      <c r="Y1922" s="79" t="str">
        <f>IF(AND(OR(N1922="131",O1922="131"),H1922='131-CT'!$H$9),"x","")</f>
        <v/>
      </c>
      <c r="Z1922" s="79"/>
      <c r="AA1922" s="79" t="str">
        <f>IF(AND(MONTH(E1922)='IN-NX'!$J$5,'IN-NX'!$D$7=D1922),"x","")</f>
        <v/>
      </c>
      <c r="AB1922" s="79" t="str">
        <f>IF(AND(OR(LEFT(TH!N1922,2)="15",LEFT(TH!O1922,2)="15"),LEFT(TH!O1922,3)&lt;&gt;"111",'152-CT'!$J$8=TH!F1922),"x","")</f>
        <v/>
      </c>
      <c r="AC1922" s="79" t="str">
        <f>IF(AND(OR(LEFT(TH!N1922,2)="15",LEFT(TH!O1922,2)="15"),TK!$E$7=TH!F1922),"x","")</f>
        <v/>
      </c>
      <c r="AD1922" s="79" t="str">
        <f>IF(AND(N1922="1521",MONTH(C1922)='BK-NL'!$M$11),"x","")</f>
        <v/>
      </c>
    </row>
    <row r="1923" spans="1:30" ht="16.5" customHeight="1">
      <c r="A1923" s="318" t="str">
        <f>IF(B1923&lt;&gt;"",IF(AND(B1923='IN-TC'!$S$4,OR(TH!N1923="1111",TH!O1923="1111")),TH!D1923,""),"")</f>
        <v/>
      </c>
      <c r="B1923" s="60" t="str">
        <f t="shared" si="220"/>
        <v/>
      </c>
      <c r="C1923" s="974"/>
      <c r="D1923" s="974"/>
      <c r="E1923" s="974"/>
      <c r="F1923" s="1131"/>
      <c r="G1923" s="976"/>
      <c r="H1923" s="759"/>
      <c r="I1923" s="383"/>
      <c r="J1923" s="390"/>
      <c r="K1923" s="383"/>
      <c r="L1923" s="390"/>
      <c r="M1923" s="978"/>
      <c r="N1923" s="979"/>
      <c r="O1923" s="979"/>
      <c r="P1923" s="79" t="str">
        <f>IF(AND('331-CT'!$E$7=TH!H1923,OR(N1923="331",O1923="331")),"x","")</f>
        <v/>
      </c>
      <c r="Q1923" s="79" t="str">
        <f>IF(AND(B1923='111'!$L$11,OR($N1923=$Q$7,$O1923=$Q$7)),"x","")</f>
        <v/>
      </c>
      <c r="R1923" s="79" t="str">
        <f>IF(AND($N1923=$Q$7,$B1923&lt;'111'!$L$11),"x","")</f>
        <v/>
      </c>
      <c r="S1923" s="79" t="str">
        <f>IF(AND($O1923=$Q$7,$B1923&lt;'111'!$L$11),"x","")</f>
        <v/>
      </c>
      <c r="T1923" s="79" t="str">
        <f>IF(ISERROR(FIND('112'!$M$9,G1923,1)),"",IF((AND(FIND('112'!$M$9,G1923,1)&gt;=1,B1923='112'!$K$9,OR($N1923='112'!$I$6,$O1923='112'!$I$6))),"x",""))</f>
        <v/>
      </c>
      <c r="U1923" s="79" t="str">
        <f>IF(ISERROR(FIND('112'!$M$9,G1923,1)),"",IF((AND(LEFT(G1923,2)=LEFT('112'!$M$9,2),B1923&lt;'112'!$K$9,$N1923='112'!$I$6)),"x",""))</f>
        <v/>
      </c>
      <c r="V1923" s="79" t="str">
        <f>IF(ISERROR(FIND('112'!$M$9,G1923,1)),"",IF((AND(RIGHT(G1923,2)=RIGHT('112'!$M$9,2),B1923&lt;'112'!$K$9,$O1923='112'!$I$6)),"x",""))</f>
        <v/>
      </c>
      <c r="W1923" s="79" t="str">
        <f>IF(AND('341-CT'!$H$9=H1923,OR(LEFT(N1923,3)=$W$7,LEFT(O1923,3)=$W$7)),"x","")</f>
        <v/>
      </c>
      <c r="X1923" s="79" t="str">
        <f>IF(OR(TH!N1923=TH!$X$7,O1923=TH!$X$7),"x","")</f>
        <v/>
      </c>
      <c r="Y1923" s="79" t="str">
        <f>IF(AND(OR(N1923="131",O1923="131"),H1923='131-CT'!$H$9),"x","")</f>
        <v/>
      </c>
      <c r="Z1923" s="79"/>
      <c r="AA1923" s="79" t="str">
        <f>IF(AND(MONTH(E1923)='IN-NX'!$J$5,'IN-NX'!$D$7=D1923),"x","")</f>
        <v/>
      </c>
      <c r="AB1923" s="79" t="str">
        <f>IF(AND(OR(LEFT(TH!N1923,2)="15",LEFT(TH!O1923,2)="15"),LEFT(TH!O1923,3)&lt;&gt;"111",'152-CT'!$J$8=TH!F1923),"x","")</f>
        <v/>
      </c>
      <c r="AC1923" s="79" t="str">
        <f>IF(AND(OR(LEFT(TH!N1923,2)="15",LEFT(TH!O1923,2)="15"),TK!$E$7=TH!F1923),"x","")</f>
        <v/>
      </c>
      <c r="AD1923" s="79" t="str">
        <f>IF(AND(N1923="1521",MONTH(C1923)='BK-NL'!$M$11),"x","")</f>
        <v/>
      </c>
    </row>
    <row r="1924" spans="1:30" ht="16.5" customHeight="1">
      <c r="A1924" s="318" t="str">
        <f>IF(B1924&lt;&gt;"",IF(AND(B1924='IN-TC'!$S$4,OR(TH!N1924="1111",TH!O1924="1111")),TH!D1924,""),"")</f>
        <v/>
      </c>
      <c r="B1924" s="60" t="str">
        <f t="shared" si="220"/>
        <v/>
      </c>
      <c r="C1924" s="974"/>
      <c r="D1924" s="974"/>
      <c r="E1924" s="974"/>
      <c r="F1924" s="1131"/>
      <c r="G1924" s="976"/>
      <c r="H1924" s="759"/>
      <c r="I1924" s="383"/>
      <c r="J1924" s="390"/>
      <c r="K1924" s="383"/>
      <c r="L1924" s="390"/>
      <c r="M1924" s="978"/>
      <c r="N1924" s="979"/>
      <c r="O1924" s="979"/>
      <c r="P1924" s="79" t="str">
        <f>IF(AND('331-CT'!$E$7=TH!H1924,OR(N1924="331",O1924="331")),"x","")</f>
        <v/>
      </c>
      <c r="Q1924" s="79" t="str">
        <f>IF(AND(B1924='111'!$L$11,OR($N1924=$Q$7,$O1924=$Q$7)),"x","")</f>
        <v/>
      </c>
      <c r="R1924" s="79" t="str">
        <f>IF(AND($N1924=$Q$7,$B1924&lt;'111'!$L$11),"x","")</f>
        <v/>
      </c>
      <c r="S1924" s="79" t="str">
        <f>IF(AND($O1924=$Q$7,$B1924&lt;'111'!$L$11),"x","")</f>
        <v/>
      </c>
      <c r="T1924" s="79" t="str">
        <f>IF(ISERROR(FIND('112'!$M$9,G1924,1)),"",IF((AND(FIND('112'!$M$9,G1924,1)&gt;=1,B1924='112'!$K$9,OR($N1924='112'!$I$6,$O1924='112'!$I$6))),"x",""))</f>
        <v/>
      </c>
      <c r="U1924" s="79" t="str">
        <f>IF(ISERROR(FIND('112'!$M$9,G1924,1)),"",IF((AND(LEFT(G1924,2)=LEFT('112'!$M$9,2),B1924&lt;'112'!$K$9,$N1924='112'!$I$6)),"x",""))</f>
        <v/>
      </c>
      <c r="V1924" s="79" t="str">
        <f>IF(ISERROR(FIND('112'!$M$9,G1924,1)),"",IF((AND(RIGHT(G1924,2)=RIGHT('112'!$M$9,2),B1924&lt;'112'!$K$9,$O1924='112'!$I$6)),"x",""))</f>
        <v/>
      </c>
      <c r="W1924" s="79" t="str">
        <f>IF(AND('341-CT'!$H$9=H1924,OR(LEFT(N1924,3)=$W$7,LEFT(O1924,3)=$W$7)),"x","")</f>
        <v/>
      </c>
      <c r="X1924" s="79" t="str">
        <f>IF(OR(TH!N1924=TH!$X$7,O1924=TH!$X$7),"x","")</f>
        <v/>
      </c>
      <c r="Y1924" s="79" t="str">
        <f>IF(AND(OR(N1924="131",O1924="131"),H1924='131-CT'!$H$9),"x","")</f>
        <v/>
      </c>
      <c r="Z1924" s="79"/>
      <c r="AA1924" s="79" t="str">
        <f>IF(AND(MONTH(E1924)='IN-NX'!$J$5,'IN-NX'!$D$7=D1924),"x","")</f>
        <v/>
      </c>
      <c r="AB1924" s="79" t="str">
        <f>IF(AND(OR(LEFT(TH!N1924,2)="15",LEFT(TH!O1924,2)="15"),LEFT(TH!O1924,3)&lt;&gt;"111",'152-CT'!$J$8=TH!F1924),"x","")</f>
        <v/>
      </c>
      <c r="AC1924" s="79" t="str">
        <f>IF(AND(OR(LEFT(TH!N1924,2)="15",LEFT(TH!O1924,2)="15"),TK!$E$7=TH!F1924),"x","")</f>
        <v/>
      </c>
      <c r="AD1924" s="79" t="str">
        <f>IF(AND(N1924="1521",MONTH(C1924)='BK-NL'!$M$11),"x","")</f>
        <v/>
      </c>
    </row>
    <row r="1925" spans="1:30" ht="16.5" customHeight="1">
      <c r="A1925" s="318" t="str">
        <f>IF(B1925&lt;&gt;"",IF(AND(B1925='IN-TC'!$S$4,OR(TH!N1925="1111",TH!O1925="1111")),TH!D1925,""),"")</f>
        <v/>
      </c>
      <c r="B1925" s="60" t="str">
        <f t="shared" si="220"/>
        <v/>
      </c>
      <c r="C1925" s="974"/>
      <c r="D1925" s="974"/>
      <c r="E1925" s="974"/>
      <c r="F1925" s="1131"/>
      <c r="G1925" s="976"/>
      <c r="H1925" s="759"/>
      <c r="I1925" s="383"/>
      <c r="J1925" s="390"/>
      <c r="K1925" s="383"/>
      <c r="L1925" s="390"/>
      <c r="M1925" s="978"/>
      <c r="N1925" s="979"/>
      <c r="O1925" s="979"/>
      <c r="P1925" s="79" t="str">
        <f>IF(AND('331-CT'!$E$7=TH!H1925,OR(N1925="331",O1925="331")),"x","")</f>
        <v/>
      </c>
      <c r="Q1925" s="79" t="str">
        <f>IF(AND(B1925='111'!$L$11,OR($N1925=$Q$7,$O1925=$Q$7)),"x","")</f>
        <v/>
      </c>
      <c r="R1925" s="79" t="str">
        <f>IF(AND($N1925=$Q$7,$B1925&lt;'111'!$L$11),"x","")</f>
        <v/>
      </c>
      <c r="S1925" s="79" t="str">
        <f>IF(AND($O1925=$Q$7,$B1925&lt;'111'!$L$11),"x","")</f>
        <v/>
      </c>
      <c r="T1925" s="79" t="str">
        <f>IF(ISERROR(FIND('112'!$M$9,G1925,1)),"",IF((AND(FIND('112'!$M$9,G1925,1)&gt;=1,B1925='112'!$K$9,OR($N1925='112'!$I$6,$O1925='112'!$I$6))),"x",""))</f>
        <v/>
      </c>
      <c r="U1925" s="79" t="str">
        <f>IF(ISERROR(FIND('112'!$M$9,G1925,1)),"",IF((AND(LEFT(G1925,2)=LEFT('112'!$M$9,2),B1925&lt;'112'!$K$9,$N1925='112'!$I$6)),"x",""))</f>
        <v/>
      </c>
      <c r="V1925" s="79" t="str">
        <f>IF(ISERROR(FIND('112'!$M$9,G1925,1)),"",IF((AND(RIGHT(G1925,2)=RIGHT('112'!$M$9,2),B1925&lt;'112'!$K$9,$O1925='112'!$I$6)),"x",""))</f>
        <v/>
      </c>
      <c r="W1925" s="79" t="str">
        <f>IF(AND('341-CT'!$H$9=H1925,OR(LEFT(N1925,3)=$W$7,LEFT(O1925,3)=$W$7)),"x","")</f>
        <v/>
      </c>
      <c r="X1925" s="79" t="str">
        <f>IF(OR(TH!N1925=TH!$X$7,O1925=TH!$X$7),"x","")</f>
        <v/>
      </c>
      <c r="Y1925" s="79" t="str">
        <f>IF(AND(OR(N1925="131",O1925="131"),H1925='131-CT'!$H$9),"x","")</f>
        <v/>
      </c>
      <c r="Z1925" s="79"/>
      <c r="AA1925" s="79" t="str">
        <f>IF(AND(MONTH(E1925)='IN-NX'!$J$5,'IN-NX'!$D$7=D1925),"x","")</f>
        <v/>
      </c>
      <c r="AB1925" s="79" t="str">
        <f>IF(AND(OR(LEFT(TH!N1925,2)="15",LEFT(TH!O1925,2)="15"),LEFT(TH!O1925,3)&lt;&gt;"111",'152-CT'!$J$8=TH!F1925),"x","")</f>
        <v/>
      </c>
      <c r="AC1925" s="79" t="str">
        <f>IF(AND(OR(LEFT(TH!N1925,2)="15",LEFT(TH!O1925,2)="15"),TK!$E$7=TH!F1925),"x","")</f>
        <v/>
      </c>
      <c r="AD1925" s="79" t="str">
        <f>IF(AND(N1925="1521",MONTH(C1925)='BK-NL'!$M$11),"x","")</f>
        <v/>
      </c>
    </row>
    <row r="1926" spans="1:30" ht="16.5" customHeight="1">
      <c r="A1926" s="318" t="str">
        <f>IF(B1926&lt;&gt;"",IF(AND(B1926='IN-TC'!$S$4,OR(TH!N1926="1111",TH!O1926="1111")),TH!D1926,""),"")</f>
        <v/>
      </c>
      <c r="B1926" s="60" t="str">
        <f t="shared" si="220"/>
        <v/>
      </c>
      <c r="C1926" s="974"/>
      <c r="D1926" s="974"/>
      <c r="E1926" s="974"/>
      <c r="F1926" s="1131"/>
      <c r="G1926" s="976"/>
      <c r="H1926" s="759"/>
      <c r="I1926" s="383"/>
      <c r="J1926" s="390"/>
      <c r="K1926" s="383"/>
      <c r="L1926" s="390"/>
      <c r="M1926" s="978"/>
      <c r="N1926" s="979"/>
      <c r="O1926" s="979"/>
      <c r="P1926" s="79" t="str">
        <f>IF(AND('331-CT'!$E$7=TH!H1926,OR(N1926="331",O1926="331")),"x","")</f>
        <v/>
      </c>
      <c r="Q1926" s="79" t="str">
        <f>IF(AND(B1926='111'!$L$11,OR($N1926=$Q$7,$O1926=$Q$7)),"x","")</f>
        <v/>
      </c>
      <c r="R1926" s="79" t="str">
        <f>IF(AND($N1926=$Q$7,$B1926&lt;'111'!$L$11),"x","")</f>
        <v/>
      </c>
      <c r="S1926" s="79" t="str">
        <f>IF(AND($O1926=$Q$7,$B1926&lt;'111'!$L$11),"x","")</f>
        <v/>
      </c>
      <c r="T1926" s="79" t="str">
        <f>IF(ISERROR(FIND('112'!$M$9,G1926,1)),"",IF((AND(FIND('112'!$M$9,G1926,1)&gt;=1,B1926='112'!$K$9,OR($N1926='112'!$I$6,$O1926='112'!$I$6))),"x",""))</f>
        <v/>
      </c>
      <c r="U1926" s="79" t="str">
        <f>IF(ISERROR(FIND('112'!$M$9,G1926,1)),"",IF((AND(LEFT(G1926,2)=LEFT('112'!$M$9,2),B1926&lt;'112'!$K$9,$N1926='112'!$I$6)),"x",""))</f>
        <v/>
      </c>
      <c r="V1926" s="79" t="str">
        <f>IF(ISERROR(FIND('112'!$M$9,G1926,1)),"",IF((AND(RIGHT(G1926,2)=RIGHT('112'!$M$9,2),B1926&lt;'112'!$K$9,$O1926='112'!$I$6)),"x",""))</f>
        <v/>
      </c>
      <c r="W1926" s="79" t="str">
        <f>IF(AND('341-CT'!$H$9=H1926,OR(LEFT(N1926,3)=$W$7,LEFT(O1926,3)=$W$7)),"x","")</f>
        <v/>
      </c>
      <c r="X1926" s="79" t="str">
        <f>IF(OR(TH!N1926=TH!$X$7,O1926=TH!$X$7),"x","")</f>
        <v/>
      </c>
      <c r="Y1926" s="79" t="str">
        <f>IF(AND(OR(N1926="131",O1926="131"),H1926='131-CT'!$H$9),"x","")</f>
        <v/>
      </c>
      <c r="Z1926" s="79"/>
      <c r="AA1926" s="79" t="str">
        <f>IF(AND(MONTH(E1926)='IN-NX'!$J$5,'IN-NX'!$D$7=D1926),"x","")</f>
        <v/>
      </c>
      <c r="AB1926" s="79" t="str">
        <f>IF(AND(OR(LEFT(TH!N1926,2)="15",LEFT(TH!O1926,2)="15"),LEFT(TH!O1926,3)&lt;&gt;"111",'152-CT'!$J$8=TH!F1926),"x","")</f>
        <v/>
      </c>
      <c r="AC1926" s="79" t="str">
        <f>IF(AND(OR(LEFT(TH!N1926,2)="15",LEFT(TH!O1926,2)="15"),TK!$E$7=TH!F1926),"x","")</f>
        <v/>
      </c>
      <c r="AD1926" s="79" t="str">
        <f>IF(AND(N1926="1521",MONTH(C1926)='BK-NL'!$M$11),"x","")</f>
        <v/>
      </c>
    </row>
    <row r="1927" spans="1:30" ht="16.5" customHeight="1">
      <c r="A1927" s="318" t="str">
        <f>IF(B1927&lt;&gt;"",IF(AND(B1927='IN-TC'!$S$4,OR(TH!N1927="1111",TH!O1927="1111")),TH!D1927,""),"")</f>
        <v/>
      </c>
      <c r="B1927" s="60" t="str">
        <f t="shared" si="220"/>
        <v/>
      </c>
      <c r="C1927" s="974"/>
      <c r="D1927" s="974"/>
      <c r="E1927" s="974"/>
      <c r="F1927" s="1131"/>
      <c r="G1927" s="976"/>
      <c r="H1927" s="759"/>
      <c r="I1927" s="383"/>
      <c r="J1927" s="390"/>
      <c r="K1927" s="383"/>
      <c r="L1927" s="390"/>
      <c r="M1927" s="978"/>
      <c r="N1927" s="979"/>
      <c r="O1927" s="979"/>
      <c r="P1927" s="79" t="str">
        <f>IF(AND('331-CT'!$E$7=TH!H1927,OR(N1927="331",O1927="331")),"x","")</f>
        <v/>
      </c>
      <c r="Q1927" s="79" t="str">
        <f>IF(AND(B1927='111'!$L$11,OR($N1927=$Q$7,$O1927=$Q$7)),"x","")</f>
        <v/>
      </c>
      <c r="R1927" s="79" t="str">
        <f>IF(AND($N1927=$Q$7,$B1927&lt;'111'!$L$11),"x","")</f>
        <v/>
      </c>
      <c r="S1927" s="79" t="str">
        <f>IF(AND($O1927=$Q$7,$B1927&lt;'111'!$L$11),"x","")</f>
        <v/>
      </c>
      <c r="T1927" s="79" t="str">
        <f>IF(ISERROR(FIND('112'!$M$9,G1927,1)),"",IF((AND(FIND('112'!$M$9,G1927,1)&gt;=1,B1927='112'!$K$9,OR($N1927='112'!$I$6,$O1927='112'!$I$6))),"x",""))</f>
        <v/>
      </c>
      <c r="U1927" s="79" t="str">
        <f>IF(ISERROR(FIND('112'!$M$9,G1927,1)),"",IF((AND(LEFT(G1927,2)=LEFT('112'!$M$9,2),B1927&lt;'112'!$K$9,$N1927='112'!$I$6)),"x",""))</f>
        <v/>
      </c>
      <c r="V1927" s="79" t="str">
        <f>IF(ISERROR(FIND('112'!$M$9,G1927,1)),"",IF((AND(RIGHT(G1927,2)=RIGHT('112'!$M$9,2),B1927&lt;'112'!$K$9,$O1927='112'!$I$6)),"x",""))</f>
        <v/>
      </c>
      <c r="W1927" s="79" t="str">
        <f>IF(AND('341-CT'!$H$9=H1927,OR(LEFT(N1927,3)=$W$7,LEFT(O1927,3)=$W$7)),"x","")</f>
        <v/>
      </c>
      <c r="X1927" s="79" t="str">
        <f>IF(OR(TH!N1927=TH!$X$7,O1927=TH!$X$7),"x","")</f>
        <v/>
      </c>
      <c r="Y1927" s="79" t="str">
        <f>IF(AND(OR(N1927="131",O1927="131"),H1927='131-CT'!$H$9),"x","")</f>
        <v/>
      </c>
      <c r="Z1927" s="79"/>
      <c r="AA1927" s="79" t="str">
        <f>IF(AND(MONTH(E1927)='IN-NX'!$J$5,'IN-NX'!$D$7=D1927),"x","")</f>
        <v/>
      </c>
      <c r="AB1927" s="79" t="str">
        <f>IF(AND(OR(LEFT(TH!N1927,2)="15",LEFT(TH!O1927,2)="15"),LEFT(TH!O1927,3)&lt;&gt;"111",'152-CT'!$J$8=TH!F1927),"x","")</f>
        <v/>
      </c>
      <c r="AC1927" s="79" t="str">
        <f>IF(AND(OR(LEFT(TH!N1927,2)="15",LEFT(TH!O1927,2)="15"),TK!$E$7=TH!F1927),"x","")</f>
        <v/>
      </c>
      <c r="AD1927" s="79" t="str">
        <f>IF(AND(N1927="1521",MONTH(C1927)='BK-NL'!$M$11),"x","")</f>
        <v/>
      </c>
    </row>
    <row r="1928" spans="1:30" ht="16.5" customHeight="1">
      <c r="A1928" s="318" t="str">
        <f>IF(B1928&lt;&gt;"",IF(AND(B1928='IN-TC'!$S$4,OR(TH!N1928="1111",TH!O1928="1111")),TH!D1928,""),"")</f>
        <v/>
      </c>
      <c r="B1928" s="60" t="str">
        <f t="shared" si="220"/>
        <v/>
      </c>
      <c r="C1928" s="974"/>
      <c r="D1928" s="974"/>
      <c r="E1928" s="974"/>
      <c r="F1928" s="1131"/>
      <c r="G1928" s="976"/>
      <c r="H1928" s="759"/>
      <c r="I1928" s="383"/>
      <c r="J1928" s="390"/>
      <c r="K1928" s="383"/>
      <c r="L1928" s="390"/>
      <c r="M1928" s="978"/>
      <c r="N1928" s="979"/>
      <c r="O1928" s="979"/>
      <c r="P1928" s="79" t="str">
        <f>IF(AND('331-CT'!$E$7=TH!H1928,OR(N1928="331",O1928="331")),"x","")</f>
        <v/>
      </c>
      <c r="Q1928" s="79" t="str">
        <f>IF(AND(B1928='111'!$L$11,OR($N1928=$Q$7,$O1928=$Q$7)),"x","")</f>
        <v/>
      </c>
      <c r="R1928" s="79" t="str">
        <f>IF(AND($N1928=$Q$7,$B1928&lt;'111'!$L$11),"x","")</f>
        <v/>
      </c>
      <c r="S1928" s="79" t="str">
        <f>IF(AND($O1928=$Q$7,$B1928&lt;'111'!$L$11),"x","")</f>
        <v/>
      </c>
      <c r="T1928" s="79" t="str">
        <f>IF(ISERROR(FIND('112'!$M$9,G1928,1)),"",IF((AND(FIND('112'!$M$9,G1928,1)&gt;=1,B1928='112'!$K$9,OR($N1928='112'!$I$6,$O1928='112'!$I$6))),"x",""))</f>
        <v/>
      </c>
      <c r="U1928" s="79" t="str">
        <f>IF(ISERROR(FIND('112'!$M$9,G1928,1)),"",IF((AND(LEFT(G1928,2)=LEFT('112'!$M$9,2),B1928&lt;'112'!$K$9,$N1928='112'!$I$6)),"x",""))</f>
        <v/>
      </c>
      <c r="V1928" s="79" t="str">
        <f>IF(ISERROR(FIND('112'!$M$9,G1928,1)),"",IF((AND(RIGHT(G1928,2)=RIGHT('112'!$M$9,2),B1928&lt;'112'!$K$9,$O1928='112'!$I$6)),"x",""))</f>
        <v/>
      </c>
      <c r="W1928" s="79" t="str">
        <f>IF(AND('341-CT'!$H$9=H1928,OR(LEFT(N1928,3)=$W$7,LEFT(O1928,3)=$W$7)),"x","")</f>
        <v/>
      </c>
      <c r="X1928" s="79" t="str">
        <f>IF(OR(TH!N1928=TH!$X$7,O1928=TH!$X$7),"x","")</f>
        <v/>
      </c>
      <c r="Y1928" s="79" t="str">
        <f>IF(AND(OR(N1928="131",O1928="131"),H1928='131-CT'!$H$9),"x","")</f>
        <v/>
      </c>
      <c r="Z1928" s="79"/>
      <c r="AA1928" s="79" t="str">
        <f>IF(AND(MONTH(E1928)='IN-NX'!$J$5,'IN-NX'!$D$7=D1928),"x","")</f>
        <v/>
      </c>
      <c r="AB1928" s="79" t="str">
        <f>IF(AND(OR(LEFT(TH!N1928,2)="15",LEFT(TH!O1928,2)="15"),LEFT(TH!O1928,3)&lt;&gt;"111",'152-CT'!$J$8=TH!F1928),"x","")</f>
        <v/>
      </c>
      <c r="AC1928" s="79" t="str">
        <f>IF(AND(OR(LEFT(TH!N1928,2)="15",LEFT(TH!O1928,2)="15"),TK!$E$7=TH!F1928),"x","")</f>
        <v/>
      </c>
      <c r="AD1928" s="79" t="str">
        <f>IF(AND(N1928="1521",MONTH(C1928)='BK-NL'!$M$11),"x","")</f>
        <v/>
      </c>
    </row>
    <row r="1929" spans="1:30" ht="16.5" customHeight="1">
      <c r="A1929" s="318" t="str">
        <f>IF(B1929&lt;&gt;"",IF(AND(B1929='IN-TC'!$S$4,OR(TH!N1929="1111",TH!O1929="1111")),TH!D1929,""),"")</f>
        <v/>
      </c>
      <c r="B1929" s="60" t="str">
        <f t="shared" si="220"/>
        <v/>
      </c>
      <c r="C1929" s="974"/>
      <c r="D1929" s="974"/>
      <c r="E1929" s="974"/>
      <c r="F1929" s="1131"/>
      <c r="G1929" s="976"/>
      <c r="H1929" s="759"/>
      <c r="I1929" s="383"/>
      <c r="J1929" s="390"/>
      <c r="K1929" s="383"/>
      <c r="L1929" s="390"/>
      <c r="M1929" s="978"/>
      <c r="N1929" s="979"/>
      <c r="O1929" s="979"/>
      <c r="P1929" s="79" t="str">
        <f>IF(AND('331-CT'!$E$7=TH!H1929,OR(N1929="331",O1929="331")),"x","")</f>
        <v/>
      </c>
      <c r="Q1929" s="79" t="str">
        <f>IF(AND(B1929='111'!$L$11,OR($N1929=$Q$7,$O1929=$Q$7)),"x","")</f>
        <v/>
      </c>
      <c r="R1929" s="79" t="str">
        <f>IF(AND($N1929=$Q$7,$B1929&lt;'111'!$L$11),"x","")</f>
        <v/>
      </c>
      <c r="S1929" s="79" t="str">
        <f>IF(AND($O1929=$Q$7,$B1929&lt;'111'!$L$11),"x","")</f>
        <v/>
      </c>
      <c r="T1929" s="79" t="str">
        <f>IF(ISERROR(FIND('112'!$M$9,G1929,1)),"",IF((AND(FIND('112'!$M$9,G1929,1)&gt;=1,B1929='112'!$K$9,OR($N1929='112'!$I$6,$O1929='112'!$I$6))),"x",""))</f>
        <v/>
      </c>
      <c r="U1929" s="79" t="str">
        <f>IF(ISERROR(FIND('112'!$M$9,G1929,1)),"",IF((AND(LEFT(G1929,2)=LEFT('112'!$M$9,2),B1929&lt;'112'!$K$9,$N1929='112'!$I$6)),"x",""))</f>
        <v/>
      </c>
      <c r="V1929" s="79" t="str">
        <f>IF(ISERROR(FIND('112'!$M$9,G1929,1)),"",IF((AND(RIGHT(G1929,2)=RIGHT('112'!$M$9,2),B1929&lt;'112'!$K$9,$O1929='112'!$I$6)),"x",""))</f>
        <v/>
      </c>
      <c r="W1929" s="79" t="str">
        <f>IF(AND('341-CT'!$H$9=H1929,OR(LEFT(N1929,3)=$W$7,LEFT(O1929,3)=$W$7)),"x","")</f>
        <v/>
      </c>
      <c r="X1929" s="79" t="str">
        <f>IF(OR(TH!N1929=TH!$X$7,O1929=TH!$X$7),"x","")</f>
        <v/>
      </c>
      <c r="Y1929" s="79" t="str">
        <f>IF(AND(OR(N1929="131",O1929="131"),H1929='131-CT'!$H$9),"x","")</f>
        <v/>
      </c>
      <c r="Z1929" s="79"/>
      <c r="AA1929" s="79" t="str">
        <f>IF(AND(MONTH(E1929)='IN-NX'!$J$5,'IN-NX'!$D$7=D1929),"x","")</f>
        <v/>
      </c>
      <c r="AB1929" s="79" t="str">
        <f>IF(AND(OR(LEFT(TH!N1929,2)="15",LEFT(TH!O1929,2)="15"),LEFT(TH!O1929,3)&lt;&gt;"111",'152-CT'!$J$8=TH!F1929),"x","")</f>
        <v/>
      </c>
      <c r="AC1929" s="79" t="str">
        <f>IF(AND(OR(LEFT(TH!N1929,2)="15",LEFT(TH!O1929,2)="15"),TK!$E$7=TH!F1929),"x","")</f>
        <v/>
      </c>
      <c r="AD1929" s="79" t="str">
        <f>IF(AND(N1929="1521",MONTH(C1929)='BK-NL'!$M$11),"x","")</f>
        <v/>
      </c>
    </row>
    <row r="1930" spans="1:30" ht="16.5" customHeight="1">
      <c r="A1930" s="318" t="str">
        <f>IF(B1930&lt;&gt;"",IF(AND(B1930='IN-TC'!$S$4,OR(TH!N1930="1111",TH!O1930="1111")),TH!D1930,""),"")</f>
        <v/>
      </c>
      <c r="B1930" s="60" t="str">
        <f t="shared" si="220"/>
        <v/>
      </c>
      <c r="C1930" s="974"/>
      <c r="D1930" s="974"/>
      <c r="E1930" s="974"/>
      <c r="F1930" s="1131"/>
      <c r="G1930" s="976"/>
      <c r="H1930" s="759"/>
      <c r="I1930" s="383"/>
      <c r="J1930" s="390"/>
      <c r="K1930" s="383"/>
      <c r="L1930" s="390"/>
      <c r="M1930" s="978"/>
      <c r="N1930" s="979"/>
      <c r="O1930" s="979"/>
      <c r="P1930" s="79" t="str">
        <f>IF(AND('331-CT'!$E$7=TH!H1930,OR(N1930="331",O1930="331")),"x","")</f>
        <v/>
      </c>
      <c r="Q1930" s="79" t="str">
        <f>IF(AND(B1930='111'!$L$11,OR($N1930=$Q$7,$O1930=$Q$7)),"x","")</f>
        <v/>
      </c>
      <c r="R1930" s="79" t="str">
        <f>IF(AND($N1930=$Q$7,$B1930&lt;'111'!$L$11),"x","")</f>
        <v/>
      </c>
      <c r="S1930" s="79" t="str">
        <f>IF(AND($O1930=$Q$7,$B1930&lt;'111'!$L$11),"x","")</f>
        <v/>
      </c>
      <c r="T1930" s="79" t="str">
        <f>IF(ISERROR(FIND('112'!$M$9,G1930,1)),"",IF((AND(FIND('112'!$M$9,G1930,1)&gt;=1,B1930='112'!$K$9,OR($N1930='112'!$I$6,$O1930='112'!$I$6))),"x",""))</f>
        <v/>
      </c>
      <c r="U1930" s="79" t="str">
        <f>IF(ISERROR(FIND('112'!$M$9,G1930,1)),"",IF((AND(LEFT(G1930,2)=LEFT('112'!$M$9,2),B1930&lt;'112'!$K$9,$N1930='112'!$I$6)),"x",""))</f>
        <v/>
      </c>
      <c r="V1930" s="79" t="str">
        <f>IF(ISERROR(FIND('112'!$M$9,G1930,1)),"",IF((AND(RIGHT(G1930,2)=RIGHT('112'!$M$9,2),B1930&lt;'112'!$K$9,$O1930='112'!$I$6)),"x",""))</f>
        <v/>
      </c>
      <c r="W1930" s="79" t="str">
        <f>IF(AND('341-CT'!$H$9=H1930,OR(LEFT(N1930,3)=$W$7,LEFT(O1930,3)=$W$7)),"x","")</f>
        <v/>
      </c>
      <c r="X1930" s="79" t="str">
        <f>IF(OR(TH!N1930=TH!$X$7,O1930=TH!$X$7),"x","")</f>
        <v/>
      </c>
      <c r="Y1930" s="79" t="str">
        <f>IF(AND(OR(N1930="131",O1930="131"),H1930='131-CT'!$H$9),"x","")</f>
        <v/>
      </c>
      <c r="Z1930" s="79"/>
      <c r="AA1930" s="79" t="str">
        <f>IF(AND(MONTH(E1930)='IN-NX'!$J$5,'IN-NX'!$D$7=D1930),"x","")</f>
        <v/>
      </c>
      <c r="AB1930" s="79" t="str">
        <f>IF(AND(OR(LEFT(TH!N1930,2)="15",LEFT(TH!O1930,2)="15"),LEFT(TH!O1930,3)&lt;&gt;"111",'152-CT'!$J$8=TH!F1930),"x","")</f>
        <v/>
      </c>
      <c r="AC1930" s="79" t="str">
        <f>IF(AND(OR(LEFT(TH!N1930,2)="15",LEFT(TH!O1930,2)="15"),TK!$E$7=TH!F1930),"x","")</f>
        <v/>
      </c>
      <c r="AD1930" s="79" t="str">
        <f>IF(AND(N1930="1521",MONTH(C1930)='BK-NL'!$M$11),"x","")</f>
        <v/>
      </c>
    </row>
    <row r="1931" spans="1:30" ht="16.5" customHeight="1">
      <c r="A1931" s="318" t="str">
        <f>IF(B1931&lt;&gt;"",IF(AND(B1931='IN-TC'!$S$4,OR(TH!N1931="1111",TH!O1931="1111")),TH!D1931,""),"")</f>
        <v/>
      </c>
      <c r="B1931" s="60" t="str">
        <f t="shared" si="220"/>
        <v/>
      </c>
      <c r="C1931" s="974"/>
      <c r="D1931" s="974"/>
      <c r="E1931" s="974"/>
      <c r="F1931" s="1131"/>
      <c r="G1931" s="976"/>
      <c r="H1931" s="759"/>
      <c r="I1931" s="383"/>
      <c r="J1931" s="390"/>
      <c r="K1931" s="383"/>
      <c r="L1931" s="390"/>
      <c r="M1931" s="978"/>
      <c r="N1931" s="979"/>
      <c r="O1931" s="979"/>
      <c r="P1931" s="79" t="str">
        <f>IF(AND('331-CT'!$E$7=TH!H1931,OR(N1931="331",O1931="331")),"x","")</f>
        <v/>
      </c>
      <c r="Q1931" s="79" t="str">
        <f>IF(AND(B1931='111'!$L$11,OR($N1931=$Q$7,$O1931=$Q$7)),"x","")</f>
        <v/>
      </c>
      <c r="R1931" s="79" t="str">
        <f>IF(AND($N1931=$Q$7,$B1931&lt;'111'!$L$11),"x","")</f>
        <v/>
      </c>
      <c r="S1931" s="79" t="str">
        <f>IF(AND($O1931=$Q$7,$B1931&lt;'111'!$L$11),"x","")</f>
        <v/>
      </c>
      <c r="T1931" s="79" t="str">
        <f>IF(ISERROR(FIND('112'!$M$9,G1931,1)),"",IF((AND(FIND('112'!$M$9,G1931,1)&gt;=1,B1931='112'!$K$9,OR($N1931='112'!$I$6,$O1931='112'!$I$6))),"x",""))</f>
        <v/>
      </c>
      <c r="U1931" s="79" t="str">
        <f>IF(ISERROR(FIND('112'!$M$9,G1931,1)),"",IF((AND(LEFT(G1931,2)=LEFT('112'!$M$9,2),B1931&lt;'112'!$K$9,$N1931='112'!$I$6)),"x",""))</f>
        <v/>
      </c>
      <c r="V1931" s="79" t="str">
        <f>IF(ISERROR(FIND('112'!$M$9,G1931,1)),"",IF((AND(RIGHT(G1931,2)=RIGHT('112'!$M$9,2),B1931&lt;'112'!$K$9,$O1931='112'!$I$6)),"x",""))</f>
        <v/>
      </c>
      <c r="W1931" s="79" t="str">
        <f>IF(AND('341-CT'!$H$9=H1931,OR(LEFT(N1931,3)=$W$7,LEFT(O1931,3)=$W$7)),"x","")</f>
        <v/>
      </c>
      <c r="X1931" s="79" t="str">
        <f>IF(OR(TH!N1931=TH!$X$7,O1931=TH!$X$7),"x","")</f>
        <v/>
      </c>
      <c r="Y1931" s="79" t="str">
        <f>IF(AND(OR(N1931="131",O1931="131"),H1931='131-CT'!$H$9),"x","")</f>
        <v/>
      </c>
      <c r="Z1931" s="79"/>
      <c r="AA1931" s="79" t="str">
        <f>IF(AND(MONTH(E1931)='IN-NX'!$J$5,'IN-NX'!$D$7=D1931),"x","")</f>
        <v/>
      </c>
      <c r="AB1931" s="79" t="str">
        <f>IF(AND(OR(LEFT(TH!N1931,2)="15",LEFT(TH!O1931,2)="15"),LEFT(TH!O1931,3)&lt;&gt;"111",'152-CT'!$J$8=TH!F1931),"x","")</f>
        <v/>
      </c>
      <c r="AC1931" s="79" t="str">
        <f>IF(AND(OR(LEFT(TH!N1931,2)="15",LEFT(TH!O1931,2)="15"),TK!$E$7=TH!F1931),"x","")</f>
        <v/>
      </c>
      <c r="AD1931" s="79" t="str">
        <f>IF(AND(N1931="1521",MONTH(C1931)='BK-NL'!$M$11),"x","")</f>
        <v/>
      </c>
    </row>
    <row r="1932" spans="1:30" ht="16.5" customHeight="1">
      <c r="A1932" s="318" t="str">
        <f>IF(B1932&lt;&gt;"",IF(AND(B1932='IN-TC'!$S$4,OR(TH!N1932="1111",TH!O1932="1111")),TH!D1932,""),"")</f>
        <v/>
      </c>
      <c r="B1932" s="60" t="str">
        <f t="shared" si="220"/>
        <v/>
      </c>
      <c r="C1932" s="974"/>
      <c r="D1932" s="974"/>
      <c r="E1932" s="974"/>
      <c r="F1932" s="1131"/>
      <c r="G1932" s="976"/>
      <c r="H1932" s="759"/>
      <c r="I1932" s="383"/>
      <c r="J1932" s="390"/>
      <c r="K1932" s="383"/>
      <c r="L1932" s="390"/>
      <c r="M1932" s="978"/>
      <c r="N1932" s="979"/>
      <c r="O1932" s="979"/>
      <c r="P1932" s="79" t="str">
        <f>IF(AND('331-CT'!$E$7=TH!H1932,OR(N1932="331",O1932="331")),"x","")</f>
        <v/>
      </c>
      <c r="Q1932" s="79" t="str">
        <f>IF(AND(B1932='111'!$L$11,OR($N1932=$Q$7,$O1932=$Q$7)),"x","")</f>
        <v/>
      </c>
      <c r="R1932" s="79" t="str">
        <f>IF(AND($N1932=$Q$7,$B1932&lt;'111'!$L$11),"x","")</f>
        <v/>
      </c>
      <c r="S1932" s="79" t="str">
        <f>IF(AND($O1932=$Q$7,$B1932&lt;'111'!$L$11),"x","")</f>
        <v/>
      </c>
      <c r="T1932" s="79" t="str">
        <f>IF(ISERROR(FIND('112'!$M$9,G1932,1)),"",IF((AND(FIND('112'!$M$9,G1932,1)&gt;=1,B1932='112'!$K$9,OR($N1932='112'!$I$6,$O1932='112'!$I$6))),"x",""))</f>
        <v/>
      </c>
      <c r="U1932" s="79" t="str">
        <f>IF(ISERROR(FIND('112'!$M$9,G1932,1)),"",IF((AND(LEFT(G1932,2)=LEFT('112'!$M$9,2),B1932&lt;'112'!$K$9,$N1932='112'!$I$6)),"x",""))</f>
        <v/>
      </c>
      <c r="V1932" s="79" t="str">
        <f>IF(ISERROR(FIND('112'!$M$9,G1932,1)),"",IF((AND(RIGHT(G1932,2)=RIGHT('112'!$M$9,2),B1932&lt;'112'!$K$9,$O1932='112'!$I$6)),"x",""))</f>
        <v/>
      </c>
      <c r="W1932" s="79" t="str">
        <f>IF(AND('341-CT'!$H$9=H1932,OR(LEFT(N1932,3)=$W$7,LEFT(O1932,3)=$W$7)),"x","")</f>
        <v/>
      </c>
      <c r="X1932" s="79" t="str">
        <f>IF(OR(TH!N1932=TH!$X$7,O1932=TH!$X$7),"x","")</f>
        <v/>
      </c>
      <c r="Y1932" s="79" t="str">
        <f>IF(AND(OR(N1932="131",O1932="131"),H1932='131-CT'!$H$9),"x","")</f>
        <v/>
      </c>
      <c r="Z1932" s="79"/>
      <c r="AA1932" s="79" t="str">
        <f>IF(AND(MONTH(E1932)='IN-NX'!$J$5,'IN-NX'!$D$7=D1932),"x","")</f>
        <v/>
      </c>
      <c r="AB1932" s="79" t="str">
        <f>IF(AND(OR(LEFT(TH!N1932,2)="15",LEFT(TH!O1932,2)="15"),LEFT(TH!O1932,3)&lt;&gt;"111",'152-CT'!$J$8=TH!F1932),"x","")</f>
        <v/>
      </c>
      <c r="AC1932" s="79" t="str">
        <f>IF(AND(OR(LEFT(TH!N1932,2)="15",LEFT(TH!O1932,2)="15"),TK!$E$7=TH!F1932),"x","")</f>
        <v/>
      </c>
      <c r="AD1932" s="79" t="str">
        <f>IF(AND(N1932="1521",MONTH(C1932)='BK-NL'!$M$11),"x","")</f>
        <v/>
      </c>
    </row>
    <row r="1933" spans="1:30" ht="16.5" customHeight="1">
      <c r="A1933" s="318" t="str">
        <f>IF(B1933&lt;&gt;"",IF(AND(B1933='IN-TC'!$S$4,OR(TH!N1933="1111",TH!O1933="1111")),TH!D1933,""),"")</f>
        <v/>
      </c>
      <c r="B1933" s="60" t="str">
        <f t="shared" si="220"/>
        <v/>
      </c>
      <c r="C1933" s="974"/>
      <c r="D1933" s="974"/>
      <c r="E1933" s="974"/>
      <c r="F1933" s="1131"/>
      <c r="G1933" s="976"/>
      <c r="H1933" s="759"/>
      <c r="I1933" s="383"/>
      <c r="J1933" s="390"/>
      <c r="K1933" s="383"/>
      <c r="L1933" s="390"/>
      <c r="M1933" s="978"/>
      <c r="N1933" s="979"/>
      <c r="O1933" s="979"/>
      <c r="P1933" s="79" t="str">
        <f>IF(AND('331-CT'!$E$7=TH!H1933,OR(N1933="331",O1933="331")),"x","")</f>
        <v/>
      </c>
      <c r="Q1933" s="79" t="str">
        <f>IF(AND(B1933='111'!$L$11,OR($N1933=$Q$7,$O1933=$Q$7)),"x","")</f>
        <v/>
      </c>
      <c r="R1933" s="79" t="str">
        <f>IF(AND($N1933=$Q$7,$B1933&lt;'111'!$L$11),"x","")</f>
        <v/>
      </c>
      <c r="S1933" s="79" t="str">
        <f>IF(AND($O1933=$Q$7,$B1933&lt;'111'!$L$11),"x","")</f>
        <v/>
      </c>
      <c r="T1933" s="79" t="str">
        <f>IF(ISERROR(FIND('112'!$M$9,G1933,1)),"",IF((AND(FIND('112'!$M$9,G1933,1)&gt;=1,B1933='112'!$K$9,OR($N1933='112'!$I$6,$O1933='112'!$I$6))),"x",""))</f>
        <v/>
      </c>
      <c r="U1933" s="79" t="str">
        <f>IF(ISERROR(FIND('112'!$M$9,G1933,1)),"",IF((AND(LEFT(G1933,2)=LEFT('112'!$M$9,2),B1933&lt;'112'!$K$9,$N1933='112'!$I$6)),"x",""))</f>
        <v/>
      </c>
      <c r="V1933" s="79" t="str">
        <f>IF(ISERROR(FIND('112'!$M$9,G1933,1)),"",IF((AND(RIGHT(G1933,2)=RIGHT('112'!$M$9,2),B1933&lt;'112'!$K$9,$O1933='112'!$I$6)),"x",""))</f>
        <v/>
      </c>
      <c r="W1933" s="79" t="str">
        <f>IF(AND('341-CT'!$H$9=H1933,OR(LEFT(N1933,3)=$W$7,LEFT(O1933,3)=$W$7)),"x","")</f>
        <v/>
      </c>
      <c r="X1933" s="79" t="str">
        <f>IF(OR(TH!N1933=TH!$X$7,O1933=TH!$X$7),"x","")</f>
        <v/>
      </c>
      <c r="Y1933" s="79" t="str">
        <f>IF(AND(OR(N1933="131",O1933="131"),H1933='131-CT'!$H$9),"x","")</f>
        <v/>
      </c>
      <c r="Z1933" s="79"/>
      <c r="AA1933" s="79" t="str">
        <f>IF(AND(MONTH(E1933)='IN-NX'!$J$5,'IN-NX'!$D$7=D1933),"x","")</f>
        <v/>
      </c>
      <c r="AB1933" s="79" t="str">
        <f>IF(AND(OR(LEFT(TH!N1933,2)="15",LEFT(TH!O1933,2)="15"),LEFT(TH!O1933,3)&lt;&gt;"111",'152-CT'!$J$8=TH!F1933),"x","")</f>
        <v/>
      </c>
      <c r="AC1933" s="79" t="str">
        <f>IF(AND(OR(LEFT(TH!N1933,2)="15",LEFT(TH!O1933,2)="15"),TK!$E$7=TH!F1933),"x","")</f>
        <v/>
      </c>
      <c r="AD1933" s="79" t="str">
        <f>IF(AND(N1933="1521",MONTH(C1933)='BK-NL'!$M$11),"x","")</f>
        <v/>
      </c>
    </row>
    <row r="1934" spans="1:30" ht="16.5" customHeight="1">
      <c r="A1934" s="318" t="str">
        <f>IF(B1934&lt;&gt;"",IF(AND(B1934='IN-TC'!$S$4,OR(TH!N1934="1111",TH!O1934="1111")),TH!D1934,""),"")</f>
        <v/>
      </c>
      <c r="B1934" s="60" t="str">
        <f t="shared" si="220"/>
        <v/>
      </c>
      <c r="C1934" s="974"/>
      <c r="D1934" s="974"/>
      <c r="E1934" s="974"/>
      <c r="F1934" s="1131"/>
      <c r="G1934" s="976"/>
      <c r="H1934" s="759"/>
      <c r="I1934" s="383"/>
      <c r="J1934" s="390"/>
      <c r="K1934" s="383"/>
      <c r="L1934" s="390"/>
      <c r="M1934" s="978"/>
      <c r="N1934" s="979"/>
      <c r="O1934" s="979"/>
      <c r="P1934" s="79" t="str">
        <f>IF(AND('331-CT'!$E$7=TH!H1934,OR(N1934="331",O1934="331")),"x","")</f>
        <v/>
      </c>
      <c r="Q1934" s="79" t="str">
        <f>IF(AND(B1934='111'!$L$11,OR($N1934=$Q$7,$O1934=$Q$7)),"x","")</f>
        <v/>
      </c>
      <c r="R1934" s="79" t="str">
        <f>IF(AND($N1934=$Q$7,$B1934&lt;'111'!$L$11),"x","")</f>
        <v/>
      </c>
      <c r="S1934" s="79" t="str">
        <f>IF(AND($O1934=$Q$7,$B1934&lt;'111'!$L$11),"x","")</f>
        <v/>
      </c>
      <c r="T1934" s="79" t="str">
        <f>IF(ISERROR(FIND('112'!$M$9,G1934,1)),"",IF((AND(FIND('112'!$M$9,G1934,1)&gt;=1,B1934='112'!$K$9,OR($N1934='112'!$I$6,$O1934='112'!$I$6))),"x",""))</f>
        <v/>
      </c>
      <c r="U1934" s="79" t="str">
        <f>IF(ISERROR(FIND('112'!$M$9,G1934,1)),"",IF((AND(LEFT(G1934,2)=LEFT('112'!$M$9,2),B1934&lt;'112'!$K$9,$N1934='112'!$I$6)),"x",""))</f>
        <v/>
      </c>
      <c r="V1934" s="79" t="str">
        <f>IF(ISERROR(FIND('112'!$M$9,G1934,1)),"",IF((AND(RIGHT(G1934,2)=RIGHT('112'!$M$9,2),B1934&lt;'112'!$K$9,$O1934='112'!$I$6)),"x",""))</f>
        <v/>
      </c>
      <c r="W1934" s="79" t="str">
        <f>IF(AND('341-CT'!$H$9=H1934,OR(LEFT(N1934,3)=$W$7,LEFT(O1934,3)=$W$7)),"x","")</f>
        <v/>
      </c>
      <c r="X1934" s="79" t="str">
        <f>IF(OR(TH!N1934=TH!$X$7,O1934=TH!$X$7),"x","")</f>
        <v/>
      </c>
      <c r="Y1934" s="79" t="str">
        <f>IF(AND(OR(N1934="131",O1934="131"),H1934='131-CT'!$H$9),"x","")</f>
        <v/>
      </c>
      <c r="Z1934" s="79"/>
      <c r="AA1934" s="79" t="str">
        <f>IF(AND(MONTH(E1934)='IN-NX'!$J$5,'IN-NX'!$D$7=D1934),"x","")</f>
        <v/>
      </c>
      <c r="AB1934" s="79" t="str">
        <f>IF(AND(OR(LEFT(TH!N1934,2)="15",LEFT(TH!O1934,2)="15"),LEFT(TH!O1934,3)&lt;&gt;"111",'152-CT'!$J$8=TH!F1934),"x","")</f>
        <v/>
      </c>
      <c r="AC1934" s="79" t="str">
        <f>IF(AND(OR(LEFT(TH!N1934,2)="15",LEFT(TH!O1934,2)="15"),TK!$E$7=TH!F1934),"x","")</f>
        <v/>
      </c>
      <c r="AD1934" s="79" t="str">
        <f>IF(AND(N1934="1521",MONTH(C1934)='BK-NL'!$M$11),"x","")</f>
        <v/>
      </c>
    </row>
    <row r="1935" spans="1:30" ht="16.5" customHeight="1">
      <c r="A1935" s="318" t="str">
        <f>IF(B1935&lt;&gt;"",IF(AND(B1935='IN-TC'!$S$4,OR(TH!N1935="1111",TH!O1935="1111")),TH!D1935,""),"")</f>
        <v/>
      </c>
      <c r="B1935" s="60" t="str">
        <f t="shared" si="220"/>
        <v/>
      </c>
      <c r="C1935" s="974"/>
      <c r="D1935" s="974"/>
      <c r="E1935" s="974"/>
      <c r="F1935" s="1131"/>
      <c r="G1935" s="976"/>
      <c r="H1935" s="759"/>
      <c r="I1935" s="383"/>
      <c r="J1935" s="390"/>
      <c r="K1935" s="383"/>
      <c r="L1935" s="390"/>
      <c r="M1935" s="978"/>
      <c r="N1935" s="979"/>
      <c r="O1935" s="979"/>
      <c r="P1935" s="79" t="str">
        <f>IF(AND('331-CT'!$E$7=TH!H1935,OR(N1935="331",O1935="331")),"x","")</f>
        <v/>
      </c>
      <c r="Q1935" s="79" t="str">
        <f>IF(AND(B1935='111'!$L$11,OR($N1935=$Q$7,$O1935=$Q$7)),"x","")</f>
        <v/>
      </c>
      <c r="R1935" s="79" t="str">
        <f>IF(AND($N1935=$Q$7,$B1935&lt;'111'!$L$11),"x","")</f>
        <v/>
      </c>
      <c r="S1935" s="79" t="str">
        <f>IF(AND($O1935=$Q$7,$B1935&lt;'111'!$L$11),"x","")</f>
        <v/>
      </c>
      <c r="T1935" s="79" t="str">
        <f>IF(ISERROR(FIND('112'!$M$9,G1935,1)),"",IF((AND(FIND('112'!$M$9,G1935,1)&gt;=1,B1935='112'!$K$9,OR($N1935='112'!$I$6,$O1935='112'!$I$6))),"x",""))</f>
        <v/>
      </c>
      <c r="U1935" s="79" t="str">
        <f>IF(ISERROR(FIND('112'!$M$9,G1935,1)),"",IF((AND(LEFT(G1935,2)=LEFT('112'!$M$9,2),B1935&lt;'112'!$K$9,$N1935='112'!$I$6)),"x",""))</f>
        <v/>
      </c>
      <c r="V1935" s="79" t="str">
        <f>IF(ISERROR(FIND('112'!$M$9,G1935,1)),"",IF((AND(RIGHT(G1935,2)=RIGHT('112'!$M$9,2),B1935&lt;'112'!$K$9,$O1935='112'!$I$6)),"x",""))</f>
        <v/>
      </c>
      <c r="W1935" s="79" t="str">
        <f>IF(AND('341-CT'!$H$9=H1935,OR(LEFT(N1935,3)=$W$7,LEFT(O1935,3)=$W$7)),"x","")</f>
        <v/>
      </c>
      <c r="X1935" s="79" t="str">
        <f>IF(OR(TH!N1935=TH!$X$7,O1935=TH!$X$7),"x","")</f>
        <v/>
      </c>
      <c r="Y1935" s="79" t="str">
        <f>IF(AND(OR(N1935="131",O1935="131"),H1935='131-CT'!$H$9),"x","")</f>
        <v/>
      </c>
      <c r="Z1935" s="79"/>
      <c r="AA1935" s="79" t="str">
        <f>IF(AND(MONTH(E1935)='IN-NX'!$J$5,'IN-NX'!$D$7=D1935),"x","")</f>
        <v/>
      </c>
      <c r="AB1935" s="79" t="str">
        <f>IF(AND(OR(LEFT(TH!N1935,2)="15",LEFT(TH!O1935,2)="15"),LEFT(TH!O1935,3)&lt;&gt;"111",'152-CT'!$J$8=TH!F1935),"x","")</f>
        <v/>
      </c>
      <c r="AC1935" s="79" t="str">
        <f>IF(AND(OR(LEFT(TH!N1935,2)="15",LEFT(TH!O1935,2)="15"),TK!$E$7=TH!F1935),"x","")</f>
        <v/>
      </c>
      <c r="AD1935" s="79" t="str">
        <f>IF(AND(N1935="1521",MONTH(C1935)='BK-NL'!$M$11),"x","")</f>
        <v/>
      </c>
    </row>
    <row r="1936" spans="1:30" ht="16.5" customHeight="1">
      <c r="A1936" s="318" t="str">
        <f>IF(B1936&lt;&gt;"",IF(AND(B1936='IN-TC'!$S$4,OR(TH!N1936="1111",TH!O1936="1111")),TH!D1936,""),"")</f>
        <v/>
      </c>
      <c r="B1936" s="60" t="str">
        <f t="shared" si="220"/>
        <v/>
      </c>
      <c r="C1936" s="974"/>
      <c r="D1936" s="974"/>
      <c r="E1936" s="974"/>
      <c r="F1936" s="1131"/>
      <c r="G1936" s="976"/>
      <c r="H1936" s="759"/>
      <c r="I1936" s="383"/>
      <c r="J1936" s="390"/>
      <c r="K1936" s="383"/>
      <c r="L1936" s="390"/>
      <c r="M1936" s="978"/>
      <c r="N1936" s="979"/>
      <c r="O1936" s="979"/>
      <c r="P1936" s="79" t="str">
        <f>IF(AND('331-CT'!$E$7=TH!H1936,OR(N1936="331",O1936="331")),"x","")</f>
        <v/>
      </c>
      <c r="Q1936" s="79" t="str">
        <f>IF(AND(B1936='111'!$L$11,OR($N1936=$Q$7,$O1936=$Q$7)),"x","")</f>
        <v/>
      </c>
      <c r="R1936" s="79" t="str">
        <f>IF(AND($N1936=$Q$7,$B1936&lt;'111'!$L$11),"x","")</f>
        <v/>
      </c>
      <c r="S1936" s="79" t="str">
        <f>IF(AND($O1936=$Q$7,$B1936&lt;'111'!$L$11),"x","")</f>
        <v/>
      </c>
      <c r="T1936" s="79" t="str">
        <f>IF(ISERROR(FIND('112'!$M$9,G1936,1)),"",IF((AND(FIND('112'!$M$9,G1936,1)&gt;=1,B1936='112'!$K$9,OR($N1936='112'!$I$6,$O1936='112'!$I$6))),"x",""))</f>
        <v/>
      </c>
      <c r="U1936" s="79" t="str">
        <f>IF(ISERROR(FIND('112'!$M$9,G1936,1)),"",IF((AND(LEFT(G1936,2)=LEFT('112'!$M$9,2),B1936&lt;'112'!$K$9,$N1936='112'!$I$6)),"x",""))</f>
        <v/>
      </c>
      <c r="V1936" s="79" t="str">
        <f>IF(ISERROR(FIND('112'!$M$9,G1936,1)),"",IF((AND(RIGHT(G1936,2)=RIGHT('112'!$M$9,2),B1936&lt;'112'!$K$9,$O1936='112'!$I$6)),"x",""))</f>
        <v/>
      </c>
      <c r="W1936" s="79" t="str">
        <f>IF(AND('341-CT'!$H$9=H1936,OR(LEFT(N1936,3)=$W$7,LEFT(O1936,3)=$W$7)),"x","")</f>
        <v/>
      </c>
      <c r="X1936" s="79" t="str">
        <f>IF(OR(TH!N1936=TH!$X$7,O1936=TH!$X$7),"x","")</f>
        <v/>
      </c>
      <c r="Y1936" s="79" t="str">
        <f>IF(AND(OR(N1936="131",O1936="131"),H1936='131-CT'!$H$9),"x","")</f>
        <v/>
      </c>
      <c r="Z1936" s="79"/>
      <c r="AA1936" s="79" t="str">
        <f>IF(AND(MONTH(E1936)='IN-NX'!$J$5,'IN-NX'!$D$7=D1936),"x","")</f>
        <v/>
      </c>
      <c r="AB1936" s="79" t="str">
        <f>IF(AND(OR(LEFT(TH!N1936,2)="15",LEFT(TH!O1936,2)="15"),LEFT(TH!O1936,3)&lt;&gt;"111",'152-CT'!$J$8=TH!F1936),"x","")</f>
        <v/>
      </c>
      <c r="AC1936" s="79" t="str">
        <f>IF(AND(OR(LEFT(TH!N1936,2)="15",LEFT(TH!O1936,2)="15"),TK!$E$7=TH!F1936),"x","")</f>
        <v/>
      </c>
      <c r="AD1936" s="79" t="str">
        <f>IF(AND(N1936="1521",MONTH(C1936)='BK-NL'!$M$11),"x","")</f>
        <v/>
      </c>
    </row>
    <row r="1937" spans="1:30" ht="16.5" customHeight="1">
      <c r="A1937" s="318" t="str">
        <f>IF(B1937&lt;&gt;"",IF(AND(B1937='IN-TC'!$S$4,OR(TH!N1937="1111",TH!O1937="1111")),TH!D1937,""),"")</f>
        <v/>
      </c>
      <c r="B1937" s="60" t="str">
        <f t="shared" si="220"/>
        <v/>
      </c>
      <c r="C1937" s="974"/>
      <c r="D1937" s="974"/>
      <c r="E1937" s="974"/>
      <c r="F1937" s="1131"/>
      <c r="G1937" s="976"/>
      <c r="H1937" s="759"/>
      <c r="I1937" s="383"/>
      <c r="J1937" s="390"/>
      <c r="K1937" s="383"/>
      <c r="L1937" s="390"/>
      <c r="M1937" s="978"/>
      <c r="N1937" s="979"/>
      <c r="O1937" s="979"/>
      <c r="P1937" s="79" t="str">
        <f>IF(AND('331-CT'!$E$7=TH!H1937,OR(N1937="331",O1937="331")),"x","")</f>
        <v/>
      </c>
      <c r="Q1937" s="79" t="str">
        <f>IF(AND(B1937='111'!$L$11,OR($N1937=$Q$7,$O1937=$Q$7)),"x","")</f>
        <v/>
      </c>
      <c r="R1937" s="79" t="str">
        <f>IF(AND($N1937=$Q$7,$B1937&lt;'111'!$L$11),"x","")</f>
        <v/>
      </c>
      <c r="S1937" s="79" t="str">
        <f>IF(AND($O1937=$Q$7,$B1937&lt;'111'!$L$11),"x","")</f>
        <v/>
      </c>
      <c r="T1937" s="79" t="str">
        <f>IF(ISERROR(FIND('112'!$M$9,G1937,1)),"",IF((AND(FIND('112'!$M$9,G1937,1)&gt;=1,B1937='112'!$K$9,OR($N1937='112'!$I$6,$O1937='112'!$I$6))),"x",""))</f>
        <v/>
      </c>
      <c r="U1937" s="79" t="str">
        <f>IF(ISERROR(FIND('112'!$M$9,G1937,1)),"",IF((AND(LEFT(G1937,2)=LEFT('112'!$M$9,2),B1937&lt;'112'!$K$9,$N1937='112'!$I$6)),"x",""))</f>
        <v/>
      </c>
      <c r="V1937" s="79" t="str">
        <f>IF(ISERROR(FIND('112'!$M$9,G1937,1)),"",IF((AND(RIGHT(G1937,2)=RIGHT('112'!$M$9,2),B1937&lt;'112'!$K$9,$O1937='112'!$I$6)),"x",""))</f>
        <v/>
      </c>
      <c r="W1937" s="79" t="str">
        <f>IF(AND('341-CT'!$H$9=H1937,OR(LEFT(N1937,3)=$W$7,LEFT(O1937,3)=$W$7)),"x","")</f>
        <v/>
      </c>
      <c r="X1937" s="79" t="str">
        <f>IF(OR(TH!N1937=TH!$X$7,O1937=TH!$X$7),"x","")</f>
        <v/>
      </c>
      <c r="Y1937" s="79" t="str">
        <f>IF(AND(OR(N1937="131",O1937="131"),H1937='131-CT'!$H$9),"x","")</f>
        <v/>
      </c>
      <c r="Z1937" s="79"/>
      <c r="AA1937" s="79" t="str">
        <f>IF(AND(MONTH(E1937)='IN-NX'!$J$5,'IN-NX'!$D$7=D1937),"x","")</f>
        <v/>
      </c>
      <c r="AB1937" s="79" t="str">
        <f>IF(AND(OR(LEFT(TH!N1937,2)="15",LEFT(TH!O1937,2)="15"),LEFT(TH!O1937,3)&lt;&gt;"111",'152-CT'!$J$8=TH!F1937),"x","")</f>
        <v/>
      </c>
      <c r="AC1937" s="79" t="str">
        <f>IF(AND(OR(LEFT(TH!N1937,2)="15",LEFT(TH!O1937,2)="15"),TK!$E$7=TH!F1937),"x","")</f>
        <v/>
      </c>
      <c r="AD1937" s="79" t="str">
        <f>IF(AND(N1937="1521",MONTH(C1937)='BK-NL'!$M$11),"x","")</f>
        <v/>
      </c>
    </row>
    <row r="1938" spans="1:30" ht="16.5" customHeight="1">
      <c r="A1938" s="318" t="str">
        <f>IF(B1938&lt;&gt;"",IF(AND(B1938='IN-TC'!$S$4,OR(TH!N1938="1111",TH!O1938="1111")),TH!D1938,""),"")</f>
        <v/>
      </c>
      <c r="B1938" s="60" t="str">
        <f t="shared" ref="B1938:B1953" si="226">IF(C1938&lt;&gt;"",MONTH(C1938),"")</f>
        <v/>
      </c>
      <c r="C1938" s="974"/>
      <c r="D1938" s="974"/>
      <c r="E1938" s="974"/>
      <c r="F1938" s="1131"/>
      <c r="G1938" s="976"/>
      <c r="H1938" s="759"/>
      <c r="I1938" s="383"/>
      <c r="J1938" s="390"/>
      <c r="K1938" s="383"/>
      <c r="L1938" s="390"/>
      <c r="M1938" s="978"/>
      <c r="N1938" s="979"/>
      <c r="O1938" s="979"/>
      <c r="P1938" s="79" t="str">
        <f>IF(AND('331-CT'!$E$7=TH!H1938,OR(N1938="331",O1938="331")),"x","")</f>
        <v/>
      </c>
      <c r="Q1938" s="79" t="str">
        <f>IF(AND(B1938='111'!$L$11,OR($N1938=$Q$7,$O1938=$Q$7)),"x","")</f>
        <v/>
      </c>
      <c r="R1938" s="79" t="str">
        <f>IF(AND($N1938=$Q$7,$B1938&lt;'111'!$L$11),"x","")</f>
        <v/>
      </c>
      <c r="S1938" s="79" t="str">
        <f>IF(AND($O1938=$Q$7,$B1938&lt;'111'!$L$11),"x","")</f>
        <v/>
      </c>
      <c r="T1938" s="79" t="str">
        <f>IF(ISERROR(FIND('112'!$M$9,G1938,1)),"",IF((AND(FIND('112'!$M$9,G1938,1)&gt;=1,B1938='112'!$K$9,OR($N1938='112'!$I$6,$O1938='112'!$I$6))),"x",""))</f>
        <v/>
      </c>
      <c r="U1938" s="79" t="str">
        <f>IF(ISERROR(FIND('112'!$M$9,G1938,1)),"",IF((AND(LEFT(G1938,2)=LEFT('112'!$M$9,2),B1938&lt;'112'!$K$9,$N1938='112'!$I$6)),"x",""))</f>
        <v/>
      </c>
      <c r="V1938" s="79" t="str">
        <f>IF(ISERROR(FIND('112'!$M$9,G1938,1)),"",IF((AND(RIGHT(G1938,2)=RIGHT('112'!$M$9,2),B1938&lt;'112'!$K$9,$O1938='112'!$I$6)),"x",""))</f>
        <v/>
      </c>
      <c r="W1938" s="79" t="str">
        <f>IF(AND('341-CT'!$H$9=H1938,OR(LEFT(N1938,3)=$W$7,LEFT(O1938,3)=$W$7)),"x","")</f>
        <v/>
      </c>
      <c r="X1938" s="79" t="str">
        <f>IF(OR(TH!N1938=TH!$X$7,O1938=TH!$X$7),"x","")</f>
        <v/>
      </c>
      <c r="Y1938" s="79" t="str">
        <f>IF(AND(OR(N1938="131",O1938="131"),H1938='131-CT'!$H$9),"x","")</f>
        <v/>
      </c>
      <c r="Z1938" s="79"/>
      <c r="AA1938" s="79" t="str">
        <f>IF(AND(MONTH(E1938)='IN-NX'!$J$5,'IN-NX'!$D$7=D1938),"x","")</f>
        <v/>
      </c>
      <c r="AB1938" s="79" t="str">
        <f>IF(AND(OR(LEFT(TH!N1938,2)="15",LEFT(TH!O1938,2)="15"),LEFT(TH!O1938,3)&lt;&gt;"111",'152-CT'!$J$8=TH!F1938),"x","")</f>
        <v/>
      </c>
      <c r="AC1938" s="79" t="str">
        <f>IF(AND(OR(LEFT(TH!N1938,2)="15",LEFT(TH!O1938,2)="15"),TK!$E$7=TH!F1938),"x","")</f>
        <v/>
      </c>
      <c r="AD1938" s="79" t="str">
        <f>IF(AND(N1938="1521",MONTH(C1938)='BK-NL'!$M$11),"x","")</f>
        <v/>
      </c>
    </row>
    <row r="1939" spans="1:30" ht="16.5" customHeight="1">
      <c r="A1939" s="318" t="str">
        <f>IF(B1939&lt;&gt;"",IF(AND(B1939='IN-TC'!$S$4,OR(TH!N1939="1111",TH!O1939="1111")),TH!D1939,""),"")</f>
        <v/>
      </c>
      <c r="B1939" s="60" t="str">
        <f t="shared" si="226"/>
        <v/>
      </c>
      <c r="C1939" s="974"/>
      <c r="D1939" s="974"/>
      <c r="E1939" s="974"/>
      <c r="F1939" s="1131"/>
      <c r="G1939" s="976"/>
      <c r="H1939" s="759"/>
      <c r="I1939" s="383"/>
      <c r="J1939" s="390"/>
      <c r="K1939" s="383"/>
      <c r="L1939" s="390"/>
      <c r="M1939" s="978"/>
      <c r="N1939" s="979"/>
      <c r="O1939" s="979"/>
      <c r="P1939" s="79" t="str">
        <f>IF(AND('331-CT'!$E$7=TH!H1939,OR(N1939="331",O1939="331")),"x","")</f>
        <v/>
      </c>
      <c r="Q1939" s="79" t="str">
        <f>IF(AND(B1939='111'!$L$11,OR($N1939=$Q$7,$O1939=$Q$7)),"x","")</f>
        <v/>
      </c>
      <c r="R1939" s="79" t="str">
        <f>IF(AND($N1939=$Q$7,$B1939&lt;'111'!$L$11),"x","")</f>
        <v/>
      </c>
      <c r="S1939" s="79" t="str">
        <f>IF(AND($O1939=$Q$7,$B1939&lt;'111'!$L$11),"x","")</f>
        <v/>
      </c>
      <c r="T1939" s="79" t="str">
        <f>IF(ISERROR(FIND('112'!$M$9,G1939,1)),"",IF((AND(FIND('112'!$M$9,G1939,1)&gt;=1,B1939='112'!$K$9,OR($N1939='112'!$I$6,$O1939='112'!$I$6))),"x",""))</f>
        <v/>
      </c>
      <c r="U1939" s="79" t="str">
        <f>IF(ISERROR(FIND('112'!$M$9,G1939,1)),"",IF((AND(LEFT(G1939,2)=LEFT('112'!$M$9,2),B1939&lt;'112'!$K$9,$N1939='112'!$I$6)),"x",""))</f>
        <v/>
      </c>
      <c r="V1939" s="79" t="str">
        <f>IF(ISERROR(FIND('112'!$M$9,G1939,1)),"",IF((AND(RIGHT(G1939,2)=RIGHT('112'!$M$9,2),B1939&lt;'112'!$K$9,$O1939='112'!$I$6)),"x",""))</f>
        <v/>
      </c>
      <c r="W1939" s="79" t="str">
        <f>IF(AND('341-CT'!$H$9=H1939,OR(LEFT(N1939,3)=$W$7,LEFT(O1939,3)=$W$7)),"x","")</f>
        <v/>
      </c>
      <c r="X1939" s="79" t="str">
        <f>IF(OR(TH!N1939=TH!$X$7,O1939=TH!$X$7),"x","")</f>
        <v/>
      </c>
      <c r="Y1939" s="79" t="str">
        <f>IF(AND(OR(N1939="131",O1939="131"),H1939='131-CT'!$H$9),"x","")</f>
        <v/>
      </c>
      <c r="Z1939" s="79"/>
      <c r="AA1939" s="79" t="str">
        <f>IF(AND(MONTH(E1939)='IN-NX'!$J$5,'IN-NX'!$D$7=D1939),"x","")</f>
        <v/>
      </c>
      <c r="AB1939" s="79" t="str">
        <f>IF(AND(OR(LEFT(TH!N1939,2)="15",LEFT(TH!O1939,2)="15"),LEFT(TH!O1939,3)&lt;&gt;"111",'152-CT'!$J$8=TH!F1939),"x","")</f>
        <v/>
      </c>
      <c r="AC1939" s="79" t="str">
        <f>IF(AND(OR(LEFT(TH!N1939,2)="15",LEFT(TH!O1939,2)="15"),TK!$E$7=TH!F1939),"x","")</f>
        <v/>
      </c>
      <c r="AD1939" s="79" t="str">
        <f>IF(AND(N1939="1521",MONTH(C1939)='BK-NL'!$M$11),"x","")</f>
        <v/>
      </c>
    </row>
    <row r="1940" spans="1:30" ht="16.5" customHeight="1">
      <c r="A1940" s="318" t="str">
        <f>IF(B1940&lt;&gt;"",IF(AND(B1940='IN-TC'!$S$4,OR(TH!N1940="1111",TH!O1940="1111")),TH!D1940,""),"")</f>
        <v/>
      </c>
      <c r="B1940" s="60" t="str">
        <f t="shared" si="226"/>
        <v/>
      </c>
      <c r="C1940" s="974"/>
      <c r="D1940" s="974"/>
      <c r="E1940" s="974"/>
      <c r="F1940" s="1131"/>
      <c r="G1940" s="976"/>
      <c r="H1940" s="759"/>
      <c r="I1940" s="383"/>
      <c r="J1940" s="390"/>
      <c r="K1940" s="383"/>
      <c r="L1940" s="390"/>
      <c r="M1940" s="978"/>
      <c r="N1940" s="979"/>
      <c r="O1940" s="979"/>
      <c r="P1940" s="79" t="str">
        <f>IF(AND('331-CT'!$E$7=TH!H1940,OR(N1940="331",O1940="331")),"x","")</f>
        <v/>
      </c>
      <c r="Q1940" s="79" t="str">
        <f>IF(AND(B1940='111'!$L$11,OR($N1940=$Q$7,$O1940=$Q$7)),"x","")</f>
        <v/>
      </c>
      <c r="R1940" s="79" t="str">
        <f>IF(AND($N1940=$Q$7,$B1940&lt;'111'!$L$11),"x","")</f>
        <v/>
      </c>
      <c r="S1940" s="79" t="str">
        <f>IF(AND($O1940=$Q$7,$B1940&lt;'111'!$L$11),"x","")</f>
        <v/>
      </c>
      <c r="T1940" s="79" t="str">
        <f>IF(ISERROR(FIND('112'!$M$9,G1940,1)),"",IF((AND(FIND('112'!$M$9,G1940,1)&gt;=1,B1940='112'!$K$9,OR($N1940='112'!$I$6,$O1940='112'!$I$6))),"x",""))</f>
        <v/>
      </c>
      <c r="U1940" s="79" t="str">
        <f>IF(ISERROR(FIND('112'!$M$9,G1940,1)),"",IF((AND(LEFT(G1940,2)=LEFT('112'!$M$9,2),B1940&lt;'112'!$K$9,$N1940='112'!$I$6)),"x",""))</f>
        <v/>
      </c>
      <c r="V1940" s="79" t="str">
        <f>IF(ISERROR(FIND('112'!$M$9,G1940,1)),"",IF((AND(RIGHT(G1940,2)=RIGHT('112'!$M$9,2),B1940&lt;'112'!$K$9,$O1940='112'!$I$6)),"x",""))</f>
        <v/>
      </c>
      <c r="W1940" s="79" t="str">
        <f>IF(AND('341-CT'!$H$9=H1940,OR(LEFT(N1940,3)=$W$7,LEFT(O1940,3)=$W$7)),"x","")</f>
        <v/>
      </c>
      <c r="X1940" s="79" t="str">
        <f>IF(OR(TH!N1940=TH!$X$7,O1940=TH!$X$7),"x","")</f>
        <v/>
      </c>
      <c r="Y1940" s="79" t="str">
        <f>IF(AND(OR(N1940="131",O1940="131"),H1940='131-CT'!$H$9),"x","")</f>
        <v/>
      </c>
      <c r="Z1940" s="79"/>
      <c r="AA1940" s="79" t="str">
        <f>IF(AND(MONTH(E1940)='IN-NX'!$J$5,'IN-NX'!$D$7=D1940),"x","")</f>
        <v/>
      </c>
      <c r="AB1940" s="79" t="str">
        <f>IF(AND(OR(LEFT(TH!N1940,2)="15",LEFT(TH!O1940,2)="15"),LEFT(TH!O1940,3)&lt;&gt;"111",'152-CT'!$J$8=TH!F1940),"x","")</f>
        <v/>
      </c>
      <c r="AC1940" s="79" t="str">
        <f>IF(AND(OR(LEFT(TH!N1940,2)="15",LEFT(TH!O1940,2)="15"),TK!$E$7=TH!F1940),"x","")</f>
        <v/>
      </c>
      <c r="AD1940" s="79" t="str">
        <f>IF(AND(N1940="1521",MONTH(C1940)='BK-NL'!$M$11),"x","")</f>
        <v/>
      </c>
    </row>
    <row r="1941" spans="1:30" ht="16.5" customHeight="1">
      <c r="A1941" s="318" t="str">
        <f>IF(B1941&lt;&gt;"",IF(AND(B1941='IN-TC'!$S$4,OR(TH!N1941="1111",TH!O1941="1111")),TH!D1941,""),"")</f>
        <v/>
      </c>
      <c r="B1941" s="60" t="str">
        <f t="shared" si="226"/>
        <v/>
      </c>
      <c r="C1941" s="974"/>
      <c r="D1941" s="974"/>
      <c r="E1941" s="974"/>
      <c r="F1941" s="1131"/>
      <c r="G1941" s="976"/>
      <c r="H1941" s="759"/>
      <c r="I1941" s="383"/>
      <c r="J1941" s="390"/>
      <c r="K1941" s="383"/>
      <c r="L1941" s="390"/>
      <c r="M1941" s="978"/>
      <c r="N1941" s="979"/>
      <c r="O1941" s="979"/>
      <c r="P1941" s="79" t="str">
        <f>IF(AND('331-CT'!$E$7=TH!H1941,OR(N1941="331",O1941="331")),"x","")</f>
        <v/>
      </c>
      <c r="Q1941" s="79" t="str">
        <f>IF(AND(B1941='111'!$L$11,OR($N1941=$Q$7,$O1941=$Q$7)),"x","")</f>
        <v/>
      </c>
      <c r="R1941" s="79" t="str">
        <f>IF(AND($N1941=$Q$7,$B1941&lt;'111'!$L$11),"x","")</f>
        <v/>
      </c>
      <c r="S1941" s="79" t="str">
        <f>IF(AND($O1941=$Q$7,$B1941&lt;'111'!$L$11),"x","")</f>
        <v/>
      </c>
      <c r="T1941" s="79" t="str">
        <f>IF(ISERROR(FIND('112'!$M$9,G1941,1)),"",IF((AND(FIND('112'!$M$9,G1941,1)&gt;=1,B1941='112'!$K$9,OR($N1941='112'!$I$6,$O1941='112'!$I$6))),"x",""))</f>
        <v/>
      </c>
      <c r="U1941" s="79" t="str">
        <f>IF(ISERROR(FIND('112'!$M$9,G1941,1)),"",IF((AND(LEFT(G1941,2)=LEFT('112'!$M$9,2),B1941&lt;'112'!$K$9,$N1941='112'!$I$6)),"x",""))</f>
        <v/>
      </c>
      <c r="V1941" s="79" t="str">
        <f>IF(ISERROR(FIND('112'!$M$9,G1941,1)),"",IF((AND(RIGHT(G1941,2)=RIGHT('112'!$M$9,2),B1941&lt;'112'!$K$9,$O1941='112'!$I$6)),"x",""))</f>
        <v/>
      </c>
      <c r="W1941" s="79" t="str">
        <f>IF(AND('341-CT'!$H$9=H1941,OR(LEFT(N1941,3)=$W$7,LEFT(O1941,3)=$W$7)),"x","")</f>
        <v/>
      </c>
      <c r="X1941" s="79" t="str">
        <f>IF(OR(TH!N1941=TH!$X$7,O1941=TH!$X$7),"x","")</f>
        <v/>
      </c>
      <c r="Y1941" s="79" t="str">
        <f>IF(AND(OR(N1941="131",O1941="131"),H1941='131-CT'!$H$9),"x","")</f>
        <v/>
      </c>
      <c r="Z1941" s="79"/>
      <c r="AA1941" s="79" t="str">
        <f>IF(AND(MONTH(E1941)='IN-NX'!$J$5,'IN-NX'!$D$7=D1941),"x","")</f>
        <v/>
      </c>
      <c r="AB1941" s="79" t="str">
        <f>IF(AND(OR(LEFT(TH!N1941,2)="15",LEFT(TH!O1941,2)="15"),LEFT(TH!O1941,3)&lt;&gt;"111",'152-CT'!$J$8=TH!F1941),"x","")</f>
        <v/>
      </c>
      <c r="AC1941" s="79" t="str">
        <f>IF(AND(OR(LEFT(TH!N1941,2)="15",LEFT(TH!O1941,2)="15"),TK!$E$7=TH!F1941),"x","")</f>
        <v/>
      </c>
      <c r="AD1941" s="79" t="str">
        <f>IF(AND(N1941="1521",MONTH(C1941)='BK-NL'!$M$11),"x","")</f>
        <v/>
      </c>
    </row>
    <row r="1942" spans="1:30" ht="16.5" customHeight="1">
      <c r="A1942" s="318" t="str">
        <f>IF(B1942&lt;&gt;"",IF(AND(B1942='IN-TC'!$S$4,OR(TH!N1942="1111",TH!O1942="1111")),TH!D1942,""),"")</f>
        <v/>
      </c>
      <c r="B1942" s="60" t="str">
        <f t="shared" si="226"/>
        <v/>
      </c>
      <c r="C1942" s="974"/>
      <c r="D1942" s="974"/>
      <c r="E1942" s="974"/>
      <c r="F1942" s="1131"/>
      <c r="G1942" s="976"/>
      <c r="H1942" s="759"/>
      <c r="I1942" s="383"/>
      <c r="J1942" s="390"/>
      <c r="K1942" s="383"/>
      <c r="L1942" s="390"/>
      <c r="M1942" s="978"/>
      <c r="N1942" s="979"/>
      <c r="O1942" s="979"/>
      <c r="P1942" s="79" t="str">
        <f>IF(AND('331-CT'!$E$7=TH!H1942,OR(N1942="331",O1942="331")),"x","")</f>
        <v/>
      </c>
      <c r="Q1942" s="79" t="str">
        <f>IF(AND(B1942='111'!$L$11,OR($N1942=$Q$7,$O1942=$Q$7)),"x","")</f>
        <v/>
      </c>
      <c r="R1942" s="79" t="str">
        <f>IF(AND($N1942=$Q$7,$B1942&lt;'111'!$L$11),"x","")</f>
        <v/>
      </c>
      <c r="S1942" s="79" t="str">
        <f>IF(AND($O1942=$Q$7,$B1942&lt;'111'!$L$11),"x","")</f>
        <v/>
      </c>
      <c r="T1942" s="79" t="str">
        <f>IF(ISERROR(FIND('112'!$M$9,G1942,1)),"",IF((AND(FIND('112'!$M$9,G1942,1)&gt;=1,B1942='112'!$K$9,OR($N1942='112'!$I$6,$O1942='112'!$I$6))),"x",""))</f>
        <v/>
      </c>
      <c r="U1942" s="79" t="str">
        <f>IF(ISERROR(FIND('112'!$M$9,G1942,1)),"",IF((AND(LEFT(G1942,2)=LEFT('112'!$M$9,2),B1942&lt;'112'!$K$9,$N1942='112'!$I$6)),"x",""))</f>
        <v/>
      </c>
      <c r="V1942" s="79" t="str">
        <f>IF(ISERROR(FIND('112'!$M$9,G1942,1)),"",IF((AND(RIGHT(G1942,2)=RIGHT('112'!$M$9,2),B1942&lt;'112'!$K$9,$O1942='112'!$I$6)),"x",""))</f>
        <v/>
      </c>
      <c r="W1942" s="79" t="str">
        <f>IF(AND('341-CT'!$H$9=H1942,OR(LEFT(N1942,3)=$W$7,LEFT(O1942,3)=$W$7)),"x","")</f>
        <v/>
      </c>
      <c r="X1942" s="79" t="str">
        <f>IF(OR(TH!N1942=TH!$X$7,O1942=TH!$X$7),"x","")</f>
        <v/>
      </c>
      <c r="Y1942" s="79" t="str">
        <f>IF(AND(OR(N1942="131",O1942="131"),H1942='131-CT'!$H$9),"x","")</f>
        <v/>
      </c>
      <c r="Z1942" s="79"/>
      <c r="AA1942" s="79" t="str">
        <f>IF(AND(MONTH(E1942)='IN-NX'!$J$5,'IN-NX'!$D$7=D1942),"x","")</f>
        <v/>
      </c>
      <c r="AB1942" s="79" t="str">
        <f>IF(AND(OR(LEFT(TH!N1942,2)="15",LEFT(TH!O1942,2)="15"),LEFT(TH!O1942,3)&lt;&gt;"111",'152-CT'!$J$8=TH!F1942),"x","")</f>
        <v/>
      </c>
      <c r="AC1942" s="79" t="str">
        <f>IF(AND(OR(LEFT(TH!N1942,2)="15",LEFT(TH!O1942,2)="15"),TK!$E$7=TH!F1942),"x","")</f>
        <v/>
      </c>
      <c r="AD1942" s="79" t="str">
        <f>IF(AND(N1942="1521",MONTH(C1942)='BK-NL'!$M$11),"x","")</f>
        <v/>
      </c>
    </row>
    <row r="1943" spans="1:30" ht="16.5" customHeight="1">
      <c r="A1943" s="318" t="str">
        <f>IF(B1943&lt;&gt;"",IF(AND(B1943='IN-TC'!$S$4,OR(TH!N1943="1111",TH!O1943="1111")),TH!D1943,""),"")</f>
        <v/>
      </c>
      <c r="B1943" s="60" t="str">
        <f t="shared" si="226"/>
        <v/>
      </c>
      <c r="C1943" s="974"/>
      <c r="D1943" s="974"/>
      <c r="E1943" s="974"/>
      <c r="F1943" s="1131"/>
      <c r="G1943" s="976"/>
      <c r="H1943" s="759"/>
      <c r="I1943" s="383"/>
      <c r="J1943" s="390"/>
      <c r="K1943" s="383"/>
      <c r="L1943" s="390"/>
      <c r="M1943" s="978"/>
      <c r="N1943" s="979"/>
      <c r="O1943" s="979"/>
      <c r="P1943" s="79" t="str">
        <f>IF(AND('331-CT'!$E$7=TH!H1943,OR(N1943="331",O1943="331")),"x","")</f>
        <v/>
      </c>
      <c r="Q1943" s="79" t="str">
        <f>IF(AND(B1943='111'!$L$11,OR($N1943=$Q$7,$O1943=$Q$7)),"x","")</f>
        <v/>
      </c>
      <c r="R1943" s="79" t="str">
        <f>IF(AND($N1943=$Q$7,$B1943&lt;'111'!$L$11),"x","")</f>
        <v/>
      </c>
      <c r="S1943" s="79" t="str">
        <f>IF(AND($O1943=$Q$7,$B1943&lt;'111'!$L$11),"x","")</f>
        <v/>
      </c>
      <c r="T1943" s="79" t="str">
        <f>IF(ISERROR(FIND('112'!$M$9,G1943,1)),"",IF((AND(FIND('112'!$M$9,G1943,1)&gt;=1,B1943='112'!$K$9,OR($N1943='112'!$I$6,$O1943='112'!$I$6))),"x",""))</f>
        <v/>
      </c>
      <c r="U1943" s="79" t="str">
        <f>IF(ISERROR(FIND('112'!$M$9,G1943,1)),"",IF((AND(LEFT(G1943,2)=LEFT('112'!$M$9,2),B1943&lt;'112'!$K$9,$N1943='112'!$I$6)),"x",""))</f>
        <v/>
      </c>
      <c r="V1943" s="79" t="str">
        <f>IF(ISERROR(FIND('112'!$M$9,G1943,1)),"",IF((AND(RIGHT(G1943,2)=RIGHT('112'!$M$9,2),B1943&lt;'112'!$K$9,$O1943='112'!$I$6)),"x",""))</f>
        <v/>
      </c>
      <c r="W1943" s="79" t="str">
        <f>IF(AND('341-CT'!$H$9=H1943,OR(LEFT(N1943,3)=$W$7,LEFT(O1943,3)=$W$7)),"x","")</f>
        <v/>
      </c>
      <c r="X1943" s="79" t="str">
        <f>IF(OR(TH!N1943=TH!$X$7,O1943=TH!$X$7),"x","")</f>
        <v/>
      </c>
      <c r="Y1943" s="79" t="str">
        <f>IF(AND(OR(N1943="131",O1943="131"),H1943='131-CT'!$H$9),"x","")</f>
        <v/>
      </c>
      <c r="Z1943" s="79"/>
      <c r="AA1943" s="79" t="str">
        <f>IF(AND(MONTH(E1943)='IN-NX'!$J$5,'IN-NX'!$D$7=D1943),"x","")</f>
        <v/>
      </c>
      <c r="AB1943" s="79" t="str">
        <f>IF(AND(OR(LEFT(TH!N1943,2)="15",LEFT(TH!O1943,2)="15"),LEFT(TH!O1943,3)&lt;&gt;"111",'152-CT'!$J$8=TH!F1943),"x","")</f>
        <v/>
      </c>
      <c r="AC1943" s="79" t="str">
        <f>IF(AND(OR(LEFT(TH!N1943,2)="15",LEFT(TH!O1943,2)="15"),TK!$E$7=TH!F1943),"x","")</f>
        <v/>
      </c>
      <c r="AD1943" s="79" t="str">
        <f>IF(AND(N1943="1521",MONTH(C1943)='BK-NL'!$M$11),"x","")</f>
        <v/>
      </c>
    </row>
    <row r="1944" spans="1:30" ht="16.5" customHeight="1">
      <c r="A1944" s="318" t="str">
        <f>IF(B1944&lt;&gt;"",IF(AND(B1944='IN-TC'!$S$4,OR(TH!N1944="1111",TH!O1944="1111")),TH!D1944,""),"")</f>
        <v/>
      </c>
      <c r="B1944" s="60" t="str">
        <f t="shared" si="226"/>
        <v/>
      </c>
      <c r="C1944" s="974"/>
      <c r="D1944" s="974"/>
      <c r="E1944" s="974"/>
      <c r="F1944" s="1131"/>
      <c r="G1944" s="976"/>
      <c r="H1944" s="759"/>
      <c r="I1944" s="383"/>
      <c r="J1944" s="390"/>
      <c r="K1944" s="383"/>
      <c r="L1944" s="390"/>
      <c r="M1944" s="978"/>
      <c r="N1944" s="979"/>
      <c r="O1944" s="979"/>
      <c r="P1944" s="79" t="str">
        <f>IF(AND('331-CT'!$E$7=TH!H1944,OR(N1944="331",O1944="331")),"x","")</f>
        <v/>
      </c>
      <c r="Q1944" s="79" t="str">
        <f>IF(AND(B1944='111'!$L$11,OR($N1944=$Q$7,$O1944=$Q$7)),"x","")</f>
        <v/>
      </c>
      <c r="R1944" s="79" t="str">
        <f>IF(AND($N1944=$Q$7,$B1944&lt;'111'!$L$11),"x","")</f>
        <v/>
      </c>
      <c r="S1944" s="79" t="str">
        <f>IF(AND($O1944=$Q$7,$B1944&lt;'111'!$L$11),"x","")</f>
        <v/>
      </c>
      <c r="T1944" s="79" t="str">
        <f>IF(ISERROR(FIND('112'!$M$9,G1944,1)),"",IF((AND(FIND('112'!$M$9,G1944,1)&gt;=1,B1944='112'!$K$9,OR($N1944='112'!$I$6,$O1944='112'!$I$6))),"x",""))</f>
        <v/>
      </c>
      <c r="U1944" s="79" t="str">
        <f>IF(ISERROR(FIND('112'!$M$9,G1944,1)),"",IF((AND(LEFT(G1944,2)=LEFT('112'!$M$9,2),B1944&lt;'112'!$K$9,$N1944='112'!$I$6)),"x",""))</f>
        <v/>
      </c>
      <c r="V1944" s="79" t="str">
        <f>IF(ISERROR(FIND('112'!$M$9,G1944,1)),"",IF((AND(RIGHT(G1944,2)=RIGHT('112'!$M$9,2),B1944&lt;'112'!$K$9,$O1944='112'!$I$6)),"x",""))</f>
        <v/>
      </c>
      <c r="W1944" s="79" t="str">
        <f>IF(AND('341-CT'!$H$9=H1944,OR(LEFT(N1944,3)=$W$7,LEFT(O1944,3)=$W$7)),"x","")</f>
        <v/>
      </c>
      <c r="X1944" s="79" t="str">
        <f>IF(OR(TH!N1944=TH!$X$7,O1944=TH!$X$7),"x","")</f>
        <v/>
      </c>
      <c r="Y1944" s="79" t="str">
        <f>IF(AND(OR(N1944="131",O1944="131"),H1944='131-CT'!$H$9),"x","")</f>
        <v/>
      </c>
      <c r="Z1944" s="79"/>
      <c r="AA1944" s="79" t="str">
        <f>IF(AND(MONTH(E1944)='IN-NX'!$J$5,'IN-NX'!$D$7=D1944),"x","")</f>
        <v/>
      </c>
      <c r="AB1944" s="79" t="str">
        <f>IF(AND(OR(LEFT(TH!N1944,2)="15",LEFT(TH!O1944,2)="15"),LEFT(TH!O1944,3)&lt;&gt;"111",'152-CT'!$J$8=TH!F1944),"x","")</f>
        <v/>
      </c>
      <c r="AC1944" s="79" t="str">
        <f>IF(AND(OR(LEFT(TH!N1944,2)="15",LEFT(TH!O1944,2)="15"),TK!$E$7=TH!F1944),"x","")</f>
        <v/>
      </c>
      <c r="AD1944" s="79" t="str">
        <f>IF(AND(N1944="1521",MONTH(C1944)='BK-NL'!$M$11),"x","")</f>
        <v/>
      </c>
    </row>
    <row r="1945" spans="1:30" ht="16.5" customHeight="1">
      <c r="A1945" s="318" t="str">
        <f>IF(B1945&lt;&gt;"",IF(AND(B1945='IN-TC'!$S$4,OR(TH!N1945="1111",TH!O1945="1111")),TH!D1945,""),"")</f>
        <v/>
      </c>
      <c r="B1945" s="60" t="str">
        <f t="shared" si="226"/>
        <v/>
      </c>
      <c r="C1945" s="974"/>
      <c r="D1945" s="974"/>
      <c r="E1945" s="974"/>
      <c r="F1945" s="1131"/>
      <c r="G1945" s="976"/>
      <c r="H1945" s="759"/>
      <c r="I1945" s="383"/>
      <c r="J1945" s="390"/>
      <c r="K1945" s="383"/>
      <c r="L1945" s="390"/>
      <c r="M1945" s="978"/>
      <c r="N1945" s="979"/>
      <c r="O1945" s="979"/>
      <c r="P1945" s="79" t="str">
        <f>IF(AND('331-CT'!$E$7=TH!H1945,OR(N1945="331",O1945="331")),"x","")</f>
        <v/>
      </c>
      <c r="Q1945" s="79" t="str">
        <f>IF(AND(B1945='111'!$L$11,OR($N1945=$Q$7,$O1945=$Q$7)),"x","")</f>
        <v/>
      </c>
      <c r="R1945" s="79" t="str">
        <f>IF(AND($N1945=$Q$7,$B1945&lt;'111'!$L$11),"x","")</f>
        <v/>
      </c>
      <c r="S1945" s="79" t="str">
        <f>IF(AND($O1945=$Q$7,$B1945&lt;'111'!$L$11),"x","")</f>
        <v/>
      </c>
      <c r="T1945" s="79" t="str">
        <f>IF(ISERROR(FIND('112'!$M$9,G1945,1)),"",IF((AND(FIND('112'!$M$9,G1945,1)&gt;=1,B1945='112'!$K$9,OR($N1945='112'!$I$6,$O1945='112'!$I$6))),"x",""))</f>
        <v/>
      </c>
      <c r="U1945" s="79" t="str">
        <f>IF(ISERROR(FIND('112'!$M$9,G1945,1)),"",IF((AND(LEFT(G1945,2)=LEFT('112'!$M$9,2),B1945&lt;'112'!$K$9,$N1945='112'!$I$6)),"x",""))</f>
        <v/>
      </c>
      <c r="V1945" s="79" t="str">
        <f>IF(ISERROR(FIND('112'!$M$9,G1945,1)),"",IF((AND(RIGHT(G1945,2)=RIGHT('112'!$M$9,2),B1945&lt;'112'!$K$9,$O1945='112'!$I$6)),"x",""))</f>
        <v/>
      </c>
      <c r="W1945" s="79" t="str">
        <f>IF(AND('341-CT'!$H$9=H1945,OR(LEFT(N1945,3)=$W$7,LEFT(O1945,3)=$W$7)),"x","")</f>
        <v/>
      </c>
      <c r="X1945" s="79" t="str">
        <f>IF(OR(TH!N1945=TH!$X$7,O1945=TH!$X$7),"x","")</f>
        <v/>
      </c>
      <c r="Y1945" s="79" t="str">
        <f>IF(AND(OR(N1945="131",O1945="131"),H1945='131-CT'!$H$9),"x","")</f>
        <v/>
      </c>
      <c r="Z1945" s="79"/>
      <c r="AA1945" s="79" t="str">
        <f>IF(AND(MONTH(E1945)='IN-NX'!$J$5,'IN-NX'!$D$7=D1945),"x","")</f>
        <v/>
      </c>
      <c r="AB1945" s="79" t="str">
        <f>IF(AND(OR(LEFT(TH!N1945,2)="15",LEFT(TH!O1945,2)="15"),LEFT(TH!O1945,3)&lt;&gt;"111",'152-CT'!$J$8=TH!F1945),"x","")</f>
        <v/>
      </c>
      <c r="AC1945" s="79" t="str">
        <f>IF(AND(OR(LEFT(TH!N1945,2)="15",LEFT(TH!O1945,2)="15"),TK!$E$7=TH!F1945),"x","")</f>
        <v/>
      </c>
      <c r="AD1945" s="79" t="str">
        <f>IF(AND(N1945="1521",MONTH(C1945)='BK-NL'!$M$11),"x","")</f>
        <v/>
      </c>
    </row>
    <row r="1946" spans="1:30" ht="16.5" customHeight="1">
      <c r="A1946" s="318" t="str">
        <f>IF(B1946&lt;&gt;"",IF(AND(B1946='IN-TC'!$S$4,OR(TH!N1946="1111",TH!O1946="1111")),TH!D1946,""),"")</f>
        <v/>
      </c>
      <c r="B1946" s="60" t="str">
        <f t="shared" si="226"/>
        <v/>
      </c>
      <c r="C1946" s="974"/>
      <c r="D1946" s="974"/>
      <c r="E1946" s="974"/>
      <c r="F1946" s="1131"/>
      <c r="G1946" s="976"/>
      <c r="H1946" s="759"/>
      <c r="I1946" s="383"/>
      <c r="J1946" s="390"/>
      <c r="K1946" s="383"/>
      <c r="L1946" s="390"/>
      <c r="M1946" s="978"/>
      <c r="N1946" s="979"/>
      <c r="O1946" s="979"/>
      <c r="P1946" s="79" t="str">
        <f>IF(AND('331-CT'!$E$7=TH!H1946,OR(N1946="331",O1946="331")),"x","")</f>
        <v/>
      </c>
      <c r="Q1946" s="79" t="str">
        <f>IF(AND(B1946='111'!$L$11,OR($N1946=$Q$7,$O1946=$Q$7)),"x","")</f>
        <v/>
      </c>
      <c r="R1946" s="79" t="str">
        <f>IF(AND($N1946=$Q$7,$B1946&lt;'111'!$L$11),"x","")</f>
        <v/>
      </c>
      <c r="S1946" s="79" t="str">
        <f>IF(AND($O1946=$Q$7,$B1946&lt;'111'!$L$11),"x","")</f>
        <v/>
      </c>
      <c r="T1946" s="79" t="str">
        <f>IF(ISERROR(FIND('112'!$M$9,G1946,1)),"",IF((AND(FIND('112'!$M$9,G1946,1)&gt;=1,B1946='112'!$K$9,OR($N1946='112'!$I$6,$O1946='112'!$I$6))),"x",""))</f>
        <v/>
      </c>
      <c r="U1946" s="79" t="str">
        <f>IF(ISERROR(FIND('112'!$M$9,G1946,1)),"",IF((AND(LEFT(G1946,2)=LEFT('112'!$M$9,2),B1946&lt;'112'!$K$9,$N1946='112'!$I$6)),"x",""))</f>
        <v/>
      </c>
      <c r="V1946" s="79" t="str">
        <f>IF(ISERROR(FIND('112'!$M$9,G1946,1)),"",IF((AND(RIGHT(G1946,2)=RIGHT('112'!$M$9,2),B1946&lt;'112'!$K$9,$O1946='112'!$I$6)),"x",""))</f>
        <v/>
      </c>
      <c r="W1946" s="79" t="str">
        <f>IF(AND('341-CT'!$H$9=H1946,OR(LEFT(N1946,3)=$W$7,LEFT(O1946,3)=$W$7)),"x","")</f>
        <v/>
      </c>
      <c r="X1946" s="79" t="str">
        <f>IF(OR(TH!N1946=TH!$X$7,O1946=TH!$X$7),"x","")</f>
        <v/>
      </c>
      <c r="Y1946" s="79" t="str">
        <f>IF(AND(OR(N1946="131",O1946="131"),H1946='131-CT'!$H$9),"x","")</f>
        <v/>
      </c>
      <c r="Z1946" s="79"/>
      <c r="AA1946" s="79" t="str">
        <f>IF(AND(MONTH(E1946)='IN-NX'!$J$5,'IN-NX'!$D$7=D1946),"x","")</f>
        <v/>
      </c>
      <c r="AB1946" s="79" t="str">
        <f>IF(AND(OR(LEFT(TH!N1946,2)="15",LEFT(TH!O1946,2)="15"),LEFT(TH!O1946,3)&lt;&gt;"111",'152-CT'!$J$8=TH!F1946),"x","")</f>
        <v/>
      </c>
      <c r="AC1946" s="79" t="str">
        <f>IF(AND(OR(LEFT(TH!N1946,2)="15",LEFT(TH!O1946,2)="15"),TK!$E$7=TH!F1946),"x","")</f>
        <v/>
      </c>
      <c r="AD1946" s="79" t="str">
        <f>IF(AND(N1946="1521",MONTH(C1946)='BK-NL'!$M$11),"x","")</f>
        <v/>
      </c>
    </row>
    <row r="1947" spans="1:30" ht="16.5" customHeight="1">
      <c r="A1947" s="318" t="str">
        <f>IF(B1947&lt;&gt;"",IF(AND(B1947='IN-TC'!$S$4,OR(TH!N1947="1111",TH!O1947="1111")),TH!D1947,""),"")</f>
        <v/>
      </c>
      <c r="B1947" s="60" t="str">
        <f t="shared" si="226"/>
        <v/>
      </c>
      <c r="C1947" s="974"/>
      <c r="D1947" s="974"/>
      <c r="E1947" s="974"/>
      <c r="F1947" s="1131"/>
      <c r="G1947" s="976"/>
      <c r="H1947" s="759"/>
      <c r="I1947" s="383"/>
      <c r="J1947" s="390"/>
      <c r="K1947" s="383"/>
      <c r="L1947" s="390"/>
      <c r="M1947" s="978"/>
      <c r="N1947" s="979"/>
      <c r="O1947" s="979"/>
      <c r="P1947" s="79" t="str">
        <f>IF(AND('331-CT'!$E$7=TH!H1947,OR(N1947="331",O1947="331")),"x","")</f>
        <v/>
      </c>
      <c r="Q1947" s="79" t="str">
        <f>IF(AND(B1947='111'!$L$11,OR($N1947=$Q$7,$O1947=$Q$7)),"x","")</f>
        <v/>
      </c>
      <c r="R1947" s="79" t="str">
        <f>IF(AND($N1947=$Q$7,$B1947&lt;'111'!$L$11),"x","")</f>
        <v/>
      </c>
      <c r="S1947" s="79" t="str">
        <f>IF(AND($O1947=$Q$7,$B1947&lt;'111'!$L$11),"x","")</f>
        <v/>
      </c>
      <c r="T1947" s="79" t="str">
        <f>IF(ISERROR(FIND('112'!$M$9,G1947,1)),"",IF((AND(FIND('112'!$M$9,G1947,1)&gt;=1,B1947='112'!$K$9,OR($N1947='112'!$I$6,$O1947='112'!$I$6))),"x",""))</f>
        <v/>
      </c>
      <c r="U1947" s="79" t="str">
        <f>IF(ISERROR(FIND('112'!$M$9,G1947,1)),"",IF((AND(LEFT(G1947,2)=LEFT('112'!$M$9,2),B1947&lt;'112'!$K$9,$N1947='112'!$I$6)),"x",""))</f>
        <v/>
      </c>
      <c r="V1947" s="79" t="str">
        <f>IF(ISERROR(FIND('112'!$M$9,G1947,1)),"",IF((AND(RIGHT(G1947,2)=RIGHT('112'!$M$9,2),B1947&lt;'112'!$K$9,$O1947='112'!$I$6)),"x",""))</f>
        <v/>
      </c>
      <c r="W1947" s="79" t="str">
        <f>IF(AND('341-CT'!$H$9=H1947,OR(LEFT(N1947,3)=$W$7,LEFT(O1947,3)=$W$7)),"x","")</f>
        <v/>
      </c>
      <c r="X1947" s="79" t="str">
        <f>IF(OR(TH!N1947=TH!$X$7,O1947=TH!$X$7),"x","")</f>
        <v/>
      </c>
      <c r="Y1947" s="79" t="str">
        <f>IF(AND(OR(N1947="131",O1947="131"),H1947='131-CT'!$H$9),"x","")</f>
        <v/>
      </c>
      <c r="Z1947" s="79"/>
      <c r="AA1947" s="79" t="str">
        <f>IF(AND(MONTH(E1947)='IN-NX'!$J$5,'IN-NX'!$D$7=D1947),"x","")</f>
        <v/>
      </c>
      <c r="AB1947" s="79" t="str">
        <f>IF(AND(OR(LEFT(TH!N1947,2)="15",LEFT(TH!O1947,2)="15"),LEFT(TH!O1947,3)&lt;&gt;"111",'152-CT'!$J$8=TH!F1947),"x","")</f>
        <v/>
      </c>
      <c r="AC1947" s="79" t="str">
        <f>IF(AND(OR(LEFT(TH!N1947,2)="15",LEFT(TH!O1947,2)="15"),TK!$E$7=TH!F1947),"x","")</f>
        <v/>
      </c>
      <c r="AD1947" s="79" t="str">
        <f>IF(AND(N1947="1521",MONTH(C1947)='BK-NL'!$M$11),"x","")</f>
        <v/>
      </c>
    </row>
    <row r="1948" spans="1:30" ht="16.5" customHeight="1">
      <c r="A1948" s="318" t="str">
        <f>IF(B1948&lt;&gt;"",IF(AND(B1948='IN-TC'!$S$4,OR(TH!N1948="1111",TH!O1948="1111")),TH!D1948,""),"")</f>
        <v/>
      </c>
      <c r="B1948" s="60" t="str">
        <f t="shared" si="226"/>
        <v/>
      </c>
      <c r="C1948" s="974"/>
      <c r="D1948" s="974"/>
      <c r="E1948" s="974"/>
      <c r="F1948" s="1131"/>
      <c r="G1948" s="976"/>
      <c r="H1948" s="759"/>
      <c r="I1948" s="383"/>
      <c r="J1948" s="390"/>
      <c r="K1948" s="383"/>
      <c r="L1948" s="390"/>
      <c r="M1948" s="978"/>
      <c r="N1948" s="979"/>
      <c r="O1948" s="979"/>
      <c r="P1948" s="79" t="str">
        <f>IF(AND('331-CT'!$E$7=TH!H1948,OR(N1948="331",O1948="331")),"x","")</f>
        <v/>
      </c>
      <c r="Q1948" s="79" t="str">
        <f>IF(AND(B1948='111'!$L$11,OR($N1948=$Q$7,$O1948=$Q$7)),"x","")</f>
        <v/>
      </c>
      <c r="R1948" s="79" t="str">
        <f>IF(AND($N1948=$Q$7,$B1948&lt;'111'!$L$11),"x","")</f>
        <v/>
      </c>
      <c r="S1948" s="79" t="str">
        <f>IF(AND($O1948=$Q$7,$B1948&lt;'111'!$L$11),"x","")</f>
        <v/>
      </c>
      <c r="T1948" s="79" t="str">
        <f>IF(ISERROR(FIND('112'!$M$9,G1948,1)),"",IF((AND(FIND('112'!$M$9,G1948,1)&gt;=1,B1948='112'!$K$9,OR($N1948='112'!$I$6,$O1948='112'!$I$6))),"x",""))</f>
        <v/>
      </c>
      <c r="U1948" s="79" t="str">
        <f>IF(ISERROR(FIND('112'!$M$9,G1948,1)),"",IF((AND(LEFT(G1948,2)=LEFT('112'!$M$9,2),B1948&lt;'112'!$K$9,$N1948='112'!$I$6)),"x",""))</f>
        <v/>
      </c>
      <c r="V1948" s="79" t="str">
        <f>IF(ISERROR(FIND('112'!$M$9,G1948,1)),"",IF((AND(RIGHT(G1948,2)=RIGHT('112'!$M$9,2),B1948&lt;'112'!$K$9,$O1948='112'!$I$6)),"x",""))</f>
        <v/>
      </c>
      <c r="W1948" s="79" t="str">
        <f>IF(AND('341-CT'!$H$9=H1948,OR(LEFT(N1948,3)=$W$7,LEFT(O1948,3)=$W$7)),"x","")</f>
        <v/>
      </c>
      <c r="X1948" s="79" t="str">
        <f>IF(OR(TH!N1948=TH!$X$7,O1948=TH!$X$7),"x","")</f>
        <v/>
      </c>
      <c r="Y1948" s="79" t="str">
        <f>IF(AND(OR(N1948="131",O1948="131"),H1948='131-CT'!$H$9),"x","")</f>
        <v/>
      </c>
      <c r="Z1948" s="79"/>
      <c r="AA1948" s="79" t="str">
        <f>IF(AND(MONTH(E1948)='IN-NX'!$J$5,'IN-NX'!$D$7=D1948),"x","")</f>
        <v/>
      </c>
      <c r="AB1948" s="79" t="str">
        <f>IF(AND(OR(LEFT(TH!N1948,2)="15",LEFT(TH!O1948,2)="15"),LEFT(TH!O1948,3)&lt;&gt;"111",'152-CT'!$J$8=TH!F1948),"x","")</f>
        <v/>
      </c>
      <c r="AC1948" s="79" t="str">
        <f>IF(AND(OR(LEFT(TH!N1948,2)="15",LEFT(TH!O1948,2)="15"),TK!$E$7=TH!F1948),"x","")</f>
        <v/>
      </c>
      <c r="AD1948" s="79" t="str">
        <f>IF(AND(N1948="1521",MONTH(C1948)='BK-NL'!$M$11),"x","")</f>
        <v/>
      </c>
    </row>
    <row r="1949" spans="1:30" ht="16.5" customHeight="1">
      <c r="A1949" s="318" t="str">
        <f>IF(B1949&lt;&gt;"",IF(AND(B1949='IN-TC'!$S$4,OR(TH!N1949="1111",TH!O1949="1111")),TH!D1949,""),"")</f>
        <v/>
      </c>
      <c r="B1949" s="60" t="str">
        <f t="shared" si="226"/>
        <v/>
      </c>
      <c r="C1949" s="974"/>
      <c r="D1949" s="974"/>
      <c r="E1949" s="974"/>
      <c r="F1949" s="1131"/>
      <c r="G1949" s="976"/>
      <c r="H1949" s="759"/>
      <c r="I1949" s="383"/>
      <c r="J1949" s="390"/>
      <c r="K1949" s="383"/>
      <c r="L1949" s="390"/>
      <c r="M1949" s="978"/>
      <c r="N1949" s="979"/>
      <c r="O1949" s="979"/>
      <c r="P1949" s="79" t="str">
        <f>IF(AND('331-CT'!$E$7=TH!H1949,OR(N1949="331",O1949="331")),"x","")</f>
        <v/>
      </c>
      <c r="Q1949" s="79" t="str">
        <f>IF(AND(B1949='111'!$L$11,OR($N1949=$Q$7,$O1949=$Q$7)),"x","")</f>
        <v/>
      </c>
      <c r="R1949" s="79" t="str">
        <f>IF(AND($N1949=$Q$7,$B1949&lt;'111'!$L$11),"x","")</f>
        <v/>
      </c>
      <c r="S1949" s="79" t="str">
        <f>IF(AND($O1949=$Q$7,$B1949&lt;'111'!$L$11),"x","")</f>
        <v/>
      </c>
      <c r="T1949" s="79" t="str">
        <f>IF(ISERROR(FIND('112'!$M$9,G1949,1)),"",IF((AND(FIND('112'!$M$9,G1949,1)&gt;=1,B1949='112'!$K$9,OR($N1949='112'!$I$6,$O1949='112'!$I$6))),"x",""))</f>
        <v/>
      </c>
      <c r="U1949" s="79" t="str">
        <f>IF(ISERROR(FIND('112'!$M$9,G1949,1)),"",IF((AND(LEFT(G1949,2)=LEFT('112'!$M$9,2),B1949&lt;'112'!$K$9,$N1949='112'!$I$6)),"x",""))</f>
        <v/>
      </c>
      <c r="V1949" s="79" t="str">
        <f>IF(ISERROR(FIND('112'!$M$9,G1949,1)),"",IF((AND(RIGHT(G1949,2)=RIGHT('112'!$M$9,2),B1949&lt;'112'!$K$9,$O1949='112'!$I$6)),"x",""))</f>
        <v/>
      </c>
      <c r="W1949" s="79" t="str">
        <f>IF(AND('341-CT'!$H$9=H1949,OR(LEFT(N1949,3)=$W$7,LEFT(O1949,3)=$W$7)),"x","")</f>
        <v/>
      </c>
      <c r="X1949" s="79" t="str">
        <f>IF(OR(TH!N1949=TH!$X$7,O1949=TH!$X$7),"x","")</f>
        <v/>
      </c>
      <c r="Y1949" s="79" t="str">
        <f>IF(AND(OR(N1949="131",O1949="131"),H1949='131-CT'!$H$9),"x","")</f>
        <v/>
      </c>
      <c r="Z1949" s="79"/>
      <c r="AA1949" s="79" t="str">
        <f>IF(AND(MONTH(E1949)='IN-NX'!$J$5,'IN-NX'!$D$7=D1949),"x","")</f>
        <v/>
      </c>
      <c r="AB1949" s="79" t="str">
        <f>IF(AND(OR(LEFT(TH!N1949,2)="15",LEFT(TH!O1949,2)="15"),LEFT(TH!O1949,3)&lt;&gt;"111",'152-CT'!$J$8=TH!F1949),"x","")</f>
        <v/>
      </c>
      <c r="AC1949" s="79" t="str">
        <f>IF(AND(OR(LEFT(TH!N1949,2)="15",LEFT(TH!O1949,2)="15"),TK!$E$7=TH!F1949),"x","")</f>
        <v/>
      </c>
      <c r="AD1949" s="79" t="str">
        <f>IF(AND(N1949="1521",MONTH(C1949)='BK-NL'!$M$11),"x","")</f>
        <v/>
      </c>
    </row>
    <row r="1950" spans="1:30" ht="16.5" customHeight="1">
      <c r="A1950" s="318" t="str">
        <f>IF(B1950&lt;&gt;"",IF(AND(B1950='IN-TC'!$S$4,OR(TH!N1950="1111",TH!O1950="1111")),TH!D1950,""),"")</f>
        <v/>
      </c>
      <c r="B1950" s="60" t="str">
        <f t="shared" si="226"/>
        <v/>
      </c>
      <c r="C1950" s="974"/>
      <c r="D1950" s="974"/>
      <c r="E1950" s="974"/>
      <c r="F1950" s="1131"/>
      <c r="G1950" s="976"/>
      <c r="H1950" s="759"/>
      <c r="I1950" s="383"/>
      <c r="J1950" s="390"/>
      <c r="K1950" s="383"/>
      <c r="L1950" s="390"/>
      <c r="M1950" s="978"/>
      <c r="N1950" s="979"/>
      <c r="O1950" s="979"/>
      <c r="P1950" s="79" t="str">
        <f>IF(AND('331-CT'!$E$7=TH!H1950,OR(N1950="331",O1950="331")),"x","")</f>
        <v/>
      </c>
      <c r="Q1950" s="79" t="str">
        <f>IF(AND(B1950='111'!$L$11,OR($N1950=$Q$7,$O1950=$Q$7)),"x","")</f>
        <v/>
      </c>
      <c r="R1950" s="79" t="str">
        <f>IF(AND($N1950=$Q$7,$B1950&lt;'111'!$L$11),"x","")</f>
        <v/>
      </c>
      <c r="S1950" s="79" t="str">
        <f>IF(AND($O1950=$Q$7,$B1950&lt;'111'!$L$11),"x","")</f>
        <v/>
      </c>
      <c r="T1950" s="79" t="str">
        <f>IF(ISERROR(FIND('112'!$M$9,G1950,1)),"",IF((AND(FIND('112'!$M$9,G1950,1)&gt;=1,B1950='112'!$K$9,OR($N1950='112'!$I$6,$O1950='112'!$I$6))),"x",""))</f>
        <v/>
      </c>
      <c r="U1950" s="79" t="str">
        <f>IF(ISERROR(FIND('112'!$M$9,G1950,1)),"",IF((AND(LEFT(G1950,2)=LEFT('112'!$M$9,2),B1950&lt;'112'!$K$9,$N1950='112'!$I$6)),"x",""))</f>
        <v/>
      </c>
      <c r="V1950" s="79" t="str">
        <f>IF(ISERROR(FIND('112'!$M$9,G1950,1)),"",IF((AND(RIGHT(G1950,2)=RIGHT('112'!$M$9,2),B1950&lt;'112'!$K$9,$O1950='112'!$I$6)),"x",""))</f>
        <v/>
      </c>
      <c r="W1950" s="79" t="str">
        <f>IF(AND('341-CT'!$H$9=H1950,OR(LEFT(N1950,3)=$W$7,LEFT(O1950,3)=$W$7)),"x","")</f>
        <v/>
      </c>
      <c r="X1950" s="79" t="str">
        <f>IF(OR(TH!N1950=TH!$X$7,O1950=TH!$X$7),"x","")</f>
        <v/>
      </c>
      <c r="Y1950" s="79" t="str">
        <f>IF(AND(OR(N1950="131",O1950="131"),H1950='131-CT'!$H$9),"x","")</f>
        <v/>
      </c>
      <c r="Z1950" s="79"/>
      <c r="AA1950" s="79" t="str">
        <f>IF(AND(MONTH(E1950)='IN-NX'!$J$5,'IN-NX'!$D$7=D1950),"x","")</f>
        <v/>
      </c>
      <c r="AB1950" s="79" t="str">
        <f>IF(AND(OR(LEFT(TH!N1950,2)="15",LEFT(TH!O1950,2)="15"),LEFT(TH!O1950,3)&lt;&gt;"111",'152-CT'!$J$8=TH!F1950),"x","")</f>
        <v/>
      </c>
      <c r="AC1950" s="79" t="str">
        <f>IF(AND(OR(LEFT(TH!N1950,2)="15",LEFT(TH!O1950,2)="15"),TK!$E$7=TH!F1950),"x","")</f>
        <v/>
      </c>
      <c r="AD1950" s="79" t="str">
        <f>IF(AND(N1950="1521",MONTH(C1950)='BK-NL'!$M$11),"x","")</f>
        <v/>
      </c>
    </row>
    <row r="1951" spans="1:30" ht="16.5" customHeight="1">
      <c r="A1951" s="318" t="str">
        <f>IF(B1951&lt;&gt;"",IF(AND(B1951='IN-TC'!$S$4,OR(TH!N1951="1111",TH!O1951="1111")),TH!D1951,""),"")</f>
        <v/>
      </c>
      <c r="B1951" s="60" t="str">
        <f t="shared" si="226"/>
        <v/>
      </c>
      <c r="C1951" s="974"/>
      <c r="D1951" s="974"/>
      <c r="E1951" s="974"/>
      <c r="F1951" s="1131"/>
      <c r="G1951" s="976"/>
      <c r="H1951" s="759"/>
      <c r="I1951" s="383"/>
      <c r="J1951" s="390"/>
      <c r="K1951" s="383"/>
      <c r="L1951" s="390"/>
      <c r="M1951" s="978"/>
      <c r="N1951" s="979"/>
      <c r="O1951" s="979"/>
      <c r="P1951" s="79" t="str">
        <f>IF(AND('331-CT'!$E$7=TH!H1951,OR(N1951="331",O1951="331")),"x","")</f>
        <v/>
      </c>
      <c r="Q1951" s="79" t="str">
        <f>IF(AND(B1951='111'!$L$11,OR($N1951=$Q$7,$O1951=$Q$7)),"x","")</f>
        <v/>
      </c>
      <c r="R1951" s="79" t="str">
        <f>IF(AND($N1951=$Q$7,$B1951&lt;'111'!$L$11),"x","")</f>
        <v/>
      </c>
      <c r="S1951" s="79" t="str">
        <f>IF(AND($O1951=$Q$7,$B1951&lt;'111'!$L$11),"x","")</f>
        <v/>
      </c>
      <c r="T1951" s="79" t="str">
        <f>IF(ISERROR(FIND('112'!$M$9,G1951,1)),"",IF((AND(FIND('112'!$M$9,G1951,1)&gt;=1,B1951='112'!$K$9,OR($N1951='112'!$I$6,$O1951='112'!$I$6))),"x",""))</f>
        <v/>
      </c>
      <c r="U1951" s="79" t="str">
        <f>IF(ISERROR(FIND('112'!$M$9,G1951,1)),"",IF((AND(LEFT(G1951,2)=LEFT('112'!$M$9,2),B1951&lt;'112'!$K$9,$N1951='112'!$I$6)),"x",""))</f>
        <v/>
      </c>
      <c r="V1951" s="79" t="str">
        <f>IF(ISERROR(FIND('112'!$M$9,G1951,1)),"",IF((AND(RIGHT(G1951,2)=RIGHT('112'!$M$9,2),B1951&lt;'112'!$K$9,$O1951='112'!$I$6)),"x",""))</f>
        <v/>
      </c>
      <c r="W1951" s="79" t="str">
        <f>IF(AND('341-CT'!$H$9=H1951,OR(LEFT(N1951,3)=$W$7,LEFT(O1951,3)=$W$7)),"x","")</f>
        <v/>
      </c>
      <c r="X1951" s="79" t="str">
        <f>IF(OR(TH!N1951=TH!$X$7,O1951=TH!$X$7),"x","")</f>
        <v/>
      </c>
      <c r="Y1951" s="79" t="str">
        <f>IF(AND(OR(N1951="131",O1951="131"),H1951='131-CT'!$H$9),"x","")</f>
        <v/>
      </c>
      <c r="Z1951" s="79"/>
      <c r="AA1951" s="79" t="str">
        <f>IF(AND(MONTH(E1951)='IN-NX'!$J$5,'IN-NX'!$D$7=D1951),"x","")</f>
        <v/>
      </c>
      <c r="AB1951" s="79" t="str">
        <f>IF(AND(OR(LEFT(TH!N1951,2)="15",LEFT(TH!O1951,2)="15"),LEFT(TH!O1951,3)&lt;&gt;"111",'152-CT'!$J$8=TH!F1951),"x","")</f>
        <v/>
      </c>
      <c r="AC1951" s="79" t="str">
        <f>IF(AND(OR(LEFT(TH!N1951,2)="15",LEFT(TH!O1951,2)="15"),TK!$E$7=TH!F1951),"x","")</f>
        <v/>
      </c>
      <c r="AD1951" s="79" t="str">
        <f>IF(AND(N1951="1521",MONTH(C1951)='BK-NL'!$M$11),"x","")</f>
        <v/>
      </c>
    </row>
    <row r="1952" spans="1:30" ht="16.5" customHeight="1">
      <c r="A1952" s="318" t="str">
        <f>IF(B1952&lt;&gt;"",IF(AND(B1952='IN-TC'!$S$4,OR(TH!N1952="1111",TH!O1952="1111")),TH!D1952,""),"")</f>
        <v/>
      </c>
      <c r="B1952" s="60" t="str">
        <f t="shared" si="226"/>
        <v/>
      </c>
      <c r="C1952" s="974"/>
      <c r="D1952" s="974"/>
      <c r="E1952" s="974"/>
      <c r="F1952" s="1131"/>
      <c r="G1952" s="976"/>
      <c r="H1952" s="759"/>
      <c r="I1952" s="383"/>
      <c r="J1952" s="390"/>
      <c r="K1952" s="383"/>
      <c r="L1952" s="390"/>
      <c r="M1952" s="978"/>
      <c r="N1952" s="979"/>
      <c r="O1952" s="979"/>
      <c r="P1952" s="79" t="str">
        <f>IF(AND('331-CT'!$E$7=TH!H1952,OR(N1952="331",O1952="331")),"x","")</f>
        <v/>
      </c>
      <c r="Q1952" s="79" t="str">
        <f>IF(AND(B1952='111'!$L$11,OR($N1952=$Q$7,$O1952=$Q$7)),"x","")</f>
        <v/>
      </c>
      <c r="R1952" s="79" t="str">
        <f>IF(AND($N1952=$Q$7,$B1952&lt;'111'!$L$11),"x","")</f>
        <v/>
      </c>
      <c r="S1952" s="79" t="str">
        <f>IF(AND($O1952=$Q$7,$B1952&lt;'111'!$L$11),"x","")</f>
        <v/>
      </c>
      <c r="T1952" s="79" t="str">
        <f>IF(ISERROR(FIND('112'!$M$9,G1952,1)),"",IF((AND(FIND('112'!$M$9,G1952,1)&gt;=1,B1952='112'!$K$9,OR($N1952='112'!$I$6,$O1952='112'!$I$6))),"x",""))</f>
        <v/>
      </c>
      <c r="U1952" s="79" t="str">
        <f>IF(ISERROR(FIND('112'!$M$9,G1952,1)),"",IF((AND(LEFT(G1952,2)=LEFT('112'!$M$9,2),B1952&lt;'112'!$K$9,$N1952='112'!$I$6)),"x",""))</f>
        <v/>
      </c>
      <c r="V1952" s="79" t="str">
        <f>IF(ISERROR(FIND('112'!$M$9,G1952,1)),"",IF((AND(RIGHT(G1952,2)=RIGHT('112'!$M$9,2),B1952&lt;'112'!$K$9,$O1952='112'!$I$6)),"x",""))</f>
        <v/>
      </c>
      <c r="W1952" s="79" t="str">
        <f>IF(AND('341-CT'!$H$9=H1952,OR(LEFT(N1952,3)=$W$7,LEFT(O1952,3)=$W$7)),"x","")</f>
        <v/>
      </c>
      <c r="X1952" s="79" t="str">
        <f>IF(OR(TH!N1952=TH!$X$7,O1952=TH!$X$7),"x","")</f>
        <v/>
      </c>
      <c r="Y1952" s="79" t="str">
        <f>IF(AND(OR(N1952="131",O1952="131"),H1952='131-CT'!$H$9),"x","")</f>
        <v/>
      </c>
      <c r="Z1952" s="79"/>
      <c r="AA1952" s="79" t="str">
        <f>IF(AND(MONTH(E1952)='IN-NX'!$J$5,'IN-NX'!$D$7=D1952),"x","")</f>
        <v/>
      </c>
      <c r="AB1952" s="79" t="str">
        <f>IF(AND(OR(LEFT(TH!N1952,2)="15",LEFT(TH!O1952,2)="15"),LEFT(TH!O1952,3)&lt;&gt;"111",'152-CT'!$J$8=TH!F1952),"x","")</f>
        <v/>
      </c>
      <c r="AC1952" s="79" t="str">
        <f>IF(AND(OR(LEFT(TH!N1952,2)="15",LEFT(TH!O1952,2)="15"),TK!$E$7=TH!F1952),"x","")</f>
        <v/>
      </c>
      <c r="AD1952" s="79" t="str">
        <f>IF(AND(N1952="1521",MONTH(C1952)='BK-NL'!$M$11),"x","")</f>
        <v/>
      </c>
    </row>
    <row r="1953" spans="1:30" ht="16.5" customHeight="1">
      <c r="A1953" s="318" t="str">
        <f>IF(B1953&lt;&gt;"",IF(AND(B1953='IN-TC'!$S$4,OR(TH!N1953="1111",TH!O1953="1111")),TH!D1953,""),"")</f>
        <v/>
      </c>
      <c r="B1953" s="60" t="str">
        <f t="shared" si="226"/>
        <v/>
      </c>
      <c r="C1953" s="974"/>
      <c r="D1953" s="974"/>
      <c r="E1953" s="974"/>
      <c r="F1953" s="1131"/>
      <c r="G1953" s="976"/>
      <c r="H1953" s="759"/>
      <c r="I1953" s="383"/>
      <c r="J1953" s="390"/>
      <c r="K1953" s="383"/>
      <c r="L1953" s="390"/>
      <c r="M1953" s="978"/>
      <c r="N1953" s="979"/>
      <c r="O1953" s="979"/>
      <c r="P1953" s="79" t="str">
        <f>IF(AND('331-CT'!$E$7=TH!H1953,OR(N1953="331",O1953="331")),"x","")</f>
        <v/>
      </c>
      <c r="Q1953" s="79" t="str">
        <f>IF(AND(B1953='111'!$L$11,OR($N1953=$Q$7,$O1953=$Q$7)),"x","")</f>
        <v/>
      </c>
      <c r="R1953" s="79" t="str">
        <f>IF(AND($N1953=$Q$7,$B1953&lt;'111'!$L$11),"x","")</f>
        <v/>
      </c>
      <c r="S1953" s="79" t="str">
        <f>IF(AND($O1953=$Q$7,$B1953&lt;'111'!$L$11),"x","")</f>
        <v/>
      </c>
      <c r="T1953" s="79" t="str">
        <f>IF(ISERROR(FIND('112'!$M$9,G1953,1)),"",IF((AND(FIND('112'!$M$9,G1953,1)&gt;=1,B1953='112'!$K$9,OR($N1953='112'!$I$6,$O1953='112'!$I$6))),"x",""))</f>
        <v/>
      </c>
      <c r="U1953" s="79" t="str">
        <f>IF(ISERROR(FIND('112'!$M$9,G1953,1)),"",IF((AND(LEFT(G1953,2)=LEFT('112'!$M$9,2),B1953&lt;'112'!$K$9,$N1953='112'!$I$6)),"x",""))</f>
        <v/>
      </c>
      <c r="V1953" s="79" t="str">
        <f>IF(ISERROR(FIND('112'!$M$9,G1953,1)),"",IF((AND(RIGHT(G1953,2)=RIGHT('112'!$M$9,2),B1953&lt;'112'!$K$9,$O1953='112'!$I$6)),"x",""))</f>
        <v/>
      </c>
      <c r="W1953" s="79" t="str">
        <f>IF(AND('341-CT'!$H$9=H1953,OR(LEFT(N1953,3)=$W$7,LEFT(O1953,3)=$W$7)),"x","")</f>
        <v/>
      </c>
      <c r="X1953" s="79" t="str">
        <f>IF(OR(TH!N1953=TH!$X$7,O1953=TH!$X$7),"x","")</f>
        <v/>
      </c>
      <c r="Y1953" s="79" t="str">
        <f>IF(AND(OR(N1953="131",O1953="131"),H1953='131-CT'!$H$9),"x","")</f>
        <v/>
      </c>
      <c r="Z1953" s="79"/>
      <c r="AA1953" s="79" t="str">
        <f>IF(AND(MONTH(E1953)='IN-NX'!$J$5,'IN-NX'!$D$7=D1953),"x","")</f>
        <v/>
      </c>
      <c r="AB1953" s="79" t="str">
        <f>IF(AND(OR(LEFT(TH!N1953,2)="15",LEFT(TH!O1953,2)="15"),LEFT(TH!O1953,3)&lt;&gt;"111",'152-CT'!$J$8=TH!F1953),"x","")</f>
        <v/>
      </c>
      <c r="AC1953" s="79" t="str">
        <f>IF(AND(OR(LEFT(TH!N1953,2)="15",LEFT(TH!O1953,2)="15"),TK!$E$7=TH!F1953),"x","")</f>
        <v/>
      </c>
      <c r="AD1953" s="79" t="str">
        <f>IF(AND(N1953="1521",MONTH(C1953)='BK-NL'!$M$11),"x","")</f>
        <v/>
      </c>
    </row>
    <row r="1954" spans="1:30" ht="16.5" customHeight="1">
      <c r="A1954" s="318" t="str">
        <f>IF(B1954&lt;&gt;"",IF(AND(B1954='IN-TC'!$S$4,OR(TH!N1954="1111",TH!O1954="1111")),TH!D1954,""),"")</f>
        <v/>
      </c>
      <c r="B1954" s="60" t="str">
        <f t="shared" si="220"/>
        <v/>
      </c>
      <c r="C1954" s="974"/>
      <c r="D1954" s="974"/>
      <c r="E1954" s="974"/>
      <c r="F1954" s="1131"/>
      <c r="G1954" s="976"/>
      <c r="H1954" s="759"/>
      <c r="I1954" s="383"/>
      <c r="J1954" s="390"/>
      <c r="K1954" s="383"/>
      <c r="L1954" s="390"/>
      <c r="M1954" s="978"/>
      <c r="N1954" s="979"/>
      <c r="O1954" s="979"/>
      <c r="P1954" s="79" t="str">
        <f>IF(AND('331-CT'!$E$7=TH!H1954,OR(N1954="331",O1954="331")),"x","")</f>
        <v/>
      </c>
      <c r="Q1954" s="79" t="str">
        <f>IF(AND(B1954='111'!$L$11,OR($N1954=$Q$7,$O1954=$Q$7)),"x","")</f>
        <v/>
      </c>
      <c r="R1954" s="79" t="str">
        <f>IF(AND($N1954=$Q$7,$B1954&lt;'111'!$L$11),"x","")</f>
        <v/>
      </c>
      <c r="S1954" s="79" t="str">
        <f>IF(AND($O1954=$Q$7,$B1954&lt;'111'!$L$11),"x","")</f>
        <v/>
      </c>
      <c r="T1954" s="79" t="str">
        <f>IF(ISERROR(FIND('112'!$M$9,G1954,1)),"",IF((AND(FIND('112'!$M$9,G1954,1)&gt;=1,B1954='112'!$K$9,OR($N1954='112'!$I$6,$O1954='112'!$I$6))),"x",""))</f>
        <v/>
      </c>
      <c r="U1954" s="79" t="str">
        <f>IF(ISERROR(FIND('112'!$M$9,G1954,1)),"",IF((AND(LEFT(G1954,2)=LEFT('112'!$M$9,2),B1954&lt;'112'!$K$9,$N1954='112'!$I$6)),"x",""))</f>
        <v/>
      </c>
      <c r="V1954" s="79" t="str">
        <f>IF(ISERROR(FIND('112'!$M$9,G1954,1)),"",IF((AND(RIGHT(G1954,2)=RIGHT('112'!$M$9,2),B1954&lt;'112'!$K$9,$O1954='112'!$I$6)),"x",""))</f>
        <v/>
      </c>
      <c r="W1954" s="79" t="str">
        <f>IF(AND('341-CT'!$H$9=H1954,OR(LEFT(N1954,3)=$W$7,LEFT(O1954,3)=$W$7)),"x","")</f>
        <v/>
      </c>
      <c r="X1954" s="79" t="str">
        <f>IF(OR(TH!N1954=TH!$X$7,O1954=TH!$X$7),"x","")</f>
        <v/>
      </c>
      <c r="Y1954" s="79" t="str">
        <f>IF(AND(OR(N1954="131",O1954="131"),H1954='131-CT'!$H$9),"x","")</f>
        <v/>
      </c>
      <c r="Z1954" s="79"/>
      <c r="AA1954" s="79" t="str">
        <f>IF(AND(MONTH(E1954)='IN-NX'!$J$5,'IN-NX'!$D$7=D1954),"x","")</f>
        <v/>
      </c>
      <c r="AB1954" s="79" t="str">
        <f>IF(AND(OR(LEFT(TH!N1954,2)="15",LEFT(TH!O1954,2)="15"),LEFT(TH!O1954,3)&lt;&gt;"111",'152-CT'!$J$8=TH!F1954),"x","")</f>
        <v/>
      </c>
      <c r="AC1954" s="79" t="str">
        <f>IF(AND(OR(LEFT(TH!N1954,2)="15",LEFT(TH!O1954,2)="15"),TK!$E$7=TH!F1954),"x","")</f>
        <v/>
      </c>
      <c r="AD1954" s="79" t="str">
        <f>IF(AND(N1954="1521",MONTH(C1954)='BK-NL'!$M$11),"x","")</f>
        <v/>
      </c>
    </row>
    <row r="1955" spans="1:30" ht="16.5" customHeight="1">
      <c r="A1955" s="318" t="str">
        <f>IF(B1955&lt;&gt;"",IF(AND(B1955='IN-TC'!$S$4,OR(TH!N1955="1111",TH!O1955="1111")),TH!D1955,""),"")</f>
        <v/>
      </c>
      <c r="B1955" s="60" t="str">
        <f t="shared" si="220"/>
        <v/>
      </c>
      <c r="C1955" s="974"/>
      <c r="D1955" s="974"/>
      <c r="E1955" s="974"/>
      <c r="F1955" s="1131"/>
      <c r="G1955" s="976"/>
      <c r="H1955" s="759"/>
      <c r="I1955" s="383"/>
      <c r="J1955" s="390"/>
      <c r="K1955" s="383"/>
      <c r="L1955" s="390"/>
      <c r="M1955" s="978"/>
      <c r="N1955" s="979"/>
      <c r="O1955" s="979"/>
      <c r="P1955" s="79" t="str">
        <f>IF(AND('331-CT'!$E$7=TH!H1955,OR(N1955="331",O1955="331")),"x","")</f>
        <v/>
      </c>
      <c r="Q1955" s="79" t="str">
        <f>IF(AND(B1955='111'!$L$11,OR($N1955=$Q$7,$O1955=$Q$7)),"x","")</f>
        <v/>
      </c>
      <c r="R1955" s="79" t="str">
        <f>IF(AND($N1955=$Q$7,$B1955&lt;'111'!$L$11),"x","")</f>
        <v/>
      </c>
      <c r="S1955" s="79" t="str">
        <f>IF(AND($O1955=$Q$7,$B1955&lt;'111'!$L$11),"x","")</f>
        <v/>
      </c>
      <c r="T1955" s="79" t="str">
        <f>IF(ISERROR(FIND('112'!$M$9,G1955,1)),"",IF((AND(FIND('112'!$M$9,G1955,1)&gt;=1,B1955='112'!$K$9,OR($N1955='112'!$I$6,$O1955='112'!$I$6))),"x",""))</f>
        <v/>
      </c>
      <c r="U1955" s="79" t="str">
        <f>IF(ISERROR(FIND('112'!$M$9,G1955,1)),"",IF((AND(LEFT(G1955,2)=LEFT('112'!$M$9,2),B1955&lt;'112'!$K$9,$N1955='112'!$I$6)),"x",""))</f>
        <v/>
      </c>
      <c r="V1955" s="79" t="str">
        <f>IF(ISERROR(FIND('112'!$M$9,G1955,1)),"",IF((AND(RIGHT(G1955,2)=RIGHT('112'!$M$9,2),B1955&lt;'112'!$K$9,$O1955='112'!$I$6)),"x",""))</f>
        <v/>
      </c>
      <c r="W1955" s="79" t="str">
        <f>IF(AND('341-CT'!$H$9=H1955,OR(LEFT(N1955,3)=$W$7,LEFT(O1955,3)=$W$7)),"x","")</f>
        <v/>
      </c>
      <c r="X1955" s="79" t="str">
        <f>IF(OR(TH!N1955=TH!$X$7,O1955=TH!$X$7),"x","")</f>
        <v/>
      </c>
      <c r="Y1955" s="79" t="str">
        <f>IF(AND(OR(N1955="131",O1955="131"),H1955='131-CT'!$H$9),"x","")</f>
        <v/>
      </c>
      <c r="Z1955" s="79"/>
      <c r="AA1955" s="79" t="str">
        <f>IF(AND(MONTH(E1955)='IN-NX'!$J$5,'IN-NX'!$D$7=D1955),"x","")</f>
        <v/>
      </c>
      <c r="AB1955" s="79" t="str">
        <f>IF(AND(OR(LEFT(TH!N1955,2)="15",LEFT(TH!O1955,2)="15"),LEFT(TH!O1955,3)&lt;&gt;"111",'152-CT'!$J$8=TH!F1955),"x","")</f>
        <v/>
      </c>
      <c r="AC1955" s="79" t="str">
        <f>IF(AND(OR(LEFT(TH!N1955,2)="15",LEFT(TH!O1955,2)="15"),TK!$E$7=TH!F1955),"x","")</f>
        <v/>
      </c>
      <c r="AD1955" s="79" t="str">
        <f>IF(AND(N1955="1521",MONTH(C1955)='BK-NL'!$M$11),"x","")</f>
        <v/>
      </c>
    </row>
    <row r="1956" spans="1:30" ht="16.5" customHeight="1">
      <c r="A1956" s="318" t="str">
        <f>IF(B1956&lt;&gt;"",IF(AND(B1956='IN-TC'!$S$4,OR(TH!N1956="1111",TH!O1956="1111")),TH!D1956,""),"")</f>
        <v/>
      </c>
      <c r="B1956" s="60" t="str">
        <f t="shared" si="220"/>
        <v/>
      </c>
      <c r="C1956" s="974"/>
      <c r="D1956" s="974"/>
      <c r="E1956" s="974"/>
      <c r="F1956" s="1131"/>
      <c r="G1956" s="976"/>
      <c r="H1956" s="759"/>
      <c r="I1956" s="383"/>
      <c r="J1956" s="390"/>
      <c r="K1956" s="383"/>
      <c r="L1956" s="390"/>
      <c r="M1956" s="978"/>
      <c r="N1956" s="979"/>
      <c r="O1956" s="979"/>
      <c r="P1956" s="79" t="str">
        <f>IF(AND('331-CT'!$E$7=TH!H1956,OR(N1956="331",O1956="331")),"x","")</f>
        <v/>
      </c>
      <c r="Q1956" s="79" t="str">
        <f>IF(AND(B1956='111'!$L$11,OR($N1956=$Q$7,$O1956=$Q$7)),"x","")</f>
        <v/>
      </c>
      <c r="R1956" s="79" t="str">
        <f>IF(AND($N1956=$Q$7,$B1956&lt;'111'!$L$11),"x","")</f>
        <v/>
      </c>
      <c r="S1956" s="79" t="str">
        <f>IF(AND($O1956=$Q$7,$B1956&lt;'111'!$L$11),"x","")</f>
        <v/>
      </c>
      <c r="T1956" s="79" t="str">
        <f>IF(ISERROR(FIND('112'!$M$9,G1956,1)),"",IF((AND(FIND('112'!$M$9,G1956,1)&gt;=1,B1956='112'!$K$9,OR($N1956='112'!$I$6,$O1956='112'!$I$6))),"x",""))</f>
        <v/>
      </c>
      <c r="U1956" s="79" t="str">
        <f>IF(ISERROR(FIND('112'!$M$9,G1956,1)),"",IF((AND(LEFT(G1956,2)=LEFT('112'!$M$9,2),B1956&lt;'112'!$K$9,$N1956='112'!$I$6)),"x",""))</f>
        <v/>
      </c>
      <c r="V1956" s="79" t="str">
        <f>IF(ISERROR(FIND('112'!$M$9,G1956,1)),"",IF((AND(RIGHT(G1956,2)=RIGHT('112'!$M$9,2),B1956&lt;'112'!$K$9,$O1956='112'!$I$6)),"x",""))</f>
        <v/>
      </c>
      <c r="W1956" s="79" t="str">
        <f>IF(AND('341-CT'!$H$9=H1956,OR(LEFT(N1956,3)=$W$7,LEFT(O1956,3)=$W$7)),"x","")</f>
        <v/>
      </c>
      <c r="X1956" s="79" t="str">
        <f>IF(OR(TH!N1956=TH!$X$7,O1956=TH!$X$7),"x","")</f>
        <v/>
      </c>
      <c r="Y1956" s="79" t="str">
        <f>IF(AND(OR(N1956="131",O1956="131"),H1956='131-CT'!$H$9),"x","")</f>
        <v/>
      </c>
      <c r="Z1956" s="79"/>
      <c r="AA1956" s="79" t="str">
        <f>IF(AND(MONTH(E1956)='IN-NX'!$J$5,'IN-NX'!$D$7=D1956),"x","")</f>
        <v/>
      </c>
      <c r="AB1956" s="79" t="str">
        <f>IF(AND(OR(LEFT(TH!N1956,2)="15",LEFT(TH!O1956,2)="15"),LEFT(TH!O1956,3)&lt;&gt;"111",'152-CT'!$J$8=TH!F1956),"x","")</f>
        <v/>
      </c>
      <c r="AC1956" s="79" t="str">
        <f>IF(AND(OR(LEFT(TH!N1956,2)="15",LEFT(TH!O1956,2)="15"),TK!$E$7=TH!F1956),"x","")</f>
        <v/>
      </c>
      <c r="AD1956" s="79" t="str">
        <f>IF(AND(N1956="1521",MONTH(C1956)='BK-NL'!$M$11),"x","")</f>
        <v/>
      </c>
    </row>
    <row r="1957" spans="1:30" ht="16.5" customHeight="1">
      <c r="A1957" s="318" t="str">
        <f>IF(B1957&lt;&gt;"",IF(AND(B1957='IN-TC'!$S$4,OR(TH!N1957="1111",TH!O1957="1111")),TH!D1957,""),"")</f>
        <v/>
      </c>
      <c r="B1957" s="60" t="str">
        <f t="shared" si="220"/>
        <v/>
      </c>
      <c r="C1957" s="974"/>
      <c r="D1957" s="974"/>
      <c r="E1957" s="974"/>
      <c r="F1957" s="1131"/>
      <c r="G1957" s="976"/>
      <c r="H1957" s="759"/>
      <c r="I1957" s="383"/>
      <c r="J1957" s="390"/>
      <c r="K1957" s="383"/>
      <c r="L1957" s="390"/>
      <c r="M1957" s="978"/>
      <c r="N1957" s="979"/>
      <c r="O1957" s="979"/>
      <c r="P1957" s="79" t="str">
        <f>IF(AND('331-CT'!$E$7=TH!H1957,OR(N1957="331",O1957="331")),"x","")</f>
        <v/>
      </c>
      <c r="Q1957" s="79" t="str">
        <f>IF(AND(B1957='111'!$L$11,OR($N1957=$Q$7,$O1957=$Q$7)),"x","")</f>
        <v/>
      </c>
      <c r="R1957" s="79" t="str">
        <f>IF(AND($N1957=$Q$7,$B1957&lt;'111'!$L$11),"x","")</f>
        <v/>
      </c>
      <c r="S1957" s="79" t="str">
        <f>IF(AND($O1957=$Q$7,$B1957&lt;'111'!$L$11),"x","")</f>
        <v/>
      </c>
      <c r="T1957" s="79" t="str">
        <f>IF(ISERROR(FIND('112'!$M$9,G1957,1)),"",IF((AND(FIND('112'!$M$9,G1957,1)&gt;=1,B1957='112'!$K$9,OR($N1957='112'!$I$6,$O1957='112'!$I$6))),"x",""))</f>
        <v/>
      </c>
      <c r="U1957" s="79" t="str">
        <f>IF(ISERROR(FIND('112'!$M$9,G1957,1)),"",IF((AND(LEFT(G1957,2)=LEFT('112'!$M$9,2),B1957&lt;'112'!$K$9,$N1957='112'!$I$6)),"x",""))</f>
        <v/>
      </c>
      <c r="V1957" s="79" t="str">
        <f>IF(ISERROR(FIND('112'!$M$9,G1957,1)),"",IF((AND(RIGHT(G1957,2)=RIGHT('112'!$M$9,2),B1957&lt;'112'!$K$9,$O1957='112'!$I$6)),"x",""))</f>
        <v/>
      </c>
      <c r="W1957" s="79" t="str">
        <f>IF(AND('341-CT'!$H$9=H1957,OR(LEFT(N1957,3)=$W$7,LEFT(O1957,3)=$W$7)),"x","")</f>
        <v/>
      </c>
      <c r="X1957" s="79" t="str">
        <f>IF(OR(TH!N1957=TH!$X$7,O1957=TH!$X$7),"x","")</f>
        <v/>
      </c>
      <c r="Y1957" s="79" t="str">
        <f>IF(AND(OR(N1957="131",O1957="131"),H1957='131-CT'!$H$9),"x","")</f>
        <v/>
      </c>
      <c r="Z1957" s="79"/>
      <c r="AA1957" s="79" t="str">
        <f>IF(AND(MONTH(E1957)='IN-NX'!$J$5,'IN-NX'!$D$7=D1957),"x","")</f>
        <v/>
      </c>
      <c r="AB1957" s="79" t="str">
        <f>IF(AND(OR(LEFT(TH!N1957,2)="15",LEFT(TH!O1957,2)="15"),LEFT(TH!O1957,3)&lt;&gt;"111",'152-CT'!$J$8=TH!F1957),"x","")</f>
        <v/>
      </c>
      <c r="AC1957" s="79" t="str">
        <f>IF(AND(OR(LEFT(TH!N1957,2)="15",LEFT(TH!O1957,2)="15"),TK!$E$7=TH!F1957),"x","")</f>
        <v/>
      </c>
      <c r="AD1957" s="79" t="str">
        <f>IF(AND(N1957="1521",MONTH(C1957)='BK-NL'!$M$11),"x","")</f>
        <v/>
      </c>
    </row>
    <row r="1958" spans="1:30" ht="16.5" customHeight="1">
      <c r="A1958" s="318" t="str">
        <f>IF(B1958&lt;&gt;"",IF(AND(B1958='IN-TC'!$S$4,OR(TH!N1958="1111",TH!O1958="1111")),TH!D1958,""),"")</f>
        <v/>
      </c>
      <c r="B1958" s="60" t="str">
        <f t="shared" ref="B1958:B1961" si="227">IF(C1958&lt;&gt;"",MONTH(C1958),"")</f>
        <v/>
      </c>
      <c r="C1958" s="974"/>
      <c r="D1958" s="974"/>
      <c r="E1958" s="974"/>
      <c r="F1958" s="1131"/>
      <c r="G1958" s="976"/>
      <c r="H1958" s="759"/>
      <c r="I1958" s="383"/>
      <c r="J1958" s="390"/>
      <c r="K1958" s="383"/>
      <c r="L1958" s="390"/>
      <c r="M1958" s="978"/>
      <c r="N1958" s="979"/>
      <c r="O1958" s="979"/>
      <c r="P1958" s="79" t="str">
        <f>IF(AND('331-CT'!$E$7=TH!H1958,OR(N1958="331",O1958="331")),"x","")</f>
        <v/>
      </c>
      <c r="Q1958" s="79" t="str">
        <f>IF(AND(B1958='111'!$L$11,OR($N1958=$Q$7,$O1958=$Q$7)),"x","")</f>
        <v/>
      </c>
      <c r="R1958" s="79" t="str">
        <f>IF(AND($N1958=$Q$7,$B1958&lt;'111'!$L$11),"x","")</f>
        <v/>
      </c>
      <c r="S1958" s="79" t="str">
        <f>IF(AND($O1958=$Q$7,$B1958&lt;'111'!$L$11),"x","")</f>
        <v/>
      </c>
      <c r="T1958" s="79" t="str">
        <f>IF(ISERROR(FIND('112'!$M$9,G1958,1)),"",IF((AND(FIND('112'!$M$9,G1958,1)&gt;=1,B1958='112'!$K$9,OR($N1958='112'!$I$6,$O1958='112'!$I$6))),"x",""))</f>
        <v/>
      </c>
      <c r="U1958" s="79" t="str">
        <f>IF(ISERROR(FIND('112'!$M$9,G1958,1)),"",IF((AND(LEFT(G1958,2)=LEFT('112'!$M$9,2),B1958&lt;'112'!$K$9,$N1958='112'!$I$6)),"x",""))</f>
        <v/>
      </c>
      <c r="V1958" s="79" t="str">
        <f>IF(ISERROR(FIND('112'!$M$9,G1958,1)),"",IF((AND(RIGHT(G1958,2)=RIGHT('112'!$M$9,2),B1958&lt;'112'!$K$9,$O1958='112'!$I$6)),"x",""))</f>
        <v/>
      </c>
      <c r="W1958" s="79" t="str">
        <f>IF(AND('341-CT'!$H$9=H1958,OR(LEFT(N1958,3)=$W$7,LEFT(O1958,3)=$W$7)),"x","")</f>
        <v/>
      </c>
      <c r="X1958" s="79" t="str">
        <f>IF(OR(TH!N1958=TH!$X$7,O1958=TH!$X$7),"x","")</f>
        <v/>
      </c>
      <c r="Y1958" s="79" t="str">
        <f>IF(AND(OR(N1958="131",O1958="131"),H1958='131-CT'!$H$9),"x","")</f>
        <v/>
      </c>
      <c r="Z1958" s="79"/>
      <c r="AA1958" s="79" t="str">
        <f>IF(AND(MONTH(E1958)='IN-NX'!$J$5,'IN-NX'!$D$7=D1958),"x","")</f>
        <v/>
      </c>
      <c r="AB1958" s="79" t="str">
        <f>IF(AND(OR(LEFT(TH!N1958,2)="15",LEFT(TH!O1958,2)="15"),LEFT(TH!O1958,3)&lt;&gt;"111",'152-CT'!$J$8=TH!F1958),"x","")</f>
        <v/>
      </c>
      <c r="AC1958" s="79" t="str">
        <f>IF(AND(OR(LEFT(TH!N1958,2)="15",LEFT(TH!O1958,2)="15"),TK!$E$7=TH!F1958),"x","")</f>
        <v/>
      </c>
      <c r="AD1958" s="79" t="str">
        <f>IF(AND(N1958="1521",MONTH(C1958)='BK-NL'!$M$11),"x","")</f>
        <v/>
      </c>
    </row>
    <row r="1959" spans="1:30" ht="16.5" customHeight="1">
      <c r="A1959" s="318" t="str">
        <f>IF(B1959&lt;&gt;"",IF(AND(B1959='IN-TC'!$S$4,OR(TH!N1959="1111",TH!O1959="1111")),TH!D1959,""),"")</f>
        <v/>
      </c>
      <c r="B1959" s="60" t="str">
        <f t="shared" si="227"/>
        <v/>
      </c>
      <c r="C1959" s="974"/>
      <c r="D1959" s="974"/>
      <c r="E1959" s="974"/>
      <c r="F1959" s="1131"/>
      <c r="G1959" s="976"/>
      <c r="H1959" s="759"/>
      <c r="I1959" s="383"/>
      <c r="J1959" s="390"/>
      <c r="K1959" s="383"/>
      <c r="L1959" s="390"/>
      <c r="M1959" s="978"/>
      <c r="N1959" s="979"/>
      <c r="O1959" s="979"/>
      <c r="P1959" s="79" t="str">
        <f>IF(AND('331-CT'!$E$7=TH!H1959,OR(N1959="331",O1959="331")),"x","")</f>
        <v/>
      </c>
      <c r="Q1959" s="79" t="str">
        <f>IF(AND(B1959='111'!$L$11,OR($N1959=$Q$7,$O1959=$Q$7)),"x","")</f>
        <v/>
      </c>
      <c r="R1959" s="79" t="str">
        <f>IF(AND($N1959=$Q$7,$B1959&lt;'111'!$L$11),"x","")</f>
        <v/>
      </c>
      <c r="S1959" s="79" t="str">
        <f>IF(AND($O1959=$Q$7,$B1959&lt;'111'!$L$11),"x","")</f>
        <v/>
      </c>
      <c r="T1959" s="79" t="str">
        <f>IF(ISERROR(FIND('112'!$M$9,G1959,1)),"",IF((AND(FIND('112'!$M$9,G1959,1)&gt;=1,B1959='112'!$K$9,OR($N1959='112'!$I$6,$O1959='112'!$I$6))),"x",""))</f>
        <v/>
      </c>
      <c r="U1959" s="79" t="str">
        <f>IF(ISERROR(FIND('112'!$M$9,G1959,1)),"",IF((AND(LEFT(G1959,2)=LEFT('112'!$M$9,2),B1959&lt;'112'!$K$9,$N1959='112'!$I$6)),"x",""))</f>
        <v/>
      </c>
      <c r="V1959" s="79" t="str">
        <f>IF(ISERROR(FIND('112'!$M$9,G1959,1)),"",IF((AND(RIGHT(G1959,2)=RIGHT('112'!$M$9,2),B1959&lt;'112'!$K$9,$O1959='112'!$I$6)),"x",""))</f>
        <v/>
      </c>
      <c r="W1959" s="79" t="str">
        <f>IF(AND('341-CT'!$H$9=H1959,OR(LEFT(N1959,3)=$W$7,LEFT(O1959,3)=$W$7)),"x","")</f>
        <v/>
      </c>
      <c r="X1959" s="79" t="str">
        <f>IF(OR(TH!N1959=TH!$X$7,O1959=TH!$X$7),"x","")</f>
        <v/>
      </c>
      <c r="Y1959" s="79" t="str">
        <f>IF(AND(OR(N1959="131",O1959="131"),H1959='131-CT'!$H$9),"x","")</f>
        <v/>
      </c>
      <c r="Z1959" s="79"/>
      <c r="AA1959" s="79" t="str">
        <f>IF(AND(MONTH(E1959)='IN-NX'!$J$5,'IN-NX'!$D$7=D1959),"x","")</f>
        <v/>
      </c>
      <c r="AB1959" s="79" t="str">
        <f>IF(AND(OR(LEFT(TH!N1959,2)="15",LEFT(TH!O1959,2)="15"),LEFT(TH!O1959,3)&lt;&gt;"111",'152-CT'!$J$8=TH!F1959),"x","")</f>
        <v/>
      </c>
      <c r="AC1959" s="79" t="str">
        <f>IF(AND(OR(LEFT(TH!N1959,2)="15",LEFT(TH!O1959,2)="15"),TK!$E$7=TH!F1959),"x","")</f>
        <v/>
      </c>
      <c r="AD1959" s="79" t="str">
        <f>IF(AND(N1959="1521",MONTH(C1959)='BK-NL'!$M$11),"x","")</f>
        <v/>
      </c>
    </row>
    <row r="1960" spans="1:30" ht="16.5" customHeight="1">
      <c r="A1960" s="318" t="str">
        <f>IF(B1960&lt;&gt;"",IF(AND(B1960='IN-TC'!$S$4,OR(TH!N1960="1111",TH!O1960="1111")),TH!D1960,""),"")</f>
        <v/>
      </c>
      <c r="B1960" s="60" t="str">
        <f t="shared" si="227"/>
        <v/>
      </c>
      <c r="C1960" s="974"/>
      <c r="D1960" s="974"/>
      <c r="E1960" s="974"/>
      <c r="F1960" s="1131"/>
      <c r="G1960" s="976"/>
      <c r="H1960" s="759"/>
      <c r="I1960" s="383"/>
      <c r="J1960" s="390"/>
      <c r="K1960" s="383"/>
      <c r="L1960" s="390"/>
      <c r="M1960" s="978"/>
      <c r="N1960" s="979"/>
      <c r="O1960" s="979"/>
      <c r="P1960" s="79" t="str">
        <f>IF(AND('331-CT'!$E$7=TH!H1960,OR(N1960="331",O1960="331")),"x","")</f>
        <v/>
      </c>
      <c r="Q1960" s="79" t="str">
        <f>IF(AND(B1960='111'!$L$11,OR($N1960=$Q$7,$O1960=$Q$7)),"x","")</f>
        <v/>
      </c>
      <c r="R1960" s="79" t="str">
        <f>IF(AND($N1960=$Q$7,$B1960&lt;'111'!$L$11),"x","")</f>
        <v/>
      </c>
      <c r="S1960" s="79" t="str">
        <f>IF(AND($O1960=$Q$7,$B1960&lt;'111'!$L$11),"x","")</f>
        <v/>
      </c>
      <c r="T1960" s="79" t="str">
        <f>IF(ISERROR(FIND('112'!$M$9,G1960,1)),"",IF((AND(FIND('112'!$M$9,G1960,1)&gt;=1,B1960='112'!$K$9,OR($N1960='112'!$I$6,$O1960='112'!$I$6))),"x",""))</f>
        <v/>
      </c>
      <c r="U1960" s="79" t="str">
        <f>IF(ISERROR(FIND('112'!$M$9,G1960,1)),"",IF((AND(LEFT(G1960,2)=LEFT('112'!$M$9,2),B1960&lt;'112'!$K$9,$N1960='112'!$I$6)),"x",""))</f>
        <v/>
      </c>
      <c r="V1960" s="79" t="str">
        <f>IF(ISERROR(FIND('112'!$M$9,G1960,1)),"",IF((AND(RIGHT(G1960,2)=RIGHT('112'!$M$9,2),B1960&lt;'112'!$K$9,$O1960='112'!$I$6)),"x",""))</f>
        <v/>
      </c>
      <c r="W1960" s="79" t="str">
        <f>IF(AND('341-CT'!$H$9=H1960,OR(LEFT(N1960,3)=$W$7,LEFT(O1960,3)=$W$7)),"x","")</f>
        <v/>
      </c>
      <c r="X1960" s="79" t="str">
        <f>IF(OR(TH!N1960=TH!$X$7,O1960=TH!$X$7),"x","")</f>
        <v/>
      </c>
      <c r="Y1960" s="79" t="str">
        <f>IF(AND(OR(N1960="131",O1960="131"),H1960='131-CT'!$H$9),"x","")</f>
        <v/>
      </c>
      <c r="Z1960" s="79"/>
      <c r="AA1960" s="79" t="str">
        <f>IF(AND(MONTH(E1960)='IN-NX'!$J$5,'IN-NX'!$D$7=D1960),"x","")</f>
        <v/>
      </c>
      <c r="AB1960" s="79" t="str">
        <f>IF(AND(OR(LEFT(TH!N1960,2)="15",LEFT(TH!O1960,2)="15"),LEFT(TH!O1960,3)&lt;&gt;"111",'152-CT'!$J$8=TH!F1960),"x","")</f>
        <v/>
      </c>
      <c r="AC1960" s="79" t="str">
        <f>IF(AND(OR(LEFT(TH!N1960,2)="15",LEFT(TH!O1960,2)="15"),TK!$E$7=TH!F1960),"x","")</f>
        <v/>
      </c>
      <c r="AD1960" s="79" t="str">
        <f>IF(AND(N1960="1521",MONTH(C1960)='BK-NL'!$M$11),"x","")</f>
        <v/>
      </c>
    </row>
    <row r="1961" spans="1:30" ht="16.5" customHeight="1">
      <c r="A1961" s="318" t="str">
        <f>IF(B1961&lt;&gt;"",IF(AND(B1961='IN-TC'!$S$4,OR(TH!N1961="1111",TH!O1961="1111")),TH!D1961,""),"")</f>
        <v/>
      </c>
      <c r="B1961" s="60" t="str">
        <f t="shared" si="227"/>
        <v/>
      </c>
      <c r="C1961" s="974"/>
      <c r="D1961" s="974"/>
      <c r="E1961" s="974"/>
      <c r="F1961" s="1131"/>
      <c r="G1961" s="976"/>
      <c r="H1961" s="759"/>
      <c r="I1961" s="383"/>
      <c r="J1961" s="390"/>
      <c r="K1961" s="383"/>
      <c r="L1961" s="390"/>
      <c r="M1961" s="978"/>
      <c r="N1961" s="979"/>
      <c r="O1961" s="979"/>
      <c r="P1961" s="79" t="str">
        <f>IF(AND('331-CT'!$E$7=TH!H1961,OR(N1961="331",O1961="331")),"x","")</f>
        <v/>
      </c>
      <c r="Q1961" s="79" t="str">
        <f>IF(AND(B1961='111'!$L$11,OR($N1961=$Q$7,$O1961=$Q$7)),"x","")</f>
        <v/>
      </c>
      <c r="R1961" s="79" t="str">
        <f>IF(AND($N1961=$Q$7,$B1961&lt;'111'!$L$11),"x","")</f>
        <v/>
      </c>
      <c r="S1961" s="79" t="str">
        <f>IF(AND($O1961=$Q$7,$B1961&lt;'111'!$L$11),"x","")</f>
        <v/>
      </c>
      <c r="T1961" s="79" t="str">
        <f>IF(ISERROR(FIND('112'!$M$9,G1961,1)),"",IF((AND(FIND('112'!$M$9,G1961,1)&gt;=1,B1961='112'!$K$9,OR($N1961='112'!$I$6,$O1961='112'!$I$6))),"x",""))</f>
        <v/>
      </c>
      <c r="U1961" s="79" t="str">
        <f>IF(ISERROR(FIND('112'!$M$9,G1961,1)),"",IF((AND(LEFT(G1961,2)=LEFT('112'!$M$9,2),B1961&lt;'112'!$K$9,$N1961='112'!$I$6)),"x",""))</f>
        <v/>
      </c>
      <c r="V1961" s="79" t="str">
        <f>IF(ISERROR(FIND('112'!$M$9,G1961,1)),"",IF((AND(RIGHT(G1961,2)=RIGHT('112'!$M$9,2),B1961&lt;'112'!$K$9,$O1961='112'!$I$6)),"x",""))</f>
        <v/>
      </c>
      <c r="W1961" s="79" t="str">
        <f>IF(AND('341-CT'!$H$9=H1961,OR(LEFT(N1961,3)=$W$7,LEFT(O1961,3)=$W$7)),"x","")</f>
        <v/>
      </c>
      <c r="X1961" s="79" t="str">
        <f>IF(OR(TH!N1961=TH!$X$7,O1961=TH!$X$7),"x","")</f>
        <v/>
      </c>
      <c r="Y1961" s="79" t="str">
        <f>IF(AND(OR(N1961="131",O1961="131"),H1961='131-CT'!$H$9),"x","")</f>
        <v/>
      </c>
      <c r="Z1961" s="79"/>
      <c r="AA1961" s="79" t="str">
        <f>IF(AND(MONTH(E1961)='IN-NX'!$J$5,'IN-NX'!$D$7=D1961),"x","")</f>
        <v/>
      </c>
      <c r="AB1961" s="79" t="str">
        <f>IF(AND(OR(LEFT(TH!N1961,2)="15",LEFT(TH!O1961,2)="15"),LEFT(TH!O1961,3)&lt;&gt;"111",'152-CT'!$J$8=TH!F1961),"x","")</f>
        <v/>
      </c>
      <c r="AC1961" s="79" t="str">
        <f>IF(AND(OR(LEFT(TH!N1961,2)="15",LEFT(TH!O1961,2)="15"),TK!$E$7=TH!F1961),"x","")</f>
        <v/>
      </c>
      <c r="AD1961" s="79" t="str">
        <f>IF(AND(N1961="1521",MONTH(C1961)='BK-NL'!$M$11),"x","")</f>
        <v/>
      </c>
    </row>
    <row r="1962" spans="1:30" ht="16.5" customHeight="1">
      <c r="A1962" s="318" t="str">
        <f>IF(B1962&lt;&gt;"",IF(AND(B1962='IN-TC'!$S$4,OR(TH!N1962="1111",TH!O1962="1111")),TH!D1962,""),"")</f>
        <v/>
      </c>
      <c r="B1962" s="60" t="str">
        <f t="shared" ref="B1962:B1965" si="228">IF(C1962&lt;&gt;"",MONTH(C1962),"")</f>
        <v/>
      </c>
      <c r="C1962" s="974"/>
      <c r="D1962" s="974"/>
      <c r="E1962" s="974"/>
      <c r="F1962" s="1131"/>
      <c r="G1962" s="976"/>
      <c r="H1962" s="759"/>
      <c r="I1962" s="383"/>
      <c r="J1962" s="390"/>
      <c r="K1962" s="383"/>
      <c r="L1962" s="390"/>
      <c r="M1962" s="978"/>
      <c r="N1962" s="979"/>
      <c r="O1962" s="979"/>
      <c r="P1962" s="79" t="str">
        <f>IF(AND('331-CT'!$E$7=TH!H1962,OR(N1962="331",O1962="331")),"x","")</f>
        <v/>
      </c>
      <c r="Q1962" s="79" t="str">
        <f>IF(AND(B1962='111'!$L$11,OR($N1962=$Q$7,$O1962=$Q$7)),"x","")</f>
        <v/>
      </c>
      <c r="R1962" s="79" t="str">
        <f>IF(AND($N1962=$Q$7,$B1962&lt;'111'!$L$11),"x","")</f>
        <v/>
      </c>
      <c r="S1962" s="79" t="str">
        <f>IF(AND($O1962=$Q$7,$B1962&lt;'111'!$L$11),"x","")</f>
        <v/>
      </c>
      <c r="T1962" s="79" t="str">
        <f>IF(ISERROR(FIND('112'!$M$9,G1962,1)),"",IF((AND(FIND('112'!$M$9,G1962,1)&gt;=1,B1962='112'!$K$9,OR($N1962='112'!$I$6,$O1962='112'!$I$6))),"x",""))</f>
        <v/>
      </c>
      <c r="U1962" s="79" t="str">
        <f>IF(ISERROR(FIND('112'!$M$9,G1962,1)),"",IF((AND(LEFT(G1962,2)=LEFT('112'!$M$9,2),B1962&lt;'112'!$K$9,$N1962='112'!$I$6)),"x",""))</f>
        <v/>
      </c>
      <c r="V1962" s="79" t="str">
        <f>IF(ISERROR(FIND('112'!$M$9,G1962,1)),"",IF((AND(RIGHT(G1962,2)=RIGHT('112'!$M$9,2),B1962&lt;'112'!$K$9,$O1962='112'!$I$6)),"x",""))</f>
        <v/>
      </c>
      <c r="W1962" s="79" t="str">
        <f>IF(AND('341-CT'!$H$9=H1962,OR(LEFT(N1962,3)=$W$7,LEFT(O1962,3)=$W$7)),"x","")</f>
        <v/>
      </c>
      <c r="X1962" s="79" t="str">
        <f>IF(OR(TH!N1962=TH!$X$7,O1962=TH!$X$7),"x","")</f>
        <v/>
      </c>
      <c r="Y1962" s="79" t="str">
        <f>IF(AND(OR(N1962="131",O1962="131"),H1962='131-CT'!$H$9),"x","")</f>
        <v/>
      </c>
      <c r="Z1962" s="79"/>
      <c r="AA1962" s="79" t="str">
        <f>IF(AND(MONTH(E1962)='IN-NX'!$J$5,'IN-NX'!$D$7=D1962),"x","")</f>
        <v/>
      </c>
      <c r="AB1962" s="79" t="str">
        <f>IF(AND(OR(LEFT(TH!N1962,2)="15",LEFT(TH!O1962,2)="15"),LEFT(TH!O1962,3)&lt;&gt;"111",'152-CT'!$J$8=TH!F1962),"x","")</f>
        <v/>
      </c>
      <c r="AC1962" s="79" t="str">
        <f>IF(AND(OR(LEFT(TH!N1962,2)="15",LEFT(TH!O1962,2)="15"),TK!$E$7=TH!F1962),"x","")</f>
        <v/>
      </c>
      <c r="AD1962" s="79" t="str">
        <f>IF(AND(N1962="1521",MONTH(C1962)='BK-NL'!$M$11),"x","")</f>
        <v/>
      </c>
    </row>
    <row r="1963" spans="1:30" ht="16.5" customHeight="1">
      <c r="A1963" s="318" t="str">
        <f>IF(B1963&lt;&gt;"",IF(AND(B1963='IN-TC'!$S$4,OR(TH!N1963="1111",TH!O1963="1111")),TH!D1963,""),"")</f>
        <v/>
      </c>
      <c r="B1963" s="60" t="str">
        <f t="shared" si="228"/>
        <v/>
      </c>
      <c r="C1963" s="974"/>
      <c r="D1963" s="974"/>
      <c r="E1963" s="974"/>
      <c r="F1963" s="1131"/>
      <c r="G1963" s="976"/>
      <c r="H1963" s="759"/>
      <c r="I1963" s="383"/>
      <c r="J1963" s="390"/>
      <c r="K1963" s="383"/>
      <c r="L1963" s="390"/>
      <c r="M1963" s="978"/>
      <c r="N1963" s="979"/>
      <c r="O1963" s="979"/>
      <c r="P1963" s="79" t="str">
        <f>IF(AND('331-CT'!$E$7=TH!H1963,OR(N1963="331",O1963="331")),"x","")</f>
        <v/>
      </c>
      <c r="Q1963" s="79" t="str">
        <f>IF(AND(B1963='111'!$L$11,OR($N1963=$Q$7,$O1963=$Q$7)),"x","")</f>
        <v/>
      </c>
      <c r="R1963" s="79" t="str">
        <f>IF(AND($N1963=$Q$7,$B1963&lt;'111'!$L$11),"x","")</f>
        <v/>
      </c>
      <c r="S1963" s="79" t="str">
        <f>IF(AND($O1963=$Q$7,$B1963&lt;'111'!$L$11),"x","")</f>
        <v/>
      </c>
      <c r="T1963" s="79" t="str">
        <f>IF(ISERROR(FIND('112'!$M$9,G1963,1)),"",IF((AND(FIND('112'!$M$9,G1963,1)&gt;=1,B1963='112'!$K$9,OR($N1963='112'!$I$6,$O1963='112'!$I$6))),"x",""))</f>
        <v/>
      </c>
      <c r="U1963" s="79" t="str">
        <f>IF(ISERROR(FIND('112'!$M$9,G1963,1)),"",IF((AND(LEFT(G1963,2)=LEFT('112'!$M$9,2),B1963&lt;'112'!$K$9,$N1963='112'!$I$6)),"x",""))</f>
        <v/>
      </c>
      <c r="V1963" s="79" t="str">
        <f>IF(ISERROR(FIND('112'!$M$9,G1963,1)),"",IF((AND(RIGHT(G1963,2)=RIGHT('112'!$M$9,2),B1963&lt;'112'!$K$9,$O1963='112'!$I$6)),"x",""))</f>
        <v/>
      </c>
      <c r="W1963" s="79" t="str">
        <f>IF(AND('341-CT'!$H$9=H1963,OR(LEFT(N1963,3)=$W$7,LEFT(O1963,3)=$W$7)),"x","")</f>
        <v/>
      </c>
      <c r="X1963" s="79" t="str">
        <f>IF(OR(TH!N1963=TH!$X$7,O1963=TH!$X$7),"x","")</f>
        <v/>
      </c>
      <c r="Y1963" s="79" t="str">
        <f>IF(AND(OR(N1963="131",O1963="131"),H1963='131-CT'!$H$9),"x","")</f>
        <v/>
      </c>
      <c r="Z1963" s="79"/>
      <c r="AA1963" s="79" t="str">
        <f>IF(AND(MONTH(E1963)='IN-NX'!$J$5,'IN-NX'!$D$7=D1963),"x","")</f>
        <v/>
      </c>
      <c r="AB1963" s="79" t="str">
        <f>IF(AND(OR(LEFT(TH!N1963,2)="15",LEFT(TH!O1963,2)="15"),LEFT(TH!O1963,3)&lt;&gt;"111",'152-CT'!$J$8=TH!F1963),"x","")</f>
        <v/>
      </c>
      <c r="AC1963" s="79" t="str">
        <f>IF(AND(OR(LEFT(TH!N1963,2)="15",LEFT(TH!O1963,2)="15"),TK!$E$7=TH!F1963),"x","")</f>
        <v/>
      </c>
      <c r="AD1963" s="79" t="str">
        <f>IF(AND(N1963="1521",MONTH(C1963)='BK-NL'!$M$11),"x","")</f>
        <v/>
      </c>
    </row>
    <row r="1964" spans="1:30" ht="16.5" customHeight="1">
      <c r="A1964" s="318" t="str">
        <f>IF(B1964&lt;&gt;"",IF(AND(B1964='IN-TC'!$S$4,OR(TH!N1964="1111",TH!O1964="1111")),TH!D1964,""),"")</f>
        <v/>
      </c>
      <c r="B1964" s="60" t="str">
        <f t="shared" si="228"/>
        <v/>
      </c>
      <c r="C1964" s="974"/>
      <c r="D1964" s="974"/>
      <c r="E1964" s="974"/>
      <c r="F1964" s="1131"/>
      <c r="G1964" s="976"/>
      <c r="H1964" s="759"/>
      <c r="I1964" s="383"/>
      <c r="J1964" s="390"/>
      <c r="K1964" s="383"/>
      <c r="L1964" s="390"/>
      <c r="M1964" s="978"/>
      <c r="N1964" s="979"/>
      <c r="O1964" s="979"/>
      <c r="P1964" s="79" t="str">
        <f>IF(AND('331-CT'!$E$7=TH!H1964,OR(N1964="331",O1964="331")),"x","")</f>
        <v/>
      </c>
      <c r="Q1964" s="79" t="str">
        <f>IF(AND(B1964='111'!$L$11,OR($N1964=$Q$7,$O1964=$Q$7)),"x","")</f>
        <v/>
      </c>
      <c r="R1964" s="79" t="str">
        <f>IF(AND($N1964=$Q$7,$B1964&lt;'111'!$L$11),"x","")</f>
        <v/>
      </c>
      <c r="S1964" s="79" t="str">
        <f>IF(AND($O1964=$Q$7,$B1964&lt;'111'!$L$11),"x","")</f>
        <v/>
      </c>
      <c r="T1964" s="79" t="str">
        <f>IF(ISERROR(FIND('112'!$M$9,G1964,1)),"",IF((AND(FIND('112'!$M$9,G1964,1)&gt;=1,B1964='112'!$K$9,OR($N1964='112'!$I$6,$O1964='112'!$I$6))),"x",""))</f>
        <v/>
      </c>
      <c r="U1964" s="79" t="str">
        <f>IF(ISERROR(FIND('112'!$M$9,G1964,1)),"",IF((AND(LEFT(G1964,2)=LEFT('112'!$M$9,2),B1964&lt;'112'!$K$9,$N1964='112'!$I$6)),"x",""))</f>
        <v/>
      </c>
      <c r="V1964" s="79" t="str">
        <f>IF(ISERROR(FIND('112'!$M$9,G1964,1)),"",IF((AND(RIGHT(G1964,2)=RIGHT('112'!$M$9,2),B1964&lt;'112'!$K$9,$O1964='112'!$I$6)),"x",""))</f>
        <v/>
      </c>
      <c r="W1964" s="79" t="str">
        <f>IF(AND('341-CT'!$H$9=H1964,OR(LEFT(N1964,3)=$W$7,LEFT(O1964,3)=$W$7)),"x","")</f>
        <v/>
      </c>
      <c r="X1964" s="79" t="str">
        <f>IF(OR(TH!N1964=TH!$X$7,O1964=TH!$X$7),"x","")</f>
        <v/>
      </c>
      <c r="Y1964" s="79" t="str">
        <f>IF(AND(OR(N1964="131",O1964="131"),H1964='131-CT'!$H$9),"x","")</f>
        <v/>
      </c>
      <c r="Z1964" s="79"/>
      <c r="AA1964" s="79" t="str">
        <f>IF(AND(MONTH(E1964)='IN-NX'!$J$5,'IN-NX'!$D$7=D1964),"x","")</f>
        <v/>
      </c>
      <c r="AB1964" s="79" t="str">
        <f>IF(AND(OR(LEFT(TH!N1964,2)="15",LEFT(TH!O1964,2)="15"),LEFT(TH!O1964,3)&lt;&gt;"111",'152-CT'!$J$8=TH!F1964),"x","")</f>
        <v/>
      </c>
      <c r="AC1964" s="79" t="str">
        <f>IF(AND(OR(LEFT(TH!N1964,2)="15",LEFT(TH!O1964,2)="15"),TK!$E$7=TH!F1964),"x","")</f>
        <v/>
      </c>
      <c r="AD1964" s="79" t="str">
        <f>IF(AND(N1964="1521",MONTH(C1964)='BK-NL'!$M$11),"x","")</f>
        <v/>
      </c>
    </row>
    <row r="1965" spans="1:30" ht="16.5" customHeight="1">
      <c r="A1965" s="318" t="str">
        <f>IF(B1965&lt;&gt;"",IF(AND(B1965='IN-TC'!$S$4,OR(TH!N1965="1111",TH!O1965="1111")),TH!D1965,""),"")</f>
        <v/>
      </c>
      <c r="B1965" s="60" t="str">
        <f t="shared" si="228"/>
        <v/>
      </c>
      <c r="C1965" s="974"/>
      <c r="D1965" s="974"/>
      <c r="E1965" s="974"/>
      <c r="F1965" s="1131"/>
      <c r="G1965" s="976"/>
      <c r="H1965" s="759"/>
      <c r="I1965" s="383"/>
      <c r="J1965" s="390"/>
      <c r="K1965" s="383"/>
      <c r="L1965" s="390"/>
      <c r="M1965" s="978"/>
      <c r="N1965" s="979"/>
      <c r="O1965" s="979"/>
      <c r="P1965" s="79" t="str">
        <f>IF(AND('331-CT'!$E$7=TH!H1965,OR(N1965="331",O1965="331")),"x","")</f>
        <v/>
      </c>
      <c r="Q1965" s="79" t="str">
        <f>IF(AND(B1965='111'!$L$11,OR($N1965=$Q$7,$O1965=$Q$7)),"x","")</f>
        <v/>
      </c>
      <c r="R1965" s="79" t="str">
        <f>IF(AND($N1965=$Q$7,$B1965&lt;'111'!$L$11),"x","")</f>
        <v/>
      </c>
      <c r="S1965" s="79" t="str">
        <f>IF(AND($O1965=$Q$7,$B1965&lt;'111'!$L$11),"x","")</f>
        <v/>
      </c>
      <c r="T1965" s="79" t="str">
        <f>IF(ISERROR(FIND('112'!$M$9,G1965,1)),"",IF((AND(FIND('112'!$M$9,G1965,1)&gt;=1,B1965='112'!$K$9,OR($N1965='112'!$I$6,$O1965='112'!$I$6))),"x",""))</f>
        <v/>
      </c>
      <c r="U1965" s="79" t="str">
        <f>IF(ISERROR(FIND('112'!$M$9,G1965,1)),"",IF((AND(LEFT(G1965,2)=LEFT('112'!$M$9,2),B1965&lt;'112'!$K$9,$N1965='112'!$I$6)),"x",""))</f>
        <v/>
      </c>
      <c r="V1965" s="79" t="str">
        <f>IF(ISERROR(FIND('112'!$M$9,G1965,1)),"",IF((AND(RIGHT(G1965,2)=RIGHT('112'!$M$9,2),B1965&lt;'112'!$K$9,$O1965='112'!$I$6)),"x",""))</f>
        <v/>
      </c>
      <c r="W1965" s="79" t="str">
        <f>IF(AND('341-CT'!$H$9=H1965,OR(LEFT(N1965,3)=$W$7,LEFT(O1965,3)=$W$7)),"x","")</f>
        <v/>
      </c>
      <c r="X1965" s="79" t="str">
        <f>IF(OR(TH!N1965=TH!$X$7,O1965=TH!$X$7),"x","")</f>
        <v/>
      </c>
      <c r="Y1965" s="79" t="str">
        <f>IF(AND(OR(N1965="131",O1965="131"),H1965='131-CT'!$H$9),"x","")</f>
        <v/>
      </c>
      <c r="Z1965" s="79"/>
      <c r="AA1965" s="79" t="str">
        <f>IF(AND(MONTH(E1965)='IN-NX'!$J$5,'IN-NX'!$D$7=D1965),"x","")</f>
        <v/>
      </c>
      <c r="AB1965" s="79" t="str">
        <f>IF(AND(OR(LEFT(TH!N1965,2)="15",LEFT(TH!O1965,2)="15"),LEFT(TH!O1965,3)&lt;&gt;"111",'152-CT'!$J$8=TH!F1965),"x","")</f>
        <v/>
      </c>
      <c r="AC1965" s="79" t="str">
        <f>IF(AND(OR(LEFT(TH!N1965,2)="15",LEFT(TH!O1965,2)="15"),TK!$E$7=TH!F1965),"x","")</f>
        <v/>
      </c>
      <c r="AD1965" s="79" t="str">
        <f>IF(AND(N1965="1521",MONTH(C1965)='BK-NL'!$M$11),"x","")</f>
        <v/>
      </c>
    </row>
    <row r="1966" spans="1:30" ht="16.5" customHeight="1">
      <c r="A1966" s="318" t="str">
        <f>IF(B1966&lt;&gt;"",IF(AND(B1966='IN-TC'!$S$4,OR(TH!N1966="1111",TH!O1966="1111")),TH!D1966,""),"")</f>
        <v/>
      </c>
      <c r="B1966" s="60" t="str">
        <f t="shared" si="220"/>
        <v/>
      </c>
      <c r="C1966" s="974"/>
      <c r="D1966" s="974"/>
      <c r="E1966" s="974"/>
      <c r="F1966" s="1131"/>
      <c r="G1966" s="976"/>
      <c r="H1966" s="759"/>
      <c r="I1966" s="383"/>
      <c r="J1966" s="390"/>
      <c r="K1966" s="383"/>
      <c r="L1966" s="390"/>
      <c r="M1966" s="978"/>
      <c r="N1966" s="979"/>
      <c r="O1966" s="979"/>
      <c r="P1966" s="79" t="str">
        <f>IF(AND('331-CT'!$E$7=TH!H1966,OR(N1966="331",O1966="331")),"x","")</f>
        <v/>
      </c>
      <c r="Q1966" s="79" t="str">
        <f>IF(AND(B1966='111'!$L$11,OR($N1966=$Q$7,$O1966=$Q$7)),"x","")</f>
        <v/>
      </c>
      <c r="R1966" s="79" t="str">
        <f>IF(AND($N1966=$Q$7,$B1966&lt;'111'!$L$11),"x","")</f>
        <v/>
      </c>
      <c r="S1966" s="79" t="str">
        <f>IF(AND($O1966=$Q$7,$B1966&lt;'111'!$L$11),"x","")</f>
        <v/>
      </c>
      <c r="T1966" s="79" t="str">
        <f>IF(ISERROR(FIND('112'!$M$9,G1966,1)),"",IF((AND(FIND('112'!$M$9,G1966,1)&gt;=1,B1966='112'!$K$9,OR($N1966='112'!$I$6,$O1966='112'!$I$6))),"x",""))</f>
        <v/>
      </c>
      <c r="U1966" s="79" t="str">
        <f>IF(ISERROR(FIND('112'!$M$9,G1966,1)),"",IF((AND(LEFT(G1966,2)=LEFT('112'!$M$9,2),B1966&lt;'112'!$K$9,$N1966='112'!$I$6)),"x",""))</f>
        <v/>
      </c>
      <c r="V1966" s="79" t="str">
        <f>IF(ISERROR(FIND('112'!$M$9,G1966,1)),"",IF((AND(RIGHT(G1966,2)=RIGHT('112'!$M$9,2),B1966&lt;'112'!$K$9,$O1966='112'!$I$6)),"x",""))</f>
        <v/>
      </c>
      <c r="W1966" s="79" t="str">
        <f>IF(AND('341-CT'!$H$9=H1966,OR(LEFT(N1966,3)=$W$7,LEFT(O1966,3)=$W$7)),"x","")</f>
        <v/>
      </c>
      <c r="X1966" s="79" t="str">
        <f>IF(OR(TH!N1966=TH!$X$7,O1966=TH!$X$7),"x","")</f>
        <v/>
      </c>
      <c r="Y1966" s="79" t="str">
        <f>IF(AND(OR(N1966="131",O1966="131"),H1966='131-CT'!$H$9),"x","")</f>
        <v/>
      </c>
      <c r="Z1966" s="79"/>
      <c r="AA1966" s="79" t="str">
        <f>IF(AND(MONTH(E1966)='IN-NX'!$J$5,'IN-NX'!$D$7=D1966),"x","")</f>
        <v/>
      </c>
      <c r="AB1966" s="79" t="str">
        <f>IF(AND(OR(LEFT(TH!N1966,2)="15",LEFT(TH!O1966,2)="15"),LEFT(TH!O1966,3)&lt;&gt;"111",'152-CT'!$J$8=TH!F1966),"x","")</f>
        <v/>
      </c>
      <c r="AC1966" s="79" t="str">
        <f>IF(AND(OR(LEFT(TH!N1966,2)="15",LEFT(TH!O1966,2)="15"),TK!$E$7=TH!F1966),"x","")</f>
        <v/>
      </c>
      <c r="AD1966" s="79" t="str">
        <f>IF(AND(N1966="1521",MONTH(C1966)='BK-NL'!$M$11),"x","")</f>
        <v/>
      </c>
    </row>
    <row r="1967" spans="1:30" ht="16.5" customHeight="1">
      <c r="A1967" s="318" t="str">
        <f>IF(B1967&lt;&gt;"",IF(AND(B1967='IN-TC'!$S$4,OR(TH!N1967="1111",TH!O1967="1111")),TH!D1967,""),"")</f>
        <v/>
      </c>
      <c r="B1967" s="60" t="str">
        <f t="shared" ref="B1967" si="229">IF(C1967&lt;&gt;"",MONTH(C1967),"")</f>
        <v/>
      </c>
      <c r="C1967" s="974"/>
      <c r="D1967" s="974"/>
      <c r="E1967" s="974"/>
      <c r="F1967" s="1131"/>
      <c r="G1967" s="976"/>
      <c r="H1967" s="759"/>
      <c r="I1967" s="383"/>
      <c r="J1967" s="390"/>
      <c r="K1967" s="383"/>
      <c r="L1967" s="390"/>
      <c r="M1967" s="978"/>
      <c r="N1967" s="979"/>
      <c r="O1967" s="979"/>
      <c r="P1967" s="79" t="str">
        <f>IF(AND('331-CT'!$E$7=TH!H1967,OR(N1967="331",O1967="331")),"x","")</f>
        <v/>
      </c>
      <c r="Q1967" s="79" t="str">
        <f>IF(AND(B1967='111'!$L$11,OR($N1967=$Q$7,$O1967=$Q$7)),"x","")</f>
        <v/>
      </c>
      <c r="R1967" s="79" t="str">
        <f>IF(AND($N1967=$Q$7,$B1967&lt;'111'!$L$11),"x","")</f>
        <v/>
      </c>
      <c r="S1967" s="79" t="str">
        <f>IF(AND($O1967=$Q$7,$B1967&lt;'111'!$L$11),"x","")</f>
        <v/>
      </c>
      <c r="T1967" s="79" t="str">
        <f>IF(ISERROR(FIND('112'!$M$9,G1967,1)),"",IF((AND(FIND('112'!$M$9,G1967,1)&gt;=1,B1967='112'!$K$9,OR($N1967='112'!$I$6,$O1967='112'!$I$6))),"x",""))</f>
        <v/>
      </c>
      <c r="U1967" s="79" t="str">
        <f>IF(ISERROR(FIND('112'!$M$9,G1967,1)),"",IF((AND(LEFT(G1967,2)=LEFT('112'!$M$9,2),B1967&lt;'112'!$K$9,$N1967='112'!$I$6)),"x",""))</f>
        <v/>
      </c>
      <c r="V1967" s="79" t="str">
        <f>IF(ISERROR(FIND('112'!$M$9,G1967,1)),"",IF((AND(RIGHT(G1967,2)=RIGHT('112'!$M$9,2),B1967&lt;'112'!$K$9,$O1967='112'!$I$6)),"x",""))</f>
        <v/>
      </c>
      <c r="W1967" s="79" t="str">
        <f>IF(AND('341-CT'!$H$9=H1967,OR(LEFT(N1967,3)=$W$7,LEFT(O1967,3)=$W$7)),"x","")</f>
        <v/>
      </c>
      <c r="X1967" s="79" t="str">
        <f>IF(OR(TH!N1967=TH!$X$7,O1967=TH!$X$7),"x","")</f>
        <v/>
      </c>
      <c r="Y1967" s="79" t="str">
        <f>IF(AND(OR(N1967="131",O1967="131"),H1967='131-CT'!$H$9),"x","")</f>
        <v/>
      </c>
      <c r="Z1967" s="79"/>
      <c r="AA1967" s="79" t="str">
        <f>IF(AND(MONTH(E1967)='IN-NX'!$J$5,'IN-NX'!$D$7=D1967),"x","")</f>
        <v/>
      </c>
      <c r="AB1967" s="79" t="str">
        <f>IF(AND(OR(LEFT(TH!N1967,2)="15",LEFT(TH!O1967,2)="15"),LEFT(TH!O1967,3)&lt;&gt;"111",'152-CT'!$J$8=TH!F1967),"x","")</f>
        <v/>
      </c>
      <c r="AC1967" s="79" t="str">
        <f>IF(AND(OR(LEFT(TH!N1967,2)="15",LEFT(TH!O1967,2)="15"),TK!$E$7=TH!F1967),"x","")</f>
        <v/>
      </c>
      <c r="AD1967" s="79" t="str">
        <f>IF(AND(N1967="1521",MONTH(C1967)='BK-NL'!$M$11),"x","")</f>
        <v/>
      </c>
    </row>
    <row r="1968" spans="1:30" ht="16.5" customHeight="1">
      <c r="A1968" s="318" t="str">
        <f>IF(B1968&lt;&gt;"",IF(AND(B1968='IN-TC'!$S$4,OR(TH!N1968="1111",TH!O1968="1111")),TH!D1968,""),"")</f>
        <v/>
      </c>
      <c r="B1968" s="60" t="str">
        <f t="shared" ref="B1968" si="230">IF(C1968&lt;&gt;"",MONTH(C1968),"")</f>
        <v/>
      </c>
      <c r="C1968" s="974"/>
      <c r="D1968" s="974"/>
      <c r="E1968" s="974"/>
      <c r="F1968" s="1131"/>
      <c r="G1968" s="976"/>
      <c r="H1968" s="759"/>
      <c r="I1968" s="383"/>
      <c r="J1968" s="390"/>
      <c r="K1968" s="383"/>
      <c r="L1968" s="390"/>
      <c r="M1968" s="978"/>
      <c r="N1968" s="979"/>
      <c r="O1968" s="979"/>
      <c r="P1968" s="79" t="str">
        <f>IF(AND('331-CT'!$E$7=TH!H1968,OR(N1968="331",O1968="331")),"x","")</f>
        <v/>
      </c>
      <c r="Q1968" s="79" t="str">
        <f>IF(AND(B1968='111'!$L$11,OR($N1968=$Q$7,$O1968=$Q$7)),"x","")</f>
        <v/>
      </c>
      <c r="R1968" s="79" t="str">
        <f>IF(AND($N1968=$Q$7,$B1968&lt;'111'!$L$11),"x","")</f>
        <v/>
      </c>
      <c r="S1968" s="79" t="str">
        <f>IF(AND($O1968=$Q$7,$B1968&lt;'111'!$L$11),"x","")</f>
        <v/>
      </c>
      <c r="T1968" s="79" t="str">
        <f>IF(ISERROR(FIND('112'!$M$9,G1968,1)),"",IF((AND(FIND('112'!$M$9,G1968,1)&gt;=1,B1968='112'!$K$9,OR($N1968='112'!$I$6,$O1968='112'!$I$6))),"x",""))</f>
        <v/>
      </c>
      <c r="U1968" s="79" t="str">
        <f>IF(ISERROR(FIND('112'!$M$9,G1968,1)),"",IF((AND(LEFT(G1968,2)=LEFT('112'!$M$9,2),B1968&lt;'112'!$K$9,$N1968='112'!$I$6)),"x",""))</f>
        <v/>
      </c>
      <c r="V1968" s="79" t="str">
        <f>IF(ISERROR(FIND('112'!$M$9,G1968,1)),"",IF((AND(RIGHT(G1968,2)=RIGHT('112'!$M$9,2),B1968&lt;'112'!$K$9,$O1968='112'!$I$6)),"x",""))</f>
        <v/>
      </c>
      <c r="W1968" s="79" t="str">
        <f>IF(AND('341-CT'!$H$9=H1968,OR(LEFT(N1968,3)=$W$7,LEFT(O1968,3)=$W$7)),"x","")</f>
        <v/>
      </c>
      <c r="X1968" s="79" t="str">
        <f>IF(OR(TH!N1968=TH!$X$7,O1968=TH!$X$7),"x","")</f>
        <v/>
      </c>
      <c r="Y1968" s="79" t="str">
        <f>IF(AND(OR(N1968="131",O1968="131"),H1968='131-CT'!$H$9),"x","")</f>
        <v/>
      </c>
      <c r="Z1968" s="79"/>
      <c r="AA1968" s="79" t="str">
        <f>IF(AND(MONTH(E1968)='IN-NX'!$J$5,'IN-NX'!$D$7=D1968),"x","")</f>
        <v/>
      </c>
      <c r="AB1968" s="79" t="str">
        <f>IF(AND(OR(LEFT(TH!N1968,2)="15",LEFT(TH!O1968,2)="15"),LEFT(TH!O1968,3)&lt;&gt;"111",'152-CT'!$J$8=TH!F1968),"x","")</f>
        <v/>
      </c>
      <c r="AC1968" s="79" t="str">
        <f>IF(AND(OR(LEFT(TH!N1968,2)="15",LEFT(TH!O1968,2)="15"),TK!$E$7=TH!F1968),"x","")</f>
        <v/>
      </c>
      <c r="AD1968" s="79" t="str">
        <f>IF(AND(N1968="1521",MONTH(C1968)='BK-NL'!$M$11),"x","")</f>
        <v/>
      </c>
    </row>
    <row r="1969" spans="1:30" ht="16.5" customHeight="1">
      <c r="A1969" s="318" t="str">
        <f>IF(B1969&lt;&gt;"",IF(AND(B1969='IN-TC'!$S$4,OR(TH!N1969="1111",TH!O1969="1111")),TH!D1969,""),"")</f>
        <v/>
      </c>
      <c r="B1969" s="60" t="str">
        <f t="shared" si="220"/>
        <v/>
      </c>
      <c r="C1969" s="974"/>
      <c r="D1969" s="974"/>
      <c r="E1969" s="974"/>
      <c r="F1969" s="1131"/>
      <c r="G1969" s="976"/>
      <c r="H1969" s="759"/>
      <c r="I1969" s="383"/>
      <c r="J1969" s="390"/>
      <c r="K1969" s="383"/>
      <c r="L1969" s="390"/>
      <c r="M1969" s="978"/>
      <c r="N1969" s="979"/>
      <c r="O1969" s="979"/>
      <c r="P1969" s="79" t="str">
        <f>IF(AND('331-CT'!$E$7=TH!H1969,OR(N1969="331",O1969="331")),"x","")</f>
        <v/>
      </c>
      <c r="Q1969" s="79" t="str">
        <f>IF(AND(B1969='111'!$L$11,OR($N1969=$Q$7,$O1969=$Q$7)),"x","")</f>
        <v/>
      </c>
      <c r="R1969" s="79" t="str">
        <f>IF(AND($N1969=$Q$7,$B1969&lt;'111'!$L$11),"x","")</f>
        <v/>
      </c>
      <c r="S1969" s="79" t="str">
        <f>IF(AND($O1969=$Q$7,$B1969&lt;'111'!$L$11),"x","")</f>
        <v/>
      </c>
      <c r="T1969" s="79" t="str">
        <f>IF(ISERROR(FIND('112'!$M$9,G1969,1)),"",IF((AND(FIND('112'!$M$9,G1969,1)&gt;=1,B1969='112'!$K$9,OR($N1969='112'!$I$6,$O1969='112'!$I$6))),"x",""))</f>
        <v/>
      </c>
      <c r="U1969" s="79" t="str">
        <f>IF(ISERROR(FIND('112'!$M$9,G1969,1)),"",IF((AND(LEFT(G1969,2)=LEFT('112'!$M$9,2),B1969&lt;'112'!$K$9,$N1969='112'!$I$6)),"x",""))</f>
        <v/>
      </c>
      <c r="V1969" s="79" t="str">
        <f>IF(ISERROR(FIND('112'!$M$9,G1969,1)),"",IF((AND(RIGHT(G1969,2)=RIGHT('112'!$M$9,2),B1969&lt;'112'!$K$9,$O1969='112'!$I$6)),"x",""))</f>
        <v/>
      </c>
      <c r="W1969" s="79" t="str">
        <f>IF(AND('341-CT'!$H$9=H1969,OR(LEFT(N1969,3)=$W$7,LEFT(O1969,3)=$W$7)),"x","")</f>
        <v/>
      </c>
      <c r="X1969" s="79" t="str">
        <f>IF(OR(TH!N1969=TH!$X$7,O1969=TH!$X$7),"x","")</f>
        <v/>
      </c>
      <c r="Y1969" s="79" t="str">
        <f>IF(AND(OR(N1969="131",O1969="131"),H1969='131-CT'!$H$9),"x","")</f>
        <v/>
      </c>
      <c r="Z1969" s="79"/>
      <c r="AA1969" s="79" t="str">
        <f>IF(AND(MONTH(E1969)='IN-NX'!$J$5,'IN-NX'!$D$7=D1969),"x","")</f>
        <v/>
      </c>
      <c r="AB1969" s="79" t="str">
        <f>IF(AND(OR(LEFT(TH!N1969,2)="15",LEFT(TH!O1969,2)="15"),LEFT(TH!O1969,3)&lt;&gt;"111",'152-CT'!$J$8=TH!F1969),"x","")</f>
        <v/>
      </c>
      <c r="AC1969" s="79" t="str">
        <f>IF(AND(OR(LEFT(TH!N1969,2)="15",LEFT(TH!O1969,2)="15"),TK!$E$7=TH!F1969),"x","")</f>
        <v/>
      </c>
      <c r="AD1969" s="79" t="str">
        <f>IF(AND(N1969="1521",MONTH(C1969)='BK-NL'!$M$11),"x","")</f>
        <v/>
      </c>
    </row>
    <row r="1970" spans="1:30" ht="16.5" customHeight="1">
      <c r="A1970" s="318" t="str">
        <f>IF(B1970&lt;&gt;"",IF(AND(B1970='IN-TC'!$S$4,OR(TH!N1970="1111",TH!O1970="1111")),TH!D1970,""),"")</f>
        <v/>
      </c>
      <c r="B1970" s="60" t="str">
        <f t="shared" ref="B1970:B2000" si="231">IF(C1970&lt;&gt;"",MONTH(C1970),"")</f>
        <v/>
      </c>
      <c r="C1970" s="974"/>
      <c r="D1970" s="974"/>
      <c r="E1970" s="974"/>
      <c r="F1970" s="77"/>
      <c r="G1970" s="976"/>
      <c r="H1970" s="305"/>
      <c r="I1970" s="383"/>
      <c r="J1970" s="977"/>
      <c r="K1970" s="383"/>
      <c r="L1970" s="390"/>
      <c r="M1970" s="978"/>
      <c r="N1970" s="979"/>
      <c r="O1970" s="979"/>
      <c r="P1970" s="79" t="str">
        <f>IF(AND('331-CT'!$E$7=TH!H1970,OR(N1970="331",O1970="331")),"x","")</f>
        <v/>
      </c>
      <c r="Q1970" s="79" t="str">
        <f>IF(AND(B1970='111'!$L$11,OR($N1970=$Q$7,$O1970=$Q$7)),"x","")</f>
        <v/>
      </c>
      <c r="R1970" s="79" t="str">
        <f>IF(AND($N1970=$Q$7,$B1970&lt;'111'!$L$11),"x","")</f>
        <v/>
      </c>
      <c r="S1970" s="79" t="str">
        <f>IF(AND($O1970=$Q$7,$B1970&lt;'111'!$L$11),"x","")</f>
        <v/>
      </c>
      <c r="T1970" s="79" t="str">
        <f>IF(ISERROR(FIND('112'!$M$9,G1970,1)),"",IF((AND(FIND('112'!$M$9,G1970,1)&gt;=1,B1970='112'!$K$9,OR($N1970='112'!$I$6,$O1970='112'!$I$6))),"x",""))</f>
        <v/>
      </c>
      <c r="U1970" s="79" t="str">
        <f>IF(ISERROR(FIND('112'!$M$9,G1970,1)),"",IF((AND(LEFT(G1970,2)=LEFT('112'!$M$9,2),B1970&lt;'112'!$K$9,$N1970='112'!$I$6)),"x",""))</f>
        <v/>
      </c>
      <c r="V1970" s="79" t="str">
        <f>IF(ISERROR(FIND('112'!$M$9,G1970,1)),"",IF((AND(RIGHT(G1970,2)=RIGHT('112'!$M$9,2),B1970&lt;'112'!$K$9,$O1970='112'!$I$6)),"x",""))</f>
        <v/>
      </c>
      <c r="W1970" s="79" t="str">
        <f>IF(AND('341-CT'!$H$9=H1970,OR(LEFT(N1970,3)=$W$7,LEFT(O1970,3)=$W$7)),"x","")</f>
        <v/>
      </c>
      <c r="X1970" s="79" t="str">
        <f>IF(OR(TH!N1970=TH!$X$7,O1970=TH!$X$7),"x","")</f>
        <v/>
      </c>
      <c r="Y1970" s="79" t="str">
        <f>IF(AND(OR(N1970="131",O1970="131"),H1970='131-CT'!$H$9),"x","")</f>
        <v/>
      </c>
      <c r="Z1970" s="79"/>
      <c r="AA1970" s="79" t="str">
        <f>IF(AND(MONTH(E1970)='IN-NX'!$J$5,'IN-NX'!$D$7=D1970),"x","")</f>
        <v/>
      </c>
      <c r="AB1970" s="79" t="str">
        <f>IF(AND(OR(LEFT(TH!N1970,2)="15",LEFT(TH!O1970,2)="15"),LEFT(TH!O1970,3)&lt;&gt;"111",'152-CT'!$J$8=TH!F1970),"x","")</f>
        <v/>
      </c>
      <c r="AC1970" s="79" t="str">
        <f>IF(AND(OR(LEFT(TH!N1970,2)="15",LEFT(TH!O1970,2)="15"),TK!$E$7=TH!F1970),"x","")</f>
        <v/>
      </c>
      <c r="AD1970" s="79" t="str">
        <f>IF(AND(N1970="1521",MONTH(C1970)='BK-NL'!$M$11),"x","")</f>
        <v/>
      </c>
    </row>
    <row r="1971" spans="1:30" ht="16.5" customHeight="1">
      <c r="A1971" s="318" t="str">
        <f>IF(B1971&lt;&gt;"",IF(AND(B1971='IN-TC'!$S$4,OR(TH!N1971="1111",TH!O1971="1111")),TH!D1971,""),"")</f>
        <v/>
      </c>
      <c r="B1971" s="60" t="str">
        <f t="shared" si="231"/>
        <v/>
      </c>
      <c r="C1971" s="301"/>
      <c r="D1971" s="301"/>
      <c r="E1971" s="301"/>
      <c r="F1971" s="302"/>
      <c r="G1971" s="968"/>
      <c r="H1971" s="69"/>
      <c r="I1971" s="385"/>
      <c r="J1971" s="969"/>
      <c r="K1971" s="385"/>
      <c r="L1971" s="392"/>
      <c r="M1971" s="970"/>
      <c r="N1971" s="304"/>
      <c r="O1971" s="304"/>
      <c r="P1971" s="79" t="str">
        <f>IF(AND('331-CT'!$E$7=TH!H1971,OR(N1971="331",O1971="331")),"x","")</f>
        <v/>
      </c>
      <c r="Q1971" s="79" t="str">
        <f>IF(AND(B1971='111'!$L$11,OR($N1971=$Q$7,$O1971=$Q$7)),"x","")</f>
        <v/>
      </c>
      <c r="R1971" s="79" t="str">
        <f>IF(AND($N1971=$Q$7,$B1971&lt;'111'!$L$11),"x","")</f>
        <v/>
      </c>
      <c r="S1971" s="79" t="str">
        <f>IF(AND($O1971=$Q$7,$B1971&lt;'111'!$L$11),"x","")</f>
        <v/>
      </c>
      <c r="T1971" s="79" t="str">
        <f>IF(ISERROR(FIND('112'!$M$9,G1971,1)),"",IF((AND(FIND('112'!$M$9,G1971,1)&gt;=1,B1971='112'!$K$9,OR($N1971='112'!$I$6,$O1971='112'!$I$6))),"x",""))</f>
        <v/>
      </c>
      <c r="U1971" s="79" t="str">
        <f>IF(ISERROR(FIND('112'!$M$9,G1971,1)),"",IF((AND(LEFT(G1971,2)=LEFT('112'!$M$9,2),B1971&lt;'112'!$K$9,$N1971='112'!$I$6)),"x",""))</f>
        <v/>
      </c>
      <c r="V1971" s="79" t="str">
        <f>IF(ISERROR(FIND('112'!$M$9,G1971,1)),"",IF((AND(RIGHT(G1971,2)=RIGHT('112'!$M$9,2),B1971&lt;'112'!$K$9,$O1971='112'!$I$6)),"x",""))</f>
        <v/>
      </c>
      <c r="W1971" s="79" t="str">
        <f>IF(AND('341-CT'!$H$9=H1971,OR(LEFT(N1971,3)=$W$7,LEFT(O1971,3)=$W$7)),"x","")</f>
        <v/>
      </c>
      <c r="X1971" s="79" t="str">
        <f>IF(OR(TH!N1971=TH!$X$7,O1971=TH!$X$7),"x","")</f>
        <v/>
      </c>
      <c r="Y1971" s="79" t="str">
        <f>IF(AND(OR(N1971="131",O1971="131"),H1971='131-CT'!$H$9),"x","")</f>
        <v/>
      </c>
      <c r="Z1971" s="79"/>
      <c r="AA1971" s="79" t="str">
        <f>IF(AND(MONTH(E1971)='IN-NX'!$J$5,'IN-NX'!$D$7=D1971),"x","")</f>
        <v/>
      </c>
      <c r="AB1971" s="79" t="str">
        <f>IF(AND(OR(LEFT(TH!N1971,2)="15",LEFT(TH!O1971,2)="15"),LEFT(TH!O1971,3)&lt;&gt;"111",'152-CT'!$J$8=TH!F1971),"x","")</f>
        <v/>
      </c>
      <c r="AC1971" s="79" t="str">
        <f>IF(AND(OR(LEFT(TH!N1971,2)="15",LEFT(TH!O1971,2)="15"),TK!$E$7=TH!F1971),"x","")</f>
        <v/>
      </c>
      <c r="AD1971" s="79" t="str">
        <f>IF(AND(N1971="1521",MONTH(C1971)='BK-NL'!$M$11),"x","")</f>
        <v/>
      </c>
    </row>
    <row r="1972" spans="1:30" ht="16.5" customHeight="1">
      <c r="A1972" s="318" t="str">
        <f>IF(B1972&lt;&gt;"",IF(AND(B1972='IN-TC'!$S$4,OR(TH!N1972="1111",TH!O1972="1111")),TH!D1972,""),"")</f>
        <v/>
      </c>
      <c r="B1972" s="60" t="str">
        <f t="shared" si="231"/>
        <v/>
      </c>
      <c r="C1972" s="301"/>
      <c r="D1972" s="301"/>
      <c r="E1972" s="301"/>
      <c r="F1972" s="302"/>
      <c r="G1972" s="968"/>
      <c r="H1972" s="69"/>
      <c r="I1972" s="385"/>
      <c r="J1972" s="969"/>
      <c r="K1972" s="385"/>
      <c r="L1972" s="392"/>
      <c r="M1972" s="970"/>
      <c r="N1972" s="304"/>
      <c r="O1972" s="304"/>
      <c r="P1972" s="79" t="str">
        <f>IF(AND('331-CT'!$E$7=TH!H1972,OR(N1972="331",O1972="331")),"x","")</f>
        <v/>
      </c>
      <c r="Q1972" s="79" t="str">
        <f>IF(AND(B1972='111'!$L$11,OR($N1972=$Q$7,$O1972=$Q$7)),"x","")</f>
        <v/>
      </c>
      <c r="R1972" s="79" t="str">
        <f>IF(AND($N1972=$Q$7,$B1972&lt;'111'!$L$11),"x","")</f>
        <v/>
      </c>
      <c r="S1972" s="79" t="str">
        <f>IF(AND($O1972=$Q$7,$B1972&lt;'111'!$L$11),"x","")</f>
        <v/>
      </c>
      <c r="T1972" s="79" t="str">
        <f>IF(ISERROR(FIND('112'!$M$9,G1972,1)),"",IF((AND(FIND('112'!$M$9,G1972,1)&gt;=1,B1972='112'!$K$9,OR($N1972='112'!$I$6,$O1972='112'!$I$6))),"x",""))</f>
        <v/>
      </c>
      <c r="U1972" s="79" t="str">
        <f>IF(ISERROR(FIND('112'!$M$9,G1972,1)),"",IF((AND(LEFT(G1972,2)=LEFT('112'!$M$9,2),B1972&lt;'112'!$K$9,$N1972='112'!$I$6)),"x",""))</f>
        <v/>
      </c>
      <c r="V1972" s="79" t="str">
        <f>IF(ISERROR(FIND('112'!$M$9,G1972,1)),"",IF((AND(RIGHT(G1972,2)=RIGHT('112'!$M$9,2),B1972&lt;'112'!$K$9,$O1972='112'!$I$6)),"x",""))</f>
        <v/>
      </c>
      <c r="W1972" s="79" t="str">
        <f>IF(AND('341-CT'!$H$9=H1972,OR(LEFT(N1972,3)=$W$7,LEFT(O1972,3)=$W$7)),"x","")</f>
        <v/>
      </c>
      <c r="X1972" s="79" t="str">
        <f>IF(OR(TH!N1972=TH!$X$7,O1972=TH!$X$7),"x","")</f>
        <v/>
      </c>
      <c r="Y1972" s="79" t="str">
        <f>IF(AND(OR(N1972="131",O1972="131"),H1972='131-CT'!$H$9),"x","")</f>
        <v/>
      </c>
      <c r="Z1972" s="79"/>
      <c r="AA1972" s="79" t="str">
        <f>IF(AND(MONTH(E1972)='IN-NX'!$J$5,'IN-NX'!$D$7=D1972),"x","")</f>
        <v/>
      </c>
      <c r="AB1972" s="79" t="str">
        <f>IF(AND(OR(LEFT(TH!N1972,2)="15",LEFT(TH!O1972,2)="15"),LEFT(TH!O1972,3)&lt;&gt;"111",'152-CT'!$J$8=TH!F1972),"x","")</f>
        <v/>
      </c>
      <c r="AC1972" s="79" t="str">
        <f>IF(AND(OR(LEFT(TH!N1972,2)="15",LEFT(TH!O1972,2)="15"),TK!$E$7=TH!F1972),"x","")</f>
        <v/>
      </c>
      <c r="AD1972" s="79" t="str">
        <f>IF(AND(N1972="1521",MONTH(C1972)='BK-NL'!$M$11),"x","")</f>
        <v/>
      </c>
    </row>
    <row r="1973" spans="1:30" ht="16.5" customHeight="1">
      <c r="A1973" s="318" t="str">
        <f>IF(B1973&lt;&gt;"",IF(AND(B1973='IN-TC'!$S$4,OR(TH!N1973="1111",TH!O1973="1111")),TH!D1973,""),"")</f>
        <v/>
      </c>
      <c r="B1973" s="60" t="str">
        <f t="shared" si="231"/>
        <v/>
      </c>
      <c r="C1973" s="301"/>
      <c r="D1973" s="301"/>
      <c r="E1973" s="301"/>
      <c r="F1973" s="302"/>
      <c r="G1973" s="968"/>
      <c r="H1973" s="69"/>
      <c r="I1973" s="385"/>
      <c r="J1973" s="969"/>
      <c r="K1973" s="385"/>
      <c r="L1973" s="392"/>
      <c r="M1973" s="970"/>
      <c r="N1973" s="304"/>
      <c r="O1973" s="304"/>
      <c r="P1973" s="79" t="str">
        <f>IF(AND('331-CT'!$E$7=TH!H1973,OR(N1973="331",O1973="331")),"x","")</f>
        <v/>
      </c>
      <c r="Q1973" s="79" t="str">
        <f>IF(AND(B1973='111'!$L$11,OR($N1973=$Q$7,$O1973=$Q$7)),"x","")</f>
        <v/>
      </c>
      <c r="R1973" s="79" t="str">
        <f>IF(AND($N1973=$Q$7,$B1973&lt;'111'!$L$11),"x","")</f>
        <v/>
      </c>
      <c r="S1973" s="79" t="str">
        <f>IF(AND($O1973=$Q$7,$B1973&lt;'111'!$L$11),"x","")</f>
        <v/>
      </c>
      <c r="T1973" s="79" t="str">
        <f>IF(ISERROR(FIND('112'!$M$9,G1973,1)),"",IF((AND(FIND('112'!$M$9,G1973,1)&gt;=1,B1973='112'!$K$9,OR($N1973='112'!$I$6,$O1973='112'!$I$6))),"x",""))</f>
        <v/>
      </c>
      <c r="U1973" s="79" t="str">
        <f>IF(ISERROR(FIND('112'!$M$9,G1973,1)),"",IF((AND(LEFT(G1973,2)=LEFT('112'!$M$9,2),B1973&lt;'112'!$K$9,$N1973='112'!$I$6)),"x",""))</f>
        <v/>
      </c>
      <c r="V1973" s="79" t="str">
        <f>IF(ISERROR(FIND('112'!$M$9,G1973,1)),"",IF((AND(RIGHT(G1973,2)=RIGHT('112'!$M$9,2),B1973&lt;'112'!$K$9,$O1973='112'!$I$6)),"x",""))</f>
        <v/>
      </c>
      <c r="W1973" s="79" t="str">
        <f>IF(AND('341-CT'!$H$9=H1973,OR(LEFT(N1973,3)=$W$7,LEFT(O1973,3)=$W$7)),"x","")</f>
        <v/>
      </c>
      <c r="X1973" s="79" t="str">
        <f>IF(OR(TH!N1973=TH!$X$7,O1973=TH!$X$7),"x","")</f>
        <v/>
      </c>
      <c r="Y1973" s="79" t="str">
        <f>IF(AND(OR(N1973="131",O1973="131"),H1973='131-CT'!$H$9),"x","")</f>
        <v/>
      </c>
      <c r="Z1973" s="79"/>
      <c r="AA1973" s="79" t="str">
        <f>IF(AND(MONTH(E1973)='IN-NX'!$J$5,'IN-NX'!$D$7=D1973),"x","")</f>
        <v/>
      </c>
      <c r="AB1973" s="79" t="str">
        <f>IF(AND(OR(LEFT(TH!N1973,2)="15",LEFT(TH!O1973,2)="15"),LEFT(TH!O1973,3)&lt;&gt;"111",'152-CT'!$J$8=TH!F1973),"x","")</f>
        <v/>
      </c>
      <c r="AC1973" s="79" t="str">
        <f>IF(AND(OR(LEFT(TH!N1973,2)="15",LEFT(TH!O1973,2)="15"),TK!$E$7=TH!F1973),"x","")</f>
        <v/>
      </c>
      <c r="AD1973" s="79" t="str">
        <f>IF(AND(N1973="1521",MONTH(C1973)='BK-NL'!$M$11),"x","")</f>
        <v/>
      </c>
    </row>
    <row r="1974" spans="1:30" ht="16.5" customHeight="1">
      <c r="A1974" s="318" t="str">
        <f>IF(B1974&lt;&gt;"",IF(AND(B1974='IN-TC'!$S$4,OR(TH!N1974="1111",TH!O1974="1111")),TH!D1974,""),"")</f>
        <v/>
      </c>
      <c r="B1974" s="60" t="str">
        <f t="shared" si="231"/>
        <v/>
      </c>
      <c r="C1974" s="301"/>
      <c r="D1974" s="301"/>
      <c r="E1974" s="301"/>
      <c r="F1974" s="302"/>
      <c r="G1974" s="968"/>
      <c r="H1974" s="69"/>
      <c r="I1974" s="385"/>
      <c r="J1974" s="969"/>
      <c r="K1974" s="385"/>
      <c r="L1974" s="392"/>
      <c r="M1974" s="970"/>
      <c r="N1974" s="304"/>
      <c r="O1974" s="304"/>
      <c r="P1974" s="79" t="str">
        <f>IF(AND('331-CT'!$E$7=TH!H1974,OR(N1974="331",O1974="331")),"x","")</f>
        <v/>
      </c>
      <c r="Q1974" s="79" t="str">
        <f>IF(AND(B1974='111'!$L$11,OR($N1974=$Q$7,$O1974=$Q$7)),"x","")</f>
        <v/>
      </c>
      <c r="R1974" s="79" t="str">
        <f>IF(AND($N1974=$Q$7,$B1974&lt;'111'!$L$11),"x","")</f>
        <v/>
      </c>
      <c r="S1974" s="79" t="str">
        <f>IF(AND($O1974=$Q$7,$B1974&lt;'111'!$L$11),"x","")</f>
        <v/>
      </c>
      <c r="T1974" s="79" t="str">
        <f>IF(ISERROR(FIND('112'!$M$9,G1974,1)),"",IF((AND(FIND('112'!$M$9,G1974,1)&gt;=1,B1974='112'!$K$9,OR($N1974='112'!$I$6,$O1974='112'!$I$6))),"x",""))</f>
        <v/>
      </c>
      <c r="U1974" s="79" t="str">
        <f>IF(ISERROR(FIND('112'!$M$9,G1974,1)),"",IF((AND(LEFT(G1974,2)=LEFT('112'!$M$9,2),B1974&lt;'112'!$K$9,$N1974='112'!$I$6)),"x",""))</f>
        <v/>
      </c>
      <c r="V1974" s="79" t="str">
        <f>IF(ISERROR(FIND('112'!$M$9,G1974,1)),"",IF((AND(RIGHT(G1974,2)=RIGHT('112'!$M$9,2),B1974&lt;'112'!$K$9,$O1974='112'!$I$6)),"x",""))</f>
        <v/>
      </c>
      <c r="W1974" s="79" t="str">
        <f>IF(AND('341-CT'!$H$9=H1974,OR(LEFT(N1974,3)=$W$7,LEFT(O1974,3)=$W$7)),"x","")</f>
        <v/>
      </c>
      <c r="X1974" s="79" t="str">
        <f>IF(OR(TH!N1974=TH!$X$7,O1974=TH!$X$7),"x","")</f>
        <v/>
      </c>
      <c r="Y1974" s="79" t="str">
        <f>IF(AND(OR(N1974="131",O1974="131"),H1974='131-CT'!$H$9),"x","")</f>
        <v/>
      </c>
      <c r="Z1974" s="79"/>
      <c r="AA1974" s="79" t="str">
        <f>IF(AND(MONTH(E1974)='IN-NX'!$J$5,'IN-NX'!$D$7=D1974),"x","")</f>
        <v/>
      </c>
      <c r="AB1974" s="79" t="str">
        <f>IF(AND(OR(LEFT(TH!N1974,2)="15",LEFT(TH!O1974,2)="15"),LEFT(TH!O1974,3)&lt;&gt;"111",'152-CT'!$J$8=TH!F1974),"x","")</f>
        <v/>
      </c>
      <c r="AC1974" s="79" t="str">
        <f>IF(AND(OR(LEFT(TH!N1974,2)="15",LEFT(TH!O1974,2)="15"),TK!$E$7=TH!F1974),"x","")</f>
        <v/>
      </c>
      <c r="AD1974" s="79" t="str">
        <f>IF(AND(N1974="1521",MONTH(C1974)='BK-NL'!$M$11),"x","")</f>
        <v/>
      </c>
    </row>
    <row r="1975" spans="1:30" ht="16.5" customHeight="1">
      <c r="A1975" s="318" t="str">
        <f>IF(B1975&lt;&gt;"",IF(AND(B1975='IN-TC'!$S$4,OR(TH!N1975="1111",TH!O1975="1111")),TH!D1975,""),"")</f>
        <v/>
      </c>
      <c r="B1975" s="60" t="str">
        <f t="shared" si="231"/>
        <v/>
      </c>
      <c r="C1975" s="301"/>
      <c r="D1975" s="301"/>
      <c r="E1975" s="301"/>
      <c r="F1975" s="302"/>
      <c r="G1975" s="968"/>
      <c r="H1975" s="69"/>
      <c r="I1975" s="385"/>
      <c r="J1975" s="969"/>
      <c r="K1975" s="385"/>
      <c r="L1975" s="392"/>
      <c r="M1975" s="970"/>
      <c r="N1975" s="304"/>
      <c r="O1975" s="304"/>
      <c r="P1975" s="79" t="str">
        <f>IF(AND('331-CT'!$E$7=TH!H1975,OR(N1975="331",O1975="331")),"x","")</f>
        <v/>
      </c>
      <c r="Q1975" s="79" t="str">
        <f>IF(AND(B1975='111'!$L$11,OR($N1975=$Q$7,$O1975=$Q$7)),"x","")</f>
        <v/>
      </c>
      <c r="R1975" s="79" t="str">
        <f>IF(AND($N1975=$Q$7,$B1975&lt;'111'!$L$11),"x","")</f>
        <v/>
      </c>
      <c r="S1975" s="79" t="str">
        <f>IF(AND($O1975=$Q$7,$B1975&lt;'111'!$L$11),"x","")</f>
        <v/>
      </c>
      <c r="T1975" s="79" t="str">
        <f>IF(ISERROR(FIND('112'!$M$9,G1975,1)),"",IF((AND(FIND('112'!$M$9,G1975,1)&gt;=1,B1975='112'!$K$9,OR($N1975='112'!$I$6,$O1975='112'!$I$6))),"x",""))</f>
        <v/>
      </c>
      <c r="U1975" s="79" t="str">
        <f>IF(ISERROR(FIND('112'!$M$9,G1975,1)),"",IF((AND(LEFT(G1975,2)=LEFT('112'!$M$9,2),B1975&lt;'112'!$K$9,$N1975='112'!$I$6)),"x",""))</f>
        <v/>
      </c>
      <c r="V1975" s="79" t="str">
        <f>IF(ISERROR(FIND('112'!$M$9,G1975,1)),"",IF((AND(RIGHT(G1975,2)=RIGHT('112'!$M$9,2),B1975&lt;'112'!$K$9,$O1975='112'!$I$6)),"x",""))</f>
        <v/>
      </c>
      <c r="W1975" s="79" t="str">
        <f>IF(AND('341-CT'!$H$9=H1975,OR(LEFT(N1975,3)=$W$7,LEFT(O1975,3)=$W$7)),"x","")</f>
        <v/>
      </c>
      <c r="X1975" s="79" t="str">
        <f>IF(OR(TH!N1975=TH!$X$7,O1975=TH!$X$7),"x","")</f>
        <v/>
      </c>
      <c r="Y1975" s="79" t="str">
        <f>IF(AND(OR(N1975="131",O1975="131"),H1975='131-CT'!$H$9),"x","")</f>
        <v/>
      </c>
      <c r="Z1975" s="79"/>
      <c r="AA1975" s="79" t="str">
        <f>IF(AND(MONTH(E1975)='IN-NX'!$J$5,'IN-NX'!$D$7=D1975),"x","")</f>
        <v/>
      </c>
      <c r="AB1975" s="79" t="str">
        <f>IF(AND(OR(LEFT(TH!N1975,2)="15",LEFT(TH!O1975,2)="15"),LEFT(TH!O1975,3)&lt;&gt;"111",'152-CT'!$J$8=TH!F1975),"x","")</f>
        <v/>
      </c>
      <c r="AC1975" s="79" t="str">
        <f>IF(AND(OR(LEFT(TH!N1975,2)="15",LEFT(TH!O1975,2)="15"),TK!$E$7=TH!F1975),"x","")</f>
        <v/>
      </c>
      <c r="AD1975" s="79" t="str">
        <f>IF(AND(N1975="1521",MONTH(C1975)='BK-NL'!$M$11),"x","")</f>
        <v/>
      </c>
    </row>
    <row r="1976" spans="1:30" ht="16.5" customHeight="1">
      <c r="A1976" s="318" t="str">
        <f>IF(B1976&lt;&gt;"",IF(AND(B1976='IN-TC'!$S$4,OR(TH!N1976="1111",TH!O1976="1111")),TH!D1976,""),"")</f>
        <v/>
      </c>
      <c r="B1976" s="60" t="str">
        <f t="shared" si="231"/>
        <v/>
      </c>
      <c r="C1976" s="301"/>
      <c r="D1976" s="301"/>
      <c r="E1976" s="301"/>
      <c r="F1976" s="302"/>
      <c r="G1976" s="968"/>
      <c r="H1976" s="69"/>
      <c r="I1976" s="385"/>
      <c r="J1976" s="969"/>
      <c r="K1976" s="385"/>
      <c r="L1976" s="392"/>
      <c r="M1976" s="970"/>
      <c r="N1976" s="304"/>
      <c r="O1976" s="304"/>
      <c r="P1976" s="79" t="str">
        <f>IF(AND('331-CT'!$E$7=TH!H1976,OR(N1976="331",O1976="331")),"x","")</f>
        <v/>
      </c>
      <c r="Q1976" s="79" t="str">
        <f>IF(AND(B1976='111'!$L$11,OR($N1976=$Q$7,$O1976=$Q$7)),"x","")</f>
        <v/>
      </c>
      <c r="R1976" s="79" t="str">
        <f>IF(AND($N1976=$Q$7,$B1976&lt;'111'!$L$11),"x","")</f>
        <v/>
      </c>
      <c r="S1976" s="79" t="str">
        <f>IF(AND($O1976=$Q$7,$B1976&lt;'111'!$L$11),"x","")</f>
        <v/>
      </c>
      <c r="T1976" s="79" t="str">
        <f>IF(ISERROR(FIND('112'!$M$9,G1976,1)),"",IF((AND(FIND('112'!$M$9,G1976,1)&gt;=1,B1976='112'!$K$9,OR($N1976='112'!$I$6,$O1976='112'!$I$6))),"x",""))</f>
        <v/>
      </c>
      <c r="U1976" s="79" t="str">
        <f>IF(ISERROR(FIND('112'!$M$9,G1976,1)),"",IF((AND(LEFT(G1976,2)=LEFT('112'!$M$9,2),B1976&lt;'112'!$K$9,$N1976='112'!$I$6)),"x",""))</f>
        <v/>
      </c>
      <c r="V1976" s="79" t="str">
        <f>IF(ISERROR(FIND('112'!$M$9,G1976,1)),"",IF((AND(RIGHT(G1976,2)=RIGHT('112'!$M$9,2),B1976&lt;'112'!$K$9,$O1976='112'!$I$6)),"x",""))</f>
        <v/>
      </c>
      <c r="W1976" s="79" t="str">
        <f>IF(AND('341-CT'!$H$9=H1976,OR(LEFT(N1976,3)=$W$7,LEFT(O1976,3)=$W$7)),"x","")</f>
        <v/>
      </c>
      <c r="X1976" s="79" t="str">
        <f>IF(OR(TH!N1976=TH!$X$7,O1976=TH!$X$7),"x","")</f>
        <v/>
      </c>
      <c r="Y1976" s="79" t="str">
        <f>IF(AND(OR(N1976="131",O1976="131"),H1976='131-CT'!$H$9),"x","")</f>
        <v/>
      </c>
      <c r="Z1976" s="79"/>
      <c r="AA1976" s="79" t="str">
        <f>IF(AND(MONTH(E1976)='IN-NX'!$J$5,'IN-NX'!$D$7=D1976),"x","")</f>
        <v/>
      </c>
      <c r="AB1976" s="79" t="str">
        <f>IF(AND(OR(LEFT(TH!N1976,2)="15",LEFT(TH!O1976,2)="15"),LEFT(TH!O1976,3)&lt;&gt;"111",'152-CT'!$J$8=TH!F1976),"x","")</f>
        <v/>
      </c>
      <c r="AC1976" s="79" t="str">
        <f>IF(AND(OR(LEFT(TH!N1976,2)="15",LEFT(TH!O1976,2)="15"),TK!$E$7=TH!F1976),"x","")</f>
        <v/>
      </c>
      <c r="AD1976" s="79" t="str">
        <f>IF(AND(N1976="1521",MONTH(C1976)='BK-NL'!$M$11),"x","")</f>
        <v/>
      </c>
    </row>
    <row r="1977" spans="1:30" ht="16.5" customHeight="1">
      <c r="A1977" s="318" t="str">
        <f>IF(B1977&lt;&gt;"",IF(AND(B1977='IN-TC'!$S$4,OR(TH!N1977="1111",TH!O1977="1111")),TH!D1977,""),"")</f>
        <v/>
      </c>
      <c r="B1977" s="60" t="str">
        <f t="shared" si="231"/>
        <v/>
      </c>
      <c r="C1977" s="974"/>
      <c r="D1977" s="301"/>
      <c r="E1977" s="974"/>
      <c r="F1977" s="77"/>
      <c r="G1977" s="976"/>
      <c r="H1977" s="305"/>
      <c r="I1977" s="383"/>
      <c r="J1977" s="977"/>
      <c r="K1977" s="383"/>
      <c r="L1977" s="390"/>
      <c r="M1977" s="978"/>
      <c r="N1977" s="979"/>
      <c r="O1977" s="979"/>
      <c r="P1977" s="79" t="str">
        <f>IF(AND('331-CT'!$E$7=TH!H1977,OR(N1977="331",O1977="331")),"x","")</f>
        <v/>
      </c>
      <c r="Q1977" s="79" t="str">
        <f>IF(AND(B1977='111'!$L$11,OR($N1977=$Q$7,$O1977=$Q$7)),"x","")</f>
        <v/>
      </c>
      <c r="R1977" s="79" t="str">
        <f>IF(AND($N1977=$Q$7,$B1977&lt;'111'!$L$11),"x","")</f>
        <v/>
      </c>
      <c r="S1977" s="79" t="str">
        <f>IF(AND($O1977=$Q$7,$B1977&lt;'111'!$L$11),"x","")</f>
        <v/>
      </c>
      <c r="T1977" s="79" t="str">
        <f>IF(ISERROR(FIND('112'!$M$9,G1977,1)),"",IF((AND(FIND('112'!$M$9,G1977,1)&gt;=1,B1977='112'!$K$9,OR($N1977='112'!$I$6,$O1977='112'!$I$6))),"x",""))</f>
        <v/>
      </c>
      <c r="U1977" s="79" t="str">
        <f>IF(ISERROR(FIND('112'!$M$9,G1977,1)),"",IF((AND(LEFT(G1977,2)=LEFT('112'!$M$9,2),B1977&lt;'112'!$K$9,$N1977='112'!$I$6)),"x",""))</f>
        <v/>
      </c>
      <c r="V1977" s="79" t="str">
        <f>IF(ISERROR(FIND('112'!$M$9,G1977,1)),"",IF((AND(RIGHT(G1977,2)=RIGHT('112'!$M$9,2),B1977&lt;'112'!$K$9,$O1977='112'!$I$6)),"x",""))</f>
        <v/>
      </c>
      <c r="W1977" s="79" t="str">
        <f>IF(AND('341-CT'!$H$9=H1977,OR(LEFT(N1977,3)=$W$7,LEFT(O1977,3)=$W$7)),"x","")</f>
        <v/>
      </c>
      <c r="X1977" s="79" t="str">
        <f>IF(OR(TH!N1977=TH!$X$7,O1977=TH!$X$7),"x","")</f>
        <v/>
      </c>
      <c r="Y1977" s="79" t="str">
        <f>IF(AND(OR(N1977="131",O1977="131"),H1977='131-CT'!$H$9),"x","")</f>
        <v/>
      </c>
      <c r="Z1977" s="79"/>
      <c r="AA1977" s="79" t="str">
        <f>IF(AND(MONTH(E1977)='IN-NX'!$J$5,'IN-NX'!$D$7=D1977),"x","")</f>
        <v/>
      </c>
      <c r="AB1977" s="79" t="str">
        <f>IF(AND(OR(LEFT(TH!N1977,2)="15",LEFT(TH!O1977,2)="15"),LEFT(TH!O1977,3)&lt;&gt;"111",'152-CT'!$J$8=TH!F1977),"x","")</f>
        <v/>
      </c>
      <c r="AC1977" s="79" t="str">
        <f>IF(AND(OR(LEFT(TH!N1977,2)="15",LEFT(TH!O1977,2)="15"),TK!$E$7=TH!F1977),"x","")</f>
        <v/>
      </c>
      <c r="AD1977" s="79" t="str">
        <f>IF(AND(N1977="1521",MONTH(C1977)='BK-NL'!$M$11),"x","")</f>
        <v/>
      </c>
    </row>
    <row r="1978" spans="1:30" ht="16.5" customHeight="1">
      <c r="A1978" s="318" t="str">
        <f>IF(B1978&lt;&gt;"",IF(AND(B1978='IN-TC'!$S$4,OR(TH!N1978="1111",TH!O1978="1111")),TH!D1978,""),"")</f>
        <v/>
      </c>
      <c r="B1978" s="60" t="str">
        <f t="shared" si="231"/>
        <v/>
      </c>
      <c r="C1978" s="301"/>
      <c r="D1978" s="301"/>
      <c r="E1978" s="301"/>
      <c r="F1978" s="302"/>
      <c r="G1978" s="968"/>
      <c r="H1978" s="69"/>
      <c r="I1978" s="385"/>
      <c r="J1978" s="969"/>
      <c r="K1978" s="385"/>
      <c r="L1978" s="392"/>
      <c r="M1978" s="970"/>
      <c r="N1978" s="304"/>
      <c r="O1978" s="304"/>
      <c r="P1978" s="79" t="str">
        <f>IF(AND('331-CT'!$E$7=TH!H1978,OR(N1978="331",O1978="331")),"x","")</f>
        <v/>
      </c>
      <c r="Q1978" s="79" t="str">
        <f>IF(AND(B1978='111'!$L$11,OR($N1978=$Q$7,$O1978=$Q$7)),"x","")</f>
        <v/>
      </c>
      <c r="R1978" s="79" t="str">
        <f>IF(AND($N1978=$Q$7,$B1978&lt;'111'!$L$11),"x","")</f>
        <v/>
      </c>
      <c r="S1978" s="79" t="str">
        <f>IF(AND($O1978=$Q$7,$B1978&lt;'111'!$L$11),"x","")</f>
        <v/>
      </c>
      <c r="T1978" s="79" t="str">
        <f>IF(ISERROR(FIND('112'!$M$9,G1978,1)),"",IF((AND(FIND('112'!$M$9,G1978,1)&gt;=1,B1978='112'!$K$9,OR($N1978='112'!$I$6,$O1978='112'!$I$6))),"x",""))</f>
        <v/>
      </c>
      <c r="U1978" s="79" t="str">
        <f>IF(ISERROR(FIND('112'!$M$9,G1978,1)),"",IF((AND(LEFT(G1978,2)=LEFT('112'!$M$9,2),B1978&lt;'112'!$K$9,$N1978='112'!$I$6)),"x",""))</f>
        <v/>
      </c>
      <c r="V1978" s="79" t="str">
        <f>IF(ISERROR(FIND('112'!$M$9,G1978,1)),"",IF((AND(RIGHT(G1978,2)=RIGHT('112'!$M$9,2),B1978&lt;'112'!$K$9,$O1978='112'!$I$6)),"x",""))</f>
        <v/>
      </c>
      <c r="W1978" s="79" t="str">
        <f>IF(AND('341-CT'!$H$9=H1978,OR(LEFT(N1978,3)=$W$7,LEFT(O1978,3)=$W$7)),"x","")</f>
        <v/>
      </c>
      <c r="X1978" s="79" t="str">
        <f>IF(OR(TH!N1978=TH!$X$7,O1978=TH!$X$7),"x","")</f>
        <v/>
      </c>
      <c r="Y1978" s="79" t="str">
        <f>IF(AND(OR(N1978="131",O1978="131"),H1978='131-CT'!$H$9),"x","")</f>
        <v/>
      </c>
      <c r="Z1978" s="79"/>
      <c r="AA1978" s="79" t="str">
        <f>IF(AND(MONTH(E1978)='IN-NX'!$J$5,'IN-NX'!$D$7=D1978),"x","")</f>
        <v/>
      </c>
      <c r="AB1978" s="79" t="str">
        <f>IF(AND(OR(LEFT(TH!N1978,2)="15",LEFT(TH!O1978,2)="15"),LEFT(TH!O1978,3)&lt;&gt;"111",'152-CT'!$J$8=TH!F1978),"x","")</f>
        <v/>
      </c>
      <c r="AC1978" s="79" t="str">
        <f>IF(AND(OR(LEFT(TH!N1978,2)="15",LEFT(TH!O1978,2)="15"),TK!$E$7=TH!F1978),"x","")</f>
        <v/>
      </c>
      <c r="AD1978" s="79" t="str">
        <f>IF(AND(N1978="1521",MONTH(C1978)='BK-NL'!$M$11),"x","")</f>
        <v/>
      </c>
    </row>
    <row r="1979" spans="1:30" ht="16.5" customHeight="1">
      <c r="A1979" s="318" t="str">
        <f>IF(B1979&lt;&gt;"",IF(AND(B1979='IN-TC'!$S$4,OR(TH!N1979="1111",TH!O1979="1111")),TH!D1979,""),"")</f>
        <v/>
      </c>
      <c r="B1979" s="60" t="str">
        <f t="shared" si="231"/>
        <v/>
      </c>
      <c r="C1979" s="301"/>
      <c r="D1979" s="301"/>
      <c r="E1979" s="301"/>
      <c r="F1979" s="302"/>
      <c r="G1979" s="968"/>
      <c r="H1979" s="69"/>
      <c r="I1979" s="385"/>
      <c r="J1979" s="969"/>
      <c r="K1979" s="385"/>
      <c r="L1979" s="392"/>
      <c r="M1979" s="970"/>
      <c r="N1979" s="304"/>
      <c r="O1979" s="304"/>
      <c r="P1979" s="79" t="str">
        <f>IF(AND('331-CT'!$E$7=TH!H1979,OR(N1979="331",O1979="331")),"x","")</f>
        <v/>
      </c>
      <c r="Q1979" s="79" t="str">
        <f>IF(AND(B1979='111'!$L$11,OR($N1979=$Q$7,$O1979=$Q$7)),"x","")</f>
        <v/>
      </c>
      <c r="R1979" s="79" t="str">
        <f>IF(AND($N1979=$Q$7,$B1979&lt;'111'!$L$11),"x","")</f>
        <v/>
      </c>
      <c r="S1979" s="79" t="str">
        <f>IF(AND($O1979=$Q$7,$B1979&lt;'111'!$L$11),"x","")</f>
        <v/>
      </c>
      <c r="T1979" s="79" t="str">
        <f>IF(ISERROR(FIND('112'!$M$9,G1979,1)),"",IF((AND(FIND('112'!$M$9,G1979,1)&gt;=1,B1979='112'!$K$9,OR($N1979='112'!$I$6,$O1979='112'!$I$6))),"x",""))</f>
        <v/>
      </c>
      <c r="U1979" s="79" t="str">
        <f>IF(ISERROR(FIND('112'!$M$9,G1979,1)),"",IF((AND(LEFT(G1979,2)=LEFT('112'!$M$9,2),B1979&lt;'112'!$K$9,$N1979='112'!$I$6)),"x",""))</f>
        <v/>
      </c>
      <c r="V1979" s="79" t="str">
        <f>IF(ISERROR(FIND('112'!$M$9,G1979,1)),"",IF((AND(RIGHT(G1979,2)=RIGHT('112'!$M$9,2),B1979&lt;'112'!$K$9,$O1979='112'!$I$6)),"x",""))</f>
        <v/>
      </c>
      <c r="W1979" s="79" t="str">
        <f>IF(AND('341-CT'!$H$9=H1979,OR(LEFT(N1979,3)=$W$7,LEFT(O1979,3)=$W$7)),"x","")</f>
        <v/>
      </c>
      <c r="X1979" s="79" t="str">
        <f>IF(OR(TH!N1979=TH!$X$7,O1979=TH!$X$7),"x","")</f>
        <v/>
      </c>
      <c r="Y1979" s="79" t="str">
        <f>IF(AND(OR(N1979="131",O1979="131"),H1979='131-CT'!$H$9),"x","")</f>
        <v/>
      </c>
      <c r="Z1979" s="79"/>
      <c r="AA1979" s="79" t="str">
        <f>IF(AND(MONTH(E1979)='IN-NX'!$J$5,'IN-NX'!$D$7=D1979),"x","")</f>
        <v/>
      </c>
      <c r="AB1979" s="79" t="str">
        <f>IF(AND(OR(LEFT(TH!N1979,2)="15",LEFT(TH!O1979,2)="15"),LEFT(TH!O1979,3)&lt;&gt;"111",'152-CT'!$J$8=TH!F1979),"x","")</f>
        <v/>
      </c>
      <c r="AC1979" s="79" t="str">
        <f>IF(AND(OR(LEFT(TH!N1979,2)="15",LEFT(TH!O1979,2)="15"),TK!$E$7=TH!F1979),"x","")</f>
        <v/>
      </c>
      <c r="AD1979" s="79" t="str">
        <f>IF(AND(N1979="1521",MONTH(C1979)='BK-NL'!$M$11),"x","")</f>
        <v/>
      </c>
    </row>
    <row r="1980" spans="1:30" ht="16.5" customHeight="1">
      <c r="A1980" s="318" t="str">
        <f>IF(B1980&lt;&gt;"",IF(AND(B1980='IN-TC'!$S$4,OR(TH!N1980="1111",TH!O1980="1111")),TH!D1980,""),"")</f>
        <v/>
      </c>
      <c r="B1980" s="60" t="str">
        <f t="shared" si="231"/>
        <v/>
      </c>
      <c r="C1980" s="974"/>
      <c r="D1980" s="301"/>
      <c r="E1980" s="974"/>
      <c r="F1980" s="77"/>
      <c r="G1980" s="976"/>
      <c r="H1980" s="305"/>
      <c r="I1980" s="383"/>
      <c r="J1980" s="977"/>
      <c r="K1980" s="383"/>
      <c r="L1980" s="390"/>
      <c r="M1980" s="978"/>
      <c r="N1980" s="979"/>
      <c r="O1980" s="979"/>
      <c r="P1980" s="79" t="str">
        <f>IF(AND('331-CT'!$E$7=TH!H1980,OR(N1980="331",O1980="331")),"x","")</f>
        <v/>
      </c>
      <c r="Q1980" s="79" t="str">
        <f>IF(AND(B1980='111'!$L$11,OR($N1980=$Q$7,$O1980=$Q$7)),"x","")</f>
        <v/>
      </c>
      <c r="R1980" s="79" t="str">
        <f>IF(AND($N1980=$Q$7,$B1980&lt;'111'!$L$11),"x","")</f>
        <v/>
      </c>
      <c r="S1980" s="79" t="str">
        <f>IF(AND($O1980=$Q$7,$B1980&lt;'111'!$L$11),"x","")</f>
        <v/>
      </c>
      <c r="T1980" s="79" t="str">
        <f>IF(ISERROR(FIND('112'!$M$9,G1980,1)),"",IF((AND(FIND('112'!$M$9,G1980,1)&gt;=1,B1980='112'!$K$9,OR($N1980='112'!$I$6,$O1980='112'!$I$6))),"x",""))</f>
        <v/>
      </c>
      <c r="U1980" s="79" t="str">
        <f>IF(ISERROR(FIND('112'!$M$9,G1980,1)),"",IF((AND(LEFT(G1980,2)=LEFT('112'!$M$9,2),B1980&lt;'112'!$K$9,$N1980='112'!$I$6)),"x",""))</f>
        <v/>
      </c>
      <c r="V1980" s="79" t="str">
        <f>IF(ISERROR(FIND('112'!$M$9,G1980,1)),"",IF((AND(RIGHT(G1980,2)=RIGHT('112'!$M$9,2),B1980&lt;'112'!$K$9,$O1980='112'!$I$6)),"x",""))</f>
        <v/>
      </c>
      <c r="W1980" s="79" t="str">
        <f>IF(AND('341-CT'!$H$9=H1980,OR(LEFT(N1980,3)=$W$7,LEFT(O1980,3)=$W$7)),"x","")</f>
        <v/>
      </c>
      <c r="X1980" s="79" t="str">
        <f>IF(OR(TH!N1980=TH!$X$7,O1980=TH!$X$7),"x","")</f>
        <v/>
      </c>
      <c r="Y1980" s="79" t="str">
        <f>IF(AND(OR(N1980="131",O1980="131"),H1980='131-CT'!$H$9),"x","")</f>
        <v/>
      </c>
      <c r="Z1980" s="79"/>
      <c r="AA1980" s="79" t="str">
        <f>IF(AND(MONTH(E1980)='IN-NX'!$J$5,'IN-NX'!$D$7=D1980),"x","")</f>
        <v/>
      </c>
      <c r="AB1980" s="79" t="str">
        <f>IF(AND(OR(LEFT(TH!N1980,2)="15",LEFT(TH!O1980,2)="15"),LEFT(TH!O1980,3)&lt;&gt;"111",'152-CT'!$J$8=TH!F1980),"x","")</f>
        <v/>
      </c>
      <c r="AC1980" s="79" t="str">
        <f>IF(AND(OR(LEFT(TH!N1980,2)="15",LEFT(TH!O1980,2)="15"),TK!$E$7=TH!F1980),"x","")</f>
        <v/>
      </c>
      <c r="AD1980" s="79" t="str">
        <f>IF(AND(N1980="1521",MONTH(C1980)='BK-NL'!$M$11),"x","")</f>
        <v/>
      </c>
    </row>
    <row r="1981" spans="1:30" ht="16.5" customHeight="1">
      <c r="A1981" s="318" t="str">
        <f>IF(B1981&lt;&gt;"",IF(AND(B1981='IN-TC'!$S$4,OR(TH!N1981="1111",TH!O1981="1111")),TH!D1981,""),"")</f>
        <v/>
      </c>
      <c r="B1981" s="60" t="str">
        <f t="shared" si="231"/>
        <v/>
      </c>
      <c r="C1981" s="301"/>
      <c r="D1981" s="301"/>
      <c r="E1981" s="301"/>
      <c r="F1981" s="302"/>
      <c r="G1981" s="968"/>
      <c r="H1981" s="69"/>
      <c r="I1981" s="385"/>
      <c r="J1981" s="969"/>
      <c r="K1981" s="385"/>
      <c r="L1981" s="392"/>
      <c r="M1981" s="970"/>
      <c r="N1981" s="304"/>
      <c r="O1981" s="304"/>
      <c r="P1981" s="79" t="str">
        <f>IF(AND('331-CT'!$E$7=TH!H1981,OR(N1981="331",O1981="331")),"x","")</f>
        <v/>
      </c>
      <c r="Q1981" s="79" t="str">
        <f>IF(AND(B1981='111'!$L$11,OR($N1981=$Q$7,$O1981=$Q$7)),"x","")</f>
        <v/>
      </c>
      <c r="R1981" s="79" t="str">
        <f>IF(AND($N1981=$Q$7,$B1981&lt;'111'!$L$11),"x","")</f>
        <v/>
      </c>
      <c r="S1981" s="79" t="str">
        <f>IF(AND($O1981=$Q$7,$B1981&lt;'111'!$L$11),"x","")</f>
        <v/>
      </c>
      <c r="T1981" s="79" t="str">
        <f>IF(ISERROR(FIND('112'!$M$9,G1981,1)),"",IF((AND(FIND('112'!$M$9,G1981,1)&gt;=1,B1981='112'!$K$9,OR($N1981='112'!$I$6,$O1981='112'!$I$6))),"x",""))</f>
        <v/>
      </c>
      <c r="U1981" s="79" t="str">
        <f>IF(ISERROR(FIND('112'!$M$9,G1981,1)),"",IF((AND(LEFT(G1981,2)=LEFT('112'!$M$9,2),B1981&lt;'112'!$K$9,$N1981='112'!$I$6)),"x",""))</f>
        <v/>
      </c>
      <c r="V1981" s="79" t="str">
        <f>IF(ISERROR(FIND('112'!$M$9,G1981,1)),"",IF((AND(RIGHT(G1981,2)=RIGHT('112'!$M$9,2),B1981&lt;'112'!$K$9,$O1981='112'!$I$6)),"x",""))</f>
        <v/>
      </c>
      <c r="W1981" s="79" t="str">
        <f>IF(AND('341-CT'!$H$9=H1981,OR(LEFT(N1981,3)=$W$7,LEFT(O1981,3)=$W$7)),"x","")</f>
        <v/>
      </c>
      <c r="X1981" s="79" t="str">
        <f>IF(OR(TH!N1981=TH!$X$7,O1981=TH!$X$7),"x","")</f>
        <v/>
      </c>
      <c r="Y1981" s="79" t="str">
        <f>IF(AND(OR(N1981="131",O1981="131"),H1981='131-CT'!$H$9),"x","")</f>
        <v/>
      </c>
      <c r="Z1981" s="79"/>
      <c r="AA1981" s="79" t="str">
        <f>IF(AND(MONTH(E1981)='IN-NX'!$J$5,'IN-NX'!$D$7=D1981),"x","")</f>
        <v/>
      </c>
      <c r="AB1981" s="79" t="str">
        <f>IF(AND(OR(LEFT(TH!N1981,2)="15",LEFT(TH!O1981,2)="15"),LEFT(TH!O1981,3)&lt;&gt;"111",'152-CT'!$J$8=TH!F1981),"x","")</f>
        <v/>
      </c>
      <c r="AC1981" s="79" t="str">
        <f>IF(AND(OR(LEFT(TH!N1981,2)="15",LEFT(TH!O1981,2)="15"),TK!$E$7=TH!F1981),"x","")</f>
        <v/>
      </c>
      <c r="AD1981" s="79" t="str">
        <f>IF(AND(N1981="1521",MONTH(C1981)='BK-NL'!$M$11),"x","")</f>
        <v/>
      </c>
    </row>
    <row r="1982" spans="1:30" ht="16.5" customHeight="1">
      <c r="A1982" s="318" t="str">
        <f>IF(B1982&lt;&gt;"",IF(AND(B1982='IN-TC'!$S$4,OR(TH!N1982="1111",TH!O1982="1111")),TH!D1982,""),"")</f>
        <v/>
      </c>
      <c r="B1982" s="60" t="str">
        <f t="shared" si="231"/>
        <v/>
      </c>
      <c r="C1982" s="301"/>
      <c r="D1982" s="301"/>
      <c r="E1982" s="301"/>
      <c r="F1982" s="302"/>
      <c r="G1982" s="968"/>
      <c r="H1982" s="69"/>
      <c r="I1982" s="385"/>
      <c r="J1982" s="969"/>
      <c r="K1982" s="385"/>
      <c r="L1982" s="392"/>
      <c r="M1982" s="970"/>
      <c r="N1982" s="304"/>
      <c r="O1982" s="304"/>
      <c r="P1982" s="79" t="str">
        <f>IF(AND('331-CT'!$E$7=TH!H1982,OR(N1982="331",O1982="331")),"x","")</f>
        <v/>
      </c>
      <c r="Q1982" s="79" t="str">
        <f>IF(AND(B1982='111'!$L$11,OR($N1982=$Q$7,$O1982=$Q$7)),"x","")</f>
        <v/>
      </c>
      <c r="R1982" s="79" t="str">
        <f>IF(AND($N1982=$Q$7,$B1982&lt;'111'!$L$11),"x","")</f>
        <v/>
      </c>
      <c r="S1982" s="79" t="str">
        <f>IF(AND($O1982=$Q$7,$B1982&lt;'111'!$L$11),"x","")</f>
        <v/>
      </c>
      <c r="T1982" s="79" t="str">
        <f>IF(ISERROR(FIND('112'!$M$9,G1982,1)),"",IF((AND(FIND('112'!$M$9,G1982,1)&gt;=1,B1982='112'!$K$9,OR($N1982='112'!$I$6,$O1982='112'!$I$6))),"x",""))</f>
        <v/>
      </c>
      <c r="U1982" s="79" t="str">
        <f>IF(ISERROR(FIND('112'!$M$9,G1982,1)),"",IF((AND(LEFT(G1982,2)=LEFT('112'!$M$9,2),B1982&lt;'112'!$K$9,$N1982='112'!$I$6)),"x",""))</f>
        <v/>
      </c>
      <c r="V1982" s="79" t="str">
        <f>IF(ISERROR(FIND('112'!$M$9,G1982,1)),"",IF((AND(RIGHT(G1982,2)=RIGHT('112'!$M$9,2),B1982&lt;'112'!$K$9,$O1982='112'!$I$6)),"x",""))</f>
        <v/>
      </c>
      <c r="W1982" s="79" t="str">
        <f>IF(AND('341-CT'!$H$9=H1982,OR(LEFT(N1982,3)=$W$7,LEFT(O1982,3)=$W$7)),"x","")</f>
        <v/>
      </c>
      <c r="X1982" s="79" t="str">
        <f>IF(OR(TH!N1982=TH!$X$7,O1982=TH!$X$7),"x","")</f>
        <v/>
      </c>
      <c r="Y1982" s="79" t="str">
        <f>IF(AND(OR(N1982="131",O1982="131"),H1982='131-CT'!$H$9),"x","")</f>
        <v/>
      </c>
      <c r="Z1982" s="79"/>
      <c r="AA1982" s="79" t="str">
        <f>IF(AND(MONTH(E1982)='IN-NX'!$J$5,'IN-NX'!$D$7=D1982),"x","")</f>
        <v/>
      </c>
      <c r="AB1982" s="79" t="str">
        <f>IF(AND(OR(LEFT(TH!N1982,2)="15",LEFT(TH!O1982,2)="15"),LEFT(TH!O1982,3)&lt;&gt;"111",'152-CT'!$J$8=TH!F1982),"x","")</f>
        <v/>
      </c>
      <c r="AC1982" s="79" t="str">
        <f>IF(AND(OR(LEFT(TH!N1982,2)="15",LEFT(TH!O1982,2)="15"),TK!$E$7=TH!F1982),"x","")</f>
        <v/>
      </c>
      <c r="AD1982" s="79" t="str">
        <f>IF(AND(N1982="1521",MONTH(C1982)='BK-NL'!$M$11),"x","")</f>
        <v/>
      </c>
    </row>
    <row r="1983" spans="1:30" ht="16.5" customHeight="1">
      <c r="A1983" s="318" t="str">
        <f>IF(B1983&lt;&gt;"",IF(AND(B1983='IN-TC'!$S$4,OR(TH!N1983="1111",TH!O1983="1111")),TH!D1983,""),"")</f>
        <v/>
      </c>
      <c r="B1983" s="60" t="str">
        <f t="shared" si="231"/>
        <v/>
      </c>
      <c r="C1983" s="301"/>
      <c r="D1983" s="301"/>
      <c r="E1983" s="301"/>
      <c r="F1983" s="302"/>
      <c r="G1983" s="968"/>
      <c r="H1983" s="69"/>
      <c r="I1983" s="385"/>
      <c r="J1983" s="969"/>
      <c r="K1983" s="385"/>
      <c r="L1983" s="392"/>
      <c r="M1983" s="970"/>
      <c r="N1983" s="304"/>
      <c r="O1983" s="304"/>
      <c r="P1983" s="79" t="str">
        <f>IF(AND('331-CT'!$E$7=TH!H1983,OR(N1983="331",O1983="331")),"x","")</f>
        <v/>
      </c>
      <c r="Q1983" s="79" t="str">
        <f>IF(AND(B1983='111'!$L$11,OR($N1983=$Q$7,$O1983=$Q$7)),"x","")</f>
        <v/>
      </c>
      <c r="R1983" s="79" t="str">
        <f>IF(AND($N1983=$Q$7,$B1983&lt;'111'!$L$11),"x","")</f>
        <v/>
      </c>
      <c r="S1983" s="79" t="str">
        <f>IF(AND($O1983=$Q$7,$B1983&lt;'111'!$L$11),"x","")</f>
        <v/>
      </c>
      <c r="T1983" s="79" t="str">
        <f>IF(ISERROR(FIND('112'!$M$9,G1983,1)),"",IF((AND(FIND('112'!$M$9,G1983,1)&gt;=1,B1983='112'!$K$9,OR($N1983='112'!$I$6,$O1983='112'!$I$6))),"x",""))</f>
        <v/>
      </c>
      <c r="U1983" s="79" t="str">
        <f>IF(ISERROR(FIND('112'!$M$9,G1983,1)),"",IF((AND(LEFT(G1983,2)=LEFT('112'!$M$9,2),B1983&lt;'112'!$K$9,$N1983='112'!$I$6)),"x",""))</f>
        <v/>
      </c>
      <c r="V1983" s="79" t="str">
        <f>IF(ISERROR(FIND('112'!$M$9,G1983,1)),"",IF((AND(RIGHT(G1983,2)=RIGHT('112'!$M$9,2),B1983&lt;'112'!$K$9,$O1983='112'!$I$6)),"x",""))</f>
        <v/>
      </c>
      <c r="W1983" s="79" t="str">
        <f>IF(AND('341-CT'!$H$9=H1983,OR(LEFT(N1983,3)=$W$7,LEFT(O1983,3)=$W$7)),"x","")</f>
        <v/>
      </c>
      <c r="X1983" s="79" t="str">
        <f>IF(OR(TH!N1983=TH!$X$7,O1983=TH!$X$7),"x","")</f>
        <v/>
      </c>
      <c r="Y1983" s="79" t="str">
        <f>IF(AND(OR(N1983="131",O1983="131"),H1983='131-CT'!$H$9),"x","")</f>
        <v/>
      </c>
      <c r="Z1983" s="79"/>
      <c r="AA1983" s="79" t="str">
        <f>IF(AND(MONTH(E1983)='IN-NX'!$J$5,'IN-NX'!$D$7=D1983),"x","")</f>
        <v/>
      </c>
      <c r="AB1983" s="79" t="str">
        <f>IF(AND(OR(LEFT(TH!N1983,2)="15",LEFT(TH!O1983,2)="15"),LEFT(TH!O1983,3)&lt;&gt;"111",'152-CT'!$J$8=TH!F1983),"x","")</f>
        <v/>
      </c>
      <c r="AC1983" s="79" t="str">
        <f>IF(AND(OR(LEFT(TH!N1983,2)="15",LEFT(TH!O1983,2)="15"),TK!$E$7=TH!F1983),"x","")</f>
        <v/>
      </c>
      <c r="AD1983" s="79" t="str">
        <f>IF(AND(N1983="1521",MONTH(C1983)='BK-NL'!$M$11),"x","")</f>
        <v/>
      </c>
    </row>
    <row r="1984" spans="1:30" ht="16.5" customHeight="1">
      <c r="A1984" s="318" t="str">
        <f>IF(B1984&lt;&gt;"",IF(AND(B1984='IN-TC'!$S$4,OR(TH!N1984="1111",TH!O1984="1111")),TH!D1984,""),"")</f>
        <v/>
      </c>
      <c r="B1984" s="60" t="str">
        <f t="shared" si="231"/>
        <v/>
      </c>
      <c r="C1984" s="301"/>
      <c r="D1984" s="301"/>
      <c r="E1984" s="301"/>
      <c r="F1984" s="302"/>
      <c r="G1984" s="968"/>
      <c r="H1984" s="69"/>
      <c r="I1984" s="385"/>
      <c r="J1984" s="969"/>
      <c r="K1984" s="385"/>
      <c r="L1984" s="392"/>
      <c r="M1984" s="970"/>
      <c r="N1984" s="304"/>
      <c r="O1984" s="304"/>
      <c r="P1984" s="79" t="str">
        <f>IF(AND('331-CT'!$E$7=TH!H1984,OR(N1984="331",O1984="331")),"x","")</f>
        <v/>
      </c>
      <c r="Q1984" s="79" t="str">
        <f>IF(AND(B1984='111'!$L$11,OR($N1984=$Q$7,$O1984=$Q$7)),"x","")</f>
        <v/>
      </c>
      <c r="R1984" s="79" t="str">
        <f>IF(AND($N1984=$Q$7,$B1984&lt;'111'!$L$11),"x","")</f>
        <v/>
      </c>
      <c r="S1984" s="79" t="str">
        <f>IF(AND($O1984=$Q$7,$B1984&lt;'111'!$L$11),"x","")</f>
        <v/>
      </c>
      <c r="T1984" s="79" t="str">
        <f>IF(ISERROR(FIND('112'!$M$9,G1984,1)),"",IF((AND(FIND('112'!$M$9,G1984,1)&gt;=1,B1984='112'!$K$9,OR($N1984='112'!$I$6,$O1984='112'!$I$6))),"x",""))</f>
        <v/>
      </c>
      <c r="U1984" s="79" t="str">
        <f>IF(ISERROR(FIND('112'!$M$9,G1984,1)),"",IF((AND(LEFT(G1984,2)=LEFT('112'!$M$9,2),B1984&lt;'112'!$K$9,$N1984='112'!$I$6)),"x",""))</f>
        <v/>
      </c>
      <c r="V1984" s="79" t="str">
        <f>IF(ISERROR(FIND('112'!$M$9,G1984,1)),"",IF((AND(RIGHT(G1984,2)=RIGHT('112'!$M$9,2),B1984&lt;'112'!$K$9,$O1984='112'!$I$6)),"x",""))</f>
        <v/>
      </c>
      <c r="W1984" s="79" t="str">
        <f>IF(AND('341-CT'!$H$9=H1984,OR(LEFT(N1984,3)=$W$7,LEFT(O1984,3)=$W$7)),"x","")</f>
        <v/>
      </c>
      <c r="X1984" s="79" t="str">
        <f>IF(OR(TH!N1984=TH!$X$7,O1984=TH!$X$7),"x","")</f>
        <v/>
      </c>
      <c r="Y1984" s="79" t="str">
        <f>IF(AND(OR(N1984="131",O1984="131"),H1984='131-CT'!$H$9),"x","")</f>
        <v/>
      </c>
      <c r="Z1984" s="79"/>
      <c r="AA1984" s="79" t="str">
        <f>IF(AND(MONTH(E1984)='IN-NX'!$J$5,'IN-NX'!$D$7=D1984),"x","")</f>
        <v/>
      </c>
      <c r="AB1984" s="79" t="str">
        <f>IF(AND(OR(LEFT(TH!N1984,2)="15",LEFT(TH!O1984,2)="15"),LEFT(TH!O1984,3)&lt;&gt;"111",'152-CT'!$J$8=TH!F1984),"x","")</f>
        <v/>
      </c>
      <c r="AC1984" s="79" t="str">
        <f>IF(AND(OR(LEFT(TH!N1984,2)="15",LEFT(TH!O1984,2)="15"),TK!$E$7=TH!F1984),"x","")</f>
        <v/>
      </c>
      <c r="AD1984" s="79" t="str">
        <f>IF(AND(N1984="1521",MONTH(C1984)='BK-NL'!$M$11),"x","")</f>
        <v/>
      </c>
    </row>
    <row r="1985" spans="1:30" ht="16.5" customHeight="1">
      <c r="A1985" s="318" t="str">
        <f>IF(B1985&lt;&gt;"",IF(AND(B1985='IN-TC'!$S$4,OR(TH!N1985="1111",TH!O1985="1111")),TH!D1985,""),"")</f>
        <v/>
      </c>
      <c r="B1985" s="60" t="str">
        <f t="shared" si="231"/>
        <v/>
      </c>
      <c r="C1985" s="301"/>
      <c r="D1985" s="301"/>
      <c r="E1985" s="301"/>
      <c r="F1985" s="302"/>
      <c r="G1985" s="968"/>
      <c r="H1985" s="69"/>
      <c r="I1985" s="385"/>
      <c r="J1985" s="969"/>
      <c r="K1985" s="385"/>
      <c r="L1985" s="392"/>
      <c r="M1985" s="970"/>
      <c r="N1985" s="304"/>
      <c r="O1985" s="304"/>
      <c r="P1985" s="79" t="str">
        <f>IF(AND('331-CT'!$E$7=TH!H1985,OR(N1985="331",O1985="331")),"x","")</f>
        <v/>
      </c>
      <c r="Q1985" s="79" t="str">
        <f>IF(AND(B1985='111'!$L$11,OR($N1985=$Q$7,$O1985=$Q$7)),"x","")</f>
        <v/>
      </c>
      <c r="R1985" s="79" t="str">
        <f>IF(AND($N1985=$Q$7,$B1985&lt;'111'!$L$11),"x","")</f>
        <v/>
      </c>
      <c r="S1985" s="79" t="str">
        <f>IF(AND($O1985=$Q$7,$B1985&lt;'111'!$L$11),"x","")</f>
        <v/>
      </c>
      <c r="T1985" s="79" t="str">
        <f>IF(ISERROR(FIND('112'!$M$9,G1985,1)),"",IF((AND(FIND('112'!$M$9,G1985,1)&gt;=1,B1985='112'!$K$9,OR($N1985='112'!$I$6,$O1985='112'!$I$6))),"x",""))</f>
        <v/>
      </c>
      <c r="U1985" s="79" t="str">
        <f>IF(ISERROR(FIND('112'!$M$9,G1985,1)),"",IF((AND(LEFT(G1985,2)=LEFT('112'!$M$9,2),B1985&lt;'112'!$K$9,$N1985='112'!$I$6)),"x",""))</f>
        <v/>
      </c>
      <c r="V1985" s="79" t="str">
        <f>IF(ISERROR(FIND('112'!$M$9,G1985,1)),"",IF((AND(RIGHT(G1985,2)=RIGHT('112'!$M$9,2),B1985&lt;'112'!$K$9,$O1985='112'!$I$6)),"x",""))</f>
        <v/>
      </c>
      <c r="W1985" s="79" t="str">
        <f>IF(AND('341-CT'!$H$9=H1985,OR(LEFT(N1985,3)=$W$7,LEFT(O1985,3)=$W$7)),"x","")</f>
        <v/>
      </c>
      <c r="X1985" s="79" t="str">
        <f>IF(OR(TH!N1985=TH!$X$7,O1985=TH!$X$7),"x","")</f>
        <v/>
      </c>
      <c r="Y1985" s="79" t="str">
        <f>IF(AND(OR(N1985="131",O1985="131"),H1985='131-CT'!$H$9),"x","")</f>
        <v/>
      </c>
      <c r="Z1985" s="79"/>
      <c r="AA1985" s="79" t="str">
        <f>IF(AND(MONTH(E1985)='IN-NX'!$J$5,'IN-NX'!$D$7=D1985),"x","")</f>
        <v/>
      </c>
      <c r="AB1985" s="79" t="str">
        <f>IF(AND(OR(LEFT(TH!N1985,2)="15",LEFT(TH!O1985,2)="15"),LEFT(TH!O1985,3)&lt;&gt;"111",'152-CT'!$J$8=TH!F1985),"x","")</f>
        <v/>
      </c>
      <c r="AC1985" s="79" t="str">
        <f>IF(AND(OR(LEFT(TH!N1985,2)="15",LEFT(TH!O1985,2)="15"),TK!$E$7=TH!F1985),"x","")</f>
        <v/>
      </c>
      <c r="AD1985" s="79" t="str">
        <f>IF(AND(N1985="1521",MONTH(C1985)='BK-NL'!$M$11),"x","")</f>
        <v/>
      </c>
    </row>
    <row r="1986" spans="1:30" ht="16.5" customHeight="1">
      <c r="A1986" s="318" t="str">
        <f>IF(B1986&lt;&gt;"",IF(AND(B1986='IN-TC'!$S$4,OR(TH!N1986="1111",TH!O1986="1111")),TH!D1986,""),"")</f>
        <v/>
      </c>
      <c r="B1986" s="60" t="str">
        <f t="shared" si="231"/>
        <v/>
      </c>
      <c r="C1986" s="974"/>
      <c r="D1986" s="301"/>
      <c r="E1986" s="974"/>
      <c r="F1986" s="77"/>
      <c r="G1986" s="976"/>
      <c r="H1986" s="305"/>
      <c r="I1986" s="383"/>
      <c r="J1986" s="977"/>
      <c r="K1986" s="383"/>
      <c r="L1986" s="390"/>
      <c r="M1986" s="978"/>
      <c r="N1986" s="979"/>
      <c r="O1986" s="979"/>
      <c r="P1986" s="79" t="str">
        <f>IF(AND('331-CT'!$E$7=TH!H1986,OR(N1986="331",O1986="331")),"x","")</f>
        <v/>
      </c>
      <c r="Q1986" s="79" t="str">
        <f>IF(AND(B1986='111'!$L$11,OR($N1986=$Q$7,$O1986=$Q$7)),"x","")</f>
        <v/>
      </c>
      <c r="R1986" s="79" t="str">
        <f>IF(AND($N1986=$Q$7,$B1986&lt;'111'!$L$11),"x","")</f>
        <v/>
      </c>
      <c r="S1986" s="79" t="str">
        <f>IF(AND($O1986=$Q$7,$B1986&lt;'111'!$L$11),"x","")</f>
        <v/>
      </c>
      <c r="T1986" s="79" t="str">
        <f>IF(ISERROR(FIND('112'!$M$9,G1986,1)),"",IF((AND(FIND('112'!$M$9,G1986,1)&gt;=1,B1986='112'!$K$9,OR($N1986='112'!$I$6,$O1986='112'!$I$6))),"x",""))</f>
        <v/>
      </c>
      <c r="U1986" s="79" t="str">
        <f>IF(ISERROR(FIND('112'!$M$9,G1986,1)),"",IF((AND(LEFT(G1986,2)=LEFT('112'!$M$9,2),B1986&lt;'112'!$K$9,$N1986='112'!$I$6)),"x",""))</f>
        <v/>
      </c>
      <c r="V1986" s="79" t="str">
        <f>IF(ISERROR(FIND('112'!$M$9,G1986,1)),"",IF((AND(RIGHT(G1986,2)=RIGHT('112'!$M$9,2),B1986&lt;'112'!$K$9,$O1986='112'!$I$6)),"x",""))</f>
        <v/>
      </c>
      <c r="W1986" s="79" t="str">
        <f>IF(AND('341-CT'!$H$9=H1986,OR(LEFT(N1986,3)=$W$7,LEFT(O1986,3)=$W$7)),"x","")</f>
        <v/>
      </c>
      <c r="X1986" s="79" t="str">
        <f>IF(OR(TH!N1986=TH!$X$7,O1986=TH!$X$7),"x","")</f>
        <v/>
      </c>
      <c r="Y1986" s="79" t="str">
        <f>IF(AND(OR(N1986="131",O1986="131"),H1986='131-CT'!$H$9),"x","")</f>
        <v/>
      </c>
      <c r="Z1986" s="79"/>
      <c r="AA1986" s="79" t="str">
        <f>IF(AND(MONTH(E1986)='IN-NX'!$J$5,'IN-NX'!$D$7=D1986),"x","")</f>
        <v/>
      </c>
      <c r="AB1986" s="79" t="str">
        <f>IF(AND(OR(LEFT(TH!N1986,2)="15",LEFT(TH!O1986,2)="15"),LEFT(TH!O1986,3)&lt;&gt;"111",'152-CT'!$J$8=TH!F1986),"x","")</f>
        <v/>
      </c>
      <c r="AC1986" s="79" t="str">
        <f>IF(AND(OR(LEFT(TH!N1986,2)="15",LEFT(TH!O1986,2)="15"),TK!$E$7=TH!F1986),"x","")</f>
        <v/>
      </c>
      <c r="AD1986" s="79" t="str">
        <f>IF(AND(N1986="1521",MONTH(C1986)='BK-NL'!$M$11),"x","")</f>
        <v/>
      </c>
    </row>
    <row r="1987" spans="1:30" ht="16.5" customHeight="1">
      <c r="A1987" s="318" t="str">
        <f>IF(B1987&lt;&gt;"",IF(AND(B1987='IN-TC'!$S$4,OR(TH!N1987="1111",TH!O1987="1111")),TH!D1987,""),"")</f>
        <v/>
      </c>
      <c r="B1987" s="60" t="str">
        <f t="shared" si="231"/>
        <v/>
      </c>
      <c r="C1987" s="981"/>
      <c r="D1987" s="301"/>
      <c r="E1987" s="981"/>
      <c r="F1987" s="1133"/>
      <c r="G1987" s="1130"/>
      <c r="H1987" s="982"/>
      <c r="I1987" s="984"/>
      <c r="J1987" s="983"/>
      <c r="K1987" s="984"/>
      <c r="L1987" s="983"/>
      <c r="M1987" s="985"/>
      <c r="N1987" s="986"/>
      <c r="O1987" s="986"/>
      <c r="P1987" s="79" t="str">
        <f>IF(AND('331-CT'!$E$7=TH!H1987,OR(N1987="331",O1987="331")),"x","")</f>
        <v/>
      </c>
      <c r="Q1987" s="79" t="str">
        <f>IF(AND(B1987='111'!$L$11,OR($N1987=$Q$7,$O1987=$Q$7)),"x","")</f>
        <v/>
      </c>
      <c r="R1987" s="79" t="str">
        <f>IF(AND($N1987=$Q$7,$B1987&lt;'111'!$L$11),"x","")</f>
        <v/>
      </c>
      <c r="S1987" s="79" t="str">
        <f>IF(AND($O1987=$Q$7,$B1987&lt;'111'!$L$11),"x","")</f>
        <v/>
      </c>
      <c r="T1987" s="79" t="str">
        <f>IF(ISERROR(FIND('112'!$M$9,G1987,1)),"",IF((AND(FIND('112'!$M$9,G1987,1)&gt;=1,B1987='112'!$K$9,OR($N1987='112'!$I$6,$O1987='112'!$I$6))),"x",""))</f>
        <v/>
      </c>
      <c r="U1987" s="79" t="str">
        <f>IF(ISERROR(FIND('112'!$M$9,G1987,1)),"",IF((AND(LEFT(G1987,2)=LEFT('112'!$M$9,2),B1987&lt;'112'!$K$9,$N1987='112'!$I$6)),"x",""))</f>
        <v/>
      </c>
      <c r="V1987" s="79" t="str">
        <f>IF(ISERROR(FIND('112'!$M$9,G1987,1)),"",IF((AND(RIGHT(G1987,2)=RIGHT('112'!$M$9,2),B1987&lt;'112'!$K$9,$O1987='112'!$I$6)),"x",""))</f>
        <v/>
      </c>
      <c r="W1987" s="79" t="str">
        <f>IF(AND('341-CT'!$H$9=H1987,OR(LEFT(N1987,3)=$W$7,LEFT(O1987,3)=$W$7)),"x","")</f>
        <v/>
      </c>
      <c r="X1987" s="79" t="str">
        <f>IF(OR(TH!N1987=TH!$X$7,O1987=TH!$X$7),"x","")</f>
        <v/>
      </c>
      <c r="Y1987" s="79" t="str">
        <f>IF(AND(OR(N1987="131",O1987="131"),H1987='131-CT'!$H$9),"x","")</f>
        <v/>
      </c>
      <c r="Z1987" s="79"/>
      <c r="AA1987" s="79" t="str">
        <f>IF(AND(MONTH(E1987)='IN-NX'!$J$5,'IN-NX'!$D$7=D1987),"x","")</f>
        <v/>
      </c>
      <c r="AB1987" s="79" t="str">
        <f>IF(AND(OR(LEFT(TH!N1987,2)="15",LEFT(TH!O1987,2)="15"),LEFT(TH!O1987,3)&lt;&gt;"111",'152-CT'!$J$8=TH!F1987),"x","")</f>
        <v/>
      </c>
      <c r="AC1987" s="79" t="str">
        <f>IF(AND(OR(LEFT(TH!N1987,2)="15",LEFT(TH!O1987,2)="15"),TK!$E$7=TH!F1987),"x","")</f>
        <v/>
      </c>
      <c r="AD1987" s="79" t="str">
        <f>IF(AND(N1987="1521",MONTH(C1987)='BK-NL'!$M$11),"x","")</f>
        <v/>
      </c>
    </row>
    <row r="1988" spans="1:30" ht="16.5" customHeight="1">
      <c r="A1988" s="318" t="str">
        <f>IF(B1988&lt;&gt;"",IF(AND(B1988='IN-TC'!$S$4,OR(TH!N1988="1111",TH!O1988="1111")),TH!D1988,""),"")</f>
        <v/>
      </c>
      <c r="B1988" s="60" t="str">
        <f t="shared" si="231"/>
        <v/>
      </c>
      <c r="C1988" s="301"/>
      <c r="D1988" s="301"/>
      <c r="E1988" s="301"/>
      <c r="F1988" s="302"/>
      <c r="G1988" s="968"/>
      <c r="H1988" s="69"/>
      <c r="I1988" s="385"/>
      <c r="J1988" s="969"/>
      <c r="K1988" s="385"/>
      <c r="L1988" s="392"/>
      <c r="M1988" s="970"/>
      <c r="N1988" s="304"/>
      <c r="O1988" s="304"/>
      <c r="P1988" s="79" t="str">
        <f>IF(AND('331-CT'!$E$7=TH!H1988,OR(N1988="331",O1988="331")),"x","")</f>
        <v/>
      </c>
      <c r="Q1988" s="79" t="str">
        <f>IF(AND(B1988='111'!$L$11,OR($N1988=$Q$7,$O1988=$Q$7)),"x","")</f>
        <v/>
      </c>
      <c r="R1988" s="79" t="str">
        <f>IF(AND($N1988=$Q$7,$B1988&lt;'111'!$L$11),"x","")</f>
        <v/>
      </c>
      <c r="S1988" s="79" t="str">
        <f>IF(AND($O1988=$Q$7,$B1988&lt;'111'!$L$11),"x","")</f>
        <v/>
      </c>
      <c r="T1988" s="79" t="str">
        <f>IF(ISERROR(FIND('112'!$M$9,G1988,1)),"",IF((AND(FIND('112'!$M$9,G1988,1)&gt;=1,B1988='112'!$K$9,OR($N1988='112'!$I$6,$O1988='112'!$I$6))),"x",""))</f>
        <v/>
      </c>
      <c r="U1988" s="79" t="str">
        <f>IF(ISERROR(FIND('112'!$M$9,G1988,1)),"",IF((AND(LEFT(G1988,2)=LEFT('112'!$M$9,2),B1988&lt;'112'!$K$9,$N1988='112'!$I$6)),"x",""))</f>
        <v/>
      </c>
      <c r="V1988" s="79" t="str">
        <f>IF(ISERROR(FIND('112'!$M$9,G1988,1)),"",IF((AND(RIGHT(G1988,2)=RIGHT('112'!$M$9,2),B1988&lt;'112'!$K$9,$O1988='112'!$I$6)),"x",""))</f>
        <v/>
      </c>
      <c r="W1988" s="79" t="str">
        <f>IF(AND('341-CT'!$H$9=H1988,OR(LEFT(N1988,3)=$W$7,LEFT(O1988,3)=$W$7)),"x","")</f>
        <v/>
      </c>
      <c r="X1988" s="79" t="str">
        <f>IF(OR(TH!N1988=TH!$X$7,O1988=TH!$X$7),"x","")</f>
        <v/>
      </c>
      <c r="Y1988" s="79" t="str">
        <f>IF(AND(OR(N1988="131",O1988="131"),H1988='131-CT'!$H$9),"x","")</f>
        <v/>
      </c>
      <c r="Z1988" s="79"/>
      <c r="AA1988" s="79" t="str">
        <f>IF(AND(MONTH(E1988)='IN-NX'!$J$5,'IN-NX'!$D$7=D1988),"x","")</f>
        <v/>
      </c>
      <c r="AB1988" s="79" t="str">
        <f>IF(AND(OR(LEFT(TH!N1988,2)="15",LEFT(TH!O1988,2)="15"),LEFT(TH!O1988,3)&lt;&gt;"111",'152-CT'!$J$8=TH!F1988),"x","")</f>
        <v/>
      </c>
      <c r="AC1988" s="79" t="str">
        <f>IF(AND(OR(LEFT(TH!N1988,2)="15",LEFT(TH!O1988,2)="15"),TK!$E$7=TH!F1988),"x","")</f>
        <v/>
      </c>
      <c r="AD1988" s="79" t="str">
        <f>IF(AND(N1988="1521",MONTH(C1988)='BK-NL'!$M$11),"x","")</f>
        <v/>
      </c>
    </row>
    <row r="1989" spans="1:30" ht="16.5" customHeight="1">
      <c r="A1989" s="318" t="str">
        <f>IF(B1989&lt;&gt;"",IF(AND(B1989='IN-TC'!$S$4,OR(TH!N1989="1111",TH!O1989="1111")),TH!D1989,""),"")</f>
        <v/>
      </c>
      <c r="B1989" s="60" t="str">
        <f t="shared" si="231"/>
        <v/>
      </c>
      <c r="C1989" s="301"/>
      <c r="D1989" s="301"/>
      <c r="E1989" s="301"/>
      <c r="F1989" s="302"/>
      <c r="G1989" s="968"/>
      <c r="H1989" s="69"/>
      <c r="I1989" s="385"/>
      <c r="J1989" s="969"/>
      <c r="K1989" s="385"/>
      <c r="L1989" s="392"/>
      <c r="M1989" s="970"/>
      <c r="N1989" s="304"/>
      <c r="O1989" s="304"/>
      <c r="P1989" s="79" t="str">
        <f>IF(AND('331-CT'!$E$7=TH!H1989,OR(N1989="331",O1989="331")),"x","")</f>
        <v/>
      </c>
      <c r="Q1989" s="79" t="str">
        <f>IF(AND(B1989='111'!$L$11,OR($N1989=$Q$7,$O1989=$Q$7)),"x","")</f>
        <v/>
      </c>
      <c r="R1989" s="79" t="str">
        <f>IF(AND($N1989=$Q$7,$B1989&lt;'111'!$L$11),"x","")</f>
        <v/>
      </c>
      <c r="S1989" s="79" t="str">
        <f>IF(AND($O1989=$Q$7,$B1989&lt;'111'!$L$11),"x","")</f>
        <v/>
      </c>
      <c r="T1989" s="79" t="str">
        <f>IF(ISERROR(FIND('112'!$M$9,G1989,1)),"",IF((AND(FIND('112'!$M$9,G1989,1)&gt;=1,B1989='112'!$K$9,OR($N1989='112'!$I$6,$O1989='112'!$I$6))),"x",""))</f>
        <v/>
      </c>
      <c r="U1989" s="79" t="str">
        <f>IF(ISERROR(FIND('112'!$M$9,G1989,1)),"",IF((AND(LEFT(G1989,2)=LEFT('112'!$M$9,2),B1989&lt;'112'!$K$9,$N1989='112'!$I$6)),"x",""))</f>
        <v/>
      </c>
      <c r="V1989" s="79" t="str">
        <f>IF(ISERROR(FIND('112'!$M$9,G1989,1)),"",IF((AND(RIGHT(G1989,2)=RIGHT('112'!$M$9,2),B1989&lt;'112'!$K$9,$O1989='112'!$I$6)),"x",""))</f>
        <v/>
      </c>
      <c r="W1989" s="79" t="str">
        <f>IF(AND('341-CT'!$H$9=H1989,OR(LEFT(N1989,3)=$W$7,LEFT(O1989,3)=$W$7)),"x","")</f>
        <v/>
      </c>
      <c r="X1989" s="79" t="str">
        <f>IF(OR(TH!N1989=TH!$X$7,O1989=TH!$X$7),"x","")</f>
        <v/>
      </c>
      <c r="Y1989" s="79" t="str">
        <f>IF(AND(OR(N1989="131",O1989="131"),H1989='131-CT'!$H$9),"x","")</f>
        <v/>
      </c>
      <c r="Z1989" s="79"/>
      <c r="AA1989" s="79" t="str">
        <f>IF(AND(MONTH(E1989)='IN-NX'!$J$5,'IN-NX'!$D$7=D1989),"x","")</f>
        <v/>
      </c>
      <c r="AB1989" s="79" t="str">
        <f>IF(AND(OR(LEFT(TH!N1989,2)="15",LEFT(TH!O1989,2)="15"),LEFT(TH!O1989,3)&lt;&gt;"111",'152-CT'!$J$8=TH!F1989),"x","")</f>
        <v/>
      </c>
      <c r="AC1989" s="79" t="str">
        <f>IF(AND(OR(LEFT(TH!N1989,2)="15",LEFT(TH!O1989,2)="15"),TK!$E$7=TH!F1989),"x","")</f>
        <v/>
      </c>
      <c r="AD1989" s="79" t="str">
        <f>IF(AND(N1989="1521",MONTH(C1989)='BK-NL'!$M$11),"x","")</f>
        <v/>
      </c>
    </row>
    <row r="1990" spans="1:30" ht="16.5" customHeight="1">
      <c r="A1990" s="318" t="str">
        <f>IF(B1990&lt;&gt;"",IF(AND(B1990='IN-TC'!$S$4,OR(TH!N1990="1111",TH!O1990="1111")),TH!D1990,""),"")</f>
        <v/>
      </c>
      <c r="B1990" s="60" t="str">
        <f t="shared" si="231"/>
        <v/>
      </c>
      <c r="C1990" s="301"/>
      <c r="D1990" s="301"/>
      <c r="E1990" s="301"/>
      <c r="F1990" s="302"/>
      <c r="G1990" s="968"/>
      <c r="H1990" s="69"/>
      <c r="I1990" s="385"/>
      <c r="J1990" s="969"/>
      <c r="K1990" s="385"/>
      <c r="L1990" s="392"/>
      <c r="M1990" s="970"/>
      <c r="N1990" s="304"/>
      <c r="O1990" s="304"/>
      <c r="P1990" s="79" t="str">
        <f>IF(AND('331-CT'!$E$7=TH!H1990,OR(N1990="331",O1990="331")),"x","")</f>
        <v/>
      </c>
      <c r="Q1990" s="79" t="str">
        <f>IF(AND(B1990='111'!$L$11,OR($N1990=$Q$7,$O1990=$Q$7)),"x","")</f>
        <v/>
      </c>
      <c r="R1990" s="79" t="str">
        <f>IF(AND($N1990=$Q$7,$B1990&lt;'111'!$L$11),"x","")</f>
        <v/>
      </c>
      <c r="S1990" s="79" t="str">
        <f>IF(AND($O1990=$Q$7,$B1990&lt;'111'!$L$11),"x","")</f>
        <v/>
      </c>
      <c r="T1990" s="79" t="str">
        <f>IF(ISERROR(FIND('112'!$M$9,G1990,1)),"",IF((AND(FIND('112'!$M$9,G1990,1)&gt;=1,B1990='112'!$K$9,OR($N1990='112'!$I$6,$O1990='112'!$I$6))),"x",""))</f>
        <v/>
      </c>
      <c r="U1990" s="79" t="str">
        <f>IF(ISERROR(FIND('112'!$M$9,G1990,1)),"",IF((AND(LEFT(G1990,2)=LEFT('112'!$M$9,2),B1990&lt;'112'!$K$9,$N1990='112'!$I$6)),"x",""))</f>
        <v/>
      </c>
      <c r="V1990" s="79" t="str">
        <f>IF(ISERROR(FIND('112'!$M$9,G1990,1)),"",IF((AND(RIGHT(G1990,2)=RIGHT('112'!$M$9,2),B1990&lt;'112'!$K$9,$O1990='112'!$I$6)),"x",""))</f>
        <v/>
      </c>
      <c r="W1990" s="79" t="str">
        <f>IF(AND('341-CT'!$H$9=H1990,OR(LEFT(N1990,3)=$W$7,LEFT(O1990,3)=$W$7)),"x","")</f>
        <v/>
      </c>
      <c r="X1990" s="79" t="str">
        <f>IF(OR(TH!N1990=TH!$X$7,O1990=TH!$X$7),"x","")</f>
        <v/>
      </c>
      <c r="Y1990" s="79" t="str">
        <f>IF(AND(OR(N1990="131",O1990="131"),H1990='131-CT'!$H$9),"x","")</f>
        <v/>
      </c>
      <c r="Z1990" s="79"/>
      <c r="AA1990" s="79" t="str">
        <f>IF(AND(MONTH(E1990)='IN-NX'!$J$5,'IN-NX'!$D$7=D1990),"x","")</f>
        <v/>
      </c>
      <c r="AB1990" s="79" t="str">
        <f>IF(AND(OR(LEFT(TH!N1990,2)="15",LEFT(TH!O1990,2)="15"),LEFT(TH!O1990,3)&lt;&gt;"111",'152-CT'!$J$8=TH!F1990),"x","")</f>
        <v/>
      </c>
      <c r="AC1990" s="79" t="str">
        <f>IF(AND(OR(LEFT(TH!N1990,2)="15",LEFT(TH!O1990,2)="15"),TK!$E$7=TH!F1990),"x","")</f>
        <v/>
      </c>
      <c r="AD1990" s="79" t="str">
        <f>IF(AND(N1990="1521",MONTH(C1990)='BK-NL'!$M$11),"x","")</f>
        <v/>
      </c>
    </row>
    <row r="1991" spans="1:30" ht="16.5" customHeight="1">
      <c r="A1991" s="318" t="str">
        <f>IF(B1991&lt;&gt;"",IF(AND(B1991='IN-TC'!$S$4,OR(TH!N1991="1111",TH!O1991="1111")),TH!D1991,""),"")</f>
        <v/>
      </c>
      <c r="B1991" s="60" t="str">
        <f t="shared" si="231"/>
        <v/>
      </c>
      <c r="C1991" s="301"/>
      <c r="D1991" s="301"/>
      <c r="E1991" s="301"/>
      <c r="F1991" s="302"/>
      <c r="G1991" s="968"/>
      <c r="H1991" s="69"/>
      <c r="I1991" s="385"/>
      <c r="J1991" s="969"/>
      <c r="K1991" s="385"/>
      <c r="L1991" s="392"/>
      <c r="M1991" s="970"/>
      <c r="N1991" s="304"/>
      <c r="O1991" s="304"/>
      <c r="P1991" s="79" t="str">
        <f>IF(AND('331-CT'!$E$7=TH!H1991,OR(N1991="331",O1991="331")),"x","")</f>
        <v/>
      </c>
      <c r="Q1991" s="79" t="str">
        <f>IF(AND(B1991='111'!$L$11,OR($N1991=$Q$7,$O1991=$Q$7)),"x","")</f>
        <v/>
      </c>
      <c r="R1991" s="79" t="str">
        <f>IF(AND($N1991=$Q$7,$B1991&lt;'111'!$L$11),"x","")</f>
        <v/>
      </c>
      <c r="S1991" s="79" t="str">
        <f>IF(AND($O1991=$Q$7,$B1991&lt;'111'!$L$11),"x","")</f>
        <v/>
      </c>
      <c r="T1991" s="79" t="str">
        <f>IF(ISERROR(FIND('112'!$M$9,G1991,1)),"",IF((AND(FIND('112'!$M$9,G1991,1)&gt;=1,B1991='112'!$K$9,OR($N1991='112'!$I$6,$O1991='112'!$I$6))),"x",""))</f>
        <v/>
      </c>
      <c r="U1991" s="79" t="str">
        <f>IF(ISERROR(FIND('112'!$M$9,G1991,1)),"",IF((AND(LEFT(G1991,2)=LEFT('112'!$M$9,2),B1991&lt;'112'!$K$9,$N1991='112'!$I$6)),"x",""))</f>
        <v/>
      </c>
      <c r="V1991" s="79" t="str">
        <f>IF(ISERROR(FIND('112'!$M$9,G1991,1)),"",IF((AND(RIGHT(G1991,2)=RIGHT('112'!$M$9,2),B1991&lt;'112'!$K$9,$O1991='112'!$I$6)),"x",""))</f>
        <v/>
      </c>
      <c r="W1991" s="79" t="str">
        <f>IF(AND('341-CT'!$H$9=H1991,OR(LEFT(N1991,3)=$W$7,LEFT(O1991,3)=$W$7)),"x","")</f>
        <v/>
      </c>
      <c r="X1991" s="79" t="str">
        <f>IF(OR(TH!N1991=TH!$X$7,O1991=TH!$X$7),"x","")</f>
        <v/>
      </c>
      <c r="Y1991" s="79" t="str">
        <f>IF(AND(OR(N1991="131",O1991="131"),H1991='131-CT'!$H$9),"x","")</f>
        <v/>
      </c>
      <c r="Z1991" s="79"/>
      <c r="AA1991" s="79" t="str">
        <f>IF(AND(MONTH(E1991)='IN-NX'!$J$5,'IN-NX'!$D$7=D1991),"x","")</f>
        <v/>
      </c>
      <c r="AB1991" s="79" t="str">
        <f>IF(AND(OR(LEFT(TH!N1991,2)="15",LEFT(TH!O1991,2)="15"),LEFT(TH!O1991,3)&lt;&gt;"111",'152-CT'!$J$8=TH!F1991),"x","")</f>
        <v/>
      </c>
      <c r="AC1991" s="79" t="str">
        <f>IF(AND(OR(LEFT(TH!N1991,2)="15",LEFT(TH!O1991,2)="15"),TK!$E$7=TH!F1991),"x","")</f>
        <v/>
      </c>
      <c r="AD1991" s="79" t="str">
        <f>IF(AND(N1991="1521",MONTH(C1991)='BK-NL'!$M$11),"x","")</f>
        <v/>
      </c>
    </row>
    <row r="1992" spans="1:30" ht="16.5" customHeight="1">
      <c r="A1992" s="318" t="str">
        <f>IF(B1992&lt;&gt;"",IF(AND(B1992='IN-TC'!$S$4,OR(TH!N1992="1111",TH!O1992="1111")),TH!D1992,""),"")</f>
        <v/>
      </c>
      <c r="B1992" s="60" t="str">
        <f t="shared" si="231"/>
        <v/>
      </c>
      <c r="C1992" s="301"/>
      <c r="D1992" s="301"/>
      <c r="E1992" s="301"/>
      <c r="F1992" s="302"/>
      <c r="G1992" s="968"/>
      <c r="H1992" s="69"/>
      <c r="I1992" s="385"/>
      <c r="J1992" s="969"/>
      <c r="K1992" s="385"/>
      <c r="L1992" s="392"/>
      <c r="M1992" s="970"/>
      <c r="N1992" s="304"/>
      <c r="O1992" s="304"/>
      <c r="P1992" s="79" t="str">
        <f>IF(AND('331-CT'!$E$7=TH!H1992,OR(N1992="331",O1992="331")),"x","")</f>
        <v/>
      </c>
      <c r="Q1992" s="79" t="str">
        <f>IF(AND(B1992='111'!$L$11,OR($N1992=$Q$7,$O1992=$Q$7)),"x","")</f>
        <v/>
      </c>
      <c r="R1992" s="79" t="str">
        <f>IF(AND($N1992=$Q$7,$B1992&lt;'111'!$L$11),"x","")</f>
        <v/>
      </c>
      <c r="S1992" s="79" t="str">
        <f>IF(AND($O1992=$Q$7,$B1992&lt;'111'!$L$11),"x","")</f>
        <v/>
      </c>
      <c r="T1992" s="79" t="str">
        <f>IF(ISERROR(FIND('112'!$M$9,G1992,1)),"",IF((AND(FIND('112'!$M$9,G1992,1)&gt;=1,B1992='112'!$K$9,OR($N1992='112'!$I$6,$O1992='112'!$I$6))),"x",""))</f>
        <v/>
      </c>
      <c r="U1992" s="79" t="str">
        <f>IF(ISERROR(FIND('112'!$M$9,G1992,1)),"",IF((AND(LEFT(G1992,2)=LEFT('112'!$M$9,2),B1992&lt;'112'!$K$9,$N1992='112'!$I$6)),"x",""))</f>
        <v/>
      </c>
      <c r="V1992" s="79" t="str">
        <f>IF(ISERROR(FIND('112'!$M$9,G1992,1)),"",IF((AND(RIGHT(G1992,2)=RIGHT('112'!$M$9,2),B1992&lt;'112'!$K$9,$O1992='112'!$I$6)),"x",""))</f>
        <v/>
      </c>
      <c r="W1992" s="79" t="str">
        <f>IF(AND('341-CT'!$H$9=H1992,OR(LEFT(N1992,3)=$W$7,LEFT(O1992,3)=$W$7)),"x","")</f>
        <v/>
      </c>
      <c r="X1992" s="79" t="str">
        <f>IF(OR(TH!N1992=TH!$X$7,O1992=TH!$X$7),"x","")</f>
        <v/>
      </c>
      <c r="Y1992" s="79" t="str">
        <f>IF(AND(OR(N1992="131",O1992="131"),H1992='131-CT'!$H$9),"x","")</f>
        <v/>
      </c>
      <c r="Z1992" s="79"/>
      <c r="AA1992" s="79" t="str">
        <f>IF(AND(MONTH(E1992)='IN-NX'!$J$5,'IN-NX'!$D$7=D1992),"x","")</f>
        <v/>
      </c>
      <c r="AB1992" s="79" t="str">
        <f>IF(AND(OR(LEFT(TH!N1992,2)="15",LEFT(TH!O1992,2)="15"),LEFT(TH!O1992,3)&lt;&gt;"111",'152-CT'!$J$8=TH!F1992),"x","")</f>
        <v/>
      </c>
      <c r="AC1992" s="79" t="str">
        <f>IF(AND(OR(LEFT(TH!N1992,2)="15",LEFT(TH!O1992,2)="15"),TK!$E$7=TH!F1992),"x","")</f>
        <v/>
      </c>
      <c r="AD1992" s="79" t="str">
        <f>IF(AND(N1992="1521",MONTH(C1992)='BK-NL'!$M$11),"x","")</f>
        <v/>
      </c>
    </row>
    <row r="1993" spans="1:30" ht="16.5" customHeight="1">
      <c r="A1993" s="318" t="str">
        <f>IF(B1993&lt;&gt;"",IF(AND(B1993='IN-TC'!$S$4,OR(TH!N1993="1111",TH!O1993="1111")),TH!D1993,""),"")</f>
        <v/>
      </c>
      <c r="B1993" s="60" t="str">
        <f t="shared" si="231"/>
        <v/>
      </c>
      <c r="C1993" s="301"/>
      <c r="D1993" s="301"/>
      <c r="E1993" s="301"/>
      <c r="F1993" s="302"/>
      <c r="G1993" s="968"/>
      <c r="H1993" s="69"/>
      <c r="I1993" s="385"/>
      <c r="J1993" s="969"/>
      <c r="K1993" s="385"/>
      <c r="L1993" s="392"/>
      <c r="M1993" s="970"/>
      <c r="N1993" s="304"/>
      <c r="O1993" s="304"/>
      <c r="P1993" s="79" t="str">
        <f>IF(AND('331-CT'!$E$7=TH!H1993,OR(N1993="331",O1993="331")),"x","")</f>
        <v/>
      </c>
      <c r="Q1993" s="79" t="str">
        <f>IF(AND(B1993='111'!$L$11,OR($N1993=$Q$7,$O1993=$Q$7)),"x","")</f>
        <v/>
      </c>
      <c r="R1993" s="79" t="str">
        <f>IF(AND($N1993=$Q$7,$B1993&lt;'111'!$L$11),"x","")</f>
        <v/>
      </c>
      <c r="S1993" s="79" t="str">
        <f>IF(AND($O1993=$Q$7,$B1993&lt;'111'!$L$11),"x","")</f>
        <v/>
      </c>
      <c r="T1993" s="79" t="str">
        <f>IF(ISERROR(FIND('112'!$M$9,G1993,1)),"",IF((AND(FIND('112'!$M$9,G1993,1)&gt;=1,B1993='112'!$K$9,OR($N1993='112'!$I$6,$O1993='112'!$I$6))),"x",""))</f>
        <v/>
      </c>
      <c r="U1993" s="79" t="str">
        <f>IF(ISERROR(FIND('112'!$M$9,G1993,1)),"",IF((AND(LEFT(G1993,2)=LEFT('112'!$M$9,2),B1993&lt;'112'!$K$9,$N1993='112'!$I$6)),"x",""))</f>
        <v/>
      </c>
      <c r="V1993" s="79" t="str">
        <f>IF(ISERROR(FIND('112'!$M$9,G1993,1)),"",IF((AND(RIGHT(G1993,2)=RIGHT('112'!$M$9,2),B1993&lt;'112'!$K$9,$O1993='112'!$I$6)),"x",""))</f>
        <v/>
      </c>
      <c r="W1993" s="79" t="str">
        <f>IF(AND('341-CT'!$H$9=H1993,OR(LEFT(N1993,3)=$W$7,LEFT(O1993,3)=$W$7)),"x","")</f>
        <v/>
      </c>
      <c r="X1993" s="79" t="str">
        <f>IF(OR(TH!N1993=TH!$X$7,O1993=TH!$X$7),"x","")</f>
        <v/>
      </c>
      <c r="Y1993" s="79" t="str">
        <f>IF(AND(OR(N1993="131",O1993="131"),H1993='131-CT'!$H$9),"x","")</f>
        <v/>
      </c>
      <c r="Z1993" s="79"/>
      <c r="AA1993" s="79" t="str">
        <f>IF(AND(MONTH(E1993)='IN-NX'!$J$5,'IN-NX'!$D$7=D1993),"x","")</f>
        <v/>
      </c>
      <c r="AB1993" s="79" t="str">
        <f>IF(AND(OR(LEFT(TH!N1993,2)="15",LEFT(TH!O1993,2)="15"),LEFT(TH!O1993,3)&lt;&gt;"111",'152-CT'!$J$8=TH!F1993),"x","")</f>
        <v/>
      </c>
      <c r="AC1993" s="79" t="str">
        <f>IF(AND(OR(LEFT(TH!N1993,2)="15",LEFT(TH!O1993,2)="15"),TK!$E$7=TH!F1993),"x","")</f>
        <v/>
      </c>
      <c r="AD1993" s="79" t="str">
        <f>IF(AND(N1993="1521",MONTH(C1993)='BK-NL'!$M$11),"x","")</f>
        <v/>
      </c>
    </row>
    <row r="1994" spans="1:30" ht="16.5" customHeight="1">
      <c r="A1994" s="318" t="str">
        <f>IF(B1994&lt;&gt;"",IF(AND(B1994='IN-TC'!$S$4,OR(TH!N1994="1111",TH!O1994="1111")),TH!D1994,""),"")</f>
        <v/>
      </c>
      <c r="B1994" s="60" t="str">
        <f t="shared" si="231"/>
        <v/>
      </c>
      <c r="C1994" s="301"/>
      <c r="D1994" s="301"/>
      <c r="E1994" s="301"/>
      <c r="F1994" s="302"/>
      <c r="G1994" s="968"/>
      <c r="H1994" s="69"/>
      <c r="I1994" s="385"/>
      <c r="J1994" s="969"/>
      <c r="K1994" s="385"/>
      <c r="L1994" s="392"/>
      <c r="M1994" s="970"/>
      <c r="N1994" s="304"/>
      <c r="O1994" s="304"/>
      <c r="P1994" s="79" t="str">
        <f>IF(AND('331-CT'!$E$7=TH!H1994,OR(N1994="331",O1994="331")),"x","")</f>
        <v/>
      </c>
      <c r="Q1994" s="79" t="str">
        <f>IF(AND(B1994='111'!$L$11,OR($N1994=$Q$7,$O1994=$Q$7)),"x","")</f>
        <v/>
      </c>
      <c r="R1994" s="79" t="str">
        <f>IF(AND($N1994=$Q$7,$B1994&lt;'111'!$L$11),"x","")</f>
        <v/>
      </c>
      <c r="S1994" s="79" t="str">
        <f>IF(AND($O1994=$Q$7,$B1994&lt;'111'!$L$11),"x","")</f>
        <v/>
      </c>
      <c r="T1994" s="79" t="str">
        <f>IF(ISERROR(FIND('112'!$M$9,G1994,1)),"",IF((AND(FIND('112'!$M$9,G1994,1)&gt;=1,B1994='112'!$K$9,OR($N1994='112'!$I$6,$O1994='112'!$I$6))),"x",""))</f>
        <v/>
      </c>
      <c r="U1994" s="79" t="str">
        <f>IF(ISERROR(FIND('112'!$M$9,G1994,1)),"",IF((AND(LEFT(G1994,2)=LEFT('112'!$M$9,2),B1994&lt;'112'!$K$9,$N1994='112'!$I$6)),"x",""))</f>
        <v/>
      </c>
      <c r="V1994" s="79" t="str">
        <f>IF(ISERROR(FIND('112'!$M$9,G1994,1)),"",IF((AND(RIGHT(G1994,2)=RIGHT('112'!$M$9,2),B1994&lt;'112'!$K$9,$O1994='112'!$I$6)),"x",""))</f>
        <v/>
      </c>
      <c r="W1994" s="79" t="str">
        <f>IF(AND('341-CT'!$H$9=H1994,OR(LEFT(N1994,3)=$W$7,LEFT(O1994,3)=$W$7)),"x","")</f>
        <v/>
      </c>
      <c r="X1994" s="79" t="str">
        <f>IF(OR(TH!N1994=TH!$X$7,O1994=TH!$X$7),"x","")</f>
        <v/>
      </c>
      <c r="Y1994" s="79" t="str">
        <f>IF(AND(OR(N1994="131",O1994="131"),H1994='131-CT'!$H$9),"x","")</f>
        <v/>
      </c>
      <c r="Z1994" s="79"/>
      <c r="AA1994" s="79" t="str">
        <f>IF(AND(MONTH(E1994)='IN-NX'!$J$5,'IN-NX'!$D$7=D1994),"x","")</f>
        <v/>
      </c>
      <c r="AB1994" s="79" t="str">
        <f>IF(AND(OR(LEFT(TH!N1994,2)="15",LEFT(TH!O1994,2)="15"),LEFT(TH!O1994,3)&lt;&gt;"111",'152-CT'!$J$8=TH!F1994),"x","")</f>
        <v/>
      </c>
      <c r="AC1994" s="79" t="str">
        <f>IF(AND(OR(LEFT(TH!N1994,2)="15",LEFT(TH!O1994,2)="15"),TK!$E$7=TH!F1994),"x","")</f>
        <v/>
      </c>
      <c r="AD1994" s="79" t="str">
        <f>IF(AND(N1994="1521",MONTH(C1994)='BK-NL'!$M$11),"x","")</f>
        <v/>
      </c>
    </row>
    <row r="1995" spans="1:30" ht="16.5" customHeight="1">
      <c r="A1995" s="318" t="str">
        <f>IF(B1995&lt;&gt;"",IF(AND(B1995='IN-TC'!$S$4,OR(TH!N1995="1111",TH!O1995="1111")),TH!D1995,""),"")</f>
        <v/>
      </c>
      <c r="B1995" s="60" t="str">
        <f t="shared" si="231"/>
        <v/>
      </c>
      <c r="C1995" s="301"/>
      <c r="D1995" s="301"/>
      <c r="E1995" s="301"/>
      <c r="F1995" s="302"/>
      <c r="G1995" s="968"/>
      <c r="H1995" s="69"/>
      <c r="I1995" s="385"/>
      <c r="J1995" s="969"/>
      <c r="K1995" s="385"/>
      <c r="L1995" s="392"/>
      <c r="M1995" s="970"/>
      <c r="N1995" s="304"/>
      <c r="O1995" s="304"/>
      <c r="P1995" s="79" t="str">
        <f>IF(AND('331-CT'!$E$7=TH!H1995,OR(N1995="331",O1995="331")),"x","")</f>
        <v/>
      </c>
      <c r="Q1995" s="79" t="str">
        <f>IF(AND(B1995='111'!$L$11,OR($N1995=$Q$7,$O1995=$Q$7)),"x","")</f>
        <v/>
      </c>
      <c r="R1995" s="79" t="str">
        <f>IF(AND($N1995=$Q$7,$B1995&lt;'111'!$L$11),"x","")</f>
        <v/>
      </c>
      <c r="S1995" s="79" t="str">
        <f>IF(AND($O1995=$Q$7,$B1995&lt;'111'!$L$11),"x","")</f>
        <v/>
      </c>
      <c r="T1995" s="79" t="str">
        <f>IF(ISERROR(FIND('112'!$M$9,G1995,1)),"",IF((AND(FIND('112'!$M$9,G1995,1)&gt;=1,B1995='112'!$K$9,OR($N1995='112'!$I$6,$O1995='112'!$I$6))),"x",""))</f>
        <v/>
      </c>
      <c r="U1995" s="79" t="str">
        <f>IF(ISERROR(FIND('112'!$M$9,G1995,1)),"",IF((AND(LEFT(G1995,2)=LEFT('112'!$M$9,2),B1995&lt;'112'!$K$9,$N1995='112'!$I$6)),"x",""))</f>
        <v/>
      </c>
      <c r="V1995" s="79" t="str">
        <f>IF(ISERROR(FIND('112'!$M$9,G1995,1)),"",IF((AND(RIGHT(G1995,2)=RIGHT('112'!$M$9,2),B1995&lt;'112'!$K$9,$O1995='112'!$I$6)),"x",""))</f>
        <v/>
      </c>
      <c r="W1995" s="79" t="str">
        <f>IF(AND('341-CT'!$H$9=H1995,OR(LEFT(N1995,3)=$W$7,LEFT(O1995,3)=$W$7)),"x","")</f>
        <v/>
      </c>
      <c r="X1995" s="79" t="str">
        <f>IF(OR(TH!N1995=TH!$X$7,O1995=TH!$X$7),"x","")</f>
        <v/>
      </c>
      <c r="Y1995" s="79" t="str">
        <f>IF(AND(OR(N1995="131",O1995="131"),H1995='131-CT'!$H$9),"x","")</f>
        <v/>
      </c>
      <c r="Z1995" s="79"/>
      <c r="AA1995" s="79" t="str">
        <f>IF(AND(MONTH(E1995)='IN-NX'!$J$5,'IN-NX'!$D$7=D1995),"x","")</f>
        <v/>
      </c>
      <c r="AB1995" s="79" t="str">
        <f>IF(AND(OR(LEFT(TH!N1995,2)="15",LEFT(TH!O1995,2)="15"),LEFT(TH!O1995,3)&lt;&gt;"111",'152-CT'!$J$8=TH!F1995),"x","")</f>
        <v/>
      </c>
      <c r="AC1995" s="79" t="str">
        <f>IF(AND(OR(LEFT(TH!N1995,2)="15",LEFT(TH!O1995,2)="15"),TK!$E$7=TH!F1995),"x","")</f>
        <v/>
      </c>
      <c r="AD1995" s="79" t="str">
        <f>IF(AND(N1995="1521",MONTH(C1995)='BK-NL'!$M$11),"x","")</f>
        <v/>
      </c>
    </row>
    <row r="1996" spans="1:30" ht="16.5" customHeight="1">
      <c r="A1996" s="318" t="str">
        <f>IF(B1996&lt;&gt;"",IF(AND(B1996='IN-TC'!$S$4,OR(TH!N1996="1111",TH!O1996="1111")),TH!D1996,""),"")</f>
        <v/>
      </c>
      <c r="B1996" s="60" t="str">
        <f t="shared" si="231"/>
        <v/>
      </c>
      <c r="C1996" s="301"/>
      <c r="D1996" s="301"/>
      <c r="E1996" s="301"/>
      <c r="F1996" s="302"/>
      <c r="G1996" s="968"/>
      <c r="H1996" s="69"/>
      <c r="I1996" s="385"/>
      <c r="J1996" s="969"/>
      <c r="K1996" s="385"/>
      <c r="L1996" s="392"/>
      <c r="M1996" s="970"/>
      <c r="N1996" s="304"/>
      <c r="O1996" s="304"/>
      <c r="P1996" s="79" t="str">
        <f>IF(AND('331-CT'!$E$7=TH!H1996,OR(N1996="331",O1996="331")),"x","")</f>
        <v/>
      </c>
      <c r="Q1996" s="79" t="str">
        <f>IF(AND(B1996='111'!$L$11,OR($N1996=$Q$7,$O1996=$Q$7)),"x","")</f>
        <v/>
      </c>
      <c r="R1996" s="79" t="str">
        <f>IF(AND($N1996=$Q$7,$B1996&lt;'111'!$L$11),"x","")</f>
        <v/>
      </c>
      <c r="S1996" s="79" t="str">
        <f>IF(AND($O1996=$Q$7,$B1996&lt;'111'!$L$11),"x","")</f>
        <v/>
      </c>
      <c r="T1996" s="79" t="str">
        <f>IF(ISERROR(FIND('112'!$M$9,G1996,1)),"",IF((AND(FIND('112'!$M$9,G1996,1)&gt;=1,B1996='112'!$K$9,OR($N1996='112'!$I$6,$O1996='112'!$I$6))),"x",""))</f>
        <v/>
      </c>
      <c r="U1996" s="79" t="str">
        <f>IF(ISERROR(FIND('112'!$M$9,G1996,1)),"",IF((AND(LEFT(G1996,2)=LEFT('112'!$M$9,2),B1996&lt;'112'!$K$9,$N1996='112'!$I$6)),"x",""))</f>
        <v/>
      </c>
      <c r="V1996" s="79" t="str">
        <f>IF(ISERROR(FIND('112'!$M$9,G1996,1)),"",IF((AND(RIGHT(G1996,2)=RIGHT('112'!$M$9,2),B1996&lt;'112'!$K$9,$O1996='112'!$I$6)),"x",""))</f>
        <v/>
      </c>
      <c r="W1996" s="79" t="str">
        <f>IF(AND('341-CT'!$H$9=H1996,OR(LEFT(N1996,3)=$W$7,LEFT(O1996,3)=$W$7)),"x","")</f>
        <v/>
      </c>
      <c r="X1996" s="79" t="str">
        <f>IF(OR(TH!N1996=TH!$X$7,O1996=TH!$X$7),"x","")</f>
        <v/>
      </c>
      <c r="Y1996" s="79" t="str">
        <f>IF(AND(OR(N1996="131",O1996="131"),H1996='131-CT'!$H$9),"x","")</f>
        <v/>
      </c>
      <c r="Z1996" s="79"/>
      <c r="AA1996" s="79" t="str">
        <f>IF(AND(MONTH(E1996)='IN-NX'!$J$5,'IN-NX'!$D$7=D1996),"x","")</f>
        <v/>
      </c>
      <c r="AB1996" s="79" t="str">
        <f>IF(AND(OR(LEFT(TH!N1996,2)="15",LEFT(TH!O1996,2)="15"),LEFT(TH!O1996,3)&lt;&gt;"111",'152-CT'!$J$8=TH!F1996),"x","")</f>
        <v/>
      </c>
      <c r="AC1996" s="79" t="str">
        <f>IF(AND(OR(LEFT(TH!N1996,2)="15",LEFT(TH!O1996,2)="15"),TK!$E$7=TH!F1996),"x","")</f>
        <v/>
      </c>
      <c r="AD1996" s="79" t="str">
        <f>IF(AND(N1996="1521",MONTH(C1996)='BK-NL'!$M$11),"x","")</f>
        <v/>
      </c>
    </row>
    <row r="1997" spans="1:30" ht="16.5" customHeight="1">
      <c r="A1997" s="318" t="str">
        <f>IF(B1997&lt;&gt;"",IF(AND(B1997='IN-TC'!$S$4,OR(TH!N1997="1111",TH!O1997="1111")),TH!D1997,""),"")</f>
        <v/>
      </c>
      <c r="B1997" s="60" t="str">
        <f t="shared" si="231"/>
        <v/>
      </c>
      <c r="C1997" s="301"/>
      <c r="D1997" s="301"/>
      <c r="E1997" s="301"/>
      <c r="F1997" s="302"/>
      <c r="G1997" s="968"/>
      <c r="H1997" s="69"/>
      <c r="I1997" s="385"/>
      <c r="J1997" s="969"/>
      <c r="K1997" s="385"/>
      <c r="L1997" s="392"/>
      <c r="M1997" s="970"/>
      <c r="N1997" s="304"/>
      <c r="O1997" s="304"/>
      <c r="P1997" s="79" t="str">
        <f>IF(AND('331-CT'!$E$7=TH!H1997,OR(N1997="331",O1997="331")),"x","")</f>
        <v/>
      </c>
      <c r="Q1997" s="79" t="str">
        <f>IF(AND(B1997='111'!$L$11,OR($N1997=$Q$7,$O1997=$Q$7)),"x","")</f>
        <v/>
      </c>
      <c r="R1997" s="79" t="str">
        <f>IF(AND($N1997=$Q$7,$B1997&lt;'111'!$L$11),"x","")</f>
        <v/>
      </c>
      <c r="S1997" s="79" t="str">
        <f>IF(AND($O1997=$Q$7,$B1997&lt;'111'!$L$11),"x","")</f>
        <v/>
      </c>
      <c r="T1997" s="79" t="str">
        <f>IF(ISERROR(FIND('112'!$M$9,G1997,1)),"",IF((AND(FIND('112'!$M$9,G1997,1)&gt;=1,B1997='112'!$K$9,OR($N1997='112'!$I$6,$O1997='112'!$I$6))),"x",""))</f>
        <v/>
      </c>
      <c r="U1997" s="79" t="str">
        <f>IF(ISERROR(FIND('112'!$M$9,G1997,1)),"",IF((AND(LEFT(G1997,2)=LEFT('112'!$M$9,2),B1997&lt;'112'!$K$9,$N1997='112'!$I$6)),"x",""))</f>
        <v/>
      </c>
      <c r="V1997" s="79" t="str">
        <f>IF(ISERROR(FIND('112'!$M$9,G1997,1)),"",IF((AND(RIGHT(G1997,2)=RIGHT('112'!$M$9,2),B1997&lt;'112'!$K$9,$O1997='112'!$I$6)),"x",""))</f>
        <v/>
      </c>
      <c r="W1997" s="79" t="str">
        <f>IF(AND('341-CT'!$H$9=H1997,OR(LEFT(N1997,3)=$W$7,LEFT(O1997,3)=$W$7)),"x","")</f>
        <v/>
      </c>
      <c r="X1997" s="79" t="str">
        <f>IF(OR(TH!N1997=TH!$X$7,O1997=TH!$X$7),"x","")</f>
        <v/>
      </c>
      <c r="Y1997" s="79" t="str">
        <f>IF(AND(OR(N1997="131",O1997="131"),H1997='131-CT'!$H$9),"x","")</f>
        <v/>
      </c>
      <c r="Z1997" s="79"/>
      <c r="AA1997" s="79" t="str">
        <f>IF(AND(MONTH(E1997)='IN-NX'!$J$5,'IN-NX'!$D$7=D1997),"x","")</f>
        <v/>
      </c>
      <c r="AB1997" s="79" t="str">
        <f>IF(AND(OR(LEFT(TH!N1997,2)="15",LEFT(TH!O1997,2)="15"),LEFT(TH!O1997,3)&lt;&gt;"111",'152-CT'!$J$8=TH!F1997),"x","")</f>
        <v/>
      </c>
      <c r="AC1997" s="79" t="str">
        <f>IF(AND(OR(LEFT(TH!N1997,2)="15",LEFT(TH!O1997,2)="15"),TK!$E$7=TH!F1997),"x","")</f>
        <v/>
      </c>
      <c r="AD1997" s="79" t="str">
        <f>IF(AND(N1997="1521",MONTH(C1997)='BK-NL'!$M$11),"x","")</f>
        <v/>
      </c>
    </row>
    <row r="1998" spans="1:30" ht="16.5" customHeight="1">
      <c r="A1998" s="318" t="str">
        <f>IF(B1998&lt;&gt;"",IF(AND(B1998='IN-TC'!$S$4,OR(TH!N1998="1111",TH!O1998="1111")),TH!D1998,""),"")</f>
        <v/>
      </c>
      <c r="B1998" s="60" t="str">
        <f t="shared" si="231"/>
        <v/>
      </c>
      <c r="C1998" s="301"/>
      <c r="D1998" s="301"/>
      <c r="E1998" s="301"/>
      <c r="F1998" s="302"/>
      <c r="G1998" s="968"/>
      <c r="H1998" s="69"/>
      <c r="I1998" s="385"/>
      <c r="J1998" s="969"/>
      <c r="K1998" s="385"/>
      <c r="L1998" s="392"/>
      <c r="M1998" s="970"/>
      <c r="N1998" s="304"/>
      <c r="O1998" s="304"/>
      <c r="P1998" s="79" t="str">
        <f>IF(AND('331-CT'!$E$7=TH!H1998,OR(N1998="331",O1998="331")),"x","")</f>
        <v/>
      </c>
      <c r="Q1998" s="79" t="str">
        <f>IF(AND(B1998='111'!$L$11,OR($N1998=$Q$7,$O1998=$Q$7)),"x","")</f>
        <v/>
      </c>
      <c r="R1998" s="79" t="str">
        <f>IF(AND($N1998=$Q$7,$B1998&lt;'111'!$L$11),"x","")</f>
        <v/>
      </c>
      <c r="S1998" s="79" t="str">
        <f>IF(AND($O1998=$Q$7,$B1998&lt;'111'!$L$11),"x","")</f>
        <v/>
      </c>
      <c r="T1998" s="79" t="str">
        <f>IF(ISERROR(FIND('112'!$M$9,G1998,1)),"",IF((AND(FIND('112'!$M$9,G1998,1)&gt;=1,B1998='112'!$K$9,OR($N1998='112'!$I$6,$O1998='112'!$I$6))),"x",""))</f>
        <v/>
      </c>
      <c r="U1998" s="79" t="str">
        <f>IF(ISERROR(FIND('112'!$M$9,G1998,1)),"",IF((AND(LEFT(G1998,2)=LEFT('112'!$M$9,2),B1998&lt;'112'!$K$9,$N1998='112'!$I$6)),"x",""))</f>
        <v/>
      </c>
      <c r="V1998" s="79" t="str">
        <f>IF(ISERROR(FIND('112'!$M$9,G1998,1)),"",IF((AND(RIGHT(G1998,2)=RIGHT('112'!$M$9,2),B1998&lt;'112'!$K$9,$O1998='112'!$I$6)),"x",""))</f>
        <v/>
      </c>
      <c r="W1998" s="79" t="str">
        <f>IF(AND('341-CT'!$H$9=H1998,OR(LEFT(N1998,3)=$W$7,LEFT(O1998,3)=$W$7)),"x","")</f>
        <v/>
      </c>
      <c r="X1998" s="79" t="str">
        <f>IF(OR(TH!N1998=TH!$X$7,O1998=TH!$X$7),"x","")</f>
        <v/>
      </c>
      <c r="Y1998" s="79" t="str">
        <f>IF(AND(OR(N1998="131",O1998="131"),H1998='131-CT'!$H$9),"x","")</f>
        <v/>
      </c>
      <c r="Z1998" s="79"/>
      <c r="AA1998" s="79" t="str">
        <f>IF(AND(MONTH(E1998)='IN-NX'!$J$5,'IN-NX'!$D$7=D1998),"x","")</f>
        <v/>
      </c>
      <c r="AB1998" s="79" t="str">
        <f>IF(AND(OR(LEFT(TH!N1998,2)="15",LEFT(TH!O1998,2)="15"),LEFT(TH!O1998,3)&lt;&gt;"111",'152-CT'!$J$8=TH!F1998),"x","")</f>
        <v/>
      </c>
      <c r="AC1998" s="79" t="str">
        <f>IF(AND(OR(LEFT(TH!N1998,2)="15",LEFT(TH!O1998,2)="15"),TK!$E$7=TH!F1998),"x","")</f>
        <v/>
      </c>
      <c r="AD1998" s="79" t="str">
        <f>IF(AND(N1998="1521",MONTH(C1998)='BK-NL'!$M$11),"x","")</f>
        <v/>
      </c>
    </row>
    <row r="1999" spans="1:30" ht="16.5" customHeight="1">
      <c r="A1999" s="318" t="str">
        <f>IF(B1999&lt;&gt;"",IF(AND(B1999='IN-TC'!$S$4,OR(TH!N1999="1111",TH!O1999="1111")),TH!D1999,""),"")</f>
        <v/>
      </c>
      <c r="B1999" s="60" t="str">
        <f t="shared" si="231"/>
        <v/>
      </c>
      <c r="C1999" s="301"/>
      <c r="D1999" s="301"/>
      <c r="E1999" s="301"/>
      <c r="F1999" s="1160"/>
      <c r="G1999" s="968"/>
      <c r="H1999" s="69"/>
      <c r="I1999" s="385"/>
      <c r="J1999" s="969"/>
      <c r="K1999" s="385"/>
      <c r="L1999" s="392"/>
      <c r="M1999" s="970"/>
      <c r="N1999" s="304"/>
      <c r="O1999" s="304"/>
      <c r="P1999" s="79" t="str">
        <f>IF(AND('331-CT'!$E$7=TH!H1999,OR(N1999="331",O1999="331")),"x","")</f>
        <v/>
      </c>
      <c r="Q1999" s="79" t="str">
        <f>IF(AND(B1999='111'!$L$11,OR($N1999=$Q$7,$O1999=$Q$7)),"x","")</f>
        <v/>
      </c>
      <c r="R1999" s="79" t="str">
        <f>IF(AND($N1999=$Q$7,$B1999&lt;'111'!$L$11),"x","")</f>
        <v/>
      </c>
      <c r="S1999" s="79" t="str">
        <f>IF(AND($O1999=$Q$7,$B1999&lt;'111'!$L$11),"x","")</f>
        <v/>
      </c>
      <c r="T1999" s="79" t="str">
        <f>IF(ISERROR(FIND('112'!$M$9,G1999,1)),"",IF((AND(FIND('112'!$M$9,G1999,1)&gt;=1,B1999='112'!$K$9,OR($N1999='112'!$I$6,$O1999='112'!$I$6))),"x",""))</f>
        <v/>
      </c>
      <c r="U1999" s="79" t="str">
        <f>IF(ISERROR(FIND('112'!$M$9,G1999,1)),"",IF((AND(LEFT(G1999,2)=LEFT('112'!$M$9,2),B1999&lt;'112'!$K$9,$N1999='112'!$I$6)),"x",""))</f>
        <v/>
      </c>
      <c r="V1999" s="79" t="str">
        <f>IF(ISERROR(FIND('112'!$M$9,G1999,1)),"",IF((AND(RIGHT(G1999,2)=RIGHT('112'!$M$9,2),B1999&lt;'112'!$K$9,$O1999='112'!$I$6)),"x",""))</f>
        <v/>
      </c>
      <c r="W1999" s="79" t="str">
        <f>IF(AND('341-CT'!$H$9=H1999,OR(LEFT(N1999,3)=$W$7,LEFT(O1999,3)=$W$7)),"x","")</f>
        <v/>
      </c>
      <c r="X1999" s="79" t="str">
        <f>IF(OR(TH!N1999=TH!$X$7,O1999=TH!$X$7),"x","")</f>
        <v/>
      </c>
      <c r="Y1999" s="79" t="str">
        <f>IF(AND(OR(N1999="131",O1999="131"),H1999='131-CT'!$H$9),"x","")</f>
        <v/>
      </c>
      <c r="Z1999" s="79"/>
      <c r="AA1999" s="79" t="str">
        <f>IF(AND(MONTH(E1999)='IN-NX'!$J$5,'IN-NX'!$D$7=D1999),"x","")</f>
        <v/>
      </c>
      <c r="AB1999" s="79" t="str">
        <f>IF(AND(OR(LEFT(TH!N1999,2)="15",LEFT(TH!O1999,2)="15"),LEFT(TH!O1999,3)&lt;&gt;"111",'152-CT'!$J$8=TH!F1999),"x","")</f>
        <v/>
      </c>
      <c r="AC1999" s="79" t="str">
        <f>IF(AND(OR(LEFT(TH!N1999,2)="15",LEFT(TH!O1999,2)="15"),TK!$E$7=TH!F1999),"x","")</f>
        <v/>
      </c>
      <c r="AD1999" s="79" t="str">
        <f>IF(AND(N1999="1521",MONTH(C1999)='BK-NL'!$M$11),"x","")</f>
        <v/>
      </c>
    </row>
    <row r="2000" spans="1:30" ht="16.5" customHeight="1">
      <c r="A2000" s="318" t="str">
        <f>IF(B2000&lt;&gt;"",IF(AND(B2000='IN-TC'!$S$4,OR(TH!N2000="1111",TH!O2000="1111")),TH!D2000,""),"")</f>
        <v/>
      </c>
      <c r="B2000" s="60" t="str">
        <f t="shared" si="231"/>
        <v/>
      </c>
      <c r="C2000" s="301"/>
      <c r="D2000" s="301"/>
      <c r="E2000" s="301"/>
      <c r="F2000" s="1160"/>
      <c r="G2000" s="968"/>
      <c r="H2000" s="69"/>
      <c r="I2000" s="385"/>
      <c r="J2000" s="969"/>
      <c r="K2000" s="385"/>
      <c r="L2000" s="392"/>
      <c r="M2000" s="970"/>
      <c r="N2000" s="304"/>
      <c r="O2000" s="304"/>
      <c r="P2000" s="79" t="str">
        <f>IF(AND('331-CT'!$E$7=TH!H2000,OR(N2000="331",O2000="331")),"x","")</f>
        <v/>
      </c>
      <c r="Q2000" s="79" t="str">
        <f>IF(AND(B2000='111'!$L$11,OR($N2000=$Q$7,$O2000=$Q$7)),"x","")</f>
        <v/>
      </c>
      <c r="R2000" s="79" t="str">
        <f>IF(AND($N2000=$Q$7,$B2000&lt;'111'!$L$11),"x","")</f>
        <v/>
      </c>
      <c r="S2000" s="79" t="str">
        <f>IF(AND($O2000=$Q$7,$B2000&lt;'111'!$L$11),"x","")</f>
        <v/>
      </c>
      <c r="T2000" s="79" t="str">
        <f>IF(ISERROR(FIND('112'!$M$9,G2000,1)),"",IF((AND(FIND('112'!$M$9,G2000,1)&gt;=1,B2000='112'!$K$9,OR($N2000='112'!$I$6,$O2000='112'!$I$6))),"x",""))</f>
        <v/>
      </c>
      <c r="U2000" s="79" t="str">
        <f>IF(ISERROR(FIND('112'!$M$9,G2000,1)),"",IF((AND(LEFT(G2000,2)=LEFT('112'!$M$9,2),B2000&lt;'112'!$K$9,$N2000='112'!$I$6)),"x",""))</f>
        <v/>
      </c>
      <c r="V2000" s="79" t="str">
        <f>IF(ISERROR(FIND('112'!$M$9,G2000,1)),"",IF((AND(RIGHT(G2000,2)=RIGHT('112'!$M$9,2),B2000&lt;'112'!$K$9,$O2000='112'!$I$6)),"x",""))</f>
        <v/>
      </c>
      <c r="W2000" s="79" t="str">
        <f>IF(AND('341-CT'!$H$9=H2000,OR(LEFT(N2000,3)=$W$7,LEFT(O2000,3)=$W$7)),"x","")</f>
        <v/>
      </c>
      <c r="X2000" s="79" t="str">
        <f>IF(OR(TH!N2000=TH!$X$7,O2000=TH!$X$7),"x","")</f>
        <v/>
      </c>
      <c r="Y2000" s="79" t="str">
        <f>IF(AND(OR(N2000="131",O2000="131"),H2000='131-CT'!$H$9),"x","")</f>
        <v/>
      </c>
      <c r="Z2000" s="79"/>
      <c r="AA2000" s="79" t="str">
        <f>IF(AND(MONTH(E2000)='IN-NX'!$J$5,'IN-NX'!$D$7=D2000),"x","")</f>
        <v/>
      </c>
      <c r="AB2000" s="79" t="str">
        <f>IF(AND(OR(LEFT(TH!N2000,2)="15",LEFT(TH!O2000,2)="15"),LEFT(TH!O2000,3)&lt;&gt;"111",'152-CT'!$J$8=TH!F2000),"x","")</f>
        <v/>
      </c>
      <c r="AC2000" s="79" t="str">
        <f>IF(AND(OR(LEFT(TH!N2000,2)="15",LEFT(TH!O2000,2)="15"),TK!$E$7=TH!F2000),"x","")</f>
        <v/>
      </c>
      <c r="AD2000" s="79" t="str">
        <f>IF(AND(N2000="1521",MONTH(C2000)='BK-NL'!$M$11),"x","")</f>
        <v/>
      </c>
    </row>
    <row r="2001" spans="1:30" ht="16.5" customHeight="1">
      <c r="A2001" s="318" t="str">
        <f>IF(B2001&lt;&gt;"",IF(AND(B2001='IN-TC'!$S$4,OR(TH!N2001="1111",TH!O2001="1111")),TH!D2001,""),"")</f>
        <v/>
      </c>
      <c r="B2001" s="60" t="str">
        <f t="shared" ref="B2001:B2030" si="232">IF(C2001&lt;&gt;"",MONTH(C2001),"")</f>
        <v/>
      </c>
      <c r="C2001" s="981"/>
      <c r="D2001" s="301"/>
      <c r="E2001" s="981"/>
      <c r="F2001" s="999"/>
      <c r="G2001" s="1130"/>
      <c r="H2001" s="982"/>
      <c r="I2001" s="984"/>
      <c r="J2001" s="983"/>
      <c r="K2001" s="984"/>
      <c r="L2001" s="983"/>
      <c r="M2001" s="985"/>
      <c r="N2001" s="986"/>
      <c r="O2001" s="986"/>
      <c r="P2001" s="79" t="str">
        <f>IF(AND('331-CT'!$E$7=TH!H2001,OR(N2001="331",O2001="331")),"x","")</f>
        <v/>
      </c>
      <c r="Q2001" s="79" t="str">
        <f>IF(AND(B2001='111'!$L$11,OR($N2001=$Q$7,$O2001=$Q$7)),"x","")</f>
        <v/>
      </c>
      <c r="R2001" s="79" t="str">
        <f>IF(AND($N2001=$Q$7,$B2001&lt;'111'!$L$11),"x","")</f>
        <v/>
      </c>
      <c r="S2001" s="79" t="str">
        <f>IF(AND($O2001=$Q$7,$B2001&lt;'111'!$L$11),"x","")</f>
        <v/>
      </c>
      <c r="T2001" s="79" t="str">
        <f>IF(ISERROR(FIND('112'!$M$9,G2001,1)),"",IF((AND(FIND('112'!$M$9,G2001,1)&gt;=1,B2001='112'!$K$9,OR($N2001='112'!$I$6,$O2001='112'!$I$6))),"x",""))</f>
        <v/>
      </c>
      <c r="U2001" s="79" t="str">
        <f>IF(ISERROR(FIND('112'!$M$9,G2001,1)),"",IF((AND(LEFT(G2001,2)=LEFT('112'!$M$9,2),B2001&lt;'112'!$K$9,$N2001='112'!$I$6)),"x",""))</f>
        <v/>
      </c>
      <c r="V2001" s="79" t="str">
        <f>IF(ISERROR(FIND('112'!$M$9,G2001,1)),"",IF((AND(RIGHT(G2001,2)=RIGHT('112'!$M$9,2),B2001&lt;'112'!$K$9,$O2001='112'!$I$6)),"x",""))</f>
        <v/>
      </c>
      <c r="W2001" s="79" t="str">
        <f>IF(AND('341-CT'!$H$9=H2001,OR(LEFT(N2001,3)=$W$7,LEFT(O2001,3)=$W$7)),"x","")</f>
        <v/>
      </c>
      <c r="X2001" s="79" t="str">
        <f>IF(OR(TH!N2001=TH!$X$7,O2001=TH!$X$7),"x","")</f>
        <v/>
      </c>
      <c r="Y2001" s="79" t="str">
        <f>IF(AND(OR(N2001="131",O2001="131"),H2001='131-CT'!$H$9),"x","")</f>
        <v/>
      </c>
      <c r="Z2001" s="79"/>
      <c r="AA2001" s="79" t="str">
        <f>IF(AND(MONTH(E2001)='IN-NX'!$J$5,'IN-NX'!$D$7=D2001),"x","")</f>
        <v/>
      </c>
      <c r="AB2001" s="79" t="str">
        <f>IF(AND(OR(LEFT(TH!N2001,2)="15",LEFT(TH!O2001,2)="15"),LEFT(TH!O2001,3)&lt;&gt;"111",'152-CT'!$J$8=TH!F2001),"x","")</f>
        <v/>
      </c>
      <c r="AC2001" s="79" t="str">
        <f>IF(AND(OR(LEFT(TH!N2001,2)="15",LEFT(TH!O2001,2)="15"),TK!$E$7=TH!F2001),"x","")</f>
        <v/>
      </c>
      <c r="AD2001" s="79" t="str">
        <f>IF(AND(N2001="1521",MONTH(C2001)='BK-NL'!$M$11),"x","")</f>
        <v/>
      </c>
    </row>
    <row r="2002" spans="1:30" ht="16.5" customHeight="1">
      <c r="A2002" s="318" t="str">
        <f>IF(B2002&lt;&gt;"",IF(AND(B2002='IN-TC'!$S$4,OR(TH!N2002="1111",TH!O2002="1111")),TH!D2002,""),"")</f>
        <v/>
      </c>
      <c r="B2002" s="60" t="str">
        <f t="shared" si="232"/>
        <v/>
      </c>
      <c r="C2002" s="981"/>
      <c r="D2002" s="301"/>
      <c r="E2002" s="981"/>
      <c r="F2002" s="999"/>
      <c r="G2002" s="1130"/>
      <c r="H2002" s="982"/>
      <c r="I2002" s="984"/>
      <c r="J2002" s="983"/>
      <c r="K2002" s="984"/>
      <c r="L2002" s="983"/>
      <c r="M2002" s="985"/>
      <c r="N2002" s="986"/>
      <c r="O2002" s="986"/>
      <c r="P2002" s="79" t="str">
        <f>IF(AND('331-CT'!$E$7=TH!H2002,OR(N2002="331",O2002="331")),"x","")</f>
        <v/>
      </c>
      <c r="Q2002" s="79" t="str">
        <f>IF(AND(B2002='111'!$L$11,OR($N2002=$Q$7,$O2002=$Q$7)),"x","")</f>
        <v/>
      </c>
      <c r="R2002" s="79" t="str">
        <f>IF(AND($N2002=$Q$7,$B2002&lt;'111'!$L$11),"x","")</f>
        <v/>
      </c>
      <c r="S2002" s="79" t="str">
        <f>IF(AND($O2002=$Q$7,$B2002&lt;'111'!$L$11),"x","")</f>
        <v/>
      </c>
      <c r="T2002" s="79" t="str">
        <f>IF(ISERROR(FIND('112'!$M$9,G2002,1)),"",IF((AND(FIND('112'!$M$9,G2002,1)&gt;=1,B2002='112'!$K$9,OR($N2002='112'!$I$6,$O2002='112'!$I$6))),"x",""))</f>
        <v/>
      </c>
      <c r="U2002" s="79" t="str">
        <f>IF(ISERROR(FIND('112'!$M$9,G2002,1)),"",IF((AND(LEFT(G2002,2)=LEFT('112'!$M$9,2),B2002&lt;'112'!$K$9,$N2002='112'!$I$6)),"x",""))</f>
        <v/>
      </c>
      <c r="V2002" s="79" t="str">
        <f>IF(ISERROR(FIND('112'!$M$9,G2002,1)),"",IF((AND(RIGHT(G2002,2)=RIGHT('112'!$M$9,2),B2002&lt;'112'!$K$9,$O2002='112'!$I$6)),"x",""))</f>
        <v/>
      </c>
      <c r="W2002" s="79" t="str">
        <f>IF(AND('341-CT'!$H$9=H2002,OR(LEFT(N2002,3)=$W$7,LEFT(O2002,3)=$W$7)),"x","")</f>
        <v/>
      </c>
      <c r="X2002" s="79" t="str">
        <f>IF(OR(TH!N2002=TH!$X$7,O2002=TH!$X$7),"x","")</f>
        <v/>
      </c>
      <c r="Y2002" s="79" t="str">
        <f>IF(AND(OR(N2002="131",O2002="131"),H2002='131-CT'!$H$9),"x","")</f>
        <v/>
      </c>
      <c r="Z2002" s="79"/>
      <c r="AA2002" s="79" t="str">
        <f>IF(AND(MONTH(E2002)='IN-NX'!$J$5,'IN-NX'!$D$7=D2002),"x","")</f>
        <v/>
      </c>
      <c r="AB2002" s="79" t="str">
        <f>IF(AND(OR(LEFT(TH!N2002,2)="15",LEFT(TH!O2002,2)="15"),LEFT(TH!O2002,3)&lt;&gt;"111",'152-CT'!$J$8=TH!F2002),"x","")</f>
        <v/>
      </c>
      <c r="AC2002" s="79" t="str">
        <f>IF(AND(OR(LEFT(TH!N2002,2)="15",LEFT(TH!O2002,2)="15"),TK!$E$7=TH!F2002),"x","")</f>
        <v/>
      </c>
      <c r="AD2002" s="79" t="str">
        <f>IF(AND(N2002="1521",MONTH(C2002)='BK-NL'!$M$11),"x","")</f>
        <v/>
      </c>
    </row>
    <row r="2003" spans="1:30" ht="16.5" customHeight="1">
      <c r="A2003" s="318" t="str">
        <f>IF(B2003&lt;&gt;"",IF(AND(B2003='IN-TC'!$S$4,OR(TH!N2003="1111",TH!O2003="1111")),TH!D2003,""),"")</f>
        <v/>
      </c>
      <c r="B2003" s="60" t="str">
        <f t="shared" si="232"/>
        <v/>
      </c>
      <c r="C2003" s="974"/>
      <c r="D2003" s="301"/>
      <c r="E2003" s="974"/>
      <c r="F2003" s="77"/>
      <c r="G2003" s="976"/>
      <c r="H2003" s="305"/>
      <c r="I2003" s="383"/>
      <c r="J2003" s="977"/>
      <c r="K2003" s="383"/>
      <c r="L2003" s="390"/>
      <c r="M2003" s="978"/>
      <c r="N2003" s="979"/>
      <c r="O2003" s="979"/>
      <c r="P2003" s="79" t="str">
        <f>IF(AND('331-CT'!$E$7=TH!H2003,OR(N2003="331",O2003="331")),"x","")</f>
        <v/>
      </c>
      <c r="Q2003" s="79" t="str">
        <f>IF(AND(B2003='111'!$L$11,OR($N2003=$Q$7,$O2003=$Q$7)),"x","")</f>
        <v/>
      </c>
      <c r="R2003" s="79" t="str">
        <f>IF(AND($N2003=$Q$7,$B2003&lt;'111'!$L$11),"x","")</f>
        <v/>
      </c>
      <c r="S2003" s="79" t="str">
        <f>IF(AND($O2003=$Q$7,$B2003&lt;'111'!$L$11),"x","")</f>
        <v/>
      </c>
      <c r="T2003" s="79" t="str">
        <f>IF(ISERROR(FIND('112'!$M$9,G2003,1)),"",IF((AND(FIND('112'!$M$9,G2003,1)&gt;=1,B2003='112'!$K$9,OR($N2003='112'!$I$6,$O2003='112'!$I$6))),"x",""))</f>
        <v/>
      </c>
      <c r="U2003" s="79" t="str">
        <f>IF(ISERROR(FIND('112'!$M$9,G2003,1)),"",IF((AND(LEFT(G2003,2)=LEFT('112'!$M$9,2),B2003&lt;'112'!$K$9,$N2003='112'!$I$6)),"x",""))</f>
        <v/>
      </c>
      <c r="V2003" s="79" t="str">
        <f>IF(ISERROR(FIND('112'!$M$9,G2003,1)),"",IF((AND(RIGHT(G2003,2)=RIGHT('112'!$M$9,2),B2003&lt;'112'!$K$9,$O2003='112'!$I$6)),"x",""))</f>
        <v/>
      </c>
      <c r="W2003" s="79" t="str">
        <f>IF(AND('341-CT'!$H$9=H2003,OR(LEFT(N2003,3)=$W$7,LEFT(O2003,3)=$W$7)),"x","")</f>
        <v/>
      </c>
      <c r="X2003" s="79" t="str">
        <f>IF(OR(TH!N2003=TH!$X$7,O2003=TH!$X$7),"x","")</f>
        <v/>
      </c>
      <c r="Y2003" s="79" t="str">
        <f>IF(AND(OR(N2003="131",O2003="131"),H2003='131-CT'!$H$9),"x","")</f>
        <v/>
      </c>
      <c r="Z2003" s="79"/>
      <c r="AA2003" s="79" t="str">
        <f>IF(AND(MONTH(E2003)='IN-NX'!$J$5,'IN-NX'!$D$7=D2003),"x","")</f>
        <v/>
      </c>
      <c r="AB2003" s="79" t="str">
        <f>IF(AND(OR(LEFT(TH!N2003,2)="15",LEFT(TH!O2003,2)="15"),LEFT(TH!O2003,3)&lt;&gt;"111",'152-CT'!$J$8=TH!F2003),"x","")</f>
        <v/>
      </c>
      <c r="AC2003" s="79" t="str">
        <f>IF(AND(OR(LEFT(TH!N2003,2)="15",LEFT(TH!O2003,2)="15"),TK!$E$7=TH!F2003),"x","")</f>
        <v/>
      </c>
      <c r="AD2003" s="79" t="str">
        <f>IF(AND(N2003="1521",MONTH(C2003)='BK-NL'!$M$11),"x","")</f>
        <v/>
      </c>
    </row>
    <row r="2004" spans="1:30" ht="16.5" customHeight="1">
      <c r="A2004" s="318" t="str">
        <f>IF(B2004&lt;&gt;"",IF(AND(B2004='IN-TC'!$S$4,OR(TH!N2004="1111",TH!O2004="1111")),TH!D2004,""),"")</f>
        <v/>
      </c>
      <c r="B2004" s="60" t="str">
        <f t="shared" si="232"/>
        <v/>
      </c>
      <c r="C2004" s="301"/>
      <c r="D2004" s="301"/>
      <c r="E2004" s="301"/>
      <c r="F2004" s="302"/>
      <c r="G2004" s="968"/>
      <c r="H2004" s="69"/>
      <c r="I2004" s="385"/>
      <c r="J2004" s="969"/>
      <c r="K2004" s="385"/>
      <c r="L2004" s="392"/>
      <c r="M2004" s="970"/>
      <c r="N2004" s="304"/>
      <c r="O2004" s="304"/>
      <c r="P2004" s="79" t="str">
        <f>IF(AND('331-CT'!$E$7=TH!H2004,OR(N2004="331",O2004="331")),"x","")</f>
        <v/>
      </c>
      <c r="Q2004" s="79" t="str">
        <f>IF(AND(B2004='111'!$L$11,OR($N2004=$Q$7,$O2004=$Q$7)),"x","")</f>
        <v/>
      </c>
      <c r="R2004" s="79" t="str">
        <f>IF(AND($N2004=$Q$7,$B2004&lt;'111'!$L$11),"x","")</f>
        <v/>
      </c>
      <c r="S2004" s="79" t="str">
        <f>IF(AND($O2004=$Q$7,$B2004&lt;'111'!$L$11),"x","")</f>
        <v/>
      </c>
      <c r="T2004" s="79" t="str">
        <f>IF(ISERROR(FIND('112'!$M$9,G2004,1)),"",IF((AND(FIND('112'!$M$9,G2004,1)&gt;=1,B2004='112'!$K$9,OR($N2004='112'!$I$6,$O2004='112'!$I$6))),"x",""))</f>
        <v/>
      </c>
      <c r="U2004" s="79" t="str">
        <f>IF(ISERROR(FIND('112'!$M$9,G2004,1)),"",IF((AND(LEFT(G2004,2)=LEFT('112'!$M$9,2),B2004&lt;'112'!$K$9,$N2004='112'!$I$6)),"x",""))</f>
        <v/>
      </c>
      <c r="V2004" s="79" t="str">
        <f>IF(ISERROR(FIND('112'!$M$9,G2004,1)),"",IF((AND(RIGHT(G2004,2)=RIGHT('112'!$M$9,2),B2004&lt;'112'!$K$9,$O2004='112'!$I$6)),"x",""))</f>
        <v/>
      </c>
      <c r="W2004" s="79" t="str">
        <f>IF(AND('341-CT'!$H$9=H2004,OR(LEFT(N2004,3)=$W$7,LEFT(O2004,3)=$W$7)),"x","")</f>
        <v/>
      </c>
      <c r="X2004" s="79" t="str">
        <f>IF(OR(TH!N2004=TH!$X$7,O2004=TH!$X$7),"x","")</f>
        <v/>
      </c>
      <c r="Y2004" s="79" t="str">
        <f>IF(AND(OR(N2004="131",O2004="131"),H2004='131-CT'!$H$9),"x","")</f>
        <v/>
      </c>
      <c r="Z2004" s="79"/>
      <c r="AA2004" s="79" t="str">
        <f>IF(AND(MONTH(E2004)='IN-NX'!$J$5,'IN-NX'!$D$7=D2004),"x","")</f>
        <v/>
      </c>
      <c r="AB2004" s="79" t="str">
        <f>IF(AND(OR(LEFT(TH!N2004,2)="15",LEFT(TH!O2004,2)="15"),LEFT(TH!O2004,3)&lt;&gt;"111",'152-CT'!$J$8=TH!F2004),"x","")</f>
        <v/>
      </c>
      <c r="AC2004" s="79" t="str">
        <f>IF(AND(OR(LEFT(TH!N2004,2)="15",LEFT(TH!O2004,2)="15"),TK!$E$7=TH!F2004),"x","")</f>
        <v/>
      </c>
      <c r="AD2004" s="79" t="str">
        <f>IF(AND(N2004="1521",MONTH(C2004)='BK-NL'!$M$11),"x","")</f>
        <v/>
      </c>
    </row>
    <row r="2005" spans="1:30" ht="16.5" customHeight="1">
      <c r="A2005" s="318" t="str">
        <f>IF(B2005&lt;&gt;"",IF(AND(B2005='IN-TC'!$S$4,OR(TH!N2005="1111",TH!O2005="1111")),TH!D2005,""),"")</f>
        <v/>
      </c>
      <c r="B2005" s="60" t="str">
        <f t="shared" si="232"/>
        <v/>
      </c>
      <c r="C2005" s="301"/>
      <c r="D2005" s="301"/>
      <c r="E2005" s="301"/>
      <c r="F2005" s="302"/>
      <c r="G2005" s="968"/>
      <c r="H2005" s="69"/>
      <c r="I2005" s="385"/>
      <c r="J2005" s="969"/>
      <c r="K2005" s="385"/>
      <c r="L2005" s="392"/>
      <c r="M2005" s="970"/>
      <c r="N2005" s="304"/>
      <c r="O2005" s="304"/>
      <c r="P2005" s="79" t="str">
        <f>IF(AND('331-CT'!$E$7=TH!H2005,OR(N2005="331",O2005="331")),"x","")</f>
        <v/>
      </c>
      <c r="Q2005" s="79" t="str">
        <f>IF(AND(B2005='111'!$L$11,OR($N2005=$Q$7,$O2005=$Q$7)),"x","")</f>
        <v/>
      </c>
      <c r="R2005" s="79" t="str">
        <f>IF(AND($N2005=$Q$7,$B2005&lt;'111'!$L$11),"x","")</f>
        <v/>
      </c>
      <c r="S2005" s="79" t="str">
        <f>IF(AND($O2005=$Q$7,$B2005&lt;'111'!$L$11),"x","")</f>
        <v/>
      </c>
      <c r="T2005" s="79" t="str">
        <f>IF(ISERROR(FIND('112'!$M$9,G2005,1)),"",IF((AND(FIND('112'!$M$9,G2005,1)&gt;=1,B2005='112'!$K$9,OR($N2005='112'!$I$6,$O2005='112'!$I$6))),"x",""))</f>
        <v/>
      </c>
      <c r="U2005" s="79" t="str">
        <f>IF(ISERROR(FIND('112'!$M$9,G2005,1)),"",IF((AND(LEFT(G2005,2)=LEFT('112'!$M$9,2),B2005&lt;'112'!$K$9,$N2005='112'!$I$6)),"x",""))</f>
        <v/>
      </c>
      <c r="V2005" s="79" t="str">
        <f>IF(ISERROR(FIND('112'!$M$9,G2005,1)),"",IF((AND(RIGHT(G2005,2)=RIGHT('112'!$M$9,2),B2005&lt;'112'!$K$9,$O2005='112'!$I$6)),"x",""))</f>
        <v/>
      </c>
      <c r="W2005" s="79" t="str">
        <f>IF(AND('341-CT'!$H$9=H2005,OR(LEFT(N2005,3)=$W$7,LEFT(O2005,3)=$W$7)),"x","")</f>
        <v/>
      </c>
      <c r="X2005" s="79" t="str">
        <f>IF(OR(TH!N2005=TH!$X$7,O2005=TH!$X$7),"x","")</f>
        <v/>
      </c>
      <c r="Y2005" s="79" t="str">
        <f>IF(AND(OR(N2005="131",O2005="131"),H2005='131-CT'!$H$9),"x","")</f>
        <v/>
      </c>
      <c r="Z2005" s="79"/>
      <c r="AA2005" s="79" t="str">
        <f>IF(AND(MONTH(E2005)='IN-NX'!$J$5,'IN-NX'!$D$7=D2005),"x","")</f>
        <v/>
      </c>
      <c r="AB2005" s="79" t="str">
        <f>IF(AND(OR(LEFT(TH!N2005,2)="15",LEFT(TH!O2005,2)="15"),LEFT(TH!O2005,3)&lt;&gt;"111",'152-CT'!$J$8=TH!F2005),"x","")</f>
        <v/>
      </c>
      <c r="AC2005" s="79" t="str">
        <f>IF(AND(OR(LEFT(TH!N2005,2)="15",LEFT(TH!O2005,2)="15"),TK!$E$7=TH!F2005),"x","")</f>
        <v/>
      </c>
      <c r="AD2005" s="79" t="str">
        <f>IF(AND(N2005="1521",MONTH(C2005)='BK-NL'!$M$11),"x","")</f>
        <v/>
      </c>
    </row>
    <row r="2006" spans="1:30" ht="16.5" customHeight="1">
      <c r="A2006" s="318" t="str">
        <f>IF(B2006&lt;&gt;"",IF(AND(B2006='IN-TC'!$S$4,OR(TH!N2006="1111",TH!O2006="1111")),TH!D2006,""),"")</f>
        <v/>
      </c>
      <c r="B2006" s="60" t="str">
        <f t="shared" si="232"/>
        <v/>
      </c>
      <c r="C2006" s="974"/>
      <c r="D2006" s="301"/>
      <c r="E2006" s="974"/>
      <c r="F2006" s="77"/>
      <c r="G2006" s="976"/>
      <c r="H2006" s="305"/>
      <c r="I2006" s="383"/>
      <c r="J2006" s="977"/>
      <c r="K2006" s="383"/>
      <c r="L2006" s="390"/>
      <c r="M2006" s="978"/>
      <c r="N2006" s="979"/>
      <c r="O2006" s="979"/>
      <c r="P2006" s="79" t="str">
        <f>IF(AND('331-CT'!$E$7=TH!H2006,OR(N2006="331",O2006="331")),"x","")</f>
        <v/>
      </c>
      <c r="Q2006" s="79" t="str">
        <f>IF(AND(B2006='111'!$L$11,OR($N2006=$Q$7,$O2006=$Q$7)),"x","")</f>
        <v/>
      </c>
      <c r="R2006" s="79" t="str">
        <f>IF(AND($N2006=$Q$7,$B2006&lt;'111'!$L$11),"x","")</f>
        <v/>
      </c>
      <c r="S2006" s="79" t="str">
        <f>IF(AND($O2006=$Q$7,$B2006&lt;'111'!$L$11),"x","")</f>
        <v/>
      </c>
      <c r="T2006" s="79" t="str">
        <f>IF(ISERROR(FIND('112'!$M$9,G2006,1)),"",IF((AND(FIND('112'!$M$9,G2006,1)&gt;=1,B2006='112'!$K$9,OR($N2006='112'!$I$6,$O2006='112'!$I$6))),"x",""))</f>
        <v/>
      </c>
      <c r="U2006" s="79" t="str">
        <f>IF(ISERROR(FIND('112'!$M$9,G2006,1)),"",IF((AND(LEFT(G2006,2)=LEFT('112'!$M$9,2),B2006&lt;'112'!$K$9,$N2006='112'!$I$6)),"x",""))</f>
        <v/>
      </c>
      <c r="V2006" s="79" t="str">
        <f>IF(ISERROR(FIND('112'!$M$9,G2006,1)),"",IF((AND(RIGHT(G2006,2)=RIGHT('112'!$M$9,2),B2006&lt;'112'!$K$9,$O2006='112'!$I$6)),"x",""))</f>
        <v/>
      </c>
      <c r="W2006" s="79" t="str">
        <f>IF(AND('341-CT'!$H$9=H2006,OR(LEFT(N2006,3)=$W$7,LEFT(O2006,3)=$W$7)),"x","")</f>
        <v/>
      </c>
      <c r="X2006" s="79" t="str">
        <f>IF(OR(TH!N2006=TH!$X$7,O2006=TH!$X$7),"x","")</f>
        <v/>
      </c>
      <c r="Y2006" s="79" t="str">
        <f>IF(AND(OR(N2006="131",O2006="131"),H2006='131-CT'!$H$9),"x","")</f>
        <v/>
      </c>
      <c r="Z2006" s="79"/>
      <c r="AA2006" s="79" t="str">
        <f>IF(AND(MONTH(E2006)='IN-NX'!$J$5,'IN-NX'!$D$7=D2006),"x","")</f>
        <v/>
      </c>
      <c r="AB2006" s="79" t="str">
        <f>IF(AND(OR(LEFT(TH!N2006,2)="15",LEFT(TH!O2006,2)="15"),LEFT(TH!O2006,3)&lt;&gt;"111",'152-CT'!$J$8=TH!F2006),"x","")</f>
        <v/>
      </c>
      <c r="AC2006" s="79" t="str">
        <f>IF(AND(OR(LEFT(TH!N2006,2)="15",LEFT(TH!O2006,2)="15"),TK!$E$7=TH!F2006),"x","")</f>
        <v/>
      </c>
      <c r="AD2006" s="79" t="str">
        <f>IF(AND(N2006="1521",MONTH(C2006)='BK-NL'!$M$11),"x","")</f>
        <v/>
      </c>
    </row>
    <row r="2007" spans="1:30" ht="16.5" customHeight="1">
      <c r="A2007" s="318" t="str">
        <f>IF(B2007&lt;&gt;"",IF(AND(B2007='IN-TC'!$S$4,OR(TH!N2007="1111",TH!O2007="1111")),TH!D2007,""),"")</f>
        <v/>
      </c>
      <c r="B2007" s="60" t="str">
        <f t="shared" si="232"/>
        <v/>
      </c>
      <c r="C2007" s="974"/>
      <c r="D2007" s="301"/>
      <c r="E2007" s="974"/>
      <c r="F2007" s="77"/>
      <c r="G2007" s="976"/>
      <c r="H2007" s="305"/>
      <c r="I2007" s="383"/>
      <c r="J2007" s="977"/>
      <c r="K2007" s="383"/>
      <c r="L2007" s="390"/>
      <c r="M2007" s="978"/>
      <c r="N2007" s="979"/>
      <c r="O2007" s="979"/>
      <c r="P2007" s="79" t="str">
        <f>IF(AND('331-CT'!$E$7=TH!H2007,OR(N2007="331",O2007="331")),"x","")</f>
        <v/>
      </c>
      <c r="Q2007" s="79" t="str">
        <f>IF(AND(B2007='111'!$L$11,OR($N2007=$Q$7,$O2007=$Q$7)),"x","")</f>
        <v/>
      </c>
      <c r="R2007" s="79" t="str">
        <f>IF(AND($N2007=$Q$7,$B2007&lt;'111'!$L$11),"x","")</f>
        <v/>
      </c>
      <c r="S2007" s="79" t="str">
        <f>IF(AND($O2007=$Q$7,$B2007&lt;'111'!$L$11),"x","")</f>
        <v/>
      </c>
      <c r="T2007" s="79" t="str">
        <f>IF(ISERROR(FIND('112'!$M$9,G2007,1)),"",IF((AND(FIND('112'!$M$9,G2007,1)&gt;=1,B2007='112'!$K$9,OR($N2007='112'!$I$6,$O2007='112'!$I$6))),"x",""))</f>
        <v/>
      </c>
      <c r="U2007" s="79" t="str">
        <f>IF(ISERROR(FIND('112'!$M$9,G2007,1)),"",IF((AND(LEFT(G2007,2)=LEFT('112'!$M$9,2),B2007&lt;'112'!$K$9,$N2007='112'!$I$6)),"x",""))</f>
        <v/>
      </c>
      <c r="V2007" s="79" t="str">
        <f>IF(ISERROR(FIND('112'!$M$9,G2007,1)),"",IF((AND(RIGHT(G2007,2)=RIGHT('112'!$M$9,2),B2007&lt;'112'!$K$9,$O2007='112'!$I$6)),"x",""))</f>
        <v/>
      </c>
      <c r="W2007" s="79" t="str">
        <f>IF(AND('341-CT'!$H$9=H2007,OR(LEFT(N2007,3)=$W$7,LEFT(O2007,3)=$W$7)),"x","")</f>
        <v/>
      </c>
      <c r="X2007" s="79" t="str">
        <f>IF(OR(TH!N2007=TH!$X$7,O2007=TH!$X$7),"x","")</f>
        <v/>
      </c>
      <c r="Y2007" s="79" t="str">
        <f>IF(AND(OR(N2007="131",O2007="131"),H2007='131-CT'!$H$9),"x","")</f>
        <v/>
      </c>
      <c r="Z2007" s="79"/>
      <c r="AA2007" s="79" t="str">
        <f>IF(AND(MONTH(E2007)='IN-NX'!$J$5,'IN-NX'!$D$7=D2007),"x","")</f>
        <v/>
      </c>
      <c r="AB2007" s="79" t="str">
        <f>IF(AND(OR(LEFT(TH!N2007,2)="15",LEFT(TH!O2007,2)="15"),LEFT(TH!O2007,3)&lt;&gt;"111",'152-CT'!$J$8=TH!F2007),"x","")</f>
        <v/>
      </c>
      <c r="AC2007" s="79" t="str">
        <f>IF(AND(OR(LEFT(TH!N2007,2)="15",LEFT(TH!O2007,2)="15"),TK!$E$7=TH!F2007),"x","")</f>
        <v/>
      </c>
      <c r="AD2007" s="79" t="str">
        <f>IF(AND(N2007="1521",MONTH(C2007)='BK-NL'!$M$11),"x","")</f>
        <v/>
      </c>
    </row>
    <row r="2008" spans="1:30" ht="16.5" customHeight="1">
      <c r="A2008" s="318" t="str">
        <f>IF(B2008&lt;&gt;"",IF(AND(B2008='IN-TC'!$S$4,OR(TH!N2008="1111",TH!O2008="1111")),TH!D2008,""),"")</f>
        <v/>
      </c>
      <c r="B2008" s="60" t="str">
        <f t="shared" si="232"/>
        <v/>
      </c>
      <c r="C2008" s="301"/>
      <c r="D2008" s="301"/>
      <c r="E2008" s="301"/>
      <c r="F2008" s="302"/>
      <c r="G2008" s="968"/>
      <c r="H2008" s="69"/>
      <c r="I2008" s="385"/>
      <c r="J2008" s="969"/>
      <c r="K2008" s="385"/>
      <c r="L2008" s="392"/>
      <c r="M2008" s="970"/>
      <c r="N2008" s="304"/>
      <c r="O2008" s="304"/>
      <c r="P2008" s="79" t="str">
        <f>IF(AND('331-CT'!$E$7=TH!H2008,OR(N2008="331",O2008="331")),"x","")</f>
        <v/>
      </c>
      <c r="Q2008" s="79" t="str">
        <f>IF(AND(B2008='111'!$L$11,OR($N2008=$Q$7,$O2008=$Q$7)),"x","")</f>
        <v/>
      </c>
      <c r="R2008" s="79" t="str">
        <f>IF(AND($N2008=$Q$7,$B2008&lt;'111'!$L$11),"x","")</f>
        <v/>
      </c>
      <c r="S2008" s="79" t="str">
        <f>IF(AND($O2008=$Q$7,$B2008&lt;'111'!$L$11),"x","")</f>
        <v/>
      </c>
      <c r="T2008" s="79" t="str">
        <f>IF(ISERROR(FIND('112'!$M$9,G2008,1)),"",IF((AND(FIND('112'!$M$9,G2008,1)&gt;=1,B2008='112'!$K$9,OR($N2008='112'!$I$6,$O2008='112'!$I$6))),"x",""))</f>
        <v/>
      </c>
      <c r="U2008" s="79" t="str">
        <f>IF(ISERROR(FIND('112'!$M$9,G2008,1)),"",IF((AND(LEFT(G2008,2)=LEFT('112'!$M$9,2),B2008&lt;'112'!$K$9,$N2008='112'!$I$6)),"x",""))</f>
        <v/>
      </c>
      <c r="V2008" s="79" t="str">
        <f>IF(ISERROR(FIND('112'!$M$9,G2008,1)),"",IF((AND(RIGHT(G2008,2)=RIGHT('112'!$M$9,2),B2008&lt;'112'!$K$9,$O2008='112'!$I$6)),"x",""))</f>
        <v/>
      </c>
      <c r="W2008" s="79" t="str">
        <f>IF(AND('341-CT'!$H$9=H2008,OR(LEFT(N2008,3)=$W$7,LEFT(O2008,3)=$W$7)),"x","")</f>
        <v/>
      </c>
      <c r="X2008" s="79" t="str">
        <f>IF(OR(TH!N2008=TH!$X$7,O2008=TH!$X$7),"x","")</f>
        <v/>
      </c>
      <c r="Y2008" s="79" t="str">
        <f>IF(AND(OR(N2008="131",O2008="131"),H2008='131-CT'!$H$9),"x","")</f>
        <v/>
      </c>
      <c r="Z2008" s="79"/>
      <c r="AA2008" s="79" t="str">
        <f>IF(AND(MONTH(E2008)='IN-NX'!$J$5,'IN-NX'!$D$7=D2008),"x","")</f>
        <v/>
      </c>
      <c r="AB2008" s="79" t="str">
        <f>IF(AND(OR(LEFT(TH!N2008,2)="15",LEFT(TH!O2008,2)="15"),LEFT(TH!O2008,3)&lt;&gt;"111",'152-CT'!$J$8=TH!F2008),"x","")</f>
        <v/>
      </c>
      <c r="AC2008" s="79" t="str">
        <f>IF(AND(OR(LEFT(TH!N2008,2)="15",LEFT(TH!O2008,2)="15"),TK!$E$7=TH!F2008),"x","")</f>
        <v/>
      </c>
      <c r="AD2008" s="79" t="str">
        <f>IF(AND(N2008="1521",MONTH(C2008)='BK-NL'!$M$11),"x","")</f>
        <v/>
      </c>
    </row>
    <row r="2009" spans="1:30" ht="16.5" customHeight="1">
      <c r="A2009" s="318" t="str">
        <f>IF(B2009&lt;&gt;"",IF(AND(B2009='IN-TC'!$S$4,OR(TH!N2009="1111",TH!O2009="1111")),TH!D2009,""),"")</f>
        <v/>
      </c>
      <c r="B2009" s="60" t="str">
        <f t="shared" si="232"/>
        <v/>
      </c>
      <c r="C2009" s="301"/>
      <c r="D2009" s="301"/>
      <c r="E2009" s="301"/>
      <c r="F2009" s="302"/>
      <c r="G2009" s="968"/>
      <c r="H2009" s="69"/>
      <c r="I2009" s="385"/>
      <c r="J2009" s="969"/>
      <c r="K2009" s="385"/>
      <c r="L2009" s="392"/>
      <c r="M2009" s="970"/>
      <c r="N2009" s="304"/>
      <c r="O2009" s="304"/>
      <c r="P2009" s="79" t="str">
        <f>IF(AND('331-CT'!$E$7=TH!H2009,OR(N2009="331",O2009="331")),"x","")</f>
        <v/>
      </c>
      <c r="Q2009" s="79" t="str">
        <f>IF(AND(B2009='111'!$L$11,OR($N2009=$Q$7,$O2009=$Q$7)),"x","")</f>
        <v/>
      </c>
      <c r="R2009" s="79" t="str">
        <f>IF(AND($N2009=$Q$7,$B2009&lt;'111'!$L$11),"x","")</f>
        <v/>
      </c>
      <c r="S2009" s="79" t="str">
        <f>IF(AND($O2009=$Q$7,$B2009&lt;'111'!$L$11),"x","")</f>
        <v/>
      </c>
      <c r="T2009" s="79" t="str">
        <f>IF(ISERROR(FIND('112'!$M$9,G2009,1)),"",IF((AND(FIND('112'!$M$9,G2009,1)&gt;=1,B2009='112'!$K$9,OR($N2009='112'!$I$6,$O2009='112'!$I$6))),"x",""))</f>
        <v/>
      </c>
      <c r="U2009" s="79" t="str">
        <f>IF(ISERROR(FIND('112'!$M$9,G2009,1)),"",IF((AND(LEFT(G2009,2)=LEFT('112'!$M$9,2),B2009&lt;'112'!$K$9,$N2009='112'!$I$6)),"x",""))</f>
        <v/>
      </c>
      <c r="V2009" s="79" t="str">
        <f>IF(ISERROR(FIND('112'!$M$9,G2009,1)),"",IF((AND(RIGHT(G2009,2)=RIGHT('112'!$M$9,2),B2009&lt;'112'!$K$9,$O2009='112'!$I$6)),"x",""))</f>
        <v/>
      </c>
      <c r="W2009" s="79" t="str">
        <f>IF(AND('341-CT'!$H$9=H2009,OR(LEFT(N2009,3)=$W$7,LEFT(O2009,3)=$W$7)),"x","")</f>
        <v/>
      </c>
      <c r="X2009" s="79" t="str">
        <f>IF(OR(TH!N2009=TH!$X$7,O2009=TH!$X$7),"x","")</f>
        <v/>
      </c>
      <c r="Y2009" s="79" t="str">
        <f>IF(AND(OR(N2009="131",O2009="131"),H2009='131-CT'!$H$9),"x","")</f>
        <v/>
      </c>
      <c r="Z2009" s="79"/>
      <c r="AA2009" s="79" t="str">
        <f>IF(AND(MONTH(E2009)='IN-NX'!$J$5,'IN-NX'!$D$7=D2009),"x","")</f>
        <v/>
      </c>
      <c r="AB2009" s="79" t="str">
        <f>IF(AND(OR(LEFT(TH!N2009,2)="15",LEFT(TH!O2009,2)="15"),LEFT(TH!O2009,3)&lt;&gt;"111",'152-CT'!$J$8=TH!F2009),"x","")</f>
        <v/>
      </c>
      <c r="AC2009" s="79" t="str">
        <f>IF(AND(OR(LEFT(TH!N2009,2)="15",LEFT(TH!O2009,2)="15"),TK!$E$7=TH!F2009),"x","")</f>
        <v/>
      </c>
      <c r="AD2009" s="79" t="str">
        <f>IF(AND(N2009="1521",MONTH(C2009)='BK-NL'!$M$11),"x","")</f>
        <v/>
      </c>
    </row>
    <row r="2010" spans="1:30" ht="16.5" customHeight="1">
      <c r="A2010" s="318" t="str">
        <f>IF(B2010&lt;&gt;"",IF(AND(B2010='IN-TC'!$S$4,OR(TH!N2010="1111",TH!O2010="1111")),TH!D2010,""),"")</f>
        <v/>
      </c>
      <c r="B2010" s="60" t="str">
        <f t="shared" si="232"/>
        <v/>
      </c>
      <c r="C2010" s="301"/>
      <c r="D2010" s="301"/>
      <c r="E2010" s="301"/>
      <c r="F2010" s="302"/>
      <c r="G2010" s="968"/>
      <c r="H2010" s="69"/>
      <c r="I2010" s="385"/>
      <c r="J2010" s="969"/>
      <c r="K2010" s="385"/>
      <c r="L2010" s="392"/>
      <c r="M2010" s="970"/>
      <c r="N2010" s="304"/>
      <c r="O2010" s="304"/>
      <c r="P2010" s="79" t="str">
        <f>IF(AND('331-CT'!$E$7=TH!H2010,OR(N2010="331",O2010="331")),"x","")</f>
        <v/>
      </c>
      <c r="Q2010" s="79" t="str">
        <f>IF(AND(B2010='111'!$L$11,OR($N2010=$Q$7,$O2010=$Q$7)),"x","")</f>
        <v/>
      </c>
      <c r="R2010" s="79" t="str">
        <f>IF(AND($N2010=$Q$7,$B2010&lt;'111'!$L$11),"x","")</f>
        <v/>
      </c>
      <c r="S2010" s="79" t="str">
        <f>IF(AND($O2010=$Q$7,$B2010&lt;'111'!$L$11),"x","")</f>
        <v/>
      </c>
      <c r="T2010" s="79" t="str">
        <f>IF(ISERROR(FIND('112'!$M$9,G2010,1)),"",IF((AND(FIND('112'!$M$9,G2010,1)&gt;=1,B2010='112'!$K$9,OR($N2010='112'!$I$6,$O2010='112'!$I$6))),"x",""))</f>
        <v/>
      </c>
      <c r="U2010" s="79" t="str">
        <f>IF(ISERROR(FIND('112'!$M$9,G2010,1)),"",IF((AND(LEFT(G2010,2)=LEFT('112'!$M$9,2),B2010&lt;'112'!$K$9,$N2010='112'!$I$6)),"x",""))</f>
        <v/>
      </c>
      <c r="V2010" s="79" t="str">
        <f>IF(ISERROR(FIND('112'!$M$9,G2010,1)),"",IF((AND(RIGHT(G2010,2)=RIGHT('112'!$M$9,2),B2010&lt;'112'!$K$9,$O2010='112'!$I$6)),"x",""))</f>
        <v/>
      </c>
      <c r="W2010" s="79" t="str">
        <f>IF(AND('341-CT'!$H$9=H2010,OR(LEFT(N2010,3)=$W$7,LEFT(O2010,3)=$W$7)),"x","")</f>
        <v/>
      </c>
      <c r="X2010" s="79" t="str">
        <f>IF(OR(TH!N2010=TH!$X$7,O2010=TH!$X$7),"x","")</f>
        <v/>
      </c>
      <c r="Y2010" s="79" t="str">
        <f>IF(AND(OR(N2010="131",O2010="131"),H2010='131-CT'!$H$9),"x","")</f>
        <v/>
      </c>
      <c r="Z2010" s="79"/>
      <c r="AA2010" s="79" t="str">
        <f>IF(AND(MONTH(E2010)='IN-NX'!$J$5,'IN-NX'!$D$7=D2010),"x","")</f>
        <v/>
      </c>
      <c r="AB2010" s="79" t="str">
        <f>IF(AND(OR(LEFT(TH!N2010,2)="15",LEFT(TH!O2010,2)="15"),LEFT(TH!O2010,3)&lt;&gt;"111",'152-CT'!$J$8=TH!F2010),"x","")</f>
        <v/>
      </c>
      <c r="AC2010" s="79" t="str">
        <f>IF(AND(OR(LEFT(TH!N2010,2)="15",LEFT(TH!O2010,2)="15"),TK!$E$7=TH!F2010),"x","")</f>
        <v/>
      </c>
      <c r="AD2010" s="79" t="str">
        <f>IF(AND(N2010="1521",MONTH(C2010)='BK-NL'!$M$11),"x","")</f>
        <v/>
      </c>
    </row>
    <row r="2011" spans="1:30" ht="16.5" customHeight="1">
      <c r="A2011" s="318" t="str">
        <f>IF(B2011&lt;&gt;"",IF(AND(B2011='IN-TC'!$S$4,OR(TH!N2011="1111",TH!O2011="1111")),TH!D2011,""),"")</f>
        <v/>
      </c>
      <c r="B2011" s="60" t="str">
        <f t="shared" si="232"/>
        <v/>
      </c>
      <c r="C2011" s="301"/>
      <c r="D2011" s="301"/>
      <c r="E2011" s="301"/>
      <c r="F2011" s="302"/>
      <c r="G2011" s="968"/>
      <c r="H2011" s="69"/>
      <c r="I2011" s="385"/>
      <c r="J2011" s="969"/>
      <c r="K2011" s="385"/>
      <c r="L2011" s="392"/>
      <c r="M2011" s="970"/>
      <c r="N2011" s="304"/>
      <c r="O2011" s="304"/>
      <c r="P2011" s="79" t="str">
        <f>IF(AND('331-CT'!$E$7=TH!H2011,OR(N2011="331",O2011="331")),"x","")</f>
        <v/>
      </c>
      <c r="Q2011" s="79" t="str">
        <f>IF(AND(B2011='111'!$L$11,OR($N2011=$Q$7,$O2011=$Q$7)),"x","")</f>
        <v/>
      </c>
      <c r="R2011" s="79" t="str">
        <f>IF(AND($N2011=$Q$7,$B2011&lt;'111'!$L$11),"x","")</f>
        <v/>
      </c>
      <c r="S2011" s="79" t="str">
        <f>IF(AND($O2011=$Q$7,$B2011&lt;'111'!$L$11),"x","")</f>
        <v/>
      </c>
      <c r="T2011" s="79" t="str">
        <f>IF(ISERROR(FIND('112'!$M$9,G2011,1)),"",IF((AND(FIND('112'!$M$9,G2011,1)&gt;=1,B2011='112'!$K$9,OR($N2011='112'!$I$6,$O2011='112'!$I$6))),"x",""))</f>
        <v/>
      </c>
      <c r="U2011" s="79" t="str">
        <f>IF(ISERROR(FIND('112'!$M$9,G2011,1)),"",IF((AND(LEFT(G2011,2)=LEFT('112'!$M$9,2),B2011&lt;'112'!$K$9,$N2011='112'!$I$6)),"x",""))</f>
        <v/>
      </c>
      <c r="V2011" s="79" t="str">
        <f>IF(ISERROR(FIND('112'!$M$9,G2011,1)),"",IF((AND(RIGHT(G2011,2)=RIGHT('112'!$M$9,2),B2011&lt;'112'!$K$9,$O2011='112'!$I$6)),"x",""))</f>
        <v/>
      </c>
      <c r="W2011" s="79" t="str">
        <f>IF(AND('341-CT'!$H$9=H2011,OR(LEFT(N2011,3)=$W$7,LEFT(O2011,3)=$W$7)),"x","")</f>
        <v/>
      </c>
      <c r="X2011" s="79" t="str">
        <f>IF(OR(TH!N2011=TH!$X$7,O2011=TH!$X$7),"x","")</f>
        <v/>
      </c>
      <c r="Y2011" s="79" t="str">
        <f>IF(AND(OR(N2011="131",O2011="131"),H2011='131-CT'!$H$9),"x","")</f>
        <v/>
      </c>
      <c r="Z2011" s="79"/>
      <c r="AA2011" s="79" t="str">
        <f>IF(AND(MONTH(E2011)='IN-NX'!$J$5,'IN-NX'!$D$7=D2011),"x","")</f>
        <v/>
      </c>
      <c r="AB2011" s="79" t="str">
        <f>IF(AND(OR(LEFT(TH!N2011,2)="15",LEFT(TH!O2011,2)="15"),LEFT(TH!O2011,3)&lt;&gt;"111",'152-CT'!$J$8=TH!F2011),"x","")</f>
        <v/>
      </c>
      <c r="AC2011" s="79" t="str">
        <f>IF(AND(OR(LEFT(TH!N2011,2)="15",LEFT(TH!O2011,2)="15"),TK!$E$7=TH!F2011),"x","")</f>
        <v/>
      </c>
      <c r="AD2011" s="79" t="str">
        <f>IF(AND(N2011="1521",MONTH(C2011)='BK-NL'!$M$11),"x","")</f>
        <v/>
      </c>
    </row>
    <row r="2012" spans="1:30" ht="16.5" customHeight="1">
      <c r="A2012" s="318" t="str">
        <f>IF(B2012&lt;&gt;"",IF(AND(B2012='IN-TC'!$S$4,OR(TH!N2012="1111",TH!O2012="1111")),TH!D2012,""),"")</f>
        <v/>
      </c>
      <c r="B2012" s="60" t="str">
        <f t="shared" si="232"/>
        <v/>
      </c>
      <c r="C2012" s="981"/>
      <c r="D2012" s="981"/>
      <c r="E2012" s="981"/>
      <c r="F2012" s="1133"/>
      <c r="G2012" s="1130"/>
      <c r="H2012" s="982"/>
      <c r="I2012" s="984"/>
      <c r="J2012" s="983"/>
      <c r="K2012" s="984"/>
      <c r="L2012" s="983"/>
      <c r="M2012" s="985"/>
      <c r="N2012" s="986"/>
      <c r="O2012" s="986"/>
      <c r="P2012" s="79" t="str">
        <f>IF(AND('331-CT'!$E$7=TH!H2012,OR(N2012="331",O2012="331")),"x","")</f>
        <v/>
      </c>
      <c r="Q2012" s="79" t="str">
        <f>IF(AND(B2012='111'!$L$11,OR($N2012=$Q$7,$O2012=$Q$7)),"x","")</f>
        <v/>
      </c>
      <c r="R2012" s="79" t="str">
        <f>IF(AND($N2012=$Q$7,$B2012&lt;'111'!$L$11),"x","")</f>
        <v/>
      </c>
      <c r="S2012" s="79" t="str">
        <f>IF(AND($O2012=$Q$7,$B2012&lt;'111'!$L$11),"x","")</f>
        <v/>
      </c>
      <c r="T2012" s="79" t="str">
        <f>IF(ISERROR(FIND('112'!$M$9,G2012,1)),"",IF((AND(FIND('112'!$M$9,G2012,1)&gt;=1,B2012='112'!$K$9,OR($N2012='112'!$I$6,$O2012='112'!$I$6))),"x",""))</f>
        <v/>
      </c>
      <c r="U2012" s="79" t="str">
        <f>IF(ISERROR(FIND('112'!$M$9,G2012,1)),"",IF((AND(LEFT(G2012,2)=LEFT('112'!$M$9,2),B2012&lt;'112'!$K$9,$N2012='112'!$I$6)),"x",""))</f>
        <v/>
      </c>
      <c r="V2012" s="79" t="str">
        <f>IF(ISERROR(FIND('112'!$M$9,G2012,1)),"",IF((AND(RIGHT(G2012,2)=RIGHT('112'!$M$9,2),B2012&lt;'112'!$K$9,$O2012='112'!$I$6)),"x",""))</f>
        <v/>
      </c>
      <c r="W2012" s="79" t="str">
        <f>IF(AND('341-CT'!$H$9=H2012,OR(LEFT(N2012,3)=$W$7,LEFT(O2012,3)=$W$7)),"x","")</f>
        <v/>
      </c>
      <c r="X2012" s="79" t="str">
        <f>IF(OR(TH!N2012=TH!$X$7,O2012=TH!$X$7),"x","")</f>
        <v/>
      </c>
      <c r="Y2012" s="79" t="str">
        <f>IF(AND(OR(N2012="131",O2012="131"),H2012='131-CT'!$H$9),"x","")</f>
        <v/>
      </c>
      <c r="Z2012" s="79"/>
      <c r="AA2012" s="79" t="str">
        <f>IF(AND(MONTH(E2012)='IN-NX'!$J$5,'IN-NX'!$D$7=D2012),"x","")</f>
        <v/>
      </c>
      <c r="AB2012" s="79" t="str">
        <f>IF(AND(OR(LEFT(TH!N2012,2)="15",LEFT(TH!O2012,2)="15"),LEFT(TH!O2012,3)&lt;&gt;"111",'152-CT'!$J$8=TH!F2012),"x","")</f>
        <v/>
      </c>
      <c r="AC2012" s="79" t="str">
        <f>IF(AND(OR(LEFT(TH!N2012,2)="15",LEFT(TH!O2012,2)="15"),TK!$E$7=TH!F2012),"x","")</f>
        <v/>
      </c>
      <c r="AD2012" s="79" t="str">
        <f>IF(AND(N2012="1521",MONTH(C2012)='BK-NL'!$M$11),"x","")</f>
        <v/>
      </c>
    </row>
    <row r="2013" spans="1:30" ht="16.5" customHeight="1">
      <c r="A2013" s="318" t="str">
        <f>IF(B2013&lt;&gt;"",IF(AND(B2013='IN-TC'!$S$4,OR(TH!N2013="1111",TH!O2013="1111")),TH!D2013,""),"")</f>
        <v/>
      </c>
      <c r="B2013" s="60" t="str">
        <f t="shared" si="232"/>
        <v/>
      </c>
      <c r="C2013" s="981"/>
      <c r="D2013" s="981"/>
      <c r="E2013" s="981"/>
      <c r="F2013" s="1133"/>
      <c r="G2013" s="1130"/>
      <c r="H2013" s="982"/>
      <c r="I2013" s="984"/>
      <c r="J2013" s="983"/>
      <c r="K2013" s="984"/>
      <c r="L2013" s="983"/>
      <c r="M2013" s="985"/>
      <c r="N2013" s="986"/>
      <c r="O2013" s="986"/>
      <c r="P2013" s="79" t="str">
        <f>IF(AND('331-CT'!$E$7=TH!H2013,OR(N2013="331",O2013="331")),"x","")</f>
        <v/>
      </c>
      <c r="Q2013" s="79" t="str">
        <f>IF(AND(B2013='111'!$L$11,OR($N2013=$Q$7,$O2013=$Q$7)),"x","")</f>
        <v/>
      </c>
      <c r="R2013" s="79" t="str">
        <f>IF(AND($N2013=$Q$7,$B2013&lt;'111'!$L$11),"x","")</f>
        <v/>
      </c>
      <c r="S2013" s="79" t="str">
        <f>IF(AND($O2013=$Q$7,$B2013&lt;'111'!$L$11),"x","")</f>
        <v/>
      </c>
      <c r="T2013" s="79" t="str">
        <f>IF(ISERROR(FIND('112'!$M$9,G2013,1)),"",IF((AND(FIND('112'!$M$9,G2013,1)&gt;=1,B2013='112'!$K$9,OR($N2013='112'!$I$6,$O2013='112'!$I$6))),"x",""))</f>
        <v/>
      </c>
      <c r="U2013" s="79" t="str">
        <f>IF(ISERROR(FIND('112'!$M$9,G2013,1)),"",IF((AND(LEFT(G2013,2)=LEFT('112'!$M$9,2),B2013&lt;'112'!$K$9,$N2013='112'!$I$6)),"x",""))</f>
        <v/>
      </c>
      <c r="V2013" s="79" t="str">
        <f>IF(ISERROR(FIND('112'!$M$9,G2013,1)),"",IF((AND(RIGHT(G2013,2)=RIGHT('112'!$M$9,2),B2013&lt;'112'!$K$9,$O2013='112'!$I$6)),"x",""))</f>
        <v/>
      </c>
      <c r="W2013" s="79" t="str">
        <f>IF(AND('341-CT'!$H$9=H2013,OR(LEFT(N2013,3)=$W$7,LEFT(O2013,3)=$W$7)),"x","")</f>
        <v/>
      </c>
      <c r="X2013" s="79" t="str">
        <f>IF(OR(TH!N2013=TH!$X$7,O2013=TH!$X$7),"x","")</f>
        <v/>
      </c>
      <c r="Y2013" s="79" t="str">
        <f>IF(AND(OR(N2013="131",O2013="131"),H2013='131-CT'!$H$9),"x","")</f>
        <v/>
      </c>
      <c r="Z2013" s="79"/>
      <c r="AA2013" s="79" t="str">
        <f>IF(AND(MONTH(E2013)='IN-NX'!$J$5,'IN-NX'!$D$7=D2013),"x","")</f>
        <v/>
      </c>
      <c r="AB2013" s="79" t="str">
        <f>IF(AND(OR(LEFT(TH!N2013,2)="15",LEFT(TH!O2013,2)="15"),LEFT(TH!O2013,3)&lt;&gt;"111",'152-CT'!$J$8=TH!F2013),"x","")</f>
        <v/>
      </c>
      <c r="AC2013" s="79" t="str">
        <f>IF(AND(OR(LEFT(TH!N2013,2)="15",LEFT(TH!O2013,2)="15"),TK!$E$7=TH!F2013),"x","")</f>
        <v/>
      </c>
      <c r="AD2013" s="79" t="str">
        <f>IF(AND(N2013="1521",MONTH(C2013)='BK-NL'!$M$11),"x","")</f>
        <v/>
      </c>
    </row>
    <row r="2014" spans="1:30" ht="16.5" customHeight="1">
      <c r="A2014" s="318" t="str">
        <f>IF(B2014&lt;&gt;"",IF(AND(B2014='IN-TC'!$S$4,OR(TH!N2014="1111",TH!O2014="1111")),TH!D2014,""),"")</f>
        <v/>
      </c>
      <c r="B2014" s="60" t="str">
        <f t="shared" si="232"/>
        <v/>
      </c>
      <c r="C2014" s="301"/>
      <c r="D2014" s="301"/>
      <c r="E2014" s="301"/>
      <c r="F2014" s="302"/>
      <c r="G2014" s="968"/>
      <c r="H2014" s="69"/>
      <c r="I2014" s="385"/>
      <c r="J2014" s="969"/>
      <c r="K2014" s="385"/>
      <c r="L2014" s="392"/>
      <c r="M2014" s="970"/>
      <c r="N2014" s="304"/>
      <c r="O2014" s="304"/>
      <c r="P2014" s="79" t="str">
        <f>IF(AND('331-CT'!$E$7=TH!H2014,OR(N2014="331",O2014="331")),"x","")</f>
        <v/>
      </c>
      <c r="Q2014" s="79" t="str">
        <f>IF(AND(B2014='111'!$L$11,OR($N2014=$Q$7,$O2014=$Q$7)),"x","")</f>
        <v/>
      </c>
      <c r="R2014" s="79" t="str">
        <f>IF(AND($N2014=$Q$7,$B2014&lt;'111'!$L$11),"x","")</f>
        <v/>
      </c>
      <c r="S2014" s="79" t="str">
        <f>IF(AND($O2014=$Q$7,$B2014&lt;'111'!$L$11),"x","")</f>
        <v/>
      </c>
      <c r="T2014" s="79" t="str">
        <f>IF(ISERROR(FIND('112'!$M$9,G2014,1)),"",IF((AND(FIND('112'!$M$9,G2014,1)&gt;=1,B2014='112'!$K$9,OR($N2014='112'!$I$6,$O2014='112'!$I$6))),"x",""))</f>
        <v/>
      </c>
      <c r="U2014" s="79" t="str">
        <f>IF(ISERROR(FIND('112'!$M$9,G2014,1)),"",IF((AND(LEFT(G2014,2)=LEFT('112'!$M$9,2),B2014&lt;'112'!$K$9,$N2014='112'!$I$6)),"x",""))</f>
        <v/>
      </c>
      <c r="V2014" s="79" t="str">
        <f>IF(ISERROR(FIND('112'!$M$9,G2014,1)),"",IF((AND(RIGHT(G2014,2)=RIGHT('112'!$M$9,2),B2014&lt;'112'!$K$9,$O2014='112'!$I$6)),"x",""))</f>
        <v/>
      </c>
      <c r="W2014" s="79" t="str">
        <f>IF(AND('341-CT'!$H$9=H2014,OR(LEFT(N2014,3)=$W$7,LEFT(O2014,3)=$W$7)),"x","")</f>
        <v/>
      </c>
      <c r="X2014" s="79" t="str">
        <f>IF(OR(TH!N2014=TH!$X$7,O2014=TH!$X$7),"x","")</f>
        <v/>
      </c>
      <c r="Y2014" s="79" t="str">
        <f>IF(AND(OR(N2014="131",O2014="131"),H2014='131-CT'!$H$9),"x","")</f>
        <v/>
      </c>
      <c r="Z2014" s="79"/>
      <c r="AA2014" s="79" t="str">
        <f>IF(AND(MONTH(E2014)='IN-NX'!$J$5,'IN-NX'!$D$7=D2014),"x","")</f>
        <v/>
      </c>
      <c r="AB2014" s="79" t="str">
        <f>IF(AND(OR(LEFT(TH!N2014,2)="15",LEFT(TH!O2014,2)="15"),LEFT(TH!O2014,3)&lt;&gt;"111",'152-CT'!$J$8=TH!F2014),"x","")</f>
        <v/>
      </c>
      <c r="AC2014" s="79" t="str">
        <f>IF(AND(OR(LEFT(TH!N2014,2)="15",LEFT(TH!O2014,2)="15"),TK!$E$7=TH!F2014),"x","")</f>
        <v/>
      </c>
      <c r="AD2014" s="79" t="str">
        <f>IF(AND(N2014="1521",MONTH(C2014)='BK-NL'!$M$11),"x","")</f>
        <v/>
      </c>
    </row>
    <row r="2015" spans="1:30" ht="16.5" customHeight="1">
      <c r="A2015" s="318" t="str">
        <f>IF(B2015&lt;&gt;"",IF(AND(B2015='IN-TC'!$S$4,OR(TH!N2015="1111",TH!O2015="1111")),TH!D2015,""),"")</f>
        <v/>
      </c>
      <c r="B2015" s="60" t="str">
        <f t="shared" si="232"/>
        <v/>
      </c>
      <c r="C2015" s="301"/>
      <c r="D2015" s="301"/>
      <c r="E2015" s="301"/>
      <c r="F2015" s="302"/>
      <c r="G2015" s="968"/>
      <c r="H2015" s="69"/>
      <c r="I2015" s="385"/>
      <c r="J2015" s="969"/>
      <c r="K2015" s="385"/>
      <c r="L2015" s="392"/>
      <c r="M2015" s="970"/>
      <c r="N2015" s="304"/>
      <c r="O2015" s="304"/>
      <c r="P2015" s="79" t="str">
        <f>IF(AND('331-CT'!$E$7=TH!H2015,OR(N2015="331",O2015="331")),"x","")</f>
        <v/>
      </c>
      <c r="Q2015" s="79" t="str">
        <f>IF(AND(B2015='111'!$L$11,OR($N2015=$Q$7,$O2015=$Q$7)),"x","")</f>
        <v/>
      </c>
      <c r="R2015" s="79" t="str">
        <f>IF(AND($N2015=$Q$7,$B2015&lt;'111'!$L$11),"x","")</f>
        <v/>
      </c>
      <c r="S2015" s="79" t="str">
        <f>IF(AND($O2015=$Q$7,$B2015&lt;'111'!$L$11),"x","")</f>
        <v/>
      </c>
      <c r="T2015" s="79" t="str">
        <f>IF(ISERROR(FIND('112'!$M$9,G2015,1)),"",IF((AND(FIND('112'!$M$9,G2015,1)&gt;=1,B2015='112'!$K$9,OR($N2015='112'!$I$6,$O2015='112'!$I$6))),"x",""))</f>
        <v/>
      </c>
      <c r="U2015" s="79" t="str">
        <f>IF(ISERROR(FIND('112'!$M$9,G2015,1)),"",IF((AND(LEFT(G2015,2)=LEFT('112'!$M$9,2),B2015&lt;'112'!$K$9,$N2015='112'!$I$6)),"x",""))</f>
        <v/>
      </c>
      <c r="V2015" s="79" t="str">
        <f>IF(ISERROR(FIND('112'!$M$9,G2015,1)),"",IF((AND(RIGHT(G2015,2)=RIGHT('112'!$M$9,2),B2015&lt;'112'!$K$9,$O2015='112'!$I$6)),"x",""))</f>
        <v/>
      </c>
      <c r="W2015" s="79" t="str">
        <f>IF(AND('341-CT'!$H$9=H2015,OR(LEFT(N2015,3)=$W$7,LEFT(O2015,3)=$W$7)),"x","")</f>
        <v/>
      </c>
      <c r="X2015" s="79" t="str">
        <f>IF(OR(TH!N2015=TH!$X$7,O2015=TH!$X$7),"x","")</f>
        <v/>
      </c>
      <c r="Y2015" s="79" t="str">
        <f>IF(AND(OR(N2015="131",O2015="131"),H2015='131-CT'!$H$9),"x","")</f>
        <v/>
      </c>
      <c r="Z2015" s="79"/>
      <c r="AA2015" s="79" t="str">
        <f>IF(AND(MONTH(E2015)='IN-NX'!$J$5,'IN-NX'!$D$7=D2015),"x","")</f>
        <v/>
      </c>
      <c r="AB2015" s="79" t="str">
        <f>IF(AND(OR(LEFT(TH!N2015,2)="15",LEFT(TH!O2015,2)="15"),LEFT(TH!O2015,3)&lt;&gt;"111",'152-CT'!$J$8=TH!F2015),"x","")</f>
        <v/>
      </c>
      <c r="AC2015" s="79" t="str">
        <f>IF(AND(OR(LEFT(TH!N2015,2)="15",LEFT(TH!O2015,2)="15"),TK!$E$7=TH!F2015),"x","")</f>
        <v/>
      </c>
      <c r="AD2015" s="79" t="str">
        <f>IF(AND(N2015="1521",MONTH(C2015)='BK-NL'!$M$11),"x","")</f>
        <v/>
      </c>
    </row>
    <row r="2016" spans="1:30" ht="16.5" customHeight="1">
      <c r="A2016" s="318" t="str">
        <f>IF(B2016&lt;&gt;"",IF(AND(B2016='IN-TC'!$S$4,OR(TH!N2016="1111",TH!O2016="1111")),TH!D2016,""),"")</f>
        <v/>
      </c>
      <c r="B2016" s="60" t="str">
        <f t="shared" si="232"/>
        <v/>
      </c>
      <c r="C2016" s="301"/>
      <c r="D2016" s="301"/>
      <c r="E2016" s="301"/>
      <c r="F2016" s="302"/>
      <c r="G2016" s="968"/>
      <c r="H2016" s="69"/>
      <c r="I2016" s="385"/>
      <c r="J2016" s="969"/>
      <c r="K2016" s="385"/>
      <c r="L2016" s="392"/>
      <c r="M2016" s="970"/>
      <c r="N2016" s="304"/>
      <c r="O2016" s="304"/>
      <c r="P2016" s="79" t="str">
        <f>IF(AND('331-CT'!$E$7=TH!H2016,OR(N2016="331",O2016="331")),"x","")</f>
        <v/>
      </c>
      <c r="Q2016" s="79" t="str">
        <f>IF(AND(B2016='111'!$L$11,OR($N2016=$Q$7,$O2016=$Q$7)),"x","")</f>
        <v/>
      </c>
      <c r="R2016" s="79" t="str">
        <f>IF(AND($N2016=$Q$7,$B2016&lt;'111'!$L$11),"x","")</f>
        <v/>
      </c>
      <c r="S2016" s="79" t="str">
        <f>IF(AND($O2016=$Q$7,$B2016&lt;'111'!$L$11),"x","")</f>
        <v/>
      </c>
      <c r="T2016" s="79" t="str">
        <f>IF(ISERROR(FIND('112'!$M$9,G2016,1)),"",IF((AND(FIND('112'!$M$9,G2016,1)&gt;=1,B2016='112'!$K$9,OR($N2016='112'!$I$6,$O2016='112'!$I$6))),"x",""))</f>
        <v/>
      </c>
      <c r="U2016" s="79" t="str">
        <f>IF(ISERROR(FIND('112'!$M$9,G2016,1)),"",IF((AND(LEFT(G2016,2)=LEFT('112'!$M$9,2),B2016&lt;'112'!$K$9,$N2016='112'!$I$6)),"x",""))</f>
        <v/>
      </c>
      <c r="V2016" s="79" t="str">
        <f>IF(ISERROR(FIND('112'!$M$9,G2016,1)),"",IF((AND(RIGHT(G2016,2)=RIGHT('112'!$M$9,2),B2016&lt;'112'!$K$9,$O2016='112'!$I$6)),"x",""))</f>
        <v/>
      </c>
      <c r="W2016" s="79" t="str">
        <f>IF(AND('341-CT'!$H$9=H2016,OR(LEFT(N2016,3)=$W$7,LEFT(O2016,3)=$W$7)),"x","")</f>
        <v/>
      </c>
      <c r="X2016" s="79" t="str">
        <f>IF(OR(TH!N2016=TH!$X$7,O2016=TH!$X$7),"x","")</f>
        <v/>
      </c>
      <c r="Y2016" s="79" t="str">
        <f>IF(AND(OR(N2016="131",O2016="131"),H2016='131-CT'!$H$9),"x","")</f>
        <v/>
      </c>
      <c r="Z2016" s="79"/>
      <c r="AA2016" s="79" t="str">
        <f>IF(AND(MONTH(E2016)='IN-NX'!$J$5,'IN-NX'!$D$7=D2016),"x","")</f>
        <v/>
      </c>
      <c r="AB2016" s="79" t="str">
        <f>IF(AND(OR(LEFT(TH!N2016,2)="15",LEFT(TH!O2016,2)="15"),LEFT(TH!O2016,3)&lt;&gt;"111",'152-CT'!$J$8=TH!F2016),"x","")</f>
        <v/>
      </c>
      <c r="AC2016" s="79" t="str">
        <f>IF(AND(OR(LEFT(TH!N2016,2)="15",LEFT(TH!O2016,2)="15"),TK!$E$7=TH!F2016),"x","")</f>
        <v/>
      </c>
      <c r="AD2016" s="79" t="str">
        <f>IF(AND(N2016="1521",MONTH(C2016)='BK-NL'!$M$11),"x","")</f>
        <v/>
      </c>
    </row>
    <row r="2017" spans="1:30" ht="16.5" customHeight="1">
      <c r="A2017" s="318" t="str">
        <f>IF(B2017&lt;&gt;"",IF(AND(B2017='IN-TC'!$S$4,OR(TH!N2017="1111",TH!O2017="1111")),TH!D2017,""),"")</f>
        <v/>
      </c>
      <c r="B2017" s="60" t="str">
        <f t="shared" si="232"/>
        <v/>
      </c>
      <c r="C2017" s="301"/>
      <c r="D2017" s="301"/>
      <c r="E2017" s="301"/>
      <c r="F2017" s="302"/>
      <c r="G2017" s="968"/>
      <c r="H2017" s="69"/>
      <c r="I2017" s="385"/>
      <c r="J2017" s="969"/>
      <c r="K2017" s="385"/>
      <c r="L2017" s="392"/>
      <c r="M2017" s="970"/>
      <c r="N2017" s="304"/>
      <c r="O2017" s="304"/>
      <c r="P2017" s="79" t="str">
        <f>IF(AND('331-CT'!$E$7=TH!H2017,OR(N2017="331",O2017="331")),"x","")</f>
        <v/>
      </c>
      <c r="Q2017" s="79" t="str">
        <f>IF(AND(B2017='111'!$L$11,OR($N2017=$Q$7,$O2017=$Q$7)),"x","")</f>
        <v/>
      </c>
      <c r="R2017" s="79" t="str">
        <f>IF(AND($N2017=$Q$7,$B2017&lt;'111'!$L$11),"x","")</f>
        <v/>
      </c>
      <c r="S2017" s="79" t="str">
        <f>IF(AND($O2017=$Q$7,$B2017&lt;'111'!$L$11),"x","")</f>
        <v/>
      </c>
      <c r="T2017" s="79" t="str">
        <f>IF(ISERROR(FIND('112'!$M$9,G2017,1)),"",IF((AND(FIND('112'!$M$9,G2017,1)&gt;=1,B2017='112'!$K$9,OR($N2017='112'!$I$6,$O2017='112'!$I$6))),"x",""))</f>
        <v/>
      </c>
      <c r="U2017" s="79" t="str">
        <f>IF(ISERROR(FIND('112'!$M$9,G2017,1)),"",IF((AND(LEFT(G2017,2)=LEFT('112'!$M$9,2),B2017&lt;'112'!$K$9,$N2017='112'!$I$6)),"x",""))</f>
        <v/>
      </c>
      <c r="V2017" s="79" t="str">
        <f>IF(ISERROR(FIND('112'!$M$9,G2017,1)),"",IF((AND(RIGHT(G2017,2)=RIGHT('112'!$M$9,2),B2017&lt;'112'!$K$9,$O2017='112'!$I$6)),"x",""))</f>
        <v/>
      </c>
      <c r="W2017" s="79" t="str">
        <f>IF(AND('341-CT'!$H$9=H2017,OR(LEFT(N2017,3)=$W$7,LEFT(O2017,3)=$W$7)),"x","")</f>
        <v/>
      </c>
      <c r="X2017" s="79" t="str">
        <f>IF(OR(TH!N2017=TH!$X$7,O2017=TH!$X$7),"x","")</f>
        <v/>
      </c>
      <c r="Y2017" s="79" t="str">
        <f>IF(AND(OR(N2017="131",O2017="131"),H2017='131-CT'!$H$9),"x","")</f>
        <v/>
      </c>
      <c r="Z2017" s="79"/>
      <c r="AA2017" s="79" t="str">
        <f>IF(AND(MONTH(E2017)='IN-NX'!$J$5,'IN-NX'!$D$7=D2017),"x","")</f>
        <v/>
      </c>
      <c r="AB2017" s="79" t="str">
        <f>IF(AND(OR(LEFT(TH!N2017,2)="15",LEFT(TH!O2017,2)="15"),LEFT(TH!O2017,3)&lt;&gt;"111",'152-CT'!$J$8=TH!F2017),"x","")</f>
        <v/>
      </c>
      <c r="AC2017" s="79" t="str">
        <f>IF(AND(OR(LEFT(TH!N2017,2)="15",LEFT(TH!O2017,2)="15"),TK!$E$7=TH!F2017),"x","")</f>
        <v/>
      </c>
      <c r="AD2017" s="79" t="str">
        <f>IF(AND(N2017="1521",MONTH(C2017)='BK-NL'!$M$11),"x","")</f>
        <v/>
      </c>
    </row>
    <row r="2018" spans="1:30" ht="16.5" customHeight="1">
      <c r="A2018" s="318" t="str">
        <f>IF(B2018&lt;&gt;"",IF(AND(B2018='IN-TC'!$S$4,OR(TH!N2018="1111",TH!O2018="1111")),TH!D2018,""),"")</f>
        <v/>
      </c>
      <c r="B2018" s="60" t="str">
        <f t="shared" si="232"/>
        <v/>
      </c>
      <c r="C2018" s="301"/>
      <c r="D2018" s="301"/>
      <c r="E2018" s="301"/>
      <c r="F2018" s="302"/>
      <c r="G2018" s="968"/>
      <c r="H2018" s="69"/>
      <c r="I2018" s="385"/>
      <c r="J2018" s="969"/>
      <c r="K2018" s="385"/>
      <c r="L2018" s="392"/>
      <c r="M2018" s="970"/>
      <c r="N2018" s="304"/>
      <c r="O2018" s="304"/>
      <c r="P2018" s="79" t="str">
        <f>IF(AND('331-CT'!$E$7=TH!H2018,OR(N2018="331",O2018="331")),"x","")</f>
        <v/>
      </c>
      <c r="Q2018" s="79" t="str">
        <f>IF(AND(B2018='111'!$L$11,OR($N2018=$Q$7,$O2018=$Q$7)),"x","")</f>
        <v/>
      </c>
      <c r="R2018" s="79" t="str">
        <f>IF(AND($N2018=$Q$7,$B2018&lt;'111'!$L$11),"x","")</f>
        <v/>
      </c>
      <c r="S2018" s="79" t="str">
        <f>IF(AND($O2018=$Q$7,$B2018&lt;'111'!$L$11),"x","")</f>
        <v/>
      </c>
      <c r="T2018" s="79" t="str">
        <f>IF(ISERROR(FIND('112'!$M$9,G2018,1)),"",IF((AND(FIND('112'!$M$9,G2018,1)&gt;=1,B2018='112'!$K$9,OR($N2018='112'!$I$6,$O2018='112'!$I$6))),"x",""))</f>
        <v/>
      </c>
      <c r="U2018" s="79" t="str">
        <f>IF(ISERROR(FIND('112'!$M$9,G2018,1)),"",IF((AND(LEFT(G2018,2)=LEFT('112'!$M$9,2),B2018&lt;'112'!$K$9,$N2018='112'!$I$6)),"x",""))</f>
        <v/>
      </c>
      <c r="V2018" s="79" t="str">
        <f>IF(ISERROR(FIND('112'!$M$9,G2018,1)),"",IF((AND(RIGHT(G2018,2)=RIGHT('112'!$M$9,2),B2018&lt;'112'!$K$9,$O2018='112'!$I$6)),"x",""))</f>
        <v/>
      </c>
      <c r="W2018" s="79" t="str">
        <f>IF(AND('341-CT'!$H$9=H2018,OR(LEFT(N2018,3)=$W$7,LEFT(O2018,3)=$W$7)),"x","")</f>
        <v/>
      </c>
      <c r="X2018" s="79" t="str">
        <f>IF(OR(TH!N2018=TH!$X$7,O2018=TH!$X$7),"x","")</f>
        <v/>
      </c>
      <c r="Y2018" s="79" t="str">
        <f>IF(AND(OR(N2018="131",O2018="131"),H2018='131-CT'!$H$9),"x","")</f>
        <v/>
      </c>
      <c r="Z2018" s="79"/>
      <c r="AA2018" s="79" t="str">
        <f>IF(AND(MONTH(E2018)='IN-NX'!$J$5,'IN-NX'!$D$7=D2018),"x","")</f>
        <v/>
      </c>
      <c r="AB2018" s="79" t="str">
        <f>IF(AND(OR(LEFT(TH!N2018,2)="15",LEFT(TH!O2018,2)="15"),LEFT(TH!O2018,3)&lt;&gt;"111",'152-CT'!$J$8=TH!F2018),"x","")</f>
        <v/>
      </c>
      <c r="AC2018" s="79" t="str">
        <f>IF(AND(OR(LEFT(TH!N2018,2)="15",LEFT(TH!O2018,2)="15"),TK!$E$7=TH!F2018),"x","")</f>
        <v/>
      </c>
      <c r="AD2018" s="79" t="str">
        <f>IF(AND(N2018="1521",MONTH(C2018)='BK-NL'!$M$11),"x","")</f>
        <v/>
      </c>
    </row>
    <row r="2019" spans="1:30" ht="16.5" customHeight="1">
      <c r="A2019" s="318" t="str">
        <f>IF(B2019&lt;&gt;"",IF(AND(B2019='IN-TC'!$S$4,OR(TH!N2019="1111",TH!O2019="1111")),TH!D2019,""),"")</f>
        <v/>
      </c>
      <c r="B2019" s="60" t="str">
        <f t="shared" si="232"/>
        <v/>
      </c>
      <c r="C2019" s="301"/>
      <c r="D2019" s="301"/>
      <c r="E2019" s="301"/>
      <c r="F2019" s="302"/>
      <c r="G2019" s="968"/>
      <c r="H2019" s="69"/>
      <c r="I2019" s="385"/>
      <c r="J2019" s="969"/>
      <c r="K2019" s="385"/>
      <c r="L2019" s="392"/>
      <c r="M2019" s="970"/>
      <c r="N2019" s="304"/>
      <c r="O2019" s="304"/>
      <c r="P2019" s="79" t="str">
        <f>IF(AND('331-CT'!$E$7=TH!H2019,OR(N2019="331",O2019="331")),"x","")</f>
        <v/>
      </c>
      <c r="Q2019" s="79" t="str">
        <f>IF(AND(B2019='111'!$L$11,OR($N2019=$Q$7,$O2019=$Q$7)),"x","")</f>
        <v/>
      </c>
      <c r="R2019" s="79" t="str">
        <f>IF(AND($N2019=$Q$7,$B2019&lt;'111'!$L$11),"x","")</f>
        <v/>
      </c>
      <c r="S2019" s="79" t="str">
        <f>IF(AND($O2019=$Q$7,$B2019&lt;'111'!$L$11),"x","")</f>
        <v/>
      </c>
      <c r="T2019" s="79" t="str">
        <f>IF(ISERROR(FIND('112'!$M$9,G2019,1)),"",IF((AND(FIND('112'!$M$9,G2019,1)&gt;=1,B2019='112'!$K$9,OR($N2019='112'!$I$6,$O2019='112'!$I$6))),"x",""))</f>
        <v/>
      </c>
      <c r="U2019" s="79" t="str">
        <f>IF(ISERROR(FIND('112'!$M$9,G2019,1)),"",IF((AND(LEFT(G2019,2)=LEFT('112'!$M$9,2),B2019&lt;'112'!$K$9,$N2019='112'!$I$6)),"x",""))</f>
        <v/>
      </c>
      <c r="V2019" s="79" t="str">
        <f>IF(ISERROR(FIND('112'!$M$9,G2019,1)),"",IF((AND(RIGHT(G2019,2)=RIGHT('112'!$M$9,2),B2019&lt;'112'!$K$9,$O2019='112'!$I$6)),"x",""))</f>
        <v/>
      </c>
      <c r="W2019" s="79" t="str">
        <f>IF(AND('341-CT'!$H$9=H2019,OR(LEFT(N2019,3)=$W$7,LEFT(O2019,3)=$W$7)),"x","")</f>
        <v/>
      </c>
      <c r="X2019" s="79" t="str">
        <f>IF(OR(TH!N2019=TH!$X$7,O2019=TH!$X$7),"x","")</f>
        <v/>
      </c>
      <c r="Y2019" s="79" t="str">
        <f>IF(AND(OR(N2019="131",O2019="131"),H2019='131-CT'!$H$9),"x","")</f>
        <v/>
      </c>
      <c r="Z2019" s="79"/>
      <c r="AA2019" s="79" t="str">
        <f>IF(AND(MONTH(E2019)='IN-NX'!$J$5,'IN-NX'!$D$7=D2019),"x","")</f>
        <v/>
      </c>
      <c r="AB2019" s="79" t="str">
        <f>IF(AND(OR(LEFT(TH!N2019,2)="15",LEFT(TH!O2019,2)="15"),LEFT(TH!O2019,3)&lt;&gt;"111",'152-CT'!$J$8=TH!F2019),"x","")</f>
        <v/>
      </c>
      <c r="AC2019" s="79" t="str">
        <f>IF(AND(OR(LEFT(TH!N2019,2)="15",LEFT(TH!O2019,2)="15"),TK!$E$7=TH!F2019),"x","")</f>
        <v/>
      </c>
      <c r="AD2019" s="79" t="str">
        <f>IF(AND(N2019="1521",MONTH(C2019)='BK-NL'!$M$11),"x","")</f>
        <v/>
      </c>
    </row>
    <row r="2020" spans="1:30" ht="16.5" customHeight="1">
      <c r="A2020" s="318" t="str">
        <f>IF(B2020&lt;&gt;"",IF(AND(B2020='IN-TC'!$S$4,OR(TH!N2020="1111",TH!O2020="1111")),TH!D2020,""),"")</f>
        <v/>
      </c>
      <c r="B2020" s="60" t="str">
        <f t="shared" si="232"/>
        <v/>
      </c>
      <c r="C2020" s="301"/>
      <c r="D2020" s="301"/>
      <c r="E2020" s="301"/>
      <c r="F2020" s="302"/>
      <c r="G2020" s="968"/>
      <c r="H2020" s="69"/>
      <c r="I2020" s="385"/>
      <c r="J2020" s="969"/>
      <c r="K2020" s="385"/>
      <c r="L2020" s="392"/>
      <c r="M2020" s="970"/>
      <c r="N2020" s="304"/>
      <c r="O2020" s="304"/>
      <c r="P2020" s="79" t="str">
        <f>IF(AND('331-CT'!$E$7=TH!H2020,OR(N2020="331",O2020="331")),"x","")</f>
        <v/>
      </c>
      <c r="Q2020" s="79" t="str">
        <f>IF(AND(B2020='111'!$L$11,OR($N2020=$Q$7,$O2020=$Q$7)),"x","")</f>
        <v/>
      </c>
      <c r="R2020" s="79" t="str">
        <f>IF(AND($N2020=$Q$7,$B2020&lt;'111'!$L$11),"x","")</f>
        <v/>
      </c>
      <c r="S2020" s="79" t="str">
        <f>IF(AND($O2020=$Q$7,$B2020&lt;'111'!$L$11),"x","")</f>
        <v/>
      </c>
      <c r="T2020" s="79" t="str">
        <f>IF(ISERROR(FIND('112'!$M$9,G2020,1)),"",IF((AND(FIND('112'!$M$9,G2020,1)&gt;=1,B2020='112'!$K$9,OR($N2020='112'!$I$6,$O2020='112'!$I$6))),"x",""))</f>
        <v/>
      </c>
      <c r="U2020" s="79" t="str">
        <f>IF(ISERROR(FIND('112'!$M$9,G2020,1)),"",IF((AND(LEFT(G2020,2)=LEFT('112'!$M$9,2),B2020&lt;'112'!$K$9,$N2020='112'!$I$6)),"x",""))</f>
        <v/>
      </c>
      <c r="V2020" s="79" t="str">
        <f>IF(ISERROR(FIND('112'!$M$9,G2020,1)),"",IF((AND(RIGHT(G2020,2)=RIGHT('112'!$M$9,2),B2020&lt;'112'!$K$9,$O2020='112'!$I$6)),"x",""))</f>
        <v/>
      </c>
      <c r="W2020" s="79" t="str">
        <f>IF(AND('341-CT'!$H$9=H2020,OR(LEFT(N2020,3)=$W$7,LEFT(O2020,3)=$W$7)),"x","")</f>
        <v/>
      </c>
      <c r="X2020" s="79" t="str">
        <f>IF(OR(TH!N2020=TH!$X$7,O2020=TH!$X$7),"x","")</f>
        <v/>
      </c>
      <c r="Y2020" s="79" t="str">
        <f>IF(AND(OR(N2020="131",O2020="131"),H2020='131-CT'!$H$9),"x","")</f>
        <v/>
      </c>
      <c r="Z2020" s="79"/>
      <c r="AA2020" s="79" t="str">
        <f>IF(AND(MONTH(E2020)='IN-NX'!$J$5,'IN-NX'!$D$7=D2020),"x","")</f>
        <v/>
      </c>
      <c r="AB2020" s="79" t="str">
        <f>IF(AND(OR(LEFT(TH!N2020,2)="15",LEFT(TH!O2020,2)="15"),LEFT(TH!O2020,3)&lt;&gt;"111",'152-CT'!$J$8=TH!F2020),"x","")</f>
        <v/>
      </c>
      <c r="AC2020" s="79" t="str">
        <f>IF(AND(OR(LEFT(TH!N2020,2)="15",LEFT(TH!O2020,2)="15"),TK!$E$7=TH!F2020),"x","")</f>
        <v/>
      </c>
      <c r="AD2020" s="79" t="str">
        <f>IF(AND(N2020="1521",MONTH(C2020)='BK-NL'!$M$11),"x","")</f>
        <v/>
      </c>
    </row>
    <row r="2021" spans="1:30" ht="16.5" customHeight="1">
      <c r="A2021" s="318" t="str">
        <f>IF(B2021&lt;&gt;"",IF(AND(B2021='IN-TC'!$S$4,OR(TH!N2021="1111",TH!O2021="1111")),TH!D2021,""),"")</f>
        <v/>
      </c>
      <c r="B2021" s="60" t="str">
        <f t="shared" si="232"/>
        <v/>
      </c>
      <c r="C2021" s="301"/>
      <c r="D2021" s="301"/>
      <c r="E2021" s="301"/>
      <c r="F2021" s="302"/>
      <c r="G2021" s="968"/>
      <c r="H2021" s="69"/>
      <c r="I2021" s="385"/>
      <c r="J2021" s="969"/>
      <c r="K2021" s="385"/>
      <c r="L2021" s="392"/>
      <c r="M2021" s="970"/>
      <c r="N2021" s="304"/>
      <c r="O2021" s="304"/>
      <c r="P2021" s="79" t="str">
        <f>IF(AND('331-CT'!$E$7=TH!H2021,OR(N2021="331",O2021="331")),"x","")</f>
        <v/>
      </c>
      <c r="Q2021" s="79" t="str">
        <f>IF(AND(B2021='111'!$L$11,OR($N2021=$Q$7,$O2021=$Q$7)),"x","")</f>
        <v/>
      </c>
      <c r="R2021" s="79" t="str">
        <f>IF(AND($N2021=$Q$7,$B2021&lt;'111'!$L$11),"x","")</f>
        <v/>
      </c>
      <c r="S2021" s="79" t="str">
        <f>IF(AND($O2021=$Q$7,$B2021&lt;'111'!$L$11),"x","")</f>
        <v/>
      </c>
      <c r="T2021" s="79" t="str">
        <f>IF(ISERROR(FIND('112'!$M$9,G2021,1)),"",IF((AND(FIND('112'!$M$9,G2021,1)&gt;=1,B2021='112'!$K$9,OR($N2021='112'!$I$6,$O2021='112'!$I$6))),"x",""))</f>
        <v/>
      </c>
      <c r="U2021" s="79" t="str">
        <f>IF(ISERROR(FIND('112'!$M$9,G2021,1)),"",IF((AND(LEFT(G2021,2)=LEFT('112'!$M$9,2),B2021&lt;'112'!$K$9,$N2021='112'!$I$6)),"x",""))</f>
        <v/>
      </c>
      <c r="V2021" s="79" t="str">
        <f>IF(ISERROR(FIND('112'!$M$9,G2021,1)),"",IF((AND(RIGHT(G2021,2)=RIGHT('112'!$M$9,2),B2021&lt;'112'!$K$9,$O2021='112'!$I$6)),"x",""))</f>
        <v/>
      </c>
      <c r="W2021" s="79" t="str">
        <f>IF(AND('341-CT'!$H$9=H2021,OR(LEFT(N2021,3)=$W$7,LEFT(O2021,3)=$W$7)),"x","")</f>
        <v/>
      </c>
      <c r="X2021" s="79" t="str">
        <f>IF(OR(TH!N2021=TH!$X$7,O2021=TH!$X$7),"x","")</f>
        <v/>
      </c>
      <c r="Y2021" s="79" t="str">
        <f>IF(AND(OR(N2021="131",O2021="131"),H2021='131-CT'!$H$9),"x","")</f>
        <v/>
      </c>
      <c r="Z2021" s="79"/>
      <c r="AA2021" s="79" t="str">
        <f>IF(AND(MONTH(E2021)='IN-NX'!$J$5,'IN-NX'!$D$7=D2021),"x","")</f>
        <v/>
      </c>
      <c r="AB2021" s="79" t="str">
        <f>IF(AND(OR(LEFT(TH!N2021,2)="15",LEFT(TH!O2021,2)="15"),LEFT(TH!O2021,3)&lt;&gt;"111",'152-CT'!$J$8=TH!F2021),"x","")</f>
        <v/>
      </c>
      <c r="AC2021" s="79" t="str">
        <f>IF(AND(OR(LEFT(TH!N2021,2)="15",LEFT(TH!O2021,2)="15"),TK!$E$7=TH!F2021),"x","")</f>
        <v/>
      </c>
      <c r="AD2021" s="79" t="str">
        <f>IF(AND(N2021="1521",MONTH(C2021)='BK-NL'!$M$11),"x","")</f>
        <v/>
      </c>
    </row>
    <row r="2022" spans="1:30" ht="16.5" customHeight="1">
      <c r="A2022" s="318" t="str">
        <f>IF(B2022&lt;&gt;"",IF(AND(B2022='IN-TC'!$S$4,OR(TH!N2022="1111",TH!O2022="1111")),TH!D2022,""),"")</f>
        <v/>
      </c>
      <c r="B2022" s="60" t="str">
        <f t="shared" si="232"/>
        <v/>
      </c>
      <c r="C2022" s="301"/>
      <c r="D2022" s="301"/>
      <c r="E2022" s="301"/>
      <c r="F2022" s="302"/>
      <c r="G2022" s="968"/>
      <c r="H2022" s="69"/>
      <c r="I2022" s="385"/>
      <c r="J2022" s="969"/>
      <c r="K2022" s="385"/>
      <c r="L2022" s="392"/>
      <c r="M2022" s="970"/>
      <c r="N2022" s="304"/>
      <c r="O2022" s="304"/>
      <c r="P2022" s="79" t="str">
        <f>IF(AND('331-CT'!$E$7=TH!H2022,OR(N2022="331",O2022="331")),"x","")</f>
        <v/>
      </c>
      <c r="Q2022" s="79" t="str">
        <f>IF(AND(B2022='111'!$L$11,OR($N2022=$Q$7,$O2022=$Q$7)),"x","")</f>
        <v/>
      </c>
      <c r="R2022" s="79" t="str">
        <f>IF(AND($N2022=$Q$7,$B2022&lt;'111'!$L$11),"x","")</f>
        <v/>
      </c>
      <c r="S2022" s="79" t="str">
        <f>IF(AND($O2022=$Q$7,$B2022&lt;'111'!$L$11),"x","")</f>
        <v/>
      </c>
      <c r="T2022" s="79" t="str">
        <f>IF(ISERROR(FIND('112'!$M$9,G2022,1)),"",IF((AND(FIND('112'!$M$9,G2022,1)&gt;=1,B2022='112'!$K$9,OR($N2022='112'!$I$6,$O2022='112'!$I$6))),"x",""))</f>
        <v/>
      </c>
      <c r="U2022" s="79" t="str">
        <f>IF(ISERROR(FIND('112'!$M$9,G2022,1)),"",IF((AND(LEFT(G2022,2)=LEFT('112'!$M$9,2),B2022&lt;'112'!$K$9,$N2022='112'!$I$6)),"x",""))</f>
        <v/>
      </c>
      <c r="V2022" s="79" t="str">
        <f>IF(ISERROR(FIND('112'!$M$9,G2022,1)),"",IF((AND(RIGHT(G2022,2)=RIGHT('112'!$M$9,2),B2022&lt;'112'!$K$9,$O2022='112'!$I$6)),"x",""))</f>
        <v/>
      </c>
      <c r="W2022" s="79" t="str">
        <f>IF(AND('341-CT'!$H$9=H2022,OR(LEFT(N2022,3)=$W$7,LEFT(O2022,3)=$W$7)),"x","")</f>
        <v/>
      </c>
      <c r="X2022" s="79" t="str">
        <f>IF(OR(TH!N2022=TH!$X$7,O2022=TH!$X$7),"x","")</f>
        <v/>
      </c>
      <c r="Y2022" s="79" t="str">
        <f>IF(AND(OR(N2022="131",O2022="131"),H2022='131-CT'!$H$9),"x","")</f>
        <v/>
      </c>
      <c r="Z2022" s="79"/>
      <c r="AA2022" s="79" t="str">
        <f>IF(AND(MONTH(E2022)='IN-NX'!$J$5,'IN-NX'!$D$7=D2022),"x","")</f>
        <v/>
      </c>
      <c r="AB2022" s="79" t="str">
        <f>IF(AND(OR(LEFT(TH!N2022,2)="15",LEFT(TH!O2022,2)="15"),LEFT(TH!O2022,3)&lt;&gt;"111",'152-CT'!$J$8=TH!F2022),"x","")</f>
        <v/>
      </c>
      <c r="AC2022" s="79" t="str">
        <f>IF(AND(OR(LEFT(TH!N2022,2)="15",LEFT(TH!O2022,2)="15"),TK!$E$7=TH!F2022),"x","")</f>
        <v/>
      </c>
      <c r="AD2022" s="79" t="str">
        <f>IF(AND(N2022="1521",MONTH(C2022)='BK-NL'!$M$11),"x","")</f>
        <v/>
      </c>
    </row>
    <row r="2023" spans="1:30" ht="16.5" customHeight="1">
      <c r="A2023" s="318" t="str">
        <f>IF(B2023&lt;&gt;"",IF(AND(B2023='IN-TC'!$S$4,OR(TH!N2023="1111",TH!O2023="1111")),TH!D2023,""),"")</f>
        <v/>
      </c>
      <c r="B2023" s="60" t="str">
        <f t="shared" si="232"/>
        <v/>
      </c>
      <c r="C2023" s="301"/>
      <c r="D2023" s="301"/>
      <c r="E2023" s="301"/>
      <c r="F2023" s="302"/>
      <c r="G2023" s="968"/>
      <c r="H2023" s="69"/>
      <c r="I2023" s="385"/>
      <c r="J2023" s="969"/>
      <c r="K2023" s="385"/>
      <c r="L2023" s="392"/>
      <c r="M2023" s="970"/>
      <c r="N2023" s="304"/>
      <c r="O2023" s="304"/>
      <c r="P2023" s="79" t="str">
        <f>IF(AND('331-CT'!$E$7=TH!H2023,OR(N2023="331",O2023="331")),"x","")</f>
        <v/>
      </c>
      <c r="Q2023" s="79" t="str">
        <f>IF(AND(B2023='111'!$L$11,OR($N2023=$Q$7,$O2023=$Q$7)),"x","")</f>
        <v/>
      </c>
      <c r="R2023" s="79" t="str">
        <f>IF(AND($N2023=$Q$7,$B2023&lt;'111'!$L$11),"x","")</f>
        <v/>
      </c>
      <c r="S2023" s="79" t="str">
        <f>IF(AND($O2023=$Q$7,$B2023&lt;'111'!$L$11),"x","")</f>
        <v/>
      </c>
      <c r="T2023" s="79" t="str">
        <f>IF(ISERROR(FIND('112'!$M$9,G2023,1)),"",IF((AND(FIND('112'!$M$9,G2023,1)&gt;=1,B2023='112'!$K$9,OR($N2023='112'!$I$6,$O2023='112'!$I$6))),"x",""))</f>
        <v/>
      </c>
      <c r="U2023" s="79" t="str">
        <f>IF(ISERROR(FIND('112'!$M$9,G2023,1)),"",IF((AND(LEFT(G2023,2)=LEFT('112'!$M$9,2),B2023&lt;'112'!$K$9,$N2023='112'!$I$6)),"x",""))</f>
        <v/>
      </c>
      <c r="V2023" s="79" t="str">
        <f>IF(ISERROR(FIND('112'!$M$9,G2023,1)),"",IF((AND(RIGHT(G2023,2)=RIGHT('112'!$M$9,2),B2023&lt;'112'!$K$9,$O2023='112'!$I$6)),"x",""))</f>
        <v/>
      </c>
      <c r="W2023" s="79" t="str">
        <f>IF(AND('341-CT'!$H$9=H2023,OR(LEFT(N2023,3)=$W$7,LEFT(O2023,3)=$W$7)),"x","")</f>
        <v/>
      </c>
      <c r="X2023" s="79" t="str">
        <f>IF(OR(TH!N2023=TH!$X$7,O2023=TH!$X$7),"x","")</f>
        <v/>
      </c>
      <c r="Y2023" s="79" t="str">
        <f>IF(AND(OR(N2023="131",O2023="131"),H2023='131-CT'!$H$9),"x","")</f>
        <v/>
      </c>
      <c r="Z2023" s="79"/>
      <c r="AA2023" s="79" t="str">
        <f>IF(AND(MONTH(E2023)='IN-NX'!$J$5,'IN-NX'!$D$7=D2023),"x","")</f>
        <v/>
      </c>
      <c r="AB2023" s="79" t="str">
        <f>IF(AND(OR(LEFT(TH!N2023,2)="15",LEFT(TH!O2023,2)="15"),LEFT(TH!O2023,3)&lt;&gt;"111",'152-CT'!$J$8=TH!F2023),"x","")</f>
        <v/>
      </c>
      <c r="AC2023" s="79" t="str">
        <f>IF(AND(OR(LEFT(TH!N2023,2)="15",LEFT(TH!O2023,2)="15"),TK!$E$7=TH!F2023),"x","")</f>
        <v/>
      </c>
      <c r="AD2023" s="79" t="str">
        <f>IF(AND(N2023="1521",MONTH(C2023)='BK-NL'!$M$11),"x","")</f>
        <v/>
      </c>
    </row>
    <row r="2024" spans="1:30" ht="16.5" customHeight="1">
      <c r="A2024" s="318" t="str">
        <f>IF(B2024&lt;&gt;"",IF(AND(B2024='IN-TC'!$S$4,OR(TH!N2024="1111",TH!O2024="1111")),TH!D2024,""),"")</f>
        <v/>
      </c>
      <c r="B2024" s="60" t="str">
        <f t="shared" si="232"/>
        <v/>
      </c>
      <c r="C2024" s="981"/>
      <c r="D2024" s="301"/>
      <c r="E2024" s="981"/>
      <c r="F2024" s="1133"/>
      <c r="G2024" s="1130"/>
      <c r="H2024" s="982"/>
      <c r="I2024" s="984"/>
      <c r="J2024" s="983"/>
      <c r="K2024" s="984"/>
      <c r="L2024" s="983"/>
      <c r="M2024" s="985"/>
      <c r="N2024" s="986"/>
      <c r="O2024" s="986"/>
      <c r="P2024" s="79" t="str">
        <f>IF(AND('331-CT'!$E$7=TH!H2024,OR(N2024="331",O2024="331")),"x","")</f>
        <v/>
      </c>
      <c r="Q2024" s="79" t="str">
        <f>IF(AND(B2024='111'!$L$11,OR($N2024=$Q$7,$O2024=$Q$7)),"x","")</f>
        <v/>
      </c>
      <c r="R2024" s="79" t="str">
        <f>IF(AND($N2024=$Q$7,$B2024&lt;'111'!$L$11),"x","")</f>
        <v/>
      </c>
      <c r="S2024" s="79" t="str">
        <f>IF(AND($O2024=$Q$7,$B2024&lt;'111'!$L$11),"x","")</f>
        <v/>
      </c>
      <c r="T2024" s="79" t="str">
        <f>IF(ISERROR(FIND('112'!$M$9,G2024,1)),"",IF((AND(FIND('112'!$M$9,G2024,1)&gt;=1,B2024='112'!$K$9,OR($N2024='112'!$I$6,$O2024='112'!$I$6))),"x",""))</f>
        <v/>
      </c>
      <c r="U2024" s="79" t="str">
        <f>IF(ISERROR(FIND('112'!$M$9,G2024,1)),"",IF((AND(LEFT(G2024,2)=LEFT('112'!$M$9,2),B2024&lt;'112'!$K$9,$N2024='112'!$I$6)),"x",""))</f>
        <v/>
      </c>
      <c r="V2024" s="79" t="str">
        <f>IF(ISERROR(FIND('112'!$M$9,G2024,1)),"",IF((AND(RIGHT(G2024,2)=RIGHT('112'!$M$9,2),B2024&lt;'112'!$K$9,$O2024='112'!$I$6)),"x",""))</f>
        <v/>
      </c>
      <c r="W2024" s="79" t="str">
        <f>IF(AND('341-CT'!$H$9=H2024,OR(LEFT(N2024,3)=$W$7,LEFT(O2024,3)=$W$7)),"x","")</f>
        <v/>
      </c>
      <c r="X2024" s="79" t="str">
        <f>IF(OR(TH!N2024=TH!$X$7,O2024=TH!$X$7),"x","")</f>
        <v/>
      </c>
      <c r="Y2024" s="79" t="str">
        <f>IF(AND(OR(N2024="131",O2024="131"),H2024='131-CT'!$H$9),"x","")</f>
        <v/>
      </c>
      <c r="Z2024" s="79"/>
      <c r="AA2024" s="79" t="str">
        <f>IF(AND(MONTH(E2024)='IN-NX'!$J$5,'IN-NX'!$D$7=D2024),"x","")</f>
        <v/>
      </c>
      <c r="AB2024" s="79" t="str">
        <f>IF(AND(OR(LEFT(TH!N2024,2)="15",LEFT(TH!O2024,2)="15"),LEFT(TH!O2024,3)&lt;&gt;"111",'152-CT'!$J$8=TH!F2024),"x","")</f>
        <v/>
      </c>
      <c r="AC2024" s="79" t="str">
        <f>IF(AND(OR(LEFT(TH!N2024,2)="15",LEFT(TH!O2024,2)="15"),TK!$E$7=TH!F2024),"x","")</f>
        <v/>
      </c>
      <c r="AD2024" s="79" t="str">
        <f>IF(AND(N2024="1521",MONTH(C2024)='BK-NL'!$M$11),"x","")</f>
        <v/>
      </c>
    </row>
    <row r="2025" spans="1:30" ht="16.5" customHeight="1">
      <c r="A2025" s="318" t="str">
        <f>IF(B2025&lt;&gt;"",IF(AND(B2025='IN-TC'!$S$4,OR(TH!N2025="1111",TH!O2025="1111")),TH!D2025,""),"")</f>
        <v/>
      </c>
      <c r="B2025" s="60" t="str">
        <f t="shared" si="232"/>
        <v/>
      </c>
      <c r="C2025" s="981"/>
      <c r="D2025" s="301"/>
      <c r="E2025" s="981"/>
      <c r="F2025" s="1133"/>
      <c r="G2025" s="1130"/>
      <c r="H2025" s="982"/>
      <c r="I2025" s="984"/>
      <c r="J2025" s="983"/>
      <c r="K2025" s="984"/>
      <c r="L2025" s="983"/>
      <c r="M2025" s="985"/>
      <c r="N2025" s="986"/>
      <c r="O2025" s="986"/>
      <c r="P2025" s="79" t="str">
        <f>IF(AND('331-CT'!$E$7=TH!H2025,OR(N2025="331",O2025="331")),"x","")</f>
        <v/>
      </c>
      <c r="Q2025" s="79" t="str">
        <f>IF(AND(B2025='111'!$L$11,OR($N2025=$Q$7,$O2025=$Q$7)),"x","")</f>
        <v/>
      </c>
      <c r="R2025" s="79" t="str">
        <f>IF(AND($N2025=$Q$7,$B2025&lt;'111'!$L$11),"x","")</f>
        <v/>
      </c>
      <c r="S2025" s="79" t="str">
        <f>IF(AND($O2025=$Q$7,$B2025&lt;'111'!$L$11),"x","")</f>
        <v/>
      </c>
      <c r="T2025" s="79" t="str">
        <f>IF(ISERROR(FIND('112'!$M$9,G2025,1)),"",IF((AND(FIND('112'!$M$9,G2025,1)&gt;=1,B2025='112'!$K$9,OR($N2025='112'!$I$6,$O2025='112'!$I$6))),"x",""))</f>
        <v/>
      </c>
      <c r="U2025" s="79" t="str">
        <f>IF(ISERROR(FIND('112'!$M$9,G2025,1)),"",IF((AND(LEFT(G2025,2)=LEFT('112'!$M$9,2),B2025&lt;'112'!$K$9,$N2025='112'!$I$6)),"x",""))</f>
        <v/>
      </c>
      <c r="V2025" s="79" t="str">
        <f>IF(ISERROR(FIND('112'!$M$9,G2025,1)),"",IF((AND(RIGHT(G2025,2)=RIGHT('112'!$M$9,2),B2025&lt;'112'!$K$9,$O2025='112'!$I$6)),"x",""))</f>
        <v/>
      </c>
      <c r="W2025" s="79" t="str">
        <f>IF(AND('341-CT'!$H$9=H2025,OR(LEFT(N2025,3)=$W$7,LEFT(O2025,3)=$W$7)),"x","")</f>
        <v/>
      </c>
      <c r="X2025" s="79" t="str">
        <f>IF(OR(TH!N2025=TH!$X$7,O2025=TH!$X$7),"x","")</f>
        <v/>
      </c>
      <c r="Y2025" s="79" t="str">
        <f>IF(AND(OR(N2025="131",O2025="131"),H2025='131-CT'!$H$9),"x","")</f>
        <v/>
      </c>
      <c r="Z2025" s="79"/>
      <c r="AA2025" s="79" t="str">
        <f>IF(AND(MONTH(E2025)='IN-NX'!$J$5,'IN-NX'!$D$7=D2025),"x","")</f>
        <v/>
      </c>
      <c r="AB2025" s="79" t="str">
        <f>IF(AND(OR(LEFT(TH!N2025,2)="15",LEFT(TH!O2025,2)="15"),LEFT(TH!O2025,3)&lt;&gt;"111",'152-CT'!$J$8=TH!F2025),"x","")</f>
        <v/>
      </c>
      <c r="AC2025" s="79" t="str">
        <f>IF(AND(OR(LEFT(TH!N2025,2)="15",LEFT(TH!O2025,2)="15"),TK!$E$7=TH!F2025),"x","")</f>
        <v/>
      </c>
      <c r="AD2025" s="79" t="str">
        <f>IF(AND(N2025="1521",MONTH(C2025)='BK-NL'!$M$11),"x","")</f>
        <v/>
      </c>
    </row>
    <row r="2026" spans="1:30" ht="16.5" customHeight="1">
      <c r="A2026" s="318" t="str">
        <f>IF(B2026&lt;&gt;"",IF(AND(B2026='IN-TC'!$S$4,OR(TH!N2026="1111",TH!O2026="1111")),TH!D2026,""),"")</f>
        <v/>
      </c>
      <c r="B2026" s="60" t="str">
        <f t="shared" si="232"/>
        <v/>
      </c>
      <c r="C2026" s="301"/>
      <c r="D2026" s="301"/>
      <c r="E2026" s="301"/>
      <c r="F2026" s="302"/>
      <c r="G2026" s="968"/>
      <c r="H2026" s="69"/>
      <c r="I2026" s="385"/>
      <c r="J2026" s="969"/>
      <c r="K2026" s="385"/>
      <c r="L2026" s="392"/>
      <c r="M2026" s="970"/>
      <c r="N2026" s="304"/>
      <c r="O2026" s="304"/>
      <c r="P2026" s="79" t="str">
        <f>IF(AND('331-CT'!$E$7=TH!H2026,OR(N2026="331",O2026="331")),"x","")</f>
        <v/>
      </c>
      <c r="Q2026" s="79" t="str">
        <f>IF(AND(B2026='111'!$L$11,OR($N2026=$Q$7,$O2026=$Q$7)),"x","")</f>
        <v/>
      </c>
      <c r="R2026" s="79" t="str">
        <f>IF(AND($N2026=$Q$7,$B2026&lt;'111'!$L$11),"x","")</f>
        <v/>
      </c>
      <c r="S2026" s="79" t="str">
        <f>IF(AND($O2026=$Q$7,$B2026&lt;'111'!$L$11),"x","")</f>
        <v/>
      </c>
      <c r="T2026" s="79" t="str">
        <f>IF(ISERROR(FIND('112'!$M$9,G2026,1)),"",IF((AND(FIND('112'!$M$9,G2026,1)&gt;=1,B2026='112'!$K$9,OR($N2026='112'!$I$6,$O2026='112'!$I$6))),"x",""))</f>
        <v/>
      </c>
      <c r="U2026" s="79" t="str">
        <f>IF(ISERROR(FIND('112'!$M$9,G2026,1)),"",IF((AND(LEFT(G2026,2)=LEFT('112'!$M$9,2),B2026&lt;'112'!$K$9,$N2026='112'!$I$6)),"x",""))</f>
        <v/>
      </c>
      <c r="V2026" s="79" t="str">
        <f>IF(ISERROR(FIND('112'!$M$9,G2026,1)),"",IF((AND(RIGHT(G2026,2)=RIGHT('112'!$M$9,2),B2026&lt;'112'!$K$9,$O2026='112'!$I$6)),"x",""))</f>
        <v/>
      </c>
      <c r="W2026" s="79" t="str">
        <f>IF(AND('341-CT'!$H$9=H2026,OR(LEFT(N2026,3)=$W$7,LEFT(O2026,3)=$W$7)),"x","")</f>
        <v/>
      </c>
      <c r="X2026" s="79" t="str">
        <f>IF(OR(TH!N2026=TH!$X$7,O2026=TH!$X$7),"x","")</f>
        <v/>
      </c>
      <c r="Y2026" s="79" t="str">
        <f>IF(AND(OR(N2026="131",O2026="131"),H2026='131-CT'!$H$9),"x","")</f>
        <v/>
      </c>
      <c r="Z2026" s="79"/>
      <c r="AA2026" s="79" t="str">
        <f>IF(AND(MONTH(E2026)='IN-NX'!$J$5,'IN-NX'!$D$7=D2026),"x","")</f>
        <v/>
      </c>
      <c r="AB2026" s="79" t="str">
        <f>IF(AND(OR(LEFT(TH!N2026,2)="15",LEFT(TH!O2026,2)="15"),LEFT(TH!O2026,3)&lt;&gt;"111",'152-CT'!$J$8=TH!F2026),"x","")</f>
        <v/>
      </c>
      <c r="AC2026" s="79" t="str">
        <f>IF(AND(OR(LEFT(TH!N2026,2)="15",LEFT(TH!O2026,2)="15"),TK!$E$7=TH!F2026),"x","")</f>
        <v/>
      </c>
      <c r="AD2026" s="79" t="str">
        <f>IF(AND(N2026="1521",MONTH(C2026)='BK-NL'!$M$11),"x","")</f>
        <v/>
      </c>
    </row>
    <row r="2027" spans="1:30" ht="16.5" customHeight="1">
      <c r="A2027" s="318" t="str">
        <f>IF(B2027&lt;&gt;"",IF(AND(B2027='IN-TC'!$S$4,OR(TH!N2027="1111",TH!O2027="1111")),TH!D2027,""),"")</f>
        <v/>
      </c>
      <c r="B2027" s="60" t="str">
        <f t="shared" si="232"/>
        <v/>
      </c>
      <c r="C2027" s="301"/>
      <c r="D2027" s="301"/>
      <c r="E2027" s="301"/>
      <c r="F2027" s="302"/>
      <c r="G2027" s="968"/>
      <c r="H2027" s="69"/>
      <c r="I2027" s="385"/>
      <c r="J2027" s="969"/>
      <c r="K2027" s="385"/>
      <c r="L2027" s="392"/>
      <c r="M2027" s="970"/>
      <c r="N2027" s="304"/>
      <c r="O2027" s="304"/>
      <c r="P2027" s="79" t="str">
        <f>IF(AND('331-CT'!$E$7=TH!H2027,OR(N2027="331",O2027="331")),"x","")</f>
        <v/>
      </c>
      <c r="Q2027" s="79" t="str">
        <f>IF(AND(B2027='111'!$L$11,OR($N2027=$Q$7,$O2027=$Q$7)),"x","")</f>
        <v/>
      </c>
      <c r="R2027" s="79" t="str">
        <f>IF(AND($N2027=$Q$7,$B2027&lt;'111'!$L$11),"x","")</f>
        <v/>
      </c>
      <c r="S2027" s="79" t="str">
        <f>IF(AND($O2027=$Q$7,$B2027&lt;'111'!$L$11),"x","")</f>
        <v/>
      </c>
      <c r="T2027" s="79" t="str">
        <f>IF(ISERROR(FIND('112'!$M$9,G2027,1)),"",IF((AND(FIND('112'!$M$9,G2027,1)&gt;=1,B2027='112'!$K$9,OR($N2027='112'!$I$6,$O2027='112'!$I$6))),"x",""))</f>
        <v/>
      </c>
      <c r="U2027" s="79" t="str">
        <f>IF(ISERROR(FIND('112'!$M$9,G2027,1)),"",IF((AND(LEFT(G2027,2)=LEFT('112'!$M$9,2),B2027&lt;'112'!$K$9,$N2027='112'!$I$6)),"x",""))</f>
        <v/>
      </c>
      <c r="V2027" s="79" t="str">
        <f>IF(ISERROR(FIND('112'!$M$9,G2027,1)),"",IF((AND(RIGHT(G2027,2)=RIGHT('112'!$M$9,2),B2027&lt;'112'!$K$9,$O2027='112'!$I$6)),"x",""))</f>
        <v/>
      </c>
      <c r="W2027" s="79" t="str">
        <f>IF(AND('341-CT'!$H$9=H2027,OR(LEFT(N2027,3)=$W$7,LEFT(O2027,3)=$W$7)),"x","")</f>
        <v/>
      </c>
      <c r="X2027" s="79" t="str">
        <f>IF(OR(TH!N2027=TH!$X$7,O2027=TH!$X$7),"x","")</f>
        <v/>
      </c>
      <c r="Y2027" s="79" t="str">
        <f>IF(AND(OR(N2027="131",O2027="131"),H2027='131-CT'!$H$9),"x","")</f>
        <v/>
      </c>
      <c r="Z2027" s="79"/>
      <c r="AA2027" s="79" t="str">
        <f>IF(AND(MONTH(E2027)='IN-NX'!$J$5,'IN-NX'!$D$7=D2027),"x","")</f>
        <v/>
      </c>
      <c r="AB2027" s="79" t="str">
        <f>IF(AND(OR(LEFT(TH!N2027,2)="15",LEFT(TH!O2027,2)="15"),LEFT(TH!O2027,3)&lt;&gt;"111",'152-CT'!$J$8=TH!F2027),"x","")</f>
        <v/>
      </c>
      <c r="AC2027" s="79" t="str">
        <f>IF(AND(OR(LEFT(TH!N2027,2)="15",LEFT(TH!O2027,2)="15"),TK!$E$7=TH!F2027),"x","")</f>
        <v/>
      </c>
      <c r="AD2027" s="79" t="str">
        <f>IF(AND(N2027="1521",MONTH(C2027)='BK-NL'!$M$11),"x","")</f>
        <v/>
      </c>
    </row>
    <row r="2028" spans="1:30" ht="16.5" customHeight="1">
      <c r="A2028" s="318" t="str">
        <f>IF(B2028&lt;&gt;"",IF(AND(B2028='IN-TC'!$S$4,OR(TH!N2028="1111",TH!O2028="1111")),TH!D2028,""),"")</f>
        <v/>
      </c>
      <c r="B2028" s="60" t="str">
        <f t="shared" si="232"/>
        <v/>
      </c>
      <c r="C2028" s="301"/>
      <c r="D2028" s="301"/>
      <c r="E2028" s="301"/>
      <c r="F2028" s="302"/>
      <c r="G2028" s="968"/>
      <c r="H2028" s="69"/>
      <c r="I2028" s="385"/>
      <c r="J2028" s="969"/>
      <c r="K2028" s="385"/>
      <c r="L2028" s="392"/>
      <c r="M2028" s="970"/>
      <c r="N2028" s="304"/>
      <c r="O2028" s="304"/>
      <c r="P2028" s="79" t="str">
        <f>IF(AND('331-CT'!$E$7=TH!H2028,OR(N2028="331",O2028="331")),"x","")</f>
        <v/>
      </c>
      <c r="Q2028" s="79" t="str">
        <f>IF(AND(B2028='111'!$L$11,OR($N2028=$Q$7,$O2028=$Q$7)),"x","")</f>
        <v/>
      </c>
      <c r="R2028" s="79" t="str">
        <f>IF(AND($N2028=$Q$7,$B2028&lt;'111'!$L$11),"x","")</f>
        <v/>
      </c>
      <c r="S2028" s="79" t="str">
        <f>IF(AND($O2028=$Q$7,$B2028&lt;'111'!$L$11),"x","")</f>
        <v/>
      </c>
      <c r="T2028" s="79" t="str">
        <f>IF(ISERROR(FIND('112'!$M$9,G2028,1)),"",IF((AND(FIND('112'!$M$9,G2028,1)&gt;=1,B2028='112'!$K$9,OR($N2028='112'!$I$6,$O2028='112'!$I$6))),"x",""))</f>
        <v/>
      </c>
      <c r="U2028" s="79" t="str">
        <f>IF(ISERROR(FIND('112'!$M$9,G2028,1)),"",IF((AND(LEFT(G2028,2)=LEFT('112'!$M$9,2),B2028&lt;'112'!$K$9,$N2028='112'!$I$6)),"x",""))</f>
        <v/>
      </c>
      <c r="V2028" s="79" t="str">
        <f>IF(ISERROR(FIND('112'!$M$9,G2028,1)),"",IF((AND(RIGHT(G2028,2)=RIGHT('112'!$M$9,2),B2028&lt;'112'!$K$9,$O2028='112'!$I$6)),"x",""))</f>
        <v/>
      </c>
      <c r="W2028" s="79" t="str">
        <f>IF(AND('341-CT'!$H$9=H2028,OR(LEFT(N2028,3)=$W$7,LEFT(O2028,3)=$W$7)),"x","")</f>
        <v/>
      </c>
      <c r="X2028" s="79" t="str">
        <f>IF(OR(TH!N2028=TH!$X$7,O2028=TH!$X$7),"x","")</f>
        <v/>
      </c>
      <c r="Y2028" s="79" t="str">
        <f>IF(AND(OR(N2028="131",O2028="131"),H2028='131-CT'!$H$9),"x","")</f>
        <v/>
      </c>
      <c r="Z2028" s="79"/>
      <c r="AA2028" s="79" t="str">
        <f>IF(AND(MONTH(E2028)='IN-NX'!$J$5,'IN-NX'!$D$7=D2028),"x","")</f>
        <v/>
      </c>
      <c r="AB2028" s="79" t="str">
        <f>IF(AND(OR(LEFT(TH!N2028,2)="15",LEFT(TH!O2028,2)="15"),LEFT(TH!O2028,3)&lt;&gt;"111",'152-CT'!$J$8=TH!F2028),"x","")</f>
        <v/>
      </c>
      <c r="AC2028" s="79" t="str">
        <f>IF(AND(OR(LEFT(TH!N2028,2)="15",LEFT(TH!O2028,2)="15"),TK!$E$7=TH!F2028),"x","")</f>
        <v/>
      </c>
      <c r="AD2028" s="79" t="str">
        <f>IF(AND(N2028="1521",MONTH(C2028)='BK-NL'!$M$11),"x","")</f>
        <v/>
      </c>
    </row>
    <row r="2029" spans="1:30" ht="16.5" customHeight="1">
      <c r="A2029" s="318" t="str">
        <f>IF(B2029&lt;&gt;"",IF(AND(B2029='IN-TC'!$S$4,OR(TH!N2029="1111",TH!O2029="1111")),TH!D2029,""),"")</f>
        <v/>
      </c>
      <c r="B2029" s="60" t="str">
        <f t="shared" si="232"/>
        <v/>
      </c>
      <c r="C2029" s="301"/>
      <c r="D2029" s="301"/>
      <c r="E2029" s="301"/>
      <c r="F2029" s="302"/>
      <c r="G2029" s="968"/>
      <c r="H2029" s="69"/>
      <c r="I2029" s="385"/>
      <c r="J2029" s="969"/>
      <c r="K2029" s="385"/>
      <c r="L2029" s="392"/>
      <c r="M2029" s="970"/>
      <c r="N2029" s="304"/>
      <c r="O2029" s="304"/>
      <c r="P2029" s="79" t="str">
        <f>IF(AND('331-CT'!$E$7=TH!H2029,OR(N2029="331",O2029="331")),"x","")</f>
        <v/>
      </c>
      <c r="Q2029" s="79" t="str">
        <f>IF(AND(B2029='111'!$L$11,OR($N2029=$Q$7,$O2029=$Q$7)),"x","")</f>
        <v/>
      </c>
      <c r="R2029" s="79" t="str">
        <f>IF(AND($N2029=$Q$7,$B2029&lt;'111'!$L$11),"x","")</f>
        <v/>
      </c>
      <c r="S2029" s="79" t="str">
        <f>IF(AND($O2029=$Q$7,$B2029&lt;'111'!$L$11),"x","")</f>
        <v/>
      </c>
      <c r="T2029" s="79" t="str">
        <f>IF(ISERROR(FIND('112'!$M$9,G2029,1)),"",IF((AND(FIND('112'!$M$9,G2029,1)&gt;=1,B2029='112'!$K$9,OR($N2029='112'!$I$6,$O2029='112'!$I$6))),"x",""))</f>
        <v/>
      </c>
      <c r="U2029" s="79" t="str">
        <f>IF(ISERROR(FIND('112'!$M$9,G2029,1)),"",IF((AND(LEFT(G2029,2)=LEFT('112'!$M$9,2),B2029&lt;'112'!$K$9,$N2029='112'!$I$6)),"x",""))</f>
        <v/>
      </c>
      <c r="V2029" s="79" t="str">
        <f>IF(ISERROR(FIND('112'!$M$9,G2029,1)),"",IF((AND(RIGHT(G2029,2)=RIGHT('112'!$M$9,2),B2029&lt;'112'!$K$9,$O2029='112'!$I$6)),"x",""))</f>
        <v/>
      </c>
      <c r="W2029" s="79" t="str">
        <f>IF(AND('341-CT'!$H$9=H2029,OR(LEFT(N2029,3)=$W$7,LEFT(O2029,3)=$W$7)),"x","")</f>
        <v/>
      </c>
      <c r="X2029" s="79" t="str">
        <f>IF(OR(TH!N2029=TH!$X$7,O2029=TH!$X$7),"x","")</f>
        <v/>
      </c>
      <c r="Y2029" s="79" t="str">
        <f>IF(AND(OR(N2029="131",O2029="131"),H2029='131-CT'!$H$9),"x","")</f>
        <v/>
      </c>
      <c r="Z2029" s="79"/>
      <c r="AA2029" s="79" t="str">
        <f>IF(AND(MONTH(E2029)='IN-NX'!$J$5,'IN-NX'!$D$7=D2029),"x","")</f>
        <v/>
      </c>
      <c r="AB2029" s="79" t="str">
        <f>IF(AND(OR(LEFT(TH!N2029,2)="15",LEFT(TH!O2029,2)="15"),LEFT(TH!O2029,3)&lt;&gt;"111",'152-CT'!$J$8=TH!F2029),"x","")</f>
        <v/>
      </c>
      <c r="AC2029" s="79" t="str">
        <f>IF(AND(OR(LEFT(TH!N2029,2)="15",LEFT(TH!O2029,2)="15"),TK!$E$7=TH!F2029),"x","")</f>
        <v/>
      </c>
      <c r="AD2029" s="79" t="str">
        <f>IF(AND(N2029="1521",MONTH(C2029)='BK-NL'!$M$11),"x","")</f>
        <v/>
      </c>
    </row>
    <row r="2030" spans="1:30" ht="16.5" customHeight="1">
      <c r="A2030" s="318" t="str">
        <f>IF(B2030&lt;&gt;"",IF(AND(B2030='IN-TC'!$S$4,OR(TH!N2030="1111",TH!O2030="1111")),TH!D2030,""),"")</f>
        <v/>
      </c>
      <c r="B2030" s="60" t="str">
        <f t="shared" si="232"/>
        <v/>
      </c>
      <c r="C2030" s="301"/>
      <c r="D2030" s="301"/>
      <c r="E2030" s="301"/>
      <c r="F2030" s="302"/>
      <c r="G2030" s="968"/>
      <c r="H2030" s="69"/>
      <c r="I2030" s="385"/>
      <c r="J2030" s="969"/>
      <c r="K2030" s="385"/>
      <c r="L2030" s="392"/>
      <c r="M2030" s="970"/>
      <c r="N2030" s="304"/>
      <c r="O2030" s="304"/>
      <c r="P2030" s="79" t="str">
        <f>IF(AND('331-CT'!$E$7=TH!H2030,OR(N2030="331",O2030="331")),"x","")</f>
        <v/>
      </c>
      <c r="Q2030" s="79" t="str">
        <f>IF(AND(B2030='111'!$L$11,OR($N2030=$Q$7,$O2030=$Q$7)),"x","")</f>
        <v/>
      </c>
      <c r="R2030" s="79" t="str">
        <f>IF(AND($N2030=$Q$7,$B2030&lt;'111'!$L$11),"x","")</f>
        <v/>
      </c>
      <c r="S2030" s="79" t="str">
        <f>IF(AND($O2030=$Q$7,$B2030&lt;'111'!$L$11),"x","")</f>
        <v/>
      </c>
      <c r="T2030" s="79" t="str">
        <f>IF(ISERROR(FIND('112'!$M$9,G2030,1)),"",IF((AND(FIND('112'!$M$9,G2030,1)&gt;=1,B2030='112'!$K$9,OR($N2030='112'!$I$6,$O2030='112'!$I$6))),"x",""))</f>
        <v/>
      </c>
      <c r="U2030" s="79" t="str">
        <f>IF(ISERROR(FIND('112'!$M$9,G2030,1)),"",IF((AND(LEFT(G2030,2)=LEFT('112'!$M$9,2),B2030&lt;'112'!$K$9,$N2030='112'!$I$6)),"x",""))</f>
        <v/>
      </c>
      <c r="V2030" s="79" t="str">
        <f>IF(ISERROR(FIND('112'!$M$9,G2030,1)),"",IF((AND(RIGHT(G2030,2)=RIGHT('112'!$M$9,2),B2030&lt;'112'!$K$9,$O2030='112'!$I$6)),"x",""))</f>
        <v/>
      </c>
      <c r="W2030" s="79" t="str">
        <f>IF(AND('341-CT'!$H$9=H2030,OR(LEFT(N2030,3)=$W$7,LEFT(O2030,3)=$W$7)),"x","")</f>
        <v/>
      </c>
      <c r="X2030" s="79" t="str">
        <f>IF(OR(TH!N2030=TH!$X$7,O2030=TH!$X$7),"x","")</f>
        <v/>
      </c>
      <c r="Y2030" s="79" t="str">
        <f>IF(AND(OR(N2030="131",O2030="131"),H2030='131-CT'!$H$9),"x","")</f>
        <v/>
      </c>
      <c r="Z2030" s="79"/>
      <c r="AA2030" s="79" t="str">
        <f>IF(AND(MONTH(E2030)='IN-NX'!$J$5,'IN-NX'!$D$7=D2030),"x","")</f>
        <v/>
      </c>
      <c r="AB2030" s="79" t="str">
        <f>IF(AND(OR(LEFT(TH!N2030,2)="15",LEFT(TH!O2030,2)="15"),LEFT(TH!O2030,3)&lt;&gt;"111",'152-CT'!$J$8=TH!F2030),"x","")</f>
        <v/>
      </c>
      <c r="AC2030" s="79" t="str">
        <f>IF(AND(OR(LEFT(TH!N2030,2)="15",LEFT(TH!O2030,2)="15"),TK!$E$7=TH!F2030),"x","")</f>
        <v/>
      </c>
      <c r="AD2030" s="79" t="str">
        <f>IF(AND(N2030="1521",MONTH(C2030)='BK-NL'!$M$11),"x","")</f>
        <v/>
      </c>
    </row>
    <row r="2031" spans="1:30" ht="16.5" customHeight="1">
      <c r="A2031" s="318" t="str">
        <f>IF(B2031&lt;&gt;"",IF(AND(B2031='IN-TC'!$S$4,OR(TH!N2031="1111",TH!O2031="1111")),TH!D2031,""),"")</f>
        <v/>
      </c>
      <c r="B2031" s="60" t="str">
        <f>IF(C2031&lt;&gt;"",MONTH(C2031),"")</f>
        <v/>
      </c>
      <c r="C2031" s="301"/>
      <c r="D2031" s="301"/>
      <c r="E2031" s="301"/>
      <c r="F2031" s="302"/>
      <c r="G2031" s="988"/>
      <c r="H2031" s="69"/>
      <c r="I2031" s="385"/>
      <c r="J2031" s="969"/>
      <c r="K2031" s="385"/>
      <c r="L2031" s="392"/>
      <c r="M2031" s="970"/>
      <c r="N2031" s="304"/>
      <c r="O2031" s="304"/>
      <c r="P2031" s="79" t="str">
        <f>IF(AND('331-CT'!$E$7=TH!H2031,OR(N2031="331",O2031="331")),"x","")</f>
        <v/>
      </c>
      <c r="Q2031" s="79" t="str">
        <f>IF(AND(B2031='111'!$L$11,OR($N2031=$Q$7,$O2031=$Q$7)),"x","")</f>
        <v/>
      </c>
      <c r="R2031" s="79" t="str">
        <f>IF(AND($N2031=$Q$7,$B2031&lt;'111'!$L$11),"x","")</f>
        <v/>
      </c>
      <c r="S2031" s="79" t="str">
        <f>IF(AND($O2031=$Q$7,$B2031&lt;'111'!$L$11),"x","")</f>
        <v/>
      </c>
      <c r="T2031" s="79" t="str">
        <f>IF(ISERROR(FIND('112'!$M$9,G2031,1)),"",IF((AND(FIND('112'!$M$9,G2031,1)&gt;=1,B2031='112'!$K$9,OR($N2031='112'!$I$6,$O2031='112'!$I$6))),"x",""))</f>
        <v/>
      </c>
      <c r="U2031" s="79" t="str">
        <f>IF(ISERROR(FIND('112'!$M$9,G2031,1)),"",IF((AND(LEFT(G2031,2)=LEFT('112'!$M$9,2),B2031&lt;'112'!$K$9,$N2031='112'!$I$6)),"x",""))</f>
        <v/>
      </c>
      <c r="V2031" s="79" t="str">
        <f>IF(ISERROR(FIND('112'!$M$9,G2031,1)),"",IF((AND(RIGHT(G2031,2)=RIGHT('112'!$M$9,2),B2031&lt;'112'!$K$9,$O2031='112'!$I$6)),"x",""))</f>
        <v/>
      </c>
      <c r="W2031" s="79" t="str">
        <f>IF(AND('341-CT'!$H$9=H2031,OR(LEFT(N2031,3)=$W$7,LEFT(O2031,3)=$W$7)),"x","")</f>
        <v/>
      </c>
      <c r="X2031" s="79" t="str">
        <f>IF(OR(TH!N2031=TH!$X$7,O2031=TH!$X$7),"x","")</f>
        <v/>
      </c>
      <c r="Y2031" s="79" t="str">
        <f>IF(AND(OR(N2031="131",O2031="131"),H2031='131-CT'!$H$9),"x","")</f>
        <v/>
      </c>
      <c r="Z2031" s="79"/>
      <c r="AA2031" s="79" t="str">
        <f>IF(AND(MONTH(E2031)='IN-NX'!$J$5,'IN-NX'!$D$7=D2031),"x","")</f>
        <v/>
      </c>
      <c r="AB2031" s="79" t="str">
        <f>IF(AND(OR(LEFT(TH!N2031,2)="15",LEFT(TH!O2031,2)="15"),LEFT(TH!O2031,3)&lt;&gt;"111",'152-CT'!$J$8=TH!F2031),"x","")</f>
        <v/>
      </c>
      <c r="AC2031" s="79" t="str">
        <f>IF(AND(OR(LEFT(TH!N2031,2)="15",LEFT(TH!O2031,2)="15"),TK!$E$7=TH!F2031),"x","")</f>
        <v/>
      </c>
      <c r="AD2031" s="79" t="str">
        <f>IF(AND(N2031="1521",MONTH(C2031)='BK-NL'!$M$11),"x","")</f>
        <v/>
      </c>
    </row>
    <row r="2032" spans="1:30" ht="16.5" customHeight="1">
      <c r="A2032" s="318" t="str">
        <f>IF(B2032&lt;&gt;"",IF(AND(B2032='IN-TC'!$S$4,OR(TH!N2032="1111",TH!O2032="1111")),TH!D2032,""),"")</f>
        <v/>
      </c>
      <c r="B2032" s="60" t="str">
        <f t="shared" ref="B2032:B2058" si="233">IF(C2032&lt;&gt;"",MONTH(C2032),"")</f>
        <v/>
      </c>
      <c r="C2032" s="974"/>
      <c r="D2032" s="301"/>
      <c r="E2032" s="974"/>
      <c r="F2032" s="1161"/>
      <c r="G2032" s="976"/>
      <c r="H2032" s="305"/>
      <c r="I2032" s="383"/>
      <c r="J2032" s="977"/>
      <c r="K2032" s="383"/>
      <c r="L2032" s="390"/>
      <c r="M2032" s="978"/>
      <c r="N2032" s="979"/>
      <c r="O2032" s="979"/>
      <c r="P2032" s="79" t="str">
        <f>IF(AND('331-CT'!$E$7=TH!H2032,OR(N2032="331",O2032="331")),"x","")</f>
        <v/>
      </c>
      <c r="Q2032" s="79" t="str">
        <f>IF(AND(B2032='111'!$L$11,OR($N2032=$Q$7,$O2032=$Q$7)),"x","")</f>
        <v/>
      </c>
      <c r="R2032" s="79" t="str">
        <f>IF(AND($N2032=$Q$7,$B2032&lt;'111'!$L$11),"x","")</f>
        <v/>
      </c>
      <c r="S2032" s="79" t="str">
        <f>IF(AND($O2032=$Q$7,$B2032&lt;'111'!$L$11),"x","")</f>
        <v/>
      </c>
      <c r="T2032" s="79" t="str">
        <f>IF(ISERROR(FIND('112'!$M$9,G2032,1)),"",IF((AND(FIND('112'!$M$9,G2032,1)&gt;=1,B2032='112'!$K$9,OR($N2032='112'!$I$6,$O2032='112'!$I$6))),"x",""))</f>
        <v/>
      </c>
      <c r="U2032" s="79" t="str">
        <f>IF(ISERROR(FIND('112'!$M$9,G2032,1)),"",IF((AND(LEFT(G2032,2)=LEFT('112'!$M$9,2),B2032&lt;'112'!$K$9,$N2032='112'!$I$6)),"x",""))</f>
        <v/>
      </c>
      <c r="V2032" s="79" t="str">
        <f>IF(ISERROR(FIND('112'!$M$9,G2032,1)),"",IF((AND(RIGHT(G2032,2)=RIGHT('112'!$M$9,2),B2032&lt;'112'!$K$9,$O2032='112'!$I$6)),"x",""))</f>
        <v/>
      </c>
      <c r="W2032" s="79" t="str">
        <f>IF(AND('341-CT'!$H$9=H2032,OR(LEFT(N2032,3)=$W$7,LEFT(O2032,3)=$W$7)),"x","")</f>
        <v/>
      </c>
      <c r="X2032" s="79" t="str">
        <f>IF(OR(TH!N2032=TH!$X$7,O2032=TH!$X$7),"x","")</f>
        <v/>
      </c>
      <c r="Y2032" s="79" t="str">
        <f>IF(AND(OR(N2032="131",O2032="131"),H2032='131-CT'!$H$9),"x","")</f>
        <v/>
      </c>
      <c r="Z2032" s="79"/>
      <c r="AA2032" s="79" t="str">
        <f>IF(AND(MONTH(E2032)='IN-NX'!$J$5,'IN-NX'!$D$7=D2032),"x","")</f>
        <v/>
      </c>
      <c r="AB2032" s="79" t="str">
        <f>IF(AND(OR(LEFT(TH!N2032,2)="15",LEFT(TH!O2032,2)="15"),LEFT(TH!O2032,3)&lt;&gt;"111",'152-CT'!$J$8=TH!F2032),"x","")</f>
        <v/>
      </c>
      <c r="AC2032" s="79" t="str">
        <f>IF(AND(OR(LEFT(TH!N2032,2)="15",LEFT(TH!O2032,2)="15"),TK!$E$7=TH!F2032),"x","")</f>
        <v/>
      </c>
      <c r="AD2032" s="79" t="str">
        <f>IF(AND(N2032="1521",MONTH(C2032)='BK-NL'!$M$11),"x","")</f>
        <v/>
      </c>
    </row>
    <row r="2033" spans="1:30" ht="16.5" customHeight="1">
      <c r="A2033" s="318" t="str">
        <f>IF(B2033&lt;&gt;"",IF(AND(B2033='IN-TC'!$S$4,OR(TH!N2033="1111",TH!O2033="1111")),TH!D2033,""),"")</f>
        <v/>
      </c>
      <c r="B2033" s="60" t="str">
        <f t="shared" si="233"/>
        <v/>
      </c>
      <c r="C2033" s="301"/>
      <c r="D2033" s="301"/>
      <c r="E2033" s="301"/>
      <c r="F2033" s="1160"/>
      <c r="G2033" s="968"/>
      <c r="H2033" s="69"/>
      <c r="I2033" s="385"/>
      <c r="J2033" s="969"/>
      <c r="K2033" s="385"/>
      <c r="L2033" s="392"/>
      <c r="M2033" s="970"/>
      <c r="N2033" s="304"/>
      <c r="O2033" s="304"/>
      <c r="P2033" s="79" t="str">
        <f>IF(AND('331-CT'!$E$7=TH!H2033,OR(N2033="331",O2033="331")),"x","")</f>
        <v/>
      </c>
      <c r="Q2033" s="79" t="str">
        <f>IF(AND(B2033='111'!$L$11,OR($N2033=$Q$7,$O2033=$Q$7)),"x","")</f>
        <v/>
      </c>
      <c r="R2033" s="79" t="str">
        <f>IF(AND($N2033=$Q$7,$B2033&lt;'111'!$L$11),"x","")</f>
        <v/>
      </c>
      <c r="S2033" s="79" t="str">
        <f>IF(AND($O2033=$Q$7,$B2033&lt;'111'!$L$11),"x","")</f>
        <v/>
      </c>
      <c r="T2033" s="79" t="str">
        <f>IF(ISERROR(FIND('112'!$M$9,G2033,1)),"",IF((AND(FIND('112'!$M$9,G2033,1)&gt;=1,B2033='112'!$K$9,OR($N2033='112'!$I$6,$O2033='112'!$I$6))),"x",""))</f>
        <v/>
      </c>
      <c r="U2033" s="79" t="str">
        <f>IF(ISERROR(FIND('112'!$M$9,G2033,1)),"",IF((AND(LEFT(G2033,2)=LEFT('112'!$M$9,2),B2033&lt;'112'!$K$9,$N2033='112'!$I$6)),"x",""))</f>
        <v/>
      </c>
      <c r="V2033" s="79" t="str">
        <f>IF(ISERROR(FIND('112'!$M$9,G2033,1)),"",IF((AND(RIGHT(G2033,2)=RIGHT('112'!$M$9,2),B2033&lt;'112'!$K$9,$O2033='112'!$I$6)),"x",""))</f>
        <v/>
      </c>
      <c r="W2033" s="79" t="str">
        <f>IF(AND('341-CT'!$H$9=H2033,OR(LEFT(N2033,3)=$W$7,LEFT(O2033,3)=$W$7)),"x","")</f>
        <v/>
      </c>
      <c r="X2033" s="79" t="str">
        <f>IF(OR(TH!N2033=TH!$X$7,O2033=TH!$X$7),"x","")</f>
        <v/>
      </c>
      <c r="Y2033" s="79" t="str">
        <f>IF(AND(OR(N2033="131",O2033="131"),H2033='131-CT'!$H$9),"x","")</f>
        <v/>
      </c>
      <c r="Z2033" s="79"/>
      <c r="AA2033" s="79" t="str">
        <f>IF(AND(MONTH(E2033)='IN-NX'!$J$5,'IN-NX'!$D$7=D2033),"x","")</f>
        <v/>
      </c>
      <c r="AB2033" s="79" t="str">
        <f>IF(AND(OR(LEFT(TH!N2033,2)="15",LEFT(TH!O2033,2)="15"),LEFT(TH!O2033,3)&lt;&gt;"111",'152-CT'!$J$8=TH!F2033),"x","")</f>
        <v/>
      </c>
      <c r="AC2033" s="79" t="str">
        <f>IF(AND(OR(LEFT(TH!N2033,2)="15",LEFT(TH!O2033,2)="15"),TK!$E$7=TH!F2033),"x","")</f>
        <v/>
      </c>
      <c r="AD2033" s="79" t="str">
        <f>IF(AND(N2033="1521",MONTH(C2033)='BK-NL'!$M$11),"x","")</f>
        <v/>
      </c>
    </row>
    <row r="2034" spans="1:30" ht="16.5" customHeight="1">
      <c r="A2034" s="318" t="str">
        <f>IF(B2034&lt;&gt;"",IF(AND(B2034='IN-TC'!$S$4,OR(TH!N2034="1111",TH!O2034="1111")),TH!D2034,""),"")</f>
        <v/>
      </c>
      <c r="B2034" s="60" t="str">
        <f t="shared" si="233"/>
        <v/>
      </c>
      <c r="C2034" s="301"/>
      <c r="D2034" s="301"/>
      <c r="E2034" s="301"/>
      <c r="F2034" s="1160"/>
      <c r="G2034" s="968"/>
      <c r="H2034" s="69"/>
      <c r="I2034" s="385"/>
      <c r="J2034" s="969"/>
      <c r="K2034" s="385"/>
      <c r="L2034" s="392"/>
      <c r="M2034" s="970"/>
      <c r="N2034" s="304"/>
      <c r="O2034" s="304"/>
      <c r="P2034" s="79" t="str">
        <f>IF(AND('331-CT'!$E$7=TH!H2034,OR(N2034="331",O2034="331")),"x","")</f>
        <v/>
      </c>
      <c r="Q2034" s="79" t="str">
        <f>IF(AND(B2034='111'!$L$11,OR($N2034=$Q$7,$O2034=$Q$7)),"x","")</f>
        <v/>
      </c>
      <c r="R2034" s="79" t="str">
        <f>IF(AND($N2034=$Q$7,$B2034&lt;'111'!$L$11),"x","")</f>
        <v/>
      </c>
      <c r="S2034" s="79" t="str">
        <f>IF(AND($O2034=$Q$7,$B2034&lt;'111'!$L$11),"x","")</f>
        <v/>
      </c>
      <c r="T2034" s="79" t="str">
        <f>IF(ISERROR(FIND('112'!$M$9,G2034,1)),"",IF((AND(FIND('112'!$M$9,G2034,1)&gt;=1,B2034='112'!$K$9,OR($N2034='112'!$I$6,$O2034='112'!$I$6))),"x",""))</f>
        <v/>
      </c>
      <c r="U2034" s="79" t="str">
        <f>IF(ISERROR(FIND('112'!$M$9,G2034,1)),"",IF((AND(LEFT(G2034,2)=LEFT('112'!$M$9,2),B2034&lt;'112'!$K$9,$N2034='112'!$I$6)),"x",""))</f>
        <v/>
      </c>
      <c r="V2034" s="79" t="str">
        <f>IF(ISERROR(FIND('112'!$M$9,G2034,1)),"",IF((AND(RIGHT(G2034,2)=RIGHT('112'!$M$9,2),B2034&lt;'112'!$K$9,$O2034='112'!$I$6)),"x",""))</f>
        <v/>
      </c>
      <c r="W2034" s="79" t="str">
        <f>IF(AND('341-CT'!$H$9=H2034,OR(LEFT(N2034,3)=$W$7,LEFT(O2034,3)=$W$7)),"x","")</f>
        <v/>
      </c>
      <c r="X2034" s="79" t="str">
        <f>IF(OR(TH!N2034=TH!$X$7,O2034=TH!$X$7),"x","")</f>
        <v/>
      </c>
      <c r="Y2034" s="79" t="str">
        <f>IF(AND(OR(N2034="131",O2034="131"),H2034='131-CT'!$H$9),"x","")</f>
        <v/>
      </c>
      <c r="Z2034" s="79"/>
      <c r="AA2034" s="79" t="str">
        <f>IF(AND(MONTH(E2034)='IN-NX'!$J$5,'IN-NX'!$D$7=D2034),"x","")</f>
        <v/>
      </c>
      <c r="AB2034" s="79" t="str">
        <f>IF(AND(OR(LEFT(TH!N2034,2)="15",LEFT(TH!O2034,2)="15"),LEFT(TH!O2034,3)&lt;&gt;"111",'152-CT'!$J$8=TH!F2034),"x","")</f>
        <v/>
      </c>
      <c r="AC2034" s="79" t="str">
        <f>IF(AND(OR(LEFT(TH!N2034,2)="15",LEFT(TH!O2034,2)="15"),TK!$E$7=TH!F2034),"x","")</f>
        <v/>
      </c>
      <c r="AD2034" s="79" t="str">
        <f>IF(AND(N2034="1521",MONTH(C2034)='BK-NL'!$M$11),"x","")</f>
        <v/>
      </c>
    </row>
    <row r="2035" spans="1:30" ht="16.5" customHeight="1">
      <c r="A2035" s="318" t="str">
        <f>IF(B2035&lt;&gt;"",IF(AND(B2035='IN-TC'!$S$4,OR(TH!N2035="1111",TH!O2035="1111")),TH!D2035,""),"")</f>
        <v/>
      </c>
      <c r="B2035" s="60" t="str">
        <f t="shared" si="233"/>
        <v/>
      </c>
      <c r="C2035" s="301"/>
      <c r="D2035" s="301"/>
      <c r="E2035" s="301"/>
      <c r="F2035" s="1160"/>
      <c r="G2035" s="968"/>
      <c r="H2035" s="69"/>
      <c r="I2035" s="385"/>
      <c r="J2035" s="969"/>
      <c r="K2035" s="385"/>
      <c r="L2035" s="392"/>
      <c r="M2035" s="970"/>
      <c r="N2035" s="304"/>
      <c r="O2035" s="304"/>
      <c r="P2035" s="79" t="str">
        <f>IF(AND('331-CT'!$E$7=TH!H2035,OR(N2035="331",O2035="331")),"x","")</f>
        <v/>
      </c>
      <c r="Q2035" s="79" t="str">
        <f>IF(AND(B2035='111'!$L$11,OR($N2035=$Q$7,$O2035=$Q$7)),"x","")</f>
        <v/>
      </c>
      <c r="R2035" s="79" t="str">
        <f>IF(AND($N2035=$Q$7,$B2035&lt;'111'!$L$11),"x","")</f>
        <v/>
      </c>
      <c r="S2035" s="79" t="str">
        <f>IF(AND($O2035=$Q$7,$B2035&lt;'111'!$L$11),"x","")</f>
        <v/>
      </c>
      <c r="T2035" s="79" t="str">
        <f>IF(ISERROR(FIND('112'!$M$9,G2035,1)),"",IF((AND(FIND('112'!$M$9,G2035,1)&gt;=1,B2035='112'!$K$9,OR($N2035='112'!$I$6,$O2035='112'!$I$6))),"x",""))</f>
        <v/>
      </c>
      <c r="U2035" s="79" t="str">
        <f>IF(ISERROR(FIND('112'!$M$9,G2035,1)),"",IF((AND(LEFT(G2035,2)=LEFT('112'!$M$9,2),B2035&lt;'112'!$K$9,$N2035='112'!$I$6)),"x",""))</f>
        <v/>
      </c>
      <c r="V2035" s="79" t="str">
        <f>IF(ISERROR(FIND('112'!$M$9,G2035,1)),"",IF((AND(RIGHT(G2035,2)=RIGHT('112'!$M$9,2),B2035&lt;'112'!$K$9,$O2035='112'!$I$6)),"x",""))</f>
        <v/>
      </c>
      <c r="W2035" s="79" t="str">
        <f>IF(AND('341-CT'!$H$9=H2035,OR(LEFT(N2035,3)=$W$7,LEFT(O2035,3)=$W$7)),"x","")</f>
        <v/>
      </c>
      <c r="X2035" s="79" t="str">
        <f>IF(OR(TH!N2035=TH!$X$7,O2035=TH!$X$7),"x","")</f>
        <v/>
      </c>
      <c r="Y2035" s="79" t="str">
        <f>IF(AND(OR(N2035="131",O2035="131"),H2035='131-CT'!$H$9),"x","")</f>
        <v/>
      </c>
      <c r="Z2035" s="79"/>
      <c r="AA2035" s="79" t="str">
        <f>IF(AND(MONTH(E2035)='IN-NX'!$J$5,'IN-NX'!$D$7=D2035),"x","")</f>
        <v/>
      </c>
      <c r="AB2035" s="79" t="str">
        <f>IF(AND(OR(LEFT(TH!N2035,2)="15",LEFT(TH!O2035,2)="15"),LEFT(TH!O2035,3)&lt;&gt;"111",'152-CT'!$J$8=TH!F2035),"x","")</f>
        <v/>
      </c>
      <c r="AC2035" s="79" t="str">
        <f>IF(AND(OR(LEFT(TH!N2035,2)="15",LEFT(TH!O2035,2)="15"),TK!$E$7=TH!F2035),"x","")</f>
        <v/>
      </c>
      <c r="AD2035" s="79" t="str">
        <f>IF(AND(N2035="1521",MONTH(C2035)='BK-NL'!$M$11),"x","")</f>
        <v/>
      </c>
    </row>
    <row r="2036" spans="1:30" ht="16.5" customHeight="1">
      <c r="A2036" s="318" t="str">
        <f>IF(B2036&lt;&gt;"",IF(AND(B2036='IN-TC'!$S$4,OR(TH!N2036="1111",TH!O2036="1111")),TH!D2036,""),"")</f>
        <v/>
      </c>
      <c r="B2036" s="60" t="str">
        <f t="shared" si="233"/>
        <v/>
      </c>
      <c r="C2036" s="301"/>
      <c r="D2036" s="301"/>
      <c r="E2036" s="301"/>
      <c r="F2036" s="1160"/>
      <c r="G2036" s="968"/>
      <c r="H2036" s="69"/>
      <c r="I2036" s="385"/>
      <c r="J2036" s="969"/>
      <c r="K2036" s="385"/>
      <c r="L2036" s="392"/>
      <c r="M2036" s="970"/>
      <c r="N2036" s="304"/>
      <c r="O2036" s="304"/>
      <c r="P2036" s="79" t="str">
        <f>IF(AND('331-CT'!$E$7=TH!H2036,OR(N2036="331",O2036="331")),"x","")</f>
        <v/>
      </c>
      <c r="Q2036" s="79" t="str">
        <f>IF(AND(B2036='111'!$L$11,OR($N2036=$Q$7,$O2036=$Q$7)),"x","")</f>
        <v/>
      </c>
      <c r="R2036" s="79" t="str">
        <f>IF(AND($N2036=$Q$7,$B2036&lt;'111'!$L$11),"x","")</f>
        <v/>
      </c>
      <c r="S2036" s="79" t="str">
        <f>IF(AND($O2036=$Q$7,$B2036&lt;'111'!$L$11),"x","")</f>
        <v/>
      </c>
      <c r="T2036" s="79" t="str">
        <f>IF(ISERROR(FIND('112'!$M$9,G2036,1)),"",IF((AND(FIND('112'!$M$9,G2036,1)&gt;=1,B2036='112'!$K$9,OR($N2036='112'!$I$6,$O2036='112'!$I$6))),"x",""))</f>
        <v/>
      </c>
      <c r="U2036" s="79" t="str">
        <f>IF(ISERROR(FIND('112'!$M$9,G2036,1)),"",IF((AND(LEFT(G2036,2)=LEFT('112'!$M$9,2),B2036&lt;'112'!$K$9,$N2036='112'!$I$6)),"x",""))</f>
        <v/>
      </c>
      <c r="V2036" s="79" t="str">
        <f>IF(ISERROR(FIND('112'!$M$9,G2036,1)),"",IF((AND(RIGHT(G2036,2)=RIGHT('112'!$M$9,2),B2036&lt;'112'!$K$9,$O2036='112'!$I$6)),"x",""))</f>
        <v/>
      </c>
      <c r="W2036" s="79" t="str">
        <f>IF(AND('341-CT'!$H$9=H2036,OR(LEFT(N2036,3)=$W$7,LEFT(O2036,3)=$W$7)),"x","")</f>
        <v/>
      </c>
      <c r="X2036" s="79" t="str">
        <f>IF(OR(TH!N2036=TH!$X$7,O2036=TH!$X$7),"x","")</f>
        <v/>
      </c>
      <c r="Y2036" s="79" t="str">
        <f>IF(AND(OR(N2036="131",O2036="131"),H2036='131-CT'!$H$9),"x","")</f>
        <v/>
      </c>
      <c r="Z2036" s="79"/>
      <c r="AA2036" s="79" t="str">
        <f>IF(AND(MONTH(E2036)='IN-NX'!$J$5,'IN-NX'!$D$7=D2036),"x","")</f>
        <v/>
      </c>
      <c r="AB2036" s="79" t="str">
        <f>IF(AND(OR(LEFT(TH!N2036,2)="15",LEFT(TH!O2036,2)="15"),LEFT(TH!O2036,3)&lt;&gt;"111",'152-CT'!$J$8=TH!F2036),"x","")</f>
        <v/>
      </c>
      <c r="AC2036" s="79" t="str">
        <f>IF(AND(OR(LEFT(TH!N2036,2)="15",LEFT(TH!O2036,2)="15"),TK!$E$7=TH!F2036),"x","")</f>
        <v/>
      </c>
      <c r="AD2036" s="79" t="str">
        <f>IF(AND(N2036="1521",MONTH(C2036)='BK-NL'!$M$11),"x","")</f>
        <v/>
      </c>
    </row>
    <row r="2037" spans="1:30" ht="16.5" customHeight="1">
      <c r="A2037" s="318" t="str">
        <f>IF(B2037&lt;&gt;"",IF(AND(B2037='IN-TC'!$S$4,OR(TH!N2037="1111",TH!O2037="1111")),TH!D2037,""),"")</f>
        <v/>
      </c>
      <c r="B2037" s="60" t="str">
        <f t="shared" si="233"/>
        <v/>
      </c>
      <c r="C2037" s="301"/>
      <c r="D2037" s="301"/>
      <c r="E2037" s="301"/>
      <c r="F2037" s="1160"/>
      <c r="G2037" s="968"/>
      <c r="H2037" s="69"/>
      <c r="I2037" s="385"/>
      <c r="J2037" s="969"/>
      <c r="K2037" s="385"/>
      <c r="L2037" s="392"/>
      <c r="M2037" s="970"/>
      <c r="N2037" s="304"/>
      <c r="O2037" s="304"/>
      <c r="P2037" s="79" t="str">
        <f>IF(AND('331-CT'!$E$7=TH!H2037,OR(N2037="331",O2037="331")),"x","")</f>
        <v/>
      </c>
      <c r="Q2037" s="79" t="str">
        <f>IF(AND(B2037='111'!$L$11,OR($N2037=$Q$7,$O2037=$Q$7)),"x","")</f>
        <v/>
      </c>
      <c r="R2037" s="79" t="str">
        <f>IF(AND($N2037=$Q$7,$B2037&lt;'111'!$L$11),"x","")</f>
        <v/>
      </c>
      <c r="S2037" s="79" t="str">
        <f>IF(AND($O2037=$Q$7,$B2037&lt;'111'!$L$11),"x","")</f>
        <v/>
      </c>
      <c r="T2037" s="79" t="str">
        <f>IF(ISERROR(FIND('112'!$M$9,G2037,1)),"",IF((AND(FIND('112'!$M$9,G2037,1)&gt;=1,B2037='112'!$K$9,OR($N2037='112'!$I$6,$O2037='112'!$I$6))),"x",""))</f>
        <v/>
      </c>
      <c r="U2037" s="79" t="str">
        <f>IF(ISERROR(FIND('112'!$M$9,G2037,1)),"",IF((AND(LEFT(G2037,2)=LEFT('112'!$M$9,2),B2037&lt;'112'!$K$9,$N2037='112'!$I$6)),"x",""))</f>
        <v/>
      </c>
      <c r="V2037" s="79" t="str">
        <f>IF(ISERROR(FIND('112'!$M$9,G2037,1)),"",IF((AND(RIGHT(G2037,2)=RIGHT('112'!$M$9,2),B2037&lt;'112'!$K$9,$O2037='112'!$I$6)),"x",""))</f>
        <v/>
      </c>
      <c r="W2037" s="79" t="str">
        <f>IF(AND('341-CT'!$H$9=H2037,OR(LEFT(N2037,3)=$W$7,LEFT(O2037,3)=$W$7)),"x","")</f>
        <v/>
      </c>
      <c r="X2037" s="79" t="str">
        <f>IF(OR(TH!N2037=TH!$X$7,O2037=TH!$X$7),"x","")</f>
        <v/>
      </c>
      <c r="Y2037" s="79" t="str">
        <f>IF(AND(OR(N2037="131",O2037="131"),H2037='131-CT'!$H$9),"x","")</f>
        <v/>
      </c>
      <c r="Z2037" s="79"/>
      <c r="AA2037" s="79" t="str">
        <f>IF(AND(MONTH(E2037)='IN-NX'!$J$5,'IN-NX'!$D$7=D2037),"x","")</f>
        <v/>
      </c>
      <c r="AB2037" s="79" t="str">
        <f>IF(AND(OR(LEFT(TH!N2037,2)="15",LEFT(TH!O2037,2)="15"),LEFT(TH!O2037,3)&lt;&gt;"111",'152-CT'!$J$8=TH!F2037),"x","")</f>
        <v/>
      </c>
      <c r="AC2037" s="79" t="str">
        <f>IF(AND(OR(LEFT(TH!N2037,2)="15",LEFT(TH!O2037,2)="15"),TK!$E$7=TH!F2037),"x","")</f>
        <v/>
      </c>
      <c r="AD2037" s="79" t="str">
        <f>IF(AND(N2037="1521",MONTH(C2037)='BK-NL'!$M$11),"x","")</f>
        <v/>
      </c>
    </row>
    <row r="2038" spans="1:30" ht="16.5" customHeight="1">
      <c r="A2038" s="318" t="str">
        <f>IF(B2038&lt;&gt;"",IF(AND(B2038='IN-TC'!$S$4,OR(TH!N2038="1111",TH!O2038="1111")),TH!D2038,""),"")</f>
        <v/>
      </c>
      <c r="B2038" s="60" t="str">
        <f t="shared" si="233"/>
        <v/>
      </c>
      <c r="C2038" s="301"/>
      <c r="D2038" s="301"/>
      <c r="E2038" s="301"/>
      <c r="F2038" s="1160"/>
      <c r="G2038" s="968"/>
      <c r="H2038" s="69"/>
      <c r="I2038" s="385"/>
      <c r="J2038" s="969"/>
      <c r="K2038" s="385"/>
      <c r="L2038" s="392"/>
      <c r="M2038" s="970"/>
      <c r="N2038" s="304"/>
      <c r="O2038" s="304"/>
      <c r="P2038" s="79" t="str">
        <f>IF(AND('331-CT'!$E$7=TH!H2038,OR(N2038="331",O2038="331")),"x","")</f>
        <v/>
      </c>
      <c r="Q2038" s="79" t="str">
        <f>IF(AND(B2038='111'!$L$11,OR($N2038=$Q$7,$O2038=$Q$7)),"x","")</f>
        <v/>
      </c>
      <c r="R2038" s="79" t="str">
        <f>IF(AND($N2038=$Q$7,$B2038&lt;'111'!$L$11),"x","")</f>
        <v/>
      </c>
      <c r="S2038" s="79" t="str">
        <f>IF(AND($O2038=$Q$7,$B2038&lt;'111'!$L$11),"x","")</f>
        <v/>
      </c>
      <c r="T2038" s="79" t="str">
        <f>IF(ISERROR(FIND('112'!$M$9,G2038,1)),"",IF((AND(FIND('112'!$M$9,G2038,1)&gt;=1,B2038='112'!$K$9,OR($N2038='112'!$I$6,$O2038='112'!$I$6))),"x",""))</f>
        <v/>
      </c>
      <c r="U2038" s="79" t="str">
        <f>IF(ISERROR(FIND('112'!$M$9,G2038,1)),"",IF((AND(LEFT(G2038,2)=LEFT('112'!$M$9,2),B2038&lt;'112'!$K$9,$N2038='112'!$I$6)),"x",""))</f>
        <v/>
      </c>
      <c r="V2038" s="79" t="str">
        <f>IF(ISERROR(FIND('112'!$M$9,G2038,1)),"",IF((AND(RIGHT(G2038,2)=RIGHT('112'!$M$9,2),B2038&lt;'112'!$K$9,$O2038='112'!$I$6)),"x",""))</f>
        <v/>
      </c>
      <c r="W2038" s="79" t="str">
        <f>IF(AND('341-CT'!$H$9=H2038,OR(LEFT(N2038,3)=$W$7,LEFT(O2038,3)=$W$7)),"x","")</f>
        <v/>
      </c>
      <c r="X2038" s="79" t="str">
        <f>IF(OR(TH!N2038=TH!$X$7,O2038=TH!$X$7),"x","")</f>
        <v/>
      </c>
      <c r="Y2038" s="79" t="str">
        <f>IF(AND(OR(N2038="131",O2038="131"),H2038='131-CT'!$H$9),"x","")</f>
        <v/>
      </c>
      <c r="Z2038" s="79"/>
      <c r="AA2038" s="79" t="str">
        <f>IF(AND(MONTH(E2038)='IN-NX'!$J$5,'IN-NX'!$D$7=D2038),"x","")</f>
        <v/>
      </c>
      <c r="AB2038" s="79" t="str">
        <f>IF(AND(OR(LEFT(TH!N2038,2)="15",LEFT(TH!O2038,2)="15"),LEFT(TH!O2038,3)&lt;&gt;"111",'152-CT'!$J$8=TH!F2038),"x","")</f>
        <v/>
      </c>
      <c r="AC2038" s="79" t="str">
        <f>IF(AND(OR(LEFT(TH!N2038,2)="15",LEFT(TH!O2038,2)="15"),TK!$E$7=TH!F2038),"x","")</f>
        <v/>
      </c>
      <c r="AD2038" s="79" t="str">
        <f>IF(AND(N2038="1521",MONTH(C2038)='BK-NL'!$M$11),"x","")</f>
        <v/>
      </c>
    </row>
    <row r="2039" spans="1:30" ht="16.5" customHeight="1">
      <c r="A2039" s="318" t="str">
        <f>IF(B2039&lt;&gt;"",IF(AND(B2039='IN-TC'!$S$4,OR(TH!N2039="1111",TH!O2039="1111")),TH!D2039,""),"")</f>
        <v/>
      </c>
      <c r="B2039" s="60" t="str">
        <f t="shared" si="233"/>
        <v/>
      </c>
      <c r="C2039" s="301"/>
      <c r="D2039" s="301"/>
      <c r="E2039" s="301"/>
      <c r="F2039" s="1160"/>
      <c r="G2039" s="968"/>
      <c r="H2039" s="69"/>
      <c r="I2039" s="385"/>
      <c r="J2039" s="969"/>
      <c r="K2039" s="385"/>
      <c r="L2039" s="392"/>
      <c r="M2039" s="970"/>
      <c r="N2039" s="304"/>
      <c r="O2039" s="304"/>
      <c r="P2039" s="79" t="str">
        <f>IF(AND('331-CT'!$E$7=TH!H2039,OR(N2039="331",O2039="331")),"x","")</f>
        <v/>
      </c>
      <c r="Q2039" s="79" t="str">
        <f>IF(AND(B2039='111'!$L$11,OR($N2039=$Q$7,$O2039=$Q$7)),"x","")</f>
        <v/>
      </c>
      <c r="R2039" s="79" t="str">
        <f>IF(AND($N2039=$Q$7,$B2039&lt;'111'!$L$11),"x","")</f>
        <v/>
      </c>
      <c r="S2039" s="79" t="str">
        <f>IF(AND($O2039=$Q$7,$B2039&lt;'111'!$L$11),"x","")</f>
        <v/>
      </c>
      <c r="T2039" s="79" t="str">
        <f>IF(ISERROR(FIND('112'!$M$9,G2039,1)),"",IF((AND(FIND('112'!$M$9,G2039,1)&gt;=1,B2039='112'!$K$9,OR($N2039='112'!$I$6,$O2039='112'!$I$6))),"x",""))</f>
        <v/>
      </c>
      <c r="U2039" s="79" t="str">
        <f>IF(ISERROR(FIND('112'!$M$9,G2039,1)),"",IF((AND(LEFT(G2039,2)=LEFT('112'!$M$9,2),B2039&lt;'112'!$K$9,$N2039='112'!$I$6)),"x",""))</f>
        <v/>
      </c>
      <c r="V2039" s="79" t="str">
        <f>IF(ISERROR(FIND('112'!$M$9,G2039,1)),"",IF((AND(RIGHT(G2039,2)=RIGHT('112'!$M$9,2),B2039&lt;'112'!$K$9,$O2039='112'!$I$6)),"x",""))</f>
        <v/>
      </c>
      <c r="W2039" s="79" t="str">
        <f>IF(AND('341-CT'!$H$9=H2039,OR(LEFT(N2039,3)=$W$7,LEFT(O2039,3)=$W$7)),"x","")</f>
        <v/>
      </c>
      <c r="X2039" s="79" t="str">
        <f>IF(OR(TH!N2039=TH!$X$7,O2039=TH!$X$7),"x","")</f>
        <v/>
      </c>
      <c r="Y2039" s="79" t="str">
        <f>IF(AND(OR(N2039="131",O2039="131"),H2039='131-CT'!$H$9),"x","")</f>
        <v/>
      </c>
      <c r="Z2039" s="79"/>
      <c r="AA2039" s="79" t="str">
        <f>IF(AND(MONTH(E2039)='IN-NX'!$J$5,'IN-NX'!$D$7=D2039),"x","")</f>
        <v/>
      </c>
      <c r="AB2039" s="79" t="str">
        <f>IF(AND(OR(LEFT(TH!N2039,2)="15",LEFT(TH!O2039,2)="15"),LEFT(TH!O2039,3)&lt;&gt;"111",'152-CT'!$J$8=TH!F2039),"x","")</f>
        <v/>
      </c>
      <c r="AC2039" s="79" t="str">
        <f>IF(AND(OR(LEFT(TH!N2039,2)="15",LEFT(TH!O2039,2)="15"),TK!$E$7=TH!F2039),"x","")</f>
        <v/>
      </c>
      <c r="AD2039" s="79" t="str">
        <f>IF(AND(N2039="1521",MONTH(C2039)='BK-NL'!$M$11),"x","")</f>
        <v/>
      </c>
    </row>
    <row r="2040" spans="1:30" ht="16.5" customHeight="1">
      <c r="A2040" s="318" t="str">
        <f>IF(B2040&lt;&gt;"",IF(AND(B2040='IN-TC'!$S$4,OR(TH!N2040="1111",TH!O2040="1111")),TH!D2040,""),"")</f>
        <v/>
      </c>
      <c r="B2040" s="60" t="str">
        <f t="shared" si="233"/>
        <v/>
      </c>
      <c r="C2040" s="301"/>
      <c r="D2040" s="301"/>
      <c r="E2040" s="301"/>
      <c r="F2040" s="1160"/>
      <c r="G2040" s="968"/>
      <c r="H2040" s="69"/>
      <c r="I2040" s="385"/>
      <c r="J2040" s="969"/>
      <c r="K2040" s="385"/>
      <c r="L2040" s="392"/>
      <c r="M2040" s="970"/>
      <c r="N2040" s="304"/>
      <c r="O2040" s="304"/>
      <c r="P2040" s="79" t="str">
        <f>IF(AND('331-CT'!$E$7=TH!H2040,OR(N2040="331",O2040="331")),"x","")</f>
        <v/>
      </c>
      <c r="Q2040" s="79" t="str">
        <f>IF(AND(B2040='111'!$L$11,OR($N2040=$Q$7,$O2040=$Q$7)),"x","")</f>
        <v/>
      </c>
      <c r="R2040" s="79" t="str">
        <f>IF(AND($N2040=$Q$7,$B2040&lt;'111'!$L$11),"x","")</f>
        <v/>
      </c>
      <c r="S2040" s="79" t="str">
        <f>IF(AND($O2040=$Q$7,$B2040&lt;'111'!$L$11),"x","")</f>
        <v/>
      </c>
      <c r="T2040" s="79" t="str">
        <f>IF(ISERROR(FIND('112'!$M$9,G2040,1)),"",IF((AND(FIND('112'!$M$9,G2040,1)&gt;=1,B2040='112'!$K$9,OR($N2040='112'!$I$6,$O2040='112'!$I$6))),"x",""))</f>
        <v/>
      </c>
      <c r="U2040" s="79" t="str">
        <f>IF(ISERROR(FIND('112'!$M$9,G2040,1)),"",IF((AND(LEFT(G2040,2)=LEFT('112'!$M$9,2),B2040&lt;'112'!$K$9,$N2040='112'!$I$6)),"x",""))</f>
        <v/>
      </c>
      <c r="V2040" s="79" t="str">
        <f>IF(ISERROR(FIND('112'!$M$9,G2040,1)),"",IF((AND(RIGHT(G2040,2)=RIGHT('112'!$M$9,2),B2040&lt;'112'!$K$9,$O2040='112'!$I$6)),"x",""))</f>
        <v/>
      </c>
      <c r="W2040" s="79" t="str">
        <f>IF(AND('341-CT'!$H$9=H2040,OR(LEFT(N2040,3)=$W$7,LEFT(O2040,3)=$W$7)),"x","")</f>
        <v/>
      </c>
      <c r="X2040" s="79" t="str">
        <f>IF(OR(TH!N2040=TH!$X$7,O2040=TH!$X$7),"x","")</f>
        <v/>
      </c>
      <c r="Y2040" s="79" t="str">
        <f>IF(AND(OR(N2040="131",O2040="131"),H2040='131-CT'!$H$9),"x","")</f>
        <v/>
      </c>
      <c r="Z2040" s="79"/>
      <c r="AA2040" s="79" t="str">
        <f>IF(AND(MONTH(E2040)='IN-NX'!$J$5,'IN-NX'!$D$7=D2040),"x","")</f>
        <v/>
      </c>
      <c r="AB2040" s="79" t="str">
        <f>IF(AND(OR(LEFT(TH!N2040,2)="15",LEFT(TH!O2040,2)="15"),LEFT(TH!O2040,3)&lt;&gt;"111",'152-CT'!$J$8=TH!F2040),"x","")</f>
        <v/>
      </c>
      <c r="AC2040" s="79" t="str">
        <f>IF(AND(OR(LEFT(TH!N2040,2)="15",LEFT(TH!O2040,2)="15"),TK!$E$7=TH!F2040),"x","")</f>
        <v/>
      </c>
      <c r="AD2040" s="79" t="str">
        <f>IF(AND(N2040="1521",MONTH(C2040)='BK-NL'!$M$11),"x","")</f>
        <v/>
      </c>
    </row>
    <row r="2041" spans="1:30" ht="16.5" customHeight="1">
      <c r="A2041" s="318" t="str">
        <f>IF(B2041&lt;&gt;"",IF(AND(B2041='IN-TC'!$S$4,OR(TH!N2041="1111",TH!O2041="1111")),TH!D2041,""),"")</f>
        <v/>
      </c>
      <c r="B2041" s="60" t="str">
        <f t="shared" si="233"/>
        <v/>
      </c>
      <c r="C2041" s="301"/>
      <c r="D2041" s="301"/>
      <c r="E2041" s="301"/>
      <c r="F2041" s="1160"/>
      <c r="G2041" s="968"/>
      <c r="H2041" s="69"/>
      <c r="I2041" s="385"/>
      <c r="J2041" s="969"/>
      <c r="K2041" s="385"/>
      <c r="L2041" s="392"/>
      <c r="M2041" s="970"/>
      <c r="N2041" s="304"/>
      <c r="O2041" s="304"/>
      <c r="P2041" s="79" t="str">
        <f>IF(AND('331-CT'!$E$7=TH!H2041,OR(N2041="331",O2041="331")),"x","")</f>
        <v/>
      </c>
      <c r="Q2041" s="79" t="str">
        <f>IF(AND(B2041='111'!$L$11,OR($N2041=$Q$7,$O2041=$Q$7)),"x","")</f>
        <v/>
      </c>
      <c r="R2041" s="79" t="str">
        <f>IF(AND($N2041=$Q$7,$B2041&lt;'111'!$L$11),"x","")</f>
        <v/>
      </c>
      <c r="S2041" s="79" t="str">
        <f>IF(AND($O2041=$Q$7,$B2041&lt;'111'!$L$11),"x","")</f>
        <v/>
      </c>
      <c r="T2041" s="79" t="str">
        <f>IF(ISERROR(FIND('112'!$M$9,G2041,1)),"",IF((AND(FIND('112'!$M$9,G2041,1)&gt;=1,B2041='112'!$K$9,OR($N2041='112'!$I$6,$O2041='112'!$I$6))),"x",""))</f>
        <v/>
      </c>
      <c r="U2041" s="79" t="str">
        <f>IF(ISERROR(FIND('112'!$M$9,G2041,1)),"",IF((AND(LEFT(G2041,2)=LEFT('112'!$M$9,2),B2041&lt;'112'!$K$9,$N2041='112'!$I$6)),"x",""))</f>
        <v/>
      </c>
      <c r="V2041" s="79" t="str">
        <f>IF(ISERROR(FIND('112'!$M$9,G2041,1)),"",IF((AND(RIGHT(G2041,2)=RIGHT('112'!$M$9,2),B2041&lt;'112'!$K$9,$O2041='112'!$I$6)),"x",""))</f>
        <v/>
      </c>
      <c r="W2041" s="79" t="str">
        <f>IF(AND('341-CT'!$H$9=H2041,OR(LEFT(N2041,3)=$W$7,LEFT(O2041,3)=$W$7)),"x","")</f>
        <v/>
      </c>
      <c r="X2041" s="79" t="str">
        <f>IF(OR(TH!N2041=TH!$X$7,O2041=TH!$X$7),"x","")</f>
        <v/>
      </c>
      <c r="Y2041" s="79" t="str">
        <f>IF(AND(OR(N2041="131",O2041="131"),H2041='131-CT'!$H$9),"x","")</f>
        <v/>
      </c>
      <c r="Z2041" s="79"/>
      <c r="AA2041" s="79" t="str">
        <f>IF(AND(MONTH(E2041)='IN-NX'!$J$5,'IN-NX'!$D$7=D2041),"x","")</f>
        <v/>
      </c>
      <c r="AB2041" s="79" t="str">
        <f>IF(AND(OR(LEFT(TH!N2041,2)="15",LEFT(TH!O2041,2)="15"),LEFT(TH!O2041,3)&lt;&gt;"111",'152-CT'!$J$8=TH!F2041),"x","")</f>
        <v/>
      </c>
      <c r="AC2041" s="79" t="str">
        <f>IF(AND(OR(LEFT(TH!N2041,2)="15",LEFT(TH!O2041,2)="15"),TK!$E$7=TH!F2041),"x","")</f>
        <v/>
      </c>
      <c r="AD2041" s="79" t="str">
        <f>IF(AND(N2041="1521",MONTH(C2041)='BK-NL'!$M$11),"x","")</f>
        <v/>
      </c>
    </row>
    <row r="2042" spans="1:30" ht="16.5" customHeight="1">
      <c r="A2042" s="318" t="str">
        <f>IF(B2042&lt;&gt;"",IF(AND(B2042='IN-TC'!$S$4,OR(TH!N2042="1111",TH!O2042="1111")),TH!D2042,""),"")</f>
        <v/>
      </c>
      <c r="B2042" s="60" t="str">
        <f t="shared" si="233"/>
        <v/>
      </c>
      <c r="C2042" s="301"/>
      <c r="D2042" s="301"/>
      <c r="E2042" s="301"/>
      <c r="F2042" s="1160"/>
      <c r="G2042" s="968"/>
      <c r="H2042" s="69"/>
      <c r="I2042" s="385"/>
      <c r="J2042" s="969"/>
      <c r="K2042" s="385"/>
      <c r="L2042" s="392"/>
      <c r="M2042" s="970"/>
      <c r="N2042" s="304"/>
      <c r="O2042" s="304"/>
      <c r="P2042" s="79" t="str">
        <f>IF(AND('331-CT'!$E$7=TH!H2042,OR(N2042="331",O2042="331")),"x","")</f>
        <v/>
      </c>
      <c r="Q2042" s="79" t="str">
        <f>IF(AND(B2042='111'!$L$11,OR($N2042=$Q$7,$O2042=$Q$7)),"x","")</f>
        <v/>
      </c>
      <c r="R2042" s="79" t="str">
        <f>IF(AND($N2042=$Q$7,$B2042&lt;'111'!$L$11),"x","")</f>
        <v/>
      </c>
      <c r="S2042" s="79" t="str">
        <f>IF(AND($O2042=$Q$7,$B2042&lt;'111'!$L$11),"x","")</f>
        <v/>
      </c>
      <c r="T2042" s="79" t="str">
        <f>IF(ISERROR(FIND('112'!$M$9,G2042,1)),"",IF((AND(FIND('112'!$M$9,G2042,1)&gt;=1,B2042='112'!$K$9,OR($N2042='112'!$I$6,$O2042='112'!$I$6))),"x",""))</f>
        <v/>
      </c>
      <c r="U2042" s="79" t="str">
        <f>IF(ISERROR(FIND('112'!$M$9,G2042,1)),"",IF((AND(LEFT(G2042,2)=LEFT('112'!$M$9,2),B2042&lt;'112'!$K$9,$N2042='112'!$I$6)),"x",""))</f>
        <v/>
      </c>
      <c r="V2042" s="79" t="str">
        <f>IF(ISERROR(FIND('112'!$M$9,G2042,1)),"",IF((AND(RIGHT(G2042,2)=RIGHT('112'!$M$9,2),B2042&lt;'112'!$K$9,$O2042='112'!$I$6)),"x",""))</f>
        <v/>
      </c>
      <c r="W2042" s="79" t="str">
        <f>IF(AND('341-CT'!$H$9=H2042,OR(LEFT(N2042,3)=$W$7,LEFT(O2042,3)=$W$7)),"x","")</f>
        <v/>
      </c>
      <c r="X2042" s="79" t="str">
        <f>IF(OR(TH!N2042=TH!$X$7,O2042=TH!$X$7),"x","")</f>
        <v/>
      </c>
      <c r="Y2042" s="79" t="str">
        <f>IF(AND(OR(N2042="131",O2042="131"),H2042='131-CT'!$H$9),"x","")</f>
        <v/>
      </c>
      <c r="Z2042" s="79"/>
      <c r="AA2042" s="79" t="str">
        <f>IF(AND(MONTH(E2042)='IN-NX'!$J$5,'IN-NX'!$D$7=D2042),"x","")</f>
        <v/>
      </c>
      <c r="AB2042" s="79" t="str">
        <f>IF(AND(OR(LEFT(TH!N2042,2)="15",LEFT(TH!O2042,2)="15"),LEFT(TH!O2042,3)&lt;&gt;"111",'152-CT'!$J$8=TH!F2042),"x","")</f>
        <v/>
      </c>
      <c r="AC2042" s="79" t="str">
        <f>IF(AND(OR(LEFT(TH!N2042,2)="15",LEFT(TH!O2042,2)="15"),TK!$E$7=TH!F2042),"x","")</f>
        <v/>
      </c>
      <c r="AD2042" s="79" t="str">
        <f>IF(AND(N2042="1521",MONTH(C2042)='BK-NL'!$M$11),"x","")</f>
        <v/>
      </c>
    </row>
    <row r="2043" spans="1:30" ht="16.5" customHeight="1">
      <c r="A2043" s="318" t="str">
        <f>IF(B2043&lt;&gt;"",IF(AND(B2043='IN-TC'!$S$4,OR(TH!N2043="1111",TH!O2043="1111")),TH!D2043,""),"")</f>
        <v/>
      </c>
      <c r="B2043" s="60" t="str">
        <f t="shared" si="233"/>
        <v/>
      </c>
      <c r="C2043" s="301"/>
      <c r="D2043" s="301"/>
      <c r="E2043" s="301"/>
      <c r="F2043" s="1160"/>
      <c r="G2043" s="968"/>
      <c r="H2043" s="69"/>
      <c r="I2043" s="385"/>
      <c r="J2043" s="969"/>
      <c r="K2043" s="385"/>
      <c r="L2043" s="392"/>
      <c r="M2043" s="970"/>
      <c r="N2043" s="304"/>
      <c r="O2043" s="304"/>
      <c r="P2043" s="79" t="str">
        <f>IF(AND('331-CT'!$E$7=TH!H2043,OR(N2043="331",O2043="331")),"x","")</f>
        <v/>
      </c>
      <c r="Q2043" s="79" t="str">
        <f>IF(AND(B2043='111'!$L$11,OR($N2043=$Q$7,$O2043=$Q$7)),"x","")</f>
        <v/>
      </c>
      <c r="R2043" s="79" t="str">
        <f>IF(AND($N2043=$Q$7,$B2043&lt;'111'!$L$11),"x","")</f>
        <v/>
      </c>
      <c r="S2043" s="79" t="str">
        <f>IF(AND($O2043=$Q$7,$B2043&lt;'111'!$L$11),"x","")</f>
        <v/>
      </c>
      <c r="T2043" s="79" t="str">
        <f>IF(ISERROR(FIND('112'!$M$9,G2043,1)),"",IF((AND(FIND('112'!$M$9,G2043,1)&gt;=1,B2043='112'!$K$9,OR($N2043='112'!$I$6,$O2043='112'!$I$6))),"x",""))</f>
        <v/>
      </c>
      <c r="U2043" s="79" t="str">
        <f>IF(ISERROR(FIND('112'!$M$9,G2043,1)),"",IF((AND(LEFT(G2043,2)=LEFT('112'!$M$9,2),B2043&lt;'112'!$K$9,$N2043='112'!$I$6)),"x",""))</f>
        <v/>
      </c>
      <c r="V2043" s="79" t="str">
        <f>IF(ISERROR(FIND('112'!$M$9,G2043,1)),"",IF((AND(RIGHT(G2043,2)=RIGHT('112'!$M$9,2),B2043&lt;'112'!$K$9,$O2043='112'!$I$6)),"x",""))</f>
        <v/>
      </c>
      <c r="W2043" s="79" t="str">
        <f>IF(AND('341-CT'!$H$9=H2043,OR(LEFT(N2043,3)=$W$7,LEFT(O2043,3)=$W$7)),"x","")</f>
        <v/>
      </c>
      <c r="X2043" s="79" t="str">
        <f>IF(OR(TH!N2043=TH!$X$7,O2043=TH!$X$7),"x","")</f>
        <v/>
      </c>
      <c r="Y2043" s="79" t="str">
        <f>IF(AND(OR(N2043="131",O2043="131"),H2043='131-CT'!$H$9),"x","")</f>
        <v/>
      </c>
      <c r="Z2043" s="79"/>
      <c r="AA2043" s="79" t="str">
        <f>IF(AND(MONTH(E2043)='IN-NX'!$J$5,'IN-NX'!$D$7=D2043),"x","")</f>
        <v/>
      </c>
      <c r="AB2043" s="79" t="str">
        <f>IF(AND(OR(LEFT(TH!N2043,2)="15",LEFT(TH!O2043,2)="15"),LEFT(TH!O2043,3)&lt;&gt;"111",'152-CT'!$J$8=TH!F2043),"x","")</f>
        <v/>
      </c>
      <c r="AC2043" s="79" t="str">
        <f>IF(AND(OR(LEFT(TH!N2043,2)="15",LEFT(TH!O2043,2)="15"),TK!$E$7=TH!F2043),"x","")</f>
        <v/>
      </c>
      <c r="AD2043" s="79" t="str">
        <f>IF(AND(N2043="1521",MONTH(C2043)='BK-NL'!$M$11),"x","")</f>
        <v/>
      </c>
    </row>
    <row r="2044" spans="1:30" ht="16.5" customHeight="1">
      <c r="A2044" s="318" t="str">
        <f>IF(B2044&lt;&gt;"",IF(AND(B2044='IN-TC'!$S$4,OR(TH!N2044="1111",TH!O2044="1111")),TH!D2044,""),"")</f>
        <v/>
      </c>
      <c r="B2044" s="60" t="str">
        <f t="shared" si="233"/>
        <v/>
      </c>
      <c r="C2044" s="301"/>
      <c r="D2044" s="301"/>
      <c r="E2044" s="301"/>
      <c r="F2044" s="1160"/>
      <c r="G2044" s="968"/>
      <c r="H2044" s="69"/>
      <c r="I2044" s="385"/>
      <c r="J2044" s="969"/>
      <c r="K2044" s="385"/>
      <c r="L2044" s="392"/>
      <c r="M2044" s="970"/>
      <c r="N2044" s="304"/>
      <c r="O2044" s="304"/>
      <c r="P2044" s="79" t="str">
        <f>IF(AND('331-CT'!$E$7=TH!H2044,OR(N2044="331",O2044="331")),"x","")</f>
        <v/>
      </c>
      <c r="Q2044" s="79" t="str">
        <f>IF(AND(B2044='111'!$L$11,OR($N2044=$Q$7,$O2044=$Q$7)),"x","")</f>
        <v/>
      </c>
      <c r="R2044" s="79" t="str">
        <f>IF(AND($N2044=$Q$7,$B2044&lt;'111'!$L$11),"x","")</f>
        <v/>
      </c>
      <c r="S2044" s="79" t="str">
        <f>IF(AND($O2044=$Q$7,$B2044&lt;'111'!$L$11),"x","")</f>
        <v/>
      </c>
      <c r="T2044" s="79" t="str">
        <f>IF(ISERROR(FIND('112'!$M$9,G2044,1)),"",IF((AND(FIND('112'!$M$9,G2044,1)&gt;=1,B2044='112'!$K$9,OR($N2044='112'!$I$6,$O2044='112'!$I$6))),"x",""))</f>
        <v/>
      </c>
      <c r="U2044" s="79" t="str">
        <f>IF(ISERROR(FIND('112'!$M$9,G2044,1)),"",IF((AND(LEFT(G2044,2)=LEFT('112'!$M$9,2),B2044&lt;'112'!$K$9,$N2044='112'!$I$6)),"x",""))</f>
        <v/>
      </c>
      <c r="V2044" s="79" t="str">
        <f>IF(ISERROR(FIND('112'!$M$9,G2044,1)),"",IF((AND(RIGHT(G2044,2)=RIGHT('112'!$M$9,2),B2044&lt;'112'!$K$9,$O2044='112'!$I$6)),"x",""))</f>
        <v/>
      </c>
      <c r="W2044" s="79" t="str">
        <f>IF(AND('341-CT'!$H$9=H2044,OR(LEFT(N2044,3)=$W$7,LEFT(O2044,3)=$W$7)),"x","")</f>
        <v/>
      </c>
      <c r="X2044" s="79" t="str">
        <f>IF(OR(TH!N2044=TH!$X$7,O2044=TH!$X$7),"x","")</f>
        <v/>
      </c>
      <c r="Y2044" s="79" t="str">
        <f>IF(AND(OR(N2044="131",O2044="131"),H2044='131-CT'!$H$9),"x","")</f>
        <v/>
      </c>
      <c r="Z2044" s="79"/>
      <c r="AA2044" s="79" t="str">
        <f>IF(AND(MONTH(E2044)='IN-NX'!$J$5,'IN-NX'!$D$7=D2044),"x","")</f>
        <v/>
      </c>
      <c r="AB2044" s="79" t="str">
        <f>IF(AND(OR(LEFT(TH!N2044,2)="15",LEFT(TH!O2044,2)="15"),LEFT(TH!O2044,3)&lt;&gt;"111",'152-CT'!$J$8=TH!F2044),"x","")</f>
        <v/>
      </c>
      <c r="AC2044" s="79" t="str">
        <f>IF(AND(OR(LEFT(TH!N2044,2)="15",LEFT(TH!O2044,2)="15"),TK!$E$7=TH!F2044),"x","")</f>
        <v/>
      </c>
      <c r="AD2044" s="79" t="str">
        <f>IF(AND(N2044="1521",MONTH(C2044)='BK-NL'!$M$11),"x","")</f>
        <v/>
      </c>
    </row>
    <row r="2045" spans="1:30" ht="16.5" customHeight="1">
      <c r="A2045" s="318" t="str">
        <f>IF(B2045&lt;&gt;"",IF(AND(B2045='IN-TC'!$S$4,OR(TH!N2045="1111",TH!O2045="1111")),TH!D2045,""),"")</f>
        <v/>
      </c>
      <c r="B2045" s="60" t="str">
        <f t="shared" si="233"/>
        <v/>
      </c>
      <c r="C2045" s="301"/>
      <c r="D2045" s="301"/>
      <c r="E2045" s="301"/>
      <c r="F2045" s="1160"/>
      <c r="G2045" s="968"/>
      <c r="H2045" s="69"/>
      <c r="I2045" s="385"/>
      <c r="J2045" s="969"/>
      <c r="K2045" s="385"/>
      <c r="L2045" s="392"/>
      <c r="M2045" s="970"/>
      <c r="N2045" s="304"/>
      <c r="O2045" s="304"/>
      <c r="P2045" s="79" t="str">
        <f>IF(AND('331-CT'!$E$7=TH!H2045,OR(N2045="331",O2045="331")),"x","")</f>
        <v/>
      </c>
      <c r="Q2045" s="79" t="str">
        <f>IF(AND(B2045='111'!$L$11,OR($N2045=$Q$7,$O2045=$Q$7)),"x","")</f>
        <v/>
      </c>
      <c r="R2045" s="79" t="str">
        <f>IF(AND($N2045=$Q$7,$B2045&lt;'111'!$L$11),"x","")</f>
        <v/>
      </c>
      <c r="S2045" s="79" t="str">
        <f>IF(AND($O2045=$Q$7,$B2045&lt;'111'!$L$11),"x","")</f>
        <v/>
      </c>
      <c r="T2045" s="79" t="str">
        <f>IF(ISERROR(FIND('112'!$M$9,G2045,1)),"",IF((AND(FIND('112'!$M$9,G2045,1)&gt;=1,B2045='112'!$K$9,OR($N2045='112'!$I$6,$O2045='112'!$I$6))),"x",""))</f>
        <v/>
      </c>
      <c r="U2045" s="79" t="str">
        <f>IF(ISERROR(FIND('112'!$M$9,G2045,1)),"",IF((AND(LEFT(G2045,2)=LEFT('112'!$M$9,2),B2045&lt;'112'!$K$9,$N2045='112'!$I$6)),"x",""))</f>
        <v/>
      </c>
      <c r="V2045" s="79" t="str">
        <f>IF(ISERROR(FIND('112'!$M$9,G2045,1)),"",IF((AND(RIGHT(G2045,2)=RIGHT('112'!$M$9,2),B2045&lt;'112'!$K$9,$O2045='112'!$I$6)),"x",""))</f>
        <v/>
      </c>
      <c r="W2045" s="79" t="str">
        <f>IF(AND('341-CT'!$H$9=H2045,OR(LEFT(N2045,3)=$W$7,LEFT(O2045,3)=$W$7)),"x","")</f>
        <v/>
      </c>
      <c r="X2045" s="79" t="str">
        <f>IF(OR(TH!N2045=TH!$X$7,O2045=TH!$X$7),"x","")</f>
        <v/>
      </c>
      <c r="Y2045" s="79" t="str">
        <f>IF(AND(OR(N2045="131",O2045="131"),H2045='131-CT'!$H$9),"x","")</f>
        <v/>
      </c>
      <c r="Z2045" s="79"/>
      <c r="AA2045" s="79" t="str">
        <f>IF(AND(MONTH(E2045)='IN-NX'!$J$5,'IN-NX'!$D$7=D2045),"x","")</f>
        <v/>
      </c>
      <c r="AB2045" s="79" t="str">
        <f>IF(AND(OR(LEFT(TH!N2045,2)="15",LEFT(TH!O2045,2)="15"),LEFT(TH!O2045,3)&lt;&gt;"111",'152-CT'!$J$8=TH!F2045),"x","")</f>
        <v/>
      </c>
      <c r="AC2045" s="79" t="str">
        <f>IF(AND(OR(LEFT(TH!N2045,2)="15",LEFT(TH!O2045,2)="15"),TK!$E$7=TH!F2045),"x","")</f>
        <v/>
      </c>
      <c r="AD2045" s="79" t="str">
        <f>IF(AND(N2045="1521",MONTH(C2045)='BK-NL'!$M$11),"x","")</f>
        <v/>
      </c>
    </row>
    <row r="2046" spans="1:30" ht="16.5" customHeight="1">
      <c r="A2046" s="318" t="str">
        <f>IF(B2046&lt;&gt;"",IF(AND(B2046='IN-TC'!$S$4,OR(TH!N2046="1111",TH!O2046="1111")),TH!D2046,""),"")</f>
        <v/>
      </c>
      <c r="B2046" s="60" t="str">
        <f t="shared" si="233"/>
        <v/>
      </c>
      <c r="C2046" s="301"/>
      <c r="D2046" s="301"/>
      <c r="E2046" s="301"/>
      <c r="F2046" s="1160"/>
      <c r="G2046" s="968"/>
      <c r="H2046" s="69"/>
      <c r="I2046" s="385"/>
      <c r="J2046" s="969"/>
      <c r="K2046" s="385"/>
      <c r="L2046" s="392"/>
      <c r="M2046" s="970"/>
      <c r="N2046" s="304"/>
      <c r="O2046" s="304"/>
      <c r="P2046" s="79" t="str">
        <f>IF(AND('331-CT'!$E$7=TH!H2046,OR(N2046="331",O2046="331")),"x","")</f>
        <v/>
      </c>
      <c r="Q2046" s="79" t="str">
        <f>IF(AND(B2046='111'!$L$11,OR($N2046=$Q$7,$O2046=$Q$7)),"x","")</f>
        <v/>
      </c>
      <c r="R2046" s="79" t="str">
        <f>IF(AND($N2046=$Q$7,$B2046&lt;'111'!$L$11),"x","")</f>
        <v/>
      </c>
      <c r="S2046" s="79" t="str">
        <f>IF(AND($O2046=$Q$7,$B2046&lt;'111'!$L$11),"x","")</f>
        <v/>
      </c>
      <c r="T2046" s="79" t="str">
        <f>IF(ISERROR(FIND('112'!$M$9,G2046,1)),"",IF((AND(FIND('112'!$M$9,G2046,1)&gt;=1,B2046='112'!$K$9,OR($N2046='112'!$I$6,$O2046='112'!$I$6))),"x",""))</f>
        <v/>
      </c>
      <c r="U2046" s="79" t="str">
        <f>IF(ISERROR(FIND('112'!$M$9,G2046,1)),"",IF((AND(LEFT(G2046,2)=LEFT('112'!$M$9,2),B2046&lt;'112'!$K$9,$N2046='112'!$I$6)),"x",""))</f>
        <v/>
      </c>
      <c r="V2046" s="79" t="str">
        <f>IF(ISERROR(FIND('112'!$M$9,G2046,1)),"",IF((AND(RIGHT(G2046,2)=RIGHT('112'!$M$9,2),B2046&lt;'112'!$K$9,$O2046='112'!$I$6)),"x",""))</f>
        <v/>
      </c>
      <c r="W2046" s="79" t="str">
        <f>IF(AND('341-CT'!$H$9=H2046,OR(LEFT(N2046,3)=$W$7,LEFT(O2046,3)=$W$7)),"x","")</f>
        <v/>
      </c>
      <c r="X2046" s="79" t="str">
        <f>IF(OR(TH!N2046=TH!$X$7,O2046=TH!$X$7),"x","")</f>
        <v/>
      </c>
      <c r="Y2046" s="79" t="str">
        <f>IF(AND(OR(N2046="131",O2046="131"),H2046='131-CT'!$H$9),"x","")</f>
        <v/>
      </c>
      <c r="Z2046" s="79"/>
      <c r="AA2046" s="79" t="str">
        <f>IF(AND(MONTH(E2046)='IN-NX'!$J$5,'IN-NX'!$D$7=D2046),"x","")</f>
        <v/>
      </c>
      <c r="AB2046" s="79" t="str">
        <f>IF(AND(OR(LEFT(TH!N2046,2)="15",LEFT(TH!O2046,2)="15"),LEFT(TH!O2046,3)&lt;&gt;"111",'152-CT'!$J$8=TH!F2046),"x","")</f>
        <v/>
      </c>
      <c r="AC2046" s="79" t="str">
        <f>IF(AND(OR(LEFT(TH!N2046,2)="15",LEFT(TH!O2046,2)="15"),TK!$E$7=TH!F2046),"x","")</f>
        <v/>
      </c>
      <c r="AD2046" s="79" t="str">
        <f>IF(AND(N2046="1521",MONTH(C2046)='BK-NL'!$M$11),"x","")</f>
        <v/>
      </c>
    </row>
    <row r="2047" spans="1:30" ht="16.5" customHeight="1">
      <c r="A2047" s="318" t="str">
        <f>IF(B2047&lt;&gt;"",IF(AND(B2047='IN-TC'!$S$4,OR(TH!N2047="1111",TH!O2047="1111")),TH!D2047,""),"")</f>
        <v/>
      </c>
      <c r="B2047" s="60" t="str">
        <f t="shared" si="233"/>
        <v/>
      </c>
      <c r="C2047" s="301"/>
      <c r="D2047" s="301"/>
      <c r="E2047" s="301"/>
      <c r="F2047" s="1160"/>
      <c r="G2047" s="968"/>
      <c r="H2047" s="69"/>
      <c r="I2047" s="385"/>
      <c r="J2047" s="969"/>
      <c r="K2047" s="385"/>
      <c r="L2047" s="392"/>
      <c r="M2047" s="970"/>
      <c r="N2047" s="304"/>
      <c r="O2047" s="304"/>
      <c r="P2047" s="79" t="str">
        <f>IF(AND('331-CT'!$E$7=TH!H2047,OR(N2047="331",O2047="331")),"x","")</f>
        <v/>
      </c>
      <c r="Q2047" s="79" t="str">
        <f>IF(AND(B2047='111'!$L$11,OR($N2047=$Q$7,$O2047=$Q$7)),"x","")</f>
        <v/>
      </c>
      <c r="R2047" s="79" t="str">
        <f>IF(AND($N2047=$Q$7,$B2047&lt;'111'!$L$11),"x","")</f>
        <v/>
      </c>
      <c r="S2047" s="79" t="str">
        <f>IF(AND($O2047=$Q$7,$B2047&lt;'111'!$L$11),"x","")</f>
        <v/>
      </c>
      <c r="T2047" s="79" t="str">
        <f>IF(ISERROR(FIND('112'!$M$9,G2047,1)),"",IF((AND(FIND('112'!$M$9,G2047,1)&gt;=1,B2047='112'!$K$9,OR($N2047='112'!$I$6,$O2047='112'!$I$6))),"x",""))</f>
        <v/>
      </c>
      <c r="U2047" s="79" t="str">
        <f>IF(ISERROR(FIND('112'!$M$9,G2047,1)),"",IF((AND(LEFT(G2047,2)=LEFT('112'!$M$9,2),B2047&lt;'112'!$K$9,$N2047='112'!$I$6)),"x",""))</f>
        <v/>
      </c>
      <c r="V2047" s="79" t="str">
        <f>IF(ISERROR(FIND('112'!$M$9,G2047,1)),"",IF((AND(RIGHT(G2047,2)=RIGHT('112'!$M$9,2),B2047&lt;'112'!$K$9,$O2047='112'!$I$6)),"x",""))</f>
        <v/>
      </c>
      <c r="W2047" s="79" t="str">
        <f>IF(AND('341-CT'!$H$9=H2047,OR(LEFT(N2047,3)=$W$7,LEFT(O2047,3)=$W$7)),"x","")</f>
        <v/>
      </c>
      <c r="X2047" s="79" t="str">
        <f>IF(OR(TH!N2047=TH!$X$7,O2047=TH!$X$7),"x","")</f>
        <v/>
      </c>
      <c r="Y2047" s="79" t="str">
        <f>IF(AND(OR(N2047="131",O2047="131"),H2047='131-CT'!$H$9),"x","")</f>
        <v/>
      </c>
      <c r="Z2047" s="79"/>
      <c r="AA2047" s="79" t="str">
        <f>IF(AND(MONTH(E2047)='IN-NX'!$J$5,'IN-NX'!$D$7=D2047),"x","")</f>
        <v/>
      </c>
      <c r="AB2047" s="79" t="str">
        <f>IF(AND(OR(LEFT(TH!N2047,2)="15",LEFT(TH!O2047,2)="15"),LEFT(TH!O2047,3)&lt;&gt;"111",'152-CT'!$J$8=TH!F2047),"x","")</f>
        <v/>
      </c>
      <c r="AC2047" s="79" t="str">
        <f>IF(AND(OR(LEFT(TH!N2047,2)="15",LEFT(TH!O2047,2)="15"),TK!$E$7=TH!F2047),"x","")</f>
        <v/>
      </c>
      <c r="AD2047" s="79" t="str">
        <f>IF(AND(N2047="1521",MONTH(C2047)='BK-NL'!$M$11),"x","")</f>
        <v/>
      </c>
    </row>
    <row r="2048" spans="1:30" ht="16.5" customHeight="1">
      <c r="A2048" s="318" t="str">
        <f>IF(B2048&lt;&gt;"",IF(AND(B2048='IN-TC'!$S$4,OR(TH!N2048="1111",TH!O2048="1111")),TH!D2048,""),"")</f>
        <v/>
      </c>
      <c r="B2048" s="60" t="str">
        <f t="shared" si="233"/>
        <v/>
      </c>
      <c r="C2048" s="301"/>
      <c r="D2048" s="301"/>
      <c r="E2048" s="301"/>
      <c r="F2048" s="1160"/>
      <c r="G2048" s="968"/>
      <c r="H2048" s="69"/>
      <c r="I2048" s="385"/>
      <c r="J2048" s="969"/>
      <c r="K2048" s="385"/>
      <c r="L2048" s="392"/>
      <c r="M2048" s="970"/>
      <c r="N2048" s="304"/>
      <c r="O2048" s="304"/>
      <c r="P2048" s="79" t="str">
        <f>IF(AND('331-CT'!$E$7=TH!H2048,OR(N2048="331",O2048="331")),"x","")</f>
        <v/>
      </c>
      <c r="Q2048" s="79" t="str">
        <f>IF(AND(B2048='111'!$L$11,OR($N2048=$Q$7,$O2048=$Q$7)),"x","")</f>
        <v/>
      </c>
      <c r="R2048" s="79" t="str">
        <f>IF(AND($N2048=$Q$7,$B2048&lt;'111'!$L$11),"x","")</f>
        <v/>
      </c>
      <c r="S2048" s="79" t="str">
        <f>IF(AND($O2048=$Q$7,$B2048&lt;'111'!$L$11),"x","")</f>
        <v/>
      </c>
      <c r="T2048" s="79" t="str">
        <f>IF(ISERROR(FIND('112'!$M$9,G2048,1)),"",IF((AND(FIND('112'!$M$9,G2048,1)&gt;=1,B2048='112'!$K$9,OR($N2048='112'!$I$6,$O2048='112'!$I$6))),"x",""))</f>
        <v/>
      </c>
      <c r="U2048" s="79" t="str">
        <f>IF(ISERROR(FIND('112'!$M$9,G2048,1)),"",IF((AND(LEFT(G2048,2)=LEFT('112'!$M$9,2),B2048&lt;'112'!$K$9,$N2048='112'!$I$6)),"x",""))</f>
        <v/>
      </c>
      <c r="V2048" s="79" t="str">
        <f>IF(ISERROR(FIND('112'!$M$9,G2048,1)),"",IF((AND(RIGHT(G2048,2)=RIGHT('112'!$M$9,2),B2048&lt;'112'!$K$9,$O2048='112'!$I$6)),"x",""))</f>
        <v/>
      </c>
      <c r="W2048" s="79" t="str">
        <f>IF(AND('341-CT'!$H$9=H2048,OR(LEFT(N2048,3)=$W$7,LEFT(O2048,3)=$W$7)),"x","")</f>
        <v/>
      </c>
      <c r="X2048" s="79" t="str">
        <f>IF(OR(TH!N2048=TH!$X$7,O2048=TH!$X$7),"x","")</f>
        <v/>
      </c>
      <c r="Y2048" s="79" t="str">
        <f>IF(AND(OR(N2048="131",O2048="131"),H2048='131-CT'!$H$9),"x","")</f>
        <v/>
      </c>
      <c r="Z2048" s="79"/>
      <c r="AA2048" s="79" t="str">
        <f>IF(AND(MONTH(E2048)='IN-NX'!$J$5,'IN-NX'!$D$7=D2048),"x","")</f>
        <v/>
      </c>
      <c r="AB2048" s="79" t="str">
        <f>IF(AND(OR(LEFT(TH!N2048,2)="15",LEFT(TH!O2048,2)="15"),LEFT(TH!O2048,3)&lt;&gt;"111",'152-CT'!$J$8=TH!F2048),"x","")</f>
        <v/>
      </c>
      <c r="AC2048" s="79" t="str">
        <f>IF(AND(OR(LEFT(TH!N2048,2)="15",LEFT(TH!O2048,2)="15"),TK!$E$7=TH!F2048),"x","")</f>
        <v/>
      </c>
      <c r="AD2048" s="79" t="str">
        <f>IF(AND(N2048="1521",MONTH(C2048)='BK-NL'!$M$11),"x","")</f>
        <v/>
      </c>
    </row>
    <row r="2049" spans="1:30" ht="16.5" customHeight="1">
      <c r="A2049" s="318" t="str">
        <f>IF(B2049&lt;&gt;"",IF(AND(B2049='IN-TC'!$S$4,OR(TH!N2049="1111",TH!O2049="1111")),TH!D2049,""),"")</f>
        <v/>
      </c>
      <c r="B2049" s="60" t="str">
        <f t="shared" si="233"/>
        <v/>
      </c>
      <c r="C2049" s="301"/>
      <c r="D2049" s="301"/>
      <c r="E2049" s="301"/>
      <c r="F2049" s="1160"/>
      <c r="G2049" s="968"/>
      <c r="H2049" s="69"/>
      <c r="I2049" s="385"/>
      <c r="J2049" s="969"/>
      <c r="K2049" s="385"/>
      <c r="L2049" s="392"/>
      <c r="M2049" s="970"/>
      <c r="N2049" s="304"/>
      <c r="O2049" s="304"/>
      <c r="P2049" s="79" t="str">
        <f>IF(AND('331-CT'!$E$7=TH!H2049,OR(N2049="331",O2049="331")),"x","")</f>
        <v/>
      </c>
      <c r="Q2049" s="79" t="str">
        <f>IF(AND(B2049='111'!$L$11,OR($N2049=$Q$7,$O2049=$Q$7)),"x","")</f>
        <v/>
      </c>
      <c r="R2049" s="79" t="str">
        <f>IF(AND($N2049=$Q$7,$B2049&lt;'111'!$L$11),"x","")</f>
        <v/>
      </c>
      <c r="S2049" s="79" t="str">
        <f>IF(AND($O2049=$Q$7,$B2049&lt;'111'!$L$11),"x","")</f>
        <v/>
      </c>
      <c r="T2049" s="79" t="str">
        <f>IF(ISERROR(FIND('112'!$M$9,G2049,1)),"",IF((AND(FIND('112'!$M$9,G2049,1)&gt;=1,B2049='112'!$K$9,OR($N2049='112'!$I$6,$O2049='112'!$I$6))),"x",""))</f>
        <v/>
      </c>
      <c r="U2049" s="79" t="str">
        <f>IF(ISERROR(FIND('112'!$M$9,G2049,1)),"",IF((AND(LEFT(G2049,2)=LEFT('112'!$M$9,2),B2049&lt;'112'!$K$9,$N2049='112'!$I$6)),"x",""))</f>
        <v/>
      </c>
      <c r="V2049" s="79" t="str">
        <f>IF(ISERROR(FIND('112'!$M$9,G2049,1)),"",IF((AND(RIGHT(G2049,2)=RIGHT('112'!$M$9,2),B2049&lt;'112'!$K$9,$O2049='112'!$I$6)),"x",""))</f>
        <v/>
      </c>
      <c r="W2049" s="79" t="str">
        <f>IF(AND('341-CT'!$H$9=H2049,OR(LEFT(N2049,3)=$W$7,LEFT(O2049,3)=$W$7)),"x","")</f>
        <v/>
      </c>
      <c r="X2049" s="79" t="str">
        <f>IF(OR(TH!N2049=TH!$X$7,O2049=TH!$X$7),"x","")</f>
        <v/>
      </c>
      <c r="Y2049" s="79" t="str">
        <f>IF(AND(OR(N2049="131",O2049="131"),H2049='131-CT'!$H$9),"x","")</f>
        <v/>
      </c>
      <c r="Z2049" s="79"/>
      <c r="AA2049" s="79" t="str">
        <f>IF(AND(MONTH(E2049)='IN-NX'!$J$5,'IN-NX'!$D$7=D2049),"x","")</f>
        <v/>
      </c>
      <c r="AB2049" s="79" t="str">
        <f>IF(AND(OR(LEFT(TH!N2049,2)="15",LEFT(TH!O2049,2)="15"),LEFT(TH!O2049,3)&lt;&gt;"111",'152-CT'!$J$8=TH!F2049),"x","")</f>
        <v/>
      </c>
      <c r="AC2049" s="79" t="str">
        <f>IF(AND(OR(LEFT(TH!N2049,2)="15",LEFT(TH!O2049,2)="15"),TK!$E$7=TH!F2049),"x","")</f>
        <v/>
      </c>
      <c r="AD2049" s="79" t="str">
        <f>IF(AND(N2049="1521",MONTH(C2049)='BK-NL'!$M$11),"x","")</f>
        <v/>
      </c>
    </row>
    <row r="2050" spans="1:30" ht="16.5" customHeight="1">
      <c r="A2050" s="318" t="str">
        <f>IF(B2050&lt;&gt;"",IF(AND(B2050='IN-TC'!$S$4,OR(TH!N2050="1111",TH!O2050="1111")),TH!D2050,""),"")</f>
        <v/>
      </c>
      <c r="B2050" s="60" t="str">
        <f t="shared" si="233"/>
        <v/>
      </c>
      <c r="C2050" s="301"/>
      <c r="D2050" s="301"/>
      <c r="E2050" s="301"/>
      <c r="F2050" s="1160"/>
      <c r="G2050" s="968"/>
      <c r="H2050" s="69"/>
      <c r="I2050" s="385"/>
      <c r="J2050" s="969"/>
      <c r="K2050" s="385"/>
      <c r="L2050" s="392"/>
      <c r="M2050" s="970"/>
      <c r="N2050" s="304"/>
      <c r="O2050" s="304"/>
      <c r="P2050" s="79" t="str">
        <f>IF(AND('331-CT'!$E$7=TH!H2050,OR(N2050="331",O2050="331")),"x","")</f>
        <v/>
      </c>
      <c r="Q2050" s="79" t="str">
        <f>IF(AND(B2050='111'!$L$11,OR($N2050=$Q$7,$O2050=$Q$7)),"x","")</f>
        <v/>
      </c>
      <c r="R2050" s="79" t="str">
        <f>IF(AND($N2050=$Q$7,$B2050&lt;'111'!$L$11),"x","")</f>
        <v/>
      </c>
      <c r="S2050" s="79" t="str">
        <f>IF(AND($O2050=$Q$7,$B2050&lt;'111'!$L$11),"x","")</f>
        <v/>
      </c>
      <c r="T2050" s="79" t="str">
        <f>IF(ISERROR(FIND('112'!$M$9,G2050,1)),"",IF((AND(FIND('112'!$M$9,G2050,1)&gt;=1,B2050='112'!$K$9,OR($N2050='112'!$I$6,$O2050='112'!$I$6))),"x",""))</f>
        <v/>
      </c>
      <c r="U2050" s="79" t="str">
        <f>IF(ISERROR(FIND('112'!$M$9,G2050,1)),"",IF((AND(LEFT(G2050,2)=LEFT('112'!$M$9,2),B2050&lt;'112'!$K$9,$N2050='112'!$I$6)),"x",""))</f>
        <v/>
      </c>
      <c r="V2050" s="79" t="str">
        <f>IF(ISERROR(FIND('112'!$M$9,G2050,1)),"",IF((AND(RIGHT(G2050,2)=RIGHT('112'!$M$9,2),B2050&lt;'112'!$K$9,$O2050='112'!$I$6)),"x",""))</f>
        <v/>
      </c>
      <c r="W2050" s="79" t="str">
        <f>IF(AND('341-CT'!$H$9=H2050,OR(LEFT(N2050,3)=$W$7,LEFT(O2050,3)=$W$7)),"x","")</f>
        <v/>
      </c>
      <c r="X2050" s="79" t="str">
        <f>IF(OR(TH!N2050=TH!$X$7,O2050=TH!$X$7),"x","")</f>
        <v/>
      </c>
      <c r="Y2050" s="79" t="str">
        <f>IF(AND(OR(N2050="131",O2050="131"),H2050='131-CT'!$H$9),"x","")</f>
        <v/>
      </c>
      <c r="Z2050" s="79"/>
      <c r="AA2050" s="79" t="str">
        <f>IF(AND(MONTH(E2050)='IN-NX'!$J$5,'IN-NX'!$D$7=D2050),"x","")</f>
        <v/>
      </c>
      <c r="AB2050" s="79" t="str">
        <f>IF(AND(OR(LEFT(TH!N2050,2)="15",LEFT(TH!O2050,2)="15"),LEFT(TH!O2050,3)&lt;&gt;"111",'152-CT'!$J$8=TH!F2050),"x","")</f>
        <v/>
      </c>
      <c r="AC2050" s="79" t="str">
        <f>IF(AND(OR(LEFT(TH!N2050,2)="15",LEFT(TH!O2050,2)="15"),TK!$E$7=TH!F2050),"x","")</f>
        <v/>
      </c>
      <c r="AD2050" s="79" t="str">
        <f>IF(AND(N2050="1521",MONTH(C2050)='BK-NL'!$M$11),"x","")</f>
        <v/>
      </c>
    </row>
    <row r="2051" spans="1:30" ht="16.5" customHeight="1">
      <c r="A2051" s="318" t="str">
        <f>IF(B2051&lt;&gt;"",IF(AND(B2051='IN-TC'!$S$4,OR(TH!N2051="1111",TH!O2051="1111")),TH!D2051,""),"")</f>
        <v/>
      </c>
      <c r="B2051" s="60" t="str">
        <f t="shared" si="233"/>
        <v/>
      </c>
      <c r="C2051" s="301"/>
      <c r="D2051" s="301"/>
      <c r="E2051" s="301"/>
      <c r="F2051" s="1160"/>
      <c r="G2051" s="968"/>
      <c r="H2051" s="69"/>
      <c r="I2051" s="385"/>
      <c r="J2051" s="969"/>
      <c r="K2051" s="385"/>
      <c r="L2051" s="392"/>
      <c r="M2051" s="970"/>
      <c r="N2051" s="304"/>
      <c r="O2051" s="304"/>
      <c r="P2051" s="79" t="str">
        <f>IF(AND('331-CT'!$E$7=TH!H2051,OR(N2051="331",O2051="331")),"x","")</f>
        <v/>
      </c>
      <c r="Q2051" s="79" t="str">
        <f>IF(AND(B2051='111'!$L$11,OR($N2051=$Q$7,$O2051=$Q$7)),"x","")</f>
        <v/>
      </c>
      <c r="R2051" s="79" t="str">
        <f>IF(AND($N2051=$Q$7,$B2051&lt;'111'!$L$11),"x","")</f>
        <v/>
      </c>
      <c r="S2051" s="79" t="str">
        <f>IF(AND($O2051=$Q$7,$B2051&lt;'111'!$L$11),"x","")</f>
        <v/>
      </c>
      <c r="T2051" s="79" t="str">
        <f>IF(ISERROR(FIND('112'!$M$9,G2051,1)),"",IF((AND(FIND('112'!$M$9,G2051,1)&gt;=1,B2051='112'!$K$9,OR($N2051='112'!$I$6,$O2051='112'!$I$6))),"x",""))</f>
        <v/>
      </c>
      <c r="U2051" s="79" t="str">
        <f>IF(ISERROR(FIND('112'!$M$9,G2051,1)),"",IF((AND(LEFT(G2051,2)=LEFT('112'!$M$9,2),B2051&lt;'112'!$K$9,$N2051='112'!$I$6)),"x",""))</f>
        <v/>
      </c>
      <c r="V2051" s="79" t="str">
        <f>IF(ISERROR(FIND('112'!$M$9,G2051,1)),"",IF((AND(RIGHT(G2051,2)=RIGHT('112'!$M$9,2),B2051&lt;'112'!$K$9,$O2051='112'!$I$6)),"x",""))</f>
        <v/>
      </c>
      <c r="W2051" s="79" t="str">
        <f>IF(AND('341-CT'!$H$9=H2051,OR(LEFT(N2051,3)=$W$7,LEFT(O2051,3)=$W$7)),"x","")</f>
        <v/>
      </c>
      <c r="X2051" s="79" t="str">
        <f>IF(OR(TH!N2051=TH!$X$7,O2051=TH!$X$7),"x","")</f>
        <v/>
      </c>
      <c r="Y2051" s="79" t="str">
        <f>IF(AND(OR(N2051="131",O2051="131"),H2051='131-CT'!$H$9),"x","")</f>
        <v/>
      </c>
      <c r="Z2051" s="79"/>
      <c r="AA2051" s="79" t="str">
        <f>IF(AND(MONTH(E2051)='IN-NX'!$J$5,'IN-NX'!$D$7=D2051),"x","")</f>
        <v/>
      </c>
      <c r="AB2051" s="79" t="str">
        <f>IF(AND(OR(LEFT(TH!N2051,2)="15",LEFT(TH!O2051,2)="15"),LEFT(TH!O2051,3)&lt;&gt;"111",'152-CT'!$J$8=TH!F2051),"x","")</f>
        <v/>
      </c>
      <c r="AC2051" s="79" t="str">
        <f>IF(AND(OR(LEFT(TH!N2051,2)="15",LEFT(TH!O2051,2)="15"),TK!$E$7=TH!F2051),"x","")</f>
        <v/>
      </c>
      <c r="AD2051" s="79" t="str">
        <f>IF(AND(N2051="1521",MONTH(C2051)='BK-NL'!$M$11),"x","")</f>
        <v/>
      </c>
    </row>
    <row r="2052" spans="1:30" ht="16.5" customHeight="1">
      <c r="A2052" s="318" t="str">
        <f>IF(B2052&lt;&gt;"",IF(AND(B2052='IN-TC'!$S$4,OR(TH!N2052="1111",TH!O2052="1111")),TH!D2052,""),"")</f>
        <v/>
      </c>
      <c r="B2052" s="60" t="str">
        <f t="shared" si="233"/>
        <v/>
      </c>
      <c r="C2052" s="301"/>
      <c r="D2052" s="301"/>
      <c r="E2052" s="301"/>
      <c r="F2052" s="1160"/>
      <c r="G2052" s="968"/>
      <c r="H2052" s="69"/>
      <c r="I2052" s="385"/>
      <c r="J2052" s="969"/>
      <c r="K2052" s="385"/>
      <c r="L2052" s="392"/>
      <c r="M2052" s="970"/>
      <c r="N2052" s="304"/>
      <c r="O2052" s="304"/>
      <c r="P2052" s="79" t="str">
        <f>IF(AND('331-CT'!$E$7=TH!H2052,OR(N2052="331",O2052="331")),"x","")</f>
        <v/>
      </c>
      <c r="Q2052" s="79" t="str">
        <f>IF(AND(B2052='111'!$L$11,OR($N2052=$Q$7,$O2052=$Q$7)),"x","")</f>
        <v/>
      </c>
      <c r="R2052" s="79" t="str">
        <f>IF(AND($N2052=$Q$7,$B2052&lt;'111'!$L$11),"x","")</f>
        <v/>
      </c>
      <c r="S2052" s="79" t="str">
        <f>IF(AND($O2052=$Q$7,$B2052&lt;'111'!$L$11),"x","")</f>
        <v/>
      </c>
      <c r="T2052" s="79" t="str">
        <f>IF(ISERROR(FIND('112'!$M$9,G2052,1)),"",IF((AND(FIND('112'!$M$9,G2052,1)&gt;=1,B2052='112'!$K$9,OR($N2052='112'!$I$6,$O2052='112'!$I$6))),"x",""))</f>
        <v/>
      </c>
      <c r="U2052" s="79" t="str">
        <f>IF(ISERROR(FIND('112'!$M$9,G2052,1)),"",IF((AND(LEFT(G2052,2)=LEFT('112'!$M$9,2),B2052&lt;'112'!$K$9,$N2052='112'!$I$6)),"x",""))</f>
        <v/>
      </c>
      <c r="V2052" s="79" t="str">
        <f>IF(ISERROR(FIND('112'!$M$9,G2052,1)),"",IF((AND(RIGHT(G2052,2)=RIGHT('112'!$M$9,2),B2052&lt;'112'!$K$9,$O2052='112'!$I$6)),"x",""))</f>
        <v/>
      </c>
      <c r="W2052" s="79" t="str">
        <f>IF(AND('341-CT'!$H$9=H2052,OR(LEFT(N2052,3)=$W$7,LEFT(O2052,3)=$W$7)),"x","")</f>
        <v/>
      </c>
      <c r="X2052" s="79" t="str">
        <f>IF(OR(TH!N2052=TH!$X$7,O2052=TH!$X$7),"x","")</f>
        <v/>
      </c>
      <c r="Y2052" s="79" t="str">
        <f>IF(AND(OR(N2052="131",O2052="131"),H2052='131-CT'!$H$9),"x","")</f>
        <v/>
      </c>
      <c r="Z2052" s="79"/>
      <c r="AA2052" s="79" t="str">
        <f>IF(AND(MONTH(E2052)='IN-NX'!$J$5,'IN-NX'!$D$7=D2052),"x","")</f>
        <v/>
      </c>
      <c r="AB2052" s="79" t="str">
        <f>IF(AND(OR(LEFT(TH!N2052,2)="15",LEFT(TH!O2052,2)="15"),LEFT(TH!O2052,3)&lt;&gt;"111",'152-CT'!$J$8=TH!F2052),"x","")</f>
        <v/>
      </c>
      <c r="AC2052" s="79" t="str">
        <f>IF(AND(OR(LEFT(TH!N2052,2)="15",LEFT(TH!O2052,2)="15"),TK!$E$7=TH!F2052),"x","")</f>
        <v/>
      </c>
      <c r="AD2052" s="79" t="str">
        <f>IF(AND(N2052="1521",MONTH(C2052)='BK-NL'!$M$11),"x","")</f>
        <v/>
      </c>
    </row>
    <row r="2053" spans="1:30" ht="16.5" customHeight="1">
      <c r="A2053" s="318" t="str">
        <f>IF(B2053&lt;&gt;"",IF(AND(B2053='IN-TC'!$S$4,OR(TH!N2053="1111",TH!O2053="1111")),TH!D2053,""),"")</f>
        <v/>
      </c>
      <c r="B2053" s="60" t="str">
        <f t="shared" si="233"/>
        <v/>
      </c>
      <c r="C2053" s="301"/>
      <c r="D2053" s="301"/>
      <c r="E2053" s="301"/>
      <c r="F2053" s="1261"/>
      <c r="G2053" s="968"/>
      <c r="H2053" s="321"/>
      <c r="I2053" s="385"/>
      <c r="J2053" s="969"/>
      <c r="K2053" s="385"/>
      <c r="L2053" s="392"/>
      <c r="M2053" s="970"/>
      <c r="N2053" s="304"/>
      <c r="O2053" s="304"/>
      <c r="P2053" s="79" t="str">
        <f>IF(AND('331-CT'!$E$7=TH!H2053,OR(N2053="331",O2053="331")),"x","")</f>
        <v/>
      </c>
      <c r="Q2053" s="79" t="str">
        <f>IF(AND(B2053='111'!$L$11,OR($N2053=$Q$7,$O2053=$Q$7)),"x","")</f>
        <v/>
      </c>
      <c r="R2053" s="79" t="str">
        <f>IF(AND($N2053=$Q$7,$B2053&lt;'111'!$L$11),"x","")</f>
        <v/>
      </c>
      <c r="S2053" s="79" t="str">
        <f>IF(AND($O2053=$Q$7,$B2053&lt;'111'!$L$11),"x","")</f>
        <v/>
      </c>
      <c r="T2053" s="79" t="str">
        <f>IF(ISERROR(FIND('112'!$M$9,G2053,1)),"",IF((AND(FIND('112'!$M$9,G2053,1)&gt;=1,B2053='112'!$K$9,OR($N2053='112'!$I$6,$O2053='112'!$I$6))),"x",""))</f>
        <v/>
      </c>
      <c r="U2053" s="79" t="str">
        <f>IF(ISERROR(FIND('112'!$M$9,G2053,1)),"",IF((AND(LEFT(G2053,2)=LEFT('112'!$M$9,2),B2053&lt;'112'!$K$9,$N2053='112'!$I$6)),"x",""))</f>
        <v/>
      </c>
      <c r="V2053" s="79" t="str">
        <f>IF(ISERROR(FIND('112'!$M$9,G2053,1)),"",IF((AND(RIGHT(G2053,2)=RIGHT('112'!$M$9,2),B2053&lt;'112'!$K$9,$O2053='112'!$I$6)),"x",""))</f>
        <v/>
      </c>
      <c r="W2053" s="79" t="str">
        <f>IF(AND('341-CT'!$H$9=H2053,OR(LEFT(N2053,3)=$W$7,LEFT(O2053,3)=$W$7)),"x","")</f>
        <v/>
      </c>
      <c r="X2053" s="79" t="str">
        <f>IF(OR(TH!N2053=TH!$X$7,O2053=TH!$X$7),"x","")</f>
        <v/>
      </c>
      <c r="Y2053" s="79" t="str">
        <f>IF(AND(OR(N2053="131",O2053="131"),H2053='131-CT'!$H$9),"x","")</f>
        <v/>
      </c>
      <c r="Z2053" s="79"/>
      <c r="AA2053" s="79" t="str">
        <f>IF(AND(MONTH(E2053)='IN-NX'!$J$5,'IN-NX'!$D$7=D2053),"x","")</f>
        <v/>
      </c>
      <c r="AB2053" s="79" t="str">
        <f>IF(AND(OR(LEFT(TH!N2053,2)="15",LEFT(TH!O2053,2)="15"),LEFT(TH!O2053,3)&lt;&gt;"111",'152-CT'!$J$8=TH!F2053),"x","")</f>
        <v/>
      </c>
      <c r="AC2053" s="79" t="str">
        <f>IF(AND(OR(LEFT(TH!N2053,2)="15",LEFT(TH!O2053,2)="15"),TK!$E$7=TH!F2053),"x","")</f>
        <v/>
      </c>
      <c r="AD2053" s="79" t="str">
        <f>IF(AND(N2053="1521",MONTH(C2053)='BK-NL'!$M$11),"x","")</f>
        <v/>
      </c>
    </row>
    <row r="2054" spans="1:30" ht="16.5" customHeight="1">
      <c r="A2054" s="318" t="str">
        <f>IF(B2054&lt;&gt;"",IF(AND(B2054='IN-TC'!$S$4,OR(TH!N2054="1111",TH!O2054="1111")),TH!D2054,""),"")</f>
        <v/>
      </c>
      <c r="B2054" s="60" t="str">
        <f t="shared" si="233"/>
        <v/>
      </c>
      <c r="C2054" s="301"/>
      <c r="D2054" s="301"/>
      <c r="E2054" s="301"/>
      <c r="F2054" s="1261"/>
      <c r="G2054" s="968"/>
      <c r="H2054" s="321"/>
      <c r="I2054" s="385"/>
      <c r="J2054" s="969"/>
      <c r="K2054" s="385"/>
      <c r="L2054" s="392"/>
      <c r="M2054" s="970"/>
      <c r="N2054" s="304"/>
      <c r="O2054" s="304"/>
      <c r="P2054" s="79" t="str">
        <f>IF(AND('331-CT'!$E$7=TH!H2054,OR(N2054="331",O2054="331")),"x","")</f>
        <v/>
      </c>
      <c r="Q2054" s="79" t="str">
        <f>IF(AND(B2054='111'!$L$11,OR($N2054=$Q$7,$O2054=$Q$7)),"x","")</f>
        <v/>
      </c>
      <c r="R2054" s="79" t="str">
        <f>IF(AND($N2054=$Q$7,$B2054&lt;'111'!$L$11),"x","")</f>
        <v/>
      </c>
      <c r="S2054" s="79" t="str">
        <f>IF(AND($O2054=$Q$7,$B2054&lt;'111'!$L$11),"x","")</f>
        <v/>
      </c>
      <c r="T2054" s="79" t="str">
        <f>IF(ISERROR(FIND('112'!$M$9,G2054,1)),"",IF((AND(FIND('112'!$M$9,G2054,1)&gt;=1,B2054='112'!$K$9,OR($N2054='112'!$I$6,$O2054='112'!$I$6))),"x",""))</f>
        <v/>
      </c>
      <c r="U2054" s="79" t="str">
        <f>IF(ISERROR(FIND('112'!$M$9,G2054,1)),"",IF((AND(LEFT(G2054,2)=LEFT('112'!$M$9,2),B2054&lt;'112'!$K$9,$N2054='112'!$I$6)),"x",""))</f>
        <v/>
      </c>
      <c r="V2054" s="79" t="str">
        <f>IF(ISERROR(FIND('112'!$M$9,G2054,1)),"",IF((AND(RIGHT(G2054,2)=RIGHT('112'!$M$9,2),B2054&lt;'112'!$K$9,$O2054='112'!$I$6)),"x",""))</f>
        <v/>
      </c>
      <c r="W2054" s="79" t="str">
        <f>IF(AND('341-CT'!$H$9=H2054,OR(LEFT(N2054,3)=$W$7,LEFT(O2054,3)=$W$7)),"x","")</f>
        <v/>
      </c>
      <c r="X2054" s="79" t="str">
        <f>IF(OR(TH!N2054=TH!$X$7,O2054=TH!$X$7),"x","")</f>
        <v/>
      </c>
      <c r="Y2054" s="79" t="str">
        <f>IF(AND(OR(N2054="131",O2054="131"),H2054='131-CT'!$H$9),"x","")</f>
        <v/>
      </c>
      <c r="Z2054" s="79"/>
      <c r="AA2054" s="79" t="str">
        <f>IF(AND(MONTH(E2054)='IN-NX'!$J$5,'IN-NX'!$D$7=D2054),"x","")</f>
        <v/>
      </c>
      <c r="AB2054" s="79" t="str">
        <f>IF(AND(OR(LEFT(TH!N2054,2)="15",LEFT(TH!O2054,2)="15"),LEFT(TH!O2054,3)&lt;&gt;"111",'152-CT'!$J$8=TH!F2054),"x","")</f>
        <v/>
      </c>
      <c r="AC2054" s="79" t="str">
        <f>IF(AND(OR(LEFT(TH!N2054,2)="15",LEFT(TH!O2054,2)="15"),TK!$E$7=TH!F2054),"x","")</f>
        <v/>
      </c>
      <c r="AD2054" s="79" t="str">
        <f>IF(AND(N2054="1521",MONTH(C2054)='BK-NL'!$M$11),"x","")</f>
        <v/>
      </c>
    </row>
    <row r="2055" spans="1:30" ht="16.5" customHeight="1">
      <c r="A2055" s="318" t="str">
        <f>IF(B2055&lt;&gt;"",IF(AND(B2055='IN-TC'!$S$4,OR(TH!N2055="1111",TH!O2055="1111")),TH!D2055,""),"")</f>
        <v/>
      </c>
      <c r="B2055" s="60" t="str">
        <f t="shared" si="233"/>
        <v/>
      </c>
      <c r="C2055" s="301"/>
      <c r="D2055" s="301"/>
      <c r="E2055" s="301"/>
      <c r="F2055" s="1261"/>
      <c r="G2055" s="968"/>
      <c r="H2055" s="321"/>
      <c r="I2055" s="385"/>
      <c r="J2055" s="969"/>
      <c r="K2055" s="385"/>
      <c r="L2055" s="392"/>
      <c r="M2055" s="970"/>
      <c r="N2055" s="304"/>
      <c r="O2055" s="304"/>
      <c r="P2055" s="79" t="str">
        <f>IF(AND('331-CT'!$E$7=TH!H2055,OR(N2055="331",O2055="331")),"x","")</f>
        <v/>
      </c>
      <c r="Q2055" s="79" t="str">
        <f>IF(AND(B2055='111'!$L$11,OR($N2055=$Q$7,$O2055=$Q$7)),"x","")</f>
        <v/>
      </c>
      <c r="R2055" s="79" t="str">
        <f>IF(AND($N2055=$Q$7,$B2055&lt;'111'!$L$11),"x","")</f>
        <v/>
      </c>
      <c r="S2055" s="79" t="str">
        <f>IF(AND($O2055=$Q$7,$B2055&lt;'111'!$L$11),"x","")</f>
        <v/>
      </c>
      <c r="T2055" s="79" t="str">
        <f>IF(ISERROR(FIND('112'!$M$9,G2055,1)),"",IF((AND(FIND('112'!$M$9,G2055,1)&gt;=1,B2055='112'!$K$9,OR($N2055='112'!$I$6,$O2055='112'!$I$6))),"x",""))</f>
        <v/>
      </c>
      <c r="U2055" s="79" t="str">
        <f>IF(ISERROR(FIND('112'!$M$9,G2055,1)),"",IF((AND(LEFT(G2055,2)=LEFT('112'!$M$9,2),B2055&lt;'112'!$K$9,$N2055='112'!$I$6)),"x",""))</f>
        <v/>
      </c>
      <c r="V2055" s="79" t="str">
        <f>IF(ISERROR(FIND('112'!$M$9,G2055,1)),"",IF((AND(RIGHT(G2055,2)=RIGHT('112'!$M$9,2),B2055&lt;'112'!$K$9,$O2055='112'!$I$6)),"x",""))</f>
        <v/>
      </c>
      <c r="W2055" s="79" t="str">
        <f>IF(AND('341-CT'!$H$9=H2055,OR(LEFT(N2055,3)=$W$7,LEFT(O2055,3)=$W$7)),"x","")</f>
        <v/>
      </c>
      <c r="X2055" s="79" t="str">
        <f>IF(OR(TH!N2055=TH!$X$7,O2055=TH!$X$7),"x","")</f>
        <v/>
      </c>
      <c r="Y2055" s="79" t="str">
        <f>IF(AND(OR(N2055="131",O2055="131"),H2055='131-CT'!$H$9),"x","")</f>
        <v/>
      </c>
      <c r="Z2055" s="79"/>
      <c r="AA2055" s="79" t="str">
        <f>IF(AND(MONTH(E2055)='IN-NX'!$J$5,'IN-NX'!$D$7=D2055),"x","")</f>
        <v/>
      </c>
      <c r="AB2055" s="79" t="str">
        <f>IF(AND(OR(LEFT(TH!N2055,2)="15",LEFT(TH!O2055,2)="15"),LEFT(TH!O2055,3)&lt;&gt;"111",'152-CT'!$J$8=TH!F2055),"x","")</f>
        <v/>
      </c>
      <c r="AC2055" s="79" t="str">
        <f>IF(AND(OR(LEFT(TH!N2055,2)="15",LEFT(TH!O2055,2)="15"),TK!$E$7=TH!F2055),"x","")</f>
        <v/>
      </c>
      <c r="AD2055" s="79" t="str">
        <f>IF(AND(N2055="1521",MONTH(C2055)='BK-NL'!$M$11),"x","")</f>
        <v/>
      </c>
    </row>
    <row r="2056" spans="1:30" ht="16.5" customHeight="1">
      <c r="A2056" s="318" t="str">
        <f>IF(B2056&lt;&gt;"",IF(AND(B2056='IN-TC'!$S$4,OR(TH!N2056="1111",TH!O2056="1111")),TH!D2056,""),"")</f>
        <v/>
      </c>
      <c r="B2056" s="60" t="str">
        <f t="shared" si="233"/>
        <v/>
      </c>
      <c r="C2056" s="301"/>
      <c r="D2056" s="301"/>
      <c r="E2056" s="301"/>
      <c r="F2056" s="1261"/>
      <c r="G2056" s="968"/>
      <c r="H2056" s="321"/>
      <c r="I2056" s="385"/>
      <c r="J2056" s="969"/>
      <c r="K2056" s="385"/>
      <c r="L2056" s="392"/>
      <c r="M2056" s="970"/>
      <c r="N2056" s="304"/>
      <c r="O2056" s="304"/>
      <c r="P2056" s="79" t="str">
        <f>IF(AND('331-CT'!$E$7=TH!H2056,OR(N2056="331",O2056="331")),"x","")</f>
        <v/>
      </c>
      <c r="Q2056" s="79" t="str">
        <f>IF(AND(B2056='111'!$L$11,OR($N2056=$Q$7,$O2056=$Q$7)),"x","")</f>
        <v/>
      </c>
      <c r="R2056" s="79" t="str">
        <f>IF(AND($N2056=$Q$7,$B2056&lt;'111'!$L$11),"x","")</f>
        <v/>
      </c>
      <c r="S2056" s="79" t="str">
        <f>IF(AND($O2056=$Q$7,$B2056&lt;'111'!$L$11),"x","")</f>
        <v/>
      </c>
      <c r="T2056" s="79" t="str">
        <f>IF(ISERROR(FIND('112'!$M$9,G2056,1)),"",IF((AND(FIND('112'!$M$9,G2056,1)&gt;=1,B2056='112'!$K$9,OR($N2056='112'!$I$6,$O2056='112'!$I$6))),"x",""))</f>
        <v/>
      </c>
      <c r="U2056" s="79" t="str">
        <f>IF(ISERROR(FIND('112'!$M$9,G2056,1)),"",IF((AND(LEFT(G2056,2)=LEFT('112'!$M$9,2),B2056&lt;'112'!$K$9,$N2056='112'!$I$6)),"x",""))</f>
        <v/>
      </c>
      <c r="V2056" s="79" t="str">
        <f>IF(ISERROR(FIND('112'!$M$9,G2056,1)),"",IF((AND(RIGHT(G2056,2)=RIGHT('112'!$M$9,2),B2056&lt;'112'!$K$9,$O2056='112'!$I$6)),"x",""))</f>
        <v/>
      </c>
      <c r="W2056" s="79" t="str">
        <f>IF(AND('341-CT'!$H$9=H2056,OR(LEFT(N2056,3)=$W$7,LEFT(O2056,3)=$W$7)),"x","")</f>
        <v/>
      </c>
      <c r="X2056" s="79" t="str">
        <f>IF(OR(TH!N2056=TH!$X$7,O2056=TH!$X$7),"x","")</f>
        <v/>
      </c>
      <c r="Y2056" s="79" t="str">
        <f>IF(AND(OR(N2056="131",O2056="131"),H2056='131-CT'!$H$9),"x","")</f>
        <v/>
      </c>
      <c r="Z2056" s="79"/>
      <c r="AA2056" s="79" t="str">
        <f>IF(AND(MONTH(E2056)='IN-NX'!$J$5,'IN-NX'!$D$7=D2056),"x","")</f>
        <v/>
      </c>
      <c r="AB2056" s="79" t="str">
        <f>IF(AND(OR(LEFT(TH!N2056,2)="15",LEFT(TH!O2056,2)="15"),LEFT(TH!O2056,3)&lt;&gt;"111",'152-CT'!$J$8=TH!F2056),"x","")</f>
        <v/>
      </c>
      <c r="AC2056" s="79" t="str">
        <f>IF(AND(OR(LEFT(TH!N2056,2)="15",LEFT(TH!O2056,2)="15"),TK!$E$7=TH!F2056),"x","")</f>
        <v/>
      </c>
      <c r="AD2056" s="79" t="str">
        <f>IF(AND(N2056="1521",MONTH(C2056)='BK-NL'!$M$11),"x","")</f>
        <v/>
      </c>
    </row>
    <row r="2057" spans="1:30" ht="16.5" customHeight="1">
      <c r="A2057" s="318" t="str">
        <f>IF(B2057&lt;&gt;"",IF(AND(B2057='IN-TC'!$S$4,OR(TH!N2057="1111",TH!O2057="1111")),TH!D2057,""),"")</f>
        <v/>
      </c>
      <c r="B2057" s="60" t="str">
        <f t="shared" si="233"/>
        <v/>
      </c>
      <c r="C2057" s="301"/>
      <c r="D2057" s="301"/>
      <c r="E2057" s="301"/>
      <c r="F2057" s="1261"/>
      <c r="G2057" s="968"/>
      <c r="H2057" s="321"/>
      <c r="I2057" s="385"/>
      <c r="J2057" s="969"/>
      <c r="K2057" s="385"/>
      <c r="L2057" s="392"/>
      <c r="M2057" s="970"/>
      <c r="N2057" s="304"/>
      <c r="O2057" s="304"/>
      <c r="P2057" s="79" t="str">
        <f>IF(AND('331-CT'!$E$7=TH!H2057,OR(N2057="331",O2057="331")),"x","")</f>
        <v/>
      </c>
      <c r="Q2057" s="79" t="str">
        <f>IF(AND(B2057='111'!$L$11,OR($N2057=$Q$7,$O2057=$Q$7)),"x","")</f>
        <v/>
      </c>
      <c r="R2057" s="79" t="str">
        <f>IF(AND($N2057=$Q$7,$B2057&lt;'111'!$L$11),"x","")</f>
        <v/>
      </c>
      <c r="S2057" s="79" t="str">
        <f>IF(AND($O2057=$Q$7,$B2057&lt;'111'!$L$11),"x","")</f>
        <v/>
      </c>
      <c r="T2057" s="79" t="str">
        <f>IF(ISERROR(FIND('112'!$M$9,G2057,1)),"",IF((AND(FIND('112'!$M$9,G2057,1)&gt;=1,B2057='112'!$K$9,OR($N2057='112'!$I$6,$O2057='112'!$I$6))),"x",""))</f>
        <v/>
      </c>
      <c r="U2057" s="79" t="str">
        <f>IF(ISERROR(FIND('112'!$M$9,G2057,1)),"",IF((AND(LEFT(G2057,2)=LEFT('112'!$M$9,2),B2057&lt;'112'!$K$9,$N2057='112'!$I$6)),"x",""))</f>
        <v/>
      </c>
      <c r="V2057" s="79" t="str">
        <f>IF(ISERROR(FIND('112'!$M$9,G2057,1)),"",IF((AND(RIGHT(G2057,2)=RIGHT('112'!$M$9,2),B2057&lt;'112'!$K$9,$O2057='112'!$I$6)),"x",""))</f>
        <v/>
      </c>
      <c r="W2057" s="79" t="str">
        <f>IF(AND('341-CT'!$H$9=H2057,OR(LEFT(N2057,3)=$W$7,LEFT(O2057,3)=$W$7)),"x","")</f>
        <v/>
      </c>
      <c r="X2057" s="79" t="str">
        <f>IF(OR(TH!N2057=TH!$X$7,O2057=TH!$X$7),"x","")</f>
        <v/>
      </c>
      <c r="Y2057" s="79" t="str">
        <f>IF(AND(OR(N2057="131",O2057="131"),H2057='131-CT'!$H$9),"x","")</f>
        <v/>
      </c>
      <c r="Z2057" s="79"/>
      <c r="AA2057" s="79" t="str">
        <f>IF(AND(MONTH(E2057)='IN-NX'!$J$5,'IN-NX'!$D$7=D2057),"x","")</f>
        <v/>
      </c>
      <c r="AB2057" s="79" t="str">
        <f>IF(AND(OR(LEFT(TH!N2057,2)="15",LEFT(TH!O2057,2)="15"),LEFT(TH!O2057,3)&lt;&gt;"111",'152-CT'!$J$8=TH!F2057),"x","")</f>
        <v/>
      </c>
      <c r="AC2057" s="79" t="str">
        <f>IF(AND(OR(LEFT(TH!N2057,2)="15",LEFT(TH!O2057,2)="15"),TK!$E$7=TH!F2057),"x","")</f>
        <v/>
      </c>
      <c r="AD2057" s="79" t="str">
        <f>IF(AND(N2057="1521",MONTH(C2057)='BK-NL'!$M$11),"x","")</f>
        <v/>
      </c>
    </row>
    <row r="2058" spans="1:30" ht="16.5" customHeight="1">
      <c r="A2058" s="318" t="str">
        <f>IF(B2058&lt;&gt;"",IF(AND(B2058='IN-TC'!$S$4,OR(TH!N2058="1111",TH!O2058="1111")),TH!D2058,""),"")</f>
        <v/>
      </c>
      <c r="B2058" s="60" t="str">
        <f t="shared" si="233"/>
        <v/>
      </c>
      <c r="C2058" s="301"/>
      <c r="D2058" s="301"/>
      <c r="E2058" s="301"/>
      <c r="F2058" s="1261"/>
      <c r="G2058" s="968"/>
      <c r="H2058" s="321"/>
      <c r="I2058" s="385"/>
      <c r="J2058" s="969"/>
      <c r="K2058" s="385"/>
      <c r="L2058" s="392"/>
      <c r="M2058" s="970"/>
      <c r="N2058" s="304"/>
      <c r="O2058" s="304"/>
      <c r="P2058" s="79" t="str">
        <f>IF(AND('331-CT'!$E$7=TH!H2058,OR(N2058="331",O2058="331")),"x","")</f>
        <v/>
      </c>
      <c r="Q2058" s="79" t="str">
        <f>IF(AND(B2058='111'!$L$11,OR($N2058=$Q$7,$O2058=$Q$7)),"x","")</f>
        <v/>
      </c>
      <c r="R2058" s="79" t="str">
        <f>IF(AND($N2058=$Q$7,$B2058&lt;'111'!$L$11),"x","")</f>
        <v/>
      </c>
      <c r="S2058" s="79" t="str">
        <f>IF(AND($O2058=$Q$7,$B2058&lt;'111'!$L$11),"x","")</f>
        <v/>
      </c>
      <c r="T2058" s="79" t="str">
        <f>IF(ISERROR(FIND('112'!$M$9,G2058,1)),"",IF((AND(FIND('112'!$M$9,G2058,1)&gt;=1,B2058='112'!$K$9,OR($N2058='112'!$I$6,$O2058='112'!$I$6))),"x",""))</f>
        <v/>
      </c>
      <c r="U2058" s="79" t="str">
        <f>IF(ISERROR(FIND('112'!$M$9,G2058,1)),"",IF((AND(LEFT(G2058,2)=LEFT('112'!$M$9,2),B2058&lt;'112'!$K$9,$N2058='112'!$I$6)),"x",""))</f>
        <v/>
      </c>
      <c r="V2058" s="79" t="str">
        <f>IF(ISERROR(FIND('112'!$M$9,G2058,1)),"",IF((AND(RIGHT(G2058,2)=RIGHT('112'!$M$9,2),B2058&lt;'112'!$K$9,$O2058='112'!$I$6)),"x",""))</f>
        <v/>
      </c>
      <c r="W2058" s="79" t="str">
        <f>IF(AND('341-CT'!$H$9=H2058,OR(LEFT(N2058,3)=$W$7,LEFT(O2058,3)=$W$7)),"x","")</f>
        <v/>
      </c>
      <c r="X2058" s="79" t="str">
        <f>IF(OR(TH!N2058=TH!$X$7,O2058=TH!$X$7),"x","")</f>
        <v/>
      </c>
      <c r="Y2058" s="79" t="str">
        <f>IF(AND(OR(N2058="131",O2058="131"),H2058='131-CT'!$H$9),"x","")</f>
        <v/>
      </c>
      <c r="Z2058" s="79"/>
      <c r="AA2058" s="79" t="str">
        <f>IF(AND(MONTH(E2058)='IN-NX'!$J$5,'IN-NX'!$D$7=D2058),"x","")</f>
        <v/>
      </c>
      <c r="AB2058" s="79" t="str">
        <f>IF(AND(OR(LEFT(TH!N2058,2)="15",LEFT(TH!O2058,2)="15"),LEFT(TH!O2058,3)&lt;&gt;"111",'152-CT'!$J$8=TH!F2058),"x","")</f>
        <v/>
      </c>
      <c r="AC2058" s="79" t="str">
        <f>IF(AND(OR(LEFT(TH!N2058,2)="15",LEFT(TH!O2058,2)="15"),TK!$E$7=TH!F2058),"x","")</f>
        <v/>
      </c>
      <c r="AD2058" s="79" t="str">
        <f>IF(AND(N2058="1521",MONTH(C2058)='BK-NL'!$M$11),"x","")</f>
        <v/>
      </c>
    </row>
    <row r="2059" spans="1:30" ht="16.5" customHeight="1">
      <c r="A2059" s="318" t="str">
        <f>IF(B2059&lt;&gt;"",IF(AND(B2059='IN-TC'!$S$4,OR(TH!N2059="1111",TH!O2059="1111")),TH!D2059,""),"")</f>
        <v/>
      </c>
      <c r="B2059" s="60" t="str">
        <f t="shared" ref="B2059:B2120" si="234">IF(C2059&lt;&gt;"",MONTH(C2059),"")</f>
        <v/>
      </c>
      <c r="C2059" s="301"/>
      <c r="D2059" s="301"/>
      <c r="E2059" s="301"/>
      <c r="F2059" s="1160"/>
      <c r="G2059" s="968"/>
      <c r="H2059" s="69"/>
      <c r="I2059" s="385"/>
      <c r="J2059" s="969"/>
      <c r="K2059" s="385"/>
      <c r="L2059" s="392"/>
      <c r="M2059" s="970"/>
      <c r="N2059" s="304"/>
      <c r="O2059" s="304"/>
      <c r="P2059" s="79" t="str">
        <f>IF(AND('331-CT'!$E$7=TH!H2059,OR(N2059="331",O2059="331")),"x","")</f>
        <v/>
      </c>
      <c r="Q2059" s="79" t="str">
        <f>IF(AND(B2059='111'!$L$11,OR($N2059=$Q$7,$O2059=$Q$7)),"x","")</f>
        <v/>
      </c>
      <c r="R2059" s="79" t="str">
        <f>IF(AND($N2059=$Q$7,$B2059&lt;'111'!$L$11),"x","")</f>
        <v/>
      </c>
      <c r="S2059" s="79" t="str">
        <f>IF(AND($O2059=$Q$7,$B2059&lt;'111'!$L$11),"x","")</f>
        <v/>
      </c>
      <c r="T2059" s="79" t="str">
        <f>IF(ISERROR(FIND('112'!$M$9,G2059,1)),"",IF((AND(FIND('112'!$M$9,G2059,1)&gt;=1,B2059='112'!$K$9,OR($N2059='112'!$I$6,$O2059='112'!$I$6))),"x",""))</f>
        <v/>
      </c>
      <c r="U2059" s="79" t="str">
        <f>IF(ISERROR(FIND('112'!$M$9,G2059,1)),"",IF((AND(LEFT(G2059,2)=LEFT('112'!$M$9,2),B2059&lt;'112'!$K$9,$N2059='112'!$I$6)),"x",""))</f>
        <v/>
      </c>
      <c r="V2059" s="79" t="str">
        <f>IF(ISERROR(FIND('112'!$M$9,G2059,1)),"",IF((AND(RIGHT(G2059,2)=RIGHT('112'!$M$9,2),B2059&lt;'112'!$K$9,$O2059='112'!$I$6)),"x",""))</f>
        <v/>
      </c>
      <c r="W2059" s="79" t="str">
        <f>IF(AND('341-CT'!$H$9=H2059,OR(LEFT(N2059,3)=$W$7,LEFT(O2059,3)=$W$7)),"x","")</f>
        <v/>
      </c>
      <c r="X2059" s="79" t="str">
        <f>IF(OR(TH!N2059=TH!$X$7,O2059=TH!$X$7),"x","")</f>
        <v/>
      </c>
      <c r="Y2059" s="79" t="str">
        <f>IF(AND(OR(N2059="131",O2059="131"),H2059='131-CT'!$H$9),"x","")</f>
        <v/>
      </c>
      <c r="Z2059" s="79"/>
      <c r="AA2059" s="79" t="str">
        <f>IF(AND(MONTH(E2059)='IN-NX'!$J$5,'IN-NX'!$D$7=D2059),"x","")</f>
        <v/>
      </c>
      <c r="AB2059" s="79" t="str">
        <f>IF(AND(OR(LEFT(TH!N2059,2)="15",LEFT(TH!O2059,2)="15"),LEFT(TH!O2059,3)&lt;&gt;"111",'152-CT'!$J$8=TH!F2059),"x","")</f>
        <v/>
      </c>
      <c r="AC2059" s="79" t="str">
        <f>IF(AND(OR(LEFT(TH!N2059,2)="15",LEFT(TH!O2059,2)="15"),TK!$E$7=TH!F2059),"x","")</f>
        <v/>
      </c>
      <c r="AD2059" s="79" t="str">
        <f>IF(AND(N2059="1521",MONTH(C2059)='BK-NL'!$M$11),"x","")</f>
        <v/>
      </c>
    </row>
    <row r="2060" spans="1:30" ht="16.5" customHeight="1">
      <c r="A2060" s="318" t="str">
        <f>IF(B2060&lt;&gt;"",IF(AND(B2060='IN-TC'!$S$4,OR(TH!N2060="1111",TH!O2060="1111")),TH!D2060,""),"")</f>
        <v/>
      </c>
      <c r="B2060" s="60" t="str">
        <f t="shared" si="234"/>
        <v/>
      </c>
      <c r="C2060" s="301"/>
      <c r="D2060" s="301"/>
      <c r="E2060" s="301"/>
      <c r="F2060" s="1160"/>
      <c r="G2060" s="968"/>
      <c r="H2060" s="69"/>
      <c r="I2060" s="385"/>
      <c r="J2060" s="969"/>
      <c r="K2060" s="385"/>
      <c r="L2060" s="392"/>
      <c r="M2060" s="970"/>
      <c r="N2060" s="304"/>
      <c r="O2060" s="304"/>
      <c r="P2060" s="79" t="str">
        <f>IF(AND('331-CT'!$E$7=TH!H2060,OR(N2060="331",O2060="331")),"x","")</f>
        <v/>
      </c>
      <c r="Q2060" s="79" t="str">
        <f>IF(AND(B2060='111'!$L$11,OR($N2060=$Q$7,$O2060=$Q$7)),"x","")</f>
        <v/>
      </c>
      <c r="R2060" s="79" t="str">
        <f>IF(AND($N2060=$Q$7,$B2060&lt;'111'!$L$11),"x","")</f>
        <v/>
      </c>
      <c r="S2060" s="79" t="str">
        <f>IF(AND($O2060=$Q$7,$B2060&lt;'111'!$L$11),"x","")</f>
        <v/>
      </c>
      <c r="T2060" s="79" t="str">
        <f>IF(ISERROR(FIND('112'!$M$9,G2060,1)),"",IF((AND(FIND('112'!$M$9,G2060,1)&gt;=1,B2060='112'!$K$9,OR($N2060='112'!$I$6,$O2060='112'!$I$6))),"x",""))</f>
        <v/>
      </c>
      <c r="U2060" s="79" t="str">
        <f>IF(ISERROR(FIND('112'!$M$9,G2060,1)),"",IF((AND(LEFT(G2060,2)=LEFT('112'!$M$9,2),B2060&lt;'112'!$K$9,$N2060='112'!$I$6)),"x",""))</f>
        <v/>
      </c>
      <c r="V2060" s="79" t="str">
        <f>IF(ISERROR(FIND('112'!$M$9,G2060,1)),"",IF((AND(RIGHT(G2060,2)=RIGHT('112'!$M$9,2),B2060&lt;'112'!$K$9,$O2060='112'!$I$6)),"x",""))</f>
        <v/>
      </c>
      <c r="W2060" s="79" t="str">
        <f>IF(AND('341-CT'!$H$9=H2060,OR(LEFT(N2060,3)=$W$7,LEFT(O2060,3)=$W$7)),"x","")</f>
        <v/>
      </c>
      <c r="X2060" s="79" t="str">
        <f>IF(OR(TH!N2060=TH!$X$7,O2060=TH!$X$7),"x","")</f>
        <v/>
      </c>
      <c r="Y2060" s="79" t="str">
        <f>IF(AND(OR(N2060="131",O2060="131"),H2060='131-CT'!$H$9),"x","")</f>
        <v/>
      </c>
      <c r="Z2060" s="79"/>
      <c r="AA2060" s="79" t="str">
        <f>IF(AND(MONTH(E2060)='IN-NX'!$J$5,'IN-NX'!$D$7=D2060),"x","")</f>
        <v/>
      </c>
      <c r="AB2060" s="79" t="str">
        <f>IF(AND(OR(LEFT(TH!N2060,2)="15",LEFT(TH!O2060,2)="15"),LEFT(TH!O2060,3)&lt;&gt;"111",'152-CT'!$J$8=TH!F2060),"x","")</f>
        <v/>
      </c>
      <c r="AC2060" s="79" t="str">
        <f>IF(AND(OR(LEFT(TH!N2060,2)="15",LEFT(TH!O2060,2)="15"),TK!$E$7=TH!F2060),"x","")</f>
        <v/>
      </c>
      <c r="AD2060" s="79" t="str">
        <f>IF(AND(N2060="1521",MONTH(C2060)='BK-NL'!$M$11),"x","")</f>
        <v/>
      </c>
    </row>
    <row r="2061" spans="1:30" ht="16.5" customHeight="1">
      <c r="A2061" s="318" t="str">
        <f>IF(B2061&lt;&gt;"",IF(AND(B2061='IN-TC'!$S$4,OR(TH!N2061="1111",TH!O2061="1111")),TH!D2061,""),"")</f>
        <v/>
      </c>
      <c r="B2061" s="60" t="str">
        <f t="shared" si="234"/>
        <v/>
      </c>
      <c r="C2061" s="301"/>
      <c r="D2061" s="301"/>
      <c r="E2061" s="301"/>
      <c r="F2061" s="1261"/>
      <c r="G2061" s="968"/>
      <c r="H2061" s="321"/>
      <c r="I2061" s="385"/>
      <c r="J2061" s="969"/>
      <c r="K2061" s="385"/>
      <c r="L2061" s="392"/>
      <c r="M2061" s="970"/>
      <c r="N2061" s="304"/>
      <c r="O2061" s="304"/>
      <c r="P2061" s="79" t="str">
        <f>IF(AND('331-CT'!$E$7=TH!H2061,OR(N2061="331",O2061="331")),"x","")</f>
        <v/>
      </c>
      <c r="Q2061" s="79" t="str">
        <f>IF(AND(B2061='111'!$L$11,OR($N2061=$Q$7,$O2061=$Q$7)),"x","")</f>
        <v/>
      </c>
      <c r="R2061" s="79" t="str">
        <f>IF(AND($N2061=$Q$7,$B2061&lt;'111'!$L$11),"x","")</f>
        <v/>
      </c>
      <c r="S2061" s="79" t="str">
        <f>IF(AND($O2061=$Q$7,$B2061&lt;'111'!$L$11),"x","")</f>
        <v/>
      </c>
      <c r="T2061" s="79" t="str">
        <f>IF(ISERROR(FIND('112'!$M$9,G2061,1)),"",IF((AND(FIND('112'!$M$9,G2061,1)&gt;=1,B2061='112'!$K$9,OR($N2061='112'!$I$6,$O2061='112'!$I$6))),"x",""))</f>
        <v/>
      </c>
      <c r="U2061" s="79" t="str">
        <f>IF(ISERROR(FIND('112'!$M$9,G2061,1)),"",IF((AND(LEFT(G2061,2)=LEFT('112'!$M$9,2),B2061&lt;'112'!$K$9,$N2061='112'!$I$6)),"x",""))</f>
        <v/>
      </c>
      <c r="V2061" s="79" t="str">
        <f>IF(ISERROR(FIND('112'!$M$9,G2061,1)),"",IF((AND(RIGHT(G2061,2)=RIGHT('112'!$M$9,2),B2061&lt;'112'!$K$9,$O2061='112'!$I$6)),"x",""))</f>
        <v/>
      </c>
      <c r="W2061" s="79" t="str">
        <f>IF(AND('341-CT'!$H$9=H2061,OR(LEFT(N2061,3)=$W$7,LEFT(O2061,3)=$W$7)),"x","")</f>
        <v/>
      </c>
      <c r="X2061" s="79" t="str">
        <f>IF(OR(TH!N2061=TH!$X$7,O2061=TH!$X$7),"x","")</f>
        <v/>
      </c>
      <c r="Y2061" s="79" t="str">
        <f>IF(AND(OR(N2061="131",O2061="131"),H2061='131-CT'!$H$9),"x","")</f>
        <v/>
      </c>
      <c r="Z2061" s="79"/>
      <c r="AA2061" s="79" t="str">
        <f>IF(AND(MONTH(E2061)='IN-NX'!$J$5,'IN-NX'!$D$7=D2061),"x","")</f>
        <v/>
      </c>
      <c r="AB2061" s="79" t="str">
        <f>IF(AND(OR(LEFT(TH!N2061,2)="15",LEFT(TH!O2061,2)="15"),LEFT(TH!O2061,3)&lt;&gt;"111",'152-CT'!$J$8=TH!F2061),"x","")</f>
        <v/>
      </c>
      <c r="AC2061" s="79" t="str">
        <f>IF(AND(OR(LEFT(TH!N2061,2)="15",LEFT(TH!O2061,2)="15"),TK!$E$7=TH!F2061),"x","")</f>
        <v/>
      </c>
      <c r="AD2061" s="79" t="str">
        <f>IF(AND(N2061="1521",MONTH(C2061)='BK-NL'!$M$11),"x","")</f>
        <v/>
      </c>
    </row>
    <row r="2062" spans="1:30" ht="16.5" customHeight="1">
      <c r="A2062" s="318" t="str">
        <f>IF(B2062&lt;&gt;"",IF(AND(B2062='IN-TC'!$S$4,OR(TH!N2062="1111",TH!O2062="1111")),TH!D2062,""),"")</f>
        <v/>
      </c>
      <c r="B2062" s="60" t="str">
        <f t="shared" si="234"/>
        <v/>
      </c>
      <c r="C2062" s="301"/>
      <c r="D2062" s="301"/>
      <c r="E2062" s="301"/>
      <c r="F2062" s="1261"/>
      <c r="G2062" s="968"/>
      <c r="H2062" s="321"/>
      <c r="I2062" s="385"/>
      <c r="J2062" s="969"/>
      <c r="K2062" s="385"/>
      <c r="L2062" s="392"/>
      <c r="M2062" s="970"/>
      <c r="N2062" s="304"/>
      <c r="O2062" s="304"/>
      <c r="P2062" s="79" t="str">
        <f>IF(AND('331-CT'!$E$7=TH!H2062,OR(N2062="331",O2062="331")),"x","")</f>
        <v/>
      </c>
      <c r="Q2062" s="79" t="str">
        <f>IF(AND(B2062='111'!$L$11,OR($N2062=$Q$7,$O2062=$Q$7)),"x","")</f>
        <v/>
      </c>
      <c r="R2062" s="79" t="str">
        <f>IF(AND($N2062=$Q$7,$B2062&lt;'111'!$L$11),"x","")</f>
        <v/>
      </c>
      <c r="S2062" s="79" t="str">
        <f>IF(AND($O2062=$Q$7,$B2062&lt;'111'!$L$11),"x","")</f>
        <v/>
      </c>
      <c r="T2062" s="79" t="str">
        <f>IF(ISERROR(FIND('112'!$M$9,G2062,1)),"",IF((AND(FIND('112'!$M$9,G2062,1)&gt;=1,B2062='112'!$K$9,OR($N2062='112'!$I$6,$O2062='112'!$I$6))),"x",""))</f>
        <v/>
      </c>
      <c r="U2062" s="79" t="str">
        <f>IF(ISERROR(FIND('112'!$M$9,G2062,1)),"",IF((AND(LEFT(G2062,2)=LEFT('112'!$M$9,2),B2062&lt;'112'!$K$9,$N2062='112'!$I$6)),"x",""))</f>
        <v/>
      </c>
      <c r="V2062" s="79" t="str">
        <f>IF(ISERROR(FIND('112'!$M$9,G2062,1)),"",IF((AND(RIGHT(G2062,2)=RIGHT('112'!$M$9,2),B2062&lt;'112'!$K$9,$O2062='112'!$I$6)),"x",""))</f>
        <v/>
      </c>
      <c r="W2062" s="79" t="str">
        <f>IF(AND('341-CT'!$H$9=H2062,OR(LEFT(N2062,3)=$W$7,LEFT(O2062,3)=$W$7)),"x","")</f>
        <v/>
      </c>
      <c r="X2062" s="79" t="str">
        <f>IF(OR(TH!N2062=TH!$X$7,O2062=TH!$X$7),"x","")</f>
        <v/>
      </c>
      <c r="Y2062" s="79" t="str">
        <f>IF(AND(OR(N2062="131",O2062="131"),H2062='131-CT'!$H$9),"x","")</f>
        <v/>
      </c>
      <c r="Z2062" s="79"/>
      <c r="AA2062" s="79" t="str">
        <f>IF(AND(MONTH(E2062)='IN-NX'!$J$5,'IN-NX'!$D$7=D2062),"x","")</f>
        <v/>
      </c>
      <c r="AB2062" s="79" t="str">
        <f>IF(AND(OR(LEFT(TH!N2062,2)="15",LEFT(TH!O2062,2)="15"),LEFT(TH!O2062,3)&lt;&gt;"111",'152-CT'!$J$8=TH!F2062),"x","")</f>
        <v/>
      </c>
      <c r="AC2062" s="79" t="str">
        <f>IF(AND(OR(LEFT(TH!N2062,2)="15",LEFT(TH!O2062,2)="15"),TK!$E$7=TH!F2062),"x","")</f>
        <v/>
      </c>
      <c r="AD2062" s="79" t="str">
        <f>IF(AND(N2062="1521",MONTH(C2062)='BK-NL'!$M$11),"x","")</f>
        <v/>
      </c>
    </row>
    <row r="2063" spans="1:30" ht="16.5" customHeight="1">
      <c r="A2063" s="318" t="str">
        <f>IF(B2063&lt;&gt;"",IF(AND(B2063='IN-TC'!$S$4,OR(TH!N2063="1111",TH!O2063="1111")),TH!D2063,""),"")</f>
        <v/>
      </c>
      <c r="B2063" s="60" t="str">
        <f t="shared" si="234"/>
        <v/>
      </c>
      <c r="C2063" s="301"/>
      <c r="D2063" s="301"/>
      <c r="E2063" s="301"/>
      <c r="F2063" s="1261"/>
      <c r="G2063" s="968"/>
      <c r="H2063" s="321"/>
      <c r="I2063" s="385"/>
      <c r="J2063" s="969"/>
      <c r="K2063" s="385"/>
      <c r="L2063" s="392"/>
      <c r="M2063" s="970"/>
      <c r="N2063" s="304"/>
      <c r="O2063" s="304"/>
      <c r="P2063" s="79" t="str">
        <f>IF(AND('331-CT'!$E$7=TH!H2063,OR(N2063="331",O2063="331")),"x","")</f>
        <v/>
      </c>
      <c r="Q2063" s="79" t="str">
        <f>IF(AND(B2063='111'!$L$11,OR($N2063=$Q$7,$O2063=$Q$7)),"x","")</f>
        <v/>
      </c>
      <c r="R2063" s="79" t="str">
        <f>IF(AND($N2063=$Q$7,$B2063&lt;'111'!$L$11),"x","")</f>
        <v/>
      </c>
      <c r="S2063" s="79" t="str">
        <f>IF(AND($O2063=$Q$7,$B2063&lt;'111'!$L$11),"x","")</f>
        <v/>
      </c>
      <c r="T2063" s="79" t="str">
        <f>IF(ISERROR(FIND('112'!$M$9,G2063,1)),"",IF((AND(FIND('112'!$M$9,G2063,1)&gt;=1,B2063='112'!$K$9,OR($N2063='112'!$I$6,$O2063='112'!$I$6))),"x",""))</f>
        <v/>
      </c>
      <c r="U2063" s="79" t="str">
        <f>IF(ISERROR(FIND('112'!$M$9,G2063,1)),"",IF((AND(LEFT(G2063,2)=LEFT('112'!$M$9,2),B2063&lt;'112'!$K$9,$N2063='112'!$I$6)),"x",""))</f>
        <v/>
      </c>
      <c r="V2063" s="79" t="str">
        <f>IF(ISERROR(FIND('112'!$M$9,G2063,1)),"",IF((AND(RIGHT(G2063,2)=RIGHT('112'!$M$9,2),B2063&lt;'112'!$K$9,$O2063='112'!$I$6)),"x",""))</f>
        <v/>
      </c>
      <c r="W2063" s="79" t="str">
        <f>IF(AND('341-CT'!$H$9=H2063,OR(LEFT(N2063,3)=$W$7,LEFT(O2063,3)=$W$7)),"x","")</f>
        <v/>
      </c>
      <c r="X2063" s="79" t="str">
        <f>IF(OR(TH!N2063=TH!$X$7,O2063=TH!$X$7),"x","")</f>
        <v/>
      </c>
      <c r="Y2063" s="79" t="str">
        <f>IF(AND(OR(N2063="131",O2063="131"),H2063='131-CT'!$H$9),"x","")</f>
        <v/>
      </c>
      <c r="Z2063" s="79"/>
      <c r="AA2063" s="79" t="str">
        <f>IF(AND(MONTH(E2063)='IN-NX'!$J$5,'IN-NX'!$D$7=D2063),"x","")</f>
        <v/>
      </c>
      <c r="AB2063" s="79" t="str">
        <f>IF(AND(OR(LEFT(TH!N2063,2)="15",LEFT(TH!O2063,2)="15"),LEFT(TH!O2063,3)&lt;&gt;"111",'152-CT'!$J$8=TH!F2063),"x","")</f>
        <v/>
      </c>
      <c r="AC2063" s="79" t="str">
        <f>IF(AND(OR(LEFT(TH!N2063,2)="15",LEFT(TH!O2063,2)="15"),TK!$E$7=TH!F2063),"x","")</f>
        <v/>
      </c>
      <c r="AD2063" s="79" t="str">
        <f>IF(AND(N2063="1521",MONTH(C2063)='BK-NL'!$M$11),"x","")</f>
        <v/>
      </c>
    </row>
    <row r="2064" spans="1:30" ht="16.5" customHeight="1">
      <c r="A2064" s="318" t="str">
        <f>IF(B2064&lt;&gt;"",IF(AND(B2064='IN-TC'!$S$4,OR(TH!N2064="1111",TH!O2064="1111")),TH!D2064,""),"")</f>
        <v/>
      </c>
      <c r="B2064" s="60" t="str">
        <f t="shared" si="234"/>
        <v/>
      </c>
      <c r="C2064" s="301"/>
      <c r="D2064" s="301"/>
      <c r="E2064" s="301"/>
      <c r="F2064" s="1261"/>
      <c r="G2064" s="968"/>
      <c r="H2064" s="321"/>
      <c r="I2064" s="385"/>
      <c r="J2064" s="969"/>
      <c r="K2064" s="385"/>
      <c r="L2064" s="392"/>
      <c r="M2064" s="970"/>
      <c r="N2064" s="304"/>
      <c r="O2064" s="304"/>
      <c r="P2064" s="79" t="str">
        <f>IF(AND('331-CT'!$E$7=TH!H2064,OR(N2064="331",O2064="331")),"x","")</f>
        <v/>
      </c>
      <c r="Q2064" s="79" t="str">
        <f>IF(AND(B2064='111'!$L$11,OR($N2064=$Q$7,$O2064=$Q$7)),"x","")</f>
        <v/>
      </c>
      <c r="R2064" s="79" t="str">
        <f>IF(AND($N2064=$Q$7,$B2064&lt;'111'!$L$11),"x","")</f>
        <v/>
      </c>
      <c r="S2064" s="79" t="str">
        <f>IF(AND($O2064=$Q$7,$B2064&lt;'111'!$L$11),"x","")</f>
        <v/>
      </c>
      <c r="T2064" s="79" t="str">
        <f>IF(ISERROR(FIND('112'!$M$9,G2064,1)),"",IF((AND(FIND('112'!$M$9,G2064,1)&gt;=1,B2064='112'!$K$9,OR($N2064='112'!$I$6,$O2064='112'!$I$6))),"x",""))</f>
        <v/>
      </c>
      <c r="U2064" s="79" t="str">
        <f>IF(ISERROR(FIND('112'!$M$9,G2064,1)),"",IF((AND(LEFT(G2064,2)=LEFT('112'!$M$9,2),B2064&lt;'112'!$K$9,$N2064='112'!$I$6)),"x",""))</f>
        <v/>
      </c>
      <c r="V2064" s="79" t="str">
        <f>IF(ISERROR(FIND('112'!$M$9,G2064,1)),"",IF((AND(RIGHT(G2064,2)=RIGHT('112'!$M$9,2),B2064&lt;'112'!$K$9,$O2064='112'!$I$6)),"x",""))</f>
        <v/>
      </c>
      <c r="W2064" s="79" t="str">
        <f>IF(AND('341-CT'!$H$9=H2064,OR(LEFT(N2064,3)=$W$7,LEFT(O2064,3)=$W$7)),"x","")</f>
        <v/>
      </c>
      <c r="X2064" s="79" t="str">
        <f>IF(OR(TH!N2064=TH!$X$7,O2064=TH!$X$7),"x","")</f>
        <v/>
      </c>
      <c r="Y2064" s="79" t="str">
        <f>IF(AND(OR(N2064="131",O2064="131"),H2064='131-CT'!$H$9),"x","")</f>
        <v/>
      </c>
      <c r="Z2064" s="79"/>
      <c r="AA2064" s="79" t="str">
        <f>IF(AND(MONTH(E2064)='IN-NX'!$J$5,'IN-NX'!$D$7=D2064),"x","")</f>
        <v/>
      </c>
      <c r="AB2064" s="79" t="str">
        <f>IF(AND(OR(LEFT(TH!N2064,2)="15",LEFT(TH!O2064,2)="15"),LEFT(TH!O2064,3)&lt;&gt;"111",'152-CT'!$J$8=TH!F2064),"x","")</f>
        <v/>
      </c>
      <c r="AC2064" s="79" t="str">
        <f>IF(AND(OR(LEFT(TH!N2064,2)="15",LEFT(TH!O2064,2)="15"),TK!$E$7=TH!F2064),"x","")</f>
        <v/>
      </c>
      <c r="AD2064" s="79" t="str">
        <f>IF(AND(N2064="1521",MONTH(C2064)='BK-NL'!$M$11),"x","")</f>
        <v/>
      </c>
    </row>
    <row r="2065" spans="1:30" ht="16.5" customHeight="1">
      <c r="A2065" s="318" t="str">
        <f>IF(B2065&lt;&gt;"",IF(AND(B2065='IN-TC'!$S$4,OR(TH!N2065="1111",TH!O2065="1111")),TH!D2065,""),"")</f>
        <v/>
      </c>
      <c r="B2065" s="60" t="str">
        <f t="shared" si="234"/>
        <v/>
      </c>
      <c r="C2065" s="301"/>
      <c r="D2065" s="301"/>
      <c r="E2065" s="301"/>
      <c r="F2065" s="1261"/>
      <c r="G2065" s="968"/>
      <c r="H2065" s="321"/>
      <c r="I2065" s="385"/>
      <c r="J2065" s="969"/>
      <c r="K2065" s="385"/>
      <c r="L2065" s="392"/>
      <c r="M2065" s="970"/>
      <c r="N2065" s="304"/>
      <c r="O2065" s="304"/>
      <c r="P2065" s="79" t="str">
        <f>IF(AND('331-CT'!$E$7=TH!H2065,OR(N2065="331",O2065="331")),"x","")</f>
        <v/>
      </c>
      <c r="Q2065" s="79" t="str">
        <f>IF(AND(B2065='111'!$L$11,OR($N2065=$Q$7,$O2065=$Q$7)),"x","")</f>
        <v/>
      </c>
      <c r="R2065" s="79" t="str">
        <f>IF(AND($N2065=$Q$7,$B2065&lt;'111'!$L$11),"x","")</f>
        <v/>
      </c>
      <c r="S2065" s="79" t="str">
        <f>IF(AND($O2065=$Q$7,$B2065&lt;'111'!$L$11),"x","")</f>
        <v/>
      </c>
      <c r="T2065" s="79" t="str">
        <f>IF(ISERROR(FIND('112'!$M$9,G2065,1)),"",IF((AND(FIND('112'!$M$9,G2065,1)&gt;=1,B2065='112'!$K$9,OR($N2065='112'!$I$6,$O2065='112'!$I$6))),"x",""))</f>
        <v/>
      </c>
      <c r="U2065" s="79" t="str">
        <f>IF(ISERROR(FIND('112'!$M$9,G2065,1)),"",IF((AND(LEFT(G2065,2)=LEFT('112'!$M$9,2),B2065&lt;'112'!$K$9,$N2065='112'!$I$6)),"x",""))</f>
        <v/>
      </c>
      <c r="V2065" s="79" t="str">
        <f>IF(ISERROR(FIND('112'!$M$9,G2065,1)),"",IF((AND(RIGHT(G2065,2)=RIGHT('112'!$M$9,2),B2065&lt;'112'!$K$9,$O2065='112'!$I$6)),"x",""))</f>
        <v/>
      </c>
      <c r="W2065" s="79" t="str">
        <f>IF(AND('341-CT'!$H$9=H2065,OR(LEFT(N2065,3)=$W$7,LEFT(O2065,3)=$W$7)),"x","")</f>
        <v/>
      </c>
      <c r="X2065" s="79" t="str">
        <f>IF(OR(TH!N2065=TH!$X$7,O2065=TH!$X$7),"x","")</f>
        <v/>
      </c>
      <c r="Y2065" s="79" t="str">
        <f>IF(AND(OR(N2065="131",O2065="131"),H2065='131-CT'!$H$9),"x","")</f>
        <v/>
      </c>
      <c r="Z2065" s="79"/>
      <c r="AA2065" s="79" t="str">
        <f>IF(AND(MONTH(E2065)='IN-NX'!$J$5,'IN-NX'!$D$7=D2065),"x","")</f>
        <v/>
      </c>
      <c r="AB2065" s="79" t="str">
        <f>IF(AND(OR(LEFT(TH!N2065,2)="15",LEFT(TH!O2065,2)="15"),LEFT(TH!O2065,3)&lt;&gt;"111",'152-CT'!$J$8=TH!F2065),"x","")</f>
        <v/>
      </c>
      <c r="AC2065" s="79" t="str">
        <f>IF(AND(OR(LEFT(TH!N2065,2)="15",LEFT(TH!O2065,2)="15"),TK!$E$7=TH!F2065),"x","")</f>
        <v/>
      </c>
      <c r="AD2065" s="79" t="str">
        <f>IF(AND(N2065="1521",MONTH(C2065)='BK-NL'!$M$11),"x","")</f>
        <v/>
      </c>
    </row>
    <row r="2066" spans="1:30" ht="16.5" customHeight="1">
      <c r="A2066" s="318" t="str">
        <f>IF(B2066&lt;&gt;"",IF(AND(B2066='IN-TC'!$S$4,OR(TH!N2066="1111",TH!O2066="1111")),TH!D2066,""),"")</f>
        <v/>
      </c>
      <c r="B2066" s="60" t="str">
        <f t="shared" si="234"/>
        <v/>
      </c>
      <c r="C2066" s="301"/>
      <c r="D2066" s="301"/>
      <c r="E2066" s="301"/>
      <c r="F2066" s="1261"/>
      <c r="G2066" s="968"/>
      <c r="H2066" s="321"/>
      <c r="I2066" s="385"/>
      <c r="J2066" s="969"/>
      <c r="K2066" s="385"/>
      <c r="L2066" s="392"/>
      <c r="M2066" s="970"/>
      <c r="N2066" s="304"/>
      <c r="O2066" s="304"/>
      <c r="P2066" s="79" t="str">
        <f>IF(AND('331-CT'!$E$7=TH!H2066,OR(N2066="331",O2066="331")),"x","")</f>
        <v/>
      </c>
      <c r="Q2066" s="79" t="str">
        <f>IF(AND(B2066='111'!$L$11,OR($N2066=$Q$7,$O2066=$Q$7)),"x","")</f>
        <v/>
      </c>
      <c r="R2066" s="79" t="str">
        <f>IF(AND($N2066=$Q$7,$B2066&lt;'111'!$L$11),"x","")</f>
        <v/>
      </c>
      <c r="S2066" s="79" t="str">
        <f>IF(AND($O2066=$Q$7,$B2066&lt;'111'!$L$11),"x","")</f>
        <v/>
      </c>
      <c r="T2066" s="79" t="str">
        <f>IF(ISERROR(FIND('112'!$M$9,G2066,1)),"",IF((AND(FIND('112'!$M$9,G2066,1)&gt;=1,B2066='112'!$K$9,OR($N2066='112'!$I$6,$O2066='112'!$I$6))),"x",""))</f>
        <v/>
      </c>
      <c r="U2066" s="79" t="str">
        <f>IF(ISERROR(FIND('112'!$M$9,G2066,1)),"",IF((AND(LEFT(G2066,2)=LEFT('112'!$M$9,2),B2066&lt;'112'!$K$9,$N2066='112'!$I$6)),"x",""))</f>
        <v/>
      </c>
      <c r="V2066" s="79" t="str">
        <f>IF(ISERROR(FIND('112'!$M$9,G2066,1)),"",IF((AND(RIGHT(G2066,2)=RIGHT('112'!$M$9,2),B2066&lt;'112'!$K$9,$O2066='112'!$I$6)),"x",""))</f>
        <v/>
      </c>
      <c r="W2066" s="79" t="str">
        <f>IF(AND('341-CT'!$H$9=H2066,OR(LEFT(N2066,3)=$W$7,LEFT(O2066,3)=$W$7)),"x","")</f>
        <v/>
      </c>
      <c r="X2066" s="79" t="str">
        <f>IF(OR(TH!N2066=TH!$X$7,O2066=TH!$X$7),"x","")</f>
        <v/>
      </c>
      <c r="Y2066" s="79" t="str">
        <f>IF(AND(OR(N2066="131",O2066="131"),H2066='131-CT'!$H$9),"x","")</f>
        <v/>
      </c>
      <c r="Z2066" s="79"/>
      <c r="AA2066" s="79" t="str">
        <f>IF(AND(MONTH(E2066)='IN-NX'!$J$5,'IN-NX'!$D$7=D2066),"x","")</f>
        <v/>
      </c>
      <c r="AB2066" s="79" t="str">
        <f>IF(AND(OR(LEFT(TH!N2066,2)="15",LEFT(TH!O2066,2)="15"),LEFT(TH!O2066,3)&lt;&gt;"111",'152-CT'!$J$8=TH!F2066),"x","")</f>
        <v/>
      </c>
      <c r="AC2066" s="79" t="str">
        <f>IF(AND(OR(LEFT(TH!N2066,2)="15",LEFT(TH!O2066,2)="15"),TK!$E$7=TH!F2066),"x","")</f>
        <v/>
      </c>
      <c r="AD2066" s="79" t="str">
        <f>IF(AND(N2066="1521",MONTH(C2066)='BK-NL'!$M$11),"x","")</f>
        <v/>
      </c>
    </row>
    <row r="2067" spans="1:30" ht="16.5" customHeight="1">
      <c r="A2067" s="318" t="str">
        <f>IF(B2067&lt;&gt;"",IF(AND(B2067='IN-TC'!$S$4,OR(TH!N2067="1111",TH!O2067="1111")),TH!D2067,""),"")</f>
        <v/>
      </c>
      <c r="B2067" s="60" t="str">
        <f t="shared" si="234"/>
        <v/>
      </c>
      <c r="C2067" s="301"/>
      <c r="D2067" s="301"/>
      <c r="E2067" s="301"/>
      <c r="F2067" s="1261"/>
      <c r="G2067" s="968"/>
      <c r="H2067" s="321"/>
      <c r="I2067" s="385"/>
      <c r="J2067" s="969"/>
      <c r="K2067" s="385"/>
      <c r="L2067" s="392"/>
      <c r="M2067" s="970"/>
      <c r="N2067" s="304"/>
      <c r="O2067" s="304"/>
      <c r="P2067" s="79" t="str">
        <f>IF(AND('331-CT'!$E$7=TH!H2067,OR(N2067="331",O2067="331")),"x","")</f>
        <v/>
      </c>
      <c r="Q2067" s="79" t="str">
        <f>IF(AND(B2067='111'!$L$11,OR($N2067=$Q$7,$O2067=$Q$7)),"x","")</f>
        <v/>
      </c>
      <c r="R2067" s="79" t="str">
        <f>IF(AND($N2067=$Q$7,$B2067&lt;'111'!$L$11),"x","")</f>
        <v/>
      </c>
      <c r="S2067" s="79" t="str">
        <f>IF(AND($O2067=$Q$7,$B2067&lt;'111'!$L$11),"x","")</f>
        <v/>
      </c>
      <c r="T2067" s="79" t="str">
        <f>IF(ISERROR(FIND('112'!$M$9,G2067,1)),"",IF((AND(FIND('112'!$M$9,G2067,1)&gt;=1,B2067='112'!$K$9,OR($N2067='112'!$I$6,$O2067='112'!$I$6))),"x",""))</f>
        <v/>
      </c>
      <c r="U2067" s="79" t="str">
        <f>IF(ISERROR(FIND('112'!$M$9,G2067,1)),"",IF((AND(LEFT(G2067,2)=LEFT('112'!$M$9,2),B2067&lt;'112'!$K$9,$N2067='112'!$I$6)),"x",""))</f>
        <v/>
      </c>
      <c r="V2067" s="79" t="str">
        <f>IF(ISERROR(FIND('112'!$M$9,G2067,1)),"",IF((AND(RIGHT(G2067,2)=RIGHT('112'!$M$9,2),B2067&lt;'112'!$K$9,$O2067='112'!$I$6)),"x",""))</f>
        <v/>
      </c>
      <c r="W2067" s="79" t="str">
        <f>IF(AND('341-CT'!$H$9=H2067,OR(LEFT(N2067,3)=$W$7,LEFT(O2067,3)=$W$7)),"x","")</f>
        <v/>
      </c>
      <c r="X2067" s="79" t="str">
        <f>IF(OR(TH!N2067=TH!$X$7,O2067=TH!$X$7),"x","")</f>
        <v/>
      </c>
      <c r="Y2067" s="79" t="str">
        <f>IF(AND(OR(N2067="131",O2067="131"),H2067='131-CT'!$H$9),"x","")</f>
        <v/>
      </c>
      <c r="Z2067" s="79"/>
      <c r="AA2067" s="79" t="str">
        <f>IF(AND(MONTH(E2067)='IN-NX'!$J$5,'IN-NX'!$D$7=D2067),"x","")</f>
        <v/>
      </c>
      <c r="AB2067" s="79" t="str">
        <f>IF(AND(OR(LEFT(TH!N2067,2)="15",LEFT(TH!O2067,2)="15"),LEFT(TH!O2067,3)&lt;&gt;"111",'152-CT'!$J$8=TH!F2067),"x","")</f>
        <v/>
      </c>
      <c r="AC2067" s="79" t="str">
        <f>IF(AND(OR(LEFT(TH!N2067,2)="15",LEFT(TH!O2067,2)="15"),TK!$E$7=TH!F2067),"x","")</f>
        <v/>
      </c>
      <c r="AD2067" s="79" t="str">
        <f>IF(AND(N2067="1521",MONTH(C2067)='BK-NL'!$M$11),"x","")</f>
        <v/>
      </c>
    </row>
    <row r="2068" spans="1:30" ht="16.5" customHeight="1">
      <c r="A2068" s="318" t="str">
        <f>IF(B2068&lt;&gt;"",IF(AND(B2068='IN-TC'!$S$4,OR(TH!N2068="1111",TH!O2068="1111")),TH!D2068,""),"")</f>
        <v/>
      </c>
      <c r="B2068" s="60" t="str">
        <f t="shared" si="234"/>
        <v/>
      </c>
      <c r="C2068" s="301"/>
      <c r="D2068" s="301"/>
      <c r="E2068" s="301"/>
      <c r="F2068" s="1261"/>
      <c r="G2068" s="968"/>
      <c r="H2068" s="321"/>
      <c r="I2068" s="385"/>
      <c r="J2068" s="969"/>
      <c r="K2068" s="385"/>
      <c r="L2068" s="392"/>
      <c r="M2068" s="970"/>
      <c r="N2068" s="304"/>
      <c r="O2068" s="304"/>
      <c r="P2068" s="79" t="str">
        <f>IF(AND('331-CT'!$E$7=TH!H2068,OR(N2068="331",O2068="331")),"x","")</f>
        <v/>
      </c>
      <c r="Q2068" s="79" t="str">
        <f>IF(AND(B2068='111'!$L$11,OR($N2068=$Q$7,$O2068=$Q$7)),"x","")</f>
        <v/>
      </c>
      <c r="R2068" s="79" t="str">
        <f>IF(AND($N2068=$Q$7,$B2068&lt;'111'!$L$11),"x","")</f>
        <v/>
      </c>
      <c r="S2068" s="79" t="str">
        <f>IF(AND($O2068=$Q$7,$B2068&lt;'111'!$L$11),"x","")</f>
        <v/>
      </c>
      <c r="T2068" s="79" t="str">
        <f>IF(ISERROR(FIND('112'!$M$9,G2068,1)),"",IF((AND(FIND('112'!$M$9,G2068,1)&gt;=1,B2068='112'!$K$9,OR($N2068='112'!$I$6,$O2068='112'!$I$6))),"x",""))</f>
        <v/>
      </c>
      <c r="U2068" s="79" t="str">
        <f>IF(ISERROR(FIND('112'!$M$9,G2068,1)),"",IF((AND(LEFT(G2068,2)=LEFT('112'!$M$9,2),B2068&lt;'112'!$K$9,$N2068='112'!$I$6)),"x",""))</f>
        <v/>
      </c>
      <c r="V2068" s="79" t="str">
        <f>IF(ISERROR(FIND('112'!$M$9,G2068,1)),"",IF((AND(RIGHT(G2068,2)=RIGHT('112'!$M$9,2),B2068&lt;'112'!$K$9,$O2068='112'!$I$6)),"x",""))</f>
        <v/>
      </c>
      <c r="W2068" s="79" t="str">
        <f>IF(AND('341-CT'!$H$9=H2068,OR(LEFT(N2068,3)=$W$7,LEFT(O2068,3)=$W$7)),"x","")</f>
        <v/>
      </c>
      <c r="X2068" s="79" t="str">
        <f>IF(OR(TH!N2068=TH!$X$7,O2068=TH!$X$7),"x","")</f>
        <v/>
      </c>
      <c r="Y2068" s="79" t="str">
        <f>IF(AND(OR(N2068="131",O2068="131"),H2068='131-CT'!$H$9),"x","")</f>
        <v/>
      </c>
      <c r="Z2068" s="79"/>
      <c r="AA2068" s="79" t="str">
        <f>IF(AND(MONTH(E2068)='IN-NX'!$J$5,'IN-NX'!$D$7=D2068),"x","")</f>
        <v/>
      </c>
      <c r="AB2068" s="79" t="str">
        <f>IF(AND(OR(LEFT(TH!N2068,2)="15",LEFT(TH!O2068,2)="15"),LEFT(TH!O2068,3)&lt;&gt;"111",'152-CT'!$J$8=TH!F2068),"x","")</f>
        <v/>
      </c>
      <c r="AC2068" s="79" t="str">
        <f>IF(AND(OR(LEFT(TH!N2068,2)="15",LEFT(TH!O2068,2)="15"),TK!$E$7=TH!F2068),"x","")</f>
        <v/>
      </c>
      <c r="AD2068" s="79" t="str">
        <f>IF(AND(N2068="1521",MONTH(C2068)='BK-NL'!$M$11),"x","")</f>
        <v/>
      </c>
    </row>
    <row r="2069" spans="1:30" ht="16.5" customHeight="1">
      <c r="A2069" s="318" t="str">
        <f>IF(B2069&lt;&gt;"",IF(AND(B2069='IN-TC'!$S$4,OR(TH!N2069="1111",TH!O2069="1111")),TH!D2069,""),"")</f>
        <v/>
      </c>
      <c r="B2069" s="60" t="str">
        <f t="shared" si="234"/>
        <v/>
      </c>
      <c r="C2069" s="301"/>
      <c r="D2069" s="301"/>
      <c r="E2069" s="301"/>
      <c r="F2069" s="1261"/>
      <c r="G2069" s="968"/>
      <c r="H2069" s="321"/>
      <c r="I2069" s="385"/>
      <c r="J2069" s="969"/>
      <c r="K2069" s="385"/>
      <c r="L2069" s="392"/>
      <c r="M2069" s="970"/>
      <c r="N2069" s="304"/>
      <c r="O2069" s="304"/>
      <c r="P2069" s="79" t="str">
        <f>IF(AND('331-CT'!$E$7=TH!H2069,OR(N2069="331",O2069="331")),"x","")</f>
        <v/>
      </c>
      <c r="Q2069" s="79" t="str">
        <f>IF(AND(B2069='111'!$L$11,OR($N2069=$Q$7,$O2069=$Q$7)),"x","")</f>
        <v/>
      </c>
      <c r="R2069" s="79" t="str">
        <f>IF(AND($N2069=$Q$7,$B2069&lt;'111'!$L$11),"x","")</f>
        <v/>
      </c>
      <c r="S2069" s="79" t="str">
        <f>IF(AND($O2069=$Q$7,$B2069&lt;'111'!$L$11),"x","")</f>
        <v/>
      </c>
      <c r="T2069" s="79" t="str">
        <f>IF(ISERROR(FIND('112'!$M$9,G2069,1)),"",IF((AND(FIND('112'!$M$9,G2069,1)&gt;=1,B2069='112'!$K$9,OR($N2069='112'!$I$6,$O2069='112'!$I$6))),"x",""))</f>
        <v/>
      </c>
      <c r="U2069" s="79" t="str">
        <f>IF(ISERROR(FIND('112'!$M$9,G2069,1)),"",IF((AND(LEFT(G2069,2)=LEFT('112'!$M$9,2),B2069&lt;'112'!$K$9,$N2069='112'!$I$6)),"x",""))</f>
        <v/>
      </c>
      <c r="V2069" s="79" t="str">
        <f>IF(ISERROR(FIND('112'!$M$9,G2069,1)),"",IF((AND(RIGHT(G2069,2)=RIGHT('112'!$M$9,2),B2069&lt;'112'!$K$9,$O2069='112'!$I$6)),"x",""))</f>
        <v/>
      </c>
      <c r="W2069" s="79" t="str">
        <f>IF(AND('341-CT'!$H$9=H2069,OR(LEFT(N2069,3)=$W$7,LEFT(O2069,3)=$W$7)),"x","")</f>
        <v/>
      </c>
      <c r="X2069" s="79" t="str">
        <f>IF(OR(TH!N2069=TH!$X$7,O2069=TH!$X$7),"x","")</f>
        <v/>
      </c>
      <c r="Y2069" s="79" t="str">
        <f>IF(AND(OR(N2069="131",O2069="131"),H2069='131-CT'!$H$9),"x","")</f>
        <v/>
      </c>
      <c r="Z2069" s="79"/>
      <c r="AA2069" s="79" t="str">
        <f>IF(AND(MONTH(E2069)='IN-NX'!$J$5,'IN-NX'!$D$7=D2069),"x","")</f>
        <v/>
      </c>
      <c r="AB2069" s="79" t="str">
        <f>IF(AND(OR(LEFT(TH!N2069,2)="15",LEFT(TH!O2069,2)="15"),LEFT(TH!O2069,3)&lt;&gt;"111",'152-CT'!$J$8=TH!F2069),"x","")</f>
        <v/>
      </c>
      <c r="AC2069" s="79" t="str">
        <f>IF(AND(OR(LEFT(TH!N2069,2)="15",LEFT(TH!O2069,2)="15"),TK!$E$7=TH!F2069),"x","")</f>
        <v/>
      </c>
      <c r="AD2069" s="79" t="str">
        <f>IF(AND(N2069="1521",MONTH(C2069)='BK-NL'!$M$11),"x","")</f>
        <v/>
      </c>
    </row>
    <row r="2070" spans="1:30" ht="16.5" customHeight="1">
      <c r="A2070" s="318" t="str">
        <f>IF(B2070&lt;&gt;"",IF(AND(B2070='IN-TC'!$S$4,OR(TH!N2070="1111",TH!O2070="1111")),TH!D2070,""),"")</f>
        <v/>
      </c>
      <c r="B2070" s="60" t="str">
        <f t="shared" si="234"/>
        <v/>
      </c>
      <c r="C2070" s="301"/>
      <c r="D2070" s="301"/>
      <c r="E2070" s="301"/>
      <c r="F2070" s="1261"/>
      <c r="G2070" s="968"/>
      <c r="H2070" s="321"/>
      <c r="I2070" s="385"/>
      <c r="J2070" s="969"/>
      <c r="K2070" s="385"/>
      <c r="L2070" s="392"/>
      <c r="M2070" s="970"/>
      <c r="N2070" s="304"/>
      <c r="O2070" s="304"/>
      <c r="P2070" s="79" t="str">
        <f>IF(AND('331-CT'!$E$7=TH!H2070,OR(N2070="331",O2070="331")),"x","")</f>
        <v/>
      </c>
      <c r="Q2070" s="79" t="str">
        <f>IF(AND(B2070='111'!$L$11,OR($N2070=$Q$7,$O2070=$Q$7)),"x","")</f>
        <v/>
      </c>
      <c r="R2070" s="79" t="str">
        <f>IF(AND($N2070=$Q$7,$B2070&lt;'111'!$L$11),"x","")</f>
        <v/>
      </c>
      <c r="S2070" s="79" t="str">
        <f>IF(AND($O2070=$Q$7,$B2070&lt;'111'!$L$11),"x","")</f>
        <v/>
      </c>
      <c r="T2070" s="79" t="str">
        <f>IF(ISERROR(FIND('112'!$M$9,G2070,1)),"",IF((AND(FIND('112'!$M$9,G2070,1)&gt;=1,B2070='112'!$K$9,OR($N2070='112'!$I$6,$O2070='112'!$I$6))),"x",""))</f>
        <v/>
      </c>
      <c r="U2070" s="79" t="str">
        <f>IF(ISERROR(FIND('112'!$M$9,G2070,1)),"",IF((AND(LEFT(G2070,2)=LEFT('112'!$M$9,2),B2070&lt;'112'!$K$9,$N2070='112'!$I$6)),"x",""))</f>
        <v/>
      </c>
      <c r="V2070" s="79" t="str">
        <f>IF(ISERROR(FIND('112'!$M$9,G2070,1)),"",IF((AND(RIGHT(G2070,2)=RIGHT('112'!$M$9,2),B2070&lt;'112'!$K$9,$O2070='112'!$I$6)),"x",""))</f>
        <v/>
      </c>
      <c r="W2070" s="79" t="str">
        <f>IF(AND('341-CT'!$H$9=H2070,OR(LEFT(N2070,3)=$W$7,LEFT(O2070,3)=$W$7)),"x","")</f>
        <v/>
      </c>
      <c r="X2070" s="79" t="str">
        <f>IF(OR(TH!N2070=TH!$X$7,O2070=TH!$X$7),"x","")</f>
        <v/>
      </c>
      <c r="Y2070" s="79" t="str">
        <f>IF(AND(OR(N2070="131",O2070="131"),H2070='131-CT'!$H$9),"x","")</f>
        <v/>
      </c>
      <c r="Z2070" s="79"/>
      <c r="AA2070" s="79" t="str">
        <f>IF(AND(MONTH(E2070)='IN-NX'!$J$5,'IN-NX'!$D$7=D2070),"x","")</f>
        <v/>
      </c>
      <c r="AB2070" s="79" t="str">
        <f>IF(AND(OR(LEFT(TH!N2070,2)="15",LEFT(TH!O2070,2)="15"),LEFT(TH!O2070,3)&lt;&gt;"111",'152-CT'!$J$8=TH!F2070),"x","")</f>
        <v/>
      </c>
      <c r="AC2070" s="79" t="str">
        <f>IF(AND(OR(LEFT(TH!N2070,2)="15",LEFT(TH!O2070,2)="15"),TK!$E$7=TH!F2070),"x","")</f>
        <v/>
      </c>
      <c r="AD2070" s="79" t="str">
        <f>IF(AND(N2070="1521",MONTH(C2070)='BK-NL'!$M$11),"x","")</f>
        <v/>
      </c>
    </row>
    <row r="2071" spans="1:30" ht="16.5" customHeight="1">
      <c r="A2071" s="318" t="str">
        <f>IF(B2071&lt;&gt;"",IF(AND(B2071='IN-TC'!$S$4,OR(TH!N2071="1111",TH!O2071="1111")),TH!D2071,""),"")</f>
        <v/>
      </c>
      <c r="B2071" s="60" t="str">
        <f t="shared" si="234"/>
        <v/>
      </c>
      <c r="C2071" s="301"/>
      <c r="D2071" s="301"/>
      <c r="E2071" s="301"/>
      <c r="F2071" s="1261"/>
      <c r="G2071" s="968"/>
      <c r="H2071" s="321"/>
      <c r="I2071" s="385"/>
      <c r="J2071" s="969"/>
      <c r="K2071" s="385"/>
      <c r="L2071" s="392"/>
      <c r="M2071" s="970"/>
      <c r="N2071" s="304"/>
      <c r="O2071" s="304"/>
      <c r="P2071" s="79" t="str">
        <f>IF(AND('331-CT'!$E$7=TH!H2071,OR(N2071="331",O2071="331")),"x","")</f>
        <v/>
      </c>
      <c r="Q2071" s="79" t="str">
        <f>IF(AND(B2071='111'!$L$11,OR($N2071=$Q$7,$O2071=$Q$7)),"x","")</f>
        <v/>
      </c>
      <c r="R2071" s="79" t="str">
        <f>IF(AND($N2071=$Q$7,$B2071&lt;'111'!$L$11),"x","")</f>
        <v/>
      </c>
      <c r="S2071" s="79" t="str">
        <f>IF(AND($O2071=$Q$7,$B2071&lt;'111'!$L$11),"x","")</f>
        <v/>
      </c>
      <c r="T2071" s="79" t="str">
        <f>IF(ISERROR(FIND('112'!$M$9,G2071,1)),"",IF((AND(FIND('112'!$M$9,G2071,1)&gt;=1,B2071='112'!$K$9,OR($N2071='112'!$I$6,$O2071='112'!$I$6))),"x",""))</f>
        <v/>
      </c>
      <c r="U2071" s="79" t="str">
        <f>IF(ISERROR(FIND('112'!$M$9,G2071,1)),"",IF((AND(LEFT(G2071,2)=LEFT('112'!$M$9,2),B2071&lt;'112'!$K$9,$N2071='112'!$I$6)),"x",""))</f>
        <v/>
      </c>
      <c r="V2071" s="79" t="str">
        <f>IF(ISERROR(FIND('112'!$M$9,G2071,1)),"",IF((AND(RIGHT(G2071,2)=RIGHT('112'!$M$9,2),B2071&lt;'112'!$K$9,$O2071='112'!$I$6)),"x",""))</f>
        <v/>
      </c>
      <c r="W2071" s="79" t="str">
        <f>IF(AND('341-CT'!$H$9=H2071,OR(LEFT(N2071,3)=$W$7,LEFT(O2071,3)=$W$7)),"x","")</f>
        <v/>
      </c>
      <c r="X2071" s="79" t="str">
        <f>IF(OR(TH!N2071=TH!$X$7,O2071=TH!$X$7),"x","")</f>
        <v/>
      </c>
      <c r="Y2071" s="79" t="str">
        <f>IF(AND(OR(N2071="131",O2071="131"),H2071='131-CT'!$H$9),"x","")</f>
        <v/>
      </c>
      <c r="Z2071" s="79"/>
      <c r="AA2071" s="79" t="str">
        <f>IF(AND(MONTH(E2071)='IN-NX'!$J$5,'IN-NX'!$D$7=D2071),"x","")</f>
        <v/>
      </c>
      <c r="AB2071" s="79" t="str">
        <f>IF(AND(OR(LEFT(TH!N2071,2)="15",LEFT(TH!O2071,2)="15"),LEFT(TH!O2071,3)&lt;&gt;"111",'152-CT'!$J$8=TH!F2071),"x","")</f>
        <v/>
      </c>
      <c r="AC2071" s="79" t="str">
        <f>IF(AND(OR(LEFT(TH!N2071,2)="15",LEFT(TH!O2071,2)="15"),TK!$E$7=TH!F2071),"x","")</f>
        <v/>
      </c>
      <c r="AD2071" s="79" t="str">
        <f>IF(AND(N2071="1521",MONTH(C2071)='BK-NL'!$M$11),"x","")</f>
        <v/>
      </c>
    </row>
    <row r="2072" spans="1:30" ht="16.5" customHeight="1">
      <c r="A2072" s="318" t="str">
        <f>IF(B2072&lt;&gt;"",IF(AND(B2072='IN-TC'!$S$4,OR(TH!N2072="1111",TH!O2072="1111")),TH!D2072,""),"")</f>
        <v/>
      </c>
      <c r="B2072" s="60" t="str">
        <f t="shared" si="234"/>
        <v/>
      </c>
      <c r="C2072" s="301"/>
      <c r="D2072" s="301"/>
      <c r="E2072" s="301"/>
      <c r="F2072" s="1261"/>
      <c r="G2072" s="968"/>
      <c r="H2072" s="321"/>
      <c r="I2072" s="385"/>
      <c r="J2072" s="969"/>
      <c r="K2072" s="385"/>
      <c r="L2072" s="392"/>
      <c r="M2072" s="970"/>
      <c r="N2072" s="304"/>
      <c r="O2072" s="304"/>
      <c r="P2072" s="79" t="str">
        <f>IF(AND('331-CT'!$E$7=TH!H2072,OR(N2072="331",O2072="331")),"x","")</f>
        <v/>
      </c>
      <c r="Q2072" s="79" t="str">
        <f>IF(AND(B2072='111'!$L$11,OR($N2072=$Q$7,$O2072=$Q$7)),"x","")</f>
        <v/>
      </c>
      <c r="R2072" s="79" t="str">
        <f>IF(AND($N2072=$Q$7,$B2072&lt;'111'!$L$11),"x","")</f>
        <v/>
      </c>
      <c r="S2072" s="79" t="str">
        <f>IF(AND($O2072=$Q$7,$B2072&lt;'111'!$L$11),"x","")</f>
        <v/>
      </c>
      <c r="T2072" s="79" t="str">
        <f>IF(ISERROR(FIND('112'!$M$9,G2072,1)),"",IF((AND(FIND('112'!$M$9,G2072,1)&gt;=1,B2072='112'!$K$9,OR($N2072='112'!$I$6,$O2072='112'!$I$6))),"x",""))</f>
        <v/>
      </c>
      <c r="U2072" s="79" t="str">
        <f>IF(ISERROR(FIND('112'!$M$9,G2072,1)),"",IF((AND(LEFT(G2072,2)=LEFT('112'!$M$9,2),B2072&lt;'112'!$K$9,$N2072='112'!$I$6)),"x",""))</f>
        <v/>
      </c>
      <c r="V2072" s="79" t="str">
        <f>IF(ISERROR(FIND('112'!$M$9,G2072,1)),"",IF((AND(RIGHT(G2072,2)=RIGHT('112'!$M$9,2),B2072&lt;'112'!$K$9,$O2072='112'!$I$6)),"x",""))</f>
        <v/>
      </c>
      <c r="W2072" s="79" t="str">
        <f>IF(AND('341-CT'!$H$9=H2072,OR(LEFT(N2072,3)=$W$7,LEFT(O2072,3)=$W$7)),"x","")</f>
        <v/>
      </c>
      <c r="X2072" s="79" t="str">
        <f>IF(OR(TH!N2072=TH!$X$7,O2072=TH!$X$7),"x","")</f>
        <v/>
      </c>
      <c r="Y2072" s="79" t="str">
        <f>IF(AND(OR(N2072="131",O2072="131"),H2072='131-CT'!$H$9),"x","")</f>
        <v/>
      </c>
      <c r="Z2072" s="79"/>
      <c r="AA2072" s="79" t="str">
        <f>IF(AND(MONTH(E2072)='IN-NX'!$J$5,'IN-NX'!$D$7=D2072),"x","")</f>
        <v/>
      </c>
      <c r="AB2072" s="79" t="str">
        <f>IF(AND(OR(LEFT(TH!N2072,2)="15",LEFT(TH!O2072,2)="15"),LEFT(TH!O2072,3)&lt;&gt;"111",'152-CT'!$J$8=TH!F2072),"x","")</f>
        <v/>
      </c>
      <c r="AC2072" s="79" t="str">
        <f>IF(AND(OR(LEFT(TH!N2072,2)="15",LEFT(TH!O2072,2)="15"),TK!$E$7=TH!F2072),"x","")</f>
        <v/>
      </c>
      <c r="AD2072" s="79" t="str">
        <f>IF(AND(N2072="1521",MONTH(C2072)='BK-NL'!$M$11),"x","")</f>
        <v/>
      </c>
    </row>
    <row r="2073" spans="1:30" ht="16.5" customHeight="1">
      <c r="A2073" s="318" t="str">
        <f>IF(B2073&lt;&gt;"",IF(AND(B2073='IN-TC'!$S$4,OR(TH!N2073="1111",TH!O2073="1111")),TH!D2073,""),"")</f>
        <v/>
      </c>
      <c r="B2073" s="60" t="str">
        <f t="shared" si="234"/>
        <v/>
      </c>
      <c r="C2073" s="301"/>
      <c r="D2073" s="301"/>
      <c r="E2073" s="301"/>
      <c r="F2073" s="1160"/>
      <c r="G2073" s="968"/>
      <c r="H2073" s="69"/>
      <c r="I2073" s="385"/>
      <c r="J2073" s="969"/>
      <c r="K2073" s="385"/>
      <c r="L2073" s="392"/>
      <c r="M2073" s="970"/>
      <c r="N2073" s="304"/>
      <c r="O2073" s="304"/>
      <c r="P2073" s="79" t="str">
        <f>IF(AND('331-CT'!$E$7=TH!H2073,OR(N2073="331",O2073="331")),"x","")</f>
        <v/>
      </c>
      <c r="Q2073" s="79" t="str">
        <f>IF(AND(B2073='111'!$L$11,OR($N2073=$Q$7,$O2073=$Q$7)),"x","")</f>
        <v/>
      </c>
      <c r="R2073" s="79" t="str">
        <f>IF(AND($N2073=$Q$7,$B2073&lt;'111'!$L$11),"x","")</f>
        <v/>
      </c>
      <c r="S2073" s="79" t="str">
        <f>IF(AND($O2073=$Q$7,$B2073&lt;'111'!$L$11),"x","")</f>
        <v/>
      </c>
      <c r="T2073" s="79" t="str">
        <f>IF(ISERROR(FIND('112'!$M$9,G2073,1)),"",IF((AND(FIND('112'!$M$9,G2073,1)&gt;=1,B2073='112'!$K$9,OR($N2073='112'!$I$6,$O2073='112'!$I$6))),"x",""))</f>
        <v/>
      </c>
      <c r="U2073" s="79" t="str">
        <f>IF(ISERROR(FIND('112'!$M$9,G2073,1)),"",IF((AND(LEFT(G2073,2)=LEFT('112'!$M$9,2),B2073&lt;'112'!$K$9,$N2073='112'!$I$6)),"x",""))</f>
        <v/>
      </c>
      <c r="V2073" s="79" t="str">
        <f>IF(ISERROR(FIND('112'!$M$9,G2073,1)),"",IF((AND(RIGHT(G2073,2)=RIGHT('112'!$M$9,2),B2073&lt;'112'!$K$9,$O2073='112'!$I$6)),"x",""))</f>
        <v/>
      </c>
      <c r="W2073" s="79" t="str">
        <f>IF(AND('341-CT'!$H$9=H2073,OR(LEFT(N2073,3)=$W$7,LEFT(O2073,3)=$W$7)),"x","")</f>
        <v/>
      </c>
      <c r="X2073" s="79" t="str">
        <f>IF(OR(TH!N2073=TH!$X$7,O2073=TH!$X$7),"x","")</f>
        <v/>
      </c>
      <c r="Y2073" s="79" t="str">
        <f>IF(AND(OR(N2073="131",O2073="131"),H2073='131-CT'!$H$9),"x","")</f>
        <v/>
      </c>
      <c r="Z2073" s="79"/>
      <c r="AA2073" s="79" t="str">
        <f>IF(AND(MONTH(E2073)='IN-NX'!$J$5,'IN-NX'!$D$7=D2073),"x","")</f>
        <v/>
      </c>
      <c r="AB2073" s="79" t="str">
        <f>IF(AND(OR(LEFT(TH!N2073,2)="15",LEFT(TH!O2073,2)="15"),LEFT(TH!O2073,3)&lt;&gt;"111",'152-CT'!$J$8=TH!F2073),"x","")</f>
        <v/>
      </c>
      <c r="AC2073" s="79" t="str">
        <f>IF(AND(OR(LEFT(TH!N2073,2)="15",LEFT(TH!O2073,2)="15"),TK!$E$7=TH!F2073),"x","")</f>
        <v/>
      </c>
      <c r="AD2073" s="79" t="str">
        <f>IF(AND(N2073="1521",MONTH(C2073)='BK-NL'!$M$11),"x","")</f>
        <v/>
      </c>
    </row>
    <row r="2074" spans="1:30" ht="16.5" customHeight="1">
      <c r="A2074" s="318" t="str">
        <f>IF(B2074&lt;&gt;"",IF(AND(B2074='IN-TC'!$S$4,OR(TH!N2074="1111",TH!O2074="1111")),TH!D2074,""),"")</f>
        <v/>
      </c>
      <c r="B2074" s="60" t="str">
        <f t="shared" si="234"/>
        <v/>
      </c>
      <c r="C2074" s="301"/>
      <c r="D2074" s="301"/>
      <c r="E2074" s="301"/>
      <c r="F2074" s="1160"/>
      <c r="G2074" s="968"/>
      <c r="H2074" s="69"/>
      <c r="I2074" s="385"/>
      <c r="J2074" s="969"/>
      <c r="K2074" s="385"/>
      <c r="L2074" s="392"/>
      <c r="M2074" s="970"/>
      <c r="N2074" s="304"/>
      <c r="O2074" s="304"/>
      <c r="P2074" s="79" t="str">
        <f>IF(AND('331-CT'!$E$7=TH!H2074,OR(N2074="331",O2074="331")),"x","")</f>
        <v/>
      </c>
      <c r="Q2074" s="79" t="str">
        <f>IF(AND(B2074='111'!$L$11,OR($N2074=$Q$7,$O2074=$Q$7)),"x","")</f>
        <v/>
      </c>
      <c r="R2074" s="79" t="str">
        <f>IF(AND($N2074=$Q$7,$B2074&lt;'111'!$L$11),"x","")</f>
        <v/>
      </c>
      <c r="S2074" s="79" t="str">
        <f>IF(AND($O2074=$Q$7,$B2074&lt;'111'!$L$11),"x","")</f>
        <v/>
      </c>
      <c r="T2074" s="79" t="str">
        <f>IF(ISERROR(FIND('112'!$M$9,G2074,1)),"",IF((AND(FIND('112'!$M$9,G2074,1)&gt;=1,B2074='112'!$K$9,OR($N2074='112'!$I$6,$O2074='112'!$I$6))),"x",""))</f>
        <v/>
      </c>
      <c r="U2074" s="79" t="str">
        <f>IF(ISERROR(FIND('112'!$M$9,G2074,1)),"",IF((AND(LEFT(G2074,2)=LEFT('112'!$M$9,2),B2074&lt;'112'!$K$9,$N2074='112'!$I$6)),"x",""))</f>
        <v/>
      </c>
      <c r="V2074" s="79" t="str">
        <f>IF(ISERROR(FIND('112'!$M$9,G2074,1)),"",IF((AND(RIGHT(G2074,2)=RIGHT('112'!$M$9,2),B2074&lt;'112'!$K$9,$O2074='112'!$I$6)),"x",""))</f>
        <v/>
      </c>
      <c r="W2074" s="79" t="str">
        <f>IF(AND('341-CT'!$H$9=H2074,OR(LEFT(N2074,3)=$W$7,LEFT(O2074,3)=$W$7)),"x","")</f>
        <v/>
      </c>
      <c r="X2074" s="79" t="str">
        <f>IF(OR(TH!N2074=TH!$X$7,O2074=TH!$X$7),"x","")</f>
        <v/>
      </c>
      <c r="Y2074" s="79" t="str">
        <f>IF(AND(OR(N2074="131",O2074="131"),H2074='131-CT'!$H$9),"x","")</f>
        <v/>
      </c>
      <c r="Z2074" s="79"/>
      <c r="AA2074" s="79" t="str">
        <f>IF(AND(MONTH(E2074)='IN-NX'!$J$5,'IN-NX'!$D$7=D2074),"x","")</f>
        <v/>
      </c>
      <c r="AB2074" s="79" t="str">
        <f>IF(AND(OR(LEFT(TH!N2074,2)="15",LEFT(TH!O2074,2)="15"),LEFT(TH!O2074,3)&lt;&gt;"111",'152-CT'!$J$8=TH!F2074),"x","")</f>
        <v/>
      </c>
      <c r="AC2074" s="79" t="str">
        <f>IF(AND(OR(LEFT(TH!N2074,2)="15",LEFT(TH!O2074,2)="15"),TK!$E$7=TH!F2074),"x","")</f>
        <v/>
      </c>
      <c r="AD2074" s="79" t="str">
        <f>IF(AND(N2074="1521",MONTH(C2074)='BK-NL'!$M$11),"x","")</f>
        <v/>
      </c>
    </row>
    <row r="2075" spans="1:30" ht="16.5" customHeight="1">
      <c r="A2075" s="318" t="str">
        <f>IF(B2075&lt;&gt;"",IF(AND(B2075='IN-TC'!$S$4,OR(TH!N2075="1111",TH!O2075="1111")),TH!D2075,""),"")</f>
        <v/>
      </c>
      <c r="B2075" s="60" t="str">
        <f t="shared" si="234"/>
        <v/>
      </c>
      <c r="C2075" s="301"/>
      <c r="D2075" s="301"/>
      <c r="E2075" s="301"/>
      <c r="F2075" s="1160"/>
      <c r="G2075" s="968"/>
      <c r="H2075" s="69"/>
      <c r="I2075" s="385"/>
      <c r="J2075" s="969"/>
      <c r="K2075" s="385"/>
      <c r="L2075" s="392"/>
      <c r="M2075" s="970"/>
      <c r="N2075" s="304"/>
      <c r="O2075" s="304"/>
      <c r="P2075" s="79" t="str">
        <f>IF(AND('331-CT'!$E$7=TH!H2075,OR(N2075="331",O2075="331")),"x","")</f>
        <v/>
      </c>
      <c r="Q2075" s="79" t="str">
        <f>IF(AND(B2075='111'!$L$11,OR($N2075=$Q$7,$O2075=$Q$7)),"x","")</f>
        <v/>
      </c>
      <c r="R2075" s="79" t="str">
        <f>IF(AND($N2075=$Q$7,$B2075&lt;'111'!$L$11),"x","")</f>
        <v/>
      </c>
      <c r="S2075" s="79" t="str">
        <f>IF(AND($O2075=$Q$7,$B2075&lt;'111'!$L$11),"x","")</f>
        <v/>
      </c>
      <c r="T2075" s="79" t="str">
        <f>IF(ISERROR(FIND('112'!$M$9,G2075,1)),"",IF((AND(FIND('112'!$M$9,G2075,1)&gt;=1,B2075='112'!$K$9,OR($N2075='112'!$I$6,$O2075='112'!$I$6))),"x",""))</f>
        <v/>
      </c>
      <c r="U2075" s="79" t="str">
        <f>IF(ISERROR(FIND('112'!$M$9,G2075,1)),"",IF((AND(LEFT(G2075,2)=LEFT('112'!$M$9,2),B2075&lt;'112'!$K$9,$N2075='112'!$I$6)),"x",""))</f>
        <v/>
      </c>
      <c r="V2075" s="79" t="str">
        <f>IF(ISERROR(FIND('112'!$M$9,G2075,1)),"",IF((AND(RIGHT(G2075,2)=RIGHT('112'!$M$9,2),B2075&lt;'112'!$K$9,$O2075='112'!$I$6)),"x",""))</f>
        <v/>
      </c>
      <c r="W2075" s="79" t="str">
        <f>IF(AND('341-CT'!$H$9=H2075,OR(LEFT(N2075,3)=$W$7,LEFT(O2075,3)=$W$7)),"x","")</f>
        <v/>
      </c>
      <c r="X2075" s="79" t="str">
        <f>IF(OR(TH!N2075=TH!$X$7,O2075=TH!$X$7),"x","")</f>
        <v/>
      </c>
      <c r="Y2075" s="79" t="str">
        <f>IF(AND(OR(N2075="131",O2075="131"),H2075='131-CT'!$H$9),"x","")</f>
        <v/>
      </c>
      <c r="Z2075" s="79"/>
      <c r="AA2075" s="79" t="str">
        <f>IF(AND(MONTH(E2075)='IN-NX'!$J$5,'IN-NX'!$D$7=D2075),"x","")</f>
        <v/>
      </c>
      <c r="AB2075" s="79" t="str">
        <f>IF(AND(OR(LEFT(TH!N2075,2)="15",LEFT(TH!O2075,2)="15"),LEFT(TH!O2075,3)&lt;&gt;"111",'152-CT'!$J$8=TH!F2075),"x","")</f>
        <v/>
      </c>
      <c r="AC2075" s="79" t="str">
        <f>IF(AND(OR(LEFT(TH!N2075,2)="15",LEFT(TH!O2075,2)="15"),TK!$E$7=TH!F2075),"x","")</f>
        <v/>
      </c>
      <c r="AD2075" s="79" t="str">
        <f>IF(AND(N2075="1521",MONTH(C2075)='BK-NL'!$M$11),"x","")</f>
        <v/>
      </c>
    </row>
    <row r="2076" spans="1:30" ht="16.5" customHeight="1">
      <c r="A2076" s="318" t="str">
        <f>IF(B2076&lt;&gt;"",IF(AND(B2076='IN-TC'!$S$4,OR(TH!N2076="1111",TH!O2076="1111")),TH!D2076,""),"")</f>
        <v/>
      </c>
      <c r="B2076" s="60" t="str">
        <f t="shared" si="234"/>
        <v/>
      </c>
      <c r="C2076" s="301"/>
      <c r="D2076" s="301"/>
      <c r="E2076" s="301"/>
      <c r="F2076" s="1160"/>
      <c r="G2076" s="968"/>
      <c r="H2076" s="69"/>
      <c r="I2076" s="385"/>
      <c r="J2076" s="969"/>
      <c r="K2076" s="385"/>
      <c r="L2076" s="392"/>
      <c r="M2076" s="970"/>
      <c r="N2076" s="304"/>
      <c r="O2076" s="304"/>
      <c r="P2076" s="79" t="str">
        <f>IF(AND('331-CT'!$E$7=TH!H2076,OR(N2076="331",O2076="331")),"x","")</f>
        <v/>
      </c>
      <c r="Q2076" s="79" t="str">
        <f>IF(AND(B2076='111'!$L$11,OR($N2076=$Q$7,$O2076=$Q$7)),"x","")</f>
        <v/>
      </c>
      <c r="R2076" s="79" t="str">
        <f>IF(AND($N2076=$Q$7,$B2076&lt;'111'!$L$11),"x","")</f>
        <v/>
      </c>
      <c r="S2076" s="79" t="str">
        <f>IF(AND($O2076=$Q$7,$B2076&lt;'111'!$L$11),"x","")</f>
        <v/>
      </c>
      <c r="T2076" s="79" t="str">
        <f>IF(ISERROR(FIND('112'!$M$9,G2076,1)),"",IF((AND(FIND('112'!$M$9,G2076,1)&gt;=1,B2076='112'!$K$9,OR($N2076='112'!$I$6,$O2076='112'!$I$6))),"x",""))</f>
        <v/>
      </c>
      <c r="U2076" s="79" t="str">
        <f>IF(ISERROR(FIND('112'!$M$9,G2076,1)),"",IF((AND(LEFT(G2076,2)=LEFT('112'!$M$9,2),B2076&lt;'112'!$K$9,$N2076='112'!$I$6)),"x",""))</f>
        <v/>
      </c>
      <c r="V2076" s="79" t="str">
        <f>IF(ISERROR(FIND('112'!$M$9,G2076,1)),"",IF((AND(RIGHT(G2076,2)=RIGHT('112'!$M$9,2),B2076&lt;'112'!$K$9,$O2076='112'!$I$6)),"x",""))</f>
        <v/>
      </c>
      <c r="W2076" s="79" t="str">
        <f>IF(AND('341-CT'!$H$9=H2076,OR(LEFT(N2076,3)=$W$7,LEFT(O2076,3)=$W$7)),"x","")</f>
        <v/>
      </c>
      <c r="X2076" s="79" t="str">
        <f>IF(OR(TH!N2076=TH!$X$7,O2076=TH!$X$7),"x","")</f>
        <v/>
      </c>
      <c r="Y2076" s="79" t="str">
        <f>IF(AND(OR(N2076="131",O2076="131"),H2076='131-CT'!$H$9),"x","")</f>
        <v/>
      </c>
      <c r="Z2076" s="79"/>
      <c r="AA2076" s="79" t="str">
        <f>IF(AND(MONTH(E2076)='IN-NX'!$J$5,'IN-NX'!$D$7=D2076),"x","")</f>
        <v/>
      </c>
      <c r="AB2076" s="79" t="str">
        <f>IF(AND(OR(LEFT(TH!N2076,2)="15",LEFT(TH!O2076,2)="15"),LEFT(TH!O2076,3)&lt;&gt;"111",'152-CT'!$J$8=TH!F2076),"x","")</f>
        <v/>
      </c>
      <c r="AC2076" s="79" t="str">
        <f>IF(AND(OR(LEFT(TH!N2076,2)="15",LEFT(TH!O2076,2)="15"),TK!$E$7=TH!F2076),"x","")</f>
        <v/>
      </c>
      <c r="AD2076" s="79" t="str">
        <f>IF(AND(N2076="1521",MONTH(C2076)='BK-NL'!$M$11),"x","")</f>
        <v/>
      </c>
    </row>
    <row r="2077" spans="1:30" ht="16.5" customHeight="1">
      <c r="A2077" s="318" t="str">
        <f>IF(B2077&lt;&gt;"",IF(AND(B2077='IN-TC'!$S$4,OR(TH!N2077="1111",TH!O2077="1111")),TH!D2077,""),"")</f>
        <v/>
      </c>
      <c r="B2077" s="60" t="str">
        <f t="shared" si="234"/>
        <v/>
      </c>
      <c r="C2077" s="981"/>
      <c r="D2077" s="301"/>
      <c r="E2077" s="981"/>
      <c r="F2077" s="1133"/>
      <c r="G2077" s="1130"/>
      <c r="H2077" s="982"/>
      <c r="I2077" s="984"/>
      <c r="J2077" s="983"/>
      <c r="K2077" s="984"/>
      <c r="L2077" s="983"/>
      <c r="M2077" s="985"/>
      <c r="N2077" s="986"/>
      <c r="O2077" s="986"/>
      <c r="P2077" s="79" t="str">
        <f>IF(AND('331-CT'!$E$7=TH!H2077,OR(N2077="331",O2077="331")),"x","")</f>
        <v/>
      </c>
      <c r="Q2077" s="79" t="str">
        <f>IF(AND(B2077='111'!$L$11,OR($N2077=$Q$7,$O2077=$Q$7)),"x","")</f>
        <v/>
      </c>
      <c r="R2077" s="79" t="str">
        <f>IF(AND($N2077=$Q$7,$B2077&lt;'111'!$L$11),"x","")</f>
        <v/>
      </c>
      <c r="S2077" s="79" t="str">
        <f>IF(AND($O2077=$Q$7,$B2077&lt;'111'!$L$11),"x","")</f>
        <v/>
      </c>
      <c r="T2077" s="79" t="str">
        <f>IF(ISERROR(FIND('112'!$M$9,G2077,1)),"",IF((AND(FIND('112'!$M$9,G2077,1)&gt;=1,B2077='112'!$K$9,OR($N2077='112'!$I$6,$O2077='112'!$I$6))),"x",""))</f>
        <v/>
      </c>
      <c r="U2077" s="79" t="str">
        <f>IF(ISERROR(FIND('112'!$M$9,G2077,1)),"",IF((AND(LEFT(G2077,2)=LEFT('112'!$M$9,2),B2077&lt;'112'!$K$9,$N2077='112'!$I$6)),"x",""))</f>
        <v/>
      </c>
      <c r="V2077" s="79" t="str">
        <f>IF(ISERROR(FIND('112'!$M$9,G2077,1)),"",IF((AND(RIGHT(G2077,2)=RIGHT('112'!$M$9,2),B2077&lt;'112'!$K$9,$O2077='112'!$I$6)),"x",""))</f>
        <v/>
      </c>
      <c r="W2077" s="79" t="str">
        <f>IF(AND('341-CT'!$H$9=H2077,OR(LEFT(N2077,3)=$W$7,LEFT(O2077,3)=$W$7)),"x","")</f>
        <v/>
      </c>
      <c r="X2077" s="79" t="str">
        <f>IF(OR(TH!N2077=TH!$X$7,O2077=TH!$X$7),"x","")</f>
        <v/>
      </c>
      <c r="Y2077" s="79" t="str">
        <f>IF(AND(OR(N2077="131",O2077="131"),H2077='131-CT'!$H$9),"x","")</f>
        <v/>
      </c>
      <c r="Z2077" s="79"/>
      <c r="AA2077" s="79" t="str">
        <f>IF(AND(MONTH(E2077)='IN-NX'!$J$5,'IN-NX'!$D$7=D2077),"x","")</f>
        <v/>
      </c>
      <c r="AB2077" s="79" t="str">
        <f>IF(AND(OR(LEFT(TH!N2077,2)="15",LEFT(TH!O2077,2)="15"),LEFT(TH!O2077,3)&lt;&gt;"111",'152-CT'!$J$8=TH!F2077),"x","")</f>
        <v/>
      </c>
      <c r="AC2077" s="79" t="str">
        <f>IF(AND(OR(LEFT(TH!N2077,2)="15",LEFT(TH!O2077,2)="15"),TK!$E$7=TH!F2077),"x","")</f>
        <v/>
      </c>
      <c r="AD2077" s="79" t="str">
        <f>IF(AND(N2077="1521",MONTH(C2077)='BK-NL'!$M$11),"x","")</f>
        <v/>
      </c>
    </row>
    <row r="2078" spans="1:30" ht="16.5" customHeight="1">
      <c r="A2078" s="318" t="str">
        <f>IF(B2078&lt;&gt;"",IF(AND(B2078='IN-TC'!$S$4,OR(TH!N2078="1111",TH!O2078="1111")),TH!D2078,""),"")</f>
        <v/>
      </c>
      <c r="B2078" s="60" t="str">
        <f t="shared" si="234"/>
        <v/>
      </c>
      <c r="C2078" s="981"/>
      <c r="D2078" s="301"/>
      <c r="E2078" s="981"/>
      <c r="F2078" s="1133"/>
      <c r="G2078" s="1130"/>
      <c r="H2078" s="982"/>
      <c r="I2078" s="984"/>
      <c r="J2078" s="983"/>
      <c r="K2078" s="984"/>
      <c r="L2078" s="983"/>
      <c r="M2078" s="985"/>
      <c r="N2078" s="986"/>
      <c r="O2078" s="986"/>
      <c r="P2078" s="79" t="str">
        <f>IF(AND('331-CT'!$E$7=TH!H2078,OR(N2078="331",O2078="331")),"x","")</f>
        <v/>
      </c>
      <c r="Q2078" s="79" t="str">
        <f>IF(AND(B2078='111'!$L$11,OR($N2078=$Q$7,$O2078=$Q$7)),"x","")</f>
        <v/>
      </c>
      <c r="R2078" s="79" t="str">
        <f>IF(AND($N2078=$Q$7,$B2078&lt;'111'!$L$11),"x","")</f>
        <v/>
      </c>
      <c r="S2078" s="79" t="str">
        <f>IF(AND($O2078=$Q$7,$B2078&lt;'111'!$L$11),"x","")</f>
        <v/>
      </c>
      <c r="T2078" s="79" t="str">
        <f>IF(ISERROR(FIND('112'!$M$9,G2078,1)),"",IF((AND(FIND('112'!$M$9,G2078,1)&gt;=1,B2078='112'!$K$9,OR($N2078='112'!$I$6,$O2078='112'!$I$6))),"x",""))</f>
        <v/>
      </c>
      <c r="U2078" s="79" t="str">
        <f>IF(ISERROR(FIND('112'!$M$9,G2078,1)),"",IF((AND(LEFT(G2078,2)=LEFT('112'!$M$9,2),B2078&lt;'112'!$K$9,$N2078='112'!$I$6)),"x",""))</f>
        <v/>
      </c>
      <c r="V2078" s="79" t="str">
        <f>IF(ISERROR(FIND('112'!$M$9,G2078,1)),"",IF((AND(RIGHT(G2078,2)=RIGHT('112'!$M$9,2),B2078&lt;'112'!$K$9,$O2078='112'!$I$6)),"x",""))</f>
        <v/>
      </c>
      <c r="W2078" s="79" t="str">
        <f>IF(AND('341-CT'!$H$9=H2078,OR(LEFT(N2078,3)=$W$7,LEFT(O2078,3)=$W$7)),"x","")</f>
        <v/>
      </c>
      <c r="X2078" s="79" t="str">
        <f>IF(OR(TH!N2078=TH!$X$7,O2078=TH!$X$7),"x","")</f>
        <v/>
      </c>
      <c r="Y2078" s="79" t="str">
        <f>IF(AND(OR(N2078="131",O2078="131"),H2078='131-CT'!$H$9),"x","")</f>
        <v/>
      </c>
      <c r="Z2078" s="79"/>
      <c r="AA2078" s="79" t="str">
        <f>IF(AND(MONTH(E2078)='IN-NX'!$J$5,'IN-NX'!$D$7=D2078),"x","")</f>
        <v/>
      </c>
      <c r="AB2078" s="79" t="str">
        <f>IF(AND(OR(LEFT(TH!N2078,2)="15",LEFT(TH!O2078,2)="15"),LEFT(TH!O2078,3)&lt;&gt;"111",'152-CT'!$J$8=TH!F2078),"x","")</f>
        <v/>
      </c>
      <c r="AC2078" s="79" t="str">
        <f>IF(AND(OR(LEFT(TH!N2078,2)="15",LEFT(TH!O2078,2)="15"),TK!$E$7=TH!F2078),"x","")</f>
        <v/>
      </c>
      <c r="AD2078" s="79" t="str">
        <f>IF(AND(N2078="1521",MONTH(C2078)='BK-NL'!$M$11),"x","")</f>
        <v/>
      </c>
    </row>
    <row r="2079" spans="1:30" ht="16.5" customHeight="1">
      <c r="A2079" s="318" t="str">
        <f>IF(B2079&lt;&gt;"",IF(AND(B2079='IN-TC'!$S$4,OR(TH!N2079="1111",TH!O2079="1111")),TH!D2079,""),"")</f>
        <v/>
      </c>
      <c r="B2079" s="60" t="str">
        <f t="shared" si="234"/>
        <v/>
      </c>
      <c r="C2079" s="981"/>
      <c r="D2079" s="301"/>
      <c r="E2079" s="981"/>
      <c r="F2079" s="1133"/>
      <c r="G2079" s="1130"/>
      <c r="H2079" s="982"/>
      <c r="I2079" s="984"/>
      <c r="J2079" s="983"/>
      <c r="K2079" s="984"/>
      <c r="L2079" s="983"/>
      <c r="M2079" s="985"/>
      <c r="N2079" s="986"/>
      <c r="O2079" s="986"/>
      <c r="P2079" s="79" t="str">
        <f>IF(AND('331-CT'!$E$7=TH!H2079,OR(N2079="331",O2079="331")),"x","")</f>
        <v/>
      </c>
      <c r="Q2079" s="79" t="str">
        <f>IF(AND(B2079='111'!$L$11,OR($N2079=$Q$7,$O2079=$Q$7)),"x","")</f>
        <v/>
      </c>
      <c r="R2079" s="79" t="str">
        <f>IF(AND($N2079=$Q$7,$B2079&lt;'111'!$L$11),"x","")</f>
        <v/>
      </c>
      <c r="S2079" s="79" t="str">
        <f>IF(AND($O2079=$Q$7,$B2079&lt;'111'!$L$11),"x","")</f>
        <v/>
      </c>
      <c r="T2079" s="79" t="str">
        <f>IF(ISERROR(FIND('112'!$M$9,G2079,1)),"",IF((AND(FIND('112'!$M$9,G2079,1)&gt;=1,B2079='112'!$K$9,OR($N2079='112'!$I$6,$O2079='112'!$I$6))),"x",""))</f>
        <v/>
      </c>
      <c r="U2079" s="79" t="str">
        <f>IF(ISERROR(FIND('112'!$M$9,G2079,1)),"",IF((AND(LEFT(G2079,2)=LEFT('112'!$M$9,2),B2079&lt;'112'!$K$9,$N2079='112'!$I$6)),"x",""))</f>
        <v/>
      </c>
      <c r="V2079" s="79" t="str">
        <f>IF(ISERROR(FIND('112'!$M$9,G2079,1)),"",IF((AND(RIGHT(G2079,2)=RIGHT('112'!$M$9,2),B2079&lt;'112'!$K$9,$O2079='112'!$I$6)),"x",""))</f>
        <v/>
      </c>
      <c r="W2079" s="79" t="str">
        <f>IF(AND('341-CT'!$H$9=H2079,OR(LEFT(N2079,3)=$W$7,LEFT(O2079,3)=$W$7)),"x","")</f>
        <v/>
      </c>
      <c r="X2079" s="79" t="str">
        <f>IF(OR(TH!N2079=TH!$X$7,O2079=TH!$X$7),"x","")</f>
        <v/>
      </c>
      <c r="Y2079" s="79" t="str">
        <f>IF(AND(OR(N2079="131",O2079="131"),H2079='131-CT'!$H$9),"x","")</f>
        <v/>
      </c>
      <c r="Z2079" s="79"/>
      <c r="AA2079" s="79" t="str">
        <f>IF(AND(MONTH(E2079)='IN-NX'!$J$5,'IN-NX'!$D$7=D2079),"x","")</f>
        <v/>
      </c>
      <c r="AB2079" s="79" t="str">
        <f>IF(AND(OR(LEFT(TH!N2079,2)="15",LEFT(TH!O2079,2)="15"),LEFT(TH!O2079,3)&lt;&gt;"111",'152-CT'!$J$8=TH!F2079),"x","")</f>
        <v/>
      </c>
      <c r="AC2079" s="79" t="str">
        <f>IF(AND(OR(LEFT(TH!N2079,2)="15",LEFT(TH!O2079,2)="15"),TK!$E$7=TH!F2079),"x","")</f>
        <v/>
      </c>
      <c r="AD2079" s="79" t="str">
        <f>IF(AND(N2079="1521",MONTH(C2079)='BK-NL'!$M$11),"x","")</f>
        <v/>
      </c>
    </row>
    <row r="2080" spans="1:30" ht="16.5" customHeight="1">
      <c r="A2080" s="318" t="str">
        <f>IF(B2080&lt;&gt;"",IF(AND(B2080='IN-TC'!$S$4,OR(TH!N2080="1111",TH!O2080="1111")),TH!D2080,""),"")</f>
        <v/>
      </c>
      <c r="B2080" s="60" t="str">
        <f t="shared" si="234"/>
        <v/>
      </c>
      <c r="C2080" s="981"/>
      <c r="D2080" s="301"/>
      <c r="E2080" s="981"/>
      <c r="F2080" s="1133"/>
      <c r="G2080" s="1130"/>
      <c r="H2080" s="982"/>
      <c r="I2080" s="984"/>
      <c r="J2080" s="983"/>
      <c r="K2080" s="984"/>
      <c r="L2080" s="983"/>
      <c r="M2080" s="985"/>
      <c r="N2080" s="986"/>
      <c r="O2080" s="986"/>
      <c r="P2080" s="79" t="str">
        <f>IF(AND('331-CT'!$E$7=TH!H2080,OR(N2080="331",O2080="331")),"x","")</f>
        <v/>
      </c>
      <c r="Q2080" s="79" t="str">
        <f>IF(AND(B2080='111'!$L$11,OR($N2080=$Q$7,$O2080=$Q$7)),"x","")</f>
        <v/>
      </c>
      <c r="R2080" s="79" t="str">
        <f>IF(AND($N2080=$Q$7,$B2080&lt;'111'!$L$11),"x","")</f>
        <v/>
      </c>
      <c r="S2080" s="79" t="str">
        <f>IF(AND($O2080=$Q$7,$B2080&lt;'111'!$L$11),"x","")</f>
        <v/>
      </c>
      <c r="T2080" s="79" t="str">
        <f>IF(ISERROR(FIND('112'!$M$9,G2080,1)),"",IF((AND(FIND('112'!$M$9,G2080,1)&gt;=1,B2080='112'!$K$9,OR($N2080='112'!$I$6,$O2080='112'!$I$6))),"x",""))</f>
        <v/>
      </c>
      <c r="U2080" s="79" t="str">
        <f>IF(ISERROR(FIND('112'!$M$9,G2080,1)),"",IF((AND(LEFT(G2080,2)=LEFT('112'!$M$9,2),B2080&lt;'112'!$K$9,$N2080='112'!$I$6)),"x",""))</f>
        <v/>
      </c>
      <c r="V2080" s="79" t="str">
        <f>IF(ISERROR(FIND('112'!$M$9,G2080,1)),"",IF((AND(RIGHT(G2080,2)=RIGHT('112'!$M$9,2),B2080&lt;'112'!$K$9,$O2080='112'!$I$6)),"x",""))</f>
        <v/>
      </c>
      <c r="W2080" s="79" t="str">
        <f>IF(AND('341-CT'!$H$9=H2080,OR(LEFT(N2080,3)=$W$7,LEFT(O2080,3)=$W$7)),"x","")</f>
        <v/>
      </c>
      <c r="X2080" s="79" t="str">
        <f>IF(OR(TH!N2080=TH!$X$7,O2080=TH!$X$7),"x","")</f>
        <v/>
      </c>
      <c r="Y2080" s="79" t="str">
        <f>IF(AND(OR(N2080="131",O2080="131"),H2080='131-CT'!$H$9),"x","")</f>
        <v/>
      </c>
      <c r="Z2080" s="79"/>
      <c r="AA2080" s="79" t="str">
        <f>IF(AND(MONTH(E2080)='IN-NX'!$J$5,'IN-NX'!$D$7=D2080),"x","")</f>
        <v/>
      </c>
      <c r="AB2080" s="79" t="str">
        <f>IF(AND(OR(LEFT(TH!N2080,2)="15",LEFT(TH!O2080,2)="15"),LEFT(TH!O2080,3)&lt;&gt;"111",'152-CT'!$J$8=TH!F2080),"x","")</f>
        <v/>
      </c>
      <c r="AC2080" s="79" t="str">
        <f>IF(AND(OR(LEFT(TH!N2080,2)="15",LEFT(TH!O2080,2)="15"),TK!$E$7=TH!F2080),"x","")</f>
        <v/>
      </c>
      <c r="AD2080" s="79" t="str">
        <f>IF(AND(N2080="1521",MONTH(C2080)='BK-NL'!$M$11),"x","")</f>
        <v/>
      </c>
    </row>
    <row r="2081" spans="1:30" ht="16.5" customHeight="1">
      <c r="A2081" s="318" t="str">
        <f>IF(B2081&lt;&gt;"",IF(AND(B2081='IN-TC'!$S$4,OR(TH!N2081="1111",TH!O2081="1111")),TH!D2081,""),"")</f>
        <v/>
      </c>
      <c r="B2081" s="60" t="str">
        <f t="shared" si="234"/>
        <v/>
      </c>
      <c r="C2081" s="974"/>
      <c r="D2081" s="301"/>
      <c r="E2081" s="974"/>
      <c r="F2081" s="1161"/>
      <c r="G2081" s="976"/>
      <c r="H2081" s="305"/>
      <c r="I2081" s="383"/>
      <c r="J2081" s="977"/>
      <c r="K2081" s="383"/>
      <c r="L2081" s="390"/>
      <c r="M2081" s="978"/>
      <c r="N2081" s="979"/>
      <c r="O2081" s="979"/>
      <c r="P2081" s="79" t="str">
        <f>IF(AND('331-CT'!$E$7=TH!H2081,OR(N2081="331",O2081="331")),"x","")</f>
        <v/>
      </c>
      <c r="Q2081" s="79" t="str">
        <f>IF(AND(B2081='111'!$L$11,OR($N2081=$Q$7,$O2081=$Q$7)),"x","")</f>
        <v/>
      </c>
      <c r="R2081" s="79" t="str">
        <f>IF(AND($N2081=$Q$7,$B2081&lt;'111'!$L$11),"x","")</f>
        <v/>
      </c>
      <c r="S2081" s="79" t="str">
        <f>IF(AND($O2081=$Q$7,$B2081&lt;'111'!$L$11),"x","")</f>
        <v/>
      </c>
      <c r="T2081" s="79" t="str">
        <f>IF(ISERROR(FIND('112'!$M$9,G2081,1)),"",IF((AND(FIND('112'!$M$9,G2081,1)&gt;=1,B2081='112'!$K$9,OR($N2081='112'!$I$6,$O2081='112'!$I$6))),"x",""))</f>
        <v/>
      </c>
      <c r="U2081" s="79" t="str">
        <f>IF(ISERROR(FIND('112'!$M$9,G2081,1)),"",IF((AND(LEFT(G2081,2)=LEFT('112'!$M$9,2),B2081&lt;'112'!$K$9,$N2081='112'!$I$6)),"x",""))</f>
        <v/>
      </c>
      <c r="V2081" s="79" t="str">
        <f>IF(ISERROR(FIND('112'!$M$9,G2081,1)),"",IF((AND(RIGHT(G2081,2)=RIGHT('112'!$M$9,2),B2081&lt;'112'!$K$9,$O2081='112'!$I$6)),"x",""))</f>
        <v/>
      </c>
      <c r="W2081" s="79" t="str">
        <f>IF(AND('341-CT'!$H$9=H2081,OR(LEFT(N2081,3)=$W$7,LEFT(O2081,3)=$W$7)),"x","")</f>
        <v/>
      </c>
      <c r="X2081" s="79" t="str">
        <f>IF(OR(TH!N2081=TH!$X$7,O2081=TH!$X$7),"x","")</f>
        <v/>
      </c>
      <c r="Y2081" s="79" t="str">
        <f>IF(AND(OR(N2081="131",O2081="131"),H2081='131-CT'!$H$9),"x","")</f>
        <v/>
      </c>
      <c r="Z2081" s="79"/>
      <c r="AA2081" s="79" t="str">
        <f>IF(AND(MONTH(E2081)='IN-NX'!$J$5,'IN-NX'!$D$7=D2081),"x","")</f>
        <v/>
      </c>
      <c r="AB2081" s="79" t="str">
        <f>IF(AND(OR(LEFT(TH!N2081,2)="15",LEFT(TH!O2081,2)="15"),LEFT(TH!O2081,3)&lt;&gt;"111",'152-CT'!$J$8=TH!F2081),"x","")</f>
        <v/>
      </c>
      <c r="AC2081" s="79" t="str">
        <f>IF(AND(OR(LEFT(TH!N2081,2)="15",LEFT(TH!O2081,2)="15"),TK!$E$7=TH!F2081),"x","")</f>
        <v/>
      </c>
      <c r="AD2081" s="79" t="str">
        <f>IF(AND(N2081="1521",MONTH(C2081)='BK-NL'!$M$11),"x","")</f>
        <v/>
      </c>
    </row>
    <row r="2082" spans="1:30" ht="16.5" customHeight="1">
      <c r="A2082" s="318" t="str">
        <f>IF(B2082&lt;&gt;"",IF(AND(B2082='IN-TC'!$S$4,OR(TH!N2082="1111",TH!O2082="1111")),TH!D2082,""),"")</f>
        <v/>
      </c>
      <c r="B2082" s="60" t="str">
        <f t="shared" si="234"/>
        <v/>
      </c>
      <c r="C2082" s="301"/>
      <c r="D2082" s="301"/>
      <c r="E2082" s="301"/>
      <c r="F2082" s="1160"/>
      <c r="G2082" s="968"/>
      <c r="H2082" s="69"/>
      <c r="I2082" s="385"/>
      <c r="J2082" s="969"/>
      <c r="K2082" s="385"/>
      <c r="L2082" s="392"/>
      <c r="M2082" s="970"/>
      <c r="N2082" s="304"/>
      <c r="O2082" s="304"/>
      <c r="P2082" s="79" t="str">
        <f>IF(AND('331-CT'!$E$7=TH!H2082,OR(N2082="331",O2082="331")),"x","")</f>
        <v/>
      </c>
      <c r="Q2082" s="79" t="str">
        <f>IF(AND(B2082='111'!$L$11,OR($N2082=$Q$7,$O2082=$Q$7)),"x","")</f>
        <v/>
      </c>
      <c r="R2082" s="79" t="str">
        <f>IF(AND($N2082=$Q$7,$B2082&lt;'111'!$L$11),"x","")</f>
        <v/>
      </c>
      <c r="S2082" s="79" t="str">
        <f>IF(AND($O2082=$Q$7,$B2082&lt;'111'!$L$11),"x","")</f>
        <v/>
      </c>
      <c r="T2082" s="79" t="str">
        <f>IF(ISERROR(FIND('112'!$M$9,G2082,1)),"",IF((AND(FIND('112'!$M$9,G2082,1)&gt;=1,B2082='112'!$K$9,OR($N2082='112'!$I$6,$O2082='112'!$I$6))),"x",""))</f>
        <v/>
      </c>
      <c r="U2082" s="79" t="str">
        <f>IF(ISERROR(FIND('112'!$M$9,G2082,1)),"",IF((AND(LEFT(G2082,2)=LEFT('112'!$M$9,2),B2082&lt;'112'!$K$9,$N2082='112'!$I$6)),"x",""))</f>
        <v/>
      </c>
      <c r="V2082" s="79" t="str">
        <f>IF(ISERROR(FIND('112'!$M$9,G2082,1)),"",IF((AND(RIGHT(G2082,2)=RIGHT('112'!$M$9,2),B2082&lt;'112'!$K$9,$O2082='112'!$I$6)),"x",""))</f>
        <v/>
      </c>
      <c r="W2082" s="79" t="str">
        <f>IF(AND('341-CT'!$H$9=H2082,OR(LEFT(N2082,3)=$W$7,LEFT(O2082,3)=$W$7)),"x","")</f>
        <v/>
      </c>
      <c r="X2082" s="79" t="str">
        <f>IF(OR(TH!N2082=TH!$X$7,O2082=TH!$X$7),"x","")</f>
        <v/>
      </c>
      <c r="Y2082" s="79" t="str">
        <f>IF(AND(OR(N2082="131",O2082="131"),H2082='131-CT'!$H$9),"x","")</f>
        <v/>
      </c>
      <c r="Z2082" s="79"/>
      <c r="AA2082" s="79" t="str">
        <f>IF(AND(MONTH(E2082)='IN-NX'!$J$5,'IN-NX'!$D$7=D2082),"x","")</f>
        <v/>
      </c>
      <c r="AB2082" s="79" t="str">
        <f>IF(AND(OR(LEFT(TH!N2082,2)="15",LEFT(TH!O2082,2)="15"),LEFT(TH!O2082,3)&lt;&gt;"111",'152-CT'!$J$8=TH!F2082),"x","")</f>
        <v/>
      </c>
      <c r="AC2082" s="79" t="str">
        <f>IF(AND(OR(LEFT(TH!N2082,2)="15",LEFT(TH!O2082,2)="15"),TK!$E$7=TH!F2082),"x","")</f>
        <v/>
      </c>
      <c r="AD2082" s="79" t="str">
        <f>IF(AND(N2082="1521",MONTH(C2082)='BK-NL'!$M$11),"x","")</f>
        <v/>
      </c>
    </row>
    <row r="2083" spans="1:30" ht="16.5" customHeight="1">
      <c r="A2083" s="318" t="str">
        <f>IF(B2083&lt;&gt;"",IF(AND(B2083='IN-TC'!$S$4,OR(TH!N2083="1111",TH!O2083="1111")),TH!D2083,""),"")</f>
        <v/>
      </c>
      <c r="B2083" s="60" t="str">
        <f t="shared" si="234"/>
        <v/>
      </c>
      <c r="C2083" s="301"/>
      <c r="D2083" s="301"/>
      <c r="E2083" s="301"/>
      <c r="F2083" s="1160"/>
      <c r="G2083" s="968"/>
      <c r="H2083" s="69"/>
      <c r="I2083" s="385"/>
      <c r="J2083" s="969"/>
      <c r="K2083" s="385"/>
      <c r="L2083" s="392"/>
      <c r="M2083" s="970"/>
      <c r="N2083" s="304"/>
      <c r="O2083" s="304"/>
      <c r="P2083" s="79" t="str">
        <f>IF(AND('331-CT'!$E$7=TH!H2083,OR(N2083="331",O2083="331")),"x","")</f>
        <v/>
      </c>
      <c r="Q2083" s="79" t="str">
        <f>IF(AND(B2083='111'!$L$11,OR($N2083=$Q$7,$O2083=$Q$7)),"x","")</f>
        <v/>
      </c>
      <c r="R2083" s="79" t="str">
        <f>IF(AND($N2083=$Q$7,$B2083&lt;'111'!$L$11),"x","")</f>
        <v/>
      </c>
      <c r="S2083" s="79" t="str">
        <f>IF(AND($O2083=$Q$7,$B2083&lt;'111'!$L$11),"x","")</f>
        <v/>
      </c>
      <c r="T2083" s="79" t="str">
        <f>IF(ISERROR(FIND('112'!$M$9,G2083,1)),"",IF((AND(FIND('112'!$M$9,G2083,1)&gt;=1,B2083='112'!$K$9,OR($N2083='112'!$I$6,$O2083='112'!$I$6))),"x",""))</f>
        <v/>
      </c>
      <c r="U2083" s="79" t="str">
        <f>IF(ISERROR(FIND('112'!$M$9,G2083,1)),"",IF((AND(LEFT(G2083,2)=LEFT('112'!$M$9,2),B2083&lt;'112'!$K$9,$N2083='112'!$I$6)),"x",""))</f>
        <v/>
      </c>
      <c r="V2083" s="79" t="str">
        <f>IF(ISERROR(FIND('112'!$M$9,G2083,1)),"",IF((AND(RIGHT(G2083,2)=RIGHT('112'!$M$9,2),B2083&lt;'112'!$K$9,$O2083='112'!$I$6)),"x",""))</f>
        <v/>
      </c>
      <c r="W2083" s="79" t="str">
        <f>IF(AND('341-CT'!$H$9=H2083,OR(LEFT(N2083,3)=$W$7,LEFT(O2083,3)=$W$7)),"x","")</f>
        <v/>
      </c>
      <c r="X2083" s="79" t="str">
        <f>IF(OR(TH!N2083=TH!$X$7,O2083=TH!$X$7),"x","")</f>
        <v/>
      </c>
      <c r="Y2083" s="79" t="str">
        <f>IF(AND(OR(N2083="131",O2083="131"),H2083='131-CT'!$H$9),"x","")</f>
        <v/>
      </c>
      <c r="Z2083" s="79"/>
      <c r="AA2083" s="79" t="str">
        <f>IF(AND(MONTH(E2083)='IN-NX'!$J$5,'IN-NX'!$D$7=D2083),"x","")</f>
        <v/>
      </c>
      <c r="AB2083" s="79" t="str">
        <f>IF(AND(OR(LEFT(TH!N2083,2)="15",LEFT(TH!O2083,2)="15"),LEFT(TH!O2083,3)&lt;&gt;"111",'152-CT'!$J$8=TH!F2083),"x","")</f>
        <v/>
      </c>
      <c r="AC2083" s="79" t="str">
        <f>IF(AND(OR(LEFT(TH!N2083,2)="15",LEFT(TH!O2083,2)="15"),TK!$E$7=TH!F2083),"x","")</f>
        <v/>
      </c>
      <c r="AD2083" s="79" t="str">
        <f>IF(AND(N2083="1521",MONTH(C2083)='BK-NL'!$M$11),"x","")</f>
        <v/>
      </c>
    </row>
    <row r="2084" spans="1:30" ht="16.5" customHeight="1">
      <c r="A2084" s="318" t="str">
        <f>IF(B2084&lt;&gt;"",IF(AND(B2084='IN-TC'!$S$4,OR(TH!N2084="1111",TH!O2084="1111")),TH!D2084,""),"")</f>
        <v/>
      </c>
      <c r="B2084" s="60" t="str">
        <f t="shared" si="234"/>
        <v/>
      </c>
      <c r="C2084" s="981"/>
      <c r="D2084" s="301"/>
      <c r="E2084" s="981"/>
      <c r="F2084" s="1133"/>
      <c r="G2084" s="1130"/>
      <c r="H2084" s="982"/>
      <c r="I2084" s="984"/>
      <c r="J2084" s="983"/>
      <c r="K2084" s="984"/>
      <c r="L2084" s="983"/>
      <c r="M2084" s="985"/>
      <c r="N2084" s="986"/>
      <c r="O2084" s="986"/>
      <c r="P2084" s="79" t="str">
        <f>IF(AND('331-CT'!$E$7=TH!H2084,OR(N2084="331",O2084="331")),"x","")</f>
        <v/>
      </c>
      <c r="Q2084" s="79" t="str">
        <f>IF(AND(B2084='111'!$L$11,OR($N2084=$Q$7,$O2084=$Q$7)),"x","")</f>
        <v/>
      </c>
      <c r="R2084" s="79" t="str">
        <f>IF(AND($N2084=$Q$7,$B2084&lt;'111'!$L$11),"x","")</f>
        <v/>
      </c>
      <c r="S2084" s="79" t="str">
        <f>IF(AND($O2084=$Q$7,$B2084&lt;'111'!$L$11),"x","")</f>
        <v/>
      </c>
      <c r="T2084" s="79" t="str">
        <f>IF(ISERROR(FIND('112'!$M$9,G2084,1)),"",IF((AND(FIND('112'!$M$9,G2084,1)&gt;=1,B2084='112'!$K$9,OR($N2084='112'!$I$6,$O2084='112'!$I$6))),"x",""))</f>
        <v/>
      </c>
      <c r="U2084" s="79" t="str">
        <f>IF(ISERROR(FIND('112'!$M$9,G2084,1)),"",IF((AND(LEFT(G2084,2)=LEFT('112'!$M$9,2),B2084&lt;'112'!$K$9,$N2084='112'!$I$6)),"x",""))</f>
        <v/>
      </c>
      <c r="V2084" s="79" t="str">
        <f>IF(ISERROR(FIND('112'!$M$9,G2084,1)),"",IF((AND(RIGHT(G2084,2)=RIGHT('112'!$M$9,2),B2084&lt;'112'!$K$9,$O2084='112'!$I$6)),"x",""))</f>
        <v/>
      </c>
      <c r="W2084" s="79" t="str">
        <f>IF(AND('341-CT'!$H$9=H2084,OR(LEFT(N2084,3)=$W$7,LEFT(O2084,3)=$W$7)),"x","")</f>
        <v/>
      </c>
      <c r="X2084" s="79" t="str">
        <f>IF(OR(TH!N2084=TH!$X$7,O2084=TH!$X$7),"x","")</f>
        <v/>
      </c>
      <c r="Y2084" s="79" t="str">
        <f>IF(AND(OR(N2084="131",O2084="131"),H2084='131-CT'!$H$9),"x","")</f>
        <v/>
      </c>
      <c r="Z2084" s="79"/>
      <c r="AA2084" s="79" t="str">
        <f>IF(AND(MONTH(E2084)='IN-NX'!$J$5,'IN-NX'!$D$7=D2084),"x","")</f>
        <v/>
      </c>
      <c r="AB2084" s="79" t="str">
        <f>IF(AND(OR(LEFT(TH!N2084,2)="15",LEFT(TH!O2084,2)="15"),LEFT(TH!O2084,3)&lt;&gt;"111",'152-CT'!$J$8=TH!F2084),"x","")</f>
        <v/>
      </c>
      <c r="AC2084" s="79" t="str">
        <f>IF(AND(OR(LEFT(TH!N2084,2)="15",LEFT(TH!O2084,2)="15"),TK!$E$7=TH!F2084),"x","")</f>
        <v/>
      </c>
      <c r="AD2084" s="79" t="str">
        <f>IF(AND(N2084="1521",MONTH(C2084)='BK-NL'!$M$11),"x","")</f>
        <v/>
      </c>
    </row>
    <row r="2085" spans="1:30" ht="16.5" customHeight="1">
      <c r="A2085" s="318" t="str">
        <f>IF(B2085&lt;&gt;"",IF(AND(B2085='IN-TC'!$S$4,OR(TH!N2085="1111",TH!O2085="1111")),TH!D2085,""),"")</f>
        <v/>
      </c>
      <c r="B2085" s="60" t="str">
        <f t="shared" si="234"/>
        <v/>
      </c>
      <c r="C2085" s="981"/>
      <c r="D2085" s="301"/>
      <c r="E2085" s="981"/>
      <c r="F2085" s="1133"/>
      <c r="G2085" s="1130"/>
      <c r="H2085" s="982"/>
      <c r="I2085" s="984"/>
      <c r="J2085" s="983"/>
      <c r="K2085" s="984"/>
      <c r="L2085" s="983"/>
      <c r="M2085" s="985"/>
      <c r="N2085" s="986"/>
      <c r="O2085" s="986"/>
      <c r="P2085" s="79" t="str">
        <f>IF(AND('331-CT'!$E$7=TH!H2085,OR(N2085="331",O2085="331")),"x","")</f>
        <v/>
      </c>
      <c r="Q2085" s="79" t="str">
        <f>IF(AND(B2085='111'!$L$11,OR($N2085=$Q$7,$O2085=$Q$7)),"x","")</f>
        <v/>
      </c>
      <c r="R2085" s="79" t="str">
        <f>IF(AND($N2085=$Q$7,$B2085&lt;'111'!$L$11),"x","")</f>
        <v/>
      </c>
      <c r="S2085" s="79" t="str">
        <f>IF(AND($O2085=$Q$7,$B2085&lt;'111'!$L$11),"x","")</f>
        <v/>
      </c>
      <c r="T2085" s="79" t="str">
        <f>IF(ISERROR(FIND('112'!$M$9,G2085,1)),"",IF((AND(FIND('112'!$M$9,G2085,1)&gt;=1,B2085='112'!$K$9,OR($N2085='112'!$I$6,$O2085='112'!$I$6))),"x",""))</f>
        <v/>
      </c>
      <c r="U2085" s="79" t="str">
        <f>IF(ISERROR(FIND('112'!$M$9,G2085,1)),"",IF((AND(LEFT(G2085,2)=LEFT('112'!$M$9,2),B2085&lt;'112'!$K$9,$N2085='112'!$I$6)),"x",""))</f>
        <v/>
      </c>
      <c r="V2085" s="79" t="str">
        <f>IF(ISERROR(FIND('112'!$M$9,G2085,1)),"",IF((AND(RIGHT(G2085,2)=RIGHT('112'!$M$9,2),B2085&lt;'112'!$K$9,$O2085='112'!$I$6)),"x",""))</f>
        <v/>
      </c>
      <c r="W2085" s="79" t="str">
        <f>IF(AND('341-CT'!$H$9=H2085,OR(LEFT(N2085,3)=$W$7,LEFT(O2085,3)=$W$7)),"x","")</f>
        <v/>
      </c>
      <c r="X2085" s="79" t="str">
        <f>IF(OR(TH!N2085=TH!$X$7,O2085=TH!$X$7),"x","")</f>
        <v/>
      </c>
      <c r="Y2085" s="79" t="str">
        <f>IF(AND(OR(N2085="131",O2085="131"),H2085='131-CT'!$H$9),"x","")</f>
        <v/>
      </c>
      <c r="Z2085" s="79"/>
      <c r="AA2085" s="79" t="str">
        <f>IF(AND(MONTH(E2085)='IN-NX'!$J$5,'IN-NX'!$D$7=D2085),"x","")</f>
        <v/>
      </c>
      <c r="AB2085" s="79" t="str">
        <f>IF(AND(OR(LEFT(TH!N2085,2)="15",LEFT(TH!O2085,2)="15"),LEFT(TH!O2085,3)&lt;&gt;"111",'152-CT'!$J$8=TH!F2085),"x","")</f>
        <v/>
      </c>
      <c r="AC2085" s="79" t="str">
        <f>IF(AND(OR(LEFT(TH!N2085,2)="15",LEFT(TH!O2085,2)="15"),TK!$E$7=TH!F2085),"x","")</f>
        <v/>
      </c>
      <c r="AD2085" s="79" t="str">
        <f>IF(AND(N2085="1521",MONTH(C2085)='BK-NL'!$M$11),"x","")</f>
        <v/>
      </c>
    </row>
    <row r="2086" spans="1:30" ht="16.5" customHeight="1">
      <c r="A2086" s="318" t="str">
        <f>IF(B2086&lt;&gt;"",IF(AND(B2086='IN-TC'!$S$4,OR(TH!N2086="1111",TH!O2086="1111")),TH!D2086,""),"")</f>
        <v/>
      </c>
      <c r="B2086" s="60" t="str">
        <f t="shared" si="234"/>
        <v/>
      </c>
      <c r="C2086" s="974"/>
      <c r="D2086" s="301"/>
      <c r="E2086" s="974"/>
      <c r="F2086" s="1161"/>
      <c r="G2086" s="976"/>
      <c r="H2086" s="305"/>
      <c r="I2086" s="383"/>
      <c r="J2086" s="977"/>
      <c r="K2086" s="383"/>
      <c r="L2086" s="390"/>
      <c r="M2086" s="978"/>
      <c r="N2086" s="979"/>
      <c r="O2086" s="979"/>
      <c r="P2086" s="79" t="str">
        <f>IF(AND('331-CT'!$E$7=TH!H2086,OR(N2086="331",O2086="331")),"x","")</f>
        <v/>
      </c>
      <c r="Q2086" s="79" t="str">
        <f>IF(AND(B2086='111'!$L$11,OR($N2086=$Q$7,$O2086=$Q$7)),"x","")</f>
        <v/>
      </c>
      <c r="R2086" s="79" t="str">
        <f>IF(AND($N2086=$Q$7,$B2086&lt;'111'!$L$11),"x","")</f>
        <v/>
      </c>
      <c r="S2086" s="79" t="str">
        <f>IF(AND($O2086=$Q$7,$B2086&lt;'111'!$L$11),"x","")</f>
        <v/>
      </c>
      <c r="T2086" s="79" t="str">
        <f>IF(ISERROR(FIND('112'!$M$9,G2086,1)),"",IF((AND(FIND('112'!$M$9,G2086,1)&gt;=1,B2086='112'!$K$9,OR($N2086='112'!$I$6,$O2086='112'!$I$6))),"x",""))</f>
        <v/>
      </c>
      <c r="U2086" s="79" t="str">
        <f>IF(ISERROR(FIND('112'!$M$9,G2086,1)),"",IF((AND(LEFT(G2086,2)=LEFT('112'!$M$9,2),B2086&lt;'112'!$K$9,$N2086='112'!$I$6)),"x",""))</f>
        <v/>
      </c>
      <c r="V2086" s="79" t="str">
        <f>IF(ISERROR(FIND('112'!$M$9,G2086,1)),"",IF((AND(RIGHT(G2086,2)=RIGHT('112'!$M$9,2),B2086&lt;'112'!$K$9,$O2086='112'!$I$6)),"x",""))</f>
        <v/>
      </c>
      <c r="W2086" s="79" t="str">
        <f>IF(AND('341-CT'!$H$9=H2086,OR(LEFT(N2086,3)=$W$7,LEFT(O2086,3)=$W$7)),"x","")</f>
        <v/>
      </c>
      <c r="X2086" s="79" t="str">
        <f>IF(OR(TH!N2086=TH!$X$7,O2086=TH!$X$7),"x","")</f>
        <v/>
      </c>
      <c r="Y2086" s="79" t="str">
        <f>IF(AND(OR(N2086="131",O2086="131"),H2086='131-CT'!$H$9),"x","")</f>
        <v/>
      </c>
      <c r="Z2086" s="79"/>
      <c r="AA2086" s="79" t="str">
        <f>IF(AND(MONTH(E2086)='IN-NX'!$J$5,'IN-NX'!$D$7=D2086),"x","")</f>
        <v/>
      </c>
      <c r="AB2086" s="79" t="str">
        <f>IF(AND(OR(LEFT(TH!N2086,2)="15",LEFT(TH!O2086,2)="15"),LEFT(TH!O2086,3)&lt;&gt;"111",'152-CT'!$J$8=TH!F2086),"x","")</f>
        <v/>
      </c>
      <c r="AC2086" s="79" t="str">
        <f>IF(AND(OR(LEFT(TH!N2086,2)="15",LEFT(TH!O2086,2)="15"),TK!$E$7=TH!F2086),"x","")</f>
        <v/>
      </c>
      <c r="AD2086" s="79" t="str">
        <f>IF(AND(N2086="1521",MONTH(C2086)='BK-NL'!$M$11),"x","")</f>
        <v/>
      </c>
    </row>
    <row r="2087" spans="1:30" ht="16.5" customHeight="1">
      <c r="A2087" s="318" t="str">
        <f>IF(B2087&lt;&gt;"",IF(AND(B2087='IN-TC'!$S$4,OR(TH!N2087="1111",TH!O2087="1111")),TH!D2087,""),"")</f>
        <v/>
      </c>
      <c r="B2087" s="60" t="str">
        <f t="shared" si="234"/>
        <v/>
      </c>
      <c r="C2087" s="301"/>
      <c r="D2087" s="301"/>
      <c r="E2087" s="301"/>
      <c r="F2087" s="1160"/>
      <c r="G2087" s="968"/>
      <c r="H2087" s="69"/>
      <c r="I2087" s="385"/>
      <c r="J2087" s="969"/>
      <c r="K2087" s="385"/>
      <c r="L2087" s="392"/>
      <c r="M2087" s="970"/>
      <c r="N2087" s="304"/>
      <c r="O2087" s="304"/>
      <c r="P2087" s="79" t="str">
        <f>IF(AND('331-CT'!$E$7=TH!H2087,OR(N2087="331",O2087="331")),"x","")</f>
        <v/>
      </c>
      <c r="Q2087" s="79" t="str">
        <f>IF(AND(B2087='111'!$L$11,OR($N2087=$Q$7,$O2087=$Q$7)),"x","")</f>
        <v/>
      </c>
      <c r="R2087" s="79" t="str">
        <f>IF(AND($N2087=$Q$7,$B2087&lt;'111'!$L$11),"x","")</f>
        <v/>
      </c>
      <c r="S2087" s="79" t="str">
        <f>IF(AND($O2087=$Q$7,$B2087&lt;'111'!$L$11),"x","")</f>
        <v/>
      </c>
      <c r="T2087" s="79" t="str">
        <f>IF(ISERROR(FIND('112'!$M$9,G2087,1)),"",IF((AND(FIND('112'!$M$9,G2087,1)&gt;=1,B2087='112'!$K$9,OR($N2087='112'!$I$6,$O2087='112'!$I$6))),"x",""))</f>
        <v/>
      </c>
      <c r="U2087" s="79" t="str">
        <f>IF(ISERROR(FIND('112'!$M$9,G2087,1)),"",IF((AND(LEFT(G2087,2)=LEFT('112'!$M$9,2),B2087&lt;'112'!$K$9,$N2087='112'!$I$6)),"x",""))</f>
        <v/>
      </c>
      <c r="V2087" s="79" t="str">
        <f>IF(ISERROR(FIND('112'!$M$9,G2087,1)),"",IF((AND(RIGHT(G2087,2)=RIGHT('112'!$M$9,2),B2087&lt;'112'!$K$9,$O2087='112'!$I$6)),"x",""))</f>
        <v/>
      </c>
      <c r="W2087" s="79" t="str">
        <f>IF(AND('341-CT'!$H$9=H2087,OR(LEFT(N2087,3)=$W$7,LEFT(O2087,3)=$W$7)),"x","")</f>
        <v/>
      </c>
      <c r="X2087" s="79" t="str">
        <f>IF(OR(TH!N2087=TH!$X$7,O2087=TH!$X$7),"x","")</f>
        <v/>
      </c>
      <c r="Y2087" s="79" t="str">
        <f>IF(AND(OR(N2087="131",O2087="131"),H2087='131-CT'!$H$9),"x","")</f>
        <v/>
      </c>
      <c r="Z2087" s="79"/>
      <c r="AA2087" s="79" t="str">
        <f>IF(AND(MONTH(E2087)='IN-NX'!$J$5,'IN-NX'!$D$7=D2087),"x","")</f>
        <v/>
      </c>
      <c r="AB2087" s="79" t="str">
        <f>IF(AND(OR(LEFT(TH!N2087,2)="15",LEFT(TH!O2087,2)="15"),LEFT(TH!O2087,3)&lt;&gt;"111",'152-CT'!$J$8=TH!F2087),"x","")</f>
        <v/>
      </c>
      <c r="AC2087" s="79" t="str">
        <f>IF(AND(OR(LEFT(TH!N2087,2)="15",LEFT(TH!O2087,2)="15"),TK!$E$7=TH!F2087),"x","")</f>
        <v/>
      </c>
      <c r="AD2087" s="79" t="str">
        <f>IF(AND(N2087="1521",MONTH(C2087)='BK-NL'!$M$11),"x","")</f>
        <v/>
      </c>
    </row>
    <row r="2088" spans="1:30" ht="16.5" customHeight="1">
      <c r="A2088" s="318" t="str">
        <f>IF(B2088&lt;&gt;"",IF(AND(B2088='IN-TC'!$S$4,OR(TH!N2088="1111",TH!O2088="1111")),TH!D2088,""),"")</f>
        <v/>
      </c>
      <c r="B2088" s="60" t="str">
        <f t="shared" si="234"/>
        <v/>
      </c>
      <c r="C2088" s="301"/>
      <c r="D2088" s="301"/>
      <c r="E2088" s="301"/>
      <c r="F2088" s="302"/>
      <c r="G2088" s="968"/>
      <c r="H2088" s="69"/>
      <c r="I2088" s="385"/>
      <c r="J2088" s="969"/>
      <c r="K2088" s="385"/>
      <c r="L2088" s="392"/>
      <c r="M2088" s="970"/>
      <c r="N2088" s="304"/>
      <c r="O2088" s="304"/>
      <c r="P2088" s="79" t="str">
        <f>IF(AND('331-CT'!$E$7=TH!H2088,OR(N2088="331",O2088="331")),"x","")</f>
        <v/>
      </c>
      <c r="Q2088" s="79" t="str">
        <f>IF(AND(B2088='111'!$L$11,OR($N2088=$Q$7,$O2088=$Q$7)),"x","")</f>
        <v/>
      </c>
      <c r="R2088" s="79" t="str">
        <f>IF(AND($N2088=$Q$7,$B2088&lt;'111'!$L$11),"x","")</f>
        <v/>
      </c>
      <c r="S2088" s="79" t="str">
        <f>IF(AND($O2088=$Q$7,$B2088&lt;'111'!$L$11),"x","")</f>
        <v/>
      </c>
      <c r="T2088" s="79" t="str">
        <f>IF(ISERROR(FIND('112'!$M$9,G2088,1)),"",IF((AND(FIND('112'!$M$9,G2088,1)&gt;=1,B2088='112'!$K$9,OR($N2088='112'!$I$6,$O2088='112'!$I$6))),"x",""))</f>
        <v/>
      </c>
      <c r="U2088" s="79" t="str">
        <f>IF(ISERROR(FIND('112'!$M$9,G2088,1)),"",IF((AND(LEFT(G2088,2)=LEFT('112'!$M$9,2),B2088&lt;'112'!$K$9,$N2088='112'!$I$6)),"x",""))</f>
        <v/>
      </c>
      <c r="V2088" s="79" t="str">
        <f>IF(ISERROR(FIND('112'!$M$9,G2088,1)),"",IF((AND(RIGHT(G2088,2)=RIGHT('112'!$M$9,2),B2088&lt;'112'!$K$9,$O2088='112'!$I$6)),"x",""))</f>
        <v/>
      </c>
      <c r="W2088" s="79" t="str">
        <f>IF(AND('341-CT'!$H$9=H2088,OR(LEFT(N2088,3)=$W$7,LEFT(O2088,3)=$W$7)),"x","")</f>
        <v/>
      </c>
      <c r="X2088" s="79" t="str">
        <f>IF(OR(TH!N2088=TH!$X$7,O2088=TH!$X$7),"x","")</f>
        <v/>
      </c>
      <c r="Y2088" s="79" t="str">
        <f>IF(AND(OR(N2088="131",O2088="131"),H2088='131-CT'!$H$9),"x","")</f>
        <v/>
      </c>
      <c r="Z2088" s="79"/>
      <c r="AA2088" s="79" t="str">
        <f>IF(AND(MONTH(E2088)='IN-NX'!$J$5,'IN-NX'!$D$7=D2088),"x","")</f>
        <v/>
      </c>
      <c r="AB2088" s="79" t="str">
        <f>IF(AND(OR(LEFT(TH!N2088,2)="15",LEFT(TH!O2088,2)="15"),LEFT(TH!O2088,3)&lt;&gt;"111",'152-CT'!$J$8=TH!F2088),"x","")</f>
        <v/>
      </c>
      <c r="AC2088" s="79" t="str">
        <f>IF(AND(OR(LEFT(TH!N2088,2)="15",LEFT(TH!O2088,2)="15"),TK!$E$7=TH!F2088),"x","")</f>
        <v/>
      </c>
      <c r="AD2088" s="79" t="str">
        <f>IF(AND(N2088="1521",MONTH(C2088)='BK-NL'!$M$11),"x","")</f>
        <v/>
      </c>
    </row>
    <row r="2089" spans="1:30" ht="16.5" customHeight="1">
      <c r="A2089" s="318" t="str">
        <f>IF(B2089&lt;&gt;"",IF(AND(B2089='IN-TC'!$S$4,OR(TH!N2089="1111",TH!O2089="1111")),TH!D2089,""),"")</f>
        <v/>
      </c>
      <c r="B2089" s="60" t="str">
        <f t="shared" si="234"/>
        <v/>
      </c>
      <c r="C2089" s="981"/>
      <c r="D2089" s="301"/>
      <c r="E2089" s="981"/>
      <c r="F2089" s="999"/>
      <c r="G2089" s="1130"/>
      <c r="H2089" s="982"/>
      <c r="I2089" s="984"/>
      <c r="J2089" s="983"/>
      <c r="K2089" s="984"/>
      <c r="L2089" s="983"/>
      <c r="M2089" s="985"/>
      <c r="N2089" s="986"/>
      <c r="O2089" s="986"/>
      <c r="P2089" s="79" t="str">
        <f>IF(AND('331-CT'!$E$7=TH!H2089,OR(N2089="331",O2089="331")),"x","")</f>
        <v/>
      </c>
      <c r="Q2089" s="79" t="str">
        <f>IF(AND(B2089='111'!$L$11,OR($N2089=$Q$7,$O2089=$Q$7)),"x","")</f>
        <v/>
      </c>
      <c r="R2089" s="79" t="str">
        <f>IF(AND($N2089=$Q$7,$B2089&lt;'111'!$L$11),"x","")</f>
        <v/>
      </c>
      <c r="S2089" s="79" t="str">
        <f>IF(AND($O2089=$Q$7,$B2089&lt;'111'!$L$11),"x","")</f>
        <v/>
      </c>
      <c r="T2089" s="79" t="str">
        <f>IF(ISERROR(FIND('112'!$M$9,G2089,1)),"",IF((AND(FIND('112'!$M$9,G2089,1)&gt;=1,B2089='112'!$K$9,OR($N2089='112'!$I$6,$O2089='112'!$I$6))),"x",""))</f>
        <v/>
      </c>
      <c r="U2089" s="79" t="str">
        <f>IF(ISERROR(FIND('112'!$M$9,G2089,1)),"",IF((AND(LEFT(G2089,2)=LEFT('112'!$M$9,2),B2089&lt;'112'!$K$9,$N2089='112'!$I$6)),"x",""))</f>
        <v/>
      </c>
      <c r="V2089" s="79" t="str">
        <f>IF(ISERROR(FIND('112'!$M$9,G2089,1)),"",IF((AND(RIGHT(G2089,2)=RIGHT('112'!$M$9,2),B2089&lt;'112'!$K$9,$O2089='112'!$I$6)),"x",""))</f>
        <v/>
      </c>
      <c r="W2089" s="79" t="str">
        <f>IF(AND('341-CT'!$H$9=H2089,OR(LEFT(N2089,3)=$W$7,LEFT(O2089,3)=$W$7)),"x","")</f>
        <v/>
      </c>
      <c r="X2089" s="79" t="str">
        <f>IF(OR(TH!N2089=TH!$X$7,O2089=TH!$X$7),"x","")</f>
        <v/>
      </c>
      <c r="Y2089" s="79" t="str">
        <f>IF(AND(OR(N2089="131",O2089="131"),H2089='131-CT'!$H$9),"x","")</f>
        <v/>
      </c>
      <c r="Z2089" s="79"/>
      <c r="AA2089" s="79" t="str">
        <f>IF(AND(MONTH(E2089)='IN-NX'!$J$5,'IN-NX'!$D$7=D2089),"x","")</f>
        <v/>
      </c>
      <c r="AB2089" s="79" t="str">
        <f>IF(AND(OR(LEFT(TH!N2089,2)="15",LEFT(TH!O2089,2)="15"),LEFT(TH!O2089,3)&lt;&gt;"111",'152-CT'!$J$8=TH!F2089),"x","")</f>
        <v/>
      </c>
      <c r="AC2089" s="79" t="str">
        <f>IF(AND(OR(LEFT(TH!N2089,2)="15",LEFT(TH!O2089,2)="15"),TK!$E$7=TH!F2089),"x","")</f>
        <v/>
      </c>
      <c r="AD2089" s="79" t="str">
        <f>IF(AND(N2089="1521",MONTH(C2089)='BK-NL'!$M$11),"x","")</f>
        <v/>
      </c>
    </row>
    <row r="2090" spans="1:30" ht="16.5" customHeight="1">
      <c r="A2090" s="318" t="str">
        <f>IF(B2090&lt;&gt;"",IF(AND(B2090='IN-TC'!$S$4,OR(TH!N2090="1111",TH!O2090="1111")),TH!D2090,""),"")</f>
        <v/>
      </c>
      <c r="B2090" s="60" t="str">
        <f t="shared" si="234"/>
        <v/>
      </c>
      <c r="C2090" s="981"/>
      <c r="D2090" s="301"/>
      <c r="E2090" s="981"/>
      <c r="F2090" s="999"/>
      <c r="G2090" s="1130"/>
      <c r="H2090" s="982"/>
      <c r="I2090" s="984"/>
      <c r="J2090" s="983"/>
      <c r="K2090" s="984"/>
      <c r="L2090" s="983"/>
      <c r="M2090" s="985"/>
      <c r="N2090" s="986"/>
      <c r="O2090" s="986"/>
      <c r="P2090" s="79" t="str">
        <f>IF(AND('331-CT'!$E$7=TH!H2090,OR(N2090="331",O2090="331")),"x","")</f>
        <v/>
      </c>
      <c r="Q2090" s="79" t="str">
        <f>IF(AND(B2090='111'!$L$11,OR($N2090=$Q$7,$O2090=$Q$7)),"x","")</f>
        <v/>
      </c>
      <c r="R2090" s="79" t="str">
        <f>IF(AND($N2090=$Q$7,$B2090&lt;'111'!$L$11),"x","")</f>
        <v/>
      </c>
      <c r="S2090" s="79" t="str">
        <f>IF(AND($O2090=$Q$7,$B2090&lt;'111'!$L$11),"x","")</f>
        <v/>
      </c>
      <c r="T2090" s="79" t="str">
        <f>IF(ISERROR(FIND('112'!$M$9,G2090,1)),"",IF((AND(FIND('112'!$M$9,G2090,1)&gt;=1,B2090='112'!$K$9,OR($N2090='112'!$I$6,$O2090='112'!$I$6))),"x",""))</f>
        <v/>
      </c>
      <c r="U2090" s="79" t="str">
        <f>IF(ISERROR(FIND('112'!$M$9,G2090,1)),"",IF((AND(LEFT(G2090,2)=LEFT('112'!$M$9,2),B2090&lt;'112'!$K$9,$N2090='112'!$I$6)),"x",""))</f>
        <v/>
      </c>
      <c r="V2090" s="79" t="str">
        <f>IF(ISERROR(FIND('112'!$M$9,G2090,1)),"",IF((AND(RIGHT(G2090,2)=RIGHT('112'!$M$9,2),B2090&lt;'112'!$K$9,$O2090='112'!$I$6)),"x",""))</f>
        <v/>
      </c>
      <c r="W2090" s="79" t="str">
        <f>IF(AND('341-CT'!$H$9=H2090,OR(LEFT(N2090,3)=$W$7,LEFT(O2090,3)=$W$7)),"x","")</f>
        <v/>
      </c>
      <c r="X2090" s="79" t="str">
        <f>IF(OR(TH!N2090=TH!$X$7,O2090=TH!$X$7),"x","")</f>
        <v/>
      </c>
      <c r="Y2090" s="79" t="str">
        <f>IF(AND(OR(N2090="131",O2090="131"),H2090='131-CT'!$H$9),"x","")</f>
        <v/>
      </c>
      <c r="Z2090" s="79"/>
      <c r="AA2090" s="79" t="str">
        <f>IF(AND(MONTH(E2090)='IN-NX'!$J$5,'IN-NX'!$D$7=D2090),"x","")</f>
        <v/>
      </c>
      <c r="AB2090" s="79" t="str">
        <f>IF(AND(OR(LEFT(TH!N2090,2)="15",LEFT(TH!O2090,2)="15"),LEFT(TH!O2090,3)&lt;&gt;"111",'152-CT'!$J$8=TH!F2090),"x","")</f>
        <v/>
      </c>
      <c r="AC2090" s="79" t="str">
        <f>IF(AND(OR(LEFT(TH!N2090,2)="15",LEFT(TH!O2090,2)="15"),TK!$E$7=TH!F2090),"x","")</f>
        <v/>
      </c>
      <c r="AD2090" s="79" t="str">
        <f>IF(AND(N2090="1521",MONTH(C2090)='BK-NL'!$M$11),"x","")</f>
        <v/>
      </c>
    </row>
    <row r="2091" spans="1:30" ht="16.5" customHeight="1">
      <c r="A2091" s="318" t="str">
        <f>IF(B2091&lt;&gt;"",IF(AND(B2091='IN-TC'!$S$4,OR(TH!N2091="1111",TH!O2091="1111")),TH!D2091,""),"")</f>
        <v/>
      </c>
      <c r="B2091" s="60" t="str">
        <f t="shared" si="234"/>
        <v/>
      </c>
      <c r="C2091" s="301"/>
      <c r="D2091" s="301"/>
      <c r="E2091" s="301"/>
      <c r="F2091" s="392"/>
      <c r="G2091" s="968"/>
      <c r="H2091" s="321"/>
      <c r="I2091" s="385"/>
      <c r="J2091" s="969"/>
      <c r="K2091" s="385"/>
      <c r="L2091" s="392"/>
      <c r="M2091" s="970"/>
      <c r="N2091" s="304"/>
      <c r="O2091" s="304"/>
      <c r="P2091" s="79" t="str">
        <f>IF(AND('331-CT'!$E$7=TH!H2091,OR(N2091="331",O2091="331")),"x","")</f>
        <v/>
      </c>
      <c r="Q2091" s="79" t="str">
        <f>IF(AND(B2091='111'!$L$11,OR($N2091=$Q$7,$O2091=$Q$7)),"x","")</f>
        <v/>
      </c>
      <c r="R2091" s="79" t="str">
        <f>IF(AND($N2091=$Q$7,$B2091&lt;'111'!$L$11),"x","")</f>
        <v/>
      </c>
      <c r="S2091" s="79" t="str">
        <f>IF(AND($O2091=$Q$7,$B2091&lt;'111'!$L$11),"x","")</f>
        <v/>
      </c>
      <c r="T2091" s="79" t="str">
        <f>IF(ISERROR(FIND('112'!$M$9,G2091,1)),"",IF((AND(FIND('112'!$M$9,G2091,1)&gt;=1,B2091='112'!$K$9,OR($N2091='112'!$I$6,$O2091='112'!$I$6))),"x",""))</f>
        <v/>
      </c>
      <c r="U2091" s="79" t="str">
        <f>IF(ISERROR(FIND('112'!$M$9,G2091,1)),"",IF((AND(LEFT(G2091,2)=LEFT('112'!$M$9,2),B2091&lt;'112'!$K$9,$N2091='112'!$I$6)),"x",""))</f>
        <v/>
      </c>
      <c r="V2091" s="79" t="str">
        <f>IF(ISERROR(FIND('112'!$M$9,G2091,1)),"",IF((AND(RIGHT(G2091,2)=RIGHT('112'!$M$9,2),B2091&lt;'112'!$K$9,$O2091='112'!$I$6)),"x",""))</f>
        <v/>
      </c>
      <c r="W2091" s="79" t="str">
        <f>IF(AND('341-CT'!$H$9=H2091,OR(LEFT(N2091,3)=$W$7,LEFT(O2091,3)=$W$7)),"x","")</f>
        <v/>
      </c>
      <c r="X2091" s="79" t="str">
        <f>IF(OR(TH!N2091=TH!$X$7,O2091=TH!$X$7),"x","")</f>
        <v/>
      </c>
      <c r="Y2091" s="79" t="str">
        <f>IF(AND(OR(N2091="131",O2091="131"),H2091='131-CT'!$H$9),"x","")</f>
        <v/>
      </c>
      <c r="Z2091" s="79"/>
      <c r="AA2091" s="79" t="str">
        <f>IF(AND(MONTH(E2091)='IN-NX'!$J$5,'IN-NX'!$D$7=D2091),"x","")</f>
        <v/>
      </c>
      <c r="AB2091" s="79" t="str">
        <f>IF(AND(OR(LEFT(TH!N2091,2)="15",LEFT(TH!O2091,2)="15"),LEFT(TH!O2091,3)&lt;&gt;"111",'152-CT'!$J$8=TH!F2091),"x","")</f>
        <v/>
      </c>
      <c r="AC2091" s="79" t="str">
        <f>IF(AND(OR(LEFT(TH!N2091,2)="15",LEFT(TH!O2091,2)="15"),TK!$E$7=TH!F2091),"x","")</f>
        <v/>
      </c>
      <c r="AD2091" s="79" t="str">
        <f>IF(AND(N2091="1521",MONTH(C2091)='BK-NL'!$M$11),"x","")</f>
        <v/>
      </c>
    </row>
    <row r="2092" spans="1:30" ht="16.5" customHeight="1">
      <c r="A2092" s="318" t="str">
        <f>IF(B2092&lt;&gt;"",IF(AND(B2092='IN-TC'!$S$4,OR(TH!N2092="1111",TH!O2092="1111")),TH!D2092,""),"")</f>
        <v/>
      </c>
      <c r="B2092" s="60" t="str">
        <f t="shared" si="234"/>
        <v/>
      </c>
      <c r="C2092" s="301"/>
      <c r="D2092" s="301"/>
      <c r="E2092" s="301"/>
      <c r="F2092" s="392"/>
      <c r="G2092" s="968"/>
      <c r="H2092" s="321"/>
      <c r="I2092" s="385"/>
      <c r="J2092" s="969"/>
      <c r="K2092" s="385"/>
      <c r="L2092" s="392"/>
      <c r="M2092" s="970"/>
      <c r="N2092" s="304"/>
      <c r="O2092" s="304"/>
      <c r="P2092" s="79" t="str">
        <f>IF(AND('331-CT'!$E$7=TH!H2092,OR(N2092="331",O2092="331")),"x","")</f>
        <v/>
      </c>
      <c r="Q2092" s="79" t="str">
        <f>IF(AND(B2092='111'!$L$11,OR($N2092=$Q$7,$O2092=$Q$7)),"x","")</f>
        <v/>
      </c>
      <c r="R2092" s="79" t="str">
        <f>IF(AND($N2092=$Q$7,$B2092&lt;'111'!$L$11),"x","")</f>
        <v/>
      </c>
      <c r="S2092" s="79" t="str">
        <f>IF(AND($O2092=$Q$7,$B2092&lt;'111'!$L$11),"x","")</f>
        <v/>
      </c>
      <c r="T2092" s="79" t="str">
        <f>IF(ISERROR(FIND('112'!$M$9,G2092,1)),"",IF((AND(FIND('112'!$M$9,G2092,1)&gt;=1,B2092='112'!$K$9,OR($N2092='112'!$I$6,$O2092='112'!$I$6))),"x",""))</f>
        <v/>
      </c>
      <c r="U2092" s="79" t="str">
        <f>IF(ISERROR(FIND('112'!$M$9,G2092,1)),"",IF((AND(LEFT(G2092,2)=LEFT('112'!$M$9,2),B2092&lt;'112'!$K$9,$N2092='112'!$I$6)),"x",""))</f>
        <v/>
      </c>
      <c r="V2092" s="79" t="str">
        <f>IF(ISERROR(FIND('112'!$M$9,G2092,1)),"",IF((AND(RIGHT(G2092,2)=RIGHT('112'!$M$9,2),B2092&lt;'112'!$K$9,$O2092='112'!$I$6)),"x",""))</f>
        <v/>
      </c>
      <c r="W2092" s="79" t="str">
        <f>IF(AND('341-CT'!$H$9=H2092,OR(LEFT(N2092,3)=$W$7,LEFT(O2092,3)=$W$7)),"x","")</f>
        <v/>
      </c>
      <c r="X2092" s="79" t="str">
        <f>IF(OR(TH!N2092=TH!$X$7,O2092=TH!$X$7),"x","")</f>
        <v/>
      </c>
      <c r="Y2092" s="79" t="str">
        <f>IF(AND(OR(N2092="131",O2092="131"),H2092='131-CT'!$H$9),"x","")</f>
        <v/>
      </c>
      <c r="Z2092" s="79"/>
      <c r="AA2092" s="79" t="str">
        <f>IF(AND(MONTH(E2092)='IN-NX'!$J$5,'IN-NX'!$D$7=D2092),"x","")</f>
        <v/>
      </c>
      <c r="AB2092" s="79" t="str">
        <f>IF(AND(OR(LEFT(TH!N2092,2)="15",LEFT(TH!O2092,2)="15"),LEFT(TH!O2092,3)&lt;&gt;"111",'152-CT'!$J$8=TH!F2092),"x","")</f>
        <v/>
      </c>
      <c r="AC2092" s="79" t="str">
        <f>IF(AND(OR(LEFT(TH!N2092,2)="15",LEFT(TH!O2092,2)="15"),TK!$E$7=TH!F2092),"x","")</f>
        <v/>
      </c>
      <c r="AD2092" s="79" t="str">
        <f>IF(AND(N2092="1521",MONTH(C2092)='BK-NL'!$M$11),"x","")</f>
        <v/>
      </c>
    </row>
    <row r="2093" spans="1:30" ht="16.5" customHeight="1">
      <c r="A2093" s="318" t="str">
        <f>IF(B2093&lt;&gt;"",IF(AND(B2093='IN-TC'!$S$4,OR(TH!N2093="1111",TH!O2093="1111")),TH!D2093,""),"")</f>
        <v/>
      </c>
      <c r="B2093" s="60" t="str">
        <f t="shared" si="234"/>
        <v/>
      </c>
      <c r="C2093" s="301"/>
      <c r="D2093" s="301"/>
      <c r="E2093" s="301"/>
      <c r="F2093" s="392"/>
      <c r="G2093" s="968"/>
      <c r="H2093" s="321"/>
      <c r="I2093" s="385"/>
      <c r="J2093" s="969"/>
      <c r="K2093" s="385"/>
      <c r="L2093" s="392"/>
      <c r="M2093" s="970"/>
      <c r="N2093" s="304"/>
      <c r="O2093" s="304"/>
      <c r="P2093" s="79" t="str">
        <f>IF(AND('331-CT'!$E$7=TH!H2093,OR(N2093="331",O2093="331")),"x","")</f>
        <v/>
      </c>
      <c r="Q2093" s="79" t="str">
        <f>IF(AND(B2093='111'!$L$11,OR($N2093=$Q$7,$O2093=$Q$7)),"x","")</f>
        <v/>
      </c>
      <c r="R2093" s="79" t="str">
        <f>IF(AND($N2093=$Q$7,$B2093&lt;'111'!$L$11),"x","")</f>
        <v/>
      </c>
      <c r="S2093" s="79" t="str">
        <f>IF(AND($O2093=$Q$7,$B2093&lt;'111'!$L$11),"x","")</f>
        <v/>
      </c>
      <c r="T2093" s="79" t="str">
        <f>IF(ISERROR(FIND('112'!$M$9,G2093,1)),"",IF((AND(FIND('112'!$M$9,G2093,1)&gt;=1,B2093='112'!$K$9,OR($N2093='112'!$I$6,$O2093='112'!$I$6))),"x",""))</f>
        <v/>
      </c>
      <c r="U2093" s="79" t="str">
        <f>IF(ISERROR(FIND('112'!$M$9,G2093,1)),"",IF((AND(LEFT(G2093,2)=LEFT('112'!$M$9,2),B2093&lt;'112'!$K$9,$N2093='112'!$I$6)),"x",""))</f>
        <v/>
      </c>
      <c r="V2093" s="79" t="str">
        <f>IF(ISERROR(FIND('112'!$M$9,G2093,1)),"",IF((AND(RIGHT(G2093,2)=RIGHT('112'!$M$9,2),B2093&lt;'112'!$K$9,$O2093='112'!$I$6)),"x",""))</f>
        <v/>
      </c>
      <c r="W2093" s="79" t="str">
        <f>IF(AND('341-CT'!$H$9=H2093,OR(LEFT(N2093,3)=$W$7,LEFT(O2093,3)=$W$7)),"x","")</f>
        <v/>
      </c>
      <c r="X2093" s="79" t="str">
        <f>IF(OR(TH!N2093=TH!$X$7,O2093=TH!$X$7),"x","")</f>
        <v/>
      </c>
      <c r="Y2093" s="79" t="str">
        <f>IF(AND(OR(N2093="131",O2093="131"),H2093='131-CT'!$H$9),"x","")</f>
        <v/>
      </c>
      <c r="Z2093" s="79"/>
      <c r="AA2093" s="79" t="str">
        <f>IF(AND(MONTH(E2093)='IN-NX'!$J$5,'IN-NX'!$D$7=D2093),"x","")</f>
        <v/>
      </c>
      <c r="AB2093" s="79" t="str">
        <f>IF(AND(OR(LEFT(TH!N2093,2)="15",LEFT(TH!O2093,2)="15"),LEFT(TH!O2093,3)&lt;&gt;"111",'152-CT'!$J$8=TH!F2093),"x","")</f>
        <v/>
      </c>
      <c r="AC2093" s="79" t="str">
        <f>IF(AND(OR(LEFT(TH!N2093,2)="15",LEFT(TH!O2093,2)="15"),TK!$E$7=TH!F2093),"x","")</f>
        <v/>
      </c>
      <c r="AD2093" s="79" t="str">
        <f>IF(AND(N2093="1521",MONTH(C2093)='BK-NL'!$M$11),"x","")</f>
        <v/>
      </c>
    </row>
    <row r="2094" spans="1:30" ht="16.5" customHeight="1">
      <c r="A2094" s="318" t="str">
        <f>IF(B2094&lt;&gt;"",IF(AND(B2094='IN-TC'!$S$4,OR(TH!N2094="1111",TH!O2094="1111")),TH!D2094,""),"")</f>
        <v/>
      </c>
      <c r="B2094" s="60" t="str">
        <f t="shared" si="234"/>
        <v/>
      </c>
      <c r="C2094" s="301"/>
      <c r="D2094" s="301"/>
      <c r="E2094" s="301"/>
      <c r="F2094" s="392"/>
      <c r="G2094" s="968"/>
      <c r="H2094" s="321"/>
      <c r="I2094" s="385"/>
      <c r="J2094" s="969"/>
      <c r="K2094" s="385"/>
      <c r="L2094" s="392"/>
      <c r="M2094" s="970"/>
      <c r="N2094" s="304"/>
      <c r="O2094" s="304"/>
      <c r="P2094" s="79" t="str">
        <f>IF(AND('331-CT'!$E$7=TH!H2094,OR(N2094="331",O2094="331")),"x","")</f>
        <v/>
      </c>
      <c r="Q2094" s="79" t="str">
        <f>IF(AND(B2094='111'!$L$11,OR($N2094=$Q$7,$O2094=$Q$7)),"x","")</f>
        <v/>
      </c>
      <c r="R2094" s="79" t="str">
        <f>IF(AND($N2094=$Q$7,$B2094&lt;'111'!$L$11),"x","")</f>
        <v/>
      </c>
      <c r="S2094" s="79" t="str">
        <f>IF(AND($O2094=$Q$7,$B2094&lt;'111'!$L$11),"x","")</f>
        <v/>
      </c>
      <c r="T2094" s="79" t="str">
        <f>IF(ISERROR(FIND('112'!$M$9,G2094,1)),"",IF((AND(FIND('112'!$M$9,G2094,1)&gt;=1,B2094='112'!$K$9,OR($N2094='112'!$I$6,$O2094='112'!$I$6))),"x",""))</f>
        <v/>
      </c>
      <c r="U2094" s="79" t="str">
        <f>IF(ISERROR(FIND('112'!$M$9,G2094,1)),"",IF((AND(LEFT(G2094,2)=LEFT('112'!$M$9,2),B2094&lt;'112'!$K$9,$N2094='112'!$I$6)),"x",""))</f>
        <v/>
      </c>
      <c r="V2094" s="79" t="str">
        <f>IF(ISERROR(FIND('112'!$M$9,G2094,1)),"",IF((AND(RIGHT(G2094,2)=RIGHT('112'!$M$9,2),B2094&lt;'112'!$K$9,$O2094='112'!$I$6)),"x",""))</f>
        <v/>
      </c>
      <c r="W2094" s="79" t="str">
        <f>IF(AND('341-CT'!$H$9=H2094,OR(LEFT(N2094,3)=$W$7,LEFT(O2094,3)=$W$7)),"x","")</f>
        <v/>
      </c>
      <c r="X2094" s="79" t="str">
        <f>IF(OR(TH!N2094=TH!$X$7,O2094=TH!$X$7),"x","")</f>
        <v/>
      </c>
      <c r="Y2094" s="79" t="str">
        <f>IF(AND(OR(N2094="131",O2094="131"),H2094='131-CT'!$H$9),"x","")</f>
        <v/>
      </c>
      <c r="Z2094" s="79"/>
      <c r="AA2094" s="79" t="str">
        <f>IF(AND(MONTH(E2094)='IN-NX'!$J$5,'IN-NX'!$D$7=D2094),"x","")</f>
        <v/>
      </c>
      <c r="AB2094" s="79" t="str">
        <f>IF(AND(OR(LEFT(TH!N2094,2)="15",LEFT(TH!O2094,2)="15"),LEFT(TH!O2094,3)&lt;&gt;"111",'152-CT'!$J$8=TH!F2094),"x","")</f>
        <v/>
      </c>
      <c r="AC2094" s="79" t="str">
        <f>IF(AND(OR(LEFT(TH!N2094,2)="15",LEFT(TH!O2094,2)="15"),TK!$E$7=TH!F2094),"x","")</f>
        <v/>
      </c>
      <c r="AD2094" s="79" t="str">
        <f>IF(AND(N2094="1521",MONTH(C2094)='BK-NL'!$M$11),"x","")</f>
        <v/>
      </c>
    </row>
    <row r="2095" spans="1:30" ht="16.5" customHeight="1">
      <c r="A2095" s="318" t="str">
        <f>IF(B2095&lt;&gt;"",IF(AND(B2095='IN-TC'!$S$4,OR(TH!N2095="1111",TH!O2095="1111")),TH!D2095,""),"")</f>
        <v/>
      </c>
      <c r="B2095" s="60" t="str">
        <f t="shared" si="234"/>
        <v/>
      </c>
      <c r="C2095" s="301"/>
      <c r="D2095" s="301"/>
      <c r="E2095" s="301"/>
      <c r="F2095" s="392"/>
      <c r="G2095" s="968"/>
      <c r="H2095" s="321"/>
      <c r="I2095" s="385"/>
      <c r="J2095" s="969"/>
      <c r="K2095" s="385"/>
      <c r="L2095" s="392"/>
      <c r="M2095" s="970"/>
      <c r="N2095" s="304"/>
      <c r="O2095" s="304"/>
      <c r="P2095" s="79" t="str">
        <f>IF(AND('331-CT'!$E$7=TH!H2095,OR(N2095="331",O2095="331")),"x","")</f>
        <v/>
      </c>
      <c r="Q2095" s="79" t="str">
        <f>IF(AND(B2095='111'!$L$11,OR($N2095=$Q$7,$O2095=$Q$7)),"x","")</f>
        <v/>
      </c>
      <c r="R2095" s="79" t="str">
        <f>IF(AND($N2095=$Q$7,$B2095&lt;'111'!$L$11),"x","")</f>
        <v/>
      </c>
      <c r="S2095" s="79" t="str">
        <f>IF(AND($O2095=$Q$7,$B2095&lt;'111'!$L$11),"x","")</f>
        <v/>
      </c>
      <c r="T2095" s="79" t="str">
        <f>IF(ISERROR(FIND('112'!$M$9,G2095,1)),"",IF((AND(FIND('112'!$M$9,G2095,1)&gt;=1,B2095='112'!$K$9,OR($N2095='112'!$I$6,$O2095='112'!$I$6))),"x",""))</f>
        <v/>
      </c>
      <c r="U2095" s="79" t="str">
        <f>IF(ISERROR(FIND('112'!$M$9,G2095,1)),"",IF((AND(LEFT(G2095,2)=LEFT('112'!$M$9,2),B2095&lt;'112'!$K$9,$N2095='112'!$I$6)),"x",""))</f>
        <v/>
      </c>
      <c r="V2095" s="79" t="str">
        <f>IF(ISERROR(FIND('112'!$M$9,G2095,1)),"",IF((AND(RIGHT(G2095,2)=RIGHT('112'!$M$9,2),B2095&lt;'112'!$K$9,$O2095='112'!$I$6)),"x",""))</f>
        <v/>
      </c>
      <c r="W2095" s="79" t="str">
        <f>IF(AND('341-CT'!$H$9=H2095,OR(LEFT(N2095,3)=$W$7,LEFT(O2095,3)=$W$7)),"x","")</f>
        <v/>
      </c>
      <c r="X2095" s="79" t="str">
        <f>IF(OR(TH!N2095=TH!$X$7,O2095=TH!$X$7),"x","")</f>
        <v/>
      </c>
      <c r="Y2095" s="79" t="str">
        <f>IF(AND(OR(N2095="131",O2095="131"),H2095='131-CT'!$H$9),"x","")</f>
        <v/>
      </c>
      <c r="Z2095" s="79"/>
      <c r="AA2095" s="79" t="str">
        <f>IF(AND(MONTH(E2095)='IN-NX'!$J$5,'IN-NX'!$D$7=D2095),"x","")</f>
        <v/>
      </c>
      <c r="AB2095" s="79" t="str">
        <f>IF(AND(OR(LEFT(TH!N2095,2)="15",LEFT(TH!O2095,2)="15"),LEFT(TH!O2095,3)&lt;&gt;"111",'152-CT'!$J$8=TH!F2095),"x","")</f>
        <v/>
      </c>
      <c r="AC2095" s="79" t="str">
        <f>IF(AND(OR(LEFT(TH!N2095,2)="15",LEFT(TH!O2095,2)="15"),TK!$E$7=TH!F2095),"x","")</f>
        <v/>
      </c>
      <c r="AD2095" s="79" t="str">
        <f>IF(AND(N2095="1521",MONTH(C2095)='BK-NL'!$M$11),"x","")</f>
        <v/>
      </c>
    </row>
    <row r="2096" spans="1:30" ht="16.5" customHeight="1">
      <c r="A2096" s="318" t="str">
        <f>IF(B2096&lt;&gt;"",IF(AND(B2096='IN-TC'!$S$4,OR(TH!N2096="1111",TH!O2096="1111")),TH!D2096,""),"")</f>
        <v/>
      </c>
      <c r="B2096" s="60" t="str">
        <f t="shared" si="234"/>
        <v/>
      </c>
      <c r="C2096" s="301"/>
      <c r="D2096" s="301"/>
      <c r="E2096" s="301"/>
      <c r="F2096" s="392"/>
      <c r="G2096" s="968"/>
      <c r="H2096" s="321"/>
      <c r="I2096" s="385"/>
      <c r="J2096" s="969"/>
      <c r="K2096" s="385"/>
      <c r="L2096" s="392"/>
      <c r="M2096" s="970"/>
      <c r="N2096" s="304"/>
      <c r="O2096" s="304"/>
      <c r="P2096" s="79" t="str">
        <f>IF(AND('331-CT'!$E$7=TH!H2096,OR(N2096="331",O2096="331")),"x","")</f>
        <v/>
      </c>
      <c r="Q2096" s="79" t="str">
        <f>IF(AND(B2096='111'!$L$11,OR($N2096=$Q$7,$O2096=$Q$7)),"x","")</f>
        <v/>
      </c>
      <c r="R2096" s="79" t="str">
        <f>IF(AND($N2096=$Q$7,$B2096&lt;'111'!$L$11),"x","")</f>
        <v/>
      </c>
      <c r="S2096" s="79" t="str">
        <f>IF(AND($O2096=$Q$7,$B2096&lt;'111'!$L$11),"x","")</f>
        <v/>
      </c>
      <c r="T2096" s="79" t="str">
        <f>IF(ISERROR(FIND('112'!$M$9,G2096,1)),"",IF((AND(FIND('112'!$M$9,G2096,1)&gt;=1,B2096='112'!$K$9,OR($N2096='112'!$I$6,$O2096='112'!$I$6))),"x",""))</f>
        <v/>
      </c>
      <c r="U2096" s="79" t="str">
        <f>IF(ISERROR(FIND('112'!$M$9,G2096,1)),"",IF((AND(LEFT(G2096,2)=LEFT('112'!$M$9,2),B2096&lt;'112'!$K$9,$N2096='112'!$I$6)),"x",""))</f>
        <v/>
      </c>
      <c r="V2096" s="79" t="str">
        <f>IF(ISERROR(FIND('112'!$M$9,G2096,1)),"",IF((AND(RIGHT(G2096,2)=RIGHT('112'!$M$9,2),B2096&lt;'112'!$K$9,$O2096='112'!$I$6)),"x",""))</f>
        <v/>
      </c>
      <c r="W2096" s="79" t="str">
        <f>IF(AND('341-CT'!$H$9=H2096,OR(LEFT(N2096,3)=$W$7,LEFT(O2096,3)=$W$7)),"x","")</f>
        <v/>
      </c>
      <c r="X2096" s="79" t="str">
        <f>IF(OR(TH!N2096=TH!$X$7,O2096=TH!$X$7),"x","")</f>
        <v/>
      </c>
      <c r="Y2096" s="79" t="str">
        <f>IF(AND(OR(N2096="131",O2096="131"),H2096='131-CT'!$H$9),"x","")</f>
        <v/>
      </c>
      <c r="Z2096" s="79"/>
      <c r="AA2096" s="79" t="str">
        <f>IF(AND(MONTH(E2096)='IN-NX'!$J$5,'IN-NX'!$D$7=D2096),"x","")</f>
        <v/>
      </c>
      <c r="AB2096" s="79" t="str">
        <f>IF(AND(OR(LEFT(TH!N2096,2)="15",LEFT(TH!O2096,2)="15"),LEFT(TH!O2096,3)&lt;&gt;"111",'152-CT'!$J$8=TH!F2096),"x","")</f>
        <v/>
      </c>
      <c r="AC2096" s="79" t="str">
        <f>IF(AND(OR(LEFT(TH!N2096,2)="15",LEFT(TH!O2096,2)="15"),TK!$E$7=TH!F2096),"x","")</f>
        <v/>
      </c>
      <c r="AD2096" s="79" t="str">
        <f>IF(AND(N2096="1521",MONTH(C2096)='BK-NL'!$M$11),"x","")</f>
        <v/>
      </c>
    </row>
    <row r="2097" spans="1:30" ht="16.5" customHeight="1">
      <c r="A2097" s="318" t="str">
        <f>IF(B2097&lt;&gt;"",IF(AND(B2097='IN-TC'!$S$4,OR(TH!N2097="1111",TH!O2097="1111")),TH!D2097,""),"")</f>
        <v/>
      </c>
      <c r="B2097" s="60" t="str">
        <f t="shared" si="234"/>
        <v/>
      </c>
      <c r="C2097" s="301"/>
      <c r="D2097" s="301"/>
      <c r="E2097" s="301"/>
      <c r="F2097" s="392"/>
      <c r="G2097" s="968"/>
      <c r="H2097" s="321"/>
      <c r="I2097" s="385"/>
      <c r="J2097" s="969"/>
      <c r="K2097" s="385"/>
      <c r="L2097" s="392"/>
      <c r="M2097" s="970"/>
      <c r="N2097" s="304"/>
      <c r="O2097" s="304"/>
      <c r="P2097" s="79" t="str">
        <f>IF(AND('331-CT'!$E$7=TH!H2097,OR(N2097="331",O2097="331")),"x","")</f>
        <v/>
      </c>
      <c r="Q2097" s="79" t="str">
        <f>IF(AND(B2097='111'!$L$11,OR($N2097=$Q$7,$O2097=$Q$7)),"x","")</f>
        <v/>
      </c>
      <c r="R2097" s="79" t="str">
        <f>IF(AND($N2097=$Q$7,$B2097&lt;'111'!$L$11),"x","")</f>
        <v/>
      </c>
      <c r="S2097" s="79" t="str">
        <f>IF(AND($O2097=$Q$7,$B2097&lt;'111'!$L$11),"x","")</f>
        <v/>
      </c>
      <c r="T2097" s="79" t="str">
        <f>IF(ISERROR(FIND('112'!$M$9,G2097,1)),"",IF((AND(FIND('112'!$M$9,G2097,1)&gt;=1,B2097='112'!$K$9,OR($N2097='112'!$I$6,$O2097='112'!$I$6))),"x",""))</f>
        <v/>
      </c>
      <c r="U2097" s="79" t="str">
        <f>IF(ISERROR(FIND('112'!$M$9,G2097,1)),"",IF((AND(LEFT(G2097,2)=LEFT('112'!$M$9,2),B2097&lt;'112'!$K$9,$N2097='112'!$I$6)),"x",""))</f>
        <v/>
      </c>
      <c r="V2097" s="79" t="str">
        <f>IF(ISERROR(FIND('112'!$M$9,G2097,1)),"",IF((AND(RIGHT(G2097,2)=RIGHT('112'!$M$9,2),B2097&lt;'112'!$K$9,$O2097='112'!$I$6)),"x",""))</f>
        <v/>
      </c>
      <c r="W2097" s="79" t="str">
        <f>IF(AND('341-CT'!$H$9=H2097,OR(LEFT(N2097,3)=$W$7,LEFT(O2097,3)=$W$7)),"x","")</f>
        <v/>
      </c>
      <c r="X2097" s="79" t="str">
        <f>IF(OR(TH!N2097=TH!$X$7,O2097=TH!$X$7),"x","")</f>
        <v/>
      </c>
      <c r="Y2097" s="79" t="str">
        <f>IF(AND(OR(N2097="131",O2097="131"),H2097='131-CT'!$H$9),"x","")</f>
        <v/>
      </c>
      <c r="Z2097" s="79"/>
      <c r="AA2097" s="79" t="str">
        <f>IF(AND(MONTH(E2097)='IN-NX'!$J$5,'IN-NX'!$D$7=D2097),"x","")</f>
        <v/>
      </c>
      <c r="AB2097" s="79" t="str">
        <f>IF(AND(OR(LEFT(TH!N2097,2)="15",LEFT(TH!O2097,2)="15"),LEFT(TH!O2097,3)&lt;&gt;"111",'152-CT'!$J$8=TH!F2097),"x","")</f>
        <v/>
      </c>
      <c r="AC2097" s="79" t="str">
        <f>IF(AND(OR(LEFT(TH!N2097,2)="15",LEFT(TH!O2097,2)="15"),TK!$E$7=TH!F2097),"x","")</f>
        <v/>
      </c>
      <c r="AD2097" s="79" t="str">
        <f>IF(AND(N2097="1521",MONTH(C2097)='BK-NL'!$M$11),"x","")</f>
        <v/>
      </c>
    </row>
    <row r="2098" spans="1:30" ht="16.5" customHeight="1">
      <c r="A2098" s="318" t="str">
        <f>IF(B2098&lt;&gt;"",IF(AND(B2098='IN-TC'!$S$4,OR(TH!N2098="1111",TH!O2098="1111")),TH!D2098,""),"")</f>
        <v/>
      </c>
      <c r="B2098" s="60" t="str">
        <f t="shared" si="234"/>
        <v/>
      </c>
      <c r="C2098" s="301"/>
      <c r="D2098" s="301"/>
      <c r="E2098" s="301"/>
      <c r="F2098" s="392"/>
      <c r="G2098" s="968"/>
      <c r="H2098" s="321"/>
      <c r="I2098" s="385"/>
      <c r="J2098" s="969"/>
      <c r="K2098" s="385"/>
      <c r="L2098" s="392"/>
      <c r="M2098" s="970"/>
      <c r="N2098" s="304"/>
      <c r="O2098" s="304"/>
      <c r="P2098" s="79" t="str">
        <f>IF(AND('331-CT'!$E$7=TH!H2098,OR(N2098="331",O2098="331")),"x","")</f>
        <v/>
      </c>
      <c r="Q2098" s="79" t="str">
        <f>IF(AND(B2098='111'!$L$11,OR($N2098=$Q$7,$O2098=$Q$7)),"x","")</f>
        <v/>
      </c>
      <c r="R2098" s="79" t="str">
        <f>IF(AND($N2098=$Q$7,$B2098&lt;'111'!$L$11),"x","")</f>
        <v/>
      </c>
      <c r="S2098" s="79" t="str">
        <f>IF(AND($O2098=$Q$7,$B2098&lt;'111'!$L$11),"x","")</f>
        <v/>
      </c>
      <c r="T2098" s="79" t="str">
        <f>IF(ISERROR(FIND('112'!$M$9,G2098,1)),"",IF((AND(FIND('112'!$M$9,G2098,1)&gt;=1,B2098='112'!$K$9,OR($N2098='112'!$I$6,$O2098='112'!$I$6))),"x",""))</f>
        <v/>
      </c>
      <c r="U2098" s="79" t="str">
        <f>IF(ISERROR(FIND('112'!$M$9,G2098,1)),"",IF((AND(LEFT(G2098,2)=LEFT('112'!$M$9,2),B2098&lt;'112'!$K$9,$N2098='112'!$I$6)),"x",""))</f>
        <v/>
      </c>
      <c r="V2098" s="79" t="str">
        <f>IF(ISERROR(FIND('112'!$M$9,G2098,1)),"",IF((AND(RIGHT(G2098,2)=RIGHT('112'!$M$9,2),B2098&lt;'112'!$K$9,$O2098='112'!$I$6)),"x",""))</f>
        <v/>
      </c>
      <c r="W2098" s="79" t="str">
        <f>IF(AND('341-CT'!$H$9=H2098,OR(LEFT(N2098,3)=$W$7,LEFT(O2098,3)=$W$7)),"x","")</f>
        <v/>
      </c>
      <c r="X2098" s="79" t="str">
        <f>IF(OR(TH!N2098=TH!$X$7,O2098=TH!$X$7),"x","")</f>
        <v/>
      </c>
      <c r="Y2098" s="79" t="str">
        <f>IF(AND(OR(N2098="131",O2098="131"),H2098='131-CT'!$H$9),"x","")</f>
        <v/>
      </c>
      <c r="Z2098" s="79"/>
      <c r="AA2098" s="79" t="str">
        <f>IF(AND(MONTH(E2098)='IN-NX'!$J$5,'IN-NX'!$D$7=D2098),"x","")</f>
        <v/>
      </c>
      <c r="AB2098" s="79" t="str">
        <f>IF(AND(OR(LEFT(TH!N2098,2)="15",LEFT(TH!O2098,2)="15"),LEFT(TH!O2098,3)&lt;&gt;"111",'152-CT'!$J$8=TH!F2098),"x","")</f>
        <v/>
      </c>
      <c r="AC2098" s="79" t="str">
        <f>IF(AND(OR(LEFT(TH!N2098,2)="15",LEFT(TH!O2098,2)="15"),TK!$E$7=TH!F2098),"x","")</f>
        <v/>
      </c>
      <c r="AD2098" s="79" t="str">
        <f>IF(AND(N2098="1521",MONTH(C2098)='BK-NL'!$M$11),"x","")</f>
        <v/>
      </c>
    </row>
    <row r="2099" spans="1:30" ht="16.5" customHeight="1">
      <c r="A2099" s="318" t="str">
        <f>IF(B2099&lt;&gt;"",IF(AND(B2099='IN-TC'!$S$4,OR(TH!N2099="1111",TH!O2099="1111")),TH!D2099,""),"")</f>
        <v/>
      </c>
      <c r="B2099" s="60" t="str">
        <f t="shared" si="234"/>
        <v/>
      </c>
      <c r="C2099" s="301"/>
      <c r="D2099" s="301"/>
      <c r="E2099" s="301"/>
      <c r="F2099" s="392"/>
      <c r="G2099" s="968"/>
      <c r="H2099" s="321"/>
      <c r="I2099" s="385"/>
      <c r="J2099" s="969"/>
      <c r="K2099" s="385"/>
      <c r="L2099" s="392"/>
      <c r="M2099" s="970"/>
      <c r="N2099" s="304"/>
      <c r="O2099" s="304"/>
      <c r="P2099" s="79" t="str">
        <f>IF(AND('331-CT'!$E$7=TH!H2099,OR(N2099="331",O2099="331")),"x","")</f>
        <v/>
      </c>
      <c r="Q2099" s="79" t="str">
        <f>IF(AND(B2099='111'!$L$11,OR($N2099=$Q$7,$O2099=$Q$7)),"x","")</f>
        <v/>
      </c>
      <c r="R2099" s="79" t="str">
        <f>IF(AND($N2099=$Q$7,$B2099&lt;'111'!$L$11),"x","")</f>
        <v/>
      </c>
      <c r="S2099" s="79" t="str">
        <f>IF(AND($O2099=$Q$7,$B2099&lt;'111'!$L$11),"x","")</f>
        <v/>
      </c>
      <c r="T2099" s="79" t="str">
        <f>IF(ISERROR(FIND('112'!$M$9,G2099,1)),"",IF((AND(FIND('112'!$M$9,G2099,1)&gt;=1,B2099='112'!$K$9,OR($N2099='112'!$I$6,$O2099='112'!$I$6))),"x",""))</f>
        <v/>
      </c>
      <c r="U2099" s="79" t="str">
        <f>IF(ISERROR(FIND('112'!$M$9,G2099,1)),"",IF((AND(LEFT(G2099,2)=LEFT('112'!$M$9,2),B2099&lt;'112'!$K$9,$N2099='112'!$I$6)),"x",""))</f>
        <v/>
      </c>
      <c r="V2099" s="79" t="str">
        <f>IF(ISERROR(FIND('112'!$M$9,G2099,1)),"",IF((AND(RIGHT(G2099,2)=RIGHT('112'!$M$9,2),B2099&lt;'112'!$K$9,$O2099='112'!$I$6)),"x",""))</f>
        <v/>
      </c>
      <c r="W2099" s="79" t="str">
        <f>IF(AND('341-CT'!$H$9=H2099,OR(LEFT(N2099,3)=$W$7,LEFT(O2099,3)=$W$7)),"x","")</f>
        <v/>
      </c>
      <c r="X2099" s="79" t="str">
        <f>IF(OR(TH!N2099=TH!$X$7,O2099=TH!$X$7),"x","")</f>
        <v/>
      </c>
      <c r="Y2099" s="79" t="str">
        <f>IF(AND(OR(N2099="131",O2099="131"),H2099='131-CT'!$H$9),"x","")</f>
        <v/>
      </c>
      <c r="Z2099" s="79"/>
      <c r="AA2099" s="79" t="str">
        <f>IF(AND(MONTH(E2099)='IN-NX'!$J$5,'IN-NX'!$D$7=D2099),"x","")</f>
        <v/>
      </c>
      <c r="AB2099" s="79" t="str">
        <f>IF(AND(OR(LEFT(TH!N2099,2)="15",LEFT(TH!O2099,2)="15"),LEFT(TH!O2099,3)&lt;&gt;"111",'152-CT'!$J$8=TH!F2099),"x","")</f>
        <v/>
      </c>
      <c r="AC2099" s="79" t="str">
        <f>IF(AND(OR(LEFT(TH!N2099,2)="15",LEFT(TH!O2099,2)="15"),TK!$E$7=TH!F2099),"x","")</f>
        <v/>
      </c>
      <c r="AD2099" s="79" t="str">
        <f>IF(AND(N2099="1521",MONTH(C2099)='BK-NL'!$M$11),"x","")</f>
        <v/>
      </c>
    </row>
    <row r="2100" spans="1:30" ht="16.5" customHeight="1">
      <c r="A2100" s="318" t="str">
        <f>IF(B2100&lt;&gt;"",IF(AND(B2100='IN-TC'!$S$4,OR(TH!N2100="1111",TH!O2100="1111")),TH!D2100,""),"")</f>
        <v/>
      </c>
      <c r="B2100" s="60" t="str">
        <f t="shared" si="234"/>
        <v/>
      </c>
      <c r="C2100" s="301"/>
      <c r="D2100" s="301"/>
      <c r="E2100" s="301"/>
      <c r="F2100" s="392"/>
      <c r="G2100" s="968"/>
      <c r="H2100" s="321"/>
      <c r="I2100" s="385"/>
      <c r="J2100" s="969"/>
      <c r="K2100" s="385"/>
      <c r="L2100" s="392"/>
      <c r="M2100" s="970"/>
      <c r="N2100" s="304"/>
      <c r="O2100" s="304"/>
      <c r="P2100" s="79" t="str">
        <f>IF(AND('331-CT'!$E$7=TH!H2100,OR(N2100="331",O2100="331")),"x","")</f>
        <v/>
      </c>
      <c r="Q2100" s="79" t="str">
        <f>IF(AND(B2100='111'!$L$11,OR($N2100=$Q$7,$O2100=$Q$7)),"x","")</f>
        <v/>
      </c>
      <c r="R2100" s="79" t="str">
        <f>IF(AND($N2100=$Q$7,$B2100&lt;'111'!$L$11),"x","")</f>
        <v/>
      </c>
      <c r="S2100" s="79" t="str">
        <f>IF(AND($O2100=$Q$7,$B2100&lt;'111'!$L$11),"x","")</f>
        <v/>
      </c>
      <c r="T2100" s="79" t="str">
        <f>IF(ISERROR(FIND('112'!$M$9,G2100,1)),"",IF((AND(FIND('112'!$M$9,G2100,1)&gt;=1,B2100='112'!$K$9,OR($N2100='112'!$I$6,$O2100='112'!$I$6))),"x",""))</f>
        <v/>
      </c>
      <c r="U2100" s="79" t="str">
        <f>IF(ISERROR(FIND('112'!$M$9,G2100,1)),"",IF((AND(LEFT(G2100,2)=LEFT('112'!$M$9,2),B2100&lt;'112'!$K$9,$N2100='112'!$I$6)),"x",""))</f>
        <v/>
      </c>
      <c r="V2100" s="79" t="str">
        <f>IF(ISERROR(FIND('112'!$M$9,G2100,1)),"",IF((AND(RIGHT(G2100,2)=RIGHT('112'!$M$9,2),B2100&lt;'112'!$K$9,$O2100='112'!$I$6)),"x",""))</f>
        <v/>
      </c>
      <c r="W2100" s="79" t="str">
        <f>IF(AND('341-CT'!$H$9=H2100,OR(LEFT(N2100,3)=$W$7,LEFT(O2100,3)=$W$7)),"x","")</f>
        <v/>
      </c>
      <c r="X2100" s="79" t="str">
        <f>IF(OR(TH!N2100=TH!$X$7,O2100=TH!$X$7),"x","")</f>
        <v/>
      </c>
      <c r="Y2100" s="79" t="str">
        <f>IF(AND(OR(N2100="131",O2100="131"),H2100='131-CT'!$H$9),"x","")</f>
        <v/>
      </c>
      <c r="Z2100" s="79"/>
      <c r="AA2100" s="79" t="str">
        <f>IF(AND(MONTH(E2100)='IN-NX'!$J$5,'IN-NX'!$D$7=D2100),"x","")</f>
        <v/>
      </c>
      <c r="AB2100" s="79" t="str">
        <f>IF(AND(OR(LEFT(TH!N2100,2)="15",LEFT(TH!O2100,2)="15"),LEFT(TH!O2100,3)&lt;&gt;"111",'152-CT'!$J$8=TH!F2100),"x","")</f>
        <v/>
      </c>
      <c r="AC2100" s="79" t="str">
        <f>IF(AND(OR(LEFT(TH!N2100,2)="15",LEFT(TH!O2100,2)="15"),TK!$E$7=TH!F2100),"x","")</f>
        <v/>
      </c>
      <c r="AD2100" s="79" t="str">
        <f>IF(AND(N2100="1521",MONTH(C2100)='BK-NL'!$M$11),"x","")</f>
        <v/>
      </c>
    </row>
    <row r="2101" spans="1:30" ht="16.5" customHeight="1">
      <c r="A2101" s="318" t="str">
        <f>IF(B2101&lt;&gt;"",IF(AND(B2101='IN-TC'!$S$4,OR(TH!N2101="1111",TH!O2101="1111")),TH!D2101,""),"")</f>
        <v/>
      </c>
      <c r="B2101" s="60" t="str">
        <f t="shared" si="234"/>
        <v/>
      </c>
      <c r="C2101" s="301"/>
      <c r="D2101" s="301"/>
      <c r="E2101" s="301"/>
      <c r="F2101" s="392"/>
      <c r="G2101" s="968"/>
      <c r="H2101" s="321"/>
      <c r="I2101" s="385"/>
      <c r="J2101" s="969"/>
      <c r="K2101" s="385"/>
      <c r="L2101" s="392"/>
      <c r="M2101" s="970"/>
      <c r="N2101" s="304"/>
      <c r="O2101" s="304"/>
      <c r="P2101" s="79" t="str">
        <f>IF(AND('331-CT'!$E$7=TH!H2101,OR(N2101="331",O2101="331")),"x","")</f>
        <v/>
      </c>
      <c r="Q2101" s="79" t="str">
        <f>IF(AND(B2101='111'!$L$11,OR($N2101=$Q$7,$O2101=$Q$7)),"x","")</f>
        <v/>
      </c>
      <c r="R2101" s="79" t="str">
        <f>IF(AND($N2101=$Q$7,$B2101&lt;'111'!$L$11),"x","")</f>
        <v/>
      </c>
      <c r="S2101" s="79" t="str">
        <f>IF(AND($O2101=$Q$7,$B2101&lt;'111'!$L$11),"x","")</f>
        <v/>
      </c>
      <c r="T2101" s="79" t="str">
        <f>IF(ISERROR(FIND('112'!$M$9,G2101,1)),"",IF((AND(FIND('112'!$M$9,G2101,1)&gt;=1,B2101='112'!$K$9,OR($N2101='112'!$I$6,$O2101='112'!$I$6))),"x",""))</f>
        <v/>
      </c>
      <c r="U2101" s="79" t="str">
        <f>IF(ISERROR(FIND('112'!$M$9,G2101,1)),"",IF((AND(LEFT(G2101,2)=LEFT('112'!$M$9,2),B2101&lt;'112'!$K$9,$N2101='112'!$I$6)),"x",""))</f>
        <v/>
      </c>
      <c r="V2101" s="79" t="str">
        <f>IF(ISERROR(FIND('112'!$M$9,G2101,1)),"",IF((AND(RIGHT(G2101,2)=RIGHT('112'!$M$9,2),B2101&lt;'112'!$K$9,$O2101='112'!$I$6)),"x",""))</f>
        <v/>
      </c>
      <c r="W2101" s="79" t="str">
        <f>IF(AND('341-CT'!$H$9=H2101,OR(LEFT(N2101,3)=$W$7,LEFT(O2101,3)=$W$7)),"x","")</f>
        <v/>
      </c>
      <c r="X2101" s="79" t="str">
        <f>IF(OR(TH!N2101=TH!$X$7,O2101=TH!$X$7),"x","")</f>
        <v/>
      </c>
      <c r="Y2101" s="79" t="str">
        <f>IF(AND(OR(N2101="131",O2101="131"),H2101='131-CT'!$H$9),"x","")</f>
        <v/>
      </c>
      <c r="Z2101" s="79"/>
      <c r="AA2101" s="79" t="str">
        <f>IF(AND(MONTH(E2101)='IN-NX'!$J$5,'IN-NX'!$D$7=D2101),"x","")</f>
        <v/>
      </c>
      <c r="AB2101" s="79" t="str">
        <f>IF(AND(OR(LEFT(TH!N2101,2)="15",LEFT(TH!O2101,2)="15"),LEFT(TH!O2101,3)&lt;&gt;"111",'152-CT'!$J$8=TH!F2101),"x","")</f>
        <v/>
      </c>
      <c r="AC2101" s="79" t="str">
        <f>IF(AND(OR(LEFT(TH!N2101,2)="15",LEFT(TH!O2101,2)="15"),TK!$E$7=TH!F2101),"x","")</f>
        <v/>
      </c>
      <c r="AD2101" s="79" t="str">
        <f>IF(AND(N2101="1521",MONTH(C2101)='BK-NL'!$M$11),"x","")</f>
        <v/>
      </c>
    </row>
    <row r="2102" spans="1:30" ht="16.5" customHeight="1">
      <c r="A2102" s="318" t="str">
        <f>IF(B2102&lt;&gt;"",IF(AND(B2102='IN-TC'!$S$4,OR(TH!N2102="1111",TH!O2102="1111")),TH!D2102,""),"")</f>
        <v/>
      </c>
      <c r="B2102" s="60" t="str">
        <f t="shared" si="234"/>
        <v/>
      </c>
      <c r="C2102" s="301"/>
      <c r="D2102" s="301"/>
      <c r="E2102" s="301"/>
      <c r="F2102" s="392"/>
      <c r="G2102" s="968"/>
      <c r="H2102" s="321"/>
      <c r="I2102" s="385"/>
      <c r="J2102" s="969"/>
      <c r="K2102" s="385"/>
      <c r="L2102" s="392"/>
      <c r="M2102" s="970"/>
      <c r="N2102" s="304"/>
      <c r="O2102" s="304"/>
      <c r="P2102" s="79" t="str">
        <f>IF(AND('331-CT'!$E$7=TH!H2102,OR(N2102="331",O2102="331")),"x","")</f>
        <v/>
      </c>
      <c r="Q2102" s="79" t="str">
        <f>IF(AND(B2102='111'!$L$11,OR($N2102=$Q$7,$O2102=$Q$7)),"x","")</f>
        <v/>
      </c>
      <c r="R2102" s="79" t="str">
        <f>IF(AND($N2102=$Q$7,$B2102&lt;'111'!$L$11),"x","")</f>
        <v/>
      </c>
      <c r="S2102" s="79" t="str">
        <f>IF(AND($O2102=$Q$7,$B2102&lt;'111'!$L$11),"x","")</f>
        <v/>
      </c>
      <c r="T2102" s="79" t="str">
        <f>IF(ISERROR(FIND('112'!$M$9,G2102,1)),"",IF((AND(FIND('112'!$M$9,G2102,1)&gt;=1,B2102='112'!$K$9,OR($N2102='112'!$I$6,$O2102='112'!$I$6))),"x",""))</f>
        <v/>
      </c>
      <c r="U2102" s="79" t="str">
        <f>IF(ISERROR(FIND('112'!$M$9,G2102,1)),"",IF((AND(LEFT(G2102,2)=LEFT('112'!$M$9,2),B2102&lt;'112'!$K$9,$N2102='112'!$I$6)),"x",""))</f>
        <v/>
      </c>
      <c r="V2102" s="79" t="str">
        <f>IF(ISERROR(FIND('112'!$M$9,G2102,1)),"",IF((AND(RIGHT(G2102,2)=RIGHT('112'!$M$9,2),B2102&lt;'112'!$K$9,$O2102='112'!$I$6)),"x",""))</f>
        <v/>
      </c>
      <c r="W2102" s="79" t="str">
        <f>IF(AND('341-CT'!$H$9=H2102,OR(LEFT(N2102,3)=$W$7,LEFT(O2102,3)=$W$7)),"x","")</f>
        <v/>
      </c>
      <c r="X2102" s="79" t="str">
        <f>IF(OR(TH!N2102=TH!$X$7,O2102=TH!$X$7),"x","")</f>
        <v/>
      </c>
      <c r="Y2102" s="79" t="str">
        <f>IF(AND(OR(N2102="131",O2102="131"),H2102='131-CT'!$H$9),"x","")</f>
        <v/>
      </c>
      <c r="Z2102" s="79"/>
      <c r="AA2102" s="79" t="str">
        <f>IF(AND(MONTH(E2102)='IN-NX'!$J$5,'IN-NX'!$D$7=D2102),"x","")</f>
        <v/>
      </c>
      <c r="AB2102" s="79" t="str">
        <f>IF(AND(OR(LEFT(TH!N2102,2)="15",LEFT(TH!O2102,2)="15"),LEFT(TH!O2102,3)&lt;&gt;"111",'152-CT'!$J$8=TH!F2102),"x","")</f>
        <v/>
      </c>
      <c r="AC2102" s="79" t="str">
        <f>IF(AND(OR(LEFT(TH!N2102,2)="15",LEFT(TH!O2102,2)="15"),TK!$E$7=TH!F2102),"x","")</f>
        <v/>
      </c>
      <c r="AD2102" s="79" t="str">
        <f>IF(AND(N2102="1521",MONTH(C2102)='BK-NL'!$M$11),"x","")</f>
        <v/>
      </c>
    </row>
    <row r="2103" spans="1:30" ht="16.5" customHeight="1">
      <c r="A2103" s="318" t="str">
        <f>IF(B2103&lt;&gt;"",IF(AND(B2103='IN-TC'!$S$4,OR(TH!N2103="1111",TH!O2103="1111")),TH!D2103,""),"")</f>
        <v/>
      </c>
      <c r="B2103" s="60" t="str">
        <f t="shared" si="234"/>
        <v/>
      </c>
      <c r="C2103" s="301"/>
      <c r="D2103" s="301"/>
      <c r="E2103" s="301"/>
      <c r="F2103" s="392"/>
      <c r="G2103" s="968"/>
      <c r="H2103" s="321"/>
      <c r="I2103" s="385"/>
      <c r="J2103" s="969"/>
      <c r="K2103" s="385"/>
      <c r="L2103" s="392"/>
      <c r="M2103" s="970"/>
      <c r="N2103" s="304"/>
      <c r="O2103" s="304"/>
      <c r="P2103" s="79" t="str">
        <f>IF(AND('331-CT'!$E$7=TH!H2103,OR(N2103="331",O2103="331")),"x","")</f>
        <v/>
      </c>
      <c r="Q2103" s="79" t="str">
        <f>IF(AND(B2103='111'!$L$11,OR($N2103=$Q$7,$O2103=$Q$7)),"x","")</f>
        <v/>
      </c>
      <c r="R2103" s="79" t="str">
        <f>IF(AND($N2103=$Q$7,$B2103&lt;'111'!$L$11),"x","")</f>
        <v/>
      </c>
      <c r="S2103" s="79" t="str">
        <f>IF(AND($O2103=$Q$7,$B2103&lt;'111'!$L$11),"x","")</f>
        <v/>
      </c>
      <c r="T2103" s="79" t="str">
        <f>IF(ISERROR(FIND('112'!$M$9,G2103,1)),"",IF((AND(FIND('112'!$M$9,G2103,1)&gt;=1,B2103='112'!$K$9,OR($N2103='112'!$I$6,$O2103='112'!$I$6))),"x",""))</f>
        <v/>
      </c>
      <c r="U2103" s="79" t="str">
        <f>IF(ISERROR(FIND('112'!$M$9,G2103,1)),"",IF((AND(LEFT(G2103,2)=LEFT('112'!$M$9,2),B2103&lt;'112'!$K$9,$N2103='112'!$I$6)),"x",""))</f>
        <v/>
      </c>
      <c r="V2103" s="79" t="str">
        <f>IF(ISERROR(FIND('112'!$M$9,G2103,1)),"",IF((AND(RIGHT(G2103,2)=RIGHT('112'!$M$9,2),B2103&lt;'112'!$K$9,$O2103='112'!$I$6)),"x",""))</f>
        <v/>
      </c>
      <c r="W2103" s="79" t="str">
        <f>IF(AND('341-CT'!$H$9=H2103,OR(LEFT(N2103,3)=$W$7,LEFT(O2103,3)=$W$7)),"x","")</f>
        <v/>
      </c>
      <c r="X2103" s="79" t="str">
        <f>IF(OR(TH!N2103=TH!$X$7,O2103=TH!$X$7),"x","")</f>
        <v/>
      </c>
      <c r="Y2103" s="79" t="str">
        <f>IF(AND(OR(N2103="131",O2103="131"),H2103='131-CT'!$H$9),"x","")</f>
        <v/>
      </c>
      <c r="Z2103" s="79"/>
      <c r="AA2103" s="79" t="str">
        <f>IF(AND(MONTH(E2103)='IN-NX'!$J$5,'IN-NX'!$D$7=D2103),"x","")</f>
        <v/>
      </c>
      <c r="AB2103" s="79" t="str">
        <f>IF(AND(OR(LEFT(TH!N2103,2)="15",LEFT(TH!O2103,2)="15"),LEFT(TH!O2103,3)&lt;&gt;"111",'152-CT'!$J$8=TH!F2103),"x","")</f>
        <v/>
      </c>
      <c r="AC2103" s="79" t="str">
        <f>IF(AND(OR(LEFT(TH!N2103,2)="15",LEFT(TH!O2103,2)="15"),TK!$E$7=TH!F2103),"x","")</f>
        <v/>
      </c>
      <c r="AD2103" s="79" t="str">
        <f>IF(AND(N2103="1521",MONTH(C2103)='BK-NL'!$M$11),"x","")</f>
        <v/>
      </c>
    </row>
    <row r="2104" spans="1:30" ht="16.5" customHeight="1">
      <c r="A2104" s="318" t="str">
        <f>IF(B2104&lt;&gt;"",IF(AND(B2104='IN-TC'!$S$4,OR(TH!N2104="1111",TH!O2104="1111")),TH!D2104,""),"")</f>
        <v/>
      </c>
      <c r="B2104" s="60" t="str">
        <f t="shared" si="234"/>
        <v/>
      </c>
      <c r="C2104" s="301"/>
      <c r="D2104" s="301"/>
      <c r="E2104" s="301"/>
      <c r="F2104" s="392"/>
      <c r="G2104" s="968"/>
      <c r="H2104" s="321"/>
      <c r="I2104" s="385"/>
      <c r="J2104" s="969"/>
      <c r="K2104" s="385"/>
      <c r="L2104" s="392"/>
      <c r="M2104" s="970"/>
      <c r="N2104" s="304"/>
      <c r="O2104" s="304"/>
      <c r="P2104" s="79" t="str">
        <f>IF(AND('331-CT'!$E$7=TH!H2104,OR(N2104="331",O2104="331")),"x","")</f>
        <v/>
      </c>
      <c r="Q2104" s="79" t="str">
        <f>IF(AND(B2104='111'!$L$11,OR($N2104=$Q$7,$O2104=$Q$7)),"x","")</f>
        <v/>
      </c>
      <c r="R2104" s="79" t="str">
        <f>IF(AND($N2104=$Q$7,$B2104&lt;'111'!$L$11),"x","")</f>
        <v/>
      </c>
      <c r="S2104" s="79" t="str">
        <f>IF(AND($O2104=$Q$7,$B2104&lt;'111'!$L$11),"x","")</f>
        <v/>
      </c>
      <c r="T2104" s="79" t="str">
        <f>IF(ISERROR(FIND('112'!$M$9,G2104,1)),"",IF((AND(FIND('112'!$M$9,G2104,1)&gt;=1,B2104='112'!$K$9,OR($N2104='112'!$I$6,$O2104='112'!$I$6))),"x",""))</f>
        <v/>
      </c>
      <c r="U2104" s="79" t="str">
        <f>IF(ISERROR(FIND('112'!$M$9,G2104,1)),"",IF((AND(LEFT(G2104,2)=LEFT('112'!$M$9,2),B2104&lt;'112'!$K$9,$N2104='112'!$I$6)),"x",""))</f>
        <v/>
      </c>
      <c r="V2104" s="79" t="str">
        <f>IF(ISERROR(FIND('112'!$M$9,G2104,1)),"",IF((AND(RIGHT(G2104,2)=RIGHT('112'!$M$9,2),B2104&lt;'112'!$K$9,$O2104='112'!$I$6)),"x",""))</f>
        <v/>
      </c>
      <c r="W2104" s="79" t="str">
        <f>IF(AND('341-CT'!$H$9=H2104,OR(LEFT(N2104,3)=$W$7,LEFT(O2104,3)=$W$7)),"x","")</f>
        <v/>
      </c>
      <c r="X2104" s="79" t="str">
        <f>IF(OR(TH!N2104=TH!$X$7,O2104=TH!$X$7),"x","")</f>
        <v/>
      </c>
      <c r="Y2104" s="79" t="str">
        <f>IF(AND(OR(N2104="131",O2104="131"),H2104='131-CT'!$H$9),"x","")</f>
        <v/>
      </c>
      <c r="Z2104" s="79"/>
      <c r="AA2104" s="79" t="str">
        <f>IF(AND(MONTH(E2104)='IN-NX'!$J$5,'IN-NX'!$D$7=D2104),"x","")</f>
        <v/>
      </c>
      <c r="AB2104" s="79" t="str">
        <f>IF(AND(OR(LEFT(TH!N2104,2)="15",LEFT(TH!O2104,2)="15"),LEFT(TH!O2104,3)&lt;&gt;"111",'152-CT'!$J$8=TH!F2104),"x","")</f>
        <v/>
      </c>
      <c r="AC2104" s="79" t="str">
        <f>IF(AND(OR(LEFT(TH!N2104,2)="15",LEFT(TH!O2104,2)="15"),TK!$E$7=TH!F2104),"x","")</f>
        <v/>
      </c>
      <c r="AD2104" s="79" t="str">
        <f>IF(AND(N2104="1521",MONTH(C2104)='BK-NL'!$M$11),"x","")</f>
        <v/>
      </c>
    </row>
    <row r="2105" spans="1:30" ht="16.5" customHeight="1">
      <c r="A2105" s="318" t="str">
        <f>IF(B2105&lt;&gt;"",IF(AND(B2105='IN-TC'!$S$4,OR(TH!N2105="1111",TH!O2105="1111")),TH!D2105,""),"")</f>
        <v/>
      </c>
      <c r="B2105" s="60" t="str">
        <f t="shared" si="234"/>
        <v/>
      </c>
      <c r="C2105" s="301"/>
      <c r="D2105" s="301"/>
      <c r="E2105" s="301"/>
      <c r="F2105" s="392"/>
      <c r="G2105" s="968"/>
      <c r="H2105" s="321"/>
      <c r="I2105" s="385"/>
      <c r="J2105" s="969"/>
      <c r="K2105" s="385"/>
      <c r="L2105" s="392"/>
      <c r="M2105" s="970"/>
      <c r="N2105" s="304"/>
      <c r="O2105" s="304"/>
      <c r="P2105" s="79" t="str">
        <f>IF(AND('331-CT'!$E$7=TH!H2105,OR(N2105="331",O2105="331")),"x","")</f>
        <v/>
      </c>
      <c r="Q2105" s="79" t="str">
        <f>IF(AND(B2105='111'!$L$11,OR($N2105=$Q$7,$O2105=$Q$7)),"x","")</f>
        <v/>
      </c>
      <c r="R2105" s="79" t="str">
        <f>IF(AND($N2105=$Q$7,$B2105&lt;'111'!$L$11),"x","")</f>
        <v/>
      </c>
      <c r="S2105" s="79" t="str">
        <f>IF(AND($O2105=$Q$7,$B2105&lt;'111'!$L$11),"x","")</f>
        <v/>
      </c>
      <c r="T2105" s="79" t="str">
        <f>IF(ISERROR(FIND('112'!$M$9,G2105,1)),"",IF((AND(FIND('112'!$M$9,G2105,1)&gt;=1,B2105='112'!$K$9,OR($N2105='112'!$I$6,$O2105='112'!$I$6))),"x",""))</f>
        <v/>
      </c>
      <c r="U2105" s="79" t="str">
        <f>IF(ISERROR(FIND('112'!$M$9,G2105,1)),"",IF((AND(LEFT(G2105,2)=LEFT('112'!$M$9,2),B2105&lt;'112'!$K$9,$N2105='112'!$I$6)),"x",""))</f>
        <v/>
      </c>
      <c r="V2105" s="79" t="str">
        <f>IF(ISERROR(FIND('112'!$M$9,G2105,1)),"",IF((AND(RIGHT(G2105,2)=RIGHT('112'!$M$9,2),B2105&lt;'112'!$K$9,$O2105='112'!$I$6)),"x",""))</f>
        <v/>
      </c>
      <c r="W2105" s="79" t="str">
        <f>IF(AND('341-CT'!$H$9=H2105,OR(LEFT(N2105,3)=$W$7,LEFT(O2105,3)=$W$7)),"x","")</f>
        <v/>
      </c>
      <c r="X2105" s="79" t="str">
        <f>IF(OR(TH!N2105=TH!$X$7,O2105=TH!$X$7),"x","")</f>
        <v/>
      </c>
      <c r="Y2105" s="79" t="str">
        <f>IF(AND(OR(N2105="131",O2105="131"),H2105='131-CT'!$H$9),"x","")</f>
        <v/>
      </c>
      <c r="Z2105" s="79"/>
      <c r="AA2105" s="79" t="str">
        <f>IF(AND(MONTH(E2105)='IN-NX'!$J$5,'IN-NX'!$D$7=D2105),"x","")</f>
        <v/>
      </c>
      <c r="AB2105" s="79" t="str">
        <f>IF(AND(OR(LEFT(TH!N2105,2)="15",LEFT(TH!O2105,2)="15"),LEFT(TH!O2105,3)&lt;&gt;"111",'152-CT'!$J$8=TH!F2105),"x","")</f>
        <v/>
      </c>
      <c r="AC2105" s="79" t="str">
        <f>IF(AND(OR(LEFT(TH!N2105,2)="15",LEFT(TH!O2105,2)="15"),TK!$E$7=TH!F2105),"x","")</f>
        <v/>
      </c>
      <c r="AD2105" s="79" t="str">
        <f>IF(AND(N2105="1521",MONTH(C2105)='BK-NL'!$M$11),"x","")</f>
        <v/>
      </c>
    </row>
    <row r="2106" spans="1:30" ht="16.5" customHeight="1">
      <c r="A2106" s="318" t="str">
        <f>IF(B2106&lt;&gt;"",IF(AND(B2106='IN-TC'!$S$4,OR(TH!N2106="1111",TH!O2106="1111")),TH!D2106,""),"")</f>
        <v/>
      </c>
      <c r="B2106" s="60" t="str">
        <f t="shared" si="234"/>
        <v/>
      </c>
      <c r="C2106" s="301"/>
      <c r="D2106" s="301"/>
      <c r="E2106" s="301"/>
      <c r="F2106" s="392"/>
      <c r="G2106" s="968"/>
      <c r="H2106" s="321"/>
      <c r="I2106" s="385"/>
      <c r="J2106" s="969"/>
      <c r="K2106" s="385"/>
      <c r="L2106" s="392"/>
      <c r="M2106" s="970"/>
      <c r="N2106" s="304"/>
      <c r="O2106" s="304"/>
      <c r="P2106" s="79" t="str">
        <f>IF(AND('331-CT'!$E$7=TH!H2106,OR(N2106="331",O2106="331")),"x","")</f>
        <v/>
      </c>
      <c r="Q2106" s="79" t="str">
        <f>IF(AND(B2106='111'!$L$11,OR($N2106=$Q$7,$O2106=$Q$7)),"x","")</f>
        <v/>
      </c>
      <c r="R2106" s="79" t="str">
        <f>IF(AND($N2106=$Q$7,$B2106&lt;'111'!$L$11),"x","")</f>
        <v/>
      </c>
      <c r="S2106" s="79" t="str">
        <f>IF(AND($O2106=$Q$7,$B2106&lt;'111'!$L$11),"x","")</f>
        <v/>
      </c>
      <c r="T2106" s="79" t="str">
        <f>IF(ISERROR(FIND('112'!$M$9,G2106,1)),"",IF((AND(FIND('112'!$M$9,G2106,1)&gt;=1,B2106='112'!$K$9,OR($N2106='112'!$I$6,$O2106='112'!$I$6))),"x",""))</f>
        <v/>
      </c>
      <c r="U2106" s="79" t="str">
        <f>IF(ISERROR(FIND('112'!$M$9,G2106,1)),"",IF((AND(LEFT(G2106,2)=LEFT('112'!$M$9,2),B2106&lt;'112'!$K$9,$N2106='112'!$I$6)),"x",""))</f>
        <v/>
      </c>
      <c r="V2106" s="79" t="str">
        <f>IF(ISERROR(FIND('112'!$M$9,G2106,1)),"",IF((AND(RIGHT(G2106,2)=RIGHT('112'!$M$9,2),B2106&lt;'112'!$K$9,$O2106='112'!$I$6)),"x",""))</f>
        <v/>
      </c>
      <c r="W2106" s="79" t="str">
        <f>IF(AND('341-CT'!$H$9=H2106,OR(LEFT(N2106,3)=$W$7,LEFT(O2106,3)=$W$7)),"x","")</f>
        <v/>
      </c>
      <c r="X2106" s="79" t="str">
        <f>IF(OR(TH!N2106=TH!$X$7,O2106=TH!$X$7),"x","")</f>
        <v/>
      </c>
      <c r="Y2106" s="79" t="str">
        <f>IF(AND(OR(N2106="131",O2106="131"),H2106='131-CT'!$H$9),"x","")</f>
        <v/>
      </c>
      <c r="Z2106" s="79"/>
      <c r="AA2106" s="79" t="str">
        <f>IF(AND(MONTH(E2106)='IN-NX'!$J$5,'IN-NX'!$D$7=D2106),"x","")</f>
        <v/>
      </c>
      <c r="AB2106" s="79" t="str">
        <f>IF(AND(OR(LEFT(TH!N2106,2)="15",LEFT(TH!O2106,2)="15"),LEFT(TH!O2106,3)&lt;&gt;"111",'152-CT'!$J$8=TH!F2106),"x","")</f>
        <v/>
      </c>
      <c r="AC2106" s="79" t="str">
        <f>IF(AND(OR(LEFT(TH!N2106,2)="15",LEFT(TH!O2106,2)="15"),TK!$E$7=TH!F2106),"x","")</f>
        <v/>
      </c>
      <c r="AD2106" s="79" t="str">
        <f>IF(AND(N2106="1521",MONTH(C2106)='BK-NL'!$M$11),"x","")</f>
        <v/>
      </c>
    </row>
    <row r="2107" spans="1:30" ht="16.5" customHeight="1">
      <c r="A2107" s="318" t="str">
        <f>IF(B2107&lt;&gt;"",IF(AND(B2107='IN-TC'!$S$4,OR(TH!N2107="1111",TH!O2107="1111")),TH!D2107,""),"")</f>
        <v/>
      </c>
      <c r="B2107" s="60" t="str">
        <f t="shared" si="234"/>
        <v/>
      </c>
      <c r="C2107" s="301"/>
      <c r="D2107" s="301"/>
      <c r="E2107" s="301"/>
      <c r="F2107" s="392"/>
      <c r="G2107" s="968"/>
      <c r="H2107" s="321"/>
      <c r="I2107" s="385"/>
      <c r="J2107" s="969"/>
      <c r="K2107" s="385"/>
      <c r="L2107" s="392"/>
      <c r="M2107" s="970"/>
      <c r="N2107" s="304"/>
      <c r="O2107" s="304"/>
      <c r="P2107" s="79" t="str">
        <f>IF(AND('331-CT'!$E$7=TH!H2107,OR(N2107="331",O2107="331")),"x","")</f>
        <v/>
      </c>
      <c r="Q2107" s="79" t="str">
        <f>IF(AND(B2107='111'!$L$11,OR($N2107=$Q$7,$O2107=$Q$7)),"x","")</f>
        <v/>
      </c>
      <c r="R2107" s="79" t="str">
        <f>IF(AND($N2107=$Q$7,$B2107&lt;'111'!$L$11),"x","")</f>
        <v/>
      </c>
      <c r="S2107" s="79" t="str">
        <f>IF(AND($O2107=$Q$7,$B2107&lt;'111'!$L$11),"x","")</f>
        <v/>
      </c>
      <c r="T2107" s="79" t="str">
        <f>IF(ISERROR(FIND('112'!$M$9,G2107,1)),"",IF((AND(FIND('112'!$M$9,G2107,1)&gt;=1,B2107='112'!$K$9,OR($N2107='112'!$I$6,$O2107='112'!$I$6))),"x",""))</f>
        <v/>
      </c>
      <c r="U2107" s="79" t="str">
        <f>IF(ISERROR(FIND('112'!$M$9,G2107,1)),"",IF((AND(LEFT(G2107,2)=LEFT('112'!$M$9,2),B2107&lt;'112'!$K$9,$N2107='112'!$I$6)),"x",""))</f>
        <v/>
      </c>
      <c r="V2107" s="79" t="str">
        <f>IF(ISERROR(FIND('112'!$M$9,G2107,1)),"",IF((AND(RIGHT(G2107,2)=RIGHT('112'!$M$9,2),B2107&lt;'112'!$K$9,$O2107='112'!$I$6)),"x",""))</f>
        <v/>
      </c>
      <c r="W2107" s="79" t="str">
        <f>IF(AND('341-CT'!$H$9=H2107,OR(LEFT(N2107,3)=$W$7,LEFT(O2107,3)=$W$7)),"x","")</f>
        <v/>
      </c>
      <c r="X2107" s="79" t="str">
        <f>IF(OR(TH!N2107=TH!$X$7,O2107=TH!$X$7),"x","")</f>
        <v/>
      </c>
      <c r="Y2107" s="79" t="str">
        <f>IF(AND(OR(N2107="131",O2107="131"),H2107='131-CT'!$H$9),"x","")</f>
        <v/>
      </c>
      <c r="Z2107" s="79"/>
      <c r="AA2107" s="79" t="str">
        <f>IF(AND(MONTH(E2107)='IN-NX'!$J$5,'IN-NX'!$D$7=D2107),"x","")</f>
        <v/>
      </c>
      <c r="AB2107" s="79" t="str">
        <f>IF(AND(OR(LEFT(TH!N2107,2)="15",LEFT(TH!O2107,2)="15"),LEFT(TH!O2107,3)&lt;&gt;"111",'152-CT'!$J$8=TH!F2107),"x","")</f>
        <v/>
      </c>
      <c r="AC2107" s="79" t="str">
        <f>IF(AND(OR(LEFT(TH!N2107,2)="15",LEFT(TH!O2107,2)="15"),TK!$E$7=TH!F2107),"x","")</f>
        <v/>
      </c>
      <c r="AD2107" s="79" t="str">
        <f>IF(AND(N2107="1521",MONTH(C2107)='BK-NL'!$M$11),"x","")</f>
        <v/>
      </c>
    </row>
    <row r="2108" spans="1:30" ht="16.5" customHeight="1">
      <c r="A2108" s="318" t="str">
        <f>IF(B2108&lt;&gt;"",IF(AND(B2108='IN-TC'!$S$4,OR(TH!N2108="1111",TH!O2108="1111")),TH!D2108,""),"")</f>
        <v/>
      </c>
      <c r="B2108" s="60" t="str">
        <f t="shared" si="234"/>
        <v/>
      </c>
      <c r="C2108" s="301"/>
      <c r="D2108" s="301"/>
      <c r="E2108" s="301"/>
      <c r="F2108" s="392"/>
      <c r="G2108" s="968"/>
      <c r="H2108" s="321"/>
      <c r="I2108" s="385"/>
      <c r="J2108" s="969"/>
      <c r="K2108" s="385"/>
      <c r="L2108" s="392"/>
      <c r="M2108" s="970"/>
      <c r="N2108" s="304"/>
      <c r="O2108" s="304"/>
      <c r="P2108" s="79" t="str">
        <f>IF(AND('331-CT'!$E$7=TH!H2108,OR(N2108="331",O2108="331")),"x","")</f>
        <v/>
      </c>
      <c r="Q2108" s="79" t="str">
        <f>IF(AND(B2108='111'!$L$11,OR($N2108=$Q$7,$O2108=$Q$7)),"x","")</f>
        <v/>
      </c>
      <c r="R2108" s="79" t="str">
        <f>IF(AND($N2108=$Q$7,$B2108&lt;'111'!$L$11),"x","")</f>
        <v/>
      </c>
      <c r="S2108" s="79" t="str">
        <f>IF(AND($O2108=$Q$7,$B2108&lt;'111'!$L$11),"x","")</f>
        <v/>
      </c>
      <c r="T2108" s="79" t="str">
        <f>IF(ISERROR(FIND('112'!$M$9,G2108,1)),"",IF((AND(FIND('112'!$M$9,G2108,1)&gt;=1,B2108='112'!$K$9,OR($N2108='112'!$I$6,$O2108='112'!$I$6))),"x",""))</f>
        <v/>
      </c>
      <c r="U2108" s="79" t="str">
        <f>IF(ISERROR(FIND('112'!$M$9,G2108,1)),"",IF((AND(LEFT(G2108,2)=LEFT('112'!$M$9,2),B2108&lt;'112'!$K$9,$N2108='112'!$I$6)),"x",""))</f>
        <v/>
      </c>
      <c r="V2108" s="79" t="str">
        <f>IF(ISERROR(FIND('112'!$M$9,G2108,1)),"",IF((AND(RIGHT(G2108,2)=RIGHT('112'!$M$9,2),B2108&lt;'112'!$K$9,$O2108='112'!$I$6)),"x",""))</f>
        <v/>
      </c>
      <c r="W2108" s="79" t="str">
        <f>IF(AND('341-CT'!$H$9=H2108,OR(LEFT(N2108,3)=$W$7,LEFT(O2108,3)=$W$7)),"x","")</f>
        <v/>
      </c>
      <c r="X2108" s="79" t="str">
        <f>IF(OR(TH!N2108=TH!$X$7,O2108=TH!$X$7),"x","")</f>
        <v/>
      </c>
      <c r="Y2108" s="79" t="str">
        <f>IF(AND(OR(N2108="131",O2108="131"),H2108='131-CT'!$H$9),"x","")</f>
        <v/>
      </c>
      <c r="Z2108" s="79"/>
      <c r="AA2108" s="79" t="str">
        <f>IF(AND(MONTH(E2108)='IN-NX'!$J$5,'IN-NX'!$D$7=D2108),"x","")</f>
        <v/>
      </c>
      <c r="AB2108" s="79" t="str">
        <f>IF(AND(OR(LEFT(TH!N2108,2)="15",LEFT(TH!O2108,2)="15"),LEFT(TH!O2108,3)&lt;&gt;"111",'152-CT'!$J$8=TH!F2108),"x","")</f>
        <v/>
      </c>
      <c r="AC2108" s="79" t="str">
        <f>IF(AND(OR(LEFT(TH!N2108,2)="15",LEFT(TH!O2108,2)="15"),TK!$E$7=TH!F2108),"x","")</f>
        <v/>
      </c>
      <c r="AD2108" s="79" t="str">
        <f>IF(AND(N2108="1521",MONTH(C2108)='BK-NL'!$M$11),"x","")</f>
        <v/>
      </c>
    </row>
    <row r="2109" spans="1:30" ht="16.5" customHeight="1">
      <c r="A2109" s="318" t="str">
        <f>IF(B2109&lt;&gt;"",IF(AND(B2109='IN-TC'!$S$4,OR(TH!N2109="1111",TH!O2109="1111")),TH!D2109,""),"")</f>
        <v/>
      </c>
      <c r="B2109" s="60" t="str">
        <f t="shared" si="234"/>
        <v/>
      </c>
      <c r="C2109" s="981"/>
      <c r="D2109" s="301"/>
      <c r="E2109" s="981"/>
      <c r="F2109" s="999"/>
      <c r="G2109" s="1130"/>
      <c r="H2109" s="982"/>
      <c r="I2109" s="984"/>
      <c r="J2109" s="983"/>
      <c r="K2109" s="984"/>
      <c r="L2109" s="983"/>
      <c r="M2109" s="985"/>
      <c r="N2109" s="986"/>
      <c r="O2109" s="986"/>
      <c r="P2109" s="79" t="str">
        <f>IF(AND('331-CT'!$E$7=TH!H2109,OR(N2109="331",O2109="331")),"x","")</f>
        <v/>
      </c>
      <c r="Q2109" s="79" t="str">
        <f>IF(AND(B2109='111'!$L$11,OR($N2109=$Q$7,$O2109=$Q$7)),"x","")</f>
        <v/>
      </c>
      <c r="R2109" s="79" t="str">
        <f>IF(AND($N2109=$Q$7,$B2109&lt;'111'!$L$11),"x","")</f>
        <v/>
      </c>
      <c r="S2109" s="79" t="str">
        <f>IF(AND($O2109=$Q$7,$B2109&lt;'111'!$L$11),"x","")</f>
        <v/>
      </c>
      <c r="T2109" s="79" t="str">
        <f>IF(ISERROR(FIND('112'!$M$9,G2109,1)),"",IF((AND(FIND('112'!$M$9,G2109,1)&gt;=1,B2109='112'!$K$9,OR($N2109='112'!$I$6,$O2109='112'!$I$6))),"x",""))</f>
        <v/>
      </c>
      <c r="U2109" s="79" t="str">
        <f>IF(ISERROR(FIND('112'!$M$9,G2109,1)),"",IF((AND(LEFT(G2109,2)=LEFT('112'!$M$9,2),B2109&lt;'112'!$K$9,$N2109='112'!$I$6)),"x",""))</f>
        <v/>
      </c>
      <c r="V2109" s="79" t="str">
        <f>IF(ISERROR(FIND('112'!$M$9,G2109,1)),"",IF((AND(RIGHT(G2109,2)=RIGHT('112'!$M$9,2),B2109&lt;'112'!$K$9,$O2109='112'!$I$6)),"x",""))</f>
        <v/>
      </c>
      <c r="W2109" s="79" t="str">
        <f>IF(AND('341-CT'!$H$9=H2109,OR(LEFT(N2109,3)=$W$7,LEFT(O2109,3)=$W$7)),"x","")</f>
        <v/>
      </c>
      <c r="X2109" s="79" t="str">
        <f>IF(OR(TH!N2109=TH!$X$7,O2109=TH!$X$7),"x","")</f>
        <v/>
      </c>
      <c r="Y2109" s="79" t="str">
        <f>IF(AND(OR(N2109="131",O2109="131"),H2109='131-CT'!$H$9),"x","")</f>
        <v/>
      </c>
      <c r="Z2109" s="79"/>
      <c r="AA2109" s="79" t="str">
        <f>IF(AND(MONTH(E2109)='IN-NX'!$J$5,'IN-NX'!$D$7=D2109),"x","")</f>
        <v/>
      </c>
      <c r="AB2109" s="79" t="str">
        <f>IF(AND(OR(LEFT(TH!N2109,2)="15",LEFT(TH!O2109,2)="15"),LEFT(TH!O2109,3)&lt;&gt;"111",'152-CT'!$J$8=TH!F2109),"x","")</f>
        <v/>
      </c>
      <c r="AC2109" s="79" t="str">
        <f>IF(AND(OR(LEFT(TH!N2109,2)="15",LEFT(TH!O2109,2)="15"),TK!$E$7=TH!F2109),"x","")</f>
        <v/>
      </c>
      <c r="AD2109" s="79" t="str">
        <f>IF(AND(N2109="1521",MONTH(C2109)='BK-NL'!$M$11),"x","")</f>
        <v/>
      </c>
    </row>
    <row r="2110" spans="1:30" ht="16.5" customHeight="1">
      <c r="A2110" s="318" t="str">
        <f>IF(B2110&lt;&gt;"",IF(AND(B2110='IN-TC'!$S$4,OR(TH!N2110="1111",TH!O2110="1111")),TH!D2110,""),"")</f>
        <v/>
      </c>
      <c r="B2110" s="60" t="str">
        <f t="shared" si="234"/>
        <v/>
      </c>
      <c r="C2110" s="974"/>
      <c r="D2110" s="301"/>
      <c r="E2110" s="974"/>
      <c r="F2110" s="77"/>
      <c r="G2110" s="976"/>
      <c r="H2110" s="305"/>
      <c r="I2110" s="383"/>
      <c r="J2110" s="977"/>
      <c r="K2110" s="383"/>
      <c r="L2110" s="390"/>
      <c r="M2110" s="978"/>
      <c r="N2110" s="979"/>
      <c r="O2110" s="979"/>
      <c r="P2110" s="79" t="str">
        <f>IF(AND('331-CT'!$E$7=TH!H2110,OR(N2110="331",O2110="331")),"x","")</f>
        <v/>
      </c>
      <c r="Q2110" s="79" t="str">
        <f>IF(AND(B2110='111'!$L$11,OR($N2110=$Q$7,$O2110=$Q$7)),"x","")</f>
        <v/>
      </c>
      <c r="R2110" s="79" t="str">
        <f>IF(AND($N2110=$Q$7,$B2110&lt;'111'!$L$11),"x","")</f>
        <v/>
      </c>
      <c r="S2110" s="79" t="str">
        <f>IF(AND($O2110=$Q$7,$B2110&lt;'111'!$L$11),"x","")</f>
        <v/>
      </c>
      <c r="T2110" s="79" t="str">
        <f>IF(ISERROR(FIND('112'!$M$9,G2110,1)),"",IF((AND(FIND('112'!$M$9,G2110,1)&gt;=1,B2110='112'!$K$9,OR($N2110='112'!$I$6,$O2110='112'!$I$6))),"x",""))</f>
        <v/>
      </c>
      <c r="U2110" s="79" t="str">
        <f>IF(ISERROR(FIND('112'!$M$9,G2110,1)),"",IF((AND(LEFT(G2110,2)=LEFT('112'!$M$9,2),B2110&lt;'112'!$K$9,$N2110='112'!$I$6)),"x",""))</f>
        <v/>
      </c>
      <c r="V2110" s="79" t="str">
        <f>IF(ISERROR(FIND('112'!$M$9,G2110,1)),"",IF((AND(RIGHT(G2110,2)=RIGHT('112'!$M$9,2),B2110&lt;'112'!$K$9,$O2110='112'!$I$6)),"x",""))</f>
        <v/>
      </c>
      <c r="W2110" s="79" t="str">
        <f>IF(AND('341-CT'!$H$9=H2110,OR(LEFT(N2110,3)=$W$7,LEFT(O2110,3)=$W$7)),"x","")</f>
        <v/>
      </c>
      <c r="X2110" s="79" t="str">
        <f>IF(OR(TH!N2110=TH!$X$7,O2110=TH!$X$7),"x","")</f>
        <v/>
      </c>
      <c r="Y2110" s="79" t="str">
        <f>IF(AND(OR(N2110="131",O2110="131"),H2110='131-CT'!$H$9),"x","")</f>
        <v/>
      </c>
      <c r="Z2110" s="79"/>
      <c r="AA2110" s="79" t="str">
        <f>IF(AND(MONTH(E2110)='IN-NX'!$J$5,'IN-NX'!$D$7=D2110),"x","")</f>
        <v/>
      </c>
      <c r="AB2110" s="79" t="str">
        <f>IF(AND(OR(LEFT(TH!N2110,2)="15",LEFT(TH!O2110,2)="15"),LEFT(TH!O2110,3)&lt;&gt;"111",'152-CT'!$J$8=TH!F2110),"x","")</f>
        <v/>
      </c>
      <c r="AC2110" s="79" t="str">
        <f>IF(AND(OR(LEFT(TH!N2110,2)="15",LEFT(TH!O2110,2)="15"),TK!$E$7=TH!F2110),"x","")</f>
        <v/>
      </c>
      <c r="AD2110" s="79" t="str">
        <f>IF(AND(N2110="1521",MONTH(C2110)='BK-NL'!$M$11),"x","")</f>
        <v/>
      </c>
    </row>
    <row r="2111" spans="1:30" ht="16.5" customHeight="1">
      <c r="A2111" s="318" t="str">
        <f>IF(B2111&lt;&gt;"",IF(AND(B2111='IN-TC'!$S$4,OR(TH!N2111="1111",TH!O2111="1111")),TH!D2111,""),"")</f>
        <v/>
      </c>
      <c r="B2111" s="60" t="str">
        <f t="shared" si="234"/>
        <v/>
      </c>
      <c r="C2111" s="981"/>
      <c r="D2111" s="301"/>
      <c r="E2111" s="981"/>
      <c r="F2111" s="999"/>
      <c r="G2111" s="1130"/>
      <c r="H2111" s="982"/>
      <c r="I2111" s="984"/>
      <c r="J2111" s="983"/>
      <c r="K2111" s="984"/>
      <c r="L2111" s="983"/>
      <c r="M2111" s="985"/>
      <c r="N2111" s="986"/>
      <c r="O2111" s="986"/>
      <c r="P2111" s="79" t="str">
        <f>IF(AND('331-CT'!$E$7=TH!H2111,OR(N2111="331",O2111="331")),"x","")</f>
        <v/>
      </c>
      <c r="Q2111" s="79" t="str">
        <f>IF(AND(B2111='111'!$L$11,OR($N2111=$Q$7,$O2111=$Q$7)),"x","")</f>
        <v/>
      </c>
      <c r="R2111" s="79" t="str">
        <f>IF(AND($N2111=$Q$7,$B2111&lt;'111'!$L$11),"x","")</f>
        <v/>
      </c>
      <c r="S2111" s="79" t="str">
        <f>IF(AND($O2111=$Q$7,$B2111&lt;'111'!$L$11),"x","")</f>
        <v/>
      </c>
      <c r="T2111" s="79" t="str">
        <f>IF(ISERROR(FIND('112'!$M$9,G2111,1)),"",IF((AND(FIND('112'!$M$9,G2111,1)&gt;=1,B2111='112'!$K$9,OR($N2111='112'!$I$6,$O2111='112'!$I$6))),"x",""))</f>
        <v/>
      </c>
      <c r="U2111" s="79" t="str">
        <f>IF(ISERROR(FIND('112'!$M$9,G2111,1)),"",IF((AND(LEFT(G2111,2)=LEFT('112'!$M$9,2),B2111&lt;'112'!$K$9,$N2111='112'!$I$6)),"x",""))</f>
        <v/>
      </c>
      <c r="V2111" s="79" t="str">
        <f>IF(ISERROR(FIND('112'!$M$9,G2111,1)),"",IF((AND(RIGHT(G2111,2)=RIGHT('112'!$M$9,2),B2111&lt;'112'!$K$9,$O2111='112'!$I$6)),"x",""))</f>
        <v/>
      </c>
      <c r="W2111" s="79" t="str">
        <f>IF(AND('341-CT'!$H$9=H2111,OR(LEFT(N2111,3)=$W$7,LEFT(O2111,3)=$W$7)),"x","")</f>
        <v/>
      </c>
      <c r="X2111" s="79" t="str">
        <f>IF(OR(TH!N2111=TH!$X$7,O2111=TH!$X$7),"x","")</f>
        <v/>
      </c>
      <c r="Y2111" s="79" t="str">
        <f>IF(AND(OR(N2111="131",O2111="131"),H2111='131-CT'!$H$9),"x","")</f>
        <v/>
      </c>
      <c r="Z2111" s="79"/>
      <c r="AA2111" s="79" t="str">
        <f>IF(AND(MONTH(E2111)='IN-NX'!$J$5,'IN-NX'!$D$7=D2111),"x","")</f>
        <v/>
      </c>
      <c r="AB2111" s="79" t="str">
        <f>IF(AND(OR(LEFT(TH!N2111,2)="15",LEFT(TH!O2111,2)="15"),LEFT(TH!O2111,3)&lt;&gt;"111",'152-CT'!$J$8=TH!F2111),"x","")</f>
        <v/>
      </c>
      <c r="AC2111" s="79" t="str">
        <f>IF(AND(OR(LEFT(TH!N2111,2)="15",LEFT(TH!O2111,2)="15"),TK!$E$7=TH!F2111),"x","")</f>
        <v/>
      </c>
      <c r="AD2111" s="79" t="str">
        <f>IF(AND(N2111="1521",MONTH(C2111)='BK-NL'!$M$11),"x","")</f>
        <v/>
      </c>
    </row>
    <row r="2112" spans="1:30" ht="16.5" customHeight="1">
      <c r="A2112" s="318" t="str">
        <f>IF(B2112&lt;&gt;"",IF(AND(B2112='IN-TC'!$S$4,OR(TH!N2112="1111",TH!O2112="1111")),TH!D2112,""),"")</f>
        <v/>
      </c>
      <c r="B2112" s="60" t="str">
        <f t="shared" si="234"/>
        <v/>
      </c>
      <c r="C2112" s="981"/>
      <c r="D2112" s="301"/>
      <c r="E2112" s="981"/>
      <c r="F2112" s="999"/>
      <c r="G2112" s="1130"/>
      <c r="H2112" s="982"/>
      <c r="I2112" s="984"/>
      <c r="J2112" s="983"/>
      <c r="K2112" s="984"/>
      <c r="L2112" s="983"/>
      <c r="M2112" s="985"/>
      <c r="N2112" s="986"/>
      <c r="O2112" s="986"/>
      <c r="P2112" s="79" t="str">
        <f>IF(AND('331-CT'!$E$7=TH!H2112,OR(N2112="331",O2112="331")),"x","")</f>
        <v/>
      </c>
      <c r="Q2112" s="79" t="str">
        <f>IF(AND(B2112='111'!$L$11,OR($N2112=$Q$7,$O2112=$Q$7)),"x","")</f>
        <v/>
      </c>
      <c r="R2112" s="79" t="str">
        <f>IF(AND($N2112=$Q$7,$B2112&lt;'111'!$L$11),"x","")</f>
        <v/>
      </c>
      <c r="S2112" s="79" t="str">
        <f>IF(AND($O2112=$Q$7,$B2112&lt;'111'!$L$11),"x","")</f>
        <v/>
      </c>
      <c r="T2112" s="79" t="str">
        <f>IF(ISERROR(FIND('112'!$M$9,G2112,1)),"",IF((AND(FIND('112'!$M$9,G2112,1)&gt;=1,B2112='112'!$K$9,OR($N2112='112'!$I$6,$O2112='112'!$I$6))),"x",""))</f>
        <v/>
      </c>
      <c r="U2112" s="79" t="str">
        <f>IF(ISERROR(FIND('112'!$M$9,G2112,1)),"",IF((AND(LEFT(G2112,2)=LEFT('112'!$M$9,2),B2112&lt;'112'!$K$9,$N2112='112'!$I$6)),"x",""))</f>
        <v/>
      </c>
      <c r="V2112" s="79" t="str">
        <f>IF(ISERROR(FIND('112'!$M$9,G2112,1)),"",IF((AND(RIGHT(G2112,2)=RIGHT('112'!$M$9,2),B2112&lt;'112'!$K$9,$O2112='112'!$I$6)),"x",""))</f>
        <v/>
      </c>
      <c r="W2112" s="79" t="str">
        <f>IF(AND('341-CT'!$H$9=H2112,OR(LEFT(N2112,3)=$W$7,LEFT(O2112,3)=$W$7)),"x","")</f>
        <v/>
      </c>
      <c r="X2112" s="79" t="str">
        <f>IF(OR(TH!N2112=TH!$X$7,O2112=TH!$X$7),"x","")</f>
        <v/>
      </c>
      <c r="Y2112" s="79" t="str">
        <f>IF(AND(OR(N2112="131",O2112="131"),H2112='131-CT'!$H$9),"x","")</f>
        <v/>
      </c>
      <c r="Z2112" s="79"/>
      <c r="AA2112" s="79" t="str">
        <f>IF(AND(MONTH(E2112)='IN-NX'!$J$5,'IN-NX'!$D$7=D2112),"x","")</f>
        <v/>
      </c>
      <c r="AB2112" s="79" t="str">
        <f>IF(AND(OR(LEFT(TH!N2112,2)="15",LEFT(TH!O2112,2)="15"),LEFT(TH!O2112,3)&lt;&gt;"111",'152-CT'!$J$8=TH!F2112),"x","")</f>
        <v/>
      </c>
      <c r="AC2112" s="79" t="str">
        <f>IF(AND(OR(LEFT(TH!N2112,2)="15",LEFT(TH!O2112,2)="15"),TK!$E$7=TH!F2112),"x","")</f>
        <v/>
      </c>
      <c r="AD2112" s="79" t="str">
        <f>IF(AND(N2112="1521",MONTH(C2112)='BK-NL'!$M$11),"x","")</f>
        <v/>
      </c>
    </row>
    <row r="2113" spans="1:30" ht="16.5" customHeight="1">
      <c r="A2113" s="318" t="str">
        <f>IF(B2113&lt;&gt;"",IF(AND(B2113='IN-TC'!$S$4,OR(TH!N2113="1111",TH!O2113="1111")),TH!D2113,""),"")</f>
        <v/>
      </c>
      <c r="B2113" s="60" t="str">
        <f t="shared" si="234"/>
        <v/>
      </c>
      <c r="C2113" s="981"/>
      <c r="D2113" s="301"/>
      <c r="E2113" s="981"/>
      <c r="F2113" s="999"/>
      <c r="G2113" s="1130"/>
      <c r="H2113" s="982"/>
      <c r="I2113" s="984"/>
      <c r="J2113" s="983"/>
      <c r="K2113" s="984"/>
      <c r="L2113" s="983"/>
      <c r="M2113" s="985"/>
      <c r="N2113" s="986"/>
      <c r="O2113" s="986"/>
      <c r="P2113" s="79" t="str">
        <f>IF(AND('331-CT'!$E$7=TH!H2113,OR(N2113="331",O2113="331")),"x","")</f>
        <v/>
      </c>
      <c r="Q2113" s="79" t="str">
        <f>IF(AND(B2113='111'!$L$11,OR($N2113=$Q$7,$O2113=$Q$7)),"x","")</f>
        <v/>
      </c>
      <c r="R2113" s="79" t="str">
        <f>IF(AND($N2113=$Q$7,$B2113&lt;'111'!$L$11),"x","")</f>
        <v/>
      </c>
      <c r="S2113" s="79" t="str">
        <f>IF(AND($O2113=$Q$7,$B2113&lt;'111'!$L$11),"x","")</f>
        <v/>
      </c>
      <c r="T2113" s="79" t="str">
        <f>IF(ISERROR(FIND('112'!$M$9,G2113,1)),"",IF((AND(FIND('112'!$M$9,G2113,1)&gt;=1,B2113='112'!$K$9,OR($N2113='112'!$I$6,$O2113='112'!$I$6))),"x",""))</f>
        <v/>
      </c>
      <c r="U2113" s="79" t="str">
        <f>IF(ISERROR(FIND('112'!$M$9,G2113,1)),"",IF((AND(LEFT(G2113,2)=LEFT('112'!$M$9,2),B2113&lt;'112'!$K$9,$N2113='112'!$I$6)),"x",""))</f>
        <v/>
      </c>
      <c r="V2113" s="79" t="str">
        <f>IF(ISERROR(FIND('112'!$M$9,G2113,1)),"",IF((AND(RIGHT(G2113,2)=RIGHT('112'!$M$9,2),B2113&lt;'112'!$K$9,$O2113='112'!$I$6)),"x",""))</f>
        <v/>
      </c>
      <c r="W2113" s="79" t="str">
        <f>IF(AND('341-CT'!$H$9=H2113,OR(LEFT(N2113,3)=$W$7,LEFT(O2113,3)=$W$7)),"x","")</f>
        <v/>
      </c>
      <c r="X2113" s="79" t="str">
        <f>IF(OR(TH!N2113=TH!$X$7,O2113=TH!$X$7),"x","")</f>
        <v/>
      </c>
      <c r="Y2113" s="79" t="str">
        <f>IF(AND(OR(N2113="131",O2113="131"),H2113='131-CT'!$H$9),"x","")</f>
        <v/>
      </c>
      <c r="Z2113" s="79"/>
      <c r="AA2113" s="79" t="str">
        <f>IF(AND(MONTH(E2113)='IN-NX'!$J$5,'IN-NX'!$D$7=D2113),"x","")</f>
        <v/>
      </c>
      <c r="AB2113" s="79" t="str">
        <f>IF(AND(OR(LEFT(TH!N2113,2)="15",LEFT(TH!O2113,2)="15"),LEFT(TH!O2113,3)&lt;&gt;"111",'152-CT'!$J$8=TH!F2113),"x","")</f>
        <v/>
      </c>
      <c r="AC2113" s="79" t="str">
        <f>IF(AND(OR(LEFT(TH!N2113,2)="15",LEFT(TH!O2113,2)="15"),TK!$E$7=TH!F2113),"x","")</f>
        <v/>
      </c>
      <c r="AD2113" s="79" t="str">
        <f>IF(AND(N2113="1521",MONTH(C2113)='BK-NL'!$M$11),"x","")</f>
        <v/>
      </c>
    </row>
    <row r="2114" spans="1:30" ht="16.5" customHeight="1">
      <c r="A2114" s="318" t="str">
        <f>IF(B2114&lt;&gt;"",IF(AND(B2114='IN-TC'!$S$4,OR(TH!N2114="1111",TH!O2114="1111")),TH!D2114,""),"")</f>
        <v/>
      </c>
      <c r="B2114" s="60" t="str">
        <f t="shared" si="234"/>
        <v/>
      </c>
      <c r="C2114" s="981"/>
      <c r="D2114" s="301"/>
      <c r="E2114" s="981"/>
      <c r="F2114" s="999"/>
      <c r="G2114" s="1130"/>
      <c r="H2114" s="982"/>
      <c r="I2114" s="984"/>
      <c r="J2114" s="983"/>
      <c r="K2114" s="984"/>
      <c r="L2114" s="983"/>
      <c r="M2114" s="985"/>
      <c r="N2114" s="986"/>
      <c r="O2114" s="986"/>
      <c r="P2114" s="79" t="str">
        <f>IF(AND('331-CT'!$E$7=TH!H2114,OR(N2114="331",O2114="331")),"x","")</f>
        <v/>
      </c>
      <c r="Q2114" s="79" t="str">
        <f>IF(AND(B2114='111'!$L$11,OR($N2114=$Q$7,$O2114=$Q$7)),"x","")</f>
        <v/>
      </c>
      <c r="R2114" s="79" t="str">
        <f>IF(AND($N2114=$Q$7,$B2114&lt;'111'!$L$11),"x","")</f>
        <v/>
      </c>
      <c r="S2114" s="79" t="str">
        <f>IF(AND($O2114=$Q$7,$B2114&lt;'111'!$L$11),"x","")</f>
        <v/>
      </c>
      <c r="T2114" s="79" t="str">
        <f>IF(ISERROR(FIND('112'!$M$9,G2114,1)),"",IF((AND(FIND('112'!$M$9,G2114,1)&gt;=1,B2114='112'!$K$9,OR($N2114='112'!$I$6,$O2114='112'!$I$6))),"x",""))</f>
        <v/>
      </c>
      <c r="U2114" s="79" t="str">
        <f>IF(ISERROR(FIND('112'!$M$9,G2114,1)),"",IF((AND(LEFT(G2114,2)=LEFT('112'!$M$9,2),B2114&lt;'112'!$K$9,$N2114='112'!$I$6)),"x",""))</f>
        <v/>
      </c>
      <c r="V2114" s="79" t="str">
        <f>IF(ISERROR(FIND('112'!$M$9,G2114,1)),"",IF((AND(RIGHT(G2114,2)=RIGHT('112'!$M$9,2),B2114&lt;'112'!$K$9,$O2114='112'!$I$6)),"x",""))</f>
        <v/>
      </c>
      <c r="W2114" s="79" t="str">
        <f>IF(AND('341-CT'!$H$9=H2114,OR(LEFT(N2114,3)=$W$7,LEFT(O2114,3)=$W$7)),"x","")</f>
        <v/>
      </c>
      <c r="X2114" s="79" t="str">
        <f>IF(OR(TH!N2114=TH!$X$7,O2114=TH!$X$7),"x","")</f>
        <v/>
      </c>
      <c r="Y2114" s="79" t="str">
        <f>IF(AND(OR(N2114="131",O2114="131"),H2114='131-CT'!$H$9),"x","")</f>
        <v/>
      </c>
      <c r="Z2114" s="79"/>
      <c r="AA2114" s="79" t="str">
        <f>IF(AND(MONTH(E2114)='IN-NX'!$J$5,'IN-NX'!$D$7=D2114),"x","")</f>
        <v/>
      </c>
      <c r="AB2114" s="79" t="str">
        <f>IF(AND(OR(LEFT(TH!N2114,2)="15",LEFT(TH!O2114,2)="15"),LEFT(TH!O2114,3)&lt;&gt;"111",'152-CT'!$J$8=TH!F2114),"x","")</f>
        <v/>
      </c>
      <c r="AC2114" s="79" t="str">
        <f>IF(AND(OR(LEFT(TH!N2114,2)="15",LEFT(TH!O2114,2)="15"),TK!$E$7=TH!F2114),"x","")</f>
        <v/>
      </c>
      <c r="AD2114" s="79" t="str">
        <f>IF(AND(N2114="1521",MONTH(C2114)='BK-NL'!$M$11),"x","")</f>
        <v/>
      </c>
    </row>
    <row r="2115" spans="1:30" ht="16.5" customHeight="1">
      <c r="A2115" s="318" t="str">
        <f>IF(B2115&lt;&gt;"",IF(AND(B2115='IN-TC'!$S$4,OR(TH!N2115="1111",TH!O2115="1111")),TH!D2115,""),"")</f>
        <v/>
      </c>
      <c r="B2115" s="60" t="str">
        <f t="shared" si="234"/>
        <v/>
      </c>
      <c r="C2115" s="301"/>
      <c r="D2115" s="301"/>
      <c r="E2115" s="301"/>
      <c r="F2115" s="302"/>
      <c r="G2115" s="968"/>
      <c r="H2115" s="69"/>
      <c r="I2115" s="385"/>
      <c r="J2115" s="969"/>
      <c r="K2115" s="385"/>
      <c r="L2115" s="392"/>
      <c r="M2115" s="970"/>
      <c r="N2115" s="304"/>
      <c r="O2115" s="304"/>
      <c r="P2115" s="79" t="str">
        <f>IF(AND('331-CT'!$E$7=TH!H2115,OR(N2115="331",O2115="331")),"x","")</f>
        <v/>
      </c>
      <c r="Q2115" s="79" t="str">
        <f>IF(AND(B2115='111'!$L$11,OR($N2115=$Q$7,$O2115=$Q$7)),"x","")</f>
        <v/>
      </c>
      <c r="R2115" s="79" t="str">
        <f>IF(AND($N2115=$Q$7,$B2115&lt;'111'!$L$11),"x","")</f>
        <v/>
      </c>
      <c r="S2115" s="79" t="str">
        <f>IF(AND($O2115=$Q$7,$B2115&lt;'111'!$L$11),"x","")</f>
        <v/>
      </c>
      <c r="T2115" s="79" t="str">
        <f>IF(ISERROR(FIND('112'!$M$9,G2115,1)),"",IF((AND(FIND('112'!$M$9,G2115,1)&gt;=1,B2115='112'!$K$9,OR($N2115='112'!$I$6,$O2115='112'!$I$6))),"x",""))</f>
        <v/>
      </c>
      <c r="U2115" s="79" t="str">
        <f>IF(ISERROR(FIND('112'!$M$9,G2115,1)),"",IF((AND(LEFT(G2115,2)=LEFT('112'!$M$9,2),B2115&lt;'112'!$K$9,$N2115='112'!$I$6)),"x",""))</f>
        <v/>
      </c>
      <c r="V2115" s="79" t="str">
        <f>IF(ISERROR(FIND('112'!$M$9,G2115,1)),"",IF((AND(RIGHT(G2115,2)=RIGHT('112'!$M$9,2),B2115&lt;'112'!$K$9,$O2115='112'!$I$6)),"x",""))</f>
        <v/>
      </c>
      <c r="W2115" s="79" t="str">
        <f>IF(AND('341-CT'!$H$9=H2115,OR(LEFT(N2115,3)=$W$7,LEFT(O2115,3)=$W$7)),"x","")</f>
        <v/>
      </c>
      <c r="X2115" s="79" t="str">
        <f>IF(OR(TH!N2115=TH!$X$7,O2115=TH!$X$7),"x","")</f>
        <v/>
      </c>
      <c r="Y2115" s="79" t="str">
        <f>IF(AND(OR(N2115="131",O2115="131"),H2115='131-CT'!$H$9),"x","")</f>
        <v/>
      </c>
      <c r="Z2115" s="79"/>
      <c r="AA2115" s="79" t="str">
        <f>IF(AND(MONTH(E2115)='IN-NX'!$J$5,'IN-NX'!$D$7=D2115),"x","")</f>
        <v/>
      </c>
      <c r="AB2115" s="79" t="str">
        <f>IF(AND(OR(LEFT(TH!N2115,2)="15",LEFT(TH!O2115,2)="15"),LEFT(TH!O2115,3)&lt;&gt;"111",'152-CT'!$J$8=TH!F2115),"x","")</f>
        <v/>
      </c>
      <c r="AC2115" s="79" t="str">
        <f>IF(AND(OR(LEFT(TH!N2115,2)="15",LEFT(TH!O2115,2)="15"),TK!$E$7=TH!F2115),"x","")</f>
        <v/>
      </c>
      <c r="AD2115" s="79" t="str">
        <f>IF(AND(N2115="1521",MONTH(C2115)='BK-NL'!$M$11),"x","")</f>
        <v/>
      </c>
    </row>
    <row r="2116" spans="1:30" ht="16.5" customHeight="1">
      <c r="A2116" s="318" t="str">
        <f>IF(B2116&lt;&gt;"",IF(AND(B2116='IN-TC'!$S$4,OR(TH!N2116="1111",TH!O2116="1111")),TH!D2116,""),"")</f>
        <v/>
      </c>
      <c r="B2116" s="60" t="str">
        <f t="shared" si="234"/>
        <v/>
      </c>
      <c r="C2116" s="301"/>
      <c r="D2116" s="301"/>
      <c r="E2116" s="301"/>
      <c r="F2116" s="302"/>
      <c r="G2116" s="968"/>
      <c r="H2116" s="69"/>
      <c r="I2116" s="385"/>
      <c r="J2116" s="969"/>
      <c r="K2116" s="385"/>
      <c r="L2116" s="392"/>
      <c r="M2116" s="970"/>
      <c r="N2116" s="304"/>
      <c r="O2116" s="304"/>
      <c r="P2116" s="79" t="str">
        <f>IF(AND('331-CT'!$E$7=TH!H2116,OR(N2116="331",O2116="331")),"x","")</f>
        <v/>
      </c>
      <c r="Q2116" s="79" t="str">
        <f>IF(AND(B2116='111'!$L$11,OR($N2116=$Q$7,$O2116=$Q$7)),"x","")</f>
        <v/>
      </c>
      <c r="R2116" s="79" t="str">
        <f>IF(AND($N2116=$Q$7,$B2116&lt;'111'!$L$11),"x","")</f>
        <v/>
      </c>
      <c r="S2116" s="79" t="str">
        <f>IF(AND($O2116=$Q$7,$B2116&lt;'111'!$L$11),"x","")</f>
        <v/>
      </c>
      <c r="T2116" s="79" t="str">
        <f>IF(ISERROR(FIND('112'!$M$9,G2116,1)),"",IF((AND(FIND('112'!$M$9,G2116,1)&gt;=1,B2116='112'!$K$9,OR($N2116='112'!$I$6,$O2116='112'!$I$6))),"x",""))</f>
        <v/>
      </c>
      <c r="U2116" s="79" t="str">
        <f>IF(ISERROR(FIND('112'!$M$9,G2116,1)),"",IF((AND(LEFT(G2116,2)=LEFT('112'!$M$9,2),B2116&lt;'112'!$K$9,$N2116='112'!$I$6)),"x",""))</f>
        <v/>
      </c>
      <c r="V2116" s="79" t="str">
        <f>IF(ISERROR(FIND('112'!$M$9,G2116,1)),"",IF((AND(RIGHT(G2116,2)=RIGHT('112'!$M$9,2),B2116&lt;'112'!$K$9,$O2116='112'!$I$6)),"x",""))</f>
        <v/>
      </c>
      <c r="W2116" s="79" t="str">
        <f>IF(AND('341-CT'!$H$9=H2116,OR(LEFT(N2116,3)=$W$7,LEFT(O2116,3)=$W$7)),"x","")</f>
        <v/>
      </c>
      <c r="X2116" s="79" t="str">
        <f>IF(OR(TH!N2116=TH!$X$7,O2116=TH!$X$7),"x","")</f>
        <v/>
      </c>
      <c r="Y2116" s="79" t="str">
        <f>IF(AND(OR(N2116="131",O2116="131"),H2116='131-CT'!$H$9),"x","")</f>
        <v/>
      </c>
      <c r="Z2116" s="79"/>
      <c r="AA2116" s="79" t="str">
        <f>IF(AND(MONTH(E2116)='IN-NX'!$J$5,'IN-NX'!$D$7=D2116),"x","")</f>
        <v/>
      </c>
      <c r="AB2116" s="79" t="str">
        <f>IF(AND(OR(LEFT(TH!N2116,2)="15",LEFT(TH!O2116,2)="15"),LEFT(TH!O2116,3)&lt;&gt;"111",'152-CT'!$J$8=TH!F2116),"x","")</f>
        <v/>
      </c>
      <c r="AC2116" s="79" t="str">
        <f>IF(AND(OR(LEFT(TH!N2116,2)="15",LEFT(TH!O2116,2)="15"),TK!$E$7=TH!F2116),"x","")</f>
        <v/>
      </c>
      <c r="AD2116" s="79" t="str">
        <f>IF(AND(N2116="1521",MONTH(C2116)='BK-NL'!$M$11),"x","")</f>
        <v/>
      </c>
    </row>
    <row r="2117" spans="1:30" ht="16.5" customHeight="1">
      <c r="A2117" s="318" t="str">
        <f>IF(B2117&lt;&gt;"",IF(AND(B2117='IN-TC'!$S$4,OR(TH!N2117="1111",TH!O2117="1111")),TH!D2117,""),"")</f>
        <v/>
      </c>
      <c r="B2117" s="60" t="str">
        <f t="shared" si="234"/>
        <v/>
      </c>
      <c r="C2117" s="981"/>
      <c r="D2117" s="301"/>
      <c r="E2117" s="981"/>
      <c r="F2117" s="999"/>
      <c r="G2117" s="1130"/>
      <c r="H2117" s="982"/>
      <c r="I2117" s="984"/>
      <c r="J2117" s="983"/>
      <c r="K2117" s="984"/>
      <c r="L2117" s="983"/>
      <c r="M2117" s="985"/>
      <c r="N2117" s="986"/>
      <c r="O2117" s="986"/>
      <c r="P2117" s="79" t="str">
        <f>IF(AND('331-CT'!$E$7=TH!H2117,OR(N2117="331",O2117="331")),"x","")</f>
        <v/>
      </c>
      <c r="Q2117" s="79" t="str">
        <f>IF(AND(B2117='111'!$L$11,OR($N2117=$Q$7,$O2117=$Q$7)),"x","")</f>
        <v/>
      </c>
      <c r="R2117" s="79" t="str">
        <f>IF(AND($N2117=$Q$7,$B2117&lt;'111'!$L$11),"x","")</f>
        <v/>
      </c>
      <c r="S2117" s="79" t="str">
        <f>IF(AND($O2117=$Q$7,$B2117&lt;'111'!$L$11),"x","")</f>
        <v/>
      </c>
      <c r="T2117" s="79" t="str">
        <f>IF(ISERROR(FIND('112'!$M$9,G2117,1)),"",IF((AND(FIND('112'!$M$9,G2117,1)&gt;=1,B2117='112'!$K$9,OR($N2117='112'!$I$6,$O2117='112'!$I$6))),"x",""))</f>
        <v/>
      </c>
      <c r="U2117" s="79" t="str">
        <f>IF(ISERROR(FIND('112'!$M$9,G2117,1)),"",IF((AND(LEFT(G2117,2)=LEFT('112'!$M$9,2),B2117&lt;'112'!$K$9,$N2117='112'!$I$6)),"x",""))</f>
        <v/>
      </c>
      <c r="V2117" s="79" t="str">
        <f>IF(ISERROR(FIND('112'!$M$9,G2117,1)),"",IF((AND(RIGHT(G2117,2)=RIGHT('112'!$M$9,2),B2117&lt;'112'!$K$9,$O2117='112'!$I$6)),"x",""))</f>
        <v/>
      </c>
      <c r="W2117" s="79" t="str">
        <f>IF(AND('341-CT'!$H$9=H2117,OR(LEFT(N2117,3)=$W$7,LEFT(O2117,3)=$W$7)),"x","")</f>
        <v/>
      </c>
      <c r="X2117" s="79" t="str">
        <f>IF(OR(TH!N2117=TH!$X$7,O2117=TH!$X$7),"x","")</f>
        <v/>
      </c>
      <c r="Y2117" s="79" t="str">
        <f>IF(AND(OR(N2117="131",O2117="131"),H2117='131-CT'!$H$9),"x","")</f>
        <v/>
      </c>
      <c r="Z2117" s="79"/>
      <c r="AA2117" s="79" t="str">
        <f>IF(AND(MONTH(E2117)='IN-NX'!$J$5,'IN-NX'!$D$7=D2117),"x","")</f>
        <v/>
      </c>
      <c r="AB2117" s="79" t="str">
        <f>IF(AND(OR(LEFT(TH!N2117,2)="15",LEFT(TH!O2117,2)="15"),LEFT(TH!O2117,3)&lt;&gt;"111",'152-CT'!$J$8=TH!F2117),"x","")</f>
        <v/>
      </c>
      <c r="AC2117" s="79" t="str">
        <f>IF(AND(OR(LEFT(TH!N2117,2)="15",LEFT(TH!O2117,2)="15"),TK!$E$7=TH!F2117),"x","")</f>
        <v/>
      </c>
      <c r="AD2117" s="79" t="str">
        <f>IF(AND(N2117="1521",MONTH(C2117)='BK-NL'!$M$11),"x","")</f>
        <v/>
      </c>
    </row>
    <row r="2118" spans="1:30" ht="16.5" customHeight="1">
      <c r="A2118" s="318" t="str">
        <f>IF(B2118&lt;&gt;"",IF(AND(B2118='IN-TC'!$S$4,OR(TH!N2118="1111",TH!O2118="1111")),TH!D2118,""),"")</f>
        <v/>
      </c>
      <c r="B2118" s="60" t="str">
        <f t="shared" si="234"/>
        <v/>
      </c>
      <c r="C2118" s="981"/>
      <c r="D2118" s="301"/>
      <c r="E2118" s="981"/>
      <c r="F2118" s="999"/>
      <c r="G2118" s="1130"/>
      <c r="H2118" s="982"/>
      <c r="I2118" s="984"/>
      <c r="J2118" s="983"/>
      <c r="K2118" s="984"/>
      <c r="L2118" s="983"/>
      <c r="M2118" s="985"/>
      <c r="N2118" s="986"/>
      <c r="O2118" s="986"/>
      <c r="P2118" s="79" t="str">
        <f>IF(AND('331-CT'!$E$7=TH!H2118,OR(N2118="331",O2118="331")),"x","")</f>
        <v/>
      </c>
      <c r="Q2118" s="79" t="str">
        <f>IF(AND(B2118='111'!$L$11,OR($N2118=$Q$7,$O2118=$Q$7)),"x","")</f>
        <v/>
      </c>
      <c r="R2118" s="79" t="str">
        <f>IF(AND($N2118=$Q$7,$B2118&lt;'111'!$L$11),"x","")</f>
        <v/>
      </c>
      <c r="S2118" s="79" t="str">
        <f>IF(AND($O2118=$Q$7,$B2118&lt;'111'!$L$11),"x","")</f>
        <v/>
      </c>
      <c r="T2118" s="79" t="str">
        <f>IF(ISERROR(FIND('112'!$M$9,G2118,1)),"",IF((AND(FIND('112'!$M$9,G2118,1)&gt;=1,B2118='112'!$K$9,OR($N2118='112'!$I$6,$O2118='112'!$I$6))),"x",""))</f>
        <v/>
      </c>
      <c r="U2118" s="79" t="str">
        <f>IF(ISERROR(FIND('112'!$M$9,G2118,1)),"",IF((AND(LEFT(G2118,2)=LEFT('112'!$M$9,2),B2118&lt;'112'!$K$9,$N2118='112'!$I$6)),"x",""))</f>
        <v/>
      </c>
      <c r="V2118" s="79" t="str">
        <f>IF(ISERROR(FIND('112'!$M$9,G2118,1)),"",IF((AND(RIGHT(G2118,2)=RIGHT('112'!$M$9,2),B2118&lt;'112'!$K$9,$O2118='112'!$I$6)),"x",""))</f>
        <v/>
      </c>
      <c r="W2118" s="79" t="str">
        <f>IF(AND('341-CT'!$H$9=H2118,OR(LEFT(N2118,3)=$W$7,LEFT(O2118,3)=$W$7)),"x","")</f>
        <v/>
      </c>
      <c r="X2118" s="79" t="str">
        <f>IF(OR(TH!N2118=TH!$X$7,O2118=TH!$X$7),"x","")</f>
        <v/>
      </c>
      <c r="Y2118" s="79" t="str">
        <f>IF(AND(OR(N2118="131",O2118="131"),H2118='131-CT'!$H$9),"x","")</f>
        <v/>
      </c>
      <c r="Z2118" s="79"/>
      <c r="AA2118" s="79" t="str">
        <f>IF(AND(MONTH(E2118)='IN-NX'!$J$5,'IN-NX'!$D$7=D2118),"x","")</f>
        <v/>
      </c>
      <c r="AB2118" s="79" t="str">
        <f>IF(AND(OR(LEFT(TH!N2118,2)="15",LEFT(TH!O2118,2)="15"),LEFT(TH!O2118,3)&lt;&gt;"111",'152-CT'!$J$8=TH!F2118),"x","")</f>
        <v/>
      </c>
      <c r="AC2118" s="79" t="str">
        <f>IF(AND(OR(LEFT(TH!N2118,2)="15",LEFT(TH!O2118,2)="15"),TK!$E$7=TH!F2118),"x","")</f>
        <v/>
      </c>
      <c r="AD2118" s="79" t="str">
        <f>IF(AND(N2118="1521",MONTH(C2118)='BK-NL'!$M$11),"x","")</f>
        <v/>
      </c>
    </row>
    <row r="2119" spans="1:30" ht="16.5" customHeight="1">
      <c r="A2119" s="318" t="str">
        <f>IF(B2119&lt;&gt;"",IF(AND(B2119='IN-TC'!$S$4,OR(TH!N2119="1111",TH!O2119="1111")),TH!D2119,""),"")</f>
        <v/>
      </c>
      <c r="B2119" s="60" t="str">
        <f t="shared" si="234"/>
        <v/>
      </c>
      <c r="C2119" s="301"/>
      <c r="D2119" s="301"/>
      <c r="E2119" s="301"/>
      <c r="F2119" s="302"/>
      <c r="G2119" s="968"/>
      <c r="H2119" s="69"/>
      <c r="I2119" s="385"/>
      <c r="J2119" s="969"/>
      <c r="K2119" s="385"/>
      <c r="L2119" s="392"/>
      <c r="M2119" s="970"/>
      <c r="N2119" s="304"/>
      <c r="O2119" s="304"/>
      <c r="P2119" s="79" t="str">
        <f>IF(AND('331-CT'!$E$7=TH!H2119,OR(N2119="331",O2119="331")),"x","")</f>
        <v/>
      </c>
      <c r="Q2119" s="79" t="str">
        <f>IF(AND(B2119='111'!$L$11,OR($N2119=$Q$7,$O2119=$Q$7)),"x","")</f>
        <v/>
      </c>
      <c r="R2119" s="79" t="str">
        <f>IF(AND($N2119=$Q$7,$B2119&lt;'111'!$L$11),"x","")</f>
        <v/>
      </c>
      <c r="S2119" s="79" t="str">
        <f>IF(AND($O2119=$Q$7,$B2119&lt;'111'!$L$11),"x","")</f>
        <v/>
      </c>
      <c r="T2119" s="79" t="str">
        <f>IF(ISERROR(FIND('112'!$M$9,G2119,1)),"",IF((AND(FIND('112'!$M$9,G2119,1)&gt;=1,B2119='112'!$K$9,OR($N2119='112'!$I$6,$O2119='112'!$I$6))),"x",""))</f>
        <v/>
      </c>
      <c r="U2119" s="79" t="str">
        <f>IF(ISERROR(FIND('112'!$M$9,G2119,1)),"",IF((AND(LEFT(G2119,2)=LEFT('112'!$M$9,2),B2119&lt;'112'!$K$9,$N2119='112'!$I$6)),"x",""))</f>
        <v/>
      </c>
      <c r="V2119" s="79" t="str">
        <f>IF(ISERROR(FIND('112'!$M$9,G2119,1)),"",IF((AND(RIGHT(G2119,2)=RIGHT('112'!$M$9,2),B2119&lt;'112'!$K$9,$O2119='112'!$I$6)),"x",""))</f>
        <v/>
      </c>
      <c r="W2119" s="79" t="str">
        <f>IF(AND('341-CT'!$H$9=H2119,OR(LEFT(N2119,3)=$W$7,LEFT(O2119,3)=$W$7)),"x","")</f>
        <v/>
      </c>
      <c r="X2119" s="79" t="str">
        <f>IF(OR(TH!N2119=TH!$X$7,O2119=TH!$X$7),"x","")</f>
        <v/>
      </c>
      <c r="Y2119" s="79" t="str">
        <f>IF(AND(OR(N2119="131",O2119="131"),H2119='131-CT'!$H$9),"x","")</f>
        <v/>
      </c>
      <c r="Z2119" s="79"/>
      <c r="AA2119" s="79" t="str">
        <f>IF(AND(MONTH(E2119)='IN-NX'!$J$5,'IN-NX'!$D$7=D2119),"x","")</f>
        <v/>
      </c>
      <c r="AB2119" s="79" t="str">
        <f>IF(AND(OR(LEFT(TH!N2119,2)="15",LEFT(TH!O2119,2)="15"),LEFT(TH!O2119,3)&lt;&gt;"111",'152-CT'!$J$8=TH!F2119),"x","")</f>
        <v/>
      </c>
      <c r="AC2119" s="79" t="str">
        <f>IF(AND(OR(LEFT(TH!N2119,2)="15",LEFT(TH!O2119,2)="15"),TK!$E$7=TH!F2119),"x","")</f>
        <v/>
      </c>
      <c r="AD2119" s="79" t="str">
        <f>IF(AND(N2119="1521",MONTH(C2119)='BK-NL'!$M$11),"x","")</f>
        <v/>
      </c>
    </row>
    <row r="2120" spans="1:30" ht="16.5" customHeight="1">
      <c r="A2120" s="318" t="str">
        <f>IF(B2120&lt;&gt;"",IF(AND(B2120='IN-TC'!$S$4,OR(TH!N2120="1111",TH!O2120="1111")),TH!D2120,""),"")</f>
        <v/>
      </c>
      <c r="B2120" s="60" t="str">
        <f t="shared" si="234"/>
        <v/>
      </c>
      <c r="C2120" s="301"/>
      <c r="D2120" s="301"/>
      <c r="E2120" s="301"/>
      <c r="F2120" s="302"/>
      <c r="G2120" s="968"/>
      <c r="H2120" s="69"/>
      <c r="I2120" s="385"/>
      <c r="J2120" s="969"/>
      <c r="K2120" s="385"/>
      <c r="L2120" s="392"/>
      <c r="M2120" s="970"/>
      <c r="N2120" s="304"/>
      <c r="O2120" s="304"/>
      <c r="P2120" s="79" t="str">
        <f>IF(AND('331-CT'!$E$7=TH!H2120,OR(N2120="331",O2120="331")),"x","")</f>
        <v/>
      </c>
      <c r="Q2120" s="79" t="str">
        <f>IF(AND(B2120='111'!$L$11,OR($N2120=$Q$7,$O2120=$Q$7)),"x","")</f>
        <v/>
      </c>
      <c r="R2120" s="79" t="str">
        <f>IF(AND($N2120=$Q$7,$B2120&lt;'111'!$L$11),"x","")</f>
        <v/>
      </c>
      <c r="S2120" s="79" t="str">
        <f>IF(AND($O2120=$Q$7,$B2120&lt;'111'!$L$11),"x","")</f>
        <v/>
      </c>
      <c r="T2120" s="79" t="str">
        <f>IF(ISERROR(FIND('112'!$M$9,G2120,1)),"",IF((AND(FIND('112'!$M$9,G2120,1)&gt;=1,B2120='112'!$K$9,OR($N2120='112'!$I$6,$O2120='112'!$I$6))),"x",""))</f>
        <v/>
      </c>
      <c r="U2120" s="79" t="str">
        <f>IF(ISERROR(FIND('112'!$M$9,G2120,1)),"",IF((AND(LEFT(G2120,2)=LEFT('112'!$M$9,2),B2120&lt;'112'!$K$9,$N2120='112'!$I$6)),"x",""))</f>
        <v/>
      </c>
      <c r="V2120" s="79" t="str">
        <f>IF(ISERROR(FIND('112'!$M$9,G2120,1)),"",IF((AND(RIGHT(G2120,2)=RIGHT('112'!$M$9,2),B2120&lt;'112'!$K$9,$O2120='112'!$I$6)),"x",""))</f>
        <v/>
      </c>
      <c r="W2120" s="79" t="str">
        <f>IF(AND('341-CT'!$H$9=H2120,OR(LEFT(N2120,3)=$W$7,LEFT(O2120,3)=$W$7)),"x","")</f>
        <v/>
      </c>
      <c r="X2120" s="79" t="str">
        <f>IF(OR(TH!N2120=TH!$X$7,O2120=TH!$X$7),"x","")</f>
        <v/>
      </c>
      <c r="Y2120" s="79" t="str">
        <f>IF(AND(OR(N2120="131",O2120="131"),H2120='131-CT'!$H$9),"x","")</f>
        <v/>
      </c>
      <c r="Z2120" s="79"/>
      <c r="AA2120" s="79" t="str">
        <f>IF(AND(MONTH(E2120)='IN-NX'!$J$5,'IN-NX'!$D$7=D2120),"x","")</f>
        <v/>
      </c>
      <c r="AB2120" s="79" t="str">
        <f>IF(AND(OR(LEFT(TH!N2120,2)="15",LEFT(TH!O2120,2)="15"),LEFT(TH!O2120,3)&lt;&gt;"111",'152-CT'!$J$8=TH!F2120),"x","")</f>
        <v/>
      </c>
      <c r="AC2120" s="79" t="str">
        <f>IF(AND(OR(LEFT(TH!N2120,2)="15",LEFT(TH!O2120,2)="15"),TK!$E$7=TH!F2120),"x","")</f>
        <v/>
      </c>
      <c r="AD2120" s="79" t="str">
        <f>IF(AND(N2120="1521",MONTH(C2120)='BK-NL'!$M$11),"x","")</f>
        <v/>
      </c>
    </row>
    <row r="2121" spans="1:30" ht="16.5" customHeight="1">
      <c r="A2121" s="318" t="str">
        <f>IF(B2121&lt;&gt;"",IF(AND(B2121='IN-TC'!$S$4,OR(TH!N2121="1111",TH!O2121="1111")),TH!D2121,""),"")</f>
        <v/>
      </c>
      <c r="B2121" s="60" t="str">
        <f t="shared" ref="B2121:B2174" si="235">IF(C2121&lt;&gt;"",MONTH(C2121),"")</f>
        <v/>
      </c>
      <c r="C2121" s="301"/>
      <c r="D2121" s="301"/>
      <c r="E2121" s="301"/>
      <c r="F2121" s="302"/>
      <c r="G2121" s="968"/>
      <c r="H2121" s="69"/>
      <c r="I2121" s="385"/>
      <c r="J2121" s="969"/>
      <c r="K2121" s="385"/>
      <c r="L2121" s="392"/>
      <c r="M2121" s="970"/>
      <c r="N2121" s="304"/>
      <c r="O2121" s="304"/>
      <c r="P2121" s="79" t="str">
        <f>IF(AND('331-CT'!$E$7=TH!H2121,OR(N2121="331",O2121="331")),"x","")</f>
        <v/>
      </c>
      <c r="Q2121" s="79" t="str">
        <f>IF(AND(B2121='111'!$L$11,OR($N2121=$Q$7,$O2121=$Q$7)),"x","")</f>
        <v/>
      </c>
      <c r="R2121" s="79" t="str">
        <f>IF(AND($N2121=$Q$7,$B2121&lt;'111'!$L$11),"x","")</f>
        <v/>
      </c>
      <c r="S2121" s="79" t="str">
        <f>IF(AND($O2121=$Q$7,$B2121&lt;'111'!$L$11),"x","")</f>
        <v/>
      </c>
      <c r="T2121" s="79" t="str">
        <f>IF(ISERROR(FIND('112'!$M$9,G2121,1)),"",IF((AND(FIND('112'!$M$9,G2121,1)&gt;=1,B2121='112'!$K$9,OR($N2121='112'!$I$6,$O2121='112'!$I$6))),"x",""))</f>
        <v/>
      </c>
      <c r="U2121" s="79" t="str">
        <f>IF(ISERROR(FIND('112'!$M$9,G2121,1)),"",IF((AND(LEFT(G2121,2)=LEFT('112'!$M$9,2),B2121&lt;'112'!$K$9,$N2121='112'!$I$6)),"x",""))</f>
        <v/>
      </c>
      <c r="V2121" s="79" t="str">
        <f>IF(ISERROR(FIND('112'!$M$9,G2121,1)),"",IF((AND(RIGHT(G2121,2)=RIGHT('112'!$M$9,2),B2121&lt;'112'!$K$9,$O2121='112'!$I$6)),"x",""))</f>
        <v/>
      </c>
      <c r="W2121" s="79" t="str">
        <f>IF(AND('341-CT'!$H$9=H2121,OR(LEFT(N2121,3)=$W$7,LEFT(O2121,3)=$W$7)),"x","")</f>
        <v/>
      </c>
      <c r="X2121" s="79" t="str">
        <f>IF(OR(TH!N2121=TH!$X$7,O2121=TH!$X$7),"x","")</f>
        <v/>
      </c>
      <c r="Y2121" s="79" t="str">
        <f>IF(AND(OR(N2121="131",O2121="131"),H2121='131-CT'!$H$9),"x","")</f>
        <v/>
      </c>
      <c r="Z2121" s="79"/>
      <c r="AA2121" s="79" t="str">
        <f>IF(AND(MONTH(E2121)='IN-NX'!$J$5,'IN-NX'!$D$7=D2121),"x","")</f>
        <v/>
      </c>
      <c r="AB2121" s="79" t="str">
        <f>IF(AND(OR(LEFT(TH!N2121,2)="15",LEFT(TH!O2121,2)="15"),LEFT(TH!O2121,3)&lt;&gt;"111",'152-CT'!$J$8=TH!F2121),"x","")</f>
        <v/>
      </c>
      <c r="AC2121" s="79" t="str">
        <f>IF(AND(OR(LEFT(TH!N2121,2)="15",LEFT(TH!O2121,2)="15"),TK!$E$7=TH!F2121),"x","")</f>
        <v/>
      </c>
      <c r="AD2121" s="79" t="str">
        <f>IF(AND(N2121="1521",MONTH(C2121)='BK-NL'!$M$11),"x","")</f>
        <v/>
      </c>
    </row>
    <row r="2122" spans="1:30" ht="16.5" customHeight="1">
      <c r="A2122" s="318" t="str">
        <f>IF(B2122&lt;&gt;"",IF(AND(B2122='IN-TC'!$S$4,OR(TH!N2122="1111",TH!O2122="1111")),TH!D2122,""),"")</f>
        <v/>
      </c>
      <c r="B2122" s="60" t="str">
        <f t="shared" si="235"/>
        <v/>
      </c>
      <c r="C2122" s="301"/>
      <c r="D2122" s="301"/>
      <c r="E2122" s="301"/>
      <c r="F2122" s="302"/>
      <c r="G2122" s="968"/>
      <c r="H2122" s="69"/>
      <c r="I2122" s="385"/>
      <c r="J2122" s="969"/>
      <c r="K2122" s="385"/>
      <c r="L2122" s="392"/>
      <c r="M2122" s="970"/>
      <c r="N2122" s="304"/>
      <c r="O2122" s="304"/>
      <c r="P2122" s="79" t="str">
        <f>IF(AND('331-CT'!$E$7=TH!H2122,OR(N2122="331",O2122="331")),"x","")</f>
        <v/>
      </c>
      <c r="Q2122" s="79" t="str">
        <f>IF(AND(B2122='111'!$L$11,OR($N2122=$Q$7,$O2122=$Q$7)),"x","")</f>
        <v/>
      </c>
      <c r="R2122" s="79" t="str">
        <f>IF(AND($N2122=$Q$7,$B2122&lt;'111'!$L$11),"x","")</f>
        <v/>
      </c>
      <c r="S2122" s="79" t="str">
        <f>IF(AND($O2122=$Q$7,$B2122&lt;'111'!$L$11),"x","")</f>
        <v/>
      </c>
      <c r="T2122" s="79" t="str">
        <f>IF(ISERROR(FIND('112'!$M$9,G2122,1)),"",IF((AND(FIND('112'!$M$9,G2122,1)&gt;=1,B2122='112'!$K$9,OR($N2122='112'!$I$6,$O2122='112'!$I$6))),"x",""))</f>
        <v/>
      </c>
      <c r="U2122" s="79" t="str">
        <f>IF(ISERROR(FIND('112'!$M$9,G2122,1)),"",IF((AND(LEFT(G2122,2)=LEFT('112'!$M$9,2),B2122&lt;'112'!$K$9,$N2122='112'!$I$6)),"x",""))</f>
        <v/>
      </c>
      <c r="V2122" s="79" t="str">
        <f>IF(ISERROR(FIND('112'!$M$9,G2122,1)),"",IF((AND(RIGHT(G2122,2)=RIGHT('112'!$M$9,2),B2122&lt;'112'!$K$9,$O2122='112'!$I$6)),"x",""))</f>
        <v/>
      </c>
      <c r="W2122" s="79" t="str">
        <f>IF(AND('341-CT'!$H$9=H2122,OR(LEFT(N2122,3)=$W$7,LEFT(O2122,3)=$W$7)),"x","")</f>
        <v/>
      </c>
      <c r="X2122" s="79" t="str">
        <f>IF(OR(TH!N2122=TH!$X$7,O2122=TH!$X$7),"x","")</f>
        <v/>
      </c>
      <c r="Y2122" s="79" t="str">
        <f>IF(AND(OR(N2122="131",O2122="131"),H2122='131-CT'!$H$9),"x","")</f>
        <v/>
      </c>
      <c r="Z2122" s="79"/>
      <c r="AA2122" s="79" t="str">
        <f>IF(AND(MONTH(E2122)='IN-NX'!$J$5,'IN-NX'!$D$7=D2122),"x","")</f>
        <v/>
      </c>
      <c r="AB2122" s="79" t="str">
        <f>IF(AND(OR(LEFT(TH!N2122,2)="15",LEFT(TH!O2122,2)="15"),LEFT(TH!O2122,3)&lt;&gt;"111",'152-CT'!$J$8=TH!F2122),"x","")</f>
        <v/>
      </c>
      <c r="AC2122" s="79" t="str">
        <f>IF(AND(OR(LEFT(TH!N2122,2)="15",LEFT(TH!O2122,2)="15"),TK!$E$7=TH!F2122),"x","")</f>
        <v/>
      </c>
      <c r="AD2122" s="79" t="str">
        <f>IF(AND(N2122="1521",MONTH(C2122)='BK-NL'!$M$11),"x","")</f>
        <v/>
      </c>
    </row>
    <row r="2123" spans="1:30" ht="16.5" customHeight="1">
      <c r="A2123" s="318" t="str">
        <f>IF(B2123&lt;&gt;"",IF(AND(B2123='IN-TC'!$S$4,OR(TH!N2123="1111",TH!O2123="1111")),TH!D2123,""),"")</f>
        <v/>
      </c>
      <c r="B2123" s="60" t="str">
        <f t="shared" si="235"/>
        <v/>
      </c>
      <c r="C2123" s="301"/>
      <c r="D2123" s="301"/>
      <c r="E2123" s="301"/>
      <c r="F2123" s="302"/>
      <c r="G2123" s="968"/>
      <c r="H2123" s="69"/>
      <c r="I2123" s="385"/>
      <c r="J2123" s="969"/>
      <c r="K2123" s="385"/>
      <c r="L2123" s="392"/>
      <c r="M2123" s="970"/>
      <c r="N2123" s="304"/>
      <c r="O2123" s="304"/>
      <c r="P2123" s="79" t="str">
        <f>IF(AND('331-CT'!$E$7=TH!H2123,OR(N2123="331",O2123="331")),"x","")</f>
        <v/>
      </c>
      <c r="Q2123" s="79" t="str">
        <f>IF(AND(B2123='111'!$L$11,OR($N2123=$Q$7,$O2123=$Q$7)),"x","")</f>
        <v/>
      </c>
      <c r="R2123" s="79" t="str">
        <f>IF(AND($N2123=$Q$7,$B2123&lt;'111'!$L$11),"x","")</f>
        <v/>
      </c>
      <c r="S2123" s="79" t="str">
        <f>IF(AND($O2123=$Q$7,$B2123&lt;'111'!$L$11),"x","")</f>
        <v/>
      </c>
      <c r="T2123" s="79" t="str">
        <f>IF(ISERROR(FIND('112'!$M$9,G2123,1)),"",IF((AND(FIND('112'!$M$9,G2123,1)&gt;=1,B2123='112'!$K$9,OR($N2123='112'!$I$6,$O2123='112'!$I$6))),"x",""))</f>
        <v/>
      </c>
      <c r="U2123" s="79" t="str">
        <f>IF(ISERROR(FIND('112'!$M$9,G2123,1)),"",IF((AND(LEFT(G2123,2)=LEFT('112'!$M$9,2),B2123&lt;'112'!$K$9,$N2123='112'!$I$6)),"x",""))</f>
        <v/>
      </c>
      <c r="V2123" s="79" t="str">
        <f>IF(ISERROR(FIND('112'!$M$9,G2123,1)),"",IF((AND(RIGHT(G2123,2)=RIGHT('112'!$M$9,2),B2123&lt;'112'!$K$9,$O2123='112'!$I$6)),"x",""))</f>
        <v/>
      </c>
      <c r="W2123" s="79" t="str">
        <f>IF(AND('341-CT'!$H$9=H2123,OR(LEFT(N2123,3)=$W$7,LEFT(O2123,3)=$W$7)),"x","")</f>
        <v/>
      </c>
      <c r="X2123" s="79" t="str">
        <f>IF(OR(TH!N2123=TH!$X$7,O2123=TH!$X$7),"x","")</f>
        <v/>
      </c>
      <c r="Y2123" s="79" t="str">
        <f>IF(AND(OR(N2123="131",O2123="131"),H2123='131-CT'!$H$9),"x","")</f>
        <v/>
      </c>
      <c r="Z2123" s="79"/>
      <c r="AA2123" s="79" t="str">
        <f>IF(AND(MONTH(E2123)='IN-NX'!$J$5,'IN-NX'!$D$7=D2123),"x","")</f>
        <v/>
      </c>
      <c r="AB2123" s="79" t="str">
        <f>IF(AND(OR(LEFT(TH!N2123,2)="15",LEFT(TH!O2123,2)="15"),LEFT(TH!O2123,3)&lt;&gt;"111",'152-CT'!$J$8=TH!F2123),"x","")</f>
        <v/>
      </c>
      <c r="AC2123" s="79" t="str">
        <f>IF(AND(OR(LEFT(TH!N2123,2)="15",LEFT(TH!O2123,2)="15"),TK!$E$7=TH!F2123),"x","")</f>
        <v/>
      </c>
      <c r="AD2123" s="79" t="str">
        <f>IF(AND(N2123="1521",MONTH(C2123)='BK-NL'!$M$11),"x","")</f>
        <v/>
      </c>
    </row>
    <row r="2124" spans="1:30" ht="16.5" customHeight="1">
      <c r="A2124" s="318" t="str">
        <f>IF(B2124&lt;&gt;"",IF(AND(B2124='IN-TC'!$S$4,OR(TH!N2124="1111",TH!O2124="1111")),TH!D2124,""),"")</f>
        <v/>
      </c>
      <c r="B2124" s="60" t="str">
        <f t="shared" si="235"/>
        <v/>
      </c>
      <c r="C2124" s="301"/>
      <c r="D2124" s="301"/>
      <c r="E2124" s="301"/>
      <c r="F2124" s="1162"/>
      <c r="G2124" s="968"/>
      <c r="H2124" s="303"/>
      <c r="I2124" s="385"/>
      <c r="J2124" s="969"/>
      <c r="K2124" s="385"/>
      <c r="L2124" s="392"/>
      <c r="M2124" s="970"/>
      <c r="N2124" s="304"/>
      <c r="O2124" s="304"/>
      <c r="P2124" s="79" t="str">
        <f>IF(AND('331-CT'!$E$7=TH!H2124,OR(N2124="331",O2124="331")),"x","")</f>
        <v/>
      </c>
      <c r="Q2124" s="79" t="str">
        <f>IF(AND(B2124='111'!$L$11,OR($N2124=$Q$7,$O2124=$Q$7)),"x","")</f>
        <v/>
      </c>
      <c r="R2124" s="79" t="str">
        <f>IF(AND($N2124=$Q$7,$B2124&lt;'111'!$L$11),"x","")</f>
        <v/>
      </c>
      <c r="S2124" s="79" t="str">
        <f>IF(AND($O2124=$Q$7,$B2124&lt;'111'!$L$11),"x","")</f>
        <v/>
      </c>
      <c r="T2124" s="79" t="str">
        <f>IF(ISERROR(FIND('112'!$M$9,G2124,1)),"",IF((AND(FIND('112'!$M$9,G2124,1)&gt;=1,B2124='112'!$K$9,OR($N2124='112'!$I$6,$O2124='112'!$I$6))),"x",""))</f>
        <v/>
      </c>
      <c r="U2124" s="79" t="str">
        <f>IF(ISERROR(FIND('112'!$M$9,G2124,1)),"",IF((AND(LEFT(G2124,2)=LEFT('112'!$M$9,2),B2124&lt;'112'!$K$9,$N2124='112'!$I$6)),"x",""))</f>
        <v/>
      </c>
      <c r="V2124" s="79" t="str">
        <f>IF(ISERROR(FIND('112'!$M$9,G2124,1)),"",IF((AND(RIGHT(G2124,2)=RIGHT('112'!$M$9,2),B2124&lt;'112'!$K$9,$O2124='112'!$I$6)),"x",""))</f>
        <v/>
      </c>
      <c r="W2124" s="79" t="str">
        <f>IF(AND('341-CT'!$H$9=H2124,OR(LEFT(N2124,3)=$W$7,LEFT(O2124,3)=$W$7)),"x","")</f>
        <v/>
      </c>
      <c r="X2124" s="79" t="str">
        <f>IF(OR(TH!N2124=TH!$X$7,O2124=TH!$X$7),"x","")</f>
        <v/>
      </c>
      <c r="Y2124" s="79" t="str">
        <f>IF(AND(OR(N2124="131",O2124="131"),H2124='131-CT'!$H$9),"x","")</f>
        <v/>
      </c>
      <c r="Z2124" s="79"/>
      <c r="AA2124" s="79" t="str">
        <f>IF(AND(MONTH(E2124)='IN-NX'!$J$5,'IN-NX'!$D$7=D2124),"x","")</f>
        <v/>
      </c>
      <c r="AB2124" s="79" t="str">
        <f>IF(AND(OR(LEFT(TH!N2124,2)="15",LEFT(TH!O2124,2)="15"),LEFT(TH!O2124,3)&lt;&gt;"111",'152-CT'!$J$8=TH!F2124),"x","")</f>
        <v/>
      </c>
      <c r="AC2124" s="79" t="str">
        <f>IF(AND(OR(LEFT(TH!N2124,2)="15",LEFT(TH!O2124,2)="15"),TK!$E$7=TH!F2124),"x","")</f>
        <v/>
      </c>
      <c r="AD2124" s="79" t="str">
        <f>IF(AND(N2124="1521",MONTH(C2124)='BK-NL'!$M$11),"x","")</f>
        <v/>
      </c>
    </row>
    <row r="2125" spans="1:30" ht="16.5" customHeight="1">
      <c r="A2125" s="318" t="str">
        <f>IF(B2125&lt;&gt;"",IF(AND(B2125='IN-TC'!$S$4,OR(TH!N2125="1111",TH!O2125="1111")),TH!D2125,""),"")</f>
        <v/>
      </c>
      <c r="B2125" s="60" t="str">
        <f t="shared" si="235"/>
        <v/>
      </c>
      <c r="C2125" s="301"/>
      <c r="D2125" s="301"/>
      <c r="E2125" s="301"/>
      <c r="F2125" s="1162"/>
      <c r="G2125" s="968"/>
      <c r="H2125" s="303"/>
      <c r="I2125" s="385"/>
      <c r="J2125" s="969"/>
      <c r="K2125" s="385"/>
      <c r="L2125" s="392"/>
      <c r="M2125" s="970"/>
      <c r="N2125" s="304"/>
      <c r="O2125" s="304"/>
      <c r="P2125" s="79" t="str">
        <f>IF(AND('331-CT'!$E$7=TH!H2125,OR(N2125="331",O2125="331")),"x","")</f>
        <v/>
      </c>
      <c r="Q2125" s="79" t="str">
        <f>IF(AND(B2125='111'!$L$11,OR($N2125=$Q$7,$O2125=$Q$7)),"x","")</f>
        <v/>
      </c>
      <c r="R2125" s="79" t="str">
        <f>IF(AND($N2125=$Q$7,$B2125&lt;'111'!$L$11),"x","")</f>
        <v/>
      </c>
      <c r="S2125" s="79" t="str">
        <f>IF(AND($O2125=$Q$7,$B2125&lt;'111'!$L$11),"x","")</f>
        <v/>
      </c>
      <c r="T2125" s="79" t="str">
        <f>IF(ISERROR(FIND('112'!$M$9,G2125,1)),"",IF((AND(FIND('112'!$M$9,G2125,1)&gt;=1,B2125='112'!$K$9,OR($N2125='112'!$I$6,$O2125='112'!$I$6))),"x",""))</f>
        <v/>
      </c>
      <c r="U2125" s="79" t="str">
        <f>IF(ISERROR(FIND('112'!$M$9,G2125,1)),"",IF((AND(LEFT(G2125,2)=LEFT('112'!$M$9,2),B2125&lt;'112'!$K$9,$N2125='112'!$I$6)),"x",""))</f>
        <v/>
      </c>
      <c r="V2125" s="79" t="str">
        <f>IF(ISERROR(FIND('112'!$M$9,G2125,1)),"",IF((AND(RIGHT(G2125,2)=RIGHT('112'!$M$9,2),B2125&lt;'112'!$K$9,$O2125='112'!$I$6)),"x",""))</f>
        <v/>
      </c>
      <c r="W2125" s="79" t="str">
        <f>IF(AND('341-CT'!$H$9=H2125,OR(LEFT(N2125,3)=$W$7,LEFT(O2125,3)=$W$7)),"x","")</f>
        <v/>
      </c>
      <c r="X2125" s="79" t="str">
        <f>IF(OR(TH!N2125=TH!$X$7,O2125=TH!$X$7),"x","")</f>
        <v/>
      </c>
      <c r="Y2125" s="79" t="str">
        <f>IF(AND(OR(N2125="131",O2125="131"),H2125='131-CT'!$H$9),"x","")</f>
        <v/>
      </c>
      <c r="Z2125" s="79"/>
      <c r="AA2125" s="79" t="str">
        <f>IF(AND(MONTH(E2125)='IN-NX'!$J$5,'IN-NX'!$D$7=D2125),"x","")</f>
        <v/>
      </c>
      <c r="AB2125" s="79" t="str">
        <f>IF(AND(OR(LEFT(TH!N2125,2)="15",LEFT(TH!O2125,2)="15"),LEFT(TH!O2125,3)&lt;&gt;"111",'152-CT'!$J$8=TH!F2125),"x","")</f>
        <v/>
      </c>
      <c r="AC2125" s="79" t="str">
        <f>IF(AND(OR(LEFT(TH!N2125,2)="15",LEFT(TH!O2125,2)="15"),TK!$E$7=TH!F2125),"x","")</f>
        <v/>
      </c>
      <c r="AD2125" s="79" t="str">
        <f>IF(AND(N2125="1521",MONTH(C2125)='BK-NL'!$M$11),"x","")</f>
        <v/>
      </c>
    </row>
    <row r="2126" spans="1:30" ht="16.5" customHeight="1">
      <c r="A2126" s="318" t="str">
        <f>IF(B2126&lt;&gt;"",IF(AND(B2126='IN-TC'!$S$4,OR(TH!N2126="1111",TH!O2126="1111")),TH!D2126,""),"")</f>
        <v/>
      </c>
      <c r="B2126" s="60" t="str">
        <f t="shared" si="235"/>
        <v/>
      </c>
      <c r="C2126" s="301"/>
      <c r="D2126" s="301"/>
      <c r="E2126" s="301"/>
      <c r="F2126" s="69"/>
      <c r="G2126" s="968"/>
      <c r="H2126" s="303"/>
      <c r="I2126" s="385"/>
      <c r="J2126" s="969"/>
      <c r="K2126" s="385"/>
      <c r="L2126" s="392"/>
      <c r="M2126" s="970"/>
      <c r="N2126" s="304"/>
      <c r="O2126" s="304"/>
      <c r="P2126" s="79" t="str">
        <f>IF(AND('331-CT'!$E$7=TH!H2126,OR(N2126="331",O2126="331")),"x","")</f>
        <v/>
      </c>
      <c r="Q2126" s="79" t="str">
        <f>IF(AND(B2126='111'!$L$11,OR($N2126=$Q$7,$O2126=$Q$7)),"x","")</f>
        <v/>
      </c>
      <c r="R2126" s="79" t="str">
        <f>IF(AND($N2126=$Q$7,$B2126&lt;'111'!$L$11),"x","")</f>
        <v/>
      </c>
      <c r="S2126" s="79" t="str">
        <f>IF(AND($O2126=$Q$7,$B2126&lt;'111'!$L$11),"x","")</f>
        <v/>
      </c>
      <c r="T2126" s="79" t="str">
        <f>IF(ISERROR(FIND('112'!$M$9,G2126,1)),"",IF((AND(FIND('112'!$M$9,G2126,1)&gt;=1,B2126='112'!$K$9,OR($N2126='112'!$I$6,$O2126='112'!$I$6))),"x",""))</f>
        <v/>
      </c>
      <c r="U2126" s="79" t="str">
        <f>IF(ISERROR(FIND('112'!$M$9,G2126,1)),"",IF((AND(LEFT(G2126,2)=LEFT('112'!$M$9,2),B2126&lt;'112'!$K$9,$N2126='112'!$I$6)),"x",""))</f>
        <v/>
      </c>
      <c r="V2126" s="79" t="str">
        <f>IF(ISERROR(FIND('112'!$M$9,G2126,1)),"",IF((AND(RIGHT(G2126,2)=RIGHT('112'!$M$9,2),B2126&lt;'112'!$K$9,$O2126='112'!$I$6)),"x",""))</f>
        <v/>
      </c>
      <c r="W2126" s="79" t="str">
        <f>IF(AND('341-CT'!$H$9=H2126,OR(LEFT(N2126,3)=$W$7,LEFT(O2126,3)=$W$7)),"x","")</f>
        <v/>
      </c>
      <c r="X2126" s="79" t="str">
        <f>IF(OR(TH!N2126=TH!$X$7,O2126=TH!$X$7),"x","")</f>
        <v/>
      </c>
      <c r="Y2126" s="79" t="str">
        <f>IF(AND(OR(N2126="131",O2126="131"),H2126='131-CT'!$H$9),"x","")</f>
        <v/>
      </c>
      <c r="Z2126" s="79"/>
      <c r="AA2126" s="79" t="str">
        <f>IF(AND(MONTH(E2126)='IN-NX'!$J$5,'IN-NX'!$D$7=D2126),"x","")</f>
        <v/>
      </c>
      <c r="AB2126" s="79" t="str">
        <f>IF(AND(OR(LEFT(TH!N2126,2)="15",LEFT(TH!O2126,2)="15"),LEFT(TH!O2126,3)&lt;&gt;"111",'152-CT'!$J$8=TH!F2126),"x","")</f>
        <v/>
      </c>
      <c r="AC2126" s="79" t="str">
        <f>IF(AND(OR(LEFT(TH!N2126,2)="15",LEFT(TH!O2126,2)="15"),TK!$E$7=TH!F2126),"x","")</f>
        <v/>
      </c>
      <c r="AD2126" s="79" t="str">
        <f>IF(AND(N2126="1521",MONTH(C2126)='BK-NL'!$M$11),"x","")</f>
        <v/>
      </c>
    </row>
    <row r="2127" spans="1:30" ht="16.5" customHeight="1">
      <c r="A2127" s="318" t="str">
        <f>IF(B2127&lt;&gt;"",IF(AND(B2127='IN-TC'!$S$4,OR(TH!N2127="1111",TH!O2127="1111")),TH!D2127,""),"")</f>
        <v/>
      </c>
      <c r="B2127" s="60" t="str">
        <f t="shared" si="235"/>
        <v/>
      </c>
      <c r="C2127" s="301"/>
      <c r="D2127" s="301"/>
      <c r="E2127" s="301"/>
      <c r="F2127" s="302"/>
      <c r="G2127" s="968"/>
      <c r="H2127" s="69"/>
      <c r="I2127" s="385"/>
      <c r="J2127" s="969"/>
      <c r="K2127" s="385"/>
      <c r="L2127" s="392"/>
      <c r="M2127" s="970"/>
      <c r="N2127" s="304"/>
      <c r="O2127" s="304"/>
      <c r="P2127" s="79" t="str">
        <f>IF(AND('331-CT'!$E$7=TH!H2127,OR(N2127="331",O2127="331")),"x","")</f>
        <v/>
      </c>
      <c r="Q2127" s="79" t="str">
        <f>IF(AND(B2127='111'!$L$11,OR($N2127=$Q$7,$O2127=$Q$7)),"x","")</f>
        <v/>
      </c>
      <c r="R2127" s="79" t="str">
        <f>IF(AND($N2127=$Q$7,$B2127&lt;'111'!$L$11),"x","")</f>
        <v/>
      </c>
      <c r="S2127" s="79" t="str">
        <f>IF(AND($O2127=$Q$7,$B2127&lt;'111'!$L$11),"x","")</f>
        <v/>
      </c>
      <c r="T2127" s="79" t="str">
        <f>IF(ISERROR(FIND('112'!$M$9,G2127,1)),"",IF((AND(FIND('112'!$M$9,G2127,1)&gt;=1,B2127='112'!$K$9,OR($N2127='112'!$I$6,$O2127='112'!$I$6))),"x",""))</f>
        <v/>
      </c>
      <c r="U2127" s="79" t="str">
        <f>IF(ISERROR(FIND('112'!$M$9,G2127,1)),"",IF((AND(LEFT(G2127,2)=LEFT('112'!$M$9,2),B2127&lt;'112'!$K$9,$N2127='112'!$I$6)),"x",""))</f>
        <v/>
      </c>
      <c r="V2127" s="79" t="str">
        <f>IF(ISERROR(FIND('112'!$M$9,G2127,1)),"",IF((AND(RIGHT(G2127,2)=RIGHT('112'!$M$9,2),B2127&lt;'112'!$K$9,$O2127='112'!$I$6)),"x",""))</f>
        <v/>
      </c>
      <c r="W2127" s="79" t="str">
        <f>IF(AND('341-CT'!$H$9=H2127,OR(LEFT(N2127,3)=$W$7,LEFT(O2127,3)=$W$7)),"x","")</f>
        <v/>
      </c>
      <c r="X2127" s="79" t="str">
        <f>IF(OR(TH!N2127=TH!$X$7,O2127=TH!$X$7),"x","")</f>
        <v/>
      </c>
      <c r="Y2127" s="79" t="str">
        <f>IF(AND(OR(N2127="131",O2127="131"),H2127='131-CT'!$H$9),"x","")</f>
        <v/>
      </c>
      <c r="Z2127" s="79"/>
      <c r="AA2127" s="79" t="str">
        <f>IF(AND(MONTH(E2127)='IN-NX'!$J$5,'IN-NX'!$D$7=D2127),"x","")</f>
        <v/>
      </c>
      <c r="AB2127" s="79" t="str">
        <f>IF(AND(OR(LEFT(TH!N2127,2)="15",LEFT(TH!O2127,2)="15"),LEFT(TH!O2127,3)&lt;&gt;"111",'152-CT'!$J$8=TH!F2127),"x","")</f>
        <v/>
      </c>
      <c r="AC2127" s="79" t="str">
        <f>IF(AND(OR(LEFT(TH!N2127,2)="15",LEFT(TH!O2127,2)="15"),TK!$E$7=TH!F2127),"x","")</f>
        <v/>
      </c>
      <c r="AD2127" s="79" t="str">
        <f>IF(AND(N2127="1521",MONTH(C2127)='BK-NL'!$M$11),"x","")</f>
        <v/>
      </c>
    </row>
    <row r="2128" spans="1:30" ht="16.5" customHeight="1">
      <c r="A2128" s="318" t="str">
        <f>IF(B2128&lt;&gt;"",IF(AND(B2128='IN-TC'!$S$4,OR(TH!N2128="1111",TH!O2128="1111")),TH!D2128,""),"")</f>
        <v/>
      </c>
      <c r="B2128" s="60" t="str">
        <f t="shared" si="235"/>
        <v/>
      </c>
      <c r="C2128" s="301"/>
      <c r="D2128" s="301"/>
      <c r="E2128" s="301"/>
      <c r="F2128" s="69"/>
      <c r="G2128" s="968"/>
      <c r="H2128" s="303"/>
      <c r="I2128" s="385"/>
      <c r="J2128" s="969"/>
      <c r="K2128" s="385"/>
      <c r="L2128" s="392"/>
      <c r="M2128" s="970"/>
      <c r="N2128" s="304"/>
      <c r="O2128" s="304"/>
      <c r="P2128" s="79" t="str">
        <f>IF(AND('331-CT'!$E$7=TH!H2128,OR(N2128="331",O2128="331")),"x","")</f>
        <v/>
      </c>
      <c r="Q2128" s="79" t="str">
        <f>IF(AND(B2128='111'!$L$11,OR($N2128=$Q$7,$O2128=$Q$7)),"x","")</f>
        <v/>
      </c>
      <c r="R2128" s="79" t="str">
        <f>IF(AND($N2128=$Q$7,$B2128&lt;'111'!$L$11),"x","")</f>
        <v/>
      </c>
      <c r="S2128" s="79" t="str">
        <f>IF(AND($O2128=$Q$7,$B2128&lt;'111'!$L$11),"x","")</f>
        <v/>
      </c>
      <c r="T2128" s="79" t="str">
        <f>IF(ISERROR(FIND('112'!$M$9,G2128,1)),"",IF((AND(FIND('112'!$M$9,G2128,1)&gt;=1,B2128='112'!$K$9,OR($N2128='112'!$I$6,$O2128='112'!$I$6))),"x",""))</f>
        <v/>
      </c>
      <c r="U2128" s="79" t="str">
        <f>IF(ISERROR(FIND('112'!$M$9,G2128,1)),"",IF((AND(LEFT(G2128,2)=LEFT('112'!$M$9,2),B2128&lt;'112'!$K$9,$N2128='112'!$I$6)),"x",""))</f>
        <v/>
      </c>
      <c r="V2128" s="79" t="str">
        <f>IF(ISERROR(FIND('112'!$M$9,G2128,1)),"",IF((AND(RIGHT(G2128,2)=RIGHT('112'!$M$9,2),B2128&lt;'112'!$K$9,$O2128='112'!$I$6)),"x",""))</f>
        <v/>
      </c>
      <c r="W2128" s="79" t="str">
        <f>IF(AND('341-CT'!$H$9=H2128,OR(LEFT(N2128,3)=$W$7,LEFT(O2128,3)=$W$7)),"x","")</f>
        <v/>
      </c>
      <c r="X2128" s="79" t="str">
        <f>IF(OR(TH!N2128=TH!$X$7,O2128=TH!$X$7),"x","")</f>
        <v/>
      </c>
      <c r="Y2128" s="79" t="str">
        <f>IF(AND(OR(N2128="131",O2128="131"),H2128='131-CT'!$H$9),"x","")</f>
        <v/>
      </c>
      <c r="Z2128" s="79"/>
      <c r="AA2128" s="79" t="str">
        <f>IF(AND(MONTH(E2128)='IN-NX'!$J$5,'IN-NX'!$D$7=D2128),"x","")</f>
        <v/>
      </c>
      <c r="AB2128" s="79" t="str">
        <f>IF(AND(OR(LEFT(TH!N2128,2)="15",LEFT(TH!O2128,2)="15"),LEFT(TH!O2128,3)&lt;&gt;"111",'152-CT'!$J$8=TH!F2128),"x","")</f>
        <v/>
      </c>
      <c r="AC2128" s="79" t="str">
        <f>IF(AND(OR(LEFT(TH!N2128,2)="15",LEFT(TH!O2128,2)="15"),TK!$E$7=TH!F2128),"x","")</f>
        <v/>
      </c>
      <c r="AD2128" s="79" t="str">
        <f>IF(AND(N2128="1521",MONTH(C2128)='BK-NL'!$M$11),"x","")</f>
        <v/>
      </c>
    </row>
    <row r="2129" spans="1:30" ht="16.5" customHeight="1">
      <c r="A2129" s="318" t="str">
        <f>IF(B2129&lt;&gt;"",IF(AND(B2129='IN-TC'!$S$4,OR(TH!N2129="1111",TH!O2129="1111")),TH!D2129,""),"")</f>
        <v/>
      </c>
      <c r="B2129" s="60" t="str">
        <f t="shared" si="235"/>
        <v/>
      </c>
      <c r="C2129" s="301"/>
      <c r="D2129" s="301"/>
      <c r="E2129" s="301"/>
      <c r="F2129" s="69"/>
      <c r="G2129" s="968"/>
      <c r="H2129" s="303"/>
      <c r="I2129" s="385"/>
      <c r="J2129" s="969"/>
      <c r="K2129" s="385"/>
      <c r="L2129" s="392"/>
      <c r="M2129" s="970"/>
      <c r="N2129" s="304"/>
      <c r="O2129" s="304"/>
      <c r="P2129" s="79" t="str">
        <f>IF(AND('331-CT'!$E$7=TH!H2129,OR(N2129="331",O2129="331")),"x","")</f>
        <v/>
      </c>
      <c r="Q2129" s="79" t="str">
        <f>IF(AND(B2129='111'!$L$11,OR($N2129=$Q$7,$O2129=$Q$7)),"x","")</f>
        <v/>
      </c>
      <c r="R2129" s="79" t="str">
        <f>IF(AND($N2129=$Q$7,$B2129&lt;'111'!$L$11),"x","")</f>
        <v/>
      </c>
      <c r="S2129" s="79" t="str">
        <f>IF(AND($O2129=$Q$7,$B2129&lt;'111'!$L$11),"x","")</f>
        <v/>
      </c>
      <c r="T2129" s="79" t="str">
        <f>IF(ISERROR(FIND('112'!$M$9,G2129,1)),"",IF((AND(FIND('112'!$M$9,G2129,1)&gt;=1,B2129='112'!$K$9,OR($N2129='112'!$I$6,$O2129='112'!$I$6))),"x",""))</f>
        <v/>
      </c>
      <c r="U2129" s="79" t="str">
        <f>IF(ISERROR(FIND('112'!$M$9,G2129,1)),"",IF((AND(LEFT(G2129,2)=LEFT('112'!$M$9,2),B2129&lt;'112'!$K$9,$N2129='112'!$I$6)),"x",""))</f>
        <v/>
      </c>
      <c r="V2129" s="79" t="str">
        <f>IF(ISERROR(FIND('112'!$M$9,G2129,1)),"",IF((AND(RIGHT(G2129,2)=RIGHT('112'!$M$9,2),B2129&lt;'112'!$K$9,$O2129='112'!$I$6)),"x",""))</f>
        <v/>
      </c>
      <c r="W2129" s="79" t="str">
        <f>IF(AND('341-CT'!$H$9=H2129,OR(LEFT(N2129,3)=$W$7,LEFT(O2129,3)=$W$7)),"x","")</f>
        <v/>
      </c>
      <c r="X2129" s="79" t="str">
        <f>IF(OR(TH!N2129=TH!$X$7,O2129=TH!$X$7),"x","")</f>
        <v/>
      </c>
      <c r="Y2129" s="79" t="str">
        <f>IF(AND(OR(N2129="131",O2129="131"),H2129='131-CT'!$H$9),"x","")</f>
        <v/>
      </c>
      <c r="Z2129" s="79"/>
      <c r="AA2129" s="79" t="str">
        <f>IF(AND(MONTH(E2129)='IN-NX'!$J$5,'IN-NX'!$D$7=D2129),"x","")</f>
        <v/>
      </c>
      <c r="AB2129" s="79" t="str">
        <f>IF(AND(OR(LEFT(TH!N2129,2)="15",LEFT(TH!O2129,2)="15"),LEFT(TH!O2129,3)&lt;&gt;"111",'152-CT'!$J$8=TH!F2129),"x","")</f>
        <v/>
      </c>
      <c r="AC2129" s="79" t="str">
        <f>IF(AND(OR(LEFT(TH!N2129,2)="15",LEFT(TH!O2129,2)="15"),TK!$E$7=TH!F2129),"x","")</f>
        <v/>
      </c>
      <c r="AD2129" s="79" t="str">
        <f>IF(AND(N2129="1521",MONTH(C2129)='BK-NL'!$M$11),"x","")</f>
        <v/>
      </c>
    </row>
    <row r="2130" spans="1:30" ht="16.5" customHeight="1">
      <c r="A2130" s="318" t="str">
        <f>IF(B2130&lt;&gt;"",IF(AND(B2130='IN-TC'!$S$4,OR(TH!N2130="1111",TH!O2130="1111")),TH!D2130,""),"")</f>
        <v/>
      </c>
      <c r="B2130" s="60" t="str">
        <f t="shared" si="235"/>
        <v/>
      </c>
      <c r="C2130" s="301"/>
      <c r="D2130" s="301"/>
      <c r="E2130" s="301"/>
      <c r="F2130" s="69"/>
      <c r="G2130" s="968"/>
      <c r="H2130" s="303"/>
      <c r="I2130" s="385"/>
      <c r="J2130" s="969"/>
      <c r="K2130" s="385"/>
      <c r="L2130" s="392"/>
      <c r="M2130" s="970"/>
      <c r="N2130" s="304"/>
      <c r="O2130" s="304"/>
      <c r="P2130" s="79" t="str">
        <f>IF(AND('331-CT'!$E$7=TH!H2130,OR(N2130="331",O2130="331")),"x","")</f>
        <v/>
      </c>
      <c r="Q2130" s="79" t="str">
        <f>IF(AND(B2130='111'!$L$11,OR($N2130=$Q$7,$O2130=$Q$7)),"x","")</f>
        <v/>
      </c>
      <c r="R2130" s="79" t="str">
        <f>IF(AND($N2130=$Q$7,$B2130&lt;'111'!$L$11),"x","")</f>
        <v/>
      </c>
      <c r="S2130" s="79" t="str">
        <f>IF(AND($O2130=$Q$7,$B2130&lt;'111'!$L$11),"x","")</f>
        <v/>
      </c>
      <c r="T2130" s="79" t="str">
        <f>IF(ISERROR(FIND('112'!$M$9,G2130,1)),"",IF((AND(FIND('112'!$M$9,G2130,1)&gt;=1,B2130='112'!$K$9,OR($N2130='112'!$I$6,$O2130='112'!$I$6))),"x",""))</f>
        <v/>
      </c>
      <c r="U2130" s="79" t="str">
        <f>IF(ISERROR(FIND('112'!$M$9,G2130,1)),"",IF((AND(LEFT(G2130,2)=LEFT('112'!$M$9,2),B2130&lt;'112'!$K$9,$N2130='112'!$I$6)),"x",""))</f>
        <v/>
      </c>
      <c r="V2130" s="79" t="str">
        <f>IF(ISERROR(FIND('112'!$M$9,G2130,1)),"",IF((AND(RIGHT(G2130,2)=RIGHT('112'!$M$9,2),B2130&lt;'112'!$K$9,$O2130='112'!$I$6)),"x",""))</f>
        <v/>
      </c>
      <c r="W2130" s="79" t="str">
        <f>IF(AND('341-CT'!$H$9=H2130,OR(LEFT(N2130,3)=$W$7,LEFT(O2130,3)=$W$7)),"x","")</f>
        <v/>
      </c>
      <c r="X2130" s="79" t="str">
        <f>IF(OR(TH!N2130=TH!$X$7,O2130=TH!$X$7),"x","")</f>
        <v/>
      </c>
      <c r="Y2130" s="79" t="str">
        <f>IF(AND(OR(N2130="131",O2130="131"),H2130='131-CT'!$H$9),"x","")</f>
        <v/>
      </c>
      <c r="Z2130" s="79"/>
      <c r="AA2130" s="79" t="str">
        <f>IF(AND(MONTH(E2130)='IN-NX'!$J$5,'IN-NX'!$D$7=D2130),"x","")</f>
        <v/>
      </c>
      <c r="AB2130" s="79" t="str">
        <f>IF(AND(OR(LEFT(TH!N2130,2)="15",LEFT(TH!O2130,2)="15"),LEFT(TH!O2130,3)&lt;&gt;"111",'152-CT'!$J$8=TH!F2130),"x","")</f>
        <v/>
      </c>
      <c r="AC2130" s="79" t="str">
        <f>IF(AND(OR(LEFT(TH!N2130,2)="15",LEFT(TH!O2130,2)="15"),TK!$E$7=TH!F2130),"x","")</f>
        <v/>
      </c>
      <c r="AD2130" s="79" t="str">
        <f>IF(AND(N2130="1521",MONTH(C2130)='BK-NL'!$M$11),"x","")</f>
        <v/>
      </c>
    </row>
    <row r="2131" spans="1:30" ht="16.5" customHeight="1">
      <c r="A2131" s="318" t="str">
        <f>IF(B2131&lt;&gt;"",IF(AND(B2131='IN-TC'!$S$4,OR(TH!N2131="1111",TH!O2131="1111")),TH!D2131,""),"")</f>
        <v/>
      </c>
      <c r="B2131" s="60" t="str">
        <f t="shared" si="235"/>
        <v/>
      </c>
      <c r="C2131" s="301"/>
      <c r="D2131" s="301"/>
      <c r="E2131" s="301"/>
      <c r="F2131" s="69"/>
      <c r="G2131" s="968"/>
      <c r="H2131" s="303"/>
      <c r="I2131" s="385"/>
      <c r="J2131" s="969"/>
      <c r="K2131" s="385"/>
      <c r="L2131" s="392"/>
      <c r="M2131" s="970"/>
      <c r="N2131" s="304"/>
      <c r="O2131" s="304"/>
      <c r="P2131" s="79" t="str">
        <f>IF(AND('331-CT'!$E$7=TH!H2131,OR(N2131="331",O2131="331")),"x","")</f>
        <v/>
      </c>
      <c r="Q2131" s="79" t="str">
        <f>IF(AND(B2131='111'!$L$11,OR($N2131=$Q$7,$O2131=$Q$7)),"x","")</f>
        <v/>
      </c>
      <c r="R2131" s="79" t="str">
        <f>IF(AND($N2131=$Q$7,$B2131&lt;'111'!$L$11),"x","")</f>
        <v/>
      </c>
      <c r="S2131" s="79" t="str">
        <f>IF(AND($O2131=$Q$7,$B2131&lt;'111'!$L$11),"x","")</f>
        <v/>
      </c>
      <c r="T2131" s="79" t="str">
        <f>IF(ISERROR(FIND('112'!$M$9,G2131,1)),"",IF((AND(FIND('112'!$M$9,G2131,1)&gt;=1,B2131='112'!$K$9,OR($N2131='112'!$I$6,$O2131='112'!$I$6))),"x",""))</f>
        <v/>
      </c>
      <c r="U2131" s="79" t="str">
        <f>IF(ISERROR(FIND('112'!$M$9,G2131,1)),"",IF((AND(LEFT(G2131,2)=LEFT('112'!$M$9,2),B2131&lt;'112'!$K$9,$N2131='112'!$I$6)),"x",""))</f>
        <v/>
      </c>
      <c r="V2131" s="79" t="str">
        <f>IF(ISERROR(FIND('112'!$M$9,G2131,1)),"",IF((AND(RIGHT(G2131,2)=RIGHT('112'!$M$9,2),B2131&lt;'112'!$K$9,$O2131='112'!$I$6)),"x",""))</f>
        <v/>
      </c>
      <c r="W2131" s="79" t="str">
        <f>IF(AND('341-CT'!$H$9=H2131,OR(LEFT(N2131,3)=$W$7,LEFT(O2131,3)=$W$7)),"x","")</f>
        <v/>
      </c>
      <c r="X2131" s="79" t="str">
        <f>IF(OR(TH!N2131=TH!$X$7,O2131=TH!$X$7),"x","")</f>
        <v/>
      </c>
      <c r="Y2131" s="79" t="str">
        <f>IF(AND(OR(N2131="131",O2131="131"),H2131='131-CT'!$H$9),"x","")</f>
        <v/>
      </c>
      <c r="Z2131" s="79"/>
      <c r="AA2131" s="79" t="str">
        <f>IF(AND(MONTH(E2131)='IN-NX'!$J$5,'IN-NX'!$D$7=D2131),"x","")</f>
        <v/>
      </c>
      <c r="AB2131" s="79" t="str">
        <f>IF(AND(OR(LEFT(TH!N2131,2)="15",LEFT(TH!O2131,2)="15"),LEFT(TH!O2131,3)&lt;&gt;"111",'152-CT'!$J$8=TH!F2131),"x","")</f>
        <v/>
      </c>
      <c r="AC2131" s="79" t="str">
        <f>IF(AND(OR(LEFT(TH!N2131,2)="15",LEFT(TH!O2131,2)="15"),TK!$E$7=TH!F2131),"x","")</f>
        <v/>
      </c>
      <c r="AD2131" s="79" t="str">
        <f>IF(AND(N2131="1521",MONTH(C2131)='BK-NL'!$M$11),"x","")</f>
        <v/>
      </c>
    </row>
    <row r="2132" spans="1:30" ht="16.5" customHeight="1">
      <c r="A2132" s="318" t="str">
        <f>IF(B2132&lt;&gt;"",IF(AND(B2132='IN-TC'!$S$4,OR(TH!N2132="1111",TH!O2132="1111")),TH!D2132,""),"")</f>
        <v/>
      </c>
      <c r="B2132" s="60" t="str">
        <f t="shared" si="235"/>
        <v/>
      </c>
      <c r="C2132" s="301"/>
      <c r="D2132" s="301"/>
      <c r="E2132" s="301"/>
      <c r="F2132" s="302"/>
      <c r="G2132" s="968"/>
      <c r="H2132" s="303"/>
      <c r="I2132" s="385"/>
      <c r="J2132" s="969"/>
      <c r="K2132" s="385"/>
      <c r="L2132" s="392"/>
      <c r="M2132" s="970"/>
      <c r="N2132" s="304"/>
      <c r="O2132" s="304"/>
      <c r="P2132" s="79" t="str">
        <f>IF(AND('331-CT'!$E$7=TH!H2132,OR(N2132="331",O2132="331")),"x","")</f>
        <v/>
      </c>
      <c r="Q2132" s="79" t="str">
        <f>IF(AND(B2132='111'!$L$11,OR($N2132=$Q$7,$O2132=$Q$7)),"x","")</f>
        <v/>
      </c>
      <c r="R2132" s="79" t="str">
        <f>IF(AND($N2132=$Q$7,$B2132&lt;'111'!$L$11),"x","")</f>
        <v/>
      </c>
      <c r="S2132" s="79" t="str">
        <f>IF(AND($O2132=$Q$7,$B2132&lt;'111'!$L$11),"x","")</f>
        <v/>
      </c>
      <c r="T2132" s="79" t="str">
        <f>IF(ISERROR(FIND('112'!$M$9,G2132,1)),"",IF((AND(FIND('112'!$M$9,G2132,1)&gt;=1,B2132='112'!$K$9,OR($N2132='112'!$I$6,$O2132='112'!$I$6))),"x",""))</f>
        <v/>
      </c>
      <c r="U2132" s="79" t="str">
        <f>IF(ISERROR(FIND('112'!$M$9,G2132,1)),"",IF((AND(LEFT(G2132,2)=LEFT('112'!$M$9,2),B2132&lt;'112'!$K$9,$N2132='112'!$I$6)),"x",""))</f>
        <v/>
      </c>
      <c r="V2132" s="79" t="str">
        <f>IF(ISERROR(FIND('112'!$M$9,G2132,1)),"",IF((AND(RIGHT(G2132,2)=RIGHT('112'!$M$9,2),B2132&lt;'112'!$K$9,$O2132='112'!$I$6)),"x",""))</f>
        <v/>
      </c>
      <c r="W2132" s="79" t="str">
        <f>IF(AND('341-CT'!$H$9=H2132,OR(LEFT(N2132,3)=$W$7,LEFT(O2132,3)=$W$7)),"x","")</f>
        <v/>
      </c>
      <c r="X2132" s="79" t="str">
        <f>IF(OR(TH!N2132=TH!$X$7,O2132=TH!$X$7),"x","")</f>
        <v/>
      </c>
      <c r="Y2132" s="79" t="str">
        <f>IF(AND(OR(N2132="131",O2132="131"),H2132='131-CT'!$H$9),"x","")</f>
        <v/>
      </c>
      <c r="Z2132" s="79"/>
      <c r="AA2132" s="79" t="str">
        <f>IF(AND(MONTH(E2132)='IN-NX'!$J$5,'IN-NX'!$D$7=D2132),"x","")</f>
        <v/>
      </c>
      <c r="AB2132" s="79" t="str">
        <f>IF(AND(OR(LEFT(TH!N2132,2)="15",LEFT(TH!O2132,2)="15"),LEFT(TH!O2132,3)&lt;&gt;"111",'152-CT'!$J$8=TH!F2132),"x","")</f>
        <v/>
      </c>
      <c r="AC2132" s="79" t="str">
        <f>IF(AND(OR(LEFT(TH!N2132,2)="15",LEFT(TH!O2132,2)="15"),TK!$E$7=TH!F2132),"x","")</f>
        <v/>
      </c>
      <c r="AD2132" s="79" t="str">
        <f>IF(AND(N2132="1521",MONTH(C2132)='BK-NL'!$M$11),"x","")</f>
        <v/>
      </c>
    </row>
    <row r="2133" spans="1:30" ht="16.5" customHeight="1">
      <c r="A2133" s="318" t="str">
        <f>IF(B2133&lt;&gt;"",IF(AND(B2133='IN-TC'!$S$4,OR(TH!N2133="1111",TH!O2133="1111")),TH!D2133,""),"")</f>
        <v/>
      </c>
      <c r="B2133" s="60" t="str">
        <f t="shared" si="235"/>
        <v/>
      </c>
      <c r="C2133" s="301"/>
      <c r="D2133" s="301"/>
      <c r="E2133" s="301"/>
      <c r="F2133" s="302"/>
      <c r="G2133" s="968"/>
      <c r="H2133" s="303"/>
      <c r="I2133" s="385"/>
      <c r="J2133" s="969"/>
      <c r="K2133" s="385"/>
      <c r="L2133" s="392"/>
      <c r="M2133" s="970"/>
      <c r="N2133" s="304"/>
      <c r="O2133" s="304"/>
      <c r="P2133" s="79" t="str">
        <f>IF(AND('331-CT'!$E$7=TH!H2133,OR(N2133="331",O2133="331")),"x","")</f>
        <v/>
      </c>
      <c r="Q2133" s="79" t="str">
        <f>IF(AND(B2133='111'!$L$11,OR($N2133=$Q$7,$O2133=$Q$7)),"x","")</f>
        <v/>
      </c>
      <c r="R2133" s="79" t="str">
        <f>IF(AND($N2133=$Q$7,$B2133&lt;'111'!$L$11),"x","")</f>
        <v/>
      </c>
      <c r="S2133" s="79" t="str">
        <f>IF(AND($O2133=$Q$7,$B2133&lt;'111'!$L$11),"x","")</f>
        <v/>
      </c>
      <c r="T2133" s="79" t="str">
        <f>IF(ISERROR(FIND('112'!$M$9,G2133,1)),"",IF((AND(FIND('112'!$M$9,G2133,1)&gt;=1,B2133='112'!$K$9,OR($N2133='112'!$I$6,$O2133='112'!$I$6))),"x",""))</f>
        <v/>
      </c>
      <c r="U2133" s="79" t="str">
        <f>IF(ISERROR(FIND('112'!$M$9,G2133,1)),"",IF((AND(LEFT(G2133,2)=LEFT('112'!$M$9,2),B2133&lt;'112'!$K$9,$N2133='112'!$I$6)),"x",""))</f>
        <v/>
      </c>
      <c r="V2133" s="79" t="str">
        <f>IF(ISERROR(FIND('112'!$M$9,G2133,1)),"",IF((AND(RIGHT(G2133,2)=RIGHT('112'!$M$9,2),B2133&lt;'112'!$K$9,$O2133='112'!$I$6)),"x",""))</f>
        <v/>
      </c>
      <c r="W2133" s="79" t="str">
        <f>IF(AND('341-CT'!$H$9=H2133,OR(LEFT(N2133,3)=$W$7,LEFT(O2133,3)=$W$7)),"x","")</f>
        <v/>
      </c>
      <c r="X2133" s="79" t="str">
        <f>IF(OR(TH!N2133=TH!$X$7,O2133=TH!$X$7),"x","")</f>
        <v/>
      </c>
      <c r="Y2133" s="79" t="str">
        <f>IF(AND(OR(N2133="131",O2133="131"),H2133='131-CT'!$H$9),"x","")</f>
        <v/>
      </c>
      <c r="Z2133" s="79"/>
      <c r="AA2133" s="79" t="str">
        <f>IF(AND(MONTH(E2133)='IN-NX'!$J$5,'IN-NX'!$D$7=D2133),"x","")</f>
        <v/>
      </c>
      <c r="AB2133" s="79" t="str">
        <f>IF(AND(OR(LEFT(TH!N2133,2)="15",LEFT(TH!O2133,2)="15"),LEFT(TH!O2133,3)&lt;&gt;"111",'152-CT'!$J$8=TH!F2133),"x","")</f>
        <v/>
      </c>
      <c r="AC2133" s="79" t="str">
        <f>IF(AND(OR(LEFT(TH!N2133,2)="15",LEFT(TH!O2133,2)="15"),TK!$E$7=TH!F2133),"x","")</f>
        <v/>
      </c>
      <c r="AD2133" s="79" t="str">
        <f>IF(AND(N2133="1521",MONTH(C2133)='BK-NL'!$M$11),"x","")</f>
        <v/>
      </c>
    </row>
    <row r="2134" spans="1:30" ht="16.5" customHeight="1">
      <c r="A2134" s="318" t="str">
        <f>IF(B2134&lt;&gt;"",IF(AND(B2134='IN-TC'!$S$4,OR(TH!N2134="1111",TH!O2134="1111")),TH!D2134,""),"")</f>
        <v/>
      </c>
      <c r="B2134" s="60" t="str">
        <f t="shared" si="235"/>
        <v/>
      </c>
      <c r="C2134" s="981"/>
      <c r="D2134" s="981"/>
      <c r="E2134" s="301"/>
      <c r="F2134" s="999"/>
      <c r="G2134" s="1130"/>
      <c r="H2134" s="982"/>
      <c r="I2134" s="984"/>
      <c r="J2134" s="983"/>
      <c r="K2134" s="984"/>
      <c r="L2134" s="983"/>
      <c r="M2134" s="985"/>
      <c r="N2134" s="986"/>
      <c r="O2134" s="986"/>
      <c r="P2134" s="79" t="str">
        <f>IF(AND('331-CT'!$E$7=TH!H2134,OR(N2134="331",O2134="331")),"x","")</f>
        <v/>
      </c>
      <c r="Q2134" s="79" t="str">
        <f>IF(AND(B2134='111'!$L$11,OR($N2134=$Q$7,$O2134=$Q$7)),"x","")</f>
        <v/>
      </c>
      <c r="R2134" s="79" t="str">
        <f>IF(AND($N2134=$Q$7,$B2134&lt;'111'!$L$11),"x","")</f>
        <v/>
      </c>
      <c r="S2134" s="79" t="str">
        <f>IF(AND($O2134=$Q$7,$B2134&lt;'111'!$L$11),"x","")</f>
        <v/>
      </c>
      <c r="T2134" s="79" t="str">
        <f>IF(ISERROR(FIND('112'!$M$9,G2134,1)),"",IF((AND(FIND('112'!$M$9,G2134,1)&gt;=1,B2134='112'!$K$9,OR($N2134='112'!$I$6,$O2134='112'!$I$6))),"x",""))</f>
        <v/>
      </c>
      <c r="U2134" s="79" t="str">
        <f>IF(ISERROR(FIND('112'!$M$9,G2134,1)),"",IF((AND(LEFT(G2134,2)=LEFT('112'!$M$9,2),B2134&lt;'112'!$K$9,$N2134='112'!$I$6)),"x",""))</f>
        <v/>
      </c>
      <c r="V2134" s="79" t="str">
        <f>IF(ISERROR(FIND('112'!$M$9,G2134,1)),"",IF((AND(RIGHT(G2134,2)=RIGHT('112'!$M$9,2),B2134&lt;'112'!$K$9,$O2134='112'!$I$6)),"x",""))</f>
        <v/>
      </c>
      <c r="W2134" s="79" t="str">
        <f>IF(AND('341-CT'!$H$9=H2134,OR(LEFT(N2134,3)=$W$7,LEFT(O2134,3)=$W$7)),"x","")</f>
        <v/>
      </c>
      <c r="X2134" s="79" t="str">
        <f>IF(OR(TH!N2134=TH!$X$7,O2134=TH!$X$7),"x","")</f>
        <v/>
      </c>
      <c r="Y2134" s="79" t="str">
        <f>IF(AND(OR(N2134="131",O2134="131"),H2134='131-CT'!$H$9),"x","")</f>
        <v/>
      </c>
      <c r="Z2134" s="79"/>
      <c r="AA2134" s="79" t="str">
        <f>IF(AND(MONTH(E2134)='IN-NX'!$J$5,'IN-NX'!$D$7=D2134),"x","")</f>
        <v/>
      </c>
      <c r="AB2134" s="79" t="str">
        <f>IF(AND(OR(LEFT(TH!N2134,2)="15",LEFT(TH!O2134,2)="15"),LEFT(TH!O2134,3)&lt;&gt;"111",'152-CT'!$J$8=TH!F2134),"x","")</f>
        <v/>
      </c>
      <c r="AC2134" s="79" t="str">
        <f>IF(AND(OR(LEFT(TH!N2134,2)="15",LEFT(TH!O2134,2)="15"),TK!$E$7=TH!F2134),"x","")</f>
        <v/>
      </c>
      <c r="AD2134" s="79" t="str">
        <f>IF(AND(N2134="1521",MONTH(C2134)='BK-NL'!$M$11),"x","")</f>
        <v/>
      </c>
    </row>
    <row r="2135" spans="1:30" ht="16.5" customHeight="1">
      <c r="A2135" s="318" t="str">
        <f>IF(B2135&lt;&gt;"",IF(AND(B2135='IN-TC'!$S$4,OR(TH!N2135="1111",TH!O2135="1111")),TH!D2135,""),"")</f>
        <v/>
      </c>
      <c r="B2135" s="60" t="str">
        <f t="shared" si="235"/>
        <v/>
      </c>
      <c r="C2135" s="981"/>
      <c r="D2135" s="981"/>
      <c r="E2135" s="301"/>
      <c r="F2135" s="999"/>
      <c r="G2135" s="1130"/>
      <c r="H2135" s="982"/>
      <c r="I2135" s="984"/>
      <c r="J2135" s="983"/>
      <c r="K2135" s="984"/>
      <c r="L2135" s="983"/>
      <c r="M2135" s="985"/>
      <c r="N2135" s="986"/>
      <c r="O2135" s="986"/>
      <c r="P2135" s="79" t="str">
        <f>IF(AND('331-CT'!$E$7=TH!H2135,OR(N2135="331",O2135="331")),"x","")</f>
        <v/>
      </c>
      <c r="Q2135" s="79" t="str">
        <f>IF(AND(B2135='111'!$L$11,OR($N2135=$Q$7,$O2135=$Q$7)),"x","")</f>
        <v/>
      </c>
      <c r="R2135" s="79" t="str">
        <f>IF(AND($N2135=$Q$7,$B2135&lt;'111'!$L$11),"x","")</f>
        <v/>
      </c>
      <c r="S2135" s="79" t="str">
        <f>IF(AND($O2135=$Q$7,$B2135&lt;'111'!$L$11),"x","")</f>
        <v/>
      </c>
      <c r="T2135" s="79" t="str">
        <f>IF(ISERROR(FIND('112'!$M$9,G2135,1)),"",IF((AND(FIND('112'!$M$9,G2135,1)&gt;=1,B2135='112'!$K$9,OR($N2135='112'!$I$6,$O2135='112'!$I$6))),"x",""))</f>
        <v/>
      </c>
      <c r="U2135" s="79" t="str">
        <f>IF(ISERROR(FIND('112'!$M$9,G2135,1)),"",IF((AND(LEFT(G2135,2)=LEFT('112'!$M$9,2),B2135&lt;'112'!$K$9,$N2135='112'!$I$6)),"x",""))</f>
        <v/>
      </c>
      <c r="V2135" s="79" t="str">
        <f>IF(ISERROR(FIND('112'!$M$9,G2135,1)),"",IF((AND(RIGHT(G2135,2)=RIGHT('112'!$M$9,2),B2135&lt;'112'!$K$9,$O2135='112'!$I$6)),"x",""))</f>
        <v/>
      </c>
      <c r="W2135" s="79" t="str">
        <f>IF(AND('341-CT'!$H$9=H2135,OR(LEFT(N2135,3)=$W$7,LEFT(O2135,3)=$W$7)),"x","")</f>
        <v/>
      </c>
      <c r="X2135" s="79" t="str">
        <f>IF(OR(TH!N2135=TH!$X$7,O2135=TH!$X$7),"x","")</f>
        <v/>
      </c>
      <c r="Y2135" s="79" t="str">
        <f>IF(AND(OR(N2135="131",O2135="131"),H2135='131-CT'!$H$9),"x","")</f>
        <v/>
      </c>
      <c r="Z2135" s="79"/>
      <c r="AA2135" s="79" t="str">
        <f>IF(AND(MONTH(E2135)='IN-NX'!$J$5,'IN-NX'!$D$7=D2135),"x","")</f>
        <v/>
      </c>
      <c r="AB2135" s="79" t="str">
        <f>IF(AND(OR(LEFT(TH!N2135,2)="15",LEFT(TH!O2135,2)="15"),LEFT(TH!O2135,3)&lt;&gt;"111",'152-CT'!$J$8=TH!F2135),"x","")</f>
        <v/>
      </c>
      <c r="AC2135" s="79" t="str">
        <f>IF(AND(OR(LEFT(TH!N2135,2)="15",LEFT(TH!O2135,2)="15"),TK!$E$7=TH!F2135),"x","")</f>
        <v/>
      </c>
      <c r="AD2135" s="79" t="str">
        <f>IF(AND(N2135="1521",MONTH(C2135)='BK-NL'!$M$11),"x","")</f>
        <v/>
      </c>
    </row>
    <row r="2136" spans="1:30" ht="16.5" customHeight="1">
      <c r="A2136" s="318" t="str">
        <f>IF(B2136&lt;&gt;"",IF(AND(B2136='IN-TC'!$S$4,OR(TH!N2136="1111",TH!O2136="1111")),TH!D2136,""),"")</f>
        <v/>
      </c>
      <c r="B2136" s="60" t="str">
        <f t="shared" si="235"/>
        <v/>
      </c>
      <c r="C2136" s="301"/>
      <c r="D2136" s="301"/>
      <c r="E2136" s="301"/>
      <c r="F2136" s="69"/>
      <c r="G2136" s="968"/>
      <c r="H2136" s="303"/>
      <c r="I2136" s="385"/>
      <c r="J2136" s="969"/>
      <c r="K2136" s="385"/>
      <c r="L2136" s="392"/>
      <c r="M2136" s="970"/>
      <c r="N2136" s="304"/>
      <c r="O2136" s="304"/>
      <c r="P2136" s="79" t="str">
        <f>IF(AND('331-CT'!$E$7=TH!H2136,OR(N2136="331",O2136="331")),"x","")</f>
        <v/>
      </c>
      <c r="Q2136" s="79" t="str">
        <f>IF(AND(B2136='111'!$L$11,OR($N2136=$Q$7,$O2136=$Q$7)),"x","")</f>
        <v/>
      </c>
      <c r="R2136" s="79" t="str">
        <f>IF(AND($N2136=$Q$7,$B2136&lt;'111'!$L$11),"x","")</f>
        <v/>
      </c>
      <c r="S2136" s="79" t="str">
        <f>IF(AND($O2136=$Q$7,$B2136&lt;'111'!$L$11),"x","")</f>
        <v/>
      </c>
      <c r="T2136" s="79" t="str">
        <f>IF(ISERROR(FIND('112'!$M$9,G2136,1)),"",IF((AND(FIND('112'!$M$9,G2136,1)&gt;=1,B2136='112'!$K$9,OR($N2136='112'!$I$6,$O2136='112'!$I$6))),"x",""))</f>
        <v/>
      </c>
      <c r="U2136" s="79" t="str">
        <f>IF(ISERROR(FIND('112'!$M$9,G2136,1)),"",IF((AND(LEFT(G2136,2)=LEFT('112'!$M$9,2),B2136&lt;'112'!$K$9,$N2136='112'!$I$6)),"x",""))</f>
        <v/>
      </c>
      <c r="V2136" s="79" t="str">
        <f>IF(ISERROR(FIND('112'!$M$9,G2136,1)),"",IF((AND(RIGHT(G2136,2)=RIGHT('112'!$M$9,2),B2136&lt;'112'!$K$9,$O2136='112'!$I$6)),"x",""))</f>
        <v/>
      </c>
      <c r="W2136" s="79" t="str">
        <f>IF(AND('341-CT'!$H$9=H2136,OR(LEFT(N2136,3)=$W$7,LEFT(O2136,3)=$W$7)),"x","")</f>
        <v/>
      </c>
      <c r="X2136" s="79" t="str">
        <f>IF(OR(TH!N2136=TH!$X$7,O2136=TH!$X$7),"x","")</f>
        <v/>
      </c>
      <c r="Y2136" s="79" t="str">
        <f>IF(AND(OR(N2136="131",O2136="131"),H2136='131-CT'!$H$9),"x","")</f>
        <v/>
      </c>
      <c r="Z2136" s="79"/>
      <c r="AA2136" s="79" t="str">
        <f>IF(AND(MONTH(E2136)='IN-NX'!$J$5,'IN-NX'!$D$7=D2136),"x","")</f>
        <v/>
      </c>
      <c r="AB2136" s="79" t="str">
        <f>IF(AND(OR(LEFT(TH!N2136,2)="15",LEFT(TH!O2136,2)="15"),LEFT(TH!O2136,3)&lt;&gt;"111",'152-CT'!$J$8=TH!F2136),"x","")</f>
        <v/>
      </c>
      <c r="AC2136" s="79" t="str">
        <f>IF(AND(OR(LEFT(TH!N2136,2)="15",LEFT(TH!O2136,2)="15"),TK!$E$7=TH!F2136),"x","")</f>
        <v/>
      </c>
      <c r="AD2136" s="79" t="str">
        <f>IF(AND(N2136="1521",MONTH(C2136)='BK-NL'!$M$11),"x","")</f>
        <v/>
      </c>
    </row>
    <row r="2137" spans="1:30" ht="16.5" customHeight="1">
      <c r="A2137" s="318" t="str">
        <f>IF(B2137&lt;&gt;"",IF(AND(B2137='IN-TC'!$S$4,OR(TH!N2137="1111",TH!O2137="1111")),TH!D2137,""),"")</f>
        <v/>
      </c>
      <c r="B2137" s="60" t="str">
        <f t="shared" si="235"/>
        <v/>
      </c>
      <c r="C2137" s="301"/>
      <c r="D2137" s="301"/>
      <c r="E2137" s="301"/>
      <c r="F2137" s="69"/>
      <c r="G2137" s="968"/>
      <c r="H2137" s="303"/>
      <c r="I2137" s="385"/>
      <c r="J2137" s="969"/>
      <c r="K2137" s="385"/>
      <c r="L2137" s="392"/>
      <c r="M2137" s="970"/>
      <c r="N2137" s="304"/>
      <c r="O2137" s="304"/>
      <c r="P2137" s="79" t="str">
        <f>IF(AND('331-CT'!$E$7=TH!H2137,OR(N2137="331",O2137="331")),"x","")</f>
        <v/>
      </c>
      <c r="Q2137" s="79" t="str">
        <f>IF(AND(B2137='111'!$L$11,OR($N2137=$Q$7,$O2137=$Q$7)),"x","")</f>
        <v/>
      </c>
      <c r="R2137" s="79" t="str">
        <f>IF(AND($N2137=$Q$7,$B2137&lt;'111'!$L$11),"x","")</f>
        <v/>
      </c>
      <c r="S2137" s="79" t="str">
        <f>IF(AND($O2137=$Q$7,$B2137&lt;'111'!$L$11),"x","")</f>
        <v/>
      </c>
      <c r="T2137" s="79" t="str">
        <f>IF(ISERROR(FIND('112'!$M$9,G2137,1)),"",IF((AND(FIND('112'!$M$9,G2137,1)&gt;=1,B2137='112'!$K$9,OR($N2137='112'!$I$6,$O2137='112'!$I$6))),"x",""))</f>
        <v/>
      </c>
      <c r="U2137" s="79" t="str">
        <f>IF(ISERROR(FIND('112'!$M$9,G2137,1)),"",IF((AND(LEFT(G2137,2)=LEFT('112'!$M$9,2),B2137&lt;'112'!$K$9,$N2137='112'!$I$6)),"x",""))</f>
        <v/>
      </c>
      <c r="V2137" s="79" t="str">
        <f>IF(ISERROR(FIND('112'!$M$9,G2137,1)),"",IF((AND(RIGHT(G2137,2)=RIGHT('112'!$M$9,2),B2137&lt;'112'!$K$9,$O2137='112'!$I$6)),"x",""))</f>
        <v/>
      </c>
      <c r="W2137" s="79" t="str">
        <f>IF(AND('341-CT'!$H$9=H2137,OR(LEFT(N2137,3)=$W$7,LEFT(O2137,3)=$W$7)),"x","")</f>
        <v/>
      </c>
      <c r="X2137" s="79" t="str">
        <f>IF(OR(TH!N2137=TH!$X$7,O2137=TH!$X$7),"x","")</f>
        <v/>
      </c>
      <c r="Y2137" s="79" t="str">
        <f>IF(AND(OR(N2137="131",O2137="131"),H2137='131-CT'!$H$9),"x","")</f>
        <v/>
      </c>
      <c r="Z2137" s="79"/>
      <c r="AA2137" s="79" t="str">
        <f>IF(AND(MONTH(E2137)='IN-NX'!$J$5,'IN-NX'!$D$7=D2137),"x","")</f>
        <v/>
      </c>
      <c r="AB2137" s="79" t="str">
        <f>IF(AND(OR(LEFT(TH!N2137,2)="15",LEFT(TH!O2137,2)="15"),LEFT(TH!O2137,3)&lt;&gt;"111",'152-CT'!$J$8=TH!F2137),"x","")</f>
        <v/>
      </c>
      <c r="AC2137" s="79" t="str">
        <f>IF(AND(OR(LEFT(TH!N2137,2)="15",LEFT(TH!O2137,2)="15"),TK!$E$7=TH!F2137),"x","")</f>
        <v/>
      </c>
      <c r="AD2137" s="79" t="str">
        <f>IF(AND(N2137="1521",MONTH(C2137)='BK-NL'!$M$11),"x","")</f>
        <v/>
      </c>
    </row>
    <row r="2138" spans="1:30" ht="16.5" customHeight="1">
      <c r="A2138" s="318" t="str">
        <f>IF(B2138&lt;&gt;"",IF(AND(B2138='IN-TC'!$S$4,OR(TH!N2138="1111",TH!O2138="1111")),TH!D2138,""),"")</f>
        <v/>
      </c>
      <c r="B2138" s="60" t="str">
        <f t="shared" si="235"/>
        <v/>
      </c>
      <c r="C2138" s="301"/>
      <c r="D2138" s="301"/>
      <c r="E2138" s="301"/>
      <c r="F2138" s="69"/>
      <c r="G2138" s="968"/>
      <c r="H2138" s="303"/>
      <c r="I2138" s="385"/>
      <c r="J2138" s="969"/>
      <c r="K2138" s="385"/>
      <c r="L2138" s="392"/>
      <c r="M2138" s="970"/>
      <c r="N2138" s="304"/>
      <c r="O2138" s="304"/>
      <c r="P2138" s="79" t="str">
        <f>IF(AND('331-CT'!$E$7=TH!H2138,OR(N2138="331",O2138="331")),"x","")</f>
        <v/>
      </c>
      <c r="Q2138" s="79" t="str">
        <f>IF(AND(B2138='111'!$L$11,OR($N2138=$Q$7,$O2138=$Q$7)),"x","")</f>
        <v/>
      </c>
      <c r="R2138" s="79" t="str">
        <f>IF(AND($N2138=$Q$7,$B2138&lt;'111'!$L$11),"x","")</f>
        <v/>
      </c>
      <c r="S2138" s="79" t="str">
        <f>IF(AND($O2138=$Q$7,$B2138&lt;'111'!$L$11),"x","")</f>
        <v/>
      </c>
      <c r="T2138" s="79" t="str">
        <f>IF(ISERROR(FIND('112'!$M$9,G2138,1)),"",IF((AND(FIND('112'!$M$9,G2138,1)&gt;=1,B2138='112'!$K$9,OR($N2138='112'!$I$6,$O2138='112'!$I$6))),"x",""))</f>
        <v/>
      </c>
      <c r="U2138" s="79" t="str">
        <f>IF(ISERROR(FIND('112'!$M$9,G2138,1)),"",IF((AND(LEFT(G2138,2)=LEFT('112'!$M$9,2),B2138&lt;'112'!$K$9,$N2138='112'!$I$6)),"x",""))</f>
        <v/>
      </c>
      <c r="V2138" s="79" t="str">
        <f>IF(ISERROR(FIND('112'!$M$9,G2138,1)),"",IF((AND(RIGHT(G2138,2)=RIGHT('112'!$M$9,2),B2138&lt;'112'!$K$9,$O2138='112'!$I$6)),"x",""))</f>
        <v/>
      </c>
      <c r="W2138" s="79" t="str">
        <f>IF(AND('341-CT'!$H$9=H2138,OR(LEFT(N2138,3)=$W$7,LEFT(O2138,3)=$W$7)),"x","")</f>
        <v/>
      </c>
      <c r="X2138" s="79" t="str">
        <f>IF(OR(TH!N2138=TH!$X$7,O2138=TH!$X$7),"x","")</f>
        <v/>
      </c>
      <c r="Y2138" s="79" t="str">
        <f>IF(AND(OR(N2138="131",O2138="131"),H2138='131-CT'!$H$9),"x","")</f>
        <v/>
      </c>
      <c r="Z2138" s="79"/>
      <c r="AA2138" s="79" t="str">
        <f>IF(AND(MONTH(E2138)='IN-NX'!$J$5,'IN-NX'!$D$7=D2138),"x","")</f>
        <v/>
      </c>
      <c r="AB2138" s="79" t="str">
        <f>IF(AND(OR(LEFT(TH!N2138,2)="15",LEFT(TH!O2138,2)="15"),LEFT(TH!O2138,3)&lt;&gt;"111",'152-CT'!$J$8=TH!F2138),"x","")</f>
        <v/>
      </c>
      <c r="AC2138" s="79" t="str">
        <f>IF(AND(OR(LEFT(TH!N2138,2)="15",LEFT(TH!O2138,2)="15"),TK!$E$7=TH!F2138),"x","")</f>
        <v/>
      </c>
      <c r="AD2138" s="79" t="str">
        <f>IF(AND(N2138="1521",MONTH(C2138)='BK-NL'!$M$11),"x","")</f>
        <v/>
      </c>
    </row>
    <row r="2139" spans="1:30" ht="16.5" customHeight="1">
      <c r="A2139" s="318" t="str">
        <f>IF(B2139&lt;&gt;"",IF(AND(B2139='IN-TC'!$S$4,OR(TH!N2139="1111",TH!O2139="1111")),TH!D2139,""),"")</f>
        <v/>
      </c>
      <c r="B2139" s="60" t="str">
        <f t="shared" si="235"/>
        <v/>
      </c>
      <c r="C2139" s="301"/>
      <c r="D2139" s="301"/>
      <c r="E2139" s="301"/>
      <c r="F2139" s="69"/>
      <c r="G2139" s="968"/>
      <c r="H2139" s="303"/>
      <c r="I2139" s="385"/>
      <c r="J2139" s="969"/>
      <c r="K2139" s="385"/>
      <c r="L2139" s="392"/>
      <c r="M2139" s="970"/>
      <c r="N2139" s="304"/>
      <c r="O2139" s="304"/>
      <c r="P2139" s="79" t="str">
        <f>IF(AND('331-CT'!$E$7=TH!H2139,OR(N2139="331",O2139="331")),"x","")</f>
        <v/>
      </c>
      <c r="Q2139" s="79" t="str">
        <f>IF(AND(B2139='111'!$L$11,OR($N2139=$Q$7,$O2139=$Q$7)),"x","")</f>
        <v/>
      </c>
      <c r="R2139" s="79" t="str">
        <f>IF(AND($N2139=$Q$7,$B2139&lt;'111'!$L$11),"x","")</f>
        <v/>
      </c>
      <c r="S2139" s="79" t="str">
        <f>IF(AND($O2139=$Q$7,$B2139&lt;'111'!$L$11),"x","")</f>
        <v/>
      </c>
      <c r="T2139" s="79" t="str">
        <f>IF(ISERROR(FIND('112'!$M$9,G2139,1)),"",IF((AND(FIND('112'!$M$9,G2139,1)&gt;=1,B2139='112'!$K$9,OR($N2139='112'!$I$6,$O2139='112'!$I$6))),"x",""))</f>
        <v/>
      </c>
      <c r="U2139" s="79" t="str">
        <f>IF(ISERROR(FIND('112'!$M$9,G2139,1)),"",IF((AND(LEFT(G2139,2)=LEFT('112'!$M$9,2),B2139&lt;'112'!$K$9,$N2139='112'!$I$6)),"x",""))</f>
        <v/>
      </c>
      <c r="V2139" s="79" t="str">
        <f>IF(ISERROR(FIND('112'!$M$9,G2139,1)),"",IF((AND(RIGHT(G2139,2)=RIGHT('112'!$M$9,2),B2139&lt;'112'!$K$9,$O2139='112'!$I$6)),"x",""))</f>
        <v/>
      </c>
      <c r="W2139" s="79" t="str">
        <f>IF(AND('341-CT'!$H$9=H2139,OR(LEFT(N2139,3)=$W$7,LEFT(O2139,3)=$W$7)),"x","")</f>
        <v/>
      </c>
      <c r="X2139" s="79" t="str">
        <f>IF(OR(TH!N2139=TH!$X$7,O2139=TH!$X$7),"x","")</f>
        <v/>
      </c>
      <c r="Y2139" s="79" t="str">
        <f>IF(AND(OR(N2139="131",O2139="131"),H2139='131-CT'!$H$9),"x","")</f>
        <v/>
      </c>
      <c r="Z2139" s="79"/>
      <c r="AA2139" s="79" t="str">
        <f>IF(AND(MONTH(E2139)='IN-NX'!$J$5,'IN-NX'!$D$7=D2139),"x","")</f>
        <v/>
      </c>
      <c r="AB2139" s="79" t="str">
        <f>IF(AND(OR(LEFT(TH!N2139,2)="15",LEFT(TH!O2139,2)="15"),LEFT(TH!O2139,3)&lt;&gt;"111",'152-CT'!$J$8=TH!F2139),"x","")</f>
        <v/>
      </c>
      <c r="AC2139" s="79" t="str">
        <f>IF(AND(OR(LEFT(TH!N2139,2)="15",LEFT(TH!O2139,2)="15"),TK!$E$7=TH!F2139),"x","")</f>
        <v/>
      </c>
      <c r="AD2139" s="79" t="str">
        <f>IF(AND(N2139="1521",MONTH(C2139)='BK-NL'!$M$11),"x","")</f>
        <v/>
      </c>
    </row>
    <row r="2140" spans="1:30" ht="16.5" customHeight="1">
      <c r="A2140" s="318" t="str">
        <f>IF(B2140&lt;&gt;"",IF(AND(B2140='IN-TC'!$S$4,OR(TH!N2140="1111",TH!O2140="1111")),TH!D2140,""),"")</f>
        <v/>
      </c>
      <c r="B2140" s="60" t="str">
        <f t="shared" si="235"/>
        <v/>
      </c>
      <c r="C2140" s="998"/>
      <c r="D2140" s="998"/>
      <c r="E2140" s="998"/>
      <c r="F2140" s="85"/>
      <c r="G2140" s="1003"/>
      <c r="H2140" s="982"/>
      <c r="I2140" s="984"/>
      <c r="J2140" s="1000"/>
      <c r="K2140" s="984"/>
      <c r="L2140" s="983"/>
      <c r="M2140" s="985"/>
      <c r="N2140" s="1001"/>
      <c r="O2140" s="1001"/>
      <c r="P2140" s="79" t="str">
        <f>IF(AND('331-CT'!$E$7=TH!H2140,OR(N2140="331",O2140="331")),"x","")</f>
        <v/>
      </c>
      <c r="Q2140" s="79" t="str">
        <f>IF(AND(B2140='111'!$L$11,OR($N2140=$Q$7,$O2140=$Q$7)),"x","")</f>
        <v/>
      </c>
      <c r="R2140" s="79" t="str">
        <f>IF(AND($N2140=$Q$7,$B2140&lt;'111'!$L$11),"x","")</f>
        <v/>
      </c>
      <c r="S2140" s="79" t="str">
        <f>IF(AND($O2140=$Q$7,$B2140&lt;'111'!$L$11),"x","")</f>
        <v/>
      </c>
      <c r="T2140" s="79" t="str">
        <f>IF(ISERROR(FIND('112'!$M$9,G2140,1)),"",IF((AND(FIND('112'!$M$9,G2140,1)&gt;=1,B2140='112'!$K$9,OR($N2140='112'!$I$6,$O2140='112'!$I$6))),"x",""))</f>
        <v/>
      </c>
      <c r="U2140" s="79" t="str">
        <f>IF(ISERROR(FIND('112'!$M$9,G2140,1)),"",IF((AND(LEFT(G2140,2)=LEFT('112'!$M$9,2),B2140&lt;'112'!$K$9,$N2140='112'!$I$6)),"x",""))</f>
        <v/>
      </c>
      <c r="V2140" s="79" t="str">
        <f>IF(ISERROR(FIND('112'!$M$9,G2140,1)),"",IF((AND(RIGHT(G2140,2)=RIGHT('112'!$M$9,2),B2140&lt;'112'!$K$9,$O2140='112'!$I$6)),"x",""))</f>
        <v/>
      </c>
      <c r="W2140" s="79" t="str">
        <f>IF(AND('341-CT'!$H$9=H2140,OR(LEFT(N2140,3)=$W$7,LEFT(O2140,3)=$W$7)),"x","")</f>
        <v/>
      </c>
      <c r="X2140" s="79" t="str">
        <f>IF(OR(TH!N2140=TH!$X$7,O2140=TH!$X$7),"x","")</f>
        <v/>
      </c>
      <c r="Y2140" s="79" t="str">
        <f>IF(AND(OR(N2140="131",O2140="131"),H2140='131-CT'!$H$9),"x","")</f>
        <v/>
      </c>
      <c r="Z2140" s="79"/>
      <c r="AA2140" s="79" t="str">
        <f>IF(AND(MONTH(E2140)='IN-NX'!$J$5,'IN-NX'!$D$7=D2140),"x","")</f>
        <v/>
      </c>
      <c r="AB2140" s="79" t="str">
        <f>IF(AND(OR(LEFT(TH!N2140,2)="15",LEFT(TH!O2140,2)="15"),LEFT(TH!O2140,3)&lt;&gt;"111",'152-CT'!$J$8=TH!F2140),"x","")</f>
        <v/>
      </c>
      <c r="AC2140" s="79" t="str">
        <f>IF(AND(OR(LEFT(TH!N2140,2)="15",LEFT(TH!O2140,2)="15"),TK!$E$7=TH!F2140),"x","")</f>
        <v/>
      </c>
      <c r="AD2140" s="79" t="str">
        <f>IF(AND(N2140="1521",MONTH(C2140)='BK-NL'!$M$11),"x","")</f>
        <v/>
      </c>
    </row>
    <row r="2141" spans="1:30" ht="16.5" customHeight="1">
      <c r="A2141" s="318" t="str">
        <f>IF(B2141&lt;&gt;"",IF(AND(B2141='IN-TC'!$S$4,OR(TH!N2141="1111",TH!O2141="1111")),TH!D2141,""),"")</f>
        <v/>
      </c>
      <c r="B2141" s="60" t="str">
        <f t="shared" si="235"/>
        <v/>
      </c>
      <c r="C2141" s="998"/>
      <c r="D2141" s="998"/>
      <c r="E2141" s="998"/>
      <c r="F2141" s="85"/>
      <c r="G2141" s="1003"/>
      <c r="H2141" s="982"/>
      <c r="I2141" s="984"/>
      <c r="J2141" s="1000"/>
      <c r="K2141" s="984"/>
      <c r="L2141" s="983"/>
      <c r="M2141" s="985"/>
      <c r="N2141" s="1001"/>
      <c r="O2141" s="1001"/>
      <c r="P2141" s="79" t="str">
        <f>IF(AND('331-CT'!$E$7=TH!H2141,OR(N2141="331",O2141="331")),"x","")</f>
        <v/>
      </c>
      <c r="Q2141" s="79" t="str">
        <f>IF(AND(B2141='111'!$L$11,OR($N2141=$Q$7,$O2141=$Q$7)),"x","")</f>
        <v/>
      </c>
      <c r="R2141" s="79" t="str">
        <f>IF(AND($N2141=$Q$7,$B2141&lt;'111'!$L$11),"x","")</f>
        <v/>
      </c>
      <c r="S2141" s="79" t="str">
        <f>IF(AND($O2141=$Q$7,$B2141&lt;'111'!$L$11),"x","")</f>
        <v/>
      </c>
      <c r="T2141" s="79" t="str">
        <f>IF(ISERROR(FIND('112'!$M$9,G2141,1)),"",IF((AND(FIND('112'!$M$9,G2141,1)&gt;=1,B2141='112'!$K$9,OR($N2141='112'!$I$6,$O2141='112'!$I$6))),"x",""))</f>
        <v/>
      </c>
      <c r="U2141" s="79" t="str">
        <f>IF(ISERROR(FIND('112'!$M$9,G2141,1)),"",IF((AND(LEFT(G2141,2)=LEFT('112'!$M$9,2),B2141&lt;'112'!$K$9,$N2141='112'!$I$6)),"x",""))</f>
        <v/>
      </c>
      <c r="V2141" s="79" t="str">
        <f>IF(ISERROR(FIND('112'!$M$9,G2141,1)),"",IF((AND(RIGHT(G2141,2)=RIGHT('112'!$M$9,2),B2141&lt;'112'!$K$9,$O2141='112'!$I$6)),"x",""))</f>
        <v/>
      </c>
      <c r="W2141" s="79" t="str">
        <f>IF(AND('341-CT'!$H$9=H2141,OR(LEFT(N2141,3)=$W$7,LEFT(O2141,3)=$W$7)),"x","")</f>
        <v/>
      </c>
      <c r="X2141" s="79" t="str">
        <f>IF(OR(TH!N2141=TH!$X$7,O2141=TH!$X$7),"x","")</f>
        <v/>
      </c>
      <c r="Y2141" s="79" t="str">
        <f>IF(AND(OR(N2141="131",O2141="131"),H2141='131-CT'!$H$9),"x","")</f>
        <v/>
      </c>
      <c r="Z2141" s="79"/>
      <c r="AA2141" s="79" t="str">
        <f>IF(AND(MONTH(E2141)='IN-NX'!$J$5,'IN-NX'!$D$7=D2141),"x","")</f>
        <v/>
      </c>
      <c r="AB2141" s="79" t="str">
        <f>IF(AND(OR(LEFT(TH!N2141,2)="15",LEFT(TH!O2141,2)="15"),LEFT(TH!O2141,3)&lt;&gt;"111",'152-CT'!$J$8=TH!F2141),"x","")</f>
        <v/>
      </c>
      <c r="AC2141" s="79" t="str">
        <f>IF(AND(OR(LEFT(TH!N2141,2)="15",LEFT(TH!O2141,2)="15"),TK!$E$7=TH!F2141),"x","")</f>
        <v/>
      </c>
      <c r="AD2141" s="79" t="str">
        <f>IF(AND(N2141="1521",MONTH(C2141)='BK-NL'!$M$11),"x","")</f>
        <v/>
      </c>
    </row>
    <row r="2142" spans="1:30" ht="16.5" customHeight="1">
      <c r="A2142" s="318" t="str">
        <f>IF(B2142&lt;&gt;"",IF(AND(B2142='IN-TC'!$S$4,OR(TH!N2142="1111",TH!O2142="1111")),TH!D2142,""),"")</f>
        <v/>
      </c>
      <c r="B2142" s="60" t="str">
        <f t="shared" si="235"/>
        <v/>
      </c>
      <c r="C2142" s="998"/>
      <c r="D2142" s="998"/>
      <c r="E2142" s="998"/>
      <c r="F2142" s="85"/>
      <c r="G2142" s="1003"/>
      <c r="H2142" s="982"/>
      <c r="I2142" s="984"/>
      <c r="J2142" s="1000"/>
      <c r="K2142" s="984"/>
      <c r="L2142" s="983"/>
      <c r="M2142" s="985"/>
      <c r="N2142" s="1001"/>
      <c r="O2142" s="1001"/>
      <c r="P2142" s="79" t="str">
        <f>IF(AND('331-CT'!$E$7=TH!H2142,OR(N2142="331",O2142="331")),"x","")</f>
        <v/>
      </c>
      <c r="Q2142" s="79" t="str">
        <f>IF(AND(B2142='111'!$L$11,OR($N2142=$Q$7,$O2142=$Q$7)),"x","")</f>
        <v/>
      </c>
      <c r="R2142" s="79" t="str">
        <f>IF(AND($N2142=$Q$7,$B2142&lt;'111'!$L$11),"x","")</f>
        <v/>
      </c>
      <c r="S2142" s="79" t="str">
        <f>IF(AND($O2142=$Q$7,$B2142&lt;'111'!$L$11),"x","")</f>
        <v/>
      </c>
      <c r="T2142" s="79" t="str">
        <f>IF(ISERROR(FIND('112'!$M$9,G2142,1)),"",IF((AND(FIND('112'!$M$9,G2142,1)&gt;=1,B2142='112'!$K$9,OR($N2142='112'!$I$6,$O2142='112'!$I$6))),"x",""))</f>
        <v/>
      </c>
      <c r="U2142" s="79" t="str">
        <f>IF(ISERROR(FIND('112'!$M$9,G2142,1)),"",IF((AND(LEFT(G2142,2)=LEFT('112'!$M$9,2),B2142&lt;'112'!$K$9,$N2142='112'!$I$6)),"x",""))</f>
        <v/>
      </c>
      <c r="V2142" s="79" t="str">
        <f>IF(ISERROR(FIND('112'!$M$9,G2142,1)),"",IF((AND(RIGHT(G2142,2)=RIGHT('112'!$M$9,2),B2142&lt;'112'!$K$9,$O2142='112'!$I$6)),"x",""))</f>
        <v/>
      </c>
      <c r="W2142" s="79" t="str">
        <f>IF(AND('341-CT'!$H$9=H2142,OR(LEFT(N2142,3)=$W$7,LEFT(O2142,3)=$W$7)),"x","")</f>
        <v/>
      </c>
      <c r="X2142" s="79" t="str">
        <f>IF(OR(TH!N2142=TH!$X$7,O2142=TH!$X$7),"x","")</f>
        <v/>
      </c>
      <c r="Y2142" s="79" t="str">
        <f>IF(AND(OR(N2142="131",O2142="131"),H2142='131-CT'!$H$9),"x","")</f>
        <v/>
      </c>
      <c r="Z2142" s="79"/>
      <c r="AA2142" s="79" t="str">
        <f>IF(AND(MONTH(E2142)='IN-NX'!$J$5,'IN-NX'!$D$7=D2142),"x","")</f>
        <v/>
      </c>
      <c r="AB2142" s="79" t="str">
        <f>IF(AND(OR(LEFT(TH!N2142,2)="15",LEFT(TH!O2142,2)="15"),LEFT(TH!O2142,3)&lt;&gt;"111",'152-CT'!$J$8=TH!F2142),"x","")</f>
        <v/>
      </c>
      <c r="AC2142" s="79" t="str">
        <f>IF(AND(OR(LEFT(TH!N2142,2)="15",LEFT(TH!O2142,2)="15"),TK!$E$7=TH!F2142),"x","")</f>
        <v/>
      </c>
      <c r="AD2142" s="79" t="str">
        <f>IF(AND(N2142="1521",MONTH(C2142)='BK-NL'!$M$11),"x","")</f>
        <v/>
      </c>
    </row>
    <row r="2143" spans="1:30" ht="16.5" customHeight="1">
      <c r="A2143" s="318" t="str">
        <f>IF(B2143&lt;&gt;"",IF(AND(B2143='IN-TC'!$S$4,OR(TH!N2143="1111",TH!O2143="1111")),TH!D2143,""),"")</f>
        <v/>
      </c>
      <c r="B2143" s="60" t="str">
        <f t="shared" si="235"/>
        <v/>
      </c>
      <c r="C2143" s="301"/>
      <c r="D2143" s="301"/>
      <c r="E2143" s="301"/>
      <c r="F2143" s="69"/>
      <c r="G2143" s="968"/>
      <c r="H2143" s="303"/>
      <c r="I2143" s="385"/>
      <c r="J2143" s="969"/>
      <c r="K2143" s="385"/>
      <c r="L2143" s="392"/>
      <c r="M2143" s="970"/>
      <c r="N2143" s="304"/>
      <c r="O2143" s="304"/>
      <c r="P2143" s="79" t="str">
        <f>IF(AND('331-CT'!$E$7=TH!H2143,OR(N2143="331",O2143="331")),"x","")</f>
        <v/>
      </c>
      <c r="Q2143" s="79" t="str">
        <f>IF(AND(B2143='111'!$L$11,OR($N2143=$Q$7,$O2143=$Q$7)),"x","")</f>
        <v/>
      </c>
      <c r="R2143" s="79" t="str">
        <f>IF(AND($N2143=$Q$7,$B2143&lt;'111'!$L$11),"x","")</f>
        <v/>
      </c>
      <c r="S2143" s="79" t="str">
        <f>IF(AND($O2143=$Q$7,$B2143&lt;'111'!$L$11),"x","")</f>
        <v/>
      </c>
      <c r="T2143" s="79" t="str">
        <f>IF(ISERROR(FIND('112'!$M$9,G2143,1)),"",IF((AND(FIND('112'!$M$9,G2143,1)&gt;=1,B2143='112'!$K$9,OR($N2143='112'!$I$6,$O2143='112'!$I$6))),"x",""))</f>
        <v/>
      </c>
      <c r="U2143" s="79" t="str">
        <f>IF(ISERROR(FIND('112'!$M$9,G2143,1)),"",IF((AND(LEFT(G2143,2)=LEFT('112'!$M$9,2),B2143&lt;'112'!$K$9,$N2143='112'!$I$6)),"x",""))</f>
        <v/>
      </c>
      <c r="V2143" s="79" t="str">
        <f>IF(ISERROR(FIND('112'!$M$9,G2143,1)),"",IF((AND(RIGHT(G2143,2)=RIGHT('112'!$M$9,2),B2143&lt;'112'!$K$9,$O2143='112'!$I$6)),"x",""))</f>
        <v/>
      </c>
      <c r="W2143" s="79" t="str">
        <f>IF(AND('341-CT'!$H$9=H2143,OR(LEFT(N2143,3)=$W$7,LEFT(O2143,3)=$W$7)),"x","")</f>
        <v/>
      </c>
      <c r="X2143" s="79" t="str">
        <f>IF(OR(TH!N2143=TH!$X$7,O2143=TH!$X$7),"x","")</f>
        <v/>
      </c>
      <c r="Y2143" s="79" t="str">
        <f>IF(AND(OR(N2143="131",O2143="131"),H2143='131-CT'!$H$9),"x","")</f>
        <v/>
      </c>
      <c r="Z2143" s="79"/>
      <c r="AA2143" s="79" t="str">
        <f>IF(AND(MONTH(E2143)='IN-NX'!$J$5,'IN-NX'!$D$7=D2143),"x","")</f>
        <v/>
      </c>
      <c r="AB2143" s="79" t="str">
        <f>IF(AND(OR(LEFT(TH!N2143,2)="15",LEFT(TH!O2143,2)="15"),LEFT(TH!O2143,3)&lt;&gt;"111",'152-CT'!$J$8=TH!F2143),"x","")</f>
        <v/>
      </c>
      <c r="AC2143" s="79" t="str">
        <f>IF(AND(OR(LEFT(TH!N2143,2)="15",LEFT(TH!O2143,2)="15"),TK!$E$7=TH!F2143),"x","")</f>
        <v/>
      </c>
      <c r="AD2143" s="79" t="str">
        <f>IF(AND(N2143="1521",MONTH(C2143)='BK-NL'!$M$11),"x","")</f>
        <v/>
      </c>
    </row>
    <row r="2144" spans="1:30" ht="16.5" customHeight="1">
      <c r="A2144" s="318" t="str">
        <f>IF(B2144&lt;&gt;"",IF(AND(B2144='IN-TC'!$S$4,OR(TH!N2144="1111",TH!O2144="1111")),TH!D2144,""),"")</f>
        <v/>
      </c>
      <c r="B2144" s="60" t="str">
        <f t="shared" si="235"/>
        <v/>
      </c>
      <c r="C2144" s="301"/>
      <c r="D2144" s="301"/>
      <c r="E2144" s="301"/>
      <c r="F2144" s="69"/>
      <c r="G2144" s="968"/>
      <c r="H2144" s="303"/>
      <c r="I2144" s="385"/>
      <c r="J2144" s="969"/>
      <c r="K2144" s="385"/>
      <c r="L2144" s="392"/>
      <c r="M2144" s="970"/>
      <c r="N2144" s="304"/>
      <c r="O2144" s="304"/>
      <c r="P2144" s="79" t="str">
        <f>IF(AND('331-CT'!$E$7=TH!H2144,OR(N2144="331",O2144="331")),"x","")</f>
        <v/>
      </c>
      <c r="Q2144" s="79" t="str">
        <f>IF(AND(B2144='111'!$L$11,OR($N2144=$Q$7,$O2144=$Q$7)),"x","")</f>
        <v/>
      </c>
      <c r="R2144" s="79" t="str">
        <f>IF(AND($N2144=$Q$7,$B2144&lt;'111'!$L$11),"x","")</f>
        <v/>
      </c>
      <c r="S2144" s="79" t="str">
        <f>IF(AND($O2144=$Q$7,$B2144&lt;'111'!$L$11),"x","")</f>
        <v/>
      </c>
      <c r="T2144" s="79" t="str">
        <f>IF(ISERROR(FIND('112'!$M$9,G2144,1)),"",IF((AND(FIND('112'!$M$9,G2144,1)&gt;=1,B2144='112'!$K$9,OR($N2144='112'!$I$6,$O2144='112'!$I$6))),"x",""))</f>
        <v/>
      </c>
      <c r="U2144" s="79" t="str">
        <f>IF(ISERROR(FIND('112'!$M$9,G2144,1)),"",IF((AND(LEFT(G2144,2)=LEFT('112'!$M$9,2),B2144&lt;'112'!$K$9,$N2144='112'!$I$6)),"x",""))</f>
        <v/>
      </c>
      <c r="V2144" s="79" t="str">
        <f>IF(ISERROR(FIND('112'!$M$9,G2144,1)),"",IF((AND(RIGHT(G2144,2)=RIGHT('112'!$M$9,2),B2144&lt;'112'!$K$9,$O2144='112'!$I$6)),"x",""))</f>
        <v/>
      </c>
      <c r="W2144" s="79" t="str">
        <f>IF(AND('341-CT'!$H$9=H2144,OR(LEFT(N2144,3)=$W$7,LEFT(O2144,3)=$W$7)),"x","")</f>
        <v/>
      </c>
      <c r="X2144" s="79" t="str">
        <f>IF(OR(TH!N2144=TH!$X$7,O2144=TH!$X$7),"x","")</f>
        <v/>
      </c>
      <c r="Y2144" s="79" t="str">
        <f>IF(AND(OR(N2144="131",O2144="131"),H2144='131-CT'!$H$9),"x","")</f>
        <v/>
      </c>
      <c r="Z2144" s="79"/>
      <c r="AA2144" s="79" t="str">
        <f>IF(AND(MONTH(E2144)='IN-NX'!$J$5,'IN-NX'!$D$7=D2144),"x","")</f>
        <v/>
      </c>
      <c r="AB2144" s="79" t="str">
        <f>IF(AND(OR(LEFT(TH!N2144,2)="15",LEFT(TH!O2144,2)="15"),LEFT(TH!O2144,3)&lt;&gt;"111",'152-CT'!$J$8=TH!F2144),"x","")</f>
        <v/>
      </c>
      <c r="AC2144" s="79" t="str">
        <f>IF(AND(OR(LEFT(TH!N2144,2)="15",LEFT(TH!O2144,2)="15"),TK!$E$7=TH!F2144),"x","")</f>
        <v/>
      </c>
      <c r="AD2144" s="79" t="str">
        <f>IF(AND(N2144="1521",MONTH(C2144)='BK-NL'!$M$11),"x","")</f>
        <v/>
      </c>
    </row>
    <row r="2145" spans="1:30" ht="16.5" customHeight="1">
      <c r="A2145" s="318" t="str">
        <f>IF(B2145&lt;&gt;"",IF(AND(B2145='IN-TC'!$S$4,OR(TH!N2145="1111",TH!O2145="1111")),TH!D2145,""),"")</f>
        <v/>
      </c>
      <c r="B2145" s="60" t="str">
        <f t="shared" si="235"/>
        <v/>
      </c>
      <c r="C2145" s="301"/>
      <c r="D2145" s="301"/>
      <c r="E2145" s="301"/>
      <c r="F2145" s="69"/>
      <c r="G2145" s="968"/>
      <c r="H2145" s="303"/>
      <c r="I2145" s="385"/>
      <c r="J2145" s="969"/>
      <c r="K2145" s="385"/>
      <c r="L2145" s="392"/>
      <c r="M2145" s="970"/>
      <c r="N2145" s="304"/>
      <c r="O2145" s="304"/>
      <c r="P2145" s="79" t="str">
        <f>IF(AND('331-CT'!$E$7=TH!H2145,OR(N2145="331",O2145="331")),"x","")</f>
        <v/>
      </c>
      <c r="Q2145" s="79" t="str">
        <f>IF(AND(B2145='111'!$L$11,OR($N2145=$Q$7,$O2145=$Q$7)),"x","")</f>
        <v/>
      </c>
      <c r="R2145" s="79" t="str">
        <f>IF(AND($N2145=$Q$7,$B2145&lt;'111'!$L$11),"x","")</f>
        <v/>
      </c>
      <c r="S2145" s="79" t="str">
        <f>IF(AND($O2145=$Q$7,$B2145&lt;'111'!$L$11),"x","")</f>
        <v/>
      </c>
      <c r="T2145" s="79" t="str">
        <f>IF(ISERROR(FIND('112'!$M$9,G2145,1)),"",IF((AND(FIND('112'!$M$9,G2145,1)&gt;=1,B2145='112'!$K$9,OR($N2145='112'!$I$6,$O2145='112'!$I$6))),"x",""))</f>
        <v/>
      </c>
      <c r="U2145" s="79" t="str">
        <f>IF(ISERROR(FIND('112'!$M$9,G2145,1)),"",IF((AND(LEFT(G2145,2)=LEFT('112'!$M$9,2),B2145&lt;'112'!$K$9,$N2145='112'!$I$6)),"x",""))</f>
        <v/>
      </c>
      <c r="V2145" s="79" t="str">
        <f>IF(ISERROR(FIND('112'!$M$9,G2145,1)),"",IF((AND(RIGHT(G2145,2)=RIGHT('112'!$M$9,2),B2145&lt;'112'!$K$9,$O2145='112'!$I$6)),"x",""))</f>
        <v/>
      </c>
      <c r="W2145" s="79" t="str">
        <f>IF(AND('341-CT'!$H$9=H2145,OR(LEFT(N2145,3)=$W$7,LEFT(O2145,3)=$W$7)),"x","")</f>
        <v/>
      </c>
      <c r="X2145" s="79" t="str">
        <f>IF(OR(TH!N2145=TH!$X$7,O2145=TH!$X$7),"x","")</f>
        <v/>
      </c>
      <c r="Y2145" s="79" t="str">
        <f>IF(AND(OR(N2145="131",O2145="131"),H2145='131-CT'!$H$9),"x","")</f>
        <v/>
      </c>
      <c r="Z2145" s="79"/>
      <c r="AA2145" s="79" t="str">
        <f>IF(AND(MONTH(E2145)='IN-NX'!$J$5,'IN-NX'!$D$7=D2145),"x","")</f>
        <v/>
      </c>
      <c r="AB2145" s="79" t="str">
        <f>IF(AND(OR(LEFT(TH!N2145,2)="15",LEFT(TH!O2145,2)="15"),LEFT(TH!O2145,3)&lt;&gt;"111",'152-CT'!$J$8=TH!F2145),"x","")</f>
        <v/>
      </c>
      <c r="AC2145" s="79" t="str">
        <f>IF(AND(OR(LEFT(TH!N2145,2)="15",LEFT(TH!O2145,2)="15"),TK!$E$7=TH!F2145),"x","")</f>
        <v/>
      </c>
      <c r="AD2145" s="79" t="str">
        <f>IF(AND(N2145="1521",MONTH(C2145)='BK-NL'!$M$11),"x","")</f>
        <v/>
      </c>
    </row>
    <row r="2146" spans="1:30" ht="16.5" customHeight="1">
      <c r="A2146" s="318" t="str">
        <f>IF(B2146&lt;&gt;"",IF(AND(B2146='IN-TC'!$S$4,OR(TH!N2146="1111",TH!O2146="1111")),TH!D2146,""),"")</f>
        <v/>
      </c>
      <c r="B2146" s="60" t="str">
        <f t="shared" si="235"/>
        <v/>
      </c>
      <c r="C2146" s="301"/>
      <c r="D2146" s="301"/>
      <c r="E2146" s="301"/>
      <c r="F2146" s="69"/>
      <c r="G2146" s="968"/>
      <c r="H2146" s="303"/>
      <c r="I2146" s="385"/>
      <c r="J2146" s="969"/>
      <c r="K2146" s="385"/>
      <c r="L2146" s="392"/>
      <c r="M2146" s="970"/>
      <c r="N2146" s="304"/>
      <c r="O2146" s="304"/>
      <c r="P2146" s="79" t="str">
        <f>IF(AND('331-CT'!$E$7=TH!H2146,OR(N2146="331",O2146="331")),"x","")</f>
        <v/>
      </c>
      <c r="Q2146" s="79" t="str">
        <f>IF(AND(B2146='111'!$L$11,OR($N2146=$Q$7,$O2146=$Q$7)),"x","")</f>
        <v/>
      </c>
      <c r="R2146" s="79" t="str">
        <f>IF(AND($N2146=$Q$7,$B2146&lt;'111'!$L$11),"x","")</f>
        <v/>
      </c>
      <c r="S2146" s="79" t="str">
        <f>IF(AND($O2146=$Q$7,$B2146&lt;'111'!$L$11),"x","")</f>
        <v/>
      </c>
      <c r="T2146" s="79" t="str">
        <f>IF(ISERROR(FIND('112'!$M$9,G2146,1)),"",IF((AND(FIND('112'!$M$9,G2146,1)&gt;=1,B2146='112'!$K$9,OR($N2146='112'!$I$6,$O2146='112'!$I$6))),"x",""))</f>
        <v/>
      </c>
      <c r="U2146" s="79" t="str">
        <f>IF(ISERROR(FIND('112'!$M$9,G2146,1)),"",IF((AND(LEFT(G2146,2)=LEFT('112'!$M$9,2),B2146&lt;'112'!$K$9,$N2146='112'!$I$6)),"x",""))</f>
        <v/>
      </c>
      <c r="V2146" s="79" t="str">
        <f>IF(ISERROR(FIND('112'!$M$9,G2146,1)),"",IF((AND(RIGHT(G2146,2)=RIGHT('112'!$M$9,2),B2146&lt;'112'!$K$9,$O2146='112'!$I$6)),"x",""))</f>
        <v/>
      </c>
      <c r="W2146" s="79" t="str">
        <f>IF(AND('341-CT'!$H$9=H2146,OR(LEFT(N2146,3)=$W$7,LEFT(O2146,3)=$W$7)),"x","")</f>
        <v/>
      </c>
      <c r="X2146" s="79" t="str">
        <f>IF(OR(TH!N2146=TH!$X$7,O2146=TH!$X$7),"x","")</f>
        <v/>
      </c>
      <c r="Y2146" s="79" t="str">
        <f>IF(AND(OR(N2146="131",O2146="131"),H2146='131-CT'!$H$9),"x","")</f>
        <v/>
      </c>
      <c r="Z2146" s="79"/>
      <c r="AA2146" s="79" t="str">
        <f>IF(AND(MONTH(E2146)='IN-NX'!$J$5,'IN-NX'!$D$7=D2146),"x","")</f>
        <v/>
      </c>
      <c r="AB2146" s="79" t="str">
        <f>IF(AND(OR(LEFT(TH!N2146,2)="15",LEFT(TH!O2146,2)="15"),LEFT(TH!O2146,3)&lt;&gt;"111",'152-CT'!$J$8=TH!F2146),"x","")</f>
        <v/>
      </c>
      <c r="AC2146" s="79" t="str">
        <f>IF(AND(OR(LEFT(TH!N2146,2)="15",LEFT(TH!O2146,2)="15"),TK!$E$7=TH!F2146),"x","")</f>
        <v/>
      </c>
      <c r="AD2146" s="79" t="str">
        <f>IF(AND(N2146="1521",MONTH(C2146)='BK-NL'!$M$11),"x","")</f>
        <v/>
      </c>
    </row>
    <row r="2147" spans="1:30" ht="16.5" customHeight="1">
      <c r="A2147" s="318" t="str">
        <f>IF(B2147&lt;&gt;"",IF(AND(B2147='IN-TC'!$S$4,OR(TH!N2147="1111",TH!O2147="1111")),TH!D2147,""),"")</f>
        <v/>
      </c>
      <c r="B2147" s="60" t="str">
        <f t="shared" si="235"/>
        <v/>
      </c>
      <c r="C2147" s="301"/>
      <c r="D2147" s="301"/>
      <c r="E2147" s="301"/>
      <c r="F2147" s="69"/>
      <c r="G2147" s="968"/>
      <c r="H2147" s="303"/>
      <c r="I2147" s="385"/>
      <c r="J2147" s="969"/>
      <c r="K2147" s="385"/>
      <c r="L2147" s="392"/>
      <c r="M2147" s="970"/>
      <c r="N2147" s="304"/>
      <c r="O2147" s="304"/>
      <c r="P2147" s="79" t="str">
        <f>IF(AND('331-CT'!$E$7=TH!H2147,OR(N2147="331",O2147="331")),"x","")</f>
        <v/>
      </c>
      <c r="Q2147" s="79" t="str">
        <f>IF(AND(B2147='111'!$L$11,OR($N2147=$Q$7,$O2147=$Q$7)),"x","")</f>
        <v/>
      </c>
      <c r="R2147" s="79" t="str">
        <f>IF(AND($N2147=$Q$7,$B2147&lt;'111'!$L$11),"x","")</f>
        <v/>
      </c>
      <c r="S2147" s="79" t="str">
        <f>IF(AND($O2147=$Q$7,$B2147&lt;'111'!$L$11),"x","")</f>
        <v/>
      </c>
      <c r="T2147" s="79" t="str">
        <f>IF(ISERROR(FIND('112'!$M$9,G2147,1)),"",IF((AND(FIND('112'!$M$9,G2147,1)&gt;=1,B2147='112'!$K$9,OR($N2147='112'!$I$6,$O2147='112'!$I$6))),"x",""))</f>
        <v/>
      </c>
      <c r="U2147" s="79" t="str">
        <f>IF(ISERROR(FIND('112'!$M$9,G2147,1)),"",IF((AND(LEFT(G2147,2)=LEFT('112'!$M$9,2),B2147&lt;'112'!$K$9,$N2147='112'!$I$6)),"x",""))</f>
        <v/>
      </c>
      <c r="V2147" s="79" t="str">
        <f>IF(ISERROR(FIND('112'!$M$9,G2147,1)),"",IF((AND(RIGHT(G2147,2)=RIGHT('112'!$M$9,2),B2147&lt;'112'!$K$9,$O2147='112'!$I$6)),"x",""))</f>
        <v/>
      </c>
      <c r="W2147" s="79" t="str">
        <f>IF(AND('341-CT'!$H$9=H2147,OR(LEFT(N2147,3)=$W$7,LEFT(O2147,3)=$W$7)),"x","")</f>
        <v/>
      </c>
      <c r="X2147" s="79" t="str">
        <f>IF(OR(TH!N2147=TH!$X$7,O2147=TH!$X$7),"x","")</f>
        <v/>
      </c>
      <c r="Y2147" s="79" t="str">
        <f>IF(AND(OR(N2147="131",O2147="131"),H2147='131-CT'!$H$9),"x","")</f>
        <v/>
      </c>
      <c r="Z2147" s="79"/>
      <c r="AA2147" s="79" t="str">
        <f>IF(AND(MONTH(E2147)='IN-NX'!$J$5,'IN-NX'!$D$7=D2147),"x","")</f>
        <v/>
      </c>
      <c r="AB2147" s="79" t="str">
        <f>IF(AND(OR(LEFT(TH!N2147,2)="15",LEFT(TH!O2147,2)="15"),LEFT(TH!O2147,3)&lt;&gt;"111",'152-CT'!$J$8=TH!F2147),"x","")</f>
        <v/>
      </c>
      <c r="AC2147" s="79" t="str">
        <f>IF(AND(OR(LEFT(TH!N2147,2)="15",LEFT(TH!O2147,2)="15"),TK!$E$7=TH!F2147),"x","")</f>
        <v/>
      </c>
      <c r="AD2147" s="79" t="str">
        <f>IF(AND(N2147="1521",MONTH(C2147)='BK-NL'!$M$11),"x","")</f>
        <v/>
      </c>
    </row>
    <row r="2148" spans="1:30" ht="16.5" customHeight="1">
      <c r="A2148" s="318" t="str">
        <f>IF(B2148&lt;&gt;"",IF(AND(B2148='IN-TC'!$S$4,OR(TH!N2148="1111",TH!O2148="1111")),TH!D2148,""),"")</f>
        <v/>
      </c>
      <c r="B2148" s="60" t="str">
        <f t="shared" si="235"/>
        <v/>
      </c>
      <c r="C2148" s="301"/>
      <c r="D2148" s="301"/>
      <c r="E2148" s="301"/>
      <c r="F2148" s="69"/>
      <c r="G2148" s="968"/>
      <c r="H2148" s="303"/>
      <c r="I2148" s="385"/>
      <c r="J2148" s="969"/>
      <c r="K2148" s="385"/>
      <c r="L2148" s="392"/>
      <c r="M2148" s="970"/>
      <c r="N2148" s="304"/>
      <c r="O2148" s="304"/>
      <c r="P2148" s="79" t="str">
        <f>IF(AND('331-CT'!$E$7=TH!H2148,OR(N2148="331",O2148="331")),"x","")</f>
        <v/>
      </c>
      <c r="Q2148" s="79" t="str">
        <f>IF(AND(B2148='111'!$L$11,OR($N2148=$Q$7,$O2148=$Q$7)),"x","")</f>
        <v/>
      </c>
      <c r="R2148" s="79" t="str">
        <f>IF(AND($N2148=$Q$7,$B2148&lt;'111'!$L$11),"x","")</f>
        <v/>
      </c>
      <c r="S2148" s="79" t="str">
        <f>IF(AND($O2148=$Q$7,$B2148&lt;'111'!$L$11),"x","")</f>
        <v/>
      </c>
      <c r="T2148" s="79" t="str">
        <f>IF(ISERROR(FIND('112'!$M$9,G2148,1)),"",IF((AND(FIND('112'!$M$9,G2148,1)&gt;=1,B2148='112'!$K$9,OR($N2148='112'!$I$6,$O2148='112'!$I$6))),"x",""))</f>
        <v/>
      </c>
      <c r="U2148" s="79" t="str">
        <f>IF(ISERROR(FIND('112'!$M$9,G2148,1)),"",IF((AND(LEFT(G2148,2)=LEFT('112'!$M$9,2),B2148&lt;'112'!$K$9,$N2148='112'!$I$6)),"x",""))</f>
        <v/>
      </c>
      <c r="V2148" s="79" t="str">
        <f>IF(ISERROR(FIND('112'!$M$9,G2148,1)),"",IF((AND(RIGHT(G2148,2)=RIGHT('112'!$M$9,2),B2148&lt;'112'!$K$9,$O2148='112'!$I$6)),"x",""))</f>
        <v/>
      </c>
      <c r="W2148" s="79" t="str">
        <f>IF(AND('341-CT'!$H$9=H2148,OR(LEFT(N2148,3)=$W$7,LEFT(O2148,3)=$W$7)),"x","")</f>
        <v/>
      </c>
      <c r="X2148" s="79" t="str">
        <f>IF(OR(TH!N2148=TH!$X$7,O2148=TH!$X$7),"x","")</f>
        <v/>
      </c>
      <c r="Y2148" s="79" t="str">
        <f>IF(AND(OR(N2148="131",O2148="131"),H2148='131-CT'!$H$9),"x","")</f>
        <v/>
      </c>
      <c r="Z2148" s="79"/>
      <c r="AA2148" s="79" t="str">
        <f>IF(AND(MONTH(E2148)='IN-NX'!$J$5,'IN-NX'!$D$7=D2148),"x","")</f>
        <v/>
      </c>
      <c r="AB2148" s="79" t="str">
        <f>IF(AND(OR(LEFT(TH!N2148,2)="15",LEFT(TH!O2148,2)="15"),LEFT(TH!O2148,3)&lt;&gt;"111",'152-CT'!$J$8=TH!F2148),"x","")</f>
        <v/>
      </c>
      <c r="AC2148" s="79" t="str">
        <f>IF(AND(OR(LEFT(TH!N2148,2)="15",LEFT(TH!O2148,2)="15"),TK!$E$7=TH!F2148),"x","")</f>
        <v/>
      </c>
      <c r="AD2148" s="79" t="str">
        <f>IF(AND(N2148="1521",MONTH(C2148)='BK-NL'!$M$11),"x","")</f>
        <v/>
      </c>
    </row>
    <row r="2149" spans="1:30" ht="16.5" customHeight="1">
      <c r="A2149" s="318" t="str">
        <f>IF(B2149&lt;&gt;"",IF(AND(B2149='IN-TC'!$S$4,OR(TH!N2149="1111",TH!O2149="1111")),TH!D2149,""),"")</f>
        <v/>
      </c>
      <c r="B2149" s="60" t="str">
        <f t="shared" si="235"/>
        <v/>
      </c>
      <c r="C2149" s="301"/>
      <c r="D2149" s="301"/>
      <c r="E2149" s="301"/>
      <c r="F2149" s="69"/>
      <c r="G2149" s="968"/>
      <c r="H2149" s="303"/>
      <c r="I2149" s="385"/>
      <c r="J2149" s="969"/>
      <c r="K2149" s="385"/>
      <c r="L2149" s="392"/>
      <c r="M2149" s="970"/>
      <c r="N2149" s="304"/>
      <c r="O2149" s="304"/>
      <c r="P2149" s="79" t="str">
        <f>IF(AND('331-CT'!$E$7=TH!H2149,OR(N2149="331",O2149="331")),"x","")</f>
        <v/>
      </c>
      <c r="Q2149" s="79" t="str">
        <f>IF(AND(B2149='111'!$L$11,OR($N2149=$Q$7,$O2149=$Q$7)),"x","")</f>
        <v/>
      </c>
      <c r="R2149" s="79" t="str">
        <f>IF(AND($N2149=$Q$7,$B2149&lt;'111'!$L$11),"x","")</f>
        <v/>
      </c>
      <c r="S2149" s="79" t="str">
        <f>IF(AND($O2149=$Q$7,$B2149&lt;'111'!$L$11),"x","")</f>
        <v/>
      </c>
      <c r="T2149" s="79" t="str">
        <f>IF(ISERROR(FIND('112'!$M$9,G2149,1)),"",IF((AND(FIND('112'!$M$9,G2149,1)&gt;=1,B2149='112'!$K$9,OR($N2149='112'!$I$6,$O2149='112'!$I$6))),"x",""))</f>
        <v/>
      </c>
      <c r="U2149" s="79" t="str">
        <f>IF(ISERROR(FIND('112'!$M$9,G2149,1)),"",IF((AND(LEFT(G2149,2)=LEFT('112'!$M$9,2),B2149&lt;'112'!$K$9,$N2149='112'!$I$6)),"x",""))</f>
        <v/>
      </c>
      <c r="V2149" s="79" t="str">
        <f>IF(ISERROR(FIND('112'!$M$9,G2149,1)),"",IF((AND(RIGHT(G2149,2)=RIGHT('112'!$M$9,2),B2149&lt;'112'!$K$9,$O2149='112'!$I$6)),"x",""))</f>
        <v/>
      </c>
      <c r="W2149" s="79" t="str">
        <f>IF(AND('341-CT'!$H$9=H2149,OR(LEFT(N2149,3)=$W$7,LEFT(O2149,3)=$W$7)),"x","")</f>
        <v/>
      </c>
      <c r="X2149" s="79" t="str">
        <f>IF(OR(TH!N2149=TH!$X$7,O2149=TH!$X$7),"x","")</f>
        <v/>
      </c>
      <c r="Y2149" s="79" t="str">
        <f>IF(AND(OR(N2149="131",O2149="131"),H2149='131-CT'!$H$9),"x","")</f>
        <v/>
      </c>
      <c r="Z2149" s="79"/>
      <c r="AA2149" s="79" t="str">
        <f>IF(AND(MONTH(E2149)='IN-NX'!$J$5,'IN-NX'!$D$7=D2149),"x","")</f>
        <v/>
      </c>
      <c r="AB2149" s="79" t="str">
        <f>IF(AND(OR(LEFT(TH!N2149,2)="15",LEFT(TH!O2149,2)="15"),LEFT(TH!O2149,3)&lt;&gt;"111",'152-CT'!$J$8=TH!F2149),"x","")</f>
        <v/>
      </c>
      <c r="AC2149" s="79" t="str">
        <f>IF(AND(OR(LEFT(TH!N2149,2)="15",LEFT(TH!O2149,2)="15"),TK!$E$7=TH!F2149),"x","")</f>
        <v/>
      </c>
      <c r="AD2149" s="79" t="str">
        <f>IF(AND(N2149="1521",MONTH(C2149)='BK-NL'!$M$11),"x","")</f>
        <v/>
      </c>
    </row>
    <row r="2150" spans="1:30" ht="16.5" customHeight="1">
      <c r="A2150" s="318" t="str">
        <f>IF(B2150&lt;&gt;"",IF(AND(B2150='IN-TC'!$S$4,OR(TH!N2150="1111",TH!O2150="1111")),TH!D2150,""),"")</f>
        <v/>
      </c>
      <c r="B2150" s="60" t="str">
        <f t="shared" si="235"/>
        <v/>
      </c>
      <c r="C2150" s="301"/>
      <c r="D2150" s="301"/>
      <c r="E2150" s="301"/>
      <c r="F2150" s="69"/>
      <c r="G2150" s="968"/>
      <c r="H2150" s="303"/>
      <c r="I2150" s="385"/>
      <c r="J2150" s="969"/>
      <c r="K2150" s="385"/>
      <c r="L2150" s="392"/>
      <c r="M2150" s="970"/>
      <c r="N2150" s="304"/>
      <c r="O2150" s="304"/>
      <c r="P2150" s="79" t="str">
        <f>IF(AND('331-CT'!$E$7=TH!H2150,OR(N2150="331",O2150="331")),"x","")</f>
        <v/>
      </c>
      <c r="Q2150" s="79" t="str">
        <f>IF(AND(B2150='111'!$L$11,OR($N2150=$Q$7,$O2150=$Q$7)),"x","")</f>
        <v/>
      </c>
      <c r="R2150" s="79" t="str">
        <f>IF(AND($N2150=$Q$7,$B2150&lt;'111'!$L$11),"x","")</f>
        <v/>
      </c>
      <c r="S2150" s="79" t="str">
        <f>IF(AND($O2150=$Q$7,$B2150&lt;'111'!$L$11),"x","")</f>
        <v/>
      </c>
      <c r="T2150" s="79" t="str">
        <f>IF(ISERROR(FIND('112'!$M$9,G2150,1)),"",IF((AND(FIND('112'!$M$9,G2150,1)&gt;=1,B2150='112'!$K$9,OR($N2150='112'!$I$6,$O2150='112'!$I$6))),"x",""))</f>
        <v/>
      </c>
      <c r="U2150" s="79" t="str">
        <f>IF(ISERROR(FIND('112'!$M$9,G2150,1)),"",IF((AND(LEFT(G2150,2)=LEFT('112'!$M$9,2),B2150&lt;'112'!$K$9,$N2150='112'!$I$6)),"x",""))</f>
        <v/>
      </c>
      <c r="V2150" s="79" t="str">
        <f>IF(ISERROR(FIND('112'!$M$9,G2150,1)),"",IF((AND(RIGHT(G2150,2)=RIGHT('112'!$M$9,2),B2150&lt;'112'!$K$9,$O2150='112'!$I$6)),"x",""))</f>
        <v/>
      </c>
      <c r="W2150" s="79" t="str">
        <f>IF(AND('341-CT'!$H$9=H2150,OR(LEFT(N2150,3)=$W$7,LEFT(O2150,3)=$W$7)),"x","")</f>
        <v/>
      </c>
      <c r="X2150" s="79" t="str">
        <f>IF(OR(TH!N2150=TH!$X$7,O2150=TH!$X$7),"x","")</f>
        <v/>
      </c>
      <c r="Y2150" s="79" t="str">
        <f>IF(AND(OR(N2150="131",O2150="131"),H2150='131-CT'!$H$9),"x","")</f>
        <v/>
      </c>
      <c r="Z2150" s="79"/>
      <c r="AA2150" s="79" t="str">
        <f>IF(AND(MONTH(E2150)='IN-NX'!$J$5,'IN-NX'!$D$7=D2150),"x","")</f>
        <v/>
      </c>
      <c r="AB2150" s="79" t="str">
        <f>IF(AND(OR(LEFT(TH!N2150,2)="15",LEFT(TH!O2150,2)="15"),LEFT(TH!O2150,3)&lt;&gt;"111",'152-CT'!$J$8=TH!F2150),"x","")</f>
        <v/>
      </c>
      <c r="AC2150" s="79" t="str">
        <f>IF(AND(OR(LEFT(TH!N2150,2)="15",LEFT(TH!O2150,2)="15"),TK!$E$7=TH!F2150),"x","")</f>
        <v/>
      </c>
      <c r="AD2150" s="79" t="str">
        <f>IF(AND(N2150="1521",MONTH(C2150)='BK-NL'!$M$11),"x","")</f>
        <v/>
      </c>
    </row>
    <row r="2151" spans="1:30" ht="16.5" customHeight="1">
      <c r="A2151" s="318" t="str">
        <f>IF(B2151&lt;&gt;"",IF(AND(B2151='IN-TC'!$S$4,OR(TH!N2151="1111",TH!O2151="1111")),TH!D2151,""),"")</f>
        <v/>
      </c>
      <c r="B2151" s="60" t="str">
        <f t="shared" si="235"/>
        <v/>
      </c>
      <c r="C2151" s="301"/>
      <c r="D2151" s="301"/>
      <c r="E2151" s="301"/>
      <c r="F2151" s="69"/>
      <c r="G2151" s="968"/>
      <c r="H2151" s="303"/>
      <c r="I2151" s="385"/>
      <c r="J2151" s="969"/>
      <c r="K2151" s="385"/>
      <c r="L2151" s="392"/>
      <c r="M2151" s="970"/>
      <c r="N2151" s="304"/>
      <c r="O2151" s="304"/>
      <c r="P2151" s="79" t="str">
        <f>IF(AND('331-CT'!$E$7=TH!H2151,OR(N2151="331",O2151="331")),"x","")</f>
        <v/>
      </c>
      <c r="Q2151" s="79" t="str">
        <f>IF(AND(B2151='111'!$L$11,OR($N2151=$Q$7,$O2151=$Q$7)),"x","")</f>
        <v/>
      </c>
      <c r="R2151" s="79" t="str">
        <f>IF(AND($N2151=$Q$7,$B2151&lt;'111'!$L$11),"x","")</f>
        <v/>
      </c>
      <c r="S2151" s="79" t="str">
        <f>IF(AND($O2151=$Q$7,$B2151&lt;'111'!$L$11),"x","")</f>
        <v/>
      </c>
      <c r="T2151" s="79" t="str">
        <f>IF(ISERROR(FIND('112'!$M$9,G2151,1)),"",IF((AND(FIND('112'!$M$9,G2151,1)&gt;=1,B2151='112'!$K$9,OR($N2151='112'!$I$6,$O2151='112'!$I$6))),"x",""))</f>
        <v/>
      </c>
      <c r="U2151" s="79" t="str">
        <f>IF(ISERROR(FIND('112'!$M$9,G2151,1)),"",IF((AND(LEFT(G2151,2)=LEFT('112'!$M$9,2),B2151&lt;'112'!$K$9,$N2151='112'!$I$6)),"x",""))</f>
        <v/>
      </c>
      <c r="V2151" s="79" t="str">
        <f>IF(ISERROR(FIND('112'!$M$9,G2151,1)),"",IF((AND(RIGHT(G2151,2)=RIGHT('112'!$M$9,2),B2151&lt;'112'!$K$9,$O2151='112'!$I$6)),"x",""))</f>
        <v/>
      </c>
      <c r="W2151" s="79" t="str">
        <f>IF(AND('341-CT'!$H$9=H2151,OR(LEFT(N2151,3)=$W$7,LEFT(O2151,3)=$W$7)),"x","")</f>
        <v/>
      </c>
      <c r="X2151" s="79" t="str">
        <f>IF(OR(TH!N2151=TH!$X$7,O2151=TH!$X$7),"x","")</f>
        <v/>
      </c>
      <c r="Y2151" s="79" t="str">
        <f>IF(AND(OR(N2151="131",O2151="131"),H2151='131-CT'!$H$9),"x","")</f>
        <v/>
      </c>
      <c r="Z2151" s="79"/>
      <c r="AA2151" s="79" t="str">
        <f>IF(AND(MONTH(E2151)='IN-NX'!$J$5,'IN-NX'!$D$7=D2151),"x","")</f>
        <v/>
      </c>
      <c r="AB2151" s="79" t="str">
        <f>IF(AND(OR(LEFT(TH!N2151,2)="15",LEFT(TH!O2151,2)="15"),LEFT(TH!O2151,3)&lt;&gt;"111",'152-CT'!$J$8=TH!F2151),"x","")</f>
        <v/>
      </c>
      <c r="AC2151" s="79" t="str">
        <f>IF(AND(OR(LEFT(TH!N2151,2)="15",LEFT(TH!O2151,2)="15"),TK!$E$7=TH!F2151),"x","")</f>
        <v/>
      </c>
      <c r="AD2151" s="79" t="str">
        <f>IF(AND(N2151="1521",MONTH(C2151)='BK-NL'!$M$11),"x","")</f>
        <v/>
      </c>
    </row>
    <row r="2152" spans="1:30" ht="16.5" customHeight="1">
      <c r="A2152" s="318" t="str">
        <f>IF(B2152&lt;&gt;"",IF(AND(B2152='IN-TC'!$S$4,OR(TH!N2152="1111",TH!O2152="1111")),TH!D2152,""),"")</f>
        <v/>
      </c>
      <c r="B2152" s="60" t="str">
        <f t="shared" si="235"/>
        <v/>
      </c>
      <c r="C2152" s="301"/>
      <c r="D2152" s="301"/>
      <c r="E2152" s="301"/>
      <c r="F2152" s="69"/>
      <c r="G2152" s="968"/>
      <c r="H2152" s="303"/>
      <c r="I2152" s="385"/>
      <c r="J2152" s="969"/>
      <c r="K2152" s="385"/>
      <c r="L2152" s="392"/>
      <c r="M2152" s="970"/>
      <c r="N2152" s="304"/>
      <c r="O2152" s="304"/>
      <c r="P2152" s="79" t="str">
        <f>IF(AND('331-CT'!$E$7=TH!H2152,OR(N2152="331",O2152="331")),"x","")</f>
        <v/>
      </c>
      <c r="Q2152" s="79" t="str">
        <f>IF(AND(B2152='111'!$L$11,OR($N2152=$Q$7,$O2152=$Q$7)),"x","")</f>
        <v/>
      </c>
      <c r="R2152" s="79" t="str">
        <f>IF(AND($N2152=$Q$7,$B2152&lt;'111'!$L$11),"x","")</f>
        <v/>
      </c>
      <c r="S2152" s="79" t="str">
        <f>IF(AND($O2152=$Q$7,$B2152&lt;'111'!$L$11),"x","")</f>
        <v/>
      </c>
      <c r="T2152" s="79" t="str">
        <f>IF(ISERROR(FIND('112'!$M$9,G2152,1)),"",IF((AND(FIND('112'!$M$9,G2152,1)&gt;=1,B2152='112'!$K$9,OR($N2152='112'!$I$6,$O2152='112'!$I$6))),"x",""))</f>
        <v/>
      </c>
      <c r="U2152" s="79" t="str">
        <f>IF(ISERROR(FIND('112'!$M$9,G2152,1)),"",IF((AND(LEFT(G2152,2)=LEFT('112'!$M$9,2),B2152&lt;'112'!$K$9,$N2152='112'!$I$6)),"x",""))</f>
        <v/>
      </c>
      <c r="V2152" s="79" t="str">
        <f>IF(ISERROR(FIND('112'!$M$9,G2152,1)),"",IF((AND(RIGHT(G2152,2)=RIGHT('112'!$M$9,2),B2152&lt;'112'!$K$9,$O2152='112'!$I$6)),"x",""))</f>
        <v/>
      </c>
      <c r="W2152" s="79" t="str">
        <f>IF(AND('341-CT'!$H$9=H2152,OR(LEFT(N2152,3)=$W$7,LEFT(O2152,3)=$W$7)),"x","")</f>
        <v/>
      </c>
      <c r="X2152" s="79" t="str">
        <f>IF(OR(TH!N2152=TH!$X$7,O2152=TH!$X$7),"x","")</f>
        <v/>
      </c>
      <c r="Y2152" s="79" t="str">
        <f>IF(AND(OR(N2152="131",O2152="131"),H2152='131-CT'!$H$9),"x","")</f>
        <v/>
      </c>
      <c r="Z2152" s="79"/>
      <c r="AA2152" s="79" t="str">
        <f>IF(AND(MONTH(E2152)='IN-NX'!$J$5,'IN-NX'!$D$7=D2152),"x","")</f>
        <v/>
      </c>
      <c r="AB2152" s="79" t="str">
        <f>IF(AND(OR(LEFT(TH!N2152,2)="15",LEFT(TH!O2152,2)="15"),LEFT(TH!O2152,3)&lt;&gt;"111",'152-CT'!$J$8=TH!F2152),"x","")</f>
        <v/>
      </c>
      <c r="AC2152" s="79" t="str">
        <f>IF(AND(OR(LEFT(TH!N2152,2)="15",LEFT(TH!O2152,2)="15"),TK!$E$7=TH!F2152),"x","")</f>
        <v/>
      </c>
      <c r="AD2152" s="79" t="str">
        <f>IF(AND(N2152="1521",MONTH(C2152)='BK-NL'!$M$11),"x","")</f>
        <v/>
      </c>
    </row>
    <row r="2153" spans="1:30" ht="16.5" customHeight="1">
      <c r="A2153" s="318" t="str">
        <f>IF(B2153&lt;&gt;"",IF(AND(B2153='IN-TC'!$S$4,OR(TH!N2153="1111",TH!O2153="1111")),TH!D2153,""),"")</f>
        <v/>
      </c>
      <c r="B2153" s="60" t="str">
        <f t="shared" si="235"/>
        <v/>
      </c>
      <c r="C2153" s="301"/>
      <c r="D2153" s="301"/>
      <c r="E2153" s="301"/>
      <c r="F2153" s="69"/>
      <c r="G2153" s="968"/>
      <c r="H2153" s="303"/>
      <c r="I2153" s="385"/>
      <c r="J2153" s="969"/>
      <c r="K2153" s="385"/>
      <c r="L2153" s="392"/>
      <c r="M2153" s="970"/>
      <c r="N2153" s="304"/>
      <c r="O2153" s="304"/>
      <c r="P2153" s="79" t="str">
        <f>IF(AND('331-CT'!$E$7=TH!H2153,OR(N2153="331",O2153="331")),"x","")</f>
        <v/>
      </c>
      <c r="Q2153" s="79" t="str">
        <f>IF(AND(B2153='111'!$L$11,OR($N2153=$Q$7,$O2153=$Q$7)),"x","")</f>
        <v/>
      </c>
      <c r="R2153" s="79" t="str">
        <f>IF(AND($N2153=$Q$7,$B2153&lt;'111'!$L$11),"x","")</f>
        <v/>
      </c>
      <c r="S2153" s="79" t="str">
        <f>IF(AND($O2153=$Q$7,$B2153&lt;'111'!$L$11),"x","")</f>
        <v/>
      </c>
      <c r="T2153" s="79" t="str">
        <f>IF(ISERROR(FIND('112'!$M$9,G2153,1)),"",IF((AND(FIND('112'!$M$9,G2153,1)&gt;=1,B2153='112'!$K$9,OR($N2153='112'!$I$6,$O2153='112'!$I$6))),"x",""))</f>
        <v/>
      </c>
      <c r="U2153" s="79" t="str">
        <f>IF(ISERROR(FIND('112'!$M$9,G2153,1)),"",IF((AND(LEFT(G2153,2)=LEFT('112'!$M$9,2),B2153&lt;'112'!$K$9,$N2153='112'!$I$6)),"x",""))</f>
        <v/>
      </c>
      <c r="V2153" s="79" t="str">
        <f>IF(ISERROR(FIND('112'!$M$9,G2153,1)),"",IF((AND(RIGHT(G2153,2)=RIGHT('112'!$M$9,2),B2153&lt;'112'!$K$9,$O2153='112'!$I$6)),"x",""))</f>
        <v/>
      </c>
      <c r="W2153" s="79" t="str">
        <f>IF(AND('341-CT'!$H$9=H2153,OR(LEFT(N2153,3)=$W$7,LEFT(O2153,3)=$W$7)),"x","")</f>
        <v/>
      </c>
      <c r="X2153" s="79" t="str">
        <f>IF(OR(TH!N2153=TH!$X$7,O2153=TH!$X$7),"x","")</f>
        <v/>
      </c>
      <c r="Y2153" s="79" t="str">
        <f>IF(AND(OR(N2153="131",O2153="131"),H2153='131-CT'!$H$9),"x","")</f>
        <v/>
      </c>
      <c r="Z2153" s="79"/>
      <c r="AA2153" s="79" t="str">
        <f>IF(AND(MONTH(E2153)='IN-NX'!$J$5,'IN-NX'!$D$7=D2153),"x","")</f>
        <v/>
      </c>
      <c r="AB2153" s="79" t="str">
        <f>IF(AND(OR(LEFT(TH!N2153,2)="15",LEFT(TH!O2153,2)="15"),LEFT(TH!O2153,3)&lt;&gt;"111",'152-CT'!$J$8=TH!F2153),"x","")</f>
        <v/>
      </c>
      <c r="AC2153" s="79" t="str">
        <f>IF(AND(OR(LEFT(TH!N2153,2)="15",LEFT(TH!O2153,2)="15"),TK!$E$7=TH!F2153),"x","")</f>
        <v/>
      </c>
      <c r="AD2153" s="79" t="str">
        <f>IF(AND(N2153="1521",MONTH(C2153)='BK-NL'!$M$11),"x","")</f>
        <v/>
      </c>
    </row>
    <row r="2154" spans="1:30" ht="16.5" customHeight="1">
      <c r="A2154" s="318" t="str">
        <f>IF(B2154&lt;&gt;"",IF(AND(B2154='IN-TC'!$S$4,OR(TH!N2154="1111",TH!O2154="1111")),TH!D2154,""),"")</f>
        <v/>
      </c>
      <c r="B2154" s="60" t="str">
        <f t="shared" si="235"/>
        <v/>
      </c>
      <c r="C2154" s="301"/>
      <c r="D2154" s="301"/>
      <c r="E2154" s="301"/>
      <c r="F2154" s="69"/>
      <c r="G2154" s="968"/>
      <c r="H2154" s="303"/>
      <c r="I2154" s="385"/>
      <c r="J2154" s="969"/>
      <c r="K2154" s="385"/>
      <c r="L2154" s="392"/>
      <c r="M2154" s="970"/>
      <c r="N2154" s="304"/>
      <c r="O2154" s="304"/>
      <c r="P2154" s="79" t="str">
        <f>IF(AND('331-CT'!$E$7=TH!H2154,OR(N2154="331",O2154="331")),"x","")</f>
        <v/>
      </c>
      <c r="Q2154" s="79" t="str">
        <f>IF(AND(B2154='111'!$L$11,OR($N2154=$Q$7,$O2154=$Q$7)),"x","")</f>
        <v/>
      </c>
      <c r="R2154" s="79" t="str">
        <f>IF(AND($N2154=$Q$7,$B2154&lt;'111'!$L$11),"x","")</f>
        <v/>
      </c>
      <c r="S2154" s="79" t="str">
        <f>IF(AND($O2154=$Q$7,$B2154&lt;'111'!$L$11),"x","")</f>
        <v/>
      </c>
      <c r="T2154" s="79" t="str">
        <f>IF(ISERROR(FIND('112'!$M$9,G2154,1)),"",IF((AND(FIND('112'!$M$9,G2154,1)&gt;=1,B2154='112'!$K$9,OR($N2154='112'!$I$6,$O2154='112'!$I$6))),"x",""))</f>
        <v/>
      </c>
      <c r="U2154" s="79" t="str">
        <f>IF(ISERROR(FIND('112'!$M$9,G2154,1)),"",IF((AND(LEFT(G2154,2)=LEFT('112'!$M$9,2),B2154&lt;'112'!$K$9,$N2154='112'!$I$6)),"x",""))</f>
        <v/>
      </c>
      <c r="V2154" s="79" t="str">
        <f>IF(ISERROR(FIND('112'!$M$9,G2154,1)),"",IF((AND(RIGHT(G2154,2)=RIGHT('112'!$M$9,2),B2154&lt;'112'!$K$9,$O2154='112'!$I$6)),"x",""))</f>
        <v/>
      </c>
      <c r="W2154" s="79" t="str">
        <f>IF(AND('341-CT'!$H$9=H2154,OR(LEFT(N2154,3)=$W$7,LEFT(O2154,3)=$W$7)),"x","")</f>
        <v/>
      </c>
      <c r="X2154" s="79" t="str">
        <f>IF(OR(TH!N2154=TH!$X$7,O2154=TH!$X$7),"x","")</f>
        <v/>
      </c>
      <c r="Y2154" s="79" t="str">
        <f>IF(AND(OR(N2154="131",O2154="131"),H2154='131-CT'!$H$9),"x","")</f>
        <v/>
      </c>
      <c r="Z2154" s="79"/>
      <c r="AA2154" s="79" t="str">
        <f>IF(AND(MONTH(E2154)='IN-NX'!$J$5,'IN-NX'!$D$7=D2154),"x","")</f>
        <v/>
      </c>
      <c r="AB2154" s="79" t="str">
        <f>IF(AND(OR(LEFT(TH!N2154,2)="15",LEFT(TH!O2154,2)="15"),LEFT(TH!O2154,3)&lt;&gt;"111",'152-CT'!$J$8=TH!F2154),"x","")</f>
        <v/>
      </c>
      <c r="AC2154" s="79" t="str">
        <f>IF(AND(OR(LEFT(TH!N2154,2)="15",LEFT(TH!O2154,2)="15"),TK!$E$7=TH!F2154),"x","")</f>
        <v/>
      </c>
      <c r="AD2154" s="79" t="str">
        <f>IF(AND(N2154="1521",MONTH(C2154)='BK-NL'!$M$11),"x","")</f>
        <v/>
      </c>
    </row>
    <row r="2155" spans="1:30" ht="16.5" customHeight="1">
      <c r="A2155" s="318" t="str">
        <f>IF(B2155&lt;&gt;"",IF(AND(B2155='IN-TC'!$S$4,OR(TH!N2155="1111",TH!O2155="1111")),TH!D2155,""),"")</f>
        <v/>
      </c>
      <c r="B2155" s="60" t="str">
        <f t="shared" si="235"/>
        <v/>
      </c>
      <c r="C2155" s="301"/>
      <c r="D2155" s="301"/>
      <c r="E2155" s="301"/>
      <c r="F2155" s="69"/>
      <c r="G2155" s="968"/>
      <c r="H2155" s="303"/>
      <c r="I2155" s="385"/>
      <c r="J2155" s="969"/>
      <c r="K2155" s="385"/>
      <c r="L2155" s="392"/>
      <c r="M2155" s="970"/>
      <c r="N2155" s="304"/>
      <c r="O2155" s="304"/>
      <c r="P2155" s="79" t="str">
        <f>IF(AND('331-CT'!$E$7=TH!H2155,OR(N2155="331",O2155="331")),"x","")</f>
        <v/>
      </c>
      <c r="Q2155" s="79" t="str">
        <f>IF(AND(B2155='111'!$L$11,OR($N2155=$Q$7,$O2155=$Q$7)),"x","")</f>
        <v/>
      </c>
      <c r="R2155" s="79" t="str">
        <f>IF(AND($N2155=$Q$7,$B2155&lt;'111'!$L$11),"x","")</f>
        <v/>
      </c>
      <c r="S2155" s="79" t="str">
        <f>IF(AND($O2155=$Q$7,$B2155&lt;'111'!$L$11),"x","")</f>
        <v/>
      </c>
      <c r="T2155" s="79" t="str">
        <f>IF(ISERROR(FIND('112'!$M$9,G2155,1)),"",IF((AND(FIND('112'!$M$9,G2155,1)&gt;=1,B2155='112'!$K$9,OR($N2155='112'!$I$6,$O2155='112'!$I$6))),"x",""))</f>
        <v/>
      </c>
      <c r="U2155" s="79" t="str">
        <f>IF(ISERROR(FIND('112'!$M$9,G2155,1)),"",IF((AND(LEFT(G2155,2)=LEFT('112'!$M$9,2),B2155&lt;'112'!$K$9,$N2155='112'!$I$6)),"x",""))</f>
        <v/>
      </c>
      <c r="V2155" s="79" t="str">
        <f>IF(ISERROR(FIND('112'!$M$9,G2155,1)),"",IF((AND(RIGHT(G2155,2)=RIGHT('112'!$M$9,2),B2155&lt;'112'!$K$9,$O2155='112'!$I$6)),"x",""))</f>
        <v/>
      </c>
      <c r="W2155" s="79" t="str">
        <f>IF(AND('341-CT'!$H$9=H2155,OR(LEFT(N2155,3)=$W$7,LEFT(O2155,3)=$W$7)),"x","")</f>
        <v/>
      </c>
      <c r="X2155" s="79" t="str">
        <f>IF(OR(TH!N2155=TH!$X$7,O2155=TH!$X$7),"x","")</f>
        <v/>
      </c>
      <c r="Y2155" s="79" t="str">
        <f>IF(AND(OR(N2155="131",O2155="131"),H2155='131-CT'!$H$9),"x","")</f>
        <v/>
      </c>
      <c r="Z2155" s="79"/>
      <c r="AA2155" s="79" t="str">
        <f>IF(AND(MONTH(E2155)='IN-NX'!$J$5,'IN-NX'!$D$7=D2155),"x","")</f>
        <v/>
      </c>
      <c r="AB2155" s="79" t="str">
        <f>IF(AND(OR(LEFT(TH!N2155,2)="15",LEFT(TH!O2155,2)="15"),LEFT(TH!O2155,3)&lt;&gt;"111",'152-CT'!$J$8=TH!F2155),"x","")</f>
        <v/>
      </c>
      <c r="AC2155" s="79" t="str">
        <f>IF(AND(OR(LEFT(TH!N2155,2)="15",LEFT(TH!O2155,2)="15"),TK!$E$7=TH!F2155),"x","")</f>
        <v/>
      </c>
      <c r="AD2155" s="79" t="str">
        <f>IF(AND(N2155="1521",MONTH(C2155)='BK-NL'!$M$11),"x","")</f>
        <v/>
      </c>
    </row>
    <row r="2156" spans="1:30" ht="16.5" customHeight="1">
      <c r="A2156" s="318" t="str">
        <f>IF(B2156&lt;&gt;"",IF(AND(B2156='IN-TC'!$S$4,OR(TH!N2156="1111",TH!O2156="1111")),TH!D2156,""),"")</f>
        <v/>
      </c>
      <c r="B2156" s="60" t="str">
        <f t="shared" si="235"/>
        <v/>
      </c>
      <c r="C2156" s="301"/>
      <c r="D2156" s="301"/>
      <c r="E2156" s="301"/>
      <c r="F2156" s="69"/>
      <c r="G2156" s="968"/>
      <c r="H2156" s="303"/>
      <c r="I2156" s="385"/>
      <c r="J2156" s="969"/>
      <c r="K2156" s="385"/>
      <c r="L2156" s="392"/>
      <c r="M2156" s="970"/>
      <c r="N2156" s="304"/>
      <c r="O2156" s="304"/>
      <c r="P2156" s="79" t="str">
        <f>IF(AND('331-CT'!$E$7=TH!H2156,OR(N2156="331",O2156="331")),"x","")</f>
        <v/>
      </c>
      <c r="Q2156" s="79" t="str">
        <f>IF(AND(B2156='111'!$L$11,OR($N2156=$Q$7,$O2156=$Q$7)),"x","")</f>
        <v/>
      </c>
      <c r="R2156" s="79" t="str">
        <f>IF(AND($N2156=$Q$7,$B2156&lt;'111'!$L$11),"x","")</f>
        <v/>
      </c>
      <c r="S2156" s="79" t="str">
        <f>IF(AND($O2156=$Q$7,$B2156&lt;'111'!$L$11),"x","")</f>
        <v/>
      </c>
      <c r="T2156" s="79" t="str">
        <f>IF(ISERROR(FIND('112'!$M$9,G2156,1)),"",IF((AND(FIND('112'!$M$9,G2156,1)&gt;=1,B2156='112'!$K$9,OR($N2156='112'!$I$6,$O2156='112'!$I$6))),"x",""))</f>
        <v/>
      </c>
      <c r="U2156" s="79" t="str">
        <f>IF(ISERROR(FIND('112'!$M$9,G2156,1)),"",IF((AND(LEFT(G2156,2)=LEFT('112'!$M$9,2),B2156&lt;'112'!$K$9,$N2156='112'!$I$6)),"x",""))</f>
        <v/>
      </c>
      <c r="V2156" s="79" t="str">
        <f>IF(ISERROR(FIND('112'!$M$9,G2156,1)),"",IF((AND(RIGHT(G2156,2)=RIGHT('112'!$M$9,2),B2156&lt;'112'!$K$9,$O2156='112'!$I$6)),"x",""))</f>
        <v/>
      </c>
      <c r="W2156" s="79" t="str">
        <f>IF(AND('341-CT'!$H$9=H2156,OR(LEFT(N2156,3)=$W$7,LEFT(O2156,3)=$W$7)),"x","")</f>
        <v/>
      </c>
      <c r="X2156" s="79" t="str">
        <f>IF(OR(TH!N2156=TH!$X$7,O2156=TH!$X$7),"x","")</f>
        <v/>
      </c>
      <c r="Y2156" s="79" t="str">
        <f>IF(AND(OR(N2156="131",O2156="131"),H2156='131-CT'!$H$9),"x","")</f>
        <v/>
      </c>
      <c r="Z2156" s="79"/>
      <c r="AA2156" s="79" t="str">
        <f>IF(AND(MONTH(E2156)='IN-NX'!$J$5,'IN-NX'!$D$7=D2156),"x","")</f>
        <v/>
      </c>
      <c r="AB2156" s="79" t="str">
        <f>IF(AND(OR(LEFT(TH!N2156,2)="15",LEFT(TH!O2156,2)="15"),LEFT(TH!O2156,3)&lt;&gt;"111",'152-CT'!$J$8=TH!F2156),"x","")</f>
        <v/>
      </c>
      <c r="AC2156" s="79" t="str">
        <f>IF(AND(OR(LEFT(TH!N2156,2)="15",LEFT(TH!O2156,2)="15"),TK!$E$7=TH!F2156),"x","")</f>
        <v/>
      </c>
      <c r="AD2156" s="79" t="str">
        <f>IF(AND(N2156="1521",MONTH(C2156)='BK-NL'!$M$11),"x","")</f>
        <v/>
      </c>
    </row>
    <row r="2157" spans="1:30" ht="16.5" customHeight="1">
      <c r="A2157" s="318" t="str">
        <f>IF(B2157&lt;&gt;"",IF(AND(B2157='IN-TC'!$S$4,OR(TH!N2157="1111",TH!O2157="1111")),TH!D2157,""),"")</f>
        <v/>
      </c>
      <c r="B2157" s="60" t="str">
        <f t="shared" si="235"/>
        <v/>
      </c>
      <c r="C2157" s="301"/>
      <c r="D2157" s="301"/>
      <c r="E2157" s="301"/>
      <c r="F2157" s="69"/>
      <c r="G2157" s="968"/>
      <c r="H2157" s="303"/>
      <c r="I2157" s="385"/>
      <c r="J2157" s="969"/>
      <c r="K2157" s="385"/>
      <c r="L2157" s="392"/>
      <c r="M2157" s="970"/>
      <c r="N2157" s="304"/>
      <c r="O2157" s="304"/>
      <c r="P2157" s="79" t="str">
        <f>IF(AND('331-CT'!$E$7=TH!H2157,OR(N2157="331",O2157="331")),"x","")</f>
        <v/>
      </c>
      <c r="Q2157" s="79" t="str">
        <f>IF(AND(B2157='111'!$L$11,OR($N2157=$Q$7,$O2157=$Q$7)),"x","")</f>
        <v/>
      </c>
      <c r="R2157" s="79" t="str">
        <f>IF(AND($N2157=$Q$7,$B2157&lt;'111'!$L$11),"x","")</f>
        <v/>
      </c>
      <c r="S2157" s="79" t="str">
        <f>IF(AND($O2157=$Q$7,$B2157&lt;'111'!$L$11),"x","")</f>
        <v/>
      </c>
      <c r="T2157" s="79" t="str">
        <f>IF(ISERROR(FIND('112'!$M$9,G2157,1)),"",IF((AND(FIND('112'!$M$9,G2157,1)&gt;=1,B2157='112'!$K$9,OR($N2157='112'!$I$6,$O2157='112'!$I$6))),"x",""))</f>
        <v/>
      </c>
      <c r="U2157" s="79" t="str">
        <f>IF(ISERROR(FIND('112'!$M$9,G2157,1)),"",IF((AND(LEFT(G2157,2)=LEFT('112'!$M$9,2),B2157&lt;'112'!$K$9,$N2157='112'!$I$6)),"x",""))</f>
        <v/>
      </c>
      <c r="V2157" s="79" t="str">
        <f>IF(ISERROR(FIND('112'!$M$9,G2157,1)),"",IF((AND(RIGHT(G2157,2)=RIGHT('112'!$M$9,2),B2157&lt;'112'!$K$9,$O2157='112'!$I$6)),"x",""))</f>
        <v/>
      </c>
      <c r="W2157" s="79" t="str">
        <f>IF(AND('341-CT'!$H$9=H2157,OR(LEFT(N2157,3)=$W$7,LEFT(O2157,3)=$W$7)),"x","")</f>
        <v/>
      </c>
      <c r="X2157" s="79" t="str">
        <f>IF(OR(TH!N2157=TH!$X$7,O2157=TH!$X$7),"x","")</f>
        <v/>
      </c>
      <c r="Y2157" s="79" t="str">
        <f>IF(AND(OR(N2157="131",O2157="131"),H2157='131-CT'!$H$9),"x","")</f>
        <v/>
      </c>
      <c r="Z2157" s="79"/>
      <c r="AA2157" s="79" t="str">
        <f>IF(AND(MONTH(E2157)='IN-NX'!$J$5,'IN-NX'!$D$7=D2157),"x","")</f>
        <v/>
      </c>
      <c r="AB2157" s="79" t="str">
        <f>IF(AND(OR(LEFT(TH!N2157,2)="15",LEFT(TH!O2157,2)="15"),LEFT(TH!O2157,3)&lt;&gt;"111",'152-CT'!$J$8=TH!F2157),"x","")</f>
        <v/>
      </c>
      <c r="AC2157" s="79" t="str">
        <f>IF(AND(OR(LEFT(TH!N2157,2)="15",LEFT(TH!O2157,2)="15"),TK!$E$7=TH!F2157),"x","")</f>
        <v/>
      </c>
      <c r="AD2157" s="79" t="str">
        <f>IF(AND(N2157="1521",MONTH(C2157)='BK-NL'!$M$11),"x","")</f>
        <v/>
      </c>
    </row>
    <row r="2158" spans="1:30" ht="16.5" customHeight="1">
      <c r="A2158" s="318" t="str">
        <f>IF(B2158&lt;&gt;"",IF(AND(B2158='IN-TC'!$S$4,OR(TH!N2158="1111",TH!O2158="1111")),TH!D2158,""),"")</f>
        <v/>
      </c>
      <c r="B2158" s="60" t="str">
        <f t="shared" si="235"/>
        <v/>
      </c>
      <c r="C2158" s="301"/>
      <c r="D2158" s="301"/>
      <c r="E2158" s="301"/>
      <c r="F2158" s="69"/>
      <c r="G2158" s="968"/>
      <c r="H2158" s="303"/>
      <c r="I2158" s="385"/>
      <c r="J2158" s="969"/>
      <c r="K2158" s="385"/>
      <c r="L2158" s="392"/>
      <c r="M2158" s="970"/>
      <c r="N2158" s="304"/>
      <c r="O2158" s="304"/>
      <c r="P2158" s="79" t="str">
        <f>IF(AND('331-CT'!$E$7=TH!H2158,OR(N2158="331",O2158="331")),"x","")</f>
        <v/>
      </c>
      <c r="Q2158" s="79" t="str">
        <f>IF(AND(B2158='111'!$L$11,OR($N2158=$Q$7,$O2158=$Q$7)),"x","")</f>
        <v/>
      </c>
      <c r="R2158" s="79" t="str">
        <f>IF(AND($N2158=$Q$7,$B2158&lt;'111'!$L$11),"x","")</f>
        <v/>
      </c>
      <c r="S2158" s="79" t="str">
        <f>IF(AND($O2158=$Q$7,$B2158&lt;'111'!$L$11),"x","")</f>
        <v/>
      </c>
      <c r="T2158" s="79" t="str">
        <f>IF(ISERROR(FIND('112'!$M$9,G2158,1)),"",IF((AND(FIND('112'!$M$9,G2158,1)&gt;=1,B2158='112'!$K$9,OR($N2158='112'!$I$6,$O2158='112'!$I$6))),"x",""))</f>
        <v/>
      </c>
      <c r="U2158" s="79" t="str">
        <f>IF(ISERROR(FIND('112'!$M$9,G2158,1)),"",IF((AND(LEFT(G2158,2)=LEFT('112'!$M$9,2),B2158&lt;'112'!$K$9,$N2158='112'!$I$6)),"x",""))</f>
        <v/>
      </c>
      <c r="V2158" s="79" t="str">
        <f>IF(ISERROR(FIND('112'!$M$9,G2158,1)),"",IF((AND(RIGHT(G2158,2)=RIGHT('112'!$M$9,2),B2158&lt;'112'!$K$9,$O2158='112'!$I$6)),"x",""))</f>
        <v/>
      </c>
      <c r="W2158" s="79" t="str">
        <f>IF(AND('341-CT'!$H$9=H2158,OR(LEFT(N2158,3)=$W$7,LEFT(O2158,3)=$W$7)),"x","")</f>
        <v/>
      </c>
      <c r="X2158" s="79" t="str">
        <f>IF(OR(TH!N2158=TH!$X$7,O2158=TH!$X$7),"x","")</f>
        <v/>
      </c>
      <c r="Y2158" s="79" t="str">
        <f>IF(AND(OR(N2158="131",O2158="131"),H2158='131-CT'!$H$9),"x","")</f>
        <v/>
      </c>
      <c r="Z2158" s="79"/>
      <c r="AA2158" s="79" t="str">
        <f>IF(AND(MONTH(E2158)='IN-NX'!$J$5,'IN-NX'!$D$7=D2158),"x","")</f>
        <v/>
      </c>
      <c r="AB2158" s="79" t="str">
        <f>IF(AND(OR(LEFT(TH!N2158,2)="15",LEFT(TH!O2158,2)="15"),LEFT(TH!O2158,3)&lt;&gt;"111",'152-CT'!$J$8=TH!F2158),"x","")</f>
        <v/>
      </c>
      <c r="AC2158" s="79" t="str">
        <f>IF(AND(OR(LEFT(TH!N2158,2)="15",LEFT(TH!O2158,2)="15"),TK!$E$7=TH!F2158),"x","")</f>
        <v/>
      </c>
      <c r="AD2158" s="79" t="str">
        <f>IF(AND(N2158="1521",MONTH(C2158)='BK-NL'!$M$11),"x","")</f>
        <v/>
      </c>
    </row>
    <row r="2159" spans="1:30" ht="16.5" customHeight="1">
      <c r="A2159" s="318" t="str">
        <f>IF(B2159&lt;&gt;"",IF(AND(B2159='IN-TC'!$S$4,OR(TH!N2159="1111",TH!O2159="1111")),TH!D2159,""),"")</f>
        <v/>
      </c>
      <c r="B2159" s="60" t="str">
        <f t="shared" si="235"/>
        <v/>
      </c>
      <c r="C2159" s="301"/>
      <c r="D2159" s="301"/>
      <c r="E2159" s="301"/>
      <c r="F2159" s="69"/>
      <c r="G2159" s="968"/>
      <c r="H2159" s="303"/>
      <c r="I2159" s="385"/>
      <c r="J2159" s="969"/>
      <c r="K2159" s="385"/>
      <c r="L2159" s="392"/>
      <c r="M2159" s="970"/>
      <c r="N2159" s="304"/>
      <c r="O2159" s="304"/>
      <c r="P2159" s="79" t="str">
        <f>IF(AND('331-CT'!$E$7=TH!H2159,OR(N2159="331",O2159="331")),"x","")</f>
        <v/>
      </c>
      <c r="Q2159" s="79" t="str">
        <f>IF(AND(B2159='111'!$L$11,OR($N2159=$Q$7,$O2159=$Q$7)),"x","")</f>
        <v/>
      </c>
      <c r="R2159" s="79" t="str">
        <f>IF(AND($N2159=$Q$7,$B2159&lt;'111'!$L$11),"x","")</f>
        <v/>
      </c>
      <c r="S2159" s="79" t="str">
        <f>IF(AND($O2159=$Q$7,$B2159&lt;'111'!$L$11),"x","")</f>
        <v/>
      </c>
      <c r="T2159" s="79" t="str">
        <f>IF(ISERROR(FIND('112'!$M$9,G2159,1)),"",IF((AND(FIND('112'!$M$9,G2159,1)&gt;=1,B2159='112'!$K$9,OR($N2159='112'!$I$6,$O2159='112'!$I$6))),"x",""))</f>
        <v/>
      </c>
      <c r="U2159" s="79" t="str">
        <f>IF(ISERROR(FIND('112'!$M$9,G2159,1)),"",IF((AND(LEFT(G2159,2)=LEFT('112'!$M$9,2),B2159&lt;'112'!$K$9,$N2159='112'!$I$6)),"x",""))</f>
        <v/>
      </c>
      <c r="V2159" s="79" t="str">
        <f>IF(ISERROR(FIND('112'!$M$9,G2159,1)),"",IF((AND(RIGHT(G2159,2)=RIGHT('112'!$M$9,2),B2159&lt;'112'!$K$9,$O2159='112'!$I$6)),"x",""))</f>
        <v/>
      </c>
      <c r="W2159" s="79" t="str">
        <f>IF(AND('341-CT'!$H$9=H2159,OR(LEFT(N2159,3)=$W$7,LEFT(O2159,3)=$W$7)),"x","")</f>
        <v/>
      </c>
      <c r="X2159" s="79" t="str">
        <f>IF(OR(TH!N2159=TH!$X$7,O2159=TH!$X$7),"x","")</f>
        <v/>
      </c>
      <c r="Y2159" s="79" t="str">
        <f>IF(AND(OR(N2159="131",O2159="131"),H2159='131-CT'!$H$9),"x","")</f>
        <v/>
      </c>
      <c r="Z2159" s="79"/>
      <c r="AA2159" s="79" t="str">
        <f>IF(AND(MONTH(E2159)='IN-NX'!$J$5,'IN-NX'!$D$7=D2159),"x","")</f>
        <v/>
      </c>
      <c r="AB2159" s="79" t="str">
        <f>IF(AND(OR(LEFT(TH!N2159,2)="15",LEFT(TH!O2159,2)="15"),LEFT(TH!O2159,3)&lt;&gt;"111",'152-CT'!$J$8=TH!F2159),"x","")</f>
        <v/>
      </c>
      <c r="AC2159" s="79" t="str">
        <f>IF(AND(OR(LEFT(TH!N2159,2)="15",LEFT(TH!O2159,2)="15"),TK!$E$7=TH!F2159),"x","")</f>
        <v/>
      </c>
      <c r="AD2159" s="79" t="str">
        <f>IF(AND(N2159="1521",MONTH(C2159)='BK-NL'!$M$11),"x","")</f>
        <v/>
      </c>
    </row>
    <row r="2160" spans="1:30" ht="16.5" customHeight="1">
      <c r="A2160" s="318" t="str">
        <f>IF(B2160&lt;&gt;"",IF(AND(B2160='IN-TC'!$S$4,OR(TH!N2160="1111",TH!O2160="1111")),TH!D2160,""),"")</f>
        <v/>
      </c>
      <c r="B2160" s="60" t="str">
        <f t="shared" si="235"/>
        <v/>
      </c>
      <c r="C2160" s="301"/>
      <c r="D2160" s="301"/>
      <c r="E2160" s="301"/>
      <c r="F2160" s="69"/>
      <c r="G2160" s="968"/>
      <c r="H2160" s="303"/>
      <c r="I2160" s="385"/>
      <c r="J2160" s="969"/>
      <c r="K2160" s="385"/>
      <c r="L2160" s="392"/>
      <c r="M2160" s="970"/>
      <c r="N2160" s="304"/>
      <c r="O2160" s="304"/>
      <c r="P2160" s="79" t="str">
        <f>IF(AND('331-CT'!$E$7=TH!H2160,OR(N2160="331",O2160="331")),"x","")</f>
        <v/>
      </c>
      <c r="Q2160" s="79" t="str">
        <f>IF(AND(B2160='111'!$L$11,OR($N2160=$Q$7,$O2160=$Q$7)),"x","")</f>
        <v/>
      </c>
      <c r="R2160" s="79" t="str">
        <f>IF(AND($N2160=$Q$7,$B2160&lt;'111'!$L$11),"x","")</f>
        <v/>
      </c>
      <c r="S2160" s="79" t="str">
        <f>IF(AND($O2160=$Q$7,$B2160&lt;'111'!$L$11),"x","")</f>
        <v/>
      </c>
      <c r="T2160" s="79" t="str">
        <f>IF(ISERROR(FIND('112'!$M$9,G2160,1)),"",IF((AND(FIND('112'!$M$9,G2160,1)&gt;=1,B2160='112'!$K$9,OR($N2160='112'!$I$6,$O2160='112'!$I$6))),"x",""))</f>
        <v/>
      </c>
      <c r="U2160" s="79" t="str">
        <f>IF(ISERROR(FIND('112'!$M$9,G2160,1)),"",IF((AND(LEFT(G2160,2)=LEFT('112'!$M$9,2),B2160&lt;'112'!$K$9,$N2160='112'!$I$6)),"x",""))</f>
        <v/>
      </c>
      <c r="V2160" s="79" t="str">
        <f>IF(ISERROR(FIND('112'!$M$9,G2160,1)),"",IF((AND(RIGHT(G2160,2)=RIGHT('112'!$M$9,2),B2160&lt;'112'!$K$9,$O2160='112'!$I$6)),"x",""))</f>
        <v/>
      </c>
      <c r="W2160" s="79" t="str">
        <f>IF(AND('341-CT'!$H$9=H2160,OR(LEFT(N2160,3)=$W$7,LEFT(O2160,3)=$W$7)),"x","")</f>
        <v/>
      </c>
      <c r="X2160" s="79" t="str">
        <f>IF(OR(TH!N2160=TH!$X$7,O2160=TH!$X$7),"x","")</f>
        <v/>
      </c>
      <c r="Y2160" s="79" t="str">
        <f>IF(AND(OR(N2160="131",O2160="131"),H2160='131-CT'!$H$9),"x","")</f>
        <v/>
      </c>
      <c r="Z2160" s="79"/>
      <c r="AA2160" s="79" t="str">
        <f>IF(AND(MONTH(E2160)='IN-NX'!$J$5,'IN-NX'!$D$7=D2160),"x","")</f>
        <v/>
      </c>
      <c r="AB2160" s="79" t="str">
        <f>IF(AND(OR(LEFT(TH!N2160,2)="15",LEFT(TH!O2160,2)="15"),LEFT(TH!O2160,3)&lt;&gt;"111",'152-CT'!$J$8=TH!F2160),"x","")</f>
        <v/>
      </c>
      <c r="AC2160" s="79" t="str">
        <f>IF(AND(OR(LEFT(TH!N2160,2)="15",LEFT(TH!O2160,2)="15"),TK!$E$7=TH!F2160),"x","")</f>
        <v/>
      </c>
      <c r="AD2160" s="79" t="str">
        <f>IF(AND(N2160="1521",MONTH(C2160)='BK-NL'!$M$11),"x","")</f>
        <v/>
      </c>
    </row>
    <row r="2161" spans="1:30" ht="16.5" customHeight="1">
      <c r="A2161" s="318" t="str">
        <f>IF(B2161&lt;&gt;"",IF(AND(B2161='IN-TC'!$S$4,OR(TH!N2161="1111",TH!O2161="1111")),TH!D2161,""),"")</f>
        <v/>
      </c>
      <c r="B2161" s="60" t="str">
        <f t="shared" si="235"/>
        <v/>
      </c>
      <c r="C2161" s="301"/>
      <c r="D2161" s="301"/>
      <c r="E2161" s="301"/>
      <c r="F2161" s="69"/>
      <c r="G2161" s="968"/>
      <c r="H2161" s="303"/>
      <c r="I2161" s="385"/>
      <c r="J2161" s="969"/>
      <c r="K2161" s="385"/>
      <c r="L2161" s="392"/>
      <c r="M2161" s="970"/>
      <c r="N2161" s="304"/>
      <c r="O2161" s="304"/>
      <c r="P2161" s="79" t="str">
        <f>IF(AND('331-CT'!$E$7=TH!H2161,OR(N2161="331",O2161="331")),"x","")</f>
        <v/>
      </c>
      <c r="Q2161" s="79" t="str">
        <f>IF(AND(B2161='111'!$L$11,OR($N2161=$Q$7,$O2161=$Q$7)),"x","")</f>
        <v/>
      </c>
      <c r="R2161" s="79" t="str">
        <f>IF(AND($N2161=$Q$7,$B2161&lt;'111'!$L$11),"x","")</f>
        <v/>
      </c>
      <c r="S2161" s="79" t="str">
        <f>IF(AND($O2161=$Q$7,$B2161&lt;'111'!$L$11),"x","")</f>
        <v/>
      </c>
      <c r="T2161" s="79" t="str">
        <f>IF(ISERROR(FIND('112'!$M$9,G2161,1)),"",IF((AND(FIND('112'!$M$9,G2161,1)&gt;=1,B2161='112'!$K$9,OR($N2161='112'!$I$6,$O2161='112'!$I$6))),"x",""))</f>
        <v/>
      </c>
      <c r="U2161" s="79" t="str">
        <f>IF(ISERROR(FIND('112'!$M$9,G2161,1)),"",IF((AND(LEFT(G2161,2)=LEFT('112'!$M$9,2),B2161&lt;'112'!$K$9,$N2161='112'!$I$6)),"x",""))</f>
        <v/>
      </c>
      <c r="V2161" s="79" t="str">
        <f>IF(ISERROR(FIND('112'!$M$9,G2161,1)),"",IF((AND(RIGHT(G2161,2)=RIGHT('112'!$M$9,2),B2161&lt;'112'!$K$9,$O2161='112'!$I$6)),"x",""))</f>
        <v/>
      </c>
      <c r="W2161" s="79" t="str">
        <f>IF(AND('341-CT'!$H$9=H2161,OR(LEFT(N2161,3)=$W$7,LEFT(O2161,3)=$W$7)),"x","")</f>
        <v/>
      </c>
      <c r="X2161" s="79" t="str">
        <f>IF(OR(TH!N2161=TH!$X$7,O2161=TH!$X$7),"x","")</f>
        <v/>
      </c>
      <c r="Y2161" s="79" t="str">
        <f>IF(AND(OR(N2161="131",O2161="131"),H2161='131-CT'!$H$9),"x","")</f>
        <v/>
      </c>
      <c r="Z2161" s="79"/>
      <c r="AA2161" s="79" t="str">
        <f>IF(AND(MONTH(E2161)='IN-NX'!$J$5,'IN-NX'!$D$7=D2161),"x","")</f>
        <v/>
      </c>
      <c r="AB2161" s="79" t="str">
        <f>IF(AND(OR(LEFT(TH!N2161,2)="15",LEFT(TH!O2161,2)="15"),LEFT(TH!O2161,3)&lt;&gt;"111",'152-CT'!$J$8=TH!F2161),"x","")</f>
        <v/>
      </c>
      <c r="AC2161" s="79" t="str">
        <f>IF(AND(OR(LEFT(TH!N2161,2)="15",LEFT(TH!O2161,2)="15"),TK!$E$7=TH!F2161),"x","")</f>
        <v/>
      </c>
      <c r="AD2161" s="79" t="str">
        <f>IF(AND(N2161="1521",MONTH(C2161)='BK-NL'!$M$11),"x","")</f>
        <v/>
      </c>
    </row>
    <row r="2162" spans="1:30" ht="16.5" customHeight="1">
      <c r="A2162" s="318" t="str">
        <f>IF(B2162&lt;&gt;"",IF(AND(B2162='IN-TC'!$S$4,OR(TH!N2162="1111",TH!O2162="1111")),TH!D2162,""),"")</f>
        <v/>
      </c>
      <c r="B2162" s="60" t="str">
        <f t="shared" si="235"/>
        <v/>
      </c>
      <c r="C2162" s="301"/>
      <c r="D2162" s="301"/>
      <c r="E2162" s="301"/>
      <c r="F2162" s="69"/>
      <c r="G2162" s="968"/>
      <c r="H2162" s="303"/>
      <c r="I2162" s="385"/>
      <c r="J2162" s="969"/>
      <c r="K2162" s="385"/>
      <c r="L2162" s="392"/>
      <c r="M2162" s="970"/>
      <c r="N2162" s="304"/>
      <c r="O2162" s="304"/>
      <c r="P2162" s="79" t="str">
        <f>IF(AND('331-CT'!$E$7=TH!H2162,OR(N2162="331",O2162="331")),"x","")</f>
        <v/>
      </c>
      <c r="Q2162" s="79" t="str">
        <f>IF(AND(B2162='111'!$L$11,OR($N2162=$Q$7,$O2162=$Q$7)),"x","")</f>
        <v/>
      </c>
      <c r="R2162" s="79" t="str">
        <f>IF(AND($N2162=$Q$7,$B2162&lt;'111'!$L$11),"x","")</f>
        <v/>
      </c>
      <c r="S2162" s="79" t="str">
        <f>IF(AND($O2162=$Q$7,$B2162&lt;'111'!$L$11),"x","")</f>
        <v/>
      </c>
      <c r="T2162" s="79" t="str">
        <f>IF(ISERROR(FIND('112'!$M$9,G2162,1)),"",IF((AND(FIND('112'!$M$9,G2162,1)&gt;=1,B2162='112'!$K$9,OR($N2162='112'!$I$6,$O2162='112'!$I$6))),"x",""))</f>
        <v/>
      </c>
      <c r="U2162" s="79" t="str">
        <f>IF(ISERROR(FIND('112'!$M$9,G2162,1)),"",IF((AND(LEFT(G2162,2)=LEFT('112'!$M$9,2),B2162&lt;'112'!$K$9,$N2162='112'!$I$6)),"x",""))</f>
        <v/>
      </c>
      <c r="V2162" s="79" t="str">
        <f>IF(ISERROR(FIND('112'!$M$9,G2162,1)),"",IF((AND(RIGHT(G2162,2)=RIGHT('112'!$M$9,2),B2162&lt;'112'!$K$9,$O2162='112'!$I$6)),"x",""))</f>
        <v/>
      </c>
      <c r="W2162" s="79" t="str">
        <f>IF(AND('341-CT'!$H$9=H2162,OR(LEFT(N2162,3)=$W$7,LEFT(O2162,3)=$W$7)),"x","")</f>
        <v/>
      </c>
      <c r="X2162" s="79" t="str">
        <f>IF(OR(TH!N2162=TH!$X$7,O2162=TH!$X$7),"x","")</f>
        <v/>
      </c>
      <c r="Y2162" s="79" t="str">
        <f>IF(AND(OR(N2162="131",O2162="131"),H2162='131-CT'!$H$9),"x","")</f>
        <v/>
      </c>
      <c r="Z2162" s="79"/>
      <c r="AA2162" s="79" t="str">
        <f>IF(AND(MONTH(E2162)='IN-NX'!$J$5,'IN-NX'!$D$7=D2162),"x","")</f>
        <v/>
      </c>
      <c r="AB2162" s="79" t="str">
        <f>IF(AND(OR(LEFT(TH!N2162,2)="15",LEFT(TH!O2162,2)="15"),LEFT(TH!O2162,3)&lt;&gt;"111",'152-CT'!$J$8=TH!F2162),"x","")</f>
        <v/>
      </c>
      <c r="AC2162" s="79" t="str">
        <f>IF(AND(OR(LEFT(TH!N2162,2)="15",LEFT(TH!O2162,2)="15"),TK!$E$7=TH!F2162),"x","")</f>
        <v/>
      </c>
      <c r="AD2162" s="79" t="str">
        <f>IF(AND(N2162="1521",MONTH(C2162)='BK-NL'!$M$11),"x","")</f>
        <v/>
      </c>
    </row>
    <row r="2163" spans="1:30" ht="16.5" customHeight="1">
      <c r="A2163" s="318" t="str">
        <f>IF(B2163&lt;&gt;"",IF(AND(B2163='IN-TC'!$S$4,OR(TH!N2163="1111",TH!O2163="1111")),TH!D2163,""),"")</f>
        <v/>
      </c>
      <c r="B2163" s="60" t="str">
        <f t="shared" si="235"/>
        <v/>
      </c>
      <c r="C2163" s="301"/>
      <c r="D2163" s="301"/>
      <c r="E2163" s="301"/>
      <c r="F2163" s="69"/>
      <c r="G2163" s="968"/>
      <c r="H2163" s="303"/>
      <c r="I2163" s="385"/>
      <c r="J2163" s="969"/>
      <c r="K2163" s="385"/>
      <c r="L2163" s="392"/>
      <c r="M2163" s="970"/>
      <c r="N2163" s="304"/>
      <c r="O2163" s="304"/>
      <c r="P2163" s="79" t="str">
        <f>IF(AND('331-CT'!$E$7=TH!H2163,OR(N2163="331",O2163="331")),"x","")</f>
        <v/>
      </c>
      <c r="Q2163" s="79" t="str">
        <f>IF(AND(B2163='111'!$L$11,OR($N2163=$Q$7,$O2163=$Q$7)),"x","")</f>
        <v/>
      </c>
      <c r="R2163" s="79" t="str">
        <f>IF(AND($N2163=$Q$7,$B2163&lt;'111'!$L$11),"x","")</f>
        <v/>
      </c>
      <c r="S2163" s="79" t="str">
        <f>IF(AND($O2163=$Q$7,$B2163&lt;'111'!$L$11),"x","")</f>
        <v/>
      </c>
      <c r="T2163" s="79" t="str">
        <f>IF(ISERROR(FIND('112'!$M$9,G2163,1)),"",IF((AND(FIND('112'!$M$9,G2163,1)&gt;=1,B2163='112'!$K$9,OR($N2163='112'!$I$6,$O2163='112'!$I$6))),"x",""))</f>
        <v/>
      </c>
      <c r="U2163" s="79" t="str">
        <f>IF(ISERROR(FIND('112'!$M$9,G2163,1)),"",IF((AND(LEFT(G2163,2)=LEFT('112'!$M$9,2),B2163&lt;'112'!$K$9,$N2163='112'!$I$6)),"x",""))</f>
        <v/>
      </c>
      <c r="V2163" s="79" t="str">
        <f>IF(ISERROR(FIND('112'!$M$9,G2163,1)),"",IF((AND(RIGHT(G2163,2)=RIGHT('112'!$M$9,2),B2163&lt;'112'!$K$9,$O2163='112'!$I$6)),"x",""))</f>
        <v/>
      </c>
      <c r="W2163" s="79" t="str">
        <f>IF(AND('341-CT'!$H$9=H2163,OR(LEFT(N2163,3)=$W$7,LEFT(O2163,3)=$W$7)),"x","")</f>
        <v/>
      </c>
      <c r="X2163" s="79" t="str">
        <f>IF(OR(TH!N2163=TH!$X$7,O2163=TH!$X$7),"x","")</f>
        <v/>
      </c>
      <c r="Y2163" s="79" t="str">
        <f>IF(AND(OR(N2163="131",O2163="131"),H2163='131-CT'!$H$9),"x","")</f>
        <v/>
      </c>
      <c r="Z2163" s="79"/>
      <c r="AA2163" s="79" t="str">
        <f>IF(AND(MONTH(E2163)='IN-NX'!$J$5,'IN-NX'!$D$7=D2163),"x","")</f>
        <v/>
      </c>
      <c r="AB2163" s="79" t="str">
        <f>IF(AND(OR(LEFT(TH!N2163,2)="15",LEFT(TH!O2163,2)="15"),LEFT(TH!O2163,3)&lt;&gt;"111",'152-CT'!$J$8=TH!F2163),"x","")</f>
        <v/>
      </c>
      <c r="AC2163" s="79" t="str">
        <f>IF(AND(OR(LEFT(TH!N2163,2)="15",LEFT(TH!O2163,2)="15"),TK!$E$7=TH!F2163),"x","")</f>
        <v/>
      </c>
      <c r="AD2163" s="79" t="str">
        <f>IF(AND(N2163="1521",MONTH(C2163)='BK-NL'!$M$11),"x","")</f>
        <v/>
      </c>
    </row>
    <row r="2164" spans="1:30" ht="16.5" customHeight="1">
      <c r="A2164" s="318" t="str">
        <f>IF(B2164&lt;&gt;"",IF(AND(B2164='IN-TC'!$S$4,OR(TH!N2164="1111",TH!O2164="1111")),TH!D2164,""),"")</f>
        <v/>
      </c>
      <c r="B2164" s="60" t="str">
        <f t="shared" si="235"/>
        <v/>
      </c>
      <c r="C2164" s="301"/>
      <c r="D2164" s="301"/>
      <c r="E2164" s="301"/>
      <c r="F2164" s="69"/>
      <c r="G2164" s="968"/>
      <c r="H2164" s="303"/>
      <c r="I2164" s="385"/>
      <c r="J2164" s="969"/>
      <c r="K2164" s="385"/>
      <c r="L2164" s="392"/>
      <c r="M2164" s="970"/>
      <c r="N2164" s="304"/>
      <c r="O2164" s="304"/>
      <c r="P2164" s="79" t="str">
        <f>IF(AND('331-CT'!$E$7=TH!H2164,OR(N2164="331",O2164="331")),"x","")</f>
        <v/>
      </c>
      <c r="Q2164" s="79" t="str">
        <f>IF(AND(B2164='111'!$L$11,OR($N2164=$Q$7,$O2164=$Q$7)),"x","")</f>
        <v/>
      </c>
      <c r="R2164" s="79" t="str">
        <f>IF(AND($N2164=$Q$7,$B2164&lt;'111'!$L$11),"x","")</f>
        <v/>
      </c>
      <c r="S2164" s="79" t="str">
        <f>IF(AND($O2164=$Q$7,$B2164&lt;'111'!$L$11),"x","")</f>
        <v/>
      </c>
      <c r="T2164" s="79" t="str">
        <f>IF(ISERROR(FIND('112'!$M$9,G2164,1)),"",IF((AND(FIND('112'!$M$9,G2164,1)&gt;=1,B2164='112'!$K$9,OR($N2164='112'!$I$6,$O2164='112'!$I$6))),"x",""))</f>
        <v/>
      </c>
      <c r="U2164" s="79" t="str">
        <f>IF(ISERROR(FIND('112'!$M$9,G2164,1)),"",IF((AND(LEFT(G2164,2)=LEFT('112'!$M$9,2),B2164&lt;'112'!$K$9,$N2164='112'!$I$6)),"x",""))</f>
        <v/>
      </c>
      <c r="V2164" s="79" t="str">
        <f>IF(ISERROR(FIND('112'!$M$9,G2164,1)),"",IF((AND(RIGHT(G2164,2)=RIGHT('112'!$M$9,2),B2164&lt;'112'!$K$9,$O2164='112'!$I$6)),"x",""))</f>
        <v/>
      </c>
      <c r="W2164" s="79" t="str">
        <f>IF(AND('341-CT'!$H$9=H2164,OR(LEFT(N2164,3)=$W$7,LEFT(O2164,3)=$W$7)),"x","")</f>
        <v/>
      </c>
      <c r="X2164" s="79" t="str">
        <f>IF(OR(TH!N2164=TH!$X$7,O2164=TH!$X$7),"x","")</f>
        <v/>
      </c>
      <c r="Y2164" s="79" t="str">
        <f>IF(AND(OR(N2164="131",O2164="131"),H2164='131-CT'!$H$9),"x","")</f>
        <v/>
      </c>
      <c r="Z2164" s="79"/>
      <c r="AA2164" s="79" t="str">
        <f>IF(AND(MONTH(E2164)='IN-NX'!$J$5,'IN-NX'!$D$7=D2164),"x","")</f>
        <v/>
      </c>
      <c r="AB2164" s="79" t="str">
        <f>IF(AND(OR(LEFT(TH!N2164,2)="15",LEFT(TH!O2164,2)="15"),LEFT(TH!O2164,3)&lt;&gt;"111",'152-CT'!$J$8=TH!F2164),"x","")</f>
        <v/>
      </c>
      <c r="AC2164" s="79" t="str">
        <f>IF(AND(OR(LEFT(TH!N2164,2)="15",LEFT(TH!O2164,2)="15"),TK!$E$7=TH!F2164),"x","")</f>
        <v/>
      </c>
      <c r="AD2164" s="79" t="str">
        <f>IF(AND(N2164="1521",MONTH(C2164)='BK-NL'!$M$11),"x","")</f>
        <v/>
      </c>
    </row>
    <row r="2165" spans="1:30" ht="16.5" customHeight="1">
      <c r="A2165" s="318" t="str">
        <f>IF(B2165&lt;&gt;"",IF(AND(B2165='IN-TC'!$S$4,OR(TH!N2165="1111",TH!O2165="1111")),TH!D2165,""),"")</f>
        <v/>
      </c>
      <c r="B2165" s="60" t="str">
        <f t="shared" si="235"/>
        <v/>
      </c>
      <c r="C2165" s="301"/>
      <c r="D2165" s="301"/>
      <c r="E2165" s="301"/>
      <c r="F2165" s="69"/>
      <c r="G2165" s="968"/>
      <c r="H2165" s="303"/>
      <c r="I2165" s="385"/>
      <c r="J2165" s="969"/>
      <c r="K2165" s="385"/>
      <c r="L2165" s="392"/>
      <c r="M2165" s="970"/>
      <c r="N2165" s="304"/>
      <c r="O2165" s="304"/>
      <c r="P2165" s="79" t="str">
        <f>IF(AND('331-CT'!$E$7=TH!H2165,OR(N2165="331",O2165="331")),"x","")</f>
        <v/>
      </c>
      <c r="Q2165" s="79" t="str">
        <f>IF(AND(B2165='111'!$L$11,OR($N2165=$Q$7,$O2165=$Q$7)),"x","")</f>
        <v/>
      </c>
      <c r="R2165" s="79" t="str">
        <f>IF(AND($N2165=$Q$7,$B2165&lt;'111'!$L$11),"x","")</f>
        <v/>
      </c>
      <c r="S2165" s="79" t="str">
        <f>IF(AND($O2165=$Q$7,$B2165&lt;'111'!$L$11),"x","")</f>
        <v/>
      </c>
      <c r="T2165" s="79" t="str">
        <f>IF(ISERROR(FIND('112'!$M$9,G2165,1)),"",IF((AND(FIND('112'!$M$9,G2165,1)&gt;=1,B2165='112'!$K$9,OR($N2165='112'!$I$6,$O2165='112'!$I$6))),"x",""))</f>
        <v/>
      </c>
      <c r="U2165" s="79" t="str">
        <f>IF(ISERROR(FIND('112'!$M$9,G2165,1)),"",IF((AND(LEFT(G2165,2)=LEFT('112'!$M$9,2),B2165&lt;'112'!$K$9,$N2165='112'!$I$6)),"x",""))</f>
        <v/>
      </c>
      <c r="V2165" s="79" t="str">
        <f>IF(ISERROR(FIND('112'!$M$9,G2165,1)),"",IF((AND(RIGHT(G2165,2)=RIGHT('112'!$M$9,2),B2165&lt;'112'!$K$9,$O2165='112'!$I$6)),"x",""))</f>
        <v/>
      </c>
      <c r="W2165" s="79" t="str">
        <f>IF(AND('341-CT'!$H$9=H2165,OR(LEFT(N2165,3)=$W$7,LEFT(O2165,3)=$W$7)),"x","")</f>
        <v/>
      </c>
      <c r="X2165" s="79" t="str">
        <f>IF(OR(TH!N2165=TH!$X$7,O2165=TH!$X$7),"x","")</f>
        <v/>
      </c>
      <c r="Y2165" s="79" t="str">
        <f>IF(AND(OR(N2165="131",O2165="131"),H2165='131-CT'!$H$9),"x","")</f>
        <v/>
      </c>
      <c r="Z2165" s="79"/>
      <c r="AA2165" s="79" t="str">
        <f>IF(AND(MONTH(E2165)='IN-NX'!$J$5,'IN-NX'!$D$7=D2165),"x","")</f>
        <v/>
      </c>
      <c r="AB2165" s="79" t="str">
        <f>IF(AND(OR(LEFT(TH!N2165,2)="15",LEFT(TH!O2165,2)="15"),LEFT(TH!O2165,3)&lt;&gt;"111",'152-CT'!$J$8=TH!F2165),"x","")</f>
        <v/>
      </c>
      <c r="AC2165" s="79" t="str">
        <f>IF(AND(OR(LEFT(TH!N2165,2)="15",LEFT(TH!O2165,2)="15"),TK!$E$7=TH!F2165),"x","")</f>
        <v/>
      </c>
      <c r="AD2165" s="79" t="str">
        <f>IF(AND(N2165="1521",MONTH(C2165)='BK-NL'!$M$11),"x","")</f>
        <v/>
      </c>
    </row>
    <row r="2166" spans="1:30" ht="16.5" customHeight="1">
      <c r="A2166" s="318" t="str">
        <f>IF(B2166&lt;&gt;"",IF(AND(B2166='IN-TC'!$S$4,OR(TH!N2166="1111",TH!O2166="1111")),TH!D2166,""),"")</f>
        <v/>
      </c>
      <c r="B2166" s="60" t="str">
        <f t="shared" si="235"/>
        <v/>
      </c>
      <c r="C2166" s="301"/>
      <c r="D2166" s="301"/>
      <c r="E2166" s="301"/>
      <c r="F2166" s="69"/>
      <c r="G2166" s="968"/>
      <c r="H2166" s="303"/>
      <c r="I2166" s="385"/>
      <c r="J2166" s="969"/>
      <c r="K2166" s="385"/>
      <c r="L2166" s="392"/>
      <c r="M2166" s="970"/>
      <c r="N2166" s="304"/>
      <c r="O2166" s="304"/>
      <c r="P2166" s="79" t="str">
        <f>IF(AND('331-CT'!$E$7=TH!H2166,OR(N2166="331",O2166="331")),"x","")</f>
        <v/>
      </c>
      <c r="Q2166" s="79" t="str">
        <f>IF(AND(B2166='111'!$L$11,OR($N2166=$Q$7,$O2166=$Q$7)),"x","")</f>
        <v/>
      </c>
      <c r="R2166" s="79" t="str">
        <f>IF(AND($N2166=$Q$7,$B2166&lt;'111'!$L$11),"x","")</f>
        <v/>
      </c>
      <c r="S2166" s="79" t="str">
        <f>IF(AND($O2166=$Q$7,$B2166&lt;'111'!$L$11),"x","")</f>
        <v/>
      </c>
      <c r="T2166" s="79" t="str">
        <f>IF(ISERROR(FIND('112'!$M$9,G2166,1)),"",IF((AND(FIND('112'!$M$9,G2166,1)&gt;=1,B2166='112'!$K$9,OR($N2166='112'!$I$6,$O2166='112'!$I$6))),"x",""))</f>
        <v/>
      </c>
      <c r="U2166" s="79" t="str">
        <f>IF(ISERROR(FIND('112'!$M$9,G2166,1)),"",IF((AND(LEFT(G2166,2)=LEFT('112'!$M$9,2),B2166&lt;'112'!$K$9,$N2166='112'!$I$6)),"x",""))</f>
        <v/>
      </c>
      <c r="V2166" s="79" t="str">
        <f>IF(ISERROR(FIND('112'!$M$9,G2166,1)),"",IF((AND(RIGHT(G2166,2)=RIGHT('112'!$M$9,2),B2166&lt;'112'!$K$9,$O2166='112'!$I$6)),"x",""))</f>
        <v/>
      </c>
      <c r="W2166" s="79" t="str">
        <f>IF(AND('341-CT'!$H$9=H2166,OR(LEFT(N2166,3)=$W$7,LEFT(O2166,3)=$W$7)),"x","")</f>
        <v/>
      </c>
      <c r="X2166" s="79" t="str">
        <f>IF(OR(TH!N2166=TH!$X$7,O2166=TH!$X$7),"x","")</f>
        <v/>
      </c>
      <c r="Y2166" s="79" t="str">
        <f>IF(AND(OR(N2166="131",O2166="131"),H2166='131-CT'!$H$9),"x","")</f>
        <v/>
      </c>
      <c r="Z2166" s="79"/>
      <c r="AA2166" s="79" t="str">
        <f>IF(AND(MONTH(E2166)='IN-NX'!$J$5,'IN-NX'!$D$7=D2166),"x","")</f>
        <v/>
      </c>
      <c r="AB2166" s="79" t="str">
        <f>IF(AND(OR(LEFT(TH!N2166,2)="15",LEFT(TH!O2166,2)="15"),LEFT(TH!O2166,3)&lt;&gt;"111",'152-CT'!$J$8=TH!F2166),"x","")</f>
        <v/>
      </c>
      <c r="AC2166" s="79" t="str">
        <f>IF(AND(OR(LEFT(TH!N2166,2)="15",LEFT(TH!O2166,2)="15"),TK!$E$7=TH!F2166),"x","")</f>
        <v/>
      </c>
      <c r="AD2166" s="79" t="str">
        <f>IF(AND(N2166="1521",MONTH(C2166)='BK-NL'!$M$11),"x","")</f>
        <v/>
      </c>
    </row>
    <row r="2167" spans="1:30" ht="16.5" customHeight="1">
      <c r="A2167" s="318" t="str">
        <f>IF(B2167&lt;&gt;"",IF(AND(B2167='IN-TC'!$S$4,OR(TH!N2167="1111",TH!O2167="1111")),TH!D2167,""),"")</f>
        <v/>
      </c>
      <c r="B2167" s="60" t="str">
        <f t="shared" si="235"/>
        <v/>
      </c>
      <c r="C2167" s="301"/>
      <c r="D2167" s="301"/>
      <c r="E2167" s="301"/>
      <c r="F2167" s="69"/>
      <c r="G2167" s="968"/>
      <c r="H2167" s="303"/>
      <c r="I2167" s="385"/>
      <c r="J2167" s="969"/>
      <c r="K2167" s="385"/>
      <c r="L2167" s="392"/>
      <c r="M2167" s="970"/>
      <c r="N2167" s="304"/>
      <c r="O2167" s="304"/>
      <c r="P2167" s="79" t="str">
        <f>IF(AND('331-CT'!$E$7=TH!H2167,OR(N2167="331",O2167="331")),"x","")</f>
        <v/>
      </c>
      <c r="Q2167" s="79" t="str">
        <f>IF(AND(B2167='111'!$L$11,OR($N2167=$Q$7,$O2167=$Q$7)),"x","")</f>
        <v/>
      </c>
      <c r="R2167" s="79" t="str">
        <f>IF(AND($N2167=$Q$7,$B2167&lt;'111'!$L$11),"x","")</f>
        <v/>
      </c>
      <c r="S2167" s="79" t="str">
        <f>IF(AND($O2167=$Q$7,$B2167&lt;'111'!$L$11),"x","")</f>
        <v/>
      </c>
      <c r="T2167" s="79" t="str">
        <f>IF(ISERROR(FIND('112'!$M$9,G2167,1)),"",IF((AND(FIND('112'!$M$9,G2167,1)&gt;=1,B2167='112'!$K$9,OR($N2167='112'!$I$6,$O2167='112'!$I$6))),"x",""))</f>
        <v/>
      </c>
      <c r="U2167" s="79" t="str">
        <f>IF(ISERROR(FIND('112'!$M$9,G2167,1)),"",IF((AND(LEFT(G2167,2)=LEFT('112'!$M$9,2),B2167&lt;'112'!$K$9,$N2167='112'!$I$6)),"x",""))</f>
        <v/>
      </c>
      <c r="V2167" s="79" t="str">
        <f>IF(ISERROR(FIND('112'!$M$9,G2167,1)),"",IF((AND(RIGHT(G2167,2)=RIGHT('112'!$M$9,2),B2167&lt;'112'!$K$9,$O2167='112'!$I$6)),"x",""))</f>
        <v/>
      </c>
      <c r="W2167" s="79" t="str">
        <f>IF(AND('341-CT'!$H$9=H2167,OR(LEFT(N2167,3)=$W$7,LEFT(O2167,3)=$W$7)),"x","")</f>
        <v/>
      </c>
      <c r="X2167" s="79" t="str">
        <f>IF(OR(TH!N2167=TH!$X$7,O2167=TH!$X$7),"x","")</f>
        <v/>
      </c>
      <c r="Y2167" s="79" t="str">
        <f>IF(AND(OR(N2167="131",O2167="131"),H2167='131-CT'!$H$9),"x","")</f>
        <v/>
      </c>
      <c r="Z2167" s="79"/>
      <c r="AA2167" s="79" t="str">
        <f>IF(AND(MONTH(E2167)='IN-NX'!$J$5,'IN-NX'!$D$7=D2167),"x","")</f>
        <v/>
      </c>
      <c r="AB2167" s="79" t="str">
        <f>IF(AND(OR(LEFT(TH!N2167,2)="15",LEFT(TH!O2167,2)="15"),LEFT(TH!O2167,3)&lt;&gt;"111",'152-CT'!$J$8=TH!F2167),"x","")</f>
        <v/>
      </c>
      <c r="AC2167" s="79" t="str">
        <f>IF(AND(OR(LEFT(TH!N2167,2)="15",LEFT(TH!O2167,2)="15"),TK!$E$7=TH!F2167),"x","")</f>
        <v/>
      </c>
      <c r="AD2167" s="79" t="str">
        <f>IF(AND(N2167="1521",MONTH(C2167)='BK-NL'!$M$11),"x","")</f>
        <v/>
      </c>
    </row>
    <row r="2168" spans="1:30" ht="16.5" customHeight="1">
      <c r="A2168" s="318" t="str">
        <f>IF(B2168&lt;&gt;"",IF(AND(B2168='IN-TC'!$S$4,OR(TH!N2168="1111",TH!O2168="1111")),TH!D2168,""),"")</f>
        <v/>
      </c>
      <c r="B2168" s="60" t="str">
        <f t="shared" si="235"/>
        <v/>
      </c>
      <c r="C2168" s="301"/>
      <c r="D2168" s="301"/>
      <c r="E2168" s="301"/>
      <c r="F2168" s="69"/>
      <c r="G2168" s="968"/>
      <c r="H2168" s="303"/>
      <c r="I2168" s="385"/>
      <c r="J2168" s="969"/>
      <c r="K2168" s="385"/>
      <c r="L2168" s="392"/>
      <c r="M2168" s="970"/>
      <c r="N2168" s="304"/>
      <c r="O2168" s="304"/>
      <c r="P2168" s="79" t="str">
        <f>IF(AND('331-CT'!$E$7=TH!H2168,OR(N2168="331",O2168="331")),"x","")</f>
        <v/>
      </c>
      <c r="Q2168" s="79" t="str">
        <f>IF(AND(B2168='111'!$L$11,OR($N2168=$Q$7,$O2168=$Q$7)),"x","")</f>
        <v/>
      </c>
      <c r="R2168" s="79" t="str">
        <f>IF(AND($N2168=$Q$7,$B2168&lt;'111'!$L$11),"x","")</f>
        <v/>
      </c>
      <c r="S2168" s="79" t="str">
        <f>IF(AND($O2168=$Q$7,$B2168&lt;'111'!$L$11),"x","")</f>
        <v/>
      </c>
      <c r="T2168" s="79" t="str">
        <f>IF(ISERROR(FIND('112'!$M$9,G2168,1)),"",IF((AND(FIND('112'!$M$9,G2168,1)&gt;=1,B2168='112'!$K$9,OR($N2168='112'!$I$6,$O2168='112'!$I$6))),"x",""))</f>
        <v/>
      </c>
      <c r="U2168" s="79" t="str">
        <f>IF(ISERROR(FIND('112'!$M$9,G2168,1)),"",IF((AND(LEFT(G2168,2)=LEFT('112'!$M$9,2),B2168&lt;'112'!$K$9,$N2168='112'!$I$6)),"x",""))</f>
        <v/>
      </c>
      <c r="V2168" s="79" t="str">
        <f>IF(ISERROR(FIND('112'!$M$9,G2168,1)),"",IF((AND(RIGHT(G2168,2)=RIGHT('112'!$M$9,2),B2168&lt;'112'!$K$9,$O2168='112'!$I$6)),"x",""))</f>
        <v/>
      </c>
      <c r="W2168" s="79" t="str">
        <f>IF(AND('341-CT'!$H$9=H2168,OR(LEFT(N2168,3)=$W$7,LEFT(O2168,3)=$W$7)),"x","")</f>
        <v/>
      </c>
      <c r="X2168" s="79" t="str">
        <f>IF(OR(TH!N2168=TH!$X$7,O2168=TH!$X$7),"x","")</f>
        <v/>
      </c>
      <c r="Y2168" s="79" t="str">
        <f>IF(AND(OR(N2168="131",O2168="131"),H2168='131-CT'!$H$9),"x","")</f>
        <v/>
      </c>
      <c r="Z2168" s="79"/>
      <c r="AA2168" s="79" t="str">
        <f>IF(AND(MONTH(E2168)='IN-NX'!$J$5,'IN-NX'!$D$7=D2168),"x","")</f>
        <v/>
      </c>
      <c r="AB2168" s="79" t="str">
        <f>IF(AND(OR(LEFT(TH!N2168,2)="15",LEFT(TH!O2168,2)="15"),LEFT(TH!O2168,3)&lt;&gt;"111",'152-CT'!$J$8=TH!F2168),"x","")</f>
        <v/>
      </c>
      <c r="AC2168" s="79" t="str">
        <f>IF(AND(OR(LEFT(TH!N2168,2)="15",LEFT(TH!O2168,2)="15"),TK!$E$7=TH!F2168),"x","")</f>
        <v/>
      </c>
      <c r="AD2168" s="79" t="str">
        <f>IF(AND(N2168="1521",MONTH(C2168)='BK-NL'!$M$11),"x","")</f>
        <v/>
      </c>
    </row>
    <row r="2169" spans="1:30" ht="16.5" customHeight="1">
      <c r="A2169" s="318" t="str">
        <f>IF(B2169&lt;&gt;"",IF(AND(B2169='IN-TC'!$S$4,OR(TH!N2169="1111",TH!O2169="1111")),TH!D2169,""),"")</f>
        <v/>
      </c>
      <c r="B2169" s="60" t="str">
        <f t="shared" si="235"/>
        <v/>
      </c>
      <c r="C2169" s="301"/>
      <c r="D2169" s="301"/>
      <c r="E2169" s="301"/>
      <c r="F2169" s="69"/>
      <c r="G2169" s="968"/>
      <c r="H2169" s="303"/>
      <c r="I2169" s="385"/>
      <c r="J2169" s="969"/>
      <c r="K2169" s="385"/>
      <c r="L2169" s="392"/>
      <c r="M2169" s="970"/>
      <c r="N2169" s="304"/>
      <c r="O2169" s="304"/>
      <c r="P2169" s="79" t="str">
        <f>IF(AND('331-CT'!$E$7=TH!H2169,OR(N2169="331",O2169="331")),"x","")</f>
        <v/>
      </c>
      <c r="Q2169" s="79" t="str">
        <f>IF(AND(B2169='111'!$L$11,OR($N2169=$Q$7,$O2169=$Q$7)),"x","")</f>
        <v/>
      </c>
      <c r="R2169" s="79" t="str">
        <f>IF(AND($N2169=$Q$7,$B2169&lt;'111'!$L$11),"x","")</f>
        <v/>
      </c>
      <c r="S2169" s="79" t="str">
        <f>IF(AND($O2169=$Q$7,$B2169&lt;'111'!$L$11),"x","")</f>
        <v/>
      </c>
      <c r="T2169" s="79" t="str">
        <f>IF(ISERROR(FIND('112'!$M$9,G2169,1)),"",IF((AND(FIND('112'!$M$9,G2169,1)&gt;=1,B2169='112'!$K$9,OR($N2169='112'!$I$6,$O2169='112'!$I$6))),"x",""))</f>
        <v/>
      </c>
      <c r="U2169" s="79" t="str">
        <f>IF(ISERROR(FIND('112'!$M$9,G2169,1)),"",IF((AND(LEFT(G2169,2)=LEFT('112'!$M$9,2),B2169&lt;'112'!$K$9,$N2169='112'!$I$6)),"x",""))</f>
        <v/>
      </c>
      <c r="V2169" s="79" t="str">
        <f>IF(ISERROR(FIND('112'!$M$9,G2169,1)),"",IF((AND(RIGHT(G2169,2)=RIGHT('112'!$M$9,2),B2169&lt;'112'!$K$9,$O2169='112'!$I$6)),"x",""))</f>
        <v/>
      </c>
      <c r="W2169" s="79" t="str">
        <f>IF(AND('341-CT'!$H$9=H2169,OR(LEFT(N2169,3)=$W$7,LEFT(O2169,3)=$W$7)),"x","")</f>
        <v/>
      </c>
      <c r="X2169" s="79" t="str">
        <f>IF(OR(TH!N2169=TH!$X$7,O2169=TH!$X$7),"x","")</f>
        <v/>
      </c>
      <c r="Y2169" s="79" t="str">
        <f>IF(AND(OR(N2169="131",O2169="131"),H2169='131-CT'!$H$9),"x","")</f>
        <v/>
      </c>
      <c r="Z2169" s="79"/>
      <c r="AA2169" s="79" t="str">
        <f>IF(AND(MONTH(E2169)='IN-NX'!$J$5,'IN-NX'!$D$7=D2169),"x","")</f>
        <v/>
      </c>
      <c r="AB2169" s="79" t="str">
        <f>IF(AND(OR(LEFT(TH!N2169,2)="15",LEFT(TH!O2169,2)="15"),LEFT(TH!O2169,3)&lt;&gt;"111",'152-CT'!$J$8=TH!F2169),"x","")</f>
        <v/>
      </c>
      <c r="AC2169" s="79" t="str">
        <f>IF(AND(OR(LEFT(TH!N2169,2)="15",LEFT(TH!O2169,2)="15"),TK!$E$7=TH!F2169),"x","")</f>
        <v/>
      </c>
      <c r="AD2169" s="79" t="str">
        <f>IF(AND(N2169="1521",MONTH(C2169)='BK-NL'!$M$11),"x","")</f>
        <v/>
      </c>
    </row>
    <row r="2170" spans="1:30" ht="16.5" customHeight="1">
      <c r="A2170" s="318" t="str">
        <f>IF(B2170&lt;&gt;"",IF(AND(B2170='IN-TC'!$S$4,OR(TH!N2170="1111",TH!O2170="1111")),TH!D2170,""),"")</f>
        <v/>
      </c>
      <c r="B2170" s="60" t="str">
        <f t="shared" si="235"/>
        <v/>
      </c>
      <c r="C2170" s="301"/>
      <c r="D2170" s="301"/>
      <c r="E2170" s="301"/>
      <c r="F2170" s="69"/>
      <c r="G2170" s="968"/>
      <c r="H2170" s="303"/>
      <c r="I2170" s="385"/>
      <c r="J2170" s="969"/>
      <c r="K2170" s="385"/>
      <c r="L2170" s="392"/>
      <c r="M2170" s="970"/>
      <c r="N2170" s="304"/>
      <c r="O2170" s="304"/>
      <c r="P2170" s="79" t="str">
        <f>IF(AND('331-CT'!$E$7=TH!H2170,OR(N2170="331",O2170="331")),"x","")</f>
        <v/>
      </c>
      <c r="Q2170" s="79" t="str">
        <f>IF(AND(B2170='111'!$L$11,OR($N2170=$Q$7,$O2170=$Q$7)),"x","")</f>
        <v/>
      </c>
      <c r="R2170" s="79" t="str">
        <f>IF(AND($N2170=$Q$7,$B2170&lt;'111'!$L$11),"x","")</f>
        <v/>
      </c>
      <c r="S2170" s="79" t="str">
        <f>IF(AND($O2170=$Q$7,$B2170&lt;'111'!$L$11),"x","")</f>
        <v/>
      </c>
      <c r="T2170" s="79" t="str">
        <f>IF(ISERROR(FIND('112'!$M$9,G2170,1)),"",IF((AND(FIND('112'!$M$9,G2170,1)&gt;=1,B2170='112'!$K$9,OR($N2170='112'!$I$6,$O2170='112'!$I$6))),"x",""))</f>
        <v/>
      </c>
      <c r="U2170" s="79" t="str">
        <f>IF(ISERROR(FIND('112'!$M$9,G2170,1)),"",IF((AND(LEFT(G2170,2)=LEFT('112'!$M$9,2),B2170&lt;'112'!$K$9,$N2170='112'!$I$6)),"x",""))</f>
        <v/>
      </c>
      <c r="V2170" s="79" t="str">
        <f>IF(ISERROR(FIND('112'!$M$9,G2170,1)),"",IF((AND(RIGHT(G2170,2)=RIGHT('112'!$M$9,2),B2170&lt;'112'!$K$9,$O2170='112'!$I$6)),"x",""))</f>
        <v/>
      </c>
      <c r="W2170" s="79" t="str">
        <f>IF(AND('341-CT'!$H$9=H2170,OR(LEFT(N2170,3)=$W$7,LEFT(O2170,3)=$W$7)),"x","")</f>
        <v/>
      </c>
      <c r="X2170" s="79" t="str">
        <f>IF(OR(TH!N2170=TH!$X$7,O2170=TH!$X$7),"x","")</f>
        <v/>
      </c>
      <c r="Y2170" s="79" t="str">
        <f>IF(AND(OR(N2170="131",O2170="131"),H2170='131-CT'!$H$9),"x","")</f>
        <v/>
      </c>
      <c r="Z2170" s="79"/>
      <c r="AA2170" s="79" t="str">
        <f>IF(AND(MONTH(E2170)='IN-NX'!$J$5,'IN-NX'!$D$7=D2170),"x","")</f>
        <v/>
      </c>
      <c r="AB2170" s="79" t="str">
        <f>IF(AND(OR(LEFT(TH!N2170,2)="15",LEFT(TH!O2170,2)="15"),LEFT(TH!O2170,3)&lt;&gt;"111",'152-CT'!$J$8=TH!F2170),"x","")</f>
        <v/>
      </c>
      <c r="AC2170" s="79" t="str">
        <f>IF(AND(OR(LEFT(TH!N2170,2)="15",LEFT(TH!O2170,2)="15"),TK!$E$7=TH!F2170),"x","")</f>
        <v/>
      </c>
      <c r="AD2170" s="79" t="str">
        <f>IF(AND(N2170="1521",MONTH(C2170)='BK-NL'!$M$11),"x","")</f>
        <v/>
      </c>
    </row>
    <row r="2171" spans="1:30" ht="16.5" customHeight="1">
      <c r="A2171" s="318" t="str">
        <f>IF(B2171&lt;&gt;"",IF(AND(B2171='IN-TC'!$S$4,OR(TH!N2171="1111",TH!O2171="1111")),TH!D2171,""),"")</f>
        <v/>
      </c>
      <c r="B2171" s="60" t="str">
        <f t="shared" si="235"/>
        <v/>
      </c>
      <c r="C2171" s="974"/>
      <c r="D2171" s="301"/>
      <c r="E2171" s="974"/>
      <c r="F2171" s="77"/>
      <c r="G2171" s="976"/>
      <c r="H2171" s="303"/>
      <c r="I2171" s="383"/>
      <c r="J2171" s="977"/>
      <c r="K2171" s="383"/>
      <c r="L2171" s="390"/>
      <c r="M2171" s="978"/>
      <c r="N2171" s="979"/>
      <c r="O2171" s="979"/>
      <c r="P2171" s="79" t="str">
        <f>IF(AND('331-CT'!$E$7=TH!H2171,OR(N2171="331",O2171="331")),"x","")</f>
        <v/>
      </c>
      <c r="Q2171" s="79" t="str">
        <f>IF(AND(B2171='111'!$L$11,OR($N2171=$Q$7,$O2171=$Q$7)),"x","")</f>
        <v/>
      </c>
      <c r="R2171" s="79" t="str">
        <f>IF(AND($N2171=$Q$7,$B2171&lt;'111'!$L$11),"x","")</f>
        <v/>
      </c>
      <c r="S2171" s="79" t="str">
        <f>IF(AND($O2171=$Q$7,$B2171&lt;'111'!$L$11),"x","")</f>
        <v/>
      </c>
      <c r="T2171" s="79" t="str">
        <f>IF(ISERROR(FIND('112'!$M$9,G2171,1)),"",IF((AND(FIND('112'!$M$9,G2171,1)&gt;=1,B2171='112'!$K$9,OR($N2171='112'!$I$6,$O2171='112'!$I$6))),"x",""))</f>
        <v/>
      </c>
      <c r="U2171" s="79" t="str">
        <f>IF(ISERROR(FIND('112'!$M$9,G2171,1)),"",IF((AND(LEFT(G2171,2)=LEFT('112'!$M$9,2),B2171&lt;'112'!$K$9,$N2171='112'!$I$6)),"x",""))</f>
        <v/>
      </c>
      <c r="V2171" s="79" t="str">
        <f>IF(ISERROR(FIND('112'!$M$9,G2171,1)),"",IF((AND(RIGHT(G2171,2)=RIGHT('112'!$M$9,2),B2171&lt;'112'!$K$9,$O2171='112'!$I$6)),"x",""))</f>
        <v/>
      </c>
      <c r="W2171" s="79" t="str">
        <f>IF(AND('341-CT'!$H$9=H2171,OR(LEFT(N2171,3)=$W$7,LEFT(O2171,3)=$W$7)),"x","")</f>
        <v/>
      </c>
      <c r="X2171" s="79" t="str">
        <f>IF(OR(TH!N2171=TH!$X$7,O2171=TH!$X$7),"x","")</f>
        <v/>
      </c>
      <c r="Y2171" s="79" t="str">
        <f>IF(AND(OR(N2171="131",O2171="131"),H2171='131-CT'!$H$9),"x","")</f>
        <v/>
      </c>
      <c r="Z2171" s="79"/>
      <c r="AA2171" s="79" t="str">
        <f>IF(AND(MONTH(E2171)='IN-NX'!$J$5,'IN-NX'!$D$7=D2171),"x","")</f>
        <v/>
      </c>
      <c r="AB2171" s="79" t="str">
        <f>IF(AND(OR(LEFT(TH!N2171,2)="15",LEFT(TH!O2171,2)="15"),LEFT(TH!O2171,3)&lt;&gt;"111",'152-CT'!$J$8=TH!F2171),"x","")</f>
        <v/>
      </c>
      <c r="AC2171" s="79" t="str">
        <f>IF(AND(OR(LEFT(TH!N2171,2)="15",LEFT(TH!O2171,2)="15"),TK!$E$7=TH!F2171),"x","")</f>
        <v/>
      </c>
      <c r="AD2171" s="79" t="str">
        <f>IF(AND(N2171="1521",MONTH(C2171)='BK-NL'!$M$11),"x","")</f>
        <v/>
      </c>
    </row>
    <row r="2172" spans="1:30" ht="16.5" customHeight="1">
      <c r="A2172" s="318" t="str">
        <f>IF(B2172&lt;&gt;"",IF(AND(B2172='IN-TC'!$S$4,OR(TH!N2172="1111",TH!O2172="1111")),TH!D2172,""),"")</f>
        <v/>
      </c>
      <c r="B2172" s="60" t="str">
        <f t="shared" si="235"/>
        <v/>
      </c>
      <c r="C2172" s="301"/>
      <c r="D2172" s="301"/>
      <c r="E2172" s="301"/>
      <c r="F2172" s="69"/>
      <c r="G2172" s="968"/>
      <c r="H2172" s="303"/>
      <c r="I2172" s="385"/>
      <c r="J2172" s="969"/>
      <c r="K2172" s="385"/>
      <c r="L2172" s="392"/>
      <c r="M2172" s="970"/>
      <c r="N2172" s="304"/>
      <c r="O2172" s="304"/>
      <c r="P2172" s="79" t="str">
        <f>IF(AND('331-CT'!$E$7=TH!H2172,OR(N2172="331",O2172="331")),"x","")</f>
        <v/>
      </c>
      <c r="Q2172" s="79" t="str">
        <f>IF(AND(B2172='111'!$L$11,OR($N2172=$Q$7,$O2172=$Q$7)),"x","")</f>
        <v/>
      </c>
      <c r="R2172" s="79" t="str">
        <f>IF(AND($N2172=$Q$7,$B2172&lt;'111'!$L$11),"x","")</f>
        <v/>
      </c>
      <c r="S2172" s="79" t="str">
        <f>IF(AND($O2172=$Q$7,$B2172&lt;'111'!$L$11),"x","")</f>
        <v/>
      </c>
      <c r="T2172" s="79" t="str">
        <f>IF(ISERROR(FIND('112'!$M$9,G2172,1)),"",IF((AND(FIND('112'!$M$9,G2172,1)&gt;=1,B2172='112'!$K$9,OR($N2172='112'!$I$6,$O2172='112'!$I$6))),"x",""))</f>
        <v/>
      </c>
      <c r="U2172" s="79" t="str">
        <f>IF(ISERROR(FIND('112'!$M$9,G2172,1)),"",IF((AND(LEFT(G2172,2)=LEFT('112'!$M$9,2),B2172&lt;'112'!$K$9,$N2172='112'!$I$6)),"x",""))</f>
        <v/>
      </c>
      <c r="V2172" s="79" t="str">
        <f>IF(ISERROR(FIND('112'!$M$9,G2172,1)),"",IF((AND(RIGHT(G2172,2)=RIGHT('112'!$M$9,2),B2172&lt;'112'!$K$9,$O2172='112'!$I$6)),"x",""))</f>
        <v/>
      </c>
      <c r="W2172" s="79" t="str">
        <f>IF(AND('341-CT'!$H$9=H2172,OR(LEFT(N2172,3)=$W$7,LEFT(O2172,3)=$W$7)),"x","")</f>
        <v/>
      </c>
      <c r="X2172" s="79" t="str">
        <f>IF(OR(TH!N2172=TH!$X$7,O2172=TH!$X$7),"x","")</f>
        <v/>
      </c>
      <c r="Y2172" s="79" t="str">
        <f>IF(AND(OR(N2172="131",O2172="131"),H2172='131-CT'!$H$9),"x","")</f>
        <v/>
      </c>
      <c r="Z2172" s="79"/>
      <c r="AA2172" s="79" t="str">
        <f>IF(AND(MONTH(E2172)='IN-NX'!$J$5,'IN-NX'!$D$7=D2172),"x","")</f>
        <v/>
      </c>
      <c r="AB2172" s="79" t="str">
        <f>IF(AND(OR(LEFT(TH!N2172,2)="15",LEFT(TH!O2172,2)="15"),LEFT(TH!O2172,3)&lt;&gt;"111",'152-CT'!$J$8=TH!F2172),"x","")</f>
        <v/>
      </c>
      <c r="AC2172" s="79" t="str">
        <f>IF(AND(OR(LEFT(TH!N2172,2)="15",LEFT(TH!O2172,2)="15"),TK!$E$7=TH!F2172),"x","")</f>
        <v/>
      </c>
      <c r="AD2172" s="79" t="str">
        <f>IF(AND(N2172="1521",MONTH(C2172)='BK-NL'!$M$11),"x","")</f>
        <v/>
      </c>
    </row>
    <row r="2173" spans="1:30" ht="16.5" customHeight="1">
      <c r="A2173" s="318" t="str">
        <f>IF(B2173&lt;&gt;"",IF(AND(B2173='IN-TC'!$S$4,OR(TH!N2173="1111",TH!O2173="1111")),TH!D2173,""),"")</f>
        <v/>
      </c>
      <c r="B2173" s="60" t="str">
        <f t="shared" si="235"/>
        <v/>
      </c>
      <c r="C2173" s="301"/>
      <c r="D2173" s="301"/>
      <c r="E2173" s="301"/>
      <c r="F2173" s="69"/>
      <c r="G2173" s="968"/>
      <c r="H2173" s="303"/>
      <c r="I2173" s="385"/>
      <c r="J2173" s="969"/>
      <c r="K2173" s="385"/>
      <c r="L2173" s="392"/>
      <c r="M2173" s="970"/>
      <c r="N2173" s="304"/>
      <c r="O2173" s="304"/>
      <c r="P2173" s="79" t="str">
        <f>IF(AND('331-CT'!$E$7=TH!H2173,OR(N2173="331",O2173="331")),"x","")</f>
        <v/>
      </c>
      <c r="Q2173" s="79" t="str">
        <f>IF(AND(B2173='111'!$L$11,OR($N2173=$Q$7,$O2173=$Q$7)),"x","")</f>
        <v/>
      </c>
      <c r="R2173" s="79" t="str">
        <f>IF(AND($N2173=$Q$7,$B2173&lt;'111'!$L$11),"x","")</f>
        <v/>
      </c>
      <c r="S2173" s="79" t="str">
        <f>IF(AND($O2173=$Q$7,$B2173&lt;'111'!$L$11),"x","")</f>
        <v/>
      </c>
      <c r="T2173" s="79" t="str">
        <f>IF(ISERROR(FIND('112'!$M$9,G2173,1)),"",IF((AND(FIND('112'!$M$9,G2173,1)&gt;=1,B2173='112'!$K$9,OR($N2173='112'!$I$6,$O2173='112'!$I$6))),"x",""))</f>
        <v/>
      </c>
      <c r="U2173" s="79" t="str">
        <f>IF(ISERROR(FIND('112'!$M$9,G2173,1)),"",IF((AND(LEFT(G2173,2)=LEFT('112'!$M$9,2),B2173&lt;'112'!$K$9,$N2173='112'!$I$6)),"x",""))</f>
        <v/>
      </c>
      <c r="V2173" s="79" t="str">
        <f>IF(ISERROR(FIND('112'!$M$9,G2173,1)),"",IF((AND(RIGHT(G2173,2)=RIGHT('112'!$M$9,2),B2173&lt;'112'!$K$9,$O2173='112'!$I$6)),"x",""))</f>
        <v/>
      </c>
      <c r="W2173" s="79" t="str">
        <f>IF(AND('341-CT'!$H$9=H2173,OR(LEFT(N2173,3)=$W$7,LEFT(O2173,3)=$W$7)),"x","")</f>
        <v/>
      </c>
      <c r="X2173" s="79" t="str">
        <f>IF(OR(TH!N2173=TH!$X$7,O2173=TH!$X$7),"x","")</f>
        <v/>
      </c>
      <c r="Y2173" s="79" t="str">
        <f>IF(AND(OR(N2173="131",O2173="131"),H2173='131-CT'!$H$9),"x","")</f>
        <v/>
      </c>
      <c r="Z2173" s="79"/>
      <c r="AA2173" s="79" t="str">
        <f>IF(AND(MONTH(E2173)='IN-NX'!$J$5,'IN-NX'!$D$7=D2173),"x","")</f>
        <v/>
      </c>
      <c r="AB2173" s="79" t="str">
        <f>IF(AND(OR(LEFT(TH!N2173,2)="15",LEFT(TH!O2173,2)="15"),LEFT(TH!O2173,3)&lt;&gt;"111",'152-CT'!$J$8=TH!F2173),"x","")</f>
        <v/>
      </c>
      <c r="AC2173" s="79" t="str">
        <f>IF(AND(OR(LEFT(TH!N2173,2)="15",LEFT(TH!O2173,2)="15"),TK!$E$7=TH!F2173),"x","")</f>
        <v/>
      </c>
      <c r="AD2173" s="79" t="str">
        <f>IF(AND(N2173="1521",MONTH(C2173)='BK-NL'!$M$11),"x","")</f>
        <v/>
      </c>
    </row>
    <row r="2174" spans="1:30" ht="16.5" customHeight="1">
      <c r="A2174" s="318" t="str">
        <f>IF(B2174&lt;&gt;"",IF(AND(B2174='IN-TC'!$S$4,OR(TH!N2174="1111",TH!O2174="1111")),TH!D2174,""),"")</f>
        <v/>
      </c>
      <c r="B2174" s="60" t="str">
        <f t="shared" si="235"/>
        <v/>
      </c>
      <c r="C2174" s="301"/>
      <c r="D2174" s="301"/>
      <c r="E2174" s="301"/>
      <c r="F2174" s="69"/>
      <c r="G2174" s="968"/>
      <c r="H2174" s="303"/>
      <c r="I2174" s="385"/>
      <c r="J2174" s="969"/>
      <c r="K2174" s="385"/>
      <c r="L2174" s="392"/>
      <c r="M2174" s="970"/>
      <c r="N2174" s="304"/>
      <c r="O2174" s="304"/>
      <c r="P2174" s="79" t="str">
        <f>IF(AND('331-CT'!$E$7=TH!H2174,OR(N2174="331",O2174="331")),"x","")</f>
        <v/>
      </c>
      <c r="Q2174" s="79" t="str">
        <f>IF(AND(B2174='111'!$L$11,OR($N2174=$Q$7,$O2174=$Q$7)),"x","")</f>
        <v/>
      </c>
      <c r="R2174" s="79" t="str">
        <f>IF(AND($N2174=$Q$7,$B2174&lt;'111'!$L$11),"x","")</f>
        <v/>
      </c>
      <c r="S2174" s="79" t="str">
        <f>IF(AND($O2174=$Q$7,$B2174&lt;'111'!$L$11),"x","")</f>
        <v/>
      </c>
      <c r="T2174" s="79" t="str">
        <f>IF(ISERROR(FIND('112'!$M$9,G2174,1)),"",IF((AND(FIND('112'!$M$9,G2174,1)&gt;=1,B2174='112'!$K$9,OR($N2174='112'!$I$6,$O2174='112'!$I$6))),"x",""))</f>
        <v/>
      </c>
      <c r="U2174" s="79" t="str">
        <f>IF(ISERROR(FIND('112'!$M$9,G2174,1)),"",IF((AND(LEFT(G2174,2)=LEFT('112'!$M$9,2),B2174&lt;'112'!$K$9,$N2174='112'!$I$6)),"x",""))</f>
        <v/>
      </c>
      <c r="V2174" s="79" t="str">
        <f>IF(ISERROR(FIND('112'!$M$9,G2174,1)),"",IF((AND(RIGHT(G2174,2)=RIGHT('112'!$M$9,2),B2174&lt;'112'!$K$9,$O2174='112'!$I$6)),"x",""))</f>
        <v/>
      </c>
      <c r="W2174" s="79" t="str">
        <f>IF(AND('341-CT'!$H$9=H2174,OR(LEFT(N2174,3)=$W$7,LEFT(O2174,3)=$W$7)),"x","")</f>
        <v/>
      </c>
      <c r="X2174" s="79" t="str">
        <f>IF(OR(TH!N2174=TH!$X$7,O2174=TH!$X$7),"x","")</f>
        <v/>
      </c>
      <c r="Y2174" s="79" t="str">
        <f>IF(AND(OR(N2174="131",O2174="131"),H2174='131-CT'!$H$9),"x","")</f>
        <v/>
      </c>
      <c r="Z2174" s="79"/>
      <c r="AA2174" s="79" t="str">
        <f>IF(AND(MONTH(E2174)='IN-NX'!$J$5,'IN-NX'!$D$7=D2174),"x","")</f>
        <v/>
      </c>
      <c r="AB2174" s="79" t="str">
        <f>IF(AND(OR(LEFT(TH!N2174,2)="15",LEFT(TH!O2174,2)="15"),LEFT(TH!O2174,3)&lt;&gt;"111",'152-CT'!$J$8=TH!F2174),"x","")</f>
        <v/>
      </c>
      <c r="AC2174" s="79" t="str">
        <f>IF(AND(OR(LEFT(TH!N2174,2)="15",LEFT(TH!O2174,2)="15"),TK!$E$7=TH!F2174),"x","")</f>
        <v/>
      </c>
      <c r="AD2174" s="79" t="str">
        <f>IF(AND(N2174="1521",MONTH(C2174)='BK-NL'!$M$11),"x","")</f>
        <v/>
      </c>
    </row>
    <row r="2175" spans="1:30" ht="16.5" customHeight="1">
      <c r="A2175" s="318" t="str">
        <f>IF(B2175&lt;&gt;"",IF(AND(B2175='IN-TC'!$S$4,OR(TH!N2175="1111",TH!O2175="1111")),TH!D2175,""),"")</f>
        <v/>
      </c>
      <c r="B2175" s="60" t="str">
        <f t="shared" ref="B2175:B2226" si="236">IF(C2175&lt;&gt;"",MONTH(C2175),"")</f>
        <v/>
      </c>
      <c r="C2175" s="301"/>
      <c r="D2175" s="301"/>
      <c r="E2175" s="301"/>
      <c r="F2175" s="69"/>
      <c r="G2175" s="968"/>
      <c r="H2175" s="303"/>
      <c r="I2175" s="385"/>
      <c r="J2175" s="969"/>
      <c r="K2175" s="385"/>
      <c r="L2175" s="392"/>
      <c r="M2175" s="970"/>
      <c r="N2175" s="304"/>
      <c r="O2175" s="304"/>
      <c r="P2175" s="79" t="str">
        <f>IF(AND('331-CT'!$E$7=TH!H2175,OR(N2175="331",O2175="331")),"x","")</f>
        <v/>
      </c>
      <c r="Q2175" s="79" t="str">
        <f>IF(AND(B2175='111'!$L$11,OR($N2175=$Q$7,$O2175=$Q$7)),"x","")</f>
        <v/>
      </c>
      <c r="R2175" s="79" t="str">
        <f>IF(AND($N2175=$Q$7,$B2175&lt;'111'!$L$11),"x","")</f>
        <v/>
      </c>
      <c r="S2175" s="79" t="str">
        <f>IF(AND($O2175=$Q$7,$B2175&lt;'111'!$L$11),"x","")</f>
        <v/>
      </c>
      <c r="T2175" s="79" t="str">
        <f>IF(ISERROR(FIND('112'!$M$9,G2175,1)),"",IF((AND(FIND('112'!$M$9,G2175,1)&gt;=1,B2175='112'!$K$9,OR($N2175='112'!$I$6,$O2175='112'!$I$6))),"x",""))</f>
        <v/>
      </c>
      <c r="U2175" s="79" t="str">
        <f>IF(ISERROR(FIND('112'!$M$9,G2175,1)),"",IF((AND(LEFT(G2175,2)=LEFT('112'!$M$9,2),B2175&lt;'112'!$K$9,$N2175='112'!$I$6)),"x",""))</f>
        <v/>
      </c>
      <c r="V2175" s="79" t="str">
        <f>IF(ISERROR(FIND('112'!$M$9,G2175,1)),"",IF((AND(RIGHT(G2175,2)=RIGHT('112'!$M$9,2),B2175&lt;'112'!$K$9,$O2175='112'!$I$6)),"x",""))</f>
        <v/>
      </c>
      <c r="W2175" s="79" t="str">
        <f>IF(AND('341-CT'!$H$9=H2175,OR(LEFT(N2175,3)=$W$7,LEFT(O2175,3)=$W$7)),"x","")</f>
        <v/>
      </c>
      <c r="X2175" s="79" t="str">
        <f>IF(OR(TH!N2175=TH!$X$7,O2175=TH!$X$7),"x","")</f>
        <v/>
      </c>
      <c r="Y2175" s="79" t="str">
        <f>IF(AND(OR(N2175="131",O2175="131"),H2175='131-CT'!$H$9),"x","")</f>
        <v/>
      </c>
      <c r="Z2175" s="79"/>
      <c r="AA2175" s="79" t="str">
        <f>IF(AND(MONTH(E2175)='IN-NX'!$J$5,'IN-NX'!$D$7=D2175),"x","")</f>
        <v/>
      </c>
      <c r="AB2175" s="79" t="str">
        <f>IF(AND(OR(LEFT(TH!N2175,2)="15",LEFT(TH!O2175,2)="15"),LEFT(TH!O2175,3)&lt;&gt;"111",'152-CT'!$J$8=TH!F2175),"x","")</f>
        <v/>
      </c>
      <c r="AC2175" s="79" t="str">
        <f>IF(AND(OR(LEFT(TH!N2175,2)="15",LEFT(TH!O2175,2)="15"),TK!$E$7=TH!F2175),"x","")</f>
        <v/>
      </c>
      <c r="AD2175" s="79" t="str">
        <f>IF(AND(N2175="1521",MONTH(C2175)='BK-NL'!$M$11),"x","")</f>
        <v/>
      </c>
    </row>
    <row r="2176" spans="1:30" ht="16.5" customHeight="1">
      <c r="A2176" s="318" t="str">
        <f>IF(B2176&lt;&gt;"",IF(AND(B2176='IN-TC'!$S$4,OR(TH!N2176="1111",TH!O2176="1111")),TH!D2176,""),"")</f>
        <v/>
      </c>
      <c r="B2176" s="60" t="str">
        <f t="shared" si="236"/>
        <v/>
      </c>
      <c r="C2176" s="974"/>
      <c r="D2176" s="301"/>
      <c r="E2176" s="974"/>
      <c r="F2176" s="77"/>
      <c r="G2176" s="976"/>
      <c r="H2176" s="303"/>
      <c r="I2176" s="383"/>
      <c r="J2176" s="977"/>
      <c r="K2176" s="383"/>
      <c r="L2176" s="390"/>
      <c r="M2176" s="978"/>
      <c r="N2176" s="979"/>
      <c r="O2176" s="979"/>
      <c r="P2176" s="79" t="str">
        <f>IF(AND('331-CT'!$E$7=TH!H2176,OR(N2176="331",O2176="331")),"x","")</f>
        <v/>
      </c>
      <c r="Q2176" s="79" t="str">
        <f>IF(AND(B2176='111'!$L$11,OR($N2176=$Q$7,$O2176=$Q$7)),"x","")</f>
        <v/>
      </c>
      <c r="R2176" s="79" t="str">
        <f>IF(AND($N2176=$Q$7,$B2176&lt;'111'!$L$11),"x","")</f>
        <v/>
      </c>
      <c r="S2176" s="79" t="str">
        <f>IF(AND($O2176=$Q$7,$B2176&lt;'111'!$L$11),"x","")</f>
        <v/>
      </c>
      <c r="T2176" s="79" t="str">
        <f>IF(ISERROR(FIND('112'!$M$9,G2176,1)),"",IF((AND(FIND('112'!$M$9,G2176,1)&gt;=1,B2176='112'!$K$9,OR($N2176='112'!$I$6,$O2176='112'!$I$6))),"x",""))</f>
        <v/>
      </c>
      <c r="U2176" s="79" t="str">
        <f>IF(ISERROR(FIND('112'!$M$9,G2176,1)),"",IF((AND(LEFT(G2176,2)=LEFT('112'!$M$9,2),B2176&lt;'112'!$K$9,$N2176='112'!$I$6)),"x",""))</f>
        <v/>
      </c>
      <c r="V2176" s="79" t="str">
        <f>IF(ISERROR(FIND('112'!$M$9,G2176,1)),"",IF((AND(RIGHT(G2176,2)=RIGHT('112'!$M$9,2),B2176&lt;'112'!$K$9,$O2176='112'!$I$6)),"x",""))</f>
        <v/>
      </c>
      <c r="W2176" s="79" t="str">
        <f>IF(AND('341-CT'!$H$9=H2176,OR(LEFT(N2176,3)=$W$7,LEFT(O2176,3)=$W$7)),"x","")</f>
        <v/>
      </c>
      <c r="X2176" s="79" t="str">
        <f>IF(OR(TH!N2176=TH!$X$7,O2176=TH!$X$7),"x","")</f>
        <v/>
      </c>
      <c r="Y2176" s="79" t="str">
        <f>IF(AND(OR(N2176="131",O2176="131"),H2176='131-CT'!$H$9),"x","")</f>
        <v/>
      </c>
      <c r="Z2176" s="79"/>
      <c r="AA2176" s="79" t="str">
        <f>IF(AND(MONTH(E2176)='IN-NX'!$J$5,'IN-NX'!$D$7=D2176),"x","")</f>
        <v/>
      </c>
      <c r="AB2176" s="79" t="str">
        <f>IF(AND(OR(LEFT(TH!N2176,2)="15",LEFT(TH!O2176,2)="15"),LEFT(TH!O2176,3)&lt;&gt;"111",'152-CT'!$J$8=TH!F2176),"x","")</f>
        <v/>
      </c>
      <c r="AC2176" s="79" t="str">
        <f>IF(AND(OR(LEFT(TH!N2176,2)="15",LEFT(TH!O2176,2)="15"),TK!$E$7=TH!F2176),"x","")</f>
        <v/>
      </c>
      <c r="AD2176" s="79" t="str">
        <f>IF(AND(N2176="1521",MONTH(C2176)='BK-NL'!$M$11),"x","")</f>
        <v/>
      </c>
    </row>
    <row r="2177" spans="1:30" ht="16.5" customHeight="1">
      <c r="A2177" s="318" t="str">
        <f>IF(B2177&lt;&gt;"",IF(AND(B2177='IN-TC'!$S$4,OR(TH!N2177="1111",TH!O2177="1111")),TH!D2177,""),"")</f>
        <v/>
      </c>
      <c r="B2177" s="60" t="str">
        <f t="shared" si="236"/>
        <v/>
      </c>
      <c r="C2177" s="301"/>
      <c r="D2177" s="301"/>
      <c r="E2177" s="301"/>
      <c r="F2177" s="69"/>
      <c r="G2177" s="968"/>
      <c r="H2177" s="303"/>
      <c r="I2177" s="385"/>
      <c r="J2177" s="969"/>
      <c r="K2177" s="385"/>
      <c r="L2177" s="392"/>
      <c r="M2177" s="970"/>
      <c r="N2177" s="304"/>
      <c r="O2177" s="304"/>
      <c r="P2177" s="79" t="str">
        <f>IF(AND('331-CT'!$E$7=TH!H2177,OR(N2177="331",O2177="331")),"x","")</f>
        <v/>
      </c>
      <c r="Q2177" s="79" t="str">
        <f>IF(AND(B2177='111'!$L$11,OR($N2177=$Q$7,$O2177=$Q$7)),"x","")</f>
        <v/>
      </c>
      <c r="R2177" s="79" t="str">
        <f>IF(AND($N2177=$Q$7,$B2177&lt;'111'!$L$11),"x","")</f>
        <v/>
      </c>
      <c r="S2177" s="79" t="str">
        <f>IF(AND($O2177=$Q$7,$B2177&lt;'111'!$L$11),"x","")</f>
        <v/>
      </c>
      <c r="T2177" s="79" t="str">
        <f>IF(ISERROR(FIND('112'!$M$9,G2177,1)),"",IF((AND(FIND('112'!$M$9,G2177,1)&gt;=1,B2177='112'!$K$9,OR($N2177='112'!$I$6,$O2177='112'!$I$6))),"x",""))</f>
        <v/>
      </c>
      <c r="U2177" s="79" t="str">
        <f>IF(ISERROR(FIND('112'!$M$9,G2177,1)),"",IF((AND(LEFT(G2177,2)=LEFT('112'!$M$9,2),B2177&lt;'112'!$K$9,$N2177='112'!$I$6)),"x",""))</f>
        <v/>
      </c>
      <c r="V2177" s="79" t="str">
        <f>IF(ISERROR(FIND('112'!$M$9,G2177,1)),"",IF((AND(RIGHT(G2177,2)=RIGHT('112'!$M$9,2),B2177&lt;'112'!$K$9,$O2177='112'!$I$6)),"x",""))</f>
        <v/>
      </c>
      <c r="W2177" s="79" t="str">
        <f>IF(AND('341-CT'!$H$9=H2177,OR(LEFT(N2177,3)=$W$7,LEFT(O2177,3)=$W$7)),"x","")</f>
        <v/>
      </c>
      <c r="X2177" s="79" t="str">
        <f>IF(OR(TH!N2177=TH!$X$7,O2177=TH!$X$7),"x","")</f>
        <v/>
      </c>
      <c r="Y2177" s="79" t="str">
        <f>IF(AND(OR(N2177="131",O2177="131"),H2177='131-CT'!$H$9),"x","")</f>
        <v/>
      </c>
      <c r="Z2177" s="79"/>
      <c r="AA2177" s="79" t="str">
        <f>IF(AND(MONTH(E2177)='IN-NX'!$J$5,'IN-NX'!$D$7=D2177),"x","")</f>
        <v/>
      </c>
      <c r="AB2177" s="79" t="str">
        <f>IF(AND(OR(LEFT(TH!N2177,2)="15",LEFT(TH!O2177,2)="15"),LEFT(TH!O2177,3)&lt;&gt;"111",'152-CT'!$J$8=TH!F2177),"x","")</f>
        <v/>
      </c>
      <c r="AC2177" s="79" t="str">
        <f>IF(AND(OR(LEFT(TH!N2177,2)="15",LEFT(TH!O2177,2)="15"),TK!$E$7=TH!F2177),"x","")</f>
        <v/>
      </c>
      <c r="AD2177" s="79" t="str">
        <f>IF(AND(N2177="1521",MONTH(C2177)='BK-NL'!$M$11),"x","")</f>
        <v/>
      </c>
    </row>
    <row r="2178" spans="1:30" ht="16.5" customHeight="1">
      <c r="A2178" s="318" t="str">
        <f>IF(B2178&lt;&gt;"",IF(AND(B2178='IN-TC'!$S$4,OR(TH!N2178="1111",TH!O2178="1111")),TH!D2178,""),"")</f>
        <v/>
      </c>
      <c r="B2178" s="60" t="str">
        <f t="shared" si="236"/>
        <v/>
      </c>
      <c r="C2178" s="301"/>
      <c r="D2178" s="301"/>
      <c r="E2178" s="301"/>
      <c r="F2178" s="69"/>
      <c r="G2178" s="988"/>
      <c r="H2178" s="303"/>
      <c r="I2178" s="385"/>
      <c r="J2178" s="969"/>
      <c r="K2178" s="385"/>
      <c r="L2178" s="392"/>
      <c r="M2178" s="970"/>
      <c r="N2178" s="304"/>
      <c r="O2178" s="304"/>
      <c r="P2178" s="79" t="str">
        <f>IF(AND('331-CT'!$E$7=TH!H2178,OR(N2178="331",O2178="331")),"x","")</f>
        <v/>
      </c>
      <c r="Q2178" s="79" t="str">
        <f>IF(AND(B2178='111'!$L$11,OR($N2178=$Q$7,$O2178=$Q$7)),"x","")</f>
        <v/>
      </c>
      <c r="R2178" s="79" t="str">
        <f>IF(AND($N2178=$Q$7,$B2178&lt;'111'!$L$11),"x","")</f>
        <v/>
      </c>
      <c r="S2178" s="79" t="str">
        <f>IF(AND($O2178=$Q$7,$B2178&lt;'111'!$L$11),"x","")</f>
        <v/>
      </c>
      <c r="T2178" s="79" t="str">
        <f>IF(ISERROR(FIND('112'!$M$9,G2178,1)),"",IF((AND(FIND('112'!$M$9,G2178,1)&gt;=1,B2178='112'!$K$9,OR($N2178='112'!$I$6,$O2178='112'!$I$6))),"x",""))</f>
        <v/>
      </c>
      <c r="U2178" s="79" t="str">
        <f>IF(ISERROR(FIND('112'!$M$9,G2178,1)),"",IF((AND(LEFT(G2178,2)=LEFT('112'!$M$9,2),B2178&lt;'112'!$K$9,$N2178='112'!$I$6)),"x",""))</f>
        <v/>
      </c>
      <c r="V2178" s="79" t="str">
        <f>IF(ISERROR(FIND('112'!$M$9,G2178,1)),"",IF((AND(RIGHT(G2178,2)=RIGHT('112'!$M$9,2),B2178&lt;'112'!$K$9,$O2178='112'!$I$6)),"x",""))</f>
        <v/>
      </c>
      <c r="W2178" s="79" t="str">
        <f>IF(AND('341-CT'!$H$9=H2178,OR(LEFT(N2178,3)=$W$7,LEFT(O2178,3)=$W$7)),"x","")</f>
        <v/>
      </c>
      <c r="X2178" s="79" t="str">
        <f>IF(OR(TH!N2178=TH!$X$7,O2178=TH!$X$7),"x","")</f>
        <v/>
      </c>
      <c r="Y2178" s="79" t="str">
        <f>IF(AND(OR(N2178="131",O2178="131"),H2178='131-CT'!$H$9),"x","")</f>
        <v/>
      </c>
      <c r="Z2178" s="79"/>
      <c r="AA2178" s="79" t="str">
        <f>IF(AND(MONTH(E2178)='IN-NX'!$J$5,'IN-NX'!$D$7=D2178),"x","")</f>
        <v/>
      </c>
      <c r="AB2178" s="79" t="str">
        <f>IF(AND(OR(LEFT(TH!N2178,2)="15",LEFT(TH!O2178,2)="15"),LEFT(TH!O2178,3)&lt;&gt;"111",'152-CT'!$J$8=TH!F2178),"x","")</f>
        <v/>
      </c>
      <c r="AC2178" s="79" t="str">
        <f>IF(AND(OR(LEFT(TH!N2178,2)="15",LEFT(TH!O2178,2)="15"),TK!$E$7=TH!F2178),"x","")</f>
        <v/>
      </c>
      <c r="AD2178" s="79" t="str">
        <f>IF(AND(N2178="1521",MONTH(C2178)='BK-NL'!$M$11),"x","")</f>
        <v/>
      </c>
    </row>
    <row r="2179" spans="1:30" ht="16.5" customHeight="1">
      <c r="A2179" s="318" t="str">
        <f>IF(B2179&lt;&gt;"",IF(AND(B2179='IN-TC'!$S$4,OR(TH!N2179="1111",TH!O2179="1111")),TH!D2179,""),"")</f>
        <v/>
      </c>
      <c r="B2179" s="60" t="str">
        <f t="shared" si="236"/>
        <v/>
      </c>
      <c r="C2179" s="301"/>
      <c r="D2179" s="301"/>
      <c r="E2179" s="301"/>
      <c r="F2179" s="69"/>
      <c r="G2179" s="988"/>
      <c r="H2179" s="303"/>
      <c r="I2179" s="385"/>
      <c r="J2179" s="969"/>
      <c r="K2179" s="385"/>
      <c r="L2179" s="392"/>
      <c r="M2179" s="970"/>
      <c r="N2179" s="304"/>
      <c r="O2179" s="304"/>
      <c r="P2179" s="79" t="str">
        <f>IF(AND('331-CT'!$E$7=TH!H2179,OR(N2179="331",O2179="331")),"x","")</f>
        <v/>
      </c>
      <c r="Q2179" s="79" t="str">
        <f>IF(AND(B2179='111'!$L$11,OR($N2179=$Q$7,$O2179=$Q$7)),"x","")</f>
        <v/>
      </c>
      <c r="R2179" s="79" t="str">
        <f>IF(AND($N2179=$Q$7,$B2179&lt;'111'!$L$11),"x","")</f>
        <v/>
      </c>
      <c r="S2179" s="79" t="str">
        <f>IF(AND($O2179=$Q$7,$B2179&lt;'111'!$L$11),"x","")</f>
        <v/>
      </c>
      <c r="T2179" s="79" t="str">
        <f>IF(ISERROR(FIND('112'!$M$9,G2179,1)),"",IF((AND(FIND('112'!$M$9,G2179,1)&gt;=1,B2179='112'!$K$9,OR($N2179='112'!$I$6,$O2179='112'!$I$6))),"x",""))</f>
        <v/>
      </c>
      <c r="U2179" s="79" t="str">
        <f>IF(ISERROR(FIND('112'!$M$9,G2179,1)),"",IF((AND(LEFT(G2179,2)=LEFT('112'!$M$9,2),B2179&lt;'112'!$K$9,$N2179='112'!$I$6)),"x",""))</f>
        <v/>
      </c>
      <c r="V2179" s="79" t="str">
        <f>IF(ISERROR(FIND('112'!$M$9,G2179,1)),"",IF((AND(RIGHT(G2179,2)=RIGHT('112'!$M$9,2),B2179&lt;'112'!$K$9,$O2179='112'!$I$6)),"x",""))</f>
        <v/>
      </c>
      <c r="W2179" s="79" t="str">
        <f>IF(AND('341-CT'!$H$9=H2179,OR(LEFT(N2179,3)=$W$7,LEFT(O2179,3)=$W$7)),"x","")</f>
        <v/>
      </c>
      <c r="X2179" s="79" t="str">
        <f>IF(OR(TH!N2179=TH!$X$7,O2179=TH!$X$7),"x","")</f>
        <v/>
      </c>
      <c r="Y2179" s="79" t="str">
        <f>IF(AND(OR(N2179="131",O2179="131"),H2179='131-CT'!$H$9),"x","")</f>
        <v/>
      </c>
      <c r="Z2179" s="79"/>
      <c r="AA2179" s="79" t="str">
        <f>IF(AND(MONTH(E2179)='IN-NX'!$J$5,'IN-NX'!$D$7=D2179),"x","")</f>
        <v/>
      </c>
      <c r="AB2179" s="79" t="str">
        <f>IF(AND(OR(LEFT(TH!N2179,2)="15",LEFT(TH!O2179,2)="15"),LEFT(TH!O2179,3)&lt;&gt;"111",'152-CT'!$J$8=TH!F2179),"x","")</f>
        <v/>
      </c>
      <c r="AC2179" s="79" t="str">
        <f>IF(AND(OR(LEFT(TH!N2179,2)="15",LEFT(TH!O2179,2)="15"),TK!$E$7=TH!F2179),"x","")</f>
        <v/>
      </c>
      <c r="AD2179" s="79" t="str">
        <f>IF(AND(N2179="1521",MONTH(C2179)='BK-NL'!$M$11),"x","")</f>
        <v/>
      </c>
    </row>
    <row r="2180" spans="1:30" ht="16.5" customHeight="1">
      <c r="A2180" s="318" t="str">
        <f>IF(B2180&lt;&gt;"",IF(AND(B2180='IN-TC'!$S$4,OR(TH!N2180="1111",TH!O2180="1111")),TH!D2180,""),"")</f>
        <v/>
      </c>
      <c r="B2180" s="60" t="str">
        <f t="shared" si="236"/>
        <v/>
      </c>
      <c r="C2180" s="301"/>
      <c r="D2180" s="301"/>
      <c r="E2180" s="301"/>
      <c r="F2180" s="69"/>
      <c r="G2180" s="988"/>
      <c r="H2180" s="303"/>
      <c r="I2180" s="385"/>
      <c r="J2180" s="969"/>
      <c r="K2180" s="385"/>
      <c r="L2180" s="392"/>
      <c r="M2180" s="970"/>
      <c r="N2180" s="304"/>
      <c r="O2180" s="304"/>
      <c r="P2180" s="79" t="str">
        <f>IF(AND('331-CT'!$E$7=TH!H2180,OR(N2180="331",O2180="331")),"x","")</f>
        <v/>
      </c>
      <c r="Q2180" s="79" t="str">
        <f>IF(AND(B2180='111'!$L$11,OR($N2180=$Q$7,$O2180=$Q$7)),"x","")</f>
        <v/>
      </c>
      <c r="R2180" s="79" t="str">
        <f>IF(AND($N2180=$Q$7,$B2180&lt;'111'!$L$11),"x","")</f>
        <v/>
      </c>
      <c r="S2180" s="79" t="str">
        <f>IF(AND($O2180=$Q$7,$B2180&lt;'111'!$L$11),"x","")</f>
        <v/>
      </c>
      <c r="T2180" s="79" t="str">
        <f>IF(ISERROR(FIND('112'!$M$9,G2180,1)),"",IF((AND(FIND('112'!$M$9,G2180,1)&gt;=1,B2180='112'!$K$9,OR($N2180='112'!$I$6,$O2180='112'!$I$6))),"x",""))</f>
        <v/>
      </c>
      <c r="U2180" s="79" t="str">
        <f>IF(ISERROR(FIND('112'!$M$9,G2180,1)),"",IF((AND(LEFT(G2180,2)=LEFT('112'!$M$9,2),B2180&lt;'112'!$K$9,$N2180='112'!$I$6)),"x",""))</f>
        <v/>
      </c>
      <c r="V2180" s="79" t="str">
        <f>IF(ISERROR(FIND('112'!$M$9,G2180,1)),"",IF((AND(RIGHT(G2180,2)=RIGHT('112'!$M$9,2),B2180&lt;'112'!$K$9,$O2180='112'!$I$6)),"x",""))</f>
        <v/>
      </c>
      <c r="W2180" s="79" t="str">
        <f>IF(AND('341-CT'!$H$9=H2180,OR(LEFT(N2180,3)=$W$7,LEFT(O2180,3)=$W$7)),"x","")</f>
        <v/>
      </c>
      <c r="X2180" s="79" t="str">
        <f>IF(OR(TH!N2180=TH!$X$7,O2180=TH!$X$7),"x","")</f>
        <v/>
      </c>
      <c r="Y2180" s="79" t="str">
        <f>IF(AND(OR(N2180="131",O2180="131"),H2180='131-CT'!$H$9),"x","")</f>
        <v/>
      </c>
      <c r="Z2180" s="79"/>
      <c r="AA2180" s="79" t="str">
        <f>IF(AND(MONTH(E2180)='IN-NX'!$J$5,'IN-NX'!$D$7=D2180),"x","")</f>
        <v/>
      </c>
      <c r="AB2180" s="79" t="str">
        <f>IF(AND(OR(LEFT(TH!N2180,2)="15",LEFT(TH!O2180,2)="15"),LEFT(TH!O2180,3)&lt;&gt;"111",'152-CT'!$J$8=TH!F2180),"x","")</f>
        <v/>
      </c>
      <c r="AC2180" s="79" t="str">
        <f>IF(AND(OR(LEFT(TH!N2180,2)="15",LEFT(TH!O2180,2)="15"),TK!$E$7=TH!F2180),"x","")</f>
        <v/>
      </c>
      <c r="AD2180" s="79" t="str">
        <f>IF(AND(N2180="1521",MONTH(C2180)='BK-NL'!$M$11),"x","")</f>
        <v/>
      </c>
    </row>
    <row r="2181" spans="1:30" ht="16.5" customHeight="1">
      <c r="A2181" s="318" t="str">
        <f>IF(B2181&lt;&gt;"",IF(AND(B2181='IN-TC'!$S$4,OR(TH!N2181="1111",TH!O2181="1111")),TH!D2181,""),"")</f>
        <v/>
      </c>
      <c r="B2181" s="60" t="str">
        <f t="shared" si="236"/>
        <v/>
      </c>
      <c r="C2181" s="998"/>
      <c r="D2181" s="998"/>
      <c r="E2181" s="998"/>
      <c r="F2181" s="85"/>
      <c r="G2181" s="1003"/>
      <c r="H2181" s="982"/>
      <c r="I2181" s="984"/>
      <c r="J2181" s="1000"/>
      <c r="K2181" s="984"/>
      <c r="L2181" s="983"/>
      <c r="M2181" s="985"/>
      <c r="N2181" s="1001"/>
      <c r="O2181" s="1001"/>
      <c r="P2181" s="79" t="str">
        <f>IF(AND('331-CT'!$E$7=TH!H2181,OR(N2181="331",O2181="331")),"x","")</f>
        <v/>
      </c>
      <c r="Q2181" s="79" t="str">
        <f>IF(AND(B2181='111'!$L$11,OR($N2181=$Q$7,$O2181=$Q$7)),"x","")</f>
        <v/>
      </c>
      <c r="R2181" s="79" t="str">
        <f>IF(AND($N2181=$Q$7,$B2181&lt;'111'!$L$11),"x","")</f>
        <v/>
      </c>
      <c r="S2181" s="79" t="str">
        <f>IF(AND($O2181=$Q$7,$B2181&lt;'111'!$L$11),"x","")</f>
        <v/>
      </c>
      <c r="T2181" s="79" t="str">
        <f>IF(ISERROR(FIND('112'!$M$9,G2181,1)),"",IF((AND(FIND('112'!$M$9,G2181,1)&gt;=1,B2181='112'!$K$9,OR($N2181='112'!$I$6,$O2181='112'!$I$6))),"x",""))</f>
        <v/>
      </c>
      <c r="U2181" s="79" t="str">
        <f>IF(ISERROR(FIND('112'!$M$9,G2181,1)),"",IF((AND(LEFT(G2181,2)=LEFT('112'!$M$9,2),B2181&lt;'112'!$K$9,$N2181='112'!$I$6)),"x",""))</f>
        <v/>
      </c>
      <c r="V2181" s="79" t="str">
        <f>IF(ISERROR(FIND('112'!$M$9,G2181,1)),"",IF((AND(RIGHT(G2181,2)=RIGHT('112'!$M$9,2),B2181&lt;'112'!$K$9,$O2181='112'!$I$6)),"x",""))</f>
        <v/>
      </c>
      <c r="W2181" s="79" t="str">
        <f>IF(AND('341-CT'!$H$9=H2181,OR(LEFT(N2181,3)=$W$7,LEFT(O2181,3)=$W$7)),"x","")</f>
        <v/>
      </c>
      <c r="X2181" s="79" t="str">
        <f>IF(OR(TH!N2181=TH!$X$7,O2181=TH!$X$7),"x","")</f>
        <v/>
      </c>
      <c r="Y2181" s="79" t="str">
        <f>IF(AND(OR(N2181="131",O2181="131"),H2181='131-CT'!$H$9),"x","")</f>
        <v/>
      </c>
      <c r="Z2181" s="79"/>
      <c r="AA2181" s="79" t="str">
        <f>IF(AND(MONTH(E2181)='IN-NX'!$J$5,'IN-NX'!$D$7=D2181),"x","")</f>
        <v/>
      </c>
      <c r="AB2181" s="79" t="str">
        <f>IF(AND(OR(LEFT(TH!N2181,2)="15",LEFT(TH!O2181,2)="15"),LEFT(TH!O2181,3)&lt;&gt;"111",'152-CT'!$J$8=TH!F2181),"x","")</f>
        <v/>
      </c>
      <c r="AC2181" s="79" t="str">
        <f>IF(AND(OR(LEFT(TH!N2181,2)="15",LEFT(TH!O2181,2)="15"),TK!$E$7=TH!F2181),"x","")</f>
        <v/>
      </c>
      <c r="AD2181" s="79" t="str">
        <f>IF(AND(N2181="1521",MONTH(C2181)='BK-NL'!$M$11),"x","")</f>
        <v/>
      </c>
    </row>
    <row r="2182" spans="1:30" ht="16.5" customHeight="1">
      <c r="A2182" s="318" t="str">
        <f>IF(B2182&lt;&gt;"",IF(AND(B2182='IN-TC'!$S$4,OR(TH!N2182="1111",TH!O2182="1111")),TH!D2182,""),"")</f>
        <v/>
      </c>
      <c r="B2182" s="60" t="str">
        <f t="shared" si="236"/>
        <v/>
      </c>
      <c r="C2182" s="998"/>
      <c r="D2182" s="998"/>
      <c r="E2182" s="998"/>
      <c r="F2182" s="85"/>
      <c r="G2182" s="1003"/>
      <c r="H2182" s="982"/>
      <c r="I2182" s="984"/>
      <c r="J2182" s="1000"/>
      <c r="K2182" s="984"/>
      <c r="L2182" s="983"/>
      <c r="M2182" s="985"/>
      <c r="N2182" s="1001"/>
      <c r="O2182" s="1001"/>
      <c r="P2182" s="79" t="str">
        <f>IF(AND('331-CT'!$E$7=TH!H2182,OR(N2182="331",O2182="331")),"x","")</f>
        <v/>
      </c>
      <c r="Q2182" s="79" t="str">
        <f>IF(AND(B2182='111'!$L$11,OR($N2182=$Q$7,$O2182=$Q$7)),"x","")</f>
        <v/>
      </c>
      <c r="R2182" s="79" t="str">
        <f>IF(AND($N2182=$Q$7,$B2182&lt;'111'!$L$11),"x","")</f>
        <v/>
      </c>
      <c r="S2182" s="79" t="str">
        <f>IF(AND($O2182=$Q$7,$B2182&lt;'111'!$L$11),"x","")</f>
        <v/>
      </c>
      <c r="T2182" s="79" t="str">
        <f>IF(ISERROR(FIND('112'!$M$9,G2182,1)),"",IF((AND(FIND('112'!$M$9,G2182,1)&gt;=1,B2182='112'!$K$9,OR($N2182='112'!$I$6,$O2182='112'!$I$6))),"x",""))</f>
        <v/>
      </c>
      <c r="U2182" s="79" t="str">
        <f>IF(ISERROR(FIND('112'!$M$9,G2182,1)),"",IF((AND(LEFT(G2182,2)=LEFT('112'!$M$9,2),B2182&lt;'112'!$K$9,$N2182='112'!$I$6)),"x",""))</f>
        <v/>
      </c>
      <c r="V2182" s="79" t="str">
        <f>IF(ISERROR(FIND('112'!$M$9,G2182,1)),"",IF((AND(RIGHT(G2182,2)=RIGHT('112'!$M$9,2),B2182&lt;'112'!$K$9,$O2182='112'!$I$6)),"x",""))</f>
        <v/>
      </c>
      <c r="W2182" s="79" t="str">
        <f>IF(AND('341-CT'!$H$9=H2182,OR(LEFT(N2182,3)=$W$7,LEFT(O2182,3)=$W$7)),"x","")</f>
        <v/>
      </c>
      <c r="X2182" s="79" t="str">
        <f>IF(OR(TH!N2182=TH!$X$7,O2182=TH!$X$7),"x","")</f>
        <v/>
      </c>
      <c r="Y2182" s="79" t="str">
        <f>IF(AND(OR(N2182="131",O2182="131"),H2182='131-CT'!$H$9),"x","")</f>
        <v/>
      </c>
      <c r="Z2182" s="79"/>
      <c r="AA2182" s="79" t="str">
        <f>IF(AND(MONTH(E2182)='IN-NX'!$J$5,'IN-NX'!$D$7=D2182),"x","")</f>
        <v/>
      </c>
      <c r="AB2182" s="79" t="str">
        <f>IF(AND(OR(LEFT(TH!N2182,2)="15",LEFT(TH!O2182,2)="15"),LEFT(TH!O2182,3)&lt;&gt;"111",'152-CT'!$J$8=TH!F2182),"x","")</f>
        <v/>
      </c>
      <c r="AC2182" s="79" t="str">
        <f>IF(AND(OR(LEFT(TH!N2182,2)="15",LEFT(TH!O2182,2)="15"),TK!$E$7=TH!F2182),"x","")</f>
        <v/>
      </c>
      <c r="AD2182" s="79" t="str">
        <f>IF(AND(N2182="1521",MONTH(C2182)='BK-NL'!$M$11),"x","")</f>
        <v/>
      </c>
    </row>
    <row r="2183" spans="1:30" ht="16.5" customHeight="1">
      <c r="A2183" s="318" t="str">
        <f>IF(B2183&lt;&gt;"",IF(AND(B2183='IN-TC'!$S$4,OR(TH!N2183="1111",TH!O2183="1111")),TH!D2183,""),"")</f>
        <v/>
      </c>
      <c r="B2183" s="60" t="str">
        <f t="shared" si="236"/>
        <v/>
      </c>
      <c r="C2183" s="974"/>
      <c r="D2183" s="301"/>
      <c r="E2183" s="974"/>
      <c r="F2183" s="1161"/>
      <c r="G2183" s="976"/>
      <c r="H2183" s="305"/>
      <c r="I2183" s="383"/>
      <c r="J2183" s="977"/>
      <c r="K2183" s="383"/>
      <c r="L2183" s="390"/>
      <c r="M2183" s="978"/>
      <c r="N2183" s="979"/>
      <c r="O2183" s="979"/>
      <c r="P2183" s="79" t="str">
        <f>IF(AND('331-CT'!$E$7=TH!H2183,OR(N2183="331",O2183="331")),"x","")</f>
        <v/>
      </c>
      <c r="Q2183" s="79" t="str">
        <f>IF(AND(B2183='111'!$L$11,OR($N2183=$Q$7,$O2183=$Q$7)),"x","")</f>
        <v/>
      </c>
      <c r="R2183" s="79" t="str">
        <f>IF(AND($N2183=$Q$7,$B2183&lt;'111'!$L$11),"x","")</f>
        <v/>
      </c>
      <c r="S2183" s="79" t="str">
        <f>IF(AND($O2183=$Q$7,$B2183&lt;'111'!$L$11),"x","")</f>
        <v/>
      </c>
      <c r="T2183" s="79" t="str">
        <f>IF(ISERROR(FIND('112'!$M$9,G2183,1)),"",IF((AND(FIND('112'!$M$9,G2183,1)&gt;=1,B2183='112'!$K$9,OR($N2183='112'!$I$6,$O2183='112'!$I$6))),"x",""))</f>
        <v/>
      </c>
      <c r="U2183" s="79" t="str">
        <f>IF(ISERROR(FIND('112'!$M$9,G2183,1)),"",IF((AND(LEFT(G2183,2)=LEFT('112'!$M$9,2),B2183&lt;'112'!$K$9,$N2183='112'!$I$6)),"x",""))</f>
        <v/>
      </c>
      <c r="V2183" s="79" t="str">
        <f>IF(ISERROR(FIND('112'!$M$9,G2183,1)),"",IF((AND(RIGHT(G2183,2)=RIGHT('112'!$M$9,2),B2183&lt;'112'!$K$9,$O2183='112'!$I$6)),"x",""))</f>
        <v/>
      </c>
      <c r="W2183" s="79" t="str">
        <f>IF(AND('341-CT'!$H$9=H2183,OR(LEFT(N2183,3)=$W$7,LEFT(O2183,3)=$W$7)),"x","")</f>
        <v/>
      </c>
      <c r="X2183" s="79" t="str">
        <f>IF(OR(TH!N2183=TH!$X$7,O2183=TH!$X$7),"x","")</f>
        <v/>
      </c>
      <c r="Y2183" s="79" t="str">
        <f>IF(AND(OR(N2183="131",O2183="131"),H2183='131-CT'!$H$9),"x","")</f>
        <v/>
      </c>
      <c r="Z2183" s="79"/>
      <c r="AA2183" s="79" t="str">
        <f>IF(AND(MONTH(E2183)='IN-NX'!$J$5,'IN-NX'!$D$7=D2183),"x","")</f>
        <v/>
      </c>
      <c r="AB2183" s="79" t="str">
        <f>IF(AND(OR(LEFT(TH!N2183,2)="15",LEFT(TH!O2183,2)="15"),LEFT(TH!O2183,3)&lt;&gt;"111",'152-CT'!$J$8=TH!F2183),"x","")</f>
        <v/>
      </c>
      <c r="AC2183" s="79" t="str">
        <f>IF(AND(OR(LEFT(TH!N2183,2)="15",LEFT(TH!O2183,2)="15"),TK!$E$7=TH!F2183),"x","")</f>
        <v/>
      </c>
      <c r="AD2183" s="79" t="str">
        <f>IF(AND(N2183="1521",MONTH(C2183)='BK-NL'!$M$11),"x","")</f>
        <v/>
      </c>
    </row>
    <row r="2184" spans="1:30" ht="16.5" customHeight="1">
      <c r="A2184" s="318" t="str">
        <f>IF(B2184&lt;&gt;"",IF(AND(B2184='IN-TC'!$S$4,OR(TH!N2184="1111",TH!O2184="1111")),TH!D2184,""),"")</f>
        <v/>
      </c>
      <c r="B2184" s="60" t="str">
        <f t="shared" si="236"/>
        <v/>
      </c>
      <c r="C2184" s="974"/>
      <c r="D2184" s="301"/>
      <c r="E2184" s="974"/>
      <c r="F2184" s="1161"/>
      <c r="G2184" s="976"/>
      <c r="H2184" s="305"/>
      <c r="I2184" s="383"/>
      <c r="J2184" s="977"/>
      <c r="K2184" s="383"/>
      <c r="L2184" s="390"/>
      <c r="M2184" s="978"/>
      <c r="N2184" s="979"/>
      <c r="O2184" s="979"/>
      <c r="P2184" s="79" t="str">
        <f>IF(AND('331-CT'!$E$7=TH!H2184,OR(N2184="331",O2184="331")),"x","")</f>
        <v/>
      </c>
      <c r="Q2184" s="79" t="str">
        <f>IF(AND(B2184='111'!$L$11,OR($N2184=$Q$7,$O2184=$Q$7)),"x","")</f>
        <v/>
      </c>
      <c r="R2184" s="79" t="str">
        <f>IF(AND($N2184=$Q$7,$B2184&lt;'111'!$L$11),"x","")</f>
        <v/>
      </c>
      <c r="S2184" s="79" t="str">
        <f>IF(AND($O2184=$Q$7,$B2184&lt;'111'!$L$11),"x","")</f>
        <v/>
      </c>
      <c r="T2184" s="79" t="str">
        <f>IF(ISERROR(FIND('112'!$M$9,G2184,1)),"",IF((AND(FIND('112'!$M$9,G2184,1)&gt;=1,B2184='112'!$K$9,OR($N2184='112'!$I$6,$O2184='112'!$I$6))),"x",""))</f>
        <v/>
      </c>
      <c r="U2184" s="79" t="str">
        <f>IF(ISERROR(FIND('112'!$M$9,G2184,1)),"",IF((AND(LEFT(G2184,2)=LEFT('112'!$M$9,2),B2184&lt;'112'!$K$9,$N2184='112'!$I$6)),"x",""))</f>
        <v/>
      </c>
      <c r="V2184" s="79" t="str">
        <f>IF(ISERROR(FIND('112'!$M$9,G2184,1)),"",IF((AND(RIGHT(G2184,2)=RIGHT('112'!$M$9,2),B2184&lt;'112'!$K$9,$O2184='112'!$I$6)),"x",""))</f>
        <v/>
      </c>
      <c r="W2184" s="79" t="str">
        <f>IF(AND('341-CT'!$H$9=H2184,OR(LEFT(N2184,3)=$W$7,LEFT(O2184,3)=$W$7)),"x","")</f>
        <v/>
      </c>
      <c r="X2184" s="79" t="str">
        <f>IF(OR(TH!N2184=TH!$X$7,O2184=TH!$X$7),"x","")</f>
        <v/>
      </c>
      <c r="Y2184" s="79" t="str">
        <f>IF(AND(OR(N2184="131",O2184="131"),H2184='131-CT'!$H$9),"x","")</f>
        <v/>
      </c>
      <c r="Z2184" s="79"/>
      <c r="AA2184" s="79" t="str">
        <f>IF(AND(MONTH(E2184)='IN-NX'!$J$5,'IN-NX'!$D$7=D2184),"x","")</f>
        <v/>
      </c>
      <c r="AB2184" s="79" t="str">
        <f>IF(AND(OR(LEFT(TH!N2184,2)="15",LEFT(TH!O2184,2)="15"),LEFT(TH!O2184,3)&lt;&gt;"111",'152-CT'!$J$8=TH!F2184),"x","")</f>
        <v/>
      </c>
      <c r="AC2184" s="79" t="str">
        <f>IF(AND(OR(LEFT(TH!N2184,2)="15",LEFT(TH!O2184,2)="15"),TK!$E$7=TH!F2184),"x","")</f>
        <v/>
      </c>
      <c r="AD2184" s="79" t="str">
        <f>IF(AND(N2184="1521",MONTH(C2184)='BK-NL'!$M$11),"x","")</f>
        <v/>
      </c>
    </row>
    <row r="2185" spans="1:30" ht="16.5" customHeight="1">
      <c r="A2185" s="318" t="str">
        <f>IF(B2185&lt;&gt;"",IF(AND(B2185='IN-TC'!$S$4,OR(TH!N2185="1111",TH!O2185="1111")),TH!D2185,""),"")</f>
        <v/>
      </c>
      <c r="B2185" s="60" t="str">
        <f t="shared" si="236"/>
        <v/>
      </c>
      <c r="C2185" s="301"/>
      <c r="D2185" s="301"/>
      <c r="E2185" s="301"/>
      <c r="F2185" s="1261"/>
      <c r="G2185" s="968"/>
      <c r="H2185" s="321"/>
      <c r="I2185" s="385"/>
      <c r="J2185" s="969"/>
      <c r="K2185" s="385"/>
      <c r="L2185" s="392"/>
      <c r="M2185" s="970"/>
      <c r="N2185" s="304"/>
      <c r="O2185" s="304"/>
      <c r="P2185" s="79" t="str">
        <f>IF(AND('331-CT'!$E$7=TH!H2185,OR(N2185="331",O2185="331")),"x","")</f>
        <v/>
      </c>
      <c r="Q2185" s="79" t="str">
        <f>IF(AND(B2185='111'!$L$11,OR($N2185=$Q$7,$O2185=$Q$7)),"x","")</f>
        <v/>
      </c>
      <c r="R2185" s="79" t="str">
        <f>IF(AND($N2185=$Q$7,$B2185&lt;'111'!$L$11),"x","")</f>
        <v/>
      </c>
      <c r="S2185" s="79" t="str">
        <f>IF(AND($O2185=$Q$7,$B2185&lt;'111'!$L$11),"x","")</f>
        <v/>
      </c>
      <c r="T2185" s="79" t="str">
        <f>IF(ISERROR(FIND('112'!$M$9,G2185,1)),"",IF((AND(FIND('112'!$M$9,G2185,1)&gt;=1,B2185='112'!$K$9,OR($N2185='112'!$I$6,$O2185='112'!$I$6))),"x",""))</f>
        <v/>
      </c>
      <c r="U2185" s="79" t="str">
        <f>IF(ISERROR(FIND('112'!$M$9,G2185,1)),"",IF((AND(LEFT(G2185,2)=LEFT('112'!$M$9,2),B2185&lt;'112'!$K$9,$N2185='112'!$I$6)),"x",""))</f>
        <v/>
      </c>
      <c r="V2185" s="79" t="str">
        <f>IF(ISERROR(FIND('112'!$M$9,G2185,1)),"",IF((AND(RIGHT(G2185,2)=RIGHT('112'!$M$9,2),B2185&lt;'112'!$K$9,$O2185='112'!$I$6)),"x",""))</f>
        <v/>
      </c>
      <c r="W2185" s="79" t="str">
        <f>IF(AND('341-CT'!$H$9=H2185,OR(LEFT(N2185,3)=$W$7,LEFT(O2185,3)=$W$7)),"x","")</f>
        <v/>
      </c>
      <c r="X2185" s="79" t="str">
        <f>IF(OR(TH!N2185=TH!$X$7,O2185=TH!$X$7),"x","")</f>
        <v/>
      </c>
      <c r="Y2185" s="79" t="str">
        <f>IF(AND(OR(N2185="131",O2185="131"),H2185='131-CT'!$H$9),"x","")</f>
        <v/>
      </c>
      <c r="Z2185" s="79"/>
      <c r="AA2185" s="79" t="str">
        <f>IF(AND(MONTH(E2185)='IN-NX'!$J$5,'IN-NX'!$D$7=D2185),"x","")</f>
        <v/>
      </c>
      <c r="AB2185" s="79" t="str">
        <f>IF(AND(OR(LEFT(TH!N2185,2)="15",LEFT(TH!O2185,2)="15"),LEFT(TH!O2185,3)&lt;&gt;"111",'152-CT'!$J$8=TH!F2185),"x","")</f>
        <v/>
      </c>
      <c r="AC2185" s="79" t="str">
        <f>IF(AND(OR(LEFT(TH!N2185,2)="15",LEFT(TH!O2185,2)="15"),TK!$E$7=TH!F2185),"x","")</f>
        <v/>
      </c>
      <c r="AD2185" s="79" t="str">
        <f>IF(AND(N2185="1521",MONTH(C2185)='BK-NL'!$M$11),"x","")</f>
        <v/>
      </c>
    </row>
    <row r="2186" spans="1:30" ht="16.5" customHeight="1">
      <c r="A2186" s="318" t="str">
        <f>IF(B2186&lt;&gt;"",IF(AND(B2186='IN-TC'!$S$4,OR(TH!N2186="1111",TH!O2186="1111")),TH!D2186,""),"")</f>
        <v/>
      </c>
      <c r="B2186" s="60" t="str">
        <f t="shared" si="236"/>
        <v/>
      </c>
      <c r="C2186" s="301"/>
      <c r="D2186" s="301"/>
      <c r="E2186" s="301"/>
      <c r="F2186" s="1261"/>
      <c r="G2186" s="968"/>
      <c r="H2186" s="321"/>
      <c r="I2186" s="385"/>
      <c r="J2186" s="969"/>
      <c r="K2186" s="385"/>
      <c r="L2186" s="392"/>
      <c r="M2186" s="970"/>
      <c r="N2186" s="304"/>
      <c r="O2186" s="304"/>
      <c r="P2186" s="79" t="str">
        <f>IF(AND('331-CT'!$E$7=TH!H2186,OR(N2186="331",O2186="331")),"x","")</f>
        <v/>
      </c>
      <c r="Q2186" s="79" t="str">
        <f>IF(AND(B2186='111'!$L$11,OR($N2186=$Q$7,$O2186=$Q$7)),"x","")</f>
        <v/>
      </c>
      <c r="R2186" s="79" t="str">
        <f>IF(AND($N2186=$Q$7,$B2186&lt;'111'!$L$11),"x","")</f>
        <v/>
      </c>
      <c r="S2186" s="79" t="str">
        <f>IF(AND($O2186=$Q$7,$B2186&lt;'111'!$L$11),"x","")</f>
        <v/>
      </c>
      <c r="T2186" s="79" t="str">
        <f>IF(ISERROR(FIND('112'!$M$9,G2186,1)),"",IF((AND(FIND('112'!$M$9,G2186,1)&gt;=1,B2186='112'!$K$9,OR($N2186='112'!$I$6,$O2186='112'!$I$6))),"x",""))</f>
        <v/>
      </c>
      <c r="U2186" s="79" t="str">
        <f>IF(ISERROR(FIND('112'!$M$9,G2186,1)),"",IF((AND(LEFT(G2186,2)=LEFT('112'!$M$9,2),B2186&lt;'112'!$K$9,$N2186='112'!$I$6)),"x",""))</f>
        <v/>
      </c>
      <c r="V2186" s="79" t="str">
        <f>IF(ISERROR(FIND('112'!$M$9,G2186,1)),"",IF((AND(RIGHT(G2186,2)=RIGHT('112'!$M$9,2),B2186&lt;'112'!$K$9,$O2186='112'!$I$6)),"x",""))</f>
        <v/>
      </c>
      <c r="W2186" s="79" t="str">
        <f>IF(AND('341-CT'!$H$9=H2186,OR(LEFT(N2186,3)=$W$7,LEFT(O2186,3)=$W$7)),"x","")</f>
        <v/>
      </c>
      <c r="X2186" s="79" t="str">
        <f>IF(OR(TH!N2186=TH!$X$7,O2186=TH!$X$7),"x","")</f>
        <v/>
      </c>
      <c r="Y2186" s="79" t="str">
        <f>IF(AND(OR(N2186="131",O2186="131"),H2186='131-CT'!$H$9),"x","")</f>
        <v/>
      </c>
      <c r="Z2186" s="79"/>
      <c r="AA2186" s="79" t="str">
        <f>IF(AND(MONTH(E2186)='IN-NX'!$J$5,'IN-NX'!$D$7=D2186),"x","")</f>
        <v/>
      </c>
      <c r="AB2186" s="79" t="str">
        <f>IF(AND(OR(LEFT(TH!N2186,2)="15",LEFT(TH!O2186,2)="15"),LEFT(TH!O2186,3)&lt;&gt;"111",'152-CT'!$J$8=TH!F2186),"x","")</f>
        <v/>
      </c>
      <c r="AC2186" s="79" t="str">
        <f>IF(AND(OR(LEFT(TH!N2186,2)="15",LEFT(TH!O2186,2)="15"),TK!$E$7=TH!F2186),"x","")</f>
        <v/>
      </c>
      <c r="AD2186" s="79" t="str">
        <f>IF(AND(N2186="1521",MONTH(C2186)='BK-NL'!$M$11),"x","")</f>
        <v/>
      </c>
    </row>
    <row r="2187" spans="1:30" ht="16.5" customHeight="1">
      <c r="A2187" s="318" t="str">
        <f>IF(B2187&lt;&gt;"",IF(AND(B2187='IN-TC'!$S$4,OR(TH!N2187="1111",TH!O2187="1111")),TH!D2187,""),"")</f>
        <v/>
      </c>
      <c r="B2187" s="60" t="str">
        <f t="shared" si="236"/>
        <v/>
      </c>
      <c r="C2187" s="301"/>
      <c r="D2187" s="301"/>
      <c r="E2187" s="301"/>
      <c r="F2187" s="1261"/>
      <c r="G2187" s="968"/>
      <c r="H2187" s="321"/>
      <c r="I2187" s="385"/>
      <c r="J2187" s="969"/>
      <c r="K2187" s="385"/>
      <c r="L2187" s="392"/>
      <c r="M2187" s="970"/>
      <c r="N2187" s="304"/>
      <c r="O2187" s="304"/>
      <c r="P2187" s="79" t="str">
        <f>IF(AND('331-CT'!$E$7=TH!H2187,OR(N2187="331",O2187="331")),"x","")</f>
        <v/>
      </c>
      <c r="Q2187" s="79" t="str">
        <f>IF(AND(B2187='111'!$L$11,OR($N2187=$Q$7,$O2187=$Q$7)),"x","")</f>
        <v/>
      </c>
      <c r="R2187" s="79" t="str">
        <f>IF(AND($N2187=$Q$7,$B2187&lt;'111'!$L$11),"x","")</f>
        <v/>
      </c>
      <c r="S2187" s="79" t="str">
        <f>IF(AND($O2187=$Q$7,$B2187&lt;'111'!$L$11),"x","")</f>
        <v/>
      </c>
      <c r="T2187" s="79" t="str">
        <f>IF(ISERROR(FIND('112'!$M$9,G2187,1)),"",IF((AND(FIND('112'!$M$9,G2187,1)&gt;=1,B2187='112'!$K$9,OR($N2187='112'!$I$6,$O2187='112'!$I$6))),"x",""))</f>
        <v/>
      </c>
      <c r="U2187" s="79" t="str">
        <f>IF(ISERROR(FIND('112'!$M$9,G2187,1)),"",IF((AND(LEFT(G2187,2)=LEFT('112'!$M$9,2),B2187&lt;'112'!$K$9,$N2187='112'!$I$6)),"x",""))</f>
        <v/>
      </c>
      <c r="V2187" s="79" t="str">
        <f>IF(ISERROR(FIND('112'!$M$9,G2187,1)),"",IF((AND(RIGHT(G2187,2)=RIGHT('112'!$M$9,2),B2187&lt;'112'!$K$9,$O2187='112'!$I$6)),"x",""))</f>
        <v/>
      </c>
      <c r="W2187" s="79" t="str">
        <f>IF(AND('341-CT'!$H$9=H2187,OR(LEFT(N2187,3)=$W$7,LEFT(O2187,3)=$W$7)),"x","")</f>
        <v/>
      </c>
      <c r="X2187" s="79" t="str">
        <f>IF(OR(TH!N2187=TH!$X$7,O2187=TH!$X$7),"x","")</f>
        <v/>
      </c>
      <c r="Y2187" s="79" t="str">
        <f>IF(AND(OR(N2187="131",O2187="131"),H2187='131-CT'!$H$9),"x","")</f>
        <v/>
      </c>
      <c r="Z2187" s="79"/>
      <c r="AA2187" s="79" t="str">
        <f>IF(AND(MONTH(E2187)='IN-NX'!$J$5,'IN-NX'!$D$7=D2187),"x","")</f>
        <v/>
      </c>
      <c r="AB2187" s="79" t="str">
        <f>IF(AND(OR(LEFT(TH!N2187,2)="15",LEFT(TH!O2187,2)="15"),LEFT(TH!O2187,3)&lt;&gt;"111",'152-CT'!$J$8=TH!F2187),"x","")</f>
        <v/>
      </c>
      <c r="AC2187" s="79" t="str">
        <f>IF(AND(OR(LEFT(TH!N2187,2)="15",LEFT(TH!O2187,2)="15"),TK!$E$7=TH!F2187),"x","")</f>
        <v/>
      </c>
      <c r="AD2187" s="79" t="str">
        <f>IF(AND(N2187="1521",MONTH(C2187)='BK-NL'!$M$11),"x","")</f>
        <v/>
      </c>
    </row>
    <row r="2188" spans="1:30" ht="16.5" customHeight="1">
      <c r="A2188" s="318" t="str">
        <f>IF(B2188&lt;&gt;"",IF(AND(B2188='IN-TC'!$S$4,OR(TH!N2188="1111",TH!O2188="1111")),TH!D2188,""),"")</f>
        <v/>
      </c>
      <c r="B2188" s="60" t="str">
        <f t="shared" si="236"/>
        <v/>
      </c>
      <c r="C2188" s="301"/>
      <c r="D2188" s="301"/>
      <c r="E2188" s="301"/>
      <c r="F2188" s="1261"/>
      <c r="G2188" s="968"/>
      <c r="H2188" s="321"/>
      <c r="I2188" s="385"/>
      <c r="J2188" s="969"/>
      <c r="K2188" s="385"/>
      <c r="L2188" s="392"/>
      <c r="M2188" s="970"/>
      <c r="N2188" s="304"/>
      <c r="O2188" s="304"/>
      <c r="P2188" s="79" t="str">
        <f>IF(AND('331-CT'!$E$7=TH!H2188,OR(N2188="331",O2188="331")),"x","")</f>
        <v/>
      </c>
      <c r="Q2188" s="79" t="str">
        <f>IF(AND(B2188='111'!$L$11,OR($N2188=$Q$7,$O2188=$Q$7)),"x","")</f>
        <v/>
      </c>
      <c r="R2188" s="79" t="str">
        <f>IF(AND($N2188=$Q$7,$B2188&lt;'111'!$L$11),"x","")</f>
        <v/>
      </c>
      <c r="S2188" s="79" t="str">
        <f>IF(AND($O2188=$Q$7,$B2188&lt;'111'!$L$11),"x","")</f>
        <v/>
      </c>
      <c r="T2188" s="79" t="str">
        <f>IF(ISERROR(FIND('112'!$M$9,G2188,1)),"",IF((AND(FIND('112'!$M$9,G2188,1)&gt;=1,B2188='112'!$K$9,OR($N2188='112'!$I$6,$O2188='112'!$I$6))),"x",""))</f>
        <v/>
      </c>
      <c r="U2188" s="79" t="str">
        <f>IF(ISERROR(FIND('112'!$M$9,G2188,1)),"",IF((AND(LEFT(G2188,2)=LEFT('112'!$M$9,2),B2188&lt;'112'!$K$9,$N2188='112'!$I$6)),"x",""))</f>
        <v/>
      </c>
      <c r="V2188" s="79" t="str">
        <f>IF(ISERROR(FIND('112'!$M$9,G2188,1)),"",IF((AND(RIGHT(G2188,2)=RIGHT('112'!$M$9,2),B2188&lt;'112'!$K$9,$O2188='112'!$I$6)),"x",""))</f>
        <v/>
      </c>
      <c r="W2188" s="79" t="str">
        <f>IF(AND('341-CT'!$H$9=H2188,OR(LEFT(N2188,3)=$W$7,LEFT(O2188,3)=$W$7)),"x","")</f>
        <v/>
      </c>
      <c r="X2188" s="79" t="str">
        <f>IF(OR(TH!N2188=TH!$X$7,O2188=TH!$X$7),"x","")</f>
        <v/>
      </c>
      <c r="Y2188" s="79" t="str">
        <f>IF(AND(OR(N2188="131",O2188="131"),H2188='131-CT'!$H$9),"x","")</f>
        <v/>
      </c>
      <c r="Z2188" s="79"/>
      <c r="AA2188" s="79" t="str">
        <f>IF(AND(MONTH(E2188)='IN-NX'!$J$5,'IN-NX'!$D$7=D2188),"x","")</f>
        <v/>
      </c>
      <c r="AB2188" s="79" t="str">
        <f>IF(AND(OR(LEFT(TH!N2188,2)="15",LEFT(TH!O2188,2)="15"),LEFT(TH!O2188,3)&lt;&gt;"111",'152-CT'!$J$8=TH!F2188),"x","")</f>
        <v/>
      </c>
      <c r="AC2188" s="79" t="str">
        <f>IF(AND(OR(LEFT(TH!N2188,2)="15",LEFT(TH!O2188,2)="15"),TK!$E$7=TH!F2188),"x","")</f>
        <v/>
      </c>
      <c r="AD2188" s="79" t="str">
        <f>IF(AND(N2188="1521",MONTH(C2188)='BK-NL'!$M$11),"x","")</f>
        <v/>
      </c>
    </row>
    <row r="2189" spans="1:30" ht="16.5" customHeight="1">
      <c r="A2189" s="318" t="str">
        <f>IF(B2189&lt;&gt;"",IF(AND(B2189='IN-TC'!$S$4,OR(TH!N2189="1111",TH!O2189="1111")),TH!D2189,""),"")</f>
        <v/>
      </c>
      <c r="B2189" s="60" t="str">
        <f t="shared" si="236"/>
        <v/>
      </c>
      <c r="C2189" s="301"/>
      <c r="D2189" s="301"/>
      <c r="E2189" s="301"/>
      <c r="F2189" s="1261"/>
      <c r="G2189" s="968"/>
      <c r="H2189" s="321"/>
      <c r="I2189" s="385"/>
      <c r="J2189" s="969"/>
      <c r="K2189" s="385"/>
      <c r="L2189" s="392"/>
      <c r="M2189" s="970"/>
      <c r="N2189" s="304"/>
      <c r="O2189" s="304"/>
      <c r="P2189" s="79" t="str">
        <f>IF(AND('331-CT'!$E$7=TH!H2189,OR(N2189="331",O2189="331")),"x","")</f>
        <v/>
      </c>
      <c r="Q2189" s="79" t="str">
        <f>IF(AND(B2189='111'!$L$11,OR($N2189=$Q$7,$O2189=$Q$7)),"x","")</f>
        <v/>
      </c>
      <c r="R2189" s="79" t="str">
        <f>IF(AND($N2189=$Q$7,$B2189&lt;'111'!$L$11),"x","")</f>
        <v/>
      </c>
      <c r="S2189" s="79" t="str">
        <f>IF(AND($O2189=$Q$7,$B2189&lt;'111'!$L$11),"x","")</f>
        <v/>
      </c>
      <c r="T2189" s="79" t="str">
        <f>IF(ISERROR(FIND('112'!$M$9,G2189,1)),"",IF((AND(FIND('112'!$M$9,G2189,1)&gt;=1,B2189='112'!$K$9,OR($N2189='112'!$I$6,$O2189='112'!$I$6))),"x",""))</f>
        <v/>
      </c>
      <c r="U2189" s="79" t="str">
        <f>IF(ISERROR(FIND('112'!$M$9,G2189,1)),"",IF((AND(LEFT(G2189,2)=LEFT('112'!$M$9,2),B2189&lt;'112'!$K$9,$N2189='112'!$I$6)),"x",""))</f>
        <v/>
      </c>
      <c r="V2189" s="79" t="str">
        <f>IF(ISERROR(FIND('112'!$M$9,G2189,1)),"",IF((AND(RIGHT(G2189,2)=RIGHT('112'!$M$9,2),B2189&lt;'112'!$K$9,$O2189='112'!$I$6)),"x",""))</f>
        <v/>
      </c>
      <c r="W2189" s="79" t="str">
        <f>IF(AND('341-CT'!$H$9=H2189,OR(LEFT(N2189,3)=$W$7,LEFT(O2189,3)=$W$7)),"x","")</f>
        <v/>
      </c>
      <c r="X2189" s="79" t="str">
        <f>IF(OR(TH!N2189=TH!$X$7,O2189=TH!$X$7),"x","")</f>
        <v/>
      </c>
      <c r="Y2189" s="79" t="str">
        <f>IF(AND(OR(N2189="131",O2189="131"),H2189='131-CT'!$H$9),"x","")</f>
        <v/>
      </c>
      <c r="Z2189" s="79"/>
      <c r="AA2189" s="79" t="str">
        <f>IF(AND(MONTH(E2189)='IN-NX'!$J$5,'IN-NX'!$D$7=D2189),"x","")</f>
        <v/>
      </c>
      <c r="AB2189" s="79" t="str">
        <f>IF(AND(OR(LEFT(TH!N2189,2)="15",LEFT(TH!O2189,2)="15"),LEFT(TH!O2189,3)&lt;&gt;"111",'152-CT'!$J$8=TH!F2189),"x","")</f>
        <v/>
      </c>
      <c r="AC2189" s="79" t="str">
        <f>IF(AND(OR(LEFT(TH!N2189,2)="15",LEFT(TH!O2189,2)="15"),TK!$E$7=TH!F2189),"x","")</f>
        <v/>
      </c>
      <c r="AD2189" s="79" t="str">
        <f>IF(AND(N2189="1521",MONTH(C2189)='BK-NL'!$M$11),"x","")</f>
        <v/>
      </c>
    </row>
    <row r="2190" spans="1:30" ht="16.5" customHeight="1">
      <c r="A2190" s="318" t="str">
        <f>IF(B2190&lt;&gt;"",IF(AND(B2190='IN-TC'!$S$4,OR(TH!N2190="1111",TH!O2190="1111")),TH!D2190,""),"")</f>
        <v/>
      </c>
      <c r="B2190" s="60" t="str">
        <f t="shared" si="236"/>
        <v/>
      </c>
      <c r="C2190" s="301"/>
      <c r="D2190" s="301"/>
      <c r="E2190" s="1159"/>
      <c r="F2190" s="1261"/>
      <c r="G2190" s="968"/>
      <c r="H2190" s="321"/>
      <c r="I2190" s="385"/>
      <c r="J2190" s="969"/>
      <c r="K2190" s="385"/>
      <c r="L2190" s="392"/>
      <c r="M2190" s="970"/>
      <c r="N2190" s="304"/>
      <c r="O2190" s="304"/>
      <c r="P2190" s="79" t="str">
        <f>IF(AND('331-CT'!$E$7=TH!H2190,OR(N2190="331",O2190="331")),"x","")</f>
        <v/>
      </c>
      <c r="Q2190" s="79" t="str">
        <f>IF(AND(B2190='111'!$L$11,OR($N2190=$Q$7,$O2190=$Q$7)),"x","")</f>
        <v/>
      </c>
      <c r="R2190" s="79" t="str">
        <f>IF(AND($N2190=$Q$7,$B2190&lt;'111'!$L$11),"x","")</f>
        <v/>
      </c>
      <c r="S2190" s="79" t="str">
        <f>IF(AND($O2190=$Q$7,$B2190&lt;'111'!$L$11),"x","")</f>
        <v/>
      </c>
      <c r="T2190" s="79" t="str">
        <f>IF(ISERROR(FIND('112'!$M$9,G2190,1)),"",IF((AND(FIND('112'!$M$9,G2190,1)&gt;=1,B2190='112'!$K$9,OR($N2190='112'!$I$6,$O2190='112'!$I$6))),"x",""))</f>
        <v/>
      </c>
      <c r="U2190" s="79" t="str">
        <f>IF(ISERROR(FIND('112'!$M$9,G2190,1)),"",IF((AND(LEFT(G2190,2)=LEFT('112'!$M$9,2),B2190&lt;'112'!$K$9,$N2190='112'!$I$6)),"x",""))</f>
        <v/>
      </c>
      <c r="V2190" s="79" t="str">
        <f>IF(ISERROR(FIND('112'!$M$9,G2190,1)),"",IF((AND(RIGHT(G2190,2)=RIGHT('112'!$M$9,2),B2190&lt;'112'!$K$9,$O2190='112'!$I$6)),"x",""))</f>
        <v/>
      </c>
      <c r="W2190" s="79" t="str">
        <f>IF(AND('341-CT'!$H$9=H2190,OR(LEFT(N2190,3)=$W$7,LEFT(O2190,3)=$W$7)),"x","")</f>
        <v/>
      </c>
      <c r="X2190" s="79" t="str">
        <f>IF(OR(TH!N2190=TH!$X$7,O2190=TH!$X$7),"x","")</f>
        <v/>
      </c>
      <c r="Y2190" s="79" t="str">
        <f>IF(AND(OR(N2190="131",O2190="131"),H2190='131-CT'!$H$9),"x","")</f>
        <v/>
      </c>
      <c r="Z2190" s="79"/>
      <c r="AA2190" s="79" t="str">
        <f>IF(AND(MONTH(E2190)='IN-NX'!$J$5,'IN-NX'!$D$7=D2190),"x","")</f>
        <v/>
      </c>
      <c r="AB2190" s="79" t="str">
        <f>IF(AND(OR(LEFT(TH!N2190,2)="15",LEFT(TH!O2190,2)="15"),LEFT(TH!O2190,3)&lt;&gt;"111",'152-CT'!$J$8=TH!F2190),"x","")</f>
        <v/>
      </c>
      <c r="AC2190" s="79" t="str">
        <f>IF(AND(OR(LEFT(TH!N2190,2)="15",LEFT(TH!O2190,2)="15"),TK!$E$7=TH!F2190),"x","")</f>
        <v/>
      </c>
      <c r="AD2190" s="79" t="str">
        <f>IF(AND(N2190="1521",MONTH(C2190)='BK-NL'!$M$11),"x","")</f>
        <v/>
      </c>
    </row>
    <row r="2191" spans="1:30" ht="16.5" customHeight="1">
      <c r="A2191" s="318" t="str">
        <f>IF(B2191&lt;&gt;"",IF(AND(B2191='IN-TC'!$S$4,OR(TH!N2191="1111",TH!O2191="1111")),TH!D2191,""),"")</f>
        <v/>
      </c>
      <c r="B2191" s="60" t="str">
        <f t="shared" si="236"/>
        <v/>
      </c>
      <c r="C2191" s="301"/>
      <c r="D2191" s="301"/>
      <c r="E2191" s="1159"/>
      <c r="F2191" s="1261"/>
      <c r="G2191" s="968"/>
      <c r="H2191" s="321"/>
      <c r="I2191" s="385"/>
      <c r="J2191" s="969"/>
      <c r="K2191" s="385"/>
      <c r="L2191" s="392"/>
      <c r="M2191" s="970"/>
      <c r="N2191" s="304"/>
      <c r="O2191" s="304"/>
      <c r="P2191" s="79" t="str">
        <f>IF(AND('331-CT'!$E$7=TH!H2191,OR(N2191="331",O2191="331")),"x","")</f>
        <v/>
      </c>
      <c r="Q2191" s="79" t="str">
        <f>IF(AND(B2191='111'!$L$11,OR($N2191=$Q$7,$O2191=$Q$7)),"x","")</f>
        <v/>
      </c>
      <c r="R2191" s="79" t="str">
        <f>IF(AND($N2191=$Q$7,$B2191&lt;'111'!$L$11),"x","")</f>
        <v/>
      </c>
      <c r="S2191" s="79" t="str">
        <f>IF(AND($O2191=$Q$7,$B2191&lt;'111'!$L$11),"x","")</f>
        <v/>
      </c>
      <c r="T2191" s="79" t="str">
        <f>IF(ISERROR(FIND('112'!$M$9,G2191,1)),"",IF((AND(FIND('112'!$M$9,G2191,1)&gt;=1,B2191='112'!$K$9,OR($N2191='112'!$I$6,$O2191='112'!$I$6))),"x",""))</f>
        <v/>
      </c>
      <c r="U2191" s="79" t="str">
        <f>IF(ISERROR(FIND('112'!$M$9,G2191,1)),"",IF((AND(LEFT(G2191,2)=LEFT('112'!$M$9,2),B2191&lt;'112'!$K$9,$N2191='112'!$I$6)),"x",""))</f>
        <v/>
      </c>
      <c r="V2191" s="79" t="str">
        <f>IF(ISERROR(FIND('112'!$M$9,G2191,1)),"",IF((AND(RIGHT(G2191,2)=RIGHT('112'!$M$9,2),B2191&lt;'112'!$K$9,$O2191='112'!$I$6)),"x",""))</f>
        <v/>
      </c>
      <c r="W2191" s="79" t="str">
        <f>IF(AND('341-CT'!$H$9=H2191,OR(LEFT(N2191,3)=$W$7,LEFT(O2191,3)=$W$7)),"x","")</f>
        <v/>
      </c>
      <c r="X2191" s="79" t="str">
        <f>IF(OR(TH!N2191=TH!$X$7,O2191=TH!$X$7),"x","")</f>
        <v/>
      </c>
      <c r="Y2191" s="79" t="str">
        <f>IF(AND(OR(N2191="131",O2191="131"),H2191='131-CT'!$H$9),"x","")</f>
        <v/>
      </c>
      <c r="Z2191" s="79"/>
      <c r="AA2191" s="79" t="str">
        <f>IF(AND(MONTH(E2191)='IN-NX'!$J$5,'IN-NX'!$D$7=D2191),"x","")</f>
        <v/>
      </c>
      <c r="AB2191" s="79" t="str">
        <f>IF(AND(OR(LEFT(TH!N2191,2)="15",LEFT(TH!O2191,2)="15"),LEFT(TH!O2191,3)&lt;&gt;"111",'152-CT'!$J$8=TH!F2191),"x","")</f>
        <v/>
      </c>
      <c r="AC2191" s="79" t="str">
        <f>IF(AND(OR(LEFT(TH!N2191,2)="15",LEFT(TH!O2191,2)="15"),TK!$E$7=TH!F2191),"x","")</f>
        <v/>
      </c>
      <c r="AD2191" s="79" t="str">
        <f>IF(AND(N2191="1521",MONTH(C2191)='BK-NL'!$M$11),"x","")</f>
        <v/>
      </c>
    </row>
    <row r="2192" spans="1:30" ht="16.5" customHeight="1">
      <c r="A2192" s="318" t="str">
        <f>IF(B2192&lt;&gt;"",IF(AND(B2192='IN-TC'!$S$4,OR(TH!N2192="1111",TH!O2192="1111")),TH!D2192,""),"")</f>
        <v/>
      </c>
      <c r="B2192" s="60" t="str">
        <f t="shared" si="236"/>
        <v/>
      </c>
      <c r="C2192" s="1159"/>
      <c r="D2192" s="301"/>
      <c r="E2192" s="1159"/>
      <c r="F2192" s="1261"/>
      <c r="G2192" s="968"/>
      <c r="H2192" s="321"/>
      <c r="I2192" s="385"/>
      <c r="J2192" s="969"/>
      <c r="K2192" s="385"/>
      <c r="L2192" s="392"/>
      <c r="M2192" s="970"/>
      <c r="N2192" s="304"/>
      <c r="O2192" s="304"/>
      <c r="P2192" s="79" t="str">
        <f>IF(AND('331-CT'!$E$7=TH!H2192,OR(N2192="331",O2192="331")),"x","")</f>
        <v/>
      </c>
      <c r="Q2192" s="79" t="str">
        <f>IF(AND(B2192='111'!$L$11,OR($N2192=$Q$7,$O2192=$Q$7)),"x","")</f>
        <v/>
      </c>
      <c r="R2192" s="79" t="str">
        <f>IF(AND($N2192=$Q$7,$B2192&lt;'111'!$L$11),"x","")</f>
        <v/>
      </c>
      <c r="S2192" s="79" t="str">
        <f>IF(AND($O2192=$Q$7,$B2192&lt;'111'!$L$11),"x","")</f>
        <v/>
      </c>
      <c r="T2192" s="79" t="str">
        <f>IF(ISERROR(FIND('112'!$M$9,G2192,1)),"",IF((AND(FIND('112'!$M$9,G2192,1)&gt;=1,B2192='112'!$K$9,OR($N2192='112'!$I$6,$O2192='112'!$I$6))),"x",""))</f>
        <v/>
      </c>
      <c r="U2192" s="79" t="str">
        <f>IF(ISERROR(FIND('112'!$M$9,G2192,1)),"",IF((AND(LEFT(G2192,2)=LEFT('112'!$M$9,2),B2192&lt;'112'!$K$9,$N2192='112'!$I$6)),"x",""))</f>
        <v/>
      </c>
      <c r="V2192" s="79" t="str">
        <f>IF(ISERROR(FIND('112'!$M$9,G2192,1)),"",IF((AND(RIGHT(G2192,2)=RIGHT('112'!$M$9,2),B2192&lt;'112'!$K$9,$O2192='112'!$I$6)),"x",""))</f>
        <v/>
      </c>
      <c r="W2192" s="79" t="str">
        <f>IF(AND('341-CT'!$H$9=H2192,OR(LEFT(N2192,3)=$W$7,LEFT(O2192,3)=$W$7)),"x","")</f>
        <v/>
      </c>
      <c r="X2192" s="79" t="str">
        <f>IF(OR(TH!N2192=TH!$X$7,O2192=TH!$X$7),"x","")</f>
        <v/>
      </c>
      <c r="Y2192" s="79" t="str">
        <f>IF(AND(OR(N2192="131",O2192="131"),H2192='131-CT'!$H$9),"x","")</f>
        <v/>
      </c>
      <c r="Z2192" s="79"/>
      <c r="AA2192" s="79" t="str">
        <f>IF(AND(MONTH(E2192)='IN-NX'!$J$5,'IN-NX'!$D$7=D2192),"x","")</f>
        <v/>
      </c>
      <c r="AB2192" s="79" t="str">
        <f>IF(AND(OR(LEFT(TH!N2192,2)="15",LEFT(TH!O2192,2)="15"),LEFT(TH!O2192,3)&lt;&gt;"111",'152-CT'!$J$8=TH!F2192),"x","")</f>
        <v/>
      </c>
      <c r="AC2192" s="79" t="str">
        <f>IF(AND(OR(LEFT(TH!N2192,2)="15",LEFT(TH!O2192,2)="15"),TK!$E$7=TH!F2192),"x","")</f>
        <v/>
      </c>
      <c r="AD2192" s="79" t="str">
        <f>IF(AND(N2192="1521",MONTH(C2192)='BK-NL'!$M$11),"x","")</f>
        <v/>
      </c>
    </row>
    <row r="2193" spans="1:30" ht="16.5" customHeight="1">
      <c r="A2193" s="318" t="str">
        <f>IF(B2193&lt;&gt;"",IF(AND(B2193='IN-TC'!$S$4,OR(TH!N2193="1111",TH!O2193="1111")),TH!D2193,""),"")</f>
        <v/>
      </c>
      <c r="B2193" s="60" t="str">
        <f t="shared" si="236"/>
        <v/>
      </c>
      <c r="C2193" s="1159"/>
      <c r="D2193" s="301"/>
      <c r="E2193" s="1159"/>
      <c r="F2193" s="1261"/>
      <c r="G2193" s="968"/>
      <c r="H2193" s="321"/>
      <c r="I2193" s="385"/>
      <c r="J2193" s="969"/>
      <c r="K2193" s="385"/>
      <c r="L2193" s="392"/>
      <c r="M2193" s="970"/>
      <c r="N2193" s="304"/>
      <c r="O2193" s="304"/>
      <c r="P2193" s="79" t="str">
        <f>IF(AND('331-CT'!$E$7=TH!H2193,OR(N2193="331",O2193="331")),"x","")</f>
        <v/>
      </c>
      <c r="Q2193" s="79" t="str">
        <f>IF(AND(B2193='111'!$L$11,OR($N2193=$Q$7,$O2193=$Q$7)),"x","")</f>
        <v/>
      </c>
      <c r="R2193" s="79" t="str">
        <f>IF(AND($N2193=$Q$7,$B2193&lt;'111'!$L$11),"x","")</f>
        <v/>
      </c>
      <c r="S2193" s="79" t="str">
        <f>IF(AND($O2193=$Q$7,$B2193&lt;'111'!$L$11),"x","")</f>
        <v/>
      </c>
      <c r="T2193" s="79" t="str">
        <f>IF(ISERROR(FIND('112'!$M$9,G2193,1)),"",IF((AND(FIND('112'!$M$9,G2193,1)&gt;=1,B2193='112'!$K$9,OR($N2193='112'!$I$6,$O2193='112'!$I$6))),"x",""))</f>
        <v/>
      </c>
      <c r="U2193" s="79" t="str">
        <f>IF(ISERROR(FIND('112'!$M$9,G2193,1)),"",IF((AND(LEFT(G2193,2)=LEFT('112'!$M$9,2),B2193&lt;'112'!$K$9,$N2193='112'!$I$6)),"x",""))</f>
        <v/>
      </c>
      <c r="V2193" s="79" t="str">
        <f>IF(ISERROR(FIND('112'!$M$9,G2193,1)),"",IF((AND(RIGHT(G2193,2)=RIGHT('112'!$M$9,2),B2193&lt;'112'!$K$9,$O2193='112'!$I$6)),"x",""))</f>
        <v/>
      </c>
      <c r="W2193" s="79" t="str">
        <f>IF(AND('341-CT'!$H$9=H2193,OR(LEFT(N2193,3)=$W$7,LEFT(O2193,3)=$W$7)),"x","")</f>
        <v/>
      </c>
      <c r="X2193" s="79" t="str">
        <f>IF(OR(TH!N2193=TH!$X$7,O2193=TH!$X$7),"x","")</f>
        <v/>
      </c>
      <c r="Y2193" s="79" t="str">
        <f>IF(AND(OR(N2193="131",O2193="131"),H2193='131-CT'!$H$9),"x","")</f>
        <v/>
      </c>
      <c r="Z2193" s="79"/>
      <c r="AA2193" s="79" t="str">
        <f>IF(AND(MONTH(E2193)='IN-NX'!$J$5,'IN-NX'!$D$7=D2193),"x","")</f>
        <v/>
      </c>
      <c r="AB2193" s="79" t="str">
        <f>IF(AND(OR(LEFT(TH!N2193,2)="15",LEFT(TH!O2193,2)="15"),LEFT(TH!O2193,3)&lt;&gt;"111",'152-CT'!$J$8=TH!F2193),"x","")</f>
        <v/>
      </c>
      <c r="AC2193" s="79" t="str">
        <f>IF(AND(OR(LEFT(TH!N2193,2)="15",LEFT(TH!O2193,2)="15"),TK!$E$7=TH!F2193),"x","")</f>
        <v/>
      </c>
      <c r="AD2193" s="79" t="str">
        <f>IF(AND(N2193="1521",MONTH(C2193)='BK-NL'!$M$11),"x","")</f>
        <v/>
      </c>
    </row>
    <row r="2194" spans="1:30" ht="16.5" customHeight="1">
      <c r="A2194" s="318" t="str">
        <f>IF(B2194&lt;&gt;"",IF(AND(B2194='IN-TC'!$S$4,OR(TH!N2194="1111",TH!O2194="1111")),TH!D2194,""),"")</f>
        <v/>
      </c>
      <c r="B2194" s="60" t="str">
        <f t="shared" si="236"/>
        <v/>
      </c>
      <c r="C2194" s="61"/>
      <c r="D2194" s="301"/>
      <c r="E2194" s="301"/>
      <c r="F2194" s="136"/>
      <c r="G2194" s="766"/>
      <c r="H2194" s="321"/>
      <c r="I2194" s="385"/>
      <c r="J2194" s="392"/>
      <c r="K2194" s="385"/>
      <c r="L2194" s="392"/>
      <c r="M2194" s="62"/>
      <c r="N2194" s="63"/>
      <c r="O2194" s="979"/>
      <c r="P2194" s="79" t="str">
        <f>IF(AND('331-CT'!$E$7=TH!H2194,OR(N2194="331",O2194="331")),"x","")</f>
        <v/>
      </c>
      <c r="Q2194" s="79" t="str">
        <f>IF(AND(B2194='111'!$L$11,OR($N2194=$Q$7,$O2194=$Q$7)),"x","")</f>
        <v/>
      </c>
      <c r="R2194" s="79" t="str">
        <f>IF(AND($N2194=$Q$7,$B2194&lt;'111'!$L$11),"x","")</f>
        <v/>
      </c>
      <c r="S2194" s="79" t="str">
        <f>IF(AND($O2194=$Q$7,$B2194&lt;'111'!$L$11),"x","")</f>
        <v/>
      </c>
      <c r="T2194" s="79" t="str">
        <f>IF(ISERROR(FIND('112'!$M$9,G2194,1)),"",IF((AND(FIND('112'!$M$9,G2194,1)&gt;=1,B2194='112'!$K$9,OR($N2194='112'!$I$6,$O2194='112'!$I$6))),"x",""))</f>
        <v/>
      </c>
      <c r="U2194" s="79" t="str">
        <f>IF(ISERROR(FIND('112'!$M$9,G2194,1)),"",IF((AND(LEFT(G2194,2)=LEFT('112'!$M$9,2),B2194&lt;'112'!$K$9,$N2194='112'!$I$6)),"x",""))</f>
        <v/>
      </c>
      <c r="V2194" s="79" t="str">
        <f>IF(ISERROR(FIND('112'!$M$9,G2194,1)),"",IF((AND(RIGHT(G2194,2)=RIGHT('112'!$M$9,2),B2194&lt;'112'!$K$9,$O2194='112'!$I$6)),"x",""))</f>
        <v/>
      </c>
      <c r="W2194" s="79" t="str">
        <f>IF(AND('341-CT'!$H$9=H2194,OR(LEFT(N2194,3)=$W$7,LEFT(O2194,3)=$W$7)),"x","")</f>
        <v/>
      </c>
      <c r="X2194" s="79" t="str">
        <f>IF(OR(TH!N2194=TH!$X$7,O2194=TH!$X$7),"x","")</f>
        <v/>
      </c>
      <c r="Y2194" s="79" t="str">
        <f>IF(AND(OR(N2194="131",O2194="131"),H2194='131-CT'!$H$9),"x","")</f>
        <v/>
      </c>
      <c r="Z2194" s="79"/>
      <c r="AA2194" s="79" t="str">
        <f>IF(AND(MONTH(E2194)='IN-NX'!$J$5,'IN-NX'!$D$7=D2194),"x","")</f>
        <v/>
      </c>
      <c r="AB2194" s="79" t="str">
        <f>IF(AND(OR(LEFT(TH!N2194,2)="15",LEFT(TH!O2194,2)="15"),LEFT(TH!O2194,3)&lt;&gt;"111",'152-CT'!$J$8=TH!F2194),"x","")</f>
        <v/>
      </c>
      <c r="AC2194" s="79" t="str">
        <f>IF(AND(OR(LEFT(TH!N2194,2)="15",LEFT(TH!O2194,2)="15"),TK!$E$7=TH!F2194),"x","")</f>
        <v/>
      </c>
      <c r="AD2194" s="79" t="str">
        <f>IF(AND(N2194="1521",MONTH(C2194)='BK-NL'!$M$11),"x","")</f>
        <v/>
      </c>
    </row>
    <row r="2195" spans="1:30" ht="16.5" customHeight="1">
      <c r="A2195" s="318" t="str">
        <f>IF(B2195&lt;&gt;"",IF(AND(B2195='IN-TC'!$S$4,OR(TH!N2195="1111",TH!O2195="1111")),TH!D2195,""),"")</f>
        <v/>
      </c>
      <c r="B2195" s="60" t="str">
        <f t="shared" si="236"/>
        <v/>
      </c>
      <c r="C2195" s="61"/>
      <c r="D2195" s="301"/>
      <c r="E2195" s="301"/>
      <c r="F2195" s="136"/>
      <c r="G2195" s="766"/>
      <c r="H2195" s="321"/>
      <c r="I2195" s="385"/>
      <c r="J2195" s="392"/>
      <c r="K2195" s="385"/>
      <c r="L2195" s="392"/>
      <c r="M2195" s="62"/>
      <c r="N2195" s="63"/>
      <c r="O2195" s="979"/>
      <c r="P2195" s="79" t="str">
        <f>IF(AND('331-CT'!$E$7=TH!H2195,OR(N2195="331",O2195="331")),"x","")</f>
        <v/>
      </c>
      <c r="Q2195" s="79" t="str">
        <f>IF(AND(B2195='111'!$L$11,OR($N2195=$Q$7,$O2195=$Q$7)),"x","")</f>
        <v/>
      </c>
      <c r="R2195" s="79" t="str">
        <f>IF(AND($N2195=$Q$7,$B2195&lt;'111'!$L$11),"x","")</f>
        <v/>
      </c>
      <c r="S2195" s="79" t="str">
        <f>IF(AND($O2195=$Q$7,$B2195&lt;'111'!$L$11),"x","")</f>
        <v/>
      </c>
      <c r="T2195" s="79" t="str">
        <f>IF(ISERROR(FIND('112'!$M$9,G2195,1)),"",IF((AND(FIND('112'!$M$9,G2195,1)&gt;=1,B2195='112'!$K$9,OR($N2195='112'!$I$6,$O2195='112'!$I$6))),"x",""))</f>
        <v/>
      </c>
      <c r="U2195" s="79" t="str">
        <f>IF(ISERROR(FIND('112'!$M$9,G2195,1)),"",IF((AND(LEFT(G2195,2)=LEFT('112'!$M$9,2),B2195&lt;'112'!$K$9,$N2195='112'!$I$6)),"x",""))</f>
        <v/>
      </c>
      <c r="V2195" s="79" t="str">
        <f>IF(ISERROR(FIND('112'!$M$9,G2195,1)),"",IF((AND(RIGHT(G2195,2)=RIGHT('112'!$M$9,2),B2195&lt;'112'!$K$9,$O2195='112'!$I$6)),"x",""))</f>
        <v/>
      </c>
      <c r="W2195" s="79" t="str">
        <f>IF(AND('341-CT'!$H$9=H2195,OR(LEFT(N2195,3)=$W$7,LEFT(O2195,3)=$W$7)),"x","")</f>
        <v/>
      </c>
      <c r="X2195" s="79" t="str">
        <f>IF(OR(TH!N2195=TH!$X$7,O2195=TH!$X$7),"x","")</f>
        <v/>
      </c>
      <c r="Y2195" s="79" t="str">
        <f>IF(AND(OR(N2195="131",O2195="131"),H2195='131-CT'!$H$9),"x","")</f>
        <v/>
      </c>
      <c r="Z2195" s="79"/>
      <c r="AA2195" s="79" t="str">
        <f>IF(AND(MONTH(E2195)='IN-NX'!$J$5,'IN-NX'!$D$7=D2195),"x","")</f>
        <v/>
      </c>
      <c r="AB2195" s="79" t="str">
        <f>IF(AND(OR(LEFT(TH!N2195,2)="15",LEFT(TH!O2195,2)="15"),LEFT(TH!O2195,3)&lt;&gt;"111",'152-CT'!$J$8=TH!F2195),"x","")</f>
        <v/>
      </c>
      <c r="AC2195" s="79" t="str">
        <f>IF(AND(OR(LEFT(TH!N2195,2)="15",LEFT(TH!O2195,2)="15"),TK!$E$7=TH!F2195),"x","")</f>
        <v/>
      </c>
      <c r="AD2195" s="79" t="str">
        <f>IF(AND(N2195="1521",MONTH(C2195)='BK-NL'!$M$11),"x","")</f>
        <v/>
      </c>
    </row>
    <row r="2196" spans="1:30" ht="16.5" customHeight="1">
      <c r="A2196" s="318" t="str">
        <f>IF(B2196&lt;&gt;"",IF(AND(B2196='IN-TC'!$S$4,OR(TH!N2196="1111",TH!O2196="1111")),TH!D2196,""),"")</f>
        <v/>
      </c>
      <c r="B2196" s="60" t="str">
        <f t="shared" si="236"/>
        <v/>
      </c>
      <c r="C2196" s="61"/>
      <c r="D2196" s="301"/>
      <c r="E2196" s="301"/>
      <c r="F2196" s="136"/>
      <c r="G2196" s="766"/>
      <c r="H2196" s="321"/>
      <c r="I2196" s="385"/>
      <c r="J2196" s="392"/>
      <c r="K2196" s="385"/>
      <c r="L2196" s="392"/>
      <c r="M2196" s="62"/>
      <c r="N2196" s="63"/>
      <c r="O2196" s="979"/>
      <c r="P2196" s="79" t="str">
        <f>IF(AND('331-CT'!$E$7=TH!H2196,OR(N2196="331",O2196="331")),"x","")</f>
        <v/>
      </c>
      <c r="Q2196" s="79" t="str">
        <f>IF(AND(B2196='111'!$L$11,OR($N2196=$Q$7,$O2196=$Q$7)),"x","")</f>
        <v/>
      </c>
      <c r="R2196" s="79" t="str">
        <f>IF(AND($N2196=$Q$7,$B2196&lt;'111'!$L$11),"x","")</f>
        <v/>
      </c>
      <c r="S2196" s="79" t="str">
        <f>IF(AND($O2196=$Q$7,$B2196&lt;'111'!$L$11),"x","")</f>
        <v/>
      </c>
      <c r="T2196" s="79" t="str">
        <f>IF(ISERROR(FIND('112'!$M$9,G2196,1)),"",IF((AND(FIND('112'!$M$9,G2196,1)&gt;=1,B2196='112'!$K$9,OR($N2196='112'!$I$6,$O2196='112'!$I$6))),"x",""))</f>
        <v/>
      </c>
      <c r="U2196" s="79" t="str">
        <f>IF(ISERROR(FIND('112'!$M$9,G2196,1)),"",IF((AND(LEFT(G2196,2)=LEFT('112'!$M$9,2),B2196&lt;'112'!$K$9,$N2196='112'!$I$6)),"x",""))</f>
        <v/>
      </c>
      <c r="V2196" s="79" t="str">
        <f>IF(ISERROR(FIND('112'!$M$9,G2196,1)),"",IF((AND(RIGHT(G2196,2)=RIGHT('112'!$M$9,2),B2196&lt;'112'!$K$9,$O2196='112'!$I$6)),"x",""))</f>
        <v/>
      </c>
      <c r="W2196" s="79" t="str">
        <f>IF(AND('341-CT'!$H$9=H2196,OR(LEFT(N2196,3)=$W$7,LEFT(O2196,3)=$W$7)),"x","")</f>
        <v/>
      </c>
      <c r="X2196" s="79" t="str">
        <f>IF(OR(TH!N2196=TH!$X$7,O2196=TH!$X$7),"x","")</f>
        <v/>
      </c>
      <c r="Y2196" s="79" t="str">
        <f>IF(AND(OR(N2196="131",O2196="131"),H2196='131-CT'!$H$9),"x","")</f>
        <v/>
      </c>
      <c r="Z2196" s="79"/>
      <c r="AA2196" s="79" t="str">
        <f>IF(AND(MONTH(E2196)='IN-NX'!$J$5,'IN-NX'!$D$7=D2196),"x","")</f>
        <v/>
      </c>
      <c r="AB2196" s="79" t="str">
        <f>IF(AND(OR(LEFT(TH!N2196,2)="15",LEFT(TH!O2196,2)="15"),LEFT(TH!O2196,3)&lt;&gt;"111",'152-CT'!$J$8=TH!F2196),"x","")</f>
        <v/>
      </c>
      <c r="AC2196" s="79" t="str">
        <f>IF(AND(OR(LEFT(TH!N2196,2)="15",LEFT(TH!O2196,2)="15"),TK!$E$7=TH!F2196),"x","")</f>
        <v/>
      </c>
      <c r="AD2196" s="79" t="str">
        <f>IF(AND(N2196="1521",MONTH(C2196)='BK-NL'!$M$11),"x","")</f>
        <v/>
      </c>
    </row>
    <row r="2197" spans="1:30" ht="16.5" customHeight="1">
      <c r="A2197" s="318" t="str">
        <f>IF(B2197&lt;&gt;"",IF(AND(B2197='IN-TC'!$S$4,OR(TH!N2197="1111",TH!O2197="1111")),TH!D2197,""),"")</f>
        <v/>
      </c>
      <c r="B2197" s="60" t="str">
        <f t="shared" si="236"/>
        <v/>
      </c>
      <c r="C2197" s="61"/>
      <c r="D2197" s="301"/>
      <c r="E2197" s="301"/>
      <c r="F2197" s="136"/>
      <c r="G2197" s="766"/>
      <c r="H2197" s="321"/>
      <c r="I2197" s="385"/>
      <c r="J2197" s="392"/>
      <c r="K2197" s="385"/>
      <c r="L2197" s="392"/>
      <c r="M2197" s="62"/>
      <c r="N2197" s="63"/>
      <c r="O2197" s="979"/>
      <c r="P2197" s="79" t="str">
        <f>IF(AND('331-CT'!$E$7=TH!H2197,OR(N2197="331",O2197="331")),"x","")</f>
        <v/>
      </c>
      <c r="Q2197" s="79" t="str">
        <f>IF(AND(B2197='111'!$L$11,OR($N2197=$Q$7,$O2197=$Q$7)),"x","")</f>
        <v/>
      </c>
      <c r="R2197" s="79" t="str">
        <f>IF(AND($N2197=$Q$7,$B2197&lt;'111'!$L$11),"x","")</f>
        <v/>
      </c>
      <c r="S2197" s="79" t="str">
        <f>IF(AND($O2197=$Q$7,$B2197&lt;'111'!$L$11),"x","")</f>
        <v/>
      </c>
      <c r="T2197" s="79" t="str">
        <f>IF(ISERROR(FIND('112'!$M$9,G2197,1)),"",IF((AND(FIND('112'!$M$9,G2197,1)&gt;=1,B2197='112'!$K$9,OR($N2197='112'!$I$6,$O2197='112'!$I$6))),"x",""))</f>
        <v/>
      </c>
      <c r="U2197" s="79" t="str">
        <f>IF(ISERROR(FIND('112'!$M$9,G2197,1)),"",IF((AND(LEFT(G2197,2)=LEFT('112'!$M$9,2),B2197&lt;'112'!$K$9,$N2197='112'!$I$6)),"x",""))</f>
        <v/>
      </c>
      <c r="V2197" s="79" t="str">
        <f>IF(ISERROR(FIND('112'!$M$9,G2197,1)),"",IF((AND(RIGHT(G2197,2)=RIGHT('112'!$M$9,2),B2197&lt;'112'!$K$9,$O2197='112'!$I$6)),"x",""))</f>
        <v/>
      </c>
      <c r="W2197" s="79" t="str">
        <f>IF(AND('341-CT'!$H$9=H2197,OR(LEFT(N2197,3)=$W$7,LEFT(O2197,3)=$W$7)),"x","")</f>
        <v/>
      </c>
      <c r="X2197" s="79" t="str">
        <f>IF(OR(TH!N2197=TH!$X$7,O2197=TH!$X$7),"x","")</f>
        <v/>
      </c>
      <c r="Y2197" s="79" t="str">
        <f>IF(AND(OR(N2197="131",O2197="131"),H2197='131-CT'!$H$9),"x","")</f>
        <v/>
      </c>
      <c r="Z2197" s="79"/>
      <c r="AA2197" s="79" t="str">
        <f>IF(AND(MONTH(E2197)='IN-NX'!$J$5,'IN-NX'!$D$7=D2197),"x","")</f>
        <v/>
      </c>
      <c r="AB2197" s="79" t="str">
        <f>IF(AND(OR(LEFT(TH!N2197,2)="15",LEFT(TH!O2197,2)="15"),LEFT(TH!O2197,3)&lt;&gt;"111",'152-CT'!$J$8=TH!F2197),"x","")</f>
        <v/>
      </c>
      <c r="AC2197" s="79" t="str">
        <f>IF(AND(OR(LEFT(TH!N2197,2)="15",LEFT(TH!O2197,2)="15"),TK!$E$7=TH!F2197),"x","")</f>
        <v/>
      </c>
      <c r="AD2197" s="79" t="str">
        <f>IF(AND(N2197="1521",MONTH(C2197)='BK-NL'!$M$11),"x","")</f>
        <v/>
      </c>
    </row>
    <row r="2198" spans="1:30" ht="16.5" customHeight="1">
      <c r="A2198" s="318" t="str">
        <f>IF(B2198&lt;&gt;"",IF(AND(B2198='IN-TC'!$S$4,OR(TH!N2198="1111",TH!O2198="1111")),TH!D2198,""),"")</f>
        <v/>
      </c>
      <c r="B2198" s="60" t="str">
        <f t="shared" si="236"/>
        <v/>
      </c>
      <c r="C2198" s="974"/>
      <c r="D2198" s="301"/>
      <c r="E2198" s="301"/>
      <c r="F2198" s="1161"/>
      <c r="G2198" s="976"/>
      <c r="H2198" s="305"/>
      <c r="I2198" s="383"/>
      <c r="J2198" s="977"/>
      <c r="K2198" s="383"/>
      <c r="L2198" s="390"/>
      <c r="M2198" s="978"/>
      <c r="N2198" s="979"/>
      <c r="O2198" s="979"/>
      <c r="P2198" s="79" t="str">
        <f>IF(AND('331-CT'!$E$7=TH!H2198,OR(N2198="331",O2198="331")),"x","")</f>
        <v/>
      </c>
      <c r="Q2198" s="79" t="str">
        <f>IF(AND(B2198='111'!$L$11,OR($N2198=$Q$7,$O2198=$Q$7)),"x","")</f>
        <v/>
      </c>
      <c r="R2198" s="79" t="str">
        <f>IF(AND($N2198=$Q$7,$B2198&lt;'111'!$L$11),"x","")</f>
        <v/>
      </c>
      <c r="S2198" s="79" t="str">
        <f>IF(AND($O2198=$Q$7,$B2198&lt;'111'!$L$11),"x","")</f>
        <v/>
      </c>
      <c r="T2198" s="79" t="str">
        <f>IF(ISERROR(FIND('112'!$M$9,G2198,1)),"",IF((AND(FIND('112'!$M$9,G2198,1)&gt;=1,B2198='112'!$K$9,OR($N2198='112'!$I$6,$O2198='112'!$I$6))),"x",""))</f>
        <v/>
      </c>
      <c r="U2198" s="79" t="str">
        <f>IF(ISERROR(FIND('112'!$M$9,G2198,1)),"",IF((AND(LEFT(G2198,2)=LEFT('112'!$M$9,2),B2198&lt;'112'!$K$9,$N2198='112'!$I$6)),"x",""))</f>
        <v/>
      </c>
      <c r="V2198" s="79" t="str">
        <f>IF(ISERROR(FIND('112'!$M$9,G2198,1)),"",IF((AND(RIGHT(G2198,2)=RIGHT('112'!$M$9,2),B2198&lt;'112'!$K$9,$O2198='112'!$I$6)),"x",""))</f>
        <v/>
      </c>
      <c r="W2198" s="79" t="str">
        <f>IF(AND('341-CT'!$H$9=H2198,OR(LEFT(N2198,3)=$W$7,LEFT(O2198,3)=$W$7)),"x","")</f>
        <v/>
      </c>
      <c r="X2198" s="79" t="str">
        <f>IF(OR(TH!N2198=TH!$X$7,O2198=TH!$X$7),"x","")</f>
        <v/>
      </c>
      <c r="Y2198" s="79" t="str">
        <f>IF(AND(OR(N2198="131",O2198="131"),H2198='131-CT'!$H$9),"x","")</f>
        <v/>
      </c>
      <c r="Z2198" s="79"/>
      <c r="AA2198" s="79" t="str">
        <f>IF(AND(MONTH(E2198)='IN-NX'!$J$5,'IN-NX'!$D$7=D2198),"x","")</f>
        <v/>
      </c>
      <c r="AB2198" s="79" t="str">
        <f>IF(AND(OR(LEFT(TH!N2198,2)="15",LEFT(TH!O2198,2)="15"),LEFT(TH!O2198,3)&lt;&gt;"111",'152-CT'!$J$8=TH!F2198),"x","")</f>
        <v/>
      </c>
      <c r="AC2198" s="79" t="str">
        <f>IF(AND(OR(LEFT(TH!N2198,2)="15",LEFT(TH!O2198,2)="15"),TK!$E$7=TH!F2198),"x","")</f>
        <v/>
      </c>
      <c r="AD2198" s="79" t="str">
        <f>IF(AND(N2198="1521",MONTH(C2198)='BK-NL'!$M$11),"x","")</f>
        <v/>
      </c>
    </row>
    <row r="2199" spans="1:30" ht="16.5" customHeight="1">
      <c r="A2199" s="318" t="str">
        <f>IF(B2199&lt;&gt;"",IF(AND(B2199='IN-TC'!$S$4,OR(TH!N2199="1111",TH!O2199="1111")),TH!D2199,""),"")</f>
        <v/>
      </c>
      <c r="B2199" s="60" t="str">
        <f t="shared" si="236"/>
        <v/>
      </c>
      <c r="C2199" s="226"/>
      <c r="D2199" s="301"/>
      <c r="E2199" s="301"/>
      <c r="F2199" s="1160"/>
      <c r="G2199" s="259"/>
      <c r="H2199" s="303"/>
      <c r="I2199" s="385"/>
      <c r="J2199" s="392"/>
      <c r="K2199" s="385"/>
      <c r="L2199" s="392"/>
      <c r="M2199" s="970"/>
      <c r="N2199" s="980"/>
      <c r="O2199" s="980"/>
      <c r="P2199" s="79" t="str">
        <f>IF(AND('331-CT'!$E$7=TH!H2199,OR(N2199="331",O2199="331")),"x","")</f>
        <v/>
      </c>
      <c r="Q2199" s="79" t="str">
        <f>IF(AND(B2199='111'!$L$11,OR($N2199=$Q$7,$O2199=$Q$7)),"x","")</f>
        <v/>
      </c>
      <c r="R2199" s="79" t="str">
        <f>IF(AND($N2199=$Q$7,$B2199&lt;'111'!$L$11),"x","")</f>
        <v/>
      </c>
      <c r="S2199" s="79" t="str">
        <f>IF(AND($O2199=$Q$7,$B2199&lt;'111'!$L$11),"x","")</f>
        <v/>
      </c>
      <c r="T2199" s="79" t="str">
        <f>IF(ISERROR(FIND('112'!$M$9,G2199,1)),"",IF((AND(FIND('112'!$M$9,G2199,1)&gt;=1,B2199='112'!$K$9,OR($N2199='112'!$I$6,$O2199='112'!$I$6))),"x",""))</f>
        <v/>
      </c>
      <c r="U2199" s="79" t="str">
        <f>IF(ISERROR(FIND('112'!$M$9,G2199,1)),"",IF((AND(LEFT(G2199,2)=LEFT('112'!$M$9,2),B2199&lt;'112'!$K$9,$N2199='112'!$I$6)),"x",""))</f>
        <v/>
      </c>
      <c r="V2199" s="79" t="str">
        <f>IF(ISERROR(FIND('112'!$M$9,G2199,1)),"",IF((AND(RIGHT(G2199,2)=RIGHT('112'!$M$9,2),B2199&lt;'112'!$K$9,$O2199='112'!$I$6)),"x",""))</f>
        <v/>
      </c>
      <c r="W2199" s="79" t="str">
        <f>IF(AND('341-CT'!$H$9=H2199,OR(LEFT(N2199,3)=$W$7,LEFT(O2199,3)=$W$7)),"x","")</f>
        <v/>
      </c>
      <c r="X2199" s="79" t="str">
        <f>IF(OR(TH!N2199=TH!$X$7,O2199=TH!$X$7),"x","")</f>
        <v/>
      </c>
      <c r="Y2199" s="79" t="str">
        <f>IF(AND(OR(N2199="131",O2199="131"),H2199='131-CT'!$H$9),"x","")</f>
        <v/>
      </c>
      <c r="Z2199" s="79"/>
      <c r="AA2199" s="79" t="str">
        <f>IF(AND(MONTH(E2199)='IN-NX'!$J$5,'IN-NX'!$D$7=D2199),"x","")</f>
        <v/>
      </c>
      <c r="AB2199" s="79" t="str">
        <f>IF(AND(OR(LEFT(TH!N2199,2)="15",LEFT(TH!O2199,2)="15"),LEFT(TH!O2199,3)&lt;&gt;"111",'152-CT'!$J$8=TH!F2199),"x","")</f>
        <v/>
      </c>
      <c r="AC2199" s="79" t="str">
        <f>IF(AND(OR(LEFT(TH!N2199,2)="15",LEFT(TH!O2199,2)="15"),TK!$E$7=TH!F2199),"x","")</f>
        <v/>
      </c>
      <c r="AD2199" s="79" t="str">
        <f>IF(AND(N2199="1521",MONTH(C2199)='BK-NL'!$M$11),"x","")</f>
        <v/>
      </c>
    </row>
    <row r="2200" spans="1:30" ht="16.5" customHeight="1">
      <c r="A2200" s="318" t="str">
        <f>IF(B2200&lt;&gt;"",IF(AND(B2200='IN-TC'!$S$4,OR(TH!N2200="1111",TH!O2200="1111")),TH!D2200,""),"")</f>
        <v/>
      </c>
      <c r="B2200" s="60" t="str">
        <f t="shared" si="236"/>
        <v/>
      </c>
      <c r="C2200" s="226"/>
      <c r="D2200" s="301"/>
      <c r="E2200" s="301"/>
      <c r="F2200" s="1160"/>
      <c r="G2200" s="259"/>
      <c r="H2200" s="303"/>
      <c r="I2200" s="385"/>
      <c r="J2200" s="392"/>
      <c r="K2200" s="385"/>
      <c r="L2200" s="392"/>
      <c r="M2200" s="970"/>
      <c r="N2200" s="980"/>
      <c r="O2200" s="980"/>
      <c r="P2200" s="79" t="str">
        <f>IF(AND('331-CT'!$E$7=TH!H2200,OR(N2200="331",O2200="331")),"x","")</f>
        <v/>
      </c>
      <c r="Q2200" s="79" t="str">
        <f>IF(AND(B2200='111'!$L$11,OR($N2200=$Q$7,$O2200=$Q$7)),"x","")</f>
        <v/>
      </c>
      <c r="R2200" s="79" t="str">
        <f>IF(AND($N2200=$Q$7,$B2200&lt;'111'!$L$11),"x","")</f>
        <v/>
      </c>
      <c r="S2200" s="79" t="str">
        <f>IF(AND($O2200=$Q$7,$B2200&lt;'111'!$L$11),"x","")</f>
        <v/>
      </c>
      <c r="T2200" s="79" t="str">
        <f>IF(ISERROR(FIND('112'!$M$9,G2200,1)),"",IF((AND(FIND('112'!$M$9,G2200,1)&gt;=1,B2200='112'!$K$9,OR($N2200='112'!$I$6,$O2200='112'!$I$6))),"x",""))</f>
        <v/>
      </c>
      <c r="U2200" s="79" t="str">
        <f>IF(ISERROR(FIND('112'!$M$9,G2200,1)),"",IF((AND(LEFT(G2200,2)=LEFT('112'!$M$9,2),B2200&lt;'112'!$K$9,$N2200='112'!$I$6)),"x",""))</f>
        <v/>
      </c>
      <c r="V2200" s="79" t="str">
        <f>IF(ISERROR(FIND('112'!$M$9,G2200,1)),"",IF((AND(RIGHT(G2200,2)=RIGHT('112'!$M$9,2),B2200&lt;'112'!$K$9,$O2200='112'!$I$6)),"x",""))</f>
        <v/>
      </c>
      <c r="W2200" s="79" t="str">
        <f>IF(AND('341-CT'!$H$9=H2200,OR(LEFT(N2200,3)=$W$7,LEFT(O2200,3)=$W$7)),"x","")</f>
        <v/>
      </c>
      <c r="X2200" s="79" t="str">
        <f>IF(OR(TH!N2200=TH!$X$7,O2200=TH!$X$7),"x","")</f>
        <v/>
      </c>
      <c r="Y2200" s="79" t="str">
        <f>IF(AND(OR(N2200="131",O2200="131"),H2200='131-CT'!$H$9),"x","")</f>
        <v/>
      </c>
      <c r="Z2200" s="79"/>
      <c r="AA2200" s="79" t="str">
        <f>IF(AND(MONTH(E2200)='IN-NX'!$J$5,'IN-NX'!$D$7=D2200),"x","")</f>
        <v/>
      </c>
      <c r="AB2200" s="79" t="str">
        <f>IF(AND(OR(LEFT(TH!N2200,2)="15",LEFT(TH!O2200,2)="15"),LEFT(TH!O2200,3)&lt;&gt;"111",'152-CT'!$J$8=TH!F2200),"x","")</f>
        <v/>
      </c>
      <c r="AC2200" s="79" t="str">
        <f>IF(AND(OR(LEFT(TH!N2200,2)="15",LEFT(TH!O2200,2)="15"),TK!$E$7=TH!F2200),"x","")</f>
        <v/>
      </c>
      <c r="AD2200" s="79" t="str">
        <f>IF(AND(N2200="1521",MONTH(C2200)='BK-NL'!$M$11),"x","")</f>
        <v/>
      </c>
    </row>
    <row r="2201" spans="1:30" ht="16.5" customHeight="1">
      <c r="A2201" s="318" t="str">
        <f>IF(B2201&lt;&gt;"",IF(AND(B2201='IN-TC'!$S$4,OR(TH!N2201="1111",TH!O2201="1111")),TH!D2201,""),"")</f>
        <v/>
      </c>
      <c r="B2201" s="60" t="str">
        <f t="shared" si="236"/>
        <v/>
      </c>
      <c r="C2201" s="61"/>
      <c r="D2201" s="301"/>
      <c r="E2201" s="301"/>
      <c r="F2201" s="1161"/>
      <c r="G2201" s="976"/>
      <c r="H2201" s="305"/>
      <c r="I2201" s="383"/>
      <c r="J2201" s="977"/>
      <c r="K2201" s="383"/>
      <c r="L2201" s="390"/>
      <c r="M2201" s="978"/>
      <c r="N2201" s="979"/>
      <c r="O2201" s="979"/>
      <c r="P2201" s="79" t="str">
        <f>IF(AND('331-CT'!$E$7=TH!H2201,OR(N2201="331",O2201="331")),"x","")</f>
        <v/>
      </c>
      <c r="Q2201" s="79" t="str">
        <f>IF(AND(B2201='111'!$L$11,OR($N2201=$Q$7,$O2201=$Q$7)),"x","")</f>
        <v/>
      </c>
      <c r="R2201" s="79" t="str">
        <f>IF(AND($N2201=$Q$7,$B2201&lt;'111'!$L$11),"x","")</f>
        <v/>
      </c>
      <c r="S2201" s="79" t="str">
        <f>IF(AND($O2201=$Q$7,$B2201&lt;'111'!$L$11),"x","")</f>
        <v/>
      </c>
      <c r="T2201" s="79" t="str">
        <f>IF(ISERROR(FIND('112'!$M$9,G2201,1)),"",IF((AND(FIND('112'!$M$9,G2201,1)&gt;=1,B2201='112'!$K$9,OR($N2201='112'!$I$6,$O2201='112'!$I$6))),"x",""))</f>
        <v/>
      </c>
      <c r="U2201" s="79" t="str">
        <f>IF(ISERROR(FIND('112'!$M$9,G2201,1)),"",IF((AND(LEFT(G2201,2)=LEFT('112'!$M$9,2),B2201&lt;'112'!$K$9,$N2201='112'!$I$6)),"x",""))</f>
        <v/>
      </c>
      <c r="V2201" s="79" t="str">
        <f>IF(ISERROR(FIND('112'!$M$9,G2201,1)),"",IF((AND(RIGHT(G2201,2)=RIGHT('112'!$M$9,2),B2201&lt;'112'!$K$9,$O2201='112'!$I$6)),"x",""))</f>
        <v/>
      </c>
      <c r="W2201" s="79" t="str">
        <f>IF(AND('341-CT'!$H$9=H2201,OR(LEFT(N2201,3)=$W$7,LEFT(O2201,3)=$W$7)),"x","")</f>
        <v/>
      </c>
      <c r="X2201" s="79" t="str">
        <f>IF(OR(TH!N2201=TH!$X$7,O2201=TH!$X$7),"x","")</f>
        <v/>
      </c>
      <c r="Y2201" s="79" t="str">
        <f>IF(AND(OR(N2201="131",O2201="131"),H2201='131-CT'!$H$9),"x","")</f>
        <v/>
      </c>
      <c r="Z2201" s="79"/>
      <c r="AA2201" s="79" t="str">
        <f>IF(AND(MONTH(E2201)='IN-NX'!$J$5,'IN-NX'!$D$7=D2201),"x","")</f>
        <v/>
      </c>
      <c r="AB2201" s="79" t="str">
        <f>IF(AND(OR(LEFT(TH!N2201,2)="15",LEFT(TH!O2201,2)="15"),LEFT(TH!O2201,3)&lt;&gt;"111",'152-CT'!$J$8=TH!F2201),"x","")</f>
        <v/>
      </c>
      <c r="AC2201" s="79" t="str">
        <f>IF(AND(OR(LEFT(TH!N2201,2)="15",LEFT(TH!O2201,2)="15"),TK!$E$7=TH!F2201),"x","")</f>
        <v/>
      </c>
      <c r="AD2201" s="79" t="str">
        <f>IF(AND(N2201="1521",MONTH(C2201)='BK-NL'!$M$11),"x","")</f>
        <v/>
      </c>
    </row>
    <row r="2202" spans="1:30" ht="16.5" customHeight="1">
      <c r="A2202" s="318" t="str">
        <f>IF(B2202&lt;&gt;"",IF(AND(B2202='IN-TC'!$S$4,OR(TH!N2202="1111",TH!O2202="1111")),TH!D2202,""),"")</f>
        <v/>
      </c>
      <c r="B2202" s="60" t="str">
        <f t="shared" si="236"/>
        <v/>
      </c>
      <c r="C2202" s="1002"/>
      <c r="D2202" s="998"/>
      <c r="E2202" s="998"/>
      <c r="F2202" s="1170"/>
      <c r="G2202" s="1003"/>
      <c r="H2202" s="982"/>
      <c r="I2202" s="984"/>
      <c r="J2202" s="1000"/>
      <c r="K2202" s="984"/>
      <c r="L2202" s="983"/>
      <c r="M2202" s="985"/>
      <c r="N2202" s="1001"/>
      <c r="O2202" s="1001"/>
      <c r="P2202" s="79" t="str">
        <f>IF(AND('331-CT'!$E$7=TH!H2202,OR(N2202="331",O2202="331")),"x","")</f>
        <v/>
      </c>
      <c r="Q2202" s="79" t="str">
        <f>IF(AND(B2202='111'!$L$11,OR($N2202=$Q$7,$O2202=$Q$7)),"x","")</f>
        <v/>
      </c>
      <c r="R2202" s="79" t="str">
        <f>IF(AND($N2202=$Q$7,$B2202&lt;'111'!$L$11),"x","")</f>
        <v/>
      </c>
      <c r="S2202" s="79" t="str">
        <f>IF(AND($O2202=$Q$7,$B2202&lt;'111'!$L$11),"x","")</f>
        <v/>
      </c>
      <c r="T2202" s="79" t="str">
        <f>IF(ISERROR(FIND('112'!$M$9,G2202,1)),"",IF((AND(FIND('112'!$M$9,G2202,1)&gt;=1,B2202='112'!$K$9,OR($N2202='112'!$I$6,$O2202='112'!$I$6))),"x",""))</f>
        <v/>
      </c>
      <c r="U2202" s="79" t="str">
        <f>IF(ISERROR(FIND('112'!$M$9,G2202,1)),"",IF((AND(LEFT(G2202,2)=LEFT('112'!$M$9,2),B2202&lt;'112'!$K$9,$N2202='112'!$I$6)),"x",""))</f>
        <v/>
      </c>
      <c r="V2202" s="79" t="str">
        <f>IF(ISERROR(FIND('112'!$M$9,G2202,1)),"",IF((AND(RIGHT(G2202,2)=RIGHT('112'!$M$9,2),B2202&lt;'112'!$K$9,$O2202='112'!$I$6)),"x",""))</f>
        <v/>
      </c>
      <c r="W2202" s="79" t="str">
        <f>IF(AND('341-CT'!$H$9=H2202,OR(LEFT(N2202,3)=$W$7,LEFT(O2202,3)=$W$7)),"x","")</f>
        <v/>
      </c>
      <c r="X2202" s="79" t="str">
        <f>IF(OR(TH!N2202=TH!$X$7,O2202=TH!$X$7),"x","")</f>
        <v/>
      </c>
      <c r="Y2202" s="79" t="str">
        <f>IF(AND(OR(N2202="131",O2202="131"),H2202='131-CT'!$H$9),"x","")</f>
        <v/>
      </c>
      <c r="Z2202" s="79"/>
      <c r="AA2202" s="79" t="str">
        <f>IF(AND(MONTH(E2202)='IN-NX'!$J$5,'IN-NX'!$D$7=D2202),"x","")</f>
        <v/>
      </c>
      <c r="AB2202" s="79" t="str">
        <f>IF(AND(OR(LEFT(TH!N2202,2)="15",LEFT(TH!O2202,2)="15"),LEFT(TH!O2202,3)&lt;&gt;"111",'152-CT'!$J$8=TH!F2202),"x","")</f>
        <v/>
      </c>
      <c r="AC2202" s="79" t="str">
        <f>IF(AND(OR(LEFT(TH!N2202,2)="15",LEFT(TH!O2202,2)="15"),TK!$E$7=TH!F2202),"x","")</f>
        <v/>
      </c>
      <c r="AD2202" s="79" t="str">
        <f>IF(AND(N2202="1521",MONTH(C2202)='BK-NL'!$M$11),"x","")</f>
        <v/>
      </c>
    </row>
    <row r="2203" spans="1:30" ht="16.5" customHeight="1">
      <c r="A2203" s="318" t="str">
        <f>IF(B2203&lt;&gt;"",IF(AND(B2203='IN-TC'!$S$4,OR(TH!N2203="1111",TH!O2203="1111")),TH!D2203,""),"")</f>
        <v/>
      </c>
      <c r="B2203" s="60" t="str">
        <f t="shared" si="236"/>
        <v/>
      </c>
      <c r="C2203" s="61"/>
      <c r="D2203" s="301"/>
      <c r="E2203" s="301"/>
      <c r="F2203" s="1160"/>
      <c r="G2203" s="766"/>
      <c r="H2203" s="321"/>
      <c r="I2203" s="385"/>
      <c r="J2203" s="392"/>
      <c r="K2203" s="385"/>
      <c r="L2203" s="392"/>
      <c r="M2203" s="62"/>
      <c r="N2203" s="63"/>
      <c r="O2203" s="979"/>
      <c r="P2203" s="79" t="str">
        <f>IF(AND('331-CT'!$E$7=TH!H2203,OR(N2203="331",O2203="331")),"x","")</f>
        <v/>
      </c>
      <c r="Q2203" s="79" t="str">
        <f>IF(AND(B2203='111'!$L$11,OR($N2203=$Q$7,$O2203=$Q$7)),"x","")</f>
        <v/>
      </c>
      <c r="R2203" s="79" t="str">
        <f>IF(AND($N2203=$Q$7,$B2203&lt;'111'!$L$11),"x","")</f>
        <v/>
      </c>
      <c r="S2203" s="79" t="str">
        <f>IF(AND($O2203=$Q$7,$B2203&lt;'111'!$L$11),"x","")</f>
        <v/>
      </c>
      <c r="T2203" s="79" t="str">
        <f>IF(ISERROR(FIND('112'!$M$9,G2203,1)),"",IF((AND(FIND('112'!$M$9,G2203,1)&gt;=1,B2203='112'!$K$9,OR($N2203='112'!$I$6,$O2203='112'!$I$6))),"x",""))</f>
        <v/>
      </c>
      <c r="U2203" s="79" t="str">
        <f>IF(ISERROR(FIND('112'!$M$9,G2203,1)),"",IF((AND(LEFT(G2203,2)=LEFT('112'!$M$9,2),B2203&lt;'112'!$K$9,$N2203='112'!$I$6)),"x",""))</f>
        <v/>
      </c>
      <c r="V2203" s="79" t="str">
        <f>IF(ISERROR(FIND('112'!$M$9,G2203,1)),"",IF((AND(RIGHT(G2203,2)=RIGHT('112'!$M$9,2),B2203&lt;'112'!$K$9,$O2203='112'!$I$6)),"x",""))</f>
        <v/>
      </c>
      <c r="W2203" s="79" t="str">
        <f>IF(AND('341-CT'!$H$9=H2203,OR(LEFT(N2203,3)=$W$7,LEFT(O2203,3)=$W$7)),"x","")</f>
        <v/>
      </c>
      <c r="X2203" s="79" t="str">
        <f>IF(OR(TH!N2203=TH!$X$7,O2203=TH!$X$7),"x","")</f>
        <v/>
      </c>
      <c r="Y2203" s="79" t="str">
        <f>IF(AND(OR(N2203="131",O2203="131"),H2203='131-CT'!$H$9),"x","")</f>
        <v/>
      </c>
      <c r="Z2203" s="79"/>
      <c r="AA2203" s="79" t="str">
        <f>IF(AND(MONTH(E2203)='IN-NX'!$J$5,'IN-NX'!$D$7=D2203),"x","")</f>
        <v/>
      </c>
      <c r="AB2203" s="79" t="str">
        <f>IF(AND(OR(LEFT(TH!N2203,2)="15",LEFT(TH!O2203,2)="15"),LEFT(TH!O2203,3)&lt;&gt;"111",'152-CT'!$J$8=TH!F2203),"x","")</f>
        <v/>
      </c>
      <c r="AC2203" s="79" t="str">
        <f>IF(AND(OR(LEFT(TH!N2203,2)="15",LEFT(TH!O2203,2)="15"),TK!$E$7=TH!F2203),"x","")</f>
        <v/>
      </c>
      <c r="AD2203" s="79" t="str">
        <f>IF(AND(N2203="1521",MONTH(C2203)='BK-NL'!$M$11),"x","")</f>
        <v/>
      </c>
    </row>
    <row r="2204" spans="1:30" ht="16.5" customHeight="1">
      <c r="A2204" s="318" t="str">
        <f>IF(B2204&lt;&gt;"",IF(AND(B2204='IN-TC'!$S$4,OR(TH!N2204="1111",TH!O2204="1111")),TH!D2204,""),"")</f>
        <v/>
      </c>
      <c r="B2204" s="60" t="str">
        <f t="shared" si="236"/>
        <v/>
      </c>
      <c r="C2204" s="61"/>
      <c r="D2204" s="301"/>
      <c r="E2204" s="301"/>
      <c r="F2204" s="1160"/>
      <c r="G2204" s="766"/>
      <c r="H2204" s="321"/>
      <c r="I2204" s="385"/>
      <c r="J2204" s="392"/>
      <c r="K2204" s="385"/>
      <c r="L2204" s="392"/>
      <c r="M2204" s="62"/>
      <c r="N2204" s="63"/>
      <c r="O2204" s="979"/>
      <c r="P2204" s="79" t="str">
        <f>IF(AND('331-CT'!$E$7=TH!H2204,OR(N2204="331",O2204="331")),"x","")</f>
        <v/>
      </c>
      <c r="Q2204" s="79" t="str">
        <f>IF(AND(B2204='111'!$L$11,OR($N2204=$Q$7,$O2204=$Q$7)),"x","")</f>
        <v/>
      </c>
      <c r="R2204" s="79" t="str">
        <f>IF(AND($N2204=$Q$7,$B2204&lt;'111'!$L$11),"x","")</f>
        <v/>
      </c>
      <c r="S2204" s="79" t="str">
        <f>IF(AND($O2204=$Q$7,$B2204&lt;'111'!$L$11),"x","")</f>
        <v/>
      </c>
      <c r="T2204" s="79" t="str">
        <f>IF(ISERROR(FIND('112'!$M$9,G2204,1)),"",IF((AND(FIND('112'!$M$9,G2204,1)&gt;=1,B2204='112'!$K$9,OR($N2204='112'!$I$6,$O2204='112'!$I$6))),"x",""))</f>
        <v/>
      </c>
      <c r="U2204" s="79" t="str">
        <f>IF(ISERROR(FIND('112'!$M$9,G2204,1)),"",IF((AND(LEFT(G2204,2)=LEFT('112'!$M$9,2),B2204&lt;'112'!$K$9,$N2204='112'!$I$6)),"x",""))</f>
        <v/>
      </c>
      <c r="V2204" s="79" t="str">
        <f>IF(ISERROR(FIND('112'!$M$9,G2204,1)),"",IF((AND(RIGHT(G2204,2)=RIGHT('112'!$M$9,2),B2204&lt;'112'!$K$9,$O2204='112'!$I$6)),"x",""))</f>
        <v/>
      </c>
      <c r="W2204" s="79" t="str">
        <f>IF(AND('341-CT'!$H$9=H2204,OR(LEFT(N2204,3)=$W$7,LEFT(O2204,3)=$W$7)),"x","")</f>
        <v/>
      </c>
      <c r="X2204" s="79" t="str">
        <f>IF(OR(TH!N2204=TH!$X$7,O2204=TH!$X$7),"x","")</f>
        <v/>
      </c>
      <c r="Y2204" s="79" t="str">
        <f>IF(AND(OR(N2204="131",O2204="131"),H2204='131-CT'!$H$9),"x","")</f>
        <v/>
      </c>
      <c r="Z2204" s="79"/>
      <c r="AA2204" s="79" t="str">
        <f>IF(AND(MONTH(E2204)='IN-NX'!$J$5,'IN-NX'!$D$7=D2204),"x","")</f>
        <v/>
      </c>
      <c r="AB2204" s="79" t="str">
        <f>IF(AND(OR(LEFT(TH!N2204,2)="15",LEFT(TH!O2204,2)="15"),LEFT(TH!O2204,3)&lt;&gt;"111",'152-CT'!$J$8=TH!F2204),"x","")</f>
        <v/>
      </c>
      <c r="AC2204" s="79" t="str">
        <f>IF(AND(OR(LEFT(TH!N2204,2)="15",LEFT(TH!O2204,2)="15"),TK!$E$7=TH!F2204),"x","")</f>
        <v/>
      </c>
      <c r="AD2204" s="79" t="str">
        <f>IF(AND(N2204="1521",MONTH(C2204)='BK-NL'!$M$11),"x","")</f>
        <v/>
      </c>
    </row>
    <row r="2205" spans="1:30" ht="16.5" customHeight="1">
      <c r="A2205" s="318" t="str">
        <f>IF(B2205&lt;&gt;"",IF(AND(B2205='IN-TC'!$S$4,OR(TH!N2205="1111",TH!O2205="1111")),TH!D2205,""),"")</f>
        <v/>
      </c>
      <c r="B2205" s="60" t="str">
        <f t="shared" si="236"/>
        <v/>
      </c>
      <c r="C2205" s="61"/>
      <c r="D2205" s="301"/>
      <c r="E2205" s="301"/>
      <c r="F2205" s="136"/>
      <c r="G2205" s="766"/>
      <c r="H2205" s="321"/>
      <c r="I2205" s="385"/>
      <c r="J2205" s="392"/>
      <c r="K2205" s="385"/>
      <c r="L2205" s="392"/>
      <c r="M2205" s="62"/>
      <c r="N2205" s="63"/>
      <c r="O2205" s="979"/>
      <c r="P2205" s="79" t="str">
        <f>IF(AND('331-CT'!$E$7=TH!H2205,OR(N2205="331",O2205="331")),"x","")</f>
        <v/>
      </c>
      <c r="Q2205" s="79" t="str">
        <f>IF(AND(B2205='111'!$L$11,OR($N2205=$Q$7,$O2205=$Q$7)),"x","")</f>
        <v/>
      </c>
      <c r="R2205" s="79" t="str">
        <f>IF(AND($N2205=$Q$7,$B2205&lt;'111'!$L$11),"x","")</f>
        <v/>
      </c>
      <c r="S2205" s="79" t="str">
        <f>IF(AND($O2205=$Q$7,$B2205&lt;'111'!$L$11),"x","")</f>
        <v/>
      </c>
      <c r="T2205" s="79" t="str">
        <f>IF(ISERROR(FIND('112'!$M$9,G2205,1)),"",IF((AND(FIND('112'!$M$9,G2205,1)&gt;=1,B2205='112'!$K$9,OR($N2205='112'!$I$6,$O2205='112'!$I$6))),"x",""))</f>
        <v/>
      </c>
      <c r="U2205" s="79" t="str">
        <f>IF(ISERROR(FIND('112'!$M$9,G2205,1)),"",IF((AND(LEFT(G2205,2)=LEFT('112'!$M$9,2),B2205&lt;'112'!$K$9,$N2205='112'!$I$6)),"x",""))</f>
        <v/>
      </c>
      <c r="V2205" s="79" t="str">
        <f>IF(ISERROR(FIND('112'!$M$9,G2205,1)),"",IF((AND(RIGHT(G2205,2)=RIGHT('112'!$M$9,2),B2205&lt;'112'!$K$9,$O2205='112'!$I$6)),"x",""))</f>
        <v/>
      </c>
      <c r="W2205" s="79" t="str">
        <f>IF(AND('341-CT'!$H$9=H2205,OR(LEFT(N2205,3)=$W$7,LEFT(O2205,3)=$W$7)),"x","")</f>
        <v/>
      </c>
      <c r="X2205" s="79" t="str">
        <f>IF(OR(TH!N2205=TH!$X$7,O2205=TH!$X$7),"x","")</f>
        <v/>
      </c>
      <c r="Y2205" s="79" t="str">
        <f>IF(AND(OR(N2205="131",O2205="131"),H2205='131-CT'!$H$9),"x","")</f>
        <v/>
      </c>
      <c r="Z2205" s="79"/>
      <c r="AA2205" s="79" t="str">
        <f>IF(AND(MONTH(E2205)='IN-NX'!$J$5,'IN-NX'!$D$7=D2205),"x","")</f>
        <v/>
      </c>
      <c r="AB2205" s="79" t="str">
        <f>IF(AND(OR(LEFT(TH!N2205,2)="15",LEFT(TH!O2205,2)="15"),LEFT(TH!O2205,3)&lt;&gt;"111",'152-CT'!$J$8=TH!F2205),"x","")</f>
        <v/>
      </c>
      <c r="AC2205" s="79" t="str">
        <f>IF(AND(OR(LEFT(TH!N2205,2)="15",LEFT(TH!O2205,2)="15"),TK!$E$7=TH!F2205),"x","")</f>
        <v/>
      </c>
      <c r="AD2205" s="79" t="str">
        <f>IF(AND(N2205="1521",MONTH(C2205)='BK-NL'!$M$11),"x","")</f>
        <v/>
      </c>
    </row>
    <row r="2206" spans="1:30" ht="16.5" customHeight="1">
      <c r="A2206" s="318" t="str">
        <f>IF(B2206&lt;&gt;"",IF(AND(B2206='IN-TC'!$S$4,OR(TH!N2206="1111",TH!O2206="1111")),TH!D2206,""),"")</f>
        <v/>
      </c>
      <c r="B2206" s="60" t="str">
        <f t="shared" si="236"/>
        <v/>
      </c>
      <c r="C2206" s="61"/>
      <c r="D2206" s="301"/>
      <c r="E2206" s="301"/>
      <c r="F2206" s="136"/>
      <c r="G2206" s="766"/>
      <c r="H2206" s="321"/>
      <c r="I2206" s="385"/>
      <c r="J2206" s="392"/>
      <c r="K2206" s="385"/>
      <c r="L2206" s="392"/>
      <c r="M2206" s="62"/>
      <c r="N2206" s="63"/>
      <c r="O2206" s="979"/>
      <c r="P2206" s="79" t="str">
        <f>IF(AND('331-CT'!$E$7=TH!H2206,OR(N2206="331",O2206="331")),"x","")</f>
        <v/>
      </c>
      <c r="Q2206" s="79" t="str">
        <f>IF(AND(B2206='111'!$L$11,OR($N2206=$Q$7,$O2206=$Q$7)),"x","")</f>
        <v/>
      </c>
      <c r="R2206" s="79" t="str">
        <f>IF(AND($N2206=$Q$7,$B2206&lt;'111'!$L$11),"x","")</f>
        <v/>
      </c>
      <c r="S2206" s="79" t="str">
        <f>IF(AND($O2206=$Q$7,$B2206&lt;'111'!$L$11),"x","")</f>
        <v/>
      </c>
      <c r="T2206" s="79" t="str">
        <f>IF(ISERROR(FIND('112'!$M$9,G2206,1)),"",IF((AND(FIND('112'!$M$9,G2206,1)&gt;=1,B2206='112'!$K$9,OR($N2206='112'!$I$6,$O2206='112'!$I$6))),"x",""))</f>
        <v/>
      </c>
      <c r="U2206" s="79" t="str">
        <f>IF(ISERROR(FIND('112'!$M$9,G2206,1)),"",IF((AND(LEFT(G2206,2)=LEFT('112'!$M$9,2),B2206&lt;'112'!$K$9,$N2206='112'!$I$6)),"x",""))</f>
        <v/>
      </c>
      <c r="V2206" s="79" t="str">
        <f>IF(ISERROR(FIND('112'!$M$9,G2206,1)),"",IF((AND(RIGHT(G2206,2)=RIGHT('112'!$M$9,2),B2206&lt;'112'!$K$9,$O2206='112'!$I$6)),"x",""))</f>
        <v/>
      </c>
      <c r="W2206" s="79" t="str">
        <f>IF(AND('341-CT'!$H$9=H2206,OR(LEFT(N2206,3)=$W$7,LEFT(O2206,3)=$W$7)),"x","")</f>
        <v/>
      </c>
      <c r="X2206" s="79" t="str">
        <f>IF(OR(TH!N2206=TH!$X$7,O2206=TH!$X$7),"x","")</f>
        <v/>
      </c>
      <c r="Y2206" s="79" t="str">
        <f>IF(AND(OR(N2206="131",O2206="131"),H2206='131-CT'!$H$9),"x","")</f>
        <v/>
      </c>
      <c r="Z2206" s="79"/>
      <c r="AA2206" s="79" t="str">
        <f>IF(AND(MONTH(E2206)='IN-NX'!$J$5,'IN-NX'!$D$7=D2206),"x","")</f>
        <v/>
      </c>
      <c r="AB2206" s="79" t="str">
        <f>IF(AND(OR(LEFT(TH!N2206,2)="15",LEFT(TH!O2206,2)="15"),LEFT(TH!O2206,3)&lt;&gt;"111",'152-CT'!$J$8=TH!F2206),"x","")</f>
        <v/>
      </c>
      <c r="AC2206" s="79" t="str">
        <f>IF(AND(OR(LEFT(TH!N2206,2)="15",LEFT(TH!O2206,2)="15"),TK!$E$7=TH!F2206),"x","")</f>
        <v/>
      </c>
      <c r="AD2206" s="79" t="str">
        <f>IF(AND(N2206="1521",MONTH(C2206)='BK-NL'!$M$11),"x","")</f>
        <v/>
      </c>
    </row>
    <row r="2207" spans="1:30" ht="16.5" customHeight="1">
      <c r="A2207" s="318" t="str">
        <f>IF(B2207&lt;&gt;"",IF(AND(B2207='IN-TC'!$S$4,OR(TH!N2207="1111",TH!O2207="1111")),TH!D2207,""),"")</f>
        <v/>
      </c>
      <c r="B2207" s="60" t="str">
        <f t="shared" si="236"/>
        <v/>
      </c>
      <c r="C2207" s="61"/>
      <c r="D2207" s="301"/>
      <c r="E2207" s="301"/>
      <c r="F2207" s="136"/>
      <c r="G2207" s="766"/>
      <c r="H2207" s="321"/>
      <c r="I2207" s="385"/>
      <c r="J2207" s="392"/>
      <c r="K2207" s="385"/>
      <c r="L2207" s="392"/>
      <c r="M2207" s="62"/>
      <c r="N2207" s="63"/>
      <c r="O2207" s="979"/>
      <c r="P2207" s="79" t="str">
        <f>IF(AND('331-CT'!$E$7=TH!H2207,OR(N2207="331",O2207="331")),"x","")</f>
        <v/>
      </c>
      <c r="Q2207" s="79" t="str">
        <f>IF(AND(B2207='111'!$L$11,OR($N2207=$Q$7,$O2207=$Q$7)),"x","")</f>
        <v/>
      </c>
      <c r="R2207" s="79" t="str">
        <f>IF(AND($N2207=$Q$7,$B2207&lt;'111'!$L$11),"x","")</f>
        <v/>
      </c>
      <c r="S2207" s="79" t="str">
        <f>IF(AND($O2207=$Q$7,$B2207&lt;'111'!$L$11),"x","")</f>
        <v/>
      </c>
      <c r="T2207" s="79" t="str">
        <f>IF(ISERROR(FIND('112'!$M$9,G2207,1)),"",IF((AND(FIND('112'!$M$9,G2207,1)&gt;=1,B2207='112'!$K$9,OR($N2207='112'!$I$6,$O2207='112'!$I$6))),"x",""))</f>
        <v/>
      </c>
      <c r="U2207" s="79" t="str">
        <f>IF(ISERROR(FIND('112'!$M$9,G2207,1)),"",IF((AND(LEFT(G2207,2)=LEFT('112'!$M$9,2),B2207&lt;'112'!$K$9,$N2207='112'!$I$6)),"x",""))</f>
        <v/>
      </c>
      <c r="V2207" s="79" t="str">
        <f>IF(ISERROR(FIND('112'!$M$9,G2207,1)),"",IF((AND(RIGHT(G2207,2)=RIGHT('112'!$M$9,2),B2207&lt;'112'!$K$9,$O2207='112'!$I$6)),"x",""))</f>
        <v/>
      </c>
      <c r="W2207" s="79" t="str">
        <f>IF(AND('341-CT'!$H$9=H2207,OR(LEFT(N2207,3)=$W$7,LEFT(O2207,3)=$W$7)),"x","")</f>
        <v/>
      </c>
      <c r="X2207" s="79" t="str">
        <f>IF(OR(TH!N2207=TH!$X$7,O2207=TH!$X$7),"x","")</f>
        <v/>
      </c>
      <c r="Y2207" s="79" t="str">
        <f>IF(AND(OR(N2207="131",O2207="131"),H2207='131-CT'!$H$9),"x","")</f>
        <v/>
      </c>
      <c r="Z2207" s="79"/>
      <c r="AA2207" s="79" t="str">
        <f>IF(AND(MONTH(E2207)='IN-NX'!$J$5,'IN-NX'!$D$7=D2207),"x","")</f>
        <v/>
      </c>
      <c r="AB2207" s="79" t="str">
        <f>IF(AND(OR(LEFT(TH!N2207,2)="15",LEFT(TH!O2207,2)="15"),LEFT(TH!O2207,3)&lt;&gt;"111",'152-CT'!$J$8=TH!F2207),"x","")</f>
        <v/>
      </c>
      <c r="AC2207" s="79" t="str">
        <f>IF(AND(OR(LEFT(TH!N2207,2)="15",LEFT(TH!O2207,2)="15"),TK!$E$7=TH!F2207),"x","")</f>
        <v/>
      </c>
      <c r="AD2207" s="79" t="str">
        <f>IF(AND(N2207="1521",MONTH(C2207)='BK-NL'!$M$11),"x","")</f>
        <v/>
      </c>
    </row>
    <row r="2208" spans="1:30" ht="16.5" customHeight="1">
      <c r="A2208" s="318" t="str">
        <f>IF(B2208&lt;&gt;"",IF(AND(B2208='IN-TC'!$S$4,OR(TH!N2208="1111",TH!O2208="1111")),TH!D2208,""),"")</f>
        <v/>
      </c>
      <c r="B2208" s="60" t="str">
        <f t="shared" si="236"/>
        <v/>
      </c>
      <c r="C2208" s="61"/>
      <c r="D2208" s="301"/>
      <c r="E2208" s="301"/>
      <c r="F2208" s="64"/>
      <c r="G2208" s="766"/>
      <c r="H2208" s="321"/>
      <c r="I2208" s="385"/>
      <c r="J2208" s="392"/>
      <c r="K2208" s="385"/>
      <c r="L2208" s="392"/>
      <c r="M2208" s="62"/>
      <c r="N2208" s="63"/>
      <c r="O2208" s="979"/>
      <c r="P2208" s="79" t="str">
        <f>IF(AND('331-CT'!$E$7=TH!H2208,OR(N2208="331",O2208="331")),"x","")</f>
        <v/>
      </c>
      <c r="Q2208" s="79" t="str">
        <f>IF(AND(B2208='111'!$L$11,OR($N2208=$Q$7,$O2208=$Q$7)),"x","")</f>
        <v/>
      </c>
      <c r="R2208" s="79" t="str">
        <f>IF(AND($N2208=$Q$7,$B2208&lt;'111'!$L$11),"x","")</f>
        <v/>
      </c>
      <c r="S2208" s="79" t="str">
        <f>IF(AND($O2208=$Q$7,$B2208&lt;'111'!$L$11),"x","")</f>
        <v/>
      </c>
      <c r="T2208" s="79" t="str">
        <f>IF(ISERROR(FIND('112'!$M$9,G2208,1)),"",IF((AND(FIND('112'!$M$9,G2208,1)&gt;=1,B2208='112'!$K$9,OR($N2208='112'!$I$6,$O2208='112'!$I$6))),"x",""))</f>
        <v/>
      </c>
      <c r="U2208" s="79" t="str">
        <f>IF(ISERROR(FIND('112'!$M$9,G2208,1)),"",IF((AND(LEFT(G2208,2)=LEFT('112'!$M$9,2),B2208&lt;'112'!$K$9,$N2208='112'!$I$6)),"x",""))</f>
        <v/>
      </c>
      <c r="V2208" s="79" t="str">
        <f>IF(ISERROR(FIND('112'!$M$9,G2208,1)),"",IF((AND(RIGHT(G2208,2)=RIGHT('112'!$M$9,2),B2208&lt;'112'!$K$9,$O2208='112'!$I$6)),"x",""))</f>
        <v/>
      </c>
      <c r="W2208" s="79" t="str">
        <f>IF(AND('341-CT'!$H$9=H2208,OR(LEFT(N2208,3)=$W$7,LEFT(O2208,3)=$W$7)),"x","")</f>
        <v/>
      </c>
      <c r="X2208" s="79" t="str">
        <f>IF(OR(TH!N2208=TH!$X$7,O2208=TH!$X$7),"x","")</f>
        <v/>
      </c>
      <c r="Y2208" s="79" t="str">
        <f>IF(AND(OR(N2208="131",O2208="131"),H2208='131-CT'!$H$9),"x","")</f>
        <v/>
      </c>
      <c r="Z2208" s="79"/>
      <c r="AA2208" s="79" t="str">
        <f>IF(AND(MONTH(E2208)='IN-NX'!$J$5,'IN-NX'!$D$7=D2208),"x","")</f>
        <v/>
      </c>
      <c r="AB2208" s="79" t="str">
        <f>IF(AND(OR(LEFT(TH!N2208,2)="15",LEFT(TH!O2208,2)="15"),LEFT(TH!O2208,3)&lt;&gt;"111",'152-CT'!$J$8=TH!F2208),"x","")</f>
        <v/>
      </c>
      <c r="AC2208" s="79" t="str">
        <f>IF(AND(OR(LEFT(TH!N2208,2)="15",LEFT(TH!O2208,2)="15"),TK!$E$7=TH!F2208),"x","")</f>
        <v/>
      </c>
      <c r="AD2208" s="79" t="str">
        <f>IF(AND(N2208="1521",MONTH(C2208)='BK-NL'!$M$11),"x","")</f>
        <v/>
      </c>
    </row>
    <row r="2209" spans="1:30" ht="16.5" customHeight="1">
      <c r="A2209" s="318" t="str">
        <f>IF(B2209&lt;&gt;"",IF(AND(B2209='IN-TC'!$S$4,OR(TH!N2209="1111",TH!O2209="1111")),TH!D2209,""),"")</f>
        <v/>
      </c>
      <c r="B2209" s="60" t="str">
        <f t="shared" si="236"/>
        <v/>
      </c>
      <c r="C2209" s="61"/>
      <c r="D2209" s="301"/>
      <c r="E2209" s="301"/>
      <c r="F2209" s="64"/>
      <c r="G2209" s="766"/>
      <c r="H2209" s="321"/>
      <c r="I2209" s="385"/>
      <c r="J2209" s="392"/>
      <c r="K2209" s="385"/>
      <c r="L2209" s="392"/>
      <c r="M2209" s="62"/>
      <c r="N2209" s="63"/>
      <c r="O2209" s="979"/>
      <c r="P2209" s="79" t="str">
        <f>IF(AND('331-CT'!$E$7=TH!H2209,OR(N2209="331",O2209="331")),"x","")</f>
        <v/>
      </c>
      <c r="Q2209" s="79" t="str">
        <f>IF(AND(B2209='111'!$L$11,OR($N2209=$Q$7,$O2209=$Q$7)),"x","")</f>
        <v/>
      </c>
      <c r="R2209" s="79" t="str">
        <f>IF(AND($N2209=$Q$7,$B2209&lt;'111'!$L$11),"x","")</f>
        <v/>
      </c>
      <c r="S2209" s="79" t="str">
        <f>IF(AND($O2209=$Q$7,$B2209&lt;'111'!$L$11),"x","")</f>
        <v/>
      </c>
      <c r="T2209" s="79" t="str">
        <f>IF(ISERROR(FIND('112'!$M$9,G2209,1)),"",IF((AND(FIND('112'!$M$9,G2209,1)&gt;=1,B2209='112'!$K$9,OR($N2209='112'!$I$6,$O2209='112'!$I$6))),"x",""))</f>
        <v/>
      </c>
      <c r="U2209" s="79" t="str">
        <f>IF(ISERROR(FIND('112'!$M$9,G2209,1)),"",IF((AND(LEFT(G2209,2)=LEFT('112'!$M$9,2),B2209&lt;'112'!$K$9,$N2209='112'!$I$6)),"x",""))</f>
        <v/>
      </c>
      <c r="V2209" s="79" t="str">
        <f>IF(ISERROR(FIND('112'!$M$9,G2209,1)),"",IF((AND(RIGHT(G2209,2)=RIGHT('112'!$M$9,2),B2209&lt;'112'!$K$9,$O2209='112'!$I$6)),"x",""))</f>
        <v/>
      </c>
      <c r="W2209" s="79" t="str">
        <f>IF(AND('341-CT'!$H$9=H2209,OR(LEFT(N2209,3)=$W$7,LEFT(O2209,3)=$W$7)),"x","")</f>
        <v/>
      </c>
      <c r="X2209" s="79" t="str">
        <f>IF(OR(TH!N2209=TH!$X$7,O2209=TH!$X$7),"x","")</f>
        <v/>
      </c>
      <c r="Y2209" s="79" t="str">
        <f>IF(AND(OR(N2209="131",O2209="131"),H2209='131-CT'!$H$9),"x","")</f>
        <v/>
      </c>
      <c r="Z2209" s="79"/>
      <c r="AA2209" s="79" t="str">
        <f>IF(AND(MONTH(E2209)='IN-NX'!$J$5,'IN-NX'!$D$7=D2209),"x","")</f>
        <v/>
      </c>
      <c r="AB2209" s="79" t="str">
        <f>IF(AND(OR(LEFT(TH!N2209,2)="15",LEFT(TH!O2209,2)="15"),LEFT(TH!O2209,3)&lt;&gt;"111",'152-CT'!$J$8=TH!F2209),"x","")</f>
        <v/>
      </c>
      <c r="AC2209" s="79" t="str">
        <f>IF(AND(OR(LEFT(TH!N2209,2)="15",LEFT(TH!O2209,2)="15"),TK!$E$7=TH!F2209),"x","")</f>
        <v/>
      </c>
      <c r="AD2209" s="79" t="str">
        <f>IF(AND(N2209="1521",MONTH(C2209)='BK-NL'!$M$11),"x","")</f>
        <v/>
      </c>
    </row>
    <row r="2210" spans="1:30" ht="16.5" customHeight="1">
      <c r="A2210" s="318" t="str">
        <f>IF(B2210&lt;&gt;"",IF(AND(B2210='IN-TC'!$S$4,OR(TH!N2210="1111",TH!O2210="1111")),TH!D2210,""),"")</f>
        <v/>
      </c>
      <c r="B2210" s="60" t="str">
        <f t="shared" si="236"/>
        <v/>
      </c>
      <c r="C2210" s="61"/>
      <c r="D2210" s="301"/>
      <c r="E2210" s="301"/>
      <c r="F2210" s="64"/>
      <c r="G2210" s="766"/>
      <c r="H2210" s="321"/>
      <c r="I2210" s="385"/>
      <c r="J2210" s="392"/>
      <c r="K2210" s="385"/>
      <c r="L2210" s="392"/>
      <c r="M2210" s="62"/>
      <c r="N2210" s="63"/>
      <c r="O2210" s="979"/>
      <c r="P2210" s="79" t="str">
        <f>IF(AND('331-CT'!$E$7=TH!H2210,OR(N2210="331",O2210="331")),"x","")</f>
        <v/>
      </c>
      <c r="Q2210" s="79" t="str">
        <f>IF(AND(B2210='111'!$L$11,OR($N2210=$Q$7,$O2210=$Q$7)),"x","")</f>
        <v/>
      </c>
      <c r="R2210" s="79" t="str">
        <f>IF(AND($N2210=$Q$7,$B2210&lt;'111'!$L$11),"x","")</f>
        <v/>
      </c>
      <c r="S2210" s="79" t="str">
        <f>IF(AND($O2210=$Q$7,$B2210&lt;'111'!$L$11),"x","")</f>
        <v/>
      </c>
      <c r="T2210" s="79" t="str">
        <f>IF(ISERROR(FIND('112'!$M$9,G2210,1)),"",IF((AND(FIND('112'!$M$9,G2210,1)&gt;=1,B2210='112'!$K$9,OR($N2210='112'!$I$6,$O2210='112'!$I$6))),"x",""))</f>
        <v/>
      </c>
      <c r="U2210" s="79" t="str">
        <f>IF(ISERROR(FIND('112'!$M$9,G2210,1)),"",IF((AND(LEFT(G2210,2)=LEFT('112'!$M$9,2),B2210&lt;'112'!$K$9,$N2210='112'!$I$6)),"x",""))</f>
        <v/>
      </c>
      <c r="V2210" s="79" t="str">
        <f>IF(ISERROR(FIND('112'!$M$9,G2210,1)),"",IF((AND(RIGHT(G2210,2)=RIGHT('112'!$M$9,2),B2210&lt;'112'!$K$9,$O2210='112'!$I$6)),"x",""))</f>
        <v/>
      </c>
      <c r="W2210" s="79" t="str">
        <f>IF(AND('341-CT'!$H$9=H2210,OR(LEFT(N2210,3)=$W$7,LEFT(O2210,3)=$W$7)),"x","")</f>
        <v/>
      </c>
      <c r="X2210" s="79" t="str">
        <f>IF(OR(TH!N2210=TH!$X$7,O2210=TH!$X$7),"x","")</f>
        <v/>
      </c>
      <c r="Y2210" s="79" t="str">
        <f>IF(AND(OR(N2210="131",O2210="131"),H2210='131-CT'!$H$9),"x","")</f>
        <v/>
      </c>
      <c r="Z2210" s="79"/>
      <c r="AA2210" s="79" t="str">
        <f>IF(AND(MONTH(E2210)='IN-NX'!$J$5,'IN-NX'!$D$7=D2210),"x","")</f>
        <v/>
      </c>
      <c r="AB2210" s="79" t="str">
        <f>IF(AND(OR(LEFT(TH!N2210,2)="15",LEFT(TH!O2210,2)="15"),LEFT(TH!O2210,3)&lt;&gt;"111",'152-CT'!$J$8=TH!F2210),"x","")</f>
        <v/>
      </c>
      <c r="AC2210" s="79" t="str">
        <f>IF(AND(OR(LEFT(TH!N2210,2)="15",LEFT(TH!O2210,2)="15"),TK!$E$7=TH!F2210),"x","")</f>
        <v/>
      </c>
      <c r="AD2210" s="79" t="str">
        <f>IF(AND(N2210="1521",MONTH(C2210)='BK-NL'!$M$11),"x","")</f>
        <v/>
      </c>
    </row>
    <row r="2211" spans="1:30" ht="16.5" customHeight="1">
      <c r="A2211" s="318" t="str">
        <f>IF(B2211&lt;&gt;"",IF(AND(B2211='IN-TC'!$S$4,OR(TH!N2211="1111",TH!O2211="1111")),TH!D2211,""),"")</f>
        <v/>
      </c>
      <c r="B2211" s="60" t="str">
        <f t="shared" si="236"/>
        <v/>
      </c>
      <c r="C2211" s="61"/>
      <c r="D2211" s="301"/>
      <c r="E2211" s="301"/>
      <c r="F2211" s="64"/>
      <c r="G2211" s="766"/>
      <c r="H2211" s="321"/>
      <c r="I2211" s="385"/>
      <c r="J2211" s="392"/>
      <c r="K2211" s="385"/>
      <c r="L2211" s="392"/>
      <c r="M2211" s="62"/>
      <c r="N2211" s="63"/>
      <c r="O2211" s="979"/>
      <c r="P2211" s="79" t="str">
        <f>IF(AND('331-CT'!$E$7=TH!H2211,OR(N2211="331",O2211="331")),"x","")</f>
        <v/>
      </c>
      <c r="Q2211" s="79" t="str">
        <f>IF(AND(B2211='111'!$L$11,OR($N2211=$Q$7,$O2211=$Q$7)),"x","")</f>
        <v/>
      </c>
      <c r="R2211" s="79" t="str">
        <f>IF(AND($N2211=$Q$7,$B2211&lt;'111'!$L$11),"x","")</f>
        <v/>
      </c>
      <c r="S2211" s="79" t="str">
        <f>IF(AND($O2211=$Q$7,$B2211&lt;'111'!$L$11),"x","")</f>
        <v/>
      </c>
      <c r="T2211" s="79" t="str">
        <f>IF(ISERROR(FIND('112'!$M$9,G2211,1)),"",IF((AND(FIND('112'!$M$9,G2211,1)&gt;=1,B2211='112'!$K$9,OR($N2211='112'!$I$6,$O2211='112'!$I$6))),"x",""))</f>
        <v/>
      </c>
      <c r="U2211" s="79" t="str">
        <f>IF(ISERROR(FIND('112'!$M$9,G2211,1)),"",IF((AND(LEFT(G2211,2)=LEFT('112'!$M$9,2),B2211&lt;'112'!$K$9,$N2211='112'!$I$6)),"x",""))</f>
        <v/>
      </c>
      <c r="V2211" s="79" t="str">
        <f>IF(ISERROR(FIND('112'!$M$9,G2211,1)),"",IF((AND(RIGHT(G2211,2)=RIGHT('112'!$M$9,2),B2211&lt;'112'!$K$9,$O2211='112'!$I$6)),"x",""))</f>
        <v/>
      </c>
      <c r="W2211" s="79" t="str">
        <f>IF(AND('341-CT'!$H$9=H2211,OR(LEFT(N2211,3)=$W$7,LEFT(O2211,3)=$W$7)),"x","")</f>
        <v/>
      </c>
      <c r="X2211" s="79" t="str">
        <f>IF(OR(TH!N2211=TH!$X$7,O2211=TH!$X$7),"x","")</f>
        <v/>
      </c>
      <c r="Y2211" s="79" t="str">
        <f>IF(AND(OR(N2211="131",O2211="131"),H2211='131-CT'!$H$9),"x","")</f>
        <v/>
      </c>
      <c r="Z2211" s="79"/>
      <c r="AA2211" s="79" t="str">
        <f>IF(AND(MONTH(E2211)='IN-NX'!$J$5,'IN-NX'!$D$7=D2211),"x","")</f>
        <v/>
      </c>
      <c r="AB2211" s="79" t="str">
        <f>IF(AND(OR(LEFT(TH!N2211,2)="15",LEFT(TH!O2211,2)="15"),LEFT(TH!O2211,3)&lt;&gt;"111",'152-CT'!$J$8=TH!F2211),"x","")</f>
        <v/>
      </c>
      <c r="AC2211" s="79" t="str">
        <f>IF(AND(OR(LEFT(TH!N2211,2)="15",LEFT(TH!O2211,2)="15"),TK!$E$7=TH!F2211),"x","")</f>
        <v/>
      </c>
      <c r="AD2211" s="79" t="str">
        <f>IF(AND(N2211="1521",MONTH(C2211)='BK-NL'!$M$11),"x","")</f>
        <v/>
      </c>
    </row>
    <row r="2212" spans="1:30" ht="16.5" customHeight="1">
      <c r="A2212" s="318" t="str">
        <f>IF(B2212&lt;&gt;"",IF(AND(B2212='IN-TC'!$S$4,OR(TH!N2212="1111",TH!O2212="1111")),TH!D2212,""),"")</f>
        <v/>
      </c>
      <c r="B2212" s="60" t="str">
        <f t="shared" si="236"/>
        <v/>
      </c>
      <c r="C2212" s="61"/>
      <c r="D2212" s="301"/>
      <c r="E2212" s="301"/>
      <c r="F2212" s="64"/>
      <c r="G2212" s="766"/>
      <c r="H2212" s="321"/>
      <c r="I2212" s="385"/>
      <c r="J2212" s="392"/>
      <c r="K2212" s="385"/>
      <c r="L2212" s="392"/>
      <c r="M2212" s="62"/>
      <c r="N2212" s="63"/>
      <c r="O2212" s="979"/>
      <c r="P2212" s="79" t="str">
        <f>IF(AND('331-CT'!$E$7=TH!H2212,OR(N2212="331",O2212="331")),"x","")</f>
        <v/>
      </c>
      <c r="Q2212" s="79" t="str">
        <f>IF(AND(B2212='111'!$L$11,OR($N2212=$Q$7,$O2212=$Q$7)),"x","")</f>
        <v/>
      </c>
      <c r="R2212" s="79" t="str">
        <f>IF(AND($N2212=$Q$7,$B2212&lt;'111'!$L$11),"x","")</f>
        <v/>
      </c>
      <c r="S2212" s="79" t="str">
        <f>IF(AND($O2212=$Q$7,$B2212&lt;'111'!$L$11),"x","")</f>
        <v/>
      </c>
      <c r="T2212" s="79" t="str">
        <f>IF(ISERROR(FIND('112'!$M$9,G2212,1)),"",IF((AND(FIND('112'!$M$9,G2212,1)&gt;=1,B2212='112'!$K$9,OR($N2212='112'!$I$6,$O2212='112'!$I$6))),"x",""))</f>
        <v/>
      </c>
      <c r="U2212" s="79" t="str">
        <f>IF(ISERROR(FIND('112'!$M$9,G2212,1)),"",IF((AND(LEFT(G2212,2)=LEFT('112'!$M$9,2),B2212&lt;'112'!$K$9,$N2212='112'!$I$6)),"x",""))</f>
        <v/>
      </c>
      <c r="V2212" s="79" t="str">
        <f>IF(ISERROR(FIND('112'!$M$9,G2212,1)),"",IF((AND(RIGHT(G2212,2)=RIGHT('112'!$M$9,2),B2212&lt;'112'!$K$9,$O2212='112'!$I$6)),"x",""))</f>
        <v/>
      </c>
      <c r="W2212" s="79" t="str">
        <f>IF(AND('341-CT'!$H$9=H2212,OR(LEFT(N2212,3)=$W$7,LEFT(O2212,3)=$W$7)),"x","")</f>
        <v/>
      </c>
      <c r="X2212" s="79" t="str">
        <f>IF(OR(TH!N2212=TH!$X$7,O2212=TH!$X$7),"x","")</f>
        <v/>
      </c>
      <c r="Y2212" s="79" t="str">
        <f>IF(AND(OR(N2212="131",O2212="131"),H2212='131-CT'!$H$9),"x","")</f>
        <v/>
      </c>
      <c r="Z2212" s="79"/>
      <c r="AA2212" s="79" t="str">
        <f>IF(AND(MONTH(E2212)='IN-NX'!$J$5,'IN-NX'!$D$7=D2212),"x","")</f>
        <v/>
      </c>
      <c r="AB2212" s="79" t="str">
        <f>IF(AND(OR(LEFT(TH!N2212,2)="15",LEFT(TH!O2212,2)="15"),LEFT(TH!O2212,3)&lt;&gt;"111",'152-CT'!$J$8=TH!F2212),"x","")</f>
        <v/>
      </c>
      <c r="AC2212" s="79" t="str">
        <f>IF(AND(OR(LEFT(TH!N2212,2)="15",LEFT(TH!O2212,2)="15"),TK!$E$7=TH!F2212),"x","")</f>
        <v/>
      </c>
      <c r="AD2212" s="79" t="str">
        <f>IF(AND(N2212="1521",MONTH(C2212)='BK-NL'!$M$11),"x","")</f>
        <v/>
      </c>
    </row>
    <row r="2213" spans="1:30" ht="16.5" customHeight="1">
      <c r="A2213" s="318" t="str">
        <f>IF(B2213&lt;&gt;"",IF(AND(B2213='IN-TC'!$S$4,OR(TH!N2213="1111",TH!O2213="1111")),TH!D2213,""),"")</f>
        <v/>
      </c>
      <c r="B2213" s="60" t="str">
        <f t="shared" si="236"/>
        <v/>
      </c>
      <c r="C2213" s="981"/>
      <c r="D2213" s="301"/>
      <c r="E2213" s="301"/>
      <c r="F2213" s="999"/>
      <c r="G2213" s="1130"/>
      <c r="H2213" s="982"/>
      <c r="I2213" s="984"/>
      <c r="J2213" s="983"/>
      <c r="K2213" s="984"/>
      <c r="L2213" s="983"/>
      <c r="M2213" s="985"/>
      <c r="N2213" s="986"/>
      <c r="O2213" s="986"/>
      <c r="P2213" s="79" t="str">
        <f>IF(AND('331-CT'!$E$7=TH!H2213,OR(N2213="331",O2213="331")),"x","")</f>
        <v/>
      </c>
      <c r="Q2213" s="79" t="str">
        <f>IF(AND(B2213='111'!$L$11,OR($N2213=$Q$7,$O2213=$Q$7)),"x","")</f>
        <v/>
      </c>
      <c r="R2213" s="79" t="str">
        <f>IF(AND($N2213=$Q$7,$B2213&lt;'111'!$L$11),"x","")</f>
        <v/>
      </c>
      <c r="S2213" s="79" t="str">
        <f>IF(AND($O2213=$Q$7,$B2213&lt;'111'!$L$11),"x","")</f>
        <v/>
      </c>
      <c r="T2213" s="79" t="str">
        <f>IF(ISERROR(FIND('112'!$M$9,G2213,1)),"",IF((AND(FIND('112'!$M$9,G2213,1)&gt;=1,B2213='112'!$K$9,OR($N2213='112'!$I$6,$O2213='112'!$I$6))),"x",""))</f>
        <v/>
      </c>
      <c r="U2213" s="79" t="str">
        <f>IF(ISERROR(FIND('112'!$M$9,G2213,1)),"",IF((AND(LEFT(G2213,2)=LEFT('112'!$M$9,2),B2213&lt;'112'!$K$9,$N2213='112'!$I$6)),"x",""))</f>
        <v/>
      </c>
      <c r="V2213" s="79" t="str">
        <f>IF(ISERROR(FIND('112'!$M$9,G2213,1)),"",IF((AND(RIGHT(G2213,2)=RIGHT('112'!$M$9,2),B2213&lt;'112'!$K$9,$O2213='112'!$I$6)),"x",""))</f>
        <v/>
      </c>
      <c r="W2213" s="79" t="str">
        <f>IF(AND('341-CT'!$H$9=H2213,OR(LEFT(N2213,3)=$W$7,LEFT(O2213,3)=$W$7)),"x","")</f>
        <v/>
      </c>
      <c r="X2213" s="79" t="str">
        <f>IF(OR(TH!N2213=TH!$X$7,O2213=TH!$X$7),"x","")</f>
        <v/>
      </c>
      <c r="Y2213" s="79" t="str">
        <f>IF(AND(OR(N2213="131",O2213="131"),H2213='131-CT'!$H$9),"x","")</f>
        <v/>
      </c>
      <c r="Z2213" s="79"/>
      <c r="AA2213" s="79" t="str">
        <f>IF(AND(MONTH(E2213)='IN-NX'!$J$5,'IN-NX'!$D$7=D2213),"x","")</f>
        <v/>
      </c>
      <c r="AB2213" s="79" t="str">
        <f>IF(AND(OR(LEFT(TH!N2213,2)="15",LEFT(TH!O2213,2)="15"),LEFT(TH!O2213,3)&lt;&gt;"111",'152-CT'!$J$8=TH!F2213),"x","")</f>
        <v/>
      </c>
      <c r="AC2213" s="79" t="str">
        <f>IF(AND(OR(LEFT(TH!N2213,2)="15",LEFT(TH!O2213,2)="15"),TK!$E$7=TH!F2213),"x","")</f>
        <v/>
      </c>
      <c r="AD2213" s="79" t="str">
        <f>IF(AND(N2213="1521",MONTH(C2213)='BK-NL'!$M$11),"x","")</f>
        <v/>
      </c>
    </row>
    <row r="2214" spans="1:30" ht="16.5" customHeight="1">
      <c r="A2214" s="318" t="str">
        <f>IF(B2214&lt;&gt;"",IF(AND(B2214='IN-TC'!$S$4,OR(TH!N2214="1111",TH!O2214="1111")),TH!D2214,""),"")</f>
        <v/>
      </c>
      <c r="B2214" s="60" t="str">
        <f t="shared" si="236"/>
        <v/>
      </c>
      <c r="C2214" s="981"/>
      <c r="D2214" s="301"/>
      <c r="E2214" s="301"/>
      <c r="F2214" s="999"/>
      <c r="G2214" s="1130"/>
      <c r="H2214" s="982"/>
      <c r="I2214" s="984"/>
      <c r="J2214" s="983"/>
      <c r="K2214" s="984"/>
      <c r="L2214" s="983"/>
      <c r="M2214" s="985"/>
      <c r="N2214" s="986"/>
      <c r="O2214" s="986"/>
      <c r="P2214" s="79" t="str">
        <f>IF(AND('331-CT'!$E$7=TH!H2214,OR(N2214="331",O2214="331")),"x","")</f>
        <v/>
      </c>
      <c r="Q2214" s="79" t="str">
        <f>IF(AND(B2214='111'!$L$11,OR($N2214=$Q$7,$O2214=$Q$7)),"x","")</f>
        <v/>
      </c>
      <c r="R2214" s="79" t="str">
        <f>IF(AND($N2214=$Q$7,$B2214&lt;'111'!$L$11),"x","")</f>
        <v/>
      </c>
      <c r="S2214" s="79" t="str">
        <f>IF(AND($O2214=$Q$7,$B2214&lt;'111'!$L$11),"x","")</f>
        <v/>
      </c>
      <c r="T2214" s="79" t="str">
        <f>IF(ISERROR(FIND('112'!$M$9,G2214,1)),"",IF((AND(FIND('112'!$M$9,G2214,1)&gt;=1,B2214='112'!$K$9,OR($N2214='112'!$I$6,$O2214='112'!$I$6))),"x",""))</f>
        <v/>
      </c>
      <c r="U2214" s="79" t="str">
        <f>IF(ISERROR(FIND('112'!$M$9,G2214,1)),"",IF((AND(LEFT(G2214,2)=LEFT('112'!$M$9,2),B2214&lt;'112'!$K$9,$N2214='112'!$I$6)),"x",""))</f>
        <v/>
      </c>
      <c r="V2214" s="79" t="str">
        <f>IF(ISERROR(FIND('112'!$M$9,G2214,1)),"",IF((AND(RIGHT(G2214,2)=RIGHT('112'!$M$9,2),B2214&lt;'112'!$K$9,$O2214='112'!$I$6)),"x",""))</f>
        <v/>
      </c>
      <c r="W2214" s="79" t="str">
        <f>IF(AND('341-CT'!$H$9=H2214,OR(LEFT(N2214,3)=$W$7,LEFT(O2214,3)=$W$7)),"x","")</f>
        <v/>
      </c>
      <c r="X2214" s="79" t="str">
        <f>IF(OR(TH!N2214=TH!$X$7,O2214=TH!$X$7),"x","")</f>
        <v/>
      </c>
      <c r="Y2214" s="79" t="str">
        <f>IF(AND(OR(N2214="131",O2214="131"),H2214='131-CT'!$H$9),"x","")</f>
        <v/>
      </c>
      <c r="Z2214" s="79"/>
      <c r="AA2214" s="79" t="str">
        <f>IF(AND(MONTH(E2214)='IN-NX'!$J$5,'IN-NX'!$D$7=D2214),"x","")</f>
        <v/>
      </c>
      <c r="AB2214" s="79" t="str">
        <f>IF(AND(OR(LEFT(TH!N2214,2)="15",LEFT(TH!O2214,2)="15"),LEFT(TH!O2214,3)&lt;&gt;"111",'152-CT'!$J$8=TH!F2214),"x","")</f>
        <v/>
      </c>
      <c r="AC2214" s="79" t="str">
        <f>IF(AND(OR(LEFT(TH!N2214,2)="15",LEFT(TH!O2214,2)="15"),TK!$E$7=TH!F2214),"x","")</f>
        <v/>
      </c>
      <c r="AD2214" s="79" t="str">
        <f>IF(AND(N2214="1521",MONTH(C2214)='BK-NL'!$M$11),"x","")</f>
        <v/>
      </c>
    </row>
    <row r="2215" spans="1:30" ht="16.5" customHeight="1">
      <c r="A2215" s="318" t="str">
        <f>IF(B2215&lt;&gt;"",IF(AND(B2215='IN-TC'!$S$4,OR(TH!N2215="1111",TH!O2215="1111")),TH!D2215,""),"")</f>
        <v/>
      </c>
      <c r="B2215" s="60" t="str">
        <f t="shared" si="236"/>
        <v/>
      </c>
      <c r="C2215" s="61"/>
      <c r="D2215" s="301"/>
      <c r="E2215" s="301"/>
      <c r="F2215" s="64"/>
      <c r="G2215" s="766"/>
      <c r="H2215" s="321"/>
      <c r="I2215" s="385"/>
      <c r="J2215" s="392"/>
      <c r="K2215" s="385"/>
      <c r="L2215" s="392"/>
      <c r="M2215" s="62"/>
      <c r="N2215" s="63"/>
      <c r="O2215" s="979"/>
      <c r="P2215" s="79" t="str">
        <f>IF(AND('331-CT'!$E$7=TH!H2215,OR(N2215="331",O2215="331")),"x","")</f>
        <v/>
      </c>
      <c r="Q2215" s="79" t="str">
        <f>IF(AND(B2215='111'!$L$11,OR($N2215=$Q$7,$O2215=$Q$7)),"x","")</f>
        <v/>
      </c>
      <c r="R2215" s="79" t="str">
        <f>IF(AND($N2215=$Q$7,$B2215&lt;'111'!$L$11),"x","")</f>
        <v/>
      </c>
      <c r="S2215" s="79" t="str">
        <f>IF(AND($O2215=$Q$7,$B2215&lt;'111'!$L$11),"x","")</f>
        <v/>
      </c>
      <c r="T2215" s="79" t="str">
        <f>IF(ISERROR(FIND('112'!$M$9,G2215,1)),"",IF((AND(FIND('112'!$M$9,G2215,1)&gt;=1,B2215='112'!$K$9,OR($N2215='112'!$I$6,$O2215='112'!$I$6))),"x",""))</f>
        <v/>
      </c>
      <c r="U2215" s="79" t="str">
        <f>IF(ISERROR(FIND('112'!$M$9,G2215,1)),"",IF((AND(LEFT(G2215,2)=LEFT('112'!$M$9,2),B2215&lt;'112'!$K$9,$N2215='112'!$I$6)),"x",""))</f>
        <v/>
      </c>
      <c r="V2215" s="79" t="str">
        <f>IF(ISERROR(FIND('112'!$M$9,G2215,1)),"",IF((AND(RIGHT(G2215,2)=RIGHT('112'!$M$9,2),B2215&lt;'112'!$K$9,$O2215='112'!$I$6)),"x",""))</f>
        <v/>
      </c>
      <c r="W2215" s="79" t="str">
        <f>IF(AND('341-CT'!$H$9=H2215,OR(LEFT(N2215,3)=$W$7,LEFT(O2215,3)=$W$7)),"x","")</f>
        <v/>
      </c>
      <c r="X2215" s="79" t="str">
        <f>IF(OR(TH!N2215=TH!$X$7,O2215=TH!$X$7),"x","")</f>
        <v/>
      </c>
      <c r="Y2215" s="79" t="str">
        <f>IF(AND(OR(N2215="131",O2215="131"),H2215='131-CT'!$H$9),"x","")</f>
        <v/>
      </c>
      <c r="Z2215" s="79"/>
      <c r="AA2215" s="79" t="str">
        <f>IF(AND(MONTH(E2215)='IN-NX'!$J$5,'IN-NX'!$D$7=D2215),"x","")</f>
        <v/>
      </c>
      <c r="AB2215" s="79" t="str">
        <f>IF(AND(OR(LEFT(TH!N2215,2)="15",LEFT(TH!O2215,2)="15"),LEFT(TH!O2215,3)&lt;&gt;"111",'152-CT'!$J$8=TH!F2215),"x","")</f>
        <v/>
      </c>
      <c r="AC2215" s="79" t="str">
        <f>IF(AND(OR(LEFT(TH!N2215,2)="15",LEFT(TH!O2215,2)="15"),TK!$E$7=TH!F2215),"x","")</f>
        <v/>
      </c>
      <c r="AD2215" s="79" t="str">
        <f>IF(AND(N2215="1521",MONTH(C2215)='BK-NL'!$M$11),"x","")</f>
        <v/>
      </c>
    </row>
    <row r="2216" spans="1:30" ht="16.5" customHeight="1">
      <c r="A2216" s="318" t="str">
        <f>IF(B2216&lt;&gt;"",IF(AND(B2216='IN-TC'!$S$4,OR(TH!N2216="1111",TH!O2216="1111")),TH!D2216,""),"")</f>
        <v/>
      </c>
      <c r="B2216" s="60" t="str">
        <f t="shared" si="236"/>
        <v/>
      </c>
      <c r="C2216" s="61"/>
      <c r="D2216" s="301"/>
      <c r="E2216" s="301"/>
      <c r="F2216" s="64"/>
      <c r="G2216" s="766"/>
      <c r="H2216" s="321"/>
      <c r="I2216" s="385"/>
      <c r="J2216" s="392"/>
      <c r="K2216" s="385"/>
      <c r="L2216" s="392"/>
      <c r="M2216" s="62"/>
      <c r="N2216" s="63"/>
      <c r="O2216" s="979"/>
      <c r="P2216" s="79" t="str">
        <f>IF(AND('331-CT'!$E$7=TH!H2216,OR(N2216="331",O2216="331")),"x","")</f>
        <v/>
      </c>
      <c r="Q2216" s="79" t="str">
        <f>IF(AND(B2216='111'!$L$11,OR($N2216=$Q$7,$O2216=$Q$7)),"x","")</f>
        <v/>
      </c>
      <c r="R2216" s="79" t="str">
        <f>IF(AND($N2216=$Q$7,$B2216&lt;'111'!$L$11),"x","")</f>
        <v/>
      </c>
      <c r="S2216" s="79" t="str">
        <f>IF(AND($O2216=$Q$7,$B2216&lt;'111'!$L$11),"x","")</f>
        <v/>
      </c>
      <c r="T2216" s="79" t="str">
        <f>IF(ISERROR(FIND('112'!$M$9,G2216,1)),"",IF((AND(FIND('112'!$M$9,G2216,1)&gt;=1,B2216='112'!$K$9,OR($N2216='112'!$I$6,$O2216='112'!$I$6))),"x",""))</f>
        <v/>
      </c>
      <c r="U2216" s="79" t="str">
        <f>IF(ISERROR(FIND('112'!$M$9,G2216,1)),"",IF((AND(LEFT(G2216,2)=LEFT('112'!$M$9,2),B2216&lt;'112'!$K$9,$N2216='112'!$I$6)),"x",""))</f>
        <v/>
      </c>
      <c r="V2216" s="79" t="str">
        <f>IF(ISERROR(FIND('112'!$M$9,G2216,1)),"",IF((AND(RIGHT(G2216,2)=RIGHT('112'!$M$9,2),B2216&lt;'112'!$K$9,$O2216='112'!$I$6)),"x",""))</f>
        <v/>
      </c>
      <c r="W2216" s="79" t="str">
        <f>IF(AND('341-CT'!$H$9=H2216,OR(LEFT(N2216,3)=$W$7,LEFT(O2216,3)=$W$7)),"x","")</f>
        <v/>
      </c>
      <c r="X2216" s="79" t="str">
        <f>IF(OR(TH!N2216=TH!$X$7,O2216=TH!$X$7),"x","")</f>
        <v/>
      </c>
      <c r="Y2216" s="79" t="str">
        <f>IF(AND(OR(N2216="131",O2216="131"),H2216='131-CT'!$H$9),"x","")</f>
        <v/>
      </c>
      <c r="Z2216" s="79"/>
      <c r="AA2216" s="79" t="str">
        <f>IF(AND(MONTH(E2216)='IN-NX'!$J$5,'IN-NX'!$D$7=D2216),"x","")</f>
        <v/>
      </c>
      <c r="AB2216" s="79" t="str">
        <f>IF(AND(OR(LEFT(TH!N2216,2)="15",LEFT(TH!O2216,2)="15"),LEFT(TH!O2216,3)&lt;&gt;"111",'152-CT'!$J$8=TH!F2216),"x","")</f>
        <v/>
      </c>
      <c r="AC2216" s="79" t="str">
        <f>IF(AND(OR(LEFT(TH!N2216,2)="15",LEFT(TH!O2216,2)="15"),TK!$E$7=TH!F2216),"x","")</f>
        <v/>
      </c>
      <c r="AD2216" s="79" t="str">
        <f>IF(AND(N2216="1521",MONTH(C2216)='BK-NL'!$M$11),"x","")</f>
        <v/>
      </c>
    </row>
    <row r="2217" spans="1:30" ht="16.5" customHeight="1">
      <c r="A2217" s="318" t="str">
        <f>IF(B2217&lt;&gt;"",IF(AND(B2217='IN-TC'!$S$4,OR(TH!N2217="1111",TH!O2217="1111")),TH!D2217,""),"")</f>
        <v/>
      </c>
      <c r="B2217" s="60" t="str">
        <f t="shared" si="236"/>
        <v/>
      </c>
      <c r="C2217" s="61"/>
      <c r="D2217" s="301"/>
      <c r="E2217" s="301"/>
      <c r="F2217" s="64"/>
      <c r="G2217" s="766"/>
      <c r="H2217" s="321"/>
      <c r="I2217" s="385"/>
      <c r="J2217" s="392"/>
      <c r="K2217" s="385"/>
      <c r="L2217" s="392"/>
      <c r="M2217" s="62"/>
      <c r="N2217" s="63"/>
      <c r="O2217" s="979"/>
      <c r="P2217" s="79" t="str">
        <f>IF(AND('331-CT'!$E$7=TH!H2217,OR(N2217="331",O2217="331")),"x","")</f>
        <v/>
      </c>
      <c r="Q2217" s="79" t="str">
        <f>IF(AND(B2217='111'!$L$11,OR($N2217=$Q$7,$O2217=$Q$7)),"x","")</f>
        <v/>
      </c>
      <c r="R2217" s="79" t="str">
        <f>IF(AND($N2217=$Q$7,$B2217&lt;'111'!$L$11),"x","")</f>
        <v/>
      </c>
      <c r="S2217" s="79" t="str">
        <f>IF(AND($O2217=$Q$7,$B2217&lt;'111'!$L$11),"x","")</f>
        <v/>
      </c>
      <c r="T2217" s="79" t="str">
        <f>IF(ISERROR(FIND('112'!$M$9,G2217,1)),"",IF((AND(FIND('112'!$M$9,G2217,1)&gt;=1,B2217='112'!$K$9,OR($N2217='112'!$I$6,$O2217='112'!$I$6))),"x",""))</f>
        <v/>
      </c>
      <c r="U2217" s="79" t="str">
        <f>IF(ISERROR(FIND('112'!$M$9,G2217,1)),"",IF((AND(LEFT(G2217,2)=LEFT('112'!$M$9,2),B2217&lt;'112'!$K$9,$N2217='112'!$I$6)),"x",""))</f>
        <v/>
      </c>
      <c r="V2217" s="79" t="str">
        <f>IF(ISERROR(FIND('112'!$M$9,G2217,1)),"",IF((AND(RIGHT(G2217,2)=RIGHT('112'!$M$9,2),B2217&lt;'112'!$K$9,$O2217='112'!$I$6)),"x",""))</f>
        <v/>
      </c>
      <c r="W2217" s="79" t="str">
        <f>IF(AND('341-CT'!$H$9=H2217,OR(LEFT(N2217,3)=$W$7,LEFT(O2217,3)=$W$7)),"x","")</f>
        <v/>
      </c>
      <c r="X2217" s="79" t="str">
        <f>IF(OR(TH!N2217=TH!$X$7,O2217=TH!$X$7),"x","")</f>
        <v/>
      </c>
      <c r="Y2217" s="79" t="str">
        <f>IF(AND(OR(N2217="131",O2217="131"),H2217='131-CT'!$H$9),"x","")</f>
        <v/>
      </c>
      <c r="Z2217" s="79"/>
      <c r="AA2217" s="79" t="str">
        <f>IF(AND(MONTH(E2217)='IN-NX'!$J$5,'IN-NX'!$D$7=D2217),"x","")</f>
        <v/>
      </c>
      <c r="AB2217" s="79" t="str">
        <f>IF(AND(OR(LEFT(TH!N2217,2)="15",LEFT(TH!O2217,2)="15"),LEFT(TH!O2217,3)&lt;&gt;"111",'152-CT'!$J$8=TH!F2217),"x","")</f>
        <v/>
      </c>
      <c r="AC2217" s="79" t="str">
        <f>IF(AND(OR(LEFT(TH!N2217,2)="15",LEFT(TH!O2217,2)="15"),TK!$E$7=TH!F2217),"x","")</f>
        <v/>
      </c>
      <c r="AD2217" s="79" t="str">
        <f>IF(AND(N2217="1521",MONTH(C2217)='BK-NL'!$M$11),"x","")</f>
        <v/>
      </c>
    </row>
    <row r="2218" spans="1:30" ht="16.5" customHeight="1">
      <c r="A2218" s="318" t="str">
        <f>IF(B2218&lt;&gt;"",IF(AND(B2218='IN-TC'!$S$4,OR(TH!N2218="1111",TH!O2218="1111")),TH!D2218,""),"")</f>
        <v/>
      </c>
      <c r="B2218" s="60" t="str">
        <f t="shared" si="236"/>
        <v/>
      </c>
      <c r="C2218" s="61"/>
      <c r="D2218" s="301"/>
      <c r="E2218" s="301"/>
      <c r="F2218" s="64"/>
      <c r="G2218" s="766"/>
      <c r="H2218" s="321"/>
      <c r="I2218" s="385"/>
      <c r="J2218" s="392"/>
      <c r="K2218" s="385"/>
      <c r="L2218" s="392"/>
      <c r="M2218" s="62"/>
      <c r="N2218" s="63"/>
      <c r="O2218" s="979"/>
      <c r="P2218" s="79" t="str">
        <f>IF(AND('331-CT'!$E$7=TH!H2218,OR(N2218="331",O2218="331")),"x","")</f>
        <v/>
      </c>
      <c r="Q2218" s="79" t="str">
        <f>IF(AND(B2218='111'!$L$11,OR($N2218=$Q$7,$O2218=$Q$7)),"x","")</f>
        <v/>
      </c>
      <c r="R2218" s="79" t="str">
        <f>IF(AND($N2218=$Q$7,$B2218&lt;'111'!$L$11),"x","")</f>
        <v/>
      </c>
      <c r="S2218" s="79" t="str">
        <f>IF(AND($O2218=$Q$7,$B2218&lt;'111'!$L$11),"x","")</f>
        <v/>
      </c>
      <c r="T2218" s="79" t="str">
        <f>IF(ISERROR(FIND('112'!$M$9,G2218,1)),"",IF((AND(FIND('112'!$M$9,G2218,1)&gt;=1,B2218='112'!$K$9,OR($N2218='112'!$I$6,$O2218='112'!$I$6))),"x",""))</f>
        <v/>
      </c>
      <c r="U2218" s="79" t="str">
        <f>IF(ISERROR(FIND('112'!$M$9,G2218,1)),"",IF((AND(LEFT(G2218,2)=LEFT('112'!$M$9,2),B2218&lt;'112'!$K$9,$N2218='112'!$I$6)),"x",""))</f>
        <v/>
      </c>
      <c r="V2218" s="79" t="str">
        <f>IF(ISERROR(FIND('112'!$M$9,G2218,1)),"",IF((AND(RIGHT(G2218,2)=RIGHT('112'!$M$9,2),B2218&lt;'112'!$K$9,$O2218='112'!$I$6)),"x",""))</f>
        <v/>
      </c>
      <c r="W2218" s="79" t="str">
        <f>IF(AND('341-CT'!$H$9=H2218,OR(LEFT(N2218,3)=$W$7,LEFT(O2218,3)=$W$7)),"x","")</f>
        <v/>
      </c>
      <c r="X2218" s="79" t="str">
        <f>IF(OR(TH!N2218=TH!$X$7,O2218=TH!$X$7),"x","")</f>
        <v/>
      </c>
      <c r="Y2218" s="79" t="str">
        <f>IF(AND(OR(N2218="131",O2218="131"),H2218='131-CT'!$H$9),"x","")</f>
        <v/>
      </c>
      <c r="Z2218" s="79"/>
      <c r="AA2218" s="79" t="str">
        <f>IF(AND(MONTH(E2218)='IN-NX'!$J$5,'IN-NX'!$D$7=D2218),"x","")</f>
        <v/>
      </c>
      <c r="AB2218" s="79" t="str">
        <f>IF(AND(OR(LEFT(TH!N2218,2)="15",LEFT(TH!O2218,2)="15"),LEFT(TH!O2218,3)&lt;&gt;"111",'152-CT'!$J$8=TH!F2218),"x","")</f>
        <v/>
      </c>
      <c r="AC2218" s="79" t="str">
        <f>IF(AND(OR(LEFT(TH!N2218,2)="15",LEFT(TH!O2218,2)="15"),TK!$E$7=TH!F2218),"x","")</f>
        <v/>
      </c>
      <c r="AD2218" s="79" t="str">
        <f>IF(AND(N2218="1521",MONTH(C2218)='BK-NL'!$M$11),"x","")</f>
        <v/>
      </c>
    </row>
    <row r="2219" spans="1:30" ht="16.5" customHeight="1">
      <c r="A2219" s="318" t="str">
        <f>IF(B2219&lt;&gt;"",IF(AND(B2219='IN-TC'!$S$4,OR(TH!N2219="1111",TH!O2219="1111")),TH!D2219,""),"")</f>
        <v/>
      </c>
      <c r="B2219" s="60" t="str">
        <f t="shared" si="236"/>
        <v/>
      </c>
      <c r="C2219" s="61"/>
      <c r="D2219" s="301"/>
      <c r="E2219" s="301"/>
      <c r="F2219" s="64"/>
      <c r="G2219" s="766"/>
      <c r="H2219" s="321"/>
      <c r="I2219" s="385"/>
      <c r="J2219" s="392"/>
      <c r="K2219" s="385"/>
      <c r="L2219" s="392"/>
      <c r="M2219" s="62"/>
      <c r="N2219" s="63"/>
      <c r="O2219" s="979"/>
      <c r="P2219" s="79" t="str">
        <f>IF(AND('331-CT'!$E$7=TH!H2219,OR(N2219="331",O2219="331")),"x","")</f>
        <v/>
      </c>
      <c r="Q2219" s="79" t="str">
        <f>IF(AND(B2219='111'!$L$11,OR($N2219=$Q$7,$O2219=$Q$7)),"x","")</f>
        <v/>
      </c>
      <c r="R2219" s="79" t="str">
        <f>IF(AND($N2219=$Q$7,$B2219&lt;'111'!$L$11),"x","")</f>
        <v/>
      </c>
      <c r="S2219" s="79" t="str">
        <f>IF(AND($O2219=$Q$7,$B2219&lt;'111'!$L$11),"x","")</f>
        <v/>
      </c>
      <c r="T2219" s="79" t="str">
        <f>IF(ISERROR(FIND('112'!$M$9,G2219,1)),"",IF((AND(FIND('112'!$M$9,G2219,1)&gt;=1,B2219='112'!$K$9,OR($N2219='112'!$I$6,$O2219='112'!$I$6))),"x",""))</f>
        <v/>
      </c>
      <c r="U2219" s="79" t="str">
        <f>IF(ISERROR(FIND('112'!$M$9,G2219,1)),"",IF((AND(LEFT(G2219,2)=LEFT('112'!$M$9,2),B2219&lt;'112'!$K$9,$N2219='112'!$I$6)),"x",""))</f>
        <v/>
      </c>
      <c r="V2219" s="79" t="str">
        <f>IF(ISERROR(FIND('112'!$M$9,G2219,1)),"",IF((AND(RIGHT(G2219,2)=RIGHT('112'!$M$9,2),B2219&lt;'112'!$K$9,$O2219='112'!$I$6)),"x",""))</f>
        <v/>
      </c>
      <c r="W2219" s="79" t="str">
        <f>IF(AND('341-CT'!$H$9=H2219,OR(LEFT(N2219,3)=$W$7,LEFT(O2219,3)=$W$7)),"x","")</f>
        <v/>
      </c>
      <c r="X2219" s="79" t="str">
        <f>IF(OR(TH!N2219=TH!$X$7,O2219=TH!$X$7),"x","")</f>
        <v/>
      </c>
      <c r="Y2219" s="79" t="str">
        <f>IF(AND(OR(N2219="131",O2219="131"),H2219='131-CT'!$H$9),"x","")</f>
        <v/>
      </c>
      <c r="Z2219" s="79"/>
      <c r="AA2219" s="79" t="str">
        <f>IF(AND(MONTH(E2219)='IN-NX'!$J$5,'IN-NX'!$D$7=D2219),"x","")</f>
        <v/>
      </c>
      <c r="AB2219" s="79" t="str">
        <f>IF(AND(OR(LEFT(TH!N2219,2)="15",LEFT(TH!O2219,2)="15"),LEFT(TH!O2219,3)&lt;&gt;"111",'152-CT'!$J$8=TH!F2219),"x","")</f>
        <v/>
      </c>
      <c r="AC2219" s="79" t="str">
        <f>IF(AND(OR(LEFT(TH!N2219,2)="15",LEFT(TH!O2219,2)="15"),TK!$E$7=TH!F2219),"x","")</f>
        <v/>
      </c>
      <c r="AD2219" s="79" t="str">
        <f>IF(AND(N2219="1521",MONTH(C2219)='BK-NL'!$M$11),"x","")</f>
        <v/>
      </c>
    </row>
    <row r="2220" spans="1:30" ht="16.5" customHeight="1">
      <c r="A2220" s="318" t="str">
        <f>IF(B2220&lt;&gt;"",IF(AND(B2220='IN-TC'!$S$4,OR(TH!N2220="1111",TH!O2220="1111")),TH!D2220,""),"")</f>
        <v/>
      </c>
      <c r="B2220" s="60" t="str">
        <f t="shared" si="236"/>
        <v/>
      </c>
      <c r="C2220" s="61"/>
      <c r="D2220" s="301"/>
      <c r="E2220" s="301"/>
      <c r="F2220" s="64"/>
      <c r="G2220" s="766"/>
      <c r="H2220" s="321"/>
      <c r="I2220" s="385"/>
      <c r="J2220" s="392"/>
      <c r="K2220" s="385"/>
      <c r="L2220" s="392"/>
      <c r="M2220" s="62"/>
      <c r="N2220" s="63"/>
      <c r="O2220" s="979"/>
      <c r="P2220" s="79" t="str">
        <f>IF(AND('331-CT'!$E$7=TH!H2220,OR(N2220="331",O2220="331")),"x","")</f>
        <v/>
      </c>
      <c r="Q2220" s="79" t="str">
        <f>IF(AND(B2220='111'!$L$11,OR($N2220=$Q$7,$O2220=$Q$7)),"x","")</f>
        <v/>
      </c>
      <c r="R2220" s="79" t="str">
        <f>IF(AND($N2220=$Q$7,$B2220&lt;'111'!$L$11),"x","")</f>
        <v/>
      </c>
      <c r="S2220" s="79" t="str">
        <f>IF(AND($O2220=$Q$7,$B2220&lt;'111'!$L$11),"x","")</f>
        <v/>
      </c>
      <c r="T2220" s="79" t="str">
        <f>IF(ISERROR(FIND('112'!$M$9,G2220,1)),"",IF((AND(FIND('112'!$M$9,G2220,1)&gt;=1,B2220='112'!$K$9,OR($N2220='112'!$I$6,$O2220='112'!$I$6))),"x",""))</f>
        <v/>
      </c>
      <c r="U2220" s="79" t="str">
        <f>IF(ISERROR(FIND('112'!$M$9,G2220,1)),"",IF((AND(LEFT(G2220,2)=LEFT('112'!$M$9,2),B2220&lt;'112'!$K$9,$N2220='112'!$I$6)),"x",""))</f>
        <v/>
      </c>
      <c r="V2220" s="79" t="str">
        <f>IF(ISERROR(FIND('112'!$M$9,G2220,1)),"",IF((AND(RIGHT(G2220,2)=RIGHT('112'!$M$9,2),B2220&lt;'112'!$K$9,$O2220='112'!$I$6)),"x",""))</f>
        <v/>
      </c>
      <c r="W2220" s="79" t="str">
        <f>IF(AND('341-CT'!$H$9=H2220,OR(LEFT(N2220,3)=$W$7,LEFT(O2220,3)=$W$7)),"x","")</f>
        <v/>
      </c>
      <c r="X2220" s="79" t="str">
        <f>IF(OR(TH!N2220=TH!$X$7,O2220=TH!$X$7),"x","")</f>
        <v/>
      </c>
      <c r="Y2220" s="79" t="str">
        <f>IF(AND(OR(N2220="131",O2220="131"),H2220='131-CT'!$H$9),"x","")</f>
        <v/>
      </c>
      <c r="Z2220" s="79"/>
      <c r="AA2220" s="79" t="str">
        <f>IF(AND(MONTH(E2220)='IN-NX'!$J$5,'IN-NX'!$D$7=D2220),"x","")</f>
        <v/>
      </c>
      <c r="AB2220" s="79" t="str">
        <f>IF(AND(OR(LEFT(TH!N2220,2)="15",LEFT(TH!O2220,2)="15"),LEFT(TH!O2220,3)&lt;&gt;"111",'152-CT'!$J$8=TH!F2220),"x","")</f>
        <v/>
      </c>
      <c r="AC2220" s="79" t="str">
        <f>IF(AND(OR(LEFT(TH!N2220,2)="15",LEFT(TH!O2220,2)="15"),TK!$E$7=TH!F2220),"x","")</f>
        <v/>
      </c>
      <c r="AD2220" s="79" t="str">
        <f>IF(AND(N2220="1521",MONTH(C2220)='BK-NL'!$M$11),"x","")</f>
        <v/>
      </c>
    </row>
    <row r="2221" spans="1:30" ht="16.5" customHeight="1">
      <c r="A2221" s="318" t="str">
        <f>IF(B2221&lt;&gt;"",IF(AND(B2221='IN-TC'!$S$4,OR(TH!N2221="1111",TH!O2221="1111")),TH!D2221,""),"")</f>
        <v/>
      </c>
      <c r="B2221" s="60" t="str">
        <f t="shared" si="236"/>
        <v/>
      </c>
      <c r="C2221" s="974"/>
      <c r="D2221" s="301"/>
      <c r="E2221" s="301"/>
      <c r="F2221" s="77"/>
      <c r="G2221" s="976"/>
      <c r="H2221" s="305"/>
      <c r="I2221" s="383"/>
      <c r="J2221" s="977"/>
      <c r="K2221" s="383"/>
      <c r="L2221" s="390"/>
      <c r="M2221" s="978"/>
      <c r="N2221" s="979"/>
      <c r="O2221" s="979"/>
      <c r="P2221" s="79" t="str">
        <f>IF(AND('331-CT'!$E$7=TH!H2221,OR(N2221="331",O2221="331")),"x","")</f>
        <v/>
      </c>
      <c r="Q2221" s="79" t="str">
        <f>IF(AND(B2221='111'!$L$11,OR($N2221=$Q$7,$O2221=$Q$7)),"x","")</f>
        <v/>
      </c>
      <c r="R2221" s="79" t="str">
        <f>IF(AND($N2221=$Q$7,$B2221&lt;'111'!$L$11),"x","")</f>
        <v/>
      </c>
      <c r="S2221" s="79" t="str">
        <f>IF(AND($O2221=$Q$7,$B2221&lt;'111'!$L$11),"x","")</f>
        <v/>
      </c>
      <c r="T2221" s="79" t="str">
        <f>IF(ISERROR(FIND('112'!$M$9,G2221,1)),"",IF((AND(FIND('112'!$M$9,G2221,1)&gt;=1,B2221='112'!$K$9,OR($N2221='112'!$I$6,$O2221='112'!$I$6))),"x",""))</f>
        <v/>
      </c>
      <c r="U2221" s="79" t="str">
        <f>IF(ISERROR(FIND('112'!$M$9,G2221,1)),"",IF((AND(LEFT(G2221,2)=LEFT('112'!$M$9,2),B2221&lt;'112'!$K$9,$N2221='112'!$I$6)),"x",""))</f>
        <v/>
      </c>
      <c r="V2221" s="79" t="str">
        <f>IF(ISERROR(FIND('112'!$M$9,G2221,1)),"",IF((AND(RIGHT(G2221,2)=RIGHT('112'!$M$9,2),B2221&lt;'112'!$K$9,$O2221='112'!$I$6)),"x",""))</f>
        <v/>
      </c>
      <c r="W2221" s="79" t="str">
        <f>IF(AND('341-CT'!$H$9=H2221,OR(LEFT(N2221,3)=$W$7,LEFT(O2221,3)=$W$7)),"x","")</f>
        <v/>
      </c>
      <c r="X2221" s="79" t="str">
        <f>IF(OR(TH!N2221=TH!$X$7,O2221=TH!$X$7),"x","")</f>
        <v/>
      </c>
      <c r="Y2221" s="79" t="str">
        <f>IF(AND(OR(N2221="131",O2221="131"),H2221='131-CT'!$H$9),"x","")</f>
        <v/>
      </c>
      <c r="Z2221" s="79"/>
      <c r="AA2221" s="79" t="str">
        <f>IF(AND(MONTH(E2221)='IN-NX'!$J$5,'IN-NX'!$D$7=D2221),"x","")</f>
        <v/>
      </c>
      <c r="AB2221" s="79" t="str">
        <f>IF(AND(OR(LEFT(TH!N2221,2)="15",LEFT(TH!O2221,2)="15"),LEFT(TH!O2221,3)&lt;&gt;"111",'152-CT'!$J$8=TH!F2221),"x","")</f>
        <v/>
      </c>
      <c r="AC2221" s="79" t="str">
        <f>IF(AND(OR(LEFT(TH!N2221,2)="15",LEFT(TH!O2221,2)="15"),TK!$E$7=TH!F2221),"x","")</f>
        <v/>
      </c>
      <c r="AD2221" s="79" t="str">
        <f>IF(AND(N2221="1521",MONTH(C2221)='BK-NL'!$M$11),"x","")</f>
        <v/>
      </c>
    </row>
    <row r="2222" spans="1:30" ht="16.5" customHeight="1">
      <c r="A2222" s="318" t="str">
        <f>IF(B2222&lt;&gt;"",IF(AND(B2222='IN-TC'!$S$4,OR(TH!N2222="1111",TH!O2222="1111")),TH!D2222,""),"")</f>
        <v/>
      </c>
      <c r="B2222" s="60" t="str">
        <f t="shared" si="236"/>
        <v/>
      </c>
      <c r="C2222" s="61"/>
      <c r="D2222" s="301"/>
      <c r="E2222" s="301"/>
      <c r="F2222" s="64"/>
      <c r="G2222" s="766"/>
      <c r="H2222" s="321"/>
      <c r="I2222" s="385"/>
      <c r="J2222" s="392"/>
      <c r="K2222" s="385"/>
      <c r="L2222" s="392"/>
      <c r="M2222" s="62"/>
      <c r="N2222" s="63"/>
      <c r="O2222" s="979"/>
      <c r="P2222" s="79" t="str">
        <f>IF(AND('331-CT'!$E$7=TH!H2222,OR(N2222="331",O2222="331")),"x","")</f>
        <v/>
      </c>
      <c r="Q2222" s="79" t="str">
        <f>IF(AND(B2222='111'!$L$11,OR($N2222=$Q$7,$O2222=$Q$7)),"x","")</f>
        <v/>
      </c>
      <c r="R2222" s="79" t="str">
        <f>IF(AND($N2222=$Q$7,$B2222&lt;'111'!$L$11),"x","")</f>
        <v/>
      </c>
      <c r="S2222" s="79" t="str">
        <f>IF(AND($O2222=$Q$7,$B2222&lt;'111'!$L$11),"x","")</f>
        <v/>
      </c>
      <c r="T2222" s="79" t="str">
        <f>IF(ISERROR(FIND('112'!$M$9,G2222,1)),"",IF((AND(FIND('112'!$M$9,G2222,1)&gt;=1,B2222='112'!$K$9,OR($N2222='112'!$I$6,$O2222='112'!$I$6))),"x",""))</f>
        <v/>
      </c>
      <c r="U2222" s="79" t="str">
        <f>IF(ISERROR(FIND('112'!$M$9,G2222,1)),"",IF((AND(LEFT(G2222,2)=LEFT('112'!$M$9,2),B2222&lt;'112'!$K$9,$N2222='112'!$I$6)),"x",""))</f>
        <v/>
      </c>
      <c r="V2222" s="79" t="str">
        <f>IF(ISERROR(FIND('112'!$M$9,G2222,1)),"",IF((AND(RIGHT(G2222,2)=RIGHT('112'!$M$9,2),B2222&lt;'112'!$K$9,$O2222='112'!$I$6)),"x",""))</f>
        <v/>
      </c>
      <c r="W2222" s="79" t="str">
        <f>IF(AND('341-CT'!$H$9=H2222,OR(LEFT(N2222,3)=$W$7,LEFT(O2222,3)=$W$7)),"x","")</f>
        <v/>
      </c>
      <c r="X2222" s="79" t="str">
        <f>IF(OR(TH!N2222=TH!$X$7,O2222=TH!$X$7),"x","")</f>
        <v/>
      </c>
      <c r="Y2222" s="79" t="str">
        <f>IF(AND(OR(N2222="131",O2222="131"),H2222='131-CT'!$H$9),"x","")</f>
        <v/>
      </c>
      <c r="Z2222" s="79"/>
      <c r="AA2222" s="79" t="str">
        <f>IF(AND(MONTH(E2222)='IN-NX'!$J$5,'IN-NX'!$D$7=D2222),"x","")</f>
        <v/>
      </c>
      <c r="AB2222" s="79" t="str">
        <f>IF(AND(OR(LEFT(TH!N2222,2)="15",LEFT(TH!O2222,2)="15"),LEFT(TH!O2222,3)&lt;&gt;"111",'152-CT'!$J$8=TH!F2222),"x","")</f>
        <v/>
      </c>
      <c r="AC2222" s="79" t="str">
        <f>IF(AND(OR(LEFT(TH!N2222,2)="15",LEFT(TH!O2222,2)="15"),TK!$E$7=TH!F2222),"x","")</f>
        <v/>
      </c>
      <c r="AD2222" s="79" t="str">
        <f>IF(AND(N2222="1521",MONTH(C2222)='BK-NL'!$M$11),"x","")</f>
        <v/>
      </c>
    </row>
    <row r="2223" spans="1:30" ht="16.5" customHeight="1">
      <c r="A2223" s="318" t="str">
        <f>IF(B2223&lt;&gt;"",IF(AND(B2223='IN-TC'!$S$4,OR(TH!N2223="1111",TH!O2223="1111")),TH!D2223,""),"")</f>
        <v/>
      </c>
      <c r="B2223" s="60" t="str">
        <f t="shared" si="236"/>
        <v/>
      </c>
      <c r="C2223" s="61"/>
      <c r="D2223" s="301"/>
      <c r="E2223" s="301"/>
      <c r="F2223" s="64"/>
      <c r="G2223" s="766"/>
      <c r="H2223" s="321"/>
      <c r="I2223" s="385"/>
      <c r="J2223" s="392"/>
      <c r="K2223" s="385"/>
      <c r="L2223" s="392"/>
      <c r="M2223" s="62"/>
      <c r="N2223" s="63"/>
      <c r="O2223" s="979"/>
      <c r="P2223" s="79" t="str">
        <f>IF(AND('331-CT'!$E$7=TH!H2223,OR(N2223="331",O2223="331")),"x","")</f>
        <v/>
      </c>
      <c r="Q2223" s="79" t="str">
        <f>IF(AND(B2223='111'!$L$11,OR($N2223=$Q$7,$O2223=$Q$7)),"x","")</f>
        <v/>
      </c>
      <c r="R2223" s="79" t="str">
        <f>IF(AND($N2223=$Q$7,$B2223&lt;'111'!$L$11),"x","")</f>
        <v/>
      </c>
      <c r="S2223" s="79" t="str">
        <f>IF(AND($O2223=$Q$7,$B2223&lt;'111'!$L$11),"x","")</f>
        <v/>
      </c>
      <c r="T2223" s="79" t="str">
        <f>IF(ISERROR(FIND('112'!$M$9,G2223,1)),"",IF((AND(FIND('112'!$M$9,G2223,1)&gt;=1,B2223='112'!$K$9,OR($N2223='112'!$I$6,$O2223='112'!$I$6))),"x",""))</f>
        <v/>
      </c>
      <c r="U2223" s="79" t="str">
        <f>IF(ISERROR(FIND('112'!$M$9,G2223,1)),"",IF((AND(LEFT(G2223,2)=LEFT('112'!$M$9,2),B2223&lt;'112'!$K$9,$N2223='112'!$I$6)),"x",""))</f>
        <v/>
      </c>
      <c r="V2223" s="79" t="str">
        <f>IF(ISERROR(FIND('112'!$M$9,G2223,1)),"",IF((AND(RIGHT(G2223,2)=RIGHT('112'!$M$9,2),B2223&lt;'112'!$K$9,$O2223='112'!$I$6)),"x",""))</f>
        <v/>
      </c>
      <c r="W2223" s="79" t="str">
        <f>IF(AND('341-CT'!$H$9=H2223,OR(LEFT(N2223,3)=$W$7,LEFT(O2223,3)=$W$7)),"x","")</f>
        <v/>
      </c>
      <c r="X2223" s="79" t="str">
        <f>IF(OR(TH!N2223=TH!$X$7,O2223=TH!$X$7),"x","")</f>
        <v/>
      </c>
      <c r="Y2223" s="79" t="str">
        <f>IF(AND(OR(N2223="131",O2223="131"),H2223='131-CT'!$H$9),"x","")</f>
        <v/>
      </c>
      <c r="Z2223" s="79"/>
      <c r="AA2223" s="79" t="str">
        <f>IF(AND(MONTH(E2223)='IN-NX'!$J$5,'IN-NX'!$D$7=D2223),"x","")</f>
        <v/>
      </c>
      <c r="AB2223" s="79" t="str">
        <f>IF(AND(OR(LEFT(TH!N2223,2)="15",LEFT(TH!O2223,2)="15"),LEFT(TH!O2223,3)&lt;&gt;"111",'152-CT'!$J$8=TH!F2223),"x","")</f>
        <v/>
      </c>
      <c r="AC2223" s="79" t="str">
        <f>IF(AND(OR(LEFT(TH!N2223,2)="15",LEFT(TH!O2223,2)="15"),TK!$E$7=TH!F2223),"x","")</f>
        <v/>
      </c>
      <c r="AD2223" s="79" t="str">
        <f>IF(AND(N2223="1521",MONTH(C2223)='BK-NL'!$M$11),"x","")</f>
        <v/>
      </c>
    </row>
    <row r="2224" spans="1:30" ht="16.5" customHeight="1">
      <c r="A2224" s="318" t="str">
        <f>IF(B2224&lt;&gt;"",IF(AND(B2224='IN-TC'!$S$4,OR(TH!N2224="1111",TH!O2224="1111")),TH!D2224,""),"")</f>
        <v/>
      </c>
      <c r="B2224" s="60" t="str">
        <f t="shared" si="236"/>
        <v/>
      </c>
      <c r="C2224" s="61"/>
      <c r="D2224" s="301"/>
      <c r="E2224" s="301"/>
      <c r="F2224" s="64"/>
      <c r="G2224" s="766"/>
      <c r="H2224" s="321"/>
      <c r="I2224" s="385"/>
      <c r="J2224" s="392"/>
      <c r="K2224" s="385"/>
      <c r="L2224" s="392"/>
      <c r="M2224" s="62"/>
      <c r="N2224" s="63"/>
      <c r="O2224" s="979"/>
      <c r="P2224" s="79" t="str">
        <f>IF(AND('331-CT'!$E$7=TH!H2224,OR(N2224="331",O2224="331")),"x","")</f>
        <v/>
      </c>
      <c r="Q2224" s="79" t="str">
        <f>IF(AND(B2224='111'!$L$11,OR($N2224=$Q$7,$O2224=$Q$7)),"x","")</f>
        <v/>
      </c>
      <c r="R2224" s="79" t="str">
        <f>IF(AND($N2224=$Q$7,$B2224&lt;'111'!$L$11),"x","")</f>
        <v/>
      </c>
      <c r="S2224" s="79" t="str">
        <f>IF(AND($O2224=$Q$7,$B2224&lt;'111'!$L$11),"x","")</f>
        <v/>
      </c>
      <c r="T2224" s="79" t="str">
        <f>IF(ISERROR(FIND('112'!$M$9,G2224,1)),"",IF((AND(FIND('112'!$M$9,G2224,1)&gt;=1,B2224='112'!$K$9,OR($N2224='112'!$I$6,$O2224='112'!$I$6))),"x",""))</f>
        <v/>
      </c>
      <c r="U2224" s="79" t="str">
        <f>IF(ISERROR(FIND('112'!$M$9,G2224,1)),"",IF((AND(LEFT(G2224,2)=LEFT('112'!$M$9,2),B2224&lt;'112'!$K$9,$N2224='112'!$I$6)),"x",""))</f>
        <v/>
      </c>
      <c r="V2224" s="79" t="str">
        <f>IF(ISERROR(FIND('112'!$M$9,G2224,1)),"",IF((AND(RIGHT(G2224,2)=RIGHT('112'!$M$9,2),B2224&lt;'112'!$K$9,$O2224='112'!$I$6)),"x",""))</f>
        <v/>
      </c>
      <c r="W2224" s="79" t="str">
        <f>IF(AND('341-CT'!$H$9=H2224,OR(LEFT(N2224,3)=$W$7,LEFT(O2224,3)=$W$7)),"x","")</f>
        <v/>
      </c>
      <c r="X2224" s="79" t="str">
        <f>IF(OR(TH!N2224=TH!$X$7,O2224=TH!$X$7),"x","")</f>
        <v/>
      </c>
      <c r="Y2224" s="79" t="str">
        <f>IF(AND(OR(N2224="131",O2224="131"),H2224='131-CT'!$H$9),"x","")</f>
        <v/>
      </c>
      <c r="Z2224" s="79"/>
      <c r="AA2224" s="79" t="str">
        <f>IF(AND(MONTH(E2224)='IN-NX'!$J$5,'IN-NX'!$D$7=D2224),"x","")</f>
        <v/>
      </c>
      <c r="AB2224" s="79" t="str">
        <f>IF(AND(OR(LEFT(TH!N2224,2)="15",LEFT(TH!O2224,2)="15"),LEFT(TH!O2224,3)&lt;&gt;"111",'152-CT'!$J$8=TH!F2224),"x","")</f>
        <v/>
      </c>
      <c r="AC2224" s="79" t="str">
        <f>IF(AND(OR(LEFT(TH!N2224,2)="15",LEFT(TH!O2224,2)="15"),TK!$E$7=TH!F2224),"x","")</f>
        <v/>
      </c>
      <c r="AD2224" s="79" t="str">
        <f>IF(AND(N2224="1521",MONTH(C2224)='BK-NL'!$M$11),"x","")</f>
        <v/>
      </c>
    </row>
    <row r="2225" spans="1:30" ht="16.5" customHeight="1">
      <c r="A2225" s="318" t="str">
        <f>IF(B2225&lt;&gt;"",IF(AND(B2225='IN-TC'!$S$4,OR(TH!N2225="1111",TH!O2225="1111")),TH!D2225,""),"")</f>
        <v/>
      </c>
      <c r="B2225" s="60" t="str">
        <f t="shared" si="236"/>
        <v/>
      </c>
      <c r="C2225" s="61"/>
      <c r="D2225" s="301"/>
      <c r="E2225" s="301"/>
      <c r="F2225" s="64"/>
      <c r="G2225" s="766"/>
      <c r="H2225" s="321"/>
      <c r="I2225" s="385"/>
      <c r="J2225" s="392"/>
      <c r="K2225" s="385"/>
      <c r="L2225" s="392"/>
      <c r="M2225" s="62"/>
      <c r="N2225" s="63"/>
      <c r="O2225" s="979"/>
      <c r="P2225" s="79" t="str">
        <f>IF(AND('331-CT'!$E$7=TH!H2225,OR(N2225="331",O2225="331")),"x","")</f>
        <v/>
      </c>
      <c r="Q2225" s="79" t="str">
        <f>IF(AND(B2225='111'!$L$11,OR($N2225=$Q$7,$O2225=$Q$7)),"x","")</f>
        <v/>
      </c>
      <c r="R2225" s="79" t="str">
        <f>IF(AND($N2225=$Q$7,$B2225&lt;'111'!$L$11),"x","")</f>
        <v/>
      </c>
      <c r="S2225" s="79" t="str">
        <f>IF(AND($O2225=$Q$7,$B2225&lt;'111'!$L$11),"x","")</f>
        <v/>
      </c>
      <c r="T2225" s="79" t="str">
        <f>IF(ISERROR(FIND('112'!$M$9,G2225,1)),"",IF((AND(FIND('112'!$M$9,G2225,1)&gt;=1,B2225='112'!$K$9,OR($N2225='112'!$I$6,$O2225='112'!$I$6))),"x",""))</f>
        <v/>
      </c>
      <c r="U2225" s="79" t="str">
        <f>IF(ISERROR(FIND('112'!$M$9,G2225,1)),"",IF((AND(LEFT(G2225,2)=LEFT('112'!$M$9,2),B2225&lt;'112'!$K$9,$N2225='112'!$I$6)),"x",""))</f>
        <v/>
      </c>
      <c r="V2225" s="79" t="str">
        <f>IF(ISERROR(FIND('112'!$M$9,G2225,1)),"",IF((AND(RIGHT(G2225,2)=RIGHT('112'!$M$9,2),B2225&lt;'112'!$K$9,$O2225='112'!$I$6)),"x",""))</f>
        <v/>
      </c>
      <c r="W2225" s="79" t="str">
        <f>IF(AND('341-CT'!$H$9=H2225,OR(LEFT(N2225,3)=$W$7,LEFT(O2225,3)=$W$7)),"x","")</f>
        <v/>
      </c>
      <c r="X2225" s="79" t="str">
        <f>IF(OR(TH!N2225=TH!$X$7,O2225=TH!$X$7),"x","")</f>
        <v/>
      </c>
      <c r="Y2225" s="79" t="str">
        <f>IF(AND(OR(N2225="131",O2225="131"),H2225='131-CT'!$H$9),"x","")</f>
        <v/>
      </c>
      <c r="Z2225" s="79"/>
      <c r="AA2225" s="79" t="str">
        <f>IF(AND(MONTH(E2225)='IN-NX'!$J$5,'IN-NX'!$D$7=D2225),"x","")</f>
        <v/>
      </c>
      <c r="AB2225" s="79" t="str">
        <f>IF(AND(OR(LEFT(TH!N2225,2)="15",LEFT(TH!O2225,2)="15"),LEFT(TH!O2225,3)&lt;&gt;"111",'152-CT'!$J$8=TH!F2225),"x","")</f>
        <v/>
      </c>
      <c r="AC2225" s="79" t="str">
        <f>IF(AND(OR(LEFT(TH!N2225,2)="15",LEFT(TH!O2225,2)="15"),TK!$E$7=TH!F2225),"x","")</f>
        <v/>
      </c>
      <c r="AD2225" s="79" t="str">
        <f>IF(AND(N2225="1521",MONTH(C2225)='BK-NL'!$M$11),"x","")</f>
        <v/>
      </c>
    </row>
    <row r="2226" spans="1:30" ht="16.5" customHeight="1">
      <c r="A2226" s="318" t="str">
        <f>IF(B2226&lt;&gt;"",IF(AND(B2226='IN-TC'!$S$4,OR(TH!N2226="1111",TH!O2226="1111")),TH!D2226,""),"")</f>
        <v/>
      </c>
      <c r="B2226" s="60" t="str">
        <f t="shared" si="236"/>
        <v/>
      </c>
      <c r="C2226" s="974"/>
      <c r="D2226" s="301"/>
      <c r="E2226" s="301"/>
      <c r="F2226" s="77"/>
      <c r="G2226" s="976"/>
      <c r="H2226" s="305"/>
      <c r="I2226" s="383"/>
      <c r="J2226" s="977"/>
      <c r="K2226" s="383"/>
      <c r="L2226" s="390"/>
      <c r="M2226" s="978"/>
      <c r="N2226" s="979"/>
      <c r="O2226" s="979"/>
      <c r="P2226" s="79" t="str">
        <f>IF(AND('331-CT'!$E$7=TH!H2226,OR(N2226="331",O2226="331")),"x","")</f>
        <v/>
      </c>
      <c r="Q2226" s="79" t="str">
        <f>IF(AND(B2226='111'!$L$11,OR($N2226=$Q$7,$O2226=$Q$7)),"x","")</f>
        <v/>
      </c>
      <c r="R2226" s="79" t="str">
        <f>IF(AND($N2226=$Q$7,$B2226&lt;'111'!$L$11),"x","")</f>
        <v/>
      </c>
      <c r="S2226" s="79" t="str">
        <f>IF(AND($O2226=$Q$7,$B2226&lt;'111'!$L$11),"x","")</f>
        <v/>
      </c>
      <c r="T2226" s="79" t="str">
        <f>IF(ISERROR(FIND('112'!$M$9,G2226,1)),"",IF((AND(FIND('112'!$M$9,G2226,1)&gt;=1,B2226='112'!$K$9,OR($N2226='112'!$I$6,$O2226='112'!$I$6))),"x",""))</f>
        <v/>
      </c>
      <c r="U2226" s="79" t="str">
        <f>IF(ISERROR(FIND('112'!$M$9,G2226,1)),"",IF((AND(LEFT(G2226,2)=LEFT('112'!$M$9,2),B2226&lt;'112'!$K$9,$N2226='112'!$I$6)),"x",""))</f>
        <v/>
      </c>
      <c r="V2226" s="79" t="str">
        <f>IF(ISERROR(FIND('112'!$M$9,G2226,1)),"",IF((AND(RIGHT(G2226,2)=RIGHT('112'!$M$9,2),B2226&lt;'112'!$K$9,$O2226='112'!$I$6)),"x",""))</f>
        <v/>
      </c>
      <c r="W2226" s="79" t="str">
        <f>IF(AND('341-CT'!$H$9=H2226,OR(LEFT(N2226,3)=$W$7,LEFT(O2226,3)=$W$7)),"x","")</f>
        <v/>
      </c>
      <c r="X2226" s="79" t="str">
        <f>IF(OR(TH!N2226=TH!$X$7,O2226=TH!$X$7),"x","")</f>
        <v/>
      </c>
      <c r="Y2226" s="79" t="str">
        <f>IF(AND(OR(N2226="131",O2226="131"),H2226='131-CT'!$H$9),"x","")</f>
        <v/>
      </c>
      <c r="Z2226" s="79"/>
      <c r="AA2226" s="79" t="str">
        <f>IF(AND(MONTH(E2226)='IN-NX'!$J$5,'IN-NX'!$D$7=D2226),"x","")</f>
        <v/>
      </c>
      <c r="AB2226" s="79" t="str">
        <f>IF(AND(OR(LEFT(TH!N2226,2)="15",LEFT(TH!O2226,2)="15"),LEFT(TH!O2226,3)&lt;&gt;"111",'152-CT'!$J$8=TH!F2226),"x","")</f>
        <v/>
      </c>
      <c r="AC2226" s="79" t="str">
        <f>IF(AND(OR(LEFT(TH!N2226,2)="15",LEFT(TH!O2226,2)="15"),TK!$E$7=TH!F2226),"x","")</f>
        <v/>
      </c>
      <c r="AD2226" s="79" t="str">
        <f>IF(AND(N2226="1521",MONTH(C2226)='BK-NL'!$M$11),"x","")</f>
        <v/>
      </c>
    </row>
    <row r="2227" spans="1:30" ht="16.5" customHeight="1">
      <c r="A2227" s="318" t="str">
        <f>IF(B2227&lt;&gt;"",IF(AND(B2227='IN-TC'!$S$4,OR(TH!N2227="1111",TH!O2227="1111")),TH!D2227,""),"")</f>
        <v/>
      </c>
      <c r="B2227" s="60" t="str">
        <f t="shared" ref="B2227:B2279" si="237">IF(C2227&lt;&gt;"",MONTH(C2227),"")</f>
        <v/>
      </c>
      <c r="C2227" s="61"/>
      <c r="D2227" s="301"/>
      <c r="E2227" s="301"/>
      <c r="F2227" s="64"/>
      <c r="G2227" s="766"/>
      <c r="H2227" s="321"/>
      <c r="I2227" s="385"/>
      <c r="J2227" s="392"/>
      <c r="K2227" s="385"/>
      <c r="L2227" s="392"/>
      <c r="M2227" s="62"/>
      <c r="N2227" s="63"/>
      <c r="O2227" s="979"/>
      <c r="P2227" s="79" t="str">
        <f>IF(AND('331-CT'!$E$7=TH!H2227,OR(N2227="331",O2227="331")),"x","")</f>
        <v/>
      </c>
      <c r="Q2227" s="79" t="str">
        <f>IF(AND(B2227='111'!$L$11,OR($N2227=$Q$7,$O2227=$Q$7)),"x","")</f>
        <v/>
      </c>
      <c r="R2227" s="79" t="str">
        <f>IF(AND($N2227=$Q$7,$B2227&lt;'111'!$L$11),"x","")</f>
        <v/>
      </c>
      <c r="S2227" s="79" t="str">
        <f>IF(AND($O2227=$Q$7,$B2227&lt;'111'!$L$11),"x","")</f>
        <v/>
      </c>
      <c r="T2227" s="79" t="str">
        <f>IF(ISERROR(FIND('112'!$M$9,G2227,1)),"",IF((AND(FIND('112'!$M$9,G2227,1)&gt;=1,B2227='112'!$K$9,OR($N2227='112'!$I$6,$O2227='112'!$I$6))),"x",""))</f>
        <v/>
      </c>
      <c r="U2227" s="79" t="str">
        <f>IF(ISERROR(FIND('112'!$M$9,G2227,1)),"",IF((AND(LEFT(G2227,2)=LEFT('112'!$M$9,2),B2227&lt;'112'!$K$9,$N2227='112'!$I$6)),"x",""))</f>
        <v/>
      </c>
      <c r="V2227" s="79" t="str">
        <f>IF(ISERROR(FIND('112'!$M$9,G2227,1)),"",IF((AND(RIGHT(G2227,2)=RIGHT('112'!$M$9,2),B2227&lt;'112'!$K$9,$O2227='112'!$I$6)),"x",""))</f>
        <v/>
      </c>
      <c r="W2227" s="79" t="str">
        <f>IF(AND('341-CT'!$H$9=H2227,OR(LEFT(N2227,3)=$W$7,LEFT(O2227,3)=$W$7)),"x","")</f>
        <v/>
      </c>
      <c r="X2227" s="79" t="str">
        <f>IF(OR(TH!N2227=TH!$X$7,O2227=TH!$X$7),"x","")</f>
        <v/>
      </c>
      <c r="Y2227" s="79" t="str">
        <f>IF(AND(OR(N2227="131",O2227="131"),H2227='131-CT'!$H$9),"x","")</f>
        <v/>
      </c>
      <c r="Z2227" s="79"/>
      <c r="AA2227" s="79" t="str">
        <f>IF(AND(MONTH(E2227)='IN-NX'!$J$5,'IN-NX'!$D$7=D2227),"x","")</f>
        <v/>
      </c>
      <c r="AB2227" s="79" t="str">
        <f>IF(AND(OR(LEFT(TH!N2227,2)="15",LEFT(TH!O2227,2)="15"),LEFT(TH!O2227,3)&lt;&gt;"111",'152-CT'!$J$8=TH!F2227),"x","")</f>
        <v/>
      </c>
      <c r="AC2227" s="79" t="str">
        <f>IF(AND(OR(LEFT(TH!N2227,2)="15",LEFT(TH!O2227,2)="15"),TK!$E$7=TH!F2227),"x","")</f>
        <v/>
      </c>
      <c r="AD2227" s="79" t="str">
        <f>IF(AND(N2227="1521",MONTH(C2227)='BK-NL'!$M$11),"x","")</f>
        <v/>
      </c>
    </row>
    <row r="2228" spans="1:30" ht="16.5" customHeight="1">
      <c r="A2228" s="318" t="str">
        <f>IF(B2228&lt;&gt;"",IF(AND(B2228='IN-TC'!$S$4,OR(TH!N2228="1111",TH!O2228="1111")),TH!D2228,""),"")</f>
        <v/>
      </c>
      <c r="B2228" s="60" t="str">
        <f t="shared" si="237"/>
        <v/>
      </c>
      <c r="C2228" s="61"/>
      <c r="D2228" s="301"/>
      <c r="E2228" s="301"/>
      <c r="F2228" s="64"/>
      <c r="G2228" s="766"/>
      <c r="H2228" s="321"/>
      <c r="I2228" s="385"/>
      <c r="J2228" s="392"/>
      <c r="K2228" s="385"/>
      <c r="L2228" s="392"/>
      <c r="M2228" s="62"/>
      <c r="N2228" s="63"/>
      <c r="O2228" s="979"/>
      <c r="P2228" s="79" t="str">
        <f>IF(AND('331-CT'!$E$7=TH!H2228,OR(N2228="331",O2228="331")),"x","")</f>
        <v/>
      </c>
      <c r="Q2228" s="79" t="str">
        <f>IF(AND(B2228='111'!$L$11,OR($N2228=$Q$7,$O2228=$Q$7)),"x","")</f>
        <v/>
      </c>
      <c r="R2228" s="79" t="str">
        <f>IF(AND($N2228=$Q$7,$B2228&lt;'111'!$L$11),"x","")</f>
        <v/>
      </c>
      <c r="S2228" s="79" t="str">
        <f>IF(AND($O2228=$Q$7,$B2228&lt;'111'!$L$11),"x","")</f>
        <v/>
      </c>
      <c r="T2228" s="79" t="str">
        <f>IF(ISERROR(FIND('112'!$M$9,G2228,1)),"",IF((AND(FIND('112'!$M$9,G2228,1)&gt;=1,B2228='112'!$K$9,OR($N2228='112'!$I$6,$O2228='112'!$I$6))),"x",""))</f>
        <v/>
      </c>
      <c r="U2228" s="79" t="str">
        <f>IF(ISERROR(FIND('112'!$M$9,G2228,1)),"",IF((AND(LEFT(G2228,2)=LEFT('112'!$M$9,2),B2228&lt;'112'!$K$9,$N2228='112'!$I$6)),"x",""))</f>
        <v/>
      </c>
      <c r="V2228" s="79" t="str">
        <f>IF(ISERROR(FIND('112'!$M$9,G2228,1)),"",IF((AND(RIGHT(G2228,2)=RIGHT('112'!$M$9,2),B2228&lt;'112'!$K$9,$O2228='112'!$I$6)),"x",""))</f>
        <v/>
      </c>
      <c r="W2228" s="79" t="str">
        <f>IF(AND('341-CT'!$H$9=H2228,OR(LEFT(N2228,3)=$W$7,LEFT(O2228,3)=$W$7)),"x","")</f>
        <v/>
      </c>
      <c r="X2228" s="79" t="str">
        <f>IF(OR(TH!N2228=TH!$X$7,O2228=TH!$X$7),"x","")</f>
        <v/>
      </c>
      <c r="Y2228" s="79" t="str">
        <f>IF(AND(OR(N2228="131",O2228="131"),H2228='131-CT'!$H$9),"x","")</f>
        <v/>
      </c>
      <c r="Z2228" s="79"/>
      <c r="AA2228" s="79" t="str">
        <f>IF(AND(MONTH(E2228)='IN-NX'!$J$5,'IN-NX'!$D$7=D2228),"x","")</f>
        <v/>
      </c>
      <c r="AB2228" s="79" t="str">
        <f>IF(AND(OR(LEFT(TH!N2228,2)="15",LEFT(TH!O2228,2)="15"),LEFT(TH!O2228,3)&lt;&gt;"111",'152-CT'!$J$8=TH!F2228),"x","")</f>
        <v/>
      </c>
      <c r="AC2228" s="79" t="str">
        <f>IF(AND(OR(LEFT(TH!N2228,2)="15",LEFT(TH!O2228,2)="15"),TK!$E$7=TH!F2228),"x","")</f>
        <v/>
      </c>
      <c r="AD2228" s="79" t="str">
        <f>IF(AND(N2228="1521",MONTH(C2228)='BK-NL'!$M$11),"x","")</f>
        <v/>
      </c>
    </row>
    <row r="2229" spans="1:30" ht="16.5" customHeight="1">
      <c r="A2229" s="318" t="str">
        <f>IF(B2229&lt;&gt;"",IF(AND(B2229='IN-TC'!$S$4,OR(TH!N2229="1111",TH!O2229="1111")),TH!D2229,""),"")</f>
        <v/>
      </c>
      <c r="B2229" s="60" t="str">
        <f t="shared" si="237"/>
        <v/>
      </c>
      <c r="C2229" s="61"/>
      <c r="D2229" s="301"/>
      <c r="E2229" s="301"/>
      <c r="F2229" s="64"/>
      <c r="G2229" s="766"/>
      <c r="H2229" s="69"/>
      <c r="I2229" s="385"/>
      <c r="J2229" s="392"/>
      <c r="K2229" s="385"/>
      <c r="L2229" s="392"/>
      <c r="M2229" s="62"/>
      <c r="N2229" s="63"/>
      <c r="O2229" s="979"/>
      <c r="P2229" s="79" t="str">
        <f>IF(AND('331-CT'!$E$7=TH!H2229,OR(N2229="331",O2229="331")),"x","")</f>
        <v/>
      </c>
      <c r="Q2229" s="79" t="str">
        <f>IF(AND(B2229='111'!$L$11,OR($N2229=$Q$7,$O2229=$Q$7)),"x","")</f>
        <v/>
      </c>
      <c r="R2229" s="79" t="str">
        <f>IF(AND($N2229=$Q$7,$B2229&lt;'111'!$L$11),"x","")</f>
        <v/>
      </c>
      <c r="S2229" s="79" t="str">
        <f>IF(AND($O2229=$Q$7,$B2229&lt;'111'!$L$11),"x","")</f>
        <v/>
      </c>
      <c r="T2229" s="79" t="str">
        <f>IF(ISERROR(FIND('112'!$M$9,G2229,1)),"",IF((AND(FIND('112'!$M$9,G2229,1)&gt;=1,B2229='112'!$K$9,OR($N2229='112'!$I$6,$O2229='112'!$I$6))),"x",""))</f>
        <v/>
      </c>
      <c r="U2229" s="79" t="str">
        <f>IF(ISERROR(FIND('112'!$M$9,G2229,1)),"",IF((AND(LEFT(G2229,2)=LEFT('112'!$M$9,2),B2229&lt;'112'!$K$9,$N2229='112'!$I$6)),"x",""))</f>
        <v/>
      </c>
      <c r="V2229" s="79" t="str">
        <f>IF(ISERROR(FIND('112'!$M$9,G2229,1)),"",IF((AND(RIGHT(G2229,2)=RIGHT('112'!$M$9,2),B2229&lt;'112'!$K$9,$O2229='112'!$I$6)),"x",""))</f>
        <v/>
      </c>
      <c r="W2229" s="79" t="str">
        <f>IF(AND('341-CT'!$H$9=H2229,OR(LEFT(N2229,3)=$W$7,LEFT(O2229,3)=$W$7)),"x","")</f>
        <v/>
      </c>
      <c r="X2229" s="79" t="str">
        <f>IF(OR(TH!N2229=TH!$X$7,O2229=TH!$X$7),"x","")</f>
        <v/>
      </c>
      <c r="Y2229" s="79" t="str">
        <f>IF(AND(OR(N2229="131",O2229="131"),H2229='131-CT'!$H$9),"x","")</f>
        <v/>
      </c>
      <c r="Z2229" s="79"/>
      <c r="AA2229" s="79" t="str">
        <f>IF(AND(MONTH(E2229)='IN-NX'!$J$5,'IN-NX'!$D$7=D2229),"x","")</f>
        <v/>
      </c>
      <c r="AB2229" s="79" t="str">
        <f>IF(AND(OR(LEFT(TH!N2229,2)="15",LEFT(TH!O2229,2)="15"),LEFT(TH!O2229,3)&lt;&gt;"111",'152-CT'!$J$8=TH!F2229),"x","")</f>
        <v/>
      </c>
      <c r="AC2229" s="79" t="str">
        <f>IF(AND(OR(LEFT(TH!N2229,2)="15",LEFT(TH!O2229,2)="15"),TK!$E$7=TH!F2229),"x","")</f>
        <v/>
      </c>
      <c r="AD2229" s="79" t="str">
        <f>IF(AND(N2229="1521",MONTH(C2229)='BK-NL'!$M$11),"x","")</f>
        <v/>
      </c>
    </row>
    <row r="2230" spans="1:30" ht="16.5" customHeight="1">
      <c r="A2230" s="318" t="str">
        <f>IF(B2230&lt;&gt;"",IF(AND(B2230='IN-TC'!$S$4,OR(TH!N2230="1111",TH!O2230="1111")),TH!D2230,""),"")</f>
        <v/>
      </c>
      <c r="B2230" s="60" t="str">
        <f t="shared" si="237"/>
        <v/>
      </c>
      <c r="C2230" s="61"/>
      <c r="D2230" s="301"/>
      <c r="E2230" s="301"/>
      <c r="F2230" s="64"/>
      <c r="G2230" s="766"/>
      <c r="H2230" s="69"/>
      <c r="I2230" s="385"/>
      <c r="J2230" s="392"/>
      <c r="K2230" s="385"/>
      <c r="L2230" s="392"/>
      <c r="M2230" s="62"/>
      <c r="N2230" s="63"/>
      <c r="O2230" s="979"/>
      <c r="P2230" s="79" t="str">
        <f>IF(AND('331-CT'!$E$7=TH!H2230,OR(N2230="331",O2230="331")),"x","")</f>
        <v/>
      </c>
      <c r="Q2230" s="79" t="str">
        <f>IF(AND(B2230='111'!$L$11,OR($N2230=$Q$7,$O2230=$Q$7)),"x","")</f>
        <v/>
      </c>
      <c r="R2230" s="79" t="str">
        <f>IF(AND($N2230=$Q$7,$B2230&lt;'111'!$L$11),"x","")</f>
        <v/>
      </c>
      <c r="S2230" s="79" t="str">
        <f>IF(AND($O2230=$Q$7,$B2230&lt;'111'!$L$11),"x","")</f>
        <v/>
      </c>
      <c r="T2230" s="79" t="str">
        <f>IF(ISERROR(FIND('112'!$M$9,G2230,1)),"",IF((AND(FIND('112'!$M$9,G2230,1)&gt;=1,B2230='112'!$K$9,OR($N2230='112'!$I$6,$O2230='112'!$I$6))),"x",""))</f>
        <v/>
      </c>
      <c r="U2230" s="79" t="str">
        <f>IF(ISERROR(FIND('112'!$M$9,G2230,1)),"",IF((AND(LEFT(G2230,2)=LEFT('112'!$M$9,2),B2230&lt;'112'!$K$9,$N2230='112'!$I$6)),"x",""))</f>
        <v/>
      </c>
      <c r="V2230" s="79" t="str">
        <f>IF(ISERROR(FIND('112'!$M$9,G2230,1)),"",IF((AND(RIGHT(G2230,2)=RIGHT('112'!$M$9,2),B2230&lt;'112'!$K$9,$O2230='112'!$I$6)),"x",""))</f>
        <v/>
      </c>
      <c r="W2230" s="79" t="str">
        <f>IF(AND('341-CT'!$H$9=H2230,OR(LEFT(N2230,3)=$W$7,LEFT(O2230,3)=$W$7)),"x","")</f>
        <v/>
      </c>
      <c r="X2230" s="79" t="str">
        <f>IF(OR(TH!N2230=TH!$X$7,O2230=TH!$X$7),"x","")</f>
        <v/>
      </c>
      <c r="Y2230" s="79" t="str">
        <f>IF(AND(OR(N2230="131",O2230="131"),H2230='131-CT'!$H$9),"x","")</f>
        <v/>
      </c>
      <c r="Z2230" s="79"/>
      <c r="AA2230" s="79" t="str">
        <f>IF(AND(MONTH(E2230)='IN-NX'!$J$5,'IN-NX'!$D$7=D2230),"x","")</f>
        <v/>
      </c>
      <c r="AB2230" s="79" t="str">
        <f>IF(AND(OR(LEFT(TH!N2230,2)="15",LEFT(TH!O2230,2)="15"),LEFT(TH!O2230,3)&lt;&gt;"111",'152-CT'!$J$8=TH!F2230),"x","")</f>
        <v/>
      </c>
      <c r="AC2230" s="79" t="str">
        <f>IF(AND(OR(LEFT(TH!N2230,2)="15",LEFT(TH!O2230,2)="15"),TK!$E$7=TH!F2230),"x","")</f>
        <v/>
      </c>
      <c r="AD2230" s="79" t="str">
        <f>IF(AND(N2230="1521",MONTH(C2230)='BK-NL'!$M$11),"x","")</f>
        <v/>
      </c>
    </row>
    <row r="2231" spans="1:30" ht="16.5" customHeight="1">
      <c r="A2231" s="318" t="str">
        <f>IF(B2231&lt;&gt;"",IF(AND(B2231='IN-TC'!$S$4,OR(TH!N2231="1111",TH!O2231="1111")),TH!D2231,""),"")</f>
        <v/>
      </c>
      <c r="B2231" s="60" t="str">
        <f t="shared" si="237"/>
        <v/>
      </c>
      <c r="C2231" s="61"/>
      <c r="D2231" s="301"/>
      <c r="E2231" s="301"/>
      <c r="F2231" s="64"/>
      <c r="G2231" s="766"/>
      <c r="H2231" s="321"/>
      <c r="I2231" s="385"/>
      <c r="J2231" s="392"/>
      <c r="K2231" s="385"/>
      <c r="L2231" s="392"/>
      <c r="M2231" s="62"/>
      <c r="N2231" s="63"/>
      <c r="O2231" s="979"/>
      <c r="P2231" s="79" t="str">
        <f>IF(AND('331-CT'!$E$7=TH!H2231,OR(N2231="331",O2231="331")),"x","")</f>
        <v/>
      </c>
      <c r="Q2231" s="79" t="str">
        <f>IF(AND(B2231='111'!$L$11,OR($N2231=$Q$7,$O2231=$Q$7)),"x","")</f>
        <v/>
      </c>
      <c r="R2231" s="79" t="str">
        <f>IF(AND($N2231=$Q$7,$B2231&lt;'111'!$L$11),"x","")</f>
        <v/>
      </c>
      <c r="S2231" s="79" t="str">
        <f>IF(AND($O2231=$Q$7,$B2231&lt;'111'!$L$11),"x","")</f>
        <v/>
      </c>
      <c r="T2231" s="79" t="str">
        <f>IF(ISERROR(FIND('112'!$M$9,G2231,1)),"",IF((AND(FIND('112'!$M$9,G2231,1)&gt;=1,B2231='112'!$K$9,OR($N2231='112'!$I$6,$O2231='112'!$I$6))),"x",""))</f>
        <v/>
      </c>
      <c r="U2231" s="79" t="str">
        <f>IF(ISERROR(FIND('112'!$M$9,G2231,1)),"",IF((AND(LEFT(G2231,2)=LEFT('112'!$M$9,2),B2231&lt;'112'!$K$9,$N2231='112'!$I$6)),"x",""))</f>
        <v/>
      </c>
      <c r="V2231" s="79" t="str">
        <f>IF(ISERROR(FIND('112'!$M$9,G2231,1)),"",IF((AND(RIGHT(G2231,2)=RIGHT('112'!$M$9,2),B2231&lt;'112'!$K$9,$O2231='112'!$I$6)),"x",""))</f>
        <v/>
      </c>
      <c r="W2231" s="79" t="str">
        <f>IF(AND('341-CT'!$H$9=H2231,OR(LEFT(N2231,3)=$W$7,LEFT(O2231,3)=$W$7)),"x","")</f>
        <v/>
      </c>
      <c r="X2231" s="79" t="str">
        <f>IF(OR(TH!N2231=TH!$X$7,O2231=TH!$X$7),"x","")</f>
        <v/>
      </c>
      <c r="Y2231" s="79" t="str">
        <f>IF(AND(OR(N2231="131",O2231="131"),H2231='131-CT'!$H$9),"x","")</f>
        <v/>
      </c>
      <c r="Z2231" s="79"/>
      <c r="AA2231" s="79" t="str">
        <f>IF(AND(MONTH(E2231)='IN-NX'!$J$5,'IN-NX'!$D$7=D2231),"x","")</f>
        <v/>
      </c>
      <c r="AB2231" s="79" t="str">
        <f>IF(AND(OR(LEFT(TH!N2231,2)="15",LEFT(TH!O2231,2)="15"),LEFT(TH!O2231,3)&lt;&gt;"111",'152-CT'!$J$8=TH!F2231),"x","")</f>
        <v/>
      </c>
      <c r="AC2231" s="79" t="str">
        <f>IF(AND(OR(LEFT(TH!N2231,2)="15",LEFT(TH!O2231,2)="15"),TK!$E$7=TH!F2231),"x","")</f>
        <v/>
      </c>
      <c r="AD2231" s="79" t="str">
        <f>IF(AND(N2231="1521",MONTH(C2231)='BK-NL'!$M$11),"x","")</f>
        <v/>
      </c>
    </row>
    <row r="2232" spans="1:30" ht="16.5" customHeight="1">
      <c r="A2232" s="318" t="str">
        <f>IF(B2232&lt;&gt;"",IF(AND(B2232='IN-TC'!$S$4,OR(TH!N2232="1111",TH!O2232="1111")),TH!D2232,""),"")</f>
        <v/>
      </c>
      <c r="B2232" s="60" t="str">
        <f t="shared" si="237"/>
        <v/>
      </c>
      <c r="C2232" s="61"/>
      <c r="D2232" s="301"/>
      <c r="E2232" s="301"/>
      <c r="F2232" s="64"/>
      <c r="G2232" s="766"/>
      <c r="H2232" s="321"/>
      <c r="I2232" s="385"/>
      <c r="J2232" s="392"/>
      <c r="K2232" s="385"/>
      <c r="L2232" s="392"/>
      <c r="M2232" s="62"/>
      <c r="N2232" s="63"/>
      <c r="O2232" s="979"/>
      <c r="P2232" s="79" t="str">
        <f>IF(AND('331-CT'!$E$7=TH!H2232,OR(N2232="331",O2232="331")),"x","")</f>
        <v/>
      </c>
      <c r="Q2232" s="79" t="str">
        <f>IF(AND(B2232='111'!$L$11,OR($N2232=$Q$7,$O2232=$Q$7)),"x","")</f>
        <v/>
      </c>
      <c r="R2232" s="79" t="str">
        <f>IF(AND($N2232=$Q$7,$B2232&lt;'111'!$L$11),"x","")</f>
        <v/>
      </c>
      <c r="S2232" s="79" t="str">
        <f>IF(AND($O2232=$Q$7,$B2232&lt;'111'!$L$11),"x","")</f>
        <v/>
      </c>
      <c r="T2232" s="79" t="str">
        <f>IF(ISERROR(FIND('112'!$M$9,G2232,1)),"",IF((AND(FIND('112'!$M$9,G2232,1)&gt;=1,B2232='112'!$K$9,OR($N2232='112'!$I$6,$O2232='112'!$I$6))),"x",""))</f>
        <v/>
      </c>
      <c r="U2232" s="79" t="str">
        <f>IF(ISERROR(FIND('112'!$M$9,G2232,1)),"",IF((AND(LEFT(G2232,2)=LEFT('112'!$M$9,2),B2232&lt;'112'!$K$9,$N2232='112'!$I$6)),"x",""))</f>
        <v/>
      </c>
      <c r="V2232" s="79" t="str">
        <f>IF(ISERROR(FIND('112'!$M$9,G2232,1)),"",IF((AND(RIGHT(G2232,2)=RIGHT('112'!$M$9,2),B2232&lt;'112'!$K$9,$O2232='112'!$I$6)),"x",""))</f>
        <v/>
      </c>
      <c r="W2232" s="79" t="str">
        <f>IF(AND('341-CT'!$H$9=H2232,OR(LEFT(N2232,3)=$W$7,LEFT(O2232,3)=$W$7)),"x","")</f>
        <v/>
      </c>
      <c r="X2232" s="79" t="str">
        <f>IF(OR(TH!N2232=TH!$X$7,O2232=TH!$X$7),"x","")</f>
        <v/>
      </c>
      <c r="Y2232" s="79" t="str">
        <f>IF(AND(OR(N2232="131",O2232="131"),H2232='131-CT'!$H$9),"x","")</f>
        <v/>
      </c>
      <c r="Z2232" s="79"/>
      <c r="AA2232" s="79" t="str">
        <f>IF(AND(MONTH(E2232)='IN-NX'!$J$5,'IN-NX'!$D$7=D2232),"x","")</f>
        <v/>
      </c>
      <c r="AB2232" s="79" t="str">
        <f>IF(AND(OR(LEFT(TH!N2232,2)="15",LEFT(TH!O2232,2)="15"),LEFT(TH!O2232,3)&lt;&gt;"111",'152-CT'!$J$8=TH!F2232),"x","")</f>
        <v/>
      </c>
      <c r="AC2232" s="79" t="str">
        <f>IF(AND(OR(LEFT(TH!N2232,2)="15",LEFT(TH!O2232,2)="15"),TK!$E$7=TH!F2232),"x","")</f>
        <v/>
      </c>
      <c r="AD2232" s="79" t="str">
        <f>IF(AND(N2232="1521",MONTH(C2232)='BK-NL'!$M$11),"x","")</f>
        <v/>
      </c>
    </row>
    <row r="2233" spans="1:30" ht="16.5" customHeight="1">
      <c r="A2233" s="318" t="str">
        <f>IF(B2233&lt;&gt;"",IF(AND(B2233='IN-TC'!$S$4,OR(TH!N2233="1111",TH!O2233="1111")),TH!D2233,""),"")</f>
        <v/>
      </c>
      <c r="B2233" s="60" t="str">
        <f t="shared" si="237"/>
        <v/>
      </c>
      <c r="C2233" s="981"/>
      <c r="D2233" s="301"/>
      <c r="E2233" s="301"/>
      <c r="F2233" s="999"/>
      <c r="G2233" s="1130"/>
      <c r="H2233" s="982"/>
      <c r="I2233" s="984"/>
      <c r="J2233" s="983"/>
      <c r="K2233" s="984"/>
      <c r="L2233" s="983"/>
      <c r="M2233" s="985"/>
      <c r="N2233" s="986"/>
      <c r="O2233" s="986"/>
      <c r="P2233" s="79" t="str">
        <f>IF(AND('331-CT'!$E$7=TH!H2233,OR(N2233="331",O2233="331")),"x","")</f>
        <v/>
      </c>
      <c r="Q2233" s="79" t="str">
        <f>IF(AND(B2233='111'!$L$11,OR($N2233=$Q$7,$O2233=$Q$7)),"x","")</f>
        <v/>
      </c>
      <c r="R2233" s="79" t="str">
        <f>IF(AND($N2233=$Q$7,$B2233&lt;'111'!$L$11),"x","")</f>
        <v/>
      </c>
      <c r="S2233" s="79" t="str">
        <f>IF(AND($O2233=$Q$7,$B2233&lt;'111'!$L$11),"x","")</f>
        <v/>
      </c>
      <c r="T2233" s="79" t="str">
        <f>IF(ISERROR(FIND('112'!$M$9,G2233,1)),"",IF((AND(FIND('112'!$M$9,G2233,1)&gt;=1,B2233='112'!$K$9,OR($N2233='112'!$I$6,$O2233='112'!$I$6))),"x",""))</f>
        <v/>
      </c>
      <c r="U2233" s="79" t="str">
        <f>IF(ISERROR(FIND('112'!$M$9,G2233,1)),"",IF((AND(LEFT(G2233,2)=LEFT('112'!$M$9,2),B2233&lt;'112'!$K$9,$N2233='112'!$I$6)),"x",""))</f>
        <v/>
      </c>
      <c r="V2233" s="79" t="str">
        <f>IF(ISERROR(FIND('112'!$M$9,G2233,1)),"",IF((AND(RIGHT(G2233,2)=RIGHT('112'!$M$9,2),B2233&lt;'112'!$K$9,$O2233='112'!$I$6)),"x",""))</f>
        <v/>
      </c>
      <c r="W2233" s="79" t="str">
        <f>IF(AND('341-CT'!$H$9=H2233,OR(LEFT(N2233,3)=$W$7,LEFT(O2233,3)=$W$7)),"x","")</f>
        <v/>
      </c>
      <c r="X2233" s="79" t="str">
        <f>IF(OR(TH!N2233=TH!$X$7,O2233=TH!$X$7),"x","")</f>
        <v/>
      </c>
      <c r="Y2233" s="79" t="str">
        <f>IF(AND(OR(N2233="131",O2233="131"),H2233='131-CT'!$H$9),"x","")</f>
        <v/>
      </c>
      <c r="Z2233" s="79"/>
      <c r="AA2233" s="79" t="str">
        <f>IF(AND(MONTH(E2233)='IN-NX'!$J$5,'IN-NX'!$D$7=D2233),"x","")</f>
        <v/>
      </c>
      <c r="AB2233" s="79" t="str">
        <f>IF(AND(OR(LEFT(TH!N2233,2)="15",LEFT(TH!O2233,2)="15"),LEFT(TH!O2233,3)&lt;&gt;"111",'152-CT'!$J$8=TH!F2233),"x","")</f>
        <v/>
      </c>
      <c r="AC2233" s="79" t="str">
        <f>IF(AND(OR(LEFT(TH!N2233,2)="15",LEFT(TH!O2233,2)="15"),TK!$E$7=TH!F2233),"x","")</f>
        <v/>
      </c>
      <c r="AD2233" s="79" t="str">
        <f>IF(AND(N2233="1521",MONTH(C2233)='BK-NL'!$M$11),"x","")</f>
        <v/>
      </c>
    </row>
    <row r="2234" spans="1:30" ht="16.5" customHeight="1">
      <c r="A2234" s="318" t="str">
        <f>IF(B2234&lt;&gt;"",IF(AND(B2234='IN-TC'!$S$4,OR(TH!N2234="1111",TH!O2234="1111")),TH!D2234,""),"")</f>
        <v/>
      </c>
      <c r="B2234" s="60" t="str">
        <f t="shared" si="237"/>
        <v/>
      </c>
      <c r="C2234" s="981"/>
      <c r="D2234" s="301"/>
      <c r="E2234" s="301"/>
      <c r="F2234" s="999"/>
      <c r="G2234" s="1130"/>
      <c r="H2234" s="982"/>
      <c r="I2234" s="984"/>
      <c r="J2234" s="983"/>
      <c r="K2234" s="984"/>
      <c r="L2234" s="983"/>
      <c r="M2234" s="985"/>
      <c r="N2234" s="986"/>
      <c r="O2234" s="986"/>
      <c r="P2234" s="79" t="str">
        <f>IF(AND('331-CT'!$E$7=TH!H2234,OR(N2234="331",O2234="331")),"x","")</f>
        <v/>
      </c>
      <c r="Q2234" s="79" t="str">
        <f>IF(AND(B2234='111'!$L$11,OR($N2234=$Q$7,$O2234=$Q$7)),"x","")</f>
        <v/>
      </c>
      <c r="R2234" s="79" t="str">
        <f>IF(AND($N2234=$Q$7,$B2234&lt;'111'!$L$11),"x","")</f>
        <v/>
      </c>
      <c r="S2234" s="79" t="str">
        <f>IF(AND($O2234=$Q$7,$B2234&lt;'111'!$L$11),"x","")</f>
        <v/>
      </c>
      <c r="T2234" s="79" t="str">
        <f>IF(ISERROR(FIND('112'!$M$9,G2234,1)),"",IF((AND(FIND('112'!$M$9,G2234,1)&gt;=1,B2234='112'!$K$9,OR($N2234='112'!$I$6,$O2234='112'!$I$6))),"x",""))</f>
        <v/>
      </c>
      <c r="U2234" s="79" t="str">
        <f>IF(ISERROR(FIND('112'!$M$9,G2234,1)),"",IF((AND(LEFT(G2234,2)=LEFT('112'!$M$9,2),B2234&lt;'112'!$K$9,$N2234='112'!$I$6)),"x",""))</f>
        <v/>
      </c>
      <c r="V2234" s="79" t="str">
        <f>IF(ISERROR(FIND('112'!$M$9,G2234,1)),"",IF((AND(RIGHT(G2234,2)=RIGHT('112'!$M$9,2),B2234&lt;'112'!$K$9,$O2234='112'!$I$6)),"x",""))</f>
        <v/>
      </c>
      <c r="W2234" s="79" t="str">
        <f>IF(AND('341-CT'!$H$9=H2234,OR(LEFT(N2234,3)=$W$7,LEFT(O2234,3)=$W$7)),"x","")</f>
        <v/>
      </c>
      <c r="X2234" s="79" t="str">
        <f>IF(OR(TH!N2234=TH!$X$7,O2234=TH!$X$7),"x","")</f>
        <v/>
      </c>
      <c r="Y2234" s="79" t="str">
        <f>IF(AND(OR(N2234="131",O2234="131"),H2234='131-CT'!$H$9),"x","")</f>
        <v/>
      </c>
      <c r="Z2234" s="79"/>
      <c r="AA2234" s="79" t="str">
        <f>IF(AND(MONTH(E2234)='IN-NX'!$J$5,'IN-NX'!$D$7=D2234),"x","")</f>
        <v/>
      </c>
      <c r="AB2234" s="79" t="str">
        <f>IF(AND(OR(LEFT(TH!N2234,2)="15",LEFT(TH!O2234,2)="15"),LEFT(TH!O2234,3)&lt;&gt;"111",'152-CT'!$J$8=TH!F2234),"x","")</f>
        <v/>
      </c>
      <c r="AC2234" s="79" t="str">
        <f>IF(AND(OR(LEFT(TH!N2234,2)="15",LEFT(TH!O2234,2)="15"),TK!$E$7=TH!F2234),"x","")</f>
        <v/>
      </c>
      <c r="AD2234" s="79" t="str">
        <f>IF(AND(N2234="1521",MONTH(C2234)='BK-NL'!$M$11),"x","")</f>
        <v/>
      </c>
    </row>
    <row r="2235" spans="1:30" ht="16.5" customHeight="1">
      <c r="A2235" s="318" t="str">
        <f>IF(B2235&lt;&gt;"",IF(AND(B2235='IN-TC'!$S$4,OR(TH!N2235="1111",TH!O2235="1111")),TH!D2235,""),"")</f>
        <v/>
      </c>
      <c r="B2235" s="60" t="str">
        <f t="shared" si="237"/>
        <v/>
      </c>
      <c r="C2235" s="61"/>
      <c r="D2235" s="301"/>
      <c r="E2235" s="301"/>
      <c r="F2235" s="64"/>
      <c r="G2235" s="64"/>
      <c r="H2235" s="321"/>
      <c r="I2235" s="385"/>
      <c r="J2235" s="392"/>
      <c r="K2235" s="385"/>
      <c r="L2235" s="392"/>
      <c r="M2235" s="62"/>
      <c r="N2235" s="63"/>
      <c r="O2235" s="979"/>
      <c r="P2235" s="79" t="str">
        <f>IF(AND('331-CT'!$E$7=TH!H2235,OR(N2235="331",O2235="331")),"x","")</f>
        <v/>
      </c>
      <c r="Q2235" s="79" t="str">
        <f>IF(AND(B2235='111'!$L$11,OR($N2235=$Q$7,$O2235=$Q$7)),"x","")</f>
        <v/>
      </c>
      <c r="R2235" s="79" t="str">
        <f>IF(AND($N2235=$Q$7,$B2235&lt;'111'!$L$11),"x","")</f>
        <v/>
      </c>
      <c r="S2235" s="79" t="str">
        <f>IF(AND($O2235=$Q$7,$B2235&lt;'111'!$L$11),"x","")</f>
        <v/>
      </c>
      <c r="T2235" s="79" t="str">
        <f>IF(ISERROR(FIND('112'!$M$9,G2235,1)),"",IF((AND(FIND('112'!$M$9,G2235,1)&gt;=1,B2235='112'!$K$9,OR($N2235='112'!$I$6,$O2235='112'!$I$6))),"x",""))</f>
        <v/>
      </c>
      <c r="U2235" s="79" t="str">
        <f>IF(ISERROR(FIND('112'!$M$9,G2235,1)),"",IF((AND(LEFT(G2235,2)=LEFT('112'!$M$9,2),B2235&lt;'112'!$K$9,$N2235='112'!$I$6)),"x",""))</f>
        <v/>
      </c>
      <c r="V2235" s="79" t="str">
        <f>IF(ISERROR(FIND('112'!$M$9,G2235,1)),"",IF((AND(RIGHT(G2235,2)=RIGHT('112'!$M$9,2),B2235&lt;'112'!$K$9,$O2235='112'!$I$6)),"x",""))</f>
        <v/>
      </c>
      <c r="W2235" s="79" t="str">
        <f>IF(AND('341-CT'!$H$9=H2235,OR(LEFT(N2235,3)=$W$7,LEFT(O2235,3)=$W$7)),"x","")</f>
        <v/>
      </c>
      <c r="X2235" s="79" t="str">
        <f>IF(OR(TH!N2235=TH!$X$7,O2235=TH!$X$7),"x","")</f>
        <v/>
      </c>
      <c r="Y2235" s="79" t="str">
        <f>IF(AND(OR(N2235="131",O2235="131"),H2235='131-CT'!$H$9),"x","")</f>
        <v/>
      </c>
      <c r="Z2235" s="79"/>
      <c r="AA2235" s="79" t="str">
        <f>IF(AND(MONTH(E2235)='IN-NX'!$J$5,'IN-NX'!$D$7=D2235),"x","")</f>
        <v/>
      </c>
      <c r="AB2235" s="79" t="str">
        <f>IF(AND(OR(LEFT(TH!N2235,2)="15",LEFT(TH!O2235,2)="15"),LEFT(TH!O2235,3)&lt;&gt;"111",'152-CT'!$J$8=TH!F2235),"x","")</f>
        <v/>
      </c>
      <c r="AC2235" s="79" t="str">
        <f>IF(AND(OR(LEFT(TH!N2235,2)="15",LEFT(TH!O2235,2)="15"),TK!$E$7=TH!F2235),"x","")</f>
        <v/>
      </c>
      <c r="AD2235" s="79" t="str">
        <f>IF(AND(N2235="1521",MONTH(C2235)='BK-NL'!$M$11),"x","")</f>
        <v/>
      </c>
    </row>
    <row r="2236" spans="1:30" ht="16.5" customHeight="1">
      <c r="A2236" s="318" t="str">
        <f>IF(B2236&lt;&gt;"",IF(AND(B2236='IN-TC'!$S$4,OR(TH!N2236="1111",TH!O2236="1111")),TH!D2236,""),"")</f>
        <v/>
      </c>
      <c r="B2236" s="60" t="str">
        <f t="shared" si="237"/>
        <v/>
      </c>
      <c r="C2236" s="61"/>
      <c r="D2236" s="301"/>
      <c r="E2236" s="301"/>
      <c r="F2236" s="64"/>
      <c r="G2236" s="64"/>
      <c r="H2236" s="321"/>
      <c r="I2236" s="385"/>
      <c r="J2236" s="392"/>
      <c r="K2236" s="385"/>
      <c r="L2236" s="392"/>
      <c r="M2236" s="62"/>
      <c r="N2236" s="63"/>
      <c r="O2236" s="979"/>
      <c r="P2236" s="79" t="str">
        <f>IF(AND('331-CT'!$E$7=TH!H2236,OR(N2236="331",O2236="331")),"x","")</f>
        <v/>
      </c>
      <c r="Q2236" s="79" t="str">
        <f>IF(AND(B2236='111'!$L$11,OR($N2236=$Q$7,$O2236=$Q$7)),"x","")</f>
        <v/>
      </c>
      <c r="R2236" s="79" t="str">
        <f>IF(AND($N2236=$Q$7,$B2236&lt;'111'!$L$11),"x","")</f>
        <v/>
      </c>
      <c r="S2236" s="79" t="str">
        <f>IF(AND($O2236=$Q$7,$B2236&lt;'111'!$L$11),"x","")</f>
        <v/>
      </c>
      <c r="T2236" s="79" t="str">
        <f>IF(ISERROR(FIND('112'!$M$9,G2236,1)),"",IF((AND(FIND('112'!$M$9,G2236,1)&gt;=1,B2236='112'!$K$9,OR($N2236='112'!$I$6,$O2236='112'!$I$6))),"x",""))</f>
        <v/>
      </c>
      <c r="U2236" s="79" t="str">
        <f>IF(ISERROR(FIND('112'!$M$9,G2236,1)),"",IF((AND(LEFT(G2236,2)=LEFT('112'!$M$9,2),B2236&lt;'112'!$K$9,$N2236='112'!$I$6)),"x",""))</f>
        <v/>
      </c>
      <c r="V2236" s="79" t="str">
        <f>IF(ISERROR(FIND('112'!$M$9,G2236,1)),"",IF((AND(RIGHT(G2236,2)=RIGHT('112'!$M$9,2),B2236&lt;'112'!$K$9,$O2236='112'!$I$6)),"x",""))</f>
        <v/>
      </c>
      <c r="W2236" s="79" t="str">
        <f>IF(AND('341-CT'!$H$9=H2236,OR(LEFT(N2236,3)=$W$7,LEFT(O2236,3)=$W$7)),"x","")</f>
        <v/>
      </c>
      <c r="X2236" s="79" t="str">
        <f>IF(OR(TH!N2236=TH!$X$7,O2236=TH!$X$7),"x","")</f>
        <v/>
      </c>
      <c r="Y2236" s="79" t="str">
        <f>IF(AND(OR(N2236="131",O2236="131"),H2236='131-CT'!$H$9),"x","")</f>
        <v/>
      </c>
      <c r="Z2236" s="79"/>
      <c r="AA2236" s="79" t="str">
        <f>IF(AND(MONTH(E2236)='IN-NX'!$J$5,'IN-NX'!$D$7=D2236),"x","")</f>
        <v/>
      </c>
      <c r="AB2236" s="79" t="str">
        <f>IF(AND(OR(LEFT(TH!N2236,2)="15",LEFT(TH!O2236,2)="15"),LEFT(TH!O2236,3)&lt;&gt;"111",'152-CT'!$J$8=TH!F2236),"x","")</f>
        <v/>
      </c>
      <c r="AC2236" s="79" t="str">
        <f>IF(AND(OR(LEFT(TH!N2236,2)="15",LEFT(TH!O2236,2)="15"),TK!$E$7=TH!F2236),"x","")</f>
        <v/>
      </c>
      <c r="AD2236" s="79" t="str">
        <f>IF(AND(N2236="1521",MONTH(C2236)='BK-NL'!$M$11),"x","")</f>
        <v/>
      </c>
    </row>
    <row r="2237" spans="1:30" ht="16.5" customHeight="1">
      <c r="A2237" s="318" t="str">
        <f>IF(B2237&lt;&gt;"",IF(AND(B2237='IN-TC'!$S$4,OR(TH!N2237="1111",TH!O2237="1111")),TH!D2237,""),"")</f>
        <v/>
      </c>
      <c r="B2237" s="60" t="str">
        <f t="shared" si="237"/>
        <v/>
      </c>
      <c r="C2237" s="61"/>
      <c r="D2237" s="301"/>
      <c r="E2237" s="301"/>
      <c r="F2237" s="64"/>
      <c r="G2237" s="64"/>
      <c r="H2237" s="321"/>
      <c r="I2237" s="385"/>
      <c r="J2237" s="392"/>
      <c r="K2237" s="385"/>
      <c r="L2237" s="392"/>
      <c r="M2237" s="62"/>
      <c r="N2237" s="63"/>
      <c r="O2237" s="979"/>
      <c r="P2237" s="79" t="str">
        <f>IF(AND('331-CT'!$E$7=TH!H2237,OR(N2237="331",O2237="331")),"x","")</f>
        <v/>
      </c>
      <c r="Q2237" s="79" t="str">
        <f>IF(AND(B2237='111'!$L$11,OR($N2237=$Q$7,$O2237=$Q$7)),"x","")</f>
        <v/>
      </c>
      <c r="R2237" s="79" t="str">
        <f>IF(AND($N2237=$Q$7,$B2237&lt;'111'!$L$11),"x","")</f>
        <v/>
      </c>
      <c r="S2237" s="79" t="str">
        <f>IF(AND($O2237=$Q$7,$B2237&lt;'111'!$L$11),"x","")</f>
        <v/>
      </c>
      <c r="T2237" s="79" t="str">
        <f>IF(ISERROR(FIND('112'!$M$9,G2237,1)),"",IF((AND(FIND('112'!$M$9,G2237,1)&gt;=1,B2237='112'!$K$9,OR($N2237='112'!$I$6,$O2237='112'!$I$6))),"x",""))</f>
        <v/>
      </c>
      <c r="U2237" s="79" t="str">
        <f>IF(ISERROR(FIND('112'!$M$9,G2237,1)),"",IF((AND(LEFT(G2237,2)=LEFT('112'!$M$9,2),B2237&lt;'112'!$K$9,$N2237='112'!$I$6)),"x",""))</f>
        <v/>
      </c>
      <c r="V2237" s="79" t="str">
        <f>IF(ISERROR(FIND('112'!$M$9,G2237,1)),"",IF((AND(RIGHT(G2237,2)=RIGHT('112'!$M$9,2),B2237&lt;'112'!$K$9,$O2237='112'!$I$6)),"x",""))</f>
        <v/>
      </c>
      <c r="W2237" s="79" t="str">
        <f>IF(AND('341-CT'!$H$9=H2237,OR(LEFT(N2237,3)=$W$7,LEFT(O2237,3)=$W$7)),"x","")</f>
        <v/>
      </c>
      <c r="X2237" s="79" t="str">
        <f>IF(OR(TH!N2237=TH!$X$7,O2237=TH!$X$7),"x","")</f>
        <v/>
      </c>
      <c r="Y2237" s="79" t="str">
        <f>IF(AND(OR(N2237="131",O2237="131"),H2237='131-CT'!$H$9),"x","")</f>
        <v/>
      </c>
      <c r="Z2237" s="79"/>
      <c r="AA2237" s="79" t="str">
        <f>IF(AND(MONTH(E2237)='IN-NX'!$J$5,'IN-NX'!$D$7=D2237),"x","")</f>
        <v/>
      </c>
      <c r="AB2237" s="79" t="str">
        <f>IF(AND(OR(LEFT(TH!N2237,2)="15",LEFT(TH!O2237,2)="15"),LEFT(TH!O2237,3)&lt;&gt;"111",'152-CT'!$J$8=TH!F2237),"x","")</f>
        <v/>
      </c>
      <c r="AC2237" s="79" t="str">
        <f>IF(AND(OR(LEFT(TH!N2237,2)="15",LEFT(TH!O2237,2)="15"),TK!$E$7=TH!F2237),"x","")</f>
        <v/>
      </c>
      <c r="AD2237" s="79" t="str">
        <f>IF(AND(N2237="1521",MONTH(C2237)='BK-NL'!$M$11),"x","")</f>
        <v/>
      </c>
    </row>
    <row r="2238" spans="1:30" ht="16.5" customHeight="1">
      <c r="A2238" s="318" t="str">
        <f>IF(B2238&lt;&gt;"",IF(AND(B2238='IN-TC'!$S$4,OR(TH!N2238="1111",TH!O2238="1111")),TH!D2238,""),"")</f>
        <v/>
      </c>
      <c r="B2238" s="60" t="str">
        <f t="shared" si="237"/>
        <v/>
      </c>
      <c r="C2238" s="61"/>
      <c r="D2238" s="301"/>
      <c r="E2238" s="301"/>
      <c r="F2238" s="64"/>
      <c r="G2238" s="64"/>
      <c r="H2238" s="321"/>
      <c r="I2238" s="385"/>
      <c r="J2238" s="392"/>
      <c r="K2238" s="385"/>
      <c r="L2238" s="392"/>
      <c r="M2238" s="62"/>
      <c r="N2238" s="63"/>
      <c r="O2238" s="979"/>
      <c r="P2238" s="79" t="str">
        <f>IF(AND('331-CT'!$E$7=TH!H2238,OR(N2238="331",O2238="331")),"x","")</f>
        <v/>
      </c>
      <c r="Q2238" s="79" t="str">
        <f>IF(AND(B2238='111'!$L$11,OR($N2238=$Q$7,$O2238=$Q$7)),"x","")</f>
        <v/>
      </c>
      <c r="R2238" s="79" t="str">
        <f>IF(AND($N2238=$Q$7,$B2238&lt;'111'!$L$11),"x","")</f>
        <v/>
      </c>
      <c r="S2238" s="79" t="str">
        <f>IF(AND($O2238=$Q$7,$B2238&lt;'111'!$L$11),"x","")</f>
        <v/>
      </c>
      <c r="T2238" s="79" t="str">
        <f>IF(ISERROR(FIND('112'!$M$9,G2238,1)),"",IF((AND(FIND('112'!$M$9,G2238,1)&gt;=1,B2238='112'!$K$9,OR($N2238='112'!$I$6,$O2238='112'!$I$6))),"x",""))</f>
        <v/>
      </c>
      <c r="U2238" s="79" t="str">
        <f>IF(ISERROR(FIND('112'!$M$9,G2238,1)),"",IF((AND(LEFT(G2238,2)=LEFT('112'!$M$9,2),B2238&lt;'112'!$K$9,$N2238='112'!$I$6)),"x",""))</f>
        <v/>
      </c>
      <c r="V2238" s="79" t="str">
        <f>IF(ISERROR(FIND('112'!$M$9,G2238,1)),"",IF((AND(RIGHT(G2238,2)=RIGHT('112'!$M$9,2),B2238&lt;'112'!$K$9,$O2238='112'!$I$6)),"x",""))</f>
        <v/>
      </c>
      <c r="W2238" s="79" t="str">
        <f>IF(AND('341-CT'!$H$9=H2238,OR(LEFT(N2238,3)=$W$7,LEFT(O2238,3)=$W$7)),"x","")</f>
        <v/>
      </c>
      <c r="X2238" s="79" t="str">
        <f>IF(OR(TH!N2238=TH!$X$7,O2238=TH!$X$7),"x","")</f>
        <v/>
      </c>
      <c r="Y2238" s="79" t="str">
        <f>IF(AND(OR(N2238="131",O2238="131"),H2238='131-CT'!$H$9),"x","")</f>
        <v/>
      </c>
      <c r="Z2238" s="79"/>
      <c r="AA2238" s="79" t="str">
        <f>IF(AND(MONTH(E2238)='IN-NX'!$J$5,'IN-NX'!$D$7=D2238),"x","")</f>
        <v/>
      </c>
      <c r="AB2238" s="79" t="str">
        <f>IF(AND(OR(LEFT(TH!N2238,2)="15",LEFT(TH!O2238,2)="15"),LEFT(TH!O2238,3)&lt;&gt;"111",'152-CT'!$J$8=TH!F2238),"x","")</f>
        <v/>
      </c>
      <c r="AC2238" s="79" t="str">
        <f>IF(AND(OR(LEFT(TH!N2238,2)="15",LEFT(TH!O2238,2)="15"),TK!$E$7=TH!F2238),"x","")</f>
        <v/>
      </c>
      <c r="AD2238" s="79" t="str">
        <f>IF(AND(N2238="1521",MONTH(C2238)='BK-NL'!$M$11),"x","")</f>
        <v/>
      </c>
    </row>
    <row r="2239" spans="1:30" ht="16.5" customHeight="1">
      <c r="A2239" s="318" t="str">
        <f>IF(B2239&lt;&gt;"",IF(AND(B2239='IN-TC'!$S$4,OR(TH!N2239="1111",TH!O2239="1111")),TH!D2239,""),"")</f>
        <v/>
      </c>
      <c r="B2239" s="60" t="str">
        <f t="shared" si="237"/>
        <v/>
      </c>
      <c r="C2239" s="61"/>
      <c r="D2239" s="301"/>
      <c r="E2239" s="301"/>
      <c r="F2239" s="64"/>
      <c r="G2239" s="64"/>
      <c r="H2239" s="321"/>
      <c r="I2239" s="385"/>
      <c r="J2239" s="392"/>
      <c r="K2239" s="385"/>
      <c r="L2239" s="392"/>
      <c r="M2239" s="62"/>
      <c r="N2239" s="63"/>
      <c r="O2239" s="979"/>
      <c r="P2239" s="79" t="str">
        <f>IF(AND('331-CT'!$E$7=TH!H2239,OR(N2239="331",O2239="331")),"x","")</f>
        <v/>
      </c>
      <c r="Q2239" s="79" t="str">
        <f>IF(AND(B2239='111'!$L$11,OR($N2239=$Q$7,$O2239=$Q$7)),"x","")</f>
        <v/>
      </c>
      <c r="R2239" s="79" t="str">
        <f>IF(AND($N2239=$Q$7,$B2239&lt;'111'!$L$11),"x","")</f>
        <v/>
      </c>
      <c r="S2239" s="79" t="str">
        <f>IF(AND($O2239=$Q$7,$B2239&lt;'111'!$L$11),"x","")</f>
        <v/>
      </c>
      <c r="T2239" s="79" t="str">
        <f>IF(ISERROR(FIND('112'!$M$9,G2239,1)),"",IF((AND(FIND('112'!$M$9,G2239,1)&gt;=1,B2239='112'!$K$9,OR($N2239='112'!$I$6,$O2239='112'!$I$6))),"x",""))</f>
        <v/>
      </c>
      <c r="U2239" s="79" t="str">
        <f>IF(ISERROR(FIND('112'!$M$9,G2239,1)),"",IF((AND(LEFT(G2239,2)=LEFT('112'!$M$9,2),B2239&lt;'112'!$K$9,$N2239='112'!$I$6)),"x",""))</f>
        <v/>
      </c>
      <c r="V2239" s="79" t="str">
        <f>IF(ISERROR(FIND('112'!$M$9,G2239,1)),"",IF((AND(RIGHT(G2239,2)=RIGHT('112'!$M$9,2),B2239&lt;'112'!$K$9,$O2239='112'!$I$6)),"x",""))</f>
        <v/>
      </c>
      <c r="W2239" s="79" t="str">
        <f>IF(AND('341-CT'!$H$9=H2239,OR(LEFT(N2239,3)=$W$7,LEFT(O2239,3)=$W$7)),"x","")</f>
        <v/>
      </c>
      <c r="X2239" s="79" t="str">
        <f>IF(OR(TH!N2239=TH!$X$7,O2239=TH!$X$7),"x","")</f>
        <v/>
      </c>
      <c r="Y2239" s="79" t="str">
        <f>IF(AND(OR(N2239="131",O2239="131"),H2239='131-CT'!$H$9),"x","")</f>
        <v/>
      </c>
      <c r="Z2239" s="79"/>
      <c r="AA2239" s="79" t="str">
        <f>IF(AND(MONTH(E2239)='IN-NX'!$J$5,'IN-NX'!$D$7=D2239),"x","")</f>
        <v/>
      </c>
      <c r="AB2239" s="79" t="str">
        <f>IF(AND(OR(LEFT(TH!N2239,2)="15",LEFT(TH!O2239,2)="15"),LEFT(TH!O2239,3)&lt;&gt;"111",'152-CT'!$J$8=TH!F2239),"x","")</f>
        <v/>
      </c>
      <c r="AC2239" s="79" t="str">
        <f>IF(AND(OR(LEFT(TH!N2239,2)="15",LEFT(TH!O2239,2)="15"),TK!$E$7=TH!F2239),"x","")</f>
        <v/>
      </c>
      <c r="AD2239" s="79" t="str">
        <f>IF(AND(N2239="1521",MONTH(C2239)='BK-NL'!$M$11),"x","")</f>
        <v/>
      </c>
    </row>
    <row r="2240" spans="1:30" ht="16.5" customHeight="1">
      <c r="A2240" s="318" t="str">
        <f>IF(B2240&lt;&gt;"",IF(AND(B2240='IN-TC'!$S$4,OR(TH!N2240="1111",TH!O2240="1111")),TH!D2240,""),"")</f>
        <v/>
      </c>
      <c r="B2240" s="60" t="str">
        <f t="shared" si="237"/>
        <v/>
      </c>
      <c r="C2240" s="61"/>
      <c r="D2240" s="301"/>
      <c r="E2240" s="301"/>
      <c r="F2240" s="64"/>
      <c r="G2240" s="64"/>
      <c r="H2240" s="321"/>
      <c r="I2240" s="385"/>
      <c r="J2240" s="392"/>
      <c r="K2240" s="385"/>
      <c r="L2240" s="392"/>
      <c r="M2240" s="62"/>
      <c r="N2240" s="63"/>
      <c r="O2240" s="979"/>
      <c r="P2240" s="79" t="str">
        <f>IF(AND('331-CT'!$E$7=TH!H2240,OR(N2240="331",O2240="331")),"x","")</f>
        <v/>
      </c>
      <c r="Q2240" s="79" t="str">
        <f>IF(AND(B2240='111'!$L$11,OR($N2240=$Q$7,$O2240=$Q$7)),"x","")</f>
        <v/>
      </c>
      <c r="R2240" s="79" t="str">
        <f>IF(AND($N2240=$Q$7,$B2240&lt;'111'!$L$11),"x","")</f>
        <v/>
      </c>
      <c r="S2240" s="79" t="str">
        <f>IF(AND($O2240=$Q$7,$B2240&lt;'111'!$L$11),"x","")</f>
        <v/>
      </c>
      <c r="T2240" s="79" t="str">
        <f>IF(ISERROR(FIND('112'!$M$9,G2240,1)),"",IF((AND(FIND('112'!$M$9,G2240,1)&gt;=1,B2240='112'!$K$9,OR($N2240='112'!$I$6,$O2240='112'!$I$6))),"x",""))</f>
        <v/>
      </c>
      <c r="U2240" s="79" t="str">
        <f>IF(ISERROR(FIND('112'!$M$9,G2240,1)),"",IF((AND(LEFT(G2240,2)=LEFT('112'!$M$9,2),B2240&lt;'112'!$K$9,$N2240='112'!$I$6)),"x",""))</f>
        <v/>
      </c>
      <c r="V2240" s="79" t="str">
        <f>IF(ISERROR(FIND('112'!$M$9,G2240,1)),"",IF((AND(RIGHT(G2240,2)=RIGHT('112'!$M$9,2),B2240&lt;'112'!$K$9,$O2240='112'!$I$6)),"x",""))</f>
        <v/>
      </c>
      <c r="W2240" s="79" t="str">
        <f>IF(AND('341-CT'!$H$9=H2240,OR(LEFT(N2240,3)=$W$7,LEFT(O2240,3)=$W$7)),"x","")</f>
        <v/>
      </c>
      <c r="X2240" s="79" t="str">
        <f>IF(OR(TH!N2240=TH!$X$7,O2240=TH!$X$7),"x","")</f>
        <v/>
      </c>
      <c r="Y2240" s="79" t="str">
        <f>IF(AND(OR(N2240="131",O2240="131"),H2240='131-CT'!$H$9),"x","")</f>
        <v/>
      </c>
      <c r="Z2240" s="79"/>
      <c r="AA2240" s="79" t="str">
        <f>IF(AND(MONTH(E2240)='IN-NX'!$J$5,'IN-NX'!$D$7=D2240),"x","")</f>
        <v/>
      </c>
      <c r="AB2240" s="79" t="str">
        <f>IF(AND(OR(LEFT(TH!N2240,2)="15",LEFT(TH!O2240,2)="15"),LEFT(TH!O2240,3)&lt;&gt;"111",'152-CT'!$J$8=TH!F2240),"x","")</f>
        <v/>
      </c>
      <c r="AC2240" s="79" t="str">
        <f>IF(AND(OR(LEFT(TH!N2240,2)="15",LEFT(TH!O2240,2)="15"),TK!$E$7=TH!F2240),"x","")</f>
        <v/>
      </c>
      <c r="AD2240" s="79" t="str">
        <f>IF(AND(N2240="1521",MONTH(C2240)='BK-NL'!$M$11),"x","")</f>
        <v/>
      </c>
    </row>
    <row r="2241" spans="1:30" ht="16.5" customHeight="1">
      <c r="A2241" s="318" t="str">
        <f>IF(B2241&lt;&gt;"",IF(AND(B2241='IN-TC'!$S$4,OR(TH!N2241="1111",TH!O2241="1111")),TH!D2241,""),"")</f>
        <v/>
      </c>
      <c r="B2241" s="60" t="str">
        <f t="shared" si="237"/>
        <v/>
      </c>
      <c r="C2241" s="61"/>
      <c r="D2241" s="301"/>
      <c r="E2241" s="301"/>
      <c r="F2241" s="64"/>
      <c r="G2241" s="64"/>
      <c r="H2241" s="321"/>
      <c r="I2241" s="385"/>
      <c r="J2241" s="392"/>
      <c r="K2241" s="385"/>
      <c r="L2241" s="392"/>
      <c r="M2241" s="62"/>
      <c r="N2241" s="63"/>
      <c r="O2241" s="979"/>
      <c r="P2241" s="79" t="str">
        <f>IF(AND('331-CT'!$E$7=TH!H2241,OR(N2241="331",O2241="331")),"x","")</f>
        <v/>
      </c>
      <c r="Q2241" s="79" t="str">
        <f>IF(AND(B2241='111'!$L$11,OR($N2241=$Q$7,$O2241=$Q$7)),"x","")</f>
        <v/>
      </c>
      <c r="R2241" s="79" t="str">
        <f>IF(AND($N2241=$Q$7,$B2241&lt;'111'!$L$11),"x","")</f>
        <v/>
      </c>
      <c r="S2241" s="79" t="str">
        <f>IF(AND($O2241=$Q$7,$B2241&lt;'111'!$L$11),"x","")</f>
        <v/>
      </c>
      <c r="T2241" s="79" t="str">
        <f>IF(ISERROR(FIND('112'!$M$9,G2241,1)),"",IF((AND(FIND('112'!$M$9,G2241,1)&gt;=1,B2241='112'!$K$9,OR($N2241='112'!$I$6,$O2241='112'!$I$6))),"x",""))</f>
        <v/>
      </c>
      <c r="U2241" s="79" t="str">
        <f>IF(ISERROR(FIND('112'!$M$9,G2241,1)),"",IF((AND(LEFT(G2241,2)=LEFT('112'!$M$9,2),B2241&lt;'112'!$K$9,$N2241='112'!$I$6)),"x",""))</f>
        <v/>
      </c>
      <c r="V2241" s="79" t="str">
        <f>IF(ISERROR(FIND('112'!$M$9,G2241,1)),"",IF((AND(RIGHT(G2241,2)=RIGHT('112'!$M$9,2),B2241&lt;'112'!$K$9,$O2241='112'!$I$6)),"x",""))</f>
        <v/>
      </c>
      <c r="W2241" s="79" t="str">
        <f>IF(AND('341-CT'!$H$9=H2241,OR(LEFT(N2241,3)=$W$7,LEFT(O2241,3)=$W$7)),"x","")</f>
        <v/>
      </c>
      <c r="X2241" s="79" t="str">
        <f>IF(OR(TH!N2241=TH!$X$7,O2241=TH!$X$7),"x","")</f>
        <v/>
      </c>
      <c r="Y2241" s="79" t="str">
        <f>IF(AND(OR(N2241="131",O2241="131"),H2241='131-CT'!$H$9),"x","")</f>
        <v/>
      </c>
      <c r="Z2241" s="79"/>
      <c r="AA2241" s="79" t="str">
        <f>IF(AND(MONTH(E2241)='IN-NX'!$J$5,'IN-NX'!$D$7=D2241),"x","")</f>
        <v/>
      </c>
      <c r="AB2241" s="79" t="str">
        <f>IF(AND(OR(LEFT(TH!N2241,2)="15",LEFT(TH!O2241,2)="15"),LEFT(TH!O2241,3)&lt;&gt;"111",'152-CT'!$J$8=TH!F2241),"x","")</f>
        <v/>
      </c>
      <c r="AC2241" s="79" t="str">
        <f>IF(AND(OR(LEFT(TH!N2241,2)="15",LEFT(TH!O2241,2)="15"),TK!$E$7=TH!F2241),"x","")</f>
        <v/>
      </c>
      <c r="AD2241" s="79" t="str">
        <f>IF(AND(N2241="1521",MONTH(C2241)='BK-NL'!$M$11),"x","")</f>
        <v/>
      </c>
    </row>
    <row r="2242" spans="1:30" ht="16.5" customHeight="1">
      <c r="A2242" s="318" t="str">
        <f>IF(B2242&lt;&gt;"",IF(AND(B2242='IN-TC'!$S$4,OR(TH!N2242="1111",TH!O2242="1111")),TH!D2242,""),"")</f>
        <v/>
      </c>
      <c r="B2242" s="60" t="str">
        <f t="shared" si="237"/>
        <v/>
      </c>
      <c r="C2242" s="1002"/>
      <c r="D2242" s="301"/>
      <c r="E2242" s="301"/>
      <c r="F2242" s="1310"/>
      <c r="G2242" s="1311"/>
      <c r="H2242" s="997"/>
      <c r="I2242" s="984"/>
      <c r="J2242" s="983"/>
      <c r="K2242" s="984"/>
      <c r="L2242" s="983"/>
      <c r="M2242" s="1312"/>
      <c r="N2242" s="1313"/>
      <c r="O2242" s="1001"/>
      <c r="P2242" s="79" t="str">
        <f>IF(AND('331-CT'!$E$7=TH!H2242,OR(N2242="331",O2242="331")),"x","")</f>
        <v/>
      </c>
      <c r="Q2242" s="79" t="str">
        <f>IF(AND(B2242='111'!$L$11,OR($N2242=$Q$7,$O2242=$Q$7)),"x","")</f>
        <v/>
      </c>
      <c r="R2242" s="79" t="str">
        <f>IF(AND($N2242=$Q$7,$B2242&lt;'111'!$L$11),"x","")</f>
        <v/>
      </c>
      <c r="S2242" s="79" t="str">
        <f>IF(AND($O2242=$Q$7,$B2242&lt;'111'!$L$11),"x","")</f>
        <v/>
      </c>
      <c r="T2242" s="79" t="str">
        <f>IF(ISERROR(FIND('112'!$M$9,G2242,1)),"",IF((AND(FIND('112'!$M$9,G2242,1)&gt;=1,B2242='112'!$K$9,OR($N2242='112'!$I$6,$O2242='112'!$I$6))),"x",""))</f>
        <v/>
      </c>
      <c r="U2242" s="79" t="str">
        <f>IF(ISERROR(FIND('112'!$M$9,G2242,1)),"",IF((AND(LEFT(G2242,2)=LEFT('112'!$M$9,2),B2242&lt;'112'!$K$9,$N2242='112'!$I$6)),"x",""))</f>
        <v/>
      </c>
      <c r="V2242" s="79" t="str">
        <f>IF(ISERROR(FIND('112'!$M$9,G2242,1)),"",IF((AND(RIGHT(G2242,2)=RIGHT('112'!$M$9,2),B2242&lt;'112'!$K$9,$O2242='112'!$I$6)),"x",""))</f>
        <v/>
      </c>
      <c r="W2242" s="79" t="str">
        <f>IF(AND('341-CT'!$H$9=H2242,OR(LEFT(N2242,3)=$W$7,LEFT(O2242,3)=$W$7)),"x","")</f>
        <v/>
      </c>
      <c r="X2242" s="79" t="str">
        <f>IF(OR(TH!N2242=TH!$X$7,O2242=TH!$X$7),"x","")</f>
        <v/>
      </c>
      <c r="Y2242" s="79" t="str">
        <f>IF(AND(OR(N2242="131",O2242="131"),H2242='131-CT'!$H$9),"x","")</f>
        <v/>
      </c>
      <c r="Z2242" s="79"/>
      <c r="AA2242" s="79" t="str">
        <f>IF(AND(MONTH(E2242)='IN-NX'!$J$5,'IN-NX'!$D$7=D2242),"x","")</f>
        <v/>
      </c>
      <c r="AB2242" s="79" t="str">
        <f>IF(AND(OR(LEFT(TH!N2242,2)="15",LEFT(TH!O2242,2)="15"),LEFT(TH!O2242,3)&lt;&gt;"111",'152-CT'!$J$8=TH!F2242),"x","")</f>
        <v/>
      </c>
      <c r="AC2242" s="79" t="str">
        <f>IF(AND(OR(LEFT(TH!N2242,2)="15",LEFT(TH!O2242,2)="15"),TK!$E$7=TH!F2242),"x","")</f>
        <v/>
      </c>
      <c r="AD2242" s="79" t="str">
        <f>IF(AND(N2242="1521",MONTH(C2242)='BK-NL'!$M$11),"x","")</f>
        <v/>
      </c>
    </row>
    <row r="2243" spans="1:30" ht="16.5" customHeight="1">
      <c r="A2243" s="318" t="str">
        <f>IF(B2243&lt;&gt;"",IF(AND(B2243='IN-TC'!$S$4,OR(TH!N2243="1111",TH!O2243="1111")),TH!D2243,""),"")</f>
        <v/>
      </c>
      <c r="B2243" s="60" t="str">
        <f t="shared" si="237"/>
        <v/>
      </c>
      <c r="C2243" s="301"/>
      <c r="D2243" s="301"/>
      <c r="E2243" s="301"/>
      <c r="F2243" s="392"/>
      <c r="G2243" s="968"/>
      <c r="H2243" s="321"/>
      <c r="I2243" s="385"/>
      <c r="J2243" s="969"/>
      <c r="K2243" s="385"/>
      <c r="L2243" s="392"/>
      <c r="M2243" s="970"/>
      <c r="N2243" s="304"/>
      <c r="O2243" s="304"/>
      <c r="P2243" s="79" t="str">
        <f>IF(AND('331-CT'!$E$7=TH!H2243,OR(N2243="331",O2243="331")),"x","")</f>
        <v/>
      </c>
      <c r="Q2243" s="79" t="str">
        <f>IF(AND(B2243='111'!$L$11,OR($N2243=$Q$7,$O2243=$Q$7)),"x","")</f>
        <v/>
      </c>
      <c r="R2243" s="79" t="str">
        <f>IF(AND($N2243=$Q$7,$B2243&lt;'111'!$L$11),"x","")</f>
        <v/>
      </c>
      <c r="S2243" s="79" t="str">
        <f>IF(AND($O2243=$Q$7,$B2243&lt;'111'!$L$11),"x","")</f>
        <v/>
      </c>
      <c r="T2243" s="79" t="str">
        <f>IF(ISERROR(FIND('112'!$M$9,G2243,1)),"",IF((AND(FIND('112'!$M$9,G2243,1)&gt;=1,B2243='112'!$K$9,OR($N2243='112'!$I$6,$O2243='112'!$I$6))),"x",""))</f>
        <v/>
      </c>
      <c r="U2243" s="79" t="str">
        <f>IF(ISERROR(FIND('112'!$M$9,G2243,1)),"",IF((AND(LEFT(G2243,2)=LEFT('112'!$M$9,2),B2243&lt;'112'!$K$9,$N2243='112'!$I$6)),"x",""))</f>
        <v/>
      </c>
      <c r="V2243" s="79" t="str">
        <f>IF(ISERROR(FIND('112'!$M$9,G2243,1)),"",IF((AND(RIGHT(G2243,2)=RIGHT('112'!$M$9,2),B2243&lt;'112'!$K$9,$O2243='112'!$I$6)),"x",""))</f>
        <v/>
      </c>
      <c r="W2243" s="79" t="str">
        <f>IF(AND('341-CT'!$H$9=H2243,OR(LEFT(N2243,3)=$W$7,LEFT(O2243,3)=$W$7)),"x","")</f>
        <v/>
      </c>
      <c r="X2243" s="79" t="str">
        <f>IF(OR(TH!N2243=TH!$X$7,O2243=TH!$X$7),"x","")</f>
        <v/>
      </c>
      <c r="Y2243" s="79" t="str">
        <f>IF(AND(OR(N2243="131",O2243="131"),H2243='131-CT'!$H$9),"x","")</f>
        <v/>
      </c>
      <c r="Z2243" s="79"/>
      <c r="AA2243" s="79" t="str">
        <f>IF(AND(MONTH(E2243)='IN-NX'!$J$5,'IN-NX'!$D$7=D2243),"x","")</f>
        <v/>
      </c>
      <c r="AB2243" s="79" t="str">
        <f>IF(AND(OR(LEFT(TH!N2243,2)="15",LEFT(TH!O2243,2)="15"),LEFT(TH!O2243,3)&lt;&gt;"111",'152-CT'!$J$8=TH!F2243),"x","")</f>
        <v/>
      </c>
      <c r="AC2243" s="79" t="str">
        <f>IF(AND(OR(LEFT(TH!N2243,2)="15",LEFT(TH!O2243,2)="15"),TK!$E$7=TH!F2243),"x","")</f>
        <v/>
      </c>
      <c r="AD2243" s="79" t="str">
        <f>IF(AND(N2243="1521",MONTH(C2243)='BK-NL'!$M$11),"x","")</f>
        <v/>
      </c>
    </row>
    <row r="2244" spans="1:30" ht="16.5" customHeight="1">
      <c r="A2244" s="318" t="str">
        <f>IF(B2244&lt;&gt;"",IF(AND(B2244='IN-TC'!$S$4,OR(TH!N2244="1111",TH!O2244="1111")),TH!D2244,""),"")</f>
        <v/>
      </c>
      <c r="B2244" s="60" t="str">
        <f t="shared" si="237"/>
        <v/>
      </c>
      <c r="C2244" s="301"/>
      <c r="D2244" s="301"/>
      <c r="E2244" s="301"/>
      <c r="F2244" s="392"/>
      <c r="G2244" s="968"/>
      <c r="H2244" s="321"/>
      <c r="I2244" s="385"/>
      <c r="J2244" s="969"/>
      <c r="K2244" s="385"/>
      <c r="L2244" s="392"/>
      <c r="M2244" s="970"/>
      <c r="N2244" s="304"/>
      <c r="O2244" s="304"/>
      <c r="P2244" s="79" t="str">
        <f>IF(AND('331-CT'!$E$7=TH!H2244,OR(N2244="331",O2244="331")),"x","")</f>
        <v/>
      </c>
      <c r="Q2244" s="79" t="str">
        <f>IF(AND(B2244='111'!$L$11,OR($N2244=$Q$7,$O2244=$Q$7)),"x","")</f>
        <v/>
      </c>
      <c r="R2244" s="79" t="str">
        <f>IF(AND($N2244=$Q$7,$B2244&lt;'111'!$L$11),"x","")</f>
        <v/>
      </c>
      <c r="S2244" s="79" t="str">
        <f>IF(AND($O2244=$Q$7,$B2244&lt;'111'!$L$11),"x","")</f>
        <v/>
      </c>
      <c r="T2244" s="79" t="str">
        <f>IF(ISERROR(FIND('112'!$M$9,G2244,1)),"",IF((AND(FIND('112'!$M$9,G2244,1)&gt;=1,B2244='112'!$K$9,OR($N2244='112'!$I$6,$O2244='112'!$I$6))),"x",""))</f>
        <v/>
      </c>
      <c r="U2244" s="79" t="str">
        <f>IF(ISERROR(FIND('112'!$M$9,G2244,1)),"",IF((AND(LEFT(G2244,2)=LEFT('112'!$M$9,2),B2244&lt;'112'!$K$9,$N2244='112'!$I$6)),"x",""))</f>
        <v/>
      </c>
      <c r="V2244" s="79" t="str">
        <f>IF(ISERROR(FIND('112'!$M$9,G2244,1)),"",IF((AND(RIGHT(G2244,2)=RIGHT('112'!$M$9,2),B2244&lt;'112'!$K$9,$O2244='112'!$I$6)),"x",""))</f>
        <v/>
      </c>
      <c r="W2244" s="79" t="str">
        <f>IF(AND('341-CT'!$H$9=H2244,OR(LEFT(N2244,3)=$W$7,LEFT(O2244,3)=$W$7)),"x","")</f>
        <v/>
      </c>
      <c r="X2244" s="79" t="str">
        <f>IF(OR(TH!N2244=TH!$X$7,O2244=TH!$X$7),"x","")</f>
        <v/>
      </c>
      <c r="Y2244" s="79" t="str">
        <f>IF(AND(OR(N2244="131",O2244="131"),H2244='131-CT'!$H$9),"x","")</f>
        <v/>
      </c>
      <c r="Z2244" s="79"/>
      <c r="AA2244" s="79" t="str">
        <f>IF(AND(MONTH(E2244)='IN-NX'!$J$5,'IN-NX'!$D$7=D2244),"x","")</f>
        <v/>
      </c>
      <c r="AB2244" s="79" t="str">
        <f>IF(AND(OR(LEFT(TH!N2244,2)="15",LEFT(TH!O2244,2)="15"),LEFT(TH!O2244,3)&lt;&gt;"111",'152-CT'!$J$8=TH!F2244),"x","")</f>
        <v/>
      </c>
      <c r="AC2244" s="79" t="str">
        <f>IF(AND(OR(LEFT(TH!N2244,2)="15",LEFT(TH!O2244,2)="15"),TK!$E$7=TH!F2244),"x","")</f>
        <v/>
      </c>
      <c r="AD2244" s="79" t="str">
        <f>IF(AND(N2244="1521",MONTH(C2244)='BK-NL'!$M$11),"x","")</f>
        <v/>
      </c>
    </row>
    <row r="2245" spans="1:30" ht="16.5" customHeight="1">
      <c r="A2245" s="318" t="str">
        <f>IF(B2245&lt;&gt;"",IF(AND(B2245='IN-TC'!$S$4,OR(TH!N2245="1111",TH!O2245="1111")),TH!D2245,""),"")</f>
        <v/>
      </c>
      <c r="B2245" s="60" t="str">
        <f t="shared" si="237"/>
        <v/>
      </c>
      <c r="C2245" s="301"/>
      <c r="D2245" s="301"/>
      <c r="E2245" s="301"/>
      <c r="F2245" s="392"/>
      <c r="G2245" s="968"/>
      <c r="H2245" s="321"/>
      <c r="I2245" s="385"/>
      <c r="J2245" s="969"/>
      <c r="K2245" s="385"/>
      <c r="L2245" s="392"/>
      <c r="M2245" s="970"/>
      <c r="N2245" s="304"/>
      <c r="O2245" s="304"/>
      <c r="P2245" s="79" t="str">
        <f>IF(AND('331-CT'!$E$7=TH!H2245,OR(N2245="331",O2245="331")),"x","")</f>
        <v/>
      </c>
      <c r="Q2245" s="79" t="str">
        <f>IF(AND(B2245='111'!$L$11,OR($N2245=$Q$7,$O2245=$Q$7)),"x","")</f>
        <v/>
      </c>
      <c r="R2245" s="79" t="str">
        <f>IF(AND($N2245=$Q$7,$B2245&lt;'111'!$L$11),"x","")</f>
        <v/>
      </c>
      <c r="S2245" s="79" t="str">
        <f>IF(AND($O2245=$Q$7,$B2245&lt;'111'!$L$11),"x","")</f>
        <v/>
      </c>
      <c r="T2245" s="79" t="str">
        <f>IF(ISERROR(FIND('112'!$M$9,G2245,1)),"",IF((AND(FIND('112'!$M$9,G2245,1)&gt;=1,B2245='112'!$K$9,OR($N2245='112'!$I$6,$O2245='112'!$I$6))),"x",""))</f>
        <v/>
      </c>
      <c r="U2245" s="79" t="str">
        <f>IF(ISERROR(FIND('112'!$M$9,G2245,1)),"",IF((AND(LEFT(G2245,2)=LEFT('112'!$M$9,2),B2245&lt;'112'!$K$9,$N2245='112'!$I$6)),"x",""))</f>
        <v/>
      </c>
      <c r="V2245" s="79" t="str">
        <f>IF(ISERROR(FIND('112'!$M$9,G2245,1)),"",IF((AND(RIGHT(G2245,2)=RIGHT('112'!$M$9,2),B2245&lt;'112'!$K$9,$O2245='112'!$I$6)),"x",""))</f>
        <v/>
      </c>
      <c r="W2245" s="79" t="str">
        <f>IF(AND('341-CT'!$H$9=H2245,OR(LEFT(N2245,3)=$W$7,LEFT(O2245,3)=$W$7)),"x","")</f>
        <v/>
      </c>
      <c r="X2245" s="79" t="str">
        <f>IF(OR(TH!N2245=TH!$X$7,O2245=TH!$X$7),"x","")</f>
        <v/>
      </c>
      <c r="Y2245" s="79" t="str">
        <f>IF(AND(OR(N2245="131",O2245="131"),H2245='131-CT'!$H$9),"x","")</f>
        <v/>
      </c>
      <c r="Z2245" s="79"/>
      <c r="AA2245" s="79" t="str">
        <f>IF(AND(MONTH(E2245)='IN-NX'!$J$5,'IN-NX'!$D$7=D2245),"x","")</f>
        <v/>
      </c>
      <c r="AB2245" s="79" t="str">
        <f>IF(AND(OR(LEFT(TH!N2245,2)="15",LEFT(TH!O2245,2)="15"),LEFT(TH!O2245,3)&lt;&gt;"111",'152-CT'!$J$8=TH!F2245),"x","")</f>
        <v/>
      </c>
      <c r="AC2245" s="79" t="str">
        <f>IF(AND(OR(LEFT(TH!N2245,2)="15",LEFT(TH!O2245,2)="15"),TK!$E$7=TH!F2245),"x","")</f>
        <v/>
      </c>
      <c r="AD2245" s="79" t="str">
        <f>IF(AND(N2245="1521",MONTH(C2245)='BK-NL'!$M$11),"x","")</f>
        <v/>
      </c>
    </row>
    <row r="2246" spans="1:30" ht="16.5" customHeight="1">
      <c r="A2246" s="318" t="str">
        <f>IF(B2246&lt;&gt;"",IF(AND(B2246='IN-TC'!$S$4,OR(TH!N2246="1111",TH!O2246="1111")),TH!D2246,""),"")</f>
        <v/>
      </c>
      <c r="B2246" s="60" t="str">
        <f t="shared" si="237"/>
        <v/>
      </c>
      <c r="C2246" s="301"/>
      <c r="D2246" s="301"/>
      <c r="E2246" s="301"/>
      <c r="F2246" s="392"/>
      <c r="G2246" s="968"/>
      <c r="H2246" s="321"/>
      <c r="I2246" s="385"/>
      <c r="J2246" s="969"/>
      <c r="K2246" s="385"/>
      <c r="L2246" s="392"/>
      <c r="M2246" s="970"/>
      <c r="N2246" s="304"/>
      <c r="O2246" s="304"/>
      <c r="P2246" s="79" t="str">
        <f>IF(AND('331-CT'!$E$7=TH!H2246,OR(N2246="331",O2246="331")),"x","")</f>
        <v/>
      </c>
      <c r="Q2246" s="79" t="str">
        <f>IF(AND(B2246='111'!$L$11,OR($N2246=$Q$7,$O2246=$Q$7)),"x","")</f>
        <v/>
      </c>
      <c r="R2246" s="79" t="str">
        <f>IF(AND($N2246=$Q$7,$B2246&lt;'111'!$L$11),"x","")</f>
        <v/>
      </c>
      <c r="S2246" s="79" t="str">
        <f>IF(AND($O2246=$Q$7,$B2246&lt;'111'!$L$11),"x","")</f>
        <v/>
      </c>
      <c r="T2246" s="79" t="str">
        <f>IF(ISERROR(FIND('112'!$M$9,G2246,1)),"",IF((AND(FIND('112'!$M$9,G2246,1)&gt;=1,B2246='112'!$K$9,OR($N2246='112'!$I$6,$O2246='112'!$I$6))),"x",""))</f>
        <v/>
      </c>
      <c r="U2246" s="79" t="str">
        <f>IF(ISERROR(FIND('112'!$M$9,G2246,1)),"",IF((AND(LEFT(G2246,2)=LEFT('112'!$M$9,2),B2246&lt;'112'!$K$9,$N2246='112'!$I$6)),"x",""))</f>
        <v/>
      </c>
      <c r="V2246" s="79" t="str">
        <f>IF(ISERROR(FIND('112'!$M$9,G2246,1)),"",IF((AND(RIGHT(G2246,2)=RIGHT('112'!$M$9,2),B2246&lt;'112'!$K$9,$O2246='112'!$I$6)),"x",""))</f>
        <v/>
      </c>
      <c r="W2246" s="79" t="str">
        <f>IF(AND('341-CT'!$H$9=H2246,OR(LEFT(N2246,3)=$W$7,LEFT(O2246,3)=$W$7)),"x","")</f>
        <v/>
      </c>
      <c r="X2246" s="79" t="str">
        <f>IF(OR(TH!N2246=TH!$X$7,O2246=TH!$X$7),"x","")</f>
        <v/>
      </c>
      <c r="Y2246" s="79" t="str">
        <f>IF(AND(OR(N2246="131",O2246="131"),H2246='131-CT'!$H$9),"x","")</f>
        <v/>
      </c>
      <c r="Z2246" s="79"/>
      <c r="AA2246" s="79" t="str">
        <f>IF(AND(MONTH(E2246)='IN-NX'!$J$5,'IN-NX'!$D$7=D2246),"x","")</f>
        <v/>
      </c>
      <c r="AB2246" s="79" t="str">
        <f>IF(AND(OR(LEFT(TH!N2246,2)="15",LEFT(TH!O2246,2)="15"),LEFT(TH!O2246,3)&lt;&gt;"111",'152-CT'!$J$8=TH!F2246),"x","")</f>
        <v/>
      </c>
      <c r="AC2246" s="79" t="str">
        <f>IF(AND(OR(LEFT(TH!N2246,2)="15",LEFT(TH!O2246,2)="15"),TK!$E$7=TH!F2246),"x","")</f>
        <v/>
      </c>
      <c r="AD2246" s="79" t="str">
        <f>IF(AND(N2246="1521",MONTH(C2246)='BK-NL'!$M$11),"x","")</f>
        <v/>
      </c>
    </row>
    <row r="2247" spans="1:30" ht="16.5" customHeight="1">
      <c r="A2247" s="318" t="str">
        <f>IF(B2247&lt;&gt;"",IF(AND(B2247='IN-TC'!$S$4,OR(TH!N2247="1111",TH!O2247="1111")),TH!D2247,""),"")</f>
        <v/>
      </c>
      <c r="B2247" s="60" t="str">
        <f t="shared" si="237"/>
        <v/>
      </c>
      <c r="C2247" s="301"/>
      <c r="D2247" s="301"/>
      <c r="E2247" s="301"/>
      <c r="F2247" s="392"/>
      <c r="G2247" s="968"/>
      <c r="H2247" s="321"/>
      <c r="I2247" s="385"/>
      <c r="J2247" s="969"/>
      <c r="K2247" s="385"/>
      <c r="L2247" s="392"/>
      <c r="M2247" s="970"/>
      <c r="N2247" s="304"/>
      <c r="O2247" s="304"/>
      <c r="P2247" s="79" t="str">
        <f>IF(AND('331-CT'!$E$7=TH!H2247,OR(N2247="331",O2247="331")),"x","")</f>
        <v/>
      </c>
      <c r="Q2247" s="79" t="str">
        <f>IF(AND(B2247='111'!$L$11,OR($N2247=$Q$7,$O2247=$Q$7)),"x","")</f>
        <v/>
      </c>
      <c r="R2247" s="79" t="str">
        <f>IF(AND($N2247=$Q$7,$B2247&lt;'111'!$L$11),"x","")</f>
        <v/>
      </c>
      <c r="S2247" s="79" t="str">
        <f>IF(AND($O2247=$Q$7,$B2247&lt;'111'!$L$11),"x","")</f>
        <v/>
      </c>
      <c r="T2247" s="79" t="str">
        <f>IF(ISERROR(FIND('112'!$M$9,G2247,1)),"",IF((AND(FIND('112'!$M$9,G2247,1)&gt;=1,B2247='112'!$K$9,OR($N2247='112'!$I$6,$O2247='112'!$I$6))),"x",""))</f>
        <v/>
      </c>
      <c r="U2247" s="79" t="str">
        <f>IF(ISERROR(FIND('112'!$M$9,G2247,1)),"",IF((AND(LEFT(G2247,2)=LEFT('112'!$M$9,2),B2247&lt;'112'!$K$9,$N2247='112'!$I$6)),"x",""))</f>
        <v/>
      </c>
      <c r="V2247" s="79" t="str">
        <f>IF(ISERROR(FIND('112'!$M$9,G2247,1)),"",IF((AND(RIGHT(G2247,2)=RIGHT('112'!$M$9,2),B2247&lt;'112'!$K$9,$O2247='112'!$I$6)),"x",""))</f>
        <v/>
      </c>
      <c r="W2247" s="79" t="str">
        <f>IF(AND('341-CT'!$H$9=H2247,OR(LEFT(N2247,3)=$W$7,LEFT(O2247,3)=$W$7)),"x","")</f>
        <v/>
      </c>
      <c r="X2247" s="79" t="str">
        <f>IF(OR(TH!N2247=TH!$X$7,O2247=TH!$X$7),"x","")</f>
        <v/>
      </c>
      <c r="Y2247" s="79" t="str">
        <f>IF(AND(OR(N2247="131",O2247="131"),H2247='131-CT'!$H$9),"x","")</f>
        <v/>
      </c>
      <c r="Z2247" s="79"/>
      <c r="AA2247" s="79" t="str">
        <f>IF(AND(MONTH(E2247)='IN-NX'!$J$5,'IN-NX'!$D$7=D2247),"x","")</f>
        <v/>
      </c>
      <c r="AB2247" s="79" t="str">
        <f>IF(AND(OR(LEFT(TH!N2247,2)="15",LEFT(TH!O2247,2)="15"),LEFT(TH!O2247,3)&lt;&gt;"111",'152-CT'!$J$8=TH!F2247),"x","")</f>
        <v/>
      </c>
      <c r="AC2247" s="79" t="str">
        <f>IF(AND(OR(LEFT(TH!N2247,2)="15",LEFT(TH!O2247,2)="15"),TK!$E$7=TH!F2247),"x","")</f>
        <v/>
      </c>
      <c r="AD2247" s="79" t="str">
        <f>IF(AND(N2247="1521",MONTH(C2247)='BK-NL'!$M$11),"x","")</f>
        <v/>
      </c>
    </row>
    <row r="2248" spans="1:30" ht="16.5" customHeight="1">
      <c r="A2248" s="318" t="str">
        <f>IF(B2248&lt;&gt;"",IF(AND(B2248='IN-TC'!$S$4,OR(TH!N2248="1111",TH!O2248="1111")),TH!D2248,""),"")</f>
        <v/>
      </c>
      <c r="B2248" s="60" t="str">
        <f t="shared" si="237"/>
        <v/>
      </c>
      <c r="C2248" s="301"/>
      <c r="D2248" s="301"/>
      <c r="E2248" s="301"/>
      <c r="F2248" s="392"/>
      <c r="G2248" s="968"/>
      <c r="H2248" s="321"/>
      <c r="I2248" s="385"/>
      <c r="J2248" s="969"/>
      <c r="K2248" s="385"/>
      <c r="L2248" s="392"/>
      <c r="M2248" s="970"/>
      <c r="N2248" s="304"/>
      <c r="O2248" s="304"/>
      <c r="P2248" s="79" t="str">
        <f>IF(AND('331-CT'!$E$7=TH!H2248,OR(N2248="331",O2248="331")),"x","")</f>
        <v/>
      </c>
      <c r="Q2248" s="79" t="str">
        <f>IF(AND(B2248='111'!$L$11,OR($N2248=$Q$7,$O2248=$Q$7)),"x","")</f>
        <v/>
      </c>
      <c r="R2248" s="79" t="str">
        <f>IF(AND($N2248=$Q$7,$B2248&lt;'111'!$L$11),"x","")</f>
        <v/>
      </c>
      <c r="S2248" s="79" t="str">
        <f>IF(AND($O2248=$Q$7,$B2248&lt;'111'!$L$11),"x","")</f>
        <v/>
      </c>
      <c r="T2248" s="79" t="str">
        <f>IF(ISERROR(FIND('112'!$M$9,G2248,1)),"",IF((AND(FIND('112'!$M$9,G2248,1)&gt;=1,B2248='112'!$K$9,OR($N2248='112'!$I$6,$O2248='112'!$I$6))),"x",""))</f>
        <v/>
      </c>
      <c r="U2248" s="79" t="str">
        <f>IF(ISERROR(FIND('112'!$M$9,G2248,1)),"",IF((AND(LEFT(G2248,2)=LEFT('112'!$M$9,2),B2248&lt;'112'!$K$9,$N2248='112'!$I$6)),"x",""))</f>
        <v/>
      </c>
      <c r="V2248" s="79" t="str">
        <f>IF(ISERROR(FIND('112'!$M$9,G2248,1)),"",IF((AND(RIGHT(G2248,2)=RIGHT('112'!$M$9,2),B2248&lt;'112'!$K$9,$O2248='112'!$I$6)),"x",""))</f>
        <v/>
      </c>
      <c r="W2248" s="79" t="str">
        <f>IF(AND('341-CT'!$H$9=H2248,OR(LEFT(N2248,3)=$W$7,LEFT(O2248,3)=$W$7)),"x","")</f>
        <v/>
      </c>
      <c r="X2248" s="79" t="str">
        <f>IF(OR(TH!N2248=TH!$X$7,O2248=TH!$X$7),"x","")</f>
        <v/>
      </c>
      <c r="Y2248" s="79" t="str">
        <f>IF(AND(OR(N2248="131",O2248="131"),H2248='131-CT'!$H$9),"x","")</f>
        <v/>
      </c>
      <c r="Z2248" s="79"/>
      <c r="AA2248" s="79" t="str">
        <f>IF(AND(MONTH(E2248)='IN-NX'!$J$5,'IN-NX'!$D$7=D2248),"x","")</f>
        <v/>
      </c>
      <c r="AB2248" s="79" t="str">
        <f>IF(AND(OR(LEFT(TH!N2248,2)="15",LEFT(TH!O2248,2)="15"),LEFT(TH!O2248,3)&lt;&gt;"111",'152-CT'!$J$8=TH!F2248),"x","")</f>
        <v/>
      </c>
      <c r="AC2248" s="79" t="str">
        <f>IF(AND(OR(LEFT(TH!N2248,2)="15",LEFT(TH!O2248,2)="15"),TK!$E$7=TH!F2248),"x","")</f>
        <v/>
      </c>
      <c r="AD2248" s="79" t="str">
        <f>IF(AND(N2248="1521",MONTH(C2248)='BK-NL'!$M$11),"x","")</f>
        <v/>
      </c>
    </row>
    <row r="2249" spans="1:30" ht="16.5" customHeight="1">
      <c r="A2249" s="318" t="str">
        <f>IF(B2249&lt;&gt;"",IF(AND(B2249='IN-TC'!$S$4,OR(TH!N2249="1111",TH!O2249="1111")),TH!D2249,""),"")</f>
        <v/>
      </c>
      <c r="B2249" s="60" t="str">
        <f t="shared" si="237"/>
        <v/>
      </c>
      <c r="C2249" s="301"/>
      <c r="D2249" s="301"/>
      <c r="E2249" s="301"/>
      <c r="F2249" s="392"/>
      <c r="G2249" s="968"/>
      <c r="H2249" s="321"/>
      <c r="I2249" s="385"/>
      <c r="J2249" s="969"/>
      <c r="K2249" s="385"/>
      <c r="L2249" s="392"/>
      <c r="M2249" s="970"/>
      <c r="N2249" s="304"/>
      <c r="O2249" s="304"/>
      <c r="P2249" s="79" t="str">
        <f>IF(AND('331-CT'!$E$7=TH!H2249,OR(N2249="331",O2249="331")),"x","")</f>
        <v/>
      </c>
      <c r="Q2249" s="79" t="str">
        <f>IF(AND(B2249='111'!$L$11,OR($N2249=$Q$7,$O2249=$Q$7)),"x","")</f>
        <v/>
      </c>
      <c r="R2249" s="79" t="str">
        <f>IF(AND($N2249=$Q$7,$B2249&lt;'111'!$L$11),"x","")</f>
        <v/>
      </c>
      <c r="S2249" s="79" t="str">
        <f>IF(AND($O2249=$Q$7,$B2249&lt;'111'!$L$11),"x","")</f>
        <v/>
      </c>
      <c r="T2249" s="79" t="str">
        <f>IF(ISERROR(FIND('112'!$M$9,G2249,1)),"",IF((AND(FIND('112'!$M$9,G2249,1)&gt;=1,B2249='112'!$K$9,OR($N2249='112'!$I$6,$O2249='112'!$I$6))),"x",""))</f>
        <v/>
      </c>
      <c r="U2249" s="79" t="str">
        <f>IF(ISERROR(FIND('112'!$M$9,G2249,1)),"",IF((AND(LEFT(G2249,2)=LEFT('112'!$M$9,2),B2249&lt;'112'!$K$9,$N2249='112'!$I$6)),"x",""))</f>
        <v/>
      </c>
      <c r="V2249" s="79" t="str">
        <f>IF(ISERROR(FIND('112'!$M$9,G2249,1)),"",IF((AND(RIGHT(G2249,2)=RIGHT('112'!$M$9,2),B2249&lt;'112'!$K$9,$O2249='112'!$I$6)),"x",""))</f>
        <v/>
      </c>
      <c r="W2249" s="79" t="str">
        <f>IF(AND('341-CT'!$H$9=H2249,OR(LEFT(N2249,3)=$W$7,LEFT(O2249,3)=$W$7)),"x","")</f>
        <v/>
      </c>
      <c r="X2249" s="79" t="str">
        <f>IF(OR(TH!N2249=TH!$X$7,O2249=TH!$X$7),"x","")</f>
        <v/>
      </c>
      <c r="Y2249" s="79" t="str">
        <f>IF(AND(OR(N2249="131",O2249="131"),H2249='131-CT'!$H$9),"x","")</f>
        <v/>
      </c>
      <c r="Z2249" s="79"/>
      <c r="AA2249" s="79" t="str">
        <f>IF(AND(MONTH(E2249)='IN-NX'!$J$5,'IN-NX'!$D$7=D2249),"x","")</f>
        <v/>
      </c>
      <c r="AB2249" s="79" t="str">
        <f>IF(AND(OR(LEFT(TH!N2249,2)="15",LEFT(TH!O2249,2)="15"),LEFT(TH!O2249,3)&lt;&gt;"111",'152-CT'!$J$8=TH!F2249),"x","")</f>
        <v/>
      </c>
      <c r="AC2249" s="79" t="str">
        <f>IF(AND(OR(LEFT(TH!N2249,2)="15",LEFT(TH!O2249,2)="15"),TK!$E$7=TH!F2249),"x","")</f>
        <v/>
      </c>
      <c r="AD2249" s="79" t="str">
        <f>IF(AND(N2249="1521",MONTH(C2249)='BK-NL'!$M$11),"x","")</f>
        <v/>
      </c>
    </row>
    <row r="2250" spans="1:30" ht="16.5" customHeight="1">
      <c r="A2250" s="318" t="str">
        <f>IF(B2250&lt;&gt;"",IF(AND(B2250='IN-TC'!$S$4,OR(TH!N2250="1111",TH!O2250="1111")),TH!D2250,""),"")</f>
        <v/>
      </c>
      <c r="B2250" s="60" t="str">
        <f t="shared" si="237"/>
        <v/>
      </c>
      <c r="C2250" s="301"/>
      <c r="D2250" s="301"/>
      <c r="E2250" s="301"/>
      <c r="F2250" s="392"/>
      <c r="G2250" s="968"/>
      <c r="H2250" s="321"/>
      <c r="I2250" s="385"/>
      <c r="J2250" s="969"/>
      <c r="K2250" s="385"/>
      <c r="L2250" s="392"/>
      <c r="M2250" s="970"/>
      <c r="N2250" s="304"/>
      <c r="O2250" s="304"/>
      <c r="P2250" s="79" t="str">
        <f>IF(AND('331-CT'!$E$7=TH!H2250,OR(N2250="331",O2250="331")),"x","")</f>
        <v/>
      </c>
      <c r="Q2250" s="79" t="str">
        <f>IF(AND(B2250='111'!$L$11,OR($N2250=$Q$7,$O2250=$Q$7)),"x","")</f>
        <v/>
      </c>
      <c r="R2250" s="79" t="str">
        <f>IF(AND($N2250=$Q$7,$B2250&lt;'111'!$L$11),"x","")</f>
        <v/>
      </c>
      <c r="S2250" s="79" t="str">
        <f>IF(AND($O2250=$Q$7,$B2250&lt;'111'!$L$11),"x","")</f>
        <v/>
      </c>
      <c r="T2250" s="79" t="str">
        <f>IF(ISERROR(FIND('112'!$M$9,G2250,1)),"",IF((AND(FIND('112'!$M$9,G2250,1)&gt;=1,B2250='112'!$K$9,OR($N2250='112'!$I$6,$O2250='112'!$I$6))),"x",""))</f>
        <v/>
      </c>
      <c r="U2250" s="79" t="str">
        <f>IF(ISERROR(FIND('112'!$M$9,G2250,1)),"",IF((AND(LEFT(G2250,2)=LEFT('112'!$M$9,2),B2250&lt;'112'!$K$9,$N2250='112'!$I$6)),"x",""))</f>
        <v/>
      </c>
      <c r="V2250" s="79" t="str">
        <f>IF(ISERROR(FIND('112'!$M$9,G2250,1)),"",IF((AND(RIGHT(G2250,2)=RIGHT('112'!$M$9,2),B2250&lt;'112'!$K$9,$O2250='112'!$I$6)),"x",""))</f>
        <v/>
      </c>
      <c r="W2250" s="79" t="str">
        <f>IF(AND('341-CT'!$H$9=H2250,OR(LEFT(N2250,3)=$W$7,LEFT(O2250,3)=$W$7)),"x","")</f>
        <v/>
      </c>
      <c r="X2250" s="79" t="str">
        <f>IF(OR(TH!N2250=TH!$X$7,O2250=TH!$X$7),"x","")</f>
        <v/>
      </c>
      <c r="Y2250" s="79" t="str">
        <f>IF(AND(OR(N2250="131",O2250="131"),H2250='131-CT'!$H$9),"x","")</f>
        <v/>
      </c>
      <c r="Z2250" s="79"/>
      <c r="AA2250" s="79" t="str">
        <f>IF(AND(MONTH(E2250)='IN-NX'!$J$5,'IN-NX'!$D$7=D2250),"x","")</f>
        <v/>
      </c>
      <c r="AB2250" s="79" t="str">
        <f>IF(AND(OR(LEFT(TH!N2250,2)="15",LEFT(TH!O2250,2)="15"),LEFT(TH!O2250,3)&lt;&gt;"111",'152-CT'!$J$8=TH!F2250),"x","")</f>
        <v/>
      </c>
      <c r="AC2250" s="79" t="str">
        <f>IF(AND(OR(LEFT(TH!N2250,2)="15",LEFT(TH!O2250,2)="15"),TK!$E$7=TH!F2250),"x","")</f>
        <v/>
      </c>
      <c r="AD2250" s="79" t="str">
        <f>IF(AND(N2250="1521",MONTH(C2250)='BK-NL'!$M$11),"x","")</f>
        <v/>
      </c>
    </row>
    <row r="2251" spans="1:30" ht="16.5" customHeight="1">
      <c r="A2251" s="318" t="str">
        <f>IF(B2251&lt;&gt;"",IF(AND(B2251='IN-TC'!$S$4,OR(TH!N2251="1111",TH!O2251="1111")),TH!D2251,""),"")</f>
        <v/>
      </c>
      <c r="B2251" s="60" t="str">
        <f t="shared" si="237"/>
        <v/>
      </c>
      <c r="C2251" s="301"/>
      <c r="D2251" s="301"/>
      <c r="E2251" s="301"/>
      <c r="F2251" s="392"/>
      <c r="G2251" s="968"/>
      <c r="H2251" s="321"/>
      <c r="I2251" s="385"/>
      <c r="J2251" s="969"/>
      <c r="K2251" s="385"/>
      <c r="L2251" s="392"/>
      <c r="M2251" s="970"/>
      <c r="N2251" s="304"/>
      <c r="O2251" s="304"/>
      <c r="P2251" s="79" t="str">
        <f>IF(AND('331-CT'!$E$7=TH!H2251,OR(N2251="331",O2251="331")),"x","")</f>
        <v/>
      </c>
      <c r="Q2251" s="79" t="str">
        <f>IF(AND(B2251='111'!$L$11,OR($N2251=$Q$7,$O2251=$Q$7)),"x","")</f>
        <v/>
      </c>
      <c r="R2251" s="79" t="str">
        <f>IF(AND($N2251=$Q$7,$B2251&lt;'111'!$L$11),"x","")</f>
        <v/>
      </c>
      <c r="S2251" s="79" t="str">
        <f>IF(AND($O2251=$Q$7,$B2251&lt;'111'!$L$11),"x","")</f>
        <v/>
      </c>
      <c r="T2251" s="79" t="str">
        <f>IF(ISERROR(FIND('112'!$M$9,G2251,1)),"",IF((AND(FIND('112'!$M$9,G2251,1)&gt;=1,B2251='112'!$K$9,OR($N2251='112'!$I$6,$O2251='112'!$I$6))),"x",""))</f>
        <v/>
      </c>
      <c r="U2251" s="79" t="str">
        <f>IF(ISERROR(FIND('112'!$M$9,G2251,1)),"",IF((AND(LEFT(G2251,2)=LEFT('112'!$M$9,2),B2251&lt;'112'!$K$9,$N2251='112'!$I$6)),"x",""))</f>
        <v/>
      </c>
      <c r="V2251" s="79" t="str">
        <f>IF(ISERROR(FIND('112'!$M$9,G2251,1)),"",IF((AND(RIGHT(G2251,2)=RIGHT('112'!$M$9,2),B2251&lt;'112'!$K$9,$O2251='112'!$I$6)),"x",""))</f>
        <v/>
      </c>
      <c r="W2251" s="79" t="str">
        <f>IF(AND('341-CT'!$H$9=H2251,OR(LEFT(N2251,3)=$W$7,LEFT(O2251,3)=$W$7)),"x","")</f>
        <v/>
      </c>
      <c r="X2251" s="79" t="str">
        <f>IF(OR(TH!N2251=TH!$X$7,O2251=TH!$X$7),"x","")</f>
        <v/>
      </c>
      <c r="Y2251" s="79" t="str">
        <f>IF(AND(OR(N2251="131",O2251="131"),H2251='131-CT'!$H$9),"x","")</f>
        <v/>
      </c>
      <c r="Z2251" s="79"/>
      <c r="AA2251" s="79" t="str">
        <f>IF(AND(MONTH(E2251)='IN-NX'!$J$5,'IN-NX'!$D$7=D2251),"x","")</f>
        <v/>
      </c>
      <c r="AB2251" s="79" t="str">
        <f>IF(AND(OR(LEFT(TH!N2251,2)="15",LEFT(TH!O2251,2)="15"),LEFT(TH!O2251,3)&lt;&gt;"111",'152-CT'!$J$8=TH!F2251),"x","")</f>
        <v/>
      </c>
      <c r="AC2251" s="79" t="str">
        <f>IF(AND(OR(LEFT(TH!N2251,2)="15",LEFT(TH!O2251,2)="15"),TK!$E$7=TH!F2251),"x","")</f>
        <v/>
      </c>
      <c r="AD2251" s="79" t="str">
        <f>IF(AND(N2251="1521",MONTH(C2251)='BK-NL'!$M$11),"x","")</f>
        <v/>
      </c>
    </row>
    <row r="2252" spans="1:30" ht="16.5" customHeight="1">
      <c r="A2252" s="318" t="str">
        <f>IF(B2252&lt;&gt;"",IF(AND(B2252='IN-TC'!$S$4,OR(TH!N2252="1111",TH!O2252="1111")),TH!D2252,""),"")</f>
        <v/>
      </c>
      <c r="B2252" s="60" t="str">
        <f t="shared" si="237"/>
        <v/>
      </c>
      <c r="C2252" s="981"/>
      <c r="D2252" s="301"/>
      <c r="E2252" s="301"/>
      <c r="F2252" s="999"/>
      <c r="G2252" s="1130"/>
      <c r="H2252" s="982"/>
      <c r="I2252" s="984"/>
      <c r="J2252" s="983"/>
      <c r="K2252" s="984"/>
      <c r="L2252" s="983"/>
      <c r="M2252" s="985"/>
      <c r="N2252" s="986"/>
      <c r="O2252" s="986"/>
      <c r="P2252" s="79" t="str">
        <f>IF(AND('331-CT'!$E$7=TH!H2252,OR(N2252="331",O2252="331")),"x","")</f>
        <v/>
      </c>
      <c r="Q2252" s="79" t="str">
        <f>IF(AND(B2252='111'!$L$11,OR($N2252=$Q$7,$O2252=$Q$7)),"x","")</f>
        <v/>
      </c>
      <c r="R2252" s="79" t="str">
        <f>IF(AND($N2252=$Q$7,$B2252&lt;'111'!$L$11),"x","")</f>
        <v/>
      </c>
      <c r="S2252" s="79" t="str">
        <f>IF(AND($O2252=$Q$7,$B2252&lt;'111'!$L$11),"x","")</f>
        <v/>
      </c>
      <c r="T2252" s="79" t="str">
        <f>IF(ISERROR(FIND('112'!$M$9,G2252,1)),"",IF((AND(FIND('112'!$M$9,G2252,1)&gt;=1,B2252='112'!$K$9,OR($N2252='112'!$I$6,$O2252='112'!$I$6))),"x",""))</f>
        <v/>
      </c>
      <c r="U2252" s="79" t="str">
        <f>IF(ISERROR(FIND('112'!$M$9,G2252,1)),"",IF((AND(LEFT(G2252,2)=LEFT('112'!$M$9,2),B2252&lt;'112'!$K$9,$N2252='112'!$I$6)),"x",""))</f>
        <v/>
      </c>
      <c r="V2252" s="79" t="str">
        <f>IF(ISERROR(FIND('112'!$M$9,G2252,1)),"",IF((AND(RIGHT(G2252,2)=RIGHT('112'!$M$9,2),B2252&lt;'112'!$K$9,$O2252='112'!$I$6)),"x",""))</f>
        <v/>
      </c>
      <c r="W2252" s="79" t="str">
        <f>IF(AND('341-CT'!$H$9=H2252,OR(LEFT(N2252,3)=$W$7,LEFT(O2252,3)=$W$7)),"x","")</f>
        <v/>
      </c>
      <c r="X2252" s="79" t="str">
        <f>IF(OR(TH!N2252=TH!$X$7,O2252=TH!$X$7),"x","")</f>
        <v/>
      </c>
      <c r="Y2252" s="79" t="str">
        <f>IF(AND(OR(N2252="131",O2252="131"),H2252='131-CT'!$H$9),"x","")</f>
        <v/>
      </c>
      <c r="Z2252" s="79"/>
      <c r="AA2252" s="79" t="str">
        <f>IF(AND(MONTH(E2252)='IN-NX'!$J$5,'IN-NX'!$D$7=D2252),"x","")</f>
        <v/>
      </c>
      <c r="AB2252" s="79" t="str">
        <f>IF(AND(OR(LEFT(TH!N2252,2)="15",LEFT(TH!O2252,2)="15"),LEFT(TH!O2252,3)&lt;&gt;"111",'152-CT'!$J$8=TH!F2252),"x","")</f>
        <v/>
      </c>
      <c r="AC2252" s="79" t="str">
        <f>IF(AND(OR(LEFT(TH!N2252,2)="15",LEFT(TH!O2252,2)="15"),TK!$E$7=TH!F2252),"x","")</f>
        <v/>
      </c>
      <c r="AD2252" s="79" t="str">
        <f>IF(AND(N2252="1521",MONTH(C2252)='BK-NL'!$M$11),"x","")</f>
        <v/>
      </c>
    </row>
    <row r="2253" spans="1:30" ht="16.5" customHeight="1">
      <c r="A2253" s="318" t="str">
        <f>IF(B2253&lt;&gt;"",IF(AND(B2253='IN-TC'!$S$4,OR(TH!N2253="1111",TH!O2253="1111")),TH!D2253,""),"")</f>
        <v/>
      </c>
      <c r="B2253" s="60" t="str">
        <f t="shared" si="237"/>
        <v/>
      </c>
      <c r="C2253" s="974"/>
      <c r="D2253" s="301"/>
      <c r="E2253" s="301"/>
      <c r="F2253" s="77"/>
      <c r="G2253" s="976"/>
      <c r="H2253" s="305"/>
      <c r="I2253" s="383"/>
      <c r="J2253" s="977"/>
      <c r="K2253" s="383"/>
      <c r="L2253" s="390"/>
      <c r="M2253" s="978"/>
      <c r="N2253" s="979"/>
      <c r="O2253" s="979"/>
      <c r="P2253" s="79" t="str">
        <f>IF(AND('331-CT'!$E$7=TH!H2253,OR(N2253="331",O2253="331")),"x","")</f>
        <v/>
      </c>
      <c r="Q2253" s="79" t="str">
        <f>IF(AND(B2253='111'!$L$11,OR($N2253=$Q$7,$O2253=$Q$7)),"x","")</f>
        <v/>
      </c>
      <c r="R2253" s="79" t="str">
        <f>IF(AND($N2253=$Q$7,$B2253&lt;'111'!$L$11),"x","")</f>
        <v/>
      </c>
      <c r="S2253" s="79" t="str">
        <f>IF(AND($O2253=$Q$7,$B2253&lt;'111'!$L$11),"x","")</f>
        <v/>
      </c>
      <c r="T2253" s="79" t="str">
        <f>IF(ISERROR(FIND('112'!$M$9,G2253,1)),"",IF((AND(FIND('112'!$M$9,G2253,1)&gt;=1,B2253='112'!$K$9,OR($N2253='112'!$I$6,$O2253='112'!$I$6))),"x",""))</f>
        <v/>
      </c>
      <c r="U2253" s="79" t="str">
        <f>IF(ISERROR(FIND('112'!$M$9,G2253,1)),"",IF((AND(LEFT(G2253,2)=LEFT('112'!$M$9,2),B2253&lt;'112'!$K$9,$N2253='112'!$I$6)),"x",""))</f>
        <v/>
      </c>
      <c r="V2253" s="79" t="str">
        <f>IF(ISERROR(FIND('112'!$M$9,G2253,1)),"",IF((AND(RIGHT(G2253,2)=RIGHT('112'!$M$9,2),B2253&lt;'112'!$K$9,$O2253='112'!$I$6)),"x",""))</f>
        <v/>
      </c>
      <c r="W2253" s="79" t="str">
        <f>IF(AND('341-CT'!$H$9=H2253,OR(LEFT(N2253,3)=$W$7,LEFT(O2253,3)=$W$7)),"x","")</f>
        <v/>
      </c>
      <c r="X2253" s="79" t="str">
        <f>IF(OR(TH!N2253=TH!$X$7,O2253=TH!$X$7),"x","")</f>
        <v/>
      </c>
      <c r="Y2253" s="79" t="str">
        <f>IF(AND(OR(N2253="131",O2253="131"),H2253='131-CT'!$H$9),"x","")</f>
        <v/>
      </c>
      <c r="Z2253" s="79"/>
      <c r="AA2253" s="79" t="str">
        <f>IF(AND(MONTH(E2253)='IN-NX'!$J$5,'IN-NX'!$D$7=D2253),"x","")</f>
        <v/>
      </c>
      <c r="AB2253" s="79" t="str">
        <f>IF(AND(OR(LEFT(TH!N2253,2)="15",LEFT(TH!O2253,2)="15"),LEFT(TH!O2253,3)&lt;&gt;"111",'152-CT'!$J$8=TH!F2253),"x","")</f>
        <v/>
      </c>
      <c r="AC2253" s="79" t="str">
        <f>IF(AND(OR(LEFT(TH!N2253,2)="15",LEFT(TH!O2253,2)="15"),TK!$E$7=TH!F2253),"x","")</f>
        <v/>
      </c>
      <c r="AD2253" s="79" t="str">
        <f>IF(AND(N2253="1521",MONTH(C2253)='BK-NL'!$M$11),"x","")</f>
        <v/>
      </c>
    </row>
    <row r="2254" spans="1:30" ht="16.5" customHeight="1">
      <c r="A2254" s="318" t="str">
        <f>IF(B2254&lt;&gt;"",IF(AND(B2254='IN-TC'!$S$4,OR(TH!N2254="1111",TH!O2254="1111")),TH!D2254,""),"")</f>
        <v/>
      </c>
      <c r="B2254" s="60" t="str">
        <f t="shared" si="237"/>
        <v/>
      </c>
      <c r="C2254" s="61"/>
      <c r="D2254" s="301"/>
      <c r="E2254" s="301"/>
      <c r="F2254" s="64"/>
      <c r="G2254" s="766"/>
      <c r="H2254" s="321"/>
      <c r="I2254" s="385"/>
      <c r="J2254" s="392"/>
      <c r="K2254" s="385"/>
      <c r="L2254" s="392"/>
      <c r="M2254" s="62"/>
      <c r="N2254" s="63"/>
      <c r="O2254" s="979"/>
      <c r="P2254" s="79" t="str">
        <f>IF(AND('331-CT'!$E$7=TH!H2254,OR(N2254="331",O2254="331")),"x","")</f>
        <v/>
      </c>
      <c r="Q2254" s="79" t="str">
        <f>IF(AND(B2254='111'!$L$11,OR($N2254=$Q$7,$O2254=$Q$7)),"x","")</f>
        <v/>
      </c>
      <c r="R2254" s="79" t="str">
        <f>IF(AND($N2254=$Q$7,$B2254&lt;'111'!$L$11),"x","")</f>
        <v/>
      </c>
      <c r="S2254" s="79" t="str">
        <f>IF(AND($O2254=$Q$7,$B2254&lt;'111'!$L$11),"x","")</f>
        <v/>
      </c>
      <c r="T2254" s="79" t="str">
        <f>IF(ISERROR(FIND('112'!$M$9,G2254,1)),"",IF((AND(FIND('112'!$M$9,G2254,1)&gt;=1,B2254='112'!$K$9,OR($N2254='112'!$I$6,$O2254='112'!$I$6))),"x",""))</f>
        <v/>
      </c>
      <c r="U2254" s="79" t="str">
        <f>IF(ISERROR(FIND('112'!$M$9,G2254,1)),"",IF((AND(LEFT(G2254,2)=LEFT('112'!$M$9,2),B2254&lt;'112'!$K$9,$N2254='112'!$I$6)),"x",""))</f>
        <v/>
      </c>
      <c r="V2254" s="79" t="str">
        <f>IF(ISERROR(FIND('112'!$M$9,G2254,1)),"",IF((AND(RIGHT(G2254,2)=RIGHT('112'!$M$9,2),B2254&lt;'112'!$K$9,$O2254='112'!$I$6)),"x",""))</f>
        <v/>
      </c>
      <c r="W2254" s="79" t="str">
        <f>IF(AND('341-CT'!$H$9=H2254,OR(LEFT(N2254,3)=$W$7,LEFT(O2254,3)=$W$7)),"x","")</f>
        <v/>
      </c>
      <c r="X2254" s="79" t="str">
        <f>IF(OR(TH!N2254=TH!$X$7,O2254=TH!$X$7),"x","")</f>
        <v/>
      </c>
      <c r="Y2254" s="79" t="str">
        <f>IF(AND(OR(N2254="131",O2254="131"),H2254='131-CT'!$H$9),"x","")</f>
        <v/>
      </c>
      <c r="Z2254" s="79"/>
      <c r="AA2254" s="79" t="str">
        <f>IF(AND(MONTH(E2254)='IN-NX'!$J$5,'IN-NX'!$D$7=D2254),"x","")</f>
        <v/>
      </c>
      <c r="AB2254" s="79" t="str">
        <f>IF(AND(OR(LEFT(TH!N2254,2)="15",LEFT(TH!O2254,2)="15"),LEFT(TH!O2254,3)&lt;&gt;"111",'152-CT'!$J$8=TH!F2254),"x","")</f>
        <v/>
      </c>
      <c r="AC2254" s="79" t="str">
        <f>IF(AND(OR(LEFT(TH!N2254,2)="15",LEFT(TH!O2254,2)="15"),TK!$E$7=TH!F2254),"x","")</f>
        <v/>
      </c>
      <c r="AD2254" s="79" t="str">
        <f>IF(AND(N2254="1521",MONTH(C2254)='BK-NL'!$M$11),"x","")</f>
        <v/>
      </c>
    </row>
    <row r="2255" spans="1:30" ht="16.5" customHeight="1">
      <c r="A2255" s="318" t="str">
        <f>IF(B2255&lt;&gt;"",IF(AND(B2255='IN-TC'!$S$4,OR(TH!N2255="1111",TH!O2255="1111")),TH!D2255,""),"")</f>
        <v/>
      </c>
      <c r="B2255" s="60" t="str">
        <f t="shared" si="237"/>
        <v/>
      </c>
      <c r="C2255" s="61"/>
      <c r="D2255" s="301"/>
      <c r="E2255" s="301"/>
      <c r="F2255" s="64"/>
      <c r="G2255" s="766"/>
      <c r="H2255" s="321"/>
      <c r="I2255" s="385"/>
      <c r="J2255" s="392"/>
      <c r="K2255" s="385"/>
      <c r="L2255" s="392"/>
      <c r="M2255" s="62"/>
      <c r="N2255" s="63"/>
      <c r="O2255" s="979"/>
      <c r="P2255" s="79" t="str">
        <f>IF(AND('331-CT'!$E$7=TH!H2255,OR(N2255="331",O2255="331")),"x","")</f>
        <v/>
      </c>
      <c r="Q2255" s="79" t="str">
        <f>IF(AND(B2255='111'!$L$11,OR($N2255=$Q$7,$O2255=$Q$7)),"x","")</f>
        <v/>
      </c>
      <c r="R2255" s="79" t="str">
        <f>IF(AND($N2255=$Q$7,$B2255&lt;'111'!$L$11),"x","")</f>
        <v/>
      </c>
      <c r="S2255" s="79" t="str">
        <f>IF(AND($O2255=$Q$7,$B2255&lt;'111'!$L$11),"x","")</f>
        <v/>
      </c>
      <c r="T2255" s="79" t="str">
        <f>IF(ISERROR(FIND('112'!$M$9,G2255,1)),"",IF((AND(FIND('112'!$M$9,G2255,1)&gt;=1,B2255='112'!$K$9,OR($N2255='112'!$I$6,$O2255='112'!$I$6))),"x",""))</f>
        <v/>
      </c>
      <c r="U2255" s="79" t="str">
        <f>IF(ISERROR(FIND('112'!$M$9,G2255,1)),"",IF((AND(LEFT(G2255,2)=LEFT('112'!$M$9,2),B2255&lt;'112'!$K$9,$N2255='112'!$I$6)),"x",""))</f>
        <v/>
      </c>
      <c r="V2255" s="79" t="str">
        <f>IF(ISERROR(FIND('112'!$M$9,G2255,1)),"",IF((AND(RIGHT(G2255,2)=RIGHT('112'!$M$9,2),B2255&lt;'112'!$K$9,$O2255='112'!$I$6)),"x",""))</f>
        <v/>
      </c>
      <c r="W2255" s="79" t="str">
        <f>IF(AND('341-CT'!$H$9=H2255,OR(LEFT(N2255,3)=$W$7,LEFT(O2255,3)=$W$7)),"x","")</f>
        <v/>
      </c>
      <c r="X2255" s="79" t="str">
        <f>IF(OR(TH!N2255=TH!$X$7,O2255=TH!$X$7),"x","")</f>
        <v/>
      </c>
      <c r="Y2255" s="79" t="str">
        <f>IF(AND(OR(N2255="131",O2255="131"),H2255='131-CT'!$H$9),"x","")</f>
        <v/>
      </c>
      <c r="Z2255" s="79"/>
      <c r="AA2255" s="79" t="str">
        <f>IF(AND(MONTH(E2255)='IN-NX'!$J$5,'IN-NX'!$D$7=D2255),"x","")</f>
        <v/>
      </c>
      <c r="AB2255" s="79" t="str">
        <f>IF(AND(OR(LEFT(TH!N2255,2)="15",LEFT(TH!O2255,2)="15"),LEFT(TH!O2255,3)&lt;&gt;"111",'152-CT'!$J$8=TH!F2255),"x","")</f>
        <v/>
      </c>
      <c r="AC2255" s="79" t="str">
        <f>IF(AND(OR(LEFT(TH!N2255,2)="15",LEFT(TH!O2255,2)="15"),TK!$E$7=TH!F2255),"x","")</f>
        <v/>
      </c>
      <c r="AD2255" s="79" t="str">
        <f>IF(AND(N2255="1521",MONTH(C2255)='BK-NL'!$M$11),"x","")</f>
        <v/>
      </c>
    </row>
    <row r="2256" spans="1:30" ht="16.5" customHeight="1">
      <c r="A2256" s="318" t="str">
        <f>IF(B2256&lt;&gt;"",IF(AND(B2256='IN-TC'!$S$4,OR(TH!N2256="1111",TH!O2256="1111")),TH!D2256,""),"")</f>
        <v/>
      </c>
      <c r="B2256" s="60" t="str">
        <f t="shared" si="237"/>
        <v/>
      </c>
      <c r="C2256" s="974"/>
      <c r="D2256" s="301"/>
      <c r="E2256" s="301"/>
      <c r="F2256" s="77"/>
      <c r="G2256" s="976"/>
      <c r="H2256" s="305"/>
      <c r="I2256" s="383"/>
      <c r="J2256" s="977"/>
      <c r="K2256" s="383"/>
      <c r="L2256" s="390"/>
      <c r="M2256" s="978"/>
      <c r="N2256" s="979"/>
      <c r="O2256" s="979"/>
      <c r="P2256" s="79" t="str">
        <f>IF(AND('331-CT'!$E$7=TH!H2256,OR(N2256="331",O2256="331")),"x","")</f>
        <v/>
      </c>
      <c r="Q2256" s="79" t="str">
        <f>IF(AND(B2256='111'!$L$11,OR($N2256=$Q$7,$O2256=$Q$7)),"x","")</f>
        <v/>
      </c>
      <c r="R2256" s="79" t="str">
        <f>IF(AND($N2256=$Q$7,$B2256&lt;'111'!$L$11),"x","")</f>
        <v/>
      </c>
      <c r="S2256" s="79" t="str">
        <f>IF(AND($O2256=$Q$7,$B2256&lt;'111'!$L$11),"x","")</f>
        <v/>
      </c>
      <c r="T2256" s="79" t="str">
        <f>IF(ISERROR(FIND('112'!$M$9,G2256,1)),"",IF((AND(FIND('112'!$M$9,G2256,1)&gt;=1,B2256='112'!$K$9,OR($N2256='112'!$I$6,$O2256='112'!$I$6))),"x",""))</f>
        <v/>
      </c>
      <c r="U2256" s="79" t="str">
        <f>IF(ISERROR(FIND('112'!$M$9,G2256,1)),"",IF((AND(LEFT(G2256,2)=LEFT('112'!$M$9,2),B2256&lt;'112'!$K$9,$N2256='112'!$I$6)),"x",""))</f>
        <v/>
      </c>
      <c r="V2256" s="79" t="str">
        <f>IF(ISERROR(FIND('112'!$M$9,G2256,1)),"",IF((AND(RIGHT(G2256,2)=RIGHT('112'!$M$9,2),B2256&lt;'112'!$K$9,$O2256='112'!$I$6)),"x",""))</f>
        <v/>
      </c>
      <c r="W2256" s="79" t="str">
        <f>IF(AND('341-CT'!$H$9=H2256,OR(LEFT(N2256,3)=$W$7,LEFT(O2256,3)=$W$7)),"x","")</f>
        <v/>
      </c>
      <c r="X2256" s="79" t="str">
        <f>IF(OR(TH!N2256=TH!$X$7,O2256=TH!$X$7),"x","")</f>
        <v/>
      </c>
      <c r="Y2256" s="79" t="str">
        <f>IF(AND(OR(N2256="131",O2256="131"),H2256='131-CT'!$H$9),"x","")</f>
        <v/>
      </c>
      <c r="Z2256" s="79"/>
      <c r="AA2256" s="79" t="str">
        <f>IF(AND(MONTH(E2256)='IN-NX'!$J$5,'IN-NX'!$D$7=D2256),"x","")</f>
        <v/>
      </c>
      <c r="AB2256" s="79" t="str">
        <f>IF(AND(OR(LEFT(TH!N2256,2)="15",LEFT(TH!O2256,2)="15"),LEFT(TH!O2256,3)&lt;&gt;"111",'152-CT'!$J$8=TH!F2256),"x","")</f>
        <v/>
      </c>
      <c r="AC2256" s="79" t="str">
        <f>IF(AND(OR(LEFT(TH!N2256,2)="15",LEFT(TH!O2256,2)="15"),TK!$E$7=TH!F2256),"x","")</f>
        <v/>
      </c>
      <c r="AD2256" s="79" t="str">
        <f>IF(AND(N2256="1521",MONTH(C2256)='BK-NL'!$M$11),"x","")</f>
        <v/>
      </c>
    </row>
    <row r="2257" spans="1:30" ht="16.5" customHeight="1">
      <c r="A2257" s="318" t="str">
        <f>IF(B2257&lt;&gt;"",IF(AND(B2257='IN-TC'!$S$4,OR(TH!N2257="1111",TH!O2257="1111")),TH!D2257,""),"")</f>
        <v/>
      </c>
      <c r="B2257" s="60" t="str">
        <f t="shared" si="237"/>
        <v/>
      </c>
      <c r="C2257" s="61"/>
      <c r="D2257" s="301"/>
      <c r="E2257" s="301"/>
      <c r="F2257" s="64"/>
      <c r="G2257" s="766"/>
      <c r="H2257" s="321"/>
      <c r="I2257" s="385"/>
      <c r="J2257" s="392"/>
      <c r="K2257" s="385"/>
      <c r="L2257" s="392"/>
      <c r="M2257" s="62"/>
      <c r="N2257" s="63"/>
      <c r="O2257" s="979"/>
      <c r="P2257" s="79" t="str">
        <f>IF(AND('331-CT'!$E$7=TH!H2257,OR(N2257="331",O2257="331")),"x","")</f>
        <v/>
      </c>
      <c r="Q2257" s="79" t="str">
        <f>IF(AND(B2257='111'!$L$11,OR($N2257=$Q$7,$O2257=$Q$7)),"x","")</f>
        <v/>
      </c>
      <c r="R2257" s="79" t="str">
        <f>IF(AND($N2257=$Q$7,$B2257&lt;'111'!$L$11),"x","")</f>
        <v/>
      </c>
      <c r="S2257" s="79" t="str">
        <f>IF(AND($O2257=$Q$7,$B2257&lt;'111'!$L$11),"x","")</f>
        <v/>
      </c>
      <c r="T2257" s="79" t="str">
        <f>IF(ISERROR(FIND('112'!$M$9,G2257,1)),"",IF((AND(FIND('112'!$M$9,G2257,1)&gt;=1,B2257='112'!$K$9,OR($N2257='112'!$I$6,$O2257='112'!$I$6))),"x",""))</f>
        <v/>
      </c>
      <c r="U2257" s="79" t="str">
        <f>IF(ISERROR(FIND('112'!$M$9,G2257,1)),"",IF((AND(LEFT(G2257,2)=LEFT('112'!$M$9,2),B2257&lt;'112'!$K$9,$N2257='112'!$I$6)),"x",""))</f>
        <v/>
      </c>
      <c r="V2257" s="79" t="str">
        <f>IF(ISERROR(FIND('112'!$M$9,G2257,1)),"",IF((AND(RIGHT(G2257,2)=RIGHT('112'!$M$9,2),B2257&lt;'112'!$K$9,$O2257='112'!$I$6)),"x",""))</f>
        <v/>
      </c>
      <c r="W2257" s="79" t="str">
        <f>IF(AND('341-CT'!$H$9=H2257,OR(LEFT(N2257,3)=$W$7,LEFT(O2257,3)=$W$7)),"x","")</f>
        <v/>
      </c>
      <c r="X2257" s="79" t="str">
        <f>IF(OR(TH!N2257=TH!$X$7,O2257=TH!$X$7),"x","")</f>
        <v/>
      </c>
      <c r="Y2257" s="79" t="str">
        <f>IF(AND(OR(N2257="131",O2257="131"),H2257='131-CT'!$H$9),"x","")</f>
        <v/>
      </c>
      <c r="Z2257" s="79"/>
      <c r="AA2257" s="79" t="str">
        <f>IF(AND(MONTH(E2257)='IN-NX'!$J$5,'IN-NX'!$D$7=D2257),"x","")</f>
        <v/>
      </c>
      <c r="AB2257" s="79" t="str">
        <f>IF(AND(OR(LEFT(TH!N2257,2)="15",LEFT(TH!O2257,2)="15"),LEFT(TH!O2257,3)&lt;&gt;"111",'152-CT'!$J$8=TH!F2257),"x","")</f>
        <v/>
      </c>
      <c r="AC2257" s="79" t="str">
        <f>IF(AND(OR(LEFT(TH!N2257,2)="15",LEFT(TH!O2257,2)="15"),TK!$E$7=TH!F2257),"x","")</f>
        <v/>
      </c>
      <c r="AD2257" s="79" t="str">
        <f>IF(AND(N2257="1521",MONTH(C2257)='BK-NL'!$M$11),"x","")</f>
        <v/>
      </c>
    </row>
    <row r="2258" spans="1:30" ht="16.5" customHeight="1">
      <c r="A2258" s="318" t="str">
        <f>IF(B2258&lt;&gt;"",IF(AND(B2258='IN-TC'!$S$4,OR(TH!N2258="1111",TH!O2258="1111")),TH!D2258,""),"")</f>
        <v/>
      </c>
      <c r="B2258" s="60" t="str">
        <f t="shared" si="237"/>
        <v/>
      </c>
      <c r="C2258" s="61"/>
      <c r="D2258" s="301"/>
      <c r="E2258" s="301"/>
      <c r="F2258" s="64"/>
      <c r="G2258" s="766"/>
      <c r="H2258" s="321"/>
      <c r="I2258" s="385"/>
      <c r="J2258" s="392"/>
      <c r="K2258" s="385"/>
      <c r="L2258" s="392"/>
      <c r="M2258" s="62"/>
      <c r="N2258" s="63"/>
      <c r="O2258" s="979"/>
      <c r="P2258" s="79" t="str">
        <f>IF(AND('331-CT'!$E$7=TH!H2258,OR(N2258="331",O2258="331")),"x","")</f>
        <v/>
      </c>
      <c r="Q2258" s="79" t="str">
        <f>IF(AND(B2258='111'!$L$11,OR($N2258=$Q$7,$O2258=$Q$7)),"x","")</f>
        <v/>
      </c>
      <c r="R2258" s="79" t="str">
        <f>IF(AND($N2258=$Q$7,$B2258&lt;'111'!$L$11),"x","")</f>
        <v/>
      </c>
      <c r="S2258" s="79" t="str">
        <f>IF(AND($O2258=$Q$7,$B2258&lt;'111'!$L$11),"x","")</f>
        <v/>
      </c>
      <c r="T2258" s="79" t="str">
        <f>IF(ISERROR(FIND('112'!$M$9,G2258,1)),"",IF((AND(FIND('112'!$M$9,G2258,1)&gt;=1,B2258='112'!$K$9,OR($N2258='112'!$I$6,$O2258='112'!$I$6))),"x",""))</f>
        <v/>
      </c>
      <c r="U2258" s="79" t="str">
        <f>IF(ISERROR(FIND('112'!$M$9,G2258,1)),"",IF((AND(LEFT(G2258,2)=LEFT('112'!$M$9,2),B2258&lt;'112'!$K$9,$N2258='112'!$I$6)),"x",""))</f>
        <v/>
      </c>
      <c r="V2258" s="79" t="str">
        <f>IF(ISERROR(FIND('112'!$M$9,G2258,1)),"",IF((AND(RIGHT(G2258,2)=RIGHT('112'!$M$9,2),B2258&lt;'112'!$K$9,$O2258='112'!$I$6)),"x",""))</f>
        <v/>
      </c>
      <c r="W2258" s="79" t="str">
        <f>IF(AND('341-CT'!$H$9=H2258,OR(LEFT(N2258,3)=$W$7,LEFT(O2258,3)=$W$7)),"x","")</f>
        <v/>
      </c>
      <c r="X2258" s="79" t="str">
        <f>IF(OR(TH!N2258=TH!$X$7,O2258=TH!$X$7),"x","")</f>
        <v/>
      </c>
      <c r="Y2258" s="79" t="str">
        <f>IF(AND(OR(N2258="131",O2258="131"),H2258='131-CT'!$H$9),"x","")</f>
        <v/>
      </c>
      <c r="Z2258" s="79"/>
      <c r="AA2258" s="79" t="str">
        <f>IF(AND(MONTH(E2258)='IN-NX'!$J$5,'IN-NX'!$D$7=D2258),"x","")</f>
        <v/>
      </c>
      <c r="AB2258" s="79" t="str">
        <f>IF(AND(OR(LEFT(TH!N2258,2)="15",LEFT(TH!O2258,2)="15"),LEFT(TH!O2258,3)&lt;&gt;"111",'152-CT'!$J$8=TH!F2258),"x","")</f>
        <v/>
      </c>
      <c r="AC2258" s="79" t="str">
        <f>IF(AND(OR(LEFT(TH!N2258,2)="15",LEFT(TH!O2258,2)="15"),TK!$E$7=TH!F2258),"x","")</f>
        <v/>
      </c>
      <c r="AD2258" s="79" t="str">
        <f>IF(AND(N2258="1521",MONTH(C2258)='BK-NL'!$M$11),"x","")</f>
        <v/>
      </c>
    </row>
    <row r="2259" spans="1:30" ht="16.5" customHeight="1">
      <c r="A2259" s="318" t="str">
        <f>IF(B2259&lt;&gt;"",IF(AND(B2259='IN-TC'!$S$4,OR(TH!N2259="1111",TH!O2259="1111")),TH!D2259,""),"")</f>
        <v/>
      </c>
      <c r="B2259" s="60" t="str">
        <f t="shared" si="237"/>
        <v/>
      </c>
      <c r="C2259" s="61"/>
      <c r="D2259" s="301"/>
      <c r="E2259" s="301"/>
      <c r="F2259" s="64"/>
      <c r="G2259" s="766"/>
      <c r="H2259" s="321"/>
      <c r="I2259" s="385"/>
      <c r="J2259" s="392"/>
      <c r="K2259" s="385"/>
      <c r="L2259" s="392"/>
      <c r="M2259" s="62"/>
      <c r="N2259" s="63"/>
      <c r="O2259" s="979"/>
      <c r="P2259" s="79" t="str">
        <f>IF(AND('331-CT'!$E$7=TH!H2259,OR(N2259="331",O2259="331")),"x","")</f>
        <v/>
      </c>
      <c r="Q2259" s="79" t="str">
        <f>IF(AND(B2259='111'!$L$11,OR($N2259=$Q$7,$O2259=$Q$7)),"x","")</f>
        <v/>
      </c>
      <c r="R2259" s="79" t="str">
        <f>IF(AND($N2259=$Q$7,$B2259&lt;'111'!$L$11),"x","")</f>
        <v/>
      </c>
      <c r="S2259" s="79" t="str">
        <f>IF(AND($O2259=$Q$7,$B2259&lt;'111'!$L$11),"x","")</f>
        <v/>
      </c>
      <c r="T2259" s="79" t="str">
        <f>IF(ISERROR(FIND('112'!$M$9,G2259,1)),"",IF((AND(FIND('112'!$M$9,G2259,1)&gt;=1,B2259='112'!$K$9,OR($N2259='112'!$I$6,$O2259='112'!$I$6))),"x",""))</f>
        <v/>
      </c>
      <c r="U2259" s="79" t="str">
        <f>IF(ISERROR(FIND('112'!$M$9,G2259,1)),"",IF((AND(LEFT(G2259,2)=LEFT('112'!$M$9,2),B2259&lt;'112'!$K$9,$N2259='112'!$I$6)),"x",""))</f>
        <v/>
      </c>
      <c r="V2259" s="79" t="str">
        <f>IF(ISERROR(FIND('112'!$M$9,G2259,1)),"",IF((AND(RIGHT(G2259,2)=RIGHT('112'!$M$9,2),B2259&lt;'112'!$K$9,$O2259='112'!$I$6)),"x",""))</f>
        <v/>
      </c>
      <c r="W2259" s="79" t="str">
        <f>IF(AND('341-CT'!$H$9=H2259,OR(LEFT(N2259,3)=$W$7,LEFT(O2259,3)=$W$7)),"x","")</f>
        <v/>
      </c>
      <c r="X2259" s="79" t="str">
        <f>IF(OR(TH!N2259=TH!$X$7,O2259=TH!$X$7),"x","")</f>
        <v/>
      </c>
      <c r="Y2259" s="79" t="str">
        <f>IF(AND(OR(N2259="131",O2259="131"),H2259='131-CT'!$H$9),"x","")</f>
        <v/>
      </c>
      <c r="Z2259" s="79"/>
      <c r="AA2259" s="79" t="str">
        <f>IF(AND(MONTH(E2259)='IN-NX'!$J$5,'IN-NX'!$D$7=D2259),"x","")</f>
        <v/>
      </c>
      <c r="AB2259" s="79" t="str">
        <f>IF(AND(OR(LEFT(TH!N2259,2)="15",LEFT(TH!O2259,2)="15"),LEFT(TH!O2259,3)&lt;&gt;"111",'152-CT'!$J$8=TH!F2259),"x","")</f>
        <v/>
      </c>
      <c r="AC2259" s="79" t="str">
        <f>IF(AND(OR(LEFT(TH!N2259,2)="15",LEFT(TH!O2259,2)="15"),TK!$E$7=TH!F2259),"x","")</f>
        <v/>
      </c>
      <c r="AD2259" s="79" t="str">
        <f>IF(AND(N2259="1521",MONTH(C2259)='BK-NL'!$M$11),"x","")</f>
        <v/>
      </c>
    </row>
    <row r="2260" spans="1:30" ht="16.5" customHeight="1">
      <c r="A2260" s="318" t="str">
        <f>IF(B2260&lt;&gt;"",IF(AND(B2260='IN-TC'!$S$4,OR(TH!N2260="1111",TH!O2260="1111")),TH!D2260,""),"")</f>
        <v/>
      </c>
      <c r="B2260" s="60" t="str">
        <f t="shared" si="237"/>
        <v/>
      </c>
      <c r="C2260" s="61"/>
      <c r="D2260" s="301"/>
      <c r="E2260" s="301"/>
      <c r="F2260" s="64"/>
      <c r="G2260" s="766"/>
      <c r="H2260" s="321"/>
      <c r="I2260" s="385"/>
      <c r="J2260" s="392"/>
      <c r="K2260" s="385"/>
      <c r="L2260" s="392"/>
      <c r="M2260" s="62"/>
      <c r="N2260" s="63"/>
      <c r="O2260" s="979"/>
      <c r="P2260" s="79" t="str">
        <f>IF(AND('331-CT'!$E$7=TH!H2260,OR(N2260="331",O2260="331")),"x","")</f>
        <v/>
      </c>
      <c r="Q2260" s="79" t="str">
        <f>IF(AND(B2260='111'!$L$11,OR($N2260=$Q$7,$O2260=$Q$7)),"x","")</f>
        <v/>
      </c>
      <c r="R2260" s="79" t="str">
        <f>IF(AND($N2260=$Q$7,$B2260&lt;'111'!$L$11),"x","")</f>
        <v/>
      </c>
      <c r="S2260" s="79" t="str">
        <f>IF(AND($O2260=$Q$7,$B2260&lt;'111'!$L$11),"x","")</f>
        <v/>
      </c>
      <c r="T2260" s="79" t="str">
        <f>IF(ISERROR(FIND('112'!$M$9,G2260,1)),"",IF((AND(FIND('112'!$M$9,G2260,1)&gt;=1,B2260='112'!$K$9,OR($N2260='112'!$I$6,$O2260='112'!$I$6))),"x",""))</f>
        <v/>
      </c>
      <c r="U2260" s="79" t="str">
        <f>IF(ISERROR(FIND('112'!$M$9,G2260,1)),"",IF((AND(LEFT(G2260,2)=LEFT('112'!$M$9,2),B2260&lt;'112'!$K$9,$N2260='112'!$I$6)),"x",""))</f>
        <v/>
      </c>
      <c r="V2260" s="79" t="str">
        <f>IF(ISERROR(FIND('112'!$M$9,G2260,1)),"",IF((AND(RIGHT(G2260,2)=RIGHT('112'!$M$9,2),B2260&lt;'112'!$K$9,$O2260='112'!$I$6)),"x",""))</f>
        <v/>
      </c>
      <c r="W2260" s="79" t="str">
        <f>IF(AND('341-CT'!$H$9=H2260,OR(LEFT(N2260,3)=$W$7,LEFT(O2260,3)=$W$7)),"x","")</f>
        <v/>
      </c>
      <c r="X2260" s="79" t="str">
        <f>IF(OR(TH!N2260=TH!$X$7,O2260=TH!$X$7),"x","")</f>
        <v/>
      </c>
      <c r="Y2260" s="79" t="str">
        <f>IF(AND(OR(N2260="131",O2260="131"),H2260='131-CT'!$H$9),"x","")</f>
        <v/>
      </c>
      <c r="Z2260" s="79"/>
      <c r="AA2260" s="79" t="str">
        <f>IF(AND(MONTH(E2260)='IN-NX'!$J$5,'IN-NX'!$D$7=D2260),"x","")</f>
        <v/>
      </c>
      <c r="AB2260" s="79" t="str">
        <f>IF(AND(OR(LEFT(TH!N2260,2)="15",LEFT(TH!O2260,2)="15"),LEFT(TH!O2260,3)&lt;&gt;"111",'152-CT'!$J$8=TH!F2260),"x","")</f>
        <v/>
      </c>
      <c r="AC2260" s="79" t="str">
        <f>IF(AND(OR(LEFT(TH!N2260,2)="15",LEFT(TH!O2260,2)="15"),TK!$E$7=TH!F2260),"x","")</f>
        <v/>
      </c>
      <c r="AD2260" s="79" t="str">
        <f>IF(AND(N2260="1521",MONTH(C2260)='BK-NL'!$M$11),"x","")</f>
        <v/>
      </c>
    </row>
    <row r="2261" spans="1:30" ht="16.5" customHeight="1">
      <c r="A2261" s="318" t="str">
        <f>IF(B2261&lt;&gt;"",IF(AND(B2261='IN-TC'!$S$4,OR(TH!N2261="1111",TH!O2261="1111")),TH!D2261,""),"")</f>
        <v/>
      </c>
      <c r="B2261" s="60" t="str">
        <f t="shared" si="237"/>
        <v/>
      </c>
      <c r="C2261" s="61"/>
      <c r="D2261" s="301"/>
      <c r="E2261" s="301"/>
      <c r="F2261" s="64"/>
      <c r="G2261" s="766"/>
      <c r="H2261" s="321"/>
      <c r="I2261" s="385"/>
      <c r="J2261" s="392"/>
      <c r="K2261" s="385"/>
      <c r="L2261" s="392"/>
      <c r="M2261" s="62"/>
      <c r="N2261" s="63"/>
      <c r="O2261" s="304"/>
      <c r="P2261" s="79" t="str">
        <f>IF(AND('331-CT'!$E$7=TH!H2261,OR(N2261="331",O2261="331")),"x","")</f>
        <v/>
      </c>
      <c r="Q2261" s="79" t="str">
        <f>IF(AND(B2261='111'!$L$11,OR($N2261=$Q$7,$O2261=$Q$7)),"x","")</f>
        <v/>
      </c>
      <c r="R2261" s="79" t="str">
        <f>IF(AND($N2261=$Q$7,$B2261&lt;'111'!$L$11),"x","")</f>
        <v/>
      </c>
      <c r="S2261" s="79" t="str">
        <f>IF(AND($O2261=$Q$7,$B2261&lt;'111'!$L$11),"x","")</f>
        <v/>
      </c>
      <c r="T2261" s="79" t="str">
        <f>IF(ISERROR(FIND('112'!$M$9,G2261,1)),"",IF((AND(FIND('112'!$M$9,G2261,1)&gt;=1,B2261='112'!$K$9,OR($N2261='112'!$I$6,$O2261='112'!$I$6))),"x",""))</f>
        <v/>
      </c>
      <c r="U2261" s="79" t="str">
        <f>IF(ISERROR(FIND('112'!$M$9,G2261,1)),"",IF((AND(LEFT(G2261,2)=LEFT('112'!$M$9,2),B2261&lt;'112'!$K$9,$N2261='112'!$I$6)),"x",""))</f>
        <v/>
      </c>
      <c r="V2261" s="79" t="str">
        <f>IF(ISERROR(FIND('112'!$M$9,G2261,1)),"",IF((AND(RIGHT(G2261,2)=RIGHT('112'!$M$9,2),B2261&lt;'112'!$K$9,$O2261='112'!$I$6)),"x",""))</f>
        <v/>
      </c>
      <c r="W2261" s="79" t="str">
        <f>IF(AND('341-CT'!$H$9=H2261,OR(LEFT(N2261,3)=$W$7,LEFT(O2261,3)=$W$7)),"x","")</f>
        <v/>
      </c>
      <c r="X2261" s="79" t="str">
        <f>IF(OR(TH!N2261=TH!$X$7,O2261=TH!$X$7),"x","")</f>
        <v/>
      </c>
      <c r="Y2261" s="79" t="str">
        <f>IF(AND(OR(N2261="131",O2261="131"),H2261='131-CT'!$H$9),"x","")</f>
        <v/>
      </c>
      <c r="Z2261" s="79"/>
      <c r="AA2261" s="79" t="str">
        <f>IF(AND(MONTH(E2261)='IN-NX'!$J$5,'IN-NX'!$D$7=D2261),"x","")</f>
        <v/>
      </c>
      <c r="AB2261" s="79" t="str">
        <f>IF(AND(OR(LEFT(TH!N2261,2)="15",LEFT(TH!O2261,2)="15"),LEFT(TH!O2261,3)&lt;&gt;"111",'152-CT'!$J$8=TH!F2261),"x","")</f>
        <v/>
      </c>
      <c r="AC2261" s="79" t="str">
        <f>IF(AND(OR(LEFT(TH!N2261,2)="15",LEFT(TH!O2261,2)="15"),TK!$E$7=TH!F2261),"x","")</f>
        <v/>
      </c>
      <c r="AD2261" s="79" t="str">
        <f>IF(AND(N2261="1521",MONTH(C2261)='BK-NL'!$M$11),"x","")</f>
        <v/>
      </c>
    </row>
    <row r="2262" spans="1:30" ht="16.5" customHeight="1">
      <c r="A2262" s="318" t="str">
        <f>IF(B2262&lt;&gt;"",IF(AND(B2262='IN-TC'!$S$4,OR(TH!N2262="1111",TH!O2262="1111")),TH!D2262,""),"")</f>
        <v/>
      </c>
      <c r="B2262" s="60" t="str">
        <f t="shared" si="237"/>
        <v/>
      </c>
      <c r="C2262" s="61"/>
      <c r="D2262" s="301"/>
      <c r="E2262" s="301"/>
      <c r="F2262" s="64"/>
      <c r="G2262" s="766"/>
      <c r="H2262" s="321"/>
      <c r="I2262" s="385"/>
      <c r="J2262" s="392"/>
      <c r="K2262" s="385"/>
      <c r="L2262" s="392"/>
      <c r="M2262" s="62"/>
      <c r="N2262" s="63"/>
      <c r="O2262" s="979"/>
      <c r="P2262" s="79" t="str">
        <f>IF(AND('331-CT'!$E$7=TH!H2262,OR(N2262="331",O2262="331")),"x","")</f>
        <v/>
      </c>
      <c r="Q2262" s="79" t="str">
        <f>IF(AND(B2262='111'!$L$11,OR($N2262=$Q$7,$O2262=$Q$7)),"x","")</f>
        <v/>
      </c>
      <c r="R2262" s="79" t="str">
        <f>IF(AND($N2262=$Q$7,$B2262&lt;'111'!$L$11),"x","")</f>
        <v/>
      </c>
      <c r="S2262" s="79" t="str">
        <f>IF(AND($O2262=$Q$7,$B2262&lt;'111'!$L$11),"x","")</f>
        <v/>
      </c>
      <c r="T2262" s="79" t="str">
        <f>IF(ISERROR(FIND('112'!$M$9,G2262,1)),"",IF((AND(FIND('112'!$M$9,G2262,1)&gt;=1,B2262='112'!$K$9,OR($N2262='112'!$I$6,$O2262='112'!$I$6))),"x",""))</f>
        <v/>
      </c>
      <c r="U2262" s="79" t="str">
        <f>IF(ISERROR(FIND('112'!$M$9,G2262,1)),"",IF((AND(LEFT(G2262,2)=LEFT('112'!$M$9,2),B2262&lt;'112'!$K$9,$N2262='112'!$I$6)),"x",""))</f>
        <v/>
      </c>
      <c r="V2262" s="79" t="str">
        <f>IF(ISERROR(FIND('112'!$M$9,G2262,1)),"",IF((AND(RIGHT(G2262,2)=RIGHT('112'!$M$9,2),B2262&lt;'112'!$K$9,$O2262='112'!$I$6)),"x",""))</f>
        <v/>
      </c>
      <c r="W2262" s="79" t="str">
        <f>IF(AND('341-CT'!$H$9=H2262,OR(LEFT(N2262,3)=$W$7,LEFT(O2262,3)=$W$7)),"x","")</f>
        <v/>
      </c>
      <c r="X2262" s="79" t="str">
        <f>IF(OR(TH!N2262=TH!$X$7,O2262=TH!$X$7),"x","")</f>
        <v/>
      </c>
      <c r="Y2262" s="79" t="str">
        <f>IF(AND(OR(N2262="131",O2262="131"),H2262='131-CT'!$H$9),"x","")</f>
        <v/>
      </c>
      <c r="Z2262" s="79"/>
      <c r="AA2262" s="79" t="str">
        <f>IF(AND(MONTH(E2262)='IN-NX'!$J$5,'IN-NX'!$D$7=D2262),"x","")</f>
        <v/>
      </c>
      <c r="AB2262" s="79" t="str">
        <f>IF(AND(OR(LEFT(TH!N2262,2)="15",LEFT(TH!O2262,2)="15"),LEFT(TH!O2262,3)&lt;&gt;"111",'152-CT'!$J$8=TH!F2262),"x","")</f>
        <v/>
      </c>
      <c r="AC2262" s="79" t="str">
        <f>IF(AND(OR(LEFT(TH!N2262,2)="15",LEFT(TH!O2262,2)="15"),TK!$E$7=TH!F2262),"x","")</f>
        <v/>
      </c>
      <c r="AD2262" s="79" t="str">
        <f>IF(AND(N2262="1521",MONTH(C2262)='BK-NL'!$M$11),"x","")</f>
        <v/>
      </c>
    </row>
    <row r="2263" spans="1:30" ht="16.5" customHeight="1">
      <c r="A2263" s="318" t="str">
        <f>IF(B2263&lt;&gt;"",IF(AND(B2263='IN-TC'!$S$4,OR(TH!N2263="1111",TH!O2263="1111")),TH!D2263,""),"")</f>
        <v/>
      </c>
      <c r="B2263" s="60" t="str">
        <f t="shared" si="237"/>
        <v/>
      </c>
      <c r="C2263" s="61"/>
      <c r="D2263" s="301"/>
      <c r="E2263" s="301"/>
      <c r="F2263" s="64"/>
      <c r="G2263" s="766"/>
      <c r="H2263" s="321"/>
      <c r="I2263" s="385"/>
      <c r="J2263" s="392"/>
      <c r="K2263" s="385"/>
      <c r="L2263" s="392"/>
      <c r="M2263" s="62"/>
      <c r="N2263" s="63"/>
      <c r="O2263" s="979"/>
      <c r="P2263" s="79" t="str">
        <f>IF(AND('331-CT'!$E$7=TH!H2263,OR(N2263="331",O2263="331")),"x","")</f>
        <v/>
      </c>
      <c r="Q2263" s="79" t="str">
        <f>IF(AND(B2263='111'!$L$11,OR($N2263=$Q$7,$O2263=$Q$7)),"x","")</f>
        <v/>
      </c>
      <c r="R2263" s="79" t="str">
        <f>IF(AND($N2263=$Q$7,$B2263&lt;'111'!$L$11),"x","")</f>
        <v/>
      </c>
      <c r="S2263" s="79" t="str">
        <f>IF(AND($O2263=$Q$7,$B2263&lt;'111'!$L$11),"x","")</f>
        <v/>
      </c>
      <c r="T2263" s="79" t="str">
        <f>IF(ISERROR(FIND('112'!$M$9,G2263,1)),"",IF((AND(FIND('112'!$M$9,G2263,1)&gt;=1,B2263='112'!$K$9,OR($N2263='112'!$I$6,$O2263='112'!$I$6))),"x",""))</f>
        <v/>
      </c>
      <c r="U2263" s="79" t="str">
        <f>IF(ISERROR(FIND('112'!$M$9,G2263,1)),"",IF((AND(LEFT(G2263,2)=LEFT('112'!$M$9,2),B2263&lt;'112'!$K$9,$N2263='112'!$I$6)),"x",""))</f>
        <v/>
      </c>
      <c r="V2263" s="79" t="str">
        <f>IF(ISERROR(FIND('112'!$M$9,G2263,1)),"",IF((AND(RIGHT(G2263,2)=RIGHT('112'!$M$9,2),B2263&lt;'112'!$K$9,$O2263='112'!$I$6)),"x",""))</f>
        <v/>
      </c>
      <c r="W2263" s="79" t="str">
        <f>IF(AND('341-CT'!$H$9=H2263,OR(LEFT(N2263,3)=$W$7,LEFT(O2263,3)=$W$7)),"x","")</f>
        <v/>
      </c>
      <c r="X2263" s="79" t="str">
        <f>IF(OR(TH!N2263=TH!$X$7,O2263=TH!$X$7),"x","")</f>
        <v/>
      </c>
      <c r="Y2263" s="79" t="str">
        <f>IF(AND(OR(N2263="131",O2263="131"),H2263='131-CT'!$H$9),"x","")</f>
        <v/>
      </c>
      <c r="Z2263" s="79"/>
      <c r="AA2263" s="79" t="str">
        <f>IF(AND(MONTH(E2263)='IN-NX'!$J$5,'IN-NX'!$D$7=D2263),"x","")</f>
        <v/>
      </c>
      <c r="AB2263" s="79" t="str">
        <f>IF(AND(OR(LEFT(TH!N2263,2)="15",LEFT(TH!O2263,2)="15"),LEFT(TH!O2263,3)&lt;&gt;"111",'152-CT'!$J$8=TH!F2263),"x","")</f>
        <v/>
      </c>
      <c r="AC2263" s="79" t="str">
        <f>IF(AND(OR(LEFT(TH!N2263,2)="15",LEFT(TH!O2263,2)="15"),TK!$E$7=TH!F2263),"x","")</f>
        <v/>
      </c>
      <c r="AD2263" s="79" t="str">
        <f>IF(AND(N2263="1521",MONTH(C2263)='BK-NL'!$M$11),"x","")</f>
        <v/>
      </c>
    </row>
    <row r="2264" spans="1:30" ht="16.5" customHeight="1">
      <c r="A2264" s="318" t="str">
        <f>IF(B2264&lt;&gt;"",IF(AND(B2264='IN-TC'!$S$4,OR(TH!N2264="1111",TH!O2264="1111")),TH!D2264,""),"")</f>
        <v/>
      </c>
      <c r="B2264" s="60" t="str">
        <f>IF(C2264&lt;&gt;"",MONTH(C2264),"")</f>
        <v/>
      </c>
      <c r="C2264" s="301"/>
      <c r="D2264" s="301"/>
      <c r="E2264" s="301"/>
      <c r="F2264" s="302"/>
      <c r="G2264" s="988"/>
      <c r="H2264" s="321"/>
      <c r="I2264" s="385"/>
      <c r="J2264" s="969"/>
      <c r="K2264" s="385"/>
      <c r="L2264" s="392"/>
      <c r="M2264" s="970"/>
      <c r="N2264" s="304"/>
      <c r="O2264" s="304"/>
      <c r="P2264" s="79" t="str">
        <f>IF(AND('331-CT'!$E$7=TH!H2264,OR(N2264="331",O2264="331")),"x","")</f>
        <v/>
      </c>
      <c r="Q2264" s="79" t="str">
        <f>IF(AND(B2264='111'!$L$11,OR($N2264=$Q$7,$O2264=$Q$7)),"x","")</f>
        <v/>
      </c>
      <c r="R2264" s="79" t="str">
        <f>IF(AND($N2264=$Q$7,$B2264&lt;'111'!$L$11),"x","")</f>
        <v/>
      </c>
      <c r="S2264" s="79" t="str">
        <f>IF(AND($O2264=$Q$7,$B2264&lt;'111'!$L$11),"x","")</f>
        <v/>
      </c>
      <c r="T2264" s="79" t="str">
        <f>IF(ISERROR(FIND('112'!$M$9,G2264,1)),"",IF((AND(FIND('112'!$M$9,G2264,1)&gt;=1,B2264='112'!$K$9,OR($N2264='112'!$I$6,$O2264='112'!$I$6))),"x",""))</f>
        <v/>
      </c>
      <c r="U2264" s="79" t="str">
        <f>IF(ISERROR(FIND('112'!$M$9,G2264,1)),"",IF((AND(LEFT(G2264,2)=LEFT('112'!$M$9,2),B2264&lt;'112'!$K$9,$N2264='112'!$I$6)),"x",""))</f>
        <v/>
      </c>
      <c r="V2264" s="79" t="str">
        <f>IF(ISERROR(FIND('112'!$M$9,G2264,1)),"",IF((AND(RIGHT(G2264,2)=RIGHT('112'!$M$9,2),B2264&lt;'112'!$K$9,$O2264='112'!$I$6)),"x",""))</f>
        <v/>
      </c>
      <c r="W2264" s="79" t="str">
        <f>IF(AND('341-CT'!$H$9=H2264,OR(LEFT(N2264,3)=$W$7,LEFT(O2264,3)=$W$7)),"x","")</f>
        <v/>
      </c>
      <c r="X2264" s="79" t="str">
        <f>IF(OR(TH!N2264=TH!$X$7,O2264=TH!$X$7),"x","")</f>
        <v/>
      </c>
      <c r="Y2264" s="79" t="str">
        <f>IF(AND(OR(N2264="131",O2264="131"),H2264='131-CT'!$H$9),"x","")</f>
        <v/>
      </c>
      <c r="Z2264" s="79"/>
      <c r="AA2264" s="79" t="str">
        <f>IF(AND(MONTH(E2264)='IN-NX'!$J$5,'IN-NX'!$D$7=D2264),"x","")</f>
        <v/>
      </c>
      <c r="AB2264" s="79" t="str">
        <f>IF(AND(OR(LEFT(TH!N2264,2)="15",LEFT(TH!O2264,2)="15"),LEFT(TH!O2264,3)&lt;&gt;"111",'152-CT'!$J$8=TH!F2264),"x","")</f>
        <v/>
      </c>
      <c r="AC2264" s="79" t="str">
        <f>IF(AND(OR(LEFT(TH!N2264,2)="15",LEFT(TH!O2264,2)="15"),TK!$E$7=TH!F2264),"x","")</f>
        <v/>
      </c>
      <c r="AD2264" s="79" t="str">
        <f>IF(AND(N2264="1521",MONTH(C2264)='BK-NL'!$M$11),"x","")</f>
        <v/>
      </c>
    </row>
    <row r="2265" spans="1:30" ht="16.5" customHeight="1">
      <c r="A2265" s="318" t="str">
        <f>IF(B2265&lt;&gt;"",IF(AND(B2265='IN-TC'!$S$4,OR(TH!N2265="1111",TH!O2265="1111")),TH!D2265,""),"")</f>
        <v/>
      </c>
      <c r="B2265" s="60" t="str">
        <f t="shared" si="237"/>
        <v/>
      </c>
      <c r="C2265" s="301"/>
      <c r="D2265" s="301"/>
      <c r="E2265" s="301"/>
      <c r="F2265" s="1162"/>
      <c r="G2265" s="968"/>
      <c r="H2265" s="303"/>
      <c r="I2265" s="385"/>
      <c r="J2265" s="969"/>
      <c r="K2265" s="385"/>
      <c r="L2265" s="392"/>
      <c r="M2265" s="970"/>
      <c r="N2265" s="304"/>
      <c r="O2265" s="304"/>
      <c r="P2265" s="79" t="str">
        <f>IF(AND('331-CT'!$E$7=TH!H2265,OR(N2265="331",O2265="331")),"x","")</f>
        <v/>
      </c>
      <c r="Q2265" s="79" t="str">
        <f>IF(AND(B2265='111'!$L$11,OR($N2265=$Q$7,$O2265=$Q$7)),"x","")</f>
        <v/>
      </c>
      <c r="R2265" s="79" t="str">
        <f>IF(AND($N2265=$Q$7,$B2265&lt;'111'!$L$11),"x","")</f>
        <v/>
      </c>
      <c r="S2265" s="79" t="str">
        <f>IF(AND($O2265=$Q$7,$B2265&lt;'111'!$L$11),"x","")</f>
        <v/>
      </c>
      <c r="T2265" s="79" t="str">
        <f>IF(ISERROR(FIND('112'!$M$9,G2265,1)),"",IF((AND(FIND('112'!$M$9,G2265,1)&gt;=1,B2265='112'!$K$9,OR($N2265='112'!$I$6,$O2265='112'!$I$6))),"x",""))</f>
        <v/>
      </c>
      <c r="U2265" s="79" t="str">
        <f>IF(ISERROR(FIND('112'!$M$9,G2265,1)),"",IF((AND(LEFT(G2265,2)=LEFT('112'!$M$9,2),B2265&lt;'112'!$K$9,$N2265='112'!$I$6)),"x",""))</f>
        <v/>
      </c>
      <c r="V2265" s="79" t="str">
        <f>IF(ISERROR(FIND('112'!$M$9,G2265,1)),"",IF((AND(RIGHT(G2265,2)=RIGHT('112'!$M$9,2),B2265&lt;'112'!$K$9,$O2265='112'!$I$6)),"x",""))</f>
        <v/>
      </c>
      <c r="W2265" s="79" t="str">
        <f>IF(AND('341-CT'!$H$9=H2265,OR(LEFT(N2265,3)=$W$7,LEFT(O2265,3)=$W$7)),"x","")</f>
        <v/>
      </c>
      <c r="X2265" s="79" t="str">
        <f>IF(OR(TH!N2265=TH!$X$7,O2265=TH!$X$7),"x","")</f>
        <v/>
      </c>
      <c r="Y2265" s="79" t="str">
        <f>IF(AND(OR(N2265="131",O2265="131"),H2265='131-CT'!$H$9),"x","")</f>
        <v/>
      </c>
      <c r="Z2265" s="79"/>
      <c r="AA2265" s="79" t="str">
        <f>IF(AND(MONTH(E2265)='IN-NX'!$J$5,'IN-NX'!$D$7=D2265),"x","")</f>
        <v/>
      </c>
      <c r="AB2265" s="79" t="str">
        <f>IF(AND(OR(LEFT(TH!N2265,2)="15",LEFT(TH!O2265,2)="15"),LEFT(TH!O2265,3)&lt;&gt;"111",'152-CT'!$J$8=TH!F2265),"x","")</f>
        <v/>
      </c>
      <c r="AC2265" s="79" t="str">
        <f>IF(AND(OR(LEFT(TH!N2265,2)="15",LEFT(TH!O2265,2)="15"),TK!$E$7=TH!F2265),"x","")</f>
        <v/>
      </c>
      <c r="AD2265" s="79" t="str">
        <f>IF(AND(N2265="1521",MONTH(C2265)='BK-NL'!$M$11),"x","")</f>
        <v/>
      </c>
    </row>
    <row r="2266" spans="1:30" ht="16.5" customHeight="1">
      <c r="A2266" s="318" t="str">
        <f>IF(B2266&lt;&gt;"",IF(AND(B2266='IN-TC'!$S$4,OR(TH!N2266="1111",TH!O2266="1111")),TH!D2266,""),"")</f>
        <v/>
      </c>
      <c r="B2266" s="60" t="str">
        <f t="shared" si="237"/>
        <v/>
      </c>
      <c r="C2266" s="301"/>
      <c r="D2266" s="301"/>
      <c r="E2266" s="301"/>
      <c r="F2266" s="1162"/>
      <c r="G2266" s="968"/>
      <c r="H2266" s="303"/>
      <c r="I2266" s="385"/>
      <c r="J2266" s="969"/>
      <c r="K2266" s="385"/>
      <c r="L2266" s="392"/>
      <c r="M2266" s="970"/>
      <c r="N2266" s="304"/>
      <c r="O2266" s="304"/>
      <c r="P2266" s="79" t="str">
        <f>IF(AND('331-CT'!$E$7=TH!H2266,OR(N2266="331",O2266="331")),"x","")</f>
        <v/>
      </c>
      <c r="Q2266" s="79" t="str">
        <f>IF(AND(B2266='111'!$L$11,OR($N2266=$Q$7,$O2266=$Q$7)),"x","")</f>
        <v/>
      </c>
      <c r="R2266" s="79" t="str">
        <f>IF(AND($N2266=$Q$7,$B2266&lt;'111'!$L$11),"x","")</f>
        <v/>
      </c>
      <c r="S2266" s="79" t="str">
        <f>IF(AND($O2266=$Q$7,$B2266&lt;'111'!$L$11),"x","")</f>
        <v/>
      </c>
      <c r="T2266" s="79" t="str">
        <f>IF(ISERROR(FIND('112'!$M$9,G2266,1)),"",IF((AND(FIND('112'!$M$9,G2266,1)&gt;=1,B2266='112'!$K$9,OR($N2266='112'!$I$6,$O2266='112'!$I$6))),"x",""))</f>
        <v/>
      </c>
      <c r="U2266" s="79" t="str">
        <f>IF(ISERROR(FIND('112'!$M$9,G2266,1)),"",IF((AND(LEFT(G2266,2)=LEFT('112'!$M$9,2),B2266&lt;'112'!$K$9,$N2266='112'!$I$6)),"x",""))</f>
        <v/>
      </c>
      <c r="V2266" s="79" t="str">
        <f>IF(ISERROR(FIND('112'!$M$9,G2266,1)),"",IF((AND(RIGHT(G2266,2)=RIGHT('112'!$M$9,2),B2266&lt;'112'!$K$9,$O2266='112'!$I$6)),"x",""))</f>
        <v/>
      </c>
      <c r="W2266" s="79" t="str">
        <f>IF(AND('341-CT'!$H$9=H2266,OR(LEFT(N2266,3)=$W$7,LEFT(O2266,3)=$W$7)),"x","")</f>
        <v/>
      </c>
      <c r="X2266" s="79" t="str">
        <f>IF(OR(TH!N2266=TH!$X$7,O2266=TH!$X$7),"x","")</f>
        <v/>
      </c>
      <c r="Y2266" s="79" t="str">
        <f>IF(AND(OR(N2266="131",O2266="131"),H2266='131-CT'!$H$9),"x","")</f>
        <v/>
      </c>
      <c r="Z2266" s="79"/>
      <c r="AA2266" s="79" t="str">
        <f>IF(AND(MONTH(E2266)='IN-NX'!$J$5,'IN-NX'!$D$7=D2266),"x","")</f>
        <v/>
      </c>
      <c r="AB2266" s="79" t="str">
        <f>IF(AND(OR(LEFT(TH!N2266,2)="15",LEFT(TH!O2266,2)="15"),LEFT(TH!O2266,3)&lt;&gt;"111",'152-CT'!$J$8=TH!F2266),"x","")</f>
        <v/>
      </c>
      <c r="AC2266" s="79" t="str">
        <f>IF(AND(OR(LEFT(TH!N2266,2)="15",LEFT(TH!O2266,2)="15"),TK!$E$7=TH!F2266),"x","")</f>
        <v/>
      </c>
      <c r="AD2266" s="79" t="str">
        <f>IF(AND(N2266="1521",MONTH(C2266)='BK-NL'!$M$11),"x","")</f>
        <v/>
      </c>
    </row>
    <row r="2267" spans="1:30" ht="16.5" customHeight="1">
      <c r="A2267" s="318" t="str">
        <f>IF(B2267&lt;&gt;"",IF(AND(B2267='IN-TC'!$S$4,OR(TH!N2267="1111",TH!O2267="1111")),TH!D2267,""),"")</f>
        <v/>
      </c>
      <c r="B2267" s="60" t="str">
        <f t="shared" si="237"/>
        <v/>
      </c>
      <c r="C2267" s="974"/>
      <c r="D2267" s="301"/>
      <c r="E2267" s="974"/>
      <c r="F2267" s="1161"/>
      <c r="G2267" s="976"/>
      <c r="H2267" s="305"/>
      <c r="I2267" s="383"/>
      <c r="J2267" s="977"/>
      <c r="K2267" s="383"/>
      <c r="L2267" s="390"/>
      <c r="M2267" s="978"/>
      <c r="N2267" s="979"/>
      <c r="O2267" s="979"/>
      <c r="P2267" s="79" t="str">
        <f>IF(AND('331-CT'!$E$7=TH!H2267,OR(N2267="331",O2267="331")),"x","")</f>
        <v/>
      </c>
      <c r="Q2267" s="79" t="str">
        <f>IF(AND(B2267='111'!$L$11,OR($N2267=$Q$7,$O2267=$Q$7)),"x","")</f>
        <v/>
      </c>
      <c r="R2267" s="79" t="str">
        <f>IF(AND($N2267=$Q$7,$B2267&lt;'111'!$L$11),"x","")</f>
        <v/>
      </c>
      <c r="S2267" s="79" t="str">
        <f>IF(AND($O2267=$Q$7,$B2267&lt;'111'!$L$11),"x","")</f>
        <v/>
      </c>
      <c r="T2267" s="79" t="str">
        <f>IF(ISERROR(FIND('112'!$M$9,G2267,1)),"",IF((AND(FIND('112'!$M$9,G2267,1)&gt;=1,B2267='112'!$K$9,OR($N2267='112'!$I$6,$O2267='112'!$I$6))),"x",""))</f>
        <v/>
      </c>
      <c r="U2267" s="79" t="str">
        <f>IF(ISERROR(FIND('112'!$M$9,G2267,1)),"",IF((AND(LEFT(G2267,2)=LEFT('112'!$M$9,2),B2267&lt;'112'!$K$9,$N2267='112'!$I$6)),"x",""))</f>
        <v/>
      </c>
      <c r="V2267" s="79" t="str">
        <f>IF(ISERROR(FIND('112'!$M$9,G2267,1)),"",IF((AND(RIGHT(G2267,2)=RIGHT('112'!$M$9,2),B2267&lt;'112'!$K$9,$O2267='112'!$I$6)),"x",""))</f>
        <v/>
      </c>
      <c r="W2267" s="79" t="str">
        <f>IF(AND('341-CT'!$H$9=H2267,OR(LEFT(N2267,3)=$W$7,LEFT(O2267,3)=$W$7)),"x","")</f>
        <v/>
      </c>
      <c r="X2267" s="79" t="str">
        <f>IF(OR(TH!N2267=TH!$X$7,O2267=TH!$X$7),"x","")</f>
        <v/>
      </c>
      <c r="Y2267" s="79" t="str">
        <f>IF(AND(OR(N2267="131",O2267="131"),H2267='131-CT'!$H$9),"x","")</f>
        <v/>
      </c>
      <c r="Z2267" s="79"/>
      <c r="AA2267" s="79" t="str">
        <f>IF(AND(MONTH(E2267)='IN-NX'!$J$5,'IN-NX'!$D$7=D2267),"x","")</f>
        <v/>
      </c>
      <c r="AB2267" s="79" t="str">
        <f>IF(AND(OR(LEFT(TH!N2267,2)="15",LEFT(TH!O2267,2)="15"),LEFT(TH!O2267,3)&lt;&gt;"111",'152-CT'!$J$8=TH!F2267),"x","")</f>
        <v/>
      </c>
      <c r="AC2267" s="79" t="str">
        <f>IF(AND(OR(LEFT(TH!N2267,2)="15",LEFT(TH!O2267,2)="15"),TK!$E$7=TH!F2267),"x","")</f>
        <v/>
      </c>
      <c r="AD2267" s="79" t="str">
        <f>IF(AND(N2267="1521",MONTH(C2267)='BK-NL'!$M$11),"x","")</f>
        <v/>
      </c>
    </row>
    <row r="2268" spans="1:30" ht="16.5" customHeight="1">
      <c r="A2268" s="318" t="str">
        <f>IF(B2268&lt;&gt;"",IF(AND(B2268='IN-TC'!$S$4,OR(TH!N2268="1111",TH!O2268="1111")),TH!D2268,""),"")</f>
        <v/>
      </c>
      <c r="B2268" s="60" t="str">
        <f t="shared" si="237"/>
        <v/>
      </c>
      <c r="C2268" s="974"/>
      <c r="D2268" s="301"/>
      <c r="E2268" s="974"/>
      <c r="F2268" s="1161"/>
      <c r="G2268" s="976"/>
      <c r="H2268" s="305"/>
      <c r="I2268" s="383"/>
      <c r="J2268" s="977"/>
      <c r="K2268" s="383"/>
      <c r="L2268" s="390"/>
      <c r="M2268" s="978"/>
      <c r="N2268" s="979"/>
      <c r="O2268" s="979"/>
      <c r="P2268" s="79" t="str">
        <f>IF(AND('331-CT'!$E$7=TH!H2268,OR(N2268="331",O2268="331")),"x","")</f>
        <v/>
      </c>
      <c r="Q2268" s="79" t="str">
        <f>IF(AND(B2268='111'!$L$11,OR($N2268=$Q$7,$O2268=$Q$7)),"x","")</f>
        <v/>
      </c>
      <c r="R2268" s="79" t="str">
        <f>IF(AND($N2268=$Q$7,$B2268&lt;'111'!$L$11),"x","")</f>
        <v/>
      </c>
      <c r="S2268" s="79" t="str">
        <f>IF(AND($O2268=$Q$7,$B2268&lt;'111'!$L$11),"x","")</f>
        <v/>
      </c>
      <c r="T2268" s="79" t="str">
        <f>IF(ISERROR(FIND('112'!$M$9,G2268,1)),"",IF((AND(FIND('112'!$M$9,G2268,1)&gt;=1,B2268='112'!$K$9,OR($N2268='112'!$I$6,$O2268='112'!$I$6))),"x",""))</f>
        <v/>
      </c>
      <c r="U2268" s="79" t="str">
        <f>IF(ISERROR(FIND('112'!$M$9,G2268,1)),"",IF((AND(LEFT(G2268,2)=LEFT('112'!$M$9,2),B2268&lt;'112'!$K$9,$N2268='112'!$I$6)),"x",""))</f>
        <v/>
      </c>
      <c r="V2268" s="79" t="str">
        <f>IF(ISERROR(FIND('112'!$M$9,G2268,1)),"",IF((AND(RIGHT(G2268,2)=RIGHT('112'!$M$9,2),B2268&lt;'112'!$K$9,$O2268='112'!$I$6)),"x",""))</f>
        <v/>
      </c>
      <c r="W2268" s="79" t="str">
        <f>IF(AND('341-CT'!$H$9=H2268,OR(LEFT(N2268,3)=$W$7,LEFT(O2268,3)=$W$7)),"x","")</f>
        <v/>
      </c>
      <c r="X2268" s="79" t="str">
        <f>IF(OR(TH!N2268=TH!$X$7,O2268=TH!$X$7),"x","")</f>
        <v/>
      </c>
      <c r="Y2268" s="79" t="str">
        <f>IF(AND(OR(N2268="131",O2268="131"),H2268='131-CT'!$H$9),"x","")</f>
        <v/>
      </c>
      <c r="Z2268" s="79"/>
      <c r="AA2268" s="79" t="str">
        <f>IF(AND(MONTH(E2268)='IN-NX'!$J$5,'IN-NX'!$D$7=D2268),"x","")</f>
        <v/>
      </c>
      <c r="AB2268" s="79" t="str">
        <f>IF(AND(OR(LEFT(TH!N2268,2)="15",LEFT(TH!O2268,2)="15"),LEFT(TH!O2268,3)&lt;&gt;"111",'152-CT'!$J$8=TH!F2268),"x","")</f>
        <v/>
      </c>
      <c r="AC2268" s="79" t="str">
        <f>IF(AND(OR(LEFT(TH!N2268,2)="15",LEFT(TH!O2268,2)="15"),TK!$E$7=TH!F2268),"x","")</f>
        <v/>
      </c>
      <c r="AD2268" s="79" t="str">
        <f>IF(AND(N2268="1521",MONTH(C2268)='BK-NL'!$M$11),"x","")</f>
        <v/>
      </c>
    </row>
    <row r="2269" spans="1:30" ht="16.5" customHeight="1">
      <c r="A2269" s="318" t="str">
        <f>IF(B2269&lt;&gt;"",IF(AND(B2269='IN-TC'!$S$4,OR(TH!N2269="1111",TH!O2269="1111")),TH!D2269,""),"")</f>
        <v/>
      </c>
      <c r="B2269" s="60" t="str">
        <f t="shared" si="237"/>
        <v/>
      </c>
      <c r="C2269" s="301"/>
      <c r="D2269" s="301"/>
      <c r="E2269" s="301"/>
      <c r="F2269" s="1162"/>
      <c r="G2269" s="968"/>
      <c r="H2269" s="303"/>
      <c r="I2269" s="385"/>
      <c r="J2269" s="969"/>
      <c r="K2269" s="385"/>
      <c r="L2269" s="392"/>
      <c r="M2269" s="970"/>
      <c r="N2269" s="304"/>
      <c r="O2269" s="304"/>
      <c r="P2269" s="79" t="str">
        <f>IF(AND('331-CT'!$E$7=TH!H2269,OR(N2269="331",O2269="331")),"x","")</f>
        <v/>
      </c>
      <c r="Q2269" s="79" t="str">
        <f>IF(AND(B2269='111'!$L$11,OR($N2269=$Q$7,$O2269=$Q$7)),"x","")</f>
        <v/>
      </c>
      <c r="R2269" s="79" t="str">
        <f>IF(AND($N2269=$Q$7,$B2269&lt;'111'!$L$11),"x","")</f>
        <v/>
      </c>
      <c r="S2269" s="79" t="str">
        <f>IF(AND($O2269=$Q$7,$B2269&lt;'111'!$L$11),"x","")</f>
        <v/>
      </c>
      <c r="T2269" s="79" t="str">
        <f>IF(ISERROR(FIND('112'!$M$9,G2269,1)),"",IF((AND(FIND('112'!$M$9,G2269,1)&gt;=1,B2269='112'!$K$9,OR($N2269='112'!$I$6,$O2269='112'!$I$6))),"x",""))</f>
        <v/>
      </c>
      <c r="U2269" s="79" t="str">
        <f>IF(ISERROR(FIND('112'!$M$9,G2269,1)),"",IF((AND(LEFT(G2269,2)=LEFT('112'!$M$9,2),B2269&lt;'112'!$K$9,$N2269='112'!$I$6)),"x",""))</f>
        <v/>
      </c>
      <c r="V2269" s="79" t="str">
        <f>IF(ISERROR(FIND('112'!$M$9,G2269,1)),"",IF((AND(RIGHT(G2269,2)=RIGHT('112'!$M$9,2),B2269&lt;'112'!$K$9,$O2269='112'!$I$6)),"x",""))</f>
        <v/>
      </c>
      <c r="W2269" s="79" t="str">
        <f>IF(AND('341-CT'!$H$9=H2269,OR(LEFT(N2269,3)=$W$7,LEFT(O2269,3)=$W$7)),"x","")</f>
        <v/>
      </c>
      <c r="X2269" s="79" t="str">
        <f>IF(OR(TH!N2269=TH!$X$7,O2269=TH!$X$7),"x","")</f>
        <v/>
      </c>
      <c r="Y2269" s="79" t="str">
        <f>IF(AND(OR(N2269="131",O2269="131"),H2269='131-CT'!$H$9),"x","")</f>
        <v/>
      </c>
      <c r="Z2269" s="79"/>
      <c r="AA2269" s="79" t="str">
        <f>IF(AND(MONTH(E2269)='IN-NX'!$J$5,'IN-NX'!$D$7=D2269),"x","")</f>
        <v/>
      </c>
      <c r="AB2269" s="79" t="str">
        <f>IF(AND(OR(LEFT(TH!N2269,2)="15",LEFT(TH!O2269,2)="15"),LEFT(TH!O2269,3)&lt;&gt;"111",'152-CT'!$J$8=TH!F2269),"x","")</f>
        <v/>
      </c>
      <c r="AC2269" s="79" t="str">
        <f>IF(AND(OR(LEFT(TH!N2269,2)="15",LEFT(TH!O2269,2)="15"),TK!$E$7=TH!F2269),"x","")</f>
        <v/>
      </c>
      <c r="AD2269" s="79" t="str">
        <f>IF(AND(N2269="1521",MONTH(C2269)='BK-NL'!$M$11),"x","")</f>
        <v/>
      </c>
    </row>
    <row r="2270" spans="1:30" ht="16.5" customHeight="1">
      <c r="A2270" s="318" t="str">
        <f>IF(B2270&lt;&gt;"",IF(AND(B2270='IN-TC'!$S$4,OR(TH!N2270="1111",TH!O2270="1111")),TH!D2270,""),"")</f>
        <v/>
      </c>
      <c r="B2270" s="60" t="str">
        <f t="shared" si="237"/>
        <v/>
      </c>
      <c r="C2270" s="301"/>
      <c r="D2270" s="301"/>
      <c r="E2270" s="301"/>
      <c r="F2270" s="1162"/>
      <c r="G2270" s="968"/>
      <c r="H2270" s="303"/>
      <c r="I2270" s="385"/>
      <c r="J2270" s="969"/>
      <c r="K2270" s="385"/>
      <c r="L2270" s="392"/>
      <c r="M2270" s="970"/>
      <c r="N2270" s="304"/>
      <c r="O2270" s="304"/>
      <c r="P2270" s="79" t="str">
        <f>IF(AND('331-CT'!$E$7=TH!H2270,OR(N2270="331",O2270="331")),"x","")</f>
        <v/>
      </c>
      <c r="Q2270" s="79" t="str">
        <f>IF(AND(B2270='111'!$L$11,OR($N2270=$Q$7,$O2270=$Q$7)),"x","")</f>
        <v/>
      </c>
      <c r="R2270" s="79" t="str">
        <f>IF(AND($N2270=$Q$7,$B2270&lt;'111'!$L$11),"x","")</f>
        <v/>
      </c>
      <c r="S2270" s="79" t="str">
        <f>IF(AND($O2270=$Q$7,$B2270&lt;'111'!$L$11),"x","")</f>
        <v/>
      </c>
      <c r="T2270" s="79" t="str">
        <f>IF(ISERROR(FIND('112'!$M$9,G2270,1)),"",IF((AND(FIND('112'!$M$9,G2270,1)&gt;=1,B2270='112'!$K$9,OR($N2270='112'!$I$6,$O2270='112'!$I$6))),"x",""))</f>
        <v/>
      </c>
      <c r="U2270" s="79" t="str">
        <f>IF(ISERROR(FIND('112'!$M$9,G2270,1)),"",IF((AND(LEFT(G2270,2)=LEFT('112'!$M$9,2),B2270&lt;'112'!$K$9,$N2270='112'!$I$6)),"x",""))</f>
        <v/>
      </c>
      <c r="V2270" s="79" t="str">
        <f>IF(ISERROR(FIND('112'!$M$9,G2270,1)),"",IF((AND(RIGHT(G2270,2)=RIGHT('112'!$M$9,2),B2270&lt;'112'!$K$9,$O2270='112'!$I$6)),"x",""))</f>
        <v/>
      </c>
      <c r="W2270" s="79" t="str">
        <f>IF(AND('341-CT'!$H$9=H2270,OR(LEFT(N2270,3)=$W$7,LEFT(O2270,3)=$W$7)),"x","")</f>
        <v/>
      </c>
      <c r="X2270" s="79" t="str">
        <f>IF(OR(TH!N2270=TH!$X$7,O2270=TH!$X$7),"x","")</f>
        <v/>
      </c>
      <c r="Y2270" s="79" t="str">
        <f>IF(AND(OR(N2270="131",O2270="131"),H2270='131-CT'!$H$9),"x","")</f>
        <v/>
      </c>
      <c r="Z2270" s="79"/>
      <c r="AA2270" s="79" t="str">
        <f>IF(AND(MONTH(E2270)='IN-NX'!$J$5,'IN-NX'!$D$7=D2270),"x","")</f>
        <v/>
      </c>
      <c r="AB2270" s="79" t="str">
        <f>IF(AND(OR(LEFT(TH!N2270,2)="15",LEFT(TH!O2270,2)="15"),LEFT(TH!O2270,3)&lt;&gt;"111",'152-CT'!$J$8=TH!F2270),"x","")</f>
        <v/>
      </c>
      <c r="AC2270" s="79" t="str">
        <f>IF(AND(OR(LEFT(TH!N2270,2)="15",LEFT(TH!O2270,2)="15"),TK!$E$7=TH!F2270),"x","")</f>
        <v/>
      </c>
      <c r="AD2270" s="79" t="str">
        <f>IF(AND(N2270="1521",MONTH(C2270)='BK-NL'!$M$11),"x","")</f>
        <v/>
      </c>
    </row>
    <row r="2271" spans="1:30" ht="16.5" customHeight="1">
      <c r="A2271" s="318" t="str">
        <f>IF(B2271&lt;&gt;"",IF(AND(B2271='IN-TC'!$S$4,OR(TH!N2271="1111",TH!O2271="1111")),TH!D2271,""),"")</f>
        <v/>
      </c>
      <c r="B2271" s="60" t="str">
        <f t="shared" si="237"/>
        <v/>
      </c>
      <c r="C2271" s="974"/>
      <c r="D2271" s="301"/>
      <c r="E2271" s="974"/>
      <c r="F2271" s="1161"/>
      <c r="G2271" s="976"/>
      <c r="H2271" s="305"/>
      <c r="I2271" s="383"/>
      <c r="J2271" s="977"/>
      <c r="K2271" s="383"/>
      <c r="L2271" s="390"/>
      <c r="M2271" s="978"/>
      <c r="N2271" s="979"/>
      <c r="O2271" s="979"/>
      <c r="P2271" s="79" t="str">
        <f>IF(AND('331-CT'!$E$7=TH!H2271,OR(N2271="331",O2271="331")),"x","")</f>
        <v/>
      </c>
      <c r="Q2271" s="79" t="str">
        <f>IF(AND(B2271='111'!$L$11,OR($N2271=$Q$7,$O2271=$Q$7)),"x","")</f>
        <v/>
      </c>
      <c r="R2271" s="79" t="str">
        <f>IF(AND($N2271=$Q$7,$B2271&lt;'111'!$L$11),"x","")</f>
        <v/>
      </c>
      <c r="S2271" s="79" t="str">
        <f>IF(AND($O2271=$Q$7,$B2271&lt;'111'!$L$11),"x","")</f>
        <v/>
      </c>
      <c r="T2271" s="79" t="str">
        <f>IF(ISERROR(FIND('112'!$M$9,G2271,1)),"",IF((AND(FIND('112'!$M$9,G2271,1)&gt;=1,B2271='112'!$K$9,OR($N2271='112'!$I$6,$O2271='112'!$I$6))),"x",""))</f>
        <v/>
      </c>
      <c r="U2271" s="79" t="str">
        <f>IF(ISERROR(FIND('112'!$M$9,G2271,1)),"",IF((AND(LEFT(G2271,2)=LEFT('112'!$M$9,2),B2271&lt;'112'!$K$9,$N2271='112'!$I$6)),"x",""))</f>
        <v/>
      </c>
      <c r="V2271" s="79" t="str">
        <f>IF(ISERROR(FIND('112'!$M$9,G2271,1)),"",IF((AND(RIGHT(G2271,2)=RIGHT('112'!$M$9,2),B2271&lt;'112'!$K$9,$O2271='112'!$I$6)),"x",""))</f>
        <v/>
      </c>
      <c r="W2271" s="79" t="str">
        <f>IF(AND('341-CT'!$H$9=H2271,OR(LEFT(N2271,3)=$W$7,LEFT(O2271,3)=$W$7)),"x","")</f>
        <v/>
      </c>
      <c r="X2271" s="79" t="str">
        <f>IF(OR(TH!N2271=TH!$X$7,O2271=TH!$X$7),"x","")</f>
        <v/>
      </c>
      <c r="Y2271" s="79" t="str">
        <f>IF(AND(OR(N2271="131",O2271="131"),H2271='131-CT'!$H$9),"x","")</f>
        <v/>
      </c>
      <c r="Z2271" s="79"/>
      <c r="AA2271" s="79" t="str">
        <f>IF(AND(MONTH(E2271)='IN-NX'!$J$5,'IN-NX'!$D$7=D2271),"x","")</f>
        <v/>
      </c>
      <c r="AB2271" s="79" t="str">
        <f>IF(AND(OR(LEFT(TH!N2271,2)="15",LEFT(TH!O2271,2)="15"),LEFT(TH!O2271,3)&lt;&gt;"111",'152-CT'!$J$8=TH!F2271),"x","")</f>
        <v/>
      </c>
      <c r="AC2271" s="79" t="str">
        <f>IF(AND(OR(LEFT(TH!N2271,2)="15",LEFT(TH!O2271,2)="15"),TK!$E$7=TH!F2271),"x","")</f>
        <v/>
      </c>
      <c r="AD2271" s="79" t="str">
        <f>IF(AND(N2271="1521",MONTH(C2271)='BK-NL'!$M$11),"x","")</f>
        <v/>
      </c>
    </row>
    <row r="2272" spans="1:30" ht="16.5" customHeight="1">
      <c r="A2272" s="318" t="str">
        <f>IF(B2272&lt;&gt;"",IF(AND(B2272='IN-TC'!$S$4,OR(TH!N2272="1111",TH!O2272="1111")),TH!D2272,""),"")</f>
        <v/>
      </c>
      <c r="B2272" s="60" t="str">
        <f t="shared" si="237"/>
        <v/>
      </c>
      <c r="C2272" s="301"/>
      <c r="D2272" s="301"/>
      <c r="E2272" s="301"/>
      <c r="F2272" s="1162"/>
      <c r="G2272" s="968"/>
      <c r="H2272" s="303"/>
      <c r="I2272" s="385"/>
      <c r="J2272" s="969"/>
      <c r="K2272" s="385"/>
      <c r="L2272" s="392"/>
      <c r="M2272" s="970"/>
      <c r="N2272" s="304"/>
      <c r="O2272" s="304"/>
      <c r="P2272" s="79" t="str">
        <f>IF(AND('331-CT'!$E$7=TH!H2272,OR(N2272="331",O2272="331")),"x","")</f>
        <v/>
      </c>
      <c r="Q2272" s="79" t="str">
        <f>IF(AND(B2272='111'!$L$11,OR($N2272=$Q$7,$O2272=$Q$7)),"x","")</f>
        <v/>
      </c>
      <c r="R2272" s="79" t="str">
        <f>IF(AND($N2272=$Q$7,$B2272&lt;'111'!$L$11),"x","")</f>
        <v/>
      </c>
      <c r="S2272" s="79" t="str">
        <f>IF(AND($O2272=$Q$7,$B2272&lt;'111'!$L$11),"x","")</f>
        <v/>
      </c>
      <c r="T2272" s="79" t="str">
        <f>IF(ISERROR(FIND('112'!$M$9,G2272,1)),"",IF((AND(FIND('112'!$M$9,G2272,1)&gt;=1,B2272='112'!$K$9,OR($N2272='112'!$I$6,$O2272='112'!$I$6))),"x",""))</f>
        <v/>
      </c>
      <c r="U2272" s="79" t="str">
        <f>IF(ISERROR(FIND('112'!$M$9,G2272,1)),"",IF((AND(LEFT(G2272,2)=LEFT('112'!$M$9,2),B2272&lt;'112'!$K$9,$N2272='112'!$I$6)),"x",""))</f>
        <v/>
      </c>
      <c r="V2272" s="79" t="str">
        <f>IF(ISERROR(FIND('112'!$M$9,G2272,1)),"",IF((AND(RIGHT(G2272,2)=RIGHT('112'!$M$9,2),B2272&lt;'112'!$K$9,$O2272='112'!$I$6)),"x",""))</f>
        <v/>
      </c>
      <c r="W2272" s="79" t="str">
        <f>IF(AND('341-CT'!$H$9=H2272,OR(LEFT(N2272,3)=$W$7,LEFT(O2272,3)=$W$7)),"x","")</f>
        <v/>
      </c>
      <c r="X2272" s="79" t="str">
        <f>IF(OR(TH!N2272=TH!$X$7,O2272=TH!$X$7),"x","")</f>
        <v/>
      </c>
      <c r="Y2272" s="79" t="str">
        <f>IF(AND(OR(N2272="131",O2272="131"),H2272='131-CT'!$H$9),"x","")</f>
        <v/>
      </c>
      <c r="Z2272" s="79"/>
      <c r="AA2272" s="79" t="str">
        <f>IF(AND(MONTH(E2272)='IN-NX'!$J$5,'IN-NX'!$D$7=D2272),"x","")</f>
        <v/>
      </c>
      <c r="AB2272" s="79" t="str">
        <f>IF(AND(OR(LEFT(TH!N2272,2)="15",LEFT(TH!O2272,2)="15"),LEFT(TH!O2272,3)&lt;&gt;"111",'152-CT'!$J$8=TH!F2272),"x","")</f>
        <v/>
      </c>
      <c r="AC2272" s="79" t="str">
        <f>IF(AND(OR(LEFT(TH!N2272,2)="15",LEFT(TH!O2272,2)="15"),TK!$E$7=TH!F2272),"x","")</f>
        <v/>
      </c>
      <c r="AD2272" s="79" t="str">
        <f>IF(AND(N2272="1521",MONTH(C2272)='BK-NL'!$M$11),"x","")</f>
        <v/>
      </c>
    </row>
    <row r="2273" spans="1:30" ht="16.5" customHeight="1">
      <c r="A2273" s="318" t="str">
        <f>IF(B2273&lt;&gt;"",IF(AND(B2273='IN-TC'!$S$4,OR(TH!N2273="1111",TH!O2273="1111")),TH!D2273,""),"")</f>
        <v/>
      </c>
      <c r="B2273" s="60" t="str">
        <f t="shared" si="237"/>
        <v/>
      </c>
      <c r="C2273" s="301"/>
      <c r="D2273" s="301"/>
      <c r="E2273" s="301"/>
      <c r="F2273" s="1162"/>
      <c r="G2273" s="968"/>
      <c r="H2273" s="303"/>
      <c r="I2273" s="385"/>
      <c r="J2273" s="969"/>
      <c r="K2273" s="385"/>
      <c r="L2273" s="392"/>
      <c r="M2273" s="970"/>
      <c r="N2273" s="304"/>
      <c r="O2273" s="304"/>
      <c r="P2273" s="79" t="str">
        <f>IF(AND('331-CT'!$E$7=TH!H2273,OR(N2273="331",O2273="331")),"x","")</f>
        <v/>
      </c>
      <c r="Q2273" s="79" t="str">
        <f>IF(AND(B2273='111'!$L$11,OR($N2273=$Q$7,$O2273=$Q$7)),"x","")</f>
        <v/>
      </c>
      <c r="R2273" s="79" t="str">
        <f>IF(AND($N2273=$Q$7,$B2273&lt;'111'!$L$11),"x","")</f>
        <v/>
      </c>
      <c r="S2273" s="79" t="str">
        <f>IF(AND($O2273=$Q$7,$B2273&lt;'111'!$L$11),"x","")</f>
        <v/>
      </c>
      <c r="T2273" s="79" t="str">
        <f>IF(ISERROR(FIND('112'!$M$9,G2273,1)),"",IF((AND(FIND('112'!$M$9,G2273,1)&gt;=1,B2273='112'!$K$9,OR($N2273='112'!$I$6,$O2273='112'!$I$6))),"x",""))</f>
        <v/>
      </c>
      <c r="U2273" s="79" t="str">
        <f>IF(ISERROR(FIND('112'!$M$9,G2273,1)),"",IF((AND(LEFT(G2273,2)=LEFT('112'!$M$9,2),B2273&lt;'112'!$K$9,$N2273='112'!$I$6)),"x",""))</f>
        <v/>
      </c>
      <c r="V2273" s="79" t="str">
        <f>IF(ISERROR(FIND('112'!$M$9,G2273,1)),"",IF((AND(RIGHT(G2273,2)=RIGHT('112'!$M$9,2),B2273&lt;'112'!$K$9,$O2273='112'!$I$6)),"x",""))</f>
        <v/>
      </c>
      <c r="W2273" s="79" t="str">
        <f>IF(AND('341-CT'!$H$9=H2273,OR(LEFT(N2273,3)=$W$7,LEFT(O2273,3)=$W$7)),"x","")</f>
        <v/>
      </c>
      <c r="X2273" s="79" t="str">
        <f>IF(OR(TH!N2273=TH!$X$7,O2273=TH!$X$7),"x","")</f>
        <v/>
      </c>
      <c r="Y2273" s="79" t="str">
        <f>IF(AND(OR(N2273="131",O2273="131"),H2273='131-CT'!$H$9),"x","")</f>
        <v/>
      </c>
      <c r="Z2273" s="79"/>
      <c r="AA2273" s="79" t="str">
        <f>IF(AND(MONTH(E2273)='IN-NX'!$J$5,'IN-NX'!$D$7=D2273),"x","")</f>
        <v/>
      </c>
      <c r="AB2273" s="79" t="str">
        <f>IF(AND(OR(LEFT(TH!N2273,2)="15",LEFT(TH!O2273,2)="15"),LEFT(TH!O2273,3)&lt;&gt;"111",'152-CT'!$J$8=TH!F2273),"x","")</f>
        <v/>
      </c>
      <c r="AC2273" s="79" t="str">
        <f>IF(AND(OR(LEFT(TH!N2273,2)="15",LEFT(TH!O2273,2)="15"),TK!$E$7=TH!F2273),"x","")</f>
        <v/>
      </c>
      <c r="AD2273" s="79" t="str">
        <f>IF(AND(N2273="1521",MONTH(C2273)='BK-NL'!$M$11),"x","")</f>
        <v/>
      </c>
    </row>
    <row r="2274" spans="1:30" ht="16.5" customHeight="1">
      <c r="A2274" s="318" t="str">
        <f>IF(B2274&lt;&gt;"",IF(AND(B2274='IN-TC'!$S$4,OR(TH!N2274="1111",TH!O2274="1111")),TH!D2274,""),"")</f>
        <v/>
      </c>
      <c r="B2274" s="60" t="str">
        <f t="shared" si="237"/>
        <v/>
      </c>
      <c r="C2274" s="301"/>
      <c r="D2274" s="301"/>
      <c r="E2274" s="301"/>
      <c r="F2274" s="1162"/>
      <c r="G2274" s="968"/>
      <c r="H2274" s="303"/>
      <c r="I2274" s="385"/>
      <c r="J2274" s="969"/>
      <c r="K2274" s="385"/>
      <c r="L2274" s="392"/>
      <c r="M2274" s="970"/>
      <c r="N2274" s="304"/>
      <c r="O2274" s="304"/>
      <c r="P2274" s="79" t="str">
        <f>IF(AND('331-CT'!$E$7=TH!H2274,OR(N2274="331",O2274="331")),"x","")</f>
        <v/>
      </c>
      <c r="Q2274" s="79" t="str">
        <f>IF(AND(B2274='111'!$L$11,OR($N2274=$Q$7,$O2274=$Q$7)),"x","")</f>
        <v/>
      </c>
      <c r="R2274" s="79" t="str">
        <f>IF(AND($N2274=$Q$7,$B2274&lt;'111'!$L$11),"x","")</f>
        <v/>
      </c>
      <c r="S2274" s="79" t="str">
        <f>IF(AND($O2274=$Q$7,$B2274&lt;'111'!$L$11),"x","")</f>
        <v/>
      </c>
      <c r="T2274" s="79" t="str">
        <f>IF(ISERROR(FIND('112'!$M$9,G2274,1)),"",IF((AND(FIND('112'!$M$9,G2274,1)&gt;=1,B2274='112'!$K$9,OR($N2274='112'!$I$6,$O2274='112'!$I$6))),"x",""))</f>
        <v/>
      </c>
      <c r="U2274" s="79" t="str">
        <f>IF(ISERROR(FIND('112'!$M$9,G2274,1)),"",IF((AND(LEFT(G2274,2)=LEFT('112'!$M$9,2),B2274&lt;'112'!$K$9,$N2274='112'!$I$6)),"x",""))</f>
        <v/>
      </c>
      <c r="V2274" s="79" t="str">
        <f>IF(ISERROR(FIND('112'!$M$9,G2274,1)),"",IF((AND(RIGHT(G2274,2)=RIGHT('112'!$M$9,2),B2274&lt;'112'!$K$9,$O2274='112'!$I$6)),"x",""))</f>
        <v/>
      </c>
      <c r="W2274" s="79" t="str">
        <f>IF(AND('341-CT'!$H$9=H2274,OR(LEFT(N2274,3)=$W$7,LEFT(O2274,3)=$W$7)),"x","")</f>
        <v/>
      </c>
      <c r="X2274" s="79" t="str">
        <f>IF(OR(TH!N2274=TH!$X$7,O2274=TH!$X$7),"x","")</f>
        <v/>
      </c>
      <c r="Y2274" s="79" t="str">
        <f>IF(AND(OR(N2274="131",O2274="131"),H2274='131-CT'!$H$9),"x","")</f>
        <v/>
      </c>
      <c r="Z2274" s="79"/>
      <c r="AA2274" s="79" t="str">
        <f>IF(AND(MONTH(E2274)='IN-NX'!$J$5,'IN-NX'!$D$7=D2274),"x","")</f>
        <v/>
      </c>
      <c r="AB2274" s="79" t="str">
        <f>IF(AND(OR(LEFT(TH!N2274,2)="15",LEFT(TH!O2274,2)="15"),LEFT(TH!O2274,3)&lt;&gt;"111",'152-CT'!$J$8=TH!F2274),"x","")</f>
        <v/>
      </c>
      <c r="AC2274" s="79" t="str">
        <f>IF(AND(OR(LEFT(TH!N2274,2)="15",LEFT(TH!O2274,2)="15"),TK!$E$7=TH!F2274),"x","")</f>
        <v/>
      </c>
      <c r="AD2274" s="79" t="str">
        <f>IF(AND(N2274="1521",MONTH(C2274)='BK-NL'!$M$11),"x","")</f>
        <v/>
      </c>
    </row>
    <row r="2275" spans="1:30" ht="16.5" customHeight="1">
      <c r="A2275" s="318" t="str">
        <f>IF(B2275&lt;&gt;"",IF(AND(B2275='IN-TC'!$S$4,OR(TH!N2275="1111",TH!O2275="1111")),TH!D2275,""),"")</f>
        <v/>
      </c>
      <c r="B2275" s="60" t="str">
        <f t="shared" si="237"/>
        <v/>
      </c>
      <c r="C2275" s="301"/>
      <c r="D2275" s="301"/>
      <c r="E2275" s="301"/>
      <c r="F2275" s="1162"/>
      <c r="G2275" s="968"/>
      <c r="H2275" s="303"/>
      <c r="I2275" s="385"/>
      <c r="J2275" s="969"/>
      <c r="K2275" s="385"/>
      <c r="L2275" s="392"/>
      <c r="M2275" s="970"/>
      <c r="N2275" s="304"/>
      <c r="O2275" s="304"/>
      <c r="P2275" s="79" t="str">
        <f>IF(AND('331-CT'!$E$7=TH!H2275,OR(N2275="331",O2275="331")),"x","")</f>
        <v/>
      </c>
      <c r="Q2275" s="79" t="str">
        <f>IF(AND(B2275='111'!$L$11,OR($N2275=$Q$7,$O2275=$Q$7)),"x","")</f>
        <v/>
      </c>
      <c r="R2275" s="79" t="str">
        <f>IF(AND($N2275=$Q$7,$B2275&lt;'111'!$L$11),"x","")</f>
        <v/>
      </c>
      <c r="S2275" s="79" t="str">
        <f>IF(AND($O2275=$Q$7,$B2275&lt;'111'!$L$11),"x","")</f>
        <v/>
      </c>
      <c r="T2275" s="79" t="str">
        <f>IF(ISERROR(FIND('112'!$M$9,G2275,1)),"",IF((AND(FIND('112'!$M$9,G2275,1)&gt;=1,B2275='112'!$K$9,OR($N2275='112'!$I$6,$O2275='112'!$I$6))),"x",""))</f>
        <v/>
      </c>
      <c r="U2275" s="79" t="str">
        <f>IF(ISERROR(FIND('112'!$M$9,G2275,1)),"",IF((AND(LEFT(G2275,2)=LEFT('112'!$M$9,2),B2275&lt;'112'!$K$9,$N2275='112'!$I$6)),"x",""))</f>
        <v/>
      </c>
      <c r="V2275" s="79" t="str">
        <f>IF(ISERROR(FIND('112'!$M$9,G2275,1)),"",IF((AND(RIGHT(G2275,2)=RIGHT('112'!$M$9,2),B2275&lt;'112'!$K$9,$O2275='112'!$I$6)),"x",""))</f>
        <v/>
      </c>
      <c r="W2275" s="79" t="str">
        <f>IF(AND('341-CT'!$H$9=H2275,OR(LEFT(N2275,3)=$W$7,LEFT(O2275,3)=$W$7)),"x","")</f>
        <v/>
      </c>
      <c r="X2275" s="79" t="str">
        <f>IF(OR(TH!N2275=TH!$X$7,O2275=TH!$X$7),"x","")</f>
        <v/>
      </c>
      <c r="Y2275" s="79" t="str">
        <f>IF(AND(OR(N2275="131",O2275="131"),H2275='131-CT'!$H$9),"x","")</f>
        <v/>
      </c>
      <c r="Z2275" s="79"/>
      <c r="AA2275" s="79" t="str">
        <f>IF(AND(MONTH(E2275)='IN-NX'!$J$5,'IN-NX'!$D$7=D2275),"x","")</f>
        <v/>
      </c>
      <c r="AB2275" s="79" t="str">
        <f>IF(AND(OR(LEFT(TH!N2275,2)="15",LEFT(TH!O2275,2)="15"),LEFT(TH!O2275,3)&lt;&gt;"111",'152-CT'!$J$8=TH!F2275),"x","")</f>
        <v/>
      </c>
      <c r="AC2275" s="79" t="str">
        <f>IF(AND(OR(LEFT(TH!N2275,2)="15",LEFT(TH!O2275,2)="15"),TK!$E$7=TH!F2275),"x","")</f>
        <v/>
      </c>
      <c r="AD2275" s="79" t="str">
        <f>IF(AND(N2275="1521",MONTH(C2275)='BK-NL'!$M$11),"x","")</f>
        <v/>
      </c>
    </row>
    <row r="2276" spans="1:30" ht="16.5" customHeight="1">
      <c r="A2276" s="318" t="str">
        <f>IF(B2276&lt;&gt;"",IF(AND(B2276='IN-TC'!$S$4,OR(TH!N2276="1111",TH!O2276="1111")),TH!D2276,""),"")</f>
        <v/>
      </c>
      <c r="B2276" s="60" t="str">
        <f t="shared" si="237"/>
        <v/>
      </c>
      <c r="C2276" s="301"/>
      <c r="D2276" s="301"/>
      <c r="E2276" s="301"/>
      <c r="F2276" s="1160"/>
      <c r="G2276" s="988"/>
      <c r="H2276" s="321"/>
      <c r="I2276" s="385"/>
      <c r="J2276" s="969"/>
      <c r="K2276" s="385"/>
      <c r="L2276" s="392"/>
      <c r="M2276" s="970"/>
      <c r="N2276" s="304"/>
      <c r="O2276" s="304"/>
      <c r="P2276" s="79" t="str">
        <f>IF(AND('331-CT'!$E$7=TH!H2276,OR(N2276="331",O2276="331")),"x","")</f>
        <v/>
      </c>
      <c r="Q2276" s="79" t="str">
        <f>IF(AND(B2276='111'!$L$11,OR($N2276=$Q$7,$O2276=$Q$7)),"x","")</f>
        <v/>
      </c>
      <c r="R2276" s="79" t="str">
        <f>IF(AND($N2276=$Q$7,$B2276&lt;'111'!$L$11),"x","")</f>
        <v/>
      </c>
      <c r="S2276" s="79" t="str">
        <f>IF(AND($O2276=$Q$7,$B2276&lt;'111'!$L$11),"x","")</f>
        <v/>
      </c>
      <c r="T2276" s="79" t="str">
        <f>IF(ISERROR(FIND('112'!$M$9,G2276,1)),"",IF((AND(FIND('112'!$M$9,G2276,1)&gt;=1,B2276='112'!$K$9,OR($N2276='112'!$I$6,$O2276='112'!$I$6))),"x",""))</f>
        <v/>
      </c>
      <c r="U2276" s="79" t="str">
        <f>IF(ISERROR(FIND('112'!$M$9,G2276,1)),"",IF((AND(LEFT(G2276,2)=LEFT('112'!$M$9,2),B2276&lt;'112'!$K$9,$N2276='112'!$I$6)),"x",""))</f>
        <v/>
      </c>
      <c r="V2276" s="79" t="str">
        <f>IF(ISERROR(FIND('112'!$M$9,G2276,1)),"",IF((AND(RIGHT(G2276,2)=RIGHT('112'!$M$9,2),B2276&lt;'112'!$K$9,$O2276='112'!$I$6)),"x",""))</f>
        <v/>
      </c>
      <c r="W2276" s="79" t="str">
        <f>IF(AND('341-CT'!$H$9=H2276,OR(LEFT(N2276,3)=$W$7,LEFT(O2276,3)=$W$7)),"x","")</f>
        <v/>
      </c>
      <c r="X2276" s="79" t="str">
        <f>IF(OR(TH!N2276=TH!$X$7,O2276=TH!$X$7),"x","")</f>
        <v/>
      </c>
      <c r="Y2276" s="79" t="str">
        <f>IF(AND(OR(N2276="131",O2276="131"),H2276='131-CT'!$H$9),"x","")</f>
        <v/>
      </c>
      <c r="Z2276" s="79"/>
      <c r="AA2276" s="79" t="str">
        <f>IF(AND(MONTH(E2276)='IN-NX'!$J$5,'IN-NX'!$D$7=D2276),"x","")</f>
        <v/>
      </c>
      <c r="AB2276" s="79" t="str">
        <f>IF(AND(OR(LEFT(TH!N2276,2)="15",LEFT(TH!O2276,2)="15"),LEFT(TH!O2276,3)&lt;&gt;"111",'152-CT'!$J$8=TH!F2276),"x","")</f>
        <v/>
      </c>
      <c r="AC2276" s="79" t="str">
        <f>IF(AND(OR(LEFT(TH!N2276,2)="15",LEFT(TH!O2276,2)="15"),TK!$E$7=TH!F2276),"x","")</f>
        <v/>
      </c>
      <c r="AD2276" s="79" t="str">
        <f>IF(AND(N2276="1521",MONTH(C2276)='BK-NL'!$M$11),"x","")</f>
        <v/>
      </c>
    </row>
    <row r="2277" spans="1:30" ht="16.5" customHeight="1">
      <c r="A2277" s="318" t="str">
        <f>IF(B2277&lt;&gt;"",IF(AND(B2277='IN-TC'!$S$4,OR(TH!N2277="1111",TH!O2277="1111")),TH!D2277,""),"")</f>
        <v/>
      </c>
      <c r="B2277" s="60" t="str">
        <f t="shared" si="237"/>
        <v/>
      </c>
      <c r="C2277" s="301"/>
      <c r="D2277" s="301"/>
      <c r="E2277" s="301"/>
      <c r="F2277" s="1160"/>
      <c r="G2277" s="988"/>
      <c r="H2277" s="321"/>
      <c r="I2277" s="385"/>
      <c r="J2277" s="969"/>
      <c r="K2277" s="385"/>
      <c r="L2277" s="392"/>
      <c r="M2277" s="970"/>
      <c r="N2277" s="304"/>
      <c r="O2277" s="304"/>
      <c r="P2277" s="79" t="str">
        <f>IF(AND('331-CT'!$E$7=TH!H2277,OR(N2277="331",O2277="331")),"x","")</f>
        <v/>
      </c>
      <c r="Q2277" s="79" t="str">
        <f>IF(AND(B2277='111'!$L$11,OR($N2277=$Q$7,$O2277=$Q$7)),"x","")</f>
        <v/>
      </c>
      <c r="R2277" s="79" t="str">
        <f>IF(AND($N2277=$Q$7,$B2277&lt;'111'!$L$11),"x","")</f>
        <v/>
      </c>
      <c r="S2277" s="79" t="str">
        <f>IF(AND($O2277=$Q$7,$B2277&lt;'111'!$L$11),"x","")</f>
        <v/>
      </c>
      <c r="T2277" s="79" t="str">
        <f>IF(ISERROR(FIND('112'!$M$9,G2277,1)),"",IF((AND(FIND('112'!$M$9,G2277,1)&gt;=1,B2277='112'!$K$9,OR($N2277='112'!$I$6,$O2277='112'!$I$6))),"x",""))</f>
        <v/>
      </c>
      <c r="U2277" s="79" t="str">
        <f>IF(ISERROR(FIND('112'!$M$9,G2277,1)),"",IF((AND(LEFT(G2277,2)=LEFT('112'!$M$9,2),B2277&lt;'112'!$K$9,$N2277='112'!$I$6)),"x",""))</f>
        <v/>
      </c>
      <c r="V2277" s="79" t="str">
        <f>IF(ISERROR(FIND('112'!$M$9,G2277,1)),"",IF((AND(RIGHT(G2277,2)=RIGHT('112'!$M$9,2),B2277&lt;'112'!$K$9,$O2277='112'!$I$6)),"x",""))</f>
        <v/>
      </c>
      <c r="W2277" s="79" t="str">
        <f>IF(AND('341-CT'!$H$9=H2277,OR(LEFT(N2277,3)=$W$7,LEFT(O2277,3)=$W$7)),"x","")</f>
        <v/>
      </c>
      <c r="X2277" s="79" t="str">
        <f>IF(OR(TH!N2277=TH!$X$7,O2277=TH!$X$7),"x","")</f>
        <v/>
      </c>
      <c r="Y2277" s="79" t="str">
        <f>IF(AND(OR(N2277="131",O2277="131"),H2277='131-CT'!$H$9),"x","")</f>
        <v/>
      </c>
      <c r="Z2277" s="79"/>
      <c r="AA2277" s="79" t="str">
        <f>IF(AND(MONTH(E2277)='IN-NX'!$J$5,'IN-NX'!$D$7=D2277),"x","")</f>
        <v/>
      </c>
      <c r="AB2277" s="79" t="str">
        <f>IF(AND(OR(LEFT(TH!N2277,2)="15",LEFT(TH!O2277,2)="15"),LEFT(TH!O2277,3)&lt;&gt;"111",'152-CT'!$J$8=TH!F2277),"x","")</f>
        <v/>
      </c>
      <c r="AC2277" s="79" t="str">
        <f>IF(AND(OR(LEFT(TH!N2277,2)="15",LEFT(TH!O2277,2)="15"),TK!$E$7=TH!F2277),"x","")</f>
        <v/>
      </c>
      <c r="AD2277" s="79" t="str">
        <f>IF(AND(N2277="1521",MONTH(C2277)='BK-NL'!$M$11),"x","")</f>
        <v/>
      </c>
    </row>
    <row r="2278" spans="1:30" ht="16.5" customHeight="1">
      <c r="A2278" s="318" t="str">
        <f>IF(B2278&lt;&gt;"",IF(AND(B2278='IN-TC'!$S$4,OR(TH!N2278="1111",TH!O2278="1111")),TH!D2278,""),"")</f>
        <v/>
      </c>
      <c r="B2278" s="60" t="str">
        <f t="shared" si="237"/>
        <v/>
      </c>
      <c r="C2278" s="981"/>
      <c r="D2278" s="981"/>
      <c r="E2278" s="301"/>
      <c r="F2278" s="1133"/>
      <c r="G2278" s="1130"/>
      <c r="H2278" s="982"/>
      <c r="I2278" s="984"/>
      <c r="J2278" s="983"/>
      <c r="K2278" s="984"/>
      <c r="L2278" s="983"/>
      <c r="M2278" s="985"/>
      <c r="N2278" s="986"/>
      <c r="O2278" s="986"/>
      <c r="P2278" s="79" t="str">
        <f>IF(AND('331-CT'!$E$7=TH!H2278,OR(N2278="331",O2278="331")),"x","")</f>
        <v/>
      </c>
      <c r="Q2278" s="79" t="str">
        <f>IF(AND(B2278='111'!$L$11,OR($N2278=$Q$7,$O2278=$Q$7)),"x","")</f>
        <v/>
      </c>
      <c r="R2278" s="79" t="str">
        <f>IF(AND($N2278=$Q$7,$B2278&lt;'111'!$L$11),"x","")</f>
        <v/>
      </c>
      <c r="S2278" s="79" t="str">
        <f>IF(AND($O2278=$Q$7,$B2278&lt;'111'!$L$11),"x","")</f>
        <v/>
      </c>
      <c r="T2278" s="79" t="str">
        <f>IF(ISERROR(FIND('112'!$M$9,G2278,1)),"",IF((AND(FIND('112'!$M$9,G2278,1)&gt;=1,B2278='112'!$K$9,OR($N2278='112'!$I$6,$O2278='112'!$I$6))),"x",""))</f>
        <v/>
      </c>
      <c r="U2278" s="79" t="str">
        <f>IF(ISERROR(FIND('112'!$M$9,G2278,1)),"",IF((AND(LEFT(G2278,2)=LEFT('112'!$M$9,2),B2278&lt;'112'!$K$9,$N2278='112'!$I$6)),"x",""))</f>
        <v/>
      </c>
      <c r="V2278" s="79" t="str">
        <f>IF(ISERROR(FIND('112'!$M$9,G2278,1)),"",IF((AND(RIGHT(G2278,2)=RIGHT('112'!$M$9,2),B2278&lt;'112'!$K$9,$O2278='112'!$I$6)),"x",""))</f>
        <v/>
      </c>
      <c r="W2278" s="79" t="str">
        <f>IF(AND('341-CT'!$H$9=H2278,OR(LEFT(N2278,3)=$W$7,LEFT(O2278,3)=$W$7)),"x","")</f>
        <v/>
      </c>
      <c r="X2278" s="79" t="str">
        <f>IF(OR(TH!N2278=TH!$X$7,O2278=TH!$X$7),"x","")</f>
        <v/>
      </c>
      <c r="Y2278" s="79" t="str">
        <f>IF(AND(OR(N2278="131",O2278="131"),H2278='131-CT'!$H$9),"x","")</f>
        <v/>
      </c>
      <c r="Z2278" s="79"/>
      <c r="AA2278" s="79" t="str">
        <f>IF(AND(MONTH(E2278)='IN-NX'!$J$5,'IN-NX'!$D$7=D2278),"x","")</f>
        <v/>
      </c>
      <c r="AB2278" s="79" t="str">
        <f>IF(AND(OR(LEFT(TH!N2278,2)="15",LEFT(TH!O2278,2)="15"),LEFT(TH!O2278,3)&lt;&gt;"111",'152-CT'!$J$8=TH!F2278),"x","")</f>
        <v/>
      </c>
      <c r="AC2278" s="79" t="str">
        <f>IF(AND(OR(LEFT(TH!N2278,2)="15",LEFT(TH!O2278,2)="15"),TK!$E$7=TH!F2278),"x","")</f>
        <v/>
      </c>
      <c r="AD2278" s="79" t="str">
        <f>IF(AND(N2278="1521",MONTH(C2278)='BK-NL'!$M$11),"x","")</f>
        <v/>
      </c>
    </row>
    <row r="2279" spans="1:30" ht="16.5" customHeight="1">
      <c r="A2279" s="318" t="str">
        <f>IF(B2279&lt;&gt;"",IF(AND(B2279='IN-TC'!$S$4,OR(TH!N2279="1111",TH!O2279="1111")),TH!D2279,""),"")</f>
        <v/>
      </c>
      <c r="B2279" s="60" t="str">
        <f t="shared" si="237"/>
        <v/>
      </c>
      <c r="C2279" s="981"/>
      <c r="D2279" s="981"/>
      <c r="E2279" s="301"/>
      <c r="F2279" s="1133"/>
      <c r="G2279" s="1130"/>
      <c r="H2279" s="982"/>
      <c r="I2279" s="984"/>
      <c r="J2279" s="983"/>
      <c r="K2279" s="984"/>
      <c r="L2279" s="983"/>
      <c r="M2279" s="985"/>
      <c r="N2279" s="986"/>
      <c r="O2279" s="986"/>
      <c r="P2279" s="79" t="str">
        <f>IF(AND('331-CT'!$E$7=TH!H2279,OR(N2279="331",O2279="331")),"x","")</f>
        <v/>
      </c>
      <c r="Q2279" s="79" t="str">
        <f>IF(AND(B2279='111'!$L$11,OR($N2279=$Q$7,$O2279=$Q$7)),"x","")</f>
        <v/>
      </c>
      <c r="R2279" s="79" t="str">
        <f>IF(AND($N2279=$Q$7,$B2279&lt;'111'!$L$11),"x","")</f>
        <v/>
      </c>
      <c r="S2279" s="79" t="str">
        <f>IF(AND($O2279=$Q$7,$B2279&lt;'111'!$L$11),"x","")</f>
        <v/>
      </c>
      <c r="T2279" s="79" t="str">
        <f>IF(ISERROR(FIND('112'!$M$9,G2279,1)),"",IF((AND(FIND('112'!$M$9,G2279,1)&gt;=1,B2279='112'!$K$9,OR($N2279='112'!$I$6,$O2279='112'!$I$6))),"x",""))</f>
        <v/>
      </c>
      <c r="U2279" s="79" t="str">
        <f>IF(ISERROR(FIND('112'!$M$9,G2279,1)),"",IF((AND(LEFT(G2279,2)=LEFT('112'!$M$9,2),B2279&lt;'112'!$K$9,$N2279='112'!$I$6)),"x",""))</f>
        <v/>
      </c>
      <c r="V2279" s="79" t="str">
        <f>IF(ISERROR(FIND('112'!$M$9,G2279,1)),"",IF((AND(RIGHT(G2279,2)=RIGHT('112'!$M$9,2),B2279&lt;'112'!$K$9,$O2279='112'!$I$6)),"x",""))</f>
        <v/>
      </c>
      <c r="W2279" s="79" t="str">
        <f>IF(AND('341-CT'!$H$9=H2279,OR(LEFT(N2279,3)=$W$7,LEFT(O2279,3)=$W$7)),"x","")</f>
        <v/>
      </c>
      <c r="X2279" s="79" t="str">
        <f>IF(OR(TH!N2279=TH!$X$7,O2279=TH!$X$7),"x","")</f>
        <v/>
      </c>
      <c r="Y2279" s="79" t="str">
        <f>IF(AND(OR(N2279="131",O2279="131"),H2279='131-CT'!$H$9),"x","")</f>
        <v/>
      </c>
      <c r="Z2279" s="79"/>
      <c r="AA2279" s="79" t="str">
        <f>IF(AND(MONTH(E2279)='IN-NX'!$J$5,'IN-NX'!$D$7=D2279),"x","")</f>
        <v/>
      </c>
      <c r="AB2279" s="79" t="str">
        <f>IF(AND(OR(LEFT(TH!N2279,2)="15",LEFT(TH!O2279,2)="15"),LEFT(TH!O2279,3)&lt;&gt;"111",'152-CT'!$J$8=TH!F2279),"x","")</f>
        <v/>
      </c>
      <c r="AC2279" s="79" t="str">
        <f>IF(AND(OR(LEFT(TH!N2279,2)="15",LEFT(TH!O2279,2)="15"),TK!$E$7=TH!F2279),"x","")</f>
        <v/>
      </c>
      <c r="AD2279" s="79" t="str">
        <f>IF(AND(N2279="1521",MONTH(C2279)='BK-NL'!$M$11),"x","")</f>
        <v/>
      </c>
    </row>
    <row r="2280" spans="1:30" ht="16.5" customHeight="1">
      <c r="A2280" s="318" t="str">
        <f>IF(B2280&lt;&gt;"",IF(AND(B2280='IN-TC'!$S$4,OR(TH!N2280="1111",TH!O2280="1111")),TH!D2280,""),"")</f>
        <v/>
      </c>
      <c r="B2280" s="60" t="str">
        <f t="shared" ref="B2280:B2342" si="238">IF(C2280&lt;&gt;"",MONTH(C2280),"")</f>
        <v/>
      </c>
      <c r="C2280" s="974"/>
      <c r="D2280" s="301"/>
      <c r="E2280" s="974"/>
      <c r="F2280" s="1161"/>
      <c r="G2280" s="976"/>
      <c r="H2280" s="305"/>
      <c r="I2280" s="383"/>
      <c r="J2280" s="977"/>
      <c r="K2280" s="383"/>
      <c r="L2280" s="390"/>
      <c r="M2280" s="978"/>
      <c r="N2280" s="979"/>
      <c r="O2280" s="979"/>
      <c r="P2280" s="79" t="str">
        <f>IF(AND('331-CT'!$E$7=TH!H2280,OR(N2280="331",O2280="331")),"x","")</f>
        <v/>
      </c>
      <c r="Q2280" s="79" t="str">
        <f>IF(AND(B2280='111'!$L$11,OR($N2280=$Q$7,$O2280=$Q$7)),"x","")</f>
        <v/>
      </c>
      <c r="R2280" s="79" t="str">
        <f>IF(AND($N2280=$Q$7,$B2280&lt;'111'!$L$11),"x","")</f>
        <v/>
      </c>
      <c r="S2280" s="79" t="str">
        <f>IF(AND($O2280=$Q$7,$B2280&lt;'111'!$L$11),"x","")</f>
        <v/>
      </c>
      <c r="T2280" s="79" t="str">
        <f>IF(ISERROR(FIND('112'!$M$9,G2280,1)),"",IF((AND(FIND('112'!$M$9,G2280,1)&gt;=1,B2280='112'!$K$9,OR($N2280='112'!$I$6,$O2280='112'!$I$6))),"x",""))</f>
        <v/>
      </c>
      <c r="U2280" s="79" t="str">
        <f>IF(ISERROR(FIND('112'!$M$9,G2280,1)),"",IF((AND(LEFT(G2280,2)=LEFT('112'!$M$9,2),B2280&lt;'112'!$K$9,$N2280='112'!$I$6)),"x",""))</f>
        <v/>
      </c>
      <c r="V2280" s="79" t="str">
        <f>IF(ISERROR(FIND('112'!$M$9,G2280,1)),"",IF((AND(RIGHT(G2280,2)=RIGHT('112'!$M$9,2),B2280&lt;'112'!$K$9,$O2280='112'!$I$6)),"x",""))</f>
        <v/>
      </c>
      <c r="W2280" s="79" t="str">
        <f>IF(AND('341-CT'!$H$9=H2280,OR(LEFT(N2280,3)=$W$7,LEFT(O2280,3)=$W$7)),"x","")</f>
        <v/>
      </c>
      <c r="X2280" s="79" t="str">
        <f>IF(OR(TH!N2280=TH!$X$7,O2280=TH!$X$7),"x","")</f>
        <v/>
      </c>
      <c r="Y2280" s="79" t="str">
        <f>IF(AND(OR(N2280="131",O2280="131"),H2280='131-CT'!$H$9),"x","")</f>
        <v/>
      </c>
      <c r="Z2280" s="79"/>
      <c r="AA2280" s="79" t="str">
        <f>IF(AND(MONTH(E2280)='IN-NX'!$J$5,'IN-NX'!$D$7=D2280),"x","")</f>
        <v/>
      </c>
      <c r="AB2280" s="79" t="str">
        <f>IF(AND(OR(LEFT(TH!N2280,2)="15",LEFT(TH!O2280,2)="15"),LEFT(TH!O2280,3)&lt;&gt;"111",'152-CT'!$J$8=TH!F2280),"x","")</f>
        <v/>
      </c>
      <c r="AC2280" s="79" t="str">
        <f>IF(AND(OR(LEFT(TH!N2280,2)="15",LEFT(TH!O2280,2)="15"),TK!$E$7=TH!F2280),"x","")</f>
        <v/>
      </c>
      <c r="AD2280" s="79" t="str">
        <f>IF(AND(N2280="1521",MONTH(C2280)='BK-NL'!$M$11),"x","")</f>
        <v/>
      </c>
    </row>
    <row r="2281" spans="1:30" ht="16.5" customHeight="1">
      <c r="A2281" s="318" t="str">
        <f>IF(B2281&lt;&gt;"",IF(AND(B2281='IN-TC'!$S$4,OR(TH!N2281="1111",TH!O2281="1111")),TH!D2281,""),"")</f>
        <v/>
      </c>
      <c r="B2281" s="60" t="str">
        <f t="shared" si="238"/>
        <v/>
      </c>
      <c r="C2281" s="974"/>
      <c r="D2281" s="301"/>
      <c r="E2281" s="301"/>
      <c r="F2281" s="1162"/>
      <c r="G2281" s="968"/>
      <c r="H2281" s="303"/>
      <c r="I2281" s="385"/>
      <c r="J2281" s="969"/>
      <c r="K2281" s="385"/>
      <c r="L2281" s="392"/>
      <c r="M2281" s="970"/>
      <c r="N2281" s="304"/>
      <c r="O2281" s="304"/>
      <c r="P2281" s="79" t="str">
        <f>IF(AND('331-CT'!$E$7=TH!H2281,OR(N2281="331",O2281="331")),"x","")</f>
        <v/>
      </c>
      <c r="Q2281" s="79" t="str">
        <f>IF(AND(B2281='111'!$L$11,OR($N2281=$Q$7,$O2281=$Q$7)),"x","")</f>
        <v/>
      </c>
      <c r="R2281" s="79" t="str">
        <f>IF(AND($N2281=$Q$7,$B2281&lt;'111'!$L$11),"x","")</f>
        <v/>
      </c>
      <c r="S2281" s="79" t="str">
        <f>IF(AND($O2281=$Q$7,$B2281&lt;'111'!$L$11),"x","")</f>
        <v/>
      </c>
      <c r="T2281" s="79" t="str">
        <f>IF(ISERROR(FIND('112'!$M$9,G2281,1)),"",IF((AND(FIND('112'!$M$9,G2281,1)&gt;=1,B2281='112'!$K$9,OR($N2281='112'!$I$6,$O2281='112'!$I$6))),"x",""))</f>
        <v/>
      </c>
      <c r="U2281" s="79" t="str">
        <f>IF(ISERROR(FIND('112'!$M$9,G2281,1)),"",IF((AND(LEFT(G2281,2)=LEFT('112'!$M$9,2),B2281&lt;'112'!$K$9,$N2281='112'!$I$6)),"x",""))</f>
        <v/>
      </c>
      <c r="V2281" s="79" t="str">
        <f>IF(ISERROR(FIND('112'!$M$9,G2281,1)),"",IF((AND(RIGHT(G2281,2)=RIGHT('112'!$M$9,2),B2281&lt;'112'!$K$9,$O2281='112'!$I$6)),"x",""))</f>
        <v/>
      </c>
      <c r="W2281" s="79" t="str">
        <f>IF(AND('341-CT'!$H$9=H2281,OR(LEFT(N2281,3)=$W$7,LEFT(O2281,3)=$W$7)),"x","")</f>
        <v/>
      </c>
      <c r="X2281" s="79" t="str">
        <f>IF(OR(TH!N2281=TH!$X$7,O2281=TH!$X$7),"x","")</f>
        <v/>
      </c>
      <c r="Y2281" s="79" t="str">
        <f>IF(AND(OR(N2281="131",O2281="131"),H2281='131-CT'!$H$9),"x","")</f>
        <v/>
      </c>
      <c r="Z2281" s="79"/>
      <c r="AA2281" s="79" t="str">
        <f>IF(AND(MONTH(E2281)='IN-NX'!$J$5,'IN-NX'!$D$7=D2281),"x","")</f>
        <v/>
      </c>
      <c r="AB2281" s="79" t="str">
        <f>IF(AND(OR(LEFT(TH!N2281,2)="15",LEFT(TH!O2281,2)="15"),LEFT(TH!O2281,3)&lt;&gt;"111",'152-CT'!$J$8=TH!F2281),"x","")</f>
        <v/>
      </c>
      <c r="AC2281" s="79" t="str">
        <f>IF(AND(OR(LEFT(TH!N2281,2)="15",LEFT(TH!O2281,2)="15"),TK!$E$7=TH!F2281),"x","")</f>
        <v/>
      </c>
      <c r="AD2281" s="79" t="str">
        <f>IF(AND(N2281="1521",MONTH(C2281)='BK-NL'!$M$11),"x","")</f>
        <v/>
      </c>
    </row>
    <row r="2282" spans="1:30" ht="16.5" customHeight="1">
      <c r="A2282" s="318" t="str">
        <f>IF(B2282&lt;&gt;"",IF(AND(B2282='IN-TC'!$S$4,OR(TH!N2282="1111",TH!O2282="1111")),TH!D2282,""),"")</f>
        <v/>
      </c>
      <c r="B2282" s="60" t="str">
        <f t="shared" si="238"/>
        <v/>
      </c>
      <c r="C2282" s="974"/>
      <c r="D2282" s="301"/>
      <c r="E2282" s="301"/>
      <c r="F2282" s="1162"/>
      <c r="G2282" s="968"/>
      <c r="H2282" s="303"/>
      <c r="I2282" s="385"/>
      <c r="J2282" s="969"/>
      <c r="K2282" s="385"/>
      <c r="L2282" s="392"/>
      <c r="M2282" s="970"/>
      <c r="N2282" s="304"/>
      <c r="O2282" s="304"/>
      <c r="P2282" s="79" t="str">
        <f>IF(AND('331-CT'!$E$7=TH!H2282,OR(N2282="331",O2282="331")),"x","")</f>
        <v/>
      </c>
      <c r="Q2282" s="79" t="str">
        <f>IF(AND(B2282='111'!$L$11,OR($N2282=$Q$7,$O2282=$Q$7)),"x","")</f>
        <v/>
      </c>
      <c r="R2282" s="79" t="str">
        <f>IF(AND($N2282=$Q$7,$B2282&lt;'111'!$L$11),"x","")</f>
        <v/>
      </c>
      <c r="S2282" s="79" t="str">
        <f>IF(AND($O2282=$Q$7,$B2282&lt;'111'!$L$11),"x","")</f>
        <v/>
      </c>
      <c r="T2282" s="79" t="str">
        <f>IF(ISERROR(FIND('112'!$M$9,G2282,1)),"",IF((AND(FIND('112'!$M$9,G2282,1)&gt;=1,B2282='112'!$K$9,OR($N2282='112'!$I$6,$O2282='112'!$I$6))),"x",""))</f>
        <v/>
      </c>
      <c r="U2282" s="79" t="str">
        <f>IF(ISERROR(FIND('112'!$M$9,G2282,1)),"",IF((AND(LEFT(G2282,2)=LEFT('112'!$M$9,2),B2282&lt;'112'!$K$9,$N2282='112'!$I$6)),"x",""))</f>
        <v/>
      </c>
      <c r="V2282" s="79" t="str">
        <f>IF(ISERROR(FIND('112'!$M$9,G2282,1)),"",IF((AND(RIGHT(G2282,2)=RIGHT('112'!$M$9,2),B2282&lt;'112'!$K$9,$O2282='112'!$I$6)),"x",""))</f>
        <v/>
      </c>
      <c r="W2282" s="79" t="str">
        <f>IF(AND('341-CT'!$H$9=H2282,OR(LEFT(N2282,3)=$W$7,LEFT(O2282,3)=$W$7)),"x","")</f>
        <v/>
      </c>
      <c r="X2282" s="79" t="str">
        <f>IF(OR(TH!N2282=TH!$X$7,O2282=TH!$X$7),"x","")</f>
        <v/>
      </c>
      <c r="Y2282" s="79" t="str">
        <f>IF(AND(OR(N2282="131",O2282="131"),H2282='131-CT'!$H$9),"x","")</f>
        <v/>
      </c>
      <c r="Z2282" s="79"/>
      <c r="AA2282" s="79" t="str">
        <f>IF(AND(MONTH(E2282)='IN-NX'!$J$5,'IN-NX'!$D$7=D2282),"x","")</f>
        <v/>
      </c>
      <c r="AB2282" s="79" t="str">
        <f>IF(AND(OR(LEFT(TH!N2282,2)="15",LEFT(TH!O2282,2)="15"),LEFT(TH!O2282,3)&lt;&gt;"111",'152-CT'!$J$8=TH!F2282),"x","")</f>
        <v/>
      </c>
      <c r="AC2282" s="79" t="str">
        <f>IF(AND(OR(LEFT(TH!N2282,2)="15",LEFT(TH!O2282,2)="15"),TK!$E$7=TH!F2282),"x","")</f>
        <v/>
      </c>
      <c r="AD2282" s="79" t="str">
        <f>IF(AND(N2282="1521",MONTH(C2282)='BK-NL'!$M$11),"x","")</f>
        <v/>
      </c>
    </row>
    <row r="2283" spans="1:30" ht="16.5" customHeight="1">
      <c r="A2283" s="318" t="str">
        <f>IF(B2283&lt;&gt;"",IF(AND(B2283='IN-TC'!$S$4,OR(TH!N2283="1111",TH!O2283="1111")),TH!D2283,""),"")</f>
        <v/>
      </c>
      <c r="B2283" s="60" t="str">
        <f t="shared" si="238"/>
        <v/>
      </c>
      <c r="C2283" s="301"/>
      <c r="D2283" s="301"/>
      <c r="E2283" s="301"/>
      <c r="F2283" s="1261"/>
      <c r="G2283" s="968"/>
      <c r="H2283" s="321"/>
      <c r="I2283" s="385"/>
      <c r="J2283" s="969"/>
      <c r="K2283" s="385"/>
      <c r="L2283" s="392"/>
      <c r="M2283" s="970"/>
      <c r="N2283" s="304"/>
      <c r="O2283" s="304"/>
      <c r="P2283" s="79" t="str">
        <f>IF(AND('331-CT'!$E$7=TH!H2283,OR(N2283="331",O2283="331")),"x","")</f>
        <v/>
      </c>
      <c r="Q2283" s="79" t="str">
        <f>IF(AND(B2283='111'!$L$11,OR($N2283=$Q$7,$O2283=$Q$7)),"x","")</f>
        <v/>
      </c>
      <c r="R2283" s="79" t="str">
        <f>IF(AND($N2283=$Q$7,$B2283&lt;'111'!$L$11),"x","")</f>
        <v/>
      </c>
      <c r="S2283" s="79" t="str">
        <f>IF(AND($O2283=$Q$7,$B2283&lt;'111'!$L$11),"x","")</f>
        <v/>
      </c>
      <c r="T2283" s="79" t="str">
        <f>IF(ISERROR(FIND('112'!$M$9,G2283,1)),"",IF((AND(FIND('112'!$M$9,G2283,1)&gt;=1,B2283='112'!$K$9,OR($N2283='112'!$I$6,$O2283='112'!$I$6))),"x",""))</f>
        <v/>
      </c>
      <c r="U2283" s="79" t="str">
        <f>IF(ISERROR(FIND('112'!$M$9,G2283,1)),"",IF((AND(LEFT(G2283,2)=LEFT('112'!$M$9,2),B2283&lt;'112'!$K$9,$N2283='112'!$I$6)),"x",""))</f>
        <v/>
      </c>
      <c r="V2283" s="79" t="str">
        <f>IF(ISERROR(FIND('112'!$M$9,G2283,1)),"",IF((AND(RIGHT(G2283,2)=RIGHT('112'!$M$9,2),B2283&lt;'112'!$K$9,$O2283='112'!$I$6)),"x",""))</f>
        <v/>
      </c>
      <c r="W2283" s="79" t="str">
        <f>IF(AND('341-CT'!$H$9=H2283,OR(LEFT(N2283,3)=$W$7,LEFT(O2283,3)=$W$7)),"x","")</f>
        <v/>
      </c>
      <c r="X2283" s="79" t="str">
        <f>IF(OR(TH!N2283=TH!$X$7,O2283=TH!$X$7),"x","")</f>
        <v/>
      </c>
      <c r="Y2283" s="79" t="str">
        <f>IF(AND(OR(N2283="131",O2283="131"),H2283='131-CT'!$H$9),"x","")</f>
        <v/>
      </c>
      <c r="Z2283" s="79"/>
      <c r="AA2283" s="79" t="str">
        <f>IF(AND(MONTH(E2283)='IN-NX'!$J$5,'IN-NX'!$D$7=D2283),"x","")</f>
        <v/>
      </c>
      <c r="AB2283" s="79" t="str">
        <f>IF(AND(OR(LEFT(TH!N2283,2)="15",LEFT(TH!O2283,2)="15"),LEFT(TH!O2283,3)&lt;&gt;"111",'152-CT'!$J$8=TH!F2283),"x","")</f>
        <v/>
      </c>
      <c r="AC2283" s="79" t="str">
        <f>IF(AND(OR(LEFT(TH!N2283,2)="15",LEFT(TH!O2283,2)="15"),TK!$E$7=TH!F2283),"x","")</f>
        <v/>
      </c>
      <c r="AD2283" s="79" t="str">
        <f>IF(AND(N2283="1521",MONTH(C2283)='BK-NL'!$M$11),"x","")</f>
        <v/>
      </c>
    </row>
    <row r="2284" spans="1:30" ht="16.5" customHeight="1">
      <c r="A2284" s="318" t="str">
        <f>IF(B2284&lt;&gt;"",IF(AND(B2284='IN-TC'!$S$4,OR(TH!N2284="1111",TH!O2284="1111")),TH!D2284,""),"")</f>
        <v/>
      </c>
      <c r="B2284" s="60" t="str">
        <f t="shared" si="238"/>
        <v/>
      </c>
      <c r="C2284" s="301"/>
      <c r="D2284" s="301"/>
      <c r="E2284" s="301"/>
      <c r="F2284" s="1261"/>
      <c r="G2284" s="968"/>
      <c r="H2284" s="321"/>
      <c r="I2284" s="385"/>
      <c r="J2284" s="969"/>
      <c r="K2284" s="385"/>
      <c r="L2284" s="392"/>
      <c r="M2284" s="970"/>
      <c r="N2284" s="304"/>
      <c r="O2284" s="304"/>
      <c r="P2284" s="79" t="str">
        <f>IF(AND('331-CT'!$E$7=TH!H2284,OR(N2284="331",O2284="331")),"x","")</f>
        <v/>
      </c>
      <c r="Q2284" s="79" t="str">
        <f>IF(AND(B2284='111'!$L$11,OR($N2284=$Q$7,$O2284=$Q$7)),"x","")</f>
        <v/>
      </c>
      <c r="R2284" s="79" t="str">
        <f>IF(AND($N2284=$Q$7,$B2284&lt;'111'!$L$11),"x","")</f>
        <v/>
      </c>
      <c r="S2284" s="79" t="str">
        <f>IF(AND($O2284=$Q$7,$B2284&lt;'111'!$L$11),"x","")</f>
        <v/>
      </c>
      <c r="T2284" s="79" t="str">
        <f>IF(ISERROR(FIND('112'!$M$9,G2284,1)),"",IF((AND(FIND('112'!$M$9,G2284,1)&gt;=1,B2284='112'!$K$9,OR($N2284='112'!$I$6,$O2284='112'!$I$6))),"x",""))</f>
        <v/>
      </c>
      <c r="U2284" s="79" t="str">
        <f>IF(ISERROR(FIND('112'!$M$9,G2284,1)),"",IF((AND(LEFT(G2284,2)=LEFT('112'!$M$9,2),B2284&lt;'112'!$K$9,$N2284='112'!$I$6)),"x",""))</f>
        <v/>
      </c>
      <c r="V2284" s="79" t="str">
        <f>IF(ISERROR(FIND('112'!$M$9,G2284,1)),"",IF((AND(RIGHT(G2284,2)=RIGHT('112'!$M$9,2),B2284&lt;'112'!$K$9,$O2284='112'!$I$6)),"x",""))</f>
        <v/>
      </c>
      <c r="W2284" s="79" t="str">
        <f>IF(AND('341-CT'!$H$9=H2284,OR(LEFT(N2284,3)=$W$7,LEFT(O2284,3)=$W$7)),"x","")</f>
        <v/>
      </c>
      <c r="X2284" s="79" t="str">
        <f>IF(OR(TH!N2284=TH!$X$7,O2284=TH!$X$7),"x","")</f>
        <v/>
      </c>
      <c r="Y2284" s="79" t="str">
        <f>IF(AND(OR(N2284="131",O2284="131"),H2284='131-CT'!$H$9),"x","")</f>
        <v/>
      </c>
      <c r="Z2284" s="79"/>
      <c r="AA2284" s="79" t="str">
        <f>IF(AND(MONTH(E2284)='IN-NX'!$J$5,'IN-NX'!$D$7=D2284),"x","")</f>
        <v/>
      </c>
      <c r="AB2284" s="79" t="str">
        <f>IF(AND(OR(LEFT(TH!N2284,2)="15",LEFT(TH!O2284,2)="15"),LEFT(TH!O2284,3)&lt;&gt;"111",'152-CT'!$J$8=TH!F2284),"x","")</f>
        <v/>
      </c>
      <c r="AC2284" s="79" t="str">
        <f>IF(AND(OR(LEFT(TH!N2284,2)="15",LEFT(TH!O2284,2)="15"),TK!$E$7=TH!F2284),"x","")</f>
        <v/>
      </c>
      <c r="AD2284" s="79" t="str">
        <f>IF(AND(N2284="1521",MONTH(C2284)='BK-NL'!$M$11),"x","")</f>
        <v/>
      </c>
    </row>
    <row r="2285" spans="1:30" ht="16.5" customHeight="1">
      <c r="A2285" s="318" t="str">
        <f>IF(B2285&lt;&gt;"",IF(AND(B2285='IN-TC'!$S$4,OR(TH!N2285="1111",TH!O2285="1111")),TH!D2285,""),"")</f>
        <v/>
      </c>
      <c r="B2285" s="60" t="str">
        <f t="shared" si="238"/>
        <v/>
      </c>
      <c r="C2285" s="301"/>
      <c r="D2285" s="301"/>
      <c r="E2285" s="301"/>
      <c r="F2285" s="1261"/>
      <c r="G2285" s="968"/>
      <c r="H2285" s="321"/>
      <c r="I2285" s="385"/>
      <c r="J2285" s="969"/>
      <c r="K2285" s="385"/>
      <c r="L2285" s="392"/>
      <c r="M2285" s="970"/>
      <c r="N2285" s="304"/>
      <c r="O2285" s="304"/>
      <c r="P2285" s="79" t="str">
        <f>IF(AND('331-CT'!$E$7=TH!H2285,OR(N2285="331",O2285="331")),"x","")</f>
        <v/>
      </c>
      <c r="Q2285" s="79" t="str">
        <f>IF(AND(B2285='111'!$L$11,OR($N2285=$Q$7,$O2285=$Q$7)),"x","")</f>
        <v/>
      </c>
      <c r="R2285" s="79" t="str">
        <f>IF(AND($N2285=$Q$7,$B2285&lt;'111'!$L$11),"x","")</f>
        <v/>
      </c>
      <c r="S2285" s="79" t="str">
        <f>IF(AND($O2285=$Q$7,$B2285&lt;'111'!$L$11),"x","")</f>
        <v/>
      </c>
      <c r="T2285" s="79" t="str">
        <f>IF(ISERROR(FIND('112'!$M$9,G2285,1)),"",IF((AND(FIND('112'!$M$9,G2285,1)&gt;=1,B2285='112'!$K$9,OR($N2285='112'!$I$6,$O2285='112'!$I$6))),"x",""))</f>
        <v/>
      </c>
      <c r="U2285" s="79" t="str">
        <f>IF(ISERROR(FIND('112'!$M$9,G2285,1)),"",IF((AND(LEFT(G2285,2)=LEFT('112'!$M$9,2),B2285&lt;'112'!$K$9,$N2285='112'!$I$6)),"x",""))</f>
        <v/>
      </c>
      <c r="V2285" s="79" t="str">
        <f>IF(ISERROR(FIND('112'!$M$9,G2285,1)),"",IF((AND(RIGHT(G2285,2)=RIGHT('112'!$M$9,2),B2285&lt;'112'!$K$9,$O2285='112'!$I$6)),"x",""))</f>
        <v/>
      </c>
      <c r="W2285" s="79" t="str">
        <f>IF(AND('341-CT'!$H$9=H2285,OR(LEFT(N2285,3)=$W$7,LEFT(O2285,3)=$W$7)),"x","")</f>
        <v/>
      </c>
      <c r="X2285" s="79" t="str">
        <f>IF(OR(TH!N2285=TH!$X$7,O2285=TH!$X$7),"x","")</f>
        <v/>
      </c>
      <c r="Y2285" s="79" t="str">
        <f>IF(AND(OR(N2285="131",O2285="131"),H2285='131-CT'!$H$9),"x","")</f>
        <v/>
      </c>
      <c r="Z2285" s="79"/>
      <c r="AA2285" s="79" t="str">
        <f>IF(AND(MONTH(E2285)='IN-NX'!$J$5,'IN-NX'!$D$7=D2285),"x","")</f>
        <v/>
      </c>
      <c r="AB2285" s="79" t="str">
        <f>IF(AND(OR(LEFT(TH!N2285,2)="15",LEFT(TH!O2285,2)="15"),LEFT(TH!O2285,3)&lt;&gt;"111",'152-CT'!$J$8=TH!F2285),"x","")</f>
        <v/>
      </c>
      <c r="AC2285" s="79" t="str">
        <f>IF(AND(OR(LEFT(TH!N2285,2)="15",LEFT(TH!O2285,2)="15"),TK!$E$7=TH!F2285),"x","")</f>
        <v/>
      </c>
      <c r="AD2285" s="79" t="str">
        <f>IF(AND(N2285="1521",MONTH(C2285)='BK-NL'!$M$11),"x","")</f>
        <v/>
      </c>
    </row>
    <row r="2286" spans="1:30" ht="16.5" customHeight="1">
      <c r="A2286" s="318" t="str">
        <f>IF(B2286&lt;&gt;"",IF(AND(B2286='IN-TC'!$S$4,OR(TH!N2286="1111",TH!O2286="1111")),TH!D2286,""),"")</f>
        <v/>
      </c>
      <c r="B2286" s="60" t="str">
        <f t="shared" si="238"/>
        <v/>
      </c>
      <c r="C2286" s="301"/>
      <c r="D2286" s="301"/>
      <c r="E2286" s="301"/>
      <c r="F2286" s="1261"/>
      <c r="G2286" s="968"/>
      <c r="H2286" s="321"/>
      <c r="I2286" s="385"/>
      <c r="J2286" s="969"/>
      <c r="K2286" s="385"/>
      <c r="L2286" s="392"/>
      <c r="M2286" s="970"/>
      <c r="N2286" s="304"/>
      <c r="O2286" s="304"/>
      <c r="P2286" s="79" t="str">
        <f>IF(AND('331-CT'!$E$7=TH!H2286,OR(N2286="331",O2286="331")),"x","")</f>
        <v/>
      </c>
      <c r="Q2286" s="79" t="str">
        <f>IF(AND(B2286='111'!$L$11,OR($N2286=$Q$7,$O2286=$Q$7)),"x","")</f>
        <v/>
      </c>
      <c r="R2286" s="79" t="str">
        <f>IF(AND($N2286=$Q$7,$B2286&lt;'111'!$L$11),"x","")</f>
        <v/>
      </c>
      <c r="S2286" s="79" t="str">
        <f>IF(AND($O2286=$Q$7,$B2286&lt;'111'!$L$11),"x","")</f>
        <v/>
      </c>
      <c r="T2286" s="79" t="str">
        <f>IF(ISERROR(FIND('112'!$M$9,G2286,1)),"",IF((AND(FIND('112'!$M$9,G2286,1)&gt;=1,B2286='112'!$K$9,OR($N2286='112'!$I$6,$O2286='112'!$I$6))),"x",""))</f>
        <v/>
      </c>
      <c r="U2286" s="79" t="str">
        <f>IF(ISERROR(FIND('112'!$M$9,G2286,1)),"",IF((AND(LEFT(G2286,2)=LEFT('112'!$M$9,2),B2286&lt;'112'!$K$9,$N2286='112'!$I$6)),"x",""))</f>
        <v/>
      </c>
      <c r="V2286" s="79" t="str">
        <f>IF(ISERROR(FIND('112'!$M$9,G2286,1)),"",IF((AND(RIGHT(G2286,2)=RIGHT('112'!$M$9,2),B2286&lt;'112'!$K$9,$O2286='112'!$I$6)),"x",""))</f>
        <v/>
      </c>
      <c r="W2286" s="79" t="str">
        <f>IF(AND('341-CT'!$H$9=H2286,OR(LEFT(N2286,3)=$W$7,LEFT(O2286,3)=$W$7)),"x","")</f>
        <v/>
      </c>
      <c r="X2286" s="79" t="str">
        <f>IF(OR(TH!N2286=TH!$X$7,O2286=TH!$X$7),"x","")</f>
        <v/>
      </c>
      <c r="Y2286" s="79" t="str">
        <f>IF(AND(OR(N2286="131",O2286="131"),H2286='131-CT'!$H$9),"x","")</f>
        <v/>
      </c>
      <c r="Z2286" s="79"/>
      <c r="AA2286" s="79" t="str">
        <f>IF(AND(MONTH(E2286)='IN-NX'!$J$5,'IN-NX'!$D$7=D2286),"x","")</f>
        <v/>
      </c>
      <c r="AB2286" s="79" t="str">
        <f>IF(AND(OR(LEFT(TH!N2286,2)="15",LEFT(TH!O2286,2)="15"),LEFT(TH!O2286,3)&lt;&gt;"111",'152-CT'!$J$8=TH!F2286),"x","")</f>
        <v/>
      </c>
      <c r="AC2286" s="79" t="str">
        <f>IF(AND(OR(LEFT(TH!N2286,2)="15",LEFT(TH!O2286,2)="15"),TK!$E$7=TH!F2286),"x","")</f>
        <v/>
      </c>
      <c r="AD2286" s="79" t="str">
        <f>IF(AND(N2286="1521",MONTH(C2286)='BK-NL'!$M$11),"x","")</f>
        <v/>
      </c>
    </row>
    <row r="2287" spans="1:30" ht="16.5" customHeight="1">
      <c r="A2287" s="318" t="str">
        <f>IF(B2287&lt;&gt;"",IF(AND(B2287='IN-TC'!$S$4,OR(TH!N2287="1111",TH!O2287="1111")),TH!D2287,""),"")</f>
        <v/>
      </c>
      <c r="B2287" s="60" t="str">
        <f t="shared" si="238"/>
        <v/>
      </c>
      <c r="C2287" s="301"/>
      <c r="D2287" s="301"/>
      <c r="E2287" s="301"/>
      <c r="F2287" s="1261"/>
      <c r="G2287" s="968"/>
      <c r="H2287" s="321"/>
      <c r="I2287" s="385"/>
      <c r="J2287" s="969"/>
      <c r="K2287" s="385"/>
      <c r="L2287" s="392"/>
      <c r="M2287" s="970"/>
      <c r="N2287" s="304"/>
      <c r="O2287" s="304"/>
      <c r="P2287" s="79" t="str">
        <f>IF(AND('331-CT'!$E$7=TH!H2287,OR(N2287="331",O2287="331")),"x","")</f>
        <v/>
      </c>
      <c r="Q2287" s="79" t="str">
        <f>IF(AND(B2287='111'!$L$11,OR($N2287=$Q$7,$O2287=$Q$7)),"x","")</f>
        <v/>
      </c>
      <c r="R2287" s="79" t="str">
        <f>IF(AND($N2287=$Q$7,$B2287&lt;'111'!$L$11),"x","")</f>
        <v/>
      </c>
      <c r="S2287" s="79" t="str">
        <f>IF(AND($O2287=$Q$7,$B2287&lt;'111'!$L$11),"x","")</f>
        <v/>
      </c>
      <c r="T2287" s="79" t="str">
        <f>IF(ISERROR(FIND('112'!$M$9,G2287,1)),"",IF((AND(FIND('112'!$M$9,G2287,1)&gt;=1,B2287='112'!$K$9,OR($N2287='112'!$I$6,$O2287='112'!$I$6))),"x",""))</f>
        <v/>
      </c>
      <c r="U2287" s="79" t="str">
        <f>IF(ISERROR(FIND('112'!$M$9,G2287,1)),"",IF((AND(LEFT(G2287,2)=LEFT('112'!$M$9,2),B2287&lt;'112'!$K$9,$N2287='112'!$I$6)),"x",""))</f>
        <v/>
      </c>
      <c r="V2287" s="79" t="str">
        <f>IF(ISERROR(FIND('112'!$M$9,G2287,1)),"",IF((AND(RIGHT(G2287,2)=RIGHT('112'!$M$9,2),B2287&lt;'112'!$K$9,$O2287='112'!$I$6)),"x",""))</f>
        <v/>
      </c>
      <c r="W2287" s="79" t="str">
        <f>IF(AND('341-CT'!$H$9=H2287,OR(LEFT(N2287,3)=$W$7,LEFT(O2287,3)=$W$7)),"x","")</f>
        <v/>
      </c>
      <c r="X2287" s="79" t="str">
        <f>IF(OR(TH!N2287=TH!$X$7,O2287=TH!$X$7),"x","")</f>
        <v/>
      </c>
      <c r="Y2287" s="79" t="str">
        <f>IF(AND(OR(N2287="131",O2287="131"),H2287='131-CT'!$H$9),"x","")</f>
        <v/>
      </c>
      <c r="Z2287" s="79"/>
      <c r="AA2287" s="79" t="str">
        <f>IF(AND(MONTH(E2287)='IN-NX'!$J$5,'IN-NX'!$D$7=D2287),"x","")</f>
        <v/>
      </c>
      <c r="AB2287" s="79" t="str">
        <f>IF(AND(OR(LEFT(TH!N2287,2)="15",LEFT(TH!O2287,2)="15"),LEFT(TH!O2287,3)&lt;&gt;"111",'152-CT'!$J$8=TH!F2287),"x","")</f>
        <v/>
      </c>
      <c r="AC2287" s="79" t="str">
        <f>IF(AND(OR(LEFT(TH!N2287,2)="15",LEFT(TH!O2287,2)="15"),TK!$E$7=TH!F2287),"x","")</f>
        <v/>
      </c>
      <c r="AD2287" s="79" t="str">
        <f>IF(AND(N2287="1521",MONTH(C2287)='BK-NL'!$M$11),"x","")</f>
        <v/>
      </c>
    </row>
    <row r="2288" spans="1:30" ht="16.5" customHeight="1">
      <c r="A2288" s="318" t="str">
        <f>IF(B2288&lt;&gt;"",IF(AND(B2288='IN-TC'!$S$4,OR(TH!N2288="1111",TH!O2288="1111")),TH!D2288,""),"")</f>
        <v/>
      </c>
      <c r="B2288" s="60" t="str">
        <f t="shared" si="238"/>
        <v/>
      </c>
      <c r="C2288" s="301"/>
      <c r="D2288" s="301"/>
      <c r="E2288" s="301"/>
      <c r="F2288" s="1261"/>
      <c r="G2288" s="968"/>
      <c r="H2288" s="321"/>
      <c r="I2288" s="385"/>
      <c r="J2288" s="969"/>
      <c r="K2288" s="385"/>
      <c r="L2288" s="392"/>
      <c r="M2288" s="970"/>
      <c r="N2288" s="304"/>
      <c r="O2288" s="304"/>
      <c r="P2288" s="79" t="str">
        <f>IF(AND('331-CT'!$E$7=TH!H2288,OR(N2288="331",O2288="331")),"x","")</f>
        <v/>
      </c>
      <c r="Q2288" s="79" t="str">
        <f>IF(AND(B2288='111'!$L$11,OR($N2288=$Q$7,$O2288=$Q$7)),"x","")</f>
        <v/>
      </c>
      <c r="R2288" s="79" t="str">
        <f>IF(AND($N2288=$Q$7,$B2288&lt;'111'!$L$11),"x","")</f>
        <v/>
      </c>
      <c r="S2288" s="79" t="str">
        <f>IF(AND($O2288=$Q$7,$B2288&lt;'111'!$L$11),"x","")</f>
        <v/>
      </c>
      <c r="T2288" s="79" t="str">
        <f>IF(ISERROR(FIND('112'!$M$9,G2288,1)),"",IF((AND(FIND('112'!$M$9,G2288,1)&gt;=1,B2288='112'!$K$9,OR($N2288='112'!$I$6,$O2288='112'!$I$6))),"x",""))</f>
        <v/>
      </c>
      <c r="U2288" s="79" t="str">
        <f>IF(ISERROR(FIND('112'!$M$9,G2288,1)),"",IF((AND(LEFT(G2288,2)=LEFT('112'!$M$9,2),B2288&lt;'112'!$K$9,$N2288='112'!$I$6)),"x",""))</f>
        <v/>
      </c>
      <c r="V2288" s="79" t="str">
        <f>IF(ISERROR(FIND('112'!$M$9,G2288,1)),"",IF((AND(RIGHT(G2288,2)=RIGHT('112'!$M$9,2),B2288&lt;'112'!$K$9,$O2288='112'!$I$6)),"x",""))</f>
        <v/>
      </c>
      <c r="W2288" s="79" t="str">
        <f>IF(AND('341-CT'!$H$9=H2288,OR(LEFT(N2288,3)=$W$7,LEFT(O2288,3)=$W$7)),"x","")</f>
        <v/>
      </c>
      <c r="X2288" s="79" t="str">
        <f>IF(OR(TH!N2288=TH!$X$7,O2288=TH!$X$7),"x","")</f>
        <v/>
      </c>
      <c r="Y2288" s="79" t="str">
        <f>IF(AND(OR(N2288="131",O2288="131"),H2288='131-CT'!$H$9),"x","")</f>
        <v/>
      </c>
      <c r="Z2288" s="79"/>
      <c r="AA2288" s="79" t="str">
        <f>IF(AND(MONTH(E2288)='IN-NX'!$J$5,'IN-NX'!$D$7=D2288),"x","")</f>
        <v/>
      </c>
      <c r="AB2288" s="79" t="str">
        <f>IF(AND(OR(LEFT(TH!N2288,2)="15",LEFT(TH!O2288,2)="15"),LEFT(TH!O2288,3)&lt;&gt;"111",'152-CT'!$J$8=TH!F2288),"x","")</f>
        <v/>
      </c>
      <c r="AC2288" s="79" t="str">
        <f>IF(AND(OR(LEFT(TH!N2288,2)="15",LEFT(TH!O2288,2)="15"),TK!$E$7=TH!F2288),"x","")</f>
        <v/>
      </c>
      <c r="AD2288" s="79" t="str">
        <f>IF(AND(N2288="1521",MONTH(C2288)='BK-NL'!$M$11),"x","")</f>
        <v/>
      </c>
    </row>
    <row r="2289" spans="1:30" ht="16.5" customHeight="1">
      <c r="A2289" s="318" t="str">
        <f>IF(B2289&lt;&gt;"",IF(AND(B2289='IN-TC'!$S$4,OR(TH!N2289="1111",TH!O2289="1111")),TH!D2289,""),"")</f>
        <v/>
      </c>
      <c r="B2289" s="60" t="str">
        <f t="shared" si="238"/>
        <v/>
      </c>
      <c r="C2289" s="301"/>
      <c r="D2289" s="301"/>
      <c r="E2289" s="301"/>
      <c r="F2289" s="1261"/>
      <c r="G2289" s="968"/>
      <c r="H2289" s="321"/>
      <c r="I2289" s="385"/>
      <c r="J2289" s="969"/>
      <c r="K2289" s="385"/>
      <c r="L2289" s="392"/>
      <c r="M2289" s="970"/>
      <c r="N2289" s="304"/>
      <c r="O2289" s="304"/>
      <c r="P2289" s="79" t="str">
        <f>IF(AND('331-CT'!$E$7=TH!H2289,OR(N2289="331",O2289="331")),"x","")</f>
        <v/>
      </c>
      <c r="Q2289" s="79" t="str">
        <f>IF(AND(B2289='111'!$L$11,OR($N2289=$Q$7,$O2289=$Q$7)),"x","")</f>
        <v/>
      </c>
      <c r="R2289" s="79" t="str">
        <f>IF(AND($N2289=$Q$7,$B2289&lt;'111'!$L$11),"x","")</f>
        <v/>
      </c>
      <c r="S2289" s="79" t="str">
        <f>IF(AND($O2289=$Q$7,$B2289&lt;'111'!$L$11),"x","")</f>
        <v/>
      </c>
      <c r="T2289" s="79" t="str">
        <f>IF(ISERROR(FIND('112'!$M$9,G2289,1)),"",IF((AND(FIND('112'!$M$9,G2289,1)&gt;=1,B2289='112'!$K$9,OR($N2289='112'!$I$6,$O2289='112'!$I$6))),"x",""))</f>
        <v/>
      </c>
      <c r="U2289" s="79" t="str">
        <f>IF(ISERROR(FIND('112'!$M$9,G2289,1)),"",IF((AND(LEFT(G2289,2)=LEFT('112'!$M$9,2),B2289&lt;'112'!$K$9,$N2289='112'!$I$6)),"x",""))</f>
        <v/>
      </c>
      <c r="V2289" s="79" t="str">
        <f>IF(ISERROR(FIND('112'!$M$9,G2289,1)),"",IF((AND(RIGHT(G2289,2)=RIGHT('112'!$M$9,2),B2289&lt;'112'!$K$9,$O2289='112'!$I$6)),"x",""))</f>
        <v/>
      </c>
      <c r="W2289" s="79" t="str">
        <f>IF(AND('341-CT'!$H$9=H2289,OR(LEFT(N2289,3)=$W$7,LEFT(O2289,3)=$W$7)),"x","")</f>
        <v/>
      </c>
      <c r="X2289" s="79" t="str">
        <f>IF(OR(TH!N2289=TH!$X$7,O2289=TH!$X$7),"x","")</f>
        <v/>
      </c>
      <c r="Y2289" s="79" t="str">
        <f>IF(AND(OR(N2289="131",O2289="131"),H2289='131-CT'!$H$9),"x","")</f>
        <v/>
      </c>
      <c r="Z2289" s="79"/>
      <c r="AA2289" s="79" t="str">
        <f>IF(AND(MONTH(E2289)='IN-NX'!$J$5,'IN-NX'!$D$7=D2289),"x","")</f>
        <v/>
      </c>
      <c r="AB2289" s="79" t="str">
        <f>IF(AND(OR(LEFT(TH!N2289,2)="15",LEFT(TH!O2289,2)="15"),LEFT(TH!O2289,3)&lt;&gt;"111",'152-CT'!$J$8=TH!F2289),"x","")</f>
        <v/>
      </c>
      <c r="AC2289" s="79" t="str">
        <f>IF(AND(OR(LEFT(TH!N2289,2)="15",LEFT(TH!O2289,2)="15"),TK!$E$7=TH!F2289),"x","")</f>
        <v/>
      </c>
      <c r="AD2289" s="79" t="str">
        <f>IF(AND(N2289="1521",MONTH(C2289)='BK-NL'!$M$11),"x","")</f>
        <v/>
      </c>
    </row>
    <row r="2290" spans="1:30" ht="16.5" customHeight="1">
      <c r="A2290" s="318" t="str">
        <f>IF(B2290&lt;&gt;"",IF(AND(B2290='IN-TC'!$S$4,OR(TH!N2290="1111",TH!O2290="1111")),TH!D2290,""),"")</f>
        <v/>
      </c>
      <c r="B2290" s="60" t="str">
        <f t="shared" si="238"/>
        <v/>
      </c>
      <c r="C2290" s="301"/>
      <c r="D2290" s="301"/>
      <c r="E2290" s="301"/>
      <c r="F2290" s="1261"/>
      <c r="G2290" s="968"/>
      <c r="H2290" s="321"/>
      <c r="I2290" s="385"/>
      <c r="J2290" s="969"/>
      <c r="K2290" s="385"/>
      <c r="L2290" s="392"/>
      <c r="M2290" s="970"/>
      <c r="N2290" s="304"/>
      <c r="O2290" s="304"/>
      <c r="P2290" s="79" t="str">
        <f>IF(AND('331-CT'!$E$7=TH!H2290,OR(N2290="331",O2290="331")),"x","")</f>
        <v/>
      </c>
      <c r="Q2290" s="79" t="str">
        <f>IF(AND(B2290='111'!$L$11,OR($N2290=$Q$7,$O2290=$Q$7)),"x","")</f>
        <v/>
      </c>
      <c r="R2290" s="79" t="str">
        <f>IF(AND($N2290=$Q$7,$B2290&lt;'111'!$L$11),"x","")</f>
        <v/>
      </c>
      <c r="S2290" s="79" t="str">
        <f>IF(AND($O2290=$Q$7,$B2290&lt;'111'!$L$11),"x","")</f>
        <v/>
      </c>
      <c r="T2290" s="79" t="str">
        <f>IF(ISERROR(FIND('112'!$M$9,G2290,1)),"",IF((AND(FIND('112'!$M$9,G2290,1)&gt;=1,B2290='112'!$K$9,OR($N2290='112'!$I$6,$O2290='112'!$I$6))),"x",""))</f>
        <v/>
      </c>
      <c r="U2290" s="79" t="str">
        <f>IF(ISERROR(FIND('112'!$M$9,G2290,1)),"",IF((AND(LEFT(G2290,2)=LEFT('112'!$M$9,2),B2290&lt;'112'!$K$9,$N2290='112'!$I$6)),"x",""))</f>
        <v/>
      </c>
      <c r="V2290" s="79" t="str">
        <f>IF(ISERROR(FIND('112'!$M$9,G2290,1)),"",IF((AND(RIGHT(G2290,2)=RIGHT('112'!$M$9,2),B2290&lt;'112'!$K$9,$O2290='112'!$I$6)),"x",""))</f>
        <v/>
      </c>
      <c r="W2290" s="79" t="str">
        <f>IF(AND('341-CT'!$H$9=H2290,OR(LEFT(N2290,3)=$W$7,LEFT(O2290,3)=$W$7)),"x","")</f>
        <v/>
      </c>
      <c r="X2290" s="79" t="str">
        <f>IF(OR(TH!N2290=TH!$X$7,O2290=TH!$X$7),"x","")</f>
        <v/>
      </c>
      <c r="Y2290" s="79" t="str">
        <f>IF(AND(OR(N2290="131",O2290="131"),H2290='131-CT'!$H$9),"x","")</f>
        <v/>
      </c>
      <c r="Z2290" s="79"/>
      <c r="AA2290" s="79" t="str">
        <f>IF(AND(MONTH(E2290)='IN-NX'!$J$5,'IN-NX'!$D$7=D2290),"x","")</f>
        <v/>
      </c>
      <c r="AB2290" s="79" t="str">
        <f>IF(AND(OR(LEFT(TH!N2290,2)="15",LEFT(TH!O2290,2)="15"),LEFT(TH!O2290,3)&lt;&gt;"111",'152-CT'!$J$8=TH!F2290),"x","")</f>
        <v/>
      </c>
      <c r="AC2290" s="79" t="str">
        <f>IF(AND(OR(LEFT(TH!N2290,2)="15",LEFT(TH!O2290,2)="15"),TK!$E$7=TH!F2290),"x","")</f>
        <v/>
      </c>
      <c r="AD2290" s="79" t="str">
        <f>IF(AND(N2290="1521",MONTH(C2290)='BK-NL'!$M$11),"x","")</f>
        <v/>
      </c>
    </row>
    <row r="2291" spans="1:30" ht="16.5" customHeight="1">
      <c r="A2291" s="318" t="str">
        <f>IF(B2291&lt;&gt;"",IF(AND(B2291='IN-TC'!$S$4,OR(TH!N2291="1111",TH!O2291="1111")),TH!D2291,""),"")</f>
        <v/>
      </c>
      <c r="B2291" s="60" t="str">
        <f t="shared" si="238"/>
        <v/>
      </c>
      <c r="C2291" s="301"/>
      <c r="D2291" s="301"/>
      <c r="E2291" s="301"/>
      <c r="F2291" s="1261"/>
      <c r="G2291" s="968"/>
      <c r="H2291" s="321"/>
      <c r="I2291" s="385"/>
      <c r="J2291" s="969"/>
      <c r="K2291" s="385"/>
      <c r="L2291" s="392"/>
      <c r="M2291" s="970"/>
      <c r="N2291" s="304"/>
      <c r="O2291" s="304"/>
      <c r="P2291" s="79" t="str">
        <f>IF(AND('331-CT'!$E$7=TH!H2291,OR(N2291="331",O2291="331")),"x","")</f>
        <v/>
      </c>
      <c r="Q2291" s="79" t="str">
        <f>IF(AND(B2291='111'!$L$11,OR($N2291=$Q$7,$O2291=$Q$7)),"x","")</f>
        <v/>
      </c>
      <c r="R2291" s="79" t="str">
        <f>IF(AND($N2291=$Q$7,$B2291&lt;'111'!$L$11),"x","")</f>
        <v/>
      </c>
      <c r="S2291" s="79" t="str">
        <f>IF(AND($O2291=$Q$7,$B2291&lt;'111'!$L$11),"x","")</f>
        <v/>
      </c>
      <c r="T2291" s="79" t="str">
        <f>IF(ISERROR(FIND('112'!$M$9,G2291,1)),"",IF((AND(FIND('112'!$M$9,G2291,1)&gt;=1,B2291='112'!$K$9,OR($N2291='112'!$I$6,$O2291='112'!$I$6))),"x",""))</f>
        <v/>
      </c>
      <c r="U2291" s="79" t="str">
        <f>IF(ISERROR(FIND('112'!$M$9,G2291,1)),"",IF((AND(LEFT(G2291,2)=LEFT('112'!$M$9,2),B2291&lt;'112'!$K$9,$N2291='112'!$I$6)),"x",""))</f>
        <v/>
      </c>
      <c r="V2291" s="79" t="str">
        <f>IF(ISERROR(FIND('112'!$M$9,G2291,1)),"",IF((AND(RIGHT(G2291,2)=RIGHT('112'!$M$9,2),B2291&lt;'112'!$K$9,$O2291='112'!$I$6)),"x",""))</f>
        <v/>
      </c>
      <c r="W2291" s="79" t="str">
        <f>IF(AND('341-CT'!$H$9=H2291,OR(LEFT(N2291,3)=$W$7,LEFT(O2291,3)=$W$7)),"x","")</f>
        <v/>
      </c>
      <c r="X2291" s="79" t="str">
        <f>IF(OR(TH!N2291=TH!$X$7,O2291=TH!$X$7),"x","")</f>
        <v/>
      </c>
      <c r="Y2291" s="79" t="str">
        <f>IF(AND(OR(N2291="131",O2291="131"),H2291='131-CT'!$H$9),"x","")</f>
        <v/>
      </c>
      <c r="Z2291" s="79"/>
      <c r="AA2291" s="79" t="str">
        <f>IF(AND(MONTH(E2291)='IN-NX'!$J$5,'IN-NX'!$D$7=D2291),"x","")</f>
        <v/>
      </c>
      <c r="AB2291" s="79" t="str">
        <f>IF(AND(OR(LEFT(TH!N2291,2)="15",LEFT(TH!O2291,2)="15"),LEFT(TH!O2291,3)&lt;&gt;"111",'152-CT'!$J$8=TH!F2291),"x","")</f>
        <v/>
      </c>
      <c r="AC2291" s="79" t="str">
        <f>IF(AND(OR(LEFT(TH!N2291,2)="15",LEFT(TH!O2291,2)="15"),TK!$E$7=TH!F2291),"x","")</f>
        <v/>
      </c>
      <c r="AD2291" s="79" t="str">
        <f>IF(AND(N2291="1521",MONTH(C2291)='BK-NL'!$M$11),"x","")</f>
        <v/>
      </c>
    </row>
    <row r="2292" spans="1:30" ht="16.5" customHeight="1">
      <c r="A2292" s="318" t="str">
        <f>IF(B2292&lt;&gt;"",IF(AND(B2292='IN-TC'!$S$4,OR(TH!N2292="1111",TH!O2292="1111")),TH!D2292,""),"")</f>
        <v/>
      </c>
      <c r="B2292" s="60" t="str">
        <f t="shared" si="238"/>
        <v/>
      </c>
      <c r="C2292" s="974"/>
      <c r="D2292" s="301"/>
      <c r="E2292" s="974"/>
      <c r="F2292" s="1161"/>
      <c r="G2292" s="976"/>
      <c r="H2292" s="305"/>
      <c r="I2292" s="383"/>
      <c r="J2292" s="977"/>
      <c r="K2292" s="383"/>
      <c r="L2292" s="390"/>
      <c r="M2292" s="978"/>
      <c r="N2292" s="979"/>
      <c r="O2292" s="979"/>
      <c r="P2292" s="79" t="str">
        <f>IF(AND('331-CT'!$E$7=TH!H2292,OR(N2292="331",O2292="331")),"x","")</f>
        <v/>
      </c>
      <c r="Q2292" s="79" t="str">
        <f>IF(AND(B2292='111'!$L$11,OR($N2292=$Q$7,$O2292=$Q$7)),"x","")</f>
        <v/>
      </c>
      <c r="R2292" s="79" t="str">
        <f>IF(AND($N2292=$Q$7,$B2292&lt;'111'!$L$11),"x","")</f>
        <v/>
      </c>
      <c r="S2292" s="79" t="str">
        <f>IF(AND($O2292=$Q$7,$B2292&lt;'111'!$L$11),"x","")</f>
        <v/>
      </c>
      <c r="T2292" s="79" t="str">
        <f>IF(ISERROR(FIND('112'!$M$9,G2292,1)),"",IF((AND(FIND('112'!$M$9,G2292,1)&gt;=1,B2292='112'!$K$9,OR($N2292='112'!$I$6,$O2292='112'!$I$6))),"x",""))</f>
        <v/>
      </c>
      <c r="U2292" s="79" t="str">
        <f>IF(ISERROR(FIND('112'!$M$9,G2292,1)),"",IF((AND(LEFT(G2292,2)=LEFT('112'!$M$9,2),B2292&lt;'112'!$K$9,$N2292='112'!$I$6)),"x",""))</f>
        <v/>
      </c>
      <c r="V2292" s="79" t="str">
        <f>IF(ISERROR(FIND('112'!$M$9,G2292,1)),"",IF((AND(RIGHT(G2292,2)=RIGHT('112'!$M$9,2),B2292&lt;'112'!$K$9,$O2292='112'!$I$6)),"x",""))</f>
        <v/>
      </c>
      <c r="W2292" s="79" t="str">
        <f>IF(AND('341-CT'!$H$9=H2292,OR(LEFT(N2292,3)=$W$7,LEFT(O2292,3)=$W$7)),"x","")</f>
        <v/>
      </c>
      <c r="X2292" s="79" t="str">
        <f>IF(OR(TH!N2292=TH!$X$7,O2292=TH!$X$7),"x","")</f>
        <v/>
      </c>
      <c r="Y2292" s="79" t="str">
        <f>IF(AND(OR(N2292="131",O2292="131"),H2292='131-CT'!$H$9),"x","")</f>
        <v/>
      </c>
      <c r="Z2292" s="79"/>
      <c r="AA2292" s="79" t="str">
        <f>IF(AND(MONTH(E2292)='IN-NX'!$J$5,'IN-NX'!$D$7=D2292),"x","")</f>
        <v/>
      </c>
      <c r="AB2292" s="79" t="str">
        <f>IF(AND(OR(LEFT(TH!N2292,2)="15",LEFT(TH!O2292,2)="15"),LEFT(TH!O2292,3)&lt;&gt;"111",'152-CT'!$J$8=TH!F2292),"x","")</f>
        <v/>
      </c>
      <c r="AC2292" s="79" t="str">
        <f>IF(AND(OR(LEFT(TH!N2292,2)="15",LEFT(TH!O2292,2)="15"),TK!$E$7=TH!F2292),"x","")</f>
        <v/>
      </c>
      <c r="AD2292" s="79" t="str">
        <f>IF(AND(N2292="1521",MONTH(C2292)='BK-NL'!$M$11),"x","")</f>
        <v/>
      </c>
    </row>
    <row r="2293" spans="1:30" ht="16.5" customHeight="1">
      <c r="A2293" s="318" t="str">
        <f>IF(B2293&lt;&gt;"",IF(AND(B2293='IN-TC'!$S$4,OR(TH!N2293="1111",TH!O2293="1111")),TH!D2293,""),"")</f>
        <v/>
      </c>
      <c r="B2293" s="60" t="str">
        <f t="shared" si="238"/>
        <v/>
      </c>
      <c r="C2293" s="981"/>
      <c r="D2293" s="981"/>
      <c r="E2293" s="981"/>
      <c r="F2293" s="1133"/>
      <c r="G2293" s="1130"/>
      <c r="H2293" s="982"/>
      <c r="I2293" s="984"/>
      <c r="J2293" s="983"/>
      <c r="K2293" s="984"/>
      <c r="L2293" s="983"/>
      <c r="M2293" s="985"/>
      <c r="N2293" s="986"/>
      <c r="O2293" s="986"/>
      <c r="P2293" s="79" t="str">
        <f>IF(AND('331-CT'!$E$7=TH!H2293,OR(N2293="331",O2293="331")),"x","")</f>
        <v/>
      </c>
      <c r="Q2293" s="79" t="str">
        <f>IF(AND(B2293='111'!$L$11,OR($N2293=$Q$7,$O2293=$Q$7)),"x","")</f>
        <v/>
      </c>
      <c r="R2293" s="79" t="str">
        <f>IF(AND($N2293=$Q$7,$B2293&lt;'111'!$L$11),"x","")</f>
        <v/>
      </c>
      <c r="S2293" s="79" t="str">
        <f>IF(AND($O2293=$Q$7,$B2293&lt;'111'!$L$11),"x","")</f>
        <v/>
      </c>
      <c r="T2293" s="79" t="str">
        <f>IF(ISERROR(FIND('112'!$M$9,G2293,1)),"",IF((AND(FIND('112'!$M$9,G2293,1)&gt;=1,B2293='112'!$K$9,OR($N2293='112'!$I$6,$O2293='112'!$I$6))),"x",""))</f>
        <v/>
      </c>
      <c r="U2293" s="79" t="str">
        <f>IF(ISERROR(FIND('112'!$M$9,G2293,1)),"",IF((AND(LEFT(G2293,2)=LEFT('112'!$M$9,2),B2293&lt;'112'!$K$9,$N2293='112'!$I$6)),"x",""))</f>
        <v/>
      </c>
      <c r="V2293" s="79" t="str">
        <f>IF(ISERROR(FIND('112'!$M$9,G2293,1)),"",IF((AND(RIGHT(G2293,2)=RIGHT('112'!$M$9,2),B2293&lt;'112'!$K$9,$O2293='112'!$I$6)),"x",""))</f>
        <v/>
      </c>
      <c r="W2293" s="79" t="str">
        <f>IF(AND('341-CT'!$H$9=H2293,OR(LEFT(N2293,3)=$W$7,LEFT(O2293,3)=$W$7)),"x","")</f>
        <v/>
      </c>
      <c r="X2293" s="79" t="str">
        <f>IF(OR(TH!N2293=TH!$X$7,O2293=TH!$X$7),"x","")</f>
        <v/>
      </c>
      <c r="Y2293" s="79" t="str">
        <f>IF(AND(OR(N2293="131",O2293="131"),H2293='131-CT'!$H$9),"x","")</f>
        <v/>
      </c>
      <c r="Z2293" s="79"/>
      <c r="AA2293" s="79" t="str">
        <f>IF(AND(MONTH(E2293)='IN-NX'!$J$5,'IN-NX'!$D$7=D2293),"x","")</f>
        <v/>
      </c>
      <c r="AB2293" s="79" t="str">
        <f>IF(AND(OR(LEFT(TH!N2293,2)="15",LEFT(TH!O2293,2)="15"),LEFT(TH!O2293,3)&lt;&gt;"111",'152-CT'!$J$8=TH!F2293),"x","")</f>
        <v/>
      </c>
      <c r="AC2293" s="79" t="str">
        <f>IF(AND(OR(LEFT(TH!N2293,2)="15",LEFT(TH!O2293,2)="15"),TK!$E$7=TH!F2293),"x","")</f>
        <v/>
      </c>
      <c r="AD2293" s="79" t="str">
        <f>IF(AND(N2293="1521",MONTH(C2293)='BK-NL'!$M$11),"x","")</f>
        <v/>
      </c>
    </row>
    <row r="2294" spans="1:30" ht="16.5" customHeight="1">
      <c r="A2294" s="318" t="str">
        <f>IF(B2294&lt;&gt;"",IF(AND(B2294='IN-TC'!$S$4,OR(TH!N2294="1111",TH!O2294="1111")),TH!D2294,""),"")</f>
        <v/>
      </c>
      <c r="B2294" s="60" t="str">
        <f t="shared" si="238"/>
        <v/>
      </c>
      <c r="C2294" s="981"/>
      <c r="D2294" s="981"/>
      <c r="E2294" s="981"/>
      <c r="F2294" s="1133"/>
      <c r="G2294" s="1130"/>
      <c r="H2294" s="982"/>
      <c r="I2294" s="984"/>
      <c r="J2294" s="983"/>
      <c r="K2294" s="984"/>
      <c r="L2294" s="983"/>
      <c r="M2294" s="985"/>
      <c r="N2294" s="986"/>
      <c r="O2294" s="986"/>
      <c r="P2294" s="79" t="str">
        <f>IF(AND('331-CT'!$E$7=TH!H2294,OR(N2294="331",O2294="331")),"x","")</f>
        <v/>
      </c>
      <c r="Q2294" s="79" t="str">
        <f>IF(AND(B2294='111'!$L$11,OR($N2294=$Q$7,$O2294=$Q$7)),"x","")</f>
        <v/>
      </c>
      <c r="R2294" s="79" t="str">
        <f>IF(AND($N2294=$Q$7,$B2294&lt;'111'!$L$11),"x","")</f>
        <v/>
      </c>
      <c r="S2294" s="79" t="str">
        <f>IF(AND($O2294=$Q$7,$B2294&lt;'111'!$L$11),"x","")</f>
        <v/>
      </c>
      <c r="T2294" s="79" t="str">
        <f>IF(ISERROR(FIND('112'!$M$9,G2294,1)),"",IF((AND(FIND('112'!$M$9,G2294,1)&gt;=1,B2294='112'!$K$9,OR($N2294='112'!$I$6,$O2294='112'!$I$6))),"x",""))</f>
        <v/>
      </c>
      <c r="U2294" s="79" t="str">
        <f>IF(ISERROR(FIND('112'!$M$9,G2294,1)),"",IF((AND(LEFT(G2294,2)=LEFT('112'!$M$9,2),B2294&lt;'112'!$K$9,$N2294='112'!$I$6)),"x",""))</f>
        <v/>
      </c>
      <c r="V2294" s="79" t="str">
        <f>IF(ISERROR(FIND('112'!$M$9,G2294,1)),"",IF((AND(RIGHT(G2294,2)=RIGHT('112'!$M$9,2),B2294&lt;'112'!$K$9,$O2294='112'!$I$6)),"x",""))</f>
        <v/>
      </c>
      <c r="W2294" s="79" t="str">
        <f>IF(AND('341-CT'!$H$9=H2294,OR(LEFT(N2294,3)=$W$7,LEFT(O2294,3)=$W$7)),"x","")</f>
        <v/>
      </c>
      <c r="X2294" s="79" t="str">
        <f>IF(OR(TH!N2294=TH!$X$7,O2294=TH!$X$7),"x","")</f>
        <v/>
      </c>
      <c r="Y2294" s="79" t="str">
        <f>IF(AND(OR(N2294="131",O2294="131"),H2294='131-CT'!$H$9),"x","")</f>
        <v/>
      </c>
      <c r="Z2294" s="79"/>
      <c r="AA2294" s="79" t="str">
        <f>IF(AND(MONTH(E2294)='IN-NX'!$J$5,'IN-NX'!$D$7=D2294),"x","")</f>
        <v/>
      </c>
      <c r="AB2294" s="79" t="str">
        <f>IF(AND(OR(LEFT(TH!N2294,2)="15",LEFT(TH!O2294,2)="15"),LEFT(TH!O2294,3)&lt;&gt;"111",'152-CT'!$J$8=TH!F2294),"x","")</f>
        <v/>
      </c>
      <c r="AC2294" s="79" t="str">
        <f>IF(AND(OR(LEFT(TH!N2294,2)="15",LEFT(TH!O2294,2)="15"),TK!$E$7=TH!F2294),"x","")</f>
        <v/>
      </c>
      <c r="AD2294" s="79" t="str">
        <f>IF(AND(N2294="1521",MONTH(C2294)='BK-NL'!$M$11),"x","")</f>
        <v/>
      </c>
    </row>
    <row r="2295" spans="1:30" ht="16.5" customHeight="1">
      <c r="A2295" s="318" t="str">
        <f>IF(B2295&lt;&gt;"",IF(AND(B2295='IN-TC'!$S$4,OR(TH!N2295="1111",TH!O2295="1111")),TH!D2295,""),"")</f>
        <v/>
      </c>
      <c r="B2295" s="60" t="str">
        <f t="shared" si="238"/>
        <v/>
      </c>
      <c r="C2295" s="301"/>
      <c r="D2295" s="301"/>
      <c r="E2295" s="301"/>
      <c r="F2295" s="1162"/>
      <c r="G2295" s="968"/>
      <c r="H2295" s="303"/>
      <c r="I2295" s="385"/>
      <c r="J2295" s="969"/>
      <c r="K2295" s="385"/>
      <c r="L2295" s="392"/>
      <c r="M2295" s="970"/>
      <c r="N2295" s="304"/>
      <c r="O2295" s="304"/>
      <c r="P2295" s="79" t="str">
        <f>IF(AND('331-CT'!$E$7=TH!H2295,OR(N2295="331",O2295="331")),"x","")</f>
        <v/>
      </c>
      <c r="Q2295" s="79" t="str">
        <f>IF(AND(B2295='111'!$L$11,OR($N2295=$Q$7,$O2295=$Q$7)),"x","")</f>
        <v/>
      </c>
      <c r="R2295" s="79" t="str">
        <f>IF(AND($N2295=$Q$7,$B2295&lt;'111'!$L$11),"x","")</f>
        <v/>
      </c>
      <c r="S2295" s="79" t="str">
        <f>IF(AND($O2295=$Q$7,$B2295&lt;'111'!$L$11),"x","")</f>
        <v/>
      </c>
      <c r="T2295" s="79" t="str">
        <f>IF(ISERROR(FIND('112'!$M$9,G2295,1)),"",IF((AND(FIND('112'!$M$9,G2295,1)&gt;=1,B2295='112'!$K$9,OR($N2295='112'!$I$6,$O2295='112'!$I$6))),"x",""))</f>
        <v/>
      </c>
      <c r="U2295" s="79" t="str">
        <f>IF(ISERROR(FIND('112'!$M$9,G2295,1)),"",IF((AND(LEFT(G2295,2)=LEFT('112'!$M$9,2),B2295&lt;'112'!$K$9,$N2295='112'!$I$6)),"x",""))</f>
        <v/>
      </c>
      <c r="V2295" s="79" t="str">
        <f>IF(ISERROR(FIND('112'!$M$9,G2295,1)),"",IF((AND(RIGHT(G2295,2)=RIGHT('112'!$M$9,2),B2295&lt;'112'!$K$9,$O2295='112'!$I$6)),"x",""))</f>
        <v/>
      </c>
      <c r="W2295" s="79" t="str">
        <f>IF(AND('341-CT'!$H$9=H2295,OR(LEFT(N2295,3)=$W$7,LEFT(O2295,3)=$W$7)),"x","")</f>
        <v/>
      </c>
      <c r="X2295" s="79" t="str">
        <f>IF(OR(TH!N2295=TH!$X$7,O2295=TH!$X$7),"x","")</f>
        <v/>
      </c>
      <c r="Y2295" s="79" t="str">
        <f>IF(AND(OR(N2295="131",O2295="131"),H2295='131-CT'!$H$9),"x","")</f>
        <v/>
      </c>
      <c r="Z2295" s="79"/>
      <c r="AA2295" s="79" t="str">
        <f>IF(AND(MONTH(E2295)='IN-NX'!$J$5,'IN-NX'!$D$7=D2295),"x","")</f>
        <v/>
      </c>
      <c r="AB2295" s="79" t="str">
        <f>IF(AND(OR(LEFT(TH!N2295,2)="15",LEFT(TH!O2295,2)="15"),LEFT(TH!O2295,3)&lt;&gt;"111",'152-CT'!$J$8=TH!F2295),"x","")</f>
        <v/>
      </c>
      <c r="AC2295" s="79" t="str">
        <f>IF(AND(OR(LEFT(TH!N2295,2)="15",LEFT(TH!O2295,2)="15"),TK!$E$7=TH!F2295),"x","")</f>
        <v/>
      </c>
      <c r="AD2295" s="79" t="str">
        <f>IF(AND(N2295="1521",MONTH(C2295)='BK-NL'!$M$11),"x","")</f>
        <v/>
      </c>
    </row>
    <row r="2296" spans="1:30" ht="16.5" customHeight="1">
      <c r="A2296" s="318" t="str">
        <f>IF(B2296&lt;&gt;"",IF(AND(B2296='IN-TC'!$S$4,OR(TH!N2296="1111",TH!O2296="1111")),TH!D2296,""),"")</f>
        <v/>
      </c>
      <c r="B2296" s="60" t="str">
        <f t="shared" si="238"/>
        <v/>
      </c>
      <c r="C2296" s="301"/>
      <c r="D2296" s="301"/>
      <c r="E2296" s="301"/>
      <c r="F2296" s="1162"/>
      <c r="G2296" s="968"/>
      <c r="H2296" s="303"/>
      <c r="I2296" s="385"/>
      <c r="J2296" s="969"/>
      <c r="K2296" s="385"/>
      <c r="L2296" s="392"/>
      <c r="M2296" s="970"/>
      <c r="N2296" s="304"/>
      <c r="O2296" s="304"/>
      <c r="P2296" s="79" t="str">
        <f>IF(AND('331-CT'!$E$7=TH!H2296,OR(N2296="331",O2296="331")),"x","")</f>
        <v/>
      </c>
      <c r="Q2296" s="79" t="str">
        <f>IF(AND(B2296='111'!$L$11,OR($N2296=$Q$7,$O2296=$Q$7)),"x","")</f>
        <v/>
      </c>
      <c r="R2296" s="79" t="str">
        <f>IF(AND($N2296=$Q$7,$B2296&lt;'111'!$L$11),"x","")</f>
        <v/>
      </c>
      <c r="S2296" s="79" t="str">
        <f>IF(AND($O2296=$Q$7,$B2296&lt;'111'!$L$11),"x","")</f>
        <v/>
      </c>
      <c r="T2296" s="79" t="str">
        <f>IF(ISERROR(FIND('112'!$M$9,G2296,1)),"",IF((AND(FIND('112'!$M$9,G2296,1)&gt;=1,B2296='112'!$K$9,OR($N2296='112'!$I$6,$O2296='112'!$I$6))),"x",""))</f>
        <v/>
      </c>
      <c r="U2296" s="79" t="str">
        <f>IF(ISERROR(FIND('112'!$M$9,G2296,1)),"",IF((AND(LEFT(G2296,2)=LEFT('112'!$M$9,2),B2296&lt;'112'!$K$9,$N2296='112'!$I$6)),"x",""))</f>
        <v/>
      </c>
      <c r="V2296" s="79" t="str">
        <f>IF(ISERROR(FIND('112'!$M$9,G2296,1)),"",IF((AND(RIGHT(G2296,2)=RIGHT('112'!$M$9,2),B2296&lt;'112'!$K$9,$O2296='112'!$I$6)),"x",""))</f>
        <v/>
      </c>
      <c r="W2296" s="79" t="str">
        <f>IF(AND('341-CT'!$H$9=H2296,OR(LEFT(N2296,3)=$W$7,LEFT(O2296,3)=$W$7)),"x","")</f>
        <v/>
      </c>
      <c r="X2296" s="79" t="str">
        <f>IF(OR(TH!N2296=TH!$X$7,O2296=TH!$X$7),"x","")</f>
        <v/>
      </c>
      <c r="Y2296" s="79" t="str">
        <f>IF(AND(OR(N2296="131",O2296="131"),H2296='131-CT'!$H$9),"x","")</f>
        <v/>
      </c>
      <c r="Z2296" s="79"/>
      <c r="AA2296" s="79" t="str">
        <f>IF(AND(MONTH(E2296)='IN-NX'!$J$5,'IN-NX'!$D$7=D2296),"x","")</f>
        <v/>
      </c>
      <c r="AB2296" s="79" t="str">
        <f>IF(AND(OR(LEFT(TH!N2296,2)="15",LEFT(TH!O2296,2)="15"),LEFT(TH!O2296,3)&lt;&gt;"111",'152-CT'!$J$8=TH!F2296),"x","")</f>
        <v/>
      </c>
      <c r="AC2296" s="79" t="str">
        <f>IF(AND(OR(LEFT(TH!N2296,2)="15",LEFT(TH!O2296,2)="15"),TK!$E$7=TH!F2296),"x","")</f>
        <v/>
      </c>
      <c r="AD2296" s="79" t="str">
        <f>IF(AND(N2296="1521",MONTH(C2296)='BK-NL'!$M$11),"x","")</f>
        <v/>
      </c>
    </row>
    <row r="2297" spans="1:30" ht="16.5" customHeight="1">
      <c r="A2297" s="318" t="str">
        <f>IF(B2297&lt;&gt;"",IF(AND(B2297='IN-TC'!$S$4,OR(TH!N2297="1111",TH!O2297="1111")),TH!D2297,""),"")</f>
        <v/>
      </c>
      <c r="B2297" s="60" t="str">
        <f t="shared" si="238"/>
        <v/>
      </c>
      <c r="C2297" s="974"/>
      <c r="D2297" s="301"/>
      <c r="E2297" s="974"/>
      <c r="F2297" s="1161"/>
      <c r="G2297" s="976"/>
      <c r="H2297" s="305"/>
      <c r="I2297" s="383"/>
      <c r="J2297" s="977"/>
      <c r="K2297" s="383"/>
      <c r="L2297" s="390"/>
      <c r="M2297" s="978"/>
      <c r="N2297" s="979"/>
      <c r="O2297" s="979"/>
      <c r="P2297" s="79" t="str">
        <f>IF(AND('331-CT'!$E$7=TH!H2297,OR(N2297="331",O2297="331")),"x","")</f>
        <v/>
      </c>
      <c r="Q2297" s="79" t="str">
        <f>IF(AND(B2297='111'!$L$11,OR($N2297=$Q$7,$O2297=$Q$7)),"x","")</f>
        <v/>
      </c>
      <c r="R2297" s="79" t="str">
        <f>IF(AND($N2297=$Q$7,$B2297&lt;'111'!$L$11),"x","")</f>
        <v/>
      </c>
      <c r="S2297" s="79" t="str">
        <f>IF(AND($O2297=$Q$7,$B2297&lt;'111'!$L$11),"x","")</f>
        <v/>
      </c>
      <c r="T2297" s="79" t="str">
        <f>IF(ISERROR(FIND('112'!$M$9,G2297,1)),"",IF((AND(FIND('112'!$M$9,G2297,1)&gt;=1,B2297='112'!$K$9,OR($N2297='112'!$I$6,$O2297='112'!$I$6))),"x",""))</f>
        <v/>
      </c>
      <c r="U2297" s="79" t="str">
        <f>IF(ISERROR(FIND('112'!$M$9,G2297,1)),"",IF((AND(LEFT(G2297,2)=LEFT('112'!$M$9,2),B2297&lt;'112'!$K$9,$N2297='112'!$I$6)),"x",""))</f>
        <v/>
      </c>
      <c r="V2297" s="79" t="str">
        <f>IF(ISERROR(FIND('112'!$M$9,G2297,1)),"",IF((AND(RIGHT(G2297,2)=RIGHT('112'!$M$9,2),B2297&lt;'112'!$K$9,$O2297='112'!$I$6)),"x",""))</f>
        <v/>
      </c>
      <c r="W2297" s="79" t="str">
        <f>IF(AND('341-CT'!$H$9=H2297,OR(LEFT(N2297,3)=$W$7,LEFT(O2297,3)=$W$7)),"x","")</f>
        <v/>
      </c>
      <c r="X2297" s="79" t="str">
        <f>IF(OR(TH!N2297=TH!$X$7,O2297=TH!$X$7),"x","")</f>
        <v/>
      </c>
      <c r="Y2297" s="79" t="str">
        <f>IF(AND(OR(N2297="131",O2297="131"),H2297='131-CT'!$H$9),"x","")</f>
        <v/>
      </c>
      <c r="Z2297" s="79"/>
      <c r="AA2297" s="79" t="str">
        <f>IF(AND(MONTH(E2297)='IN-NX'!$J$5,'IN-NX'!$D$7=D2297),"x","")</f>
        <v/>
      </c>
      <c r="AB2297" s="79" t="str">
        <f>IF(AND(OR(LEFT(TH!N2297,2)="15",LEFT(TH!O2297,2)="15"),LEFT(TH!O2297,3)&lt;&gt;"111",'152-CT'!$J$8=TH!F2297),"x","")</f>
        <v/>
      </c>
      <c r="AC2297" s="79" t="str">
        <f>IF(AND(OR(LEFT(TH!N2297,2)="15",LEFT(TH!O2297,2)="15"),TK!$E$7=TH!F2297),"x","")</f>
        <v/>
      </c>
      <c r="AD2297" s="79" t="str">
        <f>IF(AND(N2297="1521",MONTH(C2297)='BK-NL'!$M$11),"x","")</f>
        <v/>
      </c>
    </row>
    <row r="2298" spans="1:30" ht="16.5" customHeight="1">
      <c r="A2298" s="318" t="str">
        <f>IF(B2298&lt;&gt;"",IF(AND(B2298='IN-TC'!$S$4,OR(TH!N2298="1111",TH!O2298="1111")),TH!D2298,""),"")</f>
        <v/>
      </c>
      <c r="B2298" s="60" t="str">
        <f t="shared" si="238"/>
        <v/>
      </c>
      <c r="C2298" s="974"/>
      <c r="D2298" s="301"/>
      <c r="E2298" s="974"/>
      <c r="F2298" s="77"/>
      <c r="G2298" s="976"/>
      <c r="H2298" s="305"/>
      <c r="I2298" s="383"/>
      <c r="J2298" s="977"/>
      <c r="K2298" s="383"/>
      <c r="L2298" s="390"/>
      <c r="M2298" s="978"/>
      <c r="N2298" s="979"/>
      <c r="O2298" s="979"/>
      <c r="P2298" s="79" t="str">
        <f>IF(AND('331-CT'!$E$7=TH!H2298,OR(N2298="331",O2298="331")),"x","")</f>
        <v/>
      </c>
      <c r="Q2298" s="79" t="str">
        <f>IF(AND(B2298='111'!$L$11,OR($N2298=$Q$7,$O2298=$Q$7)),"x","")</f>
        <v/>
      </c>
      <c r="R2298" s="79" t="str">
        <f>IF(AND($N2298=$Q$7,$B2298&lt;'111'!$L$11),"x","")</f>
        <v/>
      </c>
      <c r="S2298" s="79" t="str">
        <f>IF(AND($O2298=$Q$7,$B2298&lt;'111'!$L$11),"x","")</f>
        <v/>
      </c>
      <c r="T2298" s="79" t="str">
        <f>IF(ISERROR(FIND('112'!$M$9,G2298,1)),"",IF((AND(FIND('112'!$M$9,G2298,1)&gt;=1,B2298='112'!$K$9,OR($N2298='112'!$I$6,$O2298='112'!$I$6))),"x",""))</f>
        <v/>
      </c>
      <c r="U2298" s="79" t="str">
        <f>IF(ISERROR(FIND('112'!$M$9,G2298,1)),"",IF((AND(LEFT(G2298,2)=LEFT('112'!$M$9,2),B2298&lt;'112'!$K$9,$N2298='112'!$I$6)),"x",""))</f>
        <v/>
      </c>
      <c r="V2298" s="79" t="str">
        <f>IF(ISERROR(FIND('112'!$M$9,G2298,1)),"",IF((AND(RIGHT(G2298,2)=RIGHT('112'!$M$9,2),B2298&lt;'112'!$K$9,$O2298='112'!$I$6)),"x",""))</f>
        <v/>
      </c>
      <c r="W2298" s="79" t="str">
        <f>IF(AND('341-CT'!$H$9=H2298,OR(LEFT(N2298,3)=$W$7,LEFT(O2298,3)=$W$7)),"x","")</f>
        <v/>
      </c>
      <c r="X2298" s="79" t="str">
        <f>IF(OR(TH!N2298=TH!$X$7,O2298=TH!$X$7),"x","")</f>
        <v/>
      </c>
      <c r="Y2298" s="79" t="str">
        <f>IF(AND(OR(N2298="131",O2298="131"),H2298='131-CT'!$H$9),"x","")</f>
        <v/>
      </c>
      <c r="Z2298" s="79"/>
      <c r="AA2298" s="79" t="str">
        <f>IF(AND(MONTH(E2298)='IN-NX'!$J$5,'IN-NX'!$D$7=D2298),"x","")</f>
        <v/>
      </c>
      <c r="AB2298" s="79" t="str">
        <f>IF(AND(OR(LEFT(TH!N2298,2)="15",LEFT(TH!O2298,2)="15"),LEFT(TH!O2298,3)&lt;&gt;"111",'152-CT'!$J$8=TH!F2298),"x","")</f>
        <v/>
      </c>
      <c r="AC2298" s="79" t="str">
        <f>IF(AND(OR(LEFT(TH!N2298,2)="15",LEFT(TH!O2298,2)="15"),TK!$E$7=TH!F2298),"x","")</f>
        <v/>
      </c>
      <c r="AD2298" s="79" t="str">
        <f>IF(AND(N2298="1521",MONTH(C2298)='BK-NL'!$M$11),"x","")</f>
        <v/>
      </c>
    </row>
    <row r="2299" spans="1:30" ht="16.5" customHeight="1">
      <c r="A2299" s="318" t="str">
        <f>IF(B2299&lt;&gt;"",IF(AND(B2299='IN-TC'!$S$4,OR(TH!N2299="1111",TH!O2299="1111")),TH!D2299,""),"")</f>
        <v/>
      </c>
      <c r="B2299" s="60" t="str">
        <f t="shared" si="238"/>
        <v/>
      </c>
      <c r="C2299" s="301"/>
      <c r="D2299" s="301"/>
      <c r="E2299" s="301"/>
      <c r="F2299" s="392"/>
      <c r="G2299" s="968"/>
      <c r="H2299" s="321"/>
      <c r="I2299" s="385"/>
      <c r="J2299" s="969"/>
      <c r="K2299" s="385"/>
      <c r="L2299" s="392"/>
      <c r="M2299" s="970"/>
      <c r="N2299" s="304"/>
      <c r="O2299" s="304"/>
      <c r="P2299" s="79" t="str">
        <f>IF(AND('331-CT'!$E$7=TH!H2299,OR(N2299="331",O2299="331")),"x","")</f>
        <v/>
      </c>
      <c r="Q2299" s="79" t="str">
        <f>IF(AND(B2299='111'!$L$11,OR($N2299=$Q$7,$O2299=$Q$7)),"x","")</f>
        <v/>
      </c>
      <c r="R2299" s="79" t="str">
        <f>IF(AND($N2299=$Q$7,$B2299&lt;'111'!$L$11),"x","")</f>
        <v/>
      </c>
      <c r="S2299" s="79" t="str">
        <f>IF(AND($O2299=$Q$7,$B2299&lt;'111'!$L$11),"x","")</f>
        <v/>
      </c>
      <c r="T2299" s="79" t="str">
        <f>IF(ISERROR(FIND('112'!$M$9,G2299,1)),"",IF((AND(FIND('112'!$M$9,G2299,1)&gt;=1,B2299='112'!$K$9,OR($N2299='112'!$I$6,$O2299='112'!$I$6))),"x",""))</f>
        <v/>
      </c>
      <c r="U2299" s="79" t="str">
        <f>IF(ISERROR(FIND('112'!$M$9,G2299,1)),"",IF((AND(LEFT(G2299,2)=LEFT('112'!$M$9,2),B2299&lt;'112'!$K$9,$N2299='112'!$I$6)),"x",""))</f>
        <v/>
      </c>
      <c r="V2299" s="79" t="str">
        <f>IF(ISERROR(FIND('112'!$M$9,G2299,1)),"",IF((AND(RIGHT(G2299,2)=RIGHT('112'!$M$9,2),B2299&lt;'112'!$K$9,$O2299='112'!$I$6)),"x",""))</f>
        <v/>
      </c>
      <c r="W2299" s="79" t="str">
        <f>IF(AND('341-CT'!$H$9=H2299,OR(LEFT(N2299,3)=$W$7,LEFT(O2299,3)=$W$7)),"x","")</f>
        <v/>
      </c>
      <c r="X2299" s="79" t="str">
        <f>IF(OR(TH!N2299=TH!$X$7,O2299=TH!$X$7),"x","")</f>
        <v/>
      </c>
      <c r="Y2299" s="79" t="str">
        <f>IF(AND(OR(N2299="131",O2299="131"),H2299='131-CT'!$H$9),"x","")</f>
        <v/>
      </c>
      <c r="Z2299" s="79"/>
      <c r="AA2299" s="79" t="str">
        <f>IF(AND(MONTH(E2299)='IN-NX'!$J$5,'IN-NX'!$D$7=D2299),"x","")</f>
        <v/>
      </c>
      <c r="AB2299" s="79" t="str">
        <f>IF(AND(OR(LEFT(TH!N2299,2)="15",LEFT(TH!O2299,2)="15"),LEFT(TH!O2299,3)&lt;&gt;"111",'152-CT'!$J$8=TH!F2299),"x","")</f>
        <v/>
      </c>
      <c r="AC2299" s="79" t="str">
        <f>IF(AND(OR(LEFT(TH!N2299,2)="15",LEFT(TH!O2299,2)="15"),TK!$E$7=TH!F2299),"x","")</f>
        <v/>
      </c>
      <c r="AD2299" s="79" t="str">
        <f>IF(AND(N2299="1521",MONTH(C2299)='BK-NL'!$M$11),"x","")</f>
        <v/>
      </c>
    </row>
    <row r="2300" spans="1:30" ht="16.5" customHeight="1">
      <c r="A2300" s="318" t="str">
        <f>IF(B2300&lt;&gt;"",IF(AND(B2300='IN-TC'!$S$4,OR(TH!N2300="1111",TH!O2300="1111")),TH!D2300,""),"")</f>
        <v/>
      </c>
      <c r="B2300" s="60" t="str">
        <f t="shared" si="238"/>
        <v/>
      </c>
      <c r="C2300" s="301"/>
      <c r="D2300" s="301"/>
      <c r="E2300" s="301"/>
      <c r="F2300" s="392"/>
      <c r="G2300" s="968"/>
      <c r="H2300" s="321"/>
      <c r="I2300" s="385"/>
      <c r="J2300" s="969"/>
      <c r="K2300" s="385"/>
      <c r="L2300" s="392"/>
      <c r="M2300" s="970"/>
      <c r="N2300" s="304"/>
      <c r="O2300" s="304"/>
      <c r="P2300" s="79" t="str">
        <f>IF(AND('331-CT'!$E$7=TH!H2300,OR(N2300="331",O2300="331")),"x","")</f>
        <v/>
      </c>
      <c r="Q2300" s="79" t="str">
        <f>IF(AND(B2300='111'!$L$11,OR($N2300=$Q$7,$O2300=$Q$7)),"x","")</f>
        <v/>
      </c>
      <c r="R2300" s="79" t="str">
        <f>IF(AND($N2300=$Q$7,$B2300&lt;'111'!$L$11),"x","")</f>
        <v/>
      </c>
      <c r="S2300" s="79" t="str">
        <f>IF(AND($O2300=$Q$7,$B2300&lt;'111'!$L$11),"x","")</f>
        <v/>
      </c>
      <c r="T2300" s="79" t="str">
        <f>IF(ISERROR(FIND('112'!$M$9,G2300,1)),"",IF((AND(FIND('112'!$M$9,G2300,1)&gt;=1,B2300='112'!$K$9,OR($N2300='112'!$I$6,$O2300='112'!$I$6))),"x",""))</f>
        <v/>
      </c>
      <c r="U2300" s="79" t="str">
        <f>IF(ISERROR(FIND('112'!$M$9,G2300,1)),"",IF((AND(LEFT(G2300,2)=LEFT('112'!$M$9,2),B2300&lt;'112'!$K$9,$N2300='112'!$I$6)),"x",""))</f>
        <v/>
      </c>
      <c r="V2300" s="79" t="str">
        <f>IF(ISERROR(FIND('112'!$M$9,G2300,1)),"",IF((AND(RIGHT(G2300,2)=RIGHT('112'!$M$9,2),B2300&lt;'112'!$K$9,$O2300='112'!$I$6)),"x",""))</f>
        <v/>
      </c>
      <c r="W2300" s="79" t="str">
        <f>IF(AND('341-CT'!$H$9=H2300,OR(LEFT(N2300,3)=$W$7,LEFT(O2300,3)=$W$7)),"x","")</f>
        <v/>
      </c>
      <c r="X2300" s="79" t="str">
        <f>IF(OR(TH!N2300=TH!$X$7,O2300=TH!$X$7),"x","")</f>
        <v/>
      </c>
      <c r="Y2300" s="79" t="str">
        <f>IF(AND(OR(N2300="131",O2300="131"),H2300='131-CT'!$H$9),"x","")</f>
        <v/>
      </c>
      <c r="Z2300" s="79"/>
      <c r="AA2300" s="79" t="str">
        <f>IF(AND(MONTH(E2300)='IN-NX'!$J$5,'IN-NX'!$D$7=D2300),"x","")</f>
        <v/>
      </c>
      <c r="AB2300" s="79" t="str">
        <f>IF(AND(OR(LEFT(TH!N2300,2)="15",LEFT(TH!O2300,2)="15"),LEFT(TH!O2300,3)&lt;&gt;"111",'152-CT'!$J$8=TH!F2300),"x","")</f>
        <v/>
      </c>
      <c r="AC2300" s="79" t="str">
        <f>IF(AND(OR(LEFT(TH!N2300,2)="15",LEFT(TH!O2300,2)="15"),TK!$E$7=TH!F2300),"x","")</f>
        <v/>
      </c>
      <c r="AD2300" s="79" t="str">
        <f>IF(AND(N2300="1521",MONTH(C2300)='BK-NL'!$M$11),"x","")</f>
        <v/>
      </c>
    </row>
    <row r="2301" spans="1:30" ht="16.5" customHeight="1">
      <c r="A2301" s="318" t="str">
        <f>IF(B2301&lt;&gt;"",IF(AND(B2301='IN-TC'!$S$4,OR(TH!N2301="1111",TH!O2301="1111")),TH!D2301,""),"")</f>
        <v/>
      </c>
      <c r="B2301" s="60" t="str">
        <f t="shared" si="238"/>
        <v/>
      </c>
      <c r="C2301" s="301"/>
      <c r="D2301" s="301"/>
      <c r="E2301" s="301"/>
      <c r="F2301" s="392"/>
      <c r="G2301" s="968"/>
      <c r="H2301" s="321"/>
      <c r="I2301" s="385"/>
      <c r="J2301" s="969"/>
      <c r="K2301" s="385"/>
      <c r="L2301" s="392"/>
      <c r="M2301" s="970"/>
      <c r="N2301" s="304"/>
      <c r="O2301" s="304"/>
      <c r="P2301" s="79" t="str">
        <f>IF(AND('331-CT'!$E$7=TH!H2301,OR(N2301="331",O2301="331")),"x","")</f>
        <v/>
      </c>
      <c r="Q2301" s="79" t="str">
        <f>IF(AND(B2301='111'!$L$11,OR($N2301=$Q$7,$O2301=$Q$7)),"x","")</f>
        <v/>
      </c>
      <c r="R2301" s="79" t="str">
        <f>IF(AND($N2301=$Q$7,$B2301&lt;'111'!$L$11),"x","")</f>
        <v/>
      </c>
      <c r="S2301" s="79" t="str">
        <f>IF(AND($O2301=$Q$7,$B2301&lt;'111'!$L$11),"x","")</f>
        <v/>
      </c>
      <c r="T2301" s="79" t="str">
        <f>IF(ISERROR(FIND('112'!$M$9,G2301,1)),"",IF((AND(FIND('112'!$M$9,G2301,1)&gt;=1,B2301='112'!$K$9,OR($N2301='112'!$I$6,$O2301='112'!$I$6))),"x",""))</f>
        <v/>
      </c>
      <c r="U2301" s="79" t="str">
        <f>IF(ISERROR(FIND('112'!$M$9,G2301,1)),"",IF((AND(LEFT(G2301,2)=LEFT('112'!$M$9,2),B2301&lt;'112'!$K$9,$N2301='112'!$I$6)),"x",""))</f>
        <v/>
      </c>
      <c r="V2301" s="79" t="str">
        <f>IF(ISERROR(FIND('112'!$M$9,G2301,1)),"",IF((AND(RIGHT(G2301,2)=RIGHT('112'!$M$9,2),B2301&lt;'112'!$K$9,$O2301='112'!$I$6)),"x",""))</f>
        <v/>
      </c>
      <c r="W2301" s="79" t="str">
        <f>IF(AND('341-CT'!$H$9=H2301,OR(LEFT(N2301,3)=$W$7,LEFT(O2301,3)=$W$7)),"x","")</f>
        <v/>
      </c>
      <c r="X2301" s="79" t="str">
        <f>IF(OR(TH!N2301=TH!$X$7,O2301=TH!$X$7),"x","")</f>
        <v/>
      </c>
      <c r="Y2301" s="79" t="str">
        <f>IF(AND(OR(N2301="131",O2301="131"),H2301='131-CT'!$H$9),"x","")</f>
        <v/>
      </c>
      <c r="Z2301" s="79"/>
      <c r="AA2301" s="79" t="str">
        <f>IF(AND(MONTH(E2301)='IN-NX'!$J$5,'IN-NX'!$D$7=D2301),"x","")</f>
        <v/>
      </c>
      <c r="AB2301" s="79" t="str">
        <f>IF(AND(OR(LEFT(TH!N2301,2)="15",LEFT(TH!O2301,2)="15"),LEFT(TH!O2301,3)&lt;&gt;"111",'152-CT'!$J$8=TH!F2301),"x","")</f>
        <v/>
      </c>
      <c r="AC2301" s="79" t="str">
        <f>IF(AND(OR(LEFT(TH!N2301,2)="15",LEFT(TH!O2301,2)="15"),TK!$E$7=TH!F2301),"x","")</f>
        <v/>
      </c>
      <c r="AD2301" s="79" t="str">
        <f>IF(AND(N2301="1521",MONTH(C2301)='BK-NL'!$M$11),"x","")</f>
        <v/>
      </c>
    </row>
    <row r="2302" spans="1:30" ht="16.5" customHeight="1">
      <c r="A2302" s="318" t="str">
        <f>IF(B2302&lt;&gt;"",IF(AND(B2302='IN-TC'!$S$4,OR(TH!N2302="1111",TH!O2302="1111")),TH!D2302,""),"")</f>
        <v/>
      </c>
      <c r="B2302" s="60" t="str">
        <f t="shared" si="238"/>
        <v/>
      </c>
      <c r="C2302" s="301"/>
      <c r="D2302" s="301"/>
      <c r="E2302" s="301"/>
      <c r="F2302" s="392"/>
      <c r="G2302" s="968"/>
      <c r="H2302" s="321"/>
      <c r="I2302" s="385"/>
      <c r="J2302" s="969"/>
      <c r="K2302" s="385"/>
      <c r="L2302" s="392"/>
      <c r="M2302" s="970"/>
      <c r="N2302" s="304"/>
      <c r="O2302" s="304"/>
      <c r="P2302" s="79" t="str">
        <f>IF(AND('331-CT'!$E$7=TH!H2302,OR(N2302="331",O2302="331")),"x","")</f>
        <v/>
      </c>
      <c r="Q2302" s="79" t="str">
        <f>IF(AND(B2302='111'!$L$11,OR($N2302=$Q$7,$O2302=$Q$7)),"x","")</f>
        <v/>
      </c>
      <c r="R2302" s="79" t="str">
        <f>IF(AND($N2302=$Q$7,$B2302&lt;'111'!$L$11),"x","")</f>
        <v/>
      </c>
      <c r="S2302" s="79" t="str">
        <f>IF(AND($O2302=$Q$7,$B2302&lt;'111'!$L$11),"x","")</f>
        <v/>
      </c>
      <c r="T2302" s="79" t="str">
        <f>IF(ISERROR(FIND('112'!$M$9,G2302,1)),"",IF((AND(FIND('112'!$M$9,G2302,1)&gt;=1,B2302='112'!$K$9,OR($N2302='112'!$I$6,$O2302='112'!$I$6))),"x",""))</f>
        <v/>
      </c>
      <c r="U2302" s="79" t="str">
        <f>IF(ISERROR(FIND('112'!$M$9,G2302,1)),"",IF((AND(LEFT(G2302,2)=LEFT('112'!$M$9,2),B2302&lt;'112'!$K$9,$N2302='112'!$I$6)),"x",""))</f>
        <v/>
      </c>
      <c r="V2302" s="79" t="str">
        <f>IF(ISERROR(FIND('112'!$M$9,G2302,1)),"",IF((AND(RIGHT(G2302,2)=RIGHT('112'!$M$9,2),B2302&lt;'112'!$K$9,$O2302='112'!$I$6)),"x",""))</f>
        <v/>
      </c>
      <c r="W2302" s="79" t="str">
        <f>IF(AND('341-CT'!$H$9=H2302,OR(LEFT(N2302,3)=$W$7,LEFT(O2302,3)=$W$7)),"x","")</f>
        <v/>
      </c>
      <c r="X2302" s="79" t="str">
        <f>IF(OR(TH!N2302=TH!$X$7,O2302=TH!$X$7),"x","")</f>
        <v/>
      </c>
      <c r="Y2302" s="79" t="str">
        <f>IF(AND(OR(N2302="131",O2302="131"),H2302='131-CT'!$H$9),"x","")</f>
        <v/>
      </c>
      <c r="Z2302" s="79"/>
      <c r="AA2302" s="79" t="str">
        <f>IF(AND(MONTH(E2302)='IN-NX'!$J$5,'IN-NX'!$D$7=D2302),"x","")</f>
        <v/>
      </c>
      <c r="AB2302" s="79" t="str">
        <f>IF(AND(OR(LEFT(TH!N2302,2)="15",LEFT(TH!O2302,2)="15"),LEFT(TH!O2302,3)&lt;&gt;"111",'152-CT'!$J$8=TH!F2302),"x","")</f>
        <v/>
      </c>
      <c r="AC2302" s="79" t="str">
        <f>IF(AND(OR(LEFT(TH!N2302,2)="15",LEFT(TH!O2302,2)="15"),TK!$E$7=TH!F2302),"x","")</f>
        <v/>
      </c>
      <c r="AD2302" s="79" t="str">
        <f>IF(AND(N2302="1521",MONTH(C2302)='BK-NL'!$M$11),"x","")</f>
        <v/>
      </c>
    </row>
    <row r="2303" spans="1:30" ht="16.5" customHeight="1">
      <c r="A2303" s="318" t="str">
        <f>IF(B2303&lt;&gt;"",IF(AND(B2303='IN-TC'!$S$4,OR(TH!N2303="1111",TH!O2303="1111")),TH!D2303,""),"")</f>
        <v/>
      </c>
      <c r="B2303" s="60" t="str">
        <f t="shared" si="238"/>
        <v/>
      </c>
      <c r="C2303" s="301"/>
      <c r="D2303" s="301"/>
      <c r="E2303" s="301"/>
      <c r="F2303" s="392"/>
      <c r="G2303" s="968"/>
      <c r="H2303" s="321"/>
      <c r="I2303" s="385"/>
      <c r="J2303" s="969"/>
      <c r="K2303" s="385"/>
      <c r="L2303" s="392"/>
      <c r="M2303" s="970"/>
      <c r="N2303" s="304"/>
      <c r="O2303" s="304"/>
      <c r="P2303" s="79" t="str">
        <f>IF(AND('331-CT'!$E$7=TH!H2303,OR(N2303="331",O2303="331")),"x","")</f>
        <v/>
      </c>
      <c r="Q2303" s="79" t="str">
        <f>IF(AND(B2303='111'!$L$11,OR($N2303=$Q$7,$O2303=$Q$7)),"x","")</f>
        <v/>
      </c>
      <c r="R2303" s="79" t="str">
        <f>IF(AND($N2303=$Q$7,$B2303&lt;'111'!$L$11),"x","")</f>
        <v/>
      </c>
      <c r="S2303" s="79" t="str">
        <f>IF(AND($O2303=$Q$7,$B2303&lt;'111'!$L$11),"x","")</f>
        <v/>
      </c>
      <c r="T2303" s="79" t="str">
        <f>IF(ISERROR(FIND('112'!$M$9,G2303,1)),"",IF((AND(FIND('112'!$M$9,G2303,1)&gt;=1,B2303='112'!$K$9,OR($N2303='112'!$I$6,$O2303='112'!$I$6))),"x",""))</f>
        <v/>
      </c>
      <c r="U2303" s="79" t="str">
        <f>IF(ISERROR(FIND('112'!$M$9,G2303,1)),"",IF((AND(LEFT(G2303,2)=LEFT('112'!$M$9,2),B2303&lt;'112'!$K$9,$N2303='112'!$I$6)),"x",""))</f>
        <v/>
      </c>
      <c r="V2303" s="79" t="str">
        <f>IF(ISERROR(FIND('112'!$M$9,G2303,1)),"",IF((AND(RIGHT(G2303,2)=RIGHT('112'!$M$9,2),B2303&lt;'112'!$K$9,$O2303='112'!$I$6)),"x",""))</f>
        <v/>
      </c>
      <c r="W2303" s="79" t="str">
        <f>IF(AND('341-CT'!$H$9=H2303,OR(LEFT(N2303,3)=$W$7,LEFT(O2303,3)=$W$7)),"x","")</f>
        <v/>
      </c>
      <c r="X2303" s="79" t="str">
        <f>IF(OR(TH!N2303=TH!$X$7,O2303=TH!$X$7),"x","")</f>
        <v/>
      </c>
      <c r="Y2303" s="79" t="str">
        <f>IF(AND(OR(N2303="131",O2303="131"),H2303='131-CT'!$H$9),"x","")</f>
        <v/>
      </c>
      <c r="Z2303" s="79"/>
      <c r="AA2303" s="79" t="str">
        <f>IF(AND(MONTH(E2303)='IN-NX'!$J$5,'IN-NX'!$D$7=D2303),"x","")</f>
        <v/>
      </c>
      <c r="AB2303" s="79" t="str">
        <f>IF(AND(OR(LEFT(TH!N2303,2)="15",LEFT(TH!O2303,2)="15"),LEFT(TH!O2303,3)&lt;&gt;"111",'152-CT'!$J$8=TH!F2303),"x","")</f>
        <v/>
      </c>
      <c r="AC2303" s="79" t="str">
        <f>IF(AND(OR(LEFT(TH!N2303,2)="15",LEFT(TH!O2303,2)="15"),TK!$E$7=TH!F2303),"x","")</f>
        <v/>
      </c>
      <c r="AD2303" s="79" t="str">
        <f>IF(AND(N2303="1521",MONTH(C2303)='BK-NL'!$M$11),"x","")</f>
        <v/>
      </c>
    </row>
    <row r="2304" spans="1:30" ht="16.5" customHeight="1">
      <c r="A2304" s="318" t="str">
        <f>IF(B2304&lt;&gt;"",IF(AND(B2304='IN-TC'!$S$4,OR(TH!N2304="1111",TH!O2304="1111")),TH!D2304,""),"")</f>
        <v/>
      </c>
      <c r="B2304" s="60" t="str">
        <f t="shared" si="238"/>
        <v/>
      </c>
      <c r="C2304" s="301"/>
      <c r="D2304" s="301"/>
      <c r="E2304" s="301"/>
      <c r="F2304" s="392"/>
      <c r="G2304" s="968"/>
      <c r="H2304" s="321"/>
      <c r="I2304" s="385"/>
      <c r="J2304" s="969"/>
      <c r="K2304" s="385"/>
      <c r="L2304" s="392"/>
      <c r="M2304" s="970"/>
      <c r="N2304" s="304"/>
      <c r="O2304" s="304"/>
      <c r="P2304" s="79" t="str">
        <f>IF(AND('331-CT'!$E$7=TH!H2304,OR(N2304="331",O2304="331")),"x","")</f>
        <v/>
      </c>
      <c r="Q2304" s="79" t="str">
        <f>IF(AND(B2304='111'!$L$11,OR($N2304=$Q$7,$O2304=$Q$7)),"x","")</f>
        <v/>
      </c>
      <c r="R2304" s="79" t="str">
        <f>IF(AND($N2304=$Q$7,$B2304&lt;'111'!$L$11),"x","")</f>
        <v/>
      </c>
      <c r="S2304" s="79" t="str">
        <f>IF(AND($O2304=$Q$7,$B2304&lt;'111'!$L$11),"x","")</f>
        <v/>
      </c>
      <c r="T2304" s="79" t="str">
        <f>IF(ISERROR(FIND('112'!$M$9,G2304,1)),"",IF((AND(FIND('112'!$M$9,G2304,1)&gt;=1,B2304='112'!$K$9,OR($N2304='112'!$I$6,$O2304='112'!$I$6))),"x",""))</f>
        <v/>
      </c>
      <c r="U2304" s="79" t="str">
        <f>IF(ISERROR(FIND('112'!$M$9,G2304,1)),"",IF((AND(LEFT(G2304,2)=LEFT('112'!$M$9,2),B2304&lt;'112'!$K$9,$N2304='112'!$I$6)),"x",""))</f>
        <v/>
      </c>
      <c r="V2304" s="79" t="str">
        <f>IF(ISERROR(FIND('112'!$M$9,G2304,1)),"",IF((AND(RIGHT(G2304,2)=RIGHT('112'!$M$9,2),B2304&lt;'112'!$K$9,$O2304='112'!$I$6)),"x",""))</f>
        <v/>
      </c>
      <c r="W2304" s="79" t="str">
        <f>IF(AND('341-CT'!$H$9=H2304,OR(LEFT(N2304,3)=$W$7,LEFT(O2304,3)=$W$7)),"x","")</f>
        <v/>
      </c>
      <c r="X2304" s="79" t="str">
        <f>IF(OR(TH!N2304=TH!$X$7,O2304=TH!$X$7),"x","")</f>
        <v/>
      </c>
      <c r="Y2304" s="79" t="str">
        <f>IF(AND(OR(N2304="131",O2304="131"),H2304='131-CT'!$H$9),"x","")</f>
        <v/>
      </c>
      <c r="Z2304" s="79"/>
      <c r="AA2304" s="79" t="str">
        <f>IF(AND(MONTH(E2304)='IN-NX'!$J$5,'IN-NX'!$D$7=D2304),"x","")</f>
        <v/>
      </c>
      <c r="AB2304" s="79" t="str">
        <f>IF(AND(OR(LEFT(TH!N2304,2)="15",LEFT(TH!O2304,2)="15"),LEFT(TH!O2304,3)&lt;&gt;"111",'152-CT'!$J$8=TH!F2304),"x","")</f>
        <v/>
      </c>
      <c r="AC2304" s="79" t="str">
        <f>IF(AND(OR(LEFT(TH!N2304,2)="15",LEFT(TH!O2304,2)="15"),TK!$E$7=TH!F2304),"x","")</f>
        <v/>
      </c>
      <c r="AD2304" s="79" t="str">
        <f>IF(AND(N2304="1521",MONTH(C2304)='BK-NL'!$M$11),"x","")</f>
        <v/>
      </c>
    </row>
    <row r="2305" spans="1:30" ht="16.5" customHeight="1">
      <c r="A2305" s="318" t="str">
        <f>IF(B2305&lt;&gt;"",IF(AND(B2305='IN-TC'!$S$4,OR(TH!N2305="1111",TH!O2305="1111")),TH!D2305,""),"")</f>
        <v/>
      </c>
      <c r="B2305" s="60" t="str">
        <f t="shared" si="238"/>
        <v/>
      </c>
      <c r="C2305" s="301"/>
      <c r="D2305" s="301"/>
      <c r="E2305" s="301"/>
      <c r="F2305" s="392"/>
      <c r="G2305" s="968"/>
      <c r="H2305" s="321"/>
      <c r="I2305" s="385"/>
      <c r="J2305" s="969"/>
      <c r="K2305" s="385"/>
      <c r="L2305" s="392"/>
      <c r="M2305" s="970"/>
      <c r="N2305" s="304"/>
      <c r="O2305" s="304"/>
      <c r="P2305" s="79" t="str">
        <f>IF(AND('331-CT'!$E$7=TH!H2305,OR(N2305="331",O2305="331")),"x","")</f>
        <v/>
      </c>
      <c r="Q2305" s="79" t="str">
        <f>IF(AND(B2305='111'!$L$11,OR($N2305=$Q$7,$O2305=$Q$7)),"x","")</f>
        <v/>
      </c>
      <c r="R2305" s="79" t="str">
        <f>IF(AND($N2305=$Q$7,$B2305&lt;'111'!$L$11),"x","")</f>
        <v/>
      </c>
      <c r="S2305" s="79" t="str">
        <f>IF(AND($O2305=$Q$7,$B2305&lt;'111'!$L$11),"x","")</f>
        <v/>
      </c>
      <c r="T2305" s="79" t="str">
        <f>IF(ISERROR(FIND('112'!$M$9,G2305,1)),"",IF((AND(FIND('112'!$M$9,G2305,1)&gt;=1,B2305='112'!$K$9,OR($N2305='112'!$I$6,$O2305='112'!$I$6))),"x",""))</f>
        <v/>
      </c>
      <c r="U2305" s="79" t="str">
        <f>IF(ISERROR(FIND('112'!$M$9,G2305,1)),"",IF((AND(LEFT(G2305,2)=LEFT('112'!$M$9,2),B2305&lt;'112'!$K$9,$N2305='112'!$I$6)),"x",""))</f>
        <v/>
      </c>
      <c r="V2305" s="79" t="str">
        <f>IF(ISERROR(FIND('112'!$M$9,G2305,1)),"",IF((AND(RIGHT(G2305,2)=RIGHT('112'!$M$9,2),B2305&lt;'112'!$K$9,$O2305='112'!$I$6)),"x",""))</f>
        <v/>
      </c>
      <c r="W2305" s="79" t="str">
        <f>IF(AND('341-CT'!$H$9=H2305,OR(LEFT(N2305,3)=$W$7,LEFT(O2305,3)=$W$7)),"x","")</f>
        <v/>
      </c>
      <c r="X2305" s="79" t="str">
        <f>IF(OR(TH!N2305=TH!$X$7,O2305=TH!$X$7),"x","")</f>
        <v/>
      </c>
      <c r="Y2305" s="79" t="str">
        <f>IF(AND(OR(N2305="131",O2305="131"),H2305='131-CT'!$H$9),"x","")</f>
        <v/>
      </c>
      <c r="Z2305" s="79"/>
      <c r="AA2305" s="79" t="str">
        <f>IF(AND(MONTH(E2305)='IN-NX'!$J$5,'IN-NX'!$D$7=D2305),"x","")</f>
        <v/>
      </c>
      <c r="AB2305" s="79" t="str">
        <f>IF(AND(OR(LEFT(TH!N2305,2)="15",LEFT(TH!O2305,2)="15"),LEFT(TH!O2305,3)&lt;&gt;"111",'152-CT'!$J$8=TH!F2305),"x","")</f>
        <v/>
      </c>
      <c r="AC2305" s="79" t="str">
        <f>IF(AND(OR(LEFT(TH!N2305,2)="15",LEFT(TH!O2305,2)="15"),TK!$E$7=TH!F2305),"x","")</f>
        <v/>
      </c>
      <c r="AD2305" s="79" t="str">
        <f>IF(AND(N2305="1521",MONTH(C2305)='BK-NL'!$M$11),"x","")</f>
        <v/>
      </c>
    </row>
    <row r="2306" spans="1:30" ht="16.5" customHeight="1">
      <c r="A2306" s="318" t="str">
        <f>IF(B2306&lt;&gt;"",IF(AND(B2306='IN-TC'!$S$4,OR(TH!N2306="1111",TH!O2306="1111")),TH!D2306,""),"")</f>
        <v/>
      </c>
      <c r="B2306" s="60" t="str">
        <f t="shared" si="238"/>
        <v/>
      </c>
      <c r="C2306" s="301"/>
      <c r="D2306" s="301"/>
      <c r="E2306" s="301"/>
      <c r="F2306" s="392"/>
      <c r="G2306" s="968"/>
      <c r="H2306" s="321"/>
      <c r="I2306" s="385"/>
      <c r="J2306" s="969"/>
      <c r="K2306" s="385"/>
      <c r="L2306" s="392"/>
      <c r="M2306" s="970"/>
      <c r="N2306" s="304"/>
      <c r="O2306" s="304"/>
      <c r="P2306" s="79" t="str">
        <f>IF(AND('331-CT'!$E$7=TH!H2306,OR(N2306="331",O2306="331")),"x","")</f>
        <v/>
      </c>
      <c r="Q2306" s="79" t="str">
        <f>IF(AND(B2306='111'!$L$11,OR($N2306=$Q$7,$O2306=$Q$7)),"x","")</f>
        <v/>
      </c>
      <c r="R2306" s="79" t="str">
        <f>IF(AND($N2306=$Q$7,$B2306&lt;'111'!$L$11),"x","")</f>
        <v/>
      </c>
      <c r="S2306" s="79" t="str">
        <f>IF(AND($O2306=$Q$7,$B2306&lt;'111'!$L$11),"x","")</f>
        <v/>
      </c>
      <c r="T2306" s="79" t="str">
        <f>IF(ISERROR(FIND('112'!$M$9,G2306,1)),"",IF((AND(FIND('112'!$M$9,G2306,1)&gt;=1,B2306='112'!$K$9,OR($N2306='112'!$I$6,$O2306='112'!$I$6))),"x",""))</f>
        <v/>
      </c>
      <c r="U2306" s="79" t="str">
        <f>IF(ISERROR(FIND('112'!$M$9,G2306,1)),"",IF((AND(LEFT(G2306,2)=LEFT('112'!$M$9,2),B2306&lt;'112'!$K$9,$N2306='112'!$I$6)),"x",""))</f>
        <v/>
      </c>
      <c r="V2306" s="79" t="str">
        <f>IF(ISERROR(FIND('112'!$M$9,G2306,1)),"",IF((AND(RIGHT(G2306,2)=RIGHT('112'!$M$9,2),B2306&lt;'112'!$K$9,$O2306='112'!$I$6)),"x",""))</f>
        <v/>
      </c>
      <c r="W2306" s="79" t="str">
        <f>IF(AND('341-CT'!$H$9=H2306,OR(LEFT(N2306,3)=$W$7,LEFT(O2306,3)=$W$7)),"x","")</f>
        <v/>
      </c>
      <c r="X2306" s="79" t="str">
        <f>IF(OR(TH!N2306=TH!$X$7,O2306=TH!$X$7),"x","")</f>
        <v/>
      </c>
      <c r="Y2306" s="79" t="str">
        <f>IF(AND(OR(N2306="131",O2306="131"),H2306='131-CT'!$H$9),"x","")</f>
        <v/>
      </c>
      <c r="Z2306" s="79"/>
      <c r="AA2306" s="79" t="str">
        <f>IF(AND(MONTH(E2306)='IN-NX'!$J$5,'IN-NX'!$D$7=D2306),"x","")</f>
        <v/>
      </c>
      <c r="AB2306" s="79" t="str">
        <f>IF(AND(OR(LEFT(TH!N2306,2)="15",LEFT(TH!O2306,2)="15"),LEFT(TH!O2306,3)&lt;&gt;"111",'152-CT'!$J$8=TH!F2306),"x","")</f>
        <v/>
      </c>
      <c r="AC2306" s="79" t="str">
        <f>IF(AND(OR(LEFT(TH!N2306,2)="15",LEFT(TH!O2306,2)="15"),TK!$E$7=TH!F2306),"x","")</f>
        <v/>
      </c>
      <c r="AD2306" s="79" t="str">
        <f>IF(AND(N2306="1521",MONTH(C2306)='BK-NL'!$M$11),"x","")</f>
        <v/>
      </c>
    </row>
    <row r="2307" spans="1:30" ht="16.5" customHeight="1">
      <c r="A2307" s="318" t="str">
        <f>IF(B2307&lt;&gt;"",IF(AND(B2307='IN-TC'!$S$4,OR(TH!N2307="1111",TH!O2307="1111")),TH!D2307,""),"")</f>
        <v/>
      </c>
      <c r="B2307" s="60" t="str">
        <f t="shared" si="238"/>
        <v/>
      </c>
      <c r="C2307" s="301"/>
      <c r="D2307" s="301"/>
      <c r="E2307" s="301"/>
      <c r="F2307" s="392"/>
      <c r="G2307" s="968"/>
      <c r="H2307" s="321"/>
      <c r="I2307" s="385"/>
      <c r="J2307" s="969"/>
      <c r="K2307" s="385"/>
      <c r="L2307" s="392"/>
      <c r="M2307" s="970"/>
      <c r="N2307" s="304"/>
      <c r="O2307" s="304"/>
      <c r="P2307" s="79" t="str">
        <f>IF(AND('331-CT'!$E$7=TH!H2307,OR(N2307="331",O2307="331")),"x","")</f>
        <v/>
      </c>
      <c r="Q2307" s="79" t="str">
        <f>IF(AND(B2307='111'!$L$11,OR($N2307=$Q$7,$O2307=$Q$7)),"x","")</f>
        <v/>
      </c>
      <c r="R2307" s="79" t="str">
        <f>IF(AND($N2307=$Q$7,$B2307&lt;'111'!$L$11),"x","")</f>
        <v/>
      </c>
      <c r="S2307" s="79" t="str">
        <f>IF(AND($O2307=$Q$7,$B2307&lt;'111'!$L$11),"x","")</f>
        <v/>
      </c>
      <c r="T2307" s="79" t="str">
        <f>IF(ISERROR(FIND('112'!$M$9,G2307,1)),"",IF((AND(FIND('112'!$M$9,G2307,1)&gt;=1,B2307='112'!$K$9,OR($N2307='112'!$I$6,$O2307='112'!$I$6))),"x",""))</f>
        <v/>
      </c>
      <c r="U2307" s="79" t="str">
        <f>IF(ISERROR(FIND('112'!$M$9,G2307,1)),"",IF((AND(LEFT(G2307,2)=LEFT('112'!$M$9,2),B2307&lt;'112'!$K$9,$N2307='112'!$I$6)),"x",""))</f>
        <v/>
      </c>
      <c r="V2307" s="79" t="str">
        <f>IF(ISERROR(FIND('112'!$M$9,G2307,1)),"",IF((AND(RIGHT(G2307,2)=RIGHT('112'!$M$9,2),B2307&lt;'112'!$K$9,$O2307='112'!$I$6)),"x",""))</f>
        <v/>
      </c>
      <c r="W2307" s="79" t="str">
        <f>IF(AND('341-CT'!$H$9=H2307,OR(LEFT(N2307,3)=$W$7,LEFT(O2307,3)=$W$7)),"x","")</f>
        <v/>
      </c>
      <c r="X2307" s="79" t="str">
        <f>IF(OR(TH!N2307=TH!$X$7,O2307=TH!$X$7),"x","")</f>
        <v/>
      </c>
      <c r="Y2307" s="79" t="str">
        <f>IF(AND(OR(N2307="131",O2307="131"),H2307='131-CT'!$H$9),"x","")</f>
        <v/>
      </c>
      <c r="Z2307" s="79"/>
      <c r="AA2307" s="79" t="str">
        <f>IF(AND(MONTH(E2307)='IN-NX'!$J$5,'IN-NX'!$D$7=D2307),"x","")</f>
        <v/>
      </c>
      <c r="AB2307" s="79" t="str">
        <f>IF(AND(OR(LEFT(TH!N2307,2)="15",LEFT(TH!O2307,2)="15"),LEFT(TH!O2307,3)&lt;&gt;"111",'152-CT'!$J$8=TH!F2307),"x","")</f>
        <v/>
      </c>
      <c r="AC2307" s="79" t="str">
        <f>IF(AND(OR(LEFT(TH!N2307,2)="15",LEFT(TH!O2307,2)="15"),TK!$E$7=TH!F2307),"x","")</f>
        <v/>
      </c>
      <c r="AD2307" s="79" t="str">
        <f>IF(AND(N2307="1521",MONTH(C2307)='BK-NL'!$M$11),"x","")</f>
        <v/>
      </c>
    </row>
    <row r="2308" spans="1:30" ht="16.5" customHeight="1">
      <c r="A2308" s="318" t="str">
        <f>IF(B2308&lt;&gt;"",IF(AND(B2308='IN-TC'!$S$4,OR(TH!N2308="1111",TH!O2308="1111")),TH!D2308,""),"")</f>
        <v/>
      </c>
      <c r="B2308" s="60" t="str">
        <f t="shared" si="238"/>
        <v/>
      </c>
      <c r="C2308" s="301"/>
      <c r="D2308" s="301"/>
      <c r="E2308" s="301"/>
      <c r="F2308" s="392"/>
      <c r="G2308" s="968"/>
      <c r="H2308" s="321"/>
      <c r="I2308" s="385"/>
      <c r="J2308" s="969"/>
      <c r="K2308" s="385"/>
      <c r="L2308" s="392"/>
      <c r="M2308" s="970"/>
      <c r="N2308" s="304"/>
      <c r="O2308" s="304"/>
      <c r="P2308" s="79" t="str">
        <f>IF(AND('331-CT'!$E$7=TH!H2308,OR(N2308="331",O2308="331")),"x","")</f>
        <v/>
      </c>
      <c r="Q2308" s="79" t="str">
        <f>IF(AND(B2308='111'!$L$11,OR($N2308=$Q$7,$O2308=$Q$7)),"x","")</f>
        <v/>
      </c>
      <c r="R2308" s="79" t="str">
        <f>IF(AND($N2308=$Q$7,$B2308&lt;'111'!$L$11),"x","")</f>
        <v/>
      </c>
      <c r="S2308" s="79" t="str">
        <f>IF(AND($O2308=$Q$7,$B2308&lt;'111'!$L$11),"x","")</f>
        <v/>
      </c>
      <c r="T2308" s="79" t="str">
        <f>IF(ISERROR(FIND('112'!$M$9,G2308,1)),"",IF((AND(FIND('112'!$M$9,G2308,1)&gt;=1,B2308='112'!$K$9,OR($N2308='112'!$I$6,$O2308='112'!$I$6))),"x",""))</f>
        <v/>
      </c>
      <c r="U2308" s="79" t="str">
        <f>IF(ISERROR(FIND('112'!$M$9,G2308,1)),"",IF((AND(LEFT(G2308,2)=LEFT('112'!$M$9,2),B2308&lt;'112'!$K$9,$N2308='112'!$I$6)),"x",""))</f>
        <v/>
      </c>
      <c r="V2308" s="79" t="str">
        <f>IF(ISERROR(FIND('112'!$M$9,G2308,1)),"",IF((AND(RIGHT(G2308,2)=RIGHT('112'!$M$9,2),B2308&lt;'112'!$K$9,$O2308='112'!$I$6)),"x",""))</f>
        <v/>
      </c>
      <c r="W2308" s="79" t="str">
        <f>IF(AND('341-CT'!$H$9=H2308,OR(LEFT(N2308,3)=$W$7,LEFT(O2308,3)=$W$7)),"x","")</f>
        <v/>
      </c>
      <c r="X2308" s="79" t="str">
        <f>IF(OR(TH!N2308=TH!$X$7,O2308=TH!$X$7),"x","")</f>
        <v/>
      </c>
      <c r="Y2308" s="79" t="str">
        <f>IF(AND(OR(N2308="131",O2308="131"),H2308='131-CT'!$H$9),"x","")</f>
        <v/>
      </c>
      <c r="Z2308" s="79"/>
      <c r="AA2308" s="79" t="str">
        <f>IF(AND(MONTH(E2308)='IN-NX'!$J$5,'IN-NX'!$D$7=D2308),"x","")</f>
        <v/>
      </c>
      <c r="AB2308" s="79" t="str">
        <f>IF(AND(OR(LEFT(TH!N2308,2)="15",LEFT(TH!O2308,2)="15"),LEFT(TH!O2308,3)&lt;&gt;"111",'152-CT'!$J$8=TH!F2308),"x","")</f>
        <v/>
      </c>
      <c r="AC2308" s="79" t="str">
        <f>IF(AND(OR(LEFT(TH!N2308,2)="15",LEFT(TH!O2308,2)="15"),TK!$E$7=TH!F2308),"x","")</f>
        <v/>
      </c>
      <c r="AD2308" s="79" t="str">
        <f>IF(AND(N2308="1521",MONTH(C2308)='BK-NL'!$M$11),"x","")</f>
        <v/>
      </c>
    </row>
    <row r="2309" spans="1:30" ht="16.5" customHeight="1">
      <c r="A2309" s="318" t="str">
        <f>IF(B2309&lt;&gt;"",IF(AND(B2309='IN-TC'!$S$4,OR(TH!N2309="1111",TH!O2309="1111")),TH!D2309,""),"")</f>
        <v/>
      </c>
      <c r="B2309" s="60" t="str">
        <f t="shared" si="238"/>
        <v/>
      </c>
      <c r="C2309" s="301"/>
      <c r="D2309" s="301"/>
      <c r="E2309" s="301"/>
      <c r="F2309" s="392"/>
      <c r="G2309" s="968"/>
      <c r="H2309" s="321"/>
      <c r="I2309" s="385"/>
      <c r="J2309" s="969"/>
      <c r="K2309" s="385"/>
      <c r="L2309" s="392"/>
      <c r="M2309" s="970"/>
      <c r="N2309" s="304"/>
      <c r="O2309" s="304"/>
      <c r="P2309" s="79" t="str">
        <f>IF(AND('331-CT'!$E$7=TH!H2309,OR(N2309="331",O2309="331")),"x","")</f>
        <v/>
      </c>
      <c r="Q2309" s="79" t="str">
        <f>IF(AND(B2309='111'!$L$11,OR($N2309=$Q$7,$O2309=$Q$7)),"x","")</f>
        <v/>
      </c>
      <c r="R2309" s="79" t="str">
        <f>IF(AND($N2309=$Q$7,$B2309&lt;'111'!$L$11),"x","")</f>
        <v/>
      </c>
      <c r="S2309" s="79" t="str">
        <f>IF(AND($O2309=$Q$7,$B2309&lt;'111'!$L$11),"x","")</f>
        <v/>
      </c>
      <c r="T2309" s="79" t="str">
        <f>IF(ISERROR(FIND('112'!$M$9,G2309,1)),"",IF((AND(FIND('112'!$M$9,G2309,1)&gt;=1,B2309='112'!$K$9,OR($N2309='112'!$I$6,$O2309='112'!$I$6))),"x",""))</f>
        <v/>
      </c>
      <c r="U2309" s="79" t="str">
        <f>IF(ISERROR(FIND('112'!$M$9,G2309,1)),"",IF((AND(LEFT(G2309,2)=LEFT('112'!$M$9,2),B2309&lt;'112'!$K$9,$N2309='112'!$I$6)),"x",""))</f>
        <v/>
      </c>
      <c r="V2309" s="79" t="str">
        <f>IF(ISERROR(FIND('112'!$M$9,G2309,1)),"",IF((AND(RIGHT(G2309,2)=RIGHT('112'!$M$9,2),B2309&lt;'112'!$K$9,$O2309='112'!$I$6)),"x",""))</f>
        <v/>
      </c>
      <c r="W2309" s="79" t="str">
        <f>IF(AND('341-CT'!$H$9=H2309,OR(LEFT(N2309,3)=$W$7,LEFT(O2309,3)=$W$7)),"x","")</f>
        <v/>
      </c>
      <c r="X2309" s="79" t="str">
        <f>IF(OR(TH!N2309=TH!$X$7,O2309=TH!$X$7),"x","")</f>
        <v/>
      </c>
      <c r="Y2309" s="79" t="str">
        <f>IF(AND(OR(N2309="131",O2309="131"),H2309='131-CT'!$H$9),"x","")</f>
        <v/>
      </c>
      <c r="Z2309" s="79"/>
      <c r="AA2309" s="79" t="str">
        <f>IF(AND(MONTH(E2309)='IN-NX'!$J$5,'IN-NX'!$D$7=D2309),"x","")</f>
        <v/>
      </c>
      <c r="AB2309" s="79" t="str">
        <f>IF(AND(OR(LEFT(TH!N2309,2)="15",LEFT(TH!O2309,2)="15"),LEFT(TH!O2309,3)&lt;&gt;"111",'152-CT'!$J$8=TH!F2309),"x","")</f>
        <v/>
      </c>
      <c r="AC2309" s="79" t="str">
        <f>IF(AND(OR(LEFT(TH!N2309,2)="15",LEFT(TH!O2309,2)="15"),TK!$E$7=TH!F2309),"x","")</f>
        <v/>
      </c>
      <c r="AD2309" s="79" t="str">
        <f>IF(AND(N2309="1521",MONTH(C2309)='BK-NL'!$M$11),"x","")</f>
        <v/>
      </c>
    </row>
    <row r="2310" spans="1:30" ht="16.5" customHeight="1">
      <c r="A2310" s="318" t="str">
        <f>IF(B2310&lt;&gt;"",IF(AND(B2310='IN-TC'!$S$4,OR(TH!N2310="1111",TH!O2310="1111")),TH!D2310,""),"")</f>
        <v/>
      </c>
      <c r="B2310" s="60" t="str">
        <f t="shared" si="238"/>
        <v/>
      </c>
      <c r="C2310" s="301"/>
      <c r="D2310" s="301"/>
      <c r="E2310" s="301"/>
      <c r="F2310" s="392"/>
      <c r="G2310" s="968"/>
      <c r="H2310" s="321"/>
      <c r="I2310" s="385"/>
      <c r="J2310" s="969"/>
      <c r="K2310" s="385"/>
      <c r="L2310" s="392"/>
      <c r="M2310" s="970"/>
      <c r="N2310" s="304"/>
      <c r="O2310" s="304"/>
      <c r="P2310" s="79" t="str">
        <f>IF(AND('331-CT'!$E$7=TH!H2310,OR(N2310="331",O2310="331")),"x","")</f>
        <v/>
      </c>
      <c r="Q2310" s="79" t="str">
        <f>IF(AND(B2310='111'!$L$11,OR($N2310=$Q$7,$O2310=$Q$7)),"x","")</f>
        <v/>
      </c>
      <c r="R2310" s="79" t="str">
        <f>IF(AND($N2310=$Q$7,$B2310&lt;'111'!$L$11),"x","")</f>
        <v/>
      </c>
      <c r="S2310" s="79" t="str">
        <f>IF(AND($O2310=$Q$7,$B2310&lt;'111'!$L$11),"x","")</f>
        <v/>
      </c>
      <c r="T2310" s="79" t="str">
        <f>IF(ISERROR(FIND('112'!$M$9,G2310,1)),"",IF((AND(FIND('112'!$M$9,G2310,1)&gt;=1,B2310='112'!$K$9,OR($N2310='112'!$I$6,$O2310='112'!$I$6))),"x",""))</f>
        <v/>
      </c>
      <c r="U2310" s="79" t="str">
        <f>IF(ISERROR(FIND('112'!$M$9,G2310,1)),"",IF((AND(LEFT(G2310,2)=LEFT('112'!$M$9,2),B2310&lt;'112'!$K$9,$N2310='112'!$I$6)),"x",""))</f>
        <v/>
      </c>
      <c r="V2310" s="79" t="str">
        <f>IF(ISERROR(FIND('112'!$M$9,G2310,1)),"",IF((AND(RIGHT(G2310,2)=RIGHT('112'!$M$9,2),B2310&lt;'112'!$K$9,$O2310='112'!$I$6)),"x",""))</f>
        <v/>
      </c>
      <c r="W2310" s="79" t="str">
        <f>IF(AND('341-CT'!$H$9=H2310,OR(LEFT(N2310,3)=$W$7,LEFT(O2310,3)=$W$7)),"x","")</f>
        <v/>
      </c>
      <c r="X2310" s="79" t="str">
        <f>IF(OR(TH!N2310=TH!$X$7,O2310=TH!$X$7),"x","")</f>
        <v/>
      </c>
      <c r="Y2310" s="79" t="str">
        <f>IF(AND(OR(N2310="131",O2310="131"),H2310='131-CT'!$H$9),"x","")</f>
        <v/>
      </c>
      <c r="Z2310" s="79"/>
      <c r="AA2310" s="79" t="str">
        <f>IF(AND(MONTH(E2310)='IN-NX'!$J$5,'IN-NX'!$D$7=D2310),"x","")</f>
        <v/>
      </c>
      <c r="AB2310" s="79" t="str">
        <f>IF(AND(OR(LEFT(TH!N2310,2)="15",LEFT(TH!O2310,2)="15"),LEFT(TH!O2310,3)&lt;&gt;"111",'152-CT'!$J$8=TH!F2310),"x","")</f>
        <v/>
      </c>
      <c r="AC2310" s="79" t="str">
        <f>IF(AND(OR(LEFT(TH!N2310,2)="15",LEFT(TH!O2310,2)="15"),TK!$E$7=TH!F2310),"x","")</f>
        <v/>
      </c>
      <c r="AD2310" s="79" t="str">
        <f>IF(AND(N2310="1521",MONTH(C2310)='BK-NL'!$M$11),"x","")</f>
        <v/>
      </c>
    </row>
    <row r="2311" spans="1:30" ht="16.5" customHeight="1">
      <c r="A2311" s="318" t="str">
        <f>IF(B2311&lt;&gt;"",IF(AND(B2311='IN-TC'!$S$4,OR(TH!N2311="1111",TH!O2311="1111")),TH!D2311,""),"")</f>
        <v/>
      </c>
      <c r="B2311" s="60" t="str">
        <f t="shared" si="238"/>
        <v/>
      </c>
      <c r="C2311" s="301"/>
      <c r="D2311" s="301"/>
      <c r="E2311" s="301"/>
      <c r="F2311" s="392"/>
      <c r="G2311" s="968"/>
      <c r="H2311" s="321"/>
      <c r="I2311" s="385"/>
      <c r="J2311" s="969"/>
      <c r="K2311" s="385"/>
      <c r="L2311" s="392"/>
      <c r="M2311" s="970"/>
      <c r="N2311" s="304"/>
      <c r="O2311" s="304"/>
      <c r="P2311" s="79" t="str">
        <f>IF(AND('331-CT'!$E$7=TH!H2311,OR(N2311="331",O2311="331")),"x","")</f>
        <v/>
      </c>
      <c r="Q2311" s="79" t="str">
        <f>IF(AND(B2311='111'!$L$11,OR($N2311=$Q$7,$O2311=$Q$7)),"x","")</f>
        <v/>
      </c>
      <c r="R2311" s="79" t="str">
        <f>IF(AND($N2311=$Q$7,$B2311&lt;'111'!$L$11),"x","")</f>
        <v/>
      </c>
      <c r="S2311" s="79" t="str">
        <f>IF(AND($O2311=$Q$7,$B2311&lt;'111'!$L$11),"x","")</f>
        <v/>
      </c>
      <c r="T2311" s="79" t="str">
        <f>IF(ISERROR(FIND('112'!$M$9,G2311,1)),"",IF((AND(FIND('112'!$M$9,G2311,1)&gt;=1,B2311='112'!$K$9,OR($N2311='112'!$I$6,$O2311='112'!$I$6))),"x",""))</f>
        <v/>
      </c>
      <c r="U2311" s="79" t="str">
        <f>IF(ISERROR(FIND('112'!$M$9,G2311,1)),"",IF((AND(LEFT(G2311,2)=LEFT('112'!$M$9,2),B2311&lt;'112'!$K$9,$N2311='112'!$I$6)),"x",""))</f>
        <v/>
      </c>
      <c r="V2311" s="79" t="str">
        <f>IF(ISERROR(FIND('112'!$M$9,G2311,1)),"",IF((AND(RIGHT(G2311,2)=RIGHT('112'!$M$9,2),B2311&lt;'112'!$K$9,$O2311='112'!$I$6)),"x",""))</f>
        <v/>
      </c>
      <c r="W2311" s="79" t="str">
        <f>IF(AND('341-CT'!$H$9=H2311,OR(LEFT(N2311,3)=$W$7,LEFT(O2311,3)=$W$7)),"x","")</f>
        <v/>
      </c>
      <c r="X2311" s="79" t="str">
        <f>IF(OR(TH!N2311=TH!$X$7,O2311=TH!$X$7),"x","")</f>
        <v/>
      </c>
      <c r="Y2311" s="79" t="str">
        <f>IF(AND(OR(N2311="131",O2311="131"),H2311='131-CT'!$H$9),"x","")</f>
        <v/>
      </c>
      <c r="Z2311" s="79"/>
      <c r="AA2311" s="79" t="str">
        <f>IF(AND(MONTH(E2311)='IN-NX'!$J$5,'IN-NX'!$D$7=D2311),"x","")</f>
        <v/>
      </c>
      <c r="AB2311" s="79" t="str">
        <f>IF(AND(OR(LEFT(TH!N2311,2)="15",LEFT(TH!O2311,2)="15"),LEFT(TH!O2311,3)&lt;&gt;"111",'152-CT'!$J$8=TH!F2311),"x","")</f>
        <v/>
      </c>
      <c r="AC2311" s="79" t="str">
        <f>IF(AND(OR(LEFT(TH!N2311,2)="15",LEFT(TH!O2311,2)="15"),TK!$E$7=TH!F2311),"x","")</f>
        <v/>
      </c>
      <c r="AD2311" s="79" t="str">
        <f>IF(AND(N2311="1521",MONTH(C2311)='BK-NL'!$M$11),"x","")</f>
        <v/>
      </c>
    </row>
    <row r="2312" spans="1:30" ht="16.5" customHeight="1">
      <c r="A2312" s="318" t="str">
        <f>IF(B2312&lt;&gt;"",IF(AND(B2312='IN-TC'!$S$4,OR(TH!N2312="1111",TH!O2312="1111")),TH!D2312,""),"")</f>
        <v/>
      </c>
      <c r="B2312" s="60" t="str">
        <f t="shared" si="238"/>
        <v/>
      </c>
      <c r="C2312" s="301"/>
      <c r="D2312" s="301"/>
      <c r="E2312" s="301"/>
      <c r="F2312" s="392"/>
      <c r="G2312" s="968"/>
      <c r="H2312" s="321"/>
      <c r="I2312" s="385"/>
      <c r="J2312" s="969"/>
      <c r="K2312" s="385"/>
      <c r="L2312" s="392"/>
      <c r="M2312" s="970"/>
      <c r="N2312" s="304"/>
      <c r="O2312" s="304"/>
      <c r="P2312" s="79" t="str">
        <f>IF(AND('331-CT'!$E$7=TH!H2312,OR(N2312="331",O2312="331")),"x","")</f>
        <v/>
      </c>
      <c r="Q2312" s="79" t="str">
        <f>IF(AND(B2312='111'!$L$11,OR($N2312=$Q$7,$O2312=$Q$7)),"x","")</f>
        <v/>
      </c>
      <c r="R2312" s="79" t="str">
        <f>IF(AND($N2312=$Q$7,$B2312&lt;'111'!$L$11),"x","")</f>
        <v/>
      </c>
      <c r="S2312" s="79" t="str">
        <f>IF(AND($O2312=$Q$7,$B2312&lt;'111'!$L$11),"x","")</f>
        <v/>
      </c>
      <c r="T2312" s="79" t="str">
        <f>IF(ISERROR(FIND('112'!$M$9,G2312,1)),"",IF((AND(FIND('112'!$M$9,G2312,1)&gt;=1,B2312='112'!$K$9,OR($N2312='112'!$I$6,$O2312='112'!$I$6))),"x",""))</f>
        <v/>
      </c>
      <c r="U2312" s="79" t="str">
        <f>IF(ISERROR(FIND('112'!$M$9,G2312,1)),"",IF((AND(LEFT(G2312,2)=LEFT('112'!$M$9,2),B2312&lt;'112'!$K$9,$N2312='112'!$I$6)),"x",""))</f>
        <v/>
      </c>
      <c r="V2312" s="79" t="str">
        <f>IF(ISERROR(FIND('112'!$M$9,G2312,1)),"",IF((AND(RIGHT(G2312,2)=RIGHT('112'!$M$9,2),B2312&lt;'112'!$K$9,$O2312='112'!$I$6)),"x",""))</f>
        <v/>
      </c>
      <c r="W2312" s="79" t="str">
        <f>IF(AND('341-CT'!$H$9=H2312,OR(LEFT(N2312,3)=$W$7,LEFT(O2312,3)=$W$7)),"x","")</f>
        <v/>
      </c>
      <c r="X2312" s="79" t="str">
        <f>IF(OR(TH!N2312=TH!$X$7,O2312=TH!$X$7),"x","")</f>
        <v/>
      </c>
      <c r="Y2312" s="79" t="str">
        <f>IF(AND(OR(N2312="131",O2312="131"),H2312='131-CT'!$H$9),"x","")</f>
        <v/>
      </c>
      <c r="Z2312" s="79"/>
      <c r="AA2312" s="79" t="str">
        <f>IF(AND(MONTH(E2312)='IN-NX'!$J$5,'IN-NX'!$D$7=D2312),"x","")</f>
        <v/>
      </c>
      <c r="AB2312" s="79" t="str">
        <f>IF(AND(OR(LEFT(TH!N2312,2)="15",LEFT(TH!O2312,2)="15"),LEFT(TH!O2312,3)&lt;&gt;"111",'152-CT'!$J$8=TH!F2312),"x","")</f>
        <v/>
      </c>
      <c r="AC2312" s="79" t="str">
        <f>IF(AND(OR(LEFT(TH!N2312,2)="15",LEFT(TH!O2312,2)="15"),TK!$E$7=TH!F2312),"x","")</f>
        <v/>
      </c>
      <c r="AD2312" s="79" t="str">
        <f>IF(AND(N2312="1521",MONTH(C2312)='BK-NL'!$M$11),"x","")</f>
        <v/>
      </c>
    </row>
    <row r="2313" spans="1:30" ht="16.5" customHeight="1">
      <c r="A2313" s="318" t="str">
        <f>IF(B2313&lt;&gt;"",IF(AND(B2313='IN-TC'!$S$4,OR(TH!N2313="1111",TH!O2313="1111")),TH!D2313,""),"")</f>
        <v/>
      </c>
      <c r="B2313" s="60" t="str">
        <f t="shared" si="238"/>
        <v/>
      </c>
      <c r="C2313" s="301"/>
      <c r="D2313" s="301"/>
      <c r="E2313" s="301"/>
      <c r="F2313" s="392"/>
      <c r="G2313" s="968"/>
      <c r="H2313" s="321"/>
      <c r="I2313" s="385"/>
      <c r="J2313" s="969"/>
      <c r="K2313" s="385"/>
      <c r="L2313" s="392"/>
      <c r="M2313" s="970"/>
      <c r="N2313" s="304"/>
      <c r="O2313" s="304"/>
      <c r="P2313" s="79" t="str">
        <f>IF(AND('331-CT'!$E$7=TH!H2313,OR(N2313="331",O2313="331")),"x","")</f>
        <v/>
      </c>
      <c r="Q2313" s="79" t="str">
        <f>IF(AND(B2313='111'!$L$11,OR($N2313=$Q$7,$O2313=$Q$7)),"x","")</f>
        <v/>
      </c>
      <c r="R2313" s="79" t="str">
        <f>IF(AND($N2313=$Q$7,$B2313&lt;'111'!$L$11),"x","")</f>
        <v/>
      </c>
      <c r="S2313" s="79" t="str">
        <f>IF(AND($O2313=$Q$7,$B2313&lt;'111'!$L$11),"x","")</f>
        <v/>
      </c>
      <c r="T2313" s="79" t="str">
        <f>IF(ISERROR(FIND('112'!$M$9,G2313,1)),"",IF((AND(FIND('112'!$M$9,G2313,1)&gt;=1,B2313='112'!$K$9,OR($N2313='112'!$I$6,$O2313='112'!$I$6))),"x",""))</f>
        <v/>
      </c>
      <c r="U2313" s="79" t="str">
        <f>IF(ISERROR(FIND('112'!$M$9,G2313,1)),"",IF((AND(LEFT(G2313,2)=LEFT('112'!$M$9,2),B2313&lt;'112'!$K$9,$N2313='112'!$I$6)),"x",""))</f>
        <v/>
      </c>
      <c r="V2313" s="79" t="str">
        <f>IF(ISERROR(FIND('112'!$M$9,G2313,1)),"",IF((AND(RIGHT(G2313,2)=RIGHT('112'!$M$9,2),B2313&lt;'112'!$K$9,$O2313='112'!$I$6)),"x",""))</f>
        <v/>
      </c>
      <c r="W2313" s="79" t="str">
        <f>IF(AND('341-CT'!$H$9=H2313,OR(LEFT(N2313,3)=$W$7,LEFT(O2313,3)=$W$7)),"x","")</f>
        <v/>
      </c>
      <c r="X2313" s="79" t="str">
        <f>IF(OR(TH!N2313=TH!$X$7,O2313=TH!$X$7),"x","")</f>
        <v/>
      </c>
      <c r="Y2313" s="79" t="str">
        <f>IF(AND(OR(N2313="131",O2313="131"),H2313='131-CT'!$H$9),"x","")</f>
        <v/>
      </c>
      <c r="Z2313" s="79"/>
      <c r="AA2313" s="79" t="str">
        <f>IF(AND(MONTH(E2313)='IN-NX'!$J$5,'IN-NX'!$D$7=D2313),"x","")</f>
        <v/>
      </c>
      <c r="AB2313" s="79" t="str">
        <f>IF(AND(OR(LEFT(TH!N2313,2)="15",LEFT(TH!O2313,2)="15"),LEFT(TH!O2313,3)&lt;&gt;"111",'152-CT'!$J$8=TH!F2313),"x","")</f>
        <v/>
      </c>
      <c r="AC2313" s="79" t="str">
        <f>IF(AND(OR(LEFT(TH!N2313,2)="15",LEFT(TH!O2313,2)="15"),TK!$E$7=TH!F2313),"x","")</f>
        <v/>
      </c>
      <c r="AD2313" s="79" t="str">
        <f>IF(AND(N2313="1521",MONTH(C2313)='BK-NL'!$M$11),"x","")</f>
        <v/>
      </c>
    </row>
    <row r="2314" spans="1:30" ht="16.5" customHeight="1">
      <c r="A2314" s="318" t="str">
        <f>IF(B2314&lt;&gt;"",IF(AND(B2314='IN-TC'!$S$4,OR(TH!N2314="1111",TH!O2314="1111")),TH!D2314,""),"")</f>
        <v/>
      </c>
      <c r="B2314" s="60" t="str">
        <f t="shared" si="238"/>
        <v/>
      </c>
      <c r="C2314" s="301"/>
      <c r="D2314" s="301"/>
      <c r="E2314" s="301"/>
      <c r="F2314" s="69"/>
      <c r="G2314" s="968"/>
      <c r="H2314" s="303"/>
      <c r="I2314" s="385"/>
      <c r="J2314" s="969"/>
      <c r="K2314" s="385"/>
      <c r="L2314" s="392"/>
      <c r="M2314" s="970"/>
      <c r="N2314" s="304"/>
      <c r="O2314" s="304"/>
      <c r="P2314" s="79" t="str">
        <f>IF(AND('331-CT'!$E$7=TH!H2314,OR(N2314="331",O2314="331")),"x","")</f>
        <v/>
      </c>
      <c r="Q2314" s="79" t="str">
        <f>IF(AND(B2314='111'!$L$11,OR($N2314=$Q$7,$O2314=$Q$7)),"x","")</f>
        <v/>
      </c>
      <c r="R2314" s="79" t="str">
        <f>IF(AND($N2314=$Q$7,$B2314&lt;'111'!$L$11),"x","")</f>
        <v/>
      </c>
      <c r="S2314" s="79" t="str">
        <f>IF(AND($O2314=$Q$7,$B2314&lt;'111'!$L$11),"x","")</f>
        <v/>
      </c>
      <c r="T2314" s="79" t="str">
        <f>IF(ISERROR(FIND('112'!$M$9,G2314,1)),"",IF((AND(FIND('112'!$M$9,G2314,1)&gt;=1,B2314='112'!$K$9,OR($N2314='112'!$I$6,$O2314='112'!$I$6))),"x",""))</f>
        <v/>
      </c>
      <c r="U2314" s="79" t="str">
        <f>IF(ISERROR(FIND('112'!$M$9,G2314,1)),"",IF((AND(LEFT(G2314,2)=LEFT('112'!$M$9,2),B2314&lt;'112'!$K$9,$N2314='112'!$I$6)),"x",""))</f>
        <v/>
      </c>
      <c r="V2314" s="79" t="str">
        <f>IF(ISERROR(FIND('112'!$M$9,G2314,1)),"",IF((AND(RIGHT(G2314,2)=RIGHT('112'!$M$9,2),B2314&lt;'112'!$K$9,$O2314='112'!$I$6)),"x",""))</f>
        <v/>
      </c>
      <c r="W2314" s="79" t="str">
        <f>IF(AND('341-CT'!$H$9=H2314,OR(LEFT(N2314,3)=$W$7,LEFT(O2314,3)=$W$7)),"x","")</f>
        <v/>
      </c>
      <c r="X2314" s="79" t="str">
        <f>IF(OR(TH!N2314=TH!$X$7,O2314=TH!$X$7),"x","")</f>
        <v/>
      </c>
      <c r="Y2314" s="79" t="str">
        <f>IF(AND(OR(N2314="131",O2314="131"),H2314='131-CT'!$H$9),"x","")</f>
        <v/>
      </c>
      <c r="Z2314" s="79"/>
      <c r="AA2314" s="79" t="str">
        <f>IF(AND(MONTH(E2314)='IN-NX'!$J$5,'IN-NX'!$D$7=D2314),"x","")</f>
        <v/>
      </c>
      <c r="AB2314" s="79" t="str">
        <f>IF(AND(OR(LEFT(TH!N2314,2)="15",LEFT(TH!O2314,2)="15"),LEFT(TH!O2314,3)&lt;&gt;"111",'152-CT'!$J$8=TH!F2314),"x","")</f>
        <v/>
      </c>
      <c r="AC2314" s="79" t="str">
        <f>IF(AND(OR(LEFT(TH!N2314,2)="15",LEFT(TH!O2314,2)="15"),TK!$E$7=TH!F2314),"x","")</f>
        <v/>
      </c>
      <c r="AD2314" s="79" t="str">
        <f>IF(AND(N2314="1521",MONTH(C2314)='BK-NL'!$M$11),"x","")</f>
        <v/>
      </c>
    </row>
    <row r="2315" spans="1:30" ht="16.5" customHeight="1">
      <c r="A2315" s="318" t="str">
        <f>IF(B2315&lt;&gt;"",IF(AND(B2315='IN-TC'!$S$4,OR(TH!N2315="1111",TH!O2315="1111")),TH!D2315,""),"")</f>
        <v/>
      </c>
      <c r="B2315" s="60" t="str">
        <f t="shared" si="238"/>
        <v/>
      </c>
      <c r="C2315" s="301"/>
      <c r="D2315" s="301"/>
      <c r="E2315" s="301"/>
      <c r="F2315" s="69"/>
      <c r="G2315" s="968"/>
      <c r="H2315" s="303"/>
      <c r="I2315" s="385"/>
      <c r="J2315" s="969"/>
      <c r="K2315" s="385"/>
      <c r="L2315" s="392"/>
      <c r="M2315" s="970"/>
      <c r="N2315" s="304"/>
      <c r="O2315" s="304"/>
      <c r="P2315" s="79" t="str">
        <f>IF(AND('331-CT'!$E$7=TH!H2315,OR(N2315="331",O2315="331")),"x","")</f>
        <v/>
      </c>
      <c r="Q2315" s="79" t="str">
        <f>IF(AND(B2315='111'!$L$11,OR($N2315=$Q$7,$O2315=$Q$7)),"x","")</f>
        <v/>
      </c>
      <c r="R2315" s="79" t="str">
        <f>IF(AND($N2315=$Q$7,$B2315&lt;'111'!$L$11),"x","")</f>
        <v/>
      </c>
      <c r="S2315" s="79" t="str">
        <f>IF(AND($O2315=$Q$7,$B2315&lt;'111'!$L$11),"x","")</f>
        <v/>
      </c>
      <c r="T2315" s="79" t="str">
        <f>IF(ISERROR(FIND('112'!$M$9,G2315,1)),"",IF((AND(FIND('112'!$M$9,G2315,1)&gt;=1,B2315='112'!$K$9,OR($N2315='112'!$I$6,$O2315='112'!$I$6))),"x",""))</f>
        <v/>
      </c>
      <c r="U2315" s="79" t="str">
        <f>IF(ISERROR(FIND('112'!$M$9,G2315,1)),"",IF((AND(LEFT(G2315,2)=LEFT('112'!$M$9,2),B2315&lt;'112'!$K$9,$N2315='112'!$I$6)),"x",""))</f>
        <v/>
      </c>
      <c r="V2315" s="79" t="str">
        <f>IF(ISERROR(FIND('112'!$M$9,G2315,1)),"",IF((AND(RIGHT(G2315,2)=RIGHT('112'!$M$9,2),B2315&lt;'112'!$K$9,$O2315='112'!$I$6)),"x",""))</f>
        <v/>
      </c>
      <c r="W2315" s="79" t="str">
        <f>IF(AND('341-CT'!$H$9=H2315,OR(LEFT(N2315,3)=$W$7,LEFT(O2315,3)=$W$7)),"x","")</f>
        <v/>
      </c>
      <c r="X2315" s="79" t="str">
        <f>IF(OR(TH!N2315=TH!$X$7,O2315=TH!$X$7),"x","")</f>
        <v/>
      </c>
      <c r="Y2315" s="79" t="str">
        <f>IF(AND(OR(N2315="131",O2315="131"),H2315='131-CT'!$H$9),"x","")</f>
        <v/>
      </c>
      <c r="Z2315" s="79"/>
      <c r="AA2315" s="79" t="str">
        <f>IF(AND(MONTH(E2315)='IN-NX'!$J$5,'IN-NX'!$D$7=D2315),"x","")</f>
        <v/>
      </c>
      <c r="AB2315" s="79" t="str">
        <f>IF(AND(OR(LEFT(TH!N2315,2)="15",LEFT(TH!O2315,2)="15"),LEFT(TH!O2315,3)&lt;&gt;"111",'152-CT'!$J$8=TH!F2315),"x","")</f>
        <v/>
      </c>
      <c r="AC2315" s="79" t="str">
        <f>IF(AND(OR(LEFT(TH!N2315,2)="15",LEFT(TH!O2315,2)="15"),TK!$E$7=TH!F2315),"x","")</f>
        <v/>
      </c>
      <c r="AD2315" s="79" t="str">
        <f>IF(AND(N2315="1521",MONTH(C2315)='BK-NL'!$M$11),"x","")</f>
        <v/>
      </c>
    </row>
    <row r="2316" spans="1:30" ht="16.5" customHeight="1">
      <c r="A2316" s="318" t="str">
        <f>IF(B2316&lt;&gt;"",IF(AND(B2316='IN-TC'!$S$4,OR(TH!N2316="1111",TH!O2316="1111")),TH!D2316,""),"")</f>
        <v/>
      </c>
      <c r="B2316" s="60" t="str">
        <f t="shared" si="238"/>
        <v/>
      </c>
      <c r="C2316" s="974"/>
      <c r="D2316" s="301"/>
      <c r="E2316" s="974"/>
      <c r="F2316" s="77"/>
      <c r="G2316" s="976"/>
      <c r="H2316" s="305"/>
      <c r="I2316" s="383"/>
      <c r="J2316" s="977"/>
      <c r="K2316" s="383"/>
      <c r="L2316" s="390"/>
      <c r="M2316" s="978"/>
      <c r="N2316" s="979"/>
      <c r="O2316" s="979"/>
      <c r="P2316" s="79" t="str">
        <f>IF(AND('331-CT'!$E$7=TH!H2316,OR(N2316="331",O2316="331")),"x","")</f>
        <v/>
      </c>
      <c r="Q2316" s="79" t="str">
        <f>IF(AND(B2316='111'!$L$11,OR($N2316=$Q$7,$O2316=$Q$7)),"x","")</f>
        <v/>
      </c>
      <c r="R2316" s="79" t="str">
        <f>IF(AND($N2316=$Q$7,$B2316&lt;'111'!$L$11),"x","")</f>
        <v/>
      </c>
      <c r="S2316" s="79" t="str">
        <f>IF(AND($O2316=$Q$7,$B2316&lt;'111'!$L$11),"x","")</f>
        <v/>
      </c>
      <c r="T2316" s="79" t="str">
        <f>IF(ISERROR(FIND('112'!$M$9,G2316,1)),"",IF((AND(FIND('112'!$M$9,G2316,1)&gt;=1,B2316='112'!$K$9,OR($N2316='112'!$I$6,$O2316='112'!$I$6))),"x",""))</f>
        <v/>
      </c>
      <c r="U2316" s="79" t="str">
        <f>IF(ISERROR(FIND('112'!$M$9,G2316,1)),"",IF((AND(LEFT(G2316,2)=LEFT('112'!$M$9,2),B2316&lt;'112'!$K$9,$N2316='112'!$I$6)),"x",""))</f>
        <v/>
      </c>
      <c r="V2316" s="79" t="str">
        <f>IF(ISERROR(FIND('112'!$M$9,G2316,1)),"",IF((AND(RIGHT(G2316,2)=RIGHT('112'!$M$9,2),B2316&lt;'112'!$K$9,$O2316='112'!$I$6)),"x",""))</f>
        <v/>
      </c>
      <c r="W2316" s="79" t="str">
        <f>IF(AND('341-CT'!$H$9=H2316,OR(LEFT(N2316,3)=$W$7,LEFT(O2316,3)=$W$7)),"x","")</f>
        <v/>
      </c>
      <c r="X2316" s="79" t="str">
        <f>IF(OR(TH!N2316=TH!$X$7,O2316=TH!$X$7),"x","")</f>
        <v/>
      </c>
      <c r="Y2316" s="79" t="str">
        <f>IF(AND(OR(N2316="131",O2316="131"),H2316='131-CT'!$H$9),"x","")</f>
        <v/>
      </c>
      <c r="Z2316" s="79"/>
      <c r="AA2316" s="79" t="str">
        <f>IF(AND(MONTH(E2316)='IN-NX'!$J$5,'IN-NX'!$D$7=D2316),"x","")</f>
        <v/>
      </c>
      <c r="AB2316" s="79" t="str">
        <f>IF(AND(OR(LEFT(TH!N2316,2)="15",LEFT(TH!O2316,2)="15"),LEFT(TH!O2316,3)&lt;&gt;"111",'152-CT'!$J$8=TH!F2316),"x","")</f>
        <v/>
      </c>
      <c r="AC2316" s="79" t="str">
        <f>IF(AND(OR(LEFT(TH!N2316,2)="15",LEFT(TH!O2316,2)="15"),TK!$E$7=TH!F2316),"x","")</f>
        <v/>
      </c>
      <c r="AD2316" s="79" t="str">
        <f>IF(AND(N2316="1521",MONTH(C2316)='BK-NL'!$M$11),"x","")</f>
        <v/>
      </c>
    </row>
    <row r="2317" spans="1:30" ht="16.5" customHeight="1">
      <c r="A2317" s="318" t="str">
        <f>IF(B2317&lt;&gt;"",IF(AND(B2317='IN-TC'!$S$4,OR(TH!N2317="1111",TH!O2317="1111")),TH!D2317,""),"")</f>
        <v/>
      </c>
      <c r="B2317" s="60" t="str">
        <f t="shared" si="238"/>
        <v/>
      </c>
      <c r="C2317" s="974"/>
      <c r="D2317" s="301"/>
      <c r="E2317" s="974"/>
      <c r="F2317" s="77"/>
      <c r="G2317" s="976"/>
      <c r="H2317" s="305"/>
      <c r="I2317" s="383"/>
      <c r="J2317" s="977"/>
      <c r="K2317" s="383"/>
      <c r="L2317" s="390"/>
      <c r="M2317" s="978"/>
      <c r="N2317" s="979"/>
      <c r="O2317" s="979"/>
      <c r="P2317" s="79" t="str">
        <f>IF(AND('331-CT'!$E$7=TH!H2317,OR(N2317="331",O2317="331")),"x","")</f>
        <v/>
      </c>
      <c r="Q2317" s="79" t="str">
        <f>IF(AND(B2317='111'!$L$11,OR($N2317=$Q$7,$O2317=$Q$7)),"x","")</f>
        <v/>
      </c>
      <c r="R2317" s="79" t="str">
        <f>IF(AND($N2317=$Q$7,$B2317&lt;'111'!$L$11),"x","")</f>
        <v/>
      </c>
      <c r="S2317" s="79" t="str">
        <f>IF(AND($O2317=$Q$7,$B2317&lt;'111'!$L$11),"x","")</f>
        <v/>
      </c>
      <c r="T2317" s="79" t="str">
        <f>IF(ISERROR(FIND('112'!$M$9,G2317,1)),"",IF((AND(FIND('112'!$M$9,G2317,1)&gt;=1,B2317='112'!$K$9,OR($N2317='112'!$I$6,$O2317='112'!$I$6))),"x",""))</f>
        <v/>
      </c>
      <c r="U2317" s="79" t="str">
        <f>IF(ISERROR(FIND('112'!$M$9,G2317,1)),"",IF((AND(LEFT(G2317,2)=LEFT('112'!$M$9,2),B2317&lt;'112'!$K$9,$N2317='112'!$I$6)),"x",""))</f>
        <v/>
      </c>
      <c r="V2317" s="79" t="str">
        <f>IF(ISERROR(FIND('112'!$M$9,G2317,1)),"",IF((AND(RIGHT(G2317,2)=RIGHT('112'!$M$9,2),B2317&lt;'112'!$K$9,$O2317='112'!$I$6)),"x",""))</f>
        <v/>
      </c>
      <c r="W2317" s="79" t="str">
        <f>IF(AND('341-CT'!$H$9=H2317,OR(LEFT(N2317,3)=$W$7,LEFT(O2317,3)=$W$7)),"x","")</f>
        <v/>
      </c>
      <c r="X2317" s="79" t="str">
        <f>IF(OR(TH!N2317=TH!$X$7,O2317=TH!$X$7),"x","")</f>
        <v/>
      </c>
      <c r="Y2317" s="79" t="str">
        <f>IF(AND(OR(N2317="131",O2317="131"),H2317='131-CT'!$H$9),"x","")</f>
        <v/>
      </c>
      <c r="Z2317" s="79"/>
      <c r="AA2317" s="79" t="str">
        <f>IF(AND(MONTH(E2317)='IN-NX'!$J$5,'IN-NX'!$D$7=D2317),"x","")</f>
        <v/>
      </c>
      <c r="AB2317" s="79" t="str">
        <f>IF(AND(OR(LEFT(TH!N2317,2)="15",LEFT(TH!O2317,2)="15"),LEFT(TH!O2317,3)&lt;&gt;"111",'152-CT'!$J$8=TH!F2317),"x","")</f>
        <v/>
      </c>
      <c r="AC2317" s="79" t="str">
        <f>IF(AND(OR(LEFT(TH!N2317,2)="15",LEFT(TH!O2317,2)="15"),TK!$E$7=TH!F2317),"x","")</f>
        <v/>
      </c>
      <c r="AD2317" s="79" t="str">
        <f>IF(AND(N2317="1521",MONTH(C2317)='BK-NL'!$M$11),"x","")</f>
        <v/>
      </c>
    </row>
    <row r="2318" spans="1:30" ht="16.5" customHeight="1">
      <c r="A2318" s="318" t="str">
        <f>IF(B2318&lt;&gt;"",IF(AND(B2318='IN-TC'!$S$4,OR(TH!N2318="1111",TH!O2318="1111")),TH!D2318,""),"")</f>
        <v/>
      </c>
      <c r="B2318" s="60" t="str">
        <f t="shared" si="238"/>
        <v/>
      </c>
      <c r="C2318" s="981"/>
      <c r="D2318" s="981"/>
      <c r="E2318" s="301"/>
      <c r="F2318" s="999"/>
      <c r="G2318" s="1130"/>
      <c r="H2318" s="982"/>
      <c r="I2318" s="984"/>
      <c r="J2318" s="983"/>
      <c r="K2318" s="984"/>
      <c r="L2318" s="983"/>
      <c r="M2318" s="985"/>
      <c r="N2318" s="986"/>
      <c r="O2318" s="986"/>
      <c r="P2318" s="79" t="str">
        <f>IF(AND('331-CT'!$E$7=TH!H2318,OR(N2318="331",O2318="331")),"x","")</f>
        <v/>
      </c>
      <c r="Q2318" s="79" t="str">
        <f>IF(AND(B2318='111'!$L$11,OR($N2318=$Q$7,$O2318=$Q$7)),"x","")</f>
        <v/>
      </c>
      <c r="R2318" s="79" t="str">
        <f>IF(AND($N2318=$Q$7,$B2318&lt;'111'!$L$11),"x","")</f>
        <v/>
      </c>
      <c r="S2318" s="79" t="str">
        <f>IF(AND($O2318=$Q$7,$B2318&lt;'111'!$L$11),"x","")</f>
        <v/>
      </c>
      <c r="T2318" s="79" t="str">
        <f>IF(ISERROR(FIND('112'!$M$9,G2318,1)),"",IF((AND(FIND('112'!$M$9,G2318,1)&gt;=1,B2318='112'!$K$9,OR($N2318='112'!$I$6,$O2318='112'!$I$6))),"x",""))</f>
        <v/>
      </c>
      <c r="U2318" s="79" t="str">
        <f>IF(ISERROR(FIND('112'!$M$9,G2318,1)),"",IF((AND(LEFT(G2318,2)=LEFT('112'!$M$9,2),B2318&lt;'112'!$K$9,$N2318='112'!$I$6)),"x",""))</f>
        <v/>
      </c>
      <c r="V2318" s="79" t="str">
        <f>IF(ISERROR(FIND('112'!$M$9,G2318,1)),"",IF((AND(RIGHT(G2318,2)=RIGHT('112'!$M$9,2),B2318&lt;'112'!$K$9,$O2318='112'!$I$6)),"x",""))</f>
        <v/>
      </c>
      <c r="W2318" s="79" t="str">
        <f>IF(AND('341-CT'!$H$9=H2318,OR(LEFT(N2318,3)=$W$7,LEFT(O2318,3)=$W$7)),"x","")</f>
        <v/>
      </c>
      <c r="X2318" s="79" t="str">
        <f>IF(OR(TH!N2318=TH!$X$7,O2318=TH!$X$7),"x","")</f>
        <v/>
      </c>
      <c r="Y2318" s="79" t="str">
        <f>IF(AND(OR(N2318="131",O2318="131"),H2318='131-CT'!$H$9),"x","")</f>
        <v/>
      </c>
      <c r="Z2318" s="79"/>
      <c r="AA2318" s="79" t="str">
        <f>IF(AND(MONTH(E2318)='IN-NX'!$J$5,'IN-NX'!$D$7=D2318),"x","")</f>
        <v/>
      </c>
      <c r="AB2318" s="79" t="str">
        <f>IF(AND(OR(LEFT(TH!N2318,2)="15",LEFT(TH!O2318,2)="15"),LEFT(TH!O2318,3)&lt;&gt;"111",'152-CT'!$J$8=TH!F2318),"x","")</f>
        <v/>
      </c>
      <c r="AC2318" s="79" t="str">
        <f>IF(AND(OR(LEFT(TH!N2318,2)="15",LEFT(TH!O2318,2)="15"),TK!$E$7=TH!F2318),"x","")</f>
        <v/>
      </c>
      <c r="AD2318" s="79" t="str">
        <f>IF(AND(N2318="1521",MONTH(C2318)='BK-NL'!$M$11),"x","")</f>
        <v/>
      </c>
    </row>
    <row r="2319" spans="1:30" ht="16.5" customHeight="1">
      <c r="A2319" s="318" t="str">
        <f>IF(B2319&lt;&gt;"",IF(AND(B2319='IN-TC'!$S$4,OR(TH!N2319="1111",TH!O2319="1111")),TH!D2319,""),"")</f>
        <v/>
      </c>
      <c r="B2319" s="60" t="str">
        <f t="shared" si="238"/>
        <v/>
      </c>
      <c r="C2319" s="981"/>
      <c r="D2319" s="981"/>
      <c r="E2319" s="301"/>
      <c r="F2319" s="999"/>
      <c r="G2319" s="1130"/>
      <c r="H2319" s="982"/>
      <c r="I2319" s="984"/>
      <c r="J2319" s="983"/>
      <c r="K2319" s="984"/>
      <c r="L2319" s="983"/>
      <c r="M2319" s="985"/>
      <c r="N2319" s="986"/>
      <c r="O2319" s="986"/>
      <c r="P2319" s="79" t="str">
        <f>IF(AND('331-CT'!$E$7=TH!H2319,OR(N2319="331",O2319="331")),"x","")</f>
        <v/>
      </c>
      <c r="Q2319" s="79" t="str">
        <f>IF(AND(B2319='111'!$L$11,OR($N2319=$Q$7,$O2319=$Q$7)),"x","")</f>
        <v/>
      </c>
      <c r="R2319" s="79" t="str">
        <f>IF(AND($N2319=$Q$7,$B2319&lt;'111'!$L$11),"x","")</f>
        <v/>
      </c>
      <c r="S2319" s="79" t="str">
        <f>IF(AND($O2319=$Q$7,$B2319&lt;'111'!$L$11),"x","")</f>
        <v/>
      </c>
      <c r="T2319" s="79" t="str">
        <f>IF(ISERROR(FIND('112'!$M$9,G2319,1)),"",IF((AND(FIND('112'!$M$9,G2319,1)&gt;=1,B2319='112'!$K$9,OR($N2319='112'!$I$6,$O2319='112'!$I$6))),"x",""))</f>
        <v/>
      </c>
      <c r="U2319" s="79" t="str">
        <f>IF(ISERROR(FIND('112'!$M$9,G2319,1)),"",IF((AND(LEFT(G2319,2)=LEFT('112'!$M$9,2),B2319&lt;'112'!$K$9,$N2319='112'!$I$6)),"x",""))</f>
        <v/>
      </c>
      <c r="V2319" s="79" t="str">
        <f>IF(ISERROR(FIND('112'!$M$9,G2319,1)),"",IF((AND(RIGHT(G2319,2)=RIGHT('112'!$M$9,2),B2319&lt;'112'!$K$9,$O2319='112'!$I$6)),"x",""))</f>
        <v/>
      </c>
      <c r="W2319" s="79" t="str">
        <f>IF(AND('341-CT'!$H$9=H2319,OR(LEFT(N2319,3)=$W$7,LEFT(O2319,3)=$W$7)),"x","")</f>
        <v/>
      </c>
      <c r="X2319" s="79" t="str">
        <f>IF(OR(TH!N2319=TH!$X$7,O2319=TH!$X$7),"x","")</f>
        <v/>
      </c>
      <c r="Y2319" s="79" t="str">
        <f>IF(AND(OR(N2319="131",O2319="131"),H2319='131-CT'!$H$9),"x","")</f>
        <v/>
      </c>
      <c r="Z2319" s="79"/>
      <c r="AA2319" s="79" t="str">
        <f>IF(AND(MONTH(E2319)='IN-NX'!$J$5,'IN-NX'!$D$7=D2319),"x","")</f>
        <v/>
      </c>
      <c r="AB2319" s="79" t="str">
        <f>IF(AND(OR(LEFT(TH!N2319,2)="15",LEFT(TH!O2319,2)="15"),LEFT(TH!O2319,3)&lt;&gt;"111",'152-CT'!$J$8=TH!F2319),"x","")</f>
        <v/>
      </c>
      <c r="AC2319" s="79" t="str">
        <f>IF(AND(OR(LEFT(TH!N2319,2)="15",LEFT(TH!O2319,2)="15"),TK!$E$7=TH!F2319),"x","")</f>
        <v/>
      </c>
      <c r="AD2319" s="79" t="str">
        <f>IF(AND(N2319="1521",MONTH(C2319)='BK-NL'!$M$11),"x","")</f>
        <v/>
      </c>
    </row>
    <row r="2320" spans="1:30" ht="16.5" customHeight="1">
      <c r="A2320" s="318" t="str">
        <f>IF(B2320&lt;&gt;"",IF(AND(B2320='IN-TC'!$S$4,OR(TH!N2320="1111",TH!O2320="1111")),TH!D2320,""),"")</f>
        <v/>
      </c>
      <c r="B2320" s="60" t="str">
        <f t="shared" si="238"/>
        <v/>
      </c>
      <c r="C2320" s="301"/>
      <c r="D2320" s="301"/>
      <c r="E2320" s="301"/>
      <c r="F2320" s="69"/>
      <c r="G2320" s="968"/>
      <c r="H2320" s="303"/>
      <c r="I2320" s="385"/>
      <c r="J2320" s="969"/>
      <c r="K2320" s="385"/>
      <c r="L2320" s="392"/>
      <c r="M2320" s="970"/>
      <c r="N2320" s="304"/>
      <c r="O2320" s="304"/>
      <c r="P2320" s="79" t="str">
        <f>IF(AND('331-CT'!$E$7=TH!H2320,OR(N2320="331",O2320="331")),"x","")</f>
        <v/>
      </c>
      <c r="Q2320" s="79" t="str">
        <f>IF(AND(B2320='111'!$L$11,OR($N2320=$Q$7,$O2320=$Q$7)),"x","")</f>
        <v/>
      </c>
      <c r="R2320" s="79" t="str">
        <f>IF(AND($N2320=$Q$7,$B2320&lt;'111'!$L$11),"x","")</f>
        <v/>
      </c>
      <c r="S2320" s="79" t="str">
        <f>IF(AND($O2320=$Q$7,$B2320&lt;'111'!$L$11),"x","")</f>
        <v/>
      </c>
      <c r="T2320" s="79" t="str">
        <f>IF(ISERROR(FIND('112'!$M$9,G2320,1)),"",IF((AND(FIND('112'!$M$9,G2320,1)&gt;=1,B2320='112'!$K$9,OR($N2320='112'!$I$6,$O2320='112'!$I$6))),"x",""))</f>
        <v/>
      </c>
      <c r="U2320" s="79" t="str">
        <f>IF(ISERROR(FIND('112'!$M$9,G2320,1)),"",IF((AND(LEFT(G2320,2)=LEFT('112'!$M$9,2),B2320&lt;'112'!$K$9,$N2320='112'!$I$6)),"x",""))</f>
        <v/>
      </c>
      <c r="V2320" s="79" t="str">
        <f>IF(ISERROR(FIND('112'!$M$9,G2320,1)),"",IF((AND(RIGHT(G2320,2)=RIGHT('112'!$M$9,2),B2320&lt;'112'!$K$9,$O2320='112'!$I$6)),"x",""))</f>
        <v/>
      </c>
      <c r="W2320" s="79" t="str">
        <f>IF(AND('341-CT'!$H$9=H2320,OR(LEFT(N2320,3)=$W$7,LEFT(O2320,3)=$W$7)),"x","")</f>
        <v/>
      </c>
      <c r="X2320" s="79" t="str">
        <f>IF(OR(TH!N2320=TH!$X$7,O2320=TH!$X$7),"x","")</f>
        <v/>
      </c>
      <c r="Y2320" s="79" t="str">
        <f>IF(AND(OR(N2320="131",O2320="131"),H2320='131-CT'!$H$9),"x","")</f>
        <v/>
      </c>
      <c r="Z2320" s="79"/>
      <c r="AA2320" s="79" t="str">
        <f>IF(AND(MONTH(E2320)='IN-NX'!$J$5,'IN-NX'!$D$7=D2320),"x","")</f>
        <v/>
      </c>
      <c r="AB2320" s="79" t="str">
        <f>IF(AND(OR(LEFT(TH!N2320,2)="15",LEFT(TH!O2320,2)="15"),LEFT(TH!O2320,3)&lt;&gt;"111",'152-CT'!$J$8=TH!F2320),"x","")</f>
        <v/>
      </c>
      <c r="AC2320" s="79" t="str">
        <f>IF(AND(OR(LEFT(TH!N2320,2)="15",LEFT(TH!O2320,2)="15"),TK!$E$7=TH!F2320),"x","")</f>
        <v/>
      </c>
      <c r="AD2320" s="79" t="str">
        <f>IF(AND(N2320="1521",MONTH(C2320)='BK-NL'!$M$11),"x","")</f>
        <v/>
      </c>
    </row>
    <row r="2321" spans="1:30" ht="16.5" customHeight="1">
      <c r="A2321" s="318" t="str">
        <f>IF(B2321&lt;&gt;"",IF(AND(B2321='IN-TC'!$S$4,OR(TH!N2321="1111",TH!O2321="1111")),TH!D2321,""),"")</f>
        <v/>
      </c>
      <c r="B2321" s="60" t="str">
        <f t="shared" si="238"/>
        <v/>
      </c>
      <c r="C2321" s="301"/>
      <c r="D2321" s="301"/>
      <c r="E2321" s="301"/>
      <c r="F2321" s="69"/>
      <c r="G2321" s="968"/>
      <c r="H2321" s="303"/>
      <c r="I2321" s="385"/>
      <c r="J2321" s="969"/>
      <c r="K2321" s="385"/>
      <c r="L2321" s="392"/>
      <c r="M2321" s="970"/>
      <c r="N2321" s="304"/>
      <c r="O2321" s="304"/>
      <c r="P2321" s="79" t="str">
        <f>IF(AND('331-CT'!$E$7=TH!H2321,OR(N2321="331",O2321="331")),"x","")</f>
        <v/>
      </c>
      <c r="Q2321" s="79" t="str">
        <f>IF(AND(B2321='111'!$L$11,OR($N2321=$Q$7,$O2321=$Q$7)),"x","")</f>
        <v/>
      </c>
      <c r="R2321" s="79" t="str">
        <f>IF(AND($N2321=$Q$7,$B2321&lt;'111'!$L$11),"x","")</f>
        <v/>
      </c>
      <c r="S2321" s="79" t="str">
        <f>IF(AND($O2321=$Q$7,$B2321&lt;'111'!$L$11),"x","")</f>
        <v/>
      </c>
      <c r="T2321" s="79" t="str">
        <f>IF(ISERROR(FIND('112'!$M$9,G2321,1)),"",IF((AND(FIND('112'!$M$9,G2321,1)&gt;=1,B2321='112'!$K$9,OR($N2321='112'!$I$6,$O2321='112'!$I$6))),"x",""))</f>
        <v/>
      </c>
      <c r="U2321" s="79" t="str">
        <f>IF(ISERROR(FIND('112'!$M$9,G2321,1)),"",IF((AND(LEFT(G2321,2)=LEFT('112'!$M$9,2),B2321&lt;'112'!$K$9,$N2321='112'!$I$6)),"x",""))</f>
        <v/>
      </c>
      <c r="V2321" s="79" t="str">
        <f>IF(ISERROR(FIND('112'!$M$9,G2321,1)),"",IF((AND(RIGHT(G2321,2)=RIGHT('112'!$M$9,2),B2321&lt;'112'!$K$9,$O2321='112'!$I$6)),"x",""))</f>
        <v/>
      </c>
      <c r="W2321" s="79" t="str">
        <f>IF(AND('341-CT'!$H$9=H2321,OR(LEFT(N2321,3)=$W$7,LEFT(O2321,3)=$W$7)),"x","")</f>
        <v/>
      </c>
      <c r="X2321" s="79" t="str">
        <f>IF(OR(TH!N2321=TH!$X$7,O2321=TH!$X$7),"x","")</f>
        <v/>
      </c>
      <c r="Y2321" s="79" t="str">
        <f>IF(AND(OR(N2321="131",O2321="131"),H2321='131-CT'!$H$9),"x","")</f>
        <v/>
      </c>
      <c r="Z2321" s="79"/>
      <c r="AA2321" s="79" t="str">
        <f>IF(AND(MONTH(E2321)='IN-NX'!$J$5,'IN-NX'!$D$7=D2321),"x","")</f>
        <v/>
      </c>
      <c r="AB2321" s="79" t="str">
        <f>IF(AND(OR(LEFT(TH!N2321,2)="15",LEFT(TH!O2321,2)="15"),LEFT(TH!O2321,3)&lt;&gt;"111",'152-CT'!$J$8=TH!F2321),"x","")</f>
        <v/>
      </c>
      <c r="AC2321" s="79" t="str">
        <f>IF(AND(OR(LEFT(TH!N2321,2)="15",LEFT(TH!O2321,2)="15"),TK!$E$7=TH!F2321),"x","")</f>
        <v/>
      </c>
      <c r="AD2321" s="79" t="str">
        <f>IF(AND(N2321="1521",MONTH(C2321)='BK-NL'!$M$11),"x","")</f>
        <v/>
      </c>
    </row>
    <row r="2322" spans="1:30" ht="16.5" customHeight="1">
      <c r="A2322" s="318" t="str">
        <f>IF(B2322&lt;&gt;"",IF(AND(B2322='IN-TC'!$S$4,OR(TH!N2322="1111",TH!O2322="1111")),TH!D2322,""),"")</f>
        <v/>
      </c>
      <c r="B2322" s="60" t="str">
        <f t="shared" si="238"/>
        <v/>
      </c>
      <c r="C2322" s="974"/>
      <c r="D2322" s="301"/>
      <c r="E2322" s="974"/>
      <c r="F2322" s="77"/>
      <c r="G2322" s="976"/>
      <c r="H2322" s="305"/>
      <c r="I2322" s="383"/>
      <c r="J2322" s="977"/>
      <c r="K2322" s="383"/>
      <c r="L2322" s="390"/>
      <c r="M2322" s="978"/>
      <c r="N2322" s="979"/>
      <c r="O2322" s="979"/>
      <c r="P2322" s="79" t="str">
        <f>IF(AND('331-CT'!$E$7=TH!H2322,OR(N2322="331",O2322="331")),"x","")</f>
        <v/>
      </c>
      <c r="Q2322" s="79" t="str">
        <f>IF(AND(B2322='111'!$L$11,OR($N2322=$Q$7,$O2322=$Q$7)),"x","")</f>
        <v/>
      </c>
      <c r="R2322" s="79" t="str">
        <f>IF(AND($N2322=$Q$7,$B2322&lt;'111'!$L$11),"x","")</f>
        <v/>
      </c>
      <c r="S2322" s="79" t="str">
        <f>IF(AND($O2322=$Q$7,$B2322&lt;'111'!$L$11),"x","")</f>
        <v/>
      </c>
      <c r="T2322" s="79" t="str">
        <f>IF(ISERROR(FIND('112'!$M$9,G2322,1)),"",IF((AND(FIND('112'!$M$9,G2322,1)&gt;=1,B2322='112'!$K$9,OR($N2322='112'!$I$6,$O2322='112'!$I$6))),"x",""))</f>
        <v/>
      </c>
      <c r="U2322" s="79" t="str">
        <f>IF(ISERROR(FIND('112'!$M$9,G2322,1)),"",IF((AND(LEFT(G2322,2)=LEFT('112'!$M$9,2),B2322&lt;'112'!$K$9,$N2322='112'!$I$6)),"x",""))</f>
        <v/>
      </c>
      <c r="V2322" s="79" t="str">
        <f>IF(ISERROR(FIND('112'!$M$9,G2322,1)),"",IF((AND(RIGHT(G2322,2)=RIGHT('112'!$M$9,2),B2322&lt;'112'!$K$9,$O2322='112'!$I$6)),"x",""))</f>
        <v/>
      </c>
      <c r="W2322" s="79" t="str">
        <f>IF(AND('341-CT'!$H$9=H2322,OR(LEFT(N2322,3)=$W$7,LEFT(O2322,3)=$W$7)),"x","")</f>
        <v/>
      </c>
      <c r="X2322" s="79" t="str">
        <f>IF(OR(TH!N2322=TH!$X$7,O2322=TH!$X$7),"x","")</f>
        <v/>
      </c>
      <c r="Y2322" s="79" t="str">
        <f>IF(AND(OR(N2322="131",O2322="131"),H2322='131-CT'!$H$9),"x","")</f>
        <v/>
      </c>
      <c r="Z2322" s="79"/>
      <c r="AA2322" s="79" t="str">
        <f>IF(AND(MONTH(E2322)='IN-NX'!$J$5,'IN-NX'!$D$7=D2322),"x","")</f>
        <v/>
      </c>
      <c r="AB2322" s="79" t="str">
        <f>IF(AND(OR(LEFT(TH!N2322,2)="15",LEFT(TH!O2322,2)="15"),LEFT(TH!O2322,3)&lt;&gt;"111",'152-CT'!$J$8=TH!F2322),"x","")</f>
        <v/>
      </c>
      <c r="AC2322" s="79" t="str">
        <f>IF(AND(OR(LEFT(TH!N2322,2)="15",LEFT(TH!O2322,2)="15"),TK!$E$7=TH!F2322),"x","")</f>
        <v/>
      </c>
      <c r="AD2322" s="79" t="str">
        <f>IF(AND(N2322="1521",MONTH(C2322)='BK-NL'!$M$11),"x","")</f>
        <v/>
      </c>
    </row>
    <row r="2323" spans="1:30" ht="16.5" customHeight="1">
      <c r="A2323" s="318" t="str">
        <f>IF(B2323&lt;&gt;"",IF(AND(B2323='IN-TC'!$S$4,OR(TH!N2323="1111",TH!O2323="1111")),TH!D2323,""),"")</f>
        <v/>
      </c>
      <c r="B2323" s="60" t="str">
        <f t="shared" si="238"/>
        <v/>
      </c>
      <c r="C2323" s="974"/>
      <c r="D2323" s="301"/>
      <c r="E2323" s="974"/>
      <c r="F2323" s="77"/>
      <c r="G2323" s="976"/>
      <c r="H2323" s="305"/>
      <c r="I2323" s="383"/>
      <c r="J2323" s="977"/>
      <c r="K2323" s="383"/>
      <c r="L2323" s="390"/>
      <c r="M2323" s="978"/>
      <c r="N2323" s="979"/>
      <c r="O2323" s="979"/>
      <c r="P2323" s="79" t="str">
        <f>IF(AND('331-CT'!$E$7=TH!H2323,OR(N2323="331",O2323="331")),"x","")</f>
        <v/>
      </c>
      <c r="Q2323" s="79" t="str">
        <f>IF(AND(B2323='111'!$L$11,OR($N2323=$Q$7,$O2323=$Q$7)),"x","")</f>
        <v/>
      </c>
      <c r="R2323" s="79" t="str">
        <f>IF(AND($N2323=$Q$7,$B2323&lt;'111'!$L$11),"x","")</f>
        <v/>
      </c>
      <c r="S2323" s="79" t="str">
        <f>IF(AND($O2323=$Q$7,$B2323&lt;'111'!$L$11),"x","")</f>
        <v/>
      </c>
      <c r="T2323" s="79" t="str">
        <f>IF(ISERROR(FIND('112'!$M$9,G2323,1)),"",IF((AND(FIND('112'!$M$9,G2323,1)&gt;=1,B2323='112'!$K$9,OR($N2323='112'!$I$6,$O2323='112'!$I$6))),"x",""))</f>
        <v/>
      </c>
      <c r="U2323" s="79" t="str">
        <f>IF(ISERROR(FIND('112'!$M$9,G2323,1)),"",IF((AND(LEFT(G2323,2)=LEFT('112'!$M$9,2),B2323&lt;'112'!$K$9,$N2323='112'!$I$6)),"x",""))</f>
        <v/>
      </c>
      <c r="V2323" s="79" t="str">
        <f>IF(ISERROR(FIND('112'!$M$9,G2323,1)),"",IF((AND(RIGHT(G2323,2)=RIGHT('112'!$M$9,2),B2323&lt;'112'!$K$9,$O2323='112'!$I$6)),"x",""))</f>
        <v/>
      </c>
      <c r="W2323" s="79" t="str">
        <f>IF(AND('341-CT'!$H$9=H2323,OR(LEFT(N2323,3)=$W$7,LEFT(O2323,3)=$W$7)),"x","")</f>
        <v/>
      </c>
      <c r="X2323" s="79" t="str">
        <f>IF(OR(TH!N2323=TH!$X$7,O2323=TH!$X$7),"x","")</f>
        <v/>
      </c>
      <c r="Y2323" s="79" t="str">
        <f>IF(AND(OR(N2323="131",O2323="131"),H2323='131-CT'!$H$9),"x","")</f>
        <v/>
      </c>
      <c r="Z2323" s="79"/>
      <c r="AA2323" s="79" t="str">
        <f>IF(AND(MONTH(E2323)='IN-NX'!$J$5,'IN-NX'!$D$7=D2323),"x","")</f>
        <v/>
      </c>
      <c r="AB2323" s="79" t="str">
        <f>IF(AND(OR(LEFT(TH!N2323,2)="15",LEFT(TH!O2323,2)="15"),LEFT(TH!O2323,3)&lt;&gt;"111",'152-CT'!$J$8=TH!F2323),"x","")</f>
        <v/>
      </c>
      <c r="AC2323" s="79" t="str">
        <f>IF(AND(OR(LEFT(TH!N2323,2)="15",LEFT(TH!O2323,2)="15"),TK!$E$7=TH!F2323),"x","")</f>
        <v/>
      </c>
      <c r="AD2323" s="79" t="str">
        <f>IF(AND(N2323="1521",MONTH(C2323)='BK-NL'!$M$11),"x","")</f>
        <v/>
      </c>
    </row>
    <row r="2324" spans="1:30" ht="16.5" customHeight="1">
      <c r="A2324" s="318" t="str">
        <f>IF(B2324&lt;&gt;"",IF(AND(B2324='IN-TC'!$S$4,OR(TH!N2324="1111",TH!O2324="1111")),TH!D2324,""),"")</f>
        <v/>
      </c>
      <c r="B2324" s="60" t="str">
        <f t="shared" si="238"/>
        <v/>
      </c>
      <c r="C2324" s="301"/>
      <c r="D2324" s="301"/>
      <c r="E2324" s="301"/>
      <c r="F2324" s="69"/>
      <c r="G2324" s="968"/>
      <c r="H2324" s="303"/>
      <c r="I2324" s="385"/>
      <c r="J2324" s="969"/>
      <c r="K2324" s="385"/>
      <c r="L2324" s="392"/>
      <c r="M2324" s="970"/>
      <c r="N2324" s="304"/>
      <c r="O2324" s="304"/>
      <c r="P2324" s="79" t="str">
        <f>IF(AND('331-CT'!$E$7=TH!H2324,OR(N2324="331",O2324="331")),"x","")</f>
        <v/>
      </c>
      <c r="Q2324" s="79" t="str">
        <f>IF(AND(B2324='111'!$L$11,OR($N2324=$Q$7,$O2324=$Q$7)),"x","")</f>
        <v/>
      </c>
      <c r="R2324" s="79" t="str">
        <f>IF(AND($N2324=$Q$7,$B2324&lt;'111'!$L$11),"x","")</f>
        <v/>
      </c>
      <c r="S2324" s="79" t="str">
        <f>IF(AND($O2324=$Q$7,$B2324&lt;'111'!$L$11),"x","")</f>
        <v/>
      </c>
      <c r="T2324" s="79" t="str">
        <f>IF(ISERROR(FIND('112'!$M$9,G2324,1)),"",IF((AND(FIND('112'!$M$9,G2324,1)&gt;=1,B2324='112'!$K$9,OR($N2324='112'!$I$6,$O2324='112'!$I$6))),"x",""))</f>
        <v/>
      </c>
      <c r="U2324" s="79" t="str">
        <f>IF(ISERROR(FIND('112'!$M$9,G2324,1)),"",IF((AND(LEFT(G2324,2)=LEFT('112'!$M$9,2),B2324&lt;'112'!$K$9,$N2324='112'!$I$6)),"x",""))</f>
        <v/>
      </c>
      <c r="V2324" s="79" t="str">
        <f>IF(ISERROR(FIND('112'!$M$9,G2324,1)),"",IF((AND(RIGHT(G2324,2)=RIGHT('112'!$M$9,2),B2324&lt;'112'!$K$9,$O2324='112'!$I$6)),"x",""))</f>
        <v/>
      </c>
      <c r="W2324" s="79" t="str">
        <f>IF(AND('341-CT'!$H$9=H2324,OR(LEFT(N2324,3)=$W$7,LEFT(O2324,3)=$W$7)),"x","")</f>
        <v/>
      </c>
      <c r="X2324" s="79" t="str">
        <f>IF(OR(TH!N2324=TH!$X$7,O2324=TH!$X$7),"x","")</f>
        <v/>
      </c>
      <c r="Y2324" s="79" t="str">
        <f>IF(AND(OR(N2324="131",O2324="131"),H2324='131-CT'!$H$9),"x","")</f>
        <v/>
      </c>
      <c r="Z2324" s="79"/>
      <c r="AA2324" s="79" t="str">
        <f>IF(AND(MONTH(E2324)='IN-NX'!$J$5,'IN-NX'!$D$7=D2324),"x","")</f>
        <v/>
      </c>
      <c r="AB2324" s="79" t="str">
        <f>IF(AND(OR(LEFT(TH!N2324,2)="15",LEFT(TH!O2324,2)="15"),LEFT(TH!O2324,3)&lt;&gt;"111",'152-CT'!$J$8=TH!F2324),"x","")</f>
        <v/>
      </c>
      <c r="AC2324" s="79" t="str">
        <f>IF(AND(OR(LEFT(TH!N2324,2)="15",LEFT(TH!O2324,2)="15"),TK!$E$7=TH!F2324),"x","")</f>
        <v/>
      </c>
      <c r="AD2324" s="79" t="str">
        <f>IF(AND(N2324="1521",MONTH(C2324)='BK-NL'!$M$11),"x","")</f>
        <v/>
      </c>
    </row>
    <row r="2325" spans="1:30" ht="16.5" customHeight="1">
      <c r="A2325" s="318" t="str">
        <f>IF(B2325&lt;&gt;"",IF(AND(B2325='IN-TC'!$S$4,OR(TH!N2325="1111",TH!O2325="1111")),TH!D2325,""),"")</f>
        <v/>
      </c>
      <c r="B2325" s="60" t="str">
        <f t="shared" si="238"/>
        <v/>
      </c>
      <c r="C2325" s="301"/>
      <c r="D2325" s="301"/>
      <c r="E2325" s="301"/>
      <c r="F2325" s="69"/>
      <c r="G2325" s="968"/>
      <c r="H2325" s="303"/>
      <c r="I2325" s="385"/>
      <c r="J2325" s="969"/>
      <c r="K2325" s="385"/>
      <c r="L2325" s="392"/>
      <c r="M2325" s="970"/>
      <c r="N2325" s="304"/>
      <c r="O2325" s="304"/>
      <c r="P2325" s="79" t="str">
        <f>IF(AND('331-CT'!$E$7=TH!H2325,OR(N2325="331",O2325="331")),"x","")</f>
        <v/>
      </c>
      <c r="Q2325" s="79" t="str">
        <f>IF(AND(B2325='111'!$L$11,OR($N2325=$Q$7,$O2325=$Q$7)),"x","")</f>
        <v/>
      </c>
      <c r="R2325" s="79" t="str">
        <f>IF(AND($N2325=$Q$7,$B2325&lt;'111'!$L$11),"x","")</f>
        <v/>
      </c>
      <c r="S2325" s="79" t="str">
        <f>IF(AND($O2325=$Q$7,$B2325&lt;'111'!$L$11),"x","")</f>
        <v/>
      </c>
      <c r="T2325" s="79" t="str">
        <f>IF(ISERROR(FIND('112'!$M$9,G2325,1)),"",IF((AND(FIND('112'!$M$9,G2325,1)&gt;=1,B2325='112'!$K$9,OR($N2325='112'!$I$6,$O2325='112'!$I$6))),"x",""))</f>
        <v/>
      </c>
      <c r="U2325" s="79" t="str">
        <f>IF(ISERROR(FIND('112'!$M$9,G2325,1)),"",IF((AND(LEFT(G2325,2)=LEFT('112'!$M$9,2),B2325&lt;'112'!$K$9,$N2325='112'!$I$6)),"x",""))</f>
        <v/>
      </c>
      <c r="V2325" s="79" t="str">
        <f>IF(ISERROR(FIND('112'!$M$9,G2325,1)),"",IF((AND(RIGHT(G2325,2)=RIGHT('112'!$M$9,2),B2325&lt;'112'!$K$9,$O2325='112'!$I$6)),"x",""))</f>
        <v/>
      </c>
      <c r="W2325" s="79" t="str">
        <f>IF(AND('341-CT'!$H$9=H2325,OR(LEFT(N2325,3)=$W$7,LEFT(O2325,3)=$W$7)),"x","")</f>
        <v/>
      </c>
      <c r="X2325" s="79" t="str">
        <f>IF(OR(TH!N2325=TH!$X$7,O2325=TH!$X$7),"x","")</f>
        <v/>
      </c>
      <c r="Y2325" s="79" t="str">
        <f>IF(AND(OR(N2325="131",O2325="131"),H2325='131-CT'!$H$9),"x","")</f>
        <v/>
      </c>
      <c r="Z2325" s="79"/>
      <c r="AA2325" s="79" t="str">
        <f>IF(AND(MONTH(E2325)='IN-NX'!$J$5,'IN-NX'!$D$7=D2325),"x","")</f>
        <v/>
      </c>
      <c r="AB2325" s="79" t="str">
        <f>IF(AND(OR(LEFT(TH!N2325,2)="15",LEFT(TH!O2325,2)="15"),LEFT(TH!O2325,3)&lt;&gt;"111",'152-CT'!$J$8=TH!F2325),"x","")</f>
        <v/>
      </c>
      <c r="AC2325" s="79" t="str">
        <f>IF(AND(OR(LEFT(TH!N2325,2)="15",LEFT(TH!O2325,2)="15"),TK!$E$7=TH!F2325),"x","")</f>
        <v/>
      </c>
      <c r="AD2325" s="79" t="str">
        <f>IF(AND(N2325="1521",MONTH(C2325)='BK-NL'!$M$11),"x","")</f>
        <v/>
      </c>
    </row>
    <row r="2326" spans="1:30" ht="16.5" customHeight="1">
      <c r="A2326" s="318" t="str">
        <f>IF(B2326&lt;&gt;"",IF(AND(B2326='IN-TC'!$S$4,OR(TH!N2326="1111",TH!O2326="1111")),TH!D2326,""),"")</f>
        <v/>
      </c>
      <c r="B2326" s="60" t="str">
        <f t="shared" si="238"/>
        <v/>
      </c>
      <c r="C2326" s="974"/>
      <c r="D2326" s="301"/>
      <c r="E2326" s="974"/>
      <c r="F2326" s="77"/>
      <c r="G2326" s="976"/>
      <c r="H2326" s="305"/>
      <c r="I2326" s="383"/>
      <c r="J2326" s="977"/>
      <c r="K2326" s="383"/>
      <c r="L2326" s="390"/>
      <c r="M2326" s="978"/>
      <c r="N2326" s="979"/>
      <c r="O2326" s="979"/>
      <c r="P2326" s="79" t="str">
        <f>IF(AND('331-CT'!$E$7=TH!H2326,OR(N2326="331",O2326="331")),"x","")</f>
        <v/>
      </c>
      <c r="Q2326" s="79" t="str">
        <f>IF(AND(B2326='111'!$L$11,OR($N2326=$Q$7,$O2326=$Q$7)),"x","")</f>
        <v/>
      </c>
      <c r="R2326" s="79" t="str">
        <f>IF(AND($N2326=$Q$7,$B2326&lt;'111'!$L$11),"x","")</f>
        <v/>
      </c>
      <c r="S2326" s="79" t="str">
        <f>IF(AND($O2326=$Q$7,$B2326&lt;'111'!$L$11),"x","")</f>
        <v/>
      </c>
      <c r="T2326" s="79" t="str">
        <f>IF(ISERROR(FIND('112'!$M$9,G2326,1)),"",IF((AND(FIND('112'!$M$9,G2326,1)&gt;=1,B2326='112'!$K$9,OR($N2326='112'!$I$6,$O2326='112'!$I$6))),"x",""))</f>
        <v/>
      </c>
      <c r="U2326" s="79" t="str">
        <f>IF(ISERROR(FIND('112'!$M$9,G2326,1)),"",IF((AND(LEFT(G2326,2)=LEFT('112'!$M$9,2),B2326&lt;'112'!$K$9,$N2326='112'!$I$6)),"x",""))</f>
        <v/>
      </c>
      <c r="V2326" s="79" t="str">
        <f>IF(ISERROR(FIND('112'!$M$9,G2326,1)),"",IF((AND(RIGHT(G2326,2)=RIGHT('112'!$M$9,2),B2326&lt;'112'!$K$9,$O2326='112'!$I$6)),"x",""))</f>
        <v/>
      </c>
      <c r="W2326" s="79" t="str">
        <f>IF(AND('341-CT'!$H$9=H2326,OR(LEFT(N2326,3)=$W$7,LEFT(O2326,3)=$W$7)),"x","")</f>
        <v/>
      </c>
      <c r="X2326" s="79" t="str">
        <f>IF(OR(TH!N2326=TH!$X$7,O2326=TH!$X$7),"x","")</f>
        <v/>
      </c>
      <c r="Y2326" s="79" t="str">
        <f>IF(AND(OR(N2326="131",O2326="131"),H2326='131-CT'!$H$9),"x","")</f>
        <v/>
      </c>
      <c r="Z2326" s="79"/>
      <c r="AA2326" s="79" t="str">
        <f>IF(AND(MONTH(E2326)='IN-NX'!$J$5,'IN-NX'!$D$7=D2326),"x","")</f>
        <v/>
      </c>
      <c r="AB2326" s="79" t="str">
        <f>IF(AND(OR(LEFT(TH!N2326,2)="15",LEFT(TH!O2326,2)="15"),LEFT(TH!O2326,3)&lt;&gt;"111",'152-CT'!$J$8=TH!F2326),"x","")</f>
        <v/>
      </c>
      <c r="AC2326" s="79" t="str">
        <f>IF(AND(OR(LEFT(TH!N2326,2)="15",LEFT(TH!O2326,2)="15"),TK!$E$7=TH!F2326),"x","")</f>
        <v/>
      </c>
      <c r="AD2326" s="79" t="str">
        <f>IF(AND(N2326="1521",MONTH(C2326)='BK-NL'!$M$11),"x","")</f>
        <v/>
      </c>
    </row>
    <row r="2327" spans="1:30" ht="16.5" customHeight="1">
      <c r="A2327" s="318" t="str">
        <f>IF(B2327&lt;&gt;"",IF(AND(B2327='IN-TC'!$S$4,OR(TH!N2327="1111",TH!O2327="1111")),TH!D2327,""),"")</f>
        <v/>
      </c>
      <c r="B2327" s="60" t="str">
        <f t="shared" si="238"/>
        <v/>
      </c>
      <c r="C2327" s="301"/>
      <c r="D2327" s="301"/>
      <c r="E2327" s="301"/>
      <c r="F2327" s="69"/>
      <c r="G2327" s="968"/>
      <c r="H2327" s="303"/>
      <c r="I2327" s="385"/>
      <c r="J2327" s="969"/>
      <c r="K2327" s="385"/>
      <c r="L2327" s="392"/>
      <c r="M2327" s="970"/>
      <c r="N2327" s="304"/>
      <c r="O2327" s="304"/>
      <c r="P2327" s="79" t="str">
        <f>IF(AND('331-CT'!$E$7=TH!H2327,OR(N2327="331",O2327="331")),"x","")</f>
        <v/>
      </c>
      <c r="Q2327" s="79" t="str">
        <f>IF(AND(B2327='111'!$L$11,OR($N2327=$Q$7,$O2327=$Q$7)),"x","")</f>
        <v/>
      </c>
      <c r="R2327" s="79" t="str">
        <f>IF(AND($N2327=$Q$7,$B2327&lt;'111'!$L$11),"x","")</f>
        <v/>
      </c>
      <c r="S2327" s="79" t="str">
        <f>IF(AND($O2327=$Q$7,$B2327&lt;'111'!$L$11),"x","")</f>
        <v/>
      </c>
      <c r="T2327" s="79" t="str">
        <f>IF(ISERROR(FIND('112'!$M$9,G2327,1)),"",IF((AND(FIND('112'!$M$9,G2327,1)&gt;=1,B2327='112'!$K$9,OR($N2327='112'!$I$6,$O2327='112'!$I$6))),"x",""))</f>
        <v/>
      </c>
      <c r="U2327" s="79" t="str">
        <f>IF(ISERROR(FIND('112'!$M$9,G2327,1)),"",IF((AND(LEFT(G2327,2)=LEFT('112'!$M$9,2),B2327&lt;'112'!$K$9,$N2327='112'!$I$6)),"x",""))</f>
        <v/>
      </c>
      <c r="V2327" s="79" t="str">
        <f>IF(ISERROR(FIND('112'!$M$9,G2327,1)),"",IF((AND(RIGHT(G2327,2)=RIGHT('112'!$M$9,2),B2327&lt;'112'!$K$9,$O2327='112'!$I$6)),"x",""))</f>
        <v/>
      </c>
      <c r="W2327" s="79" t="str">
        <f>IF(AND('341-CT'!$H$9=H2327,OR(LEFT(N2327,3)=$W$7,LEFT(O2327,3)=$W$7)),"x","")</f>
        <v/>
      </c>
      <c r="X2327" s="79" t="str">
        <f>IF(OR(TH!N2327=TH!$X$7,O2327=TH!$X$7),"x","")</f>
        <v/>
      </c>
      <c r="Y2327" s="79" t="str">
        <f>IF(AND(OR(N2327="131",O2327="131"),H2327='131-CT'!$H$9),"x","")</f>
        <v/>
      </c>
      <c r="Z2327" s="79"/>
      <c r="AA2327" s="79" t="str">
        <f>IF(AND(MONTH(E2327)='IN-NX'!$J$5,'IN-NX'!$D$7=D2327),"x","")</f>
        <v/>
      </c>
      <c r="AB2327" s="79" t="str">
        <f>IF(AND(OR(LEFT(TH!N2327,2)="15",LEFT(TH!O2327,2)="15"),LEFT(TH!O2327,3)&lt;&gt;"111",'152-CT'!$J$8=TH!F2327),"x","")</f>
        <v/>
      </c>
      <c r="AC2327" s="79" t="str">
        <f>IF(AND(OR(LEFT(TH!N2327,2)="15",LEFT(TH!O2327,2)="15"),TK!$E$7=TH!F2327),"x","")</f>
        <v/>
      </c>
      <c r="AD2327" s="79" t="str">
        <f>IF(AND(N2327="1521",MONTH(C2327)='BK-NL'!$M$11),"x","")</f>
        <v/>
      </c>
    </row>
    <row r="2328" spans="1:30" ht="16.5" customHeight="1">
      <c r="A2328" s="318" t="str">
        <f>IF(B2328&lt;&gt;"",IF(AND(B2328='IN-TC'!$S$4,OR(TH!N2328="1111",TH!O2328="1111")),TH!D2328,""),"")</f>
        <v/>
      </c>
      <c r="B2328" s="60" t="str">
        <f t="shared" si="238"/>
        <v/>
      </c>
      <c r="C2328" s="301"/>
      <c r="D2328" s="301"/>
      <c r="E2328" s="301"/>
      <c r="F2328" s="69"/>
      <c r="G2328" s="968"/>
      <c r="H2328" s="303"/>
      <c r="I2328" s="385"/>
      <c r="J2328" s="969"/>
      <c r="K2328" s="385"/>
      <c r="L2328" s="392"/>
      <c r="M2328" s="970"/>
      <c r="N2328" s="304"/>
      <c r="O2328" s="304"/>
      <c r="P2328" s="79" t="str">
        <f>IF(AND('331-CT'!$E$7=TH!H2328,OR(N2328="331",O2328="331")),"x","")</f>
        <v/>
      </c>
      <c r="Q2328" s="79" t="str">
        <f>IF(AND(B2328='111'!$L$11,OR($N2328=$Q$7,$O2328=$Q$7)),"x","")</f>
        <v/>
      </c>
      <c r="R2328" s="79" t="str">
        <f>IF(AND($N2328=$Q$7,$B2328&lt;'111'!$L$11),"x","")</f>
        <v/>
      </c>
      <c r="S2328" s="79" t="str">
        <f>IF(AND($O2328=$Q$7,$B2328&lt;'111'!$L$11),"x","")</f>
        <v/>
      </c>
      <c r="T2328" s="79" t="str">
        <f>IF(ISERROR(FIND('112'!$M$9,G2328,1)),"",IF((AND(FIND('112'!$M$9,G2328,1)&gt;=1,B2328='112'!$K$9,OR($N2328='112'!$I$6,$O2328='112'!$I$6))),"x",""))</f>
        <v/>
      </c>
      <c r="U2328" s="79" t="str">
        <f>IF(ISERROR(FIND('112'!$M$9,G2328,1)),"",IF((AND(LEFT(G2328,2)=LEFT('112'!$M$9,2),B2328&lt;'112'!$K$9,$N2328='112'!$I$6)),"x",""))</f>
        <v/>
      </c>
      <c r="V2328" s="79" t="str">
        <f>IF(ISERROR(FIND('112'!$M$9,G2328,1)),"",IF((AND(RIGHT(G2328,2)=RIGHT('112'!$M$9,2),B2328&lt;'112'!$K$9,$O2328='112'!$I$6)),"x",""))</f>
        <v/>
      </c>
      <c r="W2328" s="79" t="str">
        <f>IF(AND('341-CT'!$H$9=H2328,OR(LEFT(N2328,3)=$W$7,LEFT(O2328,3)=$W$7)),"x","")</f>
        <v/>
      </c>
      <c r="X2328" s="79" t="str">
        <f>IF(OR(TH!N2328=TH!$X$7,O2328=TH!$X$7),"x","")</f>
        <v/>
      </c>
      <c r="Y2328" s="79" t="str">
        <f>IF(AND(OR(N2328="131",O2328="131"),H2328='131-CT'!$H$9),"x","")</f>
        <v/>
      </c>
      <c r="Z2328" s="79"/>
      <c r="AA2328" s="79" t="str">
        <f>IF(AND(MONTH(E2328)='IN-NX'!$J$5,'IN-NX'!$D$7=D2328),"x","")</f>
        <v/>
      </c>
      <c r="AB2328" s="79" t="str">
        <f>IF(AND(OR(LEFT(TH!N2328,2)="15",LEFT(TH!O2328,2)="15"),LEFT(TH!O2328,3)&lt;&gt;"111",'152-CT'!$J$8=TH!F2328),"x","")</f>
        <v/>
      </c>
      <c r="AC2328" s="79" t="str">
        <f>IF(AND(OR(LEFT(TH!N2328,2)="15",LEFT(TH!O2328,2)="15"),TK!$E$7=TH!F2328),"x","")</f>
        <v/>
      </c>
      <c r="AD2328" s="79" t="str">
        <f>IF(AND(N2328="1521",MONTH(C2328)='BK-NL'!$M$11),"x","")</f>
        <v/>
      </c>
    </row>
    <row r="2329" spans="1:30" ht="16.5" customHeight="1">
      <c r="A2329" s="318" t="str">
        <f>IF(B2329&lt;&gt;"",IF(AND(B2329='IN-TC'!$S$4,OR(TH!N2329="1111",TH!O2329="1111")),TH!D2329,""),"")</f>
        <v/>
      </c>
      <c r="B2329" s="60" t="str">
        <f t="shared" si="238"/>
        <v/>
      </c>
      <c r="C2329" s="301"/>
      <c r="D2329" s="301"/>
      <c r="E2329" s="301"/>
      <c r="F2329" s="69"/>
      <c r="G2329" s="968"/>
      <c r="H2329" s="303"/>
      <c r="I2329" s="385"/>
      <c r="J2329" s="969"/>
      <c r="K2329" s="385"/>
      <c r="L2329" s="392"/>
      <c r="M2329" s="970"/>
      <c r="N2329" s="304"/>
      <c r="O2329" s="304"/>
      <c r="P2329" s="79" t="str">
        <f>IF(AND('331-CT'!$E$7=TH!H2329,OR(N2329="331",O2329="331")),"x","")</f>
        <v/>
      </c>
      <c r="Q2329" s="79" t="str">
        <f>IF(AND(B2329='111'!$L$11,OR($N2329=$Q$7,$O2329=$Q$7)),"x","")</f>
        <v/>
      </c>
      <c r="R2329" s="79" t="str">
        <f>IF(AND($N2329=$Q$7,$B2329&lt;'111'!$L$11),"x","")</f>
        <v/>
      </c>
      <c r="S2329" s="79" t="str">
        <f>IF(AND($O2329=$Q$7,$B2329&lt;'111'!$L$11),"x","")</f>
        <v/>
      </c>
      <c r="T2329" s="79" t="str">
        <f>IF(ISERROR(FIND('112'!$M$9,G2329,1)),"",IF((AND(FIND('112'!$M$9,G2329,1)&gt;=1,B2329='112'!$K$9,OR($N2329='112'!$I$6,$O2329='112'!$I$6))),"x",""))</f>
        <v/>
      </c>
      <c r="U2329" s="79" t="str">
        <f>IF(ISERROR(FIND('112'!$M$9,G2329,1)),"",IF((AND(LEFT(G2329,2)=LEFT('112'!$M$9,2),B2329&lt;'112'!$K$9,$N2329='112'!$I$6)),"x",""))</f>
        <v/>
      </c>
      <c r="V2329" s="79" t="str">
        <f>IF(ISERROR(FIND('112'!$M$9,G2329,1)),"",IF((AND(RIGHT(G2329,2)=RIGHT('112'!$M$9,2),B2329&lt;'112'!$K$9,$O2329='112'!$I$6)),"x",""))</f>
        <v/>
      </c>
      <c r="W2329" s="79" t="str">
        <f>IF(AND('341-CT'!$H$9=H2329,OR(LEFT(N2329,3)=$W$7,LEFT(O2329,3)=$W$7)),"x","")</f>
        <v/>
      </c>
      <c r="X2329" s="79" t="str">
        <f>IF(OR(TH!N2329=TH!$X$7,O2329=TH!$X$7),"x","")</f>
        <v/>
      </c>
      <c r="Y2329" s="79" t="str">
        <f>IF(AND(OR(N2329="131",O2329="131"),H2329='131-CT'!$H$9),"x","")</f>
        <v/>
      </c>
      <c r="Z2329" s="79"/>
      <c r="AA2329" s="79" t="str">
        <f>IF(AND(MONTH(E2329)='IN-NX'!$J$5,'IN-NX'!$D$7=D2329),"x","")</f>
        <v/>
      </c>
      <c r="AB2329" s="79" t="str">
        <f>IF(AND(OR(LEFT(TH!N2329,2)="15",LEFT(TH!O2329,2)="15"),LEFT(TH!O2329,3)&lt;&gt;"111",'152-CT'!$J$8=TH!F2329),"x","")</f>
        <v/>
      </c>
      <c r="AC2329" s="79" t="str">
        <f>IF(AND(OR(LEFT(TH!N2329,2)="15",LEFT(TH!O2329,2)="15"),TK!$E$7=TH!F2329),"x","")</f>
        <v/>
      </c>
      <c r="AD2329" s="79" t="str">
        <f>IF(AND(N2329="1521",MONTH(C2329)='BK-NL'!$M$11),"x","")</f>
        <v/>
      </c>
    </row>
    <row r="2330" spans="1:30" ht="16.5" customHeight="1">
      <c r="A2330" s="318" t="str">
        <f>IF(B2330&lt;&gt;"",IF(AND(B2330='IN-TC'!$S$4,OR(TH!N2330="1111",TH!O2330="1111")),TH!D2330,""),"")</f>
        <v/>
      </c>
      <c r="B2330" s="60" t="str">
        <f t="shared" si="238"/>
        <v/>
      </c>
      <c r="C2330" s="301"/>
      <c r="D2330" s="301"/>
      <c r="E2330" s="301"/>
      <c r="F2330" s="69"/>
      <c r="G2330" s="968"/>
      <c r="H2330" s="303"/>
      <c r="I2330" s="385"/>
      <c r="J2330" s="969"/>
      <c r="K2330" s="385"/>
      <c r="L2330" s="392"/>
      <c r="M2330" s="970"/>
      <c r="N2330" s="304"/>
      <c r="O2330" s="304"/>
      <c r="P2330" s="79" t="str">
        <f>IF(AND('331-CT'!$E$7=TH!H2330,OR(N2330="331",O2330="331")),"x","")</f>
        <v/>
      </c>
      <c r="Q2330" s="79" t="str">
        <f>IF(AND(B2330='111'!$L$11,OR($N2330=$Q$7,$O2330=$Q$7)),"x","")</f>
        <v/>
      </c>
      <c r="R2330" s="79" t="str">
        <f>IF(AND($N2330=$Q$7,$B2330&lt;'111'!$L$11),"x","")</f>
        <v/>
      </c>
      <c r="S2330" s="79" t="str">
        <f>IF(AND($O2330=$Q$7,$B2330&lt;'111'!$L$11),"x","")</f>
        <v/>
      </c>
      <c r="T2330" s="79" t="str">
        <f>IF(ISERROR(FIND('112'!$M$9,G2330,1)),"",IF((AND(FIND('112'!$M$9,G2330,1)&gt;=1,B2330='112'!$K$9,OR($N2330='112'!$I$6,$O2330='112'!$I$6))),"x",""))</f>
        <v/>
      </c>
      <c r="U2330" s="79" t="str">
        <f>IF(ISERROR(FIND('112'!$M$9,G2330,1)),"",IF((AND(LEFT(G2330,2)=LEFT('112'!$M$9,2),B2330&lt;'112'!$K$9,$N2330='112'!$I$6)),"x",""))</f>
        <v/>
      </c>
      <c r="V2330" s="79" t="str">
        <f>IF(ISERROR(FIND('112'!$M$9,G2330,1)),"",IF((AND(RIGHT(G2330,2)=RIGHT('112'!$M$9,2),B2330&lt;'112'!$K$9,$O2330='112'!$I$6)),"x",""))</f>
        <v/>
      </c>
      <c r="W2330" s="79" t="str">
        <f>IF(AND('341-CT'!$H$9=H2330,OR(LEFT(N2330,3)=$W$7,LEFT(O2330,3)=$W$7)),"x","")</f>
        <v/>
      </c>
      <c r="X2330" s="79" t="str">
        <f>IF(OR(TH!N2330=TH!$X$7,O2330=TH!$X$7),"x","")</f>
        <v/>
      </c>
      <c r="Y2330" s="79" t="str">
        <f>IF(AND(OR(N2330="131",O2330="131"),H2330='131-CT'!$H$9),"x","")</f>
        <v/>
      </c>
      <c r="Z2330" s="79"/>
      <c r="AA2330" s="79" t="str">
        <f>IF(AND(MONTH(E2330)='IN-NX'!$J$5,'IN-NX'!$D$7=D2330),"x","")</f>
        <v/>
      </c>
      <c r="AB2330" s="79" t="str">
        <f>IF(AND(OR(LEFT(TH!N2330,2)="15",LEFT(TH!O2330,2)="15"),LEFT(TH!O2330,3)&lt;&gt;"111",'152-CT'!$J$8=TH!F2330),"x","")</f>
        <v/>
      </c>
      <c r="AC2330" s="79" t="str">
        <f>IF(AND(OR(LEFT(TH!N2330,2)="15",LEFT(TH!O2330,2)="15"),TK!$E$7=TH!F2330),"x","")</f>
        <v/>
      </c>
      <c r="AD2330" s="79" t="str">
        <f>IF(AND(N2330="1521",MONTH(C2330)='BK-NL'!$M$11),"x","")</f>
        <v/>
      </c>
    </row>
    <row r="2331" spans="1:30" ht="16.5" customHeight="1">
      <c r="A2331" s="318" t="str">
        <f>IF(B2331&lt;&gt;"",IF(AND(B2331='IN-TC'!$S$4,OR(TH!N2331="1111",TH!O2331="1111")),TH!D2331,""),"")</f>
        <v/>
      </c>
      <c r="B2331" s="60" t="str">
        <f t="shared" si="238"/>
        <v/>
      </c>
      <c r="C2331" s="301"/>
      <c r="D2331" s="301"/>
      <c r="E2331" s="301"/>
      <c r="F2331" s="69"/>
      <c r="G2331" s="968"/>
      <c r="H2331" s="303"/>
      <c r="I2331" s="385"/>
      <c r="J2331" s="969"/>
      <c r="K2331" s="385"/>
      <c r="L2331" s="392"/>
      <c r="M2331" s="970"/>
      <c r="N2331" s="304"/>
      <c r="O2331" s="304"/>
      <c r="P2331" s="79" t="str">
        <f>IF(AND('331-CT'!$E$7=TH!H2331,OR(N2331="331",O2331="331")),"x","")</f>
        <v/>
      </c>
      <c r="Q2331" s="79" t="str">
        <f>IF(AND(B2331='111'!$L$11,OR($N2331=$Q$7,$O2331=$Q$7)),"x","")</f>
        <v/>
      </c>
      <c r="R2331" s="79" t="str">
        <f>IF(AND($N2331=$Q$7,$B2331&lt;'111'!$L$11),"x","")</f>
        <v/>
      </c>
      <c r="S2331" s="79" t="str">
        <f>IF(AND($O2331=$Q$7,$B2331&lt;'111'!$L$11),"x","")</f>
        <v/>
      </c>
      <c r="T2331" s="79" t="str">
        <f>IF(ISERROR(FIND('112'!$M$9,G2331,1)),"",IF((AND(FIND('112'!$M$9,G2331,1)&gt;=1,B2331='112'!$K$9,OR($N2331='112'!$I$6,$O2331='112'!$I$6))),"x",""))</f>
        <v/>
      </c>
      <c r="U2331" s="79" t="str">
        <f>IF(ISERROR(FIND('112'!$M$9,G2331,1)),"",IF((AND(LEFT(G2331,2)=LEFT('112'!$M$9,2),B2331&lt;'112'!$K$9,$N2331='112'!$I$6)),"x",""))</f>
        <v/>
      </c>
      <c r="V2331" s="79" t="str">
        <f>IF(ISERROR(FIND('112'!$M$9,G2331,1)),"",IF((AND(RIGHT(G2331,2)=RIGHT('112'!$M$9,2),B2331&lt;'112'!$K$9,$O2331='112'!$I$6)),"x",""))</f>
        <v/>
      </c>
      <c r="W2331" s="79" t="str">
        <f>IF(AND('341-CT'!$H$9=H2331,OR(LEFT(N2331,3)=$W$7,LEFT(O2331,3)=$W$7)),"x","")</f>
        <v/>
      </c>
      <c r="X2331" s="79" t="str">
        <f>IF(OR(TH!N2331=TH!$X$7,O2331=TH!$X$7),"x","")</f>
        <v/>
      </c>
      <c r="Y2331" s="79" t="str">
        <f>IF(AND(OR(N2331="131",O2331="131"),H2331='131-CT'!$H$9),"x","")</f>
        <v/>
      </c>
      <c r="Z2331" s="79"/>
      <c r="AA2331" s="79" t="str">
        <f>IF(AND(MONTH(E2331)='IN-NX'!$J$5,'IN-NX'!$D$7=D2331),"x","")</f>
        <v/>
      </c>
      <c r="AB2331" s="79" t="str">
        <f>IF(AND(OR(LEFT(TH!N2331,2)="15",LEFT(TH!O2331,2)="15"),LEFT(TH!O2331,3)&lt;&gt;"111",'152-CT'!$J$8=TH!F2331),"x","")</f>
        <v/>
      </c>
      <c r="AC2331" s="79" t="str">
        <f>IF(AND(OR(LEFT(TH!N2331,2)="15",LEFT(TH!O2331,2)="15"),TK!$E$7=TH!F2331),"x","")</f>
        <v/>
      </c>
      <c r="AD2331" s="79" t="str">
        <f>IF(AND(N2331="1521",MONTH(C2331)='BK-NL'!$M$11),"x","")</f>
        <v/>
      </c>
    </row>
    <row r="2332" spans="1:30" ht="16.5" customHeight="1">
      <c r="A2332" s="318" t="str">
        <f>IF(B2332&lt;&gt;"",IF(AND(B2332='IN-TC'!$S$4,OR(TH!N2332="1111",TH!O2332="1111")),TH!D2332,""),"")</f>
        <v/>
      </c>
      <c r="B2332" s="60" t="str">
        <f t="shared" si="238"/>
        <v/>
      </c>
      <c r="C2332" s="301"/>
      <c r="D2332" s="301"/>
      <c r="E2332" s="301"/>
      <c r="F2332" s="69"/>
      <c r="G2332" s="968"/>
      <c r="H2332" s="303"/>
      <c r="I2332" s="385"/>
      <c r="J2332" s="969"/>
      <c r="K2332" s="385"/>
      <c r="L2332" s="392"/>
      <c r="M2332" s="970"/>
      <c r="N2332" s="304"/>
      <c r="O2332" s="304"/>
      <c r="P2332" s="79" t="str">
        <f>IF(AND('331-CT'!$E$7=TH!H2332,OR(N2332="331",O2332="331")),"x","")</f>
        <v/>
      </c>
      <c r="Q2332" s="79" t="str">
        <f>IF(AND(B2332='111'!$L$11,OR($N2332=$Q$7,$O2332=$Q$7)),"x","")</f>
        <v/>
      </c>
      <c r="R2332" s="79" t="str">
        <f>IF(AND($N2332=$Q$7,$B2332&lt;'111'!$L$11),"x","")</f>
        <v/>
      </c>
      <c r="S2332" s="79" t="str">
        <f>IF(AND($O2332=$Q$7,$B2332&lt;'111'!$L$11),"x","")</f>
        <v/>
      </c>
      <c r="T2332" s="79" t="str">
        <f>IF(ISERROR(FIND('112'!$M$9,G2332,1)),"",IF((AND(FIND('112'!$M$9,G2332,1)&gt;=1,B2332='112'!$K$9,OR($N2332='112'!$I$6,$O2332='112'!$I$6))),"x",""))</f>
        <v/>
      </c>
      <c r="U2332" s="79" t="str">
        <f>IF(ISERROR(FIND('112'!$M$9,G2332,1)),"",IF((AND(LEFT(G2332,2)=LEFT('112'!$M$9,2),B2332&lt;'112'!$K$9,$N2332='112'!$I$6)),"x",""))</f>
        <v/>
      </c>
      <c r="V2332" s="79" t="str">
        <f>IF(ISERROR(FIND('112'!$M$9,G2332,1)),"",IF((AND(RIGHT(G2332,2)=RIGHT('112'!$M$9,2),B2332&lt;'112'!$K$9,$O2332='112'!$I$6)),"x",""))</f>
        <v/>
      </c>
      <c r="W2332" s="79" t="str">
        <f>IF(AND('341-CT'!$H$9=H2332,OR(LEFT(N2332,3)=$W$7,LEFT(O2332,3)=$W$7)),"x","")</f>
        <v/>
      </c>
      <c r="X2332" s="79" t="str">
        <f>IF(OR(TH!N2332=TH!$X$7,O2332=TH!$X$7),"x","")</f>
        <v/>
      </c>
      <c r="Y2332" s="79" t="str">
        <f>IF(AND(OR(N2332="131",O2332="131"),H2332='131-CT'!$H$9),"x","")</f>
        <v/>
      </c>
      <c r="Z2332" s="79"/>
      <c r="AA2332" s="79" t="str">
        <f>IF(AND(MONTH(E2332)='IN-NX'!$J$5,'IN-NX'!$D$7=D2332),"x","")</f>
        <v/>
      </c>
      <c r="AB2332" s="79" t="str">
        <f>IF(AND(OR(LEFT(TH!N2332,2)="15",LEFT(TH!O2332,2)="15"),LEFT(TH!O2332,3)&lt;&gt;"111",'152-CT'!$J$8=TH!F2332),"x","")</f>
        <v/>
      </c>
      <c r="AC2332" s="79" t="str">
        <f>IF(AND(OR(LEFT(TH!N2332,2)="15",LEFT(TH!O2332,2)="15"),TK!$E$7=TH!F2332),"x","")</f>
        <v/>
      </c>
      <c r="AD2332" s="79" t="str">
        <f>IF(AND(N2332="1521",MONTH(C2332)='BK-NL'!$M$11),"x","")</f>
        <v/>
      </c>
    </row>
    <row r="2333" spans="1:30" ht="16.5" customHeight="1">
      <c r="A2333" s="318" t="str">
        <f>IF(B2333&lt;&gt;"",IF(AND(B2333='IN-TC'!$S$4,OR(TH!N2333="1111",TH!O2333="1111")),TH!D2333,""),"")</f>
        <v/>
      </c>
      <c r="B2333" s="60" t="str">
        <f t="shared" si="238"/>
        <v/>
      </c>
      <c r="C2333" s="974"/>
      <c r="D2333" s="301"/>
      <c r="E2333" s="974"/>
      <c r="F2333" s="77"/>
      <c r="G2333" s="976"/>
      <c r="H2333" s="305"/>
      <c r="I2333" s="383"/>
      <c r="J2333" s="977"/>
      <c r="K2333" s="383"/>
      <c r="L2333" s="390"/>
      <c r="M2333" s="978"/>
      <c r="N2333" s="979"/>
      <c r="O2333" s="979"/>
      <c r="P2333" s="79" t="str">
        <f>IF(AND('331-CT'!$E$7=TH!H2333,OR(N2333="331",O2333="331")),"x","")</f>
        <v/>
      </c>
      <c r="Q2333" s="79" t="str">
        <f>IF(AND(B2333='111'!$L$11,OR($N2333=$Q$7,$O2333=$Q$7)),"x","")</f>
        <v/>
      </c>
      <c r="R2333" s="79" t="str">
        <f>IF(AND($N2333=$Q$7,$B2333&lt;'111'!$L$11),"x","")</f>
        <v/>
      </c>
      <c r="S2333" s="79" t="str">
        <f>IF(AND($O2333=$Q$7,$B2333&lt;'111'!$L$11),"x","")</f>
        <v/>
      </c>
      <c r="T2333" s="79" t="str">
        <f>IF(ISERROR(FIND('112'!$M$9,G2333,1)),"",IF((AND(FIND('112'!$M$9,G2333,1)&gt;=1,B2333='112'!$K$9,OR($N2333='112'!$I$6,$O2333='112'!$I$6))),"x",""))</f>
        <v/>
      </c>
      <c r="U2333" s="79" t="str">
        <f>IF(ISERROR(FIND('112'!$M$9,G2333,1)),"",IF((AND(LEFT(G2333,2)=LEFT('112'!$M$9,2),B2333&lt;'112'!$K$9,$N2333='112'!$I$6)),"x",""))</f>
        <v/>
      </c>
      <c r="V2333" s="79" t="str">
        <f>IF(ISERROR(FIND('112'!$M$9,G2333,1)),"",IF((AND(RIGHT(G2333,2)=RIGHT('112'!$M$9,2),B2333&lt;'112'!$K$9,$O2333='112'!$I$6)),"x",""))</f>
        <v/>
      </c>
      <c r="W2333" s="79" t="str">
        <f>IF(AND('341-CT'!$H$9=H2333,OR(LEFT(N2333,3)=$W$7,LEFT(O2333,3)=$W$7)),"x","")</f>
        <v/>
      </c>
      <c r="X2333" s="79" t="str">
        <f>IF(OR(TH!N2333=TH!$X$7,O2333=TH!$X$7),"x","")</f>
        <v/>
      </c>
      <c r="Y2333" s="79" t="str">
        <f>IF(AND(OR(N2333="131",O2333="131"),H2333='131-CT'!$H$9),"x","")</f>
        <v/>
      </c>
      <c r="Z2333" s="79"/>
      <c r="AA2333" s="79" t="str">
        <f>IF(AND(MONTH(E2333)='IN-NX'!$J$5,'IN-NX'!$D$7=D2333),"x","")</f>
        <v/>
      </c>
      <c r="AB2333" s="79" t="str">
        <f>IF(AND(OR(LEFT(TH!N2333,2)="15",LEFT(TH!O2333,2)="15"),LEFT(TH!O2333,3)&lt;&gt;"111",'152-CT'!$J$8=TH!F2333),"x","")</f>
        <v/>
      </c>
      <c r="AC2333" s="79" t="str">
        <f>IF(AND(OR(LEFT(TH!N2333,2)="15",LEFT(TH!O2333,2)="15"),TK!$E$7=TH!F2333),"x","")</f>
        <v/>
      </c>
      <c r="AD2333" s="79" t="str">
        <f>IF(AND(N2333="1521",MONTH(C2333)='BK-NL'!$M$11),"x","")</f>
        <v/>
      </c>
    </row>
    <row r="2334" spans="1:30" ht="16.5" customHeight="1">
      <c r="A2334" s="318" t="str">
        <f>IF(B2334&lt;&gt;"",IF(AND(B2334='IN-TC'!$S$4,OR(TH!N2334="1111",TH!O2334="1111")),TH!D2334,""),"")</f>
        <v/>
      </c>
      <c r="B2334" s="60" t="str">
        <f t="shared" si="238"/>
        <v/>
      </c>
      <c r="C2334" s="301"/>
      <c r="D2334" s="301"/>
      <c r="E2334" s="301"/>
      <c r="F2334" s="69"/>
      <c r="G2334" s="968"/>
      <c r="H2334" s="303"/>
      <c r="I2334" s="385"/>
      <c r="J2334" s="969"/>
      <c r="K2334" s="385"/>
      <c r="L2334" s="392"/>
      <c r="M2334" s="970"/>
      <c r="N2334" s="304"/>
      <c r="O2334" s="304"/>
      <c r="P2334" s="79" t="str">
        <f>IF(AND('331-CT'!$E$7=TH!H2334,OR(N2334="331",O2334="331")),"x","")</f>
        <v/>
      </c>
      <c r="Q2334" s="79" t="str">
        <f>IF(AND(B2334='111'!$L$11,OR($N2334=$Q$7,$O2334=$Q$7)),"x","")</f>
        <v/>
      </c>
      <c r="R2334" s="79" t="str">
        <f>IF(AND($N2334=$Q$7,$B2334&lt;'111'!$L$11),"x","")</f>
        <v/>
      </c>
      <c r="S2334" s="79" t="str">
        <f>IF(AND($O2334=$Q$7,$B2334&lt;'111'!$L$11),"x","")</f>
        <v/>
      </c>
      <c r="T2334" s="79" t="str">
        <f>IF(ISERROR(FIND('112'!$M$9,G2334,1)),"",IF((AND(FIND('112'!$M$9,G2334,1)&gt;=1,B2334='112'!$K$9,OR($N2334='112'!$I$6,$O2334='112'!$I$6))),"x",""))</f>
        <v/>
      </c>
      <c r="U2334" s="79" t="str">
        <f>IF(ISERROR(FIND('112'!$M$9,G2334,1)),"",IF((AND(LEFT(G2334,2)=LEFT('112'!$M$9,2),B2334&lt;'112'!$K$9,$N2334='112'!$I$6)),"x",""))</f>
        <v/>
      </c>
      <c r="V2334" s="79" t="str">
        <f>IF(ISERROR(FIND('112'!$M$9,G2334,1)),"",IF((AND(RIGHT(G2334,2)=RIGHT('112'!$M$9,2),B2334&lt;'112'!$K$9,$O2334='112'!$I$6)),"x",""))</f>
        <v/>
      </c>
      <c r="W2334" s="79" t="str">
        <f>IF(AND('341-CT'!$H$9=H2334,OR(LEFT(N2334,3)=$W$7,LEFT(O2334,3)=$W$7)),"x","")</f>
        <v/>
      </c>
      <c r="X2334" s="79" t="str">
        <f>IF(OR(TH!N2334=TH!$X$7,O2334=TH!$X$7),"x","")</f>
        <v/>
      </c>
      <c r="Y2334" s="79" t="str">
        <f>IF(AND(OR(N2334="131",O2334="131"),H2334='131-CT'!$H$9),"x","")</f>
        <v/>
      </c>
      <c r="Z2334" s="79"/>
      <c r="AA2334" s="79" t="str">
        <f>IF(AND(MONTH(E2334)='IN-NX'!$J$5,'IN-NX'!$D$7=D2334),"x","")</f>
        <v/>
      </c>
      <c r="AB2334" s="79" t="str">
        <f>IF(AND(OR(LEFT(TH!N2334,2)="15",LEFT(TH!O2334,2)="15"),LEFT(TH!O2334,3)&lt;&gt;"111",'152-CT'!$J$8=TH!F2334),"x","")</f>
        <v/>
      </c>
      <c r="AC2334" s="79" t="str">
        <f>IF(AND(OR(LEFT(TH!N2334,2)="15",LEFT(TH!O2334,2)="15"),TK!$E$7=TH!F2334),"x","")</f>
        <v/>
      </c>
      <c r="AD2334" s="79" t="str">
        <f>IF(AND(N2334="1521",MONTH(C2334)='BK-NL'!$M$11),"x","")</f>
        <v/>
      </c>
    </row>
    <row r="2335" spans="1:30" ht="16.5" customHeight="1">
      <c r="A2335" s="318" t="str">
        <f>IF(B2335&lt;&gt;"",IF(AND(B2335='IN-TC'!$S$4,OR(TH!N2335="1111",TH!O2335="1111")),TH!D2335,""),"")</f>
        <v/>
      </c>
      <c r="B2335" s="60" t="str">
        <f t="shared" si="238"/>
        <v/>
      </c>
      <c r="C2335" s="301"/>
      <c r="D2335" s="301"/>
      <c r="E2335" s="301"/>
      <c r="F2335" s="69"/>
      <c r="G2335" s="968"/>
      <c r="H2335" s="303"/>
      <c r="I2335" s="385"/>
      <c r="J2335" s="969"/>
      <c r="K2335" s="385"/>
      <c r="L2335" s="392"/>
      <c r="M2335" s="970"/>
      <c r="N2335" s="304"/>
      <c r="O2335" s="304"/>
      <c r="P2335" s="79" t="str">
        <f>IF(AND('331-CT'!$E$7=TH!H2335,OR(N2335="331",O2335="331")),"x","")</f>
        <v/>
      </c>
      <c r="Q2335" s="79" t="str">
        <f>IF(AND(B2335='111'!$L$11,OR($N2335=$Q$7,$O2335=$Q$7)),"x","")</f>
        <v/>
      </c>
      <c r="R2335" s="79" t="str">
        <f>IF(AND($N2335=$Q$7,$B2335&lt;'111'!$L$11),"x","")</f>
        <v/>
      </c>
      <c r="S2335" s="79" t="str">
        <f>IF(AND($O2335=$Q$7,$B2335&lt;'111'!$L$11),"x","")</f>
        <v/>
      </c>
      <c r="T2335" s="79" t="str">
        <f>IF(ISERROR(FIND('112'!$M$9,G2335,1)),"",IF((AND(FIND('112'!$M$9,G2335,1)&gt;=1,B2335='112'!$K$9,OR($N2335='112'!$I$6,$O2335='112'!$I$6))),"x",""))</f>
        <v/>
      </c>
      <c r="U2335" s="79" t="str">
        <f>IF(ISERROR(FIND('112'!$M$9,G2335,1)),"",IF((AND(LEFT(G2335,2)=LEFT('112'!$M$9,2),B2335&lt;'112'!$K$9,$N2335='112'!$I$6)),"x",""))</f>
        <v/>
      </c>
      <c r="V2335" s="79" t="str">
        <f>IF(ISERROR(FIND('112'!$M$9,G2335,1)),"",IF((AND(RIGHT(G2335,2)=RIGHT('112'!$M$9,2),B2335&lt;'112'!$K$9,$O2335='112'!$I$6)),"x",""))</f>
        <v/>
      </c>
      <c r="W2335" s="79" t="str">
        <f>IF(AND('341-CT'!$H$9=H2335,OR(LEFT(N2335,3)=$W$7,LEFT(O2335,3)=$W$7)),"x","")</f>
        <v/>
      </c>
      <c r="X2335" s="79" t="str">
        <f>IF(OR(TH!N2335=TH!$X$7,O2335=TH!$X$7),"x","")</f>
        <v/>
      </c>
      <c r="Y2335" s="79" t="str">
        <f>IF(AND(OR(N2335="131",O2335="131"),H2335='131-CT'!$H$9),"x","")</f>
        <v/>
      </c>
      <c r="Z2335" s="79"/>
      <c r="AA2335" s="79" t="str">
        <f>IF(AND(MONTH(E2335)='IN-NX'!$J$5,'IN-NX'!$D$7=D2335),"x","")</f>
        <v/>
      </c>
      <c r="AB2335" s="79" t="str">
        <f>IF(AND(OR(LEFT(TH!N2335,2)="15",LEFT(TH!O2335,2)="15"),LEFT(TH!O2335,3)&lt;&gt;"111",'152-CT'!$J$8=TH!F2335),"x","")</f>
        <v/>
      </c>
      <c r="AC2335" s="79" t="str">
        <f>IF(AND(OR(LEFT(TH!N2335,2)="15",LEFT(TH!O2335,2)="15"),TK!$E$7=TH!F2335),"x","")</f>
        <v/>
      </c>
      <c r="AD2335" s="79" t="str">
        <f>IF(AND(N2335="1521",MONTH(C2335)='BK-NL'!$M$11),"x","")</f>
        <v/>
      </c>
    </row>
    <row r="2336" spans="1:30" ht="16.5" customHeight="1">
      <c r="A2336" s="318" t="str">
        <f>IF(B2336&lt;&gt;"",IF(AND(B2336='IN-TC'!$S$4,OR(TH!N2336="1111",TH!O2336="1111")),TH!D2336,""),"")</f>
        <v/>
      </c>
      <c r="B2336" s="60" t="str">
        <f t="shared" si="238"/>
        <v/>
      </c>
      <c r="C2336" s="974"/>
      <c r="D2336" s="301"/>
      <c r="E2336" s="974"/>
      <c r="F2336" s="77"/>
      <c r="G2336" s="976"/>
      <c r="H2336" s="305"/>
      <c r="I2336" s="383"/>
      <c r="J2336" s="977"/>
      <c r="K2336" s="383"/>
      <c r="L2336" s="390"/>
      <c r="M2336" s="978"/>
      <c r="N2336" s="979"/>
      <c r="O2336" s="979"/>
      <c r="P2336" s="79" t="str">
        <f>IF(AND('331-CT'!$E$7=TH!H2336,OR(N2336="331",O2336="331")),"x","")</f>
        <v/>
      </c>
      <c r="Q2336" s="79" t="str">
        <f>IF(AND(B2336='111'!$L$11,OR($N2336=$Q$7,$O2336=$Q$7)),"x","")</f>
        <v/>
      </c>
      <c r="R2336" s="79" t="str">
        <f>IF(AND($N2336=$Q$7,$B2336&lt;'111'!$L$11),"x","")</f>
        <v/>
      </c>
      <c r="S2336" s="79" t="str">
        <f>IF(AND($O2336=$Q$7,$B2336&lt;'111'!$L$11),"x","")</f>
        <v/>
      </c>
      <c r="T2336" s="79" t="str">
        <f>IF(ISERROR(FIND('112'!$M$9,G2336,1)),"",IF((AND(FIND('112'!$M$9,G2336,1)&gt;=1,B2336='112'!$K$9,OR($N2336='112'!$I$6,$O2336='112'!$I$6))),"x",""))</f>
        <v/>
      </c>
      <c r="U2336" s="79" t="str">
        <f>IF(ISERROR(FIND('112'!$M$9,G2336,1)),"",IF((AND(LEFT(G2336,2)=LEFT('112'!$M$9,2),B2336&lt;'112'!$K$9,$N2336='112'!$I$6)),"x",""))</f>
        <v/>
      </c>
      <c r="V2336" s="79" t="str">
        <f>IF(ISERROR(FIND('112'!$M$9,G2336,1)),"",IF((AND(RIGHT(G2336,2)=RIGHT('112'!$M$9,2),B2336&lt;'112'!$K$9,$O2336='112'!$I$6)),"x",""))</f>
        <v/>
      </c>
      <c r="W2336" s="79" t="str">
        <f>IF(AND('341-CT'!$H$9=H2336,OR(LEFT(N2336,3)=$W$7,LEFT(O2336,3)=$W$7)),"x","")</f>
        <v/>
      </c>
      <c r="X2336" s="79" t="str">
        <f>IF(OR(TH!N2336=TH!$X$7,O2336=TH!$X$7),"x","")</f>
        <v/>
      </c>
      <c r="Y2336" s="79" t="str">
        <f>IF(AND(OR(N2336="131",O2336="131"),H2336='131-CT'!$H$9),"x","")</f>
        <v/>
      </c>
      <c r="Z2336" s="79"/>
      <c r="AA2336" s="79" t="str">
        <f>IF(AND(MONTH(E2336)='IN-NX'!$J$5,'IN-NX'!$D$7=D2336),"x","")</f>
        <v/>
      </c>
      <c r="AB2336" s="79" t="str">
        <f>IF(AND(OR(LEFT(TH!N2336,2)="15",LEFT(TH!O2336,2)="15"),LEFT(TH!O2336,3)&lt;&gt;"111",'152-CT'!$J$8=TH!F2336),"x","")</f>
        <v/>
      </c>
      <c r="AC2336" s="79" t="str">
        <f>IF(AND(OR(LEFT(TH!N2336,2)="15",LEFT(TH!O2336,2)="15"),TK!$E$7=TH!F2336),"x","")</f>
        <v/>
      </c>
      <c r="AD2336" s="79" t="str">
        <f>IF(AND(N2336="1521",MONTH(C2336)='BK-NL'!$M$11),"x","")</f>
        <v/>
      </c>
    </row>
    <row r="2337" spans="1:30" ht="16.5" customHeight="1">
      <c r="A2337" s="318" t="str">
        <f>IF(B2337&lt;&gt;"",IF(AND(B2337='IN-TC'!$S$4,OR(TH!N2337="1111",TH!O2337="1111")),TH!D2337,""),"")</f>
        <v/>
      </c>
      <c r="B2337" s="60" t="str">
        <f t="shared" si="238"/>
        <v/>
      </c>
      <c r="C2337" s="981"/>
      <c r="D2337" s="981"/>
      <c r="E2337" s="301"/>
      <c r="F2337" s="999"/>
      <c r="G2337" s="1130"/>
      <c r="H2337" s="982"/>
      <c r="I2337" s="984"/>
      <c r="J2337" s="983"/>
      <c r="K2337" s="984"/>
      <c r="L2337" s="983"/>
      <c r="M2337" s="985"/>
      <c r="N2337" s="986"/>
      <c r="O2337" s="986"/>
      <c r="P2337" s="79" t="str">
        <f>IF(AND('331-CT'!$E$7=TH!H2337,OR(N2337="331",O2337="331")),"x","")</f>
        <v/>
      </c>
      <c r="Q2337" s="79" t="str">
        <f>IF(AND(B2337='111'!$L$11,OR($N2337=$Q$7,$O2337=$Q$7)),"x","")</f>
        <v/>
      </c>
      <c r="R2337" s="79" t="str">
        <f>IF(AND($N2337=$Q$7,$B2337&lt;'111'!$L$11),"x","")</f>
        <v/>
      </c>
      <c r="S2337" s="79" t="str">
        <f>IF(AND($O2337=$Q$7,$B2337&lt;'111'!$L$11),"x","")</f>
        <v/>
      </c>
      <c r="T2337" s="79" t="str">
        <f>IF(ISERROR(FIND('112'!$M$9,G2337,1)),"",IF((AND(FIND('112'!$M$9,G2337,1)&gt;=1,B2337='112'!$K$9,OR($N2337='112'!$I$6,$O2337='112'!$I$6))),"x",""))</f>
        <v/>
      </c>
      <c r="U2337" s="79" t="str">
        <f>IF(ISERROR(FIND('112'!$M$9,G2337,1)),"",IF((AND(LEFT(G2337,2)=LEFT('112'!$M$9,2),B2337&lt;'112'!$K$9,$N2337='112'!$I$6)),"x",""))</f>
        <v/>
      </c>
      <c r="V2337" s="79" t="str">
        <f>IF(ISERROR(FIND('112'!$M$9,G2337,1)),"",IF((AND(RIGHT(G2337,2)=RIGHT('112'!$M$9,2),B2337&lt;'112'!$K$9,$O2337='112'!$I$6)),"x",""))</f>
        <v/>
      </c>
      <c r="W2337" s="79" t="str">
        <f>IF(AND('341-CT'!$H$9=H2337,OR(LEFT(N2337,3)=$W$7,LEFT(O2337,3)=$W$7)),"x","")</f>
        <v/>
      </c>
      <c r="X2337" s="79" t="str">
        <f>IF(OR(TH!N2337=TH!$X$7,O2337=TH!$X$7),"x","")</f>
        <v/>
      </c>
      <c r="Y2337" s="79" t="str">
        <f>IF(AND(OR(N2337="131",O2337="131"),H2337='131-CT'!$H$9),"x","")</f>
        <v/>
      </c>
      <c r="Z2337" s="79"/>
      <c r="AA2337" s="79" t="str">
        <f>IF(AND(MONTH(E2337)='IN-NX'!$J$5,'IN-NX'!$D$7=D2337),"x","")</f>
        <v/>
      </c>
      <c r="AB2337" s="79" t="str">
        <f>IF(AND(OR(LEFT(TH!N2337,2)="15",LEFT(TH!O2337,2)="15"),LEFT(TH!O2337,3)&lt;&gt;"111",'152-CT'!$J$8=TH!F2337),"x","")</f>
        <v/>
      </c>
      <c r="AC2337" s="79" t="str">
        <f>IF(AND(OR(LEFT(TH!N2337,2)="15",LEFT(TH!O2337,2)="15"),TK!$E$7=TH!F2337),"x","")</f>
        <v/>
      </c>
      <c r="AD2337" s="79" t="str">
        <f>IF(AND(N2337="1521",MONTH(C2337)='BK-NL'!$M$11),"x","")</f>
        <v/>
      </c>
    </row>
    <row r="2338" spans="1:30" ht="16.5" customHeight="1">
      <c r="A2338" s="318" t="str">
        <f>IF(B2338&lt;&gt;"",IF(AND(B2338='IN-TC'!$S$4,OR(TH!N2338="1111",TH!O2338="1111")),TH!D2338,""),"")</f>
        <v/>
      </c>
      <c r="B2338" s="60" t="str">
        <f t="shared" si="238"/>
        <v/>
      </c>
      <c r="C2338" s="981"/>
      <c r="D2338" s="981"/>
      <c r="E2338" s="301"/>
      <c r="F2338" s="999"/>
      <c r="G2338" s="1130"/>
      <c r="H2338" s="982"/>
      <c r="I2338" s="984"/>
      <c r="J2338" s="983"/>
      <c r="K2338" s="984"/>
      <c r="L2338" s="983"/>
      <c r="M2338" s="985"/>
      <c r="N2338" s="986"/>
      <c r="O2338" s="986"/>
      <c r="P2338" s="79" t="str">
        <f>IF(AND('331-CT'!$E$7=TH!H2338,OR(N2338="331",O2338="331")),"x","")</f>
        <v/>
      </c>
      <c r="Q2338" s="79" t="str">
        <f>IF(AND(B2338='111'!$L$11,OR($N2338=$Q$7,$O2338=$Q$7)),"x","")</f>
        <v/>
      </c>
      <c r="R2338" s="79" t="str">
        <f>IF(AND($N2338=$Q$7,$B2338&lt;'111'!$L$11),"x","")</f>
        <v/>
      </c>
      <c r="S2338" s="79" t="str">
        <f>IF(AND($O2338=$Q$7,$B2338&lt;'111'!$L$11),"x","")</f>
        <v/>
      </c>
      <c r="T2338" s="79" t="str">
        <f>IF(ISERROR(FIND('112'!$M$9,G2338,1)),"",IF((AND(FIND('112'!$M$9,G2338,1)&gt;=1,B2338='112'!$K$9,OR($N2338='112'!$I$6,$O2338='112'!$I$6))),"x",""))</f>
        <v/>
      </c>
      <c r="U2338" s="79" t="str">
        <f>IF(ISERROR(FIND('112'!$M$9,G2338,1)),"",IF((AND(LEFT(G2338,2)=LEFT('112'!$M$9,2),B2338&lt;'112'!$K$9,$N2338='112'!$I$6)),"x",""))</f>
        <v/>
      </c>
      <c r="V2338" s="79" t="str">
        <f>IF(ISERROR(FIND('112'!$M$9,G2338,1)),"",IF((AND(RIGHT(G2338,2)=RIGHT('112'!$M$9,2),B2338&lt;'112'!$K$9,$O2338='112'!$I$6)),"x",""))</f>
        <v/>
      </c>
      <c r="W2338" s="79" t="str">
        <f>IF(AND('341-CT'!$H$9=H2338,OR(LEFT(N2338,3)=$W$7,LEFT(O2338,3)=$W$7)),"x","")</f>
        <v/>
      </c>
      <c r="X2338" s="79" t="str">
        <f>IF(OR(TH!N2338=TH!$X$7,O2338=TH!$X$7),"x","")</f>
        <v/>
      </c>
      <c r="Y2338" s="79" t="str">
        <f>IF(AND(OR(N2338="131",O2338="131"),H2338='131-CT'!$H$9),"x","")</f>
        <v/>
      </c>
      <c r="Z2338" s="79"/>
      <c r="AA2338" s="79" t="str">
        <f>IF(AND(MONTH(E2338)='IN-NX'!$J$5,'IN-NX'!$D$7=D2338),"x","")</f>
        <v/>
      </c>
      <c r="AB2338" s="79" t="str">
        <f>IF(AND(OR(LEFT(TH!N2338,2)="15",LEFT(TH!O2338,2)="15"),LEFT(TH!O2338,3)&lt;&gt;"111",'152-CT'!$J$8=TH!F2338),"x","")</f>
        <v/>
      </c>
      <c r="AC2338" s="79" t="str">
        <f>IF(AND(OR(LEFT(TH!N2338,2)="15",LEFT(TH!O2338,2)="15"),TK!$E$7=TH!F2338),"x","")</f>
        <v/>
      </c>
      <c r="AD2338" s="79" t="str">
        <f>IF(AND(N2338="1521",MONTH(C2338)='BK-NL'!$M$11),"x","")</f>
        <v/>
      </c>
    </row>
    <row r="2339" spans="1:30" ht="16.5" customHeight="1">
      <c r="A2339" s="318" t="str">
        <f>IF(B2339&lt;&gt;"",IF(AND(B2339='IN-TC'!$S$4,OR(TH!N2339="1111",TH!O2339="1111")),TH!D2339,""),"")</f>
        <v/>
      </c>
      <c r="B2339" s="60" t="str">
        <f t="shared" si="238"/>
        <v/>
      </c>
      <c r="C2339" s="974"/>
      <c r="D2339" s="301"/>
      <c r="E2339" s="974"/>
      <c r="F2339" s="77"/>
      <c r="G2339" s="976"/>
      <c r="H2339" s="305"/>
      <c r="I2339" s="383"/>
      <c r="J2339" s="977"/>
      <c r="K2339" s="383"/>
      <c r="L2339" s="390"/>
      <c r="M2339" s="978"/>
      <c r="N2339" s="979"/>
      <c r="O2339" s="979"/>
      <c r="P2339" s="79" t="str">
        <f>IF(AND('331-CT'!$E$7=TH!H2339,OR(N2339="331",O2339="331")),"x","")</f>
        <v/>
      </c>
      <c r="Q2339" s="79" t="str">
        <f>IF(AND(B2339='111'!$L$11,OR($N2339=$Q$7,$O2339=$Q$7)),"x","")</f>
        <v/>
      </c>
      <c r="R2339" s="79" t="str">
        <f>IF(AND($N2339=$Q$7,$B2339&lt;'111'!$L$11),"x","")</f>
        <v/>
      </c>
      <c r="S2339" s="79" t="str">
        <f>IF(AND($O2339=$Q$7,$B2339&lt;'111'!$L$11),"x","")</f>
        <v/>
      </c>
      <c r="T2339" s="79" t="str">
        <f>IF(ISERROR(FIND('112'!$M$9,G2339,1)),"",IF((AND(FIND('112'!$M$9,G2339,1)&gt;=1,B2339='112'!$K$9,OR($N2339='112'!$I$6,$O2339='112'!$I$6))),"x",""))</f>
        <v/>
      </c>
      <c r="U2339" s="79" t="str">
        <f>IF(ISERROR(FIND('112'!$M$9,G2339,1)),"",IF((AND(LEFT(G2339,2)=LEFT('112'!$M$9,2),B2339&lt;'112'!$K$9,$N2339='112'!$I$6)),"x",""))</f>
        <v/>
      </c>
      <c r="V2339" s="79" t="str">
        <f>IF(ISERROR(FIND('112'!$M$9,G2339,1)),"",IF((AND(RIGHT(G2339,2)=RIGHT('112'!$M$9,2),B2339&lt;'112'!$K$9,$O2339='112'!$I$6)),"x",""))</f>
        <v/>
      </c>
      <c r="W2339" s="79" t="str">
        <f>IF(AND('341-CT'!$H$9=H2339,OR(LEFT(N2339,3)=$W$7,LEFT(O2339,3)=$W$7)),"x","")</f>
        <v/>
      </c>
      <c r="X2339" s="79" t="str">
        <f>IF(OR(TH!N2339=TH!$X$7,O2339=TH!$X$7),"x","")</f>
        <v/>
      </c>
      <c r="Y2339" s="79" t="str">
        <f>IF(AND(OR(N2339="131",O2339="131"),H2339='131-CT'!$H$9),"x","")</f>
        <v/>
      </c>
      <c r="Z2339" s="79"/>
      <c r="AA2339" s="79" t="str">
        <f>IF(AND(MONTH(E2339)='IN-NX'!$J$5,'IN-NX'!$D$7=D2339),"x","")</f>
        <v/>
      </c>
      <c r="AB2339" s="79" t="str">
        <f>IF(AND(OR(LEFT(TH!N2339,2)="15",LEFT(TH!O2339,2)="15"),LEFT(TH!O2339,3)&lt;&gt;"111",'152-CT'!$J$8=TH!F2339),"x","")</f>
        <v/>
      </c>
      <c r="AC2339" s="79" t="str">
        <f>IF(AND(OR(LEFT(TH!N2339,2)="15",LEFT(TH!O2339,2)="15"),TK!$E$7=TH!F2339),"x","")</f>
        <v/>
      </c>
      <c r="AD2339" s="79" t="str">
        <f>IF(AND(N2339="1521",MONTH(C2339)='BK-NL'!$M$11),"x","")</f>
        <v/>
      </c>
    </row>
    <row r="2340" spans="1:30" ht="16.5" customHeight="1">
      <c r="A2340" s="318" t="str">
        <f>IF(B2340&lt;&gt;"",IF(AND(B2340='IN-TC'!$S$4,OR(TH!N2340="1111",TH!O2340="1111")),TH!D2340,""),"")</f>
        <v/>
      </c>
      <c r="B2340" s="60" t="str">
        <f t="shared" si="238"/>
        <v/>
      </c>
      <c r="C2340" s="974"/>
      <c r="D2340" s="301"/>
      <c r="E2340" s="974"/>
      <c r="F2340" s="77"/>
      <c r="G2340" s="976"/>
      <c r="H2340" s="305"/>
      <c r="I2340" s="383"/>
      <c r="J2340" s="977"/>
      <c r="K2340" s="383"/>
      <c r="L2340" s="390"/>
      <c r="M2340" s="978"/>
      <c r="N2340" s="979"/>
      <c r="O2340" s="979"/>
      <c r="P2340" s="79" t="str">
        <f>IF(AND('331-CT'!$E$7=TH!H2340,OR(N2340="331",O2340="331")),"x","")</f>
        <v/>
      </c>
      <c r="Q2340" s="79" t="str">
        <f>IF(AND(B2340='111'!$L$11,OR($N2340=$Q$7,$O2340=$Q$7)),"x","")</f>
        <v/>
      </c>
      <c r="R2340" s="79" t="str">
        <f>IF(AND($N2340=$Q$7,$B2340&lt;'111'!$L$11),"x","")</f>
        <v/>
      </c>
      <c r="S2340" s="79" t="str">
        <f>IF(AND($O2340=$Q$7,$B2340&lt;'111'!$L$11),"x","")</f>
        <v/>
      </c>
      <c r="T2340" s="79" t="str">
        <f>IF(ISERROR(FIND('112'!$M$9,G2340,1)),"",IF((AND(FIND('112'!$M$9,G2340,1)&gt;=1,B2340='112'!$K$9,OR($N2340='112'!$I$6,$O2340='112'!$I$6))),"x",""))</f>
        <v/>
      </c>
      <c r="U2340" s="79" t="str">
        <f>IF(ISERROR(FIND('112'!$M$9,G2340,1)),"",IF((AND(LEFT(G2340,2)=LEFT('112'!$M$9,2),B2340&lt;'112'!$K$9,$N2340='112'!$I$6)),"x",""))</f>
        <v/>
      </c>
      <c r="V2340" s="79" t="str">
        <f>IF(ISERROR(FIND('112'!$M$9,G2340,1)),"",IF((AND(RIGHT(G2340,2)=RIGHT('112'!$M$9,2),B2340&lt;'112'!$K$9,$O2340='112'!$I$6)),"x",""))</f>
        <v/>
      </c>
      <c r="W2340" s="79" t="str">
        <f>IF(AND('341-CT'!$H$9=H2340,OR(LEFT(N2340,3)=$W$7,LEFT(O2340,3)=$W$7)),"x","")</f>
        <v/>
      </c>
      <c r="X2340" s="79" t="str">
        <f>IF(OR(TH!N2340=TH!$X$7,O2340=TH!$X$7),"x","")</f>
        <v/>
      </c>
      <c r="Y2340" s="79" t="str">
        <f>IF(AND(OR(N2340="131",O2340="131"),H2340='131-CT'!$H$9),"x","")</f>
        <v/>
      </c>
      <c r="Z2340" s="79"/>
      <c r="AA2340" s="79" t="str">
        <f>IF(AND(MONTH(E2340)='IN-NX'!$J$5,'IN-NX'!$D$7=D2340),"x","")</f>
        <v/>
      </c>
      <c r="AB2340" s="79" t="str">
        <f>IF(AND(OR(LEFT(TH!N2340,2)="15",LEFT(TH!O2340,2)="15"),LEFT(TH!O2340,3)&lt;&gt;"111",'152-CT'!$J$8=TH!F2340),"x","")</f>
        <v/>
      </c>
      <c r="AC2340" s="79" t="str">
        <f>IF(AND(OR(LEFT(TH!N2340,2)="15",LEFT(TH!O2340,2)="15"),TK!$E$7=TH!F2340),"x","")</f>
        <v/>
      </c>
      <c r="AD2340" s="79" t="str">
        <f>IF(AND(N2340="1521",MONTH(C2340)='BK-NL'!$M$11),"x","")</f>
        <v/>
      </c>
    </row>
    <row r="2341" spans="1:30" ht="16.5" customHeight="1">
      <c r="A2341" s="318" t="str">
        <f>IF(B2341&lt;&gt;"",IF(AND(B2341='IN-TC'!$S$4,OR(TH!N2341="1111",TH!O2341="1111")),TH!D2341,""),"")</f>
        <v/>
      </c>
      <c r="B2341" s="60" t="str">
        <f t="shared" si="238"/>
        <v/>
      </c>
      <c r="C2341" s="974"/>
      <c r="D2341" s="301"/>
      <c r="E2341" s="974"/>
      <c r="F2341" s="77"/>
      <c r="G2341" s="976"/>
      <c r="H2341" s="305"/>
      <c r="I2341" s="383"/>
      <c r="J2341" s="977"/>
      <c r="K2341" s="383"/>
      <c r="L2341" s="390"/>
      <c r="M2341" s="978"/>
      <c r="N2341" s="979"/>
      <c r="O2341" s="979"/>
      <c r="P2341" s="79" t="str">
        <f>IF(AND('331-CT'!$E$7=TH!H2341,OR(N2341="331",O2341="331")),"x","")</f>
        <v/>
      </c>
      <c r="Q2341" s="79" t="str">
        <f>IF(AND(B2341='111'!$L$11,OR($N2341=$Q$7,$O2341=$Q$7)),"x","")</f>
        <v/>
      </c>
      <c r="R2341" s="79" t="str">
        <f>IF(AND($N2341=$Q$7,$B2341&lt;'111'!$L$11),"x","")</f>
        <v/>
      </c>
      <c r="S2341" s="79" t="str">
        <f>IF(AND($O2341=$Q$7,$B2341&lt;'111'!$L$11),"x","")</f>
        <v/>
      </c>
      <c r="T2341" s="79" t="str">
        <f>IF(ISERROR(FIND('112'!$M$9,G2341,1)),"",IF((AND(FIND('112'!$M$9,G2341,1)&gt;=1,B2341='112'!$K$9,OR($N2341='112'!$I$6,$O2341='112'!$I$6))),"x",""))</f>
        <v/>
      </c>
      <c r="U2341" s="79" t="str">
        <f>IF(ISERROR(FIND('112'!$M$9,G2341,1)),"",IF((AND(LEFT(G2341,2)=LEFT('112'!$M$9,2),B2341&lt;'112'!$K$9,$N2341='112'!$I$6)),"x",""))</f>
        <v/>
      </c>
      <c r="V2341" s="79" t="str">
        <f>IF(ISERROR(FIND('112'!$M$9,G2341,1)),"",IF((AND(RIGHT(G2341,2)=RIGHT('112'!$M$9,2),B2341&lt;'112'!$K$9,$O2341='112'!$I$6)),"x",""))</f>
        <v/>
      </c>
      <c r="W2341" s="79" t="str">
        <f>IF(AND('341-CT'!$H$9=H2341,OR(LEFT(N2341,3)=$W$7,LEFT(O2341,3)=$W$7)),"x","")</f>
        <v/>
      </c>
      <c r="X2341" s="79" t="str">
        <f>IF(OR(TH!N2341=TH!$X$7,O2341=TH!$X$7),"x","")</f>
        <v/>
      </c>
      <c r="Y2341" s="79" t="str">
        <f>IF(AND(OR(N2341="131",O2341="131"),H2341='131-CT'!$H$9),"x","")</f>
        <v/>
      </c>
      <c r="Z2341" s="79"/>
      <c r="AA2341" s="79" t="str">
        <f>IF(AND(MONTH(E2341)='IN-NX'!$J$5,'IN-NX'!$D$7=D2341),"x","")</f>
        <v/>
      </c>
      <c r="AB2341" s="79" t="str">
        <f>IF(AND(OR(LEFT(TH!N2341,2)="15",LEFT(TH!O2341,2)="15"),LEFT(TH!O2341,3)&lt;&gt;"111",'152-CT'!$J$8=TH!F2341),"x","")</f>
        <v/>
      </c>
      <c r="AC2341" s="79" t="str">
        <f>IF(AND(OR(LEFT(TH!N2341,2)="15",LEFT(TH!O2341,2)="15"),TK!$E$7=TH!F2341),"x","")</f>
        <v/>
      </c>
      <c r="AD2341" s="79" t="str">
        <f>IF(AND(N2341="1521",MONTH(C2341)='BK-NL'!$M$11),"x","")</f>
        <v/>
      </c>
    </row>
    <row r="2342" spans="1:30" ht="16.5" customHeight="1">
      <c r="A2342" s="318" t="str">
        <f>IF(B2342&lt;&gt;"",IF(AND(B2342='IN-TC'!$S$4,OR(TH!N2342="1111",TH!O2342="1111")),TH!D2342,""),"")</f>
        <v/>
      </c>
      <c r="B2342" s="60" t="str">
        <f t="shared" si="238"/>
        <v/>
      </c>
      <c r="C2342" s="974"/>
      <c r="D2342" s="301"/>
      <c r="E2342" s="974"/>
      <c r="F2342" s="77"/>
      <c r="G2342" s="976"/>
      <c r="H2342" s="305"/>
      <c r="I2342" s="383"/>
      <c r="J2342" s="977"/>
      <c r="K2342" s="383"/>
      <c r="L2342" s="390"/>
      <c r="M2342" s="978"/>
      <c r="N2342" s="979"/>
      <c r="O2342" s="979"/>
      <c r="P2342" s="79" t="str">
        <f>IF(AND('331-CT'!$E$7=TH!H2342,OR(N2342="331",O2342="331")),"x","")</f>
        <v/>
      </c>
      <c r="Q2342" s="79" t="str">
        <f>IF(AND(B2342='111'!$L$11,OR($N2342=$Q$7,$O2342=$Q$7)),"x","")</f>
        <v/>
      </c>
      <c r="R2342" s="79" t="str">
        <f>IF(AND($N2342=$Q$7,$B2342&lt;'111'!$L$11),"x","")</f>
        <v/>
      </c>
      <c r="S2342" s="79" t="str">
        <f>IF(AND($O2342=$Q$7,$B2342&lt;'111'!$L$11),"x","")</f>
        <v/>
      </c>
      <c r="T2342" s="79" t="str">
        <f>IF(ISERROR(FIND('112'!$M$9,G2342,1)),"",IF((AND(FIND('112'!$M$9,G2342,1)&gt;=1,B2342='112'!$K$9,OR($N2342='112'!$I$6,$O2342='112'!$I$6))),"x",""))</f>
        <v/>
      </c>
      <c r="U2342" s="79" t="str">
        <f>IF(ISERROR(FIND('112'!$M$9,G2342,1)),"",IF((AND(LEFT(G2342,2)=LEFT('112'!$M$9,2),B2342&lt;'112'!$K$9,$N2342='112'!$I$6)),"x",""))</f>
        <v/>
      </c>
      <c r="V2342" s="79" t="str">
        <f>IF(ISERROR(FIND('112'!$M$9,G2342,1)),"",IF((AND(RIGHT(G2342,2)=RIGHT('112'!$M$9,2),B2342&lt;'112'!$K$9,$O2342='112'!$I$6)),"x",""))</f>
        <v/>
      </c>
      <c r="W2342" s="79" t="str">
        <f>IF(AND('341-CT'!$H$9=H2342,OR(LEFT(N2342,3)=$W$7,LEFT(O2342,3)=$W$7)),"x","")</f>
        <v/>
      </c>
      <c r="X2342" s="79" t="str">
        <f>IF(OR(TH!N2342=TH!$X$7,O2342=TH!$X$7),"x","")</f>
        <v/>
      </c>
      <c r="Y2342" s="79" t="str">
        <f>IF(AND(OR(N2342="131",O2342="131"),H2342='131-CT'!$H$9),"x","")</f>
        <v/>
      </c>
      <c r="Z2342" s="79"/>
      <c r="AA2342" s="79" t="str">
        <f>IF(AND(MONTH(E2342)='IN-NX'!$J$5,'IN-NX'!$D$7=D2342),"x","")</f>
        <v/>
      </c>
      <c r="AB2342" s="79" t="str">
        <f>IF(AND(OR(LEFT(TH!N2342,2)="15",LEFT(TH!O2342,2)="15"),LEFT(TH!O2342,3)&lt;&gt;"111",'152-CT'!$J$8=TH!F2342),"x","")</f>
        <v/>
      </c>
      <c r="AC2342" s="79" t="str">
        <f>IF(AND(OR(LEFT(TH!N2342,2)="15",LEFT(TH!O2342,2)="15"),TK!$E$7=TH!F2342),"x","")</f>
        <v/>
      </c>
      <c r="AD2342" s="79" t="str">
        <f>IF(AND(N2342="1521",MONTH(C2342)='BK-NL'!$M$11),"x","")</f>
        <v/>
      </c>
    </row>
    <row r="2343" spans="1:30" ht="16.5" customHeight="1">
      <c r="A2343" s="318" t="str">
        <f>IF(B2343&lt;&gt;"",IF(AND(B2343='IN-TC'!$S$4,OR(TH!N2343="1111",TH!O2343="1111")),TH!D2343,""),"")</f>
        <v/>
      </c>
      <c r="B2343" s="60" t="str">
        <f t="shared" ref="B2343:B2394" si="239">IF(C2343&lt;&gt;"",MONTH(C2343),"")</f>
        <v/>
      </c>
      <c r="C2343" s="974"/>
      <c r="D2343" s="301"/>
      <c r="E2343" s="974"/>
      <c r="F2343" s="77"/>
      <c r="G2343" s="976"/>
      <c r="H2343" s="305"/>
      <c r="I2343" s="383"/>
      <c r="J2343" s="977"/>
      <c r="K2343" s="383"/>
      <c r="L2343" s="390"/>
      <c r="M2343" s="978"/>
      <c r="N2343" s="979"/>
      <c r="O2343" s="979"/>
      <c r="P2343" s="79" t="str">
        <f>IF(AND('331-CT'!$E$7=TH!H2343,OR(N2343="331",O2343="331")),"x","")</f>
        <v/>
      </c>
      <c r="Q2343" s="79" t="str">
        <f>IF(AND(B2343='111'!$L$11,OR($N2343=$Q$7,$O2343=$Q$7)),"x","")</f>
        <v/>
      </c>
      <c r="R2343" s="79" t="str">
        <f>IF(AND($N2343=$Q$7,$B2343&lt;'111'!$L$11),"x","")</f>
        <v/>
      </c>
      <c r="S2343" s="79" t="str">
        <f>IF(AND($O2343=$Q$7,$B2343&lt;'111'!$L$11),"x","")</f>
        <v/>
      </c>
      <c r="T2343" s="79" t="str">
        <f>IF(ISERROR(FIND('112'!$M$9,G2343,1)),"",IF((AND(FIND('112'!$M$9,G2343,1)&gt;=1,B2343='112'!$K$9,OR($N2343='112'!$I$6,$O2343='112'!$I$6))),"x",""))</f>
        <v/>
      </c>
      <c r="U2343" s="79" t="str">
        <f>IF(ISERROR(FIND('112'!$M$9,G2343,1)),"",IF((AND(LEFT(G2343,2)=LEFT('112'!$M$9,2),B2343&lt;'112'!$K$9,$N2343='112'!$I$6)),"x",""))</f>
        <v/>
      </c>
      <c r="V2343" s="79" t="str">
        <f>IF(ISERROR(FIND('112'!$M$9,G2343,1)),"",IF((AND(RIGHT(G2343,2)=RIGHT('112'!$M$9,2),B2343&lt;'112'!$K$9,$O2343='112'!$I$6)),"x",""))</f>
        <v/>
      </c>
      <c r="W2343" s="79" t="str">
        <f>IF(AND('341-CT'!$H$9=H2343,OR(LEFT(N2343,3)=$W$7,LEFT(O2343,3)=$W$7)),"x","")</f>
        <v/>
      </c>
      <c r="X2343" s="79" t="str">
        <f>IF(OR(TH!N2343=TH!$X$7,O2343=TH!$X$7),"x","")</f>
        <v/>
      </c>
      <c r="Y2343" s="79" t="str">
        <f>IF(AND(OR(N2343="131",O2343="131"),H2343='131-CT'!$H$9),"x","")</f>
        <v/>
      </c>
      <c r="Z2343" s="79"/>
      <c r="AA2343" s="79" t="str">
        <f>IF(AND(MONTH(E2343)='IN-NX'!$J$5,'IN-NX'!$D$7=D2343),"x","")</f>
        <v/>
      </c>
      <c r="AB2343" s="79" t="str">
        <f>IF(AND(OR(LEFT(TH!N2343,2)="15",LEFT(TH!O2343,2)="15"),LEFT(TH!O2343,3)&lt;&gt;"111",'152-CT'!$J$8=TH!F2343),"x","")</f>
        <v/>
      </c>
      <c r="AC2343" s="79" t="str">
        <f>IF(AND(OR(LEFT(TH!N2343,2)="15",LEFT(TH!O2343,2)="15"),TK!$E$7=TH!F2343),"x","")</f>
        <v/>
      </c>
      <c r="AD2343" s="79" t="str">
        <f>IF(AND(N2343="1521",MONTH(C2343)='BK-NL'!$M$11),"x","")</f>
        <v/>
      </c>
    </row>
    <row r="2344" spans="1:30" ht="16.5" customHeight="1">
      <c r="A2344" s="318" t="str">
        <f>IF(B2344&lt;&gt;"",IF(AND(B2344='IN-TC'!$S$4,OR(TH!N2344="1111",TH!O2344="1111")),TH!D2344,""),"")</f>
        <v/>
      </c>
      <c r="B2344" s="60" t="str">
        <f t="shared" si="239"/>
        <v/>
      </c>
      <c r="C2344" s="301"/>
      <c r="D2344" s="301"/>
      <c r="E2344" s="301"/>
      <c r="F2344" s="69"/>
      <c r="G2344" s="968"/>
      <c r="H2344" s="303"/>
      <c r="I2344" s="385"/>
      <c r="J2344" s="969"/>
      <c r="K2344" s="385"/>
      <c r="L2344" s="392"/>
      <c r="M2344" s="970"/>
      <c r="N2344" s="304"/>
      <c r="O2344" s="304"/>
      <c r="P2344" s="79" t="str">
        <f>IF(AND('331-CT'!$E$7=TH!H2344,OR(N2344="331",O2344="331")),"x","")</f>
        <v/>
      </c>
      <c r="Q2344" s="79" t="str">
        <f>IF(AND(B2344='111'!$L$11,OR($N2344=$Q$7,$O2344=$Q$7)),"x","")</f>
        <v/>
      </c>
      <c r="R2344" s="79" t="str">
        <f>IF(AND($N2344=$Q$7,$B2344&lt;'111'!$L$11),"x","")</f>
        <v/>
      </c>
      <c r="S2344" s="79" t="str">
        <f>IF(AND($O2344=$Q$7,$B2344&lt;'111'!$L$11),"x","")</f>
        <v/>
      </c>
      <c r="T2344" s="79" t="str">
        <f>IF(ISERROR(FIND('112'!$M$9,G2344,1)),"",IF((AND(FIND('112'!$M$9,G2344,1)&gt;=1,B2344='112'!$K$9,OR($N2344='112'!$I$6,$O2344='112'!$I$6))),"x",""))</f>
        <v/>
      </c>
      <c r="U2344" s="79" t="str">
        <f>IF(ISERROR(FIND('112'!$M$9,G2344,1)),"",IF((AND(LEFT(G2344,2)=LEFT('112'!$M$9,2),B2344&lt;'112'!$K$9,$N2344='112'!$I$6)),"x",""))</f>
        <v/>
      </c>
      <c r="V2344" s="79" t="str">
        <f>IF(ISERROR(FIND('112'!$M$9,G2344,1)),"",IF((AND(RIGHT(G2344,2)=RIGHT('112'!$M$9,2),B2344&lt;'112'!$K$9,$O2344='112'!$I$6)),"x",""))</f>
        <v/>
      </c>
      <c r="W2344" s="79" t="str">
        <f>IF(AND('341-CT'!$H$9=H2344,OR(LEFT(N2344,3)=$W$7,LEFT(O2344,3)=$W$7)),"x","")</f>
        <v/>
      </c>
      <c r="X2344" s="79" t="str">
        <f>IF(OR(TH!N2344=TH!$X$7,O2344=TH!$X$7),"x","")</f>
        <v/>
      </c>
      <c r="Y2344" s="79" t="str">
        <f>IF(AND(OR(N2344="131",O2344="131"),H2344='131-CT'!$H$9),"x","")</f>
        <v/>
      </c>
      <c r="Z2344" s="79"/>
      <c r="AA2344" s="79" t="str">
        <f>IF(AND(MONTH(E2344)='IN-NX'!$J$5,'IN-NX'!$D$7=D2344),"x","")</f>
        <v/>
      </c>
      <c r="AB2344" s="79" t="str">
        <f>IF(AND(OR(LEFT(TH!N2344,2)="15",LEFT(TH!O2344,2)="15"),LEFT(TH!O2344,3)&lt;&gt;"111",'152-CT'!$J$8=TH!F2344),"x","")</f>
        <v/>
      </c>
      <c r="AC2344" s="79" t="str">
        <f>IF(AND(OR(LEFT(TH!N2344,2)="15",LEFT(TH!O2344,2)="15"),TK!$E$7=TH!F2344),"x","")</f>
        <v/>
      </c>
      <c r="AD2344" s="79" t="str">
        <f>IF(AND(N2344="1521",MONTH(C2344)='BK-NL'!$M$11),"x","")</f>
        <v/>
      </c>
    </row>
    <row r="2345" spans="1:30" ht="16.5" customHeight="1">
      <c r="A2345" s="318" t="str">
        <f>IF(B2345&lt;&gt;"",IF(AND(B2345='IN-TC'!$S$4,OR(TH!N2345="1111",TH!O2345="1111")),TH!D2345,""),"")</f>
        <v/>
      </c>
      <c r="B2345" s="60" t="str">
        <f t="shared" si="239"/>
        <v/>
      </c>
      <c r="C2345" s="301"/>
      <c r="D2345" s="301"/>
      <c r="E2345" s="301"/>
      <c r="F2345" s="69"/>
      <c r="G2345" s="968"/>
      <c r="H2345" s="303"/>
      <c r="I2345" s="385"/>
      <c r="J2345" s="969"/>
      <c r="K2345" s="385"/>
      <c r="L2345" s="392"/>
      <c r="M2345" s="970"/>
      <c r="N2345" s="304"/>
      <c r="O2345" s="304"/>
      <c r="P2345" s="79" t="str">
        <f>IF(AND('331-CT'!$E$7=TH!H2345,OR(N2345="331",O2345="331")),"x","")</f>
        <v/>
      </c>
      <c r="Q2345" s="79" t="str">
        <f>IF(AND(B2345='111'!$L$11,OR($N2345=$Q$7,$O2345=$Q$7)),"x","")</f>
        <v/>
      </c>
      <c r="R2345" s="79" t="str">
        <f>IF(AND($N2345=$Q$7,$B2345&lt;'111'!$L$11),"x","")</f>
        <v/>
      </c>
      <c r="S2345" s="79" t="str">
        <f>IF(AND($O2345=$Q$7,$B2345&lt;'111'!$L$11),"x","")</f>
        <v/>
      </c>
      <c r="T2345" s="79" t="str">
        <f>IF(ISERROR(FIND('112'!$M$9,G2345,1)),"",IF((AND(FIND('112'!$M$9,G2345,1)&gt;=1,B2345='112'!$K$9,OR($N2345='112'!$I$6,$O2345='112'!$I$6))),"x",""))</f>
        <v/>
      </c>
      <c r="U2345" s="79" t="str">
        <f>IF(ISERROR(FIND('112'!$M$9,G2345,1)),"",IF((AND(LEFT(G2345,2)=LEFT('112'!$M$9,2),B2345&lt;'112'!$K$9,$N2345='112'!$I$6)),"x",""))</f>
        <v/>
      </c>
      <c r="V2345" s="79" t="str">
        <f>IF(ISERROR(FIND('112'!$M$9,G2345,1)),"",IF((AND(RIGHT(G2345,2)=RIGHT('112'!$M$9,2),B2345&lt;'112'!$K$9,$O2345='112'!$I$6)),"x",""))</f>
        <v/>
      </c>
      <c r="W2345" s="79" t="str">
        <f>IF(AND('341-CT'!$H$9=H2345,OR(LEFT(N2345,3)=$W$7,LEFT(O2345,3)=$W$7)),"x","")</f>
        <v/>
      </c>
      <c r="X2345" s="79" t="str">
        <f>IF(OR(TH!N2345=TH!$X$7,O2345=TH!$X$7),"x","")</f>
        <v/>
      </c>
      <c r="Y2345" s="79" t="str">
        <f>IF(AND(OR(N2345="131",O2345="131"),H2345='131-CT'!$H$9),"x","")</f>
        <v/>
      </c>
      <c r="Z2345" s="79"/>
      <c r="AA2345" s="79" t="str">
        <f>IF(AND(MONTH(E2345)='IN-NX'!$J$5,'IN-NX'!$D$7=D2345),"x","")</f>
        <v/>
      </c>
      <c r="AB2345" s="79" t="str">
        <f>IF(AND(OR(LEFT(TH!N2345,2)="15",LEFT(TH!O2345,2)="15"),LEFT(TH!O2345,3)&lt;&gt;"111",'152-CT'!$J$8=TH!F2345),"x","")</f>
        <v/>
      </c>
      <c r="AC2345" s="79" t="str">
        <f>IF(AND(OR(LEFT(TH!N2345,2)="15",LEFT(TH!O2345,2)="15"),TK!$E$7=TH!F2345),"x","")</f>
        <v/>
      </c>
      <c r="AD2345" s="79" t="str">
        <f>IF(AND(N2345="1521",MONTH(C2345)='BK-NL'!$M$11),"x","")</f>
        <v/>
      </c>
    </row>
    <row r="2346" spans="1:30" ht="16.5" customHeight="1">
      <c r="A2346" s="318" t="str">
        <f>IF(B2346&lt;&gt;"",IF(AND(B2346='IN-TC'!$S$4,OR(TH!N2346="1111",TH!O2346="1111")),TH!D2346,""),"")</f>
        <v/>
      </c>
      <c r="B2346" s="60" t="str">
        <f t="shared" si="239"/>
        <v/>
      </c>
      <c r="C2346" s="301"/>
      <c r="D2346" s="301"/>
      <c r="E2346" s="301"/>
      <c r="F2346" s="69"/>
      <c r="G2346" s="968"/>
      <c r="H2346" s="303"/>
      <c r="I2346" s="385"/>
      <c r="J2346" s="969"/>
      <c r="K2346" s="385"/>
      <c r="L2346" s="392"/>
      <c r="M2346" s="970"/>
      <c r="N2346" s="304"/>
      <c r="O2346" s="304"/>
      <c r="P2346" s="79" t="str">
        <f>IF(AND('331-CT'!$E$7=TH!H2346,OR(N2346="331",O2346="331")),"x","")</f>
        <v/>
      </c>
      <c r="Q2346" s="79" t="str">
        <f>IF(AND(B2346='111'!$L$11,OR($N2346=$Q$7,$O2346=$Q$7)),"x","")</f>
        <v/>
      </c>
      <c r="R2346" s="79" t="str">
        <f>IF(AND($N2346=$Q$7,$B2346&lt;'111'!$L$11),"x","")</f>
        <v/>
      </c>
      <c r="S2346" s="79" t="str">
        <f>IF(AND($O2346=$Q$7,$B2346&lt;'111'!$L$11),"x","")</f>
        <v/>
      </c>
      <c r="T2346" s="79" t="str">
        <f>IF(ISERROR(FIND('112'!$M$9,G2346,1)),"",IF((AND(FIND('112'!$M$9,G2346,1)&gt;=1,B2346='112'!$K$9,OR($N2346='112'!$I$6,$O2346='112'!$I$6))),"x",""))</f>
        <v/>
      </c>
      <c r="U2346" s="79" t="str">
        <f>IF(ISERROR(FIND('112'!$M$9,G2346,1)),"",IF((AND(LEFT(G2346,2)=LEFT('112'!$M$9,2),B2346&lt;'112'!$K$9,$N2346='112'!$I$6)),"x",""))</f>
        <v/>
      </c>
      <c r="V2346" s="79" t="str">
        <f>IF(ISERROR(FIND('112'!$M$9,G2346,1)),"",IF((AND(RIGHT(G2346,2)=RIGHT('112'!$M$9,2),B2346&lt;'112'!$K$9,$O2346='112'!$I$6)),"x",""))</f>
        <v/>
      </c>
      <c r="W2346" s="79" t="str">
        <f>IF(AND('341-CT'!$H$9=H2346,OR(LEFT(N2346,3)=$W$7,LEFT(O2346,3)=$W$7)),"x","")</f>
        <v/>
      </c>
      <c r="X2346" s="79" t="str">
        <f>IF(OR(TH!N2346=TH!$X$7,O2346=TH!$X$7),"x","")</f>
        <v/>
      </c>
      <c r="Y2346" s="79" t="str">
        <f>IF(AND(OR(N2346="131",O2346="131"),H2346='131-CT'!$H$9),"x","")</f>
        <v/>
      </c>
      <c r="Z2346" s="79"/>
      <c r="AA2346" s="79" t="str">
        <f>IF(AND(MONTH(E2346)='IN-NX'!$J$5,'IN-NX'!$D$7=D2346),"x","")</f>
        <v/>
      </c>
      <c r="AB2346" s="79" t="str">
        <f>IF(AND(OR(LEFT(TH!N2346,2)="15",LEFT(TH!O2346,2)="15"),LEFT(TH!O2346,3)&lt;&gt;"111",'152-CT'!$J$8=TH!F2346),"x","")</f>
        <v/>
      </c>
      <c r="AC2346" s="79" t="str">
        <f>IF(AND(OR(LEFT(TH!N2346,2)="15",LEFT(TH!O2346,2)="15"),TK!$E$7=TH!F2346),"x","")</f>
        <v/>
      </c>
      <c r="AD2346" s="79" t="str">
        <f>IF(AND(N2346="1521",MONTH(C2346)='BK-NL'!$M$11),"x","")</f>
        <v/>
      </c>
    </row>
    <row r="2347" spans="1:30" ht="16.5" customHeight="1">
      <c r="A2347" s="318" t="str">
        <f>IF(B2347&lt;&gt;"",IF(AND(B2347='IN-TC'!$S$4,OR(TH!N2347="1111",TH!O2347="1111")),TH!D2347,""),"")</f>
        <v/>
      </c>
      <c r="B2347" s="60" t="str">
        <f t="shared" si="239"/>
        <v/>
      </c>
      <c r="C2347" s="974"/>
      <c r="D2347" s="301"/>
      <c r="E2347" s="974"/>
      <c r="F2347" s="77"/>
      <c r="G2347" s="976"/>
      <c r="H2347" s="305"/>
      <c r="I2347" s="383"/>
      <c r="J2347" s="977"/>
      <c r="K2347" s="383"/>
      <c r="L2347" s="390"/>
      <c r="M2347" s="978"/>
      <c r="N2347" s="979"/>
      <c r="O2347" s="979"/>
      <c r="P2347" s="79" t="str">
        <f>IF(AND('331-CT'!$E$7=TH!H2347,OR(N2347="331",O2347="331")),"x","")</f>
        <v/>
      </c>
      <c r="Q2347" s="79" t="str">
        <f>IF(AND(B2347='111'!$L$11,OR($N2347=$Q$7,$O2347=$Q$7)),"x","")</f>
        <v/>
      </c>
      <c r="R2347" s="79" t="str">
        <f>IF(AND($N2347=$Q$7,$B2347&lt;'111'!$L$11),"x","")</f>
        <v/>
      </c>
      <c r="S2347" s="79" t="str">
        <f>IF(AND($O2347=$Q$7,$B2347&lt;'111'!$L$11),"x","")</f>
        <v/>
      </c>
      <c r="T2347" s="79" t="str">
        <f>IF(ISERROR(FIND('112'!$M$9,G2347,1)),"",IF((AND(FIND('112'!$M$9,G2347,1)&gt;=1,B2347='112'!$K$9,OR($N2347='112'!$I$6,$O2347='112'!$I$6))),"x",""))</f>
        <v/>
      </c>
      <c r="U2347" s="79" t="str">
        <f>IF(ISERROR(FIND('112'!$M$9,G2347,1)),"",IF((AND(LEFT(G2347,2)=LEFT('112'!$M$9,2),B2347&lt;'112'!$K$9,$N2347='112'!$I$6)),"x",""))</f>
        <v/>
      </c>
      <c r="V2347" s="79" t="str">
        <f>IF(ISERROR(FIND('112'!$M$9,G2347,1)),"",IF((AND(RIGHT(G2347,2)=RIGHT('112'!$M$9,2),B2347&lt;'112'!$K$9,$O2347='112'!$I$6)),"x",""))</f>
        <v/>
      </c>
      <c r="W2347" s="79" t="str">
        <f>IF(AND('341-CT'!$H$9=H2347,OR(LEFT(N2347,3)=$W$7,LEFT(O2347,3)=$W$7)),"x","")</f>
        <v/>
      </c>
      <c r="X2347" s="79" t="str">
        <f>IF(OR(TH!N2347=TH!$X$7,O2347=TH!$X$7),"x","")</f>
        <v/>
      </c>
      <c r="Y2347" s="79" t="str">
        <f>IF(AND(OR(N2347="131",O2347="131"),H2347='131-CT'!$H$9),"x","")</f>
        <v/>
      </c>
      <c r="Z2347" s="79"/>
      <c r="AA2347" s="79" t="str">
        <f>IF(AND(MONTH(E2347)='IN-NX'!$J$5,'IN-NX'!$D$7=D2347),"x","")</f>
        <v/>
      </c>
      <c r="AB2347" s="79" t="str">
        <f>IF(AND(OR(LEFT(TH!N2347,2)="15",LEFT(TH!O2347,2)="15"),LEFT(TH!O2347,3)&lt;&gt;"111",'152-CT'!$J$8=TH!F2347),"x","")</f>
        <v/>
      </c>
      <c r="AC2347" s="79" t="str">
        <f>IF(AND(OR(LEFT(TH!N2347,2)="15",LEFT(TH!O2347,2)="15"),TK!$E$7=TH!F2347),"x","")</f>
        <v/>
      </c>
      <c r="AD2347" s="79" t="str">
        <f>IF(AND(N2347="1521",MONTH(C2347)='BK-NL'!$M$11),"x","")</f>
        <v/>
      </c>
    </row>
    <row r="2348" spans="1:30" ht="16.5" customHeight="1">
      <c r="A2348" s="318" t="str">
        <f>IF(B2348&lt;&gt;"",IF(AND(B2348='IN-TC'!$S$4,OR(TH!N2348="1111",TH!O2348="1111")),TH!D2348,""),"")</f>
        <v/>
      </c>
      <c r="B2348" s="60" t="str">
        <f t="shared" si="239"/>
        <v/>
      </c>
      <c r="C2348" s="301"/>
      <c r="D2348" s="301"/>
      <c r="E2348" s="301"/>
      <c r="F2348" s="69"/>
      <c r="G2348" s="968"/>
      <c r="H2348" s="303"/>
      <c r="I2348" s="385"/>
      <c r="J2348" s="969"/>
      <c r="K2348" s="385"/>
      <c r="L2348" s="392"/>
      <c r="M2348" s="970"/>
      <c r="N2348" s="304"/>
      <c r="O2348" s="304"/>
      <c r="P2348" s="79" t="str">
        <f>IF(AND('331-CT'!$E$7=TH!H2348,OR(N2348="331",O2348="331")),"x","")</f>
        <v/>
      </c>
      <c r="Q2348" s="79" t="str">
        <f>IF(AND(B2348='111'!$L$11,OR($N2348=$Q$7,$O2348=$Q$7)),"x","")</f>
        <v/>
      </c>
      <c r="R2348" s="79" t="str">
        <f>IF(AND($N2348=$Q$7,$B2348&lt;'111'!$L$11),"x","")</f>
        <v/>
      </c>
      <c r="S2348" s="79" t="str">
        <f>IF(AND($O2348=$Q$7,$B2348&lt;'111'!$L$11),"x","")</f>
        <v/>
      </c>
      <c r="T2348" s="79" t="str">
        <f>IF(ISERROR(FIND('112'!$M$9,G2348,1)),"",IF((AND(FIND('112'!$M$9,G2348,1)&gt;=1,B2348='112'!$K$9,OR($N2348='112'!$I$6,$O2348='112'!$I$6))),"x",""))</f>
        <v/>
      </c>
      <c r="U2348" s="79" t="str">
        <f>IF(ISERROR(FIND('112'!$M$9,G2348,1)),"",IF((AND(LEFT(G2348,2)=LEFT('112'!$M$9,2),B2348&lt;'112'!$K$9,$N2348='112'!$I$6)),"x",""))</f>
        <v/>
      </c>
      <c r="V2348" s="79" t="str">
        <f>IF(ISERROR(FIND('112'!$M$9,G2348,1)),"",IF((AND(RIGHT(G2348,2)=RIGHT('112'!$M$9,2),B2348&lt;'112'!$K$9,$O2348='112'!$I$6)),"x",""))</f>
        <v/>
      </c>
      <c r="W2348" s="79" t="str">
        <f>IF(AND('341-CT'!$H$9=H2348,OR(LEFT(N2348,3)=$W$7,LEFT(O2348,3)=$W$7)),"x","")</f>
        <v/>
      </c>
      <c r="X2348" s="79" t="str">
        <f>IF(OR(TH!N2348=TH!$X$7,O2348=TH!$X$7),"x","")</f>
        <v/>
      </c>
      <c r="Y2348" s="79" t="str">
        <f>IF(AND(OR(N2348="131",O2348="131"),H2348='131-CT'!$H$9),"x","")</f>
        <v/>
      </c>
      <c r="Z2348" s="79"/>
      <c r="AA2348" s="79" t="str">
        <f>IF(AND(MONTH(E2348)='IN-NX'!$J$5,'IN-NX'!$D$7=D2348),"x","")</f>
        <v/>
      </c>
      <c r="AB2348" s="79" t="str">
        <f>IF(AND(OR(LEFT(TH!N2348,2)="15",LEFT(TH!O2348,2)="15"),LEFT(TH!O2348,3)&lt;&gt;"111",'152-CT'!$J$8=TH!F2348),"x","")</f>
        <v/>
      </c>
      <c r="AC2348" s="79" t="str">
        <f>IF(AND(OR(LEFT(TH!N2348,2)="15",LEFT(TH!O2348,2)="15"),TK!$E$7=TH!F2348),"x","")</f>
        <v/>
      </c>
      <c r="AD2348" s="79" t="str">
        <f>IF(AND(N2348="1521",MONTH(C2348)='BK-NL'!$M$11),"x","")</f>
        <v/>
      </c>
    </row>
    <row r="2349" spans="1:30" ht="16.5" customHeight="1">
      <c r="A2349" s="318" t="str">
        <f>IF(B2349&lt;&gt;"",IF(AND(B2349='IN-TC'!$S$4,OR(TH!N2349="1111",TH!O2349="1111")),TH!D2349,""),"")</f>
        <v/>
      </c>
      <c r="B2349" s="60" t="str">
        <f t="shared" si="239"/>
        <v/>
      </c>
      <c r="C2349" s="301"/>
      <c r="D2349" s="301"/>
      <c r="E2349" s="301"/>
      <c r="F2349" s="69"/>
      <c r="G2349" s="968"/>
      <c r="H2349" s="303"/>
      <c r="I2349" s="385"/>
      <c r="J2349" s="969"/>
      <c r="K2349" s="385"/>
      <c r="L2349" s="392"/>
      <c r="M2349" s="970"/>
      <c r="N2349" s="304"/>
      <c r="O2349" s="304"/>
      <c r="P2349" s="79" t="str">
        <f>IF(AND('331-CT'!$E$7=TH!H2349,OR(N2349="331",O2349="331")),"x","")</f>
        <v/>
      </c>
      <c r="Q2349" s="79" t="str">
        <f>IF(AND(B2349='111'!$L$11,OR($N2349=$Q$7,$O2349=$Q$7)),"x","")</f>
        <v/>
      </c>
      <c r="R2349" s="79" t="str">
        <f>IF(AND($N2349=$Q$7,$B2349&lt;'111'!$L$11),"x","")</f>
        <v/>
      </c>
      <c r="S2349" s="79" t="str">
        <f>IF(AND($O2349=$Q$7,$B2349&lt;'111'!$L$11),"x","")</f>
        <v/>
      </c>
      <c r="T2349" s="79" t="str">
        <f>IF(ISERROR(FIND('112'!$M$9,G2349,1)),"",IF((AND(FIND('112'!$M$9,G2349,1)&gt;=1,B2349='112'!$K$9,OR($N2349='112'!$I$6,$O2349='112'!$I$6))),"x",""))</f>
        <v/>
      </c>
      <c r="U2349" s="79" t="str">
        <f>IF(ISERROR(FIND('112'!$M$9,G2349,1)),"",IF((AND(LEFT(G2349,2)=LEFT('112'!$M$9,2),B2349&lt;'112'!$K$9,$N2349='112'!$I$6)),"x",""))</f>
        <v/>
      </c>
      <c r="V2349" s="79" t="str">
        <f>IF(ISERROR(FIND('112'!$M$9,G2349,1)),"",IF((AND(RIGHT(G2349,2)=RIGHT('112'!$M$9,2),B2349&lt;'112'!$K$9,$O2349='112'!$I$6)),"x",""))</f>
        <v/>
      </c>
      <c r="W2349" s="79" t="str">
        <f>IF(AND('341-CT'!$H$9=H2349,OR(LEFT(N2349,3)=$W$7,LEFT(O2349,3)=$W$7)),"x","")</f>
        <v/>
      </c>
      <c r="X2349" s="79" t="str">
        <f>IF(OR(TH!N2349=TH!$X$7,O2349=TH!$X$7),"x","")</f>
        <v/>
      </c>
      <c r="Y2349" s="79" t="str">
        <f>IF(AND(OR(N2349="131",O2349="131"),H2349='131-CT'!$H$9),"x","")</f>
        <v/>
      </c>
      <c r="Z2349" s="79"/>
      <c r="AA2349" s="79" t="str">
        <f>IF(AND(MONTH(E2349)='IN-NX'!$J$5,'IN-NX'!$D$7=D2349),"x","")</f>
        <v/>
      </c>
      <c r="AB2349" s="79" t="str">
        <f>IF(AND(OR(LEFT(TH!N2349,2)="15",LEFT(TH!O2349,2)="15"),LEFT(TH!O2349,3)&lt;&gt;"111",'152-CT'!$J$8=TH!F2349),"x","")</f>
        <v/>
      </c>
      <c r="AC2349" s="79" t="str">
        <f>IF(AND(OR(LEFT(TH!N2349,2)="15",LEFT(TH!O2349,2)="15"),TK!$E$7=TH!F2349),"x","")</f>
        <v/>
      </c>
      <c r="AD2349" s="79" t="str">
        <f>IF(AND(N2349="1521",MONTH(C2349)='BK-NL'!$M$11),"x","")</f>
        <v/>
      </c>
    </row>
    <row r="2350" spans="1:30" ht="16.5" customHeight="1">
      <c r="A2350" s="318" t="str">
        <f>IF(B2350&lt;&gt;"",IF(AND(B2350='IN-TC'!$S$4,OR(TH!N2350="1111",TH!O2350="1111")),TH!D2350,""),"")</f>
        <v/>
      </c>
      <c r="B2350" s="60" t="str">
        <f t="shared" si="239"/>
        <v/>
      </c>
      <c r="C2350" s="974"/>
      <c r="D2350" s="301"/>
      <c r="E2350" s="974"/>
      <c r="F2350" s="77"/>
      <c r="G2350" s="976"/>
      <c r="H2350" s="305"/>
      <c r="I2350" s="383"/>
      <c r="J2350" s="977"/>
      <c r="K2350" s="383"/>
      <c r="L2350" s="390"/>
      <c r="M2350" s="978"/>
      <c r="N2350" s="979"/>
      <c r="O2350" s="979"/>
      <c r="P2350" s="79" t="str">
        <f>IF(AND('331-CT'!$E$7=TH!H2350,OR(N2350="331",O2350="331")),"x","")</f>
        <v/>
      </c>
      <c r="Q2350" s="79" t="str">
        <f>IF(AND(B2350='111'!$L$11,OR($N2350=$Q$7,$O2350=$Q$7)),"x","")</f>
        <v/>
      </c>
      <c r="R2350" s="79" t="str">
        <f>IF(AND($N2350=$Q$7,$B2350&lt;'111'!$L$11),"x","")</f>
        <v/>
      </c>
      <c r="S2350" s="79" t="str">
        <f>IF(AND($O2350=$Q$7,$B2350&lt;'111'!$L$11),"x","")</f>
        <v/>
      </c>
      <c r="T2350" s="79" t="str">
        <f>IF(ISERROR(FIND('112'!$M$9,G2350,1)),"",IF((AND(FIND('112'!$M$9,G2350,1)&gt;=1,B2350='112'!$K$9,OR($N2350='112'!$I$6,$O2350='112'!$I$6))),"x",""))</f>
        <v/>
      </c>
      <c r="U2350" s="79" t="str">
        <f>IF(ISERROR(FIND('112'!$M$9,G2350,1)),"",IF((AND(LEFT(G2350,2)=LEFT('112'!$M$9,2),B2350&lt;'112'!$K$9,$N2350='112'!$I$6)),"x",""))</f>
        <v/>
      </c>
      <c r="V2350" s="79" t="str">
        <f>IF(ISERROR(FIND('112'!$M$9,G2350,1)),"",IF((AND(RIGHT(G2350,2)=RIGHT('112'!$M$9,2),B2350&lt;'112'!$K$9,$O2350='112'!$I$6)),"x",""))</f>
        <v/>
      </c>
      <c r="W2350" s="79" t="str">
        <f>IF(AND('341-CT'!$H$9=H2350,OR(LEFT(N2350,3)=$W$7,LEFT(O2350,3)=$W$7)),"x","")</f>
        <v/>
      </c>
      <c r="X2350" s="79" t="str">
        <f>IF(OR(TH!N2350=TH!$X$7,O2350=TH!$X$7),"x","")</f>
        <v/>
      </c>
      <c r="Y2350" s="79" t="str">
        <f>IF(AND(OR(N2350="131",O2350="131"),H2350='131-CT'!$H$9),"x","")</f>
        <v/>
      </c>
      <c r="Z2350" s="79"/>
      <c r="AA2350" s="79" t="str">
        <f>IF(AND(MONTH(E2350)='IN-NX'!$J$5,'IN-NX'!$D$7=D2350),"x","")</f>
        <v/>
      </c>
      <c r="AB2350" s="79" t="str">
        <f>IF(AND(OR(LEFT(TH!N2350,2)="15",LEFT(TH!O2350,2)="15"),LEFT(TH!O2350,3)&lt;&gt;"111",'152-CT'!$J$8=TH!F2350),"x","")</f>
        <v/>
      </c>
      <c r="AC2350" s="79" t="str">
        <f>IF(AND(OR(LEFT(TH!N2350,2)="15",LEFT(TH!O2350,2)="15"),TK!$E$7=TH!F2350),"x","")</f>
        <v/>
      </c>
      <c r="AD2350" s="79" t="str">
        <f>IF(AND(N2350="1521",MONTH(C2350)='BK-NL'!$M$11),"x","")</f>
        <v/>
      </c>
    </row>
    <row r="2351" spans="1:30" ht="16.5" customHeight="1">
      <c r="A2351" s="318" t="str">
        <f>IF(B2351&lt;&gt;"",IF(AND(B2351='IN-TC'!$S$4,OR(TH!N2351="1111",TH!O2351="1111")),TH!D2351,""),"")</f>
        <v/>
      </c>
      <c r="B2351" s="60" t="str">
        <f t="shared" si="239"/>
        <v/>
      </c>
      <c r="C2351" s="974"/>
      <c r="D2351" s="301"/>
      <c r="E2351" s="974"/>
      <c r="F2351" s="77"/>
      <c r="G2351" s="976"/>
      <c r="H2351" s="305"/>
      <c r="I2351" s="383"/>
      <c r="J2351" s="977"/>
      <c r="K2351" s="383"/>
      <c r="L2351" s="390"/>
      <c r="M2351" s="978"/>
      <c r="N2351" s="979"/>
      <c r="O2351" s="979"/>
      <c r="P2351" s="79" t="str">
        <f>IF(AND('331-CT'!$E$7=TH!H2351,OR(N2351="331",O2351="331")),"x","")</f>
        <v/>
      </c>
      <c r="Q2351" s="79" t="str">
        <f>IF(AND(B2351='111'!$L$11,OR($N2351=$Q$7,$O2351=$Q$7)),"x","")</f>
        <v/>
      </c>
      <c r="R2351" s="79" t="str">
        <f>IF(AND($N2351=$Q$7,$B2351&lt;'111'!$L$11),"x","")</f>
        <v/>
      </c>
      <c r="S2351" s="79" t="str">
        <f>IF(AND($O2351=$Q$7,$B2351&lt;'111'!$L$11),"x","")</f>
        <v/>
      </c>
      <c r="T2351" s="79" t="str">
        <f>IF(ISERROR(FIND('112'!$M$9,G2351,1)),"",IF((AND(FIND('112'!$M$9,G2351,1)&gt;=1,B2351='112'!$K$9,OR($N2351='112'!$I$6,$O2351='112'!$I$6))),"x",""))</f>
        <v/>
      </c>
      <c r="U2351" s="79" t="str">
        <f>IF(ISERROR(FIND('112'!$M$9,G2351,1)),"",IF((AND(LEFT(G2351,2)=LEFT('112'!$M$9,2),B2351&lt;'112'!$K$9,$N2351='112'!$I$6)),"x",""))</f>
        <v/>
      </c>
      <c r="V2351" s="79" t="str">
        <f>IF(ISERROR(FIND('112'!$M$9,G2351,1)),"",IF((AND(RIGHT(G2351,2)=RIGHT('112'!$M$9,2),B2351&lt;'112'!$K$9,$O2351='112'!$I$6)),"x",""))</f>
        <v/>
      </c>
      <c r="W2351" s="79" t="str">
        <f>IF(AND('341-CT'!$H$9=H2351,OR(LEFT(N2351,3)=$W$7,LEFT(O2351,3)=$W$7)),"x","")</f>
        <v/>
      </c>
      <c r="X2351" s="79" t="str">
        <f>IF(OR(TH!N2351=TH!$X$7,O2351=TH!$X$7),"x","")</f>
        <v/>
      </c>
      <c r="Y2351" s="79" t="str">
        <f>IF(AND(OR(N2351="131",O2351="131"),H2351='131-CT'!$H$9),"x","")</f>
        <v/>
      </c>
      <c r="Z2351" s="79"/>
      <c r="AA2351" s="79" t="str">
        <f>IF(AND(MONTH(E2351)='IN-NX'!$J$5,'IN-NX'!$D$7=D2351),"x","")</f>
        <v/>
      </c>
      <c r="AB2351" s="79" t="str">
        <f>IF(AND(OR(LEFT(TH!N2351,2)="15",LEFT(TH!O2351,2)="15"),LEFT(TH!O2351,3)&lt;&gt;"111",'152-CT'!$J$8=TH!F2351),"x","")</f>
        <v/>
      </c>
      <c r="AC2351" s="79" t="str">
        <f>IF(AND(OR(LEFT(TH!N2351,2)="15",LEFT(TH!O2351,2)="15"),TK!$E$7=TH!F2351),"x","")</f>
        <v/>
      </c>
      <c r="AD2351" s="79" t="str">
        <f>IF(AND(N2351="1521",MONTH(C2351)='BK-NL'!$M$11),"x","")</f>
        <v/>
      </c>
    </row>
    <row r="2352" spans="1:30" ht="16.5" customHeight="1">
      <c r="A2352" s="318" t="str">
        <f>IF(B2352&lt;&gt;"",IF(AND(B2352='IN-TC'!$S$4,OR(TH!N2352="1111",TH!O2352="1111")),TH!D2352,""),"")</f>
        <v/>
      </c>
      <c r="B2352" s="60" t="str">
        <f t="shared" si="239"/>
        <v/>
      </c>
      <c r="C2352" s="981"/>
      <c r="D2352" s="981"/>
      <c r="E2352" s="301"/>
      <c r="F2352" s="999"/>
      <c r="G2352" s="1130"/>
      <c r="H2352" s="982"/>
      <c r="I2352" s="984"/>
      <c r="J2352" s="983"/>
      <c r="K2352" s="984"/>
      <c r="L2352" s="983"/>
      <c r="M2352" s="985"/>
      <c r="N2352" s="986"/>
      <c r="O2352" s="986"/>
      <c r="P2352" s="79" t="str">
        <f>IF(AND('331-CT'!$E$7=TH!H2352,OR(N2352="331",O2352="331")),"x","")</f>
        <v/>
      </c>
      <c r="Q2352" s="79" t="str">
        <f>IF(AND(B2352='111'!$L$11,OR($N2352=$Q$7,$O2352=$Q$7)),"x","")</f>
        <v/>
      </c>
      <c r="R2352" s="79" t="str">
        <f>IF(AND($N2352=$Q$7,$B2352&lt;'111'!$L$11),"x","")</f>
        <v/>
      </c>
      <c r="S2352" s="79" t="str">
        <f>IF(AND($O2352=$Q$7,$B2352&lt;'111'!$L$11),"x","")</f>
        <v/>
      </c>
      <c r="T2352" s="79" t="str">
        <f>IF(ISERROR(FIND('112'!$M$9,G2352,1)),"",IF((AND(FIND('112'!$M$9,G2352,1)&gt;=1,B2352='112'!$K$9,OR($N2352='112'!$I$6,$O2352='112'!$I$6))),"x",""))</f>
        <v/>
      </c>
      <c r="U2352" s="79" t="str">
        <f>IF(ISERROR(FIND('112'!$M$9,G2352,1)),"",IF((AND(LEFT(G2352,2)=LEFT('112'!$M$9,2),B2352&lt;'112'!$K$9,$N2352='112'!$I$6)),"x",""))</f>
        <v/>
      </c>
      <c r="V2352" s="79" t="str">
        <f>IF(ISERROR(FIND('112'!$M$9,G2352,1)),"",IF((AND(RIGHT(G2352,2)=RIGHT('112'!$M$9,2),B2352&lt;'112'!$K$9,$O2352='112'!$I$6)),"x",""))</f>
        <v/>
      </c>
      <c r="W2352" s="79" t="str">
        <f>IF(AND('341-CT'!$H$9=H2352,OR(LEFT(N2352,3)=$W$7,LEFT(O2352,3)=$W$7)),"x","")</f>
        <v/>
      </c>
      <c r="X2352" s="79" t="str">
        <f>IF(OR(TH!N2352=TH!$X$7,O2352=TH!$X$7),"x","")</f>
        <v/>
      </c>
      <c r="Y2352" s="79" t="str">
        <f>IF(AND(OR(N2352="131",O2352="131"),H2352='131-CT'!$H$9),"x","")</f>
        <v/>
      </c>
      <c r="Z2352" s="79"/>
      <c r="AA2352" s="79" t="str">
        <f>IF(AND(MONTH(E2352)='IN-NX'!$J$5,'IN-NX'!$D$7=D2352),"x","")</f>
        <v/>
      </c>
      <c r="AB2352" s="79" t="str">
        <f>IF(AND(OR(LEFT(TH!N2352,2)="15",LEFT(TH!O2352,2)="15"),LEFT(TH!O2352,3)&lt;&gt;"111",'152-CT'!$J$8=TH!F2352),"x","")</f>
        <v/>
      </c>
      <c r="AC2352" s="79" t="str">
        <f>IF(AND(OR(LEFT(TH!N2352,2)="15",LEFT(TH!O2352,2)="15"),TK!$E$7=TH!F2352),"x","")</f>
        <v/>
      </c>
      <c r="AD2352" s="79" t="str">
        <f>IF(AND(N2352="1521",MONTH(C2352)='BK-NL'!$M$11),"x","")</f>
        <v/>
      </c>
    </row>
    <row r="2353" spans="1:30" ht="16.5" customHeight="1">
      <c r="A2353" s="318" t="str">
        <f>IF(B2353&lt;&gt;"",IF(AND(B2353='IN-TC'!$S$4,OR(TH!N2353="1111",TH!O2353="1111")),TH!D2353,""),"")</f>
        <v/>
      </c>
      <c r="B2353" s="60" t="str">
        <f t="shared" si="239"/>
        <v/>
      </c>
      <c r="C2353" s="974"/>
      <c r="D2353" s="301"/>
      <c r="E2353" s="974"/>
      <c r="F2353" s="77"/>
      <c r="G2353" s="976"/>
      <c r="H2353" s="305"/>
      <c r="I2353" s="383"/>
      <c r="J2353" s="977"/>
      <c r="K2353" s="383"/>
      <c r="L2353" s="390"/>
      <c r="M2353" s="978"/>
      <c r="N2353" s="979"/>
      <c r="O2353" s="979"/>
      <c r="P2353" s="79" t="str">
        <f>IF(AND('331-CT'!$E$7=TH!H2353,OR(N2353="331",O2353="331")),"x","")</f>
        <v/>
      </c>
      <c r="Q2353" s="79" t="str">
        <f>IF(AND(B2353='111'!$L$11,OR($N2353=$Q$7,$O2353=$Q$7)),"x","")</f>
        <v/>
      </c>
      <c r="R2353" s="79" t="str">
        <f>IF(AND($N2353=$Q$7,$B2353&lt;'111'!$L$11),"x","")</f>
        <v/>
      </c>
      <c r="S2353" s="79" t="str">
        <f>IF(AND($O2353=$Q$7,$B2353&lt;'111'!$L$11),"x","")</f>
        <v/>
      </c>
      <c r="T2353" s="79" t="str">
        <f>IF(ISERROR(FIND('112'!$M$9,G2353,1)),"",IF((AND(FIND('112'!$M$9,G2353,1)&gt;=1,B2353='112'!$K$9,OR($N2353='112'!$I$6,$O2353='112'!$I$6))),"x",""))</f>
        <v/>
      </c>
      <c r="U2353" s="79" t="str">
        <f>IF(ISERROR(FIND('112'!$M$9,G2353,1)),"",IF((AND(LEFT(G2353,2)=LEFT('112'!$M$9,2),B2353&lt;'112'!$K$9,$N2353='112'!$I$6)),"x",""))</f>
        <v/>
      </c>
      <c r="V2353" s="79" t="str">
        <f>IF(ISERROR(FIND('112'!$M$9,G2353,1)),"",IF((AND(RIGHT(G2353,2)=RIGHT('112'!$M$9,2),B2353&lt;'112'!$K$9,$O2353='112'!$I$6)),"x",""))</f>
        <v/>
      </c>
      <c r="W2353" s="79" t="str">
        <f>IF(AND('341-CT'!$H$9=H2353,OR(LEFT(N2353,3)=$W$7,LEFT(O2353,3)=$W$7)),"x","")</f>
        <v/>
      </c>
      <c r="X2353" s="79" t="str">
        <f>IF(OR(TH!N2353=TH!$X$7,O2353=TH!$X$7),"x","")</f>
        <v/>
      </c>
      <c r="Y2353" s="79" t="str">
        <f>IF(AND(OR(N2353="131",O2353="131"),H2353='131-CT'!$H$9),"x","")</f>
        <v/>
      </c>
      <c r="Z2353" s="79"/>
      <c r="AA2353" s="79" t="str">
        <f>IF(AND(MONTH(E2353)='IN-NX'!$J$5,'IN-NX'!$D$7=D2353),"x","")</f>
        <v/>
      </c>
      <c r="AB2353" s="79" t="str">
        <f>IF(AND(OR(LEFT(TH!N2353,2)="15",LEFT(TH!O2353,2)="15"),LEFT(TH!O2353,3)&lt;&gt;"111",'152-CT'!$J$8=TH!F2353),"x","")</f>
        <v/>
      </c>
      <c r="AC2353" s="79" t="str">
        <f>IF(AND(OR(LEFT(TH!N2353,2)="15",LEFT(TH!O2353,2)="15"),TK!$E$7=TH!F2353),"x","")</f>
        <v/>
      </c>
      <c r="AD2353" s="79" t="str">
        <f>IF(AND(N2353="1521",MONTH(C2353)='BK-NL'!$M$11),"x","")</f>
        <v/>
      </c>
    </row>
    <row r="2354" spans="1:30" ht="16.5" customHeight="1">
      <c r="A2354" s="318" t="str">
        <f>IF(B2354&lt;&gt;"",IF(AND(B2354='IN-TC'!$S$4,OR(TH!N2354="1111",TH!O2354="1111")),TH!D2354,""),"")</f>
        <v/>
      </c>
      <c r="B2354" s="60" t="str">
        <f t="shared" si="239"/>
        <v/>
      </c>
      <c r="C2354" s="974"/>
      <c r="D2354" s="301"/>
      <c r="E2354" s="974"/>
      <c r="F2354" s="77"/>
      <c r="G2354" s="976"/>
      <c r="H2354" s="305"/>
      <c r="I2354" s="383"/>
      <c r="J2354" s="977"/>
      <c r="K2354" s="383"/>
      <c r="L2354" s="390"/>
      <c r="M2354" s="978"/>
      <c r="N2354" s="979"/>
      <c r="O2354" s="979"/>
      <c r="P2354" s="79" t="str">
        <f>IF(AND('331-CT'!$E$7=TH!H2354,OR(N2354="331",O2354="331")),"x","")</f>
        <v/>
      </c>
      <c r="Q2354" s="79" t="str">
        <f>IF(AND(B2354='111'!$L$11,OR($N2354=$Q$7,$O2354=$Q$7)),"x","")</f>
        <v/>
      </c>
      <c r="R2354" s="79" t="str">
        <f>IF(AND($N2354=$Q$7,$B2354&lt;'111'!$L$11),"x","")</f>
        <v/>
      </c>
      <c r="S2354" s="79" t="str">
        <f>IF(AND($O2354=$Q$7,$B2354&lt;'111'!$L$11),"x","")</f>
        <v/>
      </c>
      <c r="T2354" s="79" t="str">
        <f>IF(ISERROR(FIND('112'!$M$9,G2354,1)),"",IF((AND(FIND('112'!$M$9,G2354,1)&gt;=1,B2354='112'!$K$9,OR($N2354='112'!$I$6,$O2354='112'!$I$6))),"x",""))</f>
        <v/>
      </c>
      <c r="U2354" s="79" t="str">
        <f>IF(ISERROR(FIND('112'!$M$9,G2354,1)),"",IF((AND(LEFT(G2354,2)=LEFT('112'!$M$9,2),B2354&lt;'112'!$K$9,$N2354='112'!$I$6)),"x",""))</f>
        <v/>
      </c>
      <c r="V2354" s="79" t="str">
        <f>IF(ISERROR(FIND('112'!$M$9,G2354,1)),"",IF((AND(RIGHT(G2354,2)=RIGHT('112'!$M$9,2),B2354&lt;'112'!$K$9,$O2354='112'!$I$6)),"x",""))</f>
        <v/>
      </c>
      <c r="W2354" s="79" t="str">
        <f>IF(AND('341-CT'!$H$9=H2354,OR(LEFT(N2354,3)=$W$7,LEFT(O2354,3)=$W$7)),"x","")</f>
        <v/>
      </c>
      <c r="X2354" s="79" t="str">
        <f>IF(OR(TH!N2354=TH!$X$7,O2354=TH!$X$7),"x","")</f>
        <v/>
      </c>
      <c r="Y2354" s="79" t="str">
        <f>IF(AND(OR(N2354="131",O2354="131"),H2354='131-CT'!$H$9),"x","")</f>
        <v/>
      </c>
      <c r="Z2354" s="79"/>
      <c r="AA2354" s="79" t="str">
        <f>IF(AND(MONTH(E2354)='IN-NX'!$J$5,'IN-NX'!$D$7=D2354),"x","")</f>
        <v/>
      </c>
      <c r="AB2354" s="79" t="str">
        <f>IF(AND(OR(LEFT(TH!N2354,2)="15",LEFT(TH!O2354,2)="15"),LEFT(TH!O2354,3)&lt;&gt;"111",'152-CT'!$J$8=TH!F2354),"x","")</f>
        <v/>
      </c>
      <c r="AC2354" s="79" t="str">
        <f>IF(AND(OR(LEFT(TH!N2354,2)="15",LEFT(TH!O2354,2)="15"),TK!$E$7=TH!F2354),"x","")</f>
        <v/>
      </c>
      <c r="AD2354" s="79" t="str">
        <f>IF(AND(N2354="1521",MONTH(C2354)='BK-NL'!$M$11),"x","")</f>
        <v/>
      </c>
    </row>
    <row r="2355" spans="1:30" ht="16.5" customHeight="1">
      <c r="A2355" s="318" t="str">
        <f>IF(B2355&lt;&gt;"",IF(AND(B2355='IN-TC'!$S$4,OR(TH!N2355="1111",TH!O2355="1111")),TH!D2355,""),"")</f>
        <v/>
      </c>
      <c r="B2355" s="60" t="str">
        <f t="shared" si="239"/>
        <v/>
      </c>
      <c r="C2355" s="301"/>
      <c r="D2355" s="301"/>
      <c r="E2355" s="301"/>
      <c r="F2355" s="69"/>
      <c r="G2355" s="968"/>
      <c r="H2355" s="303"/>
      <c r="I2355" s="385"/>
      <c r="J2355" s="969"/>
      <c r="K2355" s="385"/>
      <c r="L2355" s="392"/>
      <c r="M2355" s="970"/>
      <c r="N2355" s="304"/>
      <c r="O2355" s="304"/>
      <c r="P2355" s="79" t="str">
        <f>IF(AND('331-CT'!$E$7=TH!H2355,OR(N2355="331",O2355="331")),"x","")</f>
        <v/>
      </c>
      <c r="Q2355" s="79" t="str">
        <f>IF(AND(B2355='111'!$L$11,OR($N2355=$Q$7,$O2355=$Q$7)),"x","")</f>
        <v/>
      </c>
      <c r="R2355" s="79" t="str">
        <f>IF(AND($N2355=$Q$7,$B2355&lt;'111'!$L$11),"x","")</f>
        <v/>
      </c>
      <c r="S2355" s="79" t="str">
        <f>IF(AND($O2355=$Q$7,$B2355&lt;'111'!$L$11),"x","")</f>
        <v/>
      </c>
      <c r="T2355" s="79" t="str">
        <f>IF(ISERROR(FIND('112'!$M$9,G2355,1)),"",IF((AND(FIND('112'!$M$9,G2355,1)&gt;=1,B2355='112'!$K$9,OR($N2355='112'!$I$6,$O2355='112'!$I$6))),"x",""))</f>
        <v/>
      </c>
      <c r="U2355" s="79" t="str">
        <f>IF(ISERROR(FIND('112'!$M$9,G2355,1)),"",IF((AND(LEFT(G2355,2)=LEFT('112'!$M$9,2),B2355&lt;'112'!$K$9,$N2355='112'!$I$6)),"x",""))</f>
        <v/>
      </c>
      <c r="V2355" s="79" t="str">
        <f>IF(ISERROR(FIND('112'!$M$9,G2355,1)),"",IF((AND(RIGHT(G2355,2)=RIGHT('112'!$M$9,2),B2355&lt;'112'!$K$9,$O2355='112'!$I$6)),"x",""))</f>
        <v/>
      </c>
      <c r="W2355" s="79" t="str">
        <f>IF(AND('341-CT'!$H$9=H2355,OR(LEFT(N2355,3)=$W$7,LEFT(O2355,3)=$W$7)),"x","")</f>
        <v/>
      </c>
      <c r="X2355" s="79" t="str">
        <f>IF(OR(TH!N2355=TH!$X$7,O2355=TH!$X$7),"x","")</f>
        <v/>
      </c>
      <c r="Y2355" s="79" t="str">
        <f>IF(AND(OR(N2355="131",O2355="131"),H2355='131-CT'!$H$9),"x","")</f>
        <v/>
      </c>
      <c r="Z2355" s="79"/>
      <c r="AA2355" s="79" t="str">
        <f>IF(AND(MONTH(E2355)='IN-NX'!$J$5,'IN-NX'!$D$7=D2355),"x","")</f>
        <v/>
      </c>
      <c r="AB2355" s="79" t="str">
        <f>IF(AND(OR(LEFT(TH!N2355,2)="15",LEFT(TH!O2355,2)="15"),LEFT(TH!O2355,3)&lt;&gt;"111",'152-CT'!$J$8=TH!F2355),"x","")</f>
        <v/>
      </c>
      <c r="AC2355" s="79" t="str">
        <f>IF(AND(OR(LEFT(TH!N2355,2)="15",LEFT(TH!O2355,2)="15"),TK!$E$7=TH!F2355),"x","")</f>
        <v/>
      </c>
      <c r="AD2355" s="79" t="str">
        <f>IF(AND(N2355="1521",MONTH(C2355)='BK-NL'!$M$11),"x","")</f>
        <v/>
      </c>
    </row>
    <row r="2356" spans="1:30" ht="16.5" customHeight="1">
      <c r="A2356" s="318" t="str">
        <f>IF(B2356&lt;&gt;"",IF(AND(B2356='IN-TC'!$S$4,OR(TH!N2356="1111",TH!O2356="1111")),TH!D2356,""),"")</f>
        <v/>
      </c>
      <c r="B2356" s="60" t="str">
        <f t="shared" si="239"/>
        <v/>
      </c>
      <c r="C2356" s="301"/>
      <c r="D2356" s="301"/>
      <c r="E2356" s="301"/>
      <c r="F2356" s="69"/>
      <c r="G2356" s="968"/>
      <c r="H2356" s="303"/>
      <c r="I2356" s="385"/>
      <c r="J2356" s="969"/>
      <c r="K2356" s="385"/>
      <c r="L2356" s="392"/>
      <c r="M2356" s="970"/>
      <c r="N2356" s="304"/>
      <c r="O2356" s="304"/>
      <c r="P2356" s="79" t="str">
        <f>IF(AND('331-CT'!$E$7=TH!H2356,OR(N2356="331",O2356="331")),"x","")</f>
        <v/>
      </c>
      <c r="Q2356" s="79" t="str">
        <f>IF(AND(B2356='111'!$L$11,OR($N2356=$Q$7,$O2356=$Q$7)),"x","")</f>
        <v/>
      </c>
      <c r="R2356" s="79" t="str">
        <f>IF(AND($N2356=$Q$7,$B2356&lt;'111'!$L$11),"x","")</f>
        <v/>
      </c>
      <c r="S2356" s="79" t="str">
        <f>IF(AND($O2356=$Q$7,$B2356&lt;'111'!$L$11),"x","")</f>
        <v/>
      </c>
      <c r="T2356" s="79" t="str">
        <f>IF(ISERROR(FIND('112'!$M$9,G2356,1)),"",IF((AND(FIND('112'!$M$9,G2356,1)&gt;=1,B2356='112'!$K$9,OR($N2356='112'!$I$6,$O2356='112'!$I$6))),"x",""))</f>
        <v/>
      </c>
      <c r="U2356" s="79" t="str">
        <f>IF(ISERROR(FIND('112'!$M$9,G2356,1)),"",IF((AND(LEFT(G2356,2)=LEFT('112'!$M$9,2),B2356&lt;'112'!$K$9,$N2356='112'!$I$6)),"x",""))</f>
        <v/>
      </c>
      <c r="V2356" s="79" t="str">
        <f>IF(ISERROR(FIND('112'!$M$9,G2356,1)),"",IF((AND(RIGHT(G2356,2)=RIGHT('112'!$M$9,2),B2356&lt;'112'!$K$9,$O2356='112'!$I$6)),"x",""))</f>
        <v/>
      </c>
      <c r="W2356" s="79" t="str">
        <f>IF(AND('341-CT'!$H$9=H2356,OR(LEFT(N2356,3)=$W$7,LEFT(O2356,3)=$W$7)),"x","")</f>
        <v/>
      </c>
      <c r="X2356" s="79" t="str">
        <f>IF(OR(TH!N2356=TH!$X$7,O2356=TH!$X$7),"x","")</f>
        <v/>
      </c>
      <c r="Y2356" s="79" t="str">
        <f>IF(AND(OR(N2356="131",O2356="131"),H2356='131-CT'!$H$9),"x","")</f>
        <v/>
      </c>
      <c r="Z2356" s="79"/>
      <c r="AA2356" s="79" t="str">
        <f>IF(AND(MONTH(E2356)='IN-NX'!$J$5,'IN-NX'!$D$7=D2356),"x","")</f>
        <v/>
      </c>
      <c r="AB2356" s="79" t="str">
        <f>IF(AND(OR(LEFT(TH!N2356,2)="15",LEFT(TH!O2356,2)="15"),LEFT(TH!O2356,3)&lt;&gt;"111",'152-CT'!$J$8=TH!F2356),"x","")</f>
        <v/>
      </c>
      <c r="AC2356" s="79" t="str">
        <f>IF(AND(OR(LEFT(TH!N2356,2)="15",LEFT(TH!O2356,2)="15"),TK!$E$7=TH!F2356),"x","")</f>
        <v/>
      </c>
      <c r="AD2356" s="79" t="str">
        <f>IF(AND(N2356="1521",MONTH(C2356)='BK-NL'!$M$11),"x","")</f>
        <v/>
      </c>
    </row>
    <row r="2357" spans="1:30" ht="16.5" customHeight="1">
      <c r="A2357" s="318" t="str">
        <f>IF(B2357&lt;&gt;"",IF(AND(B2357='IN-TC'!$S$4,OR(TH!N2357="1111",TH!O2357="1111")),TH!D2357,""),"")</f>
        <v/>
      </c>
      <c r="B2357" s="60" t="str">
        <f t="shared" si="239"/>
        <v/>
      </c>
      <c r="C2357" s="301"/>
      <c r="D2357" s="301"/>
      <c r="E2357" s="301"/>
      <c r="F2357" s="69"/>
      <c r="G2357" s="968"/>
      <c r="H2357" s="303"/>
      <c r="I2357" s="385"/>
      <c r="J2357" s="969"/>
      <c r="K2357" s="385"/>
      <c r="L2357" s="392"/>
      <c r="M2357" s="970"/>
      <c r="N2357" s="304"/>
      <c r="O2357" s="304"/>
      <c r="P2357" s="79" t="str">
        <f>IF(AND('331-CT'!$E$7=TH!H2357,OR(N2357="331",O2357="331")),"x","")</f>
        <v/>
      </c>
      <c r="Q2357" s="79" t="str">
        <f>IF(AND(B2357='111'!$L$11,OR($N2357=$Q$7,$O2357=$Q$7)),"x","")</f>
        <v/>
      </c>
      <c r="R2357" s="79" t="str">
        <f>IF(AND($N2357=$Q$7,$B2357&lt;'111'!$L$11),"x","")</f>
        <v/>
      </c>
      <c r="S2357" s="79" t="str">
        <f>IF(AND($O2357=$Q$7,$B2357&lt;'111'!$L$11),"x","")</f>
        <v/>
      </c>
      <c r="T2357" s="79" t="str">
        <f>IF(ISERROR(FIND('112'!$M$9,G2357,1)),"",IF((AND(FIND('112'!$M$9,G2357,1)&gt;=1,B2357='112'!$K$9,OR($N2357='112'!$I$6,$O2357='112'!$I$6))),"x",""))</f>
        <v/>
      </c>
      <c r="U2357" s="79" t="str">
        <f>IF(ISERROR(FIND('112'!$M$9,G2357,1)),"",IF((AND(LEFT(G2357,2)=LEFT('112'!$M$9,2),B2357&lt;'112'!$K$9,$N2357='112'!$I$6)),"x",""))</f>
        <v/>
      </c>
      <c r="V2357" s="79" t="str">
        <f>IF(ISERROR(FIND('112'!$M$9,G2357,1)),"",IF((AND(RIGHT(G2357,2)=RIGHT('112'!$M$9,2),B2357&lt;'112'!$K$9,$O2357='112'!$I$6)),"x",""))</f>
        <v/>
      </c>
      <c r="W2357" s="79" t="str">
        <f>IF(AND('341-CT'!$H$9=H2357,OR(LEFT(N2357,3)=$W$7,LEFT(O2357,3)=$W$7)),"x","")</f>
        <v/>
      </c>
      <c r="X2357" s="79" t="str">
        <f>IF(OR(TH!N2357=TH!$X$7,O2357=TH!$X$7),"x","")</f>
        <v/>
      </c>
      <c r="Y2357" s="79" t="str">
        <f>IF(AND(OR(N2357="131",O2357="131"),H2357='131-CT'!$H$9),"x","")</f>
        <v/>
      </c>
      <c r="Z2357" s="79"/>
      <c r="AA2357" s="79" t="str">
        <f>IF(AND(MONTH(E2357)='IN-NX'!$J$5,'IN-NX'!$D$7=D2357),"x","")</f>
        <v/>
      </c>
      <c r="AB2357" s="79" t="str">
        <f>IF(AND(OR(LEFT(TH!N2357,2)="15",LEFT(TH!O2357,2)="15"),LEFT(TH!O2357,3)&lt;&gt;"111",'152-CT'!$J$8=TH!F2357),"x","")</f>
        <v/>
      </c>
      <c r="AC2357" s="79" t="str">
        <f>IF(AND(OR(LEFT(TH!N2357,2)="15",LEFT(TH!O2357,2)="15"),TK!$E$7=TH!F2357),"x","")</f>
        <v/>
      </c>
      <c r="AD2357" s="79" t="str">
        <f>IF(AND(N2357="1521",MONTH(C2357)='BK-NL'!$M$11),"x","")</f>
        <v/>
      </c>
    </row>
    <row r="2358" spans="1:30" ht="16.5" customHeight="1">
      <c r="A2358" s="318" t="str">
        <f>IF(B2358&lt;&gt;"",IF(AND(B2358='IN-TC'!$S$4,OR(TH!N2358="1111",TH!O2358="1111")),TH!D2358,""),"")</f>
        <v/>
      </c>
      <c r="B2358" s="60" t="str">
        <f t="shared" si="239"/>
        <v/>
      </c>
      <c r="C2358" s="301"/>
      <c r="D2358" s="301"/>
      <c r="E2358" s="301"/>
      <c r="F2358" s="69"/>
      <c r="G2358" s="968"/>
      <c r="H2358" s="303"/>
      <c r="I2358" s="385"/>
      <c r="J2358" s="969"/>
      <c r="K2358" s="385"/>
      <c r="L2358" s="392"/>
      <c r="M2358" s="970"/>
      <c r="N2358" s="304"/>
      <c r="O2358" s="304"/>
      <c r="P2358" s="79" t="str">
        <f>IF(AND('331-CT'!$E$7=TH!H2358,OR(N2358="331",O2358="331")),"x","")</f>
        <v/>
      </c>
      <c r="Q2358" s="79" t="str">
        <f>IF(AND(B2358='111'!$L$11,OR($N2358=$Q$7,$O2358=$Q$7)),"x","")</f>
        <v/>
      </c>
      <c r="R2358" s="79" t="str">
        <f>IF(AND($N2358=$Q$7,$B2358&lt;'111'!$L$11),"x","")</f>
        <v/>
      </c>
      <c r="S2358" s="79" t="str">
        <f>IF(AND($O2358=$Q$7,$B2358&lt;'111'!$L$11),"x","")</f>
        <v/>
      </c>
      <c r="T2358" s="79" t="str">
        <f>IF(ISERROR(FIND('112'!$M$9,G2358,1)),"",IF((AND(FIND('112'!$M$9,G2358,1)&gt;=1,B2358='112'!$K$9,OR($N2358='112'!$I$6,$O2358='112'!$I$6))),"x",""))</f>
        <v/>
      </c>
      <c r="U2358" s="79" t="str">
        <f>IF(ISERROR(FIND('112'!$M$9,G2358,1)),"",IF((AND(LEFT(G2358,2)=LEFT('112'!$M$9,2),B2358&lt;'112'!$K$9,$N2358='112'!$I$6)),"x",""))</f>
        <v/>
      </c>
      <c r="V2358" s="79" t="str">
        <f>IF(ISERROR(FIND('112'!$M$9,G2358,1)),"",IF((AND(RIGHT(G2358,2)=RIGHT('112'!$M$9,2),B2358&lt;'112'!$K$9,$O2358='112'!$I$6)),"x",""))</f>
        <v/>
      </c>
      <c r="W2358" s="79" t="str">
        <f>IF(AND('341-CT'!$H$9=H2358,OR(LEFT(N2358,3)=$W$7,LEFT(O2358,3)=$W$7)),"x","")</f>
        <v/>
      </c>
      <c r="X2358" s="79" t="str">
        <f>IF(OR(TH!N2358=TH!$X$7,O2358=TH!$X$7),"x","")</f>
        <v/>
      </c>
      <c r="Y2358" s="79" t="str">
        <f>IF(AND(OR(N2358="131",O2358="131"),H2358='131-CT'!$H$9),"x","")</f>
        <v/>
      </c>
      <c r="Z2358" s="79"/>
      <c r="AA2358" s="79" t="str">
        <f>IF(AND(MONTH(E2358)='IN-NX'!$J$5,'IN-NX'!$D$7=D2358),"x","")</f>
        <v/>
      </c>
      <c r="AB2358" s="79" t="str">
        <f>IF(AND(OR(LEFT(TH!N2358,2)="15",LEFT(TH!O2358,2)="15"),LEFT(TH!O2358,3)&lt;&gt;"111",'152-CT'!$J$8=TH!F2358),"x","")</f>
        <v/>
      </c>
      <c r="AC2358" s="79" t="str">
        <f>IF(AND(OR(LEFT(TH!N2358,2)="15",LEFT(TH!O2358,2)="15"),TK!$E$7=TH!F2358),"x","")</f>
        <v/>
      </c>
      <c r="AD2358" s="79" t="str">
        <f>IF(AND(N2358="1521",MONTH(C2358)='BK-NL'!$M$11),"x","")</f>
        <v/>
      </c>
    </row>
    <row r="2359" spans="1:30" ht="16.5" customHeight="1">
      <c r="A2359" s="318" t="str">
        <f>IF(B2359&lt;&gt;"",IF(AND(B2359='IN-TC'!$S$4,OR(TH!N2359="1111",TH!O2359="1111")),TH!D2359,""),"")</f>
        <v/>
      </c>
      <c r="B2359" s="60" t="str">
        <f t="shared" si="239"/>
        <v/>
      </c>
      <c r="C2359" s="301"/>
      <c r="D2359" s="301"/>
      <c r="E2359" s="301"/>
      <c r="F2359" s="69"/>
      <c r="G2359" s="968"/>
      <c r="H2359" s="303"/>
      <c r="I2359" s="385"/>
      <c r="J2359" s="969"/>
      <c r="K2359" s="385"/>
      <c r="L2359" s="392"/>
      <c r="M2359" s="970"/>
      <c r="N2359" s="304"/>
      <c r="O2359" s="304"/>
      <c r="P2359" s="79" t="str">
        <f>IF(AND('331-CT'!$E$7=TH!H2359,OR(N2359="331",O2359="331")),"x","")</f>
        <v/>
      </c>
      <c r="Q2359" s="79" t="str">
        <f>IF(AND(B2359='111'!$L$11,OR($N2359=$Q$7,$O2359=$Q$7)),"x","")</f>
        <v/>
      </c>
      <c r="R2359" s="79" t="str">
        <f>IF(AND($N2359=$Q$7,$B2359&lt;'111'!$L$11),"x","")</f>
        <v/>
      </c>
      <c r="S2359" s="79" t="str">
        <f>IF(AND($O2359=$Q$7,$B2359&lt;'111'!$L$11),"x","")</f>
        <v/>
      </c>
      <c r="T2359" s="79" t="str">
        <f>IF(ISERROR(FIND('112'!$M$9,G2359,1)),"",IF((AND(FIND('112'!$M$9,G2359,1)&gt;=1,B2359='112'!$K$9,OR($N2359='112'!$I$6,$O2359='112'!$I$6))),"x",""))</f>
        <v/>
      </c>
      <c r="U2359" s="79" t="str">
        <f>IF(ISERROR(FIND('112'!$M$9,G2359,1)),"",IF((AND(LEFT(G2359,2)=LEFT('112'!$M$9,2),B2359&lt;'112'!$K$9,$N2359='112'!$I$6)),"x",""))</f>
        <v/>
      </c>
      <c r="V2359" s="79" t="str">
        <f>IF(ISERROR(FIND('112'!$M$9,G2359,1)),"",IF((AND(RIGHT(G2359,2)=RIGHT('112'!$M$9,2),B2359&lt;'112'!$K$9,$O2359='112'!$I$6)),"x",""))</f>
        <v/>
      </c>
      <c r="W2359" s="79" t="str">
        <f>IF(AND('341-CT'!$H$9=H2359,OR(LEFT(N2359,3)=$W$7,LEFT(O2359,3)=$W$7)),"x","")</f>
        <v/>
      </c>
      <c r="X2359" s="79" t="str">
        <f>IF(OR(TH!N2359=TH!$X$7,O2359=TH!$X$7),"x","")</f>
        <v/>
      </c>
      <c r="Y2359" s="79" t="str">
        <f>IF(AND(OR(N2359="131",O2359="131"),H2359='131-CT'!$H$9),"x","")</f>
        <v/>
      </c>
      <c r="Z2359" s="79"/>
      <c r="AA2359" s="79" t="str">
        <f>IF(AND(MONTH(E2359)='IN-NX'!$J$5,'IN-NX'!$D$7=D2359),"x","")</f>
        <v/>
      </c>
      <c r="AB2359" s="79" t="str">
        <f>IF(AND(OR(LEFT(TH!N2359,2)="15",LEFT(TH!O2359,2)="15"),LEFT(TH!O2359,3)&lt;&gt;"111",'152-CT'!$J$8=TH!F2359),"x","")</f>
        <v/>
      </c>
      <c r="AC2359" s="79" t="str">
        <f>IF(AND(OR(LEFT(TH!N2359,2)="15",LEFT(TH!O2359,2)="15"),TK!$E$7=TH!F2359),"x","")</f>
        <v/>
      </c>
      <c r="AD2359" s="79" t="str">
        <f>IF(AND(N2359="1521",MONTH(C2359)='BK-NL'!$M$11),"x","")</f>
        <v/>
      </c>
    </row>
    <row r="2360" spans="1:30" ht="16.5" customHeight="1">
      <c r="A2360" s="318" t="str">
        <f>IF(B2360&lt;&gt;"",IF(AND(B2360='IN-TC'!$S$4,OR(TH!N2360="1111",TH!O2360="1111")),TH!D2360,""),"")</f>
        <v/>
      </c>
      <c r="B2360" s="60" t="str">
        <f t="shared" si="239"/>
        <v/>
      </c>
      <c r="C2360" s="301"/>
      <c r="D2360" s="301"/>
      <c r="E2360" s="301"/>
      <c r="F2360" s="69"/>
      <c r="G2360" s="968"/>
      <c r="H2360" s="303"/>
      <c r="I2360" s="385"/>
      <c r="J2360" s="969"/>
      <c r="K2360" s="385"/>
      <c r="L2360" s="392"/>
      <c r="M2360" s="970"/>
      <c r="N2360" s="304"/>
      <c r="O2360" s="304"/>
      <c r="P2360" s="79" t="str">
        <f>IF(AND('331-CT'!$E$7=TH!H2360,OR(N2360="331",O2360="331")),"x","")</f>
        <v/>
      </c>
      <c r="Q2360" s="79" t="str">
        <f>IF(AND(B2360='111'!$L$11,OR($N2360=$Q$7,$O2360=$Q$7)),"x","")</f>
        <v/>
      </c>
      <c r="R2360" s="79" t="str">
        <f>IF(AND($N2360=$Q$7,$B2360&lt;'111'!$L$11),"x","")</f>
        <v/>
      </c>
      <c r="S2360" s="79" t="str">
        <f>IF(AND($O2360=$Q$7,$B2360&lt;'111'!$L$11),"x","")</f>
        <v/>
      </c>
      <c r="T2360" s="79" t="str">
        <f>IF(ISERROR(FIND('112'!$M$9,G2360,1)),"",IF((AND(FIND('112'!$M$9,G2360,1)&gt;=1,B2360='112'!$K$9,OR($N2360='112'!$I$6,$O2360='112'!$I$6))),"x",""))</f>
        <v/>
      </c>
      <c r="U2360" s="79" t="str">
        <f>IF(ISERROR(FIND('112'!$M$9,G2360,1)),"",IF((AND(LEFT(G2360,2)=LEFT('112'!$M$9,2),B2360&lt;'112'!$K$9,$N2360='112'!$I$6)),"x",""))</f>
        <v/>
      </c>
      <c r="V2360" s="79" t="str">
        <f>IF(ISERROR(FIND('112'!$M$9,G2360,1)),"",IF((AND(RIGHT(G2360,2)=RIGHT('112'!$M$9,2),B2360&lt;'112'!$K$9,$O2360='112'!$I$6)),"x",""))</f>
        <v/>
      </c>
      <c r="W2360" s="79" t="str">
        <f>IF(AND('341-CT'!$H$9=H2360,OR(LEFT(N2360,3)=$W$7,LEFT(O2360,3)=$W$7)),"x","")</f>
        <v/>
      </c>
      <c r="X2360" s="79" t="str">
        <f>IF(OR(TH!N2360=TH!$X$7,O2360=TH!$X$7),"x","")</f>
        <v/>
      </c>
      <c r="Y2360" s="79" t="str">
        <f>IF(AND(OR(N2360="131",O2360="131"),H2360='131-CT'!$H$9),"x","")</f>
        <v/>
      </c>
      <c r="Z2360" s="79"/>
      <c r="AA2360" s="79" t="str">
        <f>IF(AND(MONTH(E2360)='IN-NX'!$J$5,'IN-NX'!$D$7=D2360),"x","")</f>
        <v/>
      </c>
      <c r="AB2360" s="79" t="str">
        <f>IF(AND(OR(LEFT(TH!N2360,2)="15",LEFT(TH!O2360,2)="15"),LEFT(TH!O2360,3)&lt;&gt;"111",'152-CT'!$J$8=TH!F2360),"x","")</f>
        <v/>
      </c>
      <c r="AC2360" s="79" t="str">
        <f>IF(AND(OR(LEFT(TH!N2360,2)="15",LEFT(TH!O2360,2)="15"),TK!$E$7=TH!F2360),"x","")</f>
        <v/>
      </c>
      <c r="AD2360" s="79" t="str">
        <f>IF(AND(N2360="1521",MONTH(C2360)='BK-NL'!$M$11),"x","")</f>
        <v/>
      </c>
    </row>
    <row r="2361" spans="1:30" ht="16.5" customHeight="1">
      <c r="A2361" s="318" t="str">
        <f>IF(B2361&lt;&gt;"",IF(AND(B2361='IN-TC'!$S$4,OR(TH!N2361="1111",TH!O2361="1111")),TH!D2361,""),"")</f>
        <v/>
      </c>
      <c r="B2361" s="60" t="str">
        <f t="shared" si="239"/>
        <v/>
      </c>
      <c r="C2361" s="974"/>
      <c r="D2361" s="301"/>
      <c r="E2361" s="974"/>
      <c r="F2361" s="77"/>
      <c r="G2361" s="976"/>
      <c r="H2361" s="305"/>
      <c r="I2361" s="383"/>
      <c r="J2361" s="977"/>
      <c r="K2361" s="383"/>
      <c r="L2361" s="390"/>
      <c r="M2361" s="978"/>
      <c r="N2361" s="979"/>
      <c r="O2361" s="979"/>
      <c r="P2361" s="79" t="str">
        <f>IF(AND('331-CT'!$E$7=TH!H2361,OR(N2361="331",O2361="331")),"x","")</f>
        <v/>
      </c>
      <c r="Q2361" s="79" t="str">
        <f>IF(AND(B2361='111'!$L$11,OR($N2361=$Q$7,$O2361=$Q$7)),"x","")</f>
        <v/>
      </c>
      <c r="R2361" s="79" t="str">
        <f>IF(AND($N2361=$Q$7,$B2361&lt;'111'!$L$11),"x","")</f>
        <v/>
      </c>
      <c r="S2361" s="79" t="str">
        <f>IF(AND($O2361=$Q$7,$B2361&lt;'111'!$L$11),"x","")</f>
        <v/>
      </c>
      <c r="T2361" s="79" t="str">
        <f>IF(ISERROR(FIND('112'!$M$9,G2361,1)),"",IF((AND(FIND('112'!$M$9,G2361,1)&gt;=1,B2361='112'!$K$9,OR($N2361='112'!$I$6,$O2361='112'!$I$6))),"x",""))</f>
        <v/>
      </c>
      <c r="U2361" s="79" t="str">
        <f>IF(ISERROR(FIND('112'!$M$9,G2361,1)),"",IF((AND(LEFT(G2361,2)=LEFT('112'!$M$9,2),B2361&lt;'112'!$K$9,$N2361='112'!$I$6)),"x",""))</f>
        <v/>
      </c>
      <c r="V2361" s="79" t="str">
        <f>IF(ISERROR(FIND('112'!$M$9,G2361,1)),"",IF((AND(RIGHT(G2361,2)=RIGHT('112'!$M$9,2),B2361&lt;'112'!$K$9,$O2361='112'!$I$6)),"x",""))</f>
        <v/>
      </c>
      <c r="W2361" s="79" t="str">
        <f>IF(AND('341-CT'!$H$9=H2361,OR(LEFT(N2361,3)=$W$7,LEFT(O2361,3)=$W$7)),"x","")</f>
        <v/>
      </c>
      <c r="X2361" s="79" t="str">
        <f>IF(OR(TH!N2361=TH!$X$7,O2361=TH!$X$7),"x","")</f>
        <v/>
      </c>
      <c r="Y2361" s="79" t="str">
        <f>IF(AND(OR(N2361="131",O2361="131"),H2361='131-CT'!$H$9),"x","")</f>
        <v/>
      </c>
      <c r="Z2361" s="79"/>
      <c r="AA2361" s="79" t="str">
        <f>IF(AND(MONTH(E2361)='IN-NX'!$J$5,'IN-NX'!$D$7=D2361),"x","")</f>
        <v/>
      </c>
      <c r="AB2361" s="79" t="str">
        <f>IF(AND(OR(LEFT(TH!N2361,2)="15",LEFT(TH!O2361,2)="15"),LEFT(TH!O2361,3)&lt;&gt;"111",'152-CT'!$J$8=TH!F2361),"x","")</f>
        <v/>
      </c>
      <c r="AC2361" s="79" t="str">
        <f>IF(AND(OR(LEFT(TH!N2361,2)="15",LEFT(TH!O2361,2)="15"),TK!$E$7=TH!F2361),"x","")</f>
        <v/>
      </c>
      <c r="AD2361" s="79" t="str">
        <f>IF(AND(N2361="1521",MONTH(C2361)='BK-NL'!$M$11),"x","")</f>
        <v/>
      </c>
    </row>
    <row r="2362" spans="1:30" ht="16.5" customHeight="1">
      <c r="A2362" s="318" t="str">
        <f>IF(B2362&lt;&gt;"",IF(AND(B2362='IN-TC'!$S$4,OR(TH!N2362="1111",TH!O2362="1111")),TH!D2362,""),"")</f>
        <v/>
      </c>
      <c r="B2362" s="60" t="str">
        <f t="shared" si="239"/>
        <v/>
      </c>
      <c r="C2362" s="974"/>
      <c r="D2362" s="301"/>
      <c r="E2362" s="974"/>
      <c r="F2362" s="77"/>
      <c r="G2362" s="976"/>
      <c r="H2362" s="305"/>
      <c r="I2362" s="383"/>
      <c r="J2362" s="977"/>
      <c r="K2362" s="383"/>
      <c r="L2362" s="390"/>
      <c r="M2362" s="978"/>
      <c r="N2362" s="979"/>
      <c r="O2362" s="979"/>
      <c r="P2362" s="79" t="str">
        <f>IF(AND('331-CT'!$E$7=TH!H2362,OR(N2362="331",O2362="331")),"x","")</f>
        <v/>
      </c>
      <c r="Q2362" s="79" t="str">
        <f>IF(AND(B2362='111'!$L$11,OR($N2362=$Q$7,$O2362=$Q$7)),"x","")</f>
        <v/>
      </c>
      <c r="R2362" s="79" t="str">
        <f>IF(AND($N2362=$Q$7,$B2362&lt;'111'!$L$11),"x","")</f>
        <v/>
      </c>
      <c r="S2362" s="79" t="str">
        <f>IF(AND($O2362=$Q$7,$B2362&lt;'111'!$L$11),"x","")</f>
        <v/>
      </c>
      <c r="T2362" s="79" t="str">
        <f>IF(ISERROR(FIND('112'!$M$9,G2362,1)),"",IF((AND(FIND('112'!$M$9,G2362,1)&gt;=1,B2362='112'!$K$9,OR($N2362='112'!$I$6,$O2362='112'!$I$6))),"x",""))</f>
        <v/>
      </c>
      <c r="U2362" s="79" t="str">
        <f>IF(ISERROR(FIND('112'!$M$9,G2362,1)),"",IF((AND(LEFT(G2362,2)=LEFT('112'!$M$9,2),B2362&lt;'112'!$K$9,$N2362='112'!$I$6)),"x",""))</f>
        <v/>
      </c>
      <c r="V2362" s="79" t="str">
        <f>IF(ISERROR(FIND('112'!$M$9,G2362,1)),"",IF((AND(RIGHT(G2362,2)=RIGHT('112'!$M$9,2),B2362&lt;'112'!$K$9,$O2362='112'!$I$6)),"x",""))</f>
        <v/>
      </c>
      <c r="W2362" s="79" t="str">
        <f>IF(AND('341-CT'!$H$9=H2362,OR(LEFT(N2362,3)=$W$7,LEFT(O2362,3)=$W$7)),"x","")</f>
        <v/>
      </c>
      <c r="X2362" s="79" t="str">
        <f>IF(OR(TH!N2362=TH!$X$7,O2362=TH!$X$7),"x","")</f>
        <v/>
      </c>
      <c r="Y2362" s="79" t="str">
        <f>IF(AND(OR(N2362="131",O2362="131"),H2362='131-CT'!$H$9),"x","")</f>
        <v/>
      </c>
      <c r="Z2362" s="79"/>
      <c r="AA2362" s="79" t="str">
        <f>IF(AND(MONTH(E2362)='IN-NX'!$J$5,'IN-NX'!$D$7=D2362),"x","")</f>
        <v/>
      </c>
      <c r="AB2362" s="79" t="str">
        <f>IF(AND(OR(LEFT(TH!N2362,2)="15",LEFT(TH!O2362,2)="15"),LEFT(TH!O2362,3)&lt;&gt;"111",'152-CT'!$J$8=TH!F2362),"x","")</f>
        <v/>
      </c>
      <c r="AC2362" s="79" t="str">
        <f>IF(AND(OR(LEFT(TH!N2362,2)="15",LEFT(TH!O2362,2)="15"),TK!$E$7=TH!F2362),"x","")</f>
        <v/>
      </c>
      <c r="AD2362" s="79" t="str">
        <f>IF(AND(N2362="1521",MONTH(C2362)='BK-NL'!$M$11),"x","")</f>
        <v/>
      </c>
    </row>
    <row r="2363" spans="1:30" ht="16.5" customHeight="1">
      <c r="A2363" s="318" t="str">
        <f>IF(B2363&lt;&gt;"",IF(AND(B2363='IN-TC'!$S$4,OR(TH!N2363="1111",TH!O2363="1111")),TH!D2363,""),"")</f>
        <v/>
      </c>
      <c r="B2363" s="60" t="str">
        <f t="shared" si="239"/>
        <v/>
      </c>
      <c r="C2363" s="301"/>
      <c r="D2363" s="301"/>
      <c r="E2363" s="301"/>
      <c r="F2363" s="64"/>
      <c r="G2363" s="766"/>
      <c r="H2363" s="321"/>
      <c r="I2363" s="385"/>
      <c r="J2363" s="392"/>
      <c r="K2363" s="385"/>
      <c r="L2363" s="392"/>
      <c r="M2363" s="62"/>
      <c r="N2363" s="63"/>
      <c r="O2363" s="979"/>
      <c r="P2363" s="79" t="str">
        <f>IF(AND('331-CT'!$E$7=TH!H2363,OR(N2363="331",O2363="331")),"x","")</f>
        <v/>
      </c>
      <c r="Q2363" s="79" t="str">
        <f>IF(AND(B2363='111'!$L$11,OR($N2363=$Q$7,$O2363=$Q$7)),"x","")</f>
        <v/>
      </c>
      <c r="R2363" s="79" t="str">
        <f>IF(AND($N2363=$Q$7,$B2363&lt;'111'!$L$11),"x","")</f>
        <v/>
      </c>
      <c r="S2363" s="79" t="str">
        <f>IF(AND($O2363=$Q$7,$B2363&lt;'111'!$L$11),"x","")</f>
        <v/>
      </c>
      <c r="T2363" s="79" t="str">
        <f>IF(ISERROR(FIND('112'!$M$9,G2363,1)),"",IF((AND(FIND('112'!$M$9,G2363,1)&gt;=1,B2363='112'!$K$9,OR($N2363='112'!$I$6,$O2363='112'!$I$6))),"x",""))</f>
        <v/>
      </c>
      <c r="U2363" s="79" t="str">
        <f>IF(ISERROR(FIND('112'!$M$9,G2363,1)),"",IF((AND(LEFT(G2363,2)=LEFT('112'!$M$9,2),B2363&lt;'112'!$K$9,$N2363='112'!$I$6)),"x",""))</f>
        <v/>
      </c>
      <c r="V2363" s="79" t="str">
        <f>IF(ISERROR(FIND('112'!$M$9,G2363,1)),"",IF((AND(RIGHT(G2363,2)=RIGHT('112'!$M$9,2),B2363&lt;'112'!$K$9,$O2363='112'!$I$6)),"x",""))</f>
        <v/>
      </c>
      <c r="W2363" s="79" t="str">
        <f>IF(AND('341-CT'!$H$9=H2363,OR(LEFT(N2363,3)=$W$7,LEFT(O2363,3)=$W$7)),"x","")</f>
        <v/>
      </c>
      <c r="X2363" s="79" t="str">
        <f>IF(OR(TH!N2363=TH!$X$7,O2363=TH!$X$7),"x","")</f>
        <v/>
      </c>
      <c r="Y2363" s="79" t="str">
        <f>IF(AND(OR(N2363="131",O2363="131"),H2363='131-CT'!$H$9),"x","")</f>
        <v/>
      </c>
      <c r="Z2363" s="79"/>
      <c r="AA2363" s="79" t="str">
        <f>IF(AND(MONTH(E2363)='IN-NX'!$J$5,'IN-NX'!$D$7=D2363),"x","")</f>
        <v/>
      </c>
      <c r="AB2363" s="79" t="str">
        <f>IF(AND(OR(LEFT(TH!N2363,2)="15",LEFT(TH!O2363,2)="15"),LEFT(TH!O2363,3)&lt;&gt;"111",'152-CT'!$J$8=TH!F2363),"x","")</f>
        <v/>
      </c>
      <c r="AC2363" s="79" t="str">
        <f>IF(AND(OR(LEFT(TH!N2363,2)="15",LEFT(TH!O2363,2)="15"),TK!$E$7=TH!F2363),"x","")</f>
        <v/>
      </c>
      <c r="AD2363" s="79" t="str">
        <f>IF(AND(N2363="1521",MONTH(C2363)='BK-NL'!$M$11),"x","")</f>
        <v/>
      </c>
    </row>
    <row r="2364" spans="1:30" ht="16.5" customHeight="1">
      <c r="A2364" s="318" t="str">
        <f>IF(B2364&lt;&gt;"",IF(AND(B2364='IN-TC'!$S$4,OR(TH!N2364="1111",TH!O2364="1111")),TH!D2364,""),"")</f>
        <v/>
      </c>
      <c r="B2364" s="60" t="str">
        <f t="shared" si="239"/>
        <v/>
      </c>
      <c r="C2364" s="301"/>
      <c r="D2364" s="301"/>
      <c r="E2364" s="301"/>
      <c r="F2364" s="64"/>
      <c r="G2364" s="766"/>
      <c r="H2364" s="321"/>
      <c r="I2364" s="385"/>
      <c r="J2364" s="392"/>
      <c r="K2364" s="385"/>
      <c r="L2364" s="392"/>
      <c r="M2364" s="62"/>
      <c r="N2364" s="63"/>
      <c r="O2364" s="979"/>
      <c r="P2364" s="79" t="str">
        <f>IF(AND('331-CT'!$E$7=TH!H2364,OR(N2364="331",O2364="331")),"x","")</f>
        <v/>
      </c>
      <c r="Q2364" s="79" t="str">
        <f>IF(AND(B2364='111'!$L$11,OR($N2364=$Q$7,$O2364=$Q$7)),"x","")</f>
        <v/>
      </c>
      <c r="R2364" s="79" t="str">
        <f>IF(AND($N2364=$Q$7,$B2364&lt;'111'!$L$11),"x","")</f>
        <v/>
      </c>
      <c r="S2364" s="79" t="str">
        <f>IF(AND($O2364=$Q$7,$B2364&lt;'111'!$L$11),"x","")</f>
        <v/>
      </c>
      <c r="T2364" s="79" t="str">
        <f>IF(ISERROR(FIND('112'!$M$9,G2364,1)),"",IF((AND(FIND('112'!$M$9,G2364,1)&gt;=1,B2364='112'!$K$9,OR($N2364='112'!$I$6,$O2364='112'!$I$6))),"x",""))</f>
        <v/>
      </c>
      <c r="U2364" s="79" t="str">
        <f>IF(ISERROR(FIND('112'!$M$9,G2364,1)),"",IF((AND(LEFT(G2364,2)=LEFT('112'!$M$9,2),B2364&lt;'112'!$K$9,$N2364='112'!$I$6)),"x",""))</f>
        <v/>
      </c>
      <c r="V2364" s="79" t="str">
        <f>IF(ISERROR(FIND('112'!$M$9,G2364,1)),"",IF((AND(RIGHT(G2364,2)=RIGHT('112'!$M$9,2),B2364&lt;'112'!$K$9,$O2364='112'!$I$6)),"x",""))</f>
        <v/>
      </c>
      <c r="W2364" s="79" t="str">
        <f>IF(AND('341-CT'!$H$9=H2364,OR(LEFT(N2364,3)=$W$7,LEFT(O2364,3)=$W$7)),"x","")</f>
        <v/>
      </c>
      <c r="X2364" s="79" t="str">
        <f>IF(OR(TH!N2364=TH!$X$7,O2364=TH!$X$7),"x","")</f>
        <v/>
      </c>
      <c r="Y2364" s="79" t="str">
        <f>IF(AND(OR(N2364="131",O2364="131"),H2364='131-CT'!$H$9),"x","")</f>
        <v/>
      </c>
      <c r="Z2364" s="79"/>
      <c r="AA2364" s="79" t="str">
        <f>IF(AND(MONTH(E2364)='IN-NX'!$J$5,'IN-NX'!$D$7=D2364),"x","")</f>
        <v/>
      </c>
      <c r="AB2364" s="79" t="str">
        <f>IF(AND(OR(LEFT(TH!N2364,2)="15",LEFT(TH!O2364,2)="15"),LEFT(TH!O2364,3)&lt;&gt;"111",'152-CT'!$J$8=TH!F2364),"x","")</f>
        <v/>
      </c>
      <c r="AC2364" s="79" t="str">
        <f>IF(AND(OR(LEFT(TH!N2364,2)="15",LEFT(TH!O2364,2)="15"),TK!$E$7=TH!F2364),"x","")</f>
        <v/>
      </c>
      <c r="AD2364" s="79" t="str">
        <f>IF(AND(N2364="1521",MONTH(C2364)='BK-NL'!$M$11),"x","")</f>
        <v/>
      </c>
    </row>
    <row r="2365" spans="1:30" ht="16.5" customHeight="1">
      <c r="A2365" s="318" t="str">
        <f>IF(B2365&lt;&gt;"",IF(AND(B2365='IN-TC'!$S$4,OR(TH!N2365="1111",TH!O2365="1111")),TH!D2365,""),"")</f>
        <v/>
      </c>
      <c r="B2365" s="60" t="str">
        <f t="shared" si="239"/>
        <v/>
      </c>
      <c r="C2365" s="301"/>
      <c r="D2365" s="301"/>
      <c r="E2365" s="301"/>
      <c r="F2365" s="64"/>
      <c r="G2365" s="766"/>
      <c r="H2365" s="321"/>
      <c r="I2365" s="385"/>
      <c r="J2365" s="392"/>
      <c r="K2365" s="385"/>
      <c r="L2365" s="392"/>
      <c r="M2365" s="62"/>
      <c r="N2365" s="63"/>
      <c r="O2365" s="304"/>
      <c r="P2365" s="79" t="str">
        <f>IF(AND('331-CT'!$E$7=TH!H2365,OR(N2365="331",O2365="331")),"x","")</f>
        <v/>
      </c>
      <c r="Q2365" s="79" t="str">
        <f>IF(AND(B2365='111'!$L$11,OR($N2365=$Q$7,$O2365=$Q$7)),"x","")</f>
        <v/>
      </c>
      <c r="R2365" s="79" t="str">
        <f>IF(AND($N2365=$Q$7,$B2365&lt;'111'!$L$11),"x","")</f>
        <v/>
      </c>
      <c r="S2365" s="79" t="str">
        <f>IF(AND($O2365=$Q$7,$B2365&lt;'111'!$L$11),"x","")</f>
        <v/>
      </c>
      <c r="T2365" s="79" t="str">
        <f>IF(ISERROR(FIND('112'!$M$9,G2365,1)),"",IF((AND(FIND('112'!$M$9,G2365,1)&gt;=1,B2365='112'!$K$9,OR($N2365='112'!$I$6,$O2365='112'!$I$6))),"x",""))</f>
        <v/>
      </c>
      <c r="U2365" s="79" t="str">
        <f>IF(ISERROR(FIND('112'!$M$9,G2365,1)),"",IF((AND(LEFT(G2365,2)=LEFT('112'!$M$9,2),B2365&lt;'112'!$K$9,$N2365='112'!$I$6)),"x",""))</f>
        <v/>
      </c>
      <c r="V2365" s="79" t="str">
        <f>IF(ISERROR(FIND('112'!$M$9,G2365,1)),"",IF((AND(RIGHT(G2365,2)=RIGHT('112'!$M$9,2),B2365&lt;'112'!$K$9,$O2365='112'!$I$6)),"x",""))</f>
        <v/>
      </c>
      <c r="W2365" s="79" t="str">
        <f>IF(AND('341-CT'!$H$9=H2365,OR(LEFT(N2365,3)=$W$7,LEFT(O2365,3)=$W$7)),"x","")</f>
        <v/>
      </c>
      <c r="X2365" s="79" t="str">
        <f>IF(OR(TH!N2365=TH!$X$7,O2365=TH!$X$7),"x","")</f>
        <v/>
      </c>
      <c r="Y2365" s="79" t="str">
        <f>IF(AND(OR(N2365="131",O2365="131"),H2365='131-CT'!$H$9),"x","")</f>
        <v/>
      </c>
      <c r="Z2365" s="79"/>
      <c r="AA2365" s="79" t="str">
        <f>IF(AND(MONTH(E2365)='IN-NX'!$J$5,'IN-NX'!$D$7=D2365),"x","")</f>
        <v/>
      </c>
      <c r="AB2365" s="79" t="str">
        <f>IF(AND(OR(LEFT(TH!N2365,2)="15",LEFT(TH!O2365,2)="15"),LEFT(TH!O2365,3)&lt;&gt;"111",'152-CT'!$J$8=TH!F2365),"x","")</f>
        <v/>
      </c>
      <c r="AC2365" s="79" t="str">
        <f>IF(AND(OR(LEFT(TH!N2365,2)="15",LEFT(TH!O2365,2)="15"),TK!$E$7=TH!F2365),"x","")</f>
        <v/>
      </c>
      <c r="AD2365" s="79" t="str">
        <f>IF(AND(N2365="1521",MONTH(C2365)='BK-NL'!$M$11),"x","")</f>
        <v/>
      </c>
    </row>
    <row r="2366" spans="1:30" ht="16.5" customHeight="1">
      <c r="A2366" s="318" t="str">
        <f>IF(B2366&lt;&gt;"",IF(AND(B2366='IN-TC'!$S$4,OR(TH!N2366="1111",TH!O2366="1111")),TH!D2366,""),"")</f>
        <v/>
      </c>
      <c r="B2366" s="60" t="str">
        <f t="shared" si="239"/>
        <v/>
      </c>
      <c r="C2366" s="301"/>
      <c r="D2366" s="301"/>
      <c r="E2366" s="301"/>
      <c r="F2366" s="1162"/>
      <c r="G2366" s="968"/>
      <c r="H2366" s="303"/>
      <c r="I2366" s="385"/>
      <c r="J2366" s="969"/>
      <c r="K2366" s="385"/>
      <c r="L2366" s="392"/>
      <c r="M2366" s="970"/>
      <c r="N2366" s="304"/>
      <c r="O2366" s="304"/>
      <c r="P2366" s="79" t="str">
        <f>IF(AND('331-CT'!$E$7=TH!H2366,OR(N2366="331",O2366="331")),"x","")</f>
        <v/>
      </c>
      <c r="Q2366" s="79" t="str">
        <f>IF(AND(B2366='111'!$L$11,OR($N2366=$Q$7,$O2366=$Q$7)),"x","")</f>
        <v/>
      </c>
      <c r="R2366" s="79" t="str">
        <f>IF(AND($N2366=$Q$7,$B2366&lt;'111'!$L$11),"x","")</f>
        <v/>
      </c>
      <c r="S2366" s="79" t="str">
        <f>IF(AND($O2366=$Q$7,$B2366&lt;'111'!$L$11),"x","")</f>
        <v/>
      </c>
      <c r="T2366" s="79" t="str">
        <f>IF(ISERROR(FIND('112'!$M$9,G2366,1)),"",IF((AND(FIND('112'!$M$9,G2366,1)&gt;=1,B2366='112'!$K$9,OR($N2366='112'!$I$6,$O2366='112'!$I$6))),"x",""))</f>
        <v/>
      </c>
      <c r="U2366" s="79" t="str">
        <f>IF(ISERROR(FIND('112'!$M$9,G2366,1)),"",IF((AND(LEFT(G2366,2)=LEFT('112'!$M$9,2),B2366&lt;'112'!$K$9,$N2366='112'!$I$6)),"x",""))</f>
        <v/>
      </c>
      <c r="V2366" s="79" t="str">
        <f>IF(ISERROR(FIND('112'!$M$9,G2366,1)),"",IF((AND(RIGHT(G2366,2)=RIGHT('112'!$M$9,2),B2366&lt;'112'!$K$9,$O2366='112'!$I$6)),"x",""))</f>
        <v/>
      </c>
      <c r="W2366" s="79" t="str">
        <f>IF(AND('341-CT'!$H$9=H2366,OR(LEFT(N2366,3)=$W$7,LEFT(O2366,3)=$W$7)),"x","")</f>
        <v/>
      </c>
      <c r="X2366" s="79" t="str">
        <f>IF(OR(TH!N2366=TH!$X$7,O2366=TH!$X$7),"x","")</f>
        <v/>
      </c>
      <c r="Y2366" s="79" t="str">
        <f>IF(AND(OR(N2366="131",O2366="131"),H2366='131-CT'!$H$9),"x","")</f>
        <v/>
      </c>
      <c r="Z2366" s="79"/>
      <c r="AA2366" s="79" t="str">
        <f>IF(AND(MONTH(E2366)='IN-NX'!$J$5,'IN-NX'!$D$7=D2366),"x","")</f>
        <v/>
      </c>
      <c r="AB2366" s="79" t="str">
        <f>IF(AND(OR(LEFT(TH!N2366,2)="15",LEFT(TH!O2366,2)="15"),LEFT(TH!O2366,3)&lt;&gt;"111",'152-CT'!$J$8=TH!F2366),"x","")</f>
        <v/>
      </c>
      <c r="AC2366" s="79" t="str">
        <f>IF(AND(OR(LEFT(TH!N2366,2)="15",LEFT(TH!O2366,2)="15"),TK!$E$7=TH!F2366),"x","")</f>
        <v/>
      </c>
      <c r="AD2366" s="79" t="str">
        <f>IF(AND(N2366="1521",MONTH(C2366)='BK-NL'!$M$11),"x","")</f>
        <v/>
      </c>
    </row>
    <row r="2367" spans="1:30" ht="16.5" customHeight="1">
      <c r="A2367" s="318" t="str">
        <f>IF(B2367&lt;&gt;"",IF(AND(B2367='IN-TC'!$S$4,OR(TH!N2367="1111",TH!O2367="1111")),TH!D2367,""),"")</f>
        <v/>
      </c>
      <c r="B2367" s="60" t="str">
        <f t="shared" si="239"/>
        <v/>
      </c>
      <c r="C2367" s="301"/>
      <c r="D2367" s="301"/>
      <c r="E2367" s="301"/>
      <c r="F2367" s="1162"/>
      <c r="G2367" s="968"/>
      <c r="H2367" s="303"/>
      <c r="I2367" s="385"/>
      <c r="J2367" s="969"/>
      <c r="K2367" s="385"/>
      <c r="L2367" s="392"/>
      <c r="M2367" s="970"/>
      <c r="N2367" s="304"/>
      <c r="O2367" s="304"/>
      <c r="P2367" s="79" t="str">
        <f>IF(AND('331-CT'!$E$7=TH!H2367,OR(N2367="331",O2367="331")),"x","")</f>
        <v/>
      </c>
      <c r="Q2367" s="79" t="str">
        <f>IF(AND(B2367='111'!$L$11,OR($N2367=$Q$7,$O2367=$Q$7)),"x","")</f>
        <v/>
      </c>
      <c r="R2367" s="79" t="str">
        <f>IF(AND($N2367=$Q$7,$B2367&lt;'111'!$L$11),"x","")</f>
        <v/>
      </c>
      <c r="S2367" s="79" t="str">
        <f>IF(AND($O2367=$Q$7,$B2367&lt;'111'!$L$11),"x","")</f>
        <v/>
      </c>
      <c r="T2367" s="79" t="str">
        <f>IF(ISERROR(FIND('112'!$M$9,G2367,1)),"",IF((AND(FIND('112'!$M$9,G2367,1)&gt;=1,B2367='112'!$K$9,OR($N2367='112'!$I$6,$O2367='112'!$I$6))),"x",""))</f>
        <v/>
      </c>
      <c r="U2367" s="79" t="str">
        <f>IF(ISERROR(FIND('112'!$M$9,G2367,1)),"",IF((AND(LEFT(G2367,2)=LEFT('112'!$M$9,2),B2367&lt;'112'!$K$9,$N2367='112'!$I$6)),"x",""))</f>
        <v/>
      </c>
      <c r="V2367" s="79" t="str">
        <f>IF(ISERROR(FIND('112'!$M$9,G2367,1)),"",IF((AND(RIGHT(G2367,2)=RIGHT('112'!$M$9,2),B2367&lt;'112'!$K$9,$O2367='112'!$I$6)),"x",""))</f>
        <v/>
      </c>
      <c r="W2367" s="79" t="str">
        <f>IF(AND('341-CT'!$H$9=H2367,OR(LEFT(N2367,3)=$W$7,LEFT(O2367,3)=$W$7)),"x","")</f>
        <v/>
      </c>
      <c r="X2367" s="79" t="str">
        <f>IF(OR(TH!N2367=TH!$X$7,O2367=TH!$X$7),"x","")</f>
        <v/>
      </c>
      <c r="Y2367" s="79" t="str">
        <f>IF(AND(OR(N2367="131",O2367="131"),H2367='131-CT'!$H$9),"x","")</f>
        <v/>
      </c>
      <c r="Z2367" s="79"/>
      <c r="AA2367" s="79" t="str">
        <f>IF(AND(MONTH(E2367)='IN-NX'!$J$5,'IN-NX'!$D$7=D2367),"x","")</f>
        <v/>
      </c>
      <c r="AB2367" s="79" t="str">
        <f>IF(AND(OR(LEFT(TH!N2367,2)="15",LEFT(TH!O2367,2)="15"),LEFT(TH!O2367,3)&lt;&gt;"111",'152-CT'!$J$8=TH!F2367),"x","")</f>
        <v/>
      </c>
      <c r="AC2367" s="79" t="str">
        <f>IF(AND(OR(LEFT(TH!N2367,2)="15",LEFT(TH!O2367,2)="15"),TK!$E$7=TH!F2367),"x","")</f>
        <v/>
      </c>
      <c r="AD2367" s="79" t="str">
        <f>IF(AND(N2367="1521",MONTH(C2367)='BK-NL'!$M$11),"x","")</f>
        <v/>
      </c>
    </row>
    <row r="2368" spans="1:30" ht="16.5" customHeight="1">
      <c r="A2368" s="318" t="str">
        <f>IF(B2368&lt;&gt;"",IF(AND(B2368='IN-TC'!$S$4,OR(TH!N2368="1111",TH!O2368="1111")),TH!D2368,""),"")</f>
        <v/>
      </c>
      <c r="B2368" s="60" t="str">
        <f t="shared" si="239"/>
        <v/>
      </c>
      <c r="C2368" s="301"/>
      <c r="D2368" s="301"/>
      <c r="E2368" s="301"/>
      <c r="F2368" s="1162"/>
      <c r="G2368" s="968"/>
      <c r="H2368" s="303"/>
      <c r="I2368" s="385"/>
      <c r="J2368" s="969"/>
      <c r="K2368" s="385"/>
      <c r="L2368" s="392"/>
      <c r="M2368" s="970"/>
      <c r="N2368" s="304"/>
      <c r="O2368" s="304"/>
      <c r="P2368" s="79" t="str">
        <f>IF(AND('331-CT'!$E$7=TH!H2368,OR(N2368="331",O2368="331")),"x","")</f>
        <v/>
      </c>
      <c r="Q2368" s="79" t="str">
        <f>IF(AND(B2368='111'!$L$11,OR($N2368=$Q$7,$O2368=$Q$7)),"x","")</f>
        <v/>
      </c>
      <c r="R2368" s="79" t="str">
        <f>IF(AND($N2368=$Q$7,$B2368&lt;'111'!$L$11),"x","")</f>
        <v/>
      </c>
      <c r="S2368" s="79" t="str">
        <f>IF(AND($O2368=$Q$7,$B2368&lt;'111'!$L$11),"x","")</f>
        <v/>
      </c>
      <c r="T2368" s="79" t="str">
        <f>IF(ISERROR(FIND('112'!$M$9,G2368,1)),"",IF((AND(FIND('112'!$M$9,G2368,1)&gt;=1,B2368='112'!$K$9,OR($N2368='112'!$I$6,$O2368='112'!$I$6))),"x",""))</f>
        <v/>
      </c>
      <c r="U2368" s="79" t="str">
        <f>IF(ISERROR(FIND('112'!$M$9,G2368,1)),"",IF((AND(LEFT(G2368,2)=LEFT('112'!$M$9,2),B2368&lt;'112'!$K$9,$N2368='112'!$I$6)),"x",""))</f>
        <v/>
      </c>
      <c r="V2368" s="79" t="str">
        <f>IF(ISERROR(FIND('112'!$M$9,G2368,1)),"",IF((AND(RIGHT(G2368,2)=RIGHT('112'!$M$9,2),B2368&lt;'112'!$K$9,$O2368='112'!$I$6)),"x",""))</f>
        <v/>
      </c>
      <c r="W2368" s="79" t="str">
        <f>IF(AND('341-CT'!$H$9=H2368,OR(LEFT(N2368,3)=$W$7,LEFT(O2368,3)=$W$7)),"x","")</f>
        <v/>
      </c>
      <c r="X2368" s="79" t="str">
        <f>IF(OR(TH!N2368=TH!$X$7,O2368=TH!$X$7),"x","")</f>
        <v/>
      </c>
      <c r="Y2368" s="79" t="str">
        <f>IF(AND(OR(N2368="131",O2368="131"),H2368='131-CT'!$H$9),"x","")</f>
        <v/>
      </c>
      <c r="Z2368" s="79"/>
      <c r="AA2368" s="79" t="str">
        <f>IF(AND(MONTH(E2368)='IN-NX'!$J$5,'IN-NX'!$D$7=D2368),"x","")</f>
        <v/>
      </c>
      <c r="AB2368" s="79" t="str">
        <f>IF(AND(OR(LEFT(TH!N2368,2)="15",LEFT(TH!O2368,2)="15"),LEFT(TH!O2368,3)&lt;&gt;"111",'152-CT'!$J$8=TH!F2368),"x","")</f>
        <v/>
      </c>
      <c r="AC2368" s="79" t="str">
        <f>IF(AND(OR(LEFT(TH!N2368,2)="15",LEFT(TH!O2368,2)="15"),TK!$E$7=TH!F2368),"x","")</f>
        <v/>
      </c>
      <c r="AD2368" s="79" t="str">
        <f>IF(AND(N2368="1521",MONTH(C2368)='BK-NL'!$M$11),"x","")</f>
        <v/>
      </c>
    </row>
    <row r="2369" spans="1:30" ht="16.5" customHeight="1">
      <c r="A2369" s="318" t="str">
        <f>IF(B2369&lt;&gt;"",IF(AND(B2369='IN-TC'!$S$4,OR(TH!N2369="1111",TH!O2369="1111")),TH!D2369,""),"")</f>
        <v/>
      </c>
      <c r="B2369" s="60" t="str">
        <f t="shared" si="239"/>
        <v/>
      </c>
      <c r="C2369" s="301"/>
      <c r="D2369" s="301"/>
      <c r="E2369" s="301"/>
      <c r="F2369" s="1162"/>
      <c r="G2369" s="968"/>
      <c r="H2369" s="303"/>
      <c r="I2369" s="385"/>
      <c r="J2369" s="969"/>
      <c r="K2369" s="385"/>
      <c r="L2369" s="392"/>
      <c r="M2369" s="970"/>
      <c r="N2369" s="304"/>
      <c r="O2369" s="304"/>
      <c r="P2369" s="79" t="str">
        <f>IF(AND('331-CT'!$E$7=TH!H2369,OR(N2369="331",O2369="331")),"x","")</f>
        <v/>
      </c>
      <c r="Q2369" s="79" t="str">
        <f>IF(AND(B2369='111'!$L$11,OR($N2369=$Q$7,$O2369=$Q$7)),"x","")</f>
        <v/>
      </c>
      <c r="R2369" s="79" t="str">
        <f>IF(AND($N2369=$Q$7,$B2369&lt;'111'!$L$11),"x","")</f>
        <v/>
      </c>
      <c r="S2369" s="79" t="str">
        <f>IF(AND($O2369=$Q$7,$B2369&lt;'111'!$L$11),"x","")</f>
        <v/>
      </c>
      <c r="T2369" s="79" t="str">
        <f>IF(ISERROR(FIND('112'!$M$9,G2369,1)),"",IF((AND(FIND('112'!$M$9,G2369,1)&gt;=1,B2369='112'!$K$9,OR($N2369='112'!$I$6,$O2369='112'!$I$6))),"x",""))</f>
        <v/>
      </c>
      <c r="U2369" s="79" t="str">
        <f>IF(ISERROR(FIND('112'!$M$9,G2369,1)),"",IF((AND(LEFT(G2369,2)=LEFT('112'!$M$9,2),B2369&lt;'112'!$K$9,$N2369='112'!$I$6)),"x",""))</f>
        <v/>
      </c>
      <c r="V2369" s="79" t="str">
        <f>IF(ISERROR(FIND('112'!$M$9,G2369,1)),"",IF((AND(RIGHT(G2369,2)=RIGHT('112'!$M$9,2),B2369&lt;'112'!$K$9,$O2369='112'!$I$6)),"x",""))</f>
        <v/>
      </c>
      <c r="W2369" s="79" t="str">
        <f>IF(AND('341-CT'!$H$9=H2369,OR(LEFT(N2369,3)=$W$7,LEFT(O2369,3)=$W$7)),"x","")</f>
        <v/>
      </c>
      <c r="X2369" s="79" t="str">
        <f>IF(OR(TH!N2369=TH!$X$7,O2369=TH!$X$7),"x","")</f>
        <v/>
      </c>
      <c r="Y2369" s="79" t="str">
        <f>IF(AND(OR(N2369="131",O2369="131"),H2369='131-CT'!$H$9),"x","")</f>
        <v/>
      </c>
      <c r="Z2369" s="79"/>
      <c r="AA2369" s="79" t="str">
        <f>IF(AND(MONTH(E2369)='IN-NX'!$J$5,'IN-NX'!$D$7=D2369),"x","")</f>
        <v/>
      </c>
      <c r="AB2369" s="79" t="str">
        <f>IF(AND(OR(LEFT(TH!N2369,2)="15",LEFT(TH!O2369,2)="15"),LEFT(TH!O2369,3)&lt;&gt;"111",'152-CT'!$J$8=TH!F2369),"x","")</f>
        <v/>
      </c>
      <c r="AC2369" s="79" t="str">
        <f>IF(AND(OR(LEFT(TH!N2369,2)="15",LEFT(TH!O2369,2)="15"),TK!$E$7=TH!F2369),"x","")</f>
        <v/>
      </c>
      <c r="AD2369" s="79" t="str">
        <f>IF(AND(N2369="1521",MONTH(C2369)='BK-NL'!$M$11),"x","")</f>
        <v/>
      </c>
    </row>
    <row r="2370" spans="1:30" ht="16.5" customHeight="1">
      <c r="A2370" s="318" t="str">
        <f>IF(B2370&lt;&gt;"",IF(AND(B2370='IN-TC'!$S$4,OR(TH!N2370="1111",TH!O2370="1111")),TH!D2370,""),"")</f>
        <v/>
      </c>
      <c r="B2370" s="60" t="str">
        <f t="shared" si="239"/>
        <v/>
      </c>
      <c r="C2370" s="301"/>
      <c r="D2370" s="301"/>
      <c r="E2370" s="301"/>
      <c r="F2370" s="1162"/>
      <c r="G2370" s="968"/>
      <c r="H2370" s="303"/>
      <c r="I2370" s="385"/>
      <c r="J2370" s="969"/>
      <c r="K2370" s="385"/>
      <c r="L2370" s="392"/>
      <c r="M2370" s="970"/>
      <c r="N2370" s="304"/>
      <c r="O2370" s="304"/>
      <c r="P2370" s="79" t="str">
        <f>IF(AND('331-CT'!$E$7=TH!H2370,OR(N2370="331",O2370="331")),"x","")</f>
        <v/>
      </c>
      <c r="Q2370" s="79" t="str">
        <f>IF(AND(B2370='111'!$L$11,OR($N2370=$Q$7,$O2370=$Q$7)),"x","")</f>
        <v/>
      </c>
      <c r="R2370" s="79" t="str">
        <f>IF(AND($N2370=$Q$7,$B2370&lt;'111'!$L$11),"x","")</f>
        <v/>
      </c>
      <c r="S2370" s="79" t="str">
        <f>IF(AND($O2370=$Q$7,$B2370&lt;'111'!$L$11),"x","")</f>
        <v/>
      </c>
      <c r="T2370" s="79" t="str">
        <f>IF(ISERROR(FIND('112'!$M$9,G2370,1)),"",IF((AND(FIND('112'!$M$9,G2370,1)&gt;=1,B2370='112'!$K$9,OR($N2370='112'!$I$6,$O2370='112'!$I$6))),"x",""))</f>
        <v/>
      </c>
      <c r="U2370" s="79" t="str">
        <f>IF(ISERROR(FIND('112'!$M$9,G2370,1)),"",IF((AND(LEFT(G2370,2)=LEFT('112'!$M$9,2),B2370&lt;'112'!$K$9,$N2370='112'!$I$6)),"x",""))</f>
        <v/>
      </c>
      <c r="V2370" s="79" t="str">
        <f>IF(ISERROR(FIND('112'!$M$9,G2370,1)),"",IF((AND(RIGHT(G2370,2)=RIGHT('112'!$M$9,2),B2370&lt;'112'!$K$9,$O2370='112'!$I$6)),"x",""))</f>
        <v/>
      </c>
      <c r="W2370" s="79" t="str">
        <f>IF(AND('341-CT'!$H$9=H2370,OR(LEFT(N2370,3)=$W$7,LEFT(O2370,3)=$W$7)),"x","")</f>
        <v/>
      </c>
      <c r="X2370" s="79" t="str">
        <f>IF(OR(TH!N2370=TH!$X$7,O2370=TH!$X$7),"x","")</f>
        <v/>
      </c>
      <c r="Y2370" s="79" t="str">
        <f>IF(AND(OR(N2370="131",O2370="131"),H2370='131-CT'!$H$9),"x","")</f>
        <v/>
      </c>
      <c r="Z2370" s="79"/>
      <c r="AA2370" s="79" t="str">
        <f>IF(AND(MONTH(E2370)='IN-NX'!$J$5,'IN-NX'!$D$7=D2370),"x","")</f>
        <v/>
      </c>
      <c r="AB2370" s="79" t="str">
        <f>IF(AND(OR(LEFT(TH!N2370,2)="15",LEFT(TH!O2370,2)="15"),LEFT(TH!O2370,3)&lt;&gt;"111",'152-CT'!$J$8=TH!F2370),"x","")</f>
        <v/>
      </c>
      <c r="AC2370" s="79" t="str">
        <f>IF(AND(OR(LEFT(TH!N2370,2)="15",LEFT(TH!O2370,2)="15"),TK!$E$7=TH!F2370),"x","")</f>
        <v/>
      </c>
      <c r="AD2370" s="79" t="str">
        <f>IF(AND(N2370="1521",MONTH(C2370)='BK-NL'!$M$11),"x","")</f>
        <v/>
      </c>
    </row>
    <row r="2371" spans="1:30" ht="16.5" customHeight="1">
      <c r="A2371" s="318" t="str">
        <f>IF(B2371&lt;&gt;"",IF(AND(B2371='IN-TC'!$S$4,OR(TH!N2371="1111",TH!O2371="1111")),TH!D2371,""),"")</f>
        <v/>
      </c>
      <c r="B2371" s="60" t="str">
        <f t="shared" si="239"/>
        <v/>
      </c>
      <c r="C2371" s="301"/>
      <c r="D2371" s="301"/>
      <c r="E2371" s="301"/>
      <c r="F2371" s="1162"/>
      <c r="G2371" s="968"/>
      <c r="H2371" s="303"/>
      <c r="I2371" s="385"/>
      <c r="J2371" s="969"/>
      <c r="K2371" s="385"/>
      <c r="L2371" s="392"/>
      <c r="M2371" s="970"/>
      <c r="N2371" s="304"/>
      <c r="O2371" s="304"/>
      <c r="P2371" s="79" t="str">
        <f>IF(AND('331-CT'!$E$7=TH!H2371,OR(N2371="331",O2371="331")),"x","")</f>
        <v/>
      </c>
      <c r="Q2371" s="79" t="str">
        <f>IF(AND(B2371='111'!$L$11,OR($N2371=$Q$7,$O2371=$Q$7)),"x","")</f>
        <v/>
      </c>
      <c r="R2371" s="79" t="str">
        <f>IF(AND($N2371=$Q$7,$B2371&lt;'111'!$L$11),"x","")</f>
        <v/>
      </c>
      <c r="S2371" s="79" t="str">
        <f>IF(AND($O2371=$Q$7,$B2371&lt;'111'!$L$11),"x","")</f>
        <v/>
      </c>
      <c r="T2371" s="79" t="str">
        <f>IF(ISERROR(FIND('112'!$M$9,G2371,1)),"",IF((AND(FIND('112'!$M$9,G2371,1)&gt;=1,B2371='112'!$K$9,OR($N2371='112'!$I$6,$O2371='112'!$I$6))),"x",""))</f>
        <v/>
      </c>
      <c r="U2371" s="79" t="str">
        <f>IF(ISERROR(FIND('112'!$M$9,G2371,1)),"",IF((AND(LEFT(G2371,2)=LEFT('112'!$M$9,2),B2371&lt;'112'!$K$9,$N2371='112'!$I$6)),"x",""))</f>
        <v/>
      </c>
      <c r="V2371" s="79" t="str">
        <f>IF(ISERROR(FIND('112'!$M$9,G2371,1)),"",IF((AND(RIGHT(G2371,2)=RIGHT('112'!$M$9,2),B2371&lt;'112'!$K$9,$O2371='112'!$I$6)),"x",""))</f>
        <v/>
      </c>
      <c r="W2371" s="79" t="str">
        <f>IF(AND('341-CT'!$H$9=H2371,OR(LEFT(N2371,3)=$W$7,LEFT(O2371,3)=$W$7)),"x","")</f>
        <v/>
      </c>
      <c r="X2371" s="79" t="str">
        <f>IF(OR(TH!N2371=TH!$X$7,O2371=TH!$X$7),"x","")</f>
        <v/>
      </c>
      <c r="Y2371" s="79" t="str">
        <f>IF(AND(OR(N2371="131",O2371="131"),H2371='131-CT'!$H$9),"x","")</f>
        <v/>
      </c>
      <c r="Z2371" s="79"/>
      <c r="AA2371" s="79" t="str">
        <f>IF(AND(MONTH(E2371)='IN-NX'!$J$5,'IN-NX'!$D$7=D2371),"x","")</f>
        <v/>
      </c>
      <c r="AB2371" s="79" t="str">
        <f>IF(AND(OR(LEFT(TH!N2371,2)="15",LEFT(TH!O2371,2)="15"),LEFT(TH!O2371,3)&lt;&gt;"111",'152-CT'!$J$8=TH!F2371),"x","")</f>
        <v/>
      </c>
      <c r="AC2371" s="79" t="str">
        <f>IF(AND(OR(LEFT(TH!N2371,2)="15",LEFT(TH!O2371,2)="15"),TK!$E$7=TH!F2371),"x","")</f>
        <v/>
      </c>
      <c r="AD2371" s="79" t="str">
        <f>IF(AND(N2371="1521",MONTH(C2371)='BK-NL'!$M$11),"x","")</f>
        <v/>
      </c>
    </row>
    <row r="2372" spans="1:30" ht="16.5" customHeight="1">
      <c r="A2372" s="318" t="str">
        <f>IF(B2372&lt;&gt;"",IF(AND(B2372='IN-TC'!$S$4,OR(TH!N2372="1111",TH!O2372="1111")),TH!D2372,""),"")</f>
        <v/>
      </c>
      <c r="B2372" s="60" t="str">
        <f t="shared" si="239"/>
        <v/>
      </c>
      <c r="C2372" s="301"/>
      <c r="D2372" s="301"/>
      <c r="E2372" s="301"/>
      <c r="F2372" s="1162"/>
      <c r="G2372" s="968"/>
      <c r="H2372" s="303"/>
      <c r="I2372" s="385"/>
      <c r="J2372" s="969"/>
      <c r="K2372" s="385"/>
      <c r="L2372" s="392"/>
      <c r="M2372" s="970"/>
      <c r="N2372" s="304"/>
      <c r="O2372" s="304"/>
      <c r="P2372" s="79" t="str">
        <f>IF(AND('331-CT'!$E$7=TH!H2372,OR(N2372="331",O2372="331")),"x","")</f>
        <v/>
      </c>
      <c r="Q2372" s="79" t="str">
        <f>IF(AND(B2372='111'!$L$11,OR($N2372=$Q$7,$O2372=$Q$7)),"x","")</f>
        <v/>
      </c>
      <c r="R2372" s="79" t="str">
        <f>IF(AND($N2372=$Q$7,$B2372&lt;'111'!$L$11),"x","")</f>
        <v/>
      </c>
      <c r="S2372" s="79" t="str">
        <f>IF(AND($O2372=$Q$7,$B2372&lt;'111'!$L$11),"x","")</f>
        <v/>
      </c>
      <c r="T2372" s="79" t="str">
        <f>IF(ISERROR(FIND('112'!$M$9,G2372,1)),"",IF((AND(FIND('112'!$M$9,G2372,1)&gt;=1,B2372='112'!$K$9,OR($N2372='112'!$I$6,$O2372='112'!$I$6))),"x",""))</f>
        <v/>
      </c>
      <c r="U2372" s="79" t="str">
        <f>IF(ISERROR(FIND('112'!$M$9,G2372,1)),"",IF((AND(LEFT(G2372,2)=LEFT('112'!$M$9,2),B2372&lt;'112'!$K$9,$N2372='112'!$I$6)),"x",""))</f>
        <v/>
      </c>
      <c r="V2372" s="79" t="str">
        <f>IF(ISERROR(FIND('112'!$M$9,G2372,1)),"",IF((AND(RIGHT(G2372,2)=RIGHT('112'!$M$9,2),B2372&lt;'112'!$K$9,$O2372='112'!$I$6)),"x",""))</f>
        <v/>
      </c>
      <c r="W2372" s="79" t="str">
        <f>IF(AND('341-CT'!$H$9=H2372,OR(LEFT(N2372,3)=$W$7,LEFT(O2372,3)=$W$7)),"x","")</f>
        <v/>
      </c>
      <c r="X2372" s="79" t="str">
        <f>IF(OR(TH!N2372=TH!$X$7,O2372=TH!$X$7),"x","")</f>
        <v/>
      </c>
      <c r="Y2372" s="79" t="str">
        <f>IF(AND(OR(N2372="131",O2372="131"),H2372='131-CT'!$H$9),"x","")</f>
        <v/>
      </c>
      <c r="Z2372" s="79"/>
      <c r="AA2372" s="79" t="str">
        <f>IF(AND(MONTH(E2372)='IN-NX'!$J$5,'IN-NX'!$D$7=D2372),"x","")</f>
        <v/>
      </c>
      <c r="AB2372" s="79" t="str">
        <f>IF(AND(OR(LEFT(TH!N2372,2)="15",LEFT(TH!O2372,2)="15"),LEFT(TH!O2372,3)&lt;&gt;"111",'152-CT'!$J$8=TH!F2372),"x","")</f>
        <v/>
      </c>
      <c r="AC2372" s="79" t="str">
        <f>IF(AND(OR(LEFT(TH!N2372,2)="15",LEFT(TH!O2372,2)="15"),TK!$E$7=TH!F2372),"x","")</f>
        <v/>
      </c>
      <c r="AD2372" s="79" t="str">
        <f>IF(AND(N2372="1521",MONTH(C2372)='BK-NL'!$M$11),"x","")</f>
        <v/>
      </c>
    </row>
    <row r="2373" spans="1:30" ht="16.5" customHeight="1">
      <c r="A2373" s="318" t="str">
        <f>IF(B2373&lt;&gt;"",IF(AND(B2373='IN-TC'!$S$4,OR(TH!N2373="1111",TH!O2373="1111")),TH!D2373,""),"")</f>
        <v/>
      </c>
      <c r="B2373" s="60" t="str">
        <f t="shared" si="239"/>
        <v/>
      </c>
      <c r="C2373" s="301"/>
      <c r="D2373" s="301"/>
      <c r="E2373" s="301"/>
      <c r="F2373" s="1162"/>
      <c r="G2373" s="968"/>
      <c r="H2373" s="303"/>
      <c r="I2373" s="385"/>
      <c r="J2373" s="969"/>
      <c r="K2373" s="385"/>
      <c r="L2373" s="392"/>
      <c r="M2373" s="970"/>
      <c r="N2373" s="304"/>
      <c r="O2373" s="304"/>
      <c r="P2373" s="79" t="str">
        <f>IF(AND('331-CT'!$E$7=TH!H2373,OR(N2373="331",O2373="331")),"x","")</f>
        <v/>
      </c>
      <c r="Q2373" s="79" t="str">
        <f>IF(AND(B2373='111'!$L$11,OR($N2373=$Q$7,$O2373=$Q$7)),"x","")</f>
        <v/>
      </c>
      <c r="R2373" s="79" t="str">
        <f>IF(AND($N2373=$Q$7,$B2373&lt;'111'!$L$11),"x","")</f>
        <v/>
      </c>
      <c r="S2373" s="79" t="str">
        <f>IF(AND($O2373=$Q$7,$B2373&lt;'111'!$L$11),"x","")</f>
        <v/>
      </c>
      <c r="T2373" s="79" t="str">
        <f>IF(ISERROR(FIND('112'!$M$9,G2373,1)),"",IF((AND(FIND('112'!$M$9,G2373,1)&gt;=1,B2373='112'!$K$9,OR($N2373='112'!$I$6,$O2373='112'!$I$6))),"x",""))</f>
        <v/>
      </c>
      <c r="U2373" s="79" t="str">
        <f>IF(ISERROR(FIND('112'!$M$9,G2373,1)),"",IF((AND(LEFT(G2373,2)=LEFT('112'!$M$9,2),B2373&lt;'112'!$K$9,$N2373='112'!$I$6)),"x",""))</f>
        <v/>
      </c>
      <c r="V2373" s="79" t="str">
        <f>IF(ISERROR(FIND('112'!$M$9,G2373,1)),"",IF((AND(RIGHT(G2373,2)=RIGHT('112'!$M$9,2),B2373&lt;'112'!$K$9,$O2373='112'!$I$6)),"x",""))</f>
        <v/>
      </c>
      <c r="W2373" s="79" t="str">
        <f>IF(AND('341-CT'!$H$9=H2373,OR(LEFT(N2373,3)=$W$7,LEFT(O2373,3)=$W$7)),"x","")</f>
        <v/>
      </c>
      <c r="X2373" s="79" t="str">
        <f>IF(OR(TH!N2373=TH!$X$7,O2373=TH!$X$7),"x","")</f>
        <v/>
      </c>
      <c r="Y2373" s="79" t="str">
        <f>IF(AND(OR(N2373="131",O2373="131"),H2373='131-CT'!$H$9),"x","")</f>
        <v/>
      </c>
      <c r="Z2373" s="79"/>
      <c r="AA2373" s="79" t="str">
        <f>IF(AND(MONTH(E2373)='IN-NX'!$J$5,'IN-NX'!$D$7=D2373),"x","")</f>
        <v/>
      </c>
      <c r="AB2373" s="79" t="str">
        <f>IF(AND(OR(LEFT(TH!N2373,2)="15",LEFT(TH!O2373,2)="15"),LEFT(TH!O2373,3)&lt;&gt;"111",'152-CT'!$J$8=TH!F2373),"x","")</f>
        <v/>
      </c>
      <c r="AC2373" s="79" t="str">
        <f>IF(AND(OR(LEFT(TH!N2373,2)="15",LEFT(TH!O2373,2)="15"),TK!$E$7=TH!F2373),"x","")</f>
        <v/>
      </c>
      <c r="AD2373" s="79" t="str">
        <f>IF(AND(N2373="1521",MONTH(C2373)='BK-NL'!$M$11),"x","")</f>
        <v/>
      </c>
    </row>
    <row r="2374" spans="1:30" ht="16.5" customHeight="1">
      <c r="A2374" s="318" t="str">
        <f>IF(B2374&lt;&gt;"",IF(AND(B2374='IN-TC'!$S$4,OR(TH!N2374="1111",TH!O2374="1111")),TH!D2374,""),"")</f>
        <v/>
      </c>
      <c r="B2374" s="60" t="str">
        <f t="shared" si="239"/>
        <v/>
      </c>
      <c r="C2374" s="301"/>
      <c r="D2374" s="301"/>
      <c r="E2374" s="301"/>
      <c r="F2374" s="1162"/>
      <c r="G2374" s="968"/>
      <c r="H2374" s="303"/>
      <c r="I2374" s="385"/>
      <c r="J2374" s="969"/>
      <c r="K2374" s="385"/>
      <c r="L2374" s="392"/>
      <c r="M2374" s="970"/>
      <c r="N2374" s="304"/>
      <c r="O2374" s="304"/>
      <c r="P2374" s="79" t="str">
        <f>IF(AND('331-CT'!$E$7=TH!H2374,OR(N2374="331",O2374="331")),"x","")</f>
        <v/>
      </c>
      <c r="Q2374" s="79" t="str">
        <f>IF(AND(B2374='111'!$L$11,OR($N2374=$Q$7,$O2374=$Q$7)),"x","")</f>
        <v/>
      </c>
      <c r="R2374" s="79" t="str">
        <f>IF(AND($N2374=$Q$7,$B2374&lt;'111'!$L$11),"x","")</f>
        <v/>
      </c>
      <c r="S2374" s="79" t="str">
        <f>IF(AND($O2374=$Q$7,$B2374&lt;'111'!$L$11),"x","")</f>
        <v/>
      </c>
      <c r="T2374" s="79" t="str">
        <f>IF(ISERROR(FIND('112'!$M$9,G2374,1)),"",IF((AND(FIND('112'!$M$9,G2374,1)&gt;=1,B2374='112'!$K$9,OR($N2374='112'!$I$6,$O2374='112'!$I$6))),"x",""))</f>
        <v/>
      </c>
      <c r="U2374" s="79" t="str">
        <f>IF(ISERROR(FIND('112'!$M$9,G2374,1)),"",IF((AND(LEFT(G2374,2)=LEFT('112'!$M$9,2),B2374&lt;'112'!$K$9,$N2374='112'!$I$6)),"x",""))</f>
        <v/>
      </c>
      <c r="V2374" s="79" t="str">
        <f>IF(ISERROR(FIND('112'!$M$9,G2374,1)),"",IF((AND(RIGHT(G2374,2)=RIGHT('112'!$M$9,2),B2374&lt;'112'!$K$9,$O2374='112'!$I$6)),"x",""))</f>
        <v/>
      </c>
      <c r="W2374" s="79" t="str">
        <f>IF(AND('341-CT'!$H$9=H2374,OR(LEFT(N2374,3)=$W$7,LEFT(O2374,3)=$W$7)),"x","")</f>
        <v/>
      </c>
      <c r="X2374" s="79" t="str">
        <f>IF(OR(TH!N2374=TH!$X$7,O2374=TH!$X$7),"x","")</f>
        <v/>
      </c>
      <c r="Y2374" s="79" t="str">
        <f>IF(AND(OR(N2374="131",O2374="131"),H2374='131-CT'!$H$9),"x","")</f>
        <v/>
      </c>
      <c r="Z2374" s="79"/>
      <c r="AA2374" s="79" t="str">
        <f>IF(AND(MONTH(E2374)='IN-NX'!$J$5,'IN-NX'!$D$7=D2374),"x","")</f>
        <v/>
      </c>
      <c r="AB2374" s="79" t="str">
        <f>IF(AND(OR(LEFT(TH!N2374,2)="15",LEFT(TH!O2374,2)="15"),LEFT(TH!O2374,3)&lt;&gt;"111",'152-CT'!$J$8=TH!F2374),"x","")</f>
        <v/>
      </c>
      <c r="AC2374" s="79" t="str">
        <f>IF(AND(OR(LEFT(TH!N2374,2)="15",LEFT(TH!O2374,2)="15"),TK!$E$7=TH!F2374),"x","")</f>
        <v/>
      </c>
      <c r="AD2374" s="79" t="str">
        <f>IF(AND(N2374="1521",MONTH(C2374)='BK-NL'!$M$11),"x","")</f>
        <v/>
      </c>
    </row>
    <row r="2375" spans="1:30" ht="16.5" customHeight="1">
      <c r="A2375" s="318" t="str">
        <f>IF(B2375&lt;&gt;"",IF(AND(B2375='IN-TC'!$S$4,OR(TH!N2375="1111",TH!O2375="1111")),TH!D2375,""),"")</f>
        <v/>
      </c>
      <c r="B2375" s="60" t="str">
        <f t="shared" si="239"/>
        <v/>
      </c>
      <c r="C2375" s="301"/>
      <c r="D2375" s="301"/>
      <c r="E2375" s="301"/>
      <c r="F2375" s="1162"/>
      <c r="G2375" s="968"/>
      <c r="H2375" s="303"/>
      <c r="I2375" s="385"/>
      <c r="J2375" s="969"/>
      <c r="K2375" s="385"/>
      <c r="L2375" s="392"/>
      <c r="M2375" s="970"/>
      <c r="N2375" s="304"/>
      <c r="O2375" s="304"/>
      <c r="P2375" s="79" t="str">
        <f>IF(AND('331-CT'!$E$7=TH!H2375,OR(N2375="331",O2375="331")),"x","")</f>
        <v/>
      </c>
      <c r="Q2375" s="79" t="str">
        <f>IF(AND(B2375='111'!$L$11,OR($N2375=$Q$7,$O2375=$Q$7)),"x","")</f>
        <v/>
      </c>
      <c r="R2375" s="79" t="str">
        <f>IF(AND($N2375=$Q$7,$B2375&lt;'111'!$L$11),"x","")</f>
        <v/>
      </c>
      <c r="S2375" s="79" t="str">
        <f>IF(AND($O2375=$Q$7,$B2375&lt;'111'!$L$11),"x","")</f>
        <v/>
      </c>
      <c r="T2375" s="79" t="str">
        <f>IF(ISERROR(FIND('112'!$M$9,G2375,1)),"",IF((AND(FIND('112'!$M$9,G2375,1)&gt;=1,B2375='112'!$K$9,OR($N2375='112'!$I$6,$O2375='112'!$I$6))),"x",""))</f>
        <v/>
      </c>
      <c r="U2375" s="79" t="str">
        <f>IF(ISERROR(FIND('112'!$M$9,G2375,1)),"",IF((AND(LEFT(G2375,2)=LEFT('112'!$M$9,2),B2375&lt;'112'!$K$9,$N2375='112'!$I$6)),"x",""))</f>
        <v/>
      </c>
      <c r="V2375" s="79" t="str">
        <f>IF(ISERROR(FIND('112'!$M$9,G2375,1)),"",IF((AND(RIGHT(G2375,2)=RIGHT('112'!$M$9,2),B2375&lt;'112'!$K$9,$O2375='112'!$I$6)),"x",""))</f>
        <v/>
      </c>
      <c r="W2375" s="79" t="str">
        <f>IF(AND('341-CT'!$H$9=H2375,OR(LEFT(N2375,3)=$W$7,LEFT(O2375,3)=$W$7)),"x","")</f>
        <v/>
      </c>
      <c r="X2375" s="79" t="str">
        <f>IF(OR(TH!N2375=TH!$X$7,O2375=TH!$X$7),"x","")</f>
        <v/>
      </c>
      <c r="Y2375" s="79" t="str">
        <f>IF(AND(OR(N2375="131",O2375="131"),H2375='131-CT'!$H$9),"x","")</f>
        <v/>
      </c>
      <c r="Z2375" s="79"/>
      <c r="AA2375" s="79" t="str">
        <f>IF(AND(MONTH(E2375)='IN-NX'!$J$5,'IN-NX'!$D$7=D2375),"x","")</f>
        <v/>
      </c>
      <c r="AB2375" s="79" t="str">
        <f>IF(AND(OR(LEFT(TH!N2375,2)="15",LEFT(TH!O2375,2)="15"),LEFT(TH!O2375,3)&lt;&gt;"111",'152-CT'!$J$8=TH!F2375),"x","")</f>
        <v/>
      </c>
      <c r="AC2375" s="79" t="str">
        <f>IF(AND(OR(LEFT(TH!N2375,2)="15",LEFT(TH!O2375,2)="15"),TK!$E$7=TH!F2375),"x","")</f>
        <v/>
      </c>
      <c r="AD2375" s="79" t="str">
        <f>IF(AND(N2375="1521",MONTH(C2375)='BK-NL'!$M$11),"x","")</f>
        <v/>
      </c>
    </row>
    <row r="2376" spans="1:30" ht="16.5" customHeight="1">
      <c r="A2376" s="318" t="str">
        <f>IF(B2376&lt;&gt;"",IF(AND(B2376='IN-TC'!$S$4,OR(TH!N2376="1111",TH!O2376="1111")),TH!D2376,""),"")</f>
        <v/>
      </c>
      <c r="B2376" s="60" t="str">
        <f t="shared" si="239"/>
        <v/>
      </c>
      <c r="C2376" s="301"/>
      <c r="D2376" s="301"/>
      <c r="E2376" s="301"/>
      <c r="F2376" s="1162"/>
      <c r="G2376" s="968"/>
      <c r="H2376" s="303"/>
      <c r="I2376" s="385"/>
      <c r="J2376" s="969"/>
      <c r="K2376" s="385"/>
      <c r="L2376" s="392"/>
      <c r="M2376" s="970"/>
      <c r="N2376" s="304"/>
      <c r="O2376" s="304"/>
      <c r="P2376" s="79" t="str">
        <f>IF(AND('331-CT'!$E$7=TH!H2376,OR(N2376="331",O2376="331")),"x","")</f>
        <v/>
      </c>
      <c r="Q2376" s="79" t="str">
        <f>IF(AND(B2376='111'!$L$11,OR($N2376=$Q$7,$O2376=$Q$7)),"x","")</f>
        <v/>
      </c>
      <c r="R2376" s="79" t="str">
        <f>IF(AND($N2376=$Q$7,$B2376&lt;'111'!$L$11),"x","")</f>
        <v/>
      </c>
      <c r="S2376" s="79" t="str">
        <f>IF(AND($O2376=$Q$7,$B2376&lt;'111'!$L$11),"x","")</f>
        <v/>
      </c>
      <c r="T2376" s="79" t="str">
        <f>IF(ISERROR(FIND('112'!$M$9,G2376,1)),"",IF((AND(FIND('112'!$M$9,G2376,1)&gt;=1,B2376='112'!$K$9,OR($N2376='112'!$I$6,$O2376='112'!$I$6))),"x",""))</f>
        <v/>
      </c>
      <c r="U2376" s="79" t="str">
        <f>IF(ISERROR(FIND('112'!$M$9,G2376,1)),"",IF((AND(LEFT(G2376,2)=LEFT('112'!$M$9,2),B2376&lt;'112'!$K$9,$N2376='112'!$I$6)),"x",""))</f>
        <v/>
      </c>
      <c r="V2376" s="79" t="str">
        <f>IF(ISERROR(FIND('112'!$M$9,G2376,1)),"",IF((AND(RIGHT(G2376,2)=RIGHT('112'!$M$9,2),B2376&lt;'112'!$K$9,$O2376='112'!$I$6)),"x",""))</f>
        <v/>
      </c>
      <c r="W2376" s="79" t="str">
        <f>IF(AND('341-CT'!$H$9=H2376,OR(LEFT(N2376,3)=$W$7,LEFT(O2376,3)=$W$7)),"x","")</f>
        <v/>
      </c>
      <c r="X2376" s="79" t="str">
        <f>IF(OR(TH!N2376=TH!$X$7,O2376=TH!$X$7),"x","")</f>
        <v/>
      </c>
      <c r="Y2376" s="79" t="str">
        <f>IF(AND(OR(N2376="131",O2376="131"),H2376='131-CT'!$H$9),"x","")</f>
        <v/>
      </c>
      <c r="Z2376" s="79"/>
      <c r="AA2376" s="79" t="str">
        <f>IF(AND(MONTH(E2376)='IN-NX'!$J$5,'IN-NX'!$D$7=D2376),"x","")</f>
        <v/>
      </c>
      <c r="AB2376" s="79" t="str">
        <f>IF(AND(OR(LEFT(TH!N2376,2)="15",LEFT(TH!O2376,2)="15"),LEFT(TH!O2376,3)&lt;&gt;"111",'152-CT'!$J$8=TH!F2376),"x","")</f>
        <v/>
      </c>
      <c r="AC2376" s="79" t="str">
        <f>IF(AND(OR(LEFT(TH!N2376,2)="15",LEFT(TH!O2376,2)="15"),TK!$E$7=TH!F2376),"x","")</f>
        <v/>
      </c>
      <c r="AD2376" s="79" t="str">
        <f>IF(AND(N2376="1521",MONTH(C2376)='BK-NL'!$M$11),"x","")</f>
        <v/>
      </c>
    </row>
    <row r="2377" spans="1:30" ht="16.5" customHeight="1">
      <c r="A2377" s="318" t="str">
        <f>IF(B2377&lt;&gt;"",IF(AND(B2377='IN-TC'!$S$4,OR(TH!N2377="1111",TH!O2377="1111")),TH!D2377,""),"")</f>
        <v/>
      </c>
      <c r="B2377" s="60" t="str">
        <f t="shared" si="239"/>
        <v/>
      </c>
      <c r="C2377" s="301"/>
      <c r="D2377" s="301"/>
      <c r="E2377" s="301"/>
      <c r="F2377" s="1162"/>
      <c r="G2377" s="968"/>
      <c r="H2377" s="303"/>
      <c r="I2377" s="385"/>
      <c r="J2377" s="969"/>
      <c r="K2377" s="385"/>
      <c r="L2377" s="392"/>
      <c r="M2377" s="970"/>
      <c r="N2377" s="304"/>
      <c r="O2377" s="304"/>
      <c r="P2377" s="79" t="str">
        <f>IF(AND('331-CT'!$E$7=TH!H2377,OR(N2377="331",O2377="331")),"x","")</f>
        <v/>
      </c>
      <c r="Q2377" s="79" t="str">
        <f>IF(AND(B2377='111'!$L$11,OR($N2377=$Q$7,$O2377=$Q$7)),"x","")</f>
        <v/>
      </c>
      <c r="R2377" s="79" t="str">
        <f>IF(AND($N2377=$Q$7,$B2377&lt;'111'!$L$11),"x","")</f>
        <v/>
      </c>
      <c r="S2377" s="79" t="str">
        <f>IF(AND($O2377=$Q$7,$B2377&lt;'111'!$L$11),"x","")</f>
        <v/>
      </c>
      <c r="T2377" s="79" t="str">
        <f>IF(ISERROR(FIND('112'!$M$9,G2377,1)),"",IF((AND(FIND('112'!$M$9,G2377,1)&gt;=1,B2377='112'!$K$9,OR($N2377='112'!$I$6,$O2377='112'!$I$6))),"x",""))</f>
        <v/>
      </c>
      <c r="U2377" s="79" t="str">
        <f>IF(ISERROR(FIND('112'!$M$9,G2377,1)),"",IF((AND(LEFT(G2377,2)=LEFT('112'!$M$9,2),B2377&lt;'112'!$K$9,$N2377='112'!$I$6)),"x",""))</f>
        <v/>
      </c>
      <c r="V2377" s="79" t="str">
        <f>IF(ISERROR(FIND('112'!$M$9,G2377,1)),"",IF((AND(RIGHT(G2377,2)=RIGHT('112'!$M$9,2),B2377&lt;'112'!$K$9,$O2377='112'!$I$6)),"x",""))</f>
        <v/>
      </c>
      <c r="W2377" s="79" t="str">
        <f>IF(AND('341-CT'!$H$9=H2377,OR(LEFT(N2377,3)=$W$7,LEFT(O2377,3)=$W$7)),"x","")</f>
        <v/>
      </c>
      <c r="X2377" s="79" t="str">
        <f>IF(OR(TH!N2377=TH!$X$7,O2377=TH!$X$7),"x","")</f>
        <v/>
      </c>
      <c r="Y2377" s="79" t="str">
        <f>IF(AND(OR(N2377="131",O2377="131"),H2377='131-CT'!$H$9),"x","")</f>
        <v/>
      </c>
      <c r="Z2377" s="79"/>
      <c r="AA2377" s="79" t="str">
        <f>IF(AND(MONTH(E2377)='IN-NX'!$J$5,'IN-NX'!$D$7=D2377),"x","")</f>
        <v/>
      </c>
      <c r="AB2377" s="79" t="str">
        <f>IF(AND(OR(LEFT(TH!N2377,2)="15",LEFT(TH!O2377,2)="15"),LEFT(TH!O2377,3)&lt;&gt;"111",'152-CT'!$J$8=TH!F2377),"x","")</f>
        <v/>
      </c>
      <c r="AC2377" s="79" t="str">
        <f>IF(AND(OR(LEFT(TH!N2377,2)="15",LEFT(TH!O2377,2)="15"),TK!$E$7=TH!F2377),"x","")</f>
        <v/>
      </c>
      <c r="AD2377" s="79" t="str">
        <f>IF(AND(N2377="1521",MONTH(C2377)='BK-NL'!$M$11),"x","")</f>
        <v/>
      </c>
    </row>
    <row r="2378" spans="1:30" ht="16.5" customHeight="1">
      <c r="A2378" s="318" t="str">
        <f>IF(B2378&lt;&gt;"",IF(AND(B2378='IN-TC'!$S$4,OR(TH!N2378="1111",TH!O2378="1111")),TH!D2378,""),"")</f>
        <v/>
      </c>
      <c r="B2378" s="60" t="str">
        <f t="shared" si="239"/>
        <v/>
      </c>
      <c r="C2378" s="301"/>
      <c r="D2378" s="301"/>
      <c r="E2378" s="301"/>
      <c r="F2378" s="1162"/>
      <c r="G2378" s="968"/>
      <c r="H2378" s="303"/>
      <c r="I2378" s="385"/>
      <c r="J2378" s="969"/>
      <c r="K2378" s="385"/>
      <c r="L2378" s="392"/>
      <c r="M2378" s="970"/>
      <c r="N2378" s="304"/>
      <c r="O2378" s="304"/>
      <c r="P2378" s="79" t="str">
        <f>IF(AND('331-CT'!$E$7=TH!H2378,OR(N2378="331",O2378="331")),"x","")</f>
        <v/>
      </c>
      <c r="Q2378" s="79" t="str">
        <f>IF(AND(B2378='111'!$L$11,OR($N2378=$Q$7,$O2378=$Q$7)),"x","")</f>
        <v/>
      </c>
      <c r="R2378" s="79" t="str">
        <f>IF(AND($N2378=$Q$7,$B2378&lt;'111'!$L$11),"x","")</f>
        <v/>
      </c>
      <c r="S2378" s="79" t="str">
        <f>IF(AND($O2378=$Q$7,$B2378&lt;'111'!$L$11),"x","")</f>
        <v/>
      </c>
      <c r="T2378" s="79" t="str">
        <f>IF(ISERROR(FIND('112'!$M$9,G2378,1)),"",IF((AND(FIND('112'!$M$9,G2378,1)&gt;=1,B2378='112'!$K$9,OR($N2378='112'!$I$6,$O2378='112'!$I$6))),"x",""))</f>
        <v/>
      </c>
      <c r="U2378" s="79" t="str">
        <f>IF(ISERROR(FIND('112'!$M$9,G2378,1)),"",IF((AND(LEFT(G2378,2)=LEFT('112'!$M$9,2),B2378&lt;'112'!$K$9,$N2378='112'!$I$6)),"x",""))</f>
        <v/>
      </c>
      <c r="V2378" s="79" t="str">
        <f>IF(ISERROR(FIND('112'!$M$9,G2378,1)),"",IF((AND(RIGHT(G2378,2)=RIGHT('112'!$M$9,2),B2378&lt;'112'!$K$9,$O2378='112'!$I$6)),"x",""))</f>
        <v/>
      </c>
      <c r="W2378" s="79" t="str">
        <f>IF(AND('341-CT'!$H$9=H2378,OR(LEFT(N2378,3)=$W$7,LEFT(O2378,3)=$W$7)),"x","")</f>
        <v/>
      </c>
      <c r="X2378" s="79" t="str">
        <f>IF(OR(TH!N2378=TH!$X$7,O2378=TH!$X$7),"x","")</f>
        <v/>
      </c>
      <c r="Y2378" s="79" t="str">
        <f>IF(AND(OR(N2378="131",O2378="131"),H2378='131-CT'!$H$9),"x","")</f>
        <v/>
      </c>
      <c r="Z2378" s="79"/>
      <c r="AA2378" s="79" t="str">
        <f>IF(AND(MONTH(E2378)='IN-NX'!$J$5,'IN-NX'!$D$7=D2378),"x","")</f>
        <v/>
      </c>
      <c r="AB2378" s="79" t="str">
        <f>IF(AND(OR(LEFT(TH!N2378,2)="15",LEFT(TH!O2378,2)="15"),LEFT(TH!O2378,3)&lt;&gt;"111",'152-CT'!$J$8=TH!F2378),"x","")</f>
        <v/>
      </c>
      <c r="AC2378" s="79" t="str">
        <f>IF(AND(OR(LEFT(TH!N2378,2)="15",LEFT(TH!O2378,2)="15"),TK!$E$7=TH!F2378),"x","")</f>
        <v/>
      </c>
      <c r="AD2378" s="79" t="str">
        <f>IF(AND(N2378="1521",MONTH(C2378)='BK-NL'!$M$11),"x","")</f>
        <v/>
      </c>
    </row>
    <row r="2379" spans="1:30" ht="16.5" customHeight="1">
      <c r="A2379" s="318" t="str">
        <f>IF(B2379&lt;&gt;"",IF(AND(B2379='IN-TC'!$S$4,OR(TH!N2379="1111",TH!O2379="1111")),TH!D2379,""),"")</f>
        <v/>
      </c>
      <c r="B2379" s="60" t="str">
        <f t="shared" si="239"/>
        <v/>
      </c>
      <c r="C2379" s="301"/>
      <c r="D2379" s="301"/>
      <c r="E2379" s="301"/>
      <c r="F2379" s="1162"/>
      <c r="G2379" s="968"/>
      <c r="H2379" s="303"/>
      <c r="I2379" s="385"/>
      <c r="J2379" s="969"/>
      <c r="K2379" s="385"/>
      <c r="L2379" s="392"/>
      <c r="M2379" s="970"/>
      <c r="N2379" s="304"/>
      <c r="O2379" s="304"/>
      <c r="P2379" s="79" t="str">
        <f>IF(AND('331-CT'!$E$7=TH!H2379,OR(N2379="331",O2379="331")),"x","")</f>
        <v/>
      </c>
      <c r="Q2379" s="79" t="str">
        <f>IF(AND(B2379='111'!$L$11,OR($N2379=$Q$7,$O2379=$Q$7)),"x","")</f>
        <v/>
      </c>
      <c r="R2379" s="79" t="str">
        <f>IF(AND($N2379=$Q$7,$B2379&lt;'111'!$L$11),"x","")</f>
        <v/>
      </c>
      <c r="S2379" s="79" t="str">
        <f>IF(AND($O2379=$Q$7,$B2379&lt;'111'!$L$11),"x","")</f>
        <v/>
      </c>
      <c r="T2379" s="79" t="str">
        <f>IF(ISERROR(FIND('112'!$M$9,G2379,1)),"",IF((AND(FIND('112'!$M$9,G2379,1)&gt;=1,B2379='112'!$K$9,OR($N2379='112'!$I$6,$O2379='112'!$I$6))),"x",""))</f>
        <v/>
      </c>
      <c r="U2379" s="79" t="str">
        <f>IF(ISERROR(FIND('112'!$M$9,G2379,1)),"",IF((AND(LEFT(G2379,2)=LEFT('112'!$M$9,2),B2379&lt;'112'!$K$9,$N2379='112'!$I$6)),"x",""))</f>
        <v/>
      </c>
      <c r="V2379" s="79" t="str">
        <f>IF(ISERROR(FIND('112'!$M$9,G2379,1)),"",IF((AND(RIGHT(G2379,2)=RIGHT('112'!$M$9,2),B2379&lt;'112'!$K$9,$O2379='112'!$I$6)),"x",""))</f>
        <v/>
      </c>
      <c r="W2379" s="79" t="str">
        <f>IF(AND('341-CT'!$H$9=H2379,OR(LEFT(N2379,3)=$W$7,LEFT(O2379,3)=$W$7)),"x","")</f>
        <v/>
      </c>
      <c r="X2379" s="79" t="str">
        <f>IF(OR(TH!N2379=TH!$X$7,O2379=TH!$X$7),"x","")</f>
        <v/>
      </c>
      <c r="Y2379" s="79" t="str">
        <f>IF(AND(OR(N2379="131",O2379="131"),H2379='131-CT'!$H$9),"x","")</f>
        <v/>
      </c>
      <c r="Z2379" s="79"/>
      <c r="AA2379" s="79" t="str">
        <f>IF(AND(MONTH(E2379)='IN-NX'!$J$5,'IN-NX'!$D$7=D2379),"x","")</f>
        <v/>
      </c>
      <c r="AB2379" s="79" t="str">
        <f>IF(AND(OR(LEFT(TH!N2379,2)="15",LEFT(TH!O2379,2)="15"),LEFT(TH!O2379,3)&lt;&gt;"111",'152-CT'!$J$8=TH!F2379),"x","")</f>
        <v/>
      </c>
      <c r="AC2379" s="79" t="str">
        <f>IF(AND(OR(LEFT(TH!N2379,2)="15",LEFT(TH!O2379,2)="15"),TK!$E$7=TH!F2379),"x","")</f>
        <v/>
      </c>
      <c r="AD2379" s="79" t="str">
        <f>IF(AND(N2379="1521",MONTH(C2379)='BK-NL'!$M$11),"x","")</f>
        <v/>
      </c>
    </row>
    <row r="2380" spans="1:30" ht="16.5" customHeight="1">
      <c r="A2380" s="318" t="str">
        <f>IF(B2380&lt;&gt;"",IF(AND(B2380='IN-TC'!$S$4,OR(TH!N2380="1111",TH!O2380="1111")),TH!D2380,""),"")</f>
        <v/>
      </c>
      <c r="B2380" s="60" t="str">
        <f t="shared" si="239"/>
        <v/>
      </c>
      <c r="C2380" s="301"/>
      <c r="D2380" s="301"/>
      <c r="E2380" s="301"/>
      <c r="F2380" s="1162"/>
      <c r="G2380" s="968"/>
      <c r="H2380" s="303"/>
      <c r="I2380" s="385"/>
      <c r="J2380" s="969"/>
      <c r="K2380" s="385"/>
      <c r="L2380" s="392"/>
      <c r="M2380" s="970"/>
      <c r="N2380" s="304"/>
      <c r="O2380" s="304"/>
      <c r="P2380" s="79" t="str">
        <f>IF(AND('331-CT'!$E$7=TH!H2380,OR(N2380="331",O2380="331")),"x","")</f>
        <v/>
      </c>
      <c r="Q2380" s="79" t="str">
        <f>IF(AND(B2380='111'!$L$11,OR($N2380=$Q$7,$O2380=$Q$7)),"x","")</f>
        <v/>
      </c>
      <c r="R2380" s="79" t="str">
        <f>IF(AND($N2380=$Q$7,$B2380&lt;'111'!$L$11),"x","")</f>
        <v/>
      </c>
      <c r="S2380" s="79" t="str">
        <f>IF(AND($O2380=$Q$7,$B2380&lt;'111'!$L$11),"x","")</f>
        <v/>
      </c>
      <c r="T2380" s="79" t="str">
        <f>IF(ISERROR(FIND('112'!$M$9,G2380,1)),"",IF((AND(FIND('112'!$M$9,G2380,1)&gt;=1,B2380='112'!$K$9,OR($N2380='112'!$I$6,$O2380='112'!$I$6))),"x",""))</f>
        <v/>
      </c>
      <c r="U2380" s="79" t="str">
        <f>IF(ISERROR(FIND('112'!$M$9,G2380,1)),"",IF((AND(LEFT(G2380,2)=LEFT('112'!$M$9,2),B2380&lt;'112'!$K$9,$N2380='112'!$I$6)),"x",""))</f>
        <v/>
      </c>
      <c r="V2380" s="79" t="str">
        <f>IF(ISERROR(FIND('112'!$M$9,G2380,1)),"",IF((AND(RIGHT(G2380,2)=RIGHT('112'!$M$9,2),B2380&lt;'112'!$K$9,$O2380='112'!$I$6)),"x",""))</f>
        <v/>
      </c>
      <c r="W2380" s="79" t="str">
        <f>IF(AND('341-CT'!$H$9=H2380,OR(LEFT(N2380,3)=$W$7,LEFT(O2380,3)=$W$7)),"x","")</f>
        <v/>
      </c>
      <c r="X2380" s="79" t="str">
        <f>IF(OR(TH!N2380=TH!$X$7,O2380=TH!$X$7),"x","")</f>
        <v/>
      </c>
      <c r="Y2380" s="79" t="str">
        <f>IF(AND(OR(N2380="131",O2380="131"),H2380='131-CT'!$H$9),"x","")</f>
        <v/>
      </c>
      <c r="Z2380" s="79"/>
      <c r="AA2380" s="79" t="str">
        <f>IF(AND(MONTH(E2380)='IN-NX'!$J$5,'IN-NX'!$D$7=D2380),"x","")</f>
        <v/>
      </c>
      <c r="AB2380" s="79" t="str">
        <f>IF(AND(OR(LEFT(TH!N2380,2)="15",LEFT(TH!O2380,2)="15"),LEFT(TH!O2380,3)&lt;&gt;"111",'152-CT'!$J$8=TH!F2380),"x","")</f>
        <v/>
      </c>
      <c r="AC2380" s="79" t="str">
        <f>IF(AND(OR(LEFT(TH!N2380,2)="15",LEFT(TH!O2380,2)="15"),TK!$E$7=TH!F2380),"x","")</f>
        <v/>
      </c>
      <c r="AD2380" s="79" t="str">
        <f>IF(AND(N2380="1521",MONTH(C2380)='BK-NL'!$M$11),"x","")</f>
        <v/>
      </c>
    </row>
    <row r="2381" spans="1:30" ht="16.5" customHeight="1">
      <c r="A2381" s="318" t="str">
        <f>IF(B2381&lt;&gt;"",IF(AND(B2381='IN-TC'!$S$4,OR(TH!N2381="1111",TH!O2381="1111")),TH!D2381,""),"")</f>
        <v/>
      </c>
      <c r="B2381" s="60" t="str">
        <f t="shared" si="239"/>
        <v/>
      </c>
      <c r="C2381" s="301"/>
      <c r="D2381" s="301"/>
      <c r="E2381" s="301"/>
      <c r="F2381" s="69"/>
      <c r="G2381" s="968"/>
      <c r="H2381" s="303"/>
      <c r="I2381" s="385"/>
      <c r="J2381" s="969"/>
      <c r="K2381" s="385"/>
      <c r="L2381" s="392"/>
      <c r="M2381" s="970"/>
      <c r="N2381" s="304"/>
      <c r="O2381" s="304"/>
      <c r="P2381" s="79" t="str">
        <f>IF(AND('331-CT'!$E$7=TH!H2381,OR(N2381="331",O2381="331")),"x","")</f>
        <v/>
      </c>
      <c r="Q2381" s="79" t="str">
        <f>IF(AND(B2381='111'!$L$11,OR($N2381=$Q$7,$O2381=$Q$7)),"x","")</f>
        <v/>
      </c>
      <c r="R2381" s="79" t="str">
        <f>IF(AND($N2381=$Q$7,$B2381&lt;'111'!$L$11),"x","")</f>
        <v/>
      </c>
      <c r="S2381" s="79" t="str">
        <f>IF(AND($O2381=$Q$7,$B2381&lt;'111'!$L$11),"x","")</f>
        <v/>
      </c>
      <c r="T2381" s="79" t="str">
        <f>IF(ISERROR(FIND('112'!$M$9,G2381,1)),"",IF((AND(FIND('112'!$M$9,G2381,1)&gt;=1,B2381='112'!$K$9,OR($N2381='112'!$I$6,$O2381='112'!$I$6))),"x",""))</f>
        <v/>
      </c>
      <c r="U2381" s="79" t="str">
        <f>IF(ISERROR(FIND('112'!$M$9,G2381,1)),"",IF((AND(LEFT(G2381,2)=LEFT('112'!$M$9,2),B2381&lt;'112'!$K$9,$N2381='112'!$I$6)),"x",""))</f>
        <v/>
      </c>
      <c r="V2381" s="79" t="str">
        <f>IF(ISERROR(FIND('112'!$M$9,G2381,1)),"",IF((AND(RIGHT(G2381,2)=RIGHT('112'!$M$9,2),B2381&lt;'112'!$K$9,$O2381='112'!$I$6)),"x",""))</f>
        <v/>
      </c>
      <c r="W2381" s="79" t="str">
        <f>IF(AND('341-CT'!$H$9=H2381,OR(LEFT(N2381,3)=$W$7,LEFT(O2381,3)=$W$7)),"x","")</f>
        <v/>
      </c>
      <c r="X2381" s="79" t="str">
        <f>IF(OR(TH!N2381=TH!$X$7,O2381=TH!$X$7),"x","")</f>
        <v/>
      </c>
      <c r="Y2381" s="79" t="str">
        <f>IF(AND(OR(N2381="131",O2381="131"),H2381='131-CT'!$H$9),"x","")</f>
        <v/>
      </c>
      <c r="Z2381" s="79"/>
      <c r="AA2381" s="79" t="str">
        <f>IF(AND(MONTH(E2381)='IN-NX'!$J$5,'IN-NX'!$D$7=D2381),"x","")</f>
        <v/>
      </c>
      <c r="AB2381" s="79" t="str">
        <f>IF(AND(OR(LEFT(TH!N2381,2)="15",LEFT(TH!O2381,2)="15"),LEFT(TH!O2381,3)&lt;&gt;"111",'152-CT'!$J$8=TH!F2381),"x","")</f>
        <v/>
      </c>
      <c r="AC2381" s="79" t="str">
        <f>IF(AND(OR(LEFT(TH!N2381,2)="15",LEFT(TH!O2381,2)="15"),TK!$E$7=TH!F2381),"x","")</f>
        <v/>
      </c>
      <c r="AD2381" s="79" t="str">
        <f>IF(AND(N2381="1521",MONTH(C2381)='BK-NL'!$M$11),"x","")</f>
        <v/>
      </c>
    </row>
    <row r="2382" spans="1:30" ht="16.5" customHeight="1">
      <c r="A2382" s="318" t="str">
        <f>IF(B2382&lt;&gt;"",IF(AND(B2382='IN-TC'!$S$4,OR(TH!N2382="1111",TH!O2382="1111")),TH!D2382,""),"")</f>
        <v/>
      </c>
      <c r="B2382" s="60" t="str">
        <f t="shared" si="239"/>
        <v/>
      </c>
      <c r="C2382" s="301"/>
      <c r="D2382" s="301"/>
      <c r="E2382" s="301"/>
      <c r="F2382" s="69"/>
      <c r="G2382" s="968"/>
      <c r="H2382" s="303"/>
      <c r="I2382" s="385"/>
      <c r="J2382" s="969"/>
      <c r="K2382" s="385"/>
      <c r="L2382" s="392"/>
      <c r="M2382" s="970"/>
      <c r="N2382" s="304"/>
      <c r="O2382" s="304"/>
      <c r="P2382" s="79" t="str">
        <f>IF(AND('331-CT'!$E$7=TH!H2382,OR(N2382="331",O2382="331")),"x","")</f>
        <v/>
      </c>
      <c r="Q2382" s="79" t="str">
        <f>IF(AND(B2382='111'!$L$11,OR($N2382=$Q$7,$O2382=$Q$7)),"x","")</f>
        <v/>
      </c>
      <c r="R2382" s="79" t="str">
        <f>IF(AND($N2382=$Q$7,$B2382&lt;'111'!$L$11),"x","")</f>
        <v/>
      </c>
      <c r="S2382" s="79" t="str">
        <f>IF(AND($O2382=$Q$7,$B2382&lt;'111'!$L$11),"x","")</f>
        <v/>
      </c>
      <c r="T2382" s="79" t="str">
        <f>IF(ISERROR(FIND('112'!$M$9,G2382,1)),"",IF((AND(FIND('112'!$M$9,G2382,1)&gt;=1,B2382='112'!$K$9,OR($N2382='112'!$I$6,$O2382='112'!$I$6))),"x",""))</f>
        <v/>
      </c>
      <c r="U2382" s="79" t="str">
        <f>IF(ISERROR(FIND('112'!$M$9,G2382,1)),"",IF((AND(LEFT(G2382,2)=LEFT('112'!$M$9,2),B2382&lt;'112'!$K$9,$N2382='112'!$I$6)),"x",""))</f>
        <v/>
      </c>
      <c r="V2382" s="79" t="str">
        <f>IF(ISERROR(FIND('112'!$M$9,G2382,1)),"",IF((AND(RIGHT(G2382,2)=RIGHT('112'!$M$9,2),B2382&lt;'112'!$K$9,$O2382='112'!$I$6)),"x",""))</f>
        <v/>
      </c>
      <c r="W2382" s="79" t="str">
        <f>IF(AND('341-CT'!$H$9=H2382,OR(LEFT(N2382,3)=$W$7,LEFT(O2382,3)=$W$7)),"x","")</f>
        <v/>
      </c>
      <c r="X2382" s="79" t="str">
        <f>IF(OR(TH!N2382=TH!$X$7,O2382=TH!$X$7),"x","")</f>
        <v/>
      </c>
      <c r="Y2382" s="79" t="str">
        <f>IF(AND(OR(N2382="131",O2382="131"),H2382='131-CT'!$H$9),"x","")</f>
        <v/>
      </c>
      <c r="Z2382" s="79"/>
      <c r="AA2382" s="79" t="str">
        <f>IF(AND(MONTH(E2382)='IN-NX'!$J$5,'IN-NX'!$D$7=D2382),"x","")</f>
        <v/>
      </c>
      <c r="AB2382" s="79" t="str">
        <f>IF(AND(OR(LEFT(TH!N2382,2)="15",LEFT(TH!O2382,2)="15"),LEFT(TH!O2382,3)&lt;&gt;"111",'152-CT'!$J$8=TH!F2382),"x","")</f>
        <v/>
      </c>
      <c r="AC2382" s="79" t="str">
        <f>IF(AND(OR(LEFT(TH!N2382,2)="15",LEFT(TH!O2382,2)="15"),TK!$E$7=TH!F2382),"x","")</f>
        <v/>
      </c>
      <c r="AD2382" s="79" t="str">
        <f>IF(AND(N2382="1521",MONTH(C2382)='BK-NL'!$M$11),"x","")</f>
        <v/>
      </c>
    </row>
    <row r="2383" spans="1:30" ht="16.5" customHeight="1">
      <c r="A2383" s="318" t="str">
        <f>IF(B2383&lt;&gt;"",IF(AND(B2383='IN-TC'!$S$4,OR(TH!N2383="1111",TH!O2383="1111")),TH!D2383,""),"")</f>
        <v/>
      </c>
      <c r="B2383" s="60" t="str">
        <f t="shared" si="239"/>
        <v/>
      </c>
      <c r="C2383" s="301"/>
      <c r="D2383" s="301"/>
      <c r="E2383" s="301"/>
      <c r="F2383" s="69"/>
      <c r="G2383" s="968"/>
      <c r="H2383" s="303"/>
      <c r="I2383" s="385"/>
      <c r="J2383" s="969"/>
      <c r="K2383" s="385"/>
      <c r="L2383" s="392"/>
      <c r="M2383" s="970"/>
      <c r="N2383" s="304"/>
      <c r="O2383" s="304"/>
      <c r="P2383" s="79" t="str">
        <f>IF(AND('331-CT'!$E$7=TH!H2383,OR(N2383="331",O2383="331")),"x","")</f>
        <v/>
      </c>
      <c r="Q2383" s="79" t="str">
        <f>IF(AND(B2383='111'!$L$11,OR($N2383=$Q$7,$O2383=$Q$7)),"x","")</f>
        <v/>
      </c>
      <c r="R2383" s="79" t="str">
        <f>IF(AND($N2383=$Q$7,$B2383&lt;'111'!$L$11),"x","")</f>
        <v/>
      </c>
      <c r="S2383" s="79" t="str">
        <f>IF(AND($O2383=$Q$7,$B2383&lt;'111'!$L$11),"x","")</f>
        <v/>
      </c>
      <c r="T2383" s="79" t="str">
        <f>IF(ISERROR(FIND('112'!$M$9,G2383,1)),"",IF((AND(FIND('112'!$M$9,G2383,1)&gt;=1,B2383='112'!$K$9,OR($N2383='112'!$I$6,$O2383='112'!$I$6))),"x",""))</f>
        <v/>
      </c>
      <c r="U2383" s="79" t="str">
        <f>IF(ISERROR(FIND('112'!$M$9,G2383,1)),"",IF((AND(LEFT(G2383,2)=LEFT('112'!$M$9,2),B2383&lt;'112'!$K$9,$N2383='112'!$I$6)),"x",""))</f>
        <v/>
      </c>
      <c r="V2383" s="79" t="str">
        <f>IF(ISERROR(FIND('112'!$M$9,G2383,1)),"",IF((AND(RIGHT(G2383,2)=RIGHT('112'!$M$9,2),B2383&lt;'112'!$K$9,$O2383='112'!$I$6)),"x",""))</f>
        <v/>
      </c>
      <c r="W2383" s="79" t="str">
        <f>IF(AND('341-CT'!$H$9=H2383,OR(LEFT(N2383,3)=$W$7,LEFT(O2383,3)=$W$7)),"x","")</f>
        <v/>
      </c>
      <c r="X2383" s="79" t="str">
        <f>IF(OR(TH!N2383=TH!$X$7,O2383=TH!$X$7),"x","")</f>
        <v/>
      </c>
      <c r="Y2383" s="79" t="str">
        <f>IF(AND(OR(N2383="131",O2383="131"),H2383='131-CT'!$H$9),"x","")</f>
        <v/>
      </c>
      <c r="Z2383" s="79"/>
      <c r="AA2383" s="79" t="str">
        <f>IF(AND(MONTH(E2383)='IN-NX'!$J$5,'IN-NX'!$D$7=D2383),"x","")</f>
        <v/>
      </c>
      <c r="AB2383" s="79" t="str">
        <f>IF(AND(OR(LEFT(TH!N2383,2)="15",LEFT(TH!O2383,2)="15"),LEFT(TH!O2383,3)&lt;&gt;"111",'152-CT'!$J$8=TH!F2383),"x","")</f>
        <v/>
      </c>
      <c r="AC2383" s="79" t="str">
        <f>IF(AND(OR(LEFT(TH!N2383,2)="15",LEFT(TH!O2383,2)="15"),TK!$E$7=TH!F2383),"x","")</f>
        <v/>
      </c>
      <c r="AD2383" s="79" t="str">
        <f>IF(AND(N2383="1521",MONTH(C2383)='BK-NL'!$M$11),"x","")</f>
        <v/>
      </c>
    </row>
    <row r="2384" spans="1:30" ht="16.5" customHeight="1">
      <c r="A2384" s="318" t="str">
        <f>IF(B2384&lt;&gt;"",IF(AND(B2384='IN-TC'!$S$4,OR(TH!N2384="1111",TH!O2384="1111")),TH!D2384,""),"")</f>
        <v/>
      </c>
      <c r="B2384" s="60" t="str">
        <f t="shared" si="239"/>
        <v/>
      </c>
      <c r="C2384" s="301"/>
      <c r="D2384" s="301"/>
      <c r="E2384" s="301"/>
      <c r="F2384" s="69"/>
      <c r="G2384" s="968"/>
      <c r="H2384" s="303"/>
      <c r="I2384" s="385"/>
      <c r="J2384" s="969"/>
      <c r="K2384" s="385"/>
      <c r="L2384" s="392"/>
      <c r="M2384" s="970"/>
      <c r="N2384" s="304"/>
      <c r="O2384" s="304"/>
      <c r="P2384" s="79" t="str">
        <f>IF(AND('331-CT'!$E$7=TH!H2384,OR(N2384="331",O2384="331")),"x","")</f>
        <v/>
      </c>
      <c r="Q2384" s="79" t="str">
        <f>IF(AND(B2384='111'!$L$11,OR($N2384=$Q$7,$O2384=$Q$7)),"x","")</f>
        <v/>
      </c>
      <c r="R2384" s="79" t="str">
        <f>IF(AND($N2384=$Q$7,$B2384&lt;'111'!$L$11),"x","")</f>
        <v/>
      </c>
      <c r="S2384" s="79" t="str">
        <f>IF(AND($O2384=$Q$7,$B2384&lt;'111'!$L$11),"x","")</f>
        <v/>
      </c>
      <c r="T2384" s="79" t="str">
        <f>IF(ISERROR(FIND('112'!$M$9,G2384,1)),"",IF((AND(FIND('112'!$M$9,G2384,1)&gt;=1,B2384='112'!$K$9,OR($N2384='112'!$I$6,$O2384='112'!$I$6))),"x",""))</f>
        <v/>
      </c>
      <c r="U2384" s="79" t="str">
        <f>IF(ISERROR(FIND('112'!$M$9,G2384,1)),"",IF((AND(LEFT(G2384,2)=LEFT('112'!$M$9,2),B2384&lt;'112'!$K$9,$N2384='112'!$I$6)),"x",""))</f>
        <v/>
      </c>
      <c r="V2384" s="79" t="str">
        <f>IF(ISERROR(FIND('112'!$M$9,G2384,1)),"",IF((AND(RIGHT(G2384,2)=RIGHT('112'!$M$9,2),B2384&lt;'112'!$K$9,$O2384='112'!$I$6)),"x",""))</f>
        <v/>
      </c>
      <c r="W2384" s="79" t="str">
        <f>IF(AND('341-CT'!$H$9=H2384,OR(LEFT(N2384,3)=$W$7,LEFT(O2384,3)=$W$7)),"x","")</f>
        <v/>
      </c>
      <c r="X2384" s="79" t="str">
        <f>IF(OR(TH!N2384=TH!$X$7,O2384=TH!$X$7),"x","")</f>
        <v/>
      </c>
      <c r="Y2384" s="79" t="str">
        <f>IF(AND(OR(N2384="131",O2384="131"),H2384='131-CT'!$H$9),"x","")</f>
        <v/>
      </c>
      <c r="Z2384" s="79"/>
      <c r="AA2384" s="79" t="str">
        <f>IF(AND(MONTH(E2384)='IN-NX'!$J$5,'IN-NX'!$D$7=D2384),"x","")</f>
        <v/>
      </c>
      <c r="AB2384" s="79" t="str">
        <f>IF(AND(OR(LEFT(TH!N2384,2)="15",LEFT(TH!O2384,2)="15"),LEFT(TH!O2384,3)&lt;&gt;"111",'152-CT'!$J$8=TH!F2384),"x","")</f>
        <v/>
      </c>
      <c r="AC2384" s="79" t="str">
        <f>IF(AND(OR(LEFT(TH!N2384,2)="15",LEFT(TH!O2384,2)="15"),TK!$E$7=TH!F2384),"x","")</f>
        <v/>
      </c>
      <c r="AD2384" s="79" t="str">
        <f>IF(AND(N2384="1521",MONTH(C2384)='BK-NL'!$M$11),"x","")</f>
        <v/>
      </c>
    </row>
    <row r="2385" spans="1:30" ht="16.5" customHeight="1">
      <c r="A2385" s="318" t="str">
        <f>IF(B2385&lt;&gt;"",IF(AND(B2385='IN-TC'!$S$4,OR(TH!N2385="1111",TH!O2385="1111")),TH!D2385,""),"")</f>
        <v/>
      </c>
      <c r="B2385" s="60" t="str">
        <f t="shared" si="239"/>
        <v/>
      </c>
      <c r="C2385" s="301"/>
      <c r="D2385" s="301"/>
      <c r="E2385" s="301"/>
      <c r="F2385" s="69"/>
      <c r="G2385" s="968"/>
      <c r="H2385" s="303"/>
      <c r="I2385" s="385"/>
      <c r="J2385" s="969"/>
      <c r="K2385" s="385"/>
      <c r="L2385" s="392"/>
      <c r="M2385" s="970"/>
      <c r="N2385" s="304"/>
      <c r="O2385" s="304"/>
      <c r="P2385" s="79" t="str">
        <f>IF(AND('331-CT'!$E$7=TH!H2385,OR(N2385="331",O2385="331")),"x","")</f>
        <v/>
      </c>
      <c r="Q2385" s="79" t="str">
        <f>IF(AND(B2385='111'!$L$11,OR($N2385=$Q$7,$O2385=$Q$7)),"x","")</f>
        <v/>
      </c>
      <c r="R2385" s="79" t="str">
        <f>IF(AND($N2385=$Q$7,$B2385&lt;'111'!$L$11),"x","")</f>
        <v/>
      </c>
      <c r="S2385" s="79" t="str">
        <f>IF(AND($O2385=$Q$7,$B2385&lt;'111'!$L$11),"x","")</f>
        <v/>
      </c>
      <c r="T2385" s="79" t="str">
        <f>IF(ISERROR(FIND('112'!$M$9,G2385,1)),"",IF((AND(FIND('112'!$M$9,G2385,1)&gt;=1,B2385='112'!$K$9,OR($N2385='112'!$I$6,$O2385='112'!$I$6))),"x",""))</f>
        <v/>
      </c>
      <c r="U2385" s="79" t="str">
        <f>IF(ISERROR(FIND('112'!$M$9,G2385,1)),"",IF((AND(LEFT(G2385,2)=LEFT('112'!$M$9,2),B2385&lt;'112'!$K$9,$N2385='112'!$I$6)),"x",""))</f>
        <v/>
      </c>
      <c r="V2385" s="79" t="str">
        <f>IF(ISERROR(FIND('112'!$M$9,G2385,1)),"",IF((AND(RIGHT(G2385,2)=RIGHT('112'!$M$9,2),B2385&lt;'112'!$K$9,$O2385='112'!$I$6)),"x",""))</f>
        <v/>
      </c>
      <c r="W2385" s="79" t="str">
        <f>IF(AND('341-CT'!$H$9=H2385,OR(LEFT(N2385,3)=$W$7,LEFT(O2385,3)=$W$7)),"x","")</f>
        <v/>
      </c>
      <c r="X2385" s="79" t="str">
        <f>IF(OR(TH!N2385=TH!$X$7,O2385=TH!$X$7),"x","")</f>
        <v/>
      </c>
      <c r="Y2385" s="79" t="str">
        <f>IF(AND(OR(N2385="131",O2385="131"),H2385='131-CT'!$H$9),"x","")</f>
        <v/>
      </c>
      <c r="Z2385" s="79"/>
      <c r="AA2385" s="79" t="str">
        <f>IF(AND(MONTH(E2385)='IN-NX'!$J$5,'IN-NX'!$D$7=D2385),"x","")</f>
        <v/>
      </c>
      <c r="AB2385" s="79" t="str">
        <f>IF(AND(OR(LEFT(TH!N2385,2)="15",LEFT(TH!O2385,2)="15"),LEFT(TH!O2385,3)&lt;&gt;"111",'152-CT'!$J$8=TH!F2385),"x","")</f>
        <v/>
      </c>
      <c r="AC2385" s="79" t="str">
        <f>IF(AND(OR(LEFT(TH!N2385,2)="15",LEFT(TH!O2385,2)="15"),TK!$E$7=TH!F2385),"x","")</f>
        <v/>
      </c>
      <c r="AD2385" s="79" t="str">
        <f>IF(AND(N2385="1521",MONTH(C2385)='BK-NL'!$M$11),"x","")</f>
        <v/>
      </c>
    </row>
    <row r="2386" spans="1:30" ht="16.5" customHeight="1">
      <c r="A2386" s="318" t="str">
        <f>IF(B2386&lt;&gt;"",IF(AND(B2386='IN-TC'!$S$4,OR(TH!N2386="1111",TH!O2386="1111")),TH!D2386,""),"")</f>
        <v/>
      </c>
      <c r="B2386" s="60" t="str">
        <f t="shared" si="239"/>
        <v/>
      </c>
      <c r="C2386" s="301"/>
      <c r="D2386" s="301"/>
      <c r="E2386" s="301"/>
      <c r="F2386" s="69"/>
      <c r="G2386" s="968"/>
      <c r="H2386" s="303"/>
      <c r="I2386" s="385"/>
      <c r="J2386" s="969"/>
      <c r="K2386" s="385"/>
      <c r="L2386" s="392"/>
      <c r="M2386" s="970"/>
      <c r="N2386" s="304"/>
      <c r="O2386" s="304"/>
      <c r="P2386" s="79" t="str">
        <f>IF(AND('331-CT'!$E$7=TH!H2386,OR(N2386="331",O2386="331")),"x","")</f>
        <v/>
      </c>
      <c r="Q2386" s="79" t="str">
        <f>IF(AND(B2386='111'!$L$11,OR($N2386=$Q$7,$O2386=$Q$7)),"x","")</f>
        <v/>
      </c>
      <c r="R2386" s="79" t="str">
        <f>IF(AND($N2386=$Q$7,$B2386&lt;'111'!$L$11),"x","")</f>
        <v/>
      </c>
      <c r="S2386" s="79" t="str">
        <f>IF(AND($O2386=$Q$7,$B2386&lt;'111'!$L$11),"x","")</f>
        <v/>
      </c>
      <c r="T2386" s="79" t="str">
        <f>IF(ISERROR(FIND('112'!$M$9,G2386,1)),"",IF((AND(FIND('112'!$M$9,G2386,1)&gt;=1,B2386='112'!$K$9,OR($N2386='112'!$I$6,$O2386='112'!$I$6))),"x",""))</f>
        <v/>
      </c>
      <c r="U2386" s="79" t="str">
        <f>IF(ISERROR(FIND('112'!$M$9,G2386,1)),"",IF((AND(LEFT(G2386,2)=LEFT('112'!$M$9,2),B2386&lt;'112'!$K$9,$N2386='112'!$I$6)),"x",""))</f>
        <v/>
      </c>
      <c r="V2386" s="79" t="str">
        <f>IF(ISERROR(FIND('112'!$M$9,G2386,1)),"",IF((AND(RIGHT(G2386,2)=RIGHT('112'!$M$9,2),B2386&lt;'112'!$K$9,$O2386='112'!$I$6)),"x",""))</f>
        <v/>
      </c>
      <c r="W2386" s="79" t="str">
        <f>IF(AND('341-CT'!$H$9=H2386,OR(LEFT(N2386,3)=$W$7,LEFT(O2386,3)=$W$7)),"x","")</f>
        <v/>
      </c>
      <c r="X2386" s="79" t="str">
        <f>IF(OR(TH!N2386=TH!$X$7,O2386=TH!$X$7),"x","")</f>
        <v/>
      </c>
      <c r="Y2386" s="79" t="str">
        <f>IF(AND(OR(N2386="131",O2386="131"),H2386='131-CT'!$H$9),"x","")</f>
        <v/>
      </c>
      <c r="Z2386" s="79"/>
      <c r="AA2386" s="79" t="str">
        <f>IF(AND(MONTH(E2386)='IN-NX'!$J$5,'IN-NX'!$D$7=D2386),"x","")</f>
        <v/>
      </c>
      <c r="AB2386" s="79" t="str">
        <f>IF(AND(OR(LEFT(TH!N2386,2)="15",LEFT(TH!O2386,2)="15"),LEFT(TH!O2386,3)&lt;&gt;"111",'152-CT'!$J$8=TH!F2386),"x","")</f>
        <v/>
      </c>
      <c r="AC2386" s="79" t="str">
        <f>IF(AND(OR(LEFT(TH!N2386,2)="15",LEFT(TH!O2386,2)="15"),TK!$E$7=TH!F2386),"x","")</f>
        <v/>
      </c>
      <c r="AD2386" s="79" t="str">
        <f>IF(AND(N2386="1521",MONTH(C2386)='BK-NL'!$M$11),"x","")</f>
        <v/>
      </c>
    </row>
    <row r="2387" spans="1:30" ht="16.5" customHeight="1">
      <c r="A2387" s="318" t="str">
        <f>IF(B2387&lt;&gt;"",IF(AND(B2387='IN-TC'!$S$4,OR(TH!N2387="1111",TH!O2387="1111")),TH!D2387,""),"")</f>
        <v/>
      </c>
      <c r="B2387" s="60" t="str">
        <f t="shared" si="239"/>
        <v/>
      </c>
      <c r="C2387" s="301"/>
      <c r="D2387" s="301"/>
      <c r="E2387" s="301"/>
      <c r="F2387" s="69"/>
      <c r="G2387" s="968"/>
      <c r="H2387" s="303"/>
      <c r="I2387" s="385"/>
      <c r="J2387" s="969"/>
      <c r="K2387" s="385"/>
      <c r="L2387" s="392"/>
      <c r="M2387" s="970"/>
      <c r="N2387" s="304"/>
      <c r="O2387" s="304"/>
      <c r="P2387" s="79" t="str">
        <f>IF(AND('331-CT'!$E$7=TH!H2387,OR(N2387="331",O2387="331")),"x","")</f>
        <v/>
      </c>
      <c r="Q2387" s="79" t="str">
        <f>IF(AND(B2387='111'!$L$11,OR($N2387=$Q$7,$O2387=$Q$7)),"x","")</f>
        <v/>
      </c>
      <c r="R2387" s="79" t="str">
        <f>IF(AND($N2387=$Q$7,$B2387&lt;'111'!$L$11),"x","")</f>
        <v/>
      </c>
      <c r="S2387" s="79" t="str">
        <f>IF(AND($O2387=$Q$7,$B2387&lt;'111'!$L$11),"x","")</f>
        <v/>
      </c>
      <c r="T2387" s="79" t="str">
        <f>IF(ISERROR(FIND('112'!$M$9,G2387,1)),"",IF((AND(FIND('112'!$M$9,G2387,1)&gt;=1,B2387='112'!$K$9,OR($N2387='112'!$I$6,$O2387='112'!$I$6))),"x",""))</f>
        <v/>
      </c>
      <c r="U2387" s="79" t="str">
        <f>IF(ISERROR(FIND('112'!$M$9,G2387,1)),"",IF((AND(LEFT(G2387,2)=LEFT('112'!$M$9,2),B2387&lt;'112'!$K$9,$N2387='112'!$I$6)),"x",""))</f>
        <v/>
      </c>
      <c r="V2387" s="79" t="str">
        <f>IF(ISERROR(FIND('112'!$M$9,G2387,1)),"",IF((AND(RIGHT(G2387,2)=RIGHT('112'!$M$9,2),B2387&lt;'112'!$K$9,$O2387='112'!$I$6)),"x",""))</f>
        <v/>
      </c>
      <c r="W2387" s="79" t="str">
        <f>IF(AND('341-CT'!$H$9=H2387,OR(LEFT(N2387,3)=$W$7,LEFT(O2387,3)=$W$7)),"x","")</f>
        <v/>
      </c>
      <c r="X2387" s="79" t="str">
        <f>IF(OR(TH!N2387=TH!$X$7,O2387=TH!$X$7),"x","")</f>
        <v/>
      </c>
      <c r="Y2387" s="79" t="str">
        <f>IF(AND(OR(N2387="131",O2387="131"),H2387='131-CT'!$H$9),"x","")</f>
        <v/>
      </c>
      <c r="Z2387" s="79"/>
      <c r="AA2387" s="79" t="str">
        <f>IF(AND(MONTH(E2387)='IN-NX'!$J$5,'IN-NX'!$D$7=D2387),"x","")</f>
        <v/>
      </c>
      <c r="AB2387" s="79" t="str">
        <f>IF(AND(OR(LEFT(TH!N2387,2)="15",LEFT(TH!O2387,2)="15"),LEFT(TH!O2387,3)&lt;&gt;"111",'152-CT'!$J$8=TH!F2387),"x","")</f>
        <v/>
      </c>
      <c r="AC2387" s="79" t="str">
        <f>IF(AND(OR(LEFT(TH!N2387,2)="15",LEFT(TH!O2387,2)="15"),TK!$E$7=TH!F2387),"x","")</f>
        <v/>
      </c>
      <c r="AD2387" s="79" t="str">
        <f>IF(AND(N2387="1521",MONTH(C2387)='BK-NL'!$M$11),"x","")</f>
        <v/>
      </c>
    </row>
    <row r="2388" spans="1:30" ht="16.5" customHeight="1">
      <c r="A2388" s="318" t="str">
        <f>IF(B2388&lt;&gt;"",IF(AND(B2388='IN-TC'!$S$4,OR(TH!N2388="1111",TH!O2388="1111")),TH!D2388,""),"")</f>
        <v/>
      </c>
      <c r="B2388" s="60" t="str">
        <f t="shared" si="239"/>
        <v/>
      </c>
      <c r="C2388" s="301"/>
      <c r="D2388" s="301"/>
      <c r="E2388" s="301"/>
      <c r="F2388" s="69"/>
      <c r="G2388" s="968"/>
      <c r="H2388" s="303"/>
      <c r="I2388" s="385"/>
      <c r="J2388" s="969"/>
      <c r="K2388" s="385"/>
      <c r="L2388" s="392"/>
      <c r="M2388" s="970"/>
      <c r="N2388" s="304"/>
      <c r="O2388" s="304"/>
      <c r="P2388" s="79" t="str">
        <f>IF(AND('331-CT'!$E$7=TH!H2388,OR(N2388="331",O2388="331")),"x","")</f>
        <v/>
      </c>
      <c r="Q2388" s="79" t="str">
        <f>IF(AND(B2388='111'!$L$11,OR($N2388=$Q$7,$O2388=$Q$7)),"x","")</f>
        <v/>
      </c>
      <c r="R2388" s="79" t="str">
        <f>IF(AND($N2388=$Q$7,$B2388&lt;'111'!$L$11),"x","")</f>
        <v/>
      </c>
      <c r="S2388" s="79" t="str">
        <f>IF(AND($O2388=$Q$7,$B2388&lt;'111'!$L$11),"x","")</f>
        <v/>
      </c>
      <c r="T2388" s="79" t="str">
        <f>IF(ISERROR(FIND('112'!$M$9,G2388,1)),"",IF((AND(FIND('112'!$M$9,G2388,1)&gt;=1,B2388='112'!$K$9,OR($N2388='112'!$I$6,$O2388='112'!$I$6))),"x",""))</f>
        <v/>
      </c>
      <c r="U2388" s="79" t="str">
        <f>IF(ISERROR(FIND('112'!$M$9,G2388,1)),"",IF((AND(LEFT(G2388,2)=LEFT('112'!$M$9,2),B2388&lt;'112'!$K$9,$N2388='112'!$I$6)),"x",""))</f>
        <v/>
      </c>
      <c r="V2388" s="79" t="str">
        <f>IF(ISERROR(FIND('112'!$M$9,G2388,1)),"",IF((AND(RIGHT(G2388,2)=RIGHT('112'!$M$9,2),B2388&lt;'112'!$K$9,$O2388='112'!$I$6)),"x",""))</f>
        <v/>
      </c>
      <c r="W2388" s="79" t="str">
        <f>IF(AND('341-CT'!$H$9=H2388,OR(LEFT(N2388,3)=$W$7,LEFT(O2388,3)=$W$7)),"x","")</f>
        <v/>
      </c>
      <c r="X2388" s="79" t="str">
        <f>IF(OR(TH!N2388=TH!$X$7,O2388=TH!$X$7),"x","")</f>
        <v/>
      </c>
      <c r="Y2388" s="79" t="str">
        <f>IF(AND(OR(N2388="131",O2388="131"),H2388='131-CT'!$H$9),"x","")</f>
        <v/>
      </c>
      <c r="Z2388" s="79"/>
      <c r="AA2388" s="79" t="str">
        <f>IF(AND(MONTH(E2388)='IN-NX'!$J$5,'IN-NX'!$D$7=D2388),"x","")</f>
        <v/>
      </c>
      <c r="AB2388" s="79" t="str">
        <f>IF(AND(OR(LEFT(TH!N2388,2)="15",LEFT(TH!O2388,2)="15"),LEFT(TH!O2388,3)&lt;&gt;"111",'152-CT'!$J$8=TH!F2388),"x","")</f>
        <v/>
      </c>
      <c r="AC2388" s="79" t="str">
        <f>IF(AND(OR(LEFT(TH!N2388,2)="15",LEFT(TH!O2388,2)="15"),TK!$E$7=TH!F2388),"x","")</f>
        <v/>
      </c>
      <c r="AD2388" s="79" t="str">
        <f>IF(AND(N2388="1521",MONTH(C2388)='BK-NL'!$M$11),"x","")</f>
        <v/>
      </c>
    </row>
    <row r="2389" spans="1:30" ht="16.5" customHeight="1">
      <c r="A2389" s="318" t="str">
        <f>IF(B2389&lt;&gt;"",IF(AND(B2389='IN-TC'!$S$4,OR(TH!N2389="1111",TH!O2389="1111")),TH!D2389,""),"")</f>
        <v/>
      </c>
      <c r="B2389" s="60" t="str">
        <f t="shared" si="239"/>
        <v/>
      </c>
      <c r="C2389" s="301"/>
      <c r="D2389" s="301"/>
      <c r="E2389" s="301"/>
      <c r="F2389" s="69"/>
      <c r="G2389" s="968"/>
      <c r="H2389" s="303"/>
      <c r="I2389" s="385"/>
      <c r="J2389" s="969"/>
      <c r="K2389" s="385"/>
      <c r="L2389" s="392"/>
      <c r="M2389" s="970"/>
      <c r="N2389" s="304"/>
      <c r="O2389" s="304"/>
      <c r="P2389" s="79" t="str">
        <f>IF(AND('331-CT'!$E$7=TH!H2389,OR(N2389="331",O2389="331")),"x","")</f>
        <v/>
      </c>
      <c r="Q2389" s="79" t="str">
        <f>IF(AND(B2389='111'!$L$11,OR($N2389=$Q$7,$O2389=$Q$7)),"x","")</f>
        <v/>
      </c>
      <c r="R2389" s="79" t="str">
        <f>IF(AND($N2389=$Q$7,$B2389&lt;'111'!$L$11),"x","")</f>
        <v/>
      </c>
      <c r="S2389" s="79" t="str">
        <f>IF(AND($O2389=$Q$7,$B2389&lt;'111'!$L$11),"x","")</f>
        <v/>
      </c>
      <c r="T2389" s="79" t="str">
        <f>IF(ISERROR(FIND('112'!$M$9,G2389,1)),"",IF((AND(FIND('112'!$M$9,G2389,1)&gt;=1,B2389='112'!$K$9,OR($N2389='112'!$I$6,$O2389='112'!$I$6))),"x",""))</f>
        <v/>
      </c>
      <c r="U2389" s="79" t="str">
        <f>IF(ISERROR(FIND('112'!$M$9,G2389,1)),"",IF((AND(LEFT(G2389,2)=LEFT('112'!$M$9,2),B2389&lt;'112'!$K$9,$N2389='112'!$I$6)),"x",""))</f>
        <v/>
      </c>
      <c r="V2389" s="79" t="str">
        <f>IF(ISERROR(FIND('112'!$M$9,G2389,1)),"",IF((AND(RIGHT(G2389,2)=RIGHT('112'!$M$9,2),B2389&lt;'112'!$K$9,$O2389='112'!$I$6)),"x",""))</f>
        <v/>
      </c>
      <c r="W2389" s="79" t="str">
        <f>IF(AND('341-CT'!$H$9=H2389,OR(LEFT(N2389,3)=$W$7,LEFT(O2389,3)=$W$7)),"x","")</f>
        <v/>
      </c>
      <c r="X2389" s="79" t="str">
        <f>IF(OR(TH!N2389=TH!$X$7,O2389=TH!$X$7),"x","")</f>
        <v/>
      </c>
      <c r="Y2389" s="79" t="str">
        <f>IF(AND(OR(N2389="131",O2389="131"),H2389='131-CT'!$H$9),"x","")</f>
        <v/>
      </c>
      <c r="Z2389" s="79"/>
      <c r="AA2389" s="79" t="str">
        <f>IF(AND(MONTH(E2389)='IN-NX'!$J$5,'IN-NX'!$D$7=D2389),"x","")</f>
        <v/>
      </c>
      <c r="AB2389" s="79" t="str">
        <f>IF(AND(OR(LEFT(TH!N2389,2)="15",LEFT(TH!O2389,2)="15"),LEFT(TH!O2389,3)&lt;&gt;"111",'152-CT'!$J$8=TH!F2389),"x","")</f>
        <v/>
      </c>
      <c r="AC2389" s="79" t="str">
        <f>IF(AND(OR(LEFT(TH!N2389,2)="15",LEFT(TH!O2389,2)="15"),TK!$E$7=TH!F2389),"x","")</f>
        <v/>
      </c>
      <c r="AD2389" s="79" t="str">
        <f>IF(AND(N2389="1521",MONTH(C2389)='BK-NL'!$M$11),"x","")</f>
        <v/>
      </c>
    </row>
    <row r="2390" spans="1:30" ht="16.5" customHeight="1">
      <c r="A2390" s="318" t="str">
        <f>IF(B2390&lt;&gt;"",IF(AND(B2390='IN-TC'!$S$4,OR(TH!N2390="1111",TH!O2390="1111")),TH!D2390,""),"")</f>
        <v/>
      </c>
      <c r="B2390" s="60" t="str">
        <f t="shared" si="239"/>
        <v/>
      </c>
      <c r="C2390" s="301"/>
      <c r="D2390" s="301"/>
      <c r="E2390" s="301"/>
      <c r="F2390" s="69"/>
      <c r="G2390" s="968"/>
      <c r="H2390" s="303"/>
      <c r="I2390" s="385"/>
      <c r="J2390" s="969"/>
      <c r="K2390" s="385"/>
      <c r="L2390" s="392"/>
      <c r="M2390" s="970"/>
      <c r="N2390" s="304"/>
      <c r="O2390" s="304"/>
      <c r="P2390" s="79" t="str">
        <f>IF(AND('331-CT'!$E$7=TH!H2390,OR(N2390="331",O2390="331")),"x","")</f>
        <v/>
      </c>
      <c r="Q2390" s="79" t="str">
        <f>IF(AND(B2390='111'!$L$11,OR($N2390=$Q$7,$O2390=$Q$7)),"x","")</f>
        <v/>
      </c>
      <c r="R2390" s="79" t="str">
        <f>IF(AND($N2390=$Q$7,$B2390&lt;'111'!$L$11),"x","")</f>
        <v/>
      </c>
      <c r="S2390" s="79" t="str">
        <f>IF(AND($O2390=$Q$7,$B2390&lt;'111'!$L$11),"x","")</f>
        <v/>
      </c>
      <c r="T2390" s="79" t="str">
        <f>IF(ISERROR(FIND('112'!$M$9,G2390,1)),"",IF((AND(FIND('112'!$M$9,G2390,1)&gt;=1,B2390='112'!$K$9,OR($N2390='112'!$I$6,$O2390='112'!$I$6))),"x",""))</f>
        <v/>
      </c>
      <c r="U2390" s="79" t="str">
        <f>IF(ISERROR(FIND('112'!$M$9,G2390,1)),"",IF((AND(LEFT(G2390,2)=LEFT('112'!$M$9,2),B2390&lt;'112'!$K$9,$N2390='112'!$I$6)),"x",""))</f>
        <v/>
      </c>
      <c r="V2390" s="79" t="str">
        <f>IF(ISERROR(FIND('112'!$M$9,G2390,1)),"",IF((AND(RIGHT(G2390,2)=RIGHT('112'!$M$9,2),B2390&lt;'112'!$K$9,$O2390='112'!$I$6)),"x",""))</f>
        <v/>
      </c>
      <c r="W2390" s="79" t="str">
        <f>IF(AND('341-CT'!$H$9=H2390,OR(LEFT(N2390,3)=$W$7,LEFT(O2390,3)=$W$7)),"x","")</f>
        <v/>
      </c>
      <c r="X2390" s="79" t="str">
        <f>IF(OR(TH!N2390=TH!$X$7,O2390=TH!$X$7),"x","")</f>
        <v/>
      </c>
      <c r="Y2390" s="79" t="str">
        <f>IF(AND(OR(N2390="131",O2390="131"),H2390='131-CT'!$H$9),"x","")</f>
        <v/>
      </c>
      <c r="Z2390" s="79"/>
      <c r="AA2390" s="79" t="str">
        <f>IF(AND(MONTH(E2390)='IN-NX'!$J$5,'IN-NX'!$D$7=D2390),"x","")</f>
        <v/>
      </c>
      <c r="AB2390" s="79" t="str">
        <f>IF(AND(OR(LEFT(TH!N2390,2)="15",LEFT(TH!O2390,2)="15"),LEFT(TH!O2390,3)&lt;&gt;"111",'152-CT'!$J$8=TH!F2390),"x","")</f>
        <v/>
      </c>
      <c r="AC2390" s="79" t="str">
        <f>IF(AND(OR(LEFT(TH!N2390,2)="15",LEFT(TH!O2390,2)="15"),TK!$E$7=TH!F2390),"x","")</f>
        <v/>
      </c>
      <c r="AD2390" s="79" t="str">
        <f>IF(AND(N2390="1521",MONTH(C2390)='BK-NL'!$M$11),"x","")</f>
        <v/>
      </c>
    </row>
    <row r="2391" spans="1:30" ht="16.5" customHeight="1">
      <c r="A2391" s="318" t="str">
        <f>IF(B2391&lt;&gt;"",IF(AND(B2391='IN-TC'!$S$4,OR(TH!N2391="1111",TH!O2391="1111")),TH!D2391,""),"")</f>
        <v/>
      </c>
      <c r="B2391" s="60" t="str">
        <f t="shared" si="239"/>
        <v/>
      </c>
      <c r="C2391" s="301"/>
      <c r="D2391" s="301"/>
      <c r="E2391" s="301"/>
      <c r="F2391" s="69"/>
      <c r="G2391" s="968"/>
      <c r="H2391" s="303"/>
      <c r="I2391" s="385"/>
      <c r="J2391" s="969"/>
      <c r="K2391" s="385"/>
      <c r="L2391" s="392"/>
      <c r="M2391" s="970"/>
      <c r="N2391" s="304"/>
      <c r="O2391" s="304"/>
      <c r="P2391" s="79" t="str">
        <f>IF(AND('331-CT'!$E$7=TH!H2391,OR(N2391="331",O2391="331")),"x","")</f>
        <v/>
      </c>
      <c r="Q2391" s="79" t="str">
        <f>IF(AND(B2391='111'!$L$11,OR($N2391=$Q$7,$O2391=$Q$7)),"x","")</f>
        <v/>
      </c>
      <c r="R2391" s="79" t="str">
        <f>IF(AND($N2391=$Q$7,$B2391&lt;'111'!$L$11),"x","")</f>
        <v/>
      </c>
      <c r="S2391" s="79" t="str">
        <f>IF(AND($O2391=$Q$7,$B2391&lt;'111'!$L$11),"x","")</f>
        <v/>
      </c>
      <c r="T2391" s="79" t="str">
        <f>IF(ISERROR(FIND('112'!$M$9,G2391,1)),"",IF((AND(FIND('112'!$M$9,G2391,1)&gt;=1,B2391='112'!$K$9,OR($N2391='112'!$I$6,$O2391='112'!$I$6))),"x",""))</f>
        <v/>
      </c>
      <c r="U2391" s="79" t="str">
        <f>IF(ISERROR(FIND('112'!$M$9,G2391,1)),"",IF((AND(LEFT(G2391,2)=LEFT('112'!$M$9,2),B2391&lt;'112'!$K$9,$N2391='112'!$I$6)),"x",""))</f>
        <v/>
      </c>
      <c r="V2391" s="79" t="str">
        <f>IF(ISERROR(FIND('112'!$M$9,G2391,1)),"",IF((AND(RIGHT(G2391,2)=RIGHT('112'!$M$9,2),B2391&lt;'112'!$K$9,$O2391='112'!$I$6)),"x",""))</f>
        <v/>
      </c>
      <c r="W2391" s="79" t="str">
        <f>IF(AND('341-CT'!$H$9=H2391,OR(LEFT(N2391,3)=$W$7,LEFT(O2391,3)=$W$7)),"x","")</f>
        <v/>
      </c>
      <c r="X2391" s="79" t="str">
        <f>IF(OR(TH!N2391=TH!$X$7,O2391=TH!$X$7),"x","")</f>
        <v/>
      </c>
      <c r="Y2391" s="79" t="str">
        <f>IF(AND(OR(N2391="131",O2391="131"),H2391='131-CT'!$H$9),"x","")</f>
        <v/>
      </c>
      <c r="Z2391" s="79"/>
      <c r="AA2391" s="79" t="str">
        <f>IF(AND(MONTH(E2391)='IN-NX'!$J$5,'IN-NX'!$D$7=D2391),"x","")</f>
        <v/>
      </c>
      <c r="AB2391" s="79" t="str">
        <f>IF(AND(OR(LEFT(TH!N2391,2)="15",LEFT(TH!O2391,2)="15"),LEFT(TH!O2391,3)&lt;&gt;"111",'152-CT'!$J$8=TH!F2391),"x","")</f>
        <v/>
      </c>
      <c r="AC2391" s="79" t="str">
        <f>IF(AND(OR(LEFT(TH!N2391,2)="15",LEFT(TH!O2391,2)="15"),TK!$E$7=TH!F2391),"x","")</f>
        <v/>
      </c>
      <c r="AD2391" s="79" t="str">
        <f>IF(AND(N2391="1521",MONTH(C2391)='BK-NL'!$M$11),"x","")</f>
        <v/>
      </c>
    </row>
    <row r="2392" spans="1:30" ht="16.5" customHeight="1">
      <c r="A2392" s="318" t="str">
        <f>IF(B2392&lt;&gt;"",IF(AND(B2392='IN-TC'!$S$4,OR(TH!N2392="1111",TH!O2392="1111")),TH!D2392,""),"")</f>
        <v/>
      </c>
      <c r="B2392" s="60" t="str">
        <f t="shared" si="239"/>
        <v/>
      </c>
      <c r="C2392" s="301"/>
      <c r="D2392" s="301"/>
      <c r="E2392" s="301"/>
      <c r="F2392" s="392"/>
      <c r="G2392" s="968"/>
      <c r="H2392" s="321"/>
      <c r="I2392" s="385"/>
      <c r="J2392" s="969"/>
      <c r="K2392" s="385"/>
      <c r="L2392" s="392"/>
      <c r="M2392" s="970"/>
      <c r="N2392" s="304"/>
      <c r="O2392" s="304"/>
      <c r="P2392" s="79" t="str">
        <f>IF(AND('331-CT'!$E$7=TH!H2392,OR(N2392="331",O2392="331")),"x","")</f>
        <v/>
      </c>
      <c r="Q2392" s="79" t="str">
        <f>IF(AND(B2392='111'!$L$11,OR($N2392=$Q$7,$O2392=$Q$7)),"x","")</f>
        <v/>
      </c>
      <c r="R2392" s="79" t="str">
        <f>IF(AND($N2392=$Q$7,$B2392&lt;'111'!$L$11),"x","")</f>
        <v/>
      </c>
      <c r="S2392" s="79" t="str">
        <f>IF(AND($O2392=$Q$7,$B2392&lt;'111'!$L$11),"x","")</f>
        <v/>
      </c>
      <c r="T2392" s="79" t="str">
        <f>IF(ISERROR(FIND('112'!$M$9,G2392,1)),"",IF((AND(FIND('112'!$M$9,G2392,1)&gt;=1,B2392='112'!$K$9,OR($N2392='112'!$I$6,$O2392='112'!$I$6))),"x",""))</f>
        <v/>
      </c>
      <c r="U2392" s="79" t="str">
        <f>IF(ISERROR(FIND('112'!$M$9,G2392,1)),"",IF((AND(LEFT(G2392,2)=LEFT('112'!$M$9,2),B2392&lt;'112'!$K$9,$N2392='112'!$I$6)),"x",""))</f>
        <v/>
      </c>
      <c r="V2392" s="79" t="str">
        <f>IF(ISERROR(FIND('112'!$M$9,G2392,1)),"",IF((AND(RIGHT(G2392,2)=RIGHT('112'!$M$9,2),B2392&lt;'112'!$K$9,$O2392='112'!$I$6)),"x",""))</f>
        <v/>
      </c>
      <c r="W2392" s="79" t="str">
        <f>IF(AND('341-CT'!$H$9=H2392,OR(LEFT(N2392,3)=$W$7,LEFT(O2392,3)=$W$7)),"x","")</f>
        <v/>
      </c>
      <c r="X2392" s="79" t="str">
        <f>IF(OR(TH!N2392=TH!$X$7,O2392=TH!$X$7),"x","")</f>
        <v/>
      </c>
      <c r="Y2392" s="79" t="str">
        <f>IF(AND(OR(N2392="131",O2392="131"),H2392='131-CT'!$H$9),"x","")</f>
        <v/>
      </c>
      <c r="Z2392" s="79"/>
      <c r="AA2392" s="79" t="str">
        <f>IF(AND(MONTH(E2392)='IN-NX'!$J$5,'IN-NX'!$D$7=D2392),"x","")</f>
        <v/>
      </c>
      <c r="AB2392" s="79" t="str">
        <f>IF(AND(OR(LEFT(TH!N2392,2)="15",LEFT(TH!O2392,2)="15"),LEFT(TH!O2392,3)&lt;&gt;"111",'152-CT'!$J$8=TH!F2392),"x","")</f>
        <v/>
      </c>
      <c r="AC2392" s="79" t="str">
        <f>IF(AND(OR(LEFT(TH!N2392,2)="15",LEFT(TH!O2392,2)="15"),TK!$E$7=TH!F2392),"x","")</f>
        <v/>
      </c>
      <c r="AD2392" s="79" t="str">
        <f>IF(AND(N2392="1521",MONTH(C2392)='BK-NL'!$M$11),"x","")</f>
        <v/>
      </c>
    </row>
    <row r="2393" spans="1:30" ht="16.5" customHeight="1">
      <c r="A2393" s="318" t="str">
        <f>IF(B2393&lt;&gt;"",IF(AND(B2393='IN-TC'!$S$4,OR(TH!N2393="1111",TH!O2393="1111")),TH!D2393,""),"")</f>
        <v/>
      </c>
      <c r="B2393" s="60" t="str">
        <f t="shared" si="239"/>
        <v/>
      </c>
      <c r="C2393" s="301"/>
      <c r="D2393" s="301"/>
      <c r="E2393" s="301"/>
      <c r="F2393" s="392"/>
      <c r="G2393" s="968"/>
      <c r="H2393" s="321"/>
      <c r="I2393" s="385"/>
      <c r="J2393" s="969"/>
      <c r="K2393" s="385"/>
      <c r="L2393" s="392"/>
      <c r="M2393" s="970"/>
      <c r="N2393" s="304"/>
      <c r="O2393" s="304"/>
      <c r="P2393" s="79" t="str">
        <f>IF(AND('331-CT'!$E$7=TH!H2393,OR(N2393="331",O2393="331")),"x","")</f>
        <v/>
      </c>
      <c r="Q2393" s="79" t="str">
        <f>IF(AND(B2393='111'!$L$11,OR($N2393=$Q$7,$O2393=$Q$7)),"x","")</f>
        <v/>
      </c>
      <c r="R2393" s="79" t="str">
        <f>IF(AND($N2393=$Q$7,$B2393&lt;'111'!$L$11),"x","")</f>
        <v/>
      </c>
      <c r="S2393" s="79" t="str">
        <f>IF(AND($O2393=$Q$7,$B2393&lt;'111'!$L$11),"x","")</f>
        <v/>
      </c>
      <c r="T2393" s="79" t="str">
        <f>IF(ISERROR(FIND('112'!$M$9,G2393,1)),"",IF((AND(FIND('112'!$M$9,G2393,1)&gt;=1,B2393='112'!$K$9,OR($N2393='112'!$I$6,$O2393='112'!$I$6))),"x",""))</f>
        <v/>
      </c>
      <c r="U2393" s="79" t="str">
        <f>IF(ISERROR(FIND('112'!$M$9,G2393,1)),"",IF((AND(LEFT(G2393,2)=LEFT('112'!$M$9,2),B2393&lt;'112'!$K$9,$N2393='112'!$I$6)),"x",""))</f>
        <v/>
      </c>
      <c r="V2393" s="79" t="str">
        <f>IF(ISERROR(FIND('112'!$M$9,G2393,1)),"",IF((AND(RIGHT(G2393,2)=RIGHT('112'!$M$9,2),B2393&lt;'112'!$K$9,$O2393='112'!$I$6)),"x",""))</f>
        <v/>
      </c>
      <c r="W2393" s="79" t="str">
        <f>IF(AND('341-CT'!$H$9=H2393,OR(LEFT(N2393,3)=$W$7,LEFT(O2393,3)=$W$7)),"x","")</f>
        <v/>
      </c>
      <c r="X2393" s="79" t="str">
        <f>IF(OR(TH!N2393=TH!$X$7,O2393=TH!$X$7),"x","")</f>
        <v/>
      </c>
      <c r="Y2393" s="79" t="str">
        <f>IF(AND(OR(N2393="131",O2393="131"),H2393='131-CT'!$H$9),"x","")</f>
        <v/>
      </c>
      <c r="Z2393" s="79"/>
      <c r="AA2393" s="79" t="str">
        <f>IF(AND(MONTH(E2393)='IN-NX'!$J$5,'IN-NX'!$D$7=D2393),"x","")</f>
        <v/>
      </c>
      <c r="AB2393" s="79" t="str">
        <f>IF(AND(OR(LEFT(TH!N2393,2)="15",LEFT(TH!O2393,2)="15"),LEFT(TH!O2393,3)&lt;&gt;"111",'152-CT'!$J$8=TH!F2393),"x","")</f>
        <v/>
      </c>
      <c r="AC2393" s="79" t="str">
        <f>IF(AND(OR(LEFT(TH!N2393,2)="15",LEFT(TH!O2393,2)="15"),TK!$E$7=TH!F2393),"x","")</f>
        <v/>
      </c>
      <c r="AD2393" s="79" t="str">
        <f>IF(AND(N2393="1521",MONTH(C2393)='BK-NL'!$M$11),"x","")</f>
        <v/>
      </c>
    </row>
    <row r="2394" spans="1:30" ht="16.5" customHeight="1">
      <c r="A2394" s="318" t="str">
        <f>IF(B2394&lt;&gt;"",IF(AND(B2394='IN-TC'!$S$4,OR(TH!N2394="1111",TH!O2394="1111")),TH!D2394,""),"")</f>
        <v/>
      </c>
      <c r="B2394" s="60" t="str">
        <f t="shared" si="239"/>
        <v/>
      </c>
      <c r="C2394" s="301"/>
      <c r="D2394" s="301"/>
      <c r="E2394" s="301"/>
      <c r="F2394" s="392"/>
      <c r="G2394" s="968"/>
      <c r="H2394" s="321"/>
      <c r="I2394" s="385"/>
      <c r="J2394" s="969"/>
      <c r="K2394" s="385"/>
      <c r="L2394" s="392"/>
      <c r="M2394" s="970"/>
      <c r="N2394" s="304"/>
      <c r="O2394" s="304"/>
      <c r="P2394" s="79" t="str">
        <f>IF(AND('331-CT'!$E$7=TH!H2394,OR(N2394="331",O2394="331")),"x","")</f>
        <v/>
      </c>
      <c r="Q2394" s="79" t="str">
        <f>IF(AND(B2394='111'!$L$11,OR($N2394=$Q$7,$O2394=$Q$7)),"x","")</f>
        <v/>
      </c>
      <c r="R2394" s="79" t="str">
        <f>IF(AND($N2394=$Q$7,$B2394&lt;'111'!$L$11),"x","")</f>
        <v/>
      </c>
      <c r="S2394" s="79" t="str">
        <f>IF(AND($O2394=$Q$7,$B2394&lt;'111'!$L$11),"x","")</f>
        <v/>
      </c>
      <c r="T2394" s="79" t="str">
        <f>IF(ISERROR(FIND('112'!$M$9,G2394,1)),"",IF((AND(FIND('112'!$M$9,G2394,1)&gt;=1,B2394='112'!$K$9,OR($N2394='112'!$I$6,$O2394='112'!$I$6))),"x",""))</f>
        <v/>
      </c>
      <c r="U2394" s="79" t="str">
        <f>IF(ISERROR(FIND('112'!$M$9,G2394,1)),"",IF((AND(LEFT(G2394,2)=LEFT('112'!$M$9,2),B2394&lt;'112'!$K$9,$N2394='112'!$I$6)),"x",""))</f>
        <v/>
      </c>
      <c r="V2394" s="79" t="str">
        <f>IF(ISERROR(FIND('112'!$M$9,G2394,1)),"",IF((AND(RIGHT(G2394,2)=RIGHT('112'!$M$9,2),B2394&lt;'112'!$K$9,$O2394='112'!$I$6)),"x",""))</f>
        <v/>
      </c>
      <c r="W2394" s="79" t="str">
        <f>IF(AND('341-CT'!$H$9=H2394,OR(LEFT(N2394,3)=$W$7,LEFT(O2394,3)=$W$7)),"x","")</f>
        <v/>
      </c>
      <c r="X2394" s="79" t="str">
        <f>IF(OR(TH!N2394=TH!$X$7,O2394=TH!$X$7),"x","")</f>
        <v/>
      </c>
      <c r="Y2394" s="79" t="str">
        <f>IF(AND(OR(N2394="131",O2394="131"),H2394='131-CT'!$H$9),"x","")</f>
        <v/>
      </c>
      <c r="Z2394" s="79"/>
      <c r="AA2394" s="79" t="str">
        <f>IF(AND(MONTH(E2394)='IN-NX'!$J$5,'IN-NX'!$D$7=D2394),"x","")</f>
        <v/>
      </c>
      <c r="AB2394" s="79" t="str">
        <f>IF(AND(OR(LEFT(TH!N2394,2)="15",LEFT(TH!O2394,2)="15"),LEFT(TH!O2394,3)&lt;&gt;"111",'152-CT'!$J$8=TH!F2394),"x","")</f>
        <v/>
      </c>
      <c r="AC2394" s="79" t="str">
        <f>IF(AND(OR(LEFT(TH!N2394,2)="15",LEFT(TH!O2394,2)="15"),TK!$E$7=TH!F2394),"x","")</f>
        <v/>
      </c>
      <c r="AD2394" s="79" t="str">
        <f>IF(AND(N2394="1521",MONTH(C2394)='BK-NL'!$M$11),"x","")</f>
        <v/>
      </c>
    </row>
    <row r="2395" spans="1:30" ht="16.5" customHeight="1">
      <c r="A2395" s="318" t="str">
        <f>IF(B2395&lt;&gt;"",IF(AND(B2395='IN-TC'!$S$4,OR(TH!N2395="1111",TH!O2395="1111")),TH!D2395,""),"")</f>
        <v/>
      </c>
      <c r="B2395" s="60" t="str">
        <f t="shared" ref="B2395:B2396" si="240">IF(C2395&lt;&gt;"",MONTH(C2395),"")</f>
        <v/>
      </c>
      <c r="C2395" s="301"/>
      <c r="D2395" s="301"/>
      <c r="E2395" s="301"/>
      <c r="F2395" s="69"/>
      <c r="G2395" s="968"/>
      <c r="H2395" s="303"/>
      <c r="I2395" s="385"/>
      <c r="J2395" s="969"/>
      <c r="K2395" s="385"/>
      <c r="L2395" s="392"/>
      <c r="M2395" s="970"/>
      <c r="N2395" s="304"/>
      <c r="O2395" s="304"/>
      <c r="P2395" s="79" t="str">
        <f>IF(AND('331-CT'!$E$7=TH!H2395,OR(N2395="331",O2395="331")),"x","")</f>
        <v/>
      </c>
      <c r="Q2395" s="79" t="str">
        <f>IF(AND(B2395='111'!$L$11,OR($N2395=$Q$7,$O2395=$Q$7)),"x","")</f>
        <v/>
      </c>
      <c r="R2395" s="79" t="str">
        <f>IF(AND($N2395=$Q$7,$B2395&lt;'111'!$L$11),"x","")</f>
        <v/>
      </c>
      <c r="S2395" s="79" t="str">
        <f>IF(AND($O2395=$Q$7,$B2395&lt;'111'!$L$11),"x","")</f>
        <v/>
      </c>
      <c r="T2395" s="79" t="str">
        <f>IF(ISERROR(FIND('112'!$M$9,G2395,1)),"",IF((AND(FIND('112'!$M$9,G2395,1)&gt;=1,B2395='112'!$K$9,OR($N2395='112'!$I$6,$O2395='112'!$I$6))),"x",""))</f>
        <v/>
      </c>
      <c r="U2395" s="79" t="str">
        <f>IF(ISERROR(FIND('112'!$M$9,G2395,1)),"",IF((AND(LEFT(G2395,2)=LEFT('112'!$M$9,2),B2395&lt;'112'!$K$9,$N2395='112'!$I$6)),"x",""))</f>
        <v/>
      </c>
      <c r="V2395" s="79" t="str">
        <f>IF(ISERROR(FIND('112'!$M$9,G2395,1)),"",IF((AND(RIGHT(G2395,2)=RIGHT('112'!$M$9,2),B2395&lt;'112'!$K$9,$O2395='112'!$I$6)),"x",""))</f>
        <v/>
      </c>
      <c r="W2395" s="79" t="str">
        <f>IF(AND('341-CT'!$H$9=H2395,OR(LEFT(N2395,3)=$W$7,LEFT(O2395,3)=$W$7)),"x","")</f>
        <v/>
      </c>
      <c r="X2395" s="79" t="str">
        <f>IF(OR(TH!N2395=TH!$X$7,O2395=TH!$X$7),"x","")</f>
        <v/>
      </c>
      <c r="Y2395" s="79" t="str">
        <f>IF(AND(OR(N2395="131",O2395="131"),H2395='131-CT'!$H$9),"x","")</f>
        <v/>
      </c>
      <c r="Z2395" s="79"/>
      <c r="AA2395" s="79" t="str">
        <f>IF(AND(MONTH(E2395)='IN-NX'!$J$5,'IN-NX'!$D$7=D2395),"x","")</f>
        <v/>
      </c>
      <c r="AB2395" s="79" t="str">
        <f>IF(AND(OR(LEFT(TH!N2395,2)="15",LEFT(TH!O2395,2)="15"),LEFT(TH!O2395,3)&lt;&gt;"111",'152-CT'!$J$8=TH!F2395),"x","")</f>
        <v/>
      </c>
      <c r="AC2395" s="79" t="str">
        <f>IF(AND(OR(LEFT(TH!N2395,2)="15",LEFT(TH!O2395,2)="15"),TK!$E$7=TH!F2395),"x","")</f>
        <v/>
      </c>
      <c r="AD2395" s="79" t="str">
        <f>IF(AND(N2395="1521",MONTH(C2395)='BK-NL'!$M$11),"x","")</f>
        <v/>
      </c>
    </row>
    <row r="2396" spans="1:30" ht="16.5" customHeight="1">
      <c r="A2396" s="318" t="str">
        <f>IF(B2396&lt;&gt;"",IF(AND(B2396='IN-TC'!$S$4,OR(TH!N2396="1111",TH!O2396="1111")),TH!D2396,""),"")</f>
        <v/>
      </c>
      <c r="B2396" s="60" t="str">
        <f t="shared" si="240"/>
        <v/>
      </c>
      <c r="C2396" s="301"/>
      <c r="D2396" s="301"/>
      <c r="E2396" s="301"/>
      <c r="F2396" s="69"/>
      <c r="G2396" s="968"/>
      <c r="H2396" s="303"/>
      <c r="I2396" s="385"/>
      <c r="J2396" s="969"/>
      <c r="K2396" s="385"/>
      <c r="L2396" s="392"/>
      <c r="M2396" s="970"/>
      <c r="N2396" s="304"/>
      <c r="O2396" s="304"/>
      <c r="P2396" s="79" t="str">
        <f>IF(AND('331-CT'!$E$7=TH!H2396,OR(N2396="331",O2396="331")),"x","")</f>
        <v/>
      </c>
      <c r="Q2396" s="79" t="str">
        <f>IF(AND(B2396='111'!$L$11,OR($N2396=$Q$7,$O2396=$Q$7)),"x","")</f>
        <v/>
      </c>
      <c r="R2396" s="79" t="str">
        <f>IF(AND($N2396=$Q$7,$B2396&lt;'111'!$L$11),"x","")</f>
        <v/>
      </c>
      <c r="S2396" s="79" t="str">
        <f>IF(AND($O2396=$Q$7,$B2396&lt;'111'!$L$11),"x","")</f>
        <v/>
      </c>
      <c r="T2396" s="79" t="str">
        <f>IF(ISERROR(FIND('112'!$M$9,G2396,1)),"",IF((AND(FIND('112'!$M$9,G2396,1)&gt;=1,B2396='112'!$K$9,OR($N2396='112'!$I$6,$O2396='112'!$I$6))),"x",""))</f>
        <v/>
      </c>
      <c r="U2396" s="79" t="str">
        <f>IF(ISERROR(FIND('112'!$M$9,G2396,1)),"",IF((AND(LEFT(G2396,2)=LEFT('112'!$M$9,2),B2396&lt;'112'!$K$9,$N2396='112'!$I$6)),"x",""))</f>
        <v/>
      </c>
      <c r="V2396" s="79" t="str">
        <f>IF(ISERROR(FIND('112'!$M$9,G2396,1)),"",IF((AND(RIGHT(G2396,2)=RIGHT('112'!$M$9,2),B2396&lt;'112'!$K$9,$O2396='112'!$I$6)),"x",""))</f>
        <v/>
      </c>
      <c r="W2396" s="79" t="str">
        <f>IF(AND('341-CT'!$H$9=H2396,OR(LEFT(N2396,3)=$W$7,LEFT(O2396,3)=$W$7)),"x","")</f>
        <v/>
      </c>
      <c r="X2396" s="79" t="str">
        <f>IF(OR(TH!N2396=TH!$X$7,O2396=TH!$X$7),"x","")</f>
        <v/>
      </c>
      <c r="Y2396" s="79" t="str">
        <f>IF(AND(OR(N2396="131",O2396="131"),H2396='131-CT'!$H$9),"x","")</f>
        <v/>
      </c>
      <c r="Z2396" s="79"/>
      <c r="AA2396" s="79" t="str">
        <f>IF(AND(MONTH(E2396)='IN-NX'!$J$5,'IN-NX'!$D$7=D2396),"x","")</f>
        <v/>
      </c>
      <c r="AB2396" s="79" t="str">
        <f>IF(AND(OR(LEFT(TH!N2396,2)="15",LEFT(TH!O2396,2)="15"),LEFT(TH!O2396,3)&lt;&gt;"111",'152-CT'!$J$8=TH!F2396),"x","")</f>
        <v/>
      </c>
      <c r="AC2396" s="79" t="str">
        <f>IF(AND(OR(LEFT(TH!N2396,2)="15",LEFT(TH!O2396,2)="15"),TK!$E$7=TH!F2396),"x","")</f>
        <v/>
      </c>
      <c r="AD2396" s="79" t="str">
        <f>IF(AND(N2396="1521",MONTH(C2396)='BK-NL'!$M$11),"x","")</f>
        <v/>
      </c>
    </row>
    <row r="2397" spans="1:30" ht="16.5" customHeight="1">
      <c r="A2397" s="318" t="str">
        <f>IF(B2397&lt;&gt;"",IF(AND(B2397='IN-TC'!$S$4,OR(TH!N2397="1111",TH!O2397="1111")),TH!D2397,""),"")</f>
        <v/>
      </c>
      <c r="B2397" s="60" t="str">
        <f t="shared" ref="B2397:B2429" si="241">IF(C2397&lt;&gt;"",MONTH(C2397),"")</f>
        <v/>
      </c>
      <c r="C2397" s="301"/>
      <c r="D2397" s="301"/>
      <c r="E2397" s="301"/>
      <c r="F2397" s="69"/>
      <c r="G2397" s="968"/>
      <c r="H2397" s="303"/>
      <c r="I2397" s="385"/>
      <c r="J2397" s="969"/>
      <c r="K2397" s="385"/>
      <c r="L2397" s="392"/>
      <c r="M2397" s="970"/>
      <c r="N2397" s="304"/>
      <c r="O2397" s="304"/>
      <c r="P2397" s="79" t="str">
        <f>IF(AND('331-CT'!$E$7=TH!H2397,OR(N2397="331",O2397="331")),"x","")</f>
        <v/>
      </c>
      <c r="Q2397" s="79" t="str">
        <f>IF(AND(B2397='111'!$L$11,OR($N2397=$Q$7,$O2397=$Q$7)),"x","")</f>
        <v/>
      </c>
      <c r="R2397" s="79" t="str">
        <f>IF(AND($N2397=$Q$7,$B2397&lt;'111'!$L$11),"x","")</f>
        <v/>
      </c>
      <c r="S2397" s="79" t="str">
        <f>IF(AND($O2397=$Q$7,$B2397&lt;'111'!$L$11),"x","")</f>
        <v/>
      </c>
      <c r="T2397" s="79" t="str">
        <f>IF(ISERROR(FIND('112'!$M$9,G2397,1)),"",IF((AND(FIND('112'!$M$9,G2397,1)&gt;=1,B2397='112'!$K$9,OR($N2397='112'!$I$6,$O2397='112'!$I$6))),"x",""))</f>
        <v/>
      </c>
      <c r="U2397" s="79" t="str">
        <f>IF(ISERROR(FIND('112'!$M$9,G2397,1)),"",IF((AND(LEFT(G2397,2)=LEFT('112'!$M$9,2),B2397&lt;'112'!$K$9,$N2397='112'!$I$6)),"x",""))</f>
        <v/>
      </c>
      <c r="V2397" s="79" t="str">
        <f>IF(ISERROR(FIND('112'!$M$9,G2397,1)),"",IF((AND(RIGHT(G2397,2)=RIGHT('112'!$M$9,2),B2397&lt;'112'!$K$9,$O2397='112'!$I$6)),"x",""))</f>
        <v/>
      </c>
      <c r="W2397" s="79" t="str">
        <f>IF(AND('341-CT'!$H$9=H2397,OR(LEFT(N2397,3)=$W$7,LEFT(O2397,3)=$W$7)),"x","")</f>
        <v/>
      </c>
      <c r="X2397" s="79" t="str">
        <f>IF(OR(TH!N2397=TH!$X$7,O2397=TH!$X$7),"x","")</f>
        <v/>
      </c>
      <c r="Y2397" s="79" t="str">
        <f>IF(AND(OR(N2397="131",O2397="131"),H2397='131-CT'!$H$9),"x","")</f>
        <v/>
      </c>
      <c r="Z2397" s="79"/>
      <c r="AA2397" s="79" t="str">
        <f>IF(AND(MONTH(E2397)='IN-NX'!$J$5,'IN-NX'!$D$7=D2397),"x","")</f>
        <v/>
      </c>
      <c r="AB2397" s="79" t="str">
        <f>IF(AND(OR(LEFT(TH!N2397,2)="15",LEFT(TH!O2397,2)="15"),LEFT(TH!O2397,3)&lt;&gt;"111",'152-CT'!$J$8=TH!F2397),"x","")</f>
        <v/>
      </c>
      <c r="AC2397" s="79" t="str">
        <f>IF(AND(OR(LEFT(TH!N2397,2)="15",LEFT(TH!O2397,2)="15"),TK!$E$7=TH!F2397),"x","")</f>
        <v/>
      </c>
      <c r="AD2397" s="79" t="str">
        <f>IF(AND(N2397="1521",MONTH(C2397)='BK-NL'!$M$11),"x","")</f>
        <v/>
      </c>
    </row>
    <row r="2398" spans="1:30" ht="16.5" customHeight="1">
      <c r="A2398" s="318" t="str">
        <f>IF(B2398&lt;&gt;"",IF(AND(B2398='IN-TC'!$S$4,OR(TH!N2398="1111",TH!O2398="1111")),TH!D2398,""),"")</f>
        <v/>
      </c>
      <c r="B2398" s="60" t="str">
        <f t="shared" si="241"/>
        <v/>
      </c>
      <c r="C2398" s="301"/>
      <c r="D2398" s="301"/>
      <c r="E2398" s="301"/>
      <c r="F2398" s="69"/>
      <c r="G2398" s="968"/>
      <c r="H2398" s="303"/>
      <c r="I2398" s="385"/>
      <c r="J2398" s="969"/>
      <c r="K2398" s="385"/>
      <c r="L2398" s="392"/>
      <c r="M2398" s="970"/>
      <c r="N2398" s="304"/>
      <c r="O2398" s="304"/>
      <c r="P2398" s="79" t="str">
        <f>IF(AND('331-CT'!$E$7=TH!H2398,OR(N2398="331",O2398="331")),"x","")</f>
        <v/>
      </c>
      <c r="Q2398" s="79" t="str">
        <f>IF(AND(B2398='111'!$L$11,OR($N2398=$Q$7,$O2398=$Q$7)),"x","")</f>
        <v/>
      </c>
      <c r="R2398" s="79" t="str">
        <f>IF(AND($N2398=$Q$7,$B2398&lt;'111'!$L$11),"x","")</f>
        <v/>
      </c>
      <c r="S2398" s="79" t="str">
        <f>IF(AND($O2398=$Q$7,$B2398&lt;'111'!$L$11),"x","")</f>
        <v/>
      </c>
      <c r="T2398" s="79" t="str">
        <f>IF(ISERROR(FIND('112'!$M$9,G2398,1)),"",IF((AND(FIND('112'!$M$9,G2398,1)&gt;=1,B2398='112'!$K$9,OR($N2398='112'!$I$6,$O2398='112'!$I$6))),"x",""))</f>
        <v/>
      </c>
      <c r="U2398" s="79" t="str">
        <f>IF(ISERROR(FIND('112'!$M$9,G2398,1)),"",IF((AND(LEFT(G2398,2)=LEFT('112'!$M$9,2),B2398&lt;'112'!$K$9,$N2398='112'!$I$6)),"x",""))</f>
        <v/>
      </c>
      <c r="V2398" s="79" t="str">
        <f>IF(ISERROR(FIND('112'!$M$9,G2398,1)),"",IF((AND(RIGHT(G2398,2)=RIGHT('112'!$M$9,2),B2398&lt;'112'!$K$9,$O2398='112'!$I$6)),"x",""))</f>
        <v/>
      </c>
      <c r="W2398" s="79" t="str">
        <f>IF(AND('341-CT'!$H$9=H2398,OR(LEFT(N2398,3)=$W$7,LEFT(O2398,3)=$W$7)),"x","")</f>
        <v/>
      </c>
      <c r="X2398" s="79" t="str">
        <f>IF(OR(TH!N2398=TH!$X$7,O2398=TH!$X$7),"x","")</f>
        <v/>
      </c>
      <c r="Y2398" s="79" t="str">
        <f>IF(AND(OR(N2398="131",O2398="131"),H2398='131-CT'!$H$9),"x","")</f>
        <v/>
      </c>
      <c r="Z2398" s="79"/>
      <c r="AA2398" s="79" t="str">
        <f>IF(AND(MONTH(E2398)='IN-NX'!$J$5,'IN-NX'!$D$7=D2398),"x","")</f>
        <v/>
      </c>
      <c r="AB2398" s="79" t="str">
        <f>IF(AND(OR(LEFT(TH!N2398,2)="15",LEFT(TH!O2398,2)="15"),LEFT(TH!O2398,3)&lt;&gt;"111",'152-CT'!$J$8=TH!F2398),"x","")</f>
        <v/>
      </c>
      <c r="AC2398" s="79" t="str">
        <f>IF(AND(OR(LEFT(TH!N2398,2)="15",LEFT(TH!O2398,2)="15"),TK!$E$7=TH!F2398),"x","")</f>
        <v/>
      </c>
      <c r="AD2398" s="79" t="str">
        <f>IF(AND(N2398="1521",MONTH(C2398)='BK-NL'!$M$11),"x","")</f>
        <v/>
      </c>
    </row>
    <row r="2399" spans="1:30" ht="16.5" customHeight="1">
      <c r="A2399" s="318" t="str">
        <f>IF(B2399&lt;&gt;"",IF(AND(B2399='IN-TC'!$S$4,OR(TH!N2399="1111",TH!O2399="1111")),TH!D2399,""),"")</f>
        <v/>
      </c>
      <c r="B2399" s="60" t="str">
        <f t="shared" si="241"/>
        <v/>
      </c>
      <c r="C2399" s="301"/>
      <c r="D2399" s="301"/>
      <c r="E2399" s="301"/>
      <c r="F2399" s="69"/>
      <c r="G2399" s="968"/>
      <c r="H2399" s="303"/>
      <c r="I2399" s="385"/>
      <c r="J2399" s="969"/>
      <c r="K2399" s="385"/>
      <c r="L2399" s="392"/>
      <c r="M2399" s="970"/>
      <c r="N2399" s="304"/>
      <c r="O2399" s="304"/>
      <c r="P2399" s="79" t="str">
        <f>IF(AND('331-CT'!$E$7=TH!H2399,OR(N2399="331",O2399="331")),"x","")</f>
        <v/>
      </c>
      <c r="Q2399" s="79" t="str">
        <f>IF(AND(B2399='111'!$L$11,OR($N2399=$Q$7,$O2399=$Q$7)),"x","")</f>
        <v/>
      </c>
      <c r="R2399" s="79" t="str">
        <f>IF(AND($N2399=$Q$7,$B2399&lt;'111'!$L$11),"x","")</f>
        <v/>
      </c>
      <c r="S2399" s="79" t="str">
        <f>IF(AND($O2399=$Q$7,$B2399&lt;'111'!$L$11),"x","")</f>
        <v/>
      </c>
      <c r="T2399" s="79" t="str">
        <f>IF(ISERROR(FIND('112'!$M$9,G2399,1)),"",IF((AND(FIND('112'!$M$9,G2399,1)&gt;=1,B2399='112'!$K$9,OR($N2399='112'!$I$6,$O2399='112'!$I$6))),"x",""))</f>
        <v/>
      </c>
      <c r="U2399" s="79" t="str">
        <f>IF(ISERROR(FIND('112'!$M$9,G2399,1)),"",IF((AND(LEFT(G2399,2)=LEFT('112'!$M$9,2),B2399&lt;'112'!$K$9,$N2399='112'!$I$6)),"x",""))</f>
        <v/>
      </c>
      <c r="V2399" s="79" t="str">
        <f>IF(ISERROR(FIND('112'!$M$9,G2399,1)),"",IF((AND(RIGHT(G2399,2)=RIGHT('112'!$M$9,2),B2399&lt;'112'!$K$9,$O2399='112'!$I$6)),"x",""))</f>
        <v/>
      </c>
      <c r="W2399" s="79" t="str">
        <f>IF(AND('341-CT'!$H$9=H2399,OR(LEFT(N2399,3)=$W$7,LEFT(O2399,3)=$W$7)),"x","")</f>
        <v/>
      </c>
      <c r="X2399" s="79" t="str">
        <f>IF(OR(TH!N2399=TH!$X$7,O2399=TH!$X$7),"x","")</f>
        <v/>
      </c>
      <c r="Y2399" s="79" t="str">
        <f>IF(AND(OR(N2399="131",O2399="131"),H2399='131-CT'!$H$9),"x","")</f>
        <v/>
      </c>
      <c r="Z2399" s="79"/>
      <c r="AA2399" s="79" t="str">
        <f>IF(AND(MONTH(E2399)='IN-NX'!$J$5,'IN-NX'!$D$7=D2399),"x","")</f>
        <v/>
      </c>
      <c r="AB2399" s="79" t="str">
        <f>IF(AND(OR(LEFT(TH!N2399,2)="15",LEFT(TH!O2399,2)="15"),LEFT(TH!O2399,3)&lt;&gt;"111",'152-CT'!$J$8=TH!F2399),"x","")</f>
        <v/>
      </c>
      <c r="AC2399" s="79" t="str">
        <f>IF(AND(OR(LEFT(TH!N2399,2)="15",LEFT(TH!O2399,2)="15"),TK!$E$7=TH!F2399),"x","")</f>
        <v/>
      </c>
      <c r="AD2399" s="79" t="str">
        <f>IF(AND(N2399="1521",MONTH(C2399)='BK-NL'!$M$11),"x","")</f>
        <v/>
      </c>
    </row>
    <row r="2400" spans="1:30" ht="16.5" customHeight="1">
      <c r="A2400" s="318" t="str">
        <f>IF(B2400&lt;&gt;"",IF(AND(B2400='IN-TC'!$S$4,OR(TH!N2400="1111",TH!O2400="1111")),TH!D2400,""),"")</f>
        <v/>
      </c>
      <c r="B2400" s="60" t="str">
        <f t="shared" si="241"/>
        <v/>
      </c>
      <c r="C2400" s="301"/>
      <c r="D2400" s="301"/>
      <c r="E2400" s="301"/>
      <c r="F2400" s="69"/>
      <c r="G2400" s="968"/>
      <c r="H2400" s="303"/>
      <c r="I2400" s="385"/>
      <c r="J2400" s="969"/>
      <c r="K2400" s="385"/>
      <c r="L2400" s="392"/>
      <c r="M2400" s="970"/>
      <c r="N2400" s="304"/>
      <c r="O2400" s="304"/>
      <c r="P2400" s="79" t="str">
        <f>IF(AND('331-CT'!$E$7=TH!H2400,OR(N2400="331",O2400="331")),"x","")</f>
        <v/>
      </c>
      <c r="Q2400" s="79" t="str">
        <f>IF(AND(B2400='111'!$L$11,OR($N2400=$Q$7,$O2400=$Q$7)),"x","")</f>
        <v/>
      </c>
      <c r="R2400" s="79" t="str">
        <f>IF(AND($N2400=$Q$7,$B2400&lt;'111'!$L$11),"x","")</f>
        <v/>
      </c>
      <c r="S2400" s="79" t="str">
        <f>IF(AND($O2400=$Q$7,$B2400&lt;'111'!$L$11),"x","")</f>
        <v/>
      </c>
      <c r="T2400" s="79" t="str">
        <f>IF(ISERROR(FIND('112'!$M$9,G2400,1)),"",IF((AND(FIND('112'!$M$9,G2400,1)&gt;=1,B2400='112'!$K$9,OR($N2400='112'!$I$6,$O2400='112'!$I$6))),"x",""))</f>
        <v/>
      </c>
      <c r="U2400" s="79" t="str">
        <f>IF(ISERROR(FIND('112'!$M$9,G2400,1)),"",IF((AND(LEFT(G2400,2)=LEFT('112'!$M$9,2),B2400&lt;'112'!$K$9,$N2400='112'!$I$6)),"x",""))</f>
        <v/>
      </c>
      <c r="V2400" s="79" t="str">
        <f>IF(ISERROR(FIND('112'!$M$9,G2400,1)),"",IF((AND(RIGHT(G2400,2)=RIGHT('112'!$M$9,2),B2400&lt;'112'!$K$9,$O2400='112'!$I$6)),"x",""))</f>
        <v/>
      </c>
      <c r="W2400" s="79" t="str">
        <f>IF(AND('341-CT'!$H$9=H2400,OR(LEFT(N2400,3)=$W$7,LEFT(O2400,3)=$W$7)),"x","")</f>
        <v/>
      </c>
      <c r="X2400" s="79" t="str">
        <f>IF(OR(TH!N2400=TH!$X$7,O2400=TH!$X$7),"x","")</f>
        <v/>
      </c>
      <c r="Y2400" s="79" t="str">
        <f>IF(AND(OR(N2400="131",O2400="131"),H2400='131-CT'!$H$9),"x","")</f>
        <v/>
      </c>
      <c r="Z2400" s="79"/>
      <c r="AA2400" s="79" t="str">
        <f>IF(AND(MONTH(E2400)='IN-NX'!$J$5,'IN-NX'!$D$7=D2400),"x","")</f>
        <v/>
      </c>
      <c r="AB2400" s="79" t="str">
        <f>IF(AND(OR(LEFT(TH!N2400,2)="15",LEFT(TH!O2400,2)="15"),LEFT(TH!O2400,3)&lt;&gt;"111",'152-CT'!$J$8=TH!F2400),"x","")</f>
        <v/>
      </c>
      <c r="AC2400" s="79" t="str">
        <f>IF(AND(OR(LEFT(TH!N2400,2)="15",LEFT(TH!O2400,2)="15"),TK!$E$7=TH!F2400),"x","")</f>
        <v/>
      </c>
      <c r="AD2400" s="79" t="str">
        <f>IF(AND(N2400="1521",MONTH(C2400)='BK-NL'!$M$11),"x","")</f>
        <v/>
      </c>
    </row>
    <row r="2401" spans="1:30" ht="16.5" customHeight="1">
      <c r="A2401" s="318" t="str">
        <f>IF(B2401&lt;&gt;"",IF(AND(B2401='IN-TC'!$S$4,OR(TH!N2401="1111",TH!O2401="1111")),TH!D2401,""),"")</f>
        <v/>
      </c>
      <c r="B2401" s="60" t="str">
        <f t="shared" si="241"/>
        <v/>
      </c>
      <c r="C2401" s="301"/>
      <c r="D2401" s="301"/>
      <c r="E2401" s="301"/>
      <c r="F2401" s="69"/>
      <c r="G2401" s="968"/>
      <c r="H2401" s="303"/>
      <c r="I2401" s="385"/>
      <c r="J2401" s="969"/>
      <c r="K2401" s="385"/>
      <c r="L2401" s="392"/>
      <c r="M2401" s="970"/>
      <c r="N2401" s="304"/>
      <c r="O2401" s="304"/>
      <c r="P2401" s="79" t="str">
        <f>IF(AND('331-CT'!$E$7=TH!H2401,OR(N2401="331",O2401="331")),"x","")</f>
        <v/>
      </c>
      <c r="Q2401" s="79" t="str">
        <f>IF(AND(B2401='111'!$L$11,OR($N2401=$Q$7,$O2401=$Q$7)),"x","")</f>
        <v/>
      </c>
      <c r="R2401" s="79" t="str">
        <f>IF(AND($N2401=$Q$7,$B2401&lt;'111'!$L$11),"x","")</f>
        <v/>
      </c>
      <c r="S2401" s="79" t="str">
        <f>IF(AND($O2401=$Q$7,$B2401&lt;'111'!$L$11),"x","")</f>
        <v/>
      </c>
      <c r="T2401" s="79" t="str">
        <f>IF(ISERROR(FIND('112'!$M$9,G2401,1)),"",IF((AND(FIND('112'!$M$9,G2401,1)&gt;=1,B2401='112'!$K$9,OR($N2401='112'!$I$6,$O2401='112'!$I$6))),"x",""))</f>
        <v/>
      </c>
      <c r="U2401" s="79" t="str">
        <f>IF(ISERROR(FIND('112'!$M$9,G2401,1)),"",IF((AND(LEFT(G2401,2)=LEFT('112'!$M$9,2),B2401&lt;'112'!$K$9,$N2401='112'!$I$6)),"x",""))</f>
        <v/>
      </c>
      <c r="V2401" s="79" t="str">
        <f>IF(ISERROR(FIND('112'!$M$9,G2401,1)),"",IF((AND(RIGHT(G2401,2)=RIGHT('112'!$M$9,2),B2401&lt;'112'!$K$9,$O2401='112'!$I$6)),"x",""))</f>
        <v/>
      </c>
      <c r="W2401" s="79" t="str">
        <f>IF(AND('341-CT'!$H$9=H2401,OR(LEFT(N2401,3)=$W$7,LEFT(O2401,3)=$W$7)),"x","")</f>
        <v/>
      </c>
      <c r="X2401" s="79" t="str">
        <f>IF(OR(TH!N2401=TH!$X$7,O2401=TH!$X$7),"x","")</f>
        <v/>
      </c>
      <c r="Y2401" s="79" t="str">
        <f>IF(AND(OR(N2401="131",O2401="131"),H2401='131-CT'!$H$9),"x","")</f>
        <v/>
      </c>
      <c r="Z2401" s="79"/>
      <c r="AA2401" s="79" t="str">
        <f>IF(AND(MONTH(E2401)='IN-NX'!$J$5,'IN-NX'!$D$7=D2401),"x","")</f>
        <v/>
      </c>
      <c r="AB2401" s="79" t="str">
        <f>IF(AND(OR(LEFT(TH!N2401,2)="15",LEFT(TH!O2401,2)="15"),LEFT(TH!O2401,3)&lt;&gt;"111",'152-CT'!$J$8=TH!F2401),"x","")</f>
        <v/>
      </c>
      <c r="AC2401" s="79" t="str">
        <f>IF(AND(OR(LEFT(TH!N2401,2)="15",LEFT(TH!O2401,2)="15"),TK!$E$7=TH!F2401),"x","")</f>
        <v/>
      </c>
      <c r="AD2401" s="79" t="str">
        <f>IF(AND(N2401="1521",MONTH(C2401)='BK-NL'!$M$11),"x","")</f>
        <v/>
      </c>
    </row>
    <row r="2402" spans="1:30" ht="16.5" customHeight="1">
      <c r="A2402" s="318" t="str">
        <f>IF(B2402&lt;&gt;"",IF(AND(B2402='IN-TC'!$S$4,OR(TH!N2402="1111",TH!O2402="1111")),TH!D2402,""),"")</f>
        <v/>
      </c>
      <c r="B2402" s="60" t="str">
        <f t="shared" si="241"/>
        <v/>
      </c>
      <c r="C2402" s="301"/>
      <c r="D2402" s="301"/>
      <c r="E2402" s="301"/>
      <c r="F2402" s="69"/>
      <c r="G2402" s="968"/>
      <c r="H2402" s="303"/>
      <c r="I2402" s="385"/>
      <c r="J2402" s="969"/>
      <c r="K2402" s="385"/>
      <c r="L2402" s="392"/>
      <c r="M2402" s="970"/>
      <c r="N2402" s="304"/>
      <c r="O2402" s="304"/>
      <c r="P2402" s="79" t="str">
        <f>IF(AND('331-CT'!$E$7=TH!H2402,OR(N2402="331",O2402="331")),"x","")</f>
        <v/>
      </c>
      <c r="Q2402" s="79" t="str">
        <f>IF(AND(B2402='111'!$L$11,OR($N2402=$Q$7,$O2402=$Q$7)),"x","")</f>
        <v/>
      </c>
      <c r="R2402" s="79" t="str">
        <f>IF(AND($N2402=$Q$7,$B2402&lt;'111'!$L$11),"x","")</f>
        <v/>
      </c>
      <c r="S2402" s="79" t="str">
        <f>IF(AND($O2402=$Q$7,$B2402&lt;'111'!$L$11),"x","")</f>
        <v/>
      </c>
      <c r="T2402" s="79" t="str">
        <f>IF(ISERROR(FIND('112'!$M$9,G2402,1)),"",IF((AND(FIND('112'!$M$9,G2402,1)&gt;=1,B2402='112'!$K$9,OR($N2402='112'!$I$6,$O2402='112'!$I$6))),"x",""))</f>
        <v/>
      </c>
      <c r="U2402" s="79" t="str">
        <f>IF(ISERROR(FIND('112'!$M$9,G2402,1)),"",IF((AND(LEFT(G2402,2)=LEFT('112'!$M$9,2),B2402&lt;'112'!$K$9,$N2402='112'!$I$6)),"x",""))</f>
        <v/>
      </c>
      <c r="V2402" s="79" t="str">
        <f>IF(ISERROR(FIND('112'!$M$9,G2402,1)),"",IF((AND(RIGHT(G2402,2)=RIGHT('112'!$M$9,2),B2402&lt;'112'!$K$9,$O2402='112'!$I$6)),"x",""))</f>
        <v/>
      </c>
      <c r="W2402" s="79" t="str">
        <f>IF(AND('341-CT'!$H$9=H2402,OR(LEFT(N2402,3)=$W$7,LEFT(O2402,3)=$W$7)),"x","")</f>
        <v/>
      </c>
      <c r="X2402" s="79" t="str">
        <f>IF(OR(TH!N2402=TH!$X$7,O2402=TH!$X$7),"x","")</f>
        <v/>
      </c>
      <c r="Y2402" s="79" t="str">
        <f>IF(AND(OR(N2402="131",O2402="131"),H2402='131-CT'!$H$9),"x","")</f>
        <v/>
      </c>
      <c r="Z2402" s="79"/>
      <c r="AA2402" s="79" t="str">
        <f>IF(AND(MONTH(E2402)='IN-NX'!$J$5,'IN-NX'!$D$7=D2402),"x","")</f>
        <v/>
      </c>
      <c r="AB2402" s="79" t="str">
        <f>IF(AND(OR(LEFT(TH!N2402,2)="15",LEFT(TH!O2402,2)="15"),LEFT(TH!O2402,3)&lt;&gt;"111",'152-CT'!$J$8=TH!F2402),"x","")</f>
        <v/>
      </c>
      <c r="AC2402" s="79" t="str">
        <f>IF(AND(OR(LEFT(TH!N2402,2)="15",LEFT(TH!O2402,2)="15"),TK!$E$7=TH!F2402),"x","")</f>
        <v/>
      </c>
      <c r="AD2402" s="79" t="str">
        <f>IF(AND(N2402="1521",MONTH(C2402)='BK-NL'!$M$11),"x","")</f>
        <v/>
      </c>
    </row>
    <row r="2403" spans="1:30" ht="16.5" customHeight="1">
      <c r="A2403" s="318" t="str">
        <f>IF(B2403&lt;&gt;"",IF(AND(B2403='IN-TC'!$S$4,OR(TH!N2403="1111",TH!O2403="1111")),TH!D2403,""),"")</f>
        <v/>
      </c>
      <c r="B2403" s="60" t="str">
        <f t="shared" si="241"/>
        <v/>
      </c>
      <c r="C2403" s="301"/>
      <c r="D2403" s="301"/>
      <c r="E2403" s="301"/>
      <c r="F2403" s="69"/>
      <c r="G2403" s="968"/>
      <c r="H2403" s="303"/>
      <c r="I2403" s="385"/>
      <c r="J2403" s="969"/>
      <c r="K2403" s="385"/>
      <c r="L2403" s="392"/>
      <c r="M2403" s="970"/>
      <c r="N2403" s="304"/>
      <c r="O2403" s="304"/>
      <c r="P2403" s="79" t="str">
        <f>IF(AND('331-CT'!$E$7=TH!H2403,OR(N2403="331",O2403="331")),"x","")</f>
        <v/>
      </c>
      <c r="Q2403" s="79" t="str">
        <f>IF(AND(B2403='111'!$L$11,OR($N2403=$Q$7,$O2403=$Q$7)),"x","")</f>
        <v/>
      </c>
      <c r="R2403" s="79" t="str">
        <f>IF(AND($N2403=$Q$7,$B2403&lt;'111'!$L$11),"x","")</f>
        <v/>
      </c>
      <c r="S2403" s="79" t="str">
        <f>IF(AND($O2403=$Q$7,$B2403&lt;'111'!$L$11),"x","")</f>
        <v/>
      </c>
      <c r="T2403" s="79" t="str">
        <f>IF(ISERROR(FIND('112'!$M$9,G2403,1)),"",IF((AND(FIND('112'!$M$9,G2403,1)&gt;=1,B2403='112'!$K$9,OR($N2403='112'!$I$6,$O2403='112'!$I$6))),"x",""))</f>
        <v/>
      </c>
      <c r="U2403" s="79" t="str">
        <f>IF(ISERROR(FIND('112'!$M$9,G2403,1)),"",IF((AND(LEFT(G2403,2)=LEFT('112'!$M$9,2),B2403&lt;'112'!$K$9,$N2403='112'!$I$6)),"x",""))</f>
        <v/>
      </c>
      <c r="V2403" s="79" t="str">
        <f>IF(ISERROR(FIND('112'!$M$9,G2403,1)),"",IF((AND(RIGHT(G2403,2)=RIGHT('112'!$M$9,2),B2403&lt;'112'!$K$9,$O2403='112'!$I$6)),"x",""))</f>
        <v/>
      </c>
      <c r="W2403" s="79" t="str">
        <f>IF(AND('341-CT'!$H$9=H2403,OR(LEFT(N2403,3)=$W$7,LEFT(O2403,3)=$W$7)),"x","")</f>
        <v/>
      </c>
      <c r="X2403" s="79" t="str">
        <f>IF(OR(TH!N2403=TH!$X$7,O2403=TH!$X$7),"x","")</f>
        <v/>
      </c>
      <c r="Y2403" s="79" t="str">
        <f>IF(AND(OR(N2403="131",O2403="131"),H2403='131-CT'!$H$9),"x","")</f>
        <v/>
      </c>
      <c r="Z2403" s="79"/>
      <c r="AA2403" s="79" t="str">
        <f>IF(AND(MONTH(E2403)='IN-NX'!$J$5,'IN-NX'!$D$7=D2403),"x","")</f>
        <v/>
      </c>
      <c r="AB2403" s="79" t="str">
        <f>IF(AND(OR(LEFT(TH!N2403,2)="15",LEFT(TH!O2403,2)="15"),LEFT(TH!O2403,3)&lt;&gt;"111",'152-CT'!$J$8=TH!F2403),"x","")</f>
        <v/>
      </c>
      <c r="AC2403" s="79" t="str">
        <f>IF(AND(OR(LEFT(TH!N2403,2)="15",LEFT(TH!O2403,2)="15"),TK!$E$7=TH!F2403),"x","")</f>
        <v/>
      </c>
      <c r="AD2403" s="79" t="str">
        <f>IF(AND(N2403="1521",MONTH(C2403)='BK-NL'!$M$11),"x","")</f>
        <v/>
      </c>
    </row>
    <row r="2404" spans="1:30" ht="16.5" customHeight="1">
      <c r="A2404" s="318" t="str">
        <f>IF(B2404&lt;&gt;"",IF(AND(B2404='IN-TC'!$S$4,OR(TH!N2404="1111",TH!O2404="1111")),TH!D2404,""),"")</f>
        <v/>
      </c>
      <c r="B2404" s="60" t="str">
        <f t="shared" si="241"/>
        <v/>
      </c>
      <c r="C2404" s="301"/>
      <c r="D2404" s="301"/>
      <c r="E2404" s="301"/>
      <c r="F2404" s="69"/>
      <c r="G2404" s="968"/>
      <c r="H2404" s="303"/>
      <c r="I2404" s="385"/>
      <c r="J2404" s="969"/>
      <c r="K2404" s="385"/>
      <c r="L2404" s="392"/>
      <c r="M2404" s="970"/>
      <c r="N2404" s="304"/>
      <c r="O2404" s="304"/>
      <c r="P2404" s="79" t="str">
        <f>IF(AND('331-CT'!$E$7=TH!H2404,OR(N2404="331",O2404="331")),"x","")</f>
        <v/>
      </c>
      <c r="Q2404" s="79" t="str">
        <f>IF(AND(B2404='111'!$L$11,OR($N2404=$Q$7,$O2404=$Q$7)),"x","")</f>
        <v/>
      </c>
      <c r="R2404" s="79" t="str">
        <f>IF(AND($N2404=$Q$7,$B2404&lt;'111'!$L$11),"x","")</f>
        <v/>
      </c>
      <c r="S2404" s="79" t="str">
        <f>IF(AND($O2404=$Q$7,$B2404&lt;'111'!$L$11),"x","")</f>
        <v/>
      </c>
      <c r="T2404" s="79" t="str">
        <f>IF(ISERROR(FIND('112'!$M$9,G2404,1)),"",IF((AND(FIND('112'!$M$9,G2404,1)&gt;=1,B2404='112'!$K$9,OR($N2404='112'!$I$6,$O2404='112'!$I$6))),"x",""))</f>
        <v/>
      </c>
      <c r="U2404" s="79" t="str">
        <f>IF(ISERROR(FIND('112'!$M$9,G2404,1)),"",IF((AND(LEFT(G2404,2)=LEFT('112'!$M$9,2),B2404&lt;'112'!$K$9,$N2404='112'!$I$6)),"x",""))</f>
        <v/>
      </c>
      <c r="V2404" s="79" t="str">
        <f>IF(ISERROR(FIND('112'!$M$9,G2404,1)),"",IF((AND(RIGHT(G2404,2)=RIGHT('112'!$M$9,2),B2404&lt;'112'!$K$9,$O2404='112'!$I$6)),"x",""))</f>
        <v/>
      </c>
      <c r="W2404" s="79" t="str">
        <f>IF(AND('341-CT'!$H$9=H2404,OR(LEFT(N2404,3)=$W$7,LEFT(O2404,3)=$W$7)),"x","")</f>
        <v/>
      </c>
      <c r="X2404" s="79" t="str">
        <f>IF(OR(TH!N2404=TH!$X$7,O2404=TH!$X$7),"x","")</f>
        <v/>
      </c>
      <c r="Y2404" s="79" t="str">
        <f>IF(AND(OR(N2404="131",O2404="131"),H2404='131-CT'!$H$9),"x","")</f>
        <v/>
      </c>
      <c r="Z2404" s="79"/>
      <c r="AA2404" s="79" t="str">
        <f>IF(AND(MONTH(E2404)='IN-NX'!$J$5,'IN-NX'!$D$7=D2404),"x","")</f>
        <v/>
      </c>
      <c r="AB2404" s="79" t="str">
        <f>IF(AND(OR(LEFT(TH!N2404,2)="15",LEFT(TH!O2404,2)="15"),LEFT(TH!O2404,3)&lt;&gt;"111",'152-CT'!$J$8=TH!F2404),"x","")</f>
        <v/>
      </c>
      <c r="AC2404" s="79" t="str">
        <f>IF(AND(OR(LEFT(TH!N2404,2)="15",LEFT(TH!O2404,2)="15"),TK!$E$7=TH!F2404),"x","")</f>
        <v/>
      </c>
      <c r="AD2404" s="79" t="str">
        <f>IF(AND(N2404="1521",MONTH(C2404)='BK-NL'!$M$11),"x","")</f>
        <v/>
      </c>
    </row>
    <row r="2405" spans="1:30" ht="16.5" customHeight="1">
      <c r="A2405" s="318" t="str">
        <f>IF(B2405&lt;&gt;"",IF(AND(B2405='IN-TC'!$S$4,OR(TH!N2405="1111",TH!O2405="1111")),TH!D2405,""),"")</f>
        <v/>
      </c>
      <c r="B2405" s="60" t="str">
        <f t="shared" si="241"/>
        <v/>
      </c>
      <c r="C2405" s="301"/>
      <c r="D2405" s="301"/>
      <c r="E2405" s="301"/>
      <c r="F2405" s="69"/>
      <c r="G2405" s="968"/>
      <c r="H2405" s="303"/>
      <c r="I2405" s="385"/>
      <c r="J2405" s="969"/>
      <c r="K2405" s="385"/>
      <c r="L2405" s="392"/>
      <c r="M2405" s="970"/>
      <c r="N2405" s="304"/>
      <c r="O2405" s="304"/>
      <c r="P2405" s="79" t="str">
        <f>IF(AND('331-CT'!$E$7=TH!H2405,OR(N2405="331",O2405="331")),"x","")</f>
        <v/>
      </c>
      <c r="Q2405" s="79" t="str">
        <f>IF(AND(B2405='111'!$L$11,OR($N2405=$Q$7,$O2405=$Q$7)),"x","")</f>
        <v/>
      </c>
      <c r="R2405" s="79" t="str">
        <f>IF(AND($N2405=$Q$7,$B2405&lt;'111'!$L$11),"x","")</f>
        <v/>
      </c>
      <c r="S2405" s="79" t="str">
        <f>IF(AND($O2405=$Q$7,$B2405&lt;'111'!$L$11),"x","")</f>
        <v/>
      </c>
      <c r="T2405" s="79" t="str">
        <f>IF(ISERROR(FIND('112'!$M$9,G2405,1)),"",IF((AND(FIND('112'!$M$9,G2405,1)&gt;=1,B2405='112'!$K$9,OR($N2405='112'!$I$6,$O2405='112'!$I$6))),"x",""))</f>
        <v/>
      </c>
      <c r="U2405" s="79" t="str">
        <f>IF(ISERROR(FIND('112'!$M$9,G2405,1)),"",IF((AND(LEFT(G2405,2)=LEFT('112'!$M$9,2),B2405&lt;'112'!$K$9,$N2405='112'!$I$6)),"x",""))</f>
        <v/>
      </c>
      <c r="V2405" s="79" t="str">
        <f>IF(ISERROR(FIND('112'!$M$9,G2405,1)),"",IF((AND(RIGHT(G2405,2)=RIGHT('112'!$M$9,2),B2405&lt;'112'!$K$9,$O2405='112'!$I$6)),"x",""))</f>
        <v/>
      </c>
      <c r="W2405" s="79" t="str">
        <f>IF(AND('341-CT'!$H$9=H2405,OR(LEFT(N2405,3)=$W$7,LEFT(O2405,3)=$W$7)),"x","")</f>
        <v/>
      </c>
      <c r="X2405" s="79" t="str">
        <f>IF(OR(TH!N2405=TH!$X$7,O2405=TH!$X$7),"x","")</f>
        <v/>
      </c>
      <c r="Y2405" s="79" t="str">
        <f>IF(AND(OR(N2405="131",O2405="131"),H2405='131-CT'!$H$9),"x","")</f>
        <v/>
      </c>
      <c r="Z2405" s="79"/>
      <c r="AA2405" s="79" t="str">
        <f>IF(AND(MONTH(E2405)='IN-NX'!$J$5,'IN-NX'!$D$7=D2405),"x","")</f>
        <v/>
      </c>
      <c r="AB2405" s="79" t="str">
        <f>IF(AND(OR(LEFT(TH!N2405,2)="15",LEFT(TH!O2405,2)="15"),LEFT(TH!O2405,3)&lt;&gt;"111",'152-CT'!$J$8=TH!F2405),"x","")</f>
        <v/>
      </c>
      <c r="AC2405" s="79" t="str">
        <f>IF(AND(OR(LEFT(TH!N2405,2)="15",LEFT(TH!O2405,2)="15"),TK!$E$7=TH!F2405),"x","")</f>
        <v/>
      </c>
      <c r="AD2405" s="79" t="str">
        <f>IF(AND(N2405="1521",MONTH(C2405)='BK-NL'!$M$11),"x","")</f>
        <v/>
      </c>
    </row>
    <row r="2406" spans="1:30" ht="16.5" customHeight="1">
      <c r="A2406" s="318" t="str">
        <f>IF(B2406&lt;&gt;"",IF(AND(B2406='IN-TC'!$S$4,OR(TH!N2406="1111",TH!O2406="1111")),TH!D2406,""),"")</f>
        <v/>
      </c>
      <c r="B2406" s="60" t="str">
        <f t="shared" si="241"/>
        <v/>
      </c>
      <c r="C2406" s="301"/>
      <c r="D2406" s="301"/>
      <c r="E2406" s="301"/>
      <c r="F2406" s="69"/>
      <c r="G2406" s="968"/>
      <c r="H2406" s="303"/>
      <c r="I2406" s="385"/>
      <c r="J2406" s="969"/>
      <c r="K2406" s="385"/>
      <c r="L2406" s="392"/>
      <c r="M2406" s="970"/>
      <c r="N2406" s="304"/>
      <c r="O2406" s="304"/>
      <c r="P2406" s="79" t="str">
        <f>IF(AND('331-CT'!$E$7=TH!H2406,OR(N2406="331",O2406="331")),"x","")</f>
        <v/>
      </c>
      <c r="Q2406" s="79" t="str">
        <f>IF(AND(B2406='111'!$L$11,OR($N2406=$Q$7,$O2406=$Q$7)),"x","")</f>
        <v/>
      </c>
      <c r="R2406" s="79" t="str">
        <f>IF(AND($N2406=$Q$7,$B2406&lt;'111'!$L$11),"x","")</f>
        <v/>
      </c>
      <c r="S2406" s="79" t="str">
        <f>IF(AND($O2406=$Q$7,$B2406&lt;'111'!$L$11),"x","")</f>
        <v/>
      </c>
      <c r="T2406" s="79" t="str">
        <f>IF(ISERROR(FIND('112'!$M$9,G2406,1)),"",IF((AND(FIND('112'!$M$9,G2406,1)&gt;=1,B2406='112'!$K$9,OR($N2406='112'!$I$6,$O2406='112'!$I$6))),"x",""))</f>
        <v/>
      </c>
      <c r="U2406" s="79" t="str">
        <f>IF(ISERROR(FIND('112'!$M$9,G2406,1)),"",IF((AND(LEFT(G2406,2)=LEFT('112'!$M$9,2),B2406&lt;'112'!$K$9,$N2406='112'!$I$6)),"x",""))</f>
        <v/>
      </c>
      <c r="V2406" s="79" t="str">
        <f>IF(ISERROR(FIND('112'!$M$9,G2406,1)),"",IF((AND(RIGHT(G2406,2)=RIGHT('112'!$M$9,2),B2406&lt;'112'!$K$9,$O2406='112'!$I$6)),"x",""))</f>
        <v/>
      </c>
      <c r="W2406" s="79" t="str">
        <f>IF(AND('341-CT'!$H$9=H2406,OR(LEFT(N2406,3)=$W$7,LEFT(O2406,3)=$W$7)),"x","")</f>
        <v/>
      </c>
      <c r="X2406" s="79" t="str">
        <f>IF(OR(TH!N2406=TH!$X$7,O2406=TH!$X$7),"x","")</f>
        <v/>
      </c>
      <c r="Y2406" s="79" t="str">
        <f>IF(AND(OR(N2406="131",O2406="131"),H2406='131-CT'!$H$9),"x","")</f>
        <v/>
      </c>
      <c r="Z2406" s="79"/>
      <c r="AA2406" s="79" t="str">
        <f>IF(AND(MONTH(E2406)='IN-NX'!$J$5,'IN-NX'!$D$7=D2406),"x","")</f>
        <v/>
      </c>
      <c r="AB2406" s="79" t="str">
        <f>IF(AND(OR(LEFT(TH!N2406,2)="15",LEFT(TH!O2406,2)="15"),LEFT(TH!O2406,3)&lt;&gt;"111",'152-CT'!$J$8=TH!F2406),"x","")</f>
        <v/>
      </c>
      <c r="AC2406" s="79" t="str">
        <f>IF(AND(OR(LEFT(TH!N2406,2)="15",LEFT(TH!O2406,2)="15"),TK!$E$7=TH!F2406),"x","")</f>
        <v/>
      </c>
      <c r="AD2406" s="79" t="str">
        <f>IF(AND(N2406="1521",MONTH(C2406)='BK-NL'!$M$11),"x","")</f>
        <v/>
      </c>
    </row>
    <row r="2407" spans="1:30" ht="16.5" customHeight="1">
      <c r="A2407" s="318" t="str">
        <f>IF(B2407&lt;&gt;"",IF(AND(B2407='IN-TC'!$S$4,OR(TH!N2407="1111",TH!O2407="1111")),TH!D2407,""),"")</f>
        <v/>
      </c>
      <c r="B2407" s="60" t="str">
        <f t="shared" si="241"/>
        <v/>
      </c>
      <c r="C2407" s="301"/>
      <c r="D2407" s="301"/>
      <c r="E2407" s="301"/>
      <c r="F2407" s="69"/>
      <c r="G2407" s="968"/>
      <c r="H2407" s="303"/>
      <c r="I2407" s="385"/>
      <c r="J2407" s="969"/>
      <c r="K2407" s="385"/>
      <c r="L2407" s="392"/>
      <c r="M2407" s="970"/>
      <c r="N2407" s="304"/>
      <c r="O2407" s="304"/>
      <c r="P2407" s="79" t="str">
        <f>IF(AND('331-CT'!$E$7=TH!H2407,OR(N2407="331",O2407="331")),"x","")</f>
        <v/>
      </c>
      <c r="Q2407" s="79" t="str">
        <f>IF(AND(B2407='111'!$L$11,OR($N2407=$Q$7,$O2407=$Q$7)),"x","")</f>
        <v/>
      </c>
      <c r="R2407" s="79" t="str">
        <f>IF(AND($N2407=$Q$7,$B2407&lt;'111'!$L$11),"x","")</f>
        <v/>
      </c>
      <c r="S2407" s="79" t="str">
        <f>IF(AND($O2407=$Q$7,$B2407&lt;'111'!$L$11),"x","")</f>
        <v/>
      </c>
      <c r="T2407" s="79" t="str">
        <f>IF(ISERROR(FIND('112'!$M$9,G2407,1)),"",IF((AND(FIND('112'!$M$9,G2407,1)&gt;=1,B2407='112'!$K$9,OR($N2407='112'!$I$6,$O2407='112'!$I$6))),"x",""))</f>
        <v/>
      </c>
      <c r="U2407" s="79" t="str">
        <f>IF(ISERROR(FIND('112'!$M$9,G2407,1)),"",IF((AND(LEFT(G2407,2)=LEFT('112'!$M$9,2),B2407&lt;'112'!$K$9,$N2407='112'!$I$6)),"x",""))</f>
        <v/>
      </c>
      <c r="V2407" s="79" t="str">
        <f>IF(ISERROR(FIND('112'!$M$9,G2407,1)),"",IF((AND(RIGHT(G2407,2)=RIGHT('112'!$M$9,2),B2407&lt;'112'!$K$9,$O2407='112'!$I$6)),"x",""))</f>
        <v/>
      </c>
      <c r="W2407" s="79" t="str">
        <f>IF(AND('341-CT'!$H$9=H2407,OR(LEFT(N2407,3)=$W$7,LEFT(O2407,3)=$W$7)),"x","")</f>
        <v/>
      </c>
      <c r="X2407" s="79" t="str">
        <f>IF(OR(TH!N2407=TH!$X$7,O2407=TH!$X$7),"x","")</f>
        <v/>
      </c>
      <c r="Y2407" s="79" t="str">
        <f>IF(AND(OR(N2407="131",O2407="131"),H2407='131-CT'!$H$9),"x","")</f>
        <v/>
      </c>
      <c r="Z2407" s="79"/>
      <c r="AA2407" s="79" t="str">
        <f>IF(AND(MONTH(E2407)='IN-NX'!$J$5,'IN-NX'!$D$7=D2407),"x","")</f>
        <v/>
      </c>
      <c r="AB2407" s="79" t="str">
        <f>IF(AND(OR(LEFT(TH!N2407,2)="15",LEFT(TH!O2407,2)="15"),LEFT(TH!O2407,3)&lt;&gt;"111",'152-CT'!$J$8=TH!F2407),"x","")</f>
        <v/>
      </c>
      <c r="AC2407" s="79" t="str">
        <f>IF(AND(OR(LEFT(TH!N2407,2)="15",LEFT(TH!O2407,2)="15"),TK!$E$7=TH!F2407),"x","")</f>
        <v/>
      </c>
      <c r="AD2407" s="79" t="str">
        <f>IF(AND(N2407="1521",MONTH(C2407)='BK-NL'!$M$11),"x","")</f>
        <v/>
      </c>
    </row>
    <row r="2408" spans="1:30" ht="16.5" customHeight="1">
      <c r="A2408" s="318" t="str">
        <f>IF(B2408&lt;&gt;"",IF(AND(B2408='IN-TC'!$S$4,OR(TH!N2408="1111",TH!O2408="1111")),TH!D2408,""),"")</f>
        <v/>
      </c>
      <c r="B2408" s="60" t="str">
        <f t="shared" si="241"/>
        <v/>
      </c>
      <c r="C2408" s="301"/>
      <c r="D2408" s="301"/>
      <c r="E2408" s="301"/>
      <c r="F2408" s="392"/>
      <c r="G2408" s="968"/>
      <c r="H2408" s="321"/>
      <c r="I2408" s="385"/>
      <c r="J2408" s="969"/>
      <c r="K2408" s="385"/>
      <c r="L2408" s="392"/>
      <c r="M2408" s="970"/>
      <c r="N2408" s="304"/>
      <c r="O2408" s="304"/>
      <c r="P2408" s="79" t="str">
        <f>IF(AND('331-CT'!$E$7=TH!H2408,OR(N2408="331",O2408="331")),"x","")</f>
        <v/>
      </c>
      <c r="Q2408" s="79" t="str">
        <f>IF(AND(B2408='111'!$L$11,OR($N2408=$Q$7,$O2408=$Q$7)),"x","")</f>
        <v/>
      </c>
      <c r="R2408" s="79" t="str">
        <f>IF(AND($N2408=$Q$7,$B2408&lt;'111'!$L$11),"x","")</f>
        <v/>
      </c>
      <c r="S2408" s="79" t="str">
        <f>IF(AND($O2408=$Q$7,$B2408&lt;'111'!$L$11),"x","")</f>
        <v/>
      </c>
      <c r="T2408" s="79" t="str">
        <f>IF(ISERROR(FIND('112'!$M$9,G2408,1)),"",IF((AND(FIND('112'!$M$9,G2408,1)&gt;=1,B2408='112'!$K$9,OR($N2408='112'!$I$6,$O2408='112'!$I$6))),"x",""))</f>
        <v/>
      </c>
      <c r="U2408" s="79" t="str">
        <f>IF(ISERROR(FIND('112'!$M$9,G2408,1)),"",IF((AND(LEFT(G2408,2)=LEFT('112'!$M$9,2),B2408&lt;'112'!$K$9,$N2408='112'!$I$6)),"x",""))</f>
        <v/>
      </c>
      <c r="V2408" s="79" t="str">
        <f>IF(ISERROR(FIND('112'!$M$9,G2408,1)),"",IF((AND(RIGHT(G2408,2)=RIGHT('112'!$M$9,2),B2408&lt;'112'!$K$9,$O2408='112'!$I$6)),"x",""))</f>
        <v/>
      </c>
      <c r="W2408" s="79" t="str">
        <f>IF(AND('341-CT'!$H$9=H2408,OR(LEFT(N2408,3)=$W$7,LEFT(O2408,3)=$W$7)),"x","")</f>
        <v/>
      </c>
      <c r="X2408" s="79" t="str">
        <f>IF(OR(TH!N2408=TH!$X$7,O2408=TH!$X$7),"x","")</f>
        <v/>
      </c>
      <c r="Y2408" s="79" t="str">
        <f>IF(AND(OR(N2408="131",O2408="131"),H2408='131-CT'!$H$9),"x","")</f>
        <v/>
      </c>
      <c r="Z2408" s="79"/>
      <c r="AA2408" s="79" t="str">
        <f>IF(AND(MONTH(E2408)='IN-NX'!$J$5,'IN-NX'!$D$7=D2408),"x","")</f>
        <v/>
      </c>
      <c r="AB2408" s="79" t="str">
        <f>IF(AND(OR(LEFT(TH!N2408,2)="15",LEFT(TH!O2408,2)="15"),LEFT(TH!O2408,3)&lt;&gt;"111",'152-CT'!$J$8=TH!F2408),"x","")</f>
        <v/>
      </c>
      <c r="AC2408" s="79" t="str">
        <f>IF(AND(OR(LEFT(TH!N2408,2)="15",LEFT(TH!O2408,2)="15"),TK!$E$7=TH!F2408),"x","")</f>
        <v/>
      </c>
      <c r="AD2408" s="79" t="str">
        <f>IF(AND(N2408="1521",MONTH(C2408)='BK-NL'!$M$11),"x","")</f>
        <v/>
      </c>
    </row>
    <row r="2409" spans="1:30" ht="16.5" customHeight="1">
      <c r="A2409" s="318" t="str">
        <f>IF(B2409&lt;&gt;"",IF(AND(B2409='IN-TC'!$S$4,OR(TH!N2409="1111",TH!O2409="1111")),TH!D2409,""),"")</f>
        <v/>
      </c>
      <c r="B2409" s="60" t="str">
        <f t="shared" si="241"/>
        <v/>
      </c>
      <c r="C2409" s="301"/>
      <c r="D2409" s="301"/>
      <c r="E2409" s="301"/>
      <c r="F2409" s="392"/>
      <c r="G2409" s="968"/>
      <c r="H2409" s="321"/>
      <c r="I2409" s="385"/>
      <c r="J2409" s="969"/>
      <c r="K2409" s="385"/>
      <c r="L2409" s="392"/>
      <c r="M2409" s="970"/>
      <c r="N2409" s="304"/>
      <c r="O2409" s="304"/>
      <c r="P2409" s="79" t="str">
        <f>IF(AND('331-CT'!$E$7=TH!H2409,OR(N2409="331",O2409="331")),"x","")</f>
        <v/>
      </c>
      <c r="Q2409" s="79" t="str">
        <f>IF(AND(B2409='111'!$L$11,OR($N2409=$Q$7,$O2409=$Q$7)),"x","")</f>
        <v/>
      </c>
      <c r="R2409" s="79" t="str">
        <f>IF(AND($N2409=$Q$7,$B2409&lt;'111'!$L$11),"x","")</f>
        <v/>
      </c>
      <c r="S2409" s="79" t="str">
        <f>IF(AND($O2409=$Q$7,$B2409&lt;'111'!$L$11),"x","")</f>
        <v/>
      </c>
      <c r="T2409" s="79" t="str">
        <f>IF(ISERROR(FIND('112'!$M$9,G2409,1)),"",IF((AND(FIND('112'!$M$9,G2409,1)&gt;=1,B2409='112'!$K$9,OR($N2409='112'!$I$6,$O2409='112'!$I$6))),"x",""))</f>
        <v/>
      </c>
      <c r="U2409" s="79" t="str">
        <f>IF(ISERROR(FIND('112'!$M$9,G2409,1)),"",IF((AND(LEFT(G2409,2)=LEFT('112'!$M$9,2),B2409&lt;'112'!$K$9,$N2409='112'!$I$6)),"x",""))</f>
        <v/>
      </c>
      <c r="V2409" s="79" t="str">
        <f>IF(ISERROR(FIND('112'!$M$9,G2409,1)),"",IF((AND(RIGHT(G2409,2)=RIGHT('112'!$M$9,2),B2409&lt;'112'!$K$9,$O2409='112'!$I$6)),"x",""))</f>
        <v/>
      </c>
      <c r="W2409" s="79" t="str">
        <f>IF(AND('341-CT'!$H$9=H2409,OR(LEFT(N2409,3)=$W$7,LEFT(O2409,3)=$W$7)),"x","")</f>
        <v/>
      </c>
      <c r="X2409" s="79" t="str">
        <f>IF(OR(TH!N2409=TH!$X$7,O2409=TH!$X$7),"x","")</f>
        <v/>
      </c>
      <c r="Y2409" s="79" t="str">
        <f>IF(AND(OR(N2409="131",O2409="131"),H2409='131-CT'!$H$9),"x","")</f>
        <v/>
      </c>
      <c r="Z2409" s="79"/>
      <c r="AA2409" s="79" t="str">
        <f>IF(AND(MONTH(E2409)='IN-NX'!$J$5,'IN-NX'!$D$7=D2409),"x","")</f>
        <v/>
      </c>
      <c r="AB2409" s="79" t="str">
        <f>IF(AND(OR(LEFT(TH!N2409,2)="15",LEFT(TH!O2409,2)="15"),LEFT(TH!O2409,3)&lt;&gt;"111",'152-CT'!$J$8=TH!F2409),"x","")</f>
        <v/>
      </c>
      <c r="AC2409" s="79" t="str">
        <f>IF(AND(OR(LEFT(TH!N2409,2)="15",LEFT(TH!O2409,2)="15"),TK!$E$7=TH!F2409),"x","")</f>
        <v/>
      </c>
      <c r="AD2409" s="79" t="str">
        <f>IF(AND(N2409="1521",MONTH(C2409)='BK-NL'!$M$11),"x","")</f>
        <v/>
      </c>
    </row>
    <row r="2410" spans="1:30" ht="16.5" customHeight="1">
      <c r="A2410" s="318" t="str">
        <f>IF(B2410&lt;&gt;"",IF(AND(B2410='IN-TC'!$S$4,OR(TH!N2410="1111",TH!O2410="1111")),TH!D2410,""),"")</f>
        <v/>
      </c>
      <c r="B2410" s="60" t="str">
        <f t="shared" si="241"/>
        <v/>
      </c>
      <c r="C2410" s="301"/>
      <c r="D2410" s="301"/>
      <c r="E2410" s="301"/>
      <c r="F2410" s="392"/>
      <c r="G2410" s="968"/>
      <c r="H2410" s="321"/>
      <c r="I2410" s="385"/>
      <c r="J2410" s="969"/>
      <c r="K2410" s="385"/>
      <c r="L2410" s="392"/>
      <c r="M2410" s="970"/>
      <c r="N2410" s="304"/>
      <c r="O2410" s="304"/>
      <c r="P2410" s="79" t="str">
        <f>IF(AND('331-CT'!$E$7=TH!H2410,OR(N2410="331",O2410="331")),"x","")</f>
        <v/>
      </c>
      <c r="Q2410" s="79" t="str">
        <f>IF(AND(B2410='111'!$L$11,OR($N2410=$Q$7,$O2410=$Q$7)),"x","")</f>
        <v/>
      </c>
      <c r="R2410" s="79" t="str">
        <f>IF(AND($N2410=$Q$7,$B2410&lt;'111'!$L$11),"x","")</f>
        <v/>
      </c>
      <c r="S2410" s="79" t="str">
        <f>IF(AND($O2410=$Q$7,$B2410&lt;'111'!$L$11),"x","")</f>
        <v/>
      </c>
      <c r="T2410" s="79" t="str">
        <f>IF(ISERROR(FIND('112'!$M$9,G2410,1)),"",IF((AND(FIND('112'!$M$9,G2410,1)&gt;=1,B2410='112'!$K$9,OR($N2410='112'!$I$6,$O2410='112'!$I$6))),"x",""))</f>
        <v/>
      </c>
      <c r="U2410" s="79" t="str">
        <f>IF(ISERROR(FIND('112'!$M$9,G2410,1)),"",IF((AND(LEFT(G2410,2)=LEFT('112'!$M$9,2),B2410&lt;'112'!$K$9,$N2410='112'!$I$6)),"x",""))</f>
        <v/>
      </c>
      <c r="V2410" s="79" t="str">
        <f>IF(ISERROR(FIND('112'!$M$9,G2410,1)),"",IF((AND(RIGHT(G2410,2)=RIGHT('112'!$M$9,2),B2410&lt;'112'!$K$9,$O2410='112'!$I$6)),"x",""))</f>
        <v/>
      </c>
      <c r="W2410" s="79" t="str">
        <f>IF(AND('341-CT'!$H$9=H2410,OR(LEFT(N2410,3)=$W$7,LEFT(O2410,3)=$W$7)),"x","")</f>
        <v/>
      </c>
      <c r="X2410" s="79" t="str">
        <f>IF(OR(TH!N2410=TH!$X$7,O2410=TH!$X$7),"x","")</f>
        <v/>
      </c>
      <c r="Y2410" s="79" t="str">
        <f>IF(AND(OR(N2410="131",O2410="131"),H2410='131-CT'!$H$9),"x","")</f>
        <v/>
      </c>
      <c r="Z2410" s="79"/>
      <c r="AA2410" s="79" t="str">
        <f>IF(AND(MONTH(E2410)='IN-NX'!$J$5,'IN-NX'!$D$7=D2410),"x","")</f>
        <v/>
      </c>
      <c r="AB2410" s="79" t="str">
        <f>IF(AND(OR(LEFT(TH!N2410,2)="15",LEFT(TH!O2410,2)="15"),LEFT(TH!O2410,3)&lt;&gt;"111",'152-CT'!$J$8=TH!F2410),"x","")</f>
        <v/>
      </c>
      <c r="AC2410" s="79" t="str">
        <f>IF(AND(OR(LEFT(TH!N2410,2)="15",LEFT(TH!O2410,2)="15"),TK!$E$7=TH!F2410),"x","")</f>
        <v/>
      </c>
      <c r="AD2410" s="79" t="str">
        <f>IF(AND(N2410="1521",MONTH(C2410)='BK-NL'!$M$11),"x","")</f>
        <v/>
      </c>
    </row>
    <row r="2411" spans="1:30" ht="16.5" customHeight="1">
      <c r="A2411" s="318" t="str">
        <f>IF(B2411&lt;&gt;"",IF(AND(B2411='IN-TC'!$S$4,OR(TH!N2411="1111",TH!O2411="1111")),TH!D2411,""),"")</f>
        <v/>
      </c>
      <c r="B2411" s="60" t="str">
        <f t="shared" si="241"/>
        <v/>
      </c>
      <c r="C2411" s="301"/>
      <c r="D2411" s="301"/>
      <c r="E2411" s="301"/>
      <c r="F2411" s="392"/>
      <c r="G2411" s="968"/>
      <c r="H2411" s="321"/>
      <c r="I2411" s="385"/>
      <c r="J2411" s="969"/>
      <c r="K2411" s="385"/>
      <c r="L2411" s="392"/>
      <c r="M2411" s="970"/>
      <c r="N2411" s="304"/>
      <c r="O2411" s="304"/>
      <c r="P2411" s="79" t="str">
        <f>IF(AND('331-CT'!$E$7=TH!H2411,OR(N2411="331",O2411="331")),"x","")</f>
        <v/>
      </c>
      <c r="Q2411" s="79" t="str">
        <f>IF(AND(B2411='111'!$L$11,OR($N2411=$Q$7,$O2411=$Q$7)),"x","")</f>
        <v/>
      </c>
      <c r="R2411" s="79" t="str">
        <f>IF(AND($N2411=$Q$7,$B2411&lt;'111'!$L$11),"x","")</f>
        <v/>
      </c>
      <c r="S2411" s="79" t="str">
        <f>IF(AND($O2411=$Q$7,$B2411&lt;'111'!$L$11),"x","")</f>
        <v/>
      </c>
      <c r="T2411" s="79" t="str">
        <f>IF(ISERROR(FIND('112'!$M$9,G2411,1)),"",IF((AND(FIND('112'!$M$9,G2411,1)&gt;=1,B2411='112'!$K$9,OR($N2411='112'!$I$6,$O2411='112'!$I$6))),"x",""))</f>
        <v/>
      </c>
      <c r="U2411" s="79" t="str">
        <f>IF(ISERROR(FIND('112'!$M$9,G2411,1)),"",IF((AND(LEFT(G2411,2)=LEFT('112'!$M$9,2),B2411&lt;'112'!$K$9,$N2411='112'!$I$6)),"x",""))</f>
        <v/>
      </c>
      <c r="V2411" s="79" t="str">
        <f>IF(ISERROR(FIND('112'!$M$9,G2411,1)),"",IF((AND(RIGHT(G2411,2)=RIGHT('112'!$M$9,2),B2411&lt;'112'!$K$9,$O2411='112'!$I$6)),"x",""))</f>
        <v/>
      </c>
      <c r="W2411" s="79" t="str">
        <f>IF(AND('341-CT'!$H$9=H2411,OR(LEFT(N2411,3)=$W$7,LEFT(O2411,3)=$W$7)),"x","")</f>
        <v/>
      </c>
      <c r="X2411" s="79" t="str">
        <f>IF(OR(TH!N2411=TH!$X$7,O2411=TH!$X$7),"x","")</f>
        <v/>
      </c>
      <c r="Y2411" s="79" t="str">
        <f>IF(AND(OR(N2411="131",O2411="131"),H2411='131-CT'!$H$9),"x","")</f>
        <v/>
      </c>
      <c r="Z2411" s="79"/>
      <c r="AA2411" s="79" t="str">
        <f>IF(AND(MONTH(E2411)='IN-NX'!$J$5,'IN-NX'!$D$7=D2411),"x","")</f>
        <v/>
      </c>
      <c r="AB2411" s="79" t="str">
        <f>IF(AND(OR(LEFT(TH!N2411,2)="15",LEFT(TH!O2411,2)="15"),LEFT(TH!O2411,3)&lt;&gt;"111",'152-CT'!$J$8=TH!F2411),"x","")</f>
        <v/>
      </c>
      <c r="AC2411" s="79" t="str">
        <f>IF(AND(OR(LEFT(TH!N2411,2)="15",LEFT(TH!O2411,2)="15"),TK!$E$7=TH!F2411),"x","")</f>
        <v/>
      </c>
      <c r="AD2411" s="79" t="str">
        <f>IF(AND(N2411="1521",MONTH(C2411)='BK-NL'!$M$11),"x","")</f>
        <v/>
      </c>
    </row>
    <row r="2412" spans="1:30" ht="16.5" customHeight="1">
      <c r="A2412" s="318" t="str">
        <f>IF(B2412&lt;&gt;"",IF(AND(B2412='IN-TC'!$S$4,OR(TH!N2412="1111",TH!O2412="1111")),TH!D2412,""),"")</f>
        <v/>
      </c>
      <c r="B2412" s="60" t="str">
        <f t="shared" si="241"/>
        <v/>
      </c>
      <c r="C2412" s="301"/>
      <c r="D2412" s="301"/>
      <c r="E2412" s="301"/>
      <c r="F2412" s="392"/>
      <c r="G2412" s="968"/>
      <c r="H2412" s="321"/>
      <c r="I2412" s="385"/>
      <c r="J2412" s="969"/>
      <c r="K2412" s="385"/>
      <c r="L2412" s="392"/>
      <c r="M2412" s="970"/>
      <c r="N2412" s="304"/>
      <c r="O2412" s="304"/>
      <c r="P2412" s="79" t="str">
        <f>IF(AND('331-CT'!$E$7=TH!H2412,OR(N2412="331",O2412="331")),"x","")</f>
        <v/>
      </c>
      <c r="Q2412" s="79" t="str">
        <f>IF(AND(B2412='111'!$L$11,OR($N2412=$Q$7,$O2412=$Q$7)),"x","")</f>
        <v/>
      </c>
      <c r="R2412" s="79" t="str">
        <f>IF(AND($N2412=$Q$7,$B2412&lt;'111'!$L$11),"x","")</f>
        <v/>
      </c>
      <c r="S2412" s="79" t="str">
        <f>IF(AND($O2412=$Q$7,$B2412&lt;'111'!$L$11),"x","")</f>
        <v/>
      </c>
      <c r="T2412" s="79" t="str">
        <f>IF(ISERROR(FIND('112'!$M$9,G2412,1)),"",IF((AND(FIND('112'!$M$9,G2412,1)&gt;=1,B2412='112'!$K$9,OR($N2412='112'!$I$6,$O2412='112'!$I$6))),"x",""))</f>
        <v/>
      </c>
      <c r="U2412" s="79" t="str">
        <f>IF(ISERROR(FIND('112'!$M$9,G2412,1)),"",IF((AND(LEFT(G2412,2)=LEFT('112'!$M$9,2),B2412&lt;'112'!$K$9,$N2412='112'!$I$6)),"x",""))</f>
        <v/>
      </c>
      <c r="V2412" s="79" t="str">
        <f>IF(ISERROR(FIND('112'!$M$9,G2412,1)),"",IF((AND(RIGHT(G2412,2)=RIGHT('112'!$M$9,2),B2412&lt;'112'!$K$9,$O2412='112'!$I$6)),"x",""))</f>
        <v/>
      </c>
      <c r="W2412" s="79" t="str">
        <f>IF(AND('341-CT'!$H$9=H2412,OR(LEFT(N2412,3)=$W$7,LEFT(O2412,3)=$W$7)),"x","")</f>
        <v/>
      </c>
      <c r="X2412" s="79" t="str">
        <f>IF(OR(TH!N2412=TH!$X$7,O2412=TH!$X$7),"x","")</f>
        <v/>
      </c>
      <c r="Y2412" s="79" t="str">
        <f>IF(AND(OR(N2412="131",O2412="131"),H2412='131-CT'!$H$9),"x","")</f>
        <v/>
      </c>
      <c r="Z2412" s="79"/>
      <c r="AA2412" s="79" t="str">
        <f>IF(AND(MONTH(E2412)='IN-NX'!$J$5,'IN-NX'!$D$7=D2412),"x","")</f>
        <v/>
      </c>
      <c r="AB2412" s="79" t="str">
        <f>IF(AND(OR(LEFT(TH!N2412,2)="15",LEFT(TH!O2412,2)="15"),LEFT(TH!O2412,3)&lt;&gt;"111",'152-CT'!$J$8=TH!F2412),"x","")</f>
        <v/>
      </c>
      <c r="AC2412" s="79" t="str">
        <f>IF(AND(OR(LEFT(TH!N2412,2)="15",LEFT(TH!O2412,2)="15"),TK!$E$7=TH!F2412),"x","")</f>
        <v/>
      </c>
      <c r="AD2412" s="79" t="str">
        <f>IF(AND(N2412="1521",MONTH(C2412)='BK-NL'!$M$11),"x","")</f>
        <v/>
      </c>
    </row>
    <row r="2413" spans="1:30" ht="16.5" customHeight="1">
      <c r="A2413" s="318" t="str">
        <f>IF(B2413&lt;&gt;"",IF(AND(B2413='IN-TC'!$S$4,OR(TH!N2413="1111",TH!O2413="1111")),TH!D2413,""),"")</f>
        <v/>
      </c>
      <c r="B2413" s="60" t="str">
        <f t="shared" si="241"/>
        <v/>
      </c>
      <c r="C2413" s="301"/>
      <c r="D2413" s="301"/>
      <c r="E2413" s="301"/>
      <c r="F2413" s="392"/>
      <c r="G2413" s="968"/>
      <c r="H2413" s="321"/>
      <c r="I2413" s="385"/>
      <c r="J2413" s="969"/>
      <c r="K2413" s="385"/>
      <c r="L2413" s="392"/>
      <c r="M2413" s="970"/>
      <c r="N2413" s="304"/>
      <c r="O2413" s="304"/>
      <c r="P2413" s="79" t="str">
        <f>IF(AND('331-CT'!$E$7=TH!H2413,OR(N2413="331",O2413="331")),"x","")</f>
        <v/>
      </c>
      <c r="Q2413" s="79" t="str">
        <f>IF(AND(B2413='111'!$L$11,OR($N2413=$Q$7,$O2413=$Q$7)),"x","")</f>
        <v/>
      </c>
      <c r="R2413" s="79" t="str">
        <f>IF(AND($N2413=$Q$7,$B2413&lt;'111'!$L$11),"x","")</f>
        <v/>
      </c>
      <c r="S2413" s="79" t="str">
        <f>IF(AND($O2413=$Q$7,$B2413&lt;'111'!$L$11),"x","")</f>
        <v/>
      </c>
      <c r="T2413" s="79" t="str">
        <f>IF(ISERROR(FIND('112'!$M$9,G2413,1)),"",IF((AND(FIND('112'!$M$9,G2413,1)&gt;=1,B2413='112'!$K$9,OR($N2413='112'!$I$6,$O2413='112'!$I$6))),"x",""))</f>
        <v/>
      </c>
      <c r="U2413" s="79" t="str">
        <f>IF(ISERROR(FIND('112'!$M$9,G2413,1)),"",IF((AND(LEFT(G2413,2)=LEFT('112'!$M$9,2),B2413&lt;'112'!$K$9,$N2413='112'!$I$6)),"x",""))</f>
        <v/>
      </c>
      <c r="V2413" s="79" t="str">
        <f>IF(ISERROR(FIND('112'!$M$9,G2413,1)),"",IF((AND(RIGHT(G2413,2)=RIGHT('112'!$M$9,2),B2413&lt;'112'!$K$9,$O2413='112'!$I$6)),"x",""))</f>
        <v/>
      </c>
      <c r="W2413" s="79" t="str">
        <f>IF(AND('341-CT'!$H$9=H2413,OR(LEFT(N2413,3)=$W$7,LEFT(O2413,3)=$W$7)),"x","")</f>
        <v/>
      </c>
      <c r="X2413" s="79" t="str">
        <f>IF(OR(TH!N2413=TH!$X$7,O2413=TH!$X$7),"x","")</f>
        <v/>
      </c>
      <c r="Y2413" s="79" t="str">
        <f>IF(AND(OR(N2413="131",O2413="131"),H2413='131-CT'!$H$9),"x","")</f>
        <v/>
      </c>
      <c r="Z2413" s="79"/>
      <c r="AA2413" s="79" t="str">
        <f>IF(AND(MONTH(E2413)='IN-NX'!$J$5,'IN-NX'!$D$7=D2413),"x","")</f>
        <v/>
      </c>
      <c r="AB2413" s="79" t="str">
        <f>IF(AND(OR(LEFT(TH!N2413,2)="15",LEFT(TH!O2413,2)="15"),LEFT(TH!O2413,3)&lt;&gt;"111",'152-CT'!$J$8=TH!F2413),"x","")</f>
        <v/>
      </c>
      <c r="AC2413" s="79" t="str">
        <f>IF(AND(OR(LEFT(TH!N2413,2)="15",LEFT(TH!O2413,2)="15"),TK!$E$7=TH!F2413),"x","")</f>
        <v/>
      </c>
      <c r="AD2413" s="79" t="str">
        <f>IF(AND(N2413="1521",MONTH(C2413)='BK-NL'!$M$11),"x","")</f>
        <v/>
      </c>
    </row>
    <row r="2414" spans="1:30" ht="16.5" customHeight="1">
      <c r="A2414" s="318" t="str">
        <f>IF(B2414&lt;&gt;"",IF(AND(B2414='IN-TC'!$S$4,OR(TH!N2414="1111",TH!O2414="1111")),TH!D2414,""),"")</f>
        <v/>
      </c>
      <c r="B2414" s="60" t="str">
        <f t="shared" si="241"/>
        <v/>
      </c>
      <c r="C2414" s="301"/>
      <c r="D2414" s="301"/>
      <c r="E2414" s="301"/>
      <c r="F2414" s="392"/>
      <c r="G2414" s="968"/>
      <c r="H2414" s="321"/>
      <c r="I2414" s="385"/>
      <c r="J2414" s="969"/>
      <c r="K2414" s="385"/>
      <c r="L2414" s="392"/>
      <c r="M2414" s="970"/>
      <c r="N2414" s="304"/>
      <c r="O2414" s="304"/>
      <c r="P2414" s="79" t="str">
        <f>IF(AND('331-CT'!$E$7=TH!H2414,OR(N2414="331",O2414="331")),"x","")</f>
        <v/>
      </c>
      <c r="Q2414" s="79" t="str">
        <f>IF(AND(B2414='111'!$L$11,OR($N2414=$Q$7,$O2414=$Q$7)),"x","")</f>
        <v/>
      </c>
      <c r="R2414" s="79" t="str">
        <f>IF(AND($N2414=$Q$7,$B2414&lt;'111'!$L$11),"x","")</f>
        <v/>
      </c>
      <c r="S2414" s="79" t="str">
        <f>IF(AND($O2414=$Q$7,$B2414&lt;'111'!$L$11),"x","")</f>
        <v/>
      </c>
      <c r="T2414" s="79" t="str">
        <f>IF(ISERROR(FIND('112'!$M$9,G2414,1)),"",IF((AND(FIND('112'!$M$9,G2414,1)&gt;=1,B2414='112'!$K$9,OR($N2414='112'!$I$6,$O2414='112'!$I$6))),"x",""))</f>
        <v/>
      </c>
      <c r="U2414" s="79" t="str">
        <f>IF(ISERROR(FIND('112'!$M$9,G2414,1)),"",IF((AND(LEFT(G2414,2)=LEFT('112'!$M$9,2),B2414&lt;'112'!$K$9,$N2414='112'!$I$6)),"x",""))</f>
        <v/>
      </c>
      <c r="V2414" s="79" t="str">
        <f>IF(ISERROR(FIND('112'!$M$9,G2414,1)),"",IF((AND(RIGHT(G2414,2)=RIGHT('112'!$M$9,2),B2414&lt;'112'!$K$9,$O2414='112'!$I$6)),"x",""))</f>
        <v/>
      </c>
      <c r="W2414" s="79" t="str">
        <f>IF(AND('341-CT'!$H$9=H2414,OR(LEFT(N2414,3)=$W$7,LEFT(O2414,3)=$W$7)),"x","")</f>
        <v/>
      </c>
      <c r="X2414" s="79" t="str">
        <f>IF(OR(TH!N2414=TH!$X$7,O2414=TH!$X$7),"x","")</f>
        <v/>
      </c>
      <c r="Y2414" s="79" t="str">
        <f>IF(AND(OR(N2414="131",O2414="131"),H2414='131-CT'!$H$9),"x","")</f>
        <v/>
      </c>
      <c r="Z2414" s="79"/>
      <c r="AA2414" s="79" t="str">
        <f>IF(AND(MONTH(E2414)='IN-NX'!$J$5,'IN-NX'!$D$7=D2414),"x","")</f>
        <v/>
      </c>
      <c r="AB2414" s="79" t="str">
        <f>IF(AND(OR(LEFT(TH!N2414,2)="15",LEFT(TH!O2414,2)="15"),LEFT(TH!O2414,3)&lt;&gt;"111",'152-CT'!$J$8=TH!F2414),"x","")</f>
        <v/>
      </c>
      <c r="AC2414" s="79" t="str">
        <f>IF(AND(OR(LEFT(TH!N2414,2)="15",LEFT(TH!O2414,2)="15"),TK!$E$7=TH!F2414),"x","")</f>
        <v/>
      </c>
      <c r="AD2414" s="79" t="str">
        <f>IF(AND(N2414="1521",MONTH(C2414)='BK-NL'!$M$11),"x","")</f>
        <v/>
      </c>
    </row>
    <row r="2415" spans="1:30" ht="16.5" customHeight="1">
      <c r="A2415" s="318" t="str">
        <f>IF(B2415&lt;&gt;"",IF(AND(B2415='IN-TC'!$S$4,OR(TH!N2415="1111",TH!O2415="1111")),TH!D2415,""),"")</f>
        <v/>
      </c>
      <c r="B2415" s="60" t="str">
        <f t="shared" si="241"/>
        <v/>
      </c>
      <c r="C2415" s="301"/>
      <c r="D2415" s="301"/>
      <c r="E2415" s="301"/>
      <c r="F2415" s="392"/>
      <c r="G2415" s="968"/>
      <c r="H2415" s="321"/>
      <c r="I2415" s="385"/>
      <c r="J2415" s="969"/>
      <c r="K2415" s="385"/>
      <c r="L2415" s="392"/>
      <c r="M2415" s="970"/>
      <c r="N2415" s="304"/>
      <c r="O2415" s="304"/>
      <c r="P2415" s="79" t="str">
        <f>IF(AND('331-CT'!$E$7=TH!H2415,OR(N2415="331",O2415="331")),"x","")</f>
        <v/>
      </c>
      <c r="Q2415" s="79" t="str">
        <f>IF(AND(B2415='111'!$L$11,OR($N2415=$Q$7,$O2415=$Q$7)),"x","")</f>
        <v/>
      </c>
      <c r="R2415" s="79" t="str">
        <f>IF(AND($N2415=$Q$7,$B2415&lt;'111'!$L$11),"x","")</f>
        <v/>
      </c>
      <c r="S2415" s="79" t="str">
        <f>IF(AND($O2415=$Q$7,$B2415&lt;'111'!$L$11),"x","")</f>
        <v/>
      </c>
      <c r="T2415" s="79" t="str">
        <f>IF(ISERROR(FIND('112'!$M$9,G2415,1)),"",IF((AND(FIND('112'!$M$9,G2415,1)&gt;=1,B2415='112'!$K$9,OR($N2415='112'!$I$6,$O2415='112'!$I$6))),"x",""))</f>
        <v/>
      </c>
      <c r="U2415" s="79" t="str">
        <f>IF(ISERROR(FIND('112'!$M$9,G2415,1)),"",IF((AND(LEFT(G2415,2)=LEFT('112'!$M$9,2),B2415&lt;'112'!$K$9,$N2415='112'!$I$6)),"x",""))</f>
        <v/>
      </c>
      <c r="V2415" s="79" t="str">
        <f>IF(ISERROR(FIND('112'!$M$9,G2415,1)),"",IF((AND(RIGHT(G2415,2)=RIGHT('112'!$M$9,2),B2415&lt;'112'!$K$9,$O2415='112'!$I$6)),"x",""))</f>
        <v/>
      </c>
      <c r="W2415" s="79" t="str">
        <f>IF(AND('341-CT'!$H$9=H2415,OR(LEFT(N2415,3)=$W$7,LEFT(O2415,3)=$W$7)),"x","")</f>
        <v/>
      </c>
      <c r="X2415" s="79" t="str">
        <f>IF(OR(TH!N2415=TH!$X$7,O2415=TH!$X$7),"x","")</f>
        <v/>
      </c>
      <c r="Y2415" s="79" t="str">
        <f>IF(AND(OR(N2415="131",O2415="131"),H2415='131-CT'!$H$9),"x","")</f>
        <v/>
      </c>
      <c r="Z2415" s="79"/>
      <c r="AA2415" s="79" t="str">
        <f>IF(AND(MONTH(E2415)='IN-NX'!$J$5,'IN-NX'!$D$7=D2415),"x","")</f>
        <v/>
      </c>
      <c r="AB2415" s="79" t="str">
        <f>IF(AND(OR(LEFT(TH!N2415,2)="15",LEFT(TH!O2415,2)="15"),LEFT(TH!O2415,3)&lt;&gt;"111",'152-CT'!$J$8=TH!F2415),"x","")</f>
        <v/>
      </c>
      <c r="AC2415" s="79" t="str">
        <f>IF(AND(OR(LEFT(TH!N2415,2)="15",LEFT(TH!O2415,2)="15"),TK!$E$7=TH!F2415),"x","")</f>
        <v/>
      </c>
      <c r="AD2415" s="79" t="str">
        <f>IF(AND(N2415="1521",MONTH(C2415)='BK-NL'!$M$11),"x","")</f>
        <v/>
      </c>
    </row>
    <row r="2416" spans="1:30" ht="16.5" customHeight="1">
      <c r="A2416" s="318" t="str">
        <f>IF(B2416&lt;&gt;"",IF(AND(B2416='IN-TC'!$S$4,OR(TH!N2416="1111",TH!O2416="1111")),TH!D2416,""),"")</f>
        <v/>
      </c>
      <c r="B2416" s="60" t="str">
        <f t="shared" si="241"/>
        <v/>
      </c>
      <c r="C2416" s="301"/>
      <c r="D2416" s="301"/>
      <c r="E2416" s="301"/>
      <c r="F2416" s="392"/>
      <c r="G2416" s="968"/>
      <c r="H2416" s="321"/>
      <c r="I2416" s="385"/>
      <c r="J2416" s="969"/>
      <c r="K2416" s="385"/>
      <c r="L2416" s="392"/>
      <c r="M2416" s="970"/>
      <c r="N2416" s="304"/>
      <c r="O2416" s="304"/>
      <c r="P2416" s="79" t="str">
        <f>IF(AND('331-CT'!$E$7=TH!H2416,OR(N2416="331",O2416="331")),"x","")</f>
        <v/>
      </c>
      <c r="Q2416" s="79" t="str">
        <f>IF(AND(B2416='111'!$L$11,OR($N2416=$Q$7,$O2416=$Q$7)),"x","")</f>
        <v/>
      </c>
      <c r="R2416" s="79" t="str">
        <f>IF(AND($N2416=$Q$7,$B2416&lt;'111'!$L$11),"x","")</f>
        <v/>
      </c>
      <c r="S2416" s="79" t="str">
        <f>IF(AND($O2416=$Q$7,$B2416&lt;'111'!$L$11),"x","")</f>
        <v/>
      </c>
      <c r="T2416" s="79" t="str">
        <f>IF(ISERROR(FIND('112'!$M$9,G2416,1)),"",IF((AND(FIND('112'!$M$9,G2416,1)&gt;=1,B2416='112'!$K$9,OR($N2416='112'!$I$6,$O2416='112'!$I$6))),"x",""))</f>
        <v/>
      </c>
      <c r="U2416" s="79" t="str">
        <f>IF(ISERROR(FIND('112'!$M$9,G2416,1)),"",IF((AND(LEFT(G2416,2)=LEFT('112'!$M$9,2),B2416&lt;'112'!$K$9,$N2416='112'!$I$6)),"x",""))</f>
        <v/>
      </c>
      <c r="V2416" s="79" t="str">
        <f>IF(ISERROR(FIND('112'!$M$9,G2416,1)),"",IF((AND(RIGHT(G2416,2)=RIGHT('112'!$M$9,2),B2416&lt;'112'!$K$9,$O2416='112'!$I$6)),"x",""))</f>
        <v/>
      </c>
      <c r="W2416" s="79" t="str">
        <f>IF(AND('341-CT'!$H$9=H2416,OR(LEFT(N2416,3)=$W$7,LEFT(O2416,3)=$W$7)),"x","")</f>
        <v/>
      </c>
      <c r="X2416" s="79" t="str">
        <f>IF(OR(TH!N2416=TH!$X$7,O2416=TH!$X$7),"x","")</f>
        <v/>
      </c>
      <c r="Y2416" s="79" t="str">
        <f>IF(AND(OR(N2416="131",O2416="131"),H2416='131-CT'!$H$9),"x","")</f>
        <v/>
      </c>
      <c r="Z2416" s="79"/>
      <c r="AA2416" s="79" t="str">
        <f>IF(AND(MONTH(E2416)='IN-NX'!$J$5,'IN-NX'!$D$7=D2416),"x","")</f>
        <v/>
      </c>
      <c r="AB2416" s="79" t="str">
        <f>IF(AND(OR(LEFT(TH!N2416,2)="15",LEFT(TH!O2416,2)="15"),LEFT(TH!O2416,3)&lt;&gt;"111",'152-CT'!$J$8=TH!F2416),"x","")</f>
        <v/>
      </c>
      <c r="AC2416" s="79" t="str">
        <f>IF(AND(OR(LEFT(TH!N2416,2)="15",LEFT(TH!O2416,2)="15"),TK!$E$7=TH!F2416),"x","")</f>
        <v/>
      </c>
      <c r="AD2416" s="79" t="str">
        <f>IF(AND(N2416="1521",MONTH(C2416)='BK-NL'!$M$11),"x","")</f>
        <v/>
      </c>
    </row>
    <row r="2417" spans="1:30" ht="16.5" customHeight="1">
      <c r="A2417" s="318" t="str">
        <f>IF(B2417&lt;&gt;"",IF(AND(B2417='IN-TC'!$S$4,OR(TH!N2417="1111",TH!O2417="1111")),TH!D2417,""),"")</f>
        <v/>
      </c>
      <c r="B2417" s="60" t="str">
        <f t="shared" si="241"/>
        <v/>
      </c>
      <c r="C2417" s="301"/>
      <c r="D2417" s="301"/>
      <c r="E2417" s="301"/>
      <c r="F2417" s="392"/>
      <c r="G2417" s="968"/>
      <c r="H2417" s="321"/>
      <c r="I2417" s="385"/>
      <c r="J2417" s="969"/>
      <c r="K2417" s="385"/>
      <c r="L2417" s="392"/>
      <c r="M2417" s="970"/>
      <c r="N2417" s="304"/>
      <c r="O2417" s="304"/>
      <c r="P2417" s="79" t="str">
        <f>IF(AND('331-CT'!$E$7=TH!H2417,OR(N2417="331",O2417="331")),"x","")</f>
        <v/>
      </c>
      <c r="Q2417" s="79" t="str">
        <f>IF(AND(B2417='111'!$L$11,OR($N2417=$Q$7,$O2417=$Q$7)),"x","")</f>
        <v/>
      </c>
      <c r="R2417" s="79" t="str">
        <f>IF(AND($N2417=$Q$7,$B2417&lt;'111'!$L$11),"x","")</f>
        <v/>
      </c>
      <c r="S2417" s="79" t="str">
        <f>IF(AND($O2417=$Q$7,$B2417&lt;'111'!$L$11),"x","")</f>
        <v/>
      </c>
      <c r="T2417" s="79" t="str">
        <f>IF(ISERROR(FIND('112'!$M$9,G2417,1)),"",IF((AND(FIND('112'!$M$9,G2417,1)&gt;=1,B2417='112'!$K$9,OR($N2417='112'!$I$6,$O2417='112'!$I$6))),"x",""))</f>
        <v/>
      </c>
      <c r="U2417" s="79" t="str">
        <f>IF(ISERROR(FIND('112'!$M$9,G2417,1)),"",IF((AND(LEFT(G2417,2)=LEFT('112'!$M$9,2),B2417&lt;'112'!$K$9,$N2417='112'!$I$6)),"x",""))</f>
        <v/>
      </c>
      <c r="V2417" s="79" t="str">
        <f>IF(ISERROR(FIND('112'!$M$9,G2417,1)),"",IF((AND(RIGHT(G2417,2)=RIGHT('112'!$M$9,2),B2417&lt;'112'!$K$9,$O2417='112'!$I$6)),"x",""))</f>
        <v/>
      </c>
      <c r="W2417" s="79" t="str">
        <f>IF(AND('341-CT'!$H$9=H2417,OR(LEFT(N2417,3)=$W$7,LEFT(O2417,3)=$W$7)),"x","")</f>
        <v/>
      </c>
      <c r="X2417" s="79" t="str">
        <f>IF(OR(TH!N2417=TH!$X$7,O2417=TH!$X$7),"x","")</f>
        <v/>
      </c>
      <c r="Y2417" s="79" t="str">
        <f>IF(AND(OR(N2417="131",O2417="131"),H2417='131-CT'!$H$9),"x","")</f>
        <v/>
      </c>
      <c r="Z2417" s="79"/>
      <c r="AA2417" s="79" t="str">
        <f>IF(AND(MONTH(E2417)='IN-NX'!$J$5,'IN-NX'!$D$7=D2417),"x","")</f>
        <v/>
      </c>
      <c r="AB2417" s="79" t="str">
        <f>IF(AND(OR(LEFT(TH!N2417,2)="15",LEFT(TH!O2417,2)="15"),LEFT(TH!O2417,3)&lt;&gt;"111",'152-CT'!$J$8=TH!F2417),"x","")</f>
        <v/>
      </c>
      <c r="AC2417" s="79" t="str">
        <f>IF(AND(OR(LEFT(TH!N2417,2)="15",LEFT(TH!O2417,2)="15"),TK!$E$7=TH!F2417),"x","")</f>
        <v/>
      </c>
      <c r="AD2417" s="79" t="str">
        <f>IF(AND(N2417="1521",MONTH(C2417)='BK-NL'!$M$11),"x","")</f>
        <v/>
      </c>
    </row>
    <row r="2418" spans="1:30" ht="16.5" customHeight="1">
      <c r="A2418" s="318" t="str">
        <f>IF(B2418&lt;&gt;"",IF(AND(B2418='IN-TC'!$S$4,OR(TH!N2418="1111",TH!O2418="1111")),TH!D2418,""),"")</f>
        <v/>
      </c>
      <c r="B2418" s="60" t="str">
        <f t="shared" si="241"/>
        <v/>
      </c>
      <c r="C2418" s="301"/>
      <c r="D2418" s="301"/>
      <c r="E2418" s="301"/>
      <c r="F2418" s="392"/>
      <c r="G2418" s="968"/>
      <c r="H2418" s="321"/>
      <c r="I2418" s="385"/>
      <c r="J2418" s="969"/>
      <c r="K2418" s="385"/>
      <c r="L2418" s="392"/>
      <c r="M2418" s="970"/>
      <c r="N2418" s="304"/>
      <c r="O2418" s="304"/>
      <c r="P2418" s="79" t="str">
        <f>IF(AND('331-CT'!$E$7=TH!H2418,OR(N2418="331",O2418="331")),"x","")</f>
        <v/>
      </c>
      <c r="Q2418" s="79" t="str">
        <f>IF(AND(B2418='111'!$L$11,OR($N2418=$Q$7,$O2418=$Q$7)),"x","")</f>
        <v/>
      </c>
      <c r="R2418" s="79" t="str">
        <f>IF(AND($N2418=$Q$7,$B2418&lt;'111'!$L$11),"x","")</f>
        <v/>
      </c>
      <c r="S2418" s="79" t="str">
        <f>IF(AND($O2418=$Q$7,$B2418&lt;'111'!$L$11),"x","")</f>
        <v/>
      </c>
      <c r="T2418" s="79" t="str">
        <f>IF(ISERROR(FIND('112'!$M$9,G2418,1)),"",IF((AND(FIND('112'!$M$9,G2418,1)&gt;=1,B2418='112'!$K$9,OR($N2418='112'!$I$6,$O2418='112'!$I$6))),"x",""))</f>
        <v/>
      </c>
      <c r="U2418" s="79" t="str">
        <f>IF(ISERROR(FIND('112'!$M$9,G2418,1)),"",IF((AND(LEFT(G2418,2)=LEFT('112'!$M$9,2),B2418&lt;'112'!$K$9,$N2418='112'!$I$6)),"x",""))</f>
        <v/>
      </c>
      <c r="V2418" s="79" t="str">
        <f>IF(ISERROR(FIND('112'!$M$9,G2418,1)),"",IF((AND(RIGHT(G2418,2)=RIGHT('112'!$M$9,2),B2418&lt;'112'!$K$9,$O2418='112'!$I$6)),"x",""))</f>
        <v/>
      </c>
      <c r="W2418" s="79" t="str">
        <f>IF(AND('341-CT'!$H$9=H2418,OR(LEFT(N2418,3)=$W$7,LEFT(O2418,3)=$W$7)),"x","")</f>
        <v/>
      </c>
      <c r="X2418" s="79" t="str">
        <f>IF(OR(TH!N2418=TH!$X$7,O2418=TH!$X$7),"x","")</f>
        <v/>
      </c>
      <c r="Y2418" s="79" t="str">
        <f>IF(AND(OR(N2418="131",O2418="131"),H2418='131-CT'!$H$9),"x","")</f>
        <v/>
      </c>
      <c r="Z2418" s="79"/>
      <c r="AA2418" s="79" t="str">
        <f>IF(AND(MONTH(E2418)='IN-NX'!$J$5,'IN-NX'!$D$7=D2418),"x","")</f>
        <v/>
      </c>
      <c r="AB2418" s="79" t="str">
        <f>IF(AND(OR(LEFT(TH!N2418,2)="15",LEFT(TH!O2418,2)="15"),LEFT(TH!O2418,3)&lt;&gt;"111",'152-CT'!$J$8=TH!F2418),"x","")</f>
        <v/>
      </c>
      <c r="AC2418" s="79" t="str">
        <f>IF(AND(OR(LEFT(TH!N2418,2)="15",LEFT(TH!O2418,2)="15"),TK!$E$7=TH!F2418),"x","")</f>
        <v/>
      </c>
      <c r="AD2418" s="79" t="str">
        <f>IF(AND(N2418="1521",MONTH(C2418)='BK-NL'!$M$11),"x","")</f>
        <v/>
      </c>
    </row>
    <row r="2419" spans="1:30" ht="16.5" customHeight="1">
      <c r="A2419" s="318" t="str">
        <f>IF(B2419&lt;&gt;"",IF(AND(B2419='IN-TC'!$S$4,OR(TH!N2419="1111",TH!O2419="1111")),TH!D2419,""),"")</f>
        <v/>
      </c>
      <c r="B2419" s="60" t="str">
        <f t="shared" si="241"/>
        <v/>
      </c>
      <c r="C2419" s="301"/>
      <c r="D2419" s="301"/>
      <c r="E2419" s="301"/>
      <c r="F2419" s="392"/>
      <c r="G2419" s="968"/>
      <c r="H2419" s="321"/>
      <c r="I2419" s="385"/>
      <c r="J2419" s="969"/>
      <c r="K2419" s="385"/>
      <c r="L2419" s="392"/>
      <c r="M2419" s="970"/>
      <c r="N2419" s="304"/>
      <c r="O2419" s="304"/>
      <c r="P2419" s="79" t="str">
        <f>IF(AND('331-CT'!$E$7=TH!H2419,OR(N2419="331",O2419="331")),"x","")</f>
        <v/>
      </c>
      <c r="Q2419" s="79" t="str">
        <f>IF(AND(B2419='111'!$L$11,OR($N2419=$Q$7,$O2419=$Q$7)),"x","")</f>
        <v/>
      </c>
      <c r="R2419" s="79" t="str">
        <f>IF(AND($N2419=$Q$7,$B2419&lt;'111'!$L$11),"x","")</f>
        <v/>
      </c>
      <c r="S2419" s="79" t="str">
        <f>IF(AND($O2419=$Q$7,$B2419&lt;'111'!$L$11),"x","")</f>
        <v/>
      </c>
      <c r="T2419" s="79" t="str">
        <f>IF(ISERROR(FIND('112'!$M$9,G2419,1)),"",IF((AND(FIND('112'!$M$9,G2419,1)&gt;=1,B2419='112'!$K$9,OR($N2419='112'!$I$6,$O2419='112'!$I$6))),"x",""))</f>
        <v/>
      </c>
      <c r="U2419" s="79" t="str">
        <f>IF(ISERROR(FIND('112'!$M$9,G2419,1)),"",IF((AND(LEFT(G2419,2)=LEFT('112'!$M$9,2),B2419&lt;'112'!$K$9,$N2419='112'!$I$6)),"x",""))</f>
        <v/>
      </c>
      <c r="V2419" s="79" t="str">
        <f>IF(ISERROR(FIND('112'!$M$9,G2419,1)),"",IF((AND(RIGHT(G2419,2)=RIGHT('112'!$M$9,2),B2419&lt;'112'!$K$9,$O2419='112'!$I$6)),"x",""))</f>
        <v/>
      </c>
      <c r="W2419" s="79" t="str">
        <f>IF(AND('341-CT'!$H$9=H2419,OR(LEFT(N2419,3)=$W$7,LEFT(O2419,3)=$W$7)),"x","")</f>
        <v/>
      </c>
      <c r="X2419" s="79" t="str">
        <f>IF(OR(TH!N2419=TH!$X$7,O2419=TH!$X$7),"x","")</f>
        <v/>
      </c>
      <c r="Y2419" s="79" t="str">
        <f>IF(AND(OR(N2419="131",O2419="131"),H2419='131-CT'!$H$9),"x","")</f>
        <v/>
      </c>
      <c r="Z2419" s="79"/>
      <c r="AA2419" s="79" t="str">
        <f>IF(AND(MONTH(E2419)='IN-NX'!$J$5,'IN-NX'!$D$7=D2419),"x","")</f>
        <v/>
      </c>
      <c r="AB2419" s="79" t="str">
        <f>IF(AND(OR(LEFT(TH!N2419,2)="15",LEFT(TH!O2419,2)="15"),LEFT(TH!O2419,3)&lt;&gt;"111",'152-CT'!$J$8=TH!F2419),"x","")</f>
        <v/>
      </c>
      <c r="AC2419" s="79" t="str">
        <f>IF(AND(OR(LEFT(TH!N2419,2)="15",LEFT(TH!O2419,2)="15"),TK!$E$7=TH!F2419),"x","")</f>
        <v/>
      </c>
      <c r="AD2419" s="79" t="str">
        <f>IF(AND(N2419="1521",MONTH(C2419)='BK-NL'!$M$11),"x","")</f>
        <v/>
      </c>
    </row>
    <row r="2420" spans="1:30" ht="16.5" customHeight="1">
      <c r="A2420" s="318" t="str">
        <f>IF(B2420&lt;&gt;"",IF(AND(B2420='IN-TC'!$S$4,OR(TH!N2420="1111",TH!O2420="1111")),TH!D2420,""),"")</f>
        <v/>
      </c>
      <c r="B2420" s="60" t="str">
        <f t="shared" si="241"/>
        <v/>
      </c>
      <c r="C2420" s="301"/>
      <c r="D2420" s="301"/>
      <c r="E2420" s="301"/>
      <c r="F2420" s="69"/>
      <c r="G2420" s="968"/>
      <c r="H2420" s="303"/>
      <c r="I2420" s="385"/>
      <c r="J2420" s="969"/>
      <c r="K2420" s="385"/>
      <c r="L2420" s="392"/>
      <c r="M2420" s="970"/>
      <c r="N2420" s="304"/>
      <c r="O2420" s="304"/>
      <c r="P2420" s="79" t="str">
        <f>IF(AND('331-CT'!$E$7=TH!H2420,OR(N2420="331",O2420="331")),"x","")</f>
        <v/>
      </c>
      <c r="Q2420" s="79" t="str">
        <f>IF(AND(B2420='111'!$L$11,OR($N2420=$Q$7,$O2420=$Q$7)),"x","")</f>
        <v/>
      </c>
      <c r="R2420" s="79" t="str">
        <f>IF(AND($N2420=$Q$7,$B2420&lt;'111'!$L$11),"x","")</f>
        <v/>
      </c>
      <c r="S2420" s="79" t="str">
        <f>IF(AND($O2420=$Q$7,$B2420&lt;'111'!$L$11),"x","")</f>
        <v/>
      </c>
      <c r="T2420" s="79" t="str">
        <f>IF(ISERROR(FIND('112'!$M$9,G2420,1)),"",IF((AND(FIND('112'!$M$9,G2420,1)&gt;=1,B2420='112'!$K$9,OR($N2420='112'!$I$6,$O2420='112'!$I$6))),"x",""))</f>
        <v/>
      </c>
      <c r="U2420" s="79" t="str">
        <f>IF(ISERROR(FIND('112'!$M$9,G2420,1)),"",IF((AND(LEFT(G2420,2)=LEFT('112'!$M$9,2),B2420&lt;'112'!$K$9,$N2420='112'!$I$6)),"x",""))</f>
        <v/>
      </c>
      <c r="V2420" s="79" t="str">
        <f>IF(ISERROR(FIND('112'!$M$9,G2420,1)),"",IF((AND(RIGHT(G2420,2)=RIGHT('112'!$M$9,2),B2420&lt;'112'!$K$9,$O2420='112'!$I$6)),"x",""))</f>
        <v/>
      </c>
      <c r="W2420" s="79" t="str">
        <f>IF(AND('341-CT'!$H$9=H2420,OR(LEFT(N2420,3)=$W$7,LEFT(O2420,3)=$W$7)),"x","")</f>
        <v/>
      </c>
      <c r="X2420" s="79" t="str">
        <f>IF(OR(TH!N2420=TH!$X$7,O2420=TH!$X$7),"x","")</f>
        <v/>
      </c>
      <c r="Y2420" s="79" t="str">
        <f>IF(AND(OR(N2420="131",O2420="131"),H2420='131-CT'!$H$9),"x","")</f>
        <v/>
      </c>
      <c r="Z2420" s="79"/>
      <c r="AA2420" s="79" t="str">
        <f>IF(AND(MONTH(E2420)='IN-NX'!$J$5,'IN-NX'!$D$7=D2420),"x","")</f>
        <v/>
      </c>
      <c r="AB2420" s="79" t="str">
        <f>IF(AND(OR(LEFT(TH!N2420,2)="15",LEFT(TH!O2420,2)="15"),LEFT(TH!O2420,3)&lt;&gt;"111",'152-CT'!$J$8=TH!F2420),"x","")</f>
        <v/>
      </c>
      <c r="AC2420" s="79" t="str">
        <f>IF(AND(OR(LEFT(TH!N2420,2)="15",LEFT(TH!O2420,2)="15"),TK!$E$7=TH!F2420),"x","")</f>
        <v/>
      </c>
      <c r="AD2420" s="79" t="str">
        <f>IF(AND(N2420="1521",MONTH(C2420)='BK-NL'!$M$11),"x","")</f>
        <v/>
      </c>
    </row>
    <row r="2421" spans="1:30" ht="16.5" customHeight="1">
      <c r="A2421" s="318" t="str">
        <f>IF(B2421&lt;&gt;"",IF(AND(B2421='IN-TC'!$S$4,OR(TH!N2421="1111",TH!O2421="1111")),TH!D2421,""),"")</f>
        <v/>
      </c>
      <c r="B2421" s="60" t="str">
        <f t="shared" si="241"/>
        <v/>
      </c>
      <c r="C2421" s="301"/>
      <c r="D2421" s="301"/>
      <c r="E2421" s="301"/>
      <c r="F2421" s="69"/>
      <c r="G2421" s="968"/>
      <c r="H2421" s="303"/>
      <c r="I2421" s="385"/>
      <c r="J2421" s="969"/>
      <c r="K2421" s="385"/>
      <c r="L2421" s="392"/>
      <c r="M2421" s="970"/>
      <c r="N2421" s="304"/>
      <c r="O2421" s="304"/>
      <c r="P2421" s="79" t="str">
        <f>IF(AND('331-CT'!$E$7=TH!H2421,OR(N2421="331",O2421="331")),"x","")</f>
        <v/>
      </c>
      <c r="Q2421" s="79" t="str">
        <f>IF(AND(B2421='111'!$L$11,OR($N2421=$Q$7,$O2421=$Q$7)),"x","")</f>
        <v/>
      </c>
      <c r="R2421" s="79" t="str">
        <f>IF(AND($N2421=$Q$7,$B2421&lt;'111'!$L$11),"x","")</f>
        <v/>
      </c>
      <c r="S2421" s="79" t="str">
        <f>IF(AND($O2421=$Q$7,$B2421&lt;'111'!$L$11),"x","")</f>
        <v/>
      </c>
      <c r="T2421" s="79" t="str">
        <f>IF(ISERROR(FIND('112'!$M$9,G2421,1)),"",IF((AND(FIND('112'!$M$9,G2421,1)&gt;=1,B2421='112'!$K$9,OR($N2421='112'!$I$6,$O2421='112'!$I$6))),"x",""))</f>
        <v/>
      </c>
      <c r="U2421" s="79" t="str">
        <f>IF(ISERROR(FIND('112'!$M$9,G2421,1)),"",IF((AND(LEFT(G2421,2)=LEFT('112'!$M$9,2),B2421&lt;'112'!$K$9,$N2421='112'!$I$6)),"x",""))</f>
        <v/>
      </c>
      <c r="V2421" s="79" t="str">
        <f>IF(ISERROR(FIND('112'!$M$9,G2421,1)),"",IF((AND(RIGHT(G2421,2)=RIGHT('112'!$M$9,2),B2421&lt;'112'!$K$9,$O2421='112'!$I$6)),"x",""))</f>
        <v/>
      </c>
      <c r="W2421" s="79" t="str">
        <f>IF(AND('341-CT'!$H$9=H2421,OR(LEFT(N2421,3)=$W$7,LEFT(O2421,3)=$W$7)),"x","")</f>
        <v/>
      </c>
      <c r="X2421" s="79" t="str">
        <f>IF(OR(TH!N2421=TH!$X$7,O2421=TH!$X$7),"x","")</f>
        <v/>
      </c>
      <c r="Y2421" s="79" t="str">
        <f>IF(AND(OR(N2421="131",O2421="131"),H2421='131-CT'!$H$9),"x","")</f>
        <v/>
      </c>
      <c r="Z2421" s="79"/>
      <c r="AA2421" s="79" t="str">
        <f>IF(AND(MONTH(E2421)='IN-NX'!$J$5,'IN-NX'!$D$7=D2421),"x","")</f>
        <v/>
      </c>
      <c r="AB2421" s="79" t="str">
        <f>IF(AND(OR(LEFT(TH!N2421,2)="15",LEFT(TH!O2421,2)="15"),LEFT(TH!O2421,3)&lt;&gt;"111",'152-CT'!$J$8=TH!F2421),"x","")</f>
        <v/>
      </c>
      <c r="AC2421" s="79" t="str">
        <f>IF(AND(OR(LEFT(TH!N2421,2)="15",LEFT(TH!O2421,2)="15"),TK!$E$7=TH!F2421),"x","")</f>
        <v/>
      </c>
      <c r="AD2421" s="79" t="str">
        <f>IF(AND(N2421="1521",MONTH(C2421)='BK-NL'!$M$11),"x","")</f>
        <v/>
      </c>
    </row>
    <row r="2422" spans="1:30" ht="16.5" customHeight="1">
      <c r="A2422" s="318" t="str">
        <f>IF(B2422&lt;&gt;"",IF(AND(B2422='IN-TC'!$S$4,OR(TH!N2422="1111",TH!O2422="1111")),TH!D2422,""),"")</f>
        <v/>
      </c>
      <c r="B2422" s="60" t="str">
        <f t="shared" si="241"/>
        <v/>
      </c>
      <c r="C2422" s="301"/>
      <c r="D2422" s="301"/>
      <c r="E2422" s="301"/>
      <c r="F2422" s="69"/>
      <c r="G2422" s="968"/>
      <c r="H2422" s="303"/>
      <c r="I2422" s="385"/>
      <c r="J2422" s="969"/>
      <c r="K2422" s="385"/>
      <c r="L2422" s="392"/>
      <c r="M2422" s="970"/>
      <c r="N2422" s="304"/>
      <c r="O2422" s="304"/>
      <c r="P2422" s="79" t="str">
        <f>IF(AND('331-CT'!$E$7=TH!H2422,OR(N2422="331",O2422="331")),"x","")</f>
        <v/>
      </c>
      <c r="Q2422" s="79" t="str">
        <f>IF(AND(B2422='111'!$L$11,OR($N2422=$Q$7,$O2422=$Q$7)),"x","")</f>
        <v/>
      </c>
      <c r="R2422" s="79" t="str">
        <f>IF(AND($N2422=$Q$7,$B2422&lt;'111'!$L$11),"x","")</f>
        <v/>
      </c>
      <c r="S2422" s="79" t="str">
        <f>IF(AND($O2422=$Q$7,$B2422&lt;'111'!$L$11),"x","")</f>
        <v/>
      </c>
      <c r="T2422" s="79" t="str">
        <f>IF(ISERROR(FIND('112'!$M$9,G2422,1)),"",IF((AND(FIND('112'!$M$9,G2422,1)&gt;=1,B2422='112'!$K$9,OR($N2422='112'!$I$6,$O2422='112'!$I$6))),"x",""))</f>
        <v/>
      </c>
      <c r="U2422" s="79" t="str">
        <f>IF(ISERROR(FIND('112'!$M$9,G2422,1)),"",IF((AND(LEFT(G2422,2)=LEFT('112'!$M$9,2),B2422&lt;'112'!$K$9,$N2422='112'!$I$6)),"x",""))</f>
        <v/>
      </c>
      <c r="V2422" s="79" t="str">
        <f>IF(ISERROR(FIND('112'!$M$9,G2422,1)),"",IF((AND(RIGHT(G2422,2)=RIGHT('112'!$M$9,2),B2422&lt;'112'!$K$9,$O2422='112'!$I$6)),"x",""))</f>
        <v/>
      </c>
      <c r="W2422" s="79" t="str">
        <f>IF(AND('341-CT'!$H$9=H2422,OR(LEFT(N2422,3)=$W$7,LEFT(O2422,3)=$W$7)),"x","")</f>
        <v/>
      </c>
      <c r="X2422" s="79" t="str">
        <f>IF(OR(TH!N2422=TH!$X$7,O2422=TH!$X$7),"x","")</f>
        <v/>
      </c>
      <c r="Y2422" s="79" t="str">
        <f>IF(AND(OR(N2422="131",O2422="131"),H2422='131-CT'!$H$9),"x","")</f>
        <v/>
      </c>
      <c r="Z2422" s="79"/>
      <c r="AA2422" s="79" t="str">
        <f>IF(AND(MONTH(E2422)='IN-NX'!$J$5,'IN-NX'!$D$7=D2422),"x","")</f>
        <v/>
      </c>
      <c r="AB2422" s="79" t="str">
        <f>IF(AND(OR(LEFT(TH!N2422,2)="15",LEFT(TH!O2422,2)="15"),LEFT(TH!O2422,3)&lt;&gt;"111",'152-CT'!$J$8=TH!F2422),"x","")</f>
        <v/>
      </c>
      <c r="AC2422" s="79" t="str">
        <f>IF(AND(OR(LEFT(TH!N2422,2)="15",LEFT(TH!O2422,2)="15"),TK!$E$7=TH!F2422),"x","")</f>
        <v/>
      </c>
      <c r="AD2422" s="79" t="str">
        <f>IF(AND(N2422="1521",MONTH(C2422)='BK-NL'!$M$11),"x","")</f>
        <v/>
      </c>
    </row>
    <row r="2423" spans="1:30" ht="16.5" customHeight="1">
      <c r="A2423" s="318" t="str">
        <f>IF(B2423&lt;&gt;"",IF(AND(B2423='IN-TC'!$S$4,OR(TH!N2423="1111",TH!O2423="1111")),TH!D2423,""),"")</f>
        <v/>
      </c>
      <c r="B2423" s="60" t="str">
        <f t="shared" si="241"/>
        <v/>
      </c>
      <c r="C2423" s="301"/>
      <c r="D2423" s="301"/>
      <c r="E2423" s="301"/>
      <c r="F2423" s="69"/>
      <c r="G2423" s="968"/>
      <c r="H2423" s="303"/>
      <c r="I2423" s="385"/>
      <c r="J2423" s="969"/>
      <c r="K2423" s="385"/>
      <c r="L2423" s="392"/>
      <c r="M2423" s="970"/>
      <c r="N2423" s="304"/>
      <c r="O2423" s="304"/>
      <c r="P2423" s="79" t="str">
        <f>IF(AND('331-CT'!$E$7=TH!H2423,OR(N2423="331",O2423="331")),"x","")</f>
        <v/>
      </c>
      <c r="Q2423" s="79" t="str">
        <f>IF(AND(B2423='111'!$L$11,OR($N2423=$Q$7,$O2423=$Q$7)),"x","")</f>
        <v/>
      </c>
      <c r="R2423" s="79" t="str">
        <f>IF(AND($N2423=$Q$7,$B2423&lt;'111'!$L$11),"x","")</f>
        <v/>
      </c>
      <c r="S2423" s="79" t="str">
        <f>IF(AND($O2423=$Q$7,$B2423&lt;'111'!$L$11),"x","")</f>
        <v/>
      </c>
      <c r="T2423" s="79" t="str">
        <f>IF(ISERROR(FIND('112'!$M$9,G2423,1)),"",IF((AND(FIND('112'!$M$9,G2423,1)&gt;=1,B2423='112'!$K$9,OR($N2423='112'!$I$6,$O2423='112'!$I$6))),"x",""))</f>
        <v/>
      </c>
      <c r="U2423" s="79" t="str">
        <f>IF(ISERROR(FIND('112'!$M$9,G2423,1)),"",IF((AND(LEFT(G2423,2)=LEFT('112'!$M$9,2),B2423&lt;'112'!$K$9,$N2423='112'!$I$6)),"x",""))</f>
        <v/>
      </c>
      <c r="V2423" s="79" t="str">
        <f>IF(ISERROR(FIND('112'!$M$9,G2423,1)),"",IF((AND(RIGHT(G2423,2)=RIGHT('112'!$M$9,2),B2423&lt;'112'!$K$9,$O2423='112'!$I$6)),"x",""))</f>
        <v/>
      </c>
      <c r="W2423" s="79" t="str">
        <f>IF(AND('341-CT'!$H$9=H2423,OR(LEFT(N2423,3)=$W$7,LEFT(O2423,3)=$W$7)),"x","")</f>
        <v/>
      </c>
      <c r="X2423" s="79" t="str">
        <f>IF(OR(TH!N2423=TH!$X$7,O2423=TH!$X$7),"x","")</f>
        <v/>
      </c>
      <c r="Y2423" s="79" t="str">
        <f>IF(AND(OR(N2423="131",O2423="131"),H2423='131-CT'!$H$9),"x","")</f>
        <v/>
      </c>
      <c r="Z2423" s="79"/>
      <c r="AA2423" s="79" t="str">
        <f>IF(AND(MONTH(E2423)='IN-NX'!$J$5,'IN-NX'!$D$7=D2423),"x","")</f>
        <v/>
      </c>
      <c r="AB2423" s="79" t="str">
        <f>IF(AND(OR(LEFT(TH!N2423,2)="15",LEFT(TH!O2423,2)="15"),LEFT(TH!O2423,3)&lt;&gt;"111",'152-CT'!$J$8=TH!F2423),"x","")</f>
        <v/>
      </c>
      <c r="AC2423" s="79" t="str">
        <f>IF(AND(OR(LEFT(TH!N2423,2)="15",LEFT(TH!O2423,2)="15"),TK!$E$7=TH!F2423),"x","")</f>
        <v/>
      </c>
      <c r="AD2423" s="79" t="str">
        <f>IF(AND(N2423="1521",MONTH(C2423)='BK-NL'!$M$11),"x","")</f>
        <v/>
      </c>
    </row>
    <row r="2424" spans="1:30" ht="16.5" customHeight="1">
      <c r="A2424" s="318" t="str">
        <f>IF(B2424&lt;&gt;"",IF(AND(B2424='IN-TC'!$S$4,OR(TH!N2424="1111",TH!O2424="1111")),TH!D2424,""),"")</f>
        <v/>
      </c>
      <c r="B2424" s="60" t="str">
        <f t="shared" si="241"/>
        <v/>
      </c>
      <c r="C2424" s="301"/>
      <c r="D2424" s="301"/>
      <c r="E2424" s="301"/>
      <c r="F2424" s="69"/>
      <c r="G2424" s="968"/>
      <c r="H2424" s="303"/>
      <c r="I2424" s="385"/>
      <c r="J2424" s="969"/>
      <c r="K2424" s="385"/>
      <c r="L2424" s="392"/>
      <c r="M2424" s="970"/>
      <c r="N2424" s="304"/>
      <c r="O2424" s="304"/>
      <c r="P2424" s="79" t="str">
        <f>IF(AND('331-CT'!$E$7=TH!H2424,OR(N2424="331",O2424="331")),"x","")</f>
        <v/>
      </c>
      <c r="Q2424" s="79" t="str">
        <f>IF(AND(B2424='111'!$L$11,OR($N2424=$Q$7,$O2424=$Q$7)),"x","")</f>
        <v/>
      </c>
      <c r="R2424" s="79" t="str">
        <f>IF(AND($N2424=$Q$7,$B2424&lt;'111'!$L$11),"x","")</f>
        <v/>
      </c>
      <c r="S2424" s="79" t="str">
        <f>IF(AND($O2424=$Q$7,$B2424&lt;'111'!$L$11),"x","")</f>
        <v/>
      </c>
      <c r="T2424" s="79" t="str">
        <f>IF(ISERROR(FIND('112'!$M$9,G2424,1)),"",IF((AND(FIND('112'!$M$9,G2424,1)&gt;=1,B2424='112'!$K$9,OR($N2424='112'!$I$6,$O2424='112'!$I$6))),"x",""))</f>
        <v/>
      </c>
      <c r="U2424" s="79" t="str">
        <f>IF(ISERROR(FIND('112'!$M$9,G2424,1)),"",IF((AND(LEFT(G2424,2)=LEFT('112'!$M$9,2),B2424&lt;'112'!$K$9,$N2424='112'!$I$6)),"x",""))</f>
        <v/>
      </c>
      <c r="V2424" s="79" t="str">
        <f>IF(ISERROR(FIND('112'!$M$9,G2424,1)),"",IF((AND(RIGHT(G2424,2)=RIGHT('112'!$M$9,2),B2424&lt;'112'!$K$9,$O2424='112'!$I$6)),"x",""))</f>
        <v/>
      </c>
      <c r="W2424" s="79" t="str">
        <f>IF(AND('341-CT'!$H$9=H2424,OR(LEFT(N2424,3)=$W$7,LEFT(O2424,3)=$W$7)),"x","")</f>
        <v/>
      </c>
      <c r="X2424" s="79" t="str">
        <f>IF(OR(TH!N2424=TH!$X$7,O2424=TH!$X$7),"x","")</f>
        <v/>
      </c>
      <c r="Y2424" s="79" t="str">
        <f>IF(AND(OR(N2424="131",O2424="131"),H2424='131-CT'!$H$9),"x","")</f>
        <v/>
      </c>
      <c r="Z2424" s="79"/>
      <c r="AA2424" s="79" t="str">
        <f>IF(AND(MONTH(E2424)='IN-NX'!$J$5,'IN-NX'!$D$7=D2424),"x","")</f>
        <v/>
      </c>
      <c r="AB2424" s="79" t="str">
        <f>IF(AND(OR(LEFT(TH!N2424,2)="15",LEFT(TH!O2424,2)="15"),LEFT(TH!O2424,3)&lt;&gt;"111",'152-CT'!$J$8=TH!F2424),"x","")</f>
        <v/>
      </c>
      <c r="AC2424" s="79" t="str">
        <f>IF(AND(OR(LEFT(TH!N2424,2)="15",LEFT(TH!O2424,2)="15"),TK!$E$7=TH!F2424),"x","")</f>
        <v/>
      </c>
      <c r="AD2424" s="79" t="str">
        <f>IF(AND(N2424="1521",MONTH(C2424)='BK-NL'!$M$11),"x","")</f>
        <v/>
      </c>
    </row>
    <row r="2425" spans="1:30" ht="16.5" customHeight="1">
      <c r="A2425" s="318" t="str">
        <f>IF(B2425&lt;&gt;"",IF(AND(B2425='IN-TC'!$S$4,OR(TH!N2425="1111",TH!O2425="1111")),TH!D2425,""),"")</f>
        <v/>
      </c>
      <c r="B2425" s="60" t="str">
        <f t="shared" si="241"/>
        <v/>
      </c>
      <c r="C2425" s="301"/>
      <c r="D2425" s="301"/>
      <c r="E2425" s="301"/>
      <c r="F2425" s="69"/>
      <c r="G2425" s="968"/>
      <c r="H2425" s="303"/>
      <c r="I2425" s="385"/>
      <c r="J2425" s="969"/>
      <c r="K2425" s="385"/>
      <c r="L2425" s="392"/>
      <c r="M2425" s="970"/>
      <c r="N2425" s="304"/>
      <c r="O2425" s="304"/>
      <c r="P2425" s="79" t="str">
        <f>IF(AND('331-CT'!$E$7=TH!H2425,OR(N2425="331",O2425="331")),"x","")</f>
        <v/>
      </c>
      <c r="Q2425" s="79" t="str">
        <f>IF(AND(B2425='111'!$L$11,OR($N2425=$Q$7,$O2425=$Q$7)),"x","")</f>
        <v/>
      </c>
      <c r="R2425" s="79" t="str">
        <f>IF(AND($N2425=$Q$7,$B2425&lt;'111'!$L$11),"x","")</f>
        <v/>
      </c>
      <c r="S2425" s="79" t="str">
        <f>IF(AND($O2425=$Q$7,$B2425&lt;'111'!$L$11),"x","")</f>
        <v/>
      </c>
      <c r="T2425" s="79" t="str">
        <f>IF(ISERROR(FIND('112'!$M$9,G2425,1)),"",IF((AND(FIND('112'!$M$9,G2425,1)&gt;=1,B2425='112'!$K$9,OR($N2425='112'!$I$6,$O2425='112'!$I$6))),"x",""))</f>
        <v/>
      </c>
      <c r="U2425" s="79" t="str">
        <f>IF(ISERROR(FIND('112'!$M$9,G2425,1)),"",IF((AND(LEFT(G2425,2)=LEFT('112'!$M$9,2),B2425&lt;'112'!$K$9,$N2425='112'!$I$6)),"x",""))</f>
        <v/>
      </c>
      <c r="V2425" s="79" t="str">
        <f>IF(ISERROR(FIND('112'!$M$9,G2425,1)),"",IF((AND(RIGHT(G2425,2)=RIGHT('112'!$M$9,2),B2425&lt;'112'!$K$9,$O2425='112'!$I$6)),"x",""))</f>
        <v/>
      </c>
      <c r="W2425" s="79" t="str">
        <f>IF(AND('341-CT'!$H$9=H2425,OR(LEFT(N2425,3)=$W$7,LEFT(O2425,3)=$W$7)),"x","")</f>
        <v/>
      </c>
      <c r="X2425" s="79" t="str">
        <f>IF(OR(TH!N2425=TH!$X$7,O2425=TH!$X$7),"x","")</f>
        <v/>
      </c>
      <c r="Y2425" s="79" t="str">
        <f>IF(AND(OR(N2425="131",O2425="131"),H2425='131-CT'!$H$9),"x","")</f>
        <v/>
      </c>
      <c r="Z2425" s="79"/>
      <c r="AA2425" s="79" t="str">
        <f>IF(AND(MONTH(E2425)='IN-NX'!$J$5,'IN-NX'!$D$7=D2425),"x","")</f>
        <v/>
      </c>
      <c r="AB2425" s="79" t="str">
        <f>IF(AND(OR(LEFT(TH!N2425,2)="15",LEFT(TH!O2425,2)="15"),LEFT(TH!O2425,3)&lt;&gt;"111",'152-CT'!$J$8=TH!F2425),"x","")</f>
        <v/>
      </c>
      <c r="AC2425" s="79" t="str">
        <f>IF(AND(OR(LEFT(TH!N2425,2)="15",LEFT(TH!O2425,2)="15"),TK!$E$7=TH!F2425),"x","")</f>
        <v/>
      </c>
      <c r="AD2425" s="79" t="str">
        <f>IF(AND(N2425="1521",MONTH(C2425)='BK-NL'!$M$11),"x","")</f>
        <v/>
      </c>
    </row>
    <row r="2426" spans="1:30" ht="16.5" customHeight="1">
      <c r="A2426" s="318" t="str">
        <f>IF(B2426&lt;&gt;"",IF(AND(B2426='IN-TC'!$S$4,OR(TH!N2426="1111",TH!O2426="1111")),TH!D2426,""),"")</f>
        <v/>
      </c>
      <c r="B2426" s="60" t="str">
        <f t="shared" si="241"/>
        <v/>
      </c>
      <c r="C2426" s="301"/>
      <c r="D2426" s="301"/>
      <c r="E2426" s="301"/>
      <c r="F2426" s="69"/>
      <c r="G2426" s="968"/>
      <c r="H2426" s="303"/>
      <c r="I2426" s="385"/>
      <c r="J2426" s="969"/>
      <c r="K2426" s="385"/>
      <c r="L2426" s="392"/>
      <c r="M2426" s="970"/>
      <c r="N2426" s="304"/>
      <c r="O2426" s="304"/>
      <c r="P2426" s="79" t="str">
        <f>IF(AND('331-CT'!$E$7=TH!H2426,OR(N2426="331",O2426="331")),"x","")</f>
        <v/>
      </c>
      <c r="Q2426" s="79" t="str">
        <f>IF(AND(B2426='111'!$L$11,OR($N2426=$Q$7,$O2426=$Q$7)),"x","")</f>
        <v/>
      </c>
      <c r="R2426" s="79" t="str">
        <f>IF(AND($N2426=$Q$7,$B2426&lt;'111'!$L$11),"x","")</f>
        <v/>
      </c>
      <c r="S2426" s="79" t="str">
        <f>IF(AND($O2426=$Q$7,$B2426&lt;'111'!$L$11),"x","")</f>
        <v/>
      </c>
      <c r="T2426" s="79" t="str">
        <f>IF(ISERROR(FIND('112'!$M$9,G2426,1)),"",IF((AND(FIND('112'!$M$9,G2426,1)&gt;=1,B2426='112'!$K$9,OR($N2426='112'!$I$6,$O2426='112'!$I$6))),"x",""))</f>
        <v/>
      </c>
      <c r="U2426" s="79" t="str">
        <f>IF(ISERROR(FIND('112'!$M$9,G2426,1)),"",IF((AND(LEFT(G2426,2)=LEFT('112'!$M$9,2),B2426&lt;'112'!$K$9,$N2426='112'!$I$6)),"x",""))</f>
        <v/>
      </c>
      <c r="V2426" s="79" t="str">
        <f>IF(ISERROR(FIND('112'!$M$9,G2426,1)),"",IF((AND(RIGHT(G2426,2)=RIGHT('112'!$M$9,2),B2426&lt;'112'!$K$9,$O2426='112'!$I$6)),"x",""))</f>
        <v/>
      </c>
      <c r="W2426" s="79" t="str">
        <f>IF(AND('341-CT'!$H$9=H2426,OR(LEFT(N2426,3)=$W$7,LEFT(O2426,3)=$W$7)),"x","")</f>
        <v/>
      </c>
      <c r="X2426" s="79" t="str">
        <f>IF(OR(TH!N2426=TH!$X$7,O2426=TH!$X$7),"x","")</f>
        <v/>
      </c>
      <c r="Y2426" s="79" t="str">
        <f>IF(AND(OR(N2426="131",O2426="131"),H2426='131-CT'!$H$9),"x","")</f>
        <v/>
      </c>
      <c r="Z2426" s="79"/>
      <c r="AA2426" s="79" t="str">
        <f>IF(AND(MONTH(E2426)='IN-NX'!$J$5,'IN-NX'!$D$7=D2426),"x","")</f>
        <v/>
      </c>
      <c r="AB2426" s="79" t="str">
        <f>IF(AND(OR(LEFT(TH!N2426,2)="15",LEFT(TH!O2426,2)="15"),LEFT(TH!O2426,3)&lt;&gt;"111",'152-CT'!$J$8=TH!F2426),"x","")</f>
        <v/>
      </c>
      <c r="AC2426" s="79" t="str">
        <f>IF(AND(OR(LEFT(TH!N2426,2)="15",LEFT(TH!O2426,2)="15"),TK!$E$7=TH!F2426),"x","")</f>
        <v/>
      </c>
      <c r="AD2426" s="79" t="str">
        <f>IF(AND(N2426="1521",MONTH(C2426)='BK-NL'!$M$11),"x","")</f>
        <v/>
      </c>
    </row>
    <row r="2427" spans="1:30" ht="16.5" customHeight="1">
      <c r="A2427" s="318" t="str">
        <f>IF(B2427&lt;&gt;"",IF(AND(B2427='IN-TC'!$S$4,OR(TH!N2427="1111",TH!O2427="1111")),TH!D2427,""),"")</f>
        <v/>
      </c>
      <c r="B2427" s="60" t="str">
        <f t="shared" ref="B2427:B2428" si="242">IF(C2427&lt;&gt;"",MONTH(C2427),"")</f>
        <v/>
      </c>
      <c r="C2427" s="301"/>
      <c r="D2427" s="301"/>
      <c r="E2427" s="301"/>
      <c r="F2427" s="69"/>
      <c r="G2427" s="968"/>
      <c r="H2427" s="303"/>
      <c r="I2427" s="385"/>
      <c r="J2427" s="969"/>
      <c r="K2427" s="385"/>
      <c r="L2427" s="392"/>
      <c r="M2427" s="970"/>
      <c r="N2427" s="304"/>
      <c r="O2427" s="304"/>
      <c r="P2427" s="79" t="str">
        <f>IF(AND('331-CT'!$E$7=TH!H2427,OR(N2427="331",O2427="331")),"x","")</f>
        <v/>
      </c>
      <c r="Q2427" s="79" t="str">
        <f>IF(AND(B2427='111'!$L$11,OR($N2427=$Q$7,$O2427=$Q$7)),"x","")</f>
        <v/>
      </c>
      <c r="R2427" s="79" t="str">
        <f>IF(AND($N2427=$Q$7,$B2427&lt;'111'!$L$11),"x","")</f>
        <v/>
      </c>
      <c r="S2427" s="79" t="str">
        <f>IF(AND($O2427=$Q$7,$B2427&lt;'111'!$L$11),"x","")</f>
        <v/>
      </c>
      <c r="T2427" s="79" t="str">
        <f>IF(ISERROR(FIND('112'!$M$9,G2427,1)),"",IF((AND(FIND('112'!$M$9,G2427,1)&gt;=1,B2427='112'!$K$9,OR($N2427='112'!$I$6,$O2427='112'!$I$6))),"x",""))</f>
        <v/>
      </c>
      <c r="U2427" s="79" t="str">
        <f>IF(ISERROR(FIND('112'!$M$9,G2427,1)),"",IF((AND(LEFT(G2427,2)=LEFT('112'!$M$9,2),B2427&lt;'112'!$K$9,$N2427='112'!$I$6)),"x",""))</f>
        <v/>
      </c>
      <c r="V2427" s="79" t="str">
        <f>IF(ISERROR(FIND('112'!$M$9,G2427,1)),"",IF((AND(RIGHT(G2427,2)=RIGHT('112'!$M$9,2),B2427&lt;'112'!$K$9,$O2427='112'!$I$6)),"x",""))</f>
        <v/>
      </c>
      <c r="W2427" s="79" t="str">
        <f>IF(AND('341-CT'!$H$9=H2427,OR(LEFT(N2427,3)=$W$7,LEFT(O2427,3)=$W$7)),"x","")</f>
        <v/>
      </c>
      <c r="X2427" s="79" t="str">
        <f>IF(OR(TH!N2427=TH!$X$7,O2427=TH!$X$7),"x","")</f>
        <v/>
      </c>
      <c r="Y2427" s="79" t="str">
        <f>IF(AND(OR(N2427="131",O2427="131"),H2427='131-CT'!$H$9),"x","")</f>
        <v/>
      </c>
      <c r="Z2427" s="79"/>
      <c r="AA2427" s="79" t="str">
        <f>IF(AND(MONTH(E2427)='IN-NX'!$J$5,'IN-NX'!$D$7=D2427),"x","")</f>
        <v/>
      </c>
      <c r="AB2427" s="79" t="str">
        <f>IF(AND(OR(LEFT(TH!N2427,2)="15",LEFT(TH!O2427,2)="15"),LEFT(TH!O2427,3)&lt;&gt;"111",'152-CT'!$J$8=TH!F2427),"x","")</f>
        <v/>
      </c>
      <c r="AC2427" s="79" t="str">
        <f>IF(AND(OR(LEFT(TH!N2427,2)="15",LEFT(TH!O2427,2)="15"),TK!$E$7=TH!F2427),"x","")</f>
        <v/>
      </c>
      <c r="AD2427" s="79" t="str">
        <f>IF(AND(N2427="1521",MONTH(C2427)='BK-NL'!$M$11),"x","")</f>
        <v/>
      </c>
    </row>
    <row r="2428" spans="1:30" ht="16.5" customHeight="1">
      <c r="A2428" s="318" t="str">
        <f>IF(B2428&lt;&gt;"",IF(AND(B2428='IN-TC'!$S$4,OR(TH!N2428="1111",TH!O2428="1111")),TH!D2428,""),"")</f>
        <v/>
      </c>
      <c r="B2428" s="60" t="str">
        <f t="shared" si="242"/>
        <v/>
      </c>
      <c r="C2428" s="301"/>
      <c r="D2428" s="301"/>
      <c r="E2428" s="301"/>
      <c r="F2428" s="69"/>
      <c r="G2428" s="968"/>
      <c r="H2428" s="303"/>
      <c r="I2428" s="385"/>
      <c r="J2428" s="969"/>
      <c r="K2428" s="385"/>
      <c r="L2428" s="392"/>
      <c r="M2428" s="970"/>
      <c r="N2428" s="304"/>
      <c r="O2428" s="304"/>
      <c r="P2428" s="79" t="str">
        <f>IF(AND('331-CT'!$E$7=TH!H2428,OR(N2428="331",O2428="331")),"x","")</f>
        <v/>
      </c>
      <c r="Q2428" s="79" t="str">
        <f>IF(AND(B2428='111'!$L$11,OR($N2428=$Q$7,$O2428=$Q$7)),"x","")</f>
        <v/>
      </c>
      <c r="R2428" s="79" t="str">
        <f>IF(AND($N2428=$Q$7,$B2428&lt;'111'!$L$11),"x","")</f>
        <v/>
      </c>
      <c r="S2428" s="79" t="str">
        <f>IF(AND($O2428=$Q$7,$B2428&lt;'111'!$L$11),"x","")</f>
        <v/>
      </c>
      <c r="T2428" s="79" t="str">
        <f>IF(ISERROR(FIND('112'!$M$9,G2428,1)),"",IF((AND(FIND('112'!$M$9,G2428,1)&gt;=1,B2428='112'!$K$9,OR($N2428='112'!$I$6,$O2428='112'!$I$6))),"x",""))</f>
        <v/>
      </c>
      <c r="U2428" s="79" t="str">
        <f>IF(ISERROR(FIND('112'!$M$9,G2428,1)),"",IF((AND(LEFT(G2428,2)=LEFT('112'!$M$9,2),B2428&lt;'112'!$K$9,$N2428='112'!$I$6)),"x",""))</f>
        <v/>
      </c>
      <c r="V2428" s="79" t="str">
        <f>IF(ISERROR(FIND('112'!$M$9,G2428,1)),"",IF((AND(RIGHT(G2428,2)=RIGHT('112'!$M$9,2),B2428&lt;'112'!$K$9,$O2428='112'!$I$6)),"x",""))</f>
        <v/>
      </c>
      <c r="W2428" s="79" t="str">
        <f>IF(AND('341-CT'!$H$9=H2428,OR(LEFT(N2428,3)=$W$7,LEFT(O2428,3)=$W$7)),"x","")</f>
        <v/>
      </c>
      <c r="X2428" s="79" t="str">
        <f>IF(OR(TH!N2428=TH!$X$7,O2428=TH!$X$7),"x","")</f>
        <v/>
      </c>
      <c r="Y2428" s="79" t="str">
        <f>IF(AND(OR(N2428="131",O2428="131"),H2428='131-CT'!$H$9),"x","")</f>
        <v/>
      </c>
      <c r="Z2428" s="79"/>
      <c r="AA2428" s="79" t="str">
        <f>IF(AND(MONTH(E2428)='IN-NX'!$J$5,'IN-NX'!$D$7=D2428),"x","")</f>
        <v/>
      </c>
      <c r="AB2428" s="79" t="str">
        <f>IF(AND(OR(LEFT(TH!N2428,2)="15",LEFT(TH!O2428,2)="15"),LEFT(TH!O2428,3)&lt;&gt;"111",'152-CT'!$J$8=TH!F2428),"x","")</f>
        <v/>
      </c>
      <c r="AC2428" s="79" t="str">
        <f>IF(AND(OR(LEFT(TH!N2428,2)="15",LEFT(TH!O2428,2)="15"),TK!$E$7=TH!F2428),"x","")</f>
        <v/>
      </c>
      <c r="AD2428" s="79" t="str">
        <f>IF(AND(N2428="1521",MONTH(C2428)='BK-NL'!$M$11),"x","")</f>
        <v/>
      </c>
    </row>
    <row r="2429" spans="1:30" ht="16.5" customHeight="1">
      <c r="A2429" s="318" t="str">
        <f>IF(B2429&lt;&gt;"",IF(AND(B2429='IN-TC'!$S$4,OR(TH!N2429="1111",TH!O2429="1111")),TH!D2429,""),"")</f>
        <v/>
      </c>
      <c r="B2429" s="60" t="str">
        <f t="shared" si="241"/>
        <v/>
      </c>
      <c r="C2429" s="974"/>
      <c r="D2429" s="301"/>
      <c r="E2429" s="974"/>
      <c r="F2429" s="77"/>
      <c r="G2429" s="976"/>
      <c r="H2429" s="305"/>
      <c r="I2429" s="383"/>
      <c r="J2429" s="977"/>
      <c r="K2429" s="383"/>
      <c r="L2429" s="390"/>
      <c r="M2429" s="978"/>
      <c r="N2429" s="979"/>
      <c r="O2429" s="979"/>
      <c r="P2429" s="79" t="str">
        <f>IF(AND('331-CT'!$E$7=TH!H2429,OR(N2429="331",O2429="331")),"x","")</f>
        <v/>
      </c>
      <c r="Q2429" s="79" t="str">
        <f>IF(AND(B2429='111'!$L$11,OR($N2429=$Q$7,$O2429=$Q$7)),"x","")</f>
        <v/>
      </c>
      <c r="R2429" s="79" t="str">
        <f>IF(AND($N2429=$Q$7,$B2429&lt;'111'!$L$11),"x","")</f>
        <v/>
      </c>
      <c r="S2429" s="79" t="str">
        <f>IF(AND($O2429=$Q$7,$B2429&lt;'111'!$L$11),"x","")</f>
        <v/>
      </c>
      <c r="T2429" s="79" t="str">
        <f>IF(ISERROR(FIND('112'!$M$9,G2429,1)),"",IF((AND(FIND('112'!$M$9,G2429,1)&gt;=1,B2429='112'!$K$9,OR($N2429='112'!$I$6,$O2429='112'!$I$6))),"x",""))</f>
        <v/>
      </c>
      <c r="U2429" s="79" t="str">
        <f>IF(ISERROR(FIND('112'!$M$9,G2429,1)),"",IF((AND(LEFT(G2429,2)=LEFT('112'!$M$9,2),B2429&lt;'112'!$K$9,$N2429='112'!$I$6)),"x",""))</f>
        <v/>
      </c>
      <c r="V2429" s="79" t="str">
        <f>IF(ISERROR(FIND('112'!$M$9,G2429,1)),"",IF((AND(RIGHT(G2429,2)=RIGHT('112'!$M$9,2),B2429&lt;'112'!$K$9,$O2429='112'!$I$6)),"x",""))</f>
        <v/>
      </c>
      <c r="W2429" s="79" t="str">
        <f>IF(AND('341-CT'!$H$9=H2429,OR(LEFT(N2429,3)=$W$7,LEFT(O2429,3)=$W$7)),"x","")</f>
        <v/>
      </c>
      <c r="X2429" s="79" t="str">
        <f>IF(OR(TH!N2429=TH!$X$7,O2429=TH!$X$7),"x","")</f>
        <v/>
      </c>
      <c r="Y2429" s="79" t="str">
        <f>IF(AND(OR(N2429="131",O2429="131"),H2429='131-CT'!$H$9),"x","")</f>
        <v/>
      </c>
      <c r="Z2429" s="79"/>
      <c r="AA2429" s="79" t="str">
        <f>IF(AND(MONTH(E2429)='IN-NX'!$J$5,'IN-NX'!$D$7=D2429),"x","")</f>
        <v/>
      </c>
      <c r="AB2429" s="79" t="str">
        <f>IF(AND(OR(LEFT(TH!N2429,2)="15",LEFT(TH!O2429,2)="15"),LEFT(TH!O2429,3)&lt;&gt;"111",'152-CT'!$J$8=TH!F2429),"x","")</f>
        <v/>
      </c>
      <c r="AC2429" s="79" t="str">
        <f>IF(AND(OR(LEFT(TH!N2429,2)="15",LEFT(TH!O2429,2)="15"),TK!$E$7=TH!F2429),"x","")</f>
        <v/>
      </c>
      <c r="AD2429" s="79" t="str">
        <f>IF(AND(N2429="1521",MONTH(C2429)='BK-NL'!$M$11),"x","")</f>
        <v/>
      </c>
    </row>
    <row r="2430" spans="1:30" ht="16.5" customHeight="1">
      <c r="A2430" s="318" t="str">
        <f>IF(B2430&lt;&gt;"",IF(AND(B2430='IN-TC'!$S$4,OR(TH!N2430="1111",TH!O2430="1111")),TH!D2430,""),"")</f>
        <v/>
      </c>
      <c r="B2430" s="60" t="str">
        <f t="shared" ref="B2430:B2465" si="243">IF(C2430&lt;&gt;"",MONTH(C2430),"")</f>
        <v/>
      </c>
      <c r="C2430" s="301"/>
      <c r="D2430" s="301"/>
      <c r="E2430" s="301"/>
      <c r="F2430" s="1261"/>
      <c r="G2430" s="968"/>
      <c r="H2430" s="321"/>
      <c r="I2430" s="385"/>
      <c r="J2430" s="969"/>
      <c r="K2430" s="385"/>
      <c r="L2430" s="392"/>
      <c r="M2430" s="970"/>
      <c r="N2430" s="304"/>
      <c r="O2430" s="304"/>
      <c r="P2430" s="79" t="str">
        <f>IF(AND('331-CT'!$E$7=TH!H2430,OR(N2430="331",O2430="331")),"x","")</f>
        <v/>
      </c>
      <c r="Q2430" s="79" t="str">
        <f>IF(AND(B2430='111'!$L$11,OR($N2430=$Q$7,$O2430=$Q$7)),"x","")</f>
        <v/>
      </c>
      <c r="R2430" s="79" t="str">
        <f>IF(AND($N2430=$Q$7,$B2430&lt;'111'!$L$11),"x","")</f>
        <v/>
      </c>
      <c r="S2430" s="79" t="str">
        <f>IF(AND($O2430=$Q$7,$B2430&lt;'111'!$L$11),"x","")</f>
        <v/>
      </c>
      <c r="T2430" s="79" t="str">
        <f>IF(ISERROR(FIND('112'!$M$9,G2430,1)),"",IF((AND(FIND('112'!$M$9,G2430,1)&gt;=1,B2430='112'!$K$9,OR($N2430='112'!$I$6,$O2430='112'!$I$6))),"x",""))</f>
        <v/>
      </c>
      <c r="U2430" s="79" t="str">
        <f>IF(ISERROR(FIND('112'!$M$9,G2430,1)),"",IF((AND(LEFT(G2430,2)=LEFT('112'!$M$9,2),B2430&lt;'112'!$K$9,$N2430='112'!$I$6)),"x",""))</f>
        <v/>
      </c>
      <c r="V2430" s="79" t="str">
        <f>IF(ISERROR(FIND('112'!$M$9,G2430,1)),"",IF((AND(RIGHT(G2430,2)=RIGHT('112'!$M$9,2),B2430&lt;'112'!$K$9,$O2430='112'!$I$6)),"x",""))</f>
        <v/>
      </c>
      <c r="W2430" s="79" t="str">
        <f>IF(AND('341-CT'!$H$9=H2430,OR(LEFT(N2430,3)=$W$7,LEFT(O2430,3)=$W$7)),"x","")</f>
        <v/>
      </c>
      <c r="X2430" s="79" t="str">
        <f>IF(OR(TH!N2430=TH!$X$7,O2430=TH!$X$7),"x","")</f>
        <v/>
      </c>
      <c r="Y2430" s="79" t="str">
        <f>IF(AND(OR(N2430="131",O2430="131"),H2430='131-CT'!$H$9),"x","")</f>
        <v/>
      </c>
      <c r="Z2430" s="79"/>
      <c r="AA2430" s="79" t="str">
        <f>IF(AND(MONTH(E2430)='IN-NX'!$J$5,'IN-NX'!$D$7=D2430),"x","")</f>
        <v/>
      </c>
      <c r="AB2430" s="79" t="str">
        <f>IF(AND(OR(LEFT(TH!N2430,2)="15",LEFT(TH!O2430,2)="15"),LEFT(TH!O2430,3)&lt;&gt;"111",'152-CT'!$J$8=TH!F2430),"x","")</f>
        <v/>
      </c>
      <c r="AC2430" s="79" t="str">
        <f>IF(AND(OR(LEFT(TH!N2430,2)="15",LEFT(TH!O2430,2)="15"),TK!$E$7=TH!F2430),"x","")</f>
        <v/>
      </c>
      <c r="AD2430" s="79" t="str">
        <f>IF(AND(N2430="1521",MONTH(C2430)='BK-NL'!$M$11),"x","")</f>
        <v/>
      </c>
    </row>
    <row r="2431" spans="1:30" ht="16.5" customHeight="1">
      <c r="A2431" s="318" t="str">
        <f>IF(B2431&lt;&gt;"",IF(AND(B2431='IN-TC'!$S$4,OR(TH!N2431="1111",TH!O2431="1111")),TH!D2431,""),"")</f>
        <v/>
      </c>
      <c r="B2431" s="60" t="str">
        <f t="shared" si="243"/>
        <v/>
      </c>
      <c r="C2431" s="301"/>
      <c r="D2431" s="301"/>
      <c r="E2431" s="301"/>
      <c r="F2431" s="1261"/>
      <c r="G2431" s="968"/>
      <c r="H2431" s="321"/>
      <c r="I2431" s="385"/>
      <c r="J2431" s="969"/>
      <c r="K2431" s="385"/>
      <c r="L2431" s="392"/>
      <c r="M2431" s="970"/>
      <c r="N2431" s="304"/>
      <c r="O2431" s="304"/>
      <c r="P2431" s="79" t="str">
        <f>IF(AND('331-CT'!$E$7=TH!H2431,OR(N2431="331",O2431="331")),"x","")</f>
        <v/>
      </c>
      <c r="Q2431" s="79" t="str">
        <f>IF(AND(B2431='111'!$L$11,OR($N2431=$Q$7,$O2431=$Q$7)),"x","")</f>
        <v/>
      </c>
      <c r="R2431" s="79" t="str">
        <f>IF(AND($N2431=$Q$7,$B2431&lt;'111'!$L$11),"x","")</f>
        <v/>
      </c>
      <c r="S2431" s="79" t="str">
        <f>IF(AND($O2431=$Q$7,$B2431&lt;'111'!$L$11),"x","")</f>
        <v/>
      </c>
      <c r="T2431" s="79" t="str">
        <f>IF(ISERROR(FIND('112'!$M$9,G2431,1)),"",IF((AND(FIND('112'!$M$9,G2431,1)&gt;=1,B2431='112'!$K$9,OR($N2431='112'!$I$6,$O2431='112'!$I$6))),"x",""))</f>
        <v/>
      </c>
      <c r="U2431" s="79" t="str">
        <f>IF(ISERROR(FIND('112'!$M$9,G2431,1)),"",IF((AND(LEFT(G2431,2)=LEFT('112'!$M$9,2),B2431&lt;'112'!$K$9,$N2431='112'!$I$6)),"x",""))</f>
        <v/>
      </c>
      <c r="V2431" s="79" t="str">
        <f>IF(ISERROR(FIND('112'!$M$9,G2431,1)),"",IF((AND(RIGHT(G2431,2)=RIGHT('112'!$M$9,2),B2431&lt;'112'!$K$9,$O2431='112'!$I$6)),"x",""))</f>
        <v/>
      </c>
      <c r="W2431" s="79" t="str">
        <f>IF(AND('341-CT'!$H$9=H2431,OR(LEFT(N2431,3)=$W$7,LEFT(O2431,3)=$W$7)),"x","")</f>
        <v/>
      </c>
      <c r="X2431" s="79" t="str">
        <f>IF(OR(TH!N2431=TH!$X$7,O2431=TH!$X$7),"x","")</f>
        <v/>
      </c>
      <c r="Y2431" s="79" t="str">
        <f>IF(AND(OR(N2431="131",O2431="131"),H2431='131-CT'!$H$9),"x","")</f>
        <v/>
      </c>
      <c r="Z2431" s="79"/>
      <c r="AA2431" s="79" t="str">
        <f>IF(AND(MONTH(E2431)='IN-NX'!$J$5,'IN-NX'!$D$7=D2431),"x","")</f>
        <v/>
      </c>
      <c r="AB2431" s="79" t="str">
        <f>IF(AND(OR(LEFT(TH!N2431,2)="15",LEFT(TH!O2431,2)="15"),LEFT(TH!O2431,3)&lt;&gt;"111",'152-CT'!$J$8=TH!F2431),"x","")</f>
        <v/>
      </c>
      <c r="AC2431" s="79" t="str">
        <f>IF(AND(OR(LEFT(TH!N2431,2)="15",LEFT(TH!O2431,2)="15"),TK!$E$7=TH!F2431),"x","")</f>
        <v/>
      </c>
      <c r="AD2431" s="79" t="str">
        <f>IF(AND(N2431="1521",MONTH(C2431)='BK-NL'!$M$11),"x","")</f>
        <v/>
      </c>
    </row>
    <row r="2432" spans="1:30" ht="16.5" customHeight="1">
      <c r="A2432" s="318" t="str">
        <f>IF(B2432&lt;&gt;"",IF(AND(B2432='IN-TC'!$S$4,OR(TH!N2432="1111",TH!O2432="1111")),TH!D2432,""),"")</f>
        <v/>
      </c>
      <c r="B2432" s="60" t="str">
        <f t="shared" si="243"/>
        <v/>
      </c>
      <c r="C2432" s="301"/>
      <c r="D2432" s="301"/>
      <c r="E2432" s="301"/>
      <c r="F2432" s="1261"/>
      <c r="G2432" s="968"/>
      <c r="H2432" s="321"/>
      <c r="I2432" s="385"/>
      <c r="J2432" s="969"/>
      <c r="K2432" s="385"/>
      <c r="L2432" s="392"/>
      <c r="M2432" s="970"/>
      <c r="N2432" s="304"/>
      <c r="O2432" s="304"/>
      <c r="P2432" s="79" t="str">
        <f>IF(AND('331-CT'!$E$7=TH!H2432,OR(N2432="331",O2432="331")),"x","")</f>
        <v/>
      </c>
      <c r="Q2432" s="79" t="str">
        <f>IF(AND(B2432='111'!$L$11,OR($N2432=$Q$7,$O2432=$Q$7)),"x","")</f>
        <v/>
      </c>
      <c r="R2432" s="79" t="str">
        <f>IF(AND($N2432=$Q$7,$B2432&lt;'111'!$L$11),"x","")</f>
        <v/>
      </c>
      <c r="S2432" s="79" t="str">
        <f>IF(AND($O2432=$Q$7,$B2432&lt;'111'!$L$11),"x","")</f>
        <v/>
      </c>
      <c r="T2432" s="79" t="str">
        <f>IF(ISERROR(FIND('112'!$M$9,G2432,1)),"",IF((AND(FIND('112'!$M$9,G2432,1)&gt;=1,B2432='112'!$K$9,OR($N2432='112'!$I$6,$O2432='112'!$I$6))),"x",""))</f>
        <v/>
      </c>
      <c r="U2432" s="79" t="str">
        <f>IF(ISERROR(FIND('112'!$M$9,G2432,1)),"",IF((AND(LEFT(G2432,2)=LEFT('112'!$M$9,2),B2432&lt;'112'!$K$9,$N2432='112'!$I$6)),"x",""))</f>
        <v/>
      </c>
      <c r="V2432" s="79" t="str">
        <f>IF(ISERROR(FIND('112'!$M$9,G2432,1)),"",IF((AND(RIGHT(G2432,2)=RIGHT('112'!$M$9,2),B2432&lt;'112'!$K$9,$O2432='112'!$I$6)),"x",""))</f>
        <v/>
      </c>
      <c r="W2432" s="79" t="str">
        <f>IF(AND('341-CT'!$H$9=H2432,OR(LEFT(N2432,3)=$W$7,LEFT(O2432,3)=$W$7)),"x","")</f>
        <v/>
      </c>
      <c r="X2432" s="79" t="str">
        <f>IF(OR(TH!N2432=TH!$X$7,O2432=TH!$X$7),"x","")</f>
        <v/>
      </c>
      <c r="Y2432" s="79" t="str">
        <f>IF(AND(OR(N2432="131",O2432="131"),H2432='131-CT'!$H$9),"x","")</f>
        <v/>
      </c>
      <c r="Z2432" s="79"/>
      <c r="AA2432" s="79" t="str">
        <f>IF(AND(MONTH(E2432)='IN-NX'!$J$5,'IN-NX'!$D$7=D2432),"x","")</f>
        <v/>
      </c>
      <c r="AB2432" s="79" t="str">
        <f>IF(AND(OR(LEFT(TH!N2432,2)="15",LEFT(TH!O2432,2)="15"),LEFT(TH!O2432,3)&lt;&gt;"111",'152-CT'!$J$8=TH!F2432),"x","")</f>
        <v/>
      </c>
      <c r="AC2432" s="79" t="str">
        <f>IF(AND(OR(LEFT(TH!N2432,2)="15",LEFT(TH!O2432,2)="15"),TK!$E$7=TH!F2432),"x","")</f>
        <v/>
      </c>
      <c r="AD2432" s="79" t="str">
        <f>IF(AND(N2432="1521",MONTH(C2432)='BK-NL'!$M$11),"x","")</f>
        <v/>
      </c>
    </row>
    <row r="2433" spans="1:30" ht="16.5" customHeight="1">
      <c r="A2433" s="318" t="str">
        <f>IF(B2433&lt;&gt;"",IF(AND(B2433='IN-TC'!$S$4,OR(TH!N2433="1111",TH!O2433="1111")),TH!D2433,""),"")</f>
        <v/>
      </c>
      <c r="B2433" s="60" t="str">
        <f t="shared" si="243"/>
        <v/>
      </c>
      <c r="C2433" s="301"/>
      <c r="D2433" s="301"/>
      <c r="E2433" s="301"/>
      <c r="F2433" s="1261"/>
      <c r="G2433" s="968"/>
      <c r="H2433" s="321"/>
      <c r="I2433" s="385"/>
      <c r="J2433" s="969"/>
      <c r="K2433" s="385"/>
      <c r="L2433" s="392"/>
      <c r="M2433" s="970"/>
      <c r="N2433" s="304"/>
      <c r="O2433" s="304"/>
      <c r="P2433" s="79" t="str">
        <f>IF(AND('331-CT'!$E$7=TH!H2433,OR(N2433="331",O2433="331")),"x","")</f>
        <v/>
      </c>
      <c r="Q2433" s="79" t="str">
        <f>IF(AND(B2433='111'!$L$11,OR($N2433=$Q$7,$O2433=$Q$7)),"x","")</f>
        <v/>
      </c>
      <c r="R2433" s="79" t="str">
        <f>IF(AND($N2433=$Q$7,$B2433&lt;'111'!$L$11),"x","")</f>
        <v/>
      </c>
      <c r="S2433" s="79" t="str">
        <f>IF(AND($O2433=$Q$7,$B2433&lt;'111'!$L$11),"x","")</f>
        <v/>
      </c>
      <c r="T2433" s="79" t="str">
        <f>IF(ISERROR(FIND('112'!$M$9,G2433,1)),"",IF((AND(FIND('112'!$M$9,G2433,1)&gt;=1,B2433='112'!$K$9,OR($N2433='112'!$I$6,$O2433='112'!$I$6))),"x",""))</f>
        <v/>
      </c>
      <c r="U2433" s="79" t="str">
        <f>IF(ISERROR(FIND('112'!$M$9,G2433,1)),"",IF((AND(LEFT(G2433,2)=LEFT('112'!$M$9,2),B2433&lt;'112'!$K$9,$N2433='112'!$I$6)),"x",""))</f>
        <v/>
      </c>
      <c r="V2433" s="79" t="str">
        <f>IF(ISERROR(FIND('112'!$M$9,G2433,1)),"",IF((AND(RIGHT(G2433,2)=RIGHT('112'!$M$9,2),B2433&lt;'112'!$K$9,$O2433='112'!$I$6)),"x",""))</f>
        <v/>
      </c>
      <c r="W2433" s="79" t="str">
        <f>IF(AND('341-CT'!$H$9=H2433,OR(LEFT(N2433,3)=$W$7,LEFT(O2433,3)=$W$7)),"x","")</f>
        <v/>
      </c>
      <c r="X2433" s="79" t="str">
        <f>IF(OR(TH!N2433=TH!$X$7,O2433=TH!$X$7),"x","")</f>
        <v/>
      </c>
      <c r="Y2433" s="79" t="str">
        <f>IF(AND(OR(N2433="131",O2433="131"),H2433='131-CT'!$H$9),"x","")</f>
        <v/>
      </c>
      <c r="Z2433" s="79"/>
      <c r="AA2433" s="79" t="str">
        <f>IF(AND(MONTH(E2433)='IN-NX'!$J$5,'IN-NX'!$D$7=D2433),"x","")</f>
        <v/>
      </c>
      <c r="AB2433" s="79" t="str">
        <f>IF(AND(OR(LEFT(TH!N2433,2)="15",LEFT(TH!O2433,2)="15"),LEFT(TH!O2433,3)&lt;&gt;"111",'152-CT'!$J$8=TH!F2433),"x","")</f>
        <v/>
      </c>
      <c r="AC2433" s="79" t="str">
        <f>IF(AND(OR(LEFT(TH!N2433,2)="15",LEFT(TH!O2433,2)="15"),TK!$E$7=TH!F2433),"x","")</f>
        <v/>
      </c>
      <c r="AD2433" s="79" t="str">
        <f>IF(AND(N2433="1521",MONTH(C2433)='BK-NL'!$M$11),"x","")</f>
        <v/>
      </c>
    </row>
    <row r="2434" spans="1:30" ht="16.5" customHeight="1">
      <c r="A2434" s="318" t="str">
        <f>IF(B2434&lt;&gt;"",IF(AND(B2434='IN-TC'!$S$4,OR(TH!N2434="1111",TH!O2434="1111")),TH!D2434,""),"")</f>
        <v/>
      </c>
      <c r="B2434" s="60" t="str">
        <f t="shared" si="243"/>
        <v/>
      </c>
      <c r="C2434" s="301"/>
      <c r="D2434" s="301"/>
      <c r="E2434" s="301"/>
      <c r="F2434" s="1261"/>
      <c r="G2434" s="968"/>
      <c r="H2434" s="321"/>
      <c r="I2434" s="385"/>
      <c r="J2434" s="969"/>
      <c r="K2434" s="385"/>
      <c r="L2434" s="392"/>
      <c r="M2434" s="970"/>
      <c r="N2434" s="304"/>
      <c r="O2434" s="304"/>
      <c r="P2434" s="79" t="str">
        <f>IF(AND('331-CT'!$E$7=TH!H2434,OR(N2434="331",O2434="331")),"x","")</f>
        <v/>
      </c>
      <c r="Q2434" s="79" t="str">
        <f>IF(AND(B2434='111'!$L$11,OR($N2434=$Q$7,$O2434=$Q$7)),"x","")</f>
        <v/>
      </c>
      <c r="R2434" s="79" t="str">
        <f>IF(AND($N2434=$Q$7,$B2434&lt;'111'!$L$11),"x","")</f>
        <v/>
      </c>
      <c r="S2434" s="79" t="str">
        <f>IF(AND($O2434=$Q$7,$B2434&lt;'111'!$L$11),"x","")</f>
        <v/>
      </c>
      <c r="T2434" s="79" t="str">
        <f>IF(ISERROR(FIND('112'!$M$9,G2434,1)),"",IF((AND(FIND('112'!$M$9,G2434,1)&gt;=1,B2434='112'!$K$9,OR($N2434='112'!$I$6,$O2434='112'!$I$6))),"x",""))</f>
        <v/>
      </c>
      <c r="U2434" s="79" t="str">
        <f>IF(ISERROR(FIND('112'!$M$9,G2434,1)),"",IF((AND(LEFT(G2434,2)=LEFT('112'!$M$9,2),B2434&lt;'112'!$K$9,$N2434='112'!$I$6)),"x",""))</f>
        <v/>
      </c>
      <c r="V2434" s="79" t="str">
        <f>IF(ISERROR(FIND('112'!$M$9,G2434,1)),"",IF((AND(RIGHT(G2434,2)=RIGHT('112'!$M$9,2),B2434&lt;'112'!$K$9,$O2434='112'!$I$6)),"x",""))</f>
        <v/>
      </c>
      <c r="W2434" s="79" t="str">
        <f>IF(AND('341-CT'!$H$9=H2434,OR(LEFT(N2434,3)=$W$7,LEFT(O2434,3)=$W$7)),"x","")</f>
        <v/>
      </c>
      <c r="X2434" s="79" t="str">
        <f>IF(OR(TH!N2434=TH!$X$7,O2434=TH!$X$7),"x","")</f>
        <v/>
      </c>
      <c r="Y2434" s="79" t="str">
        <f>IF(AND(OR(N2434="131",O2434="131"),H2434='131-CT'!$H$9),"x","")</f>
        <v/>
      </c>
      <c r="Z2434" s="79"/>
      <c r="AA2434" s="79" t="str">
        <f>IF(AND(MONTH(E2434)='IN-NX'!$J$5,'IN-NX'!$D$7=D2434),"x","")</f>
        <v/>
      </c>
      <c r="AB2434" s="79" t="str">
        <f>IF(AND(OR(LEFT(TH!N2434,2)="15",LEFT(TH!O2434,2)="15"),LEFT(TH!O2434,3)&lt;&gt;"111",'152-CT'!$J$8=TH!F2434),"x","")</f>
        <v/>
      </c>
      <c r="AC2434" s="79" t="str">
        <f>IF(AND(OR(LEFT(TH!N2434,2)="15",LEFT(TH!O2434,2)="15"),TK!$E$7=TH!F2434),"x","")</f>
        <v/>
      </c>
      <c r="AD2434" s="79" t="str">
        <f>IF(AND(N2434="1521",MONTH(C2434)='BK-NL'!$M$11),"x","")</f>
        <v/>
      </c>
    </row>
    <row r="2435" spans="1:30" ht="16.5" customHeight="1">
      <c r="A2435" s="318" t="str">
        <f>IF(B2435&lt;&gt;"",IF(AND(B2435='IN-TC'!$S$4,OR(TH!N2435="1111",TH!O2435="1111")),TH!D2435,""),"")</f>
        <v/>
      </c>
      <c r="B2435" s="60" t="str">
        <f t="shared" si="243"/>
        <v/>
      </c>
      <c r="C2435" s="301"/>
      <c r="D2435" s="301"/>
      <c r="E2435" s="301"/>
      <c r="F2435" s="1261"/>
      <c r="G2435" s="968"/>
      <c r="H2435" s="321"/>
      <c r="I2435" s="385"/>
      <c r="J2435" s="969"/>
      <c r="K2435" s="385"/>
      <c r="L2435" s="392"/>
      <c r="M2435" s="970"/>
      <c r="N2435" s="304"/>
      <c r="O2435" s="304"/>
      <c r="P2435" s="79" t="str">
        <f>IF(AND('331-CT'!$E$7=TH!H2435,OR(N2435="331",O2435="331")),"x","")</f>
        <v/>
      </c>
      <c r="Q2435" s="79" t="str">
        <f>IF(AND(B2435='111'!$L$11,OR($N2435=$Q$7,$O2435=$Q$7)),"x","")</f>
        <v/>
      </c>
      <c r="R2435" s="79" t="str">
        <f>IF(AND($N2435=$Q$7,$B2435&lt;'111'!$L$11),"x","")</f>
        <v/>
      </c>
      <c r="S2435" s="79" t="str">
        <f>IF(AND($O2435=$Q$7,$B2435&lt;'111'!$L$11),"x","")</f>
        <v/>
      </c>
      <c r="T2435" s="79" t="str">
        <f>IF(ISERROR(FIND('112'!$M$9,G2435,1)),"",IF((AND(FIND('112'!$M$9,G2435,1)&gt;=1,B2435='112'!$K$9,OR($N2435='112'!$I$6,$O2435='112'!$I$6))),"x",""))</f>
        <v/>
      </c>
      <c r="U2435" s="79" t="str">
        <f>IF(ISERROR(FIND('112'!$M$9,G2435,1)),"",IF((AND(LEFT(G2435,2)=LEFT('112'!$M$9,2),B2435&lt;'112'!$K$9,$N2435='112'!$I$6)),"x",""))</f>
        <v/>
      </c>
      <c r="V2435" s="79" t="str">
        <f>IF(ISERROR(FIND('112'!$M$9,G2435,1)),"",IF((AND(RIGHT(G2435,2)=RIGHT('112'!$M$9,2),B2435&lt;'112'!$K$9,$O2435='112'!$I$6)),"x",""))</f>
        <v/>
      </c>
      <c r="W2435" s="79" t="str">
        <f>IF(AND('341-CT'!$H$9=H2435,OR(LEFT(N2435,3)=$W$7,LEFT(O2435,3)=$W$7)),"x","")</f>
        <v/>
      </c>
      <c r="X2435" s="79" t="str">
        <f>IF(OR(TH!N2435=TH!$X$7,O2435=TH!$X$7),"x","")</f>
        <v/>
      </c>
      <c r="Y2435" s="79" t="str">
        <f>IF(AND(OR(N2435="131",O2435="131"),H2435='131-CT'!$H$9),"x","")</f>
        <v/>
      </c>
      <c r="Z2435" s="79"/>
      <c r="AA2435" s="79" t="str">
        <f>IF(AND(MONTH(E2435)='IN-NX'!$J$5,'IN-NX'!$D$7=D2435),"x","")</f>
        <v/>
      </c>
      <c r="AB2435" s="79" t="str">
        <f>IF(AND(OR(LEFT(TH!N2435,2)="15",LEFT(TH!O2435,2)="15"),LEFT(TH!O2435,3)&lt;&gt;"111",'152-CT'!$J$8=TH!F2435),"x","")</f>
        <v/>
      </c>
      <c r="AC2435" s="79" t="str">
        <f>IF(AND(OR(LEFT(TH!N2435,2)="15",LEFT(TH!O2435,2)="15"),TK!$E$7=TH!F2435),"x","")</f>
        <v/>
      </c>
      <c r="AD2435" s="79" t="str">
        <f>IF(AND(N2435="1521",MONTH(C2435)='BK-NL'!$M$11),"x","")</f>
        <v/>
      </c>
    </row>
    <row r="2436" spans="1:30" ht="16.5" customHeight="1">
      <c r="A2436" s="318" t="str">
        <f>IF(B2436&lt;&gt;"",IF(AND(B2436='IN-TC'!$S$4,OR(TH!N2436="1111",TH!O2436="1111")),TH!D2436,""),"")</f>
        <v/>
      </c>
      <c r="B2436" s="60" t="str">
        <f t="shared" si="243"/>
        <v/>
      </c>
      <c r="C2436" s="301"/>
      <c r="D2436" s="301"/>
      <c r="E2436" s="301"/>
      <c r="F2436" s="1261"/>
      <c r="G2436" s="968"/>
      <c r="H2436" s="321"/>
      <c r="I2436" s="385"/>
      <c r="J2436" s="969"/>
      <c r="K2436" s="385"/>
      <c r="L2436" s="392"/>
      <c r="M2436" s="970"/>
      <c r="N2436" s="304"/>
      <c r="O2436" s="304"/>
      <c r="P2436" s="79" t="str">
        <f>IF(AND('331-CT'!$E$7=TH!H2436,OR(N2436="331",O2436="331")),"x","")</f>
        <v/>
      </c>
      <c r="Q2436" s="79" t="str">
        <f>IF(AND(B2436='111'!$L$11,OR($N2436=$Q$7,$O2436=$Q$7)),"x","")</f>
        <v/>
      </c>
      <c r="R2436" s="79" t="str">
        <f>IF(AND($N2436=$Q$7,$B2436&lt;'111'!$L$11),"x","")</f>
        <v/>
      </c>
      <c r="S2436" s="79" t="str">
        <f>IF(AND($O2436=$Q$7,$B2436&lt;'111'!$L$11),"x","")</f>
        <v/>
      </c>
      <c r="T2436" s="79" t="str">
        <f>IF(ISERROR(FIND('112'!$M$9,G2436,1)),"",IF((AND(FIND('112'!$M$9,G2436,1)&gt;=1,B2436='112'!$K$9,OR($N2436='112'!$I$6,$O2436='112'!$I$6))),"x",""))</f>
        <v/>
      </c>
      <c r="U2436" s="79" t="str">
        <f>IF(ISERROR(FIND('112'!$M$9,G2436,1)),"",IF((AND(LEFT(G2436,2)=LEFT('112'!$M$9,2),B2436&lt;'112'!$K$9,$N2436='112'!$I$6)),"x",""))</f>
        <v/>
      </c>
      <c r="V2436" s="79" t="str">
        <f>IF(ISERROR(FIND('112'!$M$9,G2436,1)),"",IF((AND(RIGHT(G2436,2)=RIGHT('112'!$M$9,2),B2436&lt;'112'!$K$9,$O2436='112'!$I$6)),"x",""))</f>
        <v/>
      </c>
      <c r="W2436" s="79" t="str">
        <f>IF(AND('341-CT'!$H$9=H2436,OR(LEFT(N2436,3)=$W$7,LEFT(O2436,3)=$W$7)),"x","")</f>
        <v/>
      </c>
      <c r="X2436" s="79" t="str">
        <f>IF(OR(TH!N2436=TH!$X$7,O2436=TH!$X$7),"x","")</f>
        <v/>
      </c>
      <c r="Y2436" s="79" t="str">
        <f>IF(AND(OR(N2436="131",O2436="131"),H2436='131-CT'!$H$9),"x","")</f>
        <v/>
      </c>
      <c r="Z2436" s="79"/>
      <c r="AA2436" s="79" t="str">
        <f>IF(AND(MONTH(E2436)='IN-NX'!$J$5,'IN-NX'!$D$7=D2436),"x","")</f>
        <v/>
      </c>
      <c r="AB2436" s="79" t="str">
        <f>IF(AND(OR(LEFT(TH!N2436,2)="15",LEFT(TH!O2436,2)="15"),LEFT(TH!O2436,3)&lt;&gt;"111",'152-CT'!$J$8=TH!F2436),"x","")</f>
        <v/>
      </c>
      <c r="AC2436" s="79" t="str">
        <f>IF(AND(OR(LEFT(TH!N2436,2)="15",LEFT(TH!O2436,2)="15"),TK!$E$7=TH!F2436),"x","")</f>
        <v/>
      </c>
      <c r="AD2436" s="79" t="str">
        <f>IF(AND(N2436="1521",MONTH(C2436)='BK-NL'!$M$11),"x","")</f>
        <v/>
      </c>
    </row>
    <row r="2437" spans="1:30" ht="16.5" customHeight="1">
      <c r="A2437" s="318" t="str">
        <f>IF(B2437&lt;&gt;"",IF(AND(B2437='IN-TC'!$S$4,OR(TH!N2437="1111",TH!O2437="1111")),TH!D2437,""),"")</f>
        <v/>
      </c>
      <c r="B2437" s="60" t="str">
        <f t="shared" si="243"/>
        <v/>
      </c>
      <c r="C2437" s="301"/>
      <c r="D2437" s="301"/>
      <c r="E2437" s="301"/>
      <c r="F2437" s="1261"/>
      <c r="G2437" s="968"/>
      <c r="H2437" s="321"/>
      <c r="I2437" s="385"/>
      <c r="J2437" s="969"/>
      <c r="K2437" s="385"/>
      <c r="L2437" s="392"/>
      <c r="M2437" s="970"/>
      <c r="N2437" s="304"/>
      <c r="O2437" s="304"/>
      <c r="P2437" s="79" t="str">
        <f>IF(AND('331-CT'!$E$7=TH!H2437,OR(N2437="331",O2437="331")),"x","")</f>
        <v/>
      </c>
      <c r="Q2437" s="79" t="str">
        <f>IF(AND(B2437='111'!$L$11,OR($N2437=$Q$7,$O2437=$Q$7)),"x","")</f>
        <v/>
      </c>
      <c r="R2437" s="79" t="str">
        <f>IF(AND($N2437=$Q$7,$B2437&lt;'111'!$L$11),"x","")</f>
        <v/>
      </c>
      <c r="S2437" s="79" t="str">
        <f>IF(AND($O2437=$Q$7,$B2437&lt;'111'!$L$11),"x","")</f>
        <v/>
      </c>
      <c r="T2437" s="79" t="str">
        <f>IF(ISERROR(FIND('112'!$M$9,G2437,1)),"",IF((AND(FIND('112'!$M$9,G2437,1)&gt;=1,B2437='112'!$K$9,OR($N2437='112'!$I$6,$O2437='112'!$I$6))),"x",""))</f>
        <v/>
      </c>
      <c r="U2437" s="79" t="str">
        <f>IF(ISERROR(FIND('112'!$M$9,G2437,1)),"",IF((AND(LEFT(G2437,2)=LEFT('112'!$M$9,2),B2437&lt;'112'!$K$9,$N2437='112'!$I$6)),"x",""))</f>
        <v/>
      </c>
      <c r="V2437" s="79" t="str">
        <f>IF(ISERROR(FIND('112'!$M$9,G2437,1)),"",IF((AND(RIGHT(G2437,2)=RIGHT('112'!$M$9,2),B2437&lt;'112'!$K$9,$O2437='112'!$I$6)),"x",""))</f>
        <v/>
      </c>
      <c r="W2437" s="79" t="str">
        <f>IF(AND('341-CT'!$H$9=H2437,OR(LEFT(N2437,3)=$W$7,LEFT(O2437,3)=$W$7)),"x","")</f>
        <v/>
      </c>
      <c r="X2437" s="79" t="str">
        <f>IF(OR(TH!N2437=TH!$X$7,O2437=TH!$X$7),"x","")</f>
        <v/>
      </c>
      <c r="Y2437" s="79" t="str">
        <f>IF(AND(OR(N2437="131",O2437="131"),H2437='131-CT'!$H$9),"x","")</f>
        <v/>
      </c>
      <c r="Z2437" s="79"/>
      <c r="AA2437" s="79" t="str">
        <f>IF(AND(MONTH(E2437)='IN-NX'!$J$5,'IN-NX'!$D$7=D2437),"x","")</f>
        <v/>
      </c>
      <c r="AB2437" s="79" t="str">
        <f>IF(AND(OR(LEFT(TH!N2437,2)="15",LEFT(TH!O2437,2)="15"),LEFT(TH!O2437,3)&lt;&gt;"111",'152-CT'!$J$8=TH!F2437),"x","")</f>
        <v/>
      </c>
      <c r="AC2437" s="79" t="str">
        <f>IF(AND(OR(LEFT(TH!N2437,2)="15",LEFT(TH!O2437,2)="15"),TK!$E$7=TH!F2437),"x","")</f>
        <v/>
      </c>
      <c r="AD2437" s="79" t="str">
        <f>IF(AND(N2437="1521",MONTH(C2437)='BK-NL'!$M$11),"x","")</f>
        <v/>
      </c>
    </row>
    <row r="2438" spans="1:30" ht="16.5" customHeight="1">
      <c r="A2438" s="318" t="str">
        <f>IF(B2438&lt;&gt;"",IF(AND(B2438='IN-TC'!$S$4,OR(TH!N2438="1111",TH!O2438="1111")),TH!D2438,""),"")</f>
        <v/>
      </c>
      <c r="B2438" s="60" t="str">
        <f t="shared" si="243"/>
        <v/>
      </c>
      <c r="C2438" s="301"/>
      <c r="D2438" s="301"/>
      <c r="E2438" s="301"/>
      <c r="F2438" s="1261"/>
      <c r="G2438" s="968"/>
      <c r="H2438" s="321"/>
      <c r="I2438" s="385"/>
      <c r="J2438" s="969"/>
      <c r="K2438" s="385"/>
      <c r="L2438" s="392"/>
      <c r="M2438" s="970"/>
      <c r="N2438" s="304"/>
      <c r="O2438" s="304"/>
      <c r="P2438" s="79" t="str">
        <f>IF(AND('331-CT'!$E$7=TH!H2438,OR(N2438="331",O2438="331")),"x","")</f>
        <v/>
      </c>
      <c r="Q2438" s="79" t="str">
        <f>IF(AND(B2438='111'!$L$11,OR($N2438=$Q$7,$O2438=$Q$7)),"x","")</f>
        <v/>
      </c>
      <c r="R2438" s="79" t="str">
        <f>IF(AND($N2438=$Q$7,$B2438&lt;'111'!$L$11),"x","")</f>
        <v/>
      </c>
      <c r="S2438" s="79" t="str">
        <f>IF(AND($O2438=$Q$7,$B2438&lt;'111'!$L$11),"x","")</f>
        <v/>
      </c>
      <c r="T2438" s="79" t="str">
        <f>IF(ISERROR(FIND('112'!$M$9,G2438,1)),"",IF((AND(FIND('112'!$M$9,G2438,1)&gt;=1,B2438='112'!$K$9,OR($N2438='112'!$I$6,$O2438='112'!$I$6))),"x",""))</f>
        <v/>
      </c>
      <c r="U2438" s="79" t="str">
        <f>IF(ISERROR(FIND('112'!$M$9,G2438,1)),"",IF((AND(LEFT(G2438,2)=LEFT('112'!$M$9,2),B2438&lt;'112'!$K$9,$N2438='112'!$I$6)),"x",""))</f>
        <v/>
      </c>
      <c r="V2438" s="79" t="str">
        <f>IF(ISERROR(FIND('112'!$M$9,G2438,1)),"",IF((AND(RIGHT(G2438,2)=RIGHT('112'!$M$9,2),B2438&lt;'112'!$K$9,$O2438='112'!$I$6)),"x",""))</f>
        <v/>
      </c>
      <c r="W2438" s="79" t="str">
        <f>IF(AND('341-CT'!$H$9=H2438,OR(LEFT(N2438,3)=$W$7,LEFT(O2438,3)=$W$7)),"x","")</f>
        <v/>
      </c>
      <c r="X2438" s="79" t="str">
        <f>IF(OR(TH!N2438=TH!$X$7,O2438=TH!$X$7),"x","")</f>
        <v/>
      </c>
      <c r="Y2438" s="79" t="str">
        <f>IF(AND(OR(N2438="131",O2438="131"),H2438='131-CT'!$H$9),"x","")</f>
        <v/>
      </c>
      <c r="Z2438" s="79"/>
      <c r="AA2438" s="79" t="str">
        <f>IF(AND(MONTH(E2438)='IN-NX'!$J$5,'IN-NX'!$D$7=D2438),"x","")</f>
        <v/>
      </c>
      <c r="AB2438" s="79" t="str">
        <f>IF(AND(OR(LEFT(TH!N2438,2)="15",LEFT(TH!O2438,2)="15"),LEFT(TH!O2438,3)&lt;&gt;"111",'152-CT'!$J$8=TH!F2438),"x","")</f>
        <v/>
      </c>
      <c r="AC2438" s="79" t="str">
        <f>IF(AND(OR(LEFT(TH!N2438,2)="15",LEFT(TH!O2438,2)="15"),TK!$E$7=TH!F2438),"x","")</f>
        <v/>
      </c>
      <c r="AD2438" s="79" t="str">
        <f>IF(AND(N2438="1521",MONTH(C2438)='BK-NL'!$M$11),"x","")</f>
        <v/>
      </c>
    </row>
    <row r="2439" spans="1:30" ht="16.5" customHeight="1">
      <c r="A2439" s="318" t="str">
        <f>IF(B2439&lt;&gt;"",IF(AND(B2439='IN-TC'!$S$4,OR(TH!N2439="1111",TH!O2439="1111")),TH!D2439,""),"")</f>
        <v/>
      </c>
      <c r="B2439" s="60" t="str">
        <f t="shared" si="243"/>
        <v/>
      </c>
      <c r="C2439" s="301"/>
      <c r="D2439" s="301"/>
      <c r="E2439" s="301"/>
      <c r="F2439" s="1162"/>
      <c r="G2439" s="968"/>
      <c r="H2439" s="303"/>
      <c r="I2439" s="385"/>
      <c r="J2439" s="969"/>
      <c r="K2439" s="385"/>
      <c r="L2439" s="392"/>
      <c r="M2439" s="970"/>
      <c r="N2439" s="304"/>
      <c r="O2439" s="304"/>
      <c r="P2439" s="79" t="str">
        <f>IF(AND('331-CT'!$E$7=TH!H2439,OR(N2439="331",O2439="331")),"x","")</f>
        <v/>
      </c>
      <c r="Q2439" s="79" t="str">
        <f>IF(AND(B2439='111'!$L$11,OR($N2439=$Q$7,$O2439=$Q$7)),"x","")</f>
        <v/>
      </c>
      <c r="R2439" s="79" t="str">
        <f>IF(AND($N2439=$Q$7,$B2439&lt;'111'!$L$11),"x","")</f>
        <v/>
      </c>
      <c r="S2439" s="79" t="str">
        <f>IF(AND($O2439=$Q$7,$B2439&lt;'111'!$L$11),"x","")</f>
        <v/>
      </c>
      <c r="T2439" s="79" t="str">
        <f>IF(ISERROR(FIND('112'!$M$9,G2439,1)),"",IF((AND(FIND('112'!$M$9,G2439,1)&gt;=1,B2439='112'!$K$9,OR($N2439='112'!$I$6,$O2439='112'!$I$6))),"x",""))</f>
        <v/>
      </c>
      <c r="U2439" s="79" t="str">
        <f>IF(ISERROR(FIND('112'!$M$9,G2439,1)),"",IF((AND(LEFT(G2439,2)=LEFT('112'!$M$9,2),B2439&lt;'112'!$K$9,$N2439='112'!$I$6)),"x",""))</f>
        <v/>
      </c>
      <c r="V2439" s="79" t="str">
        <f>IF(ISERROR(FIND('112'!$M$9,G2439,1)),"",IF((AND(RIGHT(G2439,2)=RIGHT('112'!$M$9,2),B2439&lt;'112'!$K$9,$O2439='112'!$I$6)),"x",""))</f>
        <v/>
      </c>
      <c r="W2439" s="79" t="str">
        <f>IF(AND('341-CT'!$H$9=H2439,OR(LEFT(N2439,3)=$W$7,LEFT(O2439,3)=$W$7)),"x","")</f>
        <v/>
      </c>
      <c r="X2439" s="79" t="str">
        <f>IF(OR(TH!N2439=TH!$X$7,O2439=TH!$X$7),"x","")</f>
        <v/>
      </c>
      <c r="Y2439" s="79" t="str">
        <f>IF(AND(OR(N2439="131",O2439="131"),H2439='131-CT'!$H$9),"x","")</f>
        <v/>
      </c>
      <c r="Z2439" s="79"/>
      <c r="AA2439" s="79" t="str">
        <f>IF(AND(MONTH(E2439)='IN-NX'!$J$5,'IN-NX'!$D$7=D2439),"x","")</f>
        <v/>
      </c>
      <c r="AB2439" s="79" t="str">
        <f>IF(AND(OR(LEFT(TH!N2439,2)="15",LEFT(TH!O2439,2)="15"),LEFT(TH!O2439,3)&lt;&gt;"111",'152-CT'!$J$8=TH!F2439),"x","")</f>
        <v/>
      </c>
      <c r="AC2439" s="79" t="str">
        <f>IF(AND(OR(LEFT(TH!N2439,2)="15",LEFT(TH!O2439,2)="15"),TK!$E$7=TH!F2439),"x","")</f>
        <v/>
      </c>
      <c r="AD2439" s="79" t="str">
        <f>IF(AND(N2439="1521",MONTH(C2439)='BK-NL'!$M$11),"x","")</f>
        <v/>
      </c>
    </row>
    <row r="2440" spans="1:30" ht="16.5" customHeight="1">
      <c r="A2440" s="318" t="str">
        <f>IF(B2440&lt;&gt;"",IF(AND(B2440='IN-TC'!$S$4,OR(TH!N2440="1111",TH!O2440="1111")),TH!D2440,""),"")</f>
        <v/>
      </c>
      <c r="B2440" s="60" t="str">
        <f t="shared" si="243"/>
        <v/>
      </c>
      <c r="C2440" s="301"/>
      <c r="D2440" s="301"/>
      <c r="E2440" s="301"/>
      <c r="F2440" s="1162"/>
      <c r="G2440" s="968"/>
      <c r="H2440" s="303"/>
      <c r="I2440" s="385"/>
      <c r="J2440" s="969"/>
      <c r="K2440" s="385"/>
      <c r="L2440" s="392"/>
      <c r="M2440" s="970"/>
      <c r="N2440" s="304"/>
      <c r="O2440" s="304"/>
      <c r="P2440" s="79" t="str">
        <f>IF(AND('331-CT'!$E$7=TH!H2440,OR(N2440="331",O2440="331")),"x","")</f>
        <v/>
      </c>
      <c r="Q2440" s="79" t="str">
        <f>IF(AND(B2440='111'!$L$11,OR($N2440=$Q$7,$O2440=$Q$7)),"x","")</f>
        <v/>
      </c>
      <c r="R2440" s="79" t="str">
        <f>IF(AND($N2440=$Q$7,$B2440&lt;'111'!$L$11),"x","")</f>
        <v/>
      </c>
      <c r="S2440" s="79" t="str">
        <f>IF(AND($O2440=$Q$7,$B2440&lt;'111'!$L$11),"x","")</f>
        <v/>
      </c>
      <c r="T2440" s="79" t="str">
        <f>IF(ISERROR(FIND('112'!$M$9,G2440,1)),"",IF((AND(FIND('112'!$M$9,G2440,1)&gt;=1,B2440='112'!$K$9,OR($N2440='112'!$I$6,$O2440='112'!$I$6))),"x",""))</f>
        <v/>
      </c>
      <c r="U2440" s="79" t="str">
        <f>IF(ISERROR(FIND('112'!$M$9,G2440,1)),"",IF((AND(LEFT(G2440,2)=LEFT('112'!$M$9,2),B2440&lt;'112'!$K$9,$N2440='112'!$I$6)),"x",""))</f>
        <v/>
      </c>
      <c r="V2440" s="79" t="str">
        <f>IF(ISERROR(FIND('112'!$M$9,G2440,1)),"",IF((AND(RIGHT(G2440,2)=RIGHT('112'!$M$9,2),B2440&lt;'112'!$K$9,$O2440='112'!$I$6)),"x",""))</f>
        <v/>
      </c>
      <c r="W2440" s="79" t="str">
        <f>IF(AND('341-CT'!$H$9=H2440,OR(LEFT(N2440,3)=$W$7,LEFT(O2440,3)=$W$7)),"x","")</f>
        <v/>
      </c>
      <c r="X2440" s="79" t="str">
        <f>IF(OR(TH!N2440=TH!$X$7,O2440=TH!$X$7),"x","")</f>
        <v/>
      </c>
      <c r="Y2440" s="79" t="str">
        <f>IF(AND(OR(N2440="131",O2440="131"),H2440='131-CT'!$H$9),"x","")</f>
        <v/>
      </c>
      <c r="Z2440" s="79"/>
      <c r="AA2440" s="79" t="str">
        <f>IF(AND(MONTH(E2440)='IN-NX'!$J$5,'IN-NX'!$D$7=D2440),"x","")</f>
        <v/>
      </c>
      <c r="AB2440" s="79" t="str">
        <f>IF(AND(OR(LEFT(TH!N2440,2)="15",LEFT(TH!O2440,2)="15"),LEFT(TH!O2440,3)&lt;&gt;"111",'152-CT'!$J$8=TH!F2440),"x","")</f>
        <v/>
      </c>
      <c r="AC2440" s="79" t="str">
        <f>IF(AND(OR(LEFT(TH!N2440,2)="15",LEFT(TH!O2440,2)="15"),TK!$E$7=TH!F2440),"x","")</f>
        <v/>
      </c>
      <c r="AD2440" s="79" t="str">
        <f>IF(AND(N2440="1521",MONTH(C2440)='BK-NL'!$M$11),"x","")</f>
        <v/>
      </c>
    </row>
    <row r="2441" spans="1:30" ht="16.5" customHeight="1">
      <c r="A2441" s="318" t="str">
        <f>IF(B2441&lt;&gt;"",IF(AND(B2441='IN-TC'!$S$4,OR(TH!N2441="1111",TH!O2441="1111")),TH!D2441,""),"")</f>
        <v/>
      </c>
      <c r="B2441" s="60" t="str">
        <f t="shared" si="243"/>
        <v/>
      </c>
      <c r="C2441" s="301"/>
      <c r="D2441" s="301"/>
      <c r="E2441" s="301"/>
      <c r="F2441" s="1162"/>
      <c r="G2441" s="968"/>
      <c r="H2441" s="303"/>
      <c r="I2441" s="385"/>
      <c r="J2441" s="969"/>
      <c r="K2441" s="385"/>
      <c r="L2441" s="392"/>
      <c r="M2441" s="970"/>
      <c r="N2441" s="304"/>
      <c r="O2441" s="304"/>
      <c r="P2441" s="79" t="str">
        <f>IF(AND('331-CT'!$E$7=TH!H2441,OR(N2441="331",O2441="331")),"x","")</f>
        <v/>
      </c>
      <c r="Q2441" s="79" t="str">
        <f>IF(AND(B2441='111'!$L$11,OR($N2441=$Q$7,$O2441=$Q$7)),"x","")</f>
        <v/>
      </c>
      <c r="R2441" s="79" t="str">
        <f>IF(AND($N2441=$Q$7,$B2441&lt;'111'!$L$11),"x","")</f>
        <v/>
      </c>
      <c r="S2441" s="79" t="str">
        <f>IF(AND($O2441=$Q$7,$B2441&lt;'111'!$L$11),"x","")</f>
        <v/>
      </c>
      <c r="T2441" s="79" t="str">
        <f>IF(ISERROR(FIND('112'!$M$9,G2441,1)),"",IF((AND(FIND('112'!$M$9,G2441,1)&gt;=1,B2441='112'!$K$9,OR($N2441='112'!$I$6,$O2441='112'!$I$6))),"x",""))</f>
        <v/>
      </c>
      <c r="U2441" s="79" t="str">
        <f>IF(ISERROR(FIND('112'!$M$9,G2441,1)),"",IF((AND(LEFT(G2441,2)=LEFT('112'!$M$9,2),B2441&lt;'112'!$K$9,$N2441='112'!$I$6)),"x",""))</f>
        <v/>
      </c>
      <c r="V2441" s="79" t="str">
        <f>IF(ISERROR(FIND('112'!$M$9,G2441,1)),"",IF((AND(RIGHT(G2441,2)=RIGHT('112'!$M$9,2),B2441&lt;'112'!$K$9,$O2441='112'!$I$6)),"x",""))</f>
        <v/>
      </c>
      <c r="W2441" s="79" t="str">
        <f>IF(AND('341-CT'!$H$9=H2441,OR(LEFT(N2441,3)=$W$7,LEFT(O2441,3)=$W$7)),"x","")</f>
        <v/>
      </c>
      <c r="X2441" s="79" t="str">
        <f>IF(OR(TH!N2441=TH!$X$7,O2441=TH!$X$7),"x","")</f>
        <v/>
      </c>
      <c r="Y2441" s="79" t="str">
        <f>IF(AND(OR(N2441="131",O2441="131"),H2441='131-CT'!$H$9),"x","")</f>
        <v/>
      </c>
      <c r="Z2441" s="79"/>
      <c r="AA2441" s="79" t="str">
        <f>IF(AND(MONTH(E2441)='IN-NX'!$J$5,'IN-NX'!$D$7=D2441),"x","")</f>
        <v/>
      </c>
      <c r="AB2441" s="79" t="str">
        <f>IF(AND(OR(LEFT(TH!N2441,2)="15",LEFT(TH!O2441,2)="15"),LEFT(TH!O2441,3)&lt;&gt;"111",'152-CT'!$J$8=TH!F2441),"x","")</f>
        <v/>
      </c>
      <c r="AC2441" s="79" t="str">
        <f>IF(AND(OR(LEFT(TH!N2441,2)="15",LEFT(TH!O2441,2)="15"),TK!$E$7=TH!F2441),"x","")</f>
        <v/>
      </c>
      <c r="AD2441" s="79" t="str">
        <f>IF(AND(N2441="1521",MONTH(C2441)='BK-NL'!$M$11),"x","")</f>
        <v/>
      </c>
    </row>
    <row r="2442" spans="1:30" ht="16.5" customHeight="1">
      <c r="A2442" s="318" t="str">
        <f>IF(B2442&lt;&gt;"",IF(AND(B2442='IN-TC'!$S$4,OR(TH!N2442="1111",TH!O2442="1111")),TH!D2442,""),"")</f>
        <v/>
      </c>
      <c r="B2442" s="60" t="str">
        <f t="shared" si="243"/>
        <v/>
      </c>
      <c r="C2442" s="301"/>
      <c r="D2442" s="301"/>
      <c r="E2442" s="301"/>
      <c r="F2442" s="1162"/>
      <c r="G2442" s="968"/>
      <c r="H2442" s="303"/>
      <c r="I2442" s="385"/>
      <c r="J2442" s="969"/>
      <c r="K2442" s="385"/>
      <c r="L2442" s="392"/>
      <c r="M2442" s="970"/>
      <c r="N2442" s="304"/>
      <c r="O2442" s="304"/>
      <c r="P2442" s="79" t="str">
        <f>IF(AND('331-CT'!$E$7=TH!H2442,OR(N2442="331",O2442="331")),"x","")</f>
        <v/>
      </c>
      <c r="Q2442" s="79" t="str">
        <f>IF(AND(B2442='111'!$L$11,OR($N2442=$Q$7,$O2442=$Q$7)),"x","")</f>
        <v/>
      </c>
      <c r="R2442" s="79" t="str">
        <f>IF(AND($N2442=$Q$7,$B2442&lt;'111'!$L$11),"x","")</f>
        <v/>
      </c>
      <c r="S2442" s="79" t="str">
        <f>IF(AND($O2442=$Q$7,$B2442&lt;'111'!$L$11),"x","")</f>
        <v/>
      </c>
      <c r="T2442" s="79" t="str">
        <f>IF(ISERROR(FIND('112'!$M$9,G2442,1)),"",IF((AND(FIND('112'!$M$9,G2442,1)&gt;=1,B2442='112'!$K$9,OR($N2442='112'!$I$6,$O2442='112'!$I$6))),"x",""))</f>
        <v/>
      </c>
      <c r="U2442" s="79" t="str">
        <f>IF(ISERROR(FIND('112'!$M$9,G2442,1)),"",IF((AND(LEFT(G2442,2)=LEFT('112'!$M$9,2),B2442&lt;'112'!$K$9,$N2442='112'!$I$6)),"x",""))</f>
        <v/>
      </c>
      <c r="V2442" s="79" t="str">
        <f>IF(ISERROR(FIND('112'!$M$9,G2442,1)),"",IF((AND(RIGHT(G2442,2)=RIGHT('112'!$M$9,2),B2442&lt;'112'!$K$9,$O2442='112'!$I$6)),"x",""))</f>
        <v/>
      </c>
      <c r="W2442" s="79" t="str">
        <f>IF(AND('341-CT'!$H$9=H2442,OR(LEFT(N2442,3)=$W$7,LEFT(O2442,3)=$W$7)),"x","")</f>
        <v/>
      </c>
      <c r="X2442" s="79" t="str">
        <f>IF(OR(TH!N2442=TH!$X$7,O2442=TH!$X$7),"x","")</f>
        <v/>
      </c>
      <c r="Y2442" s="79" t="str">
        <f>IF(AND(OR(N2442="131",O2442="131"),H2442='131-CT'!$H$9),"x","")</f>
        <v/>
      </c>
      <c r="Z2442" s="79"/>
      <c r="AA2442" s="79" t="str">
        <f>IF(AND(MONTH(E2442)='IN-NX'!$J$5,'IN-NX'!$D$7=D2442),"x","")</f>
        <v/>
      </c>
      <c r="AB2442" s="79" t="str">
        <f>IF(AND(OR(LEFT(TH!N2442,2)="15",LEFT(TH!O2442,2)="15"),LEFT(TH!O2442,3)&lt;&gt;"111",'152-CT'!$J$8=TH!F2442),"x","")</f>
        <v/>
      </c>
      <c r="AC2442" s="79" t="str">
        <f>IF(AND(OR(LEFT(TH!N2442,2)="15",LEFT(TH!O2442,2)="15"),TK!$E$7=TH!F2442),"x","")</f>
        <v/>
      </c>
      <c r="AD2442" s="79" t="str">
        <f>IF(AND(N2442="1521",MONTH(C2442)='BK-NL'!$M$11),"x","")</f>
        <v/>
      </c>
    </row>
    <row r="2443" spans="1:30" ht="16.5" customHeight="1">
      <c r="A2443" s="318" t="str">
        <f>IF(B2443&lt;&gt;"",IF(AND(B2443='IN-TC'!$S$4,OR(TH!N2443="1111",TH!O2443="1111")),TH!D2443,""),"")</f>
        <v/>
      </c>
      <c r="B2443" s="60" t="str">
        <f t="shared" si="243"/>
        <v/>
      </c>
      <c r="C2443" s="301"/>
      <c r="D2443" s="301"/>
      <c r="E2443" s="301"/>
      <c r="F2443" s="1162"/>
      <c r="G2443" s="968"/>
      <c r="H2443" s="303"/>
      <c r="I2443" s="385"/>
      <c r="J2443" s="969"/>
      <c r="K2443" s="385"/>
      <c r="L2443" s="392"/>
      <c r="M2443" s="970"/>
      <c r="N2443" s="304"/>
      <c r="O2443" s="304"/>
      <c r="P2443" s="79" t="str">
        <f>IF(AND('331-CT'!$E$7=TH!H2443,OR(N2443="331",O2443="331")),"x","")</f>
        <v/>
      </c>
      <c r="Q2443" s="79" t="str">
        <f>IF(AND(B2443='111'!$L$11,OR($N2443=$Q$7,$O2443=$Q$7)),"x","")</f>
        <v/>
      </c>
      <c r="R2443" s="79" t="str">
        <f>IF(AND($N2443=$Q$7,$B2443&lt;'111'!$L$11),"x","")</f>
        <v/>
      </c>
      <c r="S2443" s="79" t="str">
        <f>IF(AND($O2443=$Q$7,$B2443&lt;'111'!$L$11),"x","")</f>
        <v/>
      </c>
      <c r="T2443" s="79" t="str">
        <f>IF(ISERROR(FIND('112'!$M$9,G2443,1)),"",IF((AND(FIND('112'!$M$9,G2443,1)&gt;=1,B2443='112'!$K$9,OR($N2443='112'!$I$6,$O2443='112'!$I$6))),"x",""))</f>
        <v/>
      </c>
      <c r="U2443" s="79" t="str">
        <f>IF(ISERROR(FIND('112'!$M$9,G2443,1)),"",IF((AND(LEFT(G2443,2)=LEFT('112'!$M$9,2),B2443&lt;'112'!$K$9,$N2443='112'!$I$6)),"x",""))</f>
        <v/>
      </c>
      <c r="V2443" s="79" t="str">
        <f>IF(ISERROR(FIND('112'!$M$9,G2443,1)),"",IF((AND(RIGHT(G2443,2)=RIGHT('112'!$M$9,2),B2443&lt;'112'!$K$9,$O2443='112'!$I$6)),"x",""))</f>
        <v/>
      </c>
      <c r="W2443" s="79" t="str">
        <f>IF(AND('341-CT'!$H$9=H2443,OR(LEFT(N2443,3)=$W$7,LEFT(O2443,3)=$W$7)),"x","")</f>
        <v/>
      </c>
      <c r="X2443" s="79" t="str">
        <f>IF(OR(TH!N2443=TH!$X$7,O2443=TH!$X$7),"x","")</f>
        <v/>
      </c>
      <c r="Y2443" s="79" t="str">
        <f>IF(AND(OR(N2443="131",O2443="131"),H2443='131-CT'!$H$9),"x","")</f>
        <v/>
      </c>
      <c r="Z2443" s="79"/>
      <c r="AA2443" s="79" t="str">
        <f>IF(AND(MONTH(E2443)='IN-NX'!$J$5,'IN-NX'!$D$7=D2443),"x","")</f>
        <v/>
      </c>
      <c r="AB2443" s="79" t="str">
        <f>IF(AND(OR(LEFT(TH!N2443,2)="15",LEFT(TH!O2443,2)="15"),LEFT(TH!O2443,3)&lt;&gt;"111",'152-CT'!$J$8=TH!F2443),"x","")</f>
        <v/>
      </c>
      <c r="AC2443" s="79" t="str">
        <f>IF(AND(OR(LEFT(TH!N2443,2)="15",LEFT(TH!O2443,2)="15"),TK!$E$7=TH!F2443),"x","")</f>
        <v/>
      </c>
      <c r="AD2443" s="79" t="str">
        <f>IF(AND(N2443="1521",MONTH(C2443)='BK-NL'!$M$11),"x","")</f>
        <v/>
      </c>
    </row>
    <row r="2444" spans="1:30" ht="16.5" customHeight="1">
      <c r="A2444" s="318" t="str">
        <f>IF(B2444&lt;&gt;"",IF(AND(B2444='IN-TC'!$S$4,OR(TH!N2444="1111",TH!O2444="1111")),TH!D2444,""),"")</f>
        <v/>
      </c>
      <c r="B2444" s="60" t="str">
        <f t="shared" si="243"/>
        <v/>
      </c>
      <c r="C2444" s="301"/>
      <c r="D2444" s="301"/>
      <c r="E2444" s="301"/>
      <c r="F2444" s="1162"/>
      <c r="G2444" s="968"/>
      <c r="H2444" s="303"/>
      <c r="I2444" s="385"/>
      <c r="J2444" s="969"/>
      <c r="K2444" s="385"/>
      <c r="L2444" s="392"/>
      <c r="M2444" s="970"/>
      <c r="N2444" s="304"/>
      <c r="O2444" s="304"/>
      <c r="P2444" s="79" t="str">
        <f>IF(AND('331-CT'!$E$7=TH!H2444,OR(N2444="331",O2444="331")),"x","")</f>
        <v/>
      </c>
      <c r="Q2444" s="79" t="str">
        <f>IF(AND(B2444='111'!$L$11,OR($N2444=$Q$7,$O2444=$Q$7)),"x","")</f>
        <v/>
      </c>
      <c r="R2444" s="79" t="str">
        <f>IF(AND($N2444=$Q$7,$B2444&lt;'111'!$L$11),"x","")</f>
        <v/>
      </c>
      <c r="S2444" s="79" t="str">
        <f>IF(AND($O2444=$Q$7,$B2444&lt;'111'!$L$11),"x","")</f>
        <v/>
      </c>
      <c r="T2444" s="79" t="str">
        <f>IF(ISERROR(FIND('112'!$M$9,G2444,1)),"",IF((AND(FIND('112'!$M$9,G2444,1)&gt;=1,B2444='112'!$K$9,OR($N2444='112'!$I$6,$O2444='112'!$I$6))),"x",""))</f>
        <v/>
      </c>
      <c r="U2444" s="79" t="str">
        <f>IF(ISERROR(FIND('112'!$M$9,G2444,1)),"",IF((AND(LEFT(G2444,2)=LEFT('112'!$M$9,2),B2444&lt;'112'!$K$9,$N2444='112'!$I$6)),"x",""))</f>
        <v/>
      </c>
      <c r="V2444" s="79" t="str">
        <f>IF(ISERROR(FIND('112'!$M$9,G2444,1)),"",IF((AND(RIGHT(G2444,2)=RIGHT('112'!$M$9,2),B2444&lt;'112'!$K$9,$O2444='112'!$I$6)),"x",""))</f>
        <v/>
      </c>
      <c r="W2444" s="79" t="str">
        <f>IF(AND('341-CT'!$H$9=H2444,OR(LEFT(N2444,3)=$W$7,LEFT(O2444,3)=$W$7)),"x","")</f>
        <v/>
      </c>
      <c r="X2444" s="79" t="str">
        <f>IF(OR(TH!N2444=TH!$X$7,O2444=TH!$X$7),"x","")</f>
        <v/>
      </c>
      <c r="Y2444" s="79" t="str">
        <f>IF(AND(OR(N2444="131",O2444="131"),H2444='131-CT'!$H$9),"x","")</f>
        <v/>
      </c>
      <c r="Z2444" s="79"/>
      <c r="AA2444" s="79" t="str">
        <f>IF(AND(MONTH(E2444)='IN-NX'!$J$5,'IN-NX'!$D$7=D2444),"x","")</f>
        <v/>
      </c>
      <c r="AB2444" s="79" t="str">
        <f>IF(AND(OR(LEFT(TH!N2444,2)="15",LEFT(TH!O2444,2)="15"),LEFT(TH!O2444,3)&lt;&gt;"111",'152-CT'!$J$8=TH!F2444),"x","")</f>
        <v/>
      </c>
      <c r="AC2444" s="79" t="str">
        <f>IF(AND(OR(LEFT(TH!N2444,2)="15",LEFT(TH!O2444,2)="15"),TK!$E$7=TH!F2444),"x","")</f>
        <v/>
      </c>
      <c r="AD2444" s="79" t="str">
        <f>IF(AND(N2444="1521",MONTH(C2444)='BK-NL'!$M$11),"x","")</f>
        <v/>
      </c>
    </row>
    <row r="2445" spans="1:30" ht="16.5" customHeight="1">
      <c r="A2445" s="318" t="str">
        <f>IF(B2445&lt;&gt;"",IF(AND(B2445='IN-TC'!$S$4,OR(TH!N2445="1111",TH!O2445="1111")),TH!D2445,""),"")</f>
        <v/>
      </c>
      <c r="B2445" s="60" t="str">
        <f t="shared" si="243"/>
        <v/>
      </c>
      <c r="C2445" s="301"/>
      <c r="D2445" s="301"/>
      <c r="E2445" s="301"/>
      <c r="F2445" s="1162"/>
      <c r="G2445" s="968"/>
      <c r="H2445" s="303"/>
      <c r="I2445" s="385"/>
      <c r="J2445" s="969"/>
      <c r="K2445" s="385"/>
      <c r="L2445" s="392"/>
      <c r="M2445" s="970"/>
      <c r="N2445" s="304"/>
      <c r="O2445" s="304"/>
      <c r="P2445" s="79" t="str">
        <f>IF(AND('331-CT'!$E$7=TH!H2445,OR(N2445="331",O2445="331")),"x","")</f>
        <v/>
      </c>
      <c r="Q2445" s="79" t="str">
        <f>IF(AND(B2445='111'!$L$11,OR($N2445=$Q$7,$O2445=$Q$7)),"x","")</f>
        <v/>
      </c>
      <c r="R2445" s="79" t="str">
        <f>IF(AND($N2445=$Q$7,$B2445&lt;'111'!$L$11),"x","")</f>
        <v/>
      </c>
      <c r="S2445" s="79" t="str">
        <f>IF(AND($O2445=$Q$7,$B2445&lt;'111'!$L$11),"x","")</f>
        <v/>
      </c>
      <c r="T2445" s="79" t="str">
        <f>IF(ISERROR(FIND('112'!$M$9,G2445,1)),"",IF((AND(FIND('112'!$M$9,G2445,1)&gt;=1,B2445='112'!$K$9,OR($N2445='112'!$I$6,$O2445='112'!$I$6))),"x",""))</f>
        <v/>
      </c>
      <c r="U2445" s="79" t="str">
        <f>IF(ISERROR(FIND('112'!$M$9,G2445,1)),"",IF((AND(LEFT(G2445,2)=LEFT('112'!$M$9,2),B2445&lt;'112'!$K$9,$N2445='112'!$I$6)),"x",""))</f>
        <v/>
      </c>
      <c r="V2445" s="79" t="str">
        <f>IF(ISERROR(FIND('112'!$M$9,G2445,1)),"",IF((AND(RIGHT(G2445,2)=RIGHT('112'!$M$9,2),B2445&lt;'112'!$K$9,$O2445='112'!$I$6)),"x",""))</f>
        <v/>
      </c>
      <c r="W2445" s="79" t="str">
        <f>IF(AND('341-CT'!$H$9=H2445,OR(LEFT(N2445,3)=$W$7,LEFT(O2445,3)=$W$7)),"x","")</f>
        <v/>
      </c>
      <c r="X2445" s="79" t="str">
        <f>IF(OR(TH!N2445=TH!$X$7,O2445=TH!$X$7),"x","")</f>
        <v/>
      </c>
      <c r="Y2445" s="79" t="str">
        <f>IF(AND(OR(N2445="131",O2445="131"),H2445='131-CT'!$H$9),"x","")</f>
        <v/>
      </c>
      <c r="Z2445" s="79"/>
      <c r="AA2445" s="79" t="str">
        <f>IF(AND(MONTH(E2445)='IN-NX'!$J$5,'IN-NX'!$D$7=D2445),"x","")</f>
        <v/>
      </c>
      <c r="AB2445" s="79" t="str">
        <f>IF(AND(OR(LEFT(TH!N2445,2)="15",LEFT(TH!O2445,2)="15"),LEFT(TH!O2445,3)&lt;&gt;"111",'152-CT'!$J$8=TH!F2445),"x","")</f>
        <v/>
      </c>
      <c r="AC2445" s="79" t="str">
        <f>IF(AND(OR(LEFT(TH!N2445,2)="15",LEFT(TH!O2445,2)="15"),TK!$E$7=TH!F2445),"x","")</f>
        <v/>
      </c>
      <c r="AD2445" s="79" t="str">
        <f>IF(AND(N2445="1521",MONTH(C2445)='BK-NL'!$M$11),"x","")</f>
        <v/>
      </c>
    </row>
    <row r="2446" spans="1:30" ht="16.5" customHeight="1">
      <c r="A2446" s="318" t="str">
        <f>IF(B2446&lt;&gt;"",IF(AND(B2446='IN-TC'!$S$4,OR(TH!N2446="1111",TH!O2446="1111")),TH!D2446,""),"")</f>
        <v/>
      </c>
      <c r="B2446" s="60" t="str">
        <f t="shared" si="243"/>
        <v/>
      </c>
      <c r="C2446" s="301"/>
      <c r="D2446" s="301"/>
      <c r="E2446" s="301"/>
      <c r="F2446" s="1162"/>
      <c r="G2446" s="968"/>
      <c r="H2446" s="303"/>
      <c r="I2446" s="385"/>
      <c r="J2446" s="969"/>
      <c r="K2446" s="385"/>
      <c r="L2446" s="392"/>
      <c r="M2446" s="970"/>
      <c r="N2446" s="304"/>
      <c r="O2446" s="304"/>
      <c r="P2446" s="79" t="str">
        <f>IF(AND('331-CT'!$E$7=TH!H2446,OR(N2446="331",O2446="331")),"x","")</f>
        <v/>
      </c>
      <c r="Q2446" s="79" t="str">
        <f>IF(AND(B2446='111'!$L$11,OR($N2446=$Q$7,$O2446=$Q$7)),"x","")</f>
        <v/>
      </c>
      <c r="R2446" s="79" t="str">
        <f>IF(AND($N2446=$Q$7,$B2446&lt;'111'!$L$11),"x","")</f>
        <v/>
      </c>
      <c r="S2446" s="79" t="str">
        <f>IF(AND($O2446=$Q$7,$B2446&lt;'111'!$L$11),"x","")</f>
        <v/>
      </c>
      <c r="T2446" s="79" t="str">
        <f>IF(ISERROR(FIND('112'!$M$9,G2446,1)),"",IF((AND(FIND('112'!$M$9,G2446,1)&gt;=1,B2446='112'!$K$9,OR($N2446='112'!$I$6,$O2446='112'!$I$6))),"x",""))</f>
        <v/>
      </c>
      <c r="U2446" s="79" t="str">
        <f>IF(ISERROR(FIND('112'!$M$9,G2446,1)),"",IF((AND(LEFT(G2446,2)=LEFT('112'!$M$9,2),B2446&lt;'112'!$K$9,$N2446='112'!$I$6)),"x",""))</f>
        <v/>
      </c>
      <c r="V2446" s="79" t="str">
        <f>IF(ISERROR(FIND('112'!$M$9,G2446,1)),"",IF((AND(RIGHT(G2446,2)=RIGHT('112'!$M$9,2),B2446&lt;'112'!$K$9,$O2446='112'!$I$6)),"x",""))</f>
        <v/>
      </c>
      <c r="W2446" s="79" t="str">
        <f>IF(AND('341-CT'!$H$9=H2446,OR(LEFT(N2446,3)=$W$7,LEFT(O2446,3)=$W$7)),"x","")</f>
        <v/>
      </c>
      <c r="X2446" s="79" t="str">
        <f>IF(OR(TH!N2446=TH!$X$7,O2446=TH!$X$7),"x","")</f>
        <v/>
      </c>
      <c r="Y2446" s="79" t="str">
        <f>IF(AND(OR(N2446="131",O2446="131"),H2446='131-CT'!$H$9),"x","")</f>
        <v/>
      </c>
      <c r="Z2446" s="79"/>
      <c r="AA2446" s="79" t="str">
        <f>IF(AND(MONTH(E2446)='IN-NX'!$J$5,'IN-NX'!$D$7=D2446),"x","")</f>
        <v/>
      </c>
      <c r="AB2446" s="79" t="str">
        <f>IF(AND(OR(LEFT(TH!N2446,2)="15",LEFT(TH!O2446,2)="15"),LEFT(TH!O2446,3)&lt;&gt;"111",'152-CT'!$J$8=TH!F2446),"x","")</f>
        <v/>
      </c>
      <c r="AC2446" s="79" t="str">
        <f>IF(AND(OR(LEFT(TH!N2446,2)="15",LEFT(TH!O2446,2)="15"),TK!$E$7=TH!F2446),"x","")</f>
        <v/>
      </c>
      <c r="AD2446" s="79" t="str">
        <f>IF(AND(N2446="1521",MONTH(C2446)='BK-NL'!$M$11),"x","")</f>
        <v/>
      </c>
    </row>
    <row r="2447" spans="1:30" ht="16.5" customHeight="1">
      <c r="A2447" s="318" t="str">
        <f>IF(B2447&lt;&gt;"",IF(AND(B2447='IN-TC'!$S$4,OR(TH!N2447="1111",TH!O2447="1111")),TH!D2447,""),"")</f>
        <v/>
      </c>
      <c r="B2447" s="60" t="str">
        <f t="shared" si="243"/>
        <v/>
      </c>
      <c r="C2447" s="301"/>
      <c r="D2447" s="301"/>
      <c r="E2447" s="301"/>
      <c r="F2447" s="1162"/>
      <c r="G2447" s="968"/>
      <c r="H2447" s="303"/>
      <c r="I2447" s="385"/>
      <c r="J2447" s="969"/>
      <c r="K2447" s="385"/>
      <c r="L2447" s="392"/>
      <c r="M2447" s="970"/>
      <c r="N2447" s="304"/>
      <c r="O2447" s="304"/>
      <c r="P2447" s="79" t="str">
        <f>IF(AND('331-CT'!$E$7=TH!H2447,OR(N2447="331",O2447="331")),"x","")</f>
        <v/>
      </c>
      <c r="Q2447" s="79" t="str">
        <f>IF(AND(B2447='111'!$L$11,OR($N2447=$Q$7,$O2447=$Q$7)),"x","")</f>
        <v/>
      </c>
      <c r="R2447" s="79" t="str">
        <f>IF(AND($N2447=$Q$7,$B2447&lt;'111'!$L$11),"x","")</f>
        <v/>
      </c>
      <c r="S2447" s="79" t="str">
        <f>IF(AND($O2447=$Q$7,$B2447&lt;'111'!$L$11),"x","")</f>
        <v/>
      </c>
      <c r="T2447" s="79" t="str">
        <f>IF(ISERROR(FIND('112'!$M$9,G2447,1)),"",IF((AND(FIND('112'!$M$9,G2447,1)&gt;=1,B2447='112'!$K$9,OR($N2447='112'!$I$6,$O2447='112'!$I$6))),"x",""))</f>
        <v/>
      </c>
      <c r="U2447" s="79" t="str">
        <f>IF(ISERROR(FIND('112'!$M$9,G2447,1)),"",IF((AND(LEFT(G2447,2)=LEFT('112'!$M$9,2),B2447&lt;'112'!$K$9,$N2447='112'!$I$6)),"x",""))</f>
        <v/>
      </c>
      <c r="V2447" s="79" t="str">
        <f>IF(ISERROR(FIND('112'!$M$9,G2447,1)),"",IF((AND(RIGHT(G2447,2)=RIGHT('112'!$M$9,2),B2447&lt;'112'!$K$9,$O2447='112'!$I$6)),"x",""))</f>
        <v/>
      </c>
      <c r="W2447" s="79" t="str">
        <f>IF(AND('341-CT'!$H$9=H2447,OR(LEFT(N2447,3)=$W$7,LEFT(O2447,3)=$W$7)),"x","")</f>
        <v/>
      </c>
      <c r="X2447" s="79" t="str">
        <f>IF(OR(TH!N2447=TH!$X$7,O2447=TH!$X$7),"x","")</f>
        <v/>
      </c>
      <c r="Y2447" s="79" t="str">
        <f>IF(AND(OR(N2447="131",O2447="131"),H2447='131-CT'!$H$9),"x","")</f>
        <v/>
      </c>
      <c r="Z2447" s="79"/>
      <c r="AA2447" s="79" t="str">
        <f>IF(AND(MONTH(E2447)='IN-NX'!$J$5,'IN-NX'!$D$7=D2447),"x","")</f>
        <v/>
      </c>
      <c r="AB2447" s="79" t="str">
        <f>IF(AND(OR(LEFT(TH!N2447,2)="15",LEFT(TH!O2447,2)="15"),LEFT(TH!O2447,3)&lt;&gt;"111",'152-CT'!$J$8=TH!F2447),"x","")</f>
        <v/>
      </c>
      <c r="AC2447" s="79" t="str">
        <f>IF(AND(OR(LEFT(TH!N2447,2)="15",LEFT(TH!O2447,2)="15"),TK!$E$7=TH!F2447),"x","")</f>
        <v/>
      </c>
      <c r="AD2447" s="79" t="str">
        <f>IF(AND(N2447="1521",MONTH(C2447)='BK-NL'!$M$11),"x","")</f>
        <v/>
      </c>
    </row>
    <row r="2448" spans="1:30" ht="16.5" customHeight="1">
      <c r="A2448" s="318" t="str">
        <f>IF(B2448&lt;&gt;"",IF(AND(B2448='IN-TC'!$S$4,OR(TH!N2448="1111",TH!O2448="1111")),TH!D2448,""),"")</f>
        <v/>
      </c>
      <c r="B2448" s="60" t="str">
        <f t="shared" si="243"/>
        <v/>
      </c>
      <c r="C2448" s="301"/>
      <c r="D2448" s="301"/>
      <c r="E2448" s="301"/>
      <c r="F2448" s="1162"/>
      <c r="G2448" s="968"/>
      <c r="H2448" s="303"/>
      <c r="I2448" s="385"/>
      <c r="J2448" s="969"/>
      <c r="K2448" s="385"/>
      <c r="L2448" s="392"/>
      <c r="M2448" s="970"/>
      <c r="N2448" s="304"/>
      <c r="O2448" s="304"/>
      <c r="P2448" s="79" t="str">
        <f>IF(AND('331-CT'!$E$7=TH!H2448,OR(N2448="331",O2448="331")),"x","")</f>
        <v/>
      </c>
      <c r="Q2448" s="79" t="str">
        <f>IF(AND(B2448='111'!$L$11,OR($N2448=$Q$7,$O2448=$Q$7)),"x","")</f>
        <v/>
      </c>
      <c r="R2448" s="79" t="str">
        <f>IF(AND($N2448=$Q$7,$B2448&lt;'111'!$L$11),"x","")</f>
        <v/>
      </c>
      <c r="S2448" s="79" t="str">
        <f>IF(AND($O2448=$Q$7,$B2448&lt;'111'!$L$11),"x","")</f>
        <v/>
      </c>
      <c r="T2448" s="79" t="str">
        <f>IF(ISERROR(FIND('112'!$M$9,G2448,1)),"",IF((AND(FIND('112'!$M$9,G2448,1)&gt;=1,B2448='112'!$K$9,OR($N2448='112'!$I$6,$O2448='112'!$I$6))),"x",""))</f>
        <v/>
      </c>
      <c r="U2448" s="79" t="str">
        <f>IF(ISERROR(FIND('112'!$M$9,G2448,1)),"",IF((AND(LEFT(G2448,2)=LEFT('112'!$M$9,2),B2448&lt;'112'!$K$9,$N2448='112'!$I$6)),"x",""))</f>
        <v/>
      </c>
      <c r="V2448" s="79" t="str">
        <f>IF(ISERROR(FIND('112'!$M$9,G2448,1)),"",IF((AND(RIGHT(G2448,2)=RIGHT('112'!$M$9,2),B2448&lt;'112'!$K$9,$O2448='112'!$I$6)),"x",""))</f>
        <v/>
      </c>
      <c r="W2448" s="79" t="str">
        <f>IF(AND('341-CT'!$H$9=H2448,OR(LEFT(N2448,3)=$W$7,LEFT(O2448,3)=$W$7)),"x","")</f>
        <v/>
      </c>
      <c r="X2448" s="79" t="str">
        <f>IF(OR(TH!N2448=TH!$X$7,O2448=TH!$X$7),"x","")</f>
        <v/>
      </c>
      <c r="Y2448" s="79" t="str">
        <f>IF(AND(OR(N2448="131",O2448="131"),H2448='131-CT'!$H$9),"x","")</f>
        <v/>
      </c>
      <c r="Z2448" s="79"/>
      <c r="AA2448" s="79" t="str">
        <f>IF(AND(MONTH(E2448)='IN-NX'!$J$5,'IN-NX'!$D$7=D2448),"x","")</f>
        <v/>
      </c>
      <c r="AB2448" s="79" t="str">
        <f>IF(AND(OR(LEFT(TH!N2448,2)="15",LEFT(TH!O2448,2)="15"),LEFT(TH!O2448,3)&lt;&gt;"111",'152-CT'!$J$8=TH!F2448),"x","")</f>
        <v/>
      </c>
      <c r="AC2448" s="79" t="str">
        <f>IF(AND(OR(LEFT(TH!N2448,2)="15",LEFT(TH!O2448,2)="15"),TK!$E$7=TH!F2448),"x","")</f>
        <v/>
      </c>
      <c r="AD2448" s="79" t="str">
        <f>IF(AND(N2448="1521",MONTH(C2448)='BK-NL'!$M$11),"x","")</f>
        <v/>
      </c>
    </row>
    <row r="2449" spans="1:30" ht="16.5" customHeight="1">
      <c r="A2449" s="318" t="str">
        <f>IF(B2449&lt;&gt;"",IF(AND(B2449='IN-TC'!$S$4,OR(TH!N2449="1111",TH!O2449="1111")),TH!D2449,""),"")</f>
        <v/>
      </c>
      <c r="B2449" s="60" t="str">
        <f t="shared" si="243"/>
        <v/>
      </c>
      <c r="C2449" s="301"/>
      <c r="D2449" s="301"/>
      <c r="E2449" s="301"/>
      <c r="F2449" s="1162"/>
      <c r="G2449" s="968"/>
      <c r="H2449" s="303"/>
      <c r="I2449" s="385"/>
      <c r="J2449" s="969"/>
      <c r="K2449" s="385"/>
      <c r="L2449" s="392"/>
      <c r="M2449" s="970"/>
      <c r="N2449" s="304"/>
      <c r="O2449" s="304"/>
      <c r="P2449" s="79" t="str">
        <f>IF(AND('331-CT'!$E$7=TH!H2449,OR(N2449="331",O2449="331")),"x","")</f>
        <v/>
      </c>
      <c r="Q2449" s="79" t="str">
        <f>IF(AND(B2449='111'!$L$11,OR($N2449=$Q$7,$O2449=$Q$7)),"x","")</f>
        <v/>
      </c>
      <c r="R2449" s="79" t="str">
        <f>IF(AND($N2449=$Q$7,$B2449&lt;'111'!$L$11),"x","")</f>
        <v/>
      </c>
      <c r="S2449" s="79" t="str">
        <f>IF(AND($O2449=$Q$7,$B2449&lt;'111'!$L$11),"x","")</f>
        <v/>
      </c>
      <c r="T2449" s="79" t="str">
        <f>IF(ISERROR(FIND('112'!$M$9,G2449,1)),"",IF((AND(FIND('112'!$M$9,G2449,1)&gt;=1,B2449='112'!$K$9,OR($N2449='112'!$I$6,$O2449='112'!$I$6))),"x",""))</f>
        <v/>
      </c>
      <c r="U2449" s="79" t="str">
        <f>IF(ISERROR(FIND('112'!$M$9,G2449,1)),"",IF((AND(LEFT(G2449,2)=LEFT('112'!$M$9,2),B2449&lt;'112'!$K$9,$N2449='112'!$I$6)),"x",""))</f>
        <v/>
      </c>
      <c r="V2449" s="79" t="str">
        <f>IF(ISERROR(FIND('112'!$M$9,G2449,1)),"",IF((AND(RIGHT(G2449,2)=RIGHT('112'!$M$9,2),B2449&lt;'112'!$K$9,$O2449='112'!$I$6)),"x",""))</f>
        <v/>
      </c>
      <c r="W2449" s="79" t="str">
        <f>IF(AND('341-CT'!$H$9=H2449,OR(LEFT(N2449,3)=$W$7,LEFT(O2449,3)=$W$7)),"x","")</f>
        <v/>
      </c>
      <c r="X2449" s="79" t="str">
        <f>IF(OR(TH!N2449=TH!$X$7,O2449=TH!$X$7),"x","")</f>
        <v/>
      </c>
      <c r="Y2449" s="79" t="str">
        <f>IF(AND(OR(N2449="131",O2449="131"),H2449='131-CT'!$H$9),"x","")</f>
        <v/>
      </c>
      <c r="Z2449" s="79"/>
      <c r="AA2449" s="79" t="str">
        <f>IF(AND(MONTH(E2449)='IN-NX'!$J$5,'IN-NX'!$D$7=D2449),"x","")</f>
        <v/>
      </c>
      <c r="AB2449" s="79" t="str">
        <f>IF(AND(OR(LEFT(TH!N2449,2)="15",LEFT(TH!O2449,2)="15"),LEFT(TH!O2449,3)&lt;&gt;"111",'152-CT'!$J$8=TH!F2449),"x","")</f>
        <v/>
      </c>
      <c r="AC2449" s="79" t="str">
        <f>IF(AND(OR(LEFT(TH!N2449,2)="15",LEFT(TH!O2449,2)="15"),TK!$E$7=TH!F2449),"x","")</f>
        <v/>
      </c>
      <c r="AD2449" s="79" t="str">
        <f>IF(AND(N2449="1521",MONTH(C2449)='BK-NL'!$M$11),"x","")</f>
        <v/>
      </c>
    </row>
    <row r="2450" spans="1:30" ht="16.5" customHeight="1">
      <c r="A2450" s="318" t="str">
        <f>IF(B2450&lt;&gt;"",IF(AND(B2450='IN-TC'!$S$4,OR(TH!N2450="1111",TH!O2450="1111")),TH!D2450,""),"")</f>
        <v/>
      </c>
      <c r="B2450" s="60" t="str">
        <f t="shared" si="243"/>
        <v/>
      </c>
      <c r="C2450" s="301"/>
      <c r="D2450" s="301"/>
      <c r="E2450" s="301"/>
      <c r="F2450" s="1162"/>
      <c r="G2450" s="968"/>
      <c r="H2450" s="303"/>
      <c r="I2450" s="385"/>
      <c r="J2450" s="969"/>
      <c r="K2450" s="385"/>
      <c r="L2450" s="392"/>
      <c r="M2450" s="970"/>
      <c r="N2450" s="304"/>
      <c r="O2450" s="304"/>
      <c r="P2450" s="79" t="str">
        <f>IF(AND('331-CT'!$E$7=TH!H2450,OR(N2450="331",O2450="331")),"x","")</f>
        <v/>
      </c>
      <c r="Q2450" s="79" t="str">
        <f>IF(AND(B2450='111'!$L$11,OR($N2450=$Q$7,$O2450=$Q$7)),"x","")</f>
        <v/>
      </c>
      <c r="R2450" s="79" t="str">
        <f>IF(AND($N2450=$Q$7,$B2450&lt;'111'!$L$11),"x","")</f>
        <v/>
      </c>
      <c r="S2450" s="79" t="str">
        <f>IF(AND($O2450=$Q$7,$B2450&lt;'111'!$L$11),"x","")</f>
        <v/>
      </c>
      <c r="T2450" s="79" t="str">
        <f>IF(ISERROR(FIND('112'!$M$9,G2450,1)),"",IF((AND(FIND('112'!$M$9,G2450,1)&gt;=1,B2450='112'!$K$9,OR($N2450='112'!$I$6,$O2450='112'!$I$6))),"x",""))</f>
        <v/>
      </c>
      <c r="U2450" s="79" t="str">
        <f>IF(ISERROR(FIND('112'!$M$9,G2450,1)),"",IF((AND(LEFT(G2450,2)=LEFT('112'!$M$9,2),B2450&lt;'112'!$K$9,$N2450='112'!$I$6)),"x",""))</f>
        <v/>
      </c>
      <c r="V2450" s="79" t="str">
        <f>IF(ISERROR(FIND('112'!$M$9,G2450,1)),"",IF((AND(RIGHT(G2450,2)=RIGHT('112'!$M$9,2),B2450&lt;'112'!$K$9,$O2450='112'!$I$6)),"x",""))</f>
        <v/>
      </c>
      <c r="W2450" s="79" t="str">
        <f>IF(AND('341-CT'!$H$9=H2450,OR(LEFT(N2450,3)=$W$7,LEFT(O2450,3)=$W$7)),"x","")</f>
        <v/>
      </c>
      <c r="X2450" s="79" t="str">
        <f>IF(OR(TH!N2450=TH!$X$7,O2450=TH!$X$7),"x","")</f>
        <v/>
      </c>
      <c r="Y2450" s="79" t="str">
        <f>IF(AND(OR(N2450="131",O2450="131"),H2450='131-CT'!$H$9),"x","")</f>
        <v/>
      </c>
      <c r="Z2450" s="79"/>
      <c r="AA2450" s="79" t="str">
        <f>IF(AND(MONTH(E2450)='IN-NX'!$J$5,'IN-NX'!$D$7=D2450),"x","")</f>
        <v/>
      </c>
      <c r="AB2450" s="79" t="str">
        <f>IF(AND(OR(LEFT(TH!N2450,2)="15",LEFT(TH!O2450,2)="15"),LEFT(TH!O2450,3)&lt;&gt;"111",'152-CT'!$J$8=TH!F2450),"x","")</f>
        <v/>
      </c>
      <c r="AC2450" s="79" t="str">
        <f>IF(AND(OR(LEFT(TH!N2450,2)="15",LEFT(TH!O2450,2)="15"),TK!$E$7=TH!F2450),"x","")</f>
        <v/>
      </c>
      <c r="AD2450" s="79" t="str">
        <f>IF(AND(N2450="1521",MONTH(C2450)='BK-NL'!$M$11),"x","")</f>
        <v/>
      </c>
    </row>
    <row r="2451" spans="1:30" ht="16.5" customHeight="1">
      <c r="A2451" s="318" t="str">
        <f>IF(B2451&lt;&gt;"",IF(AND(B2451='IN-TC'!$S$4,OR(TH!N2451="1111",TH!O2451="1111")),TH!D2451,""),"")</f>
        <v/>
      </c>
      <c r="B2451" s="60" t="str">
        <f t="shared" si="243"/>
        <v/>
      </c>
      <c r="C2451" s="301"/>
      <c r="D2451" s="301"/>
      <c r="E2451" s="301"/>
      <c r="F2451" s="1162"/>
      <c r="G2451" s="968"/>
      <c r="H2451" s="303"/>
      <c r="I2451" s="385"/>
      <c r="J2451" s="969"/>
      <c r="K2451" s="385"/>
      <c r="L2451" s="392"/>
      <c r="M2451" s="970"/>
      <c r="N2451" s="304"/>
      <c r="O2451" s="304"/>
      <c r="P2451" s="79" t="str">
        <f>IF(AND('331-CT'!$E$7=TH!H2451,OR(N2451="331",O2451="331")),"x","")</f>
        <v/>
      </c>
      <c r="Q2451" s="79" t="str">
        <f>IF(AND(B2451='111'!$L$11,OR($N2451=$Q$7,$O2451=$Q$7)),"x","")</f>
        <v/>
      </c>
      <c r="R2451" s="79" t="str">
        <f>IF(AND($N2451=$Q$7,$B2451&lt;'111'!$L$11),"x","")</f>
        <v/>
      </c>
      <c r="S2451" s="79" t="str">
        <f>IF(AND($O2451=$Q$7,$B2451&lt;'111'!$L$11),"x","")</f>
        <v/>
      </c>
      <c r="T2451" s="79" t="str">
        <f>IF(ISERROR(FIND('112'!$M$9,G2451,1)),"",IF((AND(FIND('112'!$M$9,G2451,1)&gt;=1,B2451='112'!$K$9,OR($N2451='112'!$I$6,$O2451='112'!$I$6))),"x",""))</f>
        <v/>
      </c>
      <c r="U2451" s="79" t="str">
        <f>IF(ISERROR(FIND('112'!$M$9,G2451,1)),"",IF((AND(LEFT(G2451,2)=LEFT('112'!$M$9,2),B2451&lt;'112'!$K$9,$N2451='112'!$I$6)),"x",""))</f>
        <v/>
      </c>
      <c r="V2451" s="79" t="str">
        <f>IF(ISERROR(FIND('112'!$M$9,G2451,1)),"",IF((AND(RIGHT(G2451,2)=RIGHT('112'!$M$9,2),B2451&lt;'112'!$K$9,$O2451='112'!$I$6)),"x",""))</f>
        <v/>
      </c>
      <c r="W2451" s="79" t="str">
        <f>IF(AND('341-CT'!$H$9=H2451,OR(LEFT(N2451,3)=$W$7,LEFT(O2451,3)=$W$7)),"x","")</f>
        <v/>
      </c>
      <c r="X2451" s="79" t="str">
        <f>IF(OR(TH!N2451=TH!$X$7,O2451=TH!$X$7),"x","")</f>
        <v/>
      </c>
      <c r="Y2451" s="79" t="str">
        <f>IF(AND(OR(N2451="131",O2451="131"),H2451='131-CT'!$H$9),"x","")</f>
        <v/>
      </c>
      <c r="Z2451" s="79"/>
      <c r="AA2451" s="79" t="str">
        <f>IF(AND(MONTH(E2451)='IN-NX'!$J$5,'IN-NX'!$D$7=D2451),"x","")</f>
        <v/>
      </c>
      <c r="AB2451" s="79" t="str">
        <f>IF(AND(OR(LEFT(TH!N2451,2)="15",LEFT(TH!O2451,2)="15"),LEFT(TH!O2451,3)&lt;&gt;"111",'152-CT'!$J$8=TH!F2451),"x","")</f>
        <v/>
      </c>
      <c r="AC2451" s="79" t="str">
        <f>IF(AND(OR(LEFT(TH!N2451,2)="15",LEFT(TH!O2451,2)="15"),TK!$E$7=TH!F2451),"x","")</f>
        <v/>
      </c>
      <c r="AD2451" s="79" t="str">
        <f>IF(AND(N2451="1521",MONTH(C2451)='BK-NL'!$M$11),"x","")</f>
        <v/>
      </c>
    </row>
    <row r="2452" spans="1:30" ht="16.5" customHeight="1">
      <c r="A2452" s="318" t="str">
        <f>IF(B2452&lt;&gt;"",IF(AND(B2452='IN-TC'!$S$4,OR(TH!N2452="1111",TH!O2452="1111")),TH!D2452,""),"")</f>
        <v/>
      </c>
      <c r="B2452" s="60" t="str">
        <f t="shared" si="243"/>
        <v/>
      </c>
      <c r="C2452" s="301"/>
      <c r="D2452" s="301"/>
      <c r="E2452" s="301"/>
      <c r="F2452" s="1162"/>
      <c r="G2452" s="968"/>
      <c r="H2452" s="303"/>
      <c r="I2452" s="385"/>
      <c r="J2452" s="969"/>
      <c r="K2452" s="385"/>
      <c r="L2452" s="392"/>
      <c r="M2452" s="970"/>
      <c r="N2452" s="304"/>
      <c r="O2452" s="304"/>
      <c r="P2452" s="79" t="str">
        <f>IF(AND('331-CT'!$E$7=TH!H2452,OR(N2452="331",O2452="331")),"x","")</f>
        <v/>
      </c>
      <c r="Q2452" s="79" t="str">
        <f>IF(AND(B2452='111'!$L$11,OR($N2452=$Q$7,$O2452=$Q$7)),"x","")</f>
        <v/>
      </c>
      <c r="R2452" s="79" t="str">
        <f>IF(AND($N2452=$Q$7,$B2452&lt;'111'!$L$11),"x","")</f>
        <v/>
      </c>
      <c r="S2452" s="79" t="str">
        <f>IF(AND($O2452=$Q$7,$B2452&lt;'111'!$L$11),"x","")</f>
        <v/>
      </c>
      <c r="T2452" s="79" t="str">
        <f>IF(ISERROR(FIND('112'!$M$9,G2452,1)),"",IF((AND(FIND('112'!$M$9,G2452,1)&gt;=1,B2452='112'!$K$9,OR($N2452='112'!$I$6,$O2452='112'!$I$6))),"x",""))</f>
        <v/>
      </c>
      <c r="U2452" s="79" t="str">
        <f>IF(ISERROR(FIND('112'!$M$9,G2452,1)),"",IF((AND(LEFT(G2452,2)=LEFT('112'!$M$9,2),B2452&lt;'112'!$K$9,$N2452='112'!$I$6)),"x",""))</f>
        <v/>
      </c>
      <c r="V2452" s="79" t="str">
        <f>IF(ISERROR(FIND('112'!$M$9,G2452,1)),"",IF((AND(RIGHT(G2452,2)=RIGHT('112'!$M$9,2),B2452&lt;'112'!$K$9,$O2452='112'!$I$6)),"x",""))</f>
        <v/>
      </c>
      <c r="W2452" s="79" t="str">
        <f>IF(AND('341-CT'!$H$9=H2452,OR(LEFT(N2452,3)=$W$7,LEFT(O2452,3)=$W$7)),"x","")</f>
        <v/>
      </c>
      <c r="X2452" s="79" t="str">
        <f>IF(OR(TH!N2452=TH!$X$7,O2452=TH!$X$7),"x","")</f>
        <v/>
      </c>
      <c r="Y2452" s="79" t="str">
        <f>IF(AND(OR(N2452="131",O2452="131"),H2452='131-CT'!$H$9),"x","")</f>
        <v/>
      </c>
      <c r="Z2452" s="79"/>
      <c r="AA2452" s="79" t="str">
        <f>IF(AND(MONTH(E2452)='IN-NX'!$J$5,'IN-NX'!$D$7=D2452),"x","")</f>
        <v/>
      </c>
      <c r="AB2452" s="79" t="str">
        <f>IF(AND(OR(LEFT(TH!N2452,2)="15",LEFT(TH!O2452,2)="15"),LEFT(TH!O2452,3)&lt;&gt;"111",'152-CT'!$J$8=TH!F2452),"x","")</f>
        <v/>
      </c>
      <c r="AC2452" s="79" t="str">
        <f>IF(AND(OR(LEFT(TH!N2452,2)="15",LEFT(TH!O2452,2)="15"),TK!$E$7=TH!F2452),"x","")</f>
        <v/>
      </c>
      <c r="AD2452" s="79" t="str">
        <f>IF(AND(N2452="1521",MONTH(C2452)='BK-NL'!$M$11),"x","")</f>
        <v/>
      </c>
    </row>
    <row r="2453" spans="1:30" ht="16.5" customHeight="1">
      <c r="A2453" s="318" t="str">
        <f>IF(B2453&lt;&gt;"",IF(AND(B2453='IN-TC'!$S$4,OR(TH!N2453="1111",TH!O2453="1111")),TH!D2453,""),"")</f>
        <v/>
      </c>
      <c r="B2453" s="60" t="str">
        <f t="shared" si="243"/>
        <v/>
      </c>
      <c r="C2453" s="301"/>
      <c r="D2453" s="301"/>
      <c r="E2453" s="301"/>
      <c r="F2453" s="1160"/>
      <c r="G2453" s="988"/>
      <c r="H2453" s="321"/>
      <c r="I2453" s="385"/>
      <c r="J2453" s="969"/>
      <c r="K2453" s="385"/>
      <c r="L2453" s="392"/>
      <c r="M2453" s="970"/>
      <c r="N2453" s="304"/>
      <c r="O2453" s="304"/>
      <c r="P2453" s="79" t="str">
        <f>IF(AND('331-CT'!$E$7=TH!H2453,OR(N2453="331",O2453="331")),"x","")</f>
        <v/>
      </c>
      <c r="Q2453" s="79" t="str">
        <f>IF(AND(B2453='111'!$L$11,OR($N2453=$Q$7,$O2453=$Q$7)),"x","")</f>
        <v/>
      </c>
      <c r="R2453" s="79" t="str">
        <f>IF(AND($N2453=$Q$7,$B2453&lt;'111'!$L$11),"x","")</f>
        <v/>
      </c>
      <c r="S2453" s="79" t="str">
        <f>IF(AND($O2453=$Q$7,$B2453&lt;'111'!$L$11),"x","")</f>
        <v/>
      </c>
      <c r="T2453" s="79" t="str">
        <f>IF(ISERROR(FIND('112'!$M$9,G2453,1)),"",IF((AND(FIND('112'!$M$9,G2453,1)&gt;=1,B2453='112'!$K$9,OR($N2453='112'!$I$6,$O2453='112'!$I$6))),"x",""))</f>
        <v/>
      </c>
      <c r="U2453" s="79" t="str">
        <f>IF(ISERROR(FIND('112'!$M$9,G2453,1)),"",IF((AND(LEFT(G2453,2)=LEFT('112'!$M$9,2),B2453&lt;'112'!$K$9,$N2453='112'!$I$6)),"x",""))</f>
        <v/>
      </c>
      <c r="V2453" s="79" t="str">
        <f>IF(ISERROR(FIND('112'!$M$9,G2453,1)),"",IF((AND(RIGHT(G2453,2)=RIGHT('112'!$M$9,2),B2453&lt;'112'!$K$9,$O2453='112'!$I$6)),"x",""))</f>
        <v/>
      </c>
      <c r="W2453" s="79" t="str">
        <f>IF(AND('341-CT'!$H$9=H2453,OR(LEFT(N2453,3)=$W$7,LEFT(O2453,3)=$W$7)),"x","")</f>
        <v/>
      </c>
      <c r="X2453" s="79" t="str">
        <f>IF(OR(TH!N2453=TH!$X$7,O2453=TH!$X$7),"x","")</f>
        <v/>
      </c>
      <c r="Y2453" s="79" t="str">
        <f>IF(AND(OR(N2453="131",O2453="131"),H2453='131-CT'!$H$9),"x","")</f>
        <v/>
      </c>
      <c r="Z2453" s="79"/>
      <c r="AA2453" s="79" t="str">
        <f>IF(AND(MONTH(E2453)='IN-NX'!$J$5,'IN-NX'!$D$7=D2453),"x","")</f>
        <v/>
      </c>
      <c r="AB2453" s="79" t="str">
        <f>IF(AND(OR(LEFT(TH!N2453,2)="15",LEFT(TH!O2453,2)="15"),LEFT(TH!O2453,3)&lt;&gt;"111",'152-CT'!$J$8=TH!F2453),"x","")</f>
        <v/>
      </c>
      <c r="AC2453" s="79" t="str">
        <f>IF(AND(OR(LEFT(TH!N2453,2)="15",LEFT(TH!O2453,2)="15"),TK!$E$7=TH!F2453),"x","")</f>
        <v/>
      </c>
      <c r="AD2453" s="79" t="str">
        <f>IF(AND(N2453="1521",MONTH(C2453)='BK-NL'!$M$11),"x","")</f>
        <v/>
      </c>
    </row>
    <row r="2454" spans="1:30" ht="16.5" customHeight="1">
      <c r="A2454" s="318" t="str">
        <f>IF(B2454&lt;&gt;"",IF(AND(B2454='IN-TC'!$S$4,OR(TH!N2454="1111",TH!O2454="1111")),TH!D2454,""),"")</f>
        <v/>
      </c>
      <c r="B2454" s="60" t="str">
        <f t="shared" si="243"/>
        <v/>
      </c>
      <c r="C2454" s="301"/>
      <c r="D2454" s="301"/>
      <c r="E2454" s="301"/>
      <c r="F2454" s="1160"/>
      <c r="G2454" s="988"/>
      <c r="H2454" s="321"/>
      <c r="I2454" s="385"/>
      <c r="J2454" s="969"/>
      <c r="K2454" s="385"/>
      <c r="L2454" s="392"/>
      <c r="M2454" s="970"/>
      <c r="N2454" s="304"/>
      <c r="O2454" s="304"/>
      <c r="P2454" s="79" t="str">
        <f>IF(AND('331-CT'!$E$7=TH!H2454,OR(N2454="331",O2454="331")),"x","")</f>
        <v/>
      </c>
      <c r="Q2454" s="79" t="str">
        <f>IF(AND(B2454='111'!$L$11,OR($N2454=$Q$7,$O2454=$Q$7)),"x","")</f>
        <v/>
      </c>
      <c r="R2454" s="79" t="str">
        <f>IF(AND($N2454=$Q$7,$B2454&lt;'111'!$L$11),"x","")</f>
        <v/>
      </c>
      <c r="S2454" s="79" t="str">
        <f>IF(AND($O2454=$Q$7,$B2454&lt;'111'!$L$11),"x","")</f>
        <v/>
      </c>
      <c r="T2454" s="79" t="str">
        <f>IF(ISERROR(FIND('112'!$M$9,G2454,1)),"",IF((AND(FIND('112'!$M$9,G2454,1)&gt;=1,B2454='112'!$K$9,OR($N2454='112'!$I$6,$O2454='112'!$I$6))),"x",""))</f>
        <v/>
      </c>
      <c r="U2454" s="79" t="str">
        <f>IF(ISERROR(FIND('112'!$M$9,G2454,1)),"",IF((AND(LEFT(G2454,2)=LEFT('112'!$M$9,2),B2454&lt;'112'!$K$9,$N2454='112'!$I$6)),"x",""))</f>
        <v/>
      </c>
      <c r="V2454" s="79" t="str">
        <f>IF(ISERROR(FIND('112'!$M$9,G2454,1)),"",IF((AND(RIGHT(G2454,2)=RIGHT('112'!$M$9,2),B2454&lt;'112'!$K$9,$O2454='112'!$I$6)),"x",""))</f>
        <v/>
      </c>
      <c r="W2454" s="79" t="str">
        <f>IF(AND('341-CT'!$H$9=H2454,OR(LEFT(N2454,3)=$W$7,LEFT(O2454,3)=$W$7)),"x","")</f>
        <v/>
      </c>
      <c r="X2454" s="79" t="str">
        <f>IF(OR(TH!N2454=TH!$X$7,O2454=TH!$X$7),"x","")</f>
        <v/>
      </c>
      <c r="Y2454" s="79" t="str">
        <f>IF(AND(OR(N2454="131",O2454="131"),H2454='131-CT'!$H$9),"x","")</f>
        <v/>
      </c>
      <c r="Z2454" s="79"/>
      <c r="AA2454" s="79" t="str">
        <f>IF(AND(MONTH(E2454)='IN-NX'!$J$5,'IN-NX'!$D$7=D2454),"x","")</f>
        <v/>
      </c>
      <c r="AB2454" s="79" t="str">
        <f>IF(AND(OR(LEFT(TH!N2454,2)="15",LEFT(TH!O2454,2)="15"),LEFT(TH!O2454,3)&lt;&gt;"111",'152-CT'!$J$8=TH!F2454),"x","")</f>
        <v/>
      </c>
      <c r="AC2454" s="79" t="str">
        <f>IF(AND(OR(LEFT(TH!N2454,2)="15",LEFT(TH!O2454,2)="15"),TK!$E$7=TH!F2454),"x","")</f>
        <v/>
      </c>
      <c r="AD2454" s="79" t="str">
        <f>IF(AND(N2454="1521",MONTH(C2454)='BK-NL'!$M$11),"x","")</f>
        <v/>
      </c>
    </row>
    <row r="2455" spans="1:30" ht="16.5" customHeight="1">
      <c r="A2455" s="318" t="str">
        <f>IF(B2455&lt;&gt;"",IF(AND(B2455='IN-TC'!$S$4,OR(TH!N2455="1111",TH!O2455="1111")),TH!D2455,""),"")</f>
        <v/>
      </c>
      <c r="B2455" s="60" t="str">
        <f t="shared" si="243"/>
        <v/>
      </c>
      <c r="C2455" s="301"/>
      <c r="D2455" s="301"/>
      <c r="E2455" s="301"/>
      <c r="F2455" s="1261"/>
      <c r="G2455" s="968"/>
      <c r="H2455" s="321"/>
      <c r="I2455" s="385"/>
      <c r="J2455" s="969"/>
      <c r="K2455" s="385"/>
      <c r="L2455" s="392"/>
      <c r="M2455" s="970"/>
      <c r="N2455" s="304"/>
      <c r="O2455" s="304"/>
      <c r="P2455" s="79" t="str">
        <f>IF(AND('331-CT'!$E$7=TH!H2455,OR(N2455="331",O2455="331")),"x","")</f>
        <v/>
      </c>
      <c r="Q2455" s="79" t="str">
        <f>IF(AND(B2455='111'!$L$11,OR($N2455=$Q$7,$O2455=$Q$7)),"x","")</f>
        <v/>
      </c>
      <c r="R2455" s="79" t="str">
        <f>IF(AND($N2455=$Q$7,$B2455&lt;'111'!$L$11),"x","")</f>
        <v/>
      </c>
      <c r="S2455" s="79" t="str">
        <f>IF(AND($O2455=$Q$7,$B2455&lt;'111'!$L$11),"x","")</f>
        <v/>
      </c>
      <c r="T2455" s="79" t="str">
        <f>IF(ISERROR(FIND('112'!$M$9,G2455,1)),"",IF((AND(FIND('112'!$M$9,G2455,1)&gt;=1,B2455='112'!$K$9,OR($N2455='112'!$I$6,$O2455='112'!$I$6))),"x",""))</f>
        <v/>
      </c>
      <c r="U2455" s="79" t="str">
        <f>IF(ISERROR(FIND('112'!$M$9,G2455,1)),"",IF((AND(LEFT(G2455,2)=LEFT('112'!$M$9,2),B2455&lt;'112'!$K$9,$N2455='112'!$I$6)),"x",""))</f>
        <v/>
      </c>
      <c r="V2455" s="79" t="str">
        <f>IF(ISERROR(FIND('112'!$M$9,G2455,1)),"",IF((AND(RIGHT(G2455,2)=RIGHT('112'!$M$9,2),B2455&lt;'112'!$K$9,$O2455='112'!$I$6)),"x",""))</f>
        <v/>
      </c>
      <c r="W2455" s="79" t="str">
        <f>IF(AND('341-CT'!$H$9=H2455,OR(LEFT(N2455,3)=$W$7,LEFT(O2455,3)=$W$7)),"x","")</f>
        <v/>
      </c>
      <c r="X2455" s="79" t="str">
        <f>IF(OR(TH!N2455=TH!$X$7,O2455=TH!$X$7),"x","")</f>
        <v/>
      </c>
      <c r="Y2455" s="79" t="str">
        <f>IF(AND(OR(N2455="131",O2455="131"),H2455='131-CT'!$H$9),"x","")</f>
        <v/>
      </c>
      <c r="Z2455" s="79"/>
      <c r="AA2455" s="79" t="str">
        <f>IF(AND(MONTH(E2455)='IN-NX'!$J$5,'IN-NX'!$D$7=D2455),"x","")</f>
        <v/>
      </c>
      <c r="AB2455" s="79" t="str">
        <f>IF(AND(OR(LEFT(TH!N2455,2)="15",LEFT(TH!O2455,2)="15"),LEFT(TH!O2455,3)&lt;&gt;"111",'152-CT'!$J$8=TH!F2455),"x","")</f>
        <v/>
      </c>
      <c r="AC2455" s="79" t="str">
        <f>IF(AND(OR(LEFT(TH!N2455,2)="15",LEFT(TH!O2455,2)="15"),TK!$E$7=TH!F2455),"x","")</f>
        <v/>
      </c>
      <c r="AD2455" s="79" t="str">
        <f>IF(AND(N2455="1521",MONTH(C2455)='BK-NL'!$M$11),"x","")</f>
        <v/>
      </c>
    </row>
    <row r="2456" spans="1:30" ht="16.5" customHeight="1">
      <c r="A2456" s="318" t="str">
        <f>IF(B2456&lt;&gt;"",IF(AND(B2456='IN-TC'!$S$4,OR(TH!N2456="1111",TH!O2456="1111")),TH!D2456,""),"")</f>
        <v/>
      </c>
      <c r="B2456" s="60" t="str">
        <f t="shared" si="243"/>
        <v/>
      </c>
      <c r="C2456" s="301"/>
      <c r="D2456" s="301"/>
      <c r="E2456" s="301"/>
      <c r="F2456" s="1261"/>
      <c r="G2456" s="968"/>
      <c r="H2456" s="321"/>
      <c r="I2456" s="385"/>
      <c r="J2456" s="969"/>
      <c r="K2456" s="385"/>
      <c r="L2456" s="392"/>
      <c r="M2456" s="970"/>
      <c r="N2456" s="304"/>
      <c r="O2456" s="304"/>
      <c r="P2456" s="79" t="str">
        <f>IF(AND('331-CT'!$E$7=TH!H2456,OR(N2456="331",O2456="331")),"x","")</f>
        <v/>
      </c>
      <c r="Q2456" s="79" t="str">
        <f>IF(AND(B2456='111'!$L$11,OR($N2456=$Q$7,$O2456=$Q$7)),"x","")</f>
        <v/>
      </c>
      <c r="R2456" s="79" t="str">
        <f>IF(AND($N2456=$Q$7,$B2456&lt;'111'!$L$11),"x","")</f>
        <v/>
      </c>
      <c r="S2456" s="79" t="str">
        <f>IF(AND($O2456=$Q$7,$B2456&lt;'111'!$L$11),"x","")</f>
        <v/>
      </c>
      <c r="T2456" s="79" t="str">
        <f>IF(ISERROR(FIND('112'!$M$9,G2456,1)),"",IF((AND(FIND('112'!$M$9,G2456,1)&gt;=1,B2456='112'!$K$9,OR($N2456='112'!$I$6,$O2456='112'!$I$6))),"x",""))</f>
        <v/>
      </c>
      <c r="U2456" s="79" t="str">
        <f>IF(ISERROR(FIND('112'!$M$9,G2456,1)),"",IF((AND(LEFT(G2456,2)=LEFT('112'!$M$9,2),B2456&lt;'112'!$K$9,$N2456='112'!$I$6)),"x",""))</f>
        <v/>
      </c>
      <c r="V2456" s="79" t="str">
        <f>IF(ISERROR(FIND('112'!$M$9,G2456,1)),"",IF((AND(RIGHT(G2456,2)=RIGHT('112'!$M$9,2),B2456&lt;'112'!$K$9,$O2456='112'!$I$6)),"x",""))</f>
        <v/>
      </c>
      <c r="W2456" s="79" t="str">
        <f>IF(AND('341-CT'!$H$9=H2456,OR(LEFT(N2456,3)=$W$7,LEFT(O2456,3)=$W$7)),"x","")</f>
        <v/>
      </c>
      <c r="X2456" s="79" t="str">
        <f>IF(OR(TH!N2456=TH!$X$7,O2456=TH!$X$7),"x","")</f>
        <v/>
      </c>
      <c r="Y2456" s="79" t="str">
        <f>IF(AND(OR(N2456="131",O2456="131"),H2456='131-CT'!$H$9),"x","")</f>
        <v/>
      </c>
      <c r="Z2456" s="79"/>
      <c r="AA2456" s="79" t="str">
        <f>IF(AND(MONTH(E2456)='IN-NX'!$J$5,'IN-NX'!$D$7=D2456),"x","")</f>
        <v/>
      </c>
      <c r="AB2456" s="79" t="str">
        <f>IF(AND(OR(LEFT(TH!N2456,2)="15",LEFT(TH!O2456,2)="15"),LEFT(TH!O2456,3)&lt;&gt;"111",'152-CT'!$J$8=TH!F2456),"x","")</f>
        <v/>
      </c>
      <c r="AC2456" s="79" t="str">
        <f>IF(AND(OR(LEFT(TH!N2456,2)="15",LEFT(TH!O2456,2)="15"),TK!$E$7=TH!F2456),"x","")</f>
        <v/>
      </c>
      <c r="AD2456" s="79" t="str">
        <f>IF(AND(N2456="1521",MONTH(C2456)='BK-NL'!$M$11),"x","")</f>
        <v/>
      </c>
    </row>
    <row r="2457" spans="1:30" ht="16.5" customHeight="1">
      <c r="A2457" s="318" t="str">
        <f>IF(B2457&lt;&gt;"",IF(AND(B2457='IN-TC'!$S$4,OR(TH!N2457="1111",TH!O2457="1111")),TH!D2457,""),"")</f>
        <v/>
      </c>
      <c r="B2457" s="60" t="str">
        <f t="shared" si="243"/>
        <v/>
      </c>
      <c r="C2457" s="301"/>
      <c r="D2457" s="301"/>
      <c r="E2457" s="301"/>
      <c r="F2457" s="1261"/>
      <c r="G2457" s="968"/>
      <c r="H2457" s="321"/>
      <c r="I2457" s="385"/>
      <c r="J2457" s="969"/>
      <c r="K2457" s="385"/>
      <c r="L2457" s="392"/>
      <c r="M2457" s="970"/>
      <c r="N2457" s="304"/>
      <c r="O2457" s="304"/>
      <c r="P2457" s="79" t="str">
        <f>IF(AND('331-CT'!$E$7=TH!H2457,OR(N2457="331",O2457="331")),"x","")</f>
        <v/>
      </c>
      <c r="Q2457" s="79" t="str">
        <f>IF(AND(B2457='111'!$L$11,OR($N2457=$Q$7,$O2457=$Q$7)),"x","")</f>
        <v/>
      </c>
      <c r="R2457" s="79" t="str">
        <f>IF(AND($N2457=$Q$7,$B2457&lt;'111'!$L$11),"x","")</f>
        <v/>
      </c>
      <c r="S2457" s="79" t="str">
        <f>IF(AND($O2457=$Q$7,$B2457&lt;'111'!$L$11),"x","")</f>
        <v/>
      </c>
      <c r="T2457" s="79" t="str">
        <f>IF(ISERROR(FIND('112'!$M$9,G2457,1)),"",IF((AND(FIND('112'!$M$9,G2457,1)&gt;=1,B2457='112'!$K$9,OR($N2457='112'!$I$6,$O2457='112'!$I$6))),"x",""))</f>
        <v/>
      </c>
      <c r="U2457" s="79" t="str">
        <f>IF(ISERROR(FIND('112'!$M$9,G2457,1)),"",IF((AND(LEFT(G2457,2)=LEFT('112'!$M$9,2),B2457&lt;'112'!$K$9,$N2457='112'!$I$6)),"x",""))</f>
        <v/>
      </c>
      <c r="V2457" s="79" t="str">
        <f>IF(ISERROR(FIND('112'!$M$9,G2457,1)),"",IF((AND(RIGHT(G2457,2)=RIGHT('112'!$M$9,2),B2457&lt;'112'!$K$9,$O2457='112'!$I$6)),"x",""))</f>
        <v/>
      </c>
      <c r="W2457" s="79" t="str">
        <f>IF(AND('341-CT'!$H$9=H2457,OR(LEFT(N2457,3)=$W$7,LEFT(O2457,3)=$W$7)),"x","")</f>
        <v/>
      </c>
      <c r="X2457" s="79" t="str">
        <f>IF(OR(TH!N2457=TH!$X$7,O2457=TH!$X$7),"x","")</f>
        <v/>
      </c>
      <c r="Y2457" s="79" t="str">
        <f>IF(AND(OR(N2457="131",O2457="131"),H2457='131-CT'!$H$9),"x","")</f>
        <v/>
      </c>
      <c r="Z2457" s="79"/>
      <c r="AA2457" s="79" t="str">
        <f>IF(AND(MONTH(E2457)='IN-NX'!$J$5,'IN-NX'!$D$7=D2457),"x","")</f>
        <v/>
      </c>
      <c r="AB2457" s="79" t="str">
        <f>IF(AND(OR(LEFT(TH!N2457,2)="15",LEFT(TH!O2457,2)="15"),LEFT(TH!O2457,3)&lt;&gt;"111",'152-CT'!$J$8=TH!F2457),"x","")</f>
        <v/>
      </c>
      <c r="AC2457" s="79" t="str">
        <f>IF(AND(OR(LEFT(TH!N2457,2)="15",LEFT(TH!O2457,2)="15"),TK!$E$7=TH!F2457),"x","")</f>
        <v/>
      </c>
      <c r="AD2457" s="79" t="str">
        <f>IF(AND(N2457="1521",MONTH(C2457)='BK-NL'!$M$11),"x","")</f>
        <v/>
      </c>
    </row>
    <row r="2458" spans="1:30" ht="16.5" customHeight="1">
      <c r="A2458" s="318" t="str">
        <f>IF(B2458&lt;&gt;"",IF(AND(B2458='IN-TC'!$S$4,OR(TH!N2458="1111",TH!O2458="1111")),TH!D2458,""),"")</f>
        <v/>
      </c>
      <c r="B2458" s="60" t="str">
        <f t="shared" si="243"/>
        <v/>
      </c>
      <c r="C2458" s="301"/>
      <c r="D2458" s="301"/>
      <c r="E2458" s="301"/>
      <c r="F2458" s="1162"/>
      <c r="G2458" s="968"/>
      <c r="H2458" s="303"/>
      <c r="I2458" s="385"/>
      <c r="J2458" s="969"/>
      <c r="K2458" s="385"/>
      <c r="L2458" s="392"/>
      <c r="M2458" s="970"/>
      <c r="N2458" s="304"/>
      <c r="O2458" s="304"/>
      <c r="P2458" s="79" t="str">
        <f>IF(AND('331-CT'!$E$7=TH!H2458,OR(N2458="331",O2458="331")),"x","")</f>
        <v/>
      </c>
      <c r="Q2458" s="79" t="str">
        <f>IF(AND(B2458='111'!$L$11,OR($N2458=$Q$7,$O2458=$Q$7)),"x","")</f>
        <v/>
      </c>
      <c r="R2458" s="79" t="str">
        <f>IF(AND($N2458=$Q$7,$B2458&lt;'111'!$L$11),"x","")</f>
        <v/>
      </c>
      <c r="S2458" s="79" t="str">
        <f>IF(AND($O2458=$Q$7,$B2458&lt;'111'!$L$11),"x","")</f>
        <v/>
      </c>
      <c r="T2458" s="79" t="str">
        <f>IF(ISERROR(FIND('112'!$M$9,G2458,1)),"",IF((AND(FIND('112'!$M$9,G2458,1)&gt;=1,B2458='112'!$K$9,OR($N2458='112'!$I$6,$O2458='112'!$I$6))),"x",""))</f>
        <v/>
      </c>
      <c r="U2458" s="79" t="str">
        <f>IF(ISERROR(FIND('112'!$M$9,G2458,1)),"",IF((AND(LEFT(G2458,2)=LEFT('112'!$M$9,2),B2458&lt;'112'!$K$9,$N2458='112'!$I$6)),"x",""))</f>
        <v/>
      </c>
      <c r="V2458" s="79" t="str">
        <f>IF(ISERROR(FIND('112'!$M$9,G2458,1)),"",IF((AND(RIGHT(G2458,2)=RIGHT('112'!$M$9,2),B2458&lt;'112'!$K$9,$O2458='112'!$I$6)),"x",""))</f>
        <v/>
      </c>
      <c r="W2458" s="79" t="str">
        <f>IF(AND('341-CT'!$H$9=H2458,OR(LEFT(N2458,3)=$W$7,LEFT(O2458,3)=$W$7)),"x","")</f>
        <v/>
      </c>
      <c r="X2458" s="79" t="str">
        <f>IF(OR(TH!N2458=TH!$X$7,O2458=TH!$X$7),"x","")</f>
        <v/>
      </c>
      <c r="Y2458" s="79" t="str">
        <f>IF(AND(OR(N2458="131",O2458="131"),H2458='131-CT'!$H$9),"x","")</f>
        <v/>
      </c>
      <c r="Z2458" s="79"/>
      <c r="AA2458" s="79" t="str">
        <f>IF(AND(MONTH(E2458)='IN-NX'!$J$5,'IN-NX'!$D$7=D2458),"x","")</f>
        <v/>
      </c>
      <c r="AB2458" s="79" t="str">
        <f>IF(AND(OR(LEFT(TH!N2458,2)="15",LEFT(TH!O2458,2)="15"),LEFT(TH!O2458,3)&lt;&gt;"111",'152-CT'!$J$8=TH!F2458),"x","")</f>
        <v/>
      </c>
      <c r="AC2458" s="79" t="str">
        <f>IF(AND(OR(LEFT(TH!N2458,2)="15",LEFT(TH!O2458,2)="15"),TK!$E$7=TH!F2458),"x","")</f>
        <v/>
      </c>
      <c r="AD2458" s="79" t="str">
        <f>IF(AND(N2458="1521",MONTH(C2458)='BK-NL'!$M$11),"x","")</f>
        <v/>
      </c>
    </row>
    <row r="2459" spans="1:30" ht="16.5" customHeight="1">
      <c r="A2459" s="318" t="str">
        <f>IF(B2459&lt;&gt;"",IF(AND(B2459='IN-TC'!$S$4,OR(TH!N2459="1111",TH!O2459="1111")),TH!D2459,""),"")</f>
        <v/>
      </c>
      <c r="B2459" s="60" t="str">
        <f t="shared" si="243"/>
        <v/>
      </c>
      <c r="C2459" s="301"/>
      <c r="D2459" s="301"/>
      <c r="E2459" s="301"/>
      <c r="F2459" s="1162"/>
      <c r="G2459" s="968"/>
      <c r="H2459" s="303"/>
      <c r="I2459" s="385"/>
      <c r="J2459" s="969"/>
      <c r="K2459" s="385"/>
      <c r="L2459" s="392"/>
      <c r="M2459" s="970"/>
      <c r="N2459" s="304"/>
      <c r="O2459" s="304"/>
      <c r="P2459" s="79" t="str">
        <f>IF(AND('331-CT'!$E$7=TH!H2459,OR(N2459="331",O2459="331")),"x","")</f>
        <v/>
      </c>
      <c r="Q2459" s="79" t="str">
        <f>IF(AND(B2459='111'!$L$11,OR($N2459=$Q$7,$O2459=$Q$7)),"x","")</f>
        <v/>
      </c>
      <c r="R2459" s="79" t="str">
        <f>IF(AND($N2459=$Q$7,$B2459&lt;'111'!$L$11),"x","")</f>
        <v/>
      </c>
      <c r="S2459" s="79" t="str">
        <f>IF(AND($O2459=$Q$7,$B2459&lt;'111'!$L$11),"x","")</f>
        <v/>
      </c>
      <c r="T2459" s="79" t="str">
        <f>IF(ISERROR(FIND('112'!$M$9,G2459,1)),"",IF((AND(FIND('112'!$M$9,G2459,1)&gt;=1,B2459='112'!$K$9,OR($N2459='112'!$I$6,$O2459='112'!$I$6))),"x",""))</f>
        <v/>
      </c>
      <c r="U2459" s="79" t="str">
        <f>IF(ISERROR(FIND('112'!$M$9,G2459,1)),"",IF((AND(LEFT(G2459,2)=LEFT('112'!$M$9,2),B2459&lt;'112'!$K$9,$N2459='112'!$I$6)),"x",""))</f>
        <v/>
      </c>
      <c r="V2459" s="79" t="str">
        <f>IF(ISERROR(FIND('112'!$M$9,G2459,1)),"",IF((AND(RIGHT(G2459,2)=RIGHT('112'!$M$9,2),B2459&lt;'112'!$K$9,$O2459='112'!$I$6)),"x",""))</f>
        <v/>
      </c>
      <c r="W2459" s="79" t="str">
        <f>IF(AND('341-CT'!$H$9=H2459,OR(LEFT(N2459,3)=$W$7,LEFT(O2459,3)=$W$7)),"x","")</f>
        <v/>
      </c>
      <c r="X2459" s="79" t="str">
        <f>IF(OR(TH!N2459=TH!$X$7,O2459=TH!$X$7),"x","")</f>
        <v/>
      </c>
      <c r="Y2459" s="79" t="str">
        <f>IF(AND(OR(N2459="131",O2459="131"),H2459='131-CT'!$H$9),"x","")</f>
        <v/>
      </c>
      <c r="Z2459" s="79"/>
      <c r="AA2459" s="79" t="str">
        <f>IF(AND(MONTH(E2459)='IN-NX'!$J$5,'IN-NX'!$D$7=D2459),"x","")</f>
        <v/>
      </c>
      <c r="AB2459" s="79" t="str">
        <f>IF(AND(OR(LEFT(TH!N2459,2)="15",LEFT(TH!O2459,2)="15"),LEFT(TH!O2459,3)&lt;&gt;"111",'152-CT'!$J$8=TH!F2459),"x","")</f>
        <v/>
      </c>
      <c r="AC2459" s="79" t="str">
        <f>IF(AND(OR(LEFT(TH!N2459,2)="15",LEFT(TH!O2459,2)="15"),TK!$E$7=TH!F2459),"x","")</f>
        <v/>
      </c>
      <c r="AD2459" s="79" t="str">
        <f>IF(AND(N2459="1521",MONTH(C2459)='BK-NL'!$M$11),"x","")</f>
        <v/>
      </c>
    </row>
    <row r="2460" spans="1:30" ht="16.5" customHeight="1">
      <c r="A2460" s="318" t="str">
        <f>IF(B2460&lt;&gt;"",IF(AND(B2460='IN-TC'!$S$4,OR(TH!N2460="1111",TH!O2460="1111")),TH!D2460,""),"")</f>
        <v/>
      </c>
      <c r="B2460" s="60" t="str">
        <f t="shared" si="243"/>
        <v/>
      </c>
      <c r="C2460" s="301"/>
      <c r="D2460" s="301"/>
      <c r="E2460" s="301"/>
      <c r="F2460" s="1162"/>
      <c r="G2460" s="968"/>
      <c r="H2460" s="303"/>
      <c r="I2460" s="385"/>
      <c r="J2460" s="969"/>
      <c r="K2460" s="385"/>
      <c r="L2460" s="392"/>
      <c r="M2460" s="970"/>
      <c r="N2460" s="304"/>
      <c r="O2460" s="304"/>
      <c r="P2460" s="79" t="str">
        <f>IF(AND('331-CT'!$E$7=TH!H2460,OR(N2460="331",O2460="331")),"x","")</f>
        <v/>
      </c>
      <c r="Q2460" s="79" t="str">
        <f>IF(AND(B2460='111'!$L$11,OR($N2460=$Q$7,$O2460=$Q$7)),"x","")</f>
        <v/>
      </c>
      <c r="R2460" s="79" t="str">
        <f>IF(AND($N2460=$Q$7,$B2460&lt;'111'!$L$11),"x","")</f>
        <v/>
      </c>
      <c r="S2460" s="79" t="str">
        <f>IF(AND($O2460=$Q$7,$B2460&lt;'111'!$L$11),"x","")</f>
        <v/>
      </c>
      <c r="T2460" s="79" t="str">
        <f>IF(ISERROR(FIND('112'!$M$9,G2460,1)),"",IF((AND(FIND('112'!$M$9,G2460,1)&gt;=1,B2460='112'!$K$9,OR($N2460='112'!$I$6,$O2460='112'!$I$6))),"x",""))</f>
        <v/>
      </c>
      <c r="U2460" s="79" t="str">
        <f>IF(ISERROR(FIND('112'!$M$9,G2460,1)),"",IF((AND(LEFT(G2460,2)=LEFT('112'!$M$9,2),B2460&lt;'112'!$K$9,$N2460='112'!$I$6)),"x",""))</f>
        <v/>
      </c>
      <c r="V2460" s="79" t="str">
        <f>IF(ISERROR(FIND('112'!$M$9,G2460,1)),"",IF((AND(RIGHT(G2460,2)=RIGHT('112'!$M$9,2),B2460&lt;'112'!$K$9,$O2460='112'!$I$6)),"x",""))</f>
        <v/>
      </c>
      <c r="W2460" s="79" t="str">
        <f>IF(AND('341-CT'!$H$9=H2460,OR(LEFT(N2460,3)=$W$7,LEFT(O2460,3)=$W$7)),"x","")</f>
        <v/>
      </c>
      <c r="X2460" s="79" t="str">
        <f>IF(OR(TH!N2460=TH!$X$7,O2460=TH!$X$7),"x","")</f>
        <v/>
      </c>
      <c r="Y2460" s="79" t="str">
        <f>IF(AND(OR(N2460="131",O2460="131"),H2460='131-CT'!$H$9),"x","")</f>
        <v/>
      </c>
      <c r="Z2460" s="79"/>
      <c r="AA2460" s="79" t="str">
        <f>IF(AND(MONTH(E2460)='IN-NX'!$J$5,'IN-NX'!$D$7=D2460),"x","")</f>
        <v/>
      </c>
      <c r="AB2460" s="79" t="str">
        <f>IF(AND(OR(LEFT(TH!N2460,2)="15",LEFT(TH!O2460,2)="15"),LEFT(TH!O2460,3)&lt;&gt;"111",'152-CT'!$J$8=TH!F2460),"x","")</f>
        <v/>
      </c>
      <c r="AC2460" s="79" t="str">
        <f>IF(AND(OR(LEFT(TH!N2460,2)="15",LEFT(TH!O2460,2)="15"),TK!$E$7=TH!F2460),"x","")</f>
        <v/>
      </c>
      <c r="AD2460" s="79" t="str">
        <f>IF(AND(N2460="1521",MONTH(C2460)='BK-NL'!$M$11),"x","")</f>
        <v/>
      </c>
    </row>
    <row r="2461" spans="1:30" ht="16.5" customHeight="1">
      <c r="A2461" s="318" t="str">
        <f>IF(B2461&lt;&gt;"",IF(AND(B2461='IN-TC'!$S$4,OR(TH!N2461="1111",TH!O2461="1111")),TH!D2461,""),"")</f>
        <v/>
      </c>
      <c r="B2461" s="60" t="str">
        <f t="shared" si="243"/>
        <v/>
      </c>
      <c r="C2461" s="301"/>
      <c r="D2461" s="301"/>
      <c r="E2461" s="301"/>
      <c r="F2461" s="1261"/>
      <c r="G2461" s="968"/>
      <c r="H2461" s="321"/>
      <c r="I2461" s="385"/>
      <c r="J2461" s="969"/>
      <c r="K2461" s="385"/>
      <c r="L2461" s="392"/>
      <c r="M2461" s="970"/>
      <c r="N2461" s="304"/>
      <c r="O2461" s="304"/>
      <c r="P2461" s="79" t="str">
        <f>IF(AND('331-CT'!$E$7=TH!H2461,OR(N2461="331",O2461="331")),"x","")</f>
        <v/>
      </c>
      <c r="Q2461" s="79" t="str">
        <f>IF(AND(B2461='111'!$L$11,OR($N2461=$Q$7,$O2461=$Q$7)),"x","")</f>
        <v/>
      </c>
      <c r="R2461" s="79" t="str">
        <f>IF(AND($N2461=$Q$7,$B2461&lt;'111'!$L$11),"x","")</f>
        <v/>
      </c>
      <c r="S2461" s="79" t="str">
        <f>IF(AND($O2461=$Q$7,$B2461&lt;'111'!$L$11),"x","")</f>
        <v/>
      </c>
      <c r="T2461" s="79" t="str">
        <f>IF(ISERROR(FIND('112'!$M$9,G2461,1)),"",IF((AND(FIND('112'!$M$9,G2461,1)&gt;=1,B2461='112'!$K$9,OR($N2461='112'!$I$6,$O2461='112'!$I$6))),"x",""))</f>
        <v/>
      </c>
      <c r="U2461" s="79" t="str">
        <f>IF(ISERROR(FIND('112'!$M$9,G2461,1)),"",IF((AND(LEFT(G2461,2)=LEFT('112'!$M$9,2),B2461&lt;'112'!$K$9,$N2461='112'!$I$6)),"x",""))</f>
        <v/>
      </c>
      <c r="V2461" s="79" t="str">
        <f>IF(ISERROR(FIND('112'!$M$9,G2461,1)),"",IF((AND(RIGHT(G2461,2)=RIGHT('112'!$M$9,2),B2461&lt;'112'!$K$9,$O2461='112'!$I$6)),"x",""))</f>
        <v/>
      </c>
      <c r="W2461" s="79" t="str">
        <f>IF(AND('341-CT'!$H$9=H2461,OR(LEFT(N2461,3)=$W$7,LEFT(O2461,3)=$W$7)),"x","")</f>
        <v/>
      </c>
      <c r="X2461" s="79" t="str">
        <f>IF(OR(TH!N2461=TH!$X$7,O2461=TH!$X$7),"x","")</f>
        <v/>
      </c>
      <c r="Y2461" s="79" t="str">
        <f>IF(AND(OR(N2461="131",O2461="131"),H2461='131-CT'!$H$9),"x","")</f>
        <v/>
      </c>
      <c r="Z2461" s="79"/>
      <c r="AA2461" s="79" t="str">
        <f>IF(AND(MONTH(E2461)='IN-NX'!$J$5,'IN-NX'!$D$7=D2461),"x","")</f>
        <v/>
      </c>
      <c r="AB2461" s="79" t="str">
        <f>IF(AND(OR(LEFT(TH!N2461,2)="15",LEFT(TH!O2461,2)="15"),LEFT(TH!O2461,3)&lt;&gt;"111",'152-CT'!$J$8=TH!F2461),"x","")</f>
        <v/>
      </c>
      <c r="AC2461" s="79" t="str">
        <f>IF(AND(OR(LEFT(TH!N2461,2)="15",LEFT(TH!O2461,2)="15"),TK!$E$7=TH!F2461),"x","")</f>
        <v/>
      </c>
      <c r="AD2461" s="79" t="str">
        <f>IF(AND(N2461="1521",MONTH(C2461)='BK-NL'!$M$11),"x","")</f>
        <v/>
      </c>
    </row>
    <row r="2462" spans="1:30" ht="16.5" customHeight="1">
      <c r="A2462" s="318" t="str">
        <f>IF(B2462&lt;&gt;"",IF(AND(B2462='IN-TC'!$S$4,OR(TH!N2462="1111",TH!O2462="1111")),TH!D2462,""),"")</f>
        <v/>
      </c>
      <c r="B2462" s="60" t="str">
        <f t="shared" si="243"/>
        <v/>
      </c>
      <c r="C2462" s="301"/>
      <c r="D2462" s="301"/>
      <c r="E2462" s="301"/>
      <c r="F2462" s="1261"/>
      <c r="G2462" s="968"/>
      <c r="H2462" s="321"/>
      <c r="I2462" s="385"/>
      <c r="J2462" s="969"/>
      <c r="K2462" s="385"/>
      <c r="L2462" s="392"/>
      <c r="M2462" s="970"/>
      <c r="N2462" s="304"/>
      <c r="O2462" s="304"/>
      <c r="P2462" s="79" t="str">
        <f>IF(AND('331-CT'!$E$7=TH!H2462,OR(N2462="331",O2462="331")),"x","")</f>
        <v/>
      </c>
      <c r="Q2462" s="79" t="str">
        <f>IF(AND(B2462='111'!$L$11,OR($N2462=$Q$7,$O2462=$Q$7)),"x","")</f>
        <v/>
      </c>
      <c r="R2462" s="79" t="str">
        <f>IF(AND($N2462=$Q$7,$B2462&lt;'111'!$L$11),"x","")</f>
        <v/>
      </c>
      <c r="S2462" s="79" t="str">
        <f>IF(AND($O2462=$Q$7,$B2462&lt;'111'!$L$11),"x","")</f>
        <v/>
      </c>
      <c r="T2462" s="79" t="str">
        <f>IF(ISERROR(FIND('112'!$M$9,G2462,1)),"",IF((AND(FIND('112'!$M$9,G2462,1)&gt;=1,B2462='112'!$K$9,OR($N2462='112'!$I$6,$O2462='112'!$I$6))),"x",""))</f>
        <v/>
      </c>
      <c r="U2462" s="79" t="str">
        <f>IF(ISERROR(FIND('112'!$M$9,G2462,1)),"",IF((AND(LEFT(G2462,2)=LEFT('112'!$M$9,2),B2462&lt;'112'!$K$9,$N2462='112'!$I$6)),"x",""))</f>
        <v/>
      </c>
      <c r="V2462" s="79" t="str">
        <f>IF(ISERROR(FIND('112'!$M$9,G2462,1)),"",IF((AND(RIGHT(G2462,2)=RIGHT('112'!$M$9,2),B2462&lt;'112'!$K$9,$O2462='112'!$I$6)),"x",""))</f>
        <v/>
      </c>
      <c r="W2462" s="79" t="str">
        <f>IF(AND('341-CT'!$H$9=H2462,OR(LEFT(N2462,3)=$W$7,LEFT(O2462,3)=$W$7)),"x","")</f>
        <v/>
      </c>
      <c r="X2462" s="79" t="str">
        <f>IF(OR(TH!N2462=TH!$X$7,O2462=TH!$X$7),"x","")</f>
        <v/>
      </c>
      <c r="Y2462" s="79" t="str">
        <f>IF(AND(OR(N2462="131",O2462="131"),H2462='131-CT'!$H$9),"x","")</f>
        <v/>
      </c>
      <c r="Z2462" s="79"/>
      <c r="AA2462" s="79" t="str">
        <f>IF(AND(MONTH(E2462)='IN-NX'!$J$5,'IN-NX'!$D$7=D2462),"x","")</f>
        <v/>
      </c>
      <c r="AB2462" s="79" t="str">
        <f>IF(AND(OR(LEFT(TH!N2462,2)="15",LEFT(TH!O2462,2)="15"),LEFT(TH!O2462,3)&lt;&gt;"111",'152-CT'!$J$8=TH!F2462),"x","")</f>
        <v/>
      </c>
      <c r="AC2462" s="79" t="str">
        <f>IF(AND(OR(LEFT(TH!N2462,2)="15",LEFT(TH!O2462,2)="15"),TK!$E$7=TH!F2462),"x","")</f>
        <v/>
      </c>
      <c r="AD2462" s="79" t="str">
        <f>IF(AND(N2462="1521",MONTH(C2462)='BK-NL'!$M$11),"x","")</f>
        <v/>
      </c>
    </row>
    <row r="2463" spans="1:30" ht="16.5" customHeight="1">
      <c r="A2463" s="318" t="str">
        <f>IF(B2463&lt;&gt;"",IF(AND(B2463='IN-TC'!$S$4,OR(TH!N2463="1111",TH!O2463="1111")),TH!D2463,""),"")</f>
        <v/>
      </c>
      <c r="B2463" s="60" t="str">
        <f t="shared" si="243"/>
        <v/>
      </c>
      <c r="C2463" s="301"/>
      <c r="D2463" s="301"/>
      <c r="E2463" s="301"/>
      <c r="F2463" s="1261"/>
      <c r="G2463" s="968"/>
      <c r="H2463" s="321"/>
      <c r="I2463" s="385"/>
      <c r="J2463" s="969"/>
      <c r="K2463" s="385"/>
      <c r="L2463" s="392"/>
      <c r="M2463" s="970"/>
      <c r="N2463" s="304"/>
      <c r="O2463" s="304"/>
      <c r="P2463" s="79" t="str">
        <f>IF(AND('331-CT'!$E$7=TH!H2463,OR(N2463="331",O2463="331")),"x","")</f>
        <v/>
      </c>
      <c r="Q2463" s="79" t="str">
        <f>IF(AND(B2463='111'!$L$11,OR($N2463=$Q$7,$O2463=$Q$7)),"x","")</f>
        <v/>
      </c>
      <c r="R2463" s="79" t="str">
        <f>IF(AND($N2463=$Q$7,$B2463&lt;'111'!$L$11),"x","")</f>
        <v/>
      </c>
      <c r="S2463" s="79" t="str">
        <f>IF(AND($O2463=$Q$7,$B2463&lt;'111'!$L$11),"x","")</f>
        <v/>
      </c>
      <c r="T2463" s="79" t="str">
        <f>IF(ISERROR(FIND('112'!$M$9,G2463,1)),"",IF((AND(FIND('112'!$M$9,G2463,1)&gt;=1,B2463='112'!$K$9,OR($N2463='112'!$I$6,$O2463='112'!$I$6))),"x",""))</f>
        <v/>
      </c>
      <c r="U2463" s="79" t="str">
        <f>IF(ISERROR(FIND('112'!$M$9,G2463,1)),"",IF((AND(LEFT(G2463,2)=LEFT('112'!$M$9,2),B2463&lt;'112'!$K$9,$N2463='112'!$I$6)),"x",""))</f>
        <v/>
      </c>
      <c r="V2463" s="79" t="str">
        <f>IF(ISERROR(FIND('112'!$M$9,G2463,1)),"",IF((AND(RIGHT(G2463,2)=RIGHT('112'!$M$9,2),B2463&lt;'112'!$K$9,$O2463='112'!$I$6)),"x",""))</f>
        <v/>
      </c>
      <c r="W2463" s="79" t="str">
        <f>IF(AND('341-CT'!$H$9=H2463,OR(LEFT(N2463,3)=$W$7,LEFT(O2463,3)=$W$7)),"x","")</f>
        <v/>
      </c>
      <c r="X2463" s="79" t="str">
        <f>IF(OR(TH!N2463=TH!$X$7,O2463=TH!$X$7),"x","")</f>
        <v/>
      </c>
      <c r="Y2463" s="79" t="str">
        <f>IF(AND(OR(N2463="131",O2463="131"),H2463='131-CT'!$H$9),"x","")</f>
        <v/>
      </c>
      <c r="Z2463" s="79"/>
      <c r="AA2463" s="79" t="str">
        <f>IF(AND(MONTH(E2463)='IN-NX'!$J$5,'IN-NX'!$D$7=D2463),"x","")</f>
        <v/>
      </c>
      <c r="AB2463" s="79" t="str">
        <f>IF(AND(OR(LEFT(TH!N2463,2)="15",LEFT(TH!O2463,2)="15"),LEFT(TH!O2463,3)&lt;&gt;"111",'152-CT'!$J$8=TH!F2463),"x","")</f>
        <v/>
      </c>
      <c r="AC2463" s="79" t="str">
        <f>IF(AND(OR(LEFT(TH!N2463,2)="15",LEFT(TH!O2463,2)="15"),TK!$E$7=TH!F2463),"x","")</f>
        <v/>
      </c>
      <c r="AD2463" s="79" t="str">
        <f>IF(AND(N2463="1521",MONTH(C2463)='BK-NL'!$M$11),"x","")</f>
        <v/>
      </c>
    </row>
    <row r="2464" spans="1:30" ht="16.5" customHeight="1">
      <c r="A2464" s="318" t="str">
        <f>IF(B2464&lt;&gt;"",IF(AND(B2464='IN-TC'!$S$4,OR(TH!N2464="1111",TH!O2464="1111")),TH!D2464,""),"")</f>
        <v/>
      </c>
      <c r="B2464" s="60" t="str">
        <f t="shared" si="243"/>
        <v/>
      </c>
      <c r="C2464" s="301"/>
      <c r="D2464" s="301"/>
      <c r="E2464" s="301"/>
      <c r="F2464" s="1261"/>
      <c r="G2464" s="968"/>
      <c r="H2464" s="321"/>
      <c r="I2464" s="385"/>
      <c r="J2464" s="969"/>
      <c r="K2464" s="385"/>
      <c r="L2464" s="392"/>
      <c r="M2464" s="970"/>
      <c r="N2464" s="304"/>
      <c r="O2464" s="304"/>
      <c r="P2464" s="79" t="str">
        <f>IF(AND('331-CT'!$E$7=TH!H2464,OR(N2464="331",O2464="331")),"x","")</f>
        <v/>
      </c>
      <c r="Q2464" s="79" t="str">
        <f>IF(AND(B2464='111'!$L$11,OR($N2464=$Q$7,$O2464=$Q$7)),"x","")</f>
        <v/>
      </c>
      <c r="R2464" s="79" t="str">
        <f>IF(AND($N2464=$Q$7,$B2464&lt;'111'!$L$11),"x","")</f>
        <v/>
      </c>
      <c r="S2464" s="79" t="str">
        <f>IF(AND($O2464=$Q$7,$B2464&lt;'111'!$L$11),"x","")</f>
        <v/>
      </c>
      <c r="T2464" s="79" t="str">
        <f>IF(ISERROR(FIND('112'!$M$9,G2464,1)),"",IF((AND(FIND('112'!$M$9,G2464,1)&gt;=1,B2464='112'!$K$9,OR($N2464='112'!$I$6,$O2464='112'!$I$6))),"x",""))</f>
        <v/>
      </c>
      <c r="U2464" s="79" t="str">
        <f>IF(ISERROR(FIND('112'!$M$9,G2464,1)),"",IF((AND(LEFT(G2464,2)=LEFT('112'!$M$9,2),B2464&lt;'112'!$K$9,$N2464='112'!$I$6)),"x",""))</f>
        <v/>
      </c>
      <c r="V2464" s="79" t="str">
        <f>IF(ISERROR(FIND('112'!$M$9,G2464,1)),"",IF((AND(RIGHT(G2464,2)=RIGHT('112'!$M$9,2),B2464&lt;'112'!$K$9,$O2464='112'!$I$6)),"x",""))</f>
        <v/>
      </c>
      <c r="W2464" s="79" t="str">
        <f>IF(AND('341-CT'!$H$9=H2464,OR(LEFT(N2464,3)=$W$7,LEFT(O2464,3)=$W$7)),"x","")</f>
        <v/>
      </c>
      <c r="X2464" s="79" t="str">
        <f>IF(OR(TH!N2464=TH!$X$7,O2464=TH!$X$7),"x","")</f>
        <v/>
      </c>
      <c r="Y2464" s="79" t="str">
        <f>IF(AND(OR(N2464="131",O2464="131"),H2464='131-CT'!$H$9),"x","")</f>
        <v/>
      </c>
      <c r="Z2464" s="79"/>
      <c r="AA2464" s="79" t="str">
        <f>IF(AND(MONTH(E2464)='IN-NX'!$J$5,'IN-NX'!$D$7=D2464),"x","")</f>
        <v/>
      </c>
      <c r="AB2464" s="79" t="str">
        <f>IF(AND(OR(LEFT(TH!N2464,2)="15",LEFT(TH!O2464,2)="15"),LEFT(TH!O2464,3)&lt;&gt;"111",'152-CT'!$J$8=TH!F2464),"x","")</f>
        <v/>
      </c>
      <c r="AC2464" s="79" t="str">
        <f>IF(AND(OR(LEFT(TH!N2464,2)="15",LEFT(TH!O2464,2)="15"),TK!$E$7=TH!F2464),"x","")</f>
        <v/>
      </c>
      <c r="AD2464" s="79" t="str">
        <f>IF(AND(N2464="1521",MONTH(C2464)='BK-NL'!$M$11),"x","")</f>
        <v/>
      </c>
    </row>
    <row r="2465" spans="1:30" ht="16.5" customHeight="1">
      <c r="A2465" s="318" t="str">
        <f>IF(B2465&lt;&gt;"",IF(AND(B2465='IN-TC'!$S$4,OR(TH!N2465="1111",TH!O2465="1111")),TH!D2465,""),"")</f>
        <v/>
      </c>
      <c r="B2465" s="60" t="str">
        <f t="shared" si="243"/>
        <v/>
      </c>
      <c r="C2465" s="301"/>
      <c r="D2465" s="301"/>
      <c r="E2465" s="301"/>
      <c r="F2465" s="1261"/>
      <c r="G2465" s="968"/>
      <c r="H2465" s="321"/>
      <c r="I2465" s="385"/>
      <c r="J2465" s="969"/>
      <c r="K2465" s="385"/>
      <c r="L2465" s="392"/>
      <c r="M2465" s="970"/>
      <c r="N2465" s="304"/>
      <c r="O2465" s="304"/>
      <c r="P2465" s="79" t="str">
        <f>IF(AND('331-CT'!$E$7=TH!H2465,OR(N2465="331",O2465="331")),"x","")</f>
        <v/>
      </c>
      <c r="Q2465" s="79" t="str">
        <f>IF(AND(B2465='111'!$L$11,OR($N2465=$Q$7,$O2465=$Q$7)),"x","")</f>
        <v/>
      </c>
      <c r="R2465" s="79" t="str">
        <f>IF(AND($N2465=$Q$7,$B2465&lt;'111'!$L$11),"x","")</f>
        <v/>
      </c>
      <c r="S2465" s="79" t="str">
        <f>IF(AND($O2465=$Q$7,$B2465&lt;'111'!$L$11),"x","")</f>
        <v/>
      </c>
      <c r="T2465" s="79" t="str">
        <f>IF(ISERROR(FIND('112'!$M$9,G2465,1)),"",IF((AND(FIND('112'!$M$9,G2465,1)&gt;=1,B2465='112'!$K$9,OR($N2465='112'!$I$6,$O2465='112'!$I$6))),"x",""))</f>
        <v/>
      </c>
      <c r="U2465" s="79" t="str">
        <f>IF(ISERROR(FIND('112'!$M$9,G2465,1)),"",IF((AND(LEFT(G2465,2)=LEFT('112'!$M$9,2),B2465&lt;'112'!$K$9,$N2465='112'!$I$6)),"x",""))</f>
        <v/>
      </c>
      <c r="V2465" s="79" t="str">
        <f>IF(ISERROR(FIND('112'!$M$9,G2465,1)),"",IF((AND(RIGHT(G2465,2)=RIGHT('112'!$M$9,2),B2465&lt;'112'!$K$9,$O2465='112'!$I$6)),"x",""))</f>
        <v/>
      </c>
      <c r="W2465" s="79" t="str">
        <f>IF(AND('341-CT'!$H$9=H2465,OR(LEFT(N2465,3)=$W$7,LEFT(O2465,3)=$W$7)),"x","")</f>
        <v/>
      </c>
      <c r="X2465" s="79" t="str">
        <f>IF(OR(TH!N2465=TH!$X$7,O2465=TH!$X$7),"x","")</f>
        <v/>
      </c>
      <c r="Y2465" s="79" t="str">
        <f>IF(AND(OR(N2465="131",O2465="131"),H2465='131-CT'!$H$9),"x","")</f>
        <v/>
      </c>
      <c r="Z2465" s="79"/>
      <c r="AA2465" s="79" t="str">
        <f>IF(AND(MONTH(E2465)='IN-NX'!$J$5,'IN-NX'!$D$7=D2465),"x","")</f>
        <v/>
      </c>
      <c r="AB2465" s="79" t="str">
        <f>IF(AND(OR(LEFT(TH!N2465,2)="15",LEFT(TH!O2465,2)="15"),LEFT(TH!O2465,3)&lt;&gt;"111",'152-CT'!$J$8=TH!F2465),"x","")</f>
        <v/>
      </c>
      <c r="AC2465" s="79" t="str">
        <f>IF(AND(OR(LEFT(TH!N2465,2)="15",LEFT(TH!O2465,2)="15"),TK!$E$7=TH!F2465),"x","")</f>
        <v/>
      </c>
      <c r="AD2465" s="79" t="str">
        <f>IF(AND(N2465="1521",MONTH(C2465)='BK-NL'!$M$11),"x","")</f>
        <v/>
      </c>
    </row>
    <row r="2466" spans="1:30" ht="16.5" customHeight="1">
      <c r="A2466" s="318" t="str">
        <f>IF(B2466&lt;&gt;"",IF(AND(B2466='IN-TC'!$S$4,OR(TH!N2466="1111",TH!O2466="1111")),TH!D2466,""),"")</f>
        <v/>
      </c>
      <c r="B2466" s="60" t="str">
        <f t="shared" ref="B2466:B2565" si="244">IF(C2466&lt;&gt;"",MONTH(C2466),"")</f>
        <v/>
      </c>
      <c r="C2466" s="301"/>
      <c r="D2466" s="301"/>
      <c r="E2466" s="301"/>
      <c r="F2466" s="392"/>
      <c r="G2466" s="968"/>
      <c r="H2466" s="321"/>
      <c r="I2466" s="385"/>
      <c r="J2466" s="969"/>
      <c r="K2466" s="385"/>
      <c r="L2466" s="392"/>
      <c r="M2466" s="970"/>
      <c r="N2466" s="304"/>
      <c r="O2466" s="304"/>
      <c r="P2466" s="79" t="str">
        <f>IF(AND('331-CT'!$E$7=TH!H2466,OR(N2466="331",O2466="331")),"x","")</f>
        <v/>
      </c>
      <c r="Q2466" s="79" t="str">
        <f>IF(AND(B2466='111'!$L$11,OR($N2466=$Q$7,$O2466=$Q$7)),"x","")</f>
        <v/>
      </c>
      <c r="R2466" s="79" t="str">
        <f>IF(AND($N2466=$Q$7,$B2466&lt;'111'!$L$11),"x","")</f>
        <v/>
      </c>
      <c r="S2466" s="79" t="str">
        <f>IF(AND($O2466=$Q$7,$B2466&lt;'111'!$L$11),"x","")</f>
        <v/>
      </c>
      <c r="T2466" s="79" t="str">
        <f>IF(ISERROR(FIND('112'!$M$9,G2466,1)),"",IF((AND(FIND('112'!$M$9,G2466,1)&gt;=1,B2466='112'!$K$9,OR($N2466='112'!$I$6,$O2466='112'!$I$6))),"x",""))</f>
        <v/>
      </c>
      <c r="U2466" s="79" t="str">
        <f>IF(ISERROR(FIND('112'!$M$9,G2466,1)),"",IF((AND(LEFT(G2466,2)=LEFT('112'!$M$9,2),B2466&lt;'112'!$K$9,$N2466='112'!$I$6)),"x",""))</f>
        <v/>
      </c>
      <c r="V2466" s="79" t="str">
        <f>IF(ISERROR(FIND('112'!$M$9,G2466,1)),"",IF((AND(RIGHT(G2466,2)=RIGHT('112'!$M$9,2),B2466&lt;'112'!$K$9,$O2466='112'!$I$6)),"x",""))</f>
        <v/>
      </c>
      <c r="W2466" s="79" t="str">
        <f>IF(AND('341-CT'!$H$9=H2466,OR(LEFT(N2466,3)=$W$7,LEFT(O2466,3)=$W$7)),"x","")</f>
        <v/>
      </c>
      <c r="X2466" s="79" t="str">
        <f>IF(OR(TH!N2466=TH!$X$7,O2466=TH!$X$7),"x","")</f>
        <v/>
      </c>
      <c r="Y2466" s="79" t="str">
        <f>IF(AND(OR(N2466="131",O2466="131"),H2466='131-CT'!$H$9),"x","")</f>
        <v/>
      </c>
      <c r="Z2466" s="79"/>
      <c r="AA2466" s="79" t="str">
        <f>IF(AND(MONTH(E2466)='IN-NX'!$J$5,'IN-NX'!$D$7=D2466),"x","")</f>
        <v/>
      </c>
      <c r="AB2466" s="79" t="str">
        <f>IF(AND(OR(LEFT(TH!N2466,2)="15",LEFT(TH!O2466,2)="15"),LEFT(TH!O2466,3)&lt;&gt;"111",'152-CT'!$J$8=TH!F2466),"x","")</f>
        <v/>
      </c>
      <c r="AC2466" s="79" t="str">
        <f>IF(AND(OR(LEFT(TH!N2466,2)="15",LEFT(TH!O2466,2)="15"),TK!$E$7=TH!F2466),"x","")</f>
        <v/>
      </c>
      <c r="AD2466" s="79" t="str">
        <f>IF(AND(N2466="1521",MONTH(C2466)='BK-NL'!$M$11),"x","")</f>
        <v/>
      </c>
    </row>
    <row r="2467" spans="1:30" ht="16.5" customHeight="1">
      <c r="A2467" s="318" t="str">
        <f>IF(B2467&lt;&gt;"",IF(AND(B2467='IN-TC'!$S$4,OR(TH!N2467="1111",TH!O2467="1111")),TH!D2467,""),"")</f>
        <v/>
      </c>
      <c r="B2467" s="60" t="str">
        <f t="shared" si="244"/>
        <v/>
      </c>
      <c r="C2467" s="301"/>
      <c r="D2467" s="301"/>
      <c r="E2467" s="301"/>
      <c r="F2467" s="392"/>
      <c r="G2467" s="968"/>
      <c r="H2467" s="321"/>
      <c r="I2467" s="385"/>
      <c r="J2467" s="969"/>
      <c r="K2467" s="385"/>
      <c r="L2467" s="392"/>
      <c r="M2467" s="970"/>
      <c r="N2467" s="304"/>
      <c r="O2467" s="304"/>
      <c r="P2467" s="79" t="str">
        <f>IF(AND('331-CT'!$E$7=TH!H2467,OR(N2467="331",O2467="331")),"x","")</f>
        <v/>
      </c>
      <c r="Q2467" s="79" t="str">
        <f>IF(AND(B2467='111'!$L$11,OR($N2467=$Q$7,$O2467=$Q$7)),"x","")</f>
        <v/>
      </c>
      <c r="R2467" s="79" t="str">
        <f>IF(AND($N2467=$Q$7,$B2467&lt;'111'!$L$11),"x","")</f>
        <v/>
      </c>
      <c r="S2467" s="79" t="str">
        <f>IF(AND($O2467=$Q$7,$B2467&lt;'111'!$L$11),"x","")</f>
        <v/>
      </c>
      <c r="T2467" s="79" t="str">
        <f>IF(ISERROR(FIND('112'!$M$9,G2467,1)),"",IF((AND(FIND('112'!$M$9,G2467,1)&gt;=1,B2467='112'!$K$9,OR($N2467='112'!$I$6,$O2467='112'!$I$6))),"x",""))</f>
        <v/>
      </c>
      <c r="U2467" s="79" t="str">
        <f>IF(ISERROR(FIND('112'!$M$9,G2467,1)),"",IF((AND(LEFT(G2467,2)=LEFT('112'!$M$9,2),B2467&lt;'112'!$K$9,$N2467='112'!$I$6)),"x",""))</f>
        <v/>
      </c>
      <c r="V2467" s="79" t="str">
        <f>IF(ISERROR(FIND('112'!$M$9,G2467,1)),"",IF((AND(RIGHT(G2467,2)=RIGHT('112'!$M$9,2),B2467&lt;'112'!$K$9,$O2467='112'!$I$6)),"x",""))</f>
        <v/>
      </c>
      <c r="W2467" s="79" t="str">
        <f>IF(AND('341-CT'!$H$9=H2467,OR(LEFT(N2467,3)=$W$7,LEFT(O2467,3)=$W$7)),"x","")</f>
        <v/>
      </c>
      <c r="X2467" s="79" t="str">
        <f>IF(OR(TH!N2467=TH!$X$7,O2467=TH!$X$7),"x","")</f>
        <v/>
      </c>
      <c r="Y2467" s="79" t="str">
        <f>IF(AND(OR(N2467="131",O2467="131"),H2467='131-CT'!$H$9),"x","")</f>
        <v/>
      </c>
      <c r="Z2467" s="79"/>
      <c r="AA2467" s="79" t="str">
        <f>IF(AND(MONTH(E2467)='IN-NX'!$J$5,'IN-NX'!$D$7=D2467),"x","")</f>
        <v/>
      </c>
      <c r="AB2467" s="79" t="str">
        <f>IF(AND(OR(LEFT(TH!N2467,2)="15",LEFT(TH!O2467,2)="15"),LEFT(TH!O2467,3)&lt;&gt;"111",'152-CT'!$J$8=TH!F2467),"x","")</f>
        <v/>
      </c>
      <c r="AC2467" s="79" t="str">
        <f>IF(AND(OR(LEFT(TH!N2467,2)="15",LEFT(TH!O2467,2)="15"),TK!$E$7=TH!F2467),"x","")</f>
        <v/>
      </c>
      <c r="AD2467" s="79" t="str">
        <f>IF(AND(N2467="1521",MONTH(C2467)='BK-NL'!$M$11),"x","")</f>
        <v/>
      </c>
    </row>
    <row r="2468" spans="1:30" ht="16.5" customHeight="1">
      <c r="A2468" s="318" t="str">
        <f>IF(B2468&lt;&gt;"",IF(AND(B2468='IN-TC'!$S$4,OR(TH!N2468="1111",TH!O2468="1111")),TH!D2468,""),"")</f>
        <v/>
      </c>
      <c r="B2468" s="60" t="str">
        <f t="shared" si="244"/>
        <v/>
      </c>
      <c r="C2468" s="301"/>
      <c r="D2468" s="301"/>
      <c r="E2468" s="301"/>
      <c r="F2468" s="392"/>
      <c r="G2468" s="968"/>
      <c r="H2468" s="321"/>
      <c r="I2468" s="385"/>
      <c r="J2468" s="969"/>
      <c r="K2468" s="385"/>
      <c r="L2468" s="392"/>
      <c r="M2468" s="970"/>
      <c r="N2468" s="304"/>
      <c r="O2468" s="304"/>
      <c r="P2468" s="79" t="str">
        <f>IF(AND('331-CT'!$E$7=TH!H2468,OR(N2468="331",O2468="331")),"x","")</f>
        <v/>
      </c>
      <c r="Q2468" s="79" t="str">
        <f>IF(AND(B2468='111'!$L$11,OR($N2468=$Q$7,$O2468=$Q$7)),"x","")</f>
        <v/>
      </c>
      <c r="R2468" s="79" t="str">
        <f>IF(AND($N2468=$Q$7,$B2468&lt;'111'!$L$11),"x","")</f>
        <v/>
      </c>
      <c r="S2468" s="79" t="str">
        <f>IF(AND($O2468=$Q$7,$B2468&lt;'111'!$L$11),"x","")</f>
        <v/>
      </c>
      <c r="T2468" s="79" t="str">
        <f>IF(ISERROR(FIND('112'!$M$9,G2468,1)),"",IF((AND(FIND('112'!$M$9,G2468,1)&gt;=1,B2468='112'!$K$9,OR($N2468='112'!$I$6,$O2468='112'!$I$6))),"x",""))</f>
        <v/>
      </c>
      <c r="U2468" s="79" t="str">
        <f>IF(ISERROR(FIND('112'!$M$9,G2468,1)),"",IF((AND(LEFT(G2468,2)=LEFT('112'!$M$9,2),B2468&lt;'112'!$K$9,$N2468='112'!$I$6)),"x",""))</f>
        <v/>
      </c>
      <c r="V2468" s="79" t="str">
        <f>IF(ISERROR(FIND('112'!$M$9,G2468,1)),"",IF((AND(RIGHT(G2468,2)=RIGHT('112'!$M$9,2),B2468&lt;'112'!$K$9,$O2468='112'!$I$6)),"x",""))</f>
        <v/>
      </c>
      <c r="W2468" s="79" t="str">
        <f>IF(AND('341-CT'!$H$9=H2468,OR(LEFT(N2468,3)=$W$7,LEFT(O2468,3)=$W$7)),"x","")</f>
        <v/>
      </c>
      <c r="X2468" s="79" t="str">
        <f>IF(OR(TH!N2468=TH!$X$7,O2468=TH!$X$7),"x","")</f>
        <v/>
      </c>
      <c r="Y2468" s="79" t="str">
        <f>IF(AND(OR(N2468="131",O2468="131"),H2468='131-CT'!$H$9),"x","")</f>
        <v/>
      </c>
      <c r="Z2468" s="79"/>
      <c r="AA2468" s="79" t="str">
        <f>IF(AND(MONTH(E2468)='IN-NX'!$J$5,'IN-NX'!$D$7=D2468),"x","")</f>
        <v/>
      </c>
      <c r="AB2468" s="79" t="str">
        <f>IF(AND(OR(LEFT(TH!N2468,2)="15",LEFT(TH!O2468,2)="15"),LEFT(TH!O2468,3)&lt;&gt;"111",'152-CT'!$J$8=TH!F2468),"x","")</f>
        <v/>
      </c>
      <c r="AC2468" s="79" t="str">
        <f>IF(AND(OR(LEFT(TH!N2468,2)="15",LEFT(TH!O2468,2)="15"),TK!$E$7=TH!F2468),"x","")</f>
        <v/>
      </c>
      <c r="AD2468" s="79" t="str">
        <f>IF(AND(N2468="1521",MONTH(C2468)='BK-NL'!$M$11),"x","")</f>
        <v/>
      </c>
    </row>
    <row r="2469" spans="1:30" ht="16.5" customHeight="1">
      <c r="A2469" s="318" t="str">
        <f>IF(B2469&lt;&gt;"",IF(AND(B2469='IN-TC'!$S$4,OR(TH!N2469="1111",TH!O2469="1111")),TH!D2469,""),"")</f>
        <v/>
      </c>
      <c r="B2469" s="60" t="str">
        <f t="shared" si="244"/>
        <v/>
      </c>
      <c r="C2469" s="301"/>
      <c r="D2469" s="301"/>
      <c r="E2469" s="301"/>
      <c r="F2469" s="392"/>
      <c r="G2469" s="968"/>
      <c r="H2469" s="321"/>
      <c r="I2469" s="385"/>
      <c r="J2469" s="969"/>
      <c r="K2469" s="385"/>
      <c r="L2469" s="392"/>
      <c r="M2469" s="970"/>
      <c r="N2469" s="304"/>
      <c r="O2469" s="304"/>
      <c r="P2469" s="79" t="str">
        <f>IF(AND('331-CT'!$E$7=TH!H2469,OR(N2469="331",O2469="331")),"x","")</f>
        <v/>
      </c>
      <c r="Q2469" s="79" t="str">
        <f>IF(AND(B2469='111'!$L$11,OR($N2469=$Q$7,$O2469=$Q$7)),"x","")</f>
        <v/>
      </c>
      <c r="R2469" s="79" t="str">
        <f>IF(AND($N2469=$Q$7,$B2469&lt;'111'!$L$11),"x","")</f>
        <v/>
      </c>
      <c r="S2469" s="79" t="str">
        <f>IF(AND($O2469=$Q$7,$B2469&lt;'111'!$L$11),"x","")</f>
        <v/>
      </c>
      <c r="T2469" s="79" t="str">
        <f>IF(ISERROR(FIND('112'!$M$9,G2469,1)),"",IF((AND(FIND('112'!$M$9,G2469,1)&gt;=1,B2469='112'!$K$9,OR($N2469='112'!$I$6,$O2469='112'!$I$6))),"x",""))</f>
        <v/>
      </c>
      <c r="U2469" s="79" t="str">
        <f>IF(ISERROR(FIND('112'!$M$9,G2469,1)),"",IF((AND(LEFT(G2469,2)=LEFT('112'!$M$9,2),B2469&lt;'112'!$K$9,$N2469='112'!$I$6)),"x",""))</f>
        <v/>
      </c>
      <c r="V2469" s="79" t="str">
        <f>IF(ISERROR(FIND('112'!$M$9,G2469,1)),"",IF((AND(RIGHT(G2469,2)=RIGHT('112'!$M$9,2),B2469&lt;'112'!$K$9,$O2469='112'!$I$6)),"x",""))</f>
        <v/>
      </c>
      <c r="W2469" s="79" t="str">
        <f>IF(AND('341-CT'!$H$9=H2469,OR(LEFT(N2469,3)=$W$7,LEFT(O2469,3)=$W$7)),"x","")</f>
        <v/>
      </c>
      <c r="X2469" s="79" t="str">
        <f>IF(OR(TH!N2469=TH!$X$7,O2469=TH!$X$7),"x","")</f>
        <v/>
      </c>
      <c r="Y2469" s="79" t="str">
        <f>IF(AND(OR(N2469="131",O2469="131"),H2469='131-CT'!$H$9),"x","")</f>
        <v/>
      </c>
      <c r="Z2469" s="79"/>
      <c r="AA2469" s="79" t="str">
        <f>IF(AND(MONTH(E2469)='IN-NX'!$J$5,'IN-NX'!$D$7=D2469),"x","")</f>
        <v/>
      </c>
      <c r="AB2469" s="79" t="str">
        <f>IF(AND(OR(LEFT(TH!N2469,2)="15",LEFT(TH!O2469,2)="15"),LEFT(TH!O2469,3)&lt;&gt;"111",'152-CT'!$J$8=TH!F2469),"x","")</f>
        <v/>
      </c>
      <c r="AC2469" s="79" t="str">
        <f>IF(AND(OR(LEFT(TH!N2469,2)="15",LEFT(TH!O2469,2)="15"),TK!$E$7=TH!F2469),"x","")</f>
        <v/>
      </c>
      <c r="AD2469" s="79" t="str">
        <f>IF(AND(N2469="1521",MONTH(C2469)='BK-NL'!$M$11),"x","")</f>
        <v/>
      </c>
    </row>
    <row r="2470" spans="1:30" ht="16.5" customHeight="1">
      <c r="A2470" s="318" t="str">
        <f>IF(B2470&lt;&gt;"",IF(AND(B2470='IN-TC'!$S$4,OR(TH!N2470="1111",TH!O2470="1111")),TH!D2470,""),"")</f>
        <v/>
      </c>
      <c r="B2470" s="60" t="str">
        <f t="shared" si="244"/>
        <v/>
      </c>
      <c r="C2470" s="301"/>
      <c r="D2470" s="301"/>
      <c r="E2470" s="301"/>
      <c r="F2470" s="69"/>
      <c r="G2470" s="968"/>
      <c r="H2470" s="303"/>
      <c r="I2470" s="385"/>
      <c r="J2470" s="969"/>
      <c r="K2470" s="385"/>
      <c r="L2470" s="392"/>
      <c r="M2470" s="970"/>
      <c r="N2470" s="304"/>
      <c r="O2470" s="304"/>
      <c r="P2470" s="79" t="str">
        <f>IF(AND('331-CT'!$E$7=TH!H2470,OR(N2470="331",O2470="331")),"x","")</f>
        <v/>
      </c>
      <c r="Q2470" s="79" t="str">
        <f>IF(AND(B2470='111'!$L$11,OR($N2470=$Q$7,$O2470=$Q$7)),"x","")</f>
        <v/>
      </c>
      <c r="R2470" s="79" t="str">
        <f>IF(AND($N2470=$Q$7,$B2470&lt;'111'!$L$11),"x","")</f>
        <v/>
      </c>
      <c r="S2470" s="79" t="str">
        <f>IF(AND($O2470=$Q$7,$B2470&lt;'111'!$L$11),"x","")</f>
        <v/>
      </c>
      <c r="T2470" s="79" t="str">
        <f>IF(ISERROR(FIND('112'!$M$9,G2470,1)),"",IF((AND(FIND('112'!$M$9,G2470,1)&gt;=1,B2470='112'!$K$9,OR($N2470='112'!$I$6,$O2470='112'!$I$6))),"x",""))</f>
        <v/>
      </c>
      <c r="U2470" s="79" t="str">
        <f>IF(ISERROR(FIND('112'!$M$9,G2470,1)),"",IF((AND(LEFT(G2470,2)=LEFT('112'!$M$9,2),B2470&lt;'112'!$K$9,$N2470='112'!$I$6)),"x",""))</f>
        <v/>
      </c>
      <c r="V2470" s="79" t="str">
        <f>IF(ISERROR(FIND('112'!$M$9,G2470,1)),"",IF((AND(RIGHT(G2470,2)=RIGHT('112'!$M$9,2),B2470&lt;'112'!$K$9,$O2470='112'!$I$6)),"x",""))</f>
        <v/>
      </c>
      <c r="W2470" s="79" t="str">
        <f>IF(AND('341-CT'!$H$9=H2470,OR(LEFT(N2470,3)=$W$7,LEFT(O2470,3)=$W$7)),"x","")</f>
        <v/>
      </c>
      <c r="X2470" s="79" t="str">
        <f>IF(OR(TH!N2470=TH!$X$7,O2470=TH!$X$7),"x","")</f>
        <v/>
      </c>
      <c r="Y2470" s="79" t="str">
        <f>IF(AND(OR(N2470="131",O2470="131"),H2470='131-CT'!$H$9),"x","")</f>
        <v/>
      </c>
      <c r="Z2470" s="79"/>
      <c r="AA2470" s="79" t="str">
        <f>IF(AND(MONTH(E2470)='IN-NX'!$J$5,'IN-NX'!$D$7=D2470),"x","")</f>
        <v/>
      </c>
      <c r="AB2470" s="79" t="str">
        <f>IF(AND(OR(LEFT(TH!N2470,2)="15",LEFT(TH!O2470,2)="15"),LEFT(TH!O2470,3)&lt;&gt;"111",'152-CT'!$J$8=TH!F2470),"x","")</f>
        <v/>
      </c>
      <c r="AC2470" s="79" t="str">
        <f>IF(AND(OR(LEFT(TH!N2470,2)="15",LEFT(TH!O2470,2)="15"),TK!$E$7=TH!F2470),"x","")</f>
        <v/>
      </c>
      <c r="AD2470" s="79" t="str">
        <f>IF(AND(N2470="1521",MONTH(C2470)='BK-NL'!$M$11),"x","")</f>
        <v/>
      </c>
    </row>
    <row r="2471" spans="1:30" ht="16.5" customHeight="1">
      <c r="A2471" s="318" t="str">
        <f>IF(B2471&lt;&gt;"",IF(AND(B2471='IN-TC'!$S$4,OR(TH!N2471="1111",TH!O2471="1111")),TH!D2471,""),"")</f>
        <v/>
      </c>
      <c r="B2471" s="60" t="str">
        <f t="shared" si="244"/>
        <v/>
      </c>
      <c r="C2471" s="301"/>
      <c r="D2471" s="301"/>
      <c r="E2471" s="301"/>
      <c r="F2471" s="69"/>
      <c r="G2471" s="968"/>
      <c r="H2471" s="303"/>
      <c r="I2471" s="385"/>
      <c r="J2471" s="969"/>
      <c r="K2471" s="385"/>
      <c r="L2471" s="392"/>
      <c r="M2471" s="970"/>
      <c r="N2471" s="304"/>
      <c r="O2471" s="304"/>
      <c r="P2471" s="79" t="str">
        <f>IF(AND('331-CT'!$E$7=TH!H2471,OR(N2471="331",O2471="331")),"x","")</f>
        <v/>
      </c>
      <c r="Q2471" s="79" t="str">
        <f>IF(AND(B2471='111'!$L$11,OR($N2471=$Q$7,$O2471=$Q$7)),"x","")</f>
        <v/>
      </c>
      <c r="R2471" s="79" t="str">
        <f>IF(AND($N2471=$Q$7,$B2471&lt;'111'!$L$11),"x","")</f>
        <v/>
      </c>
      <c r="S2471" s="79" t="str">
        <f>IF(AND($O2471=$Q$7,$B2471&lt;'111'!$L$11),"x","")</f>
        <v/>
      </c>
      <c r="T2471" s="79" t="str">
        <f>IF(ISERROR(FIND('112'!$M$9,G2471,1)),"",IF((AND(FIND('112'!$M$9,G2471,1)&gt;=1,B2471='112'!$K$9,OR($N2471='112'!$I$6,$O2471='112'!$I$6))),"x",""))</f>
        <v/>
      </c>
      <c r="U2471" s="79" t="str">
        <f>IF(ISERROR(FIND('112'!$M$9,G2471,1)),"",IF((AND(LEFT(G2471,2)=LEFT('112'!$M$9,2),B2471&lt;'112'!$K$9,$N2471='112'!$I$6)),"x",""))</f>
        <v/>
      </c>
      <c r="V2471" s="79" t="str">
        <f>IF(ISERROR(FIND('112'!$M$9,G2471,1)),"",IF((AND(RIGHT(G2471,2)=RIGHT('112'!$M$9,2),B2471&lt;'112'!$K$9,$O2471='112'!$I$6)),"x",""))</f>
        <v/>
      </c>
      <c r="W2471" s="79" t="str">
        <f>IF(AND('341-CT'!$H$9=H2471,OR(LEFT(N2471,3)=$W$7,LEFT(O2471,3)=$W$7)),"x","")</f>
        <v/>
      </c>
      <c r="X2471" s="79" t="str">
        <f>IF(OR(TH!N2471=TH!$X$7,O2471=TH!$X$7),"x","")</f>
        <v/>
      </c>
      <c r="Y2471" s="79" t="str">
        <f>IF(AND(OR(N2471="131",O2471="131"),H2471='131-CT'!$H$9),"x","")</f>
        <v/>
      </c>
      <c r="Z2471" s="79"/>
      <c r="AA2471" s="79" t="str">
        <f>IF(AND(MONTH(E2471)='IN-NX'!$J$5,'IN-NX'!$D$7=D2471),"x","")</f>
        <v/>
      </c>
      <c r="AB2471" s="79" t="str">
        <f>IF(AND(OR(LEFT(TH!N2471,2)="15",LEFT(TH!O2471,2)="15"),LEFT(TH!O2471,3)&lt;&gt;"111",'152-CT'!$J$8=TH!F2471),"x","")</f>
        <v/>
      </c>
      <c r="AC2471" s="79" t="str">
        <f>IF(AND(OR(LEFT(TH!N2471,2)="15",LEFT(TH!O2471,2)="15"),TK!$E$7=TH!F2471),"x","")</f>
        <v/>
      </c>
      <c r="AD2471" s="79" t="str">
        <f>IF(AND(N2471="1521",MONTH(C2471)='BK-NL'!$M$11),"x","")</f>
        <v/>
      </c>
    </row>
    <row r="2472" spans="1:30" ht="16.5" customHeight="1">
      <c r="A2472" s="318" t="str">
        <f>IF(B2472&lt;&gt;"",IF(AND(B2472='IN-TC'!$S$4,OR(TH!N2472="1111",TH!O2472="1111")),TH!D2472,""),"")</f>
        <v/>
      </c>
      <c r="B2472" s="60" t="str">
        <f t="shared" si="244"/>
        <v/>
      </c>
      <c r="C2472" s="301"/>
      <c r="D2472" s="301"/>
      <c r="E2472" s="301"/>
      <c r="F2472" s="69"/>
      <c r="G2472" s="968"/>
      <c r="H2472" s="303"/>
      <c r="I2472" s="385"/>
      <c r="J2472" s="969"/>
      <c r="K2472" s="385"/>
      <c r="L2472" s="392"/>
      <c r="M2472" s="970"/>
      <c r="N2472" s="304"/>
      <c r="O2472" s="304"/>
      <c r="P2472" s="79" t="str">
        <f>IF(AND('331-CT'!$E$7=TH!H2472,OR(N2472="331",O2472="331")),"x","")</f>
        <v/>
      </c>
      <c r="Q2472" s="79" t="str">
        <f>IF(AND(B2472='111'!$L$11,OR($N2472=$Q$7,$O2472=$Q$7)),"x","")</f>
        <v/>
      </c>
      <c r="R2472" s="79" t="str">
        <f>IF(AND($N2472=$Q$7,$B2472&lt;'111'!$L$11),"x","")</f>
        <v/>
      </c>
      <c r="S2472" s="79" t="str">
        <f>IF(AND($O2472=$Q$7,$B2472&lt;'111'!$L$11),"x","")</f>
        <v/>
      </c>
      <c r="T2472" s="79" t="str">
        <f>IF(ISERROR(FIND('112'!$M$9,G2472,1)),"",IF((AND(FIND('112'!$M$9,G2472,1)&gt;=1,B2472='112'!$K$9,OR($N2472='112'!$I$6,$O2472='112'!$I$6))),"x",""))</f>
        <v/>
      </c>
      <c r="U2472" s="79" t="str">
        <f>IF(ISERROR(FIND('112'!$M$9,G2472,1)),"",IF((AND(LEFT(G2472,2)=LEFT('112'!$M$9,2),B2472&lt;'112'!$K$9,$N2472='112'!$I$6)),"x",""))</f>
        <v/>
      </c>
      <c r="V2472" s="79" t="str">
        <f>IF(ISERROR(FIND('112'!$M$9,G2472,1)),"",IF((AND(RIGHT(G2472,2)=RIGHT('112'!$M$9,2),B2472&lt;'112'!$K$9,$O2472='112'!$I$6)),"x",""))</f>
        <v/>
      </c>
      <c r="W2472" s="79" t="str">
        <f>IF(AND('341-CT'!$H$9=H2472,OR(LEFT(N2472,3)=$W$7,LEFT(O2472,3)=$W$7)),"x","")</f>
        <v/>
      </c>
      <c r="X2472" s="79" t="str">
        <f>IF(OR(TH!N2472=TH!$X$7,O2472=TH!$X$7),"x","")</f>
        <v/>
      </c>
      <c r="Y2472" s="79" t="str">
        <f>IF(AND(OR(N2472="131",O2472="131"),H2472='131-CT'!$H$9),"x","")</f>
        <v/>
      </c>
      <c r="Z2472" s="79"/>
      <c r="AA2472" s="79" t="str">
        <f>IF(AND(MONTH(E2472)='IN-NX'!$J$5,'IN-NX'!$D$7=D2472),"x","")</f>
        <v/>
      </c>
      <c r="AB2472" s="79" t="str">
        <f>IF(AND(OR(LEFT(TH!N2472,2)="15",LEFT(TH!O2472,2)="15"),LEFT(TH!O2472,3)&lt;&gt;"111",'152-CT'!$J$8=TH!F2472),"x","")</f>
        <v/>
      </c>
      <c r="AC2472" s="79" t="str">
        <f>IF(AND(OR(LEFT(TH!N2472,2)="15",LEFT(TH!O2472,2)="15"),TK!$E$7=TH!F2472),"x","")</f>
        <v/>
      </c>
      <c r="AD2472" s="79" t="str">
        <f>IF(AND(N2472="1521",MONTH(C2472)='BK-NL'!$M$11),"x","")</f>
        <v/>
      </c>
    </row>
    <row r="2473" spans="1:30" ht="16.5" customHeight="1">
      <c r="A2473" s="318" t="str">
        <f>IF(B2473&lt;&gt;"",IF(AND(B2473='IN-TC'!$S$4,OR(TH!N2473="1111",TH!O2473="1111")),TH!D2473,""),"")</f>
        <v/>
      </c>
      <c r="B2473" s="60" t="str">
        <f t="shared" si="244"/>
        <v/>
      </c>
      <c r="C2473" s="301"/>
      <c r="D2473" s="301"/>
      <c r="E2473" s="301"/>
      <c r="F2473" s="69"/>
      <c r="G2473" s="968"/>
      <c r="H2473" s="303"/>
      <c r="I2473" s="385"/>
      <c r="J2473" s="969"/>
      <c r="K2473" s="385"/>
      <c r="L2473" s="392"/>
      <c r="M2473" s="970"/>
      <c r="N2473" s="304"/>
      <c r="O2473" s="304"/>
      <c r="P2473" s="79" t="str">
        <f>IF(AND('331-CT'!$E$7=TH!H2473,OR(N2473="331",O2473="331")),"x","")</f>
        <v/>
      </c>
      <c r="Q2473" s="79" t="str">
        <f>IF(AND(B2473='111'!$L$11,OR($N2473=$Q$7,$O2473=$Q$7)),"x","")</f>
        <v/>
      </c>
      <c r="R2473" s="79" t="str">
        <f>IF(AND($N2473=$Q$7,$B2473&lt;'111'!$L$11),"x","")</f>
        <v/>
      </c>
      <c r="S2473" s="79" t="str">
        <f>IF(AND($O2473=$Q$7,$B2473&lt;'111'!$L$11),"x","")</f>
        <v/>
      </c>
      <c r="T2473" s="79" t="str">
        <f>IF(ISERROR(FIND('112'!$M$9,G2473,1)),"",IF((AND(FIND('112'!$M$9,G2473,1)&gt;=1,B2473='112'!$K$9,OR($N2473='112'!$I$6,$O2473='112'!$I$6))),"x",""))</f>
        <v/>
      </c>
      <c r="U2473" s="79" t="str">
        <f>IF(ISERROR(FIND('112'!$M$9,G2473,1)),"",IF((AND(LEFT(G2473,2)=LEFT('112'!$M$9,2),B2473&lt;'112'!$K$9,$N2473='112'!$I$6)),"x",""))</f>
        <v/>
      </c>
      <c r="V2473" s="79" t="str">
        <f>IF(ISERROR(FIND('112'!$M$9,G2473,1)),"",IF((AND(RIGHT(G2473,2)=RIGHT('112'!$M$9,2),B2473&lt;'112'!$K$9,$O2473='112'!$I$6)),"x",""))</f>
        <v/>
      </c>
      <c r="W2473" s="79" t="str">
        <f>IF(AND('341-CT'!$H$9=H2473,OR(LEFT(N2473,3)=$W$7,LEFT(O2473,3)=$W$7)),"x","")</f>
        <v/>
      </c>
      <c r="X2473" s="79" t="str">
        <f>IF(OR(TH!N2473=TH!$X$7,O2473=TH!$X$7),"x","")</f>
        <v/>
      </c>
      <c r="Y2473" s="79" t="str">
        <f>IF(AND(OR(N2473="131",O2473="131"),H2473='131-CT'!$H$9),"x","")</f>
        <v/>
      </c>
      <c r="Z2473" s="79"/>
      <c r="AA2473" s="79" t="str">
        <f>IF(AND(MONTH(E2473)='IN-NX'!$J$5,'IN-NX'!$D$7=D2473),"x","")</f>
        <v/>
      </c>
      <c r="AB2473" s="79" t="str">
        <f>IF(AND(OR(LEFT(TH!N2473,2)="15",LEFT(TH!O2473,2)="15"),LEFT(TH!O2473,3)&lt;&gt;"111",'152-CT'!$J$8=TH!F2473),"x","")</f>
        <v/>
      </c>
      <c r="AC2473" s="79" t="str">
        <f>IF(AND(OR(LEFT(TH!N2473,2)="15",LEFT(TH!O2473,2)="15"),TK!$E$7=TH!F2473),"x","")</f>
        <v/>
      </c>
      <c r="AD2473" s="79" t="str">
        <f>IF(AND(N2473="1521",MONTH(C2473)='BK-NL'!$M$11),"x","")</f>
        <v/>
      </c>
    </row>
    <row r="2474" spans="1:30" ht="16.5" customHeight="1">
      <c r="A2474" s="318" t="str">
        <f>IF(B2474&lt;&gt;"",IF(AND(B2474='IN-TC'!$S$4,OR(TH!N2474="1111",TH!O2474="1111")),TH!D2474,""),"")</f>
        <v/>
      </c>
      <c r="B2474" s="60" t="str">
        <f t="shared" si="244"/>
        <v/>
      </c>
      <c r="C2474" s="301"/>
      <c r="D2474" s="301"/>
      <c r="E2474" s="301"/>
      <c r="F2474" s="392"/>
      <c r="G2474" s="968"/>
      <c r="H2474" s="321"/>
      <c r="I2474" s="385"/>
      <c r="J2474" s="969"/>
      <c r="K2474" s="385"/>
      <c r="L2474" s="392"/>
      <c r="M2474" s="970"/>
      <c r="N2474" s="304"/>
      <c r="O2474" s="304"/>
      <c r="P2474" s="79" t="str">
        <f>IF(AND('331-CT'!$E$7=TH!H2474,OR(N2474="331",O2474="331")),"x","")</f>
        <v/>
      </c>
      <c r="Q2474" s="79" t="str">
        <f>IF(AND(B2474='111'!$L$11,OR($N2474=$Q$7,$O2474=$Q$7)),"x","")</f>
        <v/>
      </c>
      <c r="R2474" s="79" t="str">
        <f>IF(AND($N2474=$Q$7,$B2474&lt;'111'!$L$11),"x","")</f>
        <v/>
      </c>
      <c r="S2474" s="79" t="str">
        <f>IF(AND($O2474=$Q$7,$B2474&lt;'111'!$L$11),"x","")</f>
        <v/>
      </c>
      <c r="T2474" s="79" t="str">
        <f>IF(ISERROR(FIND('112'!$M$9,G2474,1)),"",IF((AND(FIND('112'!$M$9,G2474,1)&gt;=1,B2474='112'!$K$9,OR($N2474='112'!$I$6,$O2474='112'!$I$6))),"x",""))</f>
        <v/>
      </c>
      <c r="U2474" s="79" t="str">
        <f>IF(ISERROR(FIND('112'!$M$9,G2474,1)),"",IF((AND(LEFT(G2474,2)=LEFT('112'!$M$9,2),B2474&lt;'112'!$K$9,$N2474='112'!$I$6)),"x",""))</f>
        <v/>
      </c>
      <c r="V2474" s="79" t="str">
        <f>IF(ISERROR(FIND('112'!$M$9,G2474,1)),"",IF((AND(RIGHT(G2474,2)=RIGHT('112'!$M$9,2),B2474&lt;'112'!$K$9,$O2474='112'!$I$6)),"x",""))</f>
        <v/>
      </c>
      <c r="W2474" s="79" t="str">
        <f>IF(AND('341-CT'!$H$9=H2474,OR(LEFT(N2474,3)=$W$7,LEFT(O2474,3)=$W$7)),"x","")</f>
        <v/>
      </c>
      <c r="X2474" s="79" t="str">
        <f>IF(OR(TH!N2474=TH!$X$7,O2474=TH!$X$7),"x","")</f>
        <v/>
      </c>
      <c r="Y2474" s="79" t="str">
        <f>IF(AND(OR(N2474="131",O2474="131"),H2474='131-CT'!$H$9),"x","")</f>
        <v/>
      </c>
      <c r="Z2474" s="79"/>
      <c r="AA2474" s="79" t="str">
        <f>IF(AND(MONTH(E2474)='IN-NX'!$J$5,'IN-NX'!$D$7=D2474),"x","")</f>
        <v/>
      </c>
      <c r="AB2474" s="79" t="str">
        <f>IF(AND(OR(LEFT(TH!N2474,2)="15",LEFT(TH!O2474,2)="15"),LEFT(TH!O2474,3)&lt;&gt;"111",'152-CT'!$J$8=TH!F2474),"x","")</f>
        <v/>
      </c>
      <c r="AC2474" s="79" t="str">
        <f>IF(AND(OR(LEFT(TH!N2474,2)="15",LEFT(TH!O2474,2)="15"),TK!$E$7=TH!F2474),"x","")</f>
        <v/>
      </c>
      <c r="AD2474" s="79" t="str">
        <f>IF(AND(N2474="1521",MONTH(C2474)='BK-NL'!$M$11),"x","")</f>
        <v/>
      </c>
    </row>
    <row r="2475" spans="1:30" ht="16.5" customHeight="1">
      <c r="A2475" s="318" t="str">
        <f>IF(B2475&lt;&gt;"",IF(AND(B2475='IN-TC'!$S$4,OR(TH!N2475="1111",TH!O2475="1111")),TH!D2475,""),"")</f>
        <v/>
      </c>
      <c r="B2475" s="60" t="str">
        <f t="shared" si="244"/>
        <v/>
      </c>
      <c r="C2475" s="301"/>
      <c r="D2475" s="301"/>
      <c r="E2475" s="301"/>
      <c r="F2475" s="392"/>
      <c r="G2475" s="968"/>
      <c r="H2475" s="321"/>
      <c r="I2475" s="385"/>
      <c r="J2475" s="969"/>
      <c r="K2475" s="385"/>
      <c r="L2475" s="392"/>
      <c r="M2475" s="970"/>
      <c r="N2475" s="304"/>
      <c r="O2475" s="304"/>
      <c r="P2475" s="79" t="str">
        <f>IF(AND('331-CT'!$E$7=TH!H2475,OR(N2475="331",O2475="331")),"x","")</f>
        <v/>
      </c>
      <c r="Q2475" s="79" t="str">
        <f>IF(AND(B2475='111'!$L$11,OR($N2475=$Q$7,$O2475=$Q$7)),"x","")</f>
        <v/>
      </c>
      <c r="R2475" s="79" t="str">
        <f>IF(AND($N2475=$Q$7,$B2475&lt;'111'!$L$11),"x","")</f>
        <v/>
      </c>
      <c r="S2475" s="79" t="str">
        <f>IF(AND($O2475=$Q$7,$B2475&lt;'111'!$L$11),"x","")</f>
        <v/>
      </c>
      <c r="T2475" s="79" t="str">
        <f>IF(ISERROR(FIND('112'!$M$9,G2475,1)),"",IF((AND(FIND('112'!$M$9,G2475,1)&gt;=1,B2475='112'!$K$9,OR($N2475='112'!$I$6,$O2475='112'!$I$6))),"x",""))</f>
        <v/>
      </c>
      <c r="U2475" s="79" t="str">
        <f>IF(ISERROR(FIND('112'!$M$9,G2475,1)),"",IF((AND(LEFT(G2475,2)=LEFT('112'!$M$9,2),B2475&lt;'112'!$K$9,$N2475='112'!$I$6)),"x",""))</f>
        <v/>
      </c>
      <c r="V2475" s="79" t="str">
        <f>IF(ISERROR(FIND('112'!$M$9,G2475,1)),"",IF((AND(RIGHT(G2475,2)=RIGHT('112'!$M$9,2),B2475&lt;'112'!$K$9,$O2475='112'!$I$6)),"x",""))</f>
        <v/>
      </c>
      <c r="W2475" s="79" t="str">
        <f>IF(AND('341-CT'!$H$9=H2475,OR(LEFT(N2475,3)=$W$7,LEFT(O2475,3)=$W$7)),"x","")</f>
        <v/>
      </c>
      <c r="X2475" s="79" t="str">
        <f>IF(OR(TH!N2475=TH!$X$7,O2475=TH!$X$7),"x","")</f>
        <v/>
      </c>
      <c r="Y2475" s="79" t="str">
        <f>IF(AND(OR(N2475="131",O2475="131"),H2475='131-CT'!$H$9),"x","")</f>
        <v/>
      </c>
      <c r="Z2475" s="79"/>
      <c r="AA2475" s="79" t="str">
        <f>IF(AND(MONTH(E2475)='IN-NX'!$J$5,'IN-NX'!$D$7=D2475),"x","")</f>
        <v/>
      </c>
      <c r="AB2475" s="79" t="str">
        <f>IF(AND(OR(LEFT(TH!N2475,2)="15",LEFT(TH!O2475,2)="15"),LEFT(TH!O2475,3)&lt;&gt;"111",'152-CT'!$J$8=TH!F2475),"x","")</f>
        <v/>
      </c>
      <c r="AC2475" s="79" t="str">
        <f>IF(AND(OR(LEFT(TH!N2475,2)="15",LEFT(TH!O2475,2)="15"),TK!$E$7=TH!F2475),"x","")</f>
        <v/>
      </c>
      <c r="AD2475" s="79" t="str">
        <f>IF(AND(N2475="1521",MONTH(C2475)='BK-NL'!$M$11),"x","")</f>
        <v/>
      </c>
    </row>
    <row r="2476" spans="1:30" ht="16.5" customHeight="1">
      <c r="A2476" s="318" t="str">
        <f>IF(B2476&lt;&gt;"",IF(AND(B2476='IN-TC'!$S$4,OR(TH!N2476="1111",TH!O2476="1111")),TH!D2476,""),"")</f>
        <v/>
      </c>
      <c r="B2476" s="60" t="str">
        <f t="shared" si="244"/>
        <v/>
      </c>
      <c r="C2476" s="301"/>
      <c r="D2476" s="301"/>
      <c r="E2476" s="301"/>
      <c r="F2476" s="392"/>
      <c r="G2476" s="968"/>
      <c r="H2476" s="321"/>
      <c r="I2476" s="385"/>
      <c r="J2476" s="969"/>
      <c r="K2476" s="385"/>
      <c r="L2476" s="392"/>
      <c r="M2476" s="970"/>
      <c r="N2476" s="304"/>
      <c r="O2476" s="304"/>
      <c r="P2476" s="79" t="str">
        <f>IF(AND('331-CT'!$E$7=TH!H2476,OR(N2476="331",O2476="331")),"x","")</f>
        <v/>
      </c>
      <c r="Q2476" s="79" t="str">
        <f>IF(AND(B2476='111'!$L$11,OR($N2476=$Q$7,$O2476=$Q$7)),"x","")</f>
        <v/>
      </c>
      <c r="R2476" s="79" t="str">
        <f>IF(AND($N2476=$Q$7,$B2476&lt;'111'!$L$11),"x","")</f>
        <v/>
      </c>
      <c r="S2476" s="79" t="str">
        <f>IF(AND($O2476=$Q$7,$B2476&lt;'111'!$L$11),"x","")</f>
        <v/>
      </c>
      <c r="T2476" s="79" t="str">
        <f>IF(ISERROR(FIND('112'!$M$9,G2476,1)),"",IF((AND(FIND('112'!$M$9,G2476,1)&gt;=1,B2476='112'!$K$9,OR($N2476='112'!$I$6,$O2476='112'!$I$6))),"x",""))</f>
        <v/>
      </c>
      <c r="U2476" s="79" t="str">
        <f>IF(ISERROR(FIND('112'!$M$9,G2476,1)),"",IF((AND(LEFT(G2476,2)=LEFT('112'!$M$9,2),B2476&lt;'112'!$K$9,$N2476='112'!$I$6)),"x",""))</f>
        <v/>
      </c>
      <c r="V2476" s="79" t="str">
        <f>IF(ISERROR(FIND('112'!$M$9,G2476,1)),"",IF((AND(RIGHT(G2476,2)=RIGHT('112'!$M$9,2),B2476&lt;'112'!$K$9,$O2476='112'!$I$6)),"x",""))</f>
        <v/>
      </c>
      <c r="W2476" s="79" t="str">
        <f>IF(AND('341-CT'!$H$9=H2476,OR(LEFT(N2476,3)=$W$7,LEFT(O2476,3)=$W$7)),"x","")</f>
        <v/>
      </c>
      <c r="X2476" s="79" t="str">
        <f>IF(OR(TH!N2476=TH!$X$7,O2476=TH!$X$7),"x","")</f>
        <v/>
      </c>
      <c r="Y2476" s="79" t="str">
        <f>IF(AND(OR(N2476="131",O2476="131"),H2476='131-CT'!$H$9),"x","")</f>
        <v/>
      </c>
      <c r="Z2476" s="79"/>
      <c r="AA2476" s="79" t="str">
        <f>IF(AND(MONTH(E2476)='IN-NX'!$J$5,'IN-NX'!$D$7=D2476),"x","")</f>
        <v/>
      </c>
      <c r="AB2476" s="79" t="str">
        <f>IF(AND(OR(LEFT(TH!N2476,2)="15",LEFT(TH!O2476,2)="15"),LEFT(TH!O2476,3)&lt;&gt;"111",'152-CT'!$J$8=TH!F2476),"x","")</f>
        <v/>
      </c>
      <c r="AC2476" s="79" t="str">
        <f>IF(AND(OR(LEFT(TH!N2476,2)="15",LEFT(TH!O2476,2)="15"),TK!$E$7=TH!F2476),"x","")</f>
        <v/>
      </c>
      <c r="AD2476" s="79" t="str">
        <f>IF(AND(N2476="1521",MONTH(C2476)='BK-NL'!$M$11),"x","")</f>
        <v/>
      </c>
    </row>
    <row r="2477" spans="1:30" ht="16.5" customHeight="1">
      <c r="A2477" s="318" t="str">
        <f>IF(B2477&lt;&gt;"",IF(AND(B2477='IN-TC'!$S$4,OR(TH!N2477="1111",TH!O2477="1111")),TH!D2477,""),"")</f>
        <v/>
      </c>
      <c r="B2477" s="60" t="str">
        <f t="shared" si="244"/>
        <v/>
      </c>
      <c r="C2477" s="301"/>
      <c r="D2477" s="301"/>
      <c r="E2477" s="301"/>
      <c r="F2477" s="69"/>
      <c r="G2477" s="968"/>
      <c r="H2477" s="303"/>
      <c r="I2477" s="385"/>
      <c r="J2477" s="969"/>
      <c r="K2477" s="385"/>
      <c r="L2477" s="392"/>
      <c r="M2477" s="970"/>
      <c r="N2477" s="304"/>
      <c r="O2477" s="304"/>
      <c r="P2477" s="79" t="str">
        <f>IF(AND('331-CT'!$E$7=TH!H2477,OR(N2477="331",O2477="331")),"x","")</f>
        <v/>
      </c>
      <c r="Q2477" s="79" t="str">
        <f>IF(AND(B2477='111'!$L$11,OR($N2477=$Q$7,$O2477=$Q$7)),"x","")</f>
        <v/>
      </c>
      <c r="R2477" s="79" t="str">
        <f>IF(AND($N2477=$Q$7,$B2477&lt;'111'!$L$11),"x","")</f>
        <v/>
      </c>
      <c r="S2477" s="79" t="str">
        <f>IF(AND($O2477=$Q$7,$B2477&lt;'111'!$L$11),"x","")</f>
        <v/>
      </c>
      <c r="T2477" s="79" t="str">
        <f>IF(ISERROR(FIND('112'!$M$9,G2477,1)),"",IF((AND(FIND('112'!$M$9,G2477,1)&gt;=1,B2477='112'!$K$9,OR($N2477='112'!$I$6,$O2477='112'!$I$6))),"x",""))</f>
        <v/>
      </c>
      <c r="U2477" s="79" t="str">
        <f>IF(ISERROR(FIND('112'!$M$9,G2477,1)),"",IF((AND(LEFT(G2477,2)=LEFT('112'!$M$9,2),B2477&lt;'112'!$K$9,$N2477='112'!$I$6)),"x",""))</f>
        <v/>
      </c>
      <c r="V2477" s="79" t="str">
        <f>IF(ISERROR(FIND('112'!$M$9,G2477,1)),"",IF((AND(RIGHT(G2477,2)=RIGHT('112'!$M$9,2),B2477&lt;'112'!$K$9,$O2477='112'!$I$6)),"x",""))</f>
        <v/>
      </c>
      <c r="W2477" s="79" t="str">
        <f>IF(AND('341-CT'!$H$9=H2477,OR(LEFT(N2477,3)=$W$7,LEFT(O2477,3)=$W$7)),"x","")</f>
        <v/>
      </c>
      <c r="X2477" s="79" t="str">
        <f>IF(OR(TH!N2477=TH!$X$7,O2477=TH!$X$7),"x","")</f>
        <v/>
      </c>
      <c r="Y2477" s="79" t="str">
        <f>IF(AND(OR(N2477="131",O2477="131"),H2477='131-CT'!$H$9),"x","")</f>
        <v/>
      </c>
      <c r="Z2477" s="79"/>
      <c r="AA2477" s="79" t="str">
        <f>IF(AND(MONTH(E2477)='IN-NX'!$J$5,'IN-NX'!$D$7=D2477),"x","")</f>
        <v/>
      </c>
      <c r="AB2477" s="79" t="str">
        <f>IF(AND(OR(LEFT(TH!N2477,2)="15",LEFT(TH!O2477,2)="15"),LEFT(TH!O2477,3)&lt;&gt;"111",'152-CT'!$J$8=TH!F2477),"x","")</f>
        <v/>
      </c>
      <c r="AC2477" s="79" t="str">
        <f>IF(AND(OR(LEFT(TH!N2477,2)="15",LEFT(TH!O2477,2)="15"),TK!$E$7=TH!F2477),"x","")</f>
        <v/>
      </c>
      <c r="AD2477" s="79" t="str">
        <f>IF(AND(N2477="1521",MONTH(C2477)='BK-NL'!$M$11),"x","")</f>
        <v/>
      </c>
    </row>
    <row r="2478" spans="1:30" ht="16.5" customHeight="1">
      <c r="A2478" s="318" t="str">
        <f>IF(B2478&lt;&gt;"",IF(AND(B2478='IN-TC'!$S$4,OR(TH!N2478="1111",TH!O2478="1111")),TH!D2478,""),"")</f>
        <v/>
      </c>
      <c r="B2478" s="60" t="str">
        <f t="shared" si="244"/>
        <v/>
      </c>
      <c r="C2478" s="301"/>
      <c r="D2478" s="301"/>
      <c r="E2478" s="301"/>
      <c r="F2478" s="69"/>
      <c r="G2478" s="968"/>
      <c r="H2478" s="303"/>
      <c r="I2478" s="385"/>
      <c r="J2478" s="969"/>
      <c r="K2478" s="385"/>
      <c r="L2478" s="392"/>
      <c r="M2478" s="970"/>
      <c r="N2478" s="304"/>
      <c r="O2478" s="304"/>
      <c r="P2478" s="79" t="str">
        <f>IF(AND('331-CT'!$E$7=TH!H2478,OR(N2478="331",O2478="331")),"x","")</f>
        <v/>
      </c>
      <c r="Q2478" s="79" t="str">
        <f>IF(AND(B2478='111'!$L$11,OR($N2478=$Q$7,$O2478=$Q$7)),"x","")</f>
        <v/>
      </c>
      <c r="R2478" s="79" t="str">
        <f>IF(AND($N2478=$Q$7,$B2478&lt;'111'!$L$11),"x","")</f>
        <v/>
      </c>
      <c r="S2478" s="79" t="str">
        <f>IF(AND($O2478=$Q$7,$B2478&lt;'111'!$L$11),"x","")</f>
        <v/>
      </c>
      <c r="T2478" s="79" t="str">
        <f>IF(ISERROR(FIND('112'!$M$9,G2478,1)),"",IF((AND(FIND('112'!$M$9,G2478,1)&gt;=1,B2478='112'!$K$9,OR($N2478='112'!$I$6,$O2478='112'!$I$6))),"x",""))</f>
        <v/>
      </c>
      <c r="U2478" s="79" t="str">
        <f>IF(ISERROR(FIND('112'!$M$9,G2478,1)),"",IF((AND(LEFT(G2478,2)=LEFT('112'!$M$9,2),B2478&lt;'112'!$K$9,$N2478='112'!$I$6)),"x",""))</f>
        <v/>
      </c>
      <c r="V2478" s="79" t="str">
        <f>IF(ISERROR(FIND('112'!$M$9,G2478,1)),"",IF((AND(RIGHT(G2478,2)=RIGHT('112'!$M$9,2),B2478&lt;'112'!$K$9,$O2478='112'!$I$6)),"x",""))</f>
        <v/>
      </c>
      <c r="W2478" s="79" t="str">
        <f>IF(AND('341-CT'!$H$9=H2478,OR(LEFT(N2478,3)=$W$7,LEFT(O2478,3)=$W$7)),"x","")</f>
        <v/>
      </c>
      <c r="X2478" s="79" t="str">
        <f>IF(OR(TH!N2478=TH!$X$7,O2478=TH!$X$7),"x","")</f>
        <v/>
      </c>
      <c r="Y2478" s="79" t="str">
        <f>IF(AND(OR(N2478="131",O2478="131"),H2478='131-CT'!$H$9),"x","")</f>
        <v/>
      </c>
      <c r="Z2478" s="79"/>
      <c r="AA2478" s="79" t="str">
        <f>IF(AND(MONTH(E2478)='IN-NX'!$J$5,'IN-NX'!$D$7=D2478),"x","")</f>
        <v/>
      </c>
      <c r="AB2478" s="79" t="str">
        <f>IF(AND(OR(LEFT(TH!N2478,2)="15",LEFT(TH!O2478,2)="15"),LEFT(TH!O2478,3)&lt;&gt;"111",'152-CT'!$J$8=TH!F2478),"x","")</f>
        <v/>
      </c>
      <c r="AC2478" s="79" t="str">
        <f>IF(AND(OR(LEFT(TH!N2478,2)="15",LEFT(TH!O2478,2)="15"),TK!$E$7=TH!F2478),"x","")</f>
        <v/>
      </c>
      <c r="AD2478" s="79" t="str">
        <f>IF(AND(N2478="1521",MONTH(C2478)='BK-NL'!$M$11),"x","")</f>
        <v/>
      </c>
    </row>
    <row r="2479" spans="1:30" ht="16.5" customHeight="1">
      <c r="A2479" s="318" t="str">
        <f>IF(B2479&lt;&gt;"",IF(AND(B2479='IN-TC'!$S$4,OR(TH!N2479="1111",TH!O2479="1111")),TH!D2479,""),"")</f>
        <v/>
      </c>
      <c r="B2479" s="60" t="str">
        <f t="shared" si="244"/>
        <v/>
      </c>
      <c r="C2479" s="301"/>
      <c r="D2479" s="301"/>
      <c r="E2479" s="301"/>
      <c r="F2479" s="69"/>
      <c r="G2479" s="968"/>
      <c r="H2479" s="303"/>
      <c r="I2479" s="385"/>
      <c r="J2479" s="969"/>
      <c r="K2479" s="385"/>
      <c r="L2479" s="392"/>
      <c r="M2479" s="970"/>
      <c r="N2479" s="304"/>
      <c r="O2479" s="304"/>
      <c r="P2479" s="79" t="str">
        <f>IF(AND('331-CT'!$E$7=TH!H2479,OR(N2479="331",O2479="331")),"x","")</f>
        <v/>
      </c>
      <c r="Q2479" s="79" t="str">
        <f>IF(AND(B2479='111'!$L$11,OR($N2479=$Q$7,$O2479=$Q$7)),"x","")</f>
        <v/>
      </c>
      <c r="R2479" s="79" t="str">
        <f>IF(AND($N2479=$Q$7,$B2479&lt;'111'!$L$11),"x","")</f>
        <v/>
      </c>
      <c r="S2479" s="79" t="str">
        <f>IF(AND($O2479=$Q$7,$B2479&lt;'111'!$L$11),"x","")</f>
        <v/>
      </c>
      <c r="T2479" s="79" t="str">
        <f>IF(ISERROR(FIND('112'!$M$9,G2479,1)),"",IF((AND(FIND('112'!$M$9,G2479,1)&gt;=1,B2479='112'!$K$9,OR($N2479='112'!$I$6,$O2479='112'!$I$6))),"x",""))</f>
        <v/>
      </c>
      <c r="U2479" s="79" t="str">
        <f>IF(ISERROR(FIND('112'!$M$9,G2479,1)),"",IF((AND(LEFT(G2479,2)=LEFT('112'!$M$9,2),B2479&lt;'112'!$K$9,$N2479='112'!$I$6)),"x",""))</f>
        <v/>
      </c>
      <c r="V2479" s="79" t="str">
        <f>IF(ISERROR(FIND('112'!$M$9,G2479,1)),"",IF((AND(RIGHT(G2479,2)=RIGHT('112'!$M$9,2),B2479&lt;'112'!$K$9,$O2479='112'!$I$6)),"x",""))</f>
        <v/>
      </c>
      <c r="W2479" s="79" t="str">
        <f>IF(AND('341-CT'!$H$9=H2479,OR(LEFT(N2479,3)=$W$7,LEFT(O2479,3)=$W$7)),"x","")</f>
        <v/>
      </c>
      <c r="X2479" s="79" t="str">
        <f>IF(OR(TH!N2479=TH!$X$7,O2479=TH!$X$7),"x","")</f>
        <v/>
      </c>
      <c r="Y2479" s="79" t="str">
        <f>IF(AND(OR(N2479="131",O2479="131"),H2479='131-CT'!$H$9),"x","")</f>
        <v/>
      </c>
      <c r="Z2479" s="79"/>
      <c r="AA2479" s="79" t="str">
        <f>IF(AND(MONTH(E2479)='IN-NX'!$J$5,'IN-NX'!$D$7=D2479),"x","")</f>
        <v/>
      </c>
      <c r="AB2479" s="79" t="str">
        <f>IF(AND(OR(LEFT(TH!N2479,2)="15",LEFT(TH!O2479,2)="15"),LEFT(TH!O2479,3)&lt;&gt;"111",'152-CT'!$J$8=TH!F2479),"x","")</f>
        <v/>
      </c>
      <c r="AC2479" s="79" t="str">
        <f>IF(AND(OR(LEFT(TH!N2479,2)="15",LEFT(TH!O2479,2)="15"),TK!$E$7=TH!F2479),"x","")</f>
        <v/>
      </c>
      <c r="AD2479" s="79" t="str">
        <f>IF(AND(N2479="1521",MONTH(C2479)='BK-NL'!$M$11),"x","")</f>
        <v/>
      </c>
    </row>
    <row r="2480" spans="1:30" ht="16.5" customHeight="1">
      <c r="A2480" s="318" t="str">
        <f>IF(B2480&lt;&gt;"",IF(AND(B2480='IN-TC'!$S$4,OR(TH!N2480="1111",TH!O2480="1111")),TH!D2480,""),"")</f>
        <v/>
      </c>
      <c r="B2480" s="60" t="str">
        <f t="shared" si="244"/>
        <v/>
      </c>
      <c r="C2480" s="301"/>
      <c r="D2480" s="301"/>
      <c r="E2480" s="301"/>
      <c r="F2480" s="69"/>
      <c r="G2480" s="968"/>
      <c r="H2480" s="303"/>
      <c r="I2480" s="385"/>
      <c r="J2480" s="969"/>
      <c r="K2480" s="385"/>
      <c r="L2480" s="392"/>
      <c r="M2480" s="970"/>
      <c r="N2480" s="304"/>
      <c r="O2480" s="304"/>
      <c r="P2480" s="79" t="str">
        <f>IF(AND('331-CT'!$E$7=TH!H2480,OR(N2480="331",O2480="331")),"x","")</f>
        <v/>
      </c>
      <c r="Q2480" s="79" t="str">
        <f>IF(AND(B2480='111'!$L$11,OR($N2480=$Q$7,$O2480=$Q$7)),"x","")</f>
        <v/>
      </c>
      <c r="R2480" s="79" t="str">
        <f>IF(AND($N2480=$Q$7,$B2480&lt;'111'!$L$11),"x","")</f>
        <v/>
      </c>
      <c r="S2480" s="79" t="str">
        <f>IF(AND($O2480=$Q$7,$B2480&lt;'111'!$L$11),"x","")</f>
        <v/>
      </c>
      <c r="T2480" s="79" t="str">
        <f>IF(ISERROR(FIND('112'!$M$9,G2480,1)),"",IF((AND(FIND('112'!$M$9,G2480,1)&gt;=1,B2480='112'!$K$9,OR($N2480='112'!$I$6,$O2480='112'!$I$6))),"x",""))</f>
        <v/>
      </c>
      <c r="U2480" s="79" t="str">
        <f>IF(ISERROR(FIND('112'!$M$9,G2480,1)),"",IF((AND(LEFT(G2480,2)=LEFT('112'!$M$9,2),B2480&lt;'112'!$K$9,$N2480='112'!$I$6)),"x",""))</f>
        <v/>
      </c>
      <c r="V2480" s="79" t="str">
        <f>IF(ISERROR(FIND('112'!$M$9,G2480,1)),"",IF((AND(RIGHT(G2480,2)=RIGHT('112'!$M$9,2),B2480&lt;'112'!$K$9,$O2480='112'!$I$6)),"x",""))</f>
        <v/>
      </c>
      <c r="W2480" s="79" t="str">
        <f>IF(AND('341-CT'!$H$9=H2480,OR(LEFT(N2480,3)=$W$7,LEFT(O2480,3)=$W$7)),"x","")</f>
        <v/>
      </c>
      <c r="X2480" s="79" t="str">
        <f>IF(OR(TH!N2480=TH!$X$7,O2480=TH!$X$7),"x","")</f>
        <v/>
      </c>
      <c r="Y2480" s="79" t="str">
        <f>IF(AND(OR(N2480="131",O2480="131"),H2480='131-CT'!$H$9),"x","")</f>
        <v/>
      </c>
      <c r="Z2480" s="79"/>
      <c r="AA2480" s="79" t="str">
        <f>IF(AND(MONTH(E2480)='IN-NX'!$J$5,'IN-NX'!$D$7=D2480),"x","")</f>
        <v/>
      </c>
      <c r="AB2480" s="79" t="str">
        <f>IF(AND(OR(LEFT(TH!N2480,2)="15",LEFT(TH!O2480,2)="15"),LEFT(TH!O2480,3)&lt;&gt;"111",'152-CT'!$J$8=TH!F2480),"x","")</f>
        <v/>
      </c>
      <c r="AC2480" s="79" t="str">
        <f>IF(AND(OR(LEFT(TH!N2480,2)="15",LEFT(TH!O2480,2)="15"),TK!$E$7=TH!F2480),"x","")</f>
        <v/>
      </c>
      <c r="AD2480" s="79" t="str">
        <f>IF(AND(N2480="1521",MONTH(C2480)='BK-NL'!$M$11),"x","")</f>
        <v/>
      </c>
    </row>
    <row r="2481" spans="1:30" ht="16.5" customHeight="1">
      <c r="A2481" s="318" t="str">
        <f>IF(B2481&lt;&gt;"",IF(AND(B2481='IN-TC'!$S$4,OR(TH!N2481="1111",TH!O2481="1111")),TH!D2481,""),"")</f>
        <v/>
      </c>
      <c r="B2481" s="60" t="str">
        <f t="shared" si="244"/>
        <v/>
      </c>
      <c r="C2481" s="301"/>
      <c r="D2481" s="301"/>
      <c r="E2481" s="301"/>
      <c r="F2481" s="69"/>
      <c r="G2481" s="968"/>
      <c r="H2481" s="303"/>
      <c r="I2481" s="385"/>
      <c r="J2481" s="969"/>
      <c r="K2481" s="385"/>
      <c r="L2481" s="392"/>
      <c r="M2481" s="970"/>
      <c r="N2481" s="304"/>
      <c r="O2481" s="304"/>
      <c r="P2481" s="79" t="str">
        <f>IF(AND('331-CT'!$E$7=TH!H2481,OR(N2481="331",O2481="331")),"x","")</f>
        <v/>
      </c>
      <c r="Q2481" s="79" t="str">
        <f>IF(AND(B2481='111'!$L$11,OR($N2481=$Q$7,$O2481=$Q$7)),"x","")</f>
        <v/>
      </c>
      <c r="R2481" s="79" t="str">
        <f>IF(AND($N2481=$Q$7,$B2481&lt;'111'!$L$11),"x","")</f>
        <v/>
      </c>
      <c r="S2481" s="79" t="str">
        <f>IF(AND($O2481=$Q$7,$B2481&lt;'111'!$L$11),"x","")</f>
        <v/>
      </c>
      <c r="T2481" s="79" t="str">
        <f>IF(ISERROR(FIND('112'!$M$9,G2481,1)),"",IF((AND(FIND('112'!$M$9,G2481,1)&gt;=1,B2481='112'!$K$9,OR($N2481='112'!$I$6,$O2481='112'!$I$6))),"x",""))</f>
        <v/>
      </c>
      <c r="U2481" s="79" t="str">
        <f>IF(ISERROR(FIND('112'!$M$9,G2481,1)),"",IF((AND(LEFT(G2481,2)=LEFT('112'!$M$9,2),B2481&lt;'112'!$K$9,$N2481='112'!$I$6)),"x",""))</f>
        <v/>
      </c>
      <c r="V2481" s="79" t="str">
        <f>IF(ISERROR(FIND('112'!$M$9,G2481,1)),"",IF((AND(RIGHT(G2481,2)=RIGHT('112'!$M$9,2),B2481&lt;'112'!$K$9,$O2481='112'!$I$6)),"x",""))</f>
        <v/>
      </c>
      <c r="W2481" s="79" t="str">
        <f>IF(AND('341-CT'!$H$9=H2481,OR(LEFT(N2481,3)=$W$7,LEFT(O2481,3)=$W$7)),"x","")</f>
        <v/>
      </c>
      <c r="X2481" s="79" t="str">
        <f>IF(OR(TH!N2481=TH!$X$7,O2481=TH!$X$7),"x","")</f>
        <v/>
      </c>
      <c r="Y2481" s="79" t="str">
        <f>IF(AND(OR(N2481="131",O2481="131"),H2481='131-CT'!$H$9),"x","")</f>
        <v/>
      </c>
      <c r="Z2481" s="79"/>
      <c r="AA2481" s="79" t="str">
        <f>IF(AND(MONTH(E2481)='IN-NX'!$J$5,'IN-NX'!$D$7=D2481),"x","")</f>
        <v/>
      </c>
      <c r="AB2481" s="79" t="str">
        <f>IF(AND(OR(LEFT(TH!N2481,2)="15",LEFT(TH!O2481,2)="15"),LEFT(TH!O2481,3)&lt;&gt;"111",'152-CT'!$J$8=TH!F2481),"x","")</f>
        <v/>
      </c>
      <c r="AC2481" s="79" t="str">
        <f>IF(AND(OR(LEFT(TH!N2481,2)="15",LEFT(TH!O2481,2)="15"),TK!$E$7=TH!F2481),"x","")</f>
        <v/>
      </c>
      <c r="AD2481" s="79" t="str">
        <f>IF(AND(N2481="1521",MONTH(C2481)='BK-NL'!$M$11),"x","")</f>
        <v/>
      </c>
    </row>
    <row r="2482" spans="1:30" ht="16.5" customHeight="1">
      <c r="A2482" s="318" t="str">
        <f>IF(B2482&lt;&gt;"",IF(AND(B2482='IN-TC'!$S$4,OR(TH!N2482="1111",TH!O2482="1111")),TH!D2482,""),"")</f>
        <v/>
      </c>
      <c r="B2482" s="60" t="str">
        <f t="shared" si="244"/>
        <v/>
      </c>
      <c r="C2482" s="301"/>
      <c r="D2482" s="301"/>
      <c r="E2482" s="301"/>
      <c r="F2482" s="69"/>
      <c r="G2482" s="968"/>
      <c r="H2482" s="303"/>
      <c r="I2482" s="385"/>
      <c r="J2482" s="969"/>
      <c r="K2482" s="385"/>
      <c r="L2482" s="392"/>
      <c r="M2482" s="970"/>
      <c r="N2482" s="304"/>
      <c r="O2482" s="304"/>
      <c r="P2482" s="79" t="str">
        <f>IF(AND('331-CT'!$E$7=TH!H2482,OR(N2482="331",O2482="331")),"x","")</f>
        <v/>
      </c>
      <c r="Q2482" s="79" t="str">
        <f>IF(AND(B2482='111'!$L$11,OR($N2482=$Q$7,$O2482=$Q$7)),"x","")</f>
        <v/>
      </c>
      <c r="R2482" s="79" t="str">
        <f>IF(AND($N2482=$Q$7,$B2482&lt;'111'!$L$11),"x","")</f>
        <v/>
      </c>
      <c r="S2482" s="79" t="str">
        <f>IF(AND($O2482=$Q$7,$B2482&lt;'111'!$L$11),"x","")</f>
        <v/>
      </c>
      <c r="T2482" s="79" t="str">
        <f>IF(ISERROR(FIND('112'!$M$9,G2482,1)),"",IF((AND(FIND('112'!$M$9,G2482,1)&gt;=1,B2482='112'!$K$9,OR($N2482='112'!$I$6,$O2482='112'!$I$6))),"x",""))</f>
        <v/>
      </c>
      <c r="U2482" s="79" t="str">
        <f>IF(ISERROR(FIND('112'!$M$9,G2482,1)),"",IF((AND(LEFT(G2482,2)=LEFT('112'!$M$9,2),B2482&lt;'112'!$K$9,$N2482='112'!$I$6)),"x",""))</f>
        <v/>
      </c>
      <c r="V2482" s="79" t="str">
        <f>IF(ISERROR(FIND('112'!$M$9,G2482,1)),"",IF((AND(RIGHT(G2482,2)=RIGHT('112'!$M$9,2),B2482&lt;'112'!$K$9,$O2482='112'!$I$6)),"x",""))</f>
        <v/>
      </c>
      <c r="W2482" s="79" t="str">
        <f>IF(AND('341-CT'!$H$9=H2482,OR(LEFT(N2482,3)=$W$7,LEFT(O2482,3)=$W$7)),"x","")</f>
        <v/>
      </c>
      <c r="X2482" s="79" t="str">
        <f>IF(OR(TH!N2482=TH!$X$7,O2482=TH!$X$7),"x","")</f>
        <v/>
      </c>
      <c r="Y2482" s="79" t="str">
        <f>IF(AND(OR(N2482="131",O2482="131"),H2482='131-CT'!$H$9),"x","")</f>
        <v/>
      </c>
      <c r="Z2482" s="79"/>
      <c r="AA2482" s="79" t="str">
        <f>IF(AND(MONTH(E2482)='IN-NX'!$J$5,'IN-NX'!$D$7=D2482),"x","")</f>
        <v/>
      </c>
      <c r="AB2482" s="79" t="str">
        <f>IF(AND(OR(LEFT(TH!N2482,2)="15",LEFT(TH!O2482,2)="15"),LEFT(TH!O2482,3)&lt;&gt;"111",'152-CT'!$J$8=TH!F2482),"x","")</f>
        <v/>
      </c>
      <c r="AC2482" s="79" t="str">
        <f>IF(AND(OR(LEFT(TH!N2482,2)="15",LEFT(TH!O2482,2)="15"),TK!$E$7=TH!F2482),"x","")</f>
        <v/>
      </c>
      <c r="AD2482" s="79" t="str">
        <f>IF(AND(N2482="1521",MONTH(C2482)='BK-NL'!$M$11),"x","")</f>
        <v/>
      </c>
    </row>
    <row r="2483" spans="1:30" ht="16.5" customHeight="1">
      <c r="A2483" s="318" t="str">
        <f>IF(B2483&lt;&gt;"",IF(AND(B2483='IN-TC'!$S$4,OR(TH!N2483="1111",TH!O2483="1111")),TH!D2483,""),"")</f>
        <v/>
      </c>
      <c r="B2483" s="60" t="str">
        <f t="shared" si="244"/>
        <v/>
      </c>
      <c r="C2483" s="301"/>
      <c r="D2483" s="301"/>
      <c r="E2483" s="301"/>
      <c r="F2483" s="69"/>
      <c r="G2483" s="968"/>
      <c r="H2483" s="303"/>
      <c r="I2483" s="385"/>
      <c r="J2483" s="969"/>
      <c r="K2483" s="385"/>
      <c r="L2483" s="392"/>
      <c r="M2483" s="970"/>
      <c r="N2483" s="304"/>
      <c r="O2483" s="304"/>
      <c r="P2483" s="79" t="str">
        <f>IF(AND('331-CT'!$E$7=TH!H2483,OR(N2483="331",O2483="331")),"x","")</f>
        <v/>
      </c>
      <c r="Q2483" s="79" t="str">
        <f>IF(AND(B2483='111'!$L$11,OR($N2483=$Q$7,$O2483=$Q$7)),"x","")</f>
        <v/>
      </c>
      <c r="R2483" s="79" t="str">
        <f>IF(AND($N2483=$Q$7,$B2483&lt;'111'!$L$11),"x","")</f>
        <v/>
      </c>
      <c r="S2483" s="79" t="str">
        <f>IF(AND($O2483=$Q$7,$B2483&lt;'111'!$L$11),"x","")</f>
        <v/>
      </c>
      <c r="T2483" s="79" t="str">
        <f>IF(ISERROR(FIND('112'!$M$9,G2483,1)),"",IF((AND(FIND('112'!$M$9,G2483,1)&gt;=1,B2483='112'!$K$9,OR($N2483='112'!$I$6,$O2483='112'!$I$6))),"x",""))</f>
        <v/>
      </c>
      <c r="U2483" s="79" t="str">
        <f>IF(ISERROR(FIND('112'!$M$9,G2483,1)),"",IF((AND(LEFT(G2483,2)=LEFT('112'!$M$9,2),B2483&lt;'112'!$K$9,$N2483='112'!$I$6)),"x",""))</f>
        <v/>
      </c>
      <c r="V2483" s="79" t="str">
        <f>IF(ISERROR(FIND('112'!$M$9,G2483,1)),"",IF((AND(RIGHT(G2483,2)=RIGHT('112'!$M$9,2),B2483&lt;'112'!$K$9,$O2483='112'!$I$6)),"x",""))</f>
        <v/>
      </c>
      <c r="W2483" s="79" t="str">
        <f>IF(AND('341-CT'!$H$9=H2483,OR(LEFT(N2483,3)=$W$7,LEFT(O2483,3)=$W$7)),"x","")</f>
        <v/>
      </c>
      <c r="X2483" s="79" t="str">
        <f>IF(OR(TH!N2483=TH!$X$7,O2483=TH!$X$7),"x","")</f>
        <v/>
      </c>
      <c r="Y2483" s="79" t="str">
        <f>IF(AND(OR(N2483="131",O2483="131"),H2483='131-CT'!$H$9),"x","")</f>
        <v/>
      </c>
      <c r="Z2483" s="79"/>
      <c r="AA2483" s="79" t="str">
        <f>IF(AND(MONTH(E2483)='IN-NX'!$J$5,'IN-NX'!$D$7=D2483),"x","")</f>
        <v/>
      </c>
      <c r="AB2483" s="79" t="str">
        <f>IF(AND(OR(LEFT(TH!N2483,2)="15",LEFT(TH!O2483,2)="15"),LEFT(TH!O2483,3)&lt;&gt;"111",'152-CT'!$J$8=TH!F2483),"x","")</f>
        <v/>
      </c>
      <c r="AC2483" s="79" t="str">
        <f>IF(AND(OR(LEFT(TH!N2483,2)="15",LEFT(TH!O2483,2)="15"),TK!$E$7=TH!F2483),"x","")</f>
        <v/>
      </c>
      <c r="AD2483" s="79" t="str">
        <f>IF(AND(N2483="1521",MONTH(C2483)='BK-NL'!$M$11),"x","")</f>
        <v/>
      </c>
    </row>
    <row r="2484" spans="1:30" ht="16.5" customHeight="1">
      <c r="A2484" s="318" t="str">
        <f>IF(B2484&lt;&gt;"",IF(AND(B2484='IN-TC'!$S$4,OR(TH!N2484="1111",TH!O2484="1111")),TH!D2484,""),"")</f>
        <v/>
      </c>
      <c r="B2484" s="60" t="str">
        <f t="shared" si="244"/>
        <v/>
      </c>
      <c r="C2484" s="301"/>
      <c r="D2484" s="301"/>
      <c r="E2484" s="301"/>
      <c r="F2484" s="392"/>
      <c r="G2484" s="968"/>
      <c r="H2484" s="321"/>
      <c r="I2484" s="385"/>
      <c r="J2484" s="969"/>
      <c r="K2484" s="385"/>
      <c r="L2484" s="392"/>
      <c r="M2484" s="970"/>
      <c r="N2484" s="304"/>
      <c r="O2484" s="304"/>
      <c r="P2484" s="79" t="str">
        <f>IF(AND('331-CT'!$E$7=TH!H2484,OR(N2484="331",O2484="331")),"x","")</f>
        <v/>
      </c>
      <c r="Q2484" s="79" t="str">
        <f>IF(AND(B2484='111'!$L$11,OR($N2484=$Q$7,$O2484=$Q$7)),"x","")</f>
        <v/>
      </c>
      <c r="R2484" s="79" t="str">
        <f>IF(AND($N2484=$Q$7,$B2484&lt;'111'!$L$11),"x","")</f>
        <v/>
      </c>
      <c r="S2484" s="79" t="str">
        <f>IF(AND($O2484=$Q$7,$B2484&lt;'111'!$L$11),"x","")</f>
        <v/>
      </c>
      <c r="T2484" s="79" t="str">
        <f>IF(ISERROR(FIND('112'!$M$9,G2484,1)),"",IF((AND(FIND('112'!$M$9,G2484,1)&gt;=1,B2484='112'!$K$9,OR($N2484='112'!$I$6,$O2484='112'!$I$6))),"x",""))</f>
        <v/>
      </c>
      <c r="U2484" s="79" t="str">
        <f>IF(ISERROR(FIND('112'!$M$9,G2484,1)),"",IF((AND(LEFT(G2484,2)=LEFT('112'!$M$9,2),B2484&lt;'112'!$K$9,$N2484='112'!$I$6)),"x",""))</f>
        <v/>
      </c>
      <c r="V2484" s="79" t="str">
        <f>IF(ISERROR(FIND('112'!$M$9,G2484,1)),"",IF((AND(RIGHT(G2484,2)=RIGHT('112'!$M$9,2),B2484&lt;'112'!$K$9,$O2484='112'!$I$6)),"x",""))</f>
        <v/>
      </c>
      <c r="W2484" s="79" t="str">
        <f>IF(AND('341-CT'!$H$9=H2484,OR(LEFT(N2484,3)=$W$7,LEFT(O2484,3)=$W$7)),"x","")</f>
        <v/>
      </c>
      <c r="X2484" s="79" t="str">
        <f>IF(OR(TH!N2484=TH!$X$7,O2484=TH!$X$7),"x","")</f>
        <v/>
      </c>
      <c r="Y2484" s="79" t="str">
        <f>IF(AND(OR(N2484="131",O2484="131"),H2484='131-CT'!$H$9),"x","")</f>
        <v/>
      </c>
      <c r="Z2484" s="79"/>
      <c r="AA2484" s="79" t="str">
        <f>IF(AND(MONTH(E2484)='IN-NX'!$J$5,'IN-NX'!$D$7=D2484),"x","")</f>
        <v/>
      </c>
      <c r="AB2484" s="79" t="str">
        <f>IF(AND(OR(LEFT(TH!N2484,2)="15",LEFT(TH!O2484,2)="15"),LEFT(TH!O2484,3)&lt;&gt;"111",'152-CT'!$J$8=TH!F2484),"x","")</f>
        <v/>
      </c>
      <c r="AC2484" s="79" t="str">
        <f>IF(AND(OR(LEFT(TH!N2484,2)="15",LEFT(TH!O2484,2)="15"),TK!$E$7=TH!F2484),"x","")</f>
        <v/>
      </c>
      <c r="AD2484" s="79" t="str">
        <f>IF(AND(N2484="1521",MONTH(C2484)='BK-NL'!$M$11),"x","")</f>
        <v/>
      </c>
    </row>
    <row r="2485" spans="1:30" ht="16.5" customHeight="1">
      <c r="A2485" s="318" t="str">
        <f>IF(B2485&lt;&gt;"",IF(AND(B2485='IN-TC'!$S$4,OR(TH!N2485="1111",TH!O2485="1111")),TH!D2485,""),"")</f>
        <v/>
      </c>
      <c r="B2485" s="60" t="str">
        <f t="shared" si="244"/>
        <v/>
      </c>
      <c r="C2485" s="301"/>
      <c r="D2485" s="301"/>
      <c r="E2485" s="301"/>
      <c r="F2485" s="392"/>
      <c r="G2485" s="968"/>
      <c r="H2485" s="321"/>
      <c r="I2485" s="385"/>
      <c r="J2485" s="969"/>
      <c r="K2485" s="385"/>
      <c r="L2485" s="392"/>
      <c r="M2485" s="970"/>
      <c r="N2485" s="304"/>
      <c r="O2485" s="304"/>
      <c r="P2485" s="79" t="str">
        <f>IF(AND('331-CT'!$E$7=TH!H2485,OR(N2485="331",O2485="331")),"x","")</f>
        <v/>
      </c>
      <c r="Q2485" s="79" t="str">
        <f>IF(AND(B2485='111'!$L$11,OR($N2485=$Q$7,$O2485=$Q$7)),"x","")</f>
        <v/>
      </c>
      <c r="R2485" s="79" t="str">
        <f>IF(AND($N2485=$Q$7,$B2485&lt;'111'!$L$11),"x","")</f>
        <v/>
      </c>
      <c r="S2485" s="79" t="str">
        <f>IF(AND($O2485=$Q$7,$B2485&lt;'111'!$L$11),"x","")</f>
        <v/>
      </c>
      <c r="T2485" s="79" t="str">
        <f>IF(ISERROR(FIND('112'!$M$9,G2485,1)),"",IF((AND(FIND('112'!$M$9,G2485,1)&gt;=1,B2485='112'!$K$9,OR($N2485='112'!$I$6,$O2485='112'!$I$6))),"x",""))</f>
        <v/>
      </c>
      <c r="U2485" s="79" t="str">
        <f>IF(ISERROR(FIND('112'!$M$9,G2485,1)),"",IF((AND(LEFT(G2485,2)=LEFT('112'!$M$9,2),B2485&lt;'112'!$K$9,$N2485='112'!$I$6)),"x",""))</f>
        <v/>
      </c>
      <c r="V2485" s="79" t="str">
        <f>IF(ISERROR(FIND('112'!$M$9,G2485,1)),"",IF((AND(RIGHT(G2485,2)=RIGHT('112'!$M$9,2),B2485&lt;'112'!$K$9,$O2485='112'!$I$6)),"x",""))</f>
        <v/>
      </c>
      <c r="W2485" s="79" t="str">
        <f>IF(AND('341-CT'!$H$9=H2485,OR(LEFT(N2485,3)=$W$7,LEFT(O2485,3)=$W$7)),"x","")</f>
        <v/>
      </c>
      <c r="X2485" s="79" t="str">
        <f>IF(OR(TH!N2485=TH!$X$7,O2485=TH!$X$7),"x","")</f>
        <v/>
      </c>
      <c r="Y2485" s="79" t="str">
        <f>IF(AND(OR(N2485="131",O2485="131"),H2485='131-CT'!$H$9),"x","")</f>
        <v/>
      </c>
      <c r="Z2485" s="79"/>
      <c r="AA2485" s="79" t="str">
        <f>IF(AND(MONTH(E2485)='IN-NX'!$J$5,'IN-NX'!$D$7=D2485),"x","")</f>
        <v/>
      </c>
      <c r="AB2485" s="79" t="str">
        <f>IF(AND(OR(LEFT(TH!N2485,2)="15",LEFT(TH!O2485,2)="15"),LEFT(TH!O2485,3)&lt;&gt;"111",'152-CT'!$J$8=TH!F2485),"x","")</f>
        <v/>
      </c>
      <c r="AC2485" s="79" t="str">
        <f>IF(AND(OR(LEFT(TH!N2485,2)="15",LEFT(TH!O2485,2)="15"),TK!$E$7=TH!F2485),"x","")</f>
        <v/>
      </c>
      <c r="AD2485" s="79" t="str">
        <f>IF(AND(N2485="1521",MONTH(C2485)='BK-NL'!$M$11),"x","")</f>
        <v/>
      </c>
    </row>
    <row r="2486" spans="1:30" ht="16.5" customHeight="1">
      <c r="A2486" s="318" t="str">
        <f>IF(B2486&lt;&gt;"",IF(AND(B2486='IN-TC'!$S$4,OR(TH!N2486="1111",TH!O2486="1111")),TH!D2486,""),"")</f>
        <v/>
      </c>
      <c r="B2486" s="60" t="str">
        <f t="shared" si="244"/>
        <v/>
      </c>
      <c r="C2486" s="301"/>
      <c r="D2486" s="301"/>
      <c r="E2486" s="301"/>
      <c r="F2486" s="392"/>
      <c r="G2486" s="968"/>
      <c r="H2486" s="321"/>
      <c r="I2486" s="385"/>
      <c r="J2486" s="969"/>
      <c r="K2486" s="385"/>
      <c r="L2486" s="392"/>
      <c r="M2486" s="970"/>
      <c r="N2486" s="304"/>
      <c r="O2486" s="304"/>
      <c r="P2486" s="79" t="str">
        <f>IF(AND('331-CT'!$E$7=TH!H2486,OR(N2486="331",O2486="331")),"x","")</f>
        <v/>
      </c>
      <c r="Q2486" s="79" t="str">
        <f>IF(AND(B2486='111'!$L$11,OR($N2486=$Q$7,$O2486=$Q$7)),"x","")</f>
        <v/>
      </c>
      <c r="R2486" s="79" t="str">
        <f>IF(AND($N2486=$Q$7,$B2486&lt;'111'!$L$11),"x","")</f>
        <v/>
      </c>
      <c r="S2486" s="79" t="str">
        <f>IF(AND($O2486=$Q$7,$B2486&lt;'111'!$L$11),"x","")</f>
        <v/>
      </c>
      <c r="T2486" s="79" t="str">
        <f>IF(ISERROR(FIND('112'!$M$9,G2486,1)),"",IF((AND(FIND('112'!$M$9,G2486,1)&gt;=1,B2486='112'!$K$9,OR($N2486='112'!$I$6,$O2486='112'!$I$6))),"x",""))</f>
        <v/>
      </c>
      <c r="U2486" s="79" t="str">
        <f>IF(ISERROR(FIND('112'!$M$9,G2486,1)),"",IF((AND(LEFT(G2486,2)=LEFT('112'!$M$9,2),B2486&lt;'112'!$K$9,$N2486='112'!$I$6)),"x",""))</f>
        <v/>
      </c>
      <c r="V2486" s="79" t="str">
        <f>IF(ISERROR(FIND('112'!$M$9,G2486,1)),"",IF((AND(RIGHT(G2486,2)=RIGHT('112'!$M$9,2),B2486&lt;'112'!$K$9,$O2486='112'!$I$6)),"x",""))</f>
        <v/>
      </c>
      <c r="W2486" s="79" t="str">
        <f>IF(AND('341-CT'!$H$9=H2486,OR(LEFT(N2486,3)=$W$7,LEFT(O2486,3)=$W$7)),"x","")</f>
        <v/>
      </c>
      <c r="X2486" s="79" t="str">
        <f>IF(OR(TH!N2486=TH!$X$7,O2486=TH!$X$7),"x","")</f>
        <v/>
      </c>
      <c r="Y2486" s="79" t="str">
        <f>IF(AND(OR(N2486="131",O2486="131"),H2486='131-CT'!$H$9),"x","")</f>
        <v/>
      </c>
      <c r="Z2486" s="79"/>
      <c r="AA2486" s="79" t="str">
        <f>IF(AND(MONTH(E2486)='IN-NX'!$J$5,'IN-NX'!$D$7=D2486),"x","")</f>
        <v/>
      </c>
      <c r="AB2486" s="79" t="str">
        <f>IF(AND(OR(LEFT(TH!N2486,2)="15",LEFT(TH!O2486,2)="15"),LEFT(TH!O2486,3)&lt;&gt;"111",'152-CT'!$J$8=TH!F2486),"x","")</f>
        <v/>
      </c>
      <c r="AC2486" s="79" t="str">
        <f>IF(AND(OR(LEFT(TH!N2486,2)="15",LEFT(TH!O2486,2)="15"),TK!$E$7=TH!F2486),"x","")</f>
        <v/>
      </c>
      <c r="AD2486" s="79" t="str">
        <f>IF(AND(N2486="1521",MONTH(C2486)='BK-NL'!$M$11),"x","")</f>
        <v/>
      </c>
    </row>
    <row r="2487" spans="1:30" ht="16.5" customHeight="1">
      <c r="A2487" s="318" t="str">
        <f>IF(B2487&lt;&gt;"",IF(AND(B2487='IN-TC'!$S$4,OR(TH!N2487="1111",TH!O2487="1111")),TH!D2487,""),"")</f>
        <v/>
      </c>
      <c r="B2487" s="60" t="str">
        <f t="shared" si="244"/>
        <v/>
      </c>
      <c r="C2487" s="301"/>
      <c r="D2487" s="301"/>
      <c r="E2487" s="301"/>
      <c r="F2487" s="392"/>
      <c r="G2487" s="968"/>
      <c r="H2487" s="321"/>
      <c r="I2487" s="385"/>
      <c r="J2487" s="969"/>
      <c r="K2487" s="385"/>
      <c r="L2487" s="392"/>
      <c r="M2487" s="970"/>
      <c r="N2487" s="304"/>
      <c r="O2487" s="304"/>
      <c r="P2487" s="79" t="str">
        <f>IF(AND('331-CT'!$E$7=TH!H2487,OR(N2487="331",O2487="331")),"x","")</f>
        <v/>
      </c>
      <c r="Q2487" s="79" t="str">
        <f>IF(AND(B2487='111'!$L$11,OR($N2487=$Q$7,$O2487=$Q$7)),"x","")</f>
        <v/>
      </c>
      <c r="R2487" s="79" t="str">
        <f>IF(AND($N2487=$Q$7,$B2487&lt;'111'!$L$11),"x","")</f>
        <v/>
      </c>
      <c r="S2487" s="79" t="str">
        <f>IF(AND($O2487=$Q$7,$B2487&lt;'111'!$L$11),"x","")</f>
        <v/>
      </c>
      <c r="T2487" s="79" t="str">
        <f>IF(ISERROR(FIND('112'!$M$9,G2487,1)),"",IF((AND(FIND('112'!$M$9,G2487,1)&gt;=1,B2487='112'!$K$9,OR($N2487='112'!$I$6,$O2487='112'!$I$6))),"x",""))</f>
        <v/>
      </c>
      <c r="U2487" s="79" t="str">
        <f>IF(ISERROR(FIND('112'!$M$9,G2487,1)),"",IF((AND(LEFT(G2487,2)=LEFT('112'!$M$9,2),B2487&lt;'112'!$K$9,$N2487='112'!$I$6)),"x",""))</f>
        <v/>
      </c>
      <c r="V2487" s="79" t="str">
        <f>IF(ISERROR(FIND('112'!$M$9,G2487,1)),"",IF((AND(RIGHT(G2487,2)=RIGHT('112'!$M$9,2),B2487&lt;'112'!$K$9,$O2487='112'!$I$6)),"x",""))</f>
        <v/>
      </c>
      <c r="W2487" s="79" t="str">
        <f>IF(AND('341-CT'!$H$9=H2487,OR(LEFT(N2487,3)=$W$7,LEFT(O2487,3)=$W$7)),"x","")</f>
        <v/>
      </c>
      <c r="X2487" s="79" t="str">
        <f>IF(OR(TH!N2487=TH!$X$7,O2487=TH!$X$7),"x","")</f>
        <v/>
      </c>
      <c r="Y2487" s="79" t="str">
        <f>IF(AND(OR(N2487="131",O2487="131"),H2487='131-CT'!$H$9),"x","")</f>
        <v/>
      </c>
      <c r="Z2487" s="79"/>
      <c r="AA2487" s="79" t="str">
        <f>IF(AND(MONTH(E2487)='IN-NX'!$J$5,'IN-NX'!$D$7=D2487),"x","")</f>
        <v/>
      </c>
      <c r="AB2487" s="79" t="str">
        <f>IF(AND(OR(LEFT(TH!N2487,2)="15",LEFT(TH!O2487,2)="15"),LEFT(TH!O2487,3)&lt;&gt;"111",'152-CT'!$J$8=TH!F2487),"x","")</f>
        <v/>
      </c>
      <c r="AC2487" s="79" t="str">
        <f>IF(AND(OR(LEFT(TH!N2487,2)="15",LEFT(TH!O2487,2)="15"),TK!$E$7=TH!F2487),"x","")</f>
        <v/>
      </c>
      <c r="AD2487" s="79" t="str">
        <f>IF(AND(N2487="1521",MONTH(C2487)='BK-NL'!$M$11),"x","")</f>
        <v/>
      </c>
    </row>
    <row r="2488" spans="1:30" ht="16.5" customHeight="1">
      <c r="A2488" s="318" t="str">
        <f>IF(B2488&lt;&gt;"",IF(AND(B2488='IN-TC'!$S$4,OR(TH!N2488="1111",TH!O2488="1111")),TH!D2488,""),"")</f>
        <v/>
      </c>
      <c r="B2488" s="60" t="str">
        <f t="shared" si="244"/>
        <v/>
      </c>
      <c r="C2488" s="301"/>
      <c r="D2488" s="301"/>
      <c r="E2488" s="301"/>
      <c r="F2488" s="392"/>
      <c r="G2488" s="968"/>
      <c r="H2488" s="321"/>
      <c r="I2488" s="385"/>
      <c r="J2488" s="969"/>
      <c r="K2488" s="385"/>
      <c r="L2488" s="392"/>
      <c r="M2488" s="970"/>
      <c r="N2488" s="304"/>
      <c r="O2488" s="304"/>
      <c r="P2488" s="79" t="str">
        <f>IF(AND('331-CT'!$E$7=TH!H2488,OR(N2488="331",O2488="331")),"x","")</f>
        <v/>
      </c>
      <c r="Q2488" s="79" t="str">
        <f>IF(AND(B2488='111'!$L$11,OR($N2488=$Q$7,$O2488=$Q$7)),"x","")</f>
        <v/>
      </c>
      <c r="R2488" s="79" t="str">
        <f>IF(AND($N2488=$Q$7,$B2488&lt;'111'!$L$11),"x","")</f>
        <v/>
      </c>
      <c r="S2488" s="79" t="str">
        <f>IF(AND($O2488=$Q$7,$B2488&lt;'111'!$L$11),"x","")</f>
        <v/>
      </c>
      <c r="T2488" s="79" t="str">
        <f>IF(ISERROR(FIND('112'!$M$9,G2488,1)),"",IF((AND(FIND('112'!$M$9,G2488,1)&gt;=1,B2488='112'!$K$9,OR($N2488='112'!$I$6,$O2488='112'!$I$6))),"x",""))</f>
        <v/>
      </c>
      <c r="U2488" s="79" t="str">
        <f>IF(ISERROR(FIND('112'!$M$9,G2488,1)),"",IF((AND(LEFT(G2488,2)=LEFT('112'!$M$9,2),B2488&lt;'112'!$K$9,$N2488='112'!$I$6)),"x",""))</f>
        <v/>
      </c>
      <c r="V2488" s="79" t="str">
        <f>IF(ISERROR(FIND('112'!$M$9,G2488,1)),"",IF((AND(RIGHT(G2488,2)=RIGHT('112'!$M$9,2),B2488&lt;'112'!$K$9,$O2488='112'!$I$6)),"x",""))</f>
        <v/>
      </c>
      <c r="W2488" s="79" t="str">
        <f>IF(AND('341-CT'!$H$9=H2488,OR(LEFT(N2488,3)=$W$7,LEFT(O2488,3)=$W$7)),"x","")</f>
        <v/>
      </c>
      <c r="X2488" s="79" t="str">
        <f>IF(OR(TH!N2488=TH!$X$7,O2488=TH!$X$7),"x","")</f>
        <v/>
      </c>
      <c r="Y2488" s="79" t="str">
        <f>IF(AND(OR(N2488="131",O2488="131"),H2488='131-CT'!$H$9),"x","")</f>
        <v/>
      </c>
      <c r="Z2488" s="79"/>
      <c r="AA2488" s="79" t="str">
        <f>IF(AND(MONTH(E2488)='IN-NX'!$J$5,'IN-NX'!$D$7=D2488),"x","")</f>
        <v/>
      </c>
      <c r="AB2488" s="79" t="str">
        <f>IF(AND(OR(LEFT(TH!N2488,2)="15",LEFT(TH!O2488,2)="15"),LEFT(TH!O2488,3)&lt;&gt;"111",'152-CT'!$J$8=TH!F2488),"x","")</f>
        <v/>
      </c>
      <c r="AC2488" s="79" t="str">
        <f>IF(AND(OR(LEFT(TH!N2488,2)="15",LEFT(TH!O2488,2)="15"),TK!$E$7=TH!F2488),"x","")</f>
        <v/>
      </c>
      <c r="AD2488" s="79" t="str">
        <f>IF(AND(N2488="1521",MONTH(C2488)='BK-NL'!$M$11),"x","")</f>
        <v/>
      </c>
    </row>
    <row r="2489" spans="1:30" ht="16.5" customHeight="1">
      <c r="A2489" s="318" t="str">
        <f>IF(B2489&lt;&gt;"",IF(AND(B2489='IN-TC'!$S$4,OR(TH!N2489="1111",TH!O2489="1111")),TH!D2489,""),"")</f>
        <v/>
      </c>
      <c r="B2489" s="60" t="str">
        <f t="shared" si="244"/>
        <v/>
      </c>
      <c r="C2489" s="301"/>
      <c r="D2489" s="301"/>
      <c r="E2489" s="301"/>
      <c r="F2489" s="392"/>
      <c r="G2489" s="968"/>
      <c r="H2489" s="321"/>
      <c r="I2489" s="385"/>
      <c r="J2489" s="969"/>
      <c r="K2489" s="385"/>
      <c r="L2489" s="392"/>
      <c r="M2489" s="970"/>
      <c r="N2489" s="304"/>
      <c r="O2489" s="304"/>
      <c r="P2489" s="79" t="str">
        <f>IF(AND('331-CT'!$E$7=TH!H2489,OR(N2489="331",O2489="331")),"x","")</f>
        <v/>
      </c>
      <c r="Q2489" s="79" t="str">
        <f>IF(AND(B2489='111'!$L$11,OR($N2489=$Q$7,$O2489=$Q$7)),"x","")</f>
        <v/>
      </c>
      <c r="R2489" s="79" t="str">
        <f>IF(AND($N2489=$Q$7,$B2489&lt;'111'!$L$11),"x","")</f>
        <v/>
      </c>
      <c r="S2489" s="79" t="str">
        <f>IF(AND($O2489=$Q$7,$B2489&lt;'111'!$L$11),"x","")</f>
        <v/>
      </c>
      <c r="T2489" s="79" t="str">
        <f>IF(ISERROR(FIND('112'!$M$9,G2489,1)),"",IF((AND(FIND('112'!$M$9,G2489,1)&gt;=1,B2489='112'!$K$9,OR($N2489='112'!$I$6,$O2489='112'!$I$6))),"x",""))</f>
        <v/>
      </c>
      <c r="U2489" s="79" t="str">
        <f>IF(ISERROR(FIND('112'!$M$9,G2489,1)),"",IF((AND(LEFT(G2489,2)=LEFT('112'!$M$9,2),B2489&lt;'112'!$K$9,$N2489='112'!$I$6)),"x",""))</f>
        <v/>
      </c>
      <c r="V2489" s="79" t="str">
        <f>IF(ISERROR(FIND('112'!$M$9,G2489,1)),"",IF((AND(RIGHT(G2489,2)=RIGHT('112'!$M$9,2),B2489&lt;'112'!$K$9,$O2489='112'!$I$6)),"x",""))</f>
        <v/>
      </c>
      <c r="W2489" s="79" t="str">
        <f>IF(AND('341-CT'!$H$9=H2489,OR(LEFT(N2489,3)=$W$7,LEFT(O2489,3)=$W$7)),"x","")</f>
        <v/>
      </c>
      <c r="X2489" s="79" t="str">
        <f>IF(OR(TH!N2489=TH!$X$7,O2489=TH!$X$7),"x","")</f>
        <v/>
      </c>
      <c r="Y2489" s="79" t="str">
        <f>IF(AND(OR(N2489="131",O2489="131"),H2489='131-CT'!$H$9),"x","")</f>
        <v/>
      </c>
      <c r="Z2489" s="79"/>
      <c r="AA2489" s="79" t="str">
        <f>IF(AND(MONTH(E2489)='IN-NX'!$J$5,'IN-NX'!$D$7=D2489),"x","")</f>
        <v/>
      </c>
      <c r="AB2489" s="79" t="str">
        <f>IF(AND(OR(LEFT(TH!N2489,2)="15",LEFT(TH!O2489,2)="15"),LEFT(TH!O2489,3)&lt;&gt;"111",'152-CT'!$J$8=TH!F2489),"x","")</f>
        <v/>
      </c>
      <c r="AC2489" s="79" t="str">
        <f>IF(AND(OR(LEFT(TH!N2489,2)="15",LEFT(TH!O2489,2)="15"),TK!$E$7=TH!F2489),"x","")</f>
        <v/>
      </c>
      <c r="AD2489" s="79" t="str">
        <f>IF(AND(N2489="1521",MONTH(C2489)='BK-NL'!$M$11),"x","")</f>
        <v/>
      </c>
    </row>
    <row r="2490" spans="1:30" ht="16.5" customHeight="1">
      <c r="A2490" s="318" t="str">
        <f>IF(B2490&lt;&gt;"",IF(AND(B2490='IN-TC'!$S$4,OR(TH!N2490="1111",TH!O2490="1111")),TH!D2490,""),"")</f>
        <v/>
      </c>
      <c r="B2490" s="60" t="str">
        <f t="shared" si="244"/>
        <v/>
      </c>
      <c r="C2490" s="61"/>
      <c r="D2490" s="301"/>
      <c r="E2490" s="61"/>
      <c r="F2490" s="69"/>
      <c r="G2490" s="766"/>
      <c r="H2490" s="69"/>
      <c r="I2490" s="385"/>
      <c r="J2490" s="392"/>
      <c r="K2490" s="385"/>
      <c r="L2490" s="392"/>
      <c r="M2490" s="62"/>
      <c r="N2490" s="63"/>
      <c r="O2490" s="63"/>
      <c r="P2490" s="79" t="str">
        <f>IF(AND('331-CT'!$E$7=TH!H2490,OR(N2490="331",O2490="331")),"x","")</f>
        <v/>
      </c>
      <c r="Q2490" s="79" t="str">
        <f>IF(AND(B2490='111'!$L$11,OR($N2490=$Q$7,$O2490=$Q$7)),"x","")</f>
        <v/>
      </c>
      <c r="R2490" s="79" t="str">
        <f>IF(AND($N2490=$Q$7,$B2490&lt;'111'!$L$11),"x","")</f>
        <v/>
      </c>
      <c r="S2490" s="79" t="str">
        <f>IF(AND($O2490=$Q$7,$B2490&lt;'111'!$L$11),"x","")</f>
        <v/>
      </c>
      <c r="T2490" s="79" t="str">
        <f>IF(ISERROR(FIND('112'!$M$9,G2490,1)),"",IF((AND(FIND('112'!$M$9,G2490,1)&gt;=1,B2490='112'!$K$9,OR($N2490='112'!$I$6,$O2490='112'!$I$6))),"x",""))</f>
        <v/>
      </c>
      <c r="U2490" s="79" t="str">
        <f>IF(ISERROR(FIND('112'!$M$9,G2490,1)),"",IF((AND(LEFT(G2490,2)=LEFT('112'!$M$9,2),B2490&lt;'112'!$K$9,$N2490='112'!$I$6)),"x",""))</f>
        <v/>
      </c>
      <c r="V2490" s="79" t="str">
        <f>IF(ISERROR(FIND('112'!$M$9,G2490,1)),"",IF((AND(RIGHT(G2490,2)=RIGHT('112'!$M$9,2),B2490&lt;'112'!$K$9,$O2490='112'!$I$6)),"x",""))</f>
        <v/>
      </c>
      <c r="W2490" s="79" t="str">
        <f>IF(AND('341-CT'!$H$9=H2490,OR(LEFT(N2490,3)=$W$7,LEFT(O2490,3)=$W$7)),"x","")</f>
        <v/>
      </c>
      <c r="X2490" s="79" t="str">
        <f>IF(OR(TH!N2490=TH!$X$7,O2490=TH!$X$7),"x","")</f>
        <v/>
      </c>
      <c r="Y2490" s="79" t="str">
        <f>IF(AND(OR(N2490="131",O2490="131"),H2490='131-CT'!$H$9),"x","")</f>
        <v/>
      </c>
      <c r="Z2490" s="79"/>
      <c r="AA2490" s="79" t="str">
        <f>IF(AND(MONTH(E2490)='IN-NX'!$J$5,'IN-NX'!$D$7=D2490),"x","")</f>
        <v/>
      </c>
      <c r="AB2490" s="79" t="str">
        <f>IF(AND(OR(LEFT(TH!N2490,2)="15",LEFT(TH!O2490,2)="15"),LEFT(TH!O2490,3)&lt;&gt;"111",'152-CT'!$J$8=TH!F2490),"x","")</f>
        <v/>
      </c>
      <c r="AC2490" s="79" t="str">
        <f>IF(AND(OR(LEFT(TH!N2490,2)="15",LEFT(TH!O2490,2)="15"),TK!$E$7=TH!F2490),"x","")</f>
        <v/>
      </c>
      <c r="AD2490" s="79" t="str">
        <f>IF(AND(N2490="1521",MONTH(C2490)='BK-NL'!$M$11),"x","")</f>
        <v/>
      </c>
    </row>
    <row r="2491" spans="1:30" ht="16.5" customHeight="1">
      <c r="A2491" s="318" t="str">
        <f>IF(B2491&lt;&gt;"",IF(AND(B2491='IN-TC'!$S$4,OR(TH!N2491="1111",TH!O2491="1111")),TH!D2491,""),"")</f>
        <v/>
      </c>
      <c r="B2491" s="60" t="str">
        <f t="shared" si="244"/>
        <v/>
      </c>
      <c r="C2491" s="301"/>
      <c r="D2491" s="301"/>
      <c r="E2491" s="301"/>
      <c r="F2491" s="69"/>
      <c r="G2491" s="968"/>
      <c r="H2491" s="303"/>
      <c r="I2491" s="385"/>
      <c r="J2491" s="969"/>
      <c r="K2491" s="385"/>
      <c r="L2491" s="392"/>
      <c r="M2491" s="970"/>
      <c r="N2491" s="304"/>
      <c r="O2491" s="304"/>
      <c r="P2491" s="79" t="str">
        <f>IF(AND('331-CT'!$E$7=TH!H2491,OR(N2491="331",O2491="331")),"x","")</f>
        <v/>
      </c>
      <c r="Q2491" s="79" t="str">
        <f>IF(AND(B2491='111'!$L$11,OR($N2491=$Q$7,$O2491=$Q$7)),"x","")</f>
        <v/>
      </c>
      <c r="R2491" s="79" t="str">
        <f>IF(AND($N2491=$Q$7,$B2491&lt;'111'!$L$11),"x","")</f>
        <v/>
      </c>
      <c r="S2491" s="79" t="str">
        <f>IF(AND($O2491=$Q$7,$B2491&lt;'111'!$L$11),"x","")</f>
        <v/>
      </c>
      <c r="T2491" s="79" t="str">
        <f>IF(ISERROR(FIND('112'!$M$9,G2491,1)),"",IF((AND(FIND('112'!$M$9,G2491,1)&gt;=1,B2491='112'!$K$9,OR($N2491='112'!$I$6,$O2491='112'!$I$6))),"x",""))</f>
        <v/>
      </c>
      <c r="U2491" s="79" t="str">
        <f>IF(ISERROR(FIND('112'!$M$9,G2491,1)),"",IF((AND(LEFT(G2491,2)=LEFT('112'!$M$9,2),B2491&lt;'112'!$K$9,$N2491='112'!$I$6)),"x",""))</f>
        <v/>
      </c>
      <c r="V2491" s="79" t="str">
        <f>IF(ISERROR(FIND('112'!$M$9,G2491,1)),"",IF((AND(RIGHT(G2491,2)=RIGHT('112'!$M$9,2),B2491&lt;'112'!$K$9,$O2491='112'!$I$6)),"x",""))</f>
        <v/>
      </c>
      <c r="W2491" s="79" t="str">
        <f>IF(AND('341-CT'!$H$9=H2491,OR(LEFT(N2491,3)=$W$7,LEFT(O2491,3)=$W$7)),"x","")</f>
        <v/>
      </c>
      <c r="X2491" s="79" t="str">
        <f>IF(OR(TH!N2491=TH!$X$7,O2491=TH!$X$7),"x","")</f>
        <v/>
      </c>
      <c r="Y2491" s="79" t="str">
        <f>IF(AND(OR(N2491="131",O2491="131"),H2491='131-CT'!$H$9),"x","")</f>
        <v/>
      </c>
      <c r="Z2491" s="79"/>
      <c r="AA2491" s="79" t="str">
        <f>IF(AND(MONTH(E2491)='IN-NX'!$J$5,'IN-NX'!$D$7=D2491),"x","")</f>
        <v/>
      </c>
      <c r="AB2491" s="79" t="str">
        <f>IF(AND(OR(LEFT(TH!N2491,2)="15",LEFT(TH!O2491,2)="15"),LEFT(TH!O2491,3)&lt;&gt;"111",'152-CT'!$J$8=TH!F2491),"x","")</f>
        <v/>
      </c>
      <c r="AC2491" s="79" t="str">
        <f>IF(AND(OR(LEFT(TH!N2491,2)="15",LEFT(TH!O2491,2)="15"),TK!$E$7=TH!F2491),"x","")</f>
        <v/>
      </c>
      <c r="AD2491" s="79" t="str">
        <f>IF(AND(N2491="1521",MONTH(C2491)='BK-NL'!$M$11),"x","")</f>
        <v/>
      </c>
    </row>
    <row r="2492" spans="1:30" ht="16.5" customHeight="1">
      <c r="A2492" s="318" t="str">
        <f>IF(B2492&lt;&gt;"",IF(AND(B2492='IN-TC'!$S$4,OR(TH!N2492="1111",TH!O2492="1111")),TH!D2492,""),"")</f>
        <v/>
      </c>
      <c r="B2492" s="60" t="str">
        <f t="shared" si="244"/>
        <v/>
      </c>
      <c r="C2492" s="301"/>
      <c r="D2492" s="301"/>
      <c r="E2492" s="301"/>
      <c r="F2492" s="69"/>
      <c r="G2492" s="968"/>
      <c r="H2492" s="303"/>
      <c r="I2492" s="385"/>
      <c r="J2492" s="969"/>
      <c r="K2492" s="385"/>
      <c r="L2492" s="392"/>
      <c r="M2492" s="970"/>
      <c r="N2492" s="304"/>
      <c r="O2492" s="304"/>
      <c r="P2492" s="79" t="str">
        <f>IF(AND('331-CT'!$E$7=TH!H2492,OR(N2492="331",O2492="331")),"x","")</f>
        <v/>
      </c>
      <c r="Q2492" s="79" t="str">
        <f>IF(AND(B2492='111'!$L$11,OR($N2492=$Q$7,$O2492=$Q$7)),"x","")</f>
        <v/>
      </c>
      <c r="R2492" s="79" t="str">
        <f>IF(AND($N2492=$Q$7,$B2492&lt;'111'!$L$11),"x","")</f>
        <v/>
      </c>
      <c r="S2492" s="79" t="str">
        <f>IF(AND($O2492=$Q$7,$B2492&lt;'111'!$L$11),"x","")</f>
        <v/>
      </c>
      <c r="T2492" s="79" t="str">
        <f>IF(ISERROR(FIND('112'!$M$9,G2492,1)),"",IF((AND(FIND('112'!$M$9,G2492,1)&gt;=1,B2492='112'!$K$9,OR($N2492='112'!$I$6,$O2492='112'!$I$6))),"x",""))</f>
        <v/>
      </c>
      <c r="U2492" s="79" t="str">
        <f>IF(ISERROR(FIND('112'!$M$9,G2492,1)),"",IF((AND(LEFT(G2492,2)=LEFT('112'!$M$9,2),B2492&lt;'112'!$K$9,$N2492='112'!$I$6)),"x",""))</f>
        <v/>
      </c>
      <c r="V2492" s="79" t="str">
        <f>IF(ISERROR(FIND('112'!$M$9,G2492,1)),"",IF((AND(RIGHT(G2492,2)=RIGHT('112'!$M$9,2),B2492&lt;'112'!$K$9,$O2492='112'!$I$6)),"x",""))</f>
        <v/>
      </c>
      <c r="W2492" s="79" t="str">
        <f>IF(AND('341-CT'!$H$9=H2492,OR(LEFT(N2492,3)=$W$7,LEFT(O2492,3)=$W$7)),"x","")</f>
        <v/>
      </c>
      <c r="X2492" s="79" t="str">
        <f>IF(OR(TH!N2492=TH!$X$7,O2492=TH!$X$7),"x","")</f>
        <v/>
      </c>
      <c r="Y2492" s="79" t="str">
        <f>IF(AND(OR(N2492="131",O2492="131"),H2492='131-CT'!$H$9),"x","")</f>
        <v/>
      </c>
      <c r="Z2492" s="79"/>
      <c r="AA2492" s="79" t="str">
        <f>IF(AND(MONTH(E2492)='IN-NX'!$J$5,'IN-NX'!$D$7=D2492),"x","")</f>
        <v/>
      </c>
      <c r="AB2492" s="79" t="str">
        <f>IF(AND(OR(LEFT(TH!N2492,2)="15",LEFT(TH!O2492,2)="15"),LEFT(TH!O2492,3)&lt;&gt;"111",'152-CT'!$J$8=TH!F2492),"x","")</f>
        <v/>
      </c>
      <c r="AC2492" s="79" t="str">
        <f>IF(AND(OR(LEFT(TH!N2492,2)="15",LEFT(TH!O2492,2)="15"),TK!$E$7=TH!F2492),"x","")</f>
        <v/>
      </c>
      <c r="AD2492" s="79" t="str">
        <f>IF(AND(N2492="1521",MONTH(C2492)='BK-NL'!$M$11),"x","")</f>
        <v/>
      </c>
    </row>
    <row r="2493" spans="1:30" ht="16.5" customHeight="1">
      <c r="A2493" s="318" t="str">
        <f>IF(B2493&lt;&gt;"",IF(AND(B2493='IN-TC'!$S$4,OR(TH!N2493="1111",TH!O2493="1111")),TH!D2493,""),"")</f>
        <v/>
      </c>
      <c r="B2493" s="60" t="str">
        <f t="shared" si="244"/>
        <v/>
      </c>
      <c r="C2493" s="301"/>
      <c r="D2493" s="301"/>
      <c r="E2493" s="301"/>
      <c r="F2493" s="69"/>
      <c r="G2493" s="968"/>
      <c r="H2493" s="303"/>
      <c r="I2493" s="385"/>
      <c r="J2493" s="969"/>
      <c r="K2493" s="385"/>
      <c r="L2493" s="392"/>
      <c r="M2493" s="970"/>
      <c r="N2493" s="304"/>
      <c r="O2493" s="304"/>
      <c r="P2493" s="79" t="str">
        <f>IF(AND('331-CT'!$E$7=TH!H2493,OR(N2493="331",O2493="331")),"x","")</f>
        <v/>
      </c>
      <c r="Q2493" s="79" t="str">
        <f>IF(AND(B2493='111'!$L$11,OR($N2493=$Q$7,$O2493=$Q$7)),"x","")</f>
        <v/>
      </c>
      <c r="R2493" s="79" t="str">
        <f>IF(AND($N2493=$Q$7,$B2493&lt;'111'!$L$11),"x","")</f>
        <v/>
      </c>
      <c r="S2493" s="79" t="str">
        <f>IF(AND($O2493=$Q$7,$B2493&lt;'111'!$L$11),"x","")</f>
        <v/>
      </c>
      <c r="T2493" s="79" t="str">
        <f>IF(ISERROR(FIND('112'!$M$9,G2493,1)),"",IF((AND(FIND('112'!$M$9,G2493,1)&gt;=1,B2493='112'!$K$9,OR($N2493='112'!$I$6,$O2493='112'!$I$6))),"x",""))</f>
        <v/>
      </c>
      <c r="U2493" s="79" t="str">
        <f>IF(ISERROR(FIND('112'!$M$9,G2493,1)),"",IF((AND(LEFT(G2493,2)=LEFT('112'!$M$9,2),B2493&lt;'112'!$K$9,$N2493='112'!$I$6)),"x",""))</f>
        <v/>
      </c>
      <c r="V2493" s="79" t="str">
        <f>IF(ISERROR(FIND('112'!$M$9,G2493,1)),"",IF((AND(RIGHT(G2493,2)=RIGHT('112'!$M$9,2),B2493&lt;'112'!$K$9,$O2493='112'!$I$6)),"x",""))</f>
        <v/>
      </c>
      <c r="W2493" s="79" t="str">
        <f>IF(AND('341-CT'!$H$9=H2493,OR(LEFT(N2493,3)=$W$7,LEFT(O2493,3)=$W$7)),"x","")</f>
        <v/>
      </c>
      <c r="X2493" s="79" t="str">
        <f>IF(OR(TH!N2493=TH!$X$7,O2493=TH!$X$7),"x","")</f>
        <v/>
      </c>
      <c r="Y2493" s="79" t="str">
        <f>IF(AND(OR(N2493="131",O2493="131"),H2493='131-CT'!$H$9),"x","")</f>
        <v/>
      </c>
      <c r="Z2493" s="79"/>
      <c r="AA2493" s="79" t="str">
        <f>IF(AND(MONTH(E2493)='IN-NX'!$J$5,'IN-NX'!$D$7=D2493),"x","")</f>
        <v/>
      </c>
      <c r="AB2493" s="79" t="str">
        <f>IF(AND(OR(LEFT(TH!N2493,2)="15",LEFT(TH!O2493,2)="15"),LEFT(TH!O2493,3)&lt;&gt;"111",'152-CT'!$J$8=TH!F2493),"x","")</f>
        <v/>
      </c>
      <c r="AC2493" s="79" t="str">
        <f>IF(AND(OR(LEFT(TH!N2493,2)="15",LEFT(TH!O2493,2)="15"),TK!$E$7=TH!F2493),"x","")</f>
        <v/>
      </c>
      <c r="AD2493" s="79" t="str">
        <f>IF(AND(N2493="1521",MONTH(C2493)='BK-NL'!$M$11),"x","")</f>
        <v/>
      </c>
    </row>
    <row r="2494" spans="1:30" ht="16.5" customHeight="1">
      <c r="A2494" s="318" t="str">
        <f>IF(B2494&lt;&gt;"",IF(AND(B2494='IN-TC'!$S$4,OR(TH!N2494="1111",TH!O2494="1111")),TH!D2494,""),"")</f>
        <v/>
      </c>
      <c r="B2494" s="60" t="str">
        <f t="shared" si="244"/>
        <v/>
      </c>
      <c r="C2494" s="301"/>
      <c r="D2494" s="301"/>
      <c r="E2494" s="301"/>
      <c r="F2494" s="69"/>
      <c r="G2494" s="968"/>
      <c r="H2494" s="303"/>
      <c r="I2494" s="385"/>
      <c r="J2494" s="969"/>
      <c r="K2494" s="385"/>
      <c r="L2494" s="392"/>
      <c r="M2494" s="970"/>
      <c r="N2494" s="304"/>
      <c r="O2494" s="304"/>
      <c r="P2494" s="79" t="str">
        <f>IF(AND('331-CT'!$E$7=TH!H2494,OR(N2494="331",O2494="331")),"x","")</f>
        <v/>
      </c>
      <c r="Q2494" s="79" t="str">
        <f>IF(AND(B2494='111'!$L$11,OR($N2494=$Q$7,$O2494=$Q$7)),"x","")</f>
        <v/>
      </c>
      <c r="R2494" s="79" t="str">
        <f>IF(AND($N2494=$Q$7,$B2494&lt;'111'!$L$11),"x","")</f>
        <v/>
      </c>
      <c r="S2494" s="79" t="str">
        <f>IF(AND($O2494=$Q$7,$B2494&lt;'111'!$L$11),"x","")</f>
        <v/>
      </c>
      <c r="T2494" s="79" t="str">
        <f>IF(ISERROR(FIND('112'!$M$9,G2494,1)),"",IF((AND(FIND('112'!$M$9,G2494,1)&gt;=1,B2494='112'!$K$9,OR($N2494='112'!$I$6,$O2494='112'!$I$6))),"x",""))</f>
        <v/>
      </c>
      <c r="U2494" s="79" t="str">
        <f>IF(ISERROR(FIND('112'!$M$9,G2494,1)),"",IF((AND(LEFT(G2494,2)=LEFT('112'!$M$9,2),B2494&lt;'112'!$K$9,$N2494='112'!$I$6)),"x",""))</f>
        <v/>
      </c>
      <c r="V2494" s="79" t="str">
        <f>IF(ISERROR(FIND('112'!$M$9,G2494,1)),"",IF((AND(RIGHT(G2494,2)=RIGHT('112'!$M$9,2),B2494&lt;'112'!$K$9,$O2494='112'!$I$6)),"x",""))</f>
        <v/>
      </c>
      <c r="W2494" s="79" t="str">
        <f>IF(AND('341-CT'!$H$9=H2494,OR(LEFT(N2494,3)=$W$7,LEFT(O2494,3)=$W$7)),"x","")</f>
        <v/>
      </c>
      <c r="X2494" s="79" t="str">
        <f>IF(OR(TH!N2494=TH!$X$7,O2494=TH!$X$7),"x","")</f>
        <v/>
      </c>
      <c r="Y2494" s="79" t="str">
        <f>IF(AND(OR(N2494="131",O2494="131"),H2494='131-CT'!$H$9),"x","")</f>
        <v/>
      </c>
      <c r="Z2494" s="79"/>
      <c r="AA2494" s="79" t="str">
        <f>IF(AND(MONTH(E2494)='IN-NX'!$J$5,'IN-NX'!$D$7=D2494),"x","")</f>
        <v/>
      </c>
      <c r="AB2494" s="79" t="str">
        <f>IF(AND(OR(LEFT(TH!N2494,2)="15",LEFT(TH!O2494,2)="15"),LEFT(TH!O2494,3)&lt;&gt;"111",'152-CT'!$J$8=TH!F2494),"x","")</f>
        <v/>
      </c>
      <c r="AC2494" s="79" t="str">
        <f>IF(AND(OR(LEFT(TH!N2494,2)="15",LEFT(TH!O2494,2)="15"),TK!$E$7=TH!F2494),"x","")</f>
        <v/>
      </c>
      <c r="AD2494" s="79" t="str">
        <f>IF(AND(N2494="1521",MONTH(C2494)='BK-NL'!$M$11),"x","")</f>
        <v/>
      </c>
    </row>
    <row r="2495" spans="1:30" ht="16.5" customHeight="1">
      <c r="A2495" s="318" t="str">
        <f>IF(B2495&lt;&gt;"",IF(AND(B2495='IN-TC'!$S$4,OR(TH!N2495="1111",TH!O2495="1111")),TH!D2495,""),"")</f>
        <v/>
      </c>
      <c r="B2495" s="60" t="str">
        <f t="shared" si="244"/>
        <v/>
      </c>
      <c r="C2495" s="301"/>
      <c r="D2495" s="301"/>
      <c r="E2495" s="301"/>
      <c r="F2495" s="69"/>
      <c r="G2495" s="968"/>
      <c r="H2495" s="303"/>
      <c r="I2495" s="385"/>
      <c r="J2495" s="969"/>
      <c r="K2495" s="385"/>
      <c r="L2495" s="392"/>
      <c r="M2495" s="970"/>
      <c r="N2495" s="304"/>
      <c r="O2495" s="304"/>
      <c r="P2495" s="79" t="str">
        <f>IF(AND('331-CT'!$E$7=TH!H2495,OR(N2495="331",O2495="331")),"x","")</f>
        <v/>
      </c>
      <c r="Q2495" s="79" t="str">
        <f>IF(AND(B2495='111'!$L$11,OR($N2495=$Q$7,$O2495=$Q$7)),"x","")</f>
        <v/>
      </c>
      <c r="R2495" s="79" t="str">
        <f>IF(AND($N2495=$Q$7,$B2495&lt;'111'!$L$11),"x","")</f>
        <v/>
      </c>
      <c r="S2495" s="79" t="str">
        <f>IF(AND($O2495=$Q$7,$B2495&lt;'111'!$L$11),"x","")</f>
        <v/>
      </c>
      <c r="T2495" s="79" t="str">
        <f>IF(ISERROR(FIND('112'!$M$9,G2495,1)),"",IF((AND(FIND('112'!$M$9,G2495,1)&gt;=1,B2495='112'!$K$9,OR($N2495='112'!$I$6,$O2495='112'!$I$6))),"x",""))</f>
        <v/>
      </c>
      <c r="U2495" s="79" t="str">
        <f>IF(ISERROR(FIND('112'!$M$9,G2495,1)),"",IF((AND(LEFT(G2495,2)=LEFT('112'!$M$9,2),B2495&lt;'112'!$K$9,$N2495='112'!$I$6)),"x",""))</f>
        <v/>
      </c>
      <c r="V2495" s="79" t="str">
        <f>IF(ISERROR(FIND('112'!$M$9,G2495,1)),"",IF((AND(RIGHT(G2495,2)=RIGHT('112'!$M$9,2),B2495&lt;'112'!$K$9,$O2495='112'!$I$6)),"x",""))</f>
        <v/>
      </c>
      <c r="W2495" s="79" t="str">
        <f>IF(AND('341-CT'!$H$9=H2495,OR(LEFT(N2495,3)=$W$7,LEFT(O2495,3)=$W$7)),"x","")</f>
        <v/>
      </c>
      <c r="X2495" s="79" t="str">
        <f>IF(OR(TH!N2495=TH!$X$7,O2495=TH!$X$7),"x","")</f>
        <v/>
      </c>
      <c r="Y2495" s="79" t="str">
        <f>IF(AND(OR(N2495="131",O2495="131"),H2495='131-CT'!$H$9),"x","")</f>
        <v/>
      </c>
      <c r="Z2495" s="79"/>
      <c r="AA2495" s="79" t="str">
        <f>IF(AND(MONTH(E2495)='IN-NX'!$J$5,'IN-NX'!$D$7=D2495),"x","")</f>
        <v/>
      </c>
      <c r="AB2495" s="79" t="str">
        <f>IF(AND(OR(LEFT(TH!N2495,2)="15",LEFT(TH!O2495,2)="15"),LEFT(TH!O2495,3)&lt;&gt;"111",'152-CT'!$J$8=TH!F2495),"x","")</f>
        <v/>
      </c>
      <c r="AC2495" s="79" t="str">
        <f>IF(AND(OR(LEFT(TH!N2495,2)="15",LEFT(TH!O2495,2)="15"),TK!$E$7=TH!F2495),"x","")</f>
        <v/>
      </c>
      <c r="AD2495" s="79" t="str">
        <f>IF(AND(N2495="1521",MONTH(C2495)='BK-NL'!$M$11),"x","")</f>
        <v/>
      </c>
    </row>
    <row r="2496" spans="1:30" ht="16.5" customHeight="1">
      <c r="A2496" s="318" t="str">
        <f>IF(B2496&lt;&gt;"",IF(AND(B2496='IN-TC'!$S$4,OR(TH!N2496="1111",TH!O2496="1111")),TH!D2496,""),"")</f>
        <v/>
      </c>
      <c r="B2496" s="60" t="str">
        <f t="shared" si="244"/>
        <v/>
      </c>
      <c r="C2496" s="301"/>
      <c r="D2496" s="301"/>
      <c r="E2496" s="301"/>
      <c r="F2496" s="69"/>
      <c r="G2496" s="968"/>
      <c r="H2496" s="303"/>
      <c r="I2496" s="385"/>
      <c r="J2496" s="969"/>
      <c r="K2496" s="385"/>
      <c r="L2496" s="392"/>
      <c r="M2496" s="970"/>
      <c r="N2496" s="304"/>
      <c r="O2496" s="304"/>
      <c r="P2496" s="79" t="str">
        <f>IF(AND('331-CT'!$E$7=TH!H2496,OR(N2496="331",O2496="331")),"x","")</f>
        <v/>
      </c>
      <c r="Q2496" s="79" t="str">
        <f>IF(AND(B2496='111'!$L$11,OR($N2496=$Q$7,$O2496=$Q$7)),"x","")</f>
        <v/>
      </c>
      <c r="R2496" s="79" t="str">
        <f>IF(AND($N2496=$Q$7,$B2496&lt;'111'!$L$11),"x","")</f>
        <v/>
      </c>
      <c r="S2496" s="79" t="str">
        <f>IF(AND($O2496=$Q$7,$B2496&lt;'111'!$L$11),"x","")</f>
        <v/>
      </c>
      <c r="T2496" s="79" t="str">
        <f>IF(ISERROR(FIND('112'!$M$9,G2496,1)),"",IF((AND(FIND('112'!$M$9,G2496,1)&gt;=1,B2496='112'!$K$9,OR($N2496='112'!$I$6,$O2496='112'!$I$6))),"x",""))</f>
        <v/>
      </c>
      <c r="U2496" s="79" t="str">
        <f>IF(ISERROR(FIND('112'!$M$9,G2496,1)),"",IF((AND(LEFT(G2496,2)=LEFT('112'!$M$9,2),B2496&lt;'112'!$K$9,$N2496='112'!$I$6)),"x",""))</f>
        <v/>
      </c>
      <c r="V2496" s="79" t="str">
        <f>IF(ISERROR(FIND('112'!$M$9,G2496,1)),"",IF((AND(RIGHT(G2496,2)=RIGHT('112'!$M$9,2),B2496&lt;'112'!$K$9,$O2496='112'!$I$6)),"x",""))</f>
        <v/>
      </c>
      <c r="W2496" s="79" t="str">
        <f>IF(AND('341-CT'!$H$9=H2496,OR(LEFT(N2496,3)=$W$7,LEFT(O2496,3)=$W$7)),"x","")</f>
        <v/>
      </c>
      <c r="X2496" s="79" t="str">
        <f>IF(OR(TH!N2496=TH!$X$7,O2496=TH!$X$7),"x","")</f>
        <v/>
      </c>
      <c r="Y2496" s="79" t="str">
        <f>IF(AND(OR(N2496="131",O2496="131"),H2496='131-CT'!$H$9),"x","")</f>
        <v/>
      </c>
      <c r="Z2496" s="79"/>
      <c r="AA2496" s="79" t="str">
        <f>IF(AND(MONTH(E2496)='IN-NX'!$J$5,'IN-NX'!$D$7=D2496),"x","")</f>
        <v/>
      </c>
      <c r="AB2496" s="79" t="str">
        <f>IF(AND(OR(LEFT(TH!N2496,2)="15",LEFT(TH!O2496,2)="15"),LEFT(TH!O2496,3)&lt;&gt;"111",'152-CT'!$J$8=TH!F2496),"x","")</f>
        <v/>
      </c>
      <c r="AC2496" s="79" t="str">
        <f>IF(AND(OR(LEFT(TH!N2496,2)="15",LEFT(TH!O2496,2)="15"),TK!$E$7=TH!F2496),"x","")</f>
        <v/>
      </c>
      <c r="AD2496" s="79" t="str">
        <f>IF(AND(N2496="1521",MONTH(C2496)='BK-NL'!$M$11),"x","")</f>
        <v/>
      </c>
    </row>
    <row r="2497" spans="1:30" ht="16.5" customHeight="1">
      <c r="A2497" s="318" t="str">
        <f>IF(B2497&lt;&gt;"",IF(AND(B2497='IN-TC'!$S$4,OR(TH!N2497="1111",TH!O2497="1111")),TH!D2497,""),"")</f>
        <v/>
      </c>
      <c r="B2497" s="60" t="str">
        <f t="shared" si="244"/>
        <v/>
      </c>
      <c r="C2497" s="301"/>
      <c r="D2497" s="301"/>
      <c r="E2497" s="301"/>
      <c r="F2497" s="392"/>
      <c r="G2497" s="968"/>
      <c r="H2497" s="321"/>
      <c r="I2497" s="385"/>
      <c r="J2497" s="969"/>
      <c r="K2497" s="385"/>
      <c r="L2497" s="392"/>
      <c r="M2497" s="970"/>
      <c r="N2497" s="304"/>
      <c r="O2497" s="304"/>
      <c r="P2497" s="79" t="str">
        <f>IF(AND('331-CT'!$E$7=TH!H2497,OR(N2497="331",O2497="331")),"x","")</f>
        <v/>
      </c>
      <c r="Q2497" s="79" t="str">
        <f>IF(AND(B2497='111'!$L$11,OR($N2497=$Q$7,$O2497=$Q$7)),"x","")</f>
        <v/>
      </c>
      <c r="R2497" s="79" t="str">
        <f>IF(AND($N2497=$Q$7,$B2497&lt;'111'!$L$11),"x","")</f>
        <v/>
      </c>
      <c r="S2497" s="79" t="str">
        <f>IF(AND($O2497=$Q$7,$B2497&lt;'111'!$L$11),"x","")</f>
        <v/>
      </c>
      <c r="T2497" s="79" t="str">
        <f>IF(ISERROR(FIND('112'!$M$9,G2497,1)),"",IF((AND(FIND('112'!$M$9,G2497,1)&gt;=1,B2497='112'!$K$9,OR($N2497='112'!$I$6,$O2497='112'!$I$6))),"x",""))</f>
        <v/>
      </c>
      <c r="U2497" s="79" t="str">
        <f>IF(ISERROR(FIND('112'!$M$9,G2497,1)),"",IF((AND(LEFT(G2497,2)=LEFT('112'!$M$9,2),B2497&lt;'112'!$K$9,$N2497='112'!$I$6)),"x",""))</f>
        <v/>
      </c>
      <c r="V2497" s="79" t="str">
        <f>IF(ISERROR(FIND('112'!$M$9,G2497,1)),"",IF((AND(RIGHT(G2497,2)=RIGHT('112'!$M$9,2),B2497&lt;'112'!$K$9,$O2497='112'!$I$6)),"x",""))</f>
        <v/>
      </c>
      <c r="W2497" s="79" t="str">
        <f>IF(AND('341-CT'!$H$9=H2497,OR(LEFT(N2497,3)=$W$7,LEFT(O2497,3)=$W$7)),"x","")</f>
        <v/>
      </c>
      <c r="X2497" s="79" t="str">
        <f>IF(OR(TH!N2497=TH!$X$7,O2497=TH!$X$7),"x","")</f>
        <v/>
      </c>
      <c r="Y2497" s="79" t="str">
        <f>IF(AND(OR(N2497="131",O2497="131"),H2497='131-CT'!$H$9),"x","")</f>
        <v/>
      </c>
      <c r="Z2497" s="79"/>
      <c r="AA2497" s="79" t="str">
        <f>IF(AND(MONTH(E2497)='IN-NX'!$J$5,'IN-NX'!$D$7=D2497),"x","")</f>
        <v/>
      </c>
      <c r="AB2497" s="79" t="str">
        <f>IF(AND(OR(LEFT(TH!N2497,2)="15",LEFT(TH!O2497,2)="15"),LEFT(TH!O2497,3)&lt;&gt;"111",'152-CT'!$J$8=TH!F2497),"x","")</f>
        <v/>
      </c>
      <c r="AC2497" s="79" t="str">
        <f>IF(AND(OR(LEFT(TH!N2497,2)="15",LEFT(TH!O2497,2)="15"),TK!$E$7=TH!F2497),"x","")</f>
        <v/>
      </c>
      <c r="AD2497" s="79" t="str">
        <f>IF(AND(N2497="1521",MONTH(C2497)='BK-NL'!$M$11),"x","")</f>
        <v/>
      </c>
    </row>
    <row r="2498" spans="1:30" ht="16.5" customHeight="1">
      <c r="A2498" s="318" t="str">
        <f>IF(B2498&lt;&gt;"",IF(AND(B2498='IN-TC'!$S$4,OR(TH!N2498="1111",TH!O2498="1111")),TH!D2498,""),"")</f>
        <v/>
      </c>
      <c r="B2498" s="60" t="str">
        <f t="shared" si="244"/>
        <v/>
      </c>
      <c r="C2498" s="301"/>
      <c r="D2498" s="301"/>
      <c r="E2498" s="301"/>
      <c r="F2498" s="392"/>
      <c r="G2498" s="968"/>
      <c r="H2498" s="321"/>
      <c r="I2498" s="385"/>
      <c r="J2498" s="969"/>
      <c r="K2498" s="385"/>
      <c r="L2498" s="392"/>
      <c r="M2498" s="970"/>
      <c r="N2498" s="304"/>
      <c r="O2498" s="304"/>
      <c r="P2498" s="79" t="str">
        <f>IF(AND('331-CT'!$E$7=TH!H2498,OR(N2498="331",O2498="331")),"x","")</f>
        <v/>
      </c>
      <c r="Q2498" s="79" t="str">
        <f>IF(AND(B2498='111'!$L$11,OR($N2498=$Q$7,$O2498=$Q$7)),"x","")</f>
        <v/>
      </c>
      <c r="R2498" s="79" t="str">
        <f>IF(AND($N2498=$Q$7,$B2498&lt;'111'!$L$11),"x","")</f>
        <v/>
      </c>
      <c r="S2498" s="79" t="str">
        <f>IF(AND($O2498=$Q$7,$B2498&lt;'111'!$L$11),"x","")</f>
        <v/>
      </c>
      <c r="T2498" s="79" t="str">
        <f>IF(ISERROR(FIND('112'!$M$9,G2498,1)),"",IF((AND(FIND('112'!$M$9,G2498,1)&gt;=1,B2498='112'!$K$9,OR($N2498='112'!$I$6,$O2498='112'!$I$6))),"x",""))</f>
        <v/>
      </c>
      <c r="U2498" s="79" t="str">
        <f>IF(ISERROR(FIND('112'!$M$9,G2498,1)),"",IF((AND(LEFT(G2498,2)=LEFT('112'!$M$9,2),B2498&lt;'112'!$K$9,$N2498='112'!$I$6)),"x",""))</f>
        <v/>
      </c>
      <c r="V2498" s="79" t="str">
        <f>IF(ISERROR(FIND('112'!$M$9,G2498,1)),"",IF((AND(RIGHT(G2498,2)=RIGHT('112'!$M$9,2),B2498&lt;'112'!$K$9,$O2498='112'!$I$6)),"x",""))</f>
        <v/>
      </c>
      <c r="W2498" s="79" t="str">
        <f>IF(AND('341-CT'!$H$9=H2498,OR(LEFT(N2498,3)=$W$7,LEFT(O2498,3)=$W$7)),"x","")</f>
        <v/>
      </c>
      <c r="X2498" s="79" t="str">
        <f>IF(OR(TH!N2498=TH!$X$7,O2498=TH!$X$7),"x","")</f>
        <v/>
      </c>
      <c r="Y2498" s="79" t="str">
        <f>IF(AND(OR(N2498="131",O2498="131"),H2498='131-CT'!$H$9),"x","")</f>
        <v/>
      </c>
      <c r="Z2498" s="79"/>
      <c r="AA2498" s="79" t="str">
        <f>IF(AND(MONTH(E2498)='IN-NX'!$J$5,'IN-NX'!$D$7=D2498),"x","")</f>
        <v/>
      </c>
      <c r="AB2498" s="79" t="str">
        <f>IF(AND(OR(LEFT(TH!N2498,2)="15",LEFT(TH!O2498,2)="15"),LEFT(TH!O2498,3)&lt;&gt;"111",'152-CT'!$J$8=TH!F2498),"x","")</f>
        <v/>
      </c>
      <c r="AC2498" s="79" t="str">
        <f>IF(AND(OR(LEFT(TH!N2498,2)="15",LEFT(TH!O2498,2)="15"),TK!$E$7=TH!F2498),"x","")</f>
        <v/>
      </c>
      <c r="AD2498" s="79" t="str">
        <f>IF(AND(N2498="1521",MONTH(C2498)='BK-NL'!$M$11),"x","")</f>
        <v/>
      </c>
    </row>
    <row r="2499" spans="1:30" ht="16.5" customHeight="1">
      <c r="A2499" s="318" t="str">
        <f>IF(B2499&lt;&gt;"",IF(AND(B2499='IN-TC'!$S$4,OR(TH!N2499="1111",TH!O2499="1111")),TH!D2499,""),"")</f>
        <v/>
      </c>
      <c r="B2499" s="60" t="str">
        <f t="shared" si="244"/>
        <v/>
      </c>
      <c r="C2499" s="301"/>
      <c r="D2499" s="301"/>
      <c r="E2499" s="301"/>
      <c r="F2499" s="392"/>
      <c r="G2499" s="968"/>
      <c r="H2499" s="321"/>
      <c r="I2499" s="385"/>
      <c r="J2499" s="969"/>
      <c r="K2499" s="385"/>
      <c r="L2499" s="392"/>
      <c r="M2499" s="970"/>
      <c r="N2499" s="304"/>
      <c r="O2499" s="304"/>
      <c r="P2499" s="79" t="str">
        <f>IF(AND('331-CT'!$E$7=TH!H2499,OR(N2499="331",O2499="331")),"x","")</f>
        <v/>
      </c>
      <c r="Q2499" s="79" t="str">
        <f>IF(AND(B2499='111'!$L$11,OR($N2499=$Q$7,$O2499=$Q$7)),"x","")</f>
        <v/>
      </c>
      <c r="R2499" s="79" t="str">
        <f>IF(AND($N2499=$Q$7,$B2499&lt;'111'!$L$11),"x","")</f>
        <v/>
      </c>
      <c r="S2499" s="79" t="str">
        <f>IF(AND($O2499=$Q$7,$B2499&lt;'111'!$L$11),"x","")</f>
        <v/>
      </c>
      <c r="T2499" s="79" t="str">
        <f>IF(ISERROR(FIND('112'!$M$9,G2499,1)),"",IF((AND(FIND('112'!$M$9,G2499,1)&gt;=1,B2499='112'!$K$9,OR($N2499='112'!$I$6,$O2499='112'!$I$6))),"x",""))</f>
        <v/>
      </c>
      <c r="U2499" s="79" t="str">
        <f>IF(ISERROR(FIND('112'!$M$9,G2499,1)),"",IF((AND(LEFT(G2499,2)=LEFT('112'!$M$9,2),B2499&lt;'112'!$K$9,$N2499='112'!$I$6)),"x",""))</f>
        <v/>
      </c>
      <c r="V2499" s="79" t="str">
        <f>IF(ISERROR(FIND('112'!$M$9,G2499,1)),"",IF((AND(RIGHT(G2499,2)=RIGHT('112'!$M$9,2),B2499&lt;'112'!$K$9,$O2499='112'!$I$6)),"x",""))</f>
        <v/>
      </c>
      <c r="W2499" s="79" t="str">
        <f>IF(AND('341-CT'!$H$9=H2499,OR(LEFT(N2499,3)=$W$7,LEFT(O2499,3)=$W$7)),"x","")</f>
        <v/>
      </c>
      <c r="X2499" s="79" t="str">
        <f>IF(OR(TH!N2499=TH!$X$7,O2499=TH!$X$7),"x","")</f>
        <v/>
      </c>
      <c r="Y2499" s="79" t="str">
        <f>IF(AND(OR(N2499="131",O2499="131"),H2499='131-CT'!$H$9),"x","")</f>
        <v/>
      </c>
      <c r="Z2499" s="79"/>
      <c r="AA2499" s="79" t="str">
        <f>IF(AND(MONTH(E2499)='IN-NX'!$J$5,'IN-NX'!$D$7=D2499),"x","")</f>
        <v/>
      </c>
      <c r="AB2499" s="79" t="str">
        <f>IF(AND(OR(LEFT(TH!N2499,2)="15",LEFT(TH!O2499,2)="15"),LEFT(TH!O2499,3)&lt;&gt;"111",'152-CT'!$J$8=TH!F2499),"x","")</f>
        <v/>
      </c>
      <c r="AC2499" s="79" t="str">
        <f>IF(AND(OR(LEFT(TH!N2499,2)="15",LEFT(TH!O2499,2)="15"),TK!$E$7=TH!F2499),"x","")</f>
        <v/>
      </c>
      <c r="AD2499" s="79" t="str">
        <f>IF(AND(N2499="1521",MONTH(C2499)='BK-NL'!$M$11),"x","")</f>
        <v/>
      </c>
    </row>
    <row r="2500" spans="1:30" ht="16.5" customHeight="1">
      <c r="A2500" s="318" t="str">
        <f>IF(B2500&lt;&gt;"",IF(AND(B2500='IN-TC'!$S$4,OR(TH!N2500="1111",TH!O2500="1111")),TH!D2500,""),"")</f>
        <v/>
      </c>
      <c r="B2500" s="60" t="str">
        <f t="shared" si="244"/>
        <v/>
      </c>
      <c r="C2500" s="301"/>
      <c r="D2500" s="301"/>
      <c r="E2500" s="301"/>
      <c r="F2500" s="392"/>
      <c r="G2500" s="968"/>
      <c r="H2500" s="321"/>
      <c r="I2500" s="385"/>
      <c r="J2500" s="969"/>
      <c r="K2500" s="385"/>
      <c r="L2500" s="392"/>
      <c r="M2500" s="970"/>
      <c r="N2500" s="304"/>
      <c r="O2500" s="304"/>
      <c r="P2500" s="79" t="str">
        <f>IF(AND('331-CT'!$E$7=TH!H2500,OR(N2500="331",O2500="331")),"x","")</f>
        <v/>
      </c>
      <c r="Q2500" s="79" t="str">
        <f>IF(AND(B2500='111'!$L$11,OR($N2500=$Q$7,$O2500=$Q$7)),"x","")</f>
        <v/>
      </c>
      <c r="R2500" s="79" t="str">
        <f>IF(AND($N2500=$Q$7,$B2500&lt;'111'!$L$11),"x","")</f>
        <v/>
      </c>
      <c r="S2500" s="79" t="str">
        <f>IF(AND($O2500=$Q$7,$B2500&lt;'111'!$L$11),"x","")</f>
        <v/>
      </c>
      <c r="T2500" s="79" t="str">
        <f>IF(ISERROR(FIND('112'!$M$9,G2500,1)),"",IF((AND(FIND('112'!$M$9,G2500,1)&gt;=1,B2500='112'!$K$9,OR($N2500='112'!$I$6,$O2500='112'!$I$6))),"x",""))</f>
        <v/>
      </c>
      <c r="U2500" s="79" t="str">
        <f>IF(ISERROR(FIND('112'!$M$9,G2500,1)),"",IF((AND(LEFT(G2500,2)=LEFT('112'!$M$9,2),B2500&lt;'112'!$K$9,$N2500='112'!$I$6)),"x",""))</f>
        <v/>
      </c>
      <c r="V2500" s="79" t="str">
        <f>IF(ISERROR(FIND('112'!$M$9,G2500,1)),"",IF((AND(RIGHT(G2500,2)=RIGHT('112'!$M$9,2),B2500&lt;'112'!$K$9,$O2500='112'!$I$6)),"x",""))</f>
        <v/>
      </c>
      <c r="W2500" s="79" t="str">
        <f>IF(AND('341-CT'!$H$9=H2500,OR(LEFT(N2500,3)=$W$7,LEFT(O2500,3)=$W$7)),"x","")</f>
        <v/>
      </c>
      <c r="X2500" s="79" t="str">
        <f>IF(OR(TH!N2500=TH!$X$7,O2500=TH!$X$7),"x","")</f>
        <v/>
      </c>
      <c r="Y2500" s="79" t="str">
        <f>IF(AND(OR(N2500="131",O2500="131"),H2500='131-CT'!$H$9),"x","")</f>
        <v/>
      </c>
      <c r="Z2500" s="79"/>
      <c r="AA2500" s="79" t="str">
        <f>IF(AND(MONTH(E2500)='IN-NX'!$J$5,'IN-NX'!$D$7=D2500),"x","")</f>
        <v/>
      </c>
      <c r="AB2500" s="79" t="str">
        <f>IF(AND(OR(LEFT(TH!N2500,2)="15",LEFT(TH!O2500,2)="15"),LEFT(TH!O2500,3)&lt;&gt;"111",'152-CT'!$J$8=TH!F2500),"x","")</f>
        <v/>
      </c>
      <c r="AC2500" s="79" t="str">
        <f>IF(AND(OR(LEFT(TH!N2500,2)="15",LEFT(TH!O2500,2)="15"),TK!$E$7=TH!F2500),"x","")</f>
        <v/>
      </c>
      <c r="AD2500" s="79" t="str">
        <f>IF(AND(N2500="1521",MONTH(C2500)='BK-NL'!$M$11),"x","")</f>
        <v/>
      </c>
    </row>
    <row r="2501" spans="1:30" ht="16.5" customHeight="1">
      <c r="A2501" s="318" t="str">
        <f>IF(B2501&lt;&gt;"",IF(AND(B2501='IN-TC'!$S$4,OR(TH!N2501="1111",TH!O2501="1111")),TH!D2501,""),"")</f>
        <v/>
      </c>
      <c r="B2501" s="60" t="str">
        <f t="shared" si="244"/>
        <v/>
      </c>
      <c r="C2501" s="301"/>
      <c r="D2501" s="301"/>
      <c r="E2501" s="301"/>
      <c r="F2501" s="392"/>
      <c r="G2501" s="968"/>
      <c r="H2501" s="321"/>
      <c r="I2501" s="385"/>
      <c r="J2501" s="969"/>
      <c r="K2501" s="385"/>
      <c r="L2501" s="392"/>
      <c r="M2501" s="970"/>
      <c r="N2501" s="304"/>
      <c r="O2501" s="304"/>
      <c r="P2501" s="79" t="str">
        <f>IF(AND('331-CT'!$E$7=TH!H2501,OR(N2501="331",O2501="331")),"x","")</f>
        <v/>
      </c>
      <c r="Q2501" s="79" t="str">
        <f>IF(AND(B2501='111'!$L$11,OR($N2501=$Q$7,$O2501=$Q$7)),"x","")</f>
        <v/>
      </c>
      <c r="R2501" s="79" t="str">
        <f>IF(AND($N2501=$Q$7,$B2501&lt;'111'!$L$11),"x","")</f>
        <v/>
      </c>
      <c r="S2501" s="79" t="str">
        <f>IF(AND($O2501=$Q$7,$B2501&lt;'111'!$L$11),"x","")</f>
        <v/>
      </c>
      <c r="T2501" s="79" t="str">
        <f>IF(ISERROR(FIND('112'!$M$9,G2501,1)),"",IF((AND(FIND('112'!$M$9,G2501,1)&gt;=1,B2501='112'!$K$9,OR($N2501='112'!$I$6,$O2501='112'!$I$6))),"x",""))</f>
        <v/>
      </c>
      <c r="U2501" s="79" t="str">
        <f>IF(ISERROR(FIND('112'!$M$9,G2501,1)),"",IF((AND(LEFT(G2501,2)=LEFT('112'!$M$9,2),B2501&lt;'112'!$K$9,$N2501='112'!$I$6)),"x",""))</f>
        <v/>
      </c>
      <c r="V2501" s="79" t="str">
        <f>IF(ISERROR(FIND('112'!$M$9,G2501,1)),"",IF((AND(RIGHT(G2501,2)=RIGHT('112'!$M$9,2),B2501&lt;'112'!$K$9,$O2501='112'!$I$6)),"x",""))</f>
        <v/>
      </c>
      <c r="W2501" s="79" t="str">
        <f>IF(AND('341-CT'!$H$9=H2501,OR(LEFT(N2501,3)=$W$7,LEFT(O2501,3)=$W$7)),"x","")</f>
        <v/>
      </c>
      <c r="X2501" s="79" t="str">
        <f>IF(OR(TH!N2501=TH!$X$7,O2501=TH!$X$7),"x","")</f>
        <v/>
      </c>
      <c r="Y2501" s="79" t="str">
        <f>IF(AND(OR(N2501="131",O2501="131"),H2501='131-CT'!$H$9),"x","")</f>
        <v/>
      </c>
      <c r="Z2501" s="79"/>
      <c r="AA2501" s="79" t="str">
        <f>IF(AND(MONTH(E2501)='IN-NX'!$J$5,'IN-NX'!$D$7=D2501),"x","")</f>
        <v/>
      </c>
      <c r="AB2501" s="79" t="str">
        <f>IF(AND(OR(LEFT(TH!N2501,2)="15",LEFT(TH!O2501,2)="15"),LEFT(TH!O2501,3)&lt;&gt;"111",'152-CT'!$J$8=TH!F2501),"x","")</f>
        <v/>
      </c>
      <c r="AC2501" s="79" t="str">
        <f>IF(AND(OR(LEFT(TH!N2501,2)="15",LEFT(TH!O2501,2)="15"),TK!$E$7=TH!F2501),"x","")</f>
        <v/>
      </c>
      <c r="AD2501" s="79" t="str">
        <f>IF(AND(N2501="1521",MONTH(C2501)='BK-NL'!$M$11),"x","")</f>
        <v/>
      </c>
    </row>
    <row r="2502" spans="1:30" ht="16.5" customHeight="1">
      <c r="A2502" s="318" t="str">
        <f>IF(B2502&lt;&gt;"",IF(AND(B2502='IN-TC'!$S$4,OR(TH!N2502="1111",TH!O2502="1111")),TH!D2502,""),"")</f>
        <v/>
      </c>
      <c r="B2502" s="60" t="str">
        <f t="shared" si="244"/>
        <v/>
      </c>
      <c r="C2502" s="301"/>
      <c r="D2502" s="301"/>
      <c r="E2502" s="301"/>
      <c r="F2502" s="392"/>
      <c r="G2502" s="968"/>
      <c r="H2502" s="321"/>
      <c r="I2502" s="385"/>
      <c r="J2502" s="969"/>
      <c r="K2502" s="385"/>
      <c r="L2502" s="392"/>
      <c r="M2502" s="970"/>
      <c r="N2502" s="304"/>
      <c r="O2502" s="304"/>
      <c r="P2502" s="79" t="str">
        <f>IF(AND('331-CT'!$E$7=TH!H2502,OR(N2502="331",O2502="331")),"x","")</f>
        <v/>
      </c>
      <c r="Q2502" s="79" t="str">
        <f>IF(AND(B2502='111'!$L$11,OR($N2502=$Q$7,$O2502=$Q$7)),"x","")</f>
        <v/>
      </c>
      <c r="R2502" s="79" t="str">
        <f>IF(AND($N2502=$Q$7,$B2502&lt;'111'!$L$11),"x","")</f>
        <v/>
      </c>
      <c r="S2502" s="79" t="str">
        <f>IF(AND($O2502=$Q$7,$B2502&lt;'111'!$L$11),"x","")</f>
        <v/>
      </c>
      <c r="T2502" s="79" t="str">
        <f>IF(ISERROR(FIND('112'!$M$9,G2502,1)),"",IF((AND(FIND('112'!$M$9,G2502,1)&gt;=1,B2502='112'!$K$9,OR($N2502='112'!$I$6,$O2502='112'!$I$6))),"x",""))</f>
        <v/>
      </c>
      <c r="U2502" s="79" t="str">
        <f>IF(ISERROR(FIND('112'!$M$9,G2502,1)),"",IF((AND(LEFT(G2502,2)=LEFT('112'!$M$9,2),B2502&lt;'112'!$K$9,$N2502='112'!$I$6)),"x",""))</f>
        <v/>
      </c>
      <c r="V2502" s="79" t="str">
        <f>IF(ISERROR(FIND('112'!$M$9,G2502,1)),"",IF((AND(RIGHT(G2502,2)=RIGHT('112'!$M$9,2),B2502&lt;'112'!$K$9,$O2502='112'!$I$6)),"x",""))</f>
        <v/>
      </c>
      <c r="W2502" s="79" t="str">
        <f>IF(AND('341-CT'!$H$9=H2502,OR(LEFT(N2502,3)=$W$7,LEFT(O2502,3)=$W$7)),"x","")</f>
        <v/>
      </c>
      <c r="X2502" s="79" t="str">
        <f>IF(OR(TH!N2502=TH!$X$7,O2502=TH!$X$7),"x","")</f>
        <v/>
      </c>
      <c r="Y2502" s="79" t="str">
        <f>IF(AND(OR(N2502="131",O2502="131"),H2502='131-CT'!$H$9),"x","")</f>
        <v/>
      </c>
      <c r="Z2502" s="79"/>
      <c r="AA2502" s="79" t="str">
        <f>IF(AND(MONTH(E2502)='IN-NX'!$J$5,'IN-NX'!$D$7=D2502),"x","")</f>
        <v/>
      </c>
      <c r="AB2502" s="79" t="str">
        <f>IF(AND(OR(LEFT(TH!N2502,2)="15",LEFT(TH!O2502,2)="15"),LEFT(TH!O2502,3)&lt;&gt;"111",'152-CT'!$J$8=TH!F2502),"x","")</f>
        <v/>
      </c>
      <c r="AC2502" s="79" t="str">
        <f>IF(AND(OR(LEFT(TH!N2502,2)="15",LEFT(TH!O2502,2)="15"),TK!$E$7=TH!F2502),"x","")</f>
        <v/>
      </c>
      <c r="AD2502" s="79" t="str">
        <f>IF(AND(N2502="1521",MONTH(C2502)='BK-NL'!$M$11),"x","")</f>
        <v/>
      </c>
    </row>
    <row r="2503" spans="1:30" ht="16.5" customHeight="1">
      <c r="A2503" s="318" t="str">
        <f>IF(B2503&lt;&gt;"",IF(AND(B2503='IN-TC'!$S$4,OR(TH!N2503="1111",TH!O2503="1111")),TH!D2503,""),"")</f>
        <v/>
      </c>
      <c r="B2503" s="60" t="str">
        <f t="shared" si="244"/>
        <v/>
      </c>
      <c r="C2503" s="301"/>
      <c r="D2503" s="301"/>
      <c r="E2503" s="301"/>
      <c r="F2503" s="69"/>
      <c r="G2503" s="968"/>
      <c r="H2503" s="303"/>
      <c r="I2503" s="385"/>
      <c r="J2503" s="969"/>
      <c r="K2503" s="385"/>
      <c r="L2503" s="392"/>
      <c r="M2503" s="970"/>
      <c r="N2503" s="304"/>
      <c r="O2503" s="304"/>
      <c r="P2503" s="79" t="str">
        <f>IF(AND('331-CT'!$E$7=TH!H2503,OR(N2503="331",O2503="331")),"x","")</f>
        <v/>
      </c>
      <c r="Q2503" s="79" t="str">
        <f>IF(AND(B2503='111'!$L$11,OR($N2503=$Q$7,$O2503=$Q$7)),"x","")</f>
        <v/>
      </c>
      <c r="R2503" s="79" t="str">
        <f>IF(AND($N2503=$Q$7,$B2503&lt;'111'!$L$11),"x","")</f>
        <v/>
      </c>
      <c r="S2503" s="79" t="str">
        <f>IF(AND($O2503=$Q$7,$B2503&lt;'111'!$L$11),"x","")</f>
        <v/>
      </c>
      <c r="T2503" s="79" t="str">
        <f>IF(ISERROR(FIND('112'!$M$9,G2503,1)),"",IF((AND(FIND('112'!$M$9,G2503,1)&gt;=1,B2503='112'!$K$9,OR($N2503='112'!$I$6,$O2503='112'!$I$6))),"x",""))</f>
        <v/>
      </c>
      <c r="U2503" s="79" t="str">
        <f>IF(ISERROR(FIND('112'!$M$9,G2503,1)),"",IF((AND(LEFT(G2503,2)=LEFT('112'!$M$9,2),B2503&lt;'112'!$K$9,$N2503='112'!$I$6)),"x",""))</f>
        <v/>
      </c>
      <c r="V2503" s="79" t="str">
        <f>IF(ISERROR(FIND('112'!$M$9,G2503,1)),"",IF((AND(RIGHT(G2503,2)=RIGHT('112'!$M$9,2),B2503&lt;'112'!$K$9,$O2503='112'!$I$6)),"x",""))</f>
        <v/>
      </c>
      <c r="W2503" s="79" t="str">
        <f>IF(AND('341-CT'!$H$9=H2503,OR(LEFT(N2503,3)=$W$7,LEFT(O2503,3)=$W$7)),"x","")</f>
        <v/>
      </c>
      <c r="X2503" s="79" t="str">
        <f>IF(OR(TH!N2503=TH!$X$7,O2503=TH!$X$7),"x","")</f>
        <v/>
      </c>
      <c r="Y2503" s="79" t="str">
        <f>IF(AND(OR(N2503="131",O2503="131"),H2503='131-CT'!$H$9),"x","")</f>
        <v/>
      </c>
      <c r="Z2503" s="79"/>
      <c r="AA2503" s="79" t="str">
        <f>IF(AND(MONTH(E2503)='IN-NX'!$J$5,'IN-NX'!$D$7=D2503),"x","")</f>
        <v/>
      </c>
      <c r="AB2503" s="79" t="str">
        <f>IF(AND(OR(LEFT(TH!N2503,2)="15",LEFT(TH!O2503,2)="15"),LEFT(TH!O2503,3)&lt;&gt;"111",'152-CT'!$J$8=TH!F2503),"x","")</f>
        <v/>
      </c>
      <c r="AC2503" s="79" t="str">
        <f>IF(AND(OR(LEFT(TH!N2503,2)="15",LEFT(TH!O2503,2)="15"),TK!$E$7=TH!F2503),"x","")</f>
        <v/>
      </c>
      <c r="AD2503" s="79" t="str">
        <f>IF(AND(N2503="1521",MONTH(C2503)='BK-NL'!$M$11),"x","")</f>
        <v/>
      </c>
    </row>
    <row r="2504" spans="1:30" ht="16.5" customHeight="1">
      <c r="A2504" s="318" t="str">
        <f>IF(B2504&lt;&gt;"",IF(AND(B2504='IN-TC'!$S$4,OR(TH!N2504="1111",TH!O2504="1111")),TH!D2504,""),"")</f>
        <v/>
      </c>
      <c r="B2504" s="60" t="str">
        <f t="shared" si="244"/>
        <v/>
      </c>
      <c r="C2504" s="301"/>
      <c r="D2504" s="301"/>
      <c r="E2504" s="301"/>
      <c r="F2504" s="69"/>
      <c r="G2504" s="968"/>
      <c r="H2504" s="303"/>
      <c r="I2504" s="385"/>
      <c r="J2504" s="969"/>
      <c r="K2504" s="385"/>
      <c r="L2504" s="392"/>
      <c r="M2504" s="970"/>
      <c r="N2504" s="304"/>
      <c r="O2504" s="304"/>
      <c r="P2504" s="79" t="str">
        <f>IF(AND('331-CT'!$E$7=TH!H2504,OR(N2504="331",O2504="331")),"x","")</f>
        <v/>
      </c>
      <c r="Q2504" s="79" t="str">
        <f>IF(AND(B2504='111'!$L$11,OR($N2504=$Q$7,$O2504=$Q$7)),"x","")</f>
        <v/>
      </c>
      <c r="R2504" s="79" t="str">
        <f>IF(AND($N2504=$Q$7,$B2504&lt;'111'!$L$11),"x","")</f>
        <v/>
      </c>
      <c r="S2504" s="79" t="str">
        <f>IF(AND($O2504=$Q$7,$B2504&lt;'111'!$L$11),"x","")</f>
        <v/>
      </c>
      <c r="T2504" s="79" t="str">
        <f>IF(ISERROR(FIND('112'!$M$9,G2504,1)),"",IF((AND(FIND('112'!$M$9,G2504,1)&gt;=1,B2504='112'!$K$9,OR($N2504='112'!$I$6,$O2504='112'!$I$6))),"x",""))</f>
        <v/>
      </c>
      <c r="U2504" s="79" t="str">
        <f>IF(ISERROR(FIND('112'!$M$9,G2504,1)),"",IF((AND(LEFT(G2504,2)=LEFT('112'!$M$9,2),B2504&lt;'112'!$K$9,$N2504='112'!$I$6)),"x",""))</f>
        <v/>
      </c>
      <c r="V2504" s="79" t="str">
        <f>IF(ISERROR(FIND('112'!$M$9,G2504,1)),"",IF((AND(RIGHT(G2504,2)=RIGHT('112'!$M$9,2),B2504&lt;'112'!$K$9,$O2504='112'!$I$6)),"x",""))</f>
        <v/>
      </c>
      <c r="W2504" s="79" t="str">
        <f>IF(AND('341-CT'!$H$9=H2504,OR(LEFT(N2504,3)=$W$7,LEFT(O2504,3)=$W$7)),"x","")</f>
        <v/>
      </c>
      <c r="X2504" s="79" t="str">
        <f>IF(OR(TH!N2504=TH!$X$7,O2504=TH!$X$7),"x","")</f>
        <v/>
      </c>
      <c r="Y2504" s="79" t="str">
        <f>IF(AND(OR(N2504="131",O2504="131"),H2504='131-CT'!$H$9),"x","")</f>
        <v/>
      </c>
      <c r="Z2504" s="79"/>
      <c r="AA2504" s="79" t="str">
        <f>IF(AND(MONTH(E2504)='IN-NX'!$J$5,'IN-NX'!$D$7=D2504),"x","")</f>
        <v/>
      </c>
      <c r="AB2504" s="79" t="str">
        <f>IF(AND(OR(LEFT(TH!N2504,2)="15",LEFT(TH!O2504,2)="15"),LEFT(TH!O2504,3)&lt;&gt;"111",'152-CT'!$J$8=TH!F2504),"x","")</f>
        <v/>
      </c>
      <c r="AC2504" s="79" t="str">
        <f>IF(AND(OR(LEFT(TH!N2504,2)="15",LEFT(TH!O2504,2)="15"),TK!$E$7=TH!F2504),"x","")</f>
        <v/>
      </c>
      <c r="AD2504" s="79" t="str">
        <f>IF(AND(N2504="1521",MONTH(C2504)='BK-NL'!$M$11),"x","")</f>
        <v/>
      </c>
    </row>
    <row r="2505" spans="1:30" ht="16.5" customHeight="1">
      <c r="A2505" s="318" t="str">
        <f>IF(B2505&lt;&gt;"",IF(AND(B2505='IN-TC'!$S$4,OR(TH!N2505="1111",TH!O2505="1111")),TH!D2505,""),"")</f>
        <v/>
      </c>
      <c r="B2505" s="60" t="str">
        <f t="shared" si="244"/>
        <v/>
      </c>
      <c r="C2505" s="301"/>
      <c r="D2505" s="301"/>
      <c r="E2505" s="301"/>
      <c r="F2505" s="1162"/>
      <c r="G2505" s="968"/>
      <c r="H2505" s="303"/>
      <c r="I2505" s="385"/>
      <c r="J2505" s="969"/>
      <c r="K2505" s="385"/>
      <c r="L2505" s="392"/>
      <c r="M2505" s="970"/>
      <c r="N2505" s="304"/>
      <c r="O2505" s="304"/>
      <c r="P2505" s="79" t="str">
        <f>IF(AND('331-CT'!$E$7=TH!H2505,OR(N2505="331",O2505="331")),"x","")</f>
        <v/>
      </c>
      <c r="Q2505" s="79" t="str">
        <f>IF(AND(B2505='111'!$L$11,OR($N2505=$Q$7,$O2505=$Q$7)),"x","")</f>
        <v/>
      </c>
      <c r="R2505" s="79" t="str">
        <f>IF(AND($N2505=$Q$7,$B2505&lt;'111'!$L$11),"x","")</f>
        <v/>
      </c>
      <c r="S2505" s="79" t="str">
        <f>IF(AND($O2505=$Q$7,$B2505&lt;'111'!$L$11),"x","")</f>
        <v/>
      </c>
      <c r="T2505" s="79" t="str">
        <f>IF(ISERROR(FIND('112'!$M$9,G2505,1)),"",IF((AND(FIND('112'!$M$9,G2505,1)&gt;=1,B2505='112'!$K$9,OR($N2505='112'!$I$6,$O2505='112'!$I$6))),"x",""))</f>
        <v/>
      </c>
      <c r="U2505" s="79" t="str">
        <f>IF(ISERROR(FIND('112'!$M$9,G2505,1)),"",IF((AND(LEFT(G2505,2)=LEFT('112'!$M$9,2),B2505&lt;'112'!$K$9,$N2505='112'!$I$6)),"x",""))</f>
        <v/>
      </c>
      <c r="V2505" s="79" t="str">
        <f>IF(ISERROR(FIND('112'!$M$9,G2505,1)),"",IF((AND(RIGHT(G2505,2)=RIGHT('112'!$M$9,2),B2505&lt;'112'!$K$9,$O2505='112'!$I$6)),"x",""))</f>
        <v/>
      </c>
      <c r="W2505" s="79" t="str">
        <f>IF(AND('341-CT'!$H$9=H2505,OR(LEFT(N2505,3)=$W$7,LEFT(O2505,3)=$W$7)),"x","")</f>
        <v/>
      </c>
      <c r="X2505" s="79" t="str">
        <f>IF(OR(TH!N2505=TH!$X$7,O2505=TH!$X$7),"x","")</f>
        <v/>
      </c>
      <c r="Y2505" s="79" t="str">
        <f>IF(AND(OR(N2505="131",O2505="131"),H2505='131-CT'!$H$9),"x","")</f>
        <v/>
      </c>
      <c r="Z2505" s="79"/>
      <c r="AA2505" s="79" t="str">
        <f>IF(AND(MONTH(E2505)='IN-NX'!$J$5,'IN-NX'!$D$7=D2505),"x","")</f>
        <v/>
      </c>
      <c r="AB2505" s="79" t="str">
        <f>IF(AND(OR(LEFT(TH!N2505,2)="15",LEFT(TH!O2505,2)="15"),LEFT(TH!O2505,3)&lt;&gt;"111",'152-CT'!$J$8=TH!F2505),"x","")</f>
        <v/>
      </c>
      <c r="AC2505" s="79" t="str">
        <f>IF(AND(OR(LEFT(TH!N2505,2)="15",LEFT(TH!O2505,2)="15"),TK!$E$7=TH!F2505),"x","")</f>
        <v/>
      </c>
      <c r="AD2505" s="79" t="str">
        <f>IF(AND(N2505="1521",MONTH(C2505)='BK-NL'!$M$11),"x","")</f>
        <v/>
      </c>
    </row>
    <row r="2506" spans="1:30" ht="16.5" customHeight="1">
      <c r="A2506" s="318" t="str">
        <f>IF(B2506&lt;&gt;"",IF(AND(B2506='IN-TC'!$S$4,OR(TH!N2506="1111",TH!O2506="1111")),TH!D2506,""),"")</f>
        <v/>
      </c>
      <c r="B2506" s="60" t="str">
        <f t="shared" ref="B2506:B2509" si="245">IF(C2506&lt;&gt;"",MONTH(C2506),"")</f>
        <v/>
      </c>
      <c r="C2506" s="301"/>
      <c r="D2506" s="301"/>
      <c r="E2506" s="301"/>
      <c r="F2506" s="69"/>
      <c r="G2506" s="968"/>
      <c r="H2506" s="303"/>
      <c r="I2506" s="385"/>
      <c r="J2506" s="969"/>
      <c r="K2506" s="385"/>
      <c r="L2506" s="392"/>
      <c r="M2506" s="970"/>
      <c r="N2506" s="304"/>
      <c r="O2506" s="304"/>
      <c r="P2506" s="79" t="str">
        <f>IF(AND('331-CT'!$E$7=TH!H2506,OR(N2506="331",O2506="331")),"x","")</f>
        <v/>
      </c>
      <c r="Q2506" s="79" t="str">
        <f>IF(AND(B2506='111'!$L$11,OR($N2506=$Q$7,$O2506=$Q$7)),"x","")</f>
        <v/>
      </c>
      <c r="R2506" s="79" t="str">
        <f>IF(AND($N2506=$Q$7,$B2506&lt;'111'!$L$11),"x","")</f>
        <v/>
      </c>
      <c r="S2506" s="79" t="str">
        <f>IF(AND($O2506=$Q$7,$B2506&lt;'111'!$L$11),"x","")</f>
        <v/>
      </c>
      <c r="T2506" s="79" t="str">
        <f>IF(ISERROR(FIND('112'!$M$9,G2506,1)),"",IF((AND(FIND('112'!$M$9,G2506,1)&gt;=1,B2506='112'!$K$9,OR($N2506='112'!$I$6,$O2506='112'!$I$6))),"x",""))</f>
        <v/>
      </c>
      <c r="U2506" s="79" t="str">
        <f>IF(ISERROR(FIND('112'!$M$9,G2506,1)),"",IF((AND(LEFT(G2506,2)=LEFT('112'!$M$9,2),B2506&lt;'112'!$K$9,$N2506='112'!$I$6)),"x",""))</f>
        <v/>
      </c>
      <c r="V2506" s="79" t="str">
        <f>IF(ISERROR(FIND('112'!$M$9,G2506,1)),"",IF((AND(RIGHT(G2506,2)=RIGHT('112'!$M$9,2),B2506&lt;'112'!$K$9,$O2506='112'!$I$6)),"x",""))</f>
        <v/>
      </c>
      <c r="W2506" s="79" t="str">
        <f>IF(AND('341-CT'!$H$9=H2506,OR(LEFT(N2506,3)=$W$7,LEFT(O2506,3)=$W$7)),"x","")</f>
        <v/>
      </c>
      <c r="X2506" s="79" t="str">
        <f>IF(OR(TH!N2506=TH!$X$7,O2506=TH!$X$7),"x","")</f>
        <v/>
      </c>
      <c r="Y2506" s="79" t="str">
        <f>IF(AND(OR(N2506="131",O2506="131"),H2506='131-CT'!$H$9),"x","")</f>
        <v/>
      </c>
      <c r="Z2506" s="79"/>
      <c r="AA2506" s="79" t="str">
        <f>IF(AND(MONTH(E2506)='IN-NX'!$J$5,'IN-NX'!$D$7=D2506),"x","")</f>
        <v/>
      </c>
      <c r="AB2506" s="79" t="str">
        <f>IF(AND(OR(LEFT(TH!N2506,2)="15",LEFT(TH!O2506,2)="15"),LEFT(TH!O2506,3)&lt;&gt;"111",'152-CT'!$J$8=TH!F2506),"x","")</f>
        <v/>
      </c>
      <c r="AC2506" s="79" t="str">
        <f>IF(AND(OR(LEFT(TH!N2506,2)="15",LEFT(TH!O2506,2)="15"),TK!$E$7=TH!F2506),"x","")</f>
        <v/>
      </c>
      <c r="AD2506" s="79" t="str">
        <f>IF(AND(N2506="1521",MONTH(C2506)='BK-NL'!$M$11),"x","")</f>
        <v/>
      </c>
    </row>
    <row r="2507" spans="1:30" ht="16.5" customHeight="1">
      <c r="A2507" s="318" t="str">
        <f>IF(B2507&lt;&gt;"",IF(AND(B2507='IN-TC'!$S$4,OR(TH!N2507="1111",TH!O2507="1111")),TH!D2507,""),"")</f>
        <v/>
      </c>
      <c r="B2507" s="60" t="str">
        <f t="shared" si="245"/>
        <v/>
      </c>
      <c r="C2507" s="301"/>
      <c r="D2507" s="301"/>
      <c r="E2507" s="301"/>
      <c r="F2507" s="69"/>
      <c r="G2507" s="968"/>
      <c r="H2507" s="303"/>
      <c r="I2507" s="385"/>
      <c r="J2507" s="969"/>
      <c r="K2507" s="385"/>
      <c r="L2507" s="392"/>
      <c r="M2507" s="970"/>
      <c r="N2507" s="304"/>
      <c r="O2507" s="304"/>
      <c r="P2507" s="79" t="str">
        <f>IF(AND('331-CT'!$E$7=TH!H2507,OR(N2507="331",O2507="331")),"x","")</f>
        <v/>
      </c>
      <c r="Q2507" s="79" t="str">
        <f>IF(AND(B2507='111'!$L$11,OR($N2507=$Q$7,$O2507=$Q$7)),"x","")</f>
        <v/>
      </c>
      <c r="R2507" s="79" t="str">
        <f>IF(AND($N2507=$Q$7,$B2507&lt;'111'!$L$11),"x","")</f>
        <v/>
      </c>
      <c r="S2507" s="79" t="str">
        <f>IF(AND($O2507=$Q$7,$B2507&lt;'111'!$L$11),"x","")</f>
        <v/>
      </c>
      <c r="T2507" s="79" t="str">
        <f>IF(ISERROR(FIND('112'!$M$9,G2507,1)),"",IF((AND(FIND('112'!$M$9,G2507,1)&gt;=1,B2507='112'!$K$9,OR($N2507='112'!$I$6,$O2507='112'!$I$6))),"x",""))</f>
        <v/>
      </c>
      <c r="U2507" s="79" t="str">
        <f>IF(ISERROR(FIND('112'!$M$9,G2507,1)),"",IF((AND(LEFT(G2507,2)=LEFT('112'!$M$9,2),B2507&lt;'112'!$K$9,$N2507='112'!$I$6)),"x",""))</f>
        <v/>
      </c>
      <c r="V2507" s="79" t="str">
        <f>IF(ISERROR(FIND('112'!$M$9,G2507,1)),"",IF((AND(RIGHT(G2507,2)=RIGHT('112'!$M$9,2),B2507&lt;'112'!$K$9,$O2507='112'!$I$6)),"x",""))</f>
        <v/>
      </c>
      <c r="W2507" s="79" t="str">
        <f>IF(AND('341-CT'!$H$9=H2507,OR(LEFT(N2507,3)=$W$7,LEFT(O2507,3)=$W$7)),"x","")</f>
        <v/>
      </c>
      <c r="X2507" s="79" t="str">
        <f>IF(OR(TH!N2507=TH!$X$7,O2507=TH!$X$7),"x","")</f>
        <v/>
      </c>
      <c r="Y2507" s="79" t="str">
        <f>IF(AND(OR(N2507="131",O2507="131"),H2507='131-CT'!$H$9),"x","")</f>
        <v/>
      </c>
      <c r="Z2507" s="79"/>
      <c r="AA2507" s="79" t="str">
        <f>IF(AND(MONTH(E2507)='IN-NX'!$J$5,'IN-NX'!$D$7=D2507),"x","")</f>
        <v/>
      </c>
      <c r="AB2507" s="79" t="str">
        <f>IF(AND(OR(LEFT(TH!N2507,2)="15",LEFT(TH!O2507,2)="15"),LEFT(TH!O2507,3)&lt;&gt;"111",'152-CT'!$J$8=TH!F2507),"x","")</f>
        <v/>
      </c>
      <c r="AC2507" s="79" t="str">
        <f>IF(AND(OR(LEFT(TH!N2507,2)="15",LEFT(TH!O2507,2)="15"),TK!$E$7=TH!F2507),"x","")</f>
        <v/>
      </c>
      <c r="AD2507" s="79" t="str">
        <f>IF(AND(N2507="1521",MONTH(C2507)='BK-NL'!$M$11),"x","")</f>
        <v/>
      </c>
    </row>
    <row r="2508" spans="1:30" ht="16.5" customHeight="1">
      <c r="A2508" s="318" t="str">
        <f>IF(B2508&lt;&gt;"",IF(AND(B2508='IN-TC'!$S$4,OR(TH!N2508="1111",TH!O2508="1111")),TH!D2508,""),"")</f>
        <v/>
      </c>
      <c r="B2508" s="60" t="str">
        <f t="shared" si="245"/>
        <v/>
      </c>
      <c r="C2508" s="301"/>
      <c r="D2508" s="301"/>
      <c r="E2508" s="301"/>
      <c r="F2508" s="69"/>
      <c r="G2508" s="968"/>
      <c r="H2508" s="303"/>
      <c r="I2508" s="385"/>
      <c r="J2508" s="969"/>
      <c r="K2508" s="385"/>
      <c r="L2508" s="392"/>
      <c r="M2508" s="970"/>
      <c r="N2508" s="304"/>
      <c r="O2508" s="304"/>
      <c r="P2508" s="79" t="str">
        <f>IF(AND('331-CT'!$E$7=TH!H2508,OR(N2508="331",O2508="331")),"x","")</f>
        <v/>
      </c>
      <c r="Q2508" s="79" t="str">
        <f>IF(AND(B2508='111'!$L$11,OR($N2508=$Q$7,$O2508=$Q$7)),"x","")</f>
        <v/>
      </c>
      <c r="R2508" s="79" t="str">
        <f>IF(AND($N2508=$Q$7,$B2508&lt;'111'!$L$11),"x","")</f>
        <v/>
      </c>
      <c r="S2508" s="79" t="str">
        <f>IF(AND($O2508=$Q$7,$B2508&lt;'111'!$L$11),"x","")</f>
        <v/>
      </c>
      <c r="T2508" s="79" t="str">
        <f>IF(ISERROR(FIND('112'!$M$9,G2508,1)),"",IF((AND(FIND('112'!$M$9,G2508,1)&gt;=1,B2508='112'!$K$9,OR($N2508='112'!$I$6,$O2508='112'!$I$6))),"x",""))</f>
        <v/>
      </c>
      <c r="U2508" s="79" t="str">
        <f>IF(ISERROR(FIND('112'!$M$9,G2508,1)),"",IF((AND(LEFT(G2508,2)=LEFT('112'!$M$9,2),B2508&lt;'112'!$K$9,$N2508='112'!$I$6)),"x",""))</f>
        <v/>
      </c>
      <c r="V2508" s="79" t="str">
        <f>IF(ISERROR(FIND('112'!$M$9,G2508,1)),"",IF((AND(RIGHT(G2508,2)=RIGHT('112'!$M$9,2),B2508&lt;'112'!$K$9,$O2508='112'!$I$6)),"x",""))</f>
        <v/>
      </c>
      <c r="W2508" s="79" t="str">
        <f>IF(AND('341-CT'!$H$9=H2508,OR(LEFT(N2508,3)=$W$7,LEFT(O2508,3)=$W$7)),"x","")</f>
        <v/>
      </c>
      <c r="X2508" s="79" t="str">
        <f>IF(OR(TH!N2508=TH!$X$7,O2508=TH!$X$7),"x","")</f>
        <v/>
      </c>
      <c r="Y2508" s="79" t="str">
        <f>IF(AND(OR(N2508="131",O2508="131"),H2508='131-CT'!$H$9),"x","")</f>
        <v/>
      </c>
      <c r="Z2508" s="79"/>
      <c r="AA2508" s="79" t="str">
        <f>IF(AND(MONTH(E2508)='IN-NX'!$J$5,'IN-NX'!$D$7=D2508),"x","")</f>
        <v/>
      </c>
      <c r="AB2508" s="79" t="str">
        <f>IF(AND(OR(LEFT(TH!N2508,2)="15",LEFT(TH!O2508,2)="15"),LEFT(TH!O2508,3)&lt;&gt;"111",'152-CT'!$J$8=TH!F2508),"x","")</f>
        <v/>
      </c>
      <c r="AC2508" s="79" t="str">
        <f>IF(AND(OR(LEFT(TH!N2508,2)="15",LEFT(TH!O2508,2)="15"),TK!$E$7=TH!F2508),"x","")</f>
        <v/>
      </c>
      <c r="AD2508" s="79" t="str">
        <f>IF(AND(N2508="1521",MONTH(C2508)='BK-NL'!$M$11),"x","")</f>
        <v/>
      </c>
    </row>
    <row r="2509" spans="1:30" ht="16.5" customHeight="1">
      <c r="A2509" s="318" t="str">
        <f>IF(B2509&lt;&gt;"",IF(AND(B2509='IN-TC'!$S$4,OR(TH!N2509="1111",TH!O2509="1111")),TH!D2509,""),"")</f>
        <v/>
      </c>
      <c r="B2509" s="60" t="str">
        <f t="shared" si="245"/>
        <v/>
      </c>
      <c r="C2509" s="301"/>
      <c r="D2509" s="301"/>
      <c r="E2509" s="301"/>
      <c r="F2509" s="69"/>
      <c r="G2509" s="968"/>
      <c r="H2509" s="303"/>
      <c r="I2509" s="385"/>
      <c r="J2509" s="969"/>
      <c r="K2509" s="385"/>
      <c r="L2509" s="392"/>
      <c r="M2509" s="970"/>
      <c r="N2509" s="304"/>
      <c r="O2509" s="304"/>
      <c r="P2509" s="79" t="str">
        <f>IF(AND('331-CT'!$E$7=TH!H2509,OR(N2509="331",O2509="331")),"x","")</f>
        <v/>
      </c>
      <c r="Q2509" s="79" t="str">
        <f>IF(AND(B2509='111'!$L$11,OR($N2509=$Q$7,$O2509=$Q$7)),"x","")</f>
        <v/>
      </c>
      <c r="R2509" s="79" t="str">
        <f>IF(AND($N2509=$Q$7,$B2509&lt;'111'!$L$11),"x","")</f>
        <v/>
      </c>
      <c r="S2509" s="79" t="str">
        <f>IF(AND($O2509=$Q$7,$B2509&lt;'111'!$L$11),"x","")</f>
        <v/>
      </c>
      <c r="T2509" s="79" t="str">
        <f>IF(ISERROR(FIND('112'!$M$9,G2509,1)),"",IF((AND(FIND('112'!$M$9,G2509,1)&gt;=1,B2509='112'!$K$9,OR($N2509='112'!$I$6,$O2509='112'!$I$6))),"x",""))</f>
        <v/>
      </c>
      <c r="U2509" s="79" t="str">
        <f>IF(ISERROR(FIND('112'!$M$9,G2509,1)),"",IF((AND(LEFT(G2509,2)=LEFT('112'!$M$9,2),B2509&lt;'112'!$K$9,$N2509='112'!$I$6)),"x",""))</f>
        <v/>
      </c>
      <c r="V2509" s="79" t="str">
        <f>IF(ISERROR(FIND('112'!$M$9,G2509,1)),"",IF((AND(RIGHT(G2509,2)=RIGHT('112'!$M$9,2),B2509&lt;'112'!$K$9,$O2509='112'!$I$6)),"x",""))</f>
        <v/>
      </c>
      <c r="W2509" s="79" t="str">
        <f>IF(AND('341-CT'!$H$9=H2509,OR(LEFT(N2509,3)=$W$7,LEFT(O2509,3)=$W$7)),"x","")</f>
        <v/>
      </c>
      <c r="X2509" s="79" t="str">
        <f>IF(OR(TH!N2509=TH!$X$7,O2509=TH!$X$7),"x","")</f>
        <v/>
      </c>
      <c r="Y2509" s="79" t="str">
        <f>IF(AND(OR(N2509="131",O2509="131"),H2509='131-CT'!$H$9),"x","")</f>
        <v/>
      </c>
      <c r="Z2509" s="79"/>
      <c r="AA2509" s="79" t="str">
        <f>IF(AND(MONTH(E2509)='IN-NX'!$J$5,'IN-NX'!$D$7=D2509),"x","")</f>
        <v/>
      </c>
      <c r="AB2509" s="79" t="str">
        <f>IF(AND(OR(LEFT(TH!N2509,2)="15",LEFT(TH!O2509,2)="15"),LEFT(TH!O2509,3)&lt;&gt;"111",'152-CT'!$J$8=TH!F2509),"x","")</f>
        <v/>
      </c>
      <c r="AC2509" s="79" t="str">
        <f>IF(AND(OR(LEFT(TH!N2509,2)="15",LEFT(TH!O2509,2)="15"),TK!$E$7=TH!F2509),"x","")</f>
        <v/>
      </c>
      <c r="AD2509" s="79" t="str">
        <f>IF(AND(N2509="1521",MONTH(C2509)='BK-NL'!$M$11),"x","")</f>
        <v/>
      </c>
    </row>
    <row r="2510" spans="1:30" ht="16.5" customHeight="1">
      <c r="A2510" s="318" t="str">
        <f>IF(B2510&lt;&gt;"",IF(AND(B2510='IN-TC'!$S$4,OR(TH!N2510="1111",TH!O2510="1111")),TH!D2510,""),"")</f>
        <v/>
      </c>
      <c r="B2510" s="60" t="str">
        <f t="shared" ref="B2510:B2511" si="246">IF(C2510&lt;&gt;"",MONTH(C2510),"")</f>
        <v/>
      </c>
      <c r="C2510" s="301"/>
      <c r="D2510" s="301"/>
      <c r="E2510" s="301"/>
      <c r="F2510" s="69"/>
      <c r="G2510" s="968"/>
      <c r="H2510" s="303"/>
      <c r="I2510" s="385"/>
      <c r="J2510" s="969"/>
      <c r="K2510" s="385"/>
      <c r="L2510" s="392"/>
      <c r="M2510" s="970"/>
      <c r="N2510" s="304"/>
      <c r="O2510" s="304"/>
      <c r="P2510" s="79" t="str">
        <f>IF(AND('331-CT'!$E$7=TH!H2510,OR(N2510="331",O2510="331")),"x","")</f>
        <v/>
      </c>
      <c r="Q2510" s="79" t="str">
        <f>IF(AND(B2510='111'!$L$11,OR($N2510=$Q$7,$O2510=$Q$7)),"x","")</f>
        <v/>
      </c>
      <c r="R2510" s="79" t="str">
        <f>IF(AND($N2510=$Q$7,$B2510&lt;'111'!$L$11),"x","")</f>
        <v/>
      </c>
      <c r="S2510" s="79" t="str">
        <f>IF(AND($O2510=$Q$7,$B2510&lt;'111'!$L$11),"x","")</f>
        <v/>
      </c>
      <c r="T2510" s="79" t="str">
        <f>IF(ISERROR(FIND('112'!$M$9,G2510,1)),"",IF((AND(FIND('112'!$M$9,G2510,1)&gt;=1,B2510='112'!$K$9,OR($N2510='112'!$I$6,$O2510='112'!$I$6))),"x",""))</f>
        <v/>
      </c>
      <c r="U2510" s="79" t="str">
        <f>IF(ISERROR(FIND('112'!$M$9,G2510,1)),"",IF((AND(LEFT(G2510,2)=LEFT('112'!$M$9,2),B2510&lt;'112'!$K$9,$N2510='112'!$I$6)),"x",""))</f>
        <v/>
      </c>
      <c r="V2510" s="79" t="str">
        <f>IF(ISERROR(FIND('112'!$M$9,G2510,1)),"",IF((AND(RIGHT(G2510,2)=RIGHT('112'!$M$9,2),B2510&lt;'112'!$K$9,$O2510='112'!$I$6)),"x",""))</f>
        <v/>
      </c>
      <c r="W2510" s="79" t="str">
        <f>IF(AND('341-CT'!$H$9=H2510,OR(LEFT(N2510,3)=$W$7,LEFT(O2510,3)=$W$7)),"x","")</f>
        <v/>
      </c>
      <c r="X2510" s="79" t="str">
        <f>IF(OR(TH!N2510=TH!$X$7,O2510=TH!$X$7),"x","")</f>
        <v/>
      </c>
      <c r="Y2510" s="79" t="str">
        <f>IF(AND(OR(N2510="131",O2510="131"),H2510='131-CT'!$H$9),"x","")</f>
        <v/>
      </c>
      <c r="Z2510" s="79"/>
      <c r="AA2510" s="79" t="str">
        <f>IF(AND(MONTH(E2510)='IN-NX'!$J$5,'IN-NX'!$D$7=D2510),"x","")</f>
        <v/>
      </c>
      <c r="AB2510" s="79" t="str">
        <f>IF(AND(OR(LEFT(TH!N2510,2)="15",LEFT(TH!O2510,2)="15"),LEFT(TH!O2510,3)&lt;&gt;"111",'152-CT'!$J$8=TH!F2510),"x","")</f>
        <v/>
      </c>
      <c r="AC2510" s="79" t="str">
        <f>IF(AND(OR(LEFT(TH!N2510,2)="15",LEFT(TH!O2510,2)="15"),TK!$E$7=TH!F2510),"x","")</f>
        <v/>
      </c>
      <c r="AD2510" s="79" t="str">
        <f>IF(AND(N2510="1521",MONTH(C2510)='BK-NL'!$M$11),"x","")</f>
        <v/>
      </c>
    </row>
    <row r="2511" spans="1:30" ht="16.5" customHeight="1">
      <c r="A2511" s="318" t="str">
        <f>IF(B2511&lt;&gt;"",IF(AND(B2511='IN-TC'!$S$4,OR(TH!N2511="1111",TH!O2511="1111")),TH!D2511,""),"")</f>
        <v/>
      </c>
      <c r="B2511" s="60" t="str">
        <f t="shared" si="246"/>
        <v/>
      </c>
      <c r="C2511" s="301"/>
      <c r="D2511" s="301"/>
      <c r="E2511" s="301"/>
      <c r="F2511" s="69"/>
      <c r="G2511" s="968"/>
      <c r="H2511" s="303"/>
      <c r="I2511" s="385"/>
      <c r="J2511" s="969"/>
      <c r="K2511" s="385"/>
      <c r="L2511" s="392"/>
      <c r="M2511" s="970"/>
      <c r="N2511" s="304"/>
      <c r="O2511" s="304"/>
      <c r="P2511" s="79" t="str">
        <f>IF(AND('331-CT'!$E$7=TH!H2511,OR(N2511="331",O2511="331")),"x","")</f>
        <v/>
      </c>
      <c r="Q2511" s="79" t="str">
        <f>IF(AND(B2511='111'!$L$11,OR($N2511=$Q$7,$O2511=$Q$7)),"x","")</f>
        <v/>
      </c>
      <c r="R2511" s="79" t="str">
        <f>IF(AND($N2511=$Q$7,$B2511&lt;'111'!$L$11),"x","")</f>
        <v/>
      </c>
      <c r="S2511" s="79" t="str">
        <f>IF(AND($O2511=$Q$7,$B2511&lt;'111'!$L$11),"x","")</f>
        <v/>
      </c>
      <c r="T2511" s="79" t="str">
        <f>IF(ISERROR(FIND('112'!$M$9,G2511,1)),"",IF((AND(FIND('112'!$M$9,G2511,1)&gt;=1,B2511='112'!$K$9,OR($N2511='112'!$I$6,$O2511='112'!$I$6))),"x",""))</f>
        <v/>
      </c>
      <c r="U2511" s="79" t="str">
        <f>IF(ISERROR(FIND('112'!$M$9,G2511,1)),"",IF((AND(LEFT(G2511,2)=LEFT('112'!$M$9,2),B2511&lt;'112'!$K$9,$N2511='112'!$I$6)),"x",""))</f>
        <v/>
      </c>
      <c r="V2511" s="79" t="str">
        <f>IF(ISERROR(FIND('112'!$M$9,G2511,1)),"",IF((AND(RIGHT(G2511,2)=RIGHT('112'!$M$9,2),B2511&lt;'112'!$K$9,$O2511='112'!$I$6)),"x",""))</f>
        <v/>
      </c>
      <c r="W2511" s="79" t="str">
        <f>IF(AND('341-CT'!$H$9=H2511,OR(LEFT(N2511,3)=$W$7,LEFT(O2511,3)=$W$7)),"x","")</f>
        <v/>
      </c>
      <c r="X2511" s="79" t="str">
        <f>IF(OR(TH!N2511=TH!$X$7,O2511=TH!$X$7),"x","")</f>
        <v/>
      </c>
      <c r="Y2511" s="79" t="str">
        <f>IF(AND(OR(N2511="131",O2511="131"),H2511='131-CT'!$H$9),"x","")</f>
        <v/>
      </c>
      <c r="Z2511" s="79"/>
      <c r="AA2511" s="79" t="str">
        <f>IF(AND(MONTH(E2511)='IN-NX'!$J$5,'IN-NX'!$D$7=D2511),"x","")</f>
        <v/>
      </c>
      <c r="AB2511" s="79" t="str">
        <f>IF(AND(OR(LEFT(TH!N2511,2)="15",LEFT(TH!O2511,2)="15"),LEFT(TH!O2511,3)&lt;&gt;"111",'152-CT'!$J$8=TH!F2511),"x","")</f>
        <v/>
      </c>
      <c r="AC2511" s="79" t="str">
        <f>IF(AND(OR(LEFT(TH!N2511,2)="15",LEFT(TH!O2511,2)="15"),TK!$E$7=TH!F2511),"x","")</f>
        <v/>
      </c>
      <c r="AD2511" s="79" t="str">
        <f>IF(AND(N2511="1521",MONTH(C2511)='BK-NL'!$M$11),"x","")</f>
        <v/>
      </c>
    </row>
    <row r="2512" spans="1:30" ht="16.5" customHeight="1">
      <c r="A2512" s="318" t="str">
        <f>IF(B2512&lt;&gt;"",IF(AND(B2512='IN-TC'!$S$4,OR(TH!N2512="1111",TH!O2512="1111")),TH!D2512,""),"")</f>
        <v/>
      </c>
      <c r="B2512" s="60" t="str">
        <f t="shared" si="244"/>
        <v/>
      </c>
      <c r="C2512" s="301"/>
      <c r="D2512" s="301"/>
      <c r="E2512" s="301"/>
      <c r="F2512" s="69"/>
      <c r="G2512" s="968"/>
      <c r="H2512" s="303"/>
      <c r="I2512" s="385"/>
      <c r="J2512" s="969"/>
      <c r="K2512" s="385"/>
      <c r="L2512" s="392"/>
      <c r="M2512" s="970"/>
      <c r="N2512" s="304"/>
      <c r="O2512" s="304"/>
      <c r="P2512" s="79" t="str">
        <f>IF(AND('331-CT'!$E$7=TH!H2512,OR(N2512="331",O2512="331")),"x","")</f>
        <v/>
      </c>
      <c r="Q2512" s="79" t="str">
        <f>IF(AND(B2512='111'!$L$11,OR($N2512=$Q$7,$O2512=$Q$7)),"x","")</f>
        <v/>
      </c>
      <c r="R2512" s="79" t="str">
        <f>IF(AND($N2512=$Q$7,$B2512&lt;'111'!$L$11),"x","")</f>
        <v/>
      </c>
      <c r="S2512" s="79" t="str">
        <f>IF(AND($O2512=$Q$7,$B2512&lt;'111'!$L$11),"x","")</f>
        <v/>
      </c>
      <c r="T2512" s="79" t="str">
        <f>IF(ISERROR(FIND('112'!$M$9,G2512,1)),"",IF((AND(FIND('112'!$M$9,G2512,1)&gt;=1,B2512='112'!$K$9,OR($N2512='112'!$I$6,$O2512='112'!$I$6))),"x",""))</f>
        <v/>
      </c>
      <c r="U2512" s="79" t="str">
        <f>IF(ISERROR(FIND('112'!$M$9,G2512,1)),"",IF((AND(LEFT(G2512,2)=LEFT('112'!$M$9,2),B2512&lt;'112'!$K$9,$N2512='112'!$I$6)),"x",""))</f>
        <v/>
      </c>
      <c r="V2512" s="79" t="str">
        <f>IF(ISERROR(FIND('112'!$M$9,G2512,1)),"",IF((AND(RIGHT(G2512,2)=RIGHT('112'!$M$9,2),B2512&lt;'112'!$K$9,$O2512='112'!$I$6)),"x",""))</f>
        <v/>
      </c>
      <c r="W2512" s="79" t="str">
        <f>IF(AND('341-CT'!$H$9=H2512,OR(LEFT(N2512,3)=$W$7,LEFT(O2512,3)=$W$7)),"x","")</f>
        <v/>
      </c>
      <c r="X2512" s="79" t="str">
        <f>IF(OR(TH!N2512=TH!$X$7,O2512=TH!$X$7),"x","")</f>
        <v/>
      </c>
      <c r="Y2512" s="79" t="str">
        <f>IF(AND(OR(N2512="131",O2512="131"),H2512='131-CT'!$H$9),"x","")</f>
        <v/>
      </c>
      <c r="Z2512" s="79"/>
      <c r="AA2512" s="79" t="str">
        <f>IF(AND(MONTH(E2512)='IN-NX'!$J$5,'IN-NX'!$D$7=D2512),"x","")</f>
        <v/>
      </c>
      <c r="AB2512" s="79" t="str">
        <f>IF(AND(OR(LEFT(TH!N2512,2)="15",LEFT(TH!O2512,2)="15"),LEFT(TH!O2512,3)&lt;&gt;"111",'152-CT'!$J$8=TH!F2512),"x","")</f>
        <v/>
      </c>
      <c r="AC2512" s="79" t="str">
        <f>IF(AND(OR(LEFT(TH!N2512,2)="15",LEFT(TH!O2512,2)="15"),TK!$E$7=TH!F2512),"x","")</f>
        <v/>
      </c>
      <c r="AD2512" s="79" t="str">
        <f>IF(AND(N2512="1521",MONTH(C2512)='BK-NL'!$M$11),"x","")</f>
        <v/>
      </c>
    </row>
    <row r="2513" spans="1:30" ht="16.5" customHeight="1">
      <c r="A2513" s="318" t="str">
        <f>IF(B2513&lt;&gt;"",IF(AND(B2513='IN-TC'!$S$4,OR(TH!N2513="1111",TH!O2513="1111")),TH!D2513,""),"")</f>
        <v/>
      </c>
      <c r="B2513" s="60" t="str">
        <f t="shared" si="244"/>
        <v/>
      </c>
      <c r="C2513" s="301"/>
      <c r="D2513" s="301"/>
      <c r="E2513" s="301"/>
      <c r="F2513" s="69"/>
      <c r="G2513" s="968"/>
      <c r="H2513" s="303"/>
      <c r="I2513" s="385"/>
      <c r="J2513" s="969"/>
      <c r="K2513" s="385"/>
      <c r="L2513" s="392"/>
      <c r="M2513" s="970"/>
      <c r="N2513" s="304"/>
      <c r="O2513" s="304"/>
      <c r="P2513" s="79" t="str">
        <f>IF(AND('331-CT'!$E$7=TH!H2513,OR(N2513="331",O2513="331")),"x","")</f>
        <v/>
      </c>
      <c r="Q2513" s="79" t="str">
        <f>IF(AND(B2513='111'!$L$11,OR($N2513=$Q$7,$O2513=$Q$7)),"x","")</f>
        <v/>
      </c>
      <c r="R2513" s="79" t="str">
        <f>IF(AND($N2513=$Q$7,$B2513&lt;'111'!$L$11),"x","")</f>
        <v/>
      </c>
      <c r="S2513" s="79" t="str">
        <f>IF(AND($O2513=$Q$7,$B2513&lt;'111'!$L$11),"x","")</f>
        <v/>
      </c>
      <c r="T2513" s="79" t="str">
        <f>IF(ISERROR(FIND('112'!$M$9,G2513,1)),"",IF((AND(FIND('112'!$M$9,G2513,1)&gt;=1,B2513='112'!$K$9,OR($N2513='112'!$I$6,$O2513='112'!$I$6))),"x",""))</f>
        <v/>
      </c>
      <c r="U2513" s="79" t="str">
        <f>IF(ISERROR(FIND('112'!$M$9,G2513,1)),"",IF((AND(LEFT(G2513,2)=LEFT('112'!$M$9,2),B2513&lt;'112'!$K$9,$N2513='112'!$I$6)),"x",""))</f>
        <v/>
      </c>
      <c r="V2513" s="79" t="str">
        <f>IF(ISERROR(FIND('112'!$M$9,G2513,1)),"",IF((AND(RIGHT(G2513,2)=RIGHT('112'!$M$9,2),B2513&lt;'112'!$K$9,$O2513='112'!$I$6)),"x",""))</f>
        <v/>
      </c>
      <c r="W2513" s="79" t="str">
        <f>IF(AND('341-CT'!$H$9=H2513,OR(LEFT(N2513,3)=$W$7,LEFT(O2513,3)=$W$7)),"x","")</f>
        <v/>
      </c>
      <c r="X2513" s="79" t="str">
        <f>IF(OR(TH!N2513=TH!$X$7,O2513=TH!$X$7),"x","")</f>
        <v/>
      </c>
      <c r="Y2513" s="79" t="str">
        <f>IF(AND(OR(N2513="131",O2513="131"),H2513='131-CT'!$H$9),"x","")</f>
        <v/>
      </c>
      <c r="Z2513" s="79"/>
      <c r="AA2513" s="79" t="str">
        <f>IF(AND(MONTH(E2513)='IN-NX'!$J$5,'IN-NX'!$D$7=D2513),"x","")</f>
        <v/>
      </c>
      <c r="AB2513" s="79" t="str">
        <f>IF(AND(OR(LEFT(TH!N2513,2)="15",LEFT(TH!O2513,2)="15"),LEFT(TH!O2513,3)&lt;&gt;"111",'152-CT'!$J$8=TH!F2513),"x","")</f>
        <v/>
      </c>
      <c r="AC2513" s="79" t="str">
        <f>IF(AND(OR(LEFT(TH!N2513,2)="15",LEFT(TH!O2513,2)="15"),TK!$E$7=TH!F2513),"x","")</f>
        <v/>
      </c>
      <c r="AD2513" s="79" t="str">
        <f>IF(AND(N2513="1521",MONTH(C2513)='BK-NL'!$M$11),"x","")</f>
        <v/>
      </c>
    </row>
    <row r="2514" spans="1:30" ht="16.5" customHeight="1">
      <c r="A2514" s="318" t="str">
        <f>IF(B2514&lt;&gt;"",IF(AND(B2514='IN-TC'!$S$4,OR(TH!N2514="1111",TH!O2514="1111")),TH!D2514,""),"")</f>
        <v/>
      </c>
      <c r="B2514" s="60" t="str">
        <f t="shared" si="244"/>
        <v/>
      </c>
      <c r="C2514" s="301"/>
      <c r="D2514" s="301"/>
      <c r="E2514" s="301"/>
      <c r="F2514" s="69"/>
      <c r="G2514" s="968"/>
      <c r="H2514" s="303"/>
      <c r="I2514" s="385"/>
      <c r="J2514" s="969"/>
      <c r="K2514" s="385"/>
      <c r="L2514" s="392"/>
      <c r="M2514" s="970"/>
      <c r="N2514" s="304"/>
      <c r="O2514" s="304"/>
      <c r="P2514" s="79" t="str">
        <f>IF(AND('331-CT'!$E$7=TH!H2514,OR(N2514="331",O2514="331")),"x","")</f>
        <v/>
      </c>
      <c r="Q2514" s="79" t="str">
        <f>IF(AND(B2514='111'!$L$11,OR($N2514=$Q$7,$O2514=$Q$7)),"x","")</f>
        <v/>
      </c>
      <c r="R2514" s="79" t="str">
        <f>IF(AND($N2514=$Q$7,$B2514&lt;'111'!$L$11),"x","")</f>
        <v/>
      </c>
      <c r="S2514" s="79" t="str">
        <f>IF(AND($O2514=$Q$7,$B2514&lt;'111'!$L$11),"x","")</f>
        <v/>
      </c>
      <c r="T2514" s="79" t="str">
        <f>IF(ISERROR(FIND('112'!$M$9,G2514,1)),"",IF((AND(FIND('112'!$M$9,G2514,1)&gt;=1,B2514='112'!$K$9,OR($N2514='112'!$I$6,$O2514='112'!$I$6))),"x",""))</f>
        <v/>
      </c>
      <c r="U2514" s="79" t="str">
        <f>IF(ISERROR(FIND('112'!$M$9,G2514,1)),"",IF((AND(LEFT(G2514,2)=LEFT('112'!$M$9,2),B2514&lt;'112'!$K$9,$N2514='112'!$I$6)),"x",""))</f>
        <v/>
      </c>
      <c r="V2514" s="79" t="str">
        <f>IF(ISERROR(FIND('112'!$M$9,G2514,1)),"",IF((AND(RIGHT(G2514,2)=RIGHT('112'!$M$9,2),B2514&lt;'112'!$K$9,$O2514='112'!$I$6)),"x",""))</f>
        <v/>
      </c>
      <c r="W2514" s="79" t="str">
        <f>IF(AND('341-CT'!$H$9=H2514,OR(LEFT(N2514,3)=$W$7,LEFT(O2514,3)=$W$7)),"x","")</f>
        <v/>
      </c>
      <c r="X2514" s="79" t="str">
        <f>IF(OR(TH!N2514=TH!$X$7,O2514=TH!$X$7),"x","")</f>
        <v/>
      </c>
      <c r="Y2514" s="79" t="str">
        <f>IF(AND(OR(N2514="131",O2514="131"),H2514='131-CT'!$H$9),"x","")</f>
        <v/>
      </c>
      <c r="Z2514" s="79"/>
      <c r="AA2514" s="79" t="str">
        <f>IF(AND(MONTH(E2514)='IN-NX'!$J$5,'IN-NX'!$D$7=D2514),"x","")</f>
        <v/>
      </c>
      <c r="AB2514" s="79" t="str">
        <f>IF(AND(OR(LEFT(TH!N2514,2)="15",LEFT(TH!O2514,2)="15"),LEFT(TH!O2514,3)&lt;&gt;"111",'152-CT'!$J$8=TH!F2514),"x","")</f>
        <v/>
      </c>
      <c r="AC2514" s="79" t="str">
        <f>IF(AND(OR(LEFT(TH!N2514,2)="15",LEFT(TH!O2514,2)="15"),TK!$E$7=TH!F2514),"x","")</f>
        <v/>
      </c>
      <c r="AD2514" s="79" t="str">
        <f>IF(AND(N2514="1521",MONTH(C2514)='BK-NL'!$M$11),"x","")</f>
        <v/>
      </c>
    </row>
    <row r="2515" spans="1:30" ht="16.5" customHeight="1">
      <c r="A2515" s="318" t="str">
        <f>IF(B2515&lt;&gt;"",IF(AND(B2515='IN-TC'!$S$4,OR(TH!N2515="1111",TH!O2515="1111")),TH!D2515,""),"")</f>
        <v/>
      </c>
      <c r="B2515" s="60" t="str">
        <f t="shared" si="244"/>
        <v/>
      </c>
      <c r="C2515" s="301"/>
      <c r="D2515" s="301"/>
      <c r="E2515" s="301"/>
      <c r="F2515" s="69"/>
      <c r="G2515" s="968"/>
      <c r="H2515" s="303"/>
      <c r="I2515" s="385"/>
      <c r="J2515" s="969"/>
      <c r="K2515" s="385"/>
      <c r="L2515" s="392"/>
      <c r="M2515" s="970"/>
      <c r="N2515" s="304"/>
      <c r="O2515" s="304"/>
      <c r="P2515" s="79" t="str">
        <f>IF(AND('331-CT'!$E$7=TH!H2515,OR(N2515="331",O2515="331")),"x","")</f>
        <v/>
      </c>
      <c r="Q2515" s="79" t="str">
        <f>IF(AND(B2515='111'!$L$11,OR($N2515=$Q$7,$O2515=$Q$7)),"x","")</f>
        <v/>
      </c>
      <c r="R2515" s="79" t="str">
        <f>IF(AND($N2515=$Q$7,$B2515&lt;'111'!$L$11),"x","")</f>
        <v/>
      </c>
      <c r="S2515" s="79" t="str">
        <f>IF(AND($O2515=$Q$7,$B2515&lt;'111'!$L$11),"x","")</f>
        <v/>
      </c>
      <c r="T2515" s="79" t="str">
        <f>IF(ISERROR(FIND('112'!$M$9,G2515,1)),"",IF((AND(FIND('112'!$M$9,G2515,1)&gt;=1,B2515='112'!$K$9,OR($N2515='112'!$I$6,$O2515='112'!$I$6))),"x",""))</f>
        <v/>
      </c>
      <c r="U2515" s="79" t="str">
        <f>IF(ISERROR(FIND('112'!$M$9,G2515,1)),"",IF((AND(LEFT(G2515,2)=LEFT('112'!$M$9,2),B2515&lt;'112'!$K$9,$N2515='112'!$I$6)),"x",""))</f>
        <v/>
      </c>
      <c r="V2515" s="79" t="str">
        <f>IF(ISERROR(FIND('112'!$M$9,G2515,1)),"",IF((AND(RIGHT(G2515,2)=RIGHT('112'!$M$9,2),B2515&lt;'112'!$K$9,$O2515='112'!$I$6)),"x",""))</f>
        <v/>
      </c>
      <c r="W2515" s="79" t="str">
        <f>IF(AND('341-CT'!$H$9=H2515,OR(LEFT(N2515,3)=$W$7,LEFT(O2515,3)=$W$7)),"x","")</f>
        <v/>
      </c>
      <c r="X2515" s="79" t="str">
        <f>IF(OR(TH!N2515=TH!$X$7,O2515=TH!$X$7),"x","")</f>
        <v/>
      </c>
      <c r="Y2515" s="79" t="str">
        <f>IF(AND(OR(N2515="131",O2515="131"),H2515='131-CT'!$H$9),"x","")</f>
        <v/>
      </c>
      <c r="Z2515" s="79"/>
      <c r="AA2515" s="79" t="str">
        <f>IF(AND(MONTH(E2515)='IN-NX'!$J$5,'IN-NX'!$D$7=D2515),"x","")</f>
        <v/>
      </c>
      <c r="AB2515" s="79" t="str">
        <f>IF(AND(OR(LEFT(TH!N2515,2)="15",LEFT(TH!O2515,2)="15"),LEFT(TH!O2515,3)&lt;&gt;"111",'152-CT'!$J$8=TH!F2515),"x","")</f>
        <v/>
      </c>
      <c r="AC2515" s="79" t="str">
        <f>IF(AND(OR(LEFT(TH!N2515,2)="15",LEFT(TH!O2515,2)="15"),TK!$E$7=TH!F2515),"x","")</f>
        <v/>
      </c>
      <c r="AD2515" s="79" t="str">
        <f>IF(AND(N2515="1521",MONTH(C2515)='BK-NL'!$M$11),"x","")</f>
        <v/>
      </c>
    </row>
    <row r="2516" spans="1:30" ht="16.5" customHeight="1">
      <c r="A2516" s="318" t="str">
        <f>IF(B2516&lt;&gt;"",IF(AND(B2516='IN-TC'!$S$4,OR(TH!N2516="1111",TH!O2516="1111")),TH!D2516,""),"")</f>
        <v/>
      </c>
      <c r="B2516" s="60" t="str">
        <f t="shared" si="244"/>
        <v/>
      </c>
      <c r="C2516" s="974"/>
      <c r="D2516" s="301"/>
      <c r="E2516" s="974"/>
      <c r="F2516" s="77"/>
      <c r="G2516" s="976"/>
      <c r="H2516" s="305"/>
      <c r="I2516" s="383"/>
      <c r="J2516" s="977"/>
      <c r="K2516" s="383"/>
      <c r="L2516" s="390"/>
      <c r="M2516" s="978"/>
      <c r="N2516" s="979"/>
      <c r="O2516" s="979"/>
      <c r="P2516" s="79" t="str">
        <f>IF(AND('331-CT'!$E$7=TH!H2516,OR(N2516="331",O2516="331")),"x","")</f>
        <v/>
      </c>
      <c r="Q2516" s="79" t="str">
        <f>IF(AND(B2516='111'!$L$11,OR($N2516=$Q$7,$O2516=$Q$7)),"x","")</f>
        <v/>
      </c>
      <c r="R2516" s="79" t="str">
        <f>IF(AND($N2516=$Q$7,$B2516&lt;'111'!$L$11),"x","")</f>
        <v/>
      </c>
      <c r="S2516" s="79" t="str">
        <f>IF(AND($O2516=$Q$7,$B2516&lt;'111'!$L$11),"x","")</f>
        <v/>
      </c>
      <c r="T2516" s="79" t="str">
        <f>IF(ISERROR(FIND('112'!$M$9,G2516,1)),"",IF((AND(FIND('112'!$M$9,G2516,1)&gt;=1,B2516='112'!$K$9,OR($N2516='112'!$I$6,$O2516='112'!$I$6))),"x",""))</f>
        <v/>
      </c>
      <c r="U2516" s="79" t="str">
        <f>IF(ISERROR(FIND('112'!$M$9,G2516,1)),"",IF((AND(LEFT(G2516,2)=LEFT('112'!$M$9,2),B2516&lt;'112'!$K$9,$N2516='112'!$I$6)),"x",""))</f>
        <v/>
      </c>
      <c r="V2516" s="79" t="str">
        <f>IF(ISERROR(FIND('112'!$M$9,G2516,1)),"",IF((AND(RIGHT(G2516,2)=RIGHT('112'!$M$9,2),B2516&lt;'112'!$K$9,$O2516='112'!$I$6)),"x",""))</f>
        <v/>
      </c>
      <c r="W2516" s="79" t="str">
        <f>IF(AND('341-CT'!$H$9=H2516,OR(LEFT(N2516,3)=$W$7,LEFT(O2516,3)=$W$7)),"x","")</f>
        <v/>
      </c>
      <c r="X2516" s="79" t="str">
        <f>IF(OR(TH!N2516=TH!$X$7,O2516=TH!$X$7),"x","")</f>
        <v/>
      </c>
      <c r="Y2516" s="79" t="str">
        <f>IF(AND(OR(N2516="131",O2516="131"),H2516='131-CT'!$H$9),"x","")</f>
        <v/>
      </c>
      <c r="Z2516" s="79"/>
      <c r="AA2516" s="79" t="str">
        <f>IF(AND(MONTH(E2516)='IN-NX'!$J$5,'IN-NX'!$D$7=D2516),"x","")</f>
        <v/>
      </c>
      <c r="AB2516" s="79" t="str">
        <f>IF(AND(OR(LEFT(TH!N2516,2)="15",LEFT(TH!O2516,2)="15"),LEFT(TH!O2516,3)&lt;&gt;"111",'152-CT'!$J$8=TH!F2516),"x","")</f>
        <v/>
      </c>
      <c r="AC2516" s="79" t="str">
        <f>IF(AND(OR(LEFT(TH!N2516,2)="15",LEFT(TH!O2516,2)="15"),TK!$E$7=TH!F2516),"x","")</f>
        <v/>
      </c>
      <c r="AD2516" s="79" t="str">
        <f>IF(AND(N2516="1521",MONTH(C2516)='BK-NL'!$M$11),"x","")</f>
        <v/>
      </c>
    </row>
    <row r="2517" spans="1:30" ht="16.5" customHeight="1">
      <c r="A2517" s="318" t="str">
        <f>IF(B2517&lt;&gt;"",IF(AND(B2517='IN-TC'!$S$4,OR(TH!N2517="1111",TH!O2517="1111")),TH!D2517,""),"")</f>
        <v/>
      </c>
      <c r="B2517" s="60" t="str">
        <f t="shared" si="244"/>
        <v/>
      </c>
      <c r="C2517" s="301"/>
      <c r="D2517" s="301"/>
      <c r="E2517" s="301"/>
      <c r="F2517" s="302"/>
      <c r="G2517" s="968"/>
      <c r="H2517" s="303"/>
      <c r="I2517" s="385"/>
      <c r="J2517" s="969"/>
      <c r="K2517" s="385"/>
      <c r="L2517" s="392"/>
      <c r="M2517" s="970"/>
      <c r="N2517" s="304"/>
      <c r="O2517" s="304"/>
      <c r="P2517" s="79" t="str">
        <f>IF(AND('331-CT'!$E$7=TH!H2517,OR(N2517="331",O2517="331")),"x","")</f>
        <v/>
      </c>
      <c r="Q2517" s="79" t="str">
        <f>IF(AND(B2517='111'!$L$11,OR($N2517=$Q$7,$O2517=$Q$7)),"x","")</f>
        <v/>
      </c>
      <c r="R2517" s="79" t="str">
        <f>IF(AND($N2517=$Q$7,$B2517&lt;'111'!$L$11),"x","")</f>
        <v/>
      </c>
      <c r="S2517" s="79" t="str">
        <f>IF(AND($O2517=$Q$7,$B2517&lt;'111'!$L$11),"x","")</f>
        <v/>
      </c>
      <c r="T2517" s="79" t="str">
        <f>IF(ISERROR(FIND('112'!$M$9,G2517,1)),"",IF((AND(FIND('112'!$M$9,G2517,1)&gt;=1,B2517='112'!$K$9,OR($N2517='112'!$I$6,$O2517='112'!$I$6))),"x",""))</f>
        <v/>
      </c>
      <c r="U2517" s="79" t="str">
        <f>IF(ISERROR(FIND('112'!$M$9,G2517,1)),"",IF((AND(LEFT(G2517,2)=LEFT('112'!$M$9,2),B2517&lt;'112'!$K$9,$N2517='112'!$I$6)),"x",""))</f>
        <v/>
      </c>
      <c r="V2517" s="79" t="str">
        <f>IF(ISERROR(FIND('112'!$M$9,G2517,1)),"",IF((AND(RIGHT(G2517,2)=RIGHT('112'!$M$9,2),B2517&lt;'112'!$K$9,$O2517='112'!$I$6)),"x",""))</f>
        <v/>
      </c>
      <c r="W2517" s="79" t="str">
        <f>IF(AND('341-CT'!$H$9=H2517,OR(LEFT(N2517,3)=$W$7,LEFT(O2517,3)=$W$7)),"x","")</f>
        <v/>
      </c>
      <c r="X2517" s="79" t="str">
        <f>IF(OR(TH!N2517=TH!$X$7,O2517=TH!$X$7),"x","")</f>
        <v/>
      </c>
      <c r="Y2517" s="79" t="str">
        <f>IF(AND(OR(N2517="131",O2517="131"),H2517='131-CT'!$H$9),"x","")</f>
        <v/>
      </c>
      <c r="Z2517" s="79"/>
      <c r="AA2517" s="79" t="str">
        <f>IF(AND(MONTH(E2517)='IN-NX'!$J$5,'IN-NX'!$D$7=D2517),"x","")</f>
        <v/>
      </c>
      <c r="AB2517" s="79" t="str">
        <f>IF(AND(OR(LEFT(TH!N2517,2)="15",LEFT(TH!O2517,2)="15"),LEFT(TH!O2517,3)&lt;&gt;"111",'152-CT'!$J$8=TH!F2517),"x","")</f>
        <v/>
      </c>
      <c r="AC2517" s="79" t="str">
        <f>IF(AND(OR(LEFT(TH!N2517,2)="15",LEFT(TH!O2517,2)="15"),TK!$E$7=TH!F2517),"x","")</f>
        <v/>
      </c>
      <c r="AD2517" s="79" t="str">
        <f>IF(AND(N2517="1521",MONTH(C2517)='BK-NL'!$M$11),"x","")</f>
        <v/>
      </c>
    </row>
    <row r="2518" spans="1:30" ht="16.5" customHeight="1">
      <c r="A2518" s="318" t="str">
        <f>IF(B2518&lt;&gt;"",IF(AND(B2518='IN-TC'!$S$4,OR(TH!N2518="1111",TH!O2518="1111")),TH!D2518,""),"")</f>
        <v/>
      </c>
      <c r="B2518" s="60" t="str">
        <f t="shared" ref="B2518" si="247">IF(C2518&lt;&gt;"",MONTH(C2518),"")</f>
        <v/>
      </c>
      <c r="C2518" s="301"/>
      <c r="D2518" s="301"/>
      <c r="E2518" s="301"/>
      <c r="F2518" s="302"/>
      <c r="G2518" s="968"/>
      <c r="H2518" s="303"/>
      <c r="I2518" s="385"/>
      <c r="J2518" s="969"/>
      <c r="K2518" s="385"/>
      <c r="L2518" s="392"/>
      <c r="M2518" s="970"/>
      <c r="N2518" s="304"/>
      <c r="O2518" s="304"/>
      <c r="P2518" s="79" t="str">
        <f>IF(AND('331-CT'!$E$7=TH!H2518,OR(N2518="331",O2518="331")),"x","")</f>
        <v/>
      </c>
      <c r="Q2518" s="79" t="str">
        <f>IF(AND(B2518='111'!$L$11,OR($N2518=$Q$7,$O2518=$Q$7)),"x","")</f>
        <v/>
      </c>
      <c r="R2518" s="79" t="str">
        <f>IF(AND($N2518=$Q$7,$B2518&lt;'111'!$L$11),"x","")</f>
        <v/>
      </c>
      <c r="S2518" s="79" t="str">
        <f>IF(AND($O2518=$Q$7,$B2518&lt;'111'!$L$11),"x","")</f>
        <v/>
      </c>
      <c r="T2518" s="79" t="str">
        <f>IF(ISERROR(FIND('112'!$M$9,G2518,1)),"",IF((AND(FIND('112'!$M$9,G2518,1)&gt;=1,B2518='112'!$K$9,OR($N2518='112'!$I$6,$O2518='112'!$I$6))),"x",""))</f>
        <v/>
      </c>
      <c r="U2518" s="79" t="str">
        <f>IF(ISERROR(FIND('112'!$M$9,G2518,1)),"",IF((AND(LEFT(G2518,2)=LEFT('112'!$M$9,2),B2518&lt;'112'!$K$9,$N2518='112'!$I$6)),"x",""))</f>
        <v/>
      </c>
      <c r="V2518" s="79" t="str">
        <f>IF(ISERROR(FIND('112'!$M$9,G2518,1)),"",IF((AND(RIGHT(G2518,2)=RIGHT('112'!$M$9,2),B2518&lt;'112'!$K$9,$O2518='112'!$I$6)),"x",""))</f>
        <v/>
      </c>
      <c r="W2518" s="79" t="str">
        <f>IF(AND('341-CT'!$H$9=H2518,OR(LEFT(N2518,3)=$W$7,LEFT(O2518,3)=$W$7)),"x","")</f>
        <v/>
      </c>
      <c r="X2518" s="79" t="str">
        <f>IF(OR(TH!N2518=TH!$X$7,O2518=TH!$X$7),"x","")</f>
        <v/>
      </c>
      <c r="Y2518" s="79" t="str">
        <f>IF(AND(OR(N2518="131",O2518="131"),H2518='131-CT'!$H$9),"x","")</f>
        <v/>
      </c>
      <c r="Z2518" s="79"/>
      <c r="AA2518" s="79" t="str">
        <f>IF(AND(MONTH(E2518)='IN-NX'!$J$5,'IN-NX'!$D$7=D2518),"x","")</f>
        <v/>
      </c>
      <c r="AB2518" s="79" t="str">
        <f>IF(AND(OR(LEFT(TH!N2518,2)="15",LEFT(TH!O2518,2)="15"),LEFT(TH!O2518,3)&lt;&gt;"111",'152-CT'!$J$8=TH!F2518),"x","")</f>
        <v/>
      </c>
      <c r="AC2518" s="79" t="str">
        <f>IF(AND(OR(LEFT(TH!N2518,2)="15",LEFT(TH!O2518,2)="15"),TK!$E$7=TH!F2518),"x","")</f>
        <v/>
      </c>
      <c r="AD2518" s="79" t="str">
        <f>IF(AND(N2518="1521",MONTH(C2518)='BK-NL'!$M$11),"x","")</f>
        <v/>
      </c>
    </row>
    <row r="2519" spans="1:30" ht="16.5" customHeight="1">
      <c r="A2519" s="318" t="str">
        <f>IF(B2519&lt;&gt;"",IF(AND(B2519='IN-TC'!$S$4,OR(TH!N2519="1111",TH!O2519="1111")),TH!D2519,""),"")</f>
        <v/>
      </c>
      <c r="B2519" s="60" t="str">
        <f t="shared" si="244"/>
        <v/>
      </c>
      <c r="C2519" s="301"/>
      <c r="D2519" s="301"/>
      <c r="E2519" s="301"/>
      <c r="F2519" s="302"/>
      <c r="G2519" s="968"/>
      <c r="H2519" s="303"/>
      <c r="I2519" s="385"/>
      <c r="J2519" s="969"/>
      <c r="K2519" s="385"/>
      <c r="L2519" s="392"/>
      <c r="M2519" s="970"/>
      <c r="N2519" s="304"/>
      <c r="O2519" s="304"/>
      <c r="P2519" s="79" t="str">
        <f>IF(AND('331-CT'!$E$7=TH!H2519,OR(N2519="331",O2519="331")),"x","")</f>
        <v/>
      </c>
      <c r="Q2519" s="79" t="str">
        <f>IF(AND(B2519='111'!$L$11,OR($N2519=$Q$7,$O2519=$Q$7)),"x","")</f>
        <v/>
      </c>
      <c r="R2519" s="79" t="str">
        <f>IF(AND($N2519=$Q$7,$B2519&lt;'111'!$L$11),"x","")</f>
        <v/>
      </c>
      <c r="S2519" s="79" t="str">
        <f>IF(AND($O2519=$Q$7,$B2519&lt;'111'!$L$11),"x","")</f>
        <v/>
      </c>
      <c r="T2519" s="79" t="str">
        <f>IF(ISERROR(FIND('112'!$M$9,G2519,1)),"",IF((AND(FIND('112'!$M$9,G2519,1)&gt;=1,B2519='112'!$K$9,OR($N2519='112'!$I$6,$O2519='112'!$I$6))),"x",""))</f>
        <v/>
      </c>
      <c r="U2519" s="79" t="str">
        <f>IF(ISERROR(FIND('112'!$M$9,G2519,1)),"",IF((AND(LEFT(G2519,2)=LEFT('112'!$M$9,2),B2519&lt;'112'!$K$9,$N2519='112'!$I$6)),"x",""))</f>
        <v/>
      </c>
      <c r="V2519" s="79" t="str">
        <f>IF(ISERROR(FIND('112'!$M$9,G2519,1)),"",IF((AND(RIGHT(G2519,2)=RIGHT('112'!$M$9,2),B2519&lt;'112'!$K$9,$O2519='112'!$I$6)),"x",""))</f>
        <v/>
      </c>
      <c r="W2519" s="79" t="str">
        <f>IF(AND('341-CT'!$H$9=H2519,OR(LEFT(N2519,3)=$W$7,LEFT(O2519,3)=$W$7)),"x","")</f>
        <v/>
      </c>
      <c r="X2519" s="79" t="str">
        <f>IF(OR(TH!N2519=TH!$X$7,O2519=TH!$X$7),"x","")</f>
        <v/>
      </c>
      <c r="Y2519" s="79" t="str">
        <f>IF(AND(OR(N2519="131",O2519="131"),H2519='131-CT'!$H$9),"x","")</f>
        <v/>
      </c>
      <c r="Z2519" s="79"/>
      <c r="AA2519" s="79" t="str">
        <f>IF(AND(MONTH(E2519)='IN-NX'!$J$5,'IN-NX'!$D$7=D2519),"x","")</f>
        <v/>
      </c>
      <c r="AB2519" s="79" t="str">
        <f>IF(AND(OR(LEFT(TH!N2519,2)="15",LEFT(TH!O2519,2)="15"),LEFT(TH!O2519,3)&lt;&gt;"111",'152-CT'!$J$8=TH!F2519),"x","")</f>
        <v/>
      </c>
      <c r="AC2519" s="79" t="str">
        <f>IF(AND(OR(LEFT(TH!N2519,2)="15",LEFT(TH!O2519,2)="15"),TK!$E$7=TH!F2519),"x","")</f>
        <v/>
      </c>
      <c r="AD2519" s="79" t="str">
        <f>IF(AND(N2519="1521",MONTH(C2519)='BK-NL'!$M$11),"x","")</f>
        <v/>
      </c>
    </row>
    <row r="2520" spans="1:30" ht="16.5" customHeight="1">
      <c r="A2520" s="318" t="str">
        <f>IF(B2520&lt;&gt;"",IF(AND(B2520='IN-TC'!$S$4,OR(TH!N2520="1111",TH!O2520="1111")),TH!D2520,""),"")</f>
        <v/>
      </c>
      <c r="B2520" s="60" t="str">
        <f t="shared" si="244"/>
        <v/>
      </c>
      <c r="C2520" s="301"/>
      <c r="D2520" s="301"/>
      <c r="E2520" s="301"/>
      <c r="F2520" s="302"/>
      <c r="G2520" s="968"/>
      <c r="H2520" s="303"/>
      <c r="I2520" s="385"/>
      <c r="J2520" s="969"/>
      <c r="K2520" s="385"/>
      <c r="L2520" s="392"/>
      <c r="M2520" s="970"/>
      <c r="N2520" s="304"/>
      <c r="O2520" s="304"/>
      <c r="P2520" s="79" t="str">
        <f>IF(AND('331-CT'!$E$7=TH!H2520,OR(N2520="331",O2520="331")),"x","")</f>
        <v/>
      </c>
      <c r="Q2520" s="79" t="str">
        <f>IF(AND(B2520='111'!$L$11,OR($N2520=$Q$7,$O2520=$Q$7)),"x","")</f>
        <v/>
      </c>
      <c r="R2520" s="79" t="str">
        <f>IF(AND($N2520=$Q$7,$B2520&lt;'111'!$L$11),"x","")</f>
        <v/>
      </c>
      <c r="S2520" s="79" t="str">
        <f>IF(AND($O2520=$Q$7,$B2520&lt;'111'!$L$11),"x","")</f>
        <v/>
      </c>
      <c r="T2520" s="79" t="str">
        <f>IF(ISERROR(FIND('112'!$M$9,G2520,1)),"",IF((AND(FIND('112'!$M$9,G2520,1)&gt;=1,B2520='112'!$K$9,OR($N2520='112'!$I$6,$O2520='112'!$I$6))),"x",""))</f>
        <v/>
      </c>
      <c r="U2520" s="79" t="str">
        <f>IF(ISERROR(FIND('112'!$M$9,G2520,1)),"",IF((AND(LEFT(G2520,2)=LEFT('112'!$M$9,2),B2520&lt;'112'!$K$9,$N2520='112'!$I$6)),"x",""))</f>
        <v/>
      </c>
      <c r="V2520" s="79" t="str">
        <f>IF(ISERROR(FIND('112'!$M$9,G2520,1)),"",IF((AND(RIGHT(G2520,2)=RIGHT('112'!$M$9,2),B2520&lt;'112'!$K$9,$O2520='112'!$I$6)),"x",""))</f>
        <v/>
      </c>
      <c r="W2520" s="79" t="str">
        <f>IF(AND('341-CT'!$H$9=H2520,OR(LEFT(N2520,3)=$W$7,LEFT(O2520,3)=$W$7)),"x","")</f>
        <v/>
      </c>
      <c r="X2520" s="79" t="str">
        <f>IF(OR(TH!N2520=TH!$X$7,O2520=TH!$X$7),"x","")</f>
        <v/>
      </c>
      <c r="Y2520" s="79" t="str">
        <f>IF(AND(OR(N2520="131",O2520="131"),H2520='131-CT'!$H$9),"x","")</f>
        <v/>
      </c>
      <c r="Z2520" s="79"/>
      <c r="AA2520" s="79" t="str">
        <f>IF(AND(MONTH(E2520)='IN-NX'!$J$5,'IN-NX'!$D$7=D2520),"x","")</f>
        <v/>
      </c>
      <c r="AB2520" s="79" t="str">
        <f>IF(AND(OR(LEFT(TH!N2520,2)="15",LEFT(TH!O2520,2)="15"),LEFT(TH!O2520,3)&lt;&gt;"111",'152-CT'!$J$8=TH!F2520),"x","")</f>
        <v/>
      </c>
      <c r="AC2520" s="79" t="str">
        <f>IF(AND(OR(LEFT(TH!N2520,2)="15",LEFT(TH!O2520,2)="15"),TK!$E$7=TH!F2520),"x","")</f>
        <v/>
      </c>
      <c r="AD2520" s="79" t="str">
        <f>IF(AND(N2520="1521",MONTH(C2520)='BK-NL'!$M$11),"x","")</f>
        <v/>
      </c>
    </row>
    <row r="2521" spans="1:30" ht="16.5" customHeight="1">
      <c r="A2521" s="318" t="str">
        <f>IF(B2521&lt;&gt;"",IF(AND(B2521='IN-TC'!$S$4,OR(TH!N2521="1111",TH!O2521="1111")),TH!D2521,""),"")</f>
        <v/>
      </c>
      <c r="B2521" s="60" t="str">
        <f t="shared" si="244"/>
        <v/>
      </c>
      <c r="C2521" s="301"/>
      <c r="D2521" s="301"/>
      <c r="E2521" s="301"/>
      <c r="F2521" s="302"/>
      <c r="G2521" s="968"/>
      <c r="H2521" s="303"/>
      <c r="I2521" s="385"/>
      <c r="J2521" s="969"/>
      <c r="K2521" s="385"/>
      <c r="L2521" s="392"/>
      <c r="M2521" s="970"/>
      <c r="N2521" s="304"/>
      <c r="O2521" s="304"/>
      <c r="P2521" s="79" t="str">
        <f>IF(AND('331-CT'!$E$7=TH!H2521,OR(N2521="331",O2521="331")),"x","")</f>
        <v/>
      </c>
      <c r="Q2521" s="79" t="str">
        <f>IF(AND(B2521='111'!$L$11,OR($N2521=$Q$7,$O2521=$Q$7)),"x","")</f>
        <v/>
      </c>
      <c r="R2521" s="79" t="str">
        <f>IF(AND($N2521=$Q$7,$B2521&lt;'111'!$L$11),"x","")</f>
        <v/>
      </c>
      <c r="S2521" s="79" t="str">
        <f>IF(AND($O2521=$Q$7,$B2521&lt;'111'!$L$11),"x","")</f>
        <v/>
      </c>
      <c r="T2521" s="79" t="str">
        <f>IF(ISERROR(FIND('112'!$M$9,G2521,1)),"",IF((AND(FIND('112'!$M$9,G2521,1)&gt;=1,B2521='112'!$K$9,OR($N2521='112'!$I$6,$O2521='112'!$I$6))),"x",""))</f>
        <v/>
      </c>
      <c r="U2521" s="79" t="str">
        <f>IF(ISERROR(FIND('112'!$M$9,G2521,1)),"",IF((AND(LEFT(G2521,2)=LEFT('112'!$M$9,2),B2521&lt;'112'!$K$9,$N2521='112'!$I$6)),"x",""))</f>
        <v/>
      </c>
      <c r="V2521" s="79" t="str">
        <f>IF(ISERROR(FIND('112'!$M$9,G2521,1)),"",IF((AND(RIGHT(G2521,2)=RIGHT('112'!$M$9,2),B2521&lt;'112'!$K$9,$O2521='112'!$I$6)),"x",""))</f>
        <v/>
      </c>
      <c r="W2521" s="79" t="str">
        <f>IF(AND('341-CT'!$H$9=H2521,OR(LEFT(N2521,3)=$W$7,LEFT(O2521,3)=$W$7)),"x","")</f>
        <v/>
      </c>
      <c r="X2521" s="79" t="str">
        <f>IF(OR(TH!N2521=TH!$X$7,O2521=TH!$X$7),"x","")</f>
        <v/>
      </c>
      <c r="Y2521" s="79" t="str">
        <f>IF(AND(OR(N2521="131",O2521="131"),H2521='131-CT'!$H$9),"x","")</f>
        <v/>
      </c>
      <c r="Z2521" s="79"/>
      <c r="AA2521" s="79" t="str">
        <f>IF(AND(MONTH(E2521)='IN-NX'!$J$5,'IN-NX'!$D$7=D2521),"x","")</f>
        <v/>
      </c>
      <c r="AB2521" s="79" t="str">
        <f>IF(AND(OR(LEFT(TH!N2521,2)="15",LEFT(TH!O2521,2)="15"),LEFT(TH!O2521,3)&lt;&gt;"111",'152-CT'!$J$8=TH!F2521),"x","")</f>
        <v/>
      </c>
      <c r="AC2521" s="79" t="str">
        <f>IF(AND(OR(LEFT(TH!N2521,2)="15",LEFT(TH!O2521,2)="15"),TK!$E$7=TH!F2521),"x","")</f>
        <v/>
      </c>
      <c r="AD2521" s="79" t="str">
        <f>IF(AND(N2521="1521",MONTH(C2521)='BK-NL'!$M$11),"x","")</f>
        <v/>
      </c>
    </row>
    <row r="2522" spans="1:30" ht="16.5" customHeight="1">
      <c r="A2522" s="318" t="str">
        <f>IF(B2522&lt;&gt;"",IF(AND(B2522='IN-TC'!$S$4,OR(TH!N2522="1111",TH!O2522="1111")),TH!D2522,""),"")</f>
        <v/>
      </c>
      <c r="B2522" s="60" t="str">
        <f t="shared" si="244"/>
        <v/>
      </c>
      <c r="C2522" s="301"/>
      <c r="D2522" s="301"/>
      <c r="E2522" s="301"/>
      <c r="F2522" s="302"/>
      <c r="G2522" s="968"/>
      <c r="H2522" s="303"/>
      <c r="I2522" s="385"/>
      <c r="J2522" s="969"/>
      <c r="K2522" s="385"/>
      <c r="L2522" s="392"/>
      <c r="M2522" s="970"/>
      <c r="N2522" s="304"/>
      <c r="O2522" s="304"/>
      <c r="P2522" s="79" t="str">
        <f>IF(AND('331-CT'!$E$7=TH!H2522,OR(N2522="331",O2522="331")),"x","")</f>
        <v/>
      </c>
      <c r="Q2522" s="79" t="str">
        <f>IF(AND(B2522='111'!$L$11,OR($N2522=$Q$7,$O2522=$Q$7)),"x","")</f>
        <v/>
      </c>
      <c r="R2522" s="79" t="str">
        <f>IF(AND($N2522=$Q$7,$B2522&lt;'111'!$L$11),"x","")</f>
        <v/>
      </c>
      <c r="S2522" s="79" t="str">
        <f>IF(AND($O2522=$Q$7,$B2522&lt;'111'!$L$11),"x","")</f>
        <v/>
      </c>
      <c r="T2522" s="79" t="str">
        <f>IF(ISERROR(FIND('112'!$M$9,G2522,1)),"",IF((AND(FIND('112'!$M$9,G2522,1)&gt;=1,B2522='112'!$K$9,OR($N2522='112'!$I$6,$O2522='112'!$I$6))),"x",""))</f>
        <v/>
      </c>
      <c r="U2522" s="79" t="str">
        <f>IF(ISERROR(FIND('112'!$M$9,G2522,1)),"",IF((AND(LEFT(G2522,2)=LEFT('112'!$M$9,2),B2522&lt;'112'!$K$9,$N2522='112'!$I$6)),"x",""))</f>
        <v/>
      </c>
      <c r="V2522" s="79" t="str">
        <f>IF(ISERROR(FIND('112'!$M$9,G2522,1)),"",IF((AND(RIGHT(G2522,2)=RIGHT('112'!$M$9,2),B2522&lt;'112'!$K$9,$O2522='112'!$I$6)),"x",""))</f>
        <v/>
      </c>
      <c r="W2522" s="79" t="str">
        <f>IF(AND('341-CT'!$H$9=H2522,OR(LEFT(N2522,3)=$W$7,LEFT(O2522,3)=$W$7)),"x","")</f>
        <v/>
      </c>
      <c r="X2522" s="79" t="str">
        <f>IF(OR(TH!N2522=TH!$X$7,O2522=TH!$X$7),"x","")</f>
        <v/>
      </c>
      <c r="Y2522" s="79" t="str">
        <f>IF(AND(OR(N2522="131",O2522="131"),H2522='131-CT'!$H$9),"x","")</f>
        <v/>
      </c>
      <c r="Z2522" s="79"/>
      <c r="AA2522" s="79" t="str">
        <f>IF(AND(MONTH(E2522)='IN-NX'!$J$5,'IN-NX'!$D$7=D2522),"x","")</f>
        <v/>
      </c>
      <c r="AB2522" s="79" t="str">
        <f>IF(AND(OR(LEFT(TH!N2522,2)="15",LEFT(TH!O2522,2)="15"),LEFT(TH!O2522,3)&lt;&gt;"111",'152-CT'!$J$8=TH!F2522),"x","")</f>
        <v/>
      </c>
      <c r="AC2522" s="79" t="str">
        <f>IF(AND(OR(LEFT(TH!N2522,2)="15",LEFT(TH!O2522,2)="15"),TK!$E$7=TH!F2522),"x","")</f>
        <v/>
      </c>
      <c r="AD2522" s="79" t="str">
        <f>IF(AND(N2522="1521",MONTH(C2522)='BK-NL'!$M$11),"x","")</f>
        <v/>
      </c>
    </row>
    <row r="2523" spans="1:30" ht="16.5" customHeight="1">
      <c r="A2523" s="318" t="str">
        <f>IF(B2523&lt;&gt;"",IF(AND(B2523='IN-TC'!$S$4,OR(TH!N2523="1111",TH!O2523="1111")),TH!D2523,""),"")</f>
        <v/>
      </c>
      <c r="B2523" s="60" t="str">
        <f t="shared" si="244"/>
        <v/>
      </c>
      <c r="C2523" s="301"/>
      <c r="D2523" s="301"/>
      <c r="E2523" s="301"/>
      <c r="F2523" s="302"/>
      <c r="G2523" s="968"/>
      <c r="H2523" s="303"/>
      <c r="I2523" s="385"/>
      <c r="J2523" s="969"/>
      <c r="K2523" s="385"/>
      <c r="L2523" s="392"/>
      <c r="M2523" s="970"/>
      <c r="N2523" s="304"/>
      <c r="O2523" s="304"/>
      <c r="P2523" s="79" t="str">
        <f>IF(AND('331-CT'!$E$7=TH!H2523,OR(N2523="331",O2523="331")),"x","")</f>
        <v/>
      </c>
      <c r="Q2523" s="79" t="str">
        <f>IF(AND(B2523='111'!$L$11,OR($N2523=$Q$7,$O2523=$Q$7)),"x","")</f>
        <v/>
      </c>
      <c r="R2523" s="79" t="str">
        <f>IF(AND($N2523=$Q$7,$B2523&lt;'111'!$L$11),"x","")</f>
        <v/>
      </c>
      <c r="S2523" s="79" t="str">
        <f>IF(AND($O2523=$Q$7,$B2523&lt;'111'!$L$11),"x","")</f>
        <v/>
      </c>
      <c r="T2523" s="79" t="str">
        <f>IF(ISERROR(FIND('112'!$M$9,G2523,1)),"",IF((AND(FIND('112'!$M$9,G2523,1)&gt;=1,B2523='112'!$K$9,OR($N2523='112'!$I$6,$O2523='112'!$I$6))),"x",""))</f>
        <v/>
      </c>
      <c r="U2523" s="79" t="str">
        <f>IF(ISERROR(FIND('112'!$M$9,G2523,1)),"",IF((AND(LEFT(G2523,2)=LEFT('112'!$M$9,2),B2523&lt;'112'!$K$9,$N2523='112'!$I$6)),"x",""))</f>
        <v/>
      </c>
      <c r="V2523" s="79" t="str">
        <f>IF(ISERROR(FIND('112'!$M$9,G2523,1)),"",IF((AND(RIGHT(G2523,2)=RIGHT('112'!$M$9,2),B2523&lt;'112'!$K$9,$O2523='112'!$I$6)),"x",""))</f>
        <v/>
      </c>
      <c r="W2523" s="79" t="str">
        <f>IF(AND('341-CT'!$H$9=H2523,OR(LEFT(N2523,3)=$W$7,LEFT(O2523,3)=$W$7)),"x","")</f>
        <v/>
      </c>
      <c r="X2523" s="79" t="str">
        <f>IF(OR(TH!N2523=TH!$X$7,O2523=TH!$X$7),"x","")</f>
        <v/>
      </c>
      <c r="Y2523" s="79" t="str">
        <f>IF(AND(OR(N2523="131",O2523="131"),H2523='131-CT'!$H$9),"x","")</f>
        <v/>
      </c>
      <c r="Z2523" s="79"/>
      <c r="AA2523" s="79" t="str">
        <f>IF(AND(MONTH(E2523)='IN-NX'!$J$5,'IN-NX'!$D$7=D2523),"x","")</f>
        <v/>
      </c>
      <c r="AB2523" s="79" t="str">
        <f>IF(AND(OR(LEFT(TH!N2523,2)="15",LEFT(TH!O2523,2)="15"),LEFT(TH!O2523,3)&lt;&gt;"111",'152-CT'!$J$8=TH!F2523),"x","")</f>
        <v/>
      </c>
      <c r="AC2523" s="79" t="str">
        <f>IF(AND(OR(LEFT(TH!N2523,2)="15",LEFT(TH!O2523,2)="15"),TK!$E$7=TH!F2523),"x","")</f>
        <v/>
      </c>
      <c r="AD2523" s="79" t="str">
        <f>IF(AND(N2523="1521",MONTH(C2523)='BK-NL'!$M$11),"x","")</f>
        <v/>
      </c>
    </row>
    <row r="2524" spans="1:30" ht="16.5" customHeight="1">
      <c r="A2524" s="318" t="str">
        <f>IF(B2524&lt;&gt;"",IF(AND(B2524='IN-TC'!$S$4,OR(TH!N2524="1111",TH!O2524="1111")),TH!D2524,""),"")</f>
        <v/>
      </c>
      <c r="B2524" s="60" t="str">
        <f t="shared" si="244"/>
        <v/>
      </c>
      <c r="C2524" s="301"/>
      <c r="D2524" s="301"/>
      <c r="E2524" s="301"/>
      <c r="F2524" s="302"/>
      <c r="G2524" s="968"/>
      <c r="H2524" s="303"/>
      <c r="I2524" s="385"/>
      <c r="J2524" s="969"/>
      <c r="K2524" s="385"/>
      <c r="L2524" s="392"/>
      <c r="M2524" s="970"/>
      <c r="N2524" s="304"/>
      <c r="O2524" s="304"/>
      <c r="P2524" s="79" t="str">
        <f>IF(AND('331-CT'!$E$7=TH!H2524,OR(N2524="331",O2524="331")),"x","")</f>
        <v/>
      </c>
      <c r="Q2524" s="79" t="str">
        <f>IF(AND(B2524='111'!$L$11,OR($N2524=$Q$7,$O2524=$Q$7)),"x","")</f>
        <v/>
      </c>
      <c r="R2524" s="79" t="str">
        <f>IF(AND($N2524=$Q$7,$B2524&lt;'111'!$L$11),"x","")</f>
        <v/>
      </c>
      <c r="S2524" s="79" t="str">
        <f>IF(AND($O2524=$Q$7,$B2524&lt;'111'!$L$11),"x","")</f>
        <v/>
      </c>
      <c r="T2524" s="79" t="str">
        <f>IF(ISERROR(FIND('112'!$M$9,G2524,1)),"",IF((AND(FIND('112'!$M$9,G2524,1)&gt;=1,B2524='112'!$K$9,OR($N2524='112'!$I$6,$O2524='112'!$I$6))),"x",""))</f>
        <v/>
      </c>
      <c r="U2524" s="79" t="str">
        <f>IF(ISERROR(FIND('112'!$M$9,G2524,1)),"",IF((AND(LEFT(G2524,2)=LEFT('112'!$M$9,2),B2524&lt;'112'!$K$9,$N2524='112'!$I$6)),"x",""))</f>
        <v/>
      </c>
      <c r="V2524" s="79" t="str">
        <f>IF(ISERROR(FIND('112'!$M$9,G2524,1)),"",IF((AND(RIGHT(G2524,2)=RIGHT('112'!$M$9,2),B2524&lt;'112'!$K$9,$O2524='112'!$I$6)),"x",""))</f>
        <v/>
      </c>
      <c r="W2524" s="79" t="str">
        <f>IF(AND('341-CT'!$H$9=H2524,OR(LEFT(N2524,3)=$W$7,LEFT(O2524,3)=$W$7)),"x","")</f>
        <v/>
      </c>
      <c r="X2524" s="79" t="str">
        <f>IF(OR(TH!N2524=TH!$X$7,O2524=TH!$X$7),"x","")</f>
        <v/>
      </c>
      <c r="Y2524" s="79" t="str">
        <f>IF(AND(OR(N2524="131",O2524="131"),H2524='131-CT'!$H$9),"x","")</f>
        <v/>
      </c>
      <c r="Z2524" s="79"/>
      <c r="AA2524" s="79" t="str">
        <f>IF(AND(MONTH(E2524)='IN-NX'!$J$5,'IN-NX'!$D$7=D2524),"x","")</f>
        <v/>
      </c>
      <c r="AB2524" s="79" t="str">
        <f>IF(AND(OR(LEFT(TH!N2524,2)="15",LEFT(TH!O2524,2)="15"),LEFT(TH!O2524,3)&lt;&gt;"111",'152-CT'!$J$8=TH!F2524),"x","")</f>
        <v/>
      </c>
      <c r="AC2524" s="79" t="str">
        <f>IF(AND(OR(LEFT(TH!N2524,2)="15",LEFT(TH!O2524,2)="15"),TK!$E$7=TH!F2524),"x","")</f>
        <v/>
      </c>
      <c r="AD2524" s="79" t="str">
        <f>IF(AND(N2524="1521",MONTH(C2524)='BK-NL'!$M$11),"x","")</f>
        <v/>
      </c>
    </row>
    <row r="2525" spans="1:30" ht="16.5" customHeight="1">
      <c r="A2525" s="318" t="str">
        <f>IF(B2525&lt;&gt;"",IF(AND(B2525='IN-TC'!$S$4,OR(TH!N2525="1111",TH!O2525="1111")),TH!D2525,""),"")</f>
        <v/>
      </c>
      <c r="B2525" s="60" t="str">
        <f t="shared" si="244"/>
        <v/>
      </c>
      <c r="C2525" s="301"/>
      <c r="D2525" s="301"/>
      <c r="E2525" s="301"/>
      <c r="F2525" s="302"/>
      <c r="G2525" s="968"/>
      <c r="H2525" s="303"/>
      <c r="I2525" s="385"/>
      <c r="J2525" s="969"/>
      <c r="K2525" s="385"/>
      <c r="L2525" s="392"/>
      <c r="M2525" s="970"/>
      <c r="N2525" s="304"/>
      <c r="O2525" s="304"/>
      <c r="P2525" s="79" t="str">
        <f>IF(AND('331-CT'!$E$7=TH!H2525,OR(N2525="331",O2525="331")),"x","")</f>
        <v/>
      </c>
      <c r="Q2525" s="79" t="str">
        <f>IF(AND(B2525='111'!$L$11,OR($N2525=$Q$7,$O2525=$Q$7)),"x","")</f>
        <v/>
      </c>
      <c r="R2525" s="79" t="str">
        <f>IF(AND($N2525=$Q$7,$B2525&lt;'111'!$L$11),"x","")</f>
        <v/>
      </c>
      <c r="S2525" s="79" t="str">
        <f>IF(AND($O2525=$Q$7,$B2525&lt;'111'!$L$11),"x","")</f>
        <v/>
      </c>
      <c r="T2525" s="79" t="str">
        <f>IF(ISERROR(FIND('112'!$M$9,G2525,1)),"",IF((AND(FIND('112'!$M$9,G2525,1)&gt;=1,B2525='112'!$K$9,OR($N2525='112'!$I$6,$O2525='112'!$I$6))),"x",""))</f>
        <v/>
      </c>
      <c r="U2525" s="79" t="str">
        <f>IF(ISERROR(FIND('112'!$M$9,G2525,1)),"",IF((AND(LEFT(G2525,2)=LEFT('112'!$M$9,2),B2525&lt;'112'!$K$9,$N2525='112'!$I$6)),"x",""))</f>
        <v/>
      </c>
      <c r="V2525" s="79" t="str">
        <f>IF(ISERROR(FIND('112'!$M$9,G2525,1)),"",IF((AND(RIGHT(G2525,2)=RIGHT('112'!$M$9,2),B2525&lt;'112'!$K$9,$O2525='112'!$I$6)),"x",""))</f>
        <v/>
      </c>
      <c r="W2525" s="79" t="str">
        <f>IF(AND('341-CT'!$H$9=H2525,OR(LEFT(N2525,3)=$W$7,LEFT(O2525,3)=$W$7)),"x","")</f>
        <v/>
      </c>
      <c r="X2525" s="79" t="str">
        <f>IF(OR(TH!N2525=TH!$X$7,O2525=TH!$X$7),"x","")</f>
        <v/>
      </c>
      <c r="Y2525" s="79" t="str">
        <f>IF(AND(OR(N2525="131",O2525="131"),H2525='131-CT'!$H$9),"x","")</f>
        <v/>
      </c>
      <c r="Z2525" s="79"/>
      <c r="AA2525" s="79" t="str">
        <f>IF(AND(MONTH(E2525)='IN-NX'!$J$5,'IN-NX'!$D$7=D2525),"x","")</f>
        <v/>
      </c>
      <c r="AB2525" s="79" t="str">
        <f>IF(AND(OR(LEFT(TH!N2525,2)="15",LEFT(TH!O2525,2)="15"),LEFT(TH!O2525,3)&lt;&gt;"111",'152-CT'!$J$8=TH!F2525),"x","")</f>
        <v/>
      </c>
      <c r="AC2525" s="79" t="str">
        <f>IF(AND(OR(LEFT(TH!N2525,2)="15",LEFT(TH!O2525,2)="15"),TK!$E$7=TH!F2525),"x","")</f>
        <v/>
      </c>
      <c r="AD2525" s="79" t="str">
        <f>IF(AND(N2525="1521",MONTH(C2525)='BK-NL'!$M$11),"x","")</f>
        <v/>
      </c>
    </row>
    <row r="2526" spans="1:30" ht="16.5" customHeight="1">
      <c r="A2526" s="318" t="str">
        <f>IF(B2526&lt;&gt;"",IF(AND(B2526='IN-TC'!$S$4,OR(TH!N2526="1111",TH!O2526="1111")),TH!D2526,""),"")</f>
        <v/>
      </c>
      <c r="B2526" s="60" t="str">
        <f t="shared" ref="B2526:B2527" si="248">IF(C2526&lt;&gt;"",MONTH(C2526),"")</f>
        <v/>
      </c>
      <c r="C2526" s="301"/>
      <c r="D2526" s="301"/>
      <c r="E2526" s="301"/>
      <c r="F2526" s="302"/>
      <c r="G2526" s="968"/>
      <c r="H2526" s="303"/>
      <c r="I2526" s="385"/>
      <c r="J2526" s="969"/>
      <c r="K2526" s="385"/>
      <c r="L2526" s="392"/>
      <c r="M2526" s="970"/>
      <c r="N2526" s="304"/>
      <c r="O2526" s="304"/>
      <c r="P2526" s="79" t="str">
        <f>IF(AND('331-CT'!$E$7=TH!H2526,OR(N2526="331",O2526="331")),"x","")</f>
        <v/>
      </c>
      <c r="Q2526" s="79" t="str">
        <f>IF(AND(B2526='111'!$L$11,OR($N2526=$Q$7,$O2526=$Q$7)),"x","")</f>
        <v/>
      </c>
      <c r="R2526" s="79" t="str">
        <f>IF(AND($N2526=$Q$7,$B2526&lt;'111'!$L$11),"x","")</f>
        <v/>
      </c>
      <c r="S2526" s="79" t="str">
        <f>IF(AND($O2526=$Q$7,$B2526&lt;'111'!$L$11),"x","")</f>
        <v/>
      </c>
      <c r="T2526" s="79" t="str">
        <f>IF(ISERROR(FIND('112'!$M$9,G2526,1)),"",IF((AND(FIND('112'!$M$9,G2526,1)&gt;=1,B2526='112'!$K$9,OR($N2526='112'!$I$6,$O2526='112'!$I$6))),"x",""))</f>
        <v/>
      </c>
      <c r="U2526" s="79" t="str">
        <f>IF(ISERROR(FIND('112'!$M$9,G2526,1)),"",IF((AND(LEFT(G2526,2)=LEFT('112'!$M$9,2),B2526&lt;'112'!$K$9,$N2526='112'!$I$6)),"x",""))</f>
        <v/>
      </c>
      <c r="V2526" s="79" t="str">
        <f>IF(ISERROR(FIND('112'!$M$9,G2526,1)),"",IF((AND(RIGHT(G2526,2)=RIGHT('112'!$M$9,2),B2526&lt;'112'!$K$9,$O2526='112'!$I$6)),"x",""))</f>
        <v/>
      </c>
      <c r="W2526" s="79" t="str">
        <f>IF(AND('341-CT'!$H$9=H2526,OR(LEFT(N2526,3)=$W$7,LEFT(O2526,3)=$W$7)),"x","")</f>
        <v/>
      </c>
      <c r="X2526" s="79" t="str">
        <f>IF(OR(TH!N2526=TH!$X$7,O2526=TH!$X$7),"x","")</f>
        <v/>
      </c>
      <c r="Y2526" s="79" t="str">
        <f>IF(AND(OR(N2526="131",O2526="131"),H2526='131-CT'!$H$9),"x","")</f>
        <v/>
      </c>
      <c r="Z2526" s="79"/>
      <c r="AA2526" s="79" t="str">
        <f>IF(AND(MONTH(E2526)='IN-NX'!$J$5,'IN-NX'!$D$7=D2526),"x","")</f>
        <v/>
      </c>
      <c r="AB2526" s="79" t="str">
        <f>IF(AND(OR(LEFT(TH!N2526,2)="15",LEFT(TH!O2526,2)="15"),LEFT(TH!O2526,3)&lt;&gt;"111",'152-CT'!$J$8=TH!F2526),"x","")</f>
        <v/>
      </c>
      <c r="AC2526" s="79" t="str">
        <f>IF(AND(OR(LEFT(TH!N2526,2)="15",LEFT(TH!O2526,2)="15"),TK!$E$7=TH!F2526),"x","")</f>
        <v/>
      </c>
      <c r="AD2526" s="79" t="str">
        <f>IF(AND(N2526="1521",MONTH(C2526)='BK-NL'!$M$11),"x","")</f>
        <v/>
      </c>
    </row>
    <row r="2527" spans="1:30" ht="16.5" customHeight="1">
      <c r="A2527" s="318" t="str">
        <f>IF(B2527&lt;&gt;"",IF(AND(B2527='IN-TC'!$S$4,OR(TH!N2527="1111",TH!O2527="1111")),TH!D2527,""),"")</f>
        <v/>
      </c>
      <c r="B2527" s="60" t="str">
        <f t="shared" si="248"/>
        <v/>
      </c>
      <c r="C2527" s="301"/>
      <c r="D2527" s="301"/>
      <c r="E2527" s="301"/>
      <c r="F2527" s="302"/>
      <c r="G2527" s="968"/>
      <c r="H2527" s="303"/>
      <c r="I2527" s="385"/>
      <c r="J2527" s="969"/>
      <c r="K2527" s="385"/>
      <c r="L2527" s="392"/>
      <c r="M2527" s="970"/>
      <c r="N2527" s="304"/>
      <c r="O2527" s="304"/>
      <c r="P2527" s="79" t="str">
        <f>IF(AND('331-CT'!$E$7=TH!H2527,OR(N2527="331",O2527="331")),"x","")</f>
        <v/>
      </c>
      <c r="Q2527" s="79" t="str">
        <f>IF(AND(B2527='111'!$L$11,OR($N2527=$Q$7,$O2527=$Q$7)),"x","")</f>
        <v/>
      </c>
      <c r="R2527" s="79" t="str">
        <f>IF(AND($N2527=$Q$7,$B2527&lt;'111'!$L$11),"x","")</f>
        <v/>
      </c>
      <c r="S2527" s="79" t="str">
        <f>IF(AND($O2527=$Q$7,$B2527&lt;'111'!$L$11),"x","")</f>
        <v/>
      </c>
      <c r="T2527" s="79" t="str">
        <f>IF(ISERROR(FIND('112'!$M$9,G2527,1)),"",IF((AND(FIND('112'!$M$9,G2527,1)&gt;=1,B2527='112'!$K$9,OR($N2527='112'!$I$6,$O2527='112'!$I$6))),"x",""))</f>
        <v/>
      </c>
      <c r="U2527" s="79" t="str">
        <f>IF(ISERROR(FIND('112'!$M$9,G2527,1)),"",IF((AND(LEFT(G2527,2)=LEFT('112'!$M$9,2),B2527&lt;'112'!$K$9,$N2527='112'!$I$6)),"x",""))</f>
        <v/>
      </c>
      <c r="V2527" s="79" t="str">
        <f>IF(ISERROR(FIND('112'!$M$9,G2527,1)),"",IF((AND(RIGHT(G2527,2)=RIGHT('112'!$M$9,2),B2527&lt;'112'!$K$9,$O2527='112'!$I$6)),"x",""))</f>
        <v/>
      </c>
      <c r="W2527" s="79" t="str">
        <f>IF(AND('341-CT'!$H$9=H2527,OR(LEFT(N2527,3)=$W$7,LEFT(O2527,3)=$W$7)),"x","")</f>
        <v/>
      </c>
      <c r="X2527" s="79" t="str">
        <f>IF(OR(TH!N2527=TH!$X$7,O2527=TH!$X$7),"x","")</f>
        <v/>
      </c>
      <c r="Y2527" s="79" t="str">
        <f>IF(AND(OR(N2527="131",O2527="131"),H2527='131-CT'!$H$9),"x","")</f>
        <v/>
      </c>
      <c r="Z2527" s="79"/>
      <c r="AA2527" s="79" t="str">
        <f>IF(AND(MONTH(E2527)='IN-NX'!$J$5,'IN-NX'!$D$7=D2527),"x","")</f>
        <v/>
      </c>
      <c r="AB2527" s="79" t="str">
        <f>IF(AND(OR(LEFT(TH!N2527,2)="15",LEFT(TH!O2527,2)="15"),LEFT(TH!O2527,3)&lt;&gt;"111",'152-CT'!$J$8=TH!F2527),"x","")</f>
        <v/>
      </c>
      <c r="AC2527" s="79" t="str">
        <f>IF(AND(OR(LEFT(TH!N2527,2)="15",LEFT(TH!O2527,2)="15"),TK!$E$7=TH!F2527),"x","")</f>
        <v/>
      </c>
      <c r="AD2527" s="79" t="str">
        <f>IF(AND(N2527="1521",MONTH(C2527)='BK-NL'!$M$11),"x","")</f>
        <v/>
      </c>
    </row>
    <row r="2528" spans="1:30" ht="16.5" customHeight="1">
      <c r="A2528" s="318" t="str">
        <f>IF(B2528&lt;&gt;"",IF(AND(B2528='IN-TC'!$S$4,OR(TH!N2528="1111",TH!O2528="1111")),TH!D2528,""),"")</f>
        <v/>
      </c>
      <c r="B2528" s="60" t="str">
        <f t="shared" si="244"/>
        <v/>
      </c>
      <c r="C2528" s="301"/>
      <c r="D2528" s="301"/>
      <c r="E2528" s="301"/>
      <c r="F2528" s="302"/>
      <c r="G2528" s="968"/>
      <c r="H2528" s="303"/>
      <c r="I2528" s="385"/>
      <c r="J2528" s="969"/>
      <c r="K2528" s="385"/>
      <c r="L2528" s="392"/>
      <c r="M2528" s="970"/>
      <c r="N2528" s="304"/>
      <c r="O2528" s="304"/>
      <c r="P2528" s="79" t="str">
        <f>IF(AND('331-CT'!$E$7=TH!H2528,OR(N2528="331",O2528="331")),"x","")</f>
        <v/>
      </c>
      <c r="Q2528" s="79" t="str">
        <f>IF(AND(B2528='111'!$L$11,OR($N2528=$Q$7,$O2528=$Q$7)),"x","")</f>
        <v/>
      </c>
      <c r="R2528" s="79" t="str">
        <f>IF(AND($N2528=$Q$7,$B2528&lt;'111'!$L$11),"x","")</f>
        <v/>
      </c>
      <c r="S2528" s="79" t="str">
        <f>IF(AND($O2528=$Q$7,$B2528&lt;'111'!$L$11),"x","")</f>
        <v/>
      </c>
      <c r="T2528" s="79" t="str">
        <f>IF(ISERROR(FIND('112'!$M$9,G2528,1)),"",IF((AND(FIND('112'!$M$9,G2528,1)&gt;=1,B2528='112'!$K$9,OR($N2528='112'!$I$6,$O2528='112'!$I$6))),"x",""))</f>
        <v/>
      </c>
      <c r="U2528" s="79" t="str">
        <f>IF(ISERROR(FIND('112'!$M$9,G2528,1)),"",IF((AND(LEFT(G2528,2)=LEFT('112'!$M$9,2),B2528&lt;'112'!$K$9,$N2528='112'!$I$6)),"x",""))</f>
        <v/>
      </c>
      <c r="V2528" s="79" t="str">
        <f>IF(ISERROR(FIND('112'!$M$9,G2528,1)),"",IF((AND(RIGHT(G2528,2)=RIGHT('112'!$M$9,2),B2528&lt;'112'!$K$9,$O2528='112'!$I$6)),"x",""))</f>
        <v/>
      </c>
      <c r="W2528" s="79" t="str">
        <f>IF(AND('341-CT'!$H$9=H2528,OR(LEFT(N2528,3)=$W$7,LEFT(O2528,3)=$W$7)),"x","")</f>
        <v/>
      </c>
      <c r="X2528" s="79" t="str">
        <f>IF(OR(TH!N2528=TH!$X$7,O2528=TH!$X$7),"x","")</f>
        <v/>
      </c>
      <c r="Y2528" s="79" t="str">
        <f>IF(AND(OR(N2528="131",O2528="131"),H2528='131-CT'!$H$9),"x","")</f>
        <v/>
      </c>
      <c r="Z2528" s="79"/>
      <c r="AA2528" s="79" t="str">
        <f>IF(AND(MONTH(E2528)='IN-NX'!$J$5,'IN-NX'!$D$7=D2528),"x","")</f>
        <v/>
      </c>
      <c r="AB2528" s="79" t="str">
        <f>IF(AND(OR(LEFT(TH!N2528,2)="15",LEFT(TH!O2528,2)="15"),LEFT(TH!O2528,3)&lt;&gt;"111",'152-CT'!$J$8=TH!F2528),"x","")</f>
        <v/>
      </c>
      <c r="AC2528" s="79" t="str">
        <f>IF(AND(OR(LEFT(TH!N2528,2)="15",LEFT(TH!O2528,2)="15"),TK!$E$7=TH!F2528),"x","")</f>
        <v/>
      </c>
      <c r="AD2528" s="79" t="str">
        <f>IF(AND(N2528="1521",MONTH(C2528)='BK-NL'!$M$11),"x","")</f>
        <v/>
      </c>
    </row>
    <row r="2529" spans="1:30" ht="16.5" customHeight="1">
      <c r="A2529" s="318" t="str">
        <f>IF(B2529&lt;&gt;"",IF(AND(B2529='IN-TC'!$S$4,OR(TH!N2529="1111",TH!O2529="1111")),TH!D2529,""),"")</f>
        <v/>
      </c>
      <c r="B2529" s="60" t="str">
        <f t="shared" si="244"/>
        <v/>
      </c>
      <c r="C2529" s="301"/>
      <c r="D2529" s="301"/>
      <c r="E2529" s="301"/>
      <c r="F2529" s="302"/>
      <c r="G2529" s="968"/>
      <c r="H2529" s="303"/>
      <c r="I2529" s="385"/>
      <c r="J2529" s="969"/>
      <c r="K2529" s="385"/>
      <c r="L2529" s="392"/>
      <c r="M2529" s="970"/>
      <c r="N2529" s="304"/>
      <c r="O2529" s="304"/>
      <c r="P2529" s="79" t="str">
        <f>IF(AND('331-CT'!$E$7=TH!H2529,OR(N2529="331",O2529="331")),"x","")</f>
        <v/>
      </c>
      <c r="Q2529" s="79" t="str">
        <f>IF(AND(B2529='111'!$L$11,OR($N2529=$Q$7,$O2529=$Q$7)),"x","")</f>
        <v/>
      </c>
      <c r="R2529" s="79" t="str">
        <f>IF(AND($N2529=$Q$7,$B2529&lt;'111'!$L$11),"x","")</f>
        <v/>
      </c>
      <c r="S2529" s="79" t="str">
        <f>IF(AND($O2529=$Q$7,$B2529&lt;'111'!$L$11),"x","")</f>
        <v/>
      </c>
      <c r="T2529" s="79" t="str">
        <f>IF(ISERROR(FIND('112'!$M$9,G2529,1)),"",IF((AND(FIND('112'!$M$9,G2529,1)&gt;=1,B2529='112'!$K$9,OR($N2529='112'!$I$6,$O2529='112'!$I$6))),"x",""))</f>
        <v/>
      </c>
      <c r="U2529" s="79" t="str">
        <f>IF(ISERROR(FIND('112'!$M$9,G2529,1)),"",IF((AND(LEFT(G2529,2)=LEFT('112'!$M$9,2),B2529&lt;'112'!$K$9,$N2529='112'!$I$6)),"x",""))</f>
        <v/>
      </c>
      <c r="V2529" s="79" t="str">
        <f>IF(ISERROR(FIND('112'!$M$9,G2529,1)),"",IF((AND(RIGHT(G2529,2)=RIGHT('112'!$M$9,2),B2529&lt;'112'!$K$9,$O2529='112'!$I$6)),"x",""))</f>
        <v/>
      </c>
      <c r="W2529" s="79" t="str">
        <f>IF(AND('341-CT'!$H$9=H2529,OR(LEFT(N2529,3)=$W$7,LEFT(O2529,3)=$W$7)),"x","")</f>
        <v/>
      </c>
      <c r="X2529" s="79" t="str">
        <f>IF(OR(TH!N2529=TH!$X$7,O2529=TH!$X$7),"x","")</f>
        <v/>
      </c>
      <c r="Y2529" s="79" t="str">
        <f>IF(AND(OR(N2529="131",O2529="131"),H2529='131-CT'!$H$9),"x","")</f>
        <v/>
      </c>
      <c r="Z2529" s="79"/>
      <c r="AA2529" s="79" t="str">
        <f>IF(AND(MONTH(E2529)='IN-NX'!$J$5,'IN-NX'!$D$7=D2529),"x","")</f>
        <v/>
      </c>
      <c r="AB2529" s="79" t="str">
        <f>IF(AND(OR(LEFT(TH!N2529,2)="15",LEFT(TH!O2529,2)="15"),LEFT(TH!O2529,3)&lt;&gt;"111",'152-CT'!$J$8=TH!F2529),"x","")</f>
        <v/>
      </c>
      <c r="AC2529" s="79" t="str">
        <f>IF(AND(OR(LEFT(TH!N2529,2)="15",LEFT(TH!O2529,2)="15"),TK!$E$7=TH!F2529),"x","")</f>
        <v/>
      </c>
      <c r="AD2529" s="79" t="str">
        <f>IF(AND(N2529="1521",MONTH(C2529)='BK-NL'!$M$11),"x","")</f>
        <v/>
      </c>
    </row>
    <row r="2530" spans="1:30" ht="16.5" customHeight="1">
      <c r="A2530" s="318" t="str">
        <f>IF(B2530&lt;&gt;"",IF(AND(B2530='IN-TC'!$S$4,OR(TH!N2530="1111",TH!O2530="1111")),TH!D2530,""),"")</f>
        <v/>
      </c>
      <c r="B2530" s="60" t="str">
        <f t="shared" si="244"/>
        <v/>
      </c>
      <c r="C2530" s="301"/>
      <c r="D2530" s="301"/>
      <c r="E2530" s="301"/>
      <c r="F2530" s="1261"/>
      <c r="G2530" s="968"/>
      <c r="H2530" s="321"/>
      <c r="I2530" s="385"/>
      <c r="J2530" s="969"/>
      <c r="K2530" s="385"/>
      <c r="L2530" s="392"/>
      <c r="M2530" s="970"/>
      <c r="N2530" s="304"/>
      <c r="O2530" s="304"/>
      <c r="P2530" s="79" t="str">
        <f>IF(AND('331-CT'!$E$7=TH!H2530,OR(N2530="331",O2530="331")),"x","")</f>
        <v/>
      </c>
      <c r="Q2530" s="79" t="str">
        <f>IF(AND(B2530='111'!$L$11,OR($N2530=$Q$7,$O2530=$Q$7)),"x","")</f>
        <v/>
      </c>
      <c r="R2530" s="79" t="str">
        <f>IF(AND($N2530=$Q$7,$B2530&lt;'111'!$L$11),"x","")</f>
        <v/>
      </c>
      <c r="S2530" s="79" t="str">
        <f>IF(AND($O2530=$Q$7,$B2530&lt;'111'!$L$11),"x","")</f>
        <v/>
      </c>
      <c r="T2530" s="79" t="str">
        <f>IF(ISERROR(FIND('112'!$M$9,G2530,1)),"",IF((AND(FIND('112'!$M$9,G2530,1)&gt;=1,B2530='112'!$K$9,OR($N2530='112'!$I$6,$O2530='112'!$I$6))),"x",""))</f>
        <v/>
      </c>
      <c r="U2530" s="79" t="str">
        <f>IF(ISERROR(FIND('112'!$M$9,G2530,1)),"",IF((AND(LEFT(G2530,2)=LEFT('112'!$M$9,2),B2530&lt;'112'!$K$9,$N2530='112'!$I$6)),"x",""))</f>
        <v/>
      </c>
      <c r="V2530" s="79" t="str">
        <f>IF(ISERROR(FIND('112'!$M$9,G2530,1)),"",IF((AND(RIGHT(G2530,2)=RIGHT('112'!$M$9,2),B2530&lt;'112'!$K$9,$O2530='112'!$I$6)),"x",""))</f>
        <v/>
      </c>
      <c r="W2530" s="79" t="str">
        <f>IF(AND('341-CT'!$H$9=H2530,OR(LEFT(N2530,3)=$W$7,LEFT(O2530,3)=$W$7)),"x","")</f>
        <v/>
      </c>
      <c r="X2530" s="79" t="str">
        <f>IF(OR(TH!N2530=TH!$X$7,O2530=TH!$X$7),"x","")</f>
        <v/>
      </c>
      <c r="Y2530" s="79" t="str">
        <f>IF(AND(OR(N2530="131",O2530="131"),H2530='131-CT'!$H$9),"x","")</f>
        <v/>
      </c>
      <c r="Z2530" s="79"/>
      <c r="AA2530" s="79" t="str">
        <f>IF(AND(MONTH(E2530)='IN-NX'!$J$5,'IN-NX'!$D$7=D2530),"x","")</f>
        <v/>
      </c>
      <c r="AB2530" s="79" t="str">
        <f>IF(AND(OR(LEFT(TH!N2530,2)="15",LEFT(TH!O2530,2)="15"),LEFT(TH!O2530,3)&lt;&gt;"111",'152-CT'!$J$8=TH!F2530),"x","")</f>
        <v/>
      </c>
      <c r="AC2530" s="79" t="str">
        <f>IF(AND(OR(LEFT(TH!N2530,2)="15",LEFT(TH!O2530,2)="15"),TK!$E$7=TH!F2530),"x","")</f>
        <v/>
      </c>
      <c r="AD2530" s="79" t="str">
        <f>IF(AND(N2530="1521",MONTH(C2530)='BK-NL'!$M$11),"x","")</f>
        <v/>
      </c>
    </row>
    <row r="2531" spans="1:30" ht="16.5" customHeight="1">
      <c r="A2531" s="318" t="str">
        <f>IF(B2531&lt;&gt;"",IF(AND(B2531='IN-TC'!$S$4,OR(TH!N2531="1111",TH!O2531="1111")),TH!D2531,""),"")</f>
        <v/>
      </c>
      <c r="B2531" s="60" t="str">
        <f t="shared" si="244"/>
        <v/>
      </c>
      <c r="C2531" s="301"/>
      <c r="D2531" s="301"/>
      <c r="E2531" s="301"/>
      <c r="F2531" s="1261"/>
      <c r="G2531" s="968"/>
      <c r="H2531" s="321"/>
      <c r="I2531" s="385"/>
      <c r="J2531" s="969"/>
      <c r="K2531" s="385"/>
      <c r="L2531" s="392"/>
      <c r="M2531" s="970"/>
      <c r="N2531" s="304"/>
      <c r="O2531" s="304"/>
      <c r="P2531" s="79" t="str">
        <f>IF(AND('331-CT'!$E$7=TH!H2531,OR(N2531="331",O2531="331")),"x","")</f>
        <v/>
      </c>
      <c r="Q2531" s="79" t="str">
        <f>IF(AND(B2531='111'!$L$11,OR($N2531=$Q$7,$O2531=$Q$7)),"x","")</f>
        <v/>
      </c>
      <c r="R2531" s="79" t="str">
        <f>IF(AND($N2531=$Q$7,$B2531&lt;'111'!$L$11),"x","")</f>
        <v/>
      </c>
      <c r="S2531" s="79" t="str">
        <f>IF(AND($O2531=$Q$7,$B2531&lt;'111'!$L$11),"x","")</f>
        <v/>
      </c>
      <c r="T2531" s="79" t="str">
        <f>IF(ISERROR(FIND('112'!$M$9,G2531,1)),"",IF((AND(FIND('112'!$M$9,G2531,1)&gt;=1,B2531='112'!$K$9,OR($N2531='112'!$I$6,$O2531='112'!$I$6))),"x",""))</f>
        <v/>
      </c>
      <c r="U2531" s="79" t="str">
        <f>IF(ISERROR(FIND('112'!$M$9,G2531,1)),"",IF((AND(LEFT(G2531,2)=LEFT('112'!$M$9,2),B2531&lt;'112'!$K$9,$N2531='112'!$I$6)),"x",""))</f>
        <v/>
      </c>
      <c r="V2531" s="79" t="str">
        <f>IF(ISERROR(FIND('112'!$M$9,G2531,1)),"",IF((AND(RIGHT(G2531,2)=RIGHT('112'!$M$9,2),B2531&lt;'112'!$K$9,$O2531='112'!$I$6)),"x",""))</f>
        <v/>
      </c>
      <c r="W2531" s="79" t="str">
        <f>IF(AND('341-CT'!$H$9=H2531,OR(LEFT(N2531,3)=$W$7,LEFT(O2531,3)=$W$7)),"x","")</f>
        <v/>
      </c>
      <c r="X2531" s="79" t="str">
        <f>IF(OR(TH!N2531=TH!$X$7,O2531=TH!$X$7),"x","")</f>
        <v/>
      </c>
      <c r="Y2531" s="79" t="str">
        <f>IF(AND(OR(N2531="131",O2531="131"),H2531='131-CT'!$H$9),"x","")</f>
        <v/>
      </c>
      <c r="Z2531" s="79"/>
      <c r="AA2531" s="79" t="str">
        <f>IF(AND(MONTH(E2531)='IN-NX'!$J$5,'IN-NX'!$D$7=D2531),"x","")</f>
        <v/>
      </c>
      <c r="AB2531" s="79" t="str">
        <f>IF(AND(OR(LEFT(TH!N2531,2)="15",LEFT(TH!O2531,2)="15"),LEFT(TH!O2531,3)&lt;&gt;"111",'152-CT'!$J$8=TH!F2531),"x","")</f>
        <v/>
      </c>
      <c r="AC2531" s="79" t="str">
        <f>IF(AND(OR(LEFT(TH!N2531,2)="15",LEFT(TH!O2531,2)="15"),TK!$E$7=TH!F2531),"x","")</f>
        <v/>
      </c>
      <c r="AD2531" s="79" t="str">
        <f>IF(AND(N2531="1521",MONTH(C2531)='BK-NL'!$M$11),"x","")</f>
        <v/>
      </c>
    </row>
    <row r="2532" spans="1:30" ht="16.5" customHeight="1">
      <c r="A2532" s="318" t="str">
        <f>IF(B2532&lt;&gt;"",IF(AND(B2532='IN-TC'!$S$4,OR(TH!N2532="1111",TH!O2532="1111")),TH!D2532,""),"")</f>
        <v/>
      </c>
      <c r="B2532" s="60" t="str">
        <f t="shared" si="244"/>
        <v/>
      </c>
      <c r="C2532" s="301"/>
      <c r="D2532" s="301"/>
      <c r="E2532" s="301"/>
      <c r="F2532" s="1261"/>
      <c r="G2532" s="968"/>
      <c r="H2532" s="321"/>
      <c r="I2532" s="385"/>
      <c r="J2532" s="969"/>
      <c r="K2532" s="385"/>
      <c r="L2532" s="392"/>
      <c r="M2532" s="970"/>
      <c r="N2532" s="304"/>
      <c r="O2532" s="304"/>
      <c r="P2532" s="79" t="str">
        <f>IF(AND('331-CT'!$E$7=TH!H2532,OR(N2532="331",O2532="331")),"x","")</f>
        <v/>
      </c>
      <c r="Q2532" s="79" t="str">
        <f>IF(AND(B2532='111'!$L$11,OR($N2532=$Q$7,$O2532=$Q$7)),"x","")</f>
        <v/>
      </c>
      <c r="R2532" s="79" t="str">
        <f>IF(AND($N2532=$Q$7,$B2532&lt;'111'!$L$11),"x","")</f>
        <v/>
      </c>
      <c r="S2532" s="79" t="str">
        <f>IF(AND($O2532=$Q$7,$B2532&lt;'111'!$L$11),"x","")</f>
        <v/>
      </c>
      <c r="T2532" s="79" t="str">
        <f>IF(ISERROR(FIND('112'!$M$9,G2532,1)),"",IF((AND(FIND('112'!$M$9,G2532,1)&gt;=1,B2532='112'!$K$9,OR($N2532='112'!$I$6,$O2532='112'!$I$6))),"x",""))</f>
        <v/>
      </c>
      <c r="U2532" s="79" t="str">
        <f>IF(ISERROR(FIND('112'!$M$9,G2532,1)),"",IF((AND(LEFT(G2532,2)=LEFT('112'!$M$9,2),B2532&lt;'112'!$K$9,$N2532='112'!$I$6)),"x",""))</f>
        <v/>
      </c>
      <c r="V2532" s="79" t="str">
        <f>IF(ISERROR(FIND('112'!$M$9,G2532,1)),"",IF((AND(RIGHT(G2532,2)=RIGHT('112'!$M$9,2),B2532&lt;'112'!$K$9,$O2532='112'!$I$6)),"x",""))</f>
        <v/>
      </c>
      <c r="W2532" s="79" t="str">
        <f>IF(AND('341-CT'!$H$9=H2532,OR(LEFT(N2532,3)=$W$7,LEFT(O2532,3)=$W$7)),"x","")</f>
        <v/>
      </c>
      <c r="X2532" s="79" t="str">
        <f>IF(OR(TH!N2532=TH!$X$7,O2532=TH!$X$7),"x","")</f>
        <v/>
      </c>
      <c r="Y2532" s="79" t="str">
        <f>IF(AND(OR(N2532="131",O2532="131"),H2532='131-CT'!$H$9),"x","")</f>
        <v/>
      </c>
      <c r="Z2532" s="79"/>
      <c r="AA2532" s="79" t="str">
        <f>IF(AND(MONTH(E2532)='IN-NX'!$J$5,'IN-NX'!$D$7=D2532),"x","")</f>
        <v/>
      </c>
      <c r="AB2532" s="79" t="str">
        <f>IF(AND(OR(LEFT(TH!N2532,2)="15",LEFT(TH!O2532,2)="15"),LEFT(TH!O2532,3)&lt;&gt;"111",'152-CT'!$J$8=TH!F2532),"x","")</f>
        <v/>
      </c>
      <c r="AC2532" s="79" t="str">
        <f>IF(AND(OR(LEFT(TH!N2532,2)="15",LEFT(TH!O2532,2)="15"),TK!$E$7=TH!F2532),"x","")</f>
        <v/>
      </c>
      <c r="AD2532" s="79" t="str">
        <f>IF(AND(N2532="1521",MONTH(C2532)='BK-NL'!$M$11),"x","")</f>
        <v/>
      </c>
    </row>
    <row r="2533" spans="1:30" ht="16.5" customHeight="1">
      <c r="A2533" s="318" t="str">
        <f>IF(B2533&lt;&gt;"",IF(AND(B2533='IN-TC'!$S$4,OR(TH!N2533="1111",TH!O2533="1111")),TH!D2533,""),"")</f>
        <v/>
      </c>
      <c r="B2533" s="60" t="str">
        <f t="shared" si="244"/>
        <v/>
      </c>
      <c r="C2533" s="301"/>
      <c r="D2533" s="301"/>
      <c r="E2533" s="301"/>
      <c r="F2533" s="1261"/>
      <c r="G2533" s="968"/>
      <c r="H2533" s="321"/>
      <c r="I2533" s="385"/>
      <c r="J2533" s="969"/>
      <c r="K2533" s="385"/>
      <c r="L2533" s="392"/>
      <c r="M2533" s="970"/>
      <c r="N2533" s="304"/>
      <c r="O2533" s="304"/>
      <c r="P2533" s="79" t="str">
        <f>IF(AND('331-CT'!$E$7=TH!H2533,OR(N2533="331",O2533="331")),"x","")</f>
        <v/>
      </c>
      <c r="Q2533" s="79" t="str">
        <f>IF(AND(B2533='111'!$L$11,OR($N2533=$Q$7,$O2533=$Q$7)),"x","")</f>
        <v/>
      </c>
      <c r="R2533" s="79" t="str">
        <f>IF(AND($N2533=$Q$7,$B2533&lt;'111'!$L$11),"x","")</f>
        <v/>
      </c>
      <c r="S2533" s="79" t="str">
        <f>IF(AND($O2533=$Q$7,$B2533&lt;'111'!$L$11),"x","")</f>
        <v/>
      </c>
      <c r="T2533" s="79" t="str">
        <f>IF(ISERROR(FIND('112'!$M$9,G2533,1)),"",IF((AND(FIND('112'!$M$9,G2533,1)&gt;=1,B2533='112'!$K$9,OR($N2533='112'!$I$6,$O2533='112'!$I$6))),"x",""))</f>
        <v/>
      </c>
      <c r="U2533" s="79" t="str">
        <f>IF(ISERROR(FIND('112'!$M$9,G2533,1)),"",IF((AND(LEFT(G2533,2)=LEFT('112'!$M$9,2),B2533&lt;'112'!$K$9,$N2533='112'!$I$6)),"x",""))</f>
        <v/>
      </c>
      <c r="V2533" s="79" t="str">
        <f>IF(ISERROR(FIND('112'!$M$9,G2533,1)),"",IF((AND(RIGHT(G2533,2)=RIGHT('112'!$M$9,2),B2533&lt;'112'!$K$9,$O2533='112'!$I$6)),"x",""))</f>
        <v/>
      </c>
      <c r="W2533" s="79" t="str">
        <f>IF(AND('341-CT'!$H$9=H2533,OR(LEFT(N2533,3)=$W$7,LEFT(O2533,3)=$W$7)),"x","")</f>
        <v/>
      </c>
      <c r="X2533" s="79" t="str">
        <f>IF(OR(TH!N2533=TH!$X$7,O2533=TH!$X$7),"x","")</f>
        <v/>
      </c>
      <c r="Y2533" s="79" t="str">
        <f>IF(AND(OR(N2533="131",O2533="131"),H2533='131-CT'!$H$9),"x","")</f>
        <v/>
      </c>
      <c r="Z2533" s="79"/>
      <c r="AA2533" s="79" t="str">
        <f>IF(AND(MONTH(E2533)='IN-NX'!$J$5,'IN-NX'!$D$7=D2533),"x","")</f>
        <v/>
      </c>
      <c r="AB2533" s="79" t="str">
        <f>IF(AND(OR(LEFT(TH!N2533,2)="15",LEFT(TH!O2533,2)="15"),LEFT(TH!O2533,3)&lt;&gt;"111",'152-CT'!$J$8=TH!F2533),"x","")</f>
        <v/>
      </c>
      <c r="AC2533" s="79" t="str">
        <f>IF(AND(OR(LEFT(TH!N2533,2)="15",LEFT(TH!O2533,2)="15"),TK!$E$7=TH!F2533),"x","")</f>
        <v/>
      </c>
      <c r="AD2533" s="79" t="str">
        <f>IF(AND(N2533="1521",MONTH(C2533)='BK-NL'!$M$11),"x","")</f>
        <v/>
      </c>
    </row>
    <row r="2534" spans="1:30" ht="16.5" customHeight="1">
      <c r="A2534" s="318" t="str">
        <f>IF(B2534&lt;&gt;"",IF(AND(B2534='IN-TC'!$S$4,OR(TH!N2534="1111",TH!O2534="1111")),TH!D2534,""),"")</f>
        <v/>
      </c>
      <c r="B2534" s="60" t="str">
        <f t="shared" si="244"/>
        <v/>
      </c>
      <c r="C2534" s="301"/>
      <c r="D2534" s="301"/>
      <c r="E2534" s="301"/>
      <c r="F2534" s="1261"/>
      <c r="G2534" s="968"/>
      <c r="H2534" s="321"/>
      <c r="I2534" s="385"/>
      <c r="J2534" s="969"/>
      <c r="K2534" s="385"/>
      <c r="L2534" s="392"/>
      <c r="M2534" s="970"/>
      <c r="N2534" s="304"/>
      <c r="O2534" s="304"/>
      <c r="P2534" s="79" t="str">
        <f>IF(AND('331-CT'!$E$7=TH!H2534,OR(N2534="331",O2534="331")),"x","")</f>
        <v/>
      </c>
      <c r="Q2534" s="79" t="str">
        <f>IF(AND(B2534='111'!$L$11,OR($N2534=$Q$7,$O2534=$Q$7)),"x","")</f>
        <v/>
      </c>
      <c r="R2534" s="79" t="str">
        <f>IF(AND($N2534=$Q$7,$B2534&lt;'111'!$L$11),"x","")</f>
        <v/>
      </c>
      <c r="S2534" s="79" t="str">
        <f>IF(AND($O2534=$Q$7,$B2534&lt;'111'!$L$11),"x","")</f>
        <v/>
      </c>
      <c r="T2534" s="79" t="str">
        <f>IF(ISERROR(FIND('112'!$M$9,G2534,1)),"",IF((AND(FIND('112'!$M$9,G2534,1)&gt;=1,B2534='112'!$K$9,OR($N2534='112'!$I$6,$O2534='112'!$I$6))),"x",""))</f>
        <v/>
      </c>
      <c r="U2534" s="79" t="str">
        <f>IF(ISERROR(FIND('112'!$M$9,G2534,1)),"",IF((AND(LEFT(G2534,2)=LEFT('112'!$M$9,2),B2534&lt;'112'!$K$9,$N2534='112'!$I$6)),"x",""))</f>
        <v/>
      </c>
      <c r="V2534" s="79" t="str">
        <f>IF(ISERROR(FIND('112'!$M$9,G2534,1)),"",IF((AND(RIGHT(G2534,2)=RIGHT('112'!$M$9,2),B2534&lt;'112'!$K$9,$O2534='112'!$I$6)),"x",""))</f>
        <v/>
      </c>
      <c r="W2534" s="79" t="str">
        <f>IF(AND('341-CT'!$H$9=H2534,OR(LEFT(N2534,3)=$W$7,LEFT(O2534,3)=$W$7)),"x","")</f>
        <v/>
      </c>
      <c r="X2534" s="79" t="str">
        <f>IF(OR(TH!N2534=TH!$X$7,O2534=TH!$X$7),"x","")</f>
        <v/>
      </c>
      <c r="Y2534" s="79" t="str">
        <f>IF(AND(OR(N2534="131",O2534="131"),H2534='131-CT'!$H$9),"x","")</f>
        <v/>
      </c>
      <c r="Z2534" s="79"/>
      <c r="AA2534" s="79" t="str">
        <f>IF(AND(MONTH(E2534)='IN-NX'!$J$5,'IN-NX'!$D$7=D2534),"x","")</f>
        <v/>
      </c>
      <c r="AB2534" s="79" t="str">
        <f>IF(AND(OR(LEFT(TH!N2534,2)="15",LEFT(TH!O2534,2)="15"),LEFT(TH!O2534,3)&lt;&gt;"111",'152-CT'!$J$8=TH!F2534),"x","")</f>
        <v/>
      </c>
      <c r="AC2534" s="79" t="str">
        <f>IF(AND(OR(LEFT(TH!N2534,2)="15",LEFT(TH!O2534,2)="15"),TK!$E$7=TH!F2534),"x","")</f>
        <v/>
      </c>
      <c r="AD2534" s="79" t="str">
        <f>IF(AND(N2534="1521",MONTH(C2534)='BK-NL'!$M$11),"x","")</f>
        <v/>
      </c>
    </row>
    <row r="2535" spans="1:30" ht="16.5" customHeight="1">
      <c r="A2535" s="318" t="str">
        <f>IF(B2535&lt;&gt;"",IF(AND(B2535='IN-TC'!$S$4,OR(TH!N2535="1111",TH!O2535="1111")),TH!D2535,""),"")</f>
        <v/>
      </c>
      <c r="B2535" s="60" t="str">
        <f t="shared" si="244"/>
        <v/>
      </c>
      <c r="C2535" s="301"/>
      <c r="D2535" s="301"/>
      <c r="E2535" s="301"/>
      <c r="F2535" s="1261"/>
      <c r="G2535" s="968"/>
      <c r="H2535" s="321"/>
      <c r="I2535" s="385"/>
      <c r="J2535" s="969"/>
      <c r="K2535" s="385"/>
      <c r="L2535" s="392"/>
      <c r="M2535" s="970"/>
      <c r="N2535" s="304"/>
      <c r="O2535" s="304"/>
      <c r="P2535" s="79" t="str">
        <f>IF(AND('331-CT'!$E$7=TH!H2535,OR(N2535="331",O2535="331")),"x","")</f>
        <v/>
      </c>
      <c r="Q2535" s="79" t="str">
        <f>IF(AND(B2535='111'!$L$11,OR($N2535=$Q$7,$O2535=$Q$7)),"x","")</f>
        <v/>
      </c>
      <c r="R2535" s="79" t="str">
        <f>IF(AND($N2535=$Q$7,$B2535&lt;'111'!$L$11),"x","")</f>
        <v/>
      </c>
      <c r="S2535" s="79" t="str">
        <f>IF(AND($O2535=$Q$7,$B2535&lt;'111'!$L$11),"x","")</f>
        <v/>
      </c>
      <c r="T2535" s="79" t="str">
        <f>IF(ISERROR(FIND('112'!$M$9,G2535,1)),"",IF((AND(FIND('112'!$M$9,G2535,1)&gt;=1,B2535='112'!$K$9,OR($N2535='112'!$I$6,$O2535='112'!$I$6))),"x",""))</f>
        <v/>
      </c>
      <c r="U2535" s="79" t="str">
        <f>IF(ISERROR(FIND('112'!$M$9,G2535,1)),"",IF((AND(LEFT(G2535,2)=LEFT('112'!$M$9,2),B2535&lt;'112'!$K$9,$N2535='112'!$I$6)),"x",""))</f>
        <v/>
      </c>
      <c r="V2535" s="79" t="str">
        <f>IF(ISERROR(FIND('112'!$M$9,G2535,1)),"",IF((AND(RIGHT(G2535,2)=RIGHT('112'!$M$9,2),B2535&lt;'112'!$K$9,$O2535='112'!$I$6)),"x",""))</f>
        <v/>
      </c>
      <c r="W2535" s="79" t="str">
        <f>IF(AND('341-CT'!$H$9=H2535,OR(LEFT(N2535,3)=$W$7,LEFT(O2535,3)=$W$7)),"x","")</f>
        <v/>
      </c>
      <c r="X2535" s="79" t="str">
        <f>IF(OR(TH!N2535=TH!$X$7,O2535=TH!$X$7),"x","")</f>
        <v/>
      </c>
      <c r="Y2535" s="79" t="str">
        <f>IF(AND(OR(N2535="131",O2535="131"),H2535='131-CT'!$H$9),"x","")</f>
        <v/>
      </c>
      <c r="Z2535" s="79"/>
      <c r="AA2535" s="79" t="str">
        <f>IF(AND(MONTH(E2535)='IN-NX'!$J$5,'IN-NX'!$D$7=D2535),"x","")</f>
        <v/>
      </c>
      <c r="AB2535" s="79" t="str">
        <f>IF(AND(OR(LEFT(TH!N2535,2)="15",LEFT(TH!O2535,2)="15"),LEFT(TH!O2535,3)&lt;&gt;"111",'152-CT'!$J$8=TH!F2535),"x","")</f>
        <v/>
      </c>
      <c r="AC2535" s="79" t="str">
        <f>IF(AND(OR(LEFT(TH!N2535,2)="15",LEFT(TH!O2535,2)="15"),TK!$E$7=TH!F2535),"x","")</f>
        <v/>
      </c>
      <c r="AD2535" s="79" t="str">
        <f>IF(AND(N2535="1521",MONTH(C2535)='BK-NL'!$M$11),"x","")</f>
        <v/>
      </c>
    </row>
    <row r="2536" spans="1:30" ht="16.5" customHeight="1">
      <c r="A2536" s="318" t="str">
        <f>IF(B2536&lt;&gt;"",IF(AND(B2536='IN-TC'!$S$4,OR(TH!N2536="1111",TH!O2536="1111")),TH!D2536,""),"")</f>
        <v/>
      </c>
      <c r="B2536" s="60" t="str">
        <f t="shared" si="244"/>
        <v/>
      </c>
      <c r="C2536" s="301"/>
      <c r="D2536" s="301"/>
      <c r="E2536" s="301"/>
      <c r="F2536" s="302"/>
      <c r="G2536" s="988"/>
      <c r="H2536" s="303"/>
      <c r="I2536" s="385"/>
      <c r="J2536" s="969"/>
      <c r="K2536" s="385"/>
      <c r="L2536" s="392"/>
      <c r="M2536" s="970"/>
      <c r="N2536" s="304"/>
      <c r="O2536" s="304"/>
      <c r="P2536" s="79" t="str">
        <f>IF(AND('331-CT'!$E$7=TH!H2536,OR(N2536="331",O2536="331")),"x","")</f>
        <v/>
      </c>
      <c r="Q2536" s="79" t="str">
        <f>IF(AND(B2536='111'!$L$11,OR($N2536=$Q$7,$O2536=$Q$7)),"x","")</f>
        <v/>
      </c>
      <c r="R2536" s="79" t="str">
        <f>IF(AND($N2536=$Q$7,$B2536&lt;'111'!$L$11),"x","")</f>
        <v/>
      </c>
      <c r="S2536" s="79" t="str">
        <f>IF(AND($O2536=$Q$7,$B2536&lt;'111'!$L$11),"x","")</f>
        <v/>
      </c>
      <c r="T2536" s="79" t="str">
        <f>IF(ISERROR(FIND('112'!$M$9,G2536,1)),"",IF((AND(FIND('112'!$M$9,G2536,1)&gt;=1,B2536='112'!$K$9,OR($N2536='112'!$I$6,$O2536='112'!$I$6))),"x",""))</f>
        <v/>
      </c>
      <c r="U2536" s="79" t="str">
        <f>IF(ISERROR(FIND('112'!$M$9,G2536,1)),"",IF((AND(LEFT(G2536,2)=LEFT('112'!$M$9,2),B2536&lt;'112'!$K$9,$N2536='112'!$I$6)),"x",""))</f>
        <v/>
      </c>
      <c r="V2536" s="79" t="str">
        <f>IF(ISERROR(FIND('112'!$M$9,G2536,1)),"",IF((AND(RIGHT(G2536,2)=RIGHT('112'!$M$9,2),B2536&lt;'112'!$K$9,$O2536='112'!$I$6)),"x",""))</f>
        <v/>
      </c>
      <c r="W2536" s="79" t="str">
        <f>IF(AND('341-CT'!$H$9=H2536,OR(LEFT(N2536,3)=$W$7,LEFT(O2536,3)=$W$7)),"x","")</f>
        <v/>
      </c>
      <c r="X2536" s="79" t="str">
        <f>IF(OR(TH!N2536=TH!$X$7,O2536=TH!$X$7),"x","")</f>
        <v/>
      </c>
      <c r="Y2536" s="79" t="str">
        <f>IF(AND(OR(N2536="131",O2536="131"),H2536='131-CT'!$H$9),"x","")</f>
        <v/>
      </c>
      <c r="Z2536" s="79"/>
      <c r="AA2536" s="79" t="str">
        <f>IF(AND(MONTH(E2536)='IN-NX'!$J$5,'IN-NX'!$D$7=D2536),"x","")</f>
        <v/>
      </c>
      <c r="AB2536" s="79" t="str">
        <f>IF(AND(OR(LEFT(TH!N2536,2)="15",LEFT(TH!O2536,2)="15"),LEFT(TH!O2536,3)&lt;&gt;"111",'152-CT'!$J$8=TH!F2536),"x","")</f>
        <v/>
      </c>
      <c r="AC2536" s="79" t="str">
        <f>IF(AND(OR(LEFT(TH!N2536,2)="15",LEFT(TH!O2536,2)="15"),TK!$E$7=TH!F2536),"x","")</f>
        <v/>
      </c>
      <c r="AD2536" s="79" t="str">
        <f>IF(AND(N2536="1521",MONTH(C2536)='BK-NL'!$M$11),"x","")</f>
        <v/>
      </c>
    </row>
    <row r="2537" spans="1:30" ht="16.5" customHeight="1">
      <c r="A2537" s="318" t="str">
        <f>IF(B2537&lt;&gt;"",IF(AND(B2537='IN-TC'!$S$4,OR(TH!N2537="1111",TH!O2537="1111")),TH!D2537,""),"")</f>
        <v/>
      </c>
      <c r="B2537" s="60" t="str">
        <f t="shared" si="244"/>
        <v/>
      </c>
      <c r="C2537" s="301"/>
      <c r="D2537" s="301"/>
      <c r="E2537" s="301"/>
      <c r="F2537" s="302"/>
      <c r="G2537" s="988"/>
      <c r="H2537" s="303"/>
      <c r="I2537" s="385"/>
      <c r="J2537" s="969"/>
      <c r="K2537" s="385"/>
      <c r="L2537" s="392"/>
      <c r="M2537" s="970"/>
      <c r="N2537" s="304"/>
      <c r="O2537" s="304"/>
      <c r="P2537" s="79" t="str">
        <f>IF(AND('331-CT'!$E$7=TH!H2537,OR(N2537="331",O2537="331")),"x","")</f>
        <v/>
      </c>
      <c r="Q2537" s="79" t="str">
        <f>IF(AND(B2537='111'!$L$11,OR($N2537=$Q$7,$O2537=$Q$7)),"x","")</f>
        <v/>
      </c>
      <c r="R2537" s="79" t="str">
        <f>IF(AND($N2537=$Q$7,$B2537&lt;'111'!$L$11),"x","")</f>
        <v/>
      </c>
      <c r="S2537" s="79" t="str">
        <f>IF(AND($O2537=$Q$7,$B2537&lt;'111'!$L$11),"x","")</f>
        <v/>
      </c>
      <c r="T2537" s="79" t="str">
        <f>IF(ISERROR(FIND('112'!$M$9,G2537,1)),"",IF((AND(FIND('112'!$M$9,G2537,1)&gt;=1,B2537='112'!$K$9,OR($N2537='112'!$I$6,$O2537='112'!$I$6))),"x",""))</f>
        <v/>
      </c>
      <c r="U2537" s="79" t="str">
        <f>IF(ISERROR(FIND('112'!$M$9,G2537,1)),"",IF((AND(LEFT(G2537,2)=LEFT('112'!$M$9,2),B2537&lt;'112'!$K$9,$N2537='112'!$I$6)),"x",""))</f>
        <v/>
      </c>
      <c r="V2537" s="79" t="str">
        <f>IF(ISERROR(FIND('112'!$M$9,G2537,1)),"",IF((AND(RIGHT(G2537,2)=RIGHT('112'!$M$9,2),B2537&lt;'112'!$K$9,$O2537='112'!$I$6)),"x",""))</f>
        <v/>
      </c>
      <c r="W2537" s="79" t="str">
        <f>IF(AND('341-CT'!$H$9=H2537,OR(LEFT(N2537,3)=$W$7,LEFT(O2537,3)=$W$7)),"x","")</f>
        <v/>
      </c>
      <c r="X2537" s="79" t="str">
        <f>IF(OR(TH!N2537=TH!$X$7,O2537=TH!$X$7),"x","")</f>
        <v/>
      </c>
      <c r="Y2537" s="79" t="str">
        <f>IF(AND(OR(N2537="131",O2537="131"),H2537='131-CT'!$H$9),"x","")</f>
        <v/>
      </c>
      <c r="Z2537" s="79"/>
      <c r="AA2537" s="79" t="str">
        <f>IF(AND(MONTH(E2537)='IN-NX'!$J$5,'IN-NX'!$D$7=D2537),"x","")</f>
        <v/>
      </c>
      <c r="AB2537" s="79" t="str">
        <f>IF(AND(OR(LEFT(TH!N2537,2)="15",LEFT(TH!O2537,2)="15"),LEFT(TH!O2537,3)&lt;&gt;"111",'152-CT'!$J$8=TH!F2537),"x","")</f>
        <v/>
      </c>
      <c r="AC2537" s="79" t="str">
        <f>IF(AND(OR(LEFT(TH!N2537,2)="15",LEFT(TH!O2537,2)="15"),TK!$E$7=TH!F2537),"x","")</f>
        <v/>
      </c>
      <c r="AD2537" s="79" t="str">
        <f>IF(AND(N2537="1521",MONTH(C2537)='BK-NL'!$M$11),"x","")</f>
        <v/>
      </c>
    </row>
    <row r="2538" spans="1:30" ht="16.5" customHeight="1">
      <c r="A2538" s="318" t="str">
        <f>IF(B2538&lt;&gt;"",IF(AND(B2538='IN-TC'!$S$4,OR(TH!N2538="1111",TH!O2538="1111")),TH!D2538,""),"")</f>
        <v/>
      </c>
      <c r="B2538" s="60" t="str">
        <f t="shared" si="244"/>
        <v/>
      </c>
      <c r="C2538" s="301"/>
      <c r="D2538" s="301"/>
      <c r="E2538" s="301"/>
      <c r="F2538" s="302"/>
      <c r="G2538" s="968"/>
      <c r="H2538" s="303"/>
      <c r="I2538" s="385"/>
      <c r="J2538" s="969"/>
      <c r="K2538" s="385"/>
      <c r="L2538" s="392"/>
      <c r="M2538" s="970"/>
      <c r="N2538" s="304"/>
      <c r="O2538" s="304"/>
      <c r="P2538" s="79" t="str">
        <f>IF(AND('331-CT'!$E$7=TH!H2538,OR(N2538="331",O2538="331")),"x","")</f>
        <v/>
      </c>
      <c r="Q2538" s="79" t="str">
        <f>IF(AND(B2538='111'!$L$11,OR($N2538=$Q$7,$O2538=$Q$7)),"x","")</f>
        <v/>
      </c>
      <c r="R2538" s="79" t="str">
        <f>IF(AND($N2538=$Q$7,$B2538&lt;'111'!$L$11),"x","")</f>
        <v/>
      </c>
      <c r="S2538" s="79" t="str">
        <f>IF(AND($O2538=$Q$7,$B2538&lt;'111'!$L$11),"x","")</f>
        <v/>
      </c>
      <c r="T2538" s="79" t="str">
        <f>IF(ISERROR(FIND('112'!$M$9,G2538,1)),"",IF((AND(FIND('112'!$M$9,G2538,1)&gt;=1,B2538='112'!$K$9,OR($N2538='112'!$I$6,$O2538='112'!$I$6))),"x",""))</f>
        <v/>
      </c>
      <c r="U2538" s="79" t="str">
        <f>IF(ISERROR(FIND('112'!$M$9,G2538,1)),"",IF((AND(LEFT(G2538,2)=LEFT('112'!$M$9,2),B2538&lt;'112'!$K$9,$N2538='112'!$I$6)),"x",""))</f>
        <v/>
      </c>
      <c r="V2538" s="79" t="str">
        <f>IF(ISERROR(FIND('112'!$M$9,G2538,1)),"",IF((AND(RIGHT(G2538,2)=RIGHT('112'!$M$9,2),B2538&lt;'112'!$K$9,$O2538='112'!$I$6)),"x",""))</f>
        <v/>
      </c>
      <c r="W2538" s="79" t="str">
        <f>IF(AND('341-CT'!$H$9=H2538,OR(LEFT(N2538,3)=$W$7,LEFT(O2538,3)=$W$7)),"x","")</f>
        <v/>
      </c>
      <c r="X2538" s="79" t="str">
        <f>IF(OR(TH!N2538=TH!$X$7,O2538=TH!$X$7),"x","")</f>
        <v/>
      </c>
      <c r="Y2538" s="79" t="str">
        <f>IF(AND(OR(N2538="131",O2538="131"),H2538='131-CT'!$H$9),"x","")</f>
        <v/>
      </c>
      <c r="Z2538" s="79"/>
      <c r="AA2538" s="79" t="str">
        <f>IF(AND(MONTH(E2538)='IN-NX'!$J$5,'IN-NX'!$D$7=D2538),"x","")</f>
        <v/>
      </c>
      <c r="AB2538" s="79" t="str">
        <f>IF(AND(OR(LEFT(TH!N2538,2)="15",LEFT(TH!O2538,2)="15"),LEFT(TH!O2538,3)&lt;&gt;"111",'152-CT'!$J$8=TH!F2538),"x","")</f>
        <v/>
      </c>
      <c r="AC2538" s="79" t="str">
        <f>IF(AND(OR(LEFT(TH!N2538,2)="15",LEFT(TH!O2538,2)="15"),TK!$E$7=TH!F2538),"x","")</f>
        <v/>
      </c>
      <c r="AD2538" s="79" t="str">
        <f>IF(AND(N2538="1521",MONTH(C2538)='BK-NL'!$M$11),"x","")</f>
        <v/>
      </c>
    </row>
    <row r="2539" spans="1:30" ht="16.5" customHeight="1">
      <c r="A2539" s="318" t="str">
        <f>IF(B2539&lt;&gt;"",IF(AND(B2539='IN-TC'!$S$4,OR(TH!N2539="1111",TH!O2539="1111")),TH!D2539,""),"")</f>
        <v/>
      </c>
      <c r="B2539" s="60" t="str">
        <f t="shared" si="244"/>
        <v/>
      </c>
      <c r="C2539" s="301"/>
      <c r="D2539" s="301"/>
      <c r="E2539" s="301"/>
      <c r="F2539" s="302"/>
      <c r="G2539" s="968"/>
      <c r="H2539" s="303"/>
      <c r="I2539" s="385"/>
      <c r="J2539" s="969"/>
      <c r="K2539" s="385"/>
      <c r="L2539" s="392"/>
      <c r="M2539" s="970"/>
      <c r="N2539" s="304"/>
      <c r="O2539" s="304"/>
      <c r="P2539" s="79" t="str">
        <f>IF(AND('331-CT'!$E$7=TH!H2539,OR(N2539="331",O2539="331")),"x","")</f>
        <v/>
      </c>
      <c r="Q2539" s="79" t="str">
        <f>IF(AND(B2539='111'!$L$11,OR($N2539=$Q$7,$O2539=$Q$7)),"x","")</f>
        <v/>
      </c>
      <c r="R2539" s="79" t="str">
        <f>IF(AND($N2539=$Q$7,$B2539&lt;'111'!$L$11),"x","")</f>
        <v/>
      </c>
      <c r="S2539" s="79" t="str">
        <f>IF(AND($O2539=$Q$7,$B2539&lt;'111'!$L$11),"x","")</f>
        <v/>
      </c>
      <c r="T2539" s="79" t="str">
        <f>IF(ISERROR(FIND('112'!$M$9,G2539,1)),"",IF((AND(FIND('112'!$M$9,G2539,1)&gt;=1,B2539='112'!$K$9,OR($N2539='112'!$I$6,$O2539='112'!$I$6))),"x",""))</f>
        <v/>
      </c>
      <c r="U2539" s="79" t="str">
        <f>IF(ISERROR(FIND('112'!$M$9,G2539,1)),"",IF((AND(LEFT(G2539,2)=LEFT('112'!$M$9,2),B2539&lt;'112'!$K$9,$N2539='112'!$I$6)),"x",""))</f>
        <v/>
      </c>
      <c r="V2539" s="79" t="str">
        <f>IF(ISERROR(FIND('112'!$M$9,G2539,1)),"",IF((AND(RIGHT(G2539,2)=RIGHT('112'!$M$9,2),B2539&lt;'112'!$K$9,$O2539='112'!$I$6)),"x",""))</f>
        <v/>
      </c>
      <c r="W2539" s="79" t="str">
        <f>IF(AND('341-CT'!$H$9=H2539,OR(LEFT(N2539,3)=$W$7,LEFT(O2539,3)=$W$7)),"x","")</f>
        <v/>
      </c>
      <c r="X2539" s="79" t="str">
        <f>IF(OR(TH!N2539=TH!$X$7,O2539=TH!$X$7),"x","")</f>
        <v/>
      </c>
      <c r="Y2539" s="79" t="str">
        <f>IF(AND(OR(N2539="131",O2539="131"),H2539='131-CT'!$H$9),"x","")</f>
        <v/>
      </c>
      <c r="Z2539" s="79"/>
      <c r="AA2539" s="79" t="str">
        <f>IF(AND(MONTH(E2539)='IN-NX'!$J$5,'IN-NX'!$D$7=D2539),"x","")</f>
        <v/>
      </c>
      <c r="AB2539" s="79" t="str">
        <f>IF(AND(OR(LEFT(TH!N2539,2)="15",LEFT(TH!O2539,2)="15"),LEFT(TH!O2539,3)&lt;&gt;"111",'152-CT'!$J$8=TH!F2539),"x","")</f>
        <v/>
      </c>
      <c r="AC2539" s="79" t="str">
        <f>IF(AND(OR(LEFT(TH!N2539,2)="15",LEFT(TH!O2539,2)="15"),TK!$E$7=TH!F2539),"x","")</f>
        <v/>
      </c>
      <c r="AD2539" s="79" t="str">
        <f>IF(AND(N2539="1521",MONTH(C2539)='BK-NL'!$M$11),"x","")</f>
        <v/>
      </c>
    </row>
    <row r="2540" spans="1:30" ht="16.5" customHeight="1">
      <c r="A2540" s="318" t="str">
        <f>IF(B2540&lt;&gt;"",IF(AND(B2540='IN-TC'!$S$4,OR(TH!N2540="1111",TH!O2540="1111")),TH!D2540,""),"")</f>
        <v/>
      </c>
      <c r="B2540" s="60" t="str">
        <f t="shared" si="244"/>
        <v/>
      </c>
      <c r="C2540" s="301"/>
      <c r="D2540" s="301"/>
      <c r="E2540" s="301"/>
      <c r="F2540" s="302"/>
      <c r="G2540" s="968"/>
      <c r="H2540" s="303"/>
      <c r="I2540" s="385"/>
      <c r="J2540" s="969"/>
      <c r="K2540" s="385"/>
      <c r="L2540" s="392"/>
      <c r="M2540" s="970"/>
      <c r="N2540" s="304"/>
      <c r="O2540" s="304"/>
      <c r="P2540" s="79" t="str">
        <f>IF(AND('331-CT'!$E$7=TH!H2540,OR(N2540="331",O2540="331")),"x","")</f>
        <v/>
      </c>
      <c r="Q2540" s="79" t="str">
        <f>IF(AND(B2540='111'!$L$11,OR($N2540=$Q$7,$O2540=$Q$7)),"x","")</f>
        <v/>
      </c>
      <c r="R2540" s="79" t="str">
        <f>IF(AND($N2540=$Q$7,$B2540&lt;'111'!$L$11),"x","")</f>
        <v/>
      </c>
      <c r="S2540" s="79" t="str">
        <f>IF(AND($O2540=$Q$7,$B2540&lt;'111'!$L$11),"x","")</f>
        <v/>
      </c>
      <c r="T2540" s="79" t="str">
        <f>IF(ISERROR(FIND('112'!$M$9,G2540,1)),"",IF((AND(FIND('112'!$M$9,G2540,1)&gt;=1,B2540='112'!$K$9,OR($N2540='112'!$I$6,$O2540='112'!$I$6))),"x",""))</f>
        <v/>
      </c>
      <c r="U2540" s="79" t="str">
        <f>IF(ISERROR(FIND('112'!$M$9,G2540,1)),"",IF((AND(LEFT(G2540,2)=LEFT('112'!$M$9,2),B2540&lt;'112'!$K$9,$N2540='112'!$I$6)),"x",""))</f>
        <v/>
      </c>
      <c r="V2540" s="79" t="str">
        <f>IF(ISERROR(FIND('112'!$M$9,G2540,1)),"",IF((AND(RIGHT(G2540,2)=RIGHT('112'!$M$9,2),B2540&lt;'112'!$K$9,$O2540='112'!$I$6)),"x",""))</f>
        <v/>
      </c>
      <c r="W2540" s="79" t="str">
        <f>IF(AND('341-CT'!$H$9=H2540,OR(LEFT(N2540,3)=$W$7,LEFT(O2540,3)=$W$7)),"x","")</f>
        <v/>
      </c>
      <c r="X2540" s="79" t="str">
        <f>IF(OR(TH!N2540=TH!$X$7,O2540=TH!$X$7),"x","")</f>
        <v/>
      </c>
      <c r="Y2540" s="79" t="str">
        <f>IF(AND(OR(N2540="131",O2540="131"),H2540='131-CT'!$H$9),"x","")</f>
        <v/>
      </c>
      <c r="Z2540" s="79"/>
      <c r="AA2540" s="79" t="str">
        <f>IF(AND(MONTH(E2540)='IN-NX'!$J$5,'IN-NX'!$D$7=D2540),"x","")</f>
        <v/>
      </c>
      <c r="AB2540" s="79" t="str">
        <f>IF(AND(OR(LEFT(TH!N2540,2)="15",LEFT(TH!O2540,2)="15"),LEFT(TH!O2540,3)&lt;&gt;"111",'152-CT'!$J$8=TH!F2540),"x","")</f>
        <v/>
      </c>
      <c r="AC2540" s="79" t="str">
        <f>IF(AND(OR(LEFT(TH!N2540,2)="15",LEFT(TH!O2540,2)="15"),TK!$E$7=TH!F2540),"x","")</f>
        <v/>
      </c>
      <c r="AD2540" s="79" t="str">
        <f>IF(AND(N2540="1521",MONTH(C2540)='BK-NL'!$M$11),"x","")</f>
        <v/>
      </c>
    </row>
    <row r="2541" spans="1:30" ht="16.5" customHeight="1">
      <c r="A2541" s="318" t="str">
        <f>IF(B2541&lt;&gt;"",IF(AND(B2541='IN-TC'!$S$4,OR(TH!N2541="1111",TH!O2541="1111")),TH!D2541,""),"")</f>
        <v/>
      </c>
      <c r="B2541" s="60" t="str">
        <f t="shared" si="244"/>
        <v/>
      </c>
      <c r="C2541" s="301"/>
      <c r="D2541" s="301"/>
      <c r="E2541" s="301"/>
      <c r="F2541" s="302"/>
      <c r="G2541" s="968"/>
      <c r="H2541" s="303"/>
      <c r="I2541" s="385"/>
      <c r="J2541" s="969"/>
      <c r="K2541" s="385"/>
      <c r="L2541" s="392"/>
      <c r="M2541" s="970"/>
      <c r="N2541" s="304"/>
      <c r="O2541" s="304"/>
      <c r="P2541" s="79" t="str">
        <f>IF(AND('331-CT'!$E$7=TH!H2541,OR(N2541="331",O2541="331")),"x","")</f>
        <v/>
      </c>
      <c r="Q2541" s="79" t="str">
        <f>IF(AND(B2541='111'!$L$11,OR($N2541=$Q$7,$O2541=$Q$7)),"x","")</f>
        <v/>
      </c>
      <c r="R2541" s="79" t="str">
        <f>IF(AND($N2541=$Q$7,$B2541&lt;'111'!$L$11),"x","")</f>
        <v/>
      </c>
      <c r="S2541" s="79" t="str">
        <f>IF(AND($O2541=$Q$7,$B2541&lt;'111'!$L$11),"x","")</f>
        <v/>
      </c>
      <c r="T2541" s="79" t="str">
        <f>IF(ISERROR(FIND('112'!$M$9,G2541,1)),"",IF((AND(FIND('112'!$M$9,G2541,1)&gt;=1,B2541='112'!$K$9,OR($N2541='112'!$I$6,$O2541='112'!$I$6))),"x",""))</f>
        <v/>
      </c>
      <c r="U2541" s="79" t="str">
        <f>IF(ISERROR(FIND('112'!$M$9,G2541,1)),"",IF((AND(LEFT(G2541,2)=LEFT('112'!$M$9,2),B2541&lt;'112'!$K$9,$N2541='112'!$I$6)),"x",""))</f>
        <v/>
      </c>
      <c r="V2541" s="79" t="str">
        <f>IF(ISERROR(FIND('112'!$M$9,G2541,1)),"",IF((AND(RIGHT(G2541,2)=RIGHT('112'!$M$9,2),B2541&lt;'112'!$K$9,$O2541='112'!$I$6)),"x",""))</f>
        <v/>
      </c>
      <c r="W2541" s="79" t="str">
        <f>IF(AND('341-CT'!$H$9=H2541,OR(LEFT(N2541,3)=$W$7,LEFT(O2541,3)=$W$7)),"x","")</f>
        <v/>
      </c>
      <c r="X2541" s="79" t="str">
        <f>IF(OR(TH!N2541=TH!$X$7,O2541=TH!$X$7),"x","")</f>
        <v/>
      </c>
      <c r="Y2541" s="79" t="str">
        <f>IF(AND(OR(N2541="131",O2541="131"),H2541='131-CT'!$H$9),"x","")</f>
        <v/>
      </c>
      <c r="Z2541" s="79"/>
      <c r="AA2541" s="79" t="str">
        <f>IF(AND(MONTH(E2541)='IN-NX'!$J$5,'IN-NX'!$D$7=D2541),"x","")</f>
        <v/>
      </c>
      <c r="AB2541" s="79" t="str">
        <f>IF(AND(OR(LEFT(TH!N2541,2)="15",LEFT(TH!O2541,2)="15"),LEFT(TH!O2541,3)&lt;&gt;"111",'152-CT'!$J$8=TH!F2541),"x","")</f>
        <v/>
      </c>
      <c r="AC2541" s="79" t="str">
        <f>IF(AND(OR(LEFT(TH!N2541,2)="15",LEFT(TH!O2541,2)="15"),TK!$E$7=TH!F2541),"x","")</f>
        <v/>
      </c>
      <c r="AD2541" s="79" t="str">
        <f>IF(AND(N2541="1521",MONTH(C2541)='BK-NL'!$M$11),"x","")</f>
        <v/>
      </c>
    </row>
    <row r="2542" spans="1:30" ht="16.5" customHeight="1">
      <c r="A2542" s="318" t="str">
        <f>IF(B2542&lt;&gt;"",IF(AND(B2542='IN-TC'!$S$4,OR(TH!N2542="1111",TH!O2542="1111")),TH!D2542,""),"")</f>
        <v/>
      </c>
      <c r="B2542" s="60" t="str">
        <f t="shared" si="244"/>
        <v/>
      </c>
      <c r="C2542" s="301"/>
      <c r="D2542" s="301"/>
      <c r="E2542" s="301"/>
      <c r="F2542" s="302"/>
      <c r="G2542" s="968"/>
      <c r="H2542" s="303"/>
      <c r="I2542" s="385"/>
      <c r="J2542" s="969"/>
      <c r="K2542" s="385"/>
      <c r="L2542" s="392"/>
      <c r="M2542" s="970"/>
      <c r="N2542" s="304"/>
      <c r="O2542" s="304"/>
      <c r="P2542" s="79" t="str">
        <f>IF(AND('331-CT'!$E$7=TH!H2542,OR(N2542="331",O2542="331")),"x","")</f>
        <v/>
      </c>
      <c r="Q2542" s="79" t="str">
        <f>IF(AND(B2542='111'!$L$11,OR($N2542=$Q$7,$O2542=$Q$7)),"x","")</f>
        <v/>
      </c>
      <c r="R2542" s="79" t="str">
        <f>IF(AND($N2542=$Q$7,$B2542&lt;'111'!$L$11),"x","")</f>
        <v/>
      </c>
      <c r="S2542" s="79" t="str">
        <f>IF(AND($O2542=$Q$7,$B2542&lt;'111'!$L$11),"x","")</f>
        <v/>
      </c>
      <c r="T2542" s="79" t="str">
        <f>IF(ISERROR(FIND('112'!$M$9,G2542,1)),"",IF((AND(FIND('112'!$M$9,G2542,1)&gt;=1,B2542='112'!$K$9,OR($N2542='112'!$I$6,$O2542='112'!$I$6))),"x",""))</f>
        <v/>
      </c>
      <c r="U2542" s="79" t="str">
        <f>IF(ISERROR(FIND('112'!$M$9,G2542,1)),"",IF((AND(LEFT(G2542,2)=LEFT('112'!$M$9,2),B2542&lt;'112'!$K$9,$N2542='112'!$I$6)),"x",""))</f>
        <v/>
      </c>
      <c r="V2542" s="79" t="str">
        <f>IF(ISERROR(FIND('112'!$M$9,G2542,1)),"",IF((AND(RIGHT(G2542,2)=RIGHT('112'!$M$9,2),B2542&lt;'112'!$K$9,$O2542='112'!$I$6)),"x",""))</f>
        <v/>
      </c>
      <c r="W2542" s="79" t="str">
        <f>IF(AND('341-CT'!$H$9=H2542,OR(LEFT(N2542,3)=$W$7,LEFT(O2542,3)=$W$7)),"x","")</f>
        <v/>
      </c>
      <c r="X2542" s="79" t="str">
        <f>IF(OR(TH!N2542=TH!$X$7,O2542=TH!$X$7),"x","")</f>
        <v/>
      </c>
      <c r="Y2542" s="79" t="str">
        <f>IF(AND(OR(N2542="131",O2542="131"),H2542='131-CT'!$H$9),"x","")</f>
        <v/>
      </c>
      <c r="Z2542" s="79"/>
      <c r="AA2542" s="79" t="str">
        <f>IF(AND(MONTH(E2542)='IN-NX'!$J$5,'IN-NX'!$D$7=D2542),"x","")</f>
        <v/>
      </c>
      <c r="AB2542" s="79" t="str">
        <f>IF(AND(OR(LEFT(TH!N2542,2)="15",LEFT(TH!O2542,2)="15"),LEFT(TH!O2542,3)&lt;&gt;"111",'152-CT'!$J$8=TH!F2542),"x","")</f>
        <v/>
      </c>
      <c r="AC2542" s="79" t="str">
        <f>IF(AND(OR(LEFT(TH!N2542,2)="15",LEFT(TH!O2542,2)="15"),TK!$E$7=TH!F2542),"x","")</f>
        <v/>
      </c>
      <c r="AD2542" s="79" t="str">
        <f>IF(AND(N2542="1521",MONTH(C2542)='BK-NL'!$M$11),"x","")</f>
        <v/>
      </c>
    </row>
    <row r="2543" spans="1:30" ht="16.5" customHeight="1">
      <c r="A2543" s="318" t="str">
        <f>IF(B2543&lt;&gt;"",IF(AND(B2543='IN-TC'!$S$4,OR(TH!N2543="1111",TH!O2543="1111")),TH!D2543,""),"")</f>
        <v/>
      </c>
      <c r="B2543" s="60" t="str">
        <f t="shared" si="244"/>
        <v/>
      </c>
      <c r="C2543" s="301"/>
      <c r="D2543" s="301"/>
      <c r="E2543" s="301"/>
      <c r="F2543" s="302"/>
      <c r="G2543" s="968"/>
      <c r="H2543" s="303"/>
      <c r="I2543" s="385"/>
      <c r="J2543" s="969"/>
      <c r="K2543" s="385"/>
      <c r="L2543" s="392"/>
      <c r="M2543" s="970"/>
      <c r="N2543" s="304"/>
      <c r="O2543" s="304"/>
      <c r="P2543" s="79" t="str">
        <f>IF(AND('331-CT'!$E$7=TH!H2543,OR(N2543="331",O2543="331")),"x","")</f>
        <v/>
      </c>
      <c r="Q2543" s="79" t="str">
        <f>IF(AND(B2543='111'!$L$11,OR($N2543=$Q$7,$O2543=$Q$7)),"x","")</f>
        <v/>
      </c>
      <c r="R2543" s="79" t="str">
        <f>IF(AND($N2543=$Q$7,$B2543&lt;'111'!$L$11),"x","")</f>
        <v/>
      </c>
      <c r="S2543" s="79" t="str">
        <f>IF(AND($O2543=$Q$7,$B2543&lt;'111'!$L$11),"x","")</f>
        <v/>
      </c>
      <c r="T2543" s="79" t="str">
        <f>IF(ISERROR(FIND('112'!$M$9,G2543,1)),"",IF((AND(FIND('112'!$M$9,G2543,1)&gt;=1,B2543='112'!$K$9,OR($N2543='112'!$I$6,$O2543='112'!$I$6))),"x",""))</f>
        <v/>
      </c>
      <c r="U2543" s="79" t="str">
        <f>IF(ISERROR(FIND('112'!$M$9,G2543,1)),"",IF((AND(LEFT(G2543,2)=LEFT('112'!$M$9,2),B2543&lt;'112'!$K$9,$N2543='112'!$I$6)),"x",""))</f>
        <v/>
      </c>
      <c r="V2543" s="79" t="str">
        <f>IF(ISERROR(FIND('112'!$M$9,G2543,1)),"",IF((AND(RIGHT(G2543,2)=RIGHT('112'!$M$9,2),B2543&lt;'112'!$K$9,$O2543='112'!$I$6)),"x",""))</f>
        <v/>
      </c>
      <c r="W2543" s="79" t="str">
        <f>IF(AND('341-CT'!$H$9=H2543,OR(LEFT(N2543,3)=$W$7,LEFT(O2543,3)=$W$7)),"x","")</f>
        <v/>
      </c>
      <c r="X2543" s="79" t="str">
        <f>IF(OR(TH!N2543=TH!$X$7,O2543=TH!$X$7),"x","")</f>
        <v/>
      </c>
      <c r="Y2543" s="79" t="str">
        <f>IF(AND(OR(N2543="131",O2543="131"),H2543='131-CT'!$H$9),"x","")</f>
        <v/>
      </c>
      <c r="Z2543" s="79"/>
      <c r="AA2543" s="79" t="str">
        <f>IF(AND(MONTH(E2543)='IN-NX'!$J$5,'IN-NX'!$D$7=D2543),"x","")</f>
        <v/>
      </c>
      <c r="AB2543" s="79" t="str">
        <f>IF(AND(OR(LEFT(TH!N2543,2)="15",LEFT(TH!O2543,2)="15"),LEFT(TH!O2543,3)&lt;&gt;"111",'152-CT'!$J$8=TH!F2543),"x","")</f>
        <v/>
      </c>
      <c r="AC2543" s="79" t="str">
        <f>IF(AND(OR(LEFT(TH!N2543,2)="15",LEFT(TH!O2543,2)="15"),TK!$E$7=TH!F2543),"x","")</f>
        <v/>
      </c>
      <c r="AD2543" s="79" t="str">
        <f>IF(AND(N2543="1521",MONTH(C2543)='BK-NL'!$M$11),"x","")</f>
        <v/>
      </c>
    </row>
    <row r="2544" spans="1:30" ht="16.5" customHeight="1">
      <c r="A2544" s="318" t="str">
        <f>IF(B2544&lt;&gt;"",IF(AND(B2544='IN-TC'!$S$4,OR(TH!N2544="1111",TH!O2544="1111")),TH!D2544,""),"")</f>
        <v/>
      </c>
      <c r="B2544" s="60" t="str">
        <f t="shared" si="244"/>
        <v/>
      </c>
      <c r="C2544" s="301"/>
      <c r="D2544" s="301"/>
      <c r="E2544" s="301"/>
      <c r="F2544" s="302"/>
      <c r="G2544" s="968"/>
      <c r="H2544" s="303"/>
      <c r="I2544" s="385"/>
      <c r="J2544" s="969"/>
      <c r="K2544" s="385"/>
      <c r="L2544" s="392"/>
      <c r="M2544" s="970"/>
      <c r="N2544" s="304"/>
      <c r="O2544" s="304"/>
      <c r="P2544" s="79" t="str">
        <f>IF(AND('331-CT'!$E$7=TH!H2544,OR(N2544="331",O2544="331")),"x","")</f>
        <v/>
      </c>
      <c r="Q2544" s="79" t="str">
        <f>IF(AND(B2544='111'!$L$11,OR($N2544=$Q$7,$O2544=$Q$7)),"x","")</f>
        <v/>
      </c>
      <c r="R2544" s="79" t="str">
        <f>IF(AND($N2544=$Q$7,$B2544&lt;'111'!$L$11),"x","")</f>
        <v/>
      </c>
      <c r="S2544" s="79" t="str">
        <f>IF(AND($O2544=$Q$7,$B2544&lt;'111'!$L$11),"x","")</f>
        <v/>
      </c>
      <c r="T2544" s="79" t="str">
        <f>IF(ISERROR(FIND('112'!$M$9,G2544,1)),"",IF((AND(FIND('112'!$M$9,G2544,1)&gt;=1,B2544='112'!$K$9,OR($N2544='112'!$I$6,$O2544='112'!$I$6))),"x",""))</f>
        <v/>
      </c>
      <c r="U2544" s="79" t="str">
        <f>IF(ISERROR(FIND('112'!$M$9,G2544,1)),"",IF((AND(LEFT(G2544,2)=LEFT('112'!$M$9,2),B2544&lt;'112'!$K$9,$N2544='112'!$I$6)),"x",""))</f>
        <v/>
      </c>
      <c r="V2544" s="79" t="str">
        <f>IF(ISERROR(FIND('112'!$M$9,G2544,1)),"",IF((AND(RIGHT(G2544,2)=RIGHT('112'!$M$9,2),B2544&lt;'112'!$K$9,$O2544='112'!$I$6)),"x",""))</f>
        <v/>
      </c>
      <c r="W2544" s="79" t="str">
        <f>IF(AND('341-CT'!$H$9=H2544,OR(LEFT(N2544,3)=$W$7,LEFT(O2544,3)=$W$7)),"x","")</f>
        <v/>
      </c>
      <c r="X2544" s="79" t="str">
        <f>IF(OR(TH!N2544=TH!$X$7,O2544=TH!$X$7),"x","")</f>
        <v/>
      </c>
      <c r="Y2544" s="79" t="str">
        <f>IF(AND(OR(N2544="131",O2544="131"),H2544='131-CT'!$H$9),"x","")</f>
        <v/>
      </c>
      <c r="Z2544" s="79"/>
      <c r="AA2544" s="79" t="str">
        <f>IF(AND(MONTH(E2544)='IN-NX'!$J$5,'IN-NX'!$D$7=D2544),"x","")</f>
        <v/>
      </c>
      <c r="AB2544" s="79" t="str">
        <f>IF(AND(OR(LEFT(TH!N2544,2)="15",LEFT(TH!O2544,2)="15"),LEFT(TH!O2544,3)&lt;&gt;"111",'152-CT'!$J$8=TH!F2544),"x","")</f>
        <v/>
      </c>
      <c r="AC2544" s="79" t="str">
        <f>IF(AND(OR(LEFT(TH!N2544,2)="15",LEFT(TH!O2544,2)="15"),TK!$E$7=TH!F2544),"x","")</f>
        <v/>
      </c>
      <c r="AD2544" s="79" t="str">
        <f>IF(AND(N2544="1521",MONTH(C2544)='BK-NL'!$M$11),"x","")</f>
        <v/>
      </c>
    </row>
    <row r="2545" spans="1:30" ht="16.5" customHeight="1">
      <c r="A2545" s="318" t="str">
        <f>IF(B2545&lt;&gt;"",IF(AND(B2545='IN-TC'!$S$4,OR(TH!N2545="1111",TH!O2545="1111")),TH!D2545,""),"")</f>
        <v/>
      </c>
      <c r="B2545" s="60" t="str">
        <f t="shared" si="244"/>
        <v/>
      </c>
      <c r="C2545" s="301"/>
      <c r="D2545" s="301"/>
      <c r="E2545" s="301"/>
      <c r="F2545" s="302"/>
      <c r="G2545" s="968"/>
      <c r="H2545" s="303"/>
      <c r="I2545" s="385"/>
      <c r="J2545" s="969"/>
      <c r="K2545" s="385"/>
      <c r="L2545" s="392"/>
      <c r="M2545" s="970"/>
      <c r="N2545" s="304"/>
      <c r="O2545" s="304"/>
      <c r="P2545" s="79" t="str">
        <f>IF(AND('331-CT'!$E$7=TH!H2545,OR(N2545="331",O2545="331")),"x","")</f>
        <v/>
      </c>
      <c r="Q2545" s="79" t="str">
        <f>IF(AND(B2545='111'!$L$11,OR($N2545=$Q$7,$O2545=$Q$7)),"x","")</f>
        <v/>
      </c>
      <c r="R2545" s="79" t="str">
        <f>IF(AND($N2545=$Q$7,$B2545&lt;'111'!$L$11),"x","")</f>
        <v/>
      </c>
      <c r="S2545" s="79" t="str">
        <f>IF(AND($O2545=$Q$7,$B2545&lt;'111'!$L$11),"x","")</f>
        <v/>
      </c>
      <c r="T2545" s="79" t="str">
        <f>IF(ISERROR(FIND('112'!$M$9,G2545,1)),"",IF((AND(FIND('112'!$M$9,G2545,1)&gt;=1,B2545='112'!$K$9,OR($N2545='112'!$I$6,$O2545='112'!$I$6))),"x",""))</f>
        <v/>
      </c>
      <c r="U2545" s="79" t="str">
        <f>IF(ISERROR(FIND('112'!$M$9,G2545,1)),"",IF((AND(LEFT(G2545,2)=LEFT('112'!$M$9,2),B2545&lt;'112'!$K$9,$N2545='112'!$I$6)),"x",""))</f>
        <v/>
      </c>
      <c r="V2545" s="79" t="str">
        <f>IF(ISERROR(FIND('112'!$M$9,G2545,1)),"",IF((AND(RIGHT(G2545,2)=RIGHT('112'!$M$9,2),B2545&lt;'112'!$K$9,$O2545='112'!$I$6)),"x",""))</f>
        <v/>
      </c>
      <c r="W2545" s="79" t="str">
        <f>IF(AND('341-CT'!$H$9=H2545,OR(LEFT(N2545,3)=$W$7,LEFT(O2545,3)=$W$7)),"x","")</f>
        <v/>
      </c>
      <c r="X2545" s="79" t="str">
        <f>IF(OR(TH!N2545=TH!$X$7,O2545=TH!$X$7),"x","")</f>
        <v/>
      </c>
      <c r="Y2545" s="79" t="str">
        <f>IF(AND(OR(N2545="131",O2545="131"),H2545='131-CT'!$H$9),"x","")</f>
        <v/>
      </c>
      <c r="Z2545" s="79"/>
      <c r="AA2545" s="79" t="str">
        <f>IF(AND(MONTH(E2545)='IN-NX'!$J$5,'IN-NX'!$D$7=D2545),"x","")</f>
        <v/>
      </c>
      <c r="AB2545" s="79" t="str">
        <f>IF(AND(OR(LEFT(TH!N2545,2)="15",LEFT(TH!O2545,2)="15"),LEFT(TH!O2545,3)&lt;&gt;"111",'152-CT'!$J$8=TH!F2545),"x","")</f>
        <v/>
      </c>
      <c r="AC2545" s="79" t="str">
        <f>IF(AND(OR(LEFT(TH!N2545,2)="15",LEFT(TH!O2545,2)="15"),TK!$E$7=TH!F2545),"x","")</f>
        <v/>
      </c>
      <c r="AD2545" s="79" t="str">
        <f>IF(AND(N2545="1521",MONTH(C2545)='BK-NL'!$M$11),"x","")</f>
        <v/>
      </c>
    </row>
    <row r="2546" spans="1:30" ht="16.5" customHeight="1">
      <c r="A2546" s="318" t="str">
        <f>IF(B2546&lt;&gt;"",IF(AND(B2546='IN-TC'!$S$4,OR(TH!N2546="1111",TH!O2546="1111")),TH!D2546,""),"")</f>
        <v/>
      </c>
      <c r="B2546" s="60" t="str">
        <f t="shared" si="244"/>
        <v/>
      </c>
      <c r="C2546" s="301"/>
      <c r="D2546" s="301"/>
      <c r="E2546" s="301"/>
      <c r="F2546" s="1162"/>
      <c r="G2546" s="968"/>
      <c r="H2546" s="303"/>
      <c r="I2546" s="385"/>
      <c r="J2546" s="969"/>
      <c r="K2546" s="385"/>
      <c r="L2546" s="392"/>
      <c r="M2546" s="970"/>
      <c r="N2546" s="304"/>
      <c r="O2546" s="304"/>
      <c r="P2546" s="79" t="str">
        <f>IF(AND('331-CT'!$E$7=TH!H2546,OR(N2546="331",O2546="331")),"x","")</f>
        <v/>
      </c>
      <c r="Q2546" s="79" t="str">
        <f>IF(AND(B2546='111'!$L$11,OR($N2546=$Q$7,$O2546=$Q$7)),"x","")</f>
        <v/>
      </c>
      <c r="R2546" s="79" t="str">
        <f>IF(AND($N2546=$Q$7,$B2546&lt;'111'!$L$11),"x","")</f>
        <v/>
      </c>
      <c r="S2546" s="79" t="str">
        <f>IF(AND($O2546=$Q$7,$B2546&lt;'111'!$L$11),"x","")</f>
        <v/>
      </c>
      <c r="T2546" s="79" t="str">
        <f>IF(ISERROR(FIND('112'!$M$9,G2546,1)),"",IF((AND(FIND('112'!$M$9,G2546,1)&gt;=1,B2546='112'!$K$9,OR($N2546='112'!$I$6,$O2546='112'!$I$6))),"x",""))</f>
        <v/>
      </c>
      <c r="U2546" s="79" t="str">
        <f>IF(ISERROR(FIND('112'!$M$9,G2546,1)),"",IF((AND(LEFT(G2546,2)=LEFT('112'!$M$9,2),B2546&lt;'112'!$K$9,$N2546='112'!$I$6)),"x",""))</f>
        <v/>
      </c>
      <c r="V2546" s="79" t="str">
        <f>IF(ISERROR(FIND('112'!$M$9,G2546,1)),"",IF((AND(RIGHT(G2546,2)=RIGHT('112'!$M$9,2),B2546&lt;'112'!$K$9,$O2546='112'!$I$6)),"x",""))</f>
        <v/>
      </c>
      <c r="W2546" s="79" t="str">
        <f>IF(AND('341-CT'!$H$9=H2546,OR(LEFT(N2546,3)=$W$7,LEFT(O2546,3)=$W$7)),"x","")</f>
        <v/>
      </c>
      <c r="X2546" s="79" t="str">
        <f>IF(OR(TH!N2546=TH!$X$7,O2546=TH!$X$7),"x","")</f>
        <v/>
      </c>
      <c r="Y2546" s="79" t="str">
        <f>IF(AND(OR(N2546="131",O2546="131"),H2546='131-CT'!$H$9),"x","")</f>
        <v/>
      </c>
      <c r="Z2546" s="79"/>
      <c r="AA2546" s="79" t="str">
        <f>IF(AND(MONTH(E2546)='IN-NX'!$J$5,'IN-NX'!$D$7=D2546),"x","")</f>
        <v/>
      </c>
      <c r="AB2546" s="79" t="str">
        <f>IF(AND(OR(LEFT(TH!N2546,2)="15",LEFT(TH!O2546,2)="15"),LEFT(TH!O2546,3)&lt;&gt;"111",'152-CT'!$J$8=TH!F2546),"x","")</f>
        <v/>
      </c>
      <c r="AC2546" s="79" t="str">
        <f>IF(AND(OR(LEFT(TH!N2546,2)="15",LEFT(TH!O2546,2)="15"),TK!$E$7=TH!F2546),"x","")</f>
        <v/>
      </c>
      <c r="AD2546" s="79" t="str">
        <f>IF(AND(N2546="1521",MONTH(C2546)='BK-NL'!$M$11),"x","")</f>
        <v/>
      </c>
    </row>
    <row r="2547" spans="1:30" ht="16.5" customHeight="1">
      <c r="A2547" s="318" t="str">
        <f>IF(B2547&lt;&gt;"",IF(AND(B2547='IN-TC'!$S$4,OR(TH!N2547="1111",TH!O2547="1111")),TH!D2547,""),"")</f>
        <v/>
      </c>
      <c r="B2547" s="60" t="str">
        <f t="shared" si="244"/>
        <v/>
      </c>
      <c r="C2547" s="301"/>
      <c r="D2547" s="301"/>
      <c r="E2547" s="301"/>
      <c r="F2547" s="302"/>
      <c r="G2547" s="968"/>
      <c r="H2547" s="303"/>
      <c r="I2547" s="385"/>
      <c r="J2547" s="969"/>
      <c r="K2547" s="385"/>
      <c r="L2547" s="392"/>
      <c r="M2547" s="970"/>
      <c r="N2547" s="304"/>
      <c r="O2547" s="304"/>
      <c r="P2547" s="79" t="str">
        <f>IF(AND('331-CT'!$E$7=TH!H2547,OR(N2547="331",O2547="331")),"x","")</f>
        <v/>
      </c>
      <c r="Q2547" s="79" t="str">
        <f>IF(AND(B2547='111'!$L$11,OR($N2547=$Q$7,$O2547=$Q$7)),"x","")</f>
        <v/>
      </c>
      <c r="R2547" s="79" t="str">
        <f>IF(AND($N2547=$Q$7,$B2547&lt;'111'!$L$11),"x","")</f>
        <v/>
      </c>
      <c r="S2547" s="79" t="str">
        <f>IF(AND($O2547=$Q$7,$B2547&lt;'111'!$L$11),"x","")</f>
        <v/>
      </c>
      <c r="T2547" s="79" t="str">
        <f>IF(ISERROR(FIND('112'!$M$9,G2547,1)),"",IF((AND(FIND('112'!$M$9,G2547,1)&gt;=1,B2547='112'!$K$9,OR($N2547='112'!$I$6,$O2547='112'!$I$6))),"x",""))</f>
        <v/>
      </c>
      <c r="U2547" s="79" t="str">
        <f>IF(ISERROR(FIND('112'!$M$9,G2547,1)),"",IF((AND(LEFT(G2547,2)=LEFT('112'!$M$9,2),B2547&lt;'112'!$K$9,$N2547='112'!$I$6)),"x",""))</f>
        <v/>
      </c>
      <c r="V2547" s="79" t="str">
        <f>IF(ISERROR(FIND('112'!$M$9,G2547,1)),"",IF((AND(RIGHT(G2547,2)=RIGHT('112'!$M$9,2),B2547&lt;'112'!$K$9,$O2547='112'!$I$6)),"x",""))</f>
        <v/>
      </c>
      <c r="W2547" s="79" t="str">
        <f>IF(AND('341-CT'!$H$9=H2547,OR(LEFT(N2547,3)=$W$7,LEFT(O2547,3)=$W$7)),"x","")</f>
        <v/>
      </c>
      <c r="X2547" s="79" t="str">
        <f>IF(OR(TH!N2547=TH!$X$7,O2547=TH!$X$7),"x","")</f>
        <v/>
      </c>
      <c r="Y2547" s="79" t="str">
        <f>IF(AND(OR(N2547="131",O2547="131"),H2547='131-CT'!$H$9),"x","")</f>
        <v/>
      </c>
      <c r="Z2547" s="79"/>
      <c r="AA2547" s="79" t="str">
        <f>IF(AND(MONTH(E2547)='IN-NX'!$J$5,'IN-NX'!$D$7=D2547),"x","")</f>
        <v/>
      </c>
      <c r="AB2547" s="79" t="str">
        <f>IF(AND(OR(LEFT(TH!N2547,2)="15",LEFT(TH!O2547,2)="15"),LEFT(TH!O2547,3)&lt;&gt;"111",'152-CT'!$J$8=TH!F2547),"x","")</f>
        <v/>
      </c>
      <c r="AC2547" s="79" t="str">
        <f>IF(AND(OR(LEFT(TH!N2547,2)="15",LEFT(TH!O2547,2)="15"),TK!$E$7=TH!F2547),"x","")</f>
        <v/>
      </c>
      <c r="AD2547" s="79" t="str">
        <f>IF(AND(N2547="1521",MONTH(C2547)='BK-NL'!$M$11),"x","")</f>
        <v/>
      </c>
    </row>
    <row r="2548" spans="1:30" ht="16.5" customHeight="1">
      <c r="A2548" s="318" t="str">
        <f>IF(B2548&lt;&gt;"",IF(AND(B2548='IN-TC'!$S$4,OR(TH!N2548="1111",TH!O2548="1111")),TH!D2548,""),"")</f>
        <v/>
      </c>
      <c r="B2548" s="60" t="str">
        <f t="shared" si="244"/>
        <v/>
      </c>
      <c r="C2548" s="301"/>
      <c r="D2548" s="301"/>
      <c r="E2548" s="301"/>
      <c r="F2548" s="302"/>
      <c r="G2548" s="968"/>
      <c r="H2548" s="303"/>
      <c r="I2548" s="385"/>
      <c r="J2548" s="969"/>
      <c r="K2548" s="385"/>
      <c r="L2548" s="392"/>
      <c r="M2548" s="970"/>
      <c r="N2548" s="304"/>
      <c r="O2548" s="304"/>
      <c r="P2548" s="79" t="str">
        <f>IF(AND('331-CT'!$E$7=TH!H2548,OR(N2548="331",O2548="331")),"x","")</f>
        <v/>
      </c>
      <c r="Q2548" s="79" t="str">
        <f>IF(AND(B2548='111'!$L$11,OR($N2548=$Q$7,$O2548=$Q$7)),"x","")</f>
        <v/>
      </c>
      <c r="R2548" s="79" t="str">
        <f>IF(AND($N2548=$Q$7,$B2548&lt;'111'!$L$11),"x","")</f>
        <v/>
      </c>
      <c r="S2548" s="79" t="str">
        <f>IF(AND($O2548=$Q$7,$B2548&lt;'111'!$L$11),"x","")</f>
        <v/>
      </c>
      <c r="T2548" s="79" t="str">
        <f>IF(ISERROR(FIND('112'!$M$9,G2548,1)),"",IF((AND(FIND('112'!$M$9,G2548,1)&gt;=1,B2548='112'!$K$9,OR($N2548='112'!$I$6,$O2548='112'!$I$6))),"x",""))</f>
        <v/>
      </c>
      <c r="U2548" s="79" t="str">
        <f>IF(ISERROR(FIND('112'!$M$9,G2548,1)),"",IF((AND(LEFT(G2548,2)=LEFT('112'!$M$9,2),B2548&lt;'112'!$K$9,$N2548='112'!$I$6)),"x",""))</f>
        <v/>
      </c>
      <c r="V2548" s="79" t="str">
        <f>IF(ISERROR(FIND('112'!$M$9,G2548,1)),"",IF((AND(RIGHT(G2548,2)=RIGHT('112'!$M$9,2),B2548&lt;'112'!$K$9,$O2548='112'!$I$6)),"x",""))</f>
        <v/>
      </c>
      <c r="W2548" s="79" t="str">
        <f>IF(AND('341-CT'!$H$9=H2548,OR(LEFT(N2548,3)=$W$7,LEFT(O2548,3)=$W$7)),"x","")</f>
        <v/>
      </c>
      <c r="X2548" s="79" t="str">
        <f>IF(OR(TH!N2548=TH!$X$7,O2548=TH!$X$7),"x","")</f>
        <v/>
      </c>
      <c r="Y2548" s="79" t="str">
        <f>IF(AND(OR(N2548="131",O2548="131"),H2548='131-CT'!$H$9),"x","")</f>
        <v/>
      </c>
      <c r="Z2548" s="79"/>
      <c r="AA2548" s="79" t="str">
        <f>IF(AND(MONTH(E2548)='IN-NX'!$J$5,'IN-NX'!$D$7=D2548),"x","")</f>
        <v/>
      </c>
      <c r="AB2548" s="79" t="str">
        <f>IF(AND(OR(LEFT(TH!N2548,2)="15",LEFT(TH!O2548,2)="15"),LEFT(TH!O2548,3)&lt;&gt;"111",'152-CT'!$J$8=TH!F2548),"x","")</f>
        <v/>
      </c>
      <c r="AC2548" s="79" t="str">
        <f>IF(AND(OR(LEFT(TH!N2548,2)="15",LEFT(TH!O2548,2)="15"),TK!$E$7=TH!F2548),"x","")</f>
        <v/>
      </c>
      <c r="AD2548" s="79" t="str">
        <f>IF(AND(N2548="1521",MONTH(C2548)='BK-NL'!$M$11),"x","")</f>
        <v/>
      </c>
    </row>
    <row r="2549" spans="1:30" ht="16.5" customHeight="1">
      <c r="A2549" s="318" t="str">
        <f>IF(B2549&lt;&gt;"",IF(AND(B2549='IN-TC'!$S$4,OR(TH!N2549="1111",TH!O2549="1111")),TH!D2549,""),"")</f>
        <v/>
      </c>
      <c r="B2549" s="60" t="str">
        <f t="shared" si="244"/>
        <v/>
      </c>
      <c r="C2549" s="301"/>
      <c r="D2549" s="301"/>
      <c r="E2549" s="301"/>
      <c r="F2549" s="302"/>
      <c r="G2549" s="968"/>
      <c r="H2549" s="303"/>
      <c r="I2549" s="385"/>
      <c r="J2549" s="969"/>
      <c r="K2549" s="385"/>
      <c r="L2549" s="392"/>
      <c r="M2549" s="970"/>
      <c r="N2549" s="304"/>
      <c r="O2549" s="304"/>
      <c r="P2549" s="79" t="str">
        <f>IF(AND('331-CT'!$E$7=TH!H2549,OR(N2549="331",O2549="331")),"x","")</f>
        <v/>
      </c>
      <c r="Q2549" s="79" t="str">
        <f>IF(AND(B2549='111'!$L$11,OR($N2549=$Q$7,$O2549=$Q$7)),"x","")</f>
        <v/>
      </c>
      <c r="R2549" s="79" t="str">
        <f>IF(AND($N2549=$Q$7,$B2549&lt;'111'!$L$11),"x","")</f>
        <v/>
      </c>
      <c r="S2549" s="79" t="str">
        <f>IF(AND($O2549=$Q$7,$B2549&lt;'111'!$L$11),"x","")</f>
        <v/>
      </c>
      <c r="T2549" s="79" t="str">
        <f>IF(ISERROR(FIND('112'!$M$9,G2549,1)),"",IF((AND(FIND('112'!$M$9,G2549,1)&gt;=1,B2549='112'!$K$9,OR($N2549='112'!$I$6,$O2549='112'!$I$6))),"x",""))</f>
        <v/>
      </c>
      <c r="U2549" s="79" t="str">
        <f>IF(ISERROR(FIND('112'!$M$9,G2549,1)),"",IF((AND(LEFT(G2549,2)=LEFT('112'!$M$9,2),B2549&lt;'112'!$K$9,$N2549='112'!$I$6)),"x",""))</f>
        <v/>
      </c>
      <c r="V2549" s="79" t="str">
        <f>IF(ISERROR(FIND('112'!$M$9,G2549,1)),"",IF((AND(RIGHT(G2549,2)=RIGHT('112'!$M$9,2),B2549&lt;'112'!$K$9,$O2549='112'!$I$6)),"x",""))</f>
        <v/>
      </c>
      <c r="W2549" s="79" t="str">
        <f>IF(AND('341-CT'!$H$9=H2549,OR(LEFT(N2549,3)=$W$7,LEFT(O2549,3)=$W$7)),"x","")</f>
        <v/>
      </c>
      <c r="X2549" s="79" t="str">
        <f>IF(OR(TH!N2549=TH!$X$7,O2549=TH!$X$7),"x","")</f>
        <v/>
      </c>
      <c r="Y2549" s="79" t="str">
        <f>IF(AND(OR(N2549="131",O2549="131"),H2549='131-CT'!$H$9),"x","")</f>
        <v/>
      </c>
      <c r="Z2549" s="79"/>
      <c r="AA2549" s="79" t="str">
        <f>IF(AND(MONTH(E2549)='IN-NX'!$J$5,'IN-NX'!$D$7=D2549),"x","")</f>
        <v/>
      </c>
      <c r="AB2549" s="79" t="str">
        <f>IF(AND(OR(LEFT(TH!N2549,2)="15",LEFT(TH!O2549,2)="15"),LEFT(TH!O2549,3)&lt;&gt;"111",'152-CT'!$J$8=TH!F2549),"x","")</f>
        <v/>
      </c>
      <c r="AC2549" s="79" t="str">
        <f>IF(AND(OR(LEFT(TH!N2549,2)="15",LEFT(TH!O2549,2)="15"),TK!$E$7=TH!F2549),"x","")</f>
        <v/>
      </c>
      <c r="AD2549" s="79" t="str">
        <f>IF(AND(N2549="1521",MONTH(C2549)='BK-NL'!$M$11),"x","")</f>
        <v/>
      </c>
    </row>
    <row r="2550" spans="1:30" ht="16.5" customHeight="1">
      <c r="A2550" s="318" t="str">
        <f>IF(B2550&lt;&gt;"",IF(AND(B2550='IN-TC'!$S$4,OR(TH!N2550="1111",TH!O2550="1111")),TH!D2550,""),"")</f>
        <v/>
      </c>
      <c r="B2550" s="60" t="str">
        <f t="shared" si="244"/>
        <v/>
      </c>
      <c r="C2550" s="301"/>
      <c r="D2550" s="301"/>
      <c r="E2550" s="301"/>
      <c r="F2550" s="302"/>
      <c r="G2550" s="968"/>
      <c r="H2550" s="303"/>
      <c r="I2550" s="385"/>
      <c r="J2550" s="969"/>
      <c r="K2550" s="385"/>
      <c r="L2550" s="392"/>
      <c r="M2550" s="970"/>
      <c r="N2550" s="304"/>
      <c r="O2550" s="304"/>
      <c r="P2550" s="79" t="str">
        <f>IF(AND('331-CT'!$E$7=TH!H2550,OR(N2550="331",O2550="331")),"x","")</f>
        <v/>
      </c>
      <c r="Q2550" s="79" t="str">
        <f>IF(AND(B2550='111'!$L$11,OR($N2550=$Q$7,$O2550=$Q$7)),"x","")</f>
        <v/>
      </c>
      <c r="R2550" s="79" t="str">
        <f>IF(AND($N2550=$Q$7,$B2550&lt;'111'!$L$11),"x","")</f>
        <v/>
      </c>
      <c r="S2550" s="79" t="str">
        <f>IF(AND($O2550=$Q$7,$B2550&lt;'111'!$L$11),"x","")</f>
        <v/>
      </c>
      <c r="T2550" s="79" t="str">
        <f>IF(ISERROR(FIND('112'!$M$9,G2550,1)),"",IF((AND(FIND('112'!$M$9,G2550,1)&gt;=1,B2550='112'!$K$9,OR($N2550='112'!$I$6,$O2550='112'!$I$6))),"x",""))</f>
        <v/>
      </c>
      <c r="U2550" s="79" t="str">
        <f>IF(ISERROR(FIND('112'!$M$9,G2550,1)),"",IF((AND(LEFT(G2550,2)=LEFT('112'!$M$9,2),B2550&lt;'112'!$K$9,$N2550='112'!$I$6)),"x",""))</f>
        <v/>
      </c>
      <c r="V2550" s="79" t="str">
        <f>IF(ISERROR(FIND('112'!$M$9,G2550,1)),"",IF((AND(RIGHT(G2550,2)=RIGHT('112'!$M$9,2),B2550&lt;'112'!$K$9,$O2550='112'!$I$6)),"x",""))</f>
        <v/>
      </c>
      <c r="W2550" s="79" t="str">
        <f>IF(AND('341-CT'!$H$9=H2550,OR(LEFT(N2550,3)=$W$7,LEFT(O2550,3)=$W$7)),"x","")</f>
        <v/>
      </c>
      <c r="X2550" s="79" t="str">
        <f>IF(OR(TH!N2550=TH!$X$7,O2550=TH!$X$7),"x","")</f>
        <v/>
      </c>
      <c r="Y2550" s="79" t="str">
        <f>IF(AND(OR(N2550="131",O2550="131"),H2550='131-CT'!$H$9),"x","")</f>
        <v/>
      </c>
      <c r="Z2550" s="79"/>
      <c r="AA2550" s="79" t="str">
        <f>IF(AND(MONTH(E2550)='IN-NX'!$J$5,'IN-NX'!$D$7=D2550),"x","")</f>
        <v/>
      </c>
      <c r="AB2550" s="79" t="str">
        <f>IF(AND(OR(LEFT(TH!N2550,2)="15",LEFT(TH!O2550,2)="15"),LEFT(TH!O2550,3)&lt;&gt;"111",'152-CT'!$J$8=TH!F2550),"x","")</f>
        <v/>
      </c>
      <c r="AC2550" s="79" t="str">
        <f>IF(AND(OR(LEFT(TH!N2550,2)="15",LEFT(TH!O2550,2)="15"),TK!$E$7=TH!F2550),"x","")</f>
        <v/>
      </c>
      <c r="AD2550" s="79" t="str">
        <f>IF(AND(N2550="1521",MONTH(C2550)='BK-NL'!$M$11),"x","")</f>
        <v/>
      </c>
    </row>
    <row r="2551" spans="1:30" ht="16.5" customHeight="1">
      <c r="A2551" s="318" t="str">
        <f>IF(B2551&lt;&gt;"",IF(AND(B2551='IN-TC'!$S$4,OR(TH!N2551="1111",TH!O2551="1111")),TH!D2551,""),"")</f>
        <v/>
      </c>
      <c r="B2551" s="60" t="str">
        <f t="shared" si="244"/>
        <v/>
      </c>
      <c r="C2551" s="301"/>
      <c r="D2551" s="301"/>
      <c r="E2551" s="301"/>
      <c r="F2551" s="1162"/>
      <c r="G2551" s="968"/>
      <c r="H2551" s="303"/>
      <c r="I2551" s="385"/>
      <c r="J2551" s="969"/>
      <c r="K2551" s="385"/>
      <c r="L2551" s="392"/>
      <c r="M2551" s="970"/>
      <c r="N2551" s="304"/>
      <c r="O2551" s="304"/>
      <c r="P2551" s="79" t="str">
        <f>IF(AND('331-CT'!$E$7=TH!H2551,OR(N2551="331",O2551="331")),"x","")</f>
        <v/>
      </c>
      <c r="Q2551" s="79" t="str">
        <f>IF(AND(B2551='111'!$L$11,OR($N2551=$Q$7,$O2551=$Q$7)),"x","")</f>
        <v/>
      </c>
      <c r="R2551" s="79" t="str">
        <f>IF(AND($N2551=$Q$7,$B2551&lt;'111'!$L$11),"x","")</f>
        <v/>
      </c>
      <c r="S2551" s="79" t="str">
        <f>IF(AND($O2551=$Q$7,$B2551&lt;'111'!$L$11),"x","")</f>
        <v/>
      </c>
      <c r="T2551" s="79" t="str">
        <f>IF(ISERROR(FIND('112'!$M$9,G2551,1)),"",IF((AND(FIND('112'!$M$9,G2551,1)&gt;=1,B2551='112'!$K$9,OR($N2551='112'!$I$6,$O2551='112'!$I$6))),"x",""))</f>
        <v/>
      </c>
      <c r="U2551" s="79" t="str">
        <f>IF(ISERROR(FIND('112'!$M$9,G2551,1)),"",IF((AND(LEFT(G2551,2)=LEFT('112'!$M$9,2),B2551&lt;'112'!$K$9,$N2551='112'!$I$6)),"x",""))</f>
        <v/>
      </c>
      <c r="V2551" s="79" t="str">
        <f>IF(ISERROR(FIND('112'!$M$9,G2551,1)),"",IF((AND(RIGHT(G2551,2)=RIGHT('112'!$M$9,2),B2551&lt;'112'!$K$9,$O2551='112'!$I$6)),"x",""))</f>
        <v/>
      </c>
      <c r="W2551" s="79" t="str">
        <f>IF(AND('341-CT'!$H$9=H2551,OR(LEFT(N2551,3)=$W$7,LEFT(O2551,3)=$W$7)),"x","")</f>
        <v/>
      </c>
      <c r="X2551" s="79" t="str">
        <f>IF(OR(TH!N2551=TH!$X$7,O2551=TH!$X$7),"x","")</f>
        <v/>
      </c>
      <c r="Y2551" s="79" t="str">
        <f>IF(AND(OR(N2551="131",O2551="131"),H2551='131-CT'!$H$9),"x","")</f>
        <v/>
      </c>
      <c r="Z2551" s="79"/>
      <c r="AA2551" s="79" t="str">
        <f>IF(AND(MONTH(E2551)='IN-NX'!$J$5,'IN-NX'!$D$7=D2551),"x","")</f>
        <v/>
      </c>
      <c r="AB2551" s="79" t="str">
        <f>IF(AND(OR(LEFT(TH!N2551,2)="15",LEFT(TH!O2551,2)="15"),LEFT(TH!O2551,3)&lt;&gt;"111",'152-CT'!$J$8=TH!F2551),"x","")</f>
        <v/>
      </c>
      <c r="AC2551" s="79" t="str">
        <f>IF(AND(OR(LEFT(TH!N2551,2)="15",LEFT(TH!O2551,2)="15"),TK!$E$7=TH!F2551),"x","")</f>
        <v/>
      </c>
      <c r="AD2551" s="79" t="str">
        <f>IF(AND(N2551="1521",MONTH(C2551)='BK-NL'!$M$11),"x","")</f>
        <v/>
      </c>
    </row>
    <row r="2552" spans="1:30" ht="16.5" customHeight="1">
      <c r="A2552" s="318" t="str">
        <f>IF(B2552&lt;&gt;"",IF(AND(B2552='IN-TC'!$S$4,OR(TH!N2552="1111",TH!O2552="1111")),TH!D2552,""),"")</f>
        <v/>
      </c>
      <c r="B2552" s="60" t="str">
        <f t="shared" si="244"/>
        <v/>
      </c>
      <c r="C2552" s="301"/>
      <c r="D2552" s="301"/>
      <c r="E2552" s="301"/>
      <c r="F2552" s="1162"/>
      <c r="G2552" s="968"/>
      <c r="H2552" s="303"/>
      <c r="I2552" s="385"/>
      <c r="J2552" s="969"/>
      <c r="K2552" s="385"/>
      <c r="L2552" s="392"/>
      <c r="M2552" s="970"/>
      <c r="N2552" s="304"/>
      <c r="O2552" s="304"/>
      <c r="P2552" s="79" t="str">
        <f>IF(AND('331-CT'!$E$7=TH!H2552,OR(N2552="331",O2552="331")),"x","")</f>
        <v/>
      </c>
      <c r="Q2552" s="79" t="str">
        <f>IF(AND(B2552='111'!$L$11,OR($N2552=$Q$7,$O2552=$Q$7)),"x","")</f>
        <v/>
      </c>
      <c r="R2552" s="79" t="str">
        <f>IF(AND($N2552=$Q$7,$B2552&lt;'111'!$L$11),"x","")</f>
        <v/>
      </c>
      <c r="S2552" s="79" t="str">
        <f>IF(AND($O2552=$Q$7,$B2552&lt;'111'!$L$11),"x","")</f>
        <v/>
      </c>
      <c r="T2552" s="79" t="str">
        <f>IF(ISERROR(FIND('112'!$M$9,G2552,1)),"",IF((AND(FIND('112'!$M$9,G2552,1)&gt;=1,B2552='112'!$K$9,OR($N2552='112'!$I$6,$O2552='112'!$I$6))),"x",""))</f>
        <v/>
      </c>
      <c r="U2552" s="79" t="str">
        <f>IF(ISERROR(FIND('112'!$M$9,G2552,1)),"",IF((AND(LEFT(G2552,2)=LEFT('112'!$M$9,2),B2552&lt;'112'!$K$9,$N2552='112'!$I$6)),"x",""))</f>
        <v/>
      </c>
      <c r="V2552" s="79" t="str">
        <f>IF(ISERROR(FIND('112'!$M$9,G2552,1)),"",IF((AND(RIGHT(G2552,2)=RIGHT('112'!$M$9,2),B2552&lt;'112'!$K$9,$O2552='112'!$I$6)),"x",""))</f>
        <v/>
      </c>
      <c r="W2552" s="79" t="str">
        <f>IF(AND('341-CT'!$H$9=H2552,OR(LEFT(N2552,3)=$W$7,LEFT(O2552,3)=$W$7)),"x","")</f>
        <v/>
      </c>
      <c r="X2552" s="79" t="str">
        <f>IF(OR(TH!N2552=TH!$X$7,O2552=TH!$X$7),"x","")</f>
        <v/>
      </c>
      <c r="Y2552" s="79" t="str">
        <f>IF(AND(OR(N2552="131",O2552="131"),H2552='131-CT'!$H$9),"x","")</f>
        <v/>
      </c>
      <c r="Z2552" s="79"/>
      <c r="AA2552" s="79" t="str">
        <f>IF(AND(MONTH(E2552)='IN-NX'!$J$5,'IN-NX'!$D$7=D2552),"x","")</f>
        <v/>
      </c>
      <c r="AB2552" s="79" t="str">
        <f>IF(AND(OR(LEFT(TH!N2552,2)="15",LEFT(TH!O2552,2)="15"),LEFT(TH!O2552,3)&lt;&gt;"111",'152-CT'!$J$8=TH!F2552),"x","")</f>
        <v/>
      </c>
      <c r="AC2552" s="79" t="str">
        <f>IF(AND(OR(LEFT(TH!N2552,2)="15",LEFT(TH!O2552,2)="15"),TK!$E$7=TH!F2552),"x","")</f>
        <v/>
      </c>
      <c r="AD2552" s="79" t="str">
        <f>IF(AND(N2552="1521",MONTH(C2552)='BK-NL'!$M$11),"x","")</f>
        <v/>
      </c>
    </row>
    <row r="2553" spans="1:30" ht="16.5" customHeight="1">
      <c r="A2553" s="318" t="str">
        <f>IF(B2553&lt;&gt;"",IF(AND(B2553='IN-TC'!$S$4,OR(TH!N2553="1111",TH!O2553="1111")),TH!D2553,""),"")</f>
        <v/>
      </c>
      <c r="B2553" s="60" t="str">
        <f t="shared" si="244"/>
        <v/>
      </c>
      <c r="C2553" s="301"/>
      <c r="D2553" s="301"/>
      <c r="E2553" s="301"/>
      <c r="F2553" s="302"/>
      <c r="G2553" s="968"/>
      <c r="H2553" s="303"/>
      <c r="I2553" s="385"/>
      <c r="J2553" s="969"/>
      <c r="K2553" s="385"/>
      <c r="L2553" s="392"/>
      <c r="M2553" s="970"/>
      <c r="N2553" s="304"/>
      <c r="O2553" s="304"/>
      <c r="P2553" s="79" t="str">
        <f>IF(AND('331-CT'!$E$7=TH!H2553,OR(N2553="331",O2553="331")),"x","")</f>
        <v/>
      </c>
      <c r="Q2553" s="79" t="str">
        <f>IF(AND(B2553='111'!$L$11,OR($N2553=$Q$7,$O2553=$Q$7)),"x","")</f>
        <v/>
      </c>
      <c r="R2553" s="79" t="str">
        <f>IF(AND($N2553=$Q$7,$B2553&lt;'111'!$L$11),"x","")</f>
        <v/>
      </c>
      <c r="S2553" s="79" t="str">
        <f>IF(AND($O2553=$Q$7,$B2553&lt;'111'!$L$11),"x","")</f>
        <v/>
      </c>
      <c r="T2553" s="79" t="str">
        <f>IF(ISERROR(FIND('112'!$M$9,G2553,1)),"",IF((AND(FIND('112'!$M$9,G2553,1)&gt;=1,B2553='112'!$K$9,OR($N2553='112'!$I$6,$O2553='112'!$I$6))),"x",""))</f>
        <v/>
      </c>
      <c r="U2553" s="79" t="str">
        <f>IF(ISERROR(FIND('112'!$M$9,G2553,1)),"",IF((AND(LEFT(G2553,2)=LEFT('112'!$M$9,2),B2553&lt;'112'!$K$9,$N2553='112'!$I$6)),"x",""))</f>
        <v/>
      </c>
      <c r="V2553" s="79" t="str">
        <f>IF(ISERROR(FIND('112'!$M$9,G2553,1)),"",IF((AND(RIGHT(G2553,2)=RIGHT('112'!$M$9,2),B2553&lt;'112'!$K$9,$O2553='112'!$I$6)),"x",""))</f>
        <v/>
      </c>
      <c r="W2553" s="79" t="str">
        <f>IF(AND('341-CT'!$H$9=H2553,OR(LEFT(N2553,3)=$W$7,LEFT(O2553,3)=$W$7)),"x","")</f>
        <v/>
      </c>
      <c r="X2553" s="79" t="str">
        <f>IF(OR(TH!N2553=TH!$X$7,O2553=TH!$X$7),"x","")</f>
        <v/>
      </c>
      <c r="Y2553" s="79" t="str">
        <f>IF(AND(OR(N2553="131",O2553="131"),H2553='131-CT'!$H$9),"x","")</f>
        <v/>
      </c>
      <c r="Z2553" s="79"/>
      <c r="AA2553" s="79" t="str">
        <f>IF(AND(MONTH(E2553)='IN-NX'!$J$5,'IN-NX'!$D$7=D2553),"x","")</f>
        <v/>
      </c>
      <c r="AB2553" s="79" t="str">
        <f>IF(AND(OR(LEFT(TH!N2553,2)="15",LEFT(TH!O2553,2)="15"),LEFT(TH!O2553,3)&lt;&gt;"111",'152-CT'!$J$8=TH!F2553),"x","")</f>
        <v/>
      </c>
      <c r="AC2553" s="79" t="str">
        <f>IF(AND(OR(LEFT(TH!N2553,2)="15",LEFT(TH!O2553,2)="15"),TK!$E$7=TH!F2553),"x","")</f>
        <v/>
      </c>
      <c r="AD2553" s="79" t="str">
        <f>IF(AND(N2553="1521",MONTH(C2553)='BK-NL'!$M$11),"x","")</f>
        <v/>
      </c>
    </row>
    <row r="2554" spans="1:30" ht="16.5" customHeight="1">
      <c r="A2554" s="318" t="str">
        <f>IF(B2554&lt;&gt;"",IF(AND(B2554='IN-TC'!$S$4,OR(TH!N2554="1111",TH!O2554="1111")),TH!D2554,""),"")</f>
        <v/>
      </c>
      <c r="B2554" s="60" t="str">
        <f t="shared" si="244"/>
        <v/>
      </c>
      <c r="C2554" s="301"/>
      <c r="D2554" s="301"/>
      <c r="E2554" s="301"/>
      <c r="F2554" s="302"/>
      <c r="G2554" s="968"/>
      <c r="H2554" s="303"/>
      <c r="I2554" s="385"/>
      <c r="J2554" s="969"/>
      <c r="K2554" s="385"/>
      <c r="L2554" s="392"/>
      <c r="M2554" s="970"/>
      <c r="N2554" s="304"/>
      <c r="O2554" s="304"/>
      <c r="P2554" s="79" t="str">
        <f>IF(AND('331-CT'!$E$7=TH!H2554,OR(N2554="331",O2554="331")),"x","")</f>
        <v/>
      </c>
      <c r="Q2554" s="79" t="str">
        <f>IF(AND(B2554='111'!$L$11,OR($N2554=$Q$7,$O2554=$Q$7)),"x","")</f>
        <v/>
      </c>
      <c r="R2554" s="79" t="str">
        <f>IF(AND($N2554=$Q$7,$B2554&lt;'111'!$L$11),"x","")</f>
        <v/>
      </c>
      <c r="S2554" s="79" t="str">
        <f>IF(AND($O2554=$Q$7,$B2554&lt;'111'!$L$11),"x","")</f>
        <v/>
      </c>
      <c r="T2554" s="79" t="str">
        <f>IF(ISERROR(FIND('112'!$M$9,G2554,1)),"",IF((AND(FIND('112'!$M$9,G2554,1)&gt;=1,B2554='112'!$K$9,OR($N2554='112'!$I$6,$O2554='112'!$I$6))),"x",""))</f>
        <v/>
      </c>
      <c r="U2554" s="79" t="str">
        <f>IF(ISERROR(FIND('112'!$M$9,G2554,1)),"",IF((AND(LEFT(G2554,2)=LEFT('112'!$M$9,2),B2554&lt;'112'!$K$9,$N2554='112'!$I$6)),"x",""))</f>
        <v/>
      </c>
      <c r="V2554" s="79" t="str">
        <f>IF(ISERROR(FIND('112'!$M$9,G2554,1)),"",IF((AND(RIGHT(G2554,2)=RIGHT('112'!$M$9,2),B2554&lt;'112'!$K$9,$O2554='112'!$I$6)),"x",""))</f>
        <v/>
      </c>
      <c r="W2554" s="79" t="str">
        <f>IF(AND('341-CT'!$H$9=H2554,OR(LEFT(N2554,3)=$W$7,LEFT(O2554,3)=$W$7)),"x","")</f>
        <v/>
      </c>
      <c r="X2554" s="79" t="str">
        <f>IF(OR(TH!N2554=TH!$X$7,O2554=TH!$X$7),"x","")</f>
        <v/>
      </c>
      <c r="Y2554" s="79" t="str">
        <f>IF(AND(OR(N2554="131",O2554="131"),H2554='131-CT'!$H$9),"x","")</f>
        <v/>
      </c>
      <c r="Z2554" s="79"/>
      <c r="AA2554" s="79" t="str">
        <f>IF(AND(MONTH(E2554)='IN-NX'!$J$5,'IN-NX'!$D$7=D2554),"x","")</f>
        <v/>
      </c>
      <c r="AB2554" s="79" t="str">
        <f>IF(AND(OR(LEFT(TH!N2554,2)="15",LEFT(TH!O2554,2)="15"),LEFT(TH!O2554,3)&lt;&gt;"111",'152-CT'!$J$8=TH!F2554),"x","")</f>
        <v/>
      </c>
      <c r="AC2554" s="79" t="str">
        <f>IF(AND(OR(LEFT(TH!N2554,2)="15",LEFT(TH!O2554,2)="15"),TK!$E$7=TH!F2554),"x","")</f>
        <v/>
      </c>
      <c r="AD2554" s="79" t="str">
        <f>IF(AND(N2554="1521",MONTH(C2554)='BK-NL'!$M$11),"x","")</f>
        <v/>
      </c>
    </row>
    <row r="2555" spans="1:30" ht="16.5" customHeight="1">
      <c r="A2555" s="318" t="str">
        <f>IF(B2555&lt;&gt;"",IF(AND(B2555='IN-TC'!$S$4,OR(TH!N2555="1111",TH!O2555="1111")),TH!D2555,""),"")</f>
        <v/>
      </c>
      <c r="B2555" s="60" t="str">
        <f t="shared" ref="B2555:B2556" si="249">IF(C2555&lt;&gt;"",MONTH(C2555),"")</f>
        <v/>
      </c>
      <c r="C2555" s="301"/>
      <c r="D2555" s="301"/>
      <c r="E2555" s="301"/>
      <c r="F2555" s="302"/>
      <c r="G2555" s="968"/>
      <c r="H2555" s="303"/>
      <c r="I2555" s="385"/>
      <c r="J2555" s="969"/>
      <c r="K2555" s="385"/>
      <c r="L2555" s="392"/>
      <c r="M2555" s="970"/>
      <c r="N2555" s="304"/>
      <c r="O2555" s="304"/>
      <c r="P2555" s="79" t="str">
        <f>IF(AND('331-CT'!$E$7=TH!H2555,OR(N2555="331",O2555="331")),"x","")</f>
        <v/>
      </c>
      <c r="Q2555" s="79" t="str">
        <f>IF(AND(B2555='111'!$L$11,OR($N2555=$Q$7,$O2555=$Q$7)),"x","")</f>
        <v/>
      </c>
      <c r="R2555" s="79" t="str">
        <f>IF(AND($N2555=$Q$7,$B2555&lt;'111'!$L$11),"x","")</f>
        <v/>
      </c>
      <c r="S2555" s="79" t="str">
        <f>IF(AND($O2555=$Q$7,$B2555&lt;'111'!$L$11),"x","")</f>
        <v/>
      </c>
      <c r="T2555" s="79" t="str">
        <f>IF(ISERROR(FIND('112'!$M$9,G2555,1)),"",IF((AND(FIND('112'!$M$9,G2555,1)&gt;=1,B2555='112'!$K$9,OR($N2555='112'!$I$6,$O2555='112'!$I$6))),"x",""))</f>
        <v/>
      </c>
      <c r="U2555" s="79" t="str">
        <f>IF(ISERROR(FIND('112'!$M$9,G2555,1)),"",IF((AND(LEFT(G2555,2)=LEFT('112'!$M$9,2),B2555&lt;'112'!$K$9,$N2555='112'!$I$6)),"x",""))</f>
        <v/>
      </c>
      <c r="V2555" s="79" t="str">
        <f>IF(ISERROR(FIND('112'!$M$9,G2555,1)),"",IF((AND(RIGHT(G2555,2)=RIGHT('112'!$M$9,2),B2555&lt;'112'!$K$9,$O2555='112'!$I$6)),"x",""))</f>
        <v/>
      </c>
      <c r="W2555" s="79" t="str">
        <f>IF(AND('341-CT'!$H$9=H2555,OR(LEFT(N2555,3)=$W$7,LEFT(O2555,3)=$W$7)),"x","")</f>
        <v/>
      </c>
      <c r="X2555" s="79" t="str">
        <f>IF(OR(TH!N2555=TH!$X$7,O2555=TH!$X$7),"x","")</f>
        <v/>
      </c>
      <c r="Y2555" s="79" t="str">
        <f>IF(AND(OR(N2555="131",O2555="131"),H2555='131-CT'!$H$9),"x","")</f>
        <v/>
      </c>
      <c r="Z2555" s="79"/>
      <c r="AA2555" s="79" t="str">
        <f>IF(AND(MONTH(E2555)='IN-NX'!$J$5,'IN-NX'!$D$7=D2555),"x","")</f>
        <v/>
      </c>
      <c r="AB2555" s="79" t="str">
        <f>IF(AND(OR(LEFT(TH!N2555,2)="15",LEFT(TH!O2555,2)="15"),LEFT(TH!O2555,3)&lt;&gt;"111",'152-CT'!$J$8=TH!F2555),"x","")</f>
        <v/>
      </c>
      <c r="AC2555" s="79" t="str">
        <f>IF(AND(OR(LEFT(TH!N2555,2)="15",LEFT(TH!O2555,2)="15"),TK!$E$7=TH!F2555),"x","")</f>
        <v/>
      </c>
      <c r="AD2555" s="79" t="str">
        <f>IF(AND(N2555="1521",MONTH(C2555)='BK-NL'!$M$11),"x","")</f>
        <v/>
      </c>
    </row>
    <row r="2556" spans="1:30" ht="16.5" customHeight="1">
      <c r="A2556" s="318" t="str">
        <f>IF(B2556&lt;&gt;"",IF(AND(B2556='IN-TC'!$S$4,OR(TH!N2556="1111",TH!O2556="1111")),TH!D2556,""),"")</f>
        <v/>
      </c>
      <c r="B2556" s="60" t="str">
        <f t="shared" si="249"/>
        <v/>
      </c>
      <c r="C2556" s="301"/>
      <c r="D2556" s="301"/>
      <c r="E2556" s="301"/>
      <c r="F2556" s="302"/>
      <c r="G2556" s="968"/>
      <c r="H2556" s="303"/>
      <c r="I2556" s="385"/>
      <c r="J2556" s="969"/>
      <c r="K2556" s="385"/>
      <c r="L2556" s="392"/>
      <c r="M2556" s="970"/>
      <c r="N2556" s="304"/>
      <c r="O2556" s="304"/>
      <c r="P2556" s="79" t="str">
        <f>IF(AND('331-CT'!$E$7=TH!H2556,OR(N2556="331",O2556="331")),"x","")</f>
        <v/>
      </c>
      <c r="Q2556" s="79" t="str">
        <f>IF(AND(B2556='111'!$L$11,OR($N2556=$Q$7,$O2556=$Q$7)),"x","")</f>
        <v/>
      </c>
      <c r="R2556" s="79" t="str">
        <f>IF(AND($N2556=$Q$7,$B2556&lt;'111'!$L$11),"x","")</f>
        <v/>
      </c>
      <c r="S2556" s="79" t="str">
        <f>IF(AND($O2556=$Q$7,$B2556&lt;'111'!$L$11),"x","")</f>
        <v/>
      </c>
      <c r="T2556" s="79" t="str">
        <f>IF(ISERROR(FIND('112'!$M$9,G2556,1)),"",IF((AND(FIND('112'!$M$9,G2556,1)&gt;=1,B2556='112'!$K$9,OR($N2556='112'!$I$6,$O2556='112'!$I$6))),"x",""))</f>
        <v/>
      </c>
      <c r="U2556" s="79" t="str">
        <f>IF(ISERROR(FIND('112'!$M$9,G2556,1)),"",IF((AND(LEFT(G2556,2)=LEFT('112'!$M$9,2),B2556&lt;'112'!$K$9,$N2556='112'!$I$6)),"x",""))</f>
        <v/>
      </c>
      <c r="V2556" s="79" t="str">
        <f>IF(ISERROR(FIND('112'!$M$9,G2556,1)),"",IF((AND(RIGHT(G2556,2)=RIGHT('112'!$M$9,2),B2556&lt;'112'!$K$9,$O2556='112'!$I$6)),"x",""))</f>
        <v/>
      </c>
      <c r="W2556" s="79" t="str">
        <f>IF(AND('341-CT'!$H$9=H2556,OR(LEFT(N2556,3)=$W$7,LEFT(O2556,3)=$W$7)),"x","")</f>
        <v/>
      </c>
      <c r="X2556" s="79" t="str">
        <f>IF(OR(TH!N2556=TH!$X$7,O2556=TH!$X$7),"x","")</f>
        <v/>
      </c>
      <c r="Y2556" s="79" t="str">
        <f>IF(AND(OR(N2556="131",O2556="131"),H2556='131-CT'!$H$9),"x","")</f>
        <v/>
      </c>
      <c r="Z2556" s="79"/>
      <c r="AA2556" s="79" t="str">
        <f>IF(AND(MONTH(E2556)='IN-NX'!$J$5,'IN-NX'!$D$7=D2556),"x","")</f>
        <v/>
      </c>
      <c r="AB2556" s="79" t="str">
        <f>IF(AND(OR(LEFT(TH!N2556,2)="15",LEFT(TH!O2556,2)="15"),LEFT(TH!O2556,3)&lt;&gt;"111",'152-CT'!$J$8=TH!F2556),"x","")</f>
        <v/>
      </c>
      <c r="AC2556" s="79" t="str">
        <f>IF(AND(OR(LEFT(TH!N2556,2)="15",LEFT(TH!O2556,2)="15"),TK!$E$7=TH!F2556),"x","")</f>
        <v/>
      </c>
      <c r="AD2556" s="79" t="str">
        <f>IF(AND(N2556="1521",MONTH(C2556)='BK-NL'!$M$11),"x","")</f>
        <v/>
      </c>
    </row>
    <row r="2557" spans="1:30" ht="16.5" customHeight="1">
      <c r="A2557" s="318" t="str">
        <f>IF(B2557&lt;&gt;"",IF(AND(B2557='IN-TC'!$S$4,OR(TH!N2557="1111",TH!O2557="1111")),TH!D2557,""),"")</f>
        <v/>
      </c>
      <c r="B2557" s="60" t="str">
        <f t="shared" si="244"/>
        <v/>
      </c>
      <c r="C2557" s="301"/>
      <c r="D2557" s="301"/>
      <c r="E2557" s="301"/>
      <c r="F2557" s="302"/>
      <c r="G2557" s="968"/>
      <c r="H2557" s="303"/>
      <c r="I2557" s="385"/>
      <c r="J2557" s="969"/>
      <c r="K2557" s="385"/>
      <c r="L2557" s="392"/>
      <c r="M2557" s="970"/>
      <c r="N2557" s="304"/>
      <c r="O2557" s="304"/>
      <c r="P2557" s="79" t="str">
        <f>IF(AND('331-CT'!$E$7=TH!H2557,OR(N2557="331",O2557="331")),"x","")</f>
        <v/>
      </c>
      <c r="Q2557" s="79" t="str">
        <f>IF(AND(B2557='111'!$L$11,OR($N2557=$Q$7,$O2557=$Q$7)),"x","")</f>
        <v/>
      </c>
      <c r="R2557" s="79" t="str">
        <f>IF(AND($N2557=$Q$7,$B2557&lt;'111'!$L$11),"x","")</f>
        <v/>
      </c>
      <c r="S2557" s="79" t="str">
        <f>IF(AND($O2557=$Q$7,$B2557&lt;'111'!$L$11),"x","")</f>
        <v/>
      </c>
      <c r="T2557" s="79" t="str">
        <f>IF(ISERROR(FIND('112'!$M$9,G2557,1)),"",IF((AND(FIND('112'!$M$9,G2557,1)&gt;=1,B2557='112'!$K$9,OR($N2557='112'!$I$6,$O2557='112'!$I$6))),"x",""))</f>
        <v/>
      </c>
      <c r="U2557" s="79" t="str">
        <f>IF(ISERROR(FIND('112'!$M$9,G2557,1)),"",IF((AND(LEFT(G2557,2)=LEFT('112'!$M$9,2),B2557&lt;'112'!$K$9,$N2557='112'!$I$6)),"x",""))</f>
        <v/>
      </c>
      <c r="V2557" s="79" t="str">
        <f>IF(ISERROR(FIND('112'!$M$9,G2557,1)),"",IF((AND(RIGHT(G2557,2)=RIGHT('112'!$M$9,2),B2557&lt;'112'!$K$9,$O2557='112'!$I$6)),"x",""))</f>
        <v/>
      </c>
      <c r="W2557" s="79" t="str">
        <f>IF(AND('341-CT'!$H$9=H2557,OR(LEFT(N2557,3)=$W$7,LEFT(O2557,3)=$W$7)),"x","")</f>
        <v/>
      </c>
      <c r="X2557" s="79" t="str">
        <f>IF(OR(TH!N2557=TH!$X$7,O2557=TH!$X$7),"x","")</f>
        <v/>
      </c>
      <c r="Y2557" s="79" t="str">
        <f>IF(AND(OR(N2557="131",O2557="131"),H2557='131-CT'!$H$9),"x","")</f>
        <v/>
      </c>
      <c r="Z2557" s="79"/>
      <c r="AA2557" s="79" t="str">
        <f>IF(AND(MONTH(E2557)='IN-NX'!$J$5,'IN-NX'!$D$7=D2557),"x","")</f>
        <v/>
      </c>
      <c r="AB2557" s="79" t="str">
        <f>IF(AND(OR(LEFT(TH!N2557,2)="15",LEFT(TH!O2557,2)="15"),LEFT(TH!O2557,3)&lt;&gt;"111",'152-CT'!$J$8=TH!F2557),"x","")</f>
        <v/>
      </c>
      <c r="AC2557" s="79" t="str">
        <f>IF(AND(OR(LEFT(TH!N2557,2)="15",LEFT(TH!O2557,2)="15"),TK!$E$7=TH!F2557),"x","")</f>
        <v/>
      </c>
      <c r="AD2557" s="79" t="str">
        <f>IF(AND(N2557="1521",MONTH(C2557)='BK-NL'!$M$11),"x","")</f>
        <v/>
      </c>
    </row>
    <row r="2558" spans="1:30" ht="16.5" customHeight="1">
      <c r="A2558" s="318" t="str">
        <f>IF(B2558&lt;&gt;"",IF(AND(B2558='IN-TC'!$S$4,OR(TH!N2558="1111",TH!O2558="1111")),TH!D2558,""),"")</f>
        <v/>
      </c>
      <c r="B2558" s="60" t="str">
        <f t="shared" si="244"/>
        <v/>
      </c>
      <c r="C2558" s="301"/>
      <c r="D2558" s="301"/>
      <c r="E2558" s="301"/>
      <c r="F2558" s="302"/>
      <c r="G2558" s="968"/>
      <c r="H2558" s="303"/>
      <c r="I2558" s="385"/>
      <c r="J2558" s="969"/>
      <c r="K2558" s="385"/>
      <c r="L2558" s="392"/>
      <c r="M2558" s="970"/>
      <c r="N2558" s="304"/>
      <c r="O2558" s="304"/>
      <c r="P2558" s="79" t="str">
        <f>IF(AND('331-CT'!$E$7=TH!H2558,OR(N2558="331",O2558="331")),"x","")</f>
        <v/>
      </c>
      <c r="Q2558" s="79" t="str">
        <f>IF(AND(B2558='111'!$L$11,OR($N2558=$Q$7,$O2558=$Q$7)),"x","")</f>
        <v/>
      </c>
      <c r="R2558" s="79" t="str">
        <f>IF(AND($N2558=$Q$7,$B2558&lt;'111'!$L$11),"x","")</f>
        <v/>
      </c>
      <c r="S2558" s="79" t="str">
        <f>IF(AND($O2558=$Q$7,$B2558&lt;'111'!$L$11),"x","")</f>
        <v/>
      </c>
      <c r="T2558" s="79" t="str">
        <f>IF(ISERROR(FIND('112'!$M$9,G2558,1)),"",IF((AND(FIND('112'!$M$9,G2558,1)&gt;=1,B2558='112'!$K$9,OR($N2558='112'!$I$6,$O2558='112'!$I$6))),"x",""))</f>
        <v/>
      </c>
      <c r="U2558" s="79" t="str">
        <f>IF(ISERROR(FIND('112'!$M$9,G2558,1)),"",IF((AND(LEFT(G2558,2)=LEFT('112'!$M$9,2),B2558&lt;'112'!$K$9,$N2558='112'!$I$6)),"x",""))</f>
        <v/>
      </c>
      <c r="V2558" s="79" t="str">
        <f>IF(ISERROR(FIND('112'!$M$9,G2558,1)),"",IF((AND(RIGHT(G2558,2)=RIGHT('112'!$M$9,2),B2558&lt;'112'!$K$9,$O2558='112'!$I$6)),"x",""))</f>
        <v/>
      </c>
      <c r="W2558" s="79" t="str">
        <f>IF(AND('341-CT'!$H$9=H2558,OR(LEFT(N2558,3)=$W$7,LEFT(O2558,3)=$W$7)),"x","")</f>
        <v/>
      </c>
      <c r="X2558" s="79" t="str">
        <f>IF(OR(TH!N2558=TH!$X$7,O2558=TH!$X$7),"x","")</f>
        <v/>
      </c>
      <c r="Y2558" s="79" t="str">
        <f>IF(AND(OR(N2558="131",O2558="131"),H2558='131-CT'!$H$9),"x","")</f>
        <v/>
      </c>
      <c r="Z2558" s="79"/>
      <c r="AA2558" s="79" t="str">
        <f>IF(AND(MONTH(E2558)='IN-NX'!$J$5,'IN-NX'!$D$7=D2558),"x","")</f>
        <v/>
      </c>
      <c r="AB2558" s="79" t="str">
        <f>IF(AND(OR(LEFT(TH!N2558,2)="15",LEFT(TH!O2558,2)="15"),LEFT(TH!O2558,3)&lt;&gt;"111",'152-CT'!$J$8=TH!F2558),"x","")</f>
        <v/>
      </c>
      <c r="AC2558" s="79" t="str">
        <f>IF(AND(OR(LEFT(TH!N2558,2)="15",LEFT(TH!O2558,2)="15"),TK!$E$7=TH!F2558),"x","")</f>
        <v/>
      </c>
      <c r="AD2558" s="79" t="str">
        <f>IF(AND(N2558="1521",MONTH(C2558)='BK-NL'!$M$11),"x","")</f>
        <v/>
      </c>
    </row>
    <row r="2559" spans="1:30" ht="16.5" customHeight="1">
      <c r="A2559" s="318" t="str">
        <f>IF(B2559&lt;&gt;"",IF(AND(B2559='IN-TC'!$S$4,OR(TH!N2559="1111",TH!O2559="1111")),TH!D2559,""),"")</f>
        <v/>
      </c>
      <c r="B2559" s="60" t="str">
        <f t="shared" si="244"/>
        <v/>
      </c>
      <c r="C2559" s="301"/>
      <c r="D2559" s="301"/>
      <c r="E2559" s="301"/>
      <c r="F2559" s="1261"/>
      <c r="G2559" s="968"/>
      <c r="H2559" s="321"/>
      <c r="I2559" s="385"/>
      <c r="J2559" s="969"/>
      <c r="K2559" s="385"/>
      <c r="L2559" s="392"/>
      <c r="M2559" s="970"/>
      <c r="N2559" s="304"/>
      <c r="O2559" s="304"/>
      <c r="P2559" s="79" t="str">
        <f>IF(AND('331-CT'!$E$7=TH!H2559,OR(N2559="331",O2559="331")),"x","")</f>
        <v/>
      </c>
      <c r="Q2559" s="79" t="str">
        <f>IF(AND(B2559='111'!$L$11,OR($N2559=$Q$7,$O2559=$Q$7)),"x","")</f>
        <v/>
      </c>
      <c r="R2559" s="79" t="str">
        <f>IF(AND($N2559=$Q$7,$B2559&lt;'111'!$L$11),"x","")</f>
        <v/>
      </c>
      <c r="S2559" s="79" t="str">
        <f>IF(AND($O2559=$Q$7,$B2559&lt;'111'!$L$11),"x","")</f>
        <v/>
      </c>
      <c r="T2559" s="79" t="str">
        <f>IF(ISERROR(FIND('112'!$M$9,G2559,1)),"",IF((AND(FIND('112'!$M$9,G2559,1)&gt;=1,B2559='112'!$K$9,OR($N2559='112'!$I$6,$O2559='112'!$I$6))),"x",""))</f>
        <v/>
      </c>
      <c r="U2559" s="79" t="str">
        <f>IF(ISERROR(FIND('112'!$M$9,G2559,1)),"",IF((AND(LEFT(G2559,2)=LEFT('112'!$M$9,2),B2559&lt;'112'!$K$9,$N2559='112'!$I$6)),"x",""))</f>
        <v/>
      </c>
      <c r="V2559" s="79" t="str">
        <f>IF(ISERROR(FIND('112'!$M$9,G2559,1)),"",IF((AND(RIGHT(G2559,2)=RIGHT('112'!$M$9,2),B2559&lt;'112'!$K$9,$O2559='112'!$I$6)),"x",""))</f>
        <v/>
      </c>
      <c r="W2559" s="79" t="str">
        <f>IF(AND('341-CT'!$H$9=H2559,OR(LEFT(N2559,3)=$W$7,LEFT(O2559,3)=$W$7)),"x","")</f>
        <v/>
      </c>
      <c r="X2559" s="79" t="str">
        <f>IF(OR(TH!N2559=TH!$X$7,O2559=TH!$X$7),"x","")</f>
        <v/>
      </c>
      <c r="Y2559" s="79" t="str">
        <f>IF(AND(OR(N2559="131",O2559="131"),H2559='131-CT'!$H$9),"x","")</f>
        <v/>
      </c>
      <c r="Z2559" s="79"/>
      <c r="AA2559" s="79" t="str">
        <f>IF(AND(MONTH(E2559)='IN-NX'!$J$5,'IN-NX'!$D$7=D2559),"x","")</f>
        <v/>
      </c>
      <c r="AB2559" s="79" t="str">
        <f>IF(AND(OR(LEFT(TH!N2559,2)="15",LEFT(TH!O2559,2)="15"),LEFT(TH!O2559,3)&lt;&gt;"111",'152-CT'!$J$8=TH!F2559),"x","")</f>
        <v/>
      </c>
      <c r="AC2559" s="79" t="str">
        <f>IF(AND(OR(LEFT(TH!N2559,2)="15",LEFT(TH!O2559,2)="15"),TK!$E$7=TH!F2559),"x","")</f>
        <v/>
      </c>
      <c r="AD2559" s="79" t="str">
        <f>IF(AND(N2559="1521",MONTH(C2559)='BK-NL'!$M$11),"x","")</f>
        <v/>
      </c>
    </row>
    <row r="2560" spans="1:30" ht="16.5" customHeight="1">
      <c r="A2560" s="318" t="str">
        <f>IF(B2560&lt;&gt;"",IF(AND(B2560='IN-TC'!$S$4,OR(TH!N2560="1111",TH!O2560="1111")),TH!D2560,""),"")</f>
        <v/>
      </c>
      <c r="B2560" s="60" t="str">
        <f t="shared" si="244"/>
        <v/>
      </c>
      <c r="C2560" s="301"/>
      <c r="D2560" s="301"/>
      <c r="E2560" s="301"/>
      <c r="F2560" s="1261"/>
      <c r="G2560" s="968"/>
      <c r="H2560" s="321"/>
      <c r="I2560" s="385"/>
      <c r="J2560" s="969"/>
      <c r="K2560" s="385"/>
      <c r="L2560" s="392"/>
      <c r="M2560" s="970"/>
      <c r="N2560" s="304"/>
      <c r="O2560" s="304"/>
      <c r="P2560" s="79" t="str">
        <f>IF(AND('331-CT'!$E$7=TH!H2560,OR(N2560="331",O2560="331")),"x","")</f>
        <v/>
      </c>
      <c r="Q2560" s="79" t="str">
        <f>IF(AND(B2560='111'!$L$11,OR($N2560=$Q$7,$O2560=$Q$7)),"x","")</f>
        <v/>
      </c>
      <c r="R2560" s="79" t="str">
        <f>IF(AND($N2560=$Q$7,$B2560&lt;'111'!$L$11),"x","")</f>
        <v/>
      </c>
      <c r="S2560" s="79" t="str">
        <f>IF(AND($O2560=$Q$7,$B2560&lt;'111'!$L$11),"x","")</f>
        <v/>
      </c>
      <c r="T2560" s="79" t="str">
        <f>IF(ISERROR(FIND('112'!$M$9,G2560,1)),"",IF((AND(FIND('112'!$M$9,G2560,1)&gt;=1,B2560='112'!$K$9,OR($N2560='112'!$I$6,$O2560='112'!$I$6))),"x",""))</f>
        <v/>
      </c>
      <c r="U2560" s="79" t="str">
        <f>IF(ISERROR(FIND('112'!$M$9,G2560,1)),"",IF((AND(LEFT(G2560,2)=LEFT('112'!$M$9,2),B2560&lt;'112'!$K$9,$N2560='112'!$I$6)),"x",""))</f>
        <v/>
      </c>
      <c r="V2560" s="79" t="str">
        <f>IF(ISERROR(FIND('112'!$M$9,G2560,1)),"",IF((AND(RIGHT(G2560,2)=RIGHT('112'!$M$9,2),B2560&lt;'112'!$K$9,$O2560='112'!$I$6)),"x",""))</f>
        <v/>
      </c>
      <c r="W2560" s="79" t="str">
        <f>IF(AND('341-CT'!$H$9=H2560,OR(LEFT(N2560,3)=$W$7,LEFT(O2560,3)=$W$7)),"x","")</f>
        <v/>
      </c>
      <c r="X2560" s="79" t="str">
        <f>IF(OR(TH!N2560=TH!$X$7,O2560=TH!$X$7),"x","")</f>
        <v/>
      </c>
      <c r="Y2560" s="79" t="str">
        <f>IF(AND(OR(N2560="131",O2560="131"),H2560='131-CT'!$H$9),"x","")</f>
        <v/>
      </c>
      <c r="Z2560" s="79"/>
      <c r="AA2560" s="79" t="str">
        <f>IF(AND(MONTH(E2560)='IN-NX'!$J$5,'IN-NX'!$D$7=D2560),"x","")</f>
        <v/>
      </c>
      <c r="AB2560" s="79" t="str">
        <f>IF(AND(OR(LEFT(TH!N2560,2)="15",LEFT(TH!O2560,2)="15"),LEFT(TH!O2560,3)&lt;&gt;"111",'152-CT'!$J$8=TH!F2560),"x","")</f>
        <v/>
      </c>
      <c r="AC2560" s="79" t="str">
        <f>IF(AND(OR(LEFT(TH!N2560,2)="15",LEFT(TH!O2560,2)="15"),TK!$E$7=TH!F2560),"x","")</f>
        <v/>
      </c>
      <c r="AD2560" s="79" t="str">
        <f>IF(AND(N2560="1521",MONTH(C2560)='BK-NL'!$M$11),"x","")</f>
        <v/>
      </c>
    </row>
    <row r="2561" spans="1:30" ht="16.5" customHeight="1">
      <c r="A2561" s="318" t="str">
        <f>IF(B2561&lt;&gt;"",IF(AND(B2561='IN-TC'!$S$4,OR(TH!N2561="1111",TH!O2561="1111")),TH!D2561,""),"")</f>
        <v/>
      </c>
      <c r="B2561" s="60" t="str">
        <f t="shared" si="244"/>
        <v/>
      </c>
      <c r="C2561" s="301"/>
      <c r="D2561" s="301"/>
      <c r="E2561" s="301"/>
      <c r="F2561" s="1261"/>
      <c r="G2561" s="968"/>
      <c r="H2561" s="321"/>
      <c r="I2561" s="385"/>
      <c r="J2561" s="969"/>
      <c r="K2561" s="385"/>
      <c r="L2561" s="392"/>
      <c r="M2561" s="970"/>
      <c r="N2561" s="304"/>
      <c r="O2561" s="304"/>
      <c r="P2561" s="79" t="str">
        <f>IF(AND('331-CT'!$E$7=TH!H2561,OR(N2561="331",O2561="331")),"x","")</f>
        <v/>
      </c>
      <c r="Q2561" s="79" t="str">
        <f>IF(AND(B2561='111'!$L$11,OR($N2561=$Q$7,$O2561=$Q$7)),"x","")</f>
        <v/>
      </c>
      <c r="R2561" s="79" t="str">
        <f>IF(AND($N2561=$Q$7,$B2561&lt;'111'!$L$11),"x","")</f>
        <v/>
      </c>
      <c r="S2561" s="79" t="str">
        <f>IF(AND($O2561=$Q$7,$B2561&lt;'111'!$L$11),"x","")</f>
        <v/>
      </c>
      <c r="T2561" s="79" t="str">
        <f>IF(ISERROR(FIND('112'!$M$9,G2561,1)),"",IF((AND(FIND('112'!$M$9,G2561,1)&gt;=1,B2561='112'!$K$9,OR($N2561='112'!$I$6,$O2561='112'!$I$6))),"x",""))</f>
        <v/>
      </c>
      <c r="U2561" s="79" t="str">
        <f>IF(ISERROR(FIND('112'!$M$9,G2561,1)),"",IF((AND(LEFT(G2561,2)=LEFT('112'!$M$9,2),B2561&lt;'112'!$K$9,$N2561='112'!$I$6)),"x",""))</f>
        <v/>
      </c>
      <c r="V2561" s="79" t="str">
        <f>IF(ISERROR(FIND('112'!$M$9,G2561,1)),"",IF((AND(RIGHT(G2561,2)=RIGHT('112'!$M$9,2),B2561&lt;'112'!$K$9,$O2561='112'!$I$6)),"x",""))</f>
        <v/>
      </c>
      <c r="W2561" s="79" t="str">
        <f>IF(AND('341-CT'!$H$9=H2561,OR(LEFT(N2561,3)=$W$7,LEFT(O2561,3)=$W$7)),"x","")</f>
        <v/>
      </c>
      <c r="X2561" s="79" t="str">
        <f>IF(OR(TH!N2561=TH!$X$7,O2561=TH!$X$7),"x","")</f>
        <v/>
      </c>
      <c r="Y2561" s="79" t="str">
        <f>IF(AND(OR(N2561="131",O2561="131"),H2561='131-CT'!$H$9),"x","")</f>
        <v/>
      </c>
      <c r="Z2561" s="79"/>
      <c r="AA2561" s="79" t="str">
        <f>IF(AND(MONTH(E2561)='IN-NX'!$J$5,'IN-NX'!$D$7=D2561),"x","")</f>
        <v/>
      </c>
      <c r="AB2561" s="79" t="str">
        <f>IF(AND(OR(LEFT(TH!N2561,2)="15",LEFT(TH!O2561,2)="15"),LEFT(TH!O2561,3)&lt;&gt;"111",'152-CT'!$J$8=TH!F2561),"x","")</f>
        <v/>
      </c>
      <c r="AC2561" s="79" t="str">
        <f>IF(AND(OR(LEFT(TH!N2561,2)="15",LEFT(TH!O2561,2)="15"),TK!$E$7=TH!F2561),"x","")</f>
        <v/>
      </c>
      <c r="AD2561" s="79" t="str">
        <f>IF(AND(N2561="1521",MONTH(C2561)='BK-NL'!$M$11),"x","")</f>
        <v/>
      </c>
    </row>
    <row r="2562" spans="1:30" ht="16.5" customHeight="1">
      <c r="A2562" s="318" t="str">
        <f>IF(B2562&lt;&gt;"",IF(AND(B2562='IN-TC'!$S$4,OR(TH!N2562="1111",TH!O2562="1111")),TH!D2562,""),"")</f>
        <v/>
      </c>
      <c r="B2562" s="60" t="str">
        <f t="shared" si="244"/>
        <v/>
      </c>
      <c r="C2562" s="301"/>
      <c r="D2562" s="301"/>
      <c r="E2562" s="301"/>
      <c r="F2562" s="302"/>
      <c r="G2562" s="968"/>
      <c r="H2562" s="303"/>
      <c r="I2562" s="385"/>
      <c r="J2562" s="969"/>
      <c r="K2562" s="385"/>
      <c r="L2562" s="392"/>
      <c r="M2562" s="970"/>
      <c r="N2562" s="304"/>
      <c r="O2562" s="304"/>
      <c r="P2562" s="79" t="str">
        <f>IF(AND('331-CT'!$E$7=TH!H2562,OR(N2562="331",O2562="331")),"x","")</f>
        <v/>
      </c>
      <c r="Q2562" s="79" t="str">
        <f>IF(AND(B2562='111'!$L$11,OR($N2562=$Q$7,$O2562=$Q$7)),"x","")</f>
        <v/>
      </c>
      <c r="R2562" s="79" t="str">
        <f>IF(AND($N2562=$Q$7,$B2562&lt;'111'!$L$11),"x","")</f>
        <v/>
      </c>
      <c r="S2562" s="79" t="str">
        <f>IF(AND($O2562=$Q$7,$B2562&lt;'111'!$L$11),"x","")</f>
        <v/>
      </c>
      <c r="T2562" s="79" t="str">
        <f>IF(ISERROR(FIND('112'!$M$9,G2562,1)),"",IF((AND(FIND('112'!$M$9,G2562,1)&gt;=1,B2562='112'!$K$9,OR($N2562='112'!$I$6,$O2562='112'!$I$6))),"x",""))</f>
        <v/>
      </c>
      <c r="U2562" s="79" t="str">
        <f>IF(ISERROR(FIND('112'!$M$9,G2562,1)),"",IF((AND(LEFT(G2562,2)=LEFT('112'!$M$9,2),B2562&lt;'112'!$K$9,$N2562='112'!$I$6)),"x",""))</f>
        <v/>
      </c>
      <c r="V2562" s="79" t="str">
        <f>IF(ISERROR(FIND('112'!$M$9,G2562,1)),"",IF((AND(RIGHT(G2562,2)=RIGHT('112'!$M$9,2),B2562&lt;'112'!$K$9,$O2562='112'!$I$6)),"x",""))</f>
        <v/>
      </c>
      <c r="W2562" s="79" t="str">
        <f>IF(AND('341-CT'!$H$9=H2562,OR(LEFT(N2562,3)=$W$7,LEFT(O2562,3)=$W$7)),"x","")</f>
        <v/>
      </c>
      <c r="X2562" s="79" t="str">
        <f>IF(OR(TH!N2562=TH!$X$7,O2562=TH!$X$7),"x","")</f>
        <v/>
      </c>
      <c r="Y2562" s="79" t="str">
        <f>IF(AND(OR(N2562="131",O2562="131"),H2562='131-CT'!$H$9),"x","")</f>
        <v/>
      </c>
      <c r="Z2562" s="79"/>
      <c r="AA2562" s="79" t="str">
        <f>IF(AND(MONTH(E2562)='IN-NX'!$J$5,'IN-NX'!$D$7=D2562),"x","")</f>
        <v/>
      </c>
      <c r="AB2562" s="79" t="str">
        <f>IF(AND(OR(LEFT(TH!N2562,2)="15",LEFT(TH!O2562,2)="15"),LEFT(TH!O2562,3)&lt;&gt;"111",'152-CT'!$J$8=TH!F2562),"x","")</f>
        <v/>
      </c>
      <c r="AC2562" s="79" t="str">
        <f>IF(AND(OR(LEFT(TH!N2562,2)="15",LEFT(TH!O2562,2)="15"),TK!$E$7=TH!F2562),"x","")</f>
        <v/>
      </c>
      <c r="AD2562" s="79" t="str">
        <f>IF(AND(N2562="1521",MONTH(C2562)='BK-NL'!$M$11),"x","")</f>
        <v/>
      </c>
    </row>
    <row r="2563" spans="1:30" ht="16.5" customHeight="1">
      <c r="A2563" s="318" t="str">
        <f>IF(B2563&lt;&gt;"",IF(AND(B2563='IN-TC'!$S$4,OR(TH!N2563="1111",TH!O2563="1111")),TH!D2563,""),"")</f>
        <v/>
      </c>
      <c r="B2563" s="60" t="str">
        <f t="shared" si="244"/>
        <v/>
      </c>
      <c r="C2563" s="301"/>
      <c r="D2563" s="301"/>
      <c r="E2563" s="301"/>
      <c r="F2563" s="302"/>
      <c r="G2563" s="968"/>
      <c r="H2563" s="303"/>
      <c r="I2563" s="385"/>
      <c r="J2563" s="969"/>
      <c r="K2563" s="385"/>
      <c r="L2563" s="392"/>
      <c r="M2563" s="970"/>
      <c r="N2563" s="304"/>
      <c r="O2563" s="304"/>
      <c r="P2563" s="79" t="str">
        <f>IF(AND('331-CT'!$E$7=TH!H2563,OR(N2563="331",O2563="331")),"x","")</f>
        <v/>
      </c>
      <c r="Q2563" s="79" t="str">
        <f>IF(AND(B2563='111'!$L$11,OR($N2563=$Q$7,$O2563=$Q$7)),"x","")</f>
        <v/>
      </c>
      <c r="R2563" s="79" t="str">
        <f>IF(AND($N2563=$Q$7,$B2563&lt;'111'!$L$11),"x","")</f>
        <v/>
      </c>
      <c r="S2563" s="79" t="str">
        <f>IF(AND($O2563=$Q$7,$B2563&lt;'111'!$L$11),"x","")</f>
        <v/>
      </c>
      <c r="T2563" s="79" t="str">
        <f>IF(ISERROR(FIND('112'!$M$9,G2563,1)),"",IF((AND(FIND('112'!$M$9,G2563,1)&gt;=1,B2563='112'!$K$9,OR($N2563='112'!$I$6,$O2563='112'!$I$6))),"x",""))</f>
        <v/>
      </c>
      <c r="U2563" s="79" t="str">
        <f>IF(ISERROR(FIND('112'!$M$9,G2563,1)),"",IF((AND(LEFT(G2563,2)=LEFT('112'!$M$9,2),B2563&lt;'112'!$K$9,$N2563='112'!$I$6)),"x",""))</f>
        <v/>
      </c>
      <c r="V2563" s="79" t="str">
        <f>IF(ISERROR(FIND('112'!$M$9,G2563,1)),"",IF((AND(RIGHT(G2563,2)=RIGHT('112'!$M$9,2),B2563&lt;'112'!$K$9,$O2563='112'!$I$6)),"x",""))</f>
        <v/>
      </c>
      <c r="W2563" s="79" t="str">
        <f>IF(AND('341-CT'!$H$9=H2563,OR(LEFT(N2563,3)=$W$7,LEFT(O2563,3)=$W$7)),"x","")</f>
        <v/>
      </c>
      <c r="X2563" s="79" t="str">
        <f>IF(OR(TH!N2563=TH!$X$7,O2563=TH!$X$7),"x","")</f>
        <v/>
      </c>
      <c r="Y2563" s="79" t="str">
        <f>IF(AND(OR(N2563="131",O2563="131"),H2563='131-CT'!$H$9),"x","")</f>
        <v/>
      </c>
      <c r="Z2563" s="79"/>
      <c r="AA2563" s="79" t="str">
        <f>IF(AND(MONTH(E2563)='IN-NX'!$J$5,'IN-NX'!$D$7=D2563),"x","")</f>
        <v/>
      </c>
      <c r="AB2563" s="79" t="str">
        <f>IF(AND(OR(LEFT(TH!N2563,2)="15",LEFT(TH!O2563,2)="15"),LEFT(TH!O2563,3)&lt;&gt;"111",'152-CT'!$J$8=TH!F2563),"x","")</f>
        <v/>
      </c>
      <c r="AC2563" s="79" t="str">
        <f>IF(AND(OR(LEFT(TH!N2563,2)="15",LEFT(TH!O2563,2)="15"),TK!$E$7=TH!F2563),"x","")</f>
        <v/>
      </c>
      <c r="AD2563" s="79" t="str">
        <f>IF(AND(N2563="1521",MONTH(C2563)='BK-NL'!$M$11),"x","")</f>
        <v/>
      </c>
    </row>
    <row r="2564" spans="1:30" ht="16.5" customHeight="1">
      <c r="A2564" s="318" t="str">
        <f>IF(B2564&lt;&gt;"",IF(AND(B2564='IN-TC'!$S$4,OR(TH!N2564="1111",TH!O2564="1111")),TH!D2564,""),"")</f>
        <v/>
      </c>
      <c r="B2564" s="60" t="str">
        <f t="shared" si="244"/>
        <v/>
      </c>
      <c r="C2564" s="301"/>
      <c r="D2564" s="301"/>
      <c r="E2564" s="301"/>
      <c r="F2564" s="1261"/>
      <c r="G2564" s="968"/>
      <c r="H2564" s="321"/>
      <c r="I2564" s="385"/>
      <c r="J2564" s="969"/>
      <c r="K2564" s="385"/>
      <c r="L2564" s="392"/>
      <c r="M2564" s="970"/>
      <c r="N2564" s="304"/>
      <c r="O2564" s="304"/>
      <c r="P2564" s="79" t="str">
        <f>IF(AND('331-CT'!$E$7=TH!H2564,OR(N2564="331",O2564="331")),"x","")</f>
        <v/>
      </c>
      <c r="Q2564" s="79" t="str">
        <f>IF(AND(B2564='111'!$L$11,OR($N2564=$Q$7,$O2564=$Q$7)),"x","")</f>
        <v/>
      </c>
      <c r="R2564" s="79" t="str">
        <f>IF(AND($N2564=$Q$7,$B2564&lt;'111'!$L$11),"x","")</f>
        <v/>
      </c>
      <c r="S2564" s="79" t="str">
        <f>IF(AND($O2564=$Q$7,$B2564&lt;'111'!$L$11),"x","")</f>
        <v/>
      </c>
      <c r="T2564" s="79" t="str">
        <f>IF(ISERROR(FIND('112'!$M$9,G2564,1)),"",IF((AND(FIND('112'!$M$9,G2564,1)&gt;=1,B2564='112'!$K$9,OR($N2564='112'!$I$6,$O2564='112'!$I$6))),"x",""))</f>
        <v/>
      </c>
      <c r="U2564" s="79" t="str">
        <f>IF(ISERROR(FIND('112'!$M$9,G2564,1)),"",IF((AND(LEFT(G2564,2)=LEFT('112'!$M$9,2),B2564&lt;'112'!$K$9,$N2564='112'!$I$6)),"x",""))</f>
        <v/>
      </c>
      <c r="V2564" s="79" t="str">
        <f>IF(ISERROR(FIND('112'!$M$9,G2564,1)),"",IF((AND(RIGHT(G2564,2)=RIGHT('112'!$M$9,2),B2564&lt;'112'!$K$9,$O2564='112'!$I$6)),"x",""))</f>
        <v/>
      </c>
      <c r="W2564" s="79" t="str">
        <f>IF(AND('341-CT'!$H$9=H2564,OR(LEFT(N2564,3)=$W$7,LEFT(O2564,3)=$W$7)),"x","")</f>
        <v/>
      </c>
      <c r="X2564" s="79" t="str">
        <f>IF(OR(TH!N2564=TH!$X$7,O2564=TH!$X$7),"x","")</f>
        <v/>
      </c>
      <c r="Y2564" s="79" t="str">
        <f>IF(AND(OR(N2564="131",O2564="131"),H2564='131-CT'!$H$9),"x","")</f>
        <v/>
      </c>
      <c r="Z2564" s="79"/>
      <c r="AA2564" s="79" t="str">
        <f>IF(AND(MONTH(E2564)='IN-NX'!$J$5,'IN-NX'!$D$7=D2564),"x","")</f>
        <v/>
      </c>
      <c r="AB2564" s="79" t="str">
        <f>IF(AND(OR(LEFT(TH!N2564,2)="15",LEFT(TH!O2564,2)="15"),LEFT(TH!O2564,3)&lt;&gt;"111",'152-CT'!$J$8=TH!F2564),"x","")</f>
        <v/>
      </c>
      <c r="AC2564" s="79" t="str">
        <f>IF(AND(OR(LEFT(TH!N2564,2)="15",LEFT(TH!O2564,2)="15"),TK!$E$7=TH!F2564),"x","")</f>
        <v/>
      </c>
      <c r="AD2564" s="79" t="str">
        <f>IF(AND(N2564="1521",MONTH(C2564)='BK-NL'!$M$11),"x","")</f>
        <v/>
      </c>
    </row>
    <row r="2565" spans="1:30" ht="16.5" customHeight="1">
      <c r="A2565" s="318" t="str">
        <f>IF(B2565&lt;&gt;"",IF(AND(B2565='IN-TC'!$S$4,OR(TH!N2565="1111",TH!O2565="1111")),TH!D2565,""),"")</f>
        <v/>
      </c>
      <c r="B2565" s="60" t="str">
        <f t="shared" si="244"/>
        <v/>
      </c>
      <c r="C2565" s="301"/>
      <c r="D2565" s="301"/>
      <c r="E2565" s="301"/>
      <c r="F2565" s="1261"/>
      <c r="G2565" s="968"/>
      <c r="H2565" s="321"/>
      <c r="I2565" s="385"/>
      <c r="J2565" s="969"/>
      <c r="K2565" s="385"/>
      <c r="L2565" s="392"/>
      <c r="M2565" s="970"/>
      <c r="N2565" s="304"/>
      <c r="O2565" s="304"/>
      <c r="P2565" s="79" t="str">
        <f>IF(AND('331-CT'!$E$7=TH!H2565,OR(N2565="331",O2565="331")),"x","")</f>
        <v/>
      </c>
      <c r="Q2565" s="79" t="str">
        <f>IF(AND(B2565='111'!$L$11,OR($N2565=$Q$7,$O2565=$Q$7)),"x","")</f>
        <v/>
      </c>
      <c r="R2565" s="79" t="str">
        <f>IF(AND($N2565=$Q$7,$B2565&lt;'111'!$L$11),"x","")</f>
        <v/>
      </c>
      <c r="S2565" s="79" t="str">
        <f>IF(AND($O2565=$Q$7,$B2565&lt;'111'!$L$11),"x","")</f>
        <v/>
      </c>
      <c r="T2565" s="79" t="str">
        <f>IF(ISERROR(FIND('112'!$M$9,G2565,1)),"",IF((AND(FIND('112'!$M$9,G2565,1)&gt;=1,B2565='112'!$K$9,OR($N2565='112'!$I$6,$O2565='112'!$I$6))),"x",""))</f>
        <v/>
      </c>
      <c r="U2565" s="79" t="str">
        <f>IF(ISERROR(FIND('112'!$M$9,G2565,1)),"",IF((AND(LEFT(G2565,2)=LEFT('112'!$M$9,2),B2565&lt;'112'!$K$9,$N2565='112'!$I$6)),"x",""))</f>
        <v/>
      </c>
      <c r="V2565" s="79" t="str">
        <f>IF(ISERROR(FIND('112'!$M$9,G2565,1)),"",IF((AND(RIGHT(G2565,2)=RIGHT('112'!$M$9,2),B2565&lt;'112'!$K$9,$O2565='112'!$I$6)),"x",""))</f>
        <v/>
      </c>
      <c r="W2565" s="79" t="str">
        <f>IF(AND('341-CT'!$H$9=H2565,OR(LEFT(N2565,3)=$W$7,LEFT(O2565,3)=$W$7)),"x","")</f>
        <v/>
      </c>
      <c r="X2565" s="79" t="str">
        <f>IF(OR(TH!N2565=TH!$X$7,O2565=TH!$X$7),"x","")</f>
        <v/>
      </c>
      <c r="Y2565" s="79" t="str">
        <f>IF(AND(OR(N2565="131",O2565="131"),H2565='131-CT'!$H$9),"x","")</f>
        <v/>
      </c>
      <c r="Z2565" s="79"/>
      <c r="AA2565" s="79" t="str">
        <f>IF(AND(MONTH(E2565)='IN-NX'!$J$5,'IN-NX'!$D$7=D2565),"x","")</f>
        <v/>
      </c>
      <c r="AB2565" s="79" t="str">
        <f>IF(AND(OR(LEFT(TH!N2565,2)="15",LEFT(TH!O2565,2)="15"),LEFT(TH!O2565,3)&lt;&gt;"111",'152-CT'!$J$8=TH!F2565),"x","")</f>
        <v/>
      </c>
      <c r="AC2565" s="79" t="str">
        <f>IF(AND(OR(LEFT(TH!N2565,2)="15",LEFT(TH!O2565,2)="15"),TK!$E$7=TH!F2565),"x","")</f>
        <v/>
      </c>
      <c r="AD2565" s="79" t="str">
        <f>IF(AND(N2565="1521",MONTH(C2565)='BK-NL'!$M$11),"x","")</f>
        <v/>
      </c>
    </row>
    <row r="2566" spans="1:30" ht="16.5" customHeight="1">
      <c r="A2566" s="318" t="str">
        <f>IF(B2566&lt;&gt;"",IF(AND(B2566='IN-TC'!$S$4,OR(TH!N2566="1111",TH!O2566="1111")),TH!D2566,""),"")</f>
        <v/>
      </c>
      <c r="B2566" s="60" t="str">
        <f t="shared" ref="B2566:B2670" si="250">IF(C2566&lt;&gt;"",MONTH(C2566),"")</f>
        <v/>
      </c>
      <c r="C2566" s="301"/>
      <c r="D2566" s="301"/>
      <c r="E2566" s="301"/>
      <c r="F2566" s="1261"/>
      <c r="G2566" s="968"/>
      <c r="H2566" s="321"/>
      <c r="I2566" s="385"/>
      <c r="J2566" s="969"/>
      <c r="K2566" s="385"/>
      <c r="L2566" s="392"/>
      <c r="M2566" s="970"/>
      <c r="N2566" s="304"/>
      <c r="O2566" s="304"/>
      <c r="P2566" s="79" t="str">
        <f>IF(AND('331-CT'!$E$7=TH!H2566,OR(N2566="331",O2566="331")),"x","")</f>
        <v/>
      </c>
      <c r="Q2566" s="79" t="str">
        <f>IF(AND(B2566='111'!$L$11,OR($N2566=$Q$7,$O2566=$Q$7)),"x","")</f>
        <v/>
      </c>
      <c r="R2566" s="79" t="str">
        <f>IF(AND($N2566=$Q$7,$B2566&lt;'111'!$L$11),"x","")</f>
        <v/>
      </c>
      <c r="S2566" s="79" t="str">
        <f>IF(AND($O2566=$Q$7,$B2566&lt;'111'!$L$11),"x","")</f>
        <v/>
      </c>
      <c r="T2566" s="79" t="str">
        <f>IF(ISERROR(FIND('112'!$M$9,G2566,1)),"",IF((AND(FIND('112'!$M$9,G2566,1)&gt;=1,B2566='112'!$K$9,OR($N2566='112'!$I$6,$O2566='112'!$I$6))),"x",""))</f>
        <v/>
      </c>
      <c r="U2566" s="79" t="str">
        <f>IF(ISERROR(FIND('112'!$M$9,G2566,1)),"",IF((AND(LEFT(G2566,2)=LEFT('112'!$M$9,2),B2566&lt;'112'!$K$9,$N2566='112'!$I$6)),"x",""))</f>
        <v/>
      </c>
      <c r="V2566" s="79" t="str">
        <f>IF(ISERROR(FIND('112'!$M$9,G2566,1)),"",IF((AND(RIGHT(G2566,2)=RIGHT('112'!$M$9,2),B2566&lt;'112'!$K$9,$O2566='112'!$I$6)),"x",""))</f>
        <v/>
      </c>
      <c r="W2566" s="79" t="str">
        <f>IF(AND('341-CT'!$H$9=H2566,OR(LEFT(N2566,3)=$W$7,LEFT(O2566,3)=$W$7)),"x","")</f>
        <v/>
      </c>
      <c r="X2566" s="79" t="str">
        <f>IF(OR(TH!N2566=TH!$X$7,O2566=TH!$X$7),"x","")</f>
        <v/>
      </c>
      <c r="Y2566" s="79" t="str">
        <f>IF(AND(OR(N2566="131",O2566="131"),H2566='131-CT'!$H$9),"x","")</f>
        <v/>
      </c>
      <c r="Z2566" s="79"/>
      <c r="AA2566" s="79" t="str">
        <f>IF(AND(MONTH(E2566)='IN-NX'!$J$5,'IN-NX'!$D$7=D2566),"x","")</f>
        <v/>
      </c>
      <c r="AB2566" s="79" t="str">
        <f>IF(AND(OR(LEFT(TH!N2566,2)="15",LEFT(TH!O2566,2)="15"),LEFT(TH!O2566,3)&lt;&gt;"111",'152-CT'!$J$8=TH!F2566),"x","")</f>
        <v/>
      </c>
      <c r="AC2566" s="79" t="str">
        <f>IF(AND(OR(LEFT(TH!N2566,2)="15",LEFT(TH!O2566,2)="15"),TK!$E$7=TH!F2566),"x","")</f>
        <v/>
      </c>
      <c r="AD2566" s="79" t="str">
        <f>IF(AND(N2566="1521",MONTH(C2566)='BK-NL'!$M$11),"x","")</f>
        <v/>
      </c>
    </row>
    <row r="2567" spans="1:30" ht="16.5" customHeight="1">
      <c r="A2567" s="318" t="str">
        <f>IF(B2567&lt;&gt;"",IF(AND(B2567='IN-TC'!$S$4,OR(TH!N2567="1111",TH!O2567="1111")),TH!D2567,""),"")</f>
        <v/>
      </c>
      <c r="B2567" s="60" t="str">
        <f t="shared" si="250"/>
        <v/>
      </c>
      <c r="C2567" s="301"/>
      <c r="D2567" s="301"/>
      <c r="E2567" s="301"/>
      <c r="F2567" s="1162"/>
      <c r="G2567" s="968"/>
      <c r="H2567" s="303"/>
      <c r="I2567" s="385"/>
      <c r="J2567" s="969"/>
      <c r="K2567" s="385"/>
      <c r="L2567" s="392"/>
      <c r="M2567" s="970"/>
      <c r="N2567" s="304"/>
      <c r="O2567" s="304"/>
      <c r="P2567" s="79" t="str">
        <f>IF(AND('331-CT'!$E$7=TH!H2567,OR(N2567="331",O2567="331")),"x","")</f>
        <v/>
      </c>
      <c r="Q2567" s="79" t="str">
        <f>IF(AND(B2567='111'!$L$11,OR($N2567=$Q$7,$O2567=$Q$7)),"x","")</f>
        <v/>
      </c>
      <c r="R2567" s="79" t="str">
        <f>IF(AND($N2567=$Q$7,$B2567&lt;'111'!$L$11),"x","")</f>
        <v/>
      </c>
      <c r="S2567" s="79" t="str">
        <f>IF(AND($O2567=$Q$7,$B2567&lt;'111'!$L$11),"x","")</f>
        <v/>
      </c>
      <c r="T2567" s="79" t="str">
        <f>IF(ISERROR(FIND('112'!$M$9,G2567,1)),"",IF((AND(FIND('112'!$M$9,G2567,1)&gt;=1,B2567='112'!$K$9,OR($N2567='112'!$I$6,$O2567='112'!$I$6))),"x",""))</f>
        <v/>
      </c>
      <c r="U2567" s="79" t="str">
        <f>IF(ISERROR(FIND('112'!$M$9,G2567,1)),"",IF((AND(LEFT(G2567,2)=LEFT('112'!$M$9,2),B2567&lt;'112'!$K$9,$N2567='112'!$I$6)),"x",""))</f>
        <v/>
      </c>
      <c r="V2567" s="79" t="str">
        <f>IF(ISERROR(FIND('112'!$M$9,G2567,1)),"",IF((AND(RIGHT(G2567,2)=RIGHT('112'!$M$9,2),B2567&lt;'112'!$K$9,$O2567='112'!$I$6)),"x",""))</f>
        <v/>
      </c>
      <c r="W2567" s="79" t="str">
        <f>IF(AND('341-CT'!$H$9=H2567,OR(LEFT(N2567,3)=$W$7,LEFT(O2567,3)=$W$7)),"x","")</f>
        <v/>
      </c>
      <c r="X2567" s="79" t="str">
        <f>IF(OR(TH!N2567=TH!$X$7,O2567=TH!$X$7),"x","")</f>
        <v/>
      </c>
      <c r="Y2567" s="79" t="str">
        <f>IF(AND(OR(N2567="131",O2567="131"),H2567='131-CT'!$H$9),"x","")</f>
        <v/>
      </c>
      <c r="Z2567" s="79"/>
      <c r="AA2567" s="79" t="str">
        <f>IF(AND(MONTH(E2567)='IN-NX'!$J$5,'IN-NX'!$D$7=D2567),"x","")</f>
        <v/>
      </c>
      <c r="AB2567" s="79" t="str">
        <f>IF(AND(OR(LEFT(TH!N2567,2)="15",LEFT(TH!O2567,2)="15"),LEFT(TH!O2567,3)&lt;&gt;"111",'152-CT'!$J$8=TH!F2567),"x","")</f>
        <v/>
      </c>
      <c r="AC2567" s="79" t="str">
        <f>IF(AND(OR(LEFT(TH!N2567,2)="15",LEFT(TH!O2567,2)="15"),TK!$E$7=TH!F2567),"x","")</f>
        <v/>
      </c>
      <c r="AD2567" s="79" t="str">
        <f>IF(AND(N2567="1521",MONTH(C2567)='BK-NL'!$M$11),"x","")</f>
        <v/>
      </c>
    </row>
    <row r="2568" spans="1:30" ht="16.5" customHeight="1">
      <c r="A2568" s="318" t="str">
        <f>IF(B2568&lt;&gt;"",IF(AND(B2568='IN-TC'!$S$4,OR(TH!N2568="1111",TH!O2568="1111")),TH!D2568,""),"")</f>
        <v/>
      </c>
      <c r="B2568" s="60" t="str">
        <f t="shared" si="250"/>
        <v/>
      </c>
      <c r="C2568" s="301"/>
      <c r="D2568" s="301"/>
      <c r="E2568" s="301"/>
      <c r="F2568" s="302"/>
      <c r="G2568" s="968"/>
      <c r="H2568" s="303"/>
      <c r="I2568" s="385"/>
      <c r="J2568" s="969"/>
      <c r="K2568" s="385"/>
      <c r="L2568" s="392"/>
      <c r="M2568" s="970"/>
      <c r="N2568" s="304"/>
      <c r="O2568" s="304"/>
      <c r="P2568" s="79" t="str">
        <f>IF(AND('331-CT'!$E$7=TH!H2568,OR(N2568="331",O2568="331")),"x","")</f>
        <v/>
      </c>
      <c r="Q2568" s="79" t="str">
        <f>IF(AND(B2568='111'!$L$11,OR($N2568=$Q$7,$O2568=$Q$7)),"x","")</f>
        <v/>
      </c>
      <c r="R2568" s="79" t="str">
        <f>IF(AND($N2568=$Q$7,$B2568&lt;'111'!$L$11),"x","")</f>
        <v/>
      </c>
      <c r="S2568" s="79" t="str">
        <f>IF(AND($O2568=$Q$7,$B2568&lt;'111'!$L$11),"x","")</f>
        <v/>
      </c>
      <c r="T2568" s="79" t="str">
        <f>IF(ISERROR(FIND('112'!$M$9,G2568,1)),"",IF((AND(FIND('112'!$M$9,G2568,1)&gt;=1,B2568='112'!$K$9,OR($N2568='112'!$I$6,$O2568='112'!$I$6))),"x",""))</f>
        <v/>
      </c>
      <c r="U2568" s="79" t="str">
        <f>IF(ISERROR(FIND('112'!$M$9,G2568,1)),"",IF((AND(LEFT(G2568,2)=LEFT('112'!$M$9,2),B2568&lt;'112'!$K$9,$N2568='112'!$I$6)),"x",""))</f>
        <v/>
      </c>
      <c r="V2568" s="79" t="str">
        <f>IF(ISERROR(FIND('112'!$M$9,G2568,1)),"",IF((AND(RIGHT(G2568,2)=RIGHT('112'!$M$9,2),B2568&lt;'112'!$K$9,$O2568='112'!$I$6)),"x",""))</f>
        <v/>
      </c>
      <c r="W2568" s="79" t="str">
        <f>IF(AND('341-CT'!$H$9=H2568,OR(LEFT(N2568,3)=$W$7,LEFT(O2568,3)=$W$7)),"x","")</f>
        <v/>
      </c>
      <c r="X2568" s="79" t="str">
        <f>IF(OR(TH!N2568=TH!$X$7,O2568=TH!$X$7),"x","")</f>
        <v/>
      </c>
      <c r="Y2568" s="79" t="str">
        <f>IF(AND(OR(N2568="131",O2568="131"),H2568='131-CT'!$H$9),"x","")</f>
        <v/>
      </c>
      <c r="Z2568" s="79"/>
      <c r="AA2568" s="79" t="str">
        <f>IF(AND(MONTH(E2568)='IN-NX'!$J$5,'IN-NX'!$D$7=D2568),"x","")</f>
        <v/>
      </c>
      <c r="AB2568" s="79" t="str">
        <f>IF(AND(OR(LEFT(TH!N2568,2)="15",LEFT(TH!O2568,2)="15"),LEFT(TH!O2568,3)&lt;&gt;"111",'152-CT'!$J$8=TH!F2568),"x","")</f>
        <v/>
      </c>
      <c r="AC2568" s="79" t="str">
        <f>IF(AND(OR(LEFT(TH!N2568,2)="15",LEFT(TH!O2568,2)="15"),TK!$E$7=TH!F2568),"x","")</f>
        <v/>
      </c>
      <c r="AD2568" s="79" t="str">
        <f>IF(AND(N2568="1521",MONTH(C2568)='BK-NL'!$M$11),"x","")</f>
        <v/>
      </c>
    </row>
    <row r="2569" spans="1:30" ht="16.5" customHeight="1">
      <c r="A2569" s="318" t="str">
        <f>IF(B2569&lt;&gt;"",IF(AND(B2569='IN-TC'!$S$4,OR(TH!N2569="1111",TH!O2569="1111")),TH!D2569,""),"")</f>
        <v/>
      </c>
      <c r="B2569" s="60" t="str">
        <f t="shared" si="250"/>
        <v/>
      </c>
      <c r="C2569" s="301"/>
      <c r="D2569" s="301"/>
      <c r="E2569" s="301"/>
      <c r="F2569" s="302"/>
      <c r="G2569" s="968"/>
      <c r="H2569" s="303"/>
      <c r="I2569" s="385"/>
      <c r="J2569" s="969"/>
      <c r="K2569" s="385"/>
      <c r="L2569" s="392"/>
      <c r="M2569" s="970"/>
      <c r="N2569" s="304"/>
      <c r="O2569" s="304"/>
      <c r="P2569" s="79" t="str">
        <f>IF(AND('331-CT'!$E$7=TH!H2569,OR(N2569="331",O2569="331")),"x","")</f>
        <v/>
      </c>
      <c r="Q2569" s="79" t="str">
        <f>IF(AND(B2569='111'!$L$11,OR($N2569=$Q$7,$O2569=$Q$7)),"x","")</f>
        <v/>
      </c>
      <c r="R2569" s="79" t="str">
        <f>IF(AND($N2569=$Q$7,$B2569&lt;'111'!$L$11),"x","")</f>
        <v/>
      </c>
      <c r="S2569" s="79" t="str">
        <f>IF(AND($O2569=$Q$7,$B2569&lt;'111'!$L$11),"x","")</f>
        <v/>
      </c>
      <c r="T2569" s="79" t="str">
        <f>IF(ISERROR(FIND('112'!$M$9,G2569,1)),"",IF((AND(FIND('112'!$M$9,G2569,1)&gt;=1,B2569='112'!$K$9,OR($N2569='112'!$I$6,$O2569='112'!$I$6))),"x",""))</f>
        <v/>
      </c>
      <c r="U2569" s="79" t="str">
        <f>IF(ISERROR(FIND('112'!$M$9,G2569,1)),"",IF((AND(LEFT(G2569,2)=LEFT('112'!$M$9,2),B2569&lt;'112'!$K$9,$N2569='112'!$I$6)),"x",""))</f>
        <v/>
      </c>
      <c r="V2569" s="79" t="str">
        <f>IF(ISERROR(FIND('112'!$M$9,G2569,1)),"",IF((AND(RIGHT(G2569,2)=RIGHT('112'!$M$9,2),B2569&lt;'112'!$K$9,$O2569='112'!$I$6)),"x",""))</f>
        <v/>
      </c>
      <c r="W2569" s="79" t="str">
        <f>IF(AND('341-CT'!$H$9=H2569,OR(LEFT(N2569,3)=$W$7,LEFT(O2569,3)=$W$7)),"x","")</f>
        <v/>
      </c>
      <c r="X2569" s="79" t="str">
        <f>IF(OR(TH!N2569=TH!$X$7,O2569=TH!$X$7),"x","")</f>
        <v/>
      </c>
      <c r="Y2569" s="79" t="str">
        <f>IF(AND(OR(N2569="131",O2569="131"),H2569='131-CT'!$H$9),"x","")</f>
        <v/>
      </c>
      <c r="Z2569" s="79"/>
      <c r="AA2569" s="79" t="str">
        <f>IF(AND(MONTH(E2569)='IN-NX'!$J$5,'IN-NX'!$D$7=D2569),"x","")</f>
        <v/>
      </c>
      <c r="AB2569" s="79" t="str">
        <f>IF(AND(OR(LEFT(TH!N2569,2)="15",LEFT(TH!O2569,2)="15"),LEFT(TH!O2569,3)&lt;&gt;"111",'152-CT'!$J$8=TH!F2569),"x","")</f>
        <v/>
      </c>
      <c r="AC2569" s="79" t="str">
        <f>IF(AND(OR(LEFT(TH!N2569,2)="15",LEFT(TH!O2569,2)="15"),TK!$E$7=TH!F2569),"x","")</f>
        <v/>
      </c>
      <c r="AD2569" s="79" t="str">
        <f>IF(AND(N2569="1521",MONTH(C2569)='BK-NL'!$M$11),"x","")</f>
        <v/>
      </c>
    </row>
    <row r="2570" spans="1:30" ht="16.5" customHeight="1">
      <c r="A2570" s="318" t="str">
        <f>IF(B2570&lt;&gt;"",IF(AND(B2570='IN-TC'!$S$4,OR(TH!N2570="1111",TH!O2570="1111")),TH!D2570,""),"")</f>
        <v/>
      </c>
      <c r="B2570" s="60" t="str">
        <f t="shared" si="250"/>
        <v/>
      </c>
      <c r="C2570" s="301"/>
      <c r="D2570" s="301"/>
      <c r="E2570" s="301"/>
      <c r="F2570" s="302"/>
      <c r="G2570" s="968"/>
      <c r="H2570" s="303"/>
      <c r="I2570" s="385"/>
      <c r="J2570" s="969"/>
      <c r="K2570" s="385"/>
      <c r="L2570" s="392"/>
      <c r="M2570" s="970"/>
      <c r="N2570" s="304"/>
      <c r="O2570" s="304"/>
      <c r="P2570" s="79" t="str">
        <f>IF(AND('331-CT'!$E$7=TH!H2570,OR(N2570="331",O2570="331")),"x","")</f>
        <v/>
      </c>
      <c r="Q2570" s="79" t="str">
        <f>IF(AND(B2570='111'!$L$11,OR($N2570=$Q$7,$O2570=$Q$7)),"x","")</f>
        <v/>
      </c>
      <c r="R2570" s="79" t="str">
        <f>IF(AND($N2570=$Q$7,$B2570&lt;'111'!$L$11),"x","")</f>
        <v/>
      </c>
      <c r="S2570" s="79" t="str">
        <f>IF(AND($O2570=$Q$7,$B2570&lt;'111'!$L$11),"x","")</f>
        <v/>
      </c>
      <c r="T2570" s="79" t="str">
        <f>IF(ISERROR(FIND('112'!$M$9,G2570,1)),"",IF((AND(FIND('112'!$M$9,G2570,1)&gt;=1,B2570='112'!$K$9,OR($N2570='112'!$I$6,$O2570='112'!$I$6))),"x",""))</f>
        <v/>
      </c>
      <c r="U2570" s="79" t="str">
        <f>IF(ISERROR(FIND('112'!$M$9,G2570,1)),"",IF((AND(LEFT(G2570,2)=LEFT('112'!$M$9,2),B2570&lt;'112'!$K$9,$N2570='112'!$I$6)),"x",""))</f>
        <v/>
      </c>
      <c r="V2570" s="79" t="str">
        <f>IF(ISERROR(FIND('112'!$M$9,G2570,1)),"",IF((AND(RIGHT(G2570,2)=RIGHT('112'!$M$9,2),B2570&lt;'112'!$K$9,$O2570='112'!$I$6)),"x",""))</f>
        <v/>
      </c>
      <c r="W2570" s="79" t="str">
        <f>IF(AND('341-CT'!$H$9=H2570,OR(LEFT(N2570,3)=$W$7,LEFT(O2570,3)=$W$7)),"x","")</f>
        <v/>
      </c>
      <c r="X2570" s="79" t="str">
        <f>IF(OR(TH!N2570=TH!$X$7,O2570=TH!$X$7),"x","")</f>
        <v/>
      </c>
      <c r="Y2570" s="79" t="str">
        <f>IF(AND(OR(N2570="131",O2570="131"),H2570='131-CT'!$H$9),"x","")</f>
        <v/>
      </c>
      <c r="Z2570" s="79"/>
      <c r="AA2570" s="79" t="str">
        <f>IF(AND(MONTH(E2570)='IN-NX'!$J$5,'IN-NX'!$D$7=D2570),"x","")</f>
        <v/>
      </c>
      <c r="AB2570" s="79" t="str">
        <f>IF(AND(OR(LEFT(TH!N2570,2)="15",LEFT(TH!O2570,2)="15"),LEFT(TH!O2570,3)&lt;&gt;"111",'152-CT'!$J$8=TH!F2570),"x","")</f>
        <v/>
      </c>
      <c r="AC2570" s="79" t="str">
        <f>IF(AND(OR(LEFT(TH!N2570,2)="15",LEFT(TH!O2570,2)="15"),TK!$E$7=TH!F2570),"x","")</f>
        <v/>
      </c>
      <c r="AD2570" s="79" t="str">
        <f>IF(AND(N2570="1521",MONTH(C2570)='BK-NL'!$M$11),"x","")</f>
        <v/>
      </c>
    </row>
    <row r="2571" spans="1:30" ht="16.5" customHeight="1">
      <c r="A2571" s="318" t="str">
        <f>IF(B2571&lt;&gt;"",IF(AND(B2571='IN-TC'!$S$4,OR(TH!N2571="1111",TH!O2571="1111")),TH!D2571,""),"")</f>
        <v/>
      </c>
      <c r="B2571" s="60" t="str">
        <f t="shared" si="250"/>
        <v/>
      </c>
      <c r="C2571" s="301"/>
      <c r="D2571" s="301"/>
      <c r="E2571" s="301"/>
      <c r="F2571" s="302"/>
      <c r="G2571" s="968"/>
      <c r="H2571" s="303"/>
      <c r="I2571" s="385"/>
      <c r="J2571" s="969"/>
      <c r="K2571" s="385"/>
      <c r="L2571" s="392"/>
      <c r="M2571" s="970"/>
      <c r="N2571" s="304"/>
      <c r="O2571" s="304"/>
      <c r="P2571" s="79" t="str">
        <f>IF(AND('331-CT'!$E$7=TH!H2571,OR(N2571="331",O2571="331")),"x","")</f>
        <v/>
      </c>
      <c r="Q2571" s="79" t="str">
        <f>IF(AND(B2571='111'!$L$11,OR($N2571=$Q$7,$O2571=$Q$7)),"x","")</f>
        <v/>
      </c>
      <c r="R2571" s="79" t="str">
        <f>IF(AND($N2571=$Q$7,$B2571&lt;'111'!$L$11),"x","")</f>
        <v/>
      </c>
      <c r="S2571" s="79" t="str">
        <f>IF(AND($O2571=$Q$7,$B2571&lt;'111'!$L$11),"x","")</f>
        <v/>
      </c>
      <c r="T2571" s="79" t="str">
        <f>IF(ISERROR(FIND('112'!$M$9,G2571,1)),"",IF((AND(FIND('112'!$M$9,G2571,1)&gt;=1,B2571='112'!$K$9,OR($N2571='112'!$I$6,$O2571='112'!$I$6))),"x",""))</f>
        <v/>
      </c>
      <c r="U2571" s="79" t="str">
        <f>IF(ISERROR(FIND('112'!$M$9,G2571,1)),"",IF((AND(LEFT(G2571,2)=LEFT('112'!$M$9,2),B2571&lt;'112'!$K$9,$N2571='112'!$I$6)),"x",""))</f>
        <v/>
      </c>
      <c r="V2571" s="79" t="str">
        <f>IF(ISERROR(FIND('112'!$M$9,G2571,1)),"",IF((AND(RIGHT(G2571,2)=RIGHT('112'!$M$9,2),B2571&lt;'112'!$K$9,$O2571='112'!$I$6)),"x",""))</f>
        <v/>
      </c>
      <c r="W2571" s="79" t="str">
        <f>IF(AND('341-CT'!$H$9=H2571,OR(LEFT(N2571,3)=$W$7,LEFT(O2571,3)=$W$7)),"x","")</f>
        <v/>
      </c>
      <c r="X2571" s="79" t="str">
        <f>IF(OR(TH!N2571=TH!$X$7,O2571=TH!$X$7),"x","")</f>
        <v/>
      </c>
      <c r="Y2571" s="79" t="str">
        <f>IF(AND(OR(N2571="131",O2571="131"),H2571='131-CT'!$H$9),"x","")</f>
        <v/>
      </c>
      <c r="Z2571" s="79"/>
      <c r="AA2571" s="79" t="str">
        <f>IF(AND(MONTH(E2571)='IN-NX'!$J$5,'IN-NX'!$D$7=D2571),"x","")</f>
        <v/>
      </c>
      <c r="AB2571" s="79" t="str">
        <f>IF(AND(OR(LEFT(TH!N2571,2)="15",LEFT(TH!O2571,2)="15"),LEFT(TH!O2571,3)&lt;&gt;"111",'152-CT'!$J$8=TH!F2571),"x","")</f>
        <v/>
      </c>
      <c r="AC2571" s="79" t="str">
        <f>IF(AND(OR(LEFT(TH!N2571,2)="15",LEFT(TH!O2571,2)="15"),TK!$E$7=TH!F2571),"x","")</f>
        <v/>
      </c>
      <c r="AD2571" s="79" t="str">
        <f>IF(AND(N2571="1521",MONTH(C2571)='BK-NL'!$M$11),"x","")</f>
        <v/>
      </c>
    </row>
    <row r="2572" spans="1:30" ht="16.5" customHeight="1">
      <c r="A2572" s="318" t="str">
        <f>IF(B2572&lt;&gt;"",IF(AND(B2572='IN-TC'!$S$4,OR(TH!N2572="1111",TH!O2572="1111")),TH!D2572,""),"")</f>
        <v/>
      </c>
      <c r="B2572" s="60" t="str">
        <f t="shared" si="250"/>
        <v/>
      </c>
      <c r="C2572" s="301"/>
      <c r="D2572" s="301"/>
      <c r="E2572" s="301"/>
      <c r="F2572" s="302"/>
      <c r="G2572" s="968"/>
      <c r="H2572" s="303"/>
      <c r="I2572" s="385"/>
      <c r="J2572" s="969"/>
      <c r="K2572" s="385"/>
      <c r="L2572" s="392"/>
      <c r="M2572" s="970"/>
      <c r="N2572" s="304"/>
      <c r="O2572" s="304"/>
      <c r="P2572" s="79" t="str">
        <f>IF(AND('331-CT'!$E$7=TH!H2572,OR(N2572="331",O2572="331")),"x","")</f>
        <v/>
      </c>
      <c r="Q2572" s="79" t="str">
        <f>IF(AND(B2572='111'!$L$11,OR($N2572=$Q$7,$O2572=$Q$7)),"x","")</f>
        <v/>
      </c>
      <c r="R2572" s="79" t="str">
        <f>IF(AND($N2572=$Q$7,$B2572&lt;'111'!$L$11),"x","")</f>
        <v/>
      </c>
      <c r="S2572" s="79" t="str">
        <f>IF(AND($O2572=$Q$7,$B2572&lt;'111'!$L$11),"x","")</f>
        <v/>
      </c>
      <c r="T2572" s="79" t="str">
        <f>IF(ISERROR(FIND('112'!$M$9,G2572,1)),"",IF((AND(FIND('112'!$M$9,G2572,1)&gt;=1,B2572='112'!$K$9,OR($N2572='112'!$I$6,$O2572='112'!$I$6))),"x",""))</f>
        <v/>
      </c>
      <c r="U2572" s="79" t="str">
        <f>IF(ISERROR(FIND('112'!$M$9,G2572,1)),"",IF((AND(LEFT(G2572,2)=LEFT('112'!$M$9,2),B2572&lt;'112'!$K$9,$N2572='112'!$I$6)),"x",""))</f>
        <v/>
      </c>
      <c r="V2572" s="79" t="str">
        <f>IF(ISERROR(FIND('112'!$M$9,G2572,1)),"",IF((AND(RIGHT(G2572,2)=RIGHT('112'!$M$9,2),B2572&lt;'112'!$K$9,$O2572='112'!$I$6)),"x",""))</f>
        <v/>
      </c>
      <c r="W2572" s="79" t="str">
        <f>IF(AND('341-CT'!$H$9=H2572,OR(LEFT(N2572,3)=$W$7,LEFT(O2572,3)=$W$7)),"x","")</f>
        <v/>
      </c>
      <c r="X2572" s="79" t="str">
        <f>IF(OR(TH!N2572=TH!$X$7,O2572=TH!$X$7),"x","")</f>
        <v/>
      </c>
      <c r="Y2572" s="79" t="str">
        <f>IF(AND(OR(N2572="131",O2572="131"),H2572='131-CT'!$H$9),"x","")</f>
        <v/>
      </c>
      <c r="Z2572" s="79"/>
      <c r="AA2572" s="79" t="str">
        <f>IF(AND(MONTH(E2572)='IN-NX'!$J$5,'IN-NX'!$D$7=D2572),"x","")</f>
        <v/>
      </c>
      <c r="AB2572" s="79" t="str">
        <f>IF(AND(OR(LEFT(TH!N2572,2)="15",LEFT(TH!O2572,2)="15"),LEFT(TH!O2572,3)&lt;&gt;"111",'152-CT'!$J$8=TH!F2572),"x","")</f>
        <v/>
      </c>
      <c r="AC2572" s="79" t="str">
        <f>IF(AND(OR(LEFT(TH!N2572,2)="15",LEFT(TH!O2572,2)="15"),TK!$E$7=TH!F2572),"x","")</f>
        <v/>
      </c>
      <c r="AD2572" s="79" t="str">
        <f>IF(AND(N2572="1521",MONTH(C2572)='BK-NL'!$M$11),"x","")</f>
        <v/>
      </c>
    </row>
    <row r="2573" spans="1:30" ht="16.5" customHeight="1">
      <c r="A2573" s="318" t="str">
        <f>IF(B2573&lt;&gt;"",IF(AND(B2573='IN-TC'!$S$4,OR(TH!N2573="1111",TH!O2573="1111")),TH!D2573,""),"")</f>
        <v/>
      </c>
      <c r="B2573" s="60" t="str">
        <f t="shared" si="250"/>
        <v/>
      </c>
      <c r="C2573" s="301"/>
      <c r="D2573" s="301"/>
      <c r="E2573" s="301"/>
      <c r="F2573" s="302"/>
      <c r="G2573" s="968"/>
      <c r="H2573" s="303"/>
      <c r="I2573" s="385"/>
      <c r="J2573" s="969"/>
      <c r="K2573" s="385"/>
      <c r="L2573" s="392"/>
      <c r="M2573" s="970"/>
      <c r="N2573" s="304"/>
      <c r="O2573" s="304"/>
      <c r="P2573" s="79" t="str">
        <f>IF(AND('331-CT'!$E$7=TH!H2573,OR(N2573="331",O2573="331")),"x","")</f>
        <v/>
      </c>
      <c r="Q2573" s="79" t="str">
        <f>IF(AND(B2573='111'!$L$11,OR($N2573=$Q$7,$O2573=$Q$7)),"x","")</f>
        <v/>
      </c>
      <c r="R2573" s="79" t="str">
        <f>IF(AND($N2573=$Q$7,$B2573&lt;'111'!$L$11),"x","")</f>
        <v/>
      </c>
      <c r="S2573" s="79" t="str">
        <f>IF(AND($O2573=$Q$7,$B2573&lt;'111'!$L$11),"x","")</f>
        <v/>
      </c>
      <c r="T2573" s="79" t="str">
        <f>IF(ISERROR(FIND('112'!$M$9,G2573,1)),"",IF((AND(FIND('112'!$M$9,G2573,1)&gt;=1,B2573='112'!$K$9,OR($N2573='112'!$I$6,$O2573='112'!$I$6))),"x",""))</f>
        <v/>
      </c>
      <c r="U2573" s="79" t="str">
        <f>IF(ISERROR(FIND('112'!$M$9,G2573,1)),"",IF((AND(LEFT(G2573,2)=LEFT('112'!$M$9,2),B2573&lt;'112'!$K$9,$N2573='112'!$I$6)),"x",""))</f>
        <v/>
      </c>
      <c r="V2573" s="79" t="str">
        <f>IF(ISERROR(FIND('112'!$M$9,G2573,1)),"",IF((AND(RIGHT(G2573,2)=RIGHT('112'!$M$9,2),B2573&lt;'112'!$K$9,$O2573='112'!$I$6)),"x",""))</f>
        <v/>
      </c>
      <c r="W2573" s="79" t="str">
        <f>IF(AND('341-CT'!$H$9=H2573,OR(LEFT(N2573,3)=$W$7,LEFT(O2573,3)=$W$7)),"x","")</f>
        <v/>
      </c>
      <c r="X2573" s="79" t="str">
        <f>IF(OR(TH!N2573=TH!$X$7,O2573=TH!$X$7),"x","")</f>
        <v/>
      </c>
      <c r="Y2573" s="79" t="str">
        <f>IF(AND(OR(N2573="131",O2573="131"),H2573='131-CT'!$H$9),"x","")</f>
        <v/>
      </c>
      <c r="Z2573" s="79"/>
      <c r="AA2573" s="79" t="str">
        <f>IF(AND(MONTH(E2573)='IN-NX'!$J$5,'IN-NX'!$D$7=D2573),"x","")</f>
        <v/>
      </c>
      <c r="AB2573" s="79" t="str">
        <f>IF(AND(OR(LEFT(TH!N2573,2)="15",LEFT(TH!O2573,2)="15"),LEFT(TH!O2573,3)&lt;&gt;"111",'152-CT'!$J$8=TH!F2573),"x","")</f>
        <v/>
      </c>
      <c r="AC2573" s="79" t="str">
        <f>IF(AND(OR(LEFT(TH!N2573,2)="15",LEFT(TH!O2573,2)="15"),TK!$E$7=TH!F2573),"x","")</f>
        <v/>
      </c>
      <c r="AD2573" s="79" t="str">
        <f>IF(AND(N2573="1521",MONTH(C2573)='BK-NL'!$M$11),"x","")</f>
        <v/>
      </c>
    </row>
    <row r="2574" spans="1:30" ht="16.5" customHeight="1">
      <c r="A2574" s="318" t="str">
        <f>IF(B2574&lt;&gt;"",IF(AND(B2574='IN-TC'!$S$4,OR(TH!N2574="1111",TH!O2574="1111")),TH!D2574,""),"")</f>
        <v/>
      </c>
      <c r="B2574" s="60" t="str">
        <f t="shared" si="250"/>
        <v/>
      </c>
      <c r="C2574" s="301"/>
      <c r="D2574" s="301"/>
      <c r="E2574" s="301"/>
      <c r="F2574" s="302"/>
      <c r="G2574" s="968"/>
      <c r="H2574" s="303"/>
      <c r="I2574" s="385"/>
      <c r="J2574" s="969"/>
      <c r="K2574" s="385"/>
      <c r="L2574" s="392"/>
      <c r="M2574" s="970"/>
      <c r="N2574" s="304"/>
      <c r="O2574" s="304"/>
      <c r="P2574" s="79" t="str">
        <f>IF(AND('331-CT'!$E$7=TH!H2574,OR(N2574="331",O2574="331")),"x","")</f>
        <v/>
      </c>
      <c r="Q2574" s="79" t="str">
        <f>IF(AND(B2574='111'!$L$11,OR($N2574=$Q$7,$O2574=$Q$7)),"x","")</f>
        <v/>
      </c>
      <c r="R2574" s="79" t="str">
        <f>IF(AND($N2574=$Q$7,$B2574&lt;'111'!$L$11),"x","")</f>
        <v/>
      </c>
      <c r="S2574" s="79" t="str">
        <f>IF(AND($O2574=$Q$7,$B2574&lt;'111'!$L$11),"x","")</f>
        <v/>
      </c>
      <c r="T2574" s="79" t="str">
        <f>IF(ISERROR(FIND('112'!$M$9,G2574,1)),"",IF((AND(FIND('112'!$M$9,G2574,1)&gt;=1,B2574='112'!$K$9,OR($N2574='112'!$I$6,$O2574='112'!$I$6))),"x",""))</f>
        <v/>
      </c>
      <c r="U2574" s="79" t="str">
        <f>IF(ISERROR(FIND('112'!$M$9,G2574,1)),"",IF((AND(LEFT(G2574,2)=LEFT('112'!$M$9,2),B2574&lt;'112'!$K$9,$N2574='112'!$I$6)),"x",""))</f>
        <v/>
      </c>
      <c r="V2574" s="79" t="str">
        <f>IF(ISERROR(FIND('112'!$M$9,G2574,1)),"",IF((AND(RIGHT(G2574,2)=RIGHT('112'!$M$9,2),B2574&lt;'112'!$K$9,$O2574='112'!$I$6)),"x",""))</f>
        <v/>
      </c>
      <c r="W2574" s="79" t="str">
        <f>IF(AND('341-CT'!$H$9=H2574,OR(LEFT(N2574,3)=$W$7,LEFT(O2574,3)=$W$7)),"x","")</f>
        <v/>
      </c>
      <c r="X2574" s="79" t="str">
        <f>IF(OR(TH!N2574=TH!$X$7,O2574=TH!$X$7),"x","")</f>
        <v/>
      </c>
      <c r="Y2574" s="79" t="str">
        <f>IF(AND(OR(N2574="131",O2574="131"),H2574='131-CT'!$H$9),"x","")</f>
        <v/>
      </c>
      <c r="Z2574" s="79"/>
      <c r="AA2574" s="79" t="str">
        <f>IF(AND(MONTH(E2574)='IN-NX'!$J$5,'IN-NX'!$D$7=D2574),"x","")</f>
        <v/>
      </c>
      <c r="AB2574" s="79" t="str">
        <f>IF(AND(OR(LEFT(TH!N2574,2)="15",LEFT(TH!O2574,2)="15"),LEFT(TH!O2574,3)&lt;&gt;"111",'152-CT'!$J$8=TH!F2574),"x","")</f>
        <v/>
      </c>
      <c r="AC2574" s="79" t="str">
        <f>IF(AND(OR(LEFT(TH!N2574,2)="15",LEFT(TH!O2574,2)="15"),TK!$E$7=TH!F2574),"x","")</f>
        <v/>
      </c>
      <c r="AD2574" s="79" t="str">
        <f>IF(AND(N2574="1521",MONTH(C2574)='BK-NL'!$M$11),"x","")</f>
        <v/>
      </c>
    </row>
    <row r="2575" spans="1:30" ht="16.5" customHeight="1">
      <c r="A2575" s="318" t="str">
        <f>IF(B2575&lt;&gt;"",IF(AND(B2575='IN-TC'!$S$4,OR(TH!N2575="1111",TH!O2575="1111")),TH!D2575,""),"")</f>
        <v/>
      </c>
      <c r="B2575" s="60" t="str">
        <f t="shared" si="250"/>
        <v/>
      </c>
      <c r="C2575" s="301"/>
      <c r="D2575" s="301"/>
      <c r="E2575" s="301"/>
      <c r="F2575" s="302"/>
      <c r="G2575" s="968"/>
      <c r="H2575" s="303"/>
      <c r="I2575" s="385"/>
      <c r="J2575" s="969"/>
      <c r="K2575" s="385"/>
      <c r="L2575" s="392"/>
      <c r="M2575" s="970"/>
      <c r="N2575" s="304"/>
      <c r="O2575" s="304"/>
      <c r="P2575" s="79" t="str">
        <f>IF(AND('331-CT'!$E$7=TH!H2575,OR(N2575="331",O2575="331")),"x","")</f>
        <v/>
      </c>
      <c r="Q2575" s="79" t="str">
        <f>IF(AND(B2575='111'!$L$11,OR($N2575=$Q$7,$O2575=$Q$7)),"x","")</f>
        <v/>
      </c>
      <c r="R2575" s="79" t="str">
        <f>IF(AND($N2575=$Q$7,$B2575&lt;'111'!$L$11),"x","")</f>
        <v/>
      </c>
      <c r="S2575" s="79" t="str">
        <f>IF(AND($O2575=$Q$7,$B2575&lt;'111'!$L$11),"x","")</f>
        <v/>
      </c>
      <c r="T2575" s="79" t="str">
        <f>IF(ISERROR(FIND('112'!$M$9,G2575,1)),"",IF((AND(FIND('112'!$M$9,G2575,1)&gt;=1,B2575='112'!$K$9,OR($N2575='112'!$I$6,$O2575='112'!$I$6))),"x",""))</f>
        <v/>
      </c>
      <c r="U2575" s="79" t="str">
        <f>IF(ISERROR(FIND('112'!$M$9,G2575,1)),"",IF((AND(LEFT(G2575,2)=LEFT('112'!$M$9,2),B2575&lt;'112'!$K$9,$N2575='112'!$I$6)),"x",""))</f>
        <v/>
      </c>
      <c r="V2575" s="79" t="str">
        <f>IF(ISERROR(FIND('112'!$M$9,G2575,1)),"",IF((AND(RIGHT(G2575,2)=RIGHT('112'!$M$9,2),B2575&lt;'112'!$K$9,$O2575='112'!$I$6)),"x",""))</f>
        <v/>
      </c>
      <c r="W2575" s="79" t="str">
        <f>IF(AND('341-CT'!$H$9=H2575,OR(LEFT(N2575,3)=$W$7,LEFT(O2575,3)=$W$7)),"x","")</f>
        <v/>
      </c>
      <c r="X2575" s="79" t="str">
        <f>IF(OR(TH!N2575=TH!$X$7,O2575=TH!$X$7),"x","")</f>
        <v/>
      </c>
      <c r="Y2575" s="79" t="str">
        <f>IF(AND(OR(N2575="131",O2575="131"),H2575='131-CT'!$H$9),"x","")</f>
        <v/>
      </c>
      <c r="Z2575" s="79"/>
      <c r="AA2575" s="79" t="str">
        <f>IF(AND(MONTH(E2575)='IN-NX'!$J$5,'IN-NX'!$D$7=D2575),"x","")</f>
        <v/>
      </c>
      <c r="AB2575" s="79" t="str">
        <f>IF(AND(OR(LEFT(TH!N2575,2)="15",LEFT(TH!O2575,2)="15"),LEFT(TH!O2575,3)&lt;&gt;"111",'152-CT'!$J$8=TH!F2575),"x","")</f>
        <v/>
      </c>
      <c r="AC2575" s="79" t="str">
        <f>IF(AND(OR(LEFT(TH!N2575,2)="15",LEFT(TH!O2575,2)="15"),TK!$E$7=TH!F2575),"x","")</f>
        <v/>
      </c>
      <c r="AD2575" s="79" t="str">
        <f>IF(AND(N2575="1521",MONTH(C2575)='BK-NL'!$M$11),"x","")</f>
        <v/>
      </c>
    </row>
    <row r="2576" spans="1:30" ht="16.5" customHeight="1">
      <c r="A2576" s="318" t="str">
        <f>IF(B2576&lt;&gt;"",IF(AND(B2576='IN-TC'!$S$4,OR(TH!N2576="1111",TH!O2576="1111")),TH!D2576,""),"")</f>
        <v/>
      </c>
      <c r="B2576" s="60" t="str">
        <f t="shared" si="250"/>
        <v/>
      </c>
      <c r="C2576" s="301"/>
      <c r="D2576" s="301"/>
      <c r="E2576" s="301"/>
      <c r="F2576" s="302"/>
      <c r="G2576" s="968"/>
      <c r="H2576" s="303"/>
      <c r="I2576" s="385"/>
      <c r="J2576" s="969"/>
      <c r="K2576" s="385"/>
      <c r="L2576" s="392"/>
      <c r="M2576" s="970"/>
      <c r="N2576" s="304"/>
      <c r="O2576" s="304"/>
      <c r="P2576" s="79" t="str">
        <f>IF(AND('331-CT'!$E$7=TH!H2576,OR(N2576="331",O2576="331")),"x","")</f>
        <v/>
      </c>
      <c r="Q2576" s="79" t="str">
        <f>IF(AND(B2576='111'!$L$11,OR($N2576=$Q$7,$O2576=$Q$7)),"x","")</f>
        <v/>
      </c>
      <c r="R2576" s="79" t="str">
        <f>IF(AND($N2576=$Q$7,$B2576&lt;'111'!$L$11),"x","")</f>
        <v/>
      </c>
      <c r="S2576" s="79" t="str">
        <f>IF(AND($O2576=$Q$7,$B2576&lt;'111'!$L$11),"x","")</f>
        <v/>
      </c>
      <c r="T2576" s="79" t="str">
        <f>IF(ISERROR(FIND('112'!$M$9,G2576,1)),"",IF((AND(FIND('112'!$M$9,G2576,1)&gt;=1,B2576='112'!$K$9,OR($N2576='112'!$I$6,$O2576='112'!$I$6))),"x",""))</f>
        <v/>
      </c>
      <c r="U2576" s="79" t="str">
        <f>IF(ISERROR(FIND('112'!$M$9,G2576,1)),"",IF((AND(LEFT(G2576,2)=LEFT('112'!$M$9,2),B2576&lt;'112'!$K$9,$N2576='112'!$I$6)),"x",""))</f>
        <v/>
      </c>
      <c r="V2576" s="79" t="str">
        <f>IF(ISERROR(FIND('112'!$M$9,G2576,1)),"",IF((AND(RIGHT(G2576,2)=RIGHT('112'!$M$9,2),B2576&lt;'112'!$K$9,$O2576='112'!$I$6)),"x",""))</f>
        <v/>
      </c>
      <c r="W2576" s="79" t="str">
        <f>IF(AND('341-CT'!$H$9=H2576,OR(LEFT(N2576,3)=$W$7,LEFT(O2576,3)=$W$7)),"x","")</f>
        <v/>
      </c>
      <c r="X2576" s="79" t="str">
        <f>IF(OR(TH!N2576=TH!$X$7,O2576=TH!$X$7),"x","")</f>
        <v/>
      </c>
      <c r="Y2576" s="79" t="str">
        <f>IF(AND(OR(N2576="131",O2576="131"),H2576='131-CT'!$H$9),"x","")</f>
        <v/>
      </c>
      <c r="Z2576" s="79"/>
      <c r="AA2576" s="79" t="str">
        <f>IF(AND(MONTH(E2576)='IN-NX'!$J$5,'IN-NX'!$D$7=D2576),"x","")</f>
        <v/>
      </c>
      <c r="AB2576" s="79" t="str">
        <f>IF(AND(OR(LEFT(TH!N2576,2)="15",LEFT(TH!O2576,2)="15"),LEFT(TH!O2576,3)&lt;&gt;"111",'152-CT'!$J$8=TH!F2576),"x","")</f>
        <v/>
      </c>
      <c r="AC2576" s="79" t="str">
        <f>IF(AND(OR(LEFT(TH!N2576,2)="15",LEFT(TH!O2576,2)="15"),TK!$E$7=TH!F2576),"x","")</f>
        <v/>
      </c>
      <c r="AD2576" s="79" t="str">
        <f>IF(AND(N2576="1521",MONTH(C2576)='BK-NL'!$M$11),"x","")</f>
        <v/>
      </c>
    </row>
    <row r="2577" spans="1:30" ht="16.5" customHeight="1">
      <c r="A2577" s="318" t="str">
        <f>IF(B2577&lt;&gt;"",IF(AND(B2577='IN-TC'!$S$4,OR(TH!N2577="1111",TH!O2577="1111")),TH!D2577,""),"")</f>
        <v/>
      </c>
      <c r="B2577" s="60" t="str">
        <f t="shared" si="250"/>
        <v/>
      </c>
      <c r="C2577" s="301"/>
      <c r="D2577" s="301"/>
      <c r="E2577" s="301"/>
      <c r="F2577" s="302"/>
      <c r="G2577" s="968"/>
      <c r="H2577" s="303"/>
      <c r="I2577" s="385"/>
      <c r="J2577" s="969"/>
      <c r="K2577" s="385"/>
      <c r="L2577" s="392"/>
      <c r="M2577" s="970"/>
      <c r="N2577" s="304"/>
      <c r="O2577" s="304"/>
      <c r="P2577" s="79" t="str">
        <f>IF(AND('331-CT'!$E$7=TH!H2577,OR(N2577="331",O2577="331")),"x","")</f>
        <v/>
      </c>
      <c r="Q2577" s="79" t="str">
        <f>IF(AND(B2577='111'!$L$11,OR($N2577=$Q$7,$O2577=$Q$7)),"x","")</f>
        <v/>
      </c>
      <c r="R2577" s="79" t="str">
        <f>IF(AND($N2577=$Q$7,$B2577&lt;'111'!$L$11),"x","")</f>
        <v/>
      </c>
      <c r="S2577" s="79" t="str">
        <f>IF(AND($O2577=$Q$7,$B2577&lt;'111'!$L$11),"x","")</f>
        <v/>
      </c>
      <c r="T2577" s="79" t="str">
        <f>IF(ISERROR(FIND('112'!$M$9,G2577,1)),"",IF((AND(FIND('112'!$M$9,G2577,1)&gt;=1,B2577='112'!$K$9,OR($N2577='112'!$I$6,$O2577='112'!$I$6))),"x",""))</f>
        <v/>
      </c>
      <c r="U2577" s="79" t="str">
        <f>IF(ISERROR(FIND('112'!$M$9,G2577,1)),"",IF((AND(LEFT(G2577,2)=LEFT('112'!$M$9,2),B2577&lt;'112'!$K$9,$N2577='112'!$I$6)),"x",""))</f>
        <v/>
      </c>
      <c r="V2577" s="79" t="str">
        <f>IF(ISERROR(FIND('112'!$M$9,G2577,1)),"",IF((AND(RIGHT(G2577,2)=RIGHT('112'!$M$9,2),B2577&lt;'112'!$K$9,$O2577='112'!$I$6)),"x",""))</f>
        <v/>
      </c>
      <c r="W2577" s="79" t="str">
        <f>IF(AND('341-CT'!$H$9=H2577,OR(LEFT(N2577,3)=$W$7,LEFT(O2577,3)=$W$7)),"x","")</f>
        <v/>
      </c>
      <c r="X2577" s="79" t="str">
        <f>IF(OR(TH!N2577=TH!$X$7,O2577=TH!$X$7),"x","")</f>
        <v/>
      </c>
      <c r="Y2577" s="79" t="str">
        <f>IF(AND(OR(N2577="131",O2577="131"),H2577='131-CT'!$H$9),"x","")</f>
        <v/>
      </c>
      <c r="Z2577" s="79"/>
      <c r="AA2577" s="79" t="str">
        <f>IF(AND(MONTH(E2577)='IN-NX'!$J$5,'IN-NX'!$D$7=D2577),"x","")</f>
        <v/>
      </c>
      <c r="AB2577" s="79" t="str">
        <f>IF(AND(OR(LEFT(TH!N2577,2)="15",LEFT(TH!O2577,2)="15"),LEFT(TH!O2577,3)&lt;&gt;"111",'152-CT'!$J$8=TH!F2577),"x","")</f>
        <v/>
      </c>
      <c r="AC2577" s="79" t="str">
        <f>IF(AND(OR(LEFT(TH!N2577,2)="15",LEFT(TH!O2577,2)="15"),TK!$E$7=TH!F2577),"x","")</f>
        <v/>
      </c>
      <c r="AD2577" s="79" t="str">
        <f>IF(AND(N2577="1521",MONTH(C2577)='BK-NL'!$M$11),"x","")</f>
        <v/>
      </c>
    </row>
    <row r="2578" spans="1:30" ht="16.5" customHeight="1">
      <c r="A2578" s="318" t="str">
        <f>IF(B2578&lt;&gt;"",IF(AND(B2578='IN-TC'!$S$4,OR(TH!N2578="1111",TH!O2578="1111")),TH!D2578,""),"")</f>
        <v/>
      </c>
      <c r="B2578" s="60" t="str">
        <f t="shared" si="250"/>
        <v/>
      </c>
      <c r="C2578" s="301"/>
      <c r="D2578" s="301"/>
      <c r="E2578" s="301"/>
      <c r="F2578" s="302"/>
      <c r="G2578" s="968"/>
      <c r="H2578" s="303"/>
      <c r="I2578" s="385"/>
      <c r="J2578" s="969"/>
      <c r="K2578" s="385"/>
      <c r="L2578" s="392"/>
      <c r="M2578" s="970"/>
      <c r="N2578" s="304"/>
      <c r="O2578" s="304"/>
      <c r="P2578" s="79" t="str">
        <f>IF(AND('331-CT'!$E$7=TH!H2578,OR(N2578="331",O2578="331")),"x","")</f>
        <v/>
      </c>
      <c r="Q2578" s="79" t="str">
        <f>IF(AND(B2578='111'!$L$11,OR($N2578=$Q$7,$O2578=$Q$7)),"x","")</f>
        <v/>
      </c>
      <c r="R2578" s="79" t="str">
        <f>IF(AND($N2578=$Q$7,$B2578&lt;'111'!$L$11),"x","")</f>
        <v/>
      </c>
      <c r="S2578" s="79" t="str">
        <f>IF(AND($O2578=$Q$7,$B2578&lt;'111'!$L$11),"x","")</f>
        <v/>
      </c>
      <c r="T2578" s="79" t="str">
        <f>IF(ISERROR(FIND('112'!$M$9,G2578,1)),"",IF((AND(FIND('112'!$M$9,G2578,1)&gt;=1,B2578='112'!$K$9,OR($N2578='112'!$I$6,$O2578='112'!$I$6))),"x",""))</f>
        <v/>
      </c>
      <c r="U2578" s="79" t="str">
        <f>IF(ISERROR(FIND('112'!$M$9,G2578,1)),"",IF((AND(LEFT(G2578,2)=LEFT('112'!$M$9,2),B2578&lt;'112'!$K$9,$N2578='112'!$I$6)),"x",""))</f>
        <v/>
      </c>
      <c r="V2578" s="79" t="str">
        <f>IF(ISERROR(FIND('112'!$M$9,G2578,1)),"",IF((AND(RIGHT(G2578,2)=RIGHT('112'!$M$9,2),B2578&lt;'112'!$K$9,$O2578='112'!$I$6)),"x",""))</f>
        <v/>
      </c>
      <c r="W2578" s="79" t="str">
        <f>IF(AND('341-CT'!$H$9=H2578,OR(LEFT(N2578,3)=$W$7,LEFT(O2578,3)=$W$7)),"x","")</f>
        <v/>
      </c>
      <c r="X2578" s="79" t="str">
        <f>IF(OR(TH!N2578=TH!$X$7,O2578=TH!$X$7),"x","")</f>
        <v/>
      </c>
      <c r="Y2578" s="79" t="str">
        <f>IF(AND(OR(N2578="131",O2578="131"),H2578='131-CT'!$H$9),"x","")</f>
        <v/>
      </c>
      <c r="Z2578" s="79"/>
      <c r="AA2578" s="79" t="str">
        <f>IF(AND(MONTH(E2578)='IN-NX'!$J$5,'IN-NX'!$D$7=D2578),"x","")</f>
        <v/>
      </c>
      <c r="AB2578" s="79" t="str">
        <f>IF(AND(OR(LEFT(TH!N2578,2)="15",LEFT(TH!O2578,2)="15"),LEFT(TH!O2578,3)&lt;&gt;"111",'152-CT'!$J$8=TH!F2578),"x","")</f>
        <v/>
      </c>
      <c r="AC2578" s="79" t="str">
        <f>IF(AND(OR(LEFT(TH!N2578,2)="15",LEFT(TH!O2578,2)="15"),TK!$E$7=TH!F2578),"x","")</f>
        <v/>
      </c>
      <c r="AD2578" s="79" t="str">
        <f>IF(AND(N2578="1521",MONTH(C2578)='BK-NL'!$M$11),"x","")</f>
        <v/>
      </c>
    </row>
    <row r="2579" spans="1:30" ht="16.5" customHeight="1">
      <c r="A2579" s="318" t="str">
        <f>IF(B2579&lt;&gt;"",IF(AND(B2579='IN-TC'!$S$4,OR(TH!N2579="1111",TH!O2579="1111")),TH!D2579,""),"")</f>
        <v/>
      </c>
      <c r="B2579" s="60" t="str">
        <f t="shared" si="250"/>
        <v/>
      </c>
      <c r="C2579" s="301"/>
      <c r="D2579" s="301"/>
      <c r="E2579" s="301"/>
      <c r="F2579" s="302"/>
      <c r="G2579" s="968"/>
      <c r="H2579" s="303"/>
      <c r="I2579" s="385"/>
      <c r="J2579" s="969"/>
      <c r="K2579" s="385"/>
      <c r="L2579" s="392"/>
      <c r="M2579" s="970"/>
      <c r="N2579" s="304"/>
      <c r="O2579" s="304"/>
      <c r="P2579" s="79" t="str">
        <f>IF(AND('331-CT'!$E$7=TH!H2579,OR(N2579="331",O2579="331")),"x","")</f>
        <v/>
      </c>
      <c r="Q2579" s="79" t="str">
        <f>IF(AND(B2579='111'!$L$11,OR($N2579=$Q$7,$O2579=$Q$7)),"x","")</f>
        <v/>
      </c>
      <c r="R2579" s="79" t="str">
        <f>IF(AND($N2579=$Q$7,$B2579&lt;'111'!$L$11),"x","")</f>
        <v/>
      </c>
      <c r="S2579" s="79" t="str">
        <f>IF(AND($O2579=$Q$7,$B2579&lt;'111'!$L$11),"x","")</f>
        <v/>
      </c>
      <c r="T2579" s="79" t="str">
        <f>IF(ISERROR(FIND('112'!$M$9,G2579,1)),"",IF((AND(FIND('112'!$M$9,G2579,1)&gt;=1,B2579='112'!$K$9,OR($N2579='112'!$I$6,$O2579='112'!$I$6))),"x",""))</f>
        <v/>
      </c>
      <c r="U2579" s="79" t="str">
        <f>IF(ISERROR(FIND('112'!$M$9,G2579,1)),"",IF((AND(LEFT(G2579,2)=LEFT('112'!$M$9,2),B2579&lt;'112'!$K$9,$N2579='112'!$I$6)),"x",""))</f>
        <v/>
      </c>
      <c r="V2579" s="79" t="str">
        <f>IF(ISERROR(FIND('112'!$M$9,G2579,1)),"",IF((AND(RIGHT(G2579,2)=RIGHT('112'!$M$9,2),B2579&lt;'112'!$K$9,$O2579='112'!$I$6)),"x",""))</f>
        <v/>
      </c>
      <c r="W2579" s="79" t="str">
        <f>IF(AND('341-CT'!$H$9=H2579,OR(LEFT(N2579,3)=$W$7,LEFT(O2579,3)=$W$7)),"x","")</f>
        <v/>
      </c>
      <c r="X2579" s="79" t="str">
        <f>IF(OR(TH!N2579=TH!$X$7,O2579=TH!$X$7),"x","")</f>
        <v/>
      </c>
      <c r="Y2579" s="79" t="str">
        <f>IF(AND(OR(N2579="131",O2579="131"),H2579='131-CT'!$H$9),"x","")</f>
        <v/>
      </c>
      <c r="Z2579" s="79"/>
      <c r="AA2579" s="79" t="str">
        <f>IF(AND(MONTH(E2579)='IN-NX'!$J$5,'IN-NX'!$D$7=D2579),"x","")</f>
        <v/>
      </c>
      <c r="AB2579" s="79" t="str">
        <f>IF(AND(OR(LEFT(TH!N2579,2)="15",LEFT(TH!O2579,2)="15"),LEFT(TH!O2579,3)&lt;&gt;"111",'152-CT'!$J$8=TH!F2579),"x","")</f>
        <v/>
      </c>
      <c r="AC2579" s="79" t="str">
        <f>IF(AND(OR(LEFT(TH!N2579,2)="15",LEFT(TH!O2579,2)="15"),TK!$E$7=TH!F2579),"x","")</f>
        <v/>
      </c>
      <c r="AD2579" s="79" t="str">
        <f>IF(AND(N2579="1521",MONTH(C2579)='BK-NL'!$M$11),"x","")</f>
        <v/>
      </c>
    </row>
    <row r="2580" spans="1:30" ht="16.5" customHeight="1">
      <c r="A2580" s="318" t="str">
        <f>IF(B2580&lt;&gt;"",IF(AND(B2580='IN-TC'!$S$4,OR(TH!N2580="1111",TH!O2580="1111")),TH!D2580,""),"")</f>
        <v/>
      </c>
      <c r="B2580" s="60" t="str">
        <f t="shared" ref="B2580:B2581" si="251">IF(C2580&lt;&gt;"",MONTH(C2580),"")</f>
        <v/>
      </c>
      <c r="C2580" s="301"/>
      <c r="D2580" s="301"/>
      <c r="E2580" s="301"/>
      <c r="F2580" s="302"/>
      <c r="G2580" s="968"/>
      <c r="H2580" s="303"/>
      <c r="I2580" s="385"/>
      <c r="J2580" s="969"/>
      <c r="K2580" s="385"/>
      <c r="L2580" s="392"/>
      <c r="M2580" s="970"/>
      <c r="N2580" s="304"/>
      <c r="O2580" s="304"/>
      <c r="P2580" s="79" t="str">
        <f>IF(AND('331-CT'!$E$7=TH!H2580,OR(N2580="331",O2580="331")),"x","")</f>
        <v/>
      </c>
      <c r="Q2580" s="79" t="str">
        <f>IF(AND(B2580='111'!$L$11,OR($N2580=$Q$7,$O2580=$Q$7)),"x","")</f>
        <v/>
      </c>
      <c r="R2580" s="79" t="str">
        <f>IF(AND($N2580=$Q$7,$B2580&lt;'111'!$L$11),"x","")</f>
        <v/>
      </c>
      <c r="S2580" s="79" t="str">
        <f>IF(AND($O2580=$Q$7,$B2580&lt;'111'!$L$11),"x","")</f>
        <v/>
      </c>
      <c r="T2580" s="79" t="str">
        <f>IF(ISERROR(FIND('112'!$M$9,G2580,1)),"",IF((AND(FIND('112'!$M$9,G2580,1)&gt;=1,B2580='112'!$K$9,OR($N2580='112'!$I$6,$O2580='112'!$I$6))),"x",""))</f>
        <v/>
      </c>
      <c r="U2580" s="79" t="str">
        <f>IF(ISERROR(FIND('112'!$M$9,G2580,1)),"",IF((AND(LEFT(G2580,2)=LEFT('112'!$M$9,2),B2580&lt;'112'!$K$9,$N2580='112'!$I$6)),"x",""))</f>
        <v/>
      </c>
      <c r="V2580" s="79" t="str">
        <f>IF(ISERROR(FIND('112'!$M$9,G2580,1)),"",IF((AND(RIGHT(G2580,2)=RIGHT('112'!$M$9,2),B2580&lt;'112'!$K$9,$O2580='112'!$I$6)),"x",""))</f>
        <v/>
      </c>
      <c r="W2580" s="79" t="str">
        <f>IF(AND('341-CT'!$H$9=H2580,OR(LEFT(N2580,3)=$W$7,LEFT(O2580,3)=$W$7)),"x","")</f>
        <v/>
      </c>
      <c r="X2580" s="79" t="str">
        <f>IF(OR(TH!N2580=TH!$X$7,O2580=TH!$X$7),"x","")</f>
        <v/>
      </c>
      <c r="Y2580" s="79" t="str">
        <f>IF(AND(OR(N2580="131",O2580="131"),H2580='131-CT'!$H$9),"x","")</f>
        <v/>
      </c>
      <c r="Z2580" s="79"/>
      <c r="AA2580" s="79" t="str">
        <f>IF(AND(MONTH(E2580)='IN-NX'!$J$5,'IN-NX'!$D$7=D2580),"x","")</f>
        <v/>
      </c>
      <c r="AB2580" s="79" t="str">
        <f>IF(AND(OR(LEFT(TH!N2580,2)="15",LEFT(TH!O2580,2)="15"),LEFT(TH!O2580,3)&lt;&gt;"111",'152-CT'!$J$8=TH!F2580),"x","")</f>
        <v/>
      </c>
      <c r="AC2580" s="79" t="str">
        <f>IF(AND(OR(LEFT(TH!N2580,2)="15",LEFT(TH!O2580,2)="15"),TK!$E$7=TH!F2580),"x","")</f>
        <v/>
      </c>
      <c r="AD2580" s="79" t="str">
        <f>IF(AND(N2580="1521",MONTH(C2580)='BK-NL'!$M$11),"x","")</f>
        <v/>
      </c>
    </row>
    <row r="2581" spans="1:30" ht="16.5" customHeight="1">
      <c r="A2581" s="318" t="str">
        <f>IF(B2581&lt;&gt;"",IF(AND(B2581='IN-TC'!$S$4,OR(TH!N2581="1111",TH!O2581="1111")),TH!D2581,""),"")</f>
        <v/>
      </c>
      <c r="B2581" s="60" t="str">
        <f t="shared" si="251"/>
        <v/>
      </c>
      <c r="C2581" s="301"/>
      <c r="D2581" s="301"/>
      <c r="E2581" s="301"/>
      <c r="F2581" s="302"/>
      <c r="G2581" s="968"/>
      <c r="H2581" s="303"/>
      <c r="I2581" s="385"/>
      <c r="J2581" s="969"/>
      <c r="K2581" s="385"/>
      <c r="L2581" s="392"/>
      <c r="M2581" s="970"/>
      <c r="N2581" s="304"/>
      <c r="O2581" s="304"/>
      <c r="P2581" s="79" t="str">
        <f>IF(AND('331-CT'!$E$7=TH!H2581,OR(N2581="331",O2581="331")),"x","")</f>
        <v/>
      </c>
      <c r="Q2581" s="79" t="str">
        <f>IF(AND(B2581='111'!$L$11,OR($N2581=$Q$7,$O2581=$Q$7)),"x","")</f>
        <v/>
      </c>
      <c r="R2581" s="79" t="str">
        <f>IF(AND($N2581=$Q$7,$B2581&lt;'111'!$L$11),"x","")</f>
        <v/>
      </c>
      <c r="S2581" s="79" t="str">
        <f>IF(AND($O2581=$Q$7,$B2581&lt;'111'!$L$11),"x","")</f>
        <v/>
      </c>
      <c r="T2581" s="79" t="str">
        <f>IF(ISERROR(FIND('112'!$M$9,G2581,1)),"",IF((AND(FIND('112'!$M$9,G2581,1)&gt;=1,B2581='112'!$K$9,OR($N2581='112'!$I$6,$O2581='112'!$I$6))),"x",""))</f>
        <v/>
      </c>
      <c r="U2581" s="79" t="str">
        <f>IF(ISERROR(FIND('112'!$M$9,G2581,1)),"",IF((AND(LEFT(G2581,2)=LEFT('112'!$M$9,2),B2581&lt;'112'!$K$9,$N2581='112'!$I$6)),"x",""))</f>
        <v/>
      </c>
      <c r="V2581" s="79" t="str">
        <f>IF(ISERROR(FIND('112'!$M$9,G2581,1)),"",IF((AND(RIGHT(G2581,2)=RIGHT('112'!$M$9,2),B2581&lt;'112'!$K$9,$O2581='112'!$I$6)),"x",""))</f>
        <v/>
      </c>
      <c r="W2581" s="79" t="str">
        <f>IF(AND('341-CT'!$H$9=H2581,OR(LEFT(N2581,3)=$W$7,LEFT(O2581,3)=$W$7)),"x","")</f>
        <v/>
      </c>
      <c r="X2581" s="79" t="str">
        <f>IF(OR(TH!N2581=TH!$X$7,O2581=TH!$X$7),"x","")</f>
        <v/>
      </c>
      <c r="Y2581" s="79" t="str">
        <f>IF(AND(OR(N2581="131",O2581="131"),H2581='131-CT'!$H$9),"x","")</f>
        <v/>
      </c>
      <c r="Z2581" s="79"/>
      <c r="AA2581" s="79" t="str">
        <f>IF(AND(MONTH(E2581)='IN-NX'!$J$5,'IN-NX'!$D$7=D2581),"x","")</f>
        <v/>
      </c>
      <c r="AB2581" s="79" t="str">
        <f>IF(AND(OR(LEFT(TH!N2581,2)="15",LEFT(TH!O2581,2)="15"),LEFT(TH!O2581,3)&lt;&gt;"111",'152-CT'!$J$8=TH!F2581),"x","")</f>
        <v/>
      </c>
      <c r="AC2581" s="79" t="str">
        <f>IF(AND(OR(LEFT(TH!N2581,2)="15",LEFT(TH!O2581,2)="15"),TK!$E$7=TH!F2581),"x","")</f>
        <v/>
      </c>
      <c r="AD2581" s="79" t="str">
        <f>IF(AND(N2581="1521",MONTH(C2581)='BK-NL'!$M$11),"x","")</f>
        <v/>
      </c>
    </row>
    <row r="2582" spans="1:30" ht="16.5" customHeight="1">
      <c r="A2582" s="318" t="str">
        <f>IF(B2582&lt;&gt;"",IF(AND(B2582='IN-TC'!$S$4,OR(TH!N2582="1111",TH!O2582="1111")),TH!D2582,""),"")</f>
        <v/>
      </c>
      <c r="B2582" s="60" t="str">
        <f t="shared" si="250"/>
        <v/>
      </c>
      <c r="C2582" s="301"/>
      <c r="D2582" s="301"/>
      <c r="E2582" s="301"/>
      <c r="F2582" s="302"/>
      <c r="G2582" s="968"/>
      <c r="H2582" s="303"/>
      <c r="I2582" s="385"/>
      <c r="J2582" s="969"/>
      <c r="K2582" s="385"/>
      <c r="L2582" s="392"/>
      <c r="M2582" s="970"/>
      <c r="N2582" s="304"/>
      <c r="O2582" s="304"/>
      <c r="P2582" s="79" t="str">
        <f>IF(AND('331-CT'!$E$7=TH!H2582,OR(N2582="331",O2582="331")),"x","")</f>
        <v/>
      </c>
      <c r="Q2582" s="79" t="str">
        <f>IF(AND(B2582='111'!$L$11,OR($N2582=$Q$7,$O2582=$Q$7)),"x","")</f>
        <v/>
      </c>
      <c r="R2582" s="79" t="str">
        <f>IF(AND($N2582=$Q$7,$B2582&lt;'111'!$L$11),"x","")</f>
        <v/>
      </c>
      <c r="S2582" s="79" t="str">
        <f>IF(AND($O2582=$Q$7,$B2582&lt;'111'!$L$11),"x","")</f>
        <v/>
      </c>
      <c r="T2582" s="79" t="str">
        <f>IF(ISERROR(FIND('112'!$M$9,G2582,1)),"",IF((AND(FIND('112'!$M$9,G2582,1)&gt;=1,B2582='112'!$K$9,OR($N2582='112'!$I$6,$O2582='112'!$I$6))),"x",""))</f>
        <v/>
      </c>
      <c r="U2582" s="79" t="str">
        <f>IF(ISERROR(FIND('112'!$M$9,G2582,1)),"",IF((AND(LEFT(G2582,2)=LEFT('112'!$M$9,2),B2582&lt;'112'!$K$9,$N2582='112'!$I$6)),"x",""))</f>
        <v/>
      </c>
      <c r="V2582" s="79" t="str">
        <f>IF(ISERROR(FIND('112'!$M$9,G2582,1)),"",IF((AND(RIGHT(G2582,2)=RIGHT('112'!$M$9,2),B2582&lt;'112'!$K$9,$O2582='112'!$I$6)),"x",""))</f>
        <v/>
      </c>
      <c r="W2582" s="79" t="str">
        <f>IF(AND('341-CT'!$H$9=H2582,OR(LEFT(N2582,3)=$W$7,LEFT(O2582,3)=$W$7)),"x","")</f>
        <v/>
      </c>
      <c r="X2582" s="79" t="str">
        <f>IF(OR(TH!N2582=TH!$X$7,O2582=TH!$X$7),"x","")</f>
        <v/>
      </c>
      <c r="Y2582" s="79" t="str">
        <f>IF(AND(OR(N2582="131",O2582="131"),H2582='131-CT'!$H$9),"x","")</f>
        <v/>
      </c>
      <c r="Z2582" s="79"/>
      <c r="AA2582" s="79" t="str">
        <f>IF(AND(MONTH(E2582)='IN-NX'!$J$5,'IN-NX'!$D$7=D2582),"x","")</f>
        <v/>
      </c>
      <c r="AB2582" s="79" t="str">
        <f>IF(AND(OR(LEFT(TH!N2582,2)="15",LEFT(TH!O2582,2)="15"),LEFT(TH!O2582,3)&lt;&gt;"111",'152-CT'!$J$8=TH!F2582),"x","")</f>
        <v/>
      </c>
      <c r="AC2582" s="79" t="str">
        <f>IF(AND(OR(LEFT(TH!N2582,2)="15",LEFT(TH!O2582,2)="15"),TK!$E$7=TH!F2582),"x","")</f>
        <v/>
      </c>
      <c r="AD2582" s="79" t="str">
        <f>IF(AND(N2582="1521",MONTH(C2582)='BK-NL'!$M$11),"x","")</f>
        <v/>
      </c>
    </row>
    <row r="2583" spans="1:30" ht="16.5" customHeight="1">
      <c r="A2583" s="318" t="str">
        <f>IF(B2583&lt;&gt;"",IF(AND(B2583='IN-TC'!$S$4,OR(TH!N2583="1111",TH!O2583="1111")),TH!D2583,""),"")</f>
        <v/>
      </c>
      <c r="B2583" s="60" t="str">
        <f t="shared" si="250"/>
        <v/>
      </c>
      <c r="C2583" s="301"/>
      <c r="D2583" s="301"/>
      <c r="E2583" s="301"/>
      <c r="F2583" s="302"/>
      <c r="G2583" s="968"/>
      <c r="H2583" s="303"/>
      <c r="I2583" s="385"/>
      <c r="J2583" s="969"/>
      <c r="K2583" s="385"/>
      <c r="L2583" s="392"/>
      <c r="M2583" s="970"/>
      <c r="N2583" s="304"/>
      <c r="O2583" s="304"/>
      <c r="P2583" s="79" t="str">
        <f>IF(AND('331-CT'!$E$7=TH!H2583,OR(N2583="331",O2583="331")),"x","")</f>
        <v/>
      </c>
      <c r="Q2583" s="79" t="str">
        <f>IF(AND(B2583='111'!$L$11,OR($N2583=$Q$7,$O2583=$Q$7)),"x","")</f>
        <v/>
      </c>
      <c r="R2583" s="79" t="str">
        <f>IF(AND($N2583=$Q$7,$B2583&lt;'111'!$L$11),"x","")</f>
        <v/>
      </c>
      <c r="S2583" s="79" t="str">
        <f>IF(AND($O2583=$Q$7,$B2583&lt;'111'!$L$11),"x","")</f>
        <v/>
      </c>
      <c r="T2583" s="79" t="str">
        <f>IF(ISERROR(FIND('112'!$M$9,G2583,1)),"",IF((AND(FIND('112'!$M$9,G2583,1)&gt;=1,B2583='112'!$K$9,OR($N2583='112'!$I$6,$O2583='112'!$I$6))),"x",""))</f>
        <v/>
      </c>
      <c r="U2583" s="79" t="str">
        <f>IF(ISERROR(FIND('112'!$M$9,G2583,1)),"",IF((AND(LEFT(G2583,2)=LEFT('112'!$M$9,2),B2583&lt;'112'!$K$9,$N2583='112'!$I$6)),"x",""))</f>
        <v/>
      </c>
      <c r="V2583" s="79" t="str">
        <f>IF(ISERROR(FIND('112'!$M$9,G2583,1)),"",IF((AND(RIGHT(G2583,2)=RIGHT('112'!$M$9,2),B2583&lt;'112'!$K$9,$O2583='112'!$I$6)),"x",""))</f>
        <v/>
      </c>
      <c r="W2583" s="79" t="str">
        <f>IF(AND('341-CT'!$H$9=H2583,OR(LEFT(N2583,3)=$W$7,LEFT(O2583,3)=$W$7)),"x","")</f>
        <v/>
      </c>
      <c r="X2583" s="79" t="str">
        <f>IF(OR(TH!N2583=TH!$X$7,O2583=TH!$X$7),"x","")</f>
        <v/>
      </c>
      <c r="Y2583" s="79" t="str">
        <f>IF(AND(OR(N2583="131",O2583="131"),H2583='131-CT'!$H$9),"x","")</f>
        <v/>
      </c>
      <c r="Z2583" s="79"/>
      <c r="AA2583" s="79" t="str">
        <f>IF(AND(MONTH(E2583)='IN-NX'!$J$5,'IN-NX'!$D$7=D2583),"x","")</f>
        <v/>
      </c>
      <c r="AB2583" s="79" t="str">
        <f>IF(AND(OR(LEFT(TH!N2583,2)="15",LEFT(TH!O2583,2)="15"),LEFT(TH!O2583,3)&lt;&gt;"111",'152-CT'!$J$8=TH!F2583),"x","")</f>
        <v/>
      </c>
      <c r="AC2583" s="79" t="str">
        <f>IF(AND(OR(LEFT(TH!N2583,2)="15",LEFT(TH!O2583,2)="15"),TK!$E$7=TH!F2583),"x","")</f>
        <v/>
      </c>
      <c r="AD2583" s="79" t="str">
        <f>IF(AND(N2583="1521",MONTH(C2583)='BK-NL'!$M$11),"x","")</f>
        <v/>
      </c>
    </row>
    <row r="2584" spans="1:30" ht="16.5" customHeight="1">
      <c r="A2584" s="318" t="str">
        <f>IF(B2584&lt;&gt;"",IF(AND(B2584='IN-TC'!$S$4,OR(TH!N2584="1111",TH!O2584="1111")),TH!D2584,""),"")</f>
        <v/>
      </c>
      <c r="B2584" s="60" t="str">
        <f t="shared" si="250"/>
        <v/>
      </c>
      <c r="C2584" s="301"/>
      <c r="D2584" s="301"/>
      <c r="E2584" s="301"/>
      <c r="F2584" s="302"/>
      <c r="G2584" s="968"/>
      <c r="H2584" s="303"/>
      <c r="I2584" s="385"/>
      <c r="J2584" s="969"/>
      <c r="K2584" s="385"/>
      <c r="L2584" s="392"/>
      <c r="M2584" s="970"/>
      <c r="N2584" s="304"/>
      <c r="O2584" s="304"/>
      <c r="P2584" s="79" t="str">
        <f>IF(AND('331-CT'!$E$7=TH!H2584,OR(N2584="331",O2584="331")),"x","")</f>
        <v/>
      </c>
      <c r="Q2584" s="79" t="str">
        <f>IF(AND(B2584='111'!$L$11,OR($N2584=$Q$7,$O2584=$Q$7)),"x","")</f>
        <v/>
      </c>
      <c r="R2584" s="79" t="str">
        <f>IF(AND($N2584=$Q$7,$B2584&lt;'111'!$L$11),"x","")</f>
        <v/>
      </c>
      <c r="S2584" s="79" t="str">
        <f>IF(AND($O2584=$Q$7,$B2584&lt;'111'!$L$11),"x","")</f>
        <v/>
      </c>
      <c r="T2584" s="79" t="str">
        <f>IF(ISERROR(FIND('112'!$M$9,G2584,1)),"",IF((AND(FIND('112'!$M$9,G2584,1)&gt;=1,B2584='112'!$K$9,OR($N2584='112'!$I$6,$O2584='112'!$I$6))),"x",""))</f>
        <v/>
      </c>
      <c r="U2584" s="79" t="str">
        <f>IF(ISERROR(FIND('112'!$M$9,G2584,1)),"",IF((AND(LEFT(G2584,2)=LEFT('112'!$M$9,2),B2584&lt;'112'!$K$9,$N2584='112'!$I$6)),"x",""))</f>
        <v/>
      </c>
      <c r="V2584" s="79" t="str">
        <f>IF(ISERROR(FIND('112'!$M$9,G2584,1)),"",IF((AND(RIGHT(G2584,2)=RIGHT('112'!$M$9,2),B2584&lt;'112'!$K$9,$O2584='112'!$I$6)),"x",""))</f>
        <v/>
      </c>
      <c r="W2584" s="79" t="str">
        <f>IF(AND('341-CT'!$H$9=H2584,OR(LEFT(N2584,3)=$W$7,LEFT(O2584,3)=$W$7)),"x","")</f>
        <v/>
      </c>
      <c r="X2584" s="79" t="str">
        <f>IF(OR(TH!N2584=TH!$X$7,O2584=TH!$X$7),"x","")</f>
        <v/>
      </c>
      <c r="Y2584" s="79" t="str">
        <f>IF(AND(OR(N2584="131",O2584="131"),H2584='131-CT'!$H$9),"x","")</f>
        <v/>
      </c>
      <c r="Z2584" s="79"/>
      <c r="AA2584" s="79" t="str">
        <f>IF(AND(MONTH(E2584)='IN-NX'!$J$5,'IN-NX'!$D$7=D2584),"x","")</f>
        <v/>
      </c>
      <c r="AB2584" s="79" t="str">
        <f>IF(AND(OR(LEFT(TH!N2584,2)="15",LEFT(TH!O2584,2)="15"),LEFT(TH!O2584,3)&lt;&gt;"111",'152-CT'!$J$8=TH!F2584),"x","")</f>
        <v/>
      </c>
      <c r="AC2584" s="79" t="str">
        <f>IF(AND(OR(LEFT(TH!N2584,2)="15",LEFT(TH!O2584,2)="15"),TK!$E$7=TH!F2584),"x","")</f>
        <v/>
      </c>
      <c r="AD2584" s="79" t="str">
        <f>IF(AND(N2584="1521",MONTH(C2584)='BK-NL'!$M$11),"x","")</f>
        <v/>
      </c>
    </row>
    <row r="2585" spans="1:30" ht="16.5" customHeight="1">
      <c r="A2585" s="318" t="str">
        <f>IF(B2585&lt;&gt;"",IF(AND(B2585='IN-TC'!$S$4,OR(TH!N2585="1111",TH!O2585="1111")),TH!D2585,""),"")</f>
        <v/>
      </c>
      <c r="B2585" s="60" t="str">
        <f t="shared" si="250"/>
        <v/>
      </c>
      <c r="C2585" s="301"/>
      <c r="D2585" s="301"/>
      <c r="E2585" s="301"/>
      <c r="F2585" s="1162"/>
      <c r="G2585" s="968"/>
      <c r="H2585" s="303"/>
      <c r="I2585" s="385"/>
      <c r="J2585" s="969"/>
      <c r="K2585" s="385"/>
      <c r="L2585" s="392"/>
      <c r="M2585" s="970"/>
      <c r="N2585" s="304"/>
      <c r="O2585" s="304"/>
      <c r="P2585" s="79" t="str">
        <f>IF(AND('331-CT'!$E$7=TH!H2585,OR(N2585="331",O2585="331")),"x","")</f>
        <v/>
      </c>
      <c r="Q2585" s="79" t="str">
        <f>IF(AND(B2585='111'!$L$11,OR($N2585=$Q$7,$O2585=$Q$7)),"x","")</f>
        <v/>
      </c>
      <c r="R2585" s="79" t="str">
        <f>IF(AND($N2585=$Q$7,$B2585&lt;'111'!$L$11),"x","")</f>
        <v/>
      </c>
      <c r="S2585" s="79" t="str">
        <f>IF(AND($O2585=$Q$7,$B2585&lt;'111'!$L$11),"x","")</f>
        <v/>
      </c>
      <c r="T2585" s="79" t="str">
        <f>IF(ISERROR(FIND('112'!$M$9,G2585,1)),"",IF((AND(FIND('112'!$M$9,G2585,1)&gt;=1,B2585='112'!$K$9,OR($N2585='112'!$I$6,$O2585='112'!$I$6))),"x",""))</f>
        <v/>
      </c>
      <c r="U2585" s="79" t="str">
        <f>IF(ISERROR(FIND('112'!$M$9,G2585,1)),"",IF((AND(LEFT(G2585,2)=LEFT('112'!$M$9,2),B2585&lt;'112'!$K$9,$N2585='112'!$I$6)),"x",""))</f>
        <v/>
      </c>
      <c r="V2585" s="79" t="str">
        <f>IF(ISERROR(FIND('112'!$M$9,G2585,1)),"",IF((AND(RIGHT(G2585,2)=RIGHT('112'!$M$9,2),B2585&lt;'112'!$K$9,$O2585='112'!$I$6)),"x",""))</f>
        <v/>
      </c>
      <c r="W2585" s="79" t="str">
        <f>IF(AND('341-CT'!$H$9=H2585,OR(LEFT(N2585,3)=$W$7,LEFT(O2585,3)=$W$7)),"x","")</f>
        <v/>
      </c>
      <c r="X2585" s="79" t="str">
        <f>IF(OR(TH!N2585=TH!$X$7,O2585=TH!$X$7),"x","")</f>
        <v/>
      </c>
      <c r="Y2585" s="79" t="str">
        <f>IF(AND(OR(N2585="131",O2585="131"),H2585='131-CT'!$H$9),"x","")</f>
        <v/>
      </c>
      <c r="Z2585" s="79"/>
      <c r="AA2585" s="79" t="str">
        <f>IF(AND(MONTH(E2585)='IN-NX'!$J$5,'IN-NX'!$D$7=D2585),"x","")</f>
        <v/>
      </c>
      <c r="AB2585" s="79" t="str">
        <f>IF(AND(OR(LEFT(TH!N2585,2)="15",LEFT(TH!O2585,2)="15"),LEFT(TH!O2585,3)&lt;&gt;"111",'152-CT'!$J$8=TH!F2585),"x","")</f>
        <v/>
      </c>
      <c r="AC2585" s="79" t="str">
        <f>IF(AND(OR(LEFT(TH!N2585,2)="15",LEFT(TH!O2585,2)="15"),TK!$E$7=TH!F2585),"x","")</f>
        <v/>
      </c>
      <c r="AD2585" s="79" t="str">
        <f>IF(AND(N2585="1521",MONTH(C2585)='BK-NL'!$M$11),"x","")</f>
        <v/>
      </c>
    </row>
    <row r="2586" spans="1:30" ht="16.5" customHeight="1">
      <c r="A2586" s="318" t="str">
        <f>IF(B2586&lt;&gt;"",IF(AND(B2586='IN-TC'!$S$4,OR(TH!N2586="1111",TH!O2586="1111")),TH!D2586,""),"")</f>
        <v/>
      </c>
      <c r="B2586" s="60" t="str">
        <f t="shared" ref="B2586:B2587" si="252">IF(C2586&lt;&gt;"",MONTH(C2586),"")</f>
        <v/>
      </c>
      <c r="C2586" s="301"/>
      <c r="D2586" s="301"/>
      <c r="E2586" s="301"/>
      <c r="F2586" s="302"/>
      <c r="G2586" s="968"/>
      <c r="H2586" s="303"/>
      <c r="I2586" s="385"/>
      <c r="J2586" s="969"/>
      <c r="K2586" s="385"/>
      <c r="L2586" s="392"/>
      <c r="M2586" s="970"/>
      <c r="N2586" s="304"/>
      <c r="O2586" s="304"/>
      <c r="P2586" s="79" t="str">
        <f>IF(AND('331-CT'!$E$7=TH!H2586,OR(N2586="331",O2586="331")),"x","")</f>
        <v/>
      </c>
      <c r="Q2586" s="79" t="str">
        <f>IF(AND(B2586='111'!$L$11,OR($N2586=$Q$7,$O2586=$Q$7)),"x","")</f>
        <v/>
      </c>
      <c r="R2586" s="79" t="str">
        <f>IF(AND($N2586=$Q$7,$B2586&lt;'111'!$L$11),"x","")</f>
        <v/>
      </c>
      <c r="S2586" s="79" t="str">
        <f>IF(AND($O2586=$Q$7,$B2586&lt;'111'!$L$11),"x","")</f>
        <v/>
      </c>
      <c r="T2586" s="79" t="str">
        <f>IF(ISERROR(FIND('112'!$M$9,G2586,1)),"",IF((AND(FIND('112'!$M$9,G2586,1)&gt;=1,B2586='112'!$K$9,OR($N2586='112'!$I$6,$O2586='112'!$I$6))),"x",""))</f>
        <v/>
      </c>
      <c r="U2586" s="79" t="str">
        <f>IF(ISERROR(FIND('112'!$M$9,G2586,1)),"",IF((AND(LEFT(G2586,2)=LEFT('112'!$M$9,2),B2586&lt;'112'!$K$9,$N2586='112'!$I$6)),"x",""))</f>
        <v/>
      </c>
      <c r="V2586" s="79" t="str">
        <f>IF(ISERROR(FIND('112'!$M$9,G2586,1)),"",IF((AND(RIGHT(G2586,2)=RIGHT('112'!$M$9,2),B2586&lt;'112'!$K$9,$O2586='112'!$I$6)),"x",""))</f>
        <v/>
      </c>
      <c r="W2586" s="79" t="str">
        <f>IF(AND('341-CT'!$H$9=H2586,OR(LEFT(N2586,3)=$W$7,LEFT(O2586,3)=$W$7)),"x","")</f>
        <v/>
      </c>
      <c r="X2586" s="79" t="str">
        <f>IF(OR(TH!N2586=TH!$X$7,O2586=TH!$X$7),"x","")</f>
        <v/>
      </c>
      <c r="Y2586" s="79" t="str">
        <f>IF(AND(OR(N2586="131",O2586="131"),H2586='131-CT'!$H$9),"x","")</f>
        <v/>
      </c>
      <c r="Z2586" s="79"/>
      <c r="AA2586" s="79" t="str">
        <f>IF(AND(MONTH(E2586)='IN-NX'!$J$5,'IN-NX'!$D$7=D2586),"x","")</f>
        <v/>
      </c>
      <c r="AB2586" s="79" t="str">
        <f>IF(AND(OR(LEFT(TH!N2586,2)="15",LEFT(TH!O2586,2)="15"),LEFT(TH!O2586,3)&lt;&gt;"111",'152-CT'!$J$8=TH!F2586),"x","")</f>
        <v/>
      </c>
      <c r="AC2586" s="79" t="str">
        <f>IF(AND(OR(LEFT(TH!N2586,2)="15",LEFT(TH!O2586,2)="15"),TK!$E$7=TH!F2586),"x","")</f>
        <v/>
      </c>
      <c r="AD2586" s="79" t="str">
        <f>IF(AND(N2586="1521",MONTH(C2586)='BK-NL'!$M$11),"x","")</f>
        <v/>
      </c>
    </row>
    <row r="2587" spans="1:30" ht="16.5" customHeight="1">
      <c r="A2587" s="318" t="str">
        <f>IF(B2587&lt;&gt;"",IF(AND(B2587='IN-TC'!$S$4,OR(TH!N2587="1111",TH!O2587="1111")),TH!D2587,""),"")</f>
        <v/>
      </c>
      <c r="B2587" s="60" t="str">
        <f t="shared" si="252"/>
        <v/>
      </c>
      <c r="C2587" s="301"/>
      <c r="D2587" s="301"/>
      <c r="E2587" s="301"/>
      <c r="F2587" s="302"/>
      <c r="G2587" s="968"/>
      <c r="H2587" s="303"/>
      <c r="I2587" s="385"/>
      <c r="J2587" s="969"/>
      <c r="K2587" s="385"/>
      <c r="L2587" s="392"/>
      <c r="M2587" s="970"/>
      <c r="N2587" s="304"/>
      <c r="O2587" s="304"/>
      <c r="P2587" s="79" t="str">
        <f>IF(AND('331-CT'!$E$7=TH!H2587,OR(N2587="331",O2587="331")),"x","")</f>
        <v/>
      </c>
      <c r="Q2587" s="79" t="str">
        <f>IF(AND(B2587='111'!$L$11,OR($N2587=$Q$7,$O2587=$Q$7)),"x","")</f>
        <v/>
      </c>
      <c r="R2587" s="79" t="str">
        <f>IF(AND($N2587=$Q$7,$B2587&lt;'111'!$L$11),"x","")</f>
        <v/>
      </c>
      <c r="S2587" s="79" t="str">
        <f>IF(AND($O2587=$Q$7,$B2587&lt;'111'!$L$11),"x","")</f>
        <v/>
      </c>
      <c r="T2587" s="79" t="str">
        <f>IF(ISERROR(FIND('112'!$M$9,G2587,1)),"",IF((AND(FIND('112'!$M$9,G2587,1)&gt;=1,B2587='112'!$K$9,OR($N2587='112'!$I$6,$O2587='112'!$I$6))),"x",""))</f>
        <v/>
      </c>
      <c r="U2587" s="79" t="str">
        <f>IF(ISERROR(FIND('112'!$M$9,G2587,1)),"",IF((AND(LEFT(G2587,2)=LEFT('112'!$M$9,2),B2587&lt;'112'!$K$9,$N2587='112'!$I$6)),"x",""))</f>
        <v/>
      </c>
      <c r="V2587" s="79" t="str">
        <f>IF(ISERROR(FIND('112'!$M$9,G2587,1)),"",IF((AND(RIGHT(G2587,2)=RIGHT('112'!$M$9,2),B2587&lt;'112'!$K$9,$O2587='112'!$I$6)),"x",""))</f>
        <v/>
      </c>
      <c r="W2587" s="79" t="str">
        <f>IF(AND('341-CT'!$H$9=H2587,OR(LEFT(N2587,3)=$W$7,LEFT(O2587,3)=$W$7)),"x","")</f>
        <v/>
      </c>
      <c r="X2587" s="79" t="str">
        <f>IF(OR(TH!N2587=TH!$X$7,O2587=TH!$X$7),"x","")</f>
        <v/>
      </c>
      <c r="Y2587" s="79" t="str">
        <f>IF(AND(OR(N2587="131",O2587="131"),H2587='131-CT'!$H$9),"x","")</f>
        <v/>
      </c>
      <c r="Z2587" s="79"/>
      <c r="AA2587" s="79" t="str">
        <f>IF(AND(MONTH(E2587)='IN-NX'!$J$5,'IN-NX'!$D$7=D2587),"x","")</f>
        <v/>
      </c>
      <c r="AB2587" s="79" t="str">
        <f>IF(AND(OR(LEFT(TH!N2587,2)="15",LEFT(TH!O2587,2)="15"),LEFT(TH!O2587,3)&lt;&gt;"111",'152-CT'!$J$8=TH!F2587),"x","")</f>
        <v/>
      </c>
      <c r="AC2587" s="79" t="str">
        <f>IF(AND(OR(LEFT(TH!N2587,2)="15",LEFT(TH!O2587,2)="15"),TK!$E$7=TH!F2587),"x","")</f>
        <v/>
      </c>
      <c r="AD2587" s="79" t="str">
        <f>IF(AND(N2587="1521",MONTH(C2587)='BK-NL'!$M$11),"x","")</f>
        <v/>
      </c>
    </row>
    <row r="2588" spans="1:30" ht="16.5" customHeight="1">
      <c r="A2588" s="318" t="str">
        <f>IF(B2588&lt;&gt;"",IF(AND(B2588='IN-TC'!$S$4,OR(TH!N2588="1111",TH!O2588="1111")),TH!D2588,""),"")</f>
        <v/>
      </c>
      <c r="B2588" s="60" t="str">
        <f t="shared" si="250"/>
        <v/>
      </c>
      <c r="C2588" s="301"/>
      <c r="D2588" s="301"/>
      <c r="E2588" s="301"/>
      <c r="F2588" s="302"/>
      <c r="G2588" s="968"/>
      <c r="H2588" s="303"/>
      <c r="I2588" s="385"/>
      <c r="J2588" s="969"/>
      <c r="K2588" s="385"/>
      <c r="L2588" s="392"/>
      <c r="M2588" s="970"/>
      <c r="N2588" s="304"/>
      <c r="O2588" s="304"/>
      <c r="P2588" s="79" t="str">
        <f>IF(AND('331-CT'!$E$7=TH!H2588,OR(N2588="331",O2588="331")),"x","")</f>
        <v/>
      </c>
      <c r="Q2588" s="79" t="str">
        <f>IF(AND(B2588='111'!$L$11,OR($N2588=$Q$7,$O2588=$Q$7)),"x","")</f>
        <v/>
      </c>
      <c r="R2588" s="79" t="str">
        <f>IF(AND($N2588=$Q$7,$B2588&lt;'111'!$L$11),"x","")</f>
        <v/>
      </c>
      <c r="S2588" s="79" t="str">
        <f>IF(AND($O2588=$Q$7,$B2588&lt;'111'!$L$11),"x","")</f>
        <v/>
      </c>
      <c r="T2588" s="79" t="str">
        <f>IF(ISERROR(FIND('112'!$M$9,G2588,1)),"",IF((AND(FIND('112'!$M$9,G2588,1)&gt;=1,B2588='112'!$K$9,OR($N2588='112'!$I$6,$O2588='112'!$I$6))),"x",""))</f>
        <v/>
      </c>
      <c r="U2588" s="79" t="str">
        <f>IF(ISERROR(FIND('112'!$M$9,G2588,1)),"",IF((AND(LEFT(G2588,2)=LEFT('112'!$M$9,2),B2588&lt;'112'!$K$9,$N2588='112'!$I$6)),"x",""))</f>
        <v/>
      </c>
      <c r="V2588" s="79" t="str">
        <f>IF(ISERROR(FIND('112'!$M$9,G2588,1)),"",IF((AND(RIGHT(G2588,2)=RIGHT('112'!$M$9,2),B2588&lt;'112'!$K$9,$O2588='112'!$I$6)),"x",""))</f>
        <v/>
      </c>
      <c r="W2588" s="79" t="str">
        <f>IF(AND('341-CT'!$H$9=H2588,OR(LEFT(N2588,3)=$W$7,LEFT(O2588,3)=$W$7)),"x","")</f>
        <v/>
      </c>
      <c r="X2588" s="79" t="str">
        <f>IF(OR(TH!N2588=TH!$X$7,O2588=TH!$X$7),"x","")</f>
        <v/>
      </c>
      <c r="Y2588" s="79" t="str">
        <f>IF(AND(OR(N2588="131",O2588="131"),H2588='131-CT'!$H$9),"x","")</f>
        <v/>
      </c>
      <c r="Z2588" s="79"/>
      <c r="AA2588" s="79" t="str">
        <f>IF(AND(MONTH(E2588)='IN-NX'!$J$5,'IN-NX'!$D$7=D2588),"x","")</f>
        <v/>
      </c>
      <c r="AB2588" s="79" t="str">
        <f>IF(AND(OR(LEFT(TH!N2588,2)="15",LEFT(TH!O2588,2)="15"),LEFT(TH!O2588,3)&lt;&gt;"111",'152-CT'!$J$8=TH!F2588),"x","")</f>
        <v/>
      </c>
      <c r="AC2588" s="79" t="str">
        <f>IF(AND(OR(LEFT(TH!N2588,2)="15",LEFT(TH!O2588,2)="15"),TK!$E$7=TH!F2588),"x","")</f>
        <v/>
      </c>
      <c r="AD2588" s="79" t="str">
        <f>IF(AND(N2588="1521",MONTH(C2588)='BK-NL'!$M$11),"x","")</f>
        <v/>
      </c>
    </row>
    <row r="2589" spans="1:30" ht="16.5" customHeight="1">
      <c r="A2589" s="318" t="str">
        <f>IF(B2589&lt;&gt;"",IF(AND(B2589='IN-TC'!$S$4,OR(TH!N2589="1111",TH!O2589="1111")),TH!D2589,""),"")</f>
        <v/>
      </c>
      <c r="B2589" s="60" t="str">
        <f t="shared" si="250"/>
        <v/>
      </c>
      <c r="C2589" s="301"/>
      <c r="D2589" s="301"/>
      <c r="E2589" s="301"/>
      <c r="F2589" s="302"/>
      <c r="G2589" s="968"/>
      <c r="H2589" s="303"/>
      <c r="I2589" s="385"/>
      <c r="J2589" s="969"/>
      <c r="K2589" s="385"/>
      <c r="L2589" s="392"/>
      <c r="M2589" s="970"/>
      <c r="N2589" s="304"/>
      <c r="O2589" s="304"/>
      <c r="P2589" s="79" t="str">
        <f>IF(AND('331-CT'!$E$7=TH!H2589,OR(N2589="331",O2589="331")),"x","")</f>
        <v/>
      </c>
      <c r="Q2589" s="79" t="str">
        <f>IF(AND(B2589='111'!$L$11,OR($N2589=$Q$7,$O2589=$Q$7)),"x","")</f>
        <v/>
      </c>
      <c r="R2589" s="79" t="str">
        <f>IF(AND($N2589=$Q$7,$B2589&lt;'111'!$L$11),"x","")</f>
        <v/>
      </c>
      <c r="S2589" s="79" t="str">
        <f>IF(AND($O2589=$Q$7,$B2589&lt;'111'!$L$11),"x","")</f>
        <v/>
      </c>
      <c r="T2589" s="79" t="str">
        <f>IF(ISERROR(FIND('112'!$M$9,G2589,1)),"",IF((AND(FIND('112'!$M$9,G2589,1)&gt;=1,B2589='112'!$K$9,OR($N2589='112'!$I$6,$O2589='112'!$I$6))),"x",""))</f>
        <v/>
      </c>
      <c r="U2589" s="79" t="str">
        <f>IF(ISERROR(FIND('112'!$M$9,G2589,1)),"",IF((AND(LEFT(G2589,2)=LEFT('112'!$M$9,2),B2589&lt;'112'!$K$9,$N2589='112'!$I$6)),"x",""))</f>
        <v/>
      </c>
      <c r="V2589" s="79" t="str">
        <f>IF(ISERROR(FIND('112'!$M$9,G2589,1)),"",IF((AND(RIGHT(G2589,2)=RIGHT('112'!$M$9,2),B2589&lt;'112'!$K$9,$O2589='112'!$I$6)),"x",""))</f>
        <v/>
      </c>
      <c r="W2589" s="79" t="str">
        <f>IF(AND('341-CT'!$H$9=H2589,OR(LEFT(N2589,3)=$W$7,LEFT(O2589,3)=$W$7)),"x","")</f>
        <v/>
      </c>
      <c r="X2589" s="79" t="str">
        <f>IF(OR(TH!N2589=TH!$X$7,O2589=TH!$X$7),"x","")</f>
        <v/>
      </c>
      <c r="Y2589" s="79" t="str">
        <f>IF(AND(OR(N2589="131",O2589="131"),H2589='131-CT'!$H$9),"x","")</f>
        <v/>
      </c>
      <c r="Z2589" s="79"/>
      <c r="AA2589" s="79" t="str">
        <f>IF(AND(MONTH(E2589)='IN-NX'!$J$5,'IN-NX'!$D$7=D2589),"x","")</f>
        <v/>
      </c>
      <c r="AB2589" s="79" t="str">
        <f>IF(AND(OR(LEFT(TH!N2589,2)="15",LEFT(TH!O2589,2)="15"),LEFT(TH!O2589,3)&lt;&gt;"111",'152-CT'!$J$8=TH!F2589),"x","")</f>
        <v/>
      </c>
      <c r="AC2589" s="79" t="str">
        <f>IF(AND(OR(LEFT(TH!N2589,2)="15",LEFT(TH!O2589,2)="15"),TK!$E$7=TH!F2589),"x","")</f>
        <v/>
      </c>
      <c r="AD2589" s="79" t="str">
        <f>IF(AND(N2589="1521",MONTH(C2589)='BK-NL'!$M$11),"x","")</f>
        <v/>
      </c>
    </row>
    <row r="2590" spans="1:30" ht="16.5" customHeight="1">
      <c r="A2590" s="318" t="str">
        <f>IF(B2590&lt;&gt;"",IF(AND(B2590='IN-TC'!$S$4,OR(TH!N2590="1111",TH!O2590="1111")),TH!D2590,""),"")</f>
        <v/>
      </c>
      <c r="B2590" s="60" t="str">
        <f t="shared" si="250"/>
        <v/>
      </c>
      <c r="C2590" s="301"/>
      <c r="D2590" s="301"/>
      <c r="E2590" s="301"/>
      <c r="F2590" s="302"/>
      <c r="G2590" s="968"/>
      <c r="H2590" s="303"/>
      <c r="I2590" s="385"/>
      <c r="J2590" s="969"/>
      <c r="K2590" s="385"/>
      <c r="L2590" s="392"/>
      <c r="M2590" s="970"/>
      <c r="N2590" s="304"/>
      <c r="O2590" s="304"/>
      <c r="P2590" s="79" t="str">
        <f>IF(AND('331-CT'!$E$7=TH!H2590,OR(N2590="331",O2590="331")),"x","")</f>
        <v/>
      </c>
      <c r="Q2590" s="79" t="str">
        <f>IF(AND(B2590='111'!$L$11,OR($N2590=$Q$7,$O2590=$Q$7)),"x","")</f>
        <v/>
      </c>
      <c r="R2590" s="79" t="str">
        <f>IF(AND($N2590=$Q$7,$B2590&lt;'111'!$L$11),"x","")</f>
        <v/>
      </c>
      <c r="S2590" s="79" t="str">
        <f>IF(AND($O2590=$Q$7,$B2590&lt;'111'!$L$11),"x","")</f>
        <v/>
      </c>
      <c r="T2590" s="79" t="str">
        <f>IF(ISERROR(FIND('112'!$M$9,G2590,1)),"",IF((AND(FIND('112'!$M$9,G2590,1)&gt;=1,B2590='112'!$K$9,OR($N2590='112'!$I$6,$O2590='112'!$I$6))),"x",""))</f>
        <v/>
      </c>
      <c r="U2590" s="79" t="str">
        <f>IF(ISERROR(FIND('112'!$M$9,G2590,1)),"",IF((AND(LEFT(G2590,2)=LEFT('112'!$M$9,2),B2590&lt;'112'!$K$9,$N2590='112'!$I$6)),"x",""))</f>
        <v/>
      </c>
      <c r="V2590" s="79" t="str">
        <f>IF(ISERROR(FIND('112'!$M$9,G2590,1)),"",IF((AND(RIGHT(G2590,2)=RIGHT('112'!$M$9,2),B2590&lt;'112'!$K$9,$O2590='112'!$I$6)),"x",""))</f>
        <v/>
      </c>
      <c r="W2590" s="79" t="str">
        <f>IF(AND('341-CT'!$H$9=H2590,OR(LEFT(N2590,3)=$W$7,LEFT(O2590,3)=$W$7)),"x","")</f>
        <v/>
      </c>
      <c r="X2590" s="79" t="str">
        <f>IF(OR(TH!N2590=TH!$X$7,O2590=TH!$X$7),"x","")</f>
        <v/>
      </c>
      <c r="Y2590" s="79" t="str">
        <f>IF(AND(OR(N2590="131",O2590="131"),H2590='131-CT'!$H$9),"x","")</f>
        <v/>
      </c>
      <c r="Z2590" s="79"/>
      <c r="AA2590" s="79" t="str">
        <f>IF(AND(MONTH(E2590)='IN-NX'!$J$5,'IN-NX'!$D$7=D2590),"x","")</f>
        <v/>
      </c>
      <c r="AB2590" s="79" t="str">
        <f>IF(AND(OR(LEFT(TH!N2590,2)="15",LEFT(TH!O2590,2)="15"),LEFT(TH!O2590,3)&lt;&gt;"111",'152-CT'!$J$8=TH!F2590),"x","")</f>
        <v/>
      </c>
      <c r="AC2590" s="79" t="str">
        <f>IF(AND(OR(LEFT(TH!N2590,2)="15",LEFT(TH!O2590,2)="15"),TK!$E$7=TH!F2590),"x","")</f>
        <v/>
      </c>
      <c r="AD2590" s="79" t="str">
        <f>IF(AND(N2590="1521",MONTH(C2590)='BK-NL'!$M$11),"x","")</f>
        <v/>
      </c>
    </row>
    <row r="2591" spans="1:30" ht="16.5" customHeight="1">
      <c r="A2591" s="318" t="str">
        <f>IF(B2591&lt;&gt;"",IF(AND(B2591='IN-TC'!$S$4,OR(TH!N2591="1111",TH!O2591="1111")),TH!D2591,""),"")</f>
        <v/>
      </c>
      <c r="B2591" s="60" t="str">
        <f t="shared" si="250"/>
        <v/>
      </c>
      <c r="C2591" s="301"/>
      <c r="D2591" s="301"/>
      <c r="E2591" s="301"/>
      <c r="F2591" s="302"/>
      <c r="G2591" s="968"/>
      <c r="H2591" s="303"/>
      <c r="I2591" s="385"/>
      <c r="J2591" s="969"/>
      <c r="K2591" s="385"/>
      <c r="L2591" s="392"/>
      <c r="M2591" s="970"/>
      <c r="N2591" s="304"/>
      <c r="O2591" s="304"/>
      <c r="P2591" s="79" t="str">
        <f>IF(AND('331-CT'!$E$7=TH!H2591,OR(N2591="331",O2591="331")),"x","")</f>
        <v/>
      </c>
      <c r="Q2591" s="79" t="str">
        <f>IF(AND(B2591='111'!$L$11,OR($N2591=$Q$7,$O2591=$Q$7)),"x","")</f>
        <v/>
      </c>
      <c r="R2591" s="79" t="str">
        <f>IF(AND($N2591=$Q$7,$B2591&lt;'111'!$L$11),"x","")</f>
        <v/>
      </c>
      <c r="S2591" s="79" t="str">
        <f>IF(AND($O2591=$Q$7,$B2591&lt;'111'!$L$11),"x","")</f>
        <v/>
      </c>
      <c r="T2591" s="79" t="str">
        <f>IF(ISERROR(FIND('112'!$M$9,G2591,1)),"",IF((AND(FIND('112'!$M$9,G2591,1)&gt;=1,B2591='112'!$K$9,OR($N2591='112'!$I$6,$O2591='112'!$I$6))),"x",""))</f>
        <v/>
      </c>
      <c r="U2591" s="79" t="str">
        <f>IF(ISERROR(FIND('112'!$M$9,G2591,1)),"",IF((AND(LEFT(G2591,2)=LEFT('112'!$M$9,2),B2591&lt;'112'!$K$9,$N2591='112'!$I$6)),"x",""))</f>
        <v/>
      </c>
      <c r="V2591" s="79" t="str">
        <f>IF(ISERROR(FIND('112'!$M$9,G2591,1)),"",IF((AND(RIGHT(G2591,2)=RIGHT('112'!$M$9,2),B2591&lt;'112'!$K$9,$O2591='112'!$I$6)),"x",""))</f>
        <v/>
      </c>
      <c r="W2591" s="79" t="str">
        <f>IF(AND('341-CT'!$H$9=H2591,OR(LEFT(N2591,3)=$W$7,LEFT(O2591,3)=$W$7)),"x","")</f>
        <v/>
      </c>
      <c r="X2591" s="79" t="str">
        <f>IF(OR(TH!N2591=TH!$X$7,O2591=TH!$X$7),"x","")</f>
        <v/>
      </c>
      <c r="Y2591" s="79" t="str">
        <f>IF(AND(OR(N2591="131",O2591="131"),H2591='131-CT'!$H$9),"x","")</f>
        <v/>
      </c>
      <c r="Z2591" s="79"/>
      <c r="AA2591" s="79" t="str">
        <f>IF(AND(MONTH(E2591)='IN-NX'!$J$5,'IN-NX'!$D$7=D2591),"x","")</f>
        <v/>
      </c>
      <c r="AB2591" s="79" t="str">
        <f>IF(AND(OR(LEFT(TH!N2591,2)="15",LEFT(TH!O2591,2)="15"),LEFT(TH!O2591,3)&lt;&gt;"111",'152-CT'!$J$8=TH!F2591),"x","")</f>
        <v/>
      </c>
      <c r="AC2591" s="79" t="str">
        <f>IF(AND(OR(LEFT(TH!N2591,2)="15",LEFT(TH!O2591,2)="15"),TK!$E$7=TH!F2591),"x","")</f>
        <v/>
      </c>
      <c r="AD2591" s="79" t="str">
        <f>IF(AND(N2591="1521",MONTH(C2591)='BK-NL'!$M$11),"x","")</f>
        <v/>
      </c>
    </row>
    <row r="2592" spans="1:30" ht="16.5" customHeight="1">
      <c r="A2592" s="318" t="str">
        <f>IF(B2592&lt;&gt;"",IF(AND(B2592='IN-TC'!$S$4,OR(TH!N2592="1111",TH!O2592="1111")),TH!D2592,""),"")</f>
        <v/>
      </c>
      <c r="B2592" s="60" t="str">
        <f t="shared" si="250"/>
        <v/>
      </c>
      <c r="C2592" s="301"/>
      <c r="D2592" s="301"/>
      <c r="E2592" s="301"/>
      <c r="F2592" s="302"/>
      <c r="G2592" s="968"/>
      <c r="H2592" s="303"/>
      <c r="I2592" s="385"/>
      <c r="J2592" s="969"/>
      <c r="K2592" s="385"/>
      <c r="L2592" s="392"/>
      <c r="M2592" s="970"/>
      <c r="N2592" s="304"/>
      <c r="O2592" s="304"/>
      <c r="P2592" s="79" t="str">
        <f>IF(AND('331-CT'!$E$7=TH!H2592,OR(N2592="331",O2592="331")),"x","")</f>
        <v/>
      </c>
      <c r="Q2592" s="79" t="str">
        <f>IF(AND(B2592='111'!$L$11,OR($N2592=$Q$7,$O2592=$Q$7)),"x","")</f>
        <v/>
      </c>
      <c r="R2592" s="79" t="str">
        <f>IF(AND($N2592=$Q$7,$B2592&lt;'111'!$L$11),"x","")</f>
        <v/>
      </c>
      <c r="S2592" s="79" t="str">
        <f>IF(AND($O2592=$Q$7,$B2592&lt;'111'!$L$11),"x","")</f>
        <v/>
      </c>
      <c r="T2592" s="79" t="str">
        <f>IF(ISERROR(FIND('112'!$M$9,G2592,1)),"",IF((AND(FIND('112'!$M$9,G2592,1)&gt;=1,B2592='112'!$K$9,OR($N2592='112'!$I$6,$O2592='112'!$I$6))),"x",""))</f>
        <v/>
      </c>
      <c r="U2592" s="79" t="str">
        <f>IF(ISERROR(FIND('112'!$M$9,G2592,1)),"",IF((AND(LEFT(G2592,2)=LEFT('112'!$M$9,2),B2592&lt;'112'!$K$9,$N2592='112'!$I$6)),"x",""))</f>
        <v/>
      </c>
      <c r="V2592" s="79" t="str">
        <f>IF(ISERROR(FIND('112'!$M$9,G2592,1)),"",IF((AND(RIGHT(G2592,2)=RIGHT('112'!$M$9,2),B2592&lt;'112'!$K$9,$O2592='112'!$I$6)),"x",""))</f>
        <v/>
      </c>
      <c r="W2592" s="79" t="str">
        <f>IF(AND('341-CT'!$H$9=H2592,OR(LEFT(N2592,3)=$W$7,LEFT(O2592,3)=$W$7)),"x","")</f>
        <v/>
      </c>
      <c r="X2592" s="79" t="str">
        <f>IF(OR(TH!N2592=TH!$X$7,O2592=TH!$X$7),"x","")</f>
        <v/>
      </c>
      <c r="Y2592" s="79" t="str">
        <f>IF(AND(OR(N2592="131",O2592="131"),H2592='131-CT'!$H$9),"x","")</f>
        <v/>
      </c>
      <c r="Z2592" s="79"/>
      <c r="AA2592" s="79" t="str">
        <f>IF(AND(MONTH(E2592)='IN-NX'!$J$5,'IN-NX'!$D$7=D2592),"x","")</f>
        <v/>
      </c>
      <c r="AB2592" s="79" t="str">
        <f>IF(AND(OR(LEFT(TH!N2592,2)="15",LEFT(TH!O2592,2)="15"),LEFT(TH!O2592,3)&lt;&gt;"111",'152-CT'!$J$8=TH!F2592),"x","")</f>
        <v/>
      </c>
      <c r="AC2592" s="79" t="str">
        <f>IF(AND(OR(LEFT(TH!N2592,2)="15",LEFT(TH!O2592,2)="15"),TK!$E$7=TH!F2592),"x","")</f>
        <v/>
      </c>
      <c r="AD2592" s="79" t="str">
        <f>IF(AND(N2592="1521",MONTH(C2592)='BK-NL'!$M$11),"x","")</f>
        <v/>
      </c>
    </row>
    <row r="2593" spans="1:30" ht="16.5" customHeight="1">
      <c r="A2593" s="318" t="str">
        <f>IF(B2593&lt;&gt;"",IF(AND(B2593='IN-TC'!$S$4,OR(TH!N2593="1111",TH!O2593="1111")),TH!D2593,""),"")</f>
        <v/>
      </c>
      <c r="B2593" s="60" t="str">
        <f t="shared" si="250"/>
        <v/>
      </c>
      <c r="C2593" s="301"/>
      <c r="D2593" s="301"/>
      <c r="E2593" s="301"/>
      <c r="F2593" s="302"/>
      <c r="G2593" s="968"/>
      <c r="H2593" s="303"/>
      <c r="I2593" s="385"/>
      <c r="J2593" s="969"/>
      <c r="K2593" s="385"/>
      <c r="L2593" s="392"/>
      <c r="M2593" s="970"/>
      <c r="N2593" s="304"/>
      <c r="O2593" s="304"/>
      <c r="P2593" s="79" t="str">
        <f>IF(AND('331-CT'!$E$7=TH!H2593,OR(N2593="331",O2593="331")),"x","")</f>
        <v/>
      </c>
      <c r="Q2593" s="79" t="str">
        <f>IF(AND(B2593='111'!$L$11,OR($N2593=$Q$7,$O2593=$Q$7)),"x","")</f>
        <v/>
      </c>
      <c r="R2593" s="79" t="str">
        <f>IF(AND($N2593=$Q$7,$B2593&lt;'111'!$L$11),"x","")</f>
        <v/>
      </c>
      <c r="S2593" s="79" t="str">
        <f>IF(AND($O2593=$Q$7,$B2593&lt;'111'!$L$11),"x","")</f>
        <v/>
      </c>
      <c r="T2593" s="79" t="str">
        <f>IF(ISERROR(FIND('112'!$M$9,G2593,1)),"",IF((AND(FIND('112'!$M$9,G2593,1)&gt;=1,B2593='112'!$K$9,OR($N2593='112'!$I$6,$O2593='112'!$I$6))),"x",""))</f>
        <v/>
      </c>
      <c r="U2593" s="79" t="str">
        <f>IF(ISERROR(FIND('112'!$M$9,G2593,1)),"",IF((AND(LEFT(G2593,2)=LEFT('112'!$M$9,2),B2593&lt;'112'!$K$9,$N2593='112'!$I$6)),"x",""))</f>
        <v/>
      </c>
      <c r="V2593" s="79" t="str">
        <f>IF(ISERROR(FIND('112'!$M$9,G2593,1)),"",IF((AND(RIGHT(G2593,2)=RIGHT('112'!$M$9,2),B2593&lt;'112'!$K$9,$O2593='112'!$I$6)),"x",""))</f>
        <v/>
      </c>
      <c r="W2593" s="79" t="str">
        <f>IF(AND('341-CT'!$H$9=H2593,OR(LEFT(N2593,3)=$W$7,LEFT(O2593,3)=$W$7)),"x","")</f>
        <v/>
      </c>
      <c r="X2593" s="79" t="str">
        <f>IF(OR(TH!N2593=TH!$X$7,O2593=TH!$X$7),"x","")</f>
        <v/>
      </c>
      <c r="Y2593" s="79" t="str">
        <f>IF(AND(OR(N2593="131",O2593="131"),H2593='131-CT'!$H$9),"x","")</f>
        <v/>
      </c>
      <c r="Z2593" s="79"/>
      <c r="AA2593" s="79" t="str">
        <f>IF(AND(MONTH(E2593)='IN-NX'!$J$5,'IN-NX'!$D$7=D2593),"x","")</f>
        <v/>
      </c>
      <c r="AB2593" s="79" t="str">
        <f>IF(AND(OR(LEFT(TH!N2593,2)="15",LEFT(TH!O2593,2)="15"),LEFT(TH!O2593,3)&lt;&gt;"111",'152-CT'!$J$8=TH!F2593),"x","")</f>
        <v/>
      </c>
      <c r="AC2593" s="79" t="str">
        <f>IF(AND(OR(LEFT(TH!N2593,2)="15",LEFT(TH!O2593,2)="15"),TK!$E$7=TH!F2593),"x","")</f>
        <v/>
      </c>
      <c r="AD2593" s="79" t="str">
        <f>IF(AND(N2593="1521",MONTH(C2593)='BK-NL'!$M$11),"x","")</f>
        <v/>
      </c>
    </row>
    <row r="2594" spans="1:30" ht="16.5" customHeight="1">
      <c r="A2594" s="318" t="str">
        <f>IF(B2594&lt;&gt;"",IF(AND(B2594='IN-TC'!$S$4,OR(TH!N2594="1111",TH!O2594="1111")),TH!D2594,""),"")</f>
        <v/>
      </c>
      <c r="B2594" s="60" t="str">
        <f t="shared" si="250"/>
        <v/>
      </c>
      <c r="C2594" s="301"/>
      <c r="D2594" s="301"/>
      <c r="E2594" s="301"/>
      <c r="F2594" s="302"/>
      <c r="G2594" s="968"/>
      <c r="H2594" s="303"/>
      <c r="I2594" s="385"/>
      <c r="J2594" s="969"/>
      <c r="K2594" s="385"/>
      <c r="L2594" s="392"/>
      <c r="M2594" s="970"/>
      <c r="N2594" s="304"/>
      <c r="O2594" s="304"/>
      <c r="P2594" s="79" t="str">
        <f>IF(AND('331-CT'!$E$7=TH!H2594,OR(N2594="331",O2594="331")),"x","")</f>
        <v/>
      </c>
      <c r="Q2594" s="79" t="str">
        <f>IF(AND(B2594='111'!$L$11,OR($N2594=$Q$7,$O2594=$Q$7)),"x","")</f>
        <v/>
      </c>
      <c r="R2594" s="79" t="str">
        <f>IF(AND($N2594=$Q$7,$B2594&lt;'111'!$L$11),"x","")</f>
        <v/>
      </c>
      <c r="S2594" s="79" t="str">
        <f>IF(AND($O2594=$Q$7,$B2594&lt;'111'!$L$11),"x","")</f>
        <v/>
      </c>
      <c r="T2594" s="79" t="str">
        <f>IF(ISERROR(FIND('112'!$M$9,G2594,1)),"",IF((AND(FIND('112'!$M$9,G2594,1)&gt;=1,B2594='112'!$K$9,OR($N2594='112'!$I$6,$O2594='112'!$I$6))),"x",""))</f>
        <v/>
      </c>
      <c r="U2594" s="79" t="str">
        <f>IF(ISERROR(FIND('112'!$M$9,G2594,1)),"",IF((AND(LEFT(G2594,2)=LEFT('112'!$M$9,2),B2594&lt;'112'!$K$9,$N2594='112'!$I$6)),"x",""))</f>
        <v/>
      </c>
      <c r="V2594" s="79" t="str">
        <f>IF(ISERROR(FIND('112'!$M$9,G2594,1)),"",IF((AND(RIGHT(G2594,2)=RIGHT('112'!$M$9,2),B2594&lt;'112'!$K$9,$O2594='112'!$I$6)),"x",""))</f>
        <v/>
      </c>
      <c r="W2594" s="79" t="str">
        <f>IF(AND('341-CT'!$H$9=H2594,OR(LEFT(N2594,3)=$W$7,LEFT(O2594,3)=$W$7)),"x","")</f>
        <v/>
      </c>
      <c r="X2594" s="79" t="str">
        <f>IF(OR(TH!N2594=TH!$X$7,O2594=TH!$X$7),"x","")</f>
        <v/>
      </c>
      <c r="Y2594" s="79" t="str">
        <f>IF(AND(OR(N2594="131",O2594="131"),H2594='131-CT'!$H$9),"x","")</f>
        <v/>
      </c>
      <c r="Z2594" s="79"/>
      <c r="AA2594" s="79" t="str">
        <f>IF(AND(MONTH(E2594)='IN-NX'!$J$5,'IN-NX'!$D$7=D2594),"x","")</f>
        <v/>
      </c>
      <c r="AB2594" s="79" t="str">
        <f>IF(AND(OR(LEFT(TH!N2594,2)="15",LEFT(TH!O2594,2)="15"),LEFT(TH!O2594,3)&lt;&gt;"111",'152-CT'!$J$8=TH!F2594),"x","")</f>
        <v/>
      </c>
      <c r="AC2594" s="79" t="str">
        <f>IF(AND(OR(LEFT(TH!N2594,2)="15",LEFT(TH!O2594,2)="15"),TK!$E$7=TH!F2594),"x","")</f>
        <v/>
      </c>
      <c r="AD2594" s="79" t="str">
        <f>IF(AND(N2594="1521",MONTH(C2594)='BK-NL'!$M$11),"x","")</f>
        <v/>
      </c>
    </row>
    <row r="2595" spans="1:30" ht="16.5" customHeight="1">
      <c r="A2595" s="318" t="str">
        <f>IF(B2595&lt;&gt;"",IF(AND(B2595='IN-TC'!$S$4,OR(TH!N2595="1111",TH!O2595="1111")),TH!D2595,""),"")</f>
        <v/>
      </c>
      <c r="B2595" s="60" t="str">
        <f t="shared" si="250"/>
        <v/>
      </c>
      <c r="C2595" s="301"/>
      <c r="D2595" s="301"/>
      <c r="E2595" s="301"/>
      <c r="F2595" s="302"/>
      <c r="G2595" s="968"/>
      <c r="H2595" s="303"/>
      <c r="I2595" s="385"/>
      <c r="J2595" s="969"/>
      <c r="K2595" s="385"/>
      <c r="L2595" s="392"/>
      <c r="M2595" s="970"/>
      <c r="N2595" s="304"/>
      <c r="O2595" s="304"/>
      <c r="P2595" s="79" t="str">
        <f>IF(AND('331-CT'!$E$7=TH!H2595,OR(N2595="331",O2595="331")),"x","")</f>
        <v/>
      </c>
      <c r="Q2595" s="79" t="str">
        <f>IF(AND(B2595='111'!$L$11,OR($N2595=$Q$7,$O2595=$Q$7)),"x","")</f>
        <v/>
      </c>
      <c r="R2595" s="79" t="str">
        <f>IF(AND($N2595=$Q$7,$B2595&lt;'111'!$L$11),"x","")</f>
        <v/>
      </c>
      <c r="S2595" s="79" t="str">
        <f>IF(AND($O2595=$Q$7,$B2595&lt;'111'!$L$11),"x","")</f>
        <v/>
      </c>
      <c r="T2595" s="79" t="str">
        <f>IF(ISERROR(FIND('112'!$M$9,G2595,1)),"",IF((AND(FIND('112'!$M$9,G2595,1)&gt;=1,B2595='112'!$K$9,OR($N2595='112'!$I$6,$O2595='112'!$I$6))),"x",""))</f>
        <v/>
      </c>
      <c r="U2595" s="79" t="str">
        <f>IF(ISERROR(FIND('112'!$M$9,G2595,1)),"",IF((AND(LEFT(G2595,2)=LEFT('112'!$M$9,2),B2595&lt;'112'!$K$9,$N2595='112'!$I$6)),"x",""))</f>
        <v/>
      </c>
      <c r="V2595" s="79" t="str">
        <f>IF(ISERROR(FIND('112'!$M$9,G2595,1)),"",IF((AND(RIGHT(G2595,2)=RIGHT('112'!$M$9,2),B2595&lt;'112'!$K$9,$O2595='112'!$I$6)),"x",""))</f>
        <v/>
      </c>
      <c r="W2595" s="79" t="str">
        <f>IF(AND('341-CT'!$H$9=H2595,OR(LEFT(N2595,3)=$W$7,LEFT(O2595,3)=$W$7)),"x","")</f>
        <v/>
      </c>
      <c r="X2595" s="79" t="str">
        <f>IF(OR(TH!N2595=TH!$X$7,O2595=TH!$X$7),"x","")</f>
        <v/>
      </c>
      <c r="Y2595" s="79" t="str">
        <f>IF(AND(OR(N2595="131",O2595="131"),H2595='131-CT'!$H$9),"x","")</f>
        <v/>
      </c>
      <c r="Z2595" s="79"/>
      <c r="AA2595" s="79" t="str">
        <f>IF(AND(MONTH(E2595)='IN-NX'!$J$5,'IN-NX'!$D$7=D2595),"x","")</f>
        <v/>
      </c>
      <c r="AB2595" s="79" t="str">
        <f>IF(AND(OR(LEFT(TH!N2595,2)="15",LEFT(TH!O2595,2)="15"),LEFT(TH!O2595,3)&lt;&gt;"111",'152-CT'!$J$8=TH!F2595),"x","")</f>
        <v/>
      </c>
      <c r="AC2595" s="79" t="str">
        <f>IF(AND(OR(LEFT(TH!N2595,2)="15",LEFT(TH!O2595,2)="15"),TK!$E$7=TH!F2595),"x","")</f>
        <v/>
      </c>
      <c r="AD2595" s="79" t="str">
        <f>IF(AND(N2595="1521",MONTH(C2595)='BK-NL'!$M$11),"x","")</f>
        <v/>
      </c>
    </row>
    <row r="2596" spans="1:30" ht="16.5" customHeight="1">
      <c r="A2596" s="318" t="str">
        <f>IF(B2596&lt;&gt;"",IF(AND(B2596='IN-TC'!$S$4,OR(TH!N2596="1111",TH!O2596="1111")),TH!D2596,""),"")</f>
        <v/>
      </c>
      <c r="B2596" s="60" t="str">
        <f t="shared" si="250"/>
        <v/>
      </c>
      <c r="C2596" s="301"/>
      <c r="D2596" s="301"/>
      <c r="E2596" s="301"/>
      <c r="F2596" s="1162"/>
      <c r="G2596" s="968"/>
      <c r="H2596" s="303"/>
      <c r="I2596" s="385"/>
      <c r="J2596" s="969"/>
      <c r="K2596" s="385"/>
      <c r="L2596" s="392"/>
      <c r="M2596" s="970"/>
      <c r="N2596" s="304"/>
      <c r="O2596" s="304"/>
      <c r="P2596" s="79" t="str">
        <f>IF(AND('331-CT'!$E$7=TH!H2596,OR(N2596="331",O2596="331")),"x","")</f>
        <v/>
      </c>
      <c r="Q2596" s="79" t="str">
        <f>IF(AND(B2596='111'!$L$11,OR($N2596=$Q$7,$O2596=$Q$7)),"x","")</f>
        <v/>
      </c>
      <c r="R2596" s="79" t="str">
        <f>IF(AND($N2596=$Q$7,$B2596&lt;'111'!$L$11),"x","")</f>
        <v/>
      </c>
      <c r="S2596" s="79" t="str">
        <f>IF(AND($O2596=$Q$7,$B2596&lt;'111'!$L$11),"x","")</f>
        <v/>
      </c>
      <c r="T2596" s="79" t="str">
        <f>IF(ISERROR(FIND('112'!$M$9,G2596,1)),"",IF((AND(FIND('112'!$M$9,G2596,1)&gt;=1,B2596='112'!$K$9,OR($N2596='112'!$I$6,$O2596='112'!$I$6))),"x",""))</f>
        <v/>
      </c>
      <c r="U2596" s="79" t="str">
        <f>IF(ISERROR(FIND('112'!$M$9,G2596,1)),"",IF((AND(LEFT(G2596,2)=LEFT('112'!$M$9,2),B2596&lt;'112'!$K$9,$N2596='112'!$I$6)),"x",""))</f>
        <v/>
      </c>
      <c r="V2596" s="79" t="str">
        <f>IF(ISERROR(FIND('112'!$M$9,G2596,1)),"",IF((AND(RIGHT(G2596,2)=RIGHT('112'!$M$9,2),B2596&lt;'112'!$K$9,$O2596='112'!$I$6)),"x",""))</f>
        <v/>
      </c>
      <c r="W2596" s="79" t="str">
        <f>IF(AND('341-CT'!$H$9=H2596,OR(LEFT(N2596,3)=$W$7,LEFT(O2596,3)=$W$7)),"x","")</f>
        <v/>
      </c>
      <c r="X2596" s="79" t="str">
        <f>IF(OR(TH!N2596=TH!$X$7,O2596=TH!$X$7),"x","")</f>
        <v/>
      </c>
      <c r="Y2596" s="79" t="str">
        <f>IF(AND(OR(N2596="131",O2596="131"),H2596='131-CT'!$H$9),"x","")</f>
        <v/>
      </c>
      <c r="Z2596" s="79"/>
      <c r="AA2596" s="79" t="str">
        <f>IF(AND(MONTH(E2596)='IN-NX'!$J$5,'IN-NX'!$D$7=D2596),"x","")</f>
        <v/>
      </c>
      <c r="AB2596" s="79" t="str">
        <f>IF(AND(OR(LEFT(TH!N2596,2)="15",LEFT(TH!O2596,2)="15"),LEFT(TH!O2596,3)&lt;&gt;"111",'152-CT'!$J$8=TH!F2596),"x","")</f>
        <v/>
      </c>
      <c r="AC2596" s="79" t="str">
        <f>IF(AND(OR(LEFT(TH!N2596,2)="15",LEFT(TH!O2596,2)="15"),TK!$E$7=TH!F2596),"x","")</f>
        <v/>
      </c>
      <c r="AD2596" s="79" t="str">
        <f>IF(AND(N2596="1521",MONTH(C2596)='BK-NL'!$M$11),"x","")</f>
        <v/>
      </c>
    </row>
    <row r="2597" spans="1:30" ht="16.5" customHeight="1">
      <c r="A2597" s="318" t="str">
        <f>IF(B2597&lt;&gt;"",IF(AND(B2597='IN-TC'!$S$4,OR(TH!N2597="1111",TH!O2597="1111")),TH!D2597,""),"")</f>
        <v/>
      </c>
      <c r="B2597" s="60" t="str">
        <f t="shared" si="250"/>
        <v/>
      </c>
      <c r="C2597" s="301"/>
      <c r="D2597" s="301"/>
      <c r="E2597" s="301"/>
      <c r="F2597" s="302"/>
      <c r="G2597" s="968"/>
      <c r="H2597" s="303"/>
      <c r="I2597" s="385"/>
      <c r="J2597" s="969"/>
      <c r="K2597" s="385"/>
      <c r="L2597" s="392"/>
      <c r="M2597" s="970"/>
      <c r="N2597" s="304"/>
      <c r="O2597" s="304"/>
      <c r="P2597" s="79" t="str">
        <f>IF(AND('331-CT'!$E$7=TH!H2597,OR(N2597="331",O2597="331")),"x","")</f>
        <v/>
      </c>
      <c r="Q2597" s="79" t="str">
        <f>IF(AND(B2597='111'!$L$11,OR($N2597=$Q$7,$O2597=$Q$7)),"x","")</f>
        <v/>
      </c>
      <c r="R2597" s="79" t="str">
        <f>IF(AND($N2597=$Q$7,$B2597&lt;'111'!$L$11),"x","")</f>
        <v/>
      </c>
      <c r="S2597" s="79" t="str">
        <f>IF(AND($O2597=$Q$7,$B2597&lt;'111'!$L$11),"x","")</f>
        <v/>
      </c>
      <c r="T2597" s="79" t="str">
        <f>IF(ISERROR(FIND('112'!$M$9,G2597,1)),"",IF((AND(FIND('112'!$M$9,G2597,1)&gt;=1,B2597='112'!$K$9,OR($N2597='112'!$I$6,$O2597='112'!$I$6))),"x",""))</f>
        <v/>
      </c>
      <c r="U2597" s="79" t="str">
        <f>IF(ISERROR(FIND('112'!$M$9,G2597,1)),"",IF((AND(LEFT(G2597,2)=LEFT('112'!$M$9,2),B2597&lt;'112'!$K$9,$N2597='112'!$I$6)),"x",""))</f>
        <v/>
      </c>
      <c r="V2597" s="79" t="str">
        <f>IF(ISERROR(FIND('112'!$M$9,G2597,1)),"",IF((AND(RIGHT(G2597,2)=RIGHT('112'!$M$9,2),B2597&lt;'112'!$K$9,$O2597='112'!$I$6)),"x",""))</f>
        <v/>
      </c>
      <c r="W2597" s="79" t="str">
        <f>IF(AND('341-CT'!$H$9=H2597,OR(LEFT(N2597,3)=$W$7,LEFT(O2597,3)=$W$7)),"x","")</f>
        <v/>
      </c>
      <c r="X2597" s="79" t="str">
        <f>IF(OR(TH!N2597=TH!$X$7,O2597=TH!$X$7),"x","")</f>
        <v/>
      </c>
      <c r="Y2597" s="79" t="str">
        <f>IF(AND(OR(N2597="131",O2597="131"),H2597='131-CT'!$H$9),"x","")</f>
        <v/>
      </c>
      <c r="Z2597" s="79"/>
      <c r="AA2597" s="79" t="str">
        <f>IF(AND(MONTH(E2597)='IN-NX'!$J$5,'IN-NX'!$D$7=D2597),"x","")</f>
        <v/>
      </c>
      <c r="AB2597" s="79" t="str">
        <f>IF(AND(OR(LEFT(TH!N2597,2)="15",LEFT(TH!O2597,2)="15"),LEFT(TH!O2597,3)&lt;&gt;"111",'152-CT'!$J$8=TH!F2597),"x","")</f>
        <v/>
      </c>
      <c r="AC2597" s="79" t="str">
        <f>IF(AND(OR(LEFT(TH!N2597,2)="15",LEFT(TH!O2597,2)="15"),TK!$E$7=TH!F2597),"x","")</f>
        <v/>
      </c>
      <c r="AD2597" s="79" t="str">
        <f>IF(AND(N2597="1521",MONTH(C2597)='BK-NL'!$M$11),"x","")</f>
        <v/>
      </c>
    </row>
    <row r="2598" spans="1:30" ht="16.5" customHeight="1">
      <c r="A2598" s="318" t="str">
        <f>IF(B2598&lt;&gt;"",IF(AND(B2598='IN-TC'!$S$4,OR(TH!N2598="1111",TH!O2598="1111")),TH!D2598,""),"")</f>
        <v/>
      </c>
      <c r="B2598" s="60" t="str">
        <f t="shared" si="250"/>
        <v/>
      </c>
      <c r="C2598" s="301"/>
      <c r="D2598" s="301"/>
      <c r="E2598" s="301"/>
      <c r="F2598" s="302"/>
      <c r="G2598" s="968"/>
      <c r="H2598" s="303"/>
      <c r="I2598" s="385"/>
      <c r="J2598" s="969"/>
      <c r="K2598" s="385"/>
      <c r="L2598" s="392"/>
      <c r="M2598" s="970"/>
      <c r="N2598" s="304"/>
      <c r="O2598" s="304"/>
      <c r="P2598" s="79" t="str">
        <f>IF(AND('331-CT'!$E$7=TH!H2598,OR(N2598="331",O2598="331")),"x","")</f>
        <v/>
      </c>
      <c r="Q2598" s="79" t="str">
        <f>IF(AND(B2598='111'!$L$11,OR($N2598=$Q$7,$O2598=$Q$7)),"x","")</f>
        <v/>
      </c>
      <c r="R2598" s="79" t="str">
        <f>IF(AND($N2598=$Q$7,$B2598&lt;'111'!$L$11),"x","")</f>
        <v/>
      </c>
      <c r="S2598" s="79" t="str">
        <f>IF(AND($O2598=$Q$7,$B2598&lt;'111'!$L$11),"x","")</f>
        <v/>
      </c>
      <c r="T2598" s="79" t="str">
        <f>IF(ISERROR(FIND('112'!$M$9,G2598,1)),"",IF((AND(FIND('112'!$M$9,G2598,1)&gt;=1,B2598='112'!$K$9,OR($N2598='112'!$I$6,$O2598='112'!$I$6))),"x",""))</f>
        <v/>
      </c>
      <c r="U2598" s="79" t="str">
        <f>IF(ISERROR(FIND('112'!$M$9,G2598,1)),"",IF((AND(LEFT(G2598,2)=LEFT('112'!$M$9,2),B2598&lt;'112'!$K$9,$N2598='112'!$I$6)),"x",""))</f>
        <v/>
      </c>
      <c r="V2598" s="79" t="str">
        <f>IF(ISERROR(FIND('112'!$M$9,G2598,1)),"",IF((AND(RIGHT(G2598,2)=RIGHT('112'!$M$9,2),B2598&lt;'112'!$K$9,$O2598='112'!$I$6)),"x",""))</f>
        <v/>
      </c>
      <c r="W2598" s="79" t="str">
        <f>IF(AND('341-CT'!$H$9=H2598,OR(LEFT(N2598,3)=$W$7,LEFT(O2598,3)=$W$7)),"x","")</f>
        <v/>
      </c>
      <c r="X2598" s="79" t="str">
        <f>IF(OR(TH!N2598=TH!$X$7,O2598=TH!$X$7),"x","")</f>
        <v/>
      </c>
      <c r="Y2598" s="79" t="str">
        <f>IF(AND(OR(N2598="131",O2598="131"),H2598='131-CT'!$H$9),"x","")</f>
        <v/>
      </c>
      <c r="Z2598" s="79"/>
      <c r="AA2598" s="79" t="str">
        <f>IF(AND(MONTH(E2598)='IN-NX'!$J$5,'IN-NX'!$D$7=D2598),"x","")</f>
        <v/>
      </c>
      <c r="AB2598" s="79" t="str">
        <f>IF(AND(OR(LEFT(TH!N2598,2)="15",LEFT(TH!O2598,2)="15"),LEFT(TH!O2598,3)&lt;&gt;"111",'152-CT'!$J$8=TH!F2598),"x","")</f>
        <v/>
      </c>
      <c r="AC2598" s="79" t="str">
        <f>IF(AND(OR(LEFT(TH!N2598,2)="15",LEFT(TH!O2598,2)="15"),TK!$E$7=TH!F2598),"x","")</f>
        <v/>
      </c>
      <c r="AD2598" s="79" t="str">
        <f>IF(AND(N2598="1521",MONTH(C2598)='BK-NL'!$M$11),"x","")</f>
        <v/>
      </c>
    </row>
    <row r="2599" spans="1:30" ht="16.5" customHeight="1">
      <c r="A2599" s="318" t="str">
        <f>IF(B2599&lt;&gt;"",IF(AND(B2599='IN-TC'!$S$4,OR(TH!N2599="1111",TH!O2599="1111")),TH!D2599,""),"")</f>
        <v/>
      </c>
      <c r="B2599" s="60" t="str">
        <f t="shared" si="250"/>
        <v/>
      </c>
      <c r="C2599" s="301"/>
      <c r="D2599" s="301"/>
      <c r="E2599" s="301"/>
      <c r="F2599" s="302"/>
      <c r="G2599" s="968"/>
      <c r="H2599" s="303"/>
      <c r="I2599" s="385"/>
      <c r="J2599" s="969"/>
      <c r="K2599" s="385"/>
      <c r="L2599" s="392"/>
      <c r="M2599" s="970"/>
      <c r="N2599" s="304"/>
      <c r="O2599" s="304"/>
      <c r="P2599" s="79" t="str">
        <f>IF(AND('331-CT'!$E$7=TH!H2599,OR(N2599="331",O2599="331")),"x","")</f>
        <v/>
      </c>
      <c r="Q2599" s="79" t="str">
        <f>IF(AND(B2599='111'!$L$11,OR($N2599=$Q$7,$O2599=$Q$7)),"x","")</f>
        <v/>
      </c>
      <c r="R2599" s="79" t="str">
        <f>IF(AND($N2599=$Q$7,$B2599&lt;'111'!$L$11),"x","")</f>
        <v/>
      </c>
      <c r="S2599" s="79" t="str">
        <f>IF(AND($O2599=$Q$7,$B2599&lt;'111'!$L$11),"x","")</f>
        <v/>
      </c>
      <c r="T2599" s="79" t="str">
        <f>IF(ISERROR(FIND('112'!$M$9,G2599,1)),"",IF((AND(FIND('112'!$M$9,G2599,1)&gt;=1,B2599='112'!$K$9,OR($N2599='112'!$I$6,$O2599='112'!$I$6))),"x",""))</f>
        <v/>
      </c>
      <c r="U2599" s="79" t="str">
        <f>IF(ISERROR(FIND('112'!$M$9,G2599,1)),"",IF((AND(LEFT(G2599,2)=LEFT('112'!$M$9,2),B2599&lt;'112'!$K$9,$N2599='112'!$I$6)),"x",""))</f>
        <v/>
      </c>
      <c r="V2599" s="79" t="str">
        <f>IF(ISERROR(FIND('112'!$M$9,G2599,1)),"",IF((AND(RIGHT(G2599,2)=RIGHT('112'!$M$9,2),B2599&lt;'112'!$K$9,$O2599='112'!$I$6)),"x",""))</f>
        <v/>
      </c>
      <c r="W2599" s="79" t="str">
        <f>IF(AND('341-CT'!$H$9=H2599,OR(LEFT(N2599,3)=$W$7,LEFT(O2599,3)=$W$7)),"x","")</f>
        <v/>
      </c>
      <c r="X2599" s="79" t="str">
        <f>IF(OR(TH!N2599=TH!$X$7,O2599=TH!$X$7),"x","")</f>
        <v/>
      </c>
      <c r="Y2599" s="79" t="str">
        <f>IF(AND(OR(N2599="131",O2599="131"),H2599='131-CT'!$H$9),"x","")</f>
        <v/>
      </c>
      <c r="Z2599" s="79"/>
      <c r="AA2599" s="79" t="str">
        <f>IF(AND(MONTH(E2599)='IN-NX'!$J$5,'IN-NX'!$D$7=D2599),"x","")</f>
        <v/>
      </c>
      <c r="AB2599" s="79" t="str">
        <f>IF(AND(OR(LEFT(TH!N2599,2)="15",LEFT(TH!O2599,2)="15"),LEFT(TH!O2599,3)&lt;&gt;"111",'152-CT'!$J$8=TH!F2599),"x","")</f>
        <v/>
      </c>
      <c r="AC2599" s="79" t="str">
        <f>IF(AND(OR(LEFT(TH!N2599,2)="15",LEFT(TH!O2599,2)="15"),TK!$E$7=TH!F2599),"x","")</f>
        <v/>
      </c>
      <c r="AD2599" s="79" t="str">
        <f>IF(AND(N2599="1521",MONTH(C2599)='BK-NL'!$M$11),"x","")</f>
        <v/>
      </c>
    </row>
    <row r="2600" spans="1:30" ht="16.5" customHeight="1">
      <c r="A2600" s="318" t="str">
        <f>IF(B2600&lt;&gt;"",IF(AND(B2600='IN-TC'!$S$4,OR(TH!N2600="1111",TH!O2600="1111")),TH!D2600,""),"")</f>
        <v/>
      </c>
      <c r="B2600" s="60" t="str">
        <f t="shared" ref="B2600" si="253">IF(C2600&lt;&gt;"",MONTH(C2600),"")</f>
        <v/>
      </c>
      <c r="C2600" s="301"/>
      <c r="D2600" s="301"/>
      <c r="E2600" s="301"/>
      <c r="F2600" s="302"/>
      <c r="G2600" s="968"/>
      <c r="H2600" s="303"/>
      <c r="I2600" s="385"/>
      <c r="J2600" s="969"/>
      <c r="K2600" s="385"/>
      <c r="L2600" s="392"/>
      <c r="M2600" s="970"/>
      <c r="N2600" s="304"/>
      <c r="O2600" s="304"/>
      <c r="P2600" s="79" t="str">
        <f>IF(AND('331-CT'!$E$7=TH!H2600,OR(N2600="331",O2600="331")),"x","")</f>
        <v/>
      </c>
      <c r="Q2600" s="79" t="str">
        <f>IF(AND(B2600='111'!$L$11,OR($N2600=$Q$7,$O2600=$Q$7)),"x","")</f>
        <v/>
      </c>
      <c r="R2600" s="79" t="str">
        <f>IF(AND($N2600=$Q$7,$B2600&lt;'111'!$L$11),"x","")</f>
        <v/>
      </c>
      <c r="S2600" s="79" t="str">
        <f>IF(AND($O2600=$Q$7,$B2600&lt;'111'!$L$11),"x","")</f>
        <v/>
      </c>
      <c r="T2600" s="79" t="str">
        <f>IF(ISERROR(FIND('112'!$M$9,G2600,1)),"",IF((AND(FIND('112'!$M$9,G2600,1)&gt;=1,B2600='112'!$K$9,OR($N2600='112'!$I$6,$O2600='112'!$I$6))),"x",""))</f>
        <v/>
      </c>
      <c r="U2600" s="79" t="str">
        <f>IF(ISERROR(FIND('112'!$M$9,G2600,1)),"",IF((AND(LEFT(G2600,2)=LEFT('112'!$M$9,2),B2600&lt;'112'!$K$9,$N2600='112'!$I$6)),"x",""))</f>
        <v/>
      </c>
      <c r="V2600" s="79" t="str">
        <f>IF(ISERROR(FIND('112'!$M$9,G2600,1)),"",IF((AND(RIGHT(G2600,2)=RIGHT('112'!$M$9,2),B2600&lt;'112'!$K$9,$O2600='112'!$I$6)),"x",""))</f>
        <v/>
      </c>
      <c r="W2600" s="79" t="str">
        <f>IF(AND('341-CT'!$H$9=H2600,OR(LEFT(N2600,3)=$W$7,LEFT(O2600,3)=$W$7)),"x","")</f>
        <v/>
      </c>
      <c r="X2600" s="79" t="str">
        <f>IF(OR(TH!N2600=TH!$X$7,O2600=TH!$X$7),"x","")</f>
        <v/>
      </c>
      <c r="Y2600" s="79" t="str">
        <f>IF(AND(OR(N2600="131",O2600="131"),H2600='131-CT'!$H$9),"x","")</f>
        <v/>
      </c>
      <c r="Z2600" s="79"/>
      <c r="AA2600" s="79" t="str">
        <f>IF(AND(MONTH(E2600)='IN-NX'!$J$5,'IN-NX'!$D$7=D2600),"x","")</f>
        <v/>
      </c>
      <c r="AB2600" s="79" t="str">
        <f>IF(AND(OR(LEFT(TH!N2600,2)="15",LEFT(TH!O2600,2)="15"),LEFT(TH!O2600,3)&lt;&gt;"111",'152-CT'!$J$8=TH!F2600),"x","")</f>
        <v/>
      </c>
      <c r="AC2600" s="79" t="str">
        <f>IF(AND(OR(LEFT(TH!N2600,2)="15",LEFT(TH!O2600,2)="15"),TK!$E$7=TH!F2600),"x","")</f>
        <v/>
      </c>
      <c r="AD2600" s="79" t="str">
        <f>IF(AND(N2600="1521",MONTH(C2600)='BK-NL'!$M$11),"x","")</f>
        <v/>
      </c>
    </row>
    <row r="2601" spans="1:30" ht="16.5" customHeight="1">
      <c r="A2601" s="318" t="str">
        <f>IF(B2601&lt;&gt;"",IF(AND(B2601='IN-TC'!$S$4,OR(TH!N2601="1111",TH!O2601="1111")),TH!D2601,""),"")</f>
        <v/>
      </c>
      <c r="B2601" s="60" t="str">
        <f t="shared" ref="B2601:B2603" si="254">IF(C2601&lt;&gt;"",MONTH(C2601),"")</f>
        <v/>
      </c>
      <c r="C2601" s="301"/>
      <c r="D2601" s="301"/>
      <c r="E2601" s="301"/>
      <c r="F2601" s="302"/>
      <c r="G2601" s="968"/>
      <c r="H2601" s="303"/>
      <c r="I2601" s="385"/>
      <c r="J2601" s="969"/>
      <c r="K2601" s="385"/>
      <c r="L2601" s="392"/>
      <c r="M2601" s="970"/>
      <c r="N2601" s="304"/>
      <c r="O2601" s="304"/>
      <c r="P2601" s="79" t="str">
        <f>IF(AND('331-CT'!$E$7=TH!H2601,OR(N2601="331",O2601="331")),"x","")</f>
        <v/>
      </c>
      <c r="Q2601" s="79" t="str">
        <f>IF(AND(B2601='111'!$L$11,OR($N2601=$Q$7,$O2601=$Q$7)),"x","")</f>
        <v/>
      </c>
      <c r="R2601" s="79" t="str">
        <f>IF(AND($N2601=$Q$7,$B2601&lt;'111'!$L$11),"x","")</f>
        <v/>
      </c>
      <c r="S2601" s="79" t="str">
        <f>IF(AND($O2601=$Q$7,$B2601&lt;'111'!$L$11),"x","")</f>
        <v/>
      </c>
      <c r="T2601" s="79" t="str">
        <f>IF(ISERROR(FIND('112'!$M$9,G2601,1)),"",IF((AND(FIND('112'!$M$9,G2601,1)&gt;=1,B2601='112'!$K$9,OR($N2601='112'!$I$6,$O2601='112'!$I$6))),"x",""))</f>
        <v/>
      </c>
      <c r="U2601" s="79" t="str">
        <f>IF(ISERROR(FIND('112'!$M$9,G2601,1)),"",IF((AND(LEFT(G2601,2)=LEFT('112'!$M$9,2),B2601&lt;'112'!$K$9,$N2601='112'!$I$6)),"x",""))</f>
        <v/>
      </c>
      <c r="V2601" s="79" t="str">
        <f>IF(ISERROR(FIND('112'!$M$9,G2601,1)),"",IF((AND(RIGHT(G2601,2)=RIGHT('112'!$M$9,2),B2601&lt;'112'!$K$9,$O2601='112'!$I$6)),"x",""))</f>
        <v/>
      </c>
      <c r="W2601" s="79" t="str">
        <f>IF(AND('341-CT'!$H$9=H2601,OR(LEFT(N2601,3)=$W$7,LEFT(O2601,3)=$W$7)),"x","")</f>
        <v/>
      </c>
      <c r="X2601" s="79" t="str">
        <f>IF(OR(TH!N2601=TH!$X$7,O2601=TH!$X$7),"x","")</f>
        <v/>
      </c>
      <c r="Y2601" s="79" t="str">
        <f>IF(AND(OR(N2601="131",O2601="131"),H2601='131-CT'!$H$9),"x","")</f>
        <v/>
      </c>
      <c r="Z2601" s="79"/>
      <c r="AA2601" s="79" t="str">
        <f>IF(AND(MONTH(E2601)='IN-NX'!$J$5,'IN-NX'!$D$7=D2601),"x","")</f>
        <v/>
      </c>
      <c r="AB2601" s="79" t="str">
        <f>IF(AND(OR(LEFT(TH!N2601,2)="15",LEFT(TH!O2601,2)="15"),LEFT(TH!O2601,3)&lt;&gt;"111",'152-CT'!$J$8=TH!F2601),"x","")</f>
        <v/>
      </c>
      <c r="AC2601" s="79" t="str">
        <f>IF(AND(OR(LEFT(TH!N2601,2)="15",LEFT(TH!O2601,2)="15"),TK!$E$7=TH!F2601),"x","")</f>
        <v/>
      </c>
      <c r="AD2601" s="79" t="str">
        <f>IF(AND(N2601="1521",MONTH(C2601)='BK-NL'!$M$11),"x","")</f>
        <v/>
      </c>
    </row>
    <row r="2602" spans="1:30" ht="16.5" customHeight="1">
      <c r="A2602" s="318" t="str">
        <f>IF(B2602&lt;&gt;"",IF(AND(B2602='IN-TC'!$S$4,OR(TH!N2602="1111",TH!O2602="1111")),TH!D2602,""),"")</f>
        <v/>
      </c>
      <c r="B2602" s="60" t="str">
        <f t="shared" si="254"/>
        <v/>
      </c>
      <c r="C2602" s="301"/>
      <c r="D2602" s="301"/>
      <c r="E2602" s="301"/>
      <c r="F2602" s="302"/>
      <c r="G2602" s="968"/>
      <c r="H2602" s="303"/>
      <c r="I2602" s="385"/>
      <c r="J2602" s="969"/>
      <c r="K2602" s="385"/>
      <c r="L2602" s="392"/>
      <c r="M2602" s="970"/>
      <c r="N2602" s="304"/>
      <c r="O2602" s="304"/>
      <c r="P2602" s="79" t="str">
        <f>IF(AND('331-CT'!$E$7=TH!H2602,OR(N2602="331",O2602="331")),"x","")</f>
        <v/>
      </c>
      <c r="Q2602" s="79" t="str">
        <f>IF(AND(B2602='111'!$L$11,OR($N2602=$Q$7,$O2602=$Q$7)),"x","")</f>
        <v/>
      </c>
      <c r="R2602" s="79" t="str">
        <f>IF(AND($N2602=$Q$7,$B2602&lt;'111'!$L$11),"x","")</f>
        <v/>
      </c>
      <c r="S2602" s="79" t="str">
        <f>IF(AND($O2602=$Q$7,$B2602&lt;'111'!$L$11),"x","")</f>
        <v/>
      </c>
      <c r="T2602" s="79" t="str">
        <f>IF(ISERROR(FIND('112'!$M$9,G2602,1)),"",IF((AND(FIND('112'!$M$9,G2602,1)&gt;=1,B2602='112'!$K$9,OR($N2602='112'!$I$6,$O2602='112'!$I$6))),"x",""))</f>
        <v/>
      </c>
      <c r="U2602" s="79" t="str">
        <f>IF(ISERROR(FIND('112'!$M$9,G2602,1)),"",IF((AND(LEFT(G2602,2)=LEFT('112'!$M$9,2),B2602&lt;'112'!$K$9,$N2602='112'!$I$6)),"x",""))</f>
        <v/>
      </c>
      <c r="V2602" s="79" t="str">
        <f>IF(ISERROR(FIND('112'!$M$9,G2602,1)),"",IF((AND(RIGHT(G2602,2)=RIGHT('112'!$M$9,2),B2602&lt;'112'!$K$9,$O2602='112'!$I$6)),"x",""))</f>
        <v/>
      </c>
      <c r="W2602" s="79" t="str">
        <f>IF(AND('341-CT'!$H$9=H2602,OR(LEFT(N2602,3)=$W$7,LEFT(O2602,3)=$W$7)),"x","")</f>
        <v/>
      </c>
      <c r="X2602" s="79" t="str">
        <f>IF(OR(TH!N2602=TH!$X$7,O2602=TH!$X$7),"x","")</f>
        <v/>
      </c>
      <c r="Y2602" s="79" t="str">
        <f>IF(AND(OR(N2602="131",O2602="131"),H2602='131-CT'!$H$9),"x","")</f>
        <v/>
      </c>
      <c r="Z2602" s="79"/>
      <c r="AA2602" s="79" t="str">
        <f>IF(AND(MONTH(E2602)='IN-NX'!$J$5,'IN-NX'!$D$7=D2602),"x","")</f>
        <v/>
      </c>
      <c r="AB2602" s="79" t="str">
        <f>IF(AND(OR(LEFT(TH!N2602,2)="15",LEFT(TH!O2602,2)="15"),LEFT(TH!O2602,3)&lt;&gt;"111",'152-CT'!$J$8=TH!F2602),"x","")</f>
        <v/>
      </c>
      <c r="AC2602" s="79" t="str">
        <f>IF(AND(OR(LEFT(TH!N2602,2)="15",LEFT(TH!O2602,2)="15"),TK!$E$7=TH!F2602),"x","")</f>
        <v/>
      </c>
      <c r="AD2602" s="79" t="str">
        <f>IF(AND(N2602="1521",MONTH(C2602)='BK-NL'!$M$11),"x","")</f>
        <v/>
      </c>
    </row>
    <row r="2603" spans="1:30" ht="16.5" customHeight="1">
      <c r="A2603" s="318" t="str">
        <f>IF(B2603&lt;&gt;"",IF(AND(B2603='IN-TC'!$S$4,OR(TH!N2603="1111",TH!O2603="1111")),TH!D2603,""),"")</f>
        <v/>
      </c>
      <c r="B2603" s="60" t="str">
        <f t="shared" si="254"/>
        <v/>
      </c>
      <c r="C2603" s="301"/>
      <c r="D2603" s="301"/>
      <c r="E2603" s="301"/>
      <c r="F2603" s="302"/>
      <c r="G2603" s="968"/>
      <c r="H2603" s="303"/>
      <c r="I2603" s="385"/>
      <c r="J2603" s="969"/>
      <c r="K2603" s="385"/>
      <c r="L2603" s="392"/>
      <c r="M2603" s="970"/>
      <c r="N2603" s="304"/>
      <c r="O2603" s="304"/>
      <c r="P2603" s="79" t="str">
        <f>IF(AND('331-CT'!$E$7=TH!H2603,OR(N2603="331",O2603="331")),"x","")</f>
        <v/>
      </c>
      <c r="Q2603" s="79" t="str">
        <f>IF(AND(B2603='111'!$L$11,OR($N2603=$Q$7,$O2603=$Q$7)),"x","")</f>
        <v/>
      </c>
      <c r="R2603" s="79" t="str">
        <f>IF(AND($N2603=$Q$7,$B2603&lt;'111'!$L$11),"x","")</f>
        <v/>
      </c>
      <c r="S2603" s="79" t="str">
        <f>IF(AND($O2603=$Q$7,$B2603&lt;'111'!$L$11),"x","")</f>
        <v/>
      </c>
      <c r="T2603" s="79" t="str">
        <f>IF(ISERROR(FIND('112'!$M$9,G2603,1)),"",IF((AND(FIND('112'!$M$9,G2603,1)&gt;=1,B2603='112'!$K$9,OR($N2603='112'!$I$6,$O2603='112'!$I$6))),"x",""))</f>
        <v/>
      </c>
      <c r="U2603" s="79" t="str">
        <f>IF(ISERROR(FIND('112'!$M$9,G2603,1)),"",IF((AND(LEFT(G2603,2)=LEFT('112'!$M$9,2),B2603&lt;'112'!$K$9,$N2603='112'!$I$6)),"x",""))</f>
        <v/>
      </c>
      <c r="V2603" s="79" t="str">
        <f>IF(ISERROR(FIND('112'!$M$9,G2603,1)),"",IF((AND(RIGHT(G2603,2)=RIGHT('112'!$M$9,2),B2603&lt;'112'!$K$9,$O2603='112'!$I$6)),"x",""))</f>
        <v/>
      </c>
      <c r="W2603" s="79" t="str">
        <f>IF(AND('341-CT'!$H$9=H2603,OR(LEFT(N2603,3)=$W$7,LEFT(O2603,3)=$W$7)),"x","")</f>
        <v/>
      </c>
      <c r="X2603" s="79" t="str">
        <f>IF(OR(TH!N2603=TH!$X$7,O2603=TH!$X$7),"x","")</f>
        <v/>
      </c>
      <c r="Y2603" s="79" t="str">
        <f>IF(AND(OR(N2603="131",O2603="131"),H2603='131-CT'!$H$9),"x","")</f>
        <v/>
      </c>
      <c r="Z2603" s="79"/>
      <c r="AA2603" s="79" t="str">
        <f>IF(AND(MONTH(E2603)='IN-NX'!$J$5,'IN-NX'!$D$7=D2603),"x","")</f>
        <v/>
      </c>
      <c r="AB2603" s="79" t="str">
        <f>IF(AND(OR(LEFT(TH!N2603,2)="15",LEFT(TH!O2603,2)="15"),LEFT(TH!O2603,3)&lt;&gt;"111",'152-CT'!$J$8=TH!F2603),"x","")</f>
        <v/>
      </c>
      <c r="AC2603" s="79" t="str">
        <f>IF(AND(OR(LEFT(TH!N2603,2)="15",LEFT(TH!O2603,2)="15"),TK!$E$7=TH!F2603),"x","")</f>
        <v/>
      </c>
      <c r="AD2603" s="79" t="str">
        <f>IF(AND(N2603="1521",MONTH(C2603)='BK-NL'!$M$11),"x","")</f>
        <v/>
      </c>
    </row>
    <row r="2604" spans="1:30" ht="16.5" customHeight="1">
      <c r="A2604" s="318" t="str">
        <f>IF(B2604&lt;&gt;"",IF(AND(B2604='IN-TC'!$S$4,OR(TH!N2604="1111",TH!O2604="1111")),TH!D2604,""),"")</f>
        <v/>
      </c>
      <c r="B2604" s="60" t="str">
        <f t="shared" ref="B2604" si="255">IF(C2604&lt;&gt;"",MONTH(C2604),"")</f>
        <v/>
      </c>
      <c r="C2604" s="61"/>
      <c r="D2604" s="61"/>
      <c r="E2604" s="61"/>
      <c r="F2604" s="64"/>
      <c r="G2604" s="766"/>
      <c r="H2604" s="321"/>
      <c r="I2604" s="385"/>
      <c r="J2604" s="395"/>
      <c r="K2604" s="385"/>
      <c r="L2604" s="392"/>
      <c r="M2604" s="62"/>
      <c r="N2604" s="63"/>
      <c r="O2604" s="63"/>
      <c r="P2604" s="79" t="str">
        <f>IF(AND('331-CT'!$E$7=TH!H2604,OR(N2604="331",O2604="331")),"x","")</f>
        <v/>
      </c>
      <c r="Q2604" s="79" t="str">
        <f>IF(AND(B2604='111'!$L$11,OR($N2604=$Q$7,$O2604=$Q$7)),"x","")</f>
        <v/>
      </c>
      <c r="R2604" s="79" t="str">
        <f>IF(AND($N2604=$Q$7,$B2604&lt;'111'!$L$11),"x","")</f>
        <v/>
      </c>
      <c r="S2604" s="79" t="str">
        <f>IF(AND($O2604=$Q$7,$B2604&lt;'111'!$L$11),"x","")</f>
        <v/>
      </c>
      <c r="T2604" s="79" t="str">
        <f>IF(ISERROR(FIND('112'!$M$9,G2604,1)),"",IF((AND(FIND('112'!$M$9,G2604,1)&gt;=1,B2604='112'!$K$9,OR($N2604='112'!$I$6,$O2604='112'!$I$6))),"x",""))</f>
        <v/>
      </c>
      <c r="U2604" s="79" t="str">
        <f>IF(ISERROR(FIND('112'!$M$9,G2604,1)),"",IF((AND(LEFT(G2604,2)=LEFT('112'!$M$9,2),B2604&lt;'112'!$K$9,$N2604='112'!$I$6)),"x",""))</f>
        <v/>
      </c>
      <c r="V2604" s="79" t="str">
        <f>IF(ISERROR(FIND('112'!$M$9,G2604,1)),"",IF((AND(RIGHT(G2604,2)=RIGHT('112'!$M$9,2),B2604&lt;'112'!$K$9,$O2604='112'!$I$6)),"x",""))</f>
        <v/>
      </c>
      <c r="W2604" s="79" t="str">
        <f>IF(AND('341-CT'!$H$9=H2604,OR(LEFT(N2604,3)=$W$7,LEFT(O2604,3)=$W$7)),"x","")</f>
        <v/>
      </c>
      <c r="X2604" s="79" t="str">
        <f>IF(OR(TH!N2604=TH!$X$7,O2604=TH!$X$7),"x","")</f>
        <v/>
      </c>
      <c r="Y2604" s="79" t="str">
        <f>IF(AND(OR(N2604="131",O2604="131"),H2604='131-CT'!$H$9),"x","")</f>
        <v/>
      </c>
      <c r="Z2604" s="79"/>
      <c r="AA2604" s="79" t="str">
        <f>IF(AND(MONTH(E2604)='IN-NX'!$J$5,'IN-NX'!$D$7=D2604),"x","")</f>
        <v/>
      </c>
      <c r="AB2604" s="79" t="str">
        <f>IF(AND(OR(LEFT(TH!N2604,2)="15",LEFT(TH!O2604,2)="15"),LEFT(TH!O2604,3)&lt;&gt;"111",'152-CT'!$J$8=TH!F2604),"x","")</f>
        <v/>
      </c>
      <c r="AC2604" s="79" t="str">
        <f>IF(AND(OR(LEFT(TH!N2604,2)="15",LEFT(TH!O2604,2)="15"),TK!$E$7=TH!F2604),"x","")</f>
        <v/>
      </c>
      <c r="AD2604" s="79" t="str">
        <f>IF(AND(N2604="1521",MONTH(C2604)='BK-NL'!$M$11),"x","")</f>
        <v/>
      </c>
    </row>
    <row r="2605" spans="1:30" ht="16.5" customHeight="1">
      <c r="A2605" s="318" t="str">
        <f>IF(B2605&lt;&gt;"",IF(AND(B2605='IN-TC'!$S$4,OR(TH!N2605="1111",TH!O2605="1111")),TH!D2605,""),"")</f>
        <v/>
      </c>
      <c r="B2605" s="60" t="str">
        <f t="shared" ref="B2605" si="256">IF(C2605&lt;&gt;"",MONTH(C2605),"")</f>
        <v/>
      </c>
      <c r="C2605" s="301"/>
      <c r="D2605" s="301"/>
      <c r="E2605" s="301"/>
      <c r="F2605" s="1162"/>
      <c r="G2605" s="968"/>
      <c r="H2605" s="303"/>
      <c r="I2605" s="385"/>
      <c r="J2605" s="969"/>
      <c r="K2605" s="385"/>
      <c r="L2605" s="392"/>
      <c r="M2605" s="970"/>
      <c r="N2605" s="304"/>
      <c r="O2605" s="304"/>
      <c r="P2605" s="79" t="str">
        <f>IF(AND('331-CT'!$E$7=TH!H2605,OR(N2605="331",O2605="331")),"x","")</f>
        <v/>
      </c>
      <c r="Q2605" s="79" t="str">
        <f>IF(AND(B2605='111'!$L$11,OR($N2605=$Q$7,$O2605=$Q$7)),"x","")</f>
        <v/>
      </c>
      <c r="R2605" s="79" t="str">
        <f>IF(AND($N2605=$Q$7,$B2605&lt;'111'!$L$11),"x","")</f>
        <v/>
      </c>
      <c r="S2605" s="79" t="str">
        <f>IF(AND($O2605=$Q$7,$B2605&lt;'111'!$L$11),"x","")</f>
        <v/>
      </c>
      <c r="T2605" s="79" t="str">
        <f>IF(ISERROR(FIND('112'!$M$9,G2605,1)),"",IF((AND(FIND('112'!$M$9,G2605,1)&gt;=1,B2605='112'!$K$9,OR($N2605='112'!$I$6,$O2605='112'!$I$6))),"x",""))</f>
        <v/>
      </c>
      <c r="U2605" s="79" t="str">
        <f>IF(ISERROR(FIND('112'!$M$9,G2605,1)),"",IF((AND(LEFT(G2605,2)=LEFT('112'!$M$9,2),B2605&lt;'112'!$K$9,$N2605='112'!$I$6)),"x",""))</f>
        <v/>
      </c>
      <c r="V2605" s="79" t="str">
        <f>IF(ISERROR(FIND('112'!$M$9,G2605,1)),"",IF((AND(RIGHT(G2605,2)=RIGHT('112'!$M$9,2),B2605&lt;'112'!$K$9,$O2605='112'!$I$6)),"x",""))</f>
        <v/>
      </c>
      <c r="W2605" s="79" t="str">
        <f>IF(AND('341-CT'!$H$9=H2605,OR(LEFT(N2605,3)=$W$7,LEFT(O2605,3)=$W$7)),"x","")</f>
        <v/>
      </c>
      <c r="X2605" s="79" t="str">
        <f>IF(OR(TH!N2605=TH!$X$7,O2605=TH!$X$7),"x","")</f>
        <v/>
      </c>
      <c r="Y2605" s="79" t="str">
        <f>IF(AND(OR(N2605="131",O2605="131"),H2605='131-CT'!$H$9),"x","")</f>
        <v/>
      </c>
      <c r="Z2605" s="79"/>
      <c r="AA2605" s="79" t="str">
        <f>IF(AND(MONTH(E2605)='IN-NX'!$J$5,'IN-NX'!$D$7=D2605),"x","")</f>
        <v/>
      </c>
      <c r="AB2605" s="79" t="str">
        <f>IF(AND(OR(LEFT(TH!N2605,2)="15",LEFT(TH!O2605,2)="15"),LEFT(TH!O2605,3)&lt;&gt;"111",'152-CT'!$J$8=TH!F2605),"x","")</f>
        <v/>
      </c>
      <c r="AC2605" s="79" t="str">
        <f>IF(AND(OR(LEFT(TH!N2605,2)="15",LEFT(TH!O2605,2)="15"),TK!$E$7=TH!F2605),"x","")</f>
        <v/>
      </c>
      <c r="AD2605" s="79" t="str">
        <f>IF(AND(N2605="1521",MONTH(C2605)='BK-NL'!$M$11),"x","")</f>
        <v/>
      </c>
    </row>
    <row r="2606" spans="1:30" ht="16.5" customHeight="1">
      <c r="A2606" s="318" t="str">
        <f>IF(B2606&lt;&gt;"",IF(AND(B2606='IN-TC'!$S$4,OR(TH!N2606="1111",TH!O2606="1111")),TH!D2606,""),"")</f>
        <v/>
      </c>
      <c r="B2606" s="60" t="str">
        <f t="shared" si="250"/>
        <v/>
      </c>
      <c r="C2606" s="301"/>
      <c r="D2606" s="301"/>
      <c r="E2606" s="301"/>
      <c r="F2606" s="1162"/>
      <c r="G2606" s="968"/>
      <c r="H2606" s="303"/>
      <c r="I2606" s="385"/>
      <c r="J2606" s="969"/>
      <c r="K2606" s="385"/>
      <c r="L2606" s="392"/>
      <c r="M2606" s="970"/>
      <c r="N2606" s="304"/>
      <c r="O2606" s="304"/>
      <c r="P2606" s="79" t="str">
        <f>IF(AND('331-CT'!$E$7=TH!H2606,OR(N2606="331",O2606="331")),"x","")</f>
        <v/>
      </c>
      <c r="Q2606" s="79" t="str">
        <f>IF(AND(B2606='111'!$L$11,OR($N2606=$Q$7,$O2606=$Q$7)),"x","")</f>
        <v/>
      </c>
      <c r="R2606" s="79" t="str">
        <f>IF(AND($N2606=$Q$7,$B2606&lt;'111'!$L$11),"x","")</f>
        <v/>
      </c>
      <c r="S2606" s="79" t="str">
        <f>IF(AND($O2606=$Q$7,$B2606&lt;'111'!$L$11),"x","")</f>
        <v/>
      </c>
      <c r="T2606" s="79" t="str">
        <f>IF(ISERROR(FIND('112'!$M$9,G2606,1)),"",IF((AND(FIND('112'!$M$9,G2606,1)&gt;=1,B2606='112'!$K$9,OR($N2606='112'!$I$6,$O2606='112'!$I$6))),"x",""))</f>
        <v/>
      </c>
      <c r="U2606" s="79" t="str">
        <f>IF(ISERROR(FIND('112'!$M$9,G2606,1)),"",IF((AND(LEFT(G2606,2)=LEFT('112'!$M$9,2),B2606&lt;'112'!$K$9,$N2606='112'!$I$6)),"x",""))</f>
        <v/>
      </c>
      <c r="V2606" s="79" t="str">
        <f>IF(ISERROR(FIND('112'!$M$9,G2606,1)),"",IF((AND(RIGHT(G2606,2)=RIGHT('112'!$M$9,2),B2606&lt;'112'!$K$9,$O2606='112'!$I$6)),"x",""))</f>
        <v/>
      </c>
      <c r="W2606" s="79" t="str">
        <f>IF(AND('341-CT'!$H$9=H2606,OR(LEFT(N2606,3)=$W$7,LEFT(O2606,3)=$W$7)),"x","")</f>
        <v/>
      </c>
      <c r="X2606" s="79" t="str">
        <f>IF(OR(TH!N2606=TH!$X$7,O2606=TH!$X$7),"x","")</f>
        <v/>
      </c>
      <c r="Y2606" s="79" t="str">
        <f>IF(AND(OR(N2606="131",O2606="131"),H2606='131-CT'!$H$9),"x","")</f>
        <v/>
      </c>
      <c r="Z2606" s="79"/>
      <c r="AA2606" s="79" t="str">
        <f>IF(AND(MONTH(E2606)='IN-NX'!$J$5,'IN-NX'!$D$7=D2606),"x","")</f>
        <v/>
      </c>
      <c r="AB2606" s="79" t="str">
        <f>IF(AND(OR(LEFT(TH!N2606,2)="15",LEFT(TH!O2606,2)="15"),LEFT(TH!O2606,3)&lt;&gt;"111",'152-CT'!$J$8=TH!F2606),"x","")</f>
        <v/>
      </c>
      <c r="AC2606" s="79" t="str">
        <f>IF(AND(OR(LEFT(TH!N2606,2)="15",LEFT(TH!O2606,2)="15"),TK!$E$7=TH!F2606),"x","")</f>
        <v/>
      </c>
      <c r="AD2606" s="79" t="str">
        <f>IF(AND(N2606="1521",MONTH(C2606)='BK-NL'!$M$11),"x","")</f>
        <v/>
      </c>
    </row>
    <row r="2607" spans="1:30" ht="16.5" customHeight="1">
      <c r="A2607" s="318" t="str">
        <f>IF(B2607&lt;&gt;"",IF(AND(B2607='IN-TC'!$S$4,OR(TH!N2607="1111",TH!O2607="1111")),TH!D2607,""),"")</f>
        <v/>
      </c>
      <c r="B2607" s="60" t="str">
        <f t="shared" ref="B2607:B2616" si="257">IF(C2607&lt;&gt;"",MONTH(C2607),"")</f>
        <v/>
      </c>
      <c r="C2607" s="301"/>
      <c r="D2607" s="301"/>
      <c r="E2607" s="301"/>
      <c r="F2607" s="1162"/>
      <c r="G2607" s="968"/>
      <c r="H2607" s="303"/>
      <c r="I2607" s="385"/>
      <c r="J2607" s="969"/>
      <c r="K2607" s="385"/>
      <c r="L2607" s="392"/>
      <c r="M2607" s="970"/>
      <c r="N2607" s="304"/>
      <c r="O2607" s="304"/>
      <c r="P2607" s="79" t="str">
        <f>IF(AND('331-CT'!$E$7=TH!H2607,OR(N2607="331",O2607="331")),"x","")</f>
        <v/>
      </c>
      <c r="Q2607" s="79" t="str">
        <f>IF(AND(B2607='111'!$L$11,OR($N2607=$Q$7,$O2607=$Q$7)),"x","")</f>
        <v/>
      </c>
      <c r="R2607" s="79" t="str">
        <f>IF(AND($N2607=$Q$7,$B2607&lt;'111'!$L$11),"x","")</f>
        <v/>
      </c>
      <c r="S2607" s="79" t="str">
        <f>IF(AND($O2607=$Q$7,$B2607&lt;'111'!$L$11),"x","")</f>
        <v/>
      </c>
      <c r="T2607" s="79" t="str">
        <f>IF(ISERROR(FIND('112'!$M$9,G2607,1)),"",IF((AND(FIND('112'!$M$9,G2607,1)&gt;=1,B2607='112'!$K$9,OR($N2607='112'!$I$6,$O2607='112'!$I$6))),"x",""))</f>
        <v/>
      </c>
      <c r="U2607" s="79" t="str">
        <f>IF(ISERROR(FIND('112'!$M$9,G2607,1)),"",IF((AND(LEFT(G2607,2)=LEFT('112'!$M$9,2),B2607&lt;'112'!$K$9,$N2607='112'!$I$6)),"x",""))</f>
        <v/>
      </c>
      <c r="V2607" s="79" t="str">
        <f>IF(ISERROR(FIND('112'!$M$9,G2607,1)),"",IF((AND(RIGHT(G2607,2)=RIGHT('112'!$M$9,2),B2607&lt;'112'!$K$9,$O2607='112'!$I$6)),"x",""))</f>
        <v/>
      </c>
      <c r="W2607" s="79" t="str">
        <f>IF(AND('341-CT'!$H$9=H2607,OR(LEFT(N2607,3)=$W$7,LEFT(O2607,3)=$W$7)),"x","")</f>
        <v/>
      </c>
      <c r="X2607" s="79" t="str">
        <f>IF(OR(TH!N2607=TH!$X$7,O2607=TH!$X$7),"x","")</f>
        <v/>
      </c>
      <c r="Y2607" s="79" t="str">
        <f>IF(AND(OR(N2607="131",O2607="131"),H2607='131-CT'!$H$9),"x","")</f>
        <v/>
      </c>
      <c r="Z2607" s="79"/>
      <c r="AA2607" s="79" t="str">
        <f>IF(AND(MONTH(E2607)='IN-NX'!$J$5,'IN-NX'!$D$7=D2607),"x","")</f>
        <v/>
      </c>
      <c r="AB2607" s="79" t="str">
        <f>IF(AND(OR(LEFT(TH!N2607,2)="15",LEFT(TH!O2607,2)="15"),LEFT(TH!O2607,3)&lt;&gt;"111",'152-CT'!$J$8=TH!F2607),"x","")</f>
        <v/>
      </c>
      <c r="AC2607" s="79" t="str">
        <f>IF(AND(OR(LEFT(TH!N2607,2)="15",LEFT(TH!O2607,2)="15"),TK!$E$7=TH!F2607),"x","")</f>
        <v/>
      </c>
      <c r="AD2607" s="79" t="str">
        <f>IF(AND(N2607="1521",MONTH(C2607)='BK-NL'!$M$11),"x","")</f>
        <v/>
      </c>
    </row>
    <row r="2608" spans="1:30" ht="16.5" customHeight="1">
      <c r="A2608" s="318" t="str">
        <f>IF(B2608&lt;&gt;"",IF(AND(B2608='IN-TC'!$S$4,OR(TH!N2608="1111",TH!O2608="1111")),TH!D2608,""),"")</f>
        <v/>
      </c>
      <c r="B2608" s="60" t="str">
        <f t="shared" si="257"/>
        <v/>
      </c>
      <c r="C2608" s="301"/>
      <c r="D2608" s="301"/>
      <c r="E2608" s="301"/>
      <c r="F2608" s="1162"/>
      <c r="G2608" s="968"/>
      <c r="H2608" s="303"/>
      <c r="I2608" s="385"/>
      <c r="J2608" s="969"/>
      <c r="K2608" s="385"/>
      <c r="L2608" s="392"/>
      <c r="M2608" s="970"/>
      <c r="N2608" s="304"/>
      <c r="O2608" s="304"/>
      <c r="P2608" s="79" t="str">
        <f>IF(AND('331-CT'!$E$7=TH!H2608,OR(N2608="331",O2608="331")),"x","")</f>
        <v/>
      </c>
      <c r="Q2608" s="79" t="str">
        <f>IF(AND(B2608='111'!$L$11,OR($N2608=$Q$7,$O2608=$Q$7)),"x","")</f>
        <v/>
      </c>
      <c r="R2608" s="79" t="str">
        <f>IF(AND($N2608=$Q$7,$B2608&lt;'111'!$L$11),"x","")</f>
        <v/>
      </c>
      <c r="S2608" s="79" t="str">
        <f>IF(AND($O2608=$Q$7,$B2608&lt;'111'!$L$11),"x","")</f>
        <v/>
      </c>
      <c r="T2608" s="79" t="str">
        <f>IF(ISERROR(FIND('112'!$M$9,G2608,1)),"",IF((AND(FIND('112'!$M$9,G2608,1)&gt;=1,B2608='112'!$K$9,OR($N2608='112'!$I$6,$O2608='112'!$I$6))),"x",""))</f>
        <v/>
      </c>
      <c r="U2608" s="79" t="str">
        <f>IF(ISERROR(FIND('112'!$M$9,G2608,1)),"",IF((AND(LEFT(G2608,2)=LEFT('112'!$M$9,2),B2608&lt;'112'!$K$9,$N2608='112'!$I$6)),"x",""))</f>
        <v/>
      </c>
      <c r="V2608" s="79" t="str">
        <f>IF(ISERROR(FIND('112'!$M$9,G2608,1)),"",IF((AND(RIGHT(G2608,2)=RIGHT('112'!$M$9,2),B2608&lt;'112'!$K$9,$O2608='112'!$I$6)),"x",""))</f>
        <v/>
      </c>
      <c r="W2608" s="79" t="str">
        <f>IF(AND('341-CT'!$H$9=H2608,OR(LEFT(N2608,3)=$W$7,LEFT(O2608,3)=$W$7)),"x","")</f>
        <v/>
      </c>
      <c r="X2608" s="79" t="str">
        <f>IF(OR(TH!N2608=TH!$X$7,O2608=TH!$X$7),"x","")</f>
        <v/>
      </c>
      <c r="Y2608" s="79" t="str">
        <f>IF(AND(OR(N2608="131",O2608="131"),H2608='131-CT'!$H$9),"x","")</f>
        <v/>
      </c>
      <c r="Z2608" s="79"/>
      <c r="AA2608" s="79" t="str">
        <f>IF(AND(MONTH(E2608)='IN-NX'!$J$5,'IN-NX'!$D$7=D2608),"x","")</f>
        <v/>
      </c>
      <c r="AB2608" s="79" t="str">
        <f>IF(AND(OR(LEFT(TH!N2608,2)="15",LEFT(TH!O2608,2)="15"),LEFT(TH!O2608,3)&lt;&gt;"111",'152-CT'!$J$8=TH!F2608),"x","")</f>
        <v/>
      </c>
      <c r="AC2608" s="79" t="str">
        <f>IF(AND(OR(LEFT(TH!N2608,2)="15",LEFT(TH!O2608,2)="15"),TK!$E$7=TH!F2608),"x","")</f>
        <v/>
      </c>
      <c r="AD2608" s="79" t="str">
        <f>IF(AND(N2608="1521",MONTH(C2608)='BK-NL'!$M$11),"x","")</f>
        <v/>
      </c>
    </row>
    <row r="2609" spans="1:30" ht="16.5" customHeight="1">
      <c r="A2609" s="318" t="str">
        <f>IF(B2609&lt;&gt;"",IF(AND(B2609='IN-TC'!$S$4,OR(TH!N2609="1111",TH!O2609="1111")),TH!D2609,""),"")</f>
        <v/>
      </c>
      <c r="B2609" s="60" t="str">
        <f t="shared" ref="B2609" si="258">IF(C2609&lt;&gt;"",MONTH(C2609),"")</f>
        <v/>
      </c>
      <c r="C2609" s="301"/>
      <c r="D2609" s="301"/>
      <c r="E2609" s="301"/>
      <c r="F2609" s="1162"/>
      <c r="G2609" s="968"/>
      <c r="H2609" s="303"/>
      <c r="I2609" s="385"/>
      <c r="J2609" s="969"/>
      <c r="K2609" s="385"/>
      <c r="L2609" s="392"/>
      <c r="M2609" s="970"/>
      <c r="N2609" s="304"/>
      <c r="O2609" s="304"/>
      <c r="P2609" s="79" t="str">
        <f>IF(AND('331-CT'!$E$7=TH!H2609,OR(N2609="331",O2609="331")),"x","")</f>
        <v/>
      </c>
      <c r="Q2609" s="79" t="str">
        <f>IF(AND(B2609='111'!$L$11,OR($N2609=$Q$7,$O2609=$Q$7)),"x","")</f>
        <v/>
      </c>
      <c r="R2609" s="79" t="str">
        <f>IF(AND($N2609=$Q$7,$B2609&lt;'111'!$L$11),"x","")</f>
        <v/>
      </c>
      <c r="S2609" s="79" t="str">
        <f>IF(AND($O2609=$Q$7,$B2609&lt;'111'!$L$11),"x","")</f>
        <v/>
      </c>
      <c r="T2609" s="79" t="str">
        <f>IF(ISERROR(FIND('112'!$M$9,G2609,1)),"",IF((AND(FIND('112'!$M$9,G2609,1)&gt;=1,B2609='112'!$K$9,OR($N2609='112'!$I$6,$O2609='112'!$I$6))),"x",""))</f>
        <v/>
      </c>
      <c r="U2609" s="79" t="str">
        <f>IF(ISERROR(FIND('112'!$M$9,G2609,1)),"",IF((AND(LEFT(G2609,2)=LEFT('112'!$M$9,2),B2609&lt;'112'!$K$9,$N2609='112'!$I$6)),"x",""))</f>
        <v/>
      </c>
      <c r="V2609" s="79" t="str">
        <f>IF(ISERROR(FIND('112'!$M$9,G2609,1)),"",IF((AND(RIGHT(G2609,2)=RIGHT('112'!$M$9,2),B2609&lt;'112'!$K$9,$O2609='112'!$I$6)),"x",""))</f>
        <v/>
      </c>
      <c r="W2609" s="79" t="str">
        <f>IF(AND('341-CT'!$H$9=H2609,OR(LEFT(N2609,3)=$W$7,LEFT(O2609,3)=$W$7)),"x","")</f>
        <v/>
      </c>
      <c r="X2609" s="79" t="str">
        <f>IF(OR(TH!N2609=TH!$X$7,O2609=TH!$X$7),"x","")</f>
        <v/>
      </c>
      <c r="Y2609" s="79" t="str">
        <f>IF(AND(OR(N2609="131",O2609="131"),H2609='131-CT'!$H$9),"x","")</f>
        <v/>
      </c>
      <c r="Z2609" s="79"/>
      <c r="AA2609" s="79" t="str">
        <f>IF(AND(MONTH(E2609)='IN-NX'!$J$5,'IN-NX'!$D$7=D2609),"x","")</f>
        <v/>
      </c>
      <c r="AB2609" s="79" t="str">
        <f>IF(AND(OR(LEFT(TH!N2609,2)="15",LEFT(TH!O2609,2)="15"),LEFT(TH!O2609,3)&lt;&gt;"111",'152-CT'!$J$8=TH!F2609),"x","")</f>
        <v/>
      </c>
      <c r="AC2609" s="79" t="str">
        <f>IF(AND(OR(LEFT(TH!N2609,2)="15",LEFT(TH!O2609,2)="15"),TK!$E$7=TH!F2609),"x","")</f>
        <v/>
      </c>
      <c r="AD2609" s="79" t="str">
        <f>IF(AND(N2609="1521",MONTH(C2609)='BK-NL'!$M$11),"x","")</f>
        <v/>
      </c>
    </row>
    <row r="2610" spans="1:30" ht="16.5" customHeight="1">
      <c r="A2610" s="318" t="str">
        <f>IF(B2610&lt;&gt;"",IF(AND(B2610='IN-TC'!$S$4,OR(TH!N2610="1111",TH!O2610="1111")),TH!D2610,""),"")</f>
        <v/>
      </c>
      <c r="B2610" s="60" t="str">
        <f t="shared" ref="B2610" si="259">IF(C2610&lt;&gt;"",MONTH(C2610),"")</f>
        <v/>
      </c>
      <c r="C2610" s="301"/>
      <c r="D2610" s="301"/>
      <c r="E2610" s="301"/>
      <c r="F2610" s="1162"/>
      <c r="G2610" s="968"/>
      <c r="H2610" s="303"/>
      <c r="I2610" s="385"/>
      <c r="J2610" s="969"/>
      <c r="K2610" s="385"/>
      <c r="L2610" s="392"/>
      <c r="M2610" s="970"/>
      <c r="N2610" s="304"/>
      <c r="O2610" s="304"/>
      <c r="P2610" s="79" t="str">
        <f>IF(AND('331-CT'!$E$7=TH!H2610,OR(N2610="331",O2610="331")),"x","")</f>
        <v/>
      </c>
      <c r="Q2610" s="79" t="str">
        <f>IF(AND(B2610='111'!$L$11,OR($N2610=$Q$7,$O2610=$Q$7)),"x","")</f>
        <v/>
      </c>
      <c r="R2610" s="79" t="str">
        <f>IF(AND($N2610=$Q$7,$B2610&lt;'111'!$L$11),"x","")</f>
        <v/>
      </c>
      <c r="S2610" s="79" t="str">
        <f>IF(AND($O2610=$Q$7,$B2610&lt;'111'!$L$11),"x","")</f>
        <v/>
      </c>
      <c r="T2610" s="79" t="str">
        <f>IF(ISERROR(FIND('112'!$M$9,G2610,1)),"",IF((AND(FIND('112'!$M$9,G2610,1)&gt;=1,B2610='112'!$K$9,OR($N2610='112'!$I$6,$O2610='112'!$I$6))),"x",""))</f>
        <v/>
      </c>
      <c r="U2610" s="79" t="str">
        <f>IF(ISERROR(FIND('112'!$M$9,G2610,1)),"",IF((AND(LEFT(G2610,2)=LEFT('112'!$M$9,2),B2610&lt;'112'!$K$9,$N2610='112'!$I$6)),"x",""))</f>
        <v/>
      </c>
      <c r="V2610" s="79" t="str">
        <f>IF(ISERROR(FIND('112'!$M$9,G2610,1)),"",IF((AND(RIGHT(G2610,2)=RIGHT('112'!$M$9,2),B2610&lt;'112'!$K$9,$O2610='112'!$I$6)),"x",""))</f>
        <v/>
      </c>
      <c r="W2610" s="79" t="str">
        <f>IF(AND('341-CT'!$H$9=H2610,OR(LEFT(N2610,3)=$W$7,LEFT(O2610,3)=$W$7)),"x","")</f>
        <v/>
      </c>
      <c r="X2610" s="79" t="str">
        <f>IF(OR(TH!N2610=TH!$X$7,O2610=TH!$X$7),"x","")</f>
        <v/>
      </c>
      <c r="Y2610" s="79" t="str">
        <f>IF(AND(OR(N2610="131",O2610="131"),H2610='131-CT'!$H$9),"x","")</f>
        <v/>
      </c>
      <c r="Z2610" s="79"/>
      <c r="AA2610" s="79" t="str">
        <f>IF(AND(MONTH(E2610)='IN-NX'!$J$5,'IN-NX'!$D$7=D2610),"x","")</f>
        <v/>
      </c>
      <c r="AB2610" s="79" t="str">
        <f>IF(AND(OR(LEFT(TH!N2610,2)="15",LEFT(TH!O2610,2)="15"),LEFT(TH!O2610,3)&lt;&gt;"111",'152-CT'!$J$8=TH!F2610),"x","")</f>
        <v/>
      </c>
      <c r="AC2610" s="79" t="str">
        <f>IF(AND(OR(LEFT(TH!N2610,2)="15",LEFT(TH!O2610,2)="15"),TK!$E$7=TH!F2610),"x","")</f>
        <v/>
      </c>
      <c r="AD2610" s="79" t="str">
        <f>IF(AND(N2610="1521",MONTH(C2610)='BK-NL'!$M$11),"x","")</f>
        <v/>
      </c>
    </row>
    <row r="2611" spans="1:30" ht="16.5" customHeight="1">
      <c r="A2611" s="318" t="str">
        <f>IF(B2611&lt;&gt;"",IF(AND(B2611='IN-TC'!$S$4,OR(TH!N2611="1111",TH!O2611="1111")),TH!D2611,""),"")</f>
        <v/>
      </c>
      <c r="B2611" s="60" t="str">
        <f t="shared" ref="B2611:B2614" si="260">IF(C2611&lt;&gt;"",MONTH(C2611),"")</f>
        <v/>
      </c>
      <c r="C2611" s="301"/>
      <c r="D2611" s="301"/>
      <c r="E2611" s="301"/>
      <c r="F2611" s="1162"/>
      <c r="G2611" s="968"/>
      <c r="H2611" s="303"/>
      <c r="I2611" s="385"/>
      <c r="J2611" s="969"/>
      <c r="K2611" s="385"/>
      <c r="L2611" s="392"/>
      <c r="M2611" s="970"/>
      <c r="N2611" s="304"/>
      <c r="O2611" s="304"/>
      <c r="P2611" s="79" t="str">
        <f>IF(AND('331-CT'!$E$7=TH!H2611,OR(N2611="331",O2611="331")),"x","")</f>
        <v/>
      </c>
      <c r="Q2611" s="79" t="str">
        <f>IF(AND(B2611='111'!$L$11,OR($N2611=$Q$7,$O2611=$Q$7)),"x","")</f>
        <v/>
      </c>
      <c r="R2611" s="79" t="str">
        <f>IF(AND($N2611=$Q$7,$B2611&lt;'111'!$L$11),"x","")</f>
        <v/>
      </c>
      <c r="S2611" s="79" t="str">
        <f>IF(AND($O2611=$Q$7,$B2611&lt;'111'!$L$11),"x","")</f>
        <v/>
      </c>
      <c r="T2611" s="79" t="str">
        <f>IF(ISERROR(FIND('112'!$M$9,G2611,1)),"",IF((AND(FIND('112'!$M$9,G2611,1)&gt;=1,B2611='112'!$K$9,OR($N2611='112'!$I$6,$O2611='112'!$I$6))),"x",""))</f>
        <v/>
      </c>
      <c r="U2611" s="79" t="str">
        <f>IF(ISERROR(FIND('112'!$M$9,G2611,1)),"",IF((AND(LEFT(G2611,2)=LEFT('112'!$M$9,2),B2611&lt;'112'!$K$9,$N2611='112'!$I$6)),"x",""))</f>
        <v/>
      </c>
      <c r="V2611" s="79" t="str">
        <f>IF(ISERROR(FIND('112'!$M$9,G2611,1)),"",IF((AND(RIGHT(G2611,2)=RIGHT('112'!$M$9,2),B2611&lt;'112'!$K$9,$O2611='112'!$I$6)),"x",""))</f>
        <v/>
      </c>
      <c r="W2611" s="79" t="str">
        <f>IF(AND('341-CT'!$H$9=H2611,OR(LEFT(N2611,3)=$W$7,LEFT(O2611,3)=$W$7)),"x","")</f>
        <v/>
      </c>
      <c r="X2611" s="79" t="str">
        <f>IF(OR(TH!N2611=TH!$X$7,O2611=TH!$X$7),"x","")</f>
        <v/>
      </c>
      <c r="Y2611" s="79" t="str">
        <f>IF(AND(OR(N2611="131",O2611="131"),H2611='131-CT'!$H$9),"x","")</f>
        <v/>
      </c>
      <c r="Z2611" s="79"/>
      <c r="AA2611" s="79" t="str">
        <f>IF(AND(MONTH(E2611)='IN-NX'!$J$5,'IN-NX'!$D$7=D2611),"x","")</f>
        <v/>
      </c>
      <c r="AB2611" s="79" t="str">
        <f>IF(AND(OR(LEFT(TH!N2611,2)="15",LEFT(TH!O2611,2)="15"),LEFT(TH!O2611,3)&lt;&gt;"111",'152-CT'!$J$8=TH!F2611),"x","")</f>
        <v/>
      </c>
      <c r="AC2611" s="79" t="str">
        <f>IF(AND(OR(LEFT(TH!N2611,2)="15",LEFT(TH!O2611,2)="15"),TK!$E$7=TH!F2611),"x","")</f>
        <v/>
      </c>
      <c r="AD2611" s="79" t="str">
        <f>IF(AND(N2611="1521",MONTH(C2611)='BK-NL'!$M$11),"x","")</f>
        <v/>
      </c>
    </row>
    <row r="2612" spans="1:30" ht="16.5" customHeight="1">
      <c r="A2612" s="318" t="str">
        <f>IF(B2612&lt;&gt;"",IF(AND(B2612='IN-TC'!$S$4,OR(TH!N2612="1111",TH!O2612="1111")),TH!D2612,""),"")</f>
        <v/>
      </c>
      <c r="B2612" s="60" t="str">
        <f t="shared" si="260"/>
        <v/>
      </c>
      <c r="C2612" s="301"/>
      <c r="D2612" s="301"/>
      <c r="E2612" s="301"/>
      <c r="F2612" s="1162"/>
      <c r="G2612" s="968"/>
      <c r="H2612" s="303"/>
      <c r="I2612" s="385"/>
      <c r="J2612" s="969"/>
      <c r="K2612" s="385"/>
      <c r="L2612" s="392"/>
      <c r="M2612" s="970"/>
      <c r="N2612" s="304"/>
      <c r="O2612" s="304"/>
      <c r="P2612" s="79" t="str">
        <f>IF(AND('331-CT'!$E$7=TH!H2612,OR(N2612="331",O2612="331")),"x","")</f>
        <v/>
      </c>
      <c r="Q2612" s="79" t="str">
        <f>IF(AND(B2612='111'!$L$11,OR($N2612=$Q$7,$O2612=$Q$7)),"x","")</f>
        <v/>
      </c>
      <c r="R2612" s="79" t="str">
        <f>IF(AND($N2612=$Q$7,$B2612&lt;'111'!$L$11),"x","")</f>
        <v/>
      </c>
      <c r="S2612" s="79" t="str">
        <f>IF(AND($O2612=$Q$7,$B2612&lt;'111'!$L$11),"x","")</f>
        <v/>
      </c>
      <c r="T2612" s="79" t="str">
        <f>IF(ISERROR(FIND('112'!$M$9,G2612,1)),"",IF((AND(FIND('112'!$M$9,G2612,1)&gt;=1,B2612='112'!$K$9,OR($N2612='112'!$I$6,$O2612='112'!$I$6))),"x",""))</f>
        <v/>
      </c>
      <c r="U2612" s="79" t="str">
        <f>IF(ISERROR(FIND('112'!$M$9,G2612,1)),"",IF((AND(LEFT(G2612,2)=LEFT('112'!$M$9,2),B2612&lt;'112'!$K$9,$N2612='112'!$I$6)),"x",""))</f>
        <v/>
      </c>
      <c r="V2612" s="79" t="str">
        <f>IF(ISERROR(FIND('112'!$M$9,G2612,1)),"",IF((AND(RIGHT(G2612,2)=RIGHT('112'!$M$9,2),B2612&lt;'112'!$K$9,$O2612='112'!$I$6)),"x",""))</f>
        <v/>
      </c>
      <c r="W2612" s="79" t="str">
        <f>IF(AND('341-CT'!$H$9=H2612,OR(LEFT(N2612,3)=$W$7,LEFT(O2612,3)=$W$7)),"x","")</f>
        <v/>
      </c>
      <c r="X2612" s="79" t="str">
        <f>IF(OR(TH!N2612=TH!$X$7,O2612=TH!$X$7),"x","")</f>
        <v/>
      </c>
      <c r="Y2612" s="79" t="str">
        <f>IF(AND(OR(N2612="131",O2612="131"),H2612='131-CT'!$H$9),"x","")</f>
        <v/>
      </c>
      <c r="Z2612" s="79"/>
      <c r="AA2612" s="79" t="str">
        <f>IF(AND(MONTH(E2612)='IN-NX'!$J$5,'IN-NX'!$D$7=D2612),"x","")</f>
        <v/>
      </c>
      <c r="AB2612" s="79" t="str">
        <f>IF(AND(OR(LEFT(TH!N2612,2)="15",LEFT(TH!O2612,2)="15"),LEFT(TH!O2612,3)&lt;&gt;"111",'152-CT'!$J$8=TH!F2612),"x","")</f>
        <v/>
      </c>
      <c r="AC2612" s="79" t="str">
        <f>IF(AND(OR(LEFT(TH!N2612,2)="15",LEFT(TH!O2612,2)="15"),TK!$E$7=TH!F2612),"x","")</f>
        <v/>
      </c>
      <c r="AD2612" s="79" t="str">
        <f>IF(AND(N2612="1521",MONTH(C2612)='BK-NL'!$M$11),"x","")</f>
        <v/>
      </c>
    </row>
    <row r="2613" spans="1:30" ht="16.5" customHeight="1">
      <c r="A2613" s="318" t="str">
        <f>IF(B2613&lt;&gt;"",IF(AND(B2613='IN-TC'!$S$4,OR(TH!N2613="1111",TH!O2613="1111")),TH!D2613,""),"")</f>
        <v/>
      </c>
      <c r="B2613" s="60" t="str">
        <f t="shared" ref="B2613" si="261">IF(C2613&lt;&gt;"",MONTH(C2613),"")</f>
        <v/>
      </c>
      <c r="C2613" s="301"/>
      <c r="D2613" s="301"/>
      <c r="E2613" s="301"/>
      <c r="F2613" s="1162"/>
      <c r="G2613" s="968"/>
      <c r="H2613" s="303"/>
      <c r="I2613" s="385"/>
      <c r="J2613" s="969"/>
      <c r="K2613" s="385"/>
      <c r="L2613" s="392"/>
      <c r="M2613" s="970"/>
      <c r="N2613" s="304"/>
      <c r="O2613" s="304"/>
      <c r="P2613" s="79" t="str">
        <f>IF(AND('331-CT'!$E$7=TH!H2613,OR(N2613="331",O2613="331")),"x","")</f>
        <v/>
      </c>
      <c r="Q2613" s="79" t="str">
        <f>IF(AND(B2613='111'!$L$11,OR($N2613=$Q$7,$O2613=$Q$7)),"x","")</f>
        <v/>
      </c>
      <c r="R2613" s="79" t="str">
        <f>IF(AND($N2613=$Q$7,$B2613&lt;'111'!$L$11),"x","")</f>
        <v/>
      </c>
      <c r="S2613" s="79" t="str">
        <f>IF(AND($O2613=$Q$7,$B2613&lt;'111'!$L$11),"x","")</f>
        <v/>
      </c>
      <c r="T2613" s="79" t="str">
        <f>IF(ISERROR(FIND('112'!$M$9,G2613,1)),"",IF((AND(FIND('112'!$M$9,G2613,1)&gt;=1,B2613='112'!$K$9,OR($N2613='112'!$I$6,$O2613='112'!$I$6))),"x",""))</f>
        <v/>
      </c>
      <c r="U2613" s="79" t="str">
        <f>IF(ISERROR(FIND('112'!$M$9,G2613,1)),"",IF((AND(LEFT(G2613,2)=LEFT('112'!$M$9,2),B2613&lt;'112'!$K$9,$N2613='112'!$I$6)),"x",""))</f>
        <v/>
      </c>
      <c r="V2613" s="79" t="str">
        <f>IF(ISERROR(FIND('112'!$M$9,G2613,1)),"",IF((AND(RIGHT(G2613,2)=RIGHT('112'!$M$9,2),B2613&lt;'112'!$K$9,$O2613='112'!$I$6)),"x",""))</f>
        <v/>
      </c>
      <c r="W2613" s="79" t="str">
        <f>IF(AND('341-CT'!$H$9=H2613,OR(LEFT(N2613,3)=$W$7,LEFT(O2613,3)=$W$7)),"x","")</f>
        <v/>
      </c>
      <c r="X2613" s="79" t="str">
        <f>IF(OR(TH!N2613=TH!$X$7,O2613=TH!$X$7),"x","")</f>
        <v/>
      </c>
      <c r="Y2613" s="79" t="str">
        <f>IF(AND(OR(N2613="131",O2613="131"),H2613='131-CT'!$H$9),"x","")</f>
        <v/>
      </c>
      <c r="Z2613" s="79"/>
      <c r="AA2613" s="79" t="str">
        <f>IF(AND(MONTH(E2613)='IN-NX'!$J$5,'IN-NX'!$D$7=D2613),"x","")</f>
        <v/>
      </c>
      <c r="AB2613" s="79" t="str">
        <f>IF(AND(OR(LEFT(TH!N2613,2)="15",LEFT(TH!O2613,2)="15"),LEFT(TH!O2613,3)&lt;&gt;"111",'152-CT'!$J$8=TH!F2613),"x","")</f>
        <v/>
      </c>
      <c r="AC2613" s="79" t="str">
        <f>IF(AND(OR(LEFT(TH!N2613,2)="15",LEFT(TH!O2613,2)="15"),TK!$E$7=TH!F2613),"x","")</f>
        <v/>
      </c>
      <c r="AD2613" s="79" t="str">
        <f>IF(AND(N2613="1521",MONTH(C2613)='BK-NL'!$M$11),"x","")</f>
        <v/>
      </c>
    </row>
    <row r="2614" spans="1:30" ht="16.5" customHeight="1">
      <c r="A2614" s="318" t="str">
        <f>IF(B2614&lt;&gt;"",IF(AND(B2614='IN-TC'!$S$4,OR(TH!N2614="1111",TH!O2614="1111")),TH!D2614,""),"")</f>
        <v/>
      </c>
      <c r="B2614" s="60" t="str">
        <f t="shared" si="260"/>
        <v/>
      </c>
      <c r="C2614" s="301"/>
      <c r="D2614" s="301"/>
      <c r="E2614" s="301"/>
      <c r="F2614" s="1162"/>
      <c r="G2614" s="968"/>
      <c r="H2614" s="303"/>
      <c r="I2614" s="385"/>
      <c r="J2614" s="969"/>
      <c r="K2614" s="385"/>
      <c r="L2614" s="392"/>
      <c r="M2614" s="970"/>
      <c r="N2614" s="304"/>
      <c r="O2614" s="304"/>
      <c r="P2614" s="79" t="str">
        <f>IF(AND('331-CT'!$E$7=TH!H2614,OR(N2614="331",O2614="331")),"x","")</f>
        <v/>
      </c>
      <c r="Q2614" s="79" t="str">
        <f>IF(AND(B2614='111'!$L$11,OR($N2614=$Q$7,$O2614=$Q$7)),"x","")</f>
        <v/>
      </c>
      <c r="R2614" s="79" t="str">
        <f>IF(AND($N2614=$Q$7,$B2614&lt;'111'!$L$11),"x","")</f>
        <v/>
      </c>
      <c r="S2614" s="79" t="str">
        <f>IF(AND($O2614=$Q$7,$B2614&lt;'111'!$L$11),"x","")</f>
        <v/>
      </c>
      <c r="T2614" s="79" t="str">
        <f>IF(ISERROR(FIND('112'!$M$9,G2614,1)),"",IF((AND(FIND('112'!$M$9,G2614,1)&gt;=1,B2614='112'!$K$9,OR($N2614='112'!$I$6,$O2614='112'!$I$6))),"x",""))</f>
        <v/>
      </c>
      <c r="U2614" s="79" t="str">
        <f>IF(ISERROR(FIND('112'!$M$9,G2614,1)),"",IF((AND(LEFT(G2614,2)=LEFT('112'!$M$9,2),B2614&lt;'112'!$K$9,$N2614='112'!$I$6)),"x",""))</f>
        <v/>
      </c>
      <c r="V2614" s="79" t="str">
        <f>IF(ISERROR(FIND('112'!$M$9,G2614,1)),"",IF((AND(RIGHT(G2614,2)=RIGHT('112'!$M$9,2),B2614&lt;'112'!$K$9,$O2614='112'!$I$6)),"x",""))</f>
        <v/>
      </c>
      <c r="W2614" s="79" t="str">
        <f>IF(AND('341-CT'!$H$9=H2614,OR(LEFT(N2614,3)=$W$7,LEFT(O2614,3)=$W$7)),"x","")</f>
        <v/>
      </c>
      <c r="X2614" s="79" t="str">
        <f>IF(OR(TH!N2614=TH!$X$7,O2614=TH!$X$7),"x","")</f>
        <v/>
      </c>
      <c r="Y2614" s="79" t="str">
        <f>IF(AND(OR(N2614="131",O2614="131"),H2614='131-CT'!$H$9),"x","")</f>
        <v/>
      </c>
      <c r="Z2614" s="79"/>
      <c r="AA2614" s="79" t="str">
        <f>IF(AND(MONTH(E2614)='IN-NX'!$J$5,'IN-NX'!$D$7=D2614),"x","")</f>
        <v/>
      </c>
      <c r="AB2614" s="79" t="str">
        <f>IF(AND(OR(LEFT(TH!N2614,2)="15",LEFT(TH!O2614,2)="15"),LEFT(TH!O2614,3)&lt;&gt;"111",'152-CT'!$J$8=TH!F2614),"x","")</f>
        <v/>
      </c>
      <c r="AC2614" s="79" t="str">
        <f>IF(AND(OR(LEFT(TH!N2614,2)="15",LEFT(TH!O2614,2)="15"),TK!$E$7=TH!F2614),"x","")</f>
        <v/>
      </c>
      <c r="AD2614" s="79" t="str">
        <f>IF(AND(N2614="1521",MONTH(C2614)='BK-NL'!$M$11),"x","")</f>
        <v/>
      </c>
    </row>
    <row r="2615" spans="1:30" ht="16.5" customHeight="1">
      <c r="A2615" s="318" t="str">
        <f>IF(B2615&lt;&gt;"",IF(AND(B2615='IN-TC'!$S$4,OR(TH!N2615="1111",TH!O2615="1111")),TH!D2615,""),"")</f>
        <v/>
      </c>
      <c r="B2615" s="60" t="str">
        <f t="shared" ref="B2615" si="262">IF(C2615&lt;&gt;"",MONTH(C2615),"")</f>
        <v/>
      </c>
      <c r="C2615" s="301"/>
      <c r="D2615" s="301"/>
      <c r="E2615" s="301"/>
      <c r="F2615" s="1162"/>
      <c r="G2615" s="968"/>
      <c r="H2615" s="303"/>
      <c r="I2615" s="385"/>
      <c r="J2615" s="969"/>
      <c r="K2615" s="385"/>
      <c r="L2615" s="392"/>
      <c r="M2615" s="970"/>
      <c r="N2615" s="304"/>
      <c r="O2615" s="304"/>
      <c r="P2615" s="79" t="str">
        <f>IF(AND('331-CT'!$E$7=TH!H2615,OR(N2615="331",O2615="331")),"x","")</f>
        <v/>
      </c>
      <c r="Q2615" s="79" t="str">
        <f>IF(AND(B2615='111'!$L$11,OR($N2615=$Q$7,$O2615=$Q$7)),"x","")</f>
        <v/>
      </c>
      <c r="R2615" s="79" t="str">
        <f>IF(AND($N2615=$Q$7,$B2615&lt;'111'!$L$11),"x","")</f>
        <v/>
      </c>
      <c r="S2615" s="79" t="str">
        <f>IF(AND($O2615=$Q$7,$B2615&lt;'111'!$L$11),"x","")</f>
        <v/>
      </c>
      <c r="T2615" s="79" t="str">
        <f>IF(ISERROR(FIND('112'!$M$9,G2615,1)),"",IF((AND(FIND('112'!$M$9,G2615,1)&gt;=1,B2615='112'!$K$9,OR($N2615='112'!$I$6,$O2615='112'!$I$6))),"x",""))</f>
        <v/>
      </c>
      <c r="U2615" s="79" t="str">
        <f>IF(ISERROR(FIND('112'!$M$9,G2615,1)),"",IF((AND(LEFT(G2615,2)=LEFT('112'!$M$9,2),B2615&lt;'112'!$K$9,$N2615='112'!$I$6)),"x",""))</f>
        <v/>
      </c>
      <c r="V2615" s="79" t="str">
        <f>IF(ISERROR(FIND('112'!$M$9,G2615,1)),"",IF((AND(RIGHT(G2615,2)=RIGHT('112'!$M$9,2),B2615&lt;'112'!$K$9,$O2615='112'!$I$6)),"x",""))</f>
        <v/>
      </c>
      <c r="W2615" s="79" t="str">
        <f>IF(AND('341-CT'!$H$9=H2615,OR(LEFT(N2615,3)=$W$7,LEFT(O2615,3)=$W$7)),"x","")</f>
        <v/>
      </c>
      <c r="X2615" s="79" t="str">
        <f>IF(OR(TH!N2615=TH!$X$7,O2615=TH!$X$7),"x","")</f>
        <v/>
      </c>
      <c r="Y2615" s="79" t="str">
        <f>IF(AND(OR(N2615="131",O2615="131"),H2615='131-CT'!$H$9),"x","")</f>
        <v/>
      </c>
      <c r="Z2615" s="79"/>
      <c r="AA2615" s="79" t="str">
        <f>IF(AND(MONTH(E2615)='IN-NX'!$J$5,'IN-NX'!$D$7=D2615),"x","")</f>
        <v/>
      </c>
      <c r="AB2615" s="79" t="str">
        <f>IF(AND(OR(LEFT(TH!N2615,2)="15",LEFT(TH!O2615,2)="15"),LEFT(TH!O2615,3)&lt;&gt;"111",'152-CT'!$J$8=TH!F2615),"x","")</f>
        <v/>
      </c>
      <c r="AC2615" s="79" t="str">
        <f>IF(AND(OR(LEFT(TH!N2615,2)="15",LEFT(TH!O2615,2)="15"),TK!$E$7=TH!F2615),"x","")</f>
        <v/>
      </c>
      <c r="AD2615" s="79" t="str">
        <f>IF(AND(N2615="1521",MONTH(C2615)='BK-NL'!$M$11),"x","")</f>
        <v/>
      </c>
    </row>
    <row r="2616" spans="1:30" ht="16.5" customHeight="1">
      <c r="A2616" s="318" t="str">
        <f>IF(B2616&lt;&gt;"",IF(AND(B2616='IN-TC'!$S$4,OR(TH!N2616="1111",TH!O2616="1111")),TH!D2616,""),"")</f>
        <v/>
      </c>
      <c r="B2616" s="60" t="str">
        <f t="shared" si="257"/>
        <v/>
      </c>
      <c r="C2616" s="301"/>
      <c r="D2616" s="301"/>
      <c r="E2616" s="301"/>
      <c r="F2616" s="1162"/>
      <c r="G2616" s="968"/>
      <c r="H2616" s="303"/>
      <c r="I2616" s="385"/>
      <c r="J2616" s="969"/>
      <c r="K2616" s="385"/>
      <c r="L2616" s="392"/>
      <c r="M2616" s="970"/>
      <c r="N2616" s="304"/>
      <c r="O2616" s="304"/>
      <c r="P2616" s="79" t="str">
        <f>IF(AND('331-CT'!$E$7=TH!H2616,OR(N2616="331",O2616="331")),"x","")</f>
        <v/>
      </c>
      <c r="Q2616" s="79" t="str">
        <f>IF(AND(B2616='111'!$L$11,OR($N2616=$Q$7,$O2616=$Q$7)),"x","")</f>
        <v/>
      </c>
      <c r="R2616" s="79" t="str">
        <f>IF(AND($N2616=$Q$7,$B2616&lt;'111'!$L$11),"x","")</f>
        <v/>
      </c>
      <c r="S2616" s="79" t="str">
        <f>IF(AND($O2616=$Q$7,$B2616&lt;'111'!$L$11),"x","")</f>
        <v/>
      </c>
      <c r="T2616" s="79" t="str">
        <f>IF(ISERROR(FIND('112'!$M$9,G2616,1)),"",IF((AND(FIND('112'!$M$9,G2616,1)&gt;=1,B2616='112'!$K$9,OR($N2616='112'!$I$6,$O2616='112'!$I$6))),"x",""))</f>
        <v/>
      </c>
      <c r="U2616" s="79" t="str">
        <f>IF(ISERROR(FIND('112'!$M$9,G2616,1)),"",IF((AND(LEFT(G2616,2)=LEFT('112'!$M$9,2),B2616&lt;'112'!$K$9,$N2616='112'!$I$6)),"x",""))</f>
        <v/>
      </c>
      <c r="V2616" s="79" t="str">
        <f>IF(ISERROR(FIND('112'!$M$9,G2616,1)),"",IF((AND(RIGHT(G2616,2)=RIGHT('112'!$M$9,2),B2616&lt;'112'!$K$9,$O2616='112'!$I$6)),"x",""))</f>
        <v/>
      </c>
      <c r="W2616" s="79" t="str">
        <f>IF(AND('341-CT'!$H$9=H2616,OR(LEFT(N2616,3)=$W$7,LEFT(O2616,3)=$W$7)),"x","")</f>
        <v/>
      </c>
      <c r="X2616" s="79" t="str">
        <f>IF(OR(TH!N2616=TH!$X$7,O2616=TH!$X$7),"x","")</f>
        <v/>
      </c>
      <c r="Y2616" s="79" t="str">
        <f>IF(AND(OR(N2616="131",O2616="131"),H2616='131-CT'!$H$9),"x","")</f>
        <v/>
      </c>
      <c r="Z2616" s="79"/>
      <c r="AA2616" s="79" t="str">
        <f>IF(AND(MONTH(E2616)='IN-NX'!$J$5,'IN-NX'!$D$7=D2616),"x","")</f>
        <v/>
      </c>
      <c r="AB2616" s="79" t="str">
        <f>IF(AND(OR(LEFT(TH!N2616,2)="15",LEFT(TH!O2616,2)="15"),LEFT(TH!O2616,3)&lt;&gt;"111",'152-CT'!$J$8=TH!F2616),"x","")</f>
        <v/>
      </c>
      <c r="AC2616" s="79" t="str">
        <f>IF(AND(OR(LEFT(TH!N2616,2)="15",LEFT(TH!O2616,2)="15"),TK!$E$7=TH!F2616),"x","")</f>
        <v/>
      </c>
      <c r="AD2616" s="79" t="str">
        <f>IF(AND(N2616="1521",MONTH(C2616)='BK-NL'!$M$11),"x","")</f>
        <v/>
      </c>
    </row>
    <row r="2617" spans="1:30" ht="16.5" customHeight="1">
      <c r="A2617" s="318" t="str">
        <f>IF(B2617&lt;&gt;"",IF(AND(B2617='IN-TC'!$S$4,OR(TH!N2617="1111",TH!O2617="1111")),TH!D2617,""),"")</f>
        <v/>
      </c>
      <c r="B2617" s="60" t="str">
        <f t="shared" ref="B2617:B2618" si="263">IF(C2617&lt;&gt;"",MONTH(C2617),"")</f>
        <v/>
      </c>
      <c r="C2617" s="61"/>
      <c r="D2617" s="61"/>
      <c r="E2617" s="61"/>
      <c r="F2617" s="64"/>
      <c r="G2617" s="766"/>
      <c r="H2617" s="69"/>
      <c r="I2617" s="385"/>
      <c r="J2617" s="395"/>
      <c r="K2617" s="385"/>
      <c r="L2617" s="392"/>
      <c r="M2617" s="62"/>
      <c r="N2617" s="63"/>
      <c r="O2617" s="63"/>
      <c r="P2617" s="79" t="str">
        <f>IF(AND('331-CT'!$E$7=TH!H2617,OR(N2617="331",O2617="331")),"x","")</f>
        <v/>
      </c>
      <c r="Q2617" s="79" t="str">
        <f>IF(AND(B2617='111'!$L$11,OR($N2617=$Q$7,$O2617=$Q$7)),"x","")</f>
        <v/>
      </c>
      <c r="R2617" s="79" t="str">
        <f>IF(AND($N2617=$Q$7,$B2617&lt;'111'!$L$11),"x","")</f>
        <v/>
      </c>
      <c r="S2617" s="79" t="str">
        <f>IF(AND($O2617=$Q$7,$B2617&lt;'111'!$L$11),"x","")</f>
        <v/>
      </c>
      <c r="T2617" s="79" t="str">
        <f>IF(ISERROR(FIND('112'!$M$9,G2617,1)),"",IF((AND(FIND('112'!$M$9,G2617,1)&gt;=1,B2617='112'!$K$9,OR($N2617='112'!$I$6,$O2617='112'!$I$6))),"x",""))</f>
        <v/>
      </c>
      <c r="U2617" s="79" t="str">
        <f>IF(ISERROR(FIND('112'!$M$9,G2617,1)),"",IF((AND(LEFT(G2617,2)=LEFT('112'!$M$9,2),B2617&lt;'112'!$K$9,$N2617='112'!$I$6)),"x",""))</f>
        <v/>
      </c>
      <c r="V2617" s="79" t="str">
        <f>IF(ISERROR(FIND('112'!$M$9,G2617,1)),"",IF((AND(RIGHT(G2617,2)=RIGHT('112'!$M$9,2),B2617&lt;'112'!$K$9,$O2617='112'!$I$6)),"x",""))</f>
        <v/>
      </c>
      <c r="W2617" s="79" t="str">
        <f>IF(AND('341-CT'!$H$9=H2617,OR(LEFT(N2617,3)=$W$7,LEFT(O2617,3)=$W$7)),"x","")</f>
        <v/>
      </c>
      <c r="X2617" s="79" t="str">
        <f>IF(OR(TH!N2617=TH!$X$7,O2617=TH!$X$7),"x","")</f>
        <v/>
      </c>
      <c r="Y2617" s="79" t="str">
        <f>IF(AND(OR(N2617="131",O2617="131"),H2617='131-CT'!$H$9),"x","")</f>
        <v/>
      </c>
      <c r="Z2617" s="79"/>
      <c r="AA2617" s="79" t="str">
        <f>IF(AND(MONTH(E2617)='IN-NX'!$J$5,'IN-NX'!$D$7=D2617),"x","")</f>
        <v/>
      </c>
      <c r="AB2617" s="79" t="str">
        <f>IF(AND(OR(LEFT(TH!N2617,2)="15",LEFT(TH!O2617,2)="15"),LEFT(TH!O2617,3)&lt;&gt;"111",'152-CT'!$J$8=TH!F2617),"x","")</f>
        <v/>
      </c>
      <c r="AC2617" s="79" t="str">
        <f>IF(AND(OR(LEFT(TH!N2617,2)="15",LEFT(TH!O2617,2)="15"),TK!$E$7=TH!F2617),"x","")</f>
        <v/>
      </c>
      <c r="AD2617" s="79" t="str">
        <f>IF(AND(N2617="1521",MONTH(C2617)='BK-NL'!$M$11),"x","")</f>
        <v/>
      </c>
    </row>
    <row r="2618" spans="1:30" ht="16.5" customHeight="1">
      <c r="A2618" s="318" t="str">
        <f>IF(B2618&lt;&gt;"",IF(AND(B2618='IN-TC'!$S$4,OR(TH!N2618="1111",TH!O2618="1111")),TH!D2618,""),"")</f>
        <v/>
      </c>
      <c r="B2618" s="60" t="str">
        <f t="shared" si="263"/>
        <v/>
      </c>
      <c r="C2618" s="61"/>
      <c r="D2618" s="61"/>
      <c r="E2618" s="61"/>
      <c r="F2618" s="64"/>
      <c r="G2618" s="766"/>
      <c r="H2618" s="69"/>
      <c r="I2618" s="385"/>
      <c r="J2618" s="395"/>
      <c r="K2618" s="385"/>
      <c r="L2618" s="392"/>
      <c r="M2618" s="62"/>
      <c r="N2618" s="63"/>
      <c r="O2618" s="63"/>
      <c r="P2618" s="79" t="str">
        <f>IF(AND('331-CT'!$E$7=TH!H2618,OR(N2618="331",O2618="331")),"x","")</f>
        <v/>
      </c>
      <c r="Q2618" s="79" t="str">
        <f>IF(AND(B2618='111'!$L$11,OR($N2618=$Q$7,$O2618=$Q$7)),"x","")</f>
        <v/>
      </c>
      <c r="R2618" s="79" t="str">
        <f>IF(AND($N2618=$Q$7,$B2618&lt;'111'!$L$11),"x","")</f>
        <v/>
      </c>
      <c r="S2618" s="79" t="str">
        <f>IF(AND($O2618=$Q$7,$B2618&lt;'111'!$L$11),"x","")</f>
        <v/>
      </c>
      <c r="T2618" s="79" t="str">
        <f>IF(ISERROR(FIND('112'!$M$9,G2618,1)),"",IF((AND(FIND('112'!$M$9,G2618,1)&gt;=1,B2618='112'!$K$9,OR($N2618='112'!$I$6,$O2618='112'!$I$6))),"x",""))</f>
        <v/>
      </c>
      <c r="U2618" s="79" t="str">
        <f>IF(ISERROR(FIND('112'!$M$9,G2618,1)),"",IF((AND(LEFT(G2618,2)=LEFT('112'!$M$9,2),B2618&lt;'112'!$K$9,$N2618='112'!$I$6)),"x",""))</f>
        <v/>
      </c>
      <c r="V2618" s="79" t="str">
        <f>IF(ISERROR(FIND('112'!$M$9,G2618,1)),"",IF((AND(RIGHT(G2618,2)=RIGHT('112'!$M$9,2),B2618&lt;'112'!$K$9,$O2618='112'!$I$6)),"x",""))</f>
        <v/>
      </c>
      <c r="W2618" s="79" t="str">
        <f>IF(AND('341-CT'!$H$9=H2618,OR(LEFT(N2618,3)=$W$7,LEFT(O2618,3)=$W$7)),"x","")</f>
        <v/>
      </c>
      <c r="X2618" s="79" t="str">
        <f>IF(OR(TH!N2618=TH!$X$7,O2618=TH!$X$7),"x","")</f>
        <v/>
      </c>
      <c r="Y2618" s="79" t="str">
        <f>IF(AND(OR(N2618="131",O2618="131"),H2618='131-CT'!$H$9),"x","")</f>
        <v/>
      </c>
      <c r="Z2618" s="79"/>
      <c r="AA2618" s="79" t="str">
        <f>IF(AND(MONTH(E2618)='IN-NX'!$J$5,'IN-NX'!$D$7=D2618),"x","")</f>
        <v/>
      </c>
      <c r="AB2618" s="79" t="str">
        <f>IF(AND(OR(LEFT(TH!N2618,2)="15",LEFT(TH!O2618,2)="15"),LEFT(TH!O2618,3)&lt;&gt;"111",'152-CT'!$J$8=TH!F2618),"x","")</f>
        <v/>
      </c>
      <c r="AC2618" s="79" t="str">
        <f>IF(AND(OR(LEFT(TH!N2618,2)="15",LEFT(TH!O2618,2)="15"),TK!$E$7=TH!F2618),"x","")</f>
        <v/>
      </c>
      <c r="AD2618" s="79" t="str">
        <f>IF(AND(N2618="1521",MONTH(C2618)='BK-NL'!$M$11),"x","")</f>
        <v/>
      </c>
    </row>
    <row r="2619" spans="1:30" ht="16.5" customHeight="1">
      <c r="A2619" s="318" t="str">
        <f>IF(B2619&lt;&gt;"",IF(AND(B2619='IN-TC'!$S$4,OR(TH!N2619="1111",TH!O2619="1111")),TH!D2619,""),"")</f>
        <v/>
      </c>
      <c r="B2619" s="60" t="str">
        <f t="shared" si="250"/>
        <v/>
      </c>
      <c r="C2619" s="301"/>
      <c r="D2619" s="301"/>
      <c r="E2619" s="301"/>
      <c r="F2619" s="1162"/>
      <c r="G2619" s="968"/>
      <c r="H2619" s="303"/>
      <c r="I2619" s="385"/>
      <c r="J2619" s="969"/>
      <c r="K2619" s="385"/>
      <c r="L2619" s="392"/>
      <c r="M2619" s="970"/>
      <c r="N2619" s="304"/>
      <c r="O2619" s="304"/>
      <c r="P2619" s="79" t="str">
        <f>IF(AND('331-CT'!$E$7=TH!H2619,OR(N2619="331",O2619="331")),"x","")</f>
        <v/>
      </c>
      <c r="Q2619" s="79" t="str">
        <f>IF(AND(B2619='111'!$L$11,OR($N2619=$Q$7,$O2619=$Q$7)),"x","")</f>
        <v/>
      </c>
      <c r="R2619" s="79" t="str">
        <f>IF(AND($N2619=$Q$7,$B2619&lt;'111'!$L$11),"x","")</f>
        <v/>
      </c>
      <c r="S2619" s="79" t="str">
        <f>IF(AND($O2619=$Q$7,$B2619&lt;'111'!$L$11),"x","")</f>
        <v/>
      </c>
      <c r="T2619" s="79" t="str">
        <f>IF(ISERROR(FIND('112'!$M$9,G2619,1)),"",IF((AND(FIND('112'!$M$9,G2619,1)&gt;=1,B2619='112'!$K$9,OR($N2619='112'!$I$6,$O2619='112'!$I$6))),"x",""))</f>
        <v/>
      </c>
      <c r="U2619" s="79" t="str">
        <f>IF(ISERROR(FIND('112'!$M$9,G2619,1)),"",IF((AND(LEFT(G2619,2)=LEFT('112'!$M$9,2),B2619&lt;'112'!$K$9,$N2619='112'!$I$6)),"x",""))</f>
        <v/>
      </c>
      <c r="V2619" s="79" t="str">
        <f>IF(ISERROR(FIND('112'!$M$9,G2619,1)),"",IF((AND(RIGHT(G2619,2)=RIGHT('112'!$M$9,2),B2619&lt;'112'!$K$9,$O2619='112'!$I$6)),"x",""))</f>
        <v/>
      </c>
      <c r="W2619" s="79" t="str">
        <f>IF(AND('341-CT'!$H$9=H2619,OR(LEFT(N2619,3)=$W$7,LEFT(O2619,3)=$W$7)),"x","")</f>
        <v/>
      </c>
      <c r="X2619" s="79" t="str">
        <f>IF(OR(TH!N2619=TH!$X$7,O2619=TH!$X$7),"x","")</f>
        <v/>
      </c>
      <c r="Y2619" s="79" t="str">
        <f>IF(AND(OR(N2619="131",O2619="131"),H2619='131-CT'!$H$9),"x","")</f>
        <v/>
      </c>
      <c r="Z2619" s="79"/>
      <c r="AA2619" s="79" t="str">
        <f>IF(AND(MONTH(E2619)='IN-NX'!$J$5,'IN-NX'!$D$7=D2619),"x","")</f>
        <v/>
      </c>
      <c r="AB2619" s="79" t="str">
        <f>IF(AND(OR(LEFT(TH!N2619,2)="15",LEFT(TH!O2619,2)="15"),LEFT(TH!O2619,3)&lt;&gt;"111",'152-CT'!$J$8=TH!F2619),"x","")</f>
        <v/>
      </c>
      <c r="AC2619" s="79" t="str">
        <f>IF(AND(OR(LEFT(TH!N2619,2)="15",LEFT(TH!O2619,2)="15"),TK!$E$7=TH!F2619),"x","")</f>
        <v/>
      </c>
      <c r="AD2619" s="79" t="str">
        <f>IF(AND(N2619="1521",MONTH(C2619)='BK-NL'!$M$11),"x","")</f>
        <v/>
      </c>
    </row>
    <row r="2620" spans="1:30" ht="16.5" customHeight="1">
      <c r="A2620" s="318" t="str">
        <f>IF(B2620&lt;&gt;"",IF(AND(B2620='IN-TC'!$S$4,OR(TH!N2620="1111",TH!O2620="1111")),TH!D2620,""),"")</f>
        <v/>
      </c>
      <c r="B2620" s="60" t="str">
        <f t="shared" si="250"/>
        <v/>
      </c>
      <c r="C2620" s="301"/>
      <c r="D2620" s="301"/>
      <c r="E2620" s="301"/>
      <c r="F2620" s="1162"/>
      <c r="G2620" s="968"/>
      <c r="H2620" s="303"/>
      <c r="I2620" s="385"/>
      <c r="J2620" s="969"/>
      <c r="K2620" s="385"/>
      <c r="L2620" s="392"/>
      <c r="M2620" s="970"/>
      <c r="N2620" s="304"/>
      <c r="O2620" s="304"/>
      <c r="P2620" s="79" t="str">
        <f>IF(AND('331-CT'!$E$7=TH!H2620,OR(N2620="331",O2620="331")),"x","")</f>
        <v/>
      </c>
      <c r="Q2620" s="79" t="str">
        <f>IF(AND(B2620='111'!$L$11,OR($N2620=$Q$7,$O2620=$Q$7)),"x","")</f>
        <v/>
      </c>
      <c r="R2620" s="79" t="str">
        <f>IF(AND($N2620=$Q$7,$B2620&lt;'111'!$L$11),"x","")</f>
        <v/>
      </c>
      <c r="S2620" s="79" t="str">
        <f>IF(AND($O2620=$Q$7,$B2620&lt;'111'!$L$11),"x","")</f>
        <v/>
      </c>
      <c r="T2620" s="79" t="str">
        <f>IF(ISERROR(FIND('112'!$M$9,G2620,1)),"",IF((AND(FIND('112'!$M$9,G2620,1)&gt;=1,B2620='112'!$K$9,OR($N2620='112'!$I$6,$O2620='112'!$I$6))),"x",""))</f>
        <v/>
      </c>
      <c r="U2620" s="79" t="str">
        <f>IF(ISERROR(FIND('112'!$M$9,G2620,1)),"",IF((AND(LEFT(G2620,2)=LEFT('112'!$M$9,2),B2620&lt;'112'!$K$9,$N2620='112'!$I$6)),"x",""))</f>
        <v/>
      </c>
      <c r="V2620" s="79" t="str">
        <f>IF(ISERROR(FIND('112'!$M$9,G2620,1)),"",IF((AND(RIGHT(G2620,2)=RIGHT('112'!$M$9,2),B2620&lt;'112'!$K$9,$O2620='112'!$I$6)),"x",""))</f>
        <v/>
      </c>
      <c r="W2620" s="79" t="str">
        <f>IF(AND('341-CT'!$H$9=H2620,OR(LEFT(N2620,3)=$W$7,LEFT(O2620,3)=$W$7)),"x","")</f>
        <v/>
      </c>
      <c r="X2620" s="79" t="str">
        <f>IF(OR(TH!N2620=TH!$X$7,O2620=TH!$X$7),"x","")</f>
        <v/>
      </c>
      <c r="Y2620" s="79" t="str">
        <f>IF(AND(OR(N2620="131",O2620="131"),H2620='131-CT'!$H$9),"x","")</f>
        <v/>
      </c>
      <c r="Z2620" s="79"/>
      <c r="AA2620" s="79" t="str">
        <f>IF(AND(MONTH(E2620)='IN-NX'!$J$5,'IN-NX'!$D$7=D2620),"x","")</f>
        <v/>
      </c>
      <c r="AB2620" s="79" t="str">
        <f>IF(AND(OR(LEFT(TH!N2620,2)="15",LEFT(TH!O2620,2)="15"),LEFT(TH!O2620,3)&lt;&gt;"111",'152-CT'!$J$8=TH!F2620),"x","")</f>
        <v/>
      </c>
      <c r="AC2620" s="79" t="str">
        <f>IF(AND(OR(LEFT(TH!N2620,2)="15",LEFT(TH!O2620,2)="15"),TK!$E$7=TH!F2620),"x","")</f>
        <v/>
      </c>
      <c r="AD2620" s="79" t="str">
        <f>IF(AND(N2620="1521",MONTH(C2620)='BK-NL'!$M$11),"x","")</f>
        <v/>
      </c>
    </row>
    <row r="2621" spans="1:30" ht="16.5" customHeight="1">
      <c r="A2621" s="318" t="str">
        <f>IF(B2621&lt;&gt;"",IF(AND(B2621='IN-TC'!$S$4,OR(TH!N2621="1111",TH!O2621="1111")),TH!D2621,""),"")</f>
        <v/>
      </c>
      <c r="B2621" s="60" t="str">
        <f t="shared" ref="B2621:B2623" si="264">IF(C2621&lt;&gt;"",MONTH(C2621),"")</f>
        <v/>
      </c>
      <c r="C2621" s="301"/>
      <c r="D2621" s="301"/>
      <c r="E2621" s="301"/>
      <c r="F2621" s="1162"/>
      <c r="G2621" s="968"/>
      <c r="H2621" s="303"/>
      <c r="I2621" s="385"/>
      <c r="J2621" s="969"/>
      <c r="K2621" s="385"/>
      <c r="L2621" s="392"/>
      <c r="M2621" s="970"/>
      <c r="N2621" s="304"/>
      <c r="O2621" s="304"/>
      <c r="P2621" s="79" t="str">
        <f>IF(AND('331-CT'!$E$7=TH!H2621,OR(N2621="331",O2621="331")),"x","")</f>
        <v/>
      </c>
      <c r="Q2621" s="79" t="str">
        <f>IF(AND(B2621='111'!$L$11,OR($N2621=$Q$7,$O2621=$Q$7)),"x","")</f>
        <v/>
      </c>
      <c r="R2621" s="79" t="str">
        <f>IF(AND($N2621=$Q$7,$B2621&lt;'111'!$L$11),"x","")</f>
        <v/>
      </c>
      <c r="S2621" s="79" t="str">
        <f>IF(AND($O2621=$Q$7,$B2621&lt;'111'!$L$11),"x","")</f>
        <v/>
      </c>
      <c r="T2621" s="79" t="str">
        <f>IF(ISERROR(FIND('112'!$M$9,G2621,1)),"",IF((AND(FIND('112'!$M$9,G2621,1)&gt;=1,B2621='112'!$K$9,OR($N2621='112'!$I$6,$O2621='112'!$I$6))),"x",""))</f>
        <v/>
      </c>
      <c r="U2621" s="79" t="str">
        <f>IF(ISERROR(FIND('112'!$M$9,G2621,1)),"",IF((AND(LEFT(G2621,2)=LEFT('112'!$M$9,2),B2621&lt;'112'!$K$9,$N2621='112'!$I$6)),"x",""))</f>
        <v/>
      </c>
      <c r="V2621" s="79" t="str">
        <f>IF(ISERROR(FIND('112'!$M$9,G2621,1)),"",IF((AND(RIGHT(G2621,2)=RIGHT('112'!$M$9,2),B2621&lt;'112'!$K$9,$O2621='112'!$I$6)),"x",""))</f>
        <v/>
      </c>
      <c r="W2621" s="79" t="str">
        <f>IF(AND('341-CT'!$H$9=H2621,OR(LEFT(N2621,3)=$W$7,LEFT(O2621,3)=$W$7)),"x","")</f>
        <v/>
      </c>
      <c r="X2621" s="79" t="str">
        <f>IF(OR(TH!N2621=TH!$X$7,O2621=TH!$X$7),"x","")</f>
        <v/>
      </c>
      <c r="Y2621" s="79" t="str">
        <f>IF(AND(OR(N2621="131",O2621="131"),H2621='131-CT'!$H$9),"x","")</f>
        <v/>
      </c>
      <c r="Z2621" s="79"/>
      <c r="AA2621" s="79" t="str">
        <f>IF(AND(MONTH(E2621)='IN-NX'!$J$5,'IN-NX'!$D$7=D2621),"x","")</f>
        <v/>
      </c>
      <c r="AB2621" s="79" t="str">
        <f>IF(AND(OR(LEFT(TH!N2621,2)="15",LEFT(TH!O2621,2)="15"),LEFT(TH!O2621,3)&lt;&gt;"111",'152-CT'!$J$8=TH!F2621),"x","")</f>
        <v/>
      </c>
      <c r="AC2621" s="79" t="str">
        <f>IF(AND(OR(LEFT(TH!N2621,2)="15",LEFT(TH!O2621,2)="15"),TK!$E$7=TH!F2621),"x","")</f>
        <v/>
      </c>
      <c r="AD2621" s="79" t="str">
        <f>IF(AND(N2621="1521",MONTH(C2621)='BK-NL'!$M$11),"x","")</f>
        <v/>
      </c>
    </row>
    <row r="2622" spans="1:30" ht="16.5" customHeight="1">
      <c r="A2622" s="318" t="str">
        <f>IF(B2622&lt;&gt;"",IF(AND(B2622='IN-TC'!$S$4,OR(TH!N2622="1111",TH!O2622="1111")),TH!D2622,""),"")</f>
        <v/>
      </c>
      <c r="B2622" s="60" t="str">
        <f t="shared" si="264"/>
        <v/>
      </c>
      <c r="C2622" s="301"/>
      <c r="D2622" s="301"/>
      <c r="E2622" s="301"/>
      <c r="F2622" s="1162"/>
      <c r="G2622" s="968"/>
      <c r="H2622" s="303"/>
      <c r="I2622" s="385"/>
      <c r="J2622" s="969"/>
      <c r="K2622" s="385"/>
      <c r="L2622" s="392"/>
      <c r="M2622" s="970"/>
      <c r="N2622" s="304"/>
      <c r="O2622" s="304"/>
      <c r="P2622" s="79" t="str">
        <f>IF(AND('331-CT'!$E$7=TH!H2622,OR(N2622="331",O2622="331")),"x","")</f>
        <v/>
      </c>
      <c r="Q2622" s="79" t="str">
        <f>IF(AND(B2622='111'!$L$11,OR($N2622=$Q$7,$O2622=$Q$7)),"x","")</f>
        <v/>
      </c>
      <c r="R2622" s="79" t="str">
        <f>IF(AND($N2622=$Q$7,$B2622&lt;'111'!$L$11),"x","")</f>
        <v/>
      </c>
      <c r="S2622" s="79" t="str">
        <f>IF(AND($O2622=$Q$7,$B2622&lt;'111'!$L$11),"x","")</f>
        <v/>
      </c>
      <c r="T2622" s="79" t="str">
        <f>IF(ISERROR(FIND('112'!$M$9,G2622,1)),"",IF((AND(FIND('112'!$M$9,G2622,1)&gt;=1,B2622='112'!$K$9,OR($N2622='112'!$I$6,$O2622='112'!$I$6))),"x",""))</f>
        <v/>
      </c>
      <c r="U2622" s="79" t="str">
        <f>IF(ISERROR(FIND('112'!$M$9,G2622,1)),"",IF((AND(LEFT(G2622,2)=LEFT('112'!$M$9,2),B2622&lt;'112'!$K$9,$N2622='112'!$I$6)),"x",""))</f>
        <v/>
      </c>
      <c r="V2622" s="79" t="str">
        <f>IF(ISERROR(FIND('112'!$M$9,G2622,1)),"",IF((AND(RIGHT(G2622,2)=RIGHT('112'!$M$9,2),B2622&lt;'112'!$K$9,$O2622='112'!$I$6)),"x",""))</f>
        <v/>
      </c>
      <c r="W2622" s="79" t="str">
        <f>IF(AND('341-CT'!$H$9=H2622,OR(LEFT(N2622,3)=$W$7,LEFT(O2622,3)=$W$7)),"x","")</f>
        <v/>
      </c>
      <c r="X2622" s="79" t="str">
        <f>IF(OR(TH!N2622=TH!$X$7,O2622=TH!$X$7),"x","")</f>
        <v/>
      </c>
      <c r="Y2622" s="79" t="str">
        <f>IF(AND(OR(N2622="131",O2622="131"),H2622='131-CT'!$H$9),"x","")</f>
        <v/>
      </c>
      <c r="Z2622" s="79"/>
      <c r="AA2622" s="79" t="str">
        <f>IF(AND(MONTH(E2622)='IN-NX'!$J$5,'IN-NX'!$D$7=D2622),"x","")</f>
        <v/>
      </c>
      <c r="AB2622" s="79" t="str">
        <f>IF(AND(OR(LEFT(TH!N2622,2)="15",LEFT(TH!O2622,2)="15"),LEFT(TH!O2622,3)&lt;&gt;"111",'152-CT'!$J$8=TH!F2622),"x","")</f>
        <v/>
      </c>
      <c r="AC2622" s="79" t="str">
        <f>IF(AND(OR(LEFT(TH!N2622,2)="15",LEFT(TH!O2622,2)="15"),TK!$E$7=TH!F2622),"x","")</f>
        <v/>
      </c>
      <c r="AD2622" s="79" t="str">
        <f>IF(AND(N2622="1521",MONTH(C2622)='BK-NL'!$M$11),"x","")</f>
        <v/>
      </c>
    </row>
    <row r="2623" spans="1:30" ht="16.5" customHeight="1">
      <c r="A2623" s="318" t="str">
        <f>IF(B2623&lt;&gt;"",IF(AND(B2623='IN-TC'!$S$4,OR(TH!N2623="1111",TH!O2623="1111")),TH!D2623,""),"")</f>
        <v/>
      </c>
      <c r="B2623" s="60" t="str">
        <f t="shared" si="264"/>
        <v/>
      </c>
      <c r="C2623" s="301"/>
      <c r="D2623" s="301"/>
      <c r="E2623" s="301"/>
      <c r="F2623" s="1162"/>
      <c r="G2623" s="968"/>
      <c r="H2623" s="303"/>
      <c r="I2623" s="385"/>
      <c r="J2623" s="969"/>
      <c r="K2623" s="385"/>
      <c r="L2623" s="392"/>
      <c r="M2623" s="970"/>
      <c r="N2623" s="304"/>
      <c r="O2623" s="304"/>
      <c r="P2623" s="79" t="str">
        <f>IF(AND('331-CT'!$E$7=TH!H2623,OR(N2623="331",O2623="331")),"x","")</f>
        <v/>
      </c>
      <c r="Q2623" s="79" t="str">
        <f>IF(AND(B2623='111'!$L$11,OR($N2623=$Q$7,$O2623=$Q$7)),"x","")</f>
        <v/>
      </c>
      <c r="R2623" s="79" t="str">
        <f>IF(AND($N2623=$Q$7,$B2623&lt;'111'!$L$11),"x","")</f>
        <v/>
      </c>
      <c r="S2623" s="79" t="str">
        <f>IF(AND($O2623=$Q$7,$B2623&lt;'111'!$L$11),"x","")</f>
        <v/>
      </c>
      <c r="T2623" s="79" t="str">
        <f>IF(ISERROR(FIND('112'!$M$9,G2623,1)),"",IF((AND(FIND('112'!$M$9,G2623,1)&gt;=1,B2623='112'!$K$9,OR($N2623='112'!$I$6,$O2623='112'!$I$6))),"x",""))</f>
        <v/>
      </c>
      <c r="U2623" s="79" t="str">
        <f>IF(ISERROR(FIND('112'!$M$9,G2623,1)),"",IF((AND(LEFT(G2623,2)=LEFT('112'!$M$9,2),B2623&lt;'112'!$K$9,$N2623='112'!$I$6)),"x",""))</f>
        <v/>
      </c>
      <c r="V2623" s="79" t="str">
        <f>IF(ISERROR(FIND('112'!$M$9,G2623,1)),"",IF((AND(RIGHT(G2623,2)=RIGHT('112'!$M$9,2),B2623&lt;'112'!$K$9,$O2623='112'!$I$6)),"x",""))</f>
        <v/>
      </c>
      <c r="W2623" s="79" t="str">
        <f>IF(AND('341-CT'!$H$9=H2623,OR(LEFT(N2623,3)=$W$7,LEFT(O2623,3)=$W$7)),"x","")</f>
        <v/>
      </c>
      <c r="X2623" s="79" t="str">
        <f>IF(OR(TH!N2623=TH!$X$7,O2623=TH!$X$7),"x","")</f>
        <v/>
      </c>
      <c r="Y2623" s="79" t="str">
        <f>IF(AND(OR(N2623="131",O2623="131"),H2623='131-CT'!$H$9),"x","")</f>
        <v/>
      </c>
      <c r="Z2623" s="79"/>
      <c r="AA2623" s="79" t="str">
        <f>IF(AND(MONTH(E2623)='IN-NX'!$J$5,'IN-NX'!$D$7=D2623),"x","")</f>
        <v/>
      </c>
      <c r="AB2623" s="79" t="str">
        <f>IF(AND(OR(LEFT(TH!N2623,2)="15",LEFT(TH!O2623,2)="15"),LEFT(TH!O2623,3)&lt;&gt;"111",'152-CT'!$J$8=TH!F2623),"x","")</f>
        <v/>
      </c>
      <c r="AC2623" s="79" t="str">
        <f>IF(AND(OR(LEFT(TH!N2623,2)="15",LEFT(TH!O2623,2)="15"),TK!$E$7=TH!F2623),"x","")</f>
        <v/>
      </c>
      <c r="AD2623" s="79" t="str">
        <f>IF(AND(N2623="1521",MONTH(C2623)='BK-NL'!$M$11),"x","")</f>
        <v/>
      </c>
    </row>
    <row r="2624" spans="1:30" ht="16.5" customHeight="1">
      <c r="A2624" s="318" t="str">
        <f>IF(B2624&lt;&gt;"",IF(AND(B2624='IN-TC'!$S$4,OR(TH!N2624="1111",TH!O2624="1111")),TH!D2624,""),"")</f>
        <v/>
      </c>
      <c r="B2624" s="60" t="str">
        <f t="shared" ref="B2624" si="265">IF(C2624&lt;&gt;"",MONTH(C2624),"")</f>
        <v/>
      </c>
      <c r="C2624" s="301"/>
      <c r="D2624" s="301"/>
      <c r="E2624" s="301"/>
      <c r="F2624" s="1162"/>
      <c r="G2624" s="968"/>
      <c r="H2624" s="303"/>
      <c r="I2624" s="385"/>
      <c r="J2624" s="969"/>
      <c r="K2624" s="385"/>
      <c r="L2624" s="392"/>
      <c r="M2624" s="970"/>
      <c r="N2624" s="304"/>
      <c r="O2624" s="304"/>
      <c r="P2624" s="79" t="str">
        <f>IF(AND('331-CT'!$E$7=TH!H2624,OR(N2624="331",O2624="331")),"x","")</f>
        <v/>
      </c>
      <c r="Q2624" s="79" t="str">
        <f>IF(AND(B2624='111'!$L$11,OR($N2624=$Q$7,$O2624=$Q$7)),"x","")</f>
        <v/>
      </c>
      <c r="R2624" s="79" t="str">
        <f>IF(AND($N2624=$Q$7,$B2624&lt;'111'!$L$11),"x","")</f>
        <v/>
      </c>
      <c r="S2624" s="79" t="str">
        <f>IF(AND($O2624=$Q$7,$B2624&lt;'111'!$L$11),"x","")</f>
        <v/>
      </c>
      <c r="T2624" s="79" t="str">
        <f>IF(ISERROR(FIND('112'!$M$9,G2624,1)),"",IF((AND(FIND('112'!$M$9,G2624,1)&gt;=1,B2624='112'!$K$9,OR($N2624='112'!$I$6,$O2624='112'!$I$6))),"x",""))</f>
        <v/>
      </c>
      <c r="U2624" s="79" t="str">
        <f>IF(ISERROR(FIND('112'!$M$9,G2624,1)),"",IF((AND(LEFT(G2624,2)=LEFT('112'!$M$9,2),B2624&lt;'112'!$K$9,$N2624='112'!$I$6)),"x",""))</f>
        <v/>
      </c>
      <c r="V2624" s="79" t="str">
        <f>IF(ISERROR(FIND('112'!$M$9,G2624,1)),"",IF((AND(RIGHT(G2624,2)=RIGHT('112'!$M$9,2),B2624&lt;'112'!$K$9,$O2624='112'!$I$6)),"x",""))</f>
        <v/>
      </c>
      <c r="W2624" s="79" t="str">
        <f>IF(AND('341-CT'!$H$9=H2624,OR(LEFT(N2624,3)=$W$7,LEFT(O2624,3)=$W$7)),"x","")</f>
        <v/>
      </c>
      <c r="X2624" s="79" t="str">
        <f>IF(OR(TH!N2624=TH!$X$7,O2624=TH!$X$7),"x","")</f>
        <v/>
      </c>
      <c r="Y2624" s="79" t="str">
        <f>IF(AND(OR(N2624="131",O2624="131"),H2624='131-CT'!$H$9),"x","")</f>
        <v/>
      </c>
      <c r="Z2624" s="79"/>
      <c r="AA2624" s="79" t="str">
        <f>IF(AND(MONTH(E2624)='IN-NX'!$J$5,'IN-NX'!$D$7=D2624),"x","")</f>
        <v/>
      </c>
      <c r="AB2624" s="79" t="str">
        <f>IF(AND(OR(LEFT(TH!N2624,2)="15",LEFT(TH!O2624,2)="15"),LEFT(TH!O2624,3)&lt;&gt;"111",'152-CT'!$J$8=TH!F2624),"x","")</f>
        <v/>
      </c>
      <c r="AC2624" s="79" t="str">
        <f>IF(AND(OR(LEFT(TH!N2624,2)="15",LEFT(TH!O2624,2)="15"),TK!$E$7=TH!F2624),"x","")</f>
        <v/>
      </c>
      <c r="AD2624" s="79" t="str">
        <f>IF(AND(N2624="1521",MONTH(C2624)='BK-NL'!$M$11),"x","")</f>
        <v/>
      </c>
    </row>
    <row r="2625" spans="1:30" ht="16.5" customHeight="1">
      <c r="A2625" s="318" t="str">
        <f>IF(B2625&lt;&gt;"",IF(AND(B2625='IN-TC'!$S$4,OR(TH!N2625="1111",TH!O2625="1111")),TH!D2625,""),"")</f>
        <v/>
      </c>
      <c r="B2625" s="60" t="str">
        <f t="shared" si="250"/>
        <v/>
      </c>
      <c r="C2625" s="301"/>
      <c r="D2625" s="301"/>
      <c r="E2625" s="301"/>
      <c r="F2625" s="1162"/>
      <c r="G2625" s="968"/>
      <c r="H2625" s="303"/>
      <c r="I2625" s="385"/>
      <c r="J2625" s="969"/>
      <c r="K2625" s="385"/>
      <c r="L2625" s="392"/>
      <c r="M2625" s="970"/>
      <c r="N2625" s="304"/>
      <c r="O2625" s="304"/>
      <c r="P2625" s="79" t="str">
        <f>IF(AND('331-CT'!$E$7=TH!H2625,OR(N2625="331",O2625="331")),"x","")</f>
        <v/>
      </c>
      <c r="Q2625" s="79" t="str">
        <f>IF(AND(B2625='111'!$L$11,OR($N2625=$Q$7,$O2625=$Q$7)),"x","")</f>
        <v/>
      </c>
      <c r="R2625" s="79" t="str">
        <f>IF(AND($N2625=$Q$7,$B2625&lt;'111'!$L$11),"x","")</f>
        <v/>
      </c>
      <c r="S2625" s="79" t="str">
        <f>IF(AND($O2625=$Q$7,$B2625&lt;'111'!$L$11),"x","")</f>
        <v/>
      </c>
      <c r="T2625" s="79" t="str">
        <f>IF(ISERROR(FIND('112'!$M$9,G2625,1)),"",IF((AND(FIND('112'!$M$9,G2625,1)&gt;=1,B2625='112'!$K$9,OR($N2625='112'!$I$6,$O2625='112'!$I$6))),"x",""))</f>
        <v/>
      </c>
      <c r="U2625" s="79" t="str">
        <f>IF(ISERROR(FIND('112'!$M$9,G2625,1)),"",IF((AND(LEFT(G2625,2)=LEFT('112'!$M$9,2),B2625&lt;'112'!$K$9,$N2625='112'!$I$6)),"x",""))</f>
        <v/>
      </c>
      <c r="V2625" s="79" t="str">
        <f>IF(ISERROR(FIND('112'!$M$9,G2625,1)),"",IF((AND(RIGHT(G2625,2)=RIGHT('112'!$M$9,2),B2625&lt;'112'!$K$9,$O2625='112'!$I$6)),"x",""))</f>
        <v/>
      </c>
      <c r="W2625" s="79" t="str">
        <f>IF(AND('341-CT'!$H$9=H2625,OR(LEFT(N2625,3)=$W$7,LEFT(O2625,3)=$W$7)),"x","")</f>
        <v/>
      </c>
      <c r="X2625" s="79" t="str">
        <f>IF(OR(TH!N2625=TH!$X$7,O2625=TH!$X$7),"x","")</f>
        <v/>
      </c>
      <c r="Y2625" s="79" t="str">
        <f>IF(AND(OR(N2625="131",O2625="131"),H2625='131-CT'!$H$9),"x","")</f>
        <v/>
      </c>
      <c r="Z2625" s="79"/>
      <c r="AA2625" s="79" t="str">
        <f>IF(AND(MONTH(E2625)='IN-NX'!$J$5,'IN-NX'!$D$7=D2625),"x","")</f>
        <v/>
      </c>
      <c r="AB2625" s="79" t="str">
        <f>IF(AND(OR(LEFT(TH!N2625,2)="15",LEFT(TH!O2625,2)="15"),LEFT(TH!O2625,3)&lt;&gt;"111",'152-CT'!$J$8=TH!F2625),"x","")</f>
        <v/>
      </c>
      <c r="AC2625" s="79" t="str">
        <f>IF(AND(OR(LEFT(TH!N2625,2)="15",LEFT(TH!O2625,2)="15"),TK!$E$7=TH!F2625),"x","")</f>
        <v/>
      </c>
      <c r="AD2625" s="79" t="str">
        <f>IF(AND(N2625="1521",MONTH(C2625)='BK-NL'!$M$11),"x","")</f>
        <v/>
      </c>
    </row>
    <row r="2626" spans="1:30" ht="16.5" customHeight="1">
      <c r="A2626" s="318" t="str">
        <f>IF(B2626&lt;&gt;"",IF(AND(B2626='IN-TC'!$S$4,OR(TH!N2626="1111",TH!O2626="1111")),TH!D2626,""),"")</f>
        <v/>
      </c>
      <c r="B2626" s="60" t="str">
        <f t="shared" si="250"/>
        <v/>
      </c>
      <c r="C2626" s="301"/>
      <c r="D2626" s="301"/>
      <c r="E2626" s="301"/>
      <c r="F2626" s="1162"/>
      <c r="G2626" s="968"/>
      <c r="H2626" s="303"/>
      <c r="I2626" s="385"/>
      <c r="J2626" s="969"/>
      <c r="K2626" s="385"/>
      <c r="L2626" s="392"/>
      <c r="M2626" s="970"/>
      <c r="N2626" s="304"/>
      <c r="O2626" s="304"/>
      <c r="P2626" s="79" t="str">
        <f>IF(AND('331-CT'!$E$7=TH!H2626,OR(N2626="331",O2626="331")),"x","")</f>
        <v/>
      </c>
      <c r="Q2626" s="79" t="str">
        <f>IF(AND(B2626='111'!$L$11,OR($N2626=$Q$7,$O2626=$Q$7)),"x","")</f>
        <v/>
      </c>
      <c r="R2626" s="79" t="str">
        <f>IF(AND($N2626=$Q$7,$B2626&lt;'111'!$L$11),"x","")</f>
        <v/>
      </c>
      <c r="S2626" s="79" t="str">
        <f>IF(AND($O2626=$Q$7,$B2626&lt;'111'!$L$11),"x","")</f>
        <v/>
      </c>
      <c r="T2626" s="79" t="str">
        <f>IF(ISERROR(FIND('112'!$M$9,G2626,1)),"",IF((AND(FIND('112'!$M$9,G2626,1)&gt;=1,B2626='112'!$K$9,OR($N2626='112'!$I$6,$O2626='112'!$I$6))),"x",""))</f>
        <v/>
      </c>
      <c r="U2626" s="79" t="str">
        <f>IF(ISERROR(FIND('112'!$M$9,G2626,1)),"",IF((AND(LEFT(G2626,2)=LEFT('112'!$M$9,2),B2626&lt;'112'!$K$9,$N2626='112'!$I$6)),"x",""))</f>
        <v/>
      </c>
      <c r="V2626" s="79" t="str">
        <f>IF(ISERROR(FIND('112'!$M$9,G2626,1)),"",IF((AND(RIGHT(G2626,2)=RIGHT('112'!$M$9,2),B2626&lt;'112'!$K$9,$O2626='112'!$I$6)),"x",""))</f>
        <v/>
      </c>
      <c r="W2626" s="79" t="str">
        <f>IF(AND('341-CT'!$H$9=H2626,OR(LEFT(N2626,3)=$W$7,LEFT(O2626,3)=$W$7)),"x","")</f>
        <v/>
      </c>
      <c r="X2626" s="79" t="str">
        <f>IF(OR(TH!N2626=TH!$X$7,O2626=TH!$X$7),"x","")</f>
        <v/>
      </c>
      <c r="Y2626" s="79" t="str">
        <f>IF(AND(OR(N2626="131",O2626="131"),H2626='131-CT'!$H$9),"x","")</f>
        <v/>
      </c>
      <c r="Z2626" s="79"/>
      <c r="AA2626" s="79" t="str">
        <f>IF(AND(MONTH(E2626)='IN-NX'!$J$5,'IN-NX'!$D$7=D2626),"x","")</f>
        <v/>
      </c>
      <c r="AB2626" s="79" t="str">
        <f>IF(AND(OR(LEFT(TH!N2626,2)="15",LEFT(TH!O2626,2)="15"),LEFT(TH!O2626,3)&lt;&gt;"111",'152-CT'!$J$8=TH!F2626),"x","")</f>
        <v/>
      </c>
      <c r="AC2626" s="79" t="str">
        <f>IF(AND(OR(LEFT(TH!N2626,2)="15",LEFT(TH!O2626,2)="15"),TK!$E$7=TH!F2626),"x","")</f>
        <v/>
      </c>
      <c r="AD2626" s="79" t="str">
        <f>IF(AND(N2626="1521",MONTH(C2626)='BK-NL'!$M$11),"x","")</f>
        <v/>
      </c>
    </row>
    <row r="2627" spans="1:30" ht="16.5" customHeight="1">
      <c r="A2627" s="318" t="str">
        <f>IF(B2627&lt;&gt;"",IF(AND(B2627='IN-TC'!$S$4,OR(TH!N2627="1111",TH!O2627="1111")),TH!D2627,""),"")</f>
        <v/>
      </c>
      <c r="B2627" s="60" t="str">
        <f t="shared" si="250"/>
        <v/>
      </c>
      <c r="C2627" s="301"/>
      <c r="D2627" s="301"/>
      <c r="E2627" s="301"/>
      <c r="F2627" s="1162"/>
      <c r="G2627" s="968"/>
      <c r="H2627" s="303"/>
      <c r="I2627" s="385"/>
      <c r="J2627" s="969"/>
      <c r="K2627" s="385"/>
      <c r="L2627" s="392"/>
      <c r="M2627" s="970"/>
      <c r="N2627" s="304"/>
      <c r="O2627" s="304"/>
      <c r="P2627" s="79" t="str">
        <f>IF(AND('331-CT'!$E$7=TH!H2627,OR(N2627="331",O2627="331")),"x","")</f>
        <v/>
      </c>
      <c r="Q2627" s="79" t="str">
        <f>IF(AND(B2627='111'!$L$11,OR($N2627=$Q$7,$O2627=$Q$7)),"x","")</f>
        <v/>
      </c>
      <c r="R2627" s="79" t="str">
        <f>IF(AND($N2627=$Q$7,$B2627&lt;'111'!$L$11),"x","")</f>
        <v/>
      </c>
      <c r="S2627" s="79" t="str">
        <f>IF(AND($O2627=$Q$7,$B2627&lt;'111'!$L$11),"x","")</f>
        <v/>
      </c>
      <c r="T2627" s="79" t="str">
        <f>IF(ISERROR(FIND('112'!$M$9,G2627,1)),"",IF((AND(FIND('112'!$M$9,G2627,1)&gt;=1,B2627='112'!$K$9,OR($N2627='112'!$I$6,$O2627='112'!$I$6))),"x",""))</f>
        <v/>
      </c>
      <c r="U2627" s="79" t="str">
        <f>IF(ISERROR(FIND('112'!$M$9,G2627,1)),"",IF((AND(LEFT(G2627,2)=LEFT('112'!$M$9,2),B2627&lt;'112'!$K$9,$N2627='112'!$I$6)),"x",""))</f>
        <v/>
      </c>
      <c r="V2627" s="79" t="str">
        <f>IF(ISERROR(FIND('112'!$M$9,G2627,1)),"",IF((AND(RIGHT(G2627,2)=RIGHT('112'!$M$9,2),B2627&lt;'112'!$K$9,$O2627='112'!$I$6)),"x",""))</f>
        <v/>
      </c>
      <c r="W2627" s="79" t="str">
        <f>IF(AND('341-CT'!$H$9=H2627,OR(LEFT(N2627,3)=$W$7,LEFT(O2627,3)=$W$7)),"x","")</f>
        <v/>
      </c>
      <c r="X2627" s="79" t="str">
        <f>IF(OR(TH!N2627=TH!$X$7,O2627=TH!$X$7),"x","")</f>
        <v/>
      </c>
      <c r="Y2627" s="79" t="str">
        <f>IF(AND(OR(N2627="131",O2627="131"),H2627='131-CT'!$H$9),"x","")</f>
        <v/>
      </c>
      <c r="Z2627" s="79"/>
      <c r="AA2627" s="79" t="str">
        <f>IF(AND(MONTH(E2627)='IN-NX'!$J$5,'IN-NX'!$D$7=D2627),"x","")</f>
        <v/>
      </c>
      <c r="AB2627" s="79" t="str">
        <f>IF(AND(OR(LEFT(TH!N2627,2)="15",LEFT(TH!O2627,2)="15"),LEFT(TH!O2627,3)&lt;&gt;"111",'152-CT'!$J$8=TH!F2627),"x","")</f>
        <v/>
      </c>
      <c r="AC2627" s="79" t="str">
        <f>IF(AND(OR(LEFT(TH!N2627,2)="15",LEFT(TH!O2627,2)="15"),TK!$E$7=TH!F2627),"x","")</f>
        <v/>
      </c>
      <c r="AD2627" s="79" t="str">
        <f>IF(AND(N2627="1521",MONTH(C2627)='BK-NL'!$M$11),"x","")</f>
        <v/>
      </c>
    </row>
    <row r="2628" spans="1:30" ht="16.5" customHeight="1">
      <c r="A2628" s="318" t="str">
        <f>IF(B2628&lt;&gt;"",IF(AND(B2628='IN-TC'!$S$4,OR(TH!N2628="1111",TH!O2628="1111")),TH!D2628,""),"")</f>
        <v/>
      </c>
      <c r="B2628" s="60" t="str">
        <f t="shared" ref="B2628:B2629" si="266">IF(C2628&lt;&gt;"",MONTH(C2628),"")</f>
        <v/>
      </c>
      <c r="C2628" s="301"/>
      <c r="D2628" s="301"/>
      <c r="E2628" s="301"/>
      <c r="F2628" s="1162"/>
      <c r="G2628" s="968"/>
      <c r="H2628" s="303"/>
      <c r="I2628" s="385"/>
      <c r="J2628" s="969"/>
      <c r="K2628" s="385"/>
      <c r="L2628" s="392"/>
      <c r="M2628" s="970"/>
      <c r="N2628" s="304"/>
      <c r="O2628" s="304"/>
      <c r="P2628" s="79" t="str">
        <f>IF(AND('331-CT'!$E$7=TH!H2628,OR(N2628="331",O2628="331")),"x","")</f>
        <v/>
      </c>
      <c r="Q2628" s="79" t="str">
        <f>IF(AND(B2628='111'!$L$11,OR($N2628=$Q$7,$O2628=$Q$7)),"x","")</f>
        <v/>
      </c>
      <c r="R2628" s="79" t="str">
        <f>IF(AND($N2628=$Q$7,$B2628&lt;'111'!$L$11),"x","")</f>
        <v/>
      </c>
      <c r="S2628" s="79" t="str">
        <f>IF(AND($O2628=$Q$7,$B2628&lt;'111'!$L$11),"x","")</f>
        <v/>
      </c>
      <c r="T2628" s="79" t="str">
        <f>IF(ISERROR(FIND('112'!$M$9,G2628,1)),"",IF((AND(FIND('112'!$M$9,G2628,1)&gt;=1,B2628='112'!$K$9,OR($N2628='112'!$I$6,$O2628='112'!$I$6))),"x",""))</f>
        <v/>
      </c>
      <c r="U2628" s="79" t="str">
        <f>IF(ISERROR(FIND('112'!$M$9,G2628,1)),"",IF((AND(LEFT(G2628,2)=LEFT('112'!$M$9,2),B2628&lt;'112'!$K$9,$N2628='112'!$I$6)),"x",""))</f>
        <v/>
      </c>
      <c r="V2628" s="79" t="str">
        <f>IF(ISERROR(FIND('112'!$M$9,G2628,1)),"",IF((AND(RIGHT(G2628,2)=RIGHT('112'!$M$9,2),B2628&lt;'112'!$K$9,$O2628='112'!$I$6)),"x",""))</f>
        <v/>
      </c>
      <c r="W2628" s="79" t="str">
        <f>IF(AND('341-CT'!$H$9=H2628,OR(LEFT(N2628,3)=$W$7,LEFT(O2628,3)=$W$7)),"x","")</f>
        <v/>
      </c>
      <c r="X2628" s="79" t="str">
        <f>IF(OR(TH!N2628=TH!$X$7,O2628=TH!$X$7),"x","")</f>
        <v/>
      </c>
      <c r="Y2628" s="79" t="str">
        <f>IF(AND(OR(N2628="131",O2628="131"),H2628='131-CT'!$H$9),"x","")</f>
        <v/>
      </c>
      <c r="Z2628" s="79"/>
      <c r="AA2628" s="79" t="str">
        <f>IF(AND(MONTH(E2628)='IN-NX'!$J$5,'IN-NX'!$D$7=D2628),"x","")</f>
        <v/>
      </c>
      <c r="AB2628" s="79" t="str">
        <f>IF(AND(OR(LEFT(TH!N2628,2)="15",LEFT(TH!O2628,2)="15"),LEFT(TH!O2628,3)&lt;&gt;"111",'152-CT'!$J$8=TH!F2628),"x","")</f>
        <v/>
      </c>
      <c r="AC2628" s="79" t="str">
        <f>IF(AND(OR(LEFT(TH!N2628,2)="15",LEFT(TH!O2628,2)="15"),TK!$E$7=TH!F2628),"x","")</f>
        <v/>
      </c>
      <c r="AD2628" s="79" t="str">
        <f>IF(AND(N2628="1521",MONTH(C2628)='BK-NL'!$M$11),"x","")</f>
        <v/>
      </c>
    </row>
    <row r="2629" spans="1:30" ht="16.5" customHeight="1">
      <c r="A2629" s="318" t="str">
        <f>IF(B2629&lt;&gt;"",IF(AND(B2629='IN-TC'!$S$4,OR(TH!N2629="1111",TH!O2629="1111")),TH!D2629,""),"")</f>
        <v/>
      </c>
      <c r="B2629" s="60" t="str">
        <f t="shared" si="266"/>
        <v/>
      </c>
      <c r="C2629" s="301"/>
      <c r="D2629" s="301"/>
      <c r="E2629" s="301"/>
      <c r="F2629" s="1162"/>
      <c r="G2629" s="968"/>
      <c r="H2629" s="303"/>
      <c r="I2629" s="385"/>
      <c r="J2629" s="969"/>
      <c r="K2629" s="385"/>
      <c r="L2629" s="392"/>
      <c r="M2629" s="970"/>
      <c r="N2629" s="304"/>
      <c r="O2629" s="304"/>
      <c r="P2629" s="79" t="str">
        <f>IF(AND('331-CT'!$E$7=TH!H2629,OR(N2629="331",O2629="331")),"x","")</f>
        <v/>
      </c>
      <c r="Q2629" s="79" t="str">
        <f>IF(AND(B2629='111'!$L$11,OR($N2629=$Q$7,$O2629=$Q$7)),"x","")</f>
        <v/>
      </c>
      <c r="R2629" s="79" t="str">
        <f>IF(AND($N2629=$Q$7,$B2629&lt;'111'!$L$11),"x","")</f>
        <v/>
      </c>
      <c r="S2629" s="79" t="str">
        <f>IF(AND($O2629=$Q$7,$B2629&lt;'111'!$L$11),"x","")</f>
        <v/>
      </c>
      <c r="T2629" s="79" t="str">
        <f>IF(ISERROR(FIND('112'!$M$9,G2629,1)),"",IF((AND(FIND('112'!$M$9,G2629,1)&gt;=1,B2629='112'!$K$9,OR($N2629='112'!$I$6,$O2629='112'!$I$6))),"x",""))</f>
        <v/>
      </c>
      <c r="U2629" s="79" t="str">
        <f>IF(ISERROR(FIND('112'!$M$9,G2629,1)),"",IF((AND(LEFT(G2629,2)=LEFT('112'!$M$9,2),B2629&lt;'112'!$K$9,$N2629='112'!$I$6)),"x",""))</f>
        <v/>
      </c>
      <c r="V2629" s="79" t="str">
        <f>IF(ISERROR(FIND('112'!$M$9,G2629,1)),"",IF((AND(RIGHT(G2629,2)=RIGHT('112'!$M$9,2),B2629&lt;'112'!$K$9,$O2629='112'!$I$6)),"x",""))</f>
        <v/>
      </c>
      <c r="W2629" s="79" t="str">
        <f>IF(AND('341-CT'!$H$9=H2629,OR(LEFT(N2629,3)=$W$7,LEFT(O2629,3)=$W$7)),"x","")</f>
        <v/>
      </c>
      <c r="X2629" s="79" t="str">
        <f>IF(OR(TH!N2629=TH!$X$7,O2629=TH!$X$7),"x","")</f>
        <v/>
      </c>
      <c r="Y2629" s="79" t="str">
        <f>IF(AND(OR(N2629="131",O2629="131"),H2629='131-CT'!$H$9),"x","")</f>
        <v/>
      </c>
      <c r="Z2629" s="79"/>
      <c r="AA2629" s="79" t="str">
        <f>IF(AND(MONTH(E2629)='IN-NX'!$J$5,'IN-NX'!$D$7=D2629),"x","")</f>
        <v/>
      </c>
      <c r="AB2629" s="79" t="str">
        <f>IF(AND(OR(LEFT(TH!N2629,2)="15",LEFT(TH!O2629,2)="15"),LEFT(TH!O2629,3)&lt;&gt;"111",'152-CT'!$J$8=TH!F2629),"x","")</f>
        <v/>
      </c>
      <c r="AC2629" s="79" t="str">
        <f>IF(AND(OR(LEFT(TH!N2629,2)="15",LEFT(TH!O2629,2)="15"),TK!$E$7=TH!F2629),"x","")</f>
        <v/>
      </c>
      <c r="AD2629" s="79" t="str">
        <f>IF(AND(N2629="1521",MONTH(C2629)='BK-NL'!$M$11),"x","")</f>
        <v/>
      </c>
    </row>
    <row r="2630" spans="1:30" ht="16.5" customHeight="1">
      <c r="A2630" s="318" t="str">
        <f>IF(B2630&lt;&gt;"",IF(AND(B2630='IN-TC'!$S$4,OR(TH!N2630="1111",TH!O2630="1111")),TH!D2630,""),"")</f>
        <v/>
      </c>
      <c r="B2630" s="60" t="str">
        <f t="shared" si="250"/>
        <v/>
      </c>
      <c r="C2630" s="301"/>
      <c r="D2630" s="301"/>
      <c r="E2630" s="301"/>
      <c r="F2630" s="446"/>
      <c r="G2630" s="968"/>
      <c r="H2630" s="988"/>
      <c r="I2630" s="385"/>
      <c r="J2630" s="392"/>
      <c r="K2630" s="385"/>
      <c r="L2630" s="392"/>
      <c r="M2630" s="970"/>
      <c r="N2630" s="304"/>
      <c r="O2630" s="304"/>
      <c r="P2630" s="79" t="str">
        <f>IF(AND('331-CT'!$E$7=TH!H2630,OR(N2630="331",O2630="331")),"x","")</f>
        <v/>
      </c>
      <c r="Q2630" s="79" t="str">
        <f>IF(AND(B2630='111'!$L$11,OR($N2630=$Q$7,$O2630=$Q$7)),"x","")</f>
        <v/>
      </c>
      <c r="R2630" s="79" t="str">
        <f>IF(AND($N2630=$Q$7,$B2630&lt;'111'!$L$11),"x","")</f>
        <v/>
      </c>
      <c r="S2630" s="79" t="str">
        <f>IF(AND($O2630=$Q$7,$B2630&lt;'111'!$L$11),"x","")</f>
        <v/>
      </c>
      <c r="T2630" s="79" t="str">
        <f>IF(ISERROR(FIND('112'!$M$9,G2630,1)),"",IF((AND(FIND('112'!$M$9,G2630,1)&gt;=1,B2630='112'!$K$9,OR($N2630='112'!$I$6,$O2630='112'!$I$6))),"x",""))</f>
        <v/>
      </c>
      <c r="U2630" s="79" t="str">
        <f>IF(ISERROR(FIND('112'!$M$9,G2630,1)),"",IF((AND(LEFT(G2630,2)=LEFT('112'!$M$9,2),B2630&lt;'112'!$K$9,$N2630='112'!$I$6)),"x",""))</f>
        <v/>
      </c>
      <c r="V2630" s="79" t="str">
        <f>IF(ISERROR(FIND('112'!$M$9,G2630,1)),"",IF((AND(RIGHT(G2630,2)=RIGHT('112'!$M$9,2),B2630&lt;'112'!$K$9,$O2630='112'!$I$6)),"x",""))</f>
        <v/>
      </c>
      <c r="W2630" s="79" t="str">
        <f>IF(AND('341-CT'!$H$9=H2630,OR(LEFT(N2630,3)=$W$7,LEFT(O2630,3)=$W$7)),"x","")</f>
        <v/>
      </c>
      <c r="X2630" s="79" t="str">
        <f>IF(OR(TH!N2630=TH!$X$7,O2630=TH!$X$7),"x","")</f>
        <v/>
      </c>
      <c r="Y2630" s="79" t="str">
        <f>IF(AND(OR(N2630="131",O2630="131"),H2630='131-CT'!$H$9),"x","")</f>
        <v/>
      </c>
      <c r="Z2630" s="79"/>
      <c r="AA2630" s="79" t="str">
        <f>IF(AND(MONTH(E2630)='IN-NX'!$J$5,'IN-NX'!$D$7=D2630),"x","")</f>
        <v/>
      </c>
      <c r="AB2630" s="79" t="str">
        <f>IF(AND(OR(LEFT(TH!N2630,2)="15",LEFT(TH!O2630,2)="15"),LEFT(TH!O2630,3)&lt;&gt;"111",'152-CT'!$J$8=TH!F2630),"x","")</f>
        <v/>
      </c>
      <c r="AC2630" s="79" t="str">
        <f>IF(AND(OR(LEFT(TH!N2630,2)="15",LEFT(TH!O2630,2)="15"),TK!$E$7=TH!F2630),"x","")</f>
        <v/>
      </c>
      <c r="AD2630" s="79" t="str">
        <f>IF(AND(N2630="1521",MONTH(C2630)='BK-NL'!$M$11),"x","")</f>
        <v/>
      </c>
    </row>
    <row r="2631" spans="1:30" ht="16.5" customHeight="1">
      <c r="A2631" s="318" t="str">
        <f>IF(B2631&lt;&gt;"",IF(AND(B2631='IN-TC'!$S$4,OR(TH!N2631="1111",TH!O2631="1111")),TH!D2631,""),"")</f>
        <v/>
      </c>
      <c r="B2631" s="60" t="str">
        <f t="shared" ref="B2631:B2632" si="267">IF(C2631&lt;&gt;"",MONTH(C2631),"")</f>
        <v/>
      </c>
      <c r="C2631" s="301"/>
      <c r="D2631" s="301"/>
      <c r="E2631" s="301"/>
      <c r="F2631" s="1162"/>
      <c r="G2631" s="968"/>
      <c r="H2631" s="303"/>
      <c r="I2631" s="385"/>
      <c r="J2631" s="969"/>
      <c r="K2631" s="385"/>
      <c r="L2631" s="392"/>
      <c r="M2631" s="970"/>
      <c r="N2631" s="304"/>
      <c r="O2631" s="304"/>
      <c r="P2631" s="79" t="str">
        <f>IF(AND('331-CT'!$E$7=TH!H2631,OR(N2631="331",O2631="331")),"x","")</f>
        <v/>
      </c>
      <c r="Q2631" s="79" t="str">
        <f>IF(AND(B2631='111'!$L$11,OR($N2631=$Q$7,$O2631=$Q$7)),"x","")</f>
        <v/>
      </c>
      <c r="R2631" s="79" t="str">
        <f>IF(AND($N2631=$Q$7,$B2631&lt;'111'!$L$11),"x","")</f>
        <v/>
      </c>
      <c r="S2631" s="79" t="str">
        <f>IF(AND($O2631=$Q$7,$B2631&lt;'111'!$L$11),"x","")</f>
        <v/>
      </c>
      <c r="T2631" s="79" t="str">
        <f>IF(ISERROR(FIND('112'!$M$9,G2631,1)),"",IF((AND(FIND('112'!$M$9,G2631,1)&gt;=1,B2631='112'!$K$9,OR($N2631='112'!$I$6,$O2631='112'!$I$6))),"x",""))</f>
        <v/>
      </c>
      <c r="U2631" s="79" t="str">
        <f>IF(ISERROR(FIND('112'!$M$9,G2631,1)),"",IF((AND(LEFT(G2631,2)=LEFT('112'!$M$9,2),B2631&lt;'112'!$K$9,$N2631='112'!$I$6)),"x",""))</f>
        <v/>
      </c>
      <c r="V2631" s="79" t="str">
        <f>IF(ISERROR(FIND('112'!$M$9,G2631,1)),"",IF((AND(RIGHT(G2631,2)=RIGHT('112'!$M$9,2),B2631&lt;'112'!$K$9,$O2631='112'!$I$6)),"x",""))</f>
        <v/>
      </c>
      <c r="W2631" s="79" t="str">
        <f>IF(AND('341-CT'!$H$9=H2631,OR(LEFT(N2631,3)=$W$7,LEFT(O2631,3)=$W$7)),"x","")</f>
        <v/>
      </c>
      <c r="X2631" s="79" t="str">
        <f>IF(OR(TH!N2631=TH!$X$7,O2631=TH!$X$7),"x","")</f>
        <v/>
      </c>
      <c r="Y2631" s="79" t="str">
        <f>IF(AND(OR(N2631="131",O2631="131"),H2631='131-CT'!$H$9),"x","")</f>
        <v/>
      </c>
      <c r="Z2631" s="79"/>
      <c r="AA2631" s="79" t="str">
        <f>IF(AND(MONTH(E2631)='IN-NX'!$J$5,'IN-NX'!$D$7=D2631),"x","")</f>
        <v/>
      </c>
      <c r="AB2631" s="79" t="str">
        <f>IF(AND(OR(LEFT(TH!N2631,2)="15",LEFT(TH!O2631,2)="15"),LEFT(TH!O2631,3)&lt;&gt;"111",'152-CT'!$J$8=TH!F2631),"x","")</f>
        <v/>
      </c>
      <c r="AC2631" s="79" t="str">
        <f>IF(AND(OR(LEFT(TH!N2631,2)="15",LEFT(TH!O2631,2)="15"),TK!$E$7=TH!F2631),"x","")</f>
        <v/>
      </c>
      <c r="AD2631" s="79" t="str">
        <f>IF(AND(N2631="1521",MONTH(C2631)='BK-NL'!$M$11),"x","")</f>
        <v/>
      </c>
    </row>
    <row r="2632" spans="1:30" ht="16.5" customHeight="1">
      <c r="A2632" s="318" t="str">
        <f>IF(B2632&lt;&gt;"",IF(AND(B2632='IN-TC'!$S$4,OR(TH!N2632="1111",TH!O2632="1111")),TH!D2632,""),"")</f>
        <v/>
      </c>
      <c r="B2632" s="60" t="str">
        <f t="shared" si="267"/>
        <v/>
      </c>
      <c r="C2632" s="301"/>
      <c r="D2632" s="301"/>
      <c r="E2632" s="301"/>
      <c r="F2632" s="1162"/>
      <c r="G2632" s="968"/>
      <c r="H2632" s="303"/>
      <c r="I2632" s="385"/>
      <c r="J2632" s="969"/>
      <c r="K2632" s="385"/>
      <c r="L2632" s="392"/>
      <c r="M2632" s="970"/>
      <c r="N2632" s="304"/>
      <c r="O2632" s="304"/>
      <c r="P2632" s="79" t="str">
        <f>IF(AND('331-CT'!$E$7=TH!H2632,OR(N2632="331",O2632="331")),"x","")</f>
        <v/>
      </c>
      <c r="Q2632" s="79" t="str">
        <f>IF(AND(B2632='111'!$L$11,OR($N2632=$Q$7,$O2632=$Q$7)),"x","")</f>
        <v/>
      </c>
      <c r="R2632" s="79" t="str">
        <f>IF(AND($N2632=$Q$7,$B2632&lt;'111'!$L$11),"x","")</f>
        <v/>
      </c>
      <c r="S2632" s="79" t="str">
        <f>IF(AND($O2632=$Q$7,$B2632&lt;'111'!$L$11),"x","")</f>
        <v/>
      </c>
      <c r="T2632" s="79" t="str">
        <f>IF(ISERROR(FIND('112'!$M$9,G2632,1)),"",IF((AND(FIND('112'!$M$9,G2632,1)&gt;=1,B2632='112'!$K$9,OR($N2632='112'!$I$6,$O2632='112'!$I$6))),"x",""))</f>
        <v/>
      </c>
      <c r="U2632" s="79" t="str">
        <f>IF(ISERROR(FIND('112'!$M$9,G2632,1)),"",IF((AND(LEFT(G2632,2)=LEFT('112'!$M$9,2),B2632&lt;'112'!$K$9,$N2632='112'!$I$6)),"x",""))</f>
        <v/>
      </c>
      <c r="V2632" s="79" t="str">
        <f>IF(ISERROR(FIND('112'!$M$9,G2632,1)),"",IF((AND(RIGHT(G2632,2)=RIGHT('112'!$M$9,2),B2632&lt;'112'!$K$9,$O2632='112'!$I$6)),"x",""))</f>
        <v/>
      </c>
      <c r="W2632" s="79" t="str">
        <f>IF(AND('341-CT'!$H$9=H2632,OR(LEFT(N2632,3)=$W$7,LEFT(O2632,3)=$W$7)),"x","")</f>
        <v/>
      </c>
      <c r="X2632" s="79" t="str">
        <f>IF(OR(TH!N2632=TH!$X$7,O2632=TH!$X$7),"x","")</f>
        <v/>
      </c>
      <c r="Y2632" s="79" t="str">
        <f>IF(AND(OR(N2632="131",O2632="131"),H2632='131-CT'!$H$9),"x","")</f>
        <v/>
      </c>
      <c r="Z2632" s="79"/>
      <c r="AA2632" s="79" t="str">
        <f>IF(AND(MONTH(E2632)='IN-NX'!$J$5,'IN-NX'!$D$7=D2632),"x","")</f>
        <v/>
      </c>
      <c r="AB2632" s="79" t="str">
        <f>IF(AND(OR(LEFT(TH!N2632,2)="15",LEFT(TH!O2632,2)="15"),LEFT(TH!O2632,3)&lt;&gt;"111",'152-CT'!$J$8=TH!F2632),"x","")</f>
        <v/>
      </c>
      <c r="AC2632" s="79" t="str">
        <f>IF(AND(OR(LEFT(TH!N2632,2)="15",LEFT(TH!O2632,2)="15"),TK!$E$7=TH!F2632),"x","")</f>
        <v/>
      </c>
      <c r="AD2632" s="79" t="str">
        <f>IF(AND(N2632="1521",MONTH(C2632)='BK-NL'!$M$11),"x","")</f>
        <v/>
      </c>
    </row>
    <row r="2633" spans="1:30" ht="16.5" customHeight="1">
      <c r="A2633" s="318" t="str">
        <f>IF(B2633&lt;&gt;"",IF(AND(B2633='IN-TC'!$S$4,OR(TH!N2633="1111",TH!O2633="1111")),TH!D2633,""),"")</f>
        <v/>
      </c>
      <c r="B2633" s="60" t="str">
        <f t="shared" ref="B2633:B2634" si="268">IF(C2633&lt;&gt;"",MONTH(C2633),"")</f>
        <v/>
      </c>
      <c r="C2633" s="301"/>
      <c r="D2633" s="301"/>
      <c r="E2633" s="301"/>
      <c r="F2633" s="1162"/>
      <c r="G2633" s="968"/>
      <c r="H2633" s="303"/>
      <c r="I2633" s="385"/>
      <c r="J2633" s="969"/>
      <c r="K2633" s="385"/>
      <c r="L2633" s="392"/>
      <c r="M2633" s="970"/>
      <c r="N2633" s="304"/>
      <c r="O2633" s="304"/>
      <c r="P2633" s="79" t="str">
        <f>IF(AND('331-CT'!$E$7=TH!H2633,OR(N2633="331",O2633="331")),"x","")</f>
        <v/>
      </c>
      <c r="Q2633" s="79" t="str">
        <f>IF(AND(B2633='111'!$L$11,OR($N2633=$Q$7,$O2633=$Q$7)),"x","")</f>
        <v/>
      </c>
      <c r="R2633" s="79" t="str">
        <f>IF(AND($N2633=$Q$7,$B2633&lt;'111'!$L$11),"x","")</f>
        <v/>
      </c>
      <c r="S2633" s="79" t="str">
        <f>IF(AND($O2633=$Q$7,$B2633&lt;'111'!$L$11),"x","")</f>
        <v/>
      </c>
      <c r="T2633" s="79" t="str">
        <f>IF(ISERROR(FIND('112'!$M$9,G2633,1)),"",IF((AND(FIND('112'!$M$9,G2633,1)&gt;=1,B2633='112'!$K$9,OR($N2633='112'!$I$6,$O2633='112'!$I$6))),"x",""))</f>
        <v/>
      </c>
      <c r="U2633" s="79" t="str">
        <f>IF(ISERROR(FIND('112'!$M$9,G2633,1)),"",IF((AND(LEFT(G2633,2)=LEFT('112'!$M$9,2),B2633&lt;'112'!$K$9,$N2633='112'!$I$6)),"x",""))</f>
        <v/>
      </c>
      <c r="V2633" s="79" t="str">
        <f>IF(ISERROR(FIND('112'!$M$9,G2633,1)),"",IF((AND(RIGHT(G2633,2)=RIGHT('112'!$M$9,2),B2633&lt;'112'!$K$9,$O2633='112'!$I$6)),"x",""))</f>
        <v/>
      </c>
      <c r="W2633" s="79" t="str">
        <f>IF(AND('341-CT'!$H$9=H2633,OR(LEFT(N2633,3)=$W$7,LEFT(O2633,3)=$W$7)),"x","")</f>
        <v/>
      </c>
      <c r="X2633" s="79" t="str">
        <f>IF(OR(TH!N2633=TH!$X$7,O2633=TH!$X$7),"x","")</f>
        <v/>
      </c>
      <c r="Y2633" s="79" t="str">
        <f>IF(AND(OR(N2633="131",O2633="131"),H2633='131-CT'!$H$9),"x","")</f>
        <v/>
      </c>
      <c r="Z2633" s="79"/>
      <c r="AA2633" s="79" t="str">
        <f>IF(AND(MONTH(E2633)='IN-NX'!$J$5,'IN-NX'!$D$7=D2633),"x","")</f>
        <v/>
      </c>
      <c r="AB2633" s="79" t="str">
        <f>IF(AND(OR(LEFT(TH!N2633,2)="15",LEFT(TH!O2633,2)="15"),LEFT(TH!O2633,3)&lt;&gt;"111",'152-CT'!$J$8=TH!F2633),"x","")</f>
        <v/>
      </c>
      <c r="AC2633" s="79" t="str">
        <f>IF(AND(OR(LEFT(TH!N2633,2)="15",LEFT(TH!O2633,2)="15"),TK!$E$7=TH!F2633),"x","")</f>
        <v/>
      </c>
      <c r="AD2633" s="79" t="str">
        <f>IF(AND(N2633="1521",MONTH(C2633)='BK-NL'!$M$11),"x","")</f>
        <v/>
      </c>
    </row>
    <row r="2634" spans="1:30" ht="16.5" customHeight="1">
      <c r="A2634" s="318" t="str">
        <f>IF(B2634&lt;&gt;"",IF(AND(B2634='IN-TC'!$S$4,OR(TH!N2634="1111",TH!O2634="1111")),TH!D2634,""),"")</f>
        <v/>
      </c>
      <c r="B2634" s="60" t="str">
        <f t="shared" si="268"/>
        <v/>
      </c>
      <c r="C2634" s="301"/>
      <c r="D2634" s="301"/>
      <c r="E2634" s="301"/>
      <c r="F2634" s="1162"/>
      <c r="G2634" s="968"/>
      <c r="H2634" s="303"/>
      <c r="I2634" s="385"/>
      <c r="J2634" s="969"/>
      <c r="K2634" s="385"/>
      <c r="L2634" s="392"/>
      <c r="M2634" s="970"/>
      <c r="N2634" s="304"/>
      <c r="O2634" s="304"/>
      <c r="P2634" s="79" t="str">
        <f>IF(AND('331-CT'!$E$7=TH!H2634,OR(N2634="331",O2634="331")),"x","")</f>
        <v/>
      </c>
      <c r="Q2634" s="79" t="str">
        <f>IF(AND(B2634='111'!$L$11,OR($N2634=$Q$7,$O2634=$Q$7)),"x","")</f>
        <v/>
      </c>
      <c r="R2634" s="79" t="str">
        <f>IF(AND($N2634=$Q$7,$B2634&lt;'111'!$L$11),"x","")</f>
        <v/>
      </c>
      <c r="S2634" s="79" t="str">
        <f>IF(AND($O2634=$Q$7,$B2634&lt;'111'!$L$11),"x","")</f>
        <v/>
      </c>
      <c r="T2634" s="79" t="str">
        <f>IF(ISERROR(FIND('112'!$M$9,G2634,1)),"",IF((AND(FIND('112'!$M$9,G2634,1)&gt;=1,B2634='112'!$K$9,OR($N2634='112'!$I$6,$O2634='112'!$I$6))),"x",""))</f>
        <v/>
      </c>
      <c r="U2634" s="79" t="str">
        <f>IF(ISERROR(FIND('112'!$M$9,G2634,1)),"",IF((AND(LEFT(G2634,2)=LEFT('112'!$M$9,2),B2634&lt;'112'!$K$9,$N2634='112'!$I$6)),"x",""))</f>
        <v/>
      </c>
      <c r="V2634" s="79" t="str">
        <f>IF(ISERROR(FIND('112'!$M$9,G2634,1)),"",IF((AND(RIGHT(G2634,2)=RIGHT('112'!$M$9,2),B2634&lt;'112'!$K$9,$O2634='112'!$I$6)),"x",""))</f>
        <v/>
      </c>
      <c r="W2634" s="79" t="str">
        <f>IF(AND('341-CT'!$H$9=H2634,OR(LEFT(N2634,3)=$W$7,LEFT(O2634,3)=$W$7)),"x","")</f>
        <v/>
      </c>
      <c r="X2634" s="79" t="str">
        <f>IF(OR(TH!N2634=TH!$X$7,O2634=TH!$X$7),"x","")</f>
        <v/>
      </c>
      <c r="Y2634" s="79" t="str">
        <f>IF(AND(OR(N2634="131",O2634="131"),H2634='131-CT'!$H$9),"x","")</f>
        <v/>
      </c>
      <c r="Z2634" s="79"/>
      <c r="AA2634" s="79" t="str">
        <f>IF(AND(MONTH(E2634)='IN-NX'!$J$5,'IN-NX'!$D$7=D2634),"x","")</f>
        <v/>
      </c>
      <c r="AB2634" s="79" t="str">
        <f>IF(AND(OR(LEFT(TH!N2634,2)="15",LEFT(TH!O2634,2)="15"),LEFT(TH!O2634,3)&lt;&gt;"111",'152-CT'!$J$8=TH!F2634),"x","")</f>
        <v/>
      </c>
      <c r="AC2634" s="79" t="str">
        <f>IF(AND(OR(LEFT(TH!N2634,2)="15",LEFT(TH!O2634,2)="15"),TK!$E$7=TH!F2634),"x","")</f>
        <v/>
      </c>
      <c r="AD2634" s="79" t="str">
        <f>IF(AND(N2634="1521",MONTH(C2634)='BK-NL'!$M$11),"x","")</f>
        <v/>
      </c>
    </row>
    <row r="2635" spans="1:30" ht="16.5" customHeight="1">
      <c r="A2635" s="318" t="str">
        <f>IF(B2635&lt;&gt;"",IF(AND(B2635='IN-TC'!$S$4,OR(TH!N2635="1111",TH!O2635="1111")),TH!D2635,""),"")</f>
        <v/>
      </c>
      <c r="B2635" s="60" t="str">
        <f t="shared" si="250"/>
        <v/>
      </c>
      <c r="C2635" s="301"/>
      <c r="D2635" s="301"/>
      <c r="E2635" s="301"/>
      <c r="F2635" s="1162"/>
      <c r="G2635" s="968"/>
      <c r="H2635" s="303"/>
      <c r="I2635" s="385"/>
      <c r="J2635" s="969"/>
      <c r="K2635" s="385"/>
      <c r="L2635" s="392"/>
      <c r="M2635" s="970"/>
      <c r="N2635" s="304"/>
      <c r="O2635" s="304"/>
      <c r="P2635" s="79" t="str">
        <f>IF(AND('331-CT'!$E$7=TH!H2635,OR(N2635="331",O2635="331")),"x","")</f>
        <v/>
      </c>
      <c r="Q2635" s="79" t="str">
        <f>IF(AND(B2635='111'!$L$11,OR($N2635=$Q$7,$O2635=$Q$7)),"x","")</f>
        <v/>
      </c>
      <c r="R2635" s="79" t="str">
        <f>IF(AND($N2635=$Q$7,$B2635&lt;'111'!$L$11),"x","")</f>
        <v/>
      </c>
      <c r="S2635" s="79" t="str">
        <f>IF(AND($O2635=$Q$7,$B2635&lt;'111'!$L$11),"x","")</f>
        <v/>
      </c>
      <c r="T2635" s="79" t="str">
        <f>IF(ISERROR(FIND('112'!$M$9,G2635,1)),"",IF((AND(FIND('112'!$M$9,G2635,1)&gt;=1,B2635='112'!$K$9,OR($N2635='112'!$I$6,$O2635='112'!$I$6))),"x",""))</f>
        <v/>
      </c>
      <c r="U2635" s="79" t="str">
        <f>IF(ISERROR(FIND('112'!$M$9,G2635,1)),"",IF((AND(LEFT(G2635,2)=LEFT('112'!$M$9,2),B2635&lt;'112'!$K$9,$N2635='112'!$I$6)),"x",""))</f>
        <v/>
      </c>
      <c r="V2635" s="79" t="str">
        <f>IF(ISERROR(FIND('112'!$M$9,G2635,1)),"",IF((AND(RIGHT(G2635,2)=RIGHT('112'!$M$9,2),B2635&lt;'112'!$K$9,$O2635='112'!$I$6)),"x",""))</f>
        <v/>
      </c>
      <c r="W2635" s="79" t="str">
        <f>IF(AND('341-CT'!$H$9=H2635,OR(LEFT(N2635,3)=$W$7,LEFT(O2635,3)=$W$7)),"x","")</f>
        <v/>
      </c>
      <c r="X2635" s="79" t="str">
        <f>IF(OR(TH!N2635=TH!$X$7,O2635=TH!$X$7),"x","")</f>
        <v/>
      </c>
      <c r="Y2635" s="79" t="str">
        <f>IF(AND(OR(N2635="131",O2635="131"),H2635='131-CT'!$H$9),"x","")</f>
        <v/>
      </c>
      <c r="Z2635" s="79"/>
      <c r="AA2635" s="79" t="str">
        <f>IF(AND(MONTH(E2635)='IN-NX'!$J$5,'IN-NX'!$D$7=D2635),"x","")</f>
        <v/>
      </c>
      <c r="AB2635" s="79" t="str">
        <f>IF(AND(OR(LEFT(TH!N2635,2)="15",LEFT(TH!O2635,2)="15"),LEFT(TH!O2635,3)&lt;&gt;"111",'152-CT'!$J$8=TH!F2635),"x","")</f>
        <v/>
      </c>
      <c r="AC2635" s="79" t="str">
        <f>IF(AND(OR(LEFT(TH!N2635,2)="15",LEFT(TH!O2635,2)="15"),TK!$E$7=TH!F2635),"x","")</f>
        <v/>
      </c>
      <c r="AD2635" s="79" t="str">
        <f>IF(AND(N2635="1521",MONTH(C2635)='BK-NL'!$M$11),"x","")</f>
        <v/>
      </c>
    </row>
    <row r="2636" spans="1:30" ht="16.5" customHeight="1">
      <c r="A2636" s="318" t="str">
        <f>IF(B2636&lt;&gt;"",IF(AND(B2636='IN-TC'!$S$4,OR(TH!N2636="1111",TH!O2636="1111")),TH!D2636,""),"")</f>
        <v/>
      </c>
      <c r="B2636" s="60" t="str">
        <f t="shared" ref="B2636:B2637" si="269">IF(C2636&lt;&gt;"",MONTH(C2636),"")</f>
        <v/>
      </c>
      <c r="C2636" s="301"/>
      <c r="D2636" s="301"/>
      <c r="E2636" s="301"/>
      <c r="F2636" s="1162"/>
      <c r="G2636" s="968"/>
      <c r="H2636" s="303"/>
      <c r="I2636" s="385"/>
      <c r="J2636" s="969"/>
      <c r="K2636" s="385"/>
      <c r="L2636" s="392"/>
      <c r="M2636" s="970"/>
      <c r="N2636" s="304"/>
      <c r="O2636" s="304"/>
      <c r="P2636" s="79" t="str">
        <f>IF(AND('331-CT'!$E$7=TH!H2636,OR(N2636="331",O2636="331")),"x","")</f>
        <v/>
      </c>
      <c r="Q2636" s="79" t="str">
        <f>IF(AND(B2636='111'!$L$11,OR($N2636=$Q$7,$O2636=$Q$7)),"x","")</f>
        <v/>
      </c>
      <c r="R2636" s="79" t="str">
        <f>IF(AND($N2636=$Q$7,$B2636&lt;'111'!$L$11),"x","")</f>
        <v/>
      </c>
      <c r="S2636" s="79" t="str">
        <f>IF(AND($O2636=$Q$7,$B2636&lt;'111'!$L$11),"x","")</f>
        <v/>
      </c>
      <c r="T2636" s="79" t="str">
        <f>IF(ISERROR(FIND('112'!$M$9,G2636,1)),"",IF((AND(FIND('112'!$M$9,G2636,1)&gt;=1,B2636='112'!$K$9,OR($N2636='112'!$I$6,$O2636='112'!$I$6))),"x",""))</f>
        <v/>
      </c>
      <c r="U2636" s="79" t="str">
        <f>IF(ISERROR(FIND('112'!$M$9,G2636,1)),"",IF((AND(LEFT(G2636,2)=LEFT('112'!$M$9,2),B2636&lt;'112'!$K$9,$N2636='112'!$I$6)),"x",""))</f>
        <v/>
      </c>
      <c r="V2636" s="79" t="str">
        <f>IF(ISERROR(FIND('112'!$M$9,G2636,1)),"",IF((AND(RIGHT(G2636,2)=RIGHT('112'!$M$9,2),B2636&lt;'112'!$K$9,$O2636='112'!$I$6)),"x",""))</f>
        <v/>
      </c>
      <c r="W2636" s="79" t="str">
        <f>IF(AND('341-CT'!$H$9=H2636,OR(LEFT(N2636,3)=$W$7,LEFT(O2636,3)=$W$7)),"x","")</f>
        <v/>
      </c>
      <c r="X2636" s="79" t="str">
        <f>IF(OR(TH!N2636=TH!$X$7,O2636=TH!$X$7),"x","")</f>
        <v/>
      </c>
      <c r="Y2636" s="79" t="str">
        <f>IF(AND(OR(N2636="131",O2636="131"),H2636='131-CT'!$H$9),"x","")</f>
        <v/>
      </c>
      <c r="Z2636" s="79"/>
      <c r="AA2636" s="79" t="str">
        <f>IF(AND(MONTH(E2636)='IN-NX'!$J$5,'IN-NX'!$D$7=D2636),"x","")</f>
        <v/>
      </c>
      <c r="AB2636" s="79" t="str">
        <f>IF(AND(OR(LEFT(TH!N2636,2)="15",LEFT(TH!O2636,2)="15"),LEFT(TH!O2636,3)&lt;&gt;"111",'152-CT'!$J$8=TH!F2636),"x","")</f>
        <v/>
      </c>
      <c r="AC2636" s="79" t="str">
        <f>IF(AND(OR(LEFT(TH!N2636,2)="15",LEFT(TH!O2636,2)="15"),TK!$E$7=TH!F2636),"x","")</f>
        <v/>
      </c>
      <c r="AD2636" s="79" t="str">
        <f>IF(AND(N2636="1521",MONTH(C2636)='BK-NL'!$M$11),"x","")</f>
        <v/>
      </c>
    </row>
    <row r="2637" spans="1:30" ht="16.5" customHeight="1">
      <c r="A2637" s="318" t="str">
        <f>IF(B2637&lt;&gt;"",IF(AND(B2637='IN-TC'!$S$4,OR(TH!N2637="1111",TH!O2637="1111")),TH!D2637,""),"")</f>
        <v/>
      </c>
      <c r="B2637" s="60" t="str">
        <f t="shared" si="269"/>
        <v/>
      </c>
      <c r="C2637" s="301"/>
      <c r="D2637" s="301"/>
      <c r="E2637" s="301"/>
      <c r="F2637" s="1162"/>
      <c r="G2637" s="968"/>
      <c r="H2637" s="303"/>
      <c r="I2637" s="385"/>
      <c r="J2637" s="969"/>
      <c r="K2637" s="385"/>
      <c r="L2637" s="392"/>
      <c r="M2637" s="970"/>
      <c r="N2637" s="304"/>
      <c r="O2637" s="304"/>
      <c r="P2637" s="79" t="str">
        <f>IF(AND('331-CT'!$E$7=TH!H2637,OR(N2637="331",O2637="331")),"x","")</f>
        <v/>
      </c>
      <c r="Q2637" s="79" t="str">
        <f>IF(AND(B2637='111'!$L$11,OR($N2637=$Q$7,$O2637=$Q$7)),"x","")</f>
        <v/>
      </c>
      <c r="R2637" s="79" t="str">
        <f>IF(AND($N2637=$Q$7,$B2637&lt;'111'!$L$11),"x","")</f>
        <v/>
      </c>
      <c r="S2637" s="79" t="str">
        <f>IF(AND($O2637=$Q$7,$B2637&lt;'111'!$L$11),"x","")</f>
        <v/>
      </c>
      <c r="T2637" s="79" t="str">
        <f>IF(ISERROR(FIND('112'!$M$9,G2637,1)),"",IF((AND(FIND('112'!$M$9,G2637,1)&gt;=1,B2637='112'!$K$9,OR($N2637='112'!$I$6,$O2637='112'!$I$6))),"x",""))</f>
        <v/>
      </c>
      <c r="U2637" s="79" t="str">
        <f>IF(ISERROR(FIND('112'!$M$9,G2637,1)),"",IF((AND(LEFT(G2637,2)=LEFT('112'!$M$9,2),B2637&lt;'112'!$K$9,$N2637='112'!$I$6)),"x",""))</f>
        <v/>
      </c>
      <c r="V2637" s="79" t="str">
        <f>IF(ISERROR(FIND('112'!$M$9,G2637,1)),"",IF((AND(RIGHT(G2637,2)=RIGHT('112'!$M$9,2),B2637&lt;'112'!$K$9,$O2637='112'!$I$6)),"x",""))</f>
        <v/>
      </c>
      <c r="W2637" s="79" t="str">
        <f>IF(AND('341-CT'!$H$9=H2637,OR(LEFT(N2637,3)=$W$7,LEFT(O2637,3)=$W$7)),"x","")</f>
        <v/>
      </c>
      <c r="X2637" s="79" t="str">
        <f>IF(OR(TH!N2637=TH!$X$7,O2637=TH!$X$7),"x","")</f>
        <v/>
      </c>
      <c r="Y2637" s="79" t="str">
        <f>IF(AND(OR(N2637="131",O2637="131"),H2637='131-CT'!$H$9),"x","")</f>
        <v/>
      </c>
      <c r="Z2637" s="79"/>
      <c r="AA2637" s="79" t="str">
        <f>IF(AND(MONTH(E2637)='IN-NX'!$J$5,'IN-NX'!$D$7=D2637),"x","")</f>
        <v/>
      </c>
      <c r="AB2637" s="79" t="str">
        <f>IF(AND(OR(LEFT(TH!N2637,2)="15",LEFT(TH!O2637,2)="15"),LEFT(TH!O2637,3)&lt;&gt;"111",'152-CT'!$J$8=TH!F2637),"x","")</f>
        <v/>
      </c>
      <c r="AC2637" s="79" t="str">
        <f>IF(AND(OR(LEFT(TH!N2637,2)="15",LEFT(TH!O2637,2)="15"),TK!$E$7=TH!F2637),"x","")</f>
        <v/>
      </c>
      <c r="AD2637" s="79" t="str">
        <f>IF(AND(N2637="1521",MONTH(C2637)='BK-NL'!$M$11),"x","")</f>
        <v/>
      </c>
    </row>
    <row r="2638" spans="1:30" ht="16.5" customHeight="1">
      <c r="A2638" s="318" t="str">
        <f>IF(B2638&lt;&gt;"",IF(AND(B2638='IN-TC'!$S$4,OR(TH!N2638="1111",TH!O2638="1111")),TH!D2638,""),"")</f>
        <v/>
      </c>
      <c r="B2638" s="60" t="str">
        <f t="shared" ref="B2638:B2639" si="270">IF(C2638&lt;&gt;"",MONTH(C2638),"")</f>
        <v/>
      </c>
      <c r="C2638" s="301"/>
      <c r="D2638" s="301"/>
      <c r="E2638" s="301"/>
      <c r="F2638" s="1162"/>
      <c r="G2638" s="968"/>
      <c r="H2638" s="303"/>
      <c r="I2638" s="385"/>
      <c r="J2638" s="969"/>
      <c r="K2638" s="385"/>
      <c r="L2638" s="392"/>
      <c r="M2638" s="970"/>
      <c r="N2638" s="304"/>
      <c r="O2638" s="304"/>
      <c r="P2638" s="79" t="str">
        <f>IF(AND('331-CT'!$E$7=TH!H2638,OR(N2638="331",O2638="331")),"x","")</f>
        <v/>
      </c>
      <c r="Q2638" s="79" t="str">
        <f>IF(AND(B2638='111'!$L$11,OR($N2638=$Q$7,$O2638=$Q$7)),"x","")</f>
        <v/>
      </c>
      <c r="R2638" s="79" t="str">
        <f>IF(AND($N2638=$Q$7,$B2638&lt;'111'!$L$11),"x","")</f>
        <v/>
      </c>
      <c r="S2638" s="79" t="str">
        <f>IF(AND($O2638=$Q$7,$B2638&lt;'111'!$L$11),"x","")</f>
        <v/>
      </c>
      <c r="T2638" s="79" t="str">
        <f>IF(ISERROR(FIND('112'!$M$9,G2638,1)),"",IF((AND(FIND('112'!$M$9,G2638,1)&gt;=1,B2638='112'!$K$9,OR($N2638='112'!$I$6,$O2638='112'!$I$6))),"x",""))</f>
        <v/>
      </c>
      <c r="U2638" s="79" t="str">
        <f>IF(ISERROR(FIND('112'!$M$9,G2638,1)),"",IF((AND(LEFT(G2638,2)=LEFT('112'!$M$9,2),B2638&lt;'112'!$K$9,$N2638='112'!$I$6)),"x",""))</f>
        <v/>
      </c>
      <c r="V2638" s="79" t="str">
        <f>IF(ISERROR(FIND('112'!$M$9,G2638,1)),"",IF((AND(RIGHT(G2638,2)=RIGHT('112'!$M$9,2),B2638&lt;'112'!$K$9,$O2638='112'!$I$6)),"x",""))</f>
        <v/>
      </c>
      <c r="W2638" s="79" t="str">
        <f>IF(AND('341-CT'!$H$9=H2638,OR(LEFT(N2638,3)=$W$7,LEFT(O2638,3)=$W$7)),"x","")</f>
        <v/>
      </c>
      <c r="X2638" s="79" t="str">
        <f>IF(OR(TH!N2638=TH!$X$7,O2638=TH!$X$7),"x","")</f>
        <v/>
      </c>
      <c r="Y2638" s="79" t="str">
        <f>IF(AND(OR(N2638="131",O2638="131"),H2638='131-CT'!$H$9),"x","")</f>
        <v/>
      </c>
      <c r="Z2638" s="79"/>
      <c r="AA2638" s="79" t="str">
        <f>IF(AND(MONTH(E2638)='IN-NX'!$J$5,'IN-NX'!$D$7=D2638),"x","")</f>
        <v/>
      </c>
      <c r="AB2638" s="79" t="str">
        <f>IF(AND(OR(LEFT(TH!N2638,2)="15",LEFT(TH!O2638,2)="15"),LEFT(TH!O2638,3)&lt;&gt;"111",'152-CT'!$J$8=TH!F2638),"x","")</f>
        <v/>
      </c>
      <c r="AC2638" s="79" t="str">
        <f>IF(AND(OR(LEFT(TH!N2638,2)="15",LEFT(TH!O2638,2)="15"),TK!$E$7=TH!F2638),"x","")</f>
        <v/>
      </c>
      <c r="AD2638" s="79" t="str">
        <f>IF(AND(N2638="1521",MONTH(C2638)='BK-NL'!$M$11),"x","")</f>
        <v/>
      </c>
    </row>
    <row r="2639" spans="1:30" ht="16.5" customHeight="1">
      <c r="A2639" s="318" t="str">
        <f>IF(B2639&lt;&gt;"",IF(AND(B2639='IN-TC'!$S$4,OR(TH!N2639="1111",TH!O2639="1111")),TH!D2639,""),"")</f>
        <v/>
      </c>
      <c r="B2639" s="60" t="str">
        <f t="shared" si="270"/>
        <v/>
      </c>
      <c r="C2639" s="301"/>
      <c r="D2639" s="301"/>
      <c r="E2639" s="301"/>
      <c r="F2639" s="1162"/>
      <c r="G2639" s="968"/>
      <c r="H2639" s="303"/>
      <c r="I2639" s="385"/>
      <c r="J2639" s="969"/>
      <c r="K2639" s="385"/>
      <c r="L2639" s="392"/>
      <c r="M2639" s="970"/>
      <c r="N2639" s="304"/>
      <c r="O2639" s="304"/>
      <c r="P2639" s="79" t="str">
        <f>IF(AND('331-CT'!$E$7=TH!H2639,OR(N2639="331",O2639="331")),"x","")</f>
        <v/>
      </c>
      <c r="Q2639" s="79" t="str">
        <f>IF(AND(B2639='111'!$L$11,OR($N2639=$Q$7,$O2639=$Q$7)),"x","")</f>
        <v/>
      </c>
      <c r="R2639" s="79" t="str">
        <f>IF(AND($N2639=$Q$7,$B2639&lt;'111'!$L$11),"x","")</f>
        <v/>
      </c>
      <c r="S2639" s="79" t="str">
        <f>IF(AND($O2639=$Q$7,$B2639&lt;'111'!$L$11),"x","")</f>
        <v/>
      </c>
      <c r="T2639" s="79" t="str">
        <f>IF(ISERROR(FIND('112'!$M$9,G2639,1)),"",IF((AND(FIND('112'!$M$9,G2639,1)&gt;=1,B2639='112'!$K$9,OR($N2639='112'!$I$6,$O2639='112'!$I$6))),"x",""))</f>
        <v/>
      </c>
      <c r="U2639" s="79" t="str">
        <f>IF(ISERROR(FIND('112'!$M$9,G2639,1)),"",IF((AND(LEFT(G2639,2)=LEFT('112'!$M$9,2),B2639&lt;'112'!$K$9,$N2639='112'!$I$6)),"x",""))</f>
        <v/>
      </c>
      <c r="V2639" s="79" t="str">
        <f>IF(ISERROR(FIND('112'!$M$9,G2639,1)),"",IF((AND(RIGHT(G2639,2)=RIGHT('112'!$M$9,2),B2639&lt;'112'!$K$9,$O2639='112'!$I$6)),"x",""))</f>
        <v/>
      </c>
      <c r="W2639" s="79" t="str">
        <f>IF(AND('341-CT'!$H$9=H2639,OR(LEFT(N2639,3)=$W$7,LEFT(O2639,3)=$W$7)),"x","")</f>
        <v/>
      </c>
      <c r="X2639" s="79" t="str">
        <f>IF(OR(TH!N2639=TH!$X$7,O2639=TH!$X$7),"x","")</f>
        <v/>
      </c>
      <c r="Y2639" s="79" t="str">
        <f>IF(AND(OR(N2639="131",O2639="131"),H2639='131-CT'!$H$9),"x","")</f>
        <v/>
      </c>
      <c r="Z2639" s="79"/>
      <c r="AA2639" s="79" t="str">
        <f>IF(AND(MONTH(E2639)='IN-NX'!$J$5,'IN-NX'!$D$7=D2639),"x","")</f>
        <v/>
      </c>
      <c r="AB2639" s="79" t="str">
        <f>IF(AND(OR(LEFT(TH!N2639,2)="15",LEFT(TH!O2639,2)="15"),LEFT(TH!O2639,3)&lt;&gt;"111",'152-CT'!$J$8=TH!F2639),"x","")</f>
        <v/>
      </c>
      <c r="AC2639" s="79" t="str">
        <f>IF(AND(OR(LEFT(TH!N2639,2)="15",LEFT(TH!O2639,2)="15"),TK!$E$7=TH!F2639),"x","")</f>
        <v/>
      </c>
      <c r="AD2639" s="79" t="str">
        <f>IF(AND(N2639="1521",MONTH(C2639)='BK-NL'!$M$11),"x","")</f>
        <v/>
      </c>
    </row>
    <row r="2640" spans="1:30" ht="16.5" customHeight="1">
      <c r="A2640" s="318" t="str">
        <f>IF(B2640&lt;&gt;"",IF(AND(B2640='IN-TC'!$S$4,OR(TH!N2640="1111",TH!O2640="1111")),TH!D2640,""),"")</f>
        <v/>
      </c>
      <c r="B2640" s="60" t="str">
        <f t="shared" si="250"/>
        <v/>
      </c>
      <c r="C2640" s="301"/>
      <c r="D2640" s="301"/>
      <c r="E2640" s="301"/>
      <c r="F2640" s="1162"/>
      <c r="G2640" s="968"/>
      <c r="H2640" s="303"/>
      <c r="I2640" s="385"/>
      <c r="J2640" s="969"/>
      <c r="K2640" s="385"/>
      <c r="L2640" s="392"/>
      <c r="M2640" s="970"/>
      <c r="N2640" s="304"/>
      <c r="O2640" s="304"/>
      <c r="P2640" s="79" t="str">
        <f>IF(AND('331-CT'!$E$7=TH!H2640,OR(N2640="331",O2640="331")),"x","")</f>
        <v/>
      </c>
      <c r="Q2640" s="79" t="str">
        <f>IF(AND(B2640='111'!$L$11,OR($N2640=$Q$7,$O2640=$Q$7)),"x","")</f>
        <v/>
      </c>
      <c r="R2640" s="79" t="str">
        <f>IF(AND($N2640=$Q$7,$B2640&lt;'111'!$L$11),"x","")</f>
        <v/>
      </c>
      <c r="S2640" s="79" t="str">
        <f>IF(AND($O2640=$Q$7,$B2640&lt;'111'!$L$11),"x","")</f>
        <v/>
      </c>
      <c r="T2640" s="79" t="str">
        <f>IF(ISERROR(FIND('112'!$M$9,G2640,1)),"",IF((AND(FIND('112'!$M$9,G2640,1)&gt;=1,B2640='112'!$K$9,OR($N2640='112'!$I$6,$O2640='112'!$I$6))),"x",""))</f>
        <v/>
      </c>
      <c r="U2640" s="79" t="str">
        <f>IF(ISERROR(FIND('112'!$M$9,G2640,1)),"",IF((AND(LEFT(G2640,2)=LEFT('112'!$M$9,2),B2640&lt;'112'!$K$9,$N2640='112'!$I$6)),"x",""))</f>
        <v/>
      </c>
      <c r="V2640" s="79" t="str">
        <f>IF(ISERROR(FIND('112'!$M$9,G2640,1)),"",IF((AND(RIGHT(G2640,2)=RIGHT('112'!$M$9,2),B2640&lt;'112'!$K$9,$O2640='112'!$I$6)),"x",""))</f>
        <v/>
      </c>
      <c r="W2640" s="79" t="str">
        <f>IF(AND('341-CT'!$H$9=H2640,OR(LEFT(N2640,3)=$W$7,LEFT(O2640,3)=$W$7)),"x","")</f>
        <v/>
      </c>
      <c r="X2640" s="79" t="str">
        <f>IF(OR(TH!N2640=TH!$X$7,O2640=TH!$X$7),"x","")</f>
        <v/>
      </c>
      <c r="Y2640" s="79" t="str">
        <f>IF(AND(OR(N2640="131",O2640="131"),H2640='131-CT'!$H$9),"x","")</f>
        <v/>
      </c>
      <c r="Z2640" s="79"/>
      <c r="AA2640" s="79" t="str">
        <f>IF(AND(MONTH(E2640)='IN-NX'!$J$5,'IN-NX'!$D$7=D2640),"x","")</f>
        <v/>
      </c>
      <c r="AB2640" s="79" t="str">
        <f>IF(AND(OR(LEFT(TH!N2640,2)="15",LEFT(TH!O2640,2)="15"),LEFT(TH!O2640,3)&lt;&gt;"111",'152-CT'!$J$8=TH!F2640),"x","")</f>
        <v/>
      </c>
      <c r="AC2640" s="79" t="str">
        <f>IF(AND(OR(LEFT(TH!N2640,2)="15",LEFT(TH!O2640,2)="15"),TK!$E$7=TH!F2640),"x","")</f>
        <v/>
      </c>
      <c r="AD2640" s="79" t="str">
        <f>IF(AND(N2640="1521",MONTH(C2640)='BK-NL'!$M$11),"x","")</f>
        <v/>
      </c>
    </row>
    <row r="2641" spans="1:30" ht="16.5" customHeight="1">
      <c r="A2641" s="318" t="str">
        <f>IF(B2641&lt;&gt;"",IF(AND(B2641='IN-TC'!$S$4,OR(TH!N2641="1111",TH!O2641="1111")),TH!D2641,""),"")</f>
        <v/>
      </c>
      <c r="B2641" s="60" t="str">
        <f t="shared" si="250"/>
        <v/>
      </c>
      <c r="C2641" s="301"/>
      <c r="D2641" s="301"/>
      <c r="E2641" s="301"/>
      <c r="F2641" s="1162"/>
      <c r="G2641" s="968"/>
      <c r="H2641" s="303"/>
      <c r="I2641" s="385"/>
      <c r="J2641" s="969"/>
      <c r="K2641" s="385"/>
      <c r="L2641" s="392"/>
      <c r="M2641" s="970"/>
      <c r="N2641" s="304"/>
      <c r="O2641" s="304"/>
      <c r="P2641" s="79" t="str">
        <f>IF(AND('331-CT'!$E$7=TH!H2641,OR(N2641="331",O2641="331")),"x","")</f>
        <v/>
      </c>
      <c r="Q2641" s="79" t="str">
        <f>IF(AND(B2641='111'!$L$11,OR($N2641=$Q$7,$O2641=$Q$7)),"x","")</f>
        <v/>
      </c>
      <c r="R2641" s="79" t="str">
        <f>IF(AND($N2641=$Q$7,$B2641&lt;'111'!$L$11),"x","")</f>
        <v/>
      </c>
      <c r="S2641" s="79" t="str">
        <f>IF(AND($O2641=$Q$7,$B2641&lt;'111'!$L$11),"x","")</f>
        <v/>
      </c>
      <c r="T2641" s="79" t="str">
        <f>IF(ISERROR(FIND('112'!$M$9,G2641,1)),"",IF((AND(FIND('112'!$M$9,G2641,1)&gt;=1,B2641='112'!$K$9,OR($N2641='112'!$I$6,$O2641='112'!$I$6))),"x",""))</f>
        <v/>
      </c>
      <c r="U2641" s="79" t="str">
        <f>IF(ISERROR(FIND('112'!$M$9,G2641,1)),"",IF((AND(LEFT(G2641,2)=LEFT('112'!$M$9,2),B2641&lt;'112'!$K$9,$N2641='112'!$I$6)),"x",""))</f>
        <v/>
      </c>
      <c r="V2641" s="79" t="str">
        <f>IF(ISERROR(FIND('112'!$M$9,G2641,1)),"",IF((AND(RIGHT(G2641,2)=RIGHT('112'!$M$9,2),B2641&lt;'112'!$K$9,$O2641='112'!$I$6)),"x",""))</f>
        <v/>
      </c>
      <c r="W2641" s="79" t="str">
        <f>IF(AND('341-CT'!$H$9=H2641,OR(LEFT(N2641,3)=$W$7,LEFT(O2641,3)=$W$7)),"x","")</f>
        <v/>
      </c>
      <c r="X2641" s="79" t="str">
        <f>IF(OR(TH!N2641=TH!$X$7,O2641=TH!$X$7),"x","")</f>
        <v/>
      </c>
      <c r="Y2641" s="79" t="str">
        <f>IF(AND(OR(N2641="131",O2641="131"),H2641='131-CT'!$H$9),"x","")</f>
        <v/>
      </c>
      <c r="Z2641" s="79"/>
      <c r="AA2641" s="79" t="str">
        <f>IF(AND(MONTH(E2641)='IN-NX'!$J$5,'IN-NX'!$D$7=D2641),"x","")</f>
        <v/>
      </c>
      <c r="AB2641" s="79" t="str">
        <f>IF(AND(OR(LEFT(TH!N2641,2)="15",LEFT(TH!O2641,2)="15"),LEFT(TH!O2641,3)&lt;&gt;"111",'152-CT'!$J$8=TH!F2641),"x","")</f>
        <v/>
      </c>
      <c r="AC2641" s="79" t="str">
        <f>IF(AND(OR(LEFT(TH!N2641,2)="15",LEFT(TH!O2641,2)="15"),TK!$E$7=TH!F2641),"x","")</f>
        <v/>
      </c>
      <c r="AD2641" s="79" t="str">
        <f>IF(AND(N2641="1521",MONTH(C2641)='BK-NL'!$M$11),"x","")</f>
        <v/>
      </c>
    </row>
    <row r="2642" spans="1:30" ht="16.5" customHeight="1">
      <c r="A2642" s="318" t="str">
        <f>IF(B2642&lt;&gt;"",IF(AND(B2642='IN-TC'!$S$4,OR(TH!N2642="1111",TH!O2642="1111")),TH!D2642,""),"")</f>
        <v/>
      </c>
      <c r="B2642" s="60" t="str">
        <f t="shared" si="250"/>
        <v/>
      </c>
      <c r="C2642" s="301"/>
      <c r="D2642" s="301"/>
      <c r="E2642" s="301"/>
      <c r="F2642" s="1162"/>
      <c r="G2642" s="968"/>
      <c r="H2642" s="303"/>
      <c r="I2642" s="385"/>
      <c r="J2642" s="969"/>
      <c r="K2642" s="385"/>
      <c r="L2642" s="392"/>
      <c r="M2642" s="970"/>
      <c r="N2642" s="304"/>
      <c r="O2642" s="304"/>
      <c r="P2642" s="79" t="str">
        <f>IF(AND('331-CT'!$E$7=TH!H2642,OR(N2642="331",O2642="331")),"x","")</f>
        <v/>
      </c>
      <c r="Q2642" s="79" t="str">
        <f>IF(AND(B2642='111'!$L$11,OR($N2642=$Q$7,$O2642=$Q$7)),"x","")</f>
        <v/>
      </c>
      <c r="R2642" s="79" t="str">
        <f>IF(AND($N2642=$Q$7,$B2642&lt;'111'!$L$11),"x","")</f>
        <v/>
      </c>
      <c r="S2642" s="79" t="str">
        <f>IF(AND($O2642=$Q$7,$B2642&lt;'111'!$L$11),"x","")</f>
        <v/>
      </c>
      <c r="T2642" s="79" t="str">
        <f>IF(ISERROR(FIND('112'!$M$9,G2642,1)),"",IF((AND(FIND('112'!$M$9,G2642,1)&gt;=1,B2642='112'!$K$9,OR($N2642='112'!$I$6,$O2642='112'!$I$6))),"x",""))</f>
        <v/>
      </c>
      <c r="U2642" s="79" t="str">
        <f>IF(ISERROR(FIND('112'!$M$9,G2642,1)),"",IF((AND(LEFT(G2642,2)=LEFT('112'!$M$9,2),B2642&lt;'112'!$K$9,$N2642='112'!$I$6)),"x",""))</f>
        <v/>
      </c>
      <c r="V2642" s="79" t="str">
        <f>IF(ISERROR(FIND('112'!$M$9,G2642,1)),"",IF((AND(RIGHT(G2642,2)=RIGHT('112'!$M$9,2),B2642&lt;'112'!$K$9,$O2642='112'!$I$6)),"x",""))</f>
        <v/>
      </c>
      <c r="W2642" s="79" t="str">
        <f>IF(AND('341-CT'!$H$9=H2642,OR(LEFT(N2642,3)=$W$7,LEFT(O2642,3)=$W$7)),"x","")</f>
        <v/>
      </c>
      <c r="X2642" s="79" t="str">
        <f>IF(OR(TH!N2642=TH!$X$7,O2642=TH!$X$7),"x","")</f>
        <v/>
      </c>
      <c r="Y2642" s="79" t="str">
        <f>IF(AND(OR(N2642="131",O2642="131"),H2642='131-CT'!$H$9),"x","")</f>
        <v/>
      </c>
      <c r="Z2642" s="79"/>
      <c r="AA2642" s="79" t="str">
        <f>IF(AND(MONTH(E2642)='IN-NX'!$J$5,'IN-NX'!$D$7=D2642),"x","")</f>
        <v/>
      </c>
      <c r="AB2642" s="79" t="str">
        <f>IF(AND(OR(LEFT(TH!N2642,2)="15",LEFT(TH!O2642,2)="15"),LEFT(TH!O2642,3)&lt;&gt;"111",'152-CT'!$J$8=TH!F2642),"x","")</f>
        <v/>
      </c>
      <c r="AC2642" s="79" t="str">
        <f>IF(AND(OR(LEFT(TH!N2642,2)="15",LEFT(TH!O2642,2)="15"),TK!$E$7=TH!F2642),"x","")</f>
        <v/>
      </c>
      <c r="AD2642" s="79" t="str">
        <f>IF(AND(N2642="1521",MONTH(C2642)='BK-NL'!$M$11),"x","")</f>
        <v/>
      </c>
    </row>
    <row r="2643" spans="1:30" ht="16.5" customHeight="1">
      <c r="A2643" s="318" t="str">
        <f>IF(B2643&lt;&gt;"",IF(AND(B2643='IN-TC'!$S$4,OR(TH!N2643="1111",TH!O2643="1111")),TH!D2643,""),"")</f>
        <v/>
      </c>
      <c r="B2643" s="60" t="str">
        <f t="shared" si="250"/>
        <v/>
      </c>
      <c r="C2643" s="301"/>
      <c r="D2643" s="301"/>
      <c r="E2643" s="301"/>
      <c r="F2643" s="1162"/>
      <c r="G2643" s="968"/>
      <c r="H2643" s="303"/>
      <c r="I2643" s="385"/>
      <c r="J2643" s="969"/>
      <c r="K2643" s="385"/>
      <c r="L2643" s="392"/>
      <c r="M2643" s="970"/>
      <c r="N2643" s="304"/>
      <c r="O2643" s="304"/>
      <c r="P2643" s="79" t="str">
        <f>IF(AND('331-CT'!$E$7=TH!H2643,OR(N2643="331",O2643="331")),"x","")</f>
        <v/>
      </c>
      <c r="Q2643" s="79" t="str">
        <f>IF(AND(B2643='111'!$L$11,OR($N2643=$Q$7,$O2643=$Q$7)),"x","")</f>
        <v/>
      </c>
      <c r="R2643" s="79" t="str">
        <f>IF(AND($N2643=$Q$7,$B2643&lt;'111'!$L$11),"x","")</f>
        <v/>
      </c>
      <c r="S2643" s="79" t="str">
        <f>IF(AND($O2643=$Q$7,$B2643&lt;'111'!$L$11),"x","")</f>
        <v/>
      </c>
      <c r="T2643" s="79" t="str">
        <f>IF(ISERROR(FIND('112'!$M$9,G2643,1)),"",IF((AND(FIND('112'!$M$9,G2643,1)&gt;=1,B2643='112'!$K$9,OR($N2643='112'!$I$6,$O2643='112'!$I$6))),"x",""))</f>
        <v/>
      </c>
      <c r="U2643" s="79" t="str">
        <f>IF(ISERROR(FIND('112'!$M$9,G2643,1)),"",IF((AND(LEFT(G2643,2)=LEFT('112'!$M$9,2),B2643&lt;'112'!$K$9,$N2643='112'!$I$6)),"x",""))</f>
        <v/>
      </c>
      <c r="V2643" s="79" t="str">
        <f>IF(ISERROR(FIND('112'!$M$9,G2643,1)),"",IF((AND(RIGHT(G2643,2)=RIGHT('112'!$M$9,2),B2643&lt;'112'!$K$9,$O2643='112'!$I$6)),"x",""))</f>
        <v/>
      </c>
      <c r="W2643" s="79" t="str">
        <f>IF(AND('341-CT'!$H$9=H2643,OR(LEFT(N2643,3)=$W$7,LEFT(O2643,3)=$W$7)),"x","")</f>
        <v/>
      </c>
      <c r="X2643" s="79" t="str">
        <f>IF(OR(TH!N2643=TH!$X$7,O2643=TH!$X$7),"x","")</f>
        <v/>
      </c>
      <c r="Y2643" s="79" t="str">
        <f>IF(AND(OR(N2643="131",O2643="131"),H2643='131-CT'!$H$9),"x","")</f>
        <v/>
      </c>
      <c r="Z2643" s="79"/>
      <c r="AA2643" s="79" t="str">
        <f>IF(AND(MONTH(E2643)='IN-NX'!$J$5,'IN-NX'!$D$7=D2643),"x","")</f>
        <v/>
      </c>
      <c r="AB2643" s="79" t="str">
        <f>IF(AND(OR(LEFT(TH!N2643,2)="15",LEFT(TH!O2643,2)="15"),LEFT(TH!O2643,3)&lt;&gt;"111",'152-CT'!$J$8=TH!F2643),"x","")</f>
        <v/>
      </c>
      <c r="AC2643" s="79" t="str">
        <f>IF(AND(OR(LEFT(TH!N2643,2)="15",LEFT(TH!O2643,2)="15"),TK!$E$7=TH!F2643),"x","")</f>
        <v/>
      </c>
      <c r="AD2643" s="79" t="str">
        <f>IF(AND(N2643="1521",MONTH(C2643)='BK-NL'!$M$11),"x","")</f>
        <v/>
      </c>
    </row>
    <row r="2644" spans="1:30" ht="16.5" customHeight="1">
      <c r="A2644" s="318" t="str">
        <f>IF(B2644&lt;&gt;"",IF(AND(B2644='IN-TC'!$S$4,OR(TH!N2644="1111",TH!O2644="1111")),TH!D2644,""),"")</f>
        <v/>
      </c>
      <c r="B2644" s="60" t="str">
        <f t="shared" si="250"/>
        <v/>
      </c>
      <c r="C2644" s="301"/>
      <c r="D2644" s="301"/>
      <c r="E2644" s="301"/>
      <c r="F2644" s="1162"/>
      <c r="G2644" s="968"/>
      <c r="H2644" s="303"/>
      <c r="I2644" s="385"/>
      <c r="J2644" s="969"/>
      <c r="K2644" s="385"/>
      <c r="L2644" s="392"/>
      <c r="M2644" s="970"/>
      <c r="N2644" s="304"/>
      <c r="O2644" s="304"/>
      <c r="P2644" s="79" t="str">
        <f>IF(AND('331-CT'!$E$7=TH!H2644,OR(N2644="331",O2644="331")),"x","")</f>
        <v/>
      </c>
      <c r="Q2644" s="79" t="str">
        <f>IF(AND(B2644='111'!$L$11,OR($N2644=$Q$7,$O2644=$Q$7)),"x","")</f>
        <v/>
      </c>
      <c r="R2644" s="79" t="str">
        <f>IF(AND($N2644=$Q$7,$B2644&lt;'111'!$L$11),"x","")</f>
        <v/>
      </c>
      <c r="S2644" s="79" t="str">
        <f>IF(AND($O2644=$Q$7,$B2644&lt;'111'!$L$11),"x","")</f>
        <v/>
      </c>
      <c r="T2644" s="79" t="str">
        <f>IF(ISERROR(FIND('112'!$M$9,G2644,1)),"",IF((AND(FIND('112'!$M$9,G2644,1)&gt;=1,B2644='112'!$K$9,OR($N2644='112'!$I$6,$O2644='112'!$I$6))),"x",""))</f>
        <v/>
      </c>
      <c r="U2644" s="79" t="str">
        <f>IF(ISERROR(FIND('112'!$M$9,G2644,1)),"",IF((AND(LEFT(G2644,2)=LEFT('112'!$M$9,2),B2644&lt;'112'!$K$9,$N2644='112'!$I$6)),"x",""))</f>
        <v/>
      </c>
      <c r="V2644" s="79" t="str">
        <f>IF(ISERROR(FIND('112'!$M$9,G2644,1)),"",IF((AND(RIGHT(G2644,2)=RIGHT('112'!$M$9,2),B2644&lt;'112'!$K$9,$O2644='112'!$I$6)),"x",""))</f>
        <v/>
      </c>
      <c r="W2644" s="79" t="str">
        <f>IF(AND('341-CT'!$H$9=H2644,OR(LEFT(N2644,3)=$W$7,LEFT(O2644,3)=$W$7)),"x","")</f>
        <v/>
      </c>
      <c r="X2644" s="79" t="str">
        <f>IF(OR(TH!N2644=TH!$X$7,O2644=TH!$X$7),"x","")</f>
        <v/>
      </c>
      <c r="Y2644" s="79" t="str">
        <f>IF(AND(OR(N2644="131",O2644="131"),H2644='131-CT'!$H$9),"x","")</f>
        <v/>
      </c>
      <c r="Z2644" s="79"/>
      <c r="AA2644" s="79" t="str">
        <f>IF(AND(MONTH(E2644)='IN-NX'!$J$5,'IN-NX'!$D$7=D2644),"x","")</f>
        <v/>
      </c>
      <c r="AB2644" s="79" t="str">
        <f>IF(AND(OR(LEFT(TH!N2644,2)="15",LEFT(TH!O2644,2)="15"),LEFT(TH!O2644,3)&lt;&gt;"111",'152-CT'!$J$8=TH!F2644),"x","")</f>
        <v/>
      </c>
      <c r="AC2644" s="79" t="str">
        <f>IF(AND(OR(LEFT(TH!N2644,2)="15",LEFT(TH!O2644,2)="15"),TK!$E$7=TH!F2644),"x","")</f>
        <v/>
      </c>
      <c r="AD2644" s="79" t="str">
        <f>IF(AND(N2644="1521",MONTH(C2644)='BK-NL'!$M$11),"x","")</f>
        <v/>
      </c>
    </row>
    <row r="2645" spans="1:30" ht="16.5" customHeight="1">
      <c r="A2645" s="318" t="str">
        <f>IF(B2645&lt;&gt;"",IF(AND(B2645='IN-TC'!$S$4,OR(TH!N2645="1111",TH!O2645="1111")),TH!D2645,""),"")</f>
        <v/>
      </c>
      <c r="B2645" s="60" t="str">
        <f>IF(C2645&lt;&gt;"",MONTH(C2645),"")</f>
        <v/>
      </c>
      <c r="C2645" s="301"/>
      <c r="D2645" s="301"/>
      <c r="E2645" s="301"/>
      <c r="F2645" s="446"/>
      <c r="G2645" s="968"/>
      <c r="H2645" s="968"/>
      <c r="I2645" s="385"/>
      <c r="J2645" s="392"/>
      <c r="K2645" s="385"/>
      <c r="L2645" s="392"/>
      <c r="M2645" s="970"/>
      <c r="N2645" s="304"/>
      <c r="O2645" s="304"/>
      <c r="P2645" s="79" t="str">
        <f>IF(AND('331-CT'!$E$7=TH!H2645,OR(N2645="331",O2645="331")),"x","")</f>
        <v/>
      </c>
      <c r="Q2645" s="79" t="str">
        <f>IF(AND(B2645='111'!$L$11,OR($N2645=$Q$7,$O2645=$Q$7)),"x","")</f>
        <v/>
      </c>
      <c r="R2645" s="79" t="str">
        <f>IF(AND($N2645=$Q$7,$B2645&lt;'111'!$L$11),"x","")</f>
        <v/>
      </c>
      <c r="S2645" s="79" t="str">
        <f>IF(AND($O2645=$Q$7,$B2645&lt;'111'!$L$11),"x","")</f>
        <v/>
      </c>
      <c r="T2645" s="79" t="str">
        <f>IF(ISERROR(FIND('112'!$M$9,G2645,1)),"",IF((AND(FIND('112'!$M$9,G2645,1)&gt;=1,B2645='112'!$K$9,OR($N2645='112'!$I$6,$O2645='112'!$I$6))),"x",""))</f>
        <v/>
      </c>
      <c r="U2645" s="79" t="str">
        <f>IF(ISERROR(FIND('112'!$M$9,G2645,1)),"",IF((AND(LEFT(G2645,2)=LEFT('112'!$M$9,2),B2645&lt;'112'!$K$9,$N2645='112'!$I$6)),"x",""))</f>
        <v/>
      </c>
      <c r="V2645" s="79" t="str">
        <f>IF(ISERROR(FIND('112'!$M$9,G2645,1)),"",IF((AND(RIGHT(G2645,2)=RIGHT('112'!$M$9,2),B2645&lt;'112'!$K$9,$O2645='112'!$I$6)),"x",""))</f>
        <v/>
      </c>
      <c r="W2645" s="79" t="str">
        <f>IF(AND('341-CT'!$H$9=H2645,OR(LEFT(N2645,3)=$W$7,LEFT(O2645,3)=$W$7)),"x","")</f>
        <v/>
      </c>
      <c r="X2645" s="79" t="str">
        <f>IF(OR(TH!N2645=TH!$X$7,O2645=TH!$X$7),"x","")</f>
        <v/>
      </c>
      <c r="Y2645" s="79" t="str">
        <f>IF(AND(OR(N2645="131",O2645="131"),H2645='131-CT'!$H$9),"x","")</f>
        <v/>
      </c>
      <c r="Z2645" s="79"/>
      <c r="AA2645" s="79" t="str">
        <f>IF(AND(MONTH(E2645)='IN-NX'!$J$5,'IN-NX'!$D$7=D2645),"x","")</f>
        <v/>
      </c>
      <c r="AB2645" s="79" t="str">
        <f>IF(AND(OR(LEFT(TH!N2645,2)="15",LEFT(TH!O2645,2)="15"),LEFT(TH!O2645,3)&lt;&gt;"111",'152-CT'!$J$8=TH!F2645),"x","")</f>
        <v/>
      </c>
      <c r="AC2645" s="79" t="str">
        <f>IF(AND(OR(LEFT(TH!N2645,2)="15",LEFT(TH!O2645,2)="15"),TK!$E$7=TH!F2645),"x","")</f>
        <v/>
      </c>
      <c r="AD2645" s="79" t="str">
        <f>IF(AND(N2645="1521",MONTH(C2645)='BK-NL'!$M$11),"x","")</f>
        <v/>
      </c>
    </row>
    <row r="2646" spans="1:30" ht="16.5" customHeight="1">
      <c r="A2646" s="318" t="str">
        <f>IF(B2646&lt;&gt;"",IF(AND(B2646='IN-TC'!$S$4,OR(TH!N2646="1111",TH!O2646="1111")),TH!D2646,""),"")</f>
        <v/>
      </c>
      <c r="B2646" s="60" t="str">
        <f t="shared" ref="B2646:B2647" si="271">IF(C2646&lt;&gt;"",MONTH(C2646),"")</f>
        <v/>
      </c>
      <c r="C2646" s="301"/>
      <c r="D2646" s="301"/>
      <c r="E2646" s="301"/>
      <c r="F2646" s="1162"/>
      <c r="G2646" s="968"/>
      <c r="H2646" s="303"/>
      <c r="I2646" s="385"/>
      <c r="J2646" s="969"/>
      <c r="K2646" s="385"/>
      <c r="L2646" s="392"/>
      <c r="M2646" s="970"/>
      <c r="N2646" s="304"/>
      <c r="O2646" s="304"/>
      <c r="P2646" s="79" t="str">
        <f>IF(AND('331-CT'!$E$7=TH!H2646,OR(N2646="331",O2646="331")),"x","")</f>
        <v/>
      </c>
      <c r="Q2646" s="79" t="str">
        <f>IF(AND(B2646='111'!$L$11,OR($N2646=$Q$7,$O2646=$Q$7)),"x","")</f>
        <v/>
      </c>
      <c r="R2646" s="79" t="str">
        <f>IF(AND($N2646=$Q$7,$B2646&lt;'111'!$L$11),"x","")</f>
        <v/>
      </c>
      <c r="S2646" s="79" t="str">
        <f>IF(AND($O2646=$Q$7,$B2646&lt;'111'!$L$11),"x","")</f>
        <v/>
      </c>
      <c r="T2646" s="79" t="str">
        <f>IF(ISERROR(FIND('112'!$M$9,G2646,1)),"",IF((AND(FIND('112'!$M$9,G2646,1)&gt;=1,B2646='112'!$K$9,OR($N2646='112'!$I$6,$O2646='112'!$I$6))),"x",""))</f>
        <v/>
      </c>
      <c r="U2646" s="79" t="str">
        <f>IF(ISERROR(FIND('112'!$M$9,G2646,1)),"",IF((AND(LEFT(G2646,2)=LEFT('112'!$M$9,2),B2646&lt;'112'!$K$9,$N2646='112'!$I$6)),"x",""))</f>
        <v/>
      </c>
      <c r="V2646" s="79" t="str">
        <f>IF(ISERROR(FIND('112'!$M$9,G2646,1)),"",IF((AND(RIGHT(G2646,2)=RIGHT('112'!$M$9,2),B2646&lt;'112'!$K$9,$O2646='112'!$I$6)),"x",""))</f>
        <v/>
      </c>
      <c r="W2646" s="79" t="str">
        <f>IF(AND('341-CT'!$H$9=H2646,OR(LEFT(N2646,3)=$W$7,LEFT(O2646,3)=$W$7)),"x","")</f>
        <v/>
      </c>
      <c r="X2646" s="79" t="str">
        <f>IF(OR(TH!N2646=TH!$X$7,O2646=TH!$X$7),"x","")</f>
        <v/>
      </c>
      <c r="Y2646" s="79" t="str">
        <f>IF(AND(OR(N2646="131",O2646="131"),H2646='131-CT'!$H$9),"x","")</f>
        <v/>
      </c>
      <c r="Z2646" s="79"/>
      <c r="AA2646" s="79" t="str">
        <f>IF(AND(MONTH(E2646)='IN-NX'!$J$5,'IN-NX'!$D$7=D2646),"x","")</f>
        <v/>
      </c>
      <c r="AB2646" s="79" t="str">
        <f>IF(AND(OR(LEFT(TH!N2646,2)="15",LEFT(TH!O2646,2)="15"),LEFT(TH!O2646,3)&lt;&gt;"111",'152-CT'!$J$8=TH!F2646),"x","")</f>
        <v/>
      </c>
      <c r="AC2646" s="79" t="str">
        <f>IF(AND(OR(LEFT(TH!N2646,2)="15",LEFT(TH!O2646,2)="15"),TK!$E$7=TH!F2646),"x","")</f>
        <v/>
      </c>
      <c r="AD2646" s="79" t="str">
        <f>IF(AND(N2646="1521",MONTH(C2646)='BK-NL'!$M$11),"x","")</f>
        <v/>
      </c>
    </row>
    <row r="2647" spans="1:30" ht="16.5" customHeight="1">
      <c r="A2647" s="318" t="str">
        <f>IF(B2647&lt;&gt;"",IF(AND(B2647='IN-TC'!$S$4,OR(TH!N2647="1111",TH!O2647="1111")),TH!D2647,""),"")</f>
        <v/>
      </c>
      <c r="B2647" s="60" t="str">
        <f t="shared" si="271"/>
        <v/>
      </c>
      <c r="C2647" s="301"/>
      <c r="D2647" s="301"/>
      <c r="E2647" s="301"/>
      <c r="F2647" s="1162"/>
      <c r="G2647" s="968"/>
      <c r="H2647" s="303"/>
      <c r="I2647" s="385"/>
      <c r="J2647" s="969"/>
      <c r="K2647" s="385"/>
      <c r="L2647" s="392"/>
      <c r="M2647" s="970"/>
      <c r="N2647" s="304"/>
      <c r="O2647" s="304"/>
      <c r="P2647" s="79" t="str">
        <f>IF(AND('331-CT'!$E$7=TH!H2647,OR(N2647="331",O2647="331")),"x","")</f>
        <v/>
      </c>
      <c r="Q2647" s="79" t="str">
        <f>IF(AND(B2647='111'!$L$11,OR($N2647=$Q$7,$O2647=$Q$7)),"x","")</f>
        <v/>
      </c>
      <c r="R2647" s="79" t="str">
        <f>IF(AND($N2647=$Q$7,$B2647&lt;'111'!$L$11),"x","")</f>
        <v/>
      </c>
      <c r="S2647" s="79" t="str">
        <f>IF(AND($O2647=$Q$7,$B2647&lt;'111'!$L$11),"x","")</f>
        <v/>
      </c>
      <c r="T2647" s="79" t="str">
        <f>IF(ISERROR(FIND('112'!$M$9,G2647,1)),"",IF((AND(FIND('112'!$M$9,G2647,1)&gt;=1,B2647='112'!$K$9,OR($N2647='112'!$I$6,$O2647='112'!$I$6))),"x",""))</f>
        <v/>
      </c>
      <c r="U2647" s="79" t="str">
        <f>IF(ISERROR(FIND('112'!$M$9,G2647,1)),"",IF((AND(LEFT(G2647,2)=LEFT('112'!$M$9,2),B2647&lt;'112'!$K$9,$N2647='112'!$I$6)),"x",""))</f>
        <v/>
      </c>
      <c r="V2647" s="79" t="str">
        <f>IF(ISERROR(FIND('112'!$M$9,G2647,1)),"",IF((AND(RIGHT(G2647,2)=RIGHT('112'!$M$9,2),B2647&lt;'112'!$K$9,$O2647='112'!$I$6)),"x",""))</f>
        <v/>
      </c>
      <c r="W2647" s="79" t="str">
        <f>IF(AND('341-CT'!$H$9=H2647,OR(LEFT(N2647,3)=$W$7,LEFT(O2647,3)=$W$7)),"x","")</f>
        <v/>
      </c>
      <c r="X2647" s="79" t="str">
        <f>IF(OR(TH!N2647=TH!$X$7,O2647=TH!$X$7),"x","")</f>
        <v/>
      </c>
      <c r="Y2647" s="79" t="str">
        <f>IF(AND(OR(N2647="131",O2647="131"),H2647='131-CT'!$H$9),"x","")</f>
        <v/>
      </c>
      <c r="Z2647" s="79"/>
      <c r="AA2647" s="79" t="str">
        <f>IF(AND(MONTH(E2647)='IN-NX'!$J$5,'IN-NX'!$D$7=D2647),"x","")</f>
        <v/>
      </c>
      <c r="AB2647" s="79" t="str">
        <f>IF(AND(OR(LEFT(TH!N2647,2)="15",LEFT(TH!O2647,2)="15"),LEFT(TH!O2647,3)&lt;&gt;"111",'152-CT'!$J$8=TH!F2647),"x","")</f>
        <v/>
      </c>
      <c r="AC2647" s="79" t="str">
        <f>IF(AND(OR(LEFT(TH!N2647,2)="15",LEFT(TH!O2647,2)="15"),TK!$E$7=TH!F2647),"x","")</f>
        <v/>
      </c>
      <c r="AD2647" s="79" t="str">
        <f>IF(AND(N2647="1521",MONTH(C2647)='BK-NL'!$M$11),"x","")</f>
        <v/>
      </c>
    </row>
    <row r="2648" spans="1:30" ht="16.5" customHeight="1">
      <c r="A2648" s="318" t="str">
        <f>IF(B2648&lt;&gt;"",IF(AND(B2648='IN-TC'!$S$4,OR(TH!N2648="1111",TH!O2648="1111")),TH!D2648,""),"")</f>
        <v/>
      </c>
      <c r="B2648" s="60" t="str">
        <f t="shared" ref="B2648:B2649" si="272">IF(C2648&lt;&gt;"",MONTH(C2648),"")</f>
        <v/>
      </c>
      <c r="C2648" s="301"/>
      <c r="D2648" s="301"/>
      <c r="E2648" s="301"/>
      <c r="F2648" s="1162"/>
      <c r="G2648" s="968"/>
      <c r="H2648" s="303"/>
      <c r="I2648" s="385"/>
      <c r="J2648" s="969"/>
      <c r="K2648" s="385"/>
      <c r="L2648" s="392"/>
      <c r="M2648" s="970"/>
      <c r="N2648" s="304"/>
      <c r="O2648" s="304"/>
      <c r="P2648" s="79" t="str">
        <f>IF(AND('331-CT'!$E$7=TH!H2648,OR(N2648="331",O2648="331")),"x","")</f>
        <v/>
      </c>
      <c r="Q2648" s="79" t="str">
        <f>IF(AND(B2648='111'!$L$11,OR($N2648=$Q$7,$O2648=$Q$7)),"x","")</f>
        <v/>
      </c>
      <c r="R2648" s="79" t="str">
        <f>IF(AND($N2648=$Q$7,$B2648&lt;'111'!$L$11),"x","")</f>
        <v/>
      </c>
      <c r="S2648" s="79" t="str">
        <f>IF(AND($O2648=$Q$7,$B2648&lt;'111'!$L$11),"x","")</f>
        <v/>
      </c>
      <c r="T2648" s="79" t="str">
        <f>IF(ISERROR(FIND('112'!$M$9,G2648,1)),"",IF((AND(FIND('112'!$M$9,G2648,1)&gt;=1,B2648='112'!$K$9,OR($N2648='112'!$I$6,$O2648='112'!$I$6))),"x",""))</f>
        <v/>
      </c>
      <c r="U2648" s="79" t="str">
        <f>IF(ISERROR(FIND('112'!$M$9,G2648,1)),"",IF((AND(LEFT(G2648,2)=LEFT('112'!$M$9,2),B2648&lt;'112'!$K$9,$N2648='112'!$I$6)),"x",""))</f>
        <v/>
      </c>
      <c r="V2648" s="79" t="str">
        <f>IF(ISERROR(FIND('112'!$M$9,G2648,1)),"",IF((AND(RIGHT(G2648,2)=RIGHT('112'!$M$9,2),B2648&lt;'112'!$K$9,$O2648='112'!$I$6)),"x",""))</f>
        <v/>
      </c>
      <c r="W2648" s="79" t="str">
        <f>IF(AND('341-CT'!$H$9=H2648,OR(LEFT(N2648,3)=$W$7,LEFT(O2648,3)=$W$7)),"x","")</f>
        <v/>
      </c>
      <c r="X2648" s="79" t="str">
        <f>IF(OR(TH!N2648=TH!$X$7,O2648=TH!$X$7),"x","")</f>
        <v/>
      </c>
      <c r="Y2648" s="79" t="str">
        <f>IF(AND(OR(N2648="131",O2648="131"),H2648='131-CT'!$H$9),"x","")</f>
        <v/>
      </c>
      <c r="Z2648" s="79"/>
      <c r="AA2648" s="79" t="str">
        <f>IF(AND(MONTH(E2648)='IN-NX'!$J$5,'IN-NX'!$D$7=D2648),"x","")</f>
        <v/>
      </c>
      <c r="AB2648" s="79" t="str">
        <f>IF(AND(OR(LEFT(TH!N2648,2)="15",LEFT(TH!O2648,2)="15"),LEFT(TH!O2648,3)&lt;&gt;"111",'152-CT'!$J$8=TH!F2648),"x","")</f>
        <v/>
      </c>
      <c r="AC2648" s="79" t="str">
        <f>IF(AND(OR(LEFT(TH!N2648,2)="15",LEFT(TH!O2648,2)="15"),TK!$E$7=TH!F2648),"x","")</f>
        <v/>
      </c>
      <c r="AD2648" s="79" t="str">
        <f>IF(AND(N2648="1521",MONTH(C2648)='BK-NL'!$M$11),"x","")</f>
        <v/>
      </c>
    </row>
    <row r="2649" spans="1:30" ht="16.5" customHeight="1">
      <c r="A2649" s="318" t="str">
        <f>IF(B2649&lt;&gt;"",IF(AND(B2649='IN-TC'!$S$4,OR(TH!N2649="1111",TH!O2649="1111")),TH!D2649,""),"")</f>
        <v/>
      </c>
      <c r="B2649" s="60" t="str">
        <f t="shared" si="272"/>
        <v/>
      </c>
      <c r="C2649" s="301"/>
      <c r="D2649" s="301"/>
      <c r="E2649" s="301"/>
      <c r="F2649" s="1162"/>
      <c r="G2649" s="968"/>
      <c r="H2649" s="303"/>
      <c r="I2649" s="385"/>
      <c r="J2649" s="969"/>
      <c r="K2649" s="385"/>
      <c r="L2649" s="392"/>
      <c r="M2649" s="970"/>
      <c r="N2649" s="304"/>
      <c r="O2649" s="304"/>
      <c r="P2649" s="79" t="str">
        <f>IF(AND('331-CT'!$E$7=TH!H2649,OR(N2649="331",O2649="331")),"x","")</f>
        <v/>
      </c>
      <c r="Q2649" s="79" t="str">
        <f>IF(AND(B2649='111'!$L$11,OR($N2649=$Q$7,$O2649=$Q$7)),"x","")</f>
        <v/>
      </c>
      <c r="R2649" s="79" t="str">
        <f>IF(AND($N2649=$Q$7,$B2649&lt;'111'!$L$11),"x","")</f>
        <v/>
      </c>
      <c r="S2649" s="79" t="str">
        <f>IF(AND($O2649=$Q$7,$B2649&lt;'111'!$L$11),"x","")</f>
        <v/>
      </c>
      <c r="T2649" s="79" t="str">
        <f>IF(ISERROR(FIND('112'!$M$9,G2649,1)),"",IF((AND(FIND('112'!$M$9,G2649,1)&gt;=1,B2649='112'!$K$9,OR($N2649='112'!$I$6,$O2649='112'!$I$6))),"x",""))</f>
        <v/>
      </c>
      <c r="U2649" s="79" t="str">
        <f>IF(ISERROR(FIND('112'!$M$9,G2649,1)),"",IF((AND(LEFT(G2649,2)=LEFT('112'!$M$9,2),B2649&lt;'112'!$K$9,$N2649='112'!$I$6)),"x",""))</f>
        <v/>
      </c>
      <c r="V2649" s="79" t="str">
        <f>IF(ISERROR(FIND('112'!$M$9,G2649,1)),"",IF((AND(RIGHT(G2649,2)=RIGHT('112'!$M$9,2),B2649&lt;'112'!$K$9,$O2649='112'!$I$6)),"x",""))</f>
        <v/>
      </c>
      <c r="W2649" s="79" t="str">
        <f>IF(AND('341-CT'!$H$9=H2649,OR(LEFT(N2649,3)=$W$7,LEFT(O2649,3)=$W$7)),"x","")</f>
        <v/>
      </c>
      <c r="X2649" s="79" t="str">
        <f>IF(OR(TH!N2649=TH!$X$7,O2649=TH!$X$7),"x","")</f>
        <v/>
      </c>
      <c r="Y2649" s="79" t="str">
        <f>IF(AND(OR(N2649="131",O2649="131"),H2649='131-CT'!$H$9),"x","")</f>
        <v/>
      </c>
      <c r="Z2649" s="79"/>
      <c r="AA2649" s="79" t="str">
        <f>IF(AND(MONTH(E2649)='IN-NX'!$J$5,'IN-NX'!$D$7=D2649),"x","")</f>
        <v/>
      </c>
      <c r="AB2649" s="79" t="str">
        <f>IF(AND(OR(LEFT(TH!N2649,2)="15",LEFT(TH!O2649,2)="15"),LEFT(TH!O2649,3)&lt;&gt;"111",'152-CT'!$J$8=TH!F2649),"x","")</f>
        <v/>
      </c>
      <c r="AC2649" s="79" t="str">
        <f>IF(AND(OR(LEFT(TH!N2649,2)="15",LEFT(TH!O2649,2)="15"),TK!$E$7=TH!F2649),"x","")</f>
        <v/>
      </c>
      <c r="AD2649" s="79" t="str">
        <f>IF(AND(N2649="1521",MONTH(C2649)='BK-NL'!$M$11),"x","")</f>
        <v/>
      </c>
    </row>
    <row r="2650" spans="1:30" ht="16.5" customHeight="1">
      <c r="A2650" s="318" t="str">
        <f>IF(B2650&lt;&gt;"",IF(AND(B2650='IN-TC'!$S$4,OR(TH!N2650="1111",TH!O2650="1111")),TH!D2650,""),"")</f>
        <v/>
      </c>
      <c r="B2650" s="60" t="str">
        <f t="shared" si="250"/>
        <v/>
      </c>
      <c r="C2650" s="301"/>
      <c r="D2650" s="301"/>
      <c r="E2650" s="301"/>
      <c r="F2650" s="446"/>
      <c r="G2650" s="968"/>
      <c r="H2650" s="988"/>
      <c r="I2650" s="385"/>
      <c r="J2650" s="392"/>
      <c r="K2650" s="385"/>
      <c r="L2650" s="392"/>
      <c r="M2650" s="970"/>
      <c r="N2650" s="304"/>
      <c r="O2650" s="304"/>
      <c r="P2650" s="79" t="str">
        <f>IF(AND('331-CT'!$E$7=TH!H2650,OR(N2650="331",O2650="331")),"x","")</f>
        <v/>
      </c>
      <c r="Q2650" s="79" t="str">
        <f>IF(AND(B2650='111'!$L$11,OR($N2650=$Q$7,$O2650=$Q$7)),"x","")</f>
        <v/>
      </c>
      <c r="R2650" s="79" t="str">
        <f>IF(AND($N2650=$Q$7,$B2650&lt;'111'!$L$11),"x","")</f>
        <v/>
      </c>
      <c r="S2650" s="79" t="str">
        <f>IF(AND($O2650=$Q$7,$B2650&lt;'111'!$L$11),"x","")</f>
        <v/>
      </c>
      <c r="T2650" s="79" t="str">
        <f>IF(ISERROR(FIND('112'!$M$9,G2650,1)),"",IF((AND(FIND('112'!$M$9,G2650,1)&gt;=1,B2650='112'!$K$9,OR($N2650='112'!$I$6,$O2650='112'!$I$6))),"x",""))</f>
        <v/>
      </c>
      <c r="U2650" s="79" t="str">
        <f>IF(ISERROR(FIND('112'!$M$9,G2650,1)),"",IF((AND(LEFT(G2650,2)=LEFT('112'!$M$9,2),B2650&lt;'112'!$K$9,$N2650='112'!$I$6)),"x",""))</f>
        <v/>
      </c>
      <c r="V2650" s="79" t="str">
        <f>IF(ISERROR(FIND('112'!$M$9,G2650,1)),"",IF((AND(RIGHT(G2650,2)=RIGHT('112'!$M$9,2),B2650&lt;'112'!$K$9,$O2650='112'!$I$6)),"x",""))</f>
        <v/>
      </c>
      <c r="W2650" s="79" t="str">
        <f>IF(AND('341-CT'!$H$9=H2650,OR(LEFT(N2650,3)=$W$7,LEFT(O2650,3)=$W$7)),"x","")</f>
        <v/>
      </c>
      <c r="X2650" s="79" t="str">
        <f>IF(OR(TH!N2650=TH!$X$7,O2650=TH!$X$7),"x","")</f>
        <v/>
      </c>
      <c r="Y2650" s="79" t="str">
        <f>IF(AND(OR(N2650="131",O2650="131"),H2650='131-CT'!$H$9),"x","")</f>
        <v/>
      </c>
      <c r="Z2650" s="79"/>
      <c r="AA2650" s="79" t="str">
        <f>IF(AND(MONTH(E2650)='IN-NX'!$J$5,'IN-NX'!$D$7=D2650),"x","")</f>
        <v/>
      </c>
      <c r="AB2650" s="79" t="str">
        <f>IF(AND(OR(LEFT(TH!N2650,2)="15",LEFT(TH!O2650,2)="15"),LEFT(TH!O2650,3)&lt;&gt;"111",'152-CT'!$J$8=TH!F2650),"x","")</f>
        <v/>
      </c>
      <c r="AC2650" s="79" t="str">
        <f>IF(AND(OR(LEFT(TH!N2650,2)="15",LEFT(TH!O2650,2)="15"),TK!$E$7=TH!F2650),"x","")</f>
        <v/>
      </c>
      <c r="AD2650" s="79" t="str">
        <f>IF(AND(N2650="1521",MONTH(C2650)='BK-NL'!$M$11),"x","")</f>
        <v/>
      </c>
    </row>
    <row r="2651" spans="1:30" ht="16.5" customHeight="1">
      <c r="A2651" s="318" t="str">
        <f>IF(B2651&lt;&gt;"",IF(AND(B2651='IN-TC'!$S$4,OR(TH!N2651="1111",TH!O2651="1111")),TH!D2651,""),"")</f>
        <v/>
      </c>
      <c r="B2651" s="60" t="str">
        <f>IF(C2651&lt;&gt;"",MONTH(C2651),"")</f>
        <v/>
      </c>
      <c r="C2651" s="301"/>
      <c r="D2651" s="301"/>
      <c r="E2651" s="301"/>
      <c r="F2651" s="1162"/>
      <c r="G2651" s="968"/>
      <c r="H2651" s="303"/>
      <c r="I2651" s="385"/>
      <c r="J2651" s="969"/>
      <c r="K2651" s="385"/>
      <c r="L2651" s="392"/>
      <c r="M2651" s="970"/>
      <c r="N2651" s="304"/>
      <c r="O2651" s="304"/>
      <c r="P2651" s="79" t="str">
        <f>IF(AND('331-CT'!$E$7=TH!H2651,OR(N2651="331",O2651="331")),"x","")</f>
        <v/>
      </c>
      <c r="Q2651" s="79" t="str">
        <f>IF(AND(B2651='111'!$L$11,OR($N2651=$Q$7,$O2651=$Q$7)),"x","")</f>
        <v/>
      </c>
      <c r="R2651" s="79" t="str">
        <f>IF(AND($N2651=$Q$7,$B2651&lt;'111'!$L$11),"x","")</f>
        <v/>
      </c>
      <c r="S2651" s="79" t="str">
        <f>IF(AND($O2651=$Q$7,$B2651&lt;'111'!$L$11),"x","")</f>
        <v/>
      </c>
      <c r="T2651" s="79" t="str">
        <f>IF(ISERROR(FIND('112'!$M$9,G2651,1)),"",IF((AND(FIND('112'!$M$9,G2651,1)&gt;=1,B2651='112'!$K$9,OR($N2651='112'!$I$6,$O2651='112'!$I$6))),"x",""))</f>
        <v/>
      </c>
      <c r="U2651" s="79" t="str">
        <f>IF(ISERROR(FIND('112'!$M$9,G2651,1)),"",IF((AND(LEFT(G2651,2)=LEFT('112'!$M$9,2),B2651&lt;'112'!$K$9,$N2651='112'!$I$6)),"x",""))</f>
        <v/>
      </c>
      <c r="V2651" s="79" t="str">
        <f>IF(ISERROR(FIND('112'!$M$9,G2651,1)),"",IF((AND(RIGHT(G2651,2)=RIGHT('112'!$M$9,2),B2651&lt;'112'!$K$9,$O2651='112'!$I$6)),"x",""))</f>
        <v/>
      </c>
      <c r="W2651" s="79" t="str">
        <f>IF(AND('341-CT'!$H$9=H2651,OR(LEFT(N2651,3)=$W$7,LEFT(O2651,3)=$W$7)),"x","")</f>
        <v/>
      </c>
      <c r="X2651" s="79" t="str">
        <f>IF(OR(TH!N2651=TH!$X$7,O2651=TH!$X$7),"x","")</f>
        <v/>
      </c>
      <c r="Y2651" s="79" t="str">
        <f>IF(AND(OR(N2651="131",O2651="131"),H2651='131-CT'!$H$9),"x","")</f>
        <v/>
      </c>
      <c r="Z2651" s="79"/>
      <c r="AA2651" s="79" t="str">
        <f>IF(AND(MONTH(E2651)='IN-NX'!$J$5,'IN-NX'!$D$7=D2651),"x","")</f>
        <v/>
      </c>
      <c r="AB2651" s="79" t="str">
        <f>IF(AND(OR(LEFT(TH!N2651,2)="15",LEFT(TH!O2651,2)="15"),LEFT(TH!O2651,3)&lt;&gt;"111",'152-CT'!$J$8=TH!F2651),"x","")</f>
        <v/>
      </c>
      <c r="AC2651" s="79" t="str">
        <f>IF(AND(OR(LEFT(TH!N2651,2)="15",LEFT(TH!O2651,2)="15"),TK!$E$7=TH!F2651),"x","")</f>
        <v/>
      </c>
      <c r="AD2651" s="79" t="str">
        <f>IF(AND(N2651="1521",MONTH(C2651)='BK-NL'!$M$11),"x","")</f>
        <v/>
      </c>
    </row>
    <row r="2652" spans="1:30" ht="16.5" customHeight="1">
      <c r="A2652" s="318" t="str">
        <f>IF(B2652&lt;&gt;"",IF(AND(B2652='IN-TC'!$S$4,OR(TH!N2652="1111",TH!O2652="1111")),TH!D2652,""),"")</f>
        <v/>
      </c>
      <c r="B2652" s="60" t="str">
        <f t="shared" si="250"/>
        <v/>
      </c>
      <c r="C2652" s="301"/>
      <c r="D2652" s="301"/>
      <c r="E2652" s="301"/>
      <c r="F2652" s="1162"/>
      <c r="G2652" s="968"/>
      <c r="H2652" s="303"/>
      <c r="I2652" s="385"/>
      <c r="J2652" s="969"/>
      <c r="K2652" s="385"/>
      <c r="L2652" s="392"/>
      <c r="M2652" s="970"/>
      <c r="N2652" s="304"/>
      <c r="O2652" s="304"/>
      <c r="P2652" s="79" t="str">
        <f>IF(AND('331-CT'!$E$7=TH!H2652,OR(N2652="331",O2652="331")),"x","")</f>
        <v/>
      </c>
      <c r="Q2652" s="79" t="str">
        <f>IF(AND(B2652='111'!$L$11,OR($N2652=$Q$7,$O2652=$Q$7)),"x","")</f>
        <v/>
      </c>
      <c r="R2652" s="79" t="str">
        <f>IF(AND($N2652=$Q$7,$B2652&lt;'111'!$L$11),"x","")</f>
        <v/>
      </c>
      <c r="S2652" s="79" t="str">
        <f>IF(AND($O2652=$Q$7,$B2652&lt;'111'!$L$11),"x","")</f>
        <v/>
      </c>
      <c r="T2652" s="79" t="str">
        <f>IF(ISERROR(FIND('112'!$M$9,G2652,1)),"",IF((AND(FIND('112'!$M$9,G2652,1)&gt;=1,B2652='112'!$K$9,OR($N2652='112'!$I$6,$O2652='112'!$I$6))),"x",""))</f>
        <v/>
      </c>
      <c r="U2652" s="79" t="str">
        <f>IF(ISERROR(FIND('112'!$M$9,G2652,1)),"",IF((AND(LEFT(G2652,2)=LEFT('112'!$M$9,2),B2652&lt;'112'!$K$9,$N2652='112'!$I$6)),"x",""))</f>
        <v/>
      </c>
      <c r="V2652" s="79" t="str">
        <f>IF(ISERROR(FIND('112'!$M$9,G2652,1)),"",IF((AND(RIGHT(G2652,2)=RIGHT('112'!$M$9,2),B2652&lt;'112'!$K$9,$O2652='112'!$I$6)),"x",""))</f>
        <v/>
      </c>
      <c r="W2652" s="79" t="str">
        <f>IF(AND('341-CT'!$H$9=H2652,OR(LEFT(N2652,3)=$W$7,LEFT(O2652,3)=$W$7)),"x","")</f>
        <v/>
      </c>
      <c r="X2652" s="79" t="str">
        <f>IF(OR(TH!N2652=TH!$X$7,O2652=TH!$X$7),"x","")</f>
        <v/>
      </c>
      <c r="Y2652" s="79" t="str">
        <f>IF(AND(OR(N2652="131",O2652="131"),H2652='131-CT'!$H$9),"x","")</f>
        <v/>
      </c>
      <c r="Z2652" s="79"/>
      <c r="AA2652" s="79" t="str">
        <f>IF(AND(MONTH(E2652)='IN-NX'!$J$5,'IN-NX'!$D$7=D2652),"x","")</f>
        <v/>
      </c>
      <c r="AB2652" s="79" t="str">
        <f>IF(AND(OR(LEFT(TH!N2652,2)="15",LEFT(TH!O2652,2)="15"),LEFT(TH!O2652,3)&lt;&gt;"111",'152-CT'!$J$8=TH!F2652),"x","")</f>
        <v/>
      </c>
      <c r="AC2652" s="79" t="str">
        <f>IF(AND(OR(LEFT(TH!N2652,2)="15",LEFT(TH!O2652,2)="15"),TK!$E$7=TH!F2652),"x","")</f>
        <v/>
      </c>
      <c r="AD2652" s="79" t="str">
        <f>IF(AND(N2652="1521",MONTH(C2652)='BK-NL'!$M$11),"x","")</f>
        <v/>
      </c>
    </row>
    <row r="2653" spans="1:30" ht="16.5" customHeight="1">
      <c r="A2653" s="318" t="str">
        <f>IF(B2653&lt;&gt;"",IF(AND(B2653='IN-TC'!$S$4,OR(TH!N2653="1111",TH!O2653="1111")),TH!D2653,""),"")</f>
        <v/>
      </c>
      <c r="B2653" s="60" t="str">
        <f t="shared" si="250"/>
        <v/>
      </c>
      <c r="C2653" s="301"/>
      <c r="D2653" s="301"/>
      <c r="E2653" s="301"/>
      <c r="F2653" s="1162"/>
      <c r="G2653" s="968"/>
      <c r="H2653" s="303"/>
      <c r="I2653" s="385"/>
      <c r="J2653" s="969"/>
      <c r="K2653" s="385"/>
      <c r="L2653" s="392"/>
      <c r="M2653" s="970"/>
      <c r="N2653" s="304"/>
      <c r="O2653" s="304"/>
      <c r="P2653" s="79" t="str">
        <f>IF(AND('331-CT'!$E$7=TH!H2653,OR(N2653="331",O2653="331")),"x","")</f>
        <v/>
      </c>
      <c r="Q2653" s="79" t="str">
        <f>IF(AND(B2653='111'!$L$11,OR($N2653=$Q$7,$O2653=$Q$7)),"x","")</f>
        <v/>
      </c>
      <c r="R2653" s="79" t="str">
        <f>IF(AND($N2653=$Q$7,$B2653&lt;'111'!$L$11),"x","")</f>
        <v/>
      </c>
      <c r="S2653" s="79" t="str">
        <f>IF(AND($O2653=$Q$7,$B2653&lt;'111'!$L$11),"x","")</f>
        <v/>
      </c>
      <c r="T2653" s="79" t="str">
        <f>IF(ISERROR(FIND('112'!$M$9,G2653,1)),"",IF((AND(FIND('112'!$M$9,G2653,1)&gt;=1,B2653='112'!$K$9,OR($N2653='112'!$I$6,$O2653='112'!$I$6))),"x",""))</f>
        <v/>
      </c>
      <c r="U2653" s="79" t="str">
        <f>IF(ISERROR(FIND('112'!$M$9,G2653,1)),"",IF((AND(LEFT(G2653,2)=LEFT('112'!$M$9,2),B2653&lt;'112'!$K$9,$N2653='112'!$I$6)),"x",""))</f>
        <v/>
      </c>
      <c r="V2653" s="79" t="str">
        <f>IF(ISERROR(FIND('112'!$M$9,G2653,1)),"",IF((AND(RIGHT(G2653,2)=RIGHT('112'!$M$9,2),B2653&lt;'112'!$K$9,$O2653='112'!$I$6)),"x",""))</f>
        <v/>
      </c>
      <c r="W2653" s="79" t="str">
        <f>IF(AND('341-CT'!$H$9=H2653,OR(LEFT(N2653,3)=$W$7,LEFT(O2653,3)=$W$7)),"x","")</f>
        <v/>
      </c>
      <c r="X2653" s="79" t="str">
        <f>IF(OR(TH!N2653=TH!$X$7,O2653=TH!$X$7),"x","")</f>
        <v/>
      </c>
      <c r="Y2653" s="79" t="str">
        <f>IF(AND(OR(N2653="131",O2653="131"),H2653='131-CT'!$H$9),"x","")</f>
        <v/>
      </c>
      <c r="Z2653" s="79"/>
      <c r="AA2653" s="79" t="str">
        <f>IF(AND(MONTH(E2653)='IN-NX'!$J$5,'IN-NX'!$D$7=D2653),"x","")</f>
        <v/>
      </c>
      <c r="AB2653" s="79" t="str">
        <f>IF(AND(OR(LEFT(TH!N2653,2)="15",LEFT(TH!O2653,2)="15"),LEFT(TH!O2653,3)&lt;&gt;"111",'152-CT'!$J$8=TH!F2653),"x","")</f>
        <v/>
      </c>
      <c r="AC2653" s="79" t="str">
        <f>IF(AND(OR(LEFT(TH!N2653,2)="15",LEFT(TH!O2653,2)="15"),TK!$E$7=TH!F2653),"x","")</f>
        <v/>
      </c>
      <c r="AD2653" s="79" t="str">
        <f>IF(AND(N2653="1521",MONTH(C2653)='BK-NL'!$M$11),"x","")</f>
        <v/>
      </c>
    </row>
    <row r="2654" spans="1:30" ht="16.5" customHeight="1">
      <c r="A2654" s="318" t="str">
        <f>IF(B2654&lt;&gt;"",IF(AND(B2654='IN-TC'!$S$4,OR(TH!N2654="1111",TH!O2654="1111")),TH!D2654,""),"")</f>
        <v/>
      </c>
      <c r="B2654" s="60" t="str">
        <f t="shared" si="250"/>
        <v/>
      </c>
      <c r="C2654" s="301"/>
      <c r="D2654" s="301"/>
      <c r="E2654" s="301"/>
      <c r="F2654" s="1162"/>
      <c r="G2654" s="968"/>
      <c r="H2654" s="303"/>
      <c r="I2654" s="385"/>
      <c r="J2654" s="969"/>
      <c r="K2654" s="385"/>
      <c r="L2654" s="392"/>
      <c r="M2654" s="970"/>
      <c r="N2654" s="304"/>
      <c r="O2654" s="304"/>
      <c r="P2654" s="79" t="str">
        <f>IF(AND('331-CT'!$E$7=TH!H2654,OR(N2654="331",O2654="331")),"x","")</f>
        <v/>
      </c>
      <c r="Q2654" s="79" t="str">
        <f>IF(AND(B2654='111'!$L$11,OR($N2654=$Q$7,$O2654=$Q$7)),"x","")</f>
        <v/>
      </c>
      <c r="R2654" s="79" t="str">
        <f>IF(AND($N2654=$Q$7,$B2654&lt;'111'!$L$11),"x","")</f>
        <v/>
      </c>
      <c r="S2654" s="79" t="str">
        <f>IF(AND($O2654=$Q$7,$B2654&lt;'111'!$L$11),"x","")</f>
        <v/>
      </c>
      <c r="T2654" s="79" t="str">
        <f>IF(ISERROR(FIND('112'!$M$9,G2654,1)),"",IF((AND(FIND('112'!$M$9,G2654,1)&gt;=1,B2654='112'!$K$9,OR($N2654='112'!$I$6,$O2654='112'!$I$6))),"x",""))</f>
        <v/>
      </c>
      <c r="U2654" s="79" t="str">
        <f>IF(ISERROR(FIND('112'!$M$9,G2654,1)),"",IF((AND(LEFT(G2654,2)=LEFT('112'!$M$9,2),B2654&lt;'112'!$K$9,$N2654='112'!$I$6)),"x",""))</f>
        <v/>
      </c>
      <c r="V2654" s="79" t="str">
        <f>IF(ISERROR(FIND('112'!$M$9,G2654,1)),"",IF((AND(RIGHT(G2654,2)=RIGHT('112'!$M$9,2),B2654&lt;'112'!$K$9,$O2654='112'!$I$6)),"x",""))</f>
        <v/>
      </c>
      <c r="W2654" s="79" t="str">
        <f>IF(AND('341-CT'!$H$9=H2654,OR(LEFT(N2654,3)=$W$7,LEFT(O2654,3)=$W$7)),"x","")</f>
        <v/>
      </c>
      <c r="X2654" s="79" t="str">
        <f>IF(OR(TH!N2654=TH!$X$7,O2654=TH!$X$7),"x","")</f>
        <v/>
      </c>
      <c r="Y2654" s="79" t="str">
        <f>IF(AND(OR(N2654="131",O2654="131"),H2654='131-CT'!$H$9),"x","")</f>
        <v/>
      </c>
      <c r="Z2654" s="79"/>
      <c r="AA2654" s="79" t="str">
        <f>IF(AND(MONTH(E2654)='IN-NX'!$J$5,'IN-NX'!$D$7=D2654),"x","")</f>
        <v/>
      </c>
      <c r="AB2654" s="79" t="str">
        <f>IF(AND(OR(LEFT(TH!N2654,2)="15",LEFT(TH!O2654,2)="15"),LEFT(TH!O2654,3)&lt;&gt;"111",'152-CT'!$J$8=TH!F2654),"x","")</f>
        <v/>
      </c>
      <c r="AC2654" s="79" t="str">
        <f>IF(AND(OR(LEFT(TH!N2654,2)="15",LEFT(TH!O2654,2)="15"),TK!$E$7=TH!F2654),"x","")</f>
        <v/>
      </c>
      <c r="AD2654" s="79" t="str">
        <f>IF(AND(N2654="1521",MONTH(C2654)='BK-NL'!$M$11),"x","")</f>
        <v/>
      </c>
    </row>
    <row r="2655" spans="1:30" ht="16.5" customHeight="1">
      <c r="A2655" s="318" t="str">
        <f>IF(B2655&lt;&gt;"",IF(AND(B2655='IN-TC'!$S$4,OR(TH!N2655="1111",TH!O2655="1111")),TH!D2655,""),"")</f>
        <v/>
      </c>
      <c r="B2655" s="60" t="str">
        <f t="shared" si="250"/>
        <v/>
      </c>
      <c r="C2655" s="301"/>
      <c r="D2655" s="301"/>
      <c r="E2655" s="301"/>
      <c r="F2655" s="1162"/>
      <c r="G2655" s="968"/>
      <c r="H2655" s="303"/>
      <c r="I2655" s="385"/>
      <c r="J2655" s="969"/>
      <c r="K2655" s="385"/>
      <c r="L2655" s="392"/>
      <c r="M2655" s="970"/>
      <c r="N2655" s="304"/>
      <c r="O2655" s="304"/>
      <c r="P2655" s="79" t="str">
        <f>IF(AND('331-CT'!$E$7=TH!H2655,OR(N2655="331",O2655="331")),"x","")</f>
        <v/>
      </c>
      <c r="Q2655" s="79" t="str">
        <f>IF(AND(B2655='111'!$L$11,OR($N2655=$Q$7,$O2655=$Q$7)),"x","")</f>
        <v/>
      </c>
      <c r="R2655" s="79" t="str">
        <f>IF(AND($N2655=$Q$7,$B2655&lt;'111'!$L$11),"x","")</f>
        <v/>
      </c>
      <c r="S2655" s="79" t="str">
        <f>IF(AND($O2655=$Q$7,$B2655&lt;'111'!$L$11),"x","")</f>
        <v/>
      </c>
      <c r="T2655" s="79" t="str">
        <f>IF(ISERROR(FIND('112'!$M$9,G2655,1)),"",IF((AND(FIND('112'!$M$9,G2655,1)&gt;=1,B2655='112'!$K$9,OR($N2655='112'!$I$6,$O2655='112'!$I$6))),"x",""))</f>
        <v/>
      </c>
      <c r="U2655" s="79" t="str">
        <f>IF(ISERROR(FIND('112'!$M$9,G2655,1)),"",IF((AND(LEFT(G2655,2)=LEFT('112'!$M$9,2),B2655&lt;'112'!$K$9,$N2655='112'!$I$6)),"x",""))</f>
        <v/>
      </c>
      <c r="V2655" s="79" t="str">
        <f>IF(ISERROR(FIND('112'!$M$9,G2655,1)),"",IF((AND(RIGHT(G2655,2)=RIGHT('112'!$M$9,2),B2655&lt;'112'!$K$9,$O2655='112'!$I$6)),"x",""))</f>
        <v/>
      </c>
      <c r="W2655" s="79" t="str">
        <f>IF(AND('341-CT'!$H$9=H2655,OR(LEFT(N2655,3)=$W$7,LEFT(O2655,3)=$W$7)),"x","")</f>
        <v/>
      </c>
      <c r="X2655" s="79" t="str">
        <f>IF(OR(TH!N2655=TH!$X$7,O2655=TH!$X$7),"x","")</f>
        <v/>
      </c>
      <c r="Y2655" s="79" t="str">
        <f>IF(AND(OR(N2655="131",O2655="131"),H2655='131-CT'!$H$9),"x","")</f>
        <v/>
      </c>
      <c r="Z2655" s="79"/>
      <c r="AA2655" s="79" t="str">
        <f>IF(AND(MONTH(E2655)='IN-NX'!$J$5,'IN-NX'!$D$7=D2655),"x","")</f>
        <v/>
      </c>
      <c r="AB2655" s="79" t="str">
        <f>IF(AND(OR(LEFT(TH!N2655,2)="15",LEFT(TH!O2655,2)="15"),LEFT(TH!O2655,3)&lt;&gt;"111",'152-CT'!$J$8=TH!F2655),"x","")</f>
        <v/>
      </c>
      <c r="AC2655" s="79" t="str">
        <f>IF(AND(OR(LEFT(TH!N2655,2)="15",LEFT(TH!O2655,2)="15"),TK!$E$7=TH!F2655),"x","")</f>
        <v/>
      </c>
      <c r="AD2655" s="79" t="str">
        <f>IF(AND(N2655="1521",MONTH(C2655)='BK-NL'!$M$11),"x","")</f>
        <v/>
      </c>
    </row>
    <row r="2656" spans="1:30" ht="16.5" customHeight="1">
      <c r="A2656" s="318" t="str">
        <f>IF(B2656&lt;&gt;"",IF(AND(B2656='IN-TC'!$S$4,OR(TH!N2656="1111",TH!O2656="1111")),TH!D2656,""),"")</f>
        <v/>
      </c>
      <c r="B2656" s="60" t="str">
        <f t="shared" ref="B2656" si="273">IF(C2656&lt;&gt;"",MONTH(C2656),"")</f>
        <v/>
      </c>
      <c r="C2656" s="301"/>
      <c r="D2656" s="301"/>
      <c r="E2656" s="301"/>
      <c r="F2656" s="1162"/>
      <c r="G2656" s="968"/>
      <c r="H2656" s="303"/>
      <c r="I2656" s="385"/>
      <c r="J2656" s="969"/>
      <c r="K2656" s="385"/>
      <c r="L2656" s="392"/>
      <c r="M2656" s="970"/>
      <c r="N2656" s="304"/>
      <c r="O2656" s="304"/>
      <c r="P2656" s="79" t="str">
        <f>IF(AND('331-CT'!$E$7=TH!H2656,OR(N2656="331",O2656="331")),"x","")</f>
        <v/>
      </c>
      <c r="Q2656" s="79" t="str">
        <f>IF(AND(B2656='111'!$L$11,OR($N2656=$Q$7,$O2656=$Q$7)),"x","")</f>
        <v/>
      </c>
      <c r="R2656" s="79" t="str">
        <f>IF(AND($N2656=$Q$7,$B2656&lt;'111'!$L$11),"x","")</f>
        <v/>
      </c>
      <c r="S2656" s="79" t="str">
        <f>IF(AND($O2656=$Q$7,$B2656&lt;'111'!$L$11),"x","")</f>
        <v/>
      </c>
      <c r="T2656" s="79" t="str">
        <f>IF(ISERROR(FIND('112'!$M$9,G2656,1)),"",IF((AND(FIND('112'!$M$9,G2656,1)&gt;=1,B2656='112'!$K$9,OR($N2656='112'!$I$6,$O2656='112'!$I$6))),"x",""))</f>
        <v/>
      </c>
      <c r="U2656" s="79" t="str">
        <f>IF(ISERROR(FIND('112'!$M$9,G2656,1)),"",IF((AND(LEFT(G2656,2)=LEFT('112'!$M$9,2),B2656&lt;'112'!$K$9,$N2656='112'!$I$6)),"x",""))</f>
        <v/>
      </c>
      <c r="V2656" s="79" t="str">
        <f>IF(ISERROR(FIND('112'!$M$9,G2656,1)),"",IF((AND(RIGHT(G2656,2)=RIGHT('112'!$M$9,2),B2656&lt;'112'!$K$9,$O2656='112'!$I$6)),"x",""))</f>
        <v/>
      </c>
      <c r="W2656" s="79" t="str">
        <f>IF(AND('341-CT'!$H$9=H2656,OR(LEFT(N2656,3)=$W$7,LEFT(O2656,3)=$W$7)),"x","")</f>
        <v/>
      </c>
      <c r="X2656" s="79" t="str">
        <f>IF(OR(TH!N2656=TH!$X$7,O2656=TH!$X$7),"x","")</f>
        <v/>
      </c>
      <c r="Y2656" s="79" t="str">
        <f>IF(AND(OR(N2656="131",O2656="131"),H2656='131-CT'!$H$9),"x","")</f>
        <v/>
      </c>
      <c r="Z2656" s="79"/>
      <c r="AA2656" s="79" t="str">
        <f>IF(AND(MONTH(E2656)='IN-NX'!$J$5,'IN-NX'!$D$7=D2656),"x","")</f>
        <v/>
      </c>
      <c r="AB2656" s="79" t="str">
        <f>IF(AND(OR(LEFT(TH!N2656,2)="15",LEFT(TH!O2656,2)="15"),LEFT(TH!O2656,3)&lt;&gt;"111",'152-CT'!$J$8=TH!F2656),"x","")</f>
        <v/>
      </c>
      <c r="AC2656" s="79" t="str">
        <f>IF(AND(OR(LEFT(TH!N2656,2)="15",LEFT(TH!O2656,2)="15"),TK!$E$7=TH!F2656),"x","")</f>
        <v/>
      </c>
      <c r="AD2656" s="79" t="str">
        <f>IF(AND(N2656="1521",MONTH(C2656)='BK-NL'!$M$11),"x","")</f>
        <v/>
      </c>
    </row>
    <row r="2657" spans="1:30" ht="16.5" customHeight="1">
      <c r="A2657" s="318" t="str">
        <f>IF(B2657&lt;&gt;"",IF(AND(B2657='IN-TC'!$S$4,OR(TH!N2657="1111",TH!O2657="1111")),TH!D2657,""),"")</f>
        <v/>
      </c>
      <c r="B2657" s="60" t="str">
        <f t="shared" ref="B2657:B2659" si="274">IF(C2657&lt;&gt;"",MONTH(C2657),"")</f>
        <v/>
      </c>
      <c r="C2657" s="301"/>
      <c r="D2657" s="301"/>
      <c r="E2657" s="301"/>
      <c r="F2657" s="1162"/>
      <c r="G2657" s="968"/>
      <c r="H2657" s="303"/>
      <c r="I2657" s="385"/>
      <c r="J2657" s="969"/>
      <c r="K2657" s="385"/>
      <c r="L2657" s="392"/>
      <c r="M2657" s="970"/>
      <c r="N2657" s="304"/>
      <c r="O2657" s="304"/>
      <c r="P2657" s="79" t="str">
        <f>IF(AND('331-CT'!$E$7=TH!H2657,OR(N2657="331",O2657="331")),"x","")</f>
        <v/>
      </c>
      <c r="Q2657" s="79" t="str">
        <f>IF(AND(B2657='111'!$L$11,OR($N2657=$Q$7,$O2657=$Q$7)),"x","")</f>
        <v/>
      </c>
      <c r="R2657" s="79" t="str">
        <f>IF(AND($N2657=$Q$7,$B2657&lt;'111'!$L$11),"x","")</f>
        <v/>
      </c>
      <c r="S2657" s="79" t="str">
        <f>IF(AND($O2657=$Q$7,$B2657&lt;'111'!$L$11),"x","")</f>
        <v/>
      </c>
      <c r="T2657" s="79" t="str">
        <f>IF(ISERROR(FIND('112'!$M$9,G2657,1)),"",IF((AND(FIND('112'!$M$9,G2657,1)&gt;=1,B2657='112'!$K$9,OR($N2657='112'!$I$6,$O2657='112'!$I$6))),"x",""))</f>
        <v/>
      </c>
      <c r="U2657" s="79" t="str">
        <f>IF(ISERROR(FIND('112'!$M$9,G2657,1)),"",IF((AND(LEFT(G2657,2)=LEFT('112'!$M$9,2),B2657&lt;'112'!$K$9,$N2657='112'!$I$6)),"x",""))</f>
        <v/>
      </c>
      <c r="V2657" s="79" t="str">
        <f>IF(ISERROR(FIND('112'!$M$9,G2657,1)),"",IF((AND(RIGHT(G2657,2)=RIGHT('112'!$M$9,2),B2657&lt;'112'!$K$9,$O2657='112'!$I$6)),"x",""))</f>
        <v/>
      </c>
      <c r="W2657" s="79" t="str">
        <f>IF(AND('341-CT'!$H$9=H2657,OR(LEFT(N2657,3)=$W$7,LEFT(O2657,3)=$W$7)),"x","")</f>
        <v/>
      </c>
      <c r="X2657" s="79" t="str">
        <f>IF(OR(TH!N2657=TH!$X$7,O2657=TH!$X$7),"x","")</f>
        <v/>
      </c>
      <c r="Y2657" s="79" t="str">
        <f>IF(AND(OR(N2657="131",O2657="131"),H2657='131-CT'!$H$9),"x","")</f>
        <v/>
      </c>
      <c r="Z2657" s="79"/>
      <c r="AA2657" s="79" t="str">
        <f>IF(AND(MONTH(E2657)='IN-NX'!$J$5,'IN-NX'!$D$7=D2657),"x","")</f>
        <v/>
      </c>
      <c r="AB2657" s="79" t="str">
        <f>IF(AND(OR(LEFT(TH!N2657,2)="15",LEFT(TH!O2657,2)="15"),LEFT(TH!O2657,3)&lt;&gt;"111",'152-CT'!$J$8=TH!F2657),"x","")</f>
        <v/>
      </c>
      <c r="AC2657" s="79" t="str">
        <f>IF(AND(OR(LEFT(TH!N2657,2)="15",LEFT(TH!O2657,2)="15"),TK!$E$7=TH!F2657),"x","")</f>
        <v/>
      </c>
      <c r="AD2657" s="79" t="str">
        <f>IF(AND(N2657="1521",MONTH(C2657)='BK-NL'!$M$11),"x","")</f>
        <v/>
      </c>
    </row>
    <row r="2658" spans="1:30" ht="16.5" customHeight="1">
      <c r="A2658" s="318" t="str">
        <f>IF(B2658&lt;&gt;"",IF(AND(B2658='IN-TC'!$S$4,OR(TH!N2658="1111",TH!O2658="1111")),TH!D2658,""),"")</f>
        <v/>
      </c>
      <c r="B2658" s="60" t="str">
        <f t="shared" si="274"/>
        <v/>
      </c>
      <c r="C2658" s="301"/>
      <c r="D2658" s="301"/>
      <c r="E2658" s="301"/>
      <c r="F2658" s="1162"/>
      <c r="G2658" s="968"/>
      <c r="H2658" s="303"/>
      <c r="I2658" s="385"/>
      <c r="J2658" s="969"/>
      <c r="K2658" s="385"/>
      <c r="L2658" s="392"/>
      <c r="M2658" s="970"/>
      <c r="N2658" s="304"/>
      <c r="O2658" s="304"/>
      <c r="P2658" s="79" t="str">
        <f>IF(AND('331-CT'!$E$7=TH!H2658,OR(N2658="331",O2658="331")),"x","")</f>
        <v/>
      </c>
      <c r="Q2658" s="79" t="str">
        <f>IF(AND(B2658='111'!$L$11,OR($N2658=$Q$7,$O2658=$Q$7)),"x","")</f>
        <v/>
      </c>
      <c r="R2658" s="79" t="str">
        <f>IF(AND($N2658=$Q$7,$B2658&lt;'111'!$L$11),"x","")</f>
        <v/>
      </c>
      <c r="S2658" s="79" t="str">
        <f>IF(AND($O2658=$Q$7,$B2658&lt;'111'!$L$11),"x","")</f>
        <v/>
      </c>
      <c r="T2658" s="79" t="str">
        <f>IF(ISERROR(FIND('112'!$M$9,G2658,1)),"",IF((AND(FIND('112'!$M$9,G2658,1)&gt;=1,B2658='112'!$K$9,OR($N2658='112'!$I$6,$O2658='112'!$I$6))),"x",""))</f>
        <v/>
      </c>
      <c r="U2658" s="79" t="str">
        <f>IF(ISERROR(FIND('112'!$M$9,G2658,1)),"",IF((AND(LEFT(G2658,2)=LEFT('112'!$M$9,2),B2658&lt;'112'!$K$9,$N2658='112'!$I$6)),"x",""))</f>
        <v/>
      </c>
      <c r="V2658" s="79" t="str">
        <f>IF(ISERROR(FIND('112'!$M$9,G2658,1)),"",IF((AND(RIGHT(G2658,2)=RIGHT('112'!$M$9,2),B2658&lt;'112'!$K$9,$O2658='112'!$I$6)),"x",""))</f>
        <v/>
      </c>
      <c r="W2658" s="79" t="str">
        <f>IF(AND('341-CT'!$H$9=H2658,OR(LEFT(N2658,3)=$W$7,LEFT(O2658,3)=$W$7)),"x","")</f>
        <v/>
      </c>
      <c r="X2658" s="79" t="str">
        <f>IF(OR(TH!N2658=TH!$X$7,O2658=TH!$X$7),"x","")</f>
        <v/>
      </c>
      <c r="Y2658" s="79" t="str">
        <f>IF(AND(OR(N2658="131",O2658="131"),H2658='131-CT'!$H$9),"x","")</f>
        <v/>
      </c>
      <c r="Z2658" s="79"/>
      <c r="AA2658" s="79" t="str">
        <f>IF(AND(MONTH(E2658)='IN-NX'!$J$5,'IN-NX'!$D$7=D2658),"x","")</f>
        <v/>
      </c>
      <c r="AB2658" s="79" t="str">
        <f>IF(AND(OR(LEFT(TH!N2658,2)="15",LEFT(TH!O2658,2)="15"),LEFT(TH!O2658,3)&lt;&gt;"111",'152-CT'!$J$8=TH!F2658),"x","")</f>
        <v/>
      </c>
      <c r="AC2658" s="79" t="str">
        <f>IF(AND(OR(LEFT(TH!N2658,2)="15",LEFT(TH!O2658,2)="15"),TK!$E$7=TH!F2658),"x","")</f>
        <v/>
      </c>
      <c r="AD2658" s="79" t="str">
        <f>IF(AND(N2658="1521",MONTH(C2658)='BK-NL'!$M$11),"x","")</f>
        <v/>
      </c>
    </row>
    <row r="2659" spans="1:30" ht="16.5" customHeight="1">
      <c r="A2659" s="318" t="str">
        <f>IF(B2659&lt;&gt;"",IF(AND(B2659='IN-TC'!$S$4,OR(TH!N2659="1111",TH!O2659="1111")),TH!D2659,""),"")</f>
        <v/>
      </c>
      <c r="B2659" s="60" t="str">
        <f t="shared" si="274"/>
        <v/>
      </c>
      <c r="C2659" s="301"/>
      <c r="D2659" s="301"/>
      <c r="E2659" s="301"/>
      <c r="F2659" s="1162"/>
      <c r="G2659" s="968"/>
      <c r="H2659" s="303"/>
      <c r="I2659" s="385"/>
      <c r="J2659" s="969"/>
      <c r="K2659" s="385"/>
      <c r="L2659" s="392"/>
      <c r="M2659" s="970"/>
      <c r="N2659" s="304"/>
      <c r="O2659" s="304"/>
      <c r="P2659" s="79" t="str">
        <f>IF(AND('331-CT'!$E$7=TH!H2659,OR(N2659="331",O2659="331")),"x","")</f>
        <v/>
      </c>
      <c r="Q2659" s="79" t="str">
        <f>IF(AND(B2659='111'!$L$11,OR($N2659=$Q$7,$O2659=$Q$7)),"x","")</f>
        <v/>
      </c>
      <c r="R2659" s="79" t="str">
        <f>IF(AND($N2659=$Q$7,$B2659&lt;'111'!$L$11),"x","")</f>
        <v/>
      </c>
      <c r="S2659" s="79" t="str">
        <f>IF(AND($O2659=$Q$7,$B2659&lt;'111'!$L$11),"x","")</f>
        <v/>
      </c>
      <c r="T2659" s="79" t="str">
        <f>IF(ISERROR(FIND('112'!$M$9,G2659,1)),"",IF((AND(FIND('112'!$M$9,G2659,1)&gt;=1,B2659='112'!$K$9,OR($N2659='112'!$I$6,$O2659='112'!$I$6))),"x",""))</f>
        <v/>
      </c>
      <c r="U2659" s="79" t="str">
        <f>IF(ISERROR(FIND('112'!$M$9,G2659,1)),"",IF((AND(LEFT(G2659,2)=LEFT('112'!$M$9,2),B2659&lt;'112'!$K$9,$N2659='112'!$I$6)),"x",""))</f>
        <v/>
      </c>
      <c r="V2659" s="79" t="str">
        <f>IF(ISERROR(FIND('112'!$M$9,G2659,1)),"",IF((AND(RIGHT(G2659,2)=RIGHT('112'!$M$9,2),B2659&lt;'112'!$K$9,$O2659='112'!$I$6)),"x",""))</f>
        <v/>
      </c>
      <c r="W2659" s="79" t="str">
        <f>IF(AND('341-CT'!$H$9=H2659,OR(LEFT(N2659,3)=$W$7,LEFT(O2659,3)=$W$7)),"x","")</f>
        <v/>
      </c>
      <c r="X2659" s="79" t="str">
        <f>IF(OR(TH!N2659=TH!$X$7,O2659=TH!$X$7),"x","")</f>
        <v/>
      </c>
      <c r="Y2659" s="79" t="str">
        <f>IF(AND(OR(N2659="131",O2659="131"),H2659='131-CT'!$H$9),"x","")</f>
        <v/>
      </c>
      <c r="Z2659" s="79"/>
      <c r="AA2659" s="79" t="str">
        <f>IF(AND(MONTH(E2659)='IN-NX'!$J$5,'IN-NX'!$D$7=D2659),"x","")</f>
        <v/>
      </c>
      <c r="AB2659" s="79" t="str">
        <f>IF(AND(OR(LEFT(TH!N2659,2)="15",LEFT(TH!O2659,2)="15"),LEFT(TH!O2659,3)&lt;&gt;"111",'152-CT'!$J$8=TH!F2659),"x","")</f>
        <v/>
      </c>
      <c r="AC2659" s="79" t="str">
        <f>IF(AND(OR(LEFT(TH!N2659,2)="15",LEFT(TH!O2659,2)="15"),TK!$E$7=TH!F2659),"x","")</f>
        <v/>
      </c>
      <c r="AD2659" s="79" t="str">
        <f>IF(AND(N2659="1521",MONTH(C2659)='BK-NL'!$M$11),"x","")</f>
        <v/>
      </c>
    </row>
    <row r="2660" spans="1:30" ht="16.5" customHeight="1">
      <c r="A2660" s="318" t="str">
        <f>IF(B2660&lt;&gt;"",IF(AND(B2660='IN-TC'!$S$4,OR(TH!N2660="1111",TH!O2660="1111")),TH!D2660,""),"")</f>
        <v/>
      </c>
      <c r="B2660" s="60" t="str">
        <f t="shared" si="250"/>
        <v/>
      </c>
      <c r="C2660" s="301"/>
      <c r="D2660" s="301"/>
      <c r="E2660" s="301"/>
      <c r="F2660" s="1162"/>
      <c r="G2660" s="968"/>
      <c r="H2660" s="303"/>
      <c r="I2660" s="385"/>
      <c r="J2660" s="969"/>
      <c r="K2660" s="385"/>
      <c r="L2660" s="392"/>
      <c r="M2660" s="970"/>
      <c r="N2660" s="304"/>
      <c r="O2660" s="304"/>
      <c r="P2660" s="79" t="str">
        <f>IF(AND('331-CT'!$E$7=TH!H2660,OR(N2660="331",O2660="331")),"x","")</f>
        <v/>
      </c>
      <c r="Q2660" s="79" t="str">
        <f>IF(AND(B2660='111'!$L$11,OR($N2660=$Q$7,$O2660=$Q$7)),"x","")</f>
        <v/>
      </c>
      <c r="R2660" s="79" t="str">
        <f>IF(AND($N2660=$Q$7,$B2660&lt;'111'!$L$11),"x","")</f>
        <v/>
      </c>
      <c r="S2660" s="79" t="str">
        <f>IF(AND($O2660=$Q$7,$B2660&lt;'111'!$L$11),"x","")</f>
        <v/>
      </c>
      <c r="T2660" s="79" t="str">
        <f>IF(ISERROR(FIND('112'!$M$9,G2660,1)),"",IF((AND(FIND('112'!$M$9,G2660,1)&gt;=1,B2660='112'!$K$9,OR($N2660='112'!$I$6,$O2660='112'!$I$6))),"x",""))</f>
        <v/>
      </c>
      <c r="U2660" s="79" t="str">
        <f>IF(ISERROR(FIND('112'!$M$9,G2660,1)),"",IF((AND(LEFT(G2660,2)=LEFT('112'!$M$9,2),B2660&lt;'112'!$K$9,$N2660='112'!$I$6)),"x",""))</f>
        <v/>
      </c>
      <c r="V2660" s="79" t="str">
        <f>IF(ISERROR(FIND('112'!$M$9,G2660,1)),"",IF((AND(RIGHT(G2660,2)=RIGHT('112'!$M$9,2),B2660&lt;'112'!$K$9,$O2660='112'!$I$6)),"x",""))</f>
        <v/>
      </c>
      <c r="W2660" s="79" t="str">
        <f>IF(AND('341-CT'!$H$9=H2660,OR(LEFT(N2660,3)=$W$7,LEFT(O2660,3)=$W$7)),"x","")</f>
        <v/>
      </c>
      <c r="X2660" s="79" t="str">
        <f>IF(OR(TH!N2660=TH!$X$7,O2660=TH!$X$7),"x","")</f>
        <v/>
      </c>
      <c r="Y2660" s="79" t="str">
        <f>IF(AND(OR(N2660="131",O2660="131"),H2660='131-CT'!$H$9),"x","")</f>
        <v/>
      </c>
      <c r="Z2660" s="79"/>
      <c r="AA2660" s="79" t="str">
        <f>IF(AND(MONTH(E2660)='IN-NX'!$J$5,'IN-NX'!$D$7=D2660),"x","")</f>
        <v/>
      </c>
      <c r="AB2660" s="79" t="str">
        <f>IF(AND(OR(LEFT(TH!N2660,2)="15",LEFT(TH!O2660,2)="15"),LEFT(TH!O2660,3)&lt;&gt;"111",'152-CT'!$J$8=TH!F2660),"x","")</f>
        <v/>
      </c>
      <c r="AC2660" s="79" t="str">
        <f>IF(AND(OR(LEFT(TH!N2660,2)="15",LEFT(TH!O2660,2)="15"),TK!$E$7=TH!F2660),"x","")</f>
        <v/>
      </c>
      <c r="AD2660" s="79" t="str">
        <f>IF(AND(N2660="1521",MONTH(C2660)='BK-NL'!$M$11),"x","")</f>
        <v/>
      </c>
    </row>
    <row r="2661" spans="1:30" ht="16.5" customHeight="1">
      <c r="A2661" s="318" t="str">
        <f>IF(B2661&lt;&gt;"",IF(AND(B2661='IN-TC'!$S$4,OR(TH!N2661="1111",TH!O2661="1111")),TH!D2661,""),"")</f>
        <v/>
      </c>
      <c r="B2661" s="60" t="str">
        <f t="shared" si="250"/>
        <v/>
      </c>
      <c r="C2661" s="301"/>
      <c r="D2661" s="301"/>
      <c r="E2661" s="301"/>
      <c r="F2661" s="1162"/>
      <c r="G2661" s="968"/>
      <c r="H2661" s="303"/>
      <c r="I2661" s="385"/>
      <c r="J2661" s="969"/>
      <c r="K2661" s="385"/>
      <c r="L2661" s="392"/>
      <c r="M2661" s="970"/>
      <c r="N2661" s="304"/>
      <c r="O2661" s="304"/>
      <c r="P2661" s="79" t="str">
        <f>IF(AND('331-CT'!$E$7=TH!H2661,OR(N2661="331",O2661="331")),"x","")</f>
        <v/>
      </c>
      <c r="Q2661" s="79" t="str">
        <f>IF(AND(B2661='111'!$L$11,OR($N2661=$Q$7,$O2661=$Q$7)),"x","")</f>
        <v/>
      </c>
      <c r="R2661" s="79" t="str">
        <f>IF(AND($N2661=$Q$7,$B2661&lt;'111'!$L$11),"x","")</f>
        <v/>
      </c>
      <c r="S2661" s="79" t="str">
        <f>IF(AND($O2661=$Q$7,$B2661&lt;'111'!$L$11),"x","")</f>
        <v/>
      </c>
      <c r="T2661" s="79" t="str">
        <f>IF(ISERROR(FIND('112'!$M$9,G2661,1)),"",IF((AND(FIND('112'!$M$9,G2661,1)&gt;=1,B2661='112'!$K$9,OR($N2661='112'!$I$6,$O2661='112'!$I$6))),"x",""))</f>
        <v/>
      </c>
      <c r="U2661" s="79" t="str">
        <f>IF(ISERROR(FIND('112'!$M$9,G2661,1)),"",IF((AND(LEFT(G2661,2)=LEFT('112'!$M$9,2),B2661&lt;'112'!$K$9,$N2661='112'!$I$6)),"x",""))</f>
        <v/>
      </c>
      <c r="V2661" s="79" t="str">
        <f>IF(ISERROR(FIND('112'!$M$9,G2661,1)),"",IF((AND(RIGHT(G2661,2)=RIGHT('112'!$M$9,2),B2661&lt;'112'!$K$9,$O2661='112'!$I$6)),"x",""))</f>
        <v/>
      </c>
      <c r="W2661" s="79" t="str">
        <f>IF(AND('341-CT'!$H$9=H2661,OR(LEFT(N2661,3)=$W$7,LEFT(O2661,3)=$W$7)),"x","")</f>
        <v/>
      </c>
      <c r="X2661" s="79" t="str">
        <f>IF(OR(TH!N2661=TH!$X$7,O2661=TH!$X$7),"x","")</f>
        <v/>
      </c>
      <c r="Y2661" s="79" t="str">
        <f>IF(AND(OR(N2661="131",O2661="131"),H2661='131-CT'!$H$9),"x","")</f>
        <v/>
      </c>
      <c r="Z2661" s="79"/>
      <c r="AA2661" s="79" t="str">
        <f>IF(AND(MONTH(E2661)='IN-NX'!$J$5,'IN-NX'!$D$7=D2661),"x","")</f>
        <v/>
      </c>
      <c r="AB2661" s="79" t="str">
        <f>IF(AND(OR(LEFT(TH!N2661,2)="15",LEFT(TH!O2661,2)="15"),LEFT(TH!O2661,3)&lt;&gt;"111",'152-CT'!$J$8=TH!F2661),"x","")</f>
        <v/>
      </c>
      <c r="AC2661" s="79" t="str">
        <f>IF(AND(OR(LEFT(TH!N2661,2)="15",LEFT(TH!O2661,2)="15"),TK!$E$7=TH!F2661),"x","")</f>
        <v/>
      </c>
      <c r="AD2661" s="79" t="str">
        <f>IF(AND(N2661="1521",MONTH(C2661)='BK-NL'!$M$11),"x","")</f>
        <v/>
      </c>
    </row>
    <row r="2662" spans="1:30" ht="16.5" customHeight="1">
      <c r="A2662" s="318" t="str">
        <f>IF(B2662&lt;&gt;"",IF(AND(B2662='IN-TC'!$S$4,OR(TH!N2662="1111",TH!O2662="1111")),TH!D2662,""),"")</f>
        <v/>
      </c>
      <c r="B2662" s="60" t="str">
        <f t="shared" si="250"/>
        <v/>
      </c>
      <c r="C2662" s="301"/>
      <c r="D2662" s="301"/>
      <c r="E2662" s="301"/>
      <c r="F2662" s="1162"/>
      <c r="G2662" s="968"/>
      <c r="H2662" s="303"/>
      <c r="I2662" s="385"/>
      <c r="J2662" s="969"/>
      <c r="K2662" s="385"/>
      <c r="L2662" s="392"/>
      <c r="M2662" s="970"/>
      <c r="N2662" s="304"/>
      <c r="O2662" s="304"/>
      <c r="P2662" s="79" t="str">
        <f>IF(AND('331-CT'!$E$7=TH!H2662,OR(N2662="331",O2662="331")),"x","")</f>
        <v/>
      </c>
      <c r="Q2662" s="79" t="str">
        <f>IF(AND(B2662='111'!$L$11,OR($N2662=$Q$7,$O2662=$Q$7)),"x","")</f>
        <v/>
      </c>
      <c r="R2662" s="79" t="str">
        <f>IF(AND($N2662=$Q$7,$B2662&lt;'111'!$L$11),"x","")</f>
        <v/>
      </c>
      <c r="S2662" s="79" t="str">
        <f>IF(AND($O2662=$Q$7,$B2662&lt;'111'!$L$11),"x","")</f>
        <v/>
      </c>
      <c r="T2662" s="79" t="str">
        <f>IF(ISERROR(FIND('112'!$M$9,G2662,1)),"",IF((AND(FIND('112'!$M$9,G2662,1)&gt;=1,B2662='112'!$K$9,OR($N2662='112'!$I$6,$O2662='112'!$I$6))),"x",""))</f>
        <v/>
      </c>
      <c r="U2662" s="79" t="str">
        <f>IF(ISERROR(FIND('112'!$M$9,G2662,1)),"",IF((AND(LEFT(G2662,2)=LEFT('112'!$M$9,2),B2662&lt;'112'!$K$9,$N2662='112'!$I$6)),"x",""))</f>
        <v/>
      </c>
      <c r="V2662" s="79" t="str">
        <f>IF(ISERROR(FIND('112'!$M$9,G2662,1)),"",IF((AND(RIGHT(G2662,2)=RIGHT('112'!$M$9,2),B2662&lt;'112'!$K$9,$O2662='112'!$I$6)),"x",""))</f>
        <v/>
      </c>
      <c r="W2662" s="79" t="str">
        <f>IF(AND('341-CT'!$H$9=H2662,OR(LEFT(N2662,3)=$W$7,LEFT(O2662,3)=$W$7)),"x","")</f>
        <v/>
      </c>
      <c r="X2662" s="79" t="str">
        <f>IF(OR(TH!N2662=TH!$X$7,O2662=TH!$X$7),"x","")</f>
        <v/>
      </c>
      <c r="Y2662" s="79" t="str">
        <f>IF(AND(OR(N2662="131",O2662="131"),H2662='131-CT'!$H$9),"x","")</f>
        <v/>
      </c>
      <c r="Z2662" s="79"/>
      <c r="AA2662" s="79" t="str">
        <f>IF(AND(MONTH(E2662)='IN-NX'!$J$5,'IN-NX'!$D$7=D2662),"x","")</f>
        <v/>
      </c>
      <c r="AB2662" s="79" t="str">
        <f>IF(AND(OR(LEFT(TH!N2662,2)="15",LEFT(TH!O2662,2)="15"),LEFT(TH!O2662,3)&lt;&gt;"111",'152-CT'!$J$8=TH!F2662),"x","")</f>
        <v/>
      </c>
      <c r="AC2662" s="79" t="str">
        <f>IF(AND(OR(LEFT(TH!N2662,2)="15",LEFT(TH!O2662,2)="15"),TK!$E$7=TH!F2662),"x","")</f>
        <v/>
      </c>
      <c r="AD2662" s="79" t="str">
        <f>IF(AND(N2662="1521",MONTH(C2662)='BK-NL'!$M$11),"x","")</f>
        <v/>
      </c>
    </row>
    <row r="2663" spans="1:30" ht="16.5" customHeight="1">
      <c r="A2663" s="318" t="str">
        <f>IF(B2663&lt;&gt;"",IF(AND(B2663='IN-TC'!$S$4,OR(TH!N2663="1111",TH!O2663="1111")),TH!D2663,""),"")</f>
        <v/>
      </c>
      <c r="B2663" s="60" t="str">
        <f t="shared" si="250"/>
        <v/>
      </c>
      <c r="C2663" s="301"/>
      <c r="D2663" s="301"/>
      <c r="E2663" s="301"/>
      <c r="F2663" s="1162"/>
      <c r="G2663" s="968"/>
      <c r="H2663" s="303"/>
      <c r="I2663" s="385"/>
      <c r="J2663" s="969"/>
      <c r="K2663" s="385"/>
      <c r="L2663" s="392"/>
      <c r="M2663" s="970"/>
      <c r="N2663" s="304"/>
      <c r="O2663" s="304"/>
      <c r="P2663" s="79" t="str">
        <f>IF(AND('331-CT'!$E$7=TH!H2663,OR(N2663="331",O2663="331")),"x","")</f>
        <v/>
      </c>
      <c r="Q2663" s="79" t="str">
        <f>IF(AND(B2663='111'!$L$11,OR($N2663=$Q$7,$O2663=$Q$7)),"x","")</f>
        <v/>
      </c>
      <c r="R2663" s="79" t="str">
        <f>IF(AND($N2663=$Q$7,$B2663&lt;'111'!$L$11),"x","")</f>
        <v/>
      </c>
      <c r="S2663" s="79" t="str">
        <f>IF(AND($O2663=$Q$7,$B2663&lt;'111'!$L$11),"x","")</f>
        <v/>
      </c>
      <c r="T2663" s="79" t="str">
        <f>IF(ISERROR(FIND('112'!$M$9,G2663,1)),"",IF((AND(FIND('112'!$M$9,G2663,1)&gt;=1,B2663='112'!$K$9,OR($N2663='112'!$I$6,$O2663='112'!$I$6))),"x",""))</f>
        <v/>
      </c>
      <c r="U2663" s="79" t="str">
        <f>IF(ISERROR(FIND('112'!$M$9,G2663,1)),"",IF((AND(LEFT(G2663,2)=LEFT('112'!$M$9,2),B2663&lt;'112'!$K$9,$N2663='112'!$I$6)),"x",""))</f>
        <v/>
      </c>
      <c r="V2663" s="79" t="str">
        <f>IF(ISERROR(FIND('112'!$M$9,G2663,1)),"",IF((AND(RIGHT(G2663,2)=RIGHT('112'!$M$9,2),B2663&lt;'112'!$K$9,$O2663='112'!$I$6)),"x",""))</f>
        <v/>
      </c>
      <c r="W2663" s="79" t="str">
        <f>IF(AND('341-CT'!$H$9=H2663,OR(LEFT(N2663,3)=$W$7,LEFT(O2663,3)=$W$7)),"x","")</f>
        <v/>
      </c>
      <c r="X2663" s="79" t="str">
        <f>IF(OR(TH!N2663=TH!$X$7,O2663=TH!$X$7),"x","")</f>
        <v/>
      </c>
      <c r="Y2663" s="79" t="str">
        <f>IF(AND(OR(N2663="131",O2663="131"),H2663='131-CT'!$H$9),"x","")</f>
        <v/>
      </c>
      <c r="Z2663" s="79"/>
      <c r="AA2663" s="79" t="str">
        <f>IF(AND(MONTH(E2663)='IN-NX'!$J$5,'IN-NX'!$D$7=D2663),"x","")</f>
        <v/>
      </c>
      <c r="AB2663" s="79" t="str">
        <f>IF(AND(OR(LEFT(TH!N2663,2)="15",LEFT(TH!O2663,2)="15"),LEFT(TH!O2663,3)&lt;&gt;"111",'152-CT'!$J$8=TH!F2663),"x","")</f>
        <v/>
      </c>
      <c r="AC2663" s="79" t="str">
        <f>IF(AND(OR(LEFT(TH!N2663,2)="15",LEFT(TH!O2663,2)="15"),TK!$E$7=TH!F2663),"x","")</f>
        <v/>
      </c>
      <c r="AD2663" s="79" t="str">
        <f>IF(AND(N2663="1521",MONTH(C2663)='BK-NL'!$M$11),"x","")</f>
        <v/>
      </c>
    </row>
    <row r="2664" spans="1:30" ht="16.5" customHeight="1">
      <c r="A2664" s="318" t="str">
        <f>IF(B2664&lt;&gt;"",IF(AND(B2664='IN-TC'!$S$4,OR(TH!N2664="1111",TH!O2664="1111")),TH!D2664,""),"")</f>
        <v/>
      </c>
      <c r="B2664" s="60" t="str">
        <f t="shared" ref="B2664:B2665" si="275">IF(C2664&lt;&gt;"",MONTH(C2664),"")</f>
        <v/>
      </c>
      <c r="C2664" s="301"/>
      <c r="D2664" s="301"/>
      <c r="E2664" s="301"/>
      <c r="F2664" s="1162"/>
      <c r="G2664" s="968"/>
      <c r="H2664" s="303"/>
      <c r="I2664" s="385"/>
      <c r="J2664" s="969"/>
      <c r="K2664" s="385"/>
      <c r="L2664" s="392"/>
      <c r="M2664" s="970"/>
      <c r="N2664" s="304"/>
      <c r="O2664" s="304"/>
      <c r="P2664" s="79" t="str">
        <f>IF(AND('331-CT'!$E$7=TH!H2664,OR(N2664="331",O2664="331")),"x","")</f>
        <v/>
      </c>
      <c r="Q2664" s="79" t="str">
        <f>IF(AND(B2664='111'!$L$11,OR($N2664=$Q$7,$O2664=$Q$7)),"x","")</f>
        <v/>
      </c>
      <c r="R2664" s="79" t="str">
        <f>IF(AND($N2664=$Q$7,$B2664&lt;'111'!$L$11),"x","")</f>
        <v/>
      </c>
      <c r="S2664" s="79" t="str">
        <f>IF(AND($O2664=$Q$7,$B2664&lt;'111'!$L$11),"x","")</f>
        <v/>
      </c>
      <c r="T2664" s="79" t="str">
        <f>IF(ISERROR(FIND('112'!$M$9,G2664,1)),"",IF((AND(FIND('112'!$M$9,G2664,1)&gt;=1,B2664='112'!$K$9,OR($N2664='112'!$I$6,$O2664='112'!$I$6))),"x",""))</f>
        <v/>
      </c>
      <c r="U2664" s="79" t="str">
        <f>IF(ISERROR(FIND('112'!$M$9,G2664,1)),"",IF((AND(LEFT(G2664,2)=LEFT('112'!$M$9,2),B2664&lt;'112'!$K$9,$N2664='112'!$I$6)),"x",""))</f>
        <v/>
      </c>
      <c r="V2664" s="79" t="str">
        <f>IF(ISERROR(FIND('112'!$M$9,G2664,1)),"",IF((AND(RIGHT(G2664,2)=RIGHT('112'!$M$9,2),B2664&lt;'112'!$K$9,$O2664='112'!$I$6)),"x",""))</f>
        <v/>
      </c>
      <c r="W2664" s="79" t="str">
        <f>IF(AND('341-CT'!$H$9=H2664,OR(LEFT(N2664,3)=$W$7,LEFT(O2664,3)=$W$7)),"x","")</f>
        <v/>
      </c>
      <c r="X2664" s="79" t="str">
        <f>IF(OR(TH!N2664=TH!$X$7,O2664=TH!$X$7),"x","")</f>
        <v/>
      </c>
      <c r="Y2664" s="79" t="str">
        <f>IF(AND(OR(N2664="131",O2664="131"),H2664='131-CT'!$H$9),"x","")</f>
        <v/>
      </c>
      <c r="Z2664" s="79"/>
      <c r="AA2664" s="79" t="str">
        <f>IF(AND(MONTH(E2664)='IN-NX'!$J$5,'IN-NX'!$D$7=D2664),"x","")</f>
        <v/>
      </c>
      <c r="AB2664" s="79" t="str">
        <f>IF(AND(OR(LEFT(TH!N2664,2)="15",LEFT(TH!O2664,2)="15"),LEFT(TH!O2664,3)&lt;&gt;"111",'152-CT'!$J$8=TH!F2664),"x","")</f>
        <v/>
      </c>
      <c r="AC2664" s="79" t="str">
        <f>IF(AND(OR(LEFT(TH!N2664,2)="15",LEFT(TH!O2664,2)="15"),TK!$E$7=TH!F2664),"x","")</f>
        <v/>
      </c>
      <c r="AD2664" s="79" t="str">
        <f>IF(AND(N2664="1521",MONTH(C2664)='BK-NL'!$M$11),"x","")</f>
        <v/>
      </c>
    </row>
    <row r="2665" spans="1:30" ht="16.5" customHeight="1">
      <c r="A2665" s="318" t="str">
        <f>IF(B2665&lt;&gt;"",IF(AND(B2665='IN-TC'!$S$4,OR(TH!N2665="1111",TH!O2665="1111")),TH!D2665,""),"")</f>
        <v/>
      </c>
      <c r="B2665" s="60" t="str">
        <f t="shared" si="275"/>
        <v/>
      </c>
      <c r="C2665" s="301"/>
      <c r="D2665" s="301"/>
      <c r="E2665" s="301"/>
      <c r="F2665" s="1162"/>
      <c r="G2665" s="968"/>
      <c r="H2665" s="303"/>
      <c r="I2665" s="385"/>
      <c r="J2665" s="969"/>
      <c r="K2665" s="385"/>
      <c r="L2665" s="392"/>
      <c r="M2665" s="970"/>
      <c r="N2665" s="304"/>
      <c r="O2665" s="304"/>
      <c r="P2665" s="79" t="str">
        <f>IF(AND('331-CT'!$E$7=TH!H2665,OR(N2665="331",O2665="331")),"x","")</f>
        <v/>
      </c>
      <c r="Q2665" s="79" t="str">
        <f>IF(AND(B2665='111'!$L$11,OR($N2665=$Q$7,$O2665=$Q$7)),"x","")</f>
        <v/>
      </c>
      <c r="R2665" s="79" t="str">
        <f>IF(AND($N2665=$Q$7,$B2665&lt;'111'!$L$11),"x","")</f>
        <v/>
      </c>
      <c r="S2665" s="79" t="str">
        <f>IF(AND($O2665=$Q$7,$B2665&lt;'111'!$L$11),"x","")</f>
        <v/>
      </c>
      <c r="T2665" s="79" t="str">
        <f>IF(ISERROR(FIND('112'!$M$9,G2665,1)),"",IF((AND(FIND('112'!$M$9,G2665,1)&gt;=1,B2665='112'!$K$9,OR($N2665='112'!$I$6,$O2665='112'!$I$6))),"x",""))</f>
        <v/>
      </c>
      <c r="U2665" s="79" t="str">
        <f>IF(ISERROR(FIND('112'!$M$9,G2665,1)),"",IF((AND(LEFT(G2665,2)=LEFT('112'!$M$9,2),B2665&lt;'112'!$K$9,$N2665='112'!$I$6)),"x",""))</f>
        <v/>
      </c>
      <c r="V2665" s="79" t="str">
        <f>IF(ISERROR(FIND('112'!$M$9,G2665,1)),"",IF((AND(RIGHT(G2665,2)=RIGHT('112'!$M$9,2),B2665&lt;'112'!$K$9,$O2665='112'!$I$6)),"x",""))</f>
        <v/>
      </c>
      <c r="W2665" s="79" t="str">
        <f>IF(AND('341-CT'!$H$9=H2665,OR(LEFT(N2665,3)=$W$7,LEFT(O2665,3)=$W$7)),"x","")</f>
        <v/>
      </c>
      <c r="X2665" s="79" t="str">
        <f>IF(OR(TH!N2665=TH!$X$7,O2665=TH!$X$7),"x","")</f>
        <v/>
      </c>
      <c r="Y2665" s="79" t="str">
        <f>IF(AND(OR(N2665="131",O2665="131"),H2665='131-CT'!$H$9),"x","")</f>
        <v/>
      </c>
      <c r="Z2665" s="79"/>
      <c r="AA2665" s="79" t="str">
        <f>IF(AND(MONTH(E2665)='IN-NX'!$J$5,'IN-NX'!$D$7=D2665),"x","")</f>
        <v/>
      </c>
      <c r="AB2665" s="79" t="str">
        <f>IF(AND(OR(LEFT(TH!N2665,2)="15",LEFT(TH!O2665,2)="15"),LEFT(TH!O2665,3)&lt;&gt;"111",'152-CT'!$J$8=TH!F2665),"x","")</f>
        <v/>
      </c>
      <c r="AC2665" s="79" t="str">
        <f>IF(AND(OR(LEFT(TH!N2665,2)="15",LEFT(TH!O2665,2)="15"),TK!$E$7=TH!F2665),"x","")</f>
        <v/>
      </c>
      <c r="AD2665" s="79" t="str">
        <f>IF(AND(N2665="1521",MONTH(C2665)='BK-NL'!$M$11),"x","")</f>
        <v/>
      </c>
    </row>
    <row r="2666" spans="1:30" ht="15" customHeight="1">
      <c r="A2666" s="318" t="str">
        <f>IF(B2666&lt;&gt;"",IF(AND(B2666='IN-TC'!$S$4,OR(TH!N2666="1111",TH!O2666="1111")),TH!D2666,""),"")</f>
        <v/>
      </c>
      <c r="B2666" s="60" t="str">
        <f t="shared" si="250"/>
        <v/>
      </c>
      <c r="C2666" s="301"/>
      <c r="D2666" s="301"/>
      <c r="E2666" s="301"/>
      <c r="F2666" s="1162"/>
      <c r="G2666" s="968"/>
      <c r="H2666" s="303"/>
      <c r="I2666" s="385"/>
      <c r="J2666" s="969"/>
      <c r="K2666" s="385"/>
      <c r="L2666" s="392"/>
      <c r="M2666" s="970"/>
      <c r="N2666" s="304"/>
      <c r="O2666" s="304"/>
      <c r="P2666" s="79" t="str">
        <f>IF(AND('331-CT'!$E$7=TH!H2666,OR(N2666="331",O2666="331")),"x","")</f>
        <v/>
      </c>
      <c r="Q2666" s="79" t="str">
        <f>IF(AND(B2666='111'!$L$11,OR($N2666=$Q$7,$O2666=$Q$7)),"x","")</f>
        <v/>
      </c>
      <c r="R2666" s="79" t="str">
        <f>IF(AND($N2666=$Q$7,$B2666&lt;'111'!$L$11),"x","")</f>
        <v/>
      </c>
      <c r="S2666" s="79" t="str">
        <f>IF(AND($O2666=$Q$7,$B2666&lt;'111'!$L$11),"x","")</f>
        <v/>
      </c>
      <c r="T2666" s="79" t="str">
        <f>IF(ISERROR(FIND('112'!$M$9,G2666,1)),"",IF((AND(FIND('112'!$M$9,G2666,1)&gt;=1,B2666='112'!$K$9,OR($N2666='112'!$I$6,$O2666='112'!$I$6))),"x",""))</f>
        <v/>
      </c>
      <c r="U2666" s="79" t="str">
        <f>IF(ISERROR(FIND('112'!$M$9,G2666,1)),"",IF((AND(LEFT(G2666,2)=LEFT('112'!$M$9,2),B2666&lt;'112'!$K$9,$N2666='112'!$I$6)),"x",""))</f>
        <v/>
      </c>
      <c r="V2666" s="79" t="str">
        <f>IF(ISERROR(FIND('112'!$M$9,G2666,1)),"",IF((AND(RIGHT(G2666,2)=RIGHT('112'!$M$9,2),B2666&lt;'112'!$K$9,$O2666='112'!$I$6)),"x",""))</f>
        <v/>
      </c>
      <c r="W2666" s="79" t="str">
        <f>IF(AND('341-CT'!$H$9=H2666,OR(LEFT(N2666,3)=$W$7,LEFT(O2666,3)=$W$7)),"x","")</f>
        <v/>
      </c>
      <c r="X2666" s="79" t="str">
        <f>IF(OR(TH!N2666=TH!$X$7,O2666=TH!$X$7),"x","")</f>
        <v/>
      </c>
      <c r="Y2666" s="79" t="str">
        <f>IF(AND(OR(N2666="131",O2666="131"),H2666='131-CT'!$H$9),"x","")</f>
        <v/>
      </c>
      <c r="Z2666" s="79"/>
      <c r="AA2666" s="79" t="str">
        <f>IF(AND(MONTH(E2666)='IN-NX'!$J$5,'IN-NX'!$D$7=D2666),"x","")</f>
        <v/>
      </c>
      <c r="AB2666" s="79" t="str">
        <f>IF(AND(OR(LEFT(TH!N2666,2)="15",LEFT(TH!O2666,2)="15"),LEFT(TH!O2666,3)&lt;&gt;"111",'152-CT'!$J$8=TH!F2666),"x","")</f>
        <v/>
      </c>
      <c r="AC2666" s="79" t="str">
        <f>IF(AND(OR(LEFT(TH!N2666,2)="15",LEFT(TH!O2666,2)="15"),TK!$E$7=TH!F2666),"x","")</f>
        <v/>
      </c>
      <c r="AD2666" s="79" t="str">
        <f>IF(AND(N2666="1521",MONTH(C2666)='BK-NL'!$M$11),"x","")</f>
        <v/>
      </c>
    </row>
    <row r="2667" spans="1:30" ht="16.5" customHeight="1">
      <c r="A2667" s="318" t="str">
        <f>IF(B2667&lt;&gt;"",IF(AND(B2667='IN-TC'!$S$4,OR(TH!N2667="1111",TH!O2667="1111")),TH!D2667,""),"")</f>
        <v/>
      </c>
      <c r="B2667" s="60" t="str">
        <f t="shared" ref="B2667" si="276">IF(C2667&lt;&gt;"",MONTH(C2667),"")</f>
        <v/>
      </c>
      <c r="C2667" s="301"/>
      <c r="D2667" s="301"/>
      <c r="E2667" s="301"/>
      <c r="F2667" s="1162"/>
      <c r="G2667" s="968"/>
      <c r="H2667" s="303"/>
      <c r="I2667" s="385"/>
      <c r="J2667" s="969"/>
      <c r="K2667" s="385"/>
      <c r="L2667" s="392"/>
      <c r="M2667" s="970"/>
      <c r="N2667" s="304"/>
      <c r="O2667" s="304"/>
      <c r="P2667" s="79" t="str">
        <f>IF(AND('331-CT'!$E$7=TH!H2667,OR(N2667="331",O2667="331")),"x","")</f>
        <v/>
      </c>
      <c r="Q2667" s="79" t="str">
        <f>IF(AND(B2667='111'!$L$11,OR($N2667=$Q$7,$O2667=$Q$7)),"x","")</f>
        <v/>
      </c>
      <c r="R2667" s="79" t="str">
        <f>IF(AND($N2667=$Q$7,$B2667&lt;'111'!$L$11),"x","")</f>
        <v/>
      </c>
      <c r="S2667" s="79" t="str">
        <f>IF(AND($O2667=$Q$7,$B2667&lt;'111'!$L$11),"x","")</f>
        <v/>
      </c>
      <c r="T2667" s="79" t="str">
        <f>IF(ISERROR(FIND('112'!$M$9,G2667,1)),"",IF((AND(FIND('112'!$M$9,G2667,1)&gt;=1,B2667='112'!$K$9,OR($N2667='112'!$I$6,$O2667='112'!$I$6))),"x",""))</f>
        <v/>
      </c>
      <c r="U2667" s="79" t="str">
        <f>IF(ISERROR(FIND('112'!$M$9,G2667,1)),"",IF((AND(LEFT(G2667,2)=LEFT('112'!$M$9,2),B2667&lt;'112'!$K$9,$N2667='112'!$I$6)),"x",""))</f>
        <v/>
      </c>
      <c r="V2667" s="79" t="str">
        <f>IF(ISERROR(FIND('112'!$M$9,G2667,1)),"",IF((AND(RIGHT(G2667,2)=RIGHT('112'!$M$9,2),B2667&lt;'112'!$K$9,$O2667='112'!$I$6)),"x",""))</f>
        <v/>
      </c>
      <c r="W2667" s="79" t="str">
        <f>IF(AND('341-CT'!$H$9=H2667,OR(LEFT(N2667,3)=$W$7,LEFT(O2667,3)=$W$7)),"x","")</f>
        <v/>
      </c>
      <c r="X2667" s="79" t="str">
        <f>IF(OR(TH!N2667=TH!$X$7,O2667=TH!$X$7),"x","")</f>
        <v/>
      </c>
      <c r="Y2667" s="79" t="str">
        <f>IF(AND(OR(N2667="131",O2667="131"),H2667='131-CT'!$H$9),"x","")</f>
        <v/>
      </c>
      <c r="Z2667" s="79"/>
      <c r="AA2667" s="79" t="str">
        <f>IF(AND(MONTH(E2667)='IN-NX'!$J$5,'IN-NX'!$D$7=D2667),"x","")</f>
        <v/>
      </c>
      <c r="AB2667" s="79" t="str">
        <f>IF(AND(OR(LEFT(TH!N2667,2)="15",LEFT(TH!O2667,2)="15"),LEFT(TH!O2667,3)&lt;&gt;"111",'152-CT'!$J$8=TH!F2667),"x","")</f>
        <v/>
      </c>
      <c r="AC2667" s="79" t="str">
        <f>IF(AND(OR(LEFT(TH!N2667,2)="15",LEFT(TH!O2667,2)="15"),TK!$E$7=TH!F2667),"x","")</f>
        <v/>
      </c>
      <c r="AD2667" s="79" t="str">
        <f>IF(AND(N2667="1521",MONTH(C2667)='BK-NL'!$M$11),"x","")</f>
        <v/>
      </c>
    </row>
    <row r="2668" spans="1:30" ht="16.5" customHeight="1">
      <c r="A2668" s="318" t="str">
        <f>IF(B2668&lt;&gt;"",IF(AND(B2668='IN-TC'!$S$4,OR(TH!N2668="1111",TH!O2668="1111")),TH!D2668,""),"")</f>
        <v/>
      </c>
      <c r="B2668" s="60" t="str">
        <f t="shared" ref="B2668:B2669" si="277">IF(C2668&lt;&gt;"",MONTH(C2668),"")</f>
        <v/>
      </c>
      <c r="C2668" s="301"/>
      <c r="D2668" s="301"/>
      <c r="E2668" s="301"/>
      <c r="F2668" s="1162"/>
      <c r="G2668" s="968"/>
      <c r="H2668" s="303"/>
      <c r="I2668" s="385"/>
      <c r="J2668" s="969"/>
      <c r="K2668" s="385"/>
      <c r="L2668" s="392"/>
      <c r="M2668" s="970"/>
      <c r="N2668" s="304"/>
      <c r="O2668" s="304"/>
      <c r="P2668" s="79" t="str">
        <f>IF(AND('331-CT'!$E$7=TH!H2668,OR(N2668="331",O2668="331")),"x","")</f>
        <v/>
      </c>
      <c r="Q2668" s="79" t="str">
        <f>IF(AND(B2668='111'!$L$11,OR($N2668=$Q$7,$O2668=$Q$7)),"x","")</f>
        <v/>
      </c>
      <c r="R2668" s="79" t="str">
        <f>IF(AND($N2668=$Q$7,$B2668&lt;'111'!$L$11),"x","")</f>
        <v/>
      </c>
      <c r="S2668" s="79" t="str">
        <f>IF(AND($O2668=$Q$7,$B2668&lt;'111'!$L$11),"x","")</f>
        <v/>
      </c>
      <c r="T2668" s="79" t="str">
        <f>IF(ISERROR(FIND('112'!$M$9,G2668,1)),"",IF((AND(FIND('112'!$M$9,G2668,1)&gt;=1,B2668='112'!$K$9,OR($N2668='112'!$I$6,$O2668='112'!$I$6))),"x",""))</f>
        <v/>
      </c>
      <c r="U2668" s="79" t="str">
        <f>IF(ISERROR(FIND('112'!$M$9,G2668,1)),"",IF((AND(LEFT(G2668,2)=LEFT('112'!$M$9,2),B2668&lt;'112'!$K$9,$N2668='112'!$I$6)),"x",""))</f>
        <v/>
      </c>
      <c r="V2668" s="79" t="str">
        <f>IF(ISERROR(FIND('112'!$M$9,G2668,1)),"",IF((AND(RIGHT(G2668,2)=RIGHT('112'!$M$9,2),B2668&lt;'112'!$K$9,$O2668='112'!$I$6)),"x",""))</f>
        <v/>
      </c>
      <c r="W2668" s="79" t="str">
        <f>IF(AND('341-CT'!$H$9=H2668,OR(LEFT(N2668,3)=$W$7,LEFT(O2668,3)=$W$7)),"x","")</f>
        <v/>
      </c>
      <c r="X2668" s="79" t="str">
        <f>IF(OR(TH!N2668=TH!$X$7,O2668=TH!$X$7),"x","")</f>
        <v/>
      </c>
      <c r="Y2668" s="79" t="str">
        <f>IF(AND(OR(N2668="131",O2668="131"),H2668='131-CT'!$H$9),"x","")</f>
        <v/>
      </c>
      <c r="Z2668" s="79"/>
      <c r="AA2668" s="79" t="str">
        <f>IF(AND(MONTH(E2668)='IN-NX'!$J$5,'IN-NX'!$D$7=D2668),"x","")</f>
        <v/>
      </c>
      <c r="AB2668" s="79" t="str">
        <f>IF(AND(OR(LEFT(TH!N2668,2)="15",LEFT(TH!O2668,2)="15"),LEFT(TH!O2668,3)&lt;&gt;"111",'152-CT'!$J$8=TH!F2668),"x","")</f>
        <v/>
      </c>
      <c r="AC2668" s="79" t="str">
        <f>IF(AND(OR(LEFT(TH!N2668,2)="15",LEFT(TH!O2668,2)="15"),TK!$E$7=TH!F2668),"x","")</f>
        <v/>
      </c>
      <c r="AD2668" s="79" t="str">
        <f>IF(AND(N2668="1521",MONTH(C2668)='BK-NL'!$M$11),"x","")</f>
        <v/>
      </c>
    </row>
    <row r="2669" spans="1:30" ht="16.5" customHeight="1">
      <c r="A2669" s="318" t="str">
        <f>IF(B2669&lt;&gt;"",IF(AND(B2669='IN-TC'!$S$4,OR(TH!N2669="1111",TH!O2669="1111")),TH!D2669,""),"")</f>
        <v/>
      </c>
      <c r="B2669" s="60" t="str">
        <f t="shared" si="277"/>
        <v/>
      </c>
      <c r="C2669" s="301"/>
      <c r="D2669" s="301"/>
      <c r="E2669" s="301"/>
      <c r="F2669" s="1162"/>
      <c r="G2669" s="968"/>
      <c r="H2669" s="303"/>
      <c r="I2669" s="385"/>
      <c r="J2669" s="969"/>
      <c r="K2669" s="385"/>
      <c r="L2669" s="392"/>
      <c r="M2669" s="970"/>
      <c r="N2669" s="304"/>
      <c r="O2669" s="304"/>
      <c r="P2669" s="79" t="str">
        <f>IF(AND('331-CT'!$E$7=TH!H2669,OR(N2669="331",O2669="331")),"x","")</f>
        <v/>
      </c>
      <c r="Q2669" s="79" t="str">
        <f>IF(AND(B2669='111'!$L$11,OR($N2669=$Q$7,$O2669=$Q$7)),"x","")</f>
        <v/>
      </c>
      <c r="R2669" s="79" t="str">
        <f>IF(AND($N2669=$Q$7,$B2669&lt;'111'!$L$11),"x","")</f>
        <v/>
      </c>
      <c r="S2669" s="79" t="str">
        <f>IF(AND($O2669=$Q$7,$B2669&lt;'111'!$L$11),"x","")</f>
        <v/>
      </c>
      <c r="T2669" s="79" t="str">
        <f>IF(ISERROR(FIND('112'!$M$9,G2669,1)),"",IF((AND(FIND('112'!$M$9,G2669,1)&gt;=1,B2669='112'!$K$9,OR($N2669='112'!$I$6,$O2669='112'!$I$6))),"x",""))</f>
        <v/>
      </c>
      <c r="U2669" s="79" t="str">
        <f>IF(ISERROR(FIND('112'!$M$9,G2669,1)),"",IF((AND(LEFT(G2669,2)=LEFT('112'!$M$9,2),B2669&lt;'112'!$K$9,$N2669='112'!$I$6)),"x",""))</f>
        <v/>
      </c>
      <c r="V2669" s="79" t="str">
        <f>IF(ISERROR(FIND('112'!$M$9,G2669,1)),"",IF((AND(RIGHT(G2669,2)=RIGHT('112'!$M$9,2),B2669&lt;'112'!$K$9,$O2669='112'!$I$6)),"x",""))</f>
        <v/>
      </c>
      <c r="W2669" s="79" t="str">
        <f>IF(AND('341-CT'!$H$9=H2669,OR(LEFT(N2669,3)=$W$7,LEFT(O2669,3)=$W$7)),"x","")</f>
        <v/>
      </c>
      <c r="X2669" s="79" t="str">
        <f>IF(OR(TH!N2669=TH!$X$7,O2669=TH!$X$7),"x","")</f>
        <v/>
      </c>
      <c r="Y2669" s="79" t="str">
        <f>IF(AND(OR(N2669="131",O2669="131"),H2669='131-CT'!$H$9),"x","")</f>
        <v/>
      </c>
      <c r="Z2669" s="79"/>
      <c r="AA2669" s="79" t="str">
        <f>IF(AND(MONTH(E2669)='IN-NX'!$J$5,'IN-NX'!$D$7=D2669),"x","")</f>
        <v/>
      </c>
      <c r="AB2669" s="79" t="str">
        <f>IF(AND(OR(LEFT(TH!N2669,2)="15",LEFT(TH!O2669,2)="15"),LEFT(TH!O2669,3)&lt;&gt;"111",'152-CT'!$J$8=TH!F2669),"x","")</f>
        <v/>
      </c>
      <c r="AC2669" s="79" t="str">
        <f>IF(AND(OR(LEFT(TH!N2669,2)="15",LEFT(TH!O2669,2)="15"),TK!$E$7=TH!F2669),"x","")</f>
        <v/>
      </c>
      <c r="AD2669" s="79" t="str">
        <f>IF(AND(N2669="1521",MONTH(C2669)='BK-NL'!$M$11),"x","")</f>
        <v/>
      </c>
    </row>
    <row r="2670" spans="1:30" ht="16.5" customHeight="1">
      <c r="A2670" s="318" t="str">
        <f>IF(B2670&lt;&gt;"",IF(AND(B2670='IN-TC'!$S$4,OR(TH!N2670="1111",TH!O2670="1111")),TH!D2670,""),"")</f>
        <v/>
      </c>
      <c r="B2670" s="60" t="str">
        <f t="shared" si="250"/>
        <v/>
      </c>
      <c r="C2670" s="301"/>
      <c r="D2670" s="301"/>
      <c r="E2670" s="301"/>
      <c r="F2670" s="1162"/>
      <c r="G2670" s="968"/>
      <c r="H2670" s="303"/>
      <c r="I2670" s="385"/>
      <c r="J2670" s="969"/>
      <c r="K2670" s="385"/>
      <c r="L2670" s="392"/>
      <c r="M2670" s="970"/>
      <c r="N2670" s="304"/>
      <c r="O2670" s="304"/>
      <c r="P2670" s="79" t="str">
        <f>IF(AND('331-CT'!$E$7=TH!H2670,OR(N2670="331",O2670="331")),"x","")</f>
        <v/>
      </c>
      <c r="Q2670" s="79" t="str">
        <f>IF(AND(B2670='111'!$L$11,OR($N2670=$Q$7,$O2670=$Q$7)),"x","")</f>
        <v/>
      </c>
      <c r="R2670" s="79" t="str">
        <f>IF(AND($N2670=$Q$7,$B2670&lt;'111'!$L$11),"x","")</f>
        <v/>
      </c>
      <c r="S2670" s="79" t="str">
        <f>IF(AND($O2670=$Q$7,$B2670&lt;'111'!$L$11),"x","")</f>
        <v/>
      </c>
      <c r="T2670" s="79" t="str">
        <f>IF(ISERROR(FIND('112'!$M$9,G2670,1)),"",IF((AND(FIND('112'!$M$9,G2670,1)&gt;=1,B2670='112'!$K$9,OR($N2670='112'!$I$6,$O2670='112'!$I$6))),"x",""))</f>
        <v/>
      </c>
      <c r="U2670" s="79" t="str">
        <f>IF(ISERROR(FIND('112'!$M$9,G2670,1)),"",IF((AND(LEFT(G2670,2)=LEFT('112'!$M$9,2),B2670&lt;'112'!$K$9,$N2670='112'!$I$6)),"x",""))</f>
        <v/>
      </c>
      <c r="V2670" s="79" t="str">
        <f>IF(ISERROR(FIND('112'!$M$9,G2670,1)),"",IF((AND(RIGHT(G2670,2)=RIGHT('112'!$M$9,2),B2670&lt;'112'!$K$9,$O2670='112'!$I$6)),"x",""))</f>
        <v/>
      </c>
      <c r="W2670" s="79" t="str">
        <f>IF(AND('341-CT'!$H$9=H2670,OR(LEFT(N2670,3)=$W$7,LEFT(O2670,3)=$W$7)),"x","")</f>
        <v/>
      </c>
      <c r="X2670" s="79" t="str">
        <f>IF(OR(TH!N2670=TH!$X$7,O2670=TH!$X$7),"x","")</f>
        <v/>
      </c>
      <c r="Y2670" s="79" t="str">
        <f>IF(AND(OR(N2670="131",O2670="131"),H2670='131-CT'!$H$9),"x","")</f>
        <v/>
      </c>
      <c r="Z2670" s="79"/>
      <c r="AA2670" s="79" t="str">
        <f>IF(AND(MONTH(E2670)='IN-NX'!$J$5,'IN-NX'!$D$7=D2670),"x","")</f>
        <v/>
      </c>
      <c r="AB2670" s="79" t="str">
        <f>IF(AND(OR(LEFT(TH!N2670,2)="15",LEFT(TH!O2670,2)="15"),LEFT(TH!O2670,3)&lt;&gt;"111",'152-CT'!$J$8=TH!F2670),"x","")</f>
        <v/>
      </c>
      <c r="AC2670" s="79" t="str">
        <f>IF(AND(OR(LEFT(TH!N2670,2)="15",LEFT(TH!O2670,2)="15"),TK!$E$7=TH!F2670),"x","")</f>
        <v/>
      </c>
      <c r="AD2670" s="79" t="str">
        <f>IF(AND(N2670="1521",MONTH(C2670)='BK-NL'!$M$11),"x","")</f>
        <v/>
      </c>
    </row>
    <row r="2671" spans="1:30" ht="16.5" customHeight="1">
      <c r="A2671" s="318" t="str">
        <f>IF(B2671&lt;&gt;"",IF(AND(B2671='IN-TC'!$S$4,OR(TH!N2671="1111",TH!O2671="1111")),TH!D2671,""),"")</f>
        <v/>
      </c>
      <c r="B2671" s="60" t="str">
        <f t="shared" ref="B2671:B2674" si="278">IF(C2671&lt;&gt;"",MONTH(C2671),"")</f>
        <v/>
      </c>
      <c r="C2671" s="301"/>
      <c r="D2671" s="301"/>
      <c r="E2671" s="301"/>
      <c r="F2671" s="1162"/>
      <c r="G2671" s="968"/>
      <c r="H2671" s="303"/>
      <c r="I2671" s="385"/>
      <c r="J2671" s="969"/>
      <c r="K2671" s="385"/>
      <c r="L2671" s="392"/>
      <c r="M2671" s="970"/>
      <c r="N2671" s="304"/>
      <c r="O2671" s="304"/>
      <c r="P2671" s="79" t="str">
        <f>IF(AND('331-CT'!$E$7=TH!H2671,OR(N2671="331",O2671="331")),"x","")</f>
        <v/>
      </c>
      <c r="Q2671" s="79" t="str">
        <f>IF(AND(B2671='111'!$L$11,OR($N2671=$Q$7,$O2671=$Q$7)),"x","")</f>
        <v/>
      </c>
      <c r="R2671" s="79" t="str">
        <f>IF(AND($N2671=$Q$7,$B2671&lt;'111'!$L$11),"x","")</f>
        <v/>
      </c>
      <c r="S2671" s="79" t="str">
        <f>IF(AND($O2671=$Q$7,$B2671&lt;'111'!$L$11),"x","")</f>
        <v/>
      </c>
      <c r="T2671" s="79" t="str">
        <f>IF(ISERROR(FIND('112'!$M$9,G2671,1)),"",IF((AND(FIND('112'!$M$9,G2671,1)&gt;=1,B2671='112'!$K$9,OR($N2671='112'!$I$6,$O2671='112'!$I$6))),"x",""))</f>
        <v/>
      </c>
      <c r="U2671" s="79" t="str">
        <f>IF(ISERROR(FIND('112'!$M$9,G2671,1)),"",IF((AND(LEFT(G2671,2)=LEFT('112'!$M$9,2),B2671&lt;'112'!$K$9,$N2671='112'!$I$6)),"x",""))</f>
        <v/>
      </c>
      <c r="V2671" s="79" t="str">
        <f>IF(ISERROR(FIND('112'!$M$9,G2671,1)),"",IF((AND(RIGHT(G2671,2)=RIGHT('112'!$M$9,2),B2671&lt;'112'!$K$9,$O2671='112'!$I$6)),"x",""))</f>
        <v/>
      </c>
      <c r="W2671" s="79" t="str">
        <f>IF(AND('341-CT'!$H$9=H2671,OR(LEFT(N2671,3)=$W$7,LEFT(O2671,3)=$W$7)),"x","")</f>
        <v/>
      </c>
      <c r="X2671" s="79" t="str">
        <f>IF(OR(TH!N2671=TH!$X$7,O2671=TH!$X$7),"x","")</f>
        <v/>
      </c>
      <c r="Y2671" s="79" t="str">
        <f>IF(AND(OR(N2671="131",O2671="131"),H2671='131-CT'!$H$9),"x","")</f>
        <v/>
      </c>
      <c r="Z2671" s="79"/>
      <c r="AA2671" s="79" t="str">
        <f>IF(AND(MONTH(E2671)='IN-NX'!$J$5,'IN-NX'!$D$7=D2671),"x","")</f>
        <v/>
      </c>
      <c r="AB2671" s="79" t="str">
        <f>IF(AND(OR(LEFT(TH!N2671,2)="15",LEFT(TH!O2671,2)="15"),LEFT(TH!O2671,3)&lt;&gt;"111",'152-CT'!$J$8=TH!F2671),"x","")</f>
        <v/>
      </c>
      <c r="AC2671" s="79" t="str">
        <f>IF(AND(OR(LEFT(TH!N2671,2)="15",LEFT(TH!O2671,2)="15"),TK!$E$7=TH!F2671),"x","")</f>
        <v/>
      </c>
      <c r="AD2671" s="79" t="str">
        <f>IF(AND(N2671="1521",MONTH(C2671)='BK-NL'!$M$11),"x","")</f>
        <v/>
      </c>
    </row>
    <row r="2672" spans="1:30" ht="16.5" customHeight="1">
      <c r="A2672" s="318" t="str">
        <f>IF(B2672&lt;&gt;"",IF(AND(B2672='IN-TC'!$S$4,OR(TH!N2672="1111",TH!O2672="1111")),TH!D2672,""),"")</f>
        <v/>
      </c>
      <c r="B2672" s="60" t="str">
        <f t="shared" si="278"/>
        <v/>
      </c>
      <c r="C2672" s="301"/>
      <c r="D2672" s="301"/>
      <c r="E2672" s="301"/>
      <c r="F2672" s="1162"/>
      <c r="G2672" s="968"/>
      <c r="H2672" s="303"/>
      <c r="I2672" s="385"/>
      <c r="J2672" s="969"/>
      <c r="K2672" s="385"/>
      <c r="L2672" s="392"/>
      <c r="M2672" s="970"/>
      <c r="N2672" s="304"/>
      <c r="O2672" s="304"/>
      <c r="P2672" s="79" t="str">
        <f>IF(AND('331-CT'!$E$7=TH!H2672,OR(N2672="331",O2672="331")),"x","")</f>
        <v/>
      </c>
      <c r="Q2672" s="79" t="str">
        <f>IF(AND(B2672='111'!$L$11,OR($N2672=$Q$7,$O2672=$Q$7)),"x","")</f>
        <v/>
      </c>
      <c r="R2672" s="79" t="str">
        <f>IF(AND($N2672=$Q$7,$B2672&lt;'111'!$L$11),"x","")</f>
        <v/>
      </c>
      <c r="S2672" s="79" t="str">
        <f>IF(AND($O2672=$Q$7,$B2672&lt;'111'!$L$11),"x","")</f>
        <v/>
      </c>
      <c r="T2672" s="79" t="str">
        <f>IF(ISERROR(FIND('112'!$M$9,G2672,1)),"",IF((AND(FIND('112'!$M$9,G2672,1)&gt;=1,B2672='112'!$K$9,OR($N2672='112'!$I$6,$O2672='112'!$I$6))),"x",""))</f>
        <v/>
      </c>
      <c r="U2672" s="79" t="str">
        <f>IF(ISERROR(FIND('112'!$M$9,G2672,1)),"",IF((AND(LEFT(G2672,2)=LEFT('112'!$M$9,2),B2672&lt;'112'!$K$9,$N2672='112'!$I$6)),"x",""))</f>
        <v/>
      </c>
      <c r="V2672" s="79" t="str">
        <f>IF(ISERROR(FIND('112'!$M$9,G2672,1)),"",IF((AND(RIGHT(G2672,2)=RIGHT('112'!$M$9,2),B2672&lt;'112'!$K$9,$O2672='112'!$I$6)),"x",""))</f>
        <v/>
      </c>
      <c r="W2672" s="79" t="str">
        <f>IF(AND('341-CT'!$H$9=H2672,OR(LEFT(N2672,3)=$W$7,LEFT(O2672,3)=$W$7)),"x","")</f>
        <v/>
      </c>
      <c r="X2672" s="79" t="str">
        <f>IF(OR(TH!N2672=TH!$X$7,O2672=TH!$X$7),"x","")</f>
        <v/>
      </c>
      <c r="Y2672" s="79" t="str">
        <f>IF(AND(OR(N2672="131",O2672="131"),H2672='131-CT'!$H$9),"x","")</f>
        <v/>
      </c>
      <c r="Z2672" s="79"/>
      <c r="AA2672" s="79" t="str">
        <f>IF(AND(MONTH(E2672)='IN-NX'!$J$5,'IN-NX'!$D$7=D2672),"x","")</f>
        <v/>
      </c>
      <c r="AB2672" s="79" t="str">
        <f>IF(AND(OR(LEFT(TH!N2672,2)="15",LEFT(TH!O2672,2)="15"),LEFT(TH!O2672,3)&lt;&gt;"111",'152-CT'!$J$8=TH!F2672),"x","")</f>
        <v/>
      </c>
      <c r="AC2672" s="79" t="str">
        <f>IF(AND(OR(LEFT(TH!N2672,2)="15",LEFT(TH!O2672,2)="15"),TK!$E$7=TH!F2672),"x","")</f>
        <v/>
      </c>
      <c r="AD2672" s="79" t="str">
        <f>IF(AND(N2672="1521",MONTH(C2672)='BK-NL'!$M$11),"x","")</f>
        <v/>
      </c>
    </row>
    <row r="2673" spans="1:30" ht="16.5" customHeight="1">
      <c r="A2673" s="318" t="str">
        <f>IF(B2673&lt;&gt;"",IF(AND(B2673='IN-TC'!$S$4,OR(TH!N2673="1111",TH!O2673="1111")),TH!D2673,""),"")</f>
        <v/>
      </c>
      <c r="B2673" s="60" t="str">
        <f t="shared" si="278"/>
        <v/>
      </c>
      <c r="C2673" s="301"/>
      <c r="D2673" s="301"/>
      <c r="E2673" s="301"/>
      <c r="F2673" s="1162"/>
      <c r="G2673" s="968"/>
      <c r="H2673" s="303"/>
      <c r="I2673" s="385"/>
      <c r="J2673" s="969"/>
      <c r="K2673" s="385"/>
      <c r="L2673" s="392"/>
      <c r="M2673" s="970"/>
      <c r="N2673" s="304"/>
      <c r="O2673" s="304"/>
      <c r="P2673" s="79" t="str">
        <f>IF(AND('331-CT'!$E$7=TH!H2673,OR(N2673="331",O2673="331")),"x","")</f>
        <v/>
      </c>
      <c r="Q2673" s="79" t="str">
        <f>IF(AND(B2673='111'!$L$11,OR($N2673=$Q$7,$O2673=$Q$7)),"x","")</f>
        <v/>
      </c>
      <c r="R2673" s="79" t="str">
        <f>IF(AND($N2673=$Q$7,$B2673&lt;'111'!$L$11),"x","")</f>
        <v/>
      </c>
      <c r="S2673" s="79" t="str">
        <f>IF(AND($O2673=$Q$7,$B2673&lt;'111'!$L$11),"x","")</f>
        <v/>
      </c>
      <c r="T2673" s="79" t="str">
        <f>IF(ISERROR(FIND('112'!$M$9,G2673,1)),"",IF((AND(FIND('112'!$M$9,G2673,1)&gt;=1,B2673='112'!$K$9,OR($N2673='112'!$I$6,$O2673='112'!$I$6))),"x",""))</f>
        <v/>
      </c>
      <c r="U2673" s="79" t="str">
        <f>IF(ISERROR(FIND('112'!$M$9,G2673,1)),"",IF((AND(LEFT(G2673,2)=LEFT('112'!$M$9,2),B2673&lt;'112'!$K$9,$N2673='112'!$I$6)),"x",""))</f>
        <v/>
      </c>
      <c r="V2673" s="79" t="str">
        <f>IF(ISERROR(FIND('112'!$M$9,G2673,1)),"",IF((AND(RIGHT(G2673,2)=RIGHT('112'!$M$9,2),B2673&lt;'112'!$K$9,$O2673='112'!$I$6)),"x",""))</f>
        <v/>
      </c>
      <c r="W2673" s="79" t="str">
        <f>IF(AND('341-CT'!$H$9=H2673,OR(LEFT(N2673,3)=$W$7,LEFT(O2673,3)=$W$7)),"x","")</f>
        <v/>
      </c>
      <c r="X2673" s="79" t="str">
        <f>IF(OR(TH!N2673=TH!$X$7,O2673=TH!$X$7),"x","")</f>
        <v/>
      </c>
      <c r="Y2673" s="79" t="str">
        <f>IF(AND(OR(N2673="131",O2673="131"),H2673='131-CT'!$H$9),"x","")</f>
        <v/>
      </c>
      <c r="Z2673" s="79"/>
      <c r="AA2673" s="79" t="str">
        <f>IF(AND(MONTH(E2673)='IN-NX'!$J$5,'IN-NX'!$D$7=D2673),"x","")</f>
        <v/>
      </c>
      <c r="AB2673" s="79" t="str">
        <f>IF(AND(OR(LEFT(TH!N2673,2)="15",LEFT(TH!O2673,2)="15"),LEFT(TH!O2673,3)&lt;&gt;"111",'152-CT'!$J$8=TH!F2673),"x","")</f>
        <v/>
      </c>
      <c r="AC2673" s="79" t="str">
        <f>IF(AND(OR(LEFT(TH!N2673,2)="15",LEFT(TH!O2673,2)="15"),TK!$E$7=TH!F2673),"x","")</f>
        <v/>
      </c>
      <c r="AD2673" s="79" t="str">
        <f>IF(AND(N2673="1521",MONTH(C2673)='BK-NL'!$M$11),"x","")</f>
        <v/>
      </c>
    </row>
    <row r="2674" spans="1:30" ht="16.5" customHeight="1">
      <c r="A2674" s="318" t="str">
        <f>IF(B2674&lt;&gt;"",IF(AND(B2674='IN-TC'!$S$4,OR(TH!N2674="1111",TH!O2674="1111")),TH!D2674,""),"")</f>
        <v/>
      </c>
      <c r="B2674" s="60" t="str">
        <f t="shared" si="278"/>
        <v/>
      </c>
      <c r="C2674" s="301"/>
      <c r="D2674" s="301"/>
      <c r="E2674" s="301"/>
      <c r="F2674" s="1162"/>
      <c r="G2674" s="968"/>
      <c r="H2674" s="303"/>
      <c r="I2674" s="385"/>
      <c r="J2674" s="969"/>
      <c r="K2674" s="385"/>
      <c r="L2674" s="392"/>
      <c r="M2674" s="970"/>
      <c r="N2674" s="304"/>
      <c r="O2674" s="304"/>
      <c r="P2674" s="79" t="str">
        <f>IF(AND('331-CT'!$E$7=TH!H2674,OR(N2674="331",O2674="331")),"x","")</f>
        <v/>
      </c>
      <c r="Q2674" s="79" t="str">
        <f>IF(AND(B2674='111'!$L$11,OR($N2674=$Q$7,$O2674=$Q$7)),"x","")</f>
        <v/>
      </c>
      <c r="R2674" s="79" t="str">
        <f>IF(AND($N2674=$Q$7,$B2674&lt;'111'!$L$11),"x","")</f>
        <v/>
      </c>
      <c r="S2674" s="79" t="str">
        <f>IF(AND($O2674=$Q$7,$B2674&lt;'111'!$L$11),"x","")</f>
        <v/>
      </c>
      <c r="T2674" s="79" t="str">
        <f>IF(ISERROR(FIND('112'!$M$9,G2674,1)),"",IF((AND(FIND('112'!$M$9,G2674,1)&gt;=1,B2674='112'!$K$9,OR($N2674='112'!$I$6,$O2674='112'!$I$6))),"x",""))</f>
        <v/>
      </c>
      <c r="U2674" s="79" t="str">
        <f>IF(ISERROR(FIND('112'!$M$9,G2674,1)),"",IF((AND(LEFT(G2674,2)=LEFT('112'!$M$9,2),B2674&lt;'112'!$K$9,$N2674='112'!$I$6)),"x",""))</f>
        <v/>
      </c>
      <c r="V2674" s="79" t="str">
        <f>IF(ISERROR(FIND('112'!$M$9,G2674,1)),"",IF((AND(RIGHT(G2674,2)=RIGHT('112'!$M$9,2),B2674&lt;'112'!$K$9,$O2674='112'!$I$6)),"x",""))</f>
        <v/>
      </c>
      <c r="W2674" s="79" t="str">
        <f>IF(AND('341-CT'!$H$9=H2674,OR(LEFT(N2674,3)=$W$7,LEFT(O2674,3)=$W$7)),"x","")</f>
        <v/>
      </c>
      <c r="X2674" s="79" t="str">
        <f>IF(OR(TH!N2674=TH!$X$7,O2674=TH!$X$7),"x","")</f>
        <v/>
      </c>
      <c r="Y2674" s="79" t="str">
        <f>IF(AND(OR(N2674="131",O2674="131"),H2674='131-CT'!$H$9),"x","")</f>
        <v/>
      </c>
      <c r="Z2674" s="79"/>
      <c r="AA2674" s="79" t="str">
        <f>IF(AND(MONTH(E2674)='IN-NX'!$J$5,'IN-NX'!$D$7=D2674),"x","")</f>
        <v/>
      </c>
      <c r="AB2674" s="79" t="str">
        <f>IF(AND(OR(LEFT(TH!N2674,2)="15",LEFT(TH!O2674,2)="15"),LEFT(TH!O2674,3)&lt;&gt;"111",'152-CT'!$J$8=TH!F2674),"x","")</f>
        <v/>
      </c>
      <c r="AC2674" s="79" t="str">
        <f>IF(AND(OR(LEFT(TH!N2674,2)="15",LEFT(TH!O2674,2)="15"),TK!$E$7=TH!F2674),"x","")</f>
        <v/>
      </c>
      <c r="AD2674" s="79" t="str">
        <f>IF(AND(N2674="1521",MONTH(C2674)='BK-NL'!$M$11),"x","")</f>
        <v/>
      </c>
    </row>
    <row r="2675" spans="1:30" ht="16.5" customHeight="1">
      <c r="A2675" s="318" t="str">
        <f>IF(B2675&lt;&gt;"",IF(AND(B2675='IN-TC'!$S$4,OR(TH!N2675="1111",TH!O2675="1111")),TH!D2675,""),"")</f>
        <v/>
      </c>
      <c r="B2675" s="60" t="str">
        <f t="shared" ref="B2675:B2676" si="279">IF(C2675&lt;&gt;"",MONTH(C2675),"")</f>
        <v/>
      </c>
      <c r="C2675" s="301"/>
      <c r="D2675" s="301"/>
      <c r="E2675" s="301"/>
      <c r="F2675" s="1162"/>
      <c r="G2675" s="968"/>
      <c r="H2675" s="303"/>
      <c r="I2675" s="385"/>
      <c r="J2675" s="969"/>
      <c r="K2675" s="385"/>
      <c r="L2675" s="392"/>
      <c r="M2675" s="970"/>
      <c r="N2675" s="304"/>
      <c r="O2675" s="304"/>
      <c r="P2675" s="79" t="str">
        <f>IF(AND('331-CT'!$E$7=TH!H2675,OR(N2675="331",O2675="331")),"x","")</f>
        <v/>
      </c>
      <c r="Q2675" s="79" t="str">
        <f>IF(AND(B2675='111'!$L$11,OR($N2675=$Q$7,$O2675=$Q$7)),"x","")</f>
        <v/>
      </c>
      <c r="R2675" s="79" t="str">
        <f>IF(AND($N2675=$Q$7,$B2675&lt;'111'!$L$11),"x","")</f>
        <v/>
      </c>
      <c r="S2675" s="79" t="str">
        <f>IF(AND($O2675=$Q$7,$B2675&lt;'111'!$L$11),"x","")</f>
        <v/>
      </c>
      <c r="T2675" s="79" t="str">
        <f>IF(ISERROR(FIND('112'!$M$9,G2675,1)),"",IF((AND(FIND('112'!$M$9,G2675,1)&gt;=1,B2675='112'!$K$9,OR($N2675='112'!$I$6,$O2675='112'!$I$6))),"x",""))</f>
        <v/>
      </c>
      <c r="U2675" s="79" t="str">
        <f>IF(ISERROR(FIND('112'!$M$9,G2675,1)),"",IF((AND(LEFT(G2675,2)=LEFT('112'!$M$9,2),B2675&lt;'112'!$K$9,$N2675='112'!$I$6)),"x",""))</f>
        <v/>
      </c>
      <c r="V2675" s="79" t="str">
        <f>IF(ISERROR(FIND('112'!$M$9,G2675,1)),"",IF((AND(RIGHT(G2675,2)=RIGHT('112'!$M$9,2),B2675&lt;'112'!$K$9,$O2675='112'!$I$6)),"x",""))</f>
        <v/>
      </c>
      <c r="W2675" s="79" t="str">
        <f>IF(AND('341-CT'!$H$9=H2675,OR(LEFT(N2675,3)=$W$7,LEFT(O2675,3)=$W$7)),"x","")</f>
        <v/>
      </c>
      <c r="X2675" s="79" t="str">
        <f>IF(OR(TH!N2675=TH!$X$7,O2675=TH!$X$7),"x","")</f>
        <v/>
      </c>
      <c r="Y2675" s="79" t="str">
        <f>IF(AND(OR(N2675="131",O2675="131"),H2675='131-CT'!$H$9),"x","")</f>
        <v/>
      </c>
      <c r="Z2675" s="79"/>
      <c r="AA2675" s="79" t="str">
        <f>IF(AND(MONTH(E2675)='IN-NX'!$J$5,'IN-NX'!$D$7=D2675),"x","")</f>
        <v/>
      </c>
      <c r="AB2675" s="79" t="str">
        <f>IF(AND(OR(LEFT(TH!N2675,2)="15",LEFT(TH!O2675,2)="15"),LEFT(TH!O2675,3)&lt;&gt;"111",'152-CT'!$J$8=TH!F2675),"x","")</f>
        <v/>
      </c>
      <c r="AC2675" s="79" t="str">
        <f>IF(AND(OR(LEFT(TH!N2675,2)="15",LEFT(TH!O2675,2)="15"),TK!$E$7=TH!F2675),"x","")</f>
        <v/>
      </c>
      <c r="AD2675" s="79" t="str">
        <f>IF(AND(N2675="1521",MONTH(C2675)='BK-NL'!$M$11),"x","")</f>
        <v/>
      </c>
    </row>
    <row r="2676" spans="1:30" ht="16.5" customHeight="1">
      <c r="A2676" s="318" t="str">
        <f>IF(B2676&lt;&gt;"",IF(AND(B2676='IN-TC'!$S$4,OR(TH!N2676="1111",TH!O2676="1111")),TH!D2676,""),"")</f>
        <v/>
      </c>
      <c r="B2676" s="60" t="str">
        <f t="shared" si="279"/>
        <v/>
      </c>
      <c r="C2676" s="301"/>
      <c r="D2676" s="301"/>
      <c r="E2676" s="301"/>
      <c r="F2676" s="1162"/>
      <c r="G2676" s="968"/>
      <c r="H2676" s="303"/>
      <c r="I2676" s="385"/>
      <c r="J2676" s="969"/>
      <c r="K2676" s="385"/>
      <c r="L2676" s="392"/>
      <c r="M2676" s="970"/>
      <c r="N2676" s="304"/>
      <c r="O2676" s="304"/>
      <c r="P2676" s="79" t="str">
        <f>IF(AND('331-CT'!$E$7=TH!H2676,OR(N2676="331",O2676="331")),"x","")</f>
        <v/>
      </c>
      <c r="Q2676" s="79" t="str">
        <f>IF(AND(B2676='111'!$L$11,OR($N2676=$Q$7,$O2676=$Q$7)),"x","")</f>
        <v/>
      </c>
      <c r="R2676" s="79" t="str">
        <f>IF(AND($N2676=$Q$7,$B2676&lt;'111'!$L$11),"x","")</f>
        <v/>
      </c>
      <c r="S2676" s="79" t="str">
        <f>IF(AND($O2676=$Q$7,$B2676&lt;'111'!$L$11),"x","")</f>
        <v/>
      </c>
      <c r="T2676" s="79" t="str">
        <f>IF(ISERROR(FIND('112'!$M$9,G2676,1)),"",IF((AND(FIND('112'!$M$9,G2676,1)&gt;=1,B2676='112'!$K$9,OR($N2676='112'!$I$6,$O2676='112'!$I$6))),"x",""))</f>
        <v/>
      </c>
      <c r="U2676" s="79" t="str">
        <f>IF(ISERROR(FIND('112'!$M$9,G2676,1)),"",IF((AND(LEFT(G2676,2)=LEFT('112'!$M$9,2),B2676&lt;'112'!$K$9,$N2676='112'!$I$6)),"x",""))</f>
        <v/>
      </c>
      <c r="V2676" s="79" t="str">
        <f>IF(ISERROR(FIND('112'!$M$9,G2676,1)),"",IF((AND(RIGHT(G2676,2)=RIGHT('112'!$M$9,2),B2676&lt;'112'!$K$9,$O2676='112'!$I$6)),"x",""))</f>
        <v/>
      </c>
      <c r="W2676" s="79" t="str">
        <f>IF(AND('341-CT'!$H$9=H2676,OR(LEFT(N2676,3)=$W$7,LEFT(O2676,3)=$W$7)),"x","")</f>
        <v/>
      </c>
      <c r="X2676" s="79" t="str">
        <f>IF(OR(TH!N2676=TH!$X$7,O2676=TH!$X$7),"x","")</f>
        <v/>
      </c>
      <c r="Y2676" s="79" t="str">
        <f>IF(AND(OR(N2676="131",O2676="131"),H2676='131-CT'!$H$9),"x","")</f>
        <v/>
      </c>
      <c r="Z2676" s="79"/>
      <c r="AA2676" s="79" t="str">
        <f>IF(AND(MONTH(E2676)='IN-NX'!$J$5,'IN-NX'!$D$7=D2676),"x","")</f>
        <v/>
      </c>
      <c r="AB2676" s="79" t="str">
        <f>IF(AND(OR(LEFT(TH!N2676,2)="15",LEFT(TH!O2676,2)="15"),LEFT(TH!O2676,3)&lt;&gt;"111",'152-CT'!$J$8=TH!F2676),"x","")</f>
        <v/>
      </c>
      <c r="AC2676" s="79" t="str">
        <f>IF(AND(OR(LEFT(TH!N2676,2)="15",LEFT(TH!O2676,2)="15"),TK!$E$7=TH!F2676),"x","")</f>
        <v/>
      </c>
      <c r="AD2676" s="79" t="str">
        <f>IF(AND(N2676="1521",MONTH(C2676)='BK-NL'!$M$11),"x","")</f>
        <v/>
      </c>
    </row>
    <row r="2677" spans="1:30" ht="16.5" customHeight="1">
      <c r="A2677" s="318" t="str">
        <f>IF(B2677&lt;&gt;"",IF(AND(B2677='IN-TC'!$S$4,OR(TH!N2677="1111",TH!O2677="1111")),TH!D2677,""),"")</f>
        <v/>
      </c>
      <c r="B2677" s="60" t="str">
        <f t="shared" ref="B2677:B2679" si="280">IF(C2677&lt;&gt;"",MONTH(C2677),"")</f>
        <v/>
      </c>
      <c r="C2677" s="301"/>
      <c r="D2677" s="301"/>
      <c r="E2677" s="301"/>
      <c r="F2677" s="1162"/>
      <c r="G2677" s="968"/>
      <c r="H2677" s="303"/>
      <c r="I2677" s="385"/>
      <c r="J2677" s="969"/>
      <c r="K2677" s="385"/>
      <c r="L2677" s="392"/>
      <c r="M2677" s="970"/>
      <c r="N2677" s="304"/>
      <c r="O2677" s="304"/>
      <c r="P2677" s="79" t="str">
        <f>IF(AND('331-CT'!$E$7=TH!H2677,OR(N2677="331",O2677="331")),"x","")</f>
        <v/>
      </c>
      <c r="Q2677" s="79" t="str">
        <f>IF(AND(B2677='111'!$L$11,OR($N2677=$Q$7,$O2677=$Q$7)),"x","")</f>
        <v/>
      </c>
      <c r="R2677" s="79" t="str">
        <f>IF(AND($N2677=$Q$7,$B2677&lt;'111'!$L$11),"x","")</f>
        <v/>
      </c>
      <c r="S2677" s="79" t="str">
        <f>IF(AND($O2677=$Q$7,$B2677&lt;'111'!$L$11),"x","")</f>
        <v/>
      </c>
      <c r="T2677" s="79" t="str">
        <f>IF(ISERROR(FIND('112'!$M$9,G2677,1)),"",IF((AND(FIND('112'!$M$9,G2677,1)&gt;=1,B2677='112'!$K$9,OR($N2677='112'!$I$6,$O2677='112'!$I$6))),"x",""))</f>
        <v/>
      </c>
      <c r="U2677" s="79" t="str">
        <f>IF(ISERROR(FIND('112'!$M$9,G2677,1)),"",IF((AND(LEFT(G2677,2)=LEFT('112'!$M$9,2),B2677&lt;'112'!$K$9,$N2677='112'!$I$6)),"x",""))</f>
        <v/>
      </c>
      <c r="V2677" s="79" t="str">
        <f>IF(ISERROR(FIND('112'!$M$9,G2677,1)),"",IF((AND(RIGHT(G2677,2)=RIGHT('112'!$M$9,2),B2677&lt;'112'!$K$9,$O2677='112'!$I$6)),"x",""))</f>
        <v/>
      </c>
      <c r="W2677" s="79" t="str">
        <f>IF(AND('341-CT'!$H$9=H2677,OR(LEFT(N2677,3)=$W$7,LEFT(O2677,3)=$W$7)),"x","")</f>
        <v/>
      </c>
      <c r="X2677" s="79" t="str">
        <f>IF(OR(TH!N2677=TH!$X$7,O2677=TH!$X$7),"x","")</f>
        <v/>
      </c>
      <c r="Y2677" s="79" t="str">
        <f>IF(AND(OR(N2677="131",O2677="131"),H2677='131-CT'!$H$9),"x","")</f>
        <v/>
      </c>
      <c r="Z2677" s="79"/>
      <c r="AA2677" s="79" t="str">
        <f>IF(AND(MONTH(E2677)='IN-NX'!$J$5,'IN-NX'!$D$7=D2677),"x","")</f>
        <v/>
      </c>
      <c r="AB2677" s="79" t="str">
        <f>IF(AND(OR(LEFT(TH!N2677,2)="15",LEFT(TH!O2677,2)="15"),LEFT(TH!O2677,3)&lt;&gt;"111",'152-CT'!$J$8=TH!F2677),"x","")</f>
        <v/>
      </c>
      <c r="AC2677" s="79" t="str">
        <f>IF(AND(OR(LEFT(TH!N2677,2)="15",LEFT(TH!O2677,2)="15"),TK!$E$7=TH!F2677),"x","")</f>
        <v/>
      </c>
      <c r="AD2677" s="79" t="str">
        <f>IF(AND(N2677="1521",MONTH(C2677)='BK-NL'!$M$11),"x","")</f>
        <v/>
      </c>
    </row>
    <row r="2678" spans="1:30" ht="16.5" customHeight="1">
      <c r="A2678" s="318" t="str">
        <f>IF(B2678&lt;&gt;"",IF(AND(B2678='IN-TC'!$S$4,OR(TH!N2678="1111",TH!O2678="1111")),TH!D2678,""),"")</f>
        <v/>
      </c>
      <c r="B2678" s="60" t="str">
        <f t="shared" ref="B2678" si="281">IF(C2678&lt;&gt;"",MONTH(C2678),"")</f>
        <v/>
      </c>
      <c r="C2678" s="301"/>
      <c r="D2678" s="301"/>
      <c r="E2678" s="301"/>
      <c r="F2678" s="1162"/>
      <c r="G2678" s="968"/>
      <c r="H2678" s="303"/>
      <c r="I2678" s="385"/>
      <c r="J2678" s="969"/>
      <c r="K2678" s="385"/>
      <c r="L2678" s="392"/>
      <c r="M2678" s="970"/>
      <c r="N2678" s="304"/>
      <c r="O2678" s="304"/>
      <c r="P2678" s="79" t="str">
        <f>IF(AND('331-CT'!$E$7=TH!H2678,OR(N2678="331",O2678="331")),"x","")</f>
        <v/>
      </c>
      <c r="Q2678" s="79" t="str">
        <f>IF(AND(B2678='111'!$L$11,OR($N2678=$Q$7,$O2678=$Q$7)),"x","")</f>
        <v/>
      </c>
      <c r="R2678" s="79" t="str">
        <f>IF(AND($N2678=$Q$7,$B2678&lt;'111'!$L$11),"x","")</f>
        <v/>
      </c>
      <c r="S2678" s="79" t="str">
        <f>IF(AND($O2678=$Q$7,$B2678&lt;'111'!$L$11),"x","")</f>
        <v/>
      </c>
      <c r="T2678" s="79" t="str">
        <f>IF(ISERROR(FIND('112'!$M$9,G2678,1)),"",IF((AND(FIND('112'!$M$9,G2678,1)&gt;=1,B2678='112'!$K$9,OR($N2678='112'!$I$6,$O2678='112'!$I$6))),"x",""))</f>
        <v/>
      </c>
      <c r="U2678" s="79" t="str">
        <f>IF(ISERROR(FIND('112'!$M$9,G2678,1)),"",IF((AND(LEFT(G2678,2)=LEFT('112'!$M$9,2),B2678&lt;'112'!$K$9,$N2678='112'!$I$6)),"x",""))</f>
        <v/>
      </c>
      <c r="V2678" s="79" t="str">
        <f>IF(ISERROR(FIND('112'!$M$9,G2678,1)),"",IF((AND(RIGHT(G2678,2)=RIGHT('112'!$M$9,2),B2678&lt;'112'!$K$9,$O2678='112'!$I$6)),"x",""))</f>
        <v/>
      </c>
      <c r="W2678" s="79" t="str">
        <f>IF(AND('341-CT'!$H$9=H2678,OR(LEFT(N2678,3)=$W$7,LEFT(O2678,3)=$W$7)),"x","")</f>
        <v/>
      </c>
      <c r="X2678" s="79" t="str">
        <f>IF(OR(TH!N2678=TH!$X$7,O2678=TH!$X$7),"x","")</f>
        <v/>
      </c>
      <c r="Y2678" s="79" t="str">
        <f>IF(AND(OR(N2678="131",O2678="131"),H2678='131-CT'!$H$9),"x","")</f>
        <v/>
      </c>
      <c r="Z2678" s="79"/>
      <c r="AA2678" s="79" t="str">
        <f>IF(AND(MONTH(E2678)='IN-NX'!$J$5,'IN-NX'!$D$7=D2678),"x","")</f>
        <v/>
      </c>
      <c r="AB2678" s="79" t="str">
        <f>IF(AND(OR(LEFT(TH!N2678,2)="15",LEFT(TH!O2678,2)="15"),LEFT(TH!O2678,3)&lt;&gt;"111",'152-CT'!$J$8=TH!F2678),"x","")</f>
        <v/>
      </c>
      <c r="AC2678" s="79" t="str">
        <f>IF(AND(OR(LEFT(TH!N2678,2)="15",LEFT(TH!O2678,2)="15"),TK!$E$7=TH!F2678),"x","")</f>
        <v/>
      </c>
      <c r="AD2678" s="79" t="str">
        <f>IF(AND(N2678="1521",MONTH(C2678)='BK-NL'!$M$11),"x","")</f>
        <v/>
      </c>
    </row>
    <row r="2679" spans="1:30" ht="16.5" customHeight="1">
      <c r="A2679" s="318" t="str">
        <f>IF(B2679&lt;&gt;"",IF(AND(B2679='IN-TC'!$S$4,OR(TH!N2679="1111",TH!O2679="1111")),TH!D2679,""),"")</f>
        <v/>
      </c>
      <c r="B2679" s="60" t="str">
        <f t="shared" si="280"/>
        <v/>
      </c>
      <c r="C2679" s="998"/>
      <c r="D2679" s="998"/>
      <c r="E2679" s="998"/>
      <c r="F2679" s="1170"/>
      <c r="G2679" s="1003"/>
      <c r="H2679" s="982"/>
      <c r="I2679" s="984"/>
      <c r="J2679" s="1000"/>
      <c r="K2679" s="984"/>
      <c r="L2679" s="983"/>
      <c r="M2679" s="985"/>
      <c r="N2679" s="1001"/>
      <c r="O2679" s="1001"/>
      <c r="P2679" s="79" t="str">
        <f>IF(AND('331-CT'!$E$7=TH!H2679,OR(N2679="331",O2679="331")),"x","")</f>
        <v/>
      </c>
      <c r="Q2679" s="79" t="str">
        <f>IF(AND(B2679='111'!$L$11,OR($N2679=$Q$7,$O2679=$Q$7)),"x","")</f>
        <v/>
      </c>
      <c r="R2679" s="79" t="str">
        <f>IF(AND($N2679=$Q$7,$B2679&lt;'111'!$L$11),"x","")</f>
        <v/>
      </c>
      <c r="S2679" s="79" t="str">
        <f>IF(AND($O2679=$Q$7,$B2679&lt;'111'!$L$11),"x","")</f>
        <v/>
      </c>
      <c r="T2679" s="79" t="str">
        <f>IF(ISERROR(FIND('112'!$M$9,G2679,1)),"",IF((AND(FIND('112'!$M$9,G2679,1)&gt;=1,B2679='112'!$K$9,OR($N2679='112'!$I$6,$O2679='112'!$I$6))),"x",""))</f>
        <v/>
      </c>
      <c r="U2679" s="79" t="str">
        <f>IF(ISERROR(FIND('112'!$M$9,G2679,1)),"",IF((AND(LEFT(G2679,2)=LEFT('112'!$M$9,2),B2679&lt;'112'!$K$9,$N2679='112'!$I$6)),"x",""))</f>
        <v/>
      </c>
      <c r="V2679" s="79" t="str">
        <f>IF(ISERROR(FIND('112'!$M$9,G2679,1)),"",IF((AND(RIGHT(G2679,2)=RIGHT('112'!$M$9,2),B2679&lt;'112'!$K$9,$O2679='112'!$I$6)),"x",""))</f>
        <v/>
      </c>
      <c r="W2679" s="79" t="str">
        <f>IF(AND('341-CT'!$H$9=H2679,OR(LEFT(N2679,3)=$W$7,LEFT(O2679,3)=$W$7)),"x","")</f>
        <v/>
      </c>
      <c r="X2679" s="79" t="str">
        <f>IF(OR(TH!N2679=TH!$X$7,O2679=TH!$X$7),"x","")</f>
        <v/>
      </c>
      <c r="Y2679" s="79" t="str">
        <f>IF(AND(OR(N2679="131",O2679="131"),H2679='131-CT'!$H$9),"x","")</f>
        <v/>
      </c>
      <c r="Z2679" s="79"/>
      <c r="AA2679" s="79" t="str">
        <f>IF(AND(MONTH(E2679)='IN-NX'!$J$5,'IN-NX'!$D$7=D2679),"x","")</f>
        <v/>
      </c>
      <c r="AB2679" s="79" t="str">
        <f>IF(AND(OR(LEFT(TH!N2679,2)="15",LEFT(TH!O2679,2)="15"),LEFT(TH!O2679,3)&lt;&gt;"111",'152-CT'!$J$8=TH!F2679),"x","")</f>
        <v/>
      </c>
      <c r="AC2679" s="79" t="str">
        <f>IF(AND(OR(LEFT(TH!N2679,2)="15",LEFT(TH!O2679,2)="15"),TK!$E$7=TH!F2679),"x","")</f>
        <v/>
      </c>
      <c r="AD2679" s="79" t="str">
        <f>IF(AND(N2679="1521",MONTH(C2679)='BK-NL'!$M$11),"x","")</f>
        <v/>
      </c>
    </row>
    <row r="2680" spans="1:30" ht="16.5" customHeight="1">
      <c r="A2680" s="318" t="str">
        <f>IF(B2680&lt;&gt;"",IF(AND(B2680='IN-TC'!$S$4,OR(TH!N2680="1111",TH!O2680="1111")),TH!D2680,""),"")</f>
        <v/>
      </c>
      <c r="B2680" s="60" t="str">
        <f t="shared" ref="B2680" si="282">IF(C2680&lt;&gt;"",MONTH(C2680),"")</f>
        <v/>
      </c>
      <c r="C2680" s="301"/>
      <c r="D2680" s="301"/>
      <c r="E2680" s="301"/>
      <c r="F2680" s="1162"/>
      <c r="G2680" s="968"/>
      <c r="H2680" s="303"/>
      <c r="I2680" s="385"/>
      <c r="J2680" s="969"/>
      <c r="K2680" s="385"/>
      <c r="L2680" s="392"/>
      <c r="M2680" s="970"/>
      <c r="N2680" s="304"/>
      <c r="O2680" s="304"/>
      <c r="P2680" s="79" t="str">
        <f>IF(AND('331-CT'!$E$7=TH!H2680,OR(N2680="331",O2680="331")),"x","")</f>
        <v/>
      </c>
      <c r="Q2680" s="79" t="str">
        <f>IF(AND(B2680='111'!$L$11,OR($N2680=$Q$7,$O2680=$Q$7)),"x","")</f>
        <v/>
      </c>
      <c r="R2680" s="79" t="str">
        <f>IF(AND($N2680=$Q$7,$B2680&lt;'111'!$L$11),"x","")</f>
        <v/>
      </c>
      <c r="S2680" s="79" t="str">
        <f>IF(AND($O2680=$Q$7,$B2680&lt;'111'!$L$11),"x","")</f>
        <v/>
      </c>
      <c r="T2680" s="79" t="str">
        <f>IF(ISERROR(FIND('112'!$M$9,G2680,1)),"",IF((AND(FIND('112'!$M$9,G2680,1)&gt;=1,B2680='112'!$K$9,OR($N2680='112'!$I$6,$O2680='112'!$I$6))),"x",""))</f>
        <v/>
      </c>
      <c r="U2680" s="79" t="str">
        <f>IF(ISERROR(FIND('112'!$M$9,G2680,1)),"",IF((AND(LEFT(G2680,2)=LEFT('112'!$M$9,2),B2680&lt;'112'!$K$9,$N2680='112'!$I$6)),"x",""))</f>
        <v/>
      </c>
      <c r="V2680" s="79" t="str">
        <f>IF(ISERROR(FIND('112'!$M$9,G2680,1)),"",IF((AND(RIGHT(G2680,2)=RIGHT('112'!$M$9,2),B2680&lt;'112'!$K$9,$O2680='112'!$I$6)),"x",""))</f>
        <v/>
      </c>
      <c r="W2680" s="79" t="str">
        <f>IF(AND('341-CT'!$H$9=H2680,OR(LEFT(N2680,3)=$W$7,LEFT(O2680,3)=$W$7)),"x","")</f>
        <v/>
      </c>
      <c r="X2680" s="79" t="str">
        <f>IF(OR(TH!N2680=TH!$X$7,O2680=TH!$X$7),"x","")</f>
        <v/>
      </c>
      <c r="Y2680" s="79" t="str">
        <f>IF(AND(OR(N2680="131",O2680="131"),H2680='131-CT'!$H$9),"x","")</f>
        <v/>
      </c>
      <c r="Z2680" s="79"/>
      <c r="AA2680" s="79" t="str">
        <f>IF(AND(MONTH(E2680)='IN-NX'!$J$5,'IN-NX'!$D$7=D2680),"x","")</f>
        <v/>
      </c>
      <c r="AB2680" s="79" t="str">
        <f>IF(AND(OR(LEFT(TH!N2680,2)="15",LEFT(TH!O2680,2)="15"),LEFT(TH!O2680,3)&lt;&gt;"111",'152-CT'!$J$8=TH!F2680),"x","")</f>
        <v/>
      </c>
      <c r="AC2680" s="79" t="str">
        <f>IF(AND(OR(LEFT(TH!N2680,2)="15",LEFT(TH!O2680,2)="15"),TK!$E$7=TH!F2680),"x","")</f>
        <v/>
      </c>
      <c r="AD2680" s="79" t="str">
        <f>IF(AND(N2680="1521",MONTH(C2680)='BK-NL'!$M$11),"x","")</f>
        <v/>
      </c>
    </row>
    <row r="2681" spans="1:30" ht="16.5" customHeight="1">
      <c r="A2681" s="318" t="str">
        <f>IF(B2681&lt;&gt;"",IF(AND(B2681='IN-TC'!$S$4,OR(TH!N2681="1111",TH!O2681="1111")),TH!D2681,""),"")</f>
        <v/>
      </c>
      <c r="B2681" s="60" t="str">
        <f t="shared" ref="B2681" si="283">IF(C2681&lt;&gt;"",MONTH(C2681),"")</f>
        <v/>
      </c>
      <c r="C2681" s="301"/>
      <c r="D2681" s="301"/>
      <c r="E2681" s="301"/>
      <c r="F2681" s="1162"/>
      <c r="G2681" s="968"/>
      <c r="H2681" s="303"/>
      <c r="I2681" s="385"/>
      <c r="J2681" s="969"/>
      <c r="K2681" s="385"/>
      <c r="L2681" s="392"/>
      <c r="M2681" s="970"/>
      <c r="N2681" s="304"/>
      <c r="O2681" s="304"/>
      <c r="P2681" s="79" t="str">
        <f>IF(AND('331-CT'!$E$7=TH!H2681,OR(N2681="331",O2681="331")),"x","")</f>
        <v/>
      </c>
      <c r="Q2681" s="79" t="str">
        <f>IF(AND(B2681='111'!$L$11,OR($N2681=$Q$7,$O2681=$Q$7)),"x","")</f>
        <v/>
      </c>
      <c r="R2681" s="79" t="str">
        <f>IF(AND($N2681=$Q$7,$B2681&lt;'111'!$L$11),"x","")</f>
        <v/>
      </c>
      <c r="S2681" s="79" t="str">
        <f>IF(AND($O2681=$Q$7,$B2681&lt;'111'!$L$11),"x","")</f>
        <v/>
      </c>
      <c r="T2681" s="79" t="str">
        <f>IF(ISERROR(FIND('112'!$M$9,G2681,1)),"",IF((AND(FIND('112'!$M$9,G2681,1)&gt;=1,B2681='112'!$K$9,OR($N2681='112'!$I$6,$O2681='112'!$I$6))),"x",""))</f>
        <v/>
      </c>
      <c r="U2681" s="79" t="str">
        <f>IF(ISERROR(FIND('112'!$M$9,G2681,1)),"",IF((AND(LEFT(G2681,2)=LEFT('112'!$M$9,2),B2681&lt;'112'!$K$9,$N2681='112'!$I$6)),"x",""))</f>
        <v/>
      </c>
      <c r="V2681" s="79" t="str">
        <f>IF(ISERROR(FIND('112'!$M$9,G2681,1)),"",IF((AND(RIGHT(G2681,2)=RIGHT('112'!$M$9,2),B2681&lt;'112'!$K$9,$O2681='112'!$I$6)),"x",""))</f>
        <v/>
      </c>
      <c r="W2681" s="79" t="str">
        <f>IF(AND('341-CT'!$H$9=H2681,OR(LEFT(N2681,3)=$W$7,LEFT(O2681,3)=$W$7)),"x","")</f>
        <v/>
      </c>
      <c r="X2681" s="79" t="str">
        <f>IF(OR(TH!N2681=TH!$X$7,O2681=TH!$X$7),"x","")</f>
        <v/>
      </c>
      <c r="Y2681" s="79" t="str">
        <f>IF(AND(OR(N2681="131",O2681="131"),H2681='131-CT'!$H$9),"x","")</f>
        <v/>
      </c>
      <c r="Z2681" s="79"/>
      <c r="AA2681" s="79" t="str">
        <f>IF(AND(MONTH(E2681)='IN-NX'!$J$5,'IN-NX'!$D$7=D2681),"x","")</f>
        <v/>
      </c>
      <c r="AB2681" s="79" t="str">
        <f>IF(AND(OR(LEFT(TH!N2681,2)="15",LEFT(TH!O2681,2)="15"),LEFT(TH!O2681,3)&lt;&gt;"111",'152-CT'!$J$8=TH!F2681),"x","")</f>
        <v/>
      </c>
      <c r="AC2681" s="79" t="str">
        <f>IF(AND(OR(LEFT(TH!N2681,2)="15",LEFT(TH!O2681,2)="15"),TK!$E$7=TH!F2681),"x","")</f>
        <v/>
      </c>
      <c r="AD2681" s="79" t="str">
        <f>IF(AND(N2681="1521",MONTH(C2681)='BK-NL'!$M$11),"x","")</f>
        <v/>
      </c>
    </row>
    <row r="2682" spans="1:30" ht="16.5" customHeight="1">
      <c r="A2682" s="318" t="str">
        <f>IF(B2682&lt;&gt;"",IF(AND(B2682='IN-TC'!$S$4,OR(TH!N2682="1111",TH!O2682="1111")),TH!D2682,""),"")</f>
        <v/>
      </c>
      <c r="B2682" s="60" t="str">
        <f t="shared" ref="B2682:B2685" si="284">IF(C2682&lt;&gt;"",MONTH(C2682),"")</f>
        <v/>
      </c>
      <c r="C2682" s="301"/>
      <c r="D2682" s="301"/>
      <c r="E2682" s="301"/>
      <c r="F2682" s="1162"/>
      <c r="G2682" s="968"/>
      <c r="H2682" s="303"/>
      <c r="I2682" s="385"/>
      <c r="J2682" s="969"/>
      <c r="K2682" s="385"/>
      <c r="L2682" s="392"/>
      <c r="M2682" s="970"/>
      <c r="N2682" s="304"/>
      <c r="O2682" s="304"/>
      <c r="P2682" s="79" t="str">
        <f>IF(AND('331-CT'!$E$7=TH!H2682,OR(N2682="331",O2682="331")),"x","")</f>
        <v/>
      </c>
      <c r="Q2682" s="79" t="str">
        <f>IF(AND(B2682='111'!$L$11,OR($N2682=$Q$7,$O2682=$Q$7)),"x","")</f>
        <v/>
      </c>
      <c r="R2682" s="79" t="str">
        <f>IF(AND($N2682=$Q$7,$B2682&lt;'111'!$L$11),"x","")</f>
        <v/>
      </c>
      <c r="S2682" s="79" t="str">
        <f>IF(AND($O2682=$Q$7,$B2682&lt;'111'!$L$11),"x","")</f>
        <v/>
      </c>
      <c r="T2682" s="79" t="str">
        <f>IF(ISERROR(FIND('112'!$M$9,G2682,1)),"",IF((AND(FIND('112'!$M$9,G2682,1)&gt;=1,B2682='112'!$K$9,OR($N2682='112'!$I$6,$O2682='112'!$I$6))),"x",""))</f>
        <v/>
      </c>
      <c r="U2682" s="79" t="str">
        <f>IF(ISERROR(FIND('112'!$M$9,G2682,1)),"",IF((AND(LEFT(G2682,2)=LEFT('112'!$M$9,2),B2682&lt;'112'!$K$9,$N2682='112'!$I$6)),"x",""))</f>
        <v/>
      </c>
      <c r="V2682" s="79" t="str">
        <f>IF(ISERROR(FIND('112'!$M$9,G2682,1)),"",IF((AND(RIGHT(G2682,2)=RIGHT('112'!$M$9,2),B2682&lt;'112'!$K$9,$O2682='112'!$I$6)),"x",""))</f>
        <v/>
      </c>
      <c r="W2682" s="79" t="str">
        <f>IF(AND('341-CT'!$H$9=H2682,OR(LEFT(N2682,3)=$W$7,LEFT(O2682,3)=$W$7)),"x","")</f>
        <v/>
      </c>
      <c r="X2682" s="79" t="str">
        <f>IF(OR(TH!N2682=TH!$X$7,O2682=TH!$X$7),"x","")</f>
        <v/>
      </c>
      <c r="Y2682" s="79" t="str">
        <f>IF(AND(OR(N2682="131",O2682="131"),H2682='131-CT'!$H$9),"x","")</f>
        <v/>
      </c>
      <c r="Z2682" s="79"/>
      <c r="AA2682" s="79" t="str">
        <f>IF(AND(MONTH(E2682)='IN-NX'!$J$5,'IN-NX'!$D$7=D2682),"x","")</f>
        <v/>
      </c>
      <c r="AB2682" s="79" t="str">
        <f>IF(AND(OR(LEFT(TH!N2682,2)="15",LEFT(TH!O2682,2)="15"),LEFT(TH!O2682,3)&lt;&gt;"111",'152-CT'!$J$8=TH!F2682),"x","")</f>
        <v/>
      </c>
      <c r="AC2682" s="79" t="str">
        <f>IF(AND(OR(LEFT(TH!N2682,2)="15",LEFT(TH!O2682,2)="15"),TK!$E$7=TH!F2682),"x","")</f>
        <v/>
      </c>
      <c r="AD2682" s="79" t="str">
        <f>IF(AND(N2682="1521",MONTH(C2682)='BK-NL'!$M$11),"x","")</f>
        <v/>
      </c>
    </row>
    <row r="2683" spans="1:30" ht="16.5" customHeight="1">
      <c r="A2683" s="318" t="str">
        <f>IF(B2683&lt;&gt;"",IF(AND(B2683='IN-TC'!$S$4,OR(TH!N2683="1111",TH!O2683="1111")),TH!D2683,""),"")</f>
        <v/>
      </c>
      <c r="B2683" s="60" t="str">
        <f t="shared" si="284"/>
        <v/>
      </c>
      <c r="C2683" s="301"/>
      <c r="D2683" s="301"/>
      <c r="E2683" s="301"/>
      <c r="F2683" s="1162"/>
      <c r="G2683" s="968"/>
      <c r="H2683" s="303"/>
      <c r="I2683" s="385"/>
      <c r="J2683" s="969"/>
      <c r="K2683" s="385"/>
      <c r="L2683" s="392"/>
      <c r="M2683" s="970"/>
      <c r="N2683" s="304"/>
      <c r="O2683" s="304"/>
      <c r="P2683" s="79" t="str">
        <f>IF(AND('331-CT'!$E$7=TH!H2683,OR(N2683="331",O2683="331")),"x","")</f>
        <v/>
      </c>
      <c r="Q2683" s="79" t="str">
        <f>IF(AND(B2683='111'!$L$11,OR($N2683=$Q$7,$O2683=$Q$7)),"x","")</f>
        <v/>
      </c>
      <c r="R2683" s="79" t="str">
        <f>IF(AND($N2683=$Q$7,$B2683&lt;'111'!$L$11),"x","")</f>
        <v/>
      </c>
      <c r="S2683" s="79" t="str">
        <f>IF(AND($O2683=$Q$7,$B2683&lt;'111'!$L$11),"x","")</f>
        <v/>
      </c>
      <c r="T2683" s="79" t="str">
        <f>IF(ISERROR(FIND('112'!$M$9,G2683,1)),"",IF((AND(FIND('112'!$M$9,G2683,1)&gt;=1,B2683='112'!$K$9,OR($N2683='112'!$I$6,$O2683='112'!$I$6))),"x",""))</f>
        <v/>
      </c>
      <c r="U2683" s="79" t="str">
        <f>IF(ISERROR(FIND('112'!$M$9,G2683,1)),"",IF((AND(LEFT(G2683,2)=LEFT('112'!$M$9,2),B2683&lt;'112'!$K$9,$N2683='112'!$I$6)),"x",""))</f>
        <v/>
      </c>
      <c r="V2683" s="79" t="str">
        <f>IF(ISERROR(FIND('112'!$M$9,G2683,1)),"",IF((AND(RIGHT(G2683,2)=RIGHT('112'!$M$9,2),B2683&lt;'112'!$K$9,$O2683='112'!$I$6)),"x",""))</f>
        <v/>
      </c>
      <c r="W2683" s="79" t="str">
        <f>IF(AND('341-CT'!$H$9=H2683,OR(LEFT(N2683,3)=$W$7,LEFT(O2683,3)=$W$7)),"x","")</f>
        <v/>
      </c>
      <c r="X2683" s="79" t="str">
        <f>IF(OR(TH!N2683=TH!$X$7,O2683=TH!$X$7),"x","")</f>
        <v/>
      </c>
      <c r="Y2683" s="79" t="str">
        <f>IF(AND(OR(N2683="131",O2683="131"),H2683='131-CT'!$H$9),"x","")</f>
        <v/>
      </c>
      <c r="Z2683" s="79"/>
      <c r="AA2683" s="79" t="str">
        <f>IF(AND(MONTH(E2683)='IN-NX'!$J$5,'IN-NX'!$D$7=D2683),"x","")</f>
        <v/>
      </c>
      <c r="AB2683" s="79" t="str">
        <f>IF(AND(OR(LEFT(TH!N2683,2)="15",LEFT(TH!O2683,2)="15"),LEFT(TH!O2683,3)&lt;&gt;"111",'152-CT'!$J$8=TH!F2683),"x","")</f>
        <v/>
      </c>
      <c r="AC2683" s="79" t="str">
        <f>IF(AND(OR(LEFT(TH!N2683,2)="15",LEFT(TH!O2683,2)="15"),TK!$E$7=TH!F2683),"x","")</f>
        <v/>
      </c>
      <c r="AD2683" s="79" t="str">
        <f>IF(AND(N2683="1521",MONTH(C2683)='BK-NL'!$M$11),"x","")</f>
        <v/>
      </c>
    </row>
    <row r="2684" spans="1:30" ht="16.5" customHeight="1">
      <c r="A2684" s="318" t="str">
        <f>IF(B2684&lt;&gt;"",IF(AND(B2684='IN-TC'!$S$4,OR(TH!N2684="1111",TH!O2684="1111")),TH!D2684,""),"")</f>
        <v/>
      </c>
      <c r="B2684" s="60" t="str">
        <f t="shared" si="284"/>
        <v/>
      </c>
      <c r="C2684" s="301"/>
      <c r="D2684" s="301"/>
      <c r="E2684" s="301"/>
      <c r="F2684" s="1162"/>
      <c r="G2684" s="968"/>
      <c r="H2684" s="303"/>
      <c r="I2684" s="385"/>
      <c r="J2684" s="969"/>
      <c r="K2684" s="385"/>
      <c r="L2684" s="392"/>
      <c r="M2684" s="970"/>
      <c r="N2684" s="304"/>
      <c r="O2684" s="304"/>
      <c r="P2684" s="79" t="str">
        <f>IF(AND('331-CT'!$E$7=TH!H2684,OR(N2684="331",O2684="331")),"x","")</f>
        <v/>
      </c>
      <c r="Q2684" s="79" t="str">
        <f>IF(AND(B2684='111'!$L$11,OR($N2684=$Q$7,$O2684=$Q$7)),"x","")</f>
        <v/>
      </c>
      <c r="R2684" s="79" t="str">
        <f>IF(AND($N2684=$Q$7,$B2684&lt;'111'!$L$11),"x","")</f>
        <v/>
      </c>
      <c r="S2684" s="79" t="str">
        <f>IF(AND($O2684=$Q$7,$B2684&lt;'111'!$L$11),"x","")</f>
        <v/>
      </c>
      <c r="T2684" s="79" t="str">
        <f>IF(ISERROR(FIND('112'!$M$9,G2684,1)),"",IF((AND(FIND('112'!$M$9,G2684,1)&gt;=1,B2684='112'!$K$9,OR($N2684='112'!$I$6,$O2684='112'!$I$6))),"x",""))</f>
        <v/>
      </c>
      <c r="U2684" s="79" t="str">
        <f>IF(ISERROR(FIND('112'!$M$9,G2684,1)),"",IF((AND(LEFT(G2684,2)=LEFT('112'!$M$9,2),B2684&lt;'112'!$K$9,$N2684='112'!$I$6)),"x",""))</f>
        <v/>
      </c>
      <c r="V2684" s="79" t="str">
        <f>IF(ISERROR(FIND('112'!$M$9,G2684,1)),"",IF((AND(RIGHT(G2684,2)=RIGHT('112'!$M$9,2),B2684&lt;'112'!$K$9,$O2684='112'!$I$6)),"x",""))</f>
        <v/>
      </c>
      <c r="W2684" s="79" t="str">
        <f>IF(AND('341-CT'!$H$9=H2684,OR(LEFT(N2684,3)=$W$7,LEFT(O2684,3)=$W$7)),"x","")</f>
        <v/>
      </c>
      <c r="X2684" s="79" t="str">
        <f>IF(OR(TH!N2684=TH!$X$7,O2684=TH!$X$7),"x","")</f>
        <v/>
      </c>
      <c r="Y2684" s="79" t="str">
        <f>IF(AND(OR(N2684="131",O2684="131"),H2684='131-CT'!$H$9),"x","")</f>
        <v/>
      </c>
      <c r="Z2684" s="79"/>
      <c r="AA2684" s="79" t="str">
        <f>IF(AND(MONTH(E2684)='IN-NX'!$J$5,'IN-NX'!$D$7=D2684),"x","")</f>
        <v/>
      </c>
      <c r="AB2684" s="79" t="str">
        <f>IF(AND(OR(LEFT(TH!N2684,2)="15",LEFT(TH!O2684,2)="15"),LEFT(TH!O2684,3)&lt;&gt;"111",'152-CT'!$J$8=TH!F2684),"x","")</f>
        <v/>
      </c>
      <c r="AC2684" s="79" t="str">
        <f>IF(AND(OR(LEFT(TH!N2684,2)="15",LEFT(TH!O2684,2)="15"),TK!$E$7=TH!F2684),"x","")</f>
        <v/>
      </c>
      <c r="AD2684" s="79" t="str">
        <f>IF(AND(N2684="1521",MONTH(C2684)='BK-NL'!$M$11),"x","")</f>
        <v/>
      </c>
    </row>
    <row r="2685" spans="1:30" ht="16.5" customHeight="1">
      <c r="A2685" s="318" t="str">
        <f>IF(B2685&lt;&gt;"",IF(AND(B2685='IN-TC'!$S$4,OR(TH!N2685="1111",TH!O2685="1111")),TH!D2685,""),"")</f>
        <v/>
      </c>
      <c r="B2685" s="60" t="str">
        <f t="shared" si="284"/>
        <v/>
      </c>
      <c r="C2685" s="301"/>
      <c r="D2685" s="301"/>
      <c r="E2685" s="301"/>
      <c r="F2685" s="1162"/>
      <c r="G2685" s="968"/>
      <c r="H2685" s="303"/>
      <c r="I2685" s="385"/>
      <c r="J2685" s="969"/>
      <c r="K2685" s="385"/>
      <c r="L2685" s="392"/>
      <c r="M2685" s="970"/>
      <c r="N2685" s="304"/>
      <c r="O2685" s="304"/>
      <c r="P2685" s="79" t="str">
        <f>IF(AND('331-CT'!$E$7=TH!H2685,OR(N2685="331",O2685="331")),"x","")</f>
        <v/>
      </c>
      <c r="Q2685" s="79" t="str">
        <f>IF(AND(B2685='111'!$L$11,OR($N2685=$Q$7,$O2685=$Q$7)),"x","")</f>
        <v/>
      </c>
      <c r="R2685" s="79" t="str">
        <f>IF(AND($N2685=$Q$7,$B2685&lt;'111'!$L$11),"x","")</f>
        <v/>
      </c>
      <c r="S2685" s="79" t="str">
        <f>IF(AND($O2685=$Q$7,$B2685&lt;'111'!$L$11),"x","")</f>
        <v/>
      </c>
      <c r="T2685" s="79" t="str">
        <f>IF(ISERROR(FIND('112'!$M$9,G2685,1)),"",IF((AND(FIND('112'!$M$9,G2685,1)&gt;=1,B2685='112'!$K$9,OR($N2685='112'!$I$6,$O2685='112'!$I$6))),"x",""))</f>
        <v/>
      </c>
      <c r="U2685" s="79" t="str">
        <f>IF(ISERROR(FIND('112'!$M$9,G2685,1)),"",IF((AND(LEFT(G2685,2)=LEFT('112'!$M$9,2),B2685&lt;'112'!$K$9,$N2685='112'!$I$6)),"x",""))</f>
        <v/>
      </c>
      <c r="V2685" s="79" t="str">
        <f>IF(ISERROR(FIND('112'!$M$9,G2685,1)),"",IF((AND(RIGHT(G2685,2)=RIGHT('112'!$M$9,2),B2685&lt;'112'!$K$9,$O2685='112'!$I$6)),"x",""))</f>
        <v/>
      </c>
      <c r="W2685" s="79" t="str">
        <f>IF(AND('341-CT'!$H$9=H2685,OR(LEFT(N2685,3)=$W$7,LEFT(O2685,3)=$W$7)),"x","")</f>
        <v/>
      </c>
      <c r="X2685" s="79" t="str">
        <f>IF(OR(TH!N2685=TH!$X$7,O2685=TH!$X$7),"x","")</f>
        <v/>
      </c>
      <c r="Y2685" s="79" t="str">
        <f>IF(AND(OR(N2685="131",O2685="131"),H2685='131-CT'!$H$9),"x","")</f>
        <v/>
      </c>
      <c r="Z2685" s="79"/>
      <c r="AA2685" s="79" t="str">
        <f>IF(AND(MONTH(E2685)='IN-NX'!$J$5,'IN-NX'!$D$7=D2685),"x","")</f>
        <v/>
      </c>
      <c r="AB2685" s="79" t="str">
        <f>IF(AND(OR(LEFT(TH!N2685,2)="15",LEFT(TH!O2685,2)="15"),LEFT(TH!O2685,3)&lt;&gt;"111",'152-CT'!$J$8=TH!F2685),"x","")</f>
        <v/>
      </c>
      <c r="AC2685" s="79" t="str">
        <f>IF(AND(OR(LEFT(TH!N2685,2)="15",LEFT(TH!O2685,2)="15"),TK!$E$7=TH!F2685),"x","")</f>
        <v/>
      </c>
      <c r="AD2685" s="79" t="str">
        <f>IF(AND(N2685="1521",MONTH(C2685)='BK-NL'!$M$11),"x","")</f>
        <v/>
      </c>
    </row>
    <row r="2686" spans="1:30" ht="16.5" customHeight="1">
      <c r="A2686" s="318" t="str">
        <f>IF(B2686&lt;&gt;"",IF(AND(B2686='IN-TC'!$S$4,OR(TH!N2686="1111",TH!O2686="1111")),TH!D2686,""),"")</f>
        <v/>
      </c>
      <c r="B2686" s="60" t="str">
        <f t="shared" ref="B2686" si="285">IF(C2686&lt;&gt;"",MONTH(C2686),"")</f>
        <v/>
      </c>
      <c r="C2686" s="301"/>
      <c r="D2686" s="301"/>
      <c r="E2686" s="301"/>
      <c r="F2686" s="1162"/>
      <c r="G2686" s="968"/>
      <c r="H2686" s="303"/>
      <c r="I2686" s="385"/>
      <c r="J2686" s="969"/>
      <c r="K2686" s="385"/>
      <c r="L2686" s="392"/>
      <c r="M2686" s="970"/>
      <c r="N2686" s="304"/>
      <c r="O2686" s="304"/>
      <c r="P2686" s="79" t="str">
        <f>IF(AND('331-CT'!$E$7=TH!H2686,OR(N2686="331",O2686="331")),"x","")</f>
        <v/>
      </c>
      <c r="Q2686" s="79" t="str">
        <f>IF(AND(B2686='111'!$L$11,OR($N2686=$Q$7,$O2686=$Q$7)),"x","")</f>
        <v/>
      </c>
      <c r="R2686" s="79" t="str">
        <f>IF(AND($N2686=$Q$7,$B2686&lt;'111'!$L$11),"x","")</f>
        <v/>
      </c>
      <c r="S2686" s="79" t="str">
        <f>IF(AND($O2686=$Q$7,$B2686&lt;'111'!$L$11),"x","")</f>
        <v/>
      </c>
      <c r="T2686" s="79" t="str">
        <f>IF(ISERROR(FIND('112'!$M$9,G2686,1)),"",IF((AND(FIND('112'!$M$9,G2686,1)&gt;=1,B2686='112'!$K$9,OR($N2686='112'!$I$6,$O2686='112'!$I$6))),"x",""))</f>
        <v/>
      </c>
      <c r="U2686" s="79" t="str">
        <f>IF(ISERROR(FIND('112'!$M$9,G2686,1)),"",IF((AND(LEFT(G2686,2)=LEFT('112'!$M$9,2),B2686&lt;'112'!$K$9,$N2686='112'!$I$6)),"x",""))</f>
        <v/>
      </c>
      <c r="V2686" s="79" t="str">
        <f>IF(ISERROR(FIND('112'!$M$9,G2686,1)),"",IF((AND(RIGHT(G2686,2)=RIGHT('112'!$M$9,2),B2686&lt;'112'!$K$9,$O2686='112'!$I$6)),"x",""))</f>
        <v/>
      </c>
      <c r="W2686" s="79" t="str">
        <f>IF(AND('341-CT'!$H$9=H2686,OR(LEFT(N2686,3)=$W$7,LEFT(O2686,3)=$W$7)),"x","")</f>
        <v/>
      </c>
      <c r="X2686" s="79" t="str">
        <f>IF(OR(TH!N2686=TH!$X$7,O2686=TH!$X$7),"x","")</f>
        <v/>
      </c>
      <c r="Y2686" s="79" t="str">
        <f>IF(AND(OR(N2686="131",O2686="131"),H2686='131-CT'!$H$9),"x","")</f>
        <v/>
      </c>
      <c r="Z2686" s="79"/>
      <c r="AA2686" s="79" t="str">
        <f>IF(AND(MONTH(E2686)='IN-NX'!$J$5,'IN-NX'!$D$7=D2686),"x","")</f>
        <v/>
      </c>
      <c r="AB2686" s="79" t="str">
        <f>IF(AND(OR(LEFT(TH!N2686,2)="15",LEFT(TH!O2686,2)="15"),LEFT(TH!O2686,3)&lt;&gt;"111",'152-CT'!$J$8=TH!F2686),"x","")</f>
        <v/>
      </c>
      <c r="AC2686" s="79" t="str">
        <f>IF(AND(OR(LEFT(TH!N2686,2)="15",LEFT(TH!O2686,2)="15"),TK!$E$7=TH!F2686),"x","")</f>
        <v/>
      </c>
      <c r="AD2686" s="79" t="str">
        <f>IF(AND(N2686="1521",MONTH(C2686)='BK-NL'!$M$11),"x","")</f>
        <v/>
      </c>
    </row>
    <row r="2687" spans="1:30" ht="16.5" customHeight="1">
      <c r="A2687" s="318" t="str">
        <f>IF(B2687&lt;&gt;"",IF(AND(B2687='IN-TC'!$S$4,OR(TH!N2687="1111",TH!O2687="1111")),TH!D2687,""),"")</f>
        <v/>
      </c>
      <c r="B2687" s="60" t="str">
        <f t="shared" ref="B2687:B2689" si="286">IF(C2687&lt;&gt;"",MONTH(C2687),"")</f>
        <v/>
      </c>
      <c r="C2687" s="301"/>
      <c r="D2687" s="301"/>
      <c r="E2687" s="301"/>
      <c r="F2687" s="1162"/>
      <c r="G2687" s="968"/>
      <c r="H2687" s="303"/>
      <c r="I2687" s="385"/>
      <c r="J2687" s="969"/>
      <c r="K2687" s="385"/>
      <c r="L2687" s="392"/>
      <c r="M2687" s="970"/>
      <c r="N2687" s="304"/>
      <c r="O2687" s="304"/>
      <c r="P2687" s="79" t="str">
        <f>IF(AND('331-CT'!$E$7=TH!H2687,OR(N2687="331",O2687="331")),"x","")</f>
        <v/>
      </c>
      <c r="Q2687" s="79" t="str">
        <f>IF(AND(B2687='111'!$L$11,OR($N2687=$Q$7,$O2687=$Q$7)),"x","")</f>
        <v/>
      </c>
      <c r="R2687" s="79" t="str">
        <f>IF(AND($N2687=$Q$7,$B2687&lt;'111'!$L$11),"x","")</f>
        <v/>
      </c>
      <c r="S2687" s="79" t="str">
        <f>IF(AND($O2687=$Q$7,$B2687&lt;'111'!$L$11),"x","")</f>
        <v/>
      </c>
      <c r="T2687" s="79" t="str">
        <f>IF(ISERROR(FIND('112'!$M$9,G2687,1)),"",IF((AND(FIND('112'!$M$9,G2687,1)&gt;=1,B2687='112'!$K$9,OR($N2687='112'!$I$6,$O2687='112'!$I$6))),"x",""))</f>
        <v/>
      </c>
      <c r="U2687" s="79" t="str">
        <f>IF(ISERROR(FIND('112'!$M$9,G2687,1)),"",IF((AND(LEFT(G2687,2)=LEFT('112'!$M$9,2),B2687&lt;'112'!$K$9,$N2687='112'!$I$6)),"x",""))</f>
        <v/>
      </c>
      <c r="V2687" s="79" t="str">
        <f>IF(ISERROR(FIND('112'!$M$9,G2687,1)),"",IF((AND(RIGHT(G2687,2)=RIGHT('112'!$M$9,2),B2687&lt;'112'!$K$9,$O2687='112'!$I$6)),"x",""))</f>
        <v/>
      </c>
      <c r="W2687" s="79" t="str">
        <f>IF(AND('341-CT'!$H$9=H2687,OR(LEFT(N2687,3)=$W$7,LEFT(O2687,3)=$W$7)),"x","")</f>
        <v/>
      </c>
      <c r="X2687" s="79" t="str">
        <f>IF(OR(TH!N2687=TH!$X$7,O2687=TH!$X$7),"x","")</f>
        <v/>
      </c>
      <c r="Y2687" s="79" t="str">
        <f>IF(AND(OR(N2687="131",O2687="131"),H2687='131-CT'!$H$9),"x","")</f>
        <v/>
      </c>
      <c r="Z2687" s="79"/>
      <c r="AA2687" s="79" t="str">
        <f>IF(AND(MONTH(E2687)='IN-NX'!$J$5,'IN-NX'!$D$7=D2687),"x","")</f>
        <v/>
      </c>
      <c r="AB2687" s="79" t="str">
        <f>IF(AND(OR(LEFT(TH!N2687,2)="15",LEFT(TH!O2687,2)="15"),LEFT(TH!O2687,3)&lt;&gt;"111",'152-CT'!$J$8=TH!F2687),"x","")</f>
        <v/>
      </c>
      <c r="AC2687" s="79" t="str">
        <f>IF(AND(OR(LEFT(TH!N2687,2)="15",LEFT(TH!O2687,2)="15"),TK!$E$7=TH!F2687),"x","")</f>
        <v/>
      </c>
      <c r="AD2687" s="79" t="str">
        <f>IF(AND(N2687="1521",MONTH(C2687)='BK-NL'!$M$11),"x","")</f>
        <v/>
      </c>
    </row>
    <row r="2688" spans="1:30" ht="16.5" customHeight="1">
      <c r="A2688" s="318" t="str">
        <f>IF(B2688&lt;&gt;"",IF(AND(B2688='IN-TC'!$S$4,OR(TH!N2688="1111",TH!O2688="1111")),TH!D2688,""),"")</f>
        <v/>
      </c>
      <c r="B2688" s="60" t="str">
        <f t="shared" si="286"/>
        <v/>
      </c>
      <c r="C2688" s="301"/>
      <c r="D2688" s="301"/>
      <c r="E2688" s="301"/>
      <c r="F2688" s="1162"/>
      <c r="G2688" s="968"/>
      <c r="H2688" s="303"/>
      <c r="I2688" s="385"/>
      <c r="J2688" s="969"/>
      <c r="K2688" s="385"/>
      <c r="L2688" s="392"/>
      <c r="M2688" s="970"/>
      <c r="N2688" s="304"/>
      <c r="O2688" s="304"/>
      <c r="P2688" s="79" t="str">
        <f>IF(AND('331-CT'!$E$7=TH!H2688,OR(N2688="331",O2688="331")),"x","")</f>
        <v/>
      </c>
      <c r="Q2688" s="79" t="str">
        <f>IF(AND(B2688='111'!$L$11,OR($N2688=$Q$7,$O2688=$Q$7)),"x","")</f>
        <v/>
      </c>
      <c r="R2688" s="79" t="str">
        <f>IF(AND($N2688=$Q$7,$B2688&lt;'111'!$L$11),"x","")</f>
        <v/>
      </c>
      <c r="S2688" s="79" t="str">
        <f>IF(AND($O2688=$Q$7,$B2688&lt;'111'!$L$11),"x","")</f>
        <v/>
      </c>
      <c r="T2688" s="79" t="str">
        <f>IF(ISERROR(FIND('112'!$M$9,G2688,1)),"",IF((AND(FIND('112'!$M$9,G2688,1)&gt;=1,B2688='112'!$K$9,OR($N2688='112'!$I$6,$O2688='112'!$I$6))),"x",""))</f>
        <v/>
      </c>
      <c r="U2688" s="79" t="str">
        <f>IF(ISERROR(FIND('112'!$M$9,G2688,1)),"",IF((AND(LEFT(G2688,2)=LEFT('112'!$M$9,2),B2688&lt;'112'!$K$9,$N2688='112'!$I$6)),"x",""))</f>
        <v/>
      </c>
      <c r="V2688" s="79" t="str">
        <f>IF(ISERROR(FIND('112'!$M$9,G2688,1)),"",IF((AND(RIGHT(G2688,2)=RIGHT('112'!$M$9,2),B2688&lt;'112'!$K$9,$O2688='112'!$I$6)),"x",""))</f>
        <v/>
      </c>
      <c r="W2688" s="79" t="str">
        <f>IF(AND('341-CT'!$H$9=H2688,OR(LEFT(N2688,3)=$W$7,LEFT(O2688,3)=$W$7)),"x","")</f>
        <v/>
      </c>
      <c r="X2688" s="79" t="str">
        <f>IF(OR(TH!N2688=TH!$X$7,O2688=TH!$X$7),"x","")</f>
        <v/>
      </c>
      <c r="Y2688" s="79" t="str">
        <f>IF(AND(OR(N2688="131",O2688="131"),H2688='131-CT'!$H$9),"x","")</f>
        <v/>
      </c>
      <c r="Z2688" s="79"/>
      <c r="AA2688" s="79" t="str">
        <f>IF(AND(MONTH(E2688)='IN-NX'!$J$5,'IN-NX'!$D$7=D2688),"x","")</f>
        <v/>
      </c>
      <c r="AB2688" s="79" t="str">
        <f>IF(AND(OR(LEFT(TH!N2688,2)="15",LEFT(TH!O2688,2)="15"),LEFT(TH!O2688,3)&lt;&gt;"111",'152-CT'!$J$8=TH!F2688),"x","")</f>
        <v/>
      </c>
      <c r="AC2688" s="79" t="str">
        <f>IF(AND(OR(LEFT(TH!N2688,2)="15",LEFT(TH!O2688,2)="15"),TK!$E$7=TH!F2688),"x","")</f>
        <v/>
      </c>
      <c r="AD2688" s="79" t="str">
        <f>IF(AND(N2688="1521",MONTH(C2688)='BK-NL'!$M$11),"x","")</f>
        <v/>
      </c>
    </row>
    <row r="2689" spans="1:30" ht="16.5" customHeight="1">
      <c r="A2689" s="318" t="str">
        <f>IF(B2689&lt;&gt;"",IF(AND(B2689='IN-TC'!$S$4,OR(TH!N2689="1111",TH!O2689="1111")),TH!D2689,""),"")</f>
        <v/>
      </c>
      <c r="B2689" s="60" t="str">
        <f t="shared" si="286"/>
        <v/>
      </c>
      <c r="C2689" s="301"/>
      <c r="D2689" s="301"/>
      <c r="E2689" s="301"/>
      <c r="F2689" s="1162"/>
      <c r="G2689" s="968"/>
      <c r="H2689" s="303"/>
      <c r="I2689" s="385"/>
      <c r="J2689" s="969"/>
      <c r="K2689" s="385"/>
      <c r="L2689" s="392"/>
      <c r="M2689" s="970"/>
      <c r="N2689" s="304"/>
      <c r="O2689" s="304"/>
      <c r="P2689" s="79" t="str">
        <f>IF(AND('331-CT'!$E$7=TH!H2689,OR(N2689="331",O2689="331")),"x","")</f>
        <v/>
      </c>
      <c r="Q2689" s="79" t="str">
        <f>IF(AND(B2689='111'!$L$11,OR($N2689=$Q$7,$O2689=$Q$7)),"x","")</f>
        <v/>
      </c>
      <c r="R2689" s="79" t="str">
        <f>IF(AND($N2689=$Q$7,$B2689&lt;'111'!$L$11),"x","")</f>
        <v/>
      </c>
      <c r="S2689" s="79" t="str">
        <f>IF(AND($O2689=$Q$7,$B2689&lt;'111'!$L$11),"x","")</f>
        <v/>
      </c>
      <c r="T2689" s="79" t="str">
        <f>IF(ISERROR(FIND('112'!$M$9,G2689,1)),"",IF((AND(FIND('112'!$M$9,G2689,1)&gt;=1,B2689='112'!$K$9,OR($N2689='112'!$I$6,$O2689='112'!$I$6))),"x",""))</f>
        <v/>
      </c>
      <c r="U2689" s="79" t="str">
        <f>IF(ISERROR(FIND('112'!$M$9,G2689,1)),"",IF((AND(LEFT(G2689,2)=LEFT('112'!$M$9,2),B2689&lt;'112'!$K$9,$N2689='112'!$I$6)),"x",""))</f>
        <v/>
      </c>
      <c r="V2689" s="79" t="str">
        <f>IF(ISERROR(FIND('112'!$M$9,G2689,1)),"",IF((AND(RIGHT(G2689,2)=RIGHT('112'!$M$9,2),B2689&lt;'112'!$K$9,$O2689='112'!$I$6)),"x",""))</f>
        <v/>
      </c>
      <c r="W2689" s="79" t="str">
        <f>IF(AND('341-CT'!$H$9=H2689,OR(LEFT(N2689,3)=$W$7,LEFT(O2689,3)=$W$7)),"x","")</f>
        <v/>
      </c>
      <c r="X2689" s="79" t="str">
        <f>IF(OR(TH!N2689=TH!$X$7,O2689=TH!$X$7),"x","")</f>
        <v/>
      </c>
      <c r="Y2689" s="79" t="str">
        <f>IF(AND(OR(N2689="131",O2689="131"),H2689='131-CT'!$H$9),"x","")</f>
        <v/>
      </c>
      <c r="Z2689" s="79"/>
      <c r="AA2689" s="79" t="str">
        <f>IF(AND(MONTH(E2689)='IN-NX'!$J$5,'IN-NX'!$D$7=D2689),"x","")</f>
        <v/>
      </c>
      <c r="AB2689" s="79" t="str">
        <f>IF(AND(OR(LEFT(TH!N2689,2)="15",LEFT(TH!O2689,2)="15"),LEFT(TH!O2689,3)&lt;&gt;"111",'152-CT'!$J$8=TH!F2689),"x","")</f>
        <v/>
      </c>
      <c r="AC2689" s="79" t="str">
        <f>IF(AND(OR(LEFT(TH!N2689,2)="15",LEFT(TH!O2689,2)="15"),TK!$E$7=TH!F2689),"x","")</f>
        <v/>
      </c>
      <c r="AD2689" s="79" t="str">
        <f>IF(AND(N2689="1521",MONTH(C2689)='BK-NL'!$M$11),"x","")</f>
        <v/>
      </c>
    </row>
    <row r="2690" spans="1:30" ht="16.5" customHeight="1">
      <c r="A2690" s="318" t="str">
        <f>IF(B2690&lt;&gt;"",IF(AND(B2690='IN-TC'!$S$4,OR(TH!N2690="1111",TH!O2690="1111")),TH!D2690,""),"")</f>
        <v/>
      </c>
      <c r="B2690" s="60" t="str">
        <f t="shared" ref="B2690:B2694" si="287">IF(C2690&lt;&gt;"",MONTH(C2690),"")</f>
        <v/>
      </c>
      <c r="C2690" s="301"/>
      <c r="D2690" s="301"/>
      <c r="E2690" s="301"/>
      <c r="F2690" s="1162"/>
      <c r="G2690" s="968"/>
      <c r="H2690" s="303"/>
      <c r="I2690" s="385"/>
      <c r="J2690" s="969"/>
      <c r="K2690" s="385"/>
      <c r="L2690" s="392"/>
      <c r="M2690" s="970"/>
      <c r="N2690" s="304"/>
      <c r="O2690" s="304"/>
      <c r="P2690" s="79" t="str">
        <f>IF(AND('331-CT'!$E$7=TH!H2690,OR(N2690="331",O2690="331")),"x","")</f>
        <v/>
      </c>
      <c r="Q2690" s="79" t="str">
        <f>IF(AND(B2690='111'!$L$11,OR($N2690=$Q$7,$O2690=$Q$7)),"x","")</f>
        <v/>
      </c>
      <c r="R2690" s="79" t="str">
        <f>IF(AND($N2690=$Q$7,$B2690&lt;'111'!$L$11),"x","")</f>
        <v/>
      </c>
      <c r="S2690" s="79" t="str">
        <f>IF(AND($O2690=$Q$7,$B2690&lt;'111'!$L$11),"x","")</f>
        <v/>
      </c>
      <c r="T2690" s="79" t="str">
        <f>IF(ISERROR(FIND('112'!$M$9,G2690,1)),"",IF((AND(FIND('112'!$M$9,G2690,1)&gt;=1,B2690='112'!$K$9,OR($N2690='112'!$I$6,$O2690='112'!$I$6))),"x",""))</f>
        <v/>
      </c>
      <c r="U2690" s="79" t="str">
        <f>IF(ISERROR(FIND('112'!$M$9,G2690,1)),"",IF((AND(LEFT(G2690,2)=LEFT('112'!$M$9,2),B2690&lt;'112'!$K$9,$N2690='112'!$I$6)),"x",""))</f>
        <v/>
      </c>
      <c r="V2690" s="79" t="str">
        <f>IF(ISERROR(FIND('112'!$M$9,G2690,1)),"",IF((AND(RIGHT(G2690,2)=RIGHT('112'!$M$9,2),B2690&lt;'112'!$K$9,$O2690='112'!$I$6)),"x",""))</f>
        <v/>
      </c>
      <c r="W2690" s="79" t="str">
        <f>IF(AND('341-CT'!$H$9=H2690,OR(LEFT(N2690,3)=$W$7,LEFT(O2690,3)=$W$7)),"x","")</f>
        <v/>
      </c>
      <c r="X2690" s="79" t="str">
        <f>IF(OR(TH!N2690=TH!$X$7,O2690=TH!$X$7),"x","")</f>
        <v/>
      </c>
      <c r="Y2690" s="79" t="str">
        <f>IF(AND(OR(N2690="131",O2690="131"),H2690='131-CT'!$H$9),"x","")</f>
        <v/>
      </c>
      <c r="Z2690" s="79"/>
      <c r="AA2690" s="79" t="str">
        <f>IF(AND(MONTH(E2690)='IN-NX'!$J$5,'IN-NX'!$D$7=D2690),"x","")</f>
        <v/>
      </c>
      <c r="AB2690" s="79" t="str">
        <f>IF(AND(OR(LEFT(TH!N2690,2)="15",LEFT(TH!O2690,2)="15"),LEFT(TH!O2690,3)&lt;&gt;"111",'152-CT'!$J$8=TH!F2690),"x","")</f>
        <v/>
      </c>
      <c r="AC2690" s="79" t="str">
        <f>IF(AND(OR(LEFT(TH!N2690,2)="15",LEFT(TH!O2690,2)="15"),TK!$E$7=TH!F2690),"x","")</f>
        <v/>
      </c>
      <c r="AD2690" s="79" t="str">
        <f>IF(AND(N2690="1521",MONTH(C2690)='BK-NL'!$M$11),"x","")</f>
        <v/>
      </c>
    </row>
    <row r="2691" spans="1:30" ht="18" customHeight="1">
      <c r="A2691" s="318" t="str">
        <f>IF(B2691&lt;&gt;"",IF(AND(B2691='IN-TC'!$S$4,OR(TH!N2691="1111",TH!O2691="1111")),TH!D2691,""),"")</f>
        <v/>
      </c>
      <c r="B2691" s="60" t="str">
        <f t="shared" si="287"/>
        <v/>
      </c>
      <c r="C2691" s="301"/>
      <c r="D2691" s="301"/>
      <c r="E2691" s="301"/>
      <c r="F2691" s="1162"/>
      <c r="G2691" s="968"/>
      <c r="H2691" s="303"/>
      <c r="I2691" s="385"/>
      <c r="J2691" s="969"/>
      <c r="K2691" s="385"/>
      <c r="L2691" s="392"/>
      <c r="M2691" s="970"/>
      <c r="N2691" s="304"/>
      <c r="O2691" s="304"/>
      <c r="P2691" s="79" t="str">
        <f>IF(AND('331-CT'!$E$7=TH!H2691,OR(N2691="331",O2691="331")),"x","")</f>
        <v/>
      </c>
      <c r="Q2691" s="79" t="str">
        <f>IF(AND(B2691='111'!$L$11,OR($N2691=$Q$7,$O2691=$Q$7)),"x","")</f>
        <v/>
      </c>
      <c r="R2691" s="79" t="str">
        <f>IF(AND($N2691=$Q$7,$B2691&lt;'111'!$L$11),"x","")</f>
        <v/>
      </c>
      <c r="S2691" s="79" t="str">
        <f>IF(AND($O2691=$Q$7,$B2691&lt;'111'!$L$11),"x","")</f>
        <v/>
      </c>
      <c r="T2691" s="79" t="str">
        <f>IF(ISERROR(FIND('112'!$M$9,G2691,1)),"",IF((AND(FIND('112'!$M$9,G2691,1)&gt;=1,B2691='112'!$K$9,OR($N2691='112'!$I$6,$O2691='112'!$I$6))),"x",""))</f>
        <v/>
      </c>
      <c r="U2691" s="79" t="str">
        <f>IF(ISERROR(FIND('112'!$M$9,G2691,1)),"",IF((AND(LEFT(G2691,2)=LEFT('112'!$M$9,2),B2691&lt;'112'!$K$9,$N2691='112'!$I$6)),"x",""))</f>
        <v/>
      </c>
      <c r="V2691" s="79" t="str">
        <f>IF(ISERROR(FIND('112'!$M$9,G2691,1)),"",IF((AND(RIGHT(G2691,2)=RIGHT('112'!$M$9,2),B2691&lt;'112'!$K$9,$O2691='112'!$I$6)),"x",""))</f>
        <v/>
      </c>
      <c r="W2691" s="79" t="str">
        <f>IF(AND('341-CT'!$H$9=H2691,OR(LEFT(N2691,3)=$W$7,LEFT(O2691,3)=$W$7)),"x","")</f>
        <v/>
      </c>
      <c r="X2691" s="79" t="str">
        <f>IF(OR(TH!N2691=TH!$X$7,O2691=TH!$X$7),"x","")</f>
        <v/>
      </c>
      <c r="Y2691" s="79" t="str">
        <f>IF(AND(OR(N2691="131",O2691="131"),H2691='131-CT'!$H$9),"x","")</f>
        <v/>
      </c>
      <c r="Z2691" s="79"/>
      <c r="AA2691" s="79" t="str">
        <f>IF(AND(MONTH(E2691)='IN-NX'!$J$5,'IN-NX'!$D$7=D2691),"x","")</f>
        <v/>
      </c>
      <c r="AB2691" s="79" t="str">
        <f>IF(AND(OR(LEFT(TH!N2691,2)="15",LEFT(TH!O2691,2)="15"),LEFT(TH!O2691,3)&lt;&gt;"111",'152-CT'!$J$8=TH!F2691),"x","")</f>
        <v/>
      </c>
      <c r="AC2691" s="79" t="str">
        <f>IF(AND(OR(LEFT(TH!N2691,2)="15",LEFT(TH!O2691,2)="15"),TK!$E$7=TH!F2691),"x","")</f>
        <v/>
      </c>
      <c r="AD2691" s="79" t="str">
        <f>IF(AND(N2691="1521",MONTH(C2691)='BK-NL'!$M$11),"x","")</f>
        <v/>
      </c>
    </row>
    <row r="2692" spans="1:30" ht="18" customHeight="1">
      <c r="A2692" s="318" t="str">
        <f>IF(B2692&lt;&gt;"",IF(AND(B2692='IN-TC'!$S$4,OR(TH!N2692="1111",TH!O2692="1111")),TH!D2692,""),"")</f>
        <v/>
      </c>
      <c r="B2692" s="60" t="str">
        <f t="shared" si="287"/>
        <v/>
      </c>
      <c r="C2692" s="301"/>
      <c r="D2692" s="301"/>
      <c r="E2692" s="301"/>
      <c r="F2692" s="1162"/>
      <c r="G2692" s="968"/>
      <c r="H2692" s="303"/>
      <c r="I2692" s="385"/>
      <c r="J2692" s="969"/>
      <c r="K2692" s="385"/>
      <c r="L2692" s="392"/>
      <c r="M2692" s="970"/>
      <c r="N2692" s="304"/>
      <c r="O2692" s="304"/>
      <c r="P2692" s="79" t="str">
        <f>IF(AND('331-CT'!$E$7=TH!H2692,OR(N2692="331",O2692="331")),"x","")</f>
        <v/>
      </c>
      <c r="Q2692" s="79" t="str">
        <f>IF(AND(B2692='111'!$L$11,OR($N2692=$Q$7,$O2692=$Q$7)),"x","")</f>
        <v/>
      </c>
      <c r="R2692" s="79" t="str">
        <f>IF(AND($N2692=$Q$7,$B2692&lt;'111'!$L$11),"x","")</f>
        <v/>
      </c>
      <c r="S2692" s="79" t="str">
        <f>IF(AND($O2692=$Q$7,$B2692&lt;'111'!$L$11),"x","")</f>
        <v/>
      </c>
      <c r="T2692" s="79" t="str">
        <f>IF(ISERROR(FIND('112'!$M$9,G2692,1)),"",IF((AND(FIND('112'!$M$9,G2692,1)&gt;=1,B2692='112'!$K$9,OR($N2692='112'!$I$6,$O2692='112'!$I$6))),"x",""))</f>
        <v/>
      </c>
      <c r="U2692" s="79" t="str">
        <f>IF(ISERROR(FIND('112'!$M$9,G2692,1)),"",IF((AND(LEFT(G2692,2)=LEFT('112'!$M$9,2),B2692&lt;'112'!$K$9,$N2692='112'!$I$6)),"x",""))</f>
        <v/>
      </c>
      <c r="V2692" s="79" t="str">
        <f>IF(ISERROR(FIND('112'!$M$9,G2692,1)),"",IF((AND(RIGHT(G2692,2)=RIGHT('112'!$M$9,2),B2692&lt;'112'!$K$9,$O2692='112'!$I$6)),"x",""))</f>
        <v/>
      </c>
      <c r="W2692" s="79" t="str">
        <f>IF(AND('341-CT'!$H$9=H2692,OR(LEFT(N2692,3)=$W$7,LEFT(O2692,3)=$W$7)),"x","")</f>
        <v/>
      </c>
      <c r="X2692" s="79" t="str">
        <f>IF(OR(TH!N2692=TH!$X$7,O2692=TH!$X$7),"x","")</f>
        <v/>
      </c>
      <c r="Y2692" s="79" t="str">
        <f>IF(AND(OR(N2692="131",O2692="131"),H2692='131-CT'!$H$9),"x","")</f>
        <v/>
      </c>
      <c r="Z2692" s="79"/>
      <c r="AA2692" s="79" t="str">
        <f>IF(AND(MONTH(E2692)='IN-NX'!$J$5,'IN-NX'!$D$7=D2692),"x","")</f>
        <v/>
      </c>
      <c r="AB2692" s="79" t="str">
        <f>IF(AND(OR(LEFT(TH!N2692,2)="15",LEFT(TH!O2692,2)="15"),LEFT(TH!O2692,3)&lt;&gt;"111",'152-CT'!$J$8=TH!F2692),"x","")</f>
        <v/>
      </c>
      <c r="AC2692" s="79" t="str">
        <f>IF(AND(OR(LEFT(TH!N2692,2)="15",LEFT(TH!O2692,2)="15"),TK!$E$7=TH!F2692),"x","")</f>
        <v/>
      </c>
      <c r="AD2692" s="79" t="str">
        <f>IF(AND(N2692="1521",MONTH(C2692)='BK-NL'!$M$11),"x","")</f>
        <v/>
      </c>
    </row>
    <row r="2693" spans="1:30" ht="16.5" customHeight="1">
      <c r="A2693" s="318" t="str">
        <f>IF(B2693&lt;&gt;"",IF(AND(B2693='IN-TC'!$S$4,OR(TH!N2693="1111",TH!O2693="1111")),TH!D2693,""),"")</f>
        <v/>
      </c>
      <c r="B2693" s="60" t="str">
        <f t="shared" si="287"/>
        <v/>
      </c>
      <c r="C2693" s="301"/>
      <c r="D2693" s="301"/>
      <c r="E2693" s="301"/>
      <c r="F2693" s="1162"/>
      <c r="G2693" s="968"/>
      <c r="H2693" s="303"/>
      <c r="I2693" s="385"/>
      <c r="J2693" s="969"/>
      <c r="K2693" s="385"/>
      <c r="L2693" s="392"/>
      <c r="M2693" s="970"/>
      <c r="N2693" s="304"/>
      <c r="O2693" s="304"/>
      <c r="P2693" s="79" t="str">
        <f>IF(AND('331-CT'!$E$7=TH!H2693,OR(N2693="331",O2693="331")),"x","")</f>
        <v/>
      </c>
      <c r="Q2693" s="79" t="str">
        <f>IF(AND(B2693='111'!$L$11,OR($N2693=$Q$7,$O2693=$Q$7)),"x","")</f>
        <v/>
      </c>
      <c r="R2693" s="79" t="str">
        <f>IF(AND($N2693=$Q$7,$B2693&lt;'111'!$L$11),"x","")</f>
        <v/>
      </c>
      <c r="S2693" s="79" t="str">
        <f>IF(AND($O2693=$Q$7,$B2693&lt;'111'!$L$11),"x","")</f>
        <v/>
      </c>
      <c r="T2693" s="79" t="str">
        <f>IF(ISERROR(FIND('112'!$M$9,G2693,1)),"",IF((AND(FIND('112'!$M$9,G2693,1)&gt;=1,B2693='112'!$K$9,OR($N2693='112'!$I$6,$O2693='112'!$I$6))),"x",""))</f>
        <v/>
      </c>
      <c r="U2693" s="79" t="str">
        <f>IF(ISERROR(FIND('112'!$M$9,G2693,1)),"",IF((AND(LEFT(G2693,2)=LEFT('112'!$M$9,2),B2693&lt;'112'!$K$9,$N2693='112'!$I$6)),"x",""))</f>
        <v/>
      </c>
      <c r="V2693" s="79" t="str">
        <f>IF(ISERROR(FIND('112'!$M$9,G2693,1)),"",IF((AND(RIGHT(G2693,2)=RIGHT('112'!$M$9,2),B2693&lt;'112'!$K$9,$O2693='112'!$I$6)),"x",""))</f>
        <v/>
      </c>
      <c r="W2693" s="79" t="str">
        <f>IF(AND('341-CT'!$H$9=H2693,OR(LEFT(N2693,3)=$W$7,LEFT(O2693,3)=$W$7)),"x","")</f>
        <v/>
      </c>
      <c r="X2693" s="79" t="str">
        <f>IF(OR(TH!N2693=TH!$X$7,O2693=TH!$X$7),"x","")</f>
        <v/>
      </c>
      <c r="Y2693" s="79" t="str">
        <f>IF(AND(OR(N2693="131",O2693="131"),H2693='131-CT'!$H$9),"x","")</f>
        <v/>
      </c>
      <c r="Z2693" s="79"/>
      <c r="AA2693" s="79" t="str">
        <f>IF(AND(MONTH(E2693)='IN-NX'!$J$5,'IN-NX'!$D$7=D2693),"x","")</f>
        <v/>
      </c>
      <c r="AB2693" s="79" t="str">
        <f>IF(AND(OR(LEFT(TH!N2693,2)="15",LEFT(TH!O2693,2)="15"),LEFT(TH!O2693,3)&lt;&gt;"111",'152-CT'!$J$8=TH!F2693),"x","")</f>
        <v/>
      </c>
      <c r="AC2693" s="79" t="str">
        <f>IF(AND(OR(LEFT(TH!N2693,2)="15",LEFT(TH!O2693,2)="15"),TK!$E$7=TH!F2693),"x","")</f>
        <v/>
      </c>
      <c r="AD2693" s="79" t="str">
        <f>IF(AND(N2693="1521",MONTH(C2693)='BK-NL'!$M$11),"x","")</f>
        <v/>
      </c>
    </row>
    <row r="2694" spans="1:30" ht="16.5" customHeight="1">
      <c r="A2694" s="318" t="str">
        <f>IF(B2694&lt;&gt;"",IF(AND(B2694='IN-TC'!$S$4,OR(TH!N2694="1111",TH!O2694="1111")),TH!D2694,""),"")</f>
        <v/>
      </c>
      <c r="B2694" s="60" t="str">
        <f t="shared" si="287"/>
        <v/>
      </c>
      <c r="C2694" s="301"/>
      <c r="D2694" s="301"/>
      <c r="E2694" s="301"/>
      <c r="F2694" s="1162"/>
      <c r="G2694" s="968"/>
      <c r="H2694" s="303"/>
      <c r="I2694" s="385"/>
      <c r="J2694" s="969"/>
      <c r="K2694" s="385"/>
      <c r="L2694" s="392"/>
      <c r="M2694" s="970"/>
      <c r="N2694" s="304"/>
      <c r="O2694" s="304"/>
      <c r="P2694" s="79" t="str">
        <f>IF(AND('331-CT'!$E$7=TH!H2694,OR(N2694="331",O2694="331")),"x","")</f>
        <v/>
      </c>
      <c r="Q2694" s="79" t="str">
        <f>IF(AND(B2694='111'!$L$11,OR($N2694=$Q$7,$O2694=$Q$7)),"x","")</f>
        <v/>
      </c>
      <c r="R2694" s="79" t="str">
        <f>IF(AND($N2694=$Q$7,$B2694&lt;'111'!$L$11),"x","")</f>
        <v/>
      </c>
      <c r="S2694" s="79" t="str">
        <f>IF(AND($O2694=$Q$7,$B2694&lt;'111'!$L$11),"x","")</f>
        <v/>
      </c>
      <c r="T2694" s="79" t="str">
        <f>IF(ISERROR(FIND('112'!$M$9,G2694,1)),"",IF((AND(FIND('112'!$M$9,G2694,1)&gt;=1,B2694='112'!$K$9,OR($N2694='112'!$I$6,$O2694='112'!$I$6))),"x",""))</f>
        <v/>
      </c>
      <c r="U2694" s="79" t="str">
        <f>IF(ISERROR(FIND('112'!$M$9,G2694,1)),"",IF((AND(LEFT(G2694,2)=LEFT('112'!$M$9,2),B2694&lt;'112'!$K$9,$N2694='112'!$I$6)),"x",""))</f>
        <v/>
      </c>
      <c r="V2694" s="79" t="str">
        <f>IF(ISERROR(FIND('112'!$M$9,G2694,1)),"",IF((AND(RIGHT(G2694,2)=RIGHT('112'!$M$9,2),B2694&lt;'112'!$K$9,$O2694='112'!$I$6)),"x",""))</f>
        <v/>
      </c>
      <c r="W2694" s="79" t="str">
        <f>IF(AND('341-CT'!$H$9=H2694,OR(LEFT(N2694,3)=$W$7,LEFT(O2694,3)=$W$7)),"x","")</f>
        <v/>
      </c>
      <c r="X2694" s="79" t="str">
        <f>IF(OR(TH!N2694=TH!$X$7,O2694=TH!$X$7),"x","")</f>
        <v/>
      </c>
      <c r="Y2694" s="79" t="str">
        <f>IF(AND(OR(N2694="131",O2694="131"),H2694='131-CT'!$H$9),"x","")</f>
        <v/>
      </c>
      <c r="Z2694" s="79"/>
      <c r="AA2694" s="79" t="str">
        <f>IF(AND(MONTH(E2694)='IN-NX'!$J$5,'IN-NX'!$D$7=D2694),"x","")</f>
        <v/>
      </c>
      <c r="AB2694" s="79" t="str">
        <f>IF(AND(OR(LEFT(TH!N2694,2)="15",LEFT(TH!O2694,2)="15"),LEFT(TH!O2694,3)&lt;&gt;"111",'152-CT'!$J$8=TH!F2694),"x","")</f>
        <v/>
      </c>
      <c r="AC2694" s="79" t="str">
        <f>IF(AND(OR(LEFT(TH!N2694,2)="15",LEFT(TH!O2694,2)="15"),TK!$E$7=TH!F2694),"x","")</f>
        <v/>
      </c>
      <c r="AD2694" s="79" t="str">
        <f>IF(AND(N2694="1521",MONTH(C2694)='BK-NL'!$M$11),"x","")</f>
        <v/>
      </c>
    </row>
    <row r="2695" spans="1:30" ht="16.5" customHeight="1">
      <c r="A2695" s="318" t="str">
        <f>IF(B2695&lt;&gt;"",IF(AND(B2695='IN-TC'!$S$4,OR(TH!N2695="1111",TH!O2695="1111")),TH!D2695,""),"")</f>
        <v/>
      </c>
      <c r="B2695" s="60" t="str">
        <f t="shared" ref="B2695:B2696" si="288">IF(C2695&lt;&gt;"",MONTH(C2695),"")</f>
        <v/>
      </c>
      <c r="C2695" s="301"/>
      <c r="D2695" s="301"/>
      <c r="E2695" s="301"/>
      <c r="F2695" s="1162"/>
      <c r="G2695" s="968"/>
      <c r="H2695" s="303"/>
      <c r="I2695" s="385"/>
      <c r="J2695" s="969"/>
      <c r="K2695" s="385"/>
      <c r="L2695" s="392"/>
      <c r="M2695" s="970"/>
      <c r="N2695" s="304"/>
      <c r="O2695" s="304"/>
      <c r="P2695" s="79" t="str">
        <f>IF(AND('331-CT'!$E$7=TH!H2695,OR(N2695="331",O2695="331")),"x","")</f>
        <v/>
      </c>
      <c r="Q2695" s="79" t="str">
        <f>IF(AND(B2695='111'!$L$11,OR($N2695=$Q$7,$O2695=$Q$7)),"x","")</f>
        <v/>
      </c>
      <c r="R2695" s="79" t="str">
        <f>IF(AND($N2695=$Q$7,$B2695&lt;'111'!$L$11),"x","")</f>
        <v/>
      </c>
      <c r="S2695" s="79" t="str">
        <f>IF(AND($O2695=$Q$7,$B2695&lt;'111'!$L$11),"x","")</f>
        <v/>
      </c>
      <c r="T2695" s="79" t="str">
        <f>IF(ISERROR(FIND('112'!$M$9,G2695,1)),"",IF((AND(FIND('112'!$M$9,G2695,1)&gt;=1,B2695='112'!$K$9,OR($N2695='112'!$I$6,$O2695='112'!$I$6))),"x",""))</f>
        <v/>
      </c>
      <c r="U2695" s="79" t="str">
        <f>IF(ISERROR(FIND('112'!$M$9,G2695,1)),"",IF((AND(LEFT(G2695,2)=LEFT('112'!$M$9,2),B2695&lt;'112'!$K$9,$N2695='112'!$I$6)),"x",""))</f>
        <v/>
      </c>
      <c r="V2695" s="79" t="str">
        <f>IF(ISERROR(FIND('112'!$M$9,G2695,1)),"",IF((AND(RIGHT(G2695,2)=RIGHT('112'!$M$9,2),B2695&lt;'112'!$K$9,$O2695='112'!$I$6)),"x",""))</f>
        <v/>
      </c>
      <c r="W2695" s="79" t="str">
        <f>IF(AND('341-CT'!$H$9=H2695,OR(LEFT(N2695,3)=$W$7,LEFT(O2695,3)=$W$7)),"x","")</f>
        <v/>
      </c>
      <c r="X2695" s="79" t="str">
        <f>IF(OR(TH!N2695=TH!$X$7,O2695=TH!$X$7),"x","")</f>
        <v/>
      </c>
      <c r="Y2695" s="79" t="str">
        <f>IF(AND(OR(N2695="131",O2695="131"),H2695='131-CT'!$H$9),"x","")</f>
        <v/>
      </c>
      <c r="Z2695" s="79"/>
      <c r="AA2695" s="79" t="str">
        <f>IF(AND(MONTH(E2695)='IN-NX'!$J$5,'IN-NX'!$D$7=D2695),"x","")</f>
        <v/>
      </c>
      <c r="AB2695" s="79" t="str">
        <f>IF(AND(OR(LEFT(TH!N2695,2)="15",LEFT(TH!O2695,2)="15"),LEFT(TH!O2695,3)&lt;&gt;"111",'152-CT'!$J$8=TH!F2695),"x","")</f>
        <v/>
      </c>
      <c r="AC2695" s="79" t="str">
        <f>IF(AND(OR(LEFT(TH!N2695,2)="15",LEFT(TH!O2695,2)="15"),TK!$E$7=TH!F2695),"x","")</f>
        <v/>
      </c>
      <c r="AD2695" s="79" t="str">
        <f>IF(AND(N2695="1521",MONTH(C2695)='BK-NL'!$M$11),"x","")</f>
        <v/>
      </c>
    </row>
    <row r="2696" spans="1:30" ht="18" customHeight="1">
      <c r="A2696" s="318" t="str">
        <f>IF(B2696&lt;&gt;"",IF(AND(B2696='IN-TC'!$S$4,OR(TH!N2696="1111",TH!O2696="1111")),TH!D2696,""),"")</f>
        <v/>
      </c>
      <c r="B2696" s="60" t="str">
        <f t="shared" si="288"/>
        <v/>
      </c>
      <c r="C2696" s="301"/>
      <c r="D2696" s="301"/>
      <c r="E2696" s="301"/>
      <c r="F2696" s="1162"/>
      <c r="G2696" s="968"/>
      <c r="H2696" s="303"/>
      <c r="I2696" s="385"/>
      <c r="J2696" s="969"/>
      <c r="K2696" s="385"/>
      <c r="L2696" s="392"/>
      <c r="M2696" s="970"/>
      <c r="N2696" s="304"/>
      <c r="O2696" s="304"/>
      <c r="P2696" s="79" t="str">
        <f>IF(AND('331-CT'!$E$7=TH!H2696,OR(N2696="331",O2696="331")),"x","")</f>
        <v/>
      </c>
      <c r="Q2696" s="79" t="str">
        <f>IF(AND(B2696='111'!$L$11,OR($N2696=$Q$7,$O2696=$Q$7)),"x","")</f>
        <v/>
      </c>
      <c r="R2696" s="79" t="str">
        <f>IF(AND($N2696=$Q$7,$B2696&lt;'111'!$L$11),"x","")</f>
        <v/>
      </c>
      <c r="S2696" s="79" t="str">
        <f>IF(AND($O2696=$Q$7,$B2696&lt;'111'!$L$11),"x","")</f>
        <v/>
      </c>
      <c r="T2696" s="79" t="str">
        <f>IF(ISERROR(FIND('112'!$M$9,G2696,1)),"",IF((AND(FIND('112'!$M$9,G2696,1)&gt;=1,B2696='112'!$K$9,OR($N2696='112'!$I$6,$O2696='112'!$I$6))),"x",""))</f>
        <v/>
      </c>
      <c r="U2696" s="79" t="str">
        <f>IF(ISERROR(FIND('112'!$M$9,G2696,1)),"",IF((AND(LEFT(G2696,2)=LEFT('112'!$M$9,2),B2696&lt;'112'!$K$9,$N2696='112'!$I$6)),"x",""))</f>
        <v/>
      </c>
      <c r="V2696" s="79" t="str">
        <f>IF(ISERROR(FIND('112'!$M$9,G2696,1)),"",IF((AND(RIGHT(G2696,2)=RIGHT('112'!$M$9,2),B2696&lt;'112'!$K$9,$O2696='112'!$I$6)),"x",""))</f>
        <v/>
      </c>
      <c r="W2696" s="79" t="str">
        <f>IF(AND('341-CT'!$H$9=H2696,OR(LEFT(N2696,3)=$W$7,LEFT(O2696,3)=$W$7)),"x","")</f>
        <v/>
      </c>
      <c r="X2696" s="79" t="str">
        <f>IF(OR(TH!N2696=TH!$X$7,O2696=TH!$X$7),"x","")</f>
        <v/>
      </c>
      <c r="Y2696" s="79" t="str">
        <f>IF(AND(OR(N2696="131",O2696="131"),H2696='131-CT'!$H$9),"x","")</f>
        <v/>
      </c>
      <c r="Z2696" s="79"/>
      <c r="AA2696" s="79" t="str">
        <f>IF(AND(MONTH(E2696)='IN-NX'!$J$5,'IN-NX'!$D$7=D2696),"x","")</f>
        <v/>
      </c>
      <c r="AB2696" s="79" t="str">
        <f>IF(AND(OR(LEFT(TH!N2696,2)="15",LEFT(TH!O2696,2)="15"),LEFT(TH!O2696,3)&lt;&gt;"111",'152-CT'!$J$8=TH!F2696),"x","")</f>
        <v/>
      </c>
      <c r="AC2696" s="79" t="str">
        <f>IF(AND(OR(LEFT(TH!N2696,2)="15",LEFT(TH!O2696,2)="15"),TK!$E$7=TH!F2696),"x","")</f>
        <v/>
      </c>
      <c r="AD2696" s="79" t="str">
        <f>IF(AND(N2696="1521",MONTH(C2696)='BK-NL'!$M$11),"x","")</f>
        <v/>
      </c>
    </row>
    <row r="2697" spans="1:30" ht="18" customHeight="1">
      <c r="A2697" s="318" t="str">
        <f>IF(B2697&lt;&gt;"",IF(AND(B2697='IN-TC'!$S$4,OR(TH!N2697="1111",TH!O2697="1111")),TH!D2697,""),"")</f>
        <v/>
      </c>
      <c r="B2697" s="60" t="str">
        <f t="shared" ref="B2697" si="289">IF(C2697&lt;&gt;"",MONTH(C2697),"")</f>
        <v/>
      </c>
      <c r="C2697" s="301"/>
      <c r="D2697" s="301"/>
      <c r="E2697" s="301"/>
      <c r="F2697" s="1162"/>
      <c r="G2697" s="968"/>
      <c r="H2697" s="303"/>
      <c r="I2697" s="385"/>
      <c r="J2697" s="969"/>
      <c r="K2697" s="385"/>
      <c r="L2697" s="392"/>
      <c r="M2697" s="970"/>
      <c r="N2697" s="304"/>
      <c r="O2697" s="304"/>
      <c r="P2697" s="79" t="str">
        <f>IF(AND('331-CT'!$E$7=TH!H2697,OR(N2697="331",O2697="331")),"x","")</f>
        <v/>
      </c>
      <c r="Q2697" s="79" t="str">
        <f>IF(AND(B2697='111'!$L$11,OR($N2697=$Q$7,$O2697=$Q$7)),"x","")</f>
        <v/>
      </c>
      <c r="R2697" s="79" t="str">
        <f>IF(AND($N2697=$Q$7,$B2697&lt;'111'!$L$11),"x","")</f>
        <v/>
      </c>
      <c r="S2697" s="79" t="str">
        <f>IF(AND($O2697=$Q$7,$B2697&lt;'111'!$L$11),"x","")</f>
        <v/>
      </c>
      <c r="T2697" s="79" t="str">
        <f>IF(ISERROR(FIND('112'!$M$9,G2697,1)),"",IF((AND(FIND('112'!$M$9,G2697,1)&gt;=1,B2697='112'!$K$9,OR($N2697='112'!$I$6,$O2697='112'!$I$6))),"x",""))</f>
        <v/>
      </c>
      <c r="U2697" s="79" t="str">
        <f>IF(ISERROR(FIND('112'!$M$9,G2697,1)),"",IF((AND(LEFT(G2697,2)=LEFT('112'!$M$9,2),B2697&lt;'112'!$K$9,$N2697='112'!$I$6)),"x",""))</f>
        <v/>
      </c>
      <c r="V2697" s="79" t="str">
        <f>IF(ISERROR(FIND('112'!$M$9,G2697,1)),"",IF((AND(RIGHT(G2697,2)=RIGHT('112'!$M$9,2),B2697&lt;'112'!$K$9,$O2697='112'!$I$6)),"x",""))</f>
        <v/>
      </c>
      <c r="W2697" s="79" t="str">
        <f>IF(AND('341-CT'!$H$9=H2697,OR(LEFT(N2697,3)=$W$7,LEFT(O2697,3)=$W$7)),"x","")</f>
        <v/>
      </c>
      <c r="X2697" s="79" t="str">
        <f>IF(OR(TH!N2697=TH!$X$7,O2697=TH!$X$7),"x","")</f>
        <v/>
      </c>
      <c r="Y2697" s="79" t="str">
        <f>IF(AND(OR(N2697="131",O2697="131"),H2697='131-CT'!$H$9),"x","")</f>
        <v/>
      </c>
      <c r="Z2697" s="79"/>
      <c r="AA2697" s="79" t="str">
        <f>IF(AND(MONTH(E2697)='IN-NX'!$J$5,'IN-NX'!$D$7=D2697),"x","")</f>
        <v/>
      </c>
      <c r="AB2697" s="79" t="str">
        <f>IF(AND(OR(LEFT(TH!N2697,2)="15",LEFT(TH!O2697,2)="15"),LEFT(TH!O2697,3)&lt;&gt;"111",'152-CT'!$J$8=TH!F2697),"x","")</f>
        <v/>
      </c>
      <c r="AC2697" s="79" t="str">
        <f>IF(AND(OR(LEFT(TH!N2697,2)="15",LEFT(TH!O2697,2)="15"),TK!$E$7=TH!F2697),"x","")</f>
        <v/>
      </c>
      <c r="AD2697" s="79" t="str">
        <f>IF(AND(N2697="1521",MONTH(C2697)='BK-NL'!$M$11),"x","")</f>
        <v/>
      </c>
    </row>
    <row r="2698" spans="1:30" ht="18" customHeight="1">
      <c r="A2698" s="318" t="str">
        <f>IF(B2698&lt;&gt;"",IF(AND(B2698='IN-TC'!$S$4,OR(TH!N2698="1111",TH!O2698="1111")),TH!D2698,""),"")</f>
        <v/>
      </c>
      <c r="B2698" s="60" t="str">
        <f t="shared" ref="B2698" si="290">IF(C2698&lt;&gt;"",MONTH(C2698),"")</f>
        <v/>
      </c>
      <c r="C2698" s="301"/>
      <c r="D2698" s="301"/>
      <c r="E2698" s="301"/>
      <c r="F2698" s="1162"/>
      <c r="G2698" s="968"/>
      <c r="H2698" s="303"/>
      <c r="I2698" s="385"/>
      <c r="J2698" s="969"/>
      <c r="K2698" s="385"/>
      <c r="L2698" s="392"/>
      <c r="M2698" s="970"/>
      <c r="N2698" s="304"/>
      <c r="O2698" s="304"/>
      <c r="P2698" s="79" t="str">
        <f>IF(AND('331-CT'!$E$7=TH!H2698,OR(N2698="331",O2698="331")),"x","")</f>
        <v/>
      </c>
      <c r="Q2698" s="79" t="str">
        <f>IF(AND(B2698='111'!$L$11,OR($N2698=$Q$7,$O2698=$Q$7)),"x","")</f>
        <v/>
      </c>
      <c r="R2698" s="79" t="str">
        <f>IF(AND($N2698=$Q$7,$B2698&lt;'111'!$L$11),"x","")</f>
        <v/>
      </c>
      <c r="S2698" s="79" t="str">
        <f>IF(AND($O2698=$Q$7,$B2698&lt;'111'!$L$11),"x","")</f>
        <v/>
      </c>
      <c r="T2698" s="79" t="str">
        <f>IF(ISERROR(FIND('112'!$M$9,G2698,1)),"",IF((AND(FIND('112'!$M$9,G2698,1)&gt;=1,B2698='112'!$K$9,OR($N2698='112'!$I$6,$O2698='112'!$I$6))),"x",""))</f>
        <v/>
      </c>
      <c r="U2698" s="79" t="str">
        <f>IF(ISERROR(FIND('112'!$M$9,G2698,1)),"",IF((AND(LEFT(G2698,2)=LEFT('112'!$M$9,2),B2698&lt;'112'!$K$9,$N2698='112'!$I$6)),"x",""))</f>
        <v/>
      </c>
      <c r="V2698" s="79" t="str">
        <f>IF(ISERROR(FIND('112'!$M$9,G2698,1)),"",IF((AND(RIGHT(G2698,2)=RIGHT('112'!$M$9,2),B2698&lt;'112'!$K$9,$O2698='112'!$I$6)),"x",""))</f>
        <v/>
      </c>
      <c r="W2698" s="79" t="str">
        <f>IF(AND('341-CT'!$H$9=H2698,OR(LEFT(N2698,3)=$W$7,LEFT(O2698,3)=$W$7)),"x","")</f>
        <v/>
      </c>
      <c r="X2698" s="79" t="str">
        <f>IF(OR(TH!N2698=TH!$X$7,O2698=TH!$X$7),"x","")</f>
        <v/>
      </c>
      <c r="Y2698" s="79" t="str">
        <f>IF(AND(OR(N2698="131",O2698="131"),H2698='131-CT'!$H$9),"x","")</f>
        <v/>
      </c>
      <c r="Z2698" s="79"/>
      <c r="AA2698" s="79" t="str">
        <f>IF(AND(MONTH(E2698)='IN-NX'!$J$5,'IN-NX'!$D$7=D2698),"x","")</f>
        <v/>
      </c>
      <c r="AB2698" s="79" t="str">
        <f>IF(AND(OR(LEFT(TH!N2698,2)="15",LEFT(TH!O2698,2)="15"),LEFT(TH!O2698,3)&lt;&gt;"111",'152-CT'!$J$8=TH!F2698),"x","")</f>
        <v/>
      </c>
      <c r="AC2698" s="79" t="str">
        <f>IF(AND(OR(LEFT(TH!N2698,2)="15",LEFT(TH!O2698,2)="15"),TK!$E$7=TH!F2698),"x","")</f>
        <v/>
      </c>
      <c r="AD2698" s="79" t="str">
        <f>IF(AND(N2698="1521",MONTH(C2698)='BK-NL'!$M$11),"x","")</f>
        <v/>
      </c>
    </row>
    <row r="2699" spans="1:30" ht="16.5" customHeight="1">
      <c r="A2699" s="318" t="str">
        <f>IF(B2699&lt;&gt;"",IF(AND(B2699='IN-TC'!$S$4,OR(TH!N2699="1111",TH!O2699="1111")),TH!D2699,""),"")</f>
        <v/>
      </c>
      <c r="B2699" s="60" t="str">
        <f>IF(C2699&lt;&gt;"",MONTH(C2699),"")</f>
        <v/>
      </c>
      <c r="C2699" s="301"/>
      <c r="D2699" s="301"/>
      <c r="E2699" s="301"/>
      <c r="F2699" s="1162"/>
      <c r="G2699" s="968"/>
      <c r="H2699" s="303"/>
      <c r="I2699" s="385"/>
      <c r="J2699" s="969"/>
      <c r="K2699" s="385"/>
      <c r="L2699" s="392"/>
      <c r="M2699" s="970"/>
      <c r="N2699" s="304"/>
      <c r="O2699" s="304"/>
      <c r="P2699" s="79" t="str">
        <f>IF(AND('331-CT'!$E$7=TH!H2699,OR(N2699="331",O2699="331")),"x","")</f>
        <v/>
      </c>
      <c r="Q2699" s="79" t="str">
        <f>IF(AND(B2699='111'!$L$11,OR($N2699=$Q$7,$O2699=$Q$7)),"x","")</f>
        <v/>
      </c>
      <c r="R2699" s="79" t="str">
        <f>IF(AND($N2699=$Q$7,$B2699&lt;'111'!$L$11),"x","")</f>
        <v/>
      </c>
      <c r="S2699" s="79" t="str">
        <f>IF(AND($O2699=$Q$7,$B2699&lt;'111'!$L$11),"x","")</f>
        <v/>
      </c>
      <c r="T2699" s="79" t="str">
        <f>IF(ISERROR(FIND('112'!$M$9,G2699,1)),"",IF((AND(FIND('112'!$M$9,G2699,1)&gt;=1,B2699='112'!$K$9,OR($N2699='112'!$I$6,$O2699='112'!$I$6))),"x",""))</f>
        <v/>
      </c>
      <c r="U2699" s="79" t="str">
        <f>IF(ISERROR(FIND('112'!$M$9,G2699,1)),"",IF((AND(LEFT(G2699,2)=LEFT('112'!$M$9,2),B2699&lt;'112'!$K$9,$N2699='112'!$I$6)),"x",""))</f>
        <v/>
      </c>
      <c r="V2699" s="79" t="str">
        <f>IF(ISERROR(FIND('112'!$M$9,G2699,1)),"",IF((AND(RIGHT(G2699,2)=RIGHT('112'!$M$9,2),B2699&lt;'112'!$K$9,$O2699='112'!$I$6)),"x",""))</f>
        <v/>
      </c>
      <c r="W2699" s="79" t="str">
        <f>IF(AND('341-CT'!$H$9=H2699,OR(LEFT(N2699,3)=$W$7,LEFT(O2699,3)=$W$7)),"x","")</f>
        <v/>
      </c>
      <c r="X2699" s="79" t="str">
        <f>IF(OR(TH!N2699=TH!$X$7,O2699=TH!$X$7),"x","")</f>
        <v/>
      </c>
      <c r="Y2699" s="79" t="str">
        <f>IF(AND(OR(N2699="131",O2699="131"),H2699='131-CT'!$H$9),"x","")</f>
        <v/>
      </c>
      <c r="Z2699" s="79"/>
      <c r="AA2699" s="79" t="str">
        <f>IF(AND(MONTH(E2699)='IN-NX'!$J$5,'IN-NX'!$D$7=D2699),"x","")</f>
        <v/>
      </c>
      <c r="AB2699" s="79" t="str">
        <f>IF(AND(OR(LEFT(TH!N2699,2)="15",LEFT(TH!O2699,2)="15"),LEFT(TH!O2699,3)&lt;&gt;"111",'152-CT'!$J$8=TH!F2699),"x","")</f>
        <v/>
      </c>
      <c r="AC2699" s="79" t="str">
        <f>IF(AND(OR(LEFT(TH!N2699,2)="15",LEFT(TH!O2699,2)="15"),TK!$E$7=TH!F2699),"x","")</f>
        <v/>
      </c>
      <c r="AD2699" s="79" t="str">
        <f>IF(AND(N2699="1521",MONTH(C2699)='BK-NL'!$M$11),"x","")</f>
        <v/>
      </c>
    </row>
    <row r="2700" spans="1:30" ht="16.5" customHeight="1">
      <c r="A2700" s="318" t="str">
        <f>IF(B2700&lt;&gt;"",IF(AND(B2700='IN-TC'!$S$4,OR(TH!N2700="1111",TH!O2700="1111")),TH!D2700,""),"")</f>
        <v/>
      </c>
      <c r="B2700" s="60" t="str">
        <f t="shared" ref="B2700:B2721" si="291">IF(C2700&lt;&gt;"",MONTH(C2700),"")</f>
        <v/>
      </c>
      <c r="C2700" s="301"/>
      <c r="D2700" s="301"/>
      <c r="E2700" s="301"/>
      <c r="F2700" s="1162"/>
      <c r="G2700" s="968"/>
      <c r="H2700" s="303"/>
      <c r="I2700" s="385"/>
      <c r="J2700" s="969"/>
      <c r="K2700" s="385"/>
      <c r="L2700" s="392"/>
      <c r="M2700" s="970"/>
      <c r="N2700" s="304"/>
      <c r="O2700" s="304"/>
      <c r="P2700" s="79" t="str">
        <f>IF(AND('331-CT'!$E$7=TH!H2700,OR(N2700="331",O2700="331")),"x","")</f>
        <v/>
      </c>
      <c r="Q2700" s="79" t="str">
        <f>IF(AND(B2700='111'!$L$11,OR($N2700=$Q$7,$O2700=$Q$7)),"x","")</f>
        <v/>
      </c>
      <c r="R2700" s="79" t="str">
        <f>IF(AND($N2700=$Q$7,$B2700&lt;'111'!$L$11),"x","")</f>
        <v/>
      </c>
      <c r="S2700" s="79" t="str">
        <f>IF(AND($O2700=$Q$7,$B2700&lt;'111'!$L$11),"x","")</f>
        <v/>
      </c>
      <c r="T2700" s="79" t="str">
        <f>IF(ISERROR(FIND('112'!$M$9,G2700,1)),"",IF((AND(FIND('112'!$M$9,G2700,1)&gt;=1,B2700='112'!$K$9,OR($N2700='112'!$I$6,$O2700='112'!$I$6))),"x",""))</f>
        <v/>
      </c>
      <c r="U2700" s="79" t="str">
        <f>IF(ISERROR(FIND('112'!$M$9,G2700,1)),"",IF((AND(LEFT(G2700,2)=LEFT('112'!$M$9,2),B2700&lt;'112'!$K$9,$N2700='112'!$I$6)),"x",""))</f>
        <v/>
      </c>
      <c r="V2700" s="79" t="str">
        <f>IF(ISERROR(FIND('112'!$M$9,G2700,1)),"",IF((AND(RIGHT(G2700,2)=RIGHT('112'!$M$9,2),B2700&lt;'112'!$K$9,$O2700='112'!$I$6)),"x",""))</f>
        <v/>
      </c>
      <c r="W2700" s="79" t="str">
        <f>IF(AND('341-CT'!$H$9=H2700,OR(LEFT(N2700,3)=$W$7,LEFT(O2700,3)=$W$7)),"x","")</f>
        <v/>
      </c>
      <c r="X2700" s="79" t="str">
        <f>IF(OR(TH!N2700=TH!$X$7,O2700=TH!$X$7),"x","")</f>
        <v/>
      </c>
      <c r="Y2700" s="79" t="str">
        <f>IF(AND(OR(N2700="131",O2700="131"),H2700='131-CT'!$H$9),"x","")</f>
        <v/>
      </c>
      <c r="Z2700" s="79"/>
      <c r="AA2700" s="79" t="str">
        <f>IF(AND(MONTH(E2700)='IN-NX'!$J$5,'IN-NX'!$D$7=D2700),"x","")</f>
        <v/>
      </c>
      <c r="AB2700" s="79" t="str">
        <f>IF(AND(OR(LEFT(TH!N2700,2)="15",LEFT(TH!O2700,2)="15"),LEFT(TH!O2700,3)&lt;&gt;"111",'152-CT'!$J$8=TH!F2700),"x","")</f>
        <v/>
      </c>
      <c r="AC2700" s="79" t="str">
        <f>IF(AND(OR(LEFT(TH!N2700,2)="15",LEFT(TH!O2700,2)="15"),TK!$E$7=TH!F2700),"x","")</f>
        <v/>
      </c>
      <c r="AD2700" s="79" t="str">
        <f>IF(AND(N2700="1521",MONTH(C2700)='BK-NL'!$M$11),"x","")</f>
        <v/>
      </c>
    </row>
    <row r="2701" spans="1:30" ht="18" customHeight="1">
      <c r="A2701" s="318" t="str">
        <f>IF(B2701&lt;&gt;"",IF(AND(B2701='IN-TC'!$S$4,OR(TH!N2701="1111",TH!O2701="1111")),TH!D2701,""),"")</f>
        <v/>
      </c>
      <c r="B2701" s="60" t="str">
        <f t="shared" si="291"/>
        <v/>
      </c>
      <c r="C2701" s="301"/>
      <c r="D2701" s="301"/>
      <c r="E2701" s="301"/>
      <c r="F2701" s="1162"/>
      <c r="G2701" s="968"/>
      <c r="H2701" s="303"/>
      <c r="I2701" s="385"/>
      <c r="J2701" s="969"/>
      <c r="K2701" s="385"/>
      <c r="L2701" s="392"/>
      <c r="M2701" s="970"/>
      <c r="N2701" s="304"/>
      <c r="O2701" s="304"/>
      <c r="P2701" s="79" t="str">
        <f>IF(AND('331-CT'!$E$7=TH!H2701,OR(N2701="331",O2701="331")),"x","")</f>
        <v/>
      </c>
      <c r="Q2701" s="79" t="str">
        <f>IF(AND(B2701='111'!$L$11,OR($N2701=$Q$7,$O2701=$Q$7)),"x","")</f>
        <v/>
      </c>
      <c r="R2701" s="79" t="str">
        <f>IF(AND($N2701=$Q$7,$B2701&lt;'111'!$L$11),"x","")</f>
        <v/>
      </c>
      <c r="S2701" s="79" t="str">
        <f>IF(AND($O2701=$Q$7,$B2701&lt;'111'!$L$11),"x","")</f>
        <v/>
      </c>
      <c r="T2701" s="79" t="str">
        <f>IF(ISERROR(FIND('112'!$M$9,G2701,1)),"",IF((AND(FIND('112'!$M$9,G2701,1)&gt;=1,B2701='112'!$K$9,OR($N2701='112'!$I$6,$O2701='112'!$I$6))),"x",""))</f>
        <v/>
      </c>
      <c r="U2701" s="79" t="str">
        <f>IF(ISERROR(FIND('112'!$M$9,G2701,1)),"",IF((AND(LEFT(G2701,2)=LEFT('112'!$M$9,2),B2701&lt;'112'!$K$9,$N2701='112'!$I$6)),"x",""))</f>
        <v/>
      </c>
      <c r="V2701" s="79" t="str">
        <f>IF(ISERROR(FIND('112'!$M$9,G2701,1)),"",IF((AND(RIGHT(G2701,2)=RIGHT('112'!$M$9,2),B2701&lt;'112'!$K$9,$O2701='112'!$I$6)),"x",""))</f>
        <v/>
      </c>
      <c r="W2701" s="79" t="str">
        <f>IF(AND('341-CT'!$H$9=H2701,OR(LEFT(N2701,3)=$W$7,LEFT(O2701,3)=$W$7)),"x","")</f>
        <v/>
      </c>
      <c r="X2701" s="79" t="str">
        <f>IF(OR(TH!N2701=TH!$X$7,O2701=TH!$X$7),"x","")</f>
        <v/>
      </c>
      <c r="Y2701" s="79" t="str">
        <f>IF(AND(OR(N2701="131",O2701="131"),H2701='131-CT'!$H$9),"x","")</f>
        <v/>
      </c>
      <c r="Z2701" s="79"/>
      <c r="AA2701" s="79" t="str">
        <f>IF(AND(MONTH(E2701)='IN-NX'!$J$5,'IN-NX'!$D$7=D2701),"x","")</f>
        <v/>
      </c>
      <c r="AB2701" s="79" t="str">
        <f>IF(AND(OR(LEFT(TH!N2701,2)="15",LEFT(TH!O2701,2)="15"),LEFT(TH!O2701,3)&lt;&gt;"111",'152-CT'!$J$8=TH!F2701),"x","")</f>
        <v/>
      </c>
      <c r="AC2701" s="79" t="str">
        <f>IF(AND(OR(LEFT(TH!N2701,2)="15",LEFT(TH!O2701,2)="15"),TK!$E$7=TH!F2701),"x","")</f>
        <v/>
      </c>
      <c r="AD2701" s="79" t="str">
        <f>IF(AND(N2701="1521",MONTH(C2701)='BK-NL'!$M$11),"x","")</f>
        <v/>
      </c>
    </row>
    <row r="2702" spans="1:30" ht="18" customHeight="1">
      <c r="A2702" s="318" t="str">
        <f>IF(B2702&lt;&gt;"",IF(AND(B2702='IN-TC'!$S$4,OR(TH!N2702="1111",TH!O2702="1111")),TH!D2702,""),"")</f>
        <v/>
      </c>
      <c r="B2702" s="60" t="str">
        <f t="shared" si="291"/>
        <v/>
      </c>
      <c r="C2702" s="301"/>
      <c r="D2702" s="301"/>
      <c r="E2702" s="301"/>
      <c r="F2702" s="1162"/>
      <c r="G2702" s="968"/>
      <c r="H2702" s="303"/>
      <c r="I2702" s="385"/>
      <c r="J2702" s="969"/>
      <c r="K2702" s="385"/>
      <c r="L2702" s="392"/>
      <c r="M2702" s="970"/>
      <c r="N2702" s="304"/>
      <c r="O2702" s="304"/>
      <c r="P2702" s="79" t="str">
        <f>IF(AND('331-CT'!$E$7=TH!H2702,OR(N2702="331",O2702="331")),"x","")</f>
        <v/>
      </c>
      <c r="Q2702" s="79" t="str">
        <f>IF(AND(B2702='111'!$L$11,OR($N2702=$Q$7,$O2702=$Q$7)),"x","")</f>
        <v/>
      </c>
      <c r="R2702" s="79" t="str">
        <f>IF(AND($N2702=$Q$7,$B2702&lt;'111'!$L$11),"x","")</f>
        <v/>
      </c>
      <c r="S2702" s="79" t="str">
        <f>IF(AND($O2702=$Q$7,$B2702&lt;'111'!$L$11),"x","")</f>
        <v/>
      </c>
      <c r="T2702" s="79" t="str">
        <f>IF(ISERROR(FIND('112'!$M$9,G2702,1)),"",IF((AND(FIND('112'!$M$9,G2702,1)&gt;=1,B2702='112'!$K$9,OR($N2702='112'!$I$6,$O2702='112'!$I$6))),"x",""))</f>
        <v/>
      </c>
      <c r="U2702" s="79" t="str">
        <f>IF(ISERROR(FIND('112'!$M$9,G2702,1)),"",IF((AND(LEFT(G2702,2)=LEFT('112'!$M$9,2),B2702&lt;'112'!$K$9,$N2702='112'!$I$6)),"x",""))</f>
        <v/>
      </c>
      <c r="V2702" s="79" t="str">
        <f>IF(ISERROR(FIND('112'!$M$9,G2702,1)),"",IF((AND(RIGHT(G2702,2)=RIGHT('112'!$M$9,2),B2702&lt;'112'!$K$9,$O2702='112'!$I$6)),"x",""))</f>
        <v/>
      </c>
      <c r="W2702" s="79" t="str">
        <f>IF(AND('341-CT'!$H$9=H2702,OR(LEFT(N2702,3)=$W$7,LEFT(O2702,3)=$W$7)),"x","")</f>
        <v/>
      </c>
      <c r="X2702" s="79" t="str">
        <f>IF(OR(TH!N2702=TH!$X$7,O2702=TH!$X$7),"x","")</f>
        <v/>
      </c>
      <c r="Y2702" s="79" t="str">
        <f>IF(AND(OR(N2702="131",O2702="131"),H2702='131-CT'!$H$9),"x","")</f>
        <v/>
      </c>
      <c r="Z2702" s="79"/>
      <c r="AA2702" s="79" t="str">
        <f>IF(AND(MONTH(E2702)='IN-NX'!$J$5,'IN-NX'!$D$7=D2702),"x","")</f>
        <v/>
      </c>
      <c r="AB2702" s="79" t="str">
        <f>IF(AND(OR(LEFT(TH!N2702,2)="15",LEFT(TH!O2702,2)="15"),LEFT(TH!O2702,3)&lt;&gt;"111",'152-CT'!$J$8=TH!F2702),"x","")</f>
        <v/>
      </c>
      <c r="AC2702" s="79" t="str">
        <f>IF(AND(OR(LEFT(TH!N2702,2)="15",LEFT(TH!O2702,2)="15"),TK!$E$7=TH!F2702),"x","")</f>
        <v/>
      </c>
      <c r="AD2702" s="79" t="str">
        <f>IF(AND(N2702="1521",MONTH(C2702)='BK-NL'!$M$11),"x","")</f>
        <v/>
      </c>
    </row>
    <row r="2703" spans="1:30" ht="16.5" customHeight="1">
      <c r="A2703" s="318" t="str">
        <f>IF(B2703&lt;&gt;"",IF(AND(B2703='IN-TC'!$S$4,OR(TH!N2703="1111",TH!O2703="1111")),TH!D2703,""),"")</f>
        <v/>
      </c>
      <c r="B2703" s="60" t="str">
        <f t="shared" si="291"/>
        <v/>
      </c>
      <c r="C2703" s="301"/>
      <c r="D2703" s="301"/>
      <c r="E2703" s="301"/>
      <c r="F2703" s="1162"/>
      <c r="G2703" s="968"/>
      <c r="H2703" s="303"/>
      <c r="I2703" s="385"/>
      <c r="J2703" s="969"/>
      <c r="K2703" s="385"/>
      <c r="L2703" s="392"/>
      <c r="M2703" s="970"/>
      <c r="N2703" s="304"/>
      <c r="O2703" s="304"/>
      <c r="P2703" s="79" t="str">
        <f>IF(AND('331-CT'!$E$7=TH!H2703,OR(N2703="331",O2703="331")),"x","")</f>
        <v/>
      </c>
      <c r="Q2703" s="79" t="str">
        <f>IF(AND(B2703='111'!$L$11,OR($N2703=$Q$7,$O2703=$Q$7)),"x","")</f>
        <v/>
      </c>
      <c r="R2703" s="79" t="str">
        <f>IF(AND($N2703=$Q$7,$B2703&lt;'111'!$L$11),"x","")</f>
        <v/>
      </c>
      <c r="S2703" s="79" t="str">
        <f>IF(AND($O2703=$Q$7,$B2703&lt;'111'!$L$11),"x","")</f>
        <v/>
      </c>
      <c r="T2703" s="79" t="str">
        <f>IF(ISERROR(FIND('112'!$M$9,G2703,1)),"",IF((AND(FIND('112'!$M$9,G2703,1)&gt;=1,B2703='112'!$K$9,OR($N2703='112'!$I$6,$O2703='112'!$I$6))),"x",""))</f>
        <v/>
      </c>
      <c r="U2703" s="79" t="str">
        <f>IF(ISERROR(FIND('112'!$M$9,G2703,1)),"",IF((AND(LEFT(G2703,2)=LEFT('112'!$M$9,2),B2703&lt;'112'!$K$9,$N2703='112'!$I$6)),"x",""))</f>
        <v/>
      </c>
      <c r="V2703" s="79" t="str">
        <f>IF(ISERROR(FIND('112'!$M$9,G2703,1)),"",IF((AND(RIGHT(G2703,2)=RIGHT('112'!$M$9,2),B2703&lt;'112'!$K$9,$O2703='112'!$I$6)),"x",""))</f>
        <v/>
      </c>
      <c r="W2703" s="79" t="str">
        <f>IF(AND('341-CT'!$H$9=H2703,OR(LEFT(N2703,3)=$W$7,LEFT(O2703,3)=$W$7)),"x","")</f>
        <v/>
      </c>
      <c r="X2703" s="79" t="str">
        <f>IF(OR(TH!N2703=TH!$X$7,O2703=TH!$X$7),"x","")</f>
        <v/>
      </c>
      <c r="Y2703" s="79" t="str">
        <f>IF(AND(OR(N2703="131",O2703="131"),H2703='131-CT'!$H$9),"x","")</f>
        <v/>
      </c>
      <c r="Z2703" s="79"/>
      <c r="AA2703" s="79" t="str">
        <f>IF(AND(MONTH(E2703)='IN-NX'!$J$5,'IN-NX'!$D$7=D2703),"x","")</f>
        <v/>
      </c>
      <c r="AB2703" s="79" t="str">
        <f>IF(AND(OR(LEFT(TH!N2703,2)="15",LEFT(TH!O2703,2)="15"),LEFT(TH!O2703,3)&lt;&gt;"111",'152-CT'!$J$8=TH!F2703),"x","")</f>
        <v/>
      </c>
      <c r="AC2703" s="79" t="str">
        <f>IF(AND(OR(LEFT(TH!N2703,2)="15",LEFT(TH!O2703,2)="15"),TK!$E$7=TH!F2703),"x","")</f>
        <v/>
      </c>
      <c r="AD2703" s="79" t="str">
        <f>IF(AND(N2703="1521",MONTH(C2703)='BK-NL'!$M$11),"x","")</f>
        <v/>
      </c>
    </row>
    <row r="2704" spans="1:30" ht="16.5" customHeight="1">
      <c r="A2704" s="318" t="str">
        <f>IF(B2704&lt;&gt;"",IF(AND(B2704='IN-TC'!$S$4,OR(TH!N2704="1111",TH!O2704="1111")),TH!D2704,""),"")</f>
        <v/>
      </c>
      <c r="B2704" s="60" t="str">
        <f t="shared" ref="B2704:B2709" si="292">IF(C2704&lt;&gt;"",MONTH(C2704),"")</f>
        <v/>
      </c>
      <c r="C2704" s="301"/>
      <c r="D2704" s="301"/>
      <c r="E2704" s="301"/>
      <c r="F2704" s="1162"/>
      <c r="G2704" s="988"/>
      <c r="H2704" s="303"/>
      <c r="I2704" s="385"/>
      <c r="J2704" s="969"/>
      <c r="K2704" s="385"/>
      <c r="L2704" s="392"/>
      <c r="M2704" s="970"/>
      <c r="N2704" s="304"/>
      <c r="O2704" s="304"/>
      <c r="P2704" s="79" t="str">
        <f>IF(AND('331-CT'!$E$7=TH!H2704,OR(N2704="331",O2704="331")),"x","")</f>
        <v/>
      </c>
      <c r="Q2704" s="79" t="str">
        <f>IF(AND(B2704='111'!$L$11,OR($N2704=$Q$7,$O2704=$Q$7)),"x","")</f>
        <v/>
      </c>
      <c r="R2704" s="79" t="str">
        <f>IF(AND($N2704=$Q$7,$B2704&lt;'111'!$L$11),"x","")</f>
        <v/>
      </c>
      <c r="S2704" s="79" t="str">
        <f>IF(AND($O2704=$Q$7,$B2704&lt;'111'!$L$11),"x","")</f>
        <v/>
      </c>
      <c r="T2704" s="79" t="str">
        <f>IF(ISERROR(FIND('112'!$M$9,G2704,1)),"",IF((AND(FIND('112'!$M$9,G2704,1)&gt;=1,B2704='112'!$K$9,OR($N2704='112'!$I$6,$O2704='112'!$I$6))),"x",""))</f>
        <v/>
      </c>
      <c r="U2704" s="79" t="str">
        <f>IF(ISERROR(FIND('112'!$M$9,G2704,1)),"",IF((AND(LEFT(G2704,2)=LEFT('112'!$M$9,2),B2704&lt;'112'!$K$9,$N2704='112'!$I$6)),"x",""))</f>
        <v/>
      </c>
      <c r="V2704" s="79" t="str">
        <f>IF(ISERROR(FIND('112'!$M$9,G2704,1)),"",IF((AND(RIGHT(G2704,2)=RIGHT('112'!$M$9,2),B2704&lt;'112'!$K$9,$O2704='112'!$I$6)),"x",""))</f>
        <v/>
      </c>
      <c r="W2704" s="79" t="str">
        <f>IF(AND('341-CT'!$H$9=H2704,OR(LEFT(N2704,3)=$W$7,LEFT(O2704,3)=$W$7)),"x","")</f>
        <v/>
      </c>
      <c r="X2704" s="79" t="str">
        <f>IF(OR(TH!N2704=TH!$X$7,O2704=TH!$X$7),"x","")</f>
        <v/>
      </c>
      <c r="Y2704" s="79" t="str">
        <f>IF(AND(OR(N2704="131",O2704="131"),H2704='131-CT'!$H$9),"x","")</f>
        <v/>
      </c>
      <c r="Z2704" s="79"/>
      <c r="AA2704" s="79" t="str">
        <f>IF(AND(MONTH(E2704)='IN-NX'!$J$5,'IN-NX'!$D$7=D2704),"x","")</f>
        <v/>
      </c>
      <c r="AB2704" s="79" t="str">
        <f>IF(AND(OR(LEFT(TH!N2704,2)="15",LEFT(TH!O2704,2)="15"),LEFT(TH!O2704,3)&lt;&gt;"111",'152-CT'!$J$8=TH!F2704),"x","")</f>
        <v/>
      </c>
      <c r="AC2704" s="79" t="str">
        <f>IF(AND(OR(LEFT(TH!N2704,2)="15",LEFT(TH!O2704,2)="15"),TK!$E$7=TH!F2704),"x","")</f>
        <v/>
      </c>
      <c r="AD2704" s="79" t="str">
        <f>IF(AND(N2704="1521",MONTH(C2704)='BK-NL'!$M$11),"x","")</f>
        <v/>
      </c>
    </row>
    <row r="2705" spans="1:30" ht="16.5" customHeight="1">
      <c r="A2705" s="318" t="str">
        <f>IF(B2705&lt;&gt;"",IF(AND(B2705='IN-TC'!$S$4,OR(TH!N2705="1111",TH!O2705="1111")),TH!D2705,""),"")</f>
        <v/>
      </c>
      <c r="B2705" s="60" t="str">
        <f t="shared" si="292"/>
        <v/>
      </c>
      <c r="C2705" s="301"/>
      <c r="D2705" s="301"/>
      <c r="E2705" s="301"/>
      <c r="F2705" s="1162"/>
      <c r="G2705" s="988"/>
      <c r="H2705" s="303"/>
      <c r="I2705" s="385"/>
      <c r="J2705" s="969"/>
      <c r="K2705" s="385"/>
      <c r="L2705" s="392"/>
      <c r="M2705" s="970"/>
      <c r="N2705" s="304"/>
      <c r="O2705" s="304"/>
      <c r="P2705" s="79" t="str">
        <f>IF(AND('331-CT'!$E$7=TH!H2705,OR(N2705="331",O2705="331")),"x","")</f>
        <v/>
      </c>
      <c r="Q2705" s="79" t="str">
        <f>IF(AND(B2705='111'!$L$11,OR($N2705=$Q$7,$O2705=$Q$7)),"x","")</f>
        <v/>
      </c>
      <c r="R2705" s="79" t="str">
        <f>IF(AND($N2705=$Q$7,$B2705&lt;'111'!$L$11),"x","")</f>
        <v/>
      </c>
      <c r="S2705" s="79" t="str">
        <f>IF(AND($O2705=$Q$7,$B2705&lt;'111'!$L$11),"x","")</f>
        <v/>
      </c>
      <c r="T2705" s="79" t="str">
        <f>IF(ISERROR(FIND('112'!$M$9,G2705,1)),"",IF((AND(FIND('112'!$M$9,G2705,1)&gt;=1,B2705='112'!$K$9,OR($N2705='112'!$I$6,$O2705='112'!$I$6))),"x",""))</f>
        <v/>
      </c>
      <c r="U2705" s="79" t="str">
        <f>IF(ISERROR(FIND('112'!$M$9,G2705,1)),"",IF((AND(LEFT(G2705,2)=LEFT('112'!$M$9,2),B2705&lt;'112'!$K$9,$N2705='112'!$I$6)),"x",""))</f>
        <v/>
      </c>
      <c r="V2705" s="79" t="str">
        <f>IF(ISERROR(FIND('112'!$M$9,G2705,1)),"",IF((AND(RIGHT(G2705,2)=RIGHT('112'!$M$9,2),B2705&lt;'112'!$K$9,$O2705='112'!$I$6)),"x",""))</f>
        <v/>
      </c>
      <c r="W2705" s="79" t="str">
        <f>IF(AND('341-CT'!$H$9=H2705,OR(LEFT(N2705,3)=$W$7,LEFT(O2705,3)=$W$7)),"x","")</f>
        <v/>
      </c>
      <c r="X2705" s="79" t="str">
        <f>IF(OR(TH!N2705=TH!$X$7,O2705=TH!$X$7),"x","")</f>
        <v/>
      </c>
      <c r="Y2705" s="79" t="str">
        <f>IF(AND(OR(N2705="131",O2705="131"),H2705='131-CT'!$H$9),"x","")</f>
        <v/>
      </c>
      <c r="Z2705" s="79"/>
      <c r="AA2705" s="79" t="str">
        <f>IF(AND(MONTH(E2705)='IN-NX'!$J$5,'IN-NX'!$D$7=D2705),"x","")</f>
        <v/>
      </c>
      <c r="AB2705" s="79" t="str">
        <f>IF(AND(OR(LEFT(TH!N2705,2)="15",LEFT(TH!O2705,2)="15"),LEFT(TH!O2705,3)&lt;&gt;"111",'152-CT'!$J$8=TH!F2705),"x","")</f>
        <v/>
      </c>
      <c r="AC2705" s="79" t="str">
        <f>IF(AND(OR(LEFT(TH!N2705,2)="15",LEFT(TH!O2705,2)="15"),TK!$E$7=TH!F2705),"x","")</f>
        <v/>
      </c>
      <c r="AD2705" s="79" t="str">
        <f>IF(AND(N2705="1521",MONTH(C2705)='BK-NL'!$M$11),"x","")</f>
        <v/>
      </c>
    </row>
    <row r="2706" spans="1:30" ht="16.5" customHeight="1">
      <c r="A2706" s="318" t="str">
        <f>IF(B2706&lt;&gt;"",IF(AND(B2706='IN-TC'!$S$4,OR(TH!N2706="1111",TH!O2706="1111")),TH!D2706,""),"")</f>
        <v/>
      </c>
      <c r="B2706" s="60" t="str">
        <f t="shared" si="292"/>
        <v/>
      </c>
      <c r="C2706" s="301"/>
      <c r="D2706" s="301"/>
      <c r="E2706" s="301"/>
      <c r="F2706" s="1162"/>
      <c r="G2706" s="968"/>
      <c r="H2706" s="303"/>
      <c r="I2706" s="385"/>
      <c r="J2706" s="969"/>
      <c r="K2706" s="385"/>
      <c r="L2706" s="392"/>
      <c r="M2706" s="970"/>
      <c r="N2706" s="304"/>
      <c r="O2706" s="304"/>
      <c r="P2706" s="79" t="str">
        <f>IF(AND('331-CT'!$E$7=TH!H2706,OR(N2706="331",O2706="331")),"x","")</f>
        <v/>
      </c>
      <c r="Q2706" s="79" t="str">
        <f>IF(AND(B2706='111'!$L$11,OR($N2706=$Q$7,$O2706=$Q$7)),"x","")</f>
        <v/>
      </c>
      <c r="R2706" s="79" t="str">
        <f>IF(AND($N2706=$Q$7,$B2706&lt;'111'!$L$11),"x","")</f>
        <v/>
      </c>
      <c r="S2706" s="79" t="str">
        <f>IF(AND($O2706=$Q$7,$B2706&lt;'111'!$L$11),"x","")</f>
        <v/>
      </c>
      <c r="T2706" s="79" t="str">
        <f>IF(ISERROR(FIND('112'!$M$9,G2706,1)),"",IF((AND(FIND('112'!$M$9,G2706,1)&gt;=1,B2706='112'!$K$9,OR($N2706='112'!$I$6,$O2706='112'!$I$6))),"x",""))</f>
        <v/>
      </c>
      <c r="U2706" s="79" t="str">
        <f>IF(ISERROR(FIND('112'!$M$9,G2706,1)),"",IF((AND(LEFT(G2706,2)=LEFT('112'!$M$9,2),B2706&lt;'112'!$K$9,$N2706='112'!$I$6)),"x",""))</f>
        <v/>
      </c>
      <c r="V2706" s="79" t="str">
        <f>IF(ISERROR(FIND('112'!$M$9,G2706,1)),"",IF((AND(RIGHT(G2706,2)=RIGHT('112'!$M$9,2),B2706&lt;'112'!$K$9,$O2706='112'!$I$6)),"x",""))</f>
        <v/>
      </c>
      <c r="W2706" s="79" t="str">
        <f>IF(AND('341-CT'!$H$9=H2706,OR(LEFT(N2706,3)=$W$7,LEFT(O2706,3)=$W$7)),"x","")</f>
        <v/>
      </c>
      <c r="X2706" s="79" t="str">
        <f>IF(OR(TH!N2706=TH!$X$7,O2706=TH!$X$7),"x","")</f>
        <v/>
      </c>
      <c r="Y2706" s="79" t="str">
        <f>IF(AND(OR(N2706="131",O2706="131"),H2706='131-CT'!$H$9),"x","")</f>
        <v/>
      </c>
      <c r="Z2706" s="79"/>
      <c r="AA2706" s="79" t="str">
        <f>IF(AND(MONTH(E2706)='IN-NX'!$J$5,'IN-NX'!$D$7=D2706),"x","")</f>
        <v/>
      </c>
      <c r="AB2706" s="79" t="str">
        <f>IF(AND(OR(LEFT(TH!N2706,2)="15",LEFT(TH!O2706,2)="15"),LEFT(TH!O2706,3)&lt;&gt;"111",'152-CT'!$J$8=TH!F2706),"x","")</f>
        <v/>
      </c>
      <c r="AC2706" s="79" t="str">
        <f>IF(AND(OR(LEFT(TH!N2706,2)="15",LEFT(TH!O2706,2)="15"),TK!$E$7=TH!F2706),"x","")</f>
        <v/>
      </c>
      <c r="AD2706" s="79" t="str">
        <f>IF(AND(N2706="1521",MONTH(C2706)='BK-NL'!$M$11),"x","")</f>
        <v/>
      </c>
    </row>
    <row r="2707" spans="1:30" ht="16.5" customHeight="1">
      <c r="A2707" s="318" t="str">
        <f>IF(B2707&lt;&gt;"",IF(AND(B2707='IN-TC'!$S$4,OR(TH!N2707="1111",TH!O2707="1111")),TH!D2707,""),"")</f>
        <v/>
      </c>
      <c r="B2707" s="60" t="str">
        <f t="shared" si="292"/>
        <v/>
      </c>
      <c r="C2707" s="301"/>
      <c r="D2707" s="301"/>
      <c r="E2707" s="301"/>
      <c r="F2707" s="1162"/>
      <c r="G2707" s="968"/>
      <c r="H2707" s="303"/>
      <c r="I2707" s="385"/>
      <c r="J2707" s="969"/>
      <c r="K2707" s="385"/>
      <c r="L2707" s="392"/>
      <c r="M2707" s="970"/>
      <c r="N2707" s="304"/>
      <c r="O2707" s="304"/>
      <c r="P2707" s="79" t="str">
        <f>IF(AND('331-CT'!$E$7=TH!H2707,OR(N2707="331",O2707="331")),"x","")</f>
        <v/>
      </c>
      <c r="Q2707" s="79" t="str">
        <f>IF(AND(B2707='111'!$L$11,OR($N2707=$Q$7,$O2707=$Q$7)),"x","")</f>
        <v/>
      </c>
      <c r="R2707" s="79" t="str">
        <f>IF(AND($N2707=$Q$7,$B2707&lt;'111'!$L$11),"x","")</f>
        <v/>
      </c>
      <c r="S2707" s="79" t="str">
        <f>IF(AND($O2707=$Q$7,$B2707&lt;'111'!$L$11),"x","")</f>
        <v/>
      </c>
      <c r="T2707" s="79" t="str">
        <f>IF(ISERROR(FIND('112'!$M$9,G2707,1)),"",IF((AND(FIND('112'!$M$9,G2707,1)&gt;=1,B2707='112'!$K$9,OR($N2707='112'!$I$6,$O2707='112'!$I$6))),"x",""))</f>
        <v/>
      </c>
      <c r="U2707" s="79" t="str">
        <f>IF(ISERROR(FIND('112'!$M$9,G2707,1)),"",IF((AND(LEFT(G2707,2)=LEFT('112'!$M$9,2),B2707&lt;'112'!$K$9,$N2707='112'!$I$6)),"x",""))</f>
        <v/>
      </c>
      <c r="V2707" s="79" t="str">
        <f>IF(ISERROR(FIND('112'!$M$9,G2707,1)),"",IF((AND(RIGHT(G2707,2)=RIGHT('112'!$M$9,2),B2707&lt;'112'!$K$9,$O2707='112'!$I$6)),"x",""))</f>
        <v/>
      </c>
      <c r="W2707" s="79" t="str">
        <f>IF(AND('341-CT'!$H$9=H2707,OR(LEFT(N2707,3)=$W$7,LEFT(O2707,3)=$W$7)),"x","")</f>
        <v/>
      </c>
      <c r="X2707" s="79" t="str">
        <f>IF(OR(TH!N2707=TH!$X$7,O2707=TH!$X$7),"x","")</f>
        <v/>
      </c>
      <c r="Y2707" s="79" t="str">
        <f>IF(AND(OR(N2707="131",O2707="131"),H2707='131-CT'!$H$9),"x","")</f>
        <v/>
      </c>
      <c r="Z2707" s="79"/>
      <c r="AA2707" s="79" t="str">
        <f>IF(AND(MONTH(E2707)='IN-NX'!$J$5,'IN-NX'!$D$7=D2707),"x","")</f>
        <v/>
      </c>
      <c r="AB2707" s="79" t="str">
        <f>IF(AND(OR(LEFT(TH!N2707,2)="15",LEFT(TH!O2707,2)="15"),LEFT(TH!O2707,3)&lt;&gt;"111",'152-CT'!$J$8=TH!F2707),"x","")</f>
        <v/>
      </c>
      <c r="AC2707" s="79" t="str">
        <f>IF(AND(OR(LEFT(TH!N2707,2)="15",LEFT(TH!O2707,2)="15"),TK!$E$7=TH!F2707),"x","")</f>
        <v/>
      </c>
      <c r="AD2707" s="79" t="str">
        <f>IF(AND(N2707="1521",MONTH(C2707)='BK-NL'!$M$11),"x","")</f>
        <v/>
      </c>
    </row>
    <row r="2708" spans="1:30" ht="16.5" customHeight="1">
      <c r="A2708" s="318" t="str">
        <f>IF(B2708&lt;&gt;"",IF(AND(B2708='IN-TC'!$S$4,OR(TH!N2708="1111",TH!O2708="1111")),TH!D2708,""),"")</f>
        <v/>
      </c>
      <c r="B2708" s="60" t="str">
        <f t="shared" si="292"/>
        <v/>
      </c>
      <c r="C2708" s="301"/>
      <c r="D2708" s="301"/>
      <c r="E2708" s="301"/>
      <c r="F2708" s="1162"/>
      <c r="G2708" s="968"/>
      <c r="H2708" s="303"/>
      <c r="I2708" s="385"/>
      <c r="J2708" s="969"/>
      <c r="K2708" s="385"/>
      <c r="L2708" s="392"/>
      <c r="M2708" s="970"/>
      <c r="N2708" s="304"/>
      <c r="O2708" s="304"/>
      <c r="P2708" s="79" t="str">
        <f>IF(AND('331-CT'!$E$7=TH!H2708,OR(N2708="331",O2708="331")),"x","")</f>
        <v/>
      </c>
      <c r="Q2708" s="79" t="str">
        <f>IF(AND(B2708='111'!$L$11,OR($N2708=$Q$7,$O2708=$Q$7)),"x","")</f>
        <v/>
      </c>
      <c r="R2708" s="79" t="str">
        <f>IF(AND($N2708=$Q$7,$B2708&lt;'111'!$L$11),"x","")</f>
        <v/>
      </c>
      <c r="S2708" s="79" t="str">
        <f>IF(AND($O2708=$Q$7,$B2708&lt;'111'!$L$11),"x","")</f>
        <v/>
      </c>
      <c r="T2708" s="79" t="str">
        <f>IF(ISERROR(FIND('112'!$M$9,G2708,1)),"",IF((AND(FIND('112'!$M$9,G2708,1)&gt;=1,B2708='112'!$K$9,OR($N2708='112'!$I$6,$O2708='112'!$I$6))),"x",""))</f>
        <v/>
      </c>
      <c r="U2708" s="79" t="str">
        <f>IF(ISERROR(FIND('112'!$M$9,G2708,1)),"",IF((AND(LEFT(G2708,2)=LEFT('112'!$M$9,2),B2708&lt;'112'!$K$9,$N2708='112'!$I$6)),"x",""))</f>
        <v/>
      </c>
      <c r="V2708" s="79" t="str">
        <f>IF(ISERROR(FIND('112'!$M$9,G2708,1)),"",IF((AND(RIGHT(G2708,2)=RIGHT('112'!$M$9,2),B2708&lt;'112'!$K$9,$O2708='112'!$I$6)),"x",""))</f>
        <v/>
      </c>
      <c r="W2708" s="79" t="str">
        <f>IF(AND('341-CT'!$H$9=H2708,OR(LEFT(N2708,3)=$W$7,LEFT(O2708,3)=$W$7)),"x","")</f>
        <v/>
      </c>
      <c r="X2708" s="79" t="str">
        <f>IF(OR(TH!N2708=TH!$X$7,O2708=TH!$X$7),"x","")</f>
        <v/>
      </c>
      <c r="Y2708" s="79" t="str">
        <f>IF(AND(OR(N2708="131",O2708="131"),H2708='131-CT'!$H$9),"x","")</f>
        <v/>
      </c>
      <c r="Z2708" s="79"/>
      <c r="AA2708" s="79" t="str">
        <f>IF(AND(MONTH(E2708)='IN-NX'!$J$5,'IN-NX'!$D$7=D2708),"x","")</f>
        <v/>
      </c>
      <c r="AB2708" s="79" t="str">
        <f>IF(AND(OR(LEFT(TH!N2708,2)="15",LEFT(TH!O2708,2)="15"),LEFT(TH!O2708,3)&lt;&gt;"111",'152-CT'!$J$8=TH!F2708),"x","")</f>
        <v/>
      </c>
      <c r="AC2708" s="79" t="str">
        <f>IF(AND(OR(LEFT(TH!N2708,2)="15",LEFT(TH!O2708,2)="15"),TK!$E$7=TH!F2708),"x","")</f>
        <v/>
      </c>
      <c r="AD2708" s="79" t="str">
        <f>IF(AND(N2708="1521",MONTH(C2708)='BK-NL'!$M$11),"x","")</f>
        <v/>
      </c>
    </row>
    <row r="2709" spans="1:30" ht="16.5" customHeight="1">
      <c r="A2709" s="318" t="str">
        <f>IF(B2709&lt;&gt;"",IF(AND(B2709='IN-TC'!$S$4,OR(TH!N2709="1111",TH!O2709="1111")),TH!D2709,""),"")</f>
        <v/>
      </c>
      <c r="B2709" s="60" t="str">
        <f t="shared" si="292"/>
        <v/>
      </c>
      <c r="C2709" s="301"/>
      <c r="D2709" s="301"/>
      <c r="E2709" s="301"/>
      <c r="F2709" s="1162"/>
      <c r="G2709" s="968"/>
      <c r="H2709" s="303"/>
      <c r="I2709" s="385"/>
      <c r="J2709" s="969"/>
      <c r="K2709" s="385"/>
      <c r="L2709" s="392"/>
      <c r="M2709" s="970"/>
      <c r="N2709" s="304"/>
      <c r="O2709" s="304"/>
      <c r="P2709" s="79" t="str">
        <f>IF(AND('331-CT'!$E$7=TH!H2709,OR(N2709="331",O2709="331")),"x","")</f>
        <v/>
      </c>
      <c r="Q2709" s="79" t="str">
        <f>IF(AND(B2709='111'!$L$11,OR($N2709=$Q$7,$O2709=$Q$7)),"x","")</f>
        <v/>
      </c>
      <c r="R2709" s="79" t="str">
        <f>IF(AND($N2709=$Q$7,$B2709&lt;'111'!$L$11),"x","")</f>
        <v/>
      </c>
      <c r="S2709" s="79" t="str">
        <f>IF(AND($O2709=$Q$7,$B2709&lt;'111'!$L$11),"x","")</f>
        <v/>
      </c>
      <c r="T2709" s="79" t="str">
        <f>IF(ISERROR(FIND('112'!$M$9,G2709,1)),"",IF((AND(FIND('112'!$M$9,G2709,1)&gt;=1,B2709='112'!$K$9,OR($N2709='112'!$I$6,$O2709='112'!$I$6))),"x",""))</f>
        <v/>
      </c>
      <c r="U2709" s="79" t="str">
        <f>IF(ISERROR(FIND('112'!$M$9,G2709,1)),"",IF((AND(LEFT(G2709,2)=LEFT('112'!$M$9,2),B2709&lt;'112'!$K$9,$N2709='112'!$I$6)),"x",""))</f>
        <v/>
      </c>
      <c r="V2709" s="79" t="str">
        <f>IF(ISERROR(FIND('112'!$M$9,G2709,1)),"",IF((AND(RIGHT(G2709,2)=RIGHT('112'!$M$9,2),B2709&lt;'112'!$K$9,$O2709='112'!$I$6)),"x",""))</f>
        <v/>
      </c>
      <c r="W2709" s="79" t="str">
        <f>IF(AND('341-CT'!$H$9=H2709,OR(LEFT(N2709,3)=$W$7,LEFT(O2709,3)=$W$7)),"x","")</f>
        <v/>
      </c>
      <c r="X2709" s="79" t="str">
        <f>IF(OR(TH!N2709=TH!$X$7,O2709=TH!$X$7),"x","")</f>
        <v/>
      </c>
      <c r="Y2709" s="79" t="str">
        <f>IF(AND(OR(N2709="131",O2709="131"),H2709='131-CT'!$H$9),"x","")</f>
        <v/>
      </c>
      <c r="Z2709" s="79"/>
      <c r="AA2709" s="79" t="str">
        <f>IF(AND(MONTH(E2709)='IN-NX'!$J$5,'IN-NX'!$D$7=D2709),"x","")</f>
        <v/>
      </c>
      <c r="AB2709" s="79" t="str">
        <f>IF(AND(OR(LEFT(TH!N2709,2)="15",LEFT(TH!O2709,2)="15"),LEFT(TH!O2709,3)&lt;&gt;"111",'152-CT'!$J$8=TH!F2709),"x","")</f>
        <v/>
      </c>
      <c r="AC2709" s="79" t="str">
        <f>IF(AND(OR(LEFT(TH!N2709,2)="15",LEFT(TH!O2709,2)="15"),TK!$E$7=TH!F2709),"x","")</f>
        <v/>
      </c>
      <c r="AD2709" s="79" t="str">
        <f>IF(AND(N2709="1521",MONTH(C2709)='BK-NL'!$M$11),"x","")</f>
        <v/>
      </c>
    </row>
    <row r="2710" spans="1:30" ht="16.5" customHeight="1">
      <c r="A2710" s="318" t="str">
        <f>IF(B2710&lt;&gt;"",IF(AND(B2710='IN-TC'!$S$4,OR(TH!N2710="1111",TH!O2710="1111")),TH!D2710,""),"")</f>
        <v/>
      </c>
      <c r="B2710" s="60" t="str">
        <f t="shared" ref="B2710:B2713" si="293">IF(C2710&lt;&gt;"",MONTH(C2710),"")</f>
        <v/>
      </c>
      <c r="C2710" s="301"/>
      <c r="D2710" s="301"/>
      <c r="E2710" s="301"/>
      <c r="F2710" s="1162"/>
      <c r="G2710" s="968"/>
      <c r="H2710" s="303"/>
      <c r="I2710" s="385"/>
      <c r="J2710" s="969"/>
      <c r="K2710" s="385"/>
      <c r="L2710" s="392"/>
      <c r="M2710" s="970"/>
      <c r="N2710" s="304"/>
      <c r="O2710" s="304"/>
      <c r="P2710" s="79" t="str">
        <f>IF(AND('331-CT'!$E$7=TH!H2710,OR(N2710="331",O2710="331")),"x","")</f>
        <v/>
      </c>
      <c r="Q2710" s="79" t="str">
        <f>IF(AND(B2710='111'!$L$11,OR($N2710=$Q$7,$O2710=$Q$7)),"x","")</f>
        <v/>
      </c>
      <c r="R2710" s="79" t="str">
        <f>IF(AND($N2710=$Q$7,$B2710&lt;'111'!$L$11),"x","")</f>
        <v/>
      </c>
      <c r="S2710" s="79" t="str">
        <f>IF(AND($O2710=$Q$7,$B2710&lt;'111'!$L$11),"x","")</f>
        <v/>
      </c>
      <c r="T2710" s="79" t="str">
        <f>IF(ISERROR(FIND('112'!$M$9,G2710,1)),"",IF((AND(FIND('112'!$M$9,G2710,1)&gt;=1,B2710='112'!$K$9,OR($N2710='112'!$I$6,$O2710='112'!$I$6))),"x",""))</f>
        <v/>
      </c>
      <c r="U2710" s="79" t="str">
        <f>IF(ISERROR(FIND('112'!$M$9,G2710,1)),"",IF((AND(LEFT(G2710,2)=LEFT('112'!$M$9,2),B2710&lt;'112'!$K$9,$N2710='112'!$I$6)),"x",""))</f>
        <v/>
      </c>
      <c r="V2710" s="79" t="str">
        <f>IF(ISERROR(FIND('112'!$M$9,G2710,1)),"",IF((AND(RIGHT(G2710,2)=RIGHT('112'!$M$9,2),B2710&lt;'112'!$K$9,$O2710='112'!$I$6)),"x",""))</f>
        <v/>
      </c>
      <c r="W2710" s="79" t="str">
        <f>IF(AND('341-CT'!$H$9=H2710,OR(LEFT(N2710,3)=$W$7,LEFT(O2710,3)=$W$7)),"x","")</f>
        <v/>
      </c>
      <c r="X2710" s="79" t="str">
        <f>IF(OR(TH!N2710=TH!$X$7,O2710=TH!$X$7),"x","")</f>
        <v/>
      </c>
      <c r="Y2710" s="79" t="str">
        <f>IF(AND(OR(N2710="131",O2710="131"),H2710='131-CT'!$H$9),"x","")</f>
        <v/>
      </c>
      <c r="Z2710" s="79"/>
      <c r="AA2710" s="79" t="str">
        <f>IF(AND(MONTH(E2710)='IN-NX'!$J$5,'IN-NX'!$D$7=D2710),"x","")</f>
        <v/>
      </c>
      <c r="AB2710" s="79" t="str">
        <f>IF(AND(OR(LEFT(TH!N2710,2)="15",LEFT(TH!O2710,2)="15"),LEFT(TH!O2710,3)&lt;&gt;"111",'152-CT'!$J$8=TH!F2710),"x","")</f>
        <v/>
      </c>
      <c r="AC2710" s="79" t="str">
        <f>IF(AND(OR(LEFT(TH!N2710,2)="15",LEFT(TH!O2710,2)="15"),TK!$E$7=TH!F2710),"x","")</f>
        <v/>
      </c>
      <c r="AD2710" s="79" t="str">
        <f>IF(AND(N2710="1521",MONTH(C2710)='BK-NL'!$M$11),"x","")</f>
        <v/>
      </c>
    </row>
    <row r="2711" spans="1:30" ht="16.5" customHeight="1">
      <c r="A2711" s="318" t="str">
        <f>IF(B2711&lt;&gt;"",IF(AND(B2711='IN-TC'!$S$4,OR(TH!N2711="1111",TH!O2711="1111")),TH!D2711,""),"")</f>
        <v/>
      </c>
      <c r="B2711" s="60" t="str">
        <f t="shared" si="293"/>
        <v/>
      </c>
      <c r="C2711" s="301"/>
      <c r="D2711" s="301"/>
      <c r="E2711" s="301"/>
      <c r="F2711" s="1162"/>
      <c r="G2711" s="968"/>
      <c r="H2711" s="303"/>
      <c r="I2711" s="385"/>
      <c r="J2711" s="969"/>
      <c r="K2711" s="385"/>
      <c r="L2711" s="392"/>
      <c r="M2711" s="970"/>
      <c r="N2711" s="304"/>
      <c r="O2711" s="304"/>
      <c r="P2711" s="79" t="str">
        <f>IF(AND('331-CT'!$E$7=TH!H2711,OR(N2711="331",O2711="331")),"x","")</f>
        <v/>
      </c>
      <c r="Q2711" s="79" t="str">
        <f>IF(AND(B2711='111'!$L$11,OR($N2711=$Q$7,$O2711=$Q$7)),"x","")</f>
        <v/>
      </c>
      <c r="R2711" s="79" t="str">
        <f>IF(AND($N2711=$Q$7,$B2711&lt;'111'!$L$11),"x","")</f>
        <v/>
      </c>
      <c r="S2711" s="79" t="str">
        <f>IF(AND($O2711=$Q$7,$B2711&lt;'111'!$L$11),"x","")</f>
        <v/>
      </c>
      <c r="T2711" s="79" t="str">
        <f>IF(ISERROR(FIND('112'!$M$9,G2711,1)),"",IF((AND(FIND('112'!$M$9,G2711,1)&gt;=1,B2711='112'!$K$9,OR($N2711='112'!$I$6,$O2711='112'!$I$6))),"x",""))</f>
        <v/>
      </c>
      <c r="U2711" s="79" t="str">
        <f>IF(ISERROR(FIND('112'!$M$9,G2711,1)),"",IF((AND(LEFT(G2711,2)=LEFT('112'!$M$9,2),B2711&lt;'112'!$K$9,$N2711='112'!$I$6)),"x",""))</f>
        <v/>
      </c>
      <c r="V2711" s="79" t="str">
        <f>IF(ISERROR(FIND('112'!$M$9,G2711,1)),"",IF((AND(RIGHT(G2711,2)=RIGHT('112'!$M$9,2),B2711&lt;'112'!$K$9,$O2711='112'!$I$6)),"x",""))</f>
        <v/>
      </c>
      <c r="W2711" s="79" t="str">
        <f>IF(AND('341-CT'!$H$9=H2711,OR(LEFT(N2711,3)=$W$7,LEFT(O2711,3)=$W$7)),"x","")</f>
        <v/>
      </c>
      <c r="X2711" s="79" t="str">
        <f>IF(OR(TH!N2711=TH!$X$7,O2711=TH!$X$7),"x","")</f>
        <v/>
      </c>
      <c r="Y2711" s="79" t="str">
        <f>IF(AND(OR(N2711="131",O2711="131"),H2711='131-CT'!$H$9),"x","")</f>
        <v/>
      </c>
      <c r="Z2711" s="79"/>
      <c r="AA2711" s="79" t="str">
        <f>IF(AND(MONTH(E2711)='IN-NX'!$J$5,'IN-NX'!$D$7=D2711),"x","")</f>
        <v/>
      </c>
      <c r="AB2711" s="79" t="str">
        <f>IF(AND(OR(LEFT(TH!N2711,2)="15",LEFT(TH!O2711,2)="15"),LEFT(TH!O2711,3)&lt;&gt;"111",'152-CT'!$J$8=TH!F2711),"x","")</f>
        <v/>
      </c>
      <c r="AC2711" s="79" t="str">
        <f>IF(AND(OR(LEFT(TH!N2711,2)="15",LEFT(TH!O2711,2)="15"),TK!$E$7=TH!F2711),"x","")</f>
        <v/>
      </c>
      <c r="AD2711" s="79" t="str">
        <f>IF(AND(N2711="1521",MONTH(C2711)='BK-NL'!$M$11),"x","")</f>
        <v/>
      </c>
    </row>
    <row r="2712" spans="1:30" ht="16.5" customHeight="1">
      <c r="A2712" s="318" t="str">
        <f>IF(B2712&lt;&gt;"",IF(AND(B2712='IN-TC'!$S$4,OR(TH!N2712="1111",TH!O2712="1111")),TH!D2712,""),"")</f>
        <v/>
      </c>
      <c r="B2712" s="60" t="str">
        <f t="shared" si="293"/>
        <v/>
      </c>
      <c r="C2712" s="301"/>
      <c r="D2712" s="301"/>
      <c r="E2712" s="301"/>
      <c r="F2712" s="1162"/>
      <c r="G2712" s="968"/>
      <c r="H2712" s="303"/>
      <c r="I2712" s="385"/>
      <c r="J2712" s="969"/>
      <c r="K2712" s="385"/>
      <c r="L2712" s="392"/>
      <c r="M2712" s="970"/>
      <c r="N2712" s="304"/>
      <c r="O2712" s="304"/>
      <c r="P2712" s="79" t="str">
        <f>IF(AND('331-CT'!$E$7=TH!H2712,OR(N2712="331",O2712="331")),"x","")</f>
        <v/>
      </c>
      <c r="Q2712" s="79" t="str">
        <f>IF(AND(B2712='111'!$L$11,OR($N2712=$Q$7,$O2712=$Q$7)),"x","")</f>
        <v/>
      </c>
      <c r="R2712" s="79" t="str">
        <f>IF(AND($N2712=$Q$7,$B2712&lt;'111'!$L$11),"x","")</f>
        <v/>
      </c>
      <c r="S2712" s="79" t="str">
        <f>IF(AND($O2712=$Q$7,$B2712&lt;'111'!$L$11),"x","")</f>
        <v/>
      </c>
      <c r="T2712" s="79" t="str">
        <f>IF(ISERROR(FIND('112'!$M$9,G2712,1)),"",IF((AND(FIND('112'!$M$9,G2712,1)&gt;=1,B2712='112'!$K$9,OR($N2712='112'!$I$6,$O2712='112'!$I$6))),"x",""))</f>
        <v/>
      </c>
      <c r="U2712" s="79" t="str">
        <f>IF(ISERROR(FIND('112'!$M$9,G2712,1)),"",IF((AND(LEFT(G2712,2)=LEFT('112'!$M$9,2),B2712&lt;'112'!$K$9,$N2712='112'!$I$6)),"x",""))</f>
        <v/>
      </c>
      <c r="V2712" s="79" t="str">
        <f>IF(ISERROR(FIND('112'!$M$9,G2712,1)),"",IF((AND(RIGHT(G2712,2)=RIGHT('112'!$M$9,2),B2712&lt;'112'!$K$9,$O2712='112'!$I$6)),"x",""))</f>
        <v/>
      </c>
      <c r="W2712" s="79" t="str">
        <f>IF(AND('341-CT'!$H$9=H2712,OR(LEFT(N2712,3)=$W$7,LEFT(O2712,3)=$W$7)),"x","")</f>
        <v/>
      </c>
      <c r="X2712" s="79" t="str">
        <f>IF(OR(TH!N2712=TH!$X$7,O2712=TH!$X$7),"x","")</f>
        <v/>
      </c>
      <c r="Y2712" s="79" t="str">
        <f>IF(AND(OR(N2712="131",O2712="131"),H2712='131-CT'!$H$9),"x","")</f>
        <v/>
      </c>
      <c r="Z2712" s="79"/>
      <c r="AA2712" s="79" t="str">
        <f>IF(AND(MONTH(E2712)='IN-NX'!$J$5,'IN-NX'!$D$7=D2712),"x","")</f>
        <v/>
      </c>
      <c r="AB2712" s="79" t="str">
        <f>IF(AND(OR(LEFT(TH!N2712,2)="15",LEFT(TH!O2712,2)="15"),LEFT(TH!O2712,3)&lt;&gt;"111",'152-CT'!$J$8=TH!F2712),"x","")</f>
        <v/>
      </c>
      <c r="AC2712" s="79" t="str">
        <f>IF(AND(OR(LEFT(TH!N2712,2)="15",LEFT(TH!O2712,2)="15"),TK!$E$7=TH!F2712),"x","")</f>
        <v/>
      </c>
      <c r="AD2712" s="79" t="str">
        <f>IF(AND(N2712="1521",MONTH(C2712)='BK-NL'!$M$11),"x","")</f>
        <v/>
      </c>
    </row>
    <row r="2713" spans="1:30" ht="16.5" customHeight="1">
      <c r="A2713" s="318" t="str">
        <f>IF(B2713&lt;&gt;"",IF(AND(B2713='IN-TC'!$S$4,OR(TH!N2713="1111",TH!O2713="1111")),TH!D2713,""),"")</f>
        <v/>
      </c>
      <c r="B2713" s="60" t="str">
        <f t="shared" si="293"/>
        <v/>
      </c>
      <c r="C2713" s="301"/>
      <c r="D2713" s="301"/>
      <c r="E2713" s="301"/>
      <c r="F2713" s="1162"/>
      <c r="G2713" s="968"/>
      <c r="H2713" s="303"/>
      <c r="I2713" s="385"/>
      <c r="J2713" s="969"/>
      <c r="K2713" s="385"/>
      <c r="L2713" s="392"/>
      <c r="M2713" s="970"/>
      <c r="N2713" s="304"/>
      <c r="O2713" s="304"/>
      <c r="P2713" s="79" t="str">
        <f>IF(AND('331-CT'!$E$7=TH!H2713,OR(N2713="331",O2713="331")),"x","")</f>
        <v/>
      </c>
      <c r="Q2713" s="79" t="str">
        <f>IF(AND(B2713='111'!$L$11,OR($N2713=$Q$7,$O2713=$Q$7)),"x","")</f>
        <v/>
      </c>
      <c r="R2713" s="79" t="str">
        <f>IF(AND($N2713=$Q$7,$B2713&lt;'111'!$L$11),"x","")</f>
        <v/>
      </c>
      <c r="S2713" s="79" t="str">
        <f>IF(AND($O2713=$Q$7,$B2713&lt;'111'!$L$11),"x","")</f>
        <v/>
      </c>
      <c r="T2713" s="79" t="str">
        <f>IF(ISERROR(FIND('112'!$M$9,G2713,1)),"",IF((AND(FIND('112'!$M$9,G2713,1)&gt;=1,B2713='112'!$K$9,OR($N2713='112'!$I$6,$O2713='112'!$I$6))),"x",""))</f>
        <v/>
      </c>
      <c r="U2713" s="79" t="str">
        <f>IF(ISERROR(FIND('112'!$M$9,G2713,1)),"",IF((AND(LEFT(G2713,2)=LEFT('112'!$M$9,2),B2713&lt;'112'!$K$9,$N2713='112'!$I$6)),"x",""))</f>
        <v/>
      </c>
      <c r="V2713" s="79" t="str">
        <f>IF(ISERROR(FIND('112'!$M$9,G2713,1)),"",IF((AND(RIGHT(G2713,2)=RIGHT('112'!$M$9,2),B2713&lt;'112'!$K$9,$O2713='112'!$I$6)),"x",""))</f>
        <v/>
      </c>
      <c r="W2713" s="79" t="str">
        <f>IF(AND('341-CT'!$H$9=H2713,OR(LEFT(N2713,3)=$W$7,LEFT(O2713,3)=$W$7)),"x","")</f>
        <v/>
      </c>
      <c r="X2713" s="79" t="str">
        <f>IF(OR(TH!N2713=TH!$X$7,O2713=TH!$X$7),"x","")</f>
        <v/>
      </c>
      <c r="Y2713" s="79" t="str">
        <f>IF(AND(OR(N2713="131",O2713="131"),H2713='131-CT'!$H$9),"x","")</f>
        <v/>
      </c>
      <c r="Z2713" s="79"/>
      <c r="AA2713" s="79" t="str">
        <f>IF(AND(MONTH(E2713)='IN-NX'!$J$5,'IN-NX'!$D$7=D2713),"x","")</f>
        <v/>
      </c>
      <c r="AB2713" s="79" t="str">
        <f>IF(AND(OR(LEFT(TH!N2713,2)="15",LEFT(TH!O2713,2)="15"),LEFT(TH!O2713,3)&lt;&gt;"111",'152-CT'!$J$8=TH!F2713),"x","")</f>
        <v/>
      </c>
      <c r="AC2713" s="79" t="str">
        <f>IF(AND(OR(LEFT(TH!N2713,2)="15",LEFT(TH!O2713,2)="15"),TK!$E$7=TH!F2713),"x","")</f>
        <v/>
      </c>
      <c r="AD2713" s="79" t="str">
        <f>IF(AND(N2713="1521",MONTH(C2713)='BK-NL'!$M$11),"x","")</f>
        <v/>
      </c>
    </row>
    <row r="2714" spans="1:30" ht="16.5" customHeight="1">
      <c r="A2714" s="318" t="str">
        <f>IF(B2714&lt;&gt;"",IF(AND(B2714='IN-TC'!$S$4,OR(TH!N2714="1111",TH!O2714="1111")),TH!D2714,""),"")</f>
        <v/>
      </c>
      <c r="B2714" s="60" t="str">
        <f t="shared" ref="B2714:B2717" si="294">IF(C2714&lt;&gt;"",MONTH(C2714),"")</f>
        <v/>
      </c>
      <c r="C2714" s="301"/>
      <c r="D2714" s="301"/>
      <c r="E2714" s="301"/>
      <c r="F2714" s="1162"/>
      <c r="G2714" s="968"/>
      <c r="H2714" s="303"/>
      <c r="I2714" s="385"/>
      <c r="J2714" s="969"/>
      <c r="K2714" s="385"/>
      <c r="L2714" s="392"/>
      <c r="M2714" s="970"/>
      <c r="N2714" s="304"/>
      <c r="O2714" s="304"/>
      <c r="P2714" s="79" t="str">
        <f>IF(AND('331-CT'!$E$7=TH!H2714,OR(N2714="331",O2714="331")),"x","")</f>
        <v/>
      </c>
      <c r="Q2714" s="79" t="str">
        <f>IF(AND(B2714='111'!$L$11,OR($N2714=$Q$7,$O2714=$Q$7)),"x","")</f>
        <v/>
      </c>
      <c r="R2714" s="79" t="str">
        <f>IF(AND($N2714=$Q$7,$B2714&lt;'111'!$L$11),"x","")</f>
        <v/>
      </c>
      <c r="S2714" s="79" t="str">
        <f>IF(AND($O2714=$Q$7,$B2714&lt;'111'!$L$11),"x","")</f>
        <v/>
      </c>
      <c r="T2714" s="79" t="str">
        <f>IF(ISERROR(FIND('112'!$M$9,G2714,1)),"",IF((AND(FIND('112'!$M$9,G2714,1)&gt;=1,B2714='112'!$K$9,OR($N2714='112'!$I$6,$O2714='112'!$I$6))),"x",""))</f>
        <v/>
      </c>
      <c r="U2714" s="79" t="str">
        <f>IF(ISERROR(FIND('112'!$M$9,G2714,1)),"",IF((AND(LEFT(G2714,2)=LEFT('112'!$M$9,2),B2714&lt;'112'!$K$9,$N2714='112'!$I$6)),"x",""))</f>
        <v/>
      </c>
      <c r="V2714" s="79" t="str">
        <f>IF(ISERROR(FIND('112'!$M$9,G2714,1)),"",IF((AND(RIGHT(G2714,2)=RIGHT('112'!$M$9,2),B2714&lt;'112'!$K$9,$O2714='112'!$I$6)),"x",""))</f>
        <v/>
      </c>
      <c r="W2714" s="79" t="str">
        <f>IF(AND('341-CT'!$H$9=H2714,OR(LEFT(N2714,3)=$W$7,LEFT(O2714,3)=$W$7)),"x","")</f>
        <v/>
      </c>
      <c r="X2714" s="79" t="str">
        <f>IF(OR(TH!N2714=TH!$X$7,O2714=TH!$X$7),"x","")</f>
        <v/>
      </c>
      <c r="Y2714" s="79" t="str">
        <f>IF(AND(OR(N2714="131",O2714="131"),H2714='131-CT'!$H$9),"x","")</f>
        <v/>
      </c>
      <c r="Z2714" s="79"/>
      <c r="AA2714" s="79" t="str">
        <f>IF(AND(MONTH(E2714)='IN-NX'!$J$5,'IN-NX'!$D$7=D2714),"x","")</f>
        <v/>
      </c>
      <c r="AB2714" s="79" t="str">
        <f>IF(AND(OR(LEFT(TH!N2714,2)="15",LEFT(TH!O2714,2)="15"),LEFT(TH!O2714,3)&lt;&gt;"111",'152-CT'!$J$8=TH!F2714),"x","")</f>
        <v/>
      </c>
      <c r="AC2714" s="79" t="str">
        <f>IF(AND(OR(LEFT(TH!N2714,2)="15",LEFT(TH!O2714,2)="15"),TK!$E$7=TH!F2714),"x","")</f>
        <v/>
      </c>
      <c r="AD2714" s="79" t="str">
        <f>IF(AND(N2714="1521",MONTH(C2714)='BK-NL'!$M$11),"x","")</f>
        <v/>
      </c>
    </row>
    <row r="2715" spans="1:30" ht="16.5" customHeight="1">
      <c r="A2715" s="318" t="str">
        <f>IF(B2715&lt;&gt;"",IF(AND(B2715='IN-TC'!$S$4,OR(TH!N2715="1111",TH!O2715="1111")),TH!D2715,""),"")</f>
        <v/>
      </c>
      <c r="B2715" s="60" t="str">
        <f t="shared" si="294"/>
        <v/>
      </c>
      <c r="C2715" s="301"/>
      <c r="D2715" s="301"/>
      <c r="E2715" s="301"/>
      <c r="F2715" s="1162"/>
      <c r="G2715" s="968"/>
      <c r="H2715" s="303"/>
      <c r="I2715" s="385"/>
      <c r="J2715" s="969"/>
      <c r="K2715" s="385"/>
      <c r="L2715" s="392"/>
      <c r="M2715" s="970"/>
      <c r="N2715" s="304"/>
      <c r="O2715" s="304"/>
      <c r="P2715" s="79" t="str">
        <f>IF(AND('331-CT'!$E$7=TH!H2715,OR(N2715="331",O2715="331")),"x","")</f>
        <v/>
      </c>
      <c r="Q2715" s="79" t="str">
        <f>IF(AND(B2715='111'!$L$11,OR($N2715=$Q$7,$O2715=$Q$7)),"x","")</f>
        <v/>
      </c>
      <c r="R2715" s="79" t="str">
        <f>IF(AND($N2715=$Q$7,$B2715&lt;'111'!$L$11),"x","")</f>
        <v/>
      </c>
      <c r="S2715" s="79" t="str">
        <f>IF(AND($O2715=$Q$7,$B2715&lt;'111'!$L$11),"x","")</f>
        <v/>
      </c>
      <c r="T2715" s="79" t="str">
        <f>IF(ISERROR(FIND('112'!$M$9,G2715,1)),"",IF((AND(FIND('112'!$M$9,G2715,1)&gt;=1,B2715='112'!$K$9,OR($N2715='112'!$I$6,$O2715='112'!$I$6))),"x",""))</f>
        <v/>
      </c>
      <c r="U2715" s="79" t="str">
        <f>IF(ISERROR(FIND('112'!$M$9,G2715,1)),"",IF((AND(LEFT(G2715,2)=LEFT('112'!$M$9,2),B2715&lt;'112'!$K$9,$N2715='112'!$I$6)),"x",""))</f>
        <v/>
      </c>
      <c r="V2715" s="79" t="str">
        <f>IF(ISERROR(FIND('112'!$M$9,G2715,1)),"",IF((AND(RIGHT(G2715,2)=RIGHT('112'!$M$9,2),B2715&lt;'112'!$K$9,$O2715='112'!$I$6)),"x",""))</f>
        <v/>
      </c>
      <c r="W2715" s="79" t="str">
        <f>IF(AND('341-CT'!$H$9=H2715,OR(LEFT(N2715,3)=$W$7,LEFT(O2715,3)=$W$7)),"x","")</f>
        <v/>
      </c>
      <c r="X2715" s="79" t="str">
        <f>IF(OR(TH!N2715=TH!$X$7,O2715=TH!$X$7),"x","")</f>
        <v/>
      </c>
      <c r="Y2715" s="79" t="str">
        <f>IF(AND(OR(N2715="131",O2715="131"),H2715='131-CT'!$H$9),"x","")</f>
        <v/>
      </c>
      <c r="Z2715" s="79"/>
      <c r="AA2715" s="79" t="str">
        <f>IF(AND(MONTH(E2715)='IN-NX'!$J$5,'IN-NX'!$D$7=D2715),"x","")</f>
        <v/>
      </c>
      <c r="AB2715" s="79" t="str">
        <f>IF(AND(OR(LEFT(TH!N2715,2)="15",LEFT(TH!O2715,2)="15"),LEFT(TH!O2715,3)&lt;&gt;"111",'152-CT'!$J$8=TH!F2715),"x","")</f>
        <v/>
      </c>
      <c r="AC2715" s="79" t="str">
        <f>IF(AND(OR(LEFT(TH!N2715,2)="15",LEFT(TH!O2715,2)="15"),TK!$E$7=TH!F2715),"x","")</f>
        <v/>
      </c>
      <c r="AD2715" s="79" t="str">
        <f>IF(AND(N2715="1521",MONTH(C2715)='BK-NL'!$M$11),"x","")</f>
        <v/>
      </c>
    </row>
    <row r="2716" spans="1:30" ht="16.5" customHeight="1">
      <c r="A2716" s="318" t="str">
        <f>IF(B2716&lt;&gt;"",IF(AND(B2716='IN-TC'!$S$4,OR(TH!N2716="1111",TH!O2716="1111")),TH!D2716,""),"")</f>
        <v/>
      </c>
      <c r="B2716" s="60" t="str">
        <f t="shared" si="294"/>
        <v/>
      </c>
      <c r="C2716" s="301"/>
      <c r="D2716" s="301"/>
      <c r="E2716" s="301"/>
      <c r="F2716" s="1162"/>
      <c r="G2716" s="968"/>
      <c r="H2716" s="303"/>
      <c r="I2716" s="385"/>
      <c r="J2716" s="969"/>
      <c r="K2716" s="385"/>
      <c r="L2716" s="392"/>
      <c r="M2716" s="970"/>
      <c r="N2716" s="304"/>
      <c r="O2716" s="304"/>
      <c r="P2716" s="79" t="str">
        <f>IF(AND('331-CT'!$E$7=TH!H2716,OR(N2716="331",O2716="331")),"x","")</f>
        <v/>
      </c>
      <c r="Q2716" s="79" t="str">
        <f>IF(AND(B2716='111'!$L$11,OR($N2716=$Q$7,$O2716=$Q$7)),"x","")</f>
        <v/>
      </c>
      <c r="R2716" s="79" t="str">
        <f>IF(AND($N2716=$Q$7,$B2716&lt;'111'!$L$11),"x","")</f>
        <v/>
      </c>
      <c r="S2716" s="79" t="str">
        <f>IF(AND($O2716=$Q$7,$B2716&lt;'111'!$L$11),"x","")</f>
        <v/>
      </c>
      <c r="T2716" s="79" t="str">
        <f>IF(ISERROR(FIND('112'!$M$9,G2716,1)),"",IF((AND(FIND('112'!$M$9,G2716,1)&gt;=1,B2716='112'!$K$9,OR($N2716='112'!$I$6,$O2716='112'!$I$6))),"x",""))</f>
        <v/>
      </c>
      <c r="U2716" s="79" t="str">
        <f>IF(ISERROR(FIND('112'!$M$9,G2716,1)),"",IF((AND(LEFT(G2716,2)=LEFT('112'!$M$9,2),B2716&lt;'112'!$K$9,$N2716='112'!$I$6)),"x",""))</f>
        <v/>
      </c>
      <c r="V2716" s="79" t="str">
        <f>IF(ISERROR(FIND('112'!$M$9,G2716,1)),"",IF((AND(RIGHT(G2716,2)=RIGHT('112'!$M$9,2),B2716&lt;'112'!$K$9,$O2716='112'!$I$6)),"x",""))</f>
        <v/>
      </c>
      <c r="W2716" s="79" t="str">
        <f>IF(AND('341-CT'!$H$9=H2716,OR(LEFT(N2716,3)=$W$7,LEFT(O2716,3)=$W$7)),"x","")</f>
        <v/>
      </c>
      <c r="X2716" s="79" t="str">
        <f>IF(OR(TH!N2716=TH!$X$7,O2716=TH!$X$7),"x","")</f>
        <v/>
      </c>
      <c r="Y2716" s="79" t="str">
        <f>IF(AND(OR(N2716="131",O2716="131"),H2716='131-CT'!$H$9),"x","")</f>
        <v/>
      </c>
      <c r="Z2716" s="79"/>
      <c r="AA2716" s="79" t="str">
        <f>IF(AND(MONTH(E2716)='IN-NX'!$J$5,'IN-NX'!$D$7=D2716),"x","")</f>
        <v/>
      </c>
      <c r="AB2716" s="79" t="str">
        <f>IF(AND(OR(LEFT(TH!N2716,2)="15",LEFT(TH!O2716,2)="15"),LEFT(TH!O2716,3)&lt;&gt;"111",'152-CT'!$J$8=TH!F2716),"x","")</f>
        <v/>
      </c>
      <c r="AC2716" s="79" t="str">
        <f>IF(AND(OR(LEFT(TH!N2716,2)="15",LEFT(TH!O2716,2)="15"),TK!$E$7=TH!F2716),"x","")</f>
        <v/>
      </c>
      <c r="AD2716" s="79" t="str">
        <f>IF(AND(N2716="1521",MONTH(C2716)='BK-NL'!$M$11),"x","")</f>
        <v/>
      </c>
    </row>
    <row r="2717" spans="1:30" ht="16.5" customHeight="1">
      <c r="A2717" s="318" t="str">
        <f>IF(B2717&lt;&gt;"",IF(AND(B2717='IN-TC'!$S$4,OR(TH!N2717="1111",TH!O2717="1111")),TH!D2717,""),"")</f>
        <v/>
      </c>
      <c r="B2717" s="60" t="str">
        <f t="shared" si="294"/>
        <v/>
      </c>
      <c r="C2717" s="301"/>
      <c r="D2717" s="301"/>
      <c r="E2717" s="301"/>
      <c r="F2717" s="1162"/>
      <c r="G2717" s="968"/>
      <c r="H2717" s="303"/>
      <c r="I2717" s="385"/>
      <c r="J2717" s="969"/>
      <c r="K2717" s="385"/>
      <c r="L2717" s="392"/>
      <c r="M2717" s="970"/>
      <c r="N2717" s="304"/>
      <c r="O2717" s="304"/>
      <c r="P2717" s="79" t="str">
        <f>IF(AND('331-CT'!$E$7=TH!H2717,OR(N2717="331",O2717="331")),"x","")</f>
        <v/>
      </c>
      <c r="Q2717" s="79" t="str">
        <f>IF(AND(B2717='111'!$L$11,OR($N2717=$Q$7,$O2717=$Q$7)),"x","")</f>
        <v/>
      </c>
      <c r="R2717" s="79" t="str">
        <f>IF(AND($N2717=$Q$7,$B2717&lt;'111'!$L$11),"x","")</f>
        <v/>
      </c>
      <c r="S2717" s="79" t="str">
        <f>IF(AND($O2717=$Q$7,$B2717&lt;'111'!$L$11),"x","")</f>
        <v/>
      </c>
      <c r="T2717" s="79" t="str">
        <f>IF(ISERROR(FIND('112'!$M$9,G2717,1)),"",IF((AND(FIND('112'!$M$9,G2717,1)&gt;=1,B2717='112'!$K$9,OR($N2717='112'!$I$6,$O2717='112'!$I$6))),"x",""))</f>
        <v/>
      </c>
      <c r="U2717" s="79" t="str">
        <f>IF(ISERROR(FIND('112'!$M$9,G2717,1)),"",IF((AND(LEFT(G2717,2)=LEFT('112'!$M$9,2),B2717&lt;'112'!$K$9,$N2717='112'!$I$6)),"x",""))</f>
        <v/>
      </c>
      <c r="V2717" s="79" t="str">
        <f>IF(ISERROR(FIND('112'!$M$9,G2717,1)),"",IF((AND(RIGHT(G2717,2)=RIGHT('112'!$M$9,2),B2717&lt;'112'!$K$9,$O2717='112'!$I$6)),"x",""))</f>
        <v/>
      </c>
      <c r="W2717" s="79" t="str">
        <f>IF(AND('341-CT'!$H$9=H2717,OR(LEFT(N2717,3)=$W$7,LEFT(O2717,3)=$W$7)),"x","")</f>
        <v/>
      </c>
      <c r="X2717" s="79" t="str">
        <f>IF(OR(TH!N2717=TH!$X$7,O2717=TH!$X$7),"x","")</f>
        <v/>
      </c>
      <c r="Y2717" s="79" t="str">
        <f>IF(AND(OR(N2717="131",O2717="131"),H2717='131-CT'!$H$9),"x","")</f>
        <v/>
      </c>
      <c r="Z2717" s="79"/>
      <c r="AA2717" s="79" t="str">
        <f>IF(AND(MONTH(E2717)='IN-NX'!$J$5,'IN-NX'!$D$7=D2717),"x","")</f>
        <v/>
      </c>
      <c r="AB2717" s="79" t="str">
        <f>IF(AND(OR(LEFT(TH!N2717,2)="15",LEFT(TH!O2717,2)="15"),LEFT(TH!O2717,3)&lt;&gt;"111",'152-CT'!$J$8=TH!F2717),"x","")</f>
        <v/>
      </c>
      <c r="AC2717" s="79" t="str">
        <f>IF(AND(OR(LEFT(TH!N2717,2)="15",LEFT(TH!O2717,2)="15"),TK!$E$7=TH!F2717),"x","")</f>
        <v/>
      </c>
      <c r="AD2717" s="79" t="str">
        <f>IF(AND(N2717="1521",MONTH(C2717)='BK-NL'!$M$11),"x","")</f>
        <v/>
      </c>
    </row>
    <row r="2718" spans="1:30" ht="18" customHeight="1">
      <c r="A2718" s="318" t="str">
        <f>IF(B2718&lt;&gt;"",IF(AND(B2718='IN-TC'!$S$4,OR(TH!N2718="1111",TH!O2718="1111")),TH!D2718,""),"")</f>
        <v/>
      </c>
      <c r="B2718" s="60" t="str">
        <f t="shared" si="291"/>
        <v/>
      </c>
      <c r="C2718" s="301"/>
      <c r="D2718" s="301"/>
      <c r="E2718" s="301"/>
      <c r="F2718" s="1162"/>
      <c r="G2718" s="968"/>
      <c r="H2718" s="303"/>
      <c r="I2718" s="385"/>
      <c r="J2718" s="969"/>
      <c r="K2718" s="385"/>
      <c r="L2718" s="392"/>
      <c r="M2718" s="970"/>
      <c r="N2718" s="304"/>
      <c r="O2718" s="304"/>
      <c r="P2718" s="79" t="str">
        <f>IF(AND('331-CT'!$E$7=TH!H2718,OR(N2718="331",O2718="331")),"x","")</f>
        <v/>
      </c>
      <c r="Q2718" s="79" t="str">
        <f>IF(AND(B2718='111'!$L$11,OR($N2718=$Q$7,$O2718=$Q$7)),"x","")</f>
        <v/>
      </c>
      <c r="R2718" s="79" t="str">
        <f>IF(AND($N2718=$Q$7,$B2718&lt;'111'!$L$11),"x","")</f>
        <v/>
      </c>
      <c r="S2718" s="79" t="str">
        <f>IF(AND($O2718=$Q$7,$B2718&lt;'111'!$L$11),"x","")</f>
        <v/>
      </c>
      <c r="T2718" s="79" t="str">
        <f>IF(ISERROR(FIND('112'!$M$9,G2718,1)),"",IF((AND(FIND('112'!$M$9,G2718,1)&gt;=1,B2718='112'!$K$9,OR($N2718='112'!$I$6,$O2718='112'!$I$6))),"x",""))</f>
        <v/>
      </c>
      <c r="U2718" s="79" t="str">
        <f>IF(ISERROR(FIND('112'!$M$9,G2718,1)),"",IF((AND(LEFT(G2718,2)=LEFT('112'!$M$9,2),B2718&lt;'112'!$K$9,$N2718='112'!$I$6)),"x",""))</f>
        <v/>
      </c>
      <c r="V2718" s="79" t="str">
        <f>IF(ISERROR(FIND('112'!$M$9,G2718,1)),"",IF((AND(RIGHT(G2718,2)=RIGHT('112'!$M$9,2),B2718&lt;'112'!$K$9,$O2718='112'!$I$6)),"x",""))</f>
        <v/>
      </c>
      <c r="W2718" s="79" t="str">
        <f>IF(AND('341-CT'!$H$9=H2718,OR(LEFT(N2718,3)=$W$7,LEFT(O2718,3)=$W$7)),"x","")</f>
        <v/>
      </c>
      <c r="X2718" s="79" t="str">
        <f>IF(OR(TH!N2718=TH!$X$7,O2718=TH!$X$7),"x","")</f>
        <v/>
      </c>
      <c r="Y2718" s="79" t="str">
        <f>IF(AND(OR(N2718="131",O2718="131"),H2718='131-CT'!$H$9),"x","")</f>
        <v/>
      </c>
      <c r="Z2718" s="79"/>
      <c r="AA2718" s="79" t="str">
        <f>IF(AND(MONTH(E2718)='IN-NX'!$J$5,'IN-NX'!$D$7=D2718),"x","")</f>
        <v/>
      </c>
      <c r="AB2718" s="79" t="str">
        <f>IF(AND(OR(LEFT(TH!N2718,2)="15",LEFT(TH!O2718,2)="15"),LEFT(TH!O2718,3)&lt;&gt;"111",'152-CT'!$J$8=TH!F2718),"x","")</f>
        <v/>
      </c>
      <c r="AC2718" s="79" t="str">
        <f>IF(AND(OR(LEFT(TH!N2718,2)="15",LEFT(TH!O2718,2)="15"),TK!$E$7=TH!F2718),"x","")</f>
        <v/>
      </c>
      <c r="AD2718" s="79" t="str">
        <f>IF(AND(N2718="1521",MONTH(C2718)='BK-NL'!$M$11),"x","")</f>
        <v/>
      </c>
    </row>
    <row r="2719" spans="1:30" ht="18" customHeight="1">
      <c r="A2719" s="318" t="str">
        <f>IF(B2719&lt;&gt;"",IF(AND(B2719='IN-TC'!$S$4,OR(TH!N2719="1111",TH!O2719="1111")),TH!D2719,""),"")</f>
        <v/>
      </c>
      <c r="B2719" s="60" t="str">
        <f t="shared" si="291"/>
        <v/>
      </c>
      <c r="C2719" s="301"/>
      <c r="D2719" s="301"/>
      <c r="E2719" s="301"/>
      <c r="F2719" s="1162"/>
      <c r="G2719" s="968"/>
      <c r="H2719" s="303"/>
      <c r="I2719" s="385"/>
      <c r="J2719" s="969"/>
      <c r="K2719" s="385"/>
      <c r="L2719" s="392"/>
      <c r="M2719" s="970"/>
      <c r="N2719" s="304"/>
      <c r="O2719" s="304"/>
      <c r="P2719" s="79" t="str">
        <f>IF(AND('331-CT'!$E$7=TH!H2719,OR(N2719="331",O2719="331")),"x","")</f>
        <v/>
      </c>
      <c r="Q2719" s="79" t="str">
        <f>IF(AND(B2719='111'!$L$11,OR($N2719=$Q$7,$O2719=$Q$7)),"x","")</f>
        <v/>
      </c>
      <c r="R2719" s="79" t="str">
        <f>IF(AND($N2719=$Q$7,$B2719&lt;'111'!$L$11),"x","")</f>
        <v/>
      </c>
      <c r="S2719" s="79" t="str">
        <f>IF(AND($O2719=$Q$7,$B2719&lt;'111'!$L$11),"x","")</f>
        <v/>
      </c>
      <c r="T2719" s="79" t="str">
        <f>IF(ISERROR(FIND('112'!$M$9,G2719,1)),"",IF((AND(FIND('112'!$M$9,G2719,1)&gt;=1,B2719='112'!$K$9,OR($N2719='112'!$I$6,$O2719='112'!$I$6))),"x",""))</f>
        <v/>
      </c>
      <c r="U2719" s="79" t="str">
        <f>IF(ISERROR(FIND('112'!$M$9,G2719,1)),"",IF((AND(LEFT(G2719,2)=LEFT('112'!$M$9,2),B2719&lt;'112'!$K$9,$N2719='112'!$I$6)),"x",""))</f>
        <v/>
      </c>
      <c r="V2719" s="79" t="str">
        <f>IF(ISERROR(FIND('112'!$M$9,G2719,1)),"",IF((AND(RIGHT(G2719,2)=RIGHT('112'!$M$9,2),B2719&lt;'112'!$K$9,$O2719='112'!$I$6)),"x",""))</f>
        <v/>
      </c>
      <c r="W2719" s="79" t="str">
        <f>IF(AND('341-CT'!$H$9=H2719,OR(LEFT(N2719,3)=$W$7,LEFT(O2719,3)=$W$7)),"x","")</f>
        <v/>
      </c>
      <c r="X2719" s="79" t="str">
        <f>IF(OR(TH!N2719=TH!$X$7,O2719=TH!$X$7),"x","")</f>
        <v/>
      </c>
      <c r="Y2719" s="79" t="str">
        <f>IF(AND(OR(N2719="131",O2719="131"),H2719='131-CT'!$H$9),"x","")</f>
        <v/>
      </c>
      <c r="Z2719" s="79"/>
      <c r="AA2719" s="79" t="str">
        <f>IF(AND(MONTH(E2719)='IN-NX'!$J$5,'IN-NX'!$D$7=D2719),"x","")</f>
        <v/>
      </c>
      <c r="AB2719" s="79" t="str">
        <f>IF(AND(OR(LEFT(TH!N2719,2)="15",LEFT(TH!O2719,2)="15"),LEFT(TH!O2719,3)&lt;&gt;"111",'152-CT'!$J$8=TH!F2719),"x","")</f>
        <v/>
      </c>
      <c r="AC2719" s="79" t="str">
        <f>IF(AND(OR(LEFT(TH!N2719,2)="15",LEFT(TH!O2719,2)="15"),TK!$E$7=TH!F2719),"x","")</f>
        <v/>
      </c>
      <c r="AD2719" s="79" t="str">
        <f>IF(AND(N2719="1521",MONTH(C2719)='BK-NL'!$M$11),"x","")</f>
        <v/>
      </c>
    </row>
    <row r="2720" spans="1:30" ht="16.5" customHeight="1">
      <c r="A2720" s="318" t="str">
        <f>IF(B2720&lt;&gt;"",IF(AND(B2720='IN-TC'!$S$4,OR(TH!N2720="1111",TH!O2720="1111")),TH!D2720,""),"")</f>
        <v/>
      </c>
      <c r="B2720" s="60" t="str">
        <f t="shared" si="291"/>
        <v/>
      </c>
      <c r="C2720" s="301"/>
      <c r="D2720" s="301"/>
      <c r="E2720" s="301"/>
      <c r="F2720" s="1162"/>
      <c r="G2720" s="968"/>
      <c r="H2720" s="303"/>
      <c r="I2720" s="385"/>
      <c r="J2720" s="969"/>
      <c r="K2720" s="385"/>
      <c r="L2720" s="392"/>
      <c r="M2720" s="970"/>
      <c r="N2720" s="304"/>
      <c r="O2720" s="304"/>
      <c r="P2720" s="79" t="str">
        <f>IF(AND('331-CT'!$E$7=TH!H2720,OR(N2720="331",O2720="331")),"x","")</f>
        <v/>
      </c>
      <c r="Q2720" s="79" t="str">
        <f>IF(AND(B2720='111'!$L$11,OR($N2720=$Q$7,$O2720=$Q$7)),"x","")</f>
        <v/>
      </c>
      <c r="R2720" s="79" t="str">
        <f>IF(AND($N2720=$Q$7,$B2720&lt;'111'!$L$11),"x","")</f>
        <v/>
      </c>
      <c r="S2720" s="79" t="str">
        <f>IF(AND($O2720=$Q$7,$B2720&lt;'111'!$L$11),"x","")</f>
        <v/>
      </c>
      <c r="T2720" s="79" t="str">
        <f>IF(ISERROR(FIND('112'!$M$9,G2720,1)),"",IF((AND(FIND('112'!$M$9,G2720,1)&gt;=1,B2720='112'!$K$9,OR($N2720='112'!$I$6,$O2720='112'!$I$6))),"x",""))</f>
        <v/>
      </c>
      <c r="U2720" s="79" t="str">
        <f>IF(ISERROR(FIND('112'!$M$9,G2720,1)),"",IF((AND(LEFT(G2720,2)=LEFT('112'!$M$9,2),B2720&lt;'112'!$K$9,$N2720='112'!$I$6)),"x",""))</f>
        <v/>
      </c>
      <c r="V2720" s="79" t="str">
        <f>IF(ISERROR(FIND('112'!$M$9,G2720,1)),"",IF((AND(RIGHT(G2720,2)=RIGHT('112'!$M$9,2),B2720&lt;'112'!$K$9,$O2720='112'!$I$6)),"x",""))</f>
        <v/>
      </c>
      <c r="W2720" s="79" t="str">
        <f>IF(AND('341-CT'!$H$9=H2720,OR(LEFT(N2720,3)=$W$7,LEFT(O2720,3)=$W$7)),"x","")</f>
        <v/>
      </c>
      <c r="X2720" s="79" t="str">
        <f>IF(OR(TH!N2720=TH!$X$7,O2720=TH!$X$7),"x","")</f>
        <v/>
      </c>
      <c r="Y2720" s="79" t="str">
        <f>IF(AND(OR(N2720="131",O2720="131"),H2720='131-CT'!$H$9),"x","")</f>
        <v/>
      </c>
      <c r="Z2720" s="79"/>
      <c r="AA2720" s="79" t="str">
        <f>IF(AND(MONTH(E2720)='IN-NX'!$J$5,'IN-NX'!$D$7=D2720),"x","")</f>
        <v/>
      </c>
      <c r="AB2720" s="79" t="str">
        <f>IF(AND(OR(LEFT(TH!N2720,2)="15",LEFT(TH!O2720,2)="15"),LEFT(TH!O2720,3)&lt;&gt;"111",'152-CT'!$J$8=TH!F2720),"x","")</f>
        <v/>
      </c>
      <c r="AC2720" s="79" t="str">
        <f>IF(AND(OR(LEFT(TH!N2720,2)="15",LEFT(TH!O2720,2)="15"),TK!$E$7=TH!F2720),"x","")</f>
        <v/>
      </c>
      <c r="AD2720" s="79" t="str">
        <f>IF(AND(N2720="1521",MONTH(C2720)='BK-NL'!$M$11),"x","")</f>
        <v/>
      </c>
    </row>
    <row r="2721" spans="1:30" ht="16.5" customHeight="1">
      <c r="A2721" s="318" t="str">
        <f>IF(B2721&lt;&gt;"",IF(AND(B2721='IN-TC'!$S$4,OR(TH!N2721="1111",TH!O2721="1111")),TH!D2721,""),"")</f>
        <v/>
      </c>
      <c r="B2721" s="60" t="str">
        <f t="shared" si="291"/>
        <v/>
      </c>
      <c r="C2721" s="301"/>
      <c r="D2721" s="301"/>
      <c r="E2721" s="301"/>
      <c r="F2721" s="1162"/>
      <c r="G2721" s="968"/>
      <c r="H2721" s="303"/>
      <c r="I2721" s="385"/>
      <c r="J2721" s="969"/>
      <c r="K2721" s="385"/>
      <c r="L2721" s="392"/>
      <c r="M2721" s="970"/>
      <c r="N2721" s="304"/>
      <c r="O2721" s="304"/>
      <c r="P2721" s="79" t="str">
        <f>IF(AND('331-CT'!$E$7=TH!H2721,OR(N2721="331",O2721="331")),"x","")</f>
        <v/>
      </c>
      <c r="Q2721" s="79" t="str">
        <f>IF(AND(B2721='111'!$L$11,OR($N2721=$Q$7,$O2721=$Q$7)),"x","")</f>
        <v/>
      </c>
      <c r="R2721" s="79" t="str">
        <f>IF(AND($N2721=$Q$7,$B2721&lt;'111'!$L$11),"x","")</f>
        <v/>
      </c>
      <c r="S2721" s="79" t="str">
        <f>IF(AND($O2721=$Q$7,$B2721&lt;'111'!$L$11),"x","")</f>
        <v/>
      </c>
      <c r="T2721" s="79" t="str">
        <f>IF(ISERROR(FIND('112'!$M$9,G2721,1)),"",IF((AND(FIND('112'!$M$9,G2721,1)&gt;=1,B2721='112'!$K$9,OR($N2721='112'!$I$6,$O2721='112'!$I$6))),"x",""))</f>
        <v/>
      </c>
      <c r="U2721" s="79" t="str">
        <f>IF(ISERROR(FIND('112'!$M$9,G2721,1)),"",IF((AND(LEFT(G2721,2)=LEFT('112'!$M$9,2),B2721&lt;'112'!$K$9,$N2721='112'!$I$6)),"x",""))</f>
        <v/>
      </c>
      <c r="V2721" s="79" t="str">
        <f>IF(ISERROR(FIND('112'!$M$9,G2721,1)),"",IF((AND(RIGHT(G2721,2)=RIGHT('112'!$M$9,2),B2721&lt;'112'!$K$9,$O2721='112'!$I$6)),"x",""))</f>
        <v/>
      </c>
      <c r="W2721" s="79" t="str">
        <f>IF(AND('341-CT'!$H$9=H2721,OR(LEFT(N2721,3)=$W$7,LEFT(O2721,3)=$W$7)),"x","")</f>
        <v/>
      </c>
      <c r="X2721" s="79" t="str">
        <f>IF(OR(TH!N2721=TH!$X$7,O2721=TH!$X$7),"x","")</f>
        <v/>
      </c>
      <c r="Y2721" s="79" t="str">
        <f>IF(AND(OR(N2721="131",O2721="131"),H2721='131-CT'!$H$9),"x","")</f>
        <v/>
      </c>
      <c r="Z2721" s="79"/>
      <c r="AA2721" s="79" t="str">
        <f>IF(AND(MONTH(E2721)='IN-NX'!$J$5,'IN-NX'!$D$7=D2721),"x","")</f>
        <v/>
      </c>
      <c r="AB2721" s="79" t="str">
        <f>IF(AND(OR(LEFT(TH!N2721,2)="15",LEFT(TH!O2721,2)="15"),LEFT(TH!O2721,3)&lt;&gt;"111",'152-CT'!$J$8=TH!F2721),"x","")</f>
        <v/>
      </c>
      <c r="AC2721" s="79" t="str">
        <f>IF(AND(OR(LEFT(TH!N2721,2)="15",LEFT(TH!O2721,2)="15"),TK!$E$7=TH!F2721),"x","")</f>
        <v/>
      </c>
      <c r="AD2721" s="79" t="str">
        <f>IF(AND(N2721="1521",MONTH(C2721)='BK-NL'!$M$11),"x","")</f>
        <v/>
      </c>
    </row>
    <row r="2722" spans="1:30" ht="18" customHeight="1">
      <c r="A2722" s="318" t="str">
        <f>IF(B2722&lt;&gt;"",IF(AND(B2722='IN-TC'!$S$4,OR(TH!N2722="1111",TH!O2722="1111")),TH!D2722,""),"")</f>
        <v/>
      </c>
      <c r="B2722" s="60" t="str">
        <f t="shared" ref="B2722:B2723" si="295">IF(C2722&lt;&gt;"",MONTH(C2722),"")</f>
        <v/>
      </c>
      <c r="C2722" s="301"/>
      <c r="D2722" s="301"/>
      <c r="E2722" s="301"/>
      <c r="F2722" s="1162"/>
      <c r="G2722" s="968"/>
      <c r="H2722" s="303"/>
      <c r="I2722" s="385"/>
      <c r="J2722" s="969"/>
      <c r="K2722" s="385"/>
      <c r="L2722" s="392"/>
      <c r="M2722" s="970"/>
      <c r="N2722" s="304"/>
      <c r="O2722" s="304"/>
      <c r="P2722" s="79" t="str">
        <f>IF(AND('331-CT'!$E$7=TH!H2722,OR(N2722="331",O2722="331")),"x","")</f>
        <v/>
      </c>
      <c r="Q2722" s="79" t="str">
        <f>IF(AND(B2722='111'!$L$11,OR($N2722=$Q$7,$O2722=$Q$7)),"x","")</f>
        <v/>
      </c>
      <c r="R2722" s="79" t="str">
        <f>IF(AND($N2722=$Q$7,$B2722&lt;'111'!$L$11),"x","")</f>
        <v/>
      </c>
      <c r="S2722" s="79" t="str">
        <f>IF(AND($O2722=$Q$7,$B2722&lt;'111'!$L$11),"x","")</f>
        <v/>
      </c>
      <c r="T2722" s="79" t="str">
        <f>IF(ISERROR(FIND('112'!$M$9,G2722,1)),"",IF((AND(FIND('112'!$M$9,G2722,1)&gt;=1,B2722='112'!$K$9,OR($N2722='112'!$I$6,$O2722='112'!$I$6))),"x",""))</f>
        <v/>
      </c>
      <c r="U2722" s="79" t="str">
        <f>IF(ISERROR(FIND('112'!$M$9,G2722,1)),"",IF((AND(LEFT(G2722,2)=LEFT('112'!$M$9,2),B2722&lt;'112'!$K$9,$N2722='112'!$I$6)),"x",""))</f>
        <v/>
      </c>
      <c r="V2722" s="79" t="str">
        <f>IF(ISERROR(FIND('112'!$M$9,G2722,1)),"",IF((AND(RIGHT(G2722,2)=RIGHT('112'!$M$9,2),B2722&lt;'112'!$K$9,$O2722='112'!$I$6)),"x",""))</f>
        <v/>
      </c>
      <c r="W2722" s="79" t="str">
        <f>IF(AND('341-CT'!$H$9=H2722,OR(LEFT(N2722,3)=$W$7,LEFT(O2722,3)=$W$7)),"x","")</f>
        <v/>
      </c>
      <c r="X2722" s="79" t="str">
        <f>IF(OR(TH!N2722=TH!$X$7,O2722=TH!$X$7),"x","")</f>
        <v/>
      </c>
      <c r="Y2722" s="79" t="str">
        <f>IF(AND(OR(N2722="131",O2722="131"),H2722='131-CT'!$H$9),"x","")</f>
        <v/>
      </c>
      <c r="Z2722" s="79"/>
      <c r="AA2722" s="79" t="str">
        <f>IF(AND(MONTH(E2722)='IN-NX'!$J$5,'IN-NX'!$D$7=D2722),"x","")</f>
        <v/>
      </c>
      <c r="AB2722" s="79" t="str">
        <f>IF(AND(OR(LEFT(TH!N2722,2)="15",LEFT(TH!O2722,2)="15"),LEFT(TH!O2722,3)&lt;&gt;"111",'152-CT'!$J$8=TH!F2722),"x","")</f>
        <v/>
      </c>
      <c r="AC2722" s="79" t="str">
        <f>IF(AND(OR(LEFT(TH!N2722,2)="15",LEFT(TH!O2722,2)="15"),TK!$E$7=TH!F2722),"x","")</f>
        <v/>
      </c>
      <c r="AD2722" s="79" t="str">
        <f>IF(AND(N2722="1521",MONTH(C2722)='BK-NL'!$M$11),"x","")</f>
        <v/>
      </c>
    </row>
    <row r="2723" spans="1:30" ht="18" customHeight="1">
      <c r="A2723" s="318" t="str">
        <f>IF(B2723&lt;&gt;"",IF(AND(B2723='IN-TC'!$S$4,OR(TH!N2723="1111",TH!O2723="1111")),TH!D2723,""),"")</f>
        <v/>
      </c>
      <c r="B2723" s="60" t="str">
        <f t="shared" si="295"/>
        <v/>
      </c>
      <c r="C2723" s="301"/>
      <c r="D2723" s="301"/>
      <c r="E2723" s="301"/>
      <c r="F2723" s="1162"/>
      <c r="G2723" s="968"/>
      <c r="H2723" s="303"/>
      <c r="I2723" s="385"/>
      <c r="J2723" s="969"/>
      <c r="K2723" s="385"/>
      <c r="L2723" s="392"/>
      <c r="M2723" s="970"/>
      <c r="N2723" s="304"/>
      <c r="O2723" s="304"/>
      <c r="P2723" s="79" t="str">
        <f>IF(AND('331-CT'!$E$7=TH!H2723,OR(N2723="331",O2723="331")),"x","")</f>
        <v/>
      </c>
      <c r="Q2723" s="79" t="str">
        <f>IF(AND(B2723='111'!$L$11,OR($N2723=$Q$7,$O2723=$Q$7)),"x","")</f>
        <v/>
      </c>
      <c r="R2723" s="79" t="str">
        <f>IF(AND($N2723=$Q$7,$B2723&lt;'111'!$L$11),"x","")</f>
        <v/>
      </c>
      <c r="S2723" s="79" t="str">
        <f>IF(AND($O2723=$Q$7,$B2723&lt;'111'!$L$11),"x","")</f>
        <v/>
      </c>
      <c r="T2723" s="79" t="str">
        <f>IF(ISERROR(FIND('112'!$M$9,G2723,1)),"",IF((AND(FIND('112'!$M$9,G2723,1)&gt;=1,B2723='112'!$K$9,OR($N2723='112'!$I$6,$O2723='112'!$I$6))),"x",""))</f>
        <v/>
      </c>
      <c r="U2723" s="79" t="str">
        <f>IF(ISERROR(FIND('112'!$M$9,G2723,1)),"",IF((AND(LEFT(G2723,2)=LEFT('112'!$M$9,2),B2723&lt;'112'!$K$9,$N2723='112'!$I$6)),"x",""))</f>
        <v/>
      </c>
      <c r="V2723" s="79" t="str">
        <f>IF(ISERROR(FIND('112'!$M$9,G2723,1)),"",IF((AND(RIGHT(G2723,2)=RIGHT('112'!$M$9,2),B2723&lt;'112'!$K$9,$O2723='112'!$I$6)),"x",""))</f>
        <v/>
      </c>
      <c r="W2723" s="79" t="str">
        <f>IF(AND('341-CT'!$H$9=H2723,OR(LEFT(N2723,3)=$W$7,LEFT(O2723,3)=$W$7)),"x","")</f>
        <v/>
      </c>
      <c r="X2723" s="79" t="str">
        <f>IF(OR(TH!N2723=TH!$X$7,O2723=TH!$X$7),"x","")</f>
        <v/>
      </c>
      <c r="Y2723" s="79" t="str">
        <f>IF(AND(OR(N2723="131",O2723="131"),H2723='131-CT'!$H$9),"x","")</f>
        <v/>
      </c>
      <c r="Z2723" s="79"/>
      <c r="AA2723" s="79" t="str">
        <f>IF(AND(MONTH(E2723)='IN-NX'!$J$5,'IN-NX'!$D$7=D2723),"x","")</f>
        <v/>
      </c>
      <c r="AB2723" s="79" t="str">
        <f>IF(AND(OR(LEFT(TH!N2723,2)="15",LEFT(TH!O2723,2)="15"),LEFT(TH!O2723,3)&lt;&gt;"111",'152-CT'!$J$8=TH!F2723),"x","")</f>
        <v/>
      </c>
      <c r="AC2723" s="79" t="str">
        <f>IF(AND(OR(LEFT(TH!N2723,2)="15",LEFT(TH!O2723,2)="15"),TK!$E$7=TH!F2723),"x","")</f>
        <v/>
      </c>
      <c r="AD2723" s="79" t="str">
        <f>IF(AND(N2723="1521",MONTH(C2723)='BK-NL'!$M$11),"x","")</f>
        <v/>
      </c>
    </row>
    <row r="2724" spans="1:30" ht="18" customHeight="1">
      <c r="A2724" s="318" t="str">
        <f>IF(B2724&lt;&gt;"",IF(AND(B2724='IN-TC'!$S$4,OR(TH!N2724="1111",TH!O2724="1111")),TH!D2724,""),"")</f>
        <v/>
      </c>
      <c r="B2724" s="60" t="str">
        <f t="shared" ref="B2724:B2725" si="296">IF(C2724&lt;&gt;"",MONTH(C2724),"")</f>
        <v/>
      </c>
      <c r="C2724" s="301"/>
      <c r="D2724" s="301"/>
      <c r="E2724" s="301"/>
      <c r="F2724" s="1162"/>
      <c r="G2724" s="968"/>
      <c r="H2724" s="303"/>
      <c r="I2724" s="385"/>
      <c r="J2724" s="969"/>
      <c r="K2724" s="385"/>
      <c r="L2724" s="392"/>
      <c r="M2724" s="970"/>
      <c r="N2724" s="304"/>
      <c r="O2724" s="304"/>
      <c r="P2724" s="79" t="str">
        <f>IF(AND('331-CT'!$E$7=TH!H2724,OR(N2724="331",O2724="331")),"x","")</f>
        <v/>
      </c>
      <c r="Q2724" s="79" t="str">
        <f>IF(AND(B2724='111'!$L$11,OR($N2724=$Q$7,$O2724=$Q$7)),"x","")</f>
        <v/>
      </c>
      <c r="R2724" s="79" t="str">
        <f>IF(AND($N2724=$Q$7,$B2724&lt;'111'!$L$11),"x","")</f>
        <v/>
      </c>
      <c r="S2724" s="79" t="str">
        <f>IF(AND($O2724=$Q$7,$B2724&lt;'111'!$L$11),"x","")</f>
        <v/>
      </c>
      <c r="T2724" s="79" t="str">
        <f>IF(ISERROR(FIND('112'!$M$9,G2724,1)),"",IF((AND(FIND('112'!$M$9,G2724,1)&gt;=1,B2724='112'!$K$9,OR($N2724='112'!$I$6,$O2724='112'!$I$6))),"x",""))</f>
        <v/>
      </c>
      <c r="U2724" s="79" t="str">
        <f>IF(ISERROR(FIND('112'!$M$9,G2724,1)),"",IF((AND(LEFT(G2724,2)=LEFT('112'!$M$9,2),B2724&lt;'112'!$K$9,$N2724='112'!$I$6)),"x",""))</f>
        <v/>
      </c>
      <c r="V2724" s="79" t="str">
        <f>IF(ISERROR(FIND('112'!$M$9,G2724,1)),"",IF((AND(RIGHT(G2724,2)=RIGHT('112'!$M$9,2),B2724&lt;'112'!$K$9,$O2724='112'!$I$6)),"x",""))</f>
        <v/>
      </c>
      <c r="W2724" s="79" t="str">
        <f>IF(AND('341-CT'!$H$9=H2724,OR(LEFT(N2724,3)=$W$7,LEFT(O2724,3)=$W$7)),"x","")</f>
        <v/>
      </c>
      <c r="X2724" s="79" t="str">
        <f>IF(OR(TH!N2724=TH!$X$7,O2724=TH!$X$7),"x","")</f>
        <v/>
      </c>
      <c r="Y2724" s="79" t="str">
        <f>IF(AND(OR(N2724="131",O2724="131"),H2724='131-CT'!$H$9),"x","")</f>
        <v/>
      </c>
      <c r="Z2724" s="79"/>
      <c r="AA2724" s="79" t="str">
        <f>IF(AND(MONTH(E2724)='IN-NX'!$J$5,'IN-NX'!$D$7=D2724),"x","")</f>
        <v/>
      </c>
      <c r="AB2724" s="79" t="str">
        <f>IF(AND(OR(LEFT(TH!N2724,2)="15",LEFT(TH!O2724,2)="15"),LEFT(TH!O2724,3)&lt;&gt;"111",'152-CT'!$J$8=TH!F2724),"x","")</f>
        <v/>
      </c>
      <c r="AC2724" s="79" t="str">
        <f>IF(AND(OR(LEFT(TH!N2724,2)="15",LEFT(TH!O2724,2)="15"),TK!$E$7=TH!F2724),"x","")</f>
        <v/>
      </c>
      <c r="AD2724" s="79" t="str">
        <f>IF(AND(N2724="1521",MONTH(C2724)='BK-NL'!$M$11),"x","")</f>
        <v/>
      </c>
    </row>
    <row r="2725" spans="1:30" ht="18" customHeight="1">
      <c r="A2725" s="318" t="str">
        <f>IF(B2725&lt;&gt;"",IF(AND(B2725='IN-TC'!$S$4,OR(TH!N2725="1111",TH!O2725="1111")),TH!D2725,""),"")</f>
        <v/>
      </c>
      <c r="B2725" s="60" t="str">
        <f t="shared" si="296"/>
        <v/>
      </c>
      <c r="C2725" s="301"/>
      <c r="D2725" s="301"/>
      <c r="E2725" s="301"/>
      <c r="F2725" s="1162"/>
      <c r="G2725" s="968"/>
      <c r="H2725" s="303"/>
      <c r="I2725" s="385"/>
      <c r="J2725" s="969"/>
      <c r="K2725" s="385"/>
      <c r="L2725" s="392"/>
      <c r="M2725" s="970"/>
      <c r="N2725" s="304"/>
      <c r="O2725" s="304"/>
      <c r="P2725" s="79" t="str">
        <f>IF(AND('331-CT'!$E$7=TH!H2725,OR(N2725="331",O2725="331")),"x","")</f>
        <v/>
      </c>
      <c r="Q2725" s="79" t="str">
        <f>IF(AND(B2725='111'!$L$11,OR($N2725=$Q$7,$O2725=$Q$7)),"x","")</f>
        <v/>
      </c>
      <c r="R2725" s="79" t="str">
        <f>IF(AND($N2725=$Q$7,$B2725&lt;'111'!$L$11),"x","")</f>
        <v/>
      </c>
      <c r="S2725" s="79" t="str">
        <f>IF(AND($O2725=$Q$7,$B2725&lt;'111'!$L$11),"x","")</f>
        <v/>
      </c>
      <c r="T2725" s="79" t="str">
        <f>IF(ISERROR(FIND('112'!$M$9,G2725,1)),"",IF((AND(FIND('112'!$M$9,G2725,1)&gt;=1,B2725='112'!$K$9,OR($N2725='112'!$I$6,$O2725='112'!$I$6))),"x",""))</f>
        <v/>
      </c>
      <c r="U2725" s="79" t="str">
        <f>IF(ISERROR(FIND('112'!$M$9,G2725,1)),"",IF((AND(LEFT(G2725,2)=LEFT('112'!$M$9,2),B2725&lt;'112'!$K$9,$N2725='112'!$I$6)),"x",""))</f>
        <v/>
      </c>
      <c r="V2725" s="79" t="str">
        <f>IF(ISERROR(FIND('112'!$M$9,G2725,1)),"",IF((AND(RIGHT(G2725,2)=RIGHT('112'!$M$9,2),B2725&lt;'112'!$K$9,$O2725='112'!$I$6)),"x",""))</f>
        <v/>
      </c>
      <c r="W2725" s="79" t="str">
        <f>IF(AND('341-CT'!$H$9=H2725,OR(LEFT(N2725,3)=$W$7,LEFT(O2725,3)=$W$7)),"x","")</f>
        <v/>
      </c>
      <c r="X2725" s="79" t="str">
        <f>IF(OR(TH!N2725=TH!$X$7,O2725=TH!$X$7),"x","")</f>
        <v/>
      </c>
      <c r="Y2725" s="79" t="str">
        <f>IF(AND(OR(N2725="131",O2725="131"),H2725='131-CT'!$H$9),"x","")</f>
        <v/>
      </c>
      <c r="Z2725" s="79"/>
      <c r="AA2725" s="79" t="str">
        <f>IF(AND(MONTH(E2725)='IN-NX'!$J$5,'IN-NX'!$D$7=D2725),"x","")</f>
        <v/>
      </c>
      <c r="AB2725" s="79" t="str">
        <f>IF(AND(OR(LEFT(TH!N2725,2)="15",LEFT(TH!O2725,2)="15"),LEFT(TH!O2725,3)&lt;&gt;"111",'152-CT'!$J$8=TH!F2725),"x","")</f>
        <v/>
      </c>
      <c r="AC2725" s="79" t="str">
        <f>IF(AND(OR(LEFT(TH!N2725,2)="15",LEFT(TH!O2725,2)="15"),TK!$E$7=TH!F2725),"x","")</f>
        <v/>
      </c>
      <c r="AD2725" s="79" t="str">
        <f>IF(AND(N2725="1521",MONTH(C2725)='BK-NL'!$M$11),"x","")</f>
        <v/>
      </c>
    </row>
    <row r="2726" spans="1:30" ht="18" customHeight="1">
      <c r="A2726" s="318" t="str">
        <f>IF(B2726&lt;&gt;"",IF(AND(B2726='IN-TC'!$S$4,OR(TH!N2726="1111",TH!O2726="1111")),TH!D2726,""),"")</f>
        <v/>
      </c>
      <c r="B2726" s="60" t="str">
        <f t="shared" ref="B2726:B2727" si="297">IF(C2726&lt;&gt;"",MONTH(C2726),"")</f>
        <v/>
      </c>
      <c r="C2726" s="301"/>
      <c r="D2726" s="301"/>
      <c r="E2726" s="301"/>
      <c r="F2726" s="1162"/>
      <c r="G2726" s="968"/>
      <c r="H2726" s="303"/>
      <c r="I2726" s="385"/>
      <c r="J2726" s="969"/>
      <c r="K2726" s="385"/>
      <c r="L2726" s="392"/>
      <c r="M2726" s="970"/>
      <c r="N2726" s="304"/>
      <c r="O2726" s="304"/>
      <c r="P2726" s="79" t="str">
        <f>IF(AND('331-CT'!$E$7=TH!H2726,OR(N2726="331",O2726="331")),"x","")</f>
        <v/>
      </c>
      <c r="Q2726" s="79" t="str">
        <f>IF(AND(B2726='111'!$L$11,OR($N2726=$Q$7,$O2726=$Q$7)),"x","")</f>
        <v/>
      </c>
      <c r="R2726" s="79" t="str">
        <f>IF(AND($N2726=$Q$7,$B2726&lt;'111'!$L$11),"x","")</f>
        <v/>
      </c>
      <c r="S2726" s="79" t="str">
        <f>IF(AND($O2726=$Q$7,$B2726&lt;'111'!$L$11),"x","")</f>
        <v/>
      </c>
      <c r="T2726" s="79" t="str">
        <f>IF(ISERROR(FIND('112'!$M$9,G2726,1)),"",IF((AND(FIND('112'!$M$9,G2726,1)&gt;=1,B2726='112'!$K$9,OR($N2726='112'!$I$6,$O2726='112'!$I$6))),"x",""))</f>
        <v/>
      </c>
      <c r="U2726" s="79" t="str">
        <f>IF(ISERROR(FIND('112'!$M$9,G2726,1)),"",IF((AND(LEFT(G2726,2)=LEFT('112'!$M$9,2),B2726&lt;'112'!$K$9,$N2726='112'!$I$6)),"x",""))</f>
        <v/>
      </c>
      <c r="V2726" s="79" t="str">
        <f>IF(ISERROR(FIND('112'!$M$9,G2726,1)),"",IF((AND(RIGHT(G2726,2)=RIGHT('112'!$M$9,2),B2726&lt;'112'!$K$9,$O2726='112'!$I$6)),"x",""))</f>
        <v/>
      </c>
      <c r="W2726" s="79" t="str">
        <f>IF(AND('341-CT'!$H$9=H2726,OR(LEFT(N2726,3)=$W$7,LEFT(O2726,3)=$W$7)),"x","")</f>
        <v/>
      </c>
      <c r="X2726" s="79" t="str">
        <f>IF(OR(TH!N2726=TH!$X$7,O2726=TH!$X$7),"x","")</f>
        <v/>
      </c>
      <c r="Y2726" s="79" t="str">
        <f>IF(AND(OR(N2726="131",O2726="131"),H2726='131-CT'!$H$9),"x","")</f>
        <v/>
      </c>
      <c r="Z2726" s="79"/>
      <c r="AA2726" s="79" t="str">
        <f>IF(AND(MONTH(E2726)='IN-NX'!$J$5,'IN-NX'!$D$7=D2726),"x","")</f>
        <v/>
      </c>
      <c r="AB2726" s="79" t="str">
        <f>IF(AND(OR(LEFT(TH!N2726,2)="15",LEFT(TH!O2726,2)="15"),LEFT(TH!O2726,3)&lt;&gt;"111",'152-CT'!$J$8=TH!F2726),"x","")</f>
        <v/>
      </c>
      <c r="AC2726" s="79" t="str">
        <f>IF(AND(OR(LEFT(TH!N2726,2)="15",LEFT(TH!O2726,2)="15"),TK!$E$7=TH!F2726),"x","")</f>
        <v/>
      </c>
      <c r="AD2726" s="79" t="str">
        <f>IF(AND(N2726="1521",MONTH(C2726)='BK-NL'!$M$11),"x","")</f>
        <v/>
      </c>
    </row>
    <row r="2727" spans="1:30" ht="18" customHeight="1">
      <c r="A2727" s="318" t="str">
        <f>IF(B2727&lt;&gt;"",IF(AND(B2727='IN-TC'!$S$4,OR(TH!N2727="1111",TH!O2727="1111")),TH!D2727,""),"")</f>
        <v/>
      </c>
      <c r="B2727" s="60" t="str">
        <f t="shared" si="297"/>
        <v/>
      </c>
      <c r="C2727" s="301"/>
      <c r="D2727" s="301"/>
      <c r="E2727" s="301"/>
      <c r="F2727" s="1162"/>
      <c r="G2727" s="968"/>
      <c r="H2727" s="303"/>
      <c r="I2727" s="385"/>
      <c r="J2727" s="969"/>
      <c r="K2727" s="385"/>
      <c r="L2727" s="392"/>
      <c r="M2727" s="970"/>
      <c r="N2727" s="304"/>
      <c r="O2727" s="304"/>
      <c r="P2727" s="79" t="str">
        <f>IF(AND('331-CT'!$E$7=TH!H2727,OR(N2727="331",O2727="331")),"x","")</f>
        <v/>
      </c>
      <c r="Q2727" s="79" t="str">
        <f>IF(AND(B2727='111'!$L$11,OR($N2727=$Q$7,$O2727=$Q$7)),"x","")</f>
        <v/>
      </c>
      <c r="R2727" s="79" t="str">
        <f>IF(AND($N2727=$Q$7,$B2727&lt;'111'!$L$11),"x","")</f>
        <v/>
      </c>
      <c r="S2727" s="79" t="str">
        <f>IF(AND($O2727=$Q$7,$B2727&lt;'111'!$L$11),"x","")</f>
        <v/>
      </c>
      <c r="T2727" s="79" t="str">
        <f>IF(ISERROR(FIND('112'!$M$9,G2727,1)),"",IF((AND(FIND('112'!$M$9,G2727,1)&gt;=1,B2727='112'!$K$9,OR($N2727='112'!$I$6,$O2727='112'!$I$6))),"x",""))</f>
        <v/>
      </c>
      <c r="U2727" s="79" t="str">
        <f>IF(ISERROR(FIND('112'!$M$9,G2727,1)),"",IF((AND(LEFT(G2727,2)=LEFT('112'!$M$9,2),B2727&lt;'112'!$K$9,$N2727='112'!$I$6)),"x",""))</f>
        <v/>
      </c>
      <c r="V2727" s="79" t="str">
        <f>IF(ISERROR(FIND('112'!$M$9,G2727,1)),"",IF((AND(RIGHT(G2727,2)=RIGHT('112'!$M$9,2),B2727&lt;'112'!$K$9,$O2727='112'!$I$6)),"x",""))</f>
        <v/>
      </c>
      <c r="W2727" s="79" t="str">
        <f>IF(AND('341-CT'!$H$9=H2727,OR(LEFT(N2727,3)=$W$7,LEFT(O2727,3)=$W$7)),"x","")</f>
        <v/>
      </c>
      <c r="X2727" s="79" t="str">
        <f>IF(OR(TH!N2727=TH!$X$7,O2727=TH!$X$7),"x","")</f>
        <v/>
      </c>
      <c r="Y2727" s="79" t="str">
        <f>IF(AND(OR(N2727="131",O2727="131"),H2727='131-CT'!$H$9),"x","")</f>
        <v/>
      </c>
      <c r="Z2727" s="79"/>
      <c r="AA2727" s="79" t="str">
        <f>IF(AND(MONTH(E2727)='IN-NX'!$J$5,'IN-NX'!$D$7=D2727),"x","")</f>
        <v/>
      </c>
      <c r="AB2727" s="79" t="str">
        <f>IF(AND(OR(LEFT(TH!N2727,2)="15",LEFT(TH!O2727,2)="15"),LEFT(TH!O2727,3)&lt;&gt;"111",'152-CT'!$J$8=TH!F2727),"x","")</f>
        <v/>
      </c>
      <c r="AC2727" s="79" t="str">
        <f>IF(AND(OR(LEFT(TH!N2727,2)="15",LEFT(TH!O2727,2)="15"),TK!$E$7=TH!F2727),"x","")</f>
        <v/>
      </c>
      <c r="AD2727" s="79" t="str">
        <f>IF(AND(N2727="1521",MONTH(C2727)='BK-NL'!$M$11),"x","")</f>
        <v/>
      </c>
    </row>
    <row r="2728" spans="1:30" ht="18" customHeight="1">
      <c r="A2728" s="318" t="str">
        <f>IF(B2728&lt;&gt;"",IF(AND(B2728='IN-TC'!$S$4,OR(TH!N2728="1111",TH!O2728="1111")),TH!D2728,""),"")</f>
        <v/>
      </c>
      <c r="B2728" s="60" t="str">
        <f t="shared" ref="B2728" si="298">IF(C2728&lt;&gt;"",MONTH(C2728),"")</f>
        <v/>
      </c>
      <c r="C2728" s="301"/>
      <c r="D2728" s="301"/>
      <c r="E2728" s="301"/>
      <c r="F2728" s="1162"/>
      <c r="G2728" s="968"/>
      <c r="H2728" s="303"/>
      <c r="I2728" s="385"/>
      <c r="J2728" s="969"/>
      <c r="K2728" s="385"/>
      <c r="L2728" s="392"/>
      <c r="M2728" s="970"/>
      <c r="N2728" s="304"/>
      <c r="O2728" s="304"/>
      <c r="P2728" s="79" t="str">
        <f>IF(AND('331-CT'!$E$7=TH!H2728,OR(N2728="331",O2728="331")),"x","")</f>
        <v/>
      </c>
      <c r="Q2728" s="79" t="str">
        <f>IF(AND(B2728='111'!$L$11,OR($N2728=$Q$7,$O2728=$Q$7)),"x","")</f>
        <v/>
      </c>
      <c r="R2728" s="79" t="str">
        <f>IF(AND($N2728=$Q$7,$B2728&lt;'111'!$L$11),"x","")</f>
        <v/>
      </c>
      <c r="S2728" s="79" t="str">
        <f>IF(AND($O2728=$Q$7,$B2728&lt;'111'!$L$11),"x","")</f>
        <v/>
      </c>
      <c r="T2728" s="79" t="str">
        <f>IF(ISERROR(FIND('112'!$M$9,G2728,1)),"",IF((AND(FIND('112'!$M$9,G2728,1)&gt;=1,B2728='112'!$K$9,OR($N2728='112'!$I$6,$O2728='112'!$I$6))),"x",""))</f>
        <v/>
      </c>
      <c r="U2728" s="79" t="str">
        <f>IF(ISERROR(FIND('112'!$M$9,G2728,1)),"",IF((AND(LEFT(G2728,2)=LEFT('112'!$M$9,2),B2728&lt;'112'!$K$9,$N2728='112'!$I$6)),"x",""))</f>
        <v/>
      </c>
      <c r="V2728" s="79" t="str">
        <f>IF(ISERROR(FIND('112'!$M$9,G2728,1)),"",IF((AND(RIGHT(G2728,2)=RIGHT('112'!$M$9,2),B2728&lt;'112'!$K$9,$O2728='112'!$I$6)),"x",""))</f>
        <v/>
      </c>
      <c r="W2728" s="79" t="str">
        <f>IF(AND('341-CT'!$H$9=H2728,OR(LEFT(N2728,3)=$W$7,LEFT(O2728,3)=$W$7)),"x","")</f>
        <v/>
      </c>
      <c r="X2728" s="79" t="str">
        <f>IF(OR(TH!N2728=TH!$X$7,O2728=TH!$X$7),"x","")</f>
        <v/>
      </c>
      <c r="Y2728" s="79" t="str">
        <f>IF(AND(OR(N2728="131",O2728="131"),H2728='131-CT'!$H$9),"x","")</f>
        <v/>
      </c>
      <c r="Z2728" s="79"/>
      <c r="AA2728" s="79" t="str">
        <f>IF(AND(MONTH(E2728)='IN-NX'!$J$5,'IN-NX'!$D$7=D2728),"x","")</f>
        <v/>
      </c>
      <c r="AB2728" s="79" t="str">
        <f>IF(AND(OR(LEFT(TH!N2728,2)="15",LEFT(TH!O2728,2)="15"),LEFT(TH!O2728,3)&lt;&gt;"111",'152-CT'!$J$8=TH!F2728),"x","")</f>
        <v/>
      </c>
      <c r="AC2728" s="79" t="str">
        <f>IF(AND(OR(LEFT(TH!N2728,2)="15",LEFT(TH!O2728,2)="15"),TK!$E$7=TH!F2728),"x","")</f>
        <v/>
      </c>
      <c r="AD2728" s="79" t="str">
        <f>IF(AND(N2728="1521",MONTH(C2728)='BK-NL'!$M$11),"x","")</f>
        <v/>
      </c>
    </row>
    <row r="2729" spans="1:30" ht="18" customHeight="1">
      <c r="A2729" s="318" t="str">
        <f>IF(B2729&lt;&gt;"",IF(AND(B2729='IN-TC'!$S$4,OR(TH!N2729="1111",TH!O2729="1111")),TH!D2729,""),"")</f>
        <v/>
      </c>
      <c r="B2729" s="60" t="str">
        <f t="shared" ref="B2729:B2735" si="299">IF(C2729&lt;&gt;"",MONTH(C2729),"")</f>
        <v/>
      </c>
      <c r="C2729" s="301"/>
      <c r="D2729" s="301"/>
      <c r="E2729" s="301"/>
      <c r="F2729" s="1162"/>
      <c r="G2729" s="968"/>
      <c r="H2729" s="303"/>
      <c r="I2729" s="385"/>
      <c r="J2729" s="969"/>
      <c r="K2729" s="385"/>
      <c r="L2729" s="392"/>
      <c r="M2729" s="970"/>
      <c r="N2729" s="304"/>
      <c r="O2729" s="304"/>
      <c r="P2729" s="79" t="str">
        <f>IF(AND('331-CT'!$E$7=TH!H2729,OR(N2729="331",O2729="331")),"x","")</f>
        <v/>
      </c>
      <c r="Q2729" s="79" t="str">
        <f>IF(AND(B2729='111'!$L$11,OR($N2729=$Q$7,$O2729=$Q$7)),"x","")</f>
        <v/>
      </c>
      <c r="R2729" s="79" t="str">
        <f>IF(AND($N2729=$Q$7,$B2729&lt;'111'!$L$11),"x","")</f>
        <v/>
      </c>
      <c r="S2729" s="79" t="str">
        <f>IF(AND($O2729=$Q$7,$B2729&lt;'111'!$L$11),"x","")</f>
        <v/>
      </c>
      <c r="T2729" s="79" t="str">
        <f>IF(ISERROR(FIND('112'!$M$9,G2729,1)),"",IF((AND(FIND('112'!$M$9,G2729,1)&gt;=1,B2729='112'!$K$9,OR($N2729='112'!$I$6,$O2729='112'!$I$6))),"x",""))</f>
        <v/>
      </c>
      <c r="U2729" s="79" t="str">
        <f>IF(ISERROR(FIND('112'!$M$9,G2729,1)),"",IF((AND(LEFT(G2729,2)=LEFT('112'!$M$9,2),B2729&lt;'112'!$K$9,$N2729='112'!$I$6)),"x",""))</f>
        <v/>
      </c>
      <c r="V2729" s="79" t="str">
        <f>IF(ISERROR(FIND('112'!$M$9,G2729,1)),"",IF((AND(RIGHT(G2729,2)=RIGHT('112'!$M$9,2),B2729&lt;'112'!$K$9,$O2729='112'!$I$6)),"x",""))</f>
        <v/>
      </c>
      <c r="W2729" s="79" t="str">
        <f>IF(AND('341-CT'!$H$9=H2729,OR(LEFT(N2729,3)=$W$7,LEFT(O2729,3)=$W$7)),"x","")</f>
        <v/>
      </c>
      <c r="X2729" s="79" t="str">
        <f>IF(OR(TH!N2729=TH!$X$7,O2729=TH!$X$7),"x","")</f>
        <v/>
      </c>
      <c r="Y2729" s="79" t="str">
        <f>IF(AND(OR(N2729="131",O2729="131"),H2729='131-CT'!$H$9),"x","")</f>
        <v/>
      </c>
      <c r="Z2729" s="79"/>
      <c r="AA2729" s="79" t="str">
        <f>IF(AND(MONTH(E2729)='IN-NX'!$J$5,'IN-NX'!$D$7=D2729),"x","")</f>
        <v/>
      </c>
      <c r="AB2729" s="79" t="str">
        <f>IF(AND(OR(LEFT(TH!N2729,2)="15",LEFT(TH!O2729,2)="15"),LEFT(TH!O2729,3)&lt;&gt;"111",'152-CT'!$J$8=TH!F2729),"x","")</f>
        <v/>
      </c>
      <c r="AC2729" s="79" t="str">
        <f>IF(AND(OR(LEFT(TH!N2729,2)="15",LEFT(TH!O2729,2)="15"),TK!$E$7=TH!F2729),"x","")</f>
        <v/>
      </c>
      <c r="AD2729" s="79" t="str">
        <f>IF(AND(N2729="1521",MONTH(C2729)='BK-NL'!$M$11),"x","")</f>
        <v/>
      </c>
    </row>
    <row r="2730" spans="1:30" ht="18" customHeight="1">
      <c r="A2730" s="318" t="str">
        <f>IF(B2730&lt;&gt;"",IF(AND(B2730='IN-TC'!$S$4,OR(TH!N2730="1111",TH!O2730="1111")),TH!D2730,""),"")</f>
        <v/>
      </c>
      <c r="B2730" s="60" t="str">
        <f t="shared" si="299"/>
        <v/>
      </c>
      <c r="C2730" s="301"/>
      <c r="D2730" s="301"/>
      <c r="E2730" s="301"/>
      <c r="F2730" s="1162"/>
      <c r="G2730" s="968"/>
      <c r="H2730" s="303"/>
      <c r="I2730" s="385"/>
      <c r="J2730" s="969"/>
      <c r="K2730" s="385"/>
      <c r="L2730" s="392"/>
      <c r="M2730" s="970"/>
      <c r="N2730" s="304"/>
      <c r="O2730" s="304"/>
      <c r="P2730" s="79" t="str">
        <f>IF(AND('331-CT'!$E$7=TH!H2730,OR(N2730="331",O2730="331")),"x","")</f>
        <v/>
      </c>
      <c r="Q2730" s="79" t="str">
        <f>IF(AND(B2730='111'!$L$11,OR($N2730=$Q$7,$O2730=$Q$7)),"x","")</f>
        <v/>
      </c>
      <c r="R2730" s="79" t="str">
        <f>IF(AND($N2730=$Q$7,$B2730&lt;'111'!$L$11),"x","")</f>
        <v/>
      </c>
      <c r="S2730" s="79" t="str">
        <f>IF(AND($O2730=$Q$7,$B2730&lt;'111'!$L$11),"x","")</f>
        <v/>
      </c>
      <c r="T2730" s="79" t="str">
        <f>IF(ISERROR(FIND('112'!$M$9,G2730,1)),"",IF((AND(FIND('112'!$M$9,G2730,1)&gt;=1,B2730='112'!$K$9,OR($N2730='112'!$I$6,$O2730='112'!$I$6))),"x",""))</f>
        <v/>
      </c>
      <c r="U2730" s="79" t="str">
        <f>IF(ISERROR(FIND('112'!$M$9,G2730,1)),"",IF((AND(LEFT(G2730,2)=LEFT('112'!$M$9,2),B2730&lt;'112'!$K$9,$N2730='112'!$I$6)),"x",""))</f>
        <v/>
      </c>
      <c r="V2730" s="79" t="str">
        <f>IF(ISERROR(FIND('112'!$M$9,G2730,1)),"",IF((AND(RIGHT(G2730,2)=RIGHT('112'!$M$9,2),B2730&lt;'112'!$K$9,$O2730='112'!$I$6)),"x",""))</f>
        <v/>
      </c>
      <c r="W2730" s="79" t="str">
        <f>IF(AND('341-CT'!$H$9=H2730,OR(LEFT(N2730,3)=$W$7,LEFT(O2730,3)=$W$7)),"x","")</f>
        <v/>
      </c>
      <c r="X2730" s="79" t="str">
        <f>IF(OR(TH!N2730=TH!$X$7,O2730=TH!$X$7),"x","")</f>
        <v/>
      </c>
      <c r="Y2730" s="79" t="str">
        <f>IF(AND(OR(N2730="131",O2730="131"),H2730='131-CT'!$H$9),"x","")</f>
        <v/>
      </c>
      <c r="Z2730" s="79"/>
      <c r="AA2730" s="79" t="str">
        <f>IF(AND(MONTH(E2730)='IN-NX'!$J$5,'IN-NX'!$D$7=D2730),"x","")</f>
        <v/>
      </c>
      <c r="AB2730" s="79" t="str">
        <f>IF(AND(OR(LEFT(TH!N2730,2)="15",LEFT(TH!O2730,2)="15"),LEFT(TH!O2730,3)&lt;&gt;"111",'152-CT'!$J$8=TH!F2730),"x","")</f>
        <v/>
      </c>
      <c r="AC2730" s="79" t="str">
        <f>IF(AND(OR(LEFT(TH!N2730,2)="15",LEFT(TH!O2730,2)="15"),TK!$E$7=TH!F2730),"x","")</f>
        <v/>
      </c>
      <c r="AD2730" s="79" t="str">
        <f>IF(AND(N2730="1521",MONTH(C2730)='BK-NL'!$M$11),"x","")</f>
        <v/>
      </c>
    </row>
    <row r="2731" spans="1:30" ht="18" customHeight="1">
      <c r="A2731" s="318" t="str">
        <f>IF(B2731&lt;&gt;"",IF(AND(B2731='IN-TC'!$S$4,OR(TH!N2731="1111",TH!O2731="1111")),TH!D2731,""),"")</f>
        <v/>
      </c>
      <c r="B2731" s="60" t="str">
        <f t="shared" si="299"/>
        <v/>
      </c>
      <c r="C2731" s="301"/>
      <c r="D2731" s="301"/>
      <c r="E2731" s="301"/>
      <c r="F2731" s="1162"/>
      <c r="G2731" s="968"/>
      <c r="H2731" s="303"/>
      <c r="I2731" s="385"/>
      <c r="J2731" s="969"/>
      <c r="K2731" s="385"/>
      <c r="L2731" s="392"/>
      <c r="M2731" s="970"/>
      <c r="N2731" s="304"/>
      <c r="O2731" s="304"/>
      <c r="P2731" s="79" t="str">
        <f>IF(AND('331-CT'!$E$7=TH!H2731,OR(N2731="331",O2731="331")),"x","")</f>
        <v/>
      </c>
      <c r="Q2731" s="79" t="str">
        <f>IF(AND(B2731='111'!$L$11,OR($N2731=$Q$7,$O2731=$Q$7)),"x","")</f>
        <v/>
      </c>
      <c r="R2731" s="79" t="str">
        <f>IF(AND($N2731=$Q$7,$B2731&lt;'111'!$L$11),"x","")</f>
        <v/>
      </c>
      <c r="S2731" s="79" t="str">
        <f>IF(AND($O2731=$Q$7,$B2731&lt;'111'!$L$11),"x","")</f>
        <v/>
      </c>
      <c r="T2731" s="79" t="str">
        <f>IF(ISERROR(FIND('112'!$M$9,G2731,1)),"",IF((AND(FIND('112'!$M$9,G2731,1)&gt;=1,B2731='112'!$K$9,OR($N2731='112'!$I$6,$O2731='112'!$I$6))),"x",""))</f>
        <v/>
      </c>
      <c r="U2731" s="79" t="str">
        <f>IF(ISERROR(FIND('112'!$M$9,G2731,1)),"",IF((AND(LEFT(G2731,2)=LEFT('112'!$M$9,2),B2731&lt;'112'!$K$9,$N2731='112'!$I$6)),"x",""))</f>
        <v/>
      </c>
      <c r="V2731" s="79" t="str">
        <f>IF(ISERROR(FIND('112'!$M$9,G2731,1)),"",IF((AND(RIGHT(G2731,2)=RIGHT('112'!$M$9,2),B2731&lt;'112'!$K$9,$O2731='112'!$I$6)),"x",""))</f>
        <v/>
      </c>
      <c r="W2731" s="79" t="str">
        <f>IF(AND('341-CT'!$H$9=H2731,OR(LEFT(N2731,3)=$W$7,LEFT(O2731,3)=$W$7)),"x","")</f>
        <v/>
      </c>
      <c r="X2731" s="79" t="str">
        <f>IF(OR(TH!N2731=TH!$X$7,O2731=TH!$X$7),"x","")</f>
        <v/>
      </c>
      <c r="Y2731" s="79" t="str">
        <f>IF(AND(OR(N2731="131",O2731="131"),H2731='131-CT'!$H$9),"x","")</f>
        <v/>
      </c>
      <c r="Z2731" s="79"/>
      <c r="AA2731" s="79" t="str">
        <f>IF(AND(MONTH(E2731)='IN-NX'!$J$5,'IN-NX'!$D$7=D2731),"x","")</f>
        <v/>
      </c>
      <c r="AB2731" s="79" t="str">
        <f>IF(AND(OR(LEFT(TH!N2731,2)="15",LEFT(TH!O2731,2)="15"),LEFT(TH!O2731,3)&lt;&gt;"111",'152-CT'!$J$8=TH!F2731),"x","")</f>
        <v/>
      </c>
      <c r="AC2731" s="79" t="str">
        <f>IF(AND(OR(LEFT(TH!N2731,2)="15",LEFT(TH!O2731,2)="15"),TK!$E$7=TH!F2731),"x","")</f>
        <v/>
      </c>
      <c r="AD2731" s="79" t="str">
        <f>IF(AND(N2731="1521",MONTH(C2731)='BK-NL'!$M$11),"x","")</f>
        <v/>
      </c>
    </row>
    <row r="2732" spans="1:30" ht="18" customHeight="1">
      <c r="A2732" s="318" t="str">
        <f>IF(B2732&lt;&gt;"",IF(AND(B2732='IN-TC'!$S$4,OR(TH!N2732="1111",TH!O2732="1111")),TH!D2732,""),"")</f>
        <v/>
      </c>
      <c r="B2732" s="60" t="str">
        <f t="shared" si="299"/>
        <v/>
      </c>
      <c r="C2732" s="301"/>
      <c r="D2732" s="301"/>
      <c r="E2732" s="301"/>
      <c r="F2732" s="1162"/>
      <c r="G2732" s="968"/>
      <c r="H2732" s="303"/>
      <c r="I2732" s="385"/>
      <c r="J2732" s="969"/>
      <c r="K2732" s="385"/>
      <c r="L2732" s="392"/>
      <c r="M2732" s="970"/>
      <c r="N2732" s="304"/>
      <c r="O2732" s="304"/>
      <c r="P2732" s="79" t="str">
        <f>IF(AND('331-CT'!$E$7=TH!H2732,OR(N2732="331",O2732="331")),"x","")</f>
        <v/>
      </c>
      <c r="Q2732" s="79" t="str">
        <f>IF(AND(B2732='111'!$L$11,OR($N2732=$Q$7,$O2732=$Q$7)),"x","")</f>
        <v/>
      </c>
      <c r="R2732" s="79" t="str">
        <f>IF(AND($N2732=$Q$7,$B2732&lt;'111'!$L$11),"x","")</f>
        <v/>
      </c>
      <c r="S2732" s="79" t="str">
        <f>IF(AND($O2732=$Q$7,$B2732&lt;'111'!$L$11),"x","")</f>
        <v/>
      </c>
      <c r="T2732" s="79" t="str">
        <f>IF(ISERROR(FIND('112'!$M$9,G2732,1)),"",IF((AND(FIND('112'!$M$9,G2732,1)&gt;=1,B2732='112'!$K$9,OR($N2732='112'!$I$6,$O2732='112'!$I$6))),"x",""))</f>
        <v/>
      </c>
      <c r="U2732" s="79" t="str">
        <f>IF(ISERROR(FIND('112'!$M$9,G2732,1)),"",IF((AND(LEFT(G2732,2)=LEFT('112'!$M$9,2),B2732&lt;'112'!$K$9,$N2732='112'!$I$6)),"x",""))</f>
        <v/>
      </c>
      <c r="V2732" s="79" t="str">
        <f>IF(ISERROR(FIND('112'!$M$9,G2732,1)),"",IF((AND(RIGHT(G2732,2)=RIGHT('112'!$M$9,2),B2732&lt;'112'!$K$9,$O2732='112'!$I$6)),"x",""))</f>
        <v/>
      </c>
      <c r="W2732" s="79" t="str">
        <f>IF(AND('341-CT'!$H$9=H2732,OR(LEFT(N2732,3)=$W$7,LEFT(O2732,3)=$W$7)),"x","")</f>
        <v/>
      </c>
      <c r="X2732" s="79" t="str">
        <f>IF(OR(TH!N2732=TH!$X$7,O2732=TH!$X$7),"x","")</f>
        <v/>
      </c>
      <c r="Y2732" s="79" t="str">
        <f>IF(AND(OR(N2732="131",O2732="131"),H2732='131-CT'!$H$9),"x","")</f>
        <v/>
      </c>
      <c r="Z2732" s="79"/>
      <c r="AA2732" s="79" t="str">
        <f>IF(AND(MONTH(E2732)='IN-NX'!$J$5,'IN-NX'!$D$7=D2732),"x","")</f>
        <v/>
      </c>
      <c r="AB2732" s="79" t="str">
        <f>IF(AND(OR(LEFT(TH!N2732,2)="15",LEFT(TH!O2732,2)="15"),LEFT(TH!O2732,3)&lt;&gt;"111",'152-CT'!$J$8=TH!F2732),"x","")</f>
        <v/>
      </c>
      <c r="AC2732" s="79" t="str">
        <f>IF(AND(OR(LEFT(TH!N2732,2)="15",LEFT(TH!O2732,2)="15"),TK!$E$7=TH!F2732),"x","")</f>
        <v/>
      </c>
      <c r="AD2732" s="79" t="str">
        <f>IF(AND(N2732="1521",MONTH(C2732)='BK-NL'!$M$11),"x","")</f>
        <v/>
      </c>
    </row>
    <row r="2733" spans="1:30" ht="16.5" customHeight="1">
      <c r="A2733" s="318" t="str">
        <f>IF(B2733&lt;&gt;"",IF(AND(B2733='IN-TC'!$S$4,OR(TH!N2733="1111",TH!O2733="1111")),TH!D2733,""),"")</f>
        <v/>
      </c>
      <c r="B2733" s="60" t="str">
        <f t="shared" si="299"/>
        <v/>
      </c>
      <c r="C2733" s="301"/>
      <c r="D2733" s="301"/>
      <c r="E2733" s="301"/>
      <c r="F2733" s="1162"/>
      <c r="G2733" s="968"/>
      <c r="H2733" s="303"/>
      <c r="I2733" s="385"/>
      <c r="J2733" s="969"/>
      <c r="K2733" s="385"/>
      <c r="L2733" s="392"/>
      <c r="M2733" s="970"/>
      <c r="N2733" s="304"/>
      <c r="O2733" s="304"/>
      <c r="P2733" s="79" t="str">
        <f>IF(AND('331-CT'!$E$7=TH!H2733,OR(N2733="331",O2733="331")),"x","")</f>
        <v/>
      </c>
      <c r="Q2733" s="79" t="str">
        <f>IF(AND(B2733='111'!$L$11,OR($N2733=$Q$7,$O2733=$Q$7)),"x","")</f>
        <v/>
      </c>
      <c r="R2733" s="79" t="str">
        <f>IF(AND($N2733=$Q$7,$B2733&lt;'111'!$L$11),"x","")</f>
        <v/>
      </c>
      <c r="S2733" s="79" t="str">
        <f>IF(AND($O2733=$Q$7,$B2733&lt;'111'!$L$11),"x","")</f>
        <v/>
      </c>
      <c r="T2733" s="79" t="str">
        <f>IF(ISERROR(FIND('112'!$M$9,G2733,1)),"",IF((AND(FIND('112'!$M$9,G2733,1)&gt;=1,B2733='112'!$K$9,OR($N2733='112'!$I$6,$O2733='112'!$I$6))),"x",""))</f>
        <v/>
      </c>
      <c r="U2733" s="79" t="str">
        <f>IF(ISERROR(FIND('112'!$M$9,G2733,1)),"",IF((AND(LEFT(G2733,2)=LEFT('112'!$M$9,2),B2733&lt;'112'!$K$9,$N2733='112'!$I$6)),"x",""))</f>
        <v/>
      </c>
      <c r="V2733" s="79" t="str">
        <f>IF(ISERROR(FIND('112'!$M$9,G2733,1)),"",IF((AND(RIGHT(G2733,2)=RIGHT('112'!$M$9,2),B2733&lt;'112'!$K$9,$O2733='112'!$I$6)),"x",""))</f>
        <v/>
      </c>
      <c r="W2733" s="79" t="str">
        <f>IF(AND('341-CT'!$H$9=H2733,OR(LEFT(N2733,3)=$W$7,LEFT(O2733,3)=$W$7)),"x","")</f>
        <v/>
      </c>
      <c r="X2733" s="79" t="str">
        <f>IF(OR(TH!N2733=TH!$X$7,O2733=TH!$X$7),"x","")</f>
        <v/>
      </c>
      <c r="Y2733" s="79" t="str">
        <f>IF(AND(OR(N2733="131",O2733="131"),H2733='131-CT'!$H$9),"x","")</f>
        <v/>
      </c>
      <c r="Z2733" s="79"/>
      <c r="AA2733" s="79" t="str">
        <f>IF(AND(MONTH(E2733)='IN-NX'!$J$5,'IN-NX'!$D$7=D2733),"x","")</f>
        <v/>
      </c>
      <c r="AB2733" s="79" t="str">
        <f>IF(AND(OR(LEFT(TH!N2733,2)="15",LEFT(TH!O2733,2)="15"),LEFT(TH!O2733,3)&lt;&gt;"111",'152-CT'!$J$8=TH!F2733),"x","")</f>
        <v/>
      </c>
      <c r="AC2733" s="79" t="str">
        <f>IF(AND(OR(LEFT(TH!N2733,2)="15",LEFT(TH!O2733,2)="15"),TK!$E$7=TH!F2733),"x","")</f>
        <v/>
      </c>
      <c r="AD2733" s="79" t="str">
        <f>IF(AND(N2733="1521",MONTH(C2733)='BK-NL'!$M$11),"x","")</f>
        <v/>
      </c>
    </row>
    <row r="2734" spans="1:30" ht="18" customHeight="1">
      <c r="A2734" s="318" t="str">
        <f>IF(B2734&lt;&gt;"",IF(AND(B2734='IN-TC'!$S$4,OR(TH!N2734="1111",TH!O2734="1111")),TH!D2734,""),"")</f>
        <v/>
      </c>
      <c r="B2734" s="60" t="str">
        <f t="shared" si="299"/>
        <v/>
      </c>
      <c r="C2734" s="301"/>
      <c r="D2734" s="301"/>
      <c r="E2734" s="301"/>
      <c r="F2734" s="1162"/>
      <c r="G2734" s="968"/>
      <c r="H2734" s="303"/>
      <c r="I2734" s="385"/>
      <c r="J2734" s="969"/>
      <c r="K2734" s="385"/>
      <c r="L2734" s="392"/>
      <c r="M2734" s="970"/>
      <c r="N2734" s="304"/>
      <c r="O2734" s="304"/>
      <c r="P2734" s="79" t="str">
        <f>IF(AND('331-CT'!$E$7=TH!H2734,OR(N2734="331",O2734="331")),"x","")</f>
        <v/>
      </c>
      <c r="Q2734" s="79" t="str">
        <f>IF(AND(B2734='111'!$L$11,OR($N2734=$Q$7,$O2734=$Q$7)),"x","")</f>
        <v/>
      </c>
      <c r="R2734" s="79" t="str">
        <f>IF(AND($N2734=$Q$7,$B2734&lt;'111'!$L$11),"x","")</f>
        <v/>
      </c>
      <c r="S2734" s="79" t="str">
        <f>IF(AND($O2734=$Q$7,$B2734&lt;'111'!$L$11),"x","")</f>
        <v/>
      </c>
      <c r="T2734" s="79" t="str">
        <f>IF(ISERROR(FIND('112'!$M$9,G2734,1)),"",IF((AND(FIND('112'!$M$9,G2734,1)&gt;=1,B2734='112'!$K$9,OR($N2734='112'!$I$6,$O2734='112'!$I$6))),"x",""))</f>
        <v/>
      </c>
      <c r="U2734" s="79" t="str">
        <f>IF(ISERROR(FIND('112'!$M$9,G2734,1)),"",IF((AND(LEFT(G2734,2)=LEFT('112'!$M$9,2),B2734&lt;'112'!$K$9,$N2734='112'!$I$6)),"x",""))</f>
        <v/>
      </c>
      <c r="V2734" s="79" t="str">
        <f>IF(ISERROR(FIND('112'!$M$9,G2734,1)),"",IF((AND(RIGHT(G2734,2)=RIGHT('112'!$M$9,2),B2734&lt;'112'!$K$9,$O2734='112'!$I$6)),"x",""))</f>
        <v/>
      </c>
      <c r="W2734" s="79" t="str">
        <f>IF(AND('341-CT'!$H$9=H2734,OR(LEFT(N2734,3)=$W$7,LEFT(O2734,3)=$W$7)),"x","")</f>
        <v/>
      </c>
      <c r="X2734" s="79" t="str">
        <f>IF(OR(TH!N2734=TH!$X$7,O2734=TH!$X$7),"x","")</f>
        <v/>
      </c>
      <c r="Y2734" s="79" t="str">
        <f>IF(AND(OR(N2734="131",O2734="131"),H2734='131-CT'!$H$9),"x","")</f>
        <v/>
      </c>
      <c r="Z2734" s="79"/>
      <c r="AA2734" s="79" t="str">
        <f>IF(AND(MONTH(E2734)='IN-NX'!$J$5,'IN-NX'!$D$7=D2734),"x","")</f>
        <v/>
      </c>
      <c r="AB2734" s="79" t="str">
        <f>IF(AND(OR(LEFT(TH!N2734,2)="15",LEFT(TH!O2734,2)="15"),LEFT(TH!O2734,3)&lt;&gt;"111",'152-CT'!$J$8=TH!F2734),"x","")</f>
        <v/>
      </c>
      <c r="AC2734" s="79" t="str">
        <f>IF(AND(OR(LEFT(TH!N2734,2)="15",LEFT(TH!O2734,2)="15"),TK!$E$7=TH!F2734),"x","")</f>
        <v/>
      </c>
      <c r="AD2734" s="79" t="str">
        <f>IF(AND(N2734="1521",MONTH(C2734)='BK-NL'!$M$11),"x","")</f>
        <v/>
      </c>
    </row>
    <row r="2735" spans="1:30" ht="18" customHeight="1">
      <c r="A2735" s="318" t="str">
        <f>IF(B2735&lt;&gt;"",IF(AND(B2735='IN-TC'!$S$4,OR(TH!N2735="1111",TH!O2735="1111")),TH!D2735,""),"")</f>
        <v/>
      </c>
      <c r="B2735" s="60" t="str">
        <f t="shared" si="299"/>
        <v/>
      </c>
      <c r="C2735" s="301"/>
      <c r="D2735" s="301"/>
      <c r="E2735" s="301"/>
      <c r="F2735" s="1162"/>
      <c r="G2735" s="968"/>
      <c r="H2735" s="303"/>
      <c r="I2735" s="385"/>
      <c r="J2735" s="969"/>
      <c r="K2735" s="385"/>
      <c r="L2735" s="392"/>
      <c r="M2735" s="970"/>
      <c r="N2735" s="304"/>
      <c r="O2735" s="304"/>
      <c r="P2735" s="79" t="str">
        <f>IF(AND('331-CT'!$E$7=TH!H2735,OR(N2735="331",O2735="331")),"x","")</f>
        <v/>
      </c>
      <c r="Q2735" s="79" t="str">
        <f>IF(AND(B2735='111'!$L$11,OR($N2735=$Q$7,$O2735=$Q$7)),"x","")</f>
        <v/>
      </c>
      <c r="R2735" s="79" t="str">
        <f>IF(AND($N2735=$Q$7,$B2735&lt;'111'!$L$11),"x","")</f>
        <v/>
      </c>
      <c r="S2735" s="79" t="str">
        <f>IF(AND($O2735=$Q$7,$B2735&lt;'111'!$L$11),"x","")</f>
        <v/>
      </c>
      <c r="T2735" s="79" t="str">
        <f>IF(ISERROR(FIND('112'!$M$9,G2735,1)),"",IF((AND(FIND('112'!$M$9,G2735,1)&gt;=1,B2735='112'!$K$9,OR($N2735='112'!$I$6,$O2735='112'!$I$6))),"x",""))</f>
        <v/>
      </c>
      <c r="U2735" s="79" t="str">
        <f>IF(ISERROR(FIND('112'!$M$9,G2735,1)),"",IF((AND(LEFT(G2735,2)=LEFT('112'!$M$9,2),B2735&lt;'112'!$K$9,$N2735='112'!$I$6)),"x",""))</f>
        <v/>
      </c>
      <c r="V2735" s="79" t="str">
        <f>IF(ISERROR(FIND('112'!$M$9,G2735,1)),"",IF((AND(RIGHT(G2735,2)=RIGHT('112'!$M$9,2),B2735&lt;'112'!$K$9,$O2735='112'!$I$6)),"x",""))</f>
        <v/>
      </c>
      <c r="W2735" s="79" t="str">
        <f>IF(AND('341-CT'!$H$9=H2735,OR(LEFT(N2735,3)=$W$7,LEFT(O2735,3)=$W$7)),"x","")</f>
        <v/>
      </c>
      <c r="X2735" s="79" t="str">
        <f>IF(OR(TH!N2735=TH!$X$7,O2735=TH!$X$7),"x","")</f>
        <v/>
      </c>
      <c r="Y2735" s="79" t="str">
        <f>IF(AND(OR(N2735="131",O2735="131"),H2735='131-CT'!$H$9),"x","")</f>
        <v/>
      </c>
      <c r="Z2735" s="79"/>
      <c r="AA2735" s="79" t="str">
        <f>IF(AND(MONTH(E2735)='IN-NX'!$J$5,'IN-NX'!$D$7=D2735),"x","")</f>
        <v/>
      </c>
      <c r="AB2735" s="79" t="str">
        <f>IF(AND(OR(LEFT(TH!N2735,2)="15",LEFT(TH!O2735,2)="15"),LEFT(TH!O2735,3)&lt;&gt;"111",'152-CT'!$J$8=TH!F2735),"x","")</f>
        <v/>
      </c>
      <c r="AC2735" s="79" t="str">
        <f>IF(AND(OR(LEFT(TH!N2735,2)="15",LEFT(TH!O2735,2)="15"),TK!$E$7=TH!F2735),"x","")</f>
        <v/>
      </c>
      <c r="AD2735" s="79" t="str">
        <f>IF(AND(N2735="1521",MONTH(C2735)='BK-NL'!$M$11),"x","")</f>
        <v/>
      </c>
    </row>
    <row r="2736" spans="1:30" ht="18" customHeight="1">
      <c r="A2736" s="318" t="str">
        <f>IF(B2736&lt;&gt;"",IF(AND(B2736='IN-TC'!$S$4,OR(TH!N2736="1111",TH!O2736="1111")),TH!D2736,""),"")</f>
        <v/>
      </c>
      <c r="B2736" s="60" t="str">
        <f t="shared" ref="B2736:B2739" si="300">IF(C2736&lt;&gt;"",MONTH(C2736),"")</f>
        <v/>
      </c>
      <c r="C2736" s="301"/>
      <c r="D2736" s="301"/>
      <c r="E2736" s="301"/>
      <c r="F2736" s="1162"/>
      <c r="G2736" s="968"/>
      <c r="H2736" s="303"/>
      <c r="I2736" s="385"/>
      <c r="J2736" s="969"/>
      <c r="K2736" s="385"/>
      <c r="L2736" s="392"/>
      <c r="M2736" s="970"/>
      <c r="N2736" s="304"/>
      <c r="O2736" s="304"/>
      <c r="P2736" s="79" t="str">
        <f>IF(AND('331-CT'!$E$7=TH!H2736,OR(N2736="331",O2736="331")),"x","")</f>
        <v/>
      </c>
      <c r="Q2736" s="79" t="str">
        <f>IF(AND(B2736='111'!$L$11,OR($N2736=$Q$7,$O2736=$Q$7)),"x","")</f>
        <v/>
      </c>
      <c r="R2736" s="79" t="str">
        <f>IF(AND($N2736=$Q$7,$B2736&lt;'111'!$L$11),"x","")</f>
        <v/>
      </c>
      <c r="S2736" s="79" t="str">
        <f>IF(AND($O2736=$Q$7,$B2736&lt;'111'!$L$11),"x","")</f>
        <v/>
      </c>
      <c r="T2736" s="79" t="str">
        <f>IF(ISERROR(FIND('112'!$M$9,G2736,1)),"",IF((AND(FIND('112'!$M$9,G2736,1)&gt;=1,B2736='112'!$K$9,OR($N2736='112'!$I$6,$O2736='112'!$I$6))),"x",""))</f>
        <v/>
      </c>
      <c r="U2736" s="79" t="str">
        <f>IF(ISERROR(FIND('112'!$M$9,G2736,1)),"",IF((AND(LEFT(G2736,2)=LEFT('112'!$M$9,2),B2736&lt;'112'!$K$9,$N2736='112'!$I$6)),"x",""))</f>
        <v/>
      </c>
      <c r="V2736" s="79" t="str">
        <f>IF(ISERROR(FIND('112'!$M$9,G2736,1)),"",IF((AND(RIGHT(G2736,2)=RIGHT('112'!$M$9,2),B2736&lt;'112'!$K$9,$O2736='112'!$I$6)),"x",""))</f>
        <v/>
      </c>
      <c r="W2736" s="79" t="str">
        <f>IF(AND('341-CT'!$H$9=H2736,OR(LEFT(N2736,3)=$W$7,LEFT(O2736,3)=$W$7)),"x","")</f>
        <v/>
      </c>
      <c r="X2736" s="79" t="str">
        <f>IF(OR(TH!N2736=TH!$X$7,O2736=TH!$X$7),"x","")</f>
        <v/>
      </c>
      <c r="Y2736" s="79" t="str">
        <f>IF(AND(OR(N2736="131",O2736="131"),H2736='131-CT'!$H$9),"x","")</f>
        <v/>
      </c>
      <c r="Z2736" s="79"/>
      <c r="AA2736" s="79" t="str">
        <f>IF(AND(MONTH(E2736)='IN-NX'!$J$5,'IN-NX'!$D$7=D2736),"x","")</f>
        <v/>
      </c>
      <c r="AB2736" s="79" t="str">
        <f>IF(AND(OR(LEFT(TH!N2736,2)="15",LEFT(TH!O2736,2)="15"),LEFT(TH!O2736,3)&lt;&gt;"111",'152-CT'!$J$8=TH!F2736),"x","")</f>
        <v/>
      </c>
      <c r="AC2736" s="79" t="str">
        <f>IF(AND(OR(LEFT(TH!N2736,2)="15",LEFT(TH!O2736,2)="15"),TK!$E$7=TH!F2736),"x","")</f>
        <v/>
      </c>
      <c r="AD2736" s="79" t="str">
        <f>IF(AND(N2736="1521",MONTH(C2736)='BK-NL'!$M$11),"x","")</f>
        <v/>
      </c>
    </row>
    <row r="2737" spans="1:30" ht="18" customHeight="1">
      <c r="A2737" s="318" t="str">
        <f>IF(B2737&lt;&gt;"",IF(AND(B2737='IN-TC'!$S$4,OR(TH!N2737="1111",TH!O2737="1111")),TH!D2737,""),"")</f>
        <v/>
      </c>
      <c r="B2737" s="60" t="str">
        <f t="shared" si="300"/>
        <v/>
      </c>
      <c r="C2737" s="301"/>
      <c r="D2737" s="301"/>
      <c r="E2737" s="301"/>
      <c r="F2737" s="1162"/>
      <c r="G2737" s="968"/>
      <c r="H2737" s="303"/>
      <c r="I2737" s="385"/>
      <c r="J2737" s="969"/>
      <c r="K2737" s="385"/>
      <c r="L2737" s="392"/>
      <c r="M2737" s="970"/>
      <c r="N2737" s="304"/>
      <c r="O2737" s="304"/>
      <c r="P2737" s="79" t="str">
        <f>IF(AND('331-CT'!$E$7=TH!H2737,OR(N2737="331",O2737="331")),"x","")</f>
        <v/>
      </c>
      <c r="Q2737" s="79" t="str">
        <f>IF(AND(B2737='111'!$L$11,OR($N2737=$Q$7,$O2737=$Q$7)),"x","")</f>
        <v/>
      </c>
      <c r="R2737" s="79" t="str">
        <f>IF(AND($N2737=$Q$7,$B2737&lt;'111'!$L$11),"x","")</f>
        <v/>
      </c>
      <c r="S2737" s="79" t="str">
        <f>IF(AND($O2737=$Q$7,$B2737&lt;'111'!$L$11),"x","")</f>
        <v/>
      </c>
      <c r="T2737" s="79" t="str">
        <f>IF(ISERROR(FIND('112'!$M$9,G2737,1)),"",IF((AND(FIND('112'!$M$9,G2737,1)&gt;=1,B2737='112'!$K$9,OR($N2737='112'!$I$6,$O2737='112'!$I$6))),"x",""))</f>
        <v/>
      </c>
      <c r="U2737" s="79" t="str">
        <f>IF(ISERROR(FIND('112'!$M$9,G2737,1)),"",IF((AND(LEFT(G2737,2)=LEFT('112'!$M$9,2),B2737&lt;'112'!$K$9,$N2737='112'!$I$6)),"x",""))</f>
        <v/>
      </c>
      <c r="V2737" s="79" t="str">
        <f>IF(ISERROR(FIND('112'!$M$9,G2737,1)),"",IF((AND(RIGHT(G2737,2)=RIGHT('112'!$M$9,2),B2737&lt;'112'!$K$9,$O2737='112'!$I$6)),"x",""))</f>
        <v/>
      </c>
      <c r="W2737" s="79" t="str">
        <f>IF(AND('341-CT'!$H$9=H2737,OR(LEFT(N2737,3)=$W$7,LEFT(O2737,3)=$W$7)),"x","")</f>
        <v/>
      </c>
      <c r="X2737" s="79" t="str">
        <f>IF(OR(TH!N2737=TH!$X$7,O2737=TH!$X$7),"x","")</f>
        <v/>
      </c>
      <c r="Y2737" s="79" t="str">
        <f>IF(AND(OR(N2737="131",O2737="131"),H2737='131-CT'!$H$9),"x","")</f>
        <v/>
      </c>
      <c r="Z2737" s="79"/>
      <c r="AA2737" s="79" t="str">
        <f>IF(AND(MONTH(E2737)='IN-NX'!$J$5,'IN-NX'!$D$7=D2737),"x","")</f>
        <v/>
      </c>
      <c r="AB2737" s="79" t="str">
        <f>IF(AND(OR(LEFT(TH!N2737,2)="15",LEFT(TH!O2737,2)="15"),LEFT(TH!O2737,3)&lt;&gt;"111",'152-CT'!$J$8=TH!F2737),"x","")</f>
        <v/>
      </c>
      <c r="AC2737" s="79" t="str">
        <f>IF(AND(OR(LEFT(TH!N2737,2)="15",LEFT(TH!O2737,2)="15"),TK!$E$7=TH!F2737),"x","")</f>
        <v/>
      </c>
      <c r="AD2737" s="79" t="str">
        <f>IF(AND(N2737="1521",MONTH(C2737)='BK-NL'!$M$11),"x","")</f>
        <v/>
      </c>
    </row>
    <row r="2738" spans="1:30" ht="16.5" customHeight="1">
      <c r="A2738" s="318" t="str">
        <f>IF(B2738&lt;&gt;"",IF(AND(B2738='IN-TC'!$S$4,OR(TH!N2738="1111",TH!O2738="1111")),TH!D2738,""),"")</f>
        <v/>
      </c>
      <c r="B2738" s="60" t="str">
        <f t="shared" si="300"/>
        <v/>
      </c>
      <c r="C2738" s="301"/>
      <c r="D2738" s="301"/>
      <c r="E2738" s="301"/>
      <c r="F2738" s="1162"/>
      <c r="G2738" s="968"/>
      <c r="H2738" s="303"/>
      <c r="I2738" s="385"/>
      <c r="J2738" s="969"/>
      <c r="K2738" s="385"/>
      <c r="L2738" s="392"/>
      <c r="M2738" s="970"/>
      <c r="N2738" s="304"/>
      <c r="O2738" s="304"/>
      <c r="P2738" s="79" t="str">
        <f>IF(AND('331-CT'!$E$7=TH!H2738,OR(N2738="331",O2738="331")),"x","")</f>
        <v/>
      </c>
      <c r="Q2738" s="79" t="str">
        <f>IF(AND(B2738='111'!$L$11,OR($N2738=$Q$7,$O2738=$Q$7)),"x","")</f>
        <v/>
      </c>
      <c r="R2738" s="79" t="str">
        <f>IF(AND($N2738=$Q$7,$B2738&lt;'111'!$L$11),"x","")</f>
        <v/>
      </c>
      <c r="S2738" s="79" t="str">
        <f>IF(AND($O2738=$Q$7,$B2738&lt;'111'!$L$11),"x","")</f>
        <v/>
      </c>
      <c r="T2738" s="79" t="str">
        <f>IF(ISERROR(FIND('112'!$M$9,G2738,1)),"",IF((AND(FIND('112'!$M$9,G2738,1)&gt;=1,B2738='112'!$K$9,OR($N2738='112'!$I$6,$O2738='112'!$I$6))),"x",""))</f>
        <v/>
      </c>
      <c r="U2738" s="79" t="str">
        <f>IF(ISERROR(FIND('112'!$M$9,G2738,1)),"",IF((AND(LEFT(G2738,2)=LEFT('112'!$M$9,2),B2738&lt;'112'!$K$9,$N2738='112'!$I$6)),"x",""))</f>
        <v/>
      </c>
      <c r="V2738" s="79" t="str">
        <f>IF(ISERROR(FIND('112'!$M$9,G2738,1)),"",IF((AND(RIGHT(G2738,2)=RIGHT('112'!$M$9,2),B2738&lt;'112'!$K$9,$O2738='112'!$I$6)),"x",""))</f>
        <v/>
      </c>
      <c r="W2738" s="79" t="str">
        <f>IF(AND('341-CT'!$H$9=H2738,OR(LEFT(N2738,3)=$W$7,LEFT(O2738,3)=$W$7)),"x","")</f>
        <v/>
      </c>
      <c r="X2738" s="79" t="str">
        <f>IF(OR(TH!N2738=TH!$X$7,O2738=TH!$X$7),"x","")</f>
        <v/>
      </c>
      <c r="Y2738" s="79" t="str">
        <f>IF(AND(OR(N2738="131",O2738="131"),H2738='131-CT'!$H$9),"x","")</f>
        <v/>
      </c>
      <c r="Z2738" s="79"/>
      <c r="AA2738" s="79" t="str">
        <f>IF(AND(MONTH(E2738)='IN-NX'!$J$5,'IN-NX'!$D$7=D2738),"x","")</f>
        <v/>
      </c>
      <c r="AB2738" s="79" t="str">
        <f>IF(AND(OR(LEFT(TH!N2738,2)="15",LEFT(TH!O2738,2)="15"),LEFT(TH!O2738,3)&lt;&gt;"111",'152-CT'!$J$8=TH!F2738),"x","")</f>
        <v/>
      </c>
      <c r="AC2738" s="79" t="str">
        <f>IF(AND(OR(LEFT(TH!N2738,2)="15",LEFT(TH!O2738,2)="15"),TK!$E$7=TH!F2738),"x","")</f>
        <v/>
      </c>
      <c r="AD2738" s="79" t="str">
        <f>IF(AND(N2738="1521",MONTH(C2738)='BK-NL'!$M$11),"x","")</f>
        <v/>
      </c>
    </row>
    <row r="2739" spans="1:30" ht="16.5" customHeight="1">
      <c r="A2739" s="318" t="str">
        <f>IF(B2739&lt;&gt;"",IF(AND(B2739='IN-TC'!$S$4,OR(TH!N2739="1111",TH!O2739="1111")),TH!D2739,""),"")</f>
        <v/>
      </c>
      <c r="B2739" s="60" t="str">
        <f t="shared" si="300"/>
        <v/>
      </c>
      <c r="C2739" s="301"/>
      <c r="D2739" s="301"/>
      <c r="E2739" s="301"/>
      <c r="F2739" s="1162"/>
      <c r="G2739" s="968"/>
      <c r="H2739" s="303"/>
      <c r="I2739" s="385"/>
      <c r="J2739" s="969"/>
      <c r="K2739" s="385"/>
      <c r="L2739" s="392"/>
      <c r="M2739" s="970"/>
      <c r="N2739" s="304"/>
      <c r="O2739" s="304"/>
      <c r="P2739" s="79" t="str">
        <f>IF(AND('331-CT'!$E$7=TH!H2739,OR(N2739="331",O2739="331")),"x","")</f>
        <v/>
      </c>
      <c r="Q2739" s="79" t="str">
        <f>IF(AND(B2739='111'!$L$11,OR($N2739=$Q$7,$O2739=$Q$7)),"x","")</f>
        <v/>
      </c>
      <c r="R2739" s="79" t="str">
        <f>IF(AND($N2739=$Q$7,$B2739&lt;'111'!$L$11),"x","")</f>
        <v/>
      </c>
      <c r="S2739" s="79" t="str">
        <f>IF(AND($O2739=$Q$7,$B2739&lt;'111'!$L$11),"x","")</f>
        <v/>
      </c>
      <c r="T2739" s="79" t="str">
        <f>IF(ISERROR(FIND('112'!$M$9,G2739,1)),"",IF((AND(FIND('112'!$M$9,G2739,1)&gt;=1,B2739='112'!$K$9,OR($N2739='112'!$I$6,$O2739='112'!$I$6))),"x",""))</f>
        <v/>
      </c>
      <c r="U2739" s="79" t="str">
        <f>IF(ISERROR(FIND('112'!$M$9,G2739,1)),"",IF((AND(LEFT(G2739,2)=LEFT('112'!$M$9,2),B2739&lt;'112'!$K$9,$N2739='112'!$I$6)),"x",""))</f>
        <v/>
      </c>
      <c r="V2739" s="79" t="str">
        <f>IF(ISERROR(FIND('112'!$M$9,G2739,1)),"",IF((AND(RIGHT(G2739,2)=RIGHT('112'!$M$9,2),B2739&lt;'112'!$K$9,$O2739='112'!$I$6)),"x",""))</f>
        <v/>
      </c>
      <c r="W2739" s="79" t="str">
        <f>IF(AND('341-CT'!$H$9=H2739,OR(LEFT(N2739,3)=$W$7,LEFT(O2739,3)=$W$7)),"x","")</f>
        <v/>
      </c>
      <c r="X2739" s="79" t="str">
        <f>IF(OR(TH!N2739=TH!$X$7,O2739=TH!$X$7),"x","")</f>
        <v/>
      </c>
      <c r="Y2739" s="79" t="str">
        <f>IF(AND(OR(N2739="131",O2739="131"),H2739='131-CT'!$H$9),"x","")</f>
        <v/>
      </c>
      <c r="Z2739" s="79"/>
      <c r="AA2739" s="79" t="str">
        <f>IF(AND(MONTH(E2739)='IN-NX'!$J$5,'IN-NX'!$D$7=D2739),"x","")</f>
        <v/>
      </c>
      <c r="AB2739" s="79" t="str">
        <f>IF(AND(OR(LEFT(TH!N2739,2)="15",LEFT(TH!O2739,2)="15"),LEFT(TH!O2739,3)&lt;&gt;"111",'152-CT'!$J$8=TH!F2739),"x","")</f>
        <v/>
      </c>
      <c r="AC2739" s="79" t="str">
        <f>IF(AND(OR(LEFT(TH!N2739,2)="15",LEFT(TH!O2739,2)="15"),TK!$E$7=TH!F2739),"x","")</f>
        <v/>
      </c>
      <c r="AD2739" s="79" t="str">
        <f>IF(AND(N2739="1521",MONTH(C2739)='BK-NL'!$M$11),"x","")</f>
        <v/>
      </c>
    </row>
    <row r="2740" spans="1:30" ht="16.5" customHeight="1">
      <c r="A2740" s="318" t="str">
        <f>IF(B2740&lt;&gt;"",IF(AND(B2740='IN-TC'!$S$4,OR(TH!N2740="1111",TH!O2740="1111")),TH!D2740,""),"")</f>
        <v/>
      </c>
      <c r="B2740" s="60" t="str">
        <f t="shared" ref="B2740" si="301">IF(C2740&lt;&gt;"",MONTH(C2740),"")</f>
        <v/>
      </c>
      <c r="C2740" s="301"/>
      <c r="D2740" s="301"/>
      <c r="E2740" s="301"/>
      <c r="F2740" s="1162"/>
      <c r="G2740" s="968"/>
      <c r="H2740" s="303"/>
      <c r="I2740" s="385"/>
      <c r="J2740" s="969"/>
      <c r="K2740" s="385"/>
      <c r="L2740" s="392"/>
      <c r="M2740" s="970"/>
      <c r="N2740" s="304"/>
      <c r="O2740" s="304"/>
      <c r="P2740" s="79" t="str">
        <f>IF(AND('331-CT'!$E$7=TH!H2740,OR(N2740="331",O2740="331")),"x","")</f>
        <v/>
      </c>
      <c r="Q2740" s="79" t="str">
        <f>IF(AND(B2740='111'!$L$11,OR($N2740=$Q$7,$O2740=$Q$7)),"x","")</f>
        <v/>
      </c>
      <c r="R2740" s="79" t="str">
        <f>IF(AND($N2740=$Q$7,$B2740&lt;'111'!$L$11),"x","")</f>
        <v/>
      </c>
      <c r="S2740" s="79" t="str">
        <f>IF(AND($O2740=$Q$7,$B2740&lt;'111'!$L$11),"x","")</f>
        <v/>
      </c>
      <c r="T2740" s="79" t="str">
        <f>IF(ISERROR(FIND('112'!$M$9,G2740,1)),"",IF((AND(FIND('112'!$M$9,G2740,1)&gt;=1,B2740='112'!$K$9,OR($N2740='112'!$I$6,$O2740='112'!$I$6))),"x",""))</f>
        <v/>
      </c>
      <c r="U2740" s="79" t="str">
        <f>IF(ISERROR(FIND('112'!$M$9,G2740,1)),"",IF((AND(LEFT(G2740,2)=LEFT('112'!$M$9,2),B2740&lt;'112'!$K$9,$N2740='112'!$I$6)),"x",""))</f>
        <v/>
      </c>
      <c r="V2740" s="79" t="str">
        <f>IF(ISERROR(FIND('112'!$M$9,G2740,1)),"",IF((AND(RIGHT(G2740,2)=RIGHT('112'!$M$9,2),B2740&lt;'112'!$K$9,$O2740='112'!$I$6)),"x",""))</f>
        <v/>
      </c>
      <c r="W2740" s="79" t="str">
        <f>IF(AND('341-CT'!$H$9=H2740,OR(LEFT(N2740,3)=$W$7,LEFT(O2740,3)=$W$7)),"x","")</f>
        <v/>
      </c>
      <c r="X2740" s="79" t="str">
        <f>IF(OR(TH!N2740=TH!$X$7,O2740=TH!$X$7),"x","")</f>
        <v/>
      </c>
      <c r="Y2740" s="79" t="str">
        <f>IF(AND(OR(N2740="131",O2740="131"),H2740='131-CT'!$H$9),"x","")</f>
        <v/>
      </c>
      <c r="Z2740" s="79"/>
      <c r="AA2740" s="79" t="str">
        <f>IF(AND(MONTH(E2740)='IN-NX'!$J$5,'IN-NX'!$D$7=D2740),"x","")</f>
        <v/>
      </c>
      <c r="AB2740" s="79" t="str">
        <f>IF(AND(OR(LEFT(TH!N2740,2)="15",LEFT(TH!O2740,2)="15"),LEFT(TH!O2740,3)&lt;&gt;"111",'152-CT'!$J$8=TH!F2740),"x","")</f>
        <v/>
      </c>
      <c r="AC2740" s="79" t="str">
        <f>IF(AND(OR(LEFT(TH!N2740,2)="15",LEFT(TH!O2740,2)="15"),TK!$E$7=TH!F2740),"x","")</f>
        <v/>
      </c>
      <c r="AD2740" s="79" t="str">
        <f>IF(AND(N2740="1521",MONTH(C2740)='BK-NL'!$M$11),"x","")</f>
        <v/>
      </c>
    </row>
    <row r="2741" spans="1:30" ht="18" customHeight="1">
      <c r="A2741" s="318" t="str">
        <f>IF(B2741&lt;&gt;"",IF(AND(B2741='IN-TC'!$S$4,OR(TH!N2741="1111",TH!O2741="1111")),TH!D2741,""),"")</f>
        <v/>
      </c>
      <c r="B2741" s="60" t="str">
        <f t="shared" ref="B2741:B2742" si="302">IF(C2741&lt;&gt;"",MONTH(C2741),"")</f>
        <v/>
      </c>
      <c r="C2741" s="301"/>
      <c r="D2741" s="301"/>
      <c r="E2741" s="301"/>
      <c r="F2741" s="1162"/>
      <c r="G2741" s="968"/>
      <c r="H2741" s="303"/>
      <c r="I2741" s="385"/>
      <c r="J2741" s="969"/>
      <c r="K2741" s="385"/>
      <c r="L2741" s="392"/>
      <c r="M2741" s="970"/>
      <c r="N2741" s="304"/>
      <c r="O2741" s="304"/>
      <c r="P2741" s="79" t="str">
        <f>IF(AND('331-CT'!$E$7=TH!H2741,OR(N2741="331",O2741="331")),"x","")</f>
        <v/>
      </c>
      <c r="Q2741" s="79" t="str">
        <f>IF(AND(B2741='111'!$L$11,OR($N2741=$Q$7,$O2741=$Q$7)),"x","")</f>
        <v/>
      </c>
      <c r="R2741" s="79" t="str">
        <f>IF(AND($N2741=$Q$7,$B2741&lt;'111'!$L$11),"x","")</f>
        <v/>
      </c>
      <c r="S2741" s="79" t="str">
        <f>IF(AND($O2741=$Q$7,$B2741&lt;'111'!$L$11),"x","")</f>
        <v/>
      </c>
      <c r="T2741" s="79" t="str">
        <f>IF(ISERROR(FIND('112'!$M$9,G2741,1)),"",IF((AND(FIND('112'!$M$9,G2741,1)&gt;=1,B2741='112'!$K$9,OR($N2741='112'!$I$6,$O2741='112'!$I$6))),"x",""))</f>
        <v/>
      </c>
      <c r="U2741" s="79" t="str">
        <f>IF(ISERROR(FIND('112'!$M$9,G2741,1)),"",IF((AND(LEFT(G2741,2)=LEFT('112'!$M$9,2),B2741&lt;'112'!$K$9,$N2741='112'!$I$6)),"x",""))</f>
        <v/>
      </c>
      <c r="V2741" s="79" t="str">
        <f>IF(ISERROR(FIND('112'!$M$9,G2741,1)),"",IF((AND(RIGHT(G2741,2)=RIGHT('112'!$M$9,2),B2741&lt;'112'!$K$9,$O2741='112'!$I$6)),"x",""))</f>
        <v/>
      </c>
      <c r="W2741" s="79" t="str">
        <f>IF(AND('341-CT'!$H$9=H2741,OR(LEFT(N2741,3)=$W$7,LEFT(O2741,3)=$W$7)),"x","")</f>
        <v/>
      </c>
      <c r="X2741" s="79" t="str">
        <f>IF(OR(TH!N2741=TH!$X$7,O2741=TH!$X$7),"x","")</f>
        <v/>
      </c>
      <c r="Y2741" s="79" t="str">
        <f>IF(AND(OR(N2741="131",O2741="131"),H2741='131-CT'!$H$9),"x","")</f>
        <v/>
      </c>
      <c r="Z2741" s="79"/>
      <c r="AA2741" s="79" t="str">
        <f>IF(AND(MONTH(E2741)='IN-NX'!$J$5,'IN-NX'!$D$7=D2741),"x","")</f>
        <v/>
      </c>
      <c r="AB2741" s="79" t="str">
        <f>IF(AND(OR(LEFT(TH!N2741,2)="15",LEFT(TH!O2741,2)="15"),LEFT(TH!O2741,3)&lt;&gt;"111",'152-CT'!$J$8=TH!F2741),"x","")</f>
        <v/>
      </c>
      <c r="AC2741" s="79" t="str">
        <f>IF(AND(OR(LEFT(TH!N2741,2)="15",LEFT(TH!O2741,2)="15"),TK!$E$7=TH!F2741),"x","")</f>
        <v/>
      </c>
      <c r="AD2741" s="79" t="str">
        <f>IF(AND(N2741="1521",MONTH(C2741)='BK-NL'!$M$11),"x","")</f>
        <v/>
      </c>
    </row>
    <row r="2742" spans="1:30" ht="18" customHeight="1">
      <c r="A2742" s="318" t="str">
        <f>IF(B2742&lt;&gt;"",IF(AND(B2742='IN-TC'!$S$4,OR(TH!N2742="1111",TH!O2742="1111")),TH!D2742,""),"")</f>
        <v/>
      </c>
      <c r="B2742" s="60" t="str">
        <f t="shared" si="302"/>
        <v/>
      </c>
      <c r="C2742" s="301"/>
      <c r="D2742" s="301"/>
      <c r="E2742" s="301"/>
      <c r="F2742" s="1162"/>
      <c r="G2742" s="968"/>
      <c r="H2742" s="303"/>
      <c r="I2742" s="385"/>
      <c r="J2742" s="969"/>
      <c r="K2742" s="385"/>
      <c r="L2742" s="392"/>
      <c r="M2742" s="970"/>
      <c r="N2742" s="304"/>
      <c r="O2742" s="304"/>
      <c r="P2742" s="79" t="str">
        <f>IF(AND('331-CT'!$E$7=TH!H2742,OR(N2742="331",O2742="331")),"x","")</f>
        <v/>
      </c>
      <c r="Q2742" s="79" t="str">
        <f>IF(AND(B2742='111'!$L$11,OR($N2742=$Q$7,$O2742=$Q$7)),"x","")</f>
        <v/>
      </c>
      <c r="R2742" s="79" t="str">
        <f>IF(AND($N2742=$Q$7,$B2742&lt;'111'!$L$11),"x","")</f>
        <v/>
      </c>
      <c r="S2742" s="79" t="str">
        <f>IF(AND($O2742=$Q$7,$B2742&lt;'111'!$L$11),"x","")</f>
        <v/>
      </c>
      <c r="T2742" s="79" t="str">
        <f>IF(ISERROR(FIND('112'!$M$9,G2742,1)),"",IF((AND(FIND('112'!$M$9,G2742,1)&gt;=1,B2742='112'!$K$9,OR($N2742='112'!$I$6,$O2742='112'!$I$6))),"x",""))</f>
        <v/>
      </c>
      <c r="U2742" s="79" t="str">
        <f>IF(ISERROR(FIND('112'!$M$9,G2742,1)),"",IF((AND(LEFT(G2742,2)=LEFT('112'!$M$9,2),B2742&lt;'112'!$K$9,$N2742='112'!$I$6)),"x",""))</f>
        <v/>
      </c>
      <c r="V2742" s="79" t="str">
        <f>IF(ISERROR(FIND('112'!$M$9,G2742,1)),"",IF((AND(RIGHT(G2742,2)=RIGHT('112'!$M$9,2),B2742&lt;'112'!$K$9,$O2742='112'!$I$6)),"x",""))</f>
        <v/>
      </c>
      <c r="W2742" s="79" t="str">
        <f>IF(AND('341-CT'!$H$9=H2742,OR(LEFT(N2742,3)=$W$7,LEFT(O2742,3)=$W$7)),"x","")</f>
        <v/>
      </c>
      <c r="X2742" s="79" t="str">
        <f>IF(OR(TH!N2742=TH!$X$7,O2742=TH!$X$7),"x","")</f>
        <v/>
      </c>
      <c r="Y2742" s="79" t="str">
        <f>IF(AND(OR(N2742="131",O2742="131"),H2742='131-CT'!$H$9),"x","")</f>
        <v/>
      </c>
      <c r="Z2742" s="79"/>
      <c r="AA2742" s="79" t="str">
        <f>IF(AND(MONTH(E2742)='IN-NX'!$J$5,'IN-NX'!$D$7=D2742),"x","")</f>
        <v/>
      </c>
      <c r="AB2742" s="79" t="str">
        <f>IF(AND(OR(LEFT(TH!N2742,2)="15",LEFT(TH!O2742,2)="15"),LEFT(TH!O2742,3)&lt;&gt;"111",'152-CT'!$J$8=TH!F2742),"x","")</f>
        <v/>
      </c>
      <c r="AC2742" s="79" t="str">
        <f>IF(AND(OR(LEFT(TH!N2742,2)="15",LEFT(TH!O2742,2)="15"),TK!$E$7=TH!F2742),"x","")</f>
        <v/>
      </c>
      <c r="AD2742" s="79" t="str">
        <f>IF(AND(N2742="1521",MONTH(C2742)='BK-NL'!$M$11),"x","")</f>
        <v/>
      </c>
    </row>
    <row r="2743" spans="1:30" ht="18" customHeight="1">
      <c r="A2743" s="318" t="str">
        <f>IF(B2743&lt;&gt;"",IF(AND(B2743='IN-TC'!$S$4,OR(TH!N2743="1111",TH!O2743="1111")),TH!D2743,""),"")</f>
        <v/>
      </c>
      <c r="B2743" s="60" t="str">
        <f t="shared" ref="B2743:B2744" si="303">IF(C2743&lt;&gt;"",MONTH(C2743),"")</f>
        <v/>
      </c>
      <c r="C2743" s="301"/>
      <c r="D2743" s="301"/>
      <c r="E2743" s="301"/>
      <c r="F2743" s="1162"/>
      <c r="G2743" s="968"/>
      <c r="H2743" s="303"/>
      <c r="I2743" s="385"/>
      <c r="J2743" s="969"/>
      <c r="K2743" s="385"/>
      <c r="L2743" s="392"/>
      <c r="M2743" s="970"/>
      <c r="N2743" s="304"/>
      <c r="O2743" s="304"/>
      <c r="P2743" s="79" t="str">
        <f>IF(AND('331-CT'!$E$7=TH!H2743,OR(N2743="331",O2743="331")),"x","")</f>
        <v/>
      </c>
      <c r="Q2743" s="79" t="str">
        <f>IF(AND(B2743='111'!$L$11,OR($N2743=$Q$7,$O2743=$Q$7)),"x","")</f>
        <v/>
      </c>
      <c r="R2743" s="79" t="str">
        <f>IF(AND($N2743=$Q$7,$B2743&lt;'111'!$L$11),"x","")</f>
        <v/>
      </c>
      <c r="S2743" s="79" t="str">
        <f>IF(AND($O2743=$Q$7,$B2743&lt;'111'!$L$11),"x","")</f>
        <v/>
      </c>
      <c r="T2743" s="79" t="str">
        <f>IF(ISERROR(FIND('112'!$M$9,G2743,1)),"",IF((AND(FIND('112'!$M$9,G2743,1)&gt;=1,B2743='112'!$K$9,OR($N2743='112'!$I$6,$O2743='112'!$I$6))),"x",""))</f>
        <v/>
      </c>
      <c r="U2743" s="79" t="str">
        <f>IF(ISERROR(FIND('112'!$M$9,G2743,1)),"",IF((AND(LEFT(G2743,2)=LEFT('112'!$M$9,2),B2743&lt;'112'!$K$9,$N2743='112'!$I$6)),"x",""))</f>
        <v/>
      </c>
      <c r="V2743" s="79" t="str">
        <f>IF(ISERROR(FIND('112'!$M$9,G2743,1)),"",IF((AND(RIGHT(G2743,2)=RIGHT('112'!$M$9,2),B2743&lt;'112'!$K$9,$O2743='112'!$I$6)),"x",""))</f>
        <v/>
      </c>
      <c r="W2743" s="79" t="str">
        <f>IF(AND('341-CT'!$H$9=H2743,OR(LEFT(N2743,3)=$W$7,LEFT(O2743,3)=$W$7)),"x","")</f>
        <v/>
      </c>
      <c r="X2743" s="79" t="str">
        <f>IF(OR(TH!N2743=TH!$X$7,O2743=TH!$X$7),"x","")</f>
        <v/>
      </c>
      <c r="Y2743" s="79" t="str">
        <f>IF(AND(OR(N2743="131",O2743="131"),H2743='131-CT'!$H$9),"x","")</f>
        <v/>
      </c>
      <c r="Z2743" s="79"/>
      <c r="AA2743" s="79" t="str">
        <f>IF(AND(MONTH(E2743)='IN-NX'!$J$5,'IN-NX'!$D$7=D2743),"x","")</f>
        <v/>
      </c>
      <c r="AB2743" s="79" t="str">
        <f>IF(AND(OR(LEFT(TH!N2743,2)="15",LEFT(TH!O2743,2)="15"),LEFT(TH!O2743,3)&lt;&gt;"111",'152-CT'!$J$8=TH!F2743),"x","")</f>
        <v/>
      </c>
      <c r="AC2743" s="79" t="str">
        <f>IF(AND(OR(LEFT(TH!N2743,2)="15",LEFT(TH!O2743,2)="15"),TK!$E$7=TH!F2743),"x","")</f>
        <v/>
      </c>
      <c r="AD2743" s="79" t="str">
        <f>IF(AND(N2743="1521",MONTH(C2743)='BK-NL'!$M$11),"x","")</f>
        <v/>
      </c>
    </row>
    <row r="2744" spans="1:30" ht="18" customHeight="1">
      <c r="A2744" s="318" t="str">
        <f>IF(B2744&lt;&gt;"",IF(AND(B2744='IN-TC'!$S$4,OR(TH!N2744="1111",TH!O2744="1111")),TH!D2744,""),"")</f>
        <v/>
      </c>
      <c r="B2744" s="60" t="str">
        <f t="shared" si="303"/>
        <v/>
      </c>
      <c r="C2744" s="301"/>
      <c r="D2744" s="301"/>
      <c r="E2744" s="301"/>
      <c r="F2744" s="1162"/>
      <c r="G2744" s="968"/>
      <c r="H2744" s="303"/>
      <c r="I2744" s="385"/>
      <c r="J2744" s="969"/>
      <c r="K2744" s="385"/>
      <c r="L2744" s="392"/>
      <c r="M2744" s="970"/>
      <c r="N2744" s="304"/>
      <c r="O2744" s="304"/>
      <c r="P2744" s="79" t="str">
        <f>IF(AND('331-CT'!$E$7=TH!H2744,OR(N2744="331",O2744="331")),"x","")</f>
        <v/>
      </c>
      <c r="Q2744" s="79" t="str">
        <f>IF(AND(B2744='111'!$L$11,OR($N2744=$Q$7,$O2744=$Q$7)),"x","")</f>
        <v/>
      </c>
      <c r="R2744" s="79" t="str">
        <f>IF(AND($N2744=$Q$7,$B2744&lt;'111'!$L$11),"x","")</f>
        <v/>
      </c>
      <c r="S2744" s="79" t="str">
        <f>IF(AND($O2744=$Q$7,$B2744&lt;'111'!$L$11),"x","")</f>
        <v/>
      </c>
      <c r="T2744" s="79" t="str">
        <f>IF(ISERROR(FIND('112'!$M$9,G2744,1)),"",IF((AND(FIND('112'!$M$9,G2744,1)&gt;=1,B2744='112'!$K$9,OR($N2744='112'!$I$6,$O2744='112'!$I$6))),"x",""))</f>
        <v/>
      </c>
      <c r="U2744" s="79" t="str">
        <f>IF(ISERROR(FIND('112'!$M$9,G2744,1)),"",IF((AND(LEFT(G2744,2)=LEFT('112'!$M$9,2),B2744&lt;'112'!$K$9,$N2744='112'!$I$6)),"x",""))</f>
        <v/>
      </c>
      <c r="V2744" s="79" t="str">
        <f>IF(ISERROR(FIND('112'!$M$9,G2744,1)),"",IF((AND(RIGHT(G2744,2)=RIGHT('112'!$M$9,2),B2744&lt;'112'!$K$9,$O2744='112'!$I$6)),"x",""))</f>
        <v/>
      </c>
      <c r="W2744" s="79" t="str">
        <f>IF(AND('341-CT'!$H$9=H2744,OR(LEFT(N2744,3)=$W$7,LEFT(O2744,3)=$W$7)),"x","")</f>
        <v/>
      </c>
      <c r="X2744" s="79" t="str">
        <f>IF(OR(TH!N2744=TH!$X$7,O2744=TH!$X$7),"x","")</f>
        <v/>
      </c>
      <c r="Y2744" s="79" t="str">
        <f>IF(AND(OR(N2744="131",O2744="131"),H2744='131-CT'!$H$9),"x","")</f>
        <v/>
      </c>
      <c r="Z2744" s="79"/>
      <c r="AA2744" s="79" t="str">
        <f>IF(AND(MONTH(E2744)='IN-NX'!$J$5,'IN-NX'!$D$7=D2744),"x","")</f>
        <v/>
      </c>
      <c r="AB2744" s="79" t="str">
        <f>IF(AND(OR(LEFT(TH!N2744,2)="15",LEFT(TH!O2744,2)="15"),LEFT(TH!O2744,3)&lt;&gt;"111",'152-CT'!$J$8=TH!F2744),"x","")</f>
        <v/>
      </c>
      <c r="AC2744" s="79" t="str">
        <f>IF(AND(OR(LEFT(TH!N2744,2)="15",LEFT(TH!O2744,2)="15"),TK!$E$7=TH!F2744),"x","")</f>
        <v/>
      </c>
      <c r="AD2744" s="79" t="str">
        <f>IF(AND(N2744="1521",MONTH(C2744)='BK-NL'!$M$11),"x","")</f>
        <v/>
      </c>
    </row>
    <row r="2745" spans="1:30" ht="18" customHeight="1">
      <c r="A2745" s="318" t="str">
        <f>IF(B2745&lt;&gt;"",IF(AND(B2745='IN-TC'!$S$4,OR(TH!N2745="1111",TH!O2745="1111")),TH!D2745,""),"")</f>
        <v/>
      </c>
      <c r="B2745" s="60" t="str">
        <f t="shared" ref="B2745:B2748" si="304">IF(C2745&lt;&gt;"",MONTH(C2745),"")</f>
        <v/>
      </c>
      <c r="C2745" s="301"/>
      <c r="D2745" s="301"/>
      <c r="E2745" s="301"/>
      <c r="F2745" s="1162"/>
      <c r="G2745" s="968"/>
      <c r="H2745" s="303"/>
      <c r="I2745" s="385"/>
      <c r="J2745" s="969"/>
      <c r="K2745" s="385"/>
      <c r="L2745" s="392"/>
      <c r="M2745" s="970"/>
      <c r="N2745" s="304"/>
      <c r="O2745" s="304"/>
      <c r="P2745" s="79" t="str">
        <f>IF(AND('331-CT'!$E$7=TH!H2745,OR(N2745="331",O2745="331")),"x","")</f>
        <v/>
      </c>
      <c r="Q2745" s="79" t="str">
        <f>IF(AND(B2745='111'!$L$11,OR($N2745=$Q$7,$O2745=$Q$7)),"x","")</f>
        <v/>
      </c>
      <c r="R2745" s="79" t="str">
        <f>IF(AND($N2745=$Q$7,$B2745&lt;'111'!$L$11),"x","")</f>
        <v/>
      </c>
      <c r="S2745" s="79" t="str">
        <f>IF(AND($O2745=$Q$7,$B2745&lt;'111'!$L$11),"x","")</f>
        <v/>
      </c>
      <c r="T2745" s="79" t="str">
        <f>IF(ISERROR(FIND('112'!$M$9,G2745,1)),"",IF((AND(FIND('112'!$M$9,G2745,1)&gt;=1,B2745='112'!$K$9,OR($N2745='112'!$I$6,$O2745='112'!$I$6))),"x",""))</f>
        <v/>
      </c>
      <c r="U2745" s="79" t="str">
        <f>IF(ISERROR(FIND('112'!$M$9,G2745,1)),"",IF((AND(LEFT(G2745,2)=LEFT('112'!$M$9,2),B2745&lt;'112'!$K$9,$N2745='112'!$I$6)),"x",""))</f>
        <v/>
      </c>
      <c r="V2745" s="79" t="str">
        <f>IF(ISERROR(FIND('112'!$M$9,G2745,1)),"",IF((AND(RIGHT(G2745,2)=RIGHT('112'!$M$9,2),B2745&lt;'112'!$K$9,$O2745='112'!$I$6)),"x",""))</f>
        <v/>
      </c>
      <c r="W2745" s="79" t="str">
        <f>IF(AND('341-CT'!$H$9=H2745,OR(LEFT(N2745,3)=$W$7,LEFT(O2745,3)=$W$7)),"x","")</f>
        <v/>
      </c>
      <c r="X2745" s="79" t="str">
        <f>IF(OR(TH!N2745=TH!$X$7,O2745=TH!$X$7),"x","")</f>
        <v/>
      </c>
      <c r="Y2745" s="79" t="str">
        <f>IF(AND(OR(N2745="131",O2745="131"),H2745='131-CT'!$H$9),"x","")</f>
        <v/>
      </c>
      <c r="Z2745" s="79"/>
      <c r="AA2745" s="79" t="str">
        <f>IF(AND(MONTH(E2745)='IN-NX'!$J$5,'IN-NX'!$D$7=D2745),"x","")</f>
        <v/>
      </c>
      <c r="AB2745" s="79" t="str">
        <f>IF(AND(OR(LEFT(TH!N2745,2)="15",LEFT(TH!O2745,2)="15"),LEFT(TH!O2745,3)&lt;&gt;"111",'152-CT'!$J$8=TH!F2745),"x","")</f>
        <v/>
      </c>
      <c r="AC2745" s="79" t="str">
        <f>IF(AND(OR(LEFT(TH!N2745,2)="15",LEFT(TH!O2745,2)="15"),TK!$E$7=TH!F2745),"x","")</f>
        <v/>
      </c>
      <c r="AD2745" s="79" t="str">
        <f>IF(AND(N2745="1521",MONTH(C2745)='BK-NL'!$M$11),"x","")</f>
        <v/>
      </c>
    </row>
    <row r="2746" spans="1:30" ht="18" customHeight="1">
      <c r="A2746" s="318" t="str">
        <f>IF(B2746&lt;&gt;"",IF(AND(B2746='IN-TC'!$S$4,OR(TH!N2746="1111",TH!O2746="1111")),TH!D2746,""),"")</f>
        <v/>
      </c>
      <c r="B2746" s="60" t="str">
        <f t="shared" si="304"/>
        <v/>
      </c>
      <c r="C2746" s="301"/>
      <c r="D2746" s="301"/>
      <c r="E2746" s="301"/>
      <c r="F2746" s="1162"/>
      <c r="G2746" s="968"/>
      <c r="H2746" s="303"/>
      <c r="I2746" s="385"/>
      <c r="J2746" s="969"/>
      <c r="K2746" s="385"/>
      <c r="L2746" s="392"/>
      <c r="M2746" s="970"/>
      <c r="N2746" s="304"/>
      <c r="O2746" s="304"/>
      <c r="P2746" s="79" t="str">
        <f>IF(AND('331-CT'!$E$7=TH!H2746,OR(N2746="331",O2746="331")),"x","")</f>
        <v/>
      </c>
      <c r="Q2746" s="79" t="str">
        <f>IF(AND(B2746='111'!$L$11,OR($N2746=$Q$7,$O2746=$Q$7)),"x","")</f>
        <v/>
      </c>
      <c r="R2746" s="79" t="str">
        <f>IF(AND($N2746=$Q$7,$B2746&lt;'111'!$L$11),"x","")</f>
        <v/>
      </c>
      <c r="S2746" s="79" t="str">
        <f>IF(AND($O2746=$Q$7,$B2746&lt;'111'!$L$11),"x","")</f>
        <v/>
      </c>
      <c r="T2746" s="79" t="str">
        <f>IF(ISERROR(FIND('112'!$M$9,G2746,1)),"",IF((AND(FIND('112'!$M$9,G2746,1)&gt;=1,B2746='112'!$K$9,OR($N2746='112'!$I$6,$O2746='112'!$I$6))),"x",""))</f>
        <v/>
      </c>
      <c r="U2746" s="79" t="str">
        <f>IF(ISERROR(FIND('112'!$M$9,G2746,1)),"",IF((AND(LEFT(G2746,2)=LEFT('112'!$M$9,2),B2746&lt;'112'!$K$9,$N2746='112'!$I$6)),"x",""))</f>
        <v/>
      </c>
      <c r="V2746" s="79" t="str">
        <f>IF(ISERROR(FIND('112'!$M$9,G2746,1)),"",IF((AND(RIGHT(G2746,2)=RIGHT('112'!$M$9,2),B2746&lt;'112'!$K$9,$O2746='112'!$I$6)),"x",""))</f>
        <v/>
      </c>
      <c r="W2746" s="79" t="str">
        <f>IF(AND('341-CT'!$H$9=H2746,OR(LEFT(N2746,3)=$W$7,LEFT(O2746,3)=$W$7)),"x","")</f>
        <v/>
      </c>
      <c r="X2746" s="79" t="str">
        <f>IF(OR(TH!N2746=TH!$X$7,O2746=TH!$X$7),"x","")</f>
        <v/>
      </c>
      <c r="Y2746" s="79" t="str">
        <f>IF(AND(OR(N2746="131",O2746="131"),H2746='131-CT'!$H$9),"x","")</f>
        <v/>
      </c>
      <c r="Z2746" s="79"/>
      <c r="AA2746" s="79" t="str">
        <f>IF(AND(MONTH(E2746)='IN-NX'!$J$5,'IN-NX'!$D$7=D2746),"x","")</f>
        <v/>
      </c>
      <c r="AB2746" s="79" t="str">
        <f>IF(AND(OR(LEFT(TH!N2746,2)="15",LEFT(TH!O2746,2)="15"),LEFT(TH!O2746,3)&lt;&gt;"111",'152-CT'!$J$8=TH!F2746),"x","")</f>
        <v/>
      </c>
      <c r="AC2746" s="79" t="str">
        <f>IF(AND(OR(LEFT(TH!N2746,2)="15",LEFT(TH!O2746,2)="15"),TK!$E$7=TH!F2746),"x","")</f>
        <v/>
      </c>
      <c r="AD2746" s="79" t="str">
        <f>IF(AND(N2746="1521",MONTH(C2746)='BK-NL'!$M$11),"x","")</f>
        <v/>
      </c>
    </row>
    <row r="2747" spans="1:30" ht="16.5" customHeight="1">
      <c r="A2747" s="318" t="str">
        <f>IF(B2747&lt;&gt;"",IF(AND(B2747='IN-TC'!$S$4,OR(TH!N2747="1111",TH!O2747="1111")),TH!D2747,""),"")</f>
        <v/>
      </c>
      <c r="B2747" s="60" t="str">
        <f t="shared" si="304"/>
        <v/>
      </c>
      <c r="C2747" s="301"/>
      <c r="D2747" s="301"/>
      <c r="E2747" s="301"/>
      <c r="F2747" s="1162"/>
      <c r="G2747" s="968"/>
      <c r="H2747" s="303"/>
      <c r="I2747" s="385"/>
      <c r="J2747" s="969"/>
      <c r="K2747" s="385"/>
      <c r="L2747" s="392"/>
      <c r="M2747" s="970"/>
      <c r="N2747" s="304"/>
      <c r="O2747" s="304"/>
      <c r="P2747" s="79" t="str">
        <f>IF(AND('331-CT'!$E$7=TH!H2747,OR(N2747="331",O2747="331")),"x","")</f>
        <v/>
      </c>
      <c r="Q2747" s="79" t="str">
        <f>IF(AND(B2747='111'!$L$11,OR($N2747=$Q$7,$O2747=$Q$7)),"x","")</f>
        <v/>
      </c>
      <c r="R2747" s="79" t="str">
        <f>IF(AND($N2747=$Q$7,$B2747&lt;'111'!$L$11),"x","")</f>
        <v/>
      </c>
      <c r="S2747" s="79" t="str">
        <f>IF(AND($O2747=$Q$7,$B2747&lt;'111'!$L$11),"x","")</f>
        <v/>
      </c>
      <c r="T2747" s="79" t="str">
        <f>IF(ISERROR(FIND('112'!$M$9,G2747,1)),"",IF((AND(FIND('112'!$M$9,G2747,1)&gt;=1,B2747='112'!$K$9,OR($N2747='112'!$I$6,$O2747='112'!$I$6))),"x",""))</f>
        <v/>
      </c>
      <c r="U2747" s="79" t="str">
        <f>IF(ISERROR(FIND('112'!$M$9,G2747,1)),"",IF((AND(LEFT(G2747,2)=LEFT('112'!$M$9,2),B2747&lt;'112'!$K$9,$N2747='112'!$I$6)),"x",""))</f>
        <v/>
      </c>
      <c r="V2747" s="79" t="str">
        <f>IF(ISERROR(FIND('112'!$M$9,G2747,1)),"",IF((AND(RIGHT(G2747,2)=RIGHT('112'!$M$9,2),B2747&lt;'112'!$K$9,$O2747='112'!$I$6)),"x",""))</f>
        <v/>
      </c>
      <c r="W2747" s="79" t="str">
        <f>IF(AND('341-CT'!$H$9=H2747,OR(LEFT(N2747,3)=$W$7,LEFT(O2747,3)=$W$7)),"x","")</f>
        <v/>
      </c>
      <c r="X2747" s="79" t="str">
        <f>IF(OR(TH!N2747=TH!$X$7,O2747=TH!$X$7),"x","")</f>
        <v/>
      </c>
      <c r="Y2747" s="79" t="str">
        <f>IF(AND(OR(N2747="131",O2747="131"),H2747='131-CT'!$H$9),"x","")</f>
        <v/>
      </c>
      <c r="Z2747" s="79"/>
      <c r="AA2747" s="79" t="str">
        <f>IF(AND(MONTH(E2747)='IN-NX'!$J$5,'IN-NX'!$D$7=D2747),"x","")</f>
        <v/>
      </c>
      <c r="AB2747" s="79" t="str">
        <f>IF(AND(OR(LEFT(TH!N2747,2)="15",LEFT(TH!O2747,2)="15"),LEFT(TH!O2747,3)&lt;&gt;"111",'152-CT'!$J$8=TH!F2747),"x","")</f>
        <v/>
      </c>
      <c r="AC2747" s="79" t="str">
        <f>IF(AND(OR(LEFT(TH!N2747,2)="15",LEFT(TH!O2747,2)="15"),TK!$E$7=TH!F2747),"x","")</f>
        <v/>
      </c>
      <c r="AD2747" s="79" t="str">
        <f>IF(AND(N2747="1521",MONTH(C2747)='BK-NL'!$M$11),"x","")</f>
        <v/>
      </c>
    </row>
    <row r="2748" spans="1:30" ht="16.5" customHeight="1">
      <c r="A2748" s="318" t="str">
        <f>IF(B2748&lt;&gt;"",IF(AND(B2748='IN-TC'!$S$4,OR(TH!N2748="1111",TH!O2748="1111")),TH!D2748,""),"")</f>
        <v/>
      </c>
      <c r="B2748" s="60" t="str">
        <f t="shared" si="304"/>
        <v/>
      </c>
      <c r="C2748" s="301"/>
      <c r="D2748" s="301"/>
      <c r="E2748" s="301"/>
      <c r="F2748" s="1162"/>
      <c r="G2748" s="968"/>
      <c r="H2748" s="303"/>
      <c r="I2748" s="385"/>
      <c r="J2748" s="969"/>
      <c r="K2748" s="385"/>
      <c r="L2748" s="392"/>
      <c r="M2748" s="970"/>
      <c r="N2748" s="304"/>
      <c r="O2748" s="304"/>
      <c r="P2748" s="79" t="str">
        <f>IF(AND('331-CT'!$E$7=TH!H2748,OR(N2748="331",O2748="331")),"x","")</f>
        <v/>
      </c>
      <c r="Q2748" s="79" t="str">
        <f>IF(AND(B2748='111'!$L$11,OR($N2748=$Q$7,$O2748=$Q$7)),"x","")</f>
        <v/>
      </c>
      <c r="R2748" s="79" t="str">
        <f>IF(AND($N2748=$Q$7,$B2748&lt;'111'!$L$11),"x","")</f>
        <v/>
      </c>
      <c r="S2748" s="79" t="str">
        <f>IF(AND($O2748=$Q$7,$B2748&lt;'111'!$L$11),"x","")</f>
        <v/>
      </c>
      <c r="T2748" s="79" t="str">
        <f>IF(ISERROR(FIND('112'!$M$9,G2748,1)),"",IF((AND(FIND('112'!$M$9,G2748,1)&gt;=1,B2748='112'!$K$9,OR($N2748='112'!$I$6,$O2748='112'!$I$6))),"x",""))</f>
        <v/>
      </c>
      <c r="U2748" s="79" t="str">
        <f>IF(ISERROR(FIND('112'!$M$9,G2748,1)),"",IF((AND(LEFT(G2748,2)=LEFT('112'!$M$9,2),B2748&lt;'112'!$K$9,$N2748='112'!$I$6)),"x",""))</f>
        <v/>
      </c>
      <c r="V2748" s="79" t="str">
        <f>IF(ISERROR(FIND('112'!$M$9,G2748,1)),"",IF((AND(RIGHT(G2748,2)=RIGHT('112'!$M$9,2),B2748&lt;'112'!$K$9,$O2748='112'!$I$6)),"x",""))</f>
        <v/>
      </c>
      <c r="W2748" s="79" t="str">
        <f>IF(AND('341-CT'!$H$9=H2748,OR(LEFT(N2748,3)=$W$7,LEFT(O2748,3)=$W$7)),"x","")</f>
        <v/>
      </c>
      <c r="X2748" s="79" t="str">
        <f>IF(OR(TH!N2748=TH!$X$7,O2748=TH!$X$7),"x","")</f>
        <v/>
      </c>
      <c r="Y2748" s="79" t="str">
        <f>IF(AND(OR(N2748="131",O2748="131"),H2748='131-CT'!$H$9),"x","")</f>
        <v/>
      </c>
      <c r="Z2748" s="79"/>
      <c r="AA2748" s="79" t="str">
        <f>IF(AND(MONTH(E2748)='IN-NX'!$J$5,'IN-NX'!$D$7=D2748),"x","")</f>
        <v/>
      </c>
      <c r="AB2748" s="79" t="str">
        <f>IF(AND(OR(LEFT(TH!N2748,2)="15",LEFT(TH!O2748,2)="15"),LEFT(TH!O2748,3)&lt;&gt;"111",'152-CT'!$J$8=TH!F2748),"x","")</f>
        <v/>
      </c>
      <c r="AC2748" s="79" t="str">
        <f>IF(AND(OR(LEFT(TH!N2748,2)="15",LEFT(TH!O2748,2)="15"),TK!$E$7=TH!F2748),"x","")</f>
        <v/>
      </c>
      <c r="AD2748" s="79" t="str">
        <f>IF(AND(N2748="1521",MONTH(C2748)='BK-NL'!$M$11),"x","")</f>
        <v/>
      </c>
    </row>
    <row r="2749" spans="1:30" ht="18" customHeight="1">
      <c r="A2749" s="318" t="str">
        <f>IF(B2749&lt;&gt;"",IF(AND(B2749='IN-TC'!$S$4,OR(TH!N2749="1111",TH!O2749="1111")),TH!D2749,""),"")</f>
        <v/>
      </c>
      <c r="B2749" s="60" t="str">
        <f t="shared" ref="B2749:B2762" si="305">IF(C2749&lt;&gt;"",MONTH(C2749),"")</f>
        <v/>
      </c>
      <c r="C2749" s="301"/>
      <c r="D2749" s="301"/>
      <c r="E2749" s="301"/>
      <c r="F2749" s="1162"/>
      <c r="G2749" s="968"/>
      <c r="H2749" s="303"/>
      <c r="I2749" s="385"/>
      <c r="J2749" s="969"/>
      <c r="K2749" s="385"/>
      <c r="L2749" s="392"/>
      <c r="M2749" s="970"/>
      <c r="N2749" s="304"/>
      <c r="O2749" s="304"/>
      <c r="P2749" s="79" t="str">
        <f>IF(AND('331-CT'!$E$7=TH!H2749,OR(N2749="331",O2749="331")),"x","")</f>
        <v/>
      </c>
      <c r="Q2749" s="79" t="str">
        <f>IF(AND(B2749='111'!$L$11,OR($N2749=$Q$7,$O2749=$Q$7)),"x","")</f>
        <v/>
      </c>
      <c r="R2749" s="79" t="str">
        <f>IF(AND($N2749=$Q$7,$B2749&lt;'111'!$L$11),"x","")</f>
        <v/>
      </c>
      <c r="S2749" s="79" t="str">
        <f>IF(AND($O2749=$Q$7,$B2749&lt;'111'!$L$11),"x","")</f>
        <v/>
      </c>
      <c r="T2749" s="79" t="str">
        <f>IF(ISERROR(FIND('112'!$M$9,G2749,1)),"",IF((AND(FIND('112'!$M$9,G2749,1)&gt;=1,B2749='112'!$K$9,OR($N2749='112'!$I$6,$O2749='112'!$I$6))),"x",""))</f>
        <v/>
      </c>
      <c r="U2749" s="79" t="str">
        <f>IF(ISERROR(FIND('112'!$M$9,G2749,1)),"",IF((AND(LEFT(G2749,2)=LEFT('112'!$M$9,2),B2749&lt;'112'!$K$9,$N2749='112'!$I$6)),"x",""))</f>
        <v/>
      </c>
      <c r="V2749" s="79" t="str">
        <f>IF(ISERROR(FIND('112'!$M$9,G2749,1)),"",IF((AND(RIGHT(G2749,2)=RIGHT('112'!$M$9,2),B2749&lt;'112'!$K$9,$O2749='112'!$I$6)),"x",""))</f>
        <v/>
      </c>
      <c r="W2749" s="79" t="str">
        <f>IF(AND('341-CT'!$H$9=H2749,OR(LEFT(N2749,3)=$W$7,LEFT(O2749,3)=$W$7)),"x","")</f>
        <v/>
      </c>
      <c r="X2749" s="79" t="str">
        <f>IF(OR(TH!N2749=TH!$X$7,O2749=TH!$X$7),"x","")</f>
        <v/>
      </c>
      <c r="Y2749" s="79" t="str">
        <f>IF(AND(OR(N2749="131",O2749="131"),H2749='131-CT'!$H$9),"x","")</f>
        <v/>
      </c>
      <c r="Z2749" s="79"/>
      <c r="AA2749" s="79" t="str">
        <f>IF(AND(MONTH(E2749)='IN-NX'!$J$5,'IN-NX'!$D$7=D2749),"x","")</f>
        <v/>
      </c>
      <c r="AB2749" s="79" t="str">
        <f>IF(AND(OR(LEFT(TH!N2749,2)="15",LEFT(TH!O2749,2)="15"),LEFT(TH!O2749,3)&lt;&gt;"111",'152-CT'!$J$8=TH!F2749),"x","")</f>
        <v/>
      </c>
      <c r="AC2749" s="79" t="str">
        <f>IF(AND(OR(LEFT(TH!N2749,2)="15",LEFT(TH!O2749,2)="15"),TK!$E$7=TH!F2749),"x","")</f>
        <v/>
      </c>
      <c r="AD2749" s="79" t="str">
        <f>IF(AND(N2749="1521",MONTH(C2749)='BK-NL'!$M$11),"x","")</f>
        <v/>
      </c>
    </row>
    <row r="2750" spans="1:30" ht="18" customHeight="1">
      <c r="A2750" s="318" t="str">
        <f>IF(B2750&lt;&gt;"",IF(AND(B2750='IN-TC'!$S$4,OR(TH!N2750="1111",TH!O2750="1111")),TH!D2750,""),"")</f>
        <v/>
      </c>
      <c r="B2750" s="60" t="str">
        <f t="shared" si="305"/>
        <v/>
      </c>
      <c r="C2750" s="301"/>
      <c r="D2750" s="301"/>
      <c r="E2750" s="301"/>
      <c r="F2750" s="1162"/>
      <c r="G2750" s="968"/>
      <c r="H2750" s="303"/>
      <c r="I2750" s="385"/>
      <c r="J2750" s="969"/>
      <c r="K2750" s="385"/>
      <c r="L2750" s="392"/>
      <c r="M2750" s="970"/>
      <c r="N2750" s="304"/>
      <c r="O2750" s="304"/>
      <c r="P2750" s="79" t="str">
        <f>IF(AND('331-CT'!$E$7=TH!H2750,OR(N2750="331",O2750="331")),"x","")</f>
        <v/>
      </c>
      <c r="Q2750" s="79" t="str">
        <f>IF(AND(B2750='111'!$L$11,OR($N2750=$Q$7,$O2750=$Q$7)),"x","")</f>
        <v/>
      </c>
      <c r="R2750" s="79" t="str">
        <f>IF(AND($N2750=$Q$7,$B2750&lt;'111'!$L$11),"x","")</f>
        <v/>
      </c>
      <c r="S2750" s="79" t="str">
        <f>IF(AND($O2750=$Q$7,$B2750&lt;'111'!$L$11),"x","")</f>
        <v/>
      </c>
      <c r="T2750" s="79" t="str">
        <f>IF(ISERROR(FIND('112'!$M$9,G2750,1)),"",IF((AND(FIND('112'!$M$9,G2750,1)&gt;=1,B2750='112'!$K$9,OR($N2750='112'!$I$6,$O2750='112'!$I$6))),"x",""))</f>
        <v/>
      </c>
      <c r="U2750" s="79" t="str">
        <f>IF(ISERROR(FIND('112'!$M$9,G2750,1)),"",IF((AND(LEFT(G2750,2)=LEFT('112'!$M$9,2),B2750&lt;'112'!$K$9,$N2750='112'!$I$6)),"x",""))</f>
        <v/>
      </c>
      <c r="V2750" s="79" t="str">
        <f>IF(ISERROR(FIND('112'!$M$9,G2750,1)),"",IF((AND(RIGHT(G2750,2)=RIGHT('112'!$M$9,2),B2750&lt;'112'!$K$9,$O2750='112'!$I$6)),"x",""))</f>
        <v/>
      </c>
      <c r="W2750" s="79" t="str">
        <f>IF(AND('341-CT'!$H$9=H2750,OR(LEFT(N2750,3)=$W$7,LEFT(O2750,3)=$W$7)),"x","")</f>
        <v/>
      </c>
      <c r="X2750" s="79" t="str">
        <f>IF(OR(TH!N2750=TH!$X$7,O2750=TH!$X$7),"x","")</f>
        <v/>
      </c>
      <c r="Y2750" s="79" t="str">
        <f>IF(AND(OR(N2750="131",O2750="131"),H2750='131-CT'!$H$9),"x","")</f>
        <v/>
      </c>
      <c r="Z2750" s="79"/>
      <c r="AA2750" s="79" t="str">
        <f>IF(AND(MONTH(E2750)='IN-NX'!$J$5,'IN-NX'!$D$7=D2750),"x","")</f>
        <v/>
      </c>
      <c r="AB2750" s="79" t="str">
        <f>IF(AND(OR(LEFT(TH!N2750,2)="15",LEFT(TH!O2750,2)="15"),LEFT(TH!O2750,3)&lt;&gt;"111",'152-CT'!$J$8=TH!F2750),"x","")</f>
        <v/>
      </c>
      <c r="AC2750" s="79" t="str">
        <f>IF(AND(OR(LEFT(TH!N2750,2)="15",LEFT(TH!O2750,2)="15"),TK!$E$7=TH!F2750),"x","")</f>
        <v/>
      </c>
      <c r="AD2750" s="79" t="str">
        <f>IF(AND(N2750="1521",MONTH(C2750)='BK-NL'!$M$11),"x","")</f>
        <v/>
      </c>
    </row>
    <row r="2751" spans="1:30" ht="18" customHeight="1">
      <c r="A2751" s="318" t="str">
        <f>IF(B2751&lt;&gt;"",IF(AND(B2751='IN-TC'!$S$4,OR(TH!N2751="1111",TH!O2751="1111")),TH!D2751,""),"")</f>
        <v/>
      </c>
      <c r="B2751" s="60" t="str">
        <f t="shared" si="305"/>
        <v/>
      </c>
      <c r="C2751" s="301"/>
      <c r="D2751" s="301"/>
      <c r="E2751" s="301"/>
      <c r="F2751" s="1162"/>
      <c r="G2751" s="968"/>
      <c r="H2751" s="303"/>
      <c r="I2751" s="385"/>
      <c r="J2751" s="969"/>
      <c r="K2751" s="385"/>
      <c r="L2751" s="392"/>
      <c r="M2751" s="970"/>
      <c r="N2751" s="304"/>
      <c r="O2751" s="304"/>
      <c r="P2751" s="79" t="str">
        <f>IF(AND('331-CT'!$E$7=TH!H2751,OR(N2751="331",O2751="331")),"x","")</f>
        <v/>
      </c>
      <c r="Q2751" s="79" t="str">
        <f>IF(AND(B2751='111'!$L$11,OR($N2751=$Q$7,$O2751=$Q$7)),"x","")</f>
        <v/>
      </c>
      <c r="R2751" s="79" t="str">
        <f>IF(AND($N2751=$Q$7,$B2751&lt;'111'!$L$11),"x","")</f>
        <v/>
      </c>
      <c r="S2751" s="79" t="str">
        <f>IF(AND($O2751=$Q$7,$B2751&lt;'111'!$L$11),"x","")</f>
        <v/>
      </c>
      <c r="T2751" s="79" t="str">
        <f>IF(ISERROR(FIND('112'!$M$9,G2751,1)),"",IF((AND(FIND('112'!$M$9,G2751,1)&gt;=1,B2751='112'!$K$9,OR($N2751='112'!$I$6,$O2751='112'!$I$6))),"x",""))</f>
        <v/>
      </c>
      <c r="U2751" s="79" t="str">
        <f>IF(ISERROR(FIND('112'!$M$9,G2751,1)),"",IF((AND(LEFT(G2751,2)=LEFT('112'!$M$9,2),B2751&lt;'112'!$K$9,$N2751='112'!$I$6)),"x",""))</f>
        <v/>
      </c>
      <c r="V2751" s="79" t="str">
        <f>IF(ISERROR(FIND('112'!$M$9,G2751,1)),"",IF((AND(RIGHT(G2751,2)=RIGHT('112'!$M$9,2),B2751&lt;'112'!$K$9,$O2751='112'!$I$6)),"x",""))</f>
        <v/>
      </c>
      <c r="W2751" s="79" t="str">
        <f>IF(AND('341-CT'!$H$9=H2751,OR(LEFT(N2751,3)=$W$7,LEFT(O2751,3)=$W$7)),"x","")</f>
        <v/>
      </c>
      <c r="X2751" s="79" t="str">
        <f>IF(OR(TH!N2751=TH!$X$7,O2751=TH!$X$7),"x","")</f>
        <v/>
      </c>
      <c r="Y2751" s="79" t="str">
        <f>IF(AND(OR(N2751="131",O2751="131"),H2751='131-CT'!$H$9),"x","")</f>
        <v/>
      </c>
      <c r="Z2751" s="79"/>
      <c r="AA2751" s="79" t="str">
        <f>IF(AND(MONTH(E2751)='IN-NX'!$J$5,'IN-NX'!$D$7=D2751),"x","")</f>
        <v/>
      </c>
      <c r="AB2751" s="79" t="str">
        <f>IF(AND(OR(LEFT(TH!N2751,2)="15",LEFT(TH!O2751,2)="15"),LEFT(TH!O2751,3)&lt;&gt;"111",'152-CT'!$J$8=TH!F2751),"x","")</f>
        <v/>
      </c>
      <c r="AC2751" s="79" t="str">
        <f>IF(AND(OR(LEFT(TH!N2751,2)="15",LEFT(TH!O2751,2)="15"),TK!$E$7=TH!F2751),"x","")</f>
        <v/>
      </c>
      <c r="AD2751" s="79" t="str">
        <f>IF(AND(N2751="1521",MONTH(C2751)='BK-NL'!$M$11),"x","")</f>
        <v/>
      </c>
    </row>
    <row r="2752" spans="1:30" ht="18" customHeight="1">
      <c r="A2752" s="318" t="str">
        <f>IF(B2752&lt;&gt;"",IF(AND(B2752='IN-TC'!$S$4,OR(TH!N2752="1111",TH!O2752="1111")),TH!D2752,""),"")</f>
        <v/>
      </c>
      <c r="B2752" s="60" t="str">
        <f t="shared" si="305"/>
        <v/>
      </c>
      <c r="C2752" s="301"/>
      <c r="D2752" s="301"/>
      <c r="E2752" s="301"/>
      <c r="F2752" s="1162"/>
      <c r="G2752" s="968"/>
      <c r="H2752" s="303"/>
      <c r="I2752" s="385"/>
      <c r="J2752" s="969"/>
      <c r="K2752" s="385"/>
      <c r="L2752" s="392"/>
      <c r="M2752" s="970"/>
      <c r="N2752" s="304"/>
      <c r="O2752" s="304"/>
      <c r="P2752" s="79" t="str">
        <f>IF(AND('331-CT'!$E$7=TH!H2752,OR(N2752="331",O2752="331")),"x","")</f>
        <v/>
      </c>
      <c r="Q2752" s="79" t="str">
        <f>IF(AND(B2752='111'!$L$11,OR($N2752=$Q$7,$O2752=$Q$7)),"x","")</f>
        <v/>
      </c>
      <c r="R2752" s="79" t="str">
        <f>IF(AND($N2752=$Q$7,$B2752&lt;'111'!$L$11),"x","")</f>
        <v/>
      </c>
      <c r="S2752" s="79" t="str">
        <f>IF(AND($O2752=$Q$7,$B2752&lt;'111'!$L$11),"x","")</f>
        <v/>
      </c>
      <c r="T2752" s="79" t="str">
        <f>IF(ISERROR(FIND('112'!$M$9,G2752,1)),"",IF((AND(FIND('112'!$M$9,G2752,1)&gt;=1,B2752='112'!$K$9,OR($N2752='112'!$I$6,$O2752='112'!$I$6))),"x",""))</f>
        <v/>
      </c>
      <c r="U2752" s="79" t="str">
        <f>IF(ISERROR(FIND('112'!$M$9,G2752,1)),"",IF((AND(LEFT(G2752,2)=LEFT('112'!$M$9,2),B2752&lt;'112'!$K$9,$N2752='112'!$I$6)),"x",""))</f>
        <v/>
      </c>
      <c r="V2752" s="79" t="str">
        <f>IF(ISERROR(FIND('112'!$M$9,G2752,1)),"",IF((AND(RIGHT(G2752,2)=RIGHT('112'!$M$9,2),B2752&lt;'112'!$K$9,$O2752='112'!$I$6)),"x",""))</f>
        <v/>
      </c>
      <c r="W2752" s="79" t="str">
        <f>IF(AND('341-CT'!$H$9=H2752,OR(LEFT(N2752,3)=$W$7,LEFT(O2752,3)=$W$7)),"x","")</f>
        <v/>
      </c>
      <c r="X2752" s="79" t="str">
        <f>IF(OR(TH!N2752=TH!$X$7,O2752=TH!$X$7),"x","")</f>
        <v/>
      </c>
      <c r="Y2752" s="79" t="str">
        <f>IF(AND(OR(N2752="131",O2752="131"),H2752='131-CT'!$H$9),"x","")</f>
        <v/>
      </c>
      <c r="Z2752" s="79"/>
      <c r="AA2752" s="79" t="str">
        <f>IF(AND(MONTH(E2752)='IN-NX'!$J$5,'IN-NX'!$D$7=D2752),"x","")</f>
        <v/>
      </c>
      <c r="AB2752" s="79" t="str">
        <f>IF(AND(OR(LEFT(TH!N2752,2)="15",LEFT(TH!O2752,2)="15"),LEFT(TH!O2752,3)&lt;&gt;"111",'152-CT'!$J$8=TH!F2752),"x","")</f>
        <v/>
      </c>
      <c r="AC2752" s="79" t="str">
        <f>IF(AND(OR(LEFT(TH!N2752,2)="15",LEFT(TH!O2752,2)="15"),TK!$E$7=TH!F2752),"x","")</f>
        <v/>
      </c>
      <c r="AD2752" s="79" t="str">
        <f>IF(AND(N2752="1521",MONTH(C2752)='BK-NL'!$M$11),"x","")</f>
        <v/>
      </c>
    </row>
    <row r="2753" spans="1:30" ht="18" customHeight="1">
      <c r="A2753" s="318" t="str">
        <f>IF(B2753&lt;&gt;"",IF(AND(B2753='IN-TC'!$S$4,OR(TH!N2753="1111",TH!O2753="1111")),TH!D2753,""),"")</f>
        <v/>
      </c>
      <c r="B2753" s="60" t="str">
        <f t="shared" si="305"/>
        <v/>
      </c>
      <c r="C2753" s="301"/>
      <c r="D2753" s="301"/>
      <c r="E2753" s="301"/>
      <c r="F2753" s="1162"/>
      <c r="G2753" s="968"/>
      <c r="H2753" s="303"/>
      <c r="I2753" s="385"/>
      <c r="J2753" s="969"/>
      <c r="K2753" s="385"/>
      <c r="L2753" s="392"/>
      <c r="M2753" s="970"/>
      <c r="N2753" s="304"/>
      <c r="O2753" s="304"/>
      <c r="P2753" s="79" t="str">
        <f>IF(AND('331-CT'!$E$7=TH!H2753,OR(N2753="331",O2753="331")),"x","")</f>
        <v/>
      </c>
      <c r="Q2753" s="79" t="str">
        <f>IF(AND(B2753='111'!$L$11,OR($N2753=$Q$7,$O2753=$Q$7)),"x","")</f>
        <v/>
      </c>
      <c r="R2753" s="79" t="str">
        <f>IF(AND($N2753=$Q$7,$B2753&lt;'111'!$L$11),"x","")</f>
        <v/>
      </c>
      <c r="S2753" s="79" t="str">
        <f>IF(AND($O2753=$Q$7,$B2753&lt;'111'!$L$11),"x","")</f>
        <v/>
      </c>
      <c r="T2753" s="79" t="str">
        <f>IF(ISERROR(FIND('112'!$M$9,G2753,1)),"",IF((AND(FIND('112'!$M$9,G2753,1)&gt;=1,B2753='112'!$K$9,OR($N2753='112'!$I$6,$O2753='112'!$I$6))),"x",""))</f>
        <v/>
      </c>
      <c r="U2753" s="79" t="str">
        <f>IF(ISERROR(FIND('112'!$M$9,G2753,1)),"",IF((AND(LEFT(G2753,2)=LEFT('112'!$M$9,2),B2753&lt;'112'!$K$9,$N2753='112'!$I$6)),"x",""))</f>
        <v/>
      </c>
      <c r="V2753" s="79" t="str">
        <f>IF(ISERROR(FIND('112'!$M$9,G2753,1)),"",IF((AND(RIGHT(G2753,2)=RIGHT('112'!$M$9,2),B2753&lt;'112'!$K$9,$O2753='112'!$I$6)),"x",""))</f>
        <v/>
      </c>
      <c r="W2753" s="79" t="str">
        <f>IF(AND('341-CT'!$H$9=H2753,OR(LEFT(N2753,3)=$W$7,LEFT(O2753,3)=$W$7)),"x","")</f>
        <v/>
      </c>
      <c r="X2753" s="79" t="str">
        <f>IF(OR(TH!N2753=TH!$X$7,O2753=TH!$X$7),"x","")</f>
        <v/>
      </c>
      <c r="Y2753" s="79" t="str">
        <f>IF(AND(OR(N2753="131",O2753="131"),H2753='131-CT'!$H$9),"x","")</f>
        <v/>
      </c>
      <c r="Z2753" s="79"/>
      <c r="AA2753" s="79" t="str">
        <f>IF(AND(MONTH(E2753)='IN-NX'!$J$5,'IN-NX'!$D$7=D2753),"x","")</f>
        <v/>
      </c>
      <c r="AB2753" s="79" t="str">
        <f>IF(AND(OR(LEFT(TH!N2753,2)="15",LEFT(TH!O2753,2)="15"),LEFT(TH!O2753,3)&lt;&gt;"111",'152-CT'!$J$8=TH!F2753),"x","")</f>
        <v/>
      </c>
      <c r="AC2753" s="79" t="str">
        <f>IF(AND(OR(LEFT(TH!N2753,2)="15",LEFT(TH!O2753,2)="15"),TK!$E$7=TH!F2753),"x","")</f>
        <v/>
      </c>
      <c r="AD2753" s="79" t="str">
        <f>IF(AND(N2753="1521",MONTH(C2753)='BK-NL'!$M$11),"x","")</f>
        <v/>
      </c>
    </row>
    <row r="2754" spans="1:30" ht="16.5" customHeight="1">
      <c r="A2754" s="318" t="str">
        <f>IF(B2754&lt;&gt;"",IF(AND(B2754='IN-TC'!$S$4,OR(TH!N2754="1111",TH!O2754="1111")),TH!D2754,""),"")</f>
        <v/>
      </c>
      <c r="B2754" s="60" t="str">
        <f t="shared" si="305"/>
        <v/>
      </c>
      <c r="C2754" s="301"/>
      <c r="D2754" s="301"/>
      <c r="E2754" s="301"/>
      <c r="F2754" s="1162"/>
      <c r="G2754" s="968"/>
      <c r="H2754" s="303"/>
      <c r="I2754" s="385"/>
      <c r="J2754" s="969"/>
      <c r="K2754" s="385"/>
      <c r="L2754" s="392"/>
      <c r="M2754" s="970"/>
      <c r="N2754" s="304"/>
      <c r="O2754" s="304"/>
      <c r="P2754" s="79" t="str">
        <f>IF(AND('331-CT'!$E$7=TH!H2754,OR(N2754="331",O2754="331")),"x","")</f>
        <v/>
      </c>
      <c r="Q2754" s="79" t="str">
        <f>IF(AND(B2754='111'!$L$11,OR($N2754=$Q$7,$O2754=$Q$7)),"x","")</f>
        <v/>
      </c>
      <c r="R2754" s="79" t="str">
        <f>IF(AND($N2754=$Q$7,$B2754&lt;'111'!$L$11),"x","")</f>
        <v/>
      </c>
      <c r="S2754" s="79" t="str">
        <f>IF(AND($O2754=$Q$7,$B2754&lt;'111'!$L$11),"x","")</f>
        <v/>
      </c>
      <c r="T2754" s="79" t="str">
        <f>IF(ISERROR(FIND('112'!$M$9,G2754,1)),"",IF((AND(FIND('112'!$M$9,G2754,1)&gt;=1,B2754='112'!$K$9,OR($N2754='112'!$I$6,$O2754='112'!$I$6))),"x",""))</f>
        <v/>
      </c>
      <c r="U2754" s="79" t="str">
        <f>IF(ISERROR(FIND('112'!$M$9,G2754,1)),"",IF((AND(LEFT(G2754,2)=LEFT('112'!$M$9,2),B2754&lt;'112'!$K$9,$N2754='112'!$I$6)),"x",""))</f>
        <v/>
      </c>
      <c r="V2754" s="79" t="str">
        <f>IF(ISERROR(FIND('112'!$M$9,G2754,1)),"",IF((AND(RIGHT(G2754,2)=RIGHT('112'!$M$9,2),B2754&lt;'112'!$K$9,$O2754='112'!$I$6)),"x",""))</f>
        <v/>
      </c>
      <c r="W2754" s="79" t="str">
        <f>IF(AND('341-CT'!$H$9=H2754,OR(LEFT(N2754,3)=$W$7,LEFT(O2754,3)=$W$7)),"x","")</f>
        <v/>
      </c>
      <c r="X2754" s="79" t="str">
        <f>IF(OR(TH!N2754=TH!$X$7,O2754=TH!$X$7),"x","")</f>
        <v/>
      </c>
      <c r="Y2754" s="79" t="str">
        <f>IF(AND(OR(N2754="131",O2754="131"),H2754='131-CT'!$H$9),"x","")</f>
        <v/>
      </c>
      <c r="Z2754" s="79"/>
      <c r="AA2754" s="79" t="str">
        <f>IF(AND(MONTH(E2754)='IN-NX'!$J$5,'IN-NX'!$D$7=D2754),"x","")</f>
        <v/>
      </c>
      <c r="AB2754" s="79" t="str">
        <f>IF(AND(OR(LEFT(TH!N2754,2)="15",LEFT(TH!O2754,2)="15"),LEFT(TH!O2754,3)&lt;&gt;"111",'152-CT'!$J$8=TH!F2754),"x","")</f>
        <v/>
      </c>
      <c r="AC2754" s="79" t="str">
        <f>IF(AND(OR(LEFT(TH!N2754,2)="15",LEFT(TH!O2754,2)="15"),TK!$E$7=TH!F2754),"x","")</f>
        <v/>
      </c>
      <c r="AD2754" s="79" t="str">
        <f>IF(AND(N2754="1521",MONTH(C2754)='BK-NL'!$M$11),"x","")</f>
        <v/>
      </c>
    </row>
    <row r="2755" spans="1:30" ht="16.5" customHeight="1">
      <c r="A2755" s="318" t="str">
        <f>IF(B2755&lt;&gt;"",IF(AND(B2755='IN-TC'!$S$4,OR(TH!N2755="1111",TH!O2755="1111")),TH!D2755,""),"")</f>
        <v/>
      </c>
      <c r="B2755" s="60" t="str">
        <f t="shared" si="305"/>
        <v/>
      </c>
      <c r="C2755" s="301"/>
      <c r="D2755" s="301"/>
      <c r="E2755" s="301"/>
      <c r="F2755" s="1162"/>
      <c r="G2755" s="968"/>
      <c r="H2755" s="303"/>
      <c r="I2755" s="385"/>
      <c r="J2755" s="969"/>
      <c r="K2755" s="385"/>
      <c r="L2755" s="392"/>
      <c r="M2755" s="970"/>
      <c r="N2755" s="304"/>
      <c r="O2755" s="304"/>
      <c r="P2755" s="79" t="str">
        <f>IF(AND('331-CT'!$E$7=TH!H2755,OR(N2755="331",O2755="331")),"x","")</f>
        <v/>
      </c>
      <c r="Q2755" s="79" t="str">
        <f>IF(AND(B2755='111'!$L$11,OR($N2755=$Q$7,$O2755=$Q$7)),"x","")</f>
        <v/>
      </c>
      <c r="R2755" s="79" t="str">
        <f>IF(AND($N2755=$Q$7,$B2755&lt;'111'!$L$11),"x","")</f>
        <v/>
      </c>
      <c r="S2755" s="79" t="str">
        <f>IF(AND($O2755=$Q$7,$B2755&lt;'111'!$L$11),"x","")</f>
        <v/>
      </c>
      <c r="T2755" s="79" t="str">
        <f>IF(ISERROR(FIND('112'!$M$9,G2755,1)),"",IF((AND(FIND('112'!$M$9,G2755,1)&gt;=1,B2755='112'!$K$9,OR($N2755='112'!$I$6,$O2755='112'!$I$6))),"x",""))</f>
        <v/>
      </c>
      <c r="U2755" s="79" t="str">
        <f>IF(ISERROR(FIND('112'!$M$9,G2755,1)),"",IF((AND(LEFT(G2755,2)=LEFT('112'!$M$9,2),B2755&lt;'112'!$K$9,$N2755='112'!$I$6)),"x",""))</f>
        <v/>
      </c>
      <c r="V2755" s="79" t="str">
        <f>IF(ISERROR(FIND('112'!$M$9,G2755,1)),"",IF((AND(RIGHT(G2755,2)=RIGHT('112'!$M$9,2),B2755&lt;'112'!$K$9,$O2755='112'!$I$6)),"x",""))</f>
        <v/>
      </c>
      <c r="W2755" s="79" t="str">
        <f>IF(AND('341-CT'!$H$9=H2755,OR(LEFT(N2755,3)=$W$7,LEFT(O2755,3)=$W$7)),"x","")</f>
        <v/>
      </c>
      <c r="X2755" s="79" t="str">
        <f>IF(OR(TH!N2755=TH!$X$7,O2755=TH!$X$7),"x","")</f>
        <v/>
      </c>
      <c r="Y2755" s="79" t="str">
        <f>IF(AND(OR(N2755="131",O2755="131"),H2755='131-CT'!$H$9),"x","")</f>
        <v/>
      </c>
      <c r="Z2755" s="79"/>
      <c r="AA2755" s="79" t="str">
        <f>IF(AND(MONTH(E2755)='IN-NX'!$J$5,'IN-NX'!$D$7=D2755),"x","")</f>
        <v/>
      </c>
      <c r="AB2755" s="79" t="str">
        <f>IF(AND(OR(LEFT(TH!N2755,2)="15",LEFT(TH!O2755,2)="15"),LEFT(TH!O2755,3)&lt;&gt;"111",'152-CT'!$J$8=TH!F2755),"x","")</f>
        <v/>
      </c>
      <c r="AC2755" s="79" t="str">
        <f>IF(AND(OR(LEFT(TH!N2755,2)="15",LEFT(TH!O2755,2)="15"),TK!$E$7=TH!F2755),"x","")</f>
        <v/>
      </c>
      <c r="AD2755" s="79" t="str">
        <f>IF(AND(N2755="1521",MONTH(C2755)='BK-NL'!$M$11),"x","")</f>
        <v/>
      </c>
    </row>
    <row r="2756" spans="1:30" ht="16.5" customHeight="1">
      <c r="A2756" s="318" t="str">
        <f>IF(B2756&lt;&gt;"",IF(AND(B2756='IN-TC'!$S$4,OR(TH!N2756="1111",TH!O2756="1111")),TH!D2756,""),"")</f>
        <v/>
      </c>
      <c r="B2756" s="60" t="str">
        <f t="shared" si="305"/>
        <v/>
      </c>
      <c r="C2756" s="301"/>
      <c r="D2756" s="301"/>
      <c r="E2756" s="301"/>
      <c r="F2756" s="1162"/>
      <c r="G2756" s="968"/>
      <c r="H2756" s="303"/>
      <c r="I2756" s="385"/>
      <c r="J2756" s="969"/>
      <c r="K2756" s="385"/>
      <c r="L2756" s="392"/>
      <c r="M2756" s="970"/>
      <c r="N2756" s="304"/>
      <c r="O2756" s="304"/>
      <c r="P2756" s="79" t="str">
        <f>IF(AND('331-CT'!$E$7=TH!H2756,OR(N2756="331",O2756="331")),"x","")</f>
        <v/>
      </c>
      <c r="Q2756" s="79" t="str">
        <f>IF(AND(B2756='111'!$L$11,OR($N2756=$Q$7,$O2756=$Q$7)),"x","")</f>
        <v/>
      </c>
      <c r="R2756" s="79" t="str">
        <f>IF(AND($N2756=$Q$7,$B2756&lt;'111'!$L$11),"x","")</f>
        <v/>
      </c>
      <c r="S2756" s="79" t="str">
        <f>IF(AND($O2756=$Q$7,$B2756&lt;'111'!$L$11),"x","")</f>
        <v/>
      </c>
      <c r="T2756" s="79" t="str">
        <f>IF(ISERROR(FIND('112'!$M$9,G2756,1)),"",IF((AND(FIND('112'!$M$9,G2756,1)&gt;=1,B2756='112'!$K$9,OR($N2756='112'!$I$6,$O2756='112'!$I$6))),"x",""))</f>
        <v/>
      </c>
      <c r="U2756" s="79" t="str">
        <f>IF(ISERROR(FIND('112'!$M$9,G2756,1)),"",IF((AND(LEFT(G2756,2)=LEFT('112'!$M$9,2),B2756&lt;'112'!$K$9,$N2756='112'!$I$6)),"x",""))</f>
        <v/>
      </c>
      <c r="V2756" s="79" t="str">
        <f>IF(ISERROR(FIND('112'!$M$9,G2756,1)),"",IF((AND(RIGHT(G2756,2)=RIGHT('112'!$M$9,2),B2756&lt;'112'!$K$9,$O2756='112'!$I$6)),"x",""))</f>
        <v/>
      </c>
      <c r="W2756" s="79" t="str">
        <f>IF(AND('341-CT'!$H$9=H2756,OR(LEFT(N2756,3)=$W$7,LEFT(O2756,3)=$W$7)),"x","")</f>
        <v/>
      </c>
      <c r="X2756" s="79" t="str">
        <f>IF(OR(TH!N2756=TH!$X$7,O2756=TH!$X$7),"x","")</f>
        <v/>
      </c>
      <c r="Y2756" s="79" t="str">
        <f>IF(AND(OR(N2756="131",O2756="131"),H2756='131-CT'!$H$9),"x","")</f>
        <v/>
      </c>
      <c r="Z2756" s="79"/>
      <c r="AA2756" s="79" t="str">
        <f>IF(AND(MONTH(E2756)='IN-NX'!$J$5,'IN-NX'!$D$7=D2756),"x","")</f>
        <v/>
      </c>
      <c r="AB2756" s="79" t="str">
        <f>IF(AND(OR(LEFT(TH!N2756,2)="15",LEFT(TH!O2756,2)="15"),LEFT(TH!O2756,3)&lt;&gt;"111",'152-CT'!$J$8=TH!F2756),"x","")</f>
        <v/>
      </c>
      <c r="AC2756" s="79" t="str">
        <f>IF(AND(OR(LEFT(TH!N2756,2)="15",LEFT(TH!O2756,2)="15"),TK!$E$7=TH!F2756),"x","")</f>
        <v/>
      </c>
      <c r="AD2756" s="79" t="str">
        <f>IF(AND(N2756="1521",MONTH(C2756)='BK-NL'!$M$11),"x","")</f>
        <v/>
      </c>
    </row>
    <row r="2757" spans="1:30" ht="16.5" customHeight="1">
      <c r="A2757" s="318" t="str">
        <f>IF(B2757&lt;&gt;"",IF(AND(B2757='IN-TC'!$S$4,OR(TH!N2757="1111",TH!O2757="1111")),TH!D2757,""),"")</f>
        <v/>
      </c>
      <c r="B2757" s="60" t="str">
        <f t="shared" si="305"/>
        <v/>
      </c>
      <c r="C2757" s="301"/>
      <c r="D2757" s="301"/>
      <c r="E2757" s="301"/>
      <c r="F2757" s="1162"/>
      <c r="G2757" s="968"/>
      <c r="H2757" s="303"/>
      <c r="I2757" s="385"/>
      <c r="J2757" s="969"/>
      <c r="K2757" s="385"/>
      <c r="L2757" s="392"/>
      <c r="M2757" s="970"/>
      <c r="N2757" s="304"/>
      <c r="O2757" s="304"/>
      <c r="P2757" s="79" t="str">
        <f>IF(AND('331-CT'!$E$7=TH!H2757,OR(N2757="331",O2757="331")),"x","")</f>
        <v/>
      </c>
      <c r="Q2757" s="79" t="str">
        <f>IF(AND(B2757='111'!$L$11,OR($N2757=$Q$7,$O2757=$Q$7)),"x","")</f>
        <v/>
      </c>
      <c r="R2757" s="79" t="str">
        <f>IF(AND($N2757=$Q$7,$B2757&lt;'111'!$L$11),"x","")</f>
        <v/>
      </c>
      <c r="S2757" s="79" t="str">
        <f>IF(AND($O2757=$Q$7,$B2757&lt;'111'!$L$11),"x","")</f>
        <v/>
      </c>
      <c r="T2757" s="79" t="str">
        <f>IF(ISERROR(FIND('112'!$M$9,G2757,1)),"",IF((AND(FIND('112'!$M$9,G2757,1)&gt;=1,B2757='112'!$K$9,OR($N2757='112'!$I$6,$O2757='112'!$I$6))),"x",""))</f>
        <v/>
      </c>
      <c r="U2757" s="79" t="str">
        <f>IF(ISERROR(FIND('112'!$M$9,G2757,1)),"",IF((AND(LEFT(G2757,2)=LEFT('112'!$M$9,2),B2757&lt;'112'!$K$9,$N2757='112'!$I$6)),"x",""))</f>
        <v/>
      </c>
      <c r="V2757" s="79" t="str">
        <f>IF(ISERROR(FIND('112'!$M$9,G2757,1)),"",IF((AND(RIGHT(G2757,2)=RIGHT('112'!$M$9,2),B2757&lt;'112'!$K$9,$O2757='112'!$I$6)),"x",""))</f>
        <v/>
      </c>
      <c r="W2757" s="79" t="str">
        <f>IF(AND('341-CT'!$H$9=H2757,OR(LEFT(N2757,3)=$W$7,LEFT(O2757,3)=$W$7)),"x","")</f>
        <v/>
      </c>
      <c r="X2757" s="79" t="str">
        <f>IF(OR(TH!N2757=TH!$X$7,O2757=TH!$X$7),"x","")</f>
        <v/>
      </c>
      <c r="Y2757" s="79" t="str">
        <f>IF(AND(OR(N2757="131",O2757="131"),H2757='131-CT'!$H$9),"x","")</f>
        <v/>
      </c>
      <c r="Z2757" s="79"/>
      <c r="AA2757" s="79" t="str">
        <f>IF(AND(MONTH(E2757)='IN-NX'!$J$5,'IN-NX'!$D$7=D2757),"x","")</f>
        <v/>
      </c>
      <c r="AB2757" s="79" t="str">
        <f>IF(AND(OR(LEFT(TH!N2757,2)="15",LEFT(TH!O2757,2)="15"),LEFT(TH!O2757,3)&lt;&gt;"111",'152-CT'!$J$8=TH!F2757),"x","")</f>
        <v/>
      </c>
      <c r="AC2757" s="79" t="str">
        <f>IF(AND(OR(LEFT(TH!N2757,2)="15",LEFT(TH!O2757,2)="15"),TK!$E$7=TH!F2757),"x","")</f>
        <v/>
      </c>
      <c r="AD2757" s="79" t="str">
        <f>IF(AND(N2757="1521",MONTH(C2757)='BK-NL'!$M$11),"x","")</f>
        <v/>
      </c>
    </row>
    <row r="2758" spans="1:30" ht="16.5" customHeight="1">
      <c r="A2758" s="318" t="str">
        <f>IF(B2758&lt;&gt;"",IF(AND(B2758='IN-TC'!$S$4,OR(TH!N2758="1111",TH!O2758="1111")),TH!D2758,""),"")</f>
        <v/>
      </c>
      <c r="B2758" s="60" t="str">
        <f t="shared" ref="B2758:B2759" si="306">IF(C2758&lt;&gt;"",MONTH(C2758),"")</f>
        <v/>
      </c>
      <c r="C2758" s="301"/>
      <c r="D2758" s="301"/>
      <c r="E2758" s="301"/>
      <c r="F2758" s="1162"/>
      <c r="G2758" s="968"/>
      <c r="H2758" s="303"/>
      <c r="I2758" s="385"/>
      <c r="J2758" s="969"/>
      <c r="K2758" s="385"/>
      <c r="L2758" s="392"/>
      <c r="M2758" s="970"/>
      <c r="N2758" s="304"/>
      <c r="O2758" s="304"/>
      <c r="P2758" s="79" t="str">
        <f>IF(AND('331-CT'!$E$7=TH!H2758,OR(N2758="331",O2758="331")),"x","")</f>
        <v/>
      </c>
      <c r="Q2758" s="79" t="str">
        <f>IF(AND(B2758='111'!$L$11,OR($N2758=$Q$7,$O2758=$Q$7)),"x","")</f>
        <v/>
      </c>
      <c r="R2758" s="79" t="str">
        <f>IF(AND($N2758=$Q$7,$B2758&lt;'111'!$L$11),"x","")</f>
        <v/>
      </c>
      <c r="S2758" s="79" t="str">
        <f>IF(AND($O2758=$Q$7,$B2758&lt;'111'!$L$11),"x","")</f>
        <v/>
      </c>
      <c r="T2758" s="79" t="str">
        <f>IF(ISERROR(FIND('112'!$M$9,G2758,1)),"",IF((AND(FIND('112'!$M$9,G2758,1)&gt;=1,B2758='112'!$K$9,OR($N2758='112'!$I$6,$O2758='112'!$I$6))),"x",""))</f>
        <v/>
      </c>
      <c r="U2758" s="79" t="str">
        <f>IF(ISERROR(FIND('112'!$M$9,G2758,1)),"",IF((AND(LEFT(G2758,2)=LEFT('112'!$M$9,2),B2758&lt;'112'!$K$9,$N2758='112'!$I$6)),"x",""))</f>
        <v/>
      </c>
      <c r="V2758" s="79" t="str">
        <f>IF(ISERROR(FIND('112'!$M$9,G2758,1)),"",IF((AND(RIGHT(G2758,2)=RIGHT('112'!$M$9,2),B2758&lt;'112'!$K$9,$O2758='112'!$I$6)),"x",""))</f>
        <v/>
      </c>
      <c r="W2758" s="79" t="str">
        <f>IF(AND('341-CT'!$H$9=H2758,OR(LEFT(N2758,3)=$W$7,LEFT(O2758,3)=$W$7)),"x","")</f>
        <v/>
      </c>
      <c r="X2758" s="79" t="str">
        <f>IF(OR(TH!N2758=TH!$X$7,O2758=TH!$X$7),"x","")</f>
        <v/>
      </c>
      <c r="Y2758" s="79" t="str">
        <f>IF(AND(OR(N2758="131",O2758="131"),H2758='131-CT'!$H$9),"x","")</f>
        <v/>
      </c>
      <c r="Z2758" s="79"/>
      <c r="AA2758" s="79" t="str">
        <f>IF(AND(MONTH(E2758)='IN-NX'!$J$5,'IN-NX'!$D$7=D2758),"x","")</f>
        <v/>
      </c>
      <c r="AB2758" s="79" t="str">
        <f>IF(AND(OR(LEFT(TH!N2758,2)="15",LEFT(TH!O2758,2)="15"),LEFT(TH!O2758,3)&lt;&gt;"111",'152-CT'!$J$8=TH!F2758),"x","")</f>
        <v/>
      </c>
      <c r="AC2758" s="79" t="str">
        <f>IF(AND(OR(LEFT(TH!N2758,2)="15",LEFT(TH!O2758,2)="15"),TK!$E$7=TH!F2758),"x","")</f>
        <v/>
      </c>
      <c r="AD2758" s="79" t="str">
        <f>IF(AND(N2758="1521",MONTH(C2758)='BK-NL'!$M$11),"x","")</f>
        <v/>
      </c>
    </row>
    <row r="2759" spans="1:30" ht="16.5" customHeight="1">
      <c r="A2759" s="318" t="str">
        <f>IF(B2759&lt;&gt;"",IF(AND(B2759='IN-TC'!$S$4,OR(TH!N2759="1111",TH!O2759="1111")),TH!D2759,""),"")</f>
        <v/>
      </c>
      <c r="B2759" s="60" t="str">
        <f t="shared" si="306"/>
        <v/>
      </c>
      <c r="C2759" s="301"/>
      <c r="D2759" s="301"/>
      <c r="E2759" s="301"/>
      <c r="F2759" s="1162"/>
      <c r="G2759" s="968"/>
      <c r="H2759" s="303"/>
      <c r="I2759" s="385"/>
      <c r="J2759" s="969"/>
      <c r="K2759" s="385"/>
      <c r="L2759" s="392"/>
      <c r="M2759" s="970"/>
      <c r="N2759" s="304"/>
      <c r="O2759" s="304"/>
      <c r="P2759" s="79" t="str">
        <f>IF(AND('331-CT'!$E$7=TH!H2759,OR(N2759="331",O2759="331")),"x","")</f>
        <v/>
      </c>
      <c r="Q2759" s="79" t="str">
        <f>IF(AND(B2759='111'!$L$11,OR($N2759=$Q$7,$O2759=$Q$7)),"x","")</f>
        <v/>
      </c>
      <c r="R2759" s="79" t="str">
        <f>IF(AND($N2759=$Q$7,$B2759&lt;'111'!$L$11),"x","")</f>
        <v/>
      </c>
      <c r="S2759" s="79" t="str">
        <f>IF(AND($O2759=$Q$7,$B2759&lt;'111'!$L$11),"x","")</f>
        <v/>
      </c>
      <c r="T2759" s="79" t="str">
        <f>IF(ISERROR(FIND('112'!$M$9,G2759,1)),"",IF((AND(FIND('112'!$M$9,G2759,1)&gt;=1,B2759='112'!$K$9,OR($N2759='112'!$I$6,$O2759='112'!$I$6))),"x",""))</f>
        <v/>
      </c>
      <c r="U2759" s="79" t="str">
        <f>IF(ISERROR(FIND('112'!$M$9,G2759,1)),"",IF((AND(LEFT(G2759,2)=LEFT('112'!$M$9,2),B2759&lt;'112'!$K$9,$N2759='112'!$I$6)),"x",""))</f>
        <v/>
      </c>
      <c r="V2759" s="79" t="str">
        <f>IF(ISERROR(FIND('112'!$M$9,G2759,1)),"",IF((AND(RIGHT(G2759,2)=RIGHT('112'!$M$9,2),B2759&lt;'112'!$K$9,$O2759='112'!$I$6)),"x",""))</f>
        <v/>
      </c>
      <c r="W2759" s="79" t="str">
        <f>IF(AND('341-CT'!$H$9=H2759,OR(LEFT(N2759,3)=$W$7,LEFT(O2759,3)=$W$7)),"x","")</f>
        <v/>
      </c>
      <c r="X2759" s="79" t="str">
        <f>IF(OR(TH!N2759=TH!$X$7,O2759=TH!$X$7),"x","")</f>
        <v/>
      </c>
      <c r="Y2759" s="79" t="str">
        <f>IF(AND(OR(N2759="131",O2759="131"),H2759='131-CT'!$H$9),"x","")</f>
        <v/>
      </c>
      <c r="Z2759" s="79"/>
      <c r="AA2759" s="79" t="str">
        <f>IF(AND(MONTH(E2759)='IN-NX'!$J$5,'IN-NX'!$D$7=D2759),"x","")</f>
        <v/>
      </c>
      <c r="AB2759" s="79" t="str">
        <f>IF(AND(OR(LEFT(TH!N2759,2)="15",LEFT(TH!O2759,2)="15"),LEFT(TH!O2759,3)&lt;&gt;"111",'152-CT'!$J$8=TH!F2759),"x","")</f>
        <v/>
      </c>
      <c r="AC2759" s="79" t="str">
        <f>IF(AND(OR(LEFT(TH!N2759,2)="15",LEFT(TH!O2759,2)="15"),TK!$E$7=TH!F2759),"x","")</f>
        <v/>
      </c>
      <c r="AD2759" s="79" t="str">
        <f>IF(AND(N2759="1521",MONTH(C2759)='BK-NL'!$M$11),"x","")</f>
        <v/>
      </c>
    </row>
    <row r="2760" spans="1:30" ht="16.5" customHeight="1">
      <c r="A2760" s="318" t="str">
        <f>IF(B2760&lt;&gt;"",IF(AND(B2760='IN-TC'!$S$4,OR(TH!N2760="1111",TH!O2760="1111")),TH!D2760,""),"")</f>
        <v/>
      </c>
      <c r="B2760" s="60" t="str">
        <f t="shared" si="305"/>
        <v/>
      </c>
      <c r="C2760" s="301"/>
      <c r="D2760" s="301"/>
      <c r="E2760" s="301"/>
      <c r="F2760" s="1162"/>
      <c r="G2760" s="968"/>
      <c r="H2760" s="303"/>
      <c r="I2760" s="385"/>
      <c r="J2760" s="969"/>
      <c r="K2760" s="385"/>
      <c r="L2760" s="392"/>
      <c r="M2760" s="970"/>
      <c r="N2760" s="304"/>
      <c r="O2760" s="304"/>
      <c r="P2760" s="79" t="str">
        <f>IF(AND('331-CT'!$E$7=TH!H2760,OR(N2760="331",O2760="331")),"x","")</f>
        <v/>
      </c>
      <c r="Q2760" s="79" t="str">
        <f>IF(AND(B2760='111'!$L$11,OR($N2760=$Q$7,$O2760=$Q$7)),"x","")</f>
        <v/>
      </c>
      <c r="R2760" s="79" t="str">
        <f>IF(AND($N2760=$Q$7,$B2760&lt;'111'!$L$11),"x","")</f>
        <v/>
      </c>
      <c r="S2760" s="79" t="str">
        <f>IF(AND($O2760=$Q$7,$B2760&lt;'111'!$L$11),"x","")</f>
        <v/>
      </c>
      <c r="T2760" s="79" t="str">
        <f>IF(ISERROR(FIND('112'!$M$9,G2760,1)),"",IF((AND(FIND('112'!$M$9,G2760,1)&gt;=1,B2760='112'!$K$9,OR($N2760='112'!$I$6,$O2760='112'!$I$6))),"x",""))</f>
        <v/>
      </c>
      <c r="U2760" s="79" t="str">
        <f>IF(ISERROR(FIND('112'!$M$9,G2760,1)),"",IF((AND(LEFT(G2760,2)=LEFT('112'!$M$9,2),B2760&lt;'112'!$K$9,$N2760='112'!$I$6)),"x",""))</f>
        <v/>
      </c>
      <c r="V2760" s="79" t="str">
        <f>IF(ISERROR(FIND('112'!$M$9,G2760,1)),"",IF((AND(RIGHT(G2760,2)=RIGHT('112'!$M$9,2),B2760&lt;'112'!$K$9,$O2760='112'!$I$6)),"x",""))</f>
        <v/>
      </c>
      <c r="W2760" s="79" t="str">
        <f>IF(AND('341-CT'!$H$9=H2760,OR(LEFT(N2760,3)=$W$7,LEFT(O2760,3)=$W$7)),"x","")</f>
        <v/>
      </c>
      <c r="X2760" s="79" t="str">
        <f>IF(OR(TH!N2760=TH!$X$7,O2760=TH!$X$7),"x","")</f>
        <v/>
      </c>
      <c r="Y2760" s="79" t="str">
        <f>IF(AND(OR(N2760="131",O2760="131"),H2760='131-CT'!$H$9),"x","")</f>
        <v/>
      </c>
      <c r="Z2760" s="79"/>
      <c r="AA2760" s="79" t="str">
        <f>IF(AND(MONTH(E2760)='IN-NX'!$J$5,'IN-NX'!$D$7=D2760),"x","")</f>
        <v/>
      </c>
      <c r="AB2760" s="79" t="str">
        <f>IF(AND(OR(LEFT(TH!N2760,2)="15",LEFT(TH!O2760,2)="15"),LEFT(TH!O2760,3)&lt;&gt;"111",'152-CT'!$J$8=TH!F2760),"x","")</f>
        <v/>
      </c>
      <c r="AC2760" s="79" t="str">
        <f>IF(AND(OR(LEFT(TH!N2760,2)="15",LEFT(TH!O2760,2)="15"),TK!$E$7=TH!F2760),"x","")</f>
        <v/>
      </c>
      <c r="AD2760" s="79" t="str">
        <f>IF(AND(N2760="1521",MONTH(C2760)='BK-NL'!$M$11),"x","")</f>
        <v/>
      </c>
    </row>
    <row r="2761" spans="1:30" ht="18" customHeight="1">
      <c r="A2761" s="318" t="str">
        <f>IF(B2761&lt;&gt;"",IF(AND(B2761='IN-TC'!$S$4,OR(TH!N2761="1111",TH!O2761="1111")),TH!D2761,""),"")</f>
        <v/>
      </c>
      <c r="B2761" s="60" t="str">
        <f t="shared" si="305"/>
        <v/>
      </c>
      <c r="C2761" s="301"/>
      <c r="D2761" s="301"/>
      <c r="E2761" s="301"/>
      <c r="F2761" s="1162"/>
      <c r="G2761" s="968"/>
      <c r="H2761" s="303"/>
      <c r="I2761" s="385"/>
      <c r="J2761" s="969"/>
      <c r="K2761" s="385"/>
      <c r="L2761" s="392"/>
      <c r="M2761" s="970"/>
      <c r="N2761" s="304"/>
      <c r="O2761" s="304"/>
      <c r="P2761" s="79" t="str">
        <f>IF(AND('331-CT'!$E$7=TH!H2761,OR(N2761="331",O2761="331")),"x","")</f>
        <v/>
      </c>
      <c r="Q2761" s="79" t="str">
        <f>IF(AND(B2761='111'!$L$11,OR($N2761=$Q$7,$O2761=$Q$7)),"x","")</f>
        <v/>
      </c>
      <c r="R2761" s="79" t="str">
        <f>IF(AND($N2761=$Q$7,$B2761&lt;'111'!$L$11),"x","")</f>
        <v/>
      </c>
      <c r="S2761" s="79" t="str">
        <f>IF(AND($O2761=$Q$7,$B2761&lt;'111'!$L$11),"x","")</f>
        <v/>
      </c>
      <c r="T2761" s="79" t="str">
        <f>IF(ISERROR(FIND('112'!$M$9,G2761,1)),"",IF((AND(FIND('112'!$M$9,G2761,1)&gt;=1,B2761='112'!$K$9,OR($N2761='112'!$I$6,$O2761='112'!$I$6))),"x",""))</f>
        <v/>
      </c>
      <c r="U2761" s="79" t="str">
        <f>IF(ISERROR(FIND('112'!$M$9,G2761,1)),"",IF((AND(LEFT(G2761,2)=LEFT('112'!$M$9,2),B2761&lt;'112'!$K$9,$N2761='112'!$I$6)),"x",""))</f>
        <v/>
      </c>
      <c r="V2761" s="79" t="str">
        <f>IF(ISERROR(FIND('112'!$M$9,G2761,1)),"",IF((AND(RIGHT(G2761,2)=RIGHT('112'!$M$9,2),B2761&lt;'112'!$K$9,$O2761='112'!$I$6)),"x",""))</f>
        <v/>
      </c>
      <c r="W2761" s="79" t="str">
        <f>IF(AND('341-CT'!$H$9=H2761,OR(LEFT(N2761,3)=$W$7,LEFT(O2761,3)=$W$7)),"x","")</f>
        <v/>
      </c>
      <c r="X2761" s="79" t="str">
        <f>IF(OR(TH!N2761=TH!$X$7,O2761=TH!$X$7),"x","")</f>
        <v/>
      </c>
      <c r="Y2761" s="79" t="str">
        <f>IF(AND(OR(N2761="131",O2761="131"),H2761='131-CT'!$H$9),"x","")</f>
        <v/>
      </c>
      <c r="Z2761" s="79"/>
      <c r="AA2761" s="79" t="str">
        <f>IF(AND(MONTH(E2761)='IN-NX'!$J$5,'IN-NX'!$D$7=D2761),"x","")</f>
        <v/>
      </c>
      <c r="AB2761" s="79" t="str">
        <f>IF(AND(OR(LEFT(TH!N2761,2)="15",LEFT(TH!O2761,2)="15"),LEFT(TH!O2761,3)&lt;&gt;"111",'152-CT'!$J$8=TH!F2761),"x","")</f>
        <v/>
      </c>
      <c r="AC2761" s="79" t="str">
        <f>IF(AND(OR(LEFT(TH!N2761,2)="15",LEFT(TH!O2761,2)="15"),TK!$E$7=TH!F2761),"x","")</f>
        <v/>
      </c>
      <c r="AD2761" s="79" t="str">
        <f>IF(AND(N2761="1521",MONTH(C2761)='BK-NL'!$M$11),"x","")</f>
        <v/>
      </c>
    </row>
    <row r="2762" spans="1:30" ht="18" customHeight="1">
      <c r="A2762" s="318" t="str">
        <f>IF(B2762&lt;&gt;"",IF(AND(B2762='IN-TC'!$S$4,OR(TH!N2762="1111",TH!O2762="1111")),TH!D2762,""),"")</f>
        <v/>
      </c>
      <c r="B2762" s="60" t="str">
        <f t="shared" si="305"/>
        <v/>
      </c>
      <c r="C2762" s="301"/>
      <c r="D2762" s="301"/>
      <c r="E2762" s="301"/>
      <c r="F2762" s="1162"/>
      <c r="G2762" s="968"/>
      <c r="H2762" s="303"/>
      <c r="I2762" s="385"/>
      <c r="J2762" s="969"/>
      <c r="K2762" s="385"/>
      <c r="L2762" s="392"/>
      <c r="M2762" s="970"/>
      <c r="N2762" s="304"/>
      <c r="O2762" s="304"/>
      <c r="P2762" s="79" t="str">
        <f>IF(AND('331-CT'!$E$7=TH!H2762,OR(N2762="331",O2762="331")),"x","")</f>
        <v/>
      </c>
      <c r="Q2762" s="79" t="str">
        <f>IF(AND(B2762='111'!$L$11,OR($N2762=$Q$7,$O2762=$Q$7)),"x","")</f>
        <v/>
      </c>
      <c r="R2762" s="79" t="str">
        <f>IF(AND($N2762=$Q$7,$B2762&lt;'111'!$L$11),"x","")</f>
        <v/>
      </c>
      <c r="S2762" s="79" t="str">
        <f>IF(AND($O2762=$Q$7,$B2762&lt;'111'!$L$11),"x","")</f>
        <v/>
      </c>
      <c r="T2762" s="79" t="str">
        <f>IF(ISERROR(FIND('112'!$M$9,G2762,1)),"",IF((AND(FIND('112'!$M$9,G2762,1)&gt;=1,B2762='112'!$K$9,OR($N2762='112'!$I$6,$O2762='112'!$I$6))),"x",""))</f>
        <v/>
      </c>
      <c r="U2762" s="79" t="str">
        <f>IF(ISERROR(FIND('112'!$M$9,G2762,1)),"",IF((AND(LEFT(G2762,2)=LEFT('112'!$M$9,2),B2762&lt;'112'!$K$9,$N2762='112'!$I$6)),"x",""))</f>
        <v/>
      </c>
      <c r="V2762" s="79" t="str">
        <f>IF(ISERROR(FIND('112'!$M$9,G2762,1)),"",IF((AND(RIGHT(G2762,2)=RIGHT('112'!$M$9,2),B2762&lt;'112'!$K$9,$O2762='112'!$I$6)),"x",""))</f>
        <v/>
      </c>
      <c r="W2762" s="79" t="str">
        <f>IF(AND('341-CT'!$H$9=H2762,OR(LEFT(N2762,3)=$W$7,LEFT(O2762,3)=$W$7)),"x","")</f>
        <v/>
      </c>
      <c r="X2762" s="79" t="str">
        <f>IF(OR(TH!N2762=TH!$X$7,O2762=TH!$X$7),"x","")</f>
        <v/>
      </c>
      <c r="Y2762" s="79" t="str">
        <f>IF(AND(OR(N2762="131",O2762="131"),H2762='131-CT'!$H$9),"x","")</f>
        <v/>
      </c>
      <c r="Z2762" s="79"/>
      <c r="AA2762" s="79" t="str">
        <f>IF(AND(MONTH(E2762)='IN-NX'!$J$5,'IN-NX'!$D$7=D2762),"x","")</f>
        <v/>
      </c>
      <c r="AB2762" s="79" t="str">
        <f>IF(AND(OR(LEFT(TH!N2762,2)="15",LEFT(TH!O2762,2)="15"),LEFT(TH!O2762,3)&lt;&gt;"111",'152-CT'!$J$8=TH!F2762),"x","")</f>
        <v/>
      </c>
      <c r="AC2762" s="79" t="str">
        <f>IF(AND(OR(LEFT(TH!N2762,2)="15",LEFT(TH!O2762,2)="15"),TK!$E$7=TH!F2762),"x","")</f>
        <v/>
      </c>
      <c r="AD2762" s="79" t="str">
        <f>IF(AND(N2762="1521",MONTH(C2762)='BK-NL'!$M$11),"x","")</f>
        <v/>
      </c>
    </row>
    <row r="2763" spans="1:30" ht="18" customHeight="1">
      <c r="A2763" s="318" t="str">
        <f>IF(B2763&lt;&gt;"",IF(AND(B2763='IN-TC'!$S$4,OR(TH!N2763="1111",TH!O2763="1111")),TH!D2763,""),"")</f>
        <v/>
      </c>
      <c r="B2763" s="60" t="str">
        <f t="shared" ref="B2763:B2774" si="307">IF(C2763&lt;&gt;"",MONTH(C2763),"")</f>
        <v/>
      </c>
      <c r="C2763" s="301"/>
      <c r="D2763" s="301"/>
      <c r="E2763" s="301"/>
      <c r="F2763" s="1162"/>
      <c r="G2763" s="968"/>
      <c r="H2763" s="303"/>
      <c r="I2763" s="385"/>
      <c r="J2763" s="969"/>
      <c r="K2763" s="385"/>
      <c r="L2763" s="392"/>
      <c r="M2763" s="970"/>
      <c r="N2763" s="304"/>
      <c r="O2763" s="304"/>
      <c r="P2763" s="79" t="str">
        <f>IF(AND('331-CT'!$E$7=TH!H2763,OR(N2763="331",O2763="331")),"x","")</f>
        <v/>
      </c>
      <c r="Q2763" s="79" t="str">
        <f>IF(AND(B2763='111'!$L$11,OR($N2763=$Q$7,$O2763=$Q$7)),"x","")</f>
        <v/>
      </c>
      <c r="R2763" s="79" t="str">
        <f>IF(AND($N2763=$Q$7,$B2763&lt;'111'!$L$11),"x","")</f>
        <v/>
      </c>
      <c r="S2763" s="79" t="str">
        <f>IF(AND($O2763=$Q$7,$B2763&lt;'111'!$L$11),"x","")</f>
        <v/>
      </c>
      <c r="T2763" s="79" t="str">
        <f>IF(ISERROR(FIND('112'!$M$9,G2763,1)),"",IF((AND(FIND('112'!$M$9,G2763,1)&gt;=1,B2763='112'!$K$9,OR($N2763='112'!$I$6,$O2763='112'!$I$6))),"x",""))</f>
        <v/>
      </c>
      <c r="U2763" s="79" t="str">
        <f>IF(ISERROR(FIND('112'!$M$9,G2763,1)),"",IF((AND(LEFT(G2763,2)=LEFT('112'!$M$9,2),B2763&lt;'112'!$K$9,$N2763='112'!$I$6)),"x",""))</f>
        <v/>
      </c>
      <c r="V2763" s="79" t="str">
        <f>IF(ISERROR(FIND('112'!$M$9,G2763,1)),"",IF((AND(RIGHT(G2763,2)=RIGHT('112'!$M$9,2),B2763&lt;'112'!$K$9,$O2763='112'!$I$6)),"x",""))</f>
        <v/>
      </c>
      <c r="W2763" s="79" t="str">
        <f>IF(AND('341-CT'!$H$9=H2763,OR(LEFT(N2763,3)=$W$7,LEFT(O2763,3)=$W$7)),"x","")</f>
        <v/>
      </c>
      <c r="X2763" s="79" t="str">
        <f>IF(OR(TH!N2763=TH!$X$7,O2763=TH!$X$7),"x","")</f>
        <v/>
      </c>
      <c r="Y2763" s="79" t="str">
        <f>IF(AND(OR(N2763="131",O2763="131"),H2763='131-CT'!$H$9),"x","")</f>
        <v/>
      </c>
      <c r="Z2763" s="79"/>
      <c r="AA2763" s="79" t="str">
        <f>IF(AND(MONTH(E2763)='IN-NX'!$J$5,'IN-NX'!$D$7=D2763),"x","")</f>
        <v/>
      </c>
      <c r="AB2763" s="79" t="str">
        <f>IF(AND(OR(LEFT(TH!N2763,2)="15",LEFT(TH!O2763,2)="15"),LEFT(TH!O2763,3)&lt;&gt;"111",'152-CT'!$J$8=TH!F2763),"x","")</f>
        <v/>
      </c>
      <c r="AC2763" s="79" t="str">
        <f>IF(AND(OR(LEFT(TH!N2763,2)="15",LEFT(TH!O2763,2)="15"),TK!$E$7=TH!F2763),"x","")</f>
        <v/>
      </c>
      <c r="AD2763" s="79" t="str">
        <f>IF(AND(N2763="1521",MONTH(C2763)='BK-NL'!$M$11),"x","")</f>
        <v/>
      </c>
    </row>
    <row r="2764" spans="1:30" ht="18" customHeight="1">
      <c r="A2764" s="318" t="str">
        <f>IF(B2764&lt;&gt;"",IF(AND(B2764='IN-TC'!$S$4,OR(TH!N2764="1111",TH!O2764="1111")),TH!D2764,""),"")</f>
        <v/>
      </c>
      <c r="B2764" s="60" t="str">
        <f t="shared" si="307"/>
        <v/>
      </c>
      <c r="C2764" s="301"/>
      <c r="D2764" s="301"/>
      <c r="E2764" s="301"/>
      <c r="F2764" s="1162"/>
      <c r="G2764" s="968"/>
      <c r="H2764" s="303"/>
      <c r="I2764" s="385"/>
      <c r="J2764" s="969"/>
      <c r="K2764" s="385"/>
      <c r="L2764" s="392"/>
      <c r="M2764" s="970"/>
      <c r="N2764" s="304"/>
      <c r="O2764" s="304"/>
      <c r="P2764" s="79" t="str">
        <f>IF(AND('331-CT'!$E$7=TH!H2764,OR(N2764="331",O2764="331")),"x","")</f>
        <v/>
      </c>
      <c r="Q2764" s="79" t="str">
        <f>IF(AND(B2764='111'!$L$11,OR($N2764=$Q$7,$O2764=$Q$7)),"x","")</f>
        <v/>
      </c>
      <c r="R2764" s="79" t="str">
        <f>IF(AND($N2764=$Q$7,$B2764&lt;'111'!$L$11),"x","")</f>
        <v/>
      </c>
      <c r="S2764" s="79" t="str">
        <f>IF(AND($O2764=$Q$7,$B2764&lt;'111'!$L$11),"x","")</f>
        <v/>
      </c>
      <c r="T2764" s="79" t="str">
        <f>IF(ISERROR(FIND('112'!$M$9,G2764,1)),"",IF((AND(FIND('112'!$M$9,G2764,1)&gt;=1,B2764='112'!$K$9,OR($N2764='112'!$I$6,$O2764='112'!$I$6))),"x",""))</f>
        <v/>
      </c>
      <c r="U2764" s="79" t="str">
        <f>IF(ISERROR(FIND('112'!$M$9,G2764,1)),"",IF((AND(LEFT(G2764,2)=LEFT('112'!$M$9,2),B2764&lt;'112'!$K$9,$N2764='112'!$I$6)),"x",""))</f>
        <v/>
      </c>
      <c r="V2764" s="79" t="str">
        <f>IF(ISERROR(FIND('112'!$M$9,G2764,1)),"",IF((AND(RIGHT(G2764,2)=RIGHT('112'!$M$9,2),B2764&lt;'112'!$K$9,$O2764='112'!$I$6)),"x",""))</f>
        <v/>
      </c>
      <c r="W2764" s="79" t="str">
        <f>IF(AND('341-CT'!$H$9=H2764,OR(LEFT(N2764,3)=$W$7,LEFT(O2764,3)=$W$7)),"x","")</f>
        <v/>
      </c>
      <c r="X2764" s="79" t="str">
        <f>IF(OR(TH!N2764=TH!$X$7,O2764=TH!$X$7),"x","")</f>
        <v/>
      </c>
      <c r="Y2764" s="79" t="str">
        <f>IF(AND(OR(N2764="131",O2764="131"),H2764='131-CT'!$H$9),"x","")</f>
        <v/>
      </c>
      <c r="Z2764" s="79"/>
      <c r="AA2764" s="79" t="str">
        <f>IF(AND(MONTH(E2764)='IN-NX'!$J$5,'IN-NX'!$D$7=D2764),"x","")</f>
        <v/>
      </c>
      <c r="AB2764" s="79" t="str">
        <f>IF(AND(OR(LEFT(TH!N2764,2)="15",LEFT(TH!O2764,2)="15"),LEFT(TH!O2764,3)&lt;&gt;"111",'152-CT'!$J$8=TH!F2764),"x","")</f>
        <v/>
      </c>
      <c r="AC2764" s="79" t="str">
        <f>IF(AND(OR(LEFT(TH!N2764,2)="15",LEFT(TH!O2764,2)="15"),TK!$E$7=TH!F2764),"x","")</f>
        <v/>
      </c>
      <c r="AD2764" s="79" t="str">
        <f>IF(AND(N2764="1521",MONTH(C2764)='BK-NL'!$M$11),"x","")</f>
        <v/>
      </c>
    </row>
    <row r="2765" spans="1:30" ht="18" customHeight="1">
      <c r="A2765" s="318" t="str">
        <f>IF(B2765&lt;&gt;"",IF(AND(B2765='IN-TC'!$S$4,OR(TH!N2765="1111",TH!O2765="1111")),TH!D2765,""),"")</f>
        <v/>
      </c>
      <c r="B2765" s="60" t="str">
        <f t="shared" si="307"/>
        <v/>
      </c>
      <c r="C2765" s="301"/>
      <c r="D2765" s="301"/>
      <c r="E2765" s="301"/>
      <c r="F2765" s="1162"/>
      <c r="G2765" s="968"/>
      <c r="H2765" s="303"/>
      <c r="I2765" s="385"/>
      <c r="J2765" s="969"/>
      <c r="K2765" s="385"/>
      <c r="L2765" s="392"/>
      <c r="M2765" s="970"/>
      <c r="N2765" s="304"/>
      <c r="O2765" s="304"/>
      <c r="P2765" s="79" t="str">
        <f>IF(AND('331-CT'!$E$7=TH!H2765,OR(N2765="331",O2765="331")),"x","")</f>
        <v/>
      </c>
      <c r="Q2765" s="79" t="str">
        <f>IF(AND(B2765='111'!$L$11,OR($N2765=$Q$7,$O2765=$Q$7)),"x","")</f>
        <v/>
      </c>
      <c r="R2765" s="79" t="str">
        <f>IF(AND($N2765=$Q$7,$B2765&lt;'111'!$L$11),"x","")</f>
        <v/>
      </c>
      <c r="S2765" s="79" t="str">
        <f>IF(AND($O2765=$Q$7,$B2765&lt;'111'!$L$11),"x","")</f>
        <v/>
      </c>
      <c r="T2765" s="79" t="str">
        <f>IF(ISERROR(FIND('112'!$M$9,G2765,1)),"",IF((AND(FIND('112'!$M$9,G2765,1)&gt;=1,B2765='112'!$K$9,OR($N2765='112'!$I$6,$O2765='112'!$I$6))),"x",""))</f>
        <v/>
      </c>
      <c r="U2765" s="79" t="str">
        <f>IF(ISERROR(FIND('112'!$M$9,G2765,1)),"",IF((AND(LEFT(G2765,2)=LEFT('112'!$M$9,2),B2765&lt;'112'!$K$9,$N2765='112'!$I$6)),"x",""))</f>
        <v/>
      </c>
      <c r="V2765" s="79" t="str">
        <f>IF(ISERROR(FIND('112'!$M$9,G2765,1)),"",IF((AND(RIGHT(G2765,2)=RIGHT('112'!$M$9,2),B2765&lt;'112'!$K$9,$O2765='112'!$I$6)),"x",""))</f>
        <v/>
      </c>
      <c r="W2765" s="79" t="str">
        <f>IF(AND('341-CT'!$H$9=H2765,OR(LEFT(N2765,3)=$W$7,LEFT(O2765,3)=$W$7)),"x","")</f>
        <v/>
      </c>
      <c r="X2765" s="79" t="str">
        <f>IF(OR(TH!N2765=TH!$X$7,O2765=TH!$X$7),"x","")</f>
        <v/>
      </c>
      <c r="Y2765" s="79" t="str">
        <f>IF(AND(OR(N2765="131",O2765="131"),H2765='131-CT'!$H$9),"x","")</f>
        <v/>
      </c>
      <c r="Z2765" s="79"/>
      <c r="AA2765" s="79" t="str">
        <f>IF(AND(MONTH(E2765)='IN-NX'!$J$5,'IN-NX'!$D$7=D2765),"x","")</f>
        <v/>
      </c>
      <c r="AB2765" s="79" t="str">
        <f>IF(AND(OR(LEFT(TH!N2765,2)="15",LEFT(TH!O2765,2)="15"),LEFT(TH!O2765,3)&lt;&gt;"111",'152-CT'!$J$8=TH!F2765),"x","")</f>
        <v/>
      </c>
      <c r="AC2765" s="79" t="str">
        <f>IF(AND(OR(LEFT(TH!N2765,2)="15",LEFT(TH!O2765,2)="15"),TK!$E$7=TH!F2765),"x","")</f>
        <v/>
      </c>
      <c r="AD2765" s="79" t="str">
        <f>IF(AND(N2765="1521",MONTH(C2765)='BK-NL'!$M$11),"x","")</f>
        <v/>
      </c>
    </row>
    <row r="2766" spans="1:30" ht="18" customHeight="1">
      <c r="A2766" s="318" t="str">
        <f>IF(B2766&lt;&gt;"",IF(AND(B2766='IN-TC'!$S$4,OR(TH!N2766="1111",TH!O2766="1111")),TH!D2766,""),"")</f>
        <v/>
      </c>
      <c r="B2766" s="60" t="str">
        <f t="shared" si="307"/>
        <v/>
      </c>
      <c r="C2766" s="301"/>
      <c r="D2766" s="301"/>
      <c r="E2766" s="301"/>
      <c r="F2766" s="1162"/>
      <c r="G2766" s="968"/>
      <c r="H2766" s="303"/>
      <c r="I2766" s="385"/>
      <c r="J2766" s="969"/>
      <c r="K2766" s="385"/>
      <c r="L2766" s="392"/>
      <c r="M2766" s="970"/>
      <c r="N2766" s="304"/>
      <c r="O2766" s="304"/>
      <c r="P2766" s="79" t="str">
        <f>IF(AND('331-CT'!$E$7=TH!H2766,OR(N2766="331",O2766="331")),"x","")</f>
        <v/>
      </c>
      <c r="Q2766" s="79" t="str">
        <f>IF(AND(B2766='111'!$L$11,OR($N2766=$Q$7,$O2766=$Q$7)),"x","")</f>
        <v/>
      </c>
      <c r="R2766" s="79" t="str">
        <f>IF(AND($N2766=$Q$7,$B2766&lt;'111'!$L$11),"x","")</f>
        <v/>
      </c>
      <c r="S2766" s="79" t="str">
        <f>IF(AND($O2766=$Q$7,$B2766&lt;'111'!$L$11),"x","")</f>
        <v/>
      </c>
      <c r="T2766" s="79" t="str">
        <f>IF(ISERROR(FIND('112'!$M$9,G2766,1)),"",IF((AND(FIND('112'!$M$9,G2766,1)&gt;=1,B2766='112'!$K$9,OR($N2766='112'!$I$6,$O2766='112'!$I$6))),"x",""))</f>
        <v/>
      </c>
      <c r="U2766" s="79" t="str">
        <f>IF(ISERROR(FIND('112'!$M$9,G2766,1)),"",IF((AND(LEFT(G2766,2)=LEFT('112'!$M$9,2),B2766&lt;'112'!$K$9,$N2766='112'!$I$6)),"x",""))</f>
        <v/>
      </c>
      <c r="V2766" s="79" t="str">
        <f>IF(ISERROR(FIND('112'!$M$9,G2766,1)),"",IF((AND(RIGHT(G2766,2)=RIGHT('112'!$M$9,2),B2766&lt;'112'!$K$9,$O2766='112'!$I$6)),"x",""))</f>
        <v/>
      </c>
      <c r="W2766" s="79" t="str">
        <f>IF(AND('341-CT'!$H$9=H2766,OR(LEFT(N2766,3)=$W$7,LEFT(O2766,3)=$W$7)),"x","")</f>
        <v/>
      </c>
      <c r="X2766" s="79" t="str">
        <f>IF(OR(TH!N2766=TH!$X$7,O2766=TH!$X$7),"x","")</f>
        <v/>
      </c>
      <c r="Y2766" s="79" t="str">
        <f>IF(AND(OR(N2766="131",O2766="131"),H2766='131-CT'!$H$9),"x","")</f>
        <v/>
      </c>
      <c r="Z2766" s="79"/>
      <c r="AA2766" s="79" t="str">
        <f>IF(AND(MONTH(E2766)='IN-NX'!$J$5,'IN-NX'!$D$7=D2766),"x","")</f>
        <v/>
      </c>
      <c r="AB2766" s="79" t="str">
        <f>IF(AND(OR(LEFT(TH!N2766,2)="15",LEFT(TH!O2766,2)="15"),LEFT(TH!O2766,3)&lt;&gt;"111",'152-CT'!$J$8=TH!F2766),"x","")</f>
        <v/>
      </c>
      <c r="AC2766" s="79" t="str">
        <f>IF(AND(OR(LEFT(TH!N2766,2)="15",LEFT(TH!O2766,2)="15"),TK!$E$7=TH!F2766),"x","")</f>
        <v/>
      </c>
      <c r="AD2766" s="79" t="str">
        <f>IF(AND(N2766="1521",MONTH(C2766)='BK-NL'!$M$11),"x","")</f>
        <v/>
      </c>
    </row>
    <row r="2767" spans="1:30" ht="16.5" customHeight="1">
      <c r="A2767" s="318" t="str">
        <f>IF(B2767&lt;&gt;"",IF(AND(B2767='IN-TC'!$S$4,OR(TH!N2767="1111",TH!O2767="1111")),TH!D2767,""),"")</f>
        <v/>
      </c>
      <c r="B2767" s="60" t="str">
        <f t="shared" ref="B2767:B2770" si="308">IF(C2767&lt;&gt;"",MONTH(C2767),"")</f>
        <v/>
      </c>
      <c r="C2767" s="301"/>
      <c r="D2767" s="301"/>
      <c r="E2767" s="301"/>
      <c r="F2767" s="302"/>
      <c r="G2767" s="968"/>
      <c r="H2767" s="303"/>
      <c r="I2767" s="385"/>
      <c r="J2767" s="969"/>
      <c r="K2767" s="385"/>
      <c r="L2767" s="392"/>
      <c r="M2767" s="970"/>
      <c r="N2767" s="304"/>
      <c r="O2767" s="304"/>
      <c r="P2767" s="79" t="str">
        <f>IF(AND('331-CT'!$E$7=TH!H2767,OR(N2767="331",O2767="331")),"x","")</f>
        <v/>
      </c>
      <c r="Q2767" s="79" t="str">
        <f>IF(AND(B2767='111'!$L$11,OR($N2767=$Q$7,$O2767=$Q$7)),"x","")</f>
        <v/>
      </c>
      <c r="R2767" s="79" t="str">
        <f>IF(AND($N2767=$Q$7,$B2767&lt;'111'!$L$11),"x","")</f>
        <v/>
      </c>
      <c r="S2767" s="79" t="str">
        <f>IF(AND($O2767=$Q$7,$B2767&lt;'111'!$L$11),"x","")</f>
        <v/>
      </c>
      <c r="T2767" s="79" t="str">
        <f>IF(ISERROR(FIND('112'!$M$9,G2767,1)),"",IF((AND(FIND('112'!$M$9,G2767,1)&gt;=1,B2767='112'!$K$9,OR($N2767='112'!$I$6,$O2767='112'!$I$6))),"x",""))</f>
        <v/>
      </c>
      <c r="U2767" s="79" t="str">
        <f>IF(ISERROR(FIND('112'!$M$9,G2767,1)),"",IF((AND(LEFT(G2767,2)=LEFT('112'!$M$9,2),B2767&lt;'112'!$K$9,$N2767='112'!$I$6)),"x",""))</f>
        <v/>
      </c>
      <c r="V2767" s="79" t="str">
        <f>IF(ISERROR(FIND('112'!$M$9,G2767,1)),"",IF((AND(RIGHT(G2767,2)=RIGHT('112'!$M$9,2),B2767&lt;'112'!$K$9,$O2767='112'!$I$6)),"x",""))</f>
        <v/>
      </c>
      <c r="W2767" s="79" t="str">
        <f>IF(AND('341-CT'!$H$9=H2767,OR(LEFT(N2767,3)=$W$7,LEFT(O2767,3)=$W$7)),"x","")</f>
        <v/>
      </c>
      <c r="X2767" s="79" t="str">
        <f>IF(OR(TH!N2767=TH!$X$7,O2767=TH!$X$7),"x","")</f>
        <v/>
      </c>
      <c r="Y2767" s="79" t="str">
        <f>IF(AND(OR(N2767="131",O2767="131"),H2767='131-CT'!$H$9),"x","")</f>
        <v/>
      </c>
      <c r="Z2767" s="79"/>
      <c r="AA2767" s="79" t="str">
        <f>IF(AND(MONTH(E2767)='IN-NX'!$J$5,'IN-NX'!$D$7=D2767),"x","")</f>
        <v/>
      </c>
      <c r="AB2767" s="79" t="str">
        <f>IF(AND(OR(LEFT(TH!N2767,2)="15",LEFT(TH!O2767,2)="15"),LEFT(TH!O2767,3)&lt;&gt;"111",'152-CT'!$J$8=TH!F2767),"x","")</f>
        <v/>
      </c>
      <c r="AC2767" s="79" t="str">
        <f>IF(AND(OR(LEFT(TH!N2767,2)="15",LEFT(TH!O2767,2)="15"),TK!$E$7=TH!F2767),"x","")</f>
        <v/>
      </c>
      <c r="AD2767" s="79" t="str">
        <f>IF(AND(N2767="1521",MONTH(C2767)='BK-NL'!$M$11),"x","")</f>
        <v/>
      </c>
    </row>
    <row r="2768" spans="1:30" ht="16.5" customHeight="1">
      <c r="A2768" s="318" t="str">
        <f>IF(B2768&lt;&gt;"",IF(AND(B2768='IN-TC'!$S$4,OR(TH!N2768="1111",TH!O2768="1111")),TH!D2768,""),"")</f>
        <v/>
      </c>
      <c r="B2768" s="60" t="str">
        <f t="shared" si="308"/>
        <v/>
      </c>
      <c r="C2768" s="301"/>
      <c r="D2768" s="301"/>
      <c r="E2768" s="301"/>
      <c r="F2768" s="302"/>
      <c r="G2768" s="968"/>
      <c r="H2768" s="303"/>
      <c r="I2768" s="385"/>
      <c r="J2768" s="969"/>
      <c r="K2768" s="385"/>
      <c r="L2768" s="392"/>
      <c r="M2768" s="970"/>
      <c r="N2768" s="304"/>
      <c r="O2768" s="304"/>
      <c r="P2768" s="79" t="str">
        <f>IF(AND('331-CT'!$E$7=TH!H2768,OR(N2768="331",O2768="331")),"x","")</f>
        <v/>
      </c>
      <c r="Q2768" s="79" t="str">
        <f>IF(AND(B2768='111'!$L$11,OR($N2768=$Q$7,$O2768=$Q$7)),"x","")</f>
        <v/>
      </c>
      <c r="R2768" s="79" t="str">
        <f>IF(AND($N2768=$Q$7,$B2768&lt;'111'!$L$11),"x","")</f>
        <v/>
      </c>
      <c r="S2768" s="79" t="str">
        <f>IF(AND($O2768=$Q$7,$B2768&lt;'111'!$L$11),"x","")</f>
        <v/>
      </c>
      <c r="T2768" s="79" t="str">
        <f>IF(ISERROR(FIND('112'!$M$9,G2768,1)),"",IF((AND(FIND('112'!$M$9,G2768,1)&gt;=1,B2768='112'!$K$9,OR($N2768='112'!$I$6,$O2768='112'!$I$6))),"x",""))</f>
        <v/>
      </c>
      <c r="U2768" s="79" t="str">
        <f>IF(ISERROR(FIND('112'!$M$9,G2768,1)),"",IF((AND(LEFT(G2768,2)=LEFT('112'!$M$9,2),B2768&lt;'112'!$K$9,$N2768='112'!$I$6)),"x",""))</f>
        <v/>
      </c>
      <c r="V2768" s="79" t="str">
        <f>IF(ISERROR(FIND('112'!$M$9,G2768,1)),"",IF((AND(RIGHT(G2768,2)=RIGHT('112'!$M$9,2),B2768&lt;'112'!$K$9,$O2768='112'!$I$6)),"x",""))</f>
        <v/>
      </c>
      <c r="W2768" s="79" t="str">
        <f>IF(AND('341-CT'!$H$9=H2768,OR(LEFT(N2768,3)=$W$7,LEFT(O2768,3)=$W$7)),"x","")</f>
        <v/>
      </c>
      <c r="X2768" s="79" t="str">
        <f>IF(OR(TH!N2768=TH!$X$7,O2768=TH!$X$7),"x","")</f>
        <v/>
      </c>
      <c r="Y2768" s="79" t="str">
        <f>IF(AND(OR(N2768="131",O2768="131"),H2768='131-CT'!$H$9),"x","")</f>
        <v/>
      </c>
      <c r="Z2768" s="79"/>
      <c r="AA2768" s="79" t="str">
        <f>IF(AND(MONTH(E2768)='IN-NX'!$J$5,'IN-NX'!$D$7=D2768),"x","")</f>
        <v/>
      </c>
      <c r="AB2768" s="79" t="str">
        <f>IF(AND(OR(LEFT(TH!N2768,2)="15",LEFT(TH!O2768,2)="15"),LEFT(TH!O2768,3)&lt;&gt;"111",'152-CT'!$J$8=TH!F2768),"x","")</f>
        <v/>
      </c>
      <c r="AC2768" s="79" t="str">
        <f>IF(AND(OR(LEFT(TH!N2768,2)="15",LEFT(TH!O2768,2)="15"),TK!$E$7=TH!F2768),"x","")</f>
        <v/>
      </c>
      <c r="AD2768" s="79" t="str">
        <f>IF(AND(N2768="1521",MONTH(C2768)='BK-NL'!$M$11),"x","")</f>
        <v/>
      </c>
    </row>
    <row r="2769" spans="1:30" ht="16.5" customHeight="1">
      <c r="A2769" s="318" t="str">
        <f>IF(B2769&lt;&gt;"",IF(AND(B2769='IN-TC'!$S$4,OR(TH!N2769="1111",TH!O2769="1111")),TH!D2769,""),"")</f>
        <v/>
      </c>
      <c r="B2769" s="60" t="str">
        <f t="shared" si="308"/>
        <v/>
      </c>
      <c r="C2769" s="301"/>
      <c r="D2769" s="301"/>
      <c r="E2769" s="301"/>
      <c r="F2769" s="1162"/>
      <c r="G2769" s="968"/>
      <c r="H2769" s="303"/>
      <c r="I2769" s="385"/>
      <c r="J2769" s="969"/>
      <c r="K2769" s="385"/>
      <c r="L2769" s="392"/>
      <c r="M2769" s="970"/>
      <c r="N2769" s="304"/>
      <c r="O2769" s="304"/>
      <c r="P2769" s="79" t="str">
        <f>IF(AND('331-CT'!$E$7=TH!H2769,OR(N2769="331",O2769="331")),"x","")</f>
        <v/>
      </c>
      <c r="Q2769" s="79" t="str">
        <f>IF(AND(B2769='111'!$L$11,OR($N2769=$Q$7,$O2769=$Q$7)),"x","")</f>
        <v/>
      </c>
      <c r="R2769" s="79" t="str">
        <f>IF(AND($N2769=$Q$7,$B2769&lt;'111'!$L$11),"x","")</f>
        <v/>
      </c>
      <c r="S2769" s="79" t="str">
        <f>IF(AND($O2769=$Q$7,$B2769&lt;'111'!$L$11),"x","")</f>
        <v/>
      </c>
      <c r="T2769" s="79" t="str">
        <f>IF(ISERROR(FIND('112'!$M$9,G2769,1)),"",IF((AND(FIND('112'!$M$9,G2769,1)&gt;=1,B2769='112'!$K$9,OR($N2769='112'!$I$6,$O2769='112'!$I$6))),"x",""))</f>
        <v/>
      </c>
      <c r="U2769" s="79" t="str">
        <f>IF(ISERROR(FIND('112'!$M$9,G2769,1)),"",IF((AND(LEFT(G2769,2)=LEFT('112'!$M$9,2),B2769&lt;'112'!$K$9,$N2769='112'!$I$6)),"x",""))</f>
        <v/>
      </c>
      <c r="V2769" s="79" t="str">
        <f>IF(ISERROR(FIND('112'!$M$9,G2769,1)),"",IF((AND(RIGHT(G2769,2)=RIGHT('112'!$M$9,2),B2769&lt;'112'!$K$9,$O2769='112'!$I$6)),"x",""))</f>
        <v/>
      </c>
      <c r="W2769" s="79" t="str">
        <f>IF(AND('341-CT'!$H$9=H2769,OR(LEFT(N2769,3)=$W$7,LEFT(O2769,3)=$W$7)),"x","")</f>
        <v/>
      </c>
      <c r="X2769" s="79" t="str">
        <f>IF(OR(TH!N2769=TH!$X$7,O2769=TH!$X$7),"x","")</f>
        <v/>
      </c>
      <c r="Y2769" s="79" t="str">
        <f>IF(AND(OR(N2769="131",O2769="131"),H2769='131-CT'!$H$9),"x","")</f>
        <v/>
      </c>
      <c r="Z2769" s="79"/>
      <c r="AA2769" s="79" t="str">
        <f>IF(AND(MONTH(E2769)='IN-NX'!$J$5,'IN-NX'!$D$7=D2769),"x","")</f>
        <v/>
      </c>
      <c r="AB2769" s="79" t="str">
        <f>IF(AND(OR(LEFT(TH!N2769,2)="15",LEFT(TH!O2769,2)="15"),LEFT(TH!O2769,3)&lt;&gt;"111",'152-CT'!$J$8=TH!F2769),"x","")</f>
        <v/>
      </c>
      <c r="AC2769" s="79" t="str">
        <f>IF(AND(OR(LEFT(TH!N2769,2)="15",LEFT(TH!O2769,2)="15"),TK!$E$7=TH!F2769),"x","")</f>
        <v/>
      </c>
      <c r="AD2769" s="79" t="str">
        <f>IF(AND(N2769="1521",MONTH(C2769)='BK-NL'!$M$11),"x","")</f>
        <v/>
      </c>
    </row>
    <row r="2770" spans="1:30" ht="16.5" customHeight="1">
      <c r="A2770" s="318" t="str">
        <f>IF(B2770&lt;&gt;"",IF(AND(B2770='IN-TC'!$S$4,OR(TH!N2770="1111",TH!O2770="1111")),TH!D2770,""),"")</f>
        <v/>
      </c>
      <c r="B2770" s="60" t="str">
        <f t="shared" si="308"/>
        <v/>
      </c>
      <c r="C2770" s="301"/>
      <c r="D2770" s="301"/>
      <c r="E2770" s="301"/>
      <c r="F2770" s="1162"/>
      <c r="G2770" s="968"/>
      <c r="H2770" s="303"/>
      <c r="I2770" s="385"/>
      <c r="J2770" s="969"/>
      <c r="K2770" s="385"/>
      <c r="L2770" s="392"/>
      <c r="M2770" s="970"/>
      <c r="N2770" s="304"/>
      <c r="O2770" s="304"/>
      <c r="P2770" s="79" t="str">
        <f>IF(AND('331-CT'!$E$7=TH!H2770,OR(N2770="331",O2770="331")),"x","")</f>
        <v/>
      </c>
      <c r="Q2770" s="79" t="str">
        <f>IF(AND(B2770='111'!$L$11,OR($N2770=$Q$7,$O2770=$Q$7)),"x","")</f>
        <v/>
      </c>
      <c r="R2770" s="79" t="str">
        <f>IF(AND($N2770=$Q$7,$B2770&lt;'111'!$L$11),"x","")</f>
        <v/>
      </c>
      <c r="S2770" s="79" t="str">
        <f>IF(AND($O2770=$Q$7,$B2770&lt;'111'!$L$11),"x","")</f>
        <v/>
      </c>
      <c r="T2770" s="79" t="str">
        <f>IF(ISERROR(FIND('112'!$M$9,G2770,1)),"",IF((AND(FIND('112'!$M$9,G2770,1)&gt;=1,B2770='112'!$K$9,OR($N2770='112'!$I$6,$O2770='112'!$I$6))),"x",""))</f>
        <v/>
      </c>
      <c r="U2770" s="79" t="str">
        <f>IF(ISERROR(FIND('112'!$M$9,G2770,1)),"",IF((AND(LEFT(G2770,2)=LEFT('112'!$M$9,2),B2770&lt;'112'!$K$9,$N2770='112'!$I$6)),"x",""))</f>
        <v/>
      </c>
      <c r="V2770" s="79" t="str">
        <f>IF(ISERROR(FIND('112'!$M$9,G2770,1)),"",IF((AND(RIGHT(G2770,2)=RIGHT('112'!$M$9,2),B2770&lt;'112'!$K$9,$O2770='112'!$I$6)),"x",""))</f>
        <v/>
      </c>
      <c r="W2770" s="79" t="str">
        <f>IF(AND('341-CT'!$H$9=H2770,OR(LEFT(N2770,3)=$W$7,LEFT(O2770,3)=$W$7)),"x","")</f>
        <v/>
      </c>
      <c r="X2770" s="79" t="str">
        <f>IF(OR(TH!N2770=TH!$X$7,O2770=TH!$X$7),"x","")</f>
        <v/>
      </c>
      <c r="Y2770" s="79" t="str">
        <f>IF(AND(OR(N2770="131",O2770="131"),H2770='131-CT'!$H$9),"x","")</f>
        <v/>
      </c>
      <c r="Z2770" s="79"/>
      <c r="AA2770" s="79" t="str">
        <f>IF(AND(MONTH(E2770)='IN-NX'!$J$5,'IN-NX'!$D$7=D2770),"x","")</f>
        <v/>
      </c>
      <c r="AB2770" s="79" t="str">
        <f>IF(AND(OR(LEFT(TH!N2770,2)="15",LEFT(TH!O2770,2)="15"),LEFT(TH!O2770,3)&lt;&gt;"111",'152-CT'!$J$8=TH!F2770),"x","")</f>
        <v/>
      </c>
      <c r="AC2770" s="79" t="str">
        <f>IF(AND(OR(LEFT(TH!N2770,2)="15",LEFT(TH!O2770,2)="15"),TK!$E$7=TH!F2770),"x","")</f>
        <v/>
      </c>
      <c r="AD2770" s="79" t="str">
        <f>IF(AND(N2770="1521",MONTH(C2770)='BK-NL'!$M$11),"x","")</f>
        <v/>
      </c>
    </row>
    <row r="2771" spans="1:30" ht="18" customHeight="1">
      <c r="A2771" s="318" t="str">
        <f>IF(B2771&lt;&gt;"",IF(AND(B2771='IN-TC'!$S$4,OR(TH!N2771="1111",TH!O2771="1111")),TH!D2771,""),"")</f>
        <v/>
      </c>
      <c r="B2771" s="60" t="str">
        <f t="shared" si="307"/>
        <v/>
      </c>
      <c r="C2771" s="301"/>
      <c r="D2771" s="301"/>
      <c r="E2771" s="301"/>
      <c r="F2771" s="1162"/>
      <c r="G2771" s="968"/>
      <c r="H2771" s="303"/>
      <c r="I2771" s="385"/>
      <c r="J2771" s="969"/>
      <c r="K2771" s="385"/>
      <c r="L2771" s="392"/>
      <c r="M2771" s="970"/>
      <c r="N2771" s="304"/>
      <c r="O2771" s="304"/>
      <c r="P2771" s="79" t="str">
        <f>IF(AND('331-CT'!$E$7=TH!H2771,OR(N2771="331",O2771="331")),"x","")</f>
        <v/>
      </c>
      <c r="Q2771" s="79" t="str">
        <f>IF(AND(B2771='111'!$L$11,OR($N2771=$Q$7,$O2771=$Q$7)),"x","")</f>
        <v/>
      </c>
      <c r="R2771" s="79" t="str">
        <f>IF(AND($N2771=$Q$7,$B2771&lt;'111'!$L$11),"x","")</f>
        <v/>
      </c>
      <c r="S2771" s="79" t="str">
        <f>IF(AND($O2771=$Q$7,$B2771&lt;'111'!$L$11),"x","")</f>
        <v/>
      </c>
      <c r="T2771" s="79" t="str">
        <f>IF(ISERROR(FIND('112'!$M$9,G2771,1)),"",IF((AND(FIND('112'!$M$9,G2771,1)&gt;=1,B2771='112'!$K$9,OR($N2771='112'!$I$6,$O2771='112'!$I$6))),"x",""))</f>
        <v/>
      </c>
      <c r="U2771" s="79" t="str">
        <f>IF(ISERROR(FIND('112'!$M$9,G2771,1)),"",IF((AND(LEFT(G2771,2)=LEFT('112'!$M$9,2),B2771&lt;'112'!$K$9,$N2771='112'!$I$6)),"x",""))</f>
        <v/>
      </c>
      <c r="V2771" s="79" t="str">
        <f>IF(ISERROR(FIND('112'!$M$9,G2771,1)),"",IF((AND(RIGHT(G2771,2)=RIGHT('112'!$M$9,2),B2771&lt;'112'!$K$9,$O2771='112'!$I$6)),"x",""))</f>
        <v/>
      </c>
      <c r="W2771" s="79" t="str">
        <f>IF(AND('341-CT'!$H$9=H2771,OR(LEFT(N2771,3)=$W$7,LEFT(O2771,3)=$W$7)),"x","")</f>
        <v/>
      </c>
      <c r="X2771" s="79" t="str">
        <f>IF(OR(TH!N2771=TH!$X$7,O2771=TH!$X$7),"x","")</f>
        <v/>
      </c>
      <c r="Y2771" s="79" t="str">
        <f>IF(AND(OR(N2771="131",O2771="131"),H2771='131-CT'!$H$9),"x","")</f>
        <v/>
      </c>
      <c r="Z2771" s="79"/>
      <c r="AA2771" s="79" t="str">
        <f>IF(AND(MONTH(E2771)='IN-NX'!$J$5,'IN-NX'!$D$7=D2771),"x","")</f>
        <v/>
      </c>
      <c r="AB2771" s="79" t="str">
        <f>IF(AND(OR(LEFT(TH!N2771,2)="15",LEFT(TH!O2771,2)="15"),LEFT(TH!O2771,3)&lt;&gt;"111",'152-CT'!$J$8=TH!F2771),"x","")</f>
        <v/>
      </c>
      <c r="AC2771" s="79" t="str">
        <f>IF(AND(OR(LEFT(TH!N2771,2)="15",LEFT(TH!O2771,2)="15"),TK!$E$7=TH!F2771),"x","")</f>
        <v/>
      </c>
      <c r="AD2771" s="79" t="str">
        <f>IF(AND(N2771="1521",MONTH(C2771)='BK-NL'!$M$11),"x","")</f>
        <v/>
      </c>
    </row>
    <row r="2772" spans="1:30" ht="18" customHeight="1">
      <c r="A2772" s="318" t="str">
        <f>IF(B2772&lt;&gt;"",IF(AND(B2772='IN-TC'!$S$4,OR(TH!N2772="1111",TH!O2772="1111")),TH!D2772,""),"")</f>
        <v/>
      </c>
      <c r="B2772" s="60" t="str">
        <f t="shared" si="307"/>
        <v/>
      </c>
      <c r="C2772" s="301"/>
      <c r="D2772" s="301"/>
      <c r="E2772" s="301"/>
      <c r="F2772" s="1162"/>
      <c r="G2772" s="968"/>
      <c r="H2772" s="303"/>
      <c r="I2772" s="385"/>
      <c r="J2772" s="969"/>
      <c r="K2772" s="385"/>
      <c r="L2772" s="392"/>
      <c r="M2772" s="970"/>
      <c r="N2772" s="304"/>
      <c r="O2772" s="304"/>
      <c r="P2772" s="79" t="str">
        <f>IF(AND('331-CT'!$E$7=TH!H2772,OR(N2772="331",O2772="331")),"x","")</f>
        <v/>
      </c>
      <c r="Q2772" s="79" t="str">
        <f>IF(AND(B2772='111'!$L$11,OR($N2772=$Q$7,$O2772=$Q$7)),"x","")</f>
        <v/>
      </c>
      <c r="R2772" s="79" t="str">
        <f>IF(AND($N2772=$Q$7,$B2772&lt;'111'!$L$11),"x","")</f>
        <v/>
      </c>
      <c r="S2772" s="79" t="str">
        <f>IF(AND($O2772=$Q$7,$B2772&lt;'111'!$L$11),"x","")</f>
        <v/>
      </c>
      <c r="T2772" s="79" t="str">
        <f>IF(ISERROR(FIND('112'!$M$9,G2772,1)),"",IF((AND(FIND('112'!$M$9,G2772,1)&gt;=1,B2772='112'!$K$9,OR($N2772='112'!$I$6,$O2772='112'!$I$6))),"x",""))</f>
        <v/>
      </c>
      <c r="U2772" s="79" t="str">
        <f>IF(ISERROR(FIND('112'!$M$9,G2772,1)),"",IF((AND(LEFT(G2772,2)=LEFT('112'!$M$9,2),B2772&lt;'112'!$K$9,$N2772='112'!$I$6)),"x",""))</f>
        <v/>
      </c>
      <c r="V2772" s="79" t="str">
        <f>IF(ISERROR(FIND('112'!$M$9,G2772,1)),"",IF((AND(RIGHT(G2772,2)=RIGHT('112'!$M$9,2),B2772&lt;'112'!$K$9,$O2772='112'!$I$6)),"x",""))</f>
        <v/>
      </c>
      <c r="W2772" s="79" t="str">
        <f>IF(AND('341-CT'!$H$9=H2772,OR(LEFT(N2772,3)=$W$7,LEFT(O2772,3)=$W$7)),"x","")</f>
        <v/>
      </c>
      <c r="X2772" s="79" t="str">
        <f>IF(OR(TH!N2772=TH!$X$7,O2772=TH!$X$7),"x","")</f>
        <v/>
      </c>
      <c r="Y2772" s="79" t="str">
        <f>IF(AND(OR(N2772="131",O2772="131"),H2772='131-CT'!$H$9),"x","")</f>
        <v/>
      </c>
      <c r="Z2772" s="79"/>
      <c r="AA2772" s="79" t="str">
        <f>IF(AND(MONTH(E2772)='IN-NX'!$J$5,'IN-NX'!$D$7=D2772),"x","")</f>
        <v/>
      </c>
      <c r="AB2772" s="79" t="str">
        <f>IF(AND(OR(LEFT(TH!N2772,2)="15",LEFT(TH!O2772,2)="15"),LEFT(TH!O2772,3)&lt;&gt;"111",'152-CT'!$J$8=TH!F2772),"x","")</f>
        <v/>
      </c>
      <c r="AC2772" s="79" t="str">
        <f>IF(AND(OR(LEFT(TH!N2772,2)="15",LEFT(TH!O2772,2)="15"),TK!$E$7=TH!F2772),"x","")</f>
        <v/>
      </c>
      <c r="AD2772" s="79" t="str">
        <f>IF(AND(N2772="1521",MONTH(C2772)='BK-NL'!$M$11),"x","")</f>
        <v/>
      </c>
    </row>
    <row r="2773" spans="1:30" ht="18" customHeight="1">
      <c r="A2773" s="318" t="str">
        <f>IF(B2773&lt;&gt;"",IF(AND(B2773='IN-TC'!$S$4,OR(TH!N2773="1111",TH!O2773="1111")),TH!D2773,""),"")</f>
        <v/>
      </c>
      <c r="B2773" s="60" t="str">
        <f t="shared" si="307"/>
        <v/>
      </c>
      <c r="C2773" s="301"/>
      <c r="D2773" s="301"/>
      <c r="E2773" s="301"/>
      <c r="F2773" s="1162"/>
      <c r="G2773" s="968"/>
      <c r="H2773" s="303"/>
      <c r="I2773" s="385"/>
      <c r="J2773" s="969"/>
      <c r="K2773" s="385"/>
      <c r="L2773" s="392"/>
      <c r="M2773" s="970"/>
      <c r="N2773" s="304"/>
      <c r="O2773" s="304"/>
      <c r="P2773" s="79" t="str">
        <f>IF(AND('331-CT'!$E$7=TH!H2773,OR(N2773="331",O2773="331")),"x","")</f>
        <v/>
      </c>
      <c r="Q2773" s="79" t="str">
        <f>IF(AND(B2773='111'!$L$11,OR($N2773=$Q$7,$O2773=$Q$7)),"x","")</f>
        <v/>
      </c>
      <c r="R2773" s="79" t="str">
        <f>IF(AND($N2773=$Q$7,$B2773&lt;'111'!$L$11),"x","")</f>
        <v/>
      </c>
      <c r="S2773" s="79" t="str">
        <f>IF(AND($O2773=$Q$7,$B2773&lt;'111'!$L$11),"x","")</f>
        <v/>
      </c>
      <c r="T2773" s="79" t="str">
        <f>IF(ISERROR(FIND('112'!$M$9,G2773,1)),"",IF((AND(FIND('112'!$M$9,G2773,1)&gt;=1,B2773='112'!$K$9,OR($N2773='112'!$I$6,$O2773='112'!$I$6))),"x",""))</f>
        <v/>
      </c>
      <c r="U2773" s="79" t="str">
        <f>IF(ISERROR(FIND('112'!$M$9,G2773,1)),"",IF((AND(LEFT(G2773,2)=LEFT('112'!$M$9,2),B2773&lt;'112'!$K$9,$N2773='112'!$I$6)),"x",""))</f>
        <v/>
      </c>
      <c r="V2773" s="79" t="str">
        <f>IF(ISERROR(FIND('112'!$M$9,G2773,1)),"",IF((AND(RIGHT(G2773,2)=RIGHT('112'!$M$9,2),B2773&lt;'112'!$K$9,$O2773='112'!$I$6)),"x",""))</f>
        <v/>
      </c>
      <c r="W2773" s="79" t="str">
        <f>IF(AND('341-CT'!$H$9=H2773,OR(LEFT(N2773,3)=$W$7,LEFT(O2773,3)=$W$7)),"x","")</f>
        <v/>
      </c>
      <c r="X2773" s="79" t="str">
        <f>IF(OR(TH!N2773=TH!$X$7,O2773=TH!$X$7),"x","")</f>
        <v/>
      </c>
      <c r="Y2773" s="79" t="str">
        <f>IF(AND(OR(N2773="131",O2773="131"),H2773='131-CT'!$H$9),"x","")</f>
        <v/>
      </c>
      <c r="Z2773" s="79"/>
      <c r="AA2773" s="79" t="str">
        <f>IF(AND(MONTH(E2773)='IN-NX'!$J$5,'IN-NX'!$D$7=D2773),"x","")</f>
        <v/>
      </c>
      <c r="AB2773" s="79" t="str">
        <f>IF(AND(OR(LEFT(TH!N2773,2)="15",LEFT(TH!O2773,2)="15"),LEFT(TH!O2773,3)&lt;&gt;"111",'152-CT'!$J$8=TH!F2773),"x","")</f>
        <v/>
      </c>
      <c r="AC2773" s="79" t="str">
        <f>IF(AND(OR(LEFT(TH!N2773,2)="15",LEFT(TH!O2773,2)="15"),TK!$E$7=TH!F2773),"x","")</f>
        <v/>
      </c>
      <c r="AD2773" s="79" t="str">
        <f>IF(AND(N2773="1521",MONTH(C2773)='BK-NL'!$M$11),"x","")</f>
        <v/>
      </c>
    </row>
    <row r="2774" spans="1:30" ht="18" customHeight="1">
      <c r="A2774" s="318" t="str">
        <f>IF(B2774&lt;&gt;"",IF(AND(B2774='IN-TC'!$S$4,OR(TH!N2774="1111",TH!O2774="1111")),TH!D2774,""),"")</f>
        <v/>
      </c>
      <c r="B2774" s="60" t="str">
        <f t="shared" si="307"/>
        <v/>
      </c>
      <c r="C2774" s="301"/>
      <c r="D2774" s="301"/>
      <c r="E2774" s="301"/>
      <c r="F2774" s="1162"/>
      <c r="G2774" s="968"/>
      <c r="H2774" s="303"/>
      <c r="I2774" s="385"/>
      <c r="J2774" s="969"/>
      <c r="K2774" s="385"/>
      <c r="L2774" s="392"/>
      <c r="M2774" s="970"/>
      <c r="N2774" s="304"/>
      <c r="O2774" s="304"/>
      <c r="P2774" s="79" t="str">
        <f>IF(AND('331-CT'!$E$7=TH!H2774,OR(N2774="331",O2774="331")),"x","")</f>
        <v/>
      </c>
      <c r="Q2774" s="79" t="str">
        <f>IF(AND(B2774='111'!$L$11,OR($N2774=$Q$7,$O2774=$Q$7)),"x","")</f>
        <v/>
      </c>
      <c r="R2774" s="79" t="str">
        <f>IF(AND($N2774=$Q$7,$B2774&lt;'111'!$L$11),"x","")</f>
        <v/>
      </c>
      <c r="S2774" s="79" t="str">
        <f>IF(AND($O2774=$Q$7,$B2774&lt;'111'!$L$11),"x","")</f>
        <v/>
      </c>
      <c r="T2774" s="79" t="str">
        <f>IF(ISERROR(FIND('112'!$M$9,G2774,1)),"",IF((AND(FIND('112'!$M$9,G2774,1)&gt;=1,B2774='112'!$K$9,OR($N2774='112'!$I$6,$O2774='112'!$I$6))),"x",""))</f>
        <v/>
      </c>
      <c r="U2774" s="79" t="str">
        <f>IF(ISERROR(FIND('112'!$M$9,G2774,1)),"",IF((AND(LEFT(G2774,2)=LEFT('112'!$M$9,2),B2774&lt;'112'!$K$9,$N2774='112'!$I$6)),"x",""))</f>
        <v/>
      </c>
      <c r="V2774" s="79" t="str">
        <f>IF(ISERROR(FIND('112'!$M$9,G2774,1)),"",IF((AND(RIGHT(G2774,2)=RIGHT('112'!$M$9,2),B2774&lt;'112'!$K$9,$O2774='112'!$I$6)),"x",""))</f>
        <v/>
      </c>
      <c r="W2774" s="79" t="str">
        <f>IF(AND('341-CT'!$H$9=H2774,OR(LEFT(N2774,3)=$W$7,LEFT(O2774,3)=$W$7)),"x","")</f>
        <v/>
      </c>
      <c r="X2774" s="79" t="str">
        <f>IF(OR(TH!N2774=TH!$X$7,O2774=TH!$X$7),"x","")</f>
        <v/>
      </c>
      <c r="Y2774" s="79" t="str">
        <f>IF(AND(OR(N2774="131",O2774="131"),H2774='131-CT'!$H$9),"x","")</f>
        <v/>
      </c>
      <c r="Z2774" s="79"/>
      <c r="AA2774" s="79" t="str">
        <f>IF(AND(MONTH(E2774)='IN-NX'!$J$5,'IN-NX'!$D$7=D2774),"x","")</f>
        <v/>
      </c>
      <c r="AB2774" s="79" t="str">
        <f>IF(AND(OR(LEFT(TH!N2774,2)="15",LEFT(TH!O2774,2)="15"),LEFT(TH!O2774,3)&lt;&gt;"111",'152-CT'!$J$8=TH!F2774),"x","")</f>
        <v/>
      </c>
      <c r="AC2774" s="79" t="str">
        <f>IF(AND(OR(LEFT(TH!N2774,2)="15",LEFT(TH!O2774,2)="15"),TK!$E$7=TH!F2774),"x","")</f>
        <v/>
      </c>
      <c r="AD2774" s="79" t="str">
        <f>IF(AND(N2774="1521",MONTH(C2774)='BK-NL'!$M$11),"x","")</f>
        <v/>
      </c>
    </row>
    <row r="2775" spans="1:30" ht="18" customHeight="1">
      <c r="A2775" s="318" t="str">
        <f>IF(B2775&lt;&gt;"",IF(AND(B2775='IN-TC'!$S$4,OR(TH!N2775="1111",TH!O2775="1111")),TH!D2775,""),"")</f>
        <v/>
      </c>
      <c r="B2775" s="60" t="str">
        <f t="shared" ref="B2775:B2780" si="309">IF(C2775&lt;&gt;"",MONTH(C2775),"")</f>
        <v/>
      </c>
      <c r="C2775" s="301"/>
      <c r="D2775" s="301"/>
      <c r="E2775" s="301"/>
      <c r="F2775" s="1162"/>
      <c r="G2775" s="968"/>
      <c r="H2775" s="303"/>
      <c r="I2775" s="385"/>
      <c r="J2775" s="969"/>
      <c r="K2775" s="385"/>
      <c r="L2775" s="392"/>
      <c r="M2775" s="970"/>
      <c r="N2775" s="304"/>
      <c r="O2775" s="304"/>
      <c r="P2775" s="79" t="str">
        <f>IF(AND('331-CT'!$E$7=TH!H2775,OR(N2775="331",O2775="331")),"x","")</f>
        <v/>
      </c>
      <c r="Q2775" s="79" t="str">
        <f>IF(AND(B2775='111'!$L$11,OR($N2775=$Q$7,$O2775=$Q$7)),"x","")</f>
        <v/>
      </c>
      <c r="R2775" s="79" t="str">
        <f>IF(AND($N2775=$Q$7,$B2775&lt;'111'!$L$11),"x","")</f>
        <v/>
      </c>
      <c r="S2775" s="79" t="str">
        <f>IF(AND($O2775=$Q$7,$B2775&lt;'111'!$L$11),"x","")</f>
        <v/>
      </c>
      <c r="T2775" s="79" t="str">
        <f>IF(ISERROR(FIND('112'!$M$9,G2775,1)),"",IF((AND(FIND('112'!$M$9,G2775,1)&gt;=1,B2775='112'!$K$9,OR($N2775='112'!$I$6,$O2775='112'!$I$6))),"x",""))</f>
        <v/>
      </c>
      <c r="U2775" s="79" t="str">
        <f>IF(ISERROR(FIND('112'!$M$9,G2775,1)),"",IF((AND(LEFT(G2775,2)=LEFT('112'!$M$9,2),B2775&lt;'112'!$K$9,$N2775='112'!$I$6)),"x",""))</f>
        <v/>
      </c>
      <c r="V2775" s="79" t="str">
        <f>IF(ISERROR(FIND('112'!$M$9,G2775,1)),"",IF((AND(RIGHT(G2775,2)=RIGHT('112'!$M$9,2),B2775&lt;'112'!$K$9,$O2775='112'!$I$6)),"x",""))</f>
        <v/>
      </c>
      <c r="W2775" s="79" t="str">
        <f>IF(AND('341-CT'!$H$9=H2775,OR(LEFT(N2775,3)=$W$7,LEFT(O2775,3)=$W$7)),"x","")</f>
        <v/>
      </c>
      <c r="X2775" s="79" t="str">
        <f>IF(OR(TH!N2775=TH!$X$7,O2775=TH!$X$7),"x","")</f>
        <v/>
      </c>
      <c r="Y2775" s="79" t="str">
        <f>IF(AND(OR(N2775="131",O2775="131"),H2775='131-CT'!$H$9),"x","")</f>
        <v/>
      </c>
      <c r="Z2775" s="79"/>
      <c r="AA2775" s="79" t="str">
        <f>IF(AND(MONTH(E2775)='IN-NX'!$J$5,'IN-NX'!$D$7=D2775),"x","")</f>
        <v/>
      </c>
      <c r="AB2775" s="79" t="str">
        <f>IF(AND(OR(LEFT(TH!N2775,2)="15",LEFT(TH!O2775,2)="15"),LEFT(TH!O2775,3)&lt;&gt;"111",'152-CT'!$J$8=TH!F2775),"x","")</f>
        <v/>
      </c>
      <c r="AC2775" s="79" t="str">
        <f>IF(AND(OR(LEFT(TH!N2775,2)="15",LEFT(TH!O2775,2)="15"),TK!$E$7=TH!F2775),"x","")</f>
        <v/>
      </c>
      <c r="AD2775" s="79" t="str">
        <f>IF(AND(N2775="1521",MONTH(C2775)='BK-NL'!$M$11),"x","")</f>
        <v/>
      </c>
    </row>
    <row r="2776" spans="1:30" ht="18" customHeight="1">
      <c r="A2776" s="318" t="str">
        <f>IF(B2776&lt;&gt;"",IF(AND(B2776='IN-TC'!$S$4,OR(TH!N2776="1111",TH!O2776="1111")),TH!D2776,""),"")</f>
        <v/>
      </c>
      <c r="B2776" s="60" t="str">
        <f t="shared" si="309"/>
        <v/>
      </c>
      <c r="C2776" s="301"/>
      <c r="D2776" s="301"/>
      <c r="E2776" s="301"/>
      <c r="F2776" s="1162"/>
      <c r="G2776" s="968"/>
      <c r="H2776" s="303"/>
      <c r="I2776" s="385"/>
      <c r="J2776" s="969"/>
      <c r="K2776" s="385"/>
      <c r="L2776" s="392"/>
      <c r="M2776" s="970"/>
      <c r="N2776" s="304"/>
      <c r="O2776" s="304"/>
      <c r="P2776" s="79" t="str">
        <f>IF(AND('331-CT'!$E$7=TH!H2776,OR(N2776="331",O2776="331")),"x","")</f>
        <v/>
      </c>
      <c r="Q2776" s="79" t="str">
        <f>IF(AND(B2776='111'!$L$11,OR($N2776=$Q$7,$O2776=$Q$7)),"x","")</f>
        <v/>
      </c>
      <c r="R2776" s="79" t="str">
        <f>IF(AND($N2776=$Q$7,$B2776&lt;'111'!$L$11),"x","")</f>
        <v/>
      </c>
      <c r="S2776" s="79" t="str">
        <f>IF(AND($O2776=$Q$7,$B2776&lt;'111'!$L$11),"x","")</f>
        <v/>
      </c>
      <c r="T2776" s="79" t="str">
        <f>IF(ISERROR(FIND('112'!$M$9,G2776,1)),"",IF((AND(FIND('112'!$M$9,G2776,1)&gt;=1,B2776='112'!$K$9,OR($N2776='112'!$I$6,$O2776='112'!$I$6))),"x",""))</f>
        <v/>
      </c>
      <c r="U2776" s="79" t="str">
        <f>IF(ISERROR(FIND('112'!$M$9,G2776,1)),"",IF((AND(LEFT(G2776,2)=LEFT('112'!$M$9,2),B2776&lt;'112'!$K$9,$N2776='112'!$I$6)),"x",""))</f>
        <v/>
      </c>
      <c r="V2776" s="79" t="str">
        <f>IF(ISERROR(FIND('112'!$M$9,G2776,1)),"",IF((AND(RIGHT(G2776,2)=RIGHT('112'!$M$9,2),B2776&lt;'112'!$K$9,$O2776='112'!$I$6)),"x",""))</f>
        <v/>
      </c>
      <c r="W2776" s="79" t="str">
        <f>IF(AND('341-CT'!$H$9=H2776,OR(LEFT(N2776,3)=$W$7,LEFT(O2776,3)=$W$7)),"x","")</f>
        <v/>
      </c>
      <c r="X2776" s="79" t="str">
        <f>IF(OR(TH!N2776=TH!$X$7,O2776=TH!$X$7),"x","")</f>
        <v/>
      </c>
      <c r="Y2776" s="79" t="str">
        <f>IF(AND(OR(N2776="131",O2776="131"),H2776='131-CT'!$H$9),"x","")</f>
        <v/>
      </c>
      <c r="Z2776" s="79"/>
      <c r="AA2776" s="79" t="str">
        <f>IF(AND(MONTH(E2776)='IN-NX'!$J$5,'IN-NX'!$D$7=D2776),"x","")</f>
        <v/>
      </c>
      <c r="AB2776" s="79" t="str">
        <f>IF(AND(OR(LEFT(TH!N2776,2)="15",LEFT(TH!O2776,2)="15"),LEFT(TH!O2776,3)&lt;&gt;"111",'152-CT'!$J$8=TH!F2776),"x","")</f>
        <v/>
      </c>
      <c r="AC2776" s="79" t="str">
        <f>IF(AND(OR(LEFT(TH!N2776,2)="15",LEFT(TH!O2776,2)="15"),TK!$E$7=TH!F2776),"x","")</f>
        <v/>
      </c>
      <c r="AD2776" s="79" t="str">
        <f>IF(AND(N2776="1521",MONTH(C2776)='BK-NL'!$M$11),"x","")</f>
        <v/>
      </c>
    </row>
    <row r="2777" spans="1:30" ht="16.5" customHeight="1">
      <c r="A2777" s="318" t="str">
        <f>IF(B2777&lt;&gt;"",IF(AND(B2777='IN-TC'!$S$4,OR(TH!N2777="1111",TH!O2777="1111")),TH!D2777,""),"")</f>
        <v/>
      </c>
      <c r="B2777" s="60" t="str">
        <f t="shared" si="309"/>
        <v/>
      </c>
      <c r="C2777" s="301"/>
      <c r="D2777" s="301"/>
      <c r="E2777" s="301"/>
      <c r="F2777" s="1162"/>
      <c r="G2777" s="968"/>
      <c r="H2777" s="303"/>
      <c r="I2777" s="385"/>
      <c r="J2777" s="969"/>
      <c r="K2777" s="385"/>
      <c r="L2777" s="392"/>
      <c r="M2777" s="970"/>
      <c r="N2777" s="304"/>
      <c r="O2777" s="304"/>
      <c r="P2777" s="79" t="str">
        <f>IF(AND('331-CT'!$E$7=TH!H2777,OR(N2777="331",O2777="331")),"x","")</f>
        <v/>
      </c>
      <c r="Q2777" s="79" t="str">
        <f>IF(AND(B2777='111'!$L$11,OR($N2777=$Q$7,$O2777=$Q$7)),"x","")</f>
        <v/>
      </c>
      <c r="R2777" s="79" t="str">
        <f>IF(AND($N2777=$Q$7,$B2777&lt;'111'!$L$11),"x","")</f>
        <v/>
      </c>
      <c r="S2777" s="79" t="str">
        <f>IF(AND($O2777=$Q$7,$B2777&lt;'111'!$L$11),"x","")</f>
        <v/>
      </c>
      <c r="T2777" s="79" t="str">
        <f>IF(ISERROR(FIND('112'!$M$9,G2777,1)),"",IF((AND(FIND('112'!$M$9,G2777,1)&gt;=1,B2777='112'!$K$9,OR($N2777='112'!$I$6,$O2777='112'!$I$6))),"x",""))</f>
        <v/>
      </c>
      <c r="U2777" s="79" t="str">
        <f>IF(ISERROR(FIND('112'!$M$9,G2777,1)),"",IF((AND(LEFT(G2777,2)=LEFT('112'!$M$9,2),B2777&lt;'112'!$K$9,$N2777='112'!$I$6)),"x",""))</f>
        <v/>
      </c>
      <c r="V2777" s="79" t="str">
        <f>IF(ISERROR(FIND('112'!$M$9,G2777,1)),"",IF((AND(RIGHT(G2777,2)=RIGHT('112'!$M$9,2),B2777&lt;'112'!$K$9,$O2777='112'!$I$6)),"x",""))</f>
        <v/>
      </c>
      <c r="W2777" s="79" t="str">
        <f>IF(AND('341-CT'!$H$9=H2777,OR(LEFT(N2777,3)=$W$7,LEFT(O2777,3)=$W$7)),"x","")</f>
        <v/>
      </c>
      <c r="X2777" s="79" t="str">
        <f>IF(OR(TH!N2777=TH!$X$7,O2777=TH!$X$7),"x","")</f>
        <v/>
      </c>
      <c r="Y2777" s="79" t="str">
        <f>IF(AND(OR(N2777="131",O2777="131"),H2777='131-CT'!$H$9),"x","")</f>
        <v/>
      </c>
      <c r="Z2777" s="79"/>
      <c r="AA2777" s="79" t="str">
        <f>IF(AND(MONTH(E2777)='IN-NX'!$J$5,'IN-NX'!$D$7=D2777),"x","")</f>
        <v/>
      </c>
      <c r="AB2777" s="79" t="str">
        <f>IF(AND(OR(LEFT(TH!N2777,2)="15",LEFT(TH!O2777,2)="15"),LEFT(TH!O2777,3)&lt;&gt;"111",'152-CT'!$J$8=TH!F2777),"x","")</f>
        <v/>
      </c>
      <c r="AC2777" s="79" t="str">
        <f>IF(AND(OR(LEFT(TH!N2777,2)="15",LEFT(TH!O2777,2)="15"),TK!$E$7=TH!F2777),"x","")</f>
        <v/>
      </c>
      <c r="AD2777" s="79" t="str">
        <f>IF(AND(N2777="1521",MONTH(C2777)='BK-NL'!$M$11),"x","")</f>
        <v/>
      </c>
    </row>
    <row r="2778" spans="1:30" ht="16.5" customHeight="1">
      <c r="A2778" s="318" t="str">
        <f>IF(B2778&lt;&gt;"",IF(AND(B2778='IN-TC'!$S$4,OR(TH!N2778="1111",TH!O2778="1111")),TH!D2778,""),"")</f>
        <v/>
      </c>
      <c r="B2778" s="60" t="str">
        <f t="shared" si="309"/>
        <v/>
      </c>
      <c r="C2778" s="301"/>
      <c r="D2778" s="301"/>
      <c r="E2778" s="301"/>
      <c r="F2778" s="1162"/>
      <c r="G2778" s="968"/>
      <c r="H2778" s="303"/>
      <c r="I2778" s="385"/>
      <c r="J2778" s="969"/>
      <c r="K2778" s="385"/>
      <c r="L2778" s="392"/>
      <c r="M2778" s="970"/>
      <c r="N2778" s="304"/>
      <c r="O2778" s="304"/>
      <c r="P2778" s="79" t="str">
        <f>IF(AND('331-CT'!$E$7=TH!H2778,OR(N2778="331",O2778="331")),"x","")</f>
        <v/>
      </c>
      <c r="Q2778" s="79" t="str">
        <f>IF(AND(B2778='111'!$L$11,OR($N2778=$Q$7,$O2778=$Q$7)),"x","")</f>
        <v/>
      </c>
      <c r="R2778" s="79" t="str">
        <f>IF(AND($N2778=$Q$7,$B2778&lt;'111'!$L$11),"x","")</f>
        <v/>
      </c>
      <c r="S2778" s="79" t="str">
        <f>IF(AND($O2778=$Q$7,$B2778&lt;'111'!$L$11),"x","")</f>
        <v/>
      </c>
      <c r="T2778" s="79" t="str">
        <f>IF(ISERROR(FIND('112'!$M$9,G2778,1)),"",IF((AND(FIND('112'!$M$9,G2778,1)&gt;=1,B2778='112'!$K$9,OR($N2778='112'!$I$6,$O2778='112'!$I$6))),"x",""))</f>
        <v/>
      </c>
      <c r="U2778" s="79" t="str">
        <f>IF(ISERROR(FIND('112'!$M$9,G2778,1)),"",IF((AND(LEFT(G2778,2)=LEFT('112'!$M$9,2),B2778&lt;'112'!$K$9,$N2778='112'!$I$6)),"x",""))</f>
        <v/>
      </c>
      <c r="V2778" s="79" t="str">
        <f>IF(ISERROR(FIND('112'!$M$9,G2778,1)),"",IF((AND(RIGHT(G2778,2)=RIGHT('112'!$M$9,2),B2778&lt;'112'!$K$9,$O2778='112'!$I$6)),"x",""))</f>
        <v/>
      </c>
      <c r="W2778" s="79" t="str">
        <f>IF(AND('341-CT'!$H$9=H2778,OR(LEFT(N2778,3)=$W$7,LEFT(O2778,3)=$W$7)),"x","")</f>
        <v/>
      </c>
      <c r="X2778" s="79" t="str">
        <f>IF(OR(TH!N2778=TH!$X$7,O2778=TH!$X$7),"x","")</f>
        <v/>
      </c>
      <c r="Y2778" s="79" t="str">
        <f>IF(AND(OR(N2778="131",O2778="131"),H2778='131-CT'!$H$9),"x","")</f>
        <v/>
      </c>
      <c r="Z2778" s="79"/>
      <c r="AA2778" s="79" t="str">
        <f>IF(AND(MONTH(E2778)='IN-NX'!$J$5,'IN-NX'!$D$7=D2778),"x","")</f>
        <v/>
      </c>
      <c r="AB2778" s="79" t="str">
        <f>IF(AND(OR(LEFT(TH!N2778,2)="15",LEFT(TH!O2778,2)="15"),LEFT(TH!O2778,3)&lt;&gt;"111",'152-CT'!$J$8=TH!F2778),"x","")</f>
        <v/>
      </c>
      <c r="AC2778" s="79" t="str">
        <f>IF(AND(OR(LEFT(TH!N2778,2)="15",LEFT(TH!O2778,2)="15"),TK!$E$7=TH!F2778),"x","")</f>
        <v/>
      </c>
      <c r="AD2778" s="79" t="str">
        <f>IF(AND(N2778="1521",MONTH(C2778)='BK-NL'!$M$11),"x","")</f>
        <v/>
      </c>
    </row>
    <row r="2779" spans="1:30" ht="16.5" customHeight="1">
      <c r="A2779" s="318" t="str">
        <f>IF(B2779&lt;&gt;"",IF(AND(B2779='IN-TC'!$S$4,OR(TH!N2779="1111",TH!O2779="1111")),TH!D2779,""),"")</f>
        <v/>
      </c>
      <c r="B2779" s="60" t="str">
        <f t="shared" si="309"/>
        <v/>
      </c>
      <c r="C2779" s="301"/>
      <c r="D2779" s="301"/>
      <c r="E2779" s="301"/>
      <c r="F2779" s="1162"/>
      <c r="G2779" s="968"/>
      <c r="H2779" s="303"/>
      <c r="I2779" s="385"/>
      <c r="J2779" s="969"/>
      <c r="K2779" s="385"/>
      <c r="L2779" s="392"/>
      <c r="M2779" s="970"/>
      <c r="N2779" s="304"/>
      <c r="O2779" s="304"/>
      <c r="P2779" s="79" t="str">
        <f>IF(AND('331-CT'!$E$7=TH!H2779,OR(N2779="331",O2779="331")),"x","")</f>
        <v/>
      </c>
      <c r="Q2779" s="79" t="str">
        <f>IF(AND(B2779='111'!$L$11,OR($N2779=$Q$7,$O2779=$Q$7)),"x","")</f>
        <v/>
      </c>
      <c r="R2779" s="79" t="str">
        <f>IF(AND($N2779=$Q$7,$B2779&lt;'111'!$L$11),"x","")</f>
        <v/>
      </c>
      <c r="S2779" s="79" t="str">
        <f>IF(AND($O2779=$Q$7,$B2779&lt;'111'!$L$11),"x","")</f>
        <v/>
      </c>
      <c r="T2779" s="79" t="str">
        <f>IF(ISERROR(FIND('112'!$M$9,G2779,1)),"",IF((AND(FIND('112'!$M$9,G2779,1)&gt;=1,B2779='112'!$K$9,OR($N2779='112'!$I$6,$O2779='112'!$I$6))),"x",""))</f>
        <v/>
      </c>
      <c r="U2779" s="79" t="str">
        <f>IF(ISERROR(FIND('112'!$M$9,G2779,1)),"",IF((AND(LEFT(G2779,2)=LEFT('112'!$M$9,2),B2779&lt;'112'!$K$9,$N2779='112'!$I$6)),"x",""))</f>
        <v/>
      </c>
      <c r="V2779" s="79" t="str">
        <f>IF(ISERROR(FIND('112'!$M$9,G2779,1)),"",IF((AND(RIGHT(G2779,2)=RIGHT('112'!$M$9,2),B2779&lt;'112'!$K$9,$O2779='112'!$I$6)),"x",""))</f>
        <v/>
      </c>
      <c r="W2779" s="79" t="str">
        <f>IF(AND('341-CT'!$H$9=H2779,OR(LEFT(N2779,3)=$W$7,LEFT(O2779,3)=$W$7)),"x","")</f>
        <v/>
      </c>
      <c r="X2779" s="79" t="str">
        <f>IF(OR(TH!N2779=TH!$X$7,O2779=TH!$X$7),"x","")</f>
        <v/>
      </c>
      <c r="Y2779" s="79" t="str">
        <f>IF(AND(OR(N2779="131",O2779="131"),H2779='131-CT'!$H$9),"x","")</f>
        <v/>
      </c>
      <c r="Z2779" s="79"/>
      <c r="AA2779" s="79" t="str">
        <f>IF(AND(MONTH(E2779)='IN-NX'!$J$5,'IN-NX'!$D$7=D2779),"x","")</f>
        <v/>
      </c>
      <c r="AB2779" s="79" t="str">
        <f>IF(AND(OR(LEFT(TH!N2779,2)="15",LEFT(TH!O2779,2)="15"),LEFT(TH!O2779,3)&lt;&gt;"111",'152-CT'!$J$8=TH!F2779),"x","")</f>
        <v/>
      </c>
      <c r="AC2779" s="79" t="str">
        <f>IF(AND(OR(LEFT(TH!N2779,2)="15",LEFT(TH!O2779,2)="15"),TK!$E$7=TH!F2779),"x","")</f>
        <v/>
      </c>
      <c r="AD2779" s="79" t="str">
        <f>IF(AND(N2779="1521",MONTH(C2779)='BK-NL'!$M$11),"x","")</f>
        <v/>
      </c>
    </row>
    <row r="2780" spans="1:30" ht="16.5" customHeight="1">
      <c r="A2780" s="318" t="str">
        <f>IF(B2780&lt;&gt;"",IF(AND(B2780='IN-TC'!$S$4,OR(TH!N2780="1111",TH!O2780="1111")),TH!D2780,""),"")</f>
        <v/>
      </c>
      <c r="B2780" s="60" t="str">
        <f t="shared" si="309"/>
        <v/>
      </c>
      <c r="C2780" s="301"/>
      <c r="D2780" s="301"/>
      <c r="E2780" s="301"/>
      <c r="F2780" s="1162"/>
      <c r="G2780" s="968"/>
      <c r="H2780" s="303"/>
      <c r="I2780" s="385"/>
      <c r="J2780" s="969"/>
      <c r="K2780" s="385"/>
      <c r="L2780" s="392"/>
      <c r="M2780" s="970"/>
      <c r="N2780" s="304"/>
      <c r="O2780" s="304"/>
      <c r="P2780" s="79" t="str">
        <f>IF(AND('331-CT'!$E$7=TH!H2780,OR(N2780="331",O2780="331")),"x","")</f>
        <v/>
      </c>
      <c r="Q2780" s="79" t="str">
        <f>IF(AND(B2780='111'!$L$11,OR($N2780=$Q$7,$O2780=$Q$7)),"x","")</f>
        <v/>
      </c>
      <c r="R2780" s="79" t="str">
        <f>IF(AND($N2780=$Q$7,$B2780&lt;'111'!$L$11),"x","")</f>
        <v/>
      </c>
      <c r="S2780" s="79" t="str">
        <f>IF(AND($O2780=$Q$7,$B2780&lt;'111'!$L$11),"x","")</f>
        <v/>
      </c>
      <c r="T2780" s="79" t="str">
        <f>IF(ISERROR(FIND('112'!$M$9,G2780,1)),"",IF((AND(FIND('112'!$M$9,G2780,1)&gt;=1,B2780='112'!$K$9,OR($N2780='112'!$I$6,$O2780='112'!$I$6))),"x",""))</f>
        <v/>
      </c>
      <c r="U2780" s="79" t="str">
        <f>IF(ISERROR(FIND('112'!$M$9,G2780,1)),"",IF((AND(LEFT(G2780,2)=LEFT('112'!$M$9,2),B2780&lt;'112'!$K$9,$N2780='112'!$I$6)),"x",""))</f>
        <v/>
      </c>
      <c r="V2780" s="79" t="str">
        <f>IF(ISERROR(FIND('112'!$M$9,G2780,1)),"",IF((AND(RIGHT(G2780,2)=RIGHT('112'!$M$9,2),B2780&lt;'112'!$K$9,$O2780='112'!$I$6)),"x",""))</f>
        <v/>
      </c>
      <c r="W2780" s="79" t="str">
        <f>IF(AND('341-CT'!$H$9=H2780,OR(LEFT(N2780,3)=$W$7,LEFT(O2780,3)=$W$7)),"x","")</f>
        <v/>
      </c>
      <c r="X2780" s="79" t="str">
        <f>IF(OR(TH!N2780=TH!$X$7,O2780=TH!$X$7),"x","")</f>
        <v/>
      </c>
      <c r="Y2780" s="79" t="str">
        <f>IF(AND(OR(N2780="131",O2780="131"),H2780='131-CT'!$H$9),"x","")</f>
        <v/>
      </c>
      <c r="Z2780" s="79"/>
      <c r="AA2780" s="79" t="str">
        <f>IF(AND(MONTH(E2780)='IN-NX'!$J$5,'IN-NX'!$D$7=D2780),"x","")</f>
        <v/>
      </c>
      <c r="AB2780" s="79" t="str">
        <f>IF(AND(OR(LEFT(TH!N2780,2)="15",LEFT(TH!O2780,2)="15"),LEFT(TH!O2780,3)&lt;&gt;"111",'152-CT'!$J$8=TH!F2780),"x","")</f>
        <v/>
      </c>
      <c r="AC2780" s="79" t="str">
        <f>IF(AND(OR(LEFT(TH!N2780,2)="15",LEFT(TH!O2780,2)="15"),TK!$E$7=TH!F2780),"x","")</f>
        <v/>
      </c>
      <c r="AD2780" s="79" t="str">
        <f>IF(AND(N2780="1521",MONTH(C2780)='BK-NL'!$M$11),"x","")</f>
        <v/>
      </c>
    </row>
    <row r="2781" spans="1:30" ht="16.5" customHeight="1">
      <c r="A2781" s="318" t="str">
        <f>IF(B2781&lt;&gt;"",IF(AND(B2781='IN-TC'!$S$4,OR(TH!N2781="1111",TH!O2781="1111")),TH!D2781,""),"")</f>
        <v/>
      </c>
      <c r="B2781" s="60" t="str">
        <f t="shared" ref="B2781" si="310">IF(C2781&lt;&gt;"",MONTH(C2781),"")</f>
        <v/>
      </c>
      <c r="C2781" s="301"/>
      <c r="D2781" s="301"/>
      <c r="E2781" s="301"/>
      <c r="F2781" s="1162"/>
      <c r="G2781" s="988"/>
      <c r="H2781" s="303"/>
      <c r="I2781" s="385"/>
      <c r="J2781" s="969"/>
      <c r="K2781" s="385"/>
      <c r="L2781" s="392"/>
      <c r="M2781" s="970"/>
      <c r="N2781" s="304"/>
      <c r="O2781" s="304"/>
      <c r="P2781" s="79" t="str">
        <f>IF(AND('331-CT'!$E$7=TH!H2781,OR(N2781="331",O2781="331")),"x","")</f>
        <v/>
      </c>
      <c r="Q2781" s="79" t="str">
        <f>IF(AND(B2781='111'!$L$11,OR($N2781=$Q$7,$O2781=$Q$7)),"x","")</f>
        <v/>
      </c>
      <c r="R2781" s="79" t="str">
        <f>IF(AND($N2781=$Q$7,$B2781&lt;'111'!$L$11),"x","")</f>
        <v/>
      </c>
      <c r="S2781" s="79" t="str">
        <f>IF(AND($O2781=$Q$7,$B2781&lt;'111'!$L$11),"x","")</f>
        <v/>
      </c>
      <c r="T2781" s="79" t="str">
        <f>IF(ISERROR(FIND('112'!$M$9,G2781,1)),"",IF((AND(FIND('112'!$M$9,G2781,1)&gt;=1,B2781='112'!$K$9,OR($N2781='112'!$I$6,$O2781='112'!$I$6))),"x",""))</f>
        <v/>
      </c>
      <c r="U2781" s="79" t="str">
        <f>IF(ISERROR(FIND('112'!$M$9,G2781,1)),"",IF((AND(LEFT(G2781,2)=LEFT('112'!$M$9,2),B2781&lt;'112'!$K$9,$N2781='112'!$I$6)),"x",""))</f>
        <v/>
      </c>
      <c r="V2781" s="79" t="str">
        <f>IF(ISERROR(FIND('112'!$M$9,G2781,1)),"",IF((AND(RIGHT(G2781,2)=RIGHT('112'!$M$9,2),B2781&lt;'112'!$K$9,$O2781='112'!$I$6)),"x",""))</f>
        <v/>
      </c>
      <c r="W2781" s="79" t="str">
        <f>IF(AND('341-CT'!$H$9=H2781,OR(LEFT(N2781,3)=$W$7,LEFT(O2781,3)=$W$7)),"x","")</f>
        <v/>
      </c>
      <c r="X2781" s="79" t="str">
        <f>IF(OR(TH!N2781=TH!$X$7,O2781=TH!$X$7),"x","")</f>
        <v/>
      </c>
      <c r="Y2781" s="79" t="str">
        <f>IF(AND(OR(N2781="131",O2781="131"),H2781='131-CT'!$H$9),"x","")</f>
        <v/>
      </c>
      <c r="Z2781" s="79"/>
      <c r="AA2781" s="79" t="str">
        <f>IF(AND(MONTH(E2781)='IN-NX'!$J$5,'IN-NX'!$D$7=D2781),"x","")</f>
        <v/>
      </c>
      <c r="AB2781" s="79" t="str">
        <f>IF(AND(OR(LEFT(TH!N2781,2)="15",LEFT(TH!O2781,2)="15"),LEFT(TH!O2781,3)&lt;&gt;"111",'152-CT'!$J$8=TH!F2781),"x","")</f>
        <v/>
      </c>
      <c r="AC2781" s="79" t="str">
        <f>IF(AND(OR(LEFT(TH!N2781,2)="15",LEFT(TH!O2781,2)="15"),TK!$E$7=TH!F2781),"x","")</f>
        <v/>
      </c>
      <c r="AD2781" s="79" t="str">
        <f>IF(AND(N2781="1521",MONTH(C2781)='BK-NL'!$M$11),"x","")</f>
        <v/>
      </c>
    </row>
    <row r="2782" spans="1:30" ht="16.5" customHeight="1">
      <c r="A2782" s="318" t="str">
        <f>IF(B2782&lt;&gt;"",IF(AND(B2782='IN-TC'!$S$4,OR(TH!N2782="1111",TH!O2782="1111")),TH!D2782,""),"")</f>
        <v/>
      </c>
      <c r="B2782" s="60" t="str">
        <f t="shared" ref="B2782:B2791" si="311">IF(C2782&lt;&gt;"",MONTH(C2782),"")</f>
        <v/>
      </c>
      <c r="C2782" s="301"/>
      <c r="D2782" s="301"/>
      <c r="E2782" s="301"/>
      <c r="F2782" s="1162"/>
      <c r="G2782" s="968"/>
      <c r="H2782" s="303"/>
      <c r="I2782" s="385"/>
      <c r="J2782" s="969"/>
      <c r="K2782" s="385"/>
      <c r="L2782" s="392"/>
      <c r="M2782" s="970"/>
      <c r="N2782" s="304"/>
      <c r="O2782" s="304"/>
      <c r="P2782" s="79" t="str">
        <f>IF(AND('331-CT'!$E$7=TH!H2782,OR(N2782="331",O2782="331")),"x","")</f>
        <v/>
      </c>
      <c r="Q2782" s="79" t="str">
        <f>IF(AND(B2782='111'!$L$11,OR($N2782=$Q$7,$O2782=$Q$7)),"x","")</f>
        <v/>
      </c>
      <c r="R2782" s="79" t="str">
        <f>IF(AND($N2782=$Q$7,$B2782&lt;'111'!$L$11),"x","")</f>
        <v/>
      </c>
      <c r="S2782" s="79" t="str">
        <f>IF(AND($O2782=$Q$7,$B2782&lt;'111'!$L$11),"x","")</f>
        <v/>
      </c>
      <c r="T2782" s="79" t="str">
        <f>IF(ISERROR(FIND('112'!$M$9,G2782,1)),"",IF((AND(FIND('112'!$M$9,G2782,1)&gt;=1,B2782='112'!$K$9,OR($N2782='112'!$I$6,$O2782='112'!$I$6))),"x",""))</f>
        <v/>
      </c>
      <c r="U2782" s="79" t="str">
        <f>IF(ISERROR(FIND('112'!$M$9,G2782,1)),"",IF((AND(LEFT(G2782,2)=LEFT('112'!$M$9,2),B2782&lt;'112'!$K$9,$N2782='112'!$I$6)),"x",""))</f>
        <v/>
      </c>
      <c r="V2782" s="79" t="str">
        <f>IF(ISERROR(FIND('112'!$M$9,G2782,1)),"",IF((AND(RIGHT(G2782,2)=RIGHT('112'!$M$9,2),B2782&lt;'112'!$K$9,$O2782='112'!$I$6)),"x",""))</f>
        <v/>
      </c>
      <c r="W2782" s="79" t="str">
        <f>IF(AND('341-CT'!$H$9=H2782,OR(LEFT(N2782,3)=$W$7,LEFT(O2782,3)=$W$7)),"x","")</f>
        <v/>
      </c>
      <c r="X2782" s="79" t="str">
        <f>IF(OR(TH!N2782=TH!$X$7,O2782=TH!$X$7),"x","")</f>
        <v/>
      </c>
      <c r="Y2782" s="79" t="str">
        <f>IF(AND(OR(N2782="131",O2782="131"),H2782='131-CT'!$H$9),"x","")</f>
        <v/>
      </c>
      <c r="Z2782" s="79"/>
      <c r="AA2782" s="79" t="str">
        <f>IF(AND(MONTH(E2782)='IN-NX'!$J$5,'IN-NX'!$D$7=D2782),"x","")</f>
        <v/>
      </c>
      <c r="AB2782" s="79" t="str">
        <f>IF(AND(OR(LEFT(TH!N2782,2)="15",LEFT(TH!O2782,2)="15"),LEFT(TH!O2782,3)&lt;&gt;"111",'152-CT'!$J$8=TH!F2782),"x","")</f>
        <v/>
      </c>
      <c r="AC2782" s="79" t="str">
        <f>IF(AND(OR(LEFT(TH!N2782,2)="15",LEFT(TH!O2782,2)="15"),TK!$E$7=TH!F2782),"x","")</f>
        <v/>
      </c>
      <c r="AD2782" s="79" t="str">
        <f>IF(AND(N2782="1521",MONTH(C2782)='BK-NL'!$M$11),"x","")</f>
        <v/>
      </c>
    </row>
    <row r="2783" spans="1:30" ht="17.25" customHeight="1">
      <c r="A2783" s="318" t="str">
        <f>IF(B2783&lt;&gt;"",IF(AND(B2783='IN-TC'!$S$4,OR(TH!N2783="1111",TH!O2783="1111")),TH!D2783,""),"")</f>
        <v/>
      </c>
      <c r="B2783" s="60" t="str">
        <f t="shared" si="311"/>
        <v/>
      </c>
      <c r="C2783" s="301"/>
      <c r="D2783" s="301"/>
      <c r="E2783" s="301"/>
      <c r="F2783" s="1162"/>
      <c r="G2783" s="968"/>
      <c r="H2783" s="303"/>
      <c r="I2783" s="385"/>
      <c r="J2783" s="969"/>
      <c r="K2783" s="385"/>
      <c r="L2783" s="392"/>
      <c r="M2783" s="970"/>
      <c r="N2783" s="304"/>
      <c r="O2783" s="304"/>
      <c r="P2783" s="79" t="str">
        <f>IF(AND('331-CT'!$E$7=TH!H2783,OR(N2783="331",O2783="331")),"x","")</f>
        <v/>
      </c>
      <c r="Q2783" s="79" t="str">
        <f>IF(AND(B2783='111'!$L$11,OR($N2783=$Q$7,$O2783=$Q$7)),"x","")</f>
        <v/>
      </c>
      <c r="R2783" s="79" t="str">
        <f>IF(AND($N2783=$Q$7,$B2783&lt;'111'!$L$11),"x","")</f>
        <v/>
      </c>
      <c r="S2783" s="79" t="str">
        <f>IF(AND($O2783=$Q$7,$B2783&lt;'111'!$L$11),"x","")</f>
        <v/>
      </c>
      <c r="T2783" s="79" t="str">
        <f>IF(ISERROR(FIND('112'!$M$9,G2783,1)),"",IF((AND(FIND('112'!$M$9,G2783,1)&gt;=1,B2783='112'!$K$9,OR($N2783='112'!$I$6,$O2783='112'!$I$6))),"x",""))</f>
        <v/>
      </c>
      <c r="U2783" s="79" t="str">
        <f>IF(ISERROR(FIND('112'!$M$9,G2783,1)),"",IF((AND(LEFT(G2783,2)=LEFT('112'!$M$9,2),B2783&lt;'112'!$K$9,$N2783='112'!$I$6)),"x",""))</f>
        <v/>
      </c>
      <c r="V2783" s="79" t="str">
        <f>IF(ISERROR(FIND('112'!$M$9,G2783,1)),"",IF((AND(RIGHT(G2783,2)=RIGHT('112'!$M$9,2),B2783&lt;'112'!$K$9,$O2783='112'!$I$6)),"x",""))</f>
        <v/>
      </c>
      <c r="W2783" s="79" t="str">
        <f>IF(AND('341-CT'!$H$9=H2783,OR(LEFT(N2783,3)=$W$7,LEFT(O2783,3)=$W$7)),"x","")</f>
        <v/>
      </c>
      <c r="X2783" s="79" t="str">
        <f>IF(OR(TH!N2783=TH!$X$7,O2783=TH!$X$7),"x","")</f>
        <v/>
      </c>
      <c r="Y2783" s="79" t="str">
        <f>IF(AND(OR(N2783="131",O2783="131"),H2783='131-CT'!$H$9),"x","")</f>
        <v/>
      </c>
      <c r="Z2783" s="79"/>
      <c r="AA2783" s="79" t="str">
        <f>IF(AND(MONTH(E2783)='IN-NX'!$J$5,'IN-NX'!$D$7=D2783),"x","")</f>
        <v/>
      </c>
      <c r="AB2783" s="79" t="str">
        <f>IF(AND(OR(LEFT(TH!N2783,2)="15",LEFT(TH!O2783,2)="15"),LEFT(TH!O2783,3)&lt;&gt;"111",'152-CT'!$J$8=TH!F2783),"x","")</f>
        <v/>
      </c>
      <c r="AC2783" s="79" t="str">
        <f>IF(AND(OR(LEFT(TH!N2783,2)="15",LEFT(TH!O2783,2)="15"),TK!$E$7=TH!F2783),"x","")</f>
        <v/>
      </c>
      <c r="AD2783" s="79" t="str">
        <f>IF(AND(N2783="1521",MONTH(C2783)='BK-NL'!$M$11),"x","")</f>
        <v/>
      </c>
    </row>
    <row r="2784" spans="1:30" ht="16.5" customHeight="1">
      <c r="A2784" s="318" t="str">
        <f>IF(B2784&lt;&gt;"",IF(AND(B2784='IN-TC'!$S$4,OR(TH!N2784="1111",TH!O2784="1111")),TH!D2784,""),"")</f>
        <v/>
      </c>
      <c r="B2784" s="60" t="str">
        <f t="shared" si="311"/>
        <v/>
      </c>
      <c r="C2784" s="301"/>
      <c r="D2784" s="301"/>
      <c r="E2784" s="301"/>
      <c r="F2784" s="302"/>
      <c r="G2784" s="968"/>
      <c r="H2784" s="303"/>
      <c r="I2784" s="385"/>
      <c r="J2784" s="969"/>
      <c r="K2784" s="385"/>
      <c r="L2784" s="392"/>
      <c r="M2784" s="970"/>
      <c r="N2784" s="304"/>
      <c r="O2784" s="304"/>
      <c r="P2784" s="79" t="str">
        <f>IF(AND('331-CT'!$E$7=TH!H2784,OR(N2784="331",O2784="331")),"x","")</f>
        <v/>
      </c>
      <c r="Q2784" s="79" t="str">
        <f>IF(AND(B2784='111'!$L$11,OR($N2784=$Q$7,$O2784=$Q$7)),"x","")</f>
        <v/>
      </c>
      <c r="R2784" s="79" t="str">
        <f>IF(AND($N2784=$Q$7,$B2784&lt;'111'!$L$11),"x","")</f>
        <v/>
      </c>
      <c r="S2784" s="79" t="str">
        <f>IF(AND($O2784=$Q$7,$B2784&lt;'111'!$L$11),"x","")</f>
        <v/>
      </c>
      <c r="T2784" s="79" t="str">
        <f>IF(ISERROR(FIND('112'!$M$9,G2784,1)),"",IF((AND(FIND('112'!$M$9,G2784,1)&gt;=1,B2784='112'!$K$9,OR($N2784='112'!$I$6,$O2784='112'!$I$6))),"x",""))</f>
        <v/>
      </c>
      <c r="U2784" s="79" t="str">
        <f>IF(ISERROR(FIND('112'!$M$9,G2784,1)),"",IF((AND(LEFT(G2784,2)=LEFT('112'!$M$9,2),B2784&lt;'112'!$K$9,$N2784='112'!$I$6)),"x",""))</f>
        <v/>
      </c>
      <c r="V2784" s="79" t="str">
        <f>IF(ISERROR(FIND('112'!$M$9,G2784,1)),"",IF((AND(RIGHT(G2784,2)=RIGHT('112'!$M$9,2),B2784&lt;'112'!$K$9,$O2784='112'!$I$6)),"x",""))</f>
        <v/>
      </c>
      <c r="W2784" s="79" t="str">
        <f>IF(AND('341-CT'!$H$9=H2784,OR(LEFT(N2784,3)=$W$7,LEFT(O2784,3)=$W$7)),"x","")</f>
        <v/>
      </c>
      <c r="X2784" s="79" t="str">
        <f>IF(OR(TH!N2784=TH!$X$7,O2784=TH!$X$7),"x","")</f>
        <v/>
      </c>
      <c r="Y2784" s="79" t="str">
        <f>IF(AND(OR(N2784="131",O2784="131"),H2784='131-CT'!$H$9),"x","")</f>
        <v/>
      </c>
      <c r="Z2784" s="79"/>
      <c r="AA2784" s="79" t="str">
        <f>IF(AND(MONTH(E2784)='IN-NX'!$J$5,'IN-NX'!$D$7=D2784),"x","")</f>
        <v/>
      </c>
      <c r="AB2784" s="79" t="str">
        <f>IF(AND(OR(LEFT(TH!N2784,2)="15",LEFT(TH!O2784,2)="15"),LEFT(TH!O2784,3)&lt;&gt;"111",'152-CT'!$J$8=TH!F2784),"x","")</f>
        <v/>
      </c>
      <c r="AC2784" s="79" t="str">
        <f>IF(AND(OR(LEFT(TH!N2784,2)="15",LEFT(TH!O2784,2)="15"),TK!$E$7=TH!F2784),"x","")</f>
        <v/>
      </c>
      <c r="AD2784" s="79" t="str">
        <f>IF(AND(N2784="1521",MONTH(C2784)='BK-NL'!$M$11),"x","")</f>
        <v/>
      </c>
    </row>
    <row r="2785" spans="1:30" ht="16.5" customHeight="1">
      <c r="A2785" s="318" t="str">
        <f>IF(B2785&lt;&gt;"",IF(AND(B2785='IN-TC'!$S$4,OR(TH!N2785="1111",TH!O2785="1111")),TH!D2785,""),"")</f>
        <v/>
      </c>
      <c r="B2785" s="60" t="str">
        <f t="shared" si="311"/>
        <v/>
      </c>
      <c r="C2785" s="301"/>
      <c r="D2785" s="301"/>
      <c r="E2785" s="301"/>
      <c r="F2785" s="302"/>
      <c r="G2785" s="968"/>
      <c r="H2785" s="303"/>
      <c r="I2785" s="385"/>
      <c r="J2785" s="969"/>
      <c r="K2785" s="385"/>
      <c r="L2785" s="392"/>
      <c r="M2785" s="970"/>
      <c r="N2785" s="304"/>
      <c r="O2785" s="304"/>
      <c r="P2785" s="79" t="str">
        <f>IF(AND('331-CT'!$E$7=TH!H2785,OR(N2785="331",O2785="331")),"x","")</f>
        <v/>
      </c>
      <c r="Q2785" s="79" t="str">
        <f>IF(AND(B2785='111'!$L$11,OR($N2785=$Q$7,$O2785=$Q$7)),"x","")</f>
        <v/>
      </c>
      <c r="R2785" s="79" t="str">
        <f>IF(AND($N2785=$Q$7,$B2785&lt;'111'!$L$11),"x","")</f>
        <v/>
      </c>
      <c r="S2785" s="79" t="str">
        <f>IF(AND($O2785=$Q$7,$B2785&lt;'111'!$L$11),"x","")</f>
        <v/>
      </c>
      <c r="T2785" s="79" t="str">
        <f>IF(ISERROR(FIND('112'!$M$9,G2785,1)),"",IF((AND(FIND('112'!$M$9,G2785,1)&gt;=1,B2785='112'!$K$9,OR($N2785='112'!$I$6,$O2785='112'!$I$6))),"x",""))</f>
        <v/>
      </c>
      <c r="U2785" s="79" t="str">
        <f>IF(ISERROR(FIND('112'!$M$9,G2785,1)),"",IF((AND(LEFT(G2785,2)=LEFT('112'!$M$9,2),B2785&lt;'112'!$K$9,$N2785='112'!$I$6)),"x",""))</f>
        <v/>
      </c>
      <c r="V2785" s="79" t="str">
        <f>IF(ISERROR(FIND('112'!$M$9,G2785,1)),"",IF((AND(RIGHT(G2785,2)=RIGHT('112'!$M$9,2),B2785&lt;'112'!$K$9,$O2785='112'!$I$6)),"x",""))</f>
        <v/>
      </c>
      <c r="W2785" s="79" t="str">
        <f>IF(AND('341-CT'!$H$9=H2785,OR(LEFT(N2785,3)=$W$7,LEFT(O2785,3)=$W$7)),"x","")</f>
        <v/>
      </c>
      <c r="X2785" s="79" t="str">
        <f>IF(OR(TH!N2785=TH!$X$7,O2785=TH!$X$7),"x","")</f>
        <v/>
      </c>
      <c r="Y2785" s="79" t="str">
        <f>IF(AND(OR(N2785="131",O2785="131"),H2785='131-CT'!$H$9),"x","")</f>
        <v/>
      </c>
      <c r="Z2785" s="79"/>
      <c r="AA2785" s="79" t="str">
        <f>IF(AND(MONTH(E2785)='IN-NX'!$J$5,'IN-NX'!$D$7=D2785),"x","")</f>
        <v/>
      </c>
      <c r="AB2785" s="79" t="str">
        <f>IF(AND(OR(LEFT(TH!N2785,2)="15",LEFT(TH!O2785,2)="15"),LEFT(TH!O2785,3)&lt;&gt;"111",'152-CT'!$J$8=TH!F2785),"x","")</f>
        <v/>
      </c>
      <c r="AC2785" s="79" t="str">
        <f>IF(AND(OR(LEFT(TH!N2785,2)="15",LEFT(TH!O2785,2)="15"),TK!$E$7=TH!F2785),"x","")</f>
        <v/>
      </c>
      <c r="AD2785" s="79" t="str">
        <f>IF(AND(N2785="1521",MONTH(C2785)='BK-NL'!$M$11),"x","")</f>
        <v/>
      </c>
    </row>
    <row r="2786" spans="1:30" ht="16.5" customHeight="1">
      <c r="A2786" s="318" t="str">
        <f>IF(B2786&lt;&gt;"",IF(AND(B2786='IN-TC'!$S$4,OR(TH!N2786="1111",TH!O2786="1111")),TH!D2786,""),"")</f>
        <v/>
      </c>
      <c r="B2786" s="60" t="str">
        <f t="shared" si="311"/>
        <v/>
      </c>
      <c r="C2786" s="301"/>
      <c r="D2786" s="301"/>
      <c r="E2786" s="301"/>
      <c r="F2786" s="1162"/>
      <c r="G2786" s="968"/>
      <c r="H2786" s="303"/>
      <c r="I2786" s="385"/>
      <c r="J2786" s="969"/>
      <c r="K2786" s="385"/>
      <c r="L2786" s="392"/>
      <c r="M2786" s="970"/>
      <c r="N2786" s="304"/>
      <c r="O2786" s="304"/>
      <c r="P2786" s="79" t="str">
        <f>IF(AND('331-CT'!$E$7=TH!H2786,OR(N2786="331",O2786="331")),"x","")</f>
        <v/>
      </c>
      <c r="Q2786" s="79" t="str">
        <f>IF(AND(B2786='111'!$L$11,OR($N2786=$Q$7,$O2786=$Q$7)),"x","")</f>
        <v/>
      </c>
      <c r="R2786" s="79" t="str">
        <f>IF(AND($N2786=$Q$7,$B2786&lt;'111'!$L$11),"x","")</f>
        <v/>
      </c>
      <c r="S2786" s="79" t="str">
        <f>IF(AND($O2786=$Q$7,$B2786&lt;'111'!$L$11),"x","")</f>
        <v/>
      </c>
      <c r="T2786" s="79" t="str">
        <f>IF(ISERROR(FIND('112'!$M$9,G2786,1)),"",IF((AND(FIND('112'!$M$9,G2786,1)&gt;=1,B2786='112'!$K$9,OR($N2786='112'!$I$6,$O2786='112'!$I$6))),"x",""))</f>
        <v/>
      </c>
      <c r="U2786" s="79" t="str">
        <f>IF(ISERROR(FIND('112'!$M$9,G2786,1)),"",IF((AND(LEFT(G2786,2)=LEFT('112'!$M$9,2),B2786&lt;'112'!$K$9,$N2786='112'!$I$6)),"x",""))</f>
        <v/>
      </c>
      <c r="V2786" s="79" t="str">
        <f>IF(ISERROR(FIND('112'!$M$9,G2786,1)),"",IF((AND(RIGHT(G2786,2)=RIGHT('112'!$M$9,2),B2786&lt;'112'!$K$9,$O2786='112'!$I$6)),"x",""))</f>
        <v/>
      </c>
      <c r="W2786" s="79" t="str">
        <f>IF(AND('341-CT'!$H$9=H2786,OR(LEFT(N2786,3)=$W$7,LEFT(O2786,3)=$W$7)),"x","")</f>
        <v/>
      </c>
      <c r="X2786" s="79" t="str">
        <f>IF(OR(TH!N2786=TH!$X$7,O2786=TH!$X$7),"x","")</f>
        <v/>
      </c>
      <c r="Y2786" s="79" t="str">
        <f>IF(AND(OR(N2786="131",O2786="131"),H2786='131-CT'!$H$9),"x","")</f>
        <v/>
      </c>
      <c r="Z2786" s="79"/>
      <c r="AA2786" s="79" t="str">
        <f>IF(AND(MONTH(E2786)='IN-NX'!$J$5,'IN-NX'!$D$7=D2786),"x","")</f>
        <v/>
      </c>
      <c r="AB2786" s="79" t="str">
        <f>IF(AND(OR(LEFT(TH!N2786,2)="15",LEFT(TH!O2786,2)="15"),LEFT(TH!O2786,3)&lt;&gt;"111",'152-CT'!$J$8=TH!F2786),"x","")</f>
        <v/>
      </c>
      <c r="AC2786" s="79" t="str">
        <f>IF(AND(OR(LEFT(TH!N2786,2)="15",LEFT(TH!O2786,2)="15"),TK!$E$7=TH!F2786),"x","")</f>
        <v/>
      </c>
      <c r="AD2786" s="79" t="str">
        <f>IF(AND(N2786="1521",MONTH(C2786)='BK-NL'!$M$11),"x","")</f>
        <v/>
      </c>
    </row>
    <row r="2787" spans="1:30" ht="16.5" customHeight="1">
      <c r="A2787" s="318" t="str">
        <f>IF(B2787&lt;&gt;"",IF(AND(B2787='IN-TC'!$S$4,OR(TH!N2787="1111",TH!O2787="1111")),TH!D2787,""),"")</f>
        <v/>
      </c>
      <c r="B2787" s="60" t="str">
        <f t="shared" si="311"/>
        <v/>
      </c>
      <c r="C2787" s="301"/>
      <c r="D2787" s="301"/>
      <c r="E2787" s="301"/>
      <c r="F2787" s="1162"/>
      <c r="G2787" s="968"/>
      <c r="H2787" s="303"/>
      <c r="I2787" s="385"/>
      <c r="J2787" s="969"/>
      <c r="K2787" s="385"/>
      <c r="L2787" s="392"/>
      <c r="M2787" s="970"/>
      <c r="N2787" s="304"/>
      <c r="O2787" s="304"/>
      <c r="P2787" s="79" t="str">
        <f>IF(AND('331-CT'!$E$7=TH!H2787,OR(N2787="331",O2787="331")),"x","")</f>
        <v/>
      </c>
      <c r="Q2787" s="79" t="str">
        <f>IF(AND(B2787='111'!$L$11,OR($N2787=$Q$7,$O2787=$Q$7)),"x","")</f>
        <v/>
      </c>
      <c r="R2787" s="79" t="str">
        <f>IF(AND($N2787=$Q$7,$B2787&lt;'111'!$L$11),"x","")</f>
        <v/>
      </c>
      <c r="S2787" s="79" t="str">
        <f>IF(AND($O2787=$Q$7,$B2787&lt;'111'!$L$11),"x","")</f>
        <v/>
      </c>
      <c r="T2787" s="79" t="str">
        <f>IF(ISERROR(FIND('112'!$M$9,G2787,1)),"",IF((AND(FIND('112'!$M$9,G2787,1)&gt;=1,B2787='112'!$K$9,OR($N2787='112'!$I$6,$O2787='112'!$I$6))),"x",""))</f>
        <v/>
      </c>
      <c r="U2787" s="79" t="str">
        <f>IF(ISERROR(FIND('112'!$M$9,G2787,1)),"",IF((AND(LEFT(G2787,2)=LEFT('112'!$M$9,2),B2787&lt;'112'!$K$9,$N2787='112'!$I$6)),"x",""))</f>
        <v/>
      </c>
      <c r="V2787" s="79" t="str">
        <f>IF(ISERROR(FIND('112'!$M$9,G2787,1)),"",IF((AND(RIGHT(G2787,2)=RIGHT('112'!$M$9,2),B2787&lt;'112'!$K$9,$O2787='112'!$I$6)),"x",""))</f>
        <v/>
      </c>
      <c r="W2787" s="79" t="str">
        <f>IF(AND('341-CT'!$H$9=H2787,OR(LEFT(N2787,3)=$W$7,LEFT(O2787,3)=$W$7)),"x","")</f>
        <v/>
      </c>
      <c r="X2787" s="79" t="str">
        <f>IF(OR(TH!N2787=TH!$X$7,O2787=TH!$X$7),"x","")</f>
        <v/>
      </c>
      <c r="Y2787" s="79" t="str">
        <f>IF(AND(OR(N2787="131",O2787="131"),H2787='131-CT'!$H$9),"x","")</f>
        <v/>
      </c>
      <c r="Z2787" s="79"/>
      <c r="AA2787" s="79" t="str">
        <f>IF(AND(MONTH(E2787)='IN-NX'!$J$5,'IN-NX'!$D$7=D2787),"x","")</f>
        <v/>
      </c>
      <c r="AB2787" s="79" t="str">
        <f>IF(AND(OR(LEFT(TH!N2787,2)="15",LEFT(TH!O2787,2)="15"),LEFT(TH!O2787,3)&lt;&gt;"111",'152-CT'!$J$8=TH!F2787),"x","")</f>
        <v/>
      </c>
      <c r="AC2787" s="79" t="str">
        <f>IF(AND(OR(LEFT(TH!N2787,2)="15",LEFT(TH!O2787,2)="15"),TK!$E$7=TH!F2787),"x","")</f>
        <v/>
      </c>
      <c r="AD2787" s="79" t="str">
        <f>IF(AND(N2787="1521",MONTH(C2787)='BK-NL'!$M$11),"x","")</f>
        <v/>
      </c>
    </row>
    <row r="2788" spans="1:30" ht="18" customHeight="1">
      <c r="A2788" s="318" t="str">
        <f>IF(B2788&lt;&gt;"",IF(AND(B2788='IN-TC'!$S$4,OR(TH!N2788="1111",TH!O2788="1111")),TH!D2788,""),"")</f>
        <v/>
      </c>
      <c r="B2788" s="60" t="str">
        <f t="shared" si="311"/>
        <v/>
      </c>
      <c r="C2788" s="301"/>
      <c r="D2788" s="301"/>
      <c r="E2788" s="301"/>
      <c r="F2788" s="1162"/>
      <c r="G2788" s="968"/>
      <c r="H2788" s="303"/>
      <c r="I2788" s="385"/>
      <c r="J2788" s="969"/>
      <c r="K2788" s="385"/>
      <c r="L2788" s="392"/>
      <c r="M2788" s="970"/>
      <c r="N2788" s="304"/>
      <c r="O2788" s="304"/>
      <c r="P2788" s="79" t="str">
        <f>IF(AND('331-CT'!$E$7=TH!H2788,OR(N2788="331",O2788="331")),"x","")</f>
        <v/>
      </c>
      <c r="Q2788" s="79" t="str">
        <f>IF(AND(B2788='111'!$L$11,OR($N2788=$Q$7,$O2788=$Q$7)),"x","")</f>
        <v/>
      </c>
      <c r="R2788" s="79" t="str">
        <f>IF(AND($N2788=$Q$7,$B2788&lt;'111'!$L$11),"x","")</f>
        <v/>
      </c>
      <c r="S2788" s="79" t="str">
        <f>IF(AND($O2788=$Q$7,$B2788&lt;'111'!$L$11),"x","")</f>
        <v/>
      </c>
      <c r="T2788" s="79" t="str">
        <f>IF(ISERROR(FIND('112'!$M$9,G2788,1)),"",IF((AND(FIND('112'!$M$9,G2788,1)&gt;=1,B2788='112'!$K$9,OR($N2788='112'!$I$6,$O2788='112'!$I$6))),"x",""))</f>
        <v/>
      </c>
      <c r="U2788" s="79" t="str">
        <f>IF(ISERROR(FIND('112'!$M$9,G2788,1)),"",IF((AND(LEFT(G2788,2)=LEFT('112'!$M$9,2),B2788&lt;'112'!$K$9,$N2788='112'!$I$6)),"x",""))</f>
        <v/>
      </c>
      <c r="V2788" s="79" t="str">
        <f>IF(ISERROR(FIND('112'!$M$9,G2788,1)),"",IF((AND(RIGHT(G2788,2)=RIGHT('112'!$M$9,2),B2788&lt;'112'!$K$9,$O2788='112'!$I$6)),"x",""))</f>
        <v/>
      </c>
      <c r="W2788" s="79" t="str">
        <f>IF(AND('341-CT'!$H$9=H2788,OR(LEFT(N2788,3)=$W$7,LEFT(O2788,3)=$W$7)),"x","")</f>
        <v/>
      </c>
      <c r="X2788" s="79" t="str">
        <f>IF(OR(TH!N2788=TH!$X$7,O2788=TH!$X$7),"x","")</f>
        <v/>
      </c>
      <c r="Y2788" s="79" t="str">
        <f>IF(AND(OR(N2788="131",O2788="131"),H2788='131-CT'!$H$9),"x","")</f>
        <v/>
      </c>
      <c r="Z2788" s="79"/>
      <c r="AA2788" s="79" t="str">
        <f>IF(AND(MONTH(E2788)='IN-NX'!$J$5,'IN-NX'!$D$7=D2788),"x","")</f>
        <v/>
      </c>
      <c r="AB2788" s="79" t="str">
        <f>IF(AND(OR(LEFT(TH!N2788,2)="15",LEFT(TH!O2788,2)="15"),LEFT(TH!O2788,3)&lt;&gt;"111",'152-CT'!$J$8=TH!F2788),"x","")</f>
        <v/>
      </c>
      <c r="AC2788" s="79" t="str">
        <f>IF(AND(OR(LEFT(TH!N2788,2)="15",LEFT(TH!O2788,2)="15"),TK!$E$7=TH!F2788),"x","")</f>
        <v/>
      </c>
      <c r="AD2788" s="79" t="str">
        <f>IF(AND(N2788="1521",MONTH(C2788)='BK-NL'!$M$11),"x","")</f>
        <v/>
      </c>
    </row>
    <row r="2789" spans="1:30" ht="18" customHeight="1">
      <c r="A2789" s="318" t="str">
        <f>IF(B2789&lt;&gt;"",IF(AND(B2789='IN-TC'!$S$4,OR(TH!N2789="1111",TH!O2789="1111")),TH!D2789,""),"")</f>
        <v/>
      </c>
      <c r="B2789" s="60" t="str">
        <f t="shared" si="311"/>
        <v/>
      </c>
      <c r="C2789" s="301"/>
      <c r="D2789" s="301"/>
      <c r="E2789" s="301"/>
      <c r="F2789" s="1162"/>
      <c r="G2789" s="968"/>
      <c r="H2789" s="303"/>
      <c r="I2789" s="385"/>
      <c r="J2789" s="969"/>
      <c r="K2789" s="385"/>
      <c r="L2789" s="392"/>
      <c r="M2789" s="970"/>
      <c r="N2789" s="304"/>
      <c r="O2789" s="304"/>
      <c r="P2789" s="79" t="str">
        <f>IF(AND('331-CT'!$E$7=TH!H2789,OR(N2789="331",O2789="331")),"x","")</f>
        <v/>
      </c>
      <c r="Q2789" s="79" t="str">
        <f>IF(AND(B2789='111'!$L$11,OR($N2789=$Q$7,$O2789=$Q$7)),"x","")</f>
        <v/>
      </c>
      <c r="R2789" s="79" t="str">
        <f>IF(AND($N2789=$Q$7,$B2789&lt;'111'!$L$11),"x","")</f>
        <v/>
      </c>
      <c r="S2789" s="79" t="str">
        <f>IF(AND($O2789=$Q$7,$B2789&lt;'111'!$L$11),"x","")</f>
        <v/>
      </c>
      <c r="T2789" s="79" t="str">
        <f>IF(ISERROR(FIND('112'!$M$9,G2789,1)),"",IF((AND(FIND('112'!$M$9,G2789,1)&gt;=1,B2789='112'!$K$9,OR($N2789='112'!$I$6,$O2789='112'!$I$6))),"x",""))</f>
        <v/>
      </c>
      <c r="U2789" s="79" t="str">
        <f>IF(ISERROR(FIND('112'!$M$9,G2789,1)),"",IF((AND(LEFT(G2789,2)=LEFT('112'!$M$9,2),B2789&lt;'112'!$K$9,$N2789='112'!$I$6)),"x",""))</f>
        <v/>
      </c>
      <c r="V2789" s="79" t="str">
        <f>IF(ISERROR(FIND('112'!$M$9,G2789,1)),"",IF((AND(RIGHT(G2789,2)=RIGHT('112'!$M$9,2),B2789&lt;'112'!$K$9,$O2789='112'!$I$6)),"x",""))</f>
        <v/>
      </c>
      <c r="W2789" s="79" t="str">
        <f>IF(AND('341-CT'!$H$9=H2789,OR(LEFT(N2789,3)=$W$7,LEFT(O2789,3)=$W$7)),"x","")</f>
        <v/>
      </c>
      <c r="X2789" s="79" t="str">
        <f>IF(OR(TH!N2789=TH!$X$7,O2789=TH!$X$7),"x","")</f>
        <v/>
      </c>
      <c r="Y2789" s="79" t="str">
        <f>IF(AND(OR(N2789="131",O2789="131"),H2789='131-CT'!$H$9),"x","")</f>
        <v/>
      </c>
      <c r="Z2789" s="79"/>
      <c r="AA2789" s="79" t="str">
        <f>IF(AND(MONTH(E2789)='IN-NX'!$J$5,'IN-NX'!$D$7=D2789),"x","")</f>
        <v/>
      </c>
      <c r="AB2789" s="79" t="str">
        <f>IF(AND(OR(LEFT(TH!N2789,2)="15",LEFT(TH!O2789,2)="15"),LEFT(TH!O2789,3)&lt;&gt;"111",'152-CT'!$J$8=TH!F2789),"x","")</f>
        <v/>
      </c>
      <c r="AC2789" s="79" t="str">
        <f>IF(AND(OR(LEFT(TH!N2789,2)="15",LEFT(TH!O2789,2)="15"),TK!$E$7=TH!F2789),"x","")</f>
        <v/>
      </c>
      <c r="AD2789" s="79" t="str">
        <f>IF(AND(N2789="1521",MONTH(C2789)='BK-NL'!$M$11),"x","")</f>
        <v/>
      </c>
    </row>
    <row r="2790" spans="1:30" ht="16.5" customHeight="1">
      <c r="A2790" s="318" t="str">
        <f>IF(B2790&lt;&gt;"",IF(AND(B2790='IN-TC'!$S$4,OR(TH!N2790="1111",TH!O2790="1111")),TH!D2790,""),"")</f>
        <v/>
      </c>
      <c r="B2790" s="60" t="str">
        <f t="shared" si="311"/>
        <v/>
      </c>
      <c r="C2790" s="301"/>
      <c r="D2790" s="301"/>
      <c r="E2790" s="301"/>
      <c r="F2790" s="1162"/>
      <c r="G2790" s="968"/>
      <c r="H2790" s="303"/>
      <c r="I2790" s="385"/>
      <c r="J2790" s="969"/>
      <c r="K2790" s="385"/>
      <c r="L2790" s="392"/>
      <c r="M2790" s="970"/>
      <c r="N2790" s="304"/>
      <c r="O2790" s="304"/>
      <c r="P2790" s="79" t="str">
        <f>IF(AND('331-CT'!$E$7=TH!H2790,OR(N2790="331",O2790="331")),"x","")</f>
        <v/>
      </c>
      <c r="Q2790" s="79" t="str">
        <f>IF(AND(B2790='111'!$L$11,OR($N2790=$Q$7,$O2790=$Q$7)),"x","")</f>
        <v/>
      </c>
      <c r="R2790" s="79" t="str">
        <f>IF(AND($N2790=$Q$7,$B2790&lt;'111'!$L$11),"x","")</f>
        <v/>
      </c>
      <c r="S2790" s="79" t="str">
        <f>IF(AND($O2790=$Q$7,$B2790&lt;'111'!$L$11),"x","")</f>
        <v/>
      </c>
      <c r="T2790" s="79" t="str">
        <f>IF(ISERROR(FIND('112'!$M$9,G2790,1)),"",IF((AND(FIND('112'!$M$9,G2790,1)&gt;=1,B2790='112'!$K$9,OR($N2790='112'!$I$6,$O2790='112'!$I$6))),"x",""))</f>
        <v/>
      </c>
      <c r="U2790" s="79" t="str">
        <f>IF(ISERROR(FIND('112'!$M$9,G2790,1)),"",IF((AND(LEFT(G2790,2)=LEFT('112'!$M$9,2),B2790&lt;'112'!$K$9,$N2790='112'!$I$6)),"x",""))</f>
        <v/>
      </c>
      <c r="V2790" s="79" t="str">
        <f>IF(ISERROR(FIND('112'!$M$9,G2790,1)),"",IF((AND(RIGHT(G2790,2)=RIGHT('112'!$M$9,2),B2790&lt;'112'!$K$9,$O2790='112'!$I$6)),"x",""))</f>
        <v/>
      </c>
      <c r="W2790" s="79" t="str">
        <f>IF(AND('341-CT'!$H$9=H2790,OR(LEFT(N2790,3)=$W$7,LEFT(O2790,3)=$W$7)),"x","")</f>
        <v/>
      </c>
      <c r="X2790" s="79" t="str">
        <f>IF(OR(TH!N2790=TH!$X$7,O2790=TH!$X$7),"x","")</f>
        <v/>
      </c>
      <c r="Y2790" s="79" t="str">
        <f>IF(AND(OR(N2790="131",O2790="131"),H2790='131-CT'!$H$9),"x","")</f>
        <v/>
      </c>
      <c r="Z2790" s="79"/>
      <c r="AA2790" s="79" t="str">
        <f>IF(AND(MONTH(E2790)='IN-NX'!$J$5,'IN-NX'!$D$7=D2790),"x","")</f>
        <v/>
      </c>
      <c r="AB2790" s="79" t="str">
        <f>IF(AND(OR(LEFT(TH!N2790,2)="15",LEFT(TH!O2790,2)="15"),LEFT(TH!O2790,3)&lt;&gt;"111",'152-CT'!$J$8=TH!F2790),"x","")</f>
        <v/>
      </c>
      <c r="AC2790" s="79" t="str">
        <f>IF(AND(OR(LEFT(TH!N2790,2)="15",LEFT(TH!O2790,2)="15"),TK!$E$7=TH!F2790),"x","")</f>
        <v/>
      </c>
      <c r="AD2790" s="79" t="str">
        <f>IF(AND(N2790="1521",MONTH(C2790)='BK-NL'!$M$11),"x","")</f>
        <v/>
      </c>
    </row>
    <row r="2791" spans="1:30" ht="16.5" customHeight="1">
      <c r="A2791" s="318" t="str">
        <f>IF(B2791&lt;&gt;"",IF(AND(B2791='IN-TC'!$S$4,OR(TH!N2791="1111",TH!O2791="1111")),TH!D2791,""),"")</f>
        <v/>
      </c>
      <c r="B2791" s="60" t="str">
        <f t="shared" si="311"/>
        <v/>
      </c>
      <c r="C2791" s="301"/>
      <c r="D2791" s="301"/>
      <c r="E2791" s="301"/>
      <c r="F2791" s="1162"/>
      <c r="G2791" s="968"/>
      <c r="H2791" s="303"/>
      <c r="I2791" s="385"/>
      <c r="J2791" s="969"/>
      <c r="K2791" s="385"/>
      <c r="L2791" s="392"/>
      <c r="M2791" s="970"/>
      <c r="N2791" s="304"/>
      <c r="O2791" s="304"/>
      <c r="P2791" s="79" t="str">
        <f>IF(AND('331-CT'!$E$7=TH!H2791,OR(N2791="331",O2791="331")),"x","")</f>
        <v/>
      </c>
      <c r="Q2791" s="79" t="str">
        <f>IF(AND(B2791='111'!$L$11,OR($N2791=$Q$7,$O2791=$Q$7)),"x","")</f>
        <v/>
      </c>
      <c r="R2791" s="79" t="str">
        <f>IF(AND($N2791=$Q$7,$B2791&lt;'111'!$L$11),"x","")</f>
        <v/>
      </c>
      <c r="S2791" s="79" t="str">
        <f>IF(AND($O2791=$Q$7,$B2791&lt;'111'!$L$11),"x","")</f>
        <v/>
      </c>
      <c r="T2791" s="79" t="str">
        <f>IF(ISERROR(FIND('112'!$M$9,G2791,1)),"",IF((AND(FIND('112'!$M$9,G2791,1)&gt;=1,B2791='112'!$K$9,OR($N2791='112'!$I$6,$O2791='112'!$I$6))),"x",""))</f>
        <v/>
      </c>
      <c r="U2791" s="79" t="str">
        <f>IF(ISERROR(FIND('112'!$M$9,G2791,1)),"",IF((AND(LEFT(G2791,2)=LEFT('112'!$M$9,2),B2791&lt;'112'!$K$9,$N2791='112'!$I$6)),"x",""))</f>
        <v/>
      </c>
      <c r="V2791" s="79" t="str">
        <f>IF(ISERROR(FIND('112'!$M$9,G2791,1)),"",IF((AND(RIGHT(G2791,2)=RIGHT('112'!$M$9,2),B2791&lt;'112'!$K$9,$O2791='112'!$I$6)),"x",""))</f>
        <v/>
      </c>
      <c r="W2791" s="79" t="str">
        <f>IF(AND('341-CT'!$H$9=H2791,OR(LEFT(N2791,3)=$W$7,LEFT(O2791,3)=$W$7)),"x","")</f>
        <v/>
      </c>
      <c r="X2791" s="79" t="str">
        <f>IF(OR(TH!N2791=TH!$X$7,O2791=TH!$X$7),"x","")</f>
        <v/>
      </c>
      <c r="Y2791" s="79" t="str">
        <f>IF(AND(OR(N2791="131",O2791="131"),H2791='131-CT'!$H$9),"x","")</f>
        <v/>
      </c>
      <c r="Z2791" s="79"/>
      <c r="AA2791" s="79" t="str">
        <f>IF(AND(MONTH(E2791)='IN-NX'!$J$5,'IN-NX'!$D$7=D2791),"x","")</f>
        <v/>
      </c>
      <c r="AB2791" s="79" t="str">
        <f>IF(AND(OR(LEFT(TH!N2791,2)="15",LEFT(TH!O2791,2)="15"),LEFT(TH!O2791,3)&lt;&gt;"111",'152-CT'!$J$8=TH!F2791),"x","")</f>
        <v/>
      </c>
      <c r="AC2791" s="79" t="str">
        <f>IF(AND(OR(LEFT(TH!N2791,2)="15",LEFT(TH!O2791,2)="15"),TK!$E$7=TH!F2791),"x","")</f>
        <v/>
      </c>
      <c r="AD2791" s="79" t="str">
        <f>IF(AND(N2791="1521",MONTH(C2791)='BK-NL'!$M$11),"x","")</f>
        <v/>
      </c>
    </row>
    <row r="2792" spans="1:30" ht="18" customHeight="1">
      <c r="A2792" s="318" t="str">
        <f>IF(B2792&lt;&gt;"",IF(AND(B2792='IN-TC'!$S$4,OR(TH!N2792="1111",TH!O2792="1111")),TH!D2792,""),"")</f>
        <v/>
      </c>
      <c r="B2792" s="60" t="str">
        <f t="shared" ref="B2792:B2798" si="312">IF(C2792&lt;&gt;"",MONTH(C2792),"")</f>
        <v/>
      </c>
      <c r="C2792" s="301"/>
      <c r="D2792" s="301"/>
      <c r="E2792" s="301"/>
      <c r="F2792" s="1162"/>
      <c r="G2792" s="968"/>
      <c r="H2792" s="303"/>
      <c r="I2792" s="385"/>
      <c r="J2792" s="969"/>
      <c r="K2792" s="385"/>
      <c r="L2792" s="392"/>
      <c r="M2792" s="970"/>
      <c r="N2792" s="304"/>
      <c r="O2792" s="304"/>
      <c r="P2792" s="79" t="str">
        <f>IF(AND('331-CT'!$E$7=TH!H2792,OR(N2792="331",O2792="331")),"x","")</f>
        <v/>
      </c>
      <c r="Q2792" s="79" t="str">
        <f>IF(AND(B2792='111'!$L$11,OR($N2792=$Q$7,$O2792=$Q$7)),"x","")</f>
        <v/>
      </c>
      <c r="R2792" s="79" t="str">
        <f>IF(AND($N2792=$Q$7,$B2792&lt;'111'!$L$11),"x","")</f>
        <v/>
      </c>
      <c r="S2792" s="79" t="str">
        <f>IF(AND($O2792=$Q$7,$B2792&lt;'111'!$L$11),"x","")</f>
        <v/>
      </c>
      <c r="T2792" s="79" t="str">
        <f>IF(ISERROR(FIND('112'!$M$9,G2792,1)),"",IF((AND(FIND('112'!$M$9,G2792,1)&gt;=1,B2792='112'!$K$9,OR($N2792='112'!$I$6,$O2792='112'!$I$6))),"x",""))</f>
        <v/>
      </c>
      <c r="U2792" s="79" t="str">
        <f>IF(ISERROR(FIND('112'!$M$9,G2792,1)),"",IF((AND(LEFT(G2792,2)=LEFT('112'!$M$9,2),B2792&lt;'112'!$K$9,$N2792='112'!$I$6)),"x",""))</f>
        <v/>
      </c>
      <c r="V2792" s="79" t="str">
        <f>IF(ISERROR(FIND('112'!$M$9,G2792,1)),"",IF((AND(RIGHT(G2792,2)=RIGHT('112'!$M$9,2),B2792&lt;'112'!$K$9,$O2792='112'!$I$6)),"x",""))</f>
        <v/>
      </c>
      <c r="W2792" s="79" t="str">
        <f>IF(AND('341-CT'!$H$9=H2792,OR(LEFT(N2792,3)=$W$7,LEFT(O2792,3)=$W$7)),"x","")</f>
        <v/>
      </c>
      <c r="X2792" s="79" t="str">
        <f>IF(OR(TH!N2792=TH!$X$7,O2792=TH!$X$7),"x","")</f>
        <v/>
      </c>
      <c r="Y2792" s="79" t="str">
        <f>IF(AND(OR(N2792="131",O2792="131"),H2792='131-CT'!$H$9),"x","")</f>
        <v/>
      </c>
      <c r="Z2792" s="79"/>
      <c r="AA2792" s="79" t="str">
        <f>IF(AND(MONTH(E2792)='IN-NX'!$J$5,'IN-NX'!$D$7=D2792),"x","")</f>
        <v/>
      </c>
      <c r="AB2792" s="79" t="str">
        <f>IF(AND(OR(LEFT(TH!N2792,2)="15",LEFT(TH!O2792,2)="15"),LEFT(TH!O2792,3)&lt;&gt;"111",'152-CT'!$J$8=TH!F2792),"x","")</f>
        <v/>
      </c>
      <c r="AC2792" s="79" t="str">
        <f>IF(AND(OR(LEFT(TH!N2792,2)="15",LEFT(TH!O2792,2)="15"),TK!$E$7=TH!F2792),"x","")</f>
        <v/>
      </c>
      <c r="AD2792" s="79" t="str">
        <f>IF(AND(N2792="1521",MONTH(C2792)='BK-NL'!$M$11),"x","")</f>
        <v/>
      </c>
    </row>
    <row r="2793" spans="1:30" ht="18" customHeight="1">
      <c r="A2793" s="318" t="str">
        <f>IF(B2793&lt;&gt;"",IF(AND(B2793='IN-TC'!$S$4,OR(TH!N2793="1111",TH!O2793="1111")),TH!D2793,""),"")</f>
        <v/>
      </c>
      <c r="B2793" s="60" t="str">
        <f t="shared" si="312"/>
        <v/>
      </c>
      <c r="C2793" s="301"/>
      <c r="D2793" s="301"/>
      <c r="E2793" s="301"/>
      <c r="F2793" s="1162"/>
      <c r="G2793" s="968"/>
      <c r="H2793" s="303"/>
      <c r="I2793" s="385"/>
      <c r="J2793" s="969"/>
      <c r="K2793" s="385"/>
      <c r="L2793" s="392"/>
      <c r="M2793" s="970"/>
      <c r="N2793" s="304"/>
      <c r="O2793" s="304"/>
      <c r="P2793" s="79" t="str">
        <f>IF(AND('331-CT'!$E$7=TH!H2793,OR(N2793="331",O2793="331")),"x","")</f>
        <v/>
      </c>
      <c r="Q2793" s="79" t="str">
        <f>IF(AND(B2793='111'!$L$11,OR($N2793=$Q$7,$O2793=$Q$7)),"x","")</f>
        <v/>
      </c>
      <c r="R2793" s="79" t="str">
        <f>IF(AND($N2793=$Q$7,$B2793&lt;'111'!$L$11),"x","")</f>
        <v/>
      </c>
      <c r="S2793" s="79" t="str">
        <f>IF(AND($O2793=$Q$7,$B2793&lt;'111'!$L$11),"x","")</f>
        <v/>
      </c>
      <c r="T2793" s="79" t="str">
        <f>IF(ISERROR(FIND('112'!$M$9,G2793,1)),"",IF((AND(FIND('112'!$M$9,G2793,1)&gt;=1,B2793='112'!$K$9,OR($N2793='112'!$I$6,$O2793='112'!$I$6))),"x",""))</f>
        <v/>
      </c>
      <c r="U2793" s="79" t="str">
        <f>IF(ISERROR(FIND('112'!$M$9,G2793,1)),"",IF((AND(LEFT(G2793,2)=LEFT('112'!$M$9,2),B2793&lt;'112'!$K$9,$N2793='112'!$I$6)),"x",""))</f>
        <v/>
      </c>
      <c r="V2793" s="79" t="str">
        <f>IF(ISERROR(FIND('112'!$M$9,G2793,1)),"",IF((AND(RIGHT(G2793,2)=RIGHT('112'!$M$9,2),B2793&lt;'112'!$K$9,$O2793='112'!$I$6)),"x",""))</f>
        <v/>
      </c>
      <c r="W2793" s="79" t="str">
        <f>IF(AND('341-CT'!$H$9=H2793,OR(LEFT(N2793,3)=$W$7,LEFT(O2793,3)=$W$7)),"x","")</f>
        <v/>
      </c>
      <c r="X2793" s="79" t="str">
        <f>IF(OR(TH!N2793=TH!$X$7,O2793=TH!$X$7),"x","")</f>
        <v/>
      </c>
      <c r="Y2793" s="79" t="str">
        <f>IF(AND(OR(N2793="131",O2793="131"),H2793='131-CT'!$H$9),"x","")</f>
        <v/>
      </c>
      <c r="Z2793" s="79"/>
      <c r="AA2793" s="79" t="str">
        <f>IF(AND(MONTH(E2793)='IN-NX'!$J$5,'IN-NX'!$D$7=D2793),"x","")</f>
        <v/>
      </c>
      <c r="AB2793" s="79" t="str">
        <f>IF(AND(OR(LEFT(TH!N2793,2)="15",LEFT(TH!O2793,2)="15"),LEFT(TH!O2793,3)&lt;&gt;"111",'152-CT'!$J$8=TH!F2793),"x","")</f>
        <v/>
      </c>
      <c r="AC2793" s="79" t="str">
        <f>IF(AND(OR(LEFT(TH!N2793,2)="15",LEFT(TH!O2793,2)="15"),TK!$E$7=TH!F2793),"x","")</f>
        <v/>
      </c>
      <c r="AD2793" s="79" t="str">
        <f>IF(AND(N2793="1521",MONTH(C2793)='BK-NL'!$M$11),"x","")</f>
        <v/>
      </c>
    </row>
    <row r="2794" spans="1:30" ht="18" customHeight="1">
      <c r="A2794" s="318" t="str">
        <f>IF(B2794&lt;&gt;"",IF(AND(B2794='IN-TC'!$S$4,OR(TH!N2794="1111",TH!O2794="1111")),TH!D2794,""),"")</f>
        <v/>
      </c>
      <c r="B2794" s="60" t="str">
        <f t="shared" si="312"/>
        <v/>
      </c>
      <c r="C2794" s="301"/>
      <c r="D2794" s="301"/>
      <c r="E2794" s="301"/>
      <c r="F2794" s="1162"/>
      <c r="G2794" s="968"/>
      <c r="H2794" s="303"/>
      <c r="I2794" s="385"/>
      <c r="J2794" s="969"/>
      <c r="K2794" s="385"/>
      <c r="L2794" s="392"/>
      <c r="M2794" s="970"/>
      <c r="N2794" s="304"/>
      <c r="O2794" s="304"/>
      <c r="P2794" s="79" t="str">
        <f>IF(AND('331-CT'!$E$7=TH!H2794,OR(N2794="331",O2794="331")),"x","")</f>
        <v/>
      </c>
      <c r="Q2794" s="79" t="str">
        <f>IF(AND(B2794='111'!$L$11,OR($N2794=$Q$7,$O2794=$Q$7)),"x","")</f>
        <v/>
      </c>
      <c r="R2794" s="79" t="str">
        <f>IF(AND($N2794=$Q$7,$B2794&lt;'111'!$L$11),"x","")</f>
        <v/>
      </c>
      <c r="S2794" s="79" t="str">
        <f>IF(AND($O2794=$Q$7,$B2794&lt;'111'!$L$11),"x","")</f>
        <v/>
      </c>
      <c r="T2794" s="79" t="str">
        <f>IF(ISERROR(FIND('112'!$M$9,G2794,1)),"",IF((AND(FIND('112'!$M$9,G2794,1)&gt;=1,B2794='112'!$K$9,OR($N2794='112'!$I$6,$O2794='112'!$I$6))),"x",""))</f>
        <v/>
      </c>
      <c r="U2794" s="79" t="str">
        <f>IF(ISERROR(FIND('112'!$M$9,G2794,1)),"",IF((AND(LEFT(G2794,2)=LEFT('112'!$M$9,2),B2794&lt;'112'!$K$9,$N2794='112'!$I$6)),"x",""))</f>
        <v/>
      </c>
      <c r="V2794" s="79" t="str">
        <f>IF(ISERROR(FIND('112'!$M$9,G2794,1)),"",IF((AND(RIGHT(G2794,2)=RIGHT('112'!$M$9,2),B2794&lt;'112'!$K$9,$O2794='112'!$I$6)),"x",""))</f>
        <v/>
      </c>
      <c r="W2794" s="79" t="str">
        <f>IF(AND('341-CT'!$H$9=H2794,OR(LEFT(N2794,3)=$W$7,LEFT(O2794,3)=$W$7)),"x","")</f>
        <v/>
      </c>
      <c r="X2794" s="79" t="str">
        <f>IF(OR(TH!N2794=TH!$X$7,O2794=TH!$X$7),"x","")</f>
        <v/>
      </c>
      <c r="Y2794" s="79" t="str">
        <f>IF(AND(OR(N2794="131",O2794="131"),H2794='131-CT'!$H$9),"x","")</f>
        <v/>
      </c>
      <c r="Z2794" s="79"/>
      <c r="AA2794" s="79" t="str">
        <f>IF(AND(MONTH(E2794)='IN-NX'!$J$5,'IN-NX'!$D$7=D2794),"x","")</f>
        <v/>
      </c>
      <c r="AB2794" s="79" t="str">
        <f>IF(AND(OR(LEFT(TH!N2794,2)="15",LEFT(TH!O2794,2)="15"),LEFT(TH!O2794,3)&lt;&gt;"111",'152-CT'!$J$8=TH!F2794),"x","")</f>
        <v/>
      </c>
      <c r="AC2794" s="79" t="str">
        <f>IF(AND(OR(LEFT(TH!N2794,2)="15",LEFT(TH!O2794,2)="15"),TK!$E$7=TH!F2794),"x","")</f>
        <v/>
      </c>
      <c r="AD2794" s="79" t="str">
        <f>IF(AND(N2794="1521",MONTH(C2794)='BK-NL'!$M$11),"x","")</f>
        <v/>
      </c>
    </row>
    <row r="2795" spans="1:30" ht="18" customHeight="1">
      <c r="A2795" s="318" t="str">
        <f>IF(B2795&lt;&gt;"",IF(AND(B2795='IN-TC'!$S$4,OR(TH!N2795="1111",TH!O2795="1111")),TH!D2795,""),"")</f>
        <v/>
      </c>
      <c r="B2795" s="60" t="str">
        <f t="shared" si="312"/>
        <v/>
      </c>
      <c r="C2795" s="301"/>
      <c r="D2795" s="301"/>
      <c r="E2795" s="301"/>
      <c r="F2795" s="1162"/>
      <c r="G2795" s="968"/>
      <c r="H2795" s="303"/>
      <c r="I2795" s="385"/>
      <c r="J2795" s="969"/>
      <c r="K2795" s="385"/>
      <c r="L2795" s="392"/>
      <c r="M2795" s="970"/>
      <c r="N2795" s="304"/>
      <c r="O2795" s="304"/>
      <c r="P2795" s="79" t="str">
        <f>IF(AND('331-CT'!$E$7=TH!H2795,OR(N2795="331",O2795="331")),"x","")</f>
        <v/>
      </c>
      <c r="Q2795" s="79" t="str">
        <f>IF(AND(B2795='111'!$L$11,OR($N2795=$Q$7,$O2795=$Q$7)),"x","")</f>
        <v/>
      </c>
      <c r="R2795" s="79" t="str">
        <f>IF(AND($N2795=$Q$7,$B2795&lt;'111'!$L$11),"x","")</f>
        <v/>
      </c>
      <c r="S2795" s="79" t="str">
        <f>IF(AND($O2795=$Q$7,$B2795&lt;'111'!$L$11),"x","")</f>
        <v/>
      </c>
      <c r="T2795" s="79" t="str">
        <f>IF(ISERROR(FIND('112'!$M$9,G2795,1)),"",IF((AND(FIND('112'!$M$9,G2795,1)&gt;=1,B2795='112'!$K$9,OR($N2795='112'!$I$6,$O2795='112'!$I$6))),"x",""))</f>
        <v/>
      </c>
      <c r="U2795" s="79" t="str">
        <f>IF(ISERROR(FIND('112'!$M$9,G2795,1)),"",IF((AND(LEFT(G2795,2)=LEFT('112'!$M$9,2),B2795&lt;'112'!$K$9,$N2795='112'!$I$6)),"x",""))</f>
        <v/>
      </c>
      <c r="V2795" s="79" t="str">
        <f>IF(ISERROR(FIND('112'!$M$9,G2795,1)),"",IF((AND(RIGHT(G2795,2)=RIGHT('112'!$M$9,2),B2795&lt;'112'!$K$9,$O2795='112'!$I$6)),"x",""))</f>
        <v/>
      </c>
      <c r="W2795" s="79" t="str">
        <f>IF(AND('341-CT'!$H$9=H2795,OR(LEFT(N2795,3)=$W$7,LEFT(O2795,3)=$W$7)),"x","")</f>
        <v/>
      </c>
      <c r="X2795" s="79" t="str">
        <f>IF(OR(TH!N2795=TH!$X$7,O2795=TH!$X$7),"x","")</f>
        <v/>
      </c>
      <c r="Y2795" s="79" t="str">
        <f>IF(AND(OR(N2795="131",O2795="131"),H2795='131-CT'!$H$9),"x","")</f>
        <v/>
      </c>
      <c r="Z2795" s="79"/>
      <c r="AA2795" s="79" t="str">
        <f>IF(AND(MONTH(E2795)='IN-NX'!$J$5,'IN-NX'!$D$7=D2795),"x","")</f>
        <v/>
      </c>
      <c r="AB2795" s="79" t="str">
        <f>IF(AND(OR(LEFT(TH!N2795,2)="15",LEFT(TH!O2795,2)="15"),LEFT(TH!O2795,3)&lt;&gt;"111",'152-CT'!$J$8=TH!F2795),"x","")</f>
        <v/>
      </c>
      <c r="AC2795" s="79" t="str">
        <f>IF(AND(OR(LEFT(TH!N2795,2)="15",LEFT(TH!O2795,2)="15"),TK!$E$7=TH!F2795),"x","")</f>
        <v/>
      </c>
      <c r="AD2795" s="79" t="str">
        <f>IF(AND(N2795="1521",MONTH(C2795)='BK-NL'!$M$11),"x","")</f>
        <v/>
      </c>
    </row>
    <row r="2796" spans="1:30" ht="16.5" customHeight="1">
      <c r="A2796" s="318" t="str">
        <f>IF(B2796&lt;&gt;"",IF(AND(B2796='IN-TC'!$S$4,OR(TH!N2796="1111",TH!O2796="1111")),TH!D2796,""),"")</f>
        <v/>
      </c>
      <c r="B2796" s="60" t="str">
        <f t="shared" si="312"/>
        <v/>
      </c>
      <c r="C2796" s="301"/>
      <c r="D2796" s="301"/>
      <c r="E2796" s="301"/>
      <c r="F2796" s="1162"/>
      <c r="G2796" s="968"/>
      <c r="H2796" s="303"/>
      <c r="I2796" s="385"/>
      <c r="J2796" s="969"/>
      <c r="K2796" s="385"/>
      <c r="L2796" s="392"/>
      <c r="M2796" s="970"/>
      <c r="N2796" s="304"/>
      <c r="O2796" s="304"/>
      <c r="P2796" s="79" t="str">
        <f>IF(AND('331-CT'!$E$7=TH!H2796,OR(N2796="331",O2796="331")),"x","")</f>
        <v/>
      </c>
      <c r="Q2796" s="79" t="str">
        <f>IF(AND(B2796='111'!$L$11,OR($N2796=$Q$7,$O2796=$Q$7)),"x","")</f>
        <v/>
      </c>
      <c r="R2796" s="79" t="str">
        <f>IF(AND($N2796=$Q$7,$B2796&lt;'111'!$L$11),"x","")</f>
        <v/>
      </c>
      <c r="S2796" s="79" t="str">
        <f>IF(AND($O2796=$Q$7,$B2796&lt;'111'!$L$11),"x","")</f>
        <v/>
      </c>
      <c r="T2796" s="79" t="str">
        <f>IF(ISERROR(FIND('112'!$M$9,G2796,1)),"",IF((AND(FIND('112'!$M$9,G2796,1)&gt;=1,B2796='112'!$K$9,OR($N2796='112'!$I$6,$O2796='112'!$I$6))),"x",""))</f>
        <v/>
      </c>
      <c r="U2796" s="79" t="str">
        <f>IF(ISERROR(FIND('112'!$M$9,G2796,1)),"",IF((AND(LEFT(G2796,2)=LEFT('112'!$M$9,2),B2796&lt;'112'!$K$9,$N2796='112'!$I$6)),"x",""))</f>
        <v/>
      </c>
      <c r="V2796" s="79" t="str">
        <f>IF(ISERROR(FIND('112'!$M$9,G2796,1)),"",IF((AND(RIGHT(G2796,2)=RIGHT('112'!$M$9,2),B2796&lt;'112'!$K$9,$O2796='112'!$I$6)),"x",""))</f>
        <v/>
      </c>
      <c r="W2796" s="79" t="str">
        <f>IF(AND('341-CT'!$H$9=H2796,OR(LEFT(N2796,3)=$W$7,LEFT(O2796,3)=$W$7)),"x","")</f>
        <v/>
      </c>
      <c r="X2796" s="79" t="str">
        <f>IF(OR(TH!N2796=TH!$X$7,O2796=TH!$X$7),"x","")</f>
        <v/>
      </c>
      <c r="Y2796" s="79" t="str">
        <f>IF(AND(OR(N2796="131",O2796="131"),H2796='131-CT'!$H$9),"x","")</f>
        <v/>
      </c>
      <c r="Z2796" s="79"/>
      <c r="AA2796" s="79" t="str">
        <f>IF(AND(MONTH(E2796)='IN-NX'!$J$5,'IN-NX'!$D$7=D2796),"x","")</f>
        <v/>
      </c>
      <c r="AB2796" s="79" t="str">
        <f>IF(AND(OR(LEFT(TH!N2796,2)="15",LEFT(TH!O2796,2)="15"),LEFT(TH!O2796,3)&lt;&gt;"111",'152-CT'!$J$8=TH!F2796),"x","")</f>
        <v/>
      </c>
      <c r="AC2796" s="79" t="str">
        <f>IF(AND(OR(LEFT(TH!N2796,2)="15",LEFT(TH!O2796,2)="15"),TK!$E$7=TH!F2796),"x","")</f>
        <v/>
      </c>
      <c r="AD2796" s="79" t="str">
        <f>IF(AND(N2796="1521",MONTH(C2796)='BK-NL'!$M$11),"x","")</f>
        <v/>
      </c>
    </row>
    <row r="2797" spans="1:30" ht="16.5" customHeight="1">
      <c r="A2797" s="318" t="str">
        <f>IF(B2797&lt;&gt;"",IF(AND(B2797='IN-TC'!$S$4,OR(TH!N2797="1111",TH!O2797="1111")),TH!D2797,""),"")</f>
        <v/>
      </c>
      <c r="B2797" s="60" t="str">
        <f t="shared" si="312"/>
        <v/>
      </c>
      <c r="C2797" s="301"/>
      <c r="D2797" s="301"/>
      <c r="E2797" s="301"/>
      <c r="F2797" s="1162"/>
      <c r="G2797" s="968"/>
      <c r="H2797" s="303"/>
      <c r="I2797" s="385"/>
      <c r="J2797" s="969"/>
      <c r="K2797" s="385"/>
      <c r="L2797" s="392"/>
      <c r="M2797" s="970"/>
      <c r="N2797" s="304"/>
      <c r="O2797" s="304"/>
      <c r="P2797" s="79" t="str">
        <f>IF(AND('331-CT'!$E$7=TH!H2797,OR(N2797="331",O2797="331")),"x","")</f>
        <v/>
      </c>
      <c r="Q2797" s="79" t="str">
        <f>IF(AND(B2797='111'!$L$11,OR($N2797=$Q$7,$O2797=$Q$7)),"x","")</f>
        <v/>
      </c>
      <c r="R2797" s="79" t="str">
        <f>IF(AND($N2797=$Q$7,$B2797&lt;'111'!$L$11),"x","")</f>
        <v/>
      </c>
      <c r="S2797" s="79" t="str">
        <f>IF(AND($O2797=$Q$7,$B2797&lt;'111'!$L$11),"x","")</f>
        <v/>
      </c>
      <c r="T2797" s="79" t="str">
        <f>IF(ISERROR(FIND('112'!$M$9,G2797,1)),"",IF((AND(FIND('112'!$M$9,G2797,1)&gt;=1,B2797='112'!$K$9,OR($N2797='112'!$I$6,$O2797='112'!$I$6))),"x",""))</f>
        <v/>
      </c>
      <c r="U2797" s="79" t="str">
        <f>IF(ISERROR(FIND('112'!$M$9,G2797,1)),"",IF((AND(LEFT(G2797,2)=LEFT('112'!$M$9,2),B2797&lt;'112'!$K$9,$N2797='112'!$I$6)),"x",""))</f>
        <v/>
      </c>
      <c r="V2797" s="79" t="str">
        <f>IF(ISERROR(FIND('112'!$M$9,G2797,1)),"",IF((AND(RIGHT(G2797,2)=RIGHT('112'!$M$9,2),B2797&lt;'112'!$K$9,$O2797='112'!$I$6)),"x",""))</f>
        <v/>
      </c>
      <c r="W2797" s="79" t="str">
        <f>IF(AND('341-CT'!$H$9=H2797,OR(LEFT(N2797,3)=$W$7,LEFT(O2797,3)=$W$7)),"x","")</f>
        <v/>
      </c>
      <c r="X2797" s="79" t="str">
        <f>IF(OR(TH!N2797=TH!$X$7,O2797=TH!$X$7),"x","")</f>
        <v/>
      </c>
      <c r="Y2797" s="79" t="str">
        <f>IF(AND(OR(N2797="131",O2797="131"),H2797='131-CT'!$H$9),"x","")</f>
        <v/>
      </c>
      <c r="Z2797" s="79"/>
      <c r="AA2797" s="79" t="str">
        <f>IF(AND(MONTH(E2797)='IN-NX'!$J$5,'IN-NX'!$D$7=D2797),"x","")</f>
        <v/>
      </c>
      <c r="AB2797" s="79" t="str">
        <f>IF(AND(OR(LEFT(TH!N2797,2)="15",LEFT(TH!O2797,2)="15"),LEFT(TH!O2797,3)&lt;&gt;"111",'152-CT'!$J$8=TH!F2797),"x","")</f>
        <v/>
      </c>
      <c r="AC2797" s="79" t="str">
        <f>IF(AND(OR(LEFT(TH!N2797,2)="15",LEFT(TH!O2797,2)="15"),TK!$E$7=TH!F2797),"x","")</f>
        <v/>
      </c>
      <c r="AD2797" s="79" t="str">
        <f>IF(AND(N2797="1521",MONTH(C2797)='BK-NL'!$M$11),"x","")</f>
        <v/>
      </c>
    </row>
    <row r="2798" spans="1:30" ht="16.5" customHeight="1">
      <c r="A2798" s="318" t="str">
        <f>IF(B2798&lt;&gt;"",IF(AND(B2798='IN-TC'!$S$4,OR(TH!N2798="1111",TH!O2798="1111")),TH!D2798,""),"")</f>
        <v/>
      </c>
      <c r="B2798" s="60" t="str">
        <f t="shared" si="312"/>
        <v/>
      </c>
      <c r="C2798" s="301"/>
      <c r="D2798" s="301"/>
      <c r="E2798" s="301"/>
      <c r="F2798" s="1162"/>
      <c r="G2798" s="968"/>
      <c r="H2798" s="303"/>
      <c r="I2798" s="385"/>
      <c r="J2798" s="969"/>
      <c r="K2798" s="385"/>
      <c r="L2798" s="392"/>
      <c r="M2798" s="970"/>
      <c r="N2798" s="304"/>
      <c r="O2798" s="304"/>
      <c r="P2798" s="79" t="str">
        <f>IF(AND('331-CT'!$E$7=TH!H2798,OR(N2798="331",O2798="331")),"x","")</f>
        <v/>
      </c>
      <c r="Q2798" s="79" t="str">
        <f>IF(AND(B2798='111'!$L$11,OR($N2798=$Q$7,$O2798=$Q$7)),"x","")</f>
        <v/>
      </c>
      <c r="R2798" s="79" t="str">
        <f>IF(AND($N2798=$Q$7,$B2798&lt;'111'!$L$11),"x","")</f>
        <v/>
      </c>
      <c r="S2798" s="79" t="str">
        <f>IF(AND($O2798=$Q$7,$B2798&lt;'111'!$L$11),"x","")</f>
        <v/>
      </c>
      <c r="T2798" s="79" t="str">
        <f>IF(ISERROR(FIND('112'!$M$9,G2798,1)),"",IF((AND(FIND('112'!$M$9,G2798,1)&gt;=1,B2798='112'!$K$9,OR($N2798='112'!$I$6,$O2798='112'!$I$6))),"x",""))</f>
        <v/>
      </c>
      <c r="U2798" s="79" t="str">
        <f>IF(ISERROR(FIND('112'!$M$9,G2798,1)),"",IF((AND(LEFT(G2798,2)=LEFT('112'!$M$9,2),B2798&lt;'112'!$K$9,$N2798='112'!$I$6)),"x",""))</f>
        <v/>
      </c>
      <c r="V2798" s="79" t="str">
        <f>IF(ISERROR(FIND('112'!$M$9,G2798,1)),"",IF((AND(RIGHT(G2798,2)=RIGHT('112'!$M$9,2),B2798&lt;'112'!$K$9,$O2798='112'!$I$6)),"x",""))</f>
        <v/>
      </c>
      <c r="W2798" s="79" t="str">
        <f>IF(AND('341-CT'!$H$9=H2798,OR(LEFT(N2798,3)=$W$7,LEFT(O2798,3)=$W$7)),"x","")</f>
        <v/>
      </c>
      <c r="X2798" s="79" t="str">
        <f>IF(OR(TH!N2798=TH!$X$7,O2798=TH!$X$7),"x","")</f>
        <v/>
      </c>
      <c r="Y2798" s="79" t="str">
        <f>IF(AND(OR(N2798="131",O2798="131"),H2798='131-CT'!$H$9),"x","")</f>
        <v/>
      </c>
      <c r="Z2798" s="79"/>
      <c r="AA2798" s="79" t="str">
        <f>IF(AND(MONTH(E2798)='IN-NX'!$J$5,'IN-NX'!$D$7=D2798),"x","")</f>
        <v/>
      </c>
      <c r="AB2798" s="79" t="str">
        <f>IF(AND(OR(LEFT(TH!N2798,2)="15",LEFT(TH!O2798,2)="15"),LEFT(TH!O2798,3)&lt;&gt;"111",'152-CT'!$J$8=TH!F2798),"x","")</f>
        <v/>
      </c>
      <c r="AC2798" s="79" t="str">
        <f>IF(AND(OR(LEFT(TH!N2798,2)="15",LEFT(TH!O2798,2)="15"),TK!$E$7=TH!F2798),"x","")</f>
        <v/>
      </c>
      <c r="AD2798" s="79" t="str">
        <f>IF(AND(N2798="1521",MONTH(C2798)='BK-NL'!$M$11),"x","")</f>
        <v/>
      </c>
    </row>
    <row r="2799" spans="1:30" ht="18" customHeight="1">
      <c r="A2799" s="318" t="str">
        <f>IF(B2799&lt;&gt;"",IF(AND(B2799='IN-TC'!$S$4,OR(TH!N2799="1111",TH!O2799="1111")),TH!D2799,""),"")</f>
        <v/>
      </c>
      <c r="B2799" s="60" t="str">
        <f t="shared" ref="B2799:B2800" si="313">IF(C2799&lt;&gt;"",MONTH(C2799),"")</f>
        <v/>
      </c>
      <c r="C2799" s="301"/>
      <c r="D2799" s="301"/>
      <c r="E2799" s="301"/>
      <c r="F2799" s="1162"/>
      <c r="G2799" s="968"/>
      <c r="H2799" s="303"/>
      <c r="I2799" s="385"/>
      <c r="J2799" s="969"/>
      <c r="K2799" s="385"/>
      <c r="L2799" s="392"/>
      <c r="M2799" s="970"/>
      <c r="N2799" s="304"/>
      <c r="O2799" s="304"/>
      <c r="P2799" s="79" t="str">
        <f>IF(AND('331-CT'!$E$7=TH!H2799,OR(N2799="331",O2799="331")),"x","")</f>
        <v/>
      </c>
      <c r="Q2799" s="79" t="str">
        <f>IF(AND(B2799='111'!$L$11,OR($N2799=$Q$7,$O2799=$Q$7)),"x","")</f>
        <v/>
      </c>
      <c r="R2799" s="79" t="str">
        <f>IF(AND($N2799=$Q$7,$B2799&lt;'111'!$L$11),"x","")</f>
        <v/>
      </c>
      <c r="S2799" s="79" t="str">
        <f>IF(AND($O2799=$Q$7,$B2799&lt;'111'!$L$11),"x","")</f>
        <v/>
      </c>
      <c r="T2799" s="79" t="str">
        <f>IF(ISERROR(FIND('112'!$M$9,G2799,1)),"",IF((AND(FIND('112'!$M$9,G2799,1)&gt;=1,B2799='112'!$K$9,OR($N2799='112'!$I$6,$O2799='112'!$I$6))),"x",""))</f>
        <v/>
      </c>
      <c r="U2799" s="79" t="str">
        <f>IF(ISERROR(FIND('112'!$M$9,G2799,1)),"",IF((AND(LEFT(G2799,2)=LEFT('112'!$M$9,2),B2799&lt;'112'!$K$9,$N2799='112'!$I$6)),"x",""))</f>
        <v/>
      </c>
      <c r="V2799" s="79" t="str">
        <f>IF(ISERROR(FIND('112'!$M$9,G2799,1)),"",IF((AND(RIGHT(G2799,2)=RIGHT('112'!$M$9,2),B2799&lt;'112'!$K$9,$O2799='112'!$I$6)),"x",""))</f>
        <v/>
      </c>
      <c r="W2799" s="79" t="str">
        <f>IF(AND('341-CT'!$H$9=H2799,OR(LEFT(N2799,3)=$W$7,LEFT(O2799,3)=$W$7)),"x","")</f>
        <v/>
      </c>
      <c r="X2799" s="79" t="str">
        <f>IF(OR(TH!N2799=TH!$X$7,O2799=TH!$X$7),"x","")</f>
        <v/>
      </c>
      <c r="Y2799" s="79" t="str">
        <f>IF(AND(OR(N2799="131",O2799="131"),H2799='131-CT'!$H$9),"x","")</f>
        <v/>
      </c>
      <c r="Z2799" s="79"/>
      <c r="AA2799" s="79" t="str">
        <f>IF(AND(MONTH(E2799)='IN-NX'!$J$5,'IN-NX'!$D$7=D2799),"x","")</f>
        <v/>
      </c>
      <c r="AB2799" s="79" t="str">
        <f>IF(AND(OR(LEFT(TH!N2799,2)="15",LEFT(TH!O2799,2)="15"),LEFT(TH!O2799,3)&lt;&gt;"111",'152-CT'!$J$8=TH!F2799),"x","")</f>
        <v/>
      </c>
      <c r="AC2799" s="79" t="str">
        <f>IF(AND(OR(LEFT(TH!N2799,2)="15",LEFT(TH!O2799,2)="15"),TK!$E$7=TH!F2799),"x","")</f>
        <v/>
      </c>
      <c r="AD2799" s="79" t="str">
        <f>IF(AND(N2799="1521",MONTH(C2799)='BK-NL'!$M$11),"x","")</f>
        <v/>
      </c>
    </row>
    <row r="2800" spans="1:30" ht="18" customHeight="1">
      <c r="A2800" s="318" t="str">
        <f>IF(B2800&lt;&gt;"",IF(AND(B2800='IN-TC'!$S$4,OR(TH!N2800="1111",TH!O2800="1111")),TH!D2800,""),"")</f>
        <v/>
      </c>
      <c r="B2800" s="60" t="str">
        <f t="shared" si="313"/>
        <v/>
      </c>
      <c r="C2800" s="301"/>
      <c r="D2800" s="301"/>
      <c r="E2800" s="301"/>
      <c r="F2800" s="1162"/>
      <c r="G2800" s="968"/>
      <c r="H2800" s="303"/>
      <c r="I2800" s="385"/>
      <c r="J2800" s="969"/>
      <c r="K2800" s="385"/>
      <c r="L2800" s="392"/>
      <c r="M2800" s="970"/>
      <c r="N2800" s="304"/>
      <c r="O2800" s="304"/>
      <c r="P2800" s="79" t="str">
        <f>IF(AND('331-CT'!$E$7=TH!H2800,OR(N2800="331",O2800="331")),"x","")</f>
        <v/>
      </c>
      <c r="Q2800" s="79" t="str">
        <f>IF(AND(B2800='111'!$L$11,OR($N2800=$Q$7,$O2800=$Q$7)),"x","")</f>
        <v/>
      </c>
      <c r="R2800" s="79" t="str">
        <f>IF(AND($N2800=$Q$7,$B2800&lt;'111'!$L$11),"x","")</f>
        <v/>
      </c>
      <c r="S2800" s="79" t="str">
        <f>IF(AND($O2800=$Q$7,$B2800&lt;'111'!$L$11),"x","")</f>
        <v/>
      </c>
      <c r="T2800" s="79" t="str">
        <f>IF(ISERROR(FIND('112'!$M$9,G2800,1)),"",IF((AND(FIND('112'!$M$9,G2800,1)&gt;=1,B2800='112'!$K$9,OR($N2800='112'!$I$6,$O2800='112'!$I$6))),"x",""))</f>
        <v/>
      </c>
      <c r="U2800" s="79" t="str">
        <f>IF(ISERROR(FIND('112'!$M$9,G2800,1)),"",IF((AND(LEFT(G2800,2)=LEFT('112'!$M$9,2),B2800&lt;'112'!$K$9,$N2800='112'!$I$6)),"x",""))</f>
        <v/>
      </c>
      <c r="V2800" s="79" t="str">
        <f>IF(ISERROR(FIND('112'!$M$9,G2800,1)),"",IF((AND(RIGHT(G2800,2)=RIGHT('112'!$M$9,2),B2800&lt;'112'!$K$9,$O2800='112'!$I$6)),"x",""))</f>
        <v/>
      </c>
      <c r="W2800" s="79" t="str">
        <f>IF(AND('341-CT'!$H$9=H2800,OR(LEFT(N2800,3)=$W$7,LEFT(O2800,3)=$W$7)),"x","")</f>
        <v/>
      </c>
      <c r="X2800" s="79" t="str">
        <f>IF(OR(TH!N2800=TH!$X$7,O2800=TH!$X$7),"x","")</f>
        <v/>
      </c>
      <c r="Y2800" s="79" t="str">
        <f>IF(AND(OR(N2800="131",O2800="131"),H2800='131-CT'!$H$9),"x","")</f>
        <v/>
      </c>
      <c r="Z2800" s="79"/>
      <c r="AA2800" s="79" t="str">
        <f>IF(AND(MONTH(E2800)='IN-NX'!$J$5,'IN-NX'!$D$7=D2800),"x","")</f>
        <v/>
      </c>
      <c r="AB2800" s="79" t="str">
        <f>IF(AND(OR(LEFT(TH!N2800,2)="15",LEFT(TH!O2800,2)="15"),LEFT(TH!O2800,3)&lt;&gt;"111",'152-CT'!$J$8=TH!F2800),"x","")</f>
        <v/>
      </c>
      <c r="AC2800" s="79" t="str">
        <f>IF(AND(OR(LEFT(TH!N2800,2)="15",LEFT(TH!O2800,2)="15"),TK!$E$7=TH!F2800),"x","")</f>
        <v/>
      </c>
      <c r="AD2800" s="79" t="str">
        <f>IF(AND(N2800="1521",MONTH(C2800)='BK-NL'!$M$11),"x","")</f>
        <v/>
      </c>
    </row>
    <row r="2801" spans="1:30" ht="18" customHeight="1">
      <c r="A2801" s="318" t="str">
        <f>IF(B2801&lt;&gt;"",IF(AND(B2801='IN-TC'!$S$4,OR(TH!N2801="1111",TH!O2801="1111")),TH!D2801,""),"")</f>
        <v/>
      </c>
      <c r="B2801" s="60" t="str">
        <f t="shared" ref="B2801:B2802" si="314">IF(C2801&lt;&gt;"",MONTH(C2801),"")</f>
        <v/>
      </c>
      <c r="C2801" s="301"/>
      <c r="D2801" s="301"/>
      <c r="E2801" s="301"/>
      <c r="F2801" s="1162"/>
      <c r="G2801" s="968"/>
      <c r="H2801" s="303"/>
      <c r="I2801" s="385"/>
      <c r="J2801" s="969"/>
      <c r="K2801" s="385"/>
      <c r="L2801" s="392"/>
      <c r="M2801" s="970"/>
      <c r="N2801" s="304"/>
      <c r="O2801" s="304"/>
      <c r="P2801" s="79" t="str">
        <f>IF(AND('331-CT'!$E$7=TH!H2801,OR(N2801="331",O2801="331")),"x","")</f>
        <v/>
      </c>
      <c r="Q2801" s="79" t="str">
        <f>IF(AND(B2801='111'!$L$11,OR($N2801=$Q$7,$O2801=$Q$7)),"x","")</f>
        <v/>
      </c>
      <c r="R2801" s="79" t="str">
        <f>IF(AND($N2801=$Q$7,$B2801&lt;'111'!$L$11),"x","")</f>
        <v/>
      </c>
      <c r="S2801" s="79" t="str">
        <f>IF(AND($O2801=$Q$7,$B2801&lt;'111'!$L$11),"x","")</f>
        <v/>
      </c>
      <c r="T2801" s="79" t="str">
        <f>IF(ISERROR(FIND('112'!$M$9,G2801,1)),"",IF((AND(FIND('112'!$M$9,G2801,1)&gt;=1,B2801='112'!$K$9,OR($N2801='112'!$I$6,$O2801='112'!$I$6))),"x",""))</f>
        <v/>
      </c>
      <c r="U2801" s="79" t="str">
        <f>IF(ISERROR(FIND('112'!$M$9,G2801,1)),"",IF((AND(LEFT(G2801,2)=LEFT('112'!$M$9,2),B2801&lt;'112'!$K$9,$N2801='112'!$I$6)),"x",""))</f>
        <v/>
      </c>
      <c r="V2801" s="79" t="str">
        <f>IF(ISERROR(FIND('112'!$M$9,G2801,1)),"",IF((AND(RIGHT(G2801,2)=RIGHT('112'!$M$9,2),B2801&lt;'112'!$K$9,$O2801='112'!$I$6)),"x",""))</f>
        <v/>
      </c>
      <c r="W2801" s="79" t="str">
        <f>IF(AND('341-CT'!$H$9=H2801,OR(LEFT(N2801,3)=$W$7,LEFT(O2801,3)=$W$7)),"x","")</f>
        <v/>
      </c>
      <c r="X2801" s="79" t="str">
        <f>IF(OR(TH!N2801=TH!$X$7,O2801=TH!$X$7),"x","")</f>
        <v/>
      </c>
      <c r="Y2801" s="79" t="str">
        <f>IF(AND(OR(N2801="131",O2801="131"),H2801='131-CT'!$H$9),"x","")</f>
        <v/>
      </c>
      <c r="Z2801" s="79"/>
      <c r="AA2801" s="79" t="str">
        <f>IF(AND(MONTH(E2801)='IN-NX'!$J$5,'IN-NX'!$D$7=D2801),"x","")</f>
        <v/>
      </c>
      <c r="AB2801" s="79" t="str">
        <f>IF(AND(OR(LEFT(TH!N2801,2)="15",LEFT(TH!O2801,2)="15"),LEFT(TH!O2801,3)&lt;&gt;"111",'152-CT'!$J$8=TH!F2801),"x","")</f>
        <v/>
      </c>
      <c r="AC2801" s="79" t="str">
        <f>IF(AND(OR(LEFT(TH!N2801,2)="15",LEFT(TH!O2801,2)="15"),TK!$E$7=TH!F2801),"x","")</f>
        <v/>
      </c>
      <c r="AD2801" s="79" t="str">
        <f>IF(AND(N2801="1521",MONTH(C2801)='BK-NL'!$M$11),"x","")</f>
        <v/>
      </c>
    </row>
    <row r="2802" spans="1:30" ht="18" customHeight="1">
      <c r="A2802" s="318" t="str">
        <f>IF(B2802&lt;&gt;"",IF(AND(B2802='IN-TC'!$S$4,OR(TH!N2802="1111",TH!O2802="1111")),TH!D2802,""),"")</f>
        <v/>
      </c>
      <c r="B2802" s="60" t="str">
        <f t="shared" si="314"/>
        <v/>
      </c>
      <c r="C2802" s="301"/>
      <c r="D2802" s="301"/>
      <c r="E2802" s="301"/>
      <c r="F2802" s="1162"/>
      <c r="G2802" s="968"/>
      <c r="H2802" s="303"/>
      <c r="I2802" s="385"/>
      <c r="J2802" s="969"/>
      <c r="K2802" s="385"/>
      <c r="L2802" s="392"/>
      <c r="M2802" s="970"/>
      <c r="N2802" s="304"/>
      <c r="O2802" s="304"/>
      <c r="P2802" s="79" t="str">
        <f>IF(AND('331-CT'!$E$7=TH!H2802,OR(N2802="331",O2802="331")),"x","")</f>
        <v/>
      </c>
      <c r="Q2802" s="79" t="str">
        <f>IF(AND(B2802='111'!$L$11,OR($N2802=$Q$7,$O2802=$Q$7)),"x","")</f>
        <v/>
      </c>
      <c r="R2802" s="79" t="str">
        <f>IF(AND($N2802=$Q$7,$B2802&lt;'111'!$L$11),"x","")</f>
        <v/>
      </c>
      <c r="S2802" s="79" t="str">
        <f>IF(AND($O2802=$Q$7,$B2802&lt;'111'!$L$11),"x","")</f>
        <v/>
      </c>
      <c r="T2802" s="79" t="str">
        <f>IF(ISERROR(FIND('112'!$M$9,G2802,1)),"",IF((AND(FIND('112'!$M$9,G2802,1)&gt;=1,B2802='112'!$K$9,OR($N2802='112'!$I$6,$O2802='112'!$I$6))),"x",""))</f>
        <v/>
      </c>
      <c r="U2802" s="79" t="str">
        <f>IF(ISERROR(FIND('112'!$M$9,G2802,1)),"",IF((AND(LEFT(G2802,2)=LEFT('112'!$M$9,2),B2802&lt;'112'!$K$9,$N2802='112'!$I$6)),"x",""))</f>
        <v/>
      </c>
      <c r="V2802" s="79" t="str">
        <f>IF(ISERROR(FIND('112'!$M$9,G2802,1)),"",IF((AND(RIGHT(G2802,2)=RIGHT('112'!$M$9,2),B2802&lt;'112'!$K$9,$O2802='112'!$I$6)),"x",""))</f>
        <v/>
      </c>
      <c r="W2802" s="79" t="str">
        <f>IF(AND('341-CT'!$H$9=H2802,OR(LEFT(N2802,3)=$W$7,LEFT(O2802,3)=$W$7)),"x","")</f>
        <v/>
      </c>
      <c r="X2802" s="79" t="str">
        <f>IF(OR(TH!N2802=TH!$X$7,O2802=TH!$X$7),"x","")</f>
        <v/>
      </c>
      <c r="Y2802" s="79" t="str">
        <f>IF(AND(OR(N2802="131",O2802="131"),H2802='131-CT'!$H$9),"x","")</f>
        <v/>
      </c>
      <c r="Z2802" s="79"/>
      <c r="AA2802" s="79" t="str">
        <f>IF(AND(MONTH(E2802)='IN-NX'!$J$5,'IN-NX'!$D$7=D2802),"x","")</f>
        <v/>
      </c>
      <c r="AB2802" s="79" t="str">
        <f>IF(AND(OR(LEFT(TH!N2802,2)="15",LEFT(TH!O2802,2)="15"),LEFT(TH!O2802,3)&lt;&gt;"111",'152-CT'!$J$8=TH!F2802),"x","")</f>
        <v/>
      </c>
      <c r="AC2802" s="79" t="str">
        <f>IF(AND(OR(LEFT(TH!N2802,2)="15",LEFT(TH!O2802,2)="15"),TK!$E$7=TH!F2802),"x","")</f>
        <v/>
      </c>
      <c r="AD2802" s="79" t="str">
        <f>IF(AND(N2802="1521",MONTH(C2802)='BK-NL'!$M$11),"x","")</f>
        <v/>
      </c>
    </row>
    <row r="2803" spans="1:30" ht="18" customHeight="1">
      <c r="A2803" s="318" t="str">
        <f>IF(B2803&lt;&gt;"",IF(AND(B2803='IN-TC'!$S$4,OR(TH!N2803="1111",TH!O2803="1111")),TH!D2803,""),"")</f>
        <v/>
      </c>
      <c r="B2803" s="60" t="str">
        <f t="shared" ref="B2803:B2804" si="315">IF(C2803&lt;&gt;"",MONTH(C2803),"")</f>
        <v/>
      </c>
      <c r="C2803" s="301"/>
      <c r="D2803" s="301"/>
      <c r="E2803" s="301"/>
      <c r="F2803" s="1162"/>
      <c r="G2803" s="968"/>
      <c r="H2803" s="303"/>
      <c r="I2803" s="385"/>
      <c r="J2803" s="969"/>
      <c r="K2803" s="385"/>
      <c r="L2803" s="392"/>
      <c r="M2803" s="970"/>
      <c r="N2803" s="304"/>
      <c r="O2803" s="304"/>
      <c r="P2803" s="79" t="str">
        <f>IF(AND('331-CT'!$E$7=TH!H2803,OR(N2803="331",O2803="331")),"x","")</f>
        <v/>
      </c>
      <c r="Q2803" s="79" t="str">
        <f>IF(AND(B2803='111'!$L$11,OR($N2803=$Q$7,$O2803=$Q$7)),"x","")</f>
        <v/>
      </c>
      <c r="R2803" s="79" t="str">
        <f>IF(AND($N2803=$Q$7,$B2803&lt;'111'!$L$11),"x","")</f>
        <v/>
      </c>
      <c r="S2803" s="79" t="str">
        <f>IF(AND($O2803=$Q$7,$B2803&lt;'111'!$L$11),"x","")</f>
        <v/>
      </c>
      <c r="T2803" s="79" t="str">
        <f>IF(ISERROR(FIND('112'!$M$9,G2803,1)),"",IF((AND(FIND('112'!$M$9,G2803,1)&gt;=1,B2803='112'!$K$9,OR($N2803='112'!$I$6,$O2803='112'!$I$6))),"x",""))</f>
        <v/>
      </c>
      <c r="U2803" s="79" t="str">
        <f>IF(ISERROR(FIND('112'!$M$9,G2803,1)),"",IF((AND(LEFT(G2803,2)=LEFT('112'!$M$9,2),B2803&lt;'112'!$K$9,$N2803='112'!$I$6)),"x",""))</f>
        <v/>
      </c>
      <c r="V2803" s="79" t="str">
        <f>IF(ISERROR(FIND('112'!$M$9,G2803,1)),"",IF((AND(RIGHT(G2803,2)=RIGHT('112'!$M$9,2),B2803&lt;'112'!$K$9,$O2803='112'!$I$6)),"x",""))</f>
        <v/>
      </c>
      <c r="W2803" s="79" t="str">
        <f>IF(AND('341-CT'!$H$9=H2803,OR(LEFT(N2803,3)=$W$7,LEFT(O2803,3)=$W$7)),"x","")</f>
        <v/>
      </c>
      <c r="X2803" s="79" t="str">
        <f>IF(OR(TH!N2803=TH!$X$7,O2803=TH!$X$7),"x","")</f>
        <v/>
      </c>
      <c r="Y2803" s="79" t="str">
        <f>IF(AND(OR(N2803="131",O2803="131"),H2803='131-CT'!$H$9),"x","")</f>
        <v/>
      </c>
      <c r="Z2803" s="79"/>
      <c r="AA2803" s="79" t="str">
        <f>IF(AND(MONTH(E2803)='IN-NX'!$J$5,'IN-NX'!$D$7=D2803),"x","")</f>
        <v/>
      </c>
      <c r="AB2803" s="79" t="str">
        <f>IF(AND(OR(LEFT(TH!N2803,2)="15",LEFT(TH!O2803,2)="15"),LEFT(TH!O2803,3)&lt;&gt;"111",'152-CT'!$J$8=TH!F2803),"x","")</f>
        <v/>
      </c>
      <c r="AC2803" s="79" t="str">
        <f>IF(AND(OR(LEFT(TH!N2803,2)="15",LEFT(TH!O2803,2)="15"),TK!$E$7=TH!F2803),"x","")</f>
        <v/>
      </c>
      <c r="AD2803" s="79" t="str">
        <f>IF(AND(N2803="1521",MONTH(C2803)='BK-NL'!$M$11),"x","")</f>
        <v/>
      </c>
    </row>
    <row r="2804" spans="1:30" ht="18" customHeight="1">
      <c r="A2804" s="318" t="str">
        <f>IF(B2804&lt;&gt;"",IF(AND(B2804='IN-TC'!$S$4,OR(TH!N2804="1111",TH!O2804="1111")),TH!D2804,""),"")</f>
        <v/>
      </c>
      <c r="B2804" s="60" t="str">
        <f t="shared" si="315"/>
        <v/>
      </c>
      <c r="C2804" s="301"/>
      <c r="D2804" s="301"/>
      <c r="E2804" s="301"/>
      <c r="F2804" s="1162"/>
      <c r="G2804" s="968"/>
      <c r="H2804" s="303"/>
      <c r="I2804" s="385"/>
      <c r="J2804" s="969"/>
      <c r="K2804" s="385"/>
      <c r="L2804" s="392"/>
      <c r="M2804" s="970"/>
      <c r="N2804" s="304"/>
      <c r="O2804" s="304"/>
      <c r="P2804" s="79" t="str">
        <f>IF(AND('331-CT'!$E$7=TH!H2804,OR(N2804="331",O2804="331")),"x","")</f>
        <v/>
      </c>
      <c r="Q2804" s="79" t="str">
        <f>IF(AND(B2804='111'!$L$11,OR($N2804=$Q$7,$O2804=$Q$7)),"x","")</f>
        <v/>
      </c>
      <c r="R2804" s="79" t="str">
        <f>IF(AND($N2804=$Q$7,$B2804&lt;'111'!$L$11),"x","")</f>
        <v/>
      </c>
      <c r="S2804" s="79" t="str">
        <f>IF(AND($O2804=$Q$7,$B2804&lt;'111'!$L$11),"x","")</f>
        <v/>
      </c>
      <c r="T2804" s="79" t="str">
        <f>IF(ISERROR(FIND('112'!$M$9,G2804,1)),"",IF((AND(FIND('112'!$M$9,G2804,1)&gt;=1,B2804='112'!$K$9,OR($N2804='112'!$I$6,$O2804='112'!$I$6))),"x",""))</f>
        <v/>
      </c>
      <c r="U2804" s="79" t="str">
        <f>IF(ISERROR(FIND('112'!$M$9,G2804,1)),"",IF((AND(LEFT(G2804,2)=LEFT('112'!$M$9,2),B2804&lt;'112'!$K$9,$N2804='112'!$I$6)),"x",""))</f>
        <v/>
      </c>
      <c r="V2804" s="79" t="str">
        <f>IF(ISERROR(FIND('112'!$M$9,G2804,1)),"",IF((AND(RIGHT(G2804,2)=RIGHT('112'!$M$9,2),B2804&lt;'112'!$K$9,$O2804='112'!$I$6)),"x",""))</f>
        <v/>
      </c>
      <c r="W2804" s="79" t="str">
        <f>IF(AND('341-CT'!$H$9=H2804,OR(LEFT(N2804,3)=$W$7,LEFT(O2804,3)=$W$7)),"x","")</f>
        <v/>
      </c>
      <c r="X2804" s="79" t="str">
        <f>IF(OR(TH!N2804=TH!$X$7,O2804=TH!$X$7),"x","")</f>
        <v/>
      </c>
      <c r="Y2804" s="79" t="str">
        <f>IF(AND(OR(N2804="131",O2804="131"),H2804='131-CT'!$H$9),"x","")</f>
        <v/>
      </c>
      <c r="Z2804" s="79"/>
      <c r="AA2804" s="79" t="str">
        <f>IF(AND(MONTH(E2804)='IN-NX'!$J$5,'IN-NX'!$D$7=D2804),"x","")</f>
        <v/>
      </c>
      <c r="AB2804" s="79" t="str">
        <f>IF(AND(OR(LEFT(TH!N2804,2)="15",LEFT(TH!O2804,2)="15"),LEFT(TH!O2804,3)&lt;&gt;"111",'152-CT'!$J$8=TH!F2804),"x","")</f>
        <v/>
      </c>
      <c r="AC2804" s="79" t="str">
        <f>IF(AND(OR(LEFT(TH!N2804,2)="15",LEFT(TH!O2804,2)="15"),TK!$E$7=TH!F2804),"x","")</f>
        <v/>
      </c>
      <c r="AD2804" s="79" t="str">
        <f>IF(AND(N2804="1521",MONTH(C2804)='BK-NL'!$M$11),"x","")</f>
        <v/>
      </c>
    </row>
    <row r="2805" spans="1:30" ht="18" customHeight="1">
      <c r="A2805" s="318" t="str">
        <f>IF(B2805&lt;&gt;"",IF(AND(B2805='IN-TC'!$S$4,OR(TH!N2805="1111",TH!O2805="1111")),TH!D2805,""),"")</f>
        <v/>
      </c>
      <c r="B2805" s="60" t="str">
        <f t="shared" ref="B2805:B2806" si="316">IF(C2805&lt;&gt;"",MONTH(C2805),"")</f>
        <v/>
      </c>
      <c r="C2805" s="301"/>
      <c r="D2805" s="301"/>
      <c r="E2805" s="301"/>
      <c r="F2805" s="1162"/>
      <c r="G2805" s="968"/>
      <c r="H2805" s="303"/>
      <c r="I2805" s="385"/>
      <c r="J2805" s="969"/>
      <c r="K2805" s="385"/>
      <c r="L2805" s="392"/>
      <c r="M2805" s="970"/>
      <c r="N2805" s="304"/>
      <c r="O2805" s="304"/>
      <c r="P2805" s="79" t="str">
        <f>IF(AND('331-CT'!$E$7=TH!H2805,OR(N2805="331",O2805="331")),"x","")</f>
        <v/>
      </c>
      <c r="Q2805" s="79" t="str">
        <f>IF(AND(B2805='111'!$L$11,OR($N2805=$Q$7,$O2805=$Q$7)),"x","")</f>
        <v/>
      </c>
      <c r="R2805" s="79" t="str">
        <f>IF(AND($N2805=$Q$7,$B2805&lt;'111'!$L$11),"x","")</f>
        <v/>
      </c>
      <c r="S2805" s="79" t="str">
        <f>IF(AND($O2805=$Q$7,$B2805&lt;'111'!$L$11),"x","")</f>
        <v/>
      </c>
      <c r="T2805" s="79" t="str">
        <f>IF(ISERROR(FIND('112'!$M$9,G2805,1)),"",IF((AND(FIND('112'!$M$9,G2805,1)&gt;=1,B2805='112'!$K$9,OR($N2805='112'!$I$6,$O2805='112'!$I$6))),"x",""))</f>
        <v/>
      </c>
      <c r="U2805" s="79" t="str">
        <f>IF(ISERROR(FIND('112'!$M$9,G2805,1)),"",IF((AND(LEFT(G2805,2)=LEFT('112'!$M$9,2),B2805&lt;'112'!$K$9,$N2805='112'!$I$6)),"x",""))</f>
        <v/>
      </c>
      <c r="V2805" s="79" t="str">
        <f>IF(ISERROR(FIND('112'!$M$9,G2805,1)),"",IF((AND(RIGHT(G2805,2)=RIGHT('112'!$M$9,2),B2805&lt;'112'!$K$9,$O2805='112'!$I$6)),"x",""))</f>
        <v/>
      </c>
      <c r="W2805" s="79" t="str">
        <f>IF(AND('341-CT'!$H$9=H2805,OR(LEFT(N2805,3)=$W$7,LEFT(O2805,3)=$W$7)),"x","")</f>
        <v/>
      </c>
      <c r="X2805" s="79" t="str">
        <f>IF(OR(TH!N2805=TH!$X$7,O2805=TH!$X$7),"x","")</f>
        <v/>
      </c>
      <c r="Y2805" s="79" t="str">
        <f>IF(AND(OR(N2805="131",O2805="131"),H2805='131-CT'!$H$9),"x","")</f>
        <v/>
      </c>
      <c r="Z2805" s="79"/>
      <c r="AA2805" s="79" t="str">
        <f>IF(AND(MONTH(E2805)='IN-NX'!$J$5,'IN-NX'!$D$7=D2805),"x","")</f>
        <v/>
      </c>
      <c r="AB2805" s="79" t="str">
        <f>IF(AND(OR(LEFT(TH!N2805,2)="15",LEFT(TH!O2805,2)="15"),LEFT(TH!O2805,3)&lt;&gt;"111",'152-CT'!$J$8=TH!F2805),"x","")</f>
        <v/>
      </c>
      <c r="AC2805" s="79" t="str">
        <f>IF(AND(OR(LEFT(TH!N2805,2)="15",LEFT(TH!O2805,2)="15"),TK!$E$7=TH!F2805),"x","")</f>
        <v/>
      </c>
      <c r="AD2805" s="79" t="str">
        <f>IF(AND(N2805="1521",MONTH(C2805)='BK-NL'!$M$11),"x","")</f>
        <v/>
      </c>
    </row>
    <row r="2806" spans="1:30" ht="18" customHeight="1">
      <c r="A2806" s="318" t="str">
        <f>IF(B2806&lt;&gt;"",IF(AND(B2806='IN-TC'!$S$4,OR(TH!N2806="1111",TH!O2806="1111")),TH!D2806,""),"")</f>
        <v/>
      </c>
      <c r="B2806" s="60" t="str">
        <f t="shared" si="316"/>
        <v/>
      </c>
      <c r="C2806" s="301"/>
      <c r="D2806" s="301"/>
      <c r="E2806" s="301"/>
      <c r="F2806" s="1162"/>
      <c r="G2806" s="968"/>
      <c r="H2806" s="303"/>
      <c r="I2806" s="385"/>
      <c r="J2806" s="969"/>
      <c r="K2806" s="385"/>
      <c r="L2806" s="392"/>
      <c r="M2806" s="970"/>
      <c r="N2806" s="304"/>
      <c r="O2806" s="304"/>
      <c r="P2806" s="79" t="str">
        <f>IF(AND('331-CT'!$E$7=TH!H2806,OR(N2806="331",O2806="331")),"x","")</f>
        <v/>
      </c>
      <c r="Q2806" s="79" t="str">
        <f>IF(AND(B2806='111'!$L$11,OR($N2806=$Q$7,$O2806=$Q$7)),"x","")</f>
        <v/>
      </c>
      <c r="R2806" s="79" t="str">
        <f>IF(AND($N2806=$Q$7,$B2806&lt;'111'!$L$11),"x","")</f>
        <v/>
      </c>
      <c r="S2806" s="79" t="str">
        <f>IF(AND($O2806=$Q$7,$B2806&lt;'111'!$L$11),"x","")</f>
        <v/>
      </c>
      <c r="T2806" s="79" t="str">
        <f>IF(ISERROR(FIND('112'!$M$9,G2806,1)),"",IF((AND(FIND('112'!$M$9,G2806,1)&gt;=1,B2806='112'!$K$9,OR($N2806='112'!$I$6,$O2806='112'!$I$6))),"x",""))</f>
        <v/>
      </c>
      <c r="U2806" s="79" t="str">
        <f>IF(ISERROR(FIND('112'!$M$9,G2806,1)),"",IF((AND(LEFT(G2806,2)=LEFT('112'!$M$9,2),B2806&lt;'112'!$K$9,$N2806='112'!$I$6)),"x",""))</f>
        <v/>
      </c>
      <c r="V2806" s="79" t="str">
        <f>IF(ISERROR(FIND('112'!$M$9,G2806,1)),"",IF((AND(RIGHT(G2806,2)=RIGHT('112'!$M$9,2),B2806&lt;'112'!$K$9,$O2806='112'!$I$6)),"x",""))</f>
        <v/>
      </c>
      <c r="W2806" s="79" t="str">
        <f>IF(AND('341-CT'!$H$9=H2806,OR(LEFT(N2806,3)=$W$7,LEFT(O2806,3)=$W$7)),"x","")</f>
        <v/>
      </c>
      <c r="X2806" s="79" t="str">
        <f>IF(OR(TH!N2806=TH!$X$7,O2806=TH!$X$7),"x","")</f>
        <v/>
      </c>
      <c r="Y2806" s="79" t="str">
        <f>IF(AND(OR(N2806="131",O2806="131"),H2806='131-CT'!$H$9),"x","")</f>
        <v/>
      </c>
      <c r="Z2806" s="79"/>
      <c r="AA2806" s="79" t="str">
        <f>IF(AND(MONTH(E2806)='IN-NX'!$J$5,'IN-NX'!$D$7=D2806),"x","")</f>
        <v/>
      </c>
      <c r="AB2806" s="79" t="str">
        <f>IF(AND(OR(LEFT(TH!N2806,2)="15",LEFT(TH!O2806,2)="15"),LEFT(TH!O2806,3)&lt;&gt;"111",'152-CT'!$J$8=TH!F2806),"x","")</f>
        <v/>
      </c>
      <c r="AC2806" s="79" t="str">
        <f>IF(AND(OR(LEFT(TH!N2806,2)="15",LEFT(TH!O2806,2)="15"),TK!$E$7=TH!F2806),"x","")</f>
        <v/>
      </c>
      <c r="AD2806" s="79" t="str">
        <f>IF(AND(N2806="1521",MONTH(C2806)='BK-NL'!$M$11),"x","")</f>
        <v/>
      </c>
    </row>
    <row r="2807" spans="1:30" ht="18" customHeight="1">
      <c r="A2807" s="318" t="str">
        <f>IF(B2807&lt;&gt;"",IF(AND(B2807='IN-TC'!$S$4,OR(TH!N2807="1111",TH!O2807="1111")),TH!D2807,""),"")</f>
        <v/>
      </c>
      <c r="B2807" s="60" t="str">
        <f t="shared" ref="B2807:B2808" si="317">IF(C2807&lt;&gt;"",MONTH(C2807),"")</f>
        <v/>
      </c>
      <c r="C2807" s="301"/>
      <c r="D2807" s="301"/>
      <c r="E2807" s="301"/>
      <c r="F2807" s="1162"/>
      <c r="G2807" s="968"/>
      <c r="H2807" s="303"/>
      <c r="I2807" s="385"/>
      <c r="J2807" s="969"/>
      <c r="K2807" s="385"/>
      <c r="L2807" s="392"/>
      <c r="M2807" s="970"/>
      <c r="N2807" s="304"/>
      <c r="O2807" s="304"/>
      <c r="P2807" s="79" t="str">
        <f>IF(AND('331-CT'!$E$7=TH!H2807,OR(N2807="331",O2807="331")),"x","")</f>
        <v/>
      </c>
      <c r="Q2807" s="79" t="str">
        <f>IF(AND(B2807='111'!$L$11,OR($N2807=$Q$7,$O2807=$Q$7)),"x","")</f>
        <v/>
      </c>
      <c r="R2807" s="79" t="str">
        <f>IF(AND($N2807=$Q$7,$B2807&lt;'111'!$L$11),"x","")</f>
        <v/>
      </c>
      <c r="S2807" s="79" t="str">
        <f>IF(AND($O2807=$Q$7,$B2807&lt;'111'!$L$11),"x","")</f>
        <v/>
      </c>
      <c r="T2807" s="79" t="str">
        <f>IF(ISERROR(FIND('112'!$M$9,G2807,1)),"",IF((AND(FIND('112'!$M$9,G2807,1)&gt;=1,B2807='112'!$K$9,OR($N2807='112'!$I$6,$O2807='112'!$I$6))),"x",""))</f>
        <v/>
      </c>
      <c r="U2807" s="79" t="str">
        <f>IF(ISERROR(FIND('112'!$M$9,G2807,1)),"",IF((AND(LEFT(G2807,2)=LEFT('112'!$M$9,2),B2807&lt;'112'!$K$9,$N2807='112'!$I$6)),"x",""))</f>
        <v/>
      </c>
      <c r="V2807" s="79" t="str">
        <f>IF(ISERROR(FIND('112'!$M$9,G2807,1)),"",IF((AND(RIGHT(G2807,2)=RIGHT('112'!$M$9,2),B2807&lt;'112'!$K$9,$O2807='112'!$I$6)),"x",""))</f>
        <v/>
      </c>
      <c r="W2807" s="79" t="str">
        <f>IF(AND('341-CT'!$H$9=H2807,OR(LEFT(N2807,3)=$W$7,LEFT(O2807,3)=$W$7)),"x","")</f>
        <v/>
      </c>
      <c r="X2807" s="79" t="str">
        <f>IF(OR(TH!N2807=TH!$X$7,O2807=TH!$X$7),"x","")</f>
        <v/>
      </c>
      <c r="Y2807" s="79" t="str">
        <f>IF(AND(OR(N2807="131",O2807="131"),H2807='131-CT'!$H$9),"x","")</f>
        <v/>
      </c>
      <c r="Z2807" s="79"/>
      <c r="AA2807" s="79" t="str">
        <f>IF(AND(MONTH(E2807)='IN-NX'!$J$5,'IN-NX'!$D$7=D2807),"x","")</f>
        <v/>
      </c>
      <c r="AB2807" s="79" t="str">
        <f>IF(AND(OR(LEFT(TH!N2807,2)="15",LEFT(TH!O2807,2)="15"),LEFT(TH!O2807,3)&lt;&gt;"111",'152-CT'!$J$8=TH!F2807),"x","")</f>
        <v/>
      </c>
      <c r="AC2807" s="79" t="str">
        <f>IF(AND(OR(LEFT(TH!N2807,2)="15",LEFT(TH!O2807,2)="15"),TK!$E$7=TH!F2807),"x","")</f>
        <v/>
      </c>
      <c r="AD2807" s="79" t="str">
        <f>IF(AND(N2807="1521",MONTH(C2807)='BK-NL'!$M$11),"x","")</f>
        <v/>
      </c>
    </row>
    <row r="2808" spans="1:30" ht="18" customHeight="1">
      <c r="A2808" s="318" t="str">
        <f>IF(B2808&lt;&gt;"",IF(AND(B2808='IN-TC'!$S$4,OR(TH!N2808="1111",TH!O2808="1111")),TH!D2808,""),"")</f>
        <v/>
      </c>
      <c r="B2808" s="60" t="str">
        <f t="shared" si="317"/>
        <v/>
      </c>
      <c r="C2808" s="301"/>
      <c r="D2808" s="301"/>
      <c r="E2808" s="301"/>
      <c r="F2808" s="1162"/>
      <c r="G2808" s="968"/>
      <c r="H2808" s="303"/>
      <c r="I2808" s="385"/>
      <c r="J2808" s="969"/>
      <c r="K2808" s="385"/>
      <c r="L2808" s="392"/>
      <c r="M2808" s="970"/>
      <c r="N2808" s="304"/>
      <c r="O2808" s="304"/>
      <c r="P2808" s="79" t="str">
        <f>IF(AND('331-CT'!$E$7=TH!H2808,OR(N2808="331",O2808="331")),"x","")</f>
        <v/>
      </c>
      <c r="Q2808" s="79" t="str">
        <f>IF(AND(B2808='111'!$L$11,OR($N2808=$Q$7,$O2808=$Q$7)),"x","")</f>
        <v/>
      </c>
      <c r="R2808" s="79" t="str">
        <f>IF(AND($N2808=$Q$7,$B2808&lt;'111'!$L$11),"x","")</f>
        <v/>
      </c>
      <c r="S2808" s="79" t="str">
        <f>IF(AND($O2808=$Q$7,$B2808&lt;'111'!$L$11),"x","")</f>
        <v/>
      </c>
      <c r="T2808" s="79" t="str">
        <f>IF(ISERROR(FIND('112'!$M$9,G2808,1)),"",IF((AND(FIND('112'!$M$9,G2808,1)&gt;=1,B2808='112'!$K$9,OR($N2808='112'!$I$6,$O2808='112'!$I$6))),"x",""))</f>
        <v/>
      </c>
      <c r="U2808" s="79" t="str">
        <f>IF(ISERROR(FIND('112'!$M$9,G2808,1)),"",IF((AND(LEFT(G2808,2)=LEFT('112'!$M$9,2),B2808&lt;'112'!$K$9,$N2808='112'!$I$6)),"x",""))</f>
        <v/>
      </c>
      <c r="V2808" s="79" t="str">
        <f>IF(ISERROR(FIND('112'!$M$9,G2808,1)),"",IF((AND(RIGHT(G2808,2)=RIGHT('112'!$M$9,2),B2808&lt;'112'!$K$9,$O2808='112'!$I$6)),"x",""))</f>
        <v/>
      </c>
      <c r="W2808" s="79" t="str">
        <f>IF(AND('341-CT'!$H$9=H2808,OR(LEFT(N2808,3)=$W$7,LEFT(O2808,3)=$W$7)),"x","")</f>
        <v/>
      </c>
      <c r="X2808" s="79" t="str">
        <f>IF(OR(TH!N2808=TH!$X$7,O2808=TH!$X$7),"x","")</f>
        <v/>
      </c>
      <c r="Y2808" s="79" t="str">
        <f>IF(AND(OR(N2808="131",O2808="131"),H2808='131-CT'!$H$9),"x","")</f>
        <v/>
      </c>
      <c r="Z2808" s="79"/>
      <c r="AA2808" s="79" t="str">
        <f>IF(AND(MONTH(E2808)='IN-NX'!$J$5,'IN-NX'!$D$7=D2808),"x","")</f>
        <v/>
      </c>
      <c r="AB2808" s="79" t="str">
        <f>IF(AND(OR(LEFT(TH!N2808,2)="15",LEFT(TH!O2808,2)="15"),LEFT(TH!O2808,3)&lt;&gt;"111",'152-CT'!$J$8=TH!F2808),"x","")</f>
        <v/>
      </c>
      <c r="AC2808" s="79" t="str">
        <f>IF(AND(OR(LEFT(TH!N2808,2)="15",LEFT(TH!O2808,2)="15"),TK!$E$7=TH!F2808),"x","")</f>
        <v/>
      </c>
      <c r="AD2808" s="79" t="str">
        <f>IF(AND(N2808="1521",MONTH(C2808)='BK-NL'!$M$11),"x","")</f>
        <v/>
      </c>
    </row>
    <row r="2809" spans="1:30" ht="16.5" customHeight="1">
      <c r="A2809" s="318" t="str">
        <f>IF(B2809&lt;&gt;"",IF(AND(B2809='IN-TC'!$S$4,OR(TH!N2809="1111",TH!O2809="1111")),TH!D2809,""),"")</f>
        <v/>
      </c>
      <c r="B2809" s="60" t="str">
        <f t="shared" ref="B2809:B2866" si="318">IF(C2809&lt;&gt;"",MONTH(C2809),"")</f>
        <v/>
      </c>
      <c r="C2809" s="301"/>
      <c r="D2809" s="61"/>
      <c r="E2809" s="301"/>
      <c r="F2809" s="64"/>
      <c r="G2809" s="64"/>
      <c r="H2809" s="69"/>
      <c r="I2809" s="387"/>
      <c r="J2809" s="395"/>
      <c r="K2809" s="387"/>
      <c r="L2809" s="394"/>
      <c r="M2809" s="62"/>
      <c r="N2809" s="63"/>
      <c r="O2809" s="63"/>
      <c r="P2809" s="79" t="str">
        <f>IF(AND('331-CT'!$E$7=TH!H2809,OR(N2809="331",O2809="331")),"x","")</f>
        <v/>
      </c>
      <c r="Q2809" s="79" t="str">
        <f>IF(AND(B2809='111'!$L$11,OR($N2809=$Q$7,$O2809=$Q$7)),"x","")</f>
        <v/>
      </c>
      <c r="R2809" s="79" t="str">
        <f>IF(AND($N2809=$Q$7,$B2809&lt;'111'!$L$11),"x","")</f>
        <v/>
      </c>
      <c r="S2809" s="79" t="str">
        <f>IF(AND($O2809=$Q$7,$B2809&lt;'111'!$L$11),"x","")</f>
        <v/>
      </c>
      <c r="T2809" s="79" t="str">
        <f>IF(ISERROR(FIND('112'!$M$9,G2809,1)),"",IF((AND(FIND('112'!$M$9,G2809,1)&gt;=1,B2809='112'!$K$9,OR($N2809='112'!$I$6,$O2809='112'!$I$6))),"x",""))</f>
        <v/>
      </c>
      <c r="U2809" s="79" t="str">
        <f>IF(ISERROR(FIND('112'!$M$9,G2809,1)),"",IF((AND(LEFT(G2809,2)=LEFT('112'!$M$9,2),B2809&lt;'112'!$K$9,$N2809='112'!$I$6)),"x",""))</f>
        <v/>
      </c>
      <c r="V2809" s="79" t="str">
        <f>IF(ISERROR(FIND('112'!$M$9,G2809,1)),"",IF((AND(RIGHT(G2809,2)=RIGHT('112'!$M$9,2),B2809&lt;'112'!$K$9,$O2809='112'!$I$6)),"x",""))</f>
        <v/>
      </c>
      <c r="W2809" s="79" t="str">
        <f>IF(AND('341-CT'!$H$9=H2809,OR(LEFT(N2809,3)=$W$7,LEFT(O2809,3)=$W$7)),"x","")</f>
        <v/>
      </c>
      <c r="X2809" s="79" t="str">
        <f>IF(OR(TH!N2809=TH!$X$7,O2809=TH!$X$7),"x","")</f>
        <v/>
      </c>
      <c r="Y2809" s="79" t="str">
        <f>IF(AND(OR(N2809="131",O2809="131"),H2809='131-CT'!$H$9),"x","")</f>
        <v/>
      </c>
      <c r="Z2809" s="79"/>
      <c r="AA2809" s="79" t="str">
        <f>IF(AND(MONTH(E2809)='IN-NX'!$J$5,'IN-NX'!$D$7=D2809),"x","")</f>
        <v/>
      </c>
      <c r="AB2809" s="79" t="str">
        <f>IF(AND(OR(LEFT(TH!N2809,2)="15",LEFT(TH!O2809,2)="15"),LEFT(TH!O2809,3)&lt;&gt;"111",'152-CT'!$J$8=TH!F2809),"x","")</f>
        <v/>
      </c>
      <c r="AC2809" s="79" t="str">
        <f>IF(AND(OR(LEFT(TH!N2809,2)="15",LEFT(TH!O2809,2)="15"),TK!$E$7=TH!F2809),"x","")</f>
        <v/>
      </c>
      <c r="AD2809" s="79" t="str">
        <f>IF(AND(N2809="1521",MONTH(C2809)='BK-NL'!$M$11),"x","")</f>
        <v/>
      </c>
    </row>
    <row r="2810" spans="1:30" ht="16.5" customHeight="1">
      <c r="A2810" s="318" t="str">
        <f>IF(B2810&lt;&gt;"",IF(AND(B2810='IN-TC'!$S$4,OR(TH!N2810="1111",TH!O2810="1111")),TH!D2810,""),"")</f>
        <v/>
      </c>
      <c r="B2810" s="60" t="str">
        <f t="shared" si="318"/>
        <v/>
      </c>
      <c r="C2810" s="61"/>
      <c r="D2810" s="61"/>
      <c r="E2810" s="61"/>
      <c r="F2810" s="64"/>
      <c r="G2810" s="766"/>
      <c r="H2810" s="69"/>
      <c r="I2810" s="387"/>
      <c r="J2810" s="395"/>
      <c r="K2810" s="387"/>
      <c r="L2810" s="394"/>
      <c r="M2810" s="62"/>
      <c r="N2810" s="63"/>
      <c r="O2810" s="63"/>
      <c r="P2810" s="79" t="str">
        <f>IF(AND('331-CT'!$E$7=TH!H2810,OR(N2810="331",O2810="331")),"x","")</f>
        <v/>
      </c>
      <c r="Q2810" s="79" t="str">
        <f>IF(AND(B2810='111'!$L$11,OR($N2810=$Q$7,$O2810=$Q$7)),"x","")</f>
        <v/>
      </c>
      <c r="R2810" s="79" t="str">
        <f>IF(AND($N2810=$Q$7,$B2810&lt;'111'!$L$11),"x","")</f>
        <v/>
      </c>
      <c r="S2810" s="79" t="str">
        <f>IF(AND($O2810=$Q$7,$B2810&lt;'111'!$L$11),"x","")</f>
        <v/>
      </c>
      <c r="T2810" s="79" t="str">
        <f>IF(ISERROR(FIND('112'!$M$9,G2810,1)),"",IF((AND(FIND('112'!$M$9,G2810,1)&gt;=1,B2810='112'!$K$9,OR($N2810='112'!$I$6,$O2810='112'!$I$6))),"x",""))</f>
        <v/>
      </c>
      <c r="U2810" s="79" t="str">
        <f>IF(ISERROR(FIND('112'!$M$9,G2810,1)),"",IF((AND(LEFT(G2810,2)=LEFT('112'!$M$9,2),B2810&lt;'112'!$K$9,$N2810='112'!$I$6)),"x",""))</f>
        <v/>
      </c>
      <c r="V2810" s="79" t="str">
        <f>IF(ISERROR(FIND('112'!$M$9,G2810,1)),"",IF((AND(RIGHT(G2810,2)=RIGHT('112'!$M$9,2),B2810&lt;'112'!$K$9,$O2810='112'!$I$6)),"x",""))</f>
        <v/>
      </c>
      <c r="W2810" s="79" t="str">
        <f>IF(AND('341-CT'!$H$9=H2810,OR(LEFT(N2810,3)=$W$7,LEFT(O2810,3)=$W$7)),"x","")</f>
        <v/>
      </c>
      <c r="X2810" s="79" t="str">
        <f>IF(OR(TH!N2810=TH!$X$7,O2810=TH!$X$7),"x","")</f>
        <v/>
      </c>
      <c r="Y2810" s="79" t="str">
        <f>IF(AND(OR(N2810="131",O2810="131"),H2810='131-CT'!$H$9),"x","")</f>
        <v/>
      </c>
      <c r="Z2810" s="79"/>
      <c r="AA2810" s="79" t="str">
        <f>IF(AND(MONTH(E2810)='IN-NX'!$J$5,'IN-NX'!$D$7=D2810),"x","")</f>
        <v/>
      </c>
      <c r="AB2810" s="79" t="str">
        <f>IF(AND(OR(LEFT(TH!N2810,2)="15",LEFT(TH!O2810,2)="15"),LEFT(TH!O2810,3)&lt;&gt;"111",'152-CT'!$J$8=TH!F2810),"x","")</f>
        <v/>
      </c>
      <c r="AC2810" s="79" t="str">
        <f>IF(AND(OR(LEFT(TH!N2810,2)="15",LEFT(TH!O2810,2)="15"),TK!$E$7=TH!F2810),"x","")</f>
        <v/>
      </c>
      <c r="AD2810" s="79" t="str">
        <f>IF(AND(N2810="1521",MONTH(C2810)='BK-NL'!$M$11),"x","")</f>
        <v/>
      </c>
    </row>
    <row r="2811" spans="1:30" ht="16.5" customHeight="1">
      <c r="A2811" s="318" t="str">
        <f>IF(B2811&lt;&gt;"",IF(AND(B2811='IN-TC'!$S$4,OR(TH!N2811="1111",TH!O2811="1111")),TH!D2811,""),"")</f>
        <v/>
      </c>
      <c r="B2811" s="60" t="str">
        <f t="shared" si="318"/>
        <v/>
      </c>
      <c r="C2811" s="61"/>
      <c r="D2811" s="61"/>
      <c r="E2811" s="61"/>
      <c r="F2811" s="64"/>
      <c r="G2811" s="766"/>
      <c r="H2811" s="69"/>
      <c r="I2811" s="387"/>
      <c r="J2811" s="395"/>
      <c r="K2811" s="387"/>
      <c r="L2811" s="394"/>
      <c r="M2811" s="62"/>
      <c r="N2811" s="63"/>
      <c r="O2811" s="63"/>
      <c r="P2811" s="79" t="str">
        <f>IF(AND('331-CT'!$E$7=TH!H2811,OR(N2811="331",O2811="331")),"x","")</f>
        <v/>
      </c>
      <c r="Q2811" s="79" t="str">
        <f>IF(AND(B2811='111'!$L$11,OR($N2811=$Q$7,$O2811=$Q$7)),"x","")</f>
        <v/>
      </c>
      <c r="R2811" s="79" t="str">
        <f>IF(AND($N2811=$Q$7,$B2811&lt;'111'!$L$11),"x","")</f>
        <v/>
      </c>
      <c r="S2811" s="79" t="str">
        <f>IF(AND($O2811=$Q$7,$B2811&lt;'111'!$L$11),"x","")</f>
        <v/>
      </c>
      <c r="T2811" s="79" t="str">
        <f>IF(ISERROR(FIND('112'!$M$9,G2811,1)),"",IF((AND(FIND('112'!$M$9,G2811,1)&gt;=1,B2811='112'!$K$9,OR($N2811='112'!$I$6,$O2811='112'!$I$6))),"x",""))</f>
        <v/>
      </c>
      <c r="U2811" s="79" t="str">
        <f>IF(ISERROR(FIND('112'!$M$9,G2811,1)),"",IF((AND(LEFT(G2811,2)=LEFT('112'!$M$9,2),B2811&lt;'112'!$K$9,$N2811='112'!$I$6)),"x",""))</f>
        <v/>
      </c>
      <c r="V2811" s="79" t="str">
        <f>IF(ISERROR(FIND('112'!$M$9,G2811,1)),"",IF((AND(RIGHT(G2811,2)=RIGHT('112'!$M$9,2),B2811&lt;'112'!$K$9,$O2811='112'!$I$6)),"x",""))</f>
        <v/>
      </c>
      <c r="W2811" s="79" t="str">
        <f>IF(AND('341-CT'!$H$9=H2811,OR(LEFT(N2811,3)=$W$7,LEFT(O2811,3)=$W$7)),"x","")</f>
        <v/>
      </c>
      <c r="X2811" s="79" t="str">
        <f>IF(OR(TH!N2811=TH!$X$7,O2811=TH!$X$7),"x","")</f>
        <v/>
      </c>
      <c r="Y2811" s="79" t="str">
        <f>IF(AND(OR(N2811="131",O2811="131"),H2811='131-CT'!$H$9),"x","")</f>
        <v/>
      </c>
      <c r="Z2811" s="79"/>
      <c r="AA2811" s="79" t="str">
        <f>IF(AND(MONTH(E2811)='IN-NX'!$J$5,'IN-NX'!$D$7=D2811),"x","")</f>
        <v/>
      </c>
      <c r="AB2811" s="79" t="str">
        <f>IF(AND(OR(LEFT(TH!N2811,2)="15",LEFT(TH!O2811,2)="15"),LEFT(TH!O2811,3)&lt;&gt;"111",'152-CT'!$J$8=TH!F2811),"x","")</f>
        <v/>
      </c>
      <c r="AC2811" s="79" t="str">
        <f>IF(AND(OR(LEFT(TH!N2811,2)="15",LEFT(TH!O2811,2)="15"),TK!$E$7=TH!F2811),"x","")</f>
        <v/>
      </c>
      <c r="AD2811" s="79" t="str">
        <f>IF(AND(N2811="1521",MONTH(C2811)='BK-NL'!$M$11),"x","")</f>
        <v/>
      </c>
    </row>
    <row r="2812" spans="1:30" ht="16.5" customHeight="1">
      <c r="A2812" s="318" t="str">
        <f>IF(B2812&lt;&gt;"",IF(AND(B2812='IN-TC'!$S$4,OR(TH!N2812="1111",TH!O2812="1111")),TH!D2812,""),"")</f>
        <v/>
      </c>
      <c r="B2812" s="60" t="str">
        <f t="shared" si="318"/>
        <v/>
      </c>
      <c r="C2812" s="61"/>
      <c r="D2812" s="61"/>
      <c r="E2812" s="61"/>
      <c r="F2812" s="64"/>
      <c r="G2812" s="766"/>
      <c r="H2812" s="69"/>
      <c r="I2812" s="387"/>
      <c r="J2812" s="395"/>
      <c r="K2812" s="387"/>
      <c r="L2812" s="394"/>
      <c r="M2812" s="62"/>
      <c r="N2812" s="63"/>
      <c r="O2812" s="63"/>
      <c r="P2812" s="79" t="str">
        <f>IF(AND('331-CT'!$E$7=TH!H2812,OR(N2812="331",O2812="331")),"x","")</f>
        <v/>
      </c>
      <c r="Q2812" s="79" t="str">
        <f>IF(AND(B2812='111'!$L$11,OR($N2812=$Q$7,$O2812=$Q$7)),"x","")</f>
        <v/>
      </c>
      <c r="R2812" s="79" t="str">
        <f>IF(AND($N2812=$Q$7,$B2812&lt;'111'!$L$11),"x","")</f>
        <v/>
      </c>
      <c r="S2812" s="79" t="str">
        <f>IF(AND($O2812=$Q$7,$B2812&lt;'111'!$L$11),"x","")</f>
        <v/>
      </c>
      <c r="T2812" s="79" t="str">
        <f>IF(ISERROR(FIND('112'!$M$9,G2812,1)),"",IF((AND(FIND('112'!$M$9,G2812,1)&gt;=1,B2812='112'!$K$9,OR($N2812='112'!$I$6,$O2812='112'!$I$6))),"x",""))</f>
        <v/>
      </c>
      <c r="U2812" s="79" t="str">
        <f>IF(ISERROR(FIND('112'!$M$9,G2812,1)),"",IF((AND(LEFT(G2812,2)=LEFT('112'!$M$9,2),B2812&lt;'112'!$K$9,$N2812='112'!$I$6)),"x",""))</f>
        <v/>
      </c>
      <c r="V2812" s="79" t="str">
        <f>IF(ISERROR(FIND('112'!$M$9,G2812,1)),"",IF((AND(RIGHT(G2812,2)=RIGHT('112'!$M$9,2),B2812&lt;'112'!$K$9,$O2812='112'!$I$6)),"x",""))</f>
        <v/>
      </c>
      <c r="W2812" s="79" t="str">
        <f>IF(AND('341-CT'!$H$9=H2812,OR(LEFT(N2812,3)=$W$7,LEFT(O2812,3)=$W$7)),"x","")</f>
        <v/>
      </c>
      <c r="X2812" s="79" t="str">
        <f>IF(OR(TH!N2812=TH!$X$7,O2812=TH!$X$7),"x","")</f>
        <v/>
      </c>
      <c r="Y2812" s="79" t="str">
        <f>IF(AND(OR(N2812="131",O2812="131"),H2812='131-CT'!$H$9),"x","")</f>
        <v/>
      </c>
      <c r="Z2812" s="79"/>
      <c r="AA2812" s="79" t="str">
        <f>IF(AND(MONTH(E2812)='IN-NX'!$J$5,'IN-NX'!$D$7=D2812),"x","")</f>
        <v/>
      </c>
      <c r="AB2812" s="79" t="str">
        <f>IF(AND(OR(LEFT(TH!N2812,2)="15",LEFT(TH!O2812,2)="15"),LEFT(TH!O2812,3)&lt;&gt;"111",'152-CT'!$J$8=TH!F2812),"x","")</f>
        <v/>
      </c>
      <c r="AC2812" s="79" t="str">
        <f>IF(AND(OR(LEFT(TH!N2812,2)="15",LEFT(TH!O2812,2)="15"),TK!$E$7=TH!F2812),"x","")</f>
        <v/>
      </c>
      <c r="AD2812" s="79" t="str">
        <f>IF(AND(N2812="1521",MONTH(C2812)='BK-NL'!$M$11),"x","")</f>
        <v/>
      </c>
    </row>
    <row r="2813" spans="1:30" ht="16.5" customHeight="1">
      <c r="A2813" s="318" t="str">
        <f>IF(B2813&lt;&gt;"",IF(AND(B2813='IN-TC'!$S$4,OR(TH!N2813="1111",TH!O2813="1111")),TH!D2813,""),"")</f>
        <v/>
      </c>
      <c r="B2813" s="60" t="str">
        <f t="shared" si="318"/>
        <v/>
      </c>
      <c r="C2813" s="61"/>
      <c r="D2813" s="61"/>
      <c r="E2813" s="61"/>
      <c r="F2813" s="64"/>
      <c r="G2813" s="766"/>
      <c r="H2813" s="69"/>
      <c r="I2813" s="387"/>
      <c r="J2813" s="395"/>
      <c r="K2813" s="387"/>
      <c r="L2813" s="394"/>
      <c r="M2813" s="62"/>
      <c r="N2813" s="63"/>
      <c r="O2813" s="63"/>
      <c r="P2813" s="79" t="str">
        <f>IF(AND('331-CT'!$E$7=TH!H2813,OR(N2813="331",O2813="331")),"x","")</f>
        <v/>
      </c>
      <c r="Q2813" s="79" t="str">
        <f>IF(AND(B2813='111'!$L$11,OR($N2813=$Q$7,$O2813=$Q$7)),"x","")</f>
        <v/>
      </c>
      <c r="R2813" s="79" t="str">
        <f>IF(AND($N2813=$Q$7,$B2813&lt;'111'!$L$11),"x","")</f>
        <v/>
      </c>
      <c r="S2813" s="79" t="str">
        <f>IF(AND($O2813=$Q$7,$B2813&lt;'111'!$L$11),"x","")</f>
        <v/>
      </c>
      <c r="T2813" s="79" t="str">
        <f>IF(ISERROR(FIND('112'!$M$9,G2813,1)),"",IF((AND(FIND('112'!$M$9,G2813,1)&gt;=1,B2813='112'!$K$9,OR($N2813='112'!$I$6,$O2813='112'!$I$6))),"x",""))</f>
        <v/>
      </c>
      <c r="U2813" s="79" t="str">
        <f>IF(ISERROR(FIND('112'!$M$9,G2813,1)),"",IF((AND(LEFT(G2813,2)=LEFT('112'!$M$9,2),B2813&lt;'112'!$K$9,$N2813='112'!$I$6)),"x",""))</f>
        <v/>
      </c>
      <c r="V2813" s="79" t="str">
        <f>IF(ISERROR(FIND('112'!$M$9,G2813,1)),"",IF((AND(RIGHT(G2813,2)=RIGHT('112'!$M$9,2),B2813&lt;'112'!$K$9,$O2813='112'!$I$6)),"x",""))</f>
        <v/>
      </c>
      <c r="W2813" s="79" t="str">
        <f>IF(AND('341-CT'!$H$9=H2813,OR(LEFT(N2813,3)=$W$7,LEFT(O2813,3)=$W$7)),"x","")</f>
        <v/>
      </c>
      <c r="X2813" s="79" t="str">
        <f>IF(OR(TH!N2813=TH!$X$7,O2813=TH!$X$7),"x","")</f>
        <v/>
      </c>
      <c r="Y2813" s="79" t="str">
        <f>IF(AND(OR(N2813="131",O2813="131"),H2813='131-CT'!$H$9),"x","")</f>
        <v/>
      </c>
      <c r="Z2813" s="79"/>
      <c r="AA2813" s="79" t="str">
        <f>IF(AND(MONTH(E2813)='IN-NX'!$J$5,'IN-NX'!$D$7=D2813),"x","")</f>
        <v/>
      </c>
      <c r="AB2813" s="79" t="str">
        <f>IF(AND(OR(LEFT(TH!N2813,2)="15",LEFT(TH!O2813,2)="15"),LEFT(TH!O2813,3)&lt;&gt;"111",'152-CT'!$J$8=TH!F2813),"x","")</f>
        <v/>
      </c>
      <c r="AC2813" s="79" t="str">
        <f>IF(AND(OR(LEFT(TH!N2813,2)="15",LEFT(TH!O2813,2)="15"),TK!$E$7=TH!F2813),"x","")</f>
        <v/>
      </c>
      <c r="AD2813" s="79" t="str">
        <f>IF(AND(N2813="1521",MONTH(C2813)='BK-NL'!$M$11),"x","")</f>
        <v/>
      </c>
    </row>
    <row r="2814" spans="1:30" ht="16.5" customHeight="1">
      <c r="A2814" s="318" t="str">
        <f>IF(B2814&lt;&gt;"",IF(AND(B2814='IN-TC'!$S$4,OR(TH!N2814="1111",TH!O2814="1111")),TH!D2814,""),"")</f>
        <v/>
      </c>
      <c r="B2814" s="60" t="str">
        <f t="shared" si="318"/>
        <v/>
      </c>
      <c r="C2814" s="61"/>
      <c r="D2814" s="61"/>
      <c r="E2814" s="61"/>
      <c r="F2814" s="64"/>
      <c r="G2814" s="766"/>
      <c r="H2814" s="69"/>
      <c r="I2814" s="387"/>
      <c r="J2814" s="395"/>
      <c r="K2814" s="387"/>
      <c r="L2814" s="394"/>
      <c r="M2814" s="62"/>
      <c r="N2814" s="63"/>
      <c r="O2814" s="63"/>
      <c r="P2814" s="79" t="str">
        <f>IF(AND('331-CT'!$E$7=TH!H2814,OR(N2814="331",O2814="331")),"x","")</f>
        <v/>
      </c>
      <c r="Q2814" s="79" t="str">
        <f>IF(AND(B2814='111'!$L$11,OR($N2814=$Q$7,$O2814=$Q$7)),"x","")</f>
        <v/>
      </c>
      <c r="R2814" s="79" t="str">
        <f>IF(AND($N2814=$Q$7,$B2814&lt;'111'!$L$11),"x","")</f>
        <v/>
      </c>
      <c r="S2814" s="79" t="str">
        <f>IF(AND($O2814=$Q$7,$B2814&lt;'111'!$L$11),"x","")</f>
        <v/>
      </c>
      <c r="T2814" s="79" t="str">
        <f>IF(ISERROR(FIND('112'!$M$9,G2814,1)),"",IF((AND(FIND('112'!$M$9,G2814,1)&gt;=1,B2814='112'!$K$9,OR($N2814='112'!$I$6,$O2814='112'!$I$6))),"x",""))</f>
        <v/>
      </c>
      <c r="U2814" s="79" t="str">
        <f>IF(ISERROR(FIND('112'!$M$9,G2814,1)),"",IF((AND(LEFT(G2814,2)=LEFT('112'!$M$9,2),B2814&lt;'112'!$K$9,$N2814='112'!$I$6)),"x",""))</f>
        <v/>
      </c>
      <c r="V2814" s="79" t="str">
        <f>IF(ISERROR(FIND('112'!$M$9,G2814,1)),"",IF((AND(RIGHT(G2814,2)=RIGHT('112'!$M$9,2),B2814&lt;'112'!$K$9,$O2814='112'!$I$6)),"x",""))</f>
        <v/>
      </c>
      <c r="W2814" s="79" t="str">
        <f>IF(AND('341-CT'!$H$9=H2814,OR(LEFT(N2814,3)=$W$7,LEFT(O2814,3)=$W$7)),"x","")</f>
        <v/>
      </c>
      <c r="X2814" s="79" t="str">
        <f>IF(OR(TH!N2814=TH!$X$7,O2814=TH!$X$7),"x","")</f>
        <v/>
      </c>
      <c r="Y2814" s="79" t="str">
        <f>IF(AND(OR(N2814="131",O2814="131"),H2814='131-CT'!$H$9),"x","")</f>
        <v/>
      </c>
      <c r="Z2814" s="79"/>
      <c r="AA2814" s="79" t="str">
        <f>IF(AND(MONTH(E2814)='IN-NX'!$J$5,'IN-NX'!$D$7=D2814),"x","")</f>
        <v/>
      </c>
      <c r="AB2814" s="79" t="str">
        <f>IF(AND(OR(LEFT(TH!N2814,2)="15",LEFT(TH!O2814,2)="15"),LEFT(TH!O2814,3)&lt;&gt;"111",'152-CT'!$J$8=TH!F2814),"x","")</f>
        <v/>
      </c>
      <c r="AC2814" s="79" t="str">
        <f>IF(AND(OR(LEFT(TH!N2814,2)="15",LEFT(TH!O2814,2)="15"),TK!$E$7=TH!F2814),"x","")</f>
        <v/>
      </c>
      <c r="AD2814" s="79" t="str">
        <f>IF(AND(N2814="1521",MONTH(C2814)='BK-NL'!$M$11),"x","")</f>
        <v/>
      </c>
    </row>
    <row r="2815" spans="1:30" ht="16.5" customHeight="1">
      <c r="A2815" s="318" t="str">
        <f>IF(B2815&lt;&gt;"",IF(AND(B2815='IN-TC'!$S$4,OR(TH!N2815="1111",TH!O2815="1111")),TH!D2815,""),"")</f>
        <v/>
      </c>
      <c r="B2815" s="60" t="str">
        <f t="shared" si="318"/>
        <v/>
      </c>
      <c r="C2815" s="61"/>
      <c r="D2815" s="61"/>
      <c r="E2815" s="61"/>
      <c r="F2815" s="64"/>
      <c r="G2815" s="766"/>
      <c r="H2815" s="69"/>
      <c r="I2815" s="387"/>
      <c r="J2815" s="395"/>
      <c r="K2815" s="387"/>
      <c r="L2815" s="394"/>
      <c r="M2815" s="62"/>
      <c r="N2815" s="63"/>
      <c r="O2815" s="63"/>
      <c r="P2815" s="79" t="str">
        <f>IF(AND('331-CT'!$E$7=TH!H2815,OR(N2815="331",O2815="331")),"x","")</f>
        <v/>
      </c>
      <c r="Q2815" s="79" t="str">
        <f>IF(AND(B2815='111'!$L$11,OR($N2815=$Q$7,$O2815=$Q$7)),"x","")</f>
        <v/>
      </c>
      <c r="R2815" s="79" t="str">
        <f>IF(AND($N2815=$Q$7,$B2815&lt;'111'!$L$11),"x","")</f>
        <v/>
      </c>
      <c r="S2815" s="79" t="str">
        <f>IF(AND($O2815=$Q$7,$B2815&lt;'111'!$L$11),"x","")</f>
        <v/>
      </c>
      <c r="T2815" s="79" t="str">
        <f>IF(ISERROR(FIND('112'!$M$9,G2815,1)),"",IF((AND(FIND('112'!$M$9,G2815,1)&gt;=1,B2815='112'!$K$9,OR($N2815='112'!$I$6,$O2815='112'!$I$6))),"x",""))</f>
        <v/>
      </c>
      <c r="U2815" s="79" t="str">
        <f>IF(ISERROR(FIND('112'!$M$9,G2815,1)),"",IF((AND(LEFT(G2815,2)=LEFT('112'!$M$9,2),B2815&lt;'112'!$K$9,$N2815='112'!$I$6)),"x",""))</f>
        <v/>
      </c>
      <c r="V2815" s="79" t="str">
        <f>IF(ISERROR(FIND('112'!$M$9,G2815,1)),"",IF((AND(RIGHT(G2815,2)=RIGHT('112'!$M$9,2),B2815&lt;'112'!$K$9,$O2815='112'!$I$6)),"x",""))</f>
        <v/>
      </c>
      <c r="W2815" s="79" t="str">
        <f>IF(AND('341-CT'!$H$9=H2815,OR(LEFT(N2815,3)=$W$7,LEFT(O2815,3)=$W$7)),"x","")</f>
        <v/>
      </c>
      <c r="X2815" s="79" t="str">
        <f>IF(OR(TH!N2815=TH!$X$7,O2815=TH!$X$7),"x","")</f>
        <v/>
      </c>
      <c r="Y2815" s="79" t="str">
        <f>IF(AND(OR(N2815="131",O2815="131"),H2815='131-CT'!$H$9),"x","")</f>
        <v/>
      </c>
      <c r="Z2815" s="79"/>
      <c r="AA2815" s="79" t="str">
        <f>IF(AND(MONTH(E2815)='IN-NX'!$J$5,'IN-NX'!$D$7=D2815),"x","")</f>
        <v/>
      </c>
      <c r="AB2815" s="79" t="str">
        <f>IF(AND(OR(LEFT(TH!N2815,2)="15",LEFT(TH!O2815,2)="15"),LEFT(TH!O2815,3)&lt;&gt;"111",'152-CT'!$J$8=TH!F2815),"x","")</f>
        <v/>
      </c>
      <c r="AC2815" s="79" t="str">
        <f>IF(AND(OR(LEFT(TH!N2815,2)="15",LEFT(TH!O2815,2)="15"),TK!$E$7=TH!F2815),"x","")</f>
        <v/>
      </c>
      <c r="AD2815" s="79" t="str">
        <f>IF(AND(N2815="1521",MONTH(C2815)='BK-NL'!$M$11),"x","")</f>
        <v/>
      </c>
    </row>
    <row r="2816" spans="1:30" ht="16.5" customHeight="1">
      <c r="A2816" s="318" t="str">
        <f>IF(B2816&lt;&gt;"",IF(AND(B2816='IN-TC'!$S$4,OR(TH!N2816="1111",TH!O2816="1111")),TH!D2816,""),"")</f>
        <v/>
      </c>
      <c r="B2816" s="60" t="str">
        <f t="shared" si="318"/>
        <v/>
      </c>
      <c r="C2816" s="61"/>
      <c r="D2816" s="61"/>
      <c r="E2816" s="61"/>
      <c r="F2816" s="64"/>
      <c r="G2816" s="766"/>
      <c r="H2816" s="69"/>
      <c r="I2816" s="387"/>
      <c r="J2816" s="395"/>
      <c r="K2816" s="387"/>
      <c r="L2816" s="394"/>
      <c r="M2816" s="62"/>
      <c r="N2816" s="63"/>
      <c r="O2816" s="63"/>
      <c r="P2816" s="79" t="str">
        <f>IF(AND('331-CT'!$E$7=TH!H2816,OR(N2816="331",O2816="331")),"x","")</f>
        <v/>
      </c>
      <c r="Q2816" s="79" t="str">
        <f>IF(AND(B2816='111'!$L$11,OR($N2816=$Q$7,$O2816=$Q$7)),"x","")</f>
        <v/>
      </c>
      <c r="R2816" s="79" t="str">
        <f>IF(AND($N2816=$Q$7,$B2816&lt;'111'!$L$11),"x","")</f>
        <v/>
      </c>
      <c r="S2816" s="79" t="str">
        <f>IF(AND($O2816=$Q$7,$B2816&lt;'111'!$L$11),"x","")</f>
        <v/>
      </c>
      <c r="T2816" s="79" t="str">
        <f>IF(ISERROR(FIND('112'!$M$9,G2816,1)),"",IF((AND(FIND('112'!$M$9,G2816,1)&gt;=1,B2816='112'!$K$9,OR($N2816='112'!$I$6,$O2816='112'!$I$6))),"x",""))</f>
        <v/>
      </c>
      <c r="U2816" s="79" t="str">
        <f>IF(ISERROR(FIND('112'!$M$9,G2816,1)),"",IF((AND(LEFT(G2816,2)=LEFT('112'!$M$9,2),B2816&lt;'112'!$K$9,$N2816='112'!$I$6)),"x",""))</f>
        <v/>
      </c>
      <c r="V2816" s="79" t="str">
        <f>IF(ISERROR(FIND('112'!$M$9,G2816,1)),"",IF((AND(RIGHT(G2816,2)=RIGHT('112'!$M$9,2),B2816&lt;'112'!$K$9,$O2816='112'!$I$6)),"x",""))</f>
        <v/>
      </c>
      <c r="W2816" s="79" t="str">
        <f>IF(AND('341-CT'!$H$9=H2816,OR(LEFT(N2816,3)=$W$7,LEFT(O2816,3)=$W$7)),"x","")</f>
        <v/>
      </c>
      <c r="X2816" s="79" t="str">
        <f>IF(OR(TH!N2816=TH!$X$7,O2816=TH!$X$7),"x","")</f>
        <v/>
      </c>
      <c r="Y2816" s="79" t="str">
        <f>IF(AND(OR(N2816="131",O2816="131"),H2816='131-CT'!$H$9),"x","")</f>
        <v/>
      </c>
      <c r="Z2816" s="79"/>
      <c r="AA2816" s="79" t="str">
        <f>IF(AND(MONTH(E2816)='IN-NX'!$J$5,'IN-NX'!$D$7=D2816),"x","")</f>
        <v/>
      </c>
      <c r="AB2816" s="79" t="str">
        <f>IF(AND(OR(LEFT(TH!N2816,2)="15",LEFT(TH!O2816,2)="15"),LEFT(TH!O2816,3)&lt;&gt;"111",'152-CT'!$J$8=TH!F2816),"x","")</f>
        <v/>
      </c>
      <c r="AC2816" s="79" t="str">
        <f>IF(AND(OR(LEFT(TH!N2816,2)="15",LEFT(TH!O2816,2)="15"),TK!$E$7=TH!F2816),"x","")</f>
        <v/>
      </c>
      <c r="AD2816" s="79" t="str">
        <f>IF(AND(N2816="1521",MONTH(C2816)='BK-NL'!$M$11),"x","")</f>
        <v/>
      </c>
    </row>
    <row r="2817" spans="1:30" ht="16.5" customHeight="1">
      <c r="A2817" s="318" t="str">
        <f>IF(B2817&lt;&gt;"",IF(AND(B2817='IN-TC'!$S$4,OR(TH!N2817="1111",TH!O2817="1111")),TH!D2817,""),"")</f>
        <v/>
      </c>
      <c r="B2817" s="60" t="str">
        <f t="shared" si="318"/>
        <v/>
      </c>
      <c r="C2817" s="61"/>
      <c r="D2817" s="61"/>
      <c r="E2817" s="61"/>
      <c r="F2817" s="64"/>
      <c r="G2817" s="766"/>
      <c r="H2817" s="69"/>
      <c r="I2817" s="387"/>
      <c r="J2817" s="395"/>
      <c r="K2817" s="387"/>
      <c r="L2817" s="394"/>
      <c r="M2817" s="62"/>
      <c r="N2817" s="63"/>
      <c r="O2817" s="63"/>
      <c r="P2817" s="79" t="str">
        <f>IF(AND('331-CT'!$E$7=TH!H2817,OR(N2817="331",O2817="331")),"x","")</f>
        <v/>
      </c>
      <c r="Q2817" s="79" t="str">
        <f>IF(AND(B2817='111'!$L$11,OR($N2817=$Q$7,$O2817=$Q$7)),"x","")</f>
        <v/>
      </c>
      <c r="R2817" s="79" t="str">
        <f>IF(AND($N2817=$Q$7,$B2817&lt;'111'!$L$11),"x","")</f>
        <v/>
      </c>
      <c r="S2817" s="79" t="str">
        <f>IF(AND($O2817=$Q$7,$B2817&lt;'111'!$L$11),"x","")</f>
        <v/>
      </c>
      <c r="T2817" s="79" t="str">
        <f>IF(ISERROR(FIND('112'!$M$9,G2817,1)),"",IF((AND(FIND('112'!$M$9,G2817,1)&gt;=1,B2817='112'!$K$9,OR($N2817='112'!$I$6,$O2817='112'!$I$6))),"x",""))</f>
        <v/>
      </c>
      <c r="U2817" s="79" t="str">
        <f>IF(ISERROR(FIND('112'!$M$9,G2817,1)),"",IF((AND(LEFT(G2817,2)=LEFT('112'!$M$9,2),B2817&lt;'112'!$K$9,$N2817='112'!$I$6)),"x",""))</f>
        <v/>
      </c>
      <c r="V2817" s="79" t="str">
        <f>IF(ISERROR(FIND('112'!$M$9,G2817,1)),"",IF((AND(RIGHT(G2817,2)=RIGHT('112'!$M$9,2),B2817&lt;'112'!$K$9,$O2817='112'!$I$6)),"x",""))</f>
        <v/>
      </c>
      <c r="W2817" s="79" t="str">
        <f>IF(AND('341-CT'!$H$9=H2817,OR(LEFT(N2817,3)=$W$7,LEFT(O2817,3)=$W$7)),"x","")</f>
        <v/>
      </c>
      <c r="X2817" s="79" t="str">
        <f>IF(OR(TH!N2817=TH!$X$7,O2817=TH!$X$7),"x","")</f>
        <v/>
      </c>
      <c r="Y2817" s="79" t="str">
        <f>IF(AND(OR(N2817="131",O2817="131"),H2817='131-CT'!$H$9),"x","")</f>
        <v/>
      </c>
      <c r="Z2817" s="79"/>
      <c r="AA2817" s="79" t="str">
        <f>IF(AND(MONTH(E2817)='IN-NX'!$J$5,'IN-NX'!$D$7=D2817),"x","")</f>
        <v/>
      </c>
      <c r="AB2817" s="79" t="str">
        <f>IF(AND(OR(LEFT(TH!N2817,2)="15",LEFT(TH!O2817,2)="15"),LEFT(TH!O2817,3)&lt;&gt;"111",'152-CT'!$J$8=TH!F2817),"x","")</f>
        <v/>
      </c>
      <c r="AC2817" s="79" t="str">
        <f>IF(AND(OR(LEFT(TH!N2817,2)="15",LEFT(TH!O2817,2)="15"),TK!$E$7=TH!F2817),"x","")</f>
        <v/>
      </c>
      <c r="AD2817" s="79" t="str">
        <f>IF(AND(N2817="1521",MONTH(C2817)='BK-NL'!$M$11),"x","")</f>
        <v/>
      </c>
    </row>
    <row r="2818" spans="1:30" ht="16.5" customHeight="1">
      <c r="A2818" s="318" t="str">
        <f>IF(B2818&lt;&gt;"",IF(AND(B2818='IN-TC'!$S$4,OR(TH!N2818="1111",TH!O2818="1111")),TH!D2818,""),"")</f>
        <v/>
      </c>
      <c r="B2818" s="60" t="str">
        <f t="shared" si="318"/>
        <v/>
      </c>
      <c r="C2818" s="61"/>
      <c r="D2818" s="61"/>
      <c r="E2818" s="61"/>
      <c r="F2818" s="64"/>
      <c r="G2818" s="766"/>
      <c r="H2818" s="69"/>
      <c r="I2818" s="387"/>
      <c r="J2818" s="395"/>
      <c r="K2818" s="387"/>
      <c r="L2818" s="394"/>
      <c r="M2818" s="62"/>
      <c r="N2818" s="63"/>
      <c r="O2818" s="63"/>
      <c r="P2818" s="79" t="str">
        <f>IF(AND('331-CT'!$E$7=TH!H2818,OR(N2818="331",O2818="331")),"x","")</f>
        <v/>
      </c>
      <c r="Q2818" s="79" t="str">
        <f>IF(AND(B2818='111'!$L$11,OR($N2818=$Q$7,$O2818=$Q$7)),"x","")</f>
        <v/>
      </c>
      <c r="R2818" s="79" t="str">
        <f>IF(AND($N2818=$Q$7,$B2818&lt;'111'!$L$11),"x","")</f>
        <v/>
      </c>
      <c r="S2818" s="79" t="str">
        <f>IF(AND($O2818=$Q$7,$B2818&lt;'111'!$L$11),"x","")</f>
        <v/>
      </c>
      <c r="T2818" s="79" t="str">
        <f>IF(ISERROR(FIND('112'!$M$9,G2818,1)),"",IF((AND(FIND('112'!$M$9,G2818,1)&gt;=1,B2818='112'!$K$9,OR($N2818='112'!$I$6,$O2818='112'!$I$6))),"x",""))</f>
        <v/>
      </c>
      <c r="U2818" s="79" t="str">
        <f>IF(ISERROR(FIND('112'!$M$9,G2818,1)),"",IF((AND(LEFT(G2818,2)=LEFT('112'!$M$9,2),B2818&lt;'112'!$K$9,$N2818='112'!$I$6)),"x",""))</f>
        <v/>
      </c>
      <c r="V2818" s="79" t="str">
        <f>IF(ISERROR(FIND('112'!$M$9,G2818,1)),"",IF((AND(RIGHT(G2818,2)=RIGHT('112'!$M$9,2),B2818&lt;'112'!$K$9,$O2818='112'!$I$6)),"x",""))</f>
        <v/>
      </c>
      <c r="W2818" s="79" t="str">
        <f>IF(AND('341-CT'!$H$9=H2818,OR(LEFT(N2818,3)=$W$7,LEFT(O2818,3)=$W$7)),"x","")</f>
        <v/>
      </c>
      <c r="X2818" s="79" t="str">
        <f>IF(OR(TH!N2818=TH!$X$7,O2818=TH!$X$7),"x","")</f>
        <v/>
      </c>
      <c r="Y2818" s="79" t="str">
        <f>IF(AND(OR(N2818="131",O2818="131"),H2818='131-CT'!$H$9),"x","")</f>
        <v/>
      </c>
      <c r="Z2818" s="79"/>
      <c r="AA2818" s="79" t="str">
        <f>IF(AND(MONTH(E2818)='IN-NX'!$J$5,'IN-NX'!$D$7=D2818),"x","")</f>
        <v/>
      </c>
      <c r="AB2818" s="79" t="str">
        <f>IF(AND(OR(LEFT(TH!N2818,2)="15",LEFT(TH!O2818,2)="15"),LEFT(TH!O2818,3)&lt;&gt;"111",'152-CT'!$J$8=TH!F2818),"x","")</f>
        <v/>
      </c>
      <c r="AC2818" s="79" t="str">
        <f>IF(AND(OR(LEFT(TH!N2818,2)="15",LEFT(TH!O2818,2)="15"),TK!$E$7=TH!F2818),"x","")</f>
        <v/>
      </c>
      <c r="AD2818" s="79" t="str">
        <f>IF(AND(N2818="1521",MONTH(C2818)='BK-NL'!$M$11),"x","")</f>
        <v/>
      </c>
    </row>
    <row r="2819" spans="1:30" ht="16.5" customHeight="1">
      <c r="A2819" s="318" t="str">
        <f>IF(B2819&lt;&gt;"",IF(AND(B2819='IN-TC'!$S$4,OR(TH!N2819="1111",TH!O2819="1111")),TH!D2819,""),"")</f>
        <v/>
      </c>
      <c r="B2819" s="60" t="str">
        <f t="shared" si="318"/>
        <v/>
      </c>
      <c r="C2819" s="61"/>
      <c r="D2819" s="61"/>
      <c r="E2819" s="61"/>
      <c r="F2819" s="64"/>
      <c r="G2819" s="766"/>
      <c r="H2819" s="69"/>
      <c r="I2819" s="387"/>
      <c r="J2819" s="395"/>
      <c r="K2819" s="387"/>
      <c r="L2819" s="394"/>
      <c r="M2819" s="62"/>
      <c r="N2819" s="63"/>
      <c r="O2819" s="63"/>
      <c r="P2819" s="79" t="str">
        <f>IF(AND('331-CT'!$E$7=TH!H2819,OR(N2819="331",O2819="331")),"x","")</f>
        <v/>
      </c>
      <c r="Q2819" s="79" t="str">
        <f>IF(AND(B2819='111'!$L$11,OR($N2819=$Q$7,$O2819=$Q$7)),"x","")</f>
        <v/>
      </c>
      <c r="R2819" s="79" t="str">
        <f>IF(AND($N2819=$Q$7,$B2819&lt;'111'!$L$11),"x","")</f>
        <v/>
      </c>
      <c r="S2819" s="79" t="str">
        <f>IF(AND($O2819=$Q$7,$B2819&lt;'111'!$L$11),"x","")</f>
        <v/>
      </c>
      <c r="T2819" s="79" t="str">
        <f>IF(ISERROR(FIND('112'!$M$9,G2819,1)),"",IF((AND(FIND('112'!$M$9,G2819,1)&gt;=1,B2819='112'!$K$9,OR($N2819='112'!$I$6,$O2819='112'!$I$6))),"x",""))</f>
        <v/>
      </c>
      <c r="U2819" s="79" t="str">
        <f>IF(ISERROR(FIND('112'!$M$9,G2819,1)),"",IF((AND(LEFT(G2819,2)=LEFT('112'!$M$9,2),B2819&lt;'112'!$K$9,$N2819='112'!$I$6)),"x",""))</f>
        <v/>
      </c>
      <c r="V2819" s="79" t="str">
        <f>IF(ISERROR(FIND('112'!$M$9,G2819,1)),"",IF((AND(RIGHT(G2819,2)=RIGHT('112'!$M$9,2),B2819&lt;'112'!$K$9,$O2819='112'!$I$6)),"x",""))</f>
        <v/>
      </c>
      <c r="W2819" s="79" t="str">
        <f>IF(AND('341-CT'!$H$9=H2819,OR(LEFT(N2819,3)=$W$7,LEFT(O2819,3)=$W$7)),"x","")</f>
        <v/>
      </c>
      <c r="X2819" s="79" t="str">
        <f>IF(OR(TH!N2819=TH!$X$7,O2819=TH!$X$7),"x","")</f>
        <v/>
      </c>
      <c r="Y2819" s="79" t="str">
        <f>IF(AND(OR(N2819="131",O2819="131"),H2819='131-CT'!$H$9),"x","")</f>
        <v/>
      </c>
      <c r="Z2819" s="79"/>
      <c r="AA2819" s="79" t="str">
        <f>IF(AND(MONTH(E2819)='IN-NX'!$J$5,'IN-NX'!$D$7=D2819),"x","")</f>
        <v/>
      </c>
      <c r="AB2819" s="79" t="str">
        <f>IF(AND(OR(LEFT(TH!N2819,2)="15",LEFT(TH!O2819,2)="15"),LEFT(TH!O2819,3)&lt;&gt;"111",'152-CT'!$J$8=TH!F2819),"x","")</f>
        <v/>
      </c>
      <c r="AC2819" s="79" t="str">
        <f>IF(AND(OR(LEFT(TH!N2819,2)="15",LEFT(TH!O2819,2)="15"),TK!$E$7=TH!F2819),"x","")</f>
        <v/>
      </c>
      <c r="AD2819" s="79" t="str">
        <f>IF(AND(N2819="1521",MONTH(C2819)='BK-NL'!$M$11),"x","")</f>
        <v/>
      </c>
    </row>
    <row r="2820" spans="1:30" ht="16.5" customHeight="1">
      <c r="A2820" s="318" t="str">
        <f>IF(B2820&lt;&gt;"",IF(AND(B2820='IN-TC'!$S$4,OR(TH!N2820="1111",TH!O2820="1111")),TH!D2820,""),"")</f>
        <v/>
      </c>
      <c r="B2820" s="60" t="str">
        <f t="shared" si="318"/>
        <v/>
      </c>
      <c r="C2820" s="61"/>
      <c r="D2820" s="61"/>
      <c r="E2820" s="61"/>
      <c r="F2820" s="64"/>
      <c r="G2820" s="766"/>
      <c r="H2820" s="69"/>
      <c r="I2820" s="387"/>
      <c r="J2820" s="395"/>
      <c r="K2820" s="387"/>
      <c r="L2820" s="394"/>
      <c r="M2820" s="62"/>
      <c r="N2820" s="63"/>
      <c r="O2820" s="63"/>
      <c r="P2820" s="79" t="str">
        <f>IF(AND('331-CT'!$E$7=TH!H2820,OR(N2820="331",O2820="331")),"x","")</f>
        <v/>
      </c>
      <c r="Q2820" s="79" t="str">
        <f>IF(AND(B2820='111'!$L$11,OR($N2820=$Q$7,$O2820=$Q$7)),"x","")</f>
        <v/>
      </c>
      <c r="R2820" s="79" t="str">
        <f>IF(AND($N2820=$Q$7,$B2820&lt;'111'!$L$11),"x","")</f>
        <v/>
      </c>
      <c r="S2820" s="79" t="str">
        <f>IF(AND($O2820=$Q$7,$B2820&lt;'111'!$L$11),"x","")</f>
        <v/>
      </c>
      <c r="T2820" s="79" t="str">
        <f>IF(ISERROR(FIND('112'!$M$9,G2820,1)),"",IF((AND(FIND('112'!$M$9,G2820,1)&gt;=1,B2820='112'!$K$9,OR($N2820='112'!$I$6,$O2820='112'!$I$6))),"x",""))</f>
        <v/>
      </c>
      <c r="U2820" s="79" t="str">
        <f>IF(ISERROR(FIND('112'!$M$9,G2820,1)),"",IF((AND(LEFT(G2820,2)=LEFT('112'!$M$9,2),B2820&lt;'112'!$K$9,$N2820='112'!$I$6)),"x",""))</f>
        <v/>
      </c>
      <c r="V2820" s="79" t="str">
        <f>IF(ISERROR(FIND('112'!$M$9,G2820,1)),"",IF((AND(RIGHT(G2820,2)=RIGHT('112'!$M$9,2),B2820&lt;'112'!$K$9,$O2820='112'!$I$6)),"x",""))</f>
        <v/>
      </c>
      <c r="W2820" s="79" t="str">
        <f>IF(AND('341-CT'!$H$9=H2820,OR(LEFT(N2820,3)=$W$7,LEFT(O2820,3)=$W$7)),"x","")</f>
        <v/>
      </c>
      <c r="X2820" s="79" t="str">
        <f>IF(OR(TH!N2820=TH!$X$7,O2820=TH!$X$7),"x","")</f>
        <v/>
      </c>
      <c r="Y2820" s="79" t="str">
        <f>IF(AND(OR(N2820="131",O2820="131"),H2820='131-CT'!$H$9),"x","")</f>
        <v/>
      </c>
      <c r="Z2820" s="79"/>
      <c r="AA2820" s="79" t="str">
        <f>IF(AND(MONTH(E2820)='IN-NX'!$J$5,'IN-NX'!$D$7=D2820),"x","")</f>
        <v/>
      </c>
      <c r="AB2820" s="79" t="str">
        <f>IF(AND(OR(LEFT(TH!N2820,2)="15",LEFT(TH!O2820,2)="15"),LEFT(TH!O2820,3)&lt;&gt;"111",'152-CT'!$J$8=TH!F2820),"x","")</f>
        <v/>
      </c>
      <c r="AC2820" s="79" t="str">
        <f>IF(AND(OR(LEFT(TH!N2820,2)="15",LEFT(TH!O2820,2)="15"),TK!$E$7=TH!F2820),"x","")</f>
        <v/>
      </c>
      <c r="AD2820" s="79" t="str">
        <f>IF(AND(N2820="1521",MONTH(C2820)='BK-NL'!$M$11),"x","")</f>
        <v/>
      </c>
    </row>
    <row r="2821" spans="1:30" ht="16.5" customHeight="1">
      <c r="A2821" s="318" t="str">
        <f>IF(B2821&lt;&gt;"",IF(AND(B2821='IN-TC'!$S$4,OR(TH!N2821="1111",TH!O2821="1111")),TH!D2821,""),"")</f>
        <v/>
      </c>
      <c r="B2821" s="60" t="str">
        <f t="shared" si="318"/>
        <v/>
      </c>
      <c r="C2821" s="61"/>
      <c r="D2821" s="61"/>
      <c r="E2821" s="61"/>
      <c r="F2821" s="64"/>
      <c r="G2821" s="766"/>
      <c r="H2821" s="69"/>
      <c r="I2821" s="387"/>
      <c r="J2821" s="395"/>
      <c r="K2821" s="387"/>
      <c r="L2821" s="394"/>
      <c r="M2821" s="62"/>
      <c r="N2821" s="63"/>
      <c r="O2821" s="63"/>
      <c r="P2821" s="79" t="str">
        <f>IF(AND('331-CT'!$E$7=TH!H2821,OR(N2821="331",O2821="331")),"x","")</f>
        <v/>
      </c>
      <c r="Q2821" s="79" t="str">
        <f>IF(AND(B2821='111'!$L$11,OR($N2821=$Q$7,$O2821=$Q$7)),"x","")</f>
        <v/>
      </c>
      <c r="R2821" s="79" t="str">
        <f>IF(AND($N2821=$Q$7,$B2821&lt;'111'!$L$11),"x","")</f>
        <v/>
      </c>
      <c r="S2821" s="79" t="str">
        <f>IF(AND($O2821=$Q$7,$B2821&lt;'111'!$L$11),"x","")</f>
        <v/>
      </c>
      <c r="T2821" s="79" t="str">
        <f>IF(ISERROR(FIND('112'!$M$9,G2821,1)),"",IF((AND(FIND('112'!$M$9,G2821,1)&gt;=1,B2821='112'!$K$9,OR($N2821='112'!$I$6,$O2821='112'!$I$6))),"x",""))</f>
        <v/>
      </c>
      <c r="U2821" s="79" t="str">
        <f>IF(ISERROR(FIND('112'!$M$9,G2821,1)),"",IF((AND(LEFT(G2821,2)=LEFT('112'!$M$9,2),B2821&lt;'112'!$K$9,$N2821='112'!$I$6)),"x",""))</f>
        <v/>
      </c>
      <c r="V2821" s="79" t="str">
        <f>IF(ISERROR(FIND('112'!$M$9,G2821,1)),"",IF((AND(RIGHT(G2821,2)=RIGHT('112'!$M$9,2),B2821&lt;'112'!$K$9,$O2821='112'!$I$6)),"x",""))</f>
        <v/>
      </c>
      <c r="W2821" s="79" t="str">
        <f>IF(AND('341-CT'!$H$9=H2821,OR(LEFT(N2821,3)=$W$7,LEFT(O2821,3)=$W$7)),"x","")</f>
        <v/>
      </c>
      <c r="X2821" s="79" t="str">
        <f>IF(OR(TH!N2821=TH!$X$7,O2821=TH!$X$7),"x","")</f>
        <v/>
      </c>
      <c r="Y2821" s="79" t="str">
        <f>IF(AND(OR(N2821="131",O2821="131"),H2821='131-CT'!$H$9),"x","")</f>
        <v/>
      </c>
      <c r="Z2821" s="79"/>
      <c r="AA2821" s="79" t="str">
        <f>IF(AND(MONTH(E2821)='IN-NX'!$J$5,'IN-NX'!$D$7=D2821),"x","")</f>
        <v/>
      </c>
      <c r="AB2821" s="79" t="str">
        <f>IF(AND(OR(LEFT(TH!N2821,2)="15",LEFT(TH!O2821,2)="15"),LEFT(TH!O2821,3)&lt;&gt;"111",'152-CT'!$J$8=TH!F2821),"x","")</f>
        <v/>
      </c>
      <c r="AC2821" s="79" t="str">
        <f>IF(AND(OR(LEFT(TH!N2821,2)="15",LEFT(TH!O2821,2)="15"),TK!$E$7=TH!F2821),"x","")</f>
        <v/>
      </c>
      <c r="AD2821" s="79" t="str">
        <f>IF(AND(N2821="1521",MONTH(C2821)='BK-NL'!$M$11),"x","")</f>
        <v/>
      </c>
    </row>
    <row r="2822" spans="1:30" ht="16.5" customHeight="1">
      <c r="A2822" s="318" t="str">
        <f>IF(B2822&lt;&gt;"",IF(AND(B2822='IN-TC'!$S$4,OR(TH!N2822="1111",TH!O2822="1111")),TH!D2822,""),"")</f>
        <v/>
      </c>
      <c r="B2822" s="60" t="str">
        <f t="shared" si="318"/>
        <v/>
      </c>
      <c r="C2822" s="61"/>
      <c r="D2822" s="61"/>
      <c r="E2822" s="61"/>
      <c r="F2822" s="64"/>
      <c r="G2822" s="766"/>
      <c r="H2822" s="69"/>
      <c r="I2822" s="387"/>
      <c r="J2822" s="395"/>
      <c r="K2822" s="387"/>
      <c r="L2822" s="394"/>
      <c r="M2822" s="62"/>
      <c r="N2822" s="63"/>
      <c r="O2822" s="63"/>
      <c r="P2822" s="79" t="str">
        <f>IF(AND('331-CT'!$E$7=TH!H2822,OR(N2822="331",O2822="331")),"x","")</f>
        <v/>
      </c>
      <c r="Q2822" s="79" t="str">
        <f>IF(AND(B2822='111'!$L$11,OR($N2822=$Q$7,$O2822=$Q$7)),"x","")</f>
        <v/>
      </c>
      <c r="R2822" s="79" t="str">
        <f>IF(AND($N2822=$Q$7,$B2822&lt;'111'!$L$11),"x","")</f>
        <v/>
      </c>
      <c r="S2822" s="79" t="str">
        <f>IF(AND($O2822=$Q$7,$B2822&lt;'111'!$L$11),"x","")</f>
        <v/>
      </c>
      <c r="T2822" s="79" t="str">
        <f>IF(ISERROR(FIND('112'!$M$9,G2822,1)),"",IF((AND(FIND('112'!$M$9,G2822,1)&gt;=1,B2822='112'!$K$9,OR($N2822='112'!$I$6,$O2822='112'!$I$6))),"x",""))</f>
        <v/>
      </c>
      <c r="U2822" s="79" t="str">
        <f>IF(ISERROR(FIND('112'!$M$9,G2822,1)),"",IF((AND(LEFT(G2822,2)=LEFT('112'!$M$9,2),B2822&lt;'112'!$K$9,$N2822='112'!$I$6)),"x",""))</f>
        <v/>
      </c>
      <c r="V2822" s="79" t="str">
        <f>IF(ISERROR(FIND('112'!$M$9,G2822,1)),"",IF((AND(RIGHT(G2822,2)=RIGHT('112'!$M$9,2),B2822&lt;'112'!$K$9,$O2822='112'!$I$6)),"x",""))</f>
        <v/>
      </c>
      <c r="W2822" s="79" t="str">
        <f>IF(AND('341-CT'!$H$9=H2822,OR(LEFT(N2822,3)=$W$7,LEFT(O2822,3)=$W$7)),"x","")</f>
        <v/>
      </c>
      <c r="X2822" s="79" t="str">
        <f>IF(OR(TH!N2822=TH!$X$7,O2822=TH!$X$7),"x","")</f>
        <v/>
      </c>
      <c r="Y2822" s="79" t="str">
        <f>IF(AND(OR(N2822="131",O2822="131"),H2822='131-CT'!$H$9),"x","")</f>
        <v/>
      </c>
      <c r="Z2822" s="79"/>
      <c r="AA2822" s="79" t="str">
        <f>IF(AND(MONTH(E2822)='IN-NX'!$J$5,'IN-NX'!$D$7=D2822),"x","")</f>
        <v/>
      </c>
      <c r="AB2822" s="79" t="str">
        <f>IF(AND(OR(LEFT(TH!N2822,2)="15",LEFT(TH!O2822,2)="15"),LEFT(TH!O2822,3)&lt;&gt;"111",'152-CT'!$J$8=TH!F2822),"x","")</f>
        <v/>
      </c>
      <c r="AC2822" s="79" t="str">
        <f>IF(AND(OR(LEFT(TH!N2822,2)="15",LEFT(TH!O2822,2)="15"),TK!$E$7=TH!F2822),"x","")</f>
        <v/>
      </c>
      <c r="AD2822" s="79" t="str">
        <f>IF(AND(N2822="1521",MONTH(C2822)='BK-NL'!$M$11),"x","")</f>
        <v/>
      </c>
    </row>
    <row r="2823" spans="1:30" ht="16.5" customHeight="1">
      <c r="A2823" s="318" t="str">
        <f>IF(B2823&lt;&gt;"",IF(AND(B2823='IN-TC'!$S$4,OR(TH!N2823="1111",TH!O2823="1111")),TH!D2823,""),"")</f>
        <v/>
      </c>
      <c r="B2823" s="60" t="str">
        <f t="shared" si="318"/>
        <v/>
      </c>
      <c r="C2823" s="61"/>
      <c r="D2823" s="61"/>
      <c r="E2823" s="61"/>
      <c r="F2823" s="64"/>
      <c r="G2823" s="766"/>
      <c r="H2823" s="69"/>
      <c r="I2823" s="387"/>
      <c r="J2823" s="395"/>
      <c r="K2823" s="387"/>
      <c r="L2823" s="394"/>
      <c r="M2823" s="62"/>
      <c r="N2823" s="63"/>
      <c r="O2823" s="63"/>
      <c r="P2823" s="79" t="str">
        <f>IF(AND('331-CT'!$E$7=TH!H2823,OR(N2823="331",O2823="331")),"x","")</f>
        <v/>
      </c>
      <c r="Q2823" s="79" t="str">
        <f>IF(AND(B2823='111'!$L$11,OR($N2823=$Q$7,$O2823=$Q$7)),"x","")</f>
        <v/>
      </c>
      <c r="R2823" s="79" t="str">
        <f>IF(AND($N2823=$Q$7,$B2823&lt;'111'!$L$11),"x","")</f>
        <v/>
      </c>
      <c r="S2823" s="79" t="str">
        <f>IF(AND($O2823=$Q$7,$B2823&lt;'111'!$L$11),"x","")</f>
        <v/>
      </c>
      <c r="T2823" s="79" t="str">
        <f>IF(ISERROR(FIND('112'!$M$9,G2823,1)),"",IF((AND(FIND('112'!$M$9,G2823,1)&gt;=1,B2823='112'!$K$9,OR($N2823='112'!$I$6,$O2823='112'!$I$6))),"x",""))</f>
        <v/>
      </c>
      <c r="U2823" s="79" t="str">
        <f>IF(ISERROR(FIND('112'!$M$9,G2823,1)),"",IF((AND(LEFT(G2823,2)=LEFT('112'!$M$9,2),B2823&lt;'112'!$K$9,$N2823='112'!$I$6)),"x",""))</f>
        <v/>
      </c>
      <c r="V2823" s="79" t="str">
        <f>IF(ISERROR(FIND('112'!$M$9,G2823,1)),"",IF((AND(RIGHT(G2823,2)=RIGHT('112'!$M$9,2),B2823&lt;'112'!$K$9,$O2823='112'!$I$6)),"x",""))</f>
        <v/>
      </c>
      <c r="W2823" s="79" t="str">
        <f>IF(AND('341-CT'!$H$9=H2823,OR(LEFT(N2823,3)=$W$7,LEFT(O2823,3)=$W$7)),"x","")</f>
        <v/>
      </c>
      <c r="X2823" s="79" t="str">
        <f>IF(OR(TH!N2823=TH!$X$7,O2823=TH!$X$7),"x","")</f>
        <v/>
      </c>
      <c r="Y2823" s="79" t="str">
        <f>IF(AND(OR(N2823="131",O2823="131"),H2823='131-CT'!$H$9),"x","")</f>
        <v/>
      </c>
      <c r="Z2823" s="79"/>
      <c r="AA2823" s="79" t="str">
        <f>IF(AND(MONTH(E2823)='IN-NX'!$J$5,'IN-NX'!$D$7=D2823),"x","")</f>
        <v/>
      </c>
      <c r="AB2823" s="79" t="str">
        <f>IF(AND(OR(LEFT(TH!N2823,2)="15",LEFT(TH!O2823,2)="15"),LEFT(TH!O2823,3)&lt;&gt;"111",'152-CT'!$J$8=TH!F2823),"x","")</f>
        <v/>
      </c>
      <c r="AC2823" s="79" t="str">
        <f>IF(AND(OR(LEFT(TH!N2823,2)="15",LEFT(TH!O2823,2)="15"),TK!$E$7=TH!F2823),"x","")</f>
        <v/>
      </c>
      <c r="AD2823" s="79" t="str">
        <f>IF(AND(N2823="1521",MONTH(C2823)='BK-NL'!$M$11),"x","")</f>
        <v/>
      </c>
    </row>
    <row r="2824" spans="1:30" ht="16.5" customHeight="1">
      <c r="A2824" s="318" t="str">
        <f>IF(B2824&lt;&gt;"",IF(AND(B2824='IN-TC'!$S$4,OR(TH!N2824="1111",TH!O2824="1111")),TH!D2824,""),"")</f>
        <v/>
      </c>
      <c r="B2824" s="60" t="str">
        <f t="shared" si="318"/>
        <v/>
      </c>
      <c r="C2824" s="61"/>
      <c r="D2824" s="61"/>
      <c r="E2824" s="61"/>
      <c r="F2824" s="64"/>
      <c r="G2824" s="766"/>
      <c r="H2824" s="69"/>
      <c r="I2824" s="387"/>
      <c r="J2824" s="395"/>
      <c r="K2824" s="387"/>
      <c r="L2824" s="394"/>
      <c r="M2824" s="62"/>
      <c r="N2824" s="63"/>
      <c r="O2824" s="63"/>
      <c r="P2824" s="79" t="str">
        <f>IF(AND('331-CT'!$E$7=TH!H2824,OR(N2824="331",O2824="331")),"x","")</f>
        <v/>
      </c>
      <c r="Q2824" s="79" t="str">
        <f>IF(AND(B2824='111'!$L$11,OR($N2824=$Q$7,$O2824=$Q$7)),"x","")</f>
        <v/>
      </c>
      <c r="R2824" s="79" t="str">
        <f>IF(AND($N2824=$Q$7,$B2824&lt;'111'!$L$11),"x","")</f>
        <v/>
      </c>
      <c r="S2824" s="79" t="str">
        <f>IF(AND($O2824=$Q$7,$B2824&lt;'111'!$L$11),"x","")</f>
        <v/>
      </c>
      <c r="T2824" s="79" t="str">
        <f>IF(ISERROR(FIND('112'!$M$9,G2824,1)),"",IF((AND(FIND('112'!$M$9,G2824,1)&gt;=1,B2824='112'!$K$9,OR($N2824='112'!$I$6,$O2824='112'!$I$6))),"x",""))</f>
        <v/>
      </c>
      <c r="U2824" s="79" t="str">
        <f>IF(ISERROR(FIND('112'!$M$9,G2824,1)),"",IF((AND(LEFT(G2824,2)=LEFT('112'!$M$9,2),B2824&lt;'112'!$K$9,$N2824='112'!$I$6)),"x",""))</f>
        <v/>
      </c>
      <c r="V2824" s="79" t="str">
        <f>IF(ISERROR(FIND('112'!$M$9,G2824,1)),"",IF((AND(RIGHT(G2824,2)=RIGHT('112'!$M$9,2),B2824&lt;'112'!$K$9,$O2824='112'!$I$6)),"x",""))</f>
        <v/>
      </c>
      <c r="W2824" s="79" t="str">
        <f>IF(AND('341-CT'!$H$9=H2824,OR(LEFT(N2824,3)=$W$7,LEFT(O2824,3)=$W$7)),"x","")</f>
        <v/>
      </c>
      <c r="X2824" s="79" t="str">
        <f>IF(OR(TH!N2824=TH!$X$7,O2824=TH!$X$7),"x","")</f>
        <v/>
      </c>
      <c r="Y2824" s="79" t="str">
        <f>IF(AND(OR(N2824="131",O2824="131"),H2824='131-CT'!$H$9),"x","")</f>
        <v/>
      </c>
      <c r="Z2824" s="79"/>
      <c r="AA2824" s="79" t="str">
        <f>IF(AND(MONTH(E2824)='IN-NX'!$J$5,'IN-NX'!$D$7=D2824),"x","")</f>
        <v/>
      </c>
      <c r="AB2824" s="79" t="str">
        <f>IF(AND(OR(LEFT(TH!N2824,2)="15",LEFT(TH!O2824,2)="15"),LEFT(TH!O2824,3)&lt;&gt;"111",'152-CT'!$J$8=TH!F2824),"x","")</f>
        <v/>
      </c>
      <c r="AC2824" s="79" t="str">
        <f>IF(AND(OR(LEFT(TH!N2824,2)="15",LEFT(TH!O2824,2)="15"),TK!$E$7=TH!F2824),"x","")</f>
        <v/>
      </c>
      <c r="AD2824" s="79" t="str">
        <f>IF(AND(N2824="1521",MONTH(C2824)='BK-NL'!$M$11),"x","")</f>
        <v/>
      </c>
    </row>
    <row r="2825" spans="1:30" ht="16.5" customHeight="1">
      <c r="A2825" s="318" t="str">
        <f>IF(B2825&lt;&gt;"",IF(AND(B2825='IN-TC'!$S$4,OR(TH!N2825="1111",TH!O2825="1111")),TH!D2825,""),"")</f>
        <v/>
      </c>
      <c r="B2825" s="60" t="str">
        <f t="shared" si="318"/>
        <v/>
      </c>
      <c r="C2825" s="61"/>
      <c r="D2825" s="61"/>
      <c r="E2825" s="61"/>
      <c r="F2825" s="64"/>
      <c r="G2825" s="766"/>
      <c r="H2825" s="69"/>
      <c r="I2825" s="387"/>
      <c r="J2825" s="395"/>
      <c r="K2825" s="387"/>
      <c r="L2825" s="394"/>
      <c r="M2825" s="62"/>
      <c r="N2825" s="63"/>
      <c r="O2825" s="63"/>
      <c r="P2825" s="79" t="str">
        <f>IF(AND('331-CT'!$E$7=TH!H2825,OR(N2825="331",O2825="331")),"x","")</f>
        <v/>
      </c>
      <c r="Q2825" s="79" t="str">
        <f>IF(AND(B2825='111'!$L$11,OR($N2825=$Q$7,$O2825=$Q$7)),"x","")</f>
        <v/>
      </c>
      <c r="R2825" s="79" t="str">
        <f>IF(AND($N2825=$Q$7,$B2825&lt;'111'!$L$11),"x","")</f>
        <v/>
      </c>
      <c r="S2825" s="79" t="str">
        <f>IF(AND($O2825=$Q$7,$B2825&lt;'111'!$L$11),"x","")</f>
        <v/>
      </c>
      <c r="T2825" s="79" t="str">
        <f>IF(ISERROR(FIND('112'!$M$9,G2825,1)),"",IF((AND(FIND('112'!$M$9,G2825,1)&gt;=1,B2825='112'!$K$9,OR($N2825='112'!$I$6,$O2825='112'!$I$6))),"x",""))</f>
        <v/>
      </c>
      <c r="U2825" s="79" t="str">
        <f>IF(ISERROR(FIND('112'!$M$9,G2825,1)),"",IF((AND(LEFT(G2825,2)=LEFT('112'!$M$9,2),B2825&lt;'112'!$K$9,$N2825='112'!$I$6)),"x",""))</f>
        <v/>
      </c>
      <c r="V2825" s="79" t="str">
        <f>IF(ISERROR(FIND('112'!$M$9,G2825,1)),"",IF((AND(RIGHT(G2825,2)=RIGHT('112'!$M$9,2),B2825&lt;'112'!$K$9,$O2825='112'!$I$6)),"x",""))</f>
        <v/>
      </c>
      <c r="W2825" s="79" t="str">
        <f>IF(AND('341-CT'!$H$9=H2825,OR(LEFT(N2825,3)=$W$7,LEFT(O2825,3)=$W$7)),"x","")</f>
        <v/>
      </c>
      <c r="X2825" s="79" t="str">
        <f>IF(OR(TH!N2825=TH!$X$7,O2825=TH!$X$7),"x","")</f>
        <v/>
      </c>
      <c r="Y2825" s="79" t="str">
        <f>IF(AND(OR(N2825="131",O2825="131"),H2825='131-CT'!$H$9),"x","")</f>
        <v/>
      </c>
      <c r="Z2825" s="79"/>
      <c r="AA2825" s="79" t="str">
        <f>IF(AND(MONTH(E2825)='IN-NX'!$J$5,'IN-NX'!$D$7=D2825),"x","")</f>
        <v/>
      </c>
      <c r="AB2825" s="79" t="str">
        <f>IF(AND(OR(LEFT(TH!N2825,2)="15",LEFT(TH!O2825,2)="15"),LEFT(TH!O2825,3)&lt;&gt;"111",'152-CT'!$J$8=TH!F2825),"x","")</f>
        <v/>
      </c>
      <c r="AC2825" s="79" t="str">
        <f>IF(AND(OR(LEFT(TH!N2825,2)="15",LEFT(TH!O2825,2)="15"),TK!$E$7=TH!F2825),"x","")</f>
        <v/>
      </c>
      <c r="AD2825" s="79" t="str">
        <f>IF(AND(N2825="1521",MONTH(C2825)='BK-NL'!$M$11),"x","")</f>
        <v/>
      </c>
    </row>
    <row r="2826" spans="1:30" ht="16.5" customHeight="1">
      <c r="A2826" s="318" t="str">
        <f>IF(B2826&lt;&gt;"",IF(AND(B2826='IN-TC'!$S$4,OR(TH!N2826="1111",TH!O2826="1111")),TH!D2826,""),"")</f>
        <v/>
      </c>
      <c r="B2826" s="60" t="str">
        <f t="shared" si="318"/>
        <v/>
      </c>
      <c r="C2826" s="61"/>
      <c r="D2826" s="61"/>
      <c r="E2826" s="61"/>
      <c r="F2826" s="64"/>
      <c r="G2826" s="766"/>
      <c r="H2826" s="69"/>
      <c r="I2826" s="387"/>
      <c r="J2826" s="395"/>
      <c r="K2826" s="387"/>
      <c r="L2826" s="394"/>
      <c r="M2826" s="62"/>
      <c r="N2826" s="63"/>
      <c r="O2826" s="63"/>
      <c r="P2826" s="79" t="str">
        <f>IF(AND('331-CT'!$E$7=TH!H2826,OR(N2826="331",O2826="331")),"x","")</f>
        <v/>
      </c>
      <c r="Q2826" s="79" t="str">
        <f>IF(AND(B2826='111'!$L$11,OR($N2826=$Q$7,$O2826=$Q$7)),"x","")</f>
        <v/>
      </c>
      <c r="R2826" s="79" t="str">
        <f>IF(AND($N2826=$Q$7,$B2826&lt;'111'!$L$11),"x","")</f>
        <v/>
      </c>
      <c r="S2826" s="79" t="str">
        <f>IF(AND($O2826=$Q$7,$B2826&lt;'111'!$L$11),"x","")</f>
        <v/>
      </c>
      <c r="T2826" s="79" t="str">
        <f>IF(ISERROR(FIND('112'!$M$9,G2826,1)),"",IF((AND(FIND('112'!$M$9,G2826,1)&gt;=1,B2826='112'!$K$9,OR($N2826='112'!$I$6,$O2826='112'!$I$6))),"x",""))</f>
        <v/>
      </c>
      <c r="U2826" s="79" t="str">
        <f>IF(ISERROR(FIND('112'!$M$9,G2826,1)),"",IF((AND(LEFT(G2826,2)=LEFT('112'!$M$9,2),B2826&lt;'112'!$K$9,$N2826='112'!$I$6)),"x",""))</f>
        <v/>
      </c>
      <c r="V2826" s="79" t="str">
        <f>IF(ISERROR(FIND('112'!$M$9,G2826,1)),"",IF((AND(RIGHT(G2826,2)=RIGHT('112'!$M$9,2),B2826&lt;'112'!$K$9,$O2826='112'!$I$6)),"x",""))</f>
        <v/>
      </c>
      <c r="W2826" s="79" t="str">
        <f>IF(AND('341-CT'!$H$9=H2826,OR(LEFT(N2826,3)=$W$7,LEFT(O2826,3)=$W$7)),"x","")</f>
        <v/>
      </c>
      <c r="X2826" s="79" t="str">
        <f>IF(OR(TH!N2826=TH!$X$7,O2826=TH!$X$7),"x","")</f>
        <v/>
      </c>
      <c r="Y2826" s="79" t="str">
        <f>IF(AND(OR(N2826="131",O2826="131"),H2826='131-CT'!$H$9),"x","")</f>
        <v/>
      </c>
      <c r="Z2826" s="79"/>
      <c r="AA2826" s="79" t="str">
        <f>IF(AND(MONTH(E2826)='IN-NX'!$J$5,'IN-NX'!$D$7=D2826),"x","")</f>
        <v/>
      </c>
      <c r="AB2826" s="79" t="str">
        <f>IF(AND(OR(LEFT(TH!N2826,2)="15",LEFT(TH!O2826,2)="15"),LEFT(TH!O2826,3)&lt;&gt;"111",'152-CT'!$J$8=TH!F2826),"x","")</f>
        <v/>
      </c>
      <c r="AC2826" s="79" t="str">
        <f>IF(AND(OR(LEFT(TH!N2826,2)="15",LEFT(TH!O2826,2)="15"),TK!$E$7=TH!F2826),"x","")</f>
        <v/>
      </c>
      <c r="AD2826" s="79" t="str">
        <f>IF(AND(N2826="1521",MONTH(C2826)='BK-NL'!$M$11),"x","")</f>
        <v/>
      </c>
    </row>
    <row r="2827" spans="1:30" ht="16.5" customHeight="1">
      <c r="A2827" s="318" t="str">
        <f>IF(B2827&lt;&gt;"",IF(AND(B2827='IN-TC'!$S$4,OR(TH!N2827="1111",TH!O2827="1111")),TH!D2827,""),"")</f>
        <v/>
      </c>
      <c r="B2827" s="60" t="str">
        <f t="shared" si="318"/>
        <v/>
      </c>
      <c r="C2827" s="61"/>
      <c r="D2827" s="61"/>
      <c r="E2827" s="61"/>
      <c r="F2827" s="64"/>
      <c r="G2827" s="766"/>
      <c r="H2827" s="69"/>
      <c r="I2827" s="387"/>
      <c r="J2827" s="395"/>
      <c r="K2827" s="387"/>
      <c r="L2827" s="394"/>
      <c r="M2827" s="62"/>
      <c r="N2827" s="63"/>
      <c r="O2827" s="63"/>
      <c r="P2827" s="79" t="str">
        <f>IF(AND('331-CT'!$E$7=TH!H2827,OR(N2827="331",O2827="331")),"x","")</f>
        <v/>
      </c>
      <c r="Q2827" s="79" t="str">
        <f>IF(AND(B2827='111'!$L$11,OR($N2827=$Q$7,$O2827=$Q$7)),"x","")</f>
        <v/>
      </c>
      <c r="R2827" s="79" t="str">
        <f>IF(AND($N2827=$Q$7,$B2827&lt;'111'!$L$11),"x","")</f>
        <v/>
      </c>
      <c r="S2827" s="79" t="str">
        <f>IF(AND($O2827=$Q$7,$B2827&lt;'111'!$L$11),"x","")</f>
        <v/>
      </c>
      <c r="T2827" s="79" t="str">
        <f>IF(ISERROR(FIND('112'!$M$9,G2827,1)),"",IF((AND(FIND('112'!$M$9,G2827,1)&gt;=1,B2827='112'!$K$9,OR($N2827='112'!$I$6,$O2827='112'!$I$6))),"x",""))</f>
        <v/>
      </c>
      <c r="U2827" s="79" t="str">
        <f>IF(ISERROR(FIND('112'!$M$9,G2827,1)),"",IF((AND(LEFT(G2827,2)=LEFT('112'!$M$9,2),B2827&lt;'112'!$K$9,$N2827='112'!$I$6)),"x",""))</f>
        <v/>
      </c>
      <c r="V2827" s="79" t="str">
        <f>IF(ISERROR(FIND('112'!$M$9,G2827,1)),"",IF((AND(RIGHT(G2827,2)=RIGHT('112'!$M$9,2),B2827&lt;'112'!$K$9,$O2827='112'!$I$6)),"x",""))</f>
        <v/>
      </c>
      <c r="W2827" s="79" t="str">
        <f>IF(AND('341-CT'!$H$9=H2827,OR(LEFT(N2827,3)=$W$7,LEFT(O2827,3)=$W$7)),"x","")</f>
        <v/>
      </c>
      <c r="X2827" s="79" t="str">
        <f>IF(OR(TH!N2827=TH!$X$7,O2827=TH!$X$7),"x","")</f>
        <v/>
      </c>
      <c r="Y2827" s="79" t="str">
        <f>IF(AND(OR(N2827="131",O2827="131"),H2827='131-CT'!$H$9),"x","")</f>
        <v/>
      </c>
      <c r="Z2827" s="79"/>
      <c r="AA2827" s="79" t="str">
        <f>IF(AND(MONTH(E2827)='IN-NX'!$J$5,'IN-NX'!$D$7=D2827),"x","")</f>
        <v/>
      </c>
      <c r="AB2827" s="79" t="str">
        <f>IF(AND(OR(LEFT(TH!N2827,2)="15",LEFT(TH!O2827,2)="15"),LEFT(TH!O2827,3)&lt;&gt;"111",'152-CT'!$J$8=TH!F2827),"x","")</f>
        <v/>
      </c>
      <c r="AC2827" s="79" t="str">
        <f>IF(AND(OR(LEFT(TH!N2827,2)="15",LEFT(TH!O2827,2)="15"),TK!$E$7=TH!F2827),"x","")</f>
        <v/>
      </c>
      <c r="AD2827" s="79" t="str">
        <f>IF(AND(N2827="1521",MONTH(C2827)='BK-NL'!$M$11),"x","")</f>
        <v/>
      </c>
    </row>
    <row r="2828" spans="1:30" ht="16.5" customHeight="1">
      <c r="A2828" s="318" t="str">
        <f>IF(B2828&lt;&gt;"",IF(AND(B2828='IN-TC'!$S$4,OR(TH!N2828="1111",TH!O2828="1111")),TH!D2828,""),"")</f>
        <v/>
      </c>
      <c r="B2828" s="60" t="str">
        <f t="shared" si="318"/>
        <v/>
      </c>
      <c r="C2828" s="61"/>
      <c r="D2828" s="61"/>
      <c r="E2828" s="61"/>
      <c r="F2828" s="64"/>
      <c r="G2828" s="766"/>
      <c r="H2828" s="69"/>
      <c r="I2828" s="387"/>
      <c r="J2828" s="395"/>
      <c r="K2828" s="387"/>
      <c r="L2828" s="394"/>
      <c r="M2828" s="62"/>
      <c r="N2828" s="63"/>
      <c r="O2828" s="63"/>
      <c r="P2828" s="79" t="str">
        <f>IF(AND('331-CT'!$E$7=TH!H2828,OR(N2828="331",O2828="331")),"x","")</f>
        <v/>
      </c>
      <c r="Q2828" s="79" t="str">
        <f>IF(AND(B2828='111'!$L$11,OR($N2828=$Q$7,$O2828=$Q$7)),"x","")</f>
        <v/>
      </c>
      <c r="R2828" s="79" t="str">
        <f>IF(AND($N2828=$Q$7,$B2828&lt;'111'!$L$11),"x","")</f>
        <v/>
      </c>
      <c r="S2828" s="79" t="str">
        <f>IF(AND($O2828=$Q$7,$B2828&lt;'111'!$L$11),"x","")</f>
        <v/>
      </c>
      <c r="T2828" s="79" t="str">
        <f>IF(ISERROR(FIND('112'!$M$9,G2828,1)),"",IF((AND(FIND('112'!$M$9,G2828,1)&gt;=1,B2828='112'!$K$9,OR($N2828='112'!$I$6,$O2828='112'!$I$6))),"x",""))</f>
        <v/>
      </c>
      <c r="U2828" s="79" t="str">
        <f>IF(ISERROR(FIND('112'!$M$9,G2828,1)),"",IF((AND(LEFT(G2828,2)=LEFT('112'!$M$9,2),B2828&lt;'112'!$K$9,$N2828='112'!$I$6)),"x",""))</f>
        <v/>
      </c>
      <c r="V2828" s="79" t="str">
        <f>IF(ISERROR(FIND('112'!$M$9,G2828,1)),"",IF((AND(RIGHT(G2828,2)=RIGHT('112'!$M$9,2),B2828&lt;'112'!$K$9,$O2828='112'!$I$6)),"x",""))</f>
        <v/>
      </c>
      <c r="W2828" s="79" t="str">
        <f>IF(AND('341-CT'!$H$9=H2828,OR(LEFT(N2828,3)=$W$7,LEFT(O2828,3)=$W$7)),"x","")</f>
        <v/>
      </c>
      <c r="X2828" s="79" t="str">
        <f>IF(OR(TH!N2828=TH!$X$7,O2828=TH!$X$7),"x","")</f>
        <v/>
      </c>
      <c r="Y2828" s="79" t="str">
        <f>IF(AND(OR(N2828="131",O2828="131"),H2828='131-CT'!$H$9),"x","")</f>
        <v/>
      </c>
      <c r="Z2828" s="79"/>
      <c r="AA2828" s="79" t="str">
        <f>IF(AND(MONTH(E2828)='IN-NX'!$J$5,'IN-NX'!$D$7=D2828),"x","")</f>
        <v/>
      </c>
      <c r="AB2828" s="79" t="str">
        <f>IF(AND(OR(LEFT(TH!N2828,2)="15",LEFT(TH!O2828,2)="15"),LEFT(TH!O2828,3)&lt;&gt;"111",'152-CT'!$J$8=TH!F2828),"x","")</f>
        <v/>
      </c>
      <c r="AC2828" s="79" t="str">
        <f>IF(AND(OR(LEFT(TH!N2828,2)="15",LEFT(TH!O2828,2)="15"),TK!$E$7=TH!F2828),"x","")</f>
        <v/>
      </c>
      <c r="AD2828" s="79" t="str">
        <f>IF(AND(N2828="1521",MONTH(C2828)='BK-NL'!$M$11),"x","")</f>
        <v/>
      </c>
    </row>
    <row r="2829" spans="1:30" ht="16.5" customHeight="1">
      <c r="A2829" s="318" t="str">
        <f>IF(B2829&lt;&gt;"",IF(AND(B2829='IN-TC'!$S$4,OR(TH!N2829="1111",TH!O2829="1111")),TH!D2829,""),"")</f>
        <v/>
      </c>
      <c r="B2829" s="60" t="str">
        <f t="shared" si="318"/>
        <v/>
      </c>
      <c r="C2829" s="61"/>
      <c r="D2829" s="61"/>
      <c r="E2829" s="61"/>
      <c r="F2829" s="64"/>
      <c r="G2829" s="766"/>
      <c r="H2829" s="69"/>
      <c r="I2829" s="387"/>
      <c r="J2829" s="395"/>
      <c r="K2829" s="387"/>
      <c r="L2829" s="394"/>
      <c r="M2829" s="62"/>
      <c r="N2829" s="63"/>
      <c r="O2829" s="63"/>
      <c r="P2829" s="79" t="str">
        <f>IF(AND('331-CT'!$E$7=TH!H2829,OR(N2829="331",O2829="331")),"x","")</f>
        <v/>
      </c>
      <c r="Q2829" s="79" t="str">
        <f>IF(AND(B2829='111'!$L$11,OR($N2829=$Q$7,$O2829=$Q$7)),"x","")</f>
        <v/>
      </c>
      <c r="R2829" s="79" t="str">
        <f>IF(AND($N2829=$Q$7,$B2829&lt;'111'!$L$11),"x","")</f>
        <v/>
      </c>
      <c r="S2829" s="79" t="str">
        <f>IF(AND($O2829=$Q$7,$B2829&lt;'111'!$L$11),"x","")</f>
        <v/>
      </c>
      <c r="T2829" s="79" t="str">
        <f>IF(ISERROR(FIND('112'!$M$9,G2829,1)),"",IF((AND(FIND('112'!$M$9,G2829,1)&gt;=1,B2829='112'!$K$9,OR($N2829='112'!$I$6,$O2829='112'!$I$6))),"x",""))</f>
        <v/>
      </c>
      <c r="U2829" s="79" t="str">
        <f>IF(ISERROR(FIND('112'!$M$9,G2829,1)),"",IF((AND(LEFT(G2829,2)=LEFT('112'!$M$9,2),B2829&lt;'112'!$K$9,$N2829='112'!$I$6)),"x",""))</f>
        <v/>
      </c>
      <c r="V2829" s="79" t="str">
        <f>IF(ISERROR(FIND('112'!$M$9,G2829,1)),"",IF((AND(RIGHT(G2829,2)=RIGHT('112'!$M$9,2),B2829&lt;'112'!$K$9,$O2829='112'!$I$6)),"x",""))</f>
        <v/>
      </c>
      <c r="W2829" s="79" t="str">
        <f>IF(AND('341-CT'!$H$9=H2829,OR(LEFT(N2829,3)=$W$7,LEFT(O2829,3)=$W$7)),"x","")</f>
        <v/>
      </c>
      <c r="X2829" s="79" t="str">
        <f>IF(OR(TH!N2829=TH!$X$7,O2829=TH!$X$7),"x","")</f>
        <v/>
      </c>
      <c r="Y2829" s="79" t="str">
        <f>IF(AND(OR(N2829="131",O2829="131"),H2829='131-CT'!$H$9),"x","")</f>
        <v/>
      </c>
      <c r="Z2829" s="79"/>
      <c r="AA2829" s="79" t="str">
        <f>IF(AND(MONTH(E2829)='IN-NX'!$J$5,'IN-NX'!$D$7=D2829),"x","")</f>
        <v/>
      </c>
      <c r="AB2829" s="79" t="str">
        <f>IF(AND(OR(LEFT(TH!N2829,2)="15",LEFT(TH!O2829,2)="15"),LEFT(TH!O2829,3)&lt;&gt;"111",'152-CT'!$J$8=TH!F2829),"x","")</f>
        <v/>
      </c>
      <c r="AC2829" s="79" t="str">
        <f>IF(AND(OR(LEFT(TH!N2829,2)="15",LEFT(TH!O2829,2)="15"),TK!$E$7=TH!F2829),"x","")</f>
        <v/>
      </c>
      <c r="AD2829" s="79" t="str">
        <f>IF(AND(N2829="1521",MONTH(C2829)='BK-NL'!$M$11),"x","")</f>
        <v/>
      </c>
    </row>
    <row r="2830" spans="1:30" ht="16.5" customHeight="1">
      <c r="A2830" s="318" t="str">
        <f>IF(B2830&lt;&gt;"",IF(AND(B2830='IN-TC'!$S$4,OR(TH!N2830="1111",TH!O2830="1111")),TH!D2830,""),"")</f>
        <v/>
      </c>
      <c r="B2830" s="60" t="str">
        <f t="shared" si="318"/>
        <v/>
      </c>
      <c r="C2830" s="61"/>
      <c r="D2830" s="61"/>
      <c r="E2830" s="61"/>
      <c r="F2830" s="64"/>
      <c r="G2830" s="766"/>
      <c r="H2830" s="69"/>
      <c r="I2830" s="387"/>
      <c r="J2830" s="395"/>
      <c r="K2830" s="387"/>
      <c r="L2830" s="394"/>
      <c r="M2830" s="62"/>
      <c r="N2830" s="63"/>
      <c r="O2830" s="63"/>
      <c r="P2830" s="79" t="str">
        <f>IF(AND('331-CT'!$E$7=TH!H2830,OR(N2830="331",O2830="331")),"x","")</f>
        <v/>
      </c>
      <c r="Q2830" s="79" t="str">
        <f>IF(AND(B2830='111'!$L$11,OR($N2830=$Q$7,$O2830=$Q$7)),"x","")</f>
        <v/>
      </c>
      <c r="R2830" s="79" t="str">
        <f>IF(AND($N2830=$Q$7,$B2830&lt;'111'!$L$11),"x","")</f>
        <v/>
      </c>
      <c r="S2830" s="79" t="str">
        <f>IF(AND($O2830=$Q$7,$B2830&lt;'111'!$L$11),"x","")</f>
        <v/>
      </c>
      <c r="T2830" s="79" t="str">
        <f>IF(ISERROR(FIND('112'!$M$9,G2830,1)),"",IF((AND(FIND('112'!$M$9,G2830,1)&gt;=1,B2830='112'!$K$9,OR($N2830='112'!$I$6,$O2830='112'!$I$6))),"x",""))</f>
        <v/>
      </c>
      <c r="U2830" s="79" t="str">
        <f>IF(ISERROR(FIND('112'!$M$9,G2830,1)),"",IF((AND(LEFT(G2830,2)=LEFT('112'!$M$9,2),B2830&lt;'112'!$K$9,$N2830='112'!$I$6)),"x",""))</f>
        <v/>
      </c>
      <c r="V2830" s="79" t="str">
        <f>IF(ISERROR(FIND('112'!$M$9,G2830,1)),"",IF((AND(RIGHT(G2830,2)=RIGHT('112'!$M$9,2),B2830&lt;'112'!$K$9,$O2830='112'!$I$6)),"x",""))</f>
        <v/>
      </c>
      <c r="W2830" s="79" t="str">
        <f>IF(AND('341-CT'!$H$9=H2830,OR(LEFT(N2830,3)=$W$7,LEFT(O2830,3)=$W$7)),"x","")</f>
        <v/>
      </c>
      <c r="X2830" s="79" t="str">
        <f>IF(OR(TH!N2830=TH!$X$7,O2830=TH!$X$7),"x","")</f>
        <v/>
      </c>
      <c r="Y2830" s="79" t="str">
        <f>IF(AND(OR(N2830="131",O2830="131"),H2830='131-CT'!$H$9),"x","")</f>
        <v/>
      </c>
      <c r="Z2830" s="79"/>
      <c r="AA2830" s="79" t="str">
        <f>IF(AND(MONTH(E2830)='IN-NX'!$J$5,'IN-NX'!$D$7=D2830),"x","")</f>
        <v/>
      </c>
      <c r="AB2830" s="79" t="str">
        <f>IF(AND(OR(LEFT(TH!N2830,2)="15",LEFT(TH!O2830,2)="15"),LEFT(TH!O2830,3)&lt;&gt;"111",'152-CT'!$J$8=TH!F2830),"x","")</f>
        <v/>
      </c>
      <c r="AC2830" s="79" t="str">
        <f>IF(AND(OR(LEFT(TH!N2830,2)="15",LEFT(TH!O2830,2)="15"),TK!$E$7=TH!F2830),"x","")</f>
        <v/>
      </c>
      <c r="AD2830" s="79" t="str">
        <f>IF(AND(N2830="1521",MONTH(C2830)='BK-NL'!$M$11),"x","")</f>
        <v/>
      </c>
    </row>
    <row r="2831" spans="1:30" ht="16.5" customHeight="1">
      <c r="A2831" s="318" t="str">
        <f>IF(B2831&lt;&gt;"",IF(AND(B2831='IN-TC'!$S$4,OR(TH!N2831="1111",TH!O2831="1111")),TH!D2831,""),"")</f>
        <v/>
      </c>
      <c r="B2831" s="60" t="str">
        <f t="shared" si="318"/>
        <v/>
      </c>
      <c r="C2831" s="61"/>
      <c r="D2831" s="61"/>
      <c r="E2831" s="61"/>
      <c r="F2831" s="64"/>
      <c r="G2831" s="766"/>
      <c r="H2831" s="69"/>
      <c r="I2831" s="387"/>
      <c r="J2831" s="395"/>
      <c r="K2831" s="387"/>
      <c r="L2831" s="394"/>
      <c r="M2831" s="62"/>
      <c r="N2831" s="63"/>
      <c r="O2831" s="63"/>
      <c r="P2831" s="79" t="str">
        <f>IF(AND('331-CT'!$E$7=TH!H2831,OR(N2831="331",O2831="331")),"x","")</f>
        <v/>
      </c>
      <c r="Q2831" s="79" t="str">
        <f>IF(AND(B2831='111'!$L$11,OR($N2831=$Q$7,$O2831=$Q$7)),"x","")</f>
        <v/>
      </c>
      <c r="R2831" s="79" t="str">
        <f>IF(AND($N2831=$Q$7,$B2831&lt;'111'!$L$11),"x","")</f>
        <v/>
      </c>
      <c r="S2831" s="79" t="str">
        <f>IF(AND($O2831=$Q$7,$B2831&lt;'111'!$L$11),"x","")</f>
        <v/>
      </c>
      <c r="T2831" s="79" t="str">
        <f>IF(ISERROR(FIND('112'!$M$9,G2831,1)),"",IF((AND(FIND('112'!$M$9,G2831,1)&gt;=1,B2831='112'!$K$9,OR($N2831='112'!$I$6,$O2831='112'!$I$6))),"x",""))</f>
        <v/>
      </c>
      <c r="U2831" s="79" t="str">
        <f>IF(ISERROR(FIND('112'!$M$9,G2831,1)),"",IF((AND(LEFT(G2831,2)=LEFT('112'!$M$9,2),B2831&lt;'112'!$K$9,$N2831='112'!$I$6)),"x",""))</f>
        <v/>
      </c>
      <c r="V2831" s="79" t="str">
        <f>IF(ISERROR(FIND('112'!$M$9,G2831,1)),"",IF((AND(RIGHT(G2831,2)=RIGHT('112'!$M$9,2),B2831&lt;'112'!$K$9,$O2831='112'!$I$6)),"x",""))</f>
        <v/>
      </c>
      <c r="W2831" s="79" t="str">
        <f>IF(AND('341-CT'!$H$9=H2831,OR(LEFT(N2831,3)=$W$7,LEFT(O2831,3)=$W$7)),"x","")</f>
        <v/>
      </c>
      <c r="X2831" s="79" t="str">
        <f>IF(OR(TH!N2831=TH!$X$7,O2831=TH!$X$7),"x","")</f>
        <v/>
      </c>
      <c r="Y2831" s="79" t="str">
        <f>IF(AND(OR(N2831="131",O2831="131"),H2831='131-CT'!$H$9),"x","")</f>
        <v/>
      </c>
      <c r="Z2831" s="79"/>
      <c r="AA2831" s="79" t="str">
        <f>IF(AND(MONTH(E2831)='IN-NX'!$J$5,'IN-NX'!$D$7=D2831),"x","")</f>
        <v/>
      </c>
      <c r="AB2831" s="79" t="str">
        <f>IF(AND(OR(LEFT(TH!N2831,2)="15",LEFT(TH!O2831,2)="15"),LEFT(TH!O2831,3)&lt;&gt;"111",'152-CT'!$J$8=TH!F2831),"x","")</f>
        <v/>
      </c>
      <c r="AC2831" s="79" t="str">
        <f>IF(AND(OR(LEFT(TH!N2831,2)="15",LEFT(TH!O2831,2)="15"),TK!$E$7=TH!F2831),"x","")</f>
        <v/>
      </c>
      <c r="AD2831" s="79" t="str">
        <f>IF(AND(N2831="1521",MONTH(C2831)='BK-NL'!$M$11),"x","")</f>
        <v/>
      </c>
    </row>
    <row r="2832" spans="1:30" ht="16.5" customHeight="1">
      <c r="A2832" s="318" t="str">
        <f>IF(B2832&lt;&gt;"",IF(AND(B2832='IN-TC'!$S$4,OR(TH!N2832="1111",TH!O2832="1111")),TH!D2832,""),"")</f>
        <v/>
      </c>
      <c r="B2832" s="60" t="str">
        <f t="shared" si="318"/>
        <v/>
      </c>
      <c r="C2832" s="61"/>
      <c r="D2832" s="61"/>
      <c r="E2832" s="61"/>
      <c r="F2832" s="64"/>
      <c r="G2832" s="766"/>
      <c r="H2832" s="69"/>
      <c r="I2832" s="387"/>
      <c r="J2832" s="395"/>
      <c r="K2832" s="387"/>
      <c r="L2832" s="394"/>
      <c r="M2832" s="62"/>
      <c r="N2832" s="63"/>
      <c r="O2832" s="63"/>
      <c r="P2832" s="79" t="str">
        <f>IF(AND('331-CT'!$E$7=TH!H2832,OR(N2832="331",O2832="331")),"x","")</f>
        <v/>
      </c>
      <c r="Q2832" s="79" t="str">
        <f>IF(AND(B2832='111'!$L$11,OR($N2832=$Q$7,$O2832=$Q$7)),"x","")</f>
        <v/>
      </c>
      <c r="R2832" s="79" t="str">
        <f>IF(AND($N2832=$Q$7,$B2832&lt;'111'!$L$11),"x","")</f>
        <v/>
      </c>
      <c r="S2832" s="79" t="str">
        <f>IF(AND($O2832=$Q$7,$B2832&lt;'111'!$L$11),"x","")</f>
        <v/>
      </c>
      <c r="T2832" s="79" t="str">
        <f>IF(ISERROR(FIND('112'!$M$9,G2832,1)),"",IF((AND(FIND('112'!$M$9,G2832,1)&gt;=1,B2832='112'!$K$9,OR($N2832='112'!$I$6,$O2832='112'!$I$6))),"x",""))</f>
        <v/>
      </c>
      <c r="U2832" s="79" t="str">
        <f>IF(ISERROR(FIND('112'!$M$9,G2832,1)),"",IF((AND(LEFT(G2832,2)=LEFT('112'!$M$9,2),B2832&lt;'112'!$K$9,$N2832='112'!$I$6)),"x",""))</f>
        <v/>
      </c>
      <c r="V2832" s="79" t="str">
        <f>IF(ISERROR(FIND('112'!$M$9,G2832,1)),"",IF((AND(RIGHT(G2832,2)=RIGHT('112'!$M$9,2),B2832&lt;'112'!$K$9,$O2832='112'!$I$6)),"x",""))</f>
        <v/>
      </c>
      <c r="W2832" s="79" t="str">
        <f>IF(AND('341-CT'!$H$9=H2832,OR(LEFT(N2832,3)=$W$7,LEFT(O2832,3)=$W$7)),"x","")</f>
        <v/>
      </c>
      <c r="X2832" s="79" t="str">
        <f>IF(OR(TH!N2832=TH!$X$7,O2832=TH!$X$7),"x","")</f>
        <v/>
      </c>
      <c r="Y2832" s="79" t="str">
        <f>IF(AND(OR(N2832="131",O2832="131"),H2832='131-CT'!$H$9),"x","")</f>
        <v/>
      </c>
      <c r="Z2832" s="79"/>
      <c r="AA2832" s="79" t="str">
        <f>IF(AND(MONTH(E2832)='IN-NX'!$J$5,'IN-NX'!$D$7=D2832),"x","")</f>
        <v/>
      </c>
      <c r="AB2832" s="79" t="str">
        <f>IF(AND(OR(LEFT(TH!N2832,2)="15",LEFT(TH!O2832,2)="15"),LEFT(TH!O2832,3)&lt;&gt;"111",'152-CT'!$J$8=TH!F2832),"x","")</f>
        <v/>
      </c>
      <c r="AC2832" s="79" t="str">
        <f>IF(AND(OR(LEFT(TH!N2832,2)="15",LEFT(TH!O2832,2)="15"),TK!$E$7=TH!F2832),"x","")</f>
        <v/>
      </c>
      <c r="AD2832" s="79" t="str">
        <f>IF(AND(N2832="1521",MONTH(C2832)='BK-NL'!$M$11),"x","")</f>
        <v/>
      </c>
    </row>
    <row r="2833" spans="1:30" ht="16.5" customHeight="1">
      <c r="A2833" s="318" t="str">
        <f>IF(B2833&lt;&gt;"",IF(AND(B2833='IN-TC'!$S$4,OR(TH!N2833="1111",TH!O2833="1111")),TH!D2833,""),"")</f>
        <v/>
      </c>
      <c r="B2833" s="60" t="str">
        <f t="shared" si="318"/>
        <v/>
      </c>
      <c r="C2833" s="61"/>
      <c r="D2833" s="61"/>
      <c r="E2833" s="61"/>
      <c r="F2833" s="64"/>
      <c r="G2833" s="766"/>
      <c r="H2833" s="69"/>
      <c r="I2833" s="387"/>
      <c r="J2833" s="395"/>
      <c r="K2833" s="387"/>
      <c r="L2833" s="394"/>
      <c r="M2833" s="62"/>
      <c r="N2833" s="63"/>
      <c r="O2833" s="63"/>
      <c r="P2833" s="79" t="str">
        <f>IF(AND('331-CT'!$E$7=TH!H2833,OR(N2833="331",O2833="331")),"x","")</f>
        <v/>
      </c>
      <c r="Q2833" s="79" t="str">
        <f>IF(AND(B2833='111'!$L$11,OR($N2833=$Q$7,$O2833=$Q$7)),"x","")</f>
        <v/>
      </c>
      <c r="R2833" s="79" t="str">
        <f>IF(AND($N2833=$Q$7,$B2833&lt;'111'!$L$11),"x","")</f>
        <v/>
      </c>
      <c r="S2833" s="79" t="str">
        <f>IF(AND($O2833=$Q$7,$B2833&lt;'111'!$L$11),"x","")</f>
        <v/>
      </c>
      <c r="T2833" s="79" t="str">
        <f>IF(ISERROR(FIND('112'!$M$9,G2833,1)),"",IF((AND(FIND('112'!$M$9,G2833,1)&gt;=1,B2833='112'!$K$9,OR($N2833='112'!$I$6,$O2833='112'!$I$6))),"x",""))</f>
        <v/>
      </c>
      <c r="U2833" s="79" t="str">
        <f>IF(ISERROR(FIND('112'!$M$9,G2833,1)),"",IF((AND(LEFT(G2833,2)=LEFT('112'!$M$9,2),B2833&lt;'112'!$K$9,$N2833='112'!$I$6)),"x",""))</f>
        <v/>
      </c>
      <c r="V2833" s="79" t="str">
        <f>IF(ISERROR(FIND('112'!$M$9,G2833,1)),"",IF((AND(RIGHT(G2833,2)=RIGHT('112'!$M$9,2),B2833&lt;'112'!$K$9,$O2833='112'!$I$6)),"x",""))</f>
        <v/>
      </c>
      <c r="W2833" s="79" t="str">
        <f>IF(AND('341-CT'!$H$9=H2833,OR(LEFT(N2833,3)=$W$7,LEFT(O2833,3)=$W$7)),"x","")</f>
        <v/>
      </c>
      <c r="X2833" s="79" t="str">
        <f>IF(OR(TH!N2833=TH!$X$7,O2833=TH!$X$7),"x","")</f>
        <v/>
      </c>
      <c r="Y2833" s="79" t="str">
        <f>IF(AND(OR(N2833="131",O2833="131"),H2833='131-CT'!$H$9),"x","")</f>
        <v/>
      </c>
      <c r="Z2833" s="79"/>
      <c r="AA2833" s="79" t="str">
        <f>IF(AND(MONTH(E2833)='IN-NX'!$J$5,'IN-NX'!$D$7=D2833),"x","")</f>
        <v/>
      </c>
      <c r="AB2833" s="79" t="str">
        <f>IF(AND(OR(LEFT(TH!N2833,2)="15",LEFT(TH!O2833,2)="15"),LEFT(TH!O2833,3)&lt;&gt;"111",'152-CT'!$J$8=TH!F2833),"x","")</f>
        <v/>
      </c>
      <c r="AC2833" s="79" t="str">
        <f>IF(AND(OR(LEFT(TH!N2833,2)="15",LEFT(TH!O2833,2)="15"),TK!$E$7=TH!F2833),"x","")</f>
        <v/>
      </c>
      <c r="AD2833" s="79" t="str">
        <f>IF(AND(N2833="1521",MONTH(C2833)='BK-NL'!$M$11),"x","")</f>
        <v/>
      </c>
    </row>
    <row r="2834" spans="1:30" ht="16.5" customHeight="1">
      <c r="A2834" s="318" t="str">
        <f>IF(B2834&lt;&gt;"",IF(AND(B2834='IN-TC'!$S$4,OR(TH!N2834="1111",TH!O2834="1111")),TH!D2834,""),"")</f>
        <v/>
      </c>
      <c r="B2834" s="60" t="str">
        <f t="shared" si="318"/>
        <v/>
      </c>
      <c r="C2834" s="61"/>
      <c r="D2834" s="61"/>
      <c r="E2834" s="61"/>
      <c r="F2834" s="64"/>
      <c r="G2834" s="766"/>
      <c r="H2834" s="69"/>
      <c r="I2834" s="387"/>
      <c r="J2834" s="395"/>
      <c r="K2834" s="387"/>
      <c r="L2834" s="394"/>
      <c r="M2834" s="62"/>
      <c r="N2834" s="63"/>
      <c r="O2834" s="63"/>
      <c r="P2834" s="79" t="str">
        <f>IF(AND('331-CT'!$E$7=TH!H2834,OR(N2834="331",O2834="331")),"x","")</f>
        <v/>
      </c>
      <c r="Q2834" s="79" t="str">
        <f>IF(AND(B2834='111'!$L$11,OR($N2834=$Q$7,$O2834=$Q$7)),"x","")</f>
        <v/>
      </c>
      <c r="R2834" s="79" t="str">
        <f>IF(AND($N2834=$Q$7,$B2834&lt;'111'!$L$11),"x","")</f>
        <v/>
      </c>
      <c r="S2834" s="79" t="str">
        <f>IF(AND($O2834=$Q$7,$B2834&lt;'111'!$L$11),"x","")</f>
        <v/>
      </c>
      <c r="T2834" s="79" t="str">
        <f>IF(ISERROR(FIND('112'!$M$9,G2834,1)),"",IF((AND(FIND('112'!$M$9,G2834,1)&gt;=1,B2834='112'!$K$9,OR($N2834='112'!$I$6,$O2834='112'!$I$6))),"x",""))</f>
        <v/>
      </c>
      <c r="U2834" s="79" t="str">
        <f>IF(ISERROR(FIND('112'!$M$9,G2834,1)),"",IF((AND(LEFT(G2834,2)=LEFT('112'!$M$9,2),B2834&lt;'112'!$K$9,$N2834='112'!$I$6)),"x",""))</f>
        <v/>
      </c>
      <c r="V2834" s="79" t="str">
        <f>IF(ISERROR(FIND('112'!$M$9,G2834,1)),"",IF((AND(RIGHT(G2834,2)=RIGHT('112'!$M$9,2),B2834&lt;'112'!$K$9,$O2834='112'!$I$6)),"x",""))</f>
        <v/>
      </c>
      <c r="W2834" s="79" t="str">
        <f>IF(AND('341-CT'!$H$9=H2834,OR(LEFT(N2834,3)=$W$7,LEFT(O2834,3)=$W$7)),"x","")</f>
        <v/>
      </c>
      <c r="X2834" s="79" t="str">
        <f>IF(OR(TH!N2834=TH!$X$7,O2834=TH!$X$7),"x","")</f>
        <v/>
      </c>
      <c r="Y2834" s="79" t="str">
        <f>IF(AND(OR(N2834="131",O2834="131"),H2834='131-CT'!$H$9),"x","")</f>
        <v/>
      </c>
      <c r="Z2834" s="79"/>
      <c r="AA2834" s="79" t="str">
        <f>IF(AND(MONTH(E2834)='IN-NX'!$J$5,'IN-NX'!$D$7=D2834),"x","")</f>
        <v/>
      </c>
      <c r="AB2834" s="79" t="str">
        <f>IF(AND(OR(LEFT(TH!N2834,2)="15",LEFT(TH!O2834,2)="15"),LEFT(TH!O2834,3)&lt;&gt;"111",'152-CT'!$J$8=TH!F2834),"x","")</f>
        <v/>
      </c>
      <c r="AC2834" s="79" t="str">
        <f>IF(AND(OR(LEFT(TH!N2834,2)="15",LEFT(TH!O2834,2)="15"),TK!$E$7=TH!F2834),"x","")</f>
        <v/>
      </c>
      <c r="AD2834" s="79" t="str">
        <f>IF(AND(N2834="1521",MONTH(C2834)='BK-NL'!$M$11),"x","")</f>
        <v/>
      </c>
    </row>
    <row r="2835" spans="1:30" ht="16.5" customHeight="1">
      <c r="A2835" s="318" t="str">
        <f>IF(B2835&lt;&gt;"",IF(AND(B2835='IN-TC'!$S$4,OR(TH!N2835="1111",TH!O2835="1111")),TH!D2835,""),"")</f>
        <v/>
      </c>
      <c r="B2835" s="60" t="str">
        <f t="shared" si="318"/>
        <v/>
      </c>
      <c r="C2835" s="61"/>
      <c r="D2835" s="61"/>
      <c r="E2835" s="61"/>
      <c r="F2835" s="64"/>
      <c r="G2835" s="766"/>
      <c r="H2835" s="69"/>
      <c r="I2835" s="387"/>
      <c r="J2835" s="395"/>
      <c r="K2835" s="387"/>
      <c r="L2835" s="394"/>
      <c r="M2835" s="62"/>
      <c r="N2835" s="63"/>
      <c r="O2835" s="63"/>
      <c r="P2835" s="79" t="str">
        <f>IF(AND('331-CT'!$E$7=TH!H2835,OR(N2835="331",O2835="331")),"x","")</f>
        <v/>
      </c>
      <c r="Q2835" s="79" t="str">
        <f>IF(AND(B2835='111'!$L$11,OR($N2835=$Q$7,$O2835=$Q$7)),"x","")</f>
        <v/>
      </c>
      <c r="R2835" s="79" t="str">
        <f>IF(AND($N2835=$Q$7,$B2835&lt;'111'!$L$11),"x","")</f>
        <v/>
      </c>
      <c r="S2835" s="79" t="str">
        <f>IF(AND($O2835=$Q$7,$B2835&lt;'111'!$L$11),"x","")</f>
        <v/>
      </c>
      <c r="T2835" s="79" t="str">
        <f>IF(ISERROR(FIND('112'!$M$9,G2835,1)),"",IF((AND(FIND('112'!$M$9,G2835,1)&gt;=1,B2835='112'!$K$9,OR($N2835='112'!$I$6,$O2835='112'!$I$6))),"x",""))</f>
        <v/>
      </c>
      <c r="U2835" s="79" t="str">
        <f>IF(ISERROR(FIND('112'!$M$9,G2835,1)),"",IF((AND(LEFT(G2835,2)=LEFT('112'!$M$9,2),B2835&lt;'112'!$K$9,$N2835='112'!$I$6)),"x",""))</f>
        <v/>
      </c>
      <c r="V2835" s="79" t="str">
        <f>IF(ISERROR(FIND('112'!$M$9,G2835,1)),"",IF((AND(RIGHT(G2835,2)=RIGHT('112'!$M$9,2),B2835&lt;'112'!$K$9,$O2835='112'!$I$6)),"x",""))</f>
        <v/>
      </c>
      <c r="W2835" s="79" t="str">
        <f>IF(AND('341-CT'!$H$9=H2835,OR(LEFT(N2835,3)=$W$7,LEFT(O2835,3)=$W$7)),"x","")</f>
        <v/>
      </c>
      <c r="X2835" s="79" t="str">
        <f>IF(OR(TH!N2835=TH!$X$7,O2835=TH!$X$7),"x","")</f>
        <v/>
      </c>
      <c r="Y2835" s="79" t="str">
        <f>IF(AND(OR(N2835="131",O2835="131"),H2835='131-CT'!$H$9),"x","")</f>
        <v/>
      </c>
      <c r="Z2835" s="79"/>
      <c r="AA2835" s="79" t="str">
        <f>IF(AND(MONTH(E2835)='IN-NX'!$J$5,'IN-NX'!$D$7=D2835),"x","")</f>
        <v/>
      </c>
      <c r="AB2835" s="79" t="str">
        <f>IF(AND(OR(LEFT(TH!N2835,2)="15",LEFT(TH!O2835,2)="15"),LEFT(TH!O2835,3)&lt;&gt;"111",'152-CT'!$J$8=TH!F2835),"x","")</f>
        <v/>
      </c>
      <c r="AC2835" s="79" t="str">
        <f>IF(AND(OR(LEFT(TH!N2835,2)="15",LEFT(TH!O2835,2)="15"),TK!$E$7=TH!F2835),"x","")</f>
        <v/>
      </c>
      <c r="AD2835" s="79" t="str">
        <f>IF(AND(N2835="1521",MONTH(C2835)='BK-NL'!$M$11),"x","")</f>
        <v/>
      </c>
    </row>
    <row r="2836" spans="1:30" ht="16.5" customHeight="1">
      <c r="A2836" s="318" t="str">
        <f>IF(B2836&lt;&gt;"",IF(AND(B2836='IN-TC'!$S$4,OR(TH!N2836="1111",TH!O2836="1111")),TH!D2836,""),"")</f>
        <v/>
      </c>
      <c r="B2836" s="60" t="str">
        <f t="shared" si="318"/>
        <v/>
      </c>
      <c r="C2836" s="61"/>
      <c r="D2836" s="61"/>
      <c r="E2836" s="61"/>
      <c r="F2836" s="64"/>
      <c r="G2836" s="766"/>
      <c r="H2836" s="69"/>
      <c r="I2836" s="387"/>
      <c r="J2836" s="395"/>
      <c r="K2836" s="387"/>
      <c r="L2836" s="394"/>
      <c r="M2836" s="62"/>
      <c r="N2836" s="63"/>
      <c r="O2836" s="63"/>
      <c r="P2836" s="79" t="str">
        <f>IF(AND('331-CT'!$E$7=TH!H2836,OR(N2836="331",O2836="331")),"x","")</f>
        <v/>
      </c>
      <c r="Q2836" s="79" t="str">
        <f>IF(AND(B2836='111'!$L$11,OR($N2836=$Q$7,$O2836=$Q$7)),"x","")</f>
        <v/>
      </c>
      <c r="R2836" s="79" t="str">
        <f>IF(AND($N2836=$Q$7,$B2836&lt;'111'!$L$11),"x","")</f>
        <v/>
      </c>
      <c r="S2836" s="79" t="str">
        <f>IF(AND($O2836=$Q$7,$B2836&lt;'111'!$L$11),"x","")</f>
        <v/>
      </c>
      <c r="T2836" s="79" t="str">
        <f>IF(ISERROR(FIND('112'!$M$9,G2836,1)),"",IF((AND(FIND('112'!$M$9,G2836,1)&gt;=1,B2836='112'!$K$9,OR($N2836='112'!$I$6,$O2836='112'!$I$6))),"x",""))</f>
        <v/>
      </c>
      <c r="U2836" s="79" t="str">
        <f>IF(ISERROR(FIND('112'!$M$9,G2836,1)),"",IF((AND(LEFT(G2836,2)=LEFT('112'!$M$9,2),B2836&lt;'112'!$K$9,$N2836='112'!$I$6)),"x",""))</f>
        <v/>
      </c>
      <c r="V2836" s="79" t="str">
        <f>IF(ISERROR(FIND('112'!$M$9,G2836,1)),"",IF((AND(RIGHT(G2836,2)=RIGHT('112'!$M$9,2),B2836&lt;'112'!$K$9,$O2836='112'!$I$6)),"x",""))</f>
        <v/>
      </c>
      <c r="W2836" s="79" t="str">
        <f>IF(AND('341-CT'!$H$9=H2836,OR(LEFT(N2836,3)=$W$7,LEFT(O2836,3)=$W$7)),"x","")</f>
        <v/>
      </c>
      <c r="X2836" s="79" t="str">
        <f>IF(OR(TH!N2836=TH!$X$7,O2836=TH!$X$7),"x","")</f>
        <v/>
      </c>
      <c r="Y2836" s="79" t="str">
        <f>IF(AND(OR(N2836="131",O2836="131"),H2836='131-CT'!$H$9),"x","")</f>
        <v/>
      </c>
      <c r="Z2836" s="79"/>
      <c r="AA2836" s="79" t="str">
        <f>IF(AND(MONTH(E2836)='IN-NX'!$J$5,'IN-NX'!$D$7=D2836),"x","")</f>
        <v/>
      </c>
      <c r="AB2836" s="79" t="str">
        <f>IF(AND(OR(LEFT(TH!N2836,2)="15",LEFT(TH!O2836,2)="15"),LEFT(TH!O2836,3)&lt;&gt;"111",'152-CT'!$J$8=TH!F2836),"x","")</f>
        <v/>
      </c>
      <c r="AC2836" s="79" t="str">
        <f>IF(AND(OR(LEFT(TH!N2836,2)="15",LEFT(TH!O2836,2)="15"),TK!$E$7=TH!F2836),"x","")</f>
        <v/>
      </c>
      <c r="AD2836" s="79" t="str">
        <f>IF(AND(N2836="1521",MONTH(C2836)='BK-NL'!$M$11),"x","")</f>
        <v/>
      </c>
    </row>
    <row r="2837" spans="1:30" ht="16.5" customHeight="1">
      <c r="A2837" s="318" t="str">
        <f>IF(B2837&lt;&gt;"",IF(AND(B2837='IN-TC'!$S$4,OR(TH!N2837="1111",TH!O2837="1111")),TH!D2837,""),"")</f>
        <v/>
      </c>
      <c r="B2837" s="60" t="str">
        <f t="shared" ref="B2837:B2838" si="319">IF(C2837&lt;&gt;"",MONTH(C2837),"")</f>
        <v/>
      </c>
      <c r="C2837" s="61"/>
      <c r="D2837" s="61"/>
      <c r="E2837" s="61"/>
      <c r="F2837" s="64"/>
      <c r="G2837" s="766"/>
      <c r="H2837" s="69"/>
      <c r="I2837" s="387"/>
      <c r="J2837" s="395"/>
      <c r="K2837" s="387"/>
      <c r="L2837" s="394"/>
      <c r="M2837" s="62"/>
      <c r="N2837" s="63"/>
      <c r="O2837" s="63"/>
      <c r="P2837" s="79" t="str">
        <f>IF(AND('331-CT'!$E$7=TH!H2837,OR(N2837="331",O2837="331")),"x","")</f>
        <v/>
      </c>
      <c r="Q2837" s="79" t="str">
        <f>IF(AND(B2837='111'!$L$11,OR($N2837=$Q$7,$O2837=$Q$7)),"x","")</f>
        <v/>
      </c>
      <c r="R2837" s="79" t="str">
        <f>IF(AND($N2837=$Q$7,$B2837&lt;'111'!$L$11),"x","")</f>
        <v/>
      </c>
      <c r="S2837" s="79" t="str">
        <f>IF(AND($O2837=$Q$7,$B2837&lt;'111'!$L$11),"x","")</f>
        <v/>
      </c>
      <c r="T2837" s="79" t="str">
        <f>IF(ISERROR(FIND('112'!$M$9,G2837,1)),"",IF((AND(FIND('112'!$M$9,G2837,1)&gt;=1,B2837='112'!$K$9,OR($N2837='112'!$I$6,$O2837='112'!$I$6))),"x",""))</f>
        <v/>
      </c>
      <c r="U2837" s="79" t="str">
        <f>IF(ISERROR(FIND('112'!$M$9,G2837,1)),"",IF((AND(LEFT(G2837,2)=LEFT('112'!$M$9,2),B2837&lt;'112'!$K$9,$N2837='112'!$I$6)),"x",""))</f>
        <v/>
      </c>
      <c r="V2837" s="79" t="str">
        <f>IF(ISERROR(FIND('112'!$M$9,G2837,1)),"",IF((AND(RIGHT(G2837,2)=RIGHT('112'!$M$9,2),B2837&lt;'112'!$K$9,$O2837='112'!$I$6)),"x",""))</f>
        <v/>
      </c>
      <c r="W2837" s="79" t="str">
        <f>IF(AND('341-CT'!$H$9=H2837,OR(LEFT(N2837,3)=$W$7,LEFT(O2837,3)=$W$7)),"x","")</f>
        <v/>
      </c>
      <c r="X2837" s="79" t="str">
        <f>IF(OR(TH!N2837=TH!$X$7,O2837=TH!$X$7),"x","")</f>
        <v/>
      </c>
      <c r="Y2837" s="79" t="str">
        <f>IF(AND(OR(N2837="131",O2837="131"),H2837='131-CT'!$H$9),"x","")</f>
        <v/>
      </c>
      <c r="Z2837" s="79"/>
      <c r="AA2837" s="79" t="str">
        <f>IF(AND(MONTH(E2837)='IN-NX'!$J$5,'IN-NX'!$D$7=D2837),"x","")</f>
        <v/>
      </c>
      <c r="AB2837" s="79" t="str">
        <f>IF(AND(OR(LEFT(TH!N2837,2)="15",LEFT(TH!O2837,2)="15"),LEFT(TH!O2837,3)&lt;&gt;"111",'152-CT'!$J$8=TH!F2837),"x","")</f>
        <v/>
      </c>
      <c r="AC2837" s="79" t="str">
        <f>IF(AND(OR(LEFT(TH!N2837,2)="15",LEFT(TH!O2837,2)="15"),TK!$E$7=TH!F2837),"x","")</f>
        <v/>
      </c>
      <c r="AD2837" s="79" t="str">
        <f>IF(AND(N2837="1521",MONTH(C2837)='BK-NL'!$M$11),"x","")</f>
        <v/>
      </c>
    </row>
    <row r="2838" spans="1:30" ht="16.5" customHeight="1">
      <c r="A2838" s="318" t="str">
        <f>IF(B2838&lt;&gt;"",IF(AND(B2838='IN-TC'!$S$4,OR(TH!N2838="1111",TH!O2838="1111")),TH!D2838,""),"")</f>
        <v/>
      </c>
      <c r="B2838" s="60" t="str">
        <f t="shared" si="319"/>
        <v/>
      </c>
      <c r="C2838" s="61"/>
      <c r="D2838" s="61"/>
      <c r="E2838" s="61"/>
      <c r="F2838" s="64"/>
      <c r="G2838" s="766"/>
      <c r="H2838" s="69"/>
      <c r="I2838" s="387"/>
      <c r="J2838" s="395"/>
      <c r="K2838" s="387"/>
      <c r="L2838" s="394"/>
      <c r="M2838" s="62"/>
      <c r="N2838" s="63"/>
      <c r="O2838" s="63"/>
      <c r="P2838" s="79" t="str">
        <f>IF(AND('331-CT'!$E$7=TH!H2838,OR(N2838="331",O2838="331")),"x","")</f>
        <v/>
      </c>
      <c r="Q2838" s="79" t="str">
        <f>IF(AND(B2838='111'!$L$11,OR($N2838=$Q$7,$O2838=$Q$7)),"x","")</f>
        <v/>
      </c>
      <c r="R2838" s="79" t="str">
        <f>IF(AND($N2838=$Q$7,$B2838&lt;'111'!$L$11),"x","")</f>
        <v/>
      </c>
      <c r="S2838" s="79" t="str">
        <f>IF(AND($O2838=$Q$7,$B2838&lt;'111'!$L$11),"x","")</f>
        <v/>
      </c>
      <c r="T2838" s="79" t="str">
        <f>IF(ISERROR(FIND('112'!$M$9,G2838,1)),"",IF((AND(FIND('112'!$M$9,G2838,1)&gt;=1,B2838='112'!$K$9,OR($N2838='112'!$I$6,$O2838='112'!$I$6))),"x",""))</f>
        <v/>
      </c>
      <c r="U2838" s="79" t="str">
        <f>IF(ISERROR(FIND('112'!$M$9,G2838,1)),"",IF((AND(LEFT(G2838,2)=LEFT('112'!$M$9,2),B2838&lt;'112'!$K$9,$N2838='112'!$I$6)),"x",""))</f>
        <v/>
      </c>
      <c r="V2838" s="79" t="str">
        <f>IF(ISERROR(FIND('112'!$M$9,G2838,1)),"",IF((AND(RIGHT(G2838,2)=RIGHT('112'!$M$9,2),B2838&lt;'112'!$K$9,$O2838='112'!$I$6)),"x",""))</f>
        <v/>
      </c>
      <c r="W2838" s="79" t="str">
        <f>IF(AND('341-CT'!$H$9=H2838,OR(LEFT(N2838,3)=$W$7,LEFT(O2838,3)=$W$7)),"x","")</f>
        <v/>
      </c>
      <c r="X2838" s="79" t="str">
        <f>IF(OR(TH!N2838=TH!$X$7,O2838=TH!$X$7),"x","")</f>
        <v/>
      </c>
      <c r="Y2838" s="79" t="str">
        <f>IF(AND(OR(N2838="131",O2838="131"),H2838='131-CT'!$H$9),"x","")</f>
        <v/>
      </c>
      <c r="Z2838" s="79"/>
      <c r="AA2838" s="79" t="str">
        <f>IF(AND(MONTH(E2838)='IN-NX'!$J$5,'IN-NX'!$D$7=D2838),"x","")</f>
        <v/>
      </c>
      <c r="AB2838" s="79" t="str">
        <f>IF(AND(OR(LEFT(TH!N2838,2)="15",LEFT(TH!O2838,2)="15"),LEFT(TH!O2838,3)&lt;&gt;"111",'152-CT'!$J$8=TH!F2838),"x","")</f>
        <v/>
      </c>
      <c r="AC2838" s="79" t="str">
        <f>IF(AND(OR(LEFT(TH!N2838,2)="15",LEFT(TH!O2838,2)="15"),TK!$E$7=TH!F2838),"x","")</f>
        <v/>
      </c>
      <c r="AD2838" s="79" t="str">
        <f>IF(AND(N2838="1521",MONTH(C2838)='BK-NL'!$M$11),"x","")</f>
        <v/>
      </c>
    </row>
    <row r="2839" spans="1:30" ht="16.5" customHeight="1">
      <c r="A2839" s="318" t="str">
        <f>IF(B2839&lt;&gt;"",IF(AND(B2839='IN-TC'!$S$4,OR(TH!N2839="1111",TH!O2839="1111")),TH!D2839,""),"")</f>
        <v/>
      </c>
      <c r="B2839" s="60" t="str">
        <f t="shared" ref="B2839:B2842" si="320">IF(C2839&lt;&gt;"",MONTH(C2839),"")</f>
        <v/>
      </c>
      <c r="C2839" s="61"/>
      <c r="D2839" s="61"/>
      <c r="E2839" s="61"/>
      <c r="F2839" s="64"/>
      <c r="G2839" s="766"/>
      <c r="H2839" s="69"/>
      <c r="I2839" s="387"/>
      <c r="J2839" s="395"/>
      <c r="K2839" s="387"/>
      <c r="L2839" s="394"/>
      <c r="M2839" s="62"/>
      <c r="N2839" s="63"/>
      <c r="O2839" s="63"/>
      <c r="P2839" s="79" t="str">
        <f>IF(AND('331-CT'!$E$7=TH!H2839,OR(N2839="331",O2839="331")),"x","")</f>
        <v/>
      </c>
      <c r="Q2839" s="79" t="str">
        <f>IF(AND(B2839='111'!$L$11,OR($N2839=$Q$7,$O2839=$Q$7)),"x","")</f>
        <v/>
      </c>
      <c r="R2839" s="79" t="str">
        <f>IF(AND($N2839=$Q$7,$B2839&lt;'111'!$L$11),"x","")</f>
        <v/>
      </c>
      <c r="S2839" s="79" t="str">
        <f>IF(AND($O2839=$Q$7,$B2839&lt;'111'!$L$11),"x","")</f>
        <v/>
      </c>
      <c r="T2839" s="79" t="str">
        <f>IF(ISERROR(FIND('112'!$M$9,G2839,1)),"",IF((AND(FIND('112'!$M$9,G2839,1)&gt;=1,B2839='112'!$K$9,OR($N2839='112'!$I$6,$O2839='112'!$I$6))),"x",""))</f>
        <v/>
      </c>
      <c r="U2839" s="79" t="str">
        <f>IF(ISERROR(FIND('112'!$M$9,G2839,1)),"",IF((AND(LEFT(G2839,2)=LEFT('112'!$M$9,2),B2839&lt;'112'!$K$9,$N2839='112'!$I$6)),"x",""))</f>
        <v/>
      </c>
      <c r="V2839" s="79" t="str">
        <f>IF(ISERROR(FIND('112'!$M$9,G2839,1)),"",IF((AND(RIGHT(G2839,2)=RIGHT('112'!$M$9,2),B2839&lt;'112'!$K$9,$O2839='112'!$I$6)),"x",""))</f>
        <v/>
      </c>
      <c r="W2839" s="79" t="str">
        <f>IF(AND('341-CT'!$H$9=H2839,OR(LEFT(N2839,3)=$W$7,LEFT(O2839,3)=$W$7)),"x","")</f>
        <v/>
      </c>
      <c r="X2839" s="79" t="str">
        <f>IF(OR(TH!N2839=TH!$X$7,O2839=TH!$X$7),"x","")</f>
        <v/>
      </c>
      <c r="Y2839" s="79" t="str">
        <f>IF(AND(OR(N2839="131",O2839="131"),H2839='131-CT'!$H$9),"x","")</f>
        <v/>
      </c>
      <c r="Z2839" s="79"/>
      <c r="AA2839" s="79" t="str">
        <f>IF(AND(MONTH(E2839)='IN-NX'!$J$5,'IN-NX'!$D$7=D2839),"x","")</f>
        <v/>
      </c>
      <c r="AB2839" s="79" t="str">
        <f>IF(AND(OR(LEFT(TH!N2839,2)="15",LEFT(TH!O2839,2)="15"),LEFT(TH!O2839,3)&lt;&gt;"111",'152-CT'!$J$8=TH!F2839),"x","")</f>
        <v/>
      </c>
      <c r="AC2839" s="79" t="str">
        <f>IF(AND(OR(LEFT(TH!N2839,2)="15",LEFT(TH!O2839,2)="15"),TK!$E$7=TH!F2839),"x","")</f>
        <v/>
      </c>
      <c r="AD2839" s="79" t="str">
        <f>IF(AND(N2839="1521",MONTH(C2839)='BK-NL'!$M$11),"x","")</f>
        <v/>
      </c>
    </row>
    <row r="2840" spans="1:30" ht="16.5" customHeight="1">
      <c r="A2840" s="318" t="str">
        <f>IF(B2840&lt;&gt;"",IF(AND(B2840='IN-TC'!$S$4,OR(TH!N2840="1111",TH!O2840="1111")),TH!D2840,""),"")</f>
        <v/>
      </c>
      <c r="B2840" s="60" t="str">
        <f t="shared" si="320"/>
        <v/>
      </c>
      <c r="C2840" s="61"/>
      <c r="D2840" s="61"/>
      <c r="E2840" s="61"/>
      <c r="F2840" s="64"/>
      <c r="G2840" s="766"/>
      <c r="H2840" s="69"/>
      <c r="I2840" s="387"/>
      <c r="J2840" s="395"/>
      <c r="K2840" s="387"/>
      <c r="L2840" s="394"/>
      <c r="M2840" s="62"/>
      <c r="N2840" s="63"/>
      <c r="O2840" s="63"/>
      <c r="P2840" s="79" t="str">
        <f>IF(AND('331-CT'!$E$7=TH!H2840,OR(N2840="331",O2840="331")),"x","")</f>
        <v/>
      </c>
      <c r="Q2840" s="79" t="str">
        <f>IF(AND(B2840='111'!$L$11,OR($N2840=$Q$7,$O2840=$Q$7)),"x","")</f>
        <v/>
      </c>
      <c r="R2840" s="79" t="str">
        <f>IF(AND($N2840=$Q$7,$B2840&lt;'111'!$L$11),"x","")</f>
        <v/>
      </c>
      <c r="S2840" s="79" t="str">
        <f>IF(AND($O2840=$Q$7,$B2840&lt;'111'!$L$11),"x","")</f>
        <v/>
      </c>
      <c r="T2840" s="79" t="str">
        <f>IF(ISERROR(FIND('112'!$M$9,G2840,1)),"",IF((AND(FIND('112'!$M$9,G2840,1)&gt;=1,B2840='112'!$K$9,OR($N2840='112'!$I$6,$O2840='112'!$I$6))),"x",""))</f>
        <v/>
      </c>
      <c r="U2840" s="79" t="str">
        <f>IF(ISERROR(FIND('112'!$M$9,G2840,1)),"",IF((AND(LEFT(G2840,2)=LEFT('112'!$M$9,2),B2840&lt;'112'!$K$9,$N2840='112'!$I$6)),"x",""))</f>
        <v/>
      </c>
      <c r="V2840" s="79" t="str">
        <f>IF(ISERROR(FIND('112'!$M$9,G2840,1)),"",IF((AND(RIGHT(G2840,2)=RIGHT('112'!$M$9,2),B2840&lt;'112'!$K$9,$O2840='112'!$I$6)),"x",""))</f>
        <v/>
      </c>
      <c r="W2840" s="79" t="str">
        <f>IF(AND('341-CT'!$H$9=H2840,OR(LEFT(N2840,3)=$W$7,LEFT(O2840,3)=$W$7)),"x","")</f>
        <v/>
      </c>
      <c r="X2840" s="79" t="str">
        <f>IF(OR(TH!N2840=TH!$X$7,O2840=TH!$X$7),"x","")</f>
        <v/>
      </c>
      <c r="Y2840" s="79" t="str">
        <f>IF(AND(OR(N2840="131",O2840="131"),H2840='131-CT'!$H$9),"x","")</f>
        <v/>
      </c>
      <c r="Z2840" s="79"/>
      <c r="AA2840" s="79" t="str">
        <f>IF(AND(MONTH(E2840)='IN-NX'!$J$5,'IN-NX'!$D$7=D2840),"x","")</f>
        <v/>
      </c>
      <c r="AB2840" s="79" t="str">
        <f>IF(AND(OR(LEFT(TH!N2840,2)="15",LEFT(TH!O2840,2)="15"),LEFT(TH!O2840,3)&lt;&gt;"111",'152-CT'!$J$8=TH!F2840),"x","")</f>
        <v/>
      </c>
      <c r="AC2840" s="79" t="str">
        <f>IF(AND(OR(LEFT(TH!N2840,2)="15",LEFT(TH!O2840,2)="15"),TK!$E$7=TH!F2840),"x","")</f>
        <v/>
      </c>
      <c r="AD2840" s="79" t="str">
        <f>IF(AND(N2840="1521",MONTH(C2840)='BK-NL'!$M$11),"x","")</f>
        <v/>
      </c>
    </row>
    <row r="2841" spans="1:30" ht="16.5" customHeight="1">
      <c r="A2841" s="318" t="str">
        <f>IF(B2841&lt;&gt;"",IF(AND(B2841='IN-TC'!$S$4,OR(TH!N2841="1111",TH!O2841="1111")),TH!D2841,""),"")</f>
        <v/>
      </c>
      <c r="B2841" s="60" t="str">
        <f t="shared" si="320"/>
        <v/>
      </c>
      <c r="C2841" s="61"/>
      <c r="D2841" s="61"/>
      <c r="E2841" s="61"/>
      <c r="F2841" s="64"/>
      <c r="G2841" s="766"/>
      <c r="H2841" s="69"/>
      <c r="I2841" s="387"/>
      <c r="J2841" s="395"/>
      <c r="K2841" s="387"/>
      <c r="L2841" s="394"/>
      <c r="M2841" s="62"/>
      <c r="N2841" s="63"/>
      <c r="O2841" s="63"/>
      <c r="P2841" s="79" t="str">
        <f>IF(AND('331-CT'!$E$7=TH!H2841,OR(N2841="331",O2841="331")),"x","")</f>
        <v/>
      </c>
      <c r="Q2841" s="79" t="str">
        <f>IF(AND(B2841='111'!$L$11,OR($N2841=$Q$7,$O2841=$Q$7)),"x","")</f>
        <v/>
      </c>
      <c r="R2841" s="79" t="str">
        <f>IF(AND($N2841=$Q$7,$B2841&lt;'111'!$L$11),"x","")</f>
        <v/>
      </c>
      <c r="S2841" s="79" t="str">
        <f>IF(AND($O2841=$Q$7,$B2841&lt;'111'!$L$11),"x","")</f>
        <v/>
      </c>
      <c r="T2841" s="79" t="str">
        <f>IF(ISERROR(FIND('112'!$M$9,G2841,1)),"",IF((AND(FIND('112'!$M$9,G2841,1)&gt;=1,B2841='112'!$K$9,OR($N2841='112'!$I$6,$O2841='112'!$I$6))),"x",""))</f>
        <v/>
      </c>
      <c r="U2841" s="79" t="str">
        <f>IF(ISERROR(FIND('112'!$M$9,G2841,1)),"",IF((AND(LEFT(G2841,2)=LEFT('112'!$M$9,2),B2841&lt;'112'!$K$9,$N2841='112'!$I$6)),"x",""))</f>
        <v/>
      </c>
      <c r="V2841" s="79" t="str">
        <f>IF(ISERROR(FIND('112'!$M$9,G2841,1)),"",IF((AND(RIGHT(G2841,2)=RIGHT('112'!$M$9,2),B2841&lt;'112'!$K$9,$O2841='112'!$I$6)),"x",""))</f>
        <v/>
      </c>
      <c r="W2841" s="79" t="str">
        <f>IF(AND('341-CT'!$H$9=H2841,OR(LEFT(N2841,3)=$W$7,LEFT(O2841,3)=$W$7)),"x","")</f>
        <v/>
      </c>
      <c r="X2841" s="79" t="str">
        <f>IF(OR(TH!N2841=TH!$X$7,O2841=TH!$X$7),"x","")</f>
        <v/>
      </c>
      <c r="Y2841" s="79" t="str">
        <f>IF(AND(OR(N2841="131",O2841="131"),H2841='131-CT'!$H$9),"x","")</f>
        <v/>
      </c>
      <c r="Z2841" s="79"/>
      <c r="AA2841" s="79" t="str">
        <f>IF(AND(MONTH(E2841)='IN-NX'!$J$5,'IN-NX'!$D$7=D2841),"x","")</f>
        <v/>
      </c>
      <c r="AB2841" s="79" t="str">
        <f>IF(AND(OR(LEFT(TH!N2841,2)="15",LEFT(TH!O2841,2)="15"),LEFT(TH!O2841,3)&lt;&gt;"111",'152-CT'!$J$8=TH!F2841),"x","")</f>
        <v/>
      </c>
      <c r="AC2841" s="79" t="str">
        <f>IF(AND(OR(LEFT(TH!N2841,2)="15",LEFT(TH!O2841,2)="15"),TK!$E$7=TH!F2841),"x","")</f>
        <v/>
      </c>
      <c r="AD2841" s="79" t="str">
        <f>IF(AND(N2841="1521",MONTH(C2841)='BK-NL'!$M$11),"x","")</f>
        <v/>
      </c>
    </row>
    <row r="2842" spans="1:30" ht="16.5" customHeight="1">
      <c r="A2842" s="318" t="str">
        <f>IF(B2842&lt;&gt;"",IF(AND(B2842='IN-TC'!$S$4,OR(TH!N2842="1111",TH!O2842="1111")),TH!D2842,""),"")</f>
        <v/>
      </c>
      <c r="B2842" s="60" t="str">
        <f t="shared" si="320"/>
        <v/>
      </c>
      <c r="C2842" s="61"/>
      <c r="D2842" s="61"/>
      <c r="E2842" s="61"/>
      <c r="F2842" s="64"/>
      <c r="G2842" s="766"/>
      <c r="H2842" s="69"/>
      <c r="I2842" s="387"/>
      <c r="J2842" s="395"/>
      <c r="K2842" s="387"/>
      <c r="L2842" s="394"/>
      <c r="M2842" s="62"/>
      <c r="N2842" s="63"/>
      <c r="O2842" s="63"/>
      <c r="P2842" s="79" t="str">
        <f>IF(AND('331-CT'!$E$7=TH!H2842,OR(N2842="331",O2842="331")),"x","")</f>
        <v/>
      </c>
      <c r="Q2842" s="79" t="str">
        <f>IF(AND(B2842='111'!$L$11,OR($N2842=$Q$7,$O2842=$Q$7)),"x","")</f>
        <v/>
      </c>
      <c r="R2842" s="79" t="str">
        <f>IF(AND($N2842=$Q$7,$B2842&lt;'111'!$L$11),"x","")</f>
        <v/>
      </c>
      <c r="S2842" s="79" t="str">
        <f>IF(AND($O2842=$Q$7,$B2842&lt;'111'!$L$11),"x","")</f>
        <v/>
      </c>
      <c r="T2842" s="79" t="str">
        <f>IF(ISERROR(FIND('112'!$M$9,G2842,1)),"",IF((AND(FIND('112'!$M$9,G2842,1)&gt;=1,B2842='112'!$K$9,OR($N2842='112'!$I$6,$O2842='112'!$I$6))),"x",""))</f>
        <v/>
      </c>
      <c r="U2842" s="79" t="str">
        <f>IF(ISERROR(FIND('112'!$M$9,G2842,1)),"",IF((AND(LEFT(G2842,2)=LEFT('112'!$M$9,2),B2842&lt;'112'!$K$9,$N2842='112'!$I$6)),"x",""))</f>
        <v/>
      </c>
      <c r="V2842" s="79" t="str">
        <f>IF(ISERROR(FIND('112'!$M$9,G2842,1)),"",IF((AND(RIGHT(G2842,2)=RIGHT('112'!$M$9,2),B2842&lt;'112'!$K$9,$O2842='112'!$I$6)),"x",""))</f>
        <v/>
      </c>
      <c r="W2842" s="79" t="str">
        <f>IF(AND('341-CT'!$H$9=H2842,OR(LEFT(N2842,3)=$W$7,LEFT(O2842,3)=$W$7)),"x","")</f>
        <v/>
      </c>
      <c r="X2842" s="79" t="str">
        <f>IF(OR(TH!N2842=TH!$X$7,O2842=TH!$X$7),"x","")</f>
        <v/>
      </c>
      <c r="Y2842" s="79" t="str">
        <f>IF(AND(OR(N2842="131",O2842="131"),H2842='131-CT'!$H$9),"x","")</f>
        <v/>
      </c>
      <c r="Z2842" s="79"/>
      <c r="AA2842" s="79" t="str">
        <f>IF(AND(MONTH(E2842)='IN-NX'!$J$5,'IN-NX'!$D$7=D2842),"x","")</f>
        <v/>
      </c>
      <c r="AB2842" s="79" t="str">
        <f>IF(AND(OR(LEFT(TH!N2842,2)="15",LEFT(TH!O2842,2)="15"),LEFT(TH!O2842,3)&lt;&gt;"111",'152-CT'!$J$8=TH!F2842),"x","")</f>
        <v/>
      </c>
      <c r="AC2842" s="79" t="str">
        <f>IF(AND(OR(LEFT(TH!N2842,2)="15",LEFT(TH!O2842,2)="15"),TK!$E$7=TH!F2842),"x","")</f>
        <v/>
      </c>
      <c r="AD2842" s="79" t="str">
        <f>IF(AND(N2842="1521",MONTH(C2842)='BK-NL'!$M$11),"x","")</f>
        <v/>
      </c>
    </row>
    <row r="2843" spans="1:30" ht="16.5" customHeight="1">
      <c r="A2843" s="318" t="str">
        <f>IF(B2843&lt;&gt;"",IF(AND(B2843='IN-TC'!$S$4,OR(TH!N2843="1111",TH!O2843="1111")),TH!D2843,""),"")</f>
        <v/>
      </c>
      <c r="B2843" s="60" t="str">
        <f t="shared" ref="B2843:B2853" si="321">IF(C2843&lt;&gt;"",MONTH(C2843),"")</f>
        <v/>
      </c>
      <c r="C2843" s="61"/>
      <c r="D2843" s="61"/>
      <c r="E2843" s="61"/>
      <c r="F2843" s="64"/>
      <c r="G2843" s="766"/>
      <c r="H2843" s="69"/>
      <c r="I2843" s="387"/>
      <c r="J2843" s="395"/>
      <c r="K2843" s="387"/>
      <c r="L2843" s="394"/>
      <c r="M2843" s="62"/>
      <c r="N2843" s="63"/>
      <c r="O2843" s="63"/>
      <c r="P2843" s="79" t="str">
        <f>IF(AND('331-CT'!$E$7=TH!H2843,OR(N2843="331",O2843="331")),"x","")</f>
        <v/>
      </c>
      <c r="Q2843" s="79" t="str">
        <f>IF(AND(B2843='111'!$L$11,OR($N2843=$Q$7,$O2843=$Q$7)),"x","")</f>
        <v/>
      </c>
      <c r="R2843" s="79" t="str">
        <f>IF(AND($N2843=$Q$7,$B2843&lt;'111'!$L$11),"x","")</f>
        <v/>
      </c>
      <c r="S2843" s="79" t="str">
        <f>IF(AND($O2843=$Q$7,$B2843&lt;'111'!$L$11),"x","")</f>
        <v/>
      </c>
      <c r="T2843" s="79" t="str">
        <f>IF(ISERROR(FIND('112'!$M$9,G2843,1)),"",IF((AND(FIND('112'!$M$9,G2843,1)&gt;=1,B2843='112'!$K$9,OR($N2843='112'!$I$6,$O2843='112'!$I$6))),"x",""))</f>
        <v/>
      </c>
      <c r="U2843" s="79" t="str">
        <f>IF(ISERROR(FIND('112'!$M$9,G2843,1)),"",IF((AND(LEFT(G2843,2)=LEFT('112'!$M$9,2),B2843&lt;'112'!$K$9,$N2843='112'!$I$6)),"x",""))</f>
        <v/>
      </c>
      <c r="V2843" s="79" t="str">
        <f>IF(ISERROR(FIND('112'!$M$9,G2843,1)),"",IF((AND(RIGHT(G2843,2)=RIGHT('112'!$M$9,2),B2843&lt;'112'!$K$9,$O2843='112'!$I$6)),"x",""))</f>
        <v/>
      </c>
      <c r="W2843" s="79" t="str">
        <f>IF(AND('341-CT'!$H$9=H2843,OR(LEFT(N2843,3)=$W$7,LEFT(O2843,3)=$W$7)),"x","")</f>
        <v/>
      </c>
      <c r="X2843" s="79" t="str">
        <f>IF(OR(TH!N2843=TH!$X$7,O2843=TH!$X$7),"x","")</f>
        <v/>
      </c>
      <c r="Y2843" s="79" t="str">
        <f>IF(AND(OR(N2843="131",O2843="131"),H2843='131-CT'!$H$9),"x","")</f>
        <v/>
      </c>
      <c r="Z2843" s="79"/>
      <c r="AA2843" s="79" t="str">
        <f>IF(AND(MONTH(E2843)='IN-NX'!$J$5,'IN-NX'!$D$7=D2843),"x","")</f>
        <v/>
      </c>
      <c r="AB2843" s="79" t="str">
        <f>IF(AND(OR(LEFT(TH!N2843,2)="15",LEFT(TH!O2843,2)="15"),LEFT(TH!O2843,3)&lt;&gt;"111",'152-CT'!$J$8=TH!F2843),"x","")</f>
        <v/>
      </c>
      <c r="AC2843" s="79" t="str">
        <f>IF(AND(OR(LEFT(TH!N2843,2)="15",LEFT(TH!O2843,2)="15"),TK!$E$7=TH!F2843),"x","")</f>
        <v/>
      </c>
      <c r="AD2843" s="79" t="str">
        <f>IF(AND(N2843="1521",MONTH(C2843)='BK-NL'!$M$11),"x","")</f>
        <v/>
      </c>
    </row>
    <row r="2844" spans="1:30" ht="16.5" customHeight="1">
      <c r="A2844" s="318" t="str">
        <f>IF(B2844&lt;&gt;"",IF(AND(B2844='IN-TC'!$S$4,OR(TH!N2844="1111",TH!O2844="1111")),TH!D2844,""),"")</f>
        <v/>
      </c>
      <c r="B2844" s="60" t="str">
        <f t="shared" si="321"/>
        <v/>
      </c>
      <c r="C2844" s="61"/>
      <c r="D2844" s="61"/>
      <c r="E2844" s="61"/>
      <c r="F2844" s="64"/>
      <c r="G2844" s="766"/>
      <c r="H2844" s="69"/>
      <c r="I2844" s="387"/>
      <c r="J2844" s="395"/>
      <c r="K2844" s="387"/>
      <c r="L2844" s="394"/>
      <c r="M2844" s="62"/>
      <c r="N2844" s="63"/>
      <c r="O2844" s="63"/>
      <c r="P2844" s="79" t="str">
        <f>IF(AND('331-CT'!$E$7=TH!H2844,OR(N2844="331",O2844="331")),"x","")</f>
        <v/>
      </c>
      <c r="Q2844" s="79" t="str">
        <f>IF(AND(B2844='111'!$L$11,OR($N2844=$Q$7,$O2844=$Q$7)),"x","")</f>
        <v/>
      </c>
      <c r="R2844" s="79" t="str">
        <f>IF(AND($N2844=$Q$7,$B2844&lt;'111'!$L$11),"x","")</f>
        <v/>
      </c>
      <c r="S2844" s="79" t="str">
        <f>IF(AND($O2844=$Q$7,$B2844&lt;'111'!$L$11),"x","")</f>
        <v/>
      </c>
      <c r="T2844" s="79" t="str">
        <f>IF(ISERROR(FIND('112'!$M$9,G2844,1)),"",IF((AND(FIND('112'!$M$9,G2844,1)&gt;=1,B2844='112'!$K$9,OR($N2844='112'!$I$6,$O2844='112'!$I$6))),"x",""))</f>
        <v/>
      </c>
      <c r="U2844" s="79" t="str">
        <f>IF(ISERROR(FIND('112'!$M$9,G2844,1)),"",IF((AND(LEFT(G2844,2)=LEFT('112'!$M$9,2),B2844&lt;'112'!$K$9,$N2844='112'!$I$6)),"x",""))</f>
        <v/>
      </c>
      <c r="V2844" s="79" t="str">
        <f>IF(ISERROR(FIND('112'!$M$9,G2844,1)),"",IF((AND(RIGHT(G2844,2)=RIGHT('112'!$M$9,2),B2844&lt;'112'!$K$9,$O2844='112'!$I$6)),"x",""))</f>
        <v/>
      </c>
      <c r="W2844" s="79" t="str">
        <f>IF(AND('341-CT'!$H$9=H2844,OR(LEFT(N2844,3)=$W$7,LEFT(O2844,3)=$W$7)),"x","")</f>
        <v/>
      </c>
      <c r="X2844" s="79" t="str">
        <f>IF(OR(TH!N2844=TH!$X$7,O2844=TH!$X$7),"x","")</f>
        <v/>
      </c>
      <c r="Y2844" s="79" t="str">
        <f>IF(AND(OR(N2844="131",O2844="131"),H2844='131-CT'!$H$9),"x","")</f>
        <v/>
      </c>
      <c r="Z2844" s="79"/>
      <c r="AA2844" s="79" t="str">
        <f>IF(AND(MONTH(E2844)='IN-NX'!$J$5,'IN-NX'!$D$7=D2844),"x","")</f>
        <v/>
      </c>
      <c r="AB2844" s="79" t="str">
        <f>IF(AND(OR(LEFT(TH!N2844,2)="15",LEFT(TH!O2844,2)="15"),LEFT(TH!O2844,3)&lt;&gt;"111",'152-CT'!$J$8=TH!F2844),"x","")</f>
        <v/>
      </c>
      <c r="AC2844" s="79" t="str">
        <f>IF(AND(OR(LEFT(TH!N2844,2)="15",LEFT(TH!O2844,2)="15"),TK!$E$7=TH!F2844),"x","")</f>
        <v/>
      </c>
      <c r="AD2844" s="79" t="str">
        <f>IF(AND(N2844="1521",MONTH(C2844)='BK-NL'!$M$11),"x","")</f>
        <v/>
      </c>
    </row>
    <row r="2845" spans="1:30" ht="16.5" customHeight="1">
      <c r="A2845" s="318" t="str">
        <f>IF(B2845&lt;&gt;"",IF(AND(B2845='IN-TC'!$S$4,OR(TH!N2845="1111",TH!O2845="1111")),TH!D2845,""),"")</f>
        <v/>
      </c>
      <c r="B2845" s="60" t="str">
        <f t="shared" si="321"/>
        <v/>
      </c>
      <c r="C2845" s="61"/>
      <c r="D2845" s="61"/>
      <c r="E2845" s="61"/>
      <c r="F2845" s="64"/>
      <c r="G2845" s="766"/>
      <c r="H2845" s="69"/>
      <c r="I2845" s="387"/>
      <c r="J2845" s="395"/>
      <c r="K2845" s="387"/>
      <c r="L2845" s="394"/>
      <c r="M2845" s="62"/>
      <c r="N2845" s="63"/>
      <c r="O2845" s="63"/>
      <c r="P2845" s="79" t="str">
        <f>IF(AND('331-CT'!$E$7=TH!H2845,OR(N2845="331",O2845="331")),"x","")</f>
        <v/>
      </c>
      <c r="Q2845" s="79" t="str">
        <f>IF(AND(B2845='111'!$L$11,OR($N2845=$Q$7,$O2845=$Q$7)),"x","")</f>
        <v/>
      </c>
      <c r="R2845" s="79" t="str">
        <f>IF(AND($N2845=$Q$7,$B2845&lt;'111'!$L$11),"x","")</f>
        <v/>
      </c>
      <c r="S2845" s="79" t="str">
        <f>IF(AND($O2845=$Q$7,$B2845&lt;'111'!$L$11),"x","")</f>
        <v/>
      </c>
      <c r="T2845" s="79" t="str">
        <f>IF(ISERROR(FIND('112'!$M$9,G2845,1)),"",IF((AND(FIND('112'!$M$9,G2845,1)&gt;=1,B2845='112'!$K$9,OR($N2845='112'!$I$6,$O2845='112'!$I$6))),"x",""))</f>
        <v/>
      </c>
      <c r="U2845" s="79" t="str">
        <f>IF(ISERROR(FIND('112'!$M$9,G2845,1)),"",IF((AND(LEFT(G2845,2)=LEFT('112'!$M$9,2),B2845&lt;'112'!$K$9,$N2845='112'!$I$6)),"x",""))</f>
        <v/>
      </c>
      <c r="V2845" s="79" t="str">
        <f>IF(ISERROR(FIND('112'!$M$9,G2845,1)),"",IF((AND(RIGHT(G2845,2)=RIGHT('112'!$M$9,2),B2845&lt;'112'!$K$9,$O2845='112'!$I$6)),"x",""))</f>
        <v/>
      </c>
      <c r="W2845" s="79" t="str">
        <f>IF(AND('341-CT'!$H$9=H2845,OR(LEFT(N2845,3)=$W$7,LEFT(O2845,3)=$W$7)),"x","")</f>
        <v/>
      </c>
      <c r="X2845" s="79" t="str">
        <f>IF(OR(TH!N2845=TH!$X$7,O2845=TH!$X$7),"x","")</f>
        <v/>
      </c>
      <c r="Y2845" s="79" t="str">
        <f>IF(AND(OR(N2845="131",O2845="131"),H2845='131-CT'!$H$9),"x","")</f>
        <v/>
      </c>
      <c r="Z2845" s="79"/>
      <c r="AA2845" s="79" t="str">
        <f>IF(AND(MONTH(E2845)='IN-NX'!$J$5,'IN-NX'!$D$7=D2845),"x","")</f>
        <v/>
      </c>
      <c r="AB2845" s="79" t="str">
        <f>IF(AND(OR(LEFT(TH!N2845,2)="15",LEFT(TH!O2845,2)="15"),LEFT(TH!O2845,3)&lt;&gt;"111",'152-CT'!$J$8=TH!F2845),"x","")</f>
        <v/>
      </c>
      <c r="AC2845" s="79" t="str">
        <f>IF(AND(OR(LEFT(TH!N2845,2)="15",LEFT(TH!O2845,2)="15"),TK!$E$7=TH!F2845),"x","")</f>
        <v/>
      </c>
      <c r="AD2845" s="79" t="str">
        <f>IF(AND(N2845="1521",MONTH(C2845)='BK-NL'!$M$11),"x","")</f>
        <v/>
      </c>
    </row>
    <row r="2846" spans="1:30" ht="16.5" customHeight="1">
      <c r="A2846" s="318" t="str">
        <f>IF(B2846&lt;&gt;"",IF(AND(B2846='IN-TC'!$S$4,OR(TH!N2846="1111",TH!O2846="1111")),TH!D2846,""),"")</f>
        <v/>
      </c>
      <c r="B2846" s="60" t="str">
        <f t="shared" ref="B2846:B2847" si="322">IF(C2846&lt;&gt;"",MONTH(C2846),"")</f>
        <v/>
      </c>
      <c r="C2846" s="61"/>
      <c r="D2846" s="61"/>
      <c r="E2846" s="61"/>
      <c r="F2846" s="64"/>
      <c r="G2846" s="766"/>
      <c r="H2846" s="69"/>
      <c r="I2846" s="387"/>
      <c r="J2846" s="395"/>
      <c r="K2846" s="387"/>
      <c r="L2846" s="394"/>
      <c r="M2846" s="62"/>
      <c r="N2846" s="63"/>
      <c r="O2846" s="63"/>
      <c r="P2846" s="79" t="str">
        <f>IF(AND('331-CT'!$E$7=TH!H2846,OR(N2846="331",O2846="331")),"x","")</f>
        <v/>
      </c>
      <c r="Q2846" s="79" t="str">
        <f>IF(AND(B2846='111'!$L$11,OR($N2846=$Q$7,$O2846=$Q$7)),"x","")</f>
        <v/>
      </c>
      <c r="R2846" s="79" t="str">
        <f>IF(AND($N2846=$Q$7,$B2846&lt;'111'!$L$11),"x","")</f>
        <v/>
      </c>
      <c r="S2846" s="79" t="str">
        <f>IF(AND($O2846=$Q$7,$B2846&lt;'111'!$L$11),"x","")</f>
        <v/>
      </c>
      <c r="T2846" s="79" t="str">
        <f>IF(ISERROR(FIND('112'!$M$9,G2846,1)),"",IF((AND(FIND('112'!$M$9,G2846,1)&gt;=1,B2846='112'!$K$9,OR($N2846='112'!$I$6,$O2846='112'!$I$6))),"x",""))</f>
        <v/>
      </c>
      <c r="U2846" s="79" t="str">
        <f>IF(ISERROR(FIND('112'!$M$9,G2846,1)),"",IF((AND(LEFT(G2846,2)=LEFT('112'!$M$9,2),B2846&lt;'112'!$K$9,$N2846='112'!$I$6)),"x",""))</f>
        <v/>
      </c>
      <c r="V2846" s="79" t="str">
        <f>IF(ISERROR(FIND('112'!$M$9,G2846,1)),"",IF((AND(RIGHT(G2846,2)=RIGHT('112'!$M$9,2),B2846&lt;'112'!$K$9,$O2846='112'!$I$6)),"x",""))</f>
        <v/>
      </c>
      <c r="W2846" s="79" t="str">
        <f>IF(AND('341-CT'!$H$9=H2846,OR(LEFT(N2846,3)=$W$7,LEFT(O2846,3)=$W$7)),"x","")</f>
        <v/>
      </c>
      <c r="X2846" s="79" t="str">
        <f>IF(OR(TH!N2846=TH!$X$7,O2846=TH!$X$7),"x","")</f>
        <v/>
      </c>
      <c r="Y2846" s="79" t="str">
        <f>IF(AND(OR(N2846="131",O2846="131"),H2846='131-CT'!$H$9),"x","")</f>
        <v/>
      </c>
      <c r="Z2846" s="79"/>
      <c r="AA2846" s="79" t="str">
        <f>IF(AND(MONTH(E2846)='IN-NX'!$J$5,'IN-NX'!$D$7=D2846),"x","")</f>
        <v/>
      </c>
      <c r="AB2846" s="79" t="str">
        <f>IF(AND(OR(LEFT(TH!N2846,2)="15",LEFT(TH!O2846,2)="15"),LEFT(TH!O2846,3)&lt;&gt;"111",'152-CT'!$J$8=TH!F2846),"x","")</f>
        <v/>
      </c>
      <c r="AC2846" s="79" t="str">
        <f>IF(AND(OR(LEFT(TH!N2846,2)="15",LEFT(TH!O2846,2)="15"),TK!$E$7=TH!F2846),"x","")</f>
        <v/>
      </c>
      <c r="AD2846" s="79" t="str">
        <f>IF(AND(N2846="1521",MONTH(C2846)='BK-NL'!$M$11),"x","")</f>
        <v/>
      </c>
    </row>
    <row r="2847" spans="1:30" ht="16.5" customHeight="1">
      <c r="A2847" s="318" t="str">
        <f>IF(B2847&lt;&gt;"",IF(AND(B2847='IN-TC'!$S$4,OR(TH!N2847="1111",TH!O2847="1111")),TH!D2847,""),"")</f>
        <v/>
      </c>
      <c r="B2847" s="60" t="str">
        <f t="shared" si="322"/>
        <v/>
      </c>
      <c r="C2847" s="61"/>
      <c r="D2847" s="61"/>
      <c r="E2847" s="61"/>
      <c r="F2847" s="64"/>
      <c r="G2847" s="766"/>
      <c r="H2847" s="69"/>
      <c r="I2847" s="387"/>
      <c r="J2847" s="395"/>
      <c r="K2847" s="387"/>
      <c r="L2847" s="394"/>
      <c r="M2847" s="62"/>
      <c r="N2847" s="63"/>
      <c r="O2847" s="63"/>
      <c r="P2847" s="79" t="str">
        <f>IF(AND('331-CT'!$E$7=TH!H2847,OR(N2847="331",O2847="331")),"x","")</f>
        <v/>
      </c>
      <c r="Q2847" s="79" t="str">
        <f>IF(AND(B2847='111'!$L$11,OR($N2847=$Q$7,$O2847=$Q$7)),"x","")</f>
        <v/>
      </c>
      <c r="R2847" s="79" t="str">
        <f>IF(AND($N2847=$Q$7,$B2847&lt;'111'!$L$11),"x","")</f>
        <v/>
      </c>
      <c r="S2847" s="79" t="str">
        <f>IF(AND($O2847=$Q$7,$B2847&lt;'111'!$L$11),"x","")</f>
        <v/>
      </c>
      <c r="T2847" s="79" t="str">
        <f>IF(ISERROR(FIND('112'!$M$9,G2847,1)),"",IF((AND(FIND('112'!$M$9,G2847,1)&gt;=1,B2847='112'!$K$9,OR($N2847='112'!$I$6,$O2847='112'!$I$6))),"x",""))</f>
        <v/>
      </c>
      <c r="U2847" s="79" t="str">
        <f>IF(ISERROR(FIND('112'!$M$9,G2847,1)),"",IF((AND(LEFT(G2847,2)=LEFT('112'!$M$9,2),B2847&lt;'112'!$K$9,$N2847='112'!$I$6)),"x",""))</f>
        <v/>
      </c>
      <c r="V2847" s="79" t="str">
        <f>IF(ISERROR(FIND('112'!$M$9,G2847,1)),"",IF((AND(RIGHT(G2847,2)=RIGHT('112'!$M$9,2),B2847&lt;'112'!$K$9,$O2847='112'!$I$6)),"x",""))</f>
        <v/>
      </c>
      <c r="W2847" s="79" t="str">
        <f>IF(AND('341-CT'!$H$9=H2847,OR(LEFT(N2847,3)=$W$7,LEFT(O2847,3)=$W$7)),"x","")</f>
        <v/>
      </c>
      <c r="X2847" s="79" t="str">
        <f>IF(OR(TH!N2847=TH!$X$7,O2847=TH!$X$7),"x","")</f>
        <v/>
      </c>
      <c r="Y2847" s="79" t="str">
        <f>IF(AND(OR(N2847="131",O2847="131"),H2847='131-CT'!$H$9),"x","")</f>
        <v/>
      </c>
      <c r="Z2847" s="79"/>
      <c r="AA2847" s="79" t="str">
        <f>IF(AND(MONTH(E2847)='IN-NX'!$J$5,'IN-NX'!$D$7=D2847),"x","")</f>
        <v/>
      </c>
      <c r="AB2847" s="79" t="str">
        <f>IF(AND(OR(LEFT(TH!N2847,2)="15",LEFT(TH!O2847,2)="15"),LEFT(TH!O2847,3)&lt;&gt;"111",'152-CT'!$J$8=TH!F2847),"x","")</f>
        <v/>
      </c>
      <c r="AC2847" s="79" t="str">
        <f>IF(AND(OR(LEFT(TH!N2847,2)="15",LEFT(TH!O2847,2)="15"),TK!$E$7=TH!F2847),"x","")</f>
        <v/>
      </c>
      <c r="AD2847" s="79" t="str">
        <f>IF(AND(N2847="1521",MONTH(C2847)='BK-NL'!$M$11),"x","")</f>
        <v/>
      </c>
    </row>
    <row r="2848" spans="1:30" ht="16.5" customHeight="1">
      <c r="A2848" s="318" t="str">
        <f>IF(B2848&lt;&gt;"",IF(AND(B2848='IN-TC'!$S$4,OR(TH!N2848="1111",TH!O2848="1111")),TH!D2848,""),"")</f>
        <v/>
      </c>
      <c r="B2848" s="60" t="str">
        <f t="shared" ref="B2848:B2849" si="323">IF(C2848&lt;&gt;"",MONTH(C2848),"")</f>
        <v/>
      </c>
      <c r="C2848" s="61"/>
      <c r="D2848" s="61"/>
      <c r="E2848" s="61"/>
      <c r="F2848" s="64"/>
      <c r="G2848" s="766"/>
      <c r="H2848" s="69"/>
      <c r="I2848" s="387"/>
      <c r="J2848" s="395"/>
      <c r="K2848" s="387"/>
      <c r="L2848" s="394"/>
      <c r="M2848" s="62"/>
      <c r="N2848" s="63"/>
      <c r="O2848" s="63"/>
      <c r="P2848" s="79" t="str">
        <f>IF(AND('331-CT'!$E$7=TH!H2848,OR(N2848="331",O2848="331")),"x","")</f>
        <v/>
      </c>
      <c r="Q2848" s="79" t="str">
        <f>IF(AND(B2848='111'!$L$11,OR($N2848=$Q$7,$O2848=$Q$7)),"x","")</f>
        <v/>
      </c>
      <c r="R2848" s="79" t="str">
        <f>IF(AND($N2848=$Q$7,$B2848&lt;'111'!$L$11),"x","")</f>
        <v/>
      </c>
      <c r="S2848" s="79" t="str">
        <f>IF(AND($O2848=$Q$7,$B2848&lt;'111'!$L$11),"x","")</f>
        <v/>
      </c>
      <c r="T2848" s="79" t="str">
        <f>IF(ISERROR(FIND('112'!$M$9,G2848,1)),"",IF((AND(FIND('112'!$M$9,G2848,1)&gt;=1,B2848='112'!$K$9,OR($N2848='112'!$I$6,$O2848='112'!$I$6))),"x",""))</f>
        <v/>
      </c>
      <c r="U2848" s="79" t="str">
        <f>IF(ISERROR(FIND('112'!$M$9,G2848,1)),"",IF((AND(LEFT(G2848,2)=LEFT('112'!$M$9,2),B2848&lt;'112'!$K$9,$N2848='112'!$I$6)),"x",""))</f>
        <v/>
      </c>
      <c r="V2848" s="79" t="str">
        <f>IF(ISERROR(FIND('112'!$M$9,G2848,1)),"",IF((AND(RIGHT(G2848,2)=RIGHT('112'!$M$9,2),B2848&lt;'112'!$K$9,$O2848='112'!$I$6)),"x",""))</f>
        <v/>
      </c>
      <c r="W2848" s="79" t="str">
        <f>IF(AND('341-CT'!$H$9=H2848,OR(LEFT(N2848,3)=$W$7,LEFT(O2848,3)=$W$7)),"x","")</f>
        <v/>
      </c>
      <c r="X2848" s="79" t="str">
        <f>IF(OR(TH!N2848=TH!$X$7,O2848=TH!$X$7),"x","")</f>
        <v/>
      </c>
      <c r="Y2848" s="79" t="str">
        <f>IF(AND(OR(N2848="131",O2848="131"),H2848='131-CT'!$H$9),"x","")</f>
        <v/>
      </c>
      <c r="Z2848" s="79"/>
      <c r="AA2848" s="79" t="str">
        <f>IF(AND(MONTH(E2848)='IN-NX'!$J$5,'IN-NX'!$D$7=D2848),"x","")</f>
        <v/>
      </c>
      <c r="AB2848" s="79" t="str">
        <f>IF(AND(OR(LEFT(TH!N2848,2)="15",LEFT(TH!O2848,2)="15"),LEFT(TH!O2848,3)&lt;&gt;"111",'152-CT'!$J$8=TH!F2848),"x","")</f>
        <v/>
      </c>
      <c r="AC2848" s="79" t="str">
        <f>IF(AND(OR(LEFT(TH!N2848,2)="15",LEFT(TH!O2848,2)="15"),TK!$E$7=TH!F2848),"x","")</f>
        <v/>
      </c>
      <c r="AD2848" s="79" t="str">
        <f>IF(AND(N2848="1521",MONTH(C2848)='BK-NL'!$M$11),"x","")</f>
        <v/>
      </c>
    </row>
    <row r="2849" spans="1:30" ht="16.5" customHeight="1">
      <c r="A2849" s="318" t="str">
        <f>IF(B2849&lt;&gt;"",IF(AND(B2849='IN-TC'!$S$4,OR(TH!N2849="1111",TH!O2849="1111")),TH!D2849,""),"")</f>
        <v/>
      </c>
      <c r="B2849" s="60" t="str">
        <f t="shared" si="323"/>
        <v/>
      </c>
      <c r="C2849" s="61"/>
      <c r="D2849" s="61"/>
      <c r="E2849" s="61"/>
      <c r="F2849" s="64"/>
      <c r="G2849" s="766"/>
      <c r="H2849" s="69"/>
      <c r="I2849" s="387"/>
      <c r="J2849" s="395"/>
      <c r="K2849" s="387"/>
      <c r="L2849" s="394"/>
      <c r="M2849" s="62"/>
      <c r="N2849" s="63"/>
      <c r="O2849" s="63"/>
      <c r="P2849" s="79" t="str">
        <f>IF(AND('331-CT'!$E$7=TH!H2849,OR(N2849="331",O2849="331")),"x","")</f>
        <v/>
      </c>
      <c r="Q2849" s="79" t="str">
        <f>IF(AND(B2849='111'!$L$11,OR($N2849=$Q$7,$O2849=$Q$7)),"x","")</f>
        <v/>
      </c>
      <c r="R2849" s="79" t="str">
        <f>IF(AND($N2849=$Q$7,$B2849&lt;'111'!$L$11),"x","")</f>
        <v/>
      </c>
      <c r="S2849" s="79" t="str">
        <f>IF(AND($O2849=$Q$7,$B2849&lt;'111'!$L$11),"x","")</f>
        <v/>
      </c>
      <c r="T2849" s="79" t="str">
        <f>IF(ISERROR(FIND('112'!$M$9,G2849,1)),"",IF((AND(FIND('112'!$M$9,G2849,1)&gt;=1,B2849='112'!$K$9,OR($N2849='112'!$I$6,$O2849='112'!$I$6))),"x",""))</f>
        <v/>
      </c>
      <c r="U2849" s="79" t="str">
        <f>IF(ISERROR(FIND('112'!$M$9,G2849,1)),"",IF((AND(LEFT(G2849,2)=LEFT('112'!$M$9,2),B2849&lt;'112'!$K$9,$N2849='112'!$I$6)),"x",""))</f>
        <v/>
      </c>
      <c r="V2849" s="79" t="str">
        <f>IF(ISERROR(FIND('112'!$M$9,G2849,1)),"",IF((AND(RIGHT(G2849,2)=RIGHT('112'!$M$9,2),B2849&lt;'112'!$K$9,$O2849='112'!$I$6)),"x",""))</f>
        <v/>
      </c>
      <c r="W2849" s="79" t="str">
        <f>IF(AND('341-CT'!$H$9=H2849,OR(LEFT(N2849,3)=$W$7,LEFT(O2849,3)=$W$7)),"x","")</f>
        <v/>
      </c>
      <c r="X2849" s="79" t="str">
        <f>IF(OR(TH!N2849=TH!$X$7,O2849=TH!$X$7),"x","")</f>
        <v/>
      </c>
      <c r="Y2849" s="79" t="str">
        <f>IF(AND(OR(N2849="131",O2849="131"),H2849='131-CT'!$H$9),"x","")</f>
        <v/>
      </c>
      <c r="Z2849" s="79"/>
      <c r="AA2849" s="79" t="str">
        <f>IF(AND(MONTH(E2849)='IN-NX'!$J$5,'IN-NX'!$D$7=D2849),"x","")</f>
        <v/>
      </c>
      <c r="AB2849" s="79" t="str">
        <f>IF(AND(OR(LEFT(TH!N2849,2)="15",LEFT(TH!O2849,2)="15"),LEFT(TH!O2849,3)&lt;&gt;"111",'152-CT'!$J$8=TH!F2849),"x","")</f>
        <v/>
      </c>
      <c r="AC2849" s="79" t="str">
        <f>IF(AND(OR(LEFT(TH!N2849,2)="15",LEFT(TH!O2849,2)="15"),TK!$E$7=TH!F2849),"x","")</f>
        <v/>
      </c>
      <c r="AD2849" s="79" t="str">
        <f>IF(AND(N2849="1521",MONTH(C2849)='BK-NL'!$M$11),"x","")</f>
        <v/>
      </c>
    </row>
    <row r="2850" spans="1:30" ht="16.5" customHeight="1">
      <c r="A2850" s="318" t="str">
        <f>IF(B2850&lt;&gt;"",IF(AND(B2850='IN-TC'!$S$4,OR(TH!N2850="1111",TH!O2850="1111")),TH!D2850,""),"")</f>
        <v/>
      </c>
      <c r="B2850" s="60" t="str">
        <f t="shared" ref="B2850:B2851" si="324">IF(C2850&lt;&gt;"",MONTH(C2850),"")</f>
        <v/>
      </c>
      <c r="C2850" s="61"/>
      <c r="D2850" s="61"/>
      <c r="E2850" s="61"/>
      <c r="F2850" s="64"/>
      <c r="G2850" s="766"/>
      <c r="H2850" s="69"/>
      <c r="I2850" s="387"/>
      <c r="J2850" s="395"/>
      <c r="K2850" s="387"/>
      <c r="L2850" s="394"/>
      <c r="M2850" s="62"/>
      <c r="N2850" s="63"/>
      <c r="O2850" s="63"/>
      <c r="P2850" s="79" t="str">
        <f>IF(AND('331-CT'!$E$7=TH!H2850,OR(N2850="331",O2850="331")),"x","")</f>
        <v/>
      </c>
      <c r="Q2850" s="79" t="str">
        <f>IF(AND(B2850='111'!$L$11,OR($N2850=$Q$7,$O2850=$Q$7)),"x","")</f>
        <v/>
      </c>
      <c r="R2850" s="79" t="str">
        <f>IF(AND($N2850=$Q$7,$B2850&lt;'111'!$L$11),"x","")</f>
        <v/>
      </c>
      <c r="S2850" s="79" t="str">
        <f>IF(AND($O2850=$Q$7,$B2850&lt;'111'!$L$11),"x","")</f>
        <v/>
      </c>
      <c r="T2850" s="79" t="str">
        <f>IF(ISERROR(FIND('112'!$M$9,G2850,1)),"",IF((AND(FIND('112'!$M$9,G2850,1)&gt;=1,B2850='112'!$K$9,OR($N2850='112'!$I$6,$O2850='112'!$I$6))),"x",""))</f>
        <v/>
      </c>
      <c r="U2850" s="79" t="str">
        <f>IF(ISERROR(FIND('112'!$M$9,G2850,1)),"",IF((AND(LEFT(G2850,2)=LEFT('112'!$M$9,2),B2850&lt;'112'!$K$9,$N2850='112'!$I$6)),"x",""))</f>
        <v/>
      </c>
      <c r="V2850" s="79" t="str">
        <f>IF(ISERROR(FIND('112'!$M$9,G2850,1)),"",IF((AND(RIGHT(G2850,2)=RIGHT('112'!$M$9,2),B2850&lt;'112'!$K$9,$O2850='112'!$I$6)),"x",""))</f>
        <v/>
      </c>
      <c r="W2850" s="79" t="str">
        <f>IF(AND('341-CT'!$H$9=H2850,OR(LEFT(N2850,3)=$W$7,LEFT(O2850,3)=$W$7)),"x","")</f>
        <v/>
      </c>
      <c r="X2850" s="79" t="str">
        <f>IF(OR(TH!N2850=TH!$X$7,O2850=TH!$X$7),"x","")</f>
        <v/>
      </c>
      <c r="Y2850" s="79" t="str">
        <f>IF(AND(OR(N2850="131",O2850="131"),H2850='131-CT'!$H$9),"x","")</f>
        <v/>
      </c>
      <c r="Z2850" s="79"/>
      <c r="AA2850" s="79" t="str">
        <f>IF(AND(MONTH(E2850)='IN-NX'!$J$5,'IN-NX'!$D$7=D2850),"x","")</f>
        <v/>
      </c>
      <c r="AB2850" s="79" t="str">
        <f>IF(AND(OR(LEFT(TH!N2850,2)="15",LEFT(TH!O2850,2)="15"),LEFT(TH!O2850,3)&lt;&gt;"111",'152-CT'!$J$8=TH!F2850),"x","")</f>
        <v/>
      </c>
      <c r="AC2850" s="79" t="str">
        <f>IF(AND(OR(LEFT(TH!N2850,2)="15",LEFT(TH!O2850,2)="15"),TK!$E$7=TH!F2850),"x","")</f>
        <v/>
      </c>
      <c r="AD2850" s="79" t="str">
        <f>IF(AND(N2850="1521",MONTH(C2850)='BK-NL'!$M$11),"x","")</f>
        <v/>
      </c>
    </row>
    <row r="2851" spans="1:30" ht="16.5" customHeight="1">
      <c r="A2851" s="318" t="str">
        <f>IF(B2851&lt;&gt;"",IF(AND(B2851='IN-TC'!$S$4,OR(TH!N2851="1111",TH!O2851="1111")),TH!D2851,""),"")</f>
        <v/>
      </c>
      <c r="B2851" s="60" t="str">
        <f t="shared" si="324"/>
        <v/>
      </c>
      <c r="C2851" s="61"/>
      <c r="D2851" s="61"/>
      <c r="E2851" s="61"/>
      <c r="F2851" s="64"/>
      <c r="G2851" s="766"/>
      <c r="H2851" s="69"/>
      <c r="I2851" s="387"/>
      <c r="J2851" s="395"/>
      <c r="K2851" s="387"/>
      <c r="L2851" s="394"/>
      <c r="M2851" s="62"/>
      <c r="N2851" s="63"/>
      <c r="O2851" s="63"/>
      <c r="P2851" s="79" t="str">
        <f>IF(AND('331-CT'!$E$7=TH!H2851,OR(N2851="331",O2851="331")),"x","")</f>
        <v/>
      </c>
      <c r="Q2851" s="79" t="str">
        <f>IF(AND(B2851='111'!$L$11,OR($N2851=$Q$7,$O2851=$Q$7)),"x","")</f>
        <v/>
      </c>
      <c r="R2851" s="79" t="str">
        <f>IF(AND($N2851=$Q$7,$B2851&lt;'111'!$L$11),"x","")</f>
        <v/>
      </c>
      <c r="S2851" s="79" t="str">
        <f>IF(AND($O2851=$Q$7,$B2851&lt;'111'!$L$11),"x","")</f>
        <v/>
      </c>
      <c r="T2851" s="79" t="str">
        <f>IF(ISERROR(FIND('112'!$M$9,G2851,1)),"",IF((AND(FIND('112'!$M$9,G2851,1)&gt;=1,B2851='112'!$K$9,OR($N2851='112'!$I$6,$O2851='112'!$I$6))),"x",""))</f>
        <v/>
      </c>
      <c r="U2851" s="79" t="str">
        <f>IF(ISERROR(FIND('112'!$M$9,G2851,1)),"",IF((AND(LEFT(G2851,2)=LEFT('112'!$M$9,2),B2851&lt;'112'!$K$9,$N2851='112'!$I$6)),"x",""))</f>
        <v/>
      </c>
      <c r="V2851" s="79" t="str">
        <f>IF(ISERROR(FIND('112'!$M$9,G2851,1)),"",IF((AND(RIGHT(G2851,2)=RIGHT('112'!$M$9,2),B2851&lt;'112'!$K$9,$O2851='112'!$I$6)),"x",""))</f>
        <v/>
      </c>
      <c r="W2851" s="79" t="str">
        <f>IF(AND('341-CT'!$H$9=H2851,OR(LEFT(N2851,3)=$W$7,LEFT(O2851,3)=$W$7)),"x","")</f>
        <v/>
      </c>
      <c r="X2851" s="79" t="str">
        <f>IF(OR(TH!N2851=TH!$X$7,O2851=TH!$X$7),"x","")</f>
        <v/>
      </c>
      <c r="Y2851" s="79" t="str">
        <f>IF(AND(OR(N2851="131",O2851="131"),H2851='131-CT'!$H$9),"x","")</f>
        <v/>
      </c>
      <c r="Z2851" s="79"/>
      <c r="AA2851" s="79" t="str">
        <f>IF(AND(MONTH(E2851)='IN-NX'!$J$5,'IN-NX'!$D$7=D2851),"x","")</f>
        <v/>
      </c>
      <c r="AB2851" s="79" t="str">
        <f>IF(AND(OR(LEFT(TH!N2851,2)="15",LEFT(TH!O2851,2)="15"),LEFT(TH!O2851,3)&lt;&gt;"111",'152-CT'!$J$8=TH!F2851),"x","")</f>
        <v/>
      </c>
      <c r="AC2851" s="79" t="str">
        <f>IF(AND(OR(LEFT(TH!N2851,2)="15",LEFT(TH!O2851,2)="15"),TK!$E$7=TH!F2851),"x","")</f>
        <v/>
      </c>
      <c r="AD2851" s="79" t="str">
        <f>IF(AND(N2851="1521",MONTH(C2851)='BK-NL'!$M$11),"x","")</f>
        <v/>
      </c>
    </row>
    <row r="2852" spans="1:30" ht="16.5" customHeight="1">
      <c r="A2852" s="318" t="str">
        <f>IF(B2852&lt;&gt;"",IF(AND(B2852='IN-TC'!$S$4,OR(TH!N2852="1111",TH!O2852="1111")),TH!D2852,""),"")</f>
        <v/>
      </c>
      <c r="B2852" s="60" t="str">
        <f t="shared" si="321"/>
        <v/>
      </c>
      <c r="C2852" s="61"/>
      <c r="D2852" s="61"/>
      <c r="E2852" s="61"/>
      <c r="F2852" s="64"/>
      <c r="G2852" s="766"/>
      <c r="H2852" s="69"/>
      <c r="I2852" s="387"/>
      <c r="J2852" s="395"/>
      <c r="K2852" s="387"/>
      <c r="L2852" s="394"/>
      <c r="M2852" s="62"/>
      <c r="N2852" s="63"/>
      <c r="O2852" s="63"/>
      <c r="P2852" s="79" t="str">
        <f>IF(AND('331-CT'!$E$7=TH!H2852,OR(N2852="331",O2852="331")),"x","")</f>
        <v/>
      </c>
      <c r="Q2852" s="79" t="str">
        <f>IF(AND(B2852='111'!$L$11,OR($N2852=$Q$7,$O2852=$Q$7)),"x","")</f>
        <v/>
      </c>
      <c r="R2852" s="79" t="str">
        <f>IF(AND($N2852=$Q$7,$B2852&lt;'111'!$L$11),"x","")</f>
        <v/>
      </c>
      <c r="S2852" s="79" t="str">
        <f>IF(AND($O2852=$Q$7,$B2852&lt;'111'!$L$11),"x","")</f>
        <v/>
      </c>
      <c r="T2852" s="79" t="str">
        <f>IF(ISERROR(FIND('112'!$M$9,G2852,1)),"",IF((AND(FIND('112'!$M$9,G2852,1)&gt;=1,B2852='112'!$K$9,OR($N2852='112'!$I$6,$O2852='112'!$I$6))),"x",""))</f>
        <v/>
      </c>
      <c r="U2852" s="79" t="str">
        <f>IF(ISERROR(FIND('112'!$M$9,G2852,1)),"",IF((AND(LEFT(G2852,2)=LEFT('112'!$M$9,2),B2852&lt;'112'!$K$9,$N2852='112'!$I$6)),"x",""))</f>
        <v/>
      </c>
      <c r="V2852" s="79" t="str">
        <f>IF(ISERROR(FIND('112'!$M$9,G2852,1)),"",IF((AND(RIGHT(G2852,2)=RIGHT('112'!$M$9,2),B2852&lt;'112'!$K$9,$O2852='112'!$I$6)),"x",""))</f>
        <v/>
      </c>
      <c r="W2852" s="79" t="str">
        <f>IF(AND('341-CT'!$H$9=H2852,OR(LEFT(N2852,3)=$W$7,LEFT(O2852,3)=$W$7)),"x","")</f>
        <v/>
      </c>
      <c r="X2852" s="79" t="str">
        <f>IF(OR(TH!N2852=TH!$X$7,O2852=TH!$X$7),"x","")</f>
        <v/>
      </c>
      <c r="Y2852" s="79" t="str">
        <f>IF(AND(OR(N2852="131",O2852="131"),H2852='131-CT'!$H$9),"x","")</f>
        <v/>
      </c>
      <c r="Z2852" s="79"/>
      <c r="AA2852" s="79" t="str">
        <f>IF(AND(MONTH(E2852)='IN-NX'!$J$5,'IN-NX'!$D$7=D2852),"x","")</f>
        <v/>
      </c>
      <c r="AB2852" s="79" t="str">
        <f>IF(AND(OR(LEFT(TH!N2852,2)="15",LEFT(TH!O2852,2)="15"),LEFT(TH!O2852,3)&lt;&gt;"111",'152-CT'!$J$8=TH!F2852),"x","")</f>
        <v/>
      </c>
      <c r="AC2852" s="79" t="str">
        <f>IF(AND(OR(LEFT(TH!N2852,2)="15",LEFT(TH!O2852,2)="15"),TK!$E$7=TH!F2852),"x","")</f>
        <v/>
      </c>
      <c r="AD2852" s="79" t="str">
        <f>IF(AND(N2852="1521",MONTH(C2852)='BK-NL'!$M$11),"x","")</f>
        <v/>
      </c>
    </row>
    <row r="2853" spans="1:30" ht="16.5" customHeight="1">
      <c r="A2853" s="318" t="str">
        <f>IF(B2853&lt;&gt;"",IF(AND(B2853='IN-TC'!$S$4,OR(TH!N2853="1111",TH!O2853="1111")),TH!D2853,""),"")</f>
        <v/>
      </c>
      <c r="B2853" s="60" t="str">
        <f t="shared" si="321"/>
        <v/>
      </c>
      <c r="C2853" s="61"/>
      <c r="D2853" s="61"/>
      <c r="E2853" s="61"/>
      <c r="F2853" s="64"/>
      <c r="G2853" s="766"/>
      <c r="H2853" s="69"/>
      <c r="I2853" s="387"/>
      <c r="J2853" s="395"/>
      <c r="K2853" s="387"/>
      <c r="L2853" s="394"/>
      <c r="M2853" s="62"/>
      <c r="N2853" s="63"/>
      <c r="O2853" s="63"/>
      <c r="P2853" s="79" t="str">
        <f>IF(AND('331-CT'!$E$7=TH!H2853,OR(N2853="331",O2853="331")),"x","")</f>
        <v/>
      </c>
      <c r="Q2853" s="79" t="str">
        <f>IF(AND(B2853='111'!$L$11,OR($N2853=$Q$7,$O2853=$Q$7)),"x","")</f>
        <v/>
      </c>
      <c r="R2853" s="79" t="str">
        <f>IF(AND($N2853=$Q$7,$B2853&lt;'111'!$L$11),"x","")</f>
        <v/>
      </c>
      <c r="S2853" s="79" t="str">
        <f>IF(AND($O2853=$Q$7,$B2853&lt;'111'!$L$11),"x","")</f>
        <v/>
      </c>
      <c r="T2853" s="79" t="str">
        <f>IF(ISERROR(FIND('112'!$M$9,G2853,1)),"",IF((AND(FIND('112'!$M$9,G2853,1)&gt;=1,B2853='112'!$K$9,OR($N2853='112'!$I$6,$O2853='112'!$I$6))),"x",""))</f>
        <v/>
      </c>
      <c r="U2853" s="79" t="str">
        <f>IF(ISERROR(FIND('112'!$M$9,G2853,1)),"",IF((AND(LEFT(G2853,2)=LEFT('112'!$M$9,2),B2853&lt;'112'!$K$9,$N2853='112'!$I$6)),"x",""))</f>
        <v/>
      </c>
      <c r="V2853" s="79" t="str">
        <f>IF(ISERROR(FIND('112'!$M$9,G2853,1)),"",IF((AND(RIGHT(G2853,2)=RIGHT('112'!$M$9,2),B2853&lt;'112'!$K$9,$O2853='112'!$I$6)),"x",""))</f>
        <v/>
      </c>
      <c r="W2853" s="79" t="str">
        <f>IF(AND('341-CT'!$H$9=H2853,OR(LEFT(N2853,3)=$W$7,LEFT(O2853,3)=$W$7)),"x","")</f>
        <v/>
      </c>
      <c r="X2853" s="79" t="str">
        <f>IF(OR(TH!N2853=TH!$X$7,O2853=TH!$X$7),"x","")</f>
        <v/>
      </c>
      <c r="Y2853" s="79" t="str">
        <f>IF(AND(OR(N2853="131",O2853="131"),H2853='131-CT'!$H$9),"x","")</f>
        <v/>
      </c>
      <c r="Z2853" s="79"/>
      <c r="AA2853" s="79" t="str">
        <f>IF(AND(MONTH(E2853)='IN-NX'!$J$5,'IN-NX'!$D$7=D2853),"x","")</f>
        <v/>
      </c>
      <c r="AB2853" s="79" t="str">
        <f>IF(AND(OR(LEFT(TH!N2853,2)="15",LEFT(TH!O2853,2)="15"),LEFT(TH!O2853,3)&lt;&gt;"111",'152-CT'!$J$8=TH!F2853),"x","")</f>
        <v/>
      </c>
      <c r="AC2853" s="79" t="str">
        <f>IF(AND(OR(LEFT(TH!N2853,2)="15",LEFT(TH!O2853,2)="15"),TK!$E$7=TH!F2853),"x","")</f>
        <v/>
      </c>
      <c r="AD2853" s="79" t="str">
        <f>IF(AND(N2853="1521",MONTH(C2853)='BK-NL'!$M$11),"x","")</f>
        <v/>
      </c>
    </row>
    <row r="2854" spans="1:30" ht="16.5" customHeight="1">
      <c r="A2854" s="318" t="str">
        <f>IF(B2854&lt;&gt;"",IF(AND(B2854='IN-TC'!$S$4,OR(TH!N2854="1111",TH!O2854="1111")),TH!D2854,""),"")</f>
        <v/>
      </c>
      <c r="B2854" s="60" t="str">
        <f t="shared" ref="B2854" si="325">IF(C2854&lt;&gt;"",MONTH(C2854),"")</f>
        <v/>
      </c>
      <c r="C2854" s="61"/>
      <c r="D2854" s="61"/>
      <c r="E2854" s="61"/>
      <c r="F2854" s="64"/>
      <c r="G2854" s="766"/>
      <c r="H2854" s="69"/>
      <c r="I2854" s="387"/>
      <c r="J2854" s="395"/>
      <c r="K2854" s="387"/>
      <c r="L2854" s="394"/>
      <c r="M2854" s="62"/>
      <c r="N2854" s="63"/>
      <c r="O2854" s="63"/>
      <c r="P2854" s="79" t="str">
        <f>IF(AND('331-CT'!$E$7=TH!H2854,OR(N2854="331",O2854="331")),"x","")</f>
        <v/>
      </c>
      <c r="Q2854" s="79" t="str">
        <f>IF(AND(B2854='111'!$L$11,OR($N2854=$Q$7,$O2854=$Q$7)),"x","")</f>
        <v/>
      </c>
      <c r="R2854" s="79" t="str">
        <f>IF(AND($N2854=$Q$7,$B2854&lt;'111'!$L$11),"x","")</f>
        <v/>
      </c>
      <c r="S2854" s="79" t="str">
        <f>IF(AND($O2854=$Q$7,$B2854&lt;'111'!$L$11),"x","")</f>
        <v/>
      </c>
      <c r="T2854" s="79" t="str">
        <f>IF(ISERROR(FIND('112'!$M$9,G2854,1)),"",IF((AND(FIND('112'!$M$9,G2854,1)&gt;=1,B2854='112'!$K$9,OR($N2854='112'!$I$6,$O2854='112'!$I$6))),"x",""))</f>
        <v/>
      </c>
      <c r="U2854" s="79" t="str">
        <f>IF(ISERROR(FIND('112'!$M$9,G2854,1)),"",IF((AND(LEFT(G2854,2)=LEFT('112'!$M$9,2),B2854&lt;'112'!$K$9,$N2854='112'!$I$6)),"x",""))</f>
        <v/>
      </c>
      <c r="V2854" s="79" t="str">
        <f>IF(ISERROR(FIND('112'!$M$9,G2854,1)),"",IF((AND(RIGHT(G2854,2)=RIGHT('112'!$M$9,2),B2854&lt;'112'!$K$9,$O2854='112'!$I$6)),"x",""))</f>
        <v/>
      </c>
      <c r="W2854" s="79" t="str">
        <f>IF(AND('341-CT'!$H$9=H2854,OR(LEFT(N2854,3)=$W$7,LEFT(O2854,3)=$W$7)),"x","")</f>
        <v/>
      </c>
      <c r="X2854" s="79" t="str">
        <f>IF(OR(TH!N2854=TH!$X$7,O2854=TH!$X$7),"x","")</f>
        <v/>
      </c>
      <c r="Y2854" s="79" t="str">
        <f>IF(AND(OR(N2854="131",O2854="131"),H2854='131-CT'!$H$9),"x","")</f>
        <v/>
      </c>
      <c r="Z2854" s="79"/>
      <c r="AA2854" s="79" t="str">
        <f>IF(AND(MONTH(E2854)='IN-NX'!$J$5,'IN-NX'!$D$7=D2854),"x","")</f>
        <v/>
      </c>
      <c r="AB2854" s="79" t="str">
        <f>IF(AND(OR(LEFT(TH!N2854,2)="15",LEFT(TH!O2854,2)="15"),LEFT(TH!O2854,3)&lt;&gt;"111",'152-CT'!$J$8=TH!F2854),"x","")</f>
        <v/>
      </c>
      <c r="AC2854" s="79" t="str">
        <f>IF(AND(OR(LEFT(TH!N2854,2)="15",LEFT(TH!O2854,2)="15"),TK!$E$7=TH!F2854),"x","")</f>
        <v/>
      </c>
      <c r="AD2854" s="79" t="str">
        <f>IF(AND(N2854="1521",MONTH(C2854)='BK-NL'!$M$11),"x","")</f>
        <v/>
      </c>
    </row>
    <row r="2855" spans="1:30" ht="16.5" customHeight="1">
      <c r="A2855" s="318" t="str">
        <f>IF(B2855&lt;&gt;"",IF(AND(B2855='IN-TC'!$S$4,OR(TH!N2855="1111",TH!O2855="1111")),TH!D2855,""),"")</f>
        <v/>
      </c>
      <c r="B2855" s="60" t="str">
        <f t="shared" ref="B2855" si="326">IF(C2855&lt;&gt;"",MONTH(C2855),"")</f>
        <v/>
      </c>
      <c r="C2855" s="61"/>
      <c r="D2855" s="61"/>
      <c r="E2855" s="61"/>
      <c r="F2855" s="64"/>
      <c r="G2855" s="766"/>
      <c r="H2855" s="69"/>
      <c r="I2855" s="387"/>
      <c r="J2855" s="395"/>
      <c r="K2855" s="387"/>
      <c r="L2855" s="394"/>
      <c r="M2855" s="62"/>
      <c r="N2855" s="63"/>
      <c r="O2855" s="63"/>
      <c r="P2855" s="79" t="str">
        <f>IF(AND('331-CT'!$E$7=TH!H2855,OR(N2855="331",O2855="331")),"x","")</f>
        <v/>
      </c>
      <c r="Q2855" s="79" t="str">
        <f>IF(AND(B2855='111'!$L$11,OR($N2855=$Q$7,$O2855=$Q$7)),"x","")</f>
        <v/>
      </c>
      <c r="R2855" s="79" t="str">
        <f>IF(AND($N2855=$Q$7,$B2855&lt;'111'!$L$11),"x","")</f>
        <v/>
      </c>
      <c r="S2855" s="79" t="str">
        <f>IF(AND($O2855=$Q$7,$B2855&lt;'111'!$L$11),"x","")</f>
        <v/>
      </c>
      <c r="T2855" s="79" t="str">
        <f>IF(ISERROR(FIND('112'!$M$9,G2855,1)),"",IF((AND(FIND('112'!$M$9,G2855,1)&gt;=1,B2855='112'!$K$9,OR($N2855='112'!$I$6,$O2855='112'!$I$6))),"x",""))</f>
        <v/>
      </c>
      <c r="U2855" s="79" t="str">
        <f>IF(ISERROR(FIND('112'!$M$9,G2855,1)),"",IF((AND(LEFT(G2855,2)=LEFT('112'!$M$9,2),B2855&lt;'112'!$K$9,$N2855='112'!$I$6)),"x",""))</f>
        <v/>
      </c>
      <c r="V2855" s="79" t="str">
        <f>IF(ISERROR(FIND('112'!$M$9,G2855,1)),"",IF((AND(RIGHT(G2855,2)=RIGHT('112'!$M$9,2),B2855&lt;'112'!$K$9,$O2855='112'!$I$6)),"x",""))</f>
        <v/>
      </c>
      <c r="W2855" s="79" t="str">
        <f>IF(AND('341-CT'!$H$9=H2855,OR(LEFT(N2855,3)=$W$7,LEFT(O2855,3)=$W$7)),"x","")</f>
        <v/>
      </c>
      <c r="X2855" s="79" t="str">
        <f>IF(OR(TH!N2855=TH!$X$7,O2855=TH!$X$7),"x","")</f>
        <v/>
      </c>
      <c r="Y2855" s="79" t="str">
        <f>IF(AND(OR(N2855="131",O2855="131"),H2855='131-CT'!$H$9),"x","")</f>
        <v/>
      </c>
      <c r="Z2855" s="79"/>
      <c r="AA2855" s="79" t="str">
        <f>IF(AND(MONTH(E2855)='IN-NX'!$J$5,'IN-NX'!$D$7=D2855),"x","")</f>
        <v/>
      </c>
      <c r="AB2855" s="79" t="str">
        <f>IF(AND(OR(LEFT(TH!N2855,2)="15",LEFT(TH!O2855,2)="15"),LEFT(TH!O2855,3)&lt;&gt;"111",'152-CT'!$J$8=TH!F2855),"x","")</f>
        <v/>
      </c>
      <c r="AC2855" s="79" t="str">
        <f>IF(AND(OR(LEFT(TH!N2855,2)="15",LEFT(TH!O2855,2)="15"),TK!$E$7=TH!F2855),"x","")</f>
        <v/>
      </c>
      <c r="AD2855" s="79" t="str">
        <f>IF(AND(N2855="1521",MONTH(C2855)='BK-NL'!$M$11),"x","")</f>
        <v/>
      </c>
    </row>
    <row r="2856" spans="1:30" ht="16.5" customHeight="1">
      <c r="A2856" s="318" t="str">
        <f>IF(B2856&lt;&gt;"",IF(AND(B2856='IN-TC'!$S$4,OR(TH!N2856="1111",TH!O2856="1111")),TH!D2856,""),"")</f>
        <v/>
      </c>
      <c r="B2856" s="60" t="str">
        <f t="shared" ref="B2856:B2862" si="327">IF(C2856&lt;&gt;"",MONTH(C2856),"")</f>
        <v/>
      </c>
      <c r="C2856" s="61"/>
      <c r="D2856" s="61"/>
      <c r="E2856" s="61"/>
      <c r="F2856" s="64"/>
      <c r="G2856" s="64"/>
      <c r="H2856" s="69"/>
      <c r="I2856" s="387"/>
      <c r="J2856" s="395"/>
      <c r="K2856" s="387"/>
      <c r="L2856" s="394"/>
      <c r="M2856" s="62"/>
      <c r="N2856" s="63"/>
      <c r="O2856" s="63"/>
      <c r="P2856" s="79" t="str">
        <f>IF(AND('331-CT'!$E$7=TH!H2856,OR(N2856="331",O2856="331")),"x","")</f>
        <v/>
      </c>
      <c r="Q2856" s="79" t="str">
        <f>IF(AND(B2856='111'!$L$11,OR($N2856=$Q$7,$O2856=$Q$7)),"x","")</f>
        <v/>
      </c>
      <c r="R2856" s="79" t="str">
        <f>IF(AND($N2856=$Q$7,$B2856&lt;'111'!$L$11),"x","")</f>
        <v/>
      </c>
      <c r="S2856" s="79" t="str">
        <f>IF(AND($O2856=$Q$7,$B2856&lt;'111'!$L$11),"x","")</f>
        <v/>
      </c>
      <c r="T2856" s="79" t="str">
        <f>IF(ISERROR(FIND('112'!$M$9,G2856,1)),"",IF((AND(FIND('112'!$M$9,G2856,1)&gt;=1,B2856='112'!$K$9,OR($N2856='112'!$I$6,$O2856='112'!$I$6))),"x",""))</f>
        <v/>
      </c>
      <c r="U2856" s="79" t="str">
        <f>IF(ISERROR(FIND('112'!$M$9,G2856,1)),"",IF((AND(LEFT(G2856,2)=LEFT('112'!$M$9,2),B2856&lt;'112'!$K$9,$N2856='112'!$I$6)),"x",""))</f>
        <v/>
      </c>
      <c r="V2856" s="79" t="str">
        <f>IF(ISERROR(FIND('112'!$M$9,G2856,1)),"",IF((AND(RIGHT(G2856,2)=RIGHT('112'!$M$9,2),B2856&lt;'112'!$K$9,$O2856='112'!$I$6)),"x",""))</f>
        <v/>
      </c>
      <c r="W2856" s="79" t="str">
        <f>IF(AND('341-CT'!$H$9=H2856,OR(LEFT(N2856,3)=$W$7,LEFT(O2856,3)=$W$7)),"x","")</f>
        <v/>
      </c>
      <c r="X2856" s="79" t="str">
        <f>IF(OR(TH!N2856=TH!$X$7,O2856=TH!$X$7),"x","")</f>
        <v/>
      </c>
      <c r="Y2856" s="79" t="str">
        <f>IF(AND(OR(N2856="131",O2856="131"),H2856='131-CT'!$H$9),"x","")</f>
        <v/>
      </c>
      <c r="Z2856" s="79"/>
      <c r="AA2856" s="79" t="str">
        <f>IF(AND(MONTH(E2856)='IN-NX'!$J$5,'IN-NX'!$D$7=D2856),"x","")</f>
        <v/>
      </c>
      <c r="AB2856" s="79" t="str">
        <f>IF(AND(OR(LEFT(TH!N2856,2)="15",LEFT(TH!O2856,2)="15"),LEFT(TH!O2856,3)&lt;&gt;"111",'152-CT'!$J$8=TH!F2856),"x","")</f>
        <v/>
      </c>
      <c r="AC2856" s="79" t="str">
        <f>IF(AND(OR(LEFT(TH!N2856,2)="15",LEFT(TH!O2856,2)="15"),TK!$E$7=TH!F2856),"x","")</f>
        <v/>
      </c>
      <c r="AD2856" s="79" t="str">
        <f>IF(AND(N2856="1521",MONTH(C2856)='BK-NL'!$M$11),"x","")</f>
        <v/>
      </c>
    </row>
    <row r="2857" spans="1:30" ht="16.5" customHeight="1">
      <c r="A2857" s="318" t="str">
        <f>IF(B2857&lt;&gt;"",IF(AND(B2857='IN-TC'!$S$4,OR(TH!N2857="1111",TH!O2857="1111")),TH!D2857,""),"")</f>
        <v/>
      </c>
      <c r="B2857" s="60" t="str">
        <f t="shared" si="327"/>
        <v/>
      </c>
      <c r="C2857" s="61"/>
      <c r="D2857" s="61"/>
      <c r="E2857" s="61"/>
      <c r="F2857" s="64"/>
      <c r="G2857" s="64"/>
      <c r="H2857" s="69"/>
      <c r="I2857" s="387"/>
      <c r="J2857" s="395"/>
      <c r="K2857" s="387"/>
      <c r="L2857" s="394"/>
      <c r="M2857" s="62"/>
      <c r="N2857" s="63"/>
      <c r="O2857" s="63"/>
      <c r="P2857" s="79" t="str">
        <f>IF(AND('331-CT'!$E$7=TH!H2857,OR(N2857="331",O2857="331")),"x","")</f>
        <v/>
      </c>
      <c r="Q2857" s="79" t="str">
        <f>IF(AND(B2857='111'!$L$11,OR($N2857=$Q$7,$O2857=$Q$7)),"x","")</f>
        <v/>
      </c>
      <c r="R2857" s="79" t="str">
        <f>IF(AND($N2857=$Q$7,$B2857&lt;'111'!$L$11),"x","")</f>
        <v/>
      </c>
      <c r="S2857" s="79" t="str">
        <f>IF(AND($O2857=$Q$7,$B2857&lt;'111'!$L$11),"x","")</f>
        <v/>
      </c>
      <c r="T2857" s="79" t="str">
        <f>IF(ISERROR(FIND('112'!$M$9,G2857,1)),"",IF((AND(FIND('112'!$M$9,G2857,1)&gt;=1,B2857='112'!$K$9,OR($N2857='112'!$I$6,$O2857='112'!$I$6))),"x",""))</f>
        <v/>
      </c>
      <c r="U2857" s="79" t="str">
        <f>IF(ISERROR(FIND('112'!$M$9,G2857,1)),"",IF((AND(LEFT(G2857,2)=LEFT('112'!$M$9,2),B2857&lt;'112'!$K$9,$N2857='112'!$I$6)),"x",""))</f>
        <v/>
      </c>
      <c r="V2857" s="79" t="str">
        <f>IF(ISERROR(FIND('112'!$M$9,G2857,1)),"",IF((AND(RIGHT(G2857,2)=RIGHT('112'!$M$9,2),B2857&lt;'112'!$K$9,$O2857='112'!$I$6)),"x",""))</f>
        <v/>
      </c>
      <c r="W2857" s="79" t="str">
        <f>IF(AND('341-CT'!$H$9=H2857,OR(LEFT(N2857,3)=$W$7,LEFT(O2857,3)=$W$7)),"x","")</f>
        <v/>
      </c>
      <c r="X2857" s="79" t="str">
        <f>IF(OR(TH!N2857=TH!$X$7,O2857=TH!$X$7),"x","")</f>
        <v/>
      </c>
      <c r="Y2857" s="79" t="str">
        <f>IF(AND(OR(N2857="131",O2857="131"),H2857='131-CT'!$H$9),"x","")</f>
        <v/>
      </c>
      <c r="Z2857" s="79"/>
      <c r="AA2857" s="79" t="str">
        <f>IF(AND(MONTH(E2857)='IN-NX'!$J$5,'IN-NX'!$D$7=D2857),"x","")</f>
        <v/>
      </c>
      <c r="AB2857" s="79" t="str">
        <f>IF(AND(OR(LEFT(TH!N2857,2)="15",LEFT(TH!O2857,2)="15"),LEFT(TH!O2857,3)&lt;&gt;"111",'152-CT'!$J$8=TH!F2857),"x","")</f>
        <v/>
      </c>
      <c r="AC2857" s="79" t="str">
        <f>IF(AND(OR(LEFT(TH!N2857,2)="15",LEFT(TH!O2857,2)="15"),TK!$E$7=TH!F2857),"x","")</f>
        <v/>
      </c>
      <c r="AD2857" s="79" t="str">
        <f>IF(AND(N2857="1521",MONTH(C2857)='BK-NL'!$M$11),"x","")</f>
        <v/>
      </c>
    </row>
    <row r="2858" spans="1:30" ht="16.5" customHeight="1">
      <c r="A2858" s="318" t="str">
        <f>IF(B2858&lt;&gt;"",IF(AND(B2858='IN-TC'!$S$4,OR(TH!N2858="1111",TH!O2858="1111")),TH!D2858,""),"")</f>
        <v/>
      </c>
      <c r="B2858" s="60" t="str">
        <f t="shared" si="327"/>
        <v/>
      </c>
      <c r="C2858" s="61"/>
      <c r="D2858" s="61"/>
      <c r="E2858" s="61"/>
      <c r="F2858" s="64"/>
      <c r="G2858" s="64"/>
      <c r="H2858" s="69"/>
      <c r="I2858" s="387"/>
      <c r="J2858" s="395"/>
      <c r="K2858" s="387"/>
      <c r="L2858" s="394"/>
      <c r="M2858" s="62"/>
      <c r="N2858" s="63"/>
      <c r="O2858" s="63"/>
      <c r="P2858" s="79" t="str">
        <f>IF(AND('331-CT'!$E$7=TH!H2858,OR(N2858="331",O2858="331")),"x","")</f>
        <v/>
      </c>
      <c r="Q2858" s="79" t="str">
        <f>IF(AND(B2858='111'!$L$11,OR($N2858=$Q$7,$O2858=$Q$7)),"x","")</f>
        <v/>
      </c>
      <c r="R2858" s="79" t="str">
        <f>IF(AND($N2858=$Q$7,$B2858&lt;'111'!$L$11),"x","")</f>
        <v/>
      </c>
      <c r="S2858" s="79" t="str">
        <f>IF(AND($O2858=$Q$7,$B2858&lt;'111'!$L$11),"x","")</f>
        <v/>
      </c>
      <c r="T2858" s="79" t="str">
        <f>IF(ISERROR(FIND('112'!$M$9,G2858,1)),"",IF((AND(FIND('112'!$M$9,G2858,1)&gt;=1,B2858='112'!$K$9,OR($N2858='112'!$I$6,$O2858='112'!$I$6))),"x",""))</f>
        <v/>
      </c>
      <c r="U2858" s="79" t="str">
        <f>IF(ISERROR(FIND('112'!$M$9,G2858,1)),"",IF((AND(LEFT(G2858,2)=LEFT('112'!$M$9,2),B2858&lt;'112'!$K$9,$N2858='112'!$I$6)),"x",""))</f>
        <v/>
      </c>
      <c r="V2858" s="79" t="str">
        <f>IF(ISERROR(FIND('112'!$M$9,G2858,1)),"",IF((AND(RIGHT(G2858,2)=RIGHT('112'!$M$9,2),B2858&lt;'112'!$K$9,$O2858='112'!$I$6)),"x",""))</f>
        <v/>
      </c>
      <c r="W2858" s="79" t="str">
        <f>IF(AND('341-CT'!$H$9=H2858,OR(LEFT(N2858,3)=$W$7,LEFT(O2858,3)=$W$7)),"x","")</f>
        <v/>
      </c>
      <c r="X2858" s="79" t="str">
        <f>IF(OR(TH!N2858=TH!$X$7,O2858=TH!$X$7),"x","")</f>
        <v/>
      </c>
      <c r="Y2858" s="79" t="str">
        <f>IF(AND(OR(N2858="131",O2858="131"),H2858='131-CT'!$H$9),"x","")</f>
        <v/>
      </c>
      <c r="Z2858" s="79"/>
      <c r="AA2858" s="79" t="str">
        <f>IF(AND(MONTH(E2858)='IN-NX'!$J$5,'IN-NX'!$D$7=D2858),"x","")</f>
        <v/>
      </c>
      <c r="AB2858" s="79" t="str">
        <f>IF(AND(OR(LEFT(TH!N2858,2)="15",LEFT(TH!O2858,2)="15"),LEFT(TH!O2858,3)&lt;&gt;"111",'152-CT'!$J$8=TH!F2858),"x","")</f>
        <v/>
      </c>
      <c r="AC2858" s="79" t="str">
        <f>IF(AND(OR(LEFT(TH!N2858,2)="15",LEFT(TH!O2858,2)="15"),TK!$E$7=TH!F2858),"x","")</f>
        <v/>
      </c>
      <c r="AD2858" s="79" t="str">
        <f>IF(AND(N2858="1521",MONTH(C2858)='BK-NL'!$M$11),"x","")</f>
        <v/>
      </c>
    </row>
    <row r="2859" spans="1:30" ht="16.5" customHeight="1">
      <c r="A2859" s="318" t="str">
        <f>IF(B2859&lt;&gt;"",IF(AND(B2859='IN-TC'!$S$4,OR(TH!N2859="1111",TH!O2859="1111")),TH!D2859,""),"")</f>
        <v/>
      </c>
      <c r="B2859" s="60" t="str">
        <f t="shared" si="327"/>
        <v/>
      </c>
      <c r="C2859" s="61"/>
      <c r="D2859" s="61"/>
      <c r="E2859" s="61"/>
      <c r="F2859" s="64"/>
      <c r="G2859" s="64"/>
      <c r="H2859" s="69"/>
      <c r="I2859" s="387"/>
      <c r="J2859" s="395"/>
      <c r="K2859" s="387"/>
      <c r="L2859" s="394"/>
      <c r="M2859" s="62"/>
      <c r="N2859" s="63"/>
      <c r="O2859" s="63"/>
      <c r="P2859" s="79" t="str">
        <f>IF(AND('331-CT'!$E$7=TH!H2859,OR(N2859="331",O2859="331")),"x","")</f>
        <v/>
      </c>
      <c r="Q2859" s="79" t="str">
        <f>IF(AND(B2859='111'!$L$11,OR($N2859=$Q$7,$O2859=$Q$7)),"x","")</f>
        <v/>
      </c>
      <c r="R2859" s="79" t="str">
        <f>IF(AND($N2859=$Q$7,$B2859&lt;'111'!$L$11),"x","")</f>
        <v/>
      </c>
      <c r="S2859" s="79" t="str">
        <f>IF(AND($O2859=$Q$7,$B2859&lt;'111'!$L$11),"x","")</f>
        <v/>
      </c>
      <c r="T2859" s="79" t="str">
        <f>IF(ISERROR(FIND('112'!$M$9,G2859,1)),"",IF((AND(FIND('112'!$M$9,G2859,1)&gt;=1,B2859='112'!$K$9,OR($N2859='112'!$I$6,$O2859='112'!$I$6))),"x",""))</f>
        <v/>
      </c>
      <c r="U2859" s="79" t="str">
        <f>IF(ISERROR(FIND('112'!$M$9,G2859,1)),"",IF((AND(LEFT(G2859,2)=LEFT('112'!$M$9,2),B2859&lt;'112'!$K$9,$N2859='112'!$I$6)),"x",""))</f>
        <v/>
      </c>
      <c r="V2859" s="79" t="str">
        <f>IF(ISERROR(FIND('112'!$M$9,G2859,1)),"",IF((AND(RIGHT(G2859,2)=RIGHT('112'!$M$9,2),B2859&lt;'112'!$K$9,$O2859='112'!$I$6)),"x",""))</f>
        <v/>
      </c>
      <c r="W2859" s="79" t="str">
        <f>IF(AND('341-CT'!$H$9=H2859,OR(LEFT(N2859,3)=$W$7,LEFT(O2859,3)=$W$7)),"x","")</f>
        <v/>
      </c>
      <c r="X2859" s="79" t="str">
        <f>IF(OR(TH!N2859=TH!$X$7,O2859=TH!$X$7),"x","")</f>
        <v/>
      </c>
      <c r="Y2859" s="79" t="str">
        <f>IF(AND(OR(N2859="131",O2859="131"),H2859='131-CT'!$H$9),"x","")</f>
        <v/>
      </c>
      <c r="Z2859" s="79"/>
      <c r="AA2859" s="79" t="str">
        <f>IF(AND(MONTH(E2859)='IN-NX'!$J$5,'IN-NX'!$D$7=D2859),"x","")</f>
        <v/>
      </c>
      <c r="AB2859" s="79" t="str">
        <f>IF(AND(OR(LEFT(TH!N2859,2)="15",LEFT(TH!O2859,2)="15"),LEFT(TH!O2859,3)&lt;&gt;"111",'152-CT'!$J$8=TH!F2859),"x","")</f>
        <v/>
      </c>
      <c r="AC2859" s="79" t="str">
        <f>IF(AND(OR(LEFT(TH!N2859,2)="15",LEFT(TH!O2859,2)="15"),TK!$E$7=TH!F2859),"x","")</f>
        <v/>
      </c>
      <c r="AD2859" s="79" t="str">
        <f>IF(AND(N2859="1521",MONTH(C2859)='BK-NL'!$M$11),"x","")</f>
        <v/>
      </c>
    </row>
    <row r="2860" spans="1:30" ht="16.5" customHeight="1">
      <c r="A2860" s="318" t="str">
        <f>IF(B2860&lt;&gt;"",IF(AND(B2860='IN-TC'!$S$4,OR(TH!N2860="1111",TH!O2860="1111")),TH!D2860,""),"")</f>
        <v/>
      </c>
      <c r="B2860" s="60" t="str">
        <f t="shared" si="327"/>
        <v/>
      </c>
      <c r="C2860" s="61"/>
      <c r="D2860" s="61"/>
      <c r="E2860" s="61"/>
      <c r="F2860" s="64"/>
      <c r="G2860" s="64"/>
      <c r="H2860" s="69"/>
      <c r="I2860" s="387"/>
      <c r="J2860" s="395"/>
      <c r="K2860" s="387"/>
      <c r="L2860" s="394"/>
      <c r="M2860" s="62"/>
      <c r="N2860" s="63"/>
      <c r="O2860" s="63"/>
      <c r="P2860" s="79" t="str">
        <f>IF(AND('331-CT'!$E$7=TH!H2860,OR(N2860="331",O2860="331")),"x","")</f>
        <v/>
      </c>
      <c r="Q2860" s="79" t="str">
        <f>IF(AND(B2860='111'!$L$11,OR($N2860=$Q$7,$O2860=$Q$7)),"x","")</f>
        <v/>
      </c>
      <c r="R2860" s="79" t="str">
        <f>IF(AND($N2860=$Q$7,$B2860&lt;'111'!$L$11),"x","")</f>
        <v/>
      </c>
      <c r="S2860" s="79" t="str">
        <f>IF(AND($O2860=$Q$7,$B2860&lt;'111'!$L$11),"x","")</f>
        <v/>
      </c>
      <c r="T2860" s="79" t="str">
        <f>IF(ISERROR(FIND('112'!$M$9,G2860,1)),"",IF((AND(FIND('112'!$M$9,G2860,1)&gt;=1,B2860='112'!$K$9,OR($N2860='112'!$I$6,$O2860='112'!$I$6))),"x",""))</f>
        <v/>
      </c>
      <c r="U2860" s="79" t="str">
        <f>IF(ISERROR(FIND('112'!$M$9,G2860,1)),"",IF((AND(LEFT(G2860,2)=LEFT('112'!$M$9,2),B2860&lt;'112'!$K$9,$N2860='112'!$I$6)),"x",""))</f>
        <v/>
      </c>
      <c r="V2860" s="79" t="str">
        <f>IF(ISERROR(FIND('112'!$M$9,G2860,1)),"",IF((AND(RIGHT(G2860,2)=RIGHT('112'!$M$9,2),B2860&lt;'112'!$K$9,$O2860='112'!$I$6)),"x",""))</f>
        <v/>
      </c>
      <c r="W2860" s="79" t="str">
        <f>IF(AND('341-CT'!$H$9=H2860,OR(LEFT(N2860,3)=$W$7,LEFT(O2860,3)=$W$7)),"x","")</f>
        <v/>
      </c>
      <c r="X2860" s="79" t="str">
        <f>IF(OR(TH!N2860=TH!$X$7,O2860=TH!$X$7),"x","")</f>
        <v/>
      </c>
      <c r="Y2860" s="79" t="str">
        <f>IF(AND(OR(N2860="131",O2860="131"),H2860='131-CT'!$H$9),"x","")</f>
        <v/>
      </c>
      <c r="Z2860" s="79"/>
      <c r="AA2860" s="79" t="str">
        <f>IF(AND(MONTH(E2860)='IN-NX'!$J$5,'IN-NX'!$D$7=D2860),"x","")</f>
        <v/>
      </c>
      <c r="AB2860" s="79" t="str">
        <f>IF(AND(OR(LEFT(TH!N2860,2)="15",LEFT(TH!O2860,2)="15"),LEFT(TH!O2860,3)&lt;&gt;"111",'152-CT'!$J$8=TH!F2860),"x","")</f>
        <v/>
      </c>
      <c r="AC2860" s="79" t="str">
        <f>IF(AND(OR(LEFT(TH!N2860,2)="15",LEFT(TH!O2860,2)="15"),TK!$E$7=TH!F2860),"x","")</f>
        <v/>
      </c>
      <c r="AD2860" s="79" t="str">
        <f>IF(AND(N2860="1521",MONTH(C2860)='BK-NL'!$M$11),"x","")</f>
        <v/>
      </c>
    </row>
    <row r="2861" spans="1:30" ht="16.5" customHeight="1">
      <c r="A2861" s="318" t="str">
        <f>IF(B2861&lt;&gt;"",IF(AND(B2861='IN-TC'!$S$4,OR(TH!N2861="1111",TH!O2861="1111")),TH!D2861,""),"")</f>
        <v/>
      </c>
      <c r="B2861" s="60" t="str">
        <f t="shared" si="327"/>
        <v/>
      </c>
      <c r="C2861" s="61"/>
      <c r="D2861" s="61"/>
      <c r="E2861" s="61"/>
      <c r="F2861" s="64"/>
      <c r="G2861" s="64"/>
      <c r="H2861" s="69"/>
      <c r="I2861" s="387"/>
      <c r="J2861" s="395"/>
      <c r="K2861" s="387"/>
      <c r="L2861" s="394"/>
      <c r="M2861" s="62"/>
      <c r="N2861" s="63"/>
      <c r="O2861" s="63"/>
      <c r="P2861" s="79" t="str">
        <f>IF(AND('331-CT'!$E$7=TH!H2861,OR(N2861="331",O2861="331")),"x","")</f>
        <v/>
      </c>
      <c r="Q2861" s="79" t="str">
        <f>IF(AND(B2861='111'!$L$11,OR($N2861=$Q$7,$O2861=$Q$7)),"x","")</f>
        <v/>
      </c>
      <c r="R2861" s="79" t="str">
        <f>IF(AND($N2861=$Q$7,$B2861&lt;'111'!$L$11),"x","")</f>
        <v/>
      </c>
      <c r="S2861" s="79" t="str">
        <f>IF(AND($O2861=$Q$7,$B2861&lt;'111'!$L$11),"x","")</f>
        <v/>
      </c>
      <c r="T2861" s="79" t="str">
        <f>IF(ISERROR(FIND('112'!$M$9,G2861,1)),"",IF((AND(FIND('112'!$M$9,G2861,1)&gt;=1,B2861='112'!$K$9,OR($N2861='112'!$I$6,$O2861='112'!$I$6))),"x",""))</f>
        <v/>
      </c>
      <c r="U2861" s="79" t="str">
        <f>IF(ISERROR(FIND('112'!$M$9,G2861,1)),"",IF((AND(LEFT(G2861,2)=LEFT('112'!$M$9,2),B2861&lt;'112'!$K$9,$N2861='112'!$I$6)),"x",""))</f>
        <v/>
      </c>
      <c r="V2861" s="79" t="str">
        <f>IF(ISERROR(FIND('112'!$M$9,G2861,1)),"",IF((AND(RIGHT(G2861,2)=RIGHT('112'!$M$9,2),B2861&lt;'112'!$K$9,$O2861='112'!$I$6)),"x",""))</f>
        <v/>
      </c>
      <c r="W2861" s="79" t="str">
        <f>IF(AND('341-CT'!$H$9=H2861,OR(LEFT(N2861,3)=$W$7,LEFT(O2861,3)=$W$7)),"x","")</f>
        <v/>
      </c>
      <c r="X2861" s="79" t="str">
        <f>IF(OR(TH!N2861=TH!$X$7,O2861=TH!$X$7),"x","")</f>
        <v/>
      </c>
      <c r="Y2861" s="79" t="str">
        <f>IF(AND(OR(N2861="131",O2861="131"),H2861='131-CT'!$H$9),"x","")</f>
        <v/>
      </c>
      <c r="Z2861" s="79"/>
      <c r="AA2861" s="79" t="str">
        <f>IF(AND(MONTH(E2861)='IN-NX'!$J$5,'IN-NX'!$D$7=D2861),"x","")</f>
        <v/>
      </c>
      <c r="AB2861" s="79" t="str">
        <f>IF(AND(OR(LEFT(TH!N2861,2)="15",LEFT(TH!O2861,2)="15"),LEFT(TH!O2861,3)&lt;&gt;"111",'152-CT'!$J$8=TH!F2861),"x","")</f>
        <v/>
      </c>
      <c r="AC2861" s="79" t="str">
        <f>IF(AND(OR(LEFT(TH!N2861,2)="15",LEFT(TH!O2861,2)="15"),TK!$E$7=TH!F2861),"x","")</f>
        <v/>
      </c>
      <c r="AD2861" s="79" t="str">
        <f>IF(AND(N2861="1521",MONTH(C2861)='BK-NL'!$M$11),"x","")</f>
        <v/>
      </c>
    </row>
    <row r="2862" spans="1:30" ht="16.5" customHeight="1">
      <c r="A2862" s="318" t="str">
        <f>IF(B2862&lt;&gt;"",IF(AND(B2862='IN-TC'!$S$4,OR(TH!N2862="1111",TH!O2862="1111")),TH!D2862,""),"")</f>
        <v/>
      </c>
      <c r="B2862" s="60" t="str">
        <f t="shared" si="327"/>
        <v/>
      </c>
      <c r="C2862" s="61"/>
      <c r="D2862" s="61"/>
      <c r="E2862" s="61"/>
      <c r="F2862" s="64"/>
      <c r="G2862" s="64"/>
      <c r="H2862" s="69"/>
      <c r="I2862" s="387"/>
      <c r="J2862" s="395"/>
      <c r="K2862" s="387"/>
      <c r="L2862" s="394"/>
      <c r="M2862" s="62"/>
      <c r="N2862" s="63"/>
      <c r="O2862" s="63"/>
      <c r="P2862" s="79" t="str">
        <f>IF(AND('331-CT'!$E$7=TH!H2862,OR(N2862="331",O2862="331")),"x","")</f>
        <v/>
      </c>
      <c r="Q2862" s="79" t="str">
        <f>IF(AND(B2862='111'!$L$11,OR($N2862=$Q$7,$O2862=$Q$7)),"x","")</f>
        <v/>
      </c>
      <c r="R2862" s="79" t="str">
        <f>IF(AND($N2862=$Q$7,$B2862&lt;'111'!$L$11),"x","")</f>
        <v/>
      </c>
      <c r="S2862" s="79" t="str">
        <f>IF(AND($O2862=$Q$7,$B2862&lt;'111'!$L$11),"x","")</f>
        <v/>
      </c>
      <c r="T2862" s="79" t="str">
        <f>IF(ISERROR(FIND('112'!$M$9,G2862,1)),"",IF((AND(FIND('112'!$M$9,G2862,1)&gt;=1,B2862='112'!$K$9,OR($N2862='112'!$I$6,$O2862='112'!$I$6))),"x",""))</f>
        <v/>
      </c>
      <c r="U2862" s="79" t="str">
        <f>IF(ISERROR(FIND('112'!$M$9,G2862,1)),"",IF((AND(LEFT(G2862,2)=LEFT('112'!$M$9,2),B2862&lt;'112'!$K$9,$N2862='112'!$I$6)),"x",""))</f>
        <v/>
      </c>
      <c r="V2862" s="79" t="str">
        <f>IF(ISERROR(FIND('112'!$M$9,G2862,1)),"",IF((AND(RIGHT(G2862,2)=RIGHT('112'!$M$9,2),B2862&lt;'112'!$K$9,$O2862='112'!$I$6)),"x",""))</f>
        <v/>
      </c>
      <c r="W2862" s="79" t="str">
        <f>IF(AND('341-CT'!$H$9=H2862,OR(LEFT(N2862,3)=$W$7,LEFT(O2862,3)=$W$7)),"x","")</f>
        <v/>
      </c>
      <c r="X2862" s="79" t="str">
        <f>IF(OR(TH!N2862=TH!$X$7,O2862=TH!$X$7),"x","")</f>
        <v/>
      </c>
      <c r="Y2862" s="79" t="str">
        <f>IF(AND(OR(N2862="131",O2862="131"),H2862='131-CT'!$H$9),"x","")</f>
        <v/>
      </c>
      <c r="Z2862" s="79"/>
      <c r="AA2862" s="79" t="str">
        <f>IF(AND(MONTH(E2862)='IN-NX'!$J$5,'IN-NX'!$D$7=D2862),"x","")</f>
        <v/>
      </c>
      <c r="AB2862" s="79" t="str">
        <f>IF(AND(OR(LEFT(TH!N2862,2)="15",LEFT(TH!O2862,2)="15"),LEFT(TH!O2862,3)&lt;&gt;"111",'152-CT'!$J$8=TH!F2862),"x","")</f>
        <v/>
      </c>
      <c r="AC2862" s="79" t="str">
        <f>IF(AND(OR(LEFT(TH!N2862,2)="15",LEFT(TH!O2862,2)="15"),TK!$E$7=TH!F2862),"x","")</f>
        <v/>
      </c>
      <c r="AD2862" s="79" t="str">
        <f>IF(AND(N2862="1521",MONTH(C2862)='BK-NL'!$M$11),"x","")</f>
        <v/>
      </c>
    </row>
    <row r="2863" spans="1:30" ht="16.5" customHeight="1">
      <c r="A2863" s="318" t="str">
        <f>IF(B2863&lt;&gt;"",IF(AND(B2863='IN-TC'!$S$4,OR(TH!N2863="1111",TH!O2863="1111")),TH!D2863,""),"")</f>
        <v/>
      </c>
      <c r="B2863" s="60" t="str">
        <f t="shared" ref="B2863:B2865" si="328">IF(C2863&lt;&gt;"",MONTH(C2863),"")</f>
        <v/>
      </c>
      <c r="C2863" s="61"/>
      <c r="D2863" s="61"/>
      <c r="E2863" s="61"/>
      <c r="F2863" s="64"/>
      <c r="G2863" s="64"/>
      <c r="H2863" s="69"/>
      <c r="I2863" s="387"/>
      <c r="J2863" s="395"/>
      <c r="K2863" s="387"/>
      <c r="L2863" s="394"/>
      <c r="M2863" s="62"/>
      <c r="N2863" s="63"/>
      <c r="O2863" s="63"/>
      <c r="P2863" s="79" t="str">
        <f>IF(AND('331-CT'!$E$7=TH!H2863,OR(N2863="331",O2863="331")),"x","")</f>
        <v/>
      </c>
      <c r="Q2863" s="79" t="str">
        <f>IF(AND(B2863='111'!$L$11,OR($N2863=$Q$7,$O2863=$Q$7)),"x","")</f>
        <v/>
      </c>
      <c r="R2863" s="79" t="str">
        <f>IF(AND($N2863=$Q$7,$B2863&lt;'111'!$L$11),"x","")</f>
        <v/>
      </c>
      <c r="S2863" s="79" t="str">
        <f>IF(AND($O2863=$Q$7,$B2863&lt;'111'!$L$11),"x","")</f>
        <v/>
      </c>
      <c r="T2863" s="79" t="str">
        <f>IF(ISERROR(FIND('112'!$M$9,G2863,1)),"",IF((AND(FIND('112'!$M$9,G2863,1)&gt;=1,B2863='112'!$K$9,OR($N2863='112'!$I$6,$O2863='112'!$I$6))),"x",""))</f>
        <v/>
      </c>
      <c r="U2863" s="79" t="str">
        <f>IF(ISERROR(FIND('112'!$M$9,G2863,1)),"",IF((AND(LEFT(G2863,2)=LEFT('112'!$M$9,2),B2863&lt;'112'!$K$9,$N2863='112'!$I$6)),"x",""))</f>
        <v/>
      </c>
      <c r="V2863" s="79" t="str">
        <f>IF(ISERROR(FIND('112'!$M$9,G2863,1)),"",IF((AND(RIGHT(G2863,2)=RIGHT('112'!$M$9,2),B2863&lt;'112'!$K$9,$O2863='112'!$I$6)),"x",""))</f>
        <v/>
      </c>
      <c r="W2863" s="79" t="str">
        <f>IF(AND('341-CT'!$H$9=H2863,OR(LEFT(N2863,3)=$W$7,LEFT(O2863,3)=$W$7)),"x","")</f>
        <v/>
      </c>
      <c r="X2863" s="79" t="str">
        <f>IF(OR(TH!N2863=TH!$X$7,O2863=TH!$X$7),"x","")</f>
        <v/>
      </c>
      <c r="Y2863" s="79" t="str">
        <f>IF(AND(OR(N2863="131",O2863="131"),H2863='131-CT'!$H$9),"x","")</f>
        <v/>
      </c>
      <c r="Z2863" s="79"/>
      <c r="AA2863" s="79" t="str">
        <f>IF(AND(MONTH(E2863)='IN-NX'!$J$5,'IN-NX'!$D$7=D2863),"x","")</f>
        <v/>
      </c>
      <c r="AB2863" s="79" t="str">
        <f>IF(AND(OR(LEFT(TH!N2863,2)="15",LEFT(TH!O2863,2)="15"),LEFT(TH!O2863,3)&lt;&gt;"111",'152-CT'!$J$8=TH!F2863),"x","")</f>
        <v/>
      </c>
      <c r="AC2863" s="79" t="str">
        <f>IF(AND(OR(LEFT(TH!N2863,2)="15",LEFT(TH!O2863,2)="15"),TK!$E$7=TH!F2863),"x","")</f>
        <v/>
      </c>
      <c r="AD2863" s="79" t="str">
        <f>IF(AND(N2863="1521",MONTH(C2863)='BK-NL'!$M$11),"x","")</f>
        <v/>
      </c>
    </row>
    <row r="2864" spans="1:30" ht="16.5" customHeight="1">
      <c r="A2864" s="318" t="str">
        <f>IF(B2864&lt;&gt;"",IF(AND(B2864='IN-TC'!$S$4,OR(TH!N2864="1111",TH!O2864="1111")),TH!D2864,""),"")</f>
        <v/>
      </c>
      <c r="B2864" s="60" t="str">
        <f t="shared" si="328"/>
        <v/>
      </c>
      <c r="C2864" s="61"/>
      <c r="D2864" s="61"/>
      <c r="E2864" s="61"/>
      <c r="F2864" s="64"/>
      <c r="G2864" s="64"/>
      <c r="H2864" s="69"/>
      <c r="I2864" s="387"/>
      <c r="J2864" s="395"/>
      <c r="K2864" s="387"/>
      <c r="L2864" s="394"/>
      <c r="M2864" s="62"/>
      <c r="N2864" s="63"/>
      <c r="O2864" s="63"/>
      <c r="P2864" s="79" t="str">
        <f>IF(AND('331-CT'!$E$7=TH!H2864,OR(N2864="331",O2864="331")),"x","")</f>
        <v/>
      </c>
      <c r="Q2864" s="79" t="str">
        <f>IF(AND(B2864='111'!$L$11,OR($N2864=$Q$7,$O2864=$Q$7)),"x","")</f>
        <v/>
      </c>
      <c r="R2864" s="79" t="str">
        <f>IF(AND($N2864=$Q$7,$B2864&lt;'111'!$L$11),"x","")</f>
        <v/>
      </c>
      <c r="S2864" s="79" t="str">
        <f>IF(AND($O2864=$Q$7,$B2864&lt;'111'!$L$11),"x","")</f>
        <v/>
      </c>
      <c r="T2864" s="79" t="str">
        <f>IF(ISERROR(FIND('112'!$M$9,G2864,1)),"",IF((AND(FIND('112'!$M$9,G2864,1)&gt;=1,B2864='112'!$K$9,OR($N2864='112'!$I$6,$O2864='112'!$I$6))),"x",""))</f>
        <v/>
      </c>
      <c r="U2864" s="79" t="str">
        <f>IF(ISERROR(FIND('112'!$M$9,G2864,1)),"",IF((AND(LEFT(G2864,2)=LEFT('112'!$M$9,2),B2864&lt;'112'!$K$9,$N2864='112'!$I$6)),"x",""))</f>
        <v/>
      </c>
      <c r="V2864" s="79" t="str">
        <f>IF(ISERROR(FIND('112'!$M$9,G2864,1)),"",IF((AND(RIGHT(G2864,2)=RIGHT('112'!$M$9,2),B2864&lt;'112'!$K$9,$O2864='112'!$I$6)),"x",""))</f>
        <v/>
      </c>
      <c r="W2864" s="79" t="str">
        <f>IF(AND('341-CT'!$H$9=H2864,OR(LEFT(N2864,3)=$W$7,LEFT(O2864,3)=$W$7)),"x","")</f>
        <v/>
      </c>
      <c r="X2864" s="79" t="str">
        <f>IF(OR(TH!N2864=TH!$X$7,O2864=TH!$X$7),"x","")</f>
        <v/>
      </c>
      <c r="Y2864" s="79" t="str">
        <f>IF(AND(OR(N2864="131",O2864="131"),H2864='131-CT'!$H$9),"x","")</f>
        <v/>
      </c>
      <c r="Z2864" s="79"/>
      <c r="AA2864" s="79" t="str">
        <f>IF(AND(MONTH(E2864)='IN-NX'!$J$5,'IN-NX'!$D$7=D2864),"x","")</f>
        <v/>
      </c>
      <c r="AB2864" s="79" t="str">
        <f>IF(AND(OR(LEFT(TH!N2864,2)="15",LEFT(TH!O2864,2)="15"),LEFT(TH!O2864,3)&lt;&gt;"111",'152-CT'!$J$8=TH!F2864),"x","")</f>
        <v/>
      </c>
      <c r="AC2864" s="79" t="str">
        <f>IF(AND(OR(LEFT(TH!N2864,2)="15",LEFT(TH!O2864,2)="15"),TK!$E$7=TH!F2864),"x","")</f>
        <v/>
      </c>
      <c r="AD2864" s="79" t="str">
        <f>IF(AND(N2864="1521",MONTH(C2864)='BK-NL'!$M$11),"x","")</f>
        <v/>
      </c>
    </row>
    <row r="2865" spans="1:30" ht="16.5" customHeight="1">
      <c r="A2865" s="318" t="str">
        <f>IF(B2865&lt;&gt;"",IF(AND(B2865='IN-TC'!$S$4,OR(TH!N2865="1111",TH!O2865="1111")),TH!D2865,""),"")</f>
        <v/>
      </c>
      <c r="B2865" s="60" t="str">
        <f t="shared" si="328"/>
        <v/>
      </c>
      <c r="C2865" s="61"/>
      <c r="D2865" s="61"/>
      <c r="E2865" s="61"/>
      <c r="F2865" s="64"/>
      <c r="G2865" s="64"/>
      <c r="H2865" s="69"/>
      <c r="I2865" s="387"/>
      <c r="J2865" s="395"/>
      <c r="K2865" s="387"/>
      <c r="L2865" s="394"/>
      <c r="M2865" s="62"/>
      <c r="N2865" s="63"/>
      <c r="O2865" s="63"/>
      <c r="P2865" s="79" t="str">
        <f>IF(AND('331-CT'!$E$7=TH!H2865,OR(N2865="331",O2865="331")),"x","")</f>
        <v/>
      </c>
      <c r="Q2865" s="79" t="str">
        <f>IF(AND(B2865='111'!$L$11,OR($N2865=$Q$7,$O2865=$Q$7)),"x","")</f>
        <v/>
      </c>
      <c r="R2865" s="79" t="str">
        <f>IF(AND($N2865=$Q$7,$B2865&lt;'111'!$L$11),"x","")</f>
        <v/>
      </c>
      <c r="S2865" s="79" t="str">
        <f>IF(AND($O2865=$Q$7,$B2865&lt;'111'!$L$11),"x","")</f>
        <v/>
      </c>
      <c r="T2865" s="79" t="str">
        <f>IF(ISERROR(FIND('112'!$M$9,G2865,1)),"",IF((AND(FIND('112'!$M$9,G2865,1)&gt;=1,B2865='112'!$K$9,OR($N2865='112'!$I$6,$O2865='112'!$I$6))),"x",""))</f>
        <v/>
      </c>
      <c r="U2865" s="79" t="str">
        <f>IF(ISERROR(FIND('112'!$M$9,G2865,1)),"",IF((AND(LEFT(G2865,2)=LEFT('112'!$M$9,2),B2865&lt;'112'!$K$9,$N2865='112'!$I$6)),"x",""))</f>
        <v/>
      </c>
      <c r="V2865" s="79" t="str">
        <f>IF(ISERROR(FIND('112'!$M$9,G2865,1)),"",IF((AND(RIGHT(G2865,2)=RIGHT('112'!$M$9,2),B2865&lt;'112'!$K$9,$O2865='112'!$I$6)),"x",""))</f>
        <v/>
      </c>
      <c r="W2865" s="79" t="str">
        <f>IF(AND('341-CT'!$H$9=H2865,OR(LEFT(N2865,3)=$W$7,LEFT(O2865,3)=$W$7)),"x","")</f>
        <v/>
      </c>
      <c r="X2865" s="79" t="str">
        <f>IF(OR(TH!N2865=TH!$X$7,O2865=TH!$X$7),"x","")</f>
        <v/>
      </c>
      <c r="Y2865" s="79" t="str">
        <f>IF(AND(OR(N2865="131",O2865="131"),H2865='131-CT'!$H$9),"x","")</f>
        <v/>
      </c>
      <c r="Z2865" s="79"/>
      <c r="AA2865" s="79" t="str">
        <f>IF(AND(MONTH(E2865)='IN-NX'!$J$5,'IN-NX'!$D$7=D2865),"x","")</f>
        <v/>
      </c>
      <c r="AB2865" s="79" t="str">
        <f>IF(AND(OR(LEFT(TH!N2865,2)="15",LEFT(TH!O2865,2)="15"),LEFT(TH!O2865,3)&lt;&gt;"111",'152-CT'!$J$8=TH!F2865),"x","")</f>
        <v/>
      </c>
      <c r="AC2865" s="79" t="str">
        <f>IF(AND(OR(LEFT(TH!N2865,2)="15",LEFT(TH!O2865,2)="15"),TK!$E$7=TH!F2865),"x","")</f>
        <v/>
      </c>
      <c r="AD2865" s="79" t="str">
        <f>IF(AND(N2865="1521",MONTH(C2865)='BK-NL'!$M$11),"x","")</f>
        <v/>
      </c>
    </row>
    <row r="2866" spans="1:30" ht="16.5" customHeight="1">
      <c r="A2866" s="318" t="str">
        <f>IF(B2866&lt;&gt;"",IF(AND(B2866='IN-TC'!$S$4,OR(TH!N2866="1111",TH!O2866="1111")),TH!D2866,""),"")</f>
        <v/>
      </c>
      <c r="B2866" s="60" t="str">
        <f t="shared" si="318"/>
        <v/>
      </c>
      <c r="C2866" s="61"/>
      <c r="D2866" s="61"/>
      <c r="E2866" s="61"/>
      <c r="F2866" s="64"/>
      <c r="G2866" s="64"/>
      <c r="H2866" s="69"/>
      <c r="I2866" s="387"/>
      <c r="J2866" s="395"/>
      <c r="K2866" s="387"/>
      <c r="L2866" s="394"/>
      <c r="M2866" s="62"/>
      <c r="N2866" s="63"/>
      <c r="O2866" s="63"/>
      <c r="P2866" s="79" t="str">
        <f>IF(AND('331-CT'!$E$7=TH!H2866,OR(N2866="331",O2866="331")),"x","")</f>
        <v/>
      </c>
      <c r="Q2866" s="79" t="str">
        <f>IF(AND(B2866='111'!$L$11,OR($N2866=$Q$7,$O2866=$Q$7)),"x","")</f>
        <v/>
      </c>
      <c r="R2866" s="79" t="str">
        <f>IF(AND($N2866=$Q$7,$B2866&lt;'111'!$L$11),"x","")</f>
        <v/>
      </c>
      <c r="S2866" s="79" t="str">
        <f>IF(AND($O2866=$Q$7,$B2866&lt;'111'!$L$11),"x","")</f>
        <v/>
      </c>
      <c r="T2866" s="79" t="str">
        <f>IF(ISERROR(FIND('112'!$M$9,G2866,1)),"",IF((AND(FIND('112'!$M$9,G2866,1)&gt;=1,B2866='112'!$K$9,OR($N2866='112'!$I$6,$O2866='112'!$I$6))),"x",""))</f>
        <v/>
      </c>
      <c r="U2866" s="79" t="str">
        <f>IF(ISERROR(FIND('112'!$M$9,G2866,1)),"",IF((AND(LEFT(G2866,2)=LEFT('112'!$M$9,2),B2866&lt;'112'!$K$9,$N2866='112'!$I$6)),"x",""))</f>
        <v/>
      </c>
      <c r="V2866" s="79" t="str">
        <f>IF(ISERROR(FIND('112'!$M$9,G2866,1)),"",IF((AND(RIGHT(G2866,2)=RIGHT('112'!$M$9,2),B2866&lt;'112'!$K$9,$O2866='112'!$I$6)),"x",""))</f>
        <v/>
      </c>
      <c r="W2866" s="79" t="str">
        <f>IF(AND('341-CT'!$H$9=H2866,OR(LEFT(N2866,3)=$W$7,LEFT(O2866,3)=$W$7)),"x","")</f>
        <v/>
      </c>
      <c r="X2866" s="79" t="str">
        <f>IF(OR(TH!N2866=TH!$X$7,O2866=TH!$X$7),"x","")</f>
        <v/>
      </c>
      <c r="Y2866" s="79" t="str">
        <f>IF(AND(OR(N2866="131",O2866="131"),H2866='131-CT'!$H$9),"x","")</f>
        <v/>
      </c>
      <c r="Z2866" s="79"/>
      <c r="AA2866" s="79" t="str">
        <f>IF(AND(MONTH(E2866)='IN-NX'!$J$5,'IN-NX'!$D$7=D2866),"x","")</f>
        <v/>
      </c>
      <c r="AB2866" s="79" t="str">
        <f>IF(AND(OR(LEFT(TH!N2866,2)="15",LEFT(TH!O2866,2)="15"),LEFT(TH!O2866,3)&lt;&gt;"111",'152-CT'!$J$8=TH!F2866),"x","")</f>
        <v/>
      </c>
      <c r="AC2866" s="79" t="str">
        <f>IF(AND(OR(LEFT(TH!N2866,2)="15",LEFT(TH!O2866,2)="15"),TK!$E$7=TH!F2866),"x","")</f>
        <v/>
      </c>
      <c r="AD2866" s="79" t="str">
        <f>IF(AND(N2866="1521",MONTH(C2866)='BK-NL'!$M$11),"x","")</f>
        <v/>
      </c>
    </row>
    <row r="2867" spans="1:30" ht="16.5" customHeight="1">
      <c r="A2867" s="318" t="str">
        <f>IF(B2867&lt;&gt;"",IF(AND(B2867='IN-TC'!$S$4,OR(TH!N2867="1111",TH!O2867="1111")),TH!D2867,""),"")</f>
        <v/>
      </c>
      <c r="B2867" s="60" t="str">
        <f>IF(C2867&lt;&gt;"",MONTH(C2867),"")</f>
        <v/>
      </c>
      <c r="C2867" s="75"/>
      <c r="D2867" s="75"/>
      <c r="E2867" s="75"/>
      <c r="F2867" s="76"/>
      <c r="G2867" s="76"/>
      <c r="H2867" s="77"/>
      <c r="I2867" s="1247"/>
      <c r="J2867" s="1248"/>
      <c r="K2867" s="1247"/>
      <c r="L2867" s="1248"/>
      <c r="M2867" s="78"/>
      <c r="N2867" s="79"/>
      <c r="O2867" s="979"/>
      <c r="P2867" s="79" t="str">
        <f>IF(AND('331-CT'!$E$7=TH!H2867,OR(N2867="331",O2867="331")),"x","")</f>
        <v/>
      </c>
      <c r="Q2867" s="79" t="str">
        <f>IF(AND(B2867='111'!$L$11,OR($N2867=$Q$7,$O2867=$Q$7)),"x","")</f>
        <v/>
      </c>
      <c r="R2867" s="79" t="str">
        <f>IF(AND($N2867=$Q$7,$B2867&lt;'111'!$L$11),"x","")</f>
        <v/>
      </c>
      <c r="S2867" s="79" t="str">
        <f>IF(AND($O2867=$Q$7,$B2867&lt;'111'!$L$11),"x","")</f>
        <v/>
      </c>
      <c r="T2867" s="79" t="str">
        <f>IF(ISERROR(FIND('112'!$M$9,G2867,1)),"",IF((AND(FIND('112'!$M$9,G2867,1)&gt;=1,B2867='112'!$K$9,OR($N2867='112'!$I$6,$O2867='112'!$I$6))),"x",""))</f>
        <v/>
      </c>
      <c r="U2867" s="79" t="str">
        <f>IF(ISERROR(FIND('112'!$M$9,G2867,1)),"",IF((AND(LEFT(G2867,2)=LEFT('112'!$M$9,2),B2867&lt;'112'!$K$9,$N2867='112'!$I$6)),"x",""))</f>
        <v/>
      </c>
      <c r="V2867" s="79" t="str">
        <f>IF(ISERROR(FIND('112'!$M$9,G2867,1)),"",IF((AND(RIGHT(G2867,2)=RIGHT('112'!$M$9,2),B2867&lt;'112'!$K$9,$O2867='112'!$I$6)),"x",""))</f>
        <v/>
      </c>
      <c r="W2867" s="79" t="str">
        <f>IF(AND('341-CT'!$H$9=H2867,OR(LEFT(N2867,3)=$W$7,LEFT(O2867,3)=$W$7)),"x","")</f>
        <v/>
      </c>
      <c r="X2867" s="79" t="str">
        <f>IF(OR(TH!N2867=TH!$X$7,O2867=TH!$X$7),"x","")</f>
        <v/>
      </c>
      <c r="Y2867" s="79" t="str">
        <f>IF(AND(OR(N2867="131",O2867="131"),H2867='131-CT'!$H$9),"x","")</f>
        <v/>
      </c>
      <c r="Z2867" s="79"/>
      <c r="AA2867" s="79" t="str">
        <f>IF(AND(MONTH(E2867)='IN-NX'!$J$5,'IN-NX'!$D$7=D2867),"x","")</f>
        <v/>
      </c>
      <c r="AB2867" s="79" t="str">
        <f>IF(AND(OR(LEFT(TH!N2867,2)="15",LEFT(TH!O2867,2)="15"),LEFT(TH!O2867,3)&lt;&gt;"111",'152-CT'!$J$8=TH!F2867),"x","")</f>
        <v/>
      </c>
      <c r="AC2867" s="79" t="str">
        <f>IF(AND(OR(LEFT(TH!N2867,2)="15",LEFT(TH!O2867,2)="15"),TK!$E$7=TH!F2867),"x","")</f>
        <v/>
      </c>
      <c r="AD2867" s="79" t="str">
        <f>IF(AND(N2867="1521",MONTH(C2867)='BK-NL'!$M$11),"x","")</f>
        <v/>
      </c>
    </row>
    <row r="2868" spans="1:30" ht="16.5" customHeight="1">
      <c r="A2868" s="318" t="str">
        <f>IF(B2868&lt;&gt;"",IF(AND(B2868='IN-TC'!$S$4,OR(TH!N2868="1111",TH!O2868="1111")),TH!D2868,""),"")</f>
        <v/>
      </c>
      <c r="B2868" s="60" t="str">
        <f>IF(C2868&lt;&gt;"",MONTH(C2868),"")</f>
        <v/>
      </c>
      <c r="C2868" s="75"/>
      <c r="D2868" s="75"/>
      <c r="E2868" s="75"/>
      <c r="F2868" s="76"/>
      <c r="G2868" s="76"/>
      <c r="H2868" s="77"/>
      <c r="I2868" s="1247"/>
      <c r="J2868" s="1248"/>
      <c r="K2868" s="1247"/>
      <c r="L2868" s="1248"/>
      <c r="M2868" s="78"/>
      <c r="N2868" s="79"/>
      <c r="O2868" s="979"/>
      <c r="P2868" s="79" t="str">
        <f>IF(AND('331-CT'!$E$7=TH!H2868,OR(N2868="331",O2868="331")),"x","")</f>
        <v/>
      </c>
      <c r="Q2868" s="79" t="str">
        <f>IF(AND(B2868='111'!$L$11,OR($N2868=$Q$7,$O2868=$Q$7)),"x","")</f>
        <v/>
      </c>
      <c r="R2868" s="79" t="str">
        <f>IF(AND($N2868=$Q$7,$B2868&lt;'111'!$L$11),"x","")</f>
        <v/>
      </c>
      <c r="S2868" s="79" t="str">
        <f>IF(AND($O2868=$Q$7,$B2868&lt;'111'!$L$11),"x","")</f>
        <v/>
      </c>
      <c r="T2868" s="79" t="str">
        <f>IF(ISERROR(FIND('112'!$M$9,G2868,1)),"",IF((AND(FIND('112'!$M$9,G2868,1)&gt;=1,B2868='112'!$K$9,OR($N2868='112'!$I$6,$O2868='112'!$I$6))),"x",""))</f>
        <v/>
      </c>
      <c r="U2868" s="79" t="str">
        <f>IF(ISERROR(FIND('112'!$M$9,G2868,1)),"",IF((AND(LEFT(G2868,2)=LEFT('112'!$M$9,2),B2868&lt;'112'!$K$9,$N2868='112'!$I$6)),"x",""))</f>
        <v/>
      </c>
      <c r="V2868" s="79" t="str">
        <f>IF(ISERROR(FIND('112'!$M$9,G2868,1)),"",IF((AND(RIGHT(G2868,2)=RIGHT('112'!$M$9,2),B2868&lt;'112'!$K$9,$O2868='112'!$I$6)),"x",""))</f>
        <v/>
      </c>
      <c r="W2868" s="79" t="str">
        <f>IF(AND('341-CT'!$H$9=H2868,OR(LEFT(N2868,3)=$W$7,LEFT(O2868,3)=$W$7)),"x","")</f>
        <v/>
      </c>
      <c r="X2868" s="79" t="str">
        <f>IF(OR(TH!N2868=TH!$X$7,O2868=TH!$X$7),"x","")</f>
        <v/>
      </c>
      <c r="Y2868" s="79" t="str">
        <f>IF(AND(OR(N2868="131",O2868="131"),H2868='131-CT'!$H$9),"x","")</f>
        <v/>
      </c>
      <c r="Z2868" s="79"/>
      <c r="AA2868" s="79" t="str">
        <f>IF(AND(MONTH(E2868)='IN-NX'!$J$5,'IN-NX'!$D$7=D2868),"x","")</f>
        <v/>
      </c>
      <c r="AB2868" s="79" t="str">
        <f>IF(AND(OR(LEFT(TH!N2868,2)="15",LEFT(TH!O2868,2)="15"),LEFT(TH!O2868,3)&lt;&gt;"111",'152-CT'!$J$8=TH!F2868),"x","")</f>
        <v/>
      </c>
      <c r="AC2868" s="79" t="str">
        <f>IF(AND(OR(LEFT(TH!N2868,2)="15",LEFT(TH!O2868,2)="15"),TK!$E$7=TH!F2868),"x","")</f>
        <v/>
      </c>
      <c r="AD2868" s="79" t="str">
        <f>IF(AND(N2868="1521",MONTH(C2868)='BK-NL'!$M$11),"x","")</f>
        <v/>
      </c>
    </row>
    <row r="2869" spans="1:30" ht="16.5" customHeight="1">
      <c r="A2869" s="318" t="str">
        <f>IF(B2869&lt;&gt;"",IF(AND(B2869='IN-TC'!$S$4,OR(TH!N2869="1111",TH!O2869="1111")),TH!D2869,""),"")</f>
        <v/>
      </c>
      <c r="B2869" s="60" t="str">
        <f>IF(C2869&lt;&gt;"",MONTH(C2869),"")</f>
        <v/>
      </c>
      <c r="C2869" s="75"/>
      <c r="D2869" s="75"/>
      <c r="E2869" s="75"/>
      <c r="F2869" s="76"/>
      <c r="G2869" s="76"/>
      <c r="H2869" s="77"/>
      <c r="I2869" s="383"/>
      <c r="J2869" s="391"/>
      <c r="K2869" s="383"/>
      <c r="L2869" s="390"/>
      <c r="M2869" s="78"/>
      <c r="N2869" s="79"/>
      <c r="O2869" s="979"/>
      <c r="P2869" s="79" t="str">
        <f>IF(AND('331-CT'!$E$7=TH!H2869,OR(N2869="331",O2869="331")),"x","")</f>
        <v/>
      </c>
      <c r="Q2869" s="79" t="str">
        <f>IF(AND(B2869='111'!$L$11,OR($N2869=$Q$7,$O2869=$Q$7)),"x","")</f>
        <v/>
      </c>
      <c r="R2869" s="79" t="str">
        <f>IF(AND($N2869=$Q$7,$B2869&lt;'111'!$L$11),"x","")</f>
        <v/>
      </c>
      <c r="S2869" s="79" t="str">
        <f>IF(AND($O2869=$Q$7,$B2869&lt;'111'!$L$11),"x","")</f>
        <v/>
      </c>
      <c r="T2869" s="79" t="str">
        <f>IF(ISERROR(FIND('112'!$M$9,G2869,1)),"",IF((AND(FIND('112'!$M$9,G2869,1)&gt;=1,B2869='112'!$K$9,OR($N2869='112'!$I$6,$O2869='112'!$I$6))),"x",""))</f>
        <v/>
      </c>
      <c r="U2869" s="79" t="str">
        <f>IF(ISERROR(FIND('112'!$M$9,G2869,1)),"",IF((AND(LEFT(G2869,2)=LEFT('112'!$M$9,2),B2869&lt;'112'!$K$9,$N2869='112'!$I$6)),"x",""))</f>
        <v/>
      </c>
      <c r="V2869" s="79" t="str">
        <f>IF(ISERROR(FIND('112'!$M$9,G2869,1)),"",IF((AND(RIGHT(G2869,2)=RIGHT('112'!$M$9,2),B2869&lt;'112'!$K$9,$O2869='112'!$I$6)),"x",""))</f>
        <v/>
      </c>
      <c r="W2869" s="79" t="str">
        <f>IF(AND('341-CT'!$H$9=H2869,OR(LEFT(N2869,3)=$W$7,LEFT(O2869,3)=$W$7)),"x","")</f>
        <v/>
      </c>
      <c r="X2869" s="79" t="str">
        <f>IF(OR(TH!N2869=TH!$X$7,O2869=TH!$X$7),"x","")</f>
        <v/>
      </c>
      <c r="Y2869" s="79" t="str">
        <f>IF(AND(OR(N2869="131",O2869="131"),H2869='131-CT'!$H$9),"x","")</f>
        <v/>
      </c>
      <c r="Z2869" s="79"/>
      <c r="AA2869" s="79" t="str">
        <f>IF(AND(MONTH(E2869)='IN-NX'!$J$5,'IN-NX'!$D$7=D2869),"x","")</f>
        <v/>
      </c>
      <c r="AB2869" s="79" t="str">
        <f>IF(AND(OR(LEFT(TH!N2869,2)="15",LEFT(TH!O2869,2)="15"),LEFT(TH!O2869,3)&lt;&gt;"111",'152-CT'!$J$8=TH!F2869),"x","")</f>
        <v/>
      </c>
      <c r="AC2869" s="79" t="str">
        <f>IF(AND(OR(LEFT(TH!N2869,2)="15",LEFT(TH!O2869,2)="15"),TK!$E$7=TH!F2869),"x","")</f>
        <v/>
      </c>
      <c r="AD2869" s="79" t="str">
        <f>IF(AND(N2869="1521",MONTH(C2869)='BK-NL'!$M$11),"x","")</f>
        <v/>
      </c>
    </row>
    <row r="2870" spans="1:30" ht="16.5" customHeight="1">
      <c r="A2870" s="318" t="str">
        <f>IF(B2870&lt;&gt;"",IF(AND(B2870='IN-TC'!$S$4,OR(TH!N2870="1111",TH!O2870="1111")),TH!D2870,""),"")</f>
        <v/>
      </c>
      <c r="B2870" s="60" t="str">
        <f t="shared" ref="B2870:B2913" si="329">IF(C2870&lt;&gt;"",MONTH(C2870),"")</f>
        <v/>
      </c>
      <c r="C2870" s="61"/>
      <c r="D2870" s="61"/>
      <c r="E2870" s="301"/>
      <c r="F2870" s="64"/>
      <c r="G2870" s="64"/>
      <c r="H2870" s="69"/>
      <c r="I2870" s="385"/>
      <c r="J2870" s="392"/>
      <c r="K2870" s="385"/>
      <c r="L2870" s="392"/>
      <c r="M2870" s="62"/>
      <c r="N2870" s="63"/>
      <c r="O2870" s="63"/>
      <c r="P2870" s="79" t="str">
        <f>IF(AND('331-CT'!$E$7=TH!H2870,OR(N2870="331",O2870="331")),"x","")</f>
        <v/>
      </c>
      <c r="Q2870" s="79" t="str">
        <f>IF(AND(B2870='111'!$L$11,OR($N2870=$Q$7,$O2870=$Q$7)),"x","")</f>
        <v/>
      </c>
      <c r="R2870" s="79" t="str">
        <f>IF(AND($N2870=$Q$7,$B2870&lt;'111'!$L$11),"x","")</f>
        <v/>
      </c>
      <c r="S2870" s="79" t="str">
        <f>IF(AND($O2870=$Q$7,$B2870&lt;'111'!$L$11),"x","")</f>
        <v/>
      </c>
      <c r="T2870" s="79" t="str">
        <f>IF(ISERROR(FIND('112'!$M$9,G2870,1)),"",IF((AND(FIND('112'!$M$9,G2870,1)&gt;=1,B2870='112'!$K$9,OR($N2870='112'!$I$6,$O2870='112'!$I$6))),"x",""))</f>
        <v/>
      </c>
      <c r="U2870" s="79" t="str">
        <f>IF(ISERROR(FIND('112'!$M$9,G2870,1)),"",IF((AND(LEFT(G2870,2)=LEFT('112'!$M$9,2),B2870&lt;'112'!$K$9,$N2870='112'!$I$6)),"x",""))</f>
        <v/>
      </c>
      <c r="V2870" s="79" t="str">
        <f>IF(ISERROR(FIND('112'!$M$9,G2870,1)),"",IF((AND(RIGHT(G2870,2)=RIGHT('112'!$M$9,2),B2870&lt;'112'!$K$9,$O2870='112'!$I$6)),"x",""))</f>
        <v/>
      </c>
      <c r="W2870" s="79" t="str">
        <f>IF(AND('341-CT'!$H$9=H2870,OR(LEFT(N2870,3)=$W$7,LEFT(O2870,3)=$W$7)),"x","")</f>
        <v/>
      </c>
      <c r="X2870" s="79" t="str">
        <f>IF(OR(TH!N2870=TH!$X$7,O2870=TH!$X$7),"x","")</f>
        <v/>
      </c>
      <c r="Y2870" s="79" t="str">
        <f>IF(AND(OR(N2870="131",O2870="131"),H2870='131-CT'!$H$9),"x","")</f>
        <v/>
      </c>
      <c r="Z2870" s="79"/>
      <c r="AA2870" s="79" t="str">
        <f>IF(AND(MONTH(E2870)='IN-NX'!$J$5,'IN-NX'!$D$7=D2870),"x","")</f>
        <v/>
      </c>
      <c r="AB2870" s="79" t="str">
        <f>IF(AND(OR(LEFT(TH!N2870,2)="15",LEFT(TH!O2870,2)="15"),LEFT(TH!O2870,3)&lt;&gt;"111",'152-CT'!$J$8=TH!F2870),"x","")</f>
        <v/>
      </c>
      <c r="AC2870" s="79" t="str">
        <f>IF(AND(OR(LEFT(TH!N2870,2)="15",LEFT(TH!O2870,2)="15"),TK!$E$7=TH!F2870),"x","")</f>
        <v/>
      </c>
      <c r="AD2870" s="79" t="str">
        <f>IF(AND(N2870="1521",MONTH(C2870)='BK-NL'!$M$11),"x","")</f>
        <v/>
      </c>
    </row>
    <row r="2871" spans="1:30" ht="16.5" customHeight="1">
      <c r="A2871" s="318" t="str">
        <f>IF(B2871&lt;&gt;"",IF(AND(B2871='IN-TC'!$S$4,OR(TH!N2871="1111",TH!O2871="1111")),TH!D2871,""),"")</f>
        <v/>
      </c>
      <c r="B2871" s="60" t="str">
        <f t="shared" si="329"/>
        <v/>
      </c>
      <c r="C2871" s="61"/>
      <c r="D2871" s="61"/>
      <c r="E2871" s="301"/>
      <c r="F2871" s="64"/>
      <c r="G2871" s="64"/>
      <c r="H2871" s="69"/>
      <c r="I2871" s="385"/>
      <c r="J2871" s="392"/>
      <c r="K2871" s="385"/>
      <c r="L2871" s="392"/>
      <c r="M2871" s="62"/>
      <c r="N2871" s="63"/>
      <c r="O2871" s="63"/>
      <c r="P2871" s="79" t="str">
        <f>IF(AND('331-CT'!$E$7=TH!H2871,OR(N2871="331",O2871="331")),"x","")</f>
        <v/>
      </c>
      <c r="Q2871" s="79" t="str">
        <f>IF(AND(B2871='111'!$L$11,OR($N2871=$Q$7,$O2871=$Q$7)),"x","")</f>
        <v/>
      </c>
      <c r="R2871" s="79" t="str">
        <f>IF(AND($N2871=$Q$7,$B2871&lt;'111'!$L$11),"x","")</f>
        <v/>
      </c>
      <c r="S2871" s="79" t="str">
        <f>IF(AND($O2871=$Q$7,$B2871&lt;'111'!$L$11),"x","")</f>
        <v/>
      </c>
      <c r="T2871" s="79" t="str">
        <f>IF(ISERROR(FIND('112'!$M$9,G2871,1)),"",IF((AND(FIND('112'!$M$9,G2871,1)&gt;=1,B2871='112'!$K$9,OR($N2871='112'!$I$6,$O2871='112'!$I$6))),"x",""))</f>
        <v/>
      </c>
      <c r="U2871" s="79" t="str">
        <f>IF(ISERROR(FIND('112'!$M$9,G2871,1)),"",IF((AND(LEFT(G2871,2)=LEFT('112'!$M$9,2),B2871&lt;'112'!$K$9,$N2871='112'!$I$6)),"x",""))</f>
        <v/>
      </c>
      <c r="V2871" s="79" t="str">
        <f>IF(ISERROR(FIND('112'!$M$9,G2871,1)),"",IF((AND(RIGHT(G2871,2)=RIGHT('112'!$M$9,2),B2871&lt;'112'!$K$9,$O2871='112'!$I$6)),"x",""))</f>
        <v/>
      </c>
      <c r="W2871" s="79" t="str">
        <f>IF(AND('341-CT'!$H$9=H2871,OR(LEFT(N2871,3)=$W$7,LEFT(O2871,3)=$W$7)),"x","")</f>
        <v/>
      </c>
      <c r="X2871" s="79" t="str">
        <f>IF(OR(TH!N2871=TH!$X$7,O2871=TH!$X$7),"x","")</f>
        <v/>
      </c>
      <c r="Y2871" s="79" t="str">
        <f>IF(AND(OR(N2871="131",O2871="131"),H2871='131-CT'!$H$9),"x","")</f>
        <v/>
      </c>
      <c r="Z2871" s="79"/>
      <c r="AA2871" s="79" t="str">
        <f>IF(AND(MONTH(E2871)='IN-NX'!$J$5,'IN-NX'!$D$7=D2871),"x","")</f>
        <v/>
      </c>
      <c r="AB2871" s="79" t="str">
        <f>IF(AND(OR(LEFT(TH!N2871,2)="15",LEFT(TH!O2871,2)="15"),LEFT(TH!O2871,3)&lt;&gt;"111",'152-CT'!$J$8=TH!F2871),"x","")</f>
        <v/>
      </c>
      <c r="AC2871" s="79" t="str">
        <f>IF(AND(OR(LEFT(TH!N2871,2)="15",LEFT(TH!O2871,2)="15"),TK!$E$7=TH!F2871),"x","")</f>
        <v/>
      </c>
      <c r="AD2871" s="79" t="str">
        <f>IF(AND(N2871="1521",MONTH(C2871)='BK-NL'!$M$11),"x","")</f>
        <v/>
      </c>
    </row>
    <row r="2872" spans="1:30" ht="16.5" customHeight="1">
      <c r="A2872" s="318" t="str">
        <f>IF(B2872&lt;&gt;"",IF(AND(B2872='IN-TC'!$S$4,OR(TH!N2872="1111",TH!O2872="1111")),TH!D2872,""),"")</f>
        <v/>
      </c>
      <c r="B2872" s="60" t="str">
        <f t="shared" si="329"/>
        <v/>
      </c>
      <c r="C2872" s="61"/>
      <c r="D2872" s="61"/>
      <c r="E2872" s="301"/>
      <c r="F2872" s="64"/>
      <c r="G2872" s="64"/>
      <c r="H2872" s="321"/>
      <c r="I2872" s="385"/>
      <c r="J2872" s="392"/>
      <c r="K2872" s="385"/>
      <c r="L2872" s="392"/>
      <c r="M2872" s="62"/>
      <c r="N2872" s="63"/>
      <c r="O2872" s="63"/>
      <c r="P2872" s="79" t="str">
        <f>IF(AND('331-CT'!$E$7=TH!H2872,OR(N2872="331",O2872="331")),"x","")</f>
        <v/>
      </c>
      <c r="Q2872" s="79" t="str">
        <f>IF(AND(B2872='111'!$L$11,OR($N2872=$Q$7,$O2872=$Q$7)),"x","")</f>
        <v/>
      </c>
      <c r="R2872" s="79" t="str">
        <f>IF(AND($N2872=$Q$7,$B2872&lt;'111'!$L$11),"x","")</f>
        <v/>
      </c>
      <c r="S2872" s="79" t="str">
        <f>IF(AND($O2872=$Q$7,$B2872&lt;'111'!$L$11),"x","")</f>
        <v/>
      </c>
      <c r="T2872" s="79" t="str">
        <f>IF(ISERROR(FIND('112'!$M$9,G2872,1)),"",IF((AND(FIND('112'!$M$9,G2872,1)&gt;=1,B2872='112'!$K$9,OR($N2872='112'!$I$6,$O2872='112'!$I$6))),"x",""))</f>
        <v/>
      </c>
      <c r="U2872" s="79" t="str">
        <f>IF(ISERROR(FIND('112'!$M$9,G2872,1)),"",IF((AND(LEFT(G2872,2)=LEFT('112'!$M$9,2),B2872&lt;'112'!$K$9,$N2872='112'!$I$6)),"x",""))</f>
        <v/>
      </c>
      <c r="V2872" s="79" t="str">
        <f>IF(ISERROR(FIND('112'!$M$9,G2872,1)),"",IF((AND(RIGHT(G2872,2)=RIGHT('112'!$M$9,2),B2872&lt;'112'!$K$9,$O2872='112'!$I$6)),"x",""))</f>
        <v/>
      </c>
      <c r="W2872" s="79" t="str">
        <f>IF(AND('341-CT'!$H$9=H2872,OR(LEFT(N2872,3)=$W$7,LEFT(O2872,3)=$W$7)),"x","")</f>
        <v/>
      </c>
      <c r="X2872" s="79" t="str">
        <f>IF(OR(TH!N2872=TH!$X$7,O2872=TH!$X$7),"x","")</f>
        <v/>
      </c>
      <c r="Y2872" s="79" t="str">
        <f>IF(AND(OR(N2872="131",O2872="131"),H2872='131-CT'!$H$9),"x","")</f>
        <v/>
      </c>
      <c r="Z2872" s="79"/>
      <c r="AA2872" s="79" t="str">
        <f>IF(AND(MONTH(E2872)='IN-NX'!$J$5,'IN-NX'!$D$7=D2872),"x","")</f>
        <v/>
      </c>
      <c r="AB2872" s="79" t="str">
        <f>IF(AND(OR(LEFT(TH!N2872,2)="15",LEFT(TH!O2872,2)="15"),LEFT(TH!O2872,3)&lt;&gt;"111",'152-CT'!$J$8=TH!F2872),"x","")</f>
        <v/>
      </c>
      <c r="AC2872" s="79" t="str">
        <f>IF(AND(OR(LEFT(TH!N2872,2)="15",LEFT(TH!O2872,2)="15"),TK!$E$7=TH!F2872),"x","")</f>
        <v/>
      </c>
      <c r="AD2872" s="79" t="str">
        <f>IF(AND(N2872="1521",MONTH(C2872)='BK-NL'!$M$11),"x","")</f>
        <v/>
      </c>
    </row>
    <row r="2873" spans="1:30" ht="16.5" customHeight="1">
      <c r="A2873" s="318" t="str">
        <f>IF(B2873&lt;&gt;"",IF(AND(B2873='IN-TC'!$S$4,OR(TH!N2873="1111",TH!O2873="1111")),TH!D2873,""),"")</f>
        <v/>
      </c>
      <c r="B2873" s="60" t="str">
        <f t="shared" si="329"/>
        <v/>
      </c>
      <c r="C2873" s="61"/>
      <c r="D2873" s="61"/>
      <c r="E2873" s="61"/>
      <c r="F2873" s="64"/>
      <c r="G2873" s="64"/>
      <c r="H2873" s="321"/>
      <c r="I2873" s="385"/>
      <c r="J2873" s="392"/>
      <c r="K2873" s="385"/>
      <c r="L2873" s="392"/>
      <c r="M2873" s="62"/>
      <c r="N2873" s="63"/>
      <c r="O2873" s="63"/>
      <c r="P2873" s="79" t="str">
        <f>IF(AND('331-CT'!$E$7=TH!H2873,OR(N2873="331",O2873="331")),"x","")</f>
        <v/>
      </c>
      <c r="Q2873" s="79" t="str">
        <f>IF(AND(B2873='111'!$L$11,OR($N2873=$Q$7,$O2873=$Q$7)),"x","")</f>
        <v/>
      </c>
      <c r="R2873" s="79" t="str">
        <f>IF(AND($N2873=$Q$7,$B2873&lt;'111'!$L$11),"x","")</f>
        <v/>
      </c>
      <c r="S2873" s="79" t="str">
        <f>IF(AND($O2873=$Q$7,$B2873&lt;'111'!$L$11),"x","")</f>
        <v/>
      </c>
      <c r="T2873" s="79" t="str">
        <f>IF(ISERROR(FIND('112'!$M$9,G2873,1)),"",IF((AND(FIND('112'!$M$9,G2873,1)&gt;=1,B2873='112'!$K$9,OR($N2873='112'!$I$6,$O2873='112'!$I$6))),"x",""))</f>
        <v/>
      </c>
      <c r="U2873" s="79" t="str">
        <f>IF(ISERROR(FIND('112'!$M$9,G2873,1)),"",IF((AND(LEFT(G2873,2)=LEFT('112'!$M$9,2),B2873&lt;'112'!$K$9,$N2873='112'!$I$6)),"x",""))</f>
        <v/>
      </c>
      <c r="V2873" s="79" t="str">
        <f>IF(ISERROR(FIND('112'!$M$9,G2873,1)),"",IF((AND(RIGHT(G2873,2)=RIGHT('112'!$M$9,2),B2873&lt;'112'!$K$9,$O2873='112'!$I$6)),"x",""))</f>
        <v/>
      </c>
      <c r="W2873" s="79" t="str">
        <f>IF(AND('341-CT'!$H$9=H2873,OR(LEFT(N2873,3)=$W$7,LEFT(O2873,3)=$W$7)),"x","")</f>
        <v/>
      </c>
      <c r="X2873" s="79" t="str">
        <f>IF(OR(TH!N2873=TH!$X$7,O2873=TH!$X$7),"x","")</f>
        <v/>
      </c>
      <c r="Y2873" s="79" t="str">
        <f>IF(AND(OR(N2873="131",O2873="131"),H2873='131-CT'!$H$9),"x","")</f>
        <v/>
      </c>
      <c r="Z2873" s="79"/>
      <c r="AA2873" s="79" t="str">
        <f>IF(AND(MONTH(E2873)='IN-NX'!$J$5,'IN-NX'!$D$7=D2873),"x","")</f>
        <v/>
      </c>
      <c r="AB2873" s="79" t="str">
        <f>IF(AND(OR(LEFT(TH!N2873,2)="15",LEFT(TH!O2873,2)="15"),LEFT(TH!O2873,3)&lt;&gt;"111",'152-CT'!$J$8=TH!F2873),"x","")</f>
        <v/>
      </c>
      <c r="AC2873" s="79" t="str">
        <f>IF(AND(OR(LEFT(TH!N2873,2)="15",LEFT(TH!O2873,2)="15"),TK!$E$7=TH!F2873),"x","")</f>
        <v/>
      </c>
      <c r="AD2873" s="79" t="str">
        <f>IF(AND(N2873="1521",MONTH(C2873)='BK-NL'!$M$11),"x","")</f>
        <v/>
      </c>
    </row>
    <row r="2874" spans="1:30" ht="16.5" customHeight="1">
      <c r="A2874" s="318" t="str">
        <f>IF(B2874&lt;&gt;"",IF(AND(B2874='IN-TC'!$S$4,OR(TH!N2874="1111",TH!O2874="1111")),TH!D2874,""),"")</f>
        <v/>
      </c>
      <c r="B2874" s="60" t="str">
        <f t="shared" si="329"/>
        <v/>
      </c>
      <c r="C2874" s="61"/>
      <c r="D2874" s="61"/>
      <c r="E2874" s="61"/>
      <c r="F2874" s="64"/>
      <c r="G2874" s="64"/>
      <c r="H2874" s="321"/>
      <c r="I2874" s="385"/>
      <c r="J2874" s="392"/>
      <c r="K2874" s="385"/>
      <c r="L2874" s="392"/>
      <c r="M2874" s="62"/>
      <c r="N2874" s="63"/>
      <c r="O2874" s="63"/>
      <c r="P2874" s="79" t="str">
        <f>IF(AND('331-CT'!$E$7=TH!H2874,OR(N2874="331",O2874="331")),"x","")</f>
        <v/>
      </c>
      <c r="Q2874" s="79" t="str">
        <f>IF(AND(B2874='111'!$L$11,OR($N2874=$Q$7,$O2874=$Q$7)),"x","")</f>
        <v/>
      </c>
      <c r="R2874" s="79" t="str">
        <f>IF(AND($N2874=$Q$7,$B2874&lt;'111'!$L$11),"x","")</f>
        <v/>
      </c>
      <c r="S2874" s="79" t="str">
        <f>IF(AND($O2874=$Q$7,$B2874&lt;'111'!$L$11),"x","")</f>
        <v/>
      </c>
      <c r="T2874" s="79" t="str">
        <f>IF(ISERROR(FIND('112'!$M$9,G2874,1)),"",IF((AND(FIND('112'!$M$9,G2874,1)&gt;=1,B2874='112'!$K$9,OR($N2874='112'!$I$6,$O2874='112'!$I$6))),"x",""))</f>
        <v/>
      </c>
      <c r="U2874" s="79" t="str">
        <f>IF(ISERROR(FIND('112'!$M$9,G2874,1)),"",IF((AND(LEFT(G2874,2)=LEFT('112'!$M$9,2),B2874&lt;'112'!$K$9,$N2874='112'!$I$6)),"x",""))</f>
        <v/>
      </c>
      <c r="V2874" s="79" t="str">
        <f>IF(ISERROR(FIND('112'!$M$9,G2874,1)),"",IF((AND(RIGHT(G2874,2)=RIGHT('112'!$M$9,2),B2874&lt;'112'!$K$9,$O2874='112'!$I$6)),"x",""))</f>
        <v/>
      </c>
      <c r="W2874" s="79" t="str">
        <f>IF(AND('341-CT'!$H$9=H2874,OR(LEFT(N2874,3)=$W$7,LEFT(O2874,3)=$W$7)),"x","")</f>
        <v/>
      </c>
      <c r="X2874" s="79" t="str">
        <f>IF(OR(TH!N2874=TH!$X$7,O2874=TH!$X$7),"x","")</f>
        <v/>
      </c>
      <c r="Y2874" s="79" t="str">
        <f>IF(AND(OR(N2874="131",O2874="131"),H2874='131-CT'!$H$9),"x","")</f>
        <v/>
      </c>
      <c r="Z2874" s="79"/>
      <c r="AA2874" s="79" t="str">
        <f>IF(AND(MONTH(E2874)='IN-NX'!$J$5,'IN-NX'!$D$7=D2874),"x","")</f>
        <v/>
      </c>
      <c r="AB2874" s="79" t="str">
        <f>IF(AND(OR(LEFT(TH!N2874,2)="15",LEFT(TH!O2874,2)="15"),LEFT(TH!O2874,3)&lt;&gt;"111",'152-CT'!$J$8=TH!F2874),"x","")</f>
        <v/>
      </c>
      <c r="AC2874" s="79" t="str">
        <f>IF(AND(OR(LEFT(TH!N2874,2)="15",LEFT(TH!O2874,2)="15"),TK!$E$7=TH!F2874),"x","")</f>
        <v/>
      </c>
      <c r="AD2874" s="79" t="str">
        <f>IF(AND(N2874="1521",MONTH(C2874)='BK-NL'!$M$11),"x","")</f>
        <v/>
      </c>
    </row>
    <row r="2875" spans="1:30" ht="16.5" customHeight="1">
      <c r="A2875" s="318" t="str">
        <f>IF(B2875&lt;&gt;"",IF(AND(B2875='IN-TC'!$S$4,OR(TH!N2875="1111",TH!O2875="1111")),TH!D2875,""),"")</f>
        <v/>
      </c>
      <c r="B2875" s="60" t="str">
        <f t="shared" si="329"/>
        <v/>
      </c>
      <c r="C2875" s="61"/>
      <c r="D2875" s="61"/>
      <c r="E2875" s="61"/>
      <c r="F2875" s="64"/>
      <c r="G2875" s="64"/>
      <c r="H2875" s="321"/>
      <c r="I2875" s="385"/>
      <c r="J2875" s="392"/>
      <c r="K2875" s="385"/>
      <c r="L2875" s="392"/>
      <c r="M2875" s="62"/>
      <c r="N2875" s="63"/>
      <c r="O2875" s="63"/>
      <c r="P2875" s="79" t="str">
        <f>IF(AND('331-CT'!$E$7=TH!H2875,OR(N2875="331",O2875="331")),"x","")</f>
        <v/>
      </c>
      <c r="Q2875" s="79" t="str">
        <f>IF(AND(B2875='111'!$L$11,OR($N2875=$Q$7,$O2875=$Q$7)),"x","")</f>
        <v/>
      </c>
      <c r="R2875" s="79" t="str">
        <f>IF(AND($N2875=$Q$7,$B2875&lt;'111'!$L$11),"x","")</f>
        <v/>
      </c>
      <c r="S2875" s="79" t="str">
        <f>IF(AND($O2875=$Q$7,$B2875&lt;'111'!$L$11),"x","")</f>
        <v/>
      </c>
      <c r="T2875" s="79" t="str">
        <f>IF(ISERROR(FIND('112'!$M$9,G2875,1)),"",IF((AND(FIND('112'!$M$9,G2875,1)&gt;=1,B2875='112'!$K$9,OR($N2875='112'!$I$6,$O2875='112'!$I$6))),"x",""))</f>
        <v/>
      </c>
      <c r="U2875" s="79" t="str">
        <f>IF(ISERROR(FIND('112'!$M$9,G2875,1)),"",IF((AND(LEFT(G2875,2)=LEFT('112'!$M$9,2),B2875&lt;'112'!$K$9,$N2875='112'!$I$6)),"x",""))</f>
        <v/>
      </c>
      <c r="V2875" s="79" t="str">
        <f>IF(ISERROR(FIND('112'!$M$9,G2875,1)),"",IF((AND(RIGHT(G2875,2)=RIGHT('112'!$M$9,2),B2875&lt;'112'!$K$9,$O2875='112'!$I$6)),"x",""))</f>
        <v/>
      </c>
      <c r="W2875" s="79" t="str">
        <f>IF(AND('341-CT'!$H$9=H2875,OR(LEFT(N2875,3)=$W$7,LEFT(O2875,3)=$W$7)),"x","")</f>
        <v/>
      </c>
      <c r="X2875" s="79" t="str">
        <f>IF(OR(TH!N2875=TH!$X$7,O2875=TH!$X$7),"x","")</f>
        <v/>
      </c>
      <c r="Y2875" s="79" t="str">
        <f>IF(AND(OR(N2875="131",O2875="131"),H2875='131-CT'!$H$9),"x","")</f>
        <v/>
      </c>
      <c r="Z2875" s="79"/>
      <c r="AA2875" s="79" t="str">
        <f>IF(AND(MONTH(E2875)='IN-NX'!$J$5,'IN-NX'!$D$7=D2875),"x","")</f>
        <v/>
      </c>
      <c r="AB2875" s="79" t="str">
        <f>IF(AND(OR(LEFT(TH!N2875,2)="15",LEFT(TH!O2875,2)="15"),LEFT(TH!O2875,3)&lt;&gt;"111",'152-CT'!$J$8=TH!F2875),"x","")</f>
        <v/>
      </c>
      <c r="AC2875" s="79" t="str">
        <f>IF(AND(OR(LEFT(TH!N2875,2)="15",LEFT(TH!O2875,2)="15"),TK!$E$7=TH!F2875),"x","")</f>
        <v/>
      </c>
      <c r="AD2875" s="79" t="str">
        <f>IF(AND(N2875="1521",MONTH(C2875)='BK-NL'!$M$11),"x","")</f>
        <v/>
      </c>
    </row>
    <row r="2876" spans="1:30" ht="16.5" customHeight="1">
      <c r="A2876" s="318" t="str">
        <f>IF(B2876&lt;&gt;"",IF(AND(B2876='IN-TC'!$S$4,OR(TH!N2876="1111",TH!O2876="1111")),TH!D2876,""),"")</f>
        <v/>
      </c>
      <c r="B2876" s="60" t="str">
        <f t="shared" si="329"/>
        <v/>
      </c>
      <c r="C2876" s="61"/>
      <c r="D2876" s="61"/>
      <c r="E2876" s="61"/>
      <c r="F2876" s="64"/>
      <c r="G2876" s="64"/>
      <c r="H2876" s="321"/>
      <c r="I2876" s="385"/>
      <c r="J2876" s="392"/>
      <c r="K2876" s="385"/>
      <c r="L2876" s="392"/>
      <c r="M2876" s="62"/>
      <c r="N2876" s="63"/>
      <c r="O2876" s="63"/>
      <c r="P2876" s="79" t="str">
        <f>IF(AND('331-CT'!$E$7=TH!H2876,OR(N2876="331",O2876="331")),"x","")</f>
        <v/>
      </c>
      <c r="Q2876" s="79" t="str">
        <f>IF(AND(B2876='111'!$L$11,OR($N2876=$Q$7,$O2876=$Q$7)),"x","")</f>
        <v/>
      </c>
      <c r="R2876" s="79" t="str">
        <f>IF(AND($N2876=$Q$7,$B2876&lt;'111'!$L$11),"x","")</f>
        <v/>
      </c>
      <c r="S2876" s="79" t="str">
        <f>IF(AND($O2876=$Q$7,$B2876&lt;'111'!$L$11),"x","")</f>
        <v/>
      </c>
      <c r="T2876" s="79" t="str">
        <f>IF(ISERROR(FIND('112'!$M$9,G2876,1)),"",IF((AND(FIND('112'!$M$9,G2876,1)&gt;=1,B2876='112'!$K$9,OR($N2876='112'!$I$6,$O2876='112'!$I$6))),"x",""))</f>
        <v/>
      </c>
      <c r="U2876" s="79" t="str">
        <f>IF(ISERROR(FIND('112'!$M$9,G2876,1)),"",IF((AND(LEFT(G2876,2)=LEFT('112'!$M$9,2),B2876&lt;'112'!$K$9,$N2876='112'!$I$6)),"x",""))</f>
        <v/>
      </c>
      <c r="V2876" s="79" t="str">
        <f>IF(ISERROR(FIND('112'!$M$9,G2876,1)),"",IF((AND(RIGHT(G2876,2)=RIGHT('112'!$M$9,2),B2876&lt;'112'!$K$9,$O2876='112'!$I$6)),"x",""))</f>
        <v/>
      </c>
      <c r="W2876" s="79" t="str">
        <f>IF(AND('341-CT'!$H$9=H2876,OR(LEFT(N2876,3)=$W$7,LEFT(O2876,3)=$W$7)),"x","")</f>
        <v/>
      </c>
      <c r="X2876" s="79" t="str">
        <f>IF(OR(TH!N2876=TH!$X$7,O2876=TH!$X$7),"x","")</f>
        <v/>
      </c>
      <c r="Y2876" s="79" t="str">
        <f>IF(AND(OR(N2876="131",O2876="131"),H2876='131-CT'!$H$9),"x","")</f>
        <v/>
      </c>
      <c r="Z2876" s="79"/>
      <c r="AA2876" s="79" t="str">
        <f>IF(AND(MONTH(E2876)='IN-NX'!$J$5,'IN-NX'!$D$7=D2876),"x","")</f>
        <v/>
      </c>
      <c r="AB2876" s="79" t="str">
        <f>IF(AND(OR(LEFT(TH!N2876,2)="15",LEFT(TH!O2876,2)="15"),LEFT(TH!O2876,3)&lt;&gt;"111",'152-CT'!$J$8=TH!F2876),"x","")</f>
        <v/>
      </c>
      <c r="AC2876" s="79" t="str">
        <f>IF(AND(OR(LEFT(TH!N2876,2)="15",LEFT(TH!O2876,2)="15"),TK!$E$7=TH!F2876),"x","")</f>
        <v/>
      </c>
      <c r="AD2876" s="79" t="str">
        <f>IF(AND(N2876="1521",MONTH(C2876)='BK-NL'!$M$11),"x","")</f>
        <v/>
      </c>
    </row>
    <row r="2877" spans="1:30" ht="16.5" customHeight="1">
      <c r="A2877" s="318" t="str">
        <f>IF(B2877&lt;&gt;"",IF(AND(B2877='IN-TC'!$S$4,OR(TH!N2877="1111",TH!O2877="1111")),TH!D2877,""),"")</f>
        <v/>
      </c>
      <c r="B2877" s="60" t="str">
        <f t="shared" si="329"/>
        <v/>
      </c>
      <c r="C2877" s="61"/>
      <c r="D2877" s="61"/>
      <c r="E2877" s="61"/>
      <c r="F2877" s="64"/>
      <c r="G2877" s="64"/>
      <c r="H2877" s="321"/>
      <c r="I2877" s="385"/>
      <c r="J2877" s="392"/>
      <c r="K2877" s="385"/>
      <c r="L2877" s="392"/>
      <c r="M2877" s="62"/>
      <c r="N2877" s="63"/>
      <c r="O2877" s="63"/>
      <c r="P2877" s="79" t="str">
        <f>IF(AND('331-CT'!$E$7=TH!H2877,OR(N2877="331",O2877="331")),"x","")</f>
        <v/>
      </c>
      <c r="Q2877" s="79" t="str">
        <f>IF(AND(B2877='111'!$L$11,OR($N2877=$Q$7,$O2877=$Q$7)),"x","")</f>
        <v/>
      </c>
      <c r="R2877" s="79" t="str">
        <f>IF(AND($N2877=$Q$7,$B2877&lt;'111'!$L$11),"x","")</f>
        <v/>
      </c>
      <c r="S2877" s="79" t="str">
        <f>IF(AND($O2877=$Q$7,$B2877&lt;'111'!$L$11),"x","")</f>
        <v/>
      </c>
      <c r="T2877" s="79" t="str">
        <f>IF(ISERROR(FIND('112'!$M$9,G2877,1)),"",IF((AND(FIND('112'!$M$9,G2877,1)&gt;=1,B2877='112'!$K$9,OR($N2877='112'!$I$6,$O2877='112'!$I$6))),"x",""))</f>
        <v/>
      </c>
      <c r="U2877" s="79" t="str">
        <f>IF(ISERROR(FIND('112'!$M$9,G2877,1)),"",IF((AND(LEFT(G2877,2)=LEFT('112'!$M$9,2),B2877&lt;'112'!$K$9,$N2877='112'!$I$6)),"x",""))</f>
        <v/>
      </c>
      <c r="V2877" s="79" t="str">
        <f>IF(ISERROR(FIND('112'!$M$9,G2877,1)),"",IF((AND(RIGHT(G2877,2)=RIGHT('112'!$M$9,2),B2877&lt;'112'!$K$9,$O2877='112'!$I$6)),"x",""))</f>
        <v/>
      </c>
      <c r="W2877" s="79" t="str">
        <f>IF(AND('341-CT'!$H$9=H2877,OR(LEFT(N2877,3)=$W$7,LEFT(O2877,3)=$W$7)),"x","")</f>
        <v/>
      </c>
      <c r="X2877" s="79" t="str">
        <f>IF(OR(TH!N2877=TH!$X$7,O2877=TH!$X$7),"x","")</f>
        <v/>
      </c>
      <c r="Y2877" s="79" t="str">
        <f>IF(AND(OR(N2877="131",O2877="131"),H2877='131-CT'!$H$9),"x","")</f>
        <v/>
      </c>
      <c r="Z2877" s="79"/>
      <c r="AA2877" s="79" t="str">
        <f>IF(AND(MONTH(E2877)='IN-NX'!$J$5,'IN-NX'!$D$7=D2877),"x","")</f>
        <v/>
      </c>
      <c r="AB2877" s="79" t="str">
        <f>IF(AND(OR(LEFT(TH!N2877,2)="15",LEFT(TH!O2877,2)="15"),LEFT(TH!O2877,3)&lt;&gt;"111",'152-CT'!$J$8=TH!F2877),"x","")</f>
        <v/>
      </c>
      <c r="AC2877" s="79" t="str">
        <f>IF(AND(OR(LEFT(TH!N2877,2)="15",LEFT(TH!O2877,2)="15"),TK!$E$7=TH!F2877),"x","")</f>
        <v/>
      </c>
      <c r="AD2877" s="79" t="str">
        <f>IF(AND(N2877="1521",MONTH(C2877)='BK-NL'!$M$11),"x","")</f>
        <v/>
      </c>
    </row>
    <row r="2878" spans="1:30" ht="16.5" customHeight="1">
      <c r="A2878" s="318" t="str">
        <f>IF(B2878&lt;&gt;"",IF(AND(B2878='IN-TC'!$S$4,OR(TH!N2878="1111",TH!O2878="1111")),TH!D2878,""),"")</f>
        <v/>
      </c>
      <c r="B2878" s="60" t="str">
        <f t="shared" si="329"/>
        <v/>
      </c>
      <c r="C2878" s="61"/>
      <c r="D2878" s="61"/>
      <c r="E2878" s="61"/>
      <c r="F2878" s="64"/>
      <c r="G2878" s="64"/>
      <c r="H2878" s="321"/>
      <c r="I2878" s="385"/>
      <c r="J2878" s="392"/>
      <c r="K2878" s="385"/>
      <c r="L2878" s="392"/>
      <c r="M2878" s="62"/>
      <c r="N2878" s="63"/>
      <c r="O2878" s="63"/>
      <c r="P2878" s="79" t="str">
        <f>IF(AND('331-CT'!$E$7=TH!H2878,OR(N2878="331",O2878="331")),"x","")</f>
        <v/>
      </c>
      <c r="Q2878" s="79" t="str">
        <f>IF(AND(B2878='111'!$L$11,OR($N2878=$Q$7,$O2878=$Q$7)),"x","")</f>
        <v/>
      </c>
      <c r="R2878" s="79" t="str">
        <f>IF(AND($N2878=$Q$7,$B2878&lt;'111'!$L$11),"x","")</f>
        <v/>
      </c>
      <c r="S2878" s="79" t="str">
        <f>IF(AND($O2878=$Q$7,$B2878&lt;'111'!$L$11),"x","")</f>
        <v/>
      </c>
      <c r="T2878" s="79" t="str">
        <f>IF(ISERROR(FIND('112'!$M$9,G2878,1)),"",IF((AND(FIND('112'!$M$9,G2878,1)&gt;=1,B2878='112'!$K$9,OR($N2878='112'!$I$6,$O2878='112'!$I$6))),"x",""))</f>
        <v/>
      </c>
      <c r="U2878" s="79" t="str">
        <f>IF(ISERROR(FIND('112'!$M$9,G2878,1)),"",IF((AND(LEFT(G2878,2)=LEFT('112'!$M$9,2),B2878&lt;'112'!$K$9,$N2878='112'!$I$6)),"x",""))</f>
        <v/>
      </c>
      <c r="V2878" s="79" t="str">
        <f>IF(ISERROR(FIND('112'!$M$9,G2878,1)),"",IF((AND(RIGHT(G2878,2)=RIGHT('112'!$M$9,2),B2878&lt;'112'!$K$9,$O2878='112'!$I$6)),"x",""))</f>
        <v/>
      </c>
      <c r="W2878" s="79" t="str">
        <f>IF(AND('341-CT'!$H$9=H2878,OR(LEFT(N2878,3)=$W$7,LEFT(O2878,3)=$W$7)),"x","")</f>
        <v/>
      </c>
      <c r="X2878" s="79" t="str">
        <f>IF(OR(TH!N2878=TH!$X$7,O2878=TH!$X$7),"x","")</f>
        <v/>
      </c>
      <c r="Y2878" s="79" t="str">
        <f>IF(AND(OR(N2878="131",O2878="131"),H2878='131-CT'!$H$9),"x","")</f>
        <v/>
      </c>
      <c r="Z2878" s="79"/>
      <c r="AA2878" s="79" t="str">
        <f>IF(AND(MONTH(E2878)='IN-NX'!$J$5,'IN-NX'!$D$7=D2878),"x","")</f>
        <v/>
      </c>
      <c r="AB2878" s="79" t="str">
        <f>IF(AND(OR(LEFT(TH!N2878,2)="15",LEFT(TH!O2878,2)="15"),LEFT(TH!O2878,3)&lt;&gt;"111",'152-CT'!$J$8=TH!F2878),"x","")</f>
        <v/>
      </c>
      <c r="AC2878" s="79" t="str">
        <f>IF(AND(OR(LEFT(TH!N2878,2)="15",LEFT(TH!O2878,2)="15"),TK!$E$7=TH!F2878),"x","")</f>
        <v/>
      </c>
      <c r="AD2878" s="79" t="str">
        <f>IF(AND(N2878="1521",MONTH(C2878)='BK-NL'!$M$11),"x","")</f>
        <v/>
      </c>
    </row>
    <row r="2879" spans="1:30" ht="16.5" customHeight="1">
      <c r="A2879" s="318" t="str">
        <f>IF(B2879&lt;&gt;"",IF(AND(B2879='IN-TC'!$S$4,OR(TH!N2879="1111",TH!O2879="1111")),TH!D2879,""),"")</f>
        <v/>
      </c>
      <c r="B2879" s="60" t="str">
        <f t="shared" si="329"/>
        <v/>
      </c>
      <c r="C2879" s="61"/>
      <c r="D2879" s="61"/>
      <c r="E2879" s="61"/>
      <c r="F2879" s="64"/>
      <c r="G2879" s="64"/>
      <c r="H2879" s="69"/>
      <c r="I2879" s="387"/>
      <c r="J2879" s="394"/>
      <c r="K2879" s="387"/>
      <c r="L2879" s="394"/>
      <c r="M2879" s="62"/>
      <c r="N2879" s="63"/>
      <c r="O2879" s="304"/>
      <c r="P2879" s="79" t="str">
        <f>IF(AND('331-CT'!$E$7=TH!H2879,OR(N2879="331",O2879="331")),"x","")</f>
        <v/>
      </c>
      <c r="Q2879" s="79" t="str">
        <f>IF(AND(B2879='111'!$L$11,OR($N2879=$Q$7,$O2879=$Q$7)),"x","")</f>
        <v/>
      </c>
      <c r="R2879" s="79" t="str">
        <f>IF(AND($N2879=$Q$7,$B2879&lt;'111'!$L$11),"x","")</f>
        <v/>
      </c>
      <c r="S2879" s="79" t="str">
        <f>IF(AND($O2879=$Q$7,$B2879&lt;'111'!$L$11),"x","")</f>
        <v/>
      </c>
      <c r="T2879" s="79" t="str">
        <f>IF(ISERROR(FIND('112'!$M$9,G2879,1)),"",IF((AND(FIND('112'!$M$9,G2879,1)&gt;=1,B2879='112'!$K$9,OR($N2879='112'!$I$6,$O2879='112'!$I$6))),"x",""))</f>
        <v/>
      </c>
      <c r="U2879" s="79" t="str">
        <f>IF(ISERROR(FIND('112'!$M$9,G2879,1)),"",IF((AND(LEFT(G2879,2)=LEFT('112'!$M$9,2),B2879&lt;'112'!$K$9,$N2879='112'!$I$6)),"x",""))</f>
        <v/>
      </c>
      <c r="V2879" s="79" t="str">
        <f>IF(ISERROR(FIND('112'!$M$9,G2879,1)),"",IF((AND(RIGHT(G2879,2)=RIGHT('112'!$M$9,2),B2879&lt;'112'!$K$9,$O2879='112'!$I$6)),"x",""))</f>
        <v/>
      </c>
      <c r="W2879" s="79" t="str">
        <f>IF(AND('341-CT'!$H$9=H2879,OR(LEFT(N2879,3)=$W$7,LEFT(O2879,3)=$W$7)),"x","")</f>
        <v/>
      </c>
      <c r="X2879" s="79" t="str">
        <f>IF(OR(TH!N2879=TH!$X$7,O2879=TH!$X$7),"x","")</f>
        <v/>
      </c>
      <c r="Y2879" s="79" t="str">
        <f>IF(AND(OR(N2879="131",O2879="131"),H2879='131-CT'!$H$9),"x","")</f>
        <v/>
      </c>
      <c r="Z2879" s="79"/>
      <c r="AA2879" s="79" t="str">
        <f>IF(AND(MONTH(E2879)='IN-NX'!$J$5,'IN-NX'!$D$7=D2879),"x","")</f>
        <v/>
      </c>
      <c r="AB2879" s="79" t="str">
        <f>IF(AND(OR(LEFT(TH!N2879,2)="15",LEFT(TH!O2879,2)="15"),LEFT(TH!O2879,3)&lt;&gt;"111",'152-CT'!$J$8=TH!F2879),"x","")</f>
        <v/>
      </c>
      <c r="AC2879" s="79" t="str">
        <f>IF(AND(OR(LEFT(TH!N2879,2)="15",LEFT(TH!O2879,2)="15"),TK!$E$7=TH!F2879),"x","")</f>
        <v/>
      </c>
      <c r="AD2879" s="79" t="str">
        <f>IF(AND(N2879="1521",MONTH(C2879)='BK-NL'!$M$11),"x","")</f>
        <v/>
      </c>
    </row>
    <row r="2880" spans="1:30" ht="16.5" customHeight="1">
      <c r="A2880" s="318" t="str">
        <f>IF(B2880&lt;&gt;"",IF(AND(B2880='IN-TC'!$S$4,OR(TH!N2880="1111",TH!O2880="1111")),TH!D2880,""),"")</f>
        <v/>
      </c>
      <c r="B2880" s="60" t="str">
        <f t="shared" si="329"/>
        <v/>
      </c>
      <c r="C2880" s="61"/>
      <c r="D2880" s="61"/>
      <c r="E2880" s="61"/>
      <c r="F2880" s="64"/>
      <c r="G2880" s="64"/>
      <c r="H2880" s="69"/>
      <c r="I2880" s="387"/>
      <c r="J2880" s="394"/>
      <c r="K2880" s="387"/>
      <c r="L2880" s="394"/>
      <c r="M2880" s="62"/>
      <c r="N2880" s="63"/>
      <c r="O2880" s="304"/>
      <c r="P2880" s="79" t="str">
        <f>IF(AND('331-CT'!$E$7=TH!H2880,OR(N2880="331",O2880="331")),"x","")</f>
        <v/>
      </c>
      <c r="Q2880" s="79" t="str">
        <f>IF(AND(B2880='111'!$L$11,OR($N2880=$Q$7,$O2880=$Q$7)),"x","")</f>
        <v/>
      </c>
      <c r="R2880" s="79" t="str">
        <f>IF(AND($N2880=$Q$7,$B2880&lt;'111'!$L$11),"x","")</f>
        <v/>
      </c>
      <c r="S2880" s="79" t="str">
        <f>IF(AND($O2880=$Q$7,$B2880&lt;'111'!$L$11),"x","")</f>
        <v/>
      </c>
      <c r="T2880" s="79" t="str">
        <f>IF(ISERROR(FIND('112'!$M$9,G2880,1)),"",IF((AND(FIND('112'!$M$9,G2880,1)&gt;=1,B2880='112'!$K$9,OR($N2880='112'!$I$6,$O2880='112'!$I$6))),"x",""))</f>
        <v/>
      </c>
      <c r="U2880" s="79" t="str">
        <f>IF(ISERROR(FIND('112'!$M$9,G2880,1)),"",IF((AND(LEFT(G2880,2)=LEFT('112'!$M$9,2),B2880&lt;'112'!$K$9,$N2880='112'!$I$6)),"x",""))</f>
        <v/>
      </c>
      <c r="V2880" s="79" t="str">
        <f>IF(ISERROR(FIND('112'!$M$9,G2880,1)),"",IF((AND(RIGHT(G2880,2)=RIGHT('112'!$M$9,2),B2880&lt;'112'!$K$9,$O2880='112'!$I$6)),"x",""))</f>
        <v/>
      </c>
      <c r="W2880" s="79" t="str">
        <f>IF(AND('341-CT'!$H$9=H2880,OR(LEFT(N2880,3)=$W$7,LEFT(O2880,3)=$W$7)),"x","")</f>
        <v/>
      </c>
      <c r="X2880" s="79" t="str">
        <f>IF(OR(TH!N2880=TH!$X$7,O2880=TH!$X$7),"x","")</f>
        <v/>
      </c>
      <c r="Y2880" s="79" t="str">
        <f>IF(AND(OR(N2880="131",O2880="131"),H2880='131-CT'!$H$9),"x","")</f>
        <v/>
      </c>
      <c r="Z2880" s="79"/>
      <c r="AA2880" s="79" t="str">
        <f>IF(AND(MONTH(E2880)='IN-NX'!$J$5,'IN-NX'!$D$7=D2880),"x","")</f>
        <v/>
      </c>
      <c r="AB2880" s="79" t="str">
        <f>IF(AND(OR(LEFT(TH!N2880,2)="15",LEFT(TH!O2880,2)="15"),LEFT(TH!O2880,3)&lt;&gt;"111",'152-CT'!$J$8=TH!F2880),"x","")</f>
        <v/>
      </c>
      <c r="AC2880" s="79" t="str">
        <f>IF(AND(OR(LEFT(TH!N2880,2)="15",LEFT(TH!O2880,2)="15"),TK!$E$7=TH!F2880),"x","")</f>
        <v/>
      </c>
      <c r="AD2880" s="79" t="str">
        <f>IF(AND(N2880="1521",MONTH(C2880)='BK-NL'!$M$11),"x","")</f>
        <v/>
      </c>
    </row>
    <row r="2881" spans="1:30" ht="16.5" customHeight="1">
      <c r="A2881" s="318" t="str">
        <f>IF(B2881&lt;&gt;"",IF(AND(B2881='IN-TC'!$S$4,OR(TH!N2881="1111",TH!O2881="1111")),TH!D2881,""),"")</f>
        <v/>
      </c>
      <c r="B2881" s="60" t="str">
        <f t="shared" si="329"/>
        <v/>
      </c>
      <c r="C2881" s="61"/>
      <c r="D2881" s="61"/>
      <c r="E2881" s="61"/>
      <c r="F2881" s="64"/>
      <c r="G2881" s="64"/>
      <c r="H2881" s="69"/>
      <c r="I2881" s="387"/>
      <c r="J2881" s="394"/>
      <c r="K2881" s="387"/>
      <c r="L2881" s="394"/>
      <c r="M2881" s="62"/>
      <c r="N2881" s="63"/>
      <c r="O2881" s="304"/>
      <c r="P2881" s="79" t="str">
        <f>IF(AND('331-CT'!$E$7=TH!H2881,OR(N2881="331",O2881="331")),"x","")</f>
        <v/>
      </c>
      <c r="Q2881" s="79" t="str">
        <f>IF(AND(B2881='111'!$L$11,OR($N2881=$Q$7,$O2881=$Q$7)),"x","")</f>
        <v/>
      </c>
      <c r="R2881" s="79" t="str">
        <f>IF(AND($N2881=$Q$7,$B2881&lt;'111'!$L$11),"x","")</f>
        <v/>
      </c>
      <c r="S2881" s="79" t="str">
        <f>IF(AND($O2881=$Q$7,$B2881&lt;'111'!$L$11),"x","")</f>
        <v/>
      </c>
      <c r="T2881" s="79" t="str">
        <f>IF(ISERROR(FIND('112'!$M$9,G2881,1)),"",IF((AND(FIND('112'!$M$9,G2881,1)&gt;=1,B2881='112'!$K$9,OR($N2881='112'!$I$6,$O2881='112'!$I$6))),"x",""))</f>
        <v/>
      </c>
      <c r="U2881" s="79" t="str">
        <f>IF(ISERROR(FIND('112'!$M$9,G2881,1)),"",IF((AND(LEFT(G2881,2)=LEFT('112'!$M$9,2),B2881&lt;'112'!$K$9,$N2881='112'!$I$6)),"x",""))</f>
        <v/>
      </c>
      <c r="V2881" s="79" t="str">
        <f>IF(ISERROR(FIND('112'!$M$9,G2881,1)),"",IF((AND(RIGHT(G2881,2)=RIGHT('112'!$M$9,2),B2881&lt;'112'!$K$9,$O2881='112'!$I$6)),"x",""))</f>
        <v/>
      </c>
      <c r="W2881" s="79" t="str">
        <f>IF(AND('341-CT'!$H$9=H2881,OR(LEFT(N2881,3)=$W$7,LEFT(O2881,3)=$W$7)),"x","")</f>
        <v/>
      </c>
      <c r="X2881" s="79" t="str">
        <f>IF(OR(TH!N2881=TH!$X$7,O2881=TH!$X$7),"x","")</f>
        <v/>
      </c>
      <c r="Y2881" s="79" t="str">
        <f>IF(AND(OR(N2881="131",O2881="131"),H2881='131-CT'!$H$9),"x","")</f>
        <v/>
      </c>
      <c r="Z2881" s="79"/>
      <c r="AA2881" s="79" t="str">
        <f>IF(AND(MONTH(E2881)='IN-NX'!$J$5,'IN-NX'!$D$7=D2881),"x","")</f>
        <v/>
      </c>
      <c r="AB2881" s="79" t="str">
        <f>IF(AND(OR(LEFT(TH!N2881,2)="15",LEFT(TH!O2881,2)="15"),LEFT(TH!O2881,3)&lt;&gt;"111",'152-CT'!$J$8=TH!F2881),"x","")</f>
        <v/>
      </c>
      <c r="AC2881" s="79" t="str">
        <f>IF(AND(OR(LEFT(TH!N2881,2)="15",LEFT(TH!O2881,2)="15"),TK!$E$7=TH!F2881),"x","")</f>
        <v/>
      </c>
      <c r="AD2881" s="79" t="str">
        <f>IF(AND(N2881="1521",MONTH(C2881)='BK-NL'!$M$11),"x","")</f>
        <v/>
      </c>
    </row>
    <row r="2882" spans="1:30" ht="16.5" customHeight="1">
      <c r="A2882" s="318" t="str">
        <f>IF(B2882&lt;&gt;"",IF(AND(B2882='IN-TC'!$S$4,OR(TH!N2882="1111",TH!O2882="1111")),TH!D2882,""),"")</f>
        <v/>
      </c>
      <c r="B2882" s="60" t="str">
        <f t="shared" si="329"/>
        <v/>
      </c>
      <c r="C2882" s="61"/>
      <c r="D2882" s="61"/>
      <c r="E2882" s="61"/>
      <c r="F2882" s="64"/>
      <c r="G2882" s="64"/>
      <c r="H2882" s="69"/>
      <c r="I2882" s="387"/>
      <c r="J2882" s="394"/>
      <c r="K2882" s="387"/>
      <c r="L2882" s="394"/>
      <c r="M2882" s="62"/>
      <c r="N2882" s="63"/>
      <c r="O2882" s="63"/>
      <c r="P2882" s="79" t="str">
        <f>IF(AND('331-CT'!$E$7=TH!H2882,OR(N2882="331",O2882="331")),"x","")</f>
        <v/>
      </c>
      <c r="Q2882" s="79" t="str">
        <f>IF(AND(B2882='111'!$L$11,OR($N2882=$Q$7,$O2882=$Q$7)),"x","")</f>
        <v/>
      </c>
      <c r="R2882" s="79" t="str">
        <f>IF(AND($N2882=$Q$7,$B2882&lt;'111'!$L$11),"x","")</f>
        <v/>
      </c>
      <c r="S2882" s="79" t="str">
        <f>IF(AND($O2882=$Q$7,$B2882&lt;'111'!$L$11),"x","")</f>
        <v/>
      </c>
      <c r="T2882" s="79" t="str">
        <f>IF(ISERROR(FIND('112'!$M$9,G2882,1)),"",IF((AND(FIND('112'!$M$9,G2882,1)&gt;=1,B2882='112'!$K$9,OR($N2882='112'!$I$6,$O2882='112'!$I$6))),"x",""))</f>
        <v/>
      </c>
      <c r="U2882" s="79" t="str">
        <f>IF(ISERROR(FIND('112'!$M$9,G2882,1)),"",IF((AND(LEFT(G2882,2)=LEFT('112'!$M$9,2),B2882&lt;'112'!$K$9,$N2882='112'!$I$6)),"x",""))</f>
        <v/>
      </c>
      <c r="V2882" s="79" t="str">
        <f>IF(ISERROR(FIND('112'!$M$9,G2882,1)),"",IF((AND(RIGHT(G2882,2)=RIGHT('112'!$M$9,2),B2882&lt;'112'!$K$9,$O2882='112'!$I$6)),"x",""))</f>
        <v/>
      </c>
      <c r="W2882" s="79" t="str">
        <f>IF(AND('341-CT'!$H$9=H2882,OR(LEFT(N2882,3)=$W$7,LEFT(O2882,3)=$W$7)),"x","")</f>
        <v/>
      </c>
      <c r="X2882" s="79" t="str">
        <f>IF(OR(TH!N2882=TH!$X$7,O2882=TH!$X$7),"x","")</f>
        <v/>
      </c>
      <c r="Y2882" s="79" t="str">
        <f>IF(AND(OR(N2882="131",O2882="131"),H2882='131-CT'!$H$9),"x","")</f>
        <v/>
      </c>
      <c r="Z2882" s="79"/>
      <c r="AA2882" s="79" t="str">
        <f>IF(AND(MONTH(E2882)='IN-NX'!$J$5,'IN-NX'!$D$7=D2882),"x","")</f>
        <v/>
      </c>
      <c r="AB2882" s="79" t="str">
        <f>IF(AND(OR(LEFT(TH!N2882,2)="15",LEFT(TH!O2882,2)="15"),LEFT(TH!O2882,3)&lt;&gt;"111",'152-CT'!$J$8=TH!F2882),"x","")</f>
        <v/>
      </c>
      <c r="AC2882" s="79" t="str">
        <f>IF(AND(OR(LEFT(TH!N2882,2)="15",LEFT(TH!O2882,2)="15"),TK!$E$7=TH!F2882),"x","")</f>
        <v/>
      </c>
      <c r="AD2882" s="79" t="str">
        <f>IF(AND(N2882="1521",MONTH(C2882)='BK-NL'!$M$11),"x","")</f>
        <v/>
      </c>
    </row>
    <row r="2883" spans="1:30" ht="16.5" customHeight="1">
      <c r="A2883" s="318" t="str">
        <f>IF(B2883&lt;&gt;"",IF(AND(B2883='IN-TC'!$S$4,OR(TH!N2883="1111",TH!O2883="1111")),TH!D2883,""),"")</f>
        <v/>
      </c>
      <c r="B2883" s="60" t="str">
        <f t="shared" si="329"/>
        <v/>
      </c>
      <c r="C2883" s="1249"/>
      <c r="D2883" s="301"/>
      <c r="E2883" s="61"/>
      <c r="F2883" s="947"/>
      <c r="G2883" s="64"/>
      <c r="H2883" s="69"/>
      <c r="I2883" s="1193"/>
      <c r="J2883" s="948"/>
      <c r="K2883" s="387"/>
      <c r="L2883" s="394"/>
      <c r="M2883" s="62"/>
      <c r="N2883" s="63"/>
      <c r="O2883" s="63"/>
      <c r="P2883" s="79" t="str">
        <f>IF(AND('331-CT'!$E$7=TH!H2883,OR(N2883="331",O2883="331")),"x","")</f>
        <v/>
      </c>
      <c r="Q2883" s="79" t="str">
        <f>IF(AND(B2883='111'!$L$11,OR($N2883=$Q$7,$O2883=$Q$7)),"x","")</f>
        <v/>
      </c>
      <c r="R2883" s="79" t="str">
        <f>IF(AND($N2883=$Q$7,$B2883&lt;'111'!$L$11),"x","")</f>
        <v/>
      </c>
      <c r="S2883" s="79" t="str">
        <f>IF(AND($O2883=$Q$7,$B2883&lt;'111'!$L$11),"x","")</f>
        <v/>
      </c>
      <c r="T2883" s="79" t="str">
        <f>IF(ISERROR(FIND('112'!$M$9,G2883,1)),"",IF((AND(FIND('112'!$M$9,G2883,1)&gt;=1,B2883='112'!$K$9,OR($N2883='112'!$I$6,$O2883='112'!$I$6))),"x",""))</f>
        <v/>
      </c>
      <c r="U2883" s="79" t="str">
        <f>IF(ISERROR(FIND('112'!$M$9,G2883,1)),"",IF((AND(LEFT(G2883,2)=LEFT('112'!$M$9,2),B2883&lt;'112'!$K$9,$N2883='112'!$I$6)),"x",""))</f>
        <v/>
      </c>
      <c r="V2883" s="79" t="str">
        <f>IF(ISERROR(FIND('112'!$M$9,G2883,1)),"",IF((AND(RIGHT(G2883,2)=RIGHT('112'!$M$9,2),B2883&lt;'112'!$K$9,$O2883='112'!$I$6)),"x",""))</f>
        <v/>
      </c>
      <c r="W2883" s="79" t="str">
        <f>IF(AND('341-CT'!$H$9=H2883,OR(LEFT(N2883,3)=$W$7,LEFT(O2883,3)=$W$7)),"x","")</f>
        <v/>
      </c>
      <c r="X2883" s="79" t="str">
        <f>IF(OR(TH!N2883=TH!$X$7,O2883=TH!$X$7),"x","")</f>
        <v/>
      </c>
      <c r="Y2883" s="79" t="str">
        <f>IF(AND(OR(N2883="131",O2883="131"),H2883='131-CT'!$H$9),"x","")</f>
        <v/>
      </c>
      <c r="Z2883" s="79"/>
      <c r="AA2883" s="79" t="str">
        <f>IF(AND(MONTH(E2883)='IN-NX'!$J$5,'IN-NX'!$D$7=D2883),"x","")</f>
        <v/>
      </c>
      <c r="AB2883" s="79" t="str">
        <f>IF(AND(OR(LEFT(TH!N2883,2)="15",LEFT(TH!O2883,2)="15"),LEFT(TH!O2883,3)&lt;&gt;"111",'152-CT'!$J$8=TH!F2883),"x","")</f>
        <v/>
      </c>
      <c r="AC2883" s="79" t="str">
        <f>IF(AND(OR(LEFT(TH!N2883,2)="15",LEFT(TH!O2883,2)="15"),TK!$E$7=TH!F2883),"x","")</f>
        <v/>
      </c>
      <c r="AD2883" s="79" t="str">
        <f>IF(AND(N2883="1521",MONTH(C2883)='BK-NL'!$M$11),"x","")</f>
        <v/>
      </c>
    </row>
    <row r="2884" spans="1:30" ht="16.5" customHeight="1">
      <c r="A2884" s="318" t="str">
        <f>IF(B2884&lt;&gt;"",IF(AND(B2884='IN-TC'!$S$4,OR(TH!N2884="1111",TH!O2884="1111")),TH!D2884,""),"")</f>
        <v/>
      </c>
      <c r="B2884" s="60" t="str">
        <f t="shared" si="329"/>
        <v/>
      </c>
      <c r="C2884" s="61"/>
      <c r="D2884" s="61"/>
      <c r="E2884" s="61"/>
      <c r="F2884" s="64"/>
      <c r="G2884" s="64"/>
      <c r="H2884" s="69"/>
      <c r="I2884" s="387"/>
      <c r="J2884" s="394"/>
      <c r="K2884" s="387"/>
      <c r="L2884" s="394"/>
      <c r="M2884" s="62"/>
      <c r="N2884" s="63"/>
      <c r="O2884" s="63"/>
      <c r="P2884" s="79" t="str">
        <f>IF(AND('331-CT'!$E$7=TH!H2884,OR(N2884="331",O2884="331")),"x","")</f>
        <v/>
      </c>
      <c r="Q2884" s="79" t="str">
        <f>IF(AND(B2884='111'!$L$11,OR($N2884=$Q$7,$O2884=$Q$7)),"x","")</f>
        <v/>
      </c>
      <c r="R2884" s="79" t="str">
        <f>IF(AND($N2884=$Q$7,$B2884&lt;'111'!$L$11),"x","")</f>
        <v/>
      </c>
      <c r="S2884" s="79" t="str">
        <f>IF(AND($O2884=$Q$7,$B2884&lt;'111'!$L$11),"x","")</f>
        <v/>
      </c>
      <c r="T2884" s="79" t="str">
        <f>IF(ISERROR(FIND('112'!$M$9,G2884,1)),"",IF((AND(FIND('112'!$M$9,G2884,1)&gt;=1,B2884='112'!$K$9,OR($N2884='112'!$I$6,$O2884='112'!$I$6))),"x",""))</f>
        <v/>
      </c>
      <c r="U2884" s="79" t="str">
        <f>IF(ISERROR(FIND('112'!$M$9,G2884,1)),"",IF((AND(LEFT(G2884,2)=LEFT('112'!$M$9,2),B2884&lt;'112'!$K$9,$N2884='112'!$I$6)),"x",""))</f>
        <v/>
      </c>
      <c r="V2884" s="79" t="str">
        <f>IF(ISERROR(FIND('112'!$M$9,G2884,1)),"",IF((AND(RIGHT(G2884,2)=RIGHT('112'!$M$9,2),B2884&lt;'112'!$K$9,$O2884='112'!$I$6)),"x",""))</f>
        <v/>
      </c>
      <c r="W2884" s="79" t="str">
        <f>IF(AND('341-CT'!$H$9=H2884,OR(LEFT(N2884,3)=$W$7,LEFT(O2884,3)=$W$7)),"x","")</f>
        <v/>
      </c>
      <c r="X2884" s="79" t="str">
        <f>IF(OR(TH!N2884=TH!$X$7,O2884=TH!$X$7),"x","")</f>
        <v/>
      </c>
      <c r="Y2884" s="79" t="str">
        <f>IF(AND(OR(N2884="131",O2884="131"),H2884='131-CT'!$H$9),"x","")</f>
        <v/>
      </c>
      <c r="Z2884" s="79"/>
      <c r="AA2884" s="79" t="str">
        <f>IF(AND(MONTH(E2884)='IN-NX'!$J$5,'IN-NX'!$D$7=D2884),"x","")</f>
        <v/>
      </c>
      <c r="AB2884" s="79" t="str">
        <f>IF(AND(OR(LEFT(TH!N2884,2)="15",LEFT(TH!O2884,2)="15"),LEFT(TH!O2884,3)&lt;&gt;"111",'152-CT'!$J$8=TH!F2884),"x","")</f>
        <v/>
      </c>
      <c r="AC2884" s="79" t="str">
        <f>IF(AND(OR(LEFT(TH!N2884,2)="15",LEFT(TH!O2884,2)="15"),TK!$E$7=TH!F2884),"x","")</f>
        <v/>
      </c>
      <c r="AD2884" s="79" t="str">
        <f>IF(AND(N2884="1521",MONTH(C2884)='BK-NL'!$M$11),"x","")</f>
        <v/>
      </c>
    </row>
    <row r="2885" spans="1:30" ht="16.5" customHeight="1">
      <c r="A2885" s="318" t="str">
        <f>IF(B2885&lt;&gt;"",IF(AND(B2885='IN-TC'!$S$4,OR(TH!N2885="1111",TH!O2885="1111")),TH!D2885,""),"")</f>
        <v/>
      </c>
      <c r="B2885" s="60" t="str">
        <f t="shared" si="329"/>
        <v/>
      </c>
      <c r="C2885" s="61"/>
      <c r="D2885" s="61"/>
      <c r="E2885" s="61"/>
      <c r="F2885" s="64"/>
      <c r="G2885" s="64"/>
      <c r="H2885" s="69"/>
      <c r="I2885" s="387"/>
      <c r="J2885" s="394"/>
      <c r="K2885" s="387"/>
      <c r="L2885" s="394"/>
      <c r="M2885" s="62"/>
      <c r="N2885" s="63"/>
      <c r="O2885" s="63"/>
      <c r="P2885" s="79" t="str">
        <f>IF(AND('331-CT'!$E$7=TH!H2885,OR(N2885="331",O2885="331")),"x","")</f>
        <v/>
      </c>
      <c r="Q2885" s="79" t="str">
        <f>IF(AND(B2885='111'!$L$11,OR($N2885=$Q$7,$O2885=$Q$7)),"x","")</f>
        <v/>
      </c>
      <c r="R2885" s="79" t="str">
        <f>IF(AND($N2885=$Q$7,$B2885&lt;'111'!$L$11),"x","")</f>
        <v/>
      </c>
      <c r="S2885" s="79" t="str">
        <f>IF(AND($O2885=$Q$7,$B2885&lt;'111'!$L$11),"x","")</f>
        <v/>
      </c>
      <c r="T2885" s="79" t="str">
        <f>IF(ISERROR(FIND('112'!$M$9,G2885,1)),"",IF((AND(FIND('112'!$M$9,G2885,1)&gt;=1,B2885='112'!$K$9,OR($N2885='112'!$I$6,$O2885='112'!$I$6))),"x",""))</f>
        <v/>
      </c>
      <c r="U2885" s="79" t="str">
        <f>IF(ISERROR(FIND('112'!$M$9,G2885,1)),"",IF((AND(LEFT(G2885,2)=LEFT('112'!$M$9,2),B2885&lt;'112'!$K$9,$N2885='112'!$I$6)),"x",""))</f>
        <v/>
      </c>
      <c r="V2885" s="79" t="str">
        <f>IF(ISERROR(FIND('112'!$M$9,G2885,1)),"",IF((AND(RIGHT(G2885,2)=RIGHT('112'!$M$9,2),B2885&lt;'112'!$K$9,$O2885='112'!$I$6)),"x",""))</f>
        <v/>
      </c>
      <c r="W2885" s="79" t="str">
        <f>IF(AND('341-CT'!$H$9=H2885,OR(LEFT(N2885,3)=$W$7,LEFT(O2885,3)=$W$7)),"x","")</f>
        <v/>
      </c>
      <c r="X2885" s="79" t="str">
        <f>IF(OR(TH!N2885=TH!$X$7,O2885=TH!$X$7),"x","")</f>
        <v/>
      </c>
      <c r="Y2885" s="79" t="str">
        <f>IF(AND(OR(N2885="131",O2885="131"),H2885='131-CT'!$H$9),"x","")</f>
        <v/>
      </c>
      <c r="Z2885" s="79"/>
      <c r="AA2885" s="79" t="str">
        <f>IF(AND(MONTH(E2885)='IN-NX'!$J$5,'IN-NX'!$D$7=D2885),"x","")</f>
        <v/>
      </c>
      <c r="AB2885" s="79" t="str">
        <f>IF(AND(OR(LEFT(TH!N2885,2)="15",LEFT(TH!O2885,2)="15"),LEFT(TH!O2885,3)&lt;&gt;"111",'152-CT'!$J$8=TH!F2885),"x","")</f>
        <v/>
      </c>
      <c r="AC2885" s="79" t="str">
        <f>IF(AND(OR(LEFT(TH!N2885,2)="15",LEFT(TH!O2885,2)="15"),TK!$E$7=TH!F2885),"x","")</f>
        <v/>
      </c>
      <c r="AD2885" s="79" t="str">
        <f>IF(AND(N2885="1521",MONTH(C2885)='BK-NL'!$M$11),"x","")</f>
        <v/>
      </c>
    </row>
    <row r="2886" spans="1:30" ht="16.5" customHeight="1">
      <c r="A2886" s="318" t="str">
        <f>IF(B2886&lt;&gt;"",IF(AND(B2886='IN-TC'!$S$4,OR(TH!N2886="1111",TH!O2886="1111")),TH!D2886,""),"")</f>
        <v/>
      </c>
      <c r="B2886" s="60" t="str">
        <f t="shared" si="329"/>
        <v/>
      </c>
      <c r="C2886" s="61"/>
      <c r="D2886" s="61"/>
      <c r="E2886" s="61"/>
      <c r="F2886" s="64"/>
      <c r="G2886" s="64"/>
      <c r="H2886" s="69"/>
      <c r="I2886" s="387"/>
      <c r="J2886" s="394"/>
      <c r="K2886" s="387"/>
      <c r="L2886" s="394"/>
      <c r="M2886" s="62"/>
      <c r="N2886" s="63"/>
      <c r="O2886" s="63"/>
      <c r="P2886" s="79" t="str">
        <f>IF(AND('331-CT'!$E$7=TH!H2886,OR(N2886="331",O2886="331")),"x","")</f>
        <v/>
      </c>
      <c r="Q2886" s="79" t="str">
        <f>IF(AND(B2886='111'!$L$11,OR($N2886=$Q$7,$O2886=$Q$7)),"x","")</f>
        <v/>
      </c>
      <c r="R2886" s="79" t="str">
        <f>IF(AND($N2886=$Q$7,$B2886&lt;'111'!$L$11),"x","")</f>
        <v/>
      </c>
      <c r="S2886" s="79" t="str">
        <f>IF(AND($O2886=$Q$7,$B2886&lt;'111'!$L$11),"x","")</f>
        <v/>
      </c>
      <c r="T2886" s="79" t="str">
        <f>IF(ISERROR(FIND('112'!$M$9,G2886,1)),"",IF((AND(FIND('112'!$M$9,G2886,1)&gt;=1,B2886='112'!$K$9,OR($N2886='112'!$I$6,$O2886='112'!$I$6))),"x",""))</f>
        <v/>
      </c>
      <c r="U2886" s="79" t="str">
        <f>IF(ISERROR(FIND('112'!$M$9,G2886,1)),"",IF((AND(LEFT(G2886,2)=LEFT('112'!$M$9,2),B2886&lt;'112'!$K$9,$N2886='112'!$I$6)),"x",""))</f>
        <v/>
      </c>
      <c r="V2886" s="79" t="str">
        <f>IF(ISERROR(FIND('112'!$M$9,G2886,1)),"",IF((AND(RIGHT(G2886,2)=RIGHT('112'!$M$9,2),B2886&lt;'112'!$K$9,$O2886='112'!$I$6)),"x",""))</f>
        <v/>
      </c>
      <c r="W2886" s="79" t="str">
        <f>IF(AND('341-CT'!$H$9=H2886,OR(LEFT(N2886,3)=$W$7,LEFT(O2886,3)=$W$7)),"x","")</f>
        <v/>
      </c>
      <c r="X2886" s="79" t="str">
        <f>IF(OR(TH!N2886=TH!$X$7,O2886=TH!$X$7),"x","")</f>
        <v/>
      </c>
      <c r="Y2886" s="79" t="str">
        <f>IF(AND(OR(N2886="131",O2886="131"),H2886='131-CT'!$H$9),"x","")</f>
        <v/>
      </c>
      <c r="Z2886" s="79"/>
      <c r="AA2886" s="79" t="str">
        <f>IF(AND(MONTH(E2886)='IN-NX'!$J$5,'IN-NX'!$D$7=D2886),"x","")</f>
        <v/>
      </c>
      <c r="AB2886" s="79" t="str">
        <f>IF(AND(OR(LEFT(TH!N2886,2)="15",LEFT(TH!O2886,2)="15"),LEFT(TH!O2886,3)&lt;&gt;"111",'152-CT'!$J$8=TH!F2886),"x","")</f>
        <v/>
      </c>
      <c r="AC2886" s="79" t="str">
        <f>IF(AND(OR(LEFT(TH!N2886,2)="15",LEFT(TH!O2886,2)="15"),TK!$E$7=TH!F2886),"x","")</f>
        <v/>
      </c>
      <c r="AD2886" s="79" t="str">
        <f>IF(AND(N2886="1521",MONTH(C2886)='BK-NL'!$M$11),"x","")</f>
        <v/>
      </c>
    </row>
    <row r="2887" spans="1:30" ht="16.5" customHeight="1">
      <c r="A2887" s="318" t="str">
        <f>IF(B2887&lt;&gt;"",IF(AND(B2887='IN-TC'!$S$4,OR(TH!N2887="1111",TH!O2887="1111")),TH!D2887,""),"")</f>
        <v/>
      </c>
      <c r="B2887" s="60" t="str">
        <f t="shared" si="329"/>
        <v/>
      </c>
      <c r="C2887" s="61"/>
      <c r="D2887" s="61"/>
      <c r="E2887" s="61"/>
      <c r="F2887" s="64"/>
      <c r="G2887" s="64"/>
      <c r="H2887" s="69"/>
      <c r="I2887" s="387"/>
      <c r="J2887" s="394"/>
      <c r="K2887" s="387"/>
      <c r="L2887" s="394"/>
      <c r="M2887" s="62"/>
      <c r="N2887" s="63"/>
      <c r="O2887" s="63"/>
      <c r="P2887" s="79" t="str">
        <f>IF(AND('331-CT'!$E$7=TH!H2887,OR(N2887="331",O2887="331")),"x","")</f>
        <v/>
      </c>
      <c r="Q2887" s="79" t="str">
        <f>IF(AND(B2887='111'!$L$11,OR($N2887=$Q$7,$O2887=$Q$7)),"x","")</f>
        <v/>
      </c>
      <c r="R2887" s="79" t="str">
        <f>IF(AND($N2887=$Q$7,$B2887&lt;'111'!$L$11),"x","")</f>
        <v/>
      </c>
      <c r="S2887" s="79" t="str">
        <f>IF(AND($O2887=$Q$7,$B2887&lt;'111'!$L$11),"x","")</f>
        <v/>
      </c>
      <c r="T2887" s="79" t="str">
        <f>IF(ISERROR(FIND('112'!$M$9,G2887,1)),"",IF((AND(FIND('112'!$M$9,G2887,1)&gt;=1,B2887='112'!$K$9,OR($N2887='112'!$I$6,$O2887='112'!$I$6))),"x",""))</f>
        <v/>
      </c>
      <c r="U2887" s="79" t="str">
        <f>IF(ISERROR(FIND('112'!$M$9,G2887,1)),"",IF((AND(LEFT(G2887,2)=LEFT('112'!$M$9,2),B2887&lt;'112'!$K$9,$N2887='112'!$I$6)),"x",""))</f>
        <v/>
      </c>
      <c r="V2887" s="79" t="str">
        <f>IF(ISERROR(FIND('112'!$M$9,G2887,1)),"",IF((AND(RIGHT(G2887,2)=RIGHT('112'!$M$9,2),B2887&lt;'112'!$K$9,$O2887='112'!$I$6)),"x",""))</f>
        <v/>
      </c>
      <c r="W2887" s="79" t="str">
        <f>IF(AND('341-CT'!$H$9=H2887,OR(LEFT(N2887,3)=$W$7,LEFT(O2887,3)=$W$7)),"x","")</f>
        <v/>
      </c>
      <c r="X2887" s="79" t="str">
        <f>IF(OR(TH!N2887=TH!$X$7,O2887=TH!$X$7),"x","")</f>
        <v/>
      </c>
      <c r="Y2887" s="79" t="str">
        <f>IF(AND(OR(N2887="131",O2887="131"),H2887='131-CT'!$H$9),"x","")</f>
        <v/>
      </c>
      <c r="Z2887" s="79"/>
      <c r="AA2887" s="79" t="str">
        <f>IF(AND(MONTH(E2887)='IN-NX'!$J$5,'IN-NX'!$D$7=D2887),"x","")</f>
        <v/>
      </c>
      <c r="AB2887" s="79" t="str">
        <f>IF(AND(OR(LEFT(TH!N2887,2)="15",LEFT(TH!O2887,2)="15"),LEFT(TH!O2887,3)&lt;&gt;"111",'152-CT'!$J$8=TH!F2887),"x","")</f>
        <v/>
      </c>
      <c r="AC2887" s="79" t="str">
        <f>IF(AND(OR(LEFT(TH!N2887,2)="15",LEFT(TH!O2887,2)="15"),TK!$E$7=TH!F2887),"x","")</f>
        <v/>
      </c>
      <c r="AD2887" s="79" t="str">
        <f>IF(AND(N2887="1521",MONTH(C2887)='BK-NL'!$M$11),"x","")</f>
        <v/>
      </c>
    </row>
    <row r="2888" spans="1:30" ht="16.5" customHeight="1">
      <c r="A2888" s="318" t="str">
        <f>IF(B2888&lt;&gt;"",IF(AND(B2888='IN-TC'!$S$4,OR(TH!N2888="1111",TH!O2888="1111")),TH!D2888,""),"")</f>
        <v/>
      </c>
      <c r="B2888" s="60" t="str">
        <f t="shared" si="329"/>
        <v/>
      </c>
      <c r="C2888" s="61"/>
      <c r="D2888" s="61"/>
      <c r="E2888" s="61"/>
      <c r="F2888" s="64"/>
      <c r="G2888" s="64"/>
      <c r="H2888" s="69"/>
      <c r="I2888" s="387"/>
      <c r="J2888" s="394"/>
      <c r="K2888" s="387"/>
      <c r="L2888" s="394"/>
      <c r="M2888" s="62"/>
      <c r="N2888" s="63"/>
      <c r="O2888" s="63"/>
      <c r="P2888" s="79" t="str">
        <f>IF(AND('331-CT'!$E$7=TH!H2888,OR(N2888="331",O2888="331")),"x","")</f>
        <v/>
      </c>
      <c r="Q2888" s="79" t="str">
        <f>IF(AND(B2888='111'!$L$11,OR($N2888=$Q$7,$O2888=$Q$7)),"x","")</f>
        <v/>
      </c>
      <c r="R2888" s="79" t="str">
        <f>IF(AND($N2888=$Q$7,$B2888&lt;'111'!$L$11),"x","")</f>
        <v/>
      </c>
      <c r="S2888" s="79" t="str">
        <f>IF(AND($O2888=$Q$7,$B2888&lt;'111'!$L$11),"x","")</f>
        <v/>
      </c>
      <c r="T2888" s="79" t="str">
        <f>IF(ISERROR(FIND('112'!$M$9,G2888,1)),"",IF((AND(FIND('112'!$M$9,G2888,1)&gt;=1,B2888='112'!$K$9,OR($N2888='112'!$I$6,$O2888='112'!$I$6))),"x",""))</f>
        <v/>
      </c>
      <c r="U2888" s="79" t="str">
        <f>IF(ISERROR(FIND('112'!$M$9,G2888,1)),"",IF((AND(LEFT(G2888,2)=LEFT('112'!$M$9,2),B2888&lt;'112'!$K$9,$N2888='112'!$I$6)),"x",""))</f>
        <v/>
      </c>
      <c r="V2888" s="79" t="str">
        <f>IF(ISERROR(FIND('112'!$M$9,G2888,1)),"",IF((AND(RIGHT(G2888,2)=RIGHT('112'!$M$9,2),B2888&lt;'112'!$K$9,$O2888='112'!$I$6)),"x",""))</f>
        <v/>
      </c>
      <c r="W2888" s="79" t="str">
        <f>IF(AND('341-CT'!$H$9=H2888,OR(LEFT(N2888,3)=$W$7,LEFT(O2888,3)=$W$7)),"x","")</f>
        <v/>
      </c>
      <c r="X2888" s="79" t="str">
        <f>IF(OR(TH!N2888=TH!$X$7,O2888=TH!$X$7),"x","")</f>
        <v/>
      </c>
      <c r="Y2888" s="79" t="str">
        <f>IF(AND(OR(N2888="131",O2888="131"),H2888='131-CT'!$H$9),"x","")</f>
        <v/>
      </c>
      <c r="Z2888" s="79"/>
      <c r="AA2888" s="79" t="str">
        <f>IF(AND(MONTH(E2888)='IN-NX'!$J$5,'IN-NX'!$D$7=D2888),"x","")</f>
        <v/>
      </c>
      <c r="AB2888" s="79" t="str">
        <f>IF(AND(OR(LEFT(TH!N2888,2)="15",LEFT(TH!O2888,2)="15"),LEFT(TH!O2888,3)&lt;&gt;"111",'152-CT'!$J$8=TH!F2888),"x","")</f>
        <v/>
      </c>
      <c r="AC2888" s="79" t="str">
        <f>IF(AND(OR(LEFT(TH!N2888,2)="15",LEFT(TH!O2888,2)="15"),TK!$E$7=TH!F2888),"x","")</f>
        <v/>
      </c>
      <c r="AD2888" s="79" t="str">
        <f>IF(AND(N2888="1521",MONTH(C2888)='BK-NL'!$M$11),"x","")</f>
        <v/>
      </c>
    </row>
    <row r="2889" spans="1:30" ht="16.5" customHeight="1">
      <c r="A2889" s="318" t="str">
        <f>IF(B2889&lt;&gt;"",IF(AND(B2889='IN-TC'!$S$4,OR(TH!N2889="1111",TH!O2889="1111")),TH!D2889,""),"")</f>
        <v/>
      </c>
      <c r="B2889" s="60" t="str">
        <f t="shared" si="329"/>
        <v/>
      </c>
      <c r="C2889" s="61"/>
      <c r="D2889" s="61"/>
      <c r="E2889" s="61"/>
      <c r="F2889" s="64"/>
      <c r="G2889" s="64"/>
      <c r="H2889" s="69"/>
      <c r="I2889" s="387"/>
      <c r="J2889" s="394"/>
      <c r="K2889" s="387"/>
      <c r="L2889" s="394"/>
      <c r="M2889" s="62"/>
      <c r="N2889" s="63"/>
      <c r="O2889" s="63"/>
      <c r="P2889" s="79" t="str">
        <f>IF(AND('331-CT'!$E$7=TH!H2889,OR(N2889="331",O2889="331")),"x","")</f>
        <v/>
      </c>
      <c r="Q2889" s="79" t="str">
        <f>IF(AND(B2889='111'!$L$11,OR($N2889=$Q$7,$O2889=$Q$7)),"x","")</f>
        <v/>
      </c>
      <c r="R2889" s="79" t="str">
        <f>IF(AND($N2889=$Q$7,$B2889&lt;'111'!$L$11),"x","")</f>
        <v/>
      </c>
      <c r="S2889" s="79" t="str">
        <f>IF(AND($O2889=$Q$7,$B2889&lt;'111'!$L$11),"x","")</f>
        <v/>
      </c>
      <c r="T2889" s="79" t="str">
        <f>IF(ISERROR(FIND('112'!$M$9,G2889,1)),"",IF((AND(FIND('112'!$M$9,G2889,1)&gt;=1,B2889='112'!$K$9,OR($N2889='112'!$I$6,$O2889='112'!$I$6))),"x",""))</f>
        <v/>
      </c>
      <c r="U2889" s="79" t="str">
        <f>IF(ISERROR(FIND('112'!$M$9,G2889,1)),"",IF((AND(LEFT(G2889,2)=LEFT('112'!$M$9,2),B2889&lt;'112'!$K$9,$N2889='112'!$I$6)),"x",""))</f>
        <v/>
      </c>
      <c r="V2889" s="79" t="str">
        <f>IF(ISERROR(FIND('112'!$M$9,G2889,1)),"",IF((AND(RIGHT(G2889,2)=RIGHT('112'!$M$9,2),B2889&lt;'112'!$K$9,$O2889='112'!$I$6)),"x",""))</f>
        <v/>
      </c>
      <c r="W2889" s="79" t="str">
        <f>IF(AND('341-CT'!$H$9=H2889,OR(LEFT(N2889,3)=$W$7,LEFT(O2889,3)=$W$7)),"x","")</f>
        <v/>
      </c>
      <c r="X2889" s="79" t="str">
        <f>IF(OR(TH!N2889=TH!$X$7,O2889=TH!$X$7),"x","")</f>
        <v/>
      </c>
      <c r="Y2889" s="79" t="str">
        <f>IF(AND(OR(N2889="131",O2889="131"),H2889='131-CT'!$H$9),"x","")</f>
        <v/>
      </c>
      <c r="Z2889" s="79"/>
      <c r="AA2889" s="79" t="str">
        <f>IF(AND(MONTH(E2889)='IN-NX'!$J$5,'IN-NX'!$D$7=D2889),"x","")</f>
        <v/>
      </c>
      <c r="AB2889" s="79" t="str">
        <f>IF(AND(OR(LEFT(TH!N2889,2)="15",LEFT(TH!O2889,2)="15"),LEFT(TH!O2889,3)&lt;&gt;"111",'152-CT'!$J$8=TH!F2889),"x","")</f>
        <v/>
      </c>
      <c r="AC2889" s="79" t="str">
        <f>IF(AND(OR(LEFT(TH!N2889,2)="15",LEFT(TH!O2889,2)="15"),TK!$E$7=TH!F2889),"x","")</f>
        <v/>
      </c>
      <c r="AD2889" s="79" t="str">
        <f>IF(AND(N2889="1521",MONTH(C2889)='BK-NL'!$M$11),"x","")</f>
        <v/>
      </c>
    </row>
    <row r="2890" spans="1:30" ht="16.5" customHeight="1">
      <c r="A2890" s="318" t="str">
        <f>IF(B2890&lt;&gt;"",IF(AND(B2890='IN-TC'!$S$4,OR(TH!N2890="1111",TH!O2890="1111")),TH!D2890,""),"")</f>
        <v/>
      </c>
      <c r="B2890" s="60" t="str">
        <f t="shared" si="329"/>
        <v/>
      </c>
      <c r="C2890" s="61"/>
      <c r="D2890" s="61"/>
      <c r="E2890" s="61"/>
      <c r="F2890" s="64"/>
      <c r="G2890" s="64"/>
      <c r="H2890" s="69"/>
      <c r="I2890" s="387"/>
      <c r="J2890" s="394"/>
      <c r="K2890" s="387"/>
      <c r="L2890" s="394"/>
      <c r="M2890" s="62"/>
      <c r="N2890" s="63"/>
      <c r="O2890" s="63"/>
      <c r="P2890" s="79" t="str">
        <f>IF(AND('331-CT'!$E$7=TH!H2890,OR(N2890="331",O2890="331")),"x","")</f>
        <v/>
      </c>
      <c r="Q2890" s="79" t="str">
        <f>IF(AND(B2890='111'!$L$11,OR($N2890=$Q$7,$O2890=$Q$7)),"x","")</f>
        <v/>
      </c>
      <c r="R2890" s="79" t="str">
        <f>IF(AND($N2890=$Q$7,$B2890&lt;'111'!$L$11),"x","")</f>
        <v/>
      </c>
      <c r="S2890" s="79" t="str">
        <f>IF(AND($O2890=$Q$7,$B2890&lt;'111'!$L$11),"x","")</f>
        <v/>
      </c>
      <c r="T2890" s="79" t="str">
        <f>IF(ISERROR(FIND('112'!$M$9,G2890,1)),"",IF((AND(FIND('112'!$M$9,G2890,1)&gt;=1,B2890='112'!$K$9,OR($N2890='112'!$I$6,$O2890='112'!$I$6))),"x",""))</f>
        <v/>
      </c>
      <c r="U2890" s="79" t="str">
        <f>IF(ISERROR(FIND('112'!$M$9,G2890,1)),"",IF((AND(LEFT(G2890,2)=LEFT('112'!$M$9,2),B2890&lt;'112'!$K$9,$N2890='112'!$I$6)),"x",""))</f>
        <v/>
      </c>
      <c r="V2890" s="79" t="str">
        <f>IF(ISERROR(FIND('112'!$M$9,G2890,1)),"",IF((AND(RIGHT(G2890,2)=RIGHT('112'!$M$9,2),B2890&lt;'112'!$K$9,$O2890='112'!$I$6)),"x",""))</f>
        <v/>
      </c>
      <c r="W2890" s="79" t="str">
        <f>IF(AND('341-CT'!$H$9=H2890,OR(LEFT(N2890,3)=$W$7,LEFT(O2890,3)=$W$7)),"x","")</f>
        <v/>
      </c>
      <c r="X2890" s="79" t="str">
        <f>IF(OR(TH!N2890=TH!$X$7,O2890=TH!$X$7),"x","")</f>
        <v/>
      </c>
      <c r="Y2890" s="79" t="str">
        <f>IF(AND(OR(N2890="131",O2890="131"),H2890='131-CT'!$H$9),"x","")</f>
        <v/>
      </c>
      <c r="Z2890" s="79"/>
      <c r="AA2890" s="79" t="str">
        <f>IF(AND(MONTH(E2890)='IN-NX'!$J$5,'IN-NX'!$D$7=D2890),"x","")</f>
        <v/>
      </c>
      <c r="AB2890" s="79" t="str">
        <f>IF(AND(OR(LEFT(TH!N2890,2)="15",LEFT(TH!O2890,2)="15"),LEFT(TH!O2890,3)&lt;&gt;"111",'152-CT'!$J$8=TH!F2890),"x","")</f>
        <v/>
      </c>
      <c r="AC2890" s="79" t="str">
        <f>IF(AND(OR(LEFT(TH!N2890,2)="15",LEFT(TH!O2890,2)="15"),TK!$E$7=TH!F2890),"x","")</f>
        <v/>
      </c>
      <c r="AD2890" s="79" t="str">
        <f>IF(AND(N2890="1521",MONTH(C2890)='BK-NL'!$M$11),"x","")</f>
        <v/>
      </c>
    </row>
    <row r="2891" spans="1:30" ht="16.5" customHeight="1">
      <c r="A2891" s="318" t="str">
        <f>IF(B2891&lt;&gt;"",IF(AND(B2891='IN-TC'!$S$4,OR(TH!N2891="1111",TH!O2891="1111")),TH!D2891,""),"")</f>
        <v/>
      </c>
      <c r="B2891" s="60" t="str">
        <f t="shared" si="329"/>
        <v/>
      </c>
      <c r="C2891" s="61"/>
      <c r="D2891" s="61"/>
      <c r="E2891" s="61"/>
      <c r="F2891" s="64"/>
      <c r="G2891" s="64"/>
      <c r="H2891" s="69"/>
      <c r="I2891" s="387"/>
      <c r="J2891" s="394"/>
      <c r="K2891" s="387"/>
      <c r="L2891" s="394"/>
      <c r="M2891" s="62"/>
      <c r="N2891" s="63"/>
      <c r="O2891" s="63"/>
      <c r="P2891" s="79" t="str">
        <f>IF(AND('331-CT'!$E$7=TH!H2891,OR(N2891="331",O2891="331")),"x","")</f>
        <v/>
      </c>
      <c r="Q2891" s="79" t="str">
        <f>IF(AND(B2891='111'!$L$11,OR($N2891=$Q$7,$O2891=$Q$7)),"x","")</f>
        <v/>
      </c>
      <c r="R2891" s="79" t="str">
        <f>IF(AND($N2891=$Q$7,$B2891&lt;'111'!$L$11),"x","")</f>
        <v/>
      </c>
      <c r="S2891" s="79" t="str">
        <f>IF(AND($O2891=$Q$7,$B2891&lt;'111'!$L$11),"x","")</f>
        <v/>
      </c>
      <c r="T2891" s="79" t="str">
        <f>IF(ISERROR(FIND('112'!$M$9,G2891,1)),"",IF((AND(FIND('112'!$M$9,G2891,1)&gt;=1,B2891='112'!$K$9,OR($N2891='112'!$I$6,$O2891='112'!$I$6))),"x",""))</f>
        <v/>
      </c>
      <c r="U2891" s="79" t="str">
        <f>IF(ISERROR(FIND('112'!$M$9,G2891,1)),"",IF((AND(LEFT(G2891,2)=LEFT('112'!$M$9,2),B2891&lt;'112'!$K$9,$N2891='112'!$I$6)),"x",""))</f>
        <v/>
      </c>
      <c r="V2891" s="79" t="str">
        <f>IF(ISERROR(FIND('112'!$M$9,G2891,1)),"",IF((AND(RIGHT(G2891,2)=RIGHT('112'!$M$9,2),B2891&lt;'112'!$K$9,$O2891='112'!$I$6)),"x",""))</f>
        <v/>
      </c>
      <c r="W2891" s="79" t="str">
        <f>IF(AND('341-CT'!$H$9=H2891,OR(LEFT(N2891,3)=$W$7,LEFT(O2891,3)=$W$7)),"x","")</f>
        <v/>
      </c>
      <c r="X2891" s="79" t="str">
        <f>IF(OR(TH!N2891=TH!$X$7,O2891=TH!$X$7),"x","")</f>
        <v/>
      </c>
      <c r="Y2891" s="79" t="str">
        <f>IF(AND(OR(N2891="131",O2891="131"),H2891='131-CT'!$H$9),"x","")</f>
        <v/>
      </c>
      <c r="Z2891" s="79"/>
      <c r="AA2891" s="79" t="str">
        <f>IF(AND(MONTH(E2891)='IN-NX'!$J$5,'IN-NX'!$D$7=D2891),"x","")</f>
        <v/>
      </c>
      <c r="AB2891" s="79" t="str">
        <f>IF(AND(OR(LEFT(TH!N2891,2)="15",LEFT(TH!O2891,2)="15"),LEFT(TH!O2891,3)&lt;&gt;"111",'152-CT'!$J$8=TH!F2891),"x","")</f>
        <v/>
      </c>
      <c r="AC2891" s="79" t="str">
        <f>IF(AND(OR(LEFT(TH!N2891,2)="15",LEFT(TH!O2891,2)="15"),TK!$E$7=TH!F2891),"x","")</f>
        <v/>
      </c>
      <c r="AD2891" s="79" t="str">
        <f>IF(AND(N2891="1521",MONTH(C2891)='BK-NL'!$M$11),"x","")</f>
        <v/>
      </c>
    </row>
    <row r="2892" spans="1:30" ht="16.5" customHeight="1">
      <c r="A2892" s="318" t="str">
        <f>IF(B2892&lt;&gt;"",IF(AND(B2892='IN-TC'!$S$4,OR(TH!N2892="1111",TH!O2892="1111")),TH!D2892,""),"")</f>
        <v/>
      </c>
      <c r="B2892" s="60" t="str">
        <f t="shared" si="329"/>
        <v/>
      </c>
      <c r="C2892" s="61"/>
      <c r="D2892" s="61"/>
      <c r="E2892" s="61"/>
      <c r="F2892" s="64"/>
      <c r="G2892" s="64"/>
      <c r="H2892" s="69"/>
      <c r="I2892" s="387"/>
      <c r="J2892" s="394"/>
      <c r="K2892" s="387"/>
      <c r="L2892" s="392"/>
      <c r="M2892" s="62"/>
      <c r="N2892" s="63"/>
      <c r="O2892" s="304"/>
      <c r="P2892" s="79" t="str">
        <f>IF(AND('331-CT'!$E$7=TH!H2892,OR(N2892="331",O2892="331")),"x","")</f>
        <v/>
      </c>
      <c r="Q2892" s="79" t="str">
        <f>IF(AND(B2892='111'!$L$11,OR($N2892=$Q$7,$O2892=$Q$7)),"x","")</f>
        <v/>
      </c>
      <c r="R2892" s="79" t="str">
        <f>IF(AND($N2892=$Q$7,$B2892&lt;'111'!$L$11),"x","")</f>
        <v/>
      </c>
      <c r="S2892" s="79" t="str">
        <f>IF(AND($O2892=$Q$7,$B2892&lt;'111'!$L$11),"x","")</f>
        <v/>
      </c>
      <c r="T2892" s="79" t="str">
        <f>IF(ISERROR(FIND('112'!$M$9,G2892,1)),"",IF((AND(FIND('112'!$M$9,G2892,1)&gt;=1,B2892='112'!$K$9,OR($N2892='112'!$I$6,$O2892='112'!$I$6))),"x",""))</f>
        <v/>
      </c>
      <c r="U2892" s="79" t="str">
        <f>IF(ISERROR(FIND('112'!$M$9,G2892,1)),"",IF((AND(LEFT(G2892,2)=LEFT('112'!$M$9,2),B2892&lt;'112'!$K$9,$N2892='112'!$I$6)),"x",""))</f>
        <v/>
      </c>
      <c r="V2892" s="79" t="str">
        <f>IF(ISERROR(FIND('112'!$M$9,G2892,1)),"",IF((AND(RIGHT(G2892,2)=RIGHT('112'!$M$9,2),B2892&lt;'112'!$K$9,$O2892='112'!$I$6)),"x",""))</f>
        <v/>
      </c>
      <c r="W2892" s="79" t="str">
        <f>IF(AND('341-CT'!$H$9=H2892,OR(LEFT(N2892,3)=$W$7,LEFT(O2892,3)=$W$7)),"x","")</f>
        <v/>
      </c>
      <c r="X2892" s="79" t="str">
        <f>IF(OR(TH!N2892=TH!$X$7,O2892=TH!$X$7),"x","")</f>
        <v/>
      </c>
      <c r="Y2892" s="79" t="str">
        <f>IF(AND(OR(N2892="131",O2892="131"),H2892='131-CT'!$H$9),"x","")</f>
        <v/>
      </c>
      <c r="Z2892" s="79"/>
      <c r="AA2892" s="79" t="str">
        <f>IF(AND(MONTH(E2892)='IN-NX'!$J$5,'IN-NX'!$D$7=D2892),"x","")</f>
        <v/>
      </c>
      <c r="AB2892" s="79" t="str">
        <f>IF(AND(OR(LEFT(TH!N2892,2)="15",LEFT(TH!O2892,2)="15"),LEFT(TH!O2892,3)&lt;&gt;"111",'152-CT'!$J$8=TH!F2892),"x","")</f>
        <v/>
      </c>
      <c r="AC2892" s="79" t="str">
        <f>IF(AND(OR(LEFT(TH!N2892,2)="15",LEFT(TH!O2892,2)="15"),TK!$E$7=TH!F2892),"x","")</f>
        <v/>
      </c>
      <c r="AD2892" s="79" t="str">
        <f>IF(AND(N2892="1521",MONTH(C2892)='BK-NL'!$M$11),"x","")</f>
        <v/>
      </c>
    </row>
    <row r="2893" spans="1:30" ht="16.5" customHeight="1">
      <c r="A2893" s="318" t="str">
        <f>IF(B2893&lt;&gt;"",IF(AND(B2893='IN-TC'!$S$4,OR(TH!N2893="1111",TH!O2893="1111")),TH!D2893,""),"")</f>
        <v/>
      </c>
      <c r="B2893" s="60" t="str">
        <f t="shared" si="329"/>
        <v/>
      </c>
      <c r="C2893" s="61"/>
      <c r="D2893" s="61"/>
      <c r="E2893" s="61"/>
      <c r="F2893" s="64"/>
      <c r="G2893" s="64"/>
      <c r="H2893" s="69"/>
      <c r="I2893" s="385"/>
      <c r="J2893" s="395"/>
      <c r="K2893" s="385"/>
      <c r="L2893" s="392"/>
      <c r="M2893" s="62"/>
      <c r="N2893" s="63"/>
      <c r="O2893" s="304"/>
      <c r="P2893" s="79" t="str">
        <f>IF(AND('331-CT'!$E$7=TH!H2893,OR(N2893="331",O2893="331")),"x","")</f>
        <v/>
      </c>
      <c r="Q2893" s="79" t="str">
        <f>IF(AND(B2893='111'!$L$11,OR($N2893=$Q$7,$O2893=$Q$7)),"x","")</f>
        <v/>
      </c>
      <c r="R2893" s="79" t="str">
        <f>IF(AND($N2893=$Q$7,$B2893&lt;'111'!$L$11),"x","")</f>
        <v/>
      </c>
      <c r="S2893" s="79" t="str">
        <f>IF(AND($O2893=$Q$7,$B2893&lt;'111'!$L$11),"x","")</f>
        <v/>
      </c>
      <c r="T2893" s="79" t="str">
        <f>IF(ISERROR(FIND('112'!$M$9,G2893,1)),"",IF((AND(FIND('112'!$M$9,G2893,1)&gt;=1,B2893='112'!$K$9,OR($N2893='112'!$I$6,$O2893='112'!$I$6))),"x",""))</f>
        <v/>
      </c>
      <c r="U2893" s="79" t="str">
        <f>IF(ISERROR(FIND('112'!$M$9,G2893,1)),"",IF((AND(LEFT(G2893,2)=LEFT('112'!$M$9,2),B2893&lt;'112'!$K$9,$N2893='112'!$I$6)),"x",""))</f>
        <v/>
      </c>
      <c r="V2893" s="79" t="str">
        <f>IF(ISERROR(FIND('112'!$M$9,G2893,1)),"",IF((AND(RIGHT(G2893,2)=RIGHT('112'!$M$9,2),B2893&lt;'112'!$K$9,$O2893='112'!$I$6)),"x",""))</f>
        <v/>
      </c>
      <c r="W2893" s="79" t="str">
        <f>IF(AND('341-CT'!$H$9=H2893,OR(LEFT(N2893,3)=$W$7,LEFT(O2893,3)=$W$7)),"x","")</f>
        <v/>
      </c>
      <c r="X2893" s="79" t="str">
        <f>IF(OR(TH!N2893=TH!$X$7,O2893=TH!$X$7),"x","")</f>
        <v/>
      </c>
      <c r="Y2893" s="79" t="str">
        <f>IF(AND(OR(N2893="131",O2893="131"),H2893='131-CT'!$H$9),"x","")</f>
        <v/>
      </c>
      <c r="Z2893" s="79"/>
      <c r="AA2893" s="79" t="str">
        <f>IF(AND(MONTH(E2893)='IN-NX'!$J$5,'IN-NX'!$D$7=D2893),"x","")</f>
        <v/>
      </c>
      <c r="AB2893" s="79" t="str">
        <f>IF(AND(OR(LEFT(TH!N2893,2)="15",LEFT(TH!O2893,2)="15"),LEFT(TH!O2893,3)&lt;&gt;"111",'152-CT'!$J$8=TH!F2893),"x","")</f>
        <v/>
      </c>
      <c r="AC2893" s="79" t="str">
        <f>IF(AND(OR(LEFT(TH!N2893,2)="15",LEFT(TH!O2893,2)="15"),TK!$E$7=TH!F2893),"x","")</f>
        <v/>
      </c>
      <c r="AD2893" s="79" t="str">
        <f>IF(AND(N2893="1521",MONTH(C2893)='BK-NL'!$M$11),"x","")</f>
        <v/>
      </c>
    </row>
    <row r="2894" spans="1:30" ht="16.5" customHeight="1">
      <c r="A2894" s="318" t="str">
        <f>IF(B2894&lt;&gt;"",IF(AND(B2894='IN-TC'!$S$4,OR(TH!N2894="1111",TH!O2894="1111")),TH!D2894,""),"")</f>
        <v/>
      </c>
      <c r="B2894" s="60" t="str">
        <f t="shared" si="329"/>
        <v/>
      </c>
      <c r="C2894" s="61"/>
      <c r="D2894" s="61"/>
      <c r="E2894" s="61"/>
      <c r="F2894" s="64"/>
      <c r="G2894" s="64"/>
      <c r="H2894" s="69"/>
      <c r="I2894" s="385"/>
      <c r="J2894" s="395"/>
      <c r="K2894" s="385"/>
      <c r="L2894" s="392"/>
      <c r="M2894" s="62"/>
      <c r="N2894" s="63"/>
      <c r="O2894" s="63"/>
      <c r="P2894" s="79" t="str">
        <f>IF(AND('331-CT'!$E$7=TH!H2894,OR(N2894="331",O2894="331")),"x","")</f>
        <v/>
      </c>
      <c r="Q2894" s="79" t="str">
        <f>IF(AND(B2894='111'!$L$11,OR($N2894=$Q$7,$O2894=$Q$7)),"x","")</f>
        <v/>
      </c>
      <c r="R2894" s="79" t="str">
        <f>IF(AND($N2894=$Q$7,$B2894&lt;'111'!$L$11),"x","")</f>
        <v/>
      </c>
      <c r="S2894" s="79" t="str">
        <f>IF(AND($O2894=$Q$7,$B2894&lt;'111'!$L$11),"x","")</f>
        <v/>
      </c>
      <c r="T2894" s="79" t="str">
        <f>IF(ISERROR(FIND('112'!$M$9,G2894,1)),"",IF((AND(FIND('112'!$M$9,G2894,1)&gt;=1,B2894='112'!$K$9,OR($N2894='112'!$I$6,$O2894='112'!$I$6))),"x",""))</f>
        <v/>
      </c>
      <c r="U2894" s="79" t="str">
        <f>IF(ISERROR(FIND('112'!$M$9,G2894,1)),"",IF((AND(LEFT(G2894,2)=LEFT('112'!$M$9,2),B2894&lt;'112'!$K$9,$N2894='112'!$I$6)),"x",""))</f>
        <v/>
      </c>
      <c r="V2894" s="79" t="str">
        <f>IF(ISERROR(FIND('112'!$M$9,G2894,1)),"",IF((AND(RIGHT(G2894,2)=RIGHT('112'!$M$9,2),B2894&lt;'112'!$K$9,$O2894='112'!$I$6)),"x",""))</f>
        <v/>
      </c>
      <c r="W2894" s="79" t="str">
        <f>IF(AND('341-CT'!$H$9=H2894,OR(LEFT(N2894,3)=$W$7,LEFT(O2894,3)=$W$7)),"x","")</f>
        <v/>
      </c>
      <c r="X2894" s="79" t="str">
        <f>IF(OR(TH!N2894=TH!$X$7,O2894=TH!$X$7),"x","")</f>
        <v/>
      </c>
      <c r="Y2894" s="79" t="str">
        <f>IF(AND(OR(N2894="131",O2894="131"),H2894='131-CT'!$H$9),"x","")</f>
        <v/>
      </c>
      <c r="Z2894" s="79"/>
      <c r="AA2894" s="79" t="str">
        <f>IF(AND(MONTH(E2894)='IN-NX'!$J$5,'IN-NX'!$D$7=D2894),"x","")</f>
        <v/>
      </c>
      <c r="AB2894" s="79" t="str">
        <f>IF(AND(OR(LEFT(TH!N2894,2)="15",LEFT(TH!O2894,2)="15"),LEFT(TH!O2894,3)&lt;&gt;"111",'152-CT'!$J$8=TH!F2894),"x","")</f>
        <v/>
      </c>
      <c r="AC2894" s="79" t="str">
        <f>IF(AND(OR(LEFT(TH!N2894,2)="15",LEFT(TH!O2894,2)="15"),TK!$E$7=TH!F2894),"x","")</f>
        <v/>
      </c>
      <c r="AD2894" s="79" t="str">
        <f>IF(AND(N2894="1521",MONTH(C2894)='BK-NL'!$M$11),"x","")</f>
        <v/>
      </c>
    </row>
    <row r="2895" spans="1:30" ht="16.5" customHeight="1">
      <c r="A2895" s="318" t="str">
        <f>IF(B2895&lt;&gt;"",IF(AND(B2895='IN-TC'!$S$4,OR(TH!N2895="1111",TH!O2895="1111")),TH!D2895,""),"")</f>
        <v/>
      </c>
      <c r="B2895" s="60" t="str">
        <f t="shared" si="329"/>
        <v/>
      </c>
      <c r="C2895" s="61"/>
      <c r="D2895" s="61"/>
      <c r="E2895" s="61"/>
      <c r="F2895" s="64"/>
      <c r="G2895" s="64"/>
      <c r="H2895" s="69"/>
      <c r="I2895" s="385"/>
      <c r="J2895" s="395"/>
      <c r="K2895" s="385"/>
      <c r="L2895" s="392"/>
      <c r="M2895" s="62"/>
      <c r="N2895" s="63"/>
      <c r="O2895" s="63"/>
      <c r="P2895" s="79" t="str">
        <f>IF(AND('331-CT'!$E$7=TH!H2895,OR(N2895="331",O2895="331")),"x","")</f>
        <v/>
      </c>
      <c r="Q2895" s="79" t="str">
        <f>IF(AND(B2895='111'!$L$11,OR($N2895=$Q$7,$O2895=$Q$7)),"x","")</f>
        <v/>
      </c>
      <c r="R2895" s="79" t="str">
        <f>IF(AND($N2895=$Q$7,$B2895&lt;'111'!$L$11),"x","")</f>
        <v/>
      </c>
      <c r="S2895" s="79" t="str">
        <f>IF(AND($O2895=$Q$7,$B2895&lt;'111'!$L$11),"x","")</f>
        <v/>
      </c>
      <c r="T2895" s="79" t="str">
        <f>IF(ISERROR(FIND('112'!$M$9,G2895,1)),"",IF((AND(FIND('112'!$M$9,G2895,1)&gt;=1,B2895='112'!$K$9,OR($N2895='112'!$I$6,$O2895='112'!$I$6))),"x",""))</f>
        <v/>
      </c>
      <c r="U2895" s="79" t="str">
        <f>IF(ISERROR(FIND('112'!$M$9,G2895,1)),"",IF((AND(LEFT(G2895,2)=LEFT('112'!$M$9,2),B2895&lt;'112'!$K$9,$N2895='112'!$I$6)),"x",""))</f>
        <v/>
      </c>
      <c r="V2895" s="79" t="str">
        <f>IF(ISERROR(FIND('112'!$M$9,G2895,1)),"",IF((AND(RIGHT(G2895,2)=RIGHT('112'!$M$9,2),B2895&lt;'112'!$K$9,$O2895='112'!$I$6)),"x",""))</f>
        <v/>
      </c>
      <c r="W2895" s="79" t="str">
        <f>IF(AND('341-CT'!$H$9=H2895,OR(LEFT(N2895,3)=$W$7,LEFT(O2895,3)=$W$7)),"x","")</f>
        <v/>
      </c>
      <c r="X2895" s="79" t="str">
        <f>IF(OR(TH!N2895=TH!$X$7,O2895=TH!$X$7),"x","")</f>
        <v/>
      </c>
      <c r="Y2895" s="79" t="str">
        <f>IF(AND(OR(N2895="131",O2895="131"),H2895='131-CT'!$H$9),"x","")</f>
        <v/>
      </c>
      <c r="Z2895" s="79"/>
      <c r="AA2895" s="79" t="str">
        <f>IF(AND(MONTH(E2895)='IN-NX'!$J$5,'IN-NX'!$D$7=D2895),"x","")</f>
        <v/>
      </c>
      <c r="AB2895" s="79" t="str">
        <f>IF(AND(OR(LEFT(TH!N2895,2)="15",LEFT(TH!O2895,2)="15"),LEFT(TH!O2895,3)&lt;&gt;"111",'152-CT'!$J$8=TH!F2895),"x","")</f>
        <v/>
      </c>
      <c r="AC2895" s="79" t="str">
        <f>IF(AND(OR(LEFT(TH!N2895,2)="15",LEFT(TH!O2895,2)="15"),TK!$E$7=TH!F2895),"x","")</f>
        <v/>
      </c>
      <c r="AD2895" s="79" t="str">
        <f>IF(AND(N2895="1521",MONTH(C2895)='BK-NL'!$M$11),"x","")</f>
        <v/>
      </c>
    </row>
    <row r="2896" spans="1:30" ht="16.5" customHeight="1">
      <c r="A2896" s="318" t="str">
        <f>IF(B2896&lt;&gt;"",IF(AND(B2896='IN-TC'!$S$4,OR(TH!N2896="1111",TH!O2896="1111")),TH!D2896,""),"")</f>
        <v/>
      </c>
      <c r="B2896" s="60" t="str">
        <f t="shared" si="329"/>
        <v/>
      </c>
      <c r="C2896" s="301"/>
      <c r="D2896" s="301"/>
      <c r="E2896" s="301"/>
      <c r="F2896" s="302"/>
      <c r="G2896" s="988"/>
      <c r="H2896" s="69"/>
      <c r="I2896" s="385"/>
      <c r="J2896" s="969"/>
      <c r="K2896" s="385"/>
      <c r="L2896" s="392"/>
      <c r="M2896" s="970"/>
      <c r="N2896" s="304"/>
      <c r="O2896" s="304"/>
      <c r="P2896" s="79" t="str">
        <f>IF(AND('331-CT'!$E$7=TH!H2896,OR(N2896="331",O2896="331")),"x","")</f>
        <v/>
      </c>
      <c r="Q2896" s="79" t="str">
        <f>IF(AND(B2896='111'!$L$11,OR($N2896=$Q$7,$O2896=$Q$7)),"x","")</f>
        <v/>
      </c>
      <c r="R2896" s="79" t="str">
        <f>IF(AND($N2896=$Q$7,$B2896&lt;'111'!$L$11),"x","")</f>
        <v/>
      </c>
      <c r="S2896" s="79" t="str">
        <f>IF(AND($O2896=$Q$7,$B2896&lt;'111'!$L$11),"x","")</f>
        <v/>
      </c>
      <c r="T2896" s="79" t="str">
        <f>IF(ISERROR(FIND('112'!$M$9,G2896,1)),"",IF((AND(FIND('112'!$M$9,G2896,1)&gt;=1,B2896='112'!$K$9,OR($N2896='112'!$I$6,$O2896='112'!$I$6))),"x",""))</f>
        <v/>
      </c>
      <c r="U2896" s="79" t="str">
        <f>IF(ISERROR(FIND('112'!$M$9,G2896,1)),"",IF((AND(LEFT(G2896,2)=LEFT('112'!$M$9,2),B2896&lt;'112'!$K$9,$N2896='112'!$I$6)),"x",""))</f>
        <v/>
      </c>
      <c r="V2896" s="79" t="str">
        <f>IF(ISERROR(FIND('112'!$M$9,G2896,1)),"",IF((AND(RIGHT(G2896,2)=RIGHT('112'!$M$9,2),B2896&lt;'112'!$K$9,$O2896='112'!$I$6)),"x",""))</f>
        <v/>
      </c>
      <c r="W2896" s="79" t="str">
        <f>IF(AND('341-CT'!$H$9=H2896,OR(LEFT(N2896,3)=$W$7,LEFT(O2896,3)=$W$7)),"x","")</f>
        <v/>
      </c>
      <c r="X2896" s="79" t="str">
        <f>IF(OR(TH!N2896=TH!$X$7,O2896=TH!$X$7),"x","")</f>
        <v/>
      </c>
      <c r="Y2896" s="79" t="str">
        <f>IF(AND(OR(N2896="131",O2896="131"),H2896='131-CT'!$H$9),"x","")</f>
        <v/>
      </c>
      <c r="Z2896" s="79"/>
      <c r="AA2896" s="79" t="str">
        <f>IF(AND(MONTH(E2896)='IN-NX'!$J$5,'IN-NX'!$D$7=D2896),"x","")</f>
        <v/>
      </c>
      <c r="AB2896" s="79" t="str">
        <f>IF(AND(OR(LEFT(TH!N2896,2)="15",LEFT(TH!O2896,2)="15"),LEFT(TH!O2896,3)&lt;&gt;"111",'152-CT'!$J$8=TH!F2896),"x","")</f>
        <v/>
      </c>
      <c r="AC2896" s="79" t="str">
        <f>IF(AND(OR(LEFT(TH!N2896,2)="15",LEFT(TH!O2896,2)="15"),TK!$E$7=TH!F2896),"x","")</f>
        <v/>
      </c>
      <c r="AD2896" s="79" t="str">
        <f>IF(AND(N2896="1521",MONTH(C2896)='BK-NL'!$M$11),"x","")</f>
        <v/>
      </c>
    </row>
    <row r="2897" spans="1:30" ht="16.5" customHeight="1">
      <c r="A2897" s="318" t="str">
        <f>IF(B2897&lt;&gt;"",IF(AND(B2897='IN-TC'!$S$4,OR(TH!N2897="1111",TH!O2897="1111")),TH!D2897,""),"")</f>
        <v/>
      </c>
      <c r="B2897" s="60" t="str">
        <f t="shared" si="329"/>
        <v/>
      </c>
      <c r="C2897" s="61"/>
      <c r="D2897" s="61"/>
      <c r="E2897" s="61"/>
      <c r="F2897" s="64"/>
      <c r="G2897" s="64"/>
      <c r="H2897" s="69"/>
      <c r="I2897" s="387"/>
      <c r="J2897" s="395"/>
      <c r="K2897" s="387"/>
      <c r="L2897" s="394"/>
      <c r="M2897" s="62"/>
      <c r="N2897" s="63"/>
      <c r="O2897" s="304"/>
      <c r="P2897" s="79" t="str">
        <f>IF(AND('331-CT'!$E$7=TH!H2897,OR(N2897="331",O2897="331")),"x","")</f>
        <v/>
      </c>
      <c r="Q2897" s="79" t="str">
        <f>IF(AND(B2897='111'!$L$11,OR($N2897=$Q$7,$O2897=$Q$7)),"x","")</f>
        <v/>
      </c>
      <c r="R2897" s="79" t="str">
        <f>IF(AND($N2897=$Q$7,$B2897&lt;'111'!$L$11),"x","")</f>
        <v/>
      </c>
      <c r="S2897" s="79" t="str">
        <f>IF(AND($O2897=$Q$7,$B2897&lt;'111'!$L$11),"x","")</f>
        <v/>
      </c>
      <c r="T2897" s="79" t="str">
        <f>IF(ISERROR(FIND('112'!$M$9,G2897,1)),"",IF((AND(FIND('112'!$M$9,G2897,1)&gt;=1,B2897='112'!$K$9,OR($N2897='112'!$I$6,$O2897='112'!$I$6))),"x",""))</f>
        <v/>
      </c>
      <c r="U2897" s="79" t="str">
        <f>IF(ISERROR(FIND('112'!$M$9,G2897,1)),"",IF((AND(LEFT(G2897,2)=LEFT('112'!$M$9,2),B2897&lt;'112'!$K$9,$N2897='112'!$I$6)),"x",""))</f>
        <v/>
      </c>
      <c r="V2897" s="79" t="str">
        <f>IF(ISERROR(FIND('112'!$M$9,G2897,1)),"",IF((AND(RIGHT(G2897,2)=RIGHT('112'!$M$9,2),B2897&lt;'112'!$K$9,$O2897='112'!$I$6)),"x",""))</f>
        <v/>
      </c>
      <c r="W2897" s="79" t="str">
        <f>IF(AND('341-CT'!$H$9=H2897,OR(LEFT(N2897,3)=$W$7,LEFT(O2897,3)=$W$7)),"x","")</f>
        <v/>
      </c>
      <c r="X2897" s="79" t="str">
        <f>IF(OR(TH!N2897=TH!$X$7,O2897=TH!$X$7),"x","")</f>
        <v/>
      </c>
      <c r="Y2897" s="79" t="str">
        <f>IF(AND(OR(N2897="131",O2897="131"),H2897='131-CT'!$H$9),"x","")</f>
        <v/>
      </c>
      <c r="Z2897" s="79"/>
      <c r="AA2897" s="79" t="str">
        <f>IF(AND(MONTH(E2897)='IN-NX'!$J$5,'IN-NX'!$D$7=D2897),"x","")</f>
        <v/>
      </c>
      <c r="AB2897" s="79" t="str">
        <f>IF(AND(OR(LEFT(TH!N2897,2)="15",LEFT(TH!O2897,2)="15"),LEFT(TH!O2897,3)&lt;&gt;"111",'152-CT'!$J$8=TH!F2897),"x","")</f>
        <v/>
      </c>
      <c r="AC2897" s="79" t="str">
        <f>IF(AND(OR(LEFT(TH!N2897,2)="15",LEFT(TH!O2897,2)="15"),TK!$E$7=TH!F2897),"x","")</f>
        <v/>
      </c>
      <c r="AD2897" s="79" t="str">
        <f>IF(AND(N2897="1521",MONTH(C2897)='BK-NL'!$M$11),"x","")</f>
        <v/>
      </c>
    </row>
    <row r="2898" spans="1:30" ht="16.5" customHeight="1">
      <c r="A2898" s="318" t="str">
        <f>IF(B2898&lt;&gt;"",IF(AND(B2898='IN-TC'!$S$4,OR(TH!N2898="1111",TH!O2898="1111")),TH!D2898,""),"")</f>
        <v/>
      </c>
      <c r="B2898" s="60" t="str">
        <f t="shared" si="329"/>
        <v/>
      </c>
      <c r="C2898" s="61"/>
      <c r="D2898" s="61"/>
      <c r="E2898" s="61"/>
      <c r="F2898" s="64"/>
      <c r="G2898" s="64"/>
      <c r="H2898" s="69"/>
      <c r="I2898" s="387"/>
      <c r="J2898" s="395"/>
      <c r="K2898" s="387"/>
      <c r="L2898" s="394"/>
      <c r="M2898" s="62"/>
      <c r="N2898" s="63"/>
      <c r="O2898" s="63"/>
      <c r="P2898" s="79" t="str">
        <f>IF(AND('331-CT'!$E$7=TH!H2898,OR(N2898="331",O2898="331")),"x","")</f>
        <v/>
      </c>
      <c r="Q2898" s="79" t="str">
        <f>IF(AND(B2898='111'!$L$11,OR($N2898=$Q$7,$O2898=$Q$7)),"x","")</f>
        <v/>
      </c>
      <c r="R2898" s="79" t="str">
        <f>IF(AND($N2898=$Q$7,$B2898&lt;'111'!$L$11),"x","")</f>
        <v/>
      </c>
      <c r="S2898" s="79" t="str">
        <f>IF(AND($O2898=$Q$7,$B2898&lt;'111'!$L$11),"x","")</f>
        <v/>
      </c>
      <c r="T2898" s="79" t="str">
        <f>IF(ISERROR(FIND('112'!$M$9,G2898,1)),"",IF((AND(FIND('112'!$M$9,G2898,1)&gt;=1,B2898='112'!$K$9,OR($N2898='112'!$I$6,$O2898='112'!$I$6))),"x",""))</f>
        <v/>
      </c>
      <c r="U2898" s="79" t="str">
        <f>IF(ISERROR(FIND('112'!$M$9,G2898,1)),"",IF((AND(LEFT(G2898,2)=LEFT('112'!$M$9,2),B2898&lt;'112'!$K$9,$N2898='112'!$I$6)),"x",""))</f>
        <v/>
      </c>
      <c r="V2898" s="79" t="str">
        <f>IF(ISERROR(FIND('112'!$M$9,G2898,1)),"",IF((AND(RIGHT(G2898,2)=RIGHT('112'!$M$9,2),B2898&lt;'112'!$K$9,$O2898='112'!$I$6)),"x",""))</f>
        <v/>
      </c>
      <c r="W2898" s="79" t="str">
        <f>IF(AND('341-CT'!$H$9=H2898,OR(LEFT(N2898,3)=$W$7,LEFT(O2898,3)=$W$7)),"x","")</f>
        <v/>
      </c>
      <c r="X2898" s="79" t="str">
        <f>IF(OR(TH!N2898=TH!$X$7,O2898=TH!$X$7),"x","")</f>
        <v/>
      </c>
      <c r="Y2898" s="79" t="str">
        <f>IF(AND(OR(N2898="131",O2898="131"),H2898='131-CT'!$H$9),"x","")</f>
        <v/>
      </c>
      <c r="Z2898" s="79"/>
      <c r="AA2898" s="79" t="str">
        <f>IF(AND(MONTH(E2898)='IN-NX'!$J$5,'IN-NX'!$D$7=D2898),"x","")</f>
        <v/>
      </c>
      <c r="AB2898" s="79" t="str">
        <f>IF(AND(OR(LEFT(TH!N2898,2)="15",LEFT(TH!O2898,2)="15"),LEFT(TH!O2898,3)&lt;&gt;"111",'152-CT'!$J$8=TH!F2898),"x","")</f>
        <v/>
      </c>
      <c r="AC2898" s="79" t="str">
        <f>IF(AND(OR(LEFT(TH!N2898,2)="15",LEFT(TH!O2898,2)="15"),TK!$E$7=TH!F2898),"x","")</f>
        <v/>
      </c>
      <c r="AD2898" s="79" t="str">
        <f>IF(AND(N2898="1521",MONTH(C2898)='BK-NL'!$M$11),"x","")</f>
        <v/>
      </c>
    </row>
    <row r="2899" spans="1:30" ht="16.5" customHeight="1">
      <c r="A2899" s="318" t="str">
        <f>IF(B2899&lt;&gt;"",IF(AND(B2899='IN-TC'!$S$4,OR(TH!N2899="1111",TH!O2899="1111")),TH!D2899,""),"")</f>
        <v/>
      </c>
      <c r="B2899" s="60" t="str">
        <f t="shared" si="329"/>
        <v/>
      </c>
      <c r="C2899" s="61"/>
      <c r="D2899" s="61"/>
      <c r="E2899" s="61"/>
      <c r="F2899" s="69"/>
      <c r="G2899" s="64"/>
      <c r="H2899" s="69"/>
      <c r="I2899" s="385"/>
      <c r="J2899" s="395"/>
      <c r="K2899" s="385"/>
      <c r="L2899" s="392"/>
      <c r="M2899" s="62"/>
      <c r="N2899" s="63"/>
      <c r="O2899" s="63"/>
      <c r="P2899" s="79" t="str">
        <f>IF(AND('331-CT'!$E$7=TH!H2899,OR(N2899="331",O2899="331")),"x","")</f>
        <v/>
      </c>
      <c r="Q2899" s="79" t="str">
        <f>IF(AND(B2899='111'!$L$11,OR($N2899=$Q$7,$O2899=$Q$7)),"x","")</f>
        <v/>
      </c>
      <c r="R2899" s="79" t="str">
        <f>IF(AND($N2899=$Q$7,$B2899&lt;'111'!$L$11),"x","")</f>
        <v/>
      </c>
      <c r="S2899" s="79" t="str">
        <f>IF(AND($O2899=$Q$7,$B2899&lt;'111'!$L$11),"x","")</f>
        <v/>
      </c>
      <c r="T2899" s="79" t="str">
        <f>IF(ISERROR(FIND('112'!$M$9,G2899,1)),"",IF((AND(FIND('112'!$M$9,G2899,1)&gt;=1,B2899='112'!$K$9,OR($N2899='112'!$I$6,$O2899='112'!$I$6))),"x",""))</f>
        <v/>
      </c>
      <c r="U2899" s="79" t="str">
        <f>IF(ISERROR(FIND('112'!$M$9,G2899,1)),"",IF((AND(LEFT(G2899,2)=LEFT('112'!$M$9,2),B2899&lt;'112'!$K$9,$N2899='112'!$I$6)),"x",""))</f>
        <v/>
      </c>
      <c r="V2899" s="79" t="str">
        <f>IF(ISERROR(FIND('112'!$M$9,G2899,1)),"",IF((AND(RIGHT(G2899,2)=RIGHT('112'!$M$9,2),B2899&lt;'112'!$K$9,$O2899='112'!$I$6)),"x",""))</f>
        <v/>
      </c>
      <c r="W2899" s="79" t="str">
        <f>IF(AND('341-CT'!$H$9=H2899,OR(LEFT(N2899,3)=$W$7,LEFT(O2899,3)=$W$7)),"x","")</f>
        <v/>
      </c>
      <c r="X2899" s="79" t="str">
        <f>IF(OR(TH!N2899=TH!$X$7,O2899=TH!$X$7),"x","")</f>
        <v/>
      </c>
      <c r="Y2899" s="79" t="str">
        <f>IF(AND(OR(N2899="131",O2899="131"),H2899='131-CT'!$H$9),"x","")</f>
        <v/>
      </c>
      <c r="Z2899" s="79"/>
      <c r="AA2899" s="79" t="str">
        <f>IF(AND(MONTH(E2899)='IN-NX'!$J$5,'IN-NX'!$D$7=D2899),"x","")</f>
        <v/>
      </c>
      <c r="AB2899" s="79" t="str">
        <f>IF(AND(OR(LEFT(TH!N2899,2)="15",LEFT(TH!O2899,2)="15"),LEFT(TH!O2899,3)&lt;&gt;"111",'152-CT'!$J$8=TH!F2899),"x","")</f>
        <v/>
      </c>
      <c r="AC2899" s="79" t="str">
        <f>IF(AND(OR(LEFT(TH!N2899,2)="15",LEFT(TH!O2899,2)="15"),TK!$E$7=TH!F2899),"x","")</f>
        <v/>
      </c>
      <c r="AD2899" s="79" t="str">
        <f>IF(AND(N2899="1521",MONTH(C2899)='BK-NL'!$M$11),"x","")</f>
        <v/>
      </c>
    </row>
    <row r="2900" spans="1:30" ht="16.5" customHeight="1">
      <c r="A2900" s="318" t="str">
        <f>IF(B2900&lt;&gt;"",IF(AND(B2900='IN-TC'!$S$4,OR(TH!N2900="1111",TH!O2900="1111")),TH!D2900,""),"")</f>
        <v/>
      </c>
      <c r="B2900" s="60" t="str">
        <f t="shared" si="329"/>
        <v/>
      </c>
      <c r="C2900" s="61"/>
      <c r="D2900" s="61"/>
      <c r="E2900" s="61"/>
      <c r="F2900" s="64"/>
      <c r="G2900" s="64"/>
      <c r="H2900" s="69"/>
      <c r="I2900" s="387"/>
      <c r="J2900" s="395"/>
      <c r="K2900" s="387"/>
      <c r="L2900" s="394"/>
      <c r="M2900" s="62"/>
      <c r="N2900" s="63"/>
      <c r="O2900" s="63"/>
      <c r="P2900" s="79" t="str">
        <f>IF(AND('331-CT'!$E$7=TH!H2900,OR(N2900="331",O2900="331")),"x","")</f>
        <v/>
      </c>
      <c r="Q2900" s="79" t="str">
        <f>IF(AND(B2900='111'!$L$11,OR($N2900=$Q$7,$O2900=$Q$7)),"x","")</f>
        <v/>
      </c>
      <c r="R2900" s="79" t="str">
        <f>IF(AND($N2900=$Q$7,$B2900&lt;'111'!$L$11),"x","")</f>
        <v/>
      </c>
      <c r="S2900" s="79" t="str">
        <f>IF(AND($O2900=$Q$7,$B2900&lt;'111'!$L$11),"x","")</f>
        <v/>
      </c>
      <c r="T2900" s="79" t="str">
        <f>IF(ISERROR(FIND('112'!$M$9,G2900,1)),"",IF((AND(FIND('112'!$M$9,G2900,1)&gt;=1,B2900='112'!$K$9,OR($N2900='112'!$I$6,$O2900='112'!$I$6))),"x",""))</f>
        <v/>
      </c>
      <c r="U2900" s="79" t="str">
        <f>IF(ISERROR(FIND('112'!$M$9,G2900,1)),"",IF((AND(LEFT(G2900,2)=LEFT('112'!$M$9,2),B2900&lt;'112'!$K$9,$N2900='112'!$I$6)),"x",""))</f>
        <v/>
      </c>
      <c r="V2900" s="79" t="str">
        <f>IF(ISERROR(FIND('112'!$M$9,G2900,1)),"",IF((AND(RIGHT(G2900,2)=RIGHT('112'!$M$9,2),B2900&lt;'112'!$K$9,$O2900='112'!$I$6)),"x",""))</f>
        <v/>
      </c>
      <c r="W2900" s="79" t="str">
        <f>IF(AND('341-CT'!$H$9=H2900,OR(LEFT(N2900,3)=$W$7,LEFT(O2900,3)=$W$7)),"x","")</f>
        <v/>
      </c>
      <c r="X2900" s="79" t="str">
        <f>IF(OR(TH!N2900=TH!$X$7,O2900=TH!$X$7),"x","")</f>
        <v/>
      </c>
      <c r="Y2900" s="79" t="str">
        <f>IF(AND(OR(N2900="131",O2900="131"),H2900='131-CT'!$H$9),"x","")</f>
        <v/>
      </c>
      <c r="Z2900" s="79"/>
      <c r="AA2900" s="79" t="str">
        <f>IF(AND(MONTH(E2900)='IN-NX'!$J$5,'IN-NX'!$D$7=D2900),"x","")</f>
        <v/>
      </c>
      <c r="AB2900" s="79" t="str">
        <f>IF(AND(OR(LEFT(TH!N2900,2)="15",LEFT(TH!O2900,2)="15"),LEFT(TH!O2900,3)&lt;&gt;"111",'152-CT'!$J$8=TH!F2900),"x","")</f>
        <v/>
      </c>
      <c r="AC2900" s="79" t="str">
        <f>IF(AND(OR(LEFT(TH!N2900,2)="15",LEFT(TH!O2900,2)="15"),TK!$E$7=TH!F2900),"x","")</f>
        <v/>
      </c>
      <c r="AD2900" s="79" t="str">
        <f>IF(AND(N2900="1521",MONTH(C2900)='BK-NL'!$M$11),"x","")</f>
        <v/>
      </c>
    </row>
    <row r="2901" spans="1:30" ht="16.5" customHeight="1">
      <c r="A2901" s="318" t="str">
        <f>IF(B2901&lt;&gt;"",IF(AND(B2901='IN-TC'!$S$4,OR(TH!N2901="1111",TH!O2901="1111")),TH!D2901,""),"")</f>
        <v/>
      </c>
      <c r="B2901" s="60" t="str">
        <f t="shared" si="329"/>
        <v/>
      </c>
      <c r="C2901" s="61"/>
      <c r="D2901" s="61"/>
      <c r="E2901" s="61"/>
      <c r="F2901" s="64"/>
      <c r="G2901" s="64"/>
      <c r="H2901" s="69"/>
      <c r="I2901" s="387"/>
      <c r="J2901" s="395"/>
      <c r="K2901" s="387"/>
      <c r="L2901" s="394"/>
      <c r="M2901" s="62"/>
      <c r="N2901" s="63"/>
      <c r="O2901" s="63"/>
      <c r="P2901" s="79" t="str">
        <f>IF(AND('331-CT'!$E$7=TH!H2901,OR(N2901="331",O2901="331")),"x","")</f>
        <v/>
      </c>
      <c r="Q2901" s="79" t="str">
        <f>IF(AND(B2901='111'!$L$11,OR($N2901=$Q$7,$O2901=$Q$7)),"x","")</f>
        <v/>
      </c>
      <c r="R2901" s="79" t="str">
        <f>IF(AND($N2901=$Q$7,$B2901&lt;'111'!$L$11),"x","")</f>
        <v/>
      </c>
      <c r="S2901" s="79" t="str">
        <f>IF(AND($O2901=$Q$7,$B2901&lt;'111'!$L$11),"x","")</f>
        <v/>
      </c>
      <c r="T2901" s="79" t="str">
        <f>IF(ISERROR(FIND('112'!$M$9,G2901,1)),"",IF((AND(FIND('112'!$M$9,G2901,1)&gt;=1,B2901='112'!$K$9,OR($N2901='112'!$I$6,$O2901='112'!$I$6))),"x",""))</f>
        <v/>
      </c>
      <c r="U2901" s="79" t="str">
        <f>IF(ISERROR(FIND('112'!$M$9,G2901,1)),"",IF((AND(LEFT(G2901,2)=LEFT('112'!$M$9,2),B2901&lt;'112'!$K$9,$N2901='112'!$I$6)),"x",""))</f>
        <v/>
      </c>
      <c r="V2901" s="79" t="str">
        <f>IF(ISERROR(FIND('112'!$M$9,G2901,1)),"",IF((AND(RIGHT(G2901,2)=RIGHT('112'!$M$9,2),B2901&lt;'112'!$K$9,$O2901='112'!$I$6)),"x",""))</f>
        <v/>
      </c>
      <c r="W2901" s="79" t="str">
        <f>IF(AND('341-CT'!$H$9=H2901,OR(LEFT(N2901,3)=$W$7,LEFT(O2901,3)=$W$7)),"x","")</f>
        <v/>
      </c>
      <c r="X2901" s="79" t="str">
        <f>IF(OR(TH!N2901=TH!$X$7,O2901=TH!$X$7),"x","")</f>
        <v/>
      </c>
      <c r="Y2901" s="79" t="str">
        <f>IF(AND(OR(N2901="131",O2901="131"),H2901='131-CT'!$H$9),"x","")</f>
        <v/>
      </c>
      <c r="Z2901" s="79"/>
      <c r="AA2901" s="79" t="str">
        <f>IF(AND(MONTH(E2901)='IN-NX'!$J$5,'IN-NX'!$D$7=D2901),"x","")</f>
        <v/>
      </c>
      <c r="AB2901" s="79" t="str">
        <f>IF(AND(OR(LEFT(TH!N2901,2)="15",LEFT(TH!O2901,2)="15"),LEFT(TH!O2901,3)&lt;&gt;"111",'152-CT'!$J$8=TH!F2901),"x","")</f>
        <v/>
      </c>
      <c r="AC2901" s="79" t="str">
        <f>IF(AND(OR(LEFT(TH!N2901,2)="15",LEFT(TH!O2901,2)="15"),TK!$E$7=TH!F2901),"x","")</f>
        <v/>
      </c>
      <c r="AD2901" s="79" t="str">
        <f>IF(AND(N2901="1521",MONTH(C2901)='BK-NL'!$M$11),"x","")</f>
        <v/>
      </c>
    </row>
    <row r="2902" spans="1:30" ht="16.5" customHeight="1">
      <c r="A2902" s="318" t="str">
        <f>IF(B2902&lt;&gt;"",IF(AND(B2902='IN-TC'!$S$4,OR(TH!N2902="1111",TH!O2902="1111")),TH!D2902,""),"")</f>
        <v/>
      </c>
      <c r="B2902" s="60" t="str">
        <f t="shared" si="329"/>
        <v/>
      </c>
      <c r="C2902" s="61"/>
      <c r="D2902" s="61"/>
      <c r="E2902" s="61"/>
      <c r="F2902" s="64"/>
      <c r="G2902" s="64"/>
      <c r="H2902" s="69"/>
      <c r="I2902" s="387"/>
      <c r="J2902" s="395"/>
      <c r="K2902" s="387"/>
      <c r="L2902" s="394"/>
      <c r="M2902" s="62"/>
      <c r="N2902" s="63"/>
      <c r="O2902" s="63"/>
      <c r="P2902" s="79" t="str">
        <f>IF(AND('331-CT'!$E$7=TH!H2902,OR(N2902="331",O2902="331")),"x","")</f>
        <v/>
      </c>
      <c r="Q2902" s="79" t="str">
        <f>IF(AND(B2902='111'!$L$11,OR($N2902=$Q$7,$O2902=$Q$7)),"x","")</f>
        <v/>
      </c>
      <c r="R2902" s="79" t="str">
        <f>IF(AND($N2902=$Q$7,$B2902&lt;'111'!$L$11),"x","")</f>
        <v/>
      </c>
      <c r="S2902" s="79" t="str">
        <f>IF(AND($O2902=$Q$7,$B2902&lt;'111'!$L$11),"x","")</f>
        <v/>
      </c>
      <c r="T2902" s="79" t="str">
        <f>IF(ISERROR(FIND('112'!$M$9,G2902,1)),"",IF((AND(FIND('112'!$M$9,G2902,1)&gt;=1,B2902='112'!$K$9,OR($N2902='112'!$I$6,$O2902='112'!$I$6))),"x",""))</f>
        <v/>
      </c>
      <c r="U2902" s="79" t="str">
        <f>IF(ISERROR(FIND('112'!$M$9,G2902,1)),"",IF((AND(LEFT(G2902,2)=LEFT('112'!$M$9,2),B2902&lt;'112'!$K$9,$N2902='112'!$I$6)),"x",""))</f>
        <v/>
      </c>
      <c r="V2902" s="79" t="str">
        <f>IF(ISERROR(FIND('112'!$M$9,G2902,1)),"",IF((AND(RIGHT(G2902,2)=RIGHT('112'!$M$9,2),B2902&lt;'112'!$K$9,$O2902='112'!$I$6)),"x",""))</f>
        <v/>
      </c>
      <c r="W2902" s="79" t="str">
        <f>IF(AND('341-CT'!$H$9=H2902,OR(LEFT(N2902,3)=$W$7,LEFT(O2902,3)=$W$7)),"x","")</f>
        <v/>
      </c>
      <c r="X2902" s="79" t="str">
        <f>IF(OR(TH!N2902=TH!$X$7,O2902=TH!$X$7),"x","")</f>
        <v/>
      </c>
      <c r="Y2902" s="79" t="str">
        <f>IF(AND(OR(N2902="131",O2902="131"),H2902='131-CT'!$H$9),"x","")</f>
        <v/>
      </c>
      <c r="Z2902" s="79"/>
      <c r="AA2902" s="79" t="str">
        <f>IF(AND(MONTH(E2902)='IN-NX'!$J$5,'IN-NX'!$D$7=D2902),"x","")</f>
        <v/>
      </c>
      <c r="AB2902" s="79" t="str">
        <f>IF(AND(OR(LEFT(TH!N2902,2)="15",LEFT(TH!O2902,2)="15"),LEFT(TH!O2902,3)&lt;&gt;"111",'152-CT'!$J$8=TH!F2902),"x","")</f>
        <v/>
      </c>
      <c r="AC2902" s="79" t="str">
        <f>IF(AND(OR(LEFT(TH!N2902,2)="15",LEFT(TH!O2902,2)="15"),TK!$E$7=TH!F2902),"x","")</f>
        <v/>
      </c>
      <c r="AD2902" s="79" t="str">
        <f>IF(AND(N2902="1521",MONTH(C2902)='BK-NL'!$M$11),"x","")</f>
        <v/>
      </c>
    </row>
    <row r="2903" spans="1:30" ht="16.5" customHeight="1">
      <c r="A2903" s="318" t="str">
        <f>IF(B2903&lt;&gt;"",IF(AND(B2903='IN-TC'!$S$4,OR(TH!N2903="1111",TH!O2903="1111")),TH!D2903,""),"")</f>
        <v/>
      </c>
      <c r="B2903" s="60" t="str">
        <f t="shared" si="329"/>
        <v/>
      </c>
      <c r="C2903" s="61"/>
      <c r="D2903" s="61"/>
      <c r="E2903" s="61"/>
      <c r="F2903" s="64"/>
      <c r="G2903" s="64"/>
      <c r="H2903" s="69"/>
      <c r="I2903" s="387"/>
      <c r="J2903" s="395"/>
      <c r="K2903" s="387"/>
      <c r="L2903" s="394"/>
      <c r="M2903" s="62"/>
      <c r="N2903" s="63"/>
      <c r="O2903" s="63"/>
      <c r="P2903" s="79" t="str">
        <f>IF(AND('331-CT'!$E$7=TH!H2903,OR(N2903="331",O2903="331")),"x","")</f>
        <v/>
      </c>
      <c r="Q2903" s="79" t="str">
        <f>IF(AND(B2903='111'!$L$11,OR($N2903=$Q$7,$O2903=$Q$7)),"x","")</f>
        <v/>
      </c>
      <c r="R2903" s="79" t="str">
        <f>IF(AND($N2903=$Q$7,$B2903&lt;'111'!$L$11),"x","")</f>
        <v/>
      </c>
      <c r="S2903" s="79" t="str">
        <f>IF(AND($O2903=$Q$7,$B2903&lt;'111'!$L$11),"x","")</f>
        <v/>
      </c>
      <c r="T2903" s="79" t="str">
        <f>IF(ISERROR(FIND('112'!$M$9,G2903,1)),"",IF((AND(FIND('112'!$M$9,G2903,1)&gt;=1,B2903='112'!$K$9,OR($N2903='112'!$I$6,$O2903='112'!$I$6))),"x",""))</f>
        <v/>
      </c>
      <c r="U2903" s="79" t="str">
        <f>IF(ISERROR(FIND('112'!$M$9,G2903,1)),"",IF((AND(LEFT(G2903,2)=LEFT('112'!$M$9,2),B2903&lt;'112'!$K$9,$N2903='112'!$I$6)),"x",""))</f>
        <v/>
      </c>
      <c r="V2903" s="79" t="str">
        <f>IF(ISERROR(FIND('112'!$M$9,G2903,1)),"",IF((AND(RIGHT(G2903,2)=RIGHT('112'!$M$9,2),B2903&lt;'112'!$K$9,$O2903='112'!$I$6)),"x",""))</f>
        <v/>
      </c>
      <c r="W2903" s="79" t="str">
        <f>IF(AND('341-CT'!$H$9=H2903,OR(LEFT(N2903,3)=$W$7,LEFT(O2903,3)=$W$7)),"x","")</f>
        <v/>
      </c>
      <c r="X2903" s="79" t="str">
        <f>IF(OR(TH!N2903=TH!$X$7,O2903=TH!$X$7),"x","")</f>
        <v/>
      </c>
      <c r="Y2903" s="79" t="str">
        <f>IF(AND(OR(N2903="131",O2903="131"),H2903='131-CT'!$H$9),"x","")</f>
        <v/>
      </c>
      <c r="Z2903" s="79"/>
      <c r="AA2903" s="79" t="str">
        <f>IF(AND(MONTH(E2903)='IN-NX'!$J$5,'IN-NX'!$D$7=D2903),"x","")</f>
        <v/>
      </c>
      <c r="AB2903" s="79" t="str">
        <f>IF(AND(OR(LEFT(TH!N2903,2)="15",LEFT(TH!O2903,2)="15"),LEFT(TH!O2903,3)&lt;&gt;"111",'152-CT'!$J$8=TH!F2903),"x","")</f>
        <v/>
      </c>
      <c r="AC2903" s="79" t="str">
        <f>IF(AND(OR(LEFT(TH!N2903,2)="15",LEFT(TH!O2903,2)="15"),TK!$E$7=TH!F2903),"x","")</f>
        <v/>
      </c>
      <c r="AD2903" s="79" t="str">
        <f>IF(AND(N2903="1521",MONTH(C2903)='BK-NL'!$M$11),"x","")</f>
        <v/>
      </c>
    </row>
    <row r="2904" spans="1:30" ht="16.5" customHeight="1">
      <c r="A2904" s="318" t="str">
        <f>IF(B2904&lt;&gt;"",IF(AND(B2904='IN-TC'!$S$4,OR(TH!N2904="1111",TH!O2904="1111")),TH!D2904,""),"")</f>
        <v/>
      </c>
      <c r="B2904" s="60" t="str">
        <f t="shared" si="329"/>
        <v/>
      </c>
      <c r="C2904" s="61"/>
      <c r="D2904" s="61"/>
      <c r="E2904" s="61"/>
      <c r="F2904" s="64"/>
      <c r="G2904" s="64"/>
      <c r="H2904" s="69"/>
      <c r="I2904" s="387"/>
      <c r="J2904" s="395"/>
      <c r="K2904" s="387"/>
      <c r="L2904" s="394"/>
      <c r="M2904" s="62"/>
      <c r="N2904" s="63"/>
      <c r="O2904" s="63"/>
      <c r="P2904" s="79" t="str">
        <f>IF(AND('331-CT'!$E$7=TH!H2904,OR(N2904="331",O2904="331")),"x","")</f>
        <v/>
      </c>
      <c r="Q2904" s="79" t="str">
        <f>IF(AND(B2904='111'!$L$11,OR($N2904=$Q$7,$O2904=$Q$7)),"x","")</f>
        <v/>
      </c>
      <c r="R2904" s="79" t="str">
        <f>IF(AND($N2904=$Q$7,$B2904&lt;'111'!$L$11),"x","")</f>
        <v/>
      </c>
      <c r="S2904" s="79" t="str">
        <f>IF(AND($O2904=$Q$7,$B2904&lt;'111'!$L$11),"x","")</f>
        <v/>
      </c>
      <c r="T2904" s="79" t="str">
        <f>IF(ISERROR(FIND('112'!$M$9,G2904,1)),"",IF((AND(FIND('112'!$M$9,G2904,1)&gt;=1,B2904='112'!$K$9,OR($N2904='112'!$I$6,$O2904='112'!$I$6))),"x",""))</f>
        <v/>
      </c>
      <c r="U2904" s="79" t="str">
        <f>IF(ISERROR(FIND('112'!$M$9,G2904,1)),"",IF((AND(LEFT(G2904,2)=LEFT('112'!$M$9,2),B2904&lt;'112'!$K$9,$N2904='112'!$I$6)),"x",""))</f>
        <v/>
      </c>
      <c r="V2904" s="79" t="str">
        <f>IF(ISERROR(FIND('112'!$M$9,G2904,1)),"",IF((AND(RIGHT(G2904,2)=RIGHT('112'!$M$9,2),B2904&lt;'112'!$K$9,$O2904='112'!$I$6)),"x",""))</f>
        <v/>
      </c>
      <c r="W2904" s="79" t="str">
        <f>IF(AND('341-CT'!$H$9=H2904,OR(LEFT(N2904,3)=$W$7,LEFT(O2904,3)=$W$7)),"x","")</f>
        <v/>
      </c>
      <c r="X2904" s="79" t="str">
        <f>IF(OR(TH!N2904=TH!$X$7,O2904=TH!$X$7),"x","")</f>
        <v/>
      </c>
      <c r="Y2904" s="79" t="str">
        <f>IF(AND(OR(N2904="131",O2904="131"),H2904='131-CT'!$H$9),"x","")</f>
        <v/>
      </c>
      <c r="Z2904" s="79"/>
      <c r="AA2904" s="79" t="str">
        <f>IF(AND(MONTH(E2904)='IN-NX'!$J$5,'IN-NX'!$D$7=D2904),"x","")</f>
        <v/>
      </c>
      <c r="AB2904" s="79" t="str">
        <f>IF(AND(OR(LEFT(TH!N2904,2)="15",LEFT(TH!O2904,2)="15"),LEFT(TH!O2904,3)&lt;&gt;"111",'152-CT'!$J$8=TH!F2904),"x","")</f>
        <v/>
      </c>
      <c r="AC2904" s="79" t="str">
        <f>IF(AND(OR(LEFT(TH!N2904,2)="15",LEFT(TH!O2904,2)="15"),TK!$E$7=TH!F2904),"x","")</f>
        <v/>
      </c>
      <c r="AD2904" s="79" t="str">
        <f>IF(AND(N2904="1521",MONTH(C2904)='BK-NL'!$M$11),"x","")</f>
        <v/>
      </c>
    </row>
    <row r="2905" spans="1:30" ht="16.5" customHeight="1">
      <c r="A2905" s="318" t="str">
        <f>IF(B2905&lt;&gt;"",IF(AND(B2905='IN-TC'!$S$4,OR(TH!N2905="1111",TH!O2905="1111")),TH!D2905,""),"")</f>
        <v/>
      </c>
      <c r="B2905" s="60" t="str">
        <f t="shared" si="329"/>
        <v/>
      </c>
      <c r="C2905" s="61"/>
      <c r="D2905" s="61"/>
      <c r="E2905" s="61"/>
      <c r="F2905" s="64"/>
      <c r="G2905" s="64"/>
      <c r="H2905" s="69"/>
      <c r="I2905" s="387"/>
      <c r="J2905" s="395"/>
      <c r="K2905" s="387"/>
      <c r="L2905" s="394"/>
      <c r="M2905" s="62"/>
      <c r="N2905" s="63"/>
      <c r="O2905" s="63"/>
      <c r="P2905" s="79" t="str">
        <f>IF(AND('331-CT'!$E$7=TH!H2905,OR(N2905="331",O2905="331")),"x","")</f>
        <v/>
      </c>
      <c r="Q2905" s="79" t="str">
        <f>IF(AND(B2905='111'!$L$11,OR($N2905=$Q$7,$O2905=$Q$7)),"x","")</f>
        <v/>
      </c>
      <c r="R2905" s="79" t="str">
        <f>IF(AND($N2905=$Q$7,$B2905&lt;'111'!$L$11),"x","")</f>
        <v/>
      </c>
      <c r="S2905" s="79" t="str">
        <f>IF(AND($O2905=$Q$7,$B2905&lt;'111'!$L$11),"x","")</f>
        <v/>
      </c>
      <c r="T2905" s="79" t="str">
        <f>IF(ISERROR(FIND('112'!$M$9,G2905,1)),"",IF((AND(FIND('112'!$M$9,G2905,1)&gt;=1,B2905='112'!$K$9,OR($N2905='112'!$I$6,$O2905='112'!$I$6))),"x",""))</f>
        <v/>
      </c>
      <c r="U2905" s="79" t="str">
        <f>IF(ISERROR(FIND('112'!$M$9,G2905,1)),"",IF((AND(LEFT(G2905,2)=LEFT('112'!$M$9,2),B2905&lt;'112'!$K$9,$N2905='112'!$I$6)),"x",""))</f>
        <v/>
      </c>
      <c r="V2905" s="79" t="str">
        <f>IF(ISERROR(FIND('112'!$M$9,G2905,1)),"",IF((AND(RIGHT(G2905,2)=RIGHT('112'!$M$9,2),B2905&lt;'112'!$K$9,$O2905='112'!$I$6)),"x",""))</f>
        <v/>
      </c>
      <c r="W2905" s="79" t="str">
        <f>IF(AND('341-CT'!$H$9=H2905,OR(LEFT(N2905,3)=$W$7,LEFT(O2905,3)=$W$7)),"x","")</f>
        <v/>
      </c>
      <c r="X2905" s="79" t="str">
        <f>IF(OR(TH!N2905=TH!$X$7,O2905=TH!$X$7),"x","")</f>
        <v/>
      </c>
      <c r="Y2905" s="79" t="str">
        <f>IF(AND(OR(N2905="131",O2905="131"),H2905='131-CT'!$H$9),"x","")</f>
        <v/>
      </c>
      <c r="Z2905" s="79"/>
      <c r="AA2905" s="79" t="str">
        <f>IF(AND(MONTH(E2905)='IN-NX'!$J$5,'IN-NX'!$D$7=D2905),"x","")</f>
        <v/>
      </c>
      <c r="AB2905" s="79" t="str">
        <f>IF(AND(OR(LEFT(TH!N2905,2)="15",LEFT(TH!O2905,2)="15"),LEFT(TH!O2905,3)&lt;&gt;"111",'152-CT'!$J$8=TH!F2905),"x","")</f>
        <v/>
      </c>
      <c r="AC2905" s="79" t="str">
        <f>IF(AND(OR(LEFT(TH!N2905,2)="15",LEFT(TH!O2905,2)="15"),TK!$E$7=TH!F2905),"x","")</f>
        <v/>
      </c>
      <c r="AD2905" s="79" t="str">
        <f>IF(AND(N2905="1521",MONTH(C2905)='BK-NL'!$M$11),"x","")</f>
        <v/>
      </c>
    </row>
    <row r="2906" spans="1:30" ht="16.5" customHeight="1">
      <c r="A2906" s="318" t="str">
        <f>IF(B2906&lt;&gt;"",IF(AND(B2906='IN-TC'!$S$4,OR(TH!N2906="1111",TH!O2906="1111")),TH!D2906,""),"")</f>
        <v/>
      </c>
      <c r="B2906" s="60" t="str">
        <f t="shared" si="329"/>
        <v/>
      </c>
      <c r="C2906" s="61"/>
      <c r="D2906" s="61"/>
      <c r="E2906" s="61"/>
      <c r="F2906" s="64"/>
      <c r="G2906" s="64"/>
      <c r="H2906" s="69"/>
      <c r="I2906" s="387"/>
      <c r="J2906" s="395"/>
      <c r="K2906" s="387"/>
      <c r="L2906" s="394"/>
      <c r="M2906" s="62"/>
      <c r="N2906" s="63"/>
      <c r="O2906" s="63"/>
      <c r="P2906" s="79" t="str">
        <f>IF(AND('331-CT'!$E$7=TH!H2906,OR(N2906="331",O2906="331")),"x","")</f>
        <v/>
      </c>
      <c r="Q2906" s="79" t="str">
        <f>IF(AND(B2906='111'!$L$11,OR($N2906=$Q$7,$O2906=$Q$7)),"x","")</f>
        <v/>
      </c>
      <c r="R2906" s="79" t="str">
        <f>IF(AND($N2906=$Q$7,$B2906&lt;'111'!$L$11),"x","")</f>
        <v/>
      </c>
      <c r="S2906" s="79" t="str">
        <f>IF(AND($O2906=$Q$7,$B2906&lt;'111'!$L$11),"x","")</f>
        <v/>
      </c>
      <c r="T2906" s="79" t="str">
        <f>IF(ISERROR(FIND('112'!$M$9,G2906,1)),"",IF((AND(FIND('112'!$M$9,G2906,1)&gt;=1,B2906='112'!$K$9,OR($N2906='112'!$I$6,$O2906='112'!$I$6))),"x",""))</f>
        <v/>
      </c>
      <c r="U2906" s="79" t="str">
        <f>IF(ISERROR(FIND('112'!$M$9,G2906,1)),"",IF((AND(LEFT(G2906,2)=LEFT('112'!$M$9,2),B2906&lt;'112'!$K$9,$N2906='112'!$I$6)),"x",""))</f>
        <v/>
      </c>
      <c r="V2906" s="79" t="str">
        <f>IF(ISERROR(FIND('112'!$M$9,G2906,1)),"",IF((AND(RIGHT(G2906,2)=RIGHT('112'!$M$9,2),B2906&lt;'112'!$K$9,$O2906='112'!$I$6)),"x",""))</f>
        <v/>
      </c>
      <c r="W2906" s="79" t="str">
        <f>IF(AND('341-CT'!$H$9=H2906,OR(LEFT(N2906,3)=$W$7,LEFT(O2906,3)=$W$7)),"x","")</f>
        <v/>
      </c>
      <c r="X2906" s="79" t="str">
        <f>IF(OR(TH!N2906=TH!$X$7,O2906=TH!$X$7),"x","")</f>
        <v/>
      </c>
      <c r="Y2906" s="79" t="str">
        <f>IF(AND(OR(N2906="131",O2906="131"),H2906='131-CT'!$H$9),"x","")</f>
        <v/>
      </c>
      <c r="Z2906" s="79"/>
      <c r="AA2906" s="79" t="str">
        <f>IF(AND(MONTH(E2906)='IN-NX'!$J$5,'IN-NX'!$D$7=D2906),"x","")</f>
        <v/>
      </c>
      <c r="AB2906" s="79" t="str">
        <f>IF(AND(OR(LEFT(TH!N2906,2)="15",LEFT(TH!O2906,2)="15"),LEFT(TH!O2906,3)&lt;&gt;"111",'152-CT'!$J$8=TH!F2906),"x","")</f>
        <v/>
      </c>
      <c r="AC2906" s="79" t="str">
        <f>IF(AND(OR(LEFT(TH!N2906,2)="15",LEFT(TH!O2906,2)="15"),TK!$E$7=TH!F2906),"x","")</f>
        <v/>
      </c>
      <c r="AD2906" s="79" t="str">
        <f>IF(AND(N2906="1521",MONTH(C2906)='BK-NL'!$M$11),"x","")</f>
        <v/>
      </c>
    </row>
    <row r="2907" spans="1:30" ht="16.5" customHeight="1">
      <c r="A2907" s="318" t="str">
        <f>IF(B2907&lt;&gt;"",IF(AND(B2907='IN-TC'!$S$4,OR(TH!N2907="1111",TH!O2907="1111")),TH!D2907,""),"")</f>
        <v/>
      </c>
      <c r="B2907" s="60" t="str">
        <f t="shared" si="329"/>
        <v/>
      </c>
      <c r="C2907" s="61"/>
      <c r="D2907" s="61"/>
      <c r="E2907" s="61"/>
      <c r="F2907" s="64"/>
      <c r="G2907" s="64"/>
      <c r="H2907" s="69"/>
      <c r="I2907" s="387"/>
      <c r="J2907" s="395"/>
      <c r="K2907" s="387"/>
      <c r="L2907" s="394"/>
      <c r="M2907" s="62"/>
      <c r="N2907" s="63"/>
      <c r="O2907" s="63"/>
      <c r="P2907" s="79" t="str">
        <f>IF(AND('331-CT'!$E$7=TH!H2907,OR(N2907="331",O2907="331")),"x","")</f>
        <v/>
      </c>
      <c r="Q2907" s="79" t="str">
        <f>IF(AND(B2907='111'!$L$11,OR($N2907=$Q$7,$O2907=$Q$7)),"x","")</f>
        <v/>
      </c>
      <c r="R2907" s="79" t="str">
        <f>IF(AND($N2907=$Q$7,$B2907&lt;'111'!$L$11),"x","")</f>
        <v/>
      </c>
      <c r="S2907" s="79" t="str">
        <f>IF(AND($O2907=$Q$7,$B2907&lt;'111'!$L$11),"x","")</f>
        <v/>
      </c>
      <c r="T2907" s="79" t="str">
        <f>IF(ISERROR(FIND('112'!$M$9,G2907,1)),"",IF((AND(FIND('112'!$M$9,G2907,1)&gt;=1,B2907='112'!$K$9,OR($N2907='112'!$I$6,$O2907='112'!$I$6))),"x",""))</f>
        <v/>
      </c>
      <c r="U2907" s="79" t="str">
        <f>IF(ISERROR(FIND('112'!$M$9,G2907,1)),"",IF((AND(LEFT(G2907,2)=LEFT('112'!$M$9,2),B2907&lt;'112'!$K$9,$N2907='112'!$I$6)),"x",""))</f>
        <v/>
      </c>
      <c r="V2907" s="79" t="str">
        <f>IF(ISERROR(FIND('112'!$M$9,G2907,1)),"",IF((AND(RIGHT(G2907,2)=RIGHT('112'!$M$9,2),B2907&lt;'112'!$K$9,$O2907='112'!$I$6)),"x",""))</f>
        <v/>
      </c>
      <c r="W2907" s="79" t="str">
        <f>IF(AND('341-CT'!$H$9=H2907,OR(LEFT(N2907,3)=$W$7,LEFT(O2907,3)=$W$7)),"x","")</f>
        <v/>
      </c>
      <c r="X2907" s="79" t="str">
        <f>IF(OR(TH!N2907=TH!$X$7,O2907=TH!$X$7),"x","")</f>
        <v/>
      </c>
      <c r="Y2907" s="79" t="str">
        <f>IF(AND(OR(N2907="131",O2907="131"),H2907='131-CT'!$H$9),"x","")</f>
        <v/>
      </c>
      <c r="Z2907" s="79"/>
      <c r="AA2907" s="79" t="str">
        <f>IF(AND(MONTH(E2907)='IN-NX'!$J$5,'IN-NX'!$D$7=D2907),"x","")</f>
        <v/>
      </c>
      <c r="AB2907" s="79" t="str">
        <f>IF(AND(OR(LEFT(TH!N2907,2)="15",LEFT(TH!O2907,2)="15"),LEFT(TH!O2907,3)&lt;&gt;"111",'152-CT'!$J$8=TH!F2907),"x","")</f>
        <v/>
      </c>
      <c r="AC2907" s="79" t="str">
        <f>IF(AND(OR(LEFT(TH!N2907,2)="15",LEFT(TH!O2907,2)="15"),TK!$E$7=TH!F2907),"x","")</f>
        <v/>
      </c>
      <c r="AD2907" s="79" t="str">
        <f>IF(AND(N2907="1521",MONTH(C2907)='BK-NL'!$M$11),"x","")</f>
        <v/>
      </c>
    </row>
    <row r="2908" spans="1:30" ht="16.5" customHeight="1">
      <c r="A2908" s="318" t="str">
        <f>IF(B2908&lt;&gt;"",IF(AND(B2908='IN-TC'!$S$4,OR(TH!N2908="1111",TH!O2908="1111")),TH!D2908,""),"")</f>
        <v/>
      </c>
      <c r="B2908" s="60" t="str">
        <f t="shared" si="329"/>
        <v/>
      </c>
      <c r="C2908" s="61"/>
      <c r="D2908" s="61"/>
      <c r="E2908" s="61"/>
      <c r="F2908" s="64"/>
      <c r="G2908" s="64"/>
      <c r="H2908" s="69"/>
      <c r="I2908" s="387"/>
      <c r="J2908" s="395"/>
      <c r="K2908" s="387"/>
      <c r="L2908" s="394"/>
      <c r="M2908" s="62"/>
      <c r="N2908" s="63"/>
      <c r="O2908" s="63"/>
      <c r="P2908" s="79" t="str">
        <f>IF(AND('331-CT'!$E$7=TH!H2908,OR(N2908="331",O2908="331")),"x","")</f>
        <v/>
      </c>
      <c r="Q2908" s="79" t="str">
        <f>IF(AND(B2908='111'!$L$11,OR($N2908=$Q$7,$O2908=$Q$7)),"x","")</f>
        <v/>
      </c>
      <c r="R2908" s="79" t="str">
        <f>IF(AND($N2908=$Q$7,$B2908&lt;'111'!$L$11),"x","")</f>
        <v/>
      </c>
      <c r="S2908" s="79" t="str">
        <f>IF(AND($O2908=$Q$7,$B2908&lt;'111'!$L$11),"x","")</f>
        <v/>
      </c>
      <c r="T2908" s="79" t="str">
        <f>IF(ISERROR(FIND('112'!$M$9,G2908,1)),"",IF((AND(FIND('112'!$M$9,G2908,1)&gt;=1,B2908='112'!$K$9,OR($N2908='112'!$I$6,$O2908='112'!$I$6))),"x",""))</f>
        <v/>
      </c>
      <c r="U2908" s="79" t="str">
        <f>IF(ISERROR(FIND('112'!$M$9,G2908,1)),"",IF((AND(LEFT(G2908,2)=LEFT('112'!$M$9,2),B2908&lt;'112'!$K$9,$N2908='112'!$I$6)),"x",""))</f>
        <v/>
      </c>
      <c r="V2908" s="79" t="str">
        <f>IF(ISERROR(FIND('112'!$M$9,G2908,1)),"",IF((AND(RIGHT(G2908,2)=RIGHT('112'!$M$9,2),B2908&lt;'112'!$K$9,$O2908='112'!$I$6)),"x",""))</f>
        <v/>
      </c>
      <c r="W2908" s="79" t="str">
        <f>IF(AND('341-CT'!$H$9=H2908,OR(LEFT(N2908,3)=$W$7,LEFT(O2908,3)=$W$7)),"x","")</f>
        <v/>
      </c>
      <c r="X2908" s="79" t="str">
        <f>IF(OR(TH!N2908=TH!$X$7,O2908=TH!$X$7),"x","")</f>
        <v/>
      </c>
      <c r="Y2908" s="79" t="str">
        <f>IF(AND(OR(N2908="131",O2908="131"),H2908='131-CT'!$H$9),"x","")</f>
        <v/>
      </c>
      <c r="Z2908" s="79"/>
      <c r="AA2908" s="79" t="str">
        <f>IF(AND(MONTH(E2908)='IN-NX'!$J$5,'IN-NX'!$D$7=D2908),"x","")</f>
        <v/>
      </c>
      <c r="AB2908" s="79" t="str">
        <f>IF(AND(OR(LEFT(TH!N2908,2)="15",LEFT(TH!O2908,2)="15"),LEFT(TH!O2908,3)&lt;&gt;"111",'152-CT'!$J$8=TH!F2908),"x","")</f>
        <v/>
      </c>
      <c r="AC2908" s="79" t="str">
        <f>IF(AND(OR(LEFT(TH!N2908,2)="15",LEFT(TH!O2908,2)="15"),TK!$E$7=TH!F2908),"x","")</f>
        <v/>
      </c>
      <c r="AD2908" s="79" t="str">
        <f>IF(AND(N2908="1521",MONTH(C2908)='BK-NL'!$M$11),"x","")</f>
        <v/>
      </c>
    </row>
    <row r="2909" spans="1:30" ht="16.5" customHeight="1">
      <c r="A2909" s="318" t="str">
        <f>IF(B2909&lt;&gt;"",IF(AND(B2909='IN-TC'!$S$4,OR(TH!N2909="1111",TH!O2909="1111")),TH!D2909,""),"")</f>
        <v/>
      </c>
      <c r="B2909" s="60" t="str">
        <f t="shared" si="329"/>
        <v/>
      </c>
      <c r="C2909" s="61"/>
      <c r="D2909" s="61"/>
      <c r="E2909" s="61"/>
      <c r="F2909" s="64"/>
      <c r="G2909" s="64"/>
      <c r="H2909" s="69"/>
      <c r="I2909" s="387"/>
      <c r="J2909" s="395"/>
      <c r="K2909" s="387"/>
      <c r="L2909" s="394"/>
      <c r="M2909" s="62"/>
      <c r="N2909" s="63"/>
      <c r="O2909" s="63"/>
      <c r="P2909" s="79" t="str">
        <f>IF(AND('331-CT'!$E$7=TH!H2909,OR(N2909="331",O2909="331")),"x","")</f>
        <v/>
      </c>
      <c r="Q2909" s="79" t="str">
        <f>IF(AND(B2909='111'!$L$11,OR($N2909=$Q$7,$O2909=$Q$7)),"x","")</f>
        <v/>
      </c>
      <c r="R2909" s="79" t="str">
        <f>IF(AND($N2909=$Q$7,$B2909&lt;'111'!$L$11),"x","")</f>
        <v/>
      </c>
      <c r="S2909" s="79" t="str">
        <f>IF(AND($O2909=$Q$7,$B2909&lt;'111'!$L$11),"x","")</f>
        <v/>
      </c>
      <c r="T2909" s="79" t="str">
        <f>IF(ISERROR(FIND('112'!$M$9,G2909,1)),"",IF((AND(FIND('112'!$M$9,G2909,1)&gt;=1,B2909='112'!$K$9,OR($N2909='112'!$I$6,$O2909='112'!$I$6))),"x",""))</f>
        <v/>
      </c>
      <c r="U2909" s="79" t="str">
        <f>IF(ISERROR(FIND('112'!$M$9,G2909,1)),"",IF((AND(LEFT(G2909,2)=LEFT('112'!$M$9,2),B2909&lt;'112'!$K$9,$N2909='112'!$I$6)),"x",""))</f>
        <v/>
      </c>
      <c r="V2909" s="79" t="str">
        <f>IF(ISERROR(FIND('112'!$M$9,G2909,1)),"",IF((AND(RIGHT(G2909,2)=RIGHT('112'!$M$9,2),B2909&lt;'112'!$K$9,$O2909='112'!$I$6)),"x",""))</f>
        <v/>
      </c>
      <c r="W2909" s="79" t="str">
        <f>IF(AND('341-CT'!$H$9=H2909,OR(LEFT(N2909,3)=$W$7,LEFT(O2909,3)=$W$7)),"x","")</f>
        <v/>
      </c>
      <c r="X2909" s="79" t="str">
        <f>IF(OR(TH!N2909=TH!$X$7,O2909=TH!$X$7),"x","")</f>
        <v/>
      </c>
      <c r="Y2909" s="79" t="str">
        <f>IF(AND(OR(N2909="131",O2909="131"),H2909='131-CT'!$H$9),"x","")</f>
        <v/>
      </c>
      <c r="Z2909" s="79"/>
      <c r="AA2909" s="79" t="str">
        <f>IF(AND(MONTH(E2909)='IN-NX'!$J$5,'IN-NX'!$D$7=D2909),"x","")</f>
        <v/>
      </c>
      <c r="AB2909" s="79" t="str">
        <f>IF(AND(OR(LEFT(TH!N2909,2)="15",LEFT(TH!O2909,2)="15"),LEFT(TH!O2909,3)&lt;&gt;"111",'152-CT'!$J$8=TH!F2909),"x","")</f>
        <v/>
      </c>
      <c r="AC2909" s="79" t="str">
        <f>IF(AND(OR(LEFT(TH!N2909,2)="15",LEFT(TH!O2909,2)="15"),TK!$E$7=TH!F2909),"x","")</f>
        <v/>
      </c>
      <c r="AD2909" s="79" t="str">
        <f>IF(AND(N2909="1521",MONTH(C2909)='BK-NL'!$M$11),"x","")</f>
        <v/>
      </c>
    </row>
    <row r="2910" spans="1:30" ht="16.5" customHeight="1">
      <c r="A2910" s="318" t="str">
        <f>IF(B2910&lt;&gt;"",IF(AND(B2910='IN-TC'!$S$4,OR(TH!N2910="1111",TH!O2910="1111")),TH!D2910,""),"")</f>
        <v/>
      </c>
      <c r="B2910" s="60" t="str">
        <f t="shared" si="329"/>
        <v/>
      </c>
      <c r="C2910" s="1257"/>
      <c r="D2910" s="61"/>
      <c r="E2910" s="61"/>
      <c r="F2910" s="64"/>
      <c r="G2910" s="64"/>
      <c r="H2910" s="69"/>
      <c r="I2910" s="1156"/>
      <c r="J2910" s="869"/>
      <c r="K2910" s="387"/>
      <c r="L2910" s="394"/>
      <c r="M2910" s="62"/>
      <c r="N2910" s="63"/>
      <c r="O2910" s="304"/>
      <c r="P2910" s="79" t="str">
        <f>IF(AND('331-CT'!$E$7=TH!H2910,OR(N2910="331",O2910="331")),"x","")</f>
        <v/>
      </c>
      <c r="Q2910" s="79" t="str">
        <f>IF(AND(B2910='111'!$L$11,OR($N2910=$Q$7,$O2910=$Q$7)),"x","")</f>
        <v/>
      </c>
      <c r="R2910" s="79" t="str">
        <f>IF(AND($N2910=$Q$7,$B2910&lt;'111'!$L$11),"x","")</f>
        <v/>
      </c>
      <c r="S2910" s="79" t="str">
        <f>IF(AND($O2910=$Q$7,$B2910&lt;'111'!$L$11),"x","")</f>
        <v/>
      </c>
      <c r="T2910" s="79" t="str">
        <f>IF(ISERROR(FIND('112'!$M$9,G2910,1)),"",IF((AND(FIND('112'!$M$9,G2910,1)&gt;=1,B2910='112'!$K$9,OR($N2910='112'!$I$6,$O2910='112'!$I$6))),"x",""))</f>
        <v/>
      </c>
      <c r="U2910" s="79" t="str">
        <f>IF(ISERROR(FIND('112'!$M$9,G2910,1)),"",IF((AND(LEFT(G2910,2)=LEFT('112'!$M$9,2),B2910&lt;'112'!$K$9,$N2910='112'!$I$6)),"x",""))</f>
        <v/>
      </c>
      <c r="V2910" s="79" t="str">
        <f>IF(ISERROR(FIND('112'!$M$9,G2910,1)),"",IF((AND(RIGHT(G2910,2)=RIGHT('112'!$M$9,2),B2910&lt;'112'!$K$9,$O2910='112'!$I$6)),"x",""))</f>
        <v/>
      </c>
      <c r="W2910" s="79" t="str">
        <f>IF(AND('341-CT'!$H$9=H2910,OR(LEFT(N2910,3)=$W$7,LEFT(O2910,3)=$W$7)),"x","")</f>
        <v/>
      </c>
      <c r="X2910" s="79" t="str">
        <f>IF(OR(TH!N2910=TH!$X$7,O2910=TH!$X$7),"x","")</f>
        <v/>
      </c>
      <c r="Y2910" s="79" t="str">
        <f>IF(AND(OR(N2910="131",O2910="131"),H2910='131-CT'!$H$9),"x","")</f>
        <v/>
      </c>
      <c r="Z2910" s="79"/>
      <c r="AA2910" s="79" t="str">
        <f>IF(AND(MONTH(E2910)='IN-NX'!$J$5,'IN-NX'!$D$7=D2910),"x","")</f>
        <v/>
      </c>
      <c r="AB2910" s="79" t="str">
        <f>IF(AND(OR(LEFT(TH!N2910,2)="15",LEFT(TH!O2910,2)="15"),LEFT(TH!O2910,3)&lt;&gt;"111",'152-CT'!$J$8=TH!F2910),"x","")</f>
        <v/>
      </c>
      <c r="AC2910" s="79" t="str">
        <f>IF(AND(OR(LEFT(TH!N2910,2)="15",LEFT(TH!O2910,2)="15"),TK!$E$7=TH!F2910),"x","")</f>
        <v/>
      </c>
      <c r="AD2910" s="79" t="str">
        <f>IF(AND(N2910="1521",MONTH(C2910)='BK-NL'!$M$11),"x","")</f>
        <v/>
      </c>
    </row>
    <row r="2911" spans="1:30" ht="16.5" customHeight="1">
      <c r="A2911" s="318" t="str">
        <f>IF(B2911&lt;&gt;"",IF(AND(B2911='IN-TC'!$S$4,OR(TH!N2911="1111",TH!O2911="1111")),TH!D2911,""),"")</f>
        <v/>
      </c>
      <c r="B2911" s="60" t="str">
        <f t="shared" si="329"/>
        <v/>
      </c>
      <c r="C2911" s="1257"/>
      <c r="D2911" s="61"/>
      <c r="E2911" s="61"/>
      <c r="F2911" s="64"/>
      <c r="G2911" s="64"/>
      <c r="H2911" s="69"/>
      <c r="I2911" s="1156"/>
      <c r="J2911" s="869"/>
      <c r="K2911" s="387"/>
      <c r="L2911" s="394"/>
      <c r="M2911" s="62"/>
      <c r="N2911" s="63"/>
      <c r="O2911" s="304"/>
      <c r="P2911" s="79" t="str">
        <f>IF(AND('331-CT'!$E$7=TH!H2911,OR(N2911="331",O2911="331")),"x","")</f>
        <v/>
      </c>
      <c r="Q2911" s="79" t="str">
        <f>IF(AND(B2911='111'!$L$11,OR($N2911=$Q$7,$O2911=$Q$7)),"x","")</f>
        <v/>
      </c>
      <c r="R2911" s="79" t="str">
        <f>IF(AND($N2911=$Q$7,$B2911&lt;'111'!$L$11),"x","")</f>
        <v/>
      </c>
      <c r="S2911" s="79" t="str">
        <f>IF(AND($O2911=$Q$7,$B2911&lt;'111'!$L$11),"x","")</f>
        <v/>
      </c>
      <c r="T2911" s="79" t="str">
        <f>IF(ISERROR(FIND('112'!$M$9,G2911,1)),"",IF((AND(FIND('112'!$M$9,G2911,1)&gt;=1,B2911='112'!$K$9,OR($N2911='112'!$I$6,$O2911='112'!$I$6))),"x",""))</f>
        <v/>
      </c>
      <c r="U2911" s="79" t="str">
        <f>IF(ISERROR(FIND('112'!$M$9,G2911,1)),"",IF((AND(LEFT(G2911,2)=LEFT('112'!$M$9,2),B2911&lt;'112'!$K$9,$N2911='112'!$I$6)),"x",""))</f>
        <v/>
      </c>
      <c r="V2911" s="79" t="str">
        <f>IF(ISERROR(FIND('112'!$M$9,G2911,1)),"",IF((AND(RIGHT(G2911,2)=RIGHT('112'!$M$9,2),B2911&lt;'112'!$K$9,$O2911='112'!$I$6)),"x",""))</f>
        <v/>
      </c>
      <c r="W2911" s="79" t="str">
        <f>IF(AND('341-CT'!$H$9=H2911,OR(LEFT(N2911,3)=$W$7,LEFT(O2911,3)=$W$7)),"x","")</f>
        <v/>
      </c>
      <c r="X2911" s="79" t="str">
        <f>IF(OR(TH!N2911=TH!$X$7,O2911=TH!$X$7),"x","")</f>
        <v/>
      </c>
      <c r="Y2911" s="79" t="str">
        <f>IF(AND(OR(N2911="131",O2911="131"),H2911='131-CT'!$H$9),"x","")</f>
        <v/>
      </c>
      <c r="Z2911" s="79"/>
      <c r="AA2911" s="79" t="str">
        <f>IF(AND(MONTH(E2911)='IN-NX'!$J$5,'IN-NX'!$D$7=D2911),"x","")</f>
        <v/>
      </c>
      <c r="AB2911" s="79" t="str">
        <f>IF(AND(OR(LEFT(TH!N2911,2)="15",LEFT(TH!O2911,2)="15"),LEFT(TH!O2911,3)&lt;&gt;"111",'152-CT'!$J$8=TH!F2911),"x","")</f>
        <v/>
      </c>
      <c r="AC2911" s="79" t="str">
        <f>IF(AND(OR(LEFT(TH!N2911,2)="15",LEFT(TH!O2911,2)="15"),TK!$E$7=TH!F2911),"x","")</f>
        <v/>
      </c>
      <c r="AD2911" s="79" t="str">
        <f>IF(AND(N2911="1521",MONTH(C2911)='BK-NL'!$M$11),"x","")</f>
        <v/>
      </c>
    </row>
    <row r="2912" spans="1:30" ht="16.5" customHeight="1">
      <c r="A2912" s="318" t="str">
        <f>IF(B2912&lt;&gt;"",IF(AND(B2912='IN-TC'!$S$4,OR(TH!N2912="1111",TH!O2912="1111")),TH!D2912,""),"")</f>
        <v/>
      </c>
      <c r="B2912" s="60" t="str">
        <f t="shared" si="329"/>
        <v/>
      </c>
      <c r="C2912" s="1257"/>
      <c r="D2912" s="61"/>
      <c r="E2912" s="61"/>
      <c r="F2912" s="64"/>
      <c r="G2912" s="64"/>
      <c r="H2912" s="69"/>
      <c r="I2912" s="1156"/>
      <c r="J2912" s="869"/>
      <c r="K2912" s="387"/>
      <c r="L2912" s="394"/>
      <c r="M2912" s="62"/>
      <c r="N2912" s="63"/>
      <c r="O2912" s="304"/>
      <c r="P2912" s="79" t="str">
        <f>IF(AND('331-CT'!$E$7=TH!H2912,OR(N2912="331",O2912="331")),"x","")</f>
        <v/>
      </c>
      <c r="Q2912" s="79" t="str">
        <f>IF(AND(B2912='111'!$L$11,OR($N2912=$Q$7,$O2912=$Q$7)),"x","")</f>
        <v/>
      </c>
      <c r="R2912" s="79" t="str">
        <f>IF(AND($N2912=$Q$7,$B2912&lt;'111'!$L$11),"x","")</f>
        <v/>
      </c>
      <c r="S2912" s="79" t="str">
        <f>IF(AND($O2912=$Q$7,$B2912&lt;'111'!$L$11),"x","")</f>
        <v/>
      </c>
      <c r="T2912" s="79" t="str">
        <f>IF(ISERROR(FIND('112'!$M$9,G2912,1)),"",IF((AND(FIND('112'!$M$9,G2912,1)&gt;=1,B2912='112'!$K$9,OR($N2912='112'!$I$6,$O2912='112'!$I$6))),"x",""))</f>
        <v/>
      </c>
      <c r="U2912" s="79" t="str">
        <f>IF(ISERROR(FIND('112'!$M$9,G2912,1)),"",IF((AND(LEFT(G2912,2)=LEFT('112'!$M$9,2),B2912&lt;'112'!$K$9,$N2912='112'!$I$6)),"x",""))</f>
        <v/>
      </c>
      <c r="V2912" s="79" t="str">
        <f>IF(ISERROR(FIND('112'!$M$9,G2912,1)),"",IF((AND(RIGHT(G2912,2)=RIGHT('112'!$M$9,2),B2912&lt;'112'!$K$9,$O2912='112'!$I$6)),"x",""))</f>
        <v/>
      </c>
      <c r="W2912" s="79" t="str">
        <f>IF(AND('341-CT'!$H$9=H2912,OR(LEFT(N2912,3)=$W$7,LEFT(O2912,3)=$W$7)),"x","")</f>
        <v/>
      </c>
      <c r="X2912" s="79" t="str">
        <f>IF(OR(TH!N2912=TH!$X$7,O2912=TH!$X$7),"x","")</f>
        <v/>
      </c>
      <c r="Y2912" s="79" t="str">
        <f>IF(AND(OR(N2912="131",O2912="131"),H2912='131-CT'!$H$9),"x","")</f>
        <v/>
      </c>
      <c r="Z2912" s="79"/>
      <c r="AA2912" s="79" t="str">
        <f>IF(AND(MONTH(E2912)='IN-NX'!$J$5,'IN-NX'!$D$7=D2912),"x","")</f>
        <v/>
      </c>
      <c r="AB2912" s="79" t="str">
        <f>IF(AND(OR(LEFT(TH!N2912,2)="15",LEFT(TH!O2912,2)="15"),LEFT(TH!O2912,3)&lt;&gt;"111",'152-CT'!$J$8=TH!F2912),"x","")</f>
        <v/>
      </c>
      <c r="AC2912" s="79" t="str">
        <f>IF(AND(OR(LEFT(TH!N2912,2)="15",LEFT(TH!O2912,2)="15"),TK!$E$7=TH!F2912),"x","")</f>
        <v/>
      </c>
      <c r="AD2912" s="79" t="str">
        <f>IF(AND(N2912="1521",MONTH(C2912)='BK-NL'!$M$11),"x","")</f>
        <v/>
      </c>
    </row>
    <row r="2913" spans="1:30" ht="16.5" customHeight="1">
      <c r="A2913" s="318" t="str">
        <f>IF(B2913&lt;&gt;"",IF(AND(B2913='IN-TC'!$S$4,OR(TH!N2913="1111",TH!O2913="1111")),TH!D2913,""),"")</f>
        <v/>
      </c>
      <c r="B2913" s="60" t="str">
        <f t="shared" si="329"/>
        <v/>
      </c>
      <c r="C2913" s="1257"/>
      <c r="D2913" s="61"/>
      <c r="E2913" s="61"/>
      <c r="F2913" s="64"/>
      <c r="G2913" s="64"/>
      <c r="H2913" s="303"/>
      <c r="I2913" s="1156"/>
      <c r="J2913" s="869"/>
      <c r="K2913" s="387"/>
      <c r="L2913" s="394"/>
      <c r="M2913" s="62"/>
      <c r="N2913" s="63"/>
      <c r="O2913" s="304"/>
      <c r="P2913" s="79" t="str">
        <f>IF(AND('331-CT'!$E$7=TH!H2913,OR(N2913="331",O2913="331")),"x","")</f>
        <v/>
      </c>
      <c r="Q2913" s="79" t="str">
        <f>IF(AND(B2913='111'!$L$11,OR($N2913=$Q$7,$O2913=$Q$7)),"x","")</f>
        <v/>
      </c>
      <c r="R2913" s="79" t="str">
        <f>IF(AND($N2913=$Q$7,$B2913&lt;'111'!$L$11),"x","")</f>
        <v/>
      </c>
      <c r="S2913" s="79" t="str">
        <f>IF(AND($O2913=$Q$7,$B2913&lt;'111'!$L$11),"x","")</f>
        <v/>
      </c>
      <c r="T2913" s="79" t="str">
        <f>IF(ISERROR(FIND('112'!$M$9,G2913,1)),"",IF((AND(FIND('112'!$M$9,G2913,1)&gt;=1,B2913='112'!$K$9,OR($N2913='112'!$I$6,$O2913='112'!$I$6))),"x",""))</f>
        <v/>
      </c>
      <c r="U2913" s="79" t="str">
        <f>IF(ISERROR(FIND('112'!$M$9,G2913,1)),"",IF((AND(LEFT(G2913,2)=LEFT('112'!$M$9,2),B2913&lt;'112'!$K$9,$N2913='112'!$I$6)),"x",""))</f>
        <v/>
      </c>
      <c r="V2913" s="79" t="str">
        <f>IF(ISERROR(FIND('112'!$M$9,G2913,1)),"",IF((AND(RIGHT(G2913,2)=RIGHT('112'!$M$9,2),B2913&lt;'112'!$K$9,$O2913='112'!$I$6)),"x",""))</f>
        <v/>
      </c>
      <c r="W2913" s="79" t="str">
        <f>IF(AND('341-CT'!$H$9=H2913,OR(LEFT(N2913,3)=$W$7,LEFT(O2913,3)=$W$7)),"x","")</f>
        <v/>
      </c>
      <c r="X2913" s="79" t="str">
        <f>IF(OR(TH!N2913=TH!$X$7,O2913=TH!$X$7),"x","")</f>
        <v/>
      </c>
      <c r="Y2913" s="79" t="str">
        <f>IF(AND(OR(N2913="131",O2913="131"),H2913='131-CT'!$H$9),"x","")</f>
        <v/>
      </c>
      <c r="Z2913" s="79"/>
      <c r="AA2913" s="79" t="str">
        <f>IF(AND(MONTH(E2913)='IN-NX'!$J$5,'IN-NX'!$D$7=D2913),"x","")</f>
        <v/>
      </c>
      <c r="AB2913" s="79" t="str">
        <f>IF(AND(OR(LEFT(TH!N2913,2)="15",LEFT(TH!O2913,2)="15"),LEFT(TH!O2913,3)&lt;&gt;"111",'152-CT'!$J$8=TH!F2913),"x","")</f>
        <v/>
      </c>
      <c r="AC2913" s="79" t="str">
        <f>IF(AND(OR(LEFT(TH!N2913,2)="15",LEFT(TH!O2913,2)="15"),TK!$E$7=TH!F2913),"x","")</f>
        <v/>
      </c>
      <c r="AD2913" s="79" t="str">
        <f>IF(AND(N2913="1521",MONTH(C2913)='BK-NL'!$M$11),"x","")</f>
        <v/>
      </c>
    </row>
    <row r="2914" spans="1:30" ht="16.5" customHeight="1">
      <c r="A2914" s="318" t="str">
        <f>IF(B2914&lt;&gt;"",IF(AND(B2914='IN-TC'!$S$4,OR(TH!N2914="1111",TH!O2914="1111")),TH!D2914,""),"")</f>
        <v/>
      </c>
      <c r="B2914" s="60" t="str">
        <f t="shared" ref="B2914:B2917" si="330">IF(C2914&lt;&gt;"",MONTH(C2914),"")</f>
        <v/>
      </c>
      <c r="C2914" s="1257"/>
      <c r="D2914" s="61"/>
      <c r="E2914" s="61"/>
      <c r="F2914" s="64"/>
      <c r="G2914" s="64"/>
      <c r="H2914" s="69"/>
      <c r="I2914" s="1156"/>
      <c r="J2914" s="869"/>
      <c r="K2914" s="387"/>
      <c r="L2914" s="394"/>
      <c r="M2914" s="62"/>
      <c r="N2914" s="63"/>
      <c r="O2914" s="304"/>
      <c r="P2914" s="79" t="str">
        <f>IF(AND('331-CT'!$E$7=TH!H2914,OR(N2914="331",O2914="331")),"x","")</f>
        <v/>
      </c>
      <c r="Q2914" s="79" t="str">
        <f>IF(AND(B2914='111'!$L$11,OR($N2914=$Q$7,$O2914=$Q$7)),"x","")</f>
        <v/>
      </c>
      <c r="R2914" s="79" t="str">
        <f>IF(AND($N2914=$Q$7,$B2914&lt;'111'!$L$11),"x","")</f>
        <v/>
      </c>
      <c r="S2914" s="79" t="str">
        <f>IF(AND($O2914=$Q$7,$B2914&lt;'111'!$L$11),"x","")</f>
        <v/>
      </c>
      <c r="T2914" s="79" t="str">
        <f>IF(ISERROR(FIND('112'!$M$9,G2914,1)),"",IF((AND(FIND('112'!$M$9,G2914,1)&gt;=1,B2914='112'!$K$9,OR($N2914='112'!$I$6,$O2914='112'!$I$6))),"x",""))</f>
        <v/>
      </c>
      <c r="U2914" s="79" t="str">
        <f>IF(ISERROR(FIND('112'!$M$9,G2914,1)),"",IF((AND(LEFT(G2914,2)=LEFT('112'!$M$9,2),B2914&lt;'112'!$K$9,$N2914='112'!$I$6)),"x",""))</f>
        <v/>
      </c>
      <c r="V2914" s="79" t="str">
        <f>IF(ISERROR(FIND('112'!$M$9,G2914,1)),"",IF((AND(RIGHT(G2914,2)=RIGHT('112'!$M$9,2),B2914&lt;'112'!$K$9,$O2914='112'!$I$6)),"x",""))</f>
        <v/>
      </c>
      <c r="W2914" s="79" t="str">
        <f>IF(AND('341-CT'!$H$9=H2914,OR(LEFT(N2914,3)=$W$7,LEFT(O2914,3)=$W$7)),"x","")</f>
        <v/>
      </c>
      <c r="X2914" s="79" t="str">
        <f>IF(OR(TH!N2914=TH!$X$7,O2914=TH!$X$7),"x","")</f>
        <v/>
      </c>
      <c r="Y2914" s="79" t="str">
        <f>IF(AND(OR(N2914="131",O2914="131"),H2914='131-CT'!$H$9),"x","")</f>
        <v/>
      </c>
      <c r="Z2914" s="79"/>
      <c r="AA2914" s="79" t="str">
        <f>IF(AND(MONTH(E2914)='IN-NX'!$J$5,'IN-NX'!$D$7=D2914),"x","")</f>
        <v/>
      </c>
      <c r="AB2914" s="79" t="str">
        <f>IF(AND(OR(LEFT(TH!N2914,2)="15",LEFT(TH!O2914,2)="15"),LEFT(TH!O2914,3)&lt;&gt;"111",'152-CT'!$J$8=TH!F2914),"x","")</f>
        <v/>
      </c>
      <c r="AC2914" s="79" t="str">
        <f>IF(AND(OR(LEFT(TH!N2914,2)="15",LEFT(TH!O2914,2)="15"),TK!$E$7=TH!F2914),"x","")</f>
        <v/>
      </c>
      <c r="AD2914" s="79" t="str">
        <f>IF(AND(N2914="1521",MONTH(C2914)='BK-NL'!$M$11),"x","")</f>
        <v/>
      </c>
    </row>
    <row r="2915" spans="1:30" ht="16.5" customHeight="1">
      <c r="A2915" s="318" t="str">
        <f>IF(B2915&lt;&gt;"",IF(AND(B2915='IN-TC'!$S$4,OR(TH!N2915="1111",TH!O2915="1111")),TH!D2915,""),"")</f>
        <v/>
      </c>
      <c r="B2915" s="60" t="str">
        <f t="shared" si="330"/>
        <v/>
      </c>
      <c r="C2915" s="1257"/>
      <c r="D2915" s="61"/>
      <c r="E2915" s="61"/>
      <c r="F2915" s="64"/>
      <c r="G2915" s="64"/>
      <c r="H2915" s="69"/>
      <c r="I2915" s="1156"/>
      <c r="J2915" s="869"/>
      <c r="K2915" s="387"/>
      <c r="L2915" s="394"/>
      <c r="M2915" s="62"/>
      <c r="N2915" s="63"/>
      <c r="O2915" s="304"/>
      <c r="P2915" s="79" t="str">
        <f>IF(AND('331-CT'!$E$7=TH!H2915,OR(N2915="331",O2915="331")),"x","")</f>
        <v/>
      </c>
      <c r="Q2915" s="79" t="str">
        <f>IF(AND(B2915='111'!$L$11,OR($N2915=$Q$7,$O2915=$Q$7)),"x","")</f>
        <v/>
      </c>
      <c r="R2915" s="79" t="str">
        <f>IF(AND($N2915=$Q$7,$B2915&lt;'111'!$L$11),"x","")</f>
        <v/>
      </c>
      <c r="S2915" s="79" t="str">
        <f>IF(AND($O2915=$Q$7,$B2915&lt;'111'!$L$11),"x","")</f>
        <v/>
      </c>
      <c r="T2915" s="79" t="str">
        <f>IF(ISERROR(FIND('112'!$M$9,G2915,1)),"",IF((AND(FIND('112'!$M$9,G2915,1)&gt;=1,B2915='112'!$K$9,OR($N2915='112'!$I$6,$O2915='112'!$I$6))),"x",""))</f>
        <v/>
      </c>
      <c r="U2915" s="79" t="str">
        <f>IF(ISERROR(FIND('112'!$M$9,G2915,1)),"",IF((AND(LEFT(G2915,2)=LEFT('112'!$M$9,2),B2915&lt;'112'!$K$9,$N2915='112'!$I$6)),"x",""))</f>
        <v/>
      </c>
      <c r="V2915" s="79" t="str">
        <f>IF(ISERROR(FIND('112'!$M$9,G2915,1)),"",IF((AND(RIGHT(G2915,2)=RIGHT('112'!$M$9,2),B2915&lt;'112'!$K$9,$O2915='112'!$I$6)),"x",""))</f>
        <v/>
      </c>
      <c r="W2915" s="79" t="str">
        <f>IF(AND('341-CT'!$H$9=H2915,OR(LEFT(N2915,3)=$W$7,LEFT(O2915,3)=$W$7)),"x","")</f>
        <v/>
      </c>
      <c r="X2915" s="79" t="str">
        <f>IF(OR(TH!N2915=TH!$X$7,O2915=TH!$X$7),"x","")</f>
        <v/>
      </c>
      <c r="Y2915" s="79" t="str">
        <f>IF(AND(OR(N2915="131",O2915="131"),H2915='131-CT'!$H$9),"x","")</f>
        <v/>
      </c>
      <c r="Z2915" s="79"/>
      <c r="AA2915" s="79" t="str">
        <f>IF(AND(MONTH(E2915)='IN-NX'!$J$5,'IN-NX'!$D$7=D2915),"x","")</f>
        <v/>
      </c>
      <c r="AB2915" s="79" t="str">
        <f>IF(AND(OR(LEFT(TH!N2915,2)="15",LEFT(TH!O2915,2)="15"),LEFT(TH!O2915,3)&lt;&gt;"111",'152-CT'!$J$8=TH!F2915),"x","")</f>
        <v/>
      </c>
      <c r="AC2915" s="79" t="str">
        <f>IF(AND(OR(LEFT(TH!N2915,2)="15",LEFT(TH!O2915,2)="15"),TK!$E$7=TH!F2915),"x","")</f>
        <v/>
      </c>
      <c r="AD2915" s="79" t="str">
        <f>IF(AND(N2915="1521",MONTH(C2915)='BK-NL'!$M$11),"x","")</f>
        <v/>
      </c>
    </row>
    <row r="2916" spans="1:30" ht="16.5" customHeight="1">
      <c r="A2916" s="318" t="str">
        <f>IF(B2916&lt;&gt;"",IF(AND(B2916='IN-TC'!$S$4,OR(TH!N2916="1111",TH!O2916="1111")),TH!D2916,""),"")</f>
        <v/>
      </c>
      <c r="B2916" s="60" t="str">
        <f t="shared" si="330"/>
        <v/>
      </c>
      <c r="C2916" s="1257"/>
      <c r="D2916" s="61"/>
      <c r="E2916" s="61"/>
      <c r="F2916" s="64"/>
      <c r="G2916" s="64"/>
      <c r="H2916" s="69"/>
      <c r="I2916" s="1156"/>
      <c r="J2916" s="869"/>
      <c r="K2916" s="387"/>
      <c r="L2916" s="394"/>
      <c r="M2916" s="62"/>
      <c r="N2916" s="63"/>
      <c r="O2916" s="304"/>
      <c r="P2916" s="79" t="str">
        <f>IF(AND('331-CT'!$E$7=TH!H2916,OR(N2916="331",O2916="331")),"x","")</f>
        <v/>
      </c>
      <c r="Q2916" s="79" t="str">
        <f>IF(AND(B2916='111'!$L$11,OR($N2916=$Q$7,$O2916=$Q$7)),"x","")</f>
        <v/>
      </c>
      <c r="R2916" s="79" t="str">
        <f>IF(AND($N2916=$Q$7,$B2916&lt;'111'!$L$11),"x","")</f>
        <v/>
      </c>
      <c r="S2916" s="79" t="str">
        <f>IF(AND($O2916=$Q$7,$B2916&lt;'111'!$L$11),"x","")</f>
        <v/>
      </c>
      <c r="T2916" s="79" t="str">
        <f>IF(ISERROR(FIND('112'!$M$9,G2916,1)),"",IF((AND(FIND('112'!$M$9,G2916,1)&gt;=1,B2916='112'!$K$9,OR($N2916='112'!$I$6,$O2916='112'!$I$6))),"x",""))</f>
        <v/>
      </c>
      <c r="U2916" s="79" t="str">
        <f>IF(ISERROR(FIND('112'!$M$9,G2916,1)),"",IF((AND(LEFT(G2916,2)=LEFT('112'!$M$9,2),B2916&lt;'112'!$K$9,$N2916='112'!$I$6)),"x",""))</f>
        <v/>
      </c>
      <c r="V2916" s="79" t="str">
        <f>IF(ISERROR(FIND('112'!$M$9,G2916,1)),"",IF((AND(RIGHT(G2916,2)=RIGHT('112'!$M$9,2),B2916&lt;'112'!$K$9,$O2916='112'!$I$6)),"x",""))</f>
        <v/>
      </c>
      <c r="W2916" s="79" t="str">
        <f>IF(AND('341-CT'!$H$9=H2916,OR(LEFT(N2916,3)=$W$7,LEFT(O2916,3)=$W$7)),"x","")</f>
        <v/>
      </c>
      <c r="X2916" s="79" t="str">
        <f>IF(OR(TH!N2916=TH!$X$7,O2916=TH!$X$7),"x","")</f>
        <v/>
      </c>
      <c r="Y2916" s="79" t="str">
        <f>IF(AND(OR(N2916="131",O2916="131"),H2916='131-CT'!$H$9),"x","")</f>
        <v/>
      </c>
      <c r="Z2916" s="79"/>
      <c r="AA2916" s="79" t="str">
        <f>IF(AND(MONTH(E2916)='IN-NX'!$J$5,'IN-NX'!$D$7=D2916),"x","")</f>
        <v/>
      </c>
      <c r="AB2916" s="79" t="str">
        <f>IF(AND(OR(LEFT(TH!N2916,2)="15",LEFT(TH!O2916,2)="15"),LEFT(TH!O2916,3)&lt;&gt;"111",'152-CT'!$J$8=TH!F2916),"x","")</f>
        <v/>
      </c>
      <c r="AC2916" s="79" t="str">
        <f>IF(AND(OR(LEFT(TH!N2916,2)="15",LEFT(TH!O2916,2)="15"),TK!$E$7=TH!F2916),"x","")</f>
        <v/>
      </c>
      <c r="AD2916" s="79" t="str">
        <f>IF(AND(N2916="1521",MONTH(C2916)='BK-NL'!$M$11),"x","")</f>
        <v/>
      </c>
    </row>
    <row r="2917" spans="1:30" ht="16.5" customHeight="1">
      <c r="A2917" s="318" t="str">
        <f>IF(B2917&lt;&gt;"",IF(AND(B2917='IN-TC'!$S$4,OR(TH!N2917="1111",TH!O2917="1111")),TH!D2917,""),"")</f>
        <v/>
      </c>
      <c r="B2917" s="60" t="str">
        <f t="shared" si="330"/>
        <v/>
      </c>
      <c r="C2917" s="1257"/>
      <c r="D2917" s="61"/>
      <c r="E2917" s="61"/>
      <c r="F2917" s="64"/>
      <c r="G2917" s="64"/>
      <c r="H2917" s="303"/>
      <c r="I2917" s="1156"/>
      <c r="J2917" s="869"/>
      <c r="K2917" s="387"/>
      <c r="L2917" s="394"/>
      <c r="M2917" s="62"/>
      <c r="N2917" s="63"/>
      <c r="O2917" s="304"/>
      <c r="P2917" s="79" t="str">
        <f>IF(AND('331-CT'!$E$7=TH!H2917,OR(N2917="331",O2917="331")),"x","")</f>
        <v/>
      </c>
      <c r="Q2917" s="79" t="str">
        <f>IF(AND(B2917='111'!$L$11,OR($N2917=$Q$7,$O2917=$Q$7)),"x","")</f>
        <v/>
      </c>
      <c r="R2917" s="79" t="str">
        <f>IF(AND($N2917=$Q$7,$B2917&lt;'111'!$L$11),"x","")</f>
        <v/>
      </c>
      <c r="S2917" s="79" t="str">
        <f>IF(AND($O2917=$Q$7,$B2917&lt;'111'!$L$11),"x","")</f>
        <v/>
      </c>
      <c r="T2917" s="79" t="str">
        <f>IF(ISERROR(FIND('112'!$M$9,G2917,1)),"",IF((AND(FIND('112'!$M$9,G2917,1)&gt;=1,B2917='112'!$K$9,OR($N2917='112'!$I$6,$O2917='112'!$I$6))),"x",""))</f>
        <v/>
      </c>
      <c r="U2917" s="79" t="str">
        <f>IF(ISERROR(FIND('112'!$M$9,G2917,1)),"",IF((AND(LEFT(G2917,2)=LEFT('112'!$M$9,2),B2917&lt;'112'!$K$9,$N2917='112'!$I$6)),"x",""))</f>
        <v/>
      </c>
      <c r="V2917" s="79" t="str">
        <f>IF(ISERROR(FIND('112'!$M$9,G2917,1)),"",IF((AND(RIGHT(G2917,2)=RIGHT('112'!$M$9,2),B2917&lt;'112'!$K$9,$O2917='112'!$I$6)),"x",""))</f>
        <v/>
      </c>
      <c r="W2917" s="79" t="str">
        <f>IF(AND('341-CT'!$H$9=H2917,OR(LEFT(N2917,3)=$W$7,LEFT(O2917,3)=$W$7)),"x","")</f>
        <v/>
      </c>
      <c r="X2917" s="79" t="str">
        <f>IF(OR(TH!N2917=TH!$X$7,O2917=TH!$X$7),"x","")</f>
        <v/>
      </c>
      <c r="Y2917" s="79" t="str">
        <f>IF(AND(OR(N2917="131",O2917="131"),H2917='131-CT'!$H$9),"x","")</f>
        <v/>
      </c>
      <c r="Z2917" s="79"/>
      <c r="AA2917" s="79" t="str">
        <f>IF(AND(MONTH(E2917)='IN-NX'!$J$5,'IN-NX'!$D$7=D2917),"x","")</f>
        <v/>
      </c>
      <c r="AB2917" s="79" t="str">
        <f>IF(AND(OR(LEFT(TH!N2917,2)="15",LEFT(TH!O2917,2)="15"),LEFT(TH!O2917,3)&lt;&gt;"111",'152-CT'!$J$8=TH!F2917),"x","")</f>
        <v/>
      </c>
      <c r="AC2917" s="79" t="str">
        <f>IF(AND(OR(LEFT(TH!N2917,2)="15",LEFT(TH!O2917,2)="15"),TK!$E$7=TH!F2917),"x","")</f>
        <v/>
      </c>
      <c r="AD2917" s="79" t="str">
        <f>IF(AND(N2917="1521",MONTH(C2917)='BK-NL'!$M$11),"x","")</f>
        <v/>
      </c>
    </row>
    <row r="2918" spans="1:30" ht="16.5" customHeight="1">
      <c r="A2918" s="318" t="str">
        <f>IF(B2918&lt;&gt;"",IF(AND(B2918='IN-TC'!$S$4,OR(TH!N2918="1111",TH!O2918="1111")),TH!D2918,""),"")</f>
        <v/>
      </c>
      <c r="B2918" s="60" t="str">
        <f t="shared" ref="B2918" si="331">IF(C2918&lt;&gt;"",MONTH(C2918),"")</f>
        <v/>
      </c>
      <c r="C2918" s="61"/>
      <c r="D2918" s="61"/>
      <c r="E2918" s="61"/>
      <c r="F2918" s="64"/>
      <c r="G2918" s="64"/>
      <c r="H2918" s="69"/>
      <c r="I2918" s="385"/>
      <c r="J2918" s="395"/>
      <c r="K2918" s="385"/>
      <c r="L2918" s="392"/>
      <c r="M2918" s="62"/>
      <c r="N2918" s="63"/>
      <c r="O2918" s="304"/>
      <c r="P2918" s="79" t="str">
        <f>IF(AND('331-CT'!$E$7=TH!H2918,OR(N2918="331",O2918="331")),"x","")</f>
        <v/>
      </c>
      <c r="Q2918" s="79" t="str">
        <f>IF(AND(B2918='111'!$L$11,OR($N2918=$Q$7,$O2918=$Q$7)),"x","")</f>
        <v/>
      </c>
      <c r="R2918" s="79" t="str">
        <f>IF(AND($N2918=$Q$7,$B2918&lt;'111'!$L$11),"x","")</f>
        <v/>
      </c>
      <c r="S2918" s="79" t="str">
        <f>IF(AND($O2918=$Q$7,$B2918&lt;'111'!$L$11),"x","")</f>
        <v/>
      </c>
      <c r="T2918" s="79" t="str">
        <f>IF(ISERROR(FIND('112'!$M$9,G2918,1)),"",IF((AND(FIND('112'!$M$9,G2918,1)&gt;=1,B2918='112'!$K$9,OR($N2918='112'!$I$6,$O2918='112'!$I$6))),"x",""))</f>
        <v/>
      </c>
      <c r="U2918" s="79" t="str">
        <f>IF(ISERROR(FIND('112'!$M$9,G2918,1)),"",IF((AND(LEFT(G2918,2)=LEFT('112'!$M$9,2),B2918&lt;'112'!$K$9,$N2918='112'!$I$6)),"x",""))</f>
        <v/>
      </c>
      <c r="V2918" s="79" t="str">
        <f>IF(ISERROR(FIND('112'!$M$9,G2918,1)),"",IF((AND(RIGHT(G2918,2)=RIGHT('112'!$M$9,2),B2918&lt;'112'!$K$9,$O2918='112'!$I$6)),"x",""))</f>
        <v/>
      </c>
      <c r="W2918" s="79" t="str">
        <f>IF(AND('341-CT'!$H$9=H2918,OR(LEFT(N2918,3)=$W$7,LEFT(O2918,3)=$W$7)),"x","")</f>
        <v/>
      </c>
      <c r="X2918" s="79" t="str">
        <f>IF(OR(TH!N2918=TH!$X$7,O2918=TH!$X$7),"x","")</f>
        <v/>
      </c>
      <c r="Y2918" s="79" t="str">
        <f>IF(AND(OR(N2918="131",O2918="131"),H2918='131-CT'!$H$9),"x","")</f>
        <v/>
      </c>
      <c r="Z2918" s="79"/>
      <c r="AA2918" s="79" t="str">
        <f>IF(AND(MONTH(E2918)='IN-NX'!$J$5,'IN-NX'!$D$7=D2918),"x","")</f>
        <v/>
      </c>
      <c r="AB2918" s="79" t="str">
        <f>IF(AND(OR(LEFT(TH!N2918,2)="15",LEFT(TH!O2918,2)="15"),LEFT(TH!O2918,3)&lt;&gt;"111",'152-CT'!$J$8=TH!F2918),"x","")</f>
        <v/>
      </c>
      <c r="AC2918" s="79" t="str">
        <f>IF(AND(OR(LEFT(TH!N2918,2)="15",LEFT(TH!O2918,2)="15"),TK!$E$7=TH!F2918),"x","")</f>
        <v/>
      </c>
      <c r="AD2918" s="79" t="str">
        <f>IF(AND(N2918="1521",MONTH(C2918)='BK-NL'!$M$11),"x","")</f>
        <v/>
      </c>
    </row>
    <row r="2919" spans="1:30" ht="16.5" customHeight="1">
      <c r="A2919" s="318" t="str">
        <f>IF(B2919&lt;&gt;"",IF(AND(B2919='IN-TC'!$S$4,OR(TH!N2919="1111",TH!O2919="1111")),TH!D2919,""),"")</f>
        <v/>
      </c>
      <c r="B2919" s="60" t="str">
        <f t="shared" ref="B2919:B2926" si="332">IF(C2919&lt;&gt;"",MONTH(C2919),"")</f>
        <v/>
      </c>
      <c r="C2919" s="61"/>
      <c r="D2919" s="61"/>
      <c r="E2919" s="61"/>
      <c r="F2919" s="64"/>
      <c r="G2919" s="64"/>
      <c r="H2919" s="69"/>
      <c r="I2919" s="385"/>
      <c r="J2919" s="395"/>
      <c r="K2919" s="385"/>
      <c r="L2919" s="392"/>
      <c r="M2919" s="62"/>
      <c r="N2919" s="63"/>
      <c r="O2919" s="304"/>
      <c r="P2919" s="79" t="str">
        <f>IF(AND('331-CT'!$E$7=TH!H2919,OR(N2919="331",O2919="331")),"x","")</f>
        <v/>
      </c>
      <c r="Q2919" s="79" t="str">
        <f>IF(AND(B2919='111'!$L$11,OR($N2919=$Q$7,$O2919=$Q$7)),"x","")</f>
        <v/>
      </c>
      <c r="R2919" s="79" t="str">
        <f>IF(AND($N2919=$Q$7,$B2919&lt;'111'!$L$11),"x","")</f>
        <v/>
      </c>
      <c r="S2919" s="79" t="str">
        <f>IF(AND($O2919=$Q$7,$B2919&lt;'111'!$L$11),"x","")</f>
        <v/>
      </c>
      <c r="T2919" s="79" t="str">
        <f>IF(ISERROR(FIND('112'!$M$9,G2919,1)),"",IF((AND(FIND('112'!$M$9,G2919,1)&gt;=1,B2919='112'!$K$9,OR($N2919='112'!$I$6,$O2919='112'!$I$6))),"x",""))</f>
        <v/>
      </c>
      <c r="U2919" s="79" t="str">
        <f>IF(ISERROR(FIND('112'!$M$9,G2919,1)),"",IF((AND(LEFT(G2919,2)=LEFT('112'!$M$9,2),B2919&lt;'112'!$K$9,$N2919='112'!$I$6)),"x",""))</f>
        <v/>
      </c>
      <c r="V2919" s="79" t="str">
        <f>IF(ISERROR(FIND('112'!$M$9,G2919,1)),"",IF((AND(RIGHT(G2919,2)=RIGHT('112'!$M$9,2),B2919&lt;'112'!$K$9,$O2919='112'!$I$6)),"x",""))</f>
        <v/>
      </c>
      <c r="W2919" s="79" t="str">
        <f>IF(AND('341-CT'!$H$9=H2919,OR(LEFT(N2919,3)=$W$7,LEFT(O2919,3)=$W$7)),"x","")</f>
        <v/>
      </c>
      <c r="X2919" s="79" t="str">
        <f>IF(OR(TH!N2919=TH!$X$7,O2919=TH!$X$7),"x","")</f>
        <v/>
      </c>
      <c r="Y2919" s="79" t="str">
        <f>IF(AND(OR(N2919="131",O2919="131"),H2919='131-CT'!$H$9),"x","")</f>
        <v/>
      </c>
      <c r="Z2919" s="79"/>
      <c r="AA2919" s="79" t="str">
        <f>IF(AND(MONTH(E2919)='IN-NX'!$J$5,'IN-NX'!$D$7=D2919),"x","")</f>
        <v/>
      </c>
      <c r="AB2919" s="79" t="str">
        <f>IF(AND(OR(LEFT(TH!N2919,2)="15",LEFT(TH!O2919,2)="15"),LEFT(TH!O2919,3)&lt;&gt;"111",'152-CT'!$J$8=TH!F2919),"x","")</f>
        <v/>
      </c>
      <c r="AC2919" s="79" t="str">
        <f>IF(AND(OR(LEFT(TH!N2919,2)="15",LEFT(TH!O2919,2)="15"),TK!$E$7=TH!F2919),"x","")</f>
        <v/>
      </c>
      <c r="AD2919" s="79" t="str">
        <f>IF(AND(N2919="1521",MONTH(C2919)='BK-NL'!$M$11),"x","")</f>
        <v/>
      </c>
    </row>
    <row r="2920" spans="1:30" ht="16.5" customHeight="1">
      <c r="A2920" s="318" t="str">
        <f>IF(B2920&lt;&gt;"",IF(AND(B2920='IN-TC'!$S$4,OR(TH!N2920="1111",TH!O2920="1111")),TH!D2920,""),"")</f>
        <v/>
      </c>
      <c r="B2920" s="60" t="str">
        <f t="shared" si="332"/>
        <v/>
      </c>
      <c r="C2920" s="61"/>
      <c r="D2920" s="61"/>
      <c r="E2920" s="61"/>
      <c r="F2920" s="64"/>
      <c r="G2920" s="64"/>
      <c r="H2920" s="69"/>
      <c r="I2920" s="385"/>
      <c r="J2920" s="395"/>
      <c r="K2920" s="385"/>
      <c r="L2920" s="392"/>
      <c r="M2920" s="62"/>
      <c r="N2920" s="63"/>
      <c r="O2920" s="304"/>
      <c r="P2920" s="79" t="str">
        <f>IF(AND('331-CT'!$E$7=TH!H2920,OR(N2920="331",O2920="331")),"x","")</f>
        <v/>
      </c>
      <c r="Q2920" s="79" t="str">
        <f>IF(AND(B2920='111'!$L$11,OR($N2920=$Q$7,$O2920=$Q$7)),"x","")</f>
        <v/>
      </c>
      <c r="R2920" s="79" t="str">
        <f>IF(AND($N2920=$Q$7,$B2920&lt;'111'!$L$11),"x","")</f>
        <v/>
      </c>
      <c r="S2920" s="79" t="str">
        <f>IF(AND($O2920=$Q$7,$B2920&lt;'111'!$L$11),"x","")</f>
        <v/>
      </c>
      <c r="T2920" s="79" t="str">
        <f>IF(ISERROR(FIND('112'!$M$9,G2920,1)),"",IF((AND(FIND('112'!$M$9,G2920,1)&gt;=1,B2920='112'!$K$9,OR($N2920='112'!$I$6,$O2920='112'!$I$6))),"x",""))</f>
        <v/>
      </c>
      <c r="U2920" s="79" t="str">
        <f>IF(ISERROR(FIND('112'!$M$9,G2920,1)),"",IF((AND(LEFT(G2920,2)=LEFT('112'!$M$9,2),B2920&lt;'112'!$K$9,$N2920='112'!$I$6)),"x",""))</f>
        <v/>
      </c>
      <c r="V2920" s="79" t="str">
        <f>IF(ISERROR(FIND('112'!$M$9,G2920,1)),"",IF((AND(RIGHT(G2920,2)=RIGHT('112'!$M$9,2),B2920&lt;'112'!$K$9,$O2920='112'!$I$6)),"x",""))</f>
        <v/>
      </c>
      <c r="W2920" s="79" t="str">
        <f>IF(AND('341-CT'!$H$9=H2920,OR(LEFT(N2920,3)=$W$7,LEFT(O2920,3)=$W$7)),"x","")</f>
        <v/>
      </c>
      <c r="X2920" s="79" t="str">
        <f>IF(OR(TH!N2920=TH!$X$7,O2920=TH!$X$7),"x","")</f>
        <v/>
      </c>
      <c r="Y2920" s="79" t="str">
        <f>IF(AND(OR(N2920="131",O2920="131"),H2920='131-CT'!$H$9),"x","")</f>
        <v/>
      </c>
      <c r="Z2920" s="79"/>
      <c r="AA2920" s="79" t="str">
        <f>IF(AND(MONTH(E2920)='IN-NX'!$J$5,'IN-NX'!$D$7=D2920),"x","")</f>
        <v/>
      </c>
      <c r="AB2920" s="79" t="str">
        <f>IF(AND(OR(LEFT(TH!N2920,2)="15",LEFT(TH!O2920,2)="15"),LEFT(TH!O2920,3)&lt;&gt;"111",'152-CT'!$J$8=TH!F2920),"x","")</f>
        <v/>
      </c>
      <c r="AC2920" s="79" t="str">
        <f>IF(AND(OR(LEFT(TH!N2920,2)="15",LEFT(TH!O2920,2)="15"),TK!$E$7=TH!F2920),"x","")</f>
        <v/>
      </c>
      <c r="AD2920" s="79" t="str">
        <f>IF(AND(N2920="1521",MONTH(C2920)='BK-NL'!$M$11),"x","")</f>
        <v/>
      </c>
    </row>
    <row r="2921" spans="1:30" ht="16.5" customHeight="1">
      <c r="A2921" s="318" t="str">
        <f>IF(B2921&lt;&gt;"",IF(AND(B2921='IN-TC'!$S$4,OR(TH!N2921="1111",TH!O2921="1111")),TH!D2921,""),"")</f>
        <v/>
      </c>
      <c r="B2921" s="60" t="str">
        <f t="shared" si="332"/>
        <v/>
      </c>
      <c r="C2921" s="61"/>
      <c r="D2921" s="61"/>
      <c r="E2921" s="61"/>
      <c r="F2921" s="64"/>
      <c r="G2921" s="64"/>
      <c r="H2921" s="69"/>
      <c r="I2921" s="385"/>
      <c r="J2921" s="395"/>
      <c r="K2921" s="385"/>
      <c r="L2921" s="392"/>
      <c r="M2921" s="62"/>
      <c r="N2921" s="63"/>
      <c r="O2921" s="304"/>
      <c r="P2921" s="79" t="str">
        <f>IF(AND('331-CT'!$E$7=TH!H2921,OR(N2921="331",O2921="331")),"x","")</f>
        <v/>
      </c>
      <c r="Q2921" s="79" t="str">
        <f>IF(AND(B2921='111'!$L$11,OR($N2921=$Q$7,$O2921=$Q$7)),"x","")</f>
        <v/>
      </c>
      <c r="R2921" s="79" t="str">
        <f>IF(AND($N2921=$Q$7,$B2921&lt;'111'!$L$11),"x","")</f>
        <v/>
      </c>
      <c r="S2921" s="79" t="str">
        <f>IF(AND($O2921=$Q$7,$B2921&lt;'111'!$L$11),"x","")</f>
        <v/>
      </c>
      <c r="T2921" s="79" t="str">
        <f>IF(ISERROR(FIND('112'!$M$9,G2921,1)),"",IF((AND(FIND('112'!$M$9,G2921,1)&gt;=1,B2921='112'!$K$9,OR($N2921='112'!$I$6,$O2921='112'!$I$6))),"x",""))</f>
        <v/>
      </c>
      <c r="U2921" s="79" t="str">
        <f>IF(ISERROR(FIND('112'!$M$9,G2921,1)),"",IF((AND(LEFT(G2921,2)=LEFT('112'!$M$9,2),B2921&lt;'112'!$K$9,$N2921='112'!$I$6)),"x",""))</f>
        <v/>
      </c>
      <c r="V2921" s="79" t="str">
        <f>IF(ISERROR(FIND('112'!$M$9,G2921,1)),"",IF((AND(RIGHT(G2921,2)=RIGHT('112'!$M$9,2),B2921&lt;'112'!$K$9,$O2921='112'!$I$6)),"x",""))</f>
        <v/>
      </c>
      <c r="W2921" s="79" t="str">
        <f>IF(AND('341-CT'!$H$9=H2921,OR(LEFT(N2921,3)=$W$7,LEFT(O2921,3)=$W$7)),"x","")</f>
        <v/>
      </c>
      <c r="X2921" s="79" t="str">
        <f>IF(OR(TH!N2921=TH!$X$7,O2921=TH!$X$7),"x","")</f>
        <v/>
      </c>
      <c r="Y2921" s="79" t="str">
        <f>IF(AND(OR(N2921="131",O2921="131"),H2921='131-CT'!$H$9),"x","")</f>
        <v/>
      </c>
      <c r="Z2921" s="79"/>
      <c r="AA2921" s="79" t="str">
        <f>IF(AND(MONTH(E2921)='IN-NX'!$J$5,'IN-NX'!$D$7=D2921),"x","")</f>
        <v/>
      </c>
      <c r="AB2921" s="79" t="str">
        <f>IF(AND(OR(LEFT(TH!N2921,2)="15",LEFT(TH!O2921,2)="15"),LEFT(TH!O2921,3)&lt;&gt;"111",'152-CT'!$J$8=TH!F2921),"x","")</f>
        <v/>
      </c>
      <c r="AC2921" s="79" t="str">
        <f>IF(AND(OR(LEFT(TH!N2921,2)="15",LEFT(TH!O2921,2)="15"),TK!$E$7=TH!F2921),"x","")</f>
        <v/>
      </c>
      <c r="AD2921" s="79" t="str">
        <f>IF(AND(N2921="1521",MONTH(C2921)='BK-NL'!$M$11),"x","")</f>
        <v/>
      </c>
    </row>
    <row r="2922" spans="1:30" ht="16.5" customHeight="1">
      <c r="A2922" s="318" t="str">
        <f>IF(B2922&lt;&gt;"",IF(AND(B2922='IN-TC'!$S$4,OR(TH!N2922="1111",TH!O2922="1111")),TH!D2922,""),"")</f>
        <v/>
      </c>
      <c r="B2922" s="60" t="str">
        <f t="shared" si="332"/>
        <v/>
      </c>
      <c r="C2922" s="61"/>
      <c r="D2922" s="61"/>
      <c r="E2922" s="61"/>
      <c r="F2922" s="64"/>
      <c r="G2922" s="64"/>
      <c r="H2922" s="69"/>
      <c r="I2922" s="385"/>
      <c r="J2922" s="395"/>
      <c r="K2922" s="385"/>
      <c r="L2922" s="392"/>
      <c r="M2922" s="62"/>
      <c r="N2922" s="63"/>
      <c r="O2922" s="304"/>
      <c r="P2922" s="79" t="str">
        <f>IF(AND('331-CT'!$E$7=TH!H2922,OR(N2922="331",O2922="331")),"x","")</f>
        <v/>
      </c>
      <c r="Q2922" s="79" t="str">
        <f>IF(AND(B2922='111'!$L$11,OR($N2922=$Q$7,$O2922=$Q$7)),"x","")</f>
        <v/>
      </c>
      <c r="R2922" s="79" t="str">
        <f>IF(AND($N2922=$Q$7,$B2922&lt;'111'!$L$11),"x","")</f>
        <v/>
      </c>
      <c r="S2922" s="79" t="str">
        <f>IF(AND($O2922=$Q$7,$B2922&lt;'111'!$L$11),"x","")</f>
        <v/>
      </c>
      <c r="T2922" s="79" t="str">
        <f>IF(ISERROR(FIND('112'!$M$9,G2922,1)),"",IF((AND(FIND('112'!$M$9,G2922,1)&gt;=1,B2922='112'!$K$9,OR($N2922='112'!$I$6,$O2922='112'!$I$6))),"x",""))</f>
        <v/>
      </c>
      <c r="U2922" s="79" t="str">
        <f>IF(ISERROR(FIND('112'!$M$9,G2922,1)),"",IF((AND(LEFT(G2922,2)=LEFT('112'!$M$9,2),B2922&lt;'112'!$K$9,$N2922='112'!$I$6)),"x",""))</f>
        <v/>
      </c>
      <c r="V2922" s="79" t="str">
        <f>IF(ISERROR(FIND('112'!$M$9,G2922,1)),"",IF((AND(RIGHT(G2922,2)=RIGHT('112'!$M$9,2),B2922&lt;'112'!$K$9,$O2922='112'!$I$6)),"x",""))</f>
        <v/>
      </c>
      <c r="W2922" s="79" t="str">
        <f>IF(AND('341-CT'!$H$9=H2922,OR(LEFT(N2922,3)=$W$7,LEFT(O2922,3)=$W$7)),"x","")</f>
        <v/>
      </c>
      <c r="X2922" s="79" t="str">
        <f>IF(OR(TH!N2922=TH!$X$7,O2922=TH!$X$7),"x","")</f>
        <v/>
      </c>
      <c r="Y2922" s="79" t="str">
        <f>IF(AND(OR(N2922="131",O2922="131"),H2922='131-CT'!$H$9),"x","")</f>
        <v/>
      </c>
      <c r="Z2922" s="79"/>
      <c r="AA2922" s="79" t="str">
        <f>IF(AND(MONTH(E2922)='IN-NX'!$J$5,'IN-NX'!$D$7=D2922),"x","")</f>
        <v/>
      </c>
      <c r="AB2922" s="79" t="str">
        <f>IF(AND(OR(LEFT(TH!N2922,2)="15",LEFT(TH!O2922,2)="15"),LEFT(TH!O2922,3)&lt;&gt;"111",'152-CT'!$J$8=TH!F2922),"x","")</f>
        <v/>
      </c>
      <c r="AC2922" s="79" t="str">
        <f>IF(AND(OR(LEFT(TH!N2922,2)="15",LEFT(TH!O2922,2)="15"),TK!$E$7=TH!F2922),"x","")</f>
        <v/>
      </c>
      <c r="AD2922" s="79" t="str">
        <f>IF(AND(N2922="1521",MONTH(C2922)='BK-NL'!$M$11),"x","")</f>
        <v/>
      </c>
    </row>
    <row r="2923" spans="1:30" ht="16.5" customHeight="1">
      <c r="A2923" s="318" t="str">
        <f>IF(B2923&lt;&gt;"",IF(AND(B2923='IN-TC'!$S$4,OR(TH!N2923="1111",TH!O2923="1111")),TH!D2923,""),"")</f>
        <v/>
      </c>
      <c r="B2923" s="60" t="str">
        <f t="shared" si="332"/>
        <v/>
      </c>
      <c r="C2923" s="61"/>
      <c r="D2923" s="61"/>
      <c r="E2923" s="61"/>
      <c r="F2923" s="64"/>
      <c r="G2923" s="64"/>
      <c r="H2923" s="69"/>
      <c r="I2923" s="385"/>
      <c r="J2923" s="395"/>
      <c r="K2923" s="385"/>
      <c r="L2923" s="392"/>
      <c r="M2923" s="62"/>
      <c r="N2923" s="63"/>
      <c r="O2923" s="304"/>
      <c r="P2923" s="79" t="str">
        <f>IF(AND('331-CT'!$E$7=TH!H2923,OR(N2923="331",O2923="331")),"x","")</f>
        <v/>
      </c>
      <c r="Q2923" s="79" t="str">
        <f>IF(AND(B2923='111'!$L$11,OR($N2923=$Q$7,$O2923=$Q$7)),"x","")</f>
        <v/>
      </c>
      <c r="R2923" s="79" t="str">
        <f>IF(AND($N2923=$Q$7,$B2923&lt;'111'!$L$11),"x","")</f>
        <v/>
      </c>
      <c r="S2923" s="79" t="str">
        <f>IF(AND($O2923=$Q$7,$B2923&lt;'111'!$L$11),"x","")</f>
        <v/>
      </c>
      <c r="T2923" s="79" t="str">
        <f>IF(ISERROR(FIND('112'!$M$9,G2923,1)),"",IF((AND(FIND('112'!$M$9,G2923,1)&gt;=1,B2923='112'!$K$9,OR($N2923='112'!$I$6,$O2923='112'!$I$6))),"x",""))</f>
        <v/>
      </c>
      <c r="U2923" s="79" t="str">
        <f>IF(ISERROR(FIND('112'!$M$9,G2923,1)),"",IF((AND(LEFT(G2923,2)=LEFT('112'!$M$9,2),B2923&lt;'112'!$K$9,$N2923='112'!$I$6)),"x",""))</f>
        <v/>
      </c>
      <c r="V2923" s="79" t="str">
        <f>IF(ISERROR(FIND('112'!$M$9,G2923,1)),"",IF((AND(RIGHT(G2923,2)=RIGHT('112'!$M$9,2),B2923&lt;'112'!$K$9,$O2923='112'!$I$6)),"x",""))</f>
        <v/>
      </c>
      <c r="W2923" s="79" t="str">
        <f>IF(AND('341-CT'!$H$9=H2923,OR(LEFT(N2923,3)=$W$7,LEFT(O2923,3)=$W$7)),"x","")</f>
        <v/>
      </c>
      <c r="X2923" s="79" t="str">
        <f>IF(OR(TH!N2923=TH!$X$7,O2923=TH!$X$7),"x","")</f>
        <v/>
      </c>
      <c r="Y2923" s="79" t="str">
        <f>IF(AND(OR(N2923="131",O2923="131"),H2923='131-CT'!$H$9),"x","")</f>
        <v/>
      </c>
      <c r="Z2923" s="79"/>
      <c r="AA2923" s="79" t="str">
        <f>IF(AND(MONTH(E2923)='IN-NX'!$J$5,'IN-NX'!$D$7=D2923),"x","")</f>
        <v/>
      </c>
      <c r="AB2923" s="79" t="str">
        <f>IF(AND(OR(LEFT(TH!N2923,2)="15",LEFT(TH!O2923,2)="15"),LEFT(TH!O2923,3)&lt;&gt;"111",'152-CT'!$J$8=TH!F2923),"x","")</f>
        <v/>
      </c>
      <c r="AC2923" s="79" t="str">
        <f>IF(AND(OR(LEFT(TH!N2923,2)="15",LEFT(TH!O2923,2)="15"),TK!$E$7=TH!F2923),"x","")</f>
        <v/>
      </c>
      <c r="AD2923" s="79" t="str">
        <f>IF(AND(N2923="1521",MONTH(C2923)='BK-NL'!$M$11),"x","")</f>
        <v/>
      </c>
    </row>
    <row r="2924" spans="1:30" ht="16.5" customHeight="1">
      <c r="A2924" s="318" t="str">
        <f>IF(B2924&lt;&gt;"",IF(AND(B2924='IN-TC'!$S$4,OR(TH!N2924="1111",TH!O2924="1111")),TH!D2924,""),"")</f>
        <v/>
      </c>
      <c r="B2924" s="60" t="str">
        <f t="shared" si="332"/>
        <v/>
      </c>
      <c r="C2924" s="61"/>
      <c r="D2924" s="61"/>
      <c r="E2924" s="61"/>
      <c r="F2924" s="64"/>
      <c r="G2924" s="64"/>
      <c r="H2924" s="69"/>
      <c r="I2924" s="385"/>
      <c r="J2924" s="395"/>
      <c r="K2924" s="385"/>
      <c r="L2924" s="392"/>
      <c r="M2924" s="62"/>
      <c r="N2924" s="63"/>
      <c r="O2924" s="304"/>
      <c r="P2924" s="79" t="str">
        <f>IF(AND('331-CT'!$E$7=TH!H2924,OR(N2924="331",O2924="331")),"x","")</f>
        <v/>
      </c>
      <c r="Q2924" s="79" t="str">
        <f>IF(AND(B2924='111'!$L$11,OR($N2924=$Q$7,$O2924=$Q$7)),"x","")</f>
        <v/>
      </c>
      <c r="R2924" s="79" t="str">
        <f>IF(AND($N2924=$Q$7,$B2924&lt;'111'!$L$11),"x","")</f>
        <v/>
      </c>
      <c r="S2924" s="79" t="str">
        <f>IF(AND($O2924=$Q$7,$B2924&lt;'111'!$L$11),"x","")</f>
        <v/>
      </c>
      <c r="T2924" s="79" t="str">
        <f>IF(ISERROR(FIND('112'!$M$9,G2924,1)),"",IF((AND(FIND('112'!$M$9,G2924,1)&gt;=1,B2924='112'!$K$9,OR($N2924='112'!$I$6,$O2924='112'!$I$6))),"x",""))</f>
        <v/>
      </c>
      <c r="U2924" s="79" t="str">
        <f>IF(ISERROR(FIND('112'!$M$9,G2924,1)),"",IF((AND(LEFT(G2924,2)=LEFT('112'!$M$9,2),B2924&lt;'112'!$K$9,$N2924='112'!$I$6)),"x",""))</f>
        <v/>
      </c>
      <c r="V2924" s="79" t="str">
        <f>IF(ISERROR(FIND('112'!$M$9,G2924,1)),"",IF((AND(RIGHT(G2924,2)=RIGHT('112'!$M$9,2),B2924&lt;'112'!$K$9,$O2924='112'!$I$6)),"x",""))</f>
        <v/>
      </c>
      <c r="W2924" s="79" t="str">
        <f>IF(AND('341-CT'!$H$9=H2924,OR(LEFT(N2924,3)=$W$7,LEFT(O2924,3)=$W$7)),"x","")</f>
        <v/>
      </c>
      <c r="X2924" s="79" t="str">
        <f>IF(OR(TH!N2924=TH!$X$7,O2924=TH!$X$7),"x","")</f>
        <v/>
      </c>
      <c r="Y2924" s="79" t="str">
        <f>IF(AND(OR(N2924="131",O2924="131"),H2924='131-CT'!$H$9),"x","")</f>
        <v/>
      </c>
      <c r="Z2924" s="79"/>
      <c r="AA2924" s="79" t="str">
        <f>IF(AND(MONTH(E2924)='IN-NX'!$J$5,'IN-NX'!$D$7=D2924),"x","")</f>
        <v/>
      </c>
      <c r="AB2924" s="79" t="str">
        <f>IF(AND(OR(LEFT(TH!N2924,2)="15",LEFT(TH!O2924,2)="15"),LEFT(TH!O2924,3)&lt;&gt;"111",'152-CT'!$J$8=TH!F2924),"x","")</f>
        <v/>
      </c>
      <c r="AC2924" s="79" t="str">
        <f>IF(AND(OR(LEFT(TH!N2924,2)="15",LEFT(TH!O2924,2)="15"),TK!$E$7=TH!F2924),"x","")</f>
        <v/>
      </c>
      <c r="AD2924" s="79" t="str">
        <f>IF(AND(N2924="1521",MONTH(C2924)='BK-NL'!$M$11),"x","")</f>
        <v/>
      </c>
    </row>
    <row r="2925" spans="1:30" ht="16.5" customHeight="1">
      <c r="A2925" s="318" t="str">
        <f>IF(B2925&lt;&gt;"",IF(AND(B2925='IN-TC'!$S$4,OR(TH!N2925="1111",TH!O2925="1111")),TH!D2925,""),"")</f>
        <v/>
      </c>
      <c r="B2925" s="60" t="str">
        <f t="shared" si="332"/>
        <v/>
      </c>
      <c r="C2925" s="61"/>
      <c r="D2925" s="61"/>
      <c r="E2925" s="61"/>
      <c r="F2925" s="64"/>
      <c r="G2925" s="64"/>
      <c r="H2925" s="69"/>
      <c r="I2925" s="385"/>
      <c r="J2925" s="395"/>
      <c r="K2925" s="385"/>
      <c r="L2925" s="392"/>
      <c r="M2925" s="62"/>
      <c r="N2925" s="63"/>
      <c r="O2925" s="304"/>
      <c r="P2925" s="79" t="str">
        <f>IF(AND('331-CT'!$E$7=TH!H2925,OR(N2925="331",O2925="331")),"x","")</f>
        <v/>
      </c>
      <c r="Q2925" s="79" t="str">
        <f>IF(AND(B2925='111'!$L$11,OR($N2925=$Q$7,$O2925=$Q$7)),"x","")</f>
        <v/>
      </c>
      <c r="R2925" s="79" t="str">
        <f>IF(AND($N2925=$Q$7,$B2925&lt;'111'!$L$11),"x","")</f>
        <v/>
      </c>
      <c r="S2925" s="79" t="str">
        <f>IF(AND($O2925=$Q$7,$B2925&lt;'111'!$L$11),"x","")</f>
        <v/>
      </c>
      <c r="T2925" s="79" t="str">
        <f>IF(ISERROR(FIND('112'!$M$9,G2925,1)),"",IF((AND(FIND('112'!$M$9,G2925,1)&gt;=1,B2925='112'!$K$9,OR($N2925='112'!$I$6,$O2925='112'!$I$6))),"x",""))</f>
        <v/>
      </c>
      <c r="U2925" s="79" t="str">
        <f>IF(ISERROR(FIND('112'!$M$9,G2925,1)),"",IF((AND(LEFT(G2925,2)=LEFT('112'!$M$9,2),B2925&lt;'112'!$K$9,$N2925='112'!$I$6)),"x",""))</f>
        <v/>
      </c>
      <c r="V2925" s="79" t="str">
        <f>IF(ISERROR(FIND('112'!$M$9,G2925,1)),"",IF((AND(RIGHT(G2925,2)=RIGHT('112'!$M$9,2),B2925&lt;'112'!$K$9,$O2925='112'!$I$6)),"x",""))</f>
        <v/>
      </c>
      <c r="W2925" s="79" t="str">
        <f>IF(AND('341-CT'!$H$9=H2925,OR(LEFT(N2925,3)=$W$7,LEFT(O2925,3)=$W$7)),"x","")</f>
        <v/>
      </c>
      <c r="X2925" s="79" t="str">
        <f>IF(OR(TH!N2925=TH!$X$7,O2925=TH!$X$7),"x","")</f>
        <v/>
      </c>
      <c r="Y2925" s="79" t="str">
        <f>IF(AND(OR(N2925="131",O2925="131"),H2925='131-CT'!$H$9),"x","")</f>
        <v/>
      </c>
      <c r="Z2925" s="79"/>
      <c r="AA2925" s="79" t="str">
        <f>IF(AND(MONTH(E2925)='IN-NX'!$J$5,'IN-NX'!$D$7=D2925),"x","")</f>
        <v/>
      </c>
      <c r="AB2925" s="79" t="str">
        <f>IF(AND(OR(LEFT(TH!N2925,2)="15",LEFT(TH!O2925,2)="15"),LEFT(TH!O2925,3)&lt;&gt;"111",'152-CT'!$J$8=TH!F2925),"x","")</f>
        <v/>
      </c>
      <c r="AC2925" s="79" t="str">
        <f>IF(AND(OR(LEFT(TH!N2925,2)="15",LEFT(TH!O2925,2)="15"),TK!$E$7=TH!F2925),"x","")</f>
        <v/>
      </c>
      <c r="AD2925" s="79" t="str">
        <f>IF(AND(N2925="1521",MONTH(C2925)='BK-NL'!$M$11),"x","")</f>
        <v/>
      </c>
    </row>
    <row r="2926" spans="1:30" ht="16.5" customHeight="1">
      <c r="A2926" s="318" t="str">
        <f>IF(B2926&lt;&gt;"",IF(AND(B2926='IN-TC'!$S$4,OR(TH!N2926="1111",TH!O2926="1111")),TH!D2926,""),"")</f>
        <v/>
      </c>
      <c r="B2926" s="60" t="str">
        <f t="shared" si="332"/>
        <v/>
      </c>
      <c r="C2926" s="61"/>
      <c r="D2926" s="61"/>
      <c r="E2926" s="61"/>
      <c r="F2926" s="64"/>
      <c r="G2926" s="64"/>
      <c r="H2926" s="69"/>
      <c r="I2926" s="385"/>
      <c r="J2926" s="395"/>
      <c r="K2926" s="385"/>
      <c r="L2926" s="392"/>
      <c r="M2926" s="62"/>
      <c r="N2926" s="63"/>
      <c r="O2926" s="304"/>
      <c r="P2926" s="79" t="str">
        <f>IF(AND('331-CT'!$E$7=TH!H2926,OR(N2926="331",O2926="331")),"x","")</f>
        <v/>
      </c>
      <c r="Q2926" s="79" t="str">
        <f>IF(AND(B2926='111'!$L$11,OR($N2926=$Q$7,$O2926=$Q$7)),"x","")</f>
        <v/>
      </c>
      <c r="R2926" s="79" t="str">
        <f>IF(AND($N2926=$Q$7,$B2926&lt;'111'!$L$11),"x","")</f>
        <v/>
      </c>
      <c r="S2926" s="79" t="str">
        <f>IF(AND($O2926=$Q$7,$B2926&lt;'111'!$L$11),"x","")</f>
        <v/>
      </c>
      <c r="T2926" s="79" t="str">
        <f>IF(ISERROR(FIND('112'!$M$9,G2926,1)),"",IF((AND(FIND('112'!$M$9,G2926,1)&gt;=1,B2926='112'!$K$9,OR($N2926='112'!$I$6,$O2926='112'!$I$6))),"x",""))</f>
        <v/>
      </c>
      <c r="U2926" s="79" t="str">
        <f>IF(ISERROR(FIND('112'!$M$9,G2926,1)),"",IF((AND(LEFT(G2926,2)=LEFT('112'!$M$9,2),B2926&lt;'112'!$K$9,$N2926='112'!$I$6)),"x",""))</f>
        <v/>
      </c>
      <c r="V2926" s="79" t="str">
        <f>IF(ISERROR(FIND('112'!$M$9,G2926,1)),"",IF((AND(RIGHT(G2926,2)=RIGHT('112'!$M$9,2),B2926&lt;'112'!$K$9,$O2926='112'!$I$6)),"x",""))</f>
        <v/>
      </c>
      <c r="W2926" s="79" t="str">
        <f>IF(AND('341-CT'!$H$9=H2926,OR(LEFT(N2926,3)=$W$7,LEFT(O2926,3)=$W$7)),"x","")</f>
        <v/>
      </c>
      <c r="X2926" s="79" t="str">
        <f>IF(OR(TH!N2926=TH!$X$7,O2926=TH!$X$7),"x","")</f>
        <v/>
      </c>
      <c r="Y2926" s="79" t="str">
        <f>IF(AND(OR(N2926="131",O2926="131"),H2926='131-CT'!$H$9),"x","")</f>
        <v/>
      </c>
      <c r="Z2926" s="79"/>
      <c r="AA2926" s="79" t="str">
        <f>IF(AND(MONTH(E2926)='IN-NX'!$J$5,'IN-NX'!$D$7=D2926),"x","")</f>
        <v/>
      </c>
      <c r="AB2926" s="79" t="str">
        <f>IF(AND(OR(LEFT(TH!N2926,2)="15",LEFT(TH!O2926,2)="15"),LEFT(TH!O2926,3)&lt;&gt;"111",'152-CT'!$J$8=TH!F2926),"x","")</f>
        <v/>
      </c>
      <c r="AC2926" s="79" t="str">
        <f>IF(AND(OR(LEFT(TH!N2926,2)="15",LEFT(TH!O2926,2)="15"),TK!$E$7=TH!F2926),"x","")</f>
        <v/>
      </c>
      <c r="AD2926" s="79" t="str">
        <f>IF(AND(N2926="1521",MONTH(C2926)='BK-NL'!$M$11),"x","")</f>
        <v/>
      </c>
    </row>
    <row r="2927" spans="1:30" ht="16.5" customHeight="1">
      <c r="A2927" s="318" t="str">
        <f>IF(B2927&lt;&gt;"",IF(AND(B2927='IN-TC'!$S$4,OR(TH!N2927="1111",TH!O2927="1111")),TH!D2927,""),"")</f>
        <v/>
      </c>
      <c r="B2927" s="60" t="str">
        <f t="shared" ref="B2927:B3015" si="333">IF(C2927&lt;&gt;"",MONTH(C2927),"")</f>
        <v/>
      </c>
      <c r="C2927" s="75"/>
      <c r="D2927" s="75"/>
      <c r="E2927" s="75"/>
      <c r="F2927" s="1250"/>
      <c r="G2927" s="76"/>
      <c r="H2927" s="77"/>
      <c r="I2927" s="1252"/>
      <c r="J2927" s="1253"/>
      <c r="K2927" s="1247"/>
      <c r="L2927" s="390"/>
      <c r="M2927" s="78"/>
      <c r="N2927" s="79"/>
      <c r="O2927" s="79"/>
      <c r="P2927" s="79" t="str">
        <f>IF(AND('331-CT'!$E$7=TH!H2927,OR(N2927="331",O2927="331")),"x","")</f>
        <v/>
      </c>
      <c r="Q2927" s="79" t="str">
        <f>IF(AND(B2927='111'!$L$11,OR($N2927=$Q$7,$O2927=$Q$7)),"x","")</f>
        <v/>
      </c>
      <c r="R2927" s="79" t="str">
        <f>IF(AND($N2927=$Q$7,$B2927&lt;'111'!$L$11),"x","")</f>
        <v/>
      </c>
      <c r="S2927" s="79" t="str">
        <f>IF(AND($O2927=$Q$7,$B2927&lt;'111'!$L$11),"x","")</f>
        <v/>
      </c>
      <c r="T2927" s="79" t="str">
        <f>IF(ISERROR(FIND('112'!$M$9,G2927,1)),"",IF((AND(FIND('112'!$M$9,G2927,1)&gt;=1,B2927='112'!$K$9,OR($N2927='112'!$I$6,$O2927='112'!$I$6))),"x",""))</f>
        <v/>
      </c>
      <c r="U2927" s="79" t="str">
        <f>IF(ISERROR(FIND('112'!$M$9,G2927,1)),"",IF((AND(LEFT(G2927,2)=LEFT('112'!$M$9,2),B2927&lt;'112'!$K$9,$N2927='112'!$I$6)),"x",""))</f>
        <v/>
      </c>
      <c r="V2927" s="79" t="str">
        <f>IF(ISERROR(FIND('112'!$M$9,G2927,1)),"",IF((AND(RIGHT(G2927,2)=RIGHT('112'!$M$9,2),B2927&lt;'112'!$K$9,$O2927='112'!$I$6)),"x",""))</f>
        <v/>
      </c>
      <c r="W2927" s="79" t="str">
        <f>IF(AND('341-CT'!$H$9=H2927,OR(LEFT(N2927,3)=$W$7,LEFT(O2927,3)=$W$7)),"x","")</f>
        <v/>
      </c>
      <c r="X2927" s="79" t="str">
        <f>IF(OR(TH!N2927=TH!$X$7,O2927=TH!$X$7),"x","")</f>
        <v/>
      </c>
      <c r="Y2927" s="79" t="str">
        <f>IF(AND(OR(N2927="131",O2927="131"),H2927='131-CT'!$H$9),"x","")</f>
        <v/>
      </c>
      <c r="Z2927" s="79"/>
      <c r="AA2927" s="79" t="str">
        <f>IF(AND(MONTH(E2927)='IN-NX'!$J$5,'IN-NX'!$D$7=D2927),"x","")</f>
        <v/>
      </c>
      <c r="AB2927" s="79" t="str">
        <f>IF(AND(OR(LEFT(TH!N2927,2)="15",LEFT(TH!O2927,2)="15"),LEFT(TH!O2927,3)&lt;&gt;"111",'152-CT'!$J$8=TH!F2927),"x","")</f>
        <v/>
      </c>
      <c r="AC2927" s="79" t="str">
        <f>IF(AND(OR(LEFT(TH!N2927,2)="15",LEFT(TH!O2927,2)="15"),TK!$E$7=TH!F2927),"x","")</f>
        <v/>
      </c>
      <c r="AD2927" s="79" t="str">
        <f>IF(AND(N2927="1521",MONTH(C2927)='BK-NL'!$M$11),"x","")</f>
        <v/>
      </c>
    </row>
    <row r="2928" spans="1:30" ht="16.5" customHeight="1">
      <c r="A2928" s="318" t="str">
        <f>IF(B2928&lt;&gt;"",IF(AND(B2928='IN-TC'!$S$4,OR(TH!N2928="1111",TH!O2928="1111")),TH!D2928,""),"")</f>
        <v/>
      </c>
      <c r="B2928" s="60" t="str">
        <f t="shared" si="333"/>
        <v/>
      </c>
      <c r="C2928" s="75"/>
      <c r="D2928" s="75"/>
      <c r="E2928" s="75"/>
      <c r="F2928" s="1251"/>
      <c r="G2928" s="76"/>
      <c r="H2928" s="77"/>
      <c r="I2928" s="383"/>
      <c r="J2928" s="391"/>
      <c r="K2928" s="383"/>
      <c r="L2928" s="390"/>
      <c r="M2928" s="78"/>
      <c r="N2928" s="79"/>
      <c r="O2928" s="79"/>
      <c r="P2928" s="79" t="str">
        <f>IF(AND('331-CT'!$E$7=TH!H2928,OR(N2928="331",O2928="331")),"x","")</f>
        <v/>
      </c>
      <c r="Q2928" s="79" t="str">
        <f>IF(AND(B2928='111'!$L$11,OR($N2928=$Q$7,$O2928=$Q$7)),"x","")</f>
        <v/>
      </c>
      <c r="R2928" s="79" t="str">
        <f>IF(AND($N2928=$Q$7,$B2928&lt;'111'!$L$11),"x","")</f>
        <v/>
      </c>
      <c r="S2928" s="79" t="str">
        <f>IF(AND($O2928=$Q$7,$B2928&lt;'111'!$L$11),"x","")</f>
        <v/>
      </c>
      <c r="T2928" s="79" t="str">
        <f>IF(ISERROR(FIND('112'!$M$9,G2928,1)),"",IF((AND(FIND('112'!$M$9,G2928,1)&gt;=1,B2928='112'!$K$9,OR($N2928='112'!$I$6,$O2928='112'!$I$6))),"x",""))</f>
        <v/>
      </c>
      <c r="U2928" s="79" t="str">
        <f>IF(ISERROR(FIND('112'!$M$9,G2928,1)),"",IF((AND(LEFT(G2928,2)=LEFT('112'!$M$9,2),B2928&lt;'112'!$K$9,$N2928='112'!$I$6)),"x",""))</f>
        <v/>
      </c>
      <c r="V2928" s="79" t="str">
        <f>IF(ISERROR(FIND('112'!$M$9,G2928,1)),"",IF((AND(RIGHT(G2928,2)=RIGHT('112'!$M$9,2),B2928&lt;'112'!$K$9,$O2928='112'!$I$6)),"x",""))</f>
        <v/>
      </c>
      <c r="W2928" s="79" t="str">
        <f>IF(AND('341-CT'!$H$9=H2928,OR(LEFT(N2928,3)=$W$7,LEFT(O2928,3)=$W$7)),"x","")</f>
        <v/>
      </c>
      <c r="X2928" s="79" t="str">
        <f>IF(OR(TH!N2928=TH!$X$7,O2928=TH!$X$7),"x","")</f>
        <v/>
      </c>
      <c r="Y2928" s="79" t="str">
        <f>IF(AND(OR(N2928="131",O2928="131"),H2928='131-CT'!$H$9),"x","")</f>
        <v/>
      </c>
      <c r="Z2928" s="79"/>
      <c r="AA2928" s="79" t="str">
        <f>IF(AND(MONTH(E2928)='IN-NX'!$J$5,'IN-NX'!$D$7=D2928),"x","")</f>
        <v/>
      </c>
      <c r="AB2928" s="79" t="str">
        <f>IF(AND(OR(LEFT(TH!N2928,2)="15",LEFT(TH!O2928,2)="15"),LEFT(TH!O2928,3)&lt;&gt;"111",'152-CT'!$J$8=TH!F2928),"x","")</f>
        <v/>
      </c>
      <c r="AC2928" s="79" t="str">
        <f>IF(AND(OR(LEFT(TH!N2928,2)="15",LEFT(TH!O2928,2)="15"),TK!$E$7=TH!F2928),"x","")</f>
        <v/>
      </c>
      <c r="AD2928" s="79" t="str">
        <f>IF(AND(N2928="1521",MONTH(C2928)='BK-NL'!$M$11),"x","")</f>
        <v/>
      </c>
    </row>
    <row r="2929" spans="1:30" ht="16.5" customHeight="1">
      <c r="A2929" s="318" t="str">
        <f>IF(B2929&lt;&gt;"",IF(AND(B2929='IN-TC'!$S$4,OR(TH!N2929="1111",TH!O2929="1111")),TH!D2929,""),"")</f>
        <v/>
      </c>
      <c r="B2929" s="60" t="str">
        <f t="shared" ref="B2929" si="334">IF(C2929&lt;&gt;"",MONTH(C2929),"")</f>
        <v/>
      </c>
      <c r="C2929" s="75"/>
      <c r="D2929" s="75"/>
      <c r="E2929" s="75"/>
      <c r="F2929" s="1251"/>
      <c r="G2929" s="76"/>
      <c r="H2929" s="77"/>
      <c r="I2929" s="383"/>
      <c r="J2929" s="391"/>
      <c r="K2929" s="383"/>
      <c r="L2929" s="390"/>
      <c r="M2929" s="78"/>
      <c r="N2929" s="79"/>
      <c r="O2929" s="79"/>
      <c r="P2929" s="79" t="str">
        <f>IF(AND('331-CT'!$E$7=TH!H2929,OR(N2929="331",O2929="331")),"x","")</f>
        <v/>
      </c>
      <c r="Q2929" s="79" t="str">
        <f>IF(AND(B2929='111'!$L$11,OR($N2929=$Q$7,$O2929=$Q$7)),"x","")</f>
        <v/>
      </c>
      <c r="R2929" s="79" t="str">
        <f>IF(AND($N2929=$Q$7,$B2929&lt;'111'!$L$11),"x","")</f>
        <v/>
      </c>
      <c r="S2929" s="79" t="str">
        <f>IF(AND($O2929=$Q$7,$B2929&lt;'111'!$L$11),"x","")</f>
        <v/>
      </c>
      <c r="T2929" s="79" t="str">
        <f>IF(ISERROR(FIND('112'!$M$9,G2929,1)),"",IF((AND(FIND('112'!$M$9,G2929,1)&gt;=1,B2929='112'!$K$9,OR($N2929='112'!$I$6,$O2929='112'!$I$6))),"x",""))</f>
        <v/>
      </c>
      <c r="U2929" s="79" t="str">
        <f>IF(ISERROR(FIND('112'!$M$9,G2929,1)),"",IF((AND(LEFT(G2929,2)=LEFT('112'!$M$9,2),B2929&lt;'112'!$K$9,$N2929='112'!$I$6)),"x",""))</f>
        <v/>
      </c>
      <c r="V2929" s="79" t="str">
        <f>IF(ISERROR(FIND('112'!$M$9,G2929,1)),"",IF((AND(RIGHT(G2929,2)=RIGHT('112'!$M$9,2),B2929&lt;'112'!$K$9,$O2929='112'!$I$6)),"x",""))</f>
        <v/>
      </c>
      <c r="W2929" s="79" t="str">
        <f>IF(AND('341-CT'!$H$9=H2929,OR(LEFT(N2929,3)=$W$7,LEFT(O2929,3)=$W$7)),"x","")</f>
        <v/>
      </c>
      <c r="X2929" s="79" t="str">
        <f>IF(OR(TH!N2929=TH!$X$7,O2929=TH!$X$7),"x","")</f>
        <v/>
      </c>
      <c r="Y2929" s="79" t="str">
        <f>IF(AND(OR(N2929="131",O2929="131"),H2929='131-CT'!$H$9),"x","")</f>
        <v/>
      </c>
      <c r="Z2929" s="79"/>
      <c r="AA2929" s="79" t="str">
        <f>IF(AND(MONTH(E2929)='IN-NX'!$J$5,'IN-NX'!$D$7=D2929),"x","")</f>
        <v/>
      </c>
      <c r="AB2929" s="79" t="str">
        <f>IF(AND(OR(LEFT(TH!N2929,2)="15",LEFT(TH!O2929,2)="15"),LEFT(TH!O2929,3)&lt;&gt;"111",'152-CT'!$J$8=TH!F2929),"x","")</f>
        <v/>
      </c>
      <c r="AC2929" s="79" t="str">
        <f>IF(AND(OR(LEFT(TH!N2929,2)="15",LEFT(TH!O2929,2)="15"),TK!$E$7=TH!F2929),"x","")</f>
        <v/>
      </c>
      <c r="AD2929" s="79" t="str">
        <f>IF(AND(N2929="1521",MONTH(C2929)='BK-NL'!$M$11),"x","")</f>
        <v/>
      </c>
    </row>
    <row r="2930" spans="1:30" ht="16.5" customHeight="1">
      <c r="A2930" s="318" t="str">
        <f>IF(B2930&lt;&gt;"",IF(AND(B2930='IN-TC'!$S$4,OR(TH!N2930="1111",TH!O2930="1111")),TH!D2930,""),"")</f>
        <v/>
      </c>
      <c r="B2930" s="60" t="str">
        <f t="shared" si="333"/>
        <v/>
      </c>
      <c r="C2930" s="75"/>
      <c r="D2930" s="75"/>
      <c r="E2930" s="75"/>
      <c r="F2930" s="1251"/>
      <c r="G2930" s="76"/>
      <c r="H2930" s="77"/>
      <c r="I2930" s="383"/>
      <c r="J2930" s="391"/>
      <c r="K2930" s="383"/>
      <c r="L2930" s="390"/>
      <c r="M2930" s="78"/>
      <c r="N2930" s="79"/>
      <c r="O2930" s="79"/>
      <c r="P2930" s="79" t="str">
        <f>IF(AND('331-CT'!$E$7=TH!H2930,OR(N2930="331",O2930="331")),"x","")</f>
        <v/>
      </c>
      <c r="Q2930" s="79" t="str">
        <f>IF(AND(B2930='111'!$L$11,OR($N2930=$Q$7,$O2930=$Q$7)),"x","")</f>
        <v/>
      </c>
      <c r="R2930" s="79" t="str">
        <f>IF(AND($N2930=$Q$7,$B2930&lt;'111'!$L$11),"x","")</f>
        <v/>
      </c>
      <c r="S2930" s="79" t="str">
        <f>IF(AND($O2930=$Q$7,$B2930&lt;'111'!$L$11),"x","")</f>
        <v/>
      </c>
      <c r="T2930" s="79" t="str">
        <f>IF(ISERROR(FIND('112'!$M$9,G2930,1)),"",IF((AND(FIND('112'!$M$9,G2930,1)&gt;=1,B2930='112'!$K$9,OR($N2930='112'!$I$6,$O2930='112'!$I$6))),"x",""))</f>
        <v/>
      </c>
      <c r="U2930" s="79" t="str">
        <f>IF(ISERROR(FIND('112'!$M$9,G2930,1)),"",IF((AND(LEFT(G2930,2)=LEFT('112'!$M$9,2),B2930&lt;'112'!$K$9,$N2930='112'!$I$6)),"x",""))</f>
        <v/>
      </c>
      <c r="V2930" s="79" t="str">
        <f>IF(ISERROR(FIND('112'!$M$9,G2930,1)),"",IF((AND(RIGHT(G2930,2)=RIGHT('112'!$M$9,2),B2930&lt;'112'!$K$9,$O2930='112'!$I$6)),"x",""))</f>
        <v/>
      </c>
      <c r="W2930" s="79" t="str">
        <f>IF(AND('341-CT'!$H$9=H2930,OR(LEFT(N2930,3)=$W$7,LEFT(O2930,3)=$W$7)),"x","")</f>
        <v/>
      </c>
      <c r="X2930" s="79" t="str">
        <f>IF(OR(TH!N2930=TH!$X$7,O2930=TH!$X$7),"x","")</f>
        <v/>
      </c>
      <c r="Y2930" s="79" t="str">
        <f>IF(AND(OR(N2930="131",O2930="131"),H2930='131-CT'!$H$9),"x","")</f>
        <v/>
      </c>
      <c r="Z2930" s="79"/>
      <c r="AA2930" s="79" t="str">
        <f>IF(AND(MONTH(E2930)='IN-NX'!$J$5,'IN-NX'!$D$7=D2930),"x","")</f>
        <v/>
      </c>
      <c r="AB2930" s="79" t="str">
        <f>IF(AND(OR(LEFT(TH!N2930,2)="15",LEFT(TH!O2930,2)="15"),LEFT(TH!O2930,3)&lt;&gt;"111",'152-CT'!$J$8=TH!F2930),"x","")</f>
        <v/>
      </c>
      <c r="AC2930" s="79" t="str">
        <f>IF(AND(OR(LEFT(TH!N2930,2)="15",LEFT(TH!O2930,2)="15"),TK!$E$7=TH!F2930),"x","")</f>
        <v/>
      </c>
      <c r="AD2930" s="79" t="str">
        <f>IF(AND(N2930="1521",MONTH(C2930)='BK-NL'!$M$11),"x","")</f>
        <v/>
      </c>
    </row>
    <row r="2931" spans="1:30" ht="16.5" customHeight="1">
      <c r="A2931" s="318" t="str">
        <f>IF(B2931&lt;&gt;"",IF(AND(B2931='IN-TC'!$S$4,OR(TH!N2931="1111",TH!O2931="1111")),TH!D2931,""),"")</f>
        <v/>
      </c>
      <c r="B2931" s="60" t="str">
        <f t="shared" si="333"/>
        <v/>
      </c>
      <c r="C2931" s="75"/>
      <c r="D2931" s="75"/>
      <c r="E2931" s="75"/>
      <c r="F2931" s="76"/>
      <c r="G2931" s="76"/>
      <c r="H2931" s="77"/>
      <c r="I2931" s="1247"/>
      <c r="J2931" s="1248"/>
      <c r="K2931" s="1247"/>
      <c r="L2931" s="390"/>
      <c r="M2931" s="78"/>
      <c r="N2931" s="79"/>
      <c r="O2931" s="79"/>
      <c r="P2931" s="79" t="str">
        <f>IF(AND('331-CT'!$E$7=TH!H2931,OR(N2931="331",O2931="331")),"x","")</f>
        <v/>
      </c>
      <c r="Q2931" s="79" t="str">
        <f>IF(AND(B2931='111'!$L$11,OR($N2931=$Q$7,$O2931=$Q$7)),"x","")</f>
        <v/>
      </c>
      <c r="R2931" s="79" t="str">
        <f>IF(AND($N2931=$Q$7,$B2931&lt;'111'!$L$11),"x","")</f>
        <v/>
      </c>
      <c r="S2931" s="79" t="str">
        <f>IF(AND($O2931=$Q$7,$B2931&lt;'111'!$L$11),"x","")</f>
        <v/>
      </c>
      <c r="T2931" s="79" t="str">
        <f>IF(ISERROR(FIND('112'!$M$9,G2931,1)),"",IF((AND(FIND('112'!$M$9,G2931,1)&gt;=1,B2931='112'!$K$9,OR($N2931='112'!$I$6,$O2931='112'!$I$6))),"x",""))</f>
        <v/>
      </c>
      <c r="U2931" s="79" t="str">
        <f>IF(ISERROR(FIND('112'!$M$9,G2931,1)),"",IF((AND(LEFT(G2931,2)=LEFT('112'!$M$9,2),B2931&lt;'112'!$K$9,$N2931='112'!$I$6)),"x",""))</f>
        <v/>
      </c>
      <c r="V2931" s="79" t="str">
        <f>IF(ISERROR(FIND('112'!$M$9,G2931,1)),"",IF((AND(RIGHT(G2931,2)=RIGHT('112'!$M$9,2),B2931&lt;'112'!$K$9,$O2931='112'!$I$6)),"x",""))</f>
        <v/>
      </c>
      <c r="W2931" s="79" t="str">
        <f>IF(AND('341-CT'!$H$9=H2931,OR(LEFT(N2931,3)=$W$7,LEFT(O2931,3)=$W$7)),"x","")</f>
        <v/>
      </c>
      <c r="X2931" s="79" t="str">
        <f>IF(OR(TH!N2931=TH!$X$7,O2931=TH!$X$7),"x","")</f>
        <v/>
      </c>
      <c r="Y2931" s="79" t="str">
        <f>IF(AND(OR(N2931="131",O2931="131"),H2931='131-CT'!$H$9),"x","")</f>
        <v/>
      </c>
      <c r="Z2931" s="79"/>
      <c r="AA2931" s="79" t="str">
        <f>IF(AND(MONTH(E2931)='IN-NX'!$J$5,'IN-NX'!$D$7=D2931),"x","")</f>
        <v/>
      </c>
      <c r="AB2931" s="79" t="str">
        <f>IF(AND(OR(LEFT(TH!N2931,2)="15",LEFT(TH!O2931,2)="15"),LEFT(TH!O2931,3)&lt;&gt;"111",'152-CT'!$J$8=TH!F2931),"x","")</f>
        <v/>
      </c>
      <c r="AC2931" s="79" t="str">
        <f>IF(AND(OR(LEFT(TH!N2931,2)="15",LEFT(TH!O2931,2)="15"),TK!$E$7=TH!F2931),"x","")</f>
        <v/>
      </c>
      <c r="AD2931" s="79" t="str">
        <f>IF(AND(N2931="1521",MONTH(C2931)='BK-NL'!$M$11),"x","")</f>
        <v/>
      </c>
    </row>
    <row r="2932" spans="1:30" ht="16.5" customHeight="1">
      <c r="A2932" s="318" t="str">
        <f>IF(B2932&lt;&gt;"",IF(AND(B2932='IN-TC'!$S$4,OR(TH!N2932="1111",TH!O2932="1111")),TH!D2932,""),"")</f>
        <v/>
      </c>
      <c r="B2932" s="60" t="str">
        <f t="shared" si="333"/>
        <v/>
      </c>
      <c r="C2932" s="75"/>
      <c r="D2932" s="75"/>
      <c r="E2932" s="75"/>
      <c r="F2932" s="76"/>
      <c r="G2932" s="76"/>
      <c r="H2932" s="77"/>
      <c r="I2932" s="383"/>
      <c r="J2932" s="391"/>
      <c r="K2932" s="383"/>
      <c r="L2932" s="390"/>
      <c r="M2932" s="78"/>
      <c r="N2932" s="79"/>
      <c r="O2932" s="79"/>
      <c r="P2932" s="79" t="str">
        <f>IF(AND('331-CT'!$E$7=TH!H2932,OR(N2932="331",O2932="331")),"x","")</f>
        <v/>
      </c>
      <c r="Q2932" s="79" t="str">
        <f>IF(AND(B2932='111'!$L$11,OR($N2932=$Q$7,$O2932=$Q$7)),"x","")</f>
        <v/>
      </c>
      <c r="R2932" s="79" t="str">
        <f>IF(AND($N2932=$Q$7,$B2932&lt;'111'!$L$11),"x","")</f>
        <v/>
      </c>
      <c r="S2932" s="79" t="str">
        <f>IF(AND($O2932=$Q$7,$B2932&lt;'111'!$L$11),"x","")</f>
        <v/>
      </c>
      <c r="T2932" s="79" t="str">
        <f>IF(ISERROR(FIND('112'!$M$9,G2932,1)),"",IF((AND(FIND('112'!$M$9,G2932,1)&gt;=1,B2932='112'!$K$9,OR($N2932='112'!$I$6,$O2932='112'!$I$6))),"x",""))</f>
        <v/>
      </c>
      <c r="U2932" s="79" t="str">
        <f>IF(ISERROR(FIND('112'!$M$9,G2932,1)),"",IF((AND(LEFT(G2932,2)=LEFT('112'!$M$9,2),B2932&lt;'112'!$K$9,$N2932='112'!$I$6)),"x",""))</f>
        <v/>
      </c>
      <c r="V2932" s="79" t="str">
        <f>IF(ISERROR(FIND('112'!$M$9,G2932,1)),"",IF((AND(RIGHT(G2932,2)=RIGHT('112'!$M$9,2),B2932&lt;'112'!$K$9,$O2932='112'!$I$6)),"x",""))</f>
        <v/>
      </c>
      <c r="W2932" s="79" t="str">
        <f>IF(AND('341-CT'!$H$9=H2932,OR(LEFT(N2932,3)=$W$7,LEFT(O2932,3)=$W$7)),"x","")</f>
        <v/>
      </c>
      <c r="X2932" s="79" t="str">
        <f>IF(OR(TH!N2932=TH!$X$7,O2932=TH!$X$7),"x","")</f>
        <v/>
      </c>
      <c r="Y2932" s="79" t="str">
        <f>IF(AND(OR(N2932="131",O2932="131"),H2932='131-CT'!$H$9),"x","")</f>
        <v/>
      </c>
      <c r="Z2932" s="79"/>
      <c r="AA2932" s="79" t="str">
        <f>IF(AND(MONTH(E2932)='IN-NX'!$J$5,'IN-NX'!$D$7=D2932),"x","")</f>
        <v/>
      </c>
      <c r="AB2932" s="79" t="str">
        <f>IF(AND(OR(LEFT(TH!N2932,2)="15",LEFT(TH!O2932,2)="15"),LEFT(TH!O2932,3)&lt;&gt;"111",'152-CT'!$J$8=TH!F2932),"x","")</f>
        <v/>
      </c>
      <c r="AC2932" s="79" t="str">
        <f>IF(AND(OR(LEFT(TH!N2932,2)="15",LEFT(TH!O2932,2)="15"),TK!$E$7=TH!F2932),"x","")</f>
        <v/>
      </c>
      <c r="AD2932" s="79" t="str">
        <f>IF(AND(N2932="1521",MONTH(C2932)='BK-NL'!$M$11),"x","")</f>
        <v/>
      </c>
    </row>
    <row r="2933" spans="1:30" ht="16.5" customHeight="1">
      <c r="A2933" s="318" t="str">
        <f>IF(B2933&lt;&gt;"",IF(AND(B2933='IN-TC'!$S$4,OR(TH!N2933="1111",TH!O2933="1111")),TH!D2933,""),"")</f>
        <v/>
      </c>
      <c r="B2933" s="60" t="str">
        <f t="shared" si="333"/>
        <v/>
      </c>
      <c r="C2933" s="75"/>
      <c r="D2933" s="75"/>
      <c r="E2933" s="75"/>
      <c r="F2933" s="76"/>
      <c r="G2933" s="76"/>
      <c r="H2933" s="77"/>
      <c r="I2933" s="1247"/>
      <c r="J2933" s="1248"/>
      <c r="K2933" s="1247"/>
      <c r="L2933" s="390"/>
      <c r="M2933" s="78"/>
      <c r="N2933" s="79"/>
      <c r="O2933" s="79"/>
      <c r="P2933" s="79" t="str">
        <f>IF(AND('331-CT'!$E$7=TH!H2933,OR(N2933="331",O2933="331")),"x","")</f>
        <v/>
      </c>
      <c r="Q2933" s="79" t="str">
        <f>IF(AND(B2933='111'!$L$11,OR($N2933=$Q$7,$O2933=$Q$7)),"x","")</f>
        <v/>
      </c>
      <c r="R2933" s="79" t="str">
        <f>IF(AND($N2933=$Q$7,$B2933&lt;'111'!$L$11),"x","")</f>
        <v/>
      </c>
      <c r="S2933" s="79" t="str">
        <f>IF(AND($O2933=$Q$7,$B2933&lt;'111'!$L$11),"x","")</f>
        <v/>
      </c>
      <c r="T2933" s="79" t="str">
        <f>IF(ISERROR(FIND('112'!$M$9,G2933,1)),"",IF((AND(FIND('112'!$M$9,G2933,1)&gt;=1,B2933='112'!$K$9,OR($N2933='112'!$I$6,$O2933='112'!$I$6))),"x",""))</f>
        <v/>
      </c>
      <c r="U2933" s="79" t="str">
        <f>IF(ISERROR(FIND('112'!$M$9,G2933,1)),"",IF((AND(LEFT(G2933,2)=LEFT('112'!$M$9,2),B2933&lt;'112'!$K$9,$N2933='112'!$I$6)),"x",""))</f>
        <v/>
      </c>
      <c r="V2933" s="79" t="str">
        <f>IF(ISERROR(FIND('112'!$M$9,G2933,1)),"",IF((AND(RIGHT(G2933,2)=RIGHT('112'!$M$9,2),B2933&lt;'112'!$K$9,$O2933='112'!$I$6)),"x",""))</f>
        <v/>
      </c>
      <c r="W2933" s="79" t="str">
        <f>IF(AND('341-CT'!$H$9=H2933,OR(LEFT(N2933,3)=$W$7,LEFT(O2933,3)=$W$7)),"x","")</f>
        <v/>
      </c>
      <c r="X2933" s="79" t="str">
        <f>IF(OR(TH!N2933=TH!$X$7,O2933=TH!$X$7),"x","")</f>
        <v/>
      </c>
      <c r="Y2933" s="79" t="str">
        <f>IF(AND(OR(N2933="131",O2933="131"),H2933='131-CT'!$H$9),"x","")</f>
        <v/>
      </c>
      <c r="Z2933" s="79"/>
      <c r="AA2933" s="79" t="str">
        <f>IF(AND(MONTH(E2933)='IN-NX'!$J$5,'IN-NX'!$D$7=D2933),"x","")</f>
        <v/>
      </c>
      <c r="AB2933" s="79" t="str">
        <f>IF(AND(OR(LEFT(TH!N2933,2)="15",LEFT(TH!O2933,2)="15"),LEFT(TH!O2933,3)&lt;&gt;"111",'152-CT'!$J$8=TH!F2933),"x","")</f>
        <v/>
      </c>
      <c r="AC2933" s="79" t="str">
        <f>IF(AND(OR(LEFT(TH!N2933,2)="15",LEFT(TH!O2933,2)="15"),TK!$E$7=TH!F2933),"x","")</f>
        <v/>
      </c>
      <c r="AD2933" s="79" t="str">
        <f>IF(AND(N2933="1521",MONTH(C2933)='BK-NL'!$M$11),"x","")</f>
        <v/>
      </c>
    </row>
    <row r="2934" spans="1:30" ht="16.5" customHeight="1">
      <c r="A2934" s="318" t="str">
        <f>IF(B2934&lt;&gt;"",IF(AND(B2934='IN-TC'!$S$4,OR(TH!N2934="1111",TH!O2934="1111")),TH!D2934,""),"")</f>
        <v/>
      </c>
      <c r="B2934" s="60" t="str">
        <f t="shared" si="333"/>
        <v/>
      </c>
      <c r="C2934" s="75"/>
      <c r="D2934" s="75"/>
      <c r="E2934" s="75"/>
      <c r="F2934" s="975"/>
      <c r="G2934" s="76"/>
      <c r="H2934" s="77"/>
      <c r="I2934" s="1247"/>
      <c r="J2934" s="1248"/>
      <c r="K2934" s="1247"/>
      <c r="L2934" s="390"/>
      <c r="M2934" s="78"/>
      <c r="N2934" s="79"/>
      <c r="O2934" s="79"/>
      <c r="P2934" s="79" t="str">
        <f>IF(AND('331-CT'!$E$7=TH!H2934,OR(N2934="331",O2934="331")),"x","")</f>
        <v/>
      </c>
      <c r="Q2934" s="79" t="str">
        <f>IF(AND(B2934='111'!$L$11,OR($N2934=$Q$7,$O2934=$Q$7)),"x","")</f>
        <v/>
      </c>
      <c r="R2934" s="79" t="str">
        <f>IF(AND($N2934=$Q$7,$B2934&lt;'111'!$L$11),"x","")</f>
        <v/>
      </c>
      <c r="S2934" s="79" t="str">
        <f>IF(AND($O2934=$Q$7,$B2934&lt;'111'!$L$11),"x","")</f>
        <v/>
      </c>
      <c r="T2934" s="79" t="str">
        <f>IF(ISERROR(FIND('112'!$M$9,G2934,1)),"",IF((AND(FIND('112'!$M$9,G2934,1)&gt;=1,B2934='112'!$K$9,OR($N2934='112'!$I$6,$O2934='112'!$I$6))),"x",""))</f>
        <v/>
      </c>
      <c r="U2934" s="79" t="str">
        <f>IF(ISERROR(FIND('112'!$M$9,G2934,1)),"",IF((AND(LEFT(G2934,2)=LEFT('112'!$M$9,2),B2934&lt;'112'!$K$9,$N2934='112'!$I$6)),"x",""))</f>
        <v/>
      </c>
      <c r="V2934" s="79" t="str">
        <f>IF(ISERROR(FIND('112'!$M$9,G2934,1)),"",IF((AND(RIGHT(G2934,2)=RIGHT('112'!$M$9,2),B2934&lt;'112'!$K$9,$O2934='112'!$I$6)),"x",""))</f>
        <v/>
      </c>
      <c r="W2934" s="79" t="str">
        <f>IF(AND('341-CT'!$H$9=H2934,OR(LEFT(N2934,3)=$W$7,LEFT(O2934,3)=$W$7)),"x","")</f>
        <v/>
      </c>
      <c r="X2934" s="79" t="str">
        <f>IF(OR(TH!N2934=TH!$X$7,O2934=TH!$X$7),"x","")</f>
        <v/>
      </c>
      <c r="Y2934" s="79" t="str">
        <f>IF(AND(OR(N2934="131",O2934="131"),H2934='131-CT'!$H$9),"x","")</f>
        <v/>
      </c>
      <c r="Z2934" s="79"/>
      <c r="AA2934" s="79" t="str">
        <f>IF(AND(MONTH(E2934)='IN-NX'!$J$5,'IN-NX'!$D$7=D2934),"x","")</f>
        <v/>
      </c>
      <c r="AB2934" s="79" t="str">
        <f>IF(AND(OR(LEFT(TH!N2934,2)="15",LEFT(TH!O2934,2)="15"),LEFT(TH!O2934,3)&lt;&gt;"111",'152-CT'!$J$8=TH!F2934),"x","")</f>
        <v/>
      </c>
      <c r="AC2934" s="79" t="str">
        <f>IF(AND(OR(LEFT(TH!N2934,2)="15",LEFT(TH!O2934,2)="15"),TK!$E$7=TH!F2934),"x","")</f>
        <v/>
      </c>
      <c r="AD2934" s="79" t="str">
        <f>IF(AND(N2934="1521",MONTH(C2934)='BK-NL'!$M$11),"x","")</f>
        <v/>
      </c>
    </row>
    <row r="2935" spans="1:30" ht="16.5" customHeight="1">
      <c r="A2935" s="318" t="str">
        <f>IF(B2935&lt;&gt;"",IF(AND(B2935='IN-TC'!$S$4,OR(TH!N2935="1111",TH!O2935="1111")),TH!D2935,""),"")</f>
        <v/>
      </c>
      <c r="B2935" s="60" t="str">
        <f t="shared" si="333"/>
        <v/>
      </c>
      <c r="C2935" s="75"/>
      <c r="D2935" s="75"/>
      <c r="E2935" s="75"/>
      <c r="F2935" s="76"/>
      <c r="G2935" s="76"/>
      <c r="H2935" s="77"/>
      <c r="I2935" s="1247"/>
      <c r="J2935" s="391"/>
      <c r="K2935" s="1247"/>
      <c r="L2935" s="1248"/>
      <c r="M2935" s="78"/>
      <c r="N2935" s="79"/>
      <c r="O2935" s="79"/>
      <c r="P2935" s="79" t="str">
        <f>IF(AND('331-CT'!$E$7=TH!H2935,OR(N2935="331",O2935="331")),"x","")</f>
        <v/>
      </c>
      <c r="Q2935" s="79" t="str">
        <f>IF(AND(B2935='111'!$L$11,OR($N2935=$Q$7,$O2935=$Q$7)),"x","")</f>
        <v/>
      </c>
      <c r="R2935" s="79" t="str">
        <f>IF(AND($N2935=$Q$7,$B2935&lt;'111'!$L$11),"x","")</f>
        <v/>
      </c>
      <c r="S2935" s="79" t="str">
        <f>IF(AND($O2935=$Q$7,$B2935&lt;'111'!$L$11),"x","")</f>
        <v/>
      </c>
      <c r="T2935" s="79" t="str">
        <f>IF(ISERROR(FIND('112'!$M$9,G2935,1)),"",IF((AND(FIND('112'!$M$9,G2935,1)&gt;=1,B2935='112'!$K$9,OR($N2935='112'!$I$6,$O2935='112'!$I$6))),"x",""))</f>
        <v/>
      </c>
      <c r="U2935" s="79" t="str">
        <f>IF(ISERROR(FIND('112'!$M$9,G2935,1)),"",IF((AND(LEFT(G2935,2)=LEFT('112'!$M$9,2),B2935&lt;'112'!$K$9,$N2935='112'!$I$6)),"x",""))</f>
        <v/>
      </c>
      <c r="V2935" s="79" t="str">
        <f>IF(ISERROR(FIND('112'!$M$9,G2935,1)),"",IF((AND(RIGHT(G2935,2)=RIGHT('112'!$M$9,2),B2935&lt;'112'!$K$9,$O2935='112'!$I$6)),"x",""))</f>
        <v/>
      </c>
      <c r="W2935" s="79" t="str">
        <f>IF(AND('341-CT'!$H$9=H2935,OR(LEFT(N2935,3)=$W$7,LEFT(O2935,3)=$W$7)),"x","")</f>
        <v/>
      </c>
      <c r="X2935" s="79" t="str">
        <f>IF(OR(TH!N2935=TH!$X$7,O2935=TH!$X$7),"x","")</f>
        <v/>
      </c>
      <c r="Y2935" s="79" t="str">
        <f>IF(AND(OR(N2935="131",O2935="131"),H2935='131-CT'!$H$9),"x","")</f>
        <v/>
      </c>
      <c r="Z2935" s="79"/>
      <c r="AA2935" s="79" t="str">
        <f>IF(AND(MONTH(E2935)='IN-NX'!$J$5,'IN-NX'!$D$7=D2935),"x","")</f>
        <v/>
      </c>
      <c r="AB2935" s="79" t="str">
        <f>IF(AND(OR(LEFT(TH!N2935,2)="15",LEFT(TH!O2935,2)="15"),LEFT(TH!O2935,3)&lt;&gt;"111",'152-CT'!$J$8=TH!F2935),"x","")</f>
        <v/>
      </c>
      <c r="AC2935" s="79" t="str">
        <f>IF(AND(OR(LEFT(TH!N2935,2)="15",LEFT(TH!O2935,2)="15"),TK!$E$7=TH!F2935),"x","")</f>
        <v/>
      </c>
      <c r="AD2935" s="79" t="str">
        <f>IF(AND(N2935="1521",MONTH(C2935)='BK-NL'!$M$11),"x","")</f>
        <v/>
      </c>
    </row>
    <row r="2936" spans="1:30" ht="16.5" customHeight="1">
      <c r="A2936" s="318" t="str">
        <f>IF(B2936&lt;&gt;"",IF(AND(B2936='IN-TC'!$S$4,OR(TH!N2936="1111",TH!O2936="1111")),TH!D2936,""),"")</f>
        <v/>
      </c>
      <c r="B2936" s="60" t="str">
        <f t="shared" ref="B2936" si="335">IF(C2936&lt;&gt;"",MONTH(C2936),"")</f>
        <v/>
      </c>
      <c r="C2936" s="75"/>
      <c r="D2936" s="75"/>
      <c r="E2936" s="75"/>
      <c r="F2936" s="76"/>
      <c r="G2936" s="76"/>
      <c r="H2936" s="77"/>
      <c r="I2936" s="1247"/>
      <c r="J2936" s="391"/>
      <c r="K2936" s="1247"/>
      <c r="L2936" s="1248"/>
      <c r="M2936" s="78"/>
      <c r="N2936" s="79"/>
      <c r="O2936" s="79"/>
      <c r="P2936" s="79" t="str">
        <f>IF(AND('331-CT'!$E$7=TH!H2936,OR(N2936="331",O2936="331")),"x","")</f>
        <v/>
      </c>
      <c r="Q2936" s="79" t="str">
        <f>IF(AND(B2936='111'!$L$11,OR($N2936=$Q$7,$O2936=$Q$7)),"x","")</f>
        <v/>
      </c>
      <c r="R2936" s="79" t="str">
        <f>IF(AND($N2936=$Q$7,$B2936&lt;'111'!$L$11),"x","")</f>
        <v/>
      </c>
      <c r="S2936" s="79" t="str">
        <f>IF(AND($O2936=$Q$7,$B2936&lt;'111'!$L$11),"x","")</f>
        <v/>
      </c>
      <c r="T2936" s="79" t="str">
        <f>IF(ISERROR(FIND('112'!$M$9,G2936,1)),"",IF((AND(FIND('112'!$M$9,G2936,1)&gt;=1,B2936='112'!$K$9,OR($N2936='112'!$I$6,$O2936='112'!$I$6))),"x",""))</f>
        <v/>
      </c>
      <c r="U2936" s="79" t="str">
        <f>IF(ISERROR(FIND('112'!$M$9,G2936,1)),"",IF((AND(LEFT(G2936,2)=LEFT('112'!$M$9,2),B2936&lt;'112'!$K$9,$N2936='112'!$I$6)),"x",""))</f>
        <v/>
      </c>
      <c r="V2936" s="79" t="str">
        <f>IF(ISERROR(FIND('112'!$M$9,G2936,1)),"",IF((AND(RIGHT(G2936,2)=RIGHT('112'!$M$9,2),B2936&lt;'112'!$K$9,$O2936='112'!$I$6)),"x",""))</f>
        <v/>
      </c>
      <c r="W2936" s="79" t="str">
        <f>IF(AND('341-CT'!$H$9=H2936,OR(LEFT(N2936,3)=$W$7,LEFT(O2936,3)=$W$7)),"x","")</f>
        <v/>
      </c>
      <c r="X2936" s="79" t="str">
        <f>IF(OR(TH!N2936=TH!$X$7,O2936=TH!$X$7),"x","")</f>
        <v/>
      </c>
      <c r="Y2936" s="79" t="str">
        <f>IF(AND(OR(N2936="131",O2936="131"),H2936='131-CT'!$H$9),"x","")</f>
        <v/>
      </c>
      <c r="Z2936" s="79"/>
      <c r="AA2936" s="79" t="str">
        <f>IF(AND(MONTH(E2936)='IN-NX'!$J$5,'IN-NX'!$D$7=D2936),"x","")</f>
        <v/>
      </c>
      <c r="AB2936" s="79" t="str">
        <f>IF(AND(OR(LEFT(TH!N2936,2)="15",LEFT(TH!O2936,2)="15"),LEFT(TH!O2936,3)&lt;&gt;"111",'152-CT'!$J$8=TH!F2936),"x","")</f>
        <v/>
      </c>
      <c r="AC2936" s="79" t="str">
        <f>IF(AND(OR(LEFT(TH!N2936,2)="15",LEFT(TH!O2936,2)="15"),TK!$E$7=TH!F2936),"x","")</f>
        <v/>
      </c>
      <c r="AD2936" s="79" t="str">
        <f>IF(AND(N2936="1521",MONTH(C2936)='BK-NL'!$M$11),"x","")</f>
        <v/>
      </c>
    </row>
    <row r="2937" spans="1:30" ht="16.5" customHeight="1">
      <c r="A2937" s="318" t="str">
        <f>IF(B2937&lt;&gt;"",IF(AND(B2937='IN-TC'!$S$4,OR(TH!N2937="1111",TH!O2937="1111")),TH!D2937,""),"")</f>
        <v/>
      </c>
      <c r="B2937" s="60" t="str">
        <f t="shared" ref="B2937" si="336">IF(C2937&lt;&gt;"",MONTH(C2937),"")</f>
        <v/>
      </c>
      <c r="C2937" s="75"/>
      <c r="D2937" s="75"/>
      <c r="E2937" s="75"/>
      <c r="F2937" s="76"/>
      <c r="G2937" s="76"/>
      <c r="H2937" s="759"/>
      <c r="I2937" s="1247"/>
      <c r="J2937" s="391"/>
      <c r="K2937" s="1247"/>
      <c r="L2937" s="1248"/>
      <c r="M2937" s="78"/>
      <c r="N2937" s="79"/>
      <c r="O2937" s="79"/>
      <c r="P2937" s="79" t="str">
        <f>IF(AND('331-CT'!$E$7=TH!H2937,OR(N2937="331",O2937="331")),"x","")</f>
        <v/>
      </c>
      <c r="Q2937" s="79" t="str">
        <f>IF(AND(B2937='111'!$L$11,OR($N2937=$Q$7,$O2937=$Q$7)),"x","")</f>
        <v/>
      </c>
      <c r="R2937" s="79" t="str">
        <f>IF(AND($N2937=$Q$7,$B2937&lt;'111'!$L$11),"x","")</f>
        <v/>
      </c>
      <c r="S2937" s="79" t="str">
        <f>IF(AND($O2937=$Q$7,$B2937&lt;'111'!$L$11),"x","")</f>
        <v/>
      </c>
      <c r="T2937" s="79" t="str">
        <f>IF(ISERROR(FIND('112'!$M$9,G2937,1)),"",IF((AND(FIND('112'!$M$9,G2937,1)&gt;=1,B2937='112'!$K$9,OR($N2937='112'!$I$6,$O2937='112'!$I$6))),"x",""))</f>
        <v/>
      </c>
      <c r="U2937" s="79" t="str">
        <f>IF(ISERROR(FIND('112'!$M$9,G2937,1)),"",IF((AND(LEFT(G2937,2)=LEFT('112'!$M$9,2),B2937&lt;'112'!$K$9,$N2937='112'!$I$6)),"x",""))</f>
        <v/>
      </c>
      <c r="V2937" s="79" t="str">
        <f>IF(ISERROR(FIND('112'!$M$9,G2937,1)),"",IF((AND(RIGHT(G2937,2)=RIGHT('112'!$M$9,2),B2937&lt;'112'!$K$9,$O2937='112'!$I$6)),"x",""))</f>
        <v/>
      </c>
      <c r="W2937" s="79" t="str">
        <f>IF(AND('341-CT'!$H$9=H2937,OR(LEFT(N2937,3)=$W$7,LEFT(O2937,3)=$W$7)),"x","")</f>
        <v/>
      </c>
      <c r="X2937" s="79" t="str">
        <f>IF(OR(TH!N2937=TH!$X$7,O2937=TH!$X$7),"x","")</f>
        <v/>
      </c>
      <c r="Y2937" s="79" t="str">
        <f>IF(AND(OR(N2937="131",O2937="131"),H2937='131-CT'!$H$9),"x","")</f>
        <v/>
      </c>
      <c r="Z2937" s="79"/>
      <c r="AA2937" s="79" t="str">
        <f>IF(AND(MONTH(E2937)='IN-NX'!$J$5,'IN-NX'!$D$7=D2937),"x","")</f>
        <v/>
      </c>
      <c r="AB2937" s="79" t="str">
        <f>IF(AND(OR(LEFT(TH!N2937,2)="15",LEFT(TH!O2937,2)="15"),LEFT(TH!O2937,3)&lt;&gt;"111",'152-CT'!$J$8=TH!F2937),"x","")</f>
        <v/>
      </c>
      <c r="AC2937" s="79" t="str">
        <f>IF(AND(OR(LEFT(TH!N2937,2)="15",LEFT(TH!O2937,2)="15"),TK!$E$7=TH!F2937),"x","")</f>
        <v/>
      </c>
      <c r="AD2937" s="79" t="str">
        <f>IF(AND(N2937="1521",MONTH(C2937)='BK-NL'!$M$11),"x","")</f>
        <v/>
      </c>
    </row>
    <row r="2938" spans="1:30" ht="16.5" customHeight="1">
      <c r="A2938" s="318" t="str">
        <f>IF(B2938&lt;&gt;"",IF(AND(B2938='IN-TC'!$S$4,OR(TH!N2938="1111",TH!O2938="1111")),TH!D2938,""),"")</f>
        <v/>
      </c>
      <c r="B2938" s="60" t="str">
        <f t="shared" si="333"/>
        <v/>
      </c>
      <c r="C2938" s="75"/>
      <c r="D2938" s="75"/>
      <c r="E2938" s="75"/>
      <c r="F2938" s="76"/>
      <c r="G2938" s="76"/>
      <c r="H2938" s="77"/>
      <c r="I2938" s="1247"/>
      <c r="J2938" s="391"/>
      <c r="K2938" s="1247"/>
      <c r="L2938" s="1248"/>
      <c r="M2938" s="78"/>
      <c r="N2938" s="79"/>
      <c r="O2938" s="79"/>
      <c r="P2938" s="79" t="str">
        <f>IF(AND('331-CT'!$E$7=TH!H2938,OR(N2938="331",O2938="331")),"x","")</f>
        <v/>
      </c>
      <c r="Q2938" s="79" t="str">
        <f>IF(AND(B2938='111'!$L$11,OR($N2938=$Q$7,$O2938=$Q$7)),"x","")</f>
        <v/>
      </c>
      <c r="R2938" s="79" t="str">
        <f>IF(AND($N2938=$Q$7,$B2938&lt;'111'!$L$11),"x","")</f>
        <v/>
      </c>
      <c r="S2938" s="79" t="str">
        <f>IF(AND($O2938=$Q$7,$B2938&lt;'111'!$L$11),"x","")</f>
        <v/>
      </c>
      <c r="T2938" s="79" t="str">
        <f>IF(ISERROR(FIND('112'!$M$9,G2938,1)),"",IF((AND(FIND('112'!$M$9,G2938,1)&gt;=1,B2938='112'!$K$9,OR($N2938='112'!$I$6,$O2938='112'!$I$6))),"x",""))</f>
        <v/>
      </c>
      <c r="U2938" s="79" t="str">
        <f>IF(ISERROR(FIND('112'!$M$9,G2938,1)),"",IF((AND(LEFT(G2938,2)=LEFT('112'!$M$9,2),B2938&lt;'112'!$K$9,$N2938='112'!$I$6)),"x",""))</f>
        <v/>
      </c>
      <c r="V2938" s="79" t="str">
        <f>IF(ISERROR(FIND('112'!$M$9,G2938,1)),"",IF((AND(RIGHT(G2938,2)=RIGHT('112'!$M$9,2),B2938&lt;'112'!$K$9,$O2938='112'!$I$6)),"x",""))</f>
        <v/>
      </c>
      <c r="W2938" s="79" t="str">
        <f>IF(AND('341-CT'!$H$9=H2938,OR(LEFT(N2938,3)=$W$7,LEFT(O2938,3)=$W$7)),"x","")</f>
        <v/>
      </c>
      <c r="X2938" s="79" t="str">
        <f>IF(OR(TH!N2938=TH!$X$7,O2938=TH!$X$7),"x","")</f>
        <v/>
      </c>
      <c r="Y2938" s="79" t="str">
        <f>IF(AND(OR(N2938="131",O2938="131"),H2938='131-CT'!$H$9),"x","")</f>
        <v/>
      </c>
      <c r="Z2938" s="79"/>
      <c r="AA2938" s="79" t="str">
        <f>IF(AND(MONTH(E2938)='IN-NX'!$J$5,'IN-NX'!$D$7=D2938),"x","")</f>
        <v/>
      </c>
      <c r="AB2938" s="79" t="str">
        <f>IF(AND(OR(LEFT(TH!N2938,2)="15",LEFT(TH!O2938,2)="15"),LEFT(TH!O2938,3)&lt;&gt;"111",'152-CT'!$J$8=TH!F2938),"x","")</f>
        <v/>
      </c>
      <c r="AC2938" s="79" t="str">
        <f>IF(AND(OR(LEFT(TH!N2938,2)="15",LEFT(TH!O2938,2)="15"),TK!$E$7=TH!F2938),"x","")</f>
        <v/>
      </c>
      <c r="AD2938" s="79" t="str">
        <f>IF(AND(N2938="1521",MONTH(C2938)='BK-NL'!$M$11),"x","")</f>
        <v/>
      </c>
    </row>
    <row r="2939" spans="1:30" ht="16.5" customHeight="1">
      <c r="A2939" s="318" t="str">
        <f>IF(B2939&lt;&gt;"",IF(AND(B2939='IN-TC'!$S$4,OR(TH!N2939="1111",TH!O2939="1111")),TH!D2939,""),"")</f>
        <v/>
      </c>
      <c r="B2939" s="60" t="str">
        <f t="shared" si="333"/>
        <v/>
      </c>
      <c r="C2939" s="75"/>
      <c r="D2939" s="75"/>
      <c r="E2939" s="75"/>
      <c r="F2939" s="76"/>
      <c r="G2939" s="76"/>
      <c r="H2939" s="77"/>
      <c r="I2939" s="383"/>
      <c r="J2939" s="391"/>
      <c r="K2939" s="383"/>
      <c r="L2939" s="390"/>
      <c r="M2939" s="78"/>
      <c r="N2939" s="79"/>
      <c r="O2939" s="79"/>
      <c r="P2939" s="79" t="str">
        <f>IF(AND('331-CT'!$E$7=TH!H2939,OR(N2939="331",O2939="331")),"x","")</f>
        <v/>
      </c>
      <c r="Q2939" s="79" t="str">
        <f>IF(AND(B2939='111'!$L$11,OR($N2939=$Q$7,$O2939=$Q$7)),"x","")</f>
        <v/>
      </c>
      <c r="R2939" s="79" t="str">
        <f>IF(AND($N2939=$Q$7,$B2939&lt;'111'!$L$11),"x","")</f>
        <v/>
      </c>
      <c r="S2939" s="79" t="str">
        <f>IF(AND($O2939=$Q$7,$B2939&lt;'111'!$L$11),"x","")</f>
        <v/>
      </c>
      <c r="T2939" s="79" t="str">
        <f>IF(ISERROR(FIND('112'!$M$9,G2939,1)),"",IF((AND(FIND('112'!$M$9,G2939,1)&gt;=1,B2939='112'!$K$9,OR($N2939='112'!$I$6,$O2939='112'!$I$6))),"x",""))</f>
        <v/>
      </c>
      <c r="U2939" s="79" t="str">
        <f>IF(ISERROR(FIND('112'!$M$9,G2939,1)),"",IF((AND(LEFT(G2939,2)=LEFT('112'!$M$9,2),B2939&lt;'112'!$K$9,$N2939='112'!$I$6)),"x",""))</f>
        <v/>
      </c>
      <c r="V2939" s="79" t="str">
        <f>IF(ISERROR(FIND('112'!$M$9,G2939,1)),"",IF((AND(RIGHT(G2939,2)=RIGHT('112'!$M$9,2),B2939&lt;'112'!$K$9,$O2939='112'!$I$6)),"x",""))</f>
        <v/>
      </c>
      <c r="W2939" s="79" t="str">
        <f>IF(AND('341-CT'!$H$9=H2939,OR(LEFT(N2939,3)=$W$7,LEFT(O2939,3)=$W$7)),"x","")</f>
        <v/>
      </c>
      <c r="X2939" s="79" t="str">
        <f>IF(OR(TH!N2939=TH!$X$7,O2939=TH!$X$7),"x","")</f>
        <v/>
      </c>
      <c r="Y2939" s="79" t="str">
        <f>IF(AND(OR(N2939="131",O2939="131"),H2939='131-CT'!$H$9),"x","")</f>
        <v/>
      </c>
      <c r="Z2939" s="79"/>
      <c r="AA2939" s="79" t="str">
        <f>IF(AND(MONTH(E2939)='IN-NX'!$J$5,'IN-NX'!$D$7=D2939),"x","")</f>
        <v/>
      </c>
      <c r="AB2939" s="79" t="str">
        <f>IF(AND(OR(LEFT(TH!N2939,2)="15",LEFT(TH!O2939,2)="15"),LEFT(TH!O2939,3)&lt;&gt;"111",'152-CT'!$J$8=TH!F2939),"x","")</f>
        <v/>
      </c>
      <c r="AC2939" s="79" t="str">
        <f>IF(AND(OR(LEFT(TH!N2939,2)="15",LEFT(TH!O2939,2)="15"),TK!$E$7=TH!F2939),"x","")</f>
        <v/>
      </c>
      <c r="AD2939" s="79" t="str">
        <f>IF(AND(N2939="1521",MONTH(C2939)='BK-NL'!$M$11),"x","")</f>
        <v/>
      </c>
    </row>
    <row r="2940" spans="1:30" ht="16.5" customHeight="1">
      <c r="A2940" s="318" t="str">
        <f>IF(B2940&lt;&gt;"",IF(AND(B2940='IN-TC'!$S$4,OR(TH!N2940="1111",TH!O2940="1111")),TH!D2940,""),"")</f>
        <v/>
      </c>
      <c r="B2940" s="60" t="str">
        <f t="shared" si="333"/>
        <v/>
      </c>
      <c r="C2940" s="75"/>
      <c r="D2940" s="75"/>
      <c r="E2940" s="75"/>
      <c r="F2940" s="76"/>
      <c r="G2940" s="76"/>
      <c r="H2940" s="77"/>
      <c r="I2940" s="383"/>
      <c r="J2940" s="391"/>
      <c r="K2940" s="383"/>
      <c r="L2940" s="390"/>
      <c r="M2940" s="78"/>
      <c r="N2940" s="79"/>
      <c r="O2940" s="79"/>
      <c r="P2940" s="79" t="str">
        <f>IF(AND('331-CT'!$E$7=TH!H2940,OR(N2940="331",O2940="331")),"x","")</f>
        <v/>
      </c>
      <c r="Q2940" s="79" t="str">
        <f>IF(AND(B2940='111'!$L$11,OR($N2940=$Q$7,$O2940=$Q$7)),"x","")</f>
        <v/>
      </c>
      <c r="R2940" s="79" t="str">
        <f>IF(AND($N2940=$Q$7,$B2940&lt;'111'!$L$11),"x","")</f>
        <v/>
      </c>
      <c r="S2940" s="79" t="str">
        <f>IF(AND($O2940=$Q$7,$B2940&lt;'111'!$L$11),"x","")</f>
        <v/>
      </c>
      <c r="T2940" s="79" t="str">
        <f>IF(ISERROR(FIND('112'!$M$9,G2940,1)),"",IF((AND(FIND('112'!$M$9,G2940,1)&gt;=1,B2940='112'!$K$9,OR($N2940='112'!$I$6,$O2940='112'!$I$6))),"x",""))</f>
        <v/>
      </c>
      <c r="U2940" s="79" t="str">
        <f>IF(ISERROR(FIND('112'!$M$9,G2940,1)),"",IF((AND(LEFT(G2940,2)=LEFT('112'!$M$9,2),B2940&lt;'112'!$K$9,$N2940='112'!$I$6)),"x",""))</f>
        <v/>
      </c>
      <c r="V2940" s="79" t="str">
        <f>IF(ISERROR(FIND('112'!$M$9,G2940,1)),"",IF((AND(RIGHT(G2940,2)=RIGHT('112'!$M$9,2),B2940&lt;'112'!$K$9,$O2940='112'!$I$6)),"x",""))</f>
        <v/>
      </c>
      <c r="W2940" s="79" t="str">
        <f>IF(AND('341-CT'!$H$9=H2940,OR(LEFT(N2940,3)=$W$7,LEFT(O2940,3)=$W$7)),"x","")</f>
        <v/>
      </c>
      <c r="X2940" s="79" t="str">
        <f>IF(OR(TH!N2940=TH!$X$7,O2940=TH!$X$7),"x","")</f>
        <v/>
      </c>
      <c r="Y2940" s="79" t="str">
        <f>IF(AND(OR(N2940="131",O2940="131"),H2940='131-CT'!$H$9),"x","")</f>
        <v/>
      </c>
      <c r="Z2940" s="79"/>
      <c r="AA2940" s="79" t="str">
        <f>IF(AND(MONTH(E2940)='IN-NX'!$J$5,'IN-NX'!$D$7=D2940),"x","")</f>
        <v/>
      </c>
      <c r="AB2940" s="79" t="str">
        <f>IF(AND(OR(LEFT(TH!N2940,2)="15",LEFT(TH!O2940,2)="15"),LEFT(TH!O2940,3)&lt;&gt;"111",'152-CT'!$J$8=TH!F2940),"x","")</f>
        <v/>
      </c>
      <c r="AC2940" s="79" t="str">
        <f>IF(AND(OR(LEFT(TH!N2940,2)="15",LEFT(TH!O2940,2)="15"),TK!$E$7=TH!F2940),"x","")</f>
        <v/>
      </c>
      <c r="AD2940" s="79" t="str">
        <f>IF(AND(N2940="1521",MONTH(C2940)='BK-NL'!$M$11),"x","")</f>
        <v/>
      </c>
    </row>
    <row r="2941" spans="1:30" ht="16.5" customHeight="1">
      <c r="A2941" s="318" t="str">
        <f>IF(B2941&lt;&gt;"",IF(AND(B2941='IN-TC'!$S$4,OR(TH!N2941="1111",TH!O2941="1111")),TH!D2941,""),"")</f>
        <v/>
      </c>
      <c r="B2941" s="60" t="str">
        <f t="shared" si="333"/>
        <v/>
      </c>
      <c r="C2941" s="75"/>
      <c r="D2941" s="75"/>
      <c r="E2941" s="75"/>
      <c r="F2941" s="76"/>
      <c r="G2941" s="76"/>
      <c r="H2941" s="77"/>
      <c r="I2941" s="1247"/>
      <c r="J2941" s="1248"/>
      <c r="K2941" s="1247"/>
      <c r="L2941" s="390"/>
      <c r="M2941" s="78"/>
      <c r="N2941" s="79"/>
      <c r="O2941" s="79"/>
      <c r="P2941" s="79" t="str">
        <f>IF(AND('331-CT'!$E$7=TH!H2941,OR(N2941="331",O2941="331")),"x","")</f>
        <v/>
      </c>
      <c r="Q2941" s="79" t="str">
        <f>IF(AND(B2941='111'!$L$11,OR($N2941=$Q$7,$O2941=$Q$7)),"x","")</f>
        <v/>
      </c>
      <c r="R2941" s="79" t="str">
        <f>IF(AND($N2941=$Q$7,$B2941&lt;'111'!$L$11),"x","")</f>
        <v/>
      </c>
      <c r="S2941" s="79" t="str">
        <f>IF(AND($O2941=$Q$7,$B2941&lt;'111'!$L$11),"x","")</f>
        <v/>
      </c>
      <c r="T2941" s="79" t="str">
        <f>IF(ISERROR(FIND('112'!$M$9,G2941,1)),"",IF((AND(FIND('112'!$M$9,G2941,1)&gt;=1,B2941='112'!$K$9,OR($N2941='112'!$I$6,$O2941='112'!$I$6))),"x",""))</f>
        <v/>
      </c>
      <c r="U2941" s="79" t="str">
        <f>IF(ISERROR(FIND('112'!$M$9,G2941,1)),"",IF((AND(LEFT(G2941,2)=LEFT('112'!$M$9,2),B2941&lt;'112'!$K$9,$N2941='112'!$I$6)),"x",""))</f>
        <v/>
      </c>
      <c r="V2941" s="79" t="str">
        <f>IF(ISERROR(FIND('112'!$M$9,G2941,1)),"",IF((AND(RIGHT(G2941,2)=RIGHT('112'!$M$9,2),B2941&lt;'112'!$K$9,$O2941='112'!$I$6)),"x",""))</f>
        <v/>
      </c>
      <c r="W2941" s="79" t="str">
        <f>IF(AND('341-CT'!$H$9=H2941,OR(LEFT(N2941,3)=$W$7,LEFT(O2941,3)=$W$7)),"x","")</f>
        <v/>
      </c>
      <c r="X2941" s="79" t="str">
        <f>IF(OR(TH!N2941=TH!$X$7,O2941=TH!$X$7),"x","")</f>
        <v/>
      </c>
      <c r="Y2941" s="79" t="str">
        <f>IF(AND(OR(N2941="131",O2941="131"),H2941='131-CT'!$H$9),"x","")</f>
        <v/>
      </c>
      <c r="Z2941" s="79"/>
      <c r="AA2941" s="79" t="str">
        <f>IF(AND(MONTH(E2941)='IN-NX'!$J$5,'IN-NX'!$D$7=D2941),"x","")</f>
        <v/>
      </c>
      <c r="AB2941" s="79" t="str">
        <f>IF(AND(OR(LEFT(TH!N2941,2)="15",LEFT(TH!O2941,2)="15"),LEFT(TH!O2941,3)&lt;&gt;"111",'152-CT'!$J$8=TH!F2941),"x","")</f>
        <v/>
      </c>
      <c r="AC2941" s="79" t="str">
        <f>IF(AND(OR(LEFT(TH!N2941,2)="15",LEFT(TH!O2941,2)="15"),TK!$E$7=TH!F2941),"x","")</f>
        <v/>
      </c>
      <c r="AD2941" s="79" t="str">
        <f>IF(AND(N2941="1521",MONTH(C2941)='BK-NL'!$M$11),"x","")</f>
        <v/>
      </c>
    </row>
    <row r="2942" spans="1:30" ht="16.5" customHeight="1">
      <c r="A2942" s="318" t="str">
        <f>IF(B2942&lt;&gt;"",IF(AND(B2942='IN-TC'!$S$4,OR(TH!N2942="1111",TH!O2942="1111")),TH!D2942,""),"")</f>
        <v/>
      </c>
      <c r="B2942" s="60" t="str">
        <f t="shared" si="333"/>
        <v/>
      </c>
      <c r="C2942" s="75"/>
      <c r="D2942" s="75"/>
      <c r="E2942" s="75"/>
      <c r="F2942" s="975"/>
      <c r="G2942" s="76"/>
      <c r="H2942" s="77"/>
      <c r="I2942" s="1247"/>
      <c r="J2942" s="1248"/>
      <c r="K2942" s="1247"/>
      <c r="L2942" s="390"/>
      <c r="M2942" s="78"/>
      <c r="N2942" s="79"/>
      <c r="O2942" s="79"/>
      <c r="P2942" s="79" t="str">
        <f>IF(AND('331-CT'!$E$7=TH!H2942,OR(N2942="331",O2942="331")),"x","")</f>
        <v/>
      </c>
      <c r="Q2942" s="79" t="str">
        <f>IF(AND(B2942='111'!$L$11,OR($N2942=$Q$7,$O2942=$Q$7)),"x","")</f>
        <v/>
      </c>
      <c r="R2942" s="79" t="str">
        <f>IF(AND($N2942=$Q$7,$B2942&lt;'111'!$L$11),"x","")</f>
        <v/>
      </c>
      <c r="S2942" s="79" t="str">
        <f>IF(AND($O2942=$Q$7,$B2942&lt;'111'!$L$11),"x","")</f>
        <v/>
      </c>
      <c r="T2942" s="79" t="str">
        <f>IF(ISERROR(FIND('112'!$M$9,G2942,1)),"",IF((AND(FIND('112'!$M$9,G2942,1)&gt;=1,B2942='112'!$K$9,OR($N2942='112'!$I$6,$O2942='112'!$I$6))),"x",""))</f>
        <v/>
      </c>
      <c r="U2942" s="79" t="str">
        <f>IF(ISERROR(FIND('112'!$M$9,G2942,1)),"",IF((AND(LEFT(G2942,2)=LEFT('112'!$M$9,2),B2942&lt;'112'!$K$9,$N2942='112'!$I$6)),"x",""))</f>
        <v/>
      </c>
      <c r="V2942" s="79" t="str">
        <f>IF(ISERROR(FIND('112'!$M$9,G2942,1)),"",IF((AND(RIGHT(G2942,2)=RIGHT('112'!$M$9,2),B2942&lt;'112'!$K$9,$O2942='112'!$I$6)),"x",""))</f>
        <v/>
      </c>
      <c r="W2942" s="79" t="str">
        <f>IF(AND('341-CT'!$H$9=H2942,OR(LEFT(N2942,3)=$W$7,LEFT(O2942,3)=$W$7)),"x","")</f>
        <v/>
      </c>
      <c r="X2942" s="79" t="str">
        <f>IF(OR(TH!N2942=TH!$X$7,O2942=TH!$X$7),"x","")</f>
        <v/>
      </c>
      <c r="Y2942" s="79" t="str">
        <f>IF(AND(OR(N2942="131",O2942="131"),H2942='131-CT'!$H$9),"x","")</f>
        <v/>
      </c>
      <c r="Z2942" s="79"/>
      <c r="AA2942" s="79" t="str">
        <f>IF(AND(MONTH(E2942)='IN-NX'!$J$5,'IN-NX'!$D$7=D2942),"x","")</f>
        <v/>
      </c>
      <c r="AB2942" s="79" t="str">
        <f>IF(AND(OR(LEFT(TH!N2942,2)="15",LEFT(TH!O2942,2)="15"),LEFT(TH!O2942,3)&lt;&gt;"111",'152-CT'!$J$8=TH!F2942),"x","")</f>
        <v/>
      </c>
      <c r="AC2942" s="79" t="str">
        <f>IF(AND(OR(LEFT(TH!N2942,2)="15",LEFT(TH!O2942,2)="15"),TK!$E$7=TH!F2942),"x","")</f>
        <v/>
      </c>
      <c r="AD2942" s="79" t="str">
        <f>IF(AND(N2942="1521",MONTH(C2942)='BK-NL'!$M$11),"x","")</f>
        <v/>
      </c>
    </row>
    <row r="2943" spans="1:30" ht="16.5" customHeight="1">
      <c r="A2943" s="318" t="str">
        <f>IF(B2943&lt;&gt;"",IF(AND(B2943='IN-TC'!$S$4,OR(TH!N2943="1111",TH!O2943="1111")),TH!D2943,""),"")</f>
        <v/>
      </c>
      <c r="B2943" s="60" t="str">
        <f t="shared" si="333"/>
        <v/>
      </c>
      <c r="C2943" s="75"/>
      <c r="D2943" s="75"/>
      <c r="E2943" s="75"/>
      <c r="F2943" s="76"/>
      <c r="G2943" s="76"/>
      <c r="H2943" s="77"/>
      <c r="I2943" s="1247"/>
      <c r="J2943" s="391"/>
      <c r="K2943" s="1247"/>
      <c r="L2943" s="1248"/>
      <c r="M2943" s="78"/>
      <c r="N2943" s="79"/>
      <c r="O2943" s="79"/>
      <c r="P2943" s="79" t="str">
        <f>IF(AND('331-CT'!$E$7=TH!H2943,OR(N2943="331",O2943="331")),"x","")</f>
        <v/>
      </c>
      <c r="Q2943" s="79" t="str">
        <f>IF(AND(B2943='111'!$L$11,OR($N2943=$Q$7,$O2943=$Q$7)),"x","")</f>
        <v/>
      </c>
      <c r="R2943" s="79" t="str">
        <f>IF(AND($N2943=$Q$7,$B2943&lt;'111'!$L$11),"x","")</f>
        <v/>
      </c>
      <c r="S2943" s="79" t="str">
        <f>IF(AND($O2943=$Q$7,$B2943&lt;'111'!$L$11),"x","")</f>
        <v/>
      </c>
      <c r="T2943" s="79" t="str">
        <f>IF(ISERROR(FIND('112'!$M$9,G2943,1)),"",IF((AND(FIND('112'!$M$9,G2943,1)&gt;=1,B2943='112'!$K$9,OR($N2943='112'!$I$6,$O2943='112'!$I$6))),"x",""))</f>
        <v/>
      </c>
      <c r="U2943" s="79" t="str">
        <f>IF(ISERROR(FIND('112'!$M$9,G2943,1)),"",IF((AND(LEFT(G2943,2)=LEFT('112'!$M$9,2),B2943&lt;'112'!$K$9,$N2943='112'!$I$6)),"x",""))</f>
        <v/>
      </c>
      <c r="V2943" s="79" t="str">
        <f>IF(ISERROR(FIND('112'!$M$9,G2943,1)),"",IF((AND(RIGHT(G2943,2)=RIGHT('112'!$M$9,2),B2943&lt;'112'!$K$9,$O2943='112'!$I$6)),"x",""))</f>
        <v/>
      </c>
      <c r="W2943" s="79" t="str">
        <f>IF(AND('341-CT'!$H$9=H2943,OR(LEFT(N2943,3)=$W$7,LEFT(O2943,3)=$W$7)),"x","")</f>
        <v/>
      </c>
      <c r="X2943" s="79" t="str">
        <f>IF(OR(TH!N2943=TH!$X$7,O2943=TH!$X$7),"x","")</f>
        <v/>
      </c>
      <c r="Y2943" s="79" t="str">
        <f>IF(AND(OR(N2943="131",O2943="131"),H2943='131-CT'!$H$9),"x","")</f>
        <v/>
      </c>
      <c r="Z2943" s="79"/>
      <c r="AA2943" s="79" t="str">
        <f>IF(AND(MONTH(E2943)='IN-NX'!$J$5,'IN-NX'!$D$7=D2943),"x","")</f>
        <v/>
      </c>
      <c r="AB2943" s="79" t="str">
        <f>IF(AND(OR(LEFT(TH!N2943,2)="15",LEFT(TH!O2943,2)="15"),LEFT(TH!O2943,3)&lt;&gt;"111",'152-CT'!$J$8=TH!F2943),"x","")</f>
        <v/>
      </c>
      <c r="AC2943" s="79" t="str">
        <f>IF(AND(OR(LEFT(TH!N2943,2)="15",LEFT(TH!O2943,2)="15"),TK!$E$7=TH!F2943),"x","")</f>
        <v/>
      </c>
      <c r="AD2943" s="79" t="str">
        <f>IF(AND(N2943="1521",MONTH(C2943)='BK-NL'!$M$11),"x","")</f>
        <v/>
      </c>
    </row>
    <row r="2944" spans="1:30" ht="16.5" customHeight="1">
      <c r="A2944" s="318" t="str">
        <f>IF(B2944&lt;&gt;"",IF(AND(B2944='IN-TC'!$S$4,OR(TH!N2944="1111",TH!O2944="1111")),TH!D2944,""),"")</f>
        <v/>
      </c>
      <c r="B2944" s="60" t="str">
        <f t="shared" ref="B2944" si="337">IF(C2944&lt;&gt;"",MONTH(C2944),"")</f>
        <v/>
      </c>
      <c r="C2944" s="75"/>
      <c r="D2944" s="75"/>
      <c r="E2944" s="75"/>
      <c r="F2944" s="76"/>
      <c r="G2944" s="76"/>
      <c r="H2944" s="77"/>
      <c r="I2944" s="1247"/>
      <c r="J2944" s="391"/>
      <c r="K2944" s="1247"/>
      <c r="L2944" s="1248"/>
      <c r="M2944" s="78"/>
      <c r="N2944" s="79"/>
      <c r="O2944" s="79"/>
      <c r="P2944" s="79" t="str">
        <f>IF(AND('331-CT'!$E$7=TH!H2944,OR(N2944="331",O2944="331")),"x","")</f>
        <v/>
      </c>
      <c r="Q2944" s="79" t="str">
        <f>IF(AND(B2944='111'!$L$11,OR($N2944=$Q$7,$O2944=$Q$7)),"x","")</f>
        <v/>
      </c>
      <c r="R2944" s="79" t="str">
        <f>IF(AND($N2944=$Q$7,$B2944&lt;'111'!$L$11),"x","")</f>
        <v/>
      </c>
      <c r="S2944" s="79" t="str">
        <f>IF(AND($O2944=$Q$7,$B2944&lt;'111'!$L$11),"x","")</f>
        <v/>
      </c>
      <c r="T2944" s="79" t="str">
        <f>IF(ISERROR(FIND('112'!$M$9,G2944,1)),"",IF((AND(FIND('112'!$M$9,G2944,1)&gt;=1,B2944='112'!$K$9,OR($N2944='112'!$I$6,$O2944='112'!$I$6))),"x",""))</f>
        <v/>
      </c>
      <c r="U2944" s="79" t="str">
        <f>IF(ISERROR(FIND('112'!$M$9,G2944,1)),"",IF((AND(LEFT(G2944,2)=LEFT('112'!$M$9,2),B2944&lt;'112'!$K$9,$N2944='112'!$I$6)),"x",""))</f>
        <v/>
      </c>
      <c r="V2944" s="79" t="str">
        <f>IF(ISERROR(FIND('112'!$M$9,G2944,1)),"",IF((AND(RIGHT(G2944,2)=RIGHT('112'!$M$9,2),B2944&lt;'112'!$K$9,$O2944='112'!$I$6)),"x",""))</f>
        <v/>
      </c>
      <c r="W2944" s="79" t="str">
        <f>IF(AND('341-CT'!$H$9=H2944,OR(LEFT(N2944,3)=$W$7,LEFT(O2944,3)=$W$7)),"x","")</f>
        <v/>
      </c>
      <c r="X2944" s="79" t="str">
        <f>IF(OR(TH!N2944=TH!$X$7,O2944=TH!$X$7),"x","")</f>
        <v/>
      </c>
      <c r="Y2944" s="79" t="str">
        <f>IF(AND(OR(N2944="131",O2944="131"),H2944='131-CT'!$H$9),"x","")</f>
        <v/>
      </c>
      <c r="Z2944" s="79"/>
      <c r="AA2944" s="79" t="str">
        <f>IF(AND(MONTH(E2944)='IN-NX'!$J$5,'IN-NX'!$D$7=D2944),"x","")</f>
        <v/>
      </c>
      <c r="AB2944" s="79" t="str">
        <f>IF(AND(OR(LEFT(TH!N2944,2)="15",LEFT(TH!O2944,2)="15"),LEFT(TH!O2944,3)&lt;&gt;"111",'152-CT'!$J$8=TH!F2944),"x","")</f>
        <v/>
      </c>
      <c r="AC2944" s="79" t="str">
        <f>IF(AND(OR(LEFT(TH!N2944,2)="15",LEFT(TH!O2944,2)="15"),TK!$E$7=TH!F2944),"x","")</f>
        <v/>
      </c>
      <c r="AD2944" s="79" t="str">
        <f>IF(AND(N2944="1521",MONTH(C2944)='BK-NL'!$M$11),"x","")</f>
        <v/>
      </c>
    </row>
    <row r="2945" spans="1:30" ht="16.5" customHeight="1">
      <c r="A2945" s="318" t="str">
        <f>IF(B2945&lt;&gt;"",IF(AND(B2945='IN-TC'!$S$4,OR(TH!N2945="1111",TH!O2945="1111")),TH!D2945,""),"")</f>
        <v/>
      </c>
      <c r="B2945" s="60" t="str">
        <f t="shared" si="333"/>
        <v/>
      </c>
      <c r="C2945" s="75"/>
      <c r="D2945" s="75"/>
      <c r="E2945" s="75"/>
      <c r="F2945" s="76"/>
      <c r="G2945" s="76"/>
      <c r="H2945" s="77"/>
      <c r="I2945" s="1247"/>
      <c r="J2945" s="391"/>
      <c r="K2945" s="1247"/>
      <c r="L2945" s="1248"/>
      <c r="M2945" s="78"/>
      <c r="N2945" s="79"/>
      <c r="O2945" s="79"/>
      <c r="P2945" s="79" t="str">
        <f>IF(AND('331-CT'!$E$7=TH!H2945,OR(N2945="331",O2945="331")),"x","")</f>
        <v/>
      </c>
      <c r="Q2945" s="79" t="str">
        <f>IF(AND(B2945='111'!$L$11,OR($N2945=$Q$7,$O2945=$Q$7)),"x","")</f>
        <v/>
      </c>
      <c r="R2945" s="79" t="str">
        <f>IF(AND($N2945=$Q$7,$B2945&lt;'111'!$L$11),"x","")</f>
        <v/>
      </c>
      <c r="S2945" s="79" t="str">
        <f>IF(AND($O2945=$Q$7,$B2945&lt;'111'!$L$11),"x","")</f>
        <v/>
      </c>
      <c r="T2945" s="79" t="str">
        <f>IF(ISERROR(FIND('112'!$M$9,G2945,1)),"",IF((AND(FIND('112'!$M$9,G2945,1)&gt;=1,B2945='112'!$K$9,OR($N2945='112'!$I$6,$O2945='112'!$I$6))),"x",""))</f>
        <v/>
      </c>
      <c r="U2945" s="79" t="str">
        <f>IF(ISERROR(FIND('112'!$M$9,G2945,1)),"",IF((AND(LEFT(G2945,2)=LEFT('112'!$M$9,2),B2945&lt;'112'!$K$9,$N2945='112'!$I$6)),"x",""))</f>
        <v/>
      </c>
      <c r="V2945" s="79" t="str">
        <f>IF(ISERROR(FIND('112'!$M$9,G2945,1)),"",IF((AND(RIGHT(G2945,2)=RIGHT('112'!$M$9,2),B2945&lt;'112'!$K$9,$O2945='112'!$I$6)),"x",""))</f>
        <v/>
      </c>
      <c r="W2945" s="79" t="str">
        <f>IF(AND('341-CT'!$H$9=H2945,OR(LEFT(N2945,3)=$W$7,LEFT(O2945,3)=$W$7)),"x","")</f>
        <v/>
      </c>
      <c r="X2945" s="79" t="str">
        <f>IF(OR(TH!N2945=TH!$X$7,O2945=TH!$X$7),"x","")</f>
        <v/>
      </c>
      <c r="Y2945" s="79" t="str">
        <f>IF(AND(OR(N2945="131",O2945="131"),H2945='131-CT'!$H$9),"x","")</f>
        <v/>
      </c>
      <c r="Z2945" s="79"/>
      <c r="AA2945" s="79" t="str">
        <f>IF(AND(MONTH(E2945)='IN-NX'!$J$5,'IN-NX'!$D$7=D2945),"x","")</f>
        <v/>
      </c>
      <c r="AB2945" s="79" t="str">
        <f>IF(AND(OR(LEFT(TH!N2945,2)="15",LEFT(TH!O2945,2)="15"),LEFT(TH!O2945,3)&lt;&gt;"111",'152-CT'!$J$8=TH!F2945),"x","")</f>
        <v/>
      </c>
      <c r="AC2945" s="79" t="str">
        <f>IF(AND(OR(LEFT(TH!N2945,2)="15",LEFT(TH!O2945,2)="15"),TK!$E$7=TH!F2945),"x","")</f>
        <v/>
      </c>
      <c r="AD2945" s="79" t="str">
        <f>IF(AND(N2945="1521",MONTH(C2945)='BK-NL'!$M$11),"x","")</f>
        <v/>
      </c>
    </row>
    <row r="2946" spans="1:30" ht="16.5" customHeight="1">
      <c r="A2946" s="318" t="str">
        <f>IF(B2946&lt;&gt;"",IF(AND(B2946='IN-TC'!$S$4,OR(TH!N2946="1111",TH!O2946="1111")),TH!D2946,""),"")</f>
        <v/>
      </c>
      <c r="B2946" s="60" t="str">
        <f t="shared" si="333"/>
        <v/>
      </c>
      <c r="C2946" s="75"/>
      <c r="D2946" s="75"/>
      <c r="E2946" s="75"/>
      <c r="F2946" s="76"/>
      <c r="G2946" s="76"/>
      <c r="H2946" s="77"/>
      <c r="I2946" s="383"/>
      <c r="J2946" s="390"/>
      <c r="K2946" s="383"/>
      <c r="L2946" s="390"/>
      <c r="M2946" s="78"/>
      <c r="N2946" s="79"/>
      <c r="O2946" s="79"/>
      <c r="P2946" s="79" t="str">
        <f>IF(AND('331-CT'!$E$7=TH!H2946,OR(N2946="331",O2946="331")),"x","")</f>
        <v/>
      </c>
      <c r="Q2946" s="79" t="str">
        <f>IF(AND(B2946='111'!$L$11,OR($N2946=$Q$7,$O2946=$Q$7)),"x","")</f>
        <v/>
      </c>
      <c r="R2946" s="79" t="str">
        <f>IF(AND($N2946=$Q$7,$B2946&lt;'111'!$L$11),"x","")</f>
        <v/>
      </c>
      <c r="S2946" s="79" t="str">
        <f>IF(AND($O2946=$Q$7,$B2946&lt;'111'!$L$11),"x","")</f>
        <v/>
      </c>
      <c r="T2946" s="79" t="str">
        <f>IF(ISERROR(FIND('112'!$M$9,G2946,1)),"",IF((AND(FIND('112'!$M$9,G2946,1)&gt;=1,B2946='112'!$K$9,OR($N2946='112'!$I$6,$O2946='112'!$I$6))),"x",""))</f>
        <v/>
      </c>
      <c r="U2946" s="79" t="str">
        <f>IF(ISERROR(FIND('112'!$M$9,G2946,1)),"",IF((AND(LEFT(G2946,2)=LEFT('112'!$M$9,2),B2946&lt;'112'!$K$9,$N2946='112'!$I$6)),"x",""))</f>
        <v/>
      </c>
      <c r="V2946" s="79" t="str">
        <f>IF(ISERROR(FIND('112'!$M$9,G2946,1)),"",IF((AND(RIGHT(G2946,2)=RIGHT('112'!$M$9,2),B2946&lt;'112'!$K$9,$O2946='112'!$I$6)),"x",""))</f>
        <v/>
      </c>
      <c r="W2946" s="79" t="str">
        <f>IF(AND('341-CT'!$H$9=H2946,OR(LEFT(N2946,3)=$W$7,LEFT(O2946,3)=$W$7)),"x","")</f>
        <v/>
      </c>
      <c r="X2946" s="79" t="str">
        <f>IF(OR(TH!N2946=TH!$X$7,O2946=TH!$X$7),"x","")</f>
        <v/>
      </c>
      <c r="Y2946" s="79" t="str">
        <f>IF(AND(OR(N2946="131",O2946="131"),H2946='131-CT'!$H$9),"x","")</f>
        <v/>
      </c>
      <c r="Z2946" s="79"/>
      <c r="AA2946" s="79" t="str">
        <f>IF(AND(MONTH(E2946)='IN-NX'!$J$5,'IN-NX'!$D$7=D2946),"x","")</f>
        <v/>
      </c>
      <c r="AB2946" s="79" t="str">
        <f>IF(AND(OR(LEFT(TH!N2946,2)="15",LEFT(TH!O2946,2)="15"),LEFT(TH!O2946,3)&lt;&gt;"111",'152-CT'!$J$8=TH!F2946),"x","")</f>
        <v/>
      </c>
      <c r="AC2946" s="79" t="str">
        <f>IF(AND(OR(LEFT(TH!N2946,2)="15",LEFT(TH!O2946,2)="15"),TK!$E$7=TH!F2946),"x","")</f>
        <v/>
      </c>
      <c r="AD2946" s="79" t="str">
        <f>IF(AND(N2946="1521",MONTH(C2946)='BK-NL'!$M$11),"x","")</f>
        <v/>
      </c>
    </row>
    <row r="2947" spans="1:30" ht="16.5" customHeight="1">
      <c r="A2947" s="318" t="str">
        <f>IF(B2947&lt;&gt;"",IF(AND(B2947='IN-TC'!$S$4,OR(TH!N2947="1111",TH!O2947="1111")),TH!D2947,""),"")</f>
        <v/>
      </c>
      <c r="B2947" s="60" t="str">
        <f t="shared" si="333"/>
        <v/>
      </c>
      <c r="C2947" s="75"/>
      <c r="D2947" s="75"/>
      <c r="E2947" s="75"/>
      <c r="F2947" s="76"/>
      <c r="G2947" s="76"/>
      <c r="H2947" s="77"/>
      <c r="I2947" s="1247"/>
      <c r="J2947" s="391"/>
      <c r="K2947" s="1247"/>
      <c r="L2947" s="1248"/>
      <c r="M2947" s="78"/>
      <c r="N2947" s="79"/>
      <c r="O2947" s="79"/>
      <c r="P2947" s="79" t="str">
        <f>IF(AND('331-CT'!$E$7=TH!H2947,OR(N2947="331",O2947="331")),"x","")</f>
        <v/>
      </c>
      <c r="Q2947" s="79" t="str">
        <f>IF(AND(B2947='111'!$L$11,OR($N2947=$Q$7,$O2947=$Q$7)),"x","")</f>
        <v/>
      </c>
      <c r="R2947" s="79" t="str">
        <f>IF(AND($N2947=$Q$7,$B2947&lt;'111'!$L$11),"x","")</f>
        <v/>
      </c>
      <c r="S2947" s="79" t="str">
        <f>IF(AND($O2947=$Q$7,$B2947&lt;'111'!$L$11),"x","")</f>
        <v/>
      </c>
      <c r="T2947" s="79" t="str">
        <f>IF(ISERROR(FIND('112'!$M$9,G2947,1)),"",IF((AND(FIND('112'!$M$9,G2947,1)&gt;=1,B2947='112'!$K$9,OR($N2947='112'!$I$6,$O2947='112'!$I$6))),"x",""))</f>
        <v/>
      </c>
      <c r="U2947" s="79" t="str">
        <f>IF(ISERROR(FIND('112'!$M$9,G2947,1)),"",IF((AND(LEFT(G2947,2)=LEFT('112'!$M$9,2),B2947&lt;'112'!$K$9,$N2947='112'!$I$6)),"x",""))</f>
        <v/>
      </c>
      <c r="V2947" s="79" t="str">
        <f>IF(ISERROR(FIND('112'!$M$9,G2947,1)),"",IF((AND(RIGHT(G2947,2)=RIGHT('112'!$M$9,2),B2947&lt;'112'!$K$9,$O2947='112'!$I$6)),"x",""))</f>
        <v/>
      </c>
      <c r="W2947" s="79" t="str">
        <f>IF(AND('341-CT'!$H$9=H2947,OR(LEFT(N2947,3)=$W$7,LEFT(O2947,3)=$W$7)),"x","")</f>
        <v/>
      </c>
      <c r="X2947" s="79" t="str">
        <f>IF(OR(TH!N2947=TH!$X$7,O2947=TH!$X$7),"x","")</f>
        <v/>
      </c>
      <c r="Y2947" s="79" t="str">
        <f>IF(AND(OR(N2947="131",O2947="131"),H2947='131-CT'!$H$9),"x","")</f>
        <v/>
      </c>
      <c r="Z2947" s="79"/>
      <c r="AA2947" s="79" t="str">
        <f>IF(AND(MONTH(E2947)='IN-NX'!$J$5,'IN-NX'!$D$7=D2947),"x","")</f>
        <v/>
      </c>
      <c r="AB2947" s="79" t="str">
        <f>IF(AND(OR(LEFT(TH!N2947,2)="15",LEFT(TH!O2947,2)="15"),LEFT(TH!O2947,3)&lt;&gt;"111",'152-CT'!$J$8=TH!F2947),"x","")</f>
        <v/>
      </c>
      <c r="AC2947" s="79" t="str">
        <f>IF(AND(OR(LEFT(TH!N2947,2)="15",LEFT(TH!O2947,2)="15"),TK!$E$7=TH!F2947),"x","")</f>
        <v/>
      </c>
      <c r="AD2947" s="79" t="str">
        <f>IF(AND(N2947="1521",MONTH(C2947)='BK-NL'!$M$11),"x","")</f>
        <v/>
      </c>
    </row>
    <row r="2948" spans="1:30" ht="16.5" customHeight="1">
      <c r="A2948" s="318" t="str">
        <f>IF(B2948&lt;&gt;"",IF(AND(B2948='IN-TC'!$S$4,OR(TH!N2948="1111",TH!O2948="1111")),TH!D2948,""),"")</f>
        <v/>
      </c>
      <c r="B2948" s="60" t="str">
        <f t="shared" ref="B2948" si="338">IF(C2948&lt;&gt;"",MONTH(C2948),"")</f>
        <v/>
      </c>
      <c r="C2948" s="75"/>
      <c r="D2948" s="75"/>
      <c r="E2948" s="75"/>
      <c r="F2948" s="76"/>
      <c r="G2948" s="76"/>
      <c r="H2948" s="77"/>
      <c r="I2948" s="1247"/>
      <c r="J2948" s="391"/>
      <c r="K2948" s="1247"/>
      <c r="L2948" s="1248"/>
      <c r="M2948" s="78"/>
      <c r="N2948" s="79"/>
      <c r="O2948" s="79"/>
      <c r="P2948" s="79" t="str">
        <f>IF(AND('331-CT'!$E$7=TH!H2948,OR(N2948="331",O2948="331")),"x","")</f>
        <v/>
      </c>
      <c r="Q2948" s="79" t="str">
        <f>IF(AND(B2948='111'!$L$11,OR($N2948=$Q$7,$O2948=$Q$7)),"x","")</f>
        <v/>
      </c>
      <c r="R2948" s="79" t="str">
        <f>IF(AND($N2948=$Q$7,$B2948&lt;'111'!$L$11),"x","")</f>
        <v/>
      </c>
      <c r="S2948" s="79" t="str">
        <f>IF(AND($O2948=$Q$7,$B2948&lt;'111'!$L$11),"x","")</f>
        <v/>
      </c>
      <c r="T2948" s="79" t="str">
        <f>IF(ISERROR(FIND('112'!$M$9,G2948,1)),"",IF((AND(FIND('112'!$M$9,G2948,1)&gt;=1,B2948='112'!$K$9,OR($N2948='112'!$I$6,$O2948='112'!$I$6))),"x",""))</f>
        <v/>
      </c>
      <c r="U2948" s="79" t="str">
        <f>IF(ISERROR(FIND('112'!$M$9,G2948,1)),"",IF((AND(LEFT(G2948,2)=LEFT('112'!$M$9,2),B2948&lt;'112'!$K$9,$N2948='112'!$I$6)),"x",""))</f>
        <v/>
      </c>
      <c r="V2948" s="79" t="str">
        <f>IF(ISERROR(FIND('112'!$M$9,G2948,1)),"",IF((AND(RIGHT(G2948,2)=RIGHT('112'!$M$9,2),B2948&lt;'112'!$K$9,$O2948='112'!$I$6)),"x",""))</f>
        <v/>
      </c>
      <c r="W2948" s="79" t="str">
        <f>IF(AND('341-CT'!$H$9=H2948,OR(LEFT(N2948,3)=$W$7,LEFT(O2948,3)=$W$7)),"x","")</f>
        <v/>
      </c>
      <c r="X2948" s="79" t="str">
        <f>IF(OR(TH!N2948=TH!$X$7,O2948=TH!$X$7),"x","")</f>
        <v/>
      </c>
      <c r="Y2948" s="79" t="str">
        <f>IF(AND(OR(N2948="131",O2948="131"),H2948='131-CT'!$H$9),"x","")</f>
        <v/>
      </c>
      <c r="Z2948" s="79"/>
      <c r="AA2948" s="79" t="str">
        <f>IF(AND(MONTH(E2948)='IN-NX'!$J$5,'IN-NX'!$D$7=D2948),"x","")</f>
        <v/>
      </c>
      <c r="AB2948" s="79" t="str">
        <f>IF(AND(OR(LEFT(TH!N2948,2)="15",LEFT(TH!O2948,2)="15"),LEFT(TH!O2948,3)&lt;&gt;"111",'152-CT'!$J$8=TH!F2948),"x","")</f>
        <v/>
      </c>
      <c r="AC2948" s="79" t="str">
        <f>IF(AND(OR(LEFT(TH!N2948,2)="15",LEFT(TH!O2948,2)="15"),TK!$E$7=TH!F2948),"x","")</f>
        <v/>
      </c>
      <c r="AD2948" s="79" t="str">
        <f>IF(AND(N2948="1521",MONTH(C2948)='BK-NL'!$M$11),"x","")</f>
        <v/>
      </c>
    </row>
    <row r="2949" spans="1:30" ht="16.5" customHeight="1">
      <c r="A2949" s="318" t="str">
        <f>IF(B2949&lt;&gt;"",IF(AND(B2949='IN-TC'!$S$4,OR(TH!N2949="1111",TH!O2949="1111")),TH!D2949,""),"")</f>
        <v/>
      </c>
      <c r="B2949" s="60" t="str">
        <f t="shared" si="333"/>
        <v/>
      </c>
      <c r="C2949" s="75"/>
      <c r="D2949" s="75"/>
      <c r="E2949" s="75"/>
      <c r="F2949" s="76"/>
      <c r="G2949" s="76"/>
      <c r="H2949" s="77"/>
      <c r="I2949" s="1247"/>
      <c r="J2949" s="391"/>
      <c r="K2949" s="1247"/>
      <c r="L2949" s="1248"/>
      <c r="M2949" s="78"/>
      <c r="N2949" s="79"/>
      <c r="O2949" s="79"/>
      <c r="P2949" s="79" t="str">
        <f>IF(AND('331-CT'!$E$7=TH!H2949,OR(N2949="331",O2949="331")),"x","")</f>
        <v/>
      </c>
      <c r="Q2949" s="79" t="str">
        <f>IF(AND(B2949='111'!$L$11,OR($N2949=$Q$7,$O2949=$Q$7)),"x","")</f>
        <v/>
      </c>
      <c r="R2949" s="79" t="str">
        <f>IF(AND($N2949=$Q$7,$B2949&lt;'111'!$L$11),"x","")</f>
        <v/>
      </c>
      <c r="S2949" s="79" t="str">
        <f>IF(AND($O2949=$Q$7,$B2949&lt;'111'!$L$11),"x","")</f>
        <v/>
      </c>
      <c r="T2949" s="79" t="str">
        <f>IF(ISERROR(FIND('112'!$M$9,G2949,1)),"",IF((AND(FIND('112'!$M$9,G2949,1)&gt;=1,B2949='112'!$K$9,OR($N2949='112'!$I$6,$O2949='112'!$I$6))),"x",""))</f>
        <v/>
      </c>
      <c r="U2949" s="79" t="str">
        <f>IF(ISERROR(FIND('112'!$M$9,G2949,1)),"",IF((AND(LEFT(G2949,2)=LEFT('112'!$M$9,2),B2949&lt;'112'!$K$9,$N2949='112'!$I$6)),"x",""))</f>
        <v/>
      </c>
      <c r="V2949" s="79" t="str">
        <f>IF(ISERROR(FIND('112'!$M$9,G2949,1)),"",IF((AND(RIGHT(G2949,2)=RIGHT('112'!$M$9,2),B2949&lt;'112'!$K$9,$O2949='112'!$I$6)),"x",""))</f>
        <v/>
      </c>
      <c r="W2949" s="79" t="str">
        <f>IF(AND('341-CT'!$H$9=H2949,OR(LEFT(N2949,3)=$W$7,LEFT(O2949,3)=$W$7)),"x","")</f>
        <v/>
      </c>
      <c r="X2949" s="79" t="str">
        <f>IF(OR(TH!N2949=TH!$X$7,O2949=TH!$X$7),"x","")</f>
        <v/>
      </c>
      <c r="Y2949" s="79" t="str">
        <f>IF(AND(OR(N2949="131",O2949="131"),H2949='131-CT'!$H$9),"x","")</f>
        <v/>
      </c>
      <c r="Z2949" s="79"/>
      <c r="AA2949" s="79" t="str">
        <f>IF(AND(MONTH(E2949)='IN-NX'!$J$5,'IN-NX'!$D$7=D2949),"x","")</f>
        <v/>
      </c>
      <c r="AB2949" s="79" t="str">
        <f>IF(AND(OR(LEFT(TH!N2949,2)="15",LEFT(TH!O2949,2)="15"),LEFT(TH!O2949,3)&lt;&gt;"111",'152-CT'!$J$8=TH!F2949),"x","")</f>
        <v/>
      </c>
      <c r="AC2949" s="79" t="str">
        <f>IF(AND(OR(LEFT(TH!N2949,2)="15",LEFT(TH!O2949,2)="15"),TK!$E$7=TH!F2949),"x","")</f>
        <v/>
      </c>
      <c r="AD2949" s="79" t="str">
        <f>IF(AND(N2949="1521",MONTH(C2949)='BK-NL'!$M$11),"x","")</f>
        <v/>
      </c>
    </row>
    <row r="2950" spans="1:30" ht="16.5" customHeight="1">
      <c r="A2950" s="318" t="str">
        <f>IF(B2950&lt;&gt;"",IF(AND(B2950='IN-TC'!$S$4,OR(TH!N2950="1111",TH!O2950="1111")),TH!D2950,""),"")</f>
        <v/>
      </c>
      <c r="B2950" s="60" t="str">
        <f t="shared" si="333"/>
        <v/>
      </c>
      <c r="C2950" s="75"/>
      <c r="D2950" s="75"/>
      <c r="E2950" s="75"/>
      <c r="F2950" s="76"/>
      <c r="G2950" s="76"/>
      <c r="H2950" s="77"/>
      <c r="I2950" s="1247"/>
      <c r="J2950" s="391"/>
      <c r="K2950" s="1247"/>
      <c r="L2950" s="1248"/>
      <c r="M2950" s="78"/>
      <c r="N2950" s="79"/>
      <c r="O2950" s="79"/>
      <c r="P2950" s="79" t="str">
        <f>IF(AND('331-CT'!$E$7=TH!H2950,OR(N2950="331",O2950="331")),"x","")</f>
        <v/>
      </c>
      <c r="Q2950" s="79" t="str">
        <f>IF(AND(B2950='111'!$L$11,OR($N2950=$Q$7,$O2950=$Q$7)),"x","")</f>
        <v/>
      </c>
      <c r="R2950" s="79" t="str">
        <f>IF(AND($N2950=$Q$7,$B2950&lt;'111'!$L$11),"x","")</f>
        <v/>
      </c>
      <c r="S2950" s="79" t="str">
        <f>IF(AND($O2950=$Q$7,$B2950&lt;'111'!$L$11),"x","")</f>
        <v/>
      </c>
      <c r="T2950" s="79" t="str">
        <f>IF(ISERROR(FIND('112'!$M$9,G2950,1)),"",IF((AND(FIND('112'!$M$9,G2950,1)&gt;=1,B2950='112'!$K$9,OR($N2950='112'!$I$6,$O2950='112'!$I$6))),"x",""))</f>
        <v/>
      </c>
      <c r="U2950" s="79" t="str">
        <f>IF(ISERROR(FIND('112'!$M$9,G2950,1)),"",IF((AND(LEFT(G2950,2)=LEFT('112'!$M$9,2),B2950&lt;'112'!$K$9,$N2950='112'!$I$6)),"x",""))</f>
        <v/>
      </c>
      <c r="V2950" s="79" t="str">
        <f>IF(ISERROR(FIND('112'!$M$9,G2950,1)),"",IF((AND(RIGHT(G2950,2)=RIGHT('112'!$M$9,2),B2950&lt;'112'!$K$9,$O2950='112'!$I$6)),"x",""))</f>
        <v/>
      </c>
      <c r="W2950" s="79" t="str">
        <f>IF(AND('341-CT'!$H$9=H2950,OR(LEFT(N2950,3)=$W$7,LEFT(O2950,3)=$W$7)),"x","")</f>
        <v/>
      </c>
      <c r="X2950" s="79" t="str">
        <f>IF(OR(TH!N2950=TH!$X$7,O2950=TH!$X$7),"x","")</f>
        <v/>
      </c>
      <c r="Y2950" s="79" t="str">
        <f>IF(AND(OR(N2950="131",O2950="131"),H2950='131-CT'!$H$9),"x","")</f>
        <v/>
      </c>
      <c r="Z2950" s="79"/>
      <c r="AA2950" s="79" t="str">
        <f>IF(AND(MONTH(E2950)='IN-NX'!$J$5,'IN-NX'!$D$7=D2950),"x","")</f>
        <v/>
      </c>
      <c r="AB2950" s="79" t="str">
        <f>IF(AND(OR(LEFT(TH!N2950,2)="15",LEFT(TH!O2950,2)="15"),LEFT(TH!O2950,3)&lt;&gt;"111",'152-CT'!$J$8=TH!F2950),"x","")</f>
        <v/>
      </c>
      <c r="AC2950" s="79" t="str">
        <f>IF(AND(OR(LEFT(TH!N2950,2)="15",LEFT(TH!O2950,2)="15"),TK!$E$7=TH!F2950),"x","")</f>
        <v/>
      </c>
      <c r="AD2950" s="79" t="str">
        <f>IF(AND(N2950="1521",MONTH(C2950)='BK-NL'!$M$11),"x","")</f>
        <v/>
      </c>
    </row>
    <row r="2951" spans="1:30" ht="16.5" customHeight="1">
      <c r="A2951" s="318" t="str">
        <f>IF(B2951&lt;&gt;"",IF(AND(B2951='IN-TC'!$S$4,OR(TH!N2951="1111",TH!O2951="1111")),TH!D2951,""),"")</f>
        <v/>
      </c>
      <c r="B2951" s="60" t="str">
        <f t="shared" si="333"/>
        <v/>
      </c>
      <c r="C2951" s="75"/>
      <c r="D2951" s="75"/>
      <c r="E2951" s="75"/>
      <c r="F2951" s="76"/>
      <c r="G2951" s="76"/>
      <c r="H2951" s="77"/>
      <c r="I2951" s="383"/>
      <c r="J2951" s="391"/>
      <c r="K2951" s="383"/>
      <c r="L2951" s="1248"/>
      <c r="M2951" s="78"/>
      <c r="N2951" s="79"/>
      <c r="O2951" s="79"/>
      <c r="P2951" s="79" t="str">
        <f>IF(AND('331-CT'!$E$7=TH!H2951,OR(N2951="331",O2951="331")),"x","")</f>
        <v/>
      </c>
      <c r="Q2951" s="79" t="str">
        <f>IF(AND(B2951='111'!$L$11,OR($N2951=$Q$7,$O2951=$Q$7)),"x","")</f>
        <v/>
      </c>
      <c r="R2951" s="79" t="str">
        <f>IF(AND($N2951=$Q$7,$B2951&lt;'111'!$L$11),"x","")</f>
        <v/>
      </c>
      <c r="S2951" s="79" t="str">
        <f>IF(AND($O2951=$Q$7,$B2951&lt;'111'!$L$11),"x","")</f>
        <v/>
      </c>
      <c r="T2951" s="79" t="str">
        <f>IF(ISERROR(FIND('112'!$M$9,G2951,1)),"",IF((AND(FIND('112'!$M$9,G2951,1)&gt;=1,B2951='112'!$K$9,OR($N2951='112'!$I$6,$O2951='112'!$I$6))),"x",""))</f>
        <v/>
      </c>
      <c r="U2951" s="79" t="str">
        <f>IF(ISERROR(FIND('112'!$M$9,G2951,1)),"",IF((AND(LEFT(G2951,2)=LEFT('112'!$M$9,2),B2951&lt;'112'!$K$9,$N2951='112'!$I$6)),"x",""))</f>
        <v/>
      </c>
      <c r="V2951" s="79" t="str">
        <f>IF(ISERROR(FIND('112'!$M$9,G2951,1)),"",IF((AND(RIGHT(G2951,2)=RIGHT('112'!$M$9,2),B2951&lt;'112'!$K$9,$O2951='112'!$I$6)),"x",""))</f>
        <v/>
      </c>
      <c r="W2951" s="79" t="str">
        <f>IF(AND('341-CT'!$H$9=H2951,OR(LEFT(N2951,3)=$W$7,LEFT(O2951,3)=$W$7)),"x","")</f>
        <v/>
      </c>
      <c r="X2951" s="79" t="str">
        <f>IF(OR(TH!N2951=TH!$X$7,O2951=TH!$X$7),"x","")</f>
        <v/>
      </c>
      <c r="Y2951" s="79" t="str">
        <f>IF(AND(OR(N2951="131",O2951="131"),H2951='131-CT'!$H$9),"x","")</f>
        <v/>
      </c>
      <c r="Z2951" s="79"/>
      <c r="AA2951" s="79" t="str">
        <f>IF(AND(MONTH(E2951)='IN-NX'!$J$5,'IN-NX'!$D$7=D2951),"x","")</f>
        <v/>
      </c>
      <c r="AB2951" s="79" t="str">
        <f>IF(AND(OR(LEFT(TH!N2951,2)="15",LEFT(TH!O2951,2)="15"),LEFT(TH!O2951,3)&lt;&gt;"111",'152-CT'!$J$8=TH!F2951),"x","")</f>
        <v/>
      </c>
      <c r="AC2951" s="79" t="str">
        <f>IF(AND(OR(LEFT(TH!N2951,2)="15",LEFT(TH!O2951,2)="15"),TK!$E$7=TH!F2951),"x","")</f>
        <v/>
      </c>
      <c r="AD2951" s="79" t="str">
        <f>IF(AND(N2951="1521",MONTH(C2951)='BK-NL'!$M$11),"x","")</f>
        <v/>
      </c>
    </row>
    <row r="2952" spans="1:30" ht="16.5" customHeight="1">
      <c r="A2952" s="318" t="str">
        <f>IF(B2952&lt;&gt;"",IF(AND(B2952='IN-TC'!$S$4,OR(TH!N2952="1111",TH!O2952="1111")),TH!D2952,""),"")</f>
        <v/>
      </c>
      <c r="B2952" s="60" t="str">
        <f t="shared" si="333"/>
        <v/>
      </c>
      <c r="C2952" s="75"/>
      <c r="D2952" s="75"/>
      <c r="E2952" s="75"/>
      <c r="F2952" s="76"/>
      <c r="G2952" s="76"/>
      <c r="H2952" s="77"/>
      <c r="I2952" s="1247"/>
      <c r="J2952" s="391"/>
      <c r="K2952" s="1247"/>
      <c r="L2952" s="1248"/>
      <c r="M2952" s="78"/>
      <c r="N2952" s="79"/>
      <c r="O2952" s="79"/>
      <c r="P2952" s="79" t="str">
        <f>IF(AND('331-CT'!$E$7=TH!H2952,OR(N2952="331",O2952="331")),"x","")</f>
        <v/>
      </c>
      <c r="Q2952" s="79" t="str">
        <f>IF(AND(B2952='111'!$L$11,OR($N2952=$Q$7,$O2952=$Q$7)),"x","")</f>
        <v/>
      </c>
      <c r="R2952" s="79" t="str">
        <f>IF(AND($N2952=$Q$7,$B2952&lt;'111'!$L$11),"x","")</f>
        <v/>
      </c>
      <c r="S2952" s="79" t="str">
        <f>IF(AND($O2952=$Q$7,$B2952&lt;'111'!$L$11),"x","")</f>
        <v/>
      </c>
      <c r="T2952" s="79" t="str">
        <f>IF(ISERROR(FIND('112'!$M$9,G2952,1)),"",IF((AND(FIND('112'!$M$9,G2952,1)&gt;=1,B2952='112'!$K$9,OR($N2952='112'!$I$6,$O2952='112'!$I$6))),"x",""))</f>
        <v/>
      </c>
      <c r="U2952" s="79" t="str">
        <f>IF(ISERROR(FIND('112'!$M$9,G2952,1)),"",IF((AND(LEFT(G2952,2)=LEFT('112'!$M$9,2),B2952&lt;'112'!$K$9,$N2952='112'!$I$6)),"x",""))</f>
        <v/>
      </c>
      <c r="V2952" s="79" t="str">
        <f>IF(ISERROR(FIND('112'!$M$9,G2952,1)),"",IF((AND(RIGHT(G2952,2)=RIGHT('112'!$M$9,2),B2952&lt;'112'!$K$9,$O2952='112'!$I$6)),"x",""))</f>
        <v/>
      </c>
      <c r="W2952" s="79" t="str">
        <f>IF(AND('341-CT'!$H$9=H2952,OR(LEFT(N2952,3)=$W$7,LEFT(O2952,3)=$W$7)),"x","")</f>
        <v/>
      </c>
      <c r="X2952" s="79" t="str">
        <f>IF(OR(TH!N2952=TH!$X$7,O2952=TH!$X$7),"x","")</f>
        <v/>
      </c>
      <c r="Y2952" s="79" t="str">
        <f>IF(AND(OR(N2952="131",O2952="131"),H2952='131-CT'!$H$9),"x","")</f>
        <v/>
      </c>
      <c r="Z2952" s="79"/>
      <c r="AA2952" s="79" t="str">
        <f>IF(AND(MONTH(E2952)='IN-NX'!$J$5,'IN-NX'!$D$7=D2952),"x","")</f>
        <v/>
      </c>
      <c r="AB2952" s="79" t="str">
        <f>IF(AND(OR(LEFT(TH!N2952,2)="15",LEFT(TH!O2952,2)="15"),LEFT(TH!O2952,3)&lt;&gt;"111",'152-CT'!$J$8=TH!F2952),"x","")</f>
        <v/>
      </c>
      <c r="AC2952" s="79" t="str">
        <f>IF(AND(OR(LEFT(TH!N2952,2)="15",LEFT(TH!O2952,2)="15"),TK!$E$7=TH!F2952),"x","")</f>
        <v/>
      </c>
      <c r="AD2952" s="79" t="str">
        <f>IF(AND(N2952="1521",MONTH(C2952)='BK-NL'!$M$11),"x","")</f>
        <v/>
      </c>
    </row>
    <row r="2953" spans="1:30" ht="16.5" customHeight="1">
      <c r="A2953" s="318" t="str">
        <f>IF(B2953&lt;&gt;"",IF(AND(B2953='IN-TC'!$S$4,OR(TH!N2953="1111",TH!O2953="1111")),TH!D2953,""),"")</f>
        <v/>
      </c>
      <c r="B2953" s="60" t="str">
        <f t="shared" ref="B2953" si="339">IF(C2953&lt;&gt;"",MONTH(C2953),"")</f>
        <v/>
      </c>
      <c r="C2953" s="75"/>
      <c r="D2953" s="75"/>
      <c r="E2953" s="75"/>
      <c r="F2953" s="76"/>
      <c r="G2953" s="76"/>
      <c r="H2953" s="77"/>
      <c r="I2953" s="1247"/>
      <c r="J2953" s="391"/>
      <c r="K2953" s="1247"/>
      <c r="L2953" s="1248"/>
      <c r="M2953" s="78"/>
      <c r="N2953" s="79"/>
      <c r="O2953" s="79"/>
      <c r="P2953" s="79" t="str">
        <f>IF(AND('331-CT'!$E$7=TH!H2953,OR(N2953="331",O2953="331")),"x","")</f>
        <v/>
      </c>
      <c r="Q2953" s="79" t="str">
        <f>IF(AND(B2953='111'!$L$11,OR($N2953=$Q$7,$O2953=$Q$7)),"x","")</f>
        <v/>
      </c>
      <c r="R2953" s="79" t="str">
        <f>IF(AND($N2953=$Q$7,$B2953&lt;'111'!$L$11),"x","")</f>
        <v/>
      </c>
      <c r="S2953" s="79" t="str">
        <f>IF(AND($O2953=$Q$7,$B2953&lt;'111'!$L$11),"x","")</f>
        <v/>
      </c>
      <c r="T2953" s="79" t="str">
        <f>IF(ISERROR(FIND('112'!$M$9,G2953,1)),"",IF((AND(FIND('112'!$M$9,G2953,1)&gt;=1,B2953='112'!$K$9,OR($N2953='112'!$I$6,$O2953='112'!$I$6))),"x",""))</f>
        <v/>
      </c>
      <c r="U2953" s="79" t="str">
        <f>IF(ISERROR(FIND('112'!$M$9,G2953,1)),"",IF((AND(LEFT(G2953,2)=LEFT('112'!$M$9,2),B2953&lt;'112'!$K$9,$N2953='112'!$I$6)),"x",""))</f>
        <v/>
      </c>
      <c r="V2953" s="79" t="str">
        <f>IF(ISERROR(FIND('112'!$M$9,G2953,1)),"",IF((AND(RIGHT(G2953,2)=RIGHT('112'!$M$9,2),B2953&lt;'112'!$K$9,$O2953='112'!$I$6)),"x",""))</f>
        <v/>
      </c>
      <c r="W2953" s="79" t="str">
        <f>IF(AND('341-CT'!$H$9=H2953,OR(LEFT(N2953,3)=$W$7,LEFT(O2953,3)=$W$7)),"x","")</f>
        <v/>
      </c>
      <c r="X2953" s="79" t="str">
        <f>IF(OR(TH!N2953=TH!$X$7,O2953=TH!$X$7),"x","")</f>
        <v/>
      </c>
      <c r="Y2953" s="79" t="str">
        <f>IF(AND(OR(N2953="131",O2953="131"),H2953='131-CT'!$H$9),"x","")</f>
        <v/>
      </c>
      <c r="Z2953" s="79"/>
      <c r="AA2953" s="79" t="str">
        <f>IF(AND(MONTH(E2953)='IN-NX'!$J$5,'IN-NX'!$D$7=D2953),"x","")</f>
        <v/>
      </c>
      <c r="AB2953" s="79" t="str">
        <f>IF(AND(OR(LEFT(TH!N2953,2)="15",LEFT(TH!O2953,2)="15"),LEFT(TH!O2953,3)&lt;&gt;"111",'152-CT'!$J$8=TH!F2953),"x","")</f>
        <v/>
      </c>
      <c r="AC2953" s="79" t="str">
        <f>IF(AND(OR(LEFT(TH!N2953,2)="15",LEFT(TH!O2953,2)="15"),TK!$E$7=TH!F2953),"x","")</f>
        <v/>
      </c>
      <c r="AD2953" s="79" t="str">
        <f>IF(AND(N2953="1521",MONTH(C2953)='BK-NL'!$M$11),"x","")</f>
        <v/>
      </c>
    </row>
    <row r="2954" spans="1:30" ht="16.5" customHeight="1">
      <c r="A2954" s="318" t="str">
        <f>IF(B2954&lt;&gt;"",IF(AND(B2954='IN-TC'!$S$4,OR(TH!N2954="1111",TH!O2954="1111")),TH!D2954,""),"")</f>
        <v/>
      </c>
      <c r="B2954" s="60" t="str">
        <f t="shared" si="333"/>
        <v/>
      </c>
      <c r="C2954" s="75"/>
      <c r="D2954" s="75"/>
      <c r="E2954" s="75"/>
      <c r="F2954" s="76"/>
      <c r="G2954" s="76"/>
      <c r="H2954" s="77"/>
      <c r="I2954" s="1247"/>
      <c r="J2954" s="391"/>
      <c r="K2954" s="1247"/>
      <c r="L2954" s="1248"/>
      <c r="M2954" s="78"/>
      <c r="N2954" s="79"/>
      <c r="O2954" s="79"/>
      <c r="P2954" s="79" t="str">
        <f>IF(AND('331-CT'!$E$7=TH!H2954,OR(N2954="331",O2954="331")),"x","")</f>
        <v/>
      </c>
      <c r="Q2954" s="79" t="str">
        <f>IF(AND(B2954='111'!$L$11,OR($N2954=$Q$7,$O2954=$Q$7)),"x","")</f>
        <v/>
      </c>
      <c r="R2954" s="79" t="str">
        <f>IF(AND($N2954=$Q$7,$B2954&lt;'111'!$L$11),"x","")</f>
        <v/>
      </c>
      <c r="S2954" s="79" t="str">
        <f>IF(AND($O2954=$Q$7,$B2954&lt;'111'!$L$11),"x","")</f>
        <v/>
      </c>
      <c r="T2954" s="79" t="str">
        <f>IF(ISERROR(FIND('112'!$M$9,G2954,1)),"",IF((AND(FIND('112'!$M$9,G2954,1)&gt;=1,B2954='112'!$K$9,OR($N2954='112'!$I$6,$O2954='112'!$I$6))),"x",""))</f>
        <v/>
      </c>
      <c r="U2954" s="79" t="str">
        <f>IF(ISERROR(FIND('112'!$M$9,G2954,1)),"",IF((AND(LEFT(G2954,2)=LEFT('112'!$M$9,2),B2954&lt;'112'!$K$9,$N2954='112'!$I$6)),"x",""))</f>
        <v/>
      </c>
      <c r="V2954" s="79" t="str">
        <f>IF(ISERROR(FIND('112'!$M$9,G2954,1)),"",IF((AND(RIGHT(G2954,2)=RIGHT('112'!$M$9,2),B2954&lt;'112'!$K$9,$O2954='112'!$I$6)),"x",""))</f>
        <v/>
      </c>
      <c r="W2954" s="79" t="str">
        <f>IF(AND('341-CT'!$H$9=H2954,OR(LEFT(N2954,3)=$W$7,LEFT(O2954,3)=$W$7)),"x","")</f>
        <v/>
      </c>
      <c r="X2954" s="79" t="str">
        <f>IF(OR(TH!N2954=TH!$X$7,O2954=TH!$X$7),"x","")</f>
        <v/>
      </c>
      <c r="Y2954" s="79" t="str">
        <f>IF(AND(OR(N2954="131",O2954="131"),H2954='131-CT'!$H$9),"x","")</f>
        <v/>
      </c>
      <c r="Z2954" s="79"/>
      <c r="AA2954" s="79" t="str">
        <f>IF(AND(MONTH(E2954)='IN-NX'!$J$5,'IN-NX'!$D$7=D2954),"x","")</f>
        <v/>
      </c>
      <c r="AB2954" s="79" t="str">
        <f>IF(AND(OR(LEFT(TH!N2954,2)="15",LEFT(TH!O2954,2)="15"),LEFT(TH!O2954,3)&lt;&gt;"111",'152-CT'!$J$8=TH!F2954),"x","")</f>
        <v/>
      </c>
      <c r="AC2954" s="79" t="str">
        <f>IF(AND(OR(LEFT(TH!N2954,2)="15",LEFT(TH!O2954,2)="15"),TK!$E$7=TH!F2954),"x","")</f>
        <v/>
      </c>
      <c r="AD2954" s="79" t="str">
        <f>IF(AND(N2954="1521",MONTH(C2954)='BK-NL'!$M$11),"x","")</f>
        <v/>
      </c>
    </row>
    <row r="2955" spans="1:30" ht="16.5" customHeight="1">
      <c r="A2955" s="318" t="str">
        <f>IF(B2955&lt;&gt;"",IF(AND(B2955='IN-TC'!$S$4,OR(TH!N2955="1111",TH!O2955="1111")),TH!D2955,""),"")</f>
        <v/>
      </c>
      <c r="B2955" s="60" t="str">
        <f t="shared" si="333"/>
        <v/>
      </c>
      <c r="C2955" s="75"/>
      <c r="D2955" s="75"/>
      <c r="E2955" s="75"/>
      <c r="F2955" s="76"/>
      <c r="G2955" s="76"/>
      <c r="H2955" s="77"/>
      <c r="I2955" s="1247"/>
      <c r="J2955" s="391"/>
      <c r="K2955" s="1247"/>
      <c r="L2955" s="1248"/>
      <c r="M2955" s="78"/>
      <c r="N2955" s="79"/>
      <c r="O2955" s="79"/>
      <c r="P2955" s="79" t="str">
        <f>IF(AND('331-CT'!$E$7=TH!H2955,OR(N2955="331",O2955="331")),"x","")</f>
        <v/>
      </c>
      <c r="Q2955" s="79" t="str">
        <f>IF(AND(B2955='111'!$L$11,OR($N2955=$Q$7,$O2955=$Q$7)),"x","")</f>
        <v/>
      </c>
      <c r="R2955" s="79" t="str">
        <f>IF(AND($N2955=$Q$7,$B2955&lt;'111'!$L$11),"x","")</f>
        <v/>
      </c>
      <c r="S2955" s="79" t="str">
        <f>IF(AND($O2955=$Q$7,$B2955&lt;'111'!$L$11),"x","")</f>
        <v/>
      </c>
      <c r="T2955" s="79" t="str">
        <f>IF(ISERROR(FIND('112'!$M$9,G2955,1)),"",IF((AND(FIND('112'!$M$9,G2955,1)&gt;=1,B2955='112'!$K$9,OR($N2955='112'!$I$6,$O2955='112'!$I$6))),"x",""))</f>
        <v/>
      </c>
      <c r="U2955" s="79" t="str">
        <f>IF(ISERROR(FIND('112'!$M$9,G2955,1)),"",IF((AND(LEFT(G2955,2)=LEFT('112'!$M$9,2),B2955&lt;'112'!$K$9,$N2955='112'!$I$6)),"x",""))</f>
        <v/>
      </c>
      <c r="V2955" s="79" t="str">
        <f>IF(ISERROR(FIND('112'!$M$9,G2955,1)),"",IF((AND(RIGHT(G2955,2)=RIGHT('112'!$M$9,2),B2955&lt;'112'!$K$9,$O2955='112'!$I$6)),"x",""))</f>
        <v/>
      </c>
      <c r="W2955" s="79" t="str">
        <f>IF(AND('341-CT'!$H$9=H2955,OR(LEFT(N2955,3)=$W$7,LEFT(O2955,3)=$W$7)),"x","")</f>
        <v/>
      </c>
      <c r="X2955" s="79" t="str">
        <f>IF(OR(TH!N2955=TH!$X$7,O2955=TH!$X$7),"x","")</f>
        <v/>
      </c>
      <c r="Y2955" s="79" t="str">
        <f>IF(AND(OR(N2955="131",O2955="131"),H2955='131-CT'!$H$9),"x","")</f>
        <v/>
      </c>
      <c r="Z2955" s="79"/>
      <c r="AA2955" s="79" t="str">
        <f>IF(AND(MONTH(E2955)='IN-NX'!$J$5,'IN-NX'!$D$7=D2955),"x","")</f>
        <v/>
      </c>
      <c r="AB2955" s="79" t="str">
        <f>IF(AND(OR(LEFT(TH!N2955,2)="15",LEFT(TH!O2955,2)="15"),LEFT(TH!O2955,3)&lt;&gt;"111",'152-CT'!$J$8=TH!F2955),"x","")</f>
        <v/>
      </c>
      <c r="AC2955" s="79" t="str">
        <f>IF(AND(OR(LEFT(TH!N2955,2)="15",LEFT(TH!O2955,2)="15"),TK!$E$7=TH!F2955),"x","")</f>
        <v/>
      </c>
      <c r="AD2955" s="79" t="str">
        <f>IF(AND(N2955="1521",MONTH(C2955)='BK-NL'!$M$11),"x","")</f>
        <v/>
      </c>
    </row>
    <row r="2956" spans="1:30" ht="16.5" customHeight="1">
      <c r="A2956" s="318" t="str">
        <f>IF(B2956&lt;&gt;"",IF(AND(B2956='IN-TC'!$S$4,OR(TH!N2956="1111",TH!O2956="1111")),TH!D2956,""),"")</f>
        <v/>
      </c>
      <c r="B2956" s="60" t="str">
        <f t="shared" si="333"/>
        <v/>
      </c>
      <c r="C2956" s="75"/>
      <c r="D2956" s="75"/>
      <c r="E2956" s="75"/>
      <c r="F2956" s="76"/>
      <c r="G2956" s="76"/>
      <c r="H2956" s="77"/>
      <c r="I2956" s="1247"/>
      <c r="J2956" s="391"/>
      <c r="K2956" s="1247"/>
      <c r="L2956" s="1248"/>
      <c r="M2956" s="78"/>
      <c r="N2956" s="79"/>
      <c r="O2956" s="79"/>
      <c r="P2956" s="79" t="str">
        <f>IF(AND('331-CT'!$E$7=TH!H2956,OR(N2956="331",O2956="331")),"x","")</f>
        <v/>
      </c>
      <c r="Q2956" s="79" t="str">
        <f>IF(AND(B2956='111'!$L$11,OR($N2956=$Q$7,$O2956=$Q$7)),"x","")</f>
        <v/>
      </c>
      <c r="R2956" s="79" t="str">
        <f>IF(AND($N2956=$Q$7,$B2956&lt;'111'!$L$11),"x","")</f>
        <v/>
      </c>
      <c r="S2956" s="79" t="str">
        <f>IF(AND($O2956=$Q$7,$B2956&lt;'111'!$L$11),"x","")</f>
        <v/>
      </c>
      <c r="T2956" s="79" t="str">
        <f>IF(ISERROR(FIND('112'!$M$9,G2956,1)),"",IF((AND(FIND('112'!$M$9,G2956,1)&gt;=1,B2956='112'!$K$9,OR($N2956='112'!$I$6,$O2956='112'!$I$6))),"x",""))</f>
        <v/>
      </c>
      <c r="U2956" s="79" t="str">
        <f>IF(ISERROR(FIND('112'!$M$9,G2956,1)),"",IF((AND(LEFT(G2956,2)=LEFT('112'!$M$9,2),B2956&lt;'112'!$K$9,$N2956='112'!$I$6)),"x",""))</f>
        <v/>
      </c>
      <c r="V2956" s="79" t="str">
        <f>IF(ISERROR(FIND('112'!$M$9,G2956,1)),"",IF((AND(RIGHT(G2956,2)=RIGHT('112'!$M$9,2),B2956&lt;'112'!$K$9,$O2956='112'!$I$6)),"x",""))</f>
        <v/>
      </c>
      <c r="W2956" s="79" t="str">
        <f>IF(AND('341-CT'!$H$9=H2956,OR(LEFT(N2956,3)=$W$7,LEFT(O2956,3)=$W$7)),"x","")</f>
        <v/>
      </c>
      <c r="X2956" s="79" t="str">
        <f>IF(OR(TH!N2956=TH!$X$7,O2956=TH!$X$7),"x","")</f>
        <v/>
      </c>
      <c r="Y2956" s="79" t="str">
        <f>IF(AND(OR(N2956="131",O2956="131"),H2956='131-CT'!$H$9),"x","")</f>
        <v/>
      </c>
      <c r="Z2956" s="79"/>
      <c r="AA2956" s="79" t="str">
        <f>IF(AND(MONTH(E2956)='IN-NX'!$J$5,'IN-NX'!$D$7=D2956),"x","")</f>
        <v/>
      </c>
      <c r="AB2956" s="79" t="str">
        <f>IF(AND(OR(LEFT(TH!N2956,2)="15",LEFT(TH!O2956,2)="15"),LEFT(TH!O2956,3)&lt;&gt;"111",'152-CT'!$J$8=TH!F2956),"x","")</f>
        <v/>
      </c>
      <c r="AC2956" s="79" t="str">
        <f>IF(AND(OR(LEFT(TH!N2956,2)="15",LEFT(TH!O2956,2)="15"),TK!$E$7=TH!F2956),"x","")</f>
        <v/>
      </c>
      <c r="AD2956" s="79" t="str">
        <f>IF(AND(N2956="1521",MONTH(C2956)='BK-NL'!$M$11),"x","")</f>
        <v/>
      </c>
    </row>
    <row r="2957" spans="1:30" ht="16.5" customHeight="1">
      <c r="A2957" s="318" t="str">
        <f>IF(B2957&lt;&gt;"",IF(AND(B2957='IN-TC'!$S$4,OR(TH!N2957="1111",TH!O2957="1111")),TH!D2957,""),"")</f>
        <v/>
      </c>
      <c r="B2957" s="60" t="str">
        <f t="shared" si="333"/>
        <v/>
      </c>
      <c r="C2957" s="75"/>
      <c r="D2957" s="75"/>
      <c r="E2957" s="75"/>
      <c r="F2957" s="76"/>
      <c r="G2957" s="76"/>
      <c r="H2957" s="77"/>
      <c r="I2957" s="1247"/>
      <c r="J2957" s="391"/>
      <c r="K2957" s="1247"/>
      <c r="L2957" s="1248"/>
      <c r="M2957" s="78"/>
      <c r="N2957" s="79"/>
      <c r="O2957" s="79"/>
      <c r="P2957" s="79" t="str">
        <f>IF(AND('331-CT'!$E$7=TH!H2957,OR(N2957="331",O2957="331")),"x","")</f>
        <v/>
      </c>
      <c r="Q2957" s="79" t="str">
        <f>IF(AND(B2957='111'!$L$11,OR($N2957=$Q$7,$O2957=$Q$7)),"x","")</f>
        <v/>
      </c>
      <c r="R2957" s="79" t="str">
        <f>IF(AND($N2957=$Q$7,$B2957&lt;'111'!$L$11),"x","")</f>
        <v/>
      </c>
      <c r="S2957" s="79" t="str">
        <f>IF(AND($O2957=$Q$7,$B2957&lt;'111'!$L$11),"x","")</f>
        <v/>
      </c>
      <c r="T2957" s="79" t="str">
        <f>IF(ISERROR(FIND('112'!$M$9,G2957,1)),"",IF((AND(FIND('112'!$M$9,G2957,1)&gt;=1,B2957='112'!$K$9,OR($N2957='112'!$I$6,$O2957='112'!$I$6))),"x",""))</f>
        <v/>
      </c>
      <c r="U2957" s="79" t="str">
        <f>IF(ISERROR(FIND('112'!$M$9,G2957,1)),"",IF((AND(LEFT(G2957,2)=LEFT('112'!$M$9,2),B2957&lt;'112'!$K$9,$N2957='112'!$I$6)),"x",""))</f>
        <v/>
      </c>
      <c r="V2957" s="79" t="str">
        <f>IF(ISERROR(FIND('112'!$M$9,G2957,1)),"",IF((AND(RIGHT(G2957,2)=RIGHT('112'!$M$9,2),B2957&lt;'112'!$K$9,$O2957='112'!$I$6)),"x",""))</f>
        <v/>
      </c>
      <c r="W2957" s="79" t="str">
        <f>IF(AND('341-CT'!$H$9=H2957,OR(LEFT(N2957,3)=$W$7,LEFT(O2957,3)=$W$7)),"x","")</f>
        <v/>
      </c>
      <c r="X2957" s="79" t="str">
        <f>IF(OR(TH!N2957=TH!$X$7,O2957=TH!$X$7),"x","")</f>
        <v/>
      </c>
      <c r="Y2957" s="79" t="str">
        <f>IF(AND(OR(N2957="131",O2957="131"),H2957='131-CT'!$H$9),"x","")</f>
        <v/>
      </c>
      <c r="Z2957" s="79"/>
      <c r="AA2957" s="79" t="str">
        <f>IF(AND(MONTH(E2957)='IN-NX'!$J$5,'IN-NX'!$D$7=D2957),"x","")</f>
        <v/>
      </c>
      <c r="AB2957" s="79" t="str">
        <f>IF(AND(OR(LEFT(TH!N2957,2)="15",LEFT(TH!O2957,2)="15"),LEFT(TH!O2957,3)&lt;&gt;"111",'152-CT'!$J$8=TH!F2957),"x","")</f>
        <v/>
      </c>
      <c r="AC2957" s="79" t="str">
        <f>IF(AND(OR(LEFT(TH!N2957,2)="15",LEFT(TH!O2957,2)="15"),TK!$E$7=TH!F2957),"x","")</f>
        <v/>
      </c>
      <c r="AD2957" s="79" t="str">
        <f>IF(AND(N2957="1521",MONTH(C2957)='BK-NL'!$M$11),"x","")</f>
        <v/>
      </c>
    </row>
    <row r="2958" spans="1:30" ht="16.5" customHeight="1">
      <c r="A2958" s="318" t="str">
        <f>IF(B2958&lt;&gt;"",IF(AND(B2958='IN-TC'!$S$4,OR(TH!N2958="1111",TH!O2958="1111")),TH!D2958,""),"")</f>
        <v/>
      </c>
      <c r="B2958" s="60" t="str">
        <f t="shared" si="333"/>
        <v/>
      </c>
      <c r="C2958" s="75"/>
      <c r="D2958" s="75"/>
      <c r="E2958" s="75"/>
      <c r="F2958" s="975"/>
      <c r="G2958" s="76"/>
      <c r="H2958" s="77"/>
      <c r="I2958" s="383"/>
      <c r="J2958" s="391"/>
      <c r="K2958" s="383"/>
      <c r="L2958" s="1248"/>
      <c r="M2958" s="78"/>
      <c r="N2958" s="79"/>
      <c r="O2958" s="79"/>
      <c r="P2958" s="79" t="str">
        <f>IF(AND('331-CT'!$E$7=TH!H2958,OR(N2958="331",O2958="331")),"x","")</f>
        <v/>
      </c>
      <c r="Q2958" s="79" t="str">
        <f>IF(AND(B2958='111'!$L$11,OR($N2958=$Q$7,$O2958=$Q$7)),"x","")</f>
        <v/>
      </c>
      <c r="R2958" s="79" t="str">
        <f>IF(AND($N2958=$Q$7,$B2958&lt;'111'!$L$11),"x","")</f>
        <v/>
      </c>
      <c r="S2958" s="79" t="str">
        <f>IF(AND($O2958=$Q$7,$B2958&lt;'111'!$L$11),"x","")</f>
        <v/>
      </c>
      <c r="T2958" s="79" t="str">
        <f>IF(ISERROR(FIND('112'!$M$9,G2958,1)),"",IF((AND(FIND('112'!$M$9,G2958,1)&gt;=1,B2958='112'!$K$9,OR($N2958='112'!$I$6,$O2958='112'!$I$6))),"x",""))</f>
        <v/>
      </c>
      <c r="U2958" s="79" t="str">
        <f>IF(ISERROR(FIND('112'!$M$9,G2958,1)),"",IF((AND(LEFT(G2958,2)=LEFT('112'!$M$9,2),B2958&lt;'112'!$K$9,$N2958='112'!$I$6)),"x",""))</f>
        <v/>
      </c>
      <c r="V2958" s="79" t="str">
        <f>IF(ISERROR(FIND('112'!$M$9,G2958,1)),"",IF((AND(RIGHT(G2958,2)=RIGHT('112'!$M$9,2),B2958&lt;'112'!$K$9,$O2958='112'!$I$6)),"x",""))</f>
        <v/>
      </c>
      <c r="W2958" s="79" t="str">
        <f>IF(AND('341-CT'!$H$9=H2958,OR(LEFT(N2958,3)=$W$7,LEFT(O2958,3)=$W$7)),"x","")</f>
        <v/>
      </c>
      <c r="X2958" s="79" t="str">
        <f>IF(OR(TH!N2958=TH!$X$7,O2958=TH!$X$7),"x","")</f>
        <v/>
      </c>
      <c r="Y2958" s="79" t="str">
        <f>IF(AND(OR(N2958="131",O2958="131"),H2958='131-CT'!$H$9),"x","")</f>
        <v/>
      </c>
      <c r="Z2958" s="79"/>
      <c r="AA2958" s="79" t="str">
        <f>IF(AND(MONTH(E2958)='IN-NX'!$J$5,'IN-NX'!$D$7=D2958),"x","")</f>
        <v/>
      </c>
      <c r="AB2958" s="79" t="str">
        <f>IF(AND(OR(LEFT(TH!N2958,2)="15",LEFT(TH!O2958,2)="15"),LEFT(TH!O2958,3)&lt;&gt;"111",'152-CT'!$J$8=TH!F2958),"x","")</f>
        <v/>
      </c>
      <c r="AC2958" s="79" t="str">
        <f>IF(AND(OR(LEFT(TH!N2958,2)="15",LEFT(TH!O2958,2)="15"),TK!$E$7=TH!F2958),"x","")</f>
        <v/>
      </c>
      <c r="AD2958" s="79" t="str">
        <f>IF(AND(N2958="1521",MONTH(C2958)='BK-NL'!$M$11),"x","")</f>
        <v/>
      </c>
    </row>
    <row r="2959" spans="1:30" ht="16.5" customHeight="1">
      <c r="A2959" s="318" t="str">
        <f>IF(B2959&lt;&gt;"",IF(AND(B2959='IN-TC'!$S$4,OR(TH!N2959="1111",TH!O2959="1111")),TH!D2959,""),"")</f>
        <v/>
      </c>
      <c r="B2959" s="60" t="str">
        <f t="shared" si="333"/>
        <v/>
      </c>
      <c r="C2959" s="75"/>
      <c r="D2959" s="75"/>
      <c r="E2959" s="75"/>
      <c r="F2959" s="975"/>
      <c r="G2959" s="76"/>
      <c r="H2959" s="77"/>
      <c r="I2959" s="383"/>
      <c r="J2959" s="391"/>
      <c r="K2959" s="383"/>
      <c r="L2959" s="1248"/>
      <c r="M2959" s="78"/>
      <c r="N2959" s="79"/>
      <c r="O2959" s="79"/>
      <c r="P2959" s="79" t="str">
        <f>IF(AND('331-CT'!$E$7=TH!H2959,OR(N2959="331",O2959="331")),"x","")</f>
        <v/>
      </c>
      <c r="Q2959" s="79" t="str">
        <f>IF(AND(B2959='111'!$L$11,OR($N2959=$Q$7,$O2959=$Q$7)),"x","")</f>
        <v/>
      </c>
      <c r="R2959" s="79" t="str">
        <f>IF(AND($N2959=$Q$7,$B2959&lt;'111'!$L$11),"x","")</f>
        <v/>
      </c>
      <c r="S2959" s="79" t="str">
        <f>IF(AND($O2959=$Q$7,$B2959&lt;'111'!$L$11),"x","")</f>
        <v/>
      </c>
      <c r="T2959" s="79" t="str">
        <f>IF(ISERROR(FIND('112'!$M$9,G2959,1)),"",IF((AND(FIND('112'!$M$9,G2959,1)&gt;=1,B2959='112'!$K$9,OR($N2959='112'!$I$6,$O2959='112'!$I$6))),"x",""))</f>
        <v/>
      </c>
      <c r="U2959" s="79" t="str">
        <f>IF(ISERROR(FIND('112'!$M$9,G2959,1)),"",IF((AND(LEFT(G2959,2)=LEFT('112'!$M$9,2),B2959&lt;'112'!$K$9,$N2959='112'!$I$6)),"x",""))</f>
        <v/>
      </c>
      <c r="V2959" s="79" t="str">
        <f>IF(ISERROR(FIND('112'!$M$9,G2959,1)),"",IF((AND(RIGHT(G2959,2)=RIGHT('112'!$M$9,2),B2959&lt;'112'!$K$9,$O2959='112'!$I$6)),"x",""))</f>
        <v/>
      </c>
      <c r="W2959" s="79" t="str">
        <f>IF(AND('341-CT'!$H$9=H2959,OR(LEFT(N2959,3)=$W$7,LEFT(O2959,3)=$W$7)),"x","")</f>
        <v/>
      </c>
      <c r="X2959" s="79" t="str">
        <f>IF(OR(TH!N2959=TH!$X$7,O2959=TH!$X$7),"x","")</f>
        <v/>
      </c>
      <c r="Y2959" s="79" t="str">
        <f>IF(AND(OR(N2959="131",O2959="131"),H2959='131-CT'!$H$9),"x","")</f>
        <v/>
      </c>
      <c r="Z2959" s="79"/>
      <c r="AA2959" s="79" t="str">
        <f>IF(AND(MONTH(E2959)='IN-NX'!$J$5,'IN-NX'!$D$7=D2959),"x","")</f>
        <v/>
      </c>
      <c r="AB2959" s="79" t="str">
        <f>IF(AND(OR(LEFT(TH!N2959,2)="15",LEFT(TH!O2959,2)="15"),LEFT(TH!O2959,3)&lt;&gt;"111",'152-CT'!$J$8=TH!F2959),"x","")</f>
        <v/>
      </c>
      <c r="AC2959" s="79" t="str">
        <f>IF(AND(OR(LEFT(TH!N2959,2)="15",LEFT(TH!O2959,2)="15"),TK!$E$7=TH!F2959),"x","")</f>
        <v/>
      </c>
      <c r="AD2959" s="79" t="str">
        <f>IF(AND(N2959="1521",MONTH(C2959)='BK-NL'!$M$11),"x","")</f>
        <v/>
      </c>
    </row>
    <row r="2960" spans="1:30" ht="16.5" customHeight="1">
      <c r="A2960" s="318" t="str">
        <f>IF(B2960&lt;&gt;"",IF(AND(B2960='IN-TC'!$S$4,OR(TH!N2960="1111",TH!O2960="1111")),TH!D2960,""),"")</f>
        <v/>
      </c>
      <c r="B2960" s="60" t="str">
        <f t="shared" si="333"/>
        <v/>
      </c>
      <c r="C2960" s="75"/>
      <c r="D2960" s="75"/>
      <c r="E2960" s="75"/>
      <c r="F2960" s="975"/>
      <c r="G2960" s="76"/>
      <c r="H2960" s="77"/>
      <c r="I2960" s="383"/>
      <c r="J2960" s="391"/>
      <c r="K2960" s="383"/>
      <c r="L2960" s="1248"/>
      <c r="M2960" s="78"/>
      <c r="N2960" s="79"/>
      <c r="O2960" s="79"/>
      <c r="P2960" s="79" t="str">
        <f>IF(AND('331-CT'!$E$7=TH!H2960,OR(N2960="331",O2960="331")),"x","")</f>
        <v/>
      </c>
      <c r="Q2960" s="79" t="str">
        <f>IF(AND(B2960='111'!$L$11,OR($N2960=$Q$7,$O2960=$Q$7)),"x","")</f>
        <v/>
      </c>
      <c r="R2960" s="79" t="str">
        <f>IF(AND($N2960=$Q$7,$B2960&lt;'111'!$L$11),"x","")</f>
        <v/>
      </c>
      <c r="S2960" s="79" t="str">
        <f>IF(AND($O2960=$Q$7,$B2960&lt;'111'!$L$11),"x","")</f>
        <v/>
      </c>
      <c r="T2960" s="79" t="str">
        <f>IF(ISERROR(FIND('112'!$M$9,G2960,1)),"",IF((AND(FIND('112'!$M$9,G2960,1)&gt;=1,B2960='112'!$K$9,OR($N2960='112'!$I$6,$O2960='112'!$I$6))),"x",""))</f>
        <v/>
      </c>
      <c r="U2960" s="79" t="str">
        <f>IF(ISERROR(FIND('112'!$M$9,G2960,1)),"",IF((AND(LEFT(G2960,2)=LEFT('112'!$M$9,2),B2960&lt;'112'!$K$9,$N2960='112'!$I$6)),"x",""))</f>
        <v/>
      </c>
      <c r="V2960" s="79" t="str">
        <f>IF(ISERROR(FIND('112'!$M$9,G2960,1)),"",IF((AND(RIGHT(G2960,2)=RIGHT('112'!$M$9,2),B2960&lt;'112'!$K$9,$O2960='112'!$I$6)),"x",""))</f>
        <v/>
      </c>
      <c r="W2960" s="79" t="str">
        <f>IF(AND('341-CT'!$H$9=H2960,OR(LEFT(N2960,3)=$W$7,LEFT(O2960,3)=$W$7)),"x","")</f>
        <v/>
      </c>
      <c r="X2960" s="79" t="str">
        <f>IF(OR(TH!N2960=TH!$X$7,O2960=TH!$X$7),"x","")</f>
        <v/>
      </c>
      <c r="Y2960" s="79" t="str">
        <f>IF(AND(OR(N2960="131",O2960="131"),H2960='131-CT'!$H$9),"x","")</f>
        <v/>
      </c>
      <c r="Z2960" s="79"/>
      <c r="AA2960" s="79" t="str">
        <f>IF(AND(MONTH(E2960)='IN-NX'!$J$5,'IN-NX'!$D$7=D2960),"x","")</f>
        <v/>
      </c>
      <c r="AB2960" s="79" t="str">
        <f>IF(AND(OR(LEFT(TH!N2960,2)="15",LEFT(TH!O2960,2)="15"),LEFT(TH!O2960,3)&lt;&gt;"111",'152-CT'!$J$8=TH!F2960),"x","")</f>
        <v/>
      </c>
      <c r="AC2960" s="79" t="str">
        <f>IF(AND(OR(LEFT(TH!N2960,2)="15",LEFT(TH!O2960,2)="15"),TK!$E$7=TH!F2960),"x","")</f>
        <v/>
      </c>
      <c r="AD2960" s="79" t="str">
        <f>IF(AND(N2960="1521",MONTH(C2960)='BK-NL'!$M$11),"x","")</f>
        <v/>
      </c>
    </row>
    <row r="2961" spans="1:30" ht="16.5" customHeight="1">
      <c r="A2961" s="318" t="str">
        <f>IF(B2961&lt;&gt;"",IF(AND(B2961='IN-TC'!$S$4,OR(TH!N2961="1111",TH!O2961="1111")),TH!D2961,""),"")</f>
        <v/>
      </c>
      <c r="B2961" s="60" t="str">
        <f t="shared" si="333"/>
        <v/>
      </c>
      <c r="C2961" s="75"/>
      <c r="D2961" s="75"/>
      <c r="E2961" s="75"/>
      <c r="F2961" s="76"/>
      <c r="G2961" s="76"/>
      <c r="H2961" s="77"/>
      <c r="I2961" s="383"/>
      <c r="J2961" s="391"/>
      <c r="K2961" s="383"/>
      <c r="L2961" s="1248"/>
      <c r="M2961" s="78"/>
      <c r="N2961" s="79"/>
      <c r="O2961" s="79"/>
      <c r="P2961" s="79" t="str">
        <f>IF(AND('331-CT'!$E$7=TH!H2961,OR(N2961="331",O2961="331")),"x","")</f>
        <v/>
      </c>
      <c r="Q2961" s="79" t="str">
        <f>IF(AND(B2961='111'!$L$11,OR($N2961=$Q$7,$O2961=$Q$7)),"x","")</f>
        <v/>
      </c>
      <c r="R2961" s="79" t="str">
        <f>IF(AND($N2961=$Q$7,$B2961&lt;'111'!$L$11),"x","")</f>
        <v/>
      </c>
      <c r="S2961" s="79" t="str">
        <f>IF(AND($O2961=$Q$7,$B2961&lt;'111'!$L$11),"x","")</f>
        <v/>
      </c>
      <c r="T2961" s="79" t="str">
        <f>IF(ISERROR(FIND('112'!$M$9,G2961,1)),"",IF((AND(FIND('112'!$M$9,G2961,1)&gt;=1,B2961='112'!$K$9,OR($N2961='112'!$I$6,$O2961='112'!$I$6))),"x",""))</f>
        <v/>
      </c>
      <c r="U2961" s="79" t="str">
        <f>IF(ISERROR(FIND('112'!$M$9,G2961,1)),"",IF((AND(LEFT(G2961,2)=LEFT('112'!$M$9,2),B2961&lt;'112'!$K$9,$N2961='112'!$I$6)),"x",""))</f>
        <v/>
      </c>
      <c r="V2961" s="79" t="str">
        <f>IF(ISERROR(FIND('112'!$M$9,G2961,1)),"",IF((AND(RIGHT(G2961,2)=RIGHT('112'!$M$9,2),B2961&lt;'112'!$K$9,$O2961='112'!$I$6)),"x",""))</f>
        <v/>
      </c>
      <c r="W2961" s="79" t="str">
        <f>IF(AND('341-CT'!$H$9=H2961,OR(LEFT(N2961,3)=$W$7,LEFT(O2961,3)=$W$7)),"x","")</f>
        <v/>
      </c>
      <c r="X2961" s="79" t="str">
        <f>IF(OR(TH!N2961=TH!$X$7,O2961=TH!$X$7),"x","")</f>
        <v/>
      </c>
      <c r="Y2961" s="79" t="str">
        <f>IF(AND(OR(N2961="131",O2961="131"),H2961='131-CT'!$H$9),"x","")</f>
        <v/>
      </c>
      <c r="Z2961" s="79"/>
      <c r="AA2961" s="79" t="str">
        <f>IF(AND(MONTH(E2961)='IN-NX'!$J$5,'IN-NX'!$D$7=D2961),"x","")</f>
        <v/>
      </c>
      <c r="AB2961" s="79" t="str">
        <f>IF(AND(OR(LEFT(TH!N2961,2)="15",LEFT(TH!O2961,2)="15"),LEFT(TH!O2961,3)&lt;&gt;"111",'152-CT'!$J$8=TH!F2961),"x","")</f>
        <v/>
      </c>
      <c r="AC2961" s="79" t="str">
        <f>IF(AND(OR(LEFT(TH!N2961,2)="15",LEFT(TH!O2961,2)="15"),TK!$E$7=TH!F2961),"x","")</f>
        <v/>
      </c>
      <c r="AD2961" s="79" t="str">
        <f>IF(AND(N2961="1521",MONTH(C2961)='BK-NL'!$M$11),"x","")</f>
        <v/>
      </c>
    </row>
    <row r="2962" spans="1:30" ht="16.5" customHeight="1">
      <c r="A2962" s="318" t="str">
        <f>IF(B2962&lt;&gt;"",IF(AND(B2962='IN-TC'!$S$4,OR(TH!N2962="1111",TH!O2962="1111")),TH!D2962,""),"")</f>
        <v/>
      </c>
      <c r="B2962" s="60" t="str">
        <f t="shared" si="333"/>
        <v/>
      </c>
      <c r="C2962" s="75"/>
      <c r="D2962" s="75"/>
      <c r="E2962" s="75"/>
      <c r="F2962" s="76"/>
      <c r="G2962" s="76"/>
      <c r="H2962" s="77"/>
      <c r="I2962" s="383"/>
      <c r="J2962" s="391"/>
      <c r="K2962" s="383"/>
      <c r="L2962" s="1248"/>
      <c r="M2962" s="78"/>
      <c r="N2962" s="79"/>
      <c r="O2962" s="79"/>
      <c r="P2962" s="79" t="str">
        <f>IF(AND('331-CT'!$E$7=TH!H2962,OR(N2962="331",O2962="331")),"x","")</f>
        <v/>
      </c>
      <c r="Q2962" s="79" t="str">
        <f>IF(AND(B2962='111'!$L$11,OR($N2962=$Q$7,$O2962=$Q$7)),"x","")</f>
        <v/>
      </c>
      <c r="R2962" s="79" t="str">
        <f>IF(AND($N2962=$Q$7,$B2962&lt;'111'!$L$11),"x","")</f>
        <v/>
      </c>
      <c r="S2962" s="79" t="str">
        <f>IF(AND($O2962=$Q$7,$B2962&lt;'111'!$L$11),"x","")</f>
        <v/>
      </c>
      <c r="T2962" s="79" t="str">
        <f>IF(ISERROR(FIND('112'!$M$9,G2962,1)),"",IF((AND(FIND('112'!$M$9,G2962,1)&gt;=1,B2962='112'!$K$9,OR($N2962='112'!$I$6,$O2962='112'!$I$6))),"x",""))</f>
        <v/>
      </c>
      <c r="U2962" s="79" t="str">
        <f>IF(ISERROR(FIND('112'!$M$9,G2962,1)),"",IF((AND(LEFT(G2962,2)=LEFT('112'!$M$9,2),B2962&lt;'112'!$K$9,$N2962='112'!$I$6)),"x",""))</f>
        <v/>
      </c>
      <c r="V2962" s="79" t="str">
        <f>IF(ISERROR(FIND('112'!$M$9,G2962,1)),"",IF((AND(RIGHT(G2962,2)=RIGHT('112'!$M$9,2),B2962&lt;'112'!$K$9,$O2962='112'!$I$6)),"x",""))</f>
        <v/>
      </c>
      <c r="W2962" s="79" t="str">
        <f>IF(AND('341-CT'!$H$9=H2962,OR(LEFT(N2962,3)=$W$7,LEFT(O2962,3)=$W$7)),"x","")</f>
        <v/>
      </c>
      <c r="X2962" s="79" t="str">
        <f>IF(OR(TH!N2962=TH!$X$7,O2962=TH!$X$7),"x","")</f>
        <v/>
      </c>
      <c r="Y2962" s="79" t="str">
        <f>IF(AND(OR(N2962="131",O2962="131"),H2962='131-CT'!$H$9),"x","")</f>
        <v/>
      </c>
      <c r="Z2962" s="79"/>
      <c r="AA2962" s="79" t="str">
        <f>IF(AND(MONTH(E2962)='IN-NX'!$J$5,'IN-NX'!$D$7=D2962),"x","")</f>
        <v/>
      </c>
      <c r="AB2962" s="79" t="str">
        <f>IF(AND(OR(LEFT(TH!N2962,2)="15",LEFT(TH!O2962,2)="15"),LEFT(TH!O2962,3)&lt;&gt;"111",'152-CT'!$J$8=TH!F2962),"x","")</f>
        <v/>
      </c>
      <c r="AC2962" s="79" t="str">
        <f>IF(AND(OR(LEFT(TH!N2962,2)="15",LEFT(TH!O2962,2)="15"),TK!$E$7=TH!F2962),"x","")</f>
        <v/>
      </c>
      <c r="AD2962" s="79" t="str">
        <f>IF(AND(N2962="1521",MONTH(C2962)='BK-NL'!$M$11),"x","")</f>
        <v/>
      </c>
    </row>
    <row r="2963" spans="1:30" ht="16.5" customHeight="1">
      <c r="A2963" s="318" t="str">
        <f>IF(B2963&lt;&gt;"",IF(AND(B2963='IN-TC'!$S$4,OR(TH!N2963="1111",TH!O2963="1111")),TH!D2963,""),"")</f>
        <v/>
      </c>
      <c r="B2963" s="60" t="str">
        <f t="shared" si="333"/>
        <v/>
      </c>
      <c r="C2963" s="75"/>
      <c r="D2963" s="75"/>
      <c r="E2963" s="75"/>
      <c r="F2963" s="975"/>
      <c r="G2963" s="76"/>
      <c r="H2963" s="77"/>
      <c r="I2963" s="1247"/>
      <c r="J2963" s="391"/>
      <c r="K2963" s="1247"/>
      <c r="L2963" s="1248"/>
      <c r="M2963" s="78"/>
      <c r="N2963" s="79"/>
      <c r="O2963" s="79"/>
      <c r="P2963" s="79" t="str">
        <f>IF(AND('331-CT'!$E$7=TH!H2963,OR(N2963="331",O2963="331")),"x","")</f>
        <v/>
      </c>
      <c r="Q2963" s="79" t="str">
        <f>IF(AND(B2963='111'!$L$11,OR($N2963=$Q$7,$O2963=$Q$7)),"x","")</f>
        <v/>
      </c>
      <c r="R2963" s="79" t="str">
        <f>IF(AND($N2963=$Q$7,$B2963&lt;'111'!$L$11),"x","")</f>
        <v/>
      </c>
      <c r="S2963" s="79" t="str">
        <f>IF(AND($O2963=$Q$7,$B2963&lt;'111'!$L$11),"x","")</f>
        <v/>
      </c>
      <c r="T2963" s="79" t="str">
        <f>IF(ISERROR(FIND('112'!$M$9,G2963,1)),"",IF((AND(FIND('112'!$M$9,G2963,1)&gt;=1,B2963='112'!$K$9,OR($N2963='112'!$I$6,$O2963='112'!$I$6))),"x",""))</f>
        <v/>
      </c>
      <c r="U2963" s="79" t="str">
        <f>IF(ISERROR(FIND('112'!$M$9,G2963,1)),"",IF((AND(LEFT(G2963,2)=LEFT('112'!$M$9,2),B2963&lt;'112'!$K$9,$N2963='112'!$I$6)),"x",""))</f>
        <v/>
      </c>
      <c r="V2963" s="79" t="str">
        <f>IF(ISERROR(FIND('112'!$M$9,G2963,1)),"",IF((AND(RIGHT(G2963,2)=RIGHT('112'!$M$9,2),B2963&lt;'112'!$K$9,$O2963='112'!$I$6)),"x",""))</f>
        <v/>
      </c>
      <c r="W2963" s="79" t="str">
        <f>IF(AND('341-CT'!$H$9=H2963,OR(LEFT(N2963,3)=$W$7,LEFT(O2963,3)=$W$7)),"x","")</f>
        <v/>
      </c>
      <c r="X2963" s="79" t="str">
        <f>IF(OR(TH!N2963=TH!$X$7,O2963=TH!$X$7),"x","")</f>
        <v/>
      </c>
      <c r="Y2963" s="79" t="str">
        <f>IF(AND(OR(N2963="131",O2963="131"),H2963='131-CT'!$H$9),"x","")</f>
        <v/>
      </c>
      <c r="Z2963" s="79"/>
      <c r="AA2963" s="79" t="str">
        <f>IF(AND(MONTH(E2963)='IN-NX'!$J$5,'IN-NX'!$D$7=D2963),"x","")</f>
        <v/>
      </c>
      <c r="AB2963" s="79" t="str">
        <f>IF(AND(OR(LEFT(TH!N2963,2)="15",LEFT(TH!O2963,2)="15"),LEFT(TH!O2963,3)&lt;&gt;"111",'152-CT'!$J$8=TH!F2963),"x","")</f>
        <v/>
      </c>
      <c r="AC2963" s="79" t="str">
        <f>IF(AND(OR(LEFT(TH!N2963,2)="15",LEFT(TH!O2963,2)="15"),TK!$E$7=TH!F2963),"x","")</f>
        <v/>
      </c>
      <c r="AD2963" s="79" t="str">
        <f>IF(AND(N2963="1521",MONTH(C2963)='BK-NL'!$M$11),"x","")</f>
        <v/>
      </c>
    </row>
    <row r="2964" spans="1:30" ht="16.5" customHeight="1">
      <c r="A2964" s="318" t="str">
        <f>IF(B2964&lt;&gt;"",IF(AND(B2964='[3]IN-TC'!$S$4,OR([3]TH!N2518="1111",[3]TH!O2518="1111")),[3]TH!D2518,""),"")</f>
        <v/>
      </c>
      <c r="B2964" s="60" t="str">
        <f t="shared" ref="B2964:B2984" si="340">IF(C2964&lt;&gt;"",MONTH(C2964),"")</f>
        <v/>
      </c>
      <c r="C2964" s="974"/>
      <c r="D2964" s="974"/>
      <c r="E2964" s="974"/>
      <c r="F2964" s="975"/>
      <c r="G2964" s="975"/>
      <c r="H2964" s="77"/>
      <c r="I2964" s="383"/>
      <c r="J2964" s="391"/>
      <c r="K2964" s="383"/>
      <c r="L2964" s="1248"/>
      <c r="M2964" s="78"/>
      <c r="N2964" s="979"/>
      <c r="O2964" s="979"/>
      <c r="P2964" s="79" t="str">
        <f>IF(AND('331-CT'!$E$7=TH!H2964,OR(N2964="331",O2964="331")),"x","")</f>
        <v/>
      </c>
      <c r="Q2964" s="79" t="str">
        <f>IF(AND(B2964='111'!$L$11,OR($N2964=$Q$7,$O2964=$Q$7)),"x","")</f>
        <v/>
      </c>
      <c r="R2964" s="79" t="str">
        <f>IF(AND($N2964=$Q$7,$B2964&lt;'111'!$L$11),"x","")</f>
        <v/>
      </c>
      <c r="S2964" s="79" t="str">
        <f>IF(AND($O2964=$Q$7,$B2964&lt;'111'!$L$11),"x","")</f>
        <v/>
      </c>
      <c r="T2964" s="79" t="str">
        <f>IF(ISERROR(FIND('112'!$M$9,G2964,1)),"",IF((AND(FIND('112'!$M$9,G2964,1)&gt;=1,B2964='112'!$K$9,OR($N2964='112'!$I$6,$O2964='112'!$I$6))),"x",""))</f>
        <v/>
      </c>
      <c r="U2964" s="79" t="str">
        <f>IF(ISERROR(FIND('112'!$M$9,G2964,1)),"",IF((AND(LEFT(G2964,2)=LEFT('112'!$M$9,2),B2964&lt;'112'!$K$9,$N2964='112'!$I$6)),"x",""))</f>
        <v/>
      </c>
      <c r="V2964" s="79" t="str">
        <f>IF(ISERROR(FIND('112'!$M$9,G2964,1)),"",IF((AND(RIGHT(G2964,2)=RIGHT('112'!$M$9,2),B2964&lt;'112'!$K$9,$O2964='112'!$I$6)),"x",""))</f>
        <v/>
      </c>
      <c r="W2964" s="79" t="str">
        <f>IF(AND('341-CT'!$H$9=H2964,OR(LEFT(N2964,3)=$W$7,LEFT(O2964,3)=$W$7)),"x","")</f>
        <v/>
      </c>
      <c r="X2964" s="79" t="str">
        <f>IF(OR(TH!N2964=TH!$X$7,O2964=TH!$X$7),"x","")</f>
        <v/>
      </c>
      <c r="Y2964" s="79" t="str">
        <f>IF(AND(OR(N2964="131",O2964="131"),H2964='131-CT'!$H$9),"x","")</f>
        <v/>
      </c>
      <c r="Z2964" s="79"/>
      <c r="AA2964" s="79" t="str">
        <f>IF(AND(MONTH(E2964)='IN-NX'!$J$5,'IN-NX'!$D$7=D2964),"x","")</f>
        <v/>
      </c>
      <c r="AB2964" s="79" t="str">
        <f>IF(AND(OR(LEFT(TH!N2964,2)="15",LEFT(TH!O2964,2)="15"),LEFT(TH!O2964,3)&lt;&gt;"111",'152-CT'!$J$8=TH!F2964),"x","")</f>
        <v/>
      </c>
      <c r="AC2964" s="79" t="str">
        <f>IF(AND(OR(LEFT(TH!N2964,2)="15",LEFT(TH!O2964,2)="15"),TK!$E$7=TH!F2964),"x","")</f>
        <v/>
      </c>
      <c r="AD2964" s="79" t="str">
        <f>IF(AND(N2964="1521",MONTH(C2964)='BK-NL'!$M$11),"x","")</f>
        <v/>
      </c>
    </row>
    <row r="2965" spans="1:30" ht="16.5" customHeight="1">
      <c r="A2965" s="318" t="str">
        <f>IF(B2965&lt;&gt;"",IF(AND(B2965='[3]IN-TC'!$S$4,OR([3]TH!N2519="1111",[3]TH!O2519="1111")),[3]TH!D2519,""),"")</f>
        <v/>
      </c>
      <c r="B2965" s="60" t="str">
        <f t="shared" si="340"/>
        <v/>
      </c>
      <c r="C2965" s="974"/>
      <c r="D2965" s="974"/>
      <c r="E2965" s="974"/>
      <c r="F2965" s="975"/>
      <c r="G2965" s="975"/>
      <c r="H2965" s="77"/>
      <c r="I2965" s="383"/>
      <c r="J2965" s="391"/>
      <c r="K2965" s="383"/>
      <c r="L2965" s="1248"/>
      <c r="M2965" s="78"/>
      <c r="N2965" s="979"/>
      <c r="O2965" s="979"/>
      <c r="P2965" s="79" t="str">
        <f>IF(AND('331-CT'!$E$7=TH!H2965,OR(N2965="331",O2965="331")),"x","")</f>
        <v/>
      </c>
      <c r="Q2965" s="79" t="str">
        <f>IF(AND(B2965='111'!$L$11,OR($N2965=$Q$7,$O2965=$Q$7)),"x","")</f>
        <v/>
      </c>
      <c r="R2965" s="79" t="str">
        <f>IF(AND($N2965=$Q$7,$B2965&lt;'111'!$L$11),"x","")</f>
        <v/>
      </c>
      <c r="S2965" s="79" t="str">
        <f>IF(AND($O2965=$Q$7,$B2965&lt;'111'!$L$11),"x","")</f>
        <v/>
      </c>
      <c r="T2965" s="79" t="str">
        <f>IF(ISERROR(FIND('112'!$M$9,G2965,1)),"",IF((AND(FIND('112'!$M$9,G2965,1)&gt;=1,B2965='112'!$K$9,OR($N2965='112'!$I$6,$O2965='112'!$I$6))),"x",""))</f>
        <v/>
      </c>
      <c r="U2965" s="79" t="str">
        <f>IF(ISERROR(FIND('112'!$M$9,G2965,1)),"",IF((AND(LEFT(G2965,2)=LEFT('112'!$M$9,2),B2965&lt;'112'!$K$9,$N2965='112'!$I$6)),"x",""))</f>
        <v/>
      </c>
      <c r="V2965" s="79" t="str">
        <f>IF(ISERROR(FIND('112'!$M$9,G2965,1)),"",IF((AND(RIGHT(G2965,2)=RIGHT('112'!$M$9,2),B2965&lt;'112'!$K$9,$O2965='112'!$I$6)),"x",""))</f>
        <v/>
      </c>
      <c r="W2965" s="79" t="str">
        <f>IF(AND('341-CT'!$H$9=H2965,OR(LEFT(N2965,3)=$W$7,LEFT(O2965,3)=$W$7)),"x","")</f>
        <v/>
      </c>
      <c r="X2965" s="79" t="str">
        <f>IF(OR(TH!N2965=TH!$X$7,O2965=TH!$X$7),"x","")</f>
        <v/>
      </c>
      <c r="Y2965" s="79" t="str">
        <f>IF(AND(OR(N2965="131",O2965="131"),H2965='131-CT'!$H$9),"x","")</f>
        <v/>
      </c>
      <c r="Z2965" s="79"/>
      <c r="AA2965" s="79" t="str">
        <f>IF(AND(MONTH(E2965)='IN-NX'!$J$5,'IN-NX'!$D$7=D2965),"x","")</f>
        <v/>
      </c>
      <c r="AB2965" s="79" t="str">
        <f>IF(AND(OR(LEFT(TH!N2965,2)="15",LEFT(TH!O2965,2)="15"),LEFT(TH!O2965,3)&lt;&gt;"111",'152-CT'!$J$8=TH!F2965),"x","")</f>
        <v/>
      </c>
      <c r="AC2965" s="79" t="str">
        <f>IF(AND(OR(LEFT(TH!N2965,2)="15",LEFT(TH!O2965,2)="15"),TK!$E$7=TH!F2965),"x","")</f>
        <v/>
      </c>
      <c r="AD2965" s="79" t="str">
        <f>IF(AND(N2965="1521",MONTH(C2965)='BK-NL'!$M$11),"x","")</f>
        <v/>
      </c>
    </row>
    <row r="2966" spans="1:30" ht="16.5" customHeight="1">
      <c r="A2966" s="318" t="str">
        <f>IF(B2966&lt;&gt;"",IF(AND(B2966='[3]IN-TC'!$S$4,OR([3]TH!N2520="1111",[3]TH!O2520="1111")),[3]TH!D2520,""),"")</f>
        <v/>
      </c>
      <c r="B2966" s="60" t="str">
        <f t="shared" si="340"/>
        <v/>
      </c>
      <c r="C2966" s="974"/>
      <c r="D2966" s="974"/>
      <c r="E2966" s="974"/>
      <c r="F2966" s="975"/>
      <c r="G2966" s="975"/>
      <c r="H2966" s="77"/>
      <c r="I2966" s="383"/>
      <c r="J2966" s="391"/>
      <c r="K2966" s="383"/>
      <c r="L2966" s="1248"/>
      <c r="M2966" s="78"/>
      <c r="N2966" s="979"/>
      <c r="O2966" s="979"/>
      <c r="P2966" s="79" t="str">
        <f>IF(AND('331-CT'!$E$7=TH!H2966,OR(N2966="331",O2966="331")),"x","")</f>
        <v/>
      </c>
      <c r="Q2966" s="79" t="str">
        <f>IF(AND(B2966='111'!$L$11,OR($N2966=$Q$7,$O2966=$Q$7)),"x","")</f>
        <v/>
      </c>
      <c r="R2966" s="79" t="str">
        <f>IF(AND($N2966=$Q$7,$B2966&lt;'111'!$L$11),"x","")</f>
        <v/>
      </c>
      <c r="S2966" s="79" t="str">
        <f>IF(AND($O2966=$Q$7,$B2966&lt;'111'!$L$11),"x","")</f>
        <v/>
      </c>
      <c r="T2966" s="79" t="str">
        <f>IF(ISERROR(FIND('112'!$M$9,G2966,1)),"",IF((AND(FIND('112'!$M$9,G2966,1)&gt;=1,B2966='112'!$K$9,OR($N2966='112'!$I$6,$O2966='112'!$I$6))),"x",""))</f>
        <v/>
      </c>
      <c r="U2966" s="79" t="str">
        <f>IF(ISERROR(FIND('112'!$M$9,G2966,1)),"",IF((AND(LEFT(G2966,2)=LEFT('112'!$M$9,2),B2966&lt;'112'!$K$9,$N2966='112'!$I$6)),"x",""))</f>
        <v/>
      </c>
      <c r="V2966" s="79" t="str">
        <f>IF(ISERROR(FIND('112'!$M$9,G2966,1)),"",IF((AND(RIGHT(G2966,2)=RIGHT('112'!$M$9,2),B2966&lt;'112'!$K$9,$O2966='112'!$I$6)),"x",""))</f>
        <v/>
      </c>
      <c r="W2966" s="79" t="str">
        <f>IF(AND('341-CT'!$H$9=H2966,OR(LEFT(N2966,3)=$W$7,LEFT(O2966,3)=$W$7)),"x","")</f>
        <v/>
      </c>
      <c r="X2966" s="79" t="str">
        <f>IF(OR(TH!N2966=TH!$X$7,O2966=TH!$X$7),"x","")</f>
        <v/>
      </c>
      <c r="Y2966" s="79" t="str">
        <f>IF(AND(OR(N2966="131",O2966="131"),H2966='131-CT'!$H$9),"x","")</f>
        <v/>
      </c>
      <c r="Z2966" s="79"/>
      <c r="AA2966" s="79" t="str">
        <f>IF(AND(MONTH(E2966)='IN-NX'!$J$5,'IN-NX'!$D$7=D2966),"x","")</f>
        <v/>
      </c>
      <c r="AB2966" s="79" t="str">
        <f>IF(AND(OR(LEFT(TH!N2966,2)="15",LEFT(TH!O2966,2)="15"),LEFT(TH!O2966,3)&lt;&gt;"111",'152-CT'!$J$8=TH!F2966),"x","")</f>
        <v/>
      </c>
      <c r="AC2966" s="79" t="str">
        <f>IF(AND(OR(LEFT(TH!N2966,2)="15",LEFT(TH!O2966,2)="15"),TK!$E$7=TH!F2966),"x","")</f>
        <v/>
      </c>
      <c r="AD2966" s="79" t="str">
        <f>IF(AND(N2966="1521",MONTH(C2966)='BK-NL'!$M$11),"x","")</f>
        <v/>
      </c>
    </row>
    <row r="2967" spans="1:30" ht="16.5" customHeight="1">
      <c r="A2967" s="318" t="str">
        <f>IF(B2967&lt;&gt;"",IF(AND(B2967='[3]IN-TC'!$S$4,OR([3]TH!N2521="1111",[3]TH!O2521="1111")),[3]TH!D2521,""),"")</f>
        <v/>
      </c>
      <c r="B2967" s="60" t="str">
        <f t="shared" si="340"/>
        <v/>
      </c>
      <c r="C2967" s="974"/>
      <c r="D2967" s="974"/>
      <c r="E2967" s="974"/>
      <c r="F2967" s="975"/>
      <c r="G2967" s="975"/>
      <c r="H2967" s="305"/>
      <c r="I2967" s="383"/>
      <c r="J2967" s="391"/>
      <c r="K2967" s="383"/>
      <c r="L2967" s="1248"/>
      <c r="M2967" s="78"/>
      <c r="N2967" s="979"/>
      <c r="O2967" s="979"/>
      <c r="P2967" s="79" t="str">
        <f>IF(AND('331-CT'!$E$7=TH!H2967,OR(N2967="331",O2967="331")),"x","")</f>
        <v/>
      </c>
      <c r="Q2967" s="79" t="str">
        <f>IF(AND(B2967='111'!$L$11,OR($N2967=$Q$7,$O2967=$Q$7)),"x","")</f>
        <v/>
      </c>
      <c r="R2967" s="79" t="str">
        <f>IF(AND($N2967=$Q$7,$B2967&lt;'111'!$L$11),"x","")</f>
        <v/>
      </c>
      <c r="S2967" s="79" t="str">
        <f>IF(AND($O2967=$Q$7,$B2967&lt;'111'!$L$11),"x","")</f>
        <v/>
      </c>
      <c r="T2967" s="79" t="str">
        <f>IF(ISERROR(FIND('112'!$M$9,G2967,1)),"",IF((AND(FIND('112'!$M$9,G2967,1)&gt;=1,B2967='112'!$K$9,OR($N2967='112'!$I$6,$O2967='112'!$I$6))),"x",""))</f>
        <v/>
      </c>
      <c r="U2967" s="79" t="str">
        <f>IF(ISERROR(FIND('112'!$M$9,G2967,1)),"",IF((AND(LEFT(G2967,2)=LEFT('112'!$M$9,2),B2967&lt;'112'!$K$9,$N2967='112'!$I$6)),"x",""))</f>
        <v/>
      </c>
      <c r="V2967" s="79" t="str">
        <f>IF(ISERROR(FIND('112'!$M$9,G2967,1)),"",IF((AND(RIGHT(G2967,2)=RIGHT('112'!$M$9,2),B2967&lt;'112'!$K$9,$O2967='112'!$I$6)),"x",""))</f>
        <v/>
      </c>
      <c r="W2967" s="79" t="str">
        <f>IF(AND('341-CT'!$H$9=H2967,OR(LEFT(N2967,3)=$W$7,LEFT(O2967,3)=$W$7)),"x","")</f>
        <v/>
      </c>
      <c r="X2967" s="79" t="str">
        <f>IF(OR(TH!N2967=TH!$X$7,O2967=TH!$X$7),"x","")</f>
        <v/>
      </c>
      <c r="Y2967" s="79" t="str">
        <f>IF(AND(OR(N2967="131",O2967="131"),H2967='131-CT'!$H$9),"x","")</f>
        <v/>
      </c>
      <c r="Z2967" s="79"/>
      <c r="AA2967" s="79" t="str">
        <f>IF(AND(MONTH(E2967)='IN-NX'!$J$5,'IN-NX'!$D$7=D2967),"x","")</f>
        <v/>
      </c>
      <c r="AB2967" s="79" t="str">
        <f>IF(AND(OR(LEFT(TH!N2967,2)="15",LEFT(TH!O2967,2)="15"),LEFT(TH!O2967,3)&lt;&gt;"111",'152-CT'!$J$8=TH!F2967),"x","")</f>
        <v/>
      </c>
      <c r="AC2967" s="79" t="str">
        <f>IF(AND(OR(LEFT(TH!N2967,2)="15",LEFT(TH!O2967,2)="15"),TK!$E$7=TH!F2967),"x","")</f>
        <v/>
      </c>
      <c r="AD2967" s="79" t="str">
        <f>IF(AND(N2967="1521",MONTH(C2967)='BK-NL'!$M$11),"x","")</f>
        <v/>
      </c>
    </row>
    <row r="2968" spans="1:30" s="1304" customFormat="1" ht="16.5" customHeight="1">
      <c r="A2968" s="1303" t="str">
        <f>IF(B2968&lt;&gt;"",IF(AND(B2968='[3]IN-TC'!$S$4,OR([3]TH!N2522="1111",[3]TH!O2522="1111")),[3]TH!D2522,""),"")</f>
        <v/>
      </c>
      <c r="B2968" s="60" t="str">
        <f t="shared" si="340"/>
        <v/>
      </c>
      <c r="C2968" s="974"/>
      <c r="D2968" s="974"/>
      <c r="E2968" s="974"/>
      <c r="F2968" s="76"/>
      <c r="G2968" s="975"/>
      <c r="H2968" s="305"/>
      <c r="I2968" s="383"/>
      <c r="J2968" s="391"/>
      <c r="K2968" s="383"/>
      <c r="L2968" s="1248"/>
      <c r="M2968" s="78"/>
      <c r="N2968" s="979"/>
      <c r="O2968" s="979"/>
      <c r="P2968" s="79" t="str">
        <f>IF(AND('331-CT'!$E$7=TH!H2968,OR(N2968="331",O2968="331")),"x","")</f>
        <v/>
      </c>
      <c r="Q2968" s="79" t="str">
        <f>IF(AND(B2968='111'!$L$11,OR($N2968=$Q$7,$O2968=$Q$7)),"x","")</f>
        <v/>
      </c>
      <c r="R2968" s="79" t="str">
        <f>IF(AND($N2968=$Q$7,$B2968&lt;'111'!$L$11),"x","")</f>
        <v/>
      </c>
      <c r="S2968" s="79" t="str">
        <f>IF(AND($O2968=$Q$7,$B2968&lt;'111'!$L$11),"x","")</f>
        <v/>
      </c>
      <c r="T2968" s="79" t="str">
        <f>IF(ISERROR(FIND('112'!$M$9,G2968,1)),"",IF((AND(FIND('112'!$M$9,G2968,1)&gt;=1,B2968='112'!$K$9,OR($N2968='112'!$I$6,$O2968='112'!$I$6))),"x",""))</f>
        <v/>
      </c>
      <c r="U2968" s="79" t="str">
        <f>IF(ISERROR(FIND('112'!$M$9,G2968,1)),"",IF((AND(LEFT(G2968,2)=LEFT('112'!$M$9,2),B2968&lt;'112'!$K$9,$N2968='112'!$I$6)),"x",""))</f>
        <v/>
      </c>
      <c r="V2968" s="79" t="str">
        <f>IF(ISERROR(FIND('112'!$M$9,G2968,1)),"",IF((AND(RIGHT(G2968,2)=RIGHT('112'!$M$9,2),B2968&lt;'112'!$K$9,$O2968='112'!$I$6)),"x",""))</f>
        <v/>
      </c>
      <c r="W2968" s="79" t="str">
        <f>IF(AND('341-CT'!$H$9=H2968,OR(LEFT(N2968,3)=$W$7,LEFT(O2968,3)=$W$7)),"x","")</f>
        <v/>
      </c>
      <c r="X2968" s="79" t="str">
        <f>IF(OR(TH!N2968=TH!$X$7,O2968=TH!$X$7),"x","")</f>
        <v/>
      </c>
      <c r="Y2968" s="79" t="str">
        <f>IF(AND(OR(N2968="131",O2968="131"),H2968='131-CT'!$H$9),"x","")</f>
        <v/>
      </c>
      <c r="Z2968" s="79"/>
      <c r="AA2968" s="79" t="str">
        <f>IF(AND(MONTH(E2968)='IN-NX'!$J$5,'IN-NX'!$D$7=D2968),"x","")</f>
        <v/>
      </c>
      <c r="AB2968" s="79" t="str">
        <f>IF(AND(OR(LEFT(TH!N2968,2)="15",LEFT(TH!O2968,2)="15"),LEFT(TH!O2968,3)&lt;&gt;"111",'152-CT'!$J$8=TH!F2968),"x","")</f>
        <v/>
      </c>
      <c r="AC2968" s="79" t="str">
        <f>IF(AND(OR(LEFT(TH!N2968,2)="15",LEFT(TH!O2968,2)="15"),TK!$E$7=TH!F2968),"x","")</f>
        <v/>
      </c>
      <c r="AD2968" s="79" t="str">
        <f>IF(AND(N2968="1521",MONTH(C2968)='BK-NL'!$M$11),"x","")</f>
        <v/>
      </c>
    </row>
    <row r="2969" spans="1:30" ht="16.5" customHeight="1">
      <c r="A2969" s="318" t="str">
        <f>IF(B2969&lt;&gt;"",IF(AND(B2969='[3]IN-TC'!$S$4,OR([3]TH!N2523="1111",[3]TH!O2523="1111")),[3]TH!D2523,""),"")</f>
        <v/>
      </c>
      <c r="B2969" s="60" t="str">
        <f t="shared" si="340"/>
        <v/>
      </c>
      <c r="C2969" s="974"/>
      <c r="D2969" s="974"/>
      <c r="E2969" s="974"/>
      <c r="F2969" s="975"/>
      <c r="G2969" s="975"/>
      <c r="H2969" s="77"/>
      <c r="I2969" s="383"/>
      <c r="J2969" s="391"/>
      <c r="K2969" s="383"/>
      <c r="L2969" s="1248"/>
      <c r="M2969" s="78"/>
      <c r="N2969" s="979"/>
      <c r="O2969" s="979"/>
      <c r="P2969" s="79" t="str">
        <f>IF(AND('331-CT'!$E$7=TH!H2969,OR(N2969="331",O2969="331")),"x","")</f>
        <v/>
      </c>
      <c r="Q2969" s="79" t="str">
        <f>IF(AND(B2969='111'!$L$11,OR($N2969=$Q$7,$O2969=$Q$7)),"x","")</f>
        <v/>
      </c>
      <c r="R2969" s="79" t="str">
        <f>IF(AND($N2969=$Q$7,$B2969&lt;'111'!$L$11),"x","")</f>
        <v/>
      </c>
      <c r="S2969" s="79" t="str">
        <f>IF(AND($O2969=$Q$7,$B2969&lt;'111'!$L$11),"x","")</f>
        <v/>
      </c>
      <c r="T2969" s="79" t="str">
        <f>IF(ISERROR(FIND('112'!$M$9,G2969,1)),"",IF((AND(FIND('112'!$M$9,G2969,1)&gt;=1,B2969='112'!$K$9,OR($N2969='112'!$I$6,$O2969='112'!$I$6))),"x",""))</f>
        <v/>
      </c>
      <c r="U2969" s="79" t="str">
        <f>IF(ISERROR(FIND('112'!$M$9,G2969,1)),"",IF((AND(LEFT(G2969,2)=LEFT('112'!$M$9,2),B2969&lt;'112'!$K$9,$N2969='112'!$I$6)),"x",""))</f>
        <v/>
      </c>
      <c r="V2969" s="79" t="str">
        <f>IF(ISERROR(FIND('112'!$M$9,G2969,1)),"",IF((AND(RIGHT(G2969,2)=RIGHT('112'!$M$9,2),B2969&lt;'112'!$K$9,$O2969='112'!$I$6)),"x",""))</f>
        <v/>
      </c>
      <c r="W2969" s="79" t="str">
        <f>IF(AND('341-CT'!$H$9=H2969,OR(LEFT(N2969,3)=$W$7,LEFT(O2969,3)=$W$7)),"x","")</f>
        <v/>
      </c>
      <c r="X2969" s="79" t="str">
        <f>IF(OR(TH!N2969=TH!$X$7,O2969=TH!$X$7),"x","")</f>
        <v/>
      </c>
      <c r="Y2969" s="79" t="str">
        <f>IF(AND(OR(N2969="131",O2969="131"),H2969='131-CT'!$H$9),"x","")</f>
        <v/>
      </c>
      <c r="Z2969" s="79"/>
      <c r="AA2969" s="79" t="str">
        <f>IF(AND(MONTH(E2969)='IN-NX'!$J$5,'IN-NX'!$D$7=D2969),"x","")</f>
        <v/>
      </c>
      <c r="AB2969" s="79" t="str">
        <f>IF(AND(OR(LEFT(TH!N2969,2)="15",LEFT(TH!O2969,2)="15"),LEFT(TH!O2969,3)&lt;&gt;"111",'152-CT'!$J$8=TH!F2969),"x","")</f>
        <v/>
      </c>
      <c r="AC2969" s="79" t="str">
        <f>IF(AND(OR(LEFT(TH!N2969,2)="15",LEFT(TH!O2969,2)="15"),TK!$E$7=TH!F2969),"x","")</f>
        <v/>
      </c>
      <c r="AD2969" s="79" t="str">
        <f>IF(AND(N2969="1521",MONTH(C2969)='BK-NL'!$M$11),"x","")</f>
        <v/>
      </c>
    </row>
    <row r="2970" spans="1:30" ht="16.5" customHeight="1">
      <c r="A2970" s="318" t="str">
        <f>IF(B2970&lt;&gt;"",IF(AND(B2970='[3]IN-TC'!$S$4,OR([3]TH!N2524="1111",[3]TH!O2524="1111")),[3]TH!D2524,""),"")</f>
        <v/>
      </c>
      <c r="B2970" s="60" t="str">
        <f t="shared" si="340"/>
        <v/>
      </c>
      <c r="C2970" s="974"/>
      <c r="D2970" s="974"/>
      <c r="E2970" s="974"/>
      <c r="F2970" s="975"/>
      <c r="G2970" s="975"/>
      <c r="H2970" s="77"/>
      <c r="I2970" s="383"/>
      <c r="J2970" s="391"/>
      <c r="K2970" s="383"/>
      <c r="L2970" s="1248"/>
      <c r="M2970" s="78"/>
      <c r="N2970" s="979"/>
      <c r="O2970" s="979"/>
      <c r="P2970" s="79" t="str">
        <f>IF(AND('331-CT'!$E$7=TH!H2970,OR(N2970="331",O2970="331")),"x","")</f>
        <v/>
      </c>
      <c r="Q2970" s="79" t="str">
        <f>IF(AND(B2970='111'!$L$11,OR($N2970=$Q$7,$O2970=$Q$7)),"x","")</f>
        <v/>
      </c>
      <c r="R2970" s="79" t="str">
        <f>IF(AND($N2970=$Q$7,$B2970&lt;'111'!$L$11),"x","")</f>
        <v/>
      </c>
      <c r="S2970" s="79" t="str">
        <f>IF(AND($O2970=$Q$7,$B2970&lt;'111'!$L$11),"x","")</f>
        <v/>
      </c>
      <c r="T2970" s="79" t="str">
        <f>IF(ISERROR(FIND('112'!$M$9,G2970,1)),"",IF((AND(FIND('112'!$M$9,G2970,1)&gt;=1,B2970='112'!$K$9,OR($N2970='112'!$I$6,$O2970='112'!$I$6))),"x",""))</f>
        <v/>
      </c>
      <c r="U2970" s="79" t="str">
        <f>IF(ISERROR(FIND('112'!$M$9,G2970,1)),"",IF((AND(LEFT(G2970,2)=LEFT('112'!$M$9,2),B2970&lt;'112'!$K$9,$N2970='112'!$I$6)),"x",""))</f>
        <v/>
      </c>
      <c r="V2970" s="79" t="str">
        <f>IF(ISERROR(FIND('112'!$M$9,G2970,1)),"",IF((AND(RIGHT(G2970,2)=RIGHT('112'!$M$9,2),B2970&lt;'112'!$K$9,$O2970='112'!$I$6)),"x",""))</f>
        <v/>
      </c>
      <c r="W2970" s="79" t="str">
        <f>IF(AND('341-CT'!$H$9=H2970,OR(LEFT(N2970,3)=$W$7,LEFT(O2970,3)=$W$7)),"x","")</f>
        <v/>
      </c>
      <c r="X2970" s="79" t="str">
        <f>IF(OR(TH!N2970=TH!$X$7,O2970=TH!$X$7),"x","")</f>
        <v/>
      </c>
      <c r="Y2970" s="79" t="str">
        <f>IF(AND(OR(N2970="131",O2970="131"),H2970='131-CT'!$H$9),"x","")</f>
        <v/>
      </c>
      <c r="Z2970" s="79"/>
      <c r="AA2970" s="79" t="str">
        <f>IF(AND(MONTH(E2970)='IN-NX'!$J$5,'IN-NX'!$D$7=D2970),"x","")</f>
        <v/>
      </c>
      <c r="AB2970" s="79" t="str">
        <f>IF(AND(OR(LEFT(TH!N2970,2)="15",LEFT(TH!O2970,2)="15"),LEFT(TH!O2970,3)&lt;&gt;"111",'152-CT'!$J$8=TH!F2970),"x","")</f>
        <v/>
      </c>
      <c r="AC2970" s="79" t="str">
        <f>IF(AND(OR(LEFT(TH!N2970,2)="15",LEFT(TH!O2970,2)="15"),TK!$E$7=TH!F2970),"x","")</f>
        <v/>
      </c>
      <c r="AD2970" s="79" t="str">
        <f>IF(AND(N2970="1521",MONTH(C2970)='BK-NL'!$M$11),"x","")</f>
        <v/>
      </c>
    </row>
    <row r="2971" spans="1:30" ht="16.5" customHeight="1">
      <c r="A2971" s="318" t="str">
        <f>IF(B2971&lt;&gt;"",IF(AND(B2971='[3]IN-TC'!$S$4,OR([3]TH!N2525="1111",[3]TH!O2525="1111")),[3]TH!D2525,""),"")</f>
        <v/>
      </c>
      <c r="B2971" s="60" t="str">
        <f t="shared" si="340"/>
        <v/>
      </c>
      <c r="C2971" s="974"/>
      <c r="D2971" s="974"/>
      <c r="E2971" s="974"/>
      <c r="F2971" s="975"/>
      <c r="G2971" s="975"/>
      <c r="H2971" s="77"/>
      <c r="I2971" s="383"/>
      <c r="J2971" s="391"/>
      <c r="K2971" s="383"/>
      <c r="L2971" s="1248"/>
      <c r="M2971" s="78"/>
      <c r="N2971" s="979"/>
      <c r="O2971" s="979"/>
      <c r="P2971" s="79" t="str">
        <f>IF(AND('331-CT'!$E$7=TH!H2971,OR(N2971="331",O2971="331")),"x","")</f>
        <v/>
      </c>
      <c r="Q2971" s="79" t="str">
        <f>IF(AND(B2971='111'!$L$11,OR($N2971=$Q$7,$O2971=$Q$7)),"x","")</f>
        <v/>
      </c>
      <c r="R2971" s="79" t="str">
        <f>IF(AND($N2971=$Q$7,$B2971&lt;'111'!$L$11),"x","")</f>
        <v/>
      </c>
      <c r="S2971" s="79" t="str">
        <f>IF(AND($O2971=$Q$7,$B2971&lt;'111'!$L$11),"x","")</f>
        <v/>
      </c>
      <c r="T2971" s="79" t="str">
        <f>IF(ISERROR(FIND('112'!$M$9,G2971,1)),"",IF((AND(FIND('112'!$M$9,G2971,1)&gt;=1,B2971='112'!$K$9,OR($N2971='112'!$I$6,$O2971='112'!$I$6))),"x",""))</f>
        <v/>
      </c>
      <c r="U2971" s="79" t="str">
        <f>IF(ISERROR(FIND('112'!$M$9,G2971,1)),"",IF((AND(LEFT(G2971,2)=LEFT('112'!$M$9,2),B2971&lt;'112'!$K$9,$N2971='112'!$I$6)),"x",""))</f>
        <v/>
      </c>
      <c r="V2971" s="79" t="str">
        <f>IF(ISERROR(FIND('112'!$M$9,G2971,1)),"",IF((AND(RIGHT(G2971,2)=RIGHT('112'!$M$9,2),B2971&lt;'112'!$K$9,$O2971='112'!$I$6)),"x",""))</f>
        <v/>
      </c>
      <c r="W2971" s="79" t="str">
        <f>IF(AND('341-CT'!$H$9=H2971,OR(LEFT(N2971,3)=$W$7,LEFT(O2971,3)=$W$7)),"x","")</f>
        <v/>
      </c>
      <c r="X2971" s="79" t="str">
        <f>IF(OR(TH!N2971=TH!$X$7,O2971=TH!$X$7),"x","")</f>
        <v/>
      </c>
      <c r="Y2971" s="79" t="str">
        <f>IF(AND(OR(N2971="131",O2971="131"),H2971='131-CT'!$H$9),"x","")</f>
        <v/>
      </c>
      <c r="Z2971" s="79"/>
      <c r="AA2971" s="79" t="str">
        <f>IF(AND(MONTH(E2971)='IN-NX'!$J$5,'IN-NX'!$D$7=D2971),"x","")</f>
        <v/>
      </c>
      <c r="AB2971" s="79" t="str">
        <f>IF(AND(OR(LEFT(TH!N2971,2)="15",LEFT(TH!O2971,2)="15"),LEFT(TH!O2971,3)&lt;&gt;"111",'152-CT'!$J$8=TH!F2971),"x","")</f>
        <v/>
      </c>
      <c r="AC2971" s="79" t="str">
        <f>IF(AND(OR(LEFT(TH!N2971,2)="15",LEFT(TH!O2971,2)="15"),TK!$E$7=TH!F2971),"x","")</f>
        <v/>
      </c>
      <c r="AD2971" s="79" t="str">
        <f>IF(AND(N2971="1521",MONTH(C2971)='BK-NL'!$M$11),"x","")</f>
        <v/>
      </c>
    </row>
    <row r="2972" spans="1:30" ht="16.5" customHeight="1">
      <c r="A2972" s="318" t="str">
        <f>IF(B2972&lt;&gt;"",IF(AND(B2972='[3]IN-TC'!$S$4,OR([3]TH!N2516="1111",[3]TH!O2516="1111")),[3]TH!D2516,""),"")</f>
        <v/>
      </c>
      <c r="B2972" s="60" t="str">
        <f t="shared" si="340"/>
        <v/>
      </c>
      <c r="C2972" s="974"/>
      <c r="D2972" s="974"/>
      <c r="E2972" s="974"/>
      <c r="F2972" s="975"/>
      <c r="G2972" s="975"/>
      <c r="H2972" s="77"/>
      <c r="I2972" s="383"/>
      <c r="J2972" s="391"/>
      <c r="K2972" s="383"/>
      <c r="L2972" s="390"/>
      <c r="M2972" s="78"/>
      <c r="N2972" s="979"/>
      <c r="O2972" s="979"/>
      <c r="P2972" s="79" t="str">
        <f>IF(AND('331-CT'!$E$7=TH!H2972,OR(N2972="331",O2972="331")),"x","")</f>
        <v/>
      </c>
      <c r="Q2972" s="79" t="str">
        <f>IF(AND(B2972='111'!$L$11,OR($N2972=$Q$7,$O2972=$Q$7)),"x","")</f>
        <v/>
      </c>
      <c r="R2972" s="79" t="str">
        <f>IF(AND($N2972=$Q$7,$B2972&lt;'111'!$L$11),"x","")</f>
        <v/>
      </c>
      <c r="S2972" s="79" t="str">
        <f>IF(AND($O2972=$Q$7,$B2972&lt;'111'!$L$11),"x","")</f>
        <v/>
      </c>
      <c r="T2972" s="79" t="str">
        <f>IF(ISERROR(FIND('112'!$M$9,G2972,1)),"",IF((AND(FIND('112'!$M$9,G2972,1)&gt;=1,B2972='112'!$K$9,OR($N2972='112'!$I$6,$O2972='112'!$I$6))),"x",""))</f>
        <v/>
      </c>
      <c r="U2972" s="79" t="str">
        <f>IF(ISERROR(FIND('112'!$M$9,G2972,1)),"",IF((AND(LEFT(G2972,2)=LEFT('112'!$M$9,2),B2972&lt;'112'!$K$9,$N2972='112'!$I$6)),"x",""))</f>
        <v/>
      </c>
      <c r="V2972" s="79" t="str">
        <f>IF(ISERROR(FIND('112'!$M$9,G2972,1)),"",IF((AND(RIGHT(G2972,2)=RIGHT('112'!$M$9,2),B2972&lt;'112'!$K$9,$O2972='112'!$I$6)),"x",""))</f>
        <v/>
      </c>
      <c r="W2972" s="79" t="str">
        <f>IF(AND('341-CT'!$H$9=H2972,OR(LEFT(N2972,3)=$W$7,LEFT(O2972,3)=$W$7)),"x","")</f>
        <v/>
      </c>
      <c r="X2972" s="79" t="str">
        <f>IF(OR(TH!N2972=TH!$X$7,O2972=TH!$X$7),"x","")</f>
        <v/>
      </c>
      <c r="Y2972" s="79" t="str">
        <f>IF(AND(OR(N2972="131",O2972="131"),H2972='131-CT'!$H$9),"x","")</f>
        <v/>
      </c>
      <c r="Z2972" s="79"/>
      <c r="AA2972" s="79" t="str">
        <f>IF(AND(MONTH(E2972)='IN-NX'!$J$5,'IN-NX'!$D$7=D2972),"x","")</f>
        <v/>
      </c>
      <c r="AB2972" s="79" t="str">
        <f>IF(AND(OR(LEFT(TH!N2972,2)="15",LEFT(TH!O2972,2)="15"),LEFT(TH!O2972,3)&lt;&gt;"111",'152-CT'!$J$8=TH!F2972),"x","")</f>
        <v/>
      </c>
      <c r="AC2972" s="79" t="str">
        <f>IF(AND(OR(LEFT(TH!N2972,2)="15",LEFT(TH!O2972,2)="15"),TK!$E$7=TH!F2972),"x","")</f>
        <v/>
      </c>
      <c r="AD2972" s="79" t="str">
        <f>IF(AND(N2972="1521",MONTH(C2972)='BK-NL'!$M$11),"x","")</f>
        <v/>
      </c>
    </row>
    <row r="2973" spans="1:30" ht="16.5" customHeight="1">
      <c r="A2973" s="318" t="str">
        <f>IF(B2973&lt;&gt;"",IF(AND(B2973='[3]IN-TC'!$S$4,OR([3]TH!N2517="1111",[3]TH!O2517="1111")),[3]TH!D2517,""),"")</f>
        <v/>
      </c>
      <c r="B2973" s="60" t="str">
        <f t="shared" ref="B2973:B2974" si="341">IF(C2973&lt;&gt;"",MONTH(C2973),"")</f>
        <v/>
      </c>
      <c r="C2973" s="974"/>
      <c r="D2973" s="974"/>
      <c r="E2973" s="974"/>
      <c r="F2973" s="975"/>
      <c r="G2973" s="975"/>
      <c r="H2973" s="77"/>
      <c r="I2973" s="383"/>
      <c r="J2973" s="391"/>
      <c r="K2973" s="383"/>
      <c r="L2973" s="1248"/>
      <c r="M2973" s="78"/>
      <c r="N2973" s="979"/>
      <c r="O2973" s="979"/>
      <c r="P2973" s="79" t="str">
        <f>IF(AND('331-CT'!$E$7=TH!H2973,OR(N2973="331",O2973="331")),"x","")</f>
        <v/>
      </c>
      <c r="Q2973" s="79" t="str">
        <f>IF(AND(B2973='111'!$L$11,OR($N2973=$Q$7,$O2973=$Q$7)),"x","")</f>
        <v/>
      </c>
      <c r="R2973" s="79" t="str">
        <f>IF(AND($N2973=$Q$7,$B2973&lt;'111'!$L$11),"x","")</f>
        <v/>
      </c>
      <c r="S2973" s="79" t="str">
        <f>IF(AND($O2973=$Q$7,$B2973&lt;'111'!$L$11),"x","")</f>
        <v/>
      </c>
      <c r="T2973" s="79" t="str">
        <f>IF(ISERROR(FIND('112'!$M$9,G2973,1)),"",IF((AND(FIND('112'!$M$9,G2973,1)&gt;=1,B2973='112'!$K$9,OR($N2973='112'!$I$6,$O2973='112'!$I$6))),"x",""))</f>
        <v/>
      </c>
      <c r="U2973" s="79" t="str">
        <f>IF(ISERROR(FIND('112'!$M$9,G2973,1)),"",IF((AND(LEFT(G2973,2)=LEFT('112'!$M$9,2),B2973&lt;'112'!$K$9,$N2973='112'!$I$6)),"x",""))</f>
        <v/>
      </c>
      <c r="V2973" s="79" t="str">
        <f>IF(ISERROR(FIND('112'!$M$9,G2973,1)),"",IF((AND(RIGHT(G2973,2)=RIGHT('112'!$M$9,2),B2973&lt;'112'!$K$9,$O2973='112'!$I$6)),"x",""))</f>
        <v/>
      </c>
      <c r="W2973" s="79" t="str">
        <f>IF(AND('341-CT'!$H$9=H2973,OR(LEFT(N2973,3)=$W$7,LEFT(O2973,3)=$W$7)),"x","")</f>
        <v/>
      </c>
      <c r="X2973" s="79" t="str">
        <f>IF(OR(TH!N2973=TH!$X$7,O2973=TH!$X$7),"x","")</f>
        <v/>
      </c>
      <c r="Y2973" s="79" t="str">
        <f>IF(AND(OR(N2973="131",O2973="131"),H2973='131-CT'!$H$9),"x","")</f>
        <v/>
      </c>
      <c r="Z2973" s="79"/>
      <c r="AA2973" s="79" t="str">
        <f>IF(AND(MONTH(E2973)='IN-NX'!$J$5,'IN-NX'!$D$7=D2973),"x","")</f>
        <v/>
      </c>
      <c r="AB2973" s="79" t="str">
        <f>IF(AND(OR(LEFT(TH!N2973,2)="15",LEFT(TH!O2973,2)="15"),LEFT(TH!O2973,3)&lt;&gt;"111",'152-CT'!$J$8=TH!F2973),"x","")</f>
        <v/>
      </c>
      <c r="AC2973" s="79" t="str">
        <f>IF(AND(OR(LEFT(TH!N2973,2)="15",LEFT(TH!O2973,2)="15"),TK!$E$7=TH!F2973),"x","")</f>
        <v/>
      </c>
      <c r="AD2973" s="79" t="str">
        <f>IF(AND(N2973="1521",MONTH(C2973)='BK-NL'!$M$11),"x","")</f>
        <v/>
      </c>
    </row>
    <row r="2974" spans="1:30" ht="16.5" customHeight="1">
      <c r="A2974" s="318" t="str">
        <f>IF(B2974&lt;&gt;"",IF(AND(B2974='[3]IN-TC'!$S$4,OR([3]TH!N2518="1111",[3]TH!O2518="1111")),[3]TH!D2518,""),"")</f>
        <v/>
      </c>
      <c r="B2974" s="60" t="str">
        <f t="shared" si="341"/>
        <v/>
      </c>
      <c r="C2974" s="974"/>
      <c r="D2974" s="974"/>
      <c r="E2974" s="974"/>
      <c r="F2974" s="76"/>
      <c r="G2974" s="975"/>
      <c r="H2974" s="77"/>
      <c r="I2974" s="383"/>
      <c r="J2974" s="391"/>
      <c r="K2974" s="383"/>
      <c r="L2974" s="390"/>
      <c r="M2974" s="78"/>
      <c r="N2974" s="979"/>
      <c r="O2974" s="979"/>
      <c r="P2974" s="79" t="str">
        <f>IF(AND('331-CT'!$E$7=TH!H2974,OR(N2974="331",O2974="331")),"x","")</f>
        <v/>
      </c>
      <c r="Q2974" s="79" t="str">
        <f>IF(AND(B2974='111'!$L$11,OR($N2974=$Q$7,$O2974=$Q$7)),"x","")</f>
        <v/>
      </c>
      <c r="R2974" s="79" t="str">
        <f>IF(AND($N2974=$Q$7,$B2974&lt;'111'!$L$11),"x","")</f>
        <v/>
      </c>
      <c r="S2974" s="79" t="str">
        <f>IF(AND($O2974=$Q$7,$B2974&lt;'111'!$L$11),"x","")</f>
        <v/>
      </c>
      <c r="T2974" s="79" t="str">
        <f>IF(ISERROR(FIND('112'!$M$9,G2974,1)),"",IF((AND(FIND('112'!$M$9,G2974,1)&gt;=1,B2974='112'!$K$9,OR($N2974='112'!$I$6,$O2974='112'!$I$6))),"x",""))</f>
        <v/>
      </c>
      <c r="U2974" s="79" t="str">
        <f>IF(ISERROR(FIND('112'!$M$9,G2974,1)),"",IF((AND(LEFT(G2974,2)=LEFT('112'!$M$9,2),B2974&lt;'112'!$K$9,$N2974='112'!$I$6)),"x",""))</f>
        <v/>
      </c>
      <c r="V2974" s="79" t="str">
        <f>IF(ISERROR(FIND('112'!$M$9,G2974,1)),"",IF((AND(RIGHT(G2974,2)=RIGHT('112'!$M$9,2),B2974&lt;'112'!$K$9,$O2974='112'!$I$6)),"x",""))</f>
        <v/>
      </c>
      <c r="W2974" s="79" t="str">
        <f>IF(AND('341-CT'!$H$9=H2974,OR(LEFT(N2974,3)=$W$7,LEFT(O2974,3)=$W$7)),"x","")</f>
        <v/>
      </c>
      <c r="X2974" s="79" t="str">
        <f>IF(OR(TH!N2974=TH!$X$7,O2974=TH!$X$7),"x","")</f>
        <v/>
      </c>
      <c r="Y2974" s="79" t="str">
        <f>IF(AND(OR(N2974="131",O2974="131"),H2974='131-CT'!$H$9),"x","")</f>
        <v/>
      </c>
      <c r="Z2974" s="79"/>
      <c r="AA2974" s="79" t="str">
        <f>IF(AND(MONTH(E2974)='IN-NX'!$J$5,'IN-NX'!$D$7=D2974),"x","")</f>
        <v/>
      </c>
      <c r="AB2974" s="79" t="str">
        <f>IF(AND(OR(LEFT(TH!N2974,2)="15",LEFT(TH!O2974,2)="15"),LEFT(TH!O2974,3)&lt;&gt;"111",'152-CT'!$J$8=TH!F2974),"x","")</f>
        <v/>
      </c>
      <c r="AC2974" s="79" t="str">
        <f>IF(AND(OR(LEFT(TH!N2974,2)="15",LEFT(TH!O2974,2)="15"),TK!$E$7=TH!F2974),"x","")</f>
        <v/>
      </c>
      <c r="AD2974" s="79" t="str">
        <f>IF(AND(N2974="1521",MONTH(C2974)='BK-NL'!$M$11),"x","")</f>
        <v/>
      </c>
    </row>
    <row r="2975" spans="1:30" ht="16.5" customHeight="1">
      <c r="A2975" s="318" t="str">
        <f>IF(B2975&lt;&gt;"",IF(AND(B2975='[3]IN-TC'!$S$4,OR([3]TH!N2519="1111",[3]TH!O2519="1111")),[3]TH!D2519,""),"")</f>
        <v/>
      </c>
      <c r="B2975" s="60" t="str">
        <f t="shared" si="340"/>
        <v/>
      </c>
      <c r="C2975" s="974"/>
      <c r="D2975" s="974"/>
      <c r="E2975" s="974"/>
      <c r="F2975" s="975"/>
      <c r="G2975" s="975"/>
      <c r="H2975" s="77"/>
      <c r="I2975" s="383"/>
      <c r="J2975" s="391"/>
      <c r="K2975" s="383"/>
      <c r="L2975" s="390"/>
      <c r="M2975" s="78"/>
      <c r="N2975" s="979"/>
      <c r="O2975" s="979"/>
      <c r="P2975" s="79" t="str">
        <f>IF(AND('331-CT'!$E$7=TH!H2975,OR(N2975="331",O2975="331")),"x","")</f>
        <v/>
      </c>
      <c r="Q2975" s="79" t="str">
        <f>IF(AND(B2975='111'!$L$11,OR($N2975=$Q$7,$O2975=$Q$7)),"x","")</f>
        <v/>
      </c>
      <c r="R2975" s="79" t="str">
        <f>IF(AND($N2975=$Q$7,$B2975&lt;'111'!$L$11),"x","")</f>
        <v/>
      </c>
      <c r="S2975" s="79" t="str">
        <f>IF(AND($O2975=$Q$7,$B2975&lt;'111'!$L$11),"x","")</f>
        <v/>
      </c>
      <c r="T2975" s="79" t="str">
        <f>IF(ISERROR(FIND('112'!$M$9,G2975,1)),"",IF((AND(FIND('112'!$M$9,G2975,1)&gt;=1,B2975='112'!$K$9,OR($N2975='112'!$I$6,$O2975='112'!$I$6))),"x",""))</f>
        <v/>
      </c>
      <c r="U2975" s="79" t="str">
        <f>IF(ISERROR(FIND('112'!$M$9,G2975,1)),"",IF((AND(LEFT(G2975,2)=LEFT('112'!$M$9,2),B2975&lt;'112'!$K$9,$N2975='112'!$I$6)),"x",""))</f>
        <v/>
      </c>
      <c r="V2975" s="79" t="str">
        <f>IF(ISERROR(FIND('112'!$M$9,G2975,1)),"",IF((AND(RIGHT(G2975,2)=RIGHT('112'!$M$9,2),B2975&lt;'112'!$K$9,$O2975='112'!$I$6)),"x",""))</f>
        <v/>
      </c>
      <c r="W2975" s="79" t="str">
        <f>IF(AND('341-CT'!$H$9=H2975,OR(LEFT(N2975,3)=$W$7,LEFT(O2975,3)=$W$7)),"x","")</f>
        <v/>
      </c>
      <c r="X2975" s="79" t="str">
        <f>IF(OR(TH!N2975=TH!$X$7,O2975=TH!$X$7),"x","")</f>
        <v/>
      </c>
      <c r="Y2975" s="79" t="str">
        <f>IF(AND(OR(N2975="131",O2975="131"),H2975='131-CT'!$H$9),"x","")</f>
        <v/>
      </c>
      <c r="Z2975" s="79"/>
      <c r="AA2975" s="79" t="str">
        <f>IF(AND(MONTH(E2975)='IN-NX'!$J$5,'IN-NX'!$D$7=D2975),"x","")</f>
        <v/>
      </c>
      <c r="AB2975" s="79" t="str">
        <f>IF(AND(OR(LEFT(TH!N2975,2)="15",LEFT(TH!O2975,2)="15"),LEFT(TH!O2975,3)&lt;&gt;"111",'152-CT'!$J$8=TH!F2975),"x","")</f>
        <v/>
      </c>
      <c r="AC2975" s="79" t="str">
        <f>IF(AND(OR(LEFT(TH!N2975,2)="15",LEFT(TH!O2975,2)="15"),TK!$E$7=TH!F2975),"x","")</f>
        <v/>
      </c>
      <c r="AD2975" s="79" t="str">
        <f>IF(AND(N2975="1521",MONTH(C2975)='BK-NL'!$M$11),"x","")</f>
        <v/>
      </c>
    </row>
    <row r="2976" spans="1:30" ht="16.5" customHeight="1">
      <c r="A2976" s="318" t="str">
        <f>IF(B2976&lt;&gt;"",IF(AND(B2976='[3]IN-TC'!$S$4,OR([3]TH!N2520="1111",[3]TH!O2520="1111")),[3]TH!D2520,""),"")</f>
        <v/>
      </c>
      <c r="B2976" s="60" t="str">
        <f t="shared" si="340"/>
        <v/>
      </c>
      <c r="C2976" s="974"/>
      <c r="D2976" s="974"/>
      <c r="E2976" s="974"/>
      <c r="F2976" s="975"/>
      <c r="G2976" s="975"/>
      <c r="H2976" s="77"/>
      <c r="I2976" s="383"/>
      <c r="J2976" s="391"/>
      <c r="K2976" s="383"/>
      <c r="L2976" s="390"/>
      <c r="M2976" s="78"/>
      <c r="N2976" s="979"/>
      <c r="O2976" s="979"/>
      <c r="P2976" s="79" t="str">
        <f>IF(AND('331-CT'!$E$7=TH!H2976,OR(N2976="331",O2976="331")),"x","")</f>
        <v/>
      </c>
      <c r="Q2976" s="79" t="str">
        <f>IF(AND(B2976='111'!$L$11,OR($N2976=$Q$7,$O2976=$Q$7)),"x","")</f>
        <v/>
      </c>
      <c r="R2976" s="79" t="str">
        <f>IF(AND($N2976=$Q$7,$B2976&lt;'111'!$L$11),"x","")</f>
        <v/>
      </c>
      <c r="S2976" s="79" t="str">
        <f>IF(AND($O2976=$Q$7,$B2976&lt;'111'!$L$11),"x","")</f>
        <v/>
      </c>
      <c r="T2976" s="79" t="str">
        <f>IF(ISERROR(FIND('112'!$M$9,G2976,1)),"",IF((AND(FIND('112'!$M$9,G2976,1)&gt;=1,B2976='112'!$K$9,OR($N2976='112'!$I$6,$O2976='112'!$I$6))),"x",""))</f>
        <v/>
      </c>
      <c r="U2976" s="79" t="str">
        <f>IF(ISERROR(FIND('112'!$M$9,G2976,1)),"",IF((AND(LEFT(G2976,2)=LEFT('112'!$M$9,2),B2976&lt;'112'!$K$9,$N2976='112'!$I$6)),"x",""))</f>
        <v/>
      </c>
      <c r="V2976" s="79" t="str">
        <f>IF(ISERROR(FIND('112'!$M$9,G2976,1)),"",IF((AND(RIGHT(G2976,2)=RIGHT('112'!$M$9,2),B2976&lt;'112'!$K$9,$O2976='112'!$I$6)),"x",""))</f>
        <v/>
      </c>
      <c r="W2976" s="79" t="str">
        <f>IF(AND('341-CT'!$H$9=H2976,OR(LEFT(N2976,3)=$W$7,LEFT(O2976,3)=$W$7)),"x","")</f>
        <v/>
      </c>
      <c r="X2976" s="79" t="str">
        <f>IF(OR(TH!N2976=TH!$X$7,O2976=TH!$X$7),"x","")</f>
        <v/>
      </c>
      <c r="Y2976" s="79" t="str">
        <f>IF(AND(OR(N2976="131",O2976="131"),H2976='131-CT'!$H$9),"x","")</f>
        <v/>
      </c>
      <c r="Z2976" s="79"/>
      <c r="AA2976" s="79" t="str">
        <f>IF(AND(MONTH(E2976)='IN-NX'!$J$5,'IN-NX'!$D$7=D2976),"x","")</f>
        <v/>
      </c>
      <c r="AB2976" s="79" t="str">
        <f>IF(AND(OR(LEFT(TH!N2976,2)="15",LEFT(TH!O2976,2)="15"),LEFT(TH!O2976,3)&lt;&gt;"111",'152-CT'!$J$8=TH!F2976),"x","")</f>
        <v/>
      </c>
      <c r="AC2976" s="79" t="str">
        <f>IF(AND(OR(LEFT(TH!N2976,2)="15",LEFT(TH!O2976,2)="15"),TK!$E$7=TH!F2976),"x","")</f>
        <v/>
      </c>
      <c r="AD2976" s="79" t="str">
        <f>IF(AND(N2976="1521",MONTH(C2976)='BK-NL'!$M$11),"x","")</f>
        <v/>
      </c>
    </row>
    <row r="2977" spans="1:30" ht="16.5" customHeight="1">
      <c r="A2977" s="318" t="str">
        <f>IF(B2977&lt;&gt;"",IF(AND(B2977='[3]IN-TC'!$S$4,OR([3]TH!N2521="1111",[3]TH!O2521="1111")),[3]TH!D2521,""),"")</f>
        <v/>
      </c>
      <c r="B2977" s="60" t="str">
        <f t="shared" ref="B2977" si="342">IF(C2977&lt;&gt;"",MONTH(C2977),"")</f>
        <v/>
      </c>
      <c r="C2977" s="974"/>
      <c r="D2977" s="974"/>
      <c r="E2977" s="974"/>
      <c r="F2977" s="975"/>
      <c r="G2977" s="975"/>
      <c r="H2977" s="77"/>
      <c r="I2977" s="383"/>
      <c r="J2977" s="391"/>
      <c r="K2977" s="383"/>
      <c r="L2977" s="390"/>
      <c r="M2977" s="78"/>
      <c r="N2977" s="979"/>
      <c r="O2977" s="979"/>
      <c r="P2977" s="79" t="str">
        <f>IF(AND('331-CT'!$E$7=TH!H2977,OR(N2977="331",O2977="331")),"x","")</f>
        <v/>
      </c>
      <c r="Q2977" s="79" t="str">
        <f>IF(AND(B2977='111'!$L$11,OR($N2977=$Q$7,$O2977=$Q$7)),"x","")</f>
        <v/>
      </c>
      <c r="R2977" s="79" t="str">
        <f>IF(AND($N2977=$Q$7,$B2977&lt;'111'!$L$11),"x","")</f>
        <v/>
      </c>
      <c r="S2977" s="79" t="str">
        <f>IF(AND($O2977=$Q$7,$B2977&lt;'111'!$L$11),"x","")</f>
        <v/>
      </c>
      <c r="T2977" s="79" t="str">
        <f>IF(ISERROR(FIND('112'!$M$9,G2977,1)),"",IF((AND(FIND('112'!$M$9,G2977,1)&gt;=1,B2977='112'!$K$9,OR($N2977='112'!$I$6,$O2977='112'!$I$6))),"x",""))</f>
        <v/>
      </c>
      <c r="U2977" s="79" t="str">
        <f>IF(ISERROR(FIND('112'!$M$9,G2977,1)),"",IF((AND(LEFT(G2977,2)=LEFT('112'!$M$9,2),B2977&lt;'112'!$K$9,$N2977='112'!$I$6)),"x",""))</f>
        <v/>
      </c>
      <c r="V2977" s="79" t="str">
        <f>IF(ISERROR(FIND('112'!$M$9,G2977,1)),"",IF((AND(RIGHT(G2977,2)=RIGHT('112'!$M$9,2),B2977&lt;'112'!$K$9,$O2977='112'!$I$6)),"x",""))</f>
        <v/>
      </c>
      <c r="W2977" s="79" t="str">
        <f>IF(AND('341-CT'!$H$9=H2977,OR(LEFT(N2977,3)=$W$7,LEFT(O2977,3)=$W$7)),"x","")</f>
        <v/>
      </c>
      <c r="X2977" s="79" t="str">
        <f>IF(OR(TH!N2977=TH!$X$7,O2977=TH!$X$7),"x","")</f>
        <v/>
      </c>
      <c r="Y2977" s="79" t="str">
        <f>IF(AND(OR(N2977="131",O2977="131"),H2977='131-CT'!$H$9),"x","")</f>
        <v/>
      </c>
      <c r="Z2977" s="79"/>
      <c r="AA2977" s="79" t="str">
        <f>IF(AND(MONTH(E2977)='IN-NX'!$J$5,'IN-NX'!$D$7=D2977),"x","")</f>
        <v/>
      </c>
      <c r="AB2977" s="79" t="str">
        <f>IF(AND(OR(LEFT(TH!N2977,2)="15",LEFT(TH!O2977,2)="15"),LEFT(TH!O2977,3)&lt;&gt;"111",'152-CT'!$J$8=TH!F2977),"x","")</f>
        <v/>
      </c>
      <c r="AC2977" s="79" t="str">
        <f>IF(AND(OR(LEFT(TH!N2977,2)="15",LEFT(TH!O2977,2)="15"),TK!$E$7=TH!F2977),"x","")</f>
        <v/>
      </c>
      <c r="AD2977" s="79" t="str">
        <f>IF(AND(N2977="1521",MONTH(C2977)='BK-NL'!$M$11),"x","")</f>
        <v/>
      </c>
    </row>
    <row r="2978" spans="1:30" ht="16.5" customHeight="1">
      <c r="A2978" s="318" t="str">
        <f>IF(B2978&lt;&gt;"",IF(AND(B2978='[3]IN-TC'!$S$4,OR([3]TH!N2518="1111",[3]TH!O2518="1111")),[3]TH!D2518,""),"")</f>
        <v/>
      </c>
      <c r="B2978" s="60" t="str">
        <f t="shared" si="340"/>
        <v/>
      </c>
      <c r="C2978" s="974"/>
      <c r="D2978" s="974"/>
      <c r="E2978" s="974"/>
      <c r="F2978" s="975"/>
      <c r="G2978" s="975"/>
      <c r="H2978" s="77"/>
      <c r="I2978" s="383"/>
      <c r="J2978" s="391"/>
      <c r="K2978" s="383"/>
      <c r="L2978" s="390"/>
      <c r="M2978" s="78"/>
      <c r="N2978" s="979"/>
      <c r="O2978" s="979"/>
      <c r="P2978" s="79" t="str">
        <f>IF(AND('331-CT'!$E$7=TH!H2978,OR(N2978="331",O2978="331")),"x","")</f>
        <v/>
      </c>
      <c r="Q2978" s="79" t="str">
        <f>IF(AND(B2978='111'!$L$11,OR($N2978=$Q$7,$O2978=$Q$7)),"x","")</f>
        <v/>
      </c>
      <c r="R2978" s="79" t="str">
        <f>IF(AND($N2978=$Q$7,$B2978&lt;'111'!$L$11),"x","")</f>
        <v/>
      </c>
      <c r="S2978" s="79" t="str">
        <f>IF(AND($O2978=$Q$7,$B2978&lt;'111'!$L$11),"x","")</f>
        <v/>
      </c>
      <c r="T2978" s="79" t="str">
        <f>IF(ISERROR(FIND('112'!$M$9,G2978,1)),"",IF((AND(FIND('112'!$M$9,G2978,1)&gt;=1,B2978='112'!$K$9,OR($N2978='112'!$I$6,$O2978='112'!$I$6))),"x",""))</f>
        <v/>
      </c>
      <c r="U2978" s="79" t="str">
        <f>IF(ISERROR(FIND('112'!$M$9,G2978,1)),"",IF((AND(LEFT(G2978,2)=LEFT('112'!$M$9,2),B2978&lt;'112'!$K$9,$N2978='112'!$I$6)),"x",""))</f>
        <v/>
      </c>
      <c r="V2978" s="79" t="str">
        <f>IF(ISERROR(FIND('112'!$M$9,G2978,1)),"",IF((AND(RIGHT(G2978,2)=RIGHT('112'!$M$9,2),B2978&lt;'112'!$K$9,$O2978='112'!$I$6)),"x",""))</f>
        <v/>
      </c>
      <c r="W2978" s="79" t="str">
        <f>IF(AND('341-CT'!$H$9=H2978,OR(LEFT(N2978,3)=$W$7,LEFT(O2978,3)=$W$7)),"x","")</f>
        <v/>
      </c>
      <c r="X2978" s="79" t="str">
        <f>IF(OR(TH!N2978=TH!$X$7,O2978=TH!$X$7),"x","")</f>
        <v/>
      </c>
      <c r="Y2978" s="79" t="str">
        <f>IF(AND(OR(N2978="131",O2978="131"),H2978='131-CT'!$H$9),"x","")</f>
        <v/>
      </c>
      <c r="Z2978" s="79"/>
      <c r="AA2978" s="79" t="str">
        <f>IF(AND(MONTH(E2978)='IN-NX'!$J$5,'IN-NX'!$D$7=D2978),"x","")</f>
        <v/>
      </c>
      <c r="AB2978" s="79" t="str">
        <f>IF(AND(OR(LEFT(TH!N2978,2)="15",LEFT(TH!O2978,2)="15"),LEFT(TH!O2978,3)&lt;&gt;"111",'152-CT'!$J$8=TH!F2978),"x","")</f>
        <v/>
      </c>
      <c r="AC2978" s="79" t="str">
        <f>IF(AND(OR(LEFT(TH!N2978,2)="15",LEFT(TH!O2978,2)="15"),TK!$E$7=TH!F2978),"x","")</f>
        <v/>
      </c>
      <c r="AD2978" s="79" t="str">
        <f>IF(AND(N2978="1521",MONTH(C2978)='BK-NL'!$M$11),"x","")</f>
        <v/>
      </c>
    </row>
    <row r="2979" spans="1:30" ht="16.5" customHeight="1">
      <c r="A2979" s="318" t="str">
        <f>IF(B2979&lt;&gt;"",IF(AND(B2979='[3]IN-TC'!$S$4,OR([3]TH!N2519="1111",[3]TH!O2519="1111")),[3]TH!D2519,""),"")</f>
        <v/>
      </c>
      <c r="B2979" s="60" t="str">
        <f t="shared" ref="B2979:B2981" si="343">IF(C2979&lt;&gt;"",MONTH(C2979),"")</f>
        <v/>
      </c>
      <c r="C2979" s="974"/>
      <c r="D2979" s="974"/>
      <c r="E2979" s="974"/>
      <c r="F2979" s="975"/>
      <c r="G2979" s="975"/>
      <c r="H2979" s="77"/>
      <c r="I2979" s="383"/>
      <c r="J2979" s="391"/>
      <c r="K2979" s="383"/>
      <c r="L2979" s="390"/>
      <c r="M2979" s="78"/>
      <c r="N2979" s="979"/>
      <c r="O2979" s="979"/>
      <c r="P2979" s="79" t="str">
        <f>IF(AND('331-CT'!$E$7=TH!H2979,OR(N2979="331",O2979="331")),"x","")</f>
        <v/>
      </c>
      <c r="Q2979" s="79" t="str">
        <f>IF(AND(B2979='111'!$L$11,OR($N2979=$Q$7,$O2979=$Q$7)),"x","")</f>
        <v/>
      </c>
      <c r="R2979" s="79" t="str">
        <f>IF(AND($N2979=$Q$7,$B2979&lt;'111'!$L$11),"x","")</f>
        <v/>
      </c>
      <c r="S2979" s="79" t="str">
        <f>IF(AND($O2979=$Q$7,$B2979&lt;'111'!$L$11),"x","")</f>
        <v/>
      </c>
      <c r="T2979" s="79" t="str">
        <f>IF(ISERROR(FIND('112'!$M$9,G2979,1)),"",IF((AND(FIND('112'!$M$9,G2979,1)&gt;=1,B2979='112'!$K$9,OR($N2979='112'!$I$6,$O2979='112'!$I$6))),"x",""))</f>
        <v/>
      </c>
      <c r="U2979" s="79" t="str">
        <f>IF(ISERROR(FIND('112'!$M$9,G2979,1)),"",IF((AND(LEFT(G2979,2)=LEFT('112'!$M$9,2),B2979&lt;'112'!$K$9,$N2979='112'!$I$6)),"x",""))</f>
        <v/>
      </c>
      <c r="V2979" s="79" t="str">
        <f>IF(ISERROR(FIND('112'!$M$9,G2979,1)),"",IF((AND(RIGHT(G2979,2)=RIGHT('112'!$M$9,2),B2979&lt;'112'!$K$9,$O2979='112'!$I$6)),"x",""))</f>
        <v/>
      </c>
      <c r="W2979" s="79" t="str">
        <f>IF(AND('341-CT'!$H$9=H2979,OR(LEFT(N2979,3)=$W$7,LEFT(O2979,3)=$W$7)),"x","")</f>
        <v/>
      </c>
      <c r="X2979" s="79" t="str">
        <f>IF(OR(TH!N2979=TH!$X$7,O2979=TH!$X$7),"x","")</f>
        <v/>
      </c>
      <c r="Y2979" s="79" t="str">
        <f>IF(AND(OR(N2979="131",O2979="131"),H2979='131-CT'!$H$9),"x","")</f>
        <v/>
      </c>
      <c r="Z2979" s="79"/>
      <c r="AA2979" s="79" t="str">
        <f>IF(AND(MONTH(E2979)='IN-NX'!$J$5,'IN-NX'!$D$7=D2979),"x","")</f>
        <v/>
      </c>
      <c r="AB2979" s="79" t="str">
        <f>IF(AND(OR(LEFT(TH!N2979,2)="15",LEFT(TH!O2979,2)="15"),LEFT(TH!O2979,3)&lt;&gt;"111",'152-CT'!$J$8=TH!F2979),"x","")</f>
        <v/>
      </c>
      <c r="AC2979" s="79" t="str">
        <f>IF(AND(OR(LEFT(TH!N2979,2)="15",LEFT(TH!O2979,2)="15"),TK!$E$7=TH!F2979),"x","")</f>
        <v/>
      </c>
      <c r="AD2979" s="79" t="str">
        <f>IF(AND(N2979="1521",MONTH(C2979)='BK-NL'!$M$11),"x","")</f>
        <v/>
      </c>
    </row>
    <row r="2980" spans="1:30" ht="16.5" customHeight="1">
      <c r="A2980" s="318" t="str">
        <f>IF(B2980&lt;&gt;"",IF(AND(B2980='[3]IN-TC'!$S$4,OR([3]TH!N2520="1111",[3]TH!O2520="1111")),[3]TH!D2520,""),"")</f>
        <v/>
      </c>
      <c r="B2980" s="60" t="str">
        <f t="shared" si="343"/>
        <v/>
      </c>
      <c r="C2980" s="974"/>
      <c r="D2980" s="974"/>
      <c r="E2980" s="974"/>
      <c r="F2980" s="975"/>
      <c r="G2980" s="975"/>
      <c r="H2980" s="77"/>
      <c r="I2980" s="383"/>
      <c r="J2980" s="391"/>
      <c r="K2980" s="383"/>
      <c r="L2980" s="390"/>
      <c r="M2980" s="78"/>
      <c r="N2980" s="979"/>
      <c r="O2980" s="979"/>
      <c r="P2980" s="79" t="str">
        <f>IF(AND('331-CT'!$E$7=TH!H2980,OR(N2980="331",O2980="331")),"x","")</f>
        <v/>
      </c>
      <c r="Q2980" s="79" t="str">
        <f>IF(AND(B2980='111'!$L$11,OR($N2980=$Q$7,$O2980=$Q$7)),"x","")</f>
        <v/>
      </c>
      <c r="R2980" s="79" t="str">
        <f>IF(AND($N2980=$Q$7,$B2980&lt;'111'!$L$11),"x","")</f>
        <v/>
      </c>
      <c r="S2980" s="79" t="str">
        <f>IF(AND($O2980=$Q$7,$B2980&lt;'111'!$L$11),"x","")</f>
        <v/>
      </c>
      <c r="T2980" s="79" t="str">
        <f>IF(ISERROR(FIND('112'!$M$9,G2980,1)),"",IF((AND(FIND('112'!$M$9,G2980,1)&gt;=1,B2980='112'!$K$9,OR($N2980='112'!$I$6,$O2980='112'!$I$6))),"x",""))</f>
        <v/>
      </c>
      <c r="U2980" s="79" t="str">
        <f>IF(ISERROR(FIND('112'!$M$9,G2980,1)),"",IF((AND(LEFT(G2980,2)=LEFT('112'!$M$9,2),B2980&lt;'112'!$K$9,$N2980='112'!$I$6)),"x",""))</f>
        <v/>
      </c>
      <c r="V2980" s="79" t="str">
        <f>IF(ISERROR(FIND('112'!$M$9,G2980,1)),"",IF((AND(RIGHT(G2980,2)=RIGHT('112'!$M$9,2),B2980&lt;'112'!$K$9,$O2980='112'!$I$6)),"x",""))</f>
        <v/>
      </c>
      <c r="W2980" s="79" t="str">
        <f>IF(AND('341-CT'!$H$9=H2980,OR(LEFT(N2980,3)=$W$7,LEFT(O2980,3)=$W$7)),"x","")</f>
        <v/>
      </c>
      <c r="X2980" s="79" t="str">
        <f>IF(OR(TH!N2980=TH!$X$7,O2980=TH!$X$7),"x","")</f>
        <v/>
      </c>
      <c r="Y2980" s="79" t="str">
        <f>IF(AND(OR(N2980="131",O2980="131"),H2980='131-CT'!$H$9),"x","")</f>
        <v/>
      </c>
      <c r="Z2980" s="79"/>
      <c r="AA2980" s="79" t="str">
        <f>IF(AND(MONTH(E2980)='IN-NX'!$J$5,'IN-NX'!$D$7=D2980),"x","")</f>
        <v/>
      </c>
      <c r="AB2980" s="79" t="str">
        <f>IF(AND(OR(LEFT(TH!N2980,2)="15",LEFT(TH!O2980,2)="15"),LEFT(TH!O2980,3)&lt;&gt;"111",'152-CT'!$J$8=TH!F2980),"x","")</f>
        <v/>
      </c>
      <c r="AC2980" s="79" t="str">
        <f>IF(AND(OR(LEFT(TH!N2980,2)="15",LEFT(TH!O2980,2)="15"),TK!$E$7=TH!F2980),"x","")</f>
        <v/>
      </c>
      <c r="AD2980" s="79" t="str">
        <f>IF(AND(N2980="1521",MONTH(C2980)='BK-NL'!$M$11),"x","")</f>
        <v/>
      </c>
    </row>
    <row r="2981" spans="1:30" s="1304" customFormat="1" ht="16.5" customHeight="1">
      <c r="A2981" s="318" t="str">
        <f>IF(B2981&lt;&gt;"",IF(AND(B2981='[3]IN-TC'!$S$4,OR([3]TH!N2521="1111",[3]TH!O2521="1111")),[3]TH!D2521,""),"")</f>
        <v/>
      </c>
      <c r="B2981" s="60" t="str">
        <f t="shared" si="343"/>
        <v/>
      </c>
      <c r="C2981" s="974"/>
      <c r="D2981" s="974"/>
      <c r="E2981" s="974"/>
      <c r="F2981" s="76"/>
      <c r="G2981" s="975"/>
      <c r="H2981" s="305"/>
      <c r="I2981" s="383"/>
      <c r="J2981" s="391"/>
      <c r="K2981" s="383"/>
      <c r="L2981" s="1248"/>
      <c r="M2981" s="78"/>
      <c r="N2981" s="979"/>
      <c r="O2981" s="979"/>
      <c r="P2981" s="79" t="str">
        <f>IF(AND('331-CT'!$E$7=TH!H2981,OR(N2981="331",O2981="331")),"x","")</f>
        <v/>
      </c>
      <c r="Q2981" s="79" t="str">
        <f>IF(AND(B2981='111'!$L$11,OR($N2981=$Q$7,$O2981=$Q$7)),"x","")</f>
        <v/>
      </c>
      <c r="R2981" s="79" t="str">
        <f>IF(AND($N2981=$Q$7,$B2981&lt;'111'!$L$11),"x","")</f>
        <v/>
      </c>
      <c r="S2981" s="79" t="str">
        <f>IF(AND($O2981=$Q$7,$B2981&lt;'111'!$L$11),"x","")</f>
        <v/>
      </c>
      <c r="T2981" s="79" t="str">
        <f>IF(ISERROR(FIND('112'!$M$9,G2981,1)),"",IF((AND(FIND('112'!$M$9,G2981,1)&gt;=1,B2981='112'!$K$9,OR($N2981='112'!$I$6,$O2981='112'!$I$6))),"x",""))</f>
        <v/>
      </c>
      <c r="U2981" s="79" t="str">
        <f>IF(ISERROR(FIND('112'!$M$9,G2981,1)),"",IF((AND(LEFT(G2981,2)=LEFT('112'!$M$9,2),B2981&lt;'112'!$K$9,$N2981='112'!$I$6)),"x",""))</f>
        <v/>
      </c>
      <c r="V2981" s="79" t="str">
        <f>IF(ISERROR(FIND('112'!$M$9,G2981,1)),"",IF((AND(RIGHT(G2981,2)=RIGHT('112'!$M$9,2),B2981&lt;'112'!$K$9,$O2981='112'!$I$6)),"x",""))</f>
        <v/>
      </c>
      <c r="W2981" s="79" t="str">
        <f>IF(AND('341-CT'!$H$9=H2981,OR(LEFT(N2981,3)=$W$7,LEFT(O2981,3)=$W$7)),"x","")</f>
        <v/>
      </c>
      <c r="X2981" s="79" t="str">
        <f>IF(OR(TH!N2981=TH!$X$7,O2981=TH!$X$7),"x","")</f>
        <v/>
      </c>
      <c r="Y2981" s="79" t="str">
        <f>IF(AND(OR(N2981="131",O2981="131"),H2981='131-CT'!$H$9),"x","")</f>
        <v/>
      </c>
      <c r="Z2981" s="79"/>
      <c r="AA2981" s="79" t="str">
        <f>IF(AND(MONTH(E2981)='IN-NX'!$J$5,'IN-NX'!$D$7=D2981),"x","")</f>
        <v/>
      </c>
      <c r="AB2981" s="79" t="str">
        <f>IF(AND(OR(LEFT(TH!N2981,2)="15",LEFT(TH!O2981,2)="15"),LEFT(TH!O2981,3)&lt;&gt;"111",'152-CT'!$J$8=TH!F2981),"x","")</f>
        <v/>
      </c>
      <c r="AC2981" s="79" t="str">
        <f>IF(AND(OR(LEFT(TH!N2981,2)="15",LEFT(TH!O2981,2)="15"),TK!$E$7=TH!F2981),"x","")</f>
        <v/>
      </c>
      <c r="AD2981" s="79" t="str">
        <f>IF(AND(N2981="1521",MONTH(C2981)='BK-NL'!$M$11),"x","")</f>
        <v/>
      </c>
    </row>
    <row r="2982" spans="1:30" s="1304" customFormat="1" ht="16.5" customHeight="1">
      <c r="A2982" s="318" t="str">
        <f>IF(B2982&lt;&gt;"",IF(AND(B2982='[3]IN-TC'!$S$4,OR([3]TH!N2522="1111",[3]TH!O2522="1111")),[3]TH!D2522,""),"")</f>
        <v/>
      </c>
      <c r="B2982" s="60" t="str">
        <f t="shared" ref="B2982" si="344">IF(C2982&lt;&gt;"",MONTH(C2982),"")</f>
        <v/>
      </c>
      <c r="C2982" s="974"/>
      <c r="D2982" s="974"/>
      <c r="E2982" s="974"/>
      <c r="F2982" s="975"/>
      <c r="G2982" s="975"/>
      <c r="H2982" s="305"/>
      <c r="I2982" s="383"/>
      <c r="J2982" s="391"/>
      <c r="K2982" s="383"/>
      <c r="L2982" s="1248"/>
      <c r="M2982" s="78"/>
      <c r="N2982" s="979"/>
      <c r="O2982" s="979"/>
      <c r="P2982" s="79" t="str">
        <f>IF(AND('331-CT'!$E$7=TH!H2982,OR(N2982="331",O2982="331")),"x","")</f>
        <v/>
      </c>
      <c r="Q2982" s="79" t="str">
        <f>IF(AND(B2982='111'!$L$11,OR($N2982=$Q$7,$O2982=$Q$7)),"x","")</f>
        <v/>
      </c>
      <c r="R2982" s="79" t="str">
        <f>IF(AND($N2982=$Q$7,$B2982&lt;'111'!$L$11),"x","")</f>
        <v/>
      </c>
      <c r="S2982" s="79" t="str">
        <f>IF(AND($O2982=$Q$7,$B2982&lt;'111'!$L$11),"x","")</f>
        <v/>
      </c>
      <c r="T2982" s="79" t="str">
        <f>IF(ISERROR(FIND('112'!$M$9,G2982,1)),"",IF((AND(FIND('112'!$M$9,G2982,1)&gt;=1,B2982='112'!$K$9,OR($N2982='112'!$I$6,$O2982='112'!$I$6))),"x",""))</f>
        <v/>
      </c>
      <c r="U2982" s="79" t="str">
        <f>IF(ISERROR(FIND('112'!$M$9,G2982,1)),"",IF((AND(LEFT(G2982,2)=LEFT('112'!$M$9,2),B2982&lt;'112'!$K$9,$N2982='112'!$I$6)),"x",""))</f>
        <v/>
      </c>
      <c r="V2982" s="79" t="str">
        <f>IF(ISERROR(FIND('112'!$M$9,G2982,1)),"",IF((AND(RIGHT(G2982,2)=RIGHT('112'!$M$9,2),B2982&lt;'112'!$K$9,$O2982='112'!$I$6)),"x",""))</f>
        <v/>
      </c>
      <c r="W2982" s="79" t="str">
        <f>IF(AND('341-CT'!$H$9=H2982,OR(LEFT(N2982,3)=$W$7,LEFT(O2982,3)=$W$7)),"x","")</f>
        <v/>
      </c>
      <c r="X2982" s="79" t="str">
        <f>IF(OR(TH!N2982=TH!$X$7,O2982=TH!$X$7),"x","")</f>
        <v/>
      </c>
      <c r="Y2982" s="79" t="str">
        <f>IF(AND(OR(N2982="131",O2982="131"),H2982='131-CT'!$H$9),"x","")</f>
        <v/>
      </c>
      <c r="Z2982" s="79"/>
      <c r="AA2982" s="79" t="str">
        <f>IF(AND(MONTH(E2982)='IN-NX'!$J$5,'IN-NX'!$D$7=D2982),"x","")</f>
        <v/>
      </c>
      <c r="AB2982" s="79" t="str">
        <f>IF(AND(OR(LEFT(TH!N2982,2)="15",LEFT(TH!O2982,2)="15"),LEFT(TH!O2982,3)&lt;&gt;"111",'152-CT'!$J$8=TH!F2982),"x","")</f>
        <v/>
      </c>
      <c r="AC2982" s="79" t="str">
        <f>IF(AND(OR(LEFT(TH!N2982,2)="15",LEFT(TH!O2982,2)="15"),TK!$E$7=TH!F2982),"x","")</f>
        <v/>
      </c>
      <c r="AD2982" s="79" t="str">
        <f>IF(AND(N2982="1521",MONTH(C2982)='BK-NL'!$M$11),"x","")</f>
        <v/>
      </c>
    </row>
    <row r="2983" spans="1:30" ht="16.5" customHeight="1">
      <c r="A2983" s="318" t="str">
        <f>IF(B2983&lt;&gt;"",IF(AND(B2983='[3]IN-TC'!$S$4,OR([3]TH!N2523="1111",[3]TH!O2523="1111")),[3]TH!D2523,""),"")</f>
        <v/>
      </c>
      <c r="B2983" s="60" t="str">
        <f t="shared" si="340"/>
        <v/>
      </c>
      <c r="C2983" s="974"/>
      <c r="D2983" s="974"/>
      <c r="E2983" s="974"/>
      <c r="F2983" s="76"/>
      <c r="G2983" s="975"/>
      <c r="H2983" s="77"/>
      <c r="I2983" s="383"/>
      <c r="J2983" s="391"/>
      <c r="K2983" s="383"/>
      <c r="L2983" s="1248"/>
      <c r="M2983" s="78"/>
      <c r="N2983" s="979"/>
      <c r="O2983" s="979"/>
      <c r="P2983" s="79" t="str">
        <f>IF(AND('331-CT'!$E$7=TH!H2983,OR(N2983="331",O2983="331")),"x","")</f>
        <v/>
      </c>
      <c r="Q2983" s="79" t="str">
        <f>IF(AND(B2983='111'!$L$11,OR($N2983=$Q$7,$O2983=$Q$7)),"x","")</f>
        <v/>
      </c>
      <c r="R2983" s="79" t="str">
        <f>IF(AND($N2983=$Q$7,$B2983&lt;'111'!$L$11),"x","")</f>
        <v/>
      </c>
      <c r="S2983" s="79" t="str">
        <f>IF(AND($O2983=$Q$7,$B2983&lt;'111'!$L$11),"x","")</f>
        <v/>
      </c>
      <c r="T2983" s="79" t="str">
        <f>IF(ISERROR(FIND('112'!$M$9,G2983,1)),"",IF((AND(FIND('112'!$M$9,G2983,1)&gt;=1,B2983='112'!$K$9,OR($N2983='112'!$I$6,$O2983='112'!$I$6))),"x",""))</f>
        <v/>
      </c>
      <c r="U2983" s="79" t="str">
        <f>IF(ISERROR(FIND('112'!$M$9,G2983,1)),"",IF((AND(LEFT(G2983,2)=LEFT('112'!$M$9,2),B2983&lt;'112'!$K$9,$N2983='112'!$I$6)),"x",""))</f>
        <v/>
      </c>
      <c r="V2983" s="79" t="str">
        <f>IF(ISERROR(FIND('112'!$M$9,G2983,1)),"",IF((AND(RIGHT(G2983,2)=RIGHT('112'!$M$9,2),B2983&lt;'112'!$K$9,$O2983='112'!$I$6)),"x",""))</f>
        <v/>
      </c>
      <c r="W2983" s="79" t="str">
        <f>IF(AND('341-CT'!$H$9=H2983,OR(LEFT(N2983,3)=$W$7,LEFT(O2983,3)=$W$7)),"x","")</f>
        <v/>
      </c>
      <c r="X2983" s="79" t="str">
        <f>IF(OR(TH!N2983=TH!$X$7,O2983=TH!$X$7),"x","")</f>
        <v/>
      </c>
      <c r="Y2983" s="79" t="str">
        <f>IF(AND(OR(N2983="131",O2983="131"),H2983='131-CT'!$H$9),"x","")</f>
        <v/>
      </c>
      <c r="Z2983" s="79"/>
      <c r="AA2983" s="79" t="str">
        <f>IF(AND(MONTH(E2983)='IN-NX'!$J$5,'IN-NX'!$D$7=D2983),"x","")</f>
        <v/>
      </c>
      <c r="AB2983" s="79" t="str">
        <f>IF(AND(OR(LEFT(TH!N2983,2)="15",LEFT(TH!O2983,2)="15"),LEFT(TH!O2983,3)&lt;&gt;"111",'152-CT'!$J$8=TH!F2983),"x","")</f>
        <v/>
      </c>
      <c r="AC2983" s="79" t="str">
        <f>IF(AND(OR(LEFT(TH!N2983,2)="15",LEFT(TH!O2983,2)="15"),TK!$E$7=TH!F2983),"x","")</f>
        <v/>
      </c>
      <c r="AD2983" s="79" t="str">
        <f>IF(AND(N2983="1521",MONTH(C2983)='BK-NL'!$M$11),"x","")</f>
        <v/>
      </c>
    </row>
    <row r="2984" spans="1:30" ht="16.5" customHeight="1">
      <c r="A2984" s="318" t="str">
        <f>IF(B2984&lt;&gt;"",IF(AND(B2984='[3]IN-TC'!$S$4,OR([3]TH!N2524="1111",[3]TH!O2524="1111")),[3]TH!D2524,""),"")</f>
        <v/>
      </c>
      <c r="B2984" s="60" t="str">
        <f t="shared" si="340"/>
        <v/>
      </c>
      <c r="C2984" s="974"/>
      <c r="D2984" s="974"/>
      <c r="E2984" s="974"/>
      <c r="F2984" s="975"/>
      <c r="G2984" s="975"/>
      <c r="H2984" s="77"/>
      <c r="I2984" s="383"/>
      <c r="J2984" s="391"/>
      <c r="K2984" s="383"/>
      <c r="L2984" s="1248"/>
      <c r="M2984" s="78"/>
      <c r="N2984" s="979"/>
      <c r="O2984" s="979"/>
      <c r="P2984" s="79" t="str">
        <f>IF(AND('331-CT'!$E$7=TH!H2984,OR(N2984="331",O2984="331")),"x","")</f>
        <v/>
      </c>
      <c r="Q2984" s="79" t="str">
        <f>IF(AND(B2984='111'!$L$11,OR($N2984=$Q$7,$O2984=$Q$7)),"x","")</f>
        <v/>
      </c>
      <c r="R2984" s="79" t="str">
        <f>IF(AND($N2984=$Q$7,$B2984&lt;'111'!$L$11),"x","")</f>
        <v/>
      </c>
      <c r="S2984" s="79" t="str">
        <f>IF(AND($O2984=$Q$7,$B2984&lt;'111'!$L$11),"x","")</f>
        <v/>
      </c>
      <c r="T2984" s="79" t="str">
        <f>IF(ISERROR(FIND('112'!$M$9,G2984,1)),"",IF((AND(FIND('112'!$M$9,G2984,1)&gt;=1,B2984='112'!$K$9,OR($N2984='112'!$I$6,$O2984='112'!$I$6))),"x",""))</f>
        <v/>
      </c>
      <c r="U2984" s="79" t="str">
        <f>IF(ISERROR(FIND('112'!$M$9,G2984,1)),"",IF((AND(LEFT(G2984,2)=LEFT('112'!$M$9,2),B2984&lt;'112'!$K$9,$N2984='112'!$I$6)),"x",""))</f>
        <v/>
      </c>
      <c r="V2984" s="79" t="str">
        <f>IF(ISERROR(FIND('112'!$M$9,G2984,1)),"",IF((AND(RIGHT(G2984,2)=RIGHT('112'!$M$9,2),B2984&lt;'112'!$K$9,$O2984='112'!$I$6)),"x",""))</f>
        <v/>
      </c>
      <c r="W2984" s="79" t="str">
        <f>IF(AND('341-CT'!$H$9=H2984,OR(LEFT(N2984,3)=$W$7,LEFT(O2984,3)=$W$7)),"x","")</f>
        <v/>
      </c>
      <c r="X2984" s="79" t="str">
        <f>IF(OR(TH!N2984=TH!$X$7,O2984=TH!$X$7),"x","")</f>
        <v/>
      </c>
      <c r="Y2984" s="79" t="str">
        <f>IF(AND(OR(N2984="131",O2984="131"),H2984='131-CT'!$H$9),"x","")</f>
        <v/>
      </c>
      <c r="Z2984" s="79"/>
      <c r="AA2984" s="79" t="str">
        <f>IF(AND(MONTH(E2984)='IN-NX'!$J$5,'IN-NX'!$D$7=D2984),"x","")</f>
        <v/>
      </c>
      <c r="AB2984" s="79" t="str">
        <f>IF(AND(OR(LEFT(TH!N2984,2)="15",LEFT(TH!O2984,2)="15"),LEFT(TH!O2984,3)&lt;&gt;"111",'152-CT'!$J$8=TH!F2984),"x","")</f>
        <v/>
      </c>
      <c r="AC2984" s="79" t="str">
        <f>IF(AND(OR(LEFT(TH!N2984,2)="15",LEFT(TH!O2984,2)="15"),TK!$E$7=TH!F2984),"x","")</f>
        <v/>
      </c>
      <c r="AD2984" s="79" t="str">
        <f>IF(AND(N2984="1521",MONTH(C2984)='BK-NL'!$M$11),"x","")</f>
        <v/>
      </c>
    </row>
    <row r="2985" spans="1:30" ht="16.5" customHeight="1">
      <c r="A2985" s="318" t="str">
        <f>IF(B2985&lt;&gt;"",IF(AND(B2985='[3]IN-TC'!$S$4,OR([3]TH!N2525="1111",[3]TH!O2525="1111")),[3]TH!D2525,""),"")</f>
        <v/>
      </c>
      <c r="B2985" s="60" t="str">
        <f t="shared" ref="B2985" si="345">IF(C2985&lt;&gt;"",MONTH(C2985),"")</f>
        <v/>
      </c>
      <c r="C2985" s="974"/>
      <c r="D2985" s="974"/>
      <c r="E2985" s="974"/>
      <c r="F2985" s="975"/>
      <c r="G2985" s="975"/>
      <c r="H2985" s="77"/>
      <c r="I2985" s="383"/>
      <c r="J2985" s="391"/>
      <c r="K2985" s="383"/>
      <c r="L2985" s="390"/>
      <c r="M2985" s="78"/>
      <c r="N2985" s="979"/>
      <c r="O2985" s="979"/>
      <c r="P2985" s="79" t="str">
        <f>IF(AND('331-CT'!$E$7=TH!H2985,OR(N2985="331",O2985="331")),"x","")</f>
        <v/>
      </c>
      <c r="Q2985" s="79" t="str">
        <f>IF(AND(B2985='111'!$L$11,OR($N2985=$Q$7,$O2985=$Q$7)),"x","")</f>
        <v/>
      </c>
      <c r="R2985" s="79" t="str">
        <f>IF(AND($N2985=$Q$7,$B2985&lt;'111'!$L$11),"x","")</f>
        <v/>
      </c>
      <c r="S2985" s="79" t="str">
        <f>IF(AND($O2985=$Q$7,$B2985&lt;'111'!$L$11),"x","")</f>
        <v/>
      </c>
      <c r="T2985" s="79" t="str">
        <f>IF(ISERROR(FIND('112'!$M$9,G2985,1)),"",IF((AND(FIND('112'!$M$9,G2985,1)&gt;=1,B2985='112'!$K$9,OR($N2985='112'!$I$6,$O2985='112'!$I$6))),"x",""))</f>
        <v/>
      </c>
      <c r="U2985" s="79" t="str">
        <f>IF(ISERROR(FIND('112'!$M$9,G2985,1)),"",IF((AND(LEFT(G2985,2)=LEFT('112'!$M$9,2),B2985&lt;'112'!$K$9,$N2985='112'!$I$6)),"x",""))</f>
        <v/>
      </c>
      <c r="V2985" s="79" t="str">
        <f>IF(ISERROR(FIND('112'!$M$9,G2985,1)),"",IF((AND(RIGHT(G2985,2)=RIGHT('112'!$M$9,2),B2985&lt;'112'!$K$9,$O2985='112'!$I$6)),"x",""))</f>
        <v/>
      </c>
      <c r="W2985" s="79" t="str">
        <f>IF(AND('341-CT'!$H$9=H2985,OR(LEFT(N2985,3)=$W$7,LEFT(O2985,3)=$W$7)),"x","")</f>
        <v/>
      </c>
      <c r="X2985" s="79" t="str">
        <f>IF(OR(TH!N2985=TH!$X$7,O2985=TH!$X$7),"x","")</f>
        <v/>
      </c>
      <c r="Y2985" s="79" t="str">
        <f>IF(AND(OR(N2985="131",O2985="131"),H2985='131-CT'!$H$9),"x","")</f>
        <v/>
      </c>
      <c r="Z2985" s="79"/>
      <c r="AA2985" s="79" t="str">
        <f>IF(AND(MONTH(E2985)='IN-NX'!$J$5,'IN-NX'!$D$7=D2985),"x","")</f>
        <v/>
      </c>
      <c r="AB2985" s="79" t="str">
        <f>IF(AND(OR(LEFT(TH!N2985,2)="15",LEFT(TH!O2985,2)="15"),LEFT(TH!O2985,3)&lt;&gt;"111",'152-CT'!$J$8=TH!F2985),"x","")</f>
        <v/>
      </c>
      <c r="AC2985" s="79" t="str">
        <f>IF(AND(OR(LEFT(TH!N2985,2)="15",LEFT(TH!O2985,2)="15"),TK!$E$7=TH!F2985),"x","")</f>
        <v/>
      </c>
      <c r="AD2985" s="79" t="str">
        <f>IF(AND(N2985="1521",MONTH(C2985)='BK-NL'!$M$11),"x","")</f>
        <v/>
      </c>
    </row>
    <row r="2986" spans="1:30" ht="16.5" customHeight="1">
      <c r="A2986" s="318" t="str">
        <f>IF(B2986&lt;&gt;"",IF(AND(B2986='[3]IN-TC'!$S$4,OR([3]TH!N2526="1111",[3]TH!O2526="1111")),[3]TH!D2526,""),"")</f>
        <v/>
      </c>
      <c r="B2986" s="60" t="str">
        <f t="shared" ref="B2986:B3014" si="346">IF(C2986&lt;&gt;"",MONTH(C2986),"")</f>
        <v/>
      </c>
      <c r="C2986" s="974"/>
      <c r="D2986" s="974"/>
      <c r="E2986" s="974"/>
      <c r="F2986" s="975"/>
      <c r="G2986" s="975"/>
      <c r="H2986" s="77"/>
      <c r="I2986" s="383"/>
      <c r="J2986" s="391"/>
      <c r="K2986" s="383"/>
      <c r="L2986" s="390"/>
      <c r="M2986" s="78"/>
      <c r="N2986" s="979"/>
      <c r="O2986" s="979"/>
      <c r="P2986" s="79" t="str">
        <f>IF(AND('331-CT'!$E$7=TH!H2986,OR(N2986="331",O2986="331")),"x","")</f>
        <v/>
      </c>
      <c r="Q2986" s="79" t="str">
        <f>IF(AND(B2986='111'!$L$11,OR($N2986=$Q$7,$O2986=$Q$7)),"x","")</f>
        <v/>
      </c>
      <c r="R2986" s="79" t="str">
        <f>IF(AND($N2986=$Q$7,$B2986&lt;'111'!$L$11),"x","")</f>
        <v/>
      </c>
      <c r="S2986" s="79" t="str">
        <f>IF(AND($O2986=$Q$7,$B2986&lt;'111'!$L$11),"x","")</f>
        <v/>
      </c>
      <c r="T2986" s="79" t="str">
        <f>IF(ISERROR(FIND('112'!$M$9,G2986,1)),"",IF((AND(FIND('112'!$M$9,G2986,1)&gt;=1,B2986='112'!$K$9,OR($N2986='112'!$I$6,$O2986='112'!$I$6))),"x",""))</f>
        <v/>
      </c>
      <c r="U2986" s="79" t="str">
        <f>IF(ISERROR(FIND('112'!$M$9,G2986,1)),"",IF((AND(LEFT(G2986,2)=LEFT('112'!$M$9,2),B2986&lt;'112'!$K$9,$N2986='112'!$I$6)),"x",""))</f>
        <v/>
      </c>
      <c r="V2986" s="79" t="str">
        <f>IF(ISERROR(FIND('112'!$M$9,G2986,1)),"",IF((AND(RIGHT(G2986,2)=RIGHT('112'!$M$9,2),B2986&lt;'112'!$K$9,$O2986='112'!$I$6)),"x",""))</f>
        <v/>
      </c>
      <c r="W2986" s="79" t="str">
        <f>IF(AND('341-CT'!$H$9=H2986,OR(LEFT(N2986,3)=$W$7,LEFT(O2986,3)=$W$7)),"x","")</f>
        <v/>
      </c>
      <c r="X2986" s="79" t="str">
        <f>IF(OR(TH!N2986=TH!$X$7,O2986=TH!$X$7),"x","")</f>
        <v/>
      </c>
      <c r="Y2986" s="79" t="str">
        <f>IF(AND(OR(N2986="131",O2986="131"),H2986='131-CT'!$H$9),"x","")</f>
        <v/>
      </c>
      <c r="Z2986" s="79"/>
      <c r="AA2986" s="79" t="str">
        <f>IF(AND(MONTH(E2986)='IN-NX'!$J$5,'IN-NX'!$D$7=D2986),"x","")</f>
        <v/>
      </c>
      <c r="AB2986" s="79" t="str">
        <f>IF(AND(OR(LEFT(TH!N2986,2)="15",LEFT(TH!O2986,2)="15"),LEFT(TH!O2986,3)&lt;&gt;"111",'152-CT'!$J$8=TH!F2986),"x","")</f>
        <v/>
      </c>
      <c r="AC2986" s="79" t="str">
        <f>IF(AND(OR(LEFT(TH!N2986,2)="15",LEFT(TH!O2986,2)="15"),TK!$E$7=TH!F2986),"x","")</f>
        <v/>
      </c>
      <c r="AD2986" s="79" t="str">
        <f>IF(AND(N2986="1521",MONTH(C2986)='BK-NL'!$M$11),"x","")</f>
        <v/>
      </c>
    </row>
    <row r="2987" spans="1:30" ht="16.5" customHeight="1">
      <c r="A2987" s="318" t="str">
        <f>IF(B2987&lt;&gt;"",IF(AND(B2987='[3]IN-TC'!$S$4,OR([3]TH!N2527="1111",[3]TH!O2527="1111")),[3]TH!D2527,""),"")</f>
        <v/>
      </c>
      <c r="B2987" s="60" t="str">
        <f t="shared" ref="B2987" si="347">IF(C2987&lt;&gt;"",MONTH(C2987),"")</f>
        <v/>
      </c>
      <c r="C2987" s="974"/>
      <c r="D2987" s="974"/>
      <c r="E2987" s="974"/>
      <c r="F2987" s="975"/>
      <c r="G2987" s="975"/>
      <c r="H2987" s="77"/>
      <c r="I2987" s="383"/>
      <c r="J2987" s="391"/>
      <c r="K2987" s="383"/>
      <c r="L2987" s="390"/>
      <c r="M2987" s="78"/>
      <c r="N2987" s="979"/>
      <c r="O2987" s="979"/>
      <c r="P2987" s="79" t="str">
        <f>IF(AND('331-CT'!$E$7=TH!H2987,OR(N2987="331",O2987="331")),"x","")</f>
        <v/>
      </c>
      <c r="Q2987" s="79" t="str">
        <f>IF(AND(B2987='111'!$L$11,OR($N2987=$Q$7,$O2987=$Q$7)),"x","")</f>
        <v/>
      </c>
      <c r="R2987" s="79" t="str">
        <f>IF(AND($N2987=$Q$7,$B2987&lt;'111'!$L$11),"x","")</f>
        <v/>
      </c>
      <c r="S2987" s="79" t="str">
        <f>IF(AND($O2987=$Q$7,$B2987&lt;'111'!$L$11),"x","")</f>
        <v/>
      </c>
      <c r="T2987" s="79" t="str">
        <f>IF(ISERROR(FIND('112'!$M$9,G2987,1)),"",IF((AND(FIND('112'!$M$9,G2987,1)&gt;=1,B2987='112'!$K$9,OR($N2987='112'!$I$6,$O2987='112'!$I$6))),"x",""))</f>
        <v/>
      </c>
      <c r="U2987" s="79" t="str">
        <f>IF(ISERROR(FIND('112'!$M$9,G2987,1)),"",IF((AND(LEFT(G2987,2)=LEFT('112'!$M$9,2),B2987&lt;'112'!$K$9,$N2987='112'!$I$6)),"x",""))</f>
        <v/>
      </c>
      <c r="V2987" s="79" t="str">
        <f>IF(ISERROR(FIND('112'!$M$9,G2987,1)),"",IF((AND(RIGHT(G2987,2)=RIGHT('112'!$M$9,2),B2987&lt;'112'!$K$9,$O2987='112'!$I$6)),"x",""))</f>
        <v/>
      </c>
      <c r="W2987" s="79" t="str">
        <f>IF(AND('341-CT'!$H$9=H2987,OR(LEFT(N2987,3)=$W$7,LEFT(O2987,3)=$W$7)),"x","")</f>
        <v/>
      </c>
      <c r="X2987" s="79" t="str">
        <f>IF(OR(TH!N2987=TH!$X$7,O2987=TH!$X$7),"x","")</f>
        <v/>
      </c>
      <c r="Y2987" s="79" t="str">
        <f>IF(AND(OR(N2987="131",O2987="131"),H2987='131-CT'!$H$9),"x","")</f>
        <v/>
      </c>
      <c r="Z2987" s="79"/>
      <c r="AA2987" s="79" t="str">
        <f>IF(AND(MONTH(E2987)='IN-NX'!$J$5,'IN-NX'!$D$7=D2987),"x","")</f>
        <v/>
      </c>
      <c r="AB2987" s="79" t="str">
        <f>IF(AND(OR(LEFT(TH!N2987,2)="15",LEFT(TH!O2987,2)="15"),LEFT(TH!O2987,3)&lt;&gt;"111",'152-CT'!$J$8=TH!F2987),"x","")</f>
        <v/>
      </c>
      <c r="AC2987" s="79" t="str">
        <f>IF(AND(OR(LEFT(TH!N2987,2)="15",LEFT(TH!O2987,2)="15"),TK!$E$7=TH!F2987),"x","")</f>
        <v/>
      </c>
      <c r="AD2987" s="79" t="str">
        <f>IF(AND(N2987="1521",MONTH(C2987)='BK-NL'!$M$11),"x","")</f>
        <v/>
      </c>
    </row>
    <row r="2988" spans="1:30" ht="16.5" customHeight="1">
      <c r="A2988" s="318" t="str">
        <f>IF(B2988&lt;&gt;"",IF(AND(B2988='[3]IN-TC'!$S$4,OR([3]TH!N2527="1111",[3]TH!O2527="1111")),[3]TH!D2527,""),"")</f>
        <v/>
      </c>
      <c r="B2988" s="60" t="str">
        <f t="shared" si="346"/>
        <v/>
      </c>
      <c r="C2988" s="974"/>
      <c r="D2988" s="974"/>
      <c r="E2988" s="974"/>
      <c r="F2988" s="975"/>
      <c r="G2988" s="975"/>
      <c r="H2988" s="77"/>
      <c r="I2988" s="383"/>
      <c r="J2988" s="391"/>
      <c r="K2988" s="383"/>
      <c r="L2988" s="390"/>
      <c r="M2988" s="78"/>
      <c r="N2988" s="979"/>
      <c r="O2988" s="979"/>
      <c r="P2988" s="79" t="str">
        <f>IF(AND('331-CT'!$E$7=TH!H2988,OR(N2988="331",O2988="331")),"x","")</f>
        <v/>
      </c>
      <c r="Q2988" s="79" t="str">
        <f>IF(AND(B2988='111'!$L$11,OR($N2988=$Q$7,$O2988=$Q$7)),"x","")</f>
        <v/>
      </c>
      <c r="R2988" s="79" t="str">
        <f>IF(AND($N2988=$Q$7,$B2988&lt;'111'!$L$11),"x","")</f>
        <v/>
      </c>
      <c r="S2988" s="79" t="str">
        <f>IF(AND($O2988=$Q$7,$B2988&lt;'111'!$L$11),"x","")</f>
        <v/>
      </c>
      <c r="T2988" s="79" t="str">
        <f>IF(ISERROR(FIND('112'!$M$9,G2988,1)),"",IF((AND(FIND('112'!$M$9,G2988,1)&gt;=1,B2988='112'!$K$9,OR($N2988='112'!$I$6,$O2988='112'!$I$6))),"x",""))</f>
        <v/>
      </c>
      <c r="U2988" s="79" t="str">
        <f>IF(ISERROR(FIND('112'!$M$9,G2988,1)),"",IF((AND(LEFT(G2988,2)=LEFT('112'!$M$9,2),B2988&lt;'112'!$K$9,$N2988='112'!$I$6)),"x",""))</f>
        <v/>
      </c>
      <c r="V2988" s="79" t="str">
        <f>IF(ISERROR(FIND('112'!$M$9,G2988,1)),"",IF((AND(RIGHT(G2988,2)=RIGHT('112'!$M$9,2),B2988&lt;'112'!$K$9,$O2988='112'!$I$6)),"x",""))</f>
        <v/>
      </c>
      <c r="W2988" s="79" t="str">
        <f>IF(AND('341-CT'!$H$9=H2988,OR(LEFT(N2988,3)=$W$7,LEFT(O2988,3)=$W$7)),"x","")</f>
        <v/>
      </c>
      <c r="X2988" s="79" t="str">
        <f>IF(OR(TH!N2988=TH!$X$7,O2988=TH!$X$7),"x","")</f>
        <v/>
      </c>
      <c r="Y2988" s="79" t="str">
        <f>IF(AND(OR(N2988="131",O2988="131"),H2988='131-CT'!$H$9),"x","")</f>
        <v/>
      </c>
      <c r="Z2988" s="79"/>
      <c r="AA2988" s="79" t="str">
        <f>IF(AND(MONTH(E2988)='IN-NX'!$J$5,'IN-NX'!$D$7=D2988),"x","")</f>
        <v/>
      </c>
      <c r="AB2988" s="79" t="str">
        <f>IF(AND(OR(LEFT(TH!N2988,2)="15",LEFT(TH!O2988,2)="15"),LEFT(TH!O2988,3)&lt;&gt;"111",'152-CT'!$J$8=TH!F2988),"x","")</f>
        <v/>
      </c>
      <c r="AC2988" s="79" t="str">
        <f>IF(AND(OR(LEFT(TH!N2988,2)="15",LEFT(TH!O2988,2)="15"),TK!$E$7=TH!F2988),"x","")</f>
        <v/>
      </c>
      <c r="AD2988" s="79" t="str">
        <f>IF(AND(N2988="1521",MONTH(C2988)='BK-NL'!$M$11),"x","")</f>
        <v/>
      </c>
    </row>
    <row r="2989" spans="1:30" ht="16.5" customHeight="1">
      <c r="A2989" s="318" t="str">
        <f>IF(B2989&lt;&gt;"",IF(AND(B2989='[3]IN-TC'!$S$4,OR([3]TH!N2528="1111",[3]TH!O2528="1111")),[3]TH!D2528,""),"")</f>
        <v/>
      </c>
      <c r="B2989" s="60" t="str">
        <f t="shared" si="346"/>
        <v/>
      </c>
      <c r="C2989" s="974"/>
      <c r="D2989" s="974"/>
      <c r="E2989" s="974"/>
      <c r="F2989" s="975"/>
      <c r="G2989" s="975"/>
      <c r="H2989" s="77"/>
      <c r="I2989" s="383"/>
      <c r="J2989" s="391"/>
      <c r="K2989" s="383"/>
      <c r="L2989" s="390"/>
      <c r="M2989" s="78"/>
      <c r="N2989" s="979"/>
      <c r="O2989" s="979"/>
      <c r="P2989" s="79" t="str">
        <f>IF(AND('331-CT'!$E$7=TH!H2989,OR(N2989="331",O2989="331")),"x","")</f>
        <v/>
      </c>
      <c r="Q2989" s="79" t="str">
        <f>IF(AND(B2989='111'!$L$11,OR($N2989=$Q$7,$O2989=$Q$7)),"x","")</f>
        <v/>
      </c>
      <c r="R2989" s="79" t="str">
        <f>IF(AND($N2989=$Q$7,$B2989&lt;'111'!$L$11),"x","")</f>
        <v/>
      </c>
      <c r="S2989" s="79" t="str">
        <f>IF(AND($O2989=$Q$7,$B2989&lt;'111'!$L$11),"x","")</f>
        <v/>
      </c>
      <c r="T2989" s="79" t="str">
        <f>IF(ISERROR(FIND('112'!$M$9,G2989,1)),"",IF((AND(FIND('112'!$M$9,G2989,1)&gt;=1,B2989='112'!$K$9,OR($N2989='112'!$I$6,$O2989='112'!$I$6))),"x",""))</f>
        <v/>
      </c>
      <c r="U2989" s="79" t="str">
        <f>IF(ISERROR(FIND('112'!$M$9,G2989,1)),"",IF((AND(LEFT(G2989,2)=LEFT('112'!$M$9,2),B2989&lt;'112'!$K$9,$N2989='112'!$I$6)),"x",""))</f>
        <v/>
      </c>
      <c r="V2989" s="79" t="str">
        <f>IF(ISERROR(FIND('112'!$M$9,G2989,1)),"",IF((AND(RIGHT(G2989,2)=RIGHT('112'!$M$9,2),B2989&lt;'112'!$K$9,$O2989='112'!$I$6)),"x",""))</f>
        <v/>
      </c>
      <c r="W2989" s="79" t="str">
        <f>IF(AND('341-CT'!$H$9=H2989,OR(LEFT(N2989,3)=$W$7,LEFT(O2989,3)=$W$7)),"x","")</f>
        <v/>
      </c>
      <c r="X2989" s="79" t="str">
        <f>IF(OR(TH!N2989=TH!$X$7,O2989=TH!$X$7),"x","")</f>
        <v/>
      </c>
      <c r="Y2989" s="79" t="str">
        <f>IF(AND(OR(N2989="131",O2989="131"),H2989='131-CT'!$H$9),"x","")</f>
        <v/>
      </c>
      <c r="Z2989" s="79"/>
      <c r="AA2989" s="79" t="str">
        <f>IF(AND(MONTH(E2989)='IN-NX'!$J$5,'IN-NX'!$D$7=D2989),"x","")</f>
        <v/>
      </c>
      <c r="AB2989" s="79" t="str">
        <f>IF(AND(OR(LEFT(TH!N2989,2)="15",LEFT(TH!O2989,2)="15"),LEFT(TH!O2989,3)&lt;&gt;"111",'152-CT'!$J$8=TH!F2989),"x","")</f>
        <v/>
      </c>
      <c r="AC2989" s="79" t="str">
        <f>IF(AND(OR(LEFT(TH!N2989,2)="15",LEFT(TH!O2989,2)="15"),TK!$E$7=TH!F2989),"x","")</f>
        <v/>
      </c>
      <c r="AD2989" s="79" t="str">
        <f>IF(AND(N2989="1521",MONTH(C2989)='BK-NL'!$M$11),"x","")</f>
        <v/>
      </c>
    </row>
    <row r="2990" spans="1:30" ht="16.5" customHeight="1">
      <c r="A2990" s="318" t="str">
        <f>IF(B2990&lt;&gt;"",IF(AND(B2990='[3]IN-TC'!$S$4,OR([3]TH!N2529="1111",[3]TH!O2529="1111")),[3]TH!D2529,""),"")</f>
        <v/>
      </c>
      <c r="B2990" s="60" t="str">
        <f t="shared" ref="B2990" si="348">IF(C2990&lt;&gt;"",MONTH(C2990),"")</f>
        <v/>
      </c>
      <c r="C2990" s="974"/>
      <c r="D2990" s="974"/>
      <c r="E2990" s="974"/>
      <c r="F2990" s="975"/>
      <c r="G2990" s="975"/>
      <c r="H2990" s="77"/>
      <c r="I2990" s="383"/>
      <c r="J2990" s="391"/>
      <c r="K2990" s="383"/>
      <c r="L2990" s="390"/>
      <c r="M2990" s="78"/>
      <c r="N2990" s="979"/>
      <c r="O2990" s="979"/>
      <c r="P2990" s="79" t="str">
        <f>IF(AND('331-CT'!$E$7=TH!H2990,OR(N2990="331",O2990="331")),"x","")</f>
        <v/>
      </c>
      <c r="Q2990" s="79" t="str">
        <f>IF(AND(B2990='111'!$L$11,OR($N2990=$Q$7,$O2990=$Q$7)),"x","")</f>
        <v/>
      </c>
      <c r="R2990" s="79" t="str">
        <f>IF(AND($N2990=$Q$7,$B2990&lt;'111'!$L$11),"x","")</f>
        <v/>
      </c>
      <c r="S2990" s="79" t="str">
        <f>IF(AND($O2990=$Q$7,$B2990&lt;'111'!$L$11),"x","")</f>
        <v/>
      </c>
      <c r="T2990" s="79" t="str">
        <f>IF(ISERROR(FIND('112'!$M$9,G2990,1)),"",IF((AND(FIND('112'!$M$9,G2990,1)&gt;=1,B2990='112'!$K$9,OR($N2990='112'!$I$6,$O2990='112'!$I$6))),"x",""))</f>
        <v/>
      </c>
      <c r="U2990" s="79" t="str">
        <f>IF(ISERROR(FIND('112'!$M$9,G2990,1)),"",IF((AND(LEFT(G2990,2)=LEFT('112'!$M$9,2),B2990&lt;'112'!$K$9,$N2990='112'!$I$6)),"x",""))</f>
        <v/>
      </c>
      <c r="V2990" s="79" t="str">
        <f>IF(ISERROR(FIND('112'!$M$9,G2990,1)),"",IF((AND(RIGHT(G2990,2)=RIGHT('112'!$M$9,2),B2990&lt;'112'!$K$9,$O2990='112'!$I$6)),"x",""))</f>
        <v/>
      </c>
      <c r="W2990" s="79" t="str">
        <f>IF(AND('341-CT'!$H$9=H2990,OR(LEFT(N2990,3)=$W$7,LEFT(O2990,3)=$W$7)),"x","")</f>
        <v/>
      </c>
      <c r="X2990" s="79" t="str">
        <f>IF(OR(TH!N2990=TH!$X$7,O2990=TH!$X$7),"x","")</f>
        <v/>
      </c>
      <c r="Y2990" s="79" t="str">
        <f>IF(AND(OR(N2990="131",O2990="131"),H2990='131-CT'!$H$9),"x","")</f>
        <v/>
      </c>
      <c r="Z2990" s="79"/>
      <c r="AA2990" s="79" t="str">
        <f>IF(AND(MONTH(E2990)='IN-NX'!$J$5,'IN-NX'!$D$7=D2990),"x","")</f>
        <v/>
      </c>
      <c r="AB2990" s="79" t="str">
        <f>IF(AND(OR(LEFT(TH!N2990,2)="15",LEFT(TH!O2990,2)="15"),LEFT(TH!O2990,3)&lt;&gt;"111",'152-CT'!$J$8=TH!F2990),"x","")</f>
        <v/>
      </c>
      <c r="AC2990" s="79" t="str">
        <f>IF(AND(OR(LEFT(TH!N2990,2)="15",LEFT(TH!O2990,2)="15"),TK!$E$7=TH!F2990),"x","")</f>
        <v/>
      </c>
      <c r="AD2990" s="79" t="str">
        <f>IF(AND(N2990="1521",MONTH(C2990)='BK-NL'!$M$11),"x","")</f>
        <v/>
      </c>
    </row>
    <row r="2991" spans="1:30" ht="16.5" customHeight="1">
      <c r="A2991" s="318" t="str">
        <f>IF(B2991&lt;&gt;"",IF(AND(B2991='[3]IN-TC'!$S$4,OR([3]TH!N2528="1111",[3]TH!O2528="1111")),[3]TH!D2528,""),"")</f>
        <v/>
      </c>
      <c r="B2991" s="60" t="str">
        <f t="shared" si="346"/>
        <v/>
      </c>
      <c r="C2991" s="974"/>
      <c r="D2991" s="974"/>
      <c r="E2991" s="974"/>
      <c r="F2991" s="975"/>
      <c r="G2991" s="975"/>
      <c r="H2991" s="77"/>
      <c r="I2991" s="383"/>
      <c r="J2991" s="391"/>
      <c r="K2991" s="383"/>
      <c r="L2991" s="390"/>
      <c r="M2991" s="78"/>
      <c r="N2991" s="979"/>
      <c r="O2991" s="979"/>
      <c r="P2991" s="79" t="str">
        <f>IF(AND('331-CT'!$E$7=TH!H2991,OR(N2991="331",O2991="331")),"x","")</f>
        <v/>
      </c>
      <c r="Q2991" s="79" t="str">
        <f>IF(AND(B2991='111'!$L$11,OR($N2991=$Q$7,$O2991=$Q$7)),"x","")</f>
        <v/>
      </c>
      <c r="R2991" s="79" t="str">
        <f>IF(AND($N2991=$Q$7,$B2991&lt;'111'!$L$11),"x","")</f>
        <v/>
      </c>
      <c r="S2991" s="79" t="str">
        <f>IF(AND($O2991=$Q$7,$B2991&lt;'111'!$L$11),"x","")</f>
        <v/>
      </c>
      <c r="T2991" s="79" t="str">
        <f>IF(ISERROR(FIND('112'!$M$9,G2991,1)),"",IF((AND(FIND('112'!$M$9,G2991,1)&gt;=1,B2991='112'!$K$9,OR($N2991='112'!$I$6,$O2991='112'!$I$6))),"x",""))</f>
        <v/>
      </c>
      <c r="U2991" s="79" t="str">
        <f>IF(ISERROR(FIND('112'!$M$9,G2991,1)),"",IF((AND(LEFT(G2991,2)=LEFT('112'!$M$9,2),B2991&lt;'112'!$K$9,$N2991='112'!$I$6)),"x",""))</f>
        <v/>
      </c>
      <c r="V2991" s="79" t="str">
        <f>IF(ISERROR(FIND('112'!$M$9,G2991,1)),"",IF((AND(RIGHT(G2991,2)=RIGHT('112'!$M$9,2),B2991&lt;'112'!$K$9,$O2991='112'!$I$6)),"x",""))</f>
        <v/>
      </c>
      <c r="W2991" s="79" t="str">
        <f>IF(AND('341-CT'!$H$9=H2991,OR(LEFT(N2991,3)=$W$7,LEFT(O2991,3)=$W$7)),"x","")</f>
        <v/>
      </c>
      <c r="X2991" s="79" t="str">
        <f>IF(OR(TH!N2991=TH!$X$7,O2991=TH!$X$7),"x","")</f>
        <v/>
      </c>
      <c r="Y2991" s="79" t="str">
        <f>IF(AND(OR(N2991="131",O2991="131"),H2991='131-CT'!$H$9),"x","")</f>
        <v/>
      </c>
      <c r="Z2991" s="79"/>
      <c r="AA2991" s="79" t="str">
        <f>IF(AND(MONTH(E2991)='IN-NX'!$J$5,'IN-NX'!$D$7=D2991),"x","")</f>
        <v/>
      </c>
      <c r="AB2991" s="79" t="str">
        <f>IF(AND(OR(LEFT(TH!N2991,2)="15",LEFT(TH!O2991,2)="15"),LEFT(TH!O2991,3)&lt;&gt;"111",'152-CT'!$J$8=TH!F2991),"x","")</f>
        <v/>
      </c>
      <c r="AC2991" s="79" t="str">
        <f>IF(AND(OR(LEFT(TH!N2991,2)="15",LEFT(TH!O2991,2)="15"),TK!$E$7=TH!F2991),"x","")</f>
        <v/>
      </c>
      <c r="AD2991" s="79" t="str">
        <f>IF(AND(N2991="1521",MONTH(C2991)='BK-NL'!$M$11),"x","")</f>
        <v/>
      </c>
    </row>
    <row r="2992" spans="1:30" ht="16.5" customHeight="1">
      <c r="A2992" s="318" t="str">
        <f>IF(B2992&lt;&gt;"",IF(AND(B2992='[3]IN-TC'!$S$4,OR([3]TH!N2529="1111",[3]TH!O2529="1111")),[3]TH!D2529,""),"")</f>
        <v/>
      </c>
      <c r="B2992" s="60" t="str">
        <f t="shared" ref="B2992:B2993" si="349">IF(C2992&lt;&gt;"",MONTH(C2992),"")</f>
        <v/>
      </c>
      <c r="C2992" s="974"/>
      <c r="D2992" s="974"/>
      <c r="E2992" s="974"/>
      <c r="F2992" s="975"/>
      <c r="G2992" s="975"/>
      <c r="H2992" s="77"/>
      <c r="I2992" s="383"/>
      <c r="J2992" s="391"/>
      <c r="K2992" s="383"/>
      <c r="L2992" s="390"/>
      <c r="M2992" s="78"/>
      <c r="N2992" s="979"/>
      <c r="O2992" s="979"/>
      <c r="P2992" s="79" t="str">
        <f>IF(AND('331-CT'!$E$7=TH!H2992,OR(N2992="331",O2992="331")),"x","")</f>
        <v/>
      </c>
      <c r="Q2992" s="79" t="str">
        <f>IF(AND(B2992='111'!$L$11,OR($N2992=$Q$7,$O2992=$Q$7)),"x","")</f>
        <v/>
      </c>
      <c r="R2992" s="79" t="str">
        <f>IF(AND($N2992=$Q$7,$B2992&lt;'111'!$L$11),"x","")</f>
        <v/>
      </c>
      <c r="S2992" s="79" t="str">
        <f>IF(AND($O2992=$Q$7,$B2992&lt;'111'!$L$11),"x","")</f>
        <v/>
      </c>
      <c r="T2992" s="79" t="str">
        <f>IF(ISERROR(FIND('112'!$M$9,G2992,1)),"",IF((AND(FIND('112'!$M$9,G2992,1)&gt;=1,B2992='112'!$K$9,OR($N2992='112'!$I$6,$O2992='112'!$I$6))),"x",""))</f>
        <v/>
      </c>
      <c r="U2992" s="79" t="str">
        <f>IF(ISERROR(FIND('112'!$M$9,G2992,1)),"",IF((AND(LEFT(G2992,2)=LEFT('112'!$M$9,2),B2992&lt;'112'!$K$9,$N2992='112'!$I$6)),"x",""))</f>
        <v/>
      </c>
      <c r="V2992" s="79" t="str">
        <f>IF(ISERROR(FIND('112'!$M$9,G2992,1)),"",IF((AND(RIGHT(G2992,2)=RIGHT('112'!$M$9,2),B2992&lt;'112'!$K$9,$O2992='112'!$I$6)),"x",""))</f>
        <v/>
      </c>
      <c r="W2992" s="79" t="str">
        <f>IF(AND('341-CT'!$H$9=H2992,OR(LEFT(N2992,3)=$W$7,LEFT(O2992,3)=$W$7)),"x","")</f>
        <v/>
      </c>
      <c r="X2992" s="79" t="str">
        <f>IF(OR(TH!N2992=TH!$X$7,O2992=TH!$X$7),"x","")</f>
        <v/>
      </c>
      <c r="Y2992" s="79" t="str">
        <f>IF(AND(OR(N2992="131",O2992="131"),H2992='131-CT'!$H$9),"x","")</f>
        <v/>
      </c>
      <c r="Z2992" s="79"/>
      <c r="AA2992" s="79" t="str">
        <f>IF(AND(MONTH(E2992)='IN-NX'!$J$5,'IN-NX'!$D$7=D2992),"x","")</f>
        <v/>
      </c>
      <c r="AB2992" s="79" t="str">
        <f>IF(AND(OR(LEFT(TH!N2992,2)="15",LEFT(TH!O2992,2)="15"),LEFT(TH!O2992,3)&lt;&gt;"111",'152-CT'!$J$8=TH!F2992),"x","")</f>
        <v/>
      </c>
      <c r="AC2992" s="79" t="str">
        <f>IF(AND(OR(LEFT(TH!N2992,2)="15",LEFT(TH!O2992,2)="15"),TK!$E$7=TH!F2992),"x","")</f>
        <v/>
      </c>
      <c r="AD2992" s="79" t="str">
        <f>IF(AND(N2992="1521",MONTH(C2992)='BK-NL'!$M$11),"x","")</f>
        <v/>
      </c>
    </row>
    <row r="2993" spans="1:30" ht="16.5" customHeight="1">
      <c r="A2993" s="318" t="str">
        <f>IF(B2993&lt;&gt;"",IF(AND(B2993='[3]IN-TC'!$S$4,OR([3]TH!N2530="1111",[3]TH!O2530="1111")),[3]TH!D2530,""),"")</f>
        <v/>
      </c>
      <c r="B2993" s="60" t="str">
        <f t="shared" si="349"/>
        <v/>
      </c>
      <c r="C2993" s="974"/>
      <c r="D2993" s="974"/>
      <c r="E2993" s="974"/>
      <c r="F2993" s="975"/>
      <c r="G2993" s="975"/>
      <c r="H2993" s="77"/>
      <c r="I2993" s="383"/>
      <c r="J2993" s="391"/>
      <c r="K2993" s="383"/>
      <c r="L2993" s="390"/>
      <c r="M2993" s="78"/>
      <c r="N2993" s="979"/>
      <c r="O2993" s="979"/>
      <c r="P2993" s="79" t="str">
        <f>IF(AND('331-CT'!$E$7=TH!H2993,OR(N2993="331",O2993="331")),"x","")</f>
        <v/>
      </c>
      <c r="Q2993" s="79" t="str">
        <f>IF(AND(B2993='111'!$L$11,OR($N2993=$Q$7,$O2993=$Q$7)),"x","")</f>
        <v/>
      </c>
      <c r="R2993" s="79" t="str">
        <f>IF(AND($N2993=$Q$7,$B2993&lt;'111'!$L$11),"x","")</f>
        <v/>
      </c>
      <c r="S2993" s="79" t="str">
        <f>IF(AND($O2993=$Q$7,$B2993&lt;'111'!$L$11),"x","")</f>
        <v/>
      </c>
      <c r="T2993" s="79" t="str">
        <f>IF(ISERROR(FIND('112'!$M$9,G2993,1)),"",IF((AND(FIND('112'!$M$9,G2993,1)&gt;=1,B2993='112'!$K$9,OR($N2993='112'!$I$6,$O2993='112'!$I$6))),"x",""))</f>
        <v/>
      </c>
      <c r="U2993" s="79" t="str">
        <f>IF(ISERROR(FIND('112'!$M$9,G2993,1)),"",IF((AND(LEFT(G2993,2)=LEFT('112'!$M$9,2),B2993&lt;'112'!$K$9,$N2993='112'!$I$6)),"x",""))</f>
        <v/>
      </c>
      <c r="V2993" s="79" t="str">
        <f>IF(ISERROR(FIND('112'!$M$9,G2993,1)),"",IF((AND(RIGHT(G2993,2)=RIGHT('112'!$M$9,2),B2993&lt;'112'!$K$9,$O2993='112'!$I$6)),"x",""))</f>
        <v/>
      </c>
      <c r="W2993" s="79" t="str">
        <f>IF(AND('341-CT'!$H$9=H2993,OR(LEFT(N2993,3)=$W$7,LEFT(O2993,3)=$W$7)),"x","")</f>
        <v/>
      </c>
      <c r="X2993" s="79" t="str">
        <f>IF(OR(TH!N2993=TH!$X$7,O2993=TH!$X$7),"x","")</f>
        <v/>
      </c>
      <c r="Y2993" s="79" t="str">
        <f>IF(AND(OR(N2993="131",O2993="131"),H2993='131-CT'!$H$9),"x","")</f>
        <v/>
      </c>
      <c r="Z2993" s="79"/>
      <c r="AA2993" s="79" t="str">
        <f>IF(AND(MONTH(E2993)='IN-NX'!$J$5,'IN-NX'!$D$7=D2993),"x","")</f>
        <v/>
      </c>
      <c r="AB2993" s="79" t="str">
        <f>IF(AND(OR(LEFT(TH!N2993,2)="15",LEFT(TH!O2993,2)="15"),LEFT(TH!O2993,3)&lt;&gt;"111",'152-CT'!$J$8=TH!F2993),"x","")</f>
        <v/>
      </c>
      <c r="AC2993" s="79" t="str">
        <f>IF(AND(OR(LEFT(TH!N2993,2)="15",LEFT(TH!O2993,2)="15"),TK!$E$7=TH!F2993),"x","")</f>
        <v/>
      </c>
      <c r="AD2993" s="79" t="str">
        <f>IF(AND(N2993="1521",MONTH(C2993)='BK-NL'!$M$11),"x","")</f>
        <v/>
      </c>
    </row>
    <row r="2994" spans="1:30" ht="16.5" customHeight="1">
      <c r="A2994" s="318" t="str">
        <f>IF(B2994&lt;&gt;"",IF(AND(B2994='[3]IN-TC'!$S$4,OR([3]TH!N2531="1111",[3]TH!O2531="1111")),[3]TH!D2531,""),"")</f>
        <v/>
      </c>
      <c r="B2994" s="60" t="str">
        <f t="shared" ref="B2994" si="350">IF(C2994&lt;&gt;"",MONTH(C2994),"")</f>
        <v/>
      </c>
      <c r="C2994" s="974"/>
      <c r="D2994" s="974"/>
      <c r="E2994" s="974"/>
      <c r="F2994" s="975"/>
      <c r="G2994" s="975"/>
      <c r="H2994" s="77"/>
      <c r="I2994" s="383"/>
      <c r="J2994" s="391"/>
      <c r="K2994" s="383"/>
      <c r="L2994" s="390"/>
      <c r="M2994" s="78"/>
      <c r="N2994" s="979"/>
      <c r="O2994" s="979"/>
      <c r="P2994" s="79" t="str">
        <f>IF(AND('331-CT'!$E$7=TH!H2994,OR(N2994="331",O2994="331")),"x","")</f>
        <v/>
      </c>
      <c r="Q2994" s="79" t="str">
        <f>IF(AND(B2994='111'!$L$11,OR($N2994=$Q$7,$O2994=$Q$7)),"x","")</f>
        <v/>
      </c>
      <c r="R2994" s="79" t="str">
        <f>IF(AND($N2994=$Q$7,$B2994&lt;'111'!$L$11),"x","")</f>
        <v/>
      </c>
      <c r="S2994" s="79" t="str">
        <f>IF(AND($O2994=$Q$7,$B2994&lt;'111'!$L$11),"x","")</f>
        <v/>
      </c>
      <c r="T2994" s="79" t="str">
        <f>IF(ISERROR(FIND('112'!$M$9,G2994,1)),"",IF((AND(FIND('112'!$M$9,G2994,1)&gt;=1,B2994='112'!$K$9,OR($N2994='112'!$I$6,$O2994='112'!$I$6))),"x",""))</f>
        <v/>
      </c>
      <c r="U2994" s="79" t="str">
        <f>IF(ISERROR(FIND('112'!$M$9,G2994,1)),"",IF((AND(LEFT(G2994,2)=LEFT('112'!$M$9,2),B2994&lt;'112'!$K$9,$N2994='112'!$I$6)),"x",""))</f>
        <v/>
      </c>
      <c r="V2994" s="79" t="str">
        <f>IF(ISERROR(FIND('112'!$M$9,G2994,1)),"",IF((AND(RIGHT(G2994,2)=RIGHT('112'!$M$9,2),B2994&lt;'112'!$K$9,$O2994='112'!$I$6)),"x",""))</f>
        <v/>
      </c>
      <c r="W2994" s="79" t="str">
        <f>IF(AND('341-CT'!$H$9=H2994,OR(LEFT(N2994,3)=$W$7,LEFT(O2994,3)=$W$7)),"x","")</f>
        <v/>
      </c>
      <c r="X2994" s="79" t="str">
        <f>IF(OR(TH!N2994=TH!$X$7,O2994=TH!$X$7),"x","")</f>
        <v/>
      </c>
      <c r="Y2994" s="79" t="str">
        <f>IF(AND(OR(N2994="131",O2994="131"),H2994='131-CT'!$H$9),"x","")</f>
        <v/>
      </c>
      <c r="Z2994" s="79"/>
      <c r="AA2994" s="79" t="str">
        <f>IF(AND(MONTH(E2994)='IN-NX'!$J$5,'IN-NX'!$D$7=D2994),"x","")</f>
        <v/>
      </c>
      <c r="AB2994" s="79" t="str">
        <f>IF(AND(OR(LEFT(TH!N2994,2)="15",LEFT(TH!O2994,2)="15"),LEFT(TH!O2994,3)&lt;&gt;"111",'152-CT'!$J$8=TH!F2994),"x","")</f>
        <v/>
      </c>
      <c r="AC2994" s="79" t="str">
        <f>IF(AND(OR(LEFT(TH!N2994,2)="15",LEFT(TH!O2994,2)="15"),TK!$E$7=TH!F2994),"x","")</f>
        <v/>
      </c>
      <c r="AD2994" s="79" t="str">
        <f>IF(AND(N2994="1521",MONTH(C2994)='BK-NL'!$M$11),"x","")</f>
        <v/>
      </c>
    </row>
    <row r="2995" spans="1:30" ht="16.5" customHeight="1">
      <c r="A2995" s="318" t="str">
        <f>IF(B2995&lt;&gt;"",IF(AND(B2995='[3]IN-TC'!$S$4,OR([3]TH!N2531="1111",[3]TH!O2531="1111")),[3]TH!D2531,""),"")</f>
        <v/>
      </c>
      <c r="B2995" s="60" t="str">
        <f t="shared" ref="B2995:B2997" si="351">IF(C2995&lt;&gt;"",MONTH(C2995),"")</f>
        <v/>
      </c>
      <c r="C2995" s="974"/>
      <c r="D2995" s="974"/>
      <c r="E2995" s="974"/>
      <c r="F2995" s="975"/>
      <c r="G2995" s="975"/>
      <c r="H2995" s="77"/>
      <c r="I2995" s="383"/>
      <c r="J2995" s="391"/>
      <c r="K2995" s="383"/>
      <c r="L2995" s="390"/>
      <c r="M2995" s="78"/>
      <c r="N2995" s="979"/>
      <c r="O2995" s="979"/>
      <c r="P2995" s="79" t="str">
        <f>IF(AND('331-CT'!$E$7=TH!H2995,OR(N2995="331",O2995="331")),"x","")</f>
        <v/>
      </c>
      <c r="Q2995" s="79" t="str">
        <f>IF(AND(B2995='111'!$L$11,OR($N2995=$Q$7,$O2995=$Q$7)),"x","")</f>
        <v/>
      </c>
      <c r="R2995" s="79" t="str">
        <f>IF(AND($N2995=$Q$7,$B2995&lt;'111'!$L$11),"x","")</f>
        <v/>
      </c>
      <c r="S2995" s="79" t="str">
        <f>IF(AND($O2995=$Q$7,$B2995&lt;'111'!$L$11),"x","")</f>
        <v/>
      </c>
      <c r="T2995" s="79" t="str">
        <f>IF(ISERROR(FIND('112'!$M$9,G2995,1)),"",IF((AND(FIND('112'!$M$9,G2995,1)&gt;=1,B2995='112'!$K$9,OR($N2995='112'!$I$6,$O2995='112'!$I$6))),"x",""))</f>
        <v/>
      </c>
      <c r="U2995" s="79" t="str">
        <f>IF(ISERROR(FIND('112'!$M$9,G2995,1)),"",IF((AND(LEFT(G2995,2)=LEFT('112'!$M$9,2),B2995&lt;'112'!$K$9,$N2995='112'!$I$6)),"x",""))</f>
        <v/>
      </c>
      <c r="V2995" s="79" t="str">
        <f>IF(ISERROR(FIND('112'!$M$9,G2995,1)),"",IF((AND(RIGHT(G2995,2)=RIGHT('112'!$M$9,2),B2995&lt;'112'!$K$9,$O2995='112'!$I$6)),"x",""))</f>
        <v/>
      </c>
      <c r="W2995" s="79" t="str">
        <f>IF(AND('341-CT'!$H$9=H2995,OR(LEFT(N2995,3)=$W$7,LEFT(O2995,3)=$W$7)),"x","")</f>
        <v/>
      </c>
      <c r="X2995" s="79" t="str">
        <f>IF(OR(TH!N2995=TH!$X$7,O2995=TH!$X$7),"x","")</f>
        <v/>
      </c>
      <c r="Y2995" s="79" t="str">
        <f>IF(AND(OR(N2995="131",O2995="131"),H2995='131-CT'!$H$9),"x","")</f>
        <v/>
      </c>
      <c r="Z2995" s="79"/>
      <c r="AA2995" s="79" t="str">
        <f>IF(AND(MONTH(E2995)='IN-NX'!$J$5,'IN-NX'!$D$7=D2995),"x","")</f>
        <v/>
      </c>
      <c r="AB2995" s="79" t="str">
        <f>IF(AND(OR(LEFT(TH!N2995,2)="15",LEFT(TH!O2995,2)="15"),LEFT(TH!O2995,3)&lt;&gt;"111",'152-CT'!$J$8=TH!F2995),"x","")</f>
        <v/>
      </c>
      <c r="AC2995" s="79" t="str">
        <f>IF(AND(OR(LEFT(TH!N2995,2)="15",LEFT(TH!O2995,2)="15"),TK!$E$7=TH!F2995),"x","")</f>
        <v/>
      </c>
      <c r="AD2995" s="79" t="str">
        <f>IF(AND(N2995="1521",MONTH(C2995)='BK-NL'!$M$11),"x","")</f>
        <v/>
      </c>
    </row>
    <row r="2996" spans="1:30" ht="16.5" customHeight="1">
      <c r="A2996" s="318" t="str">
        <f>IF(B2996&lt;&gt;"",IF(AND(B2996='[3]IN-TC'!$S$4,OR([3]TH!N2533="1111",[3]TH!O2533="1111")),[3]TH!D2533,""),"")</f>
        <v/>
      </c>
      <c r="B2996" s="60" t="str">
        <f t="shared" si="351"/>
        <v/>
      </c>
      <c r="C2996" s="974"/>
      <c r="D2996" s="974"/>
      <c r="E2996" s="974"/>
      <c r="F2996" s="975"/>
      <c r="G2996" s="975"/>
      <c r="H2996" s="77"/>
      <c r="I2996" s="383"/>
      <c r="J2996" s="391"/>
      <c r="K2996" s="383"/>
      <c r="L2996" s="390"/>
      <c r="M2996" s="78"/>
      <c r="N2996" s="979"/>
      <c r="O2996" s="979"/>
      <c r="P2996" s="79" t="str">
        <f>IF(AND('331-CT'!$E$7=TH!H2996,OR(N2996="331",O2996="331")),"x","")</f>
        <v/>
      </c>
      <c r="Q2996" s="79" t="str">
        <f>IF(AND(B2996='111'!$L$11,OR($N2996=$Q$7,$O2996=$Q$7)),"x","")</f>
        <v/>
      </c>
      <c r="R2996" s="79" t="str">
        <f>IF(AND($N2996=$Q$7,$B2996&lt;'111'!$L$11),"x","")</f>
        <v/>
      </c>
      <c r="S2996" s="79" t="str">
        <f>IF(AND($O2996=$Q$7,$B2996&lt;'111'!$L$11),"x","")</f>
        <v/>
      </c>
      <c r="T2996" s="79" t="str">
        <f>IF(ISERROR(FIND('112'!$M$9,G2996,1)),"",IF((AND(FIND('112'!$M$9,G2996,1)&gt;=1,B2996='112'!$K$9,OR($N2996='112'!$I$6,$O2996='112'!$I$6))),"x",""))</f>
        <v/>
      </c>
      <c r="U2996" s="79" t="str">
        <f>IF(ISERROR(FIND('112'!$M$9,G2996,1)),"",IF((AND(LEFT(G2996,2)=LEFT('112'!$M$9,2),B2996&lt;'112'!$K$9,$N2996='112'!$I$6)),"x",""))</f>
        <v/>
      </c>
      <c r="V2996" s="79" t="str">
        <f>IF(ISERROR(FIND('112'!$M$9,G2996,1)),"",IF((AND(RIGHT(G2996,2)=RIGHT('112'!$M$9,2),B2996&lt;'112'!$K$9,$O2996='112'!$I$6)),"x",""))</f>
        <v/>
      </c>
      <c r="W2996" s="79" t="str">
        <f>IF(AND('341-CT'!$H$9=H2996,OR(LEFT(N2996,3)=$W$7,LEFT(O2996,3)=$W$7)),"x","")</f>
        <v/>
      </c>
      <c r="X2996" s="79" t="str">
        <f>IF(OR(TH!N2996=TH!$X$7,O2996=TH!$X$7),"x","")</f>
        <v/>
      </c>
      <c r="Y2996" s="79" t="str">
        <f>IF(AND(OR(N2996="131",O2996="131"),H2996='131-CT'!$H$9),"x","")</f>
        <v/>
      </c>
      <c r="Z2996" s="79"/>
      <c r="AA2996" s="79" t="str">
        <f>IF(AND(MONTH(E2996)='IN-NX'!$J$5,'IN-NX'!$D$7=D2996),"x","")</f>
        <v/>
      </c>
      <c r="AB2996" s="79" t="str">
        <f>IF(AND(OR(LEFT(TH!N2996,2)="15",LEFT(TH!O2996,2)="15"),LEFT(TH!O2996,3)&lt;&gt;"111",'152-CT'!$J$8=TH!F2996),"x","")</f>
        <v/>
      </c>
      <c r="AC2996" s="79" t="str">
        <f>IF(AND(OR(LEFT(TH!N2996,2)="15",LEFT(TH!O2996,2)="15"),TK!$E$7=TH!F2996),"x","")</f>
        <v/>
      </c>
      <c r="AD2996" s="79" t="str">
        <f>IF(AND(N2996="1521",MONTH(C2996)='BK-NL'!$M$11),"x","")</f>
        <v/>
      </c>
    </row>
    <row r="2997" spans="1:30" ht="16.5" customHeight="1">
      <c r="A2997" s="318" t="str">
        <f>IF(B2997&lt;&gt;"",IF(AND(B2997='[3]IN-TC'!$S$4,OR([3]TH!N2534="1111",[3]TH!O2534="1111")),[3]TH!D2534,""),"")</f>
        <v/>
      </c>
      <c r="B2997" s="60" t="str">
        <f t="shared" si="351"/>
        <v/>
      </c>
      <c r="C2997" s="974"/>
      <c r="D2997" s="974"/>
      <c r="E2997" s="974"/>
      <c r="F2997" s="975"/>
      <c r="G2997" s="975"/>
      <c r="H2997" s="77"/>
      <c r="I2997" s="383"/>
      <c r="J2997" s="391"/>
      <c r="K2997" s="383"/>
      <c r="L2997" s="390"/>
      <c r="M2997" s="78"/>
      <c r="N2997" s="979"/>
      <c r="O2997" s="979"/>
      <c r="P2997" s="79" t="str">
        <f>IF(AND('331-CT'!$E$7=TH!H2997,OR(N2997="331",O2997="331")),"x","")</f>
        <v/>
      </c>
      <c r="Q2997" s="79" t="str">
        <f>IF(AND(B2997='111'!$L$11,OR($N2997=$Q$7,$O2997=$Q$7)),"x","")</f>
        <v/>
      </c>
      <c r="R2997" s="79" t="str">
        <f>IF(AND($N2997=$Q$7,$B2997&lt;'111'!$L$11),"x","")</f>
        <v/>
      </c>
      <c r="S2997" s="79" t="str">
        <f>IF(AND($O2997=$Q$7,$B2997&lt;'111'!$L$11),"x","")</f>
        <v/>
      </c>
      <c r="T2997" s="79" t="str">
        <f>IF(ISERROR(FIND('112'!$M$9,G2997,1)),"",IF((AND(FIND('112'!$M$9,G2997,1)&gt;=1,B2997='112'!$K$9,OR($N2997='112'!$I$6,$O2997='112'!$I$6))),"x",""))</f>
        <v/>
      </c>
      <c r="U2997" s="79" t="str">
        <f>IF(ISERROR(FIND('112'!$M$9,G2997,1)),"",IF((AND(LEFT(G2997,2)=LEFT('112'!$M$9,2),B2997&lt;'112'!$K$9,$N2997='112'!$I$6)),"x",""))</f>
        <v/>
      </c>
      <c r="V2997" s="79" t="str">
        <f>IF(ISERROR(FIND('112'!$M$9,G2997,1)),"",IF((AND(RIGHT(G2997,2)=RIGHT('112'!$M$9,2),B2997&lt;'112'!$K$9,$O2997='112'!$I$6)),"x",""))</f>
        <v/>
      </c>
      <c r="W2997" s="79" t="str">
        <f>IF(AND('341-CT'!$H$9=H2997,OR(LEFT(N2997,3)=$W$7,LEFT(O2997,3)=$W$7)),"x","")</f>
        <v/>
      </c>
      <c r="X2997" s="79" t="str">
        <f>IF(OR(TH!N2997=TH!$X$7,O2997=TH!$X$7),"x","")</f>
        <v/>
      </c>
      <c r="Y2997" s="79" t="str">
        <f>IF(AND(OR(N2997="131",O2997="131"),H2997='131-CT'!$H$9),"x","")</f>
        <v/>
      </c>
      <c r="Z2997" s="79"/>
      <c r="AA2997" s="79" t="str">
        <f>IF(AND(MONTH(E2997)='IN-NX'!$J$5,'IN-NX'!$D$7=D2997),"x","")</f>
        <v/>
      </c>
      <c r="AB2997" s="79" t="str">
        <f>IF(AND(OR(LEFT(TH!N2997,2)="15",LEFT(TH!O2997,2)="15"),LEFT(TH!O2997,3)&lt;&gt;"111",'152-CT'!$J$8=TH!F2997),"x","")</f>
        <v/>
      </c>
      <c r="AC2997" s="79" t="str">
        <f>IF(AND(OR(LEFT(TH!N2997,2)="15",LEFT(TH!O2997,2)="15"),TK!$E$7=TH!F2997),"x","")</f>
        <v/>
      </c>
      <c r="AD2997" s="79" t="str">
        <f>IF(AND(N2997="1521",MONTH(C2997)='BK-NL'!$M$11),"x","")</f>
        <v/>
      </c>
    </row>
    <row r="2998" spans="1:30" ht="16.5" customHeight="1">
      <c r="A2998" s="318" t="str">
        <f>IF(B2998&lt;&gt;"",IF(AND(B2998='[3]IN-TC'!$S$4,OR([3]TH!N2535="1111",[3]TH!O2535="1111")),[3]TH!D2535,""),"")</f>
        <v/>
      </c>
      <c r="B2998" s="60" t="str">
        <f t="shared" ref="B2998" si="352">IF(C2998&lt;&gt;"",MONTH(C2998),"")</f>
        <v/>
      </c>
      <c r="C2998" s="974"/>
      <c r="D2998" s="974"/>
      <c r="E2998" s="974"/>
      <c r="F2998" s="975"/>
      <c r="G2998" s="975"/>
      <c r="H2998" s="77"/>
      <c r="I2998" s="383"/>
      <c r="J2998" s="391"/>
      <c r="K2998" s="383"/>
      <c r="L2998" s="390"/>
      <c r="M2998" s="78"/>
      <c r="N2998" s="979"/>
      <c r="O2998" s="979"/>
      <c r="P2998" s="79" t="str">
        <f>IF(AND('331-CT'!$E$7=TH!H2998,OR(N2998="331",O2998="331")),"x","")</f>
        <v/>
      </c>
      <c r="Q2998" s="79" t="str">
        <f>IF(AND(B2998='111'!$L$11,OR($N2998=$Q$7,$O2998=$Q$7)),"x","")</f>
        <v/>
      </c>
      <c r="R2998" s="79" t="str">
        <f>IF(AND($N2998=$Q$7,$B2998&lt;'111'!$L$11),"x","")</f>
        <v/>
      </c>
      <c r="S2998" s="79" t="str">
        <f>IF(AND($O2998=$Q$7,$B2998&lt;'111'!$L$11),"x","")</f>
        <v/>
      </c>
      <c r="T2998" s="79" t="str">
        <f>IF(ISERROR(FIND('112'!$M$9,G2998,1)),"",IF((AND(FIND('112'!$M$9,G2998,1)&gt;=1,B2998='112'!$K$9,OR($N2998='112'!$I$6,$O2998='112'!$I$6))),"x",""))</f>
        <v/>
      </c>
      <c r="U2998" s="79" t="str">
        <f>IF(ISERROR(FIND('112'!$M$9,G2998,1)),"",IF((AND(LEFT(G2998,2)=LEFT('112'!$M$9,2),B2998&lt;'112'!$K$9,$N2998='112'!$I$6)),"x",""))</f>
        <v/>
      </c>
      <c r="V2998" s="79" t="str">
        <f>IF(ISERROR(FIND('112'!$M$9,G2998,1)),"",IF((AND(RIGHT(G2998,2)=RIGHT('112'!$M$9,2),B2998&lt;'112'!$K$9,$O2998='112'!$I$6)),"x",""))</f>
        <v/>
      </c>
      <c r="W2998" s="79" t="str">
        <f>IF(AND('341-CT'!$H$9=H2998,OR(LEFT(N2998,3)=$W$7,LEFT(O2998,3)=$W$7)),"x","")</f>
        <v/>
      </c>
      <c r="X2998" s="79" t="str">
        <f>IF(OR(TH!N2998=TH!$X$7,O2998=TH!$X$7),"x","")</f>
        <v/>
      </c>
      <c r="Y2998" s="79" t="str">
        <f>IF(AND(OR(N2998="131",O2998="131"),H2998='131-CT'!$H$9),"x","")</f>
        <v/>
      </c>
      <c r="Z2998" s="79"/>
      <c r="AA2998" s="79" t="str">
        <f>IF(AND(MONTH(E2998)='IN-NX'!$J$5,'IN-NX'!$D$7=D2998),"x","")</f>
        <v/>
      </c>
      <c r="AB2998" s="79" t="str">
        <f>IF(AND(OR(LEFT(TH!N2998,2)="15",LEFT(TH!O2998,2)="15"),LEFT(TH!O2998,3)&lt;&gt;"111",'152-CT'!$J$8=TH!F2998),"x","")</f>
        <v/>
      </c>
      <c r="AC2998" s="79" t="str">
        <f>IF(AND(OR(LEFT(TH!N2998,2)="15",LEFT(TH!O2998,2)="15"),TK!$E$7=TH!F2998),"x","")</f>
        <v/>
      </c>
      <c r="AD2998" s="79" t="str">
        <f>IF(AND(N2998="1521",MONTH(C2998)='BK-NL'!$M$11),"x","")</f>
        <v/>
      </c>
    </row>
    <row r="2999" spans="1:30" ht="16.5" customHeight="1">
      <c r="A2999" s="318" t="str">
        <f>IF(B2999&lt;&gt;"",IF(AND(B2999='[3]IN-TC'!$S$4,OR([3]TH!N2534="1111",[3]TH!O2534="1111")),[3]TH!D2534,""),"")</f>
        <v/>
      </c>
      <c r="B2999" s="60" t="str">
        <f t="shared" ref="B2999" si="353">IF(C2999&lt;&gt;"",MONTH(C2999),"")</f>
        <v/>
      </c>
      <c r="C2999" s="974"/>
      <c r="D2999" s="974"/>
      <c r="E2999" s="974"/>
      <c r="F2999" s="975"/>
      <c r="G2999" s="975"/>
      <c r="H2999" s="77"/>
      <c r="I2999" s="383"/>
      <c r="J2999" s="391"/>
      <c r="K2999" s="383"/>
      <c r="L2999" s="390"/>
      <c r="M2999" s="78"/>
      <c r="N2999" s="979"/>
      <c r="O2999" s="979"/>
      <c r="P2999" s="79" t="str">
        <f>IF(AND('331-CT'!$E$7=TH!H2999,OR(N2999="331",O2999="331")),"x","")</f>
        <v/>
      </c>
      <c r="Q2999" s="79" t="str">
        <f>IF(AND(B2999='111'!$L$11,OR($N2999=$Q$7,$O2999=$Q$7)),"x","")</f>
        <v/>
      </c>
      <c r="R2999" s="79" t="str">
        <f>IF(AND($N2999=$Q$7,$B2999&lt;'111'!$L$11),"x","")</f>
        <v/>
      </c>
      <c r="S2999" s="79" t="str">
        <f>IF(AND($O2999=$Q$7,$B2999&lt;'111'!$L$11),"x","")</f>
        <v/>
      </c>
      <c r="T2999" s="79" t="str">
        <f>IF(ISERROR(FIND('112'!$M$9,G2999,1)),"",IF((AND(FIND('112'!$M$9,G2999,1)&gt;=1,B2999='112'!$K$9,OR($N2999='112'!$I$6,$O2999='112'!$I$6))),"x",""))</f>
        <v/>
      </c>
      <c r="U2999" s="79" t="str">
        <f>IF(ISERROR(FIND('112'!$M$9,G2999,1)),"",IF((AND(LEFT(G2999,2)=LEFT('112'!$M$9,2),B2999&lt;'112'!$K$9,$N2999='112'!$I$6)),"x",""))</f>
        <v/>
      </c>
      <c r="V2999" s="79" t="str">
        <f>IF(ISERROR(FIND('112'!$M$9,G2999,1)),"",IF((AND(RIGHT(G2999,2)=RIGHT('112'!$M$9,2),B2999&lt;'112'!$K$9,$O2999='112'!$I$6)),"x",""))</f>
        <v/>
      </c>
      <c r="W2999" s="79" t="str">
        <f>IF(AND('341-CT'!$H$9=H2999,OR(LEFT(N2999,3)=$W$7,LEFT(O2999,3)=$W$7)),"x","")</f>
        <v/>
      </c>
      <c r="X2999" s="79" t="str">
        <f>IF(OR(TH!N2999=TH!$X$7,O2999=TH!$X$7),"x","")</f>
        <v/>
      </c>
      <c r="Y2999" s="79" t="str">
        <f>IF(AND(OR(N2999="131",O2999="131"),H2999='131-CT'!$H$9),"x","")</f>
        <v/>
      </c>
      <c r="Z2999" s="79"/>
      <c r="AA2999" s="79" t="str">
        <f>IF(AND(MONTH(E2999)='IN-NX'!$J$5,'IN-NX'!$D$7=D2999),"x","")</f>
        <v/>
      </c>
      <c r="AB2999" s="79" t="str">
        <f>IF(AND(OR(LEFT(TH!N2999,2)="15",LEFT(TH!O2999,2)="15"),LEFT(TH!O2999,3)&lt;&gt;"111",'152-CT'!$J$8=TH!F2999),"x","")</f>
        <v/>
      </c>
      <c r="AC2999" s="79" t="str">
        <f>IF(AND(OR(LEFT(TH!N2999,2)="15",LEFT(TH!O2999,2)="15"),TK!$E$7=TH!F2999),"x","")</f>
        <v/>
      </c>
      <c r="AD2999" s="79" t="str">
        <f>IF(AND(N2999="1521",MONTH(C2999)='BK-NL'!$M$11),"x","")</f>
        <v/>
      </c>
    </row>
    <row r="3000" spans="1:30" ht="16.5" customHeight="1">
      <c r="A3000" s="318" t="str">
        <f>IF(B3000&lt;&gt;"",IF(AND(B3000='[3]IN-TC'!$S$4,OR([3]TH!N2535="1111",[3]TH!O2535="1111")),[3]TH!D2535,""),"")</f>
        <v/>
      </c>
      <c r="B3000" s="60" t="str">
        <f t="shared" ref="B3000" si="354">IF(C3000&lt;&gt;"",MONTH(C3000),"")</f>
        <v/>
      </c>
      <c r="C3000" s="974"/>
      <c r="D3000" s="974"/>
      <c r="E3000" s="974"/>
      <c r="F3000" s="975"/>
      <c r="G3000" s="975"/>
      <c r="H3000" s="77"/>
      <c r="I3000" s="383"/>
      <c r="J3000" s="391"/>
      <c r="K3000" s="383"/>
      <c r="L3000" s="390"/>
      <c r="M3000" s="78"/>
      <c r="N3000" s="979"/>
      <c r="O3000" s="979"/>
      <c r="P3000" s="79" t="str">
        <f>IF(AND('331-CT'!$E$7=TH!H3000,OR(N3000="331",O3000="331")),"x","")</f>
        <v/>
      </c>
      <c r="Q3000" s="79" t="str">
        <f>IF(AND(B3000='111'!$L$11,OR($N3000=$Q$7,$O3000=$Q$7)),"x","")</f>
        <v/>
      </c>
      <c r="R3000" s="79" t="str">
        <f>IF(AND($N3000=$Q$7,$B3000&lt;'111'!$L$11),"x","")</f>
        <v/>
      </c>
      <c r="S3000" s="79" t="str">
        <f>IF(AND($O3000=$Q$7,$B3000&lt;'111'!$L$11),"x","")</f>
        <v/>
      </c>
      <c r="T3000" s="79" t="str">
        <f>IF(ISERROR(FIND('112'!$M$9,G3000,1)),"",IF((AND(FIND('112'!$M$9,G3000,1)&gt;=1,B3000='112'!$K$9,OR($N3000='112'!$I$6,$O3000='112'!$I$6))),"x",""))</f>
        <v/>
      </c>
      <c r="U3000" s="79" t="str">
        <f>IF(ISERROR(FIND('112'!$M$9,G3000,1)),"",IF((AND(LEFT(G3000,2)=LEFT('112'!$M$9,2),B3000&lt;'112'!$K$9,$N3000='112'!$I$6)),"x",""))</f>
        <v/>
      </c>
      <c r="V3000" s="79" t="str">
        <f>IF(ISERROR(FIND('112'!$M$9,G3000,1)),"",IF((AND(RIGHT(G3000,2)=RIGHT('112'!$M$9,2),B3000&lt;'112'!$K$9,$O3000='112'!$I$6)),"x",""))</f>
        <v/>
      </c>
      <c r="W3000" s="79" t="str">
        <f>IF(AND('341-CT'!$H$9=H3000,OR(LEFT(N3000,3)=$W$7,LEFT(O3000,3)=$W$7)),"x","")</f>
        <v/>
      </c>
      <c r="X3000" s="79" t="str">
        <f>IF(OR(TH!N3000=TH!$X$7,O3000=TH!$X$7),"x","")</f>
        <v/>
      </c>
      <c r="Y3000" s="79" t="str">
        <f>IF(AND(OR(N3000="131",O3000="131"),H3000='131-CT'!$H$9),"x","")</f>
        <v/>
      </c>
      <c r="Z3000" s="79"/>
      <c r="AA3000" s="79" t="str">
        <f>IF(AND(MONTH(E3000)='IN-NX'!$J$5,'IN-NX'!$D$7=D3000),"x","")</f>
        <v/>
      </c>
      <c r="AB3000" s="79" t="str">
        <f>IF(AND(OR(LEFT(TH!N3000,2)="15",LEFT(TH!O3000,2)="15"),LEFT(TH!O3000,3)&lt;&gt;"111",'152-CT'!$J$8=TH!F3000),"x","")</f>
        <v/>
      </c>
      <c r="AC3000" s="79" t="str">
        <f>IF(AND(OR(LEFT(TH!N3000,2)="15",LEFT(TH!O3000,2)="15"),TK!$E$7=TH!F3000),"x","")</f>
        <v/>
      </c>
      <c r="AD3000" s="79" t="str">
        <f>IF(AND(N3000="1521",MONTH(C3000)='BK-NL'!$M$11),"x","")</f>
        <v/>
      </c>
    </row>
    <row r="3001" spans="1:30" ht="16.5" customHeight="1">
      <c r="A3001" s="318" t="str">
        <f>IF(B3001&lt;&gt;"",IF(AND(B3001='[3]IN-TC'!$S$4,OR([3]TH!N2536="1111",[3]TH!O2536="1111")),[3]TH!D2536,""),"")</f>
        <v/>
      </c>
      <c r="B3001" s="60" t="str">
        <f t="shared" ref="B3001" si="355">IF(C3001&lt;&gt;"",MONTH(C3001),"")</f>
        <v/>
      </c>
      <c r="C3001" s="974"/>
      <c r="D3001" s="974"/>
      <c r="E3001" s="974"/>
      <c r="F3001" s="975"/>
      <c r="G3001" s="975"/>
      <c r="H3001" s="77"/>
      <c r="I3001" s="383"/>
      <c r="J3001" s="391"/>
      <c r="K3001" s="383"/>
      <c r="L3001" s="390"/>
      <c r="M3001" s="78"/>
      <c r="N3001" s="979"/>
      <c r="O3001" s="979"/>
      <c r="P3001" s="79" t="str">
        <f>IF(AND('331-CT'!$E$7=TH!H3001,OR(N3001="331",O3001="331")),"x","")</f>
        <v/>
      </c>
      <c r="Q3001" s="79" t="str">
        <f>IF(AND(B3001='111'!$L$11,OR($N3001=$Q$7,$O3001=$Q$7)),"x","")</f>
        <v/>
      </c>
      <c r="R3001" s="79" t="str">
        <f>IF(AND($N3001=$Q$7,$B3001&lt;'111'!$L$11),"x","")</f>
        <v/>
      </c>
      <c r="S3001" s="79" t="str">
        <f>IF(AND($O3001=$Q$7,$B3001&lt;'111'!$L$11),"x","")</f>
        <v/>
      </c>
      <c r="T3001" s="79" t="str">
        <f>IF(ISERROR(FIND('112'!$M$9,G3001,1)),"",IF((AND(FIND('112'!$M$9,G3001,1)&gt;=1,B3001='112'!$K$9,OR($N3001='112'!$I$6,$O3001='112'!$I$6))),"x",""))</f>
        <v/>
      </c>
      <c r="U3001" s="79" t="str">
        <f>IF(ISERROR(FIND('112'!$M$9,G3001,1)),"",IF((AND(LEFT(G3001,2)=LEFT('112'!$M$9,2),B3001&lt;'112'!$K$9,$N3001='112'!$I$6)),"x",""))</f>
        <v/>
      </c>
      <c r="V3001" s="79" t="str">
        <f>IF(ISERROR(FIND('112'!$M$9,G3001,1)),"",IF((AND(RIGHT(G3001,2)=RIGHT('112'!$M$9,2),B3001&lt;'112'!$K$9,$O3001='112'!$I$6)),"x",""))</f>
        <v/>
      </c>
      <c r="W3001" s="79" t="str">
        <f>IF(AND('341-CT'!$H$9=H3001,OR(LEFT(N3001,3)=$W$7,LEFT(O3001,3)=$W$7)),"x","")</f>
        <v/>
      </c>
      <c r="X3001" s="79" t="str">
        <f>IF(OR(TH!N3001=TH!$X$7,O3001=TH!$X$7),"x","")</f>
        <v/>
      </c>
      <c r="Y3001" s="79" t="str">
        <f>IF(AND(OR(N3001="131",O3001="131"),H3001='131-CT'!$H$9),"x","")</f>
        <v/>
      </c>
      <c r="Z3001" s="79"/>
      <c r="AA3001" s="79" t="str">
        <f>IF(AND(MONTH(E3001)='IN-NX'!$J$5,'IN-NX'!$D$7=D3001),"x","")</f>
        <v/>
      </c>
      <c r="AB3001" s="79" t="str">
        <f>IF(AND(OR(LEFT(TH!N3001,2)="15",LEFT(TH!O3001,2)="15"),LEFT(TH!O3001,3)&lt;&gt;"111",'152-CT'!$J$8=TH!F3001),"x","")</f>
        <v/>
      </c>
      <c r="AC3001" s="79" t="str">
        <f>IF(AND(OR(LEFT(TH!N3001,2)="15",LEFT(TH!O3001,2)="15"),TK!$E$7=TH!F3001),"x","")</f>
        <v/>
      </c>
      <c r="AD3001" s="79" t="str">
        <f>IF(AND(N3001="1521",MONTH(C3001)='BK-NL'!$M$11),"x","")</f>
        <v/>
      </c>
    </row>
    <row r="3002" spans="1:30" ht="16.5" customHeight="1">
      <c r="A3002" s="318" t="str">
        <f>IF(B3002&lt;&gt;"",IF(AND(B3002='[3]IN-TC'!$S$4,OR([3]TH!N2533="1111",[3]TH!O2533="1111")),[3]TH!D2533,""),"")</f>
        <v/>
      </c>
      <c r="B3002" s="60" t="str">
        <f t="shared" si="346"/>
        <v/>
      </c>
      <c r="C3002" s="974"/>
      <c r="D3002" s="974"/>
      <c r="E3002" s="974"/>
      <c r="F3002" s="975"/>
      <c r="G3002" s="975"/>
      <c r="H3002" s="77"/>
      <c r="I3002" s="383"/>
      <c r="J3002" s="391"/>
      <c r="K3002" s="383"/>
      <c r="L3002" s="390"/>
      <c r="M3002" s="78"/>
      <c r="N3002" s="979"/>
      <c r="O3002" s="979"/>
      <c r="P3002" s="79" t="str">
        <f>IF(AND('331-CT'!$E$7=TH!H3002,OR(N3002="331",O3002="331")),"x","")</f>
        <v/>
      </c>
      <c r="Q3002" s="79" t="str">
        <f>IF(AND(B3002='111'!$L$11,OR($N3002=$Q$7,$O3002=$Q$7)),"x","")</f>
        <v/>
      </c>
      <c r="R3002" s="79" t="str">
        <f>IF(AND($N3002=$Q$7,$B3002&lt;'111'!$L$11),"x","")</f>
        <v/>
      </c>
      <c r="S3002" s="79" t="str">
        <f>IF(AND($O3002=$Q$7,$B3002&lt;'111'!$L$11),"x","")</f>
        <v/>
      </c>
      <c r="T3002" s="79" t="str">
        <f>IF(ISERROR(FIND('112'!$M$9,G3002,1)),"",IF((AND(FIND('112'!$M$9,G3002,1)&gt;=1,B3002='112'!$K$9,OR($N3002='112'!$I$6,$O3002='112'!$I$6))),"x",""))</f>
        <v/>
      </c>
      <c r="U3002" s="79" t="str">
        <f>IF(ISERROR(FIND('112'!$M$9,G3002,1)),"",IF((AND(LEFT(G3002,2)=LEFT('112'!$M$9,2),B3002&lt;'112'!$K$9,$N3002='112'!$I$6)),"x",""))</f>
        <v/>
      </c>
      <c r="V3002" s="79" t="str">
        <f>IF(ISERROR(FIND('112'!$M$9,G3002,1)),"",IF((AND(RIGHT(G3002,2)=RIGHT('112'!$M$9,2),B3002&lt;'112'!$K$9,$O3002='112'!$I$6)),"x",""))</f>
        <v/>
      </c>
      <c r="W3002" s="79" t="str">
        <f>IF(AND('341-CT'!$H$9=H3002,OR(LEFT(N3002,3)=$W$7,LEFT(O3002,3)=$W$7)),"x","")</f>
        <v/>
      </c>
      <c r="X3002" s="79" t="str">
        <f>IF(OR(TH!N3002=TH!$X$7,O3002=TH!$X$7),"x","")</f>
        <v/>
      </c>
      <c r="Y3002" s="79" t="str">
        <f>IF(AND(OR(N3002="131",O3002="131"),H3002='131-CT'!$H$9),"x","")</f>
        <v/>
      </c>
      <c r="Z3002" s="79"/>
      <c r="AA3002" s="79" t="str">
        <f>IF(AND(MONTH(E3002)='IN-NX'!$J$5,'IN-NX'!$D$7=D3002),"x","")</f>
        <v/>
      </c>
      <c r="AB3002" s="79" t="str">
        <f>IF(AND(OR(LEFT(TH!N3002,2)="15",LEFT(TH!O3002,2)="15"),LEFT(TH!O3002,3)&lt;&gt;"111",'152-CT'!$J$8=TH!F3002),"x","")</f>
        <v/>
      </c>
      <c r="AC3002" s="79" t="str">
        <f>IF(AND(OR(LEFT(TH!N3002,2)="15",LEFT(TH!O3002,2)="15"),TK!$E$7=TH!F3002),"x","")</f>
        <v/>
      </c>
      <c r="AD3002" s="79" t="str">
        <f>IF(AND(N3002="1521",MONTH(C3002)='BK-NL'!$M$11),"x","")</f>
        <v/>
      </c>
    </row>
    <row r="3003" spans="1:30" ht="16.5" customHeight="1">
      <c r="A3003" s="318" t="str">
        <f>IF(B3003&lt;&gt;"",IF(AND(B3003='[3]IN-TC'!$S$4,OR([3]TH!N2538="1111",[3]TH!O2538="1111")),[3]TH!D2538,""),"")</f>
        <v/>
      </c>
      <c r="B3003" s="60" t="str">
        <f t="shared" si="346"/>
        <v/>
      </c>
      <c r="C3003" s="974"/>
      <c r="D3003" s="974"/>
      <c r="E3003" s="974"/>
      <c r="F3003" s="975"/>
      <c r="G3003" s="975"/>
      <c r="H3003" s="77"/>
      <c r="I3003" s="383"/>
      <c r="J3003" s="391"/>
      <c r="K3003" s="383"/>
      <c r="L3003" s="390"/>
      <c r="M3003" s="78"/>
      <c r="N3003" s="979"/>
      <c r="O3003" s="979"/>
      <c r="P3003" s="79" t="str">
        <f>IF(AND('331-CT'!$E$7=TH!H3003,OR(N3003="331",O3003="331")),"x","")</f>
        <v/>
      </c>
      <c r="Q3003" s="79" t="str">
        <f>IF(AND(B3003='111'!$L$11,OR($N3003=$Q$7,$O3003=$Q$7)),"x","")</f>
        <v/>
      </c>
      <c r="R3003" s="79" t="str">
        <f>IF(AND($N3003=$Q$7,$B3003&lt;'111'!$L$11),"x","")</f>
        <v/>
      </c>
      <c r="S3003" s="79" t="str">
        <f>IF(AND($O3003=$Q$7,$B3003&lt;'111'!$L$11),"x","")</f>
        <v/>
      </c>
      <c r="T3003" s="79" t="str">
        <f>IF(ISERROR(FIND('112'!$M$9,G3003,1)),"",IF((AND(FIND('112'!$M$9,G3003,1)&gt;=1,B3003='112'!$K$9,OR($N3003='112'!$I$6,$O3003='112'!$I$6))),"x",""))</f>
        <v/>
      </c>
      <c r="U3003" s="79" t="str">
        <f>IF(ISERROR(FIND('112'!$M$9,G3003,1)),"",IF((AND(LEFT(G3003,2)=LEFT('112'!$M$9,2),B3003&lt;'112'!$K$9,$N3003='112'!$I$6)),"x",""))</f>
        <v/>
      </c>
      <c r="V3003" s="79" t="str">
        <f>IF(ISERROR(FIND('112'!$M$9,G3003,1)),"",IF((AND(RIGHT(G3003,2)=RIGHT('112'!$M$9,2),B3003&lt;'112'!$K$9,$O3003='112'!$I$6)),"x",""))</f>
        <v/>
      </c>
      <c r="W3003" s="79" t="str">
        <f>IF(AND('341-CT'!$H$9=H3003,OR(LEFT(N3003,3)=$W$7,LEFT(O3003,3)=$W$7)),"x","")</f>
        <v/>
      </c>
      <c r="X3003" s="79" t="str">
        <f>IF(OR(TH!N3003=TH!$X$7,O3003=TH!$X$7),"x","")</f>
        <v/>
      </c>
      <c r="Y3003" s="79" t="str">
        <f>IF(AND(OR(N3003="131",O3003="131"),H3003='131-CT'!$H$9),"x","")</f>
        <v/>
      </c>
      <c r="Z3003" s="79"/>
      <c r="AA3003" s="79" t="str">
        <f>IF(AND(MONTH(E3003)='IN-NX'!$J$5,'IN-NX'!$D$7=D3003),"x","")</f>
        <v/>
      </c>
      <c r="AB3003" s="79" t="str">
        <f>IF(AND(OR(LEFT(TH!N3003,2)="15",LEFT(TH!O3003,2)="15"),LEFT(TH!O3003,3)&lt;&gt;"111",'152-CT'!$J$8=TH!F3003),"x","")</f>
        <v/>
      </c>
      <c r="AC3003" s="79" t="str">
        <f>IF(AND(OR(LEFT(TH!N3003,2)="15",LEFT(TH!O3003,2)="15"),TK!$E$7=TH!F3003),"x","")</f>
        <v/>
      </c>
      <c r="AD3003" s="79" t="str">
        <f>IF(AND(N3003="1521",MONTH(C3003)='BK-NL'!$M$11),"x","")</f>
        <v/>
      </c>
    </row>
    <row r="3004" spans="1:30" ht="16.5" customHeight="1">
      <c r="A3004" s="318" t="str">
        <f>IF(B3004&lt;&gt;"",IF(AND(B3004='[3]IN-TC'!$S$4,OR([3]TH!N2539="1111",[3]TH!O2539="1111")),[3]TH!D2539,""),"")</f>
        <v/>
      </c>
      <c r="B3004" s="60" t="str">
        <f t="shared" si="346"/>
        <v/>
      </c>
      <c r="C3004" s="974"/>
      <c r="D3004" s="974"/>
      <c r="E3004" s="974"/>
      <c r="F3004" s="975"/>
      <c r="G3004" s="975"/>
      <c r="H3004" s="77"/>
      <c r="I3004" s="383"/>
      <c r="J3004" s="391"/>
      <c r="K3004" s="383"/>
      <c r="L3004" s="390"/>
      <c r="M3004" s="78"/>
      <c r="N3004" s="979"/>
      <c r="O3004" s="979"/>
      <c r="P3004" s="79" t="str">
        <f>IF(AND('331-CT'!$E$7=TH!H3004,OR(N3004="331",O3004="331")),"x","")</f>
        <v/>
      </c>
      <c r="Q3004" s="79" t="str">
        <f>IF(AND(B3004='111'!$L$11,OR($N3004=$Q$7,$O3004=$Q$7)),"x","")</f>
        <v/>
      </c>
      <c r="R3004" s="79" t="str">
        <f>IF(AND($N3004=$Q$7,$B3004&lt;'111'!$L$11),"x","")</f>
        <v/>
      </c>
      <c r="S3004" s="79" t="str">
        <f>IF(AND($O3004=$Q$7,$B3004&lt;'111'!$L$11),"x","")</f>
        <v/>
      </c>
      <c r="T3004" s="79" t="str">
        <f>IF(ISERROR(FIND('112'!$M$9,G3004,1)),"",IF((AND(FIND('112'!$M$9,G3004,1)&gt;=1,B3004='112'!$K$9,OR($N3004='112'!$I$6,$O3004='112'!$I$6))),"x",""))</f>
        <v/>
      </c>
      <c r="U3004" s="79" t="str">
        <f>IF(ISERROR(FIND('112'!$M$9,G3004,1)),"",IF((AND(LEFT(G3004,2)=LEFT('112'!$M$9,2),B3004&lt;'112'!$K$9,$N3004='112'!$I$6)),"x",""))</f>
        <v/>
      </c>
      <c r="V3004" s="79" t="str">
        <f>IF(ISERROR(FIND('112'!$M$9,G3004,1)),"",IF((AND(RIGHT(G3004,2)=RIGHT('112'!$M$9,2),B3004&lt;'112'!$K$9,$O3004='112'!$I$6)),"x",""))</f>
        <v/>
      </c>
      <c r="W3004" s="79" t="str">
        <f>IF(AND('341-CT'!$H$9=H3004,OR(LEFT(N3004,3)=$W$7,LEFT(O3004,3)=$W$7)),"x","")</f>
        <v/>
      </c>
      <c r="X3004" s="79" t="str">
        <f>IF(OR(TH!N3004=TH!$X$7,O3004=TH!$X$7),"x","")</f>
        <v/>
      </c>
      <c r="Y3004" s="79" t="str">
        <f>IF(AND(OR(N3004="131",O3004="131"),H3004='131-CT'!$H$9),"x","")</f>
        <v/>
      </c>
      <c r="Z3004" s="79"/>
      <c r="AA3004" s="79" t="str">
        <f>IF(AND(MONTH(E3004)='IN-NX'!$J$5,'IN-NX'!$D$7=D3004),"x","")</f>
        <v/>
      </c>
      <c r="AB3004" s="79" t="str">
        <f>IF(AND(OR(LEFT(TH!N3004,2)="15",LEFT(TH!O3004,2)="15"),LEFT(TH!O3004,3)&lt;&gt;"111",'152-CT'!$J$8=TH!F3004),"x","")</f>
        <v/>
      </c>
      <c r="AC3004" s="79" t="str">
        <f>IF(AND(OR(LEFT(TH!N3004,2)="15",LEFT(TH!O3004,2)="15"),TK!$E$7=TH!F3004),"x","")</f>
        <v/>
      </c>
      <c r="AD3004" s="79" t="str">
        <f>IF(AND(N3004="1521",MONTH(C3004)='BK-NL'!$M$11),"x","")</f>
        <v/>
      </c>
    </row>
    <row r="3005" spans="1:30" ht="16.5" customHeight="1">
      <c r="A3005" s="318" t="str">
        <f>IF(B3005&lt;&gt;"",IF(AND(B3005='[3]IN-TC'!$S$4,OR([3]TH!N2540="1111",[3]TH!O2540="1111")),[3]TH!D2540,""),"")</f>
        <v/>
      </c>
      <c r="B3005" s="60" t="str">
        <f t="shared" ref="B3005" si="356">IF(C3005&lt;&gt;"",MONTH(C3005),"")</f>
        <v/>
      </c>
      <c r="C3005" s="974"/>
      <c r="D3005" s="974"/>
      <c r="E3005" s="974"/>
      <c r="F3005" s="975"/>
      <c r="G3005" s="975"/>
      <c r="H3005" s="77"/>
      <c r="I3005" s="383"/>
      <c r="J3005" s="391"/>
      <c r="K3005" s="383"/>
      <c r="L3005" s="390"/>
      <c r="M3005" s="78"/>
      <c r="N3005" s="979"/>
      <c r="O3005" s="979"/>
      <c r="P3005" s="79" t="str">
        <f>IF(AND('331-CT'!$E$7=TH!H3005,OR(N3005="331",O3005="331")),"x","")</f>
        <v/>
      </c>
      <c r="Q3005" s="79" t="str">
        <f>IF(AND(B3005='111'!$L$11,OR($N3005=$Q$7,$O3005=$Q$7)),"x","")</f>
        <v/>
      </c>
      <c r="R3005" s="79" t="str">
        <f>IF(AND($N3005=$Q$7,$B3005&lt;'111'!$L$11),"x","")</f>
        <v/>
      </c>
      <c r="S3005" s="79" t="str">
        <f>IF(AND($O3005=$Q$7,$B3005&lt;'111'!$L$11),"x","")</f>
        <v/>
      </c>
      <c r="T3005" s="79" t="str">
        <f>IF(ISERROR(FIND('112'!$M$9,G3005,1)),"",IF((AND(FIND('112'!$M$9,G3005,1)&gt;=1,B3005='112'!$K$9,OR($N3005='112'!$I$6,$O3005='112'!$I$6))),"x",""))</f>
        <v/>
      </c>
      <c r="U3005" s="79" t="str">
        <f>IF(ISERROR(FIND('112'!$M$9,G3005,1)),"",IF((AND(LEFT(G3005,2)=LEFT('112'!$M$9,2),B3005&lt;'112'!$K$9,$N3005='112'!$I$6)),"x",""))</f>
        <v/>
      </c>
      <c r="V3005" s="79" t="str">
        <f>IF(ISERROR(FIND('112'!$M$9,G3005,1)),"",IF((AND(RIGHT(G3005,2)=RIGHT('112'!$M$9,2),B3005&lt;'112'!$K$9,$O3005='112'!$I$6)),"x",""))</f>
        <v/>
      </c>
      <c r="W3005" s="79" t="str">
        <f>IF(AND('341-CT'!$H$9=H3005,OR(LEFT(N3005,3)=$W$7,LEFT(O3005,3)=$W$7)),"x","")</f>
        <v/>
      </c>
      <c r="X3005" s="79" t="str">
        <f>IF(OR(TH!N3005=TH!$X$7,O3005=TH!$X$7),"x","")</f>
        <v/>
      </c>
      <c r="Y3005" s="79" t="str">
        <f>IF(AND(OR(N3005="131",O3005="131"),H3005='131-CT'!$H$9),"x","")</f>
        <v/>
      </c>
      <c r="Z3005" s="79"/>
      <c r="AA3005" s="79" t="str">
        <f>IF(AND(MONTH(E3005)='IN-NX'!$J$5,'IN-NX'!$D$7=D3005),"x","")</f>
        <v/>
      </c>
      <c r="AB3005" s="79" t="str">
        <f>IF(AND(OR(LEFT(TH!N3005,2)="15",LEFT(TH!O3005,2)="15"),LEFT(TH!O3005,3)&lt;&gt;"111",'152-CT'!$J$8=TH!F3005),"x","")</f>
        <v/>
      </c>
      <c r="AC3005" s="79" t="str">
        <f>IF(AND(OR(LEFT(TH!N3005,2)="15",LEFT(TH!O3005,2)="15"),TK!$E$7=TH!F3005),"x","")</f>
        <v/>
      </c>
      <c r="AD3005" s="79" t="str">
        <f>IF(AND(N3005="1521",MONTH(C3005)='BK-NL'!$M$11),"x","")</f>
        <v/>
      </c>
    </row>
    <row r="3006" spans="1:30" ht="16.5" customHeight="1">
      <c r="A3006" s="318" t="str">
        <f>IF(B3006&lt;&gt;"",IF(AND(B3006='[3]IN-TC'!$S$4,OR([3]TH!N2540="1111",[3]TH!O2540="1111")),[3]TH!D2540,""),"")</f>
        <v/>
      </c>
      <c r="B3006" s="60" t="str">
        <f t="shared" ref="B3006" si="357">IF(C3006&lt;&gt;"",MONTH(C3006),"")</f>
        <v/>
      </c>
      <c r="C3006" s="974"/>
      <c r="D3006" s="974"/>
      <c r="E3006" s="974"/>
      <c r="F3006" s="975"/>
      <c r="G3006" s="975"/>
      <c r="H3006" s="77"/>
      <c r="I3006" s="383"/>
      <c r="J3006" s="391"/>
      <c r="K3006" s="383"/>
      <c r="L3006" s="390"/>
      <c r="M3006" s="78"/>
      <c r="N3006" s="979"/>
      <c r="O3006" s="979"/>
      <c r="P3006" s="79" t="str">
        <f>IF(AND('331-CT'!$E$7=TH!H3006,OR(N3006="331",O3006="331")),"x","")</f>
        <v/>
      </c>
      <c r="Q3006" s="79" t="str">
        <f>IF(AND(B3006='111'!$L$11,OR($N3006=$Q$7,$O3006=$Q$7)),"x","")</f>
        <v/>
      </c>
      <c r="R3006" s="79" t="str">
        <f>IF(AND($N3006=$Q$7,$B3006&lt;'111'!$L$11),"x","")</f>
        <v/>
      </c>
      <c r="S3006" s="79" t="str">
        <f>IF(AND($O3006=$Q$7,$B3006&lt;'111'!$L$11),"x","")</f>
        <v/>
      </c>
      <c r="T3006" s="79" t="str">
        <f>IF(ISERROR(FIND('112'!$M$9,G3006,1)),"",IF((AND(FIND('112'!$M$9,G3006,1)&gt;=1,B3006='112'!$K$9,OR($N3006='112'!$I$6,$O3006='112'!$I$6))),"x",""))</f>
        <v/>
      </c>
      <c r="U3006" s="79" t="str">
        <f>IF(ISERROR(FIND('112'!$M$9,G3006,1)),"",IF((AND(LEFT(G3006,2)=LEFT('112'!$M$9,2),B3006&lt;'112'!$K$9,$N3006='112'!$I$6)),"x",""))</f>
        <v/>
      </c>
      <c r="V3006" s="79" t="str">
        <f>IF(ISERROR(FIND('112'!$M$9,G3006,1)),"",IF((AND(RIGHT(G3006,2)=RIGHT('112'!$M$9,2),B3006&lt;'112'!$K$9,$O3006='112'!$I$6)),"x",""))</f>
        <v/>
      </c>
      <c r="W3006" s="79" t="str">
        <f>IF(AND('341-CT'!$H$9=H3006,OR(LEFT(N3006,3)=$W$7,LEFT(O3006,3)=$W$7)),"x","")</f>
        <v/>
      </c>
      <c r="X3006" s="79" t="str">
        <f>IF(OR(TH!N3006=TH!$X$7,O3006=TH!$X$7),"x","")</f>
        <v/>
      </c>
      <c r="Y3006" s="79" t="str">
        <f>IF(AND(OR(N3006="131",O3006="131"),H3006='131-CT'!$H$9),"x","")</f>
        <v/>
      </c>
      <c r="Z3006" s="79"/>
      <c r="AA3006" s="79" t="str">
        <f>IF(AND(MONTH(E3006)='IN-NX'!$J$5,'IN-NX'!$D$7=D3006),"x","")</f>
        <v/>
      </c>
      <c r="AB3006" s="79" t="str">
        <f>IF(AND(OR(LEFT(TH!N3006,2)="15",LEFT(TH!O3006,2)="15"),LEFT(TH!O3006,3)&lt;&gt;"111",'152-CT'!$J$8=TH!F3006),"x","")</f>
        <v/>
      </c>
      <c r="AC3006" s="79" t="str">
        <f>IF(AND(OR(LEFT(TH!N3006,2)="15",LEFT(TH!O3006,2)="15"),TK!$E$7=TH!F3006),"x","")</f>
        <v/>
      </c>
      <c r="AD3006" s="79" t="str">
        <f>IF(AND(N3006="1521",MONTH(C3006)='BK-NL'!$M$11),"x","")</f>
        <v/>
      </c>
    </row>
    <row r="3007" spans="1:30" ht="16.5" customHeight="1">
      <c r="A3007" s="318" t="str">
        <f>IF(B3007&lt;&gt;"",IF(AND(B3007='[3]IN-TC'!$S$4,OR([3]TH!N2536="1111",[3]TH!O2536="1111")),[3]TH!D2536,""),"")</f>
        <v/>
      </c>
      <c r="B3007" s="60" t="str">
        <f t="shared" ref="B3007:B3008" si="358">IF(C3007&lt;&gt;"",MONTH(C3007),"")</f>
        <v/>
      </c>
      <c r="C3007" s="974"/>
      <c r="D3007" s="974"/>
      <c r="E3007" s="974"/>
      <c r="F3007" s="975"/>
      <c r="G3007" s="975"/>
      <c r="H3007" s="77"/>
      <c r="I3007" s="383"/>
      <c r="J3007" s="391"/>
      <c r="K3007" s="383"/>
      <c r="L3007" s="390"/>
      <c r="M3007" s="78"/>
      <c r="N3007" s="979"/>
      <c r="O3007" s="979"/>
      <c r="P3007" s="79" t="str">
        <f>IF(AND('331-CT'!$E$7=TH!H3007,OR(N3007="331",O3007="331")),"x","")</f>
        <v/>
      </c>
      <c r="Q3007" s="79" t="str">
        <f>IF(AND(B3007='111'!$L$11,OR($N3007=$Q$7,$O3007=$Q$7)),"x","")</f>
        <v/>
      </c>
      <c r="R3007" s="79" t="str">
        <f>IF(AND($N3007=$Q$7,$B3007&lt;'111'!$L$11),"x","")</f>
        <v/>
      </c>
      <c r="S3007" s="79" t="str">
        <f>IF(AND($O3007=$Q$7,$B3007&lt;'111'!$L$11),"x","")</f>
        <v/>
      </c>
      <c r="T3007" s="79" t="str">
        <f>IF(ISERROR(FIND('112'!$M$9,G3007,1)),"",IF((AND(FIND('112'!$M$9,G3007,1)&gt;=1,B3007='112'!$K$9,OR($N3007='112'!$I$6,$O3007='112'!$I$6))),"x",""))</f>
        <v/>
      </c>
      <c r="U3007" s="79" t="str">
        <f>IF(ISERROR(FIND('112'!$M$9,G3007,1)),"",IF((AND(LEFT(G3007,2)=LEFT('112'!$M$9,2),B3007&lt;'112'!$K$9,$N3007='112'!$I$6)),"x",""))</f>
        <v/>
      </c>
      <c r="V3007" s="79" t="str">
        <f>IF(ISERROR(FIND('112'!$M$9,G3007,1)),"",IF((AND(RIGHT(G3007,2)=RIGHT('112'!$M$9,2),B3007&lt;'112'!$K$9,$O3007='112'!$I$6)),"x",""))</f>
        <v/>
      </c>
      <c r="W3007" s="79" t="str">
        <f>IF(AND('341-CT'!$H$9=H3007,OR(LEFT(N3007,3)=$W$7,LEFT(O3007,3)=$W$7)),"x","")</f>
        <v/>
      </c>
      <c r="X3007" s="79" t="str">
        <f>IF(OR(TH!N3007=TH!$X$7,O3007=TH!$X$7),"x","")</f>
        <v/>
      </c>
      <c r="Y3007" s="79" t="str">
        <f>IF(AND(OR(N3007="131",O3007="131"),H3007='131-CT'!$H$9),"x","")</f>
        <v/>
      </c>
      <c r="Z3007" s="79"/>
      <c r="AA3007" s="79" t="str">
        <f>IF(AND(MONTH(E3007)='IN-NX'!$J$5,'IN-NX'!$D$7=D3007),"x","")</f>
        <v/>
      </c>
      <c r="AB3007" s="79" t="str">
        <f>IF(AND(OR(LEFT(TH!N3007,2)="15",LEFT(TH!O3007,2)="15"),LEFT(TH!O3007,3)&lt;&gt;"111",'152-CT'!$J$8=TH!F3007),"x","")</f>
        <v/>
      </c>
      <c r="AC3007" s="79" t="str">
        <f>IF(AND(OR(LEFT(TH!N3007,2)="15",LEFT(TH!O3007,2)="15"),TK!$E$7=TH!F3007),"x","")</f>
        <v/>
      </c>
      <c r="AD3007" s="79" t="str">
        <f>IF(AND(N3007="1521",MONTH(C3007)='BK-NL'!$M$11),"x","")</f>
        <v/>
      </c>
    </row>
    <row r="3008" spans="1:30" ht="16.5" customHeight="1">
      <c r="A3008" s="318" t="str">
        <f>IF(B3008&lt;&gt;"",IF(AND(B3008='[3]IN-TC'!$S$4,OR([3]TH!N2537="1111",[3]TH!O2537="1111")),[3]TH!D2537,""),"")</f>
        <v/>
      </c>
      <c r="B3008" s="60" t="str">
        <f t="shared" si="358"/>
        <v/>
      </c>
      <c r="C3008" s="974"/>
      <c r="D3008" s="974"/>
      <c r="E3008" s="974"/>
      <c r="F3008" s="975"/>
      <c r="G3008" s="975"/>
      <c r="H3008" s="77"/>
      <c r="I3008" s="383"/>
      <c r="J3008" s="391"/>
      <c r="K3008" s="383"/>
      <c r="L3008" s="390"/>
      <c r="M3008" s="78"/>
      <c r="N3008" s="979"/>
      <c r="O3008" s="979"/>
      <c r="P3008" s="79" t="str">
        <f>IF(AND('331-CT'!$E$7=TH!H3008,OR(N3008="331",O3008="331")),"x","")</f>
        <v/>
      </c>
      <c r="Q3008" s="79" t="str">
        <f>IF(AND(B3008='111'!$L$11,OR($N3008=$Q$7,$O3008=$Q$7)),"x","")</f>
        <v/>
      </c>
      <c r="R3008" s="79" t="str">
        <f>IF(AND($N3008=$Q$7,$B3008&lt;'111'!$L$11),"x","")</f>
        <v/>
      </c>
      <c r="S3008" s="79" t="str">
        <f>IF(AND($O3008=$Q$7,$B3008&lt;'111'!$L$11),"x","")</f>
        <v/>
      </c>
      <c r="T3008" s="79" t="str">
        <f>IF(ISERROR(FIND('112'!$M$9,G3008,1)),"",IF((AND(FIND('112'!$M$9,G3008,1)&gt;=1,B3008='112'!$K$9,OR($N3008='112'!$I$6,$O3008='112'!$I$6))),"x",""))</f>
        <v/>
      </c>
      <c r="U3008" s="79" t="str">
        <f>IF(ISERROR(FIND('112'!$M$9,G3008,1)),"",IF((AND(LEFT(G3008,2)=LEFT('112'!$M$9,2),B3008&lt;'112'!$K$9,$N3008='112'!$I$6)),"x",""))</f>
        <v/>
      </c>
      <c r="V3008" s="79" t="str">
        <f>IF(ISERROR(FIND('112'!$M$9,G3008,1)),"",IF((AND(RIGHT(G3008,2)=RIGHT('112'!$M$9,2),B3008&lt;'112'!$K$9,$O3008='112'!$I$6)),"x",""))</f>
        <v/>
      </c>
      <c r="W3008" s="79" t="str">
        <f>IF(AND('341-CT'!$H$9=H3008,OR(LEFT(N3008,3)=$W$7,LEFT(O3008,3)=$W$7)),"x","")</f>
        <v/>
      </c>
      <c r="X3008" s="79" t="str">
        <f>IF(OR(TH!N3008=TH!$X$7,O3008=TH!$X$7),"x","")</f>
        <v/>
      </c>
      <c r="Y3008" s="79" t="str">
        <f>IF(AND(OR(N3008="131",O3008="131"),H3008='131-CT'!$H$9),"x","")</f>
        <v/>
      </c>
      <c r="Z3008" s="79"/>
      <c r="AA3008" s="79" t="str">
        <f>IF(AND(MONTH(E3008)='IN-NX'!$J$5,'IN-NX'!$D$7=D3008),"x","")</f>
        <v/>
      </c>
      <c r="AB3008" s="79" t="str">
        <f>IF(AND(OR(LEFT(TH!N3008,2)="15",LEFT(TH!O3008,2)="15"),LEFT(TH!O3008,3)&lt;&gt;"111",'152-CT'!$J$8=TH!F3008),"x","")</f>
        <v/>
      </c>
      <c r="AC3008" s="79" t="str">
        <f>IF(AND(OR(LEFT(TH!N3008,2)="15",LEFT(TH!O3008,2)="15"),TK!$E$7=TH!F3008),"x","")</f>
        <v/>
      </c>
      <c r="AD3008" s="79" t="str">
        <f>IF(AND(N3008="1521",MONTH(C3008)='BK-NL'!$M$11),"x","")</f>
        <v/>
      </c>
    </row>
    <row r="3009" spans="1:30" ht="16.5" customHeight="1">
      <c r="A3009" s="318" t="str">
        <f>IF(B3009&lt;&gt;"",IF(AND(B3009='[3]IN-TC'!$S$4,OR([3]TH!N2538="1111",[3]TH!O2538="1111")),[3]TH!D2538,""),"")</f>
        <v/>
      </c>
      <c r="B3009" s="60" t="str">
        <f t="shared" ref="B3009" si="359">IF(C3009&lt;&gt;"",MONTH(C3009),"")</f>
        <v/>
      </c>
      <c r="C3009" s="974"/>
      <c r="D3009" s="974"/>
      <c r="E3009" s="974"/>
      <c r="F3009" s="975"/>
      <c r="G3009" s="975"/>
      <c r="H3009" s="77"/>
      <c r="I3009" s="383"/>
      <c r="J3009" s="391"/>
      <c r="K3009" s="383"/>
      <c r="L3009" s="390"/>
      <c r="M3009" s="78"/>
      <c r="N3009" s="979"/>
      <c r="O3009" s="979"/>
      <c r="P3009" s="79" t="str">
        <f>IF(AND('331-CT'!$E$7=TH!H3009,OR(N3009="331",O3009="331")),"x","")</f>
        <v/>
      </c>
      <c r="Q3009" s="79" t="str">
        <f>IF(AND(B3009='111'!$L$11,OR($N3009=$Q$7,$O3009=$Q$7)),"x","")</f>
        <v/>
      </c>
      <c r="R3009" s="79" t="str">
        <f>IF(AND($N3009=$Q$7,$B3009&lt;'111'!$L$11),"x","")</f>
        <v/>
      </c>
      <c r="S3009" s="79" t="str">
        <f>IF(AND($O3009=$Q$7,$B3009&lt;'111'!$L$11),"x","")</f>
        <v/>
      </c>
      <c r="T3009" s="79" t="str">
        <f>IF(ISERROR(FIND('112'!$M$9,G3009,1)),"",IF((AND(FIND('112'!$M$9,G3009,1)&gt;=1,B3009='112'!$K$9,OR($N3009='112'!$I$6,$O3009='112'!$I$6))),"x",""))</f>
        <v/>
      </c>
      <c r="U3009" s="79" t="str">
        <f>IF(ISERROR(FIND('112'!$M$9,G3009,1)),"",IF((AND(LEFT(G3009,2)=LEFT('112'!$M$9,2),B3009&lt;'112'!$K$9,$N3009='112'!$I$6)),"x",""))</f>
        <v/>
      </c>
      <c r="V3009" s="79" t="str">
        <f>IF(ISERROR(FIND('112'!$M$9,G3009,1)),"",IF((AND(RIGHT(G3009,2)=RIGHT('112'!$M$9,2),B3009&lt;'112'!$K$9,$O3009='112'!$I$6)),"x",""))</f>
        <v/>
      </c>
      <c r="W3009" s="79" t="str">
        <f>IF(AND('341-CT'!$H$9=H3009,OR(LEFT(N3009,3)=$W$7,LEFT(O3009,3)=$W$7)),"x","")</f>
        <v/>
      </c>
      <c r="X3009" s="79" t="str">
        <f>IF(OR(TH!N3009=TH!$X$7,O3009=TH!$X$7),"x","")</f>
        <v/>
      </c>
      <c r="Y3009" s="79" t="str">
        <f>IF(AND(OR(N3009="131",O3009="131"),H3009='131-CT'!$H$9),"x","")</f>
        <v/>
      </c>
      <c r="Z3009" s="79"/>
      <c r="AA3009" s="79" t="str">
        <f>IF(AND(MONTH(E3009)='IN-NX'!$J$5,'IN-NX'!$D$7=D3009),"x","")</f>
        <v/>
      </c>
      <c r="AB3009" s="79" t="str">
        <f>IF(AND(OR(LEFT(TH!N3009,2)="15",LEFT(TH!O3009,2)="15"),LEFT(TH!O3009,3)&lt;&gt;"111",'152-CT'!$J$8=TH!F3009),"x","")</f>
        <v/>
      </c>
      <c r="AC3009" s="79" t="str">
        <f>IF(AND(OR(LEFT(TH!N3009,2)="15",LEFT(TH!O3009,2)="15"),TK!$E$7=TH!F3009),"x","")</f>
        <v/>
      </c>
      <c r="AD3009" s="79" t="str">
        <f>IF(AND(N3009="1521",MONTH(C3009)='BK-NL'!$M$11),"x","")</f>
        <v/>
      </c>
    </row>
    <row r="3010" spans="1:30" ht="16.5" customHeight="1">
      <c r="A3010" s="318" t="str">
        <f>IF(B3010&lt;&gt;"",IF(AND(B3010='[3]IN-TC'!$S$4,OR([3]TH!N2538="1111",[3]TH!O2538="1111")),[3]TH!D2538,""),"")</f>
        <v/>
      </c>
      <c r="B3010" s="60" t="str">
        <f t="shared" ref="B3010:B3013" si="360">IF(C3010&lt;&gt;"",MONTH(C3010),"")</f>
        <v/>
      </c>
      <c r="C3010" s="974"/>
      <c r="D3010" s="974"/>
      <c r="E3010" s="974"/>
      <c r="F3010" s="975"/>
      <c r="G3010" s="975"/>
      <c r="H3010" s="77"/>
      <c r="I3010" s="383"/>
      <c r="J3010" s="391"/>
      <c r="K3010" s="383"/>
      <c r="L3010" s="390"/>
      <c r="M3010" s="78"/>
      <c r="N3010" s="979"/>
      <c r="O3010" s="979"/>
      <c r="P3010" s="79" t="str">
        <f>IF(AND('331-CT'!$E$7=TH!H3010,OR(N3010="331",O3010="331")),"x","")</f>
        <v/>
      </c>
      <c r="Q3010" s="79" t="str">
        <f>IF(AND(B3010='111'!$L$11,OR($N3010=$Q$7,$O3010=$Q$7)),"x","")</f>
        <v/>
      </c>
      <c r="R3010" s="79" t="str">
        <f>IF(AND($N3010=$Q$7,$B3010&lt;'111'!$L$11),"x","")</f>
        <v/>
      </c>
      <c r="S3010" s="79" t="str">
        <f>IF(AND($O3010=$Q$7,$B3010&lt;'111'!$L$11),"x","")</f>
        <v/>
      </c>
      <c r="T3010" s="79" t="str">
        <f>IF(ISERROR(FIND('112'!$M$9,G3010,1)),"",IF((AND(FIND('112'!$M$9,G3010,1)&gt;=1,B3010='112'!$K$9,OR($N3010='112'!$I$6,$O3010='112'!$I$6))),"x",""))</f>
        <v/>
      </c>
      <c r="U3010" s="79" t="str">
        <f>IF(ISERROR(FIND('112'!$M$9,G3010,1)),"",IF((AND(LEFT(G3010,2)=LEFT('112'!$M$9,2),B3010&lt;'112'!$K$9,$N3010='112'!$I$6)),"x",""))</f>
        <v/>
      </c>
      <c r="V3010" s="79" t="str">
        <f>IF(ISERROR(FIND('112'!$M$9,G3010,1)),"",IF((AND(RIGHT(G3010,2)=RIGHT('112'!$M$9,2),B3010&lt;'112'!$K$9,$O3010='112'!$I$6)),"x",""))</f>
        <v/>
      </c>
      <c r="W3010" s="79" t="str">
        <f>IF(AND('341-CT'!$H$9=H3010,OR(LEFT(N3010,3)=$W$7,LEFT(O3010,3)=$W$7)),"x","")</f>
        <v/>
      </c>
      <c r="X3010" s="79" t="str">
        <f>IF(OR(TH!N3010=TH!$X$7,O3010=TH!$X$7),"x","")</f>
        <v/>
      </c>
      <c r="Y3010" s="79" t="str">
        <f>IF(AND(OR(N3010="131",O3010="131"),H3010='131-CT'!$H$9),"x","")</f>
        <v/>
      </c>
      <c r="Z3010" s="79"/>
      <c r="AA3010" s="79" t="str">
        <f>IF(AND(MONTH(E3010)='IN-NX'!$J$5,'IN-NX'!$D$7=D3010),"x","")</f>
        <v/>
      </c>
      <c r="AB3010" s="79" t="str">
        <f>IF(AND(OR(LEFT(TH!N3010,2)="15",LEFT(TH!O3010,2)="15"),LEFT(TH!O3010,3)&lt;&gt;"111",'152-CT'!$J$8=TH!F3010),"x","")</f>
        <v/>
      </c>
      <c r="AC3010" s="79" t="str">
        <f>IF(AND(OR(LEFT(TH!N3010,2)="15",LEFT(TH!O3010,2)="15"),TK!$E$7=TH!F3010),"x","")</f>
        <v/>
      </c>
      <c r="AD3010" s="79" t="str">
        <f>IF(AND(N3010="1521",MONTH(C3010)='BK-NL'!$M$11),"x","")</f>
        <v/>
      </c>
    </row>
    <row r="3011" spans="1:30" ht="16.5" customHeight="1">
      <c r="A3011" s="318" t="str">
        <f>IF(B3011&lt;&gt;"",IF(AND(B3011='[3]IN-TC'!$S$4,OR([3]TH!N2539="1111",[3]TH!O2539="1111")),[3]TH!D2539,""),"")</f>
        <v/>
      </c>
      <c r="B3011" s="60" t="str">
        <f t="shared" si="360"/>
        <v/>
      </c>
      <c r="C3011" s="974"/>
      <c r="D3011" s="974"/>
      <c r="E3011" s="974"/>
      <c r="F3011" s="975"/>
      <c r="G3011" s="975"/>
      <c r="H3011" s="77"/>
      <c r="I3011" s="383"/>
      <c r="J3011" s="391"/>
      <c r="K3011" s="383"/>
      <c r="L3011" s="390"/>
      <c r="M3011" s="78"/>
      <c r="N3011" s="979"/>
      <c r="O3011" s="979"/>
      <c r="P3011" s="79" t="str">
        <f>IF(AND('331-CT'!$E$7=TH!H3011,OR(N3011="331",O3011="331")),"x","")</f>
        <v/>
      </c>
      <c r="Q3011" s="79" t="str">
        <f>IF(AND(B3011='111'!$L$11,OR($N3011=$Q$7,$O3011=$Q$7)),"x","")</f>
        <v/>
      </c>
      <c r="R3011" s="79" t="str">
        <f>IF(AND($N3011=$Q$7,$B3011&lt;'111'!$L$11),"x","")</f>
        <v/>
      </c>
      <c r="S3011" s="79" t="str">
        <f>IF(AND($O3011=$Q$7,$B3011&lt;'111'!$L$11),"x","")</f>
        <v/>
      </c>
      <c r="T3011" s="79" t="str">
        <f>IF(ISERROR(FIND('112'!$M$9,G3011,1)),"",IF((AND(FIND('112'!$M$9,G3011,1)&gt;=1,B3011='112'!$K$9,OR($N3011='112'!$I$6,$O3011='112'!$I$6))),"x",""))</f>
        <v/>
      </c>
      <c r="U3011" s="79" t="str">
        <f>IF(ISERROR(FIND('112'!$M$9,G3011,1)),"",IF((AND(LEFT(G3011,2)=LEFT('112'!$M$9,2),B3011&lt;'112'!$K$9,$N3011='112'!$I$6)),"x",""))</f>
        <v/>
      </c>
      <c r="V3011" s="79" t="str">
        <f>IF(ISERROR(FIND('112'!$M$9,G3011,1)),"",IF((AND(RIGHT(G3011,2)=RIGHT('112'!$M$9,2),B3011&lt;'112'!$K$9,$O3011='112'!$I$6)),"x",""))</f>
        <v/>
      </c>
      <c r="W3011" s="79" t="str">
        <f>IF(AND('341-CT'!$H$9=H3011,OR(LEFT(N3011,3)=$W$7,LEFT(O3011,3)=$W$7)),"x","")</f>
        <v/>
      </c>
      <c r="X3011" s="79" t="str">
        <f>IF(OR(TH!N3011=TH!$X$7,O3011=TH!$X$7),"x","")</f>
        <v/>
      </c>
      <c r="Y3011" s="79" t="str">
        <f>IF(AND(OR(N3011="131",O3011="131"),H3011='131-CT'!$H$9),"x","")</f>
        <v/>
      </c>
      <c r="Z3011" s="79"/>
      <c r="AA3011" s="79" t="str">
        <f>IF(AND(MONTH(E3011)='IN-NX'!$J$5,'IN-NX'!$D$7=D3011),"x","")</f>
        <v/>
      </c>
      <c r="AB3011" s="79" t="str">
        <f>IF(AND(OR(LEFT(TH!N3011,2)="15",LEFT(TH!O3011,2)="15"),LEFT(TH!O3011,3)&lt;&gt;"111",'152-CT'!$J$8=TH!F3011),"x","")</f>
        <v/>
      </c>
      <c r="AC3011" s="79" t="str">
        <f>IF(AND(OR(LEFT(TH!N3011,2)="15",LEFT(TH!O3011,2)="15"),TK!$E$7=TH!F3011),"x","")</f>
        <v/>
      </c>
      <c r="AD3011" s="79" t="str">
        <f>IF(AND(N3011="1521",MONTH(C3011)='BK-NL'!$M$11),"x","")</f>
        <v/>
      </c>
    </row>
    <row r="3012" spans="1:30" ht="16.5" customHeight="1">
      <c r="A3012" s="318" t="str">
        <f>IF(B3012&lt;&gt;"",IF(AND(B3012='[3]IN-TC'!$S$4,OR([3]TH!N2540="1111",[3]TH!O2540="1111")),[3]TH!D2540,""),"")</f>
        <v/>
      </c>
      <c r="B3012" s="60" t="str">
        <f t="shared" si="360"/>
        <v/>
      </c>
      <c r="C3012" s="974"/>
      <c r="D3012" s="974"/>
      <c r="E3012" s="974"/>
      <c r="F3012" s="975"/>
      <c r="G3012" s="975"/>
      <c r="H3012" s="77"/>
      <c r="I3012" s="383"/>
      <c r="J3012" s="391"/>
      <c r="K3012" s="383"/>
      <c r="L3012" s="390"/>
      <c r="M3012" s="78"/>
      <c r="N3012" s="979"/>
      <c r="O3012" s="979"/>
      <c r="P3012" s="79" t="str">
        <f>IF(AND('331-CT'!$E$7=TH!H3012,OR(N3012="331",O3012="331")),"x","")</f>
        <v/>
      </c>
      <c r="Q3012" s="79" t="str">
        <f>IF(AND(B3012='111'!$L$11,OR($N3012=$Q$7,$O3012=$Q$7)),"x","")</f>
        <v/>
      </c>
      <c r="R3012" s="79" t="str">
        <f>IF(AND($N3012=$Q$7,$B3012&lt;'111'!$L$11),"x","")</f>
        <v/>
      </c>
      <c r="S3012" s="79" t="str">
        <f>IF(AND($O3012=$Q$7,$B3012&lt;'111'!$L$11),"x","")</f>
        <v/>
      </c>
      <c r="T3012" s="79" t="str">
        <f>IF(ISERROR(FIND('112'!$M$9,G3012,1)),"",IF((AND(FIND('112'!$M$9,G3012,1)&gt;=1,B3012='112'!$K$9,OR($N3012='112'!$I$6,$O3012='112'!$I$6))),"x",""))</f>
        <v/>
      </c>
      <c r="U3012" s="79" t="str">
        <f>IF(ISERROR(FIND('112'!$M$9,G3012,1)),"",IF((AND(LEFT(G3012,2)=LEFT('112'!$M$9,2),B3012&lt;'112'!$K$9,$N3012='112'!$I$6)),"x",""))</f>
        <v/>
      </c>
      <c r="V3012" s="79" t="str">
        <f>IF(ISERROR(FIND('112'!$M$9,G3012,1)),"",IF((AND(RIGHT(G3012,2)=RIGHT('112'!$M$9,2),B3012&lt;'112'!$K$9,$O3012='112'!$I$6)),"x",""))</f>
        <v/>
      </c>
      <c r="W3012" s="79" t="str">
        <f>IF(AND('341-CT'!$H$9=H3012,OR(LEFT(N3012,3)=$W$7,LEFT(O3012,3)=$W$7)),"x","")</f>
        <v/>
      </c>
      <c r="X3012" s="79" t="str">
        <f>IF(OR(TH!N3012=TH!$X$7,O3012=TH!$X$7),"x","")</f>
        <v/>
      </c>
      <c r="Y3012" s="79" t="str">
        <f>IF(AND(OR(N3012="131",O3012="131"),H3012='131-CT'!$H$9),"x","")</f>
        <v/>
      </c>
      <c r="Z3012" s="79"/>
      <c r="AA3012" s="79" t="str">
        <f>IF(AND(MONTH(E3012)='IN-NX'!$J$5,'IN-NX'!$D$7=D3012),"x","")</f>
        <v/>
      </c>
      <c r="AB3012" s="79" t="str">
        <f>IF(AND(OR(LEFT(TH!N3012,2)="15",LEFT(TH!O3012,2)="15"),LEFT(TH!O3012,3)&lt;&gt;"111",'152-CT'!$J$8=TH!F3012),"x","")</f>
        <v/>
      </c>
      <c r="AC3012" s="79" t="str">
        <f>IF(AND(OR(LEFT(TH!N3012,2)="15",LEFT(TH!O3012,2)="15"),TK!$E$7=TH!F3012),"x","")</f>
        <v/>
      </c>
      <c r="AD3012" s="79" t="str">
        <f>IF(AND(N3012="1521",MONTH(C3012)='BK-NL'!$M$11),"x","")</f>
        <v/>
      </c>
    </row>
    <row r="3013" spans="1:30" ht="16.5" customHeight="1">
      <c r="A3013" s="318" t="str">
        <f>IF(B3013&lt;&gt;"",IF(AND(B3013='[3]IN-TC'!$S$4,OR([3]TH!N2541="1111",[3]TH!O2541="1111")),[3]TH!D2541,""),"")</f>
        <v/>
      </c>
      <c r="B3013" s="60" t="str">
        <f t="shared" si="360"/>
        <v/>
      </c>
      <c r="C3013" s="974"/>
      <c r="D3013" s="974"/>
      <c r="E3013" s="974"/>
      <c r="F3013" s="975"/>
      <c r="G3013" s="975"/>
      <c r="H3013" s="77"/>
      <c r="I3013" s="383"/>
      <c r="J3013" s="391"/>
      <c r="K3013" s="383"/>
      <c r="L3013" s="390"/>
      <c r="M3013" s="78"/>
      <c r="N3013" s="979"/>
      <c r="O3013" s="979"/>
      <c r="P3013" s="79" t="str">
        <f>IF(AND('331-CT'!$E$7=TH!H3013,OR(N3013="331",O3013="331")),"x","")</f>
        <v/>
      </c>
      <c r="Q3013" s="79" t="str">
        <f>IF(AND(B3013='111'!$L$11,OR($N3013=$Q$7,$O3013=$Q$7)),"x","")</f>
        <v/>
      </c>
      <c r="R3013" s="79" t="str">
        <f>IF(AND($N3013=$Q$7,$B3013&lt;'111'!$L$11),"x","")</f>
        <v/>
      </c>
      <c r="S3013" s="79" t="str">
        <f>IF(AND($O3013=$Q$7,$B3013&lt;'111'!$L$11),"x","")</f>
        <v/>
      </c>
      <c r="T3013" s="79" t="str">
        <f>IF(ISERROR(FIND('112'!$M$9,G3013,1)),"",IF((AND(FIND('112'!$M$9,G3013,1)&gt;=1,B3013='112'!$K$9,OR($N3013='112'!$I$6,$O3013='112'!$I$6))),"x",""))</f>
        <v/>
      </c>
      <c r="U3013" s="79" t="str">
        <f>IF(ISERROR(FIND('112'!$M$9,G3013,1)),"",IF((AND(LEFT(G3013,2)=LEFT('112'!$M$9,2),B3013&lt;'112'!$K$9,$N3013='112'!$I$6)),"x",""))</f>
        <v/>
      </c>
      <c r="V3013" s="79" t="str">
        <f>IF(ISERROR(FIND('112'!$M$9,G3013,1)),"",IF((AND(RIGHT(G3013,2)=RIGHT('112'!$M$9,2),B3013&lt;'112'!$K$9,$O3013='112'!$I$6)),"x",""))</f>
        <v/>
      </c>
      <c r="W3013" s="79" t="str">
        <f>IF(AND('341-CT'!$H$9=H3013,OR(LEFT(N3013,3)=$W$7,LEFT(O3013,3)=$W$7)),"x","")</f>
        <v/>
      </c>
      <c r="X3013" s="79" t="str">
        <f>IF(OR(TH!N3013=TH!$X$7,O3013=TH!$X$7),"x","")</f>
        <v/>
      </c>
      <c r="Y3013" s="79" t="str">
        <f>IF(AND(OR(N3013="131",O3013="131"),H3013='131-CT'!$H$9),"x","")</f>
        <v/>
      </c>
      <c r="Z3013" s="79"/>
      <c r="AA3013" s="79" t="str">
        <f>IF(AND(MONTH(E3013)='IN-NX'!$J$5,'IN-NX'!$D$7=D3013),"x","")</f>
        <v/>
      </c>
      <c r="AB3013" s="79" t="str">
        <f>IF(AND(OR(LEFT(TH!N3013,2)="15",LEFT(TH!O3013,2)="15"),LEFT(TH!O3013,3)&lt;&gt;"111",'152-CT'!$J$8=TH!F3013),"x","")</f>
        <v/>
      </c>
      <c r="AC3013" s="79" t="str">
        <f>IF(AND(OR(LEFT(TH!N3013,2)="15",LEFT(TH!O3013,2)="15"),TK!$E$7=TH!F3013),"x","")</f>
        <v/>
      </c>
      <c r="AD3013" s="79" t="str">
        <f>IF(AND(N3013="1521",MONTH(C3013)='BK-NL'!$M$11),"x","")</f>
        <v/>
      </c>
    </row>
    <row r="3014" spans="1:30" ht="16.5" customHeight="1">
      <c r="A3014" s="318" t="str">
        <f>IF(B3014&lt;&gt;"",IF(AND(B3014='[3]IN-TC'!$S$4,OR([3]TH!N2540="1111",[3]TH!O2540="1111")),[3]TH!D2540,""),"")</f>
        <v/>
      </c>
      <c r="B3014" s="60" t="str">
        <f t="shared" si="346"/>
        <v/>
      </c>
      <c r="C3014" s="974"/>
      <c r="D3014" s="974"/>
      <c r="E3014" s="974"/>
      <c r="F3014" s="975"/>
      <c r="G3014" s="975"/>
      <c r="H3014" s="77"/>
      <c r="I3014" s="383"/>
      <c r="J3014" s="391"/>
      <c r="K3014" s="383"/>
      <c r="L3014" s="390"/>
      <c r="M3014" s="78"/>
      <c r="N3014" s="979"/>
      <c r="O3014" s="979"/>
      <c r="P3014" s="79" t="str">
        <f>IF(AND('331-CT'!$E$7=TH!H3014,OR(N3014="331",O3014="331")),"x","")</f>
        <v/>
      </c>
      <c r="Q3014" s="79" t="str">
        <f>IF(AND(B3014='111'!$L$11,OR($N3014=$Q$7,$O3014=$Q$7)),"x","")</f>
        <v/>
      </c>
      <c r="R3014" s="79" t="str">
        <f>IF(AND($N3014=$Q$7,$B3014&lt;'111'!$L$11),"x","")</f>
        <v/>
      </c>
      <c r="S3014" s="79" t="str">
        <f>IF(AND($O3014=$Q$7,$B3014&lt;'111'!$L$11),"x","")</f>
        <v/>
      </c>
      <c r="T3014" s="79" t="str">
        <f>IF(ISERROR(FIND('112'!$M$9,G3014,1)),"",IF((AND(FIND('112'!$M$9,G3014,1)&gt;=1,B3014='112'!$K$9,OR($N3014='112'!$I$6,$O3014='112'!$I$6))),"x",""))</f>
        <v/>
      </c>
      <c r="U3014" s="79" t="str">
        <f>IF(ISERROR(FIND('112'!$M$9,G3014,1)),"",IF((AND(LEFT(G3014,2)=LEFT('112'!$M$9,2),B3014&lt;'112'!$K$9,$N3014='112'!$I$6)),"x",""))</f>
        <v/>
      </c>
      <c r="V3014" s="79" t="str">
        <f>IF(ISERROR(FIND('112'!$M$9,G3014,1)),"",IF((AND(RIGHT(G3014,2)=RIGHT('112'!$M$9,2),B3014&lt;'112'!$K$9,$O3014='112'!$I$6)),"x",""))</f>
        <v/>
      </c>
      <c r="W3014" s="79" t="str">
        <f>IF(AND('341-CT'!$H$9=H3014,OR(LEFT(N3014,3)=$W$7,LEFT(O3014,3)=$W$7)),"x","")</f>
        <v/>
      </c>
      <c r="X3014" s="79" t="str">
        <f>IF(OR(TH!N3014=TH!$X$7,O3014=TH!$X$7),"x","")</f>
        <v/>
      </c>
      <c r="Y3014" s="79" t="str">
        <f>IF(AND(OR(N3014="131",O3014="131"),H3014='131-CT'!$H$9),"x","")</f>
        <v/>
      </c>
      <c r="Z3014" s="79"/>
      <c r="AA3014" s="79" t="str">
        <f>IF(AND(MONTH(E3014)='IN-NX'!$J$5,'IN-NX'!$D$7=D3014),"x","")</f>
        <v/>
      </c>
      <c r="AB3014" s="79" t="str">
        <f>IF(AND(OR(LEFT(TH!N3014,2)="15",LEFT(TH!O3014,2)="15"),LEFT(TH!O3014,3)&lt;&gt;"111",'152-CT'!$J$8=TH!F3014),"x","")</f>
        <v/>
      </c>
      <c r="AC3014" s="79" t="str">
        <f>IF(AND(OR(LEFT(TH!N3014,2)="15",LEFT(TH!O3014,2)="15"),TK!$E$7=TH!F3014),"x","")</f>
        <v/>
      </c>
      <c r="AD3014" s="79" t="str">
        <f>IF(AND(N3014="1521",MONTH(C3014)='BK-NL'!$M$11),"x","")</f>
        <v/>
      </c>
    </row>
    <row r="3015" spans="1:30" s="1101" customFormat="1" ht="16.5" customHeight="1">
      <c r="A3015" s="318" t="str">
        <f>IF(B3015&lt;&gt;"",IF(AND(B3015='IN-TC'!$S$4,OR(TH!N3015="1111",TH!O3015="1111")),TH!D3015,""),"")</f>
        <v/>
      </c>
      <c r="B3015" s="60" t="str">
        <f t="shared" si="333"/>
        <v/>
      </c>
      <c r="C3015" s="1254"/>
      <c r="D3015" s="301"/>
      <c r="E3015" s="301"/>
      <c r="F3015" s="69"/>
      <c r="G3015" s="988"/>
      <c r="H3015" s="303"/>
      <c r="I3015" s="1255"/>
      <c r="J3015" s="1256"/>
      <c r="K3015" s="385"/>
      <c r="L3015" s="392"/>
      <c r="M3015" s="970"/>
      <c r="N3015" s="304"/>
      <c r="O3015" s="304"/>
      <c r="P3015" s="79" t="str">
        <f>IF(AND('331-CT'!$E$7=TH!H3015,OR(N3015="331",O3015="331")),"x","")</f>
        <v/>
      </c>
      <c r="Q3015" s="79" t="str">
        <f>IF(AND(B3015='111'!$L$11,OR($N3015=$Q$7,$O3015=$Q$7)),"x","")</f>
        <v/>
      </c>
      <c r="R3015" s="79" t="str">
        <f>IF(AND($N3015=$Q$7,$B3015&lt;'111'!$L$11),"x","")</f>
        <v/>
      </c>
      <c r="S3015" s="79" t="str">
        <f>IF(AND($O3015=$Q$7,$B3015&lt;'111'!$L$11),"x","")</f>
        <v/>
      </c>
      <c r="T3015" s="79" t="str">
        <f>IF(ISERROR(FIND('112'!$M$9,G3015,1)),"",IF((AND(FIND('112'!$M$9,G3015,1)&gt;=1,B3015='112'!$K$9,OR($N3015='112'!$I$6,$O3015='112'!$I$6))),"x",""))</f>
        <v/>
      </c>
      <c r="U3015" s="79" t="str">
        <f>IF(ISERROR(FIND('112'!$M$9,G3015,1)),"",IF((AND(LEFT(G3015,2)=LEFT('112'!$M$9,2),B3015&lt;'112'!$K$9,$N3015='112'!$I$6)),"x",""))</f>
        <v/>
      </c>
      <c r="V3015" s="79" t="str">
        <f>IF(ISERROR(FIND('112'!$M$9,G3015,1)),"",IF((AND(RIGHT(G3015,2)=RIGHT('112'!$M$9,2),B3015&lt;'112'!$K$9,$O3015='112'!$I$6)),"x",""))</f>
        <v/>
      </c>
      <c r="W3015" s="79" t="str">
        <f>IF(AND('341-CT'!$H$9=H3015,OR(LEFT(N3015,3)=$W$7,LEFT(O3015,3)=$W$7)),"x","")</f>
        <v/>
      </c>
      <c r="X3015" s="79" t="str">
        <f>IF(OR(TH!N3015=TH!$X$7,O3015=TH!$X$7),"x","")</f>
        <v/>
      </c>
      <c r="Y3015" s="79" t="str">
        <f>IF(AND(OR(N3015="131",O3015="131"),H3015='131-CT'!$H$9),"x","")</f>
        <v/>
      </c>
      <c r="Z3015" s="79"/>
      <c r="AA3015" s="79" t="str">
        <f>IF(AND(MONTH(E3015)='IN-NX'!$J$5,'IN-NX'!$D$7=D3015),"x","")</f>
        <v/>
      </c>
      <c r="AB3015" s="79" t="str">
        <f>IF(AND(OR(LEFT(TH!N3015,2)="15",LEFT(TH!O3015,2)="15"),LEFT(TH!O3015,3)&lt;&gt;"111",'152-CT'!$J$8=TH!F3015),"x","")</f>
        <v/>
      </c>
      <c r="AC3015" s="79" t="str">
        <f>IF(AND(OR(LEFT(TH!N3015,2)="15",LEFT(TH!O3015,2)="15"),TK!$E$7=TH!F3015),"x","")</f>
        <v/>
      </c>
      <c r="AD3015" s="79" t="str">
        <f>IF(AND(N3015="1521",MONTH(C3015)='BK-NL'!$M$11),"x","")</f>
        <v/>
      </c>
    </row>
    <row r="3016" spans="1:30" s="1101" customFormat="1" ht="16.5" customHeight="1">
      <c r="A3016" s="318" t="str">
        <f>IF(B3016&lt;&gt;"",IF(AND(B3016='IN-TC'!$S$4,OR(TH!N3016="1111",TH!O3016="1111")),TH!D3016,""),"")</f>
        <v/>
      </c>
      <c r="B3016" s="60" t="str">
        <f t="shared" ref="B3016:B3049" si="361">IF(C3016&lt;&gt;"",MONTH(C3016),"")</f>
        <v/>
      </c>
      <c r="C3016" s="61"/>
      <c r="D3016" s="61"/>
      <c r="E3016" s="61"/>
      <c r="F3016" s="947"/>
      <c r="G3016" s="64"/>
      <c r="H3016" s="69"/>
      <c r="I3016" s="385"/>
      <c r="J3016" s="392"/>
      <c r="K3016" s="385"/>
      <c r="L3016" s="392"/>
      <c r="M3016" s="62"/>
      <c r="N3016" s="63"/>
      <c r="O3016" s="63"/>
      <c r="P3016" s="79" t="str">
        <f>IF(AND('331-CT'!$E$7=TH!H3016,OR(N3016="331",O3016="331")),"x","")</f>
        <v/>
      </c>
      <c r="Q3016" s="79" t="str">
        <f>IF(AND(B3016='111'!$L$11,OR($N3016=$Q$7,$O3016=$Q$7)),"x","")</f>
        <v/>
      </c>
      <c r="R3016" s="79" t="str">
        <f>IF(AND($N3016=$Q$7,$B3016&lt;'111'!$L$11),"x","")</f>
        <v/>
      </c>
      <c r="S3016" s="79" t="str">
        <f>IF(AND($O3016=$Q$7,$B3016&lt;'111'!$L$11),"x","")</f>
        <v/>
      </c>
      <c r="T3016" s="79" t="str">
        <f>IF(ISERROR(FIND('112'!$M$9,G3016,1)),"",IF((AND(FIND('112'!$M$9,G3016,1)&gt;=1,B3016='112'!$K$9,OR($N3016='112'!$I$6,$O3016='112'!$I$6))),"x",""))</f>
        <v/>
      </c>
      <c r="U3016" s="79" t="str">
        <f>IF(ISERROR(FIND('112'!$M$9,G3016,1)),"",IF((AND(LEFT(G3016,2)=LEFT('112'!$M$9,2),B3016&lt;'112'!$K$9,$N3016='112'!$I$6)),"x",""))</f>
        <v/>
      </c>
      <c r="V3016" s="79" t="str">
        <f>IF(ISERROR(FIND('112'!$M$9,G3016,1)),"",IF((AND(RIGHT(G3016,2)=RIGHT('112'!$M$9,2),B3016&lt;'112'!$K$9,$O3016='112'!$I$6)),"x",""))</f>
        <v/>
      </c>
      <c r="W3016" s="79" t="str">
        <f>IF(AND('341-CT'!$H$9=H3016,OR(LEFT(N3016,3)=$W$7,LEFT(O3016,3)=$W$7)),"x","")</f>
        <v/>
      </c>
      <c r="X3016" s="79" t="str">
        <f>IF(OR(TH!N3016=TH!$X$7,O3016=TH!$X$7),"x","")</f>
        <v/>
      </c>
      <c r="Y3016" s="79" t="str">
        <f>IF(AND(OR(N3016="131",O3016="131"),H3016='131-CT'!$H$9),"x","")</f>
        <v/>
      </c>
      <c r="Z3016" s="79"/>
      <c r="AA3016" s="79" t="str">
        <f>IF(AND(MONTH(E3016)='IN-NX'!$J$5,'IN-NX'!$D$7=D3016),"x","")</f>
        <v/>
      </c>
      <c r="AB3016" s="79" t="str">
        <f>IF(AND(OR(LEFT(TH!N3016,2)="15",LEFT(TH!O3016,2)="15"),LEFT(TH!O3016,3)&lt;&gt;"111",'152-CT'!$J$8=TH!F3016),"x","")</f>
        <v/>
      </c>
      <c r="AC3016" s="79" t="str">
        <f>IF(AND(OR(LEFT(TH!N3016,2)="15",LEFT(TH!O3016,2)="15"),TK!$E$7=TH!F3016),"x","")</f>
        <v/>
      </c>
      <c r="AD3016" s="79" t="str">
        <f>IF(AND(N3016="1521",MONTH(C3016)='BK-NL'!$M$11),"x","")</f>
        <v/>
      </c>
    </row>
    <row r="3017" spans="1:30" s="1101" customFormat="1" ht="16.5" customHeight="1">
      <c r="A3017" s="318" t="str">
        <f>IF(B3017&lt;&gt;"",IF(AND(B3017='IN-TC'!$S$4,OR(TH!N3017="1111",TH!O3017="1111")),TH!D3017,""),"")</f>
        <v/>
      </c>
      <c r="B3017" s="60" t="str">
        <f t="shared" si="361"/>
        <v/>
      </c>
      <c r="C3017" s="61"/>
      <c r="D3017" s="61"/>
      <c r="E3017" s="61"/>
      <c r="F3017" s="947"/>
      <c r="G3017" s="64"/>
      <c r="H3017" s="69"/>
      <c r="I3017" s="385"/>
      <c r="J3017" s="392"/>
      <c r="K3017" s="385"/>
      <c r="L3017" s="392"/>
      <c r="M3017" s="62"/>
      <c r="N3017" s="63"/>
      <c r="O3017" s="63"/>
      <c r="P3017" s="79" t="str">
        <f>IF(AND('331-CT'!$E$7=TH!H3017,OR(N3017="331",O3017="331")),"x","")</f>
        <v/>
      </c>
      <c r="Q3017" s="79" t="str">
        <f>IF(AND(B3017='111'!$L$11,OR($N3017=$Q$7,$O3017=$Q$7)),"x","")</f>
        <v/>
      </c>
      <c r="R3017" s="79" t="str">
        <f>IF(AND($N3017=$Q$7,$B3017&lt;'111'!$L$11),"x","")</f>
        <v/>
      </c>
      <c r="S3017" s="79" t="str">
        <f>IF(AND($O3017=$Q$7,$B3017&lt;'111'!$L$11),"x","")</f>
        <v/>
      </c>
      <c r="T3017" s="79" t="str">
        <f>IF(ISERROR(FIND('112'!$M$9,G3017,1)),"",IF((AND(FIND('112'!$M$9,G3017,1)&gt;=1,B3017='112'!$K$9,OR($N3017='112'!$I$6,$O3017='112'!$I$6))),"x",""))</f>
        <v/>
      </c>
      <c r="U3017" s="79" t="str">
        <f>IF(ISERROR(FIND('112'!$M$9,G3017,1)),"",IF((AND(LEFT(G3017,2)=LEFT('112'!$M$9,2),B3017&lt;'112'!$K$9,$N3017='112'!$I$6)),"x",""))</f>
        <v/>
      </c>
      <c r="V3017" s="79" t="str">
        <f>IF(ISERROR(FIND('112'!$M$9,G3017,1)),"",IF((AND(RIGHT(G3017,2)=RIGHT('112'!$M$9,2),B3017&lt;'112'!$K$9,$O3017='112'!$I$6)),"x",""))</f>
        <v/>
      </c>
      <c r="W3017" s="79" t="str">
        <f>IF(AND('341-CT'!$H$9=H3017,OR(LEFT(N3017,3)=$W$7,LEFT(O3017,3)=$W$7)),"x","")</f>
        <v/>
      </c>
      <c r="X3017" s="79" t="str">
        <f>IF(OR(TH!N3017=TH!$X$7,O3017=TH!$X$7),"x","")</f>
        <v/>
      </c>
      <c r="Y3017" s="79" t="str">
        <f>IF(AND(OR(N3017="131",O3017="131"),H3017='131-CT'!$H$9),"x","")</f>
        <v/>
      </c>
      <c r="Z3017" s="79"/>
      <c r="AA3017" s="79" t="str">
        <f>IF(AND(MONTH(E3017)='IN-NX'!$J$5,'IN-NX'!$D$7=D3017),"x","")</f>
        <v/>
      </c>
      <c r="AB3017" s="79" t="str">
        <f>IF(AND(OR(LEFT(TH!N3017,2)="15",LEFT(TH!O3017,2)="15"),LEFT(TH!O3017,3)&lt;&gt;"111",'152-CT'!$J$8=TH!F3017),"x","")</f>
        <v/>
      </c>
      <c r="AC3017" s="79" t="str">
        <f>IF(AND(OR(LEFT(TH!N3017,2)="15",LEFT(TH!O3017,2)="15"),TK!$E$7=TH!F3017),"x","")</f>
        <v/>
      </c>
      <c r="AD3017" s="79" t="str">
        <f>IF(AND(N3017="1521",MONTH(C3017)='BK-NL'!$M$11),"x","")</f>
        <v/>
      </c>
    </row>
    <row r="3018" spans="1:30" s="1101" customFormat="1" ht="16.5" customHeight="1">
      <c r="A3018" s="318" t="str">
        <f>IF(B3018&lt;&gt;"",IF(AND(B3018='IN-TC'!$S$4,OR(TH!N3018="1111",TH!O3018="1111")),TH!D3018,""),"")</f>
        <v/>
      </c>
      <c r="B3018" s="60" t="str">
        <f t="shared" si="361"/>
        <v/>
      </c>
      <c r="C3018" s="1249"/>
      <c r="D3018" s="301"/>
      <c r="E3018" s="61"/>
      <c r="F3018" s="947"/>
      <c r="G3018" s="64"/>
      <c r="H3018" s="303"/>
      <c r="I3018" s="1193"/>
      <c r="J3018" s="948"/>
      <c r="K3018" s="387"/>
      <c r="L3018" s="394"/>
      <c r="M3018" s="62"/>
      <c r="N3018" s="63"/>
      <c r="O3018" s="63"/>
      <c r="P3018" s="79" t="str">
        <f>IF(AND('331-CT'!$E$7=TH!H3018,OR(N3018="331",O3018="331")),"x","")</f>
        <v/>
      </c>
      <c r="Q3018" s="79" t="str">
        <f>IF(AND(B3018='111'!$L$11,OR($N3018=$Q$7,$O3018=$Q$7)),"x","")</f>
        <v/>
      </c>
      <c r="R3018" s="79" t="str">
        <f>IF(AND($N3018=$Q$7,$B3018&lt;'111'!$L$11),"x","")</f>
        <v/>
      </c>
      <c r="S3018" s="79" t="str">
        <f>IF(AND($O3018=$Q$7,$B3018&lt;'111'!$L$11),"x","")</f>
        <v/>
      </c>
      <c r="T3018" s="79" t="str">
        <f>IF(ISERROR(FIND('112'!$M$9,G3018,1)),"",IF((AND(FIND('112'!$M$9,G3018,1)&gt;=1,B3018='112'!$K$9,OR($N3018='112'!$I$6,$O3018='112'!$I$6))),"x",""))</f>
        <v/>
      </c>
      <c r="U3018" s="79" t="str">
        <f>IF(ISERROR(FIND('112'!$M$9,G3018,1)),"",IF((AND(LEFT(G3018,2)=LEFT('112'!$M$9,2),B3018&lt;'112'!$K$9,$N3018='112'!$I$6)),"x",""))</f>
        <v/>
      </c>
      <c r="V3018" s="79" t="str">
        <f>IF(ISERROR(FIND('112'!$M$9,G3018,1)),"",IF((AND(RIGHT(G3018,2)=RIGHT('112'!$M$9,2),B3018&lt;'112'!$K$9,$O3018='112'!$I$6)),"x",""))</f>
        <v/>
      </c>
      <c r="W3018" s="79" t="str">
        <f>IF(AND('341-CT'!$H$9=H3018,OR(LEFT(N3018,3)=$W$7,LEFT(O3018,3)=$W$7)),"x","")</f>
        <v/>
      </c>
      <c r="X3018" s="79" t="str">
        <f>IF(OR(TH!N3018=TH!$X$7,O3018=TH!$X$7),"x","")</f>
        <v/>
      </c>
      <c r="Y3018" s="79" t="str">
        <f>IF(AND(OR(N3018="131",O3018="131"),H3018='131-CT'!$H$9),"x","")</f>
        <v/>
      </c>
      <c r="Z3018" s="79"/>
      <c r="AA3018" s="79" t="str">
        <f>IF(AND(MONTH(E3018)='IN-NX'!$J$5,'IN-NX'!$D$7=D3018),"x","")</f>
        <v/>
      </c>
      <c r="AB3018" s="79" t="str">
        <f>IF(AND(OR(LEFT(TH!N3018,2)="15",LEFT(TH!O3018,2)="15"),LEFT(TH!O3018,3)&lt;&gt;"111",'152-CT'!$J$8=TH!F3018),"x","")</f>
        <v/>
      </c>
      <c r="AC3018" s="79" t="str">
        <f>IF(AND(OR(LEFT(TH!N3018,2)="15",LEFT(TH!O3018,2)="15"),TK!$E$7=TH!F3018),"x","")</f>
        <v/>
      </c>
      <c r="AD3018" s="79" t="str">
        <f>IF(AND(N3018="1521",MONTH(C3018)='BK-NL'!$M$11),"x","")</f>
        <v/>
      </c>
    </row>
    <row r="3019" spans="1:30" s="1101" customFormat="1" ht="16.5" customHeight="1">
      <c r="A3019" s="318" t="str">
        <f>IF(B3019&lt;&gt;"",IF(AND(B3019='IN-TC'!$S$4,OR(TH!N3019="1111",TH!O3019="1111")),TH!D3019,""),"")</f>
        <v/>
      </c>
      <c r="B3019" s="60" t="str">
        <f t="shared" si="361"/>
        <v/>
      </c>
      <c r="C3019" s="61"/>
      <c r="D3019" s="61"/>
      <c r="E3019" s="61"/>
      <c r="F3019" s="947"/>
      <c r="G3019" s="64"/>
      <c r="H3019" s="69"/>
      <c r="I3019" s="385"/>
      <c r="J3019" s="392"/>
      <c r="K3019" s="385"/>
      <c r="L3019" s="392"/>
      <c r="M3019" s="62"/>
      <c r="N3019" s="63"/>
      <c r="O3019" s="63"/>
      <c r="P3019" s="79" t="str">
        <f>IF(AND('331-CT'!$E$7=TH!H3019,OR(N3019="331",O3019="331")),"x","")</f>
        <v/>
      </c>
      <c r="Q3019" s="79" t="str">
        <f>IF(AND(B3019='111'!$L$11,OR($N3019=$Q$7,$O3019=$Q$7)),"x","")</f>
        <v/>
      </c>
      <c r="R3019" s="79" t="str">
        <f>IF(AND($N3019=$Q$7,$B3019&lt;'111'!$L$11),"x","")</f>
        <v/>
      </c>
      <c r="S3019" s="79" t="str">
        <f>IF(AND($O3019=$Q$7,$B3019&lt;'111'!$L$11),"x","")</f>
        <v/>
      </c>
      <c r="T3019" s="79" t="str">
        <f>IF(ISERROR(FIND('112'!$M$9,G3019,1)),"",IF((AND(FIND('112'!$M$9,G3019,1)&gt;=1,B3019='112'!$K$9,OR($N3019='112'!$I$6,$O3019='112'!$I$6))),"x",""))</f>
        <v/>
      </c>
      <c r="U3019" s="79" t="str">
        <f>IF(ISERROR(FIND('112'!$M$9,G3019,1)),"",IF((AND(LEFT(G3019,2)=LEFT('112'!$M$9,2),B3019&lt;'112'!$K$9,$N3019='112'!$I$6)),"x",""))</f>
        <v/>
      </c>
      <c r="V3019" s="79" t="str">
        <f>IF(ISERROR(FIND('112'!$M$9,G3019,1)),"",IF((AND(RIGHT(G3019,2)=RIGHT('112'!$M$9,2),B3019&lt;'112'!$K$9,$O3019='112'!$I$6)),"x",""))</f>
        <v/>
      </c>
      <c r="W3019" s="79" t="str">
        <f>IF(AND('341-CT'!$H$9=H3019,OR(LEFT(N3019,3)=$W$7,LEFT(O3019,3)=$W$7)),"x","")</f>
        <v/>
      </c>
      <c r="X3019" s="79" t="str">
        <f>IF(OR(TH!N3019=TH!$X$7,O3019=TH!$X$7),"x","")</f>
        <v/>
      </c>
      <c r="Y3019" s="79" t="str">
        <f>IF(AND(OR(N3019="131",O3019="131"),H3019='131-CT'!$H$9),"x","")</f>
        <v/>
      </c>
      <c r="Z3019" s="79"/>
      <c r="AA3019" s="79" t="str">
        <f>IF(AND(MONTH(E3019)='IN-NX'!$J$5,'IN-NX'!$D$7=D3019),"x","")</f>
        <v/>
      </c>
      <c r="AB3019" s="79" t="str">
        <f>IF(AND(OR(LEFT(TH!N3019,2)="15",LEFT(TH!O3019,2)="15"),LEFT(TH!O3019,3)&lt;&gt;"111",'152-CT'!$J$8=TH!F3019),"x","")</f>
        <v/>
      </c>
      <c r="AC3019" s="79" t="str">
        <f>IF(AND(OR(LEFT(TH!N3019,2)="15",LEFT(TH!O3019,2)="15"),TK!$E$7=TH!F3019),"x","")</f>
        <v/>
      </c>
      <c r="AD3019" s="79" t="str">
        <f>IF(AND(N3019="1521",MONTH(C3019)='BK-NL'!$M$11),"x","")</f>
        <v/>
      </c>
    </row>
    <row r="3020" spans="1:30" s="1101" customFormat="1" ht="16.5" customHeight="1">
      <c r="A3020" s="318" t="str">
        <f>IF(B3020&lt;&gt;"",IF(AND(B3020='IN-TC'!$S$4,OR(TH!N3020="1111",TH!O3020="1111")),TH!D3020,""),"")</f>
        <v/>
      </c>
      <c r="B3020" s="60" t="str">
        <f t="shared" si="361"/>
        <v/>
      </c>
      <c r="C3020" s="61"/>
      <c r="D3020" s="61"/>
      <c r="E3020" s="61"/>
      <c r="F3020" s="947"/>
      <c r="G3020" s="64"/>
      <c r="H3020" s="69"/>
      <c r="I3020" s="385"/>
      <c r="J3020" s="392"/>
      <c r="K3020" s="385"/>
      <c r="L3020" s="392"/>
      <c r="M3020" s="62"/>
      <c r="N3020" s="63"/>
      <c r="O3020" s="304"/>
      <c r="P3020" s="79" t="str">
        <f>IF(AND('331-CT'!$E$7=TH!H3020,OR(N3020="331",O3020="331")),"x","")</f>
        <v/>
      </c>
      <c r="Q3020" s="79" t="str">
        <f>IF(AND(B3020='111'!$L$11,OR($N3020=$Q$7,$O3020=$Q$7)),"x","")</f>
        <v/>
      </c>
      <c r="R3020" s="79" t="str">
        <f>IF(AND($N3020=$Q$7,$B3020&lt;'111'!$L$11),"x","")</f>
        <v/>
      </c>
      <c r="S3020" s="79" t="str">
        <f>IF(AND($O3020=$Q$7,$B3020&lt;'111'!$L$11),"x","")</f>
        <v/>
      </c>
      <c r="T3020" s="79" t="str">
        <f>IF(ISERROR(FIND('112'!$M$9,G3020,1)),"",IF((AND(FIND('112'!$M$9,G3020,1)&gt;=1,B3020='112'!$K$9,OR($N3020='112'!$I$6,$O3020='112'!$I$6))),"x",""))</f>
        <v/>
      </c>
      <c r="U3020" s="79" t="str">
        <f>IF(ISERROR(FIND('112'!$M$9,G3020,1)),"",IF((AND(LEFT(G3020,2)=LEFT('112'!$M$9,2),B3020&lt;'112'!$K$9,$N3020='112'!$I$6)),"x",""))</f>
        <v/>
      </c>
      <c r="V3020" s="79" t="str">
        <f>IF(ISERROR(FIND('112'!$M$9,G3020,1)),"",IF((AND(RIGHT(G3020,2)=RIGHT('112'!$M$9,2),B3020&lt;'112'!$K$9,$O3020='112'!$I$6)),"x",""))</f>
        <v/>
      </c>
      <c r="W3020" s="79" t="str">
        <f>IF(AND('341-CT'!$H$9=H3020,OR(LEFT(N3020,3)=$W$7,LEFT(O3020,3)=$W$7)),"x","")</f>
        <v/>
      </c>
      <c r="X3020" s="79" t="str">
        <f>IF(OR(TH!N3020=TH!$X$7,O3020=TH!$X$7),"x","")</f>
        <v/>
      </c>
      <c r="Y3020" s="79" t="str">
        <f>IF(AND(OR(N3020="131",O3020="131"),H3020='131-CT'!$H$9),"x","")</f>
        <v/>
      </c>
      <c r="Z3020" s="79"/>
      <c r="AA3020" s="79" t="str">
        <f>IF(AND(MONTH(E3020)='IN-NX'!$J$5,'IN-NX'!$D$7=D3020),"x","")</f>
        <v/>
      </c>
      <c r="AB3020" s="79" t="str">
        <f>IF(AND(OR(LEFT(TH!N3020,2)="15",LEFT(TH!O3020,2)="15"),LEFT(TH!O3020,3)&lt;&gt;"111",'152-CT'!$J$8=TH!F3020),"x","")</f>
        <v/>
      </c>
      <c r="AC3020" s="79" t="str">
        <f>IF(AND(OR(LEFT(TH!N3020,2)="15",LEFT(TH!O3020,2)="15"),TK!$E$7=TH!F3020),"x","")</f>
        <v/>
      </c>
      <c r="AD3020" s="79" t="str">
        <f>IF(AND(N3020="1521",MONTH(C3020)='BK-NL'!$M$11),"x","")</f>
        <v/>
      </c>
    </row>
    <row r="3021" spans="1:30" s="1101" customFormat="1" ht="16.5" customHeight="1">
      <c r="A3021" s="318" t="str">
        <f>IF(B3021&lt;&gt;"",IF(AND(B3021='IN-TC'!$S$4,OR(TH!N3021="1111",TH!O3021="1111")),TH!D3021,""),"")</f>
        <v/>
      </c>
      <c r="B3021" s="60" t="str">
        <f t="shared" si="361"/>
        <v/>
      </c>
      <c r="C3021" s="61"/>
      <c r="D3021" s="61"/>
      <c r="E3021" s="61"/>
      <c r="F3021" s="69"/>
      <c r="G3021" s="64"/>
      <c r="H3021" s="303"/>
      <c r="I3021" s="385"/>
      <c r="J3021" s="392"/>
      <c r="K3021" s="385"/>
      <c r="L3021" s="392"/>
      <c r="M3021" s="62"/>
      <c r="N3021" s="63"/>
      <c r="O3021" s="63"/>
      <c r="P3021" s="79" t="str">
        <f>IF(AND('331-CT'!$E$7=TH!H3021,OR(N3021="331",O3021="331")),"x","")</f>
        <v/>
      </c>
      <c r="Q3021" s="79" t="str">
        <f>IF(AND(B3021='111'!$L$11,OR($N3021=$Q$7,$O3021=$Q$7)),"x","")</f>
        <v/>
      </c>
      <c r="R3021" s="79" t="str">
        <f>IF(AND($N3021=$Q$7,$B3021&lt;'111'!$L$11),"x","")</f>
        <v/>
      </c>
      <c r="S3021" s="79" t="str">
        <f>IF(AND($O3021=$Q$7,$B3021&lt;'111'!$L$11),"x","")</f>
        <v/>
      </c>
      <c r="T3021" s="79" t="str">
        <f>IF(ISERROR(FIND('112'!$M$9,G3021,1)),"",IF((AND(FIND('112'!$M$9,G3021,1)&gt;=1,B3021='112'!$K$9,OR($N3021='112'!$I$6,$O3021='112'!$I$6))),"x",""))</f>
        <v/>
      </c>
      <c r="U3021" s="79" t="str">
        <f>IF(ISERROR(FIND('112'!$M$9,G3021,1)),"",IF((AND(LEFT(G3021,2)=LEFT('112'!$M$9,2),B3021&lt;'112'!$K$9,$N3021='112'!$I$6)),"x",""))</f>
        <v/>
      </c>
      <c r="V3021" s="79" t="str">
        <f>IF(ISERROR(FIND('112'!$M$9,G3021,1)),"",IF((AND(RIGHT(G3021,2)=RIGHT('112'!$M$9,2),B3021&lt;'112'!$K$9,$O3021='112'!$I$6)),"x",""))</f>
        <v/>
      </c>
      <c r="W3021" s="79" t="str">
        <f>IF(AND('341-CT'!$H$9=H3021,OR(LEFT(N3021,3)=$W$7,LEFT(O3021,3)=$W$7)),"x","")</f>
        <v/>
      </c>
      <c r="X3021" s="79" t="str">
        <f>IF(OR(TH!N3021=TH!$X$7,O3021=TH!$X$7),"x","")</f>
        <v/>
      </c>
      <c r="Y3021" s="79" t="str">
        <f>IF(AND(OR(N3021="131",O3021="131"),H3021='131-CT'!$H$9),"x","")</f>
        <v/>
      </c>
      <c r="Z3021" s="79"/>
      <c r="AA3021" s="79" t="str">
        <f>IF(AND(MONTH(E3021)='IN-NX'!$J$5,'IN-NX'!$D$7=D3021),"x","")</f>
        <v/>
      </c>
      <c r="AB3021" s="79" t="str">
        <f>IF(AND(OR(LEFT(TH!N3021,2)="15",LEFT(TH!O3021,2)="15"),LEFT(TH!O3021,3)&lt;&gt;"111",'152-CT'!$J$8=TH!F3021),"x","")</f>
        <v/>
      </c>
      <c r="AC3021" s="79" t="str">
        <f>IF(AND(OR(LEFT(TH!N3021,2)="15",LEFT(TH!O3021,2)="15"),TK!$E$7=TH!F3021),"x","")</f>
        <v/>
      </c>
      <c r="AD3021" s="79" t="str">
        <f>IF(AND(N3021="1521",MONTH(C3021)='BK-NL'!$M$11),"x","")</f>
        <v/>
      </c>
    </row>
    <row r="3022" spans="1:30" s="1101" customFormat="1" ht="16.5" customHeight="1">
      <c r="A3022" s="318" t="str">
        <f>IF(B3022&lt;&gt;"",IF(AND(B3022='IN-TC'!$S$4,OR(TH!N3022="1111",TH!O3022="1111")),TH!D3022,""),"")</f>
        <v/>
      </c>
      <c r="B3022" s="60" t="str">
        <f t="shared" si="361"/>
        <v/>
      </c>
      <c r="C3022" s="61"/>
      <c r="D3022" s="61"/>
      <c r="E3022" s="61"/>
      <c r="F3022" s="69"/>
      <c r="G3022" s="64"/>
      <c r="H3022" s="69"/>
      <c r="I3022" s="387"/>
      <c r="J3022" s="394"/>
      <c r="K3022" s="62"/>
      <c r="L3022" s="394"/>
      <c r="M3022" s="62"/>
      <c r="N3022" s="63"/>
      <c r="O3022" s="63"/>
      <c r="P3022" s="79" t="str">
        <f>IF(AND('331-CT'!$E$7=TH!H3022,OR(N3022="331",O3022="331")),"x","")</f>
        <v/>
      </c>
      <c r="Q3022" s="79" t="str">
        <f>IF(AND(B3022='111'!$L$11,OR($N3022=$Q$7,$O3022=$Q$7)),"x","")</f>
        <v/>
      </c>
      <c r="R3022" s="79" t="str">
        <f>IF(AND($N3022=$Q$7,$B3022&lt;'111'!$L$11),"x","")</f>
        <v/>
      </c>
      <c r="S3022" s="79" t="str">
        <f>IF(AND($O3022=$Q$7,$B3022&lt;'111'!$L$11),"x","")</f>
        <v/>
      </c>
      <c r="T3022" s="79" t="str">
        <f>IF(ISERROR(FIND('112'!$M$9,G3022,1)),"",IF((AND(FIND('112'!$M$9,G3022,1)&gt;=1,B3022='112'!$K$9,OR($N3022='112'!$I$6,$O3022='112'!$I$6))),"x",""))</f>
        <v/>
      </c>
      <c r="U3022" s="79" t="str">
        <f>IF(ISERROR(FIND('112'!$M$9,G3022,1)),"",IF((AND(LEFT(G3022,2)=LEFT('112'!$M$9,2),B3022&lt;'112'!$K$9,$N3022='112'!$I$6)),"x",""))</f>
        <v/>
      </c>
      <c r="V3022" s="79" t="str">
        <f>IF(ISERROR(FIND('112'!$M$9,G3022,1)),"",IF((AND(RIGHT(G3022,2)=RIGHT('112'!$M$9,2),B3022&lt;'112'!$K$9,$O3022='112'!$I$6)),"x",""))</f>
        <v/>
      </c>
      <c r="W3022" s="79" t="str">
        <f>IF(AND('341-CT'!$H$9=H3022,OR(LEFT(N3022,3)=$W$7,LEFT(O3022,3)=$W$7)),"x","")</f>
        <v/>
      </c>
      <c r="X3022" s="79" t="str">
        <f>IF(OR(TH!N3022=TH!$X$7,O3022=TH!$X$7),"x","")</f>
        <v/>
      </c>
      <c r="Y3022" s="79" t="str">
        <f>IF(AND(OR(N3022="131",O3022="131"),H3022='131-CT'!$H$9),"x","")</f>
        <v/>
      </c>
      <c r="Z3022" s="79"/>
      <c r="AA3022" s="79" t="str">
        <f>IF(AND(MONTH(E3022)='IN-NX'!$J$5,'IN-NX'!$D$7=D3022),"x","")</f>
        <v/>
      </c>
      <c r="AB3022" s="79" t="str">
        <f>IF(AND(OR(LEFT(TH!N3022,2)="15",LEFT(TH!O3022,2)="15"),LEFT(TH!O3022,3)&lt;&gt;"111",'152-CT'!$J$8=TH!F3022),"x","")</f>
        <v/>
      </c>
      <c r="AC3022" s="79" t="str">
        <f>IF(AND(OR(LEFT(TH!N3022,2)="15",LEFT(TH!O3022,2)="15"),TK!$E$7=TH!F3022),"x","")</f>
        <v/>
      </c>
      <c r="AD3022" s="79" t="str">
        <f>IF(AND(N3022="1521",MONTH(C3022)='BK-NL'!$M$11),"x","")</f>
        <v/>
      </c>
    </row>
    <row r="3023" spans="1:30" s="1101" customFormat="1" ht="16.5" customHeight="1">
      <c r="A3023" s="318" t="str">
        <f>IF(B3023&lt;&gt;"",IF(AND(B3023='IN-TC'!$S$4,OR(TH!N3023="1111",TH!O3023="1111")),TH!D3023,""),"")</f>
        <v/>
      </c>
      <c r="B3023" s="60" t="str">
        <f t="shared" si="361"/>
        <v/>
      </c>
      <c r="C3023" s="61"/>
      <c r="D3023" s="61"/>
      <c r="E3023" s="61"/>
      <c r="F3023" s="1162"/>
      <c r="G3023" s="64"/>
      <c r="H3023" s="69"/>
      <c r="I3023" s="387"/>
      <c r="J3023" s="394"/>
      <c r="K3023" s="387"/>
      <c r="L3023" s="394"/>
      <c r="M3023" s="62"/>
      <c r="N3023" s="63"/>
      <c r="O3023" s="63"/>
      <c r="P3023" s="79" t="str">
        <f>IF(AND('331-CT'!$E$7=TH!H3023,OR(N3023="331",O3023="331")),"x","")</f>
        <v/>
      </c>
      <c r="Q3023" s="79" t="str">
        <f>IF(AND(B3023='111'!$L$11,OR($N3023=$Q$7,$O3023=$Q$7)),"x","")</f>
        <v/>
      </c>
      <c r="R3023" s="79" t="str">
        <f>IF(AND($N3023=$Q$7,$B3023&lt;'111'!$L$11),"x","")</f>
        <v/>
      </c>
      <c r="S3023" s="79" t="str">
        <f>IF(AND($O3023=$Q$7,$B3023&lt;'111'!$L$11),"x","")</f>
        <v/>
      </c>
      <c r="T3023" s="79" t="str">
        <f>IF(ISERROR(FIND('112'!$M$9,G3023,1)),"",IF((AND(FIND('112'!$M$9,G3023,1)&gt;=1,B3023='112'!$K$9,OR($N3023='112'!$I$6,$O3023='112'!$I$6))),"x",""))</f>
        <v/>
      </c>
      <c r="U3023" s="79" t="str">
        <f>IF(ISERROR(FIND('112'!$M$9,G3023,1)),"",IF((AND(LEFT(G3023,2)=LEFT('112'!$M$9,2),B3023&lt;'112'!$K$9,$N3023='112'!$I$6)),"x",""))</f>
        <v/>
      </c>
      <c r="V3023" s="79" t="str">
        <f>IF(ISERROR(FIND('112'!$M$9,G3023,1)),"",IF((AND(RIGHT(G3023,2)=RIGHT('112'!$M$9,2),B3023&lt;'112'!$K$9,$O3023='112'!$I$6)),"x",""))</f>
        <v/>
      </c>
      <c r="W3023" s="79" t="str">
        <f>IF(AND('341-CT'!$H$9=H3023,OR(LEFT(N3023,3)=$W$7,LEFT(O3023,3)=$W$7)),"x","")</f>
        <v/>
      </c>
      <c r="X3023" s="79" t="str">
        <f>IF(OR(TH!N3023=TH!$X$7,O3023=TH!$X$7),"x","")</f>
        <v/>
      </c>
      <c r="Y3023" s="79" t="str">
        <f>IF(AND(OR(N3023="131",O3023="131"),H3023='131-CT'!$H$9),"x","")</f>
        <v/>
      </c>
      <c r="Z3023" s="79"/>
      <c r="AA3023" s="79" t="str">
        <f>IF(AND(MONTH(E3023)='IN-NX'!$J$5,'IN-NX'!$D$7=D3023),"x","")</f>
        <v/>
      </c>
      <c r="AB3023" s="79" t="str">
        <f>IF(AND(OR(LEFT(TH!N3023,2)="15",LEFT(TH!O3023,2)="15"),LEFT(TH!O3023,3)&lt;&gt;"111",'152-CT'!$J$8=TH!F3023),"x","")</f>
        <v/>
      </c>
      <c r="AC3023" s="79" t="str">
        <f>IF(AND(OR(LEFT(TH!N3023,2)="15",LEFT(TH!O3023,2)="15"),TK!$E$7=TH!F3023),"x","")</f>
        <v/>
      </c>
      <c r="AD3023" s="79" t="str">
        <f>IF(AND(N3023="1521",MONTH(C3023)='BK-NL'!$M$11),"x","")</f>
        <v/>
      </c>
    </row>
    <row r="3024" spans="1:30" s="1101" customFormat="1" ht="16.5" customHeight="1">
      <c r="A3024" s="318" t="str">
        <f>IF(B3024&lt;&gt;"",IF(AND(B3024='IN-TC'!$S$4,OR(TH!N3024="1111",TH!O3024="1111")),TH!D3024,""),"")</f>
        <v/>
      </c>
      <c r="B3024" s="60" t="str">
        <f t="shared" si="361"/>
        <v/>
      </c>
      <c r="C3024" s="61"/>
      <c r="D3024" s="61"/>
      <c r="E3024" s="61"/>
      <c r="F3024" s="1162"/>
      <c r="G3024" s="64"/>
      <c r="H3024" s="303"/>
      <c r="I3024" s="385"/>
      <c r="J3024" s="392"/>
      <c r="K3024" s="385"/>
      <c r="L3024" s="392"/>
      <c r="M3024" s="62"/>
      <c r="N3024" s="63"/>
      <c r="O3024" s="63"/>
      <c r="P3024" s="79" t="str">
        <f>IF(AND('331-CT'!$E$7=TH!H3024,OR(N3024="331",O3024="331")),"x","")</f>
        <v/>
      </c>
      <c r="Q3024" s="79" t="str">
        <f>IF(AND(B3024='111'!$L$11,OR($N3024=$Q$7,$O3024=$Q$7)),"x","")</f>
        <v/>
      </c>
      <c r="R3024" s="79" t="str">
        <f>IF(AND($N3024=$Q$7,$B3024&lt;'111'!$L$11),"x","")</f>
        <v/>
      </c>
      <c r="S3024" s="79" t="str">
        <f>IF(AND($O3024=$Q$7,$B3024&lt;'111'!$L$11),"x","")</f>
        <v/>
      </c>
      <c r="T3024" s="79" t="str">
        <f>IF(ISERROR(FIND('112'!$M$9,G3024,1)),"",IF((AND(FIND('112'!$M$9,G3024,1)&gt;=1,B3024='112'!$K$9,OR($N3024='112'!$I$6,$O3024='112'!$I$6))),"x",""))</f>
        <v/>
      </c>
      <c r="U3024" s="79" t="str">
        <f>IF(ISERROR(FIND('112'!$M$9,G3024,1)),"",IF((AND(LEFT(G3024,2)=LEFT('112'!$M$9,2),B3024&lt;'112'!$K$9,$N3024='112'!$I$6)),"x",""))</f>
        <v/>
      </c>
      <c r="V3024" s="79" t="str">
        <f>IF(ISERROR(FIND('112'!$M$9,G3024,1)),"",IF((AND(RIGHT(G3024,2)=RIGHT('112'!$M$9,2),B3024&lt;'112'!$K$9,$O3024='112'!$I$6)),"x",""))</f>
        <v/>
      </c>
      <c r="W3024" s="79" t="str">
        <f>IF(AND('341-CT'!$H$9=H3024,OR(LEFT(N3024,3)=$W$7,LEFT(O3024,3)=$W$7)),"x","")</f>
        <v/>
      </c>
      <c r="X3024" s="79" t="str">
        <f>IF(OR(TH!N3024=TH!$X$7,O3024=TH!$X$7),"x","")</f>
        <v/>
      </c>
      <c r="Y3024" s="79" t="str">
        <f>IF(AND(OR(N3024="131",O3024="131"),H3024='131-CT'!$H$9),"x","")</f>
        <v/>
      </c>
      <c r="Z3024" s="79"/>
      <c r="AA3024" s="79" t="str">
        <f>IF(AND(MONTH(E3024)='IN-NX'!$J$5,'IN-NX'!$D$7=D3024),"x","")</f>
        <v/>
      </c>
      <c r="AB3024" s="79" t="str">
        <f>IF(AND(OR(LEFT(TH!N3024,2)="15",LEFT(TH!O3024,2)="15"),LEFT(TH!O3024,3)&lt;&gt;"111",'152-CT'!$J$8=TH!F3024),"x","")</f>
        <v/>
      </c>
      <c r="AC3024" s="79" t="str">
        <f>IF(AND(OR(LEFT(TH!N3024,2)="15",LEFT(TH!O3024,2)="15"),TK!$E$7=TH!F3024),"x","")</f>
        <v/>
      </c>
      <c r="AD3024" s="79" t="str">
        <f>IF(AND(N3024="1521",MONTH(C3024)='BK-NL'!$M$11),"x","")</f>
        <v/>
      </c>
    </row>
    <row r="3025" spans="1:30" s="1101" customFormat="1" ht="16.5" customHeight="1">
      <c r="A3025" s="318" t="str">
        <f>IF(B3025&lt;&gt;"",IF(AND(B3025='IN-TC'!$S$4,OR(TH!N3025="1111",TH!O3025="1111")),TH!D3025,""),"")</f>
        <v/>
      </c>
      <c r="B3025" s="60" t="str">
        <f t="shared" si="361"/>
        <v/>
      </c>
      <c r="C3025" s="61"/>
      <c r="D3025" s="61"/>
      <c r="E3025" s="61"/>
      <c r="F3025" s="69"/>
      <c r="G3025" s="64"/>
      <c r="H3025" s="69"/>
      <c r="I3025" s="387"/>
      <c r="J3025" s="394"/>
      <c r="K3025" s="62"/>
      <c r="L3025" s="394"/>
      <c r="M3025" s="62"/>
      <c r="N3025" s="63"/>
      <c r="O3025" s="63"/>
      <c r="P3025" s="79" t="str">
        <f>IF(AND('331-CT'!$E$7=TH!H3025,OR(N3025="331",O3025="331")),"x","")</f>
        <v/>
      </c>
      <c r="Q3025" s="79" t="str">
        <f>IF(AND(B3025='111'!$L$11,OR($N3025=$Q$7,$O3025=$Q$7)),"x","")</f>
        <v/>
      </c>
      <c r="R3025" s="79" t="str">
        <f>IF(AND($N3025=$Q$7,$B3025&lt;'111'!$L$11),"x","")</f>
        <v/>
      </c>
      <c r="S3025" s="79" t="str">
        <f>IF(AND($O3025=$Q$7,$B3025&lt;'111'!$L$11),"x","")</f>
        <v/>
      </c>
      <c r="T3025" s="79" t="str">
        <f>IF(ISERROR(FIND('112'!$M$9,G3025,1)),"",IF((AND(FIND('112'!$M$9,G3025,1)&gt;=1,B3025='112'!$K$9,OR($N3025='112'!$I$6,$O3025='112'!$I$6))),"x",""))</f>
        <v/>
      </c>
      <c r="U3025" s="79" t="str">
        <f>IF(ISERROR(FIND('112'!$M$9,G3025,1)),"",IF((AND(LEFT(G3025,2)=LEFT('112'!$M$9,2),B3025&lt;'112'!$K$9,$N3025='112'!$I$6)),"x",""))</f>
        <v/>
      </c>
      <c r="V3025" s="79" t="str">
        <f>IF(ISERROR(FIND('112'!$M$9,G3025,1)),"",IF((AND(RIGHT(G3025,2)=RIGHT('112'!$M$9,2),B3025&lt;'112'!$K$9,$O3025='112'!$I$6)),"x",""))</f>
        <v/>
      </c>
      <c r="W3025" s="79" t="str">
        <f>IF(AND('341-CT'!$H$9=H3025,OR(LEFT(N3025,3)=$W$7,LEFT(O3025,3)=$W$7)),"x","")</f>
        <v/>
      </c>
      <c r="X3025" s="79" t="str">
        <f>IF(OR(TH!N3025=TH!$X$7,O3025=TH!$X$7),"x","")</f>
        <v/>
      </c>
      <c r="Y3025" s="79" t="str">
        <f>IF(AND(OR(N3025="131",O3025="131"),H3025='131-CT'!$H$9),"x","")</f>
        <v/>
      </c>
      <c r="Z3025" s="79"/>
      <c r="AA3025" s="79" t="str">
        <f>IF(AND(MONTH(E3025)='IN-NX'!$J$5,'IN-NX'!$D$7=D3025),"x","")</f>
        <v/>
      </c>
      <c r="AB3025" s="79" t="str">
        <f>IF(AND(OR(LEFT(TH!N3025,2)="15",LEFT(TH!O3025,2)="15"),LEFT(TH!O3025,3)&lt;&gt;"111",'152-CT'!$J$8=TH!F3025),"x","")</f>
        <v/>
      </c>
      <c r="AC3025" s="79" t="str">
        <f>IF(AND(OR(LEFT(TH!N3025,2)="15",LEFT(TH!O3025,2)="15"),TK!$E$7=TH!F3025),"x","")</f>
        <v/>
      </c>
      <c r="AD3025" s="79" t="str">
        <f>IF(AND(N3025="1521",MONTH(C3025)='BK-NL'!$M$11),"x","")</f>
        <v/>
      </c>
    </row>
    <row r="3026" spans="1:30" s="1101" customFormat="1" ht="16.5" customHeight="1">
      <c r="A3026" s="318" t="str">
        <f>IF(B3026&lt;&gt;"",IF(AND(B3026='IN-TC'!$S$4,OR(TH!N3026="1111",TH!O3026="1111")),TH!D3026,""),"")</f>
        <v/>
      </c>
      <c r="B3026" s="60" t="str">
        <f t="shared" si="361"/>
        <v/>
      </c>
      <c r="C3026" s="61"/>
      <c r="D3026" s="61"/>
      <c r="E3026" s="61"/>
      <c r="F3026" s="69"/>
      <c r="G3026" s="64"/>
      <c r="H3026" s="69"/>
      <c r="I3026" s="387"/>
      <c r="J3026" s="394"/>
      <c r="K3026" s="387"/>
      <c r="L3026" s="394"/>
      <c r="M3026" s="62"/>
      <c r="N3026" s="63"/>
      <c r="O3026" s="63"/>
      <c r="P3026" s="79" t="str">
        <f>IF(AND('331-CT'!$E$7=TH!H3026,OR(N3026="331",O3026="331")),"x","")</f>
        <v/>
      </c>
      <c r="Q3026" s="79" t="str">
        <f>IF(AND(B3026='111'!$L$11,OR($N3026=$Q$7,$O3026=$Q$7)),"x","")</f>
        <v/>
      </c>
      <c r="R3026" s="79" t="str">
        <f>IF(AND($N3026=$Q$7,$B3026&lt;'111'!$L$11),"x","")</f>
        <v/>
      </c>
      <c r="S3026" s="79" t="str">
        <f>IF(AND($O3026=$Q$7,$B3026&lt;'111'!$L$11),"x","")</f>
        <v/>
      </c>
      <c r="T3026" s="79" t="str">
        <f>IF(ISERROR(FIND('112'!$M$9,G3026,1)),"",IF((AND(FIND('112'!$M$9,G3026,1)&gt;=1,B3026='112'!$K$9,OR($N3026='112'!$I$6,$O3026='112'!$I$6))),"x",""))</f>
        <v/>
      </c>
      <c r="U3026" s="79" t="str">
        <f>IF(ISERROR(FIND('112'!$M$9,G3026,1)),"",IF((AND(LEFT(G3026,2)=LEFT('112'!$M$9,2),B3026&lt;'112'!$K$9,$N3026='112'!$I$6)),"x",""))</f>
        <v/>
      </c>
      <c r="V3026" s="79" t="str">
        <f>IF(ISERROR(FIND('112'!$M$9,G3026,1)),"",IF((AND(RIGHT(G3026,2)=RIGHT('112'!$M$9,2),B3026&lt;'112'!$K$9,$O3026='112'!$I$6)),"x",""))</f>
        <v/>
      </c>
      <c r="W3026" s="79" t="str">
        <f>IF(AND('341-CT'!$H$9=H3026,OR(LEFT(N3026,3)=$W$7,LEFT(O3026,3)=$W$7)),"x","")</f>
        <v/>
      </c>
      <c r="X3026" s="79" t="str">
        <f>IF(OR(TH!N3026=TH!$X$7,O3026=TH!$X$7),"x","")</f>
        <v/>
      </c>
      <c r="Y3026" s="79" t="str">
        <f>IF(AND(OR(N3026="131",O3026="131"),H3026='131-CT'!$H$9),"x","")</f>
        <v/>
      </c>
      <c r="Z3026" s="79"/>
      <c r="AA3026" s="79" t="str">
        <f>IF(AND(MONTH(E3026)='IN-NX'!$J$5,'IN-NX'!$D$7=D3026),"x","")</f>
        <v/>
      </c>
      <c r="AB3026" s="79" t="str">
        <f>IF(AND(OR(LEFT(TH!N3026,2)="15",LEFT(TH!O3026,2)="15"),LEFT(TH!O3026,3)&lt;&gt;"111",'152-CT'!$J$8=TH!F3026),"x","")</f>
        <v/>
      </c>
      <c r="AC3026" s="79" t="str">
        <f>IF(AND(OR(LEFT(TH!N3026,2)="15",LEFT(TH!O3026,2)="15"),TK!$E$7=TH!F3026),"x","")</f>
        <v/>
      </c>
      <c r="AD3026" s="79" t="str">
        <f>IF(AND(N3026="1521",MONTH(C3026)='BK-NL'!$M$11),"x","")</f>
        <v/>
      </c>
    </row>
    <row r="3027" spans="1:30" s="1101" customFormat="1" ht="16.5" customHeight="1">
      <c r="A3027" s="318" t="str">
        <f>IF(B3027&lt;&gt;"",IF(AND(B3027='IN-TC'!$S$4,OR(TH!N3027="1111",TH!O3027="1111")),TH!D3027,""),"")</f>
        <v/>
      </c>
      <c r="B3027" s="60" t="str">
        <f t="shared" si="361"/>
        <v/>
      </c>
      <c r="C3027" s="1249"/>
      <c r="D3027" s="61"/>
      <c r="E3027" s="61"/>
      <c r="F3027" s="69"/>
      <c r="G3027" s="64"/>
      <c r="H3027" s="69"/>
      <c r="I3027" s="387"/>
      <c r="J3027" s="394"/>
      <c r="K3027" s="387"/>
      <c r="L3027" s="394"/>
      <c r="M3027" s="62"/>
      <c r="N3027" s="63"/>
      <c r="O3027" s="63"/>
      <c r="P3027" s="79" t="str">
        <f>IF(AND('331-CT'!$E$7=TH!H3027,OR(N3027="331",O3027="331")),"x","")</f>
        <v/>
      </c>
      <c r="Q3027" s="79" t="str">
        <f>IF(AND(B3027='111'!$L$11,OR($N3027=$Q$7,$O3027=$Q$7)),"x","")</f>
        <v/>
      </c>
      <c r="R3027" s="79" t="str">
        <f>IF(AND($N3027=$Q$7,$B3027&lt;'111'!$L$11),"x","")</f>
        <v/>
      </c>
      <c r="S3027" s="79" t="str">
        <f>IF(AND($O3027=$Q$7,$B3027&lt;'111'!$L$11),"x","")</f>
        <v/>
      </c>
      <c r="T3027" s="79" t="str">
        <f>IF(ISERROR(FIND('112'!$M$9,G3027,1)),"",IF((AND(FIND('112'!$M$9,G3027,1)&gt;=1,B3027='112'!$K$9,OR($N3027='112'!$I$6,$O3027='112'!$I$6))),"x",""))</f>
        <v/>
      </c>
      <c r="U3027" s="79" t="str">
        <f>IF(ISERROR(FIND('112'!$M$9,G3027,1)),"",IF((AND(LEFT(G3027,2)=LEFT('112'!$M$9,2),B3027&lt;'112'!$K$9,$N3027='112'!$I$6)),"x",""))</f>
        <v/>
      </c>
      <c r="V3027" s="79" t="str">
        <f>IF(ISERROR(FIND('112'!$M$9,G3027,1)),"",IF((AND(RIGHT(G3027,2)=RIGHT('112'!$M$9,2),B3027&lt;'112'!$K$9,$O3027='112'!$I$6)),"x",""))</f>
        <v/>
      </c>
      <c r="W3027" s="79" t="str">
        <f>IF(AND('341-CT'!$H$9=H3027,OR(LEFT(N3027,3)=$W$7,LEFT(O3027,3)=$W$7)),"x","")</f>
        <v/>
      </c>
      <c r="X3027" s="79" t="str">
        <f>IF(OR(TH!N3027=TH!$X$7,O3027=TH!$X$7),"x","")</f>
        <v/>
      </c>
      <c r="Y3027" s="79" t="str">
        <f>IF(AND(OR(N3027="131",O3027="131"),H3027='131-CT'!$H$9),"x","")</f>
        <v/>
      </c>
      <c r="Z3027" s="79"/>
      <c r="AA3027" s="79" t="str">
        <f>IF(AND(MONTH(E3027)='IN-NX'!$J$5,'IN-NX'!$D$7=D3027),"x","")</f>
        <v/>
      </c>
      <c r="AB3027" s="79" t="str">
        <f>IF(AND(OR(LEFT(TH!N3027,2)="15",LEFT(TH!O3027,2)="15"),LEFT(TH!O3027,3)&lt;&gt;"111",'152-CT'!$J$8=TH!F3027),"x","")</f>
        <v/>
      </c>
      <c r="AC3027" s="79" t="str">
        <f>IF(AND(OR(LEFT(TH!N3027,2)="15",LEFT(TH!O3027,2)="15"),TK!$E$7=TH!F3027),"x","")</f>
        <v/>
      </c>
      <c r="AD3027" s="79" t="str">
        <f>IF(AND(N3027="1521",MONTH(C3027)='BK-NL'!$M$11),"x","")</f>
        <v/>
      </c>
    </row>
    <row r="3028" spans="1:30" s="1101" customFormat="1" ht="16.5" customHeight="1">
      <c r="A3028" s="318" t="str">
        <f>IF(B3028&lt;&gt;"",IF(AND(B3028='IN-TC'!$S$4,OR(TH!N3028="1111",TH!O3028="1111")),TH!D3028,""),"")</f>
        <v/>
      </c>
      <c r="B3028" s="60" t="str">
        <f t="shared" ref="B3028:B3029" si="362">IF(C3028&lt;&gt;"",MONTH(C3028),"")</f>
        <v/>
      </c>
      <c r="C3028" s="1249"/>
      <c r="D3028" s="61"/>
      <c r="E3028" s="61"/>
      <c r="F3028" s="69"/>
      <c r="G3028" s="64"/>
      <c r="H3028" s="69"/>
      <c r="I3028" s="387"/>
      <c r="J3028" s="394"/>
      <c r="K3028" s="387"/>
      <c r="L3028" s="394"/>
      <c r="M3028" s="62"/>
      <c r="N3028" s="63"/>
      <c r="O3028" s="63"/>
      <c r="P3028" s="79" t="str">
        <f>IF(AND('331-CT'!$E$7=TH!H3028,OR(N3028="331",O3028="331")),"x","")</f>
        <v/>
      </c>
      <c r="Q3028" s="79" t="str">
        <f>IF(AND(B3028='111'!$L$11,OR($N3028=$Q$7,$O3028=$Q$7)),"x","")</f>
        <v/>
      </c>
      <c r="R3028" s="79" t="str">
        <f>IF(AND($N3028=$Q$7,$B3028&lt;'111'!$L$11),"x","")</f>
        <v/>
      </c>
      <c r="S3028" s="79" t="str">
        <f>IF(AND($O3028=$Q$7,$B3028&lt;'111'!$L$11),"x","")</f>
        <v/>
      </c>
      <c r="T3028" s="79" t="str">
        <f>IF(ISERROR(FIND('112'!$M$9,G3028,1)),"",IF((AND(FIND('112'!$M$9,G3028,1)&gt;=1,B3028='112'!$K$9,OR($N3028='112'!$I$6,$O3028='112'!$I$6))),"x",""))</f>
        <v/>
      </c>
      <c r="U3028" s="79" t="str">
        <f>IF(ISERROR(FIND('112'!$M$9,G3028,1)),"",IF((AND(LEFT(G3028,2)=LEFT('112'!$M$9,2),B3028&lt;'112'!$K$9,$N3028='112'!$I$6)),"x",""))</f>
        <v/>
      </c>
      <c r="V3028" s="79" t="str">
        <f>IF(ISERROR(FIND('112'!$M$9,G3028,1)),"",IF((AND(RIGHT(G3028,2)=RIGHT('112'!$M$9,2),B3028&lt;'112'!$K$9,$O3028='112'!$I$6)),"x",""))</f>
        <v/>
      </c>
      <c r="W3028" s="79" t="str">
        <f>IF(AND('341-CT'!$H$9=H3028,OR(LEFT(N3028,3)=$W$7,LEFT(O3028,3)=$W$7)),"x","")</f>
        <v/>
      </c>
      <c r="X3028" s="79" t="str">
        <f>IF(OR(TH!N3028=TH!$X$7,O3028=TH!$X$7),"x","")</f>
        <v/>
      </c>
      <c r="Y3028" s="79" t="str">
        <f>IF(AND(OR(N3028="131",O3028="131"),H3028='131-CT'!$H$9),"x","")</f>
        <v/>
      </c>
      <c r="Z3028" s="79"/>
      <c r="AA3028" s="79" t="str">
        <f>IF(AND(MONTH(E3028)='IN-NX'!$J$5,'IN-NX'!$D$7=D3028),"x","")</f>
        <v/>
      </c>
      <c r="AB3028" s="79" t="str">
        <f>IF(AND(OR(LEFT(TH!N3028,2)="15",LEFT(TH!O3028,2)="15"),LEFT(TH!O3028,3)&lt;&gt;"111",'152-CT'!$J$8=TH!F3028),"x","")</f>
        <v/>
      </c>
      <c r="AC3028" s="79" t="str">
        <f>IF(AND(OR(LEFT(TH!N3028,2)="15",LEFT(TH!O3028,2)="15"),TK!$E$7=TH!F3028),"x","")</f>
        <v/>
      </c>
      <c r="AD3028" s="79" t="str">
        <f>IF(AND(N3028="1521",MONTH(C3028)='BK-NL'!$M$11),"x","")</f>
        <v/>
      </c>
    </row>
    <row r="3029" spans="1:30" s="1101" customFormat="1" ht="16.5" customHeight="1">
      <c r="A3029" s="318" t="str">
        <f>IF(B3029&lt;&gt;"",IF(AND(B3029='IN-TC'!$S$4,OR(TH!N3029="1111",TH!O3029="1111")),TH!D3029,""),"")</f>
        <v/>
      </c>
      <c r="B3029" s="60" t="str">
        <f t="shared" si="362"/>
        <v/>
      </c>
      <c r="C3029" s="1249"/>
      <c r="D3029" s="61"/>
      <c r="E3029" s="61"/>
      <c r="F3029" s="69"/>
      <c r="G3029" s="64"/>
      <c r="H3029" s="69"/>
      <c r="I3029" s="387"/>
      <c r="J3029" s="394"/>
      <c r="K3029" s="387"/>
      <c r="L3029" s="394"/>
      <c r="M3029" s="62"/>
      <c r="N3029" s="63"/>
      <c r="O3029" s="63"/>
      <c r="P3029" s="79" t="str">
        <f>IF(AND('331-CT'!$E$7=TH!H3029,OR(N3029="331",O3029="331")),"x","")</f>
        <v/>
      </c>
      <c r="Q3029" s="79" t="str">
        <f>IF(AND(B3029='111'!$L$11,OR($N3029=$Q$7,$O3029=$Q$7)),"x","")</f>
        <v/>
      </c>
      <c r="R3029" s="79" t="str">
        <f>IF(AND($N3029=$Q$7,$B3029&lt;'111'!$L$11),"x","")</f>
        <v/>
      </c>
      <c r="S3029" s="79" t="str">
        <f>IF(AND($O3029=$Q$7,$B3029&lt;'111'!$L$11),"x","")</f>
        <v/>
      </c>
      <c r="T3029" s="79" t="str">
        <f>IF(ISERROR(FIND('112'!$M$9,G3029,1)),"",IF((AND(FIND('112'!$M$9,G3029,1)&gt;=1,B3029='112'!$K$9,OR($N3029='112'!$I$6,$O3029='112'!$I$6))),"x",""))</f>
        <v/>
      </c>
      <c r="U3029" s="79" t="str">
        <f>IF(ISERROR(FIND('112'!$M$9,G3029,1)),"",IF((AND(LEFT(G3029,2)=LEFT('112'!$M$9,2),B3029&lt;'112'!$K$9,$N3029='112'!$I$6)),"x",""))</f>
        <v/>
      </c>
      <c r="V3029" s="79" t="str">
        <f>IF(ISERROR(FIND('112'!$M$9,G3029,1)),"",IF((AND(RIGHT(G3029,2)=RIGHT('112'!$M$9,2),B3029&lt;'112'!$K$9,$O3029='112'!$I$6)),"x",""))</f>
        <v/>
      </c>
      <c r="W3029" s="79" t="str">
        <f>IF(AND('341-CT'!$H$9=H3029,OR(LEFT(N3029,3)=$W$7,LEFT(O3029,3)=$W$7)),"x","")</f>
        <v/>
      </c>
      <c r="X3029" s="79" t="str">
        <f>IF(OR(TH!N3029=TH!$X$7,O3029=TH!$X$7),"x","")</f>
        <v/>
      </c>
      <c r="Y3029" s="79" t="str">
        <f>IF(AND(OR(N3029="131",O3029="131"),H3029='131-CT'!$H$9),"x","")</f>
        <v/>
      </c>
      <c r="Z3029" s="79"/>
      <c r="AA3029" s="79" t="str">
        <f>IF(AND(MONTH(E3029)='IN-NX'!$J$5,'IN-NX'!$D$7=D3029),"x","")</f>
        <v/>
      </c>
      <c r="AB3029" s="79" t="str">
        <f>IF(AND(OR(LEFT(TH!N3029,2)="15",LEFT(TH!O3029,2)="15"),LEFT(TH!O3029,3)&lt;&gt;"111",'152-CT'!$J$8=TH!F3029),"x","")</f>
        <v/>
      </c>
      <c r="AC3029" s="79" t="str">
        <f>IF(AND(OR(LEFT(TH!N3029,2)="15",LEFT(TH!O3029,2)="15"),TK!$E$7=TH!F3029),"x","")</f>
        <v/>
      </c>
      <c r="AD3029" s="79" t="str">
        <f>IF(AND(N3029="1521",MONTH(C3029)='BK-NL'!$M$11),"x","")</f>
        <v/>
      </c>
    </row>
    <row r="3030" spans="1:30" s="1101" customFormat="1" ht="16.5" customHeight="1">
      <c r="A3030" s="318" t="str">
        <f>IF(B3030&lt;&gt;"",IF(AND(B3030='IN-TC'!$S$4,OR(TH!N3030="1111",TH!O3030="1111")),TH!D3030,""),"")</f>
        <v/>
      </c>
      <c r="B3030" s="60" t="str">
        <f t="shared" si="361"/>
        <v/>
      </c>
      <c r="C3030" s="1249"/>
      <c r="D3030" s="61"/>
      <c r="E3030" s="61"/>
      <c r="F3030" s="69"/>
      <c r="G3030" s="64"/>
      <c r="H3030" s="69"/>
      <c r="I3030" s="387"/>
      <c r="J3030" s="394"/>
      <c r="K3030" s="387"/>
      <c r="L3030" s="394"/>
      <c r="M3030" s="62"/>
      <c r="N3030" s="63"/>
      <c r="O3030" s="63"/>
      <c r="P3030" s="79" t="str">
        <f>IF(AND('331-CT'!$E$7=TH!H3030,OR(N3030="331",O3030="331")),"x","")</f>
        <v/>
      </c>
      <c r="Q3030" s="79" t="str">
        <f>IF(AND(B3030='111'!$L$11,OR($N3030=$Q$7,$O3030=$Q$7)),"x","")</f>
        <v/>
      </c>
      <c r="R3030" s="79" t="str">
        <f>IF(AND($N3030=$Q$7,$B3030&lt;'111'!$L$11),"x","")</f>
        <v/>
      </c>
      <c r="S3030" s="79" t="str">
        <f>IF(AND($O3030=$Q$7,$B3030&lt;'111'!$L$11),"x","")</f>
        <v/>
      </c>
      <c r="T3030" s="79" t="str">
        <f>IF(ISERROR(FIND('112'!$M$9,G3030,1)),"",IF((AND(FIND('112'!$M$9,G3030,1)&gt;=1,B3030='112'!$K$9,OR($N3030='112'!$I$6,$O3030='112'!$I$6))),"x",""))</f>
        <v/>
      </c>
      <c r="U3030" s="79" t="str">
        <f>IF(ISERROR(FIND('112'!$M$9,G3030,1)),"",IF((AND(LEFT(G3030,2)=LEFT('112'!$M$9,2),B3030&lt;'112'!$K$9,$N3030='112'!$I$6)),"x",""))</f>
        <v/>
      </c>
      <c r="V3030" s="79" t="str">
        <f>IF(ISERROR(FIND('112'!$M$9,G3030,1)),"",IF((AND(RIGHT(G3030,2)=RIGHT('112'!$M$9,2),B3030&lt;'112'!$K$9,$O3030='112'!$I$6)),"x",""))</f>
        <v/>
      </c>
      <c r="W3030" s="79" t="str">
        <f>IF(AND('341-CT'!$H$9=H3030,OR(LEFT(N3030,3)=$W$7,LEFT(O3030,3)=$W$7)),"x","")</f>
        <v/>
      </c>
      <c r="X3030" s="79" t="str">
        <f>IF(OR(TH!N3030=TH!$X$7,O3030=TH!$X$7),"x","")</f>
        <v/>
      </c>
      <c r="Y3030" s="79" t="str">
        <f>IF(AND(OR(N3030="131",O3030="131"),H3030='131-CT'!$H$9),"x","")</f>
        <v/>
      </c>
      <c r="Z3030" s="79"/>
      <c r="AA3030" s="79" t="str">
        <f>IF(AND(MONTH(E3030)='IN-NX'!$J$5,'IN-NX'!$D$7=D3030),"x","")</f>
        <v/>
      </c>
      <c r="AB3030" s="79" t="str">
        <f>IF(AND(OR(LEFT(TH!N3030,2)="15",LEFT(TH!O3030,2)="15"),LEFT(TH!O3030,3)&lt;&gt;"111",'152-CT'!$J$8=TH!F3030),"x","")</f>
        <v/>
      </c>
      <c r="AC3030" s="79" t="str">
        <f>IF(AND(OR(LEFT(TH!N3030,2)="15",LEFT(TH!O3030,2)="15"),TK!$E$7=TH!F3030),"x","")</f>
        <v/>
      </c>
      <c r="AD3030" s="79" t="str">
        <f>IF(AND(N3030="1521",MONTH(C3030)='BK-NL'!$M$11),"x","")</f>
        <v/>
      </c>
    </row>
    <row r="3031" spans="1:30" s="1101" customFormat="1" ht="16.5" customHeight="1">
      <c r="A3031" s="318" t="str">
        <f>IF(B3031&lt;&gt;"",IF(AND(B3031='IN-TC'!$S$4,OR(TH!N3031="1111",TH!O3031="1111")),TH!D3031,""),"")</f>
        <v/>
      </c>
      <c r="B3031" s="60" t="str">
        <f t="shared" si="361"/>
        <v/>
      </c>
      <c r="C3031" s="1249"/>
      <c r="D3031" s="61"/>
      <c r="E3031" s="61"/>
      <c r="F3031" s="69"/>
      <c r="G3031" s="64"/>
      <c r="H3031" s="69"/>
      <c r="I3031" s="387"/>
      <c r="J3031" s="394"/>
      <c r="K3031" s="387"/>
      <c r="L3031" s="394"/>
      <c r="M3031" s="62"/>
      <c r="N3031" s="63"/>
      <c r="O3031" s="63"/>
      <c r="P3031" s="79" t="str">
        <f>IF(AND('331-CT'!$E$7=TH!H3031,OR(N3031="331",O3031="331")),"x","")</f>
        <v/>
      </c>
      <c r="Q3031" s="79" t="str">
        <f>IF(AND(B3031='111'!$L$11,OR($N3031=$Q$7,$O3031=$Q$7)),"x","")</f>
        <v/>
      </c>
      <c r="R3031" s="79" t="str">
        <f>IF(AND($N3031=$Q$7,$B3031&lt;'111'!$L$11),"x","")</f>
        <v/>
      </c>
      <c r="S3031" s="79" t="str">
        <f>IF(AND($O3031=$Q$7,$B3031&lt;'111'!$L$11),"x","")</f>
        <v/>
      </c>
      <c r="T3031" s="79" t="str">
        <f>IF(ISERROR(FIND('112'!$M$9,G3031,1)),"",IF((AND(FIND('112'!$M$9,G3031,1)&gt;=1,B3031='112'!$K$9,OR($N3031='112'!$I$6,$O3031='112'!$I$6))),"x",""))</f>
        <v/>
      </c>
      <c r="U3031" s="79" t="str">
        <f>IF(ISERROR(FIND('112'!$M$9,G3031,1)),"",IF((AND(LEFT(G3031,2)=LEFT('112'!$M$9,2),B3031&lt;'112'!$K$9,$N3031='112'!$I$6)),"x",""))</f>
        <v/>
      </c>
      <c r="V3031" s="79" t="str">
        <f>IF(ISERROR(FIND('112'!$M$9,G3031,1)),"",IF((AND(RIGHT(G3031,2)=RIGHT('112'!$M$9,2),B3031&lt;'112'!$K$9,$O3031='112'!$I$6)),"x",""))</f>
        <v/>
      </c>
      <c r="W3031" s="79" t="str">
        <f>IF(AND('341-CT'!$H$9=H3031,OR(LEFT(N3031,3)=$W$7,LEFT(O3031,3)=$W$7)),"x","")</f>
        <v/>
      </c>
      <c r="X3031" s="79" t="str">
        <f>IF(OR(TH!N3031=TH!$X$7,O3031=TH!$X$7),"x","")</f>
        <v/>
      </c>
      <c r="Y3031" s="79" t="str">
        <f>IF(AND(OR(N3031="131",O3031="131"),H3031='131-CT'!$H$9),"x","")</f>
        <v/>
      </c>
      <c r="Z3031" s="79"/>
      <c r="AA3031" s="79" t="str">
        <f>IF(AND(MONTH(E3031)='IN-NX'!$J$5,'IN-NX'!$D$7=D3031),"x","")</f>
        <v/>
      </c>
      <c r="AB3031" s="79" t="str">
        <f>IF(AND(OR(LEFT(TH!N3031,2)="15",LEFT(TH!O3031,2)="15"),LEFT(TH!O3031,3)&lt;&gt;"111",'152-CT'!$J$8=TH!F3031),"x","")</f>
        <v/>
      </c>
      <c r="AC3031" s="79" t="str">
        <f>IF(AND(OR(LEFT(TH!N3031,2)="15",LEFT(TH!O3031,2)="15"),TK!$E$7=TH!F3031),"x","")</f>
        <v/>
      </c>
      <c r="AD3031" s="79" t="str">
        <f>IF(AND(N3031="1521",MONTH(C3031)='BK-NL'!$M$11),"x","")</f>
        <v/>
      </c>
    </row>
    <row r="3032" spans="1:30" s="1101" customFormat="1" ht="16.5" customHeight="1">
      <c r="A3032" s="318" t="str">
        <f>IF(B3032&lt;&gt;"",IF(AND(B3032='IN-TC'!$S$4,OR(TH!N3032="1111",TH!O3032="1111")),TH!D3032,""),"")</f>
        <v/>
      </c>
      <c r="B3032" s="60" t="str">
        <f t="shared" si="361"/>
        <v/>
      </c>
      <c r="C3032" s="61"/>
      <c r="D3032" s="61"/>
      <c r="E3032" s="61"/>
      <c r="F3032" s="69"/>
      <c r="G3032" s="64"/>
      <c r="H3032" s="69"/>
      <c r="I3032" s="387"/>
      <c r="J3032" s="394"/>
      <c r="K3032" s="387"/>
      <c r="L3032" s="392"/>
      <c r="M3032" s="62"/>
      <c r="N3032" s="63"/>
      <c r="O3032" s="304"/>
      <c r="P3032" s="79" t="str">
        <f>IF(AND('331-CT'!$E$7=TH!H3032,OR(N3032="331",O3032="331")),"x","")</f>
        <v/>
      </c>
      <c r="Q3032" s="79" t="str">
        <f>IF(AND(B3032='111'!$L$11,OR($N3032=$Q$7,$O3032=$Q$7)),"x","")</f>
        <v/>
      </c>
      <c r="R3032" s="79" t="str">
        <f>IF(AND($N3032=$Q$7,$B3032&lt;'111'!$L$11),"x","")</f>
        <v/>
      </c>
      <c r="S3032" s="79" t="str">
        <f>IF(AND($O3032=$Q$7,$B3032&lt;'111'!$L$11),"x","")</f>
        <v/>
      </c>
      <c r="T3032" s="79" t="str">
        <f>IF(ISERROR(FIND('112'!$M$9,G3032,1)),"",IF((AND(FIND('112'!$M$9,G3032,1)&gt;=1,B3032='112'!$K$9,OR($N3032='112'!$I$6,$O3032='112'!$I$6))),"x",""))</f>
        <v/>
      </c>
      <c r="U3032" s="79" t="str">
        <f>IF(ISERROR(FIND('112'!$M$9,G3032,1)),"",IF((AND(LEFT(G3032,2)=LEFT('112'!$M$9,2),B3032&lt;'112'!$K$9,$N3032='112'!$I$6)),"x",""))</f>
        <v/>
      </c>
      <c r="V3032" s="79" t="str">
        <f>IF(ISERROR(FIND('112'!$M$9,G3032,1)),"",IF((AND(RIGHT(G3032,2)=RIGHT('112'!$M$9,2),B3032&lt;'112'!$K$9,$O3032='112'!$I$6)),"x",""))</f>
        <v/>
      </c>
      <c r="W3032" s="79" t="str">
        <f>IF(AND('341-CT'!$H$9=H3032,OR(LEFT(N3032,3)=$W$7,LEFT(O3032,3)=$W$7)),"x","")</f>
        <v/>
      </c>
      <c r="X3032" s="79" t="str">
        <f>IF(OR(TH!N3032=TH!$X$7,O3032=TH!$X$7),"x","")</f>
        <v/>
      </c>
      <c r="Y3032" s="79" t="str">
        <f>IF(AND(OR(N3032="131",O3032="131"),H3032='131-CT'!$H$9),"x","")</f>
        <v/>
      </c>
      <c r="Z3032" s="79"/>
      <c r="AA3032" s="79" t="str">
        <f>IF(AND(MONTH(E3032)='IN-NX'!$J$5,'IN-NX'!$D$7=D3032),"x","")</f>
        <v/>
      </c>
      <c r="AB3032" s="79" t="str">
        <f>IF(AND(OR(LEFT(TH!N3032,2)="15",LEFT(TH!O3032,2)="15"),LEFT(TH!O3032,3)&lt;&gt;"111",'152-CT'!$J$8=TH!F3032),"x","")</f>
        <v/>
      </c>
      <c r="AC3032" s="79" t="str">
        <f>IF(AND(OR(LEFT(TH!N3032,2)="15",LEFT(TH!O3032,2)="15"),TK!$E$7=TH!F3032),"x","")</f>
        <v/>
      </c>
      <c r="AD3032" s="79" t="str">
        <f>IF(AND(N3032="1521",MONTH(C3032)='BK-NL'!$M$11),"x","")</f>
        <v/>
      </c>
    </row>
    <row r="3033" spans="1:30" s="1101" customFormat="1" ht="16.5" customHeight="1">
      <c r="A3033" s="318" t="str">
        <f>IF(B3033&lt;&gt;"",IF(AND(B3033='IN-TC'!$S$4,OR(TH!N3033="1111",TH!O3033="1111")),TH!D3033,""),"")</f>
        <v/>
      </c>
      <c r="B3033" s="60" t="str">
        <f t="shared" si="361"/>
        <v/>
      </c>
      <c r="C3033" s="61"/>
      <c r="D3033" s="61"/>
      <c r="E3033" s="61"/>
      <c r="F3033" s="69"/>
      <c r="G3033" s="64"/>
      <c r="H3033" s="303"/>
      <c r="I3033" s="385"/>
      <c r="J3033" s="392"/>
      <c r="K3033" s="385"/>
      <c r="L3033" s="392"/>
      <c r="M3033" s="62"/>
      <c r="N3033" s="63"/>
      <c r="O3033" s="63"/>
      <c r="P3033" s="79" t="str">
        <f>IF(AND('331-CT'!$E$7=TH!H3033,OR(N3033="331",O3033="331")),"x","")</f>
        <v/>
      </c>
      <c r="Q3033" s="79" t="str">
        <f>IF(AND(B3033='111'!$L$11,OR($N3033=$Q$7,$O3033=$Q$7)),"x","")</f>
        <v/>
      </c>
      <c r="R3033" s="79" t="str">
        <f>IF(AND($N3033=$Q$7,$B3033&lt;'111'!$L$11),"x","")</f>
        <v/>
      </c>
      <c r="S3033" s="79" t="str">
        <f>IF(AND($O3033=$Q$7,$B3033&lt;'111'!$L$11),"x","")</f>
        <v/>
      </c>
      <c r="T3033" s="79" t="str">
        <f>IF(ISERROR(FIND('112'!$M$9,G3033,1)),"",IF((AND(FIND('112'!$M$9,G3033,1)&gt;=1,B3033='112'!$K$9,OR($N3033='112'!$I$6,$O3033='112'!$I$6))),"x",""))</f>
        <v/>
      </c>
      <c r="U3033" s="79" t="str">
        <f>IF(ISERROR(FIND('112'!$M$9,G3033,1)),"",IF((AND(LEFT(G3033,2)=LEFT('112'!$M$9,2),B3033&lt;'112'!$K$9,$N3033='112'!$I$6)),"x",""))</f>
        <v/>
      </c>
      <c r="V3033" s="79" t="str">
        <f>IF(ISERROR(FIND('112'!$M$9,G3033,1)),"",IF((AND(RIGHT(G3033,2)=RIGHT('112'!$M$9,2),B3033&lt;'112'!$K$9,$O3033='112'!$I$6)),"x",""))</f>
        <v/>
      </c>
      <c r="W3033" s="79" t="str">
        <f>IF(AND('341-CT'!$H$9=H3033,OR(LEFT(N3033,3)=$W$7,LEFT(O3033,3)=$W$7)),"x","")</f>
        <v/>
      </c>
      <c r="X3033" s="79" t="str">
        <f>IF(OR(TH!N3033=TH!$X$7,O3033=TH!$X$7),"x","")</f>
        <v/>
      </c>
      <c r="Y3033" s="79" t="str">
        <f>IF(AND(OR(N3033="131",O3033="131"),H3033='131-CT'!$H$9),"x","")</f>
        <v/>
      </c>
      <c r="Z3033" s="79"/>
      <c r="AA3033" s="79" t="str">
        <f>IF(AND(MONTH(E3033)='IN-NX'!$J$5,'IN-NX'!$D$7=D3033),"x","")</f>
        <v/>
      </c>
      <c r="AB3033" s="79" t="str">
        <f>IF(AND(OR(LEFT(TH!N3033,2)="15",LEFT(TH!O3033,2)="15"),LEFT(TH!O3033,3)&lt;&gt;"111",'152-CT'!$J$8=TH!F3033),"x","")</f>
        <v/>
      </c>
      <c r="AC3033" s="79" t="str">
        <f>IF(AND(OR(LEFT(TH!N3033,2)="15",LEFT(TH!O3033,2)="15"),TK!$E$7=TH!F3033),"x","")</f>
        <v/>
      </c>
      <c r="AD3033" s="79" t="str">
        <f>IF(AND(N3033="1521",MONTH(C3033)='BK-NL'!$M$11),"x","")</f>
        <v/>
      </c>
    </row>
    <row r="3034" spans="1:30" s="1101" customFormat="1" ht="16.5" customHeight="1">
      <c r="A3034" s="318" t="str">
        <f>IF(B3034&lt;&gt;"",IF(AND(B3034='IN-TC'!$S$4,OR(TH!N3034="1111",TH!O3034="1111")),TH!D3034,""),"")</f>
        <v/>
      </c>
      <c r="B3034" s="60" t="str">
        <f t="shared" si="361"/>
        <v/>
      </c>
      <c r="C3034" s="61"/>
      <c r="D3034" s="61"/>
      <c r="E3034" s="61"/>
      <c r="F3034" s="69"/>
      <c r="G3034" s="64"/>
      <c r="H3034" s="69"/>
      <c r="I3034" s="387"/>
      <c r="J3034" s="394"/>
      <c r="K3034" s="62"/>
      <c r="L3034" s="394"/>
      <c r="M3034" s="62"/>
      <c r="N3034" s="63"/>
      <c r="O3034" s="63"/>
      <c r="P3034" s="79" t="str">
        <f>IF(AND('331-CT'!$E$7=TH!H3034,OR(N3034="331",O3034="331")),"x","")</f>
        <v/>
      </c>
      <c r="Q3034" s="79" t="str">
        <f>IF(AND(B3034='111'!$L$11,OR($N3034=$Q$7,$O3034=$Q$7)),"x","")</f>
        <v/>
      </c>
      <c r="R3034" s="79" t="str">
        <f>IF(AND($N3034=$Q$7,$B3034&lt;'111'!$L$11),"x","")</f>
        <v/>
      </c>
      <c r="S3034" s="79" t="str">
        <f>IF(AND($O3034=$Q$7,$B3034&lt;'111'!$L$11),"x","")</f>
        <v/>
      </c>
      <c r="T3034" s="79" t="str">
        <f>IF(ISERROR(FIND('112'!$M$9,G3034,1)),"",IF((AND(FIND('112'!$M$9,G3034,1)&gt;=1,B3034='112'!$K$9,OR($N3034='112'!$I$6,$O3034='112'!$I$6))),"x",""))</f>
        <v/>
      </c>
      <c r="U3034" s="79" t="str">
        <f>IF(ISERROR(FIND('112'!$M$9,G3034,1)),"",IF((AND(LEFT(G3034,2)=LEFT('112'!$M$9,2),B3034&lt;'112'!$K$9,$N3034='112'!$I$6)),"x",""))</f>
        <v/>
      </c>
      <c r="V3034" s="79" t="str">
        <f>IF(ISERROR(FIND('112'!$M$9,G3034,1)),"",IF((AND(RIGHT(G3034,2)=RIGHT('112'!$M$9,2),B3034&lt;'112'!$K$9,$O3034='112'!$I$6)),"x",""))</f>
        <v/>
      </c>
      <c r="W3034" s="79" t="str">
        <f>IF(AND('341-CT'!$H$9=H3034,OR(LEFT(N3034,3)=$W$7,LEFT(O3034,3)=$W$7)),"x","")</f>
        <v/>
      </c>
      <c r="X3034" s="79" t="str">
        <f>IF(OR(TH!N3034=TH!$X$7,O3034=TH!$X$7),"x","")</f>
        <v/>
      </c>
      <c r="Y3034" s="79" t="str">
        <f>IF(AND(OR(N3034="131",O3034="131"),H3034='131-CT'!$H$9),"x","")</f>
        <v/>
      </c>
      <c r="Z3034" s="79"/>
      <c r="AA3034" s="79" t="str">
        <f>IF(AND(MONTH(E3034)='IN-NX'!$J$5,'IN-NX'!$D$7=D3034),"x","")</f>
        <v/>
      </c>
      <c r="AB3034" s="79" t="str">
        <f>IF(AND(OR(LEFT(TH!N3034,2)="15",LEFT(TH!O3034,2)="15"),LEFT(TH!O3034,3)&lt;&gt;"111",'152-CT'!$J$8=TH!F3034),"x","")</f>
        <v/>
      </c>
      <c r="AC3034" s="79" t="str">
        <f>IF(AND(OR(LEFT(TH!N3034,2)="15",LEFT(TH!O3034,2)="15"),TK!$E$7=TH!F3034),"x","")</f>
        <v/>
      </c>
      <c r="AD3034" s="79" t="str">
        <f>IF(AND(N3034="1521",MONTH(C3034)='BK-NL'!$M$11),"x","")</f>
        <v/>
      </c>
    </row>
    <row r="3035" spans="1:30" s="1101" customFormat="1" ht="16.5" customHeight="1">
      <c r="A3035" s="318" t="str">
        <f>IF(B3035&lt;&gt;"",IF(AND(B3035='IN-TC'!$S$4,OR(TH!N3035="1111",TH!O3035="1111")),TH!D3035,""),"")</f>
        <v/>
      </c>
      <c r="B3035" s="60" t="str">
        <f t="shared" si="361"/>
        <v/>
      </c>
      <c r="C3035" s="61"/>
      <c r="D3035" s="61"/>
      <c r="E3035" s="61"/>
      <c r="F3035" s="69"/>
      <c r="G3035" s="64"/>
      <c r="H3035" s="69"/>
      <c r="I3035" s="387"/>
      <c r="J3035" s="394"/>
      <c r="K3035" s="387"/>
      <c r="L3035" s="394"/>
      <c r="M3035" s="62"/>
      <c r="N3035" s="63"/>
      <c r="O3035" s="63"/>
      <c r="P3035" s="79" t="str">
        <f>IF(AND('331-CT'!$E$7=TH!H3035,OR(N3035="331",O3035="331")),"x","")</f>
        <v/>
      </c>
      <c r="Q3035" s="79" t="str">
        <f>IF(AND(B3035='111'!$L$11,OR($N3035=$Q$7,$O3035=$Q$7)),"x","")</f>
        <v/>
      </c>
      <c r="R3035" s="79" t="str">
        <f>IF(AND($N3035=$Q$7,$B3035&lt;'111'!$L$11),"x","")</f>
        <v/>
      </c>
      <c r="S3035" s="79" t="str">
        <f>IF(AND($O3035=$Q$7,$B3035&lt;'111'!$L$11),"x","")</f>
        <v/>
      </c>
      <c r="T3035" s="79" t="str">
        <f>IF(ISERROR(FIND('112'!$M$9,G3035,1)),"",IF((AND(FIND('112'!$M$9,G3035,1)&gt;=1,B3035='112'!$K$9,OR($N3035='112'!$I$6,$O3035='112'!$I$6))),"x",""))</f>
        <v/>
      </c>
      <c r="U3035" s="79" t="str">
        <f>IF(ISERROR(FIND('112'!$M$9,G3035,1)),"",IF((AND(LEFT(G3035,2)=LEFT('112'!$M$9,2),B3035&lt;'112'!$K$9,$N3035='112'!$I$6)),"x",""))</f>
        <v/>
      </c>
      <c r="V3035" s="79" t="str">
        <f>IF(ISERROR(FIND('112'!$M$9,G3035,1)),"",IF((AND(RIGHT(G3035,2)=RIGHT('112'!$M$9,2),B3035&lt;'112'!$K$9,$O3035='112'!$I$6)),"x",""))</f>
        <v/>
      </c>
      <c r="W3035" s="79" t="str">
        <f>IF(AND('341-CT'!$H$9=H3035,OR(LEFT(N3035,3)=$W$7,LEFT(O3035,3)=$W$7)),"x","")</f>
        <v/>
      </c>
      <c r="X3035" s="79" t="str">
        <f>IF(OR(TH!N3035=TH!$X$7,O3035=TH!$X$7),"x","")</f>
        <v/>
      </c>
      <c r="Y3035" s="79" t="str">
        <f>IF(AND(OR(N3035="131",O3035="131"),H3035='131-CT'!$H$9),"x","")</f>
        <v/>
      </c>
      <c r="Z3035" s="79"/>
      <c r="AA3035" s="79" t="str">
        <f>IF(AND(MONTH(E3035)='IN-NX'!$J$5,'IN-NX'!$D$7=D3035),"x","")</f>
        <v/>
      </c>
      <c r="AB3035" s="79" t="str">
        <f>IF(AND(OR(LEFT(TH!N3035,2)="15",LEFT(TH!O3035,2)="15"),LEFT(TH!O3035,3)&lt;&gt;"111",'152-CT'!$J$8=TH!F3035),"x","")</f>
        <v/>
      </c>
      <c r="AC3035" s="79" t="str">
        <f>IF(AND(OR(LEFT(TH!N3035,2)="15",LEFT(TH!O3035,2)="15"),TK!$E$7=TH!F3035),"x","")</f>
        <v/>
      </c>
      <c r="AD3035" s="79" t="str">
        <f>IF(AND(N3035="1521",MONTH(C3035)='BK-NL'!$M$11),"x","")</f>
        <v/>
      </c>
    </row>
    <row r="3036" spans="1:30" s="1101" customFormat="1" ht="16.5" customHeight="1">
      <c r="A3036" s="318" t="str">
        <f>IF(B3036&lt;&gt;"",IF(AND(B3036='IN-TC'!$S$4,OR(TH!N3036="1111",TH!O3036="1111")),TH!D3036,""),"")</f>
        <v/>
      </c>
      <c r="B3036" s="60" t="str">
        <f t="shared" si="361"/>
        <v/>
      </c>
      <c r="C3036" s="61"/>
      <c r="D3036" s="61"/>
      <c r="E3036" s="61"/>
      <c r="F3036" s="69"/>
      <c r="G3036" s="64"/>
      <c r="H3036" s="69"/>
      <c r="I3036" s="385"/>
      <c r="J3036" s="392"/>
      <c r="K3036" s="385"/>
      <c r="L3036" s="392"/>
      <c r="M3036" s="62"/>
      <c r="N3036" s="63"/>
      <c r="O3036" s="63"/>
      <c r="P3036" s="79" t="str">
        <f>IF(AND('331-CT'!$E$7=TH!H3036,OR(N3036="331",O3036="331")),"x","")</f>
        <v/>
      </c>
      <c r="Q3036" s="79" t="str">
        <f>IF(AND(B3036='111'!$L$11,OR($N3036=$Q$7,$O3036=$Q$7)),"x","")</f>
        <v/>
      </c>
      <c r="R3036" s="79" t="str">
        <f>IF(AND($N3036=$Q$7,$B3036&lt;'111'!$L$11),"x","")</f>
        <v/>
      </c>
      <c r="S3036" s="79" t="str">
        <f>IF(AND($O3036=$Q$7,$B3036&lt;'111'!$L$11),"x","")</f>
        <v/>
      </c>
      <c r="T3036" s="79" t="str">
        <f>IF(ISERROR(FIND('112'!$M$9,G3036,1)),"",IF((AND(FIND('112'!$M$9,G3036,1)&gt;=1,B3036='112'!$K$9,OR($N3036='112'!$I$6,$O3036='112'!$I$6))),"x",""))</f>
        <v/>
      </c>
      <c r="U3036" s="79" t="str">
        <f>IF(ISERROR(FIND('112'!$M$9,G3036,1)),"",IF((AND(LEFT(G3036,2)=LEFT('112'!$M$9,2),B3036&lt;'112'!$K$9,$N3036='112'!$I$6)),"x",""))</f>
        <v/>
      </c>
      <c r="V3036" s="79" t="str">
        <f>IF(ISERROR(FIND('112'!$M$9,G3036,1)),"",IF((AND(RIGHT(G3036,2)=RIGHT('112'!$M$9,2),B3036&lt;'112'!$K$9,$O3036='112'!$I$6)),"x",""))</f>
        <v/>
      </c>
      <c r="W3036" s="79" t="str">
        <f>IF(AND('341-CT'!$H$9=H3036,OR(LEFT(N3036,3)=$W$7,LEFT(O3036,3)=$W$7)),"x","")</f>
        <v/>
      </c>
      <c r="X3036" s="79" t="str">
        <f>IF(OR(TH!N3036=TH!$X$7,O3036=TH!$X$7),"x","")</f>
        <v/>
      </c>
      <c r="Y3036" s="79" t="str">
        <f>IF(AND(OR(N3036="131",O3036="131"),H3036='131-CT'!$H$9),"x","")</f>
        <v/>
      </c>
      <c r="Z3036" s="79"/>
      <c r="AA3036" s="79" t="str">
        <f>IF(AND(MONTH(E3036)='IN-NX'!$J$5,'IN-NX'!$D$7=D3036),"x","")</f>
        <v/>
      </c>
      <c r="AB3036" s="79" t="str">
        <f>IF(AND(OR(LEFT(TH!N3036,2)="15",LEFT(TH!O3036,2)="15"),LEFT(TH!O3036,3)&lt;&gt;"111",'152-CT'!$J$8=TH!F3036),"x","")</f>
        <v/>
      </c>
      <c r="AC3036" s="79" t="str">
        <f>IF(AND(OR(LEFT(TH!N3036,2)="15",LEFT(TH!O3036,2)="15"),TK!$E$7=TH!F3036),"x","")</f>
        <v/>
      </c>
      <c r="AD3036" s="79" t="str">
        <f>IF(AND(N3036="1521",MONTH(C3036)='BK-NL'!$M$11),"x","")</f>
        <v/>
      </c>
    </row>
    <row r="3037" spans="1:30" s="1101" customFormat="1" ht="16.5" customHeight="1">
      <c r="A3037" s="318" t="str">
        <f>IF(B3037&lt;&gt;"",IF(AND(B3037='IN-TC'!$S$4,OR(TH!N3037="1111",TH!O3037="1111")),TH!D3037,""),"")</f>
        <v/>
      </c>
      <c r="B3037" s="60" t="str">
        <f t="shared" si="361"/>
        <v/>
      </c>
      <c r="C3037" s="61"/>
      <c r="D3037" s="61"/>
      <c r="E3037" s="61"/>
      <c r="F3037" s="69"/>
      <c r="G3037" s="64"/>
      <c r="H3037" s="69"/>
      <c r="I3037" s="387"/>
      <c r="J3037" s="394"/>
      <c r="K3037" s="62"/>
      <c r="L3037" s="394"/>
      <c r="M3037" s="62"/>
      <c r="N3037" s="63"/>
      <c r="O3037" s="63"/>
      <c r="P3037" s="79" t="str">
        <f>IF(AND('331-CT'!$E$7=TH!H3037,OR(N3037="331",O3037="331")),"x","")</f>
        <v/>
      </c>
      <c r="Q3037" s="79" t="str">
        <f>IF(AND(B3037='111'!$L$11,OR($N3037=$Q$7,$O3037=$Q$7)),"x","")</f>
        <v/>
      </c>
      <c r="R3037" s="79" t="str">
        <f>IF(AND($N3037=$Q$7,$B3037&lt;'111'!$L$11),"x","")</f>
        <v/>
      </c>
      <c r="S3037" s="79" t="str">
        <f>IF(AND($O3037=$Q$7,$B3037&lt;'111'!$L$11),"x","")</f>
        <v/>
      </c>
      <c r="T3037" s="79" t="str">
        <f>IF(ISERROR(FIND('112'!$M$9,G3037,1)),"",IF((AND(FIND('112'!$M$9,G3037,1)&gt;=1,B3037='112'!$K$9,OR($N3037='112'!$I$6,$O3037='112'!$I$6))),"x",""))</f>
        <v/>
      </c>
      <c r="U3037" s="79" t="str">
        <f>IF(ISERROR(FIND('112'!$M$9,G3037,1)),"",IF((AND(LEFT(G3037,2)=LEFT('112'!$M$9,2),B3037&lt;'112'!$K$9,$N3037='112'!$I$6)),"x",""))</f>
        <v/>
      </c>
      <c r="V3037" s="79" t="str">
        <f>IF(ISERROR(FIND('112'!$M$9,G3037,1)),"",IF((AND(RIGHT(G3037,2)=RIGHT('112'!$M$9,2),B3037&lt;'112'!$K$9,$O3037='112'!$I$6)),"x",""))</f>
        <v/>
      </c>
      <c r="W3037" s="79" t="str">
        <f>IF(AND('341-CT'!$H$9=H3037,OR(LEFT(N3037,3)=$W$7,LEFT(O3037,3)=$W$7)),"x","")</f>
        <v/>
      </c>
      <c r="X3037" s="79" t="str">
        <f>IF(OR(TH!N3037=TH!$X$7,O3037=TH!$X$7),"x","")</f>
        <v/>
      </c>
      <c r="Y3037" s="79" t="str">
        <f>IF(AND(OR(N3037="131",O3037="131"),H3037='131-CT'!$H$9),"x","")</f>
        <v/>
      </c>
      <c r="Z3037" s="79"/>
      <c r="AA3037" s="79" t="str">
        <f>IF(AND(MONTH(E3037)='IN-NX'!$J$5,'IN-NX'!$D$7=D3037),"x","")</f>
        <v/>
      </c>
      <c r="AB3037" s="79" t="str">
        <f>IF(AND(OR(LEFT(TH!N3037,2)="15",LEFT(TH!O3037,2)="15"),LEFT(TH!O3037,3)&lt;&gt;"111",'152-CT'!$J$8=TH!F3037),"x","")</f>
        <v/>
      </c>
      <c r="AC3037" s="79" t="str">
        <f>IF(AND(OR(LEFT(TH!N3037,2)="15",LEFT(TH!O3037,2)="15"),TK!$E$7=TH!F3037),"x","")</f>
        <v/>
      </c>
      <c r="AD3037" s="79" t="str">
        <f>IF(AND(N3037="1521",MONTH(C3037)='BK-NL'!$M$11),"x","")</f>
        <v/>
      </c>
    </row>
    <row r="3038" spans="1:30" s="1101" customFormat="1" ht="16.5" customHeight="1">
      <c r="A3038" s="318" t="str">
        <f>IF(B3038&lt;&gt;"",IF(AND(B3038='IN-TC'!$S$4,OR(TH!N3038="1111",TH!O3038="1111")),TH!D3038,""),"")</f>
        <v/>
      </c>
      <c r="B3038" s="60" t="str">
        <f t="shared" si="361"/>
        <v/>
      </c>
      <c r="C3038" s="1257"/>
      <c r="D3038" s="61"/>
      <c r="E3038" s="61"/>
      <c r="F3038" s="69"/>
      <c r="G3038" s="64"/>
      <c r="H3038" s="69"/>
      <c r="I3038" s="387"/>
      <c r="J3038" s="394"/>
      <c r="K3038" s="387"/>
      <c r="L3038" s="394"/>
      <c r="M3038" s="62"/>
      <c r="N3038" s="63"/>
      <c r="O3038" s="63"/>
      <c r="P3038" s="79" t="str">
        <f>IF(AND('331-CT'!$E$7=TH!H3038,OR(N3038="331",O3038="331")),"x","")</f>
        <v/>
      </c>
      <c r="Q3038" s="79" t="str">
        <f>IF(AND(B3038='111'!$L$11,OR($N3038=$Q$7,$O3038=$Q$7)),"x","")</f>
        <v/>
      </c>
      <c r="R3038" s="79" t="str">
        <f>IF(AND($N3038=$Q$7,$B3038&lt;'111'!$L$11),"x","")</f>
        <v/>
      </c>
      <c r="S3038" s="79" t="str">
        <f>IF(AND($O3038=$Q$7,$B3038&lt;'111'!$L$11),"x","")</f>
        <v/>
      </c>
      <c r="T3038" s="79" t="str">
        <f>IF(ISERROR(FIND('112'!$M$9,G3038,1)),"",IF((AND(FIND('112'!$M$9,G3038,1)&gt;=1,B3038='112'!$K$9,OR($N3038='112'!$I$6,$O3038='112'!$I$6))),"x",""))</f>
        <v/>
      </c>
      <c r="U3038" s="79" t="str">
        <f>IF(ISERROR(FIND('112'!$M$9,G3038,1)),"",IF((AND(LEFT(G3038,2)=LEFT('112'!$M$9,2),B3038&lt;'112'!$K$9,$N3038='112'!$I$6)),"x",""))</f>
        <v/>
      </c>
      <c r="V3038" s="79" t="str">
        <f>IF(ISERROR(FIND('112'!$M$9,G3038,1)),"",IF((AND(RIGHT(G3038,2)=RIGHT('112'!$M$9,2),B3038&lt;'112'!$K$9,$O3038='112'!$I$6)),"x",""))</f>
        <v/>
      </c>
      <c r="W3038" s="79" t="str">
        <f>IF(AND('341-CT'!$H$9=H3038,OR(LEFT(N3038,3)=$W$7,LEFT(O3038,3)=$W$7)),"x","")</f>
        <v/>
      </c>
      <c r="X3038" s="79" t="str">
        <f>IF(OR(TH!N3038=TH!$X$7,O3038=TH!$X$7),"x","")</f>
        <v/>
      </c>
      <c r="Y3038" s="79" t="str">
        <f>IF(AND(OR(N3038="131",O3038="131"),H3038='131-CT'!$H$9),"x","")</f>
        <v/>
      </c>
      <c r="Z3038" s="79"/>
      <c r="AA3038" s="79" t="str">
        <f>IF(AND(MONTH(E3038)='IN-NX'!$J$5,'IN-NX'!$D$7=D3038),"x","")</f>
        <v/>
      </c>
      <c r="AB3038" s="79" t="str">
        <f>IF(AND(OR(LEFT(TH!N3038,2)="15",LEFT(TH!O3038,2)="15"),LEFT(TH!O3038,3)&lt;&gt;"111",'152-CT'!$J$8=TH!F3038),"x","")</f>
        <v/>
      </c>
      <c r="AC3038" s="79" t="str">
        <f>IF(AND(OR(LEFT(TH!N3038,2)="15",LEFT(TH!O3038,2)="15"),TK!$E$7=TH!F3038),"x","")</f>
        <v/>
      </c>
      <c r="AD3038" s="79" t="str">
        <f>IF(AND(N3038="1521",MONTH(C3038)='BK-NL'!$M$11),"x","")</f>
        <v/>
      </c>
    </row>
    <row r="3039" spans="1:30" s="1101" customFormat="1" ht="16.5" customHeight="1">
      <c r="A3039" s="318" t="str">
        <f>IF(B3039&lt;&gt;"",IF(AND(B3039='IN-TC'!$S$4,OR(TH!N3039="1111",TH!O3039="1111")),TH!D3039,""),"")</f>
        <v/>
      </c>
      <c r="B3039" s="60" t="str">
        <f t="shared" si="361"/>
        <v/>
      </c>
      <c r="C3039" s="1257"/>
      <c r="D3039" s="61"/>
      <c r="E3039" s="61"/>
      <c r="F3039" s="69"/>
      <c r="G3039" s="64"/>
      <c r="H3039" s="69"/>
      <c r="I3039" s="385"/>
      <c r="J3039" s="392"/>
      <c r="K3039" s="385"/>
      <c r="L3039" s="392"/>
      <c r="M3039" s="62"/>
      <c r="N3039" s="63"/>
      <c r="O3039" s="63"/>
      <c r="P3039" s="79" t="str">
        <f>IF(AND('331-CT'!$E$7=TH!H3039,OR(N3039="331",O3039="331")),"x","")</f>
        <v/>
      </c>
      <c r="Q3039" s="79" t="str">
        <f>IF(AND(B3039='111'!$L$11,OR($N3039=$Q$7,$O3039=$Q$7)),"x","")</f>
        <v/>
      </c>
      <c r="R3039" s="79" t="str">
        <f>IF(AND($N3039=$Q$7,$B3039&lt;'111'!$L$11),"x","")</f>
        <v/>
      </c>
      <c r="S3039" s="79" t="str">
        <f>IF(AND($O3039=$Q$7,$B3039&lt;'111'!$L$11),"x","")</f>
        <v/>
      </c>
      <c r="T3039" s="79" t="str">
        <f>IF(ISERROR(FIND('112'!$M$9,G3039,1)),"",IF((AND(FIND('112'!$M$9,G3039,1)&gt;=1,B3039='112'!$K$9,OR($N3039='112'!$I$6,$O3039='112'!$I$6))),"x",""))</f>
        <v/>
      </c>
      <c r="U3039" s="79" t="str">
        <f>IF(ISERROR(FIND('112'!$M$9,G3039,1)),"",IF((AND(LEFT(G3039,2)=LEFT('112'!$M$9,2),B3039&lt;'112'!$K$9,$N3039='112'!$I$6)),"x",""))</f>
        <v/>
      </c>
      <c r="V3039" s="79" t="str">
        <f>IF(ISERROR(FIND('112'!$M$9,G3039,1)),"",IF((AND(RIGHT(G3039,2)=RIGHT('112'!$M$9,2),B3039&lt;'112'!$K$9,$O3039='112'!$I$6)),"x",""))</f>
        <v/>
      </c>
      <c r="W3039" s="79" t="str">
        <f>IF(AND('341-CT'!$H$9=H3039,OR(LEFT(N3039,3)=$W$7,LEFT(O3039,3)=$W$7)),"x","")</f>
        <v/>
      </c>
      <c r="X3039" s="79" t="str">
        <f>IF(OR(TH!N3039=TH!$X$7,O3039=TH!$X$7),"x","")</f>
        <v/>
      </c>
      <c r="Y3039" s="79" t="str">
        <f>IF(AND(OR(N3039="131",O3039="131"),H3039='131-CT'!$H$9),"x","")</f>
        <v/>
      </c>
      <c r="Z3039" s="79"/>
      <c r="AA3039" s="79" t="str">
        <f>IF(AND(MONTH(E3039)='IN-NX'!$J$5,'IN-NX'!$D$7=D3039),"x","")</f>
        <v/>
      </c>
      <c r="AB3039" s="79" t="str">
        <f>IF(AND(OR(LEFT(TH!N3039,2)="15",LEFT(TH!O3039,2)="15"),LEFT(TH!O3039,3)&lt;&gt;"111",'152-CT'!$J$8=TH!F3039),"x","")</f>
        <v/>
      </c>
      <c r="AC3039" s="79" t="str">
        <f>IF(AND(OR(LEFT(TH!N3039,2)="15",LEFT(TH!O3039,2)="15"),TK!$E$7=TH!F3039),"x","")</f>
        <v/>
      </c>
      <c r="AD3039" s="79" t="str">
        <f>IF(AND(N3039="1521",MONTH(C3039)='BK-NL'!$M$11),"x","")</f>
        <v/>
      </c>
    </row>
    <row r="3040" spans="1:30" s="1101" customFormat="1" ht="16.5" customHeight="1">
      <c r="A3040" s="318" t="str">
        <f>IF(B3040&lt;&gt;"",IF(AND(B3040='IN-TC'!$S$4,OR(TH!N3040="1111",TH!O3040="1111")),TH!D3040,""),"")</f>
        <v/>
      </c>
      <c r="B3040" s="60" t="str">
        <f t="shared" si="361"/>
        <v/>
      </c>
      <c r="C3040" s="1257"/>
      <c r="D3040" s="61"/>
      <c r="E3040" s="61"/>
      <c r="F3040" s="69"/>
      <c r="G3040" s="64"/>
      <c r="H3040" s="69"/>
      <c r="I3040" s="387"/>
      <c r="J3040" s="394"/>
      <c r="K3040" s="62"/>
      <c r="L3040" s="394"/>
      <c r="M3040" s="62"/>
      <c r="N3040" s="63"/>
      <c r="O3040" s="63"/>
      <c r="P3040" s="79" t="str">
        <f>IF(AND('331-CT'!$E$7=TH!H3040,OR(N3040="331",O3040="331")),"x","")</f>
        <v/>
      </c>
      <c r="Q3040" s="79" t="str">
        <f>IF(AND(B3040='111'!$L$11,OR($N3040=$Q$7,$O3040=$Q$7)),"x","")</f>
        <v/>
      </c>
      <c r="R3040" s="79" t="str">
        <f>IF(AND($N3040=$Q$7,$B3040&lt;'111'!$L$11),"x","")</f>
        <v/>
      </c>
      <c r="S3040" s="79" t="str">
        <f>IF(AND($O3040=$Q$7,$B3040&lt;'111'!$L$11),"x","")</f>
        <v/>
      </c>
      <c r="T3040" s="79" t="str">
        <f>IF(ISERROR(FIND('112'!$M$9,G3040,1)),"",IF((AND(FIND('112'!$M$9,G3040,1)&gt;=1,B3040='112'!$K$9,OR($N3040='112'!$I$6,$O3040='112'!$I$6))),"x",""))</f>
        <v/>
      </c>
      <c r="U3040" s="79" t="str">
        <f>IF(ISERROR(FIND('112'!$M$9,G3040,1)),"",IF((AND(LEFT(G3040,2)=LEFT('112'!$M$9,2),B3040&lt;'112'!$K$9,$N3040='112'!$I$6)),"x",""))</f>
        <v/>
      </c>
      <c r="V3040" s="79" t="str">
        <f>IF(ISERROR(FIND('112'!$M$9,G3040,1)),"",IF((AND(RIGHT(G3040,2)=RIGHT('112'!$M$9,2),B3040&lt;'112'!$K$9,$O3040='112'!$I$6)),"x",""))</f>
        <v/>
      </c>
      <c r="W3040" s="79" t="str">
        <f>IF(AND('341-CT'!$H$9=H3040,OR(LEFT(N3040,3)=$W$7,LEFT(O3040,3)=$W$7)),"x","")</f>
        <v/>
      </c>
      <c r="X3040" s="79" t="str">
        <f>IF(OR(TH!N3040=TH!$X$7,O3040=TH!$X$7),"x","")</f>
        <v/>
      </c>
      <c r="Y3040" s="79" t="str">
        <f>IF(AND(OR(N3040="131",O3040="131"),H3040='131-CT'!$H$9),"x","")</f>
        <v/>
      </c>
      <c r="Z3040" s="79"/>
      <c r="AA3040" s="79" t="str">
        <f>IF(AND(MONTH(E3040)='IN-NX'!$J$5,'IN-NX'!$D$7=D3040),"x","")</f>
        <v/>
      </c>
      <c r="AB3040" s="79" t="str">
        <f>IF(AND(OR(LEFT(TH!N3040,2)="15",LEFT(TH!O3040,2)="15"),LEFT(TH!O3040,3)&lt;&gt;"111",'152-CT'!$J$8=TH!F3040),"x","")</f>
        <v/>
      </c>
      <c r="AC3040" s="79" t="str">
        <f>IF(AND(OR(LEFT(TH!N3040,2)="15",LEFT(TH!O3040,2)="15"),TK!$E$7=TH!F3040),"x","")</f>
        <v/>
      </c>
      <c r="AD3040" s="79" t="str">
        <f>IF(AND(N3040="1521",MONTH(C3040)='BK-NL'!$M$11),"x","")</f>
        <v/>
      </c>
    </row>
    <row r="3041" spans="1:30" s="1101" customFormat="1" ht="16.5" customHeight="1">
      <c r="A3041" s="318" t="str">
        <f>IF(B3041&lt;&gt;"",IF(AND(B3041='IN-TC'!$S$4,OR(TH!N3041="1111",TH!O3041="1111")),TH!D3041,""),"")</f>
        <v/>
      </c>
      <c r="B3041" s="60" t="str">
        <f t="shared" si="361"/>
        <v/>
      </c>
      <c r="C3041" s="61"/>
      <c r="D3041" s="61"/>
      <c r="E3041" s="61"/>
      <c r="F3041" s="69"/>
      <c r="G3041" s="64"/>
      <c r="H3041" s="69"/>
      <c r="I3041" s="387"/>
      <c r="J3041" s="394"/>
      <c r="K3041" s="387"/>
      <c r="L3041" s="394"/>
      <c r="M3041" s="62"/>
      <c r="N3041" s="63"/>
      <c r="O3041" s="63"/>
      <c r="P3041" s="79" t="str">
        <f>IF(AND('331-CT'!$E$7=TH!H3041,OR(N3041="331",O3041="331")),"x","")</f>
        <v/>
      </c>
      <c r="Q3041" s="79" t="str">
        <f>IF(AND(B3041='111'!$L$11,OR($N3041=$Q$7,$O3041=$Q$7)),"x","")</f>
        <v/>
      </c>
      <c r="R3041" s="79" t="str">
        <f>IF(AND($N3041=$Q$7,$B3041&lt;'111'!$L$11),"x","")</f>
        <v/>
      </c>
      <c r="S3041" s="79" t="str">
        <f>IF(AND($O3041=$Q$7,$B3041&lt;'111'!$L$11),"x","")</f>
        <v/>
      </c>
      <c r="T3041" s="79" t="str">
        <f>IF(ISERROR(FIND('112'!$M$9,G3041,1)),"",IF((AND(FIND('112'!$M$9,G3041,1)&gt;=1,B3041='112'!$K$9,OR($N3041='112'!$I$6,$O3041='112'!$I$6))),"x",""))</f>
        <v/>
      </c>
      <c r="U3041" s="79" t="str">
        <f>IF(ISERROR(FIND('112'!$M$9,G3041,1)),"",IF((AND(LEFT(G3041,2)=LEFT('112'!$M$9,2),B3041&lt;'112'!$K$9,$N3041='112'!$I$6)),"x",""))</f>
        <v/>
      </c>
      <c r="V3041" s="79" t="str">
        <f>IF(ISERROR(FIND('112'!$M$9,G3041,1)),"",IF((AND(RIGHT(G3041,2)=RIGHT('112'!$M$9,2),B3041&lt;'112'!$K$9,$O3041='112'!$I$6)),"x",""))</f>
        <v/>
      </c>
      <c r="W3041" s="79" t="str">
        <f>IF(AND('341-CT'!$H$9=H3041,OR(LEFT(N3041,3)=$W$7,LEFT(O3041,3)=$W$7)),"x","")</f>
        <v/>
      </c>
      <c r="X3041" s="79" t="str">
        <f>IF(OR(TH!N3041=TH!$X$7,O3041=TH!$X$7),"x","")</f>
        <v/>
      </c>
      <c r="Y3041" s="79" t="str">
        <f>IF(AND(OR(N3041="131",O3041="131"),H3041='131-CT'!$H$9),"x","")</f>
        <v/>
      </c>
      <c r="Z3041" s="79"/>
      <c r="AA3041" s="79" t="str">
        <f>IF(AND(MONTH(E3041)='IN-NX'!$J$5,'IN-NX'!$D$7=D3041),"x","")</f>
        <v/>
      </c>
      <c r="AB3041" s="79" t="str">
        <f>IF(AND(OR(LEFT(TH!N3041,2)="15",LEFT(TH!O3041,2)="15"),LEFT(TH!O3041,3)&lt;&gt;"111",'152-CT'!$J$8=TH!F3041),"x","")</f>
        <v/>
      </c>
      <c r="AC3041" s="79" t="str">
        <f>IF(AND(OR(LEFT(TH!N3041,2)="15",LEFT(TH!O3041,2)="15"),TK!$E$7=TH!F3041),"x","")</f>
        <v/>
      </c>
      <c r="AD3041" s="79" t="str">
        <f>IF(AND(N3041="1521",MONTH(C3041)='BK-NL'!$M$11),"x","")</f>
        <v/>
      </c>
    </row>
    <row r="3042" spans="1:30" s="1101" customFormat="1" ht="16.5" customHeight="1">
      <c r="A3042" s="318" t="str">
        <f>IF(B3042&lt;&gt;"",IF(AND(B3042='IN-TC'!$S$4,OR(TH!N3042="1111",TH!O3042="1111")),TH!D3042,""),"")</f>
        <v/>
      </c>
      <c r="B3042" s="60" t="str">
        <f t="shared" si="361"/>
        <v/>
      </c>
      <c r="C3042" s="61"/>
      <c r="D3042" s="61"/>
      <c r="E3042" s="61"/>
      <c r="F3042" s="69"/>
      <c r="G3042" s="64"/>
      <c r="H3042" s="303"/>
      <c r="I3042" s="385"/>
      <c r="J3042" s="392"/>
      <c r="K3042" s="385"/>
      <c r="L3042" s="392"/>
      <c r="M3042" s="62"/>
      <c r="N3042" s="63"/>
      <c r="O3042" s="63"/>
      <c r="P3042" s="79" t="str">
        <f>IF(AND('331-CT'!$E$7=TH!H3042,OR(N3042="331",O3042="331")),"x","")</f>
        <v/>
      </c>
      <c r="Q3042" s="79" t="str">
        <f>IF(AND(B3042='111'!$L$11,OR($N3042=$Q$7,$O3042=$Q$7)),"x","")</f>
        <v/>
      </c>
      <c r="R3042" s="79" t="str">
        <f>IF(AND($N3042=$Q$7,$B3042&lt;'111'!$L$11),"x","")</f>
        <v/>
      </c>
      <c r="S3042" s="79" t="str">
        <f>IF(AND($O3042=$Q$7,$B3042&lt;'111'!$L$11),"x","")</f>
        <v/>
      </c>
      <c r="T3042" s="79" t="str">
        <f>IF(ISERROR(FIND('112'!$M$9,G3042,1)),"",IF((AND(FIND('112'!$M$9,G3042,1)&gt;=1,B3042='112'!$K$9,OR($N3042='112'!$I$6,$O3042='112'!$I$6))),"x",""))</f>
        <v/>
      </c>
      <c r="U3042" s="79" t="str">
        <f>IF(ISERROR(FIND('112'!$M$9,G3042,1)),"",IF((AND(LEFT(G3042,2)=LEFT('112'!$M$9,2),B3042&lt;'112'!$K$9,$N3042='112'!$I$6)),"x",""))</f>
        <v/>
      </c>
      <c r="V3042" s="79" t="str">
        <f>IF(ISERROR(FIND('112'!$M$9,G3042,1)),"",IF((AND(RIGHT(G3042,2)=RIGHT('112'!$M$9,2),B3042&lt;'112'!$K$9,$O3042='112'!$I$6)),"x",""))</f>
        <v/>
      </c>
      <c r="W3042" s="79" t="str">
        <f>IF(AND('341-CT'!$H$9=H3042,OR(LEFT(N3042,3)=$W$7,LEFT(O3042,3)=$W$7)),"x","")</f>
        <v/>
      </c>
      <c r="X3042" s="79" t="str">
        <f>IF(OR(TH!N3042=TH!$X$7,O3042=TH!$X$7),"x","")</f>
        <v/>
      </c>
      <c r="Y3042" s="79" t="str">
        <f>IF(AND(OR(N3042="131",O3042="131"),H3042='131-CT'!$H$9),"x","")</f>
        <v/>
      </c>
      <c r="Z3042" s="79"/>
      <c r="AA3042" s="79" t="str">
        <f>IF(AND(MONTH(E3042)='IN-NX'!$J$5,'IN-NX'!$D$7=D3042),"x","")</f>
        <v/>
      </c>
      <c r="AB3042" s="79" t="str">
        <f>IF(AND(OR(LEFT(TH!N3042,2)="15",LEFT(TH!O3042,2)="15"),LEFT(TH!O3042,3)&lt;&gt;"111",'152-CT'!$J$8=TH!F3042),"x","")</f>
        <v/>
      </c>
      <c r="AC3042" s="79" t="str">
        <f>IF(AND(OR(LEFT(TH!N3042,2)="15",LEFT(TH!O3042,2)="15"),TK!$E$7=TH!F3042),"x","")</f>
        <v/>
      </c>
      <c r="AD3042" s="79" t="str">
        <f>IF(AND(N3042="1521",MONTH(C3042)='BK-NL'!$M$11),"x","")</f>
        <v/>
      </c>
    </row>
    <row r="3043" spans="1:30" s="1101" customFormat="1" ht="16.5" customHeight="1">
      <c r="A3043" s="318" t="str">
        <f>IF(B3043&lt;&gt;"",IF(AND(B3043='IN-TC'!$S$4,OR(TH!N3043="1111",TH!O3043="1111")),TH!D3043,""),"")</f>
        <v/>
      </c>
      <c r="B3043" s="60" t="str">
        <f t="shared" si="361"/>
        <v/>
      </c>
      <c r="C3043" s="61"/>
      <c r="D3043" s="61"/>
      <c r="E3043" s="61"/>
      <c r="F3043" s="69"/>
      <c r="G3043" s="64"/>
      <c r="H3043" s="69"/>
      <c r="I3043" s="387"/>
      <c r="J3043" s="394"/>
      <c r="K3043" s="62"/>
      <c r="L3043" s="394"/>
      <c r="M3043" s="62"/>
      <c r="N3043" s="63"/>
      <c r="O3043" s="63"/>
      <c r="P3043" s="79" t="str">
        <f>IF(AND('331-CT'!$E$7=TH!H3043,OR(N3043="331",O3043="331")),"x","")</f>
        <v/>
      </c>
      <c r="Q3043" s="79" t="str">
        <f>IF(AND(B3043='111'!$L$11,OR($N3043=$Q$7,$O3043=$Q$7)),"x","")</f>
        <v/>
      </c>
      <c r="R3043" s="79" t="str">
        <f>IF(AND($N3043=$Q$7,$B3043&lt;'111'!$L$11),"x","")</f>
        <v/>
      </c>
      <c r="S3043" s="79" t="str">
        <f>IF(AND($O3043=$Q$7,$B3043&lt;'111'!$L$11),"x","")</f>
        <v/>
      </c>
      <c r="T3043" s="79" t="str">
        <f>IF(ISERROR(FIND('112'!$M$9,G3043,1)),"",IF((AND(FIND('112'!$M$9,G3043,1)&gt;=1,B3043='112'!$K$9,OR($N3043='112'!$I$6,$O3043='112'!$I$6))),"x",""))</f>
        <v/>
      </c>
      <c r="U3043" s="79" t="str">
        <f>IF(ISERROR(FIND('112'!$M$9,G3043,1)),"",IF((AND(LEFT(G3043,2)=LEFT('112'!$M$9,2),B3043&lt;'112'!$K$9,$N3043='112'!$I$6)),"x",""))</f>
        <v/>
      </c>
      <c r="V3043" s="79" t="str">
        <f>IF(ISERROR(FIND('112'!$M$9,G3043,1)),"",IF((AND(RIGHT(G3043,2)=RIGHT('112'!$M$9,2),B3043&lt;'112'!$K$9,$O3043='112'!$I$6)),"x",""))</f>
        <v/>
      </c>
      <c r="W3043" s="79" t="str">
        <f>IF(AND('341-CT'!$H$9=H3043,OR(LEFT(N3043,3)=$W$7,LEFT(O3043,3)=$W$7)),"x","")</f>
        <v/>
      </c>
      <c r="X3043" s="79" t="str">
        <f>IF(OR(TH!N3043=TH!$X$7,O3043=TH!$X$7),"x","")</f>
        <v/>
      </c>
      <c r="Y3043" s="79" t="str">
        <f>IF(AND(OR(N3043="131",O3043="131"),H3043='131-CT'!$H$9),"x","")</f>
        <v/>
      </c>
      <c r="Z3043" s="79"/>
      <c r="AA3043" s="79" t="str">
        <f>IF(AND(MONTH(E3043)='IN-NX'!$J$5,'IN-NX'!$D$7=D3043),"x","")</f>
        <v/>
      </c>
      <c r="AB3043" s="79" t="str">
        <f>IF(AND(OR(LEFT(TH!N3043,2)="15",LEFT(TH!O3043,2)="15"),LEFT(TH!O3043,3)&lt;&gt;"111",'152-CT'!$J$8=TH!F3043),"x","")</f>
        <v/>
      </c>
      <c r="AC3043" s="79" t="str">
        <f>IF(AND(OR(LEFT(TH!N3043,2)="15",LEFT(TH!O3043,2)="15"),TK!$E$7=TH!F3043),"x","")</f>
        <v/>
      </c>
      <c r="AD3043" s="79" t="str">
        <f>IF(AND(N3043="1521",MONTH(C3043)='BK-NL'!$M$11),"x","")</f>
        <v/>
      </c>
    </row>
    <row r="3044" spans="1:30" s="1101" customFormat="1" ht="16.5" customHeight="1">
      <c r="A3044" s="318" t="str">
        <f>IF(B3044&lt;&gt;"",IF(AND(B3044='IN-TC'!$S$4,OR(TH!N3044="1111",TH!O3044="1111")),TH!D3044,""),"")</f>
        <v/>
      </c>
      <c r="B3044" s="60" t="str">
        <f t="shared" si="361"/>
        <v/>
      </c>
      <c r="C3044" s="61"/>
      <c r="D3044" s="61"/>
      <c r="E3044" s="61"/>
      <c r="F3044" s="69"/>
      <c r="G3044" s="64"/>
      <c r="H3044" s="69"/>
      <c r="I3044" s="387"/>
      <c r="J3044" s="394"/>
      <c r="K3044" s="387"/>
      <c r="L3044" s="394"/>
      <c r="M3044" s="62"/>
      <c r="N3044" s="63"/>
      <c r="O3044" s="63"/>
      <c r="P3044" s="79" t="str">
        <f>IF(AND('331-CT'!$E$7=TH!H3044,OR(N3044="331",O3044="331")),"x","")</f>
        <v/>
      </c>
      <c r="Q3044" s="79" t="str">
        <f>IF(AND(B3044='111'!$L$11,OR($N3044=$Q$7,$O3044=$Q$7)),"x","")</f>
        <v/>
      </c>
      <c r="R3044" s="79" t="str">
        <f>IF(AND($N3044=$Q$7,$B3044&lt;'111'!$L$11),"x","")</f>
        <v/>
      </c>
      <c r="S3044" s="79" t="str">
        <f>IF(AND($O3044=$Q$7,$B3044&lt;'111'!$L$11),"x","")</f>
        <v/>
      </c>
      <c r="T3044" s="79" t="str">
        <f>IF(ISERROR(FIND('112'!$M$9,G3044,1)),"",IF((AND(FIND('112'!$M$9,G3044,1)&gt;=1,B3044='112'!$K$9,OR($N3044='112'!$I$6,$O3044='112'!$I$6))),"x",""))</f>
        <v/>
      </c>
      <c r="U3044" s="79" t="str">
        <f>IF(ISERROR(FIND('112'!$M$9,G3044,1)),"",IF((AND(LEFT(G3044,2)=LEFT('112'!$M$9,2),B3044&lt;'112'!$K$9,$N3044='112'!$I$6)),"x",""))</f>
        <v/>
      </c>
      <c r="V3044" s="79" t="str">
        <f>IF(ISERROR(FIND('112'!$M$9,G3044,1)),"",IF((AND(RIGHT(G3044,2)=RIGHT('112'!$M$9,2),B3044&lt;'112'!$K$9,$O3044='112'!$I$6)),"x",""))</f>
        <v/>
      </c>
      <c r="W3044" s="79" t="str">
        <f>IF(AND('341-CT'!$H$9=H3044,OR(LEFT(N3044,3)=$W$7,LEFT(O3044,3)=$W$7)),"x","")</f>
        <v/>
      </c>
      <c r="X3044" s="79" t="str">
        <f>IF(OR(TH!N3044=TH!$X$7,O3044=TH!$X$7),"x","")</f>
        <v/>
      </c>
      <c r="Y3044" s="79" t="str">
        <f>IF(AND(OR(N3044="131",O3044="131"),H3044='131-CT'!$H$9),"x","")</f>
        <v/>
      </c>
      <c r="Z3044" s="79"/>
      <c r="AA3044" s="79" t="str">
        <f>IF(AND(MONTH(E3044)='IN-NX'!$J$5,'IN-NX'!$D$7=D3044),"x","")</f>
        <v/>
      </c>
      <c r="AB3044" s="79" t="str">
        <f>IF(AND(OR(LEFT(TH!N3044,2)="15",LEFT(TH!O3044,2)="15"),LEFT(TH!O3044,3)&lt;&gt;"111",'152-CT'!$J$8=TH!F3044),"x","")</f>
        <v/>
      </c>
      <c r="AC3044" s="79" t="str">
        <f>IF(AND(OR(LEFT(TH!N3044,2)="15",LEFT(TH!O3044,2)="15"),TK!$E$7=TH!F3044),"x","")</f>
        <v/>
      </c>
      <c r="AD3044" s="79" t="str">
        <f>IF(AND(N3044="1521",MONTH(C3044)='BK-NL'!$M$11),"x","")</f>
        <v/>
      </c>
    </row>
    <row r="3045" spans="1:30" s="1101" customFormat="1" ht="16.5" customHeight="1">
      <c r="A3045" s="318" t="str">
        <f>IF(B3045&lt;&gt;"",IF(AND(B3045='IN-TC'!$S$4,OR(TH!N3045="1111",TH!O3045="1111")),TH!D3045,""),"")</f>
        <v/>
      </c>
      <c r="B3045" s="60" t="str">
        <f t="shared" si="361"/>
        <v/>
      </c>
      <c r="C3045" s="61"/>
      <c r="D3045" s="61"/>
      <c r="E3045" s="61"/>
      <c r="F3045" s="69"/>
      <c r="G3045" s="64"/>
      <c r="H3045" s="321"/>
      <c r="I3045" s="385"/>
      <c r="J3045" s="395"/>
      <c r="K3045" s="385"/>
      <c r="L3045" s="392"/>
      <c r="M3045" s="62"/>
      <c r="N3045" s="63"/>
      <c r="O3045" s="63"/>
      <c r="P3045" s="79" t="str">
        <f>IF(AND('331-CT'!$E$7=TH!H3045,OR(N3045="331",O3045="331")),"x","")</f>
        <v/>
      </c>
      <c r="Q3045" s="79" t="str">
        <f>IF(AND(B3045='111'!$L$11,OR($N3045=$Q$7,$O3045=$Q$7)),"x","")</f>
        <v/>
      </c>
      <c r="R3045" s="79" t="str">
        <f>IF(AND($N3045=$Q$7,$B3045&lt;'111'!$L$11),"x","")</f>
        <v/>
      </c>
      <c r="S3045" s="79" t="str">
        <f>IF(AND($O3045=$Q$7,$B3045&lt;'111'!$L$11),"x","")</f>
        <v/>
      </c>
      <c r="T3045" s="79" t="str">
        <f>IF(ISERROR(FIND('112'!$M$9,G3045,1)),"",IF((AND(FIND('112'!$M$9,G3045,1)&gt;=1,B3045='112'!$K$9,OR($N3045='112'!$I$6,$O3045='112'!$I$6))),"x",""))</f>
        <v/>
      </c>
      <c r="U3045" s="79" t="str">
        <f>IF(ISERROR(FIND('112'!$M$9,G3045,1)),"",IF((AND(LEFT(G3045,2)=LEFT('112'!$M$9,2),B3045&lt;'112'!$K$9,$N3045='112'!$I$6)),"x",""))</f>
        <v/>
      </c>
      <c r="V3045" s="79" t="str">
        <f>IF(ISERROR(FIND('112'!$M$9,G3045,1)),"",IF((AND(RIGHT(G3045,2)=RIGHT('112'!$M$9,2),B3045&lt;'112'!$K$9,$O3045='112'!$I$6)),"x",""))</f>
        <v/>
      </c>
      <c r="W3045" s="79" t="str">
        <f>IF(AND('341-CT'!$H$9=H3045,OR(LEFT(N3045,3)=$W$7,LEFT(O3045,3)=$W$7)),"x","")</f>
        <v/>
      </c>
      <c r="X3045" s="79" t="str">
        <f>IF(OR(TH!N3045=TH!$X$7,O3045=TH!$X$7),"x","")</f>
        <v/>
      </c>
      <c r="Y3045" s="79" t="str">
        <f>IF(AND(OR(N3045="131",O3045="131"),H3045='131-CT'!$H$9),"x","")</f>
        <v/>
      </c>
      <c r="Z3045" s="79"/>
      <c r="AA3045" s="79" t="str">
        <f>IF(AND(MONTH(E3045)='IN-NX'!$J$5,'IN-NX'!$D$7=D3045),"x","")</f>
        <v/>
      </c>
      <c r="AB3045" s="79" t="str">
        <f>IF(AND(OR(LEFT(TH!N3045,2)="15",LEFT(TH!O3045,2)="15"),LEFT(TH!O3045,3)&lt;&gt;"111",'152-CT'!$J$8=TH!F3045),"x","")</f>
        <v/>
      </c>
      <c r="AC3045" s="79" t="str">
        <f>IF(AND(OR(LEFT(TH!N3045,2)="15",LEFT(TH!O3045,2)="15"),TK!$E$7=TH!F3045),"x","")</f>
        <v/>
      </c>
      <c r="AD3045" s="79" t="str">
        <f>IF(AND(N3045="1521",MONTH(C3045)='BK-NL'!$M$11),"x","")</f>
        <v/>
      </c>
    </row>
    <row r="3046" spans="1:30" s="1101" customFormat="1" ht="16.5" customHeight="1">
      <c r="A3046" s="318" t="str">
        <f>IF(B3046&lt;&gt;"",IF(AND(B3046='IN-TC'!$S$4,OR(TH!N3046="1111",TH!O3046="1111")),TH!D3046,""),"")</f>
        <v/>
      </c>
      <c r="B3046" s="60" t="str">
        <f t="shared" si="361"/>
        <v/>
      </c>
      <c r="C3046" s="61"/>
      <c r="D3046" s="61"/>
      <c r="E3046" s="61"/>
      <c r="F3046" s="69"/>
      <c r="G3046" s="64"/>
      <c r="H3046" s="69"/>
      <c r="I3046" s="385"/>
      <c r="J3046" s="395"/>
      <c r="K3046" s="385"/>
      <c r="L3046" s="392"/>
      <c r="M3046" s="62"/>
      <c r="N3046" s="63"/>
      <c r="O3046" s="63"/>
      <c r="P3046" s="79" t="str">
        <f>IF(AND('331-CT'!$E$7=TH!H3046,OR(N3046="331",O3046="331")),"x","")</f>
        <v/>
      </c>
      <c r="Q3046" s="79" t="str">
        <f>IF(AND(B3046='111'!$L$11,OR($N3046=$Q$7,$O3046=$Q$7)),"x","")</f>
        <v/>
      </c>
      <c r="R3046" s="79" t="str">
        <f>IF(AND($N3046=$Q$7,$B3046&lt;'111'!$L$11),"x","")</f>
        <v/>
      </c>
      <c r="S3046" s="79" t="str">
        <f>IF(AND($O3046=$Q$7,$B3046&lt;'111'!$L$11),"x","")</f>
        <v/>
      </c>
      <c r="T3046" s="79" t="str">
        <f>IF(ISERROR(FIND('112'!$M$9,G3046,1)),"",IF((AND(FIND('112'!$M$9,G3046,1)&gt;=1,B3046='112'!$K$9,OR($N3046='112'!$I$6,$O3046='112'!$I$6))),"x",""))</f>
        <v/>
      </c>
      <c r="U3046" s="79" t="str">
        <f>IF(ISERROR(FIND('112'!$M$9,G3046,1)),"",IF((AND(LEFT(G3046,2)=LEFT('112'!$M$9,2),B3046&lt;'112'!$K$9,$N3046='112'!$I$6)),"x",""))</f>
        <v/>
      </c>
      <c r="V3046" s="79" t="str">
        <f>IF(ISERROR(FIND('112'!$M$9,G3046,1)),"",IF((AND(RIGHT(G3046,2)=RIGHT('112'!$M$9,2),B3046&lt;'112'!$K$9,$O3046='112'!$I$6)),"x",""))</f>
        <v/>
      </c>
      <c r="W3046" s="79" t="str">
        <f>IF(AND('341-CT'!$H$9=H3046,OR(LEFT(N3046,3)=$W$7,LEFT(O3046,3)=$W$7)),"x","")</f>
        <v/>
      </c>
      <c r="X3046" s="79" t="str">
        <f>IF(OR(TH!N3046=TH!$X$7,O3046=TH!$X$7),"x","")</f>
        <v/>
      </c>
      <c r="Y3046" s="79" t="str">
        <f>IF(AND(OR(N3046="131",O3046="131"),H3046='131-CT'!$H$9),"x","")</f>
        <v/>
      </c>
      <c r="Z3046" s="79"/>
      <c r="AA3046" s="79" t="str">
        <f>IF(AND(MONTH(E3046)='IN-NX'!$J$5,'IN-NX'!$D$7=D3046),"x","")</f>
        <v/>
      </c>
      <c r="AB3046" s="79" t="str">
        <f>IF(AND(OR(LEFT(TH!N3046,2)="15",LEFT(TH!O3046,2)="15"),LEFT(TH!O3046,3)&lt;&gt;"111",'152-CT'!$J$8=TH!F3046),"x","")</f>
        <v/>
      </c>
      <c r="AC3046" s="79" t="str">
        <f>IF(AND(OR(LEFT(TH!N3046,2)="15",LEFT(TH!O3046,2)="15"),TK!$E$7=TH!F3046),"x","")</f>
        <v/>
      </c>
      <c r="AD3046" s="79" t="str">
        <f>IF(AND(N3046="1521",MONTH(C3046)='BK-NL'!$M$11),"x","")</f>
        <v/>
      </c>
    </row>
    <row r="3047" spans="1:30" s="1101" customFormat="1" ht="16.5" customHeight="1">
      <c r="A3047" s="318" t="str">
        <f>IF(B3047&lt;&gt;"",IF(AND(B3047='IN-TC'!$S$4,OR(TH!N3047="1111",TH!O3047="1111")),TH!D3047,""),"")</f>
        <v/>
      </c>
      <c r="B3047" s="60" t="str">
        <f t="shared" si="361"/>
        <v/>
      </c>
      <c r="C3047" s="61"/>
      <c r="D3047" s="61"/>
      <c r="E3047" s="61"/>
      <c r="F3047" s="69"/>
      <c r="G3047" s="64"/>
      <c r="H3047" s="69"/>
      <c r="I3047" s="385"/>
      <c r="J3047" s="392"/>
      <c r="K3047" s="385"/>
      <c r="L3047" s="392"/>
      <c r="M3047" s="62"/>
      <c r="N3047" s="63"/>
      <c r="O3047" s="63"/>
      <c r="P3047" s="79" t="str">
        <f>IF(AND('331-CT'!$E$7=TH!H3047,OR(N3047="331",O3047="331")),"x","")</f>
        <v/>
      </c>
      <c r="Q3047" s="79" t="str">
        <f>IF(AND(B3047='111'!$L$11,OR($N3047=$Q$7,$O3047=$Q$7)),"x","")</f>
        <v/>
      </c>
      <c r="R3047" s="79" t="str">
        <f>IF(AND($N3047=$Q$7,$B3047&lt;'111'!$L$11),"x","")</f>
        <v/>
      </c>
      <c r="S3047" s="79" t="str">
        <f>IF(AND($O3047=$Q$7,$B3047&lt;'111'!$L$11),"x","")</f>
        <v/>
      </c>
      <c r="T3047" s="79" t="str">
        <f>IF(ISERROR(FIND('112'!$M$9,G3047,1)),"",IF((AND(FIND('112'!$M$9,G3047,1)&gt;=1,B3047='112'!$K$9,OR($N3047='112'!$I$6,$O3047='112'!$I$6))),"x",""))</f>
        <v/>
      </c>
      <c r="U3047" s="79" t="str">
        <f>IF(ISERROR(FIND('112'!$M$9,G3047,1)),"",IF((AND(LEFT(G3047,2)=LEFT('112'!$M$9,2),B3047&lt;'112'!$K$9,$N3047='112'!$I$6)),"x",""))</f>
        <v/>
      </c>
      <c r="V3047" s="79" t="str">
        <f>IF(ISERROR(FIND('112'!$M$9,G3047,1)),"",IF((AND(RIGHT(G3047,2)=RIGHT('112'!$M$9,2),B3047&lt;'112'!$K$9,$O3047='112'!$I$6)),"x",""))</f>
        <v/>
      </c>
      <c r="W3047" s="79" t="str">
        <f>IF(AND('341-CT'!$H$9=H3047,OR(LEFT(N3047,3)=$W$7,LEFT(O3047,3)=$W$7)),"x","")</f>
        <v/>
      </c>
      <c r="X3047" s="79" t="str">
        <f>IF(OR(TH!N3047=TH!$X$7,O3047=TH!$X$7),"x","")</f>
        <v/>
      </c>
      <c r="Y3047" s="79" t="str">
        <f>IF(AND(OR(N3047="131",O3047="131"),H3047='131-CT'!$H$9),"x","")</f>
        <v/>
      </c>
      <c r="Z3047" s="79"/>
      <c r="AA3047" s="79" t="str">
        <f>IF(AND(MONTH(E3047)='IN-NX'!$J$5,'IN-NX'!$D$7=D3047),"x","")</f>
        <v/>
      </c>
      <c r="AB3047" s="79" t="str">
        <f>IF(AND(OR(LEFT(TH!N3047,2)="15",LEFT(TH!O3047,2)="15"),LEFT(TH!O3047,3)&lt;&gt;"111",'152-CT'!$J$8=TH!F3047),"x","")</f>
        <v/>
      </c>
      <c r="AC3047" s="79" t="str">
        <f>IF(AND(OR(LEFT(TH!N3047,2)="15",LEFT(TH!O3047,2)="15"),TK!$E$7=TH!F3047),"x","")</f>
        <v/>
      </c>
      <c r="AD3047" s="79" t="str">
        <f>IF(AND(N3047="1521",MONTH(C3047)='BK-NL'!$M$11),"x","")</f>
        <v/>
      </c>
    </row>
    <row r="3048" spans="1:30" s="1101" customFormat="1" ht="16.5" customHeight="1">
      <c r="A3048" s="318" t="str">
        <f>IF(B3048&lt;&gt;"",IF(AND(B3048='IN-TC'!$S$4,OR(TH!N3048="1111",TH!O3048="1111")),TH!D3048,""),"")</f>
        <v/>
      </c>
      <c r="B3048" s="60" t="str">
        <f t="shared" si="361"/>
        <v/>
      </c>
      <c r="C3048" s="61"/>
      <c r="D3048" s="61"/>
      <c r="E3048" s="61"/>
      <c r="F3048" s="69"/>
      <c r="G3048" s="64"/>
      <c r="H3048" s="69"/>
      <c r="I3048" s="385"/>
      <c r="J3048" s="392"/>
      <c r="K3048" s="385"/>
      <c r="L3048" s="392"/>
      <c r="M3048" s="62"/>
      <c r="N3048" s="63"/>
      <c r="O3048" s="63"/>
      <c r="P3048" s="79" t="str">
        <f>IF(AND('331-CT'!$E$7=TH!H3048,OR(N3048="331",O3048="331")),"x","")</f>
        <v/>
      </c>
      <c r="Q3048" s="79" t="str">
        <f>IF(AND(B3048='111'!$L$11,OR($N3048=$Q$7,$O3048=$Q$7)),"x","")</f>
        <v/>
      </c>
      <c r="R3048" s="79" t="str">
        <f>IF(AND($N3048=$Q$7,$B3048&lt;'111'!$L$11),"x","")</f>
        <v/>
      </c>
      <c r="S3048" s="79" t="str">
        <f>IF(AND($O3048=$Q$7,$B3048&lt;'111'!$L$11),"x","")</f>
        <v/>
      </c>
      <c r="T3048" s="79" t="str">
        <f>IF(ISERROR(FIND('112'!$M$9,G3048,1)),"",IF((AND(FIND('112'!$M$9,G3048,1)&gt;=1,B3048='112'!$K$9,OR($N3048='112'!$I$6,$O3048='112'!$I$6))),"x",""))</f>
        <v/>
      </c>
      <c r="U3048" s="79" t="str">
        <f>IF(ISERROR(FIND('112'!$M$9,G3048,1)),"",IF((AND(LEFT(G3048,2)=LEFT('112'!$M$9,2),B3048&lt;'112'!$K$9,$N3048='112'!$I$6)),"x",""))</f>
        <v/>
      </c>
      <c r="V3048" s="79" t="str">
        <f>IF(ISERROR(FIND('112'!$M$9,G3048,1)),"",IF((AND(RIGHT(G3048,2)=RIGHT('112'!$M$9,2),B3048&lt;'112'!$K$9,$O3048='112'!$I$6)),"x",""))</f>
        <v/>
      </c>
      <c r="W3048" s="79" t="str">
        <f>IF(AND('341-CT'!$H$9=H3048,OR(LEFT(N3048,3)=$W$7,LEFT(O3048,3)=$W$7)),"x","")</f>
        <v/>
      </c>
      <c r="X3048" s="79" t="str">
        <f>IF(OR(TH!N3048=TH!$X$7,O3048=TH!$X$7),"x","")</f>
        <v/>
      </c>
      <c r="Y3048" s="79" t="str">
        <f>IF(AND(OR(N3048="131",O3048="131"),H3048='131-CT'!$H$9),"x","")</f>
        <v/>
      </c>
      <c r="Z3048" s="79"/>
      <c r="AA3048" s="79" t="str">
        <f>IF(AND(MONTH(E3048)='IN-NX'!$J$5,'IN-NX'!$D$7=D3048),"x","")</f>
        <v/>
      </c>
      <c r="AB3048" s="79" t="str">
        <f>IF(AND(OR(LEFT(TH!N3048,2)="15",LEFT(TH!O3048,2)="15"),LEFT(TH!O3048,3)&lt;&gt;"111",'152-CT'!$J$8=TH!F3048),"x","")</f>
        <v/>
      </c>
      <c r="AC3048" s="79" t="str">
        <f>IF(AND(OR(LEFT(TH!N3048,2)="15",LEFT(TH!O3048,2)="15"),TK!$E$7=TH!F3048),"x","")</f>
        <v/>
      </c>
      <c r="AD3048" s="79" t="str">
        <f>IF(AND(N3048="1521",MONTH(C3048)='BK-NL'!$M$11),"x","")</f>
        <v/>
      </c>
    </row>
    <row r="3049" spans="1:30" s="1101" customFormat="1" ht="16.5" customHeight="1">
      <c r="A3049" s="318" t="str">
        <f>IF(B3049&lt;&gt;"",IF(AND(B3049='IN-TC'!$S$4,OR(TH!N3049="1111",TH!O3049="1111")),TH!D3049,""),"")</f>
        <v/>
      </c>
      <c r="B3049" s="60" t="str">
        <f t="shared" si="361"/>
        <v/>
      </c>
      <c r="C3049" s="61"/>
      <c r="D3049" s="61"/>
      <c r="E3049" s="61"/>
      <c r="F3049" s="69"/>
      <c r="G3049" s="64"/>
      <c r="H3049" s="69"/>
      <c r="I3049" s="387"/>
      <c r="J3049" s="394"/>
      <c r="K3049" s="62"/>
      <c r="L3049" s="394"/>
      <c r="M3049" s="62"/>
      <c r="N3049" s="63"/>
      <c r="O3049" s="63"/>
      <c r="P3049" s="79" t="str">
        <f>IF(AND('331-CT'!$E$7=TH!H3049,OR(N3049="331",O3049="331")),"x","")</f>
        <v/>
      </c>
      <c r="Q3049" s="79" t="str">
        <f>IF(AND(B3049='111'!$L$11,OR($N3049=$Q$7,$O3049=$Q$7)),"x","")</f>
        <v/>
      </c>
      <c r="R3049" s="79" t="str">
        <f>IF(AND($N3049=$Q$7,$B3049&lt;'111'!$L$11),"x","")</f>
        <v/>
      </c>
      <c r="S3049" s="79" t="str">
        <f>IF(AND($O3049=$Q$7,$B3049&lt;'111'!$L$11),"x","")</f>
        <v/>
      </c>
      <c r="T3049" s="79" t="str">
        <f>IF(ISERROR(FIND('112'!$M$9,G3049,1)),"",IF((AND(FIND('112'!$M$9,G3049,1)&gt;=1,B3049='112'!$K$9,OR($N3049='112'!$I$6,$O3049='112'!$I$6))),"x",""))</f>
        <v/>
      </c>
      <c r="U3049" s="79" t="str">
        <f>IF(ISERROR(FIND('112'!$M$9,G3049,1)),"",IF((AND(LEFT(G3049,2)=LEFT('112'!$M$9,2),B3049&lt;'112'!$K$9,$N3049='112'!$I$6)),"x",""))</f>
        <v/>
      </c>
      <c r="V3049" s="79" t="str">
        <f>IF(ISERROR(FIND('112'!$M$9,G3049,1)),"",IF((AND(RIGHT(G3049,2)=RIGHT('112'!$M$9,2),B3049&lt;'112'!$K$9,$O3049='112'!$I$6)),"x",""))</f>
        <v/>
      </c>
      <c r="W3049" s="79" t="str">
        <f>IF(AND('341-CT'!$H$9=H3049,OR(LEFT(N3049,3)=$W$7,LEFT(O3049,3)=$W$7)),"x","")</f>
        <v/>
      </c>
      <c r="X3049" s="79" t="str">
        <f>IF(OR(TH!N3049=TH!$X$7,O3049=TH!$X$7),"x","")</f>
        <v/>
      </c>
      <c r="Y3049" s="79" t="str">
        <f>IF(AND(OR(N3049="131",O3049="131"),H3049='131-CT'!$H$9),"x","")</f>
        <v/>
      </c>
      <c r="Z3049" s="79"/>
      <c r="AA3049" s="79" t="str">
        <f>IF(AND(MONTH(E3049)='IN-NX'!$J$5,'IN-NX'!$D$7=D3049),"x","")</f>
        <v/>
      </c>
      <c r="AB3049" s="79" t="str">
        <f>IF(AND(OR(LEFT(TH!N3049,2)="15",LEFT(TH!O3049,2)="15"),LEFT(TH!O3049,3)&lt;&gt;"111",'152-CT'!$J$8=TH!F3049),"x","")</f>
        <v/>
      </c>
      <c r="AC3049" s="79" t="str">
        <f>IF(AND(OR(LEFT(TH!N3049,2)="15",LEFT(TH!O3049,2)="15"),TK!$E$7=TH!F3049),"x","")</f>
        <v/>
      </c>
      <c r="AD3049" s="79" t="str">
        <f>IF(AND(N3049="1521",MONTH(C3049)='BK-NL'!$M$11),"x","")</f>
        <v/>
      </c>
    </row>
    <row r="3050" spans="1:30" s="1101" customFormat="1" ht="16.5" customHeight="1">
      <c r="A3050" s="318" t="str">
        <f>IF(B3050&lt;&gt;"",IF(AND(B3050='IN-TC'!$S$4,OR(TH!N3050="1111",TH!O3050="1111")),TH!D3050,""),"")</f>
        <v/>
      </c>
      <c r="B3050" s="60" t="str">
        <f t="shared" ref="B3050:B3082" si="363">IF(C3050&lt;&gt;"",MONTH(C3050),"")</f>
        <v/>
      </c>
      <c r="C3050" s="61"/>
      <c r="D3050" s="61"/>
      <c r="E3050" s="61"/>
      <c r="F3050" s="69"/>
      <c r="G3050" s="64"/>
      <c r="H3050" s="69"/>
      <c r="I3050" s="387"/>
      <c r="J3050" s="394"/>
      <c r="K3050" s="387"/>
      <c r="L3050" s="394"/>
      <c r="M3050" s="62"/>
      <c r="N3050" s="63"/>
      <c r="O3050" s="63"/>
      <c r="P3050" s="79" t="str">
        <f>IF(AND('331-CT'!$E$7=TH!H3050,OR(N3050="331",O3050="331")),"x","")</f>
        <v/>
      </c>
      <c r="Q3050" s="79" t="str">
        <f>IF(AND(B3050='111'!$L$11,OR($N3050=$Q$7,$O3050=$Q$7)),"x","")</f>
        <v/>
      </c>
      <c r="R3050" s="79" t="str">
        <f>IF(AND($N3050=$Q$7,$B3050&lt;'111'!$L$11),"x","")</f>
        <v/>
      </c>
      <c r="S3050" s="79" t="str">
        <f>IF(AND($O3050=$Q$7,$B3050&lt;'111'!$L$11),"x","")</f>
        <v/>
      </c>
      <c r="T3050" s="79" t="str">
        <f>IF(ISERROR(FIND('112'!$M$9,G3050,1)),"",IF((AND(FIND('112'!$M$9,G3050,1)&gt;=1,B3050='112'!$K$9,OR($N3050='112'!$I$6,$O3050='112'!$I$6))),"x",""))</f>
        <v/>
      </c>
      <c r="U3050" s="79" t="str">
        <f>IF(ISERROR(FIND('112'!$M$9,G3050,1)),"",IF((AND(LEFT(G3050,2)=LEFT('112'!$M$9,2),B3050&lt;'112'!$K$9,$N3050='112'!$I$6)),"x",""))</f>
        <v/>
      </c>
      <c r="V3050" s="79" t="str">
        <f>IF(ISERROR(FIND('112'!$M$9,G3050,1)),"",IF((AND(RIGHT(G3050,2)=RIGHT('112'!$M$9,2),B3050&lt;'112'!$K$9,$O3050='112'!$I$6)),"x",""))</f>
        <v/>
      </c>
      <c r="W3050" s="79" t="str">
        <f>IF(AND('341-CT'!$H$9=H3050,OR(LEFT(N3050,3)=$W$7,LEFT(O3050,3)=$W$7)),"x","")</f>
        <v/>
      </c>
      <c r="X3050" s="79" t="str">
        <f>IF(OR(TH!N3050=TH!$X$7,O3050=TH!$X$7),"x","")</f>
        <v/>
      </c>
      <c r="Y3050" s="79" t="str">
        <f>IF(AND(OR(N3050="131",O3050="131"),H3050='131-CT'!$H$9),"x","")</f>
        <v/>
      </c>
      <c r="Z3050" s="79"/>
      <c r="AA3050" s="79" t="str">
        <f>IF(AND(MONTH(E3050)='IN-NX'!$J$5,'IN-NX'!$D$7=D3050),"x","")</f>
        <v/>
      </c>
      <c r="AB3050" s="79" t="str">
        <f>IF(AND(OR(LEFT(TH!N3050,2)="15",LEFT(TH!O3050,2)="15"),LEFT(TH!O3050,3)&lt;&gt;"111",'152-CT'!$J$8=TH!F3050),"x","")</f>
        <v/>
      </c>
      <c r="AC3050" s="79" t="str">
        <f>IF(AND(OR(LEFT(TH!N3050,2)="15",LEFT(TH!O3050,2)="15"),TK!$E$7=TH!F3050),"x","")</f>
        <v/>
      </c>
      <c r="AD3050" s="79" t="str">
        <f>IF(AND(N3050="1521",MONTH(C3050)='BK-NL'!$M$11),"x","")</f>
        <v/>
      </c>
    </row>
    <row r="3051" spans="1:30" s="1101" customFormat="1" ht="16.5" customHeight="1">
      <c r="A3051" s="318" t="str">
        <f>IF(B3051&lt;&gt;"",IF(AND(B3051='IN-TC'!$S$4,OR(TH!N3051="1111",TH!O3051="1111")),TH!D3051,""),"")</f>
        <v/>
      </c>
      <c r="B3051" s="60" t="str">
        <f t="shared" si="363"/>
        <v/>
      </c>
      <c r="C3051" s="61"/>
      <c r="D3051" s="61"/>
      <c r="E3051" s="61"/>
      <c r="F3051" s="69"/>
      <c r="G3051" s="64"/>
      <c r="H3051" s="69"/>
      <c r="I3051" s="385"/>
      <c r="J3051" s="395"/>
      <c r="K3051" s="385"/>
      <c r="L3051" s="392"/>
      <c r="M3051" s="62"/>
      <c r="N3051" s="63"/>
      <c r="O3051" s="63"/>
      <c r="P3051" s="79" t="str">
        <f>IF(AND('331-CT'!$E$7=TH!H3051,OR(N3051="331",O3051="331")),"x","")</f>
        <v/>
      </c>
      <c r="Q3051" s="79" t="str">
        <f>IF(AND(B3051='111'!$L$11,OR($N3051=$Q$7,$O3051=$Q$7)),"x","")</f>
        <v/>
      </c>
      <c r="R3051" s="79" t="str">
        <f>IF(AND($N3051=$Q$7,$B3051&lt;'111'!$L$11),"x","")</f>
        <v/>
      </c>
      <c r="S3051" s="79" t="str">
        <f>IF(AND($O3051=$Q$7,$B3051&lt;'111'!$L$11),"x","")</f>
        <v/>
      </c>
      <c r="T3051" s="79" t="str">
        <f>IF(ISERROR(FIND('112'!$M$9,G3051,1)),"",IF((AND(FIND('112'!$M$9,G3051,1)&gt;=1,B3051='112'!$K$9,OR($N3051='112'!$I$6,$O3051='112'!$I$6))),"x",""))</f>
        <v/>
      </c>
      <c r="U3051" s="79" t="str">
        <f>IF(ISERROR(FIND('112'!$M$9,G3051,1)),"",IF((AND(LEFT(G3051,2)=LEFT('112'!$M$9,2),B3051&lt;'112'!$K$9,$N3051='112'!$I$6)),"x",""))</f>
        <v/>
      </c>
      <c r="V3051" s="79" t="str">
        <f>IF(ISERROR(FIND('112'!$M$9,G3051,1)),"",IF((AND(RIGHT(G3051,2)=RIGHT('112'!$M$9,2),B3051&lt;'112'!$K$9,$O3051='112'!$I$6)),"x",""))</f>
        <v/>
      </c>
      <c r="W3051" s="79" t="str">
        <f>IF(AND('341-CT'!$H$9=H3051,OR(LEFT(N3051,3)=$W$7,LEFT(O3051,3)=$W$7)),"x","")</f>
        <v/>
      </c>
      <c r="X3051" s="79" t="str">
        <f>IF(OR(TH!N3051=TH!$X$7,O3051=TH!$X$7),"x","")</f>
        <v/>
      </c>
      <c r="Y3051" s="79" t="str">
        <f>IF(AND(OR(N3051="131",O3051="131"),H3051='131-CT'!$H$9),"x","")</f>
        <v/>
      </c>
      <c r="Z3051" s="79"/>
      <c r="AA3051" s="79" t="str">
        <f>IF(AND(MONTH(E3051)='IN-NX'!$J$5,'IN-NX'!$D$7=D3051),"x","")</f>
        <v/>
      </c>
      <c r="AB3051" s="79" t="str">
        <f>IF(AND(OR(LEFT(TH!N3051,2)="15",LEFT(TH!O3051,2)="15"),LEFT(TH!O3051,3)&lt;&gt;"111",'152-CT'!$J$8=TH!F3051),"x","")</f>
        <v/>
      </c>
      <c r="AC3051" s="79" t="str">
        <f>IF(AND(OR(LEFT(TH!N3051,2)="15",LEFT(TH!O3051,2)="15"),TK!$E$7=TH!F3051),"x","")</f>
        <v/>
      </c>
      <c r="AD3051" s="79" t="str">
        <f>IF(AND(N3051="1521",MONTH(C3051)='BK-NL'!$M$11),"x","")</f>
        <v/>
      </c>
    </row>
    <row r="3052" spans="1:30" s="1101" customFormat="1" ht="16.5" customHeight="1">
      <c r="A3052" s="318" t="str">
        <f>IF(B3052&lt;&gt;"",IF(AND(B3052='IN-TC'!$S$4,OR(TH!N3052="1111",TH!O3052="1111")),TH!D3052,""),"")</f>
        <v/>
      </c>
      <c r="B3052" s="60" t="str">
        <f t="shared" si="363"/>
        <v/>
      </c>
      <c r="C3052" s="61"/>
      <c r="D3052" s="61"/>
      <c r="E3052" s="61"/>
      <c r="F3052" s="69"/>
      <c r="G3052" s="64"/>
      <c r="H3052" s="69"/>
      <c r="I3052" s="385"/>
      <c r="J3052" s="395"/>
      <c r="K3052" s="385"/>
      <c r="L3052" s="392"/>
      <c r="M3052" s="62"/>
      <c r="N3052" s="63"/>
      <c r="O3052" s="63"/>
      <c r="P3052" s="79" t="str">
        <f>IF(AND('331-CT'!$E$7=TH!H3052,OR(N3052="331",O3052="331")),"x","")</f>
        <v/>
      </c>
      <c r="Q3052" s="79" t="str">
        <f>IF(AND(B3052='111'!$L$11,OR($N3052=$Q$7,$O3052=$Q$7)),"x","")</f>
        <v/>
      </c>
      <c r="R3052" s="79" t="str">
        <f>IF(AND($N3052=$Q$7,$B3052&lt;'111'!$L$11),"x","")</f>
        <v/>
      </c>
      <c r="S3052" s="79" t="str">
        <f>IF(AND($O3052=$Q$7,$B3052&lt;'111'!$L$11),"x","")</f>
        <v/>
      </c>
      <c r="T3052" s="79" t="str">
        <f>IF(ISERROR(FIND('112'!$M$9,G3052,1)),"",IF((AND(FIND('112'!$M$9,G3052,1)&gt;=1,B3052='112'!$K$9,OR($N3052='112'!$I$6,$O3052='112'!$I$6))),"x",""))</f>
        <v/>
      </c>
      <c r="U3052" s="79" t="str">
        <f>IF(ISERROR(FIND('112'!$M$9,G3052,1)),"",IF((AND(LEFT(G3052,2)=LEFT('112'!$M$9,2),B3052&lt;'112'!$K$9,$N3052='112'!$I$6)),"x",""))</f>
        <v/>
      </c>
      <c r="V3052" s="79" t="str">
        <f>IF(ISERROR(FIND('112'!$M$9,G3052,1)),"",IF((AND(RIGHT(G3052,2)=RIGHT('112'!$M$9,2),B3052&lt;'112'!$K$9,$O3052='112'!$I$6)),"x",""))</f>
        <v/>
      </c>
      <c r="W3052" s="79" t="str">
        <f>IF(AND('341-CT'!$H$9=H3052,OR(LEFT(N3052,3)=$W$7,LEFT(O3052,3)=$W$7)),"x","")</f>
        <v/>
      </c>
      <c r="X3052" s="79" t="str">
        <f>IF(OR(TH!N3052=TH!$X$7,O3052=TH!$X$7),"x","")</f>
        <v/>
      </c>
      <c r="Y3052" s="79" t="str">
        <f>IF(AND(OR(N3052="131",O3052="131"),H3052='131-CT'!$H$9),"x","")</f>
        <v/>
      </c>
      <c r="Z3052" s="79"/>
      <c r="AA3052" s="79" t="str">
        <f>IF(AND(MONTH(E3052)='IN-NX'!$J$5,'IN-NX'!$D$7=D3052),"x","")</f>
        <v/>
      </c>
      <c r="AB3052" s="79" t="str">
        <f>IF(AND(OR(LEFT(TH!N3052,2)="15",LEFT(TH!O3052,2)="15"),LEFT(TH!O3052,3)&lt;&gt;"111",'152-CT'!$J$8=TH!F3052),"x","")</f>
        <v/>
      </c>
      <c r="AC3052" s="79" t="str">
        <f>IF(AND(OR(LEFT(TH!N3052,2)="15",LEFT(TH!O3052,2)="15"),TK!$E$7=TH!F3052),"x","")</f>
        <v/>
      </c>
      <c r="AD3052" s="79" t="str">
        <f>IF(AND(N3052="1521",MONTH(C3052)='BK-NL'!$M$11),"x","")</f>
        <v/>
      </c>
    </row>
    <row r="3053" spans="1:30" s="1101" customFormat="1" ht="16.5" customHeight="1">
      <c r="A3053" s="318" t="str">
        <f>IF(B3053&lt;&gt;"",IF(AND(B3053='IN-TC'!$S$4,OR(TH!N3053="1111",TH!O3053="1111")),TH!D3053,""),"")</f>
        <v/>
      </c>
      <c r="B3053" s="60" t="str">
        <f t="shared" si="363"/>
        <v/>
      </c>
      <c r="C3053" s="61"/>
      <c r="D3053" s="61"/>
      <c r="E3053" s="61"/>
      <c r="F3053" s="69"/>
      <c r="G3053" s="64"/>
      <c r="H3053" s="69"/>
      <c r="I3053" s="387"/>
      <c r="J3053" s="395"/>
      <c r="K3053" s="387"/>
      <c r="L3053" s="394"/>
      <c r="M3053" s="62"/>
      <c r="N3053" s="63"/>
      <c r="O3053" s="63"/>
      <c r="P3053" s="79" t="str">
        <f>IF(AND('331-CT'!$E$7=TH!H3053,OR(N3053="331",O3053="331")),"x","")</f>
        <v/>
      </c>
      <c r="Q3053" s="79" t="str">
        <f>IF(AND(B3053='111'!$L$11,OR($N3053=$Q$7,$O3053=$Q$7)),"x","")</f>
        <v/>
      </c>
      <c r="R3053" s="79" t="str">
        <f>IF(AND($N3053=$Q$7,$B3053&lt;'111'!$L$11),"x","")</f>
        <v/>
      </c>
      <c r="S3053" s="79" t="str">
        <f>IF(AND($O3053=$Q$7,$B3053&lt;'111'!$L$11),"x","")</f>
        <v/>
      </c>
      <c r="T3053" s="79" t="str">
        <f>IF(ISERROR(FIND('112'!$M$9,G3053,1)),"",IF((AND(FIND('112'!$M$9,G3053,1)&gt;=1,B3053='112'!$K$9,OR($N3053='112'!$I$6,$O3053='112'!$I$6))),"x",""))</f>
        <v/>
      </c>
      <c r="U3053" s="79" t="str">
        <f>IF(ISERROR(FIND('112'!$M$9,G3053,1)),"",IF((AND(LEFT(G3053,2)=LEFT('112'!$M$9,2),B3053&lt;'112'!$K$9,$N3053='112'!$I$6)),"x",""))</f>
        <v/>
      </c>
      <c r="V3053" s="79" t="str">
        <f>IF(ISERROR(FIND('112'!$M$9,G3053,1)),"",IF((AND(RIGHT(G3053,2)=RIGHT('112'!$M$9,2),B3053&lt;'112'!$K$9,$O3053='112'!$I$6)),"x",""))</f>
        <v/>
      </c>
      <c r="W3053" s="79" t="str">
        <f>IF(AND('341-CT'!$H$9=H3053,OR(LEFT(N3053,3)=$W$7,LEFT(O3053,3)=$W$7)),"x","")</f>
        <v/>
      </c>
      <c r="X3053" s="79" t="str">
        <f>IF(OR(TH!N3053=TH!$X$7,O3053=TH!$X$7),"x","")</f>
        <v/>
      </c>
      <c r="Y3053" s="79" t="str">
        <f>IF(AND(OR(N3053="131",O3053="131"),H3053='131-CT'!$H$9),"x","")</f>
        <v/>
      </c>
      <c r="Z3053" s="79"/>
      <c r="AA3053" s="79" t="str">
        <f>IF(AND(MONTH(E3053)='IN-NX'!$J$5,'IN-NX'!$D$7=D3053),"x","")</f>
        <v/>
      </c>
      <c r="AB3053" s="79" t="str">
        <f>IF(AND(OR(LEFT(TH!N3053,2)="15",LEFT(TH!O3053,2)="15"),LEFT(TH!O3053,3)&lt;&gt;"111",'152-CT'!$J$8=TH!F3053),"x","")</f>
        <v/>
      </c>
      <c r="AC3053" s="79" t="str">
        <f>IF(AND(OR(LEFT(TH!N3053,2)="15",LEFT(TH!O3053,2)="15"),TK!$E$7=TH!F3053),"x","")</f>
        <v/>
      </c>
      <c r="AD3053" s="79" t="str">
        <f>IF(AND(N3053="1521",MONTH(C3053)='BK-NL'!$M$11),"x","")</f>
        <v/>
      </c>
    </row>
    <row r="3054" spans="1:30" s="1101" customFormat="1" ht="16.5" customHeight="1">
      <c r="A3054" s="318" t="str">
        <f>IF(B3054&lt;&gt;"",IF(AND(B3054='IN-TC'!$S$4,OR(TH!N3054="1111",TH!O3054="1111")),TH!D3054,""),"")</f>
        <v/>
      </c>
      <c r="B3054" s="60" t="str">
        <f t="shared" si="363"/>
        <v/>
      </c>
      <c r="C3054" s="61"/>
      <c r="D3054" s="61"/>
      <c r="E3054" s="61"/>
      <c r="F3054" s="69"/>
      <c r="G3054" s="64"/>
      <c r="H3054" s="321"/>
      <c r="I3054" s="385"/>
      <c r="J3054" s="395"/>
      <c r="K3054" s="385"/>
      <c r="L3054" s="392"/>
      <c r="M3054" s="62"/>
      <c r="N3054" s="63"/>
      <c r="O3054" s="63"/>
      <c r="P3054" s="79" t="str">
        <f>IF(AND('331-CT'!$E$7=TH!H3054,OR(N3054="331",O3054="331")),"x","")</f>
        <v/>
      </c>
      <c r="Q3054" s="79" t="str">
        <f>IF(AND(B3054='111'!$L$11,OR($N3054=$Q$7,$O3054=$Q$7)),"x","")</f>
        <v/>
      </c>
      <c r="R3054" s="79" t="str">
        <f>IF(AND($N3054=$Q$7,$B3054&lt;'111'!$L$11),"x","")</f>
        <v/>
      </c>
      <c r="S3054" s="79" t="str">
        <f>IF(AND($O3054=$Q$7,$B3054&lt;'111'!$L$11),"x","")</f>
        <v/>
      </c>
      <c r="T3054" s="79" t="str">
        <f>IF(ISERROR(FIND('112'!$M$9,G3054,1)),"",IF((AND(FIND('112'!$M$9,G3054,1)&gt;=1,B3054='112'!$K$9,OR($N3054='112'!$I$6,$O3054='112'!$I$6))),"x",""))</f>
        <v/>
      </c>
      <c r="U3054" s="79" t="str">
        <f>IF(ISERROR(FIND('112'!$M$9,G3054,1)),"",IF((AND(LEFT(G3054,2)=LEFT('112'!$M$9,2),B3054&lt;'112'!$K$9,$N3054='112'!$I$6)),"x",""))</f>
        <v/>
      </c>
      <c r="V3054" s="79" t="str">
        <f>IF(ISERROR(FIND('112'!$M$9,G3054,1)),"",IF((AND(RIGHT(G3054,2)=RIGHT('112'!$M$9,2),B3054&lt;'112'!$K$9,$O3054='112'!$I$6)),"x",""))</f>
        <v/>
      </c>
      <c r="W3054" s="79" t="str">
        <f>IF(AND('341-CT'!$H$9=H3054,OR(LEFT(N3054,3)=$W$7,LEFT(O3054,3)=$W$7)),"x","")</f>
        <v/>
      </c>
      <c r="X3054" s="79" t="str">
        <f>IF(OR(TH!N3054=TH!$X$7,O3054=TH!$X$7),"x","")</f>
        <v/>
      </c>
      <c r="Y3054" s="79" t="str">
        <f>IF(AND(OR(N3054="131",O3054="131"),H3054='131-CT'!$H$9),"x","")</f>
        <v/>
      </c>
      <c r="Z3054" s="79"/>
      <c r="AA3054" s="79" t="str">
        <f>IF(AND(MONTH(E3054)='IN-NX'!$J$5,'IN-NX'!$D$7=D3054),"x","")</f>
        <v/>
      </c>
      <c r="AB3054" s="79" t="str">
        <f>IF(AND(OR(LEFT(TH!N3054,2)="15",LEFT(TH!O3054,2)="15"),LEFT(TH!O3054,3)&lt;&gt;"111",'152-CT'!$J$8=TH!F3054),"x","")</f>
        <v/>
      </c>
      <c r="AC3054" s="79" t="str">
        <f>IF(AND(OR(LEFT(TH!N3054,2)="15",LEFT(TH!O3054,2)="15"),TK!$E$7=TH!F3054),"x","")</f>
        <v/>
      </c>
      <c r="AD3054" s="79" t="str">
        <f>IF(AND(N3054="1521",MONTH(C3054)='BK-NL'!$M$11),"x","")</f>
        <v/>
      </c>
    </row>
    <row r="3055" spans="1:30" s="1101" customFormat="1" ht="16.5" customHeight="1">
      <c r="A3055" s="318" t="str">
        <f>IF(B3055&lt;&gt;"",IF(AND(B3055='IN-TC'!$S$4,OR(TH!N3055="1111",TH!O3055="1111")),TH!D3055,""),"")</f>
        <v/>
      </c>
      <c r="B3055" s="60" t="str">
        <f t="shared" si="363"/>
        <v/>
      </c>
      <c r="C3055" s="301"/>
      <c r="D3055" s="301"/>
      <c r="E3055" s="301"/>
      <c r="F3055" s="69"/>
      <c r="G3055" s="988"/>
      <c r="H3055" s="69"/>
      <c r="I3055" s="385"/>
      <c r="J3055" s="969"/>
      <c r="K3055" s="385"/>
      <c r="L3055" s="392"/>
      <c r="M3055" s="970"/>
      <c r="N3055" s="304"/>
      <c r="O3055" s="304"/>
      <c r="P3055" s="79" t="str">
        <f>IF(AND('331-CT'!$E$7=TH!H3055,OR(N3055="331",O3055="331")),"x","")</f>
        <v/>
      </c>
      <c r="Q3055" s="79" t="str">
        <f>IF(AND(B3055='111'!$L$11,OR($N3055=$Q$7,$O3055=$Q$7)),"x","")</f>
        <v/>
      </c>
      <c r="R3055" s="79" t="str">
        <f>IF(AND($N3055=$Q$7,$B3055&lt;'111'!$L$11),"x","")</f>
        <v/>
      </c>
      <c r="S3055" s="79" t="str">
        <f>IF(AND($O3055=$Q$7,$B3055&lt;'111'!$L$11),"x","")</f>
        <v/>
      </c>
      <c r="T3055" s="79" t="str">
        <f>IF(ISERROR(FIND('112'!$M$9,G3055,1)),"",IF((AND(FIND('112'!$M$9,G3055,1)&gt;=1,B3055='112'!$K$9,OR($N3055='112'!$I$6,$O3055='112'!$I$6))),"x",""))</f>
        <v/>
      </c>
      <c r="U3055" s="79" t="str">
        <f>IF(ISERROR(FIND('112'!$M$9,G3055,1)),"",IF((AND(LEFT(G3055,2)=LEFT('112'!$M$9,2),B3055&lt;'112'!$K$9,$N3055='112'!$I$6)),"x",""))</f>
        <v/>
      </c>
      <c r="V3055" s="79" t="str">
        <f>IF(ISERROR(FIND('112'!$M$9,G3055,1)),"",IF((AND(RIGHT(G3055,2)=RIGHT('112'!$M$9,2),B3055&lt;'112'!$K$9,$O3055='112'!$I$6)),"x",""))</f>
        <v/>
      </c>
      <c r="W3055" s="79" t="str">
        <f>IF(AND('341-CT'!$H$9=H3055,OR(LEFT(N3055,3)=$W$7,LEFT(O3055,3)=$W$7)),"x","")</f>
        <v/>
      </c>
      <c r="X3055" s="79" t="str">
        <f>IF(OR(TH!N3055=TH!$X$7,O3055=TH!$X$7),"x","")</f>
        <v/>
      </c>
      <c r="Y3055" s="79" t="str">
        <f>IF(AND(OR(N3055="131",O3055="131"),H3055='131-CT'!$H$9),"x","")</f>
        <v/>
      </c>
      <c r="Z3055" s="79"/>
      <c r="AA3055" s="79" t="str">
        <f>IF(AND(MONTH(E3055)='IN-NX'!$J$5,'IN-NX'!$D$7=D3055),"x","")</f>
        <v/>
      </c>
      <c r="AB3055" s="79" t="str">
        <f>IF(AND(OR(LEFT(TH!N3055,2)="15",LEFT(TH!O3055,2)="15"),LEFT(TH!O3055,3)&lt;&gt;"111",'152-CT'!$J$8=TH!F3055),"x","")</f>
        <v/>
      </c>
      <c r="AC3055" s="79" t="str">
        <f>IF(AND(OR(LEFT(TH!N3055,2)="15",LEFT(TH!O3055,2)="15"),TK!$E$7=TH!F3055),"x","")</f>
        <v/>
      </c>
      <c r="AD3055" s="79" t="str">
        <f>IF(AND(N3055="1521",MONTH(C3055)='BK-NL'!$M$11),"x","")</f>
        <v/>
      </c>
    </row>
    <row r="3056" spans="1:30" s="1101" customFormat="1" ht="16.5" customHeight="1">
      <c r="A3056" s="318" t="str">
        <f>IF(B3056&lt;&gt;"",IF(AND(B3056='IN-TC'!$S$4,OR(TH!N3056="1111",TH!O3056="1111")),TH!D3056,""),"")</f>
        <v/>
      </c>
      <c r="B3056" s="60" t="str">
        <f t="shared" si="363"/>
        <v/>
      </c>
      <c r="C3056" s="301"/>
      <c r="D3056" s="301"/>
      <c r="E3056" s="301"/>
      <c r="F3056" s="69"/>
      <c r="G3056" s="988"/>
      <c r="H3056" s="69"/>
      <c r="I3056" s="385"/>
      <c r="J3056" s="969"/>
      <c r="K3056" s="385"/>
      <c r="L3056" s="392"/>
      <c r="M3056" s="970"/>
      <c r="N3056" s="304"/>
      <c r="O3056" s="304"/>
      <c r="P3056" s="79" t="str">
        <f>IF(AND('331-CT'!$E$7=TH!H3056,OR(N3056="331",O3056="331")),"x","")</f>
        <v/>
      </c>
      <c r="Q3056" s="79" t="str">
        <f>IF(AND(B3056='111'!$L$11,OR($N3056=$Q$7,$O3056=$Q$7)),"x","")</f>
        <v/>
      </c>
      <c r="R3056" s="79" t="str">
        <f>IF(AND($N3056=$Q$7,$B3056&lt;'111'!$L$11),"x","")</f>
        <v/>
      </c>
      <c r="S3056" s="79" t="str">
        <f>IF(AND($O3056=$Q$7,$B3056&lt;'111'!$L$11),"x","")</f>
        <v/>
      </c>
      <c r="T3056" s="79" t="str">
        <f>IF(ISERROR(FIND('112'!$M$9,G3056,1)),"",IF((AND(FIND('112'!$M$9,G3056,1)&gt;=1,B3056='112'!$K$9,OR($N3056='112'!$I$6,$O3056='112'!$I$6))),"x",""))</f>
        <v/>
      </c>
      <c r="U3056" s="79" t="str">
        <f>IF(ISERROR(FIND('112'!$M$9,G3056,1)),"",IF((AND(LEFT(G3056,2)=LEFT('112'!$M$9,2),B3056&lt;'112'!$K$9,$N3056='112'!$I$6)),"x",""))</f>
        <v/>
      </c>
      <c r="V3056" s="79" t="str">
        <f>IF(ISERROR(FIND('112'!$M$9,G3056,1)),"",IF((AND(RIGHT(G3056,2)=RIGHT('112'!$M$9,2),B3056&lt;'112'!$K$9,$O3056='112'!$I$6)),"x",""))</f>
        <v/>
      </c>
      <c r="W3056" s="79" t="str">
        <f>IF(AND('341-CT'!$H$9=H3056,OR(LEFT(N3056,3)=$W$7,LEFT(O3056,3)=$W$7)),"x","")</f>
        <v/>
      </c>
      <c r="X3056" s="79" t="str">
        <f>IF(OR(TH!N3056=TH!$X$7,O3056=TH!$X$7),"x","")</f>
        <v/>
      </c>
      <c r="Y3056" s="79" t="str">
        <f>IF(AND(OR(N3056="131",O3056="131"),H3056='131-CT'!$H$9),"x","")</f>
        <v/>
      </c>
      <c r="Z3056" s="79"/>
      <c r="AA3056" s="79" t="str">
        <f>IF(AND(MONTH(E3056)='IN-NX'!$J$5,'IN-NX'!$D$7=D3056),"x","")</f>
        <v/>
      </c>
      <c r="AB3056" s="79" t="str">
        <f>IF(AND(OR(LEFT(TH!N3056,2)="15",LEFT(TH!O3056,2)="15"),LEFT(TH!O3056,3)&lt;&gt;"111",'152-CT'!$J$8=TH!F3056),"x","")</f>
        <v/>
      </c>
      <c r="AC3056" s="79" t="str">
        <f>IF(AND(OR(LEFT(TH!N3056,2)="15",LEFT(TH!O3056,2)="15"),TK!$E$7=TH!F3056),"x","")</f>
        <v/>
      </c>
      <c r="AD3056" s="79" t="str">
        <f>IF(AND(N3056="1521",MONTH(C3056)='BK-NL'!$M$11),"x","")</f>
        <v/>
      </c>
    </row>
    <row r="3057" spans="1:30" s="1101" customFormat="1" ht="16.5" customHeight="1">
      <c r="A3057" s="318" t="str">
        <f>IF(B3057&lt;&gt;"",IF(AND(B3057='IN-TC'!$S$4,OR(TH!N3057="1111",TH!O3057="1111")),TH!D3057,""),"")</f>
        <v/>
      </c>
      <c r="B3057" s="60" t="str">
        <f t="shared" si="363"/>
        <v/>
      </c>
      <c r="C3057" s="61"/>
      <c r="D3057" s="61"/>
      <c r="E3057" s="61"/>
      <c r="F3057" s="69"/>
      <c r="G3057" s="64"/>
      <c r="H3057" s="69"/>
      <c r="I3057" s="387"/>
      <c r="J3057" s="395"/>
      <c r="K3057" s="387"/>
      <c r="L3057" s="394"/>
      <c r="M3057" s="62"/>
      <c r="N3057" s="63"/>
      <c r="O3057" s="63"/>
      <c r="P3057" s="79" t="str">
        <f>IF(AND('331-CT'!$E$7=TH!H3057,OR(N3057="331",O3057="331")),"x","")</f>
        <v/>
      </c>
      <c r="Q3057" s="79" t="str">
        <f>IF(AND(B3057='111'!$L$11,OR($N3057=$Q$7,$O3057=$Q$7)),"x","")</f>
        <v/>
      </c>
      <c r="R3057" s="79" t="str">
        <f>IF(AND($N3057=$Q$7,$B3057&lt;'111'!$L$11),"x","")</f>
        <v/>
      </c>
      <c r="S3057" s="79" t="str">
        <f>IF(AND($O3057=$Q$7,$B3057&lt;'111'!$L$11),"x","")</f>
        <v/>
      </c>
      <c r="T3057" s="79" t="str">
        <f>IF(ISERROR(FIND('112'!$M$9,G3057,1)),"",IF((AND(FIND('112'!$M$9,G3057,1)&gt;=1,B3057='112'!$K$9,OR($N3057='112'!$I$6,$O3057='112'!$I$6))),"x",""))</f>
        <v/>
      </c>
      <c r="U3057" s="79" t="str">
        <f>IF(ISERROR(FIND('112'!$M$9,G3057,1)),"",IF((AND(LEFT(G3057,2)=LEFT('112'!$M$9,2),B3057&lt;'112'!$K$9,$N3057='112'!$I$6)),"x",""))</f>
        <v/>
      </c>
      <c r="V3057" s="79" t="str">
        <f>IF(ISERROR(FIND('112'!$M$9,G3057,1)),"",IF((AND(RIGHT(G3057,2)=RIGHT('112'!$M$9,2),B3057&lt;'112'!$K$9,$O3057='112'!$I$6)),"x",""))</f>
        <v/>
      </c>
      <c r="W3057" s="79" t="str">
        <f>IF(AND('341-CT'!$H$9=H3057,OR(LEFT(N3057,3)=$W$7,LEFT(O3057,3)=$W$7)),"x","")</f>
        <v/>
      </c>
      <c r="X3057" s="79" t="str">
        <f>IF(OR(TH!N3057=TH!$X$7,O3057=TH!$X$7),"x","")</f>
        <v/>
      </c>
      <c r="Y3057" s="79" t="str">
        <f>IF(AND(OR(N3057="131",O3057="131"),H3057='131-CT'!$H$9),"x","")</f>
        <v/>
      </c>
      <c r="Z3057" s="79"/>
      <c r="AA3057" s="79" t="str">
        <f>IF(AND(MONTH(E3057)='IN-NX'!$J$5,'IN-NX'!$D$7=D3057),"x","")</f>
        <v/>
      </c>
      <c r="AB3057" s="79" t="str">
        <f>IF(AND(OR(LEFT(TH!N3057,2)="15",LEFT(TH!O3057,2)="15"),LEFT(TH!O3057,3)&lt;&gt;"111",'152-CT'!$J$8=TH!F3057),"x","")</f>
        <v/>
      </c>
      <c r="AC3057" s="79" t="str">
        <f>IF(AND(OR(LEFT(TH!N3057,2)="15",LEFT(TH!O3057,2)="15"),TK!$E$7=TH!F3057),"x","")</f>
        <v/>
      </c>
      <c r="AD3057" s="79" t="str">
        <f>IF(AND(N3057="1521",MONTH(C3057)='BK-NL'!$M$11),"x","")</f>
        <v/>
      </c>
    </row>
    <row r="3058" spans="1:30" s="1101" customFormat="1" ht="16.5" customHeight="1">
      <c r="A3058" s="318" t="str">
        <f>IF(B3058&lt;&gt;"",IF(AND(B3058='IN-TC'!$S$4,OR(TH!N3058="1111",TH!O3058="1111")),TH!D3058,""),"")</f>
        <v/>
      </c>
      <c r="B3058" s="60" t="str">
        <f t="shared" si="363"/>
        <v/>
      </c>
      <c r="C3058" s="61"/>
      <c r="D3058" s="61"/>
      <c r="E3058" s="61"/>
      <c r="F3058" s="69"/>
      <c r="G3058" s="64"/>
      <c r="H3058" s="69"/>
      <c r="I3058" s="385"/>
      <c r="J3058" s="395"/>
      <c r="K3058" s="385"/>
      <c r="L3058" s="392"/>
      <c r="M3058" s="62"/>
      <c r="N3058" s="63"/>
      <c r="O3058" s="63"/>
      <c r="P3058" s="79" t="str">
        <f>IF(AND('331-CT'!$E$7=TH!H3058,OR(N3058="331",O3058="331")),"x","")</f>
        <v/>
      </c>
      <c r="Q3058" s="79" t="str">
        <f>IF(AND(B3058='111'!$L$11,OR($N3058=$Q$7,$O3058=$Q$7)),"x","")</f>
        <v/>
      </c>
      <c r="R3058" s="79" t="str">
        <f>IF(AND($N3058=$Q$7,$B3058&lt;'111'!$L$11),"x","")</f>
        <v/>
      </c>
      <c r="S3058" s="79" t="str">
        <f>IF(AND($O3058=$Q$7,$B3058&lt;'111'!$L$11),"x","")</f>
        <v/>
      </c>
      <c r="T3058" s="79" t="str">
        <f>IF(ISERROR(FIND('112'!$M$9,G3058,1)),"",IF((AND(FIND('112'!$M$9,G3058,1)&gt;=1,B3058='112'!$K$9,OR($N3058='112'!$I$6,$O3058='112'!$I$6))),"x",""))</f>
        <v/>
      </c>
      <c r="U3058" s="79" t="str">
        <f>IF(ISERROR(FIND('112'!$M$9,G3058,1)),"",IF((AND(LEFT(G3058,2)=LEFT('112'!$M$9,2),B3058&lt;'112'!$K$9,$N3058='112'!$I$6)),"x",""))</f>
        <v/>
      </c>
      <c r="V3058" s="79" t="str">
        <f>IF(ISERROR(FIND('112'!$M$9,G3058,1)),"",IF((AND(RIGHT(G3058,2)=RIGHT('112'!$M$9,2),B3058&lt;'112'!$K$9,$O3058='112'!$I$6)),"x",""))</f>
        <v/>
      </c>
      <c r="W3058" s="79" t="str">
        <f>IF(AND('341-CT'!$H$9=H3058,OR(LEFT(N3058,3)=$W$7,LEFT(O3058,3)=$W$7)),"x","")</f>
        <v/>
      </c>
      <c r="X3058" s="79" t="str">
        <f>IF(OR(TH!N3058=TH!$X$7,O3058=TH!$X$7),"x","")</f>
        <v/>
      </c>
      <c r="Y3058" s="79" t="str">
        <f>IF(AND(OR(N3058="131",O3058="131"),H3058='131-CT'!$H$9),"x","")</f>
        <v/>
      </c>
      <c r="Z3058" s="79"/>
      <c r="AA3058" s="79" t="str">
        <f>IF(AND(MONTH(E3058)='IN-NX'!$J$5,'IN-NX'!$D$7=D3058),"x","")</f>
        <v/>
      </c>
      <c r="AB3058" s="79" t="str">
        <f>IF(AND(OR(LEFT(TH!N3058,2)="15",LEFT(TH!O3058,2)="15"),LEFT(TH!O3058,3)&lt;&gt;"111",'152-CT'!$J$8=TH!F3058),"x","")</f>
        <v/>
      </c>
      <c r="AC3058" s="79" t="str">
        <f>IF(AND(OR(LEFT(TH!N3058,2)="15",LEFT(TH!O3058,2)="15"),TK!$E$7=TH!F3058),"x","")</f>
        <v/>
      </c>
      <c r="AD3058" s="79" t="str">
        <f>IF(AND(N3058="1521",MONTH(C3058)='BK-NL'!$M$11),"x","")</f>
        <v/>
      </c>
    </row>
    <row r="3059" spans="1:30" s="1101" customFormat="1" ht="16.5" customHeight="1">
      <c r="A3059" s="318" t="str">
        <f>IF(B3059&lt;&gt;"",IF(AND(B3059='IN-TC'!$S$4,OR(TH!N3059="1111",TH!O3059="1111")),TH!D3059,""),"")</f>
        <v/>
      </c>
      <c r="B3059" s="60" t="str">
        <f t="shared" si="363"/>
        <v/>
      </c>
      <c r="C3059" s="61"/>
      <c r="D3059" s="61"/>
      <c r="E3059" s="61"/>
      <c r="F3059" s="69"/>
      <c r="G3059" s="64"/>
      <c r="H3059" s="69"/>
      <c r="I3059" s="387"/>
      <c r="J3059" s="395"/>
      <c r="K3059" s="387"/>
      <c r="L3059" s="394"/>
      <c r="M3059" s="62"/>
      <c r="N3059" s="63"/>
      <c r="O3059" s="63"/>
      <c r="P3059" s="79" t="str">
        <f>IF(AND('331-CT'!$E$7=TH!H3059,OR(N3059="331",O3059="331")),"x","")</f>
        <v/>
      </c>
      <c r="Q3059" s="79" t="str">
        <f>IF(AND(B3059='111'!$L$11,OR($N3059=$Q$7,$O3059=$Q$7)),"x","")</f>
        <v/>
      </c>
      <c r="R3059" s="79" t="str">
        <f>IF(AND($N3059=$Q$7,$B3059&lt;'111'!$L$11),"x","")</f>
        <v/>
      </c>
      <c r="S3059" s="79" t="str">
        <f>IF(AND($O3059=$Q$7,$B3059&lt;'111'!$L$11),"x","")</f>
        <v/>
      </c>
      <c r="T3059" s="79" t="str">
        <f>IF(ISERROR(FIND('112'!$M$9,G3059,1)),"",IF((AND(FIND('112'!$M$9,G3059,1)&gt;=1,B3059='112'!$K$9,OR($N3059='112'!$I$6,$O3059='112'!$I$6))),"x",""))</f>
        <v/>
      </c>
      <c r="U3059" s="79" t="str">
        <f>IF(ISERROR(FIND('112'!$M$9,G3059,1)),"",IF((AND(LEFT(G3059,2)=LEFT('112'!$M$9,2),B3059&lt;'112'!$K$9,$N3059='112'!$I$6)),"x",""))</f>
        <v/>
      </c>
      <c r="V3059" s="79" t="str">
        <f>IF(ISERROR(FIND('112'!$M$9,G3059,1)),"",IF((AND(RIGHT(G3059,2)=RIGHT('112'!$M$9,2),B3059&lt;'112'!$K$9,$O3059='112'!$I$6)),"x",""))</f>
        <v/>
      </c>
      <c r="W3059" s="79" t="str">
        <f>IF(AND('341-CT'!$H$9=H3059,OR(LEFT(N3059,3)=$W$7,LEFT(O3059,3)=$W$7)),"x","")</f>
        <v/>
      </c>
      <c r="X3059" s="79" t="str">
        <f>IF(OR(TH!N3059=TH!$X$7,O3059=TH!$X$7),"x","")</f>
        <v/>
      </c>
      <c r="Y3059" s="79" t="str">
        <f>IF(AND(OR(N3059="131",O3059="131"),H3059='131-CT'!$H$9),"x","")</f>
        <v/>
      </c>
      <c r="Z3059" s="79"/>
      <c r="AA3059" s="79" t="str">
        <f>IF(AND(MONTH(E3059)='IN-NX'!$J$5,'IN-NX'!$D$7=D3059),"x","")</f>
        <v/>
      </c>
      <c r="AB3059" s="79" t="str">
        <f>IF(AND(OR(LEFT(TH!N3059,2)="15",LEFT(TH!O3059,2)="15"),LEFT(TH!O3059,3)&lt;&gt;"111",'152-CT'!$J$8=TH!F3059),"x","")</f>
        <v/>
      </c>
      <c r="AC3059" s="79" t="str">
        <f>IF(AND(OR(LEFT(TH!N3059,2)="15",LEFT(TH!O3059,2)="15"),TK!$E$7=TH!F3059),"x","")</f>
        <v/>
      </c>
      <c r="AD3059" s="79" t="str">
        <f>IF(AND(N3059="1521",MONTH(C3059)='BK-NL'!$M$11),"x","")</f>
        <v/>
      </c>
    </row>
    <row r="3060" spans="1:30" s="1101" customFormat="1" ht="16.5" customHeight="1">
      <c r="A3060" s="318" t="str">
        <f>IF(B3060&lt;&gt;"",IF(AND(B3060='IN-TC'!$S$4,OR(TH!N3060="1111",TH!O3060="1111")),TH!D3060,""),"")</f>
        <v/>
      </c>
      <c r="B3060" s="60" t="str">
        <f t="shared" si="363"/>
        <v/>
      </c>
      <c r="C3060" s="61"/>
      <c r="D3060" s="61"/>
      <c r="E3060" s="61"/>
      <c r="F3060" s="69"/>
      <c r="G3060" s="64"/>
      <c r="H3060" s="69"/>
      <c r="I3060" s="387"/>
      <c r="J3060" s="395"/>
      <c r="K3060" s="387"/>
      <c r="L3060" s="394"/>
      <c r="M3060" s="62"/>
      <c r="N3060" s="63"/>
      <c r="O3060" s="63"/>
      <c r="P3060" s="79" t="str">
        <f>IF(AND('331-CT'!$E$7=TH!H3060,OR(N3060="331",O3060="331")),"x","")</f>
        <v/>
      </c>
      <c r="Q3060" s="79" t="str">
        <f>IF(AND(B3060='111'!$L$11,OR($N3060=$Q$7,$O3060=$Q$7)),"x","")</f>
        <v/>
      </c>
      <c r="R3060" s="79" t="str">
        <f>IF(AND($N3060=$Q$7,$B3060&lt;'111'!$L$11),"x","")</f>
        <v/>
      </c>
      <c r="S3060" s="79" t="str">
        <f>IF(AND($O3060=$Q$7,$B3060&lt;'111'!$L$11),"x","")</f>
        <v/>
      </c>
      <c r="T3060" s="79" t="str">
        <f>IF(ISERROR(FIND('112'!$M$9,G3060,1)),"",IF((AND(FIND('112'!$M$9,G3060,1)&gt;=1,B3060='112'!$K$9,OR($N3060='112'!$I$6,$O3060='112'!$I$6))),"x",""))</f>
        <v/>
      </c>
      <c r="U3060" s="79" t="str">
        <f>IF(ISERROR(FIND('112'!$M$9,G3060,1)),"",IF((AND(LEFT(G3060,2)=LEFT('112'!$M$9,2),B3060&lt;'112'!$K$9,$N3060='112'!$I$6)),"x",""))</f>
        <v/>
      </c>
      <c r="V3060" s="79" t="str">
        <f>IF(ISERROR(FIND('112'!$M$9,G3060,1)),"",IF((AND(RIGHT(G3060,2)=RIGHT('112'!$M$9,2),B3060&lt;'112'!$K$9,$O3060='112'!$I$6)),"x",""))</f>
        <v/>
      </c>
      <c r="W3060" s="79" t="str">
        <f>IF(AND('341-CT'!$H$9=H3060,OR(LEFT(N3060,3)=$W$7,LEFT(O3060,3)=$W$7)),"x","")</f>
        <v/>
      </c>
      <c r="X3060" s="79" t="str">
        <f>IF(OR(TH!N3060=TH!$X$7,O3060=TH!$X$7),"x","")</f>
        <v/>
      </c>
      <c r="Y3060" s="79" t="str">
        <f>IF(AND(OR(N3060="131",O3060="131"),H3060='131-CT'!$H$9),"x","")</f>
        <v/>
      </c>
      <c r="Z3060" s="79"/>
      <c r="AA3060" s="79" t="str">
        <f>IF(AND(MONTH(E3060)='IN-NX'!$J$5,'IN-NX'!$D$7=D3060),"x","")</f>
        <v/>
      </c>
      <c r="AB3060" s="79" t="str">
        <f>IF(AND(OR(LEFT(TH!N3060,2)="15",LEFT(TH!O3060,2)="15"),LEFT(TH!O3060,3)&lt;&gt;"111",'152-CT'!$J$8=TH!F3060),"x","")</f>
        <v/>
      </c>
      <c r="AC3060" s="79" t="str">
        <f>IF(AND(OR(LEFT(TH!N3060,2)="15",LEFT(TH!O3060,2)="15"),TK!$E$7=TH!F3060),"x","")</f>
        <v/>
      </c>
      <c r="AD3060" s="79" t="str">
        <f>IF(AND(N3060="1521",MONTH(C3060)='BK-NL'!$M$11),"x","")</f>
        <v/>
      </c>
    </row>
    <row r="3061" spans="1:30" s="1101" customFormat="1" ht="16.5" customHeight="1">
      <c r="A3061" s="318" t="str">
        <f>IF(B3061&lt;&gt;"",IF(AND(B3061='IN-TC'!$S$4,OR(TH!N3061="1111",TH!O3061="1111")),TH!D3061,""),"")</f>
        <v/>
      </c>
      <c r="B3061" s="60" t="str">
        <f t="shared" si="363"/>
        <v/>
      </c>
      <c r="C3061" s="301"/>
      <c r="D3061" s="301"/>
      <c r="E3061" s="301"/>
      <c r="F3061" s="69"/>
      <c r="G3061" s="988"/>
      <c r="H3061" s="303"/>
      <c r="I3061" s="385"/>
      <c r="J3061" s="969"/>
      <c r="K3061" s="385"/>
      <c r="L3061" s="392"/>
      <c r="M3061" s="970"/>
      <c r="N3061" s="304"/>
      <c r="O3061" s="304"/>
      <c r="P3061" s="79" t="str">
        <f>IF(AND('331-CT'!$E$7=TH!H3061,OR(N3061="331",O3061="331")),"x","")</f>
        <v/>
      </c>
      <c r="Q3061" s="79" t="str">
        <f>IF(AND(B3061='111'!$L$11,OR($N3061=$Q$7,$O3061=$Q$7)),"x","")</f>
        <v/>
      </c>
      <c r="R3061" s="79" t="str">
        <f>IF(AND($N3061=$Q$7,$B3061&lt;'111'!$L$11),"x","")</f>
        <v/>
      </c>
      <c r="S3061" s="79" t="str">
        <f>IF(AND($O3061=$Q$7,$B3061&lt;'111'!$L$11),"x","")</f>
        <v/>
      </c>
      <c r="T3061" s="79" t="str">
        <f>IF(ISERROR(FIND('112'!$M$9,G3061,1)),"",IF((AND(FIND('112'!$M$9,G3061,1)&gt;=1,B3061='112'!$K$9,OR($N3061='112'!$I$6,$O3061='112'!$I$6))),"x",""))</f>
        <v/>
      </c>
      <c r="U3061" s="79" t="str">
        <f>IF(ISERROR(FIND('112'!$M$9,G3061,1)),"",IF((AND(LEFT(G3061,2)=LEFT('112'!$M$9,2),B3061&lt;'112'!$K$9,$N3061='112'!$I$6)),"x",""))</f>
        <v/>
      </c>
      <c r="V3061" s="79" t="str">
        <f>IF(ISERROR(FIND('112'!$M$9,G3061,1)),"",IF((AND(RIGHT(G3061,2)=RIGHT('112'!$M$9,2),B3061&lt;'112'!$K$9,$O3061='112'!$I$6)),"x",""))</f>
        <v/>
      </c>
      <c r="W3061" s="79" t="str">
        <f>IF(AND('341-CT'!$H$9=H3061,OR(LEFT(N3061,3)=$W$7,LEFT(O3061,3)=$W$7)),"x","")</f>
        <v/>
      </c>
      <c r="X3061" s="79" t="str">
        <f>IF(OR(TH!N3061=TH!$X$7,O3061=TH!$X$7),"x","")</f>
        <v/>
      </c>
      <c r="Y3061" s="79" t="str">
        <f>IF(AND(OR(N3061="131",O3061="131"),H3061='131-CT'!$H$9),"x","")</f>
        <v/>
      </c>
      <c r="Z3061" s="79"/>
      <c r="AA3061" s="79" t="str">
        <f>IF(AND(MONTH(E3061)='IN-NX'!$J$5,'IN-NX'!$D$7=D3061),"x","")</f>
        <v/>
      </c>
      <c r="AB3061" s="79" t="str">
        <f>IF(AND(OR(LEFT(TH!N3061,2)="15",LEFT(TH!O3061,2)="15"),LEFT(TH!O3061,3)&lt;&gt;"111",'152-CT'!$J$8=TH!F3061),"x","")</f>
        <v/>
      </c>
      <c r="AC3061" s="79" t="str">
        <f>IF(AND(OR(LEFT(TH!N3061,2)="15",LEFT(TH!O3061,2)="15"),TK!$E$7=TH!F3061),"x","")</f>
        <v/>
      </c>
      <c r="AD3061" s="79" t="str">
        <f>IF(AND(N3061="1521",MONTH(C3061)='BK-NL'!$M$11),"x","")</f>
        <v/>
      </c>
    </row>
    <row r="3062" spans="1:30" s="1101" customFormat="1" ht="16.5" customHeight="1">
      <c r="A3062" s="318" t="str">
        <f>IF(B3062&lt;&gt;"",IF(AND(B3062='IN-TC'!$S$4,OR(TH!N3062="1111",TH!O3062="1111")),TH!D3062,""),"")</f>
        <v/>
      </c>
      <c r="B3062" s="60" t="str">
        <f t="shared" si="363"/>
        <v/>
      </c>
      <c r="C3062" s="61"/>
      <c r="D3062" s="61"/>
      <c r="E3062" s="61"/>
      <c r="F3062" s="69"/>
      <c r="G3062" s="64"/>
      <c r="H3062" s="69"/>
      <c r="I3062" s="387"/>
      <c r="J3062" s="395"/>
      <c r="K3062" s="387"/>
      <c r="L3062" s="394"/>
      <c r="M3062" s="62"/>
      <c r="N3062" s="63"/>
      <c r="O3062" s="63"/>
      <c r="P3062" s="79" t="str">
        <f>IF(AND('331-CT'!$E$7=TH!H3062,OR(N3062="331",O3062="331")),"x","")</f>
        <v/>
      </c>
      <c r="Q3062" s="79" t="str">
        <f>IF(AND(B3062='111'!$L$11,OR($N3062=$Q$7,$O3062=$Q$7)),"x","")</f>
        <v/>
      </c>
      <c r="R3062" s="79" t="str">
        <f>IF(AND($N3062=$Q$7,$B3062&lt;'111'!$L$11),"x","")</f>
        <v/>
      </c>
      <c r="S3062" s="79" t="str">
        <f>IF(AND($O3062=$Q$7,$B3062&lt;'111'!$L$11),"x","")</f>
        <v/>
      </c>
      <c r="T3062" s="79" t="str">
        <f>IF(ISERROR(FIND('112'!$M$9,G3062,1)),"",IF((AND(FIND('112'!$M$9,G3062,1)&gt;=1,B3062='112'!$K$9,OR($N3062='112'!$I$6,$O3062='112'!$I$6))),"x",""))</f>
        <v/>
      </c>
      <c r="U3062" s="79" t="str">
        <f>IF(ISERROR(FIND('112'!$M$9,G3062,1)),"",IF((AND(LEFT(G3062,2)=LEFT('112'!$M$9,2),B3062&lt;'112'!$K$9,$N3062='112'!$I$6)),"x",""))</f>
        <v/>
      </c>
      <c r="V3062" s="79" t="str">
        <f>IF(ISERROR(FIND('112'!$M$9,G3062,1)),"",IF((AND(RIGHT(G3062,2)=RIGHT('112'!$M$9,2),B3062&lt;'112'!$K$9,$O3062='112'!$I$6)),"x",""))</f>
        <v/>
      </c>
      <c r="W3062" s="79" t="str">
        <f>IF(AND('341-CT'!$H$9=H3062,OR(LEFT(N3062,3)=$W$7,LEFT(O3062,3)=$W$7)),"x","")</f>
        <v/>
      </c>
      <c r="X3062" s="79" t="str">
        <f>IF(OR(TH!N3062=TH!$X$7,O3062=TH!$X$7),"x","")</f>
        <v/>
      </c>
      <c r="Y3062" s="79" t="str">
        <f>IF(AND(OR(N3062="131",O3062="131"),H3062='131-CT'!$H$9),"x","")</f>
        <v/>
      </c>
      <c r="Z3062" s="79"/>
      <c r="AA3062" s="79" t="str">
        <f>IF(AND(MONTH(E3062)='IN-NX'!$J$5,'IN-NX'!$D$7=D3062),"x","")</f>
        <v/>
      </c>
      <c r="AB3062" s="79" t="str">
        <f>IF(AND(OR(LEFT(TH!N3062,2)="15",LEFT(TH!O3062,2)="15"),LEFT(TH!O3062,3)&lt;&gt;"111",'152-CT'!$J$8=TH!F3062),"x","")</f>
        <v/>
      </c>
      <c r="AC3062" s="79" t="str">
        <f>IF(AND(OR(LEFT(TH!N3062,2)="15",LEFT(TH!O3062,2)="15"),TK!$E$7=TH!F3062),"x","")</f>
        <v/>
      </c>
      <c r="AD3062" s="79" t="str">
        <f>IF(AND(N3062="1521",MONTH(C3062)='BK-NL'!$M$11),"x","")</f>
        <v/>
      </c>
    </row>
    <row r="3063" spans="1:30" s="1101" customFormat="1" ht="16.5" customHeight="1">
      <c r="A3063" s="318" t="str">
        <f>IF(B3063&lt;&gt;"",IF(AND(B3063='IN-TC'!$S$4,OR(TH!N3063="1111",TH!O3063="1111")),TH!D3063,""),"")</f>
        <v/>
      </c>
      <c r="B3063" s="60" t="str">
        <f t="shared" si="363"/>
        <v/>
      </c>
      <c r="C3063" s="61"/>
      <c r="D3063" s="61"/>
      <c r="E3063" s="61"/>
      <c r="F3063" s="69"/>
      <c r="G3063" s="64"/>
      <c r="H3063" s="69"/>
      <c r="I3063" s="387"/>
      <c r="J3063" s="395"/>
      <c r="K3063" s="387"/>
      <c r="L3063" s="394"/>
      <c r="M3063" s="62"/>
      <c r="N3063" s="63"/>
      <c r="O3063" s="63"/>
      <c r="P3063" s="79" t="str">
        <f>IF(AND('331-CT'!$E$7=TH!H3063,OR(N3063="331",O3063="331")),"x","")</f>
        <v/>
      </c>
      <c r="Q3063" s="79" t="str">
        <f>IF(AND(B3063='111'!$L$11,OR($N3063=$Q$7,$O3063=$Q$7)),"x","")</f>
        <v/>
      </c>
      <c r="R3063" s="79" t="str">
        <f>IF(AND($N3063=$Q$7,$B3063&lt;'111'!$L$11),"x","")</f>
        <v/>
      </c>
      <c r="S3063" s="79" t="str">
        <f>IF(AND($O3063=$Q$7,$B3063&lt;'111'!$L$11),"x","")</f>
        <v/>
      </c>
      <c r="T3063" s="79" t="str">
        <f>IF(ISERROR(FIND('112'!$M$9,G3063,1)),"",IF((AND(FIND('112'!$M$9,G3063,1)&gt;=1,B3063='112'!$K$9,OR($N3063='112'!$I$6,$O3063='112'!$I$6))),"x",""))</f>
        <v/>
      </c>
      <c r="U3063" s="79" t="str">
        <f>IF(ISERROR(FIND('112'!$M$9,G3063,1)),"",IF((AND(LEFT(G3063,2)=LEFT('112'!$M$9,2),B3063&lt;'112'!$K$9,$N3063='112'!$I$6)),"x",""))</f>
        <v/>
      </c>
      <c r="V3063" s="79" t="str">
        <f>IF(ISERROR(FIND('112'!$M$9,G3063,1)),"",IF((AND(RIGHT(G3063,2)=RIGHT('112'!$M$9,2),B3063&lt;'112'!$K$9,$O3063='112'!$I$6)),"x",""))</f>
        <v/>
      </c>
      <c r="W3063" s="79" t="str">
        <f>IF(AND('341-CT'!$H$9=H3063,OR(LEFT(N3063,3)=$W$7,LEFT(O3063,3)=$W$7)),"x","")</f>
        <v/>
      </c>
      <c r="X3063" s="79" t="str">
        <f>IF(OR(TH!N3063=TH!$X$7,O3063=TH!$X$7),"x","")</f>
        <v/>
      </c>
      <c r="Y3063" s="79" t="str">
        <f>IF(AND(OR(N3063="131",O3063="131"),H3063='131-CT'!$H$9),"x","")</f>
        <v/>
      </c>
      <c r="Z3063" s="79"/>
      <c r="AA3063" s="79" t="str">
        <f>IF(AND(MONTH(E3063)='IN-NX'!$J$5,'IN-NX'!$D$7=D3063),"x","")</f>
        <v/>
      </c>
      <c r="AB3063" s="79" t="str">
        <f>IF(AND(OR(LEFT(TH!N3063,2)="15",LEFT(TH!O3063,2)="15"),LEFT(TH!O3063,3)&lt;&gt;"111",'152-CT'!$J$8=TH!F3063),"x","")</f>
        <v/>
      </c>
      <c r="AC3063" s="79" t="str">
        <f>IF(AND(OR(LEFT(TH!N3063,2)="15",LEFT(TH!O3063,2)="15"),TK!$E$7=TH!F3063),"x","")</f>
        <v/>
      </c>
      <c r="AD3063" s="79" t="str">
        <f>IF(AND(N3063="1521",MONTH(C3063)='BK-NL'!$M$11),"x","")</f>
        <v/>
      </c>
    </row>
    <row r="3064" spans="1:30" ht="16.5" customHeight="1">
      <c r="A3064" s="318" t="str">
        <f>IF(B3064&lt;&gt;"",IF(AND(B3064='IN-TC'!$S$4,OR(TH!N3064="1111",TH!O3064="1111")),TH!D3064,""),"")</f>
        <v/>
      </c>
      <c r="B3064" s="60" t="str">
        <f t="shared" ref="B3064" si="364">IF(C3064&lt;&gt;"",MONTH(C3064),"")</f>
        <v/>
      </c>
      <c r="C3064" s="61"/>
      <c r="D3064" s="61"/>
      <c r="E3064" s="61"/>
      <c r="F3064" s="69"/>
      <c r="G3064" s="64"/>
      <c r="H3064" s="69"/>
      <c r="I3064" s="385"/>
      <c r="J3064" s="395"/>
      <c r="K3064" s="385"/>
      <c r="L3064" s="392"/>
      <c r="M3064" s="62"/>
      <c r="N3064" s="63"/>
      <c r="O3064" s="63"/>
      <c r="P3064" s="79" t="str">
        <f>IF(AND('331-CT'!$E$7=TH!H3064,OR(N3064="331",O3064="331")),"x","")</f>
        <v/>
      </c>
      <c r="Q3064" s="79" t="str">
        <f>IF(AND(B3064='111'!$L$11,OR($N3064=$Q$7,$O3064=$Q$7)),"x","")</f>
        <v/>
      </c>
      <c r="R3064" s="79" t="str">
        <f>IF(AND($N3064=$Q$7,$B3064&lt;'111'!$L$11),"x","")</f>
        <v/>
      </c>
      <c r="S3064" s="79" t="str">
        <f>IF(AND($O3064=$Q$7,$B3064&lt;'111'!$L$11),"x","")</f>
        <v/>
      </c>
      <c r="T3064" s="79" t="str">
        <f>IF(ISERROR(FIND('112'!$M$9,G3064,1)),"",IF((AND(FIND('112'!$M$9,G3064,1)&gt;=1,B3064='112'!$K$9,OR($N3064='112'!$I$6,$O3064='112'!$I$6))),"x",""))</f>
        <v/>
      </c>
      <c r="U3064" s="79" t="str">
        <f>IF(ISERROR(FIND('112'!$M$9,G3064,1)),"",IF((AND(LEFT(G3064,2)=LEFT('112'!$M$9,2),B3064&lt;'112'!$K$9,$N3064='112'!$I$6)),"x",""))</f>
        <v/>
      </c>
      <c r="V3064" s="79" t="str">
        <f>IF(ISERROR(FIND('112'!$M$9,G3064,1)),"",IF((AND(RIGHT(G3064,2)=RIGHT('112'!$M$9,2),B3064&lt;'112'!$K$9,$O3064='112'!$I$6)),"x",""))</f>
        <v/>
      </c>
      <c r="W3064" s="79" t="str">
        <f>IF(AND('341-CT'!$H$9=H3064,OR(LEFT(N3064,3)=$W$7,LEFT(O3064,3)=$W$7)),"x","")</f>
        <v/>
      </c>
      <c r="X3064" s="79" t="str">
        <f>IF(OR(TH!N3064=TH!$X$7,O3064=TH!$X$7),"x","")</f>
        <v/>
      </c>
      <c r="Y3064" s="79" t="str">
        <f>IF(AND(OR(N3064="131",O3064="131"),H3064='131-CT'!$H$9),"x","")</f>
        <v/>
      </c>
      <c r="Z3064" s="79"/>
      <c r="AA3064" s="79" t="str">
        <f>IF(AND(MONTH(E3064)='IN-NX'!$J$5,'IN-NX'!$D$7=D3064),"x","")</f>
        <v/>
      </c>
      <c r="AB3064" s="79" t="str">
        <f>IF(AND(OR(LEFT(TH!N3064,2)="15",LEFT(TH!O3064,2)="15"),LEFT(TH!O3064,3)&lt;&gt;"111",'152-CT'!$J$8=TH!F3064),"x","")</f>
        <v/>
      </c>
      <c r="AC3064" s="79" t="str">
        <f>IF(AND(OR(LEFT(TH!N3064,2)="15",LEFT(TH!O3064,2)="15"),TK!$E$7=TH!F3064),"x","")</f>
        <v/>
      </c>
      <c r="AD3064" s="79" t="str">
        <f>IF(AND(N3064="1521",MONTH(C3064)='BK-NL'!$M$11),"x","")</f>
        <v/>
      </c>
    </row>
    <row r="3065" spans="1:30" s="1101" customFormat="1" ht="16.5" customHeight="1">
      <c r="A3065" s="318" t="str">
        <f>IF(B3065&lt;&gt;"",IF(AND(B3065='IN-TC'!$S$4,OR(TH!N3065="1111",TH!O3065="1111")),TH!D3065,""),"")</f>
        <v/>
      </c>
      <c r="B3065" s="60" t="str">
        <f t="shared" si="363"/>
        <v/>
      </c>
      <c r="C3065" s="301"/>
      <c r="D3065" s="301"/>
      <c r="E3065" s="301"/>
      <c r="F3065" s="69"/>
      <c r="G3065" s="988"/>
      <c r="H3065" s="303"/>
      <c r="I3065" s="385"/>
      <c r="J3065" s="969"/>
      <c r="K3065" s="385"/>
      <c r="L3065" s="392"/>
      <c r="M3065" s="970"/>
      <c r="N3065" s="304"/>
      <c r="O3065" s="304"/>
      <c r="P3065" s="79" t="str">
        <f>IF(AND('331-CT'!$E$7=TH!H3065,OR(N3065="331",O3065="331")),"x","")</f>
        <v/>
      </c>
      <c r="Q3065" s="79" t="str">
        <f>IF(AND(B3065='111'!$L$11,OR($N3065=$Q$7,$O3065=$Q$7)),"x","")</f>
        <v/>
      </c>
      <c r="R3065" s="79" t="str">
        <f>IF(AND($N3065=$Q$7,$B3065&lt;'111'!$L$11),"x","")</f>
        <v/>
      </c>
      <c r="S3065" s="79" t="str">
        <f>IF(AND($O3065=$Q$7,$B3065&lt;'111'!$L$11),"x","")</f>
        <v/>
      </c>
      <c r="T3065" s="79" t="str">
        <f>IF(ISERROR(FIND('112'!$M$9,G3065,1)),"",IF((AND(FIND('112'!$M$9,G3065,1)&gt;=1,B3065='112'!$K$9,OR($N3065='112'!$I$6,$O3065='112'!$I$6))),"x",""))</f>
        <v/>
      </c>
      <c r="U3065" s="79" t="str">
        <f>IF(ISERROR(FIND('112'!$M$9,G3065,1)),"",IF((AND(LEFT(G3065,2)=LEFT('112'!$M$9,2),B3065&lt;'112'!$K$9,$N3065='112'!$I$6)),"x",""))</f>
        <v/>
      </c>
      <c r="V3065" s="79" t="str">
        <f>IF(ISERROR(FIND('112'!$M$9,G3065,1)),"",IF((AND(RIGHT(G3065,2)=RIGHT('112'!$M$9,2),B3065&lt;'112'!$K$9,$O3065='112'!$I$6)),"x",""))</f>
        <v/>
      </c>
      <c r="W3065" s="79" t="str">
        <f>IF(AND('341-CT'!$H$9=H3065,OR(LEFT(N3065,3)=$W$7,LEFT(O3065,3)=$W$7)),"x","")</f>
        <v/>
      </c>
      <c r="X3065" s="79" t="str">
        <f>IF(OR(TH!N3065=TH!$X$7,O3065=TH!$X$7),"x","")</f>
        <v/>
      </c>
      <c r="Y3065" s="79" t="str">
        <f>IF(AND(OR(N3065="131",O3065="131"),H3065='131-CT'!$H$9),"x","")</f>
        <v/>
      </c>
      <c r="Z3065" s="79"/>
      <c r="AA3065" s="79" t="str">
        <f>IF(AND(MONTH(E3065)='IN-NX'!$J$5,'IN-NX'!$D$7=D3065),"x","")</f>
        <v/>
      </c>
      <c r="AB3065" s="79" t="str">
        <f>IF(AND(OR(LEFT(TH!N3065,2)="15",LEFT(TH!O3065,2)="15"),LEFT(TH!O3065,3)&lt;&gt;"111",'152-CT'!$J$8=TH!F3065),"x","")</f>
        <v/>
      </c>
      <c r="AC3065" s="79" t="str">
        <f>IF(AND(OR(LEFT(TH!N3065,2)="15",LEFT(TH!O3065,2)="15"),TK!$E$7=TH!F3065),"x","")</f>
        <v/>
      </c>
      <c r="AD3065" s="79" t="str">
        <f>IF(AND(N3065="1521",MONTH(C3065)='BK-NL'!$M$11),"x","")</f>
        <v/>
      </c>
    </row>
    <row r="3066" spans="1:30" s="1101" customFormat="1" ht="16.5" customHeight="1">
      <c r="A3066" s="318" t="str">
        <f>IF(B3066&lt;&gt;"",IF(AND(B3066='IN-TC'!$S$4,OR(TH!N3066="1111",TH!O3066="1111")),TH!D3066,""),"")</f>
        <v/>
      </c>
      <c r="B3066" s="60" t="str">
        <f t="shared" si="363"/>
        <v/>
      </c>
      <c r="C3066" s="61"/>
      <c r="D3066" s="61"/>
      <c r="E3066" s="61"/>
      <c r="F3066" s="69"/>
      <c r="G3066" s="64"/>
      <c r="H3066" s="303"/>
      <c r="I3066" s="385"/>
      <c r="J3066" s="395"/>
      <c r="K3066" s="385"/>
      <c r="L3066" s="392"/>
      <c r="M3066" s="62"/>
      <c r="N3066" s="63"/>
      <c r="O3066" s="63"/>
      <c r="P3066" s="79" t="str">
        <f>IF(AND('331-CT'!$E$7=TH!H3066,OR(N3066="331",O3066="331")),"x","")</f>
        <v/>
      </c>
      <c r="Q3066" s="79" t="str">
        <f>IF(AND(B3066='111'!$L$11,OR($N3066=$Q$7,$O3066=$Q$7)),"x","")</f>
        <v/>
      </c>
      <c r="R3066" s="79" t="str">
        <f>IF(AND($N3066=$Q$7,$B3066&lt;'111'!$L$11),"x","")</f>
        <v/>
      </c>
      <c r="S3066" s="79" t="str">
        <f>IF(AND($O3066=$Q$7,$B3066&lt;'111'!$L$11),"x","")</f>
        <v/>
      </c>
      <c r="T3066" s="79" t="str">
        <f>IF(ISERROR(FIND('112'!$M$9,G3066,1)),"",IF((AND(FIND('112'!$M$9,G3066,1)&gt;=1,B3066='112'!$K$9,OR($N3066='112'!$I$6,$O3066='112'!$I$6))),"x",""))</f>
        <v/>
      </c>
      <c r="U3066" s="79" t="str">
        <f>IF(ISERROR(FIND('112'!$M$9,G3066,1)),"",IF((AND(LEFT(G3066,2)=LEFT('112'!$M$9,2),B3066&lt;'112'!$K$9,$N3066='112'!$I$6)),"x",""))</f>
        <v/>
      </c>
      <c r="V3066" s="79" t="str">
        <f>IF(ISERROR(FIND('112'!$M$9,G3066,1)),"",IF((AND(RIGHT(G3066,2)=RIGHT('112'!$M$9,2),B3066&lt;'112'!$K$9,$O3066='112'!$I$6)),"x",""))</f>
        <v/>
      </c>
      <c r="W3066" s="79" t="str">
        <f>IF(AND('341-CT'!$H$9=H3066,OR(LEFT(N3066,3)=$W$7,LEFT(O3066,3)=$W$7)),"x","")</f>
        <v/>
      </c>
      <c r="X3066" s="79" t="str">
        <f>IF(OR(TH!N3066=TH!$X$7,O3066=TH!$X$7),"x","")</f>
        <v/>
      </c>
      <c r="Y3066" s="79" t="str">
        <f>IF(AND(OR(N3066="131",O3066="131"),H3066='131-CT'!$H$9),"x","")</f>
        <v/>
      </c>
      <c r="Z3066" s="79"/>
      <c r="AA3066" s="79" t="str">
        <f>IF(AND(MONTH(E3066)='IN-NX'!$J$5,'IN-NX'!$D$7=D3066),"x","")</f>
        <v/>
      </c>
      <c r="AB3066" s="79" t="str">
        <f>IF(AND(OR(LEFT(TH!N3066,2)="15",LEFT(TH!O3066,2)="15"),LEFT(TH!O3066,3)&lt;&gt;"111",'152-CT'!$J$8=TH!F3066),"x","")</f>
        <v/>
      </c>
      <c r="AC3066" s="79" t="str">
        <f>IF(AND(OR(LEFT(TH!N3066,2)="15",LEFT(TH!O3066,2)="15"),TK!$E$7=TH!F3066),"x","")</f>
        <v/>
      </c>
      <c r="AD3066" s="79" t="str">
        <f>IF(AND(N3066="1521",MONTH(C3066)='BK-NL'!$M$11),"x","")</f>
        <v/>
      </c>
    </row>
    <row r="3067" spans="1:30" s="1101" customFormat="1" ht="16.5" customHeight="1">
      <c r="A3067" s="318" t="str">
        <f>IF(B3067&lt;&gt;"",IF(AND(B3067='IN-TC'!$S$4,OR(TH!N3067="1111",TH!O3067="1111")),TH!D3067,""),"")</f>
        <v/>
      </c>
      <c r="B3067" s="60" t="str">
        <f t="shared" si="363"/>
        <v/>
      </c>
      <c r="C3067" s="61"/>
      <c r="D3067" s="61"/>
      <c r="E3067" s="61"/>
      <c r="F3067" s="69"/>
      <c r="G3067" s="64"/>
      <c r="H3067" s="69"/>
      <c r="I3067" s="385"/>
      <c r="J3067" s="395"/>
      <c r="K3067" s="385"/>
      <c r="L3067" s="392"/>
      <c r="M3067" s="62"/>
      <c r="N3067" s="63"/>
      <c r="O3067" s="63"/>
      <c r="P3067" s="79" t="str">
        <f>IF(AND('331-CT'!$E$7=TH!H3067,OR(N3067="331",O3067="331")),"x","")</f>
        <v/>
      </c>
      <c r="Q3067" s="79" t="str">
        <f>IF(AND(B3067='111'!$L$11,OR($N3067=$Q$7,$O3067=$Q$7)),"x","")</f>
        <v/>
      </c>
      <c r="R3067" s="79" t="str">
        <f>IF(AND($N3067=$Q$7,$B3067&lt;'111'!$L$11),"x","")</f>
        <v/>
      </c>
      <c r="S3067" s="79" t="str">
        <f>IF(AND($O3067=$Q$7,$B3067&lt;'111'!$L$11),"x","")</f>
        <v/>
      </c>
      <c r="T3067" s="79" t="str">
        <f>IF(ISERROR(FIND('112'!$M$9,G3067,1)),"",IF((AND(FIND('112'!$M$9,G3067,1)&gt;=1,B3067='112'!$K$9,OR($N3067='112'!$I$6,$O3067='112'!$I$6))),"x",""))</f>
        <v/>
      </c>
      <c r="U3067" s="79" t="str">
        <f>IF(ISERROR(FIND('112'!$M$9,G3067,1)),"",IF((AND(LEFT(G3067,2)=LEFT('112'!$M$9,2),B3067&lt;'112'!$K$9,$N3067='112'!$I$6)),"x",""))</f>
        <v/>
      </c>
      <c r="V3067" s="79" t="str">
        <f>IF(ISERROR(FIND('112'!$M$9,G3067,1)),"",IF((AND(RIGHT(G3067,2)=RIGHT('112'!$M$9,2),B3067&lt;'112'!$K$9,$O3067='112'!$I$6)),"x",""))</f>
        <v/>
      </c>
      <c r="W3067" s="79" t="str">
        <f>IF(AND('341-CT'!$H$9=H3067,OR(LEFT(N3067,3)=$W$7,LEFT(O3067,3)=$W$7)),"x","")</f>
        <v/>
      </c>
      <c r="X3067" s="79" t="str">
        <f>IF(OR(TH!N3067=TH!$X$7,O3067=TH!$X$7),"x","")</f>
        <v/>
      </c>
      <c r="Y3067" s="79" t="str">
        <f>IF(AND(OR(N3067="131",O3067="131"),H3067='131-CT'!$H$9),"x","")</f>
        <v/>
      </c>
      <c r="Z3067" s="79"/>
      <c r="AA3067" s="79" t="str">
        <f>IF(AND(MONTH(E3067)='IN-NX'!$J$5,'IN-NX'!$D$7=D3067),"x","")</f>
        <v/>
      </c>
      <c r="AB3067" s="79" t="str">
        <f>IF(AND(OR(LEFT(TH!N3067,2)="15",LEFT(TH!O3067,2)="15"),LEFT(TH!O3067,3)&lt;&gt;"111",'152-CT'!$J$8=TH!F3067),"x","")</f>
        <v/>
      </c>
      <c r="AC3067" s="79" t="str">
        <f>IF(AND(OR(LEFT(TH!N3067,2)="15",LEFT(TH!O3067,2)="15"),TK!$E$7=TH!F3067),"x","")</f>
        <v/>
      </c>
      <c r="AD3067" s="79" t="str">
        <f>IF(AND(N3067="1521",MONTH(C3067)='BK-NL'!$M$11),"x","")</f>
        <v/>
      </c>
    </row>
    <row r="3068" spans="1:30" s="1101" customFormat="1" ht="16.5" customHeight="1">
      <c r="A3068" s="318" t="str">
        <f>IF(B3068&lt;&gt;"",IF(AND(B3068='IN-TC'!$S$4,OR(TH!N3068="1111",TH!O3068="1111")),TH!D3068,""),"")</f>
        <v/>
      </c>
      <c r="B3068" s="60" t="str">
        <f t="shared" si="363"/>
        <v/>
      </c>
      <c r="C3068" s="61"/>
      <c r="D3068" s="61"/>
      <c r="E3068" s="61"/>
      <c r="F3068" s="69"/>
      <c r="G3068" s="64"/>
      <c r="H3068" s="69"/>
      <c r="I3068" s="385"/>
      <c r="J3068" s="395"/>
      <c r="K3068" s="385"/>
      <c r="L3068" s="392"/>
      <c r="M3068" s="62"/>
      <c r="N3068" s="63"/>
      <c r="O3068" s="63"/>
      <c r="P3068" s="79" t="str">
        <f>IF(AND('331-CT'!$E$7=TH!H3068,OR(N3068="331",O3068="331")),"x","")</f>
        <v/>
      </c>
      <c r="Q3068" s="79" t="str">
        <f>IF(AND(B3068='111'!$L$11,OR($N3068=$Q$7,$O3068=$Q$7)),"x","")</f>
        <v/>
      </c>
      <c r="R3068" s="79" t="str">
        <f>IF(AND($N3068=$Q$7,$B3068&lt;'111'!$L$11),"x","")</f>
        <v/>
      </c>
      <c r="S3068" s="79" t="str">
        <f>IF(AND($O3068=$Q$7,$B3068&lt;'111'!$L$11),"x","")</f>
        <v/>
      </c>
      <c r="T3068" s="79" t="str">
        <f>IF(ISERROR(FIND('112'!$M$9,G3068,1)),"",IF((AND(FIND('112'!$M$9,G3068,1)&gt;=1,B3068='112'!$K$9,OR($N3068='112'!$I$6,$O3068='112'!$I$6))),"x",""))</f>
        <v/>
      </c>
      <c r="U3068" s="79" t="str">
        <f>IF(ISERROR(FIND('112'!$M$9,G3068,1)),"",IF((AND(LEFT(G3068,2)=LEFT('112'!$M$9,2),B3068&lt;'112'!$K$9,$N3068='112'!$I$6)),"x",""))</f>
        <v/>
      </c>
      <c r="V3068" s="79" t="str">
        <f>IF(ISERROR(FIND('112'!$M$9,G3068,1)),"",IF((AND(RIGHT(G3068,2)=RIGHT('112'!$M$9,2),B3068&lt;'112'!$K$9,$O3068='112'!$I$6)),"x",""))</f>
        <v/>
      </c>
      <c r="W3068" s="79" t="str">
        <f>IF(AND('341-CT'!$H$9=H3068,OR(LEFT(N3068,3)=$W$7,LEFT(O3068,3)=$W$7)),"x","")</f>
        <v/>
      </c>
      <c r="X3068" s="79" t="str">
        <f>IF(OR(TH!N3068=TH!$X$7,O3068=TH!$X$7),"x","")</f>
        <v/>
      </c>
      <c r="Y3068" s="79" t="str">
        <f>IF(AND(OR(N3068="131",O3068="131"),H3068='131-CT'!$H$9),"x","")</f>
        <v/>
      </c>
      <c r="Z3068" s="79"/>
      <c r="AA3068" s="79" t="str">
        <f>IF(AND(MONTH(E3068)='IN-NX'!$J$5,'IN-NX'!$D$7=D3068),"x","")</f>
        <v/>
      </c>
      <c r="AB3068" s="79" t="str">
        <f>IF(AND(OR(LEFT(TH!N3068,2)="15",LEFT(TH!O3068,2)="15"),LEFT(TH!O3068,3)&lt;&gt;"111",'152-CT'!$J$8=TH!F3068),"x","")</f>
        <v/>
      </c>
      <c r="AC3068" s="79" t="str">
        <f>IF(AND(OR(LEFT(TH!N3068,2)="15",LEFT(TH!O3068,2)="15"),TK!$E$7=TH!F3068),"x","")</f>
        <v/>
      </c>
      <c r="AD3068" s="79" t="str">
        <f>IF(AND(N3068="1521",MONTH(C3068)='BK-NL'!$M$11),"x","")</f>
        <v/>
      </c>
    </row>
    <row r="3069" spans="1:30" s="1101" customFormat="1" ht="16.5" customHeight="1">
      <c r="A3069" s="318" t="str">
        <f>IF(B3069&lt;&gt;"",IF(AND(B3069='IN-TC'!$S$4,OR(TH!N3069="1111",TH!O3069="1111")),TH!D3069,""),"")</f>
        <v/>
      </c>
      <c r="B3069" s="60" t="str">
        <f t="shared" si="363"/>
        <v/>
      </c>
      <c r="C3069" s="61"/>
      <c r="D3069" s="61"/>
      <c r="E3069" s="61"/>
      <c r="F3069" s="69"/>
      <c r="G3069" s="64"/>
      <c r="H3069" s="303"/>
      <c r="I3069" s="385"/>
      <c r="J3069" s="395"/>
      <c r="K3069" s="385"/>
      <c r="L3069" s="392"/>
      <c r="M3069" s="62"/>
      <c r="N3069" s="63"/>
      <c r="O3069" s="63"/>
      <c r="P3069" s="79" t="str">
        <f>IF(AND('331-CT'!$E$7=TH!H3069,OR(N3069="331",O3069="331")),"x","")</f>
        <v/>
      </c>
      <c r="Q3069" s="79" t="str">
        <f>IF(AND(B3069='111'!$L$11,OR($N3069=$Q$7,$O3069=$Q$7)),"x","")</f>
        <v/>
      </c>
      <c r="R3069" s="79" t="str">
        <f>IF(AND($N3069=$Q$7,$B3069&lt;'111'!$L$11),"x","")</f>
        <v/>
      </c>
      <c r="S3069" s="79" t="str">
        <f>IF(AND($O3069=$Q$7,$B3069&lt;'111'!$L$11),"x","")</f>
        <v/>
      </c>
      <c r="T3069" s="79" t="str">
        <f>IF(ISERROR(FIND('112'!$M$9,G3069,1)),"",IF((AND(FIND('112'!$M$9,G3069,1)&gt;=1,B3069='112'!$K$9,OR($N3069='112'!$I$6,$O3069='112'!$I$6))),"x",""))</f>
        <v/>
      </c>
      <c r="U3069" s="79" t="str">
        <f>IF(ISERROR(FIND('112'!$M$9,G3069,1)),"",IF((AND(LEFT(G3069,2)=LEFT('112'!$M$9,2),B3069&lt;'112'!$K$9,$N3069='112'!$I$6)),"x",""))</f>
        <v/>
      </c>
      <c r="V3069" s="79" t="str">
        <f>IF(ISERROR(FIND('112'!$M$9,G3069,1)),"",IF((AND(RIGHT(G3069,2)=RIGHT('112'!$M$9,2),B3069&lt;'112'!$K$9,$O3069='112'!$I$6)),"x",""))</f>
        <v/>
      </c>
      <c r="W3069" s="79" t="str">
        <f>IF(AND('341-CT'!$H$9=H3069,OR(LEFT(N3069,3)=$W$7,LEFT(O3069,3)=$W$7)),"x","")</f>
        <v/>
      </c>
      <c r="X3069" s="79" t="str">
        <f>IF(OR(TH!N3069=TH!$X$7,O3069=TH!$X$7),"x","")</f>
        <v/>
      </c>
      <c r="Y3069" s="79" t="str">
        <f>IF(AND(OR(N3069="131",O3069="131"),H3069='131-CT'!$H$9),"x","")</f>
        <v/>
      </c>
      <c r="Z3069" s="79"/>
      <c r="AA3069" s="79" t="str">
        <f>IF(AND(MONTH(E3069)='IN-NX'!$J$5,'IN-NX'!$D$7=D3069),"x","")</f>
        <v/>
      </c>
      <c r="AB3069" s="79" t="str">
        <f>IF(AND(OR(LEFT(TH!N3069,2)="15",LEFT(TH!O3069,2)="15"),LEFT(TH!O3069,3)&lt;&gt;"111",'152-CT'!$J$8=TH!F3069),"x","")</f>
        <v/>
      </c>
      <c r="AC3069" s="79" t="str">
        <f>IF(AND(OR(LEFT(TH!N3069,2)="15",LEFT(TH!O3069,2)="15"),TK!$E$7=TH!F3069),"x","")</f>
        <v/>
      </c>
      <c r="AD3069" s="79" t="str">
        <f>IF(AND(N3069="1521",MONTH(C3069)='BK-NL'!$M$11),"x","")</f>
        <v/>
      </c>
    </row>
    <row r="3070" spans="1:30" s="1101" customFormat="1" ht="16.5" customHeight="1">
      <c r="A3070" s="318" t="str">
        <f>IF(B3070&lt;&gt;"",IF(AND(B3070='IN-TC'!$S$4,OR(TH!N3070="1111",TH!O3070="1111")),TH!D3070,""),"")</f>
        <v/>
      </c>
      <c r="B3070" s="60" t="str">
        <f t="shared" si="363"/>
        <v/>
      </c>
      <c r="C3070" s="61"/>
      <c r="D3070" s="61"/>
      <c r="E3070" s="61"/>
      <c r="F3070" s="69"/>
      <c r="G3070" s="64"/>
      <c r="H3070" s="69"/>
      <c r="I3070" s="385"/>
      <c r="J3070" s="395"/>
      <c r="K3070" s="385"/>
      <c r="L3070" s="392"/>
      <c r="M3070" s="62"/>
      <c r="N3070" s="63"/>
      <c r="O3070" s="63"/>
      <c r="P3070" s="79" t="str">
        <f>IF(AND('331-CT'!$E$7=TH!H3070,OR(N3070="331",O3070="331")),"x","")</f>
        <v/>
      </c>
      <c r="Q3070" s="79" t="str">
        <f>IF(AND(B3070='111'!$L$11,OR($N3070=$Q$7,$O3070=$Q$7)),"x","")</f>
        <v/>
      </c>
      <c r="R3070" s="79" t="str">
        <f>IF(AND($N3070=$Q$7,$B3070&lt;'111'!$L$11),"x","")</f>
        <v/>
      </c>
      <c r="S3070" s="79" t="str">
        <f>IF(AND($O3070=$Q$7,$B3070&lt;'111'!$L$11),"x","")</f>
        <v/>
      </c>
      <c r="T3070" s="79" t="str">
        <f>IF(ISERROR(FIND('112'!$M$9,G3070,1)),"",IF((AND(FIND('112'!$M$9,G3070,1)&gt;=1,B3070='112'!$K$9,OR($N3070='112'!$I$6,$O3070='112'!$I$6))),"x",""))</f>
        <v/>
      </c>
      <c r="U3070" s="79" t="str">
        <f>IF(ISERROR(FIND('112'!$M$9,G3070,1)),"",IF((AND(LEFT(G3070,2)=LEFT('112'!$M$9,2),B3070&lt;'112'!$K$9,$N3070='112'!$I$6)),"x",""))</f>
        <v/>
      </c>
      <c r="V3070" s="79" t="str">
        <f>IF(ISERROR(FIND('112'!$M$9,G3070,1)),"",IF((AND(RIGHT(G3070,2)=RIGHT('112'!$M$9,2),B3070&lt;'112'!$K$9,$O3070='112'!$I$6)),"x",""))</f>
        <v/>
      </c>
      <c r="W3070" s="79" t="str">
        <f>IF(AND('341-CT'!$H$9=H3070,OR(LEFT(N3070,3)=$W$7,LEFT(O3070,3)=$W$7)),"x","")</f>
        <v/>
      </c>
      <c r="X3070" s="79" t="str">
        <f>IF(OR(TH!N3070=TH!$X$7,O3070=TH!$X$7),"x","")</f>
        <v/>
      </c>
      <c r="Y3070" s="79" t="str">
        <f>IF(AND(OR(N3070="131",O3070="131"),H3070='131-CT'!$H$9),"x","")</f>
        <v/>
      </c>
      <c r="Z3070" s="79"/>
      <c r="AA3070" s="79" t="str">
        <f>IF(AND(MONTH(E3070)='IN-NX'!$J$5,'IN-NX'!$D$7=D3070),"x","")</f>
        <v/>
      </c>
      <c r="AB3070" s="79" t="str">
        <f>IF(AND(OR(LEFT(TH!N3070,2)="15",LEFT(TH!O3070,2)="15"),LEFT(TH!O3070,3)&lt;&gt;"111",'152-CT'!$J$8=TH!F3070),"x","")</f>
        <v/>
      </c>
      <c r="AC3070" s="79" t="str">
        <f>IF(AND(OR(LEFT(TH!N3070,2)="15",LEFT(TH!O3070,2)="15"),TK!$E$7=TH!F3070),"x","")</f>
        <v/>
      </c>
      <c r="AD3070" s="79" t="str">
        <f>IF(AND(N3070="1521",MONTH(C3070)='BK-NL'!$M$11),"x","")</f>
        <v/>
      </c>
    </row>
    <row r="3071" spans="1:30" s="1101" customFormat="1" ht="16.5" customHeight="1">
      <c r="A3071" s="318" t="str">
        <f>IF(B3071&lt;&gt;"",IF(AND(B3071='IN-TC'!$S$4,OR(TH!N3071="1111",TH!O3071="1111")),TH!D3071,""),"")</f>
        <v/>
      </c>
      <c r="B3071" s="60" t="str">
        <f t="shared" si="363"/>
        <v/>
      </c>
      <c r="C3071" s="61"/>
      <c r="D3071" s="61"/>
      <c r="E3071" s="61"/>
      <c r="F3071" s="69"/>
      <c r="G3071" s="64"/>
      <c r="H3071" s="69"/>
      <c r="I3071" s="385"/>
      <c r="J3071" s="395"/>
      <c r="K3071" s="385"/>
      <c r="L3071" s="392"/>
      <c r="M3071" s="62"/>
      <c r="N3071" s="63"/>
      <c r="O3071" s="63"/>
      <c r="P3071" s="79" t="str">
        <f>IF(AND('331-CT'!$E$7=TH!H3071,OR(N3071="331",O3071="331")),"x","")</f>
        <v/>
      </c>
      <c r="Q3071" s="79" t="str">
        <f>IF(AND(B3071='111'!$L$11,OR($N3071=$Q$7,$O3071=$Q$7)),"x","")</f>
        <v/>
      </c>
      <c r="R3071" s="79" t="str">
        <f>IF(AND($N3071=$Q$7,$B3071&lt;'111'!$L$11),"x","")</f>
        <v/>
      </c>
      <c r="S3071" s="79" t="str">
        <f>IF(AND($O3071=$Q$7,$B3071&lt;'111'!$L$11),"x","")</f>
        <v/>
      </c>
      <c r="T3071" s="79" t="str">
        <f>IF(ISERROR(FIND('112'!$M$9,G3071,1)),"",IF((AND(FIND('112'!$M$9,G3071,1)&gt;=1,B3071='112'!$K$9,OR($N3071='112'!$I$6,$O3071='112'!$I$6))),"x",""))</f>
        <v/>
      </c>
      <c r="U3071" s="79" t="str">
        <f>IF(ISERROR(FIND('112'!$M$9,G3071,1)),"",IF((AND(LEFT(G3071,2)=LEFT('112'!$M$9,2),B3071&lt;'112'!$K$9,$N3071='112'!$I$6)),"x",""))</f>
        <v/>
      </c>
      <c r="V3071" s="79" t="str">
        <f>IF(ISERROR(FIND('112'!$M$9,G3071,1)),"",IF((AND(RIGHT(G3071,2)=RIGHT('112'!$M$9,2),B3071&lt;'112'!$K$9,$O3071='112'!$I$6)),"x",""))</f>
        <v/>
      </c>
      <c r="W3071" s="79" t="str">
        <f>IF(AND('341-CT'!$H$9=H3071,OR(LEFT(N3071,3)=$W$7,LEFT(O3071,3)=$W$7)),"x","")</f>
        <v/>
      </c>
      <c r="X3071" s="79" t="str">
        <f>IF(OR(TH!N3071=TH!$X$7,O3071=TH!$X$7),"x","")</f>
        <v/>
      </c>
      <c r="Y3071" s="79" t="str">
        <f>IF(AND(OR(N3071="131",O3071="131"),H3071='131-CT'!$H$9),"x","")</f>
        <v/>
      </c>
      <c r="Z3071" s="79"/>
      <c r="AA3071" s="79" t="str">
        <f>IF(AND(MONTH(E3071)='IN-NX'!$J$5,'IN-NX'!$D$7=D3071),"x","")</f>
        <v/>
      </c>
      <c r="AB3071" s="79" t="str">
        <f>IF(AND(OR(LEFT(TH!N3071,2)="15",LEFT(TH!O3071,2)="15"),LEFT(TH!O3071,3)&lt;&gt;"111",'152-CT'!$J$8=TH!F3071),"x","")</f>
        <v/>
      </c>
      <c r="AC3071" s="79" t="str">
        <f>IF(AND(OR(LEFT(TH!N3071,2)="15",LEFT(TH!O3071,2)="15"),TK!$E$7=TH!F3071),"x","")</f>
        <v/>
      </c>
      <c r="AD3071" s="79" t="str">
        <f>IF(AND(N3071="1521",MONTH(C3071)='BK-NL'!$M$11),"x","")</f>
        <v/>
      </c>
    </row>
    <row r="3072" spans="1:30" s="1101" customFormat="1" ht="16.5" customHeight="1">
      <c r="A3072" s="318" t="str">
        <f>IF(B3072&lt;&gt;"",IF(AND(B3072='IN-TC'!$S$4,OR(TH!N3072="1111",TH!O3072="1111")),TH!D3072,""),"")</f>
        <v/>
      </c>
      <c r="B3072" s="60" t="str">
        <f t="shared" si="363"/>
        <v/>
      </c>
      <c r="C3072" s="61"/>
      <c r="D3072" s="61"/>
      <c r="E3072" s="61"/>
      <c r="F3072" s="69"/>
      <c r="G3072" s="64"/>
      <c r="H3072" s="303"/>
      <c r="I3072" s="385"/>
      <c r="J3072" s="395"/>
      <c r="K3072" s="385"/>
      <c r="L3072" s="392"/>
      <c r="M3072" s="62"/>
      <c r="N3072" s="63"/>
      <c r="O3072" s="63"/>
      <c r="P3072" s="79" t="str">
        <f>IF(AND('331-CT'!$E$7=TH!H3072,OR(N3072="331",O3072="331")),"x","")</f>
        <v/>
      </c>
      <c r="Q3072" s="79" t="str">
        <f>IF(AND(B3072='111'!$L$11,OR($N3072=$Q$7,$O3072=$Q$7)),"x","")</f>
        <v/>
      </c>
      <c r="R3072" s="79" t="str">
        <f>IF(AND($N3072=$Q$7,$B3072&lt;'111'!$L$11),"x","")</f>
        <v/>
      </c>
      <c r="S3072" s="79" t="str">
        <f>IF(AND($O3072=$Q$7,$B3072&lt;'111'!$L$11),"x","")</f>
        <v/>
      </c>
      <c r="T3072" s="79" t="str">
        <f>IF(ISERROR(FIND('112'!$M$9,G3072,1)),"",IF((AND(FIND('112'!$M$9,G3072,1)&gt;=1,B3072='112'!$K$9,OR($N3072='112'!$I$6,$O3072='112'!$I$6))),"x",""))</f>
        <v/>
      </c>
      <c r="U3072" s="79" t="str">
        <f>IF(ISERROR(FIND('112'!$M$9,G3072,1)),"",IF((AND(LEFT(G3072,2)=LEFT('112'!$M$9,2),B3072&lt;'112'!$K$9,$N3072='112'!$I$6)),"x",""))</f>
        <v/>
      </c>
      <c r="V3072" s="79" t="str">
        <f>IF(ISERROR(FIND('112'!$M$9,G3072,1)),"",IF((AND(RIGHT(G3072,2)=RIGHT('112'!$M$9,2),B3072&lt;'112'!$K$9,$O3072='112'!$I$6)),"x",""))</f>
        <v/>
      </c>
      <c r="W3072" s="79" t="str">
        <f>IF(AND('341-CT'!$H$9=H3072,OR(LEFT(N3072,3)=$W$7,LEFT(O3072,3)=$W$7)),"x","")</f>
        <v/>
      </c>
      <c r="X3072" s="79" t="str">
        <f>IF(OR(TH!N3072=TH!$X$7,O3072=TH!$X$7),"x","")</f>
        <v/>
      </c>
      <c r="Y3072" s="79" t="str">
        <f>IF(AND(OR(N3072="131",O3072="131"),H3072='131-CT'!$H$9),"x","")</f>
        <v/>
      </c>
      <c r="Z3072" s="79"/>
      <c r="AA3072" s="79" t="str">
        <f>IF(AND(MONTH(E3072)='IN-NX'!$J$5,'IN-NX'!$D$7=D3072),"x","")</f>
        <v/>
      </c>
      <c r="AB3072" s="79" t="str">
        <f>IF(AND(OR(LEFT(TH!N3072,2)="15",LEFT(TH!O3072,2)="15"),LEFT(TH!O3072,3)&lt;&gt;"111",'152-CT'!$J$8=TH!F3072),"x","")</f>
        <v/>
      </c>
      <c r="AC3072" s="79" t="str">
        <f>IF(AND(OR(LEFT(TH!N3072,2)="15",LEFT(TH!O3072,2)="15"),TK!$E$7=TH!F3072),"x","")</f>
        <v/>
      </c>
      <c r="AD3072" s="79" t="str">
        <f>IF(AND(N3072="1521",MONTH(C3072)='BK-NL'!$M$11),"x","")</f>
        <v/>
      </c>
    </row>
    <row r="3073" spans="1:30" s="1101" customFormat="1" ht="16.5" customHeight="1">
      <c r="A3073" s="318" t="str">
        <f>IF(B3073&lt;&gt;"",IF(AND(B3073='IN-TC'!$S$4,OR(TH!N3073="1111",TH!O3073="1111")),TH!D3073,""),"")</f>
        <v/>
      </c>
      <c r="B3073" s="60" t="str">
        <f t="shared" si="363"/>
        <v/>
      </c>
      <c r="C3073" s="61"/>
      <c r="D3073" s="61"/>
      <c r="E3073" s="61"/>
      <c r="F3073" s="69"/>
      <c r="G3073" s="64"/>
      <c r="H3073" s="69"/>
      <c r="I3073" s="385"/>
      <c r="J3073" s="395"/>
      <c r="K3073" s="385"/>
      <c r="L3073" s="392"/>
      <c r="M3073" s="62"/>
      <c r="N3073" s="63"/>
      <c r="O3073" s="63"/>
      <c r="P3073" s="79" t="str">
        <f>IF(AND('331-CT'!$E$7=TH!H3073,OR(N3073="331",O3073="331")),"x","")</f>
        <v/>
      </c>
      <c r="Q3073" s="79" t="str">
        <f>IF(AND(B3073='111'!$L$11,OR($N3073=$Q$7,$O3073=$Q$7)),"x","")</f>
        <v/>
      </c>
      <c r="R3073" s="79" t="str">
        <f>IF(AND($N3073=$Q$7,$B3073&lt;'111'!$L$11),"x","")</f>
        <v/>
      </c>
      <c r="S3073" s="79" t="str">
        <f>IF(AND($O3073=$Q$7,$B3073&lt;'111'!$L$11),"x","")</f>
        <v/>
      </c>
      <c r="T3073" s="79" t="str">
        <f>IF(ISERROR(FIND('112'!$M$9,G3073,1)),"",IF((AND(FIND('112'!$M$9,G3073,1)&gt;=1,B3073='112'!$K$9,OR($N3073='112'!$I$6,$O3073='112'!$I$6))),"x",""))</f>
        <v/>
      </c>
      <c r="U3073" s="79" t="str">
        <f>IF(ISERROR(FIND('112'!$M$9,G3073,1)),"",IF((AND(LEFT(G3073,2)=LEFT('112'!$M$9,2),B3073&lt;'112'!$K$9,$N3073='112'!$I$6)),"x",""))</f>
        <v/>
      </c>
      <c r="V3073" s="79" t="str">
        <f>IF(ISERROR(FIND('112'!$M$9,G3073,1)),"",IF((AND(RIGHT(G3073,2)=RIGHT('112'!$M$9,2),B3073&lt;'112'!$K$9,$O3073='112'!$I$6)),"x",""))</f>
        <v/>
      </c>
      <c r="W3073" s="79" t="str">
        <f>IF(AND('341-CT'!$H$9=H3073,OR(LEFT(N3073,3)=$W$7,LEFT(O3073,3)=$W$7)),"x","")</f>
        <v/>
      </c>
      <c r="X3073" s="79" t="str">
        <f>IF(OR(TH!N3073=TH!$X$7,O3073=TH!$X$7),"x","")</f>
        <v/>
      </c>
      <c r="Y3073" s="79" t="str">
        <f>IF(AND(OR(N3073="131",O3073="131"),H3073='131-CT'!$H$9),"x","")</f>
        <v/>
      </c>
      <c r="Z3073" s="79"/>
      <c r="AA3073" s="79" t="str">
        <f>IF(AND(MONTH(E3073)='IN-NX'!$J$5,'IN-NX'!$D$7=D3073),"x","")</f>
        <v/>
      </c>
      <c r="AB3073" s="79" t="str">
        <f>IF(AND(OR(LEFT(TH!N3073,2)="15",LEFT(TH!O3073,2)="15"),LEFT(TH!O3073,3)&lt;&gt;"111",'152-CT'!$J$8=TH!F3073),"x","")</f>
        <v/>
      </c>
      <c r="AC3073" s="79" t="str">
        <f>IF(AND(OR(LEFT(TH!N3073,2)="15",LEFT(TH!O3073,2)="15"),TK!$E$7=TH!F3073),"x","")</f>
        <v/>
      </c>
      <c r="AD3073" s="79" t="str">
        <f>IF(AND(N3073="1521",MONTH(C3073)='BK-NL'!$M$11),"x","")</f>
        <v/>
      </c>
    </row>
    <row r="3074" spans="1:30" s="1101" customFormat="1" ht="16.5" customHeight="1">
      <c r="A3074" s="318" t="str">
        <f>IF(B3074&lt;&gt;"",IF(AND(B3074='IN-TC'!$S$4,OR(TH!N3074="1111",TH!O3074="1111")),TH!D3074,""),"")</f>
        <v/>
      </c>
      <c r="B3074" s="60" t="str">
        <f t="shared" si="363"/>
        <v/>
      </c>
      <c r="C3074" s="61"/>
      <c r="D3074" s="61"/>
      <c r="E3074" s="61"/>
      <c r="F3074" s="69"/>
      <c r="G3074" s="64"/>
      <c r="H3074" s="69"/>
      <c r="I3074" s="385"/>
      <c r="J3074" s="395"/>
      <c r="K3074" s="385"/>
      <c r="L3074" s="392"/>
      <c r="M3074" s="62"/>
      <c r="N3074" s="63"/>
      <c r="O3074" s="63"/>
      <c r="P3074" s="79" t="str">
        <f>IF(AND('331-CT'!$E$7=TH!H3074,OR(N3074="331",O3074="331")),"x","")</f>
        <v/>
      </c>
      <c r="Q3074" s="79" t="str">
        <f>IF(AND(B3074='111'!$L$11,OR($N3074=$Q$7,$O3074=$Q$7)),"x","")</f>
        <v/>
      </c>
      <c r="R3074" s="79" t="str">
        <f>IF(AND($N3074=$Q$7,$B3074&lt;'111'!$L$11),"x","")</f>
        <v/>
      </c>
      <c r="S3074" s="79" t="str">
        <f>IF(AND($O3074=$Q$7,$B3074&lt;'111'!$L$11),"x","")</f>
        <v/>
      </c>
      <c r="T3074" s="79" t="str">
        <f>IF(ISERROR(FIND('112'!$M$9,G3074,1)),"",IF((AND(FIND('112'!$M$9,G3074,1)&gt;=1,B3074='112'!$K$9,OR($N3074='112'!$I$6,$O3074='112'!$I$6))),"x",""))</f>
        <v/>
      </c>
      <c r="U3074" s="79" t="str">
        <f>IF(ISERROR(FIND('112'!$M$9,G3074,1)),"",IF((AND(LEFT(G3074,2)=LEFT('112'!$M$9,2),B3074&lt;'112'!$K$9,$N3074='112'!$I$6)),"x",""))</f>
        <v/>
      </c>
      <c r="V3074" s="79" t="str">
        <f>IF(ISERROR(FIND('112'!$M$9,G3074,1)),"",IF((AND(RIGHT(G3074,2)=RIGHT('112'!$M$9,2),B3074&lt;'112'!$K$9,$O3074='112'!$I$6)),"x",""))</f>
        <v/>
      </c>
      <c r="W3074" s="79" t="str">
        <f>IF(AND('341-CT'!$H$9=H3074,OR(LEFT(N3074,3)=$W$7,LEFT(O3074,3)=$W$7)),"x","")</f>
        <v/>
      </c>
      <c r="X3074" s="79" t="str">
        <f>IF(OR(TH!N3074=TH!$X$7,O3074=TH!$X$7),"x","")</f>
        <v/>
      </c>
      <c r="Y3074" s="79" t="str">
        <f>IF(AND(OR(N3074="131",O3074="131"),H3074='131-CT'!$H$9),"x","")</f>
        <v/>
      </c>
      <c r="Z3074" s="79"/>
      <c r="AA3074" s="79" t="str">
        <f>IF(AND(MONTH(E3074)='IN-NX'!$J$5,'IN-NX'!$D$7=D3074),"x","")</f>
        <v/>
      </c>
      <c r="AB3074" s="79" t="str">
        <f>IF(AND(OR(LEFT(TH!N3074,2)="15",LEFT(TH!O3074,2)="15"),LEFT(TH!O3074,3)&lt;&gt;"111",'152-CT'!$J$8=TH!F3074),"x","")</f>
        <v/>
      </c>
      <c r="AC3074" s="79" t="str">
        <f>IF(AND(OR(LEFT(TH!N3074,2)="15",LEFT(TH!O3074,2)="15"),TK!$E$7=TH!F3074),"x","")</f>
        <v/>
      </c>
      <c r="AD3074" s="79" t="str">
        <f>IF(AND(N3074="1521",MONTH(C3074)='BK-NL'!$M$11),"x","")</f>
        <v/>
      </c>
    </row>
    <row r="3075" spans="1:30" s="1101" customFormat="1" ht="16.5" customHeight="1">
      <c r="A3075" s="318" t="str">
        <f>IF(B3075&lt;&gt;"",IF(AND(B3075='IN-TC'!$S$4,OR(TH!N3075="1111",TH!O3075="1111")),TH!D3075,""),"")</f>
        <v/>
      </c>
      <c r="B3075" s="60" t="str">
        <f t="shared" si="363"/>
        <v/>
      </c>
      <c r="C3075" s="61"/>
      <c r="D3075" s="61"/>
      <c r="E3075" s="61"/>
      <c r="F3075" s="69"/>
      <c r="G3075" s="64"/>
      <c r="H3075" s="303"/>
      <c r="I3075" s="385"/>
      <c r="J3075" s="395"/>
      <c r="K3075" s="385"/>
      <c r="L3075" s="392"/>
      <c r="M3075" s="62"/>
      <c r="N3075" s="63"/>
      <c r="O3075" s="63"/>
      <c r="P3075" s="79" t="str">
        <f>IF(AND('331-CT'!$E$7=TH!H3075,OR(N3075="331",O3075="331")),"x","")</f>
        <v/>
      </c>
      <c r="Q3075" s="79" t="str">
        <f>IF(AND(B3075='111'!$L$11,OR($N3075=$Q$7,$O3075=$Q$7)),"x","")</f>
        <v/>
      </c>
      <c r="R3075" s="79" t="str">
        <f>IF(AND($N3075=$Q$7,$B3075&lt;'111'!$L$11),"x","")</f>
        <v/>
      </c>
      <c r="S3075" s="79" t="str">
        <f>IF(AND($O3075=$Q$7,$B3075&lt;'111'!$L$11),"x","")</f>
        <v/>
      </c>
      <c r="T3075" s="79" t="str">
        <f>IF(ISERROR(FIND('112'!$M$9,G3075,1)),"",IF((AND(FIND('112'!$M$9,G3075,1)&gt;=1,B3075='112'!$K$9,OR($N3075='112'!$I$6,$O3075='112'!$I$6))),"x",""))</f>
        <v/>
      </c>
      <c r="U3075" s="79" t="str">
        <f>IF(ISERROR(FIND('112'!$M$9,G3075,1)),"",IF((AND(LEFT(G3075,2)=LEFT('112'!$M$9,2),B3075&lt;'112'!$K$9,$N3075='112'!$I$6)),"x",""))</f>
        <v/>
      </c>
      <c r="V3075" s="79" t="str">
        <f>IF(ISERROR(FIND('112'!$M$9,G3075,1)),"",IF((AND(RIGHT(G3075,2)=RIGHT('112'!$M$9,2),B3075&lt;'112'!$K$9,$O3075='112'!$I$6)),"x",""))</f>
        <v/>
      </c>
      <c r="W3075" s="79" t="str">
        <f>IF(AND('341-CT'!$H$9=H3075,OR(LEFT(N3075,3)=$W$7,LEFT(O3075,3)=$W$7)),"x","")</f>
        <v/>
      </c>
      <c r="X3075" s="79" t="str">
        <f>IF(OR(TH!N3075=TH!$X$7,O3075=TH!$X$7),"x","")</f>
        <v/>
      </c>
      <c r="Y3075" s="79" t="str">
        <f>IF(AND(OR(N3075="131",O3075="131"),H3075='131-CT'!$H$9),"x","")</f>
        <v/>
      </c>
      <c r="Z3075" s="79"/>
      <c r="AA3075" s="79" t="str">
        <f>IF(AND(MONTH(E3075)='IN-NX'!$J$5,'IN-NX'!$D$7=D3075),"x","")</f>
        <v/>
      </c>
      <c r="AB3075" s="79" t="str">
        <f>IF(AND(OR(LEFT(TH!N3075,2)="15",LEFT(TH!O3075,2)="15"),LEFT(TH!O3075,3)&lt;&gt;"111",'152-CT'!$J$8=TH!F3075),"x","")</f>
        <v/>
      </c>
      <c r="AC3075" s="79" t="str">
        <f>IF(AND(OR(LEFT(TH!N3075,2)="15",LEFT(TH!O3075,2)="15"),TK!$E$7=TH!F3075),"x","")</f>
        <v/>
      </c>
      <c r="AD3075" s="79" t="str">
        <f>IF(AND(N3075="1521",MONTH(C3075)='BK-NL'!$M$11),"x","")</f>
        <v/>
      </c>
    </row>
    <row r="3076" spans="1:30" s="1101" customFormat="1" ht="16.5" customHeight="1">
      <c r="A3076" s="318" t="str">
        <f>IF(B3076&lt;&gt;"",IF(AND(B3076='IN-TC'!$S$4,OR(TH!N3076="1111",TH!O3076="1111")),TH!D3076,""),"")</f>
        <v/>
      </c>
      <c r="B3076" s="60" t="str">
        <f t="shared" si="363"/>
        <v/>
      </c>
      <c r="C3076" s="61"/>
      <c r="D3076" s="61"/>
      <c r="E3076" s="61"/>
      <c r="F3076" s="69"/>
      <c r="G3076" s="64"/>
      <c r="H3076" s="69"/>
      <c r="I3076" s="385"/>
      <c r="J3076" s="395"/>
      <c r="K3076" s="385"/>
      <c r="L3076" s="392"/>
      <c r="M3076" s="62"/>
      <c r="N3076" s="63"/>
      <c r="O3076" s="63"/>
      <c r="P3076" s="79" t="str">
        <f>IF(AND('331-CT'!$E$7=TH!H3076,OR(N3076="331",O3076="331")),"x","")</f>
        <v/>
      </c>
      <c r="Q3076" s="79" t="str">
        <f>IF(AND(B3076='111'!$L$11,OR($N3076=$Q$7,$O3076=$Q$7)),"x","")</f>
        <v/>
      </c>
      <c r="R3076" s="79" t="str">
        <f>IF(AND($N3076=$Q$7,$B3076&lt;'111'!$L$11),"x","")</f>
        <v/>
      </c>
      <c r="S3076" s="79" t="str">
        <f>IF(AND($O3076=$Q$7,$B3076&lt;'111'!$L$11),"x","")</f>
        <v/>
      </c>
      <c r="T3076" s="79" t="str">
        <f>IF(ISERROR(FIND('112'!$M$9,G3076,1)),"",IF((AND(FIND('112'!$M$9,G3076,1)&gt;=1,B3076='112'!$K$9,OR($N3076='112'!$I$6,$O3076='112'!$I$6))),"x",""))</f>
        <v/>
      </c>
      <c r="U3076" s="79" t="str">
        <f>IF(ISERROR(FIND('112'!$M$9,G3076,1)),"",IF((AND(LEFT(G3076,2)=LEFT('112'!$M$9,2),B3076&lt;'112'!$K$9,$N3076='112'!$I$6)),"x",""))</f>
        <v/>
      </c>
      <c r="V3076" s="79" t="str">
        <f>IF(ISERROR(FIND('112'!$M$9,G3076,1)),"",IF((AND(RIGHT(G3076,2)=RIGHT('112'!$M$9,2),B3076&lt;'112'!$K$9,$O3076='112'!$I$6)),"x",""))</f>
        <v/>
      </c>
      <c r="W3076" s="79" t="str">
        <f>IF(AND('341-CT'!$H$9=H3076,OR(LEFT(N3076,3)=$W$7,LEFT(O3076,3)=$W$7)),"x","")</f>
        <v/>
      </c>
      <c r="X3076" s="79" t="str">
        <f>IF(OR(TH!N3076=TH!$X$7,O3076=TH!$X$7),"x","")</f>
        <v/>
      </c>
      <c r="Y3076" s="79" t="str">
        <f>IF(AND(OR(N3076="131",O3076="131"),H3076='131-CT'!$H$9),"x","")</f>
        <v/>
      </c>
      <c r="Z3076" s="79"/>
      <c r="AA3076" s="79" t="str">
        <f>IF(AND(MONTH(E3076)='IN-NX'!$J$5,'IN-NX'!$D$7=D3076),"x","")</f>
        <v/>
      </c>
      <c r="AB3076" s="79" t="str">
        <f>IF(AND(OR(LEFT(TH!N3076,2)="15",LEFT(TH!O3076,2)="15"),LEFT(TH!O3076,3)&lt;&gt;"111",'152-CT'!$J$8=TH!F3076),"x","")</f>
        <v/>
      </c>
      <c r="AC3076" s="79" t="str">
        <f>IF(AND(OR(LEFT(TH!N3076,2)="15",LEFT(TH!O3076,2)="15"),TK!$E$7=TH!F3076),"x","")</f>
        <v/>
      </c>
      <c r="AD3076" s="79" t="str">
        <f>IF(AND(N3076="1521",MONTH(C3076)='BK-NL'!$M$11),"x","")</f>
        <v/>
      </c>
    </row>
    <row r="3077" spans="1:30" s="1101" customFormat="1" ht="16.5" customHeight="1">
      <c r="A3077" s="318" t="str">
        <f>IF(B3077&lt;&gt;"",IF(AND(B3077='IN-TC'!$S$4,OR(TH!N3077="1111",TH!O3077="1111")),TH!D3077,""),"")</f>
        <v/>
      </c>
      <c r="B3077" s="60" t="str">
        <f t="shared" si="363"/>
        <v/>
      </c>
      <c r="C3077" s="61"/>
      <c r="D3077" s="61"/>
      <c r="E3077" s="61"/>
      <c r="F3077" s="69"/>
      <c r="G3077" s="64"/>
      <c r="H3077" s="69"/>
      <c r="I3077" s="385"/>
      <c r="J3077" s="395"/>
      <c r="K3077" s="385"/>
      <c r="L3077" s="392"/>
      <c r="M3077" s="62"/>
      <c r="N3077" s="63"/>
      <c r="O3077" s="63"/>
      <c r="P3077" s="79" t="str">
        <f>IF(AND('331-CT'!$E$7=TH!H3077,OR(N3077="331",O3077="331")),"x","")</f>
        <v/>
      </c>
      <c r="Q3077" s="79" t="str">
        <f>IF(AND(B3077='111'!$L$11,OR($N3077=$Q$7,$O3077=$Q$7)),"x","")</f>
        <v/>
      </c>
      <c r="R3077" s="79" t="str">
        <f>IF(AND($N3077=$Q$7,$B3077&lt;'111'!$L$11),"x","")</f>
        <v/>
      </c>
      <c r="S3077" s="79" t="str">
        <f>IF(AND($O3077=$Q$7,$B3077&lt;'111'!$L$11),"x","")</f>
        <v/>
      </c>
      <c r="T3077" s="79" t="str">
        <f>IF(ISERROR(FIND('112'!$M$9,G3077,1)),"",IF((AND(FIND('112'!$M$9,G3077,1)&gt;=1,B3077='112'!$K$9,OR($N3077='112'!$I$6,$O3077='112'!$I$6))),"x",""))</f>
        <v/>
      </c>
      <c r="U3077" s="79" t="str">
        <f>IF(ISERROR(FIND('112'!$M$9,G3077,1)),"",IF((AND(LEFT(G3077,2)=LEFT('112'!$M$9,2),B3077&lt;'112'!$K$9,$N3077='112'!$I$6)),"x",""))</f>
        <v/>
      </c>
      <c r="V3077" s="79" t="str">
        <f>IF(ISERROR(FIND('112'!$M$9,G3077,1)),"",IF((AND(RIGHT(G3077,2)=RIGHT('112'!$M$9,2),B3077&lt;'112'!$K$9,$O3077='112'!$I$6)),"x",""))</f>
        <v/>
      </c>
      <c r="W3077" s="79" t="str">
        <f>IF(AND('341-CT'!$H$9=H3077,OR(LEFT(N3077,3)=$W$7,LEFT(O3077,3)=$W$7)),"x","")</f>
        <v/>
      </c>
      <c r="X3077" s="79" t="str">
        <f>IF(OR(TH!N3077=TH!$X$7,O3077=TH!$X$7),"x","")</f>
        <v/>
      </c>
      <c r="Y3077" s="79" t="str">
        <f>IF(AND(OR(N3077="131",O3077="131"),H3077='131-CT'!$H$9),"x","")</f>
        <v/>
      </c>
      <c r="Z3077" s="79"/>
      <c r="AA3077" s="79" t="str">
        <f>IF(AND(MONTH(E3077)='IN-NX'!$J$5,'IN-NX'!$D$7=D3077),"x","")</f>
        <v/>
      </c>
      <c r="AB3077" s="79" t="str">
        <f>IF(AND(OR(LEFT(TH!N3077,2)="15",LEFT(TH!O3077,2)="15"),LEFT(TH!O3077,3)&lt;&gt;"111",'152-CT'!$J$8=TH!F3077),"x","")</f>
        <v/>
      </c>
      <c r="AC3077" s="79" t="str">
        <f>IF(AND(OR(LEFT(TH!N3077,2)="15",LEFT(TH!O3077,2)="15"),TK!$E$7=TH!F3077),"x","")</f>
        <v/>
      </c>
      <c r="AD3077" s="79" t="str">
        <f>IF(AND(N3077="1521",MONTH(C3077)='BK-NL'!$M$11),"x","")</f>
        <v/>
      </c>
    </row>
    <row r="3078" spans="1:30" s="1101" customFormat="1" ht="16.5" customHeight="1">
      <c r="A3078" s="318" t="str">
        <f>IF(B3078&lt;&gt;"",IF(AND(B3078='IN-TC'!$S$4,OR(TH!N3078="1111",TH!O3078="1111")),TH!D3078,""),"")</f>
        <v/>
      </c>
      <c r="B3078" s="60" t="str">
        <f t="shared" si="363"/>
        <v/>
      </c>
      <c r="C3078" s="61"/>
      <c r="D3078" s="61"/>
      <c r="E3078" s="61"/>
      <c r="F3078" s="69"/>
      <c r="G3078" s="64"/>
      <c r="H3078" s="69"/>
      <c r="I3078" s="387"/>
      <c r="J3078" s="395"/>
      <c r="K3078" s="387"/>
      <c r="L3078" s="394"/>
      <c r="M3078" s="62"/>
      <c r="N3078" s="63"/>
      <c r="O3078" s="63"/>
      <c r="P3078" s="79" t="str">
        <f>IF(AND('331-CT'!$E$7=TH!H3078,OR(N3078="331",O3078="331")),"x","")</f>
        <v/>
      </c>
      <c r="Q3078" s="79" t="str">
        <f>IF(AND(B3078='111'!$L$11,OR($N3078=$Q$7,$O3078=$Q$7)),"x","")</f>
        <v/>
      </c>
      <c r="R3078" s="79" t="str">
        <f>IF(AND($N3078=$Q$7,$B3078&lt;'111'!$L$11),"x","")</f>
        <v/>
      </c>
      <c r="S3078" s="79" t="str">
        <f>IF(AND($O3078=$Q$7,$B3078&lt;'111'!$L$11),"x","")</f>
        <v/>
      </c>
      <c r="T3078" s="79" t="str">
        <f>IF(ISERROR(FIND('112'!$M$9,G3078,1)),"",IF((AND(FIND('112'!$M$9,G3078,1)&gt;=1,B3078='112'!$K$9,OR($N3078='112'!$I$6,$O3078='112'!$I$6))),"x",""))</f>
        <v/>
      </c>
      <c r="U3078" s="79" t="str">
        <f>IF(ISERROR(FIND('112'!$M$9,G3078,1)),"",IF((AND(LEFT(G3078,2)=LEFT('112'!$M$9,2),B3078&lt;'112'!$K$9,$N3078='112'!$I$6)),"x",""))</f>
        <v/>
      </c>
      <c r="V3078" s="79" t="str">
        <f>IF(ISERROR(FIND('112'!$M$9,G3078,1)),"",IF((AND(RIGHT(G3078,2)=RIGHT('112'!$M$9,2),B3078&lt;'112'!$K$9,$O3078='112'!$I$6)),"x",""))</f>
        <v/>
      </c>
      <c r="W3078" s="79" t="str">
        <f>IF(AND('341-CT'!$H$9=H3078,OR(LEFT(N3078,3)=$W$7,LEFT(O3078,3)=$W$7)),"x","")</f>
        <v/>
      </c>
      <c r="X3078" s="79" t="str">
        <f>IF(OR(TH!N3078=TH!$X$7,O3078=TH!$X$7),"x","")</f>
        <v/>
      </c>
      <c r="Y3078" s="79" t="str">
        <f>IF(AND(OR(N3078="131",O3078="131"),H3078='131-CT'!$H$9),"x","")</f>
        <v/>
      </c>
      <c r="Z3078" s="79"/>
      <c r="AA3078" s="79" t="str">
        <f>IF(AND(MONTH(E3078)='IN-NX'!$J$5,'IN-NX'!$D$7=D3078),"x","")</f>
        <v/>
      </c>
      <c r="AB3078" s="79" t="str">
        <f>IF(AND(OR(LEFT(TH!N3078,2)="15",LEFT(TH!O3078,2)="15"),LEFT(TH!O3078,3)&lt;&gt;"111",'152-CT'!$J$8=TH!F3078),"x","")</f>
        <v/>
      </c>
      <c r="AC3078" s="79" t="str">
        <f>IF(AND(OR(LEFT(TH!N3078,2)="15",LEFT(TH!O3078,2)="15"),TK!$E$7=TH!F3078),"x","")</f>
        <v/>
      </c>
      <c r="AD3078" s="79" t="str">
        <f>IF(AND(N3078="1521",MONTH(C3078)='BK-NL'!$M$11),"x","")</f>
        <v/>
      </c>
    </row>
    <row r="3079" spans="1:30" s="1101" customFormat="1" ht="16.5" customHeight="1">
      <c r="A3079" s="318" t="str">
        <f>IF(B3079&lt;&gt;"",IF(AND(B3079='IN-TC'!$S$4,OR(TH!N3079="1111",TH!O3079="1111")),TH!D3079,""),"")</f>
        <v/>
      </c>
      <c r="B3079" s="60" t="str">
        <f t="shared" si="363"/>
        <v/>
      </c>
      <c r="C3079" s="61"/>
      <c r="D3079" s="61"/>
      <c r="E3079" s="61"/>
      <c r="F3079" s="69"/>
      <c r="G3079" s="64"/>
      <c r="H3079" s="69"/>
      <c r="I3079" s="385"/>
      <c r="J3079" s="395"/>
      <c r="K3079" s="385"/>
      <c r="L3079" s="392"/>
      <c r="M3079" s="62"/>
      <c r="N3079" s="63"/>
      <c r="O3079" s="63"/>
      <c r="P3079" s="79" t="str">
        <f>IF(AND('331-CT'!$E$7=TH!H3079,OR(N3079="331",O3079="331")),"x","")</f>
        <v/>
      </c>
      <c r="Q3079" s="79" t="str">
        <f>IF(AND(B3079='111'!$L$11,OR($N3079=$Q$7,$O3079=$Q$7)),"x","")</f>
        <v/>
      </c>
      <c r="R3079" s="79" t="str">
        <f>IF(AND($N3079=$Q$7,$B3079&lt;'111'!$L$11),"x","")</f>
        <v/>
      </c>
      <c r="S3079" s="79" t="str">
        <f>IF(AND($O3079=$Q$7,$B3079&lt;'111'!$L$11),"x","")</f>
        <v/>
      </c>
      <c r="T3079" s="79" t="str">
        <f>IF(ISERROR(FIND('112'!$M$9,G3079,1)),"",IF((AND(FIND('112'!$M$9,G3079,1)&gt;=1,B3079='112'!$K$9,OR($N3079='112'!$I$6,$O3079='112'!$I$6))),"x",""))</f>
        <v/>
      </c>
      <c r="U3079" s="79" t="str">
        <f>IF(ISERROR(FIND('112'!$M$9,G3079,1)),"",IF((AND(LEFT(G3079,2)=LEFT('112'!$M$9,2),B3079&lt;'112'!$K$9,$N3079='112'!$I$6)),"x",""))</f>
        <v/>
      </c>
      <c r="V3079" s="79" t="str">
        <f>IF(ISERROR(FIND('112'!$M$9,G3079,1)),"",IF((AND(RIGHT(G3079,2)=RIGHT('112'!$M$9,2),B3079&lt;'112'!$K$9,$O3079='112'!$I$6)),"x",""))</f>
        <v/>
      </c>
      <c r="W3079" s="79" t="str">
        <f>IF(AND('341-CT'!$H$9=H3079,OR(LEFT(N3079,3)=$W$7,LEFT(O3079,3)=$W$7)),"x","")</f>
        <v/>
      </c>
      <c r="X3079" s="79" t="str">
        <f>IF(OR(TH!N3079=TH!$X$7,O3079=TH!$X$7),"x","")</f>
        <v/>
      </c>
      <c r="Y3079" s="79" t="str">
        <f>IF(AND(OR(N3079="131",O3079="131"),H3079='131-CT'!$H$9),"x","")</f>
        <v/>
      </c>
      <c r="Z3079" s="79"/>
      <c r="AA3079" s="79" t="str">
        <f>IF(AND(MONTH(E3079)='IN-NX'!$J$5,'IN-NX'!$D$7=D3079),"x","")</f>
        <v/>
      </c>
      <c r="AB3079" s="79" t="str">
        <f>IF(AND(OR(LEFT(TH!N3079,2)="15",LEFT(TH!O3079,2)="15"),LEFT(TH!O3079,3)&lt;&gt;"111",'152-CT'!$J$8=TH!F3079),"x","")</f>
        <v/>
      </c>
      <c r="AC3079" s="79" t="str">
        <f>IF(AND(OR(LEFT(TH!N3079,2)="15",LEFT(TH!O3079,2)="15"),TK!$E$7=TH!F3079),"x","")</f>
        <v/>
      </c>
      <c r="AD3079" s="79" t="str">
        <f>IF(AND(N3079="1521",MONTH(C3079)='BK-NL'!$M$11),"x","")</f>
        <v/>
      </c>
    </row>
    <row r="3080" spans="1:30" s="1101" customFormat="1" ht="16.5" customHeight="1">
      <c r="A3080" s="318" t="str">
        <f>IF(B3080&lt;&gt;"",IF(AND(B3080='IN-TC'!$S$4,OR(TH!N3080="1111",TH!O3080="1111")),TH!D3080,""),"")</f>
        <v/>
      </c>
      <c r="B3080" s="60" t="str">
        <f t="shared" si="363"/>
        <v/>
      </c>
      <c r="C3080" s="301"/>
      <c r="D3080" s="301"/>
      <c r="E3080" s="301"/>
      <c r="F3080" s="69"/>
      <c r="G3080" s="988"/>
      <c r="H3080" s="303"/>
      <c r="I3080" s="385"/>
      <c r="J3080" s="969"/>
      <c r="K3080" s="385"/>
      <c r="L3080" s="392"/>
      <c r="M3080" s="970"/>
      <c r="N3080" s="304"/>
      <c r="O3080" s="304"/>
      <c r="P3080" s="79" t="str">
        <f>IF(AND('331-CT'!$E$7=TH!H3080,OR(N3080="331",O3080="331")),"x","")</f>
        <v/>
      </c>
      <c r="Q3080" s="79" t="str">
        <f>IF(AND(B3080='111'!$L$11,OR($N3080=$Q$7,$O3080=$Q$7)),"x","")</f>
        <v/>
      </c>
      <c r="R3080" s="79" t="str">
        <f>IF(AND($N3080=$Q$7,$B3080&lt;'111'!$L$11),"x","")</f>
        <v/>
      </c>
      <c r="S3080" s="79" t="str">
        <f>IF(AND($O3080=$Q$7,$B3080&lt;'111'!$L$11),"x","")</f>
        <v/>
      </c>
      <c r="T3080" s="79" t="str">
        <f>IF(ISERROR(FIND('112'!$M$9,G3080,1)),"",IF((AND(FIND('112'!$M$9,G3080,1)&gt;=1,B3080='112'!$K$9,OR($N3080='112'!$I$6,$O3080='112'!$I$6))),"x",""))</f>
        <v/>
      </c>
      <c r="U3080" s="79" t="str">
        <f>IF(ISERROR(FIND('112'!$M$9,G3080,1)),"",IF((AND(LEFT(G3080,2)=LEFT('112'!$M$9,2),B3080&lt;'112'!$K$9,$N3080='112'!$I$6)),"x",""))</f>
        <v/>
      </c>
      <c r="V3080" s="79" t="str">
        <f>IF(ISERROR(FIND('112'!$M$9,G3080,1)),"",IF((AND(RIGHT(G3080,2)=RIGHT('112'!$M$9,2),B3080&lt;'112'!$K$9,$O3080='112'!$I$6)),"x",""))</f>
        <v/>
      </c>
      <c r="W3080" s="79" t="str">
        <f>IF(AND('341-CT'!$H$9=H3080,OR(LEFT(N3080,3)=$W$7,LEFT(O3080,3)=$W$7)),"x","")</f>
        <v/>
      </c>
      <c r="X3080" s="79" t="str">
        <f>IF(OR(TH!N3080=TH!$X$7,O3080=TH!$X$7),"x","")</f>
        <v/>
      </c>
      <c r="Y3080" s="79" t="str">
        <f>IF(AND(OR(N3080="131",O3080="131"),H3080='131-CT'!$H$9),"x","")</f>
        <v/>
      </c>
      <c r="Z3080" s="79"/>
      <c r="AA3080" s="79" t="str">
        <f>IF(AND(MONTH(E3080)='IN-NX'!$J$5,'IN-NX'!$D$7=D3080),"x","")</f>
        <v/>
      </c>
      <c r="AB3080" s="79" t="str">
        <f>IF(AND(OR(LEFT(TH!N3080,2)="15",LEFT(TH!O3080,2)="15"),LEFT(TH!O3080,3)&lt;&gt;"111",'152-CT'!$J$8=TH!F3080),"x","")</f>
        <v/>
      </c>
      <c r="AC3080" s="79" t="str">
        <f>IF(AND(OR(LEFT(TH!N3080,2)="15",LEFT(TH!O3080,2)="15"),TK!$E$7=TH!F3080),"x","")</f>
        <v/>
      </c>
      <c r="AD3080" s="79" t="str">
        <f>IF(AND(N3080="1521",MONTH(C3080)='BK-NL'!$M$11),"x","")</f>
        <v/>
      </c>
    </row>
    <row r="3081" spans="1:30" s="1101" customFormat="1" ht="16.5" customHeight="1">
      <c r="A3081" s="318" t="str">
        <f>IF(B3081&lt;&gt;"",IF(AND(B3081='IN-TC'!$S$4,OR(TH!N3081="1111",TH!O3081="1111")),TH!D3081,""),"")</f>
        <v/>
      </c>
      <c r="B3081" s="60" t="str">
        <f t="shared" si="363"/>
        <v/>
      </c>
      <c r="C3081" s="61"/>
      <c r="D3081" s="61"/>
      <c r="E3081" s="61"/>
      <c r="F3081" s="69"/>
      <c r="G3081" s="64"/>
      <c r="H3081" s="69"/>
      <c r="I3081" s="387"/>
      <c r="J3081" s="395"/>
      <c r="K3081" s="387"/>
      <c r="L3081" s="394"/>
      <c r="M3081" s="62"/>
      <c r="N3081" s="63"/>
      <c r="O3081" s="304"/>
      <c r="P3081" s="79" t="str">
        <f>IF(AND('331-CT'!$E$7=TH!H3081,OR(N3081="331",O3081="331")),"x","")</f>
        <v/>
      </c>
      <c r="Q3081" s="79" t="str">
        <f>IF(AND(B3081='111'!$L$11,OR($N3081=$Q$7,$O3081=$Q$7)),"x","")</f>
        <v/>
      </c>
      <c r="R3081" s="79" t="str">
        <f>IF(AND($N3081=$Q$7,$B3081&lt;'111'!$L$11),"x","")</f>
        <v/>
      </c>
      <c r="S3081" s="79" t="str">
        <f>IF(AND($O3081=$Q$7,$B3081&lt;'111'!$L$11),"x","")</f>
        <v/>
      </c>
      <c r="T3081" s="79" t="str">
        <f>IF(ISERROR(FIND('112'!$M$9,G3081,1)),"",IF((AND(FIND('112'!$M$9,G3081,1)&gt;=1,B3081='112'!$K$9,OR($N3081='112'!$I$6,$O3081='112'!$I$6))),"x",""))</f>
        <v/>
      </c>
      <c r="U3081" s="79" t="str">
        <f>IF(ISERROR(FIND('112'!$M$9,G3081,1)),"",IF((AND(LEFT(G3081,2)=LEFT('112'!$M$9,2),B3081&lt;'112'!$K$9,$N3081='112'!$I$6)),"x",""))</f>
        <v/>
      </c>
      <c r="V3081" s="79" t="str">
        <f>IF(ISERROR(FIND('112'!$M$9,G3081,1)),"",IF((AND(RIGHT(G3081,2)=RIGHT('112'!$M$9,2),B3081&lt;'112'!$K$9,$O3081='112'!$I$6)),"x",""))</f>
        <v/>
      </c>
      <c r="W3081" s="79" t="str">
        <f>IF(AND('341-CT'!$H$9=H3081,OR(LEFT(N3081,3)=$W$7,LEFT(O3081,3)=$W$7)),"x","")</f>
        <v/>
      </c>
      <c r="X3081" s="79" t="str">
        <f>IF(OR(TH!N3081=TH!$X$7,O3081=TH!$X$7),"x","")</f>
        <v/>
      </c>
      <c r="Y3081" s="79" t="str">
        <f>IF(AND(OR(N3081="131",O3081="131"),H3081='131-CT'!$H$9),"x","")</f>
        <v/>
      </c>
      <c r="Z3081" s="79"/>
      <c r="AA3081" s="79" t="str">
        <f>IF(AND(MONTH(E3081)='IN-NX'!$J$5,'IN-NX'!$D$7=D3081),"x","")</f>
        <v/>
      </c>
      <c r="AB3081" s="79" t="str">
        <f>IF(AND(OR(LEFT(TH!N3081,2)="15",LEFT(TH!O3081,2)="15"),LEFT(TH!O3081,3)&lt;&gt;"111",'152-CT'!$J$8=TH!F3081),"x","")</f>
        <v/>
      </c>
      <c r="AC3081" s="79" t="str">
        <f>IF(AND(OR(LEFT(TH!N3081,2)="15",LEFT(TH!O3081,2)="15"),TK!$E$7=TH!F3081),"x","")</f>
        <v/>
      </c>
      <c r="AD3081" s="79" t="str">
        <f>IF(AND(N3081="1521",MONTH(C3081)='BK-NL'!$M$11),"x","")</f>
        <v/>
      </c>
    </row>
    <row r="3082" spans="1:30" s="1101" customFormat="1" ht="16.5" customHeight="1">
      <c r="A3082" s="318" t="str">
        <f>IF(B3082&lt;&gt;"",IF(AND(B3082='IN-TC'!$S$4,OR(TH!N3082="1111",TH!O3082="1111")),TH!D3082,""),"")</f>
        <v/>
      </c>
      <c r="B3082" s="60" t="str">
        <f t="shared" si="363"/>
        <v/>
      </c>
      <c r="C3082" s="61"/>
      <c r="D3082" s="61"/>
      <c r="E3082" s="61"/>
      <c r="F3082" s="69"/>
      <c r="G3082" s="64"/>
      <c r="H3082" s="69"/>
      <c r="I3082" s="385"/>
      <c r="J3082" s="395"/>
      <c r="K3082" s="385"/>
      <c r="L3082" s="392"/>
      <c r="M3082" s="62"/>
      <c r="N3082" s="63"/>
      <c r="O3082" s="63"/>
      <c r="P3082" s="79" t="str">
        <f>IF(AND('331-CT'!$E$7=TH!H3082,OR(N3082="331",O3082="331")),"x","")</f>
        <v/>
      </c>
      <c r="Q3082" s="79" t="str">
        <f>IF(AND(B3082='111'!$L$11,OR($N3082=$Q$7,$O3082=$Q$7)),"x","")</f>
        <v/>
      </c>
      <c r="R3082" s="79" t="str">
        <f>IF(AND($N3082=$Q$7,$B3082&lt;'111'!$L$11),"x","")</f>
        <v/>
      </c>
      <c r="S3082" s="79" t="str">
        <f>IF(AND($O3082=$Q$7,$B3082&lt;'111'!$L$11),"x","")</f>
        <v/>
      </c>
      <c r="T3082" s="79" t="str">
        <f>IF(ISERROR(FIND('112'!$M$9,G3082,1)),"",IF((AND(FIND('112'!$M$9,G3082,1)&gt;=1,B3082='112'!$K$9,OR($N3082='112'!$I$6,$O3082='112'!$I$6))),"x",""))</f>
        <v/>
      </c>
      <c r="U3082" s="79" t="str">
        <f>IF(ISERROR(FIND('112'!$M$9,G3082,1)),"",IF((AND(LEFT(G3082,2)=LEFT('112'!$M$9,2),B3082&lt;'112'!$K$9,$N3082='112'!$I$6)),"x",""))</f>
        <v/>
      </c>
      <c r="V3082" s="79" t="str">
        <f>IF(ISERROR(FIND('112'!$M$9,G3082,1)),"",IF((AND(RIGHT(G3082,2)=RIGHT('112'!$M$9,2),B3082&lt;'112'!$K$9,$O3082='112'!$I$6)),"x",""))</f>
        <v/>
      </c>
      <c r="W3082" s="79" t="str">
        <f>IF(AND('341-CT'!$H$9=H3082,OR(LEFT(N3082,3)=$W$7,LEFT(O3082,3)=$W$7)),"x","")</f>
        <v/>
      </c>
      <c r="X3082" s="79" t="str">
        <f>IF(OR(TH!N3082=TH!$X$7,O3082=TH!$X$7),"x","")</f>
        <v/>
      </c>
      <c r="Y3082" s="79" t="str">
        <f>IF(AND(OR(N3082="131",O3082="131"),H3082='131-CT'!$H$9),"x","")</f>
        <v/>
      </c>
      <c r="Z3082" s="79"/>
      <c r="AA3082" s="79" t="str">
        <f>IF(AND(MONTH(E3082)='IN-NX'!$J$5,'IN-NX'!$D$7=D3082),"x","")</f>
        <v/>
      </c>
      <c r="AB3082" s="79" t="str">
        <f>IF(AND(OR(LEFT(TH!N3082,2)="15",LEFT(TH!O3082,2)="15"),LEFT(TH!O3082,3)&lt;&gt;"111",'152-CT'!$J$8=TH!F3082),"x","")</f>
        <v/>
      </c>
      <c r="AC3082" s="79" t="str">
        <f>IF(AND(OR(LEFT(TH!N3082,2)="15",LEFT(TH!O3082,2)="15"),TK!$E$7=TH!F3082),"x","")</f>
        <v/>
      </c>
      <c r="AD3082" s="79" t="str">
        <f>IF(AND(N3082="1521",MONTH(C3082)='BK-NL'!$M$11),"x","")</f>
        <v/>
      </c>
    </row>
    <row r="3083" spans="1:30" s="1101" customFormat="1" ht="16.5" customHeight="1">
      <c r="A3083" s="318" t="str">
        <f>IF(B3083&lt;&gt;"",IF(AND(B3083='IN-TC'!$S$4,OR(TH!N3083="1111",TH!O3083="1111")),TH!D3083,""),"")</f>
        <v/>
      </c>
      <c r="B3083" s="60" t="str">
        <f t="shared" ref="B3083:B3101" si="365">IF(C3083&lt;&gt;"",MONTH(C3083),"")</f>
        <v/>
      </c>
      <c r="C3083" s="61"/>
      <c r="D3083" s="61"/>
      <c r="E3083" s="61"/>
      <c r="F3083" s="69"/>
      <c r="G3083" s="64"/>
      <c r="H3083" s="69"/>
      <c r="I3083" s="385"/>
      <c r="J3083" s="395"/>
      <c r="K3083" s="385"/>
      <c r="L3083" s="392"/>
      <c r="M3083" s="62"/>
      <c r="N3083" s="63"/>
      <c r="O3083" s="63"/>
      <c r="P3083" s="79" t="str">
        <f>IF(AND('331-CT'!$E$7=TH!H3083,OR(N3083="331",O3083="331")),"x","")</f>
        <v/>
      </c>
      <c r="Q3083" s="79" t="str">
        <f>IF(AND(B3083='111'!$L$11,OR($N3083=$Q$7,$O3083=$Q$7)),"x","")</f>
        <v/>
      </c>
      <c r="R3083" s="79" t="str">
        <f>IF(AND($N3083=$Q$7,$B3083&lt;'111'!$L$11),"x","")</f>
        <v/>
      </c>
      <c r="S3083" s="79" t="str">
        <f>IF(AND($O3083=$Q$7,$B3083&lt;'111'!$L$11),"x","")</f>
        <v/>
      </c>
      <c r="T3083" s="79" t="str">
        <f>IF(ISERROR(FIND('112'!$M$9,G3083,1)),"",IF((AND(FIND('112'!$M$9,G3083,1)&gt;=1,B3083='112'!$K$9,OR($N3083='112'!$I$6,$O3083='112'!$I$6))),"x",""))</f>
        <v/>
      </c>
      <c r="U3083" s="79" t="str">
        <f>IF(ISERROR(FIND('112'!$M$9,G3083,1)),"",IF((AND(LEFT(G3083,2)=LEFT('112'!$M$9,2),B3083&lt;'112'!$K$9,$N3083='112'!$I$6)),"x",""))</f>
        <v/>
      </c>
      <c r="V3083" s="79" t="str">
        <f>IF(ISERROR(FIND('112'!$M$9,G3083,1)),"",IF((AND(RIGHT(G3083,2)=RIGHT('112'!$M$9,2),B3083&lt;'112'!$K$9,$O3083='112'!$I$6)),"x",""))</f>
        <v/>
      </c>
      <c r="W3083" s="79" t="str">
        <f>IF(AND('341-CT'!$H$9=H3083,OR(LEFT(N3083,3)=$W$7,LEFT(O3083,3)=$W$7)),"x","")</f>
        <v/>
      </c>
      <c r="X3083" s="79" t="str">
        <f>IF(OR(TH!N3083=TH!$X$7,O3083=TH!$X$7),"x","")</f>
        <v/>
      </c>
      <c r="Y3083" s="79" t="str">
        <f>IF(AND(OR(N3083="131",O3083="131"),H3083='131-CT'!$H$9),"x","")</f>
        <v/>
      </c>
      <c r="Z3083" s="79"/>
      <c r="AA3083" s="79" t="str">
        <f>IF(AND(MONTH(E3083)='IN-NX'!$J$5,'IN-NX'!$D$7=D3083),"x","")</f>
        <v/>
      </c>
      <c r="AB3083" s="79" t="str">
        <f>IF(AND(OR(LEFT(TH!N3083,2)="15",LEFT(TH!O3083,2)="15"),LEFT(TH!O3083,3)&lt;&gt;"111",'152-CT'!$J$8=TH!F3083),"x","")</f>
        <v/>
      </c>
      <c r="AC3083" s="79" t="str">
        <f>IF(AND(OR(LEFT(TH!N3083,2)="15",LEFT(TH!O3083,2)="15"),TK!$E$7=TH!F3083),"x","")</f>
        <v/>
      </c>
      <c r="AD3083" s="79" t="str">
        <f>IF(AND(N3083="1521",MONTH(C3083)='BK-NL'!$M$11),"x","")</f>
        <v/>
      </c>
    </row>
    <row r="3084" spans="1:30" s="1101" customFormat="1" ht="16.5" customHeight="1">
      <c r="A3084" s="318" t="str">
        <f>IF(B3084&lt;&gt;"",IF(AND(B3084='IN-TC'!$S$4,OR(TH!N3084="1111",TH!O3084="1111")),TH!D3084,""),"")</f>
        <v/>
      </c>
      <c r="B3084" s="60" t="str">
        <f t="shared" si="365"/>
        <v/>
      </c>
      <c r="C3084" s="61"/>
      <c r="D3084" s="61"/>
      <c r="E3084" s="61"/>
      <c r="F3084" s="69"/>
      <c r="G3084" s="64"/>
      <c r="H3084" s="69"/>
      <c r="I3084" s="385"/>
      <c r="J3084" s="395"/>
      <c r="K3084" s="385"/>
      <c r="L3084" s="392"/>
      <c r="M3084" s="62"/>
      <c r="N3084" s="63"/>
      <c r="O3084" s="63"/>
      <c r="P3084" s="79" t="str">
        <f>IF(AND('331-CT'!$E$7=TH!H3084,OR(N3084="331",O3084="331")),"x","")</f>
        <v/>
      </c>
      <c r="Q3084" s="79" t="str">
        <f>IF(AND(B3084='111'!$L$11,OR($N3084=$Q$7,$O3084=$Q$7)),"x","")</f>
        <v/>
      </c>
      <c r="R3084" s="79" t="str">
        <f>IF(AND($N3084=$Q$7,$B3084&lt;'111'!$L$11),"x","")</f>
        <v/>
      </c>
      <c r="S3084" s="79" t="str">
        <f>IF(AND($O3084=$Q$7,$B3084&lt;'111'!$L$11),"x","")</f>
        <v/>
      </c>
      <c r="T3084" s="79" t="str">
        <f>IF(ISERROR(FIND('112'!$M$9,G3084,1)),"",IF((AND(FIND('112'!$M$9,G3084,1)&gt;=1,B3084='112'!$K$9,OR($N3084='112'!$I$6,$O3084='112'!$I$6))),"x",""))</f>
        <v/>
      </c>
      <c r="U3084" s="79" t="str">
        <f>IF(ISERROR(FIND('112'!$M$9,G3084,1)),"",IF((AND(LEFT(G3084,2)=LEFT('112'!$M$9,2),B3084&lt;'112'!$K$9,$N3084='112'!$I$6)),"x",""))</f>
        <v/>
      </c>
      <c r="V3084" s="79" t="str">
        <f>IF(ISERROR(FIND('112'!$M$9,G3084,1)),"",IF((AND(RIGHT(G3084,2)=RIGHT('112'!$M$9,2),B3084&lt;'112'!$K$9,$O3084='112'!$I$6)),"x",""))</f>
        <v/>
      </c>
      <c r="W3084" s="79" t="str">
        <f>IF(AND('341-CT'!$H$9=H3084,OR(LEFT(N3084,3)=$W$7,LEFT(O3084,3)=$W$7)),"x","")</f>
        <v/>
      </c>
      <c r="X3084" s="79" t="str">
        <f>IF(OR(TH!N3084=TH!$X$7,O3084=TH!$X$7),"x","")</f>
        <v/>
      </c>
      <c r="Y3084" s="79" t="str">
        <f>IF(AND(OR(N3084="131",O3084="131"),H3084='131-CT'!$H$9),"x","")</f>
        <v/>
      </c>
      <c r="Z3084" s="79"/>
      <c r="AA3084" s="79" t="str">
        <f>IF(AND(MONTH(E3084)='IN-NX'!$J$5,'IN-NX'!$D$7=D3084),"x","")</f>
        <v/>
      </c>
      <c r="AB3084" s="79" t="str">
        <f>IF(AND(OR(LEFT(TH!N3084,2)="15",LEFT(TH!O3084,2)="15"),LEFT(TH!O3084,3)&lt;&gt;"111",'152-CT'!$J$8=TH!F3084),"x","")</f>
        <v/>
      </c>
      <c r="AC3084" s="79" t="str">
        <f>IF(AND(OR(LEFT(TH!N3084,2)="15",LEFT(TH!O3084,2)="15"),TK!$E$7=TH!F3084),"x","")</f>
        <v/>
      </c>
      <c r="AD3084" s="79" t="str">
        <f>IF(AND(N3084="1521",MONTH(C3084)='BK-NL'!$M$11),"x","")</f>
        <v/>
      </c>
    </row>
    <row r="3085" spans="1:30" s="1101" customFormat="1" ht="16.5" customHeight="1">
      <c r="A3085" s="318" t="str">
        <f>IF(B3085&lt;&gt;"",IF(AND(B3085='IN-TC'!$S$4,OR(TH!N3085="1111",TH!O3085="1111")),TH!D3085,""),"")</f>
        <v/>
      </c>
      <c r="B3085" s="60" t="str">
        <f t="shared" si="365"/>
        <v/>
      </c>
      <c r="C3085" s="61"/>
      <c r="D3085" s="61"/>
      <c r="E3085" s="61"/>
      <c r="F3085" s="69"/>
      <c r="G3085" s="64"/>
      <c r="H3085" s="69"/>
      <c r="I3085" s="385"/>
      <c r="J3085" s="395"/>
      <c r="K3085" s="385"/>
      <c r="L3085" s="392"/>
      <c r="M3085" s="62"/>
      <c r="N3085" s="63"/>
      <c r="O3085" s="63"/>
      <c r="P3085" s="79" t="str">
        <f>IF(AND('331-CT'!$E$7=TH!H3085,OR(N3085="331",O3085="331")),"x","")</f>
        <v/>
      </c>
      <c r="Q3085" s="79" t="str">
        <f>IF(AND(B3085='111'!$L$11,OR($N3085=$Q$7,$O3085=$Q$7)),"x","")</f>
        <v/>
      </c>
      <c r="R3085" s="79" t="str">
        <f>IF(AND($N3085=$Q$7,$B3085&lt;'111'!$L$11),"x","")</f>
        <v/>
      </c>
      <c r="S3085" s="79" t="str">
        <f>IF(AND($O3085=$Q$7,$B3085&lt;'111'!$L$11),"x","")</f>
        <v/>
      </c>
      <c r="T3085" s="79" t="str">
        <f>IF(ISERROR(FIND('112'!$M$9,G3085,1)),"",IF((AND(FIND('112'!$M$9,G3085,1)&gt;=1,B3085='112'!$K$9,OR($N3085='112'!$I$6,$O3085='112'!$I$6))),"x",""))</f>
        <v/>
      </c>
      <c r="U3085" s="79" t="str">
        <f>IF(ISERROR(FIND('112'!$M$9,G3085,1)),"",IF((AND(LEFT(G3085,2)=LEFT('112'!$M$9,2),B3085&lt;'112'!$K$9,$N3085='112'!$I$6)),"x",""))</f>
        <v/>
      </c>
      <c r="V3085" s="79" t="str">
        <f>IF(ISERROR(FIND('112'!$M$9,G3085,1)),"",IF((AND(RIGHT(G3085,2)=RIGHT('112'!$M$9,2),B3085&lt;'112'!$K$9,$O3085='112'!$I$6)),"x",""))</f>
        <v/>
      </c>
      <c r="W3085" s="79" t="str">
        <f>IF(AND('341-CT'!$H$9=H3085,OR(LEFT(N3085,3)=$W$7,LEFT(O3085,3)=$W$7)),"x","")</f>
        <v/>
      </c>
      <c r="X3085" s="79" t="str">
        <f>IF(OR(TH!N3085=TH!$X$7,O3085=TH!$X$7),"x","")</f>
        <v/>
      </c>
      <c r="Y3085" s="79" t="str">
        <f>IF(AND(OR(N3085="131",O3085="131"),H3085='131-CT'!$H$9),"x","")</f>
        <v/>
      </c>
      <c r="Z3085" s="79"/>
      <c r="AA3085" s="79" t="str">
        <f>IF(AND(MONTH(E3085)='IN-NX'!$J$5,'IN-NX'!$D$7=D3085),"x","")</f>
        <v/>
      </c>
      <c r="AB3085" s="79" t="str">
        <f>IF(AND(OR(LEFT(TH!N3085,2)="15",LEFT(TH!O3085,2)="15"),LEFT(TH!O3085,3)&lt;&gt;"111",'152-CT'!$J$8=TH!F3085),"x","")</f>
        <v/>
      </c>
      <c r="AC3085" s="79" t="str">
        <f>IF(AND(OR(LEFT(TH!N3085,2)="15",LEFT(TH!O3085,2)="15"),TK!$E$7=TH!F3085),"x","")</f>
        <v/>
      </c>
      <c r="AD3085" s="79" t="str">
        <f>IF(AND(N3085="1521",MONTH(C3085)='BK-NL'!$M$11),"x","")</f>
        <v/>
      </c>
    </row>
    <row r="3086" spans="1:30" s="1101" customFormat="1" ht="16.5" customHeight="1">
      <c r="A3086" s="318" t="str">
        <f>IF(B3086&lt;&gt;"",IF(AND(B3086='IN-TC'!$S$4,OR(TH!N3086="1111",TH!O3086="1111")),TH!D3086,""),"")</f>
        <v/>
      </c>
      <c r="B3086" s="60" t="str">
        <f t="shared" si="365"/>
        <v/>
      </c>
      <c r="C3086" s="61"/>
      <c r="D3086" s="61"/>
      <c r="E3086" s="61"/>
      <c r="F3086" s="69"/>
      <c r="G3086" s="64"/>
      <c r="H3086" s="69"/>
      <c r="I3086" s="385"/>
      <c r="J3086" s="395"/>
      <c r="K3086" s="385"/>
      <c r="L3086" s="392"/>
      <c r="M3086" s="62"/>
      <c r="N3086" s="63"/>
      <c r="O3086" s="63"/>
      <c r="P3086" s="79" t="str">
        <f>IF(AND('331-CT'!$E$7=TH!H3086,OR(N3086="331",O3086="331")),"x","")</f>
        <v/>
      </c>
      <c r="Q3086" s="79" t="str">
        <f>IF(AND(B3086='111'!$L$11,OR($N3086=$Q$7,$O3086=$Q$7)),"x","")</f>
        <v/>
      </c>
      <c r="R3086" s="79" t="str">
        <f>IF(AND($N3086=$Q$7,$B3086&lt;'111'!$L$11),"x","")</f>
        <v/>
      </c>
      <c r="S3086" s="79" t="str">
        <f>IF(AND($O3086=$Q$7,$B3086&lt;'111'!$L$11),"x","")</f>
        <v/>
      </c>
      <c r="T3086" s="79" t="str">
        <f>IF(ISERROR(FIND('112'!$M$9,G3086,1)),"",IF((AND(FIND('112'!$M$9,G3086,1)&gt;=1,B3086='112'!$K$9,OR($N3086='112'!$I$6,$O3086='112'!$I$6))),"x",""))</f>
        <v/>
      </c>
      <c r="U3086" s="79" t="str">
        <f>IF(ISERROR(FIND('112'!$M$9,G3086,1)),"",IF((AND(LEFT(G3086,2)=LEFT('112'!$M$9,2),B3086&lt;'112'!$K$9,$N3086='112'!$I$6)),"x",""))</f>
        <v/>
      </c>
      <c r="V3086" s="79" t="str">
        <f>IF(ISERROR(FIND('112'!$M$9,G3086,1)),"",IF((AND(RIGHT(G3086,2)=RIGHT('112'!$M$9,2),B3086&lt;'112'!$K$9,$O3086='112'!$I$6)),"x",""))</f>
        <v/>
      </c>
      <c r="W3086" s="79" t="str">
        <f>IF(AND('341-CT'!$H$9=H3086,OR(LEFT(N3086,3)=$W$7,LEFT(O3086,3)=$W$7)),"x","")</f>
        <v/>
      </c>
      <c r="X3086" s="79" t="str">
        <f>IF(OR(TH!N3086=TH!$X$7,O3086=TH!$X$7),"x","")</f>
        <v/>
      </c>
      <c r="Y3086" s="79" t="str">
        <f>IF(AND(OR(N3086="131",O3086="131"),H3086='131-CT'!$H$9),"x","")</f>
        <v/>
      </c>
      <c r="Z3086" s="79"/>
      <c r="AA3086" s="79" t="str">
        <f>IF(AND(MONTH(E3086)='IN-NX'!$J$5,'IN-NX'!$D$7=D3086),"x","")</f>
        <v/>
      </c>
      <c r="AB3086" s="79" t="str">
        <f>IF(AND(OR(LEFT(TH!N3086,2)="15",LEFT(TH!O3086,2)="15"),LEFT(TH!O3086,3)&lt;&gt;"111",'152-CT'!$J$8=TH!F3086),"x","")</f>
        <v/>
      </c>
      <c r="AC3086" s="79" t="str">
        <f>IF(AND(OR(LEFT(TH!N3086,2)="15",LEFT(TH!O3086,2)="15"),TK!$E$7=TH!F3086),"x","")</f>
        <v/>
      </c>
      <c r="AD3086" s="79" t="str">
        <f>IF(AND(N3086="1521",MONTH(C3086)='BK-NL'!$M$11),"x","")</f>
        <v/>
      </c>
    </row>
    <row r="3087" spans="1:30" s="1101" customFormat="1" ht="16.5" customHeight="1">
      <c r="A3087" s="318" t="str">
        <f>IF(B3087&lt;&gt;"",IF(AND(B3087='IN-TC'!$S$4,OR(TH!N3087="1111",TH!O3087="1111")),TH!D3087,""),"")</f>
        <v/>
      </c>
      <c r="B3087" s="60" t="str">
        <f t="shared" si="365"/>
        <v/>
      </c>
      <c r="C3087" s="61"/>
      <c r="D3087" s="61"/>
      <c r="E3087" s="61"/>
      <c r="F3087" s="69"/>
      <c r="G3087" s="64"/>
      <c r="H3087" s="69"/>
      <c r="I3087" s="385"/>
      <c r="J3087" s="395"/>
      <c r="K3087" s="385"/>
      <c r="L3087" s="392"/>
      <c r="M3087" s="62"/>
      <c r="N3087" s="63"/>
      <c r="O3087" s="63"/>
      <c r="P3087" s="79" t="str">
        <f>IF(AND('331-CT'!$E$7=TH!H3087,OR(N3087="331",O3087="331")),"x","")</f>
        <v/>
      </c>
      <c r="Q3087" s="79" t="str">
        <f>IF(AND(B3087='111'!$L$11,OR($N3087=$Q$7,$O3087=$Q$7)),"x","")</f>
        <v/>
      </c>
      <c r="R3087" s="79" t="str">
        <f>IF(AND($N3087=$Q$7,$B3087&lt;'111'!$L$11),"x","")</f>
        <v/>
      </c>
      <c r="S3087" s="79" t="str">
        <f>IF(AND($O3087=$Q$7,$B3087&lt;'111'!$L$11),"x","")</f>
        <v/>
      </c>
      <c r="T3087" s="79" t="str">
        <f>IF(ISERROR(FIND('112'!$M$9,G3087,1)),"",IF((AND(FIND('112'!$M$9,G3087,1)&gt;=1,B3087='112'!$K$9,OR($N3087='112'!$I$6,$O3087='112'!$I$6))),"x",""))</f>
        <v/>
      </c>
      <c r="U3087" s="79" t="str">
        <f>IF(ISERROR(FIND('112'!$M$9,G3087,1)),"",IF((AND(LEFT(G3087,2)=LEFT('112'!$M$9,2),B3087&lt;'112'!$K$9,$N3087='112'!$I$6)),"x",""))</f>
        <v/>
      </c>
      <c r="V3087" s="79" t="str">
        <f>IF(ISERROR(FIND('112'!$M$9,G3087,1)),"",IF((AND(RIGHT(G3087,2)=RIGHT('112'!$M$9,2),B3087&lt;'112'!$K$9,$O3087='112'!$I$6)),"x",""))</f>
        <v/>
      </c>
      <c r="W3087" s="79" t="str">
        <f>IF(AND('341-CT'!$H$9=H3087,OR(LEFT(N3087,3)=$W$7,LEFT(O3087,3)=$W$7)),"x","")</f>
        <v/>
      </c>
      <c r="X3087" s="79" t="str">
        <f>IF(OR(TH!N3087=TH!$X$7,O3087=TH!$X$7),"x","")</f>
        <v/>
      </c>
      <c r="Y3087" s="79" t="str">
        <f>IF(AND(OR(N3087="131",O3087="131"),H3087='131-CT'!$H$9),"x","")</f>
        <v/>
      </c>
      <c r="Z3087" s="79"/>
      <c r="AA3087" s="79" t="str">
        <f>IF(AND(MONTH(E3087)='IN-NX'!$J$5,'IN-NX'!$D$7=D3087),"x","")</f>
        <v/>
      </c>
      <c r="AB3087" s="79" t="str">
        <f>IF(AND(OR(LEFT(TH!N3087,2)="15",LEFT(TH!O3087,2)="15"),LEFT(TH!O3087,3)&lt;&gt;"111",'152-CT'!$J$8=TH!F3087),"x","")</f>
        <v/>
      </c>
      <c r="AC3087" s="79" t="str">
        <f>IF(AND(OR(LEFT(TH!N3087,2)="15",LEFT(TH!O3087,2)="15"),TK!$E$7=TH!F3087),"x","")</f>
        <v/>
      </c>
      <c r="AD3087" s="79" t="str">
        <f>IF(AND(N3087="1521",MONTH(C3087)='BK-NL'!$M$11),"x","")</f>
        <v/>
      </c>
    </row>
    <row r="3088" spans="1:30" s="1101" customFormat="1" ht="16.5" customHeight="1">
      <c r="A3088" s="318" t="str">
        <f>IF(B3088&lt;&gt;"",IF(AND(B3088='IN-TC'!$S$4,OR(TH!N3088="1111",TH!O3088="1111")),TH!D3088,""),"")</f>
        <v/>
      </c>
      <c r="B3088" s="60" t="str">
        <f t="shared" si="365"/>
        <v/>
      </c>
      <c r="C3088" s="61"/>
      <c r="D3088" s="61"/>
      <c r="E3088" s="61"/>
      <c r="F3088" s="69"/>
      <c r="G3088" s="64"/>
      <c r="H3088" s="69"/>
      <c r="I3088" s="385"/>
      <c r="J3088" s="395"/>
      <c r="K3088" s="385"/>
      <c r="L3088" s="392"/>
      <c r="M3088" s="62"/>
      <c r="N3088" s="63"/>
      <c r="O3088" s="63"/>
      <c r="P3088" s="79" t="str">
        <f>IF(AND('331-CT'!$E$7=TH!H3088,OR(N3088="331",O3088="331")),"x","")</f>
        <v/>
      </c>
      <c r="Q3088" s="79" t="str">
        <f>IF(AND(B3088='111'!$L$11,OR($N3088=$Q$7,$O3088=$Q$7)),"x","")</f>
        <v/>
      </c>
      <c r="R3088" s="79" t="str">
        <f>IF(AND($N3088=$Q$7,$B3088&lt;'111'!$L$11),"x","")</f>
        <v/>
      </c>
      <c r="S3088" s="79" t="str">
        <f>IF(AND($O3088=$Q$7,$B3088&lt;'111'!$L$11),"x","")</f>
        <v/>
      </c>
      <c r="T3088" s="79" t="str">
        <f>IF(ISERROR(FIND('112'!$M$9,G3088,1)),"",IF((AND(FIND('112'!$M$9,G3088,1)&gt;=1,B3088='112'!$K$9,OR($N3088='112'!$I$6,$O3088='112'!$I$6))),"x",""))</f>
        <v/>
      </c>
      <c r="U3088" s="79" t="str">
        <f>IF(ISERROR(FIND('112'!$M$9,G3088,1)),"",IF((AND(LEFT(G3088,2)=LEFT('112'!$M$9,2),B3088&lt;'112'!$K$9,$N3088='112'!$I$6)),"x",""))</f>
        <v/>
      </c>
      <c r="V3088" s="79" t="str">
        <f>IF(ISERROR(FIND('112'!$M$9,G3088,1)),"",IF((AND(RIGHT(G3088,2)=RIGHT('112'!$M$9,2),B3088&lt;'112'!$K$9,$O3088='112'!$I$6)),"x",""))</f>
        <v/>
      </c>
      <c r="W3088" s="79" t="str">
        <f>IF(AND('341-CT'!$H$9=H3088,OR(LEFT(N3088,3)=$W$7,LEFT(O3088,3)=$W$7)),"x","")</f>
        <v/>
      </c>
      <c r="X3088" s="79" t="str">
        <f>IF(OR(TH!N3088=TH!$X$7,O3088=TH!$X$7),"x","")</f>
        <v/>
      </c>
      <c r="Y3088" s="79" t="str">
        <f>IF(AND(OR(N3088="131",O3088="131"),H3088='131-CT'!$H$9),"x","")</f>
        <v/>
      </c>
      <c r="Z3088" s="79"/>
      <c r="AA3088" s="79" t="str">
        <f>IF(AND(MONTH(E3088)='IN-NX'!$J$5,'IN-NX'!$D$7=D3088),"x","")</f>
        <v/>
      </c>
      <c r="AB3088" s="79" t="str">
        <f>IF(AND(OR(LEFT(TH!N3088,2)="15",LEFT(TH!O3088,2)="15"),LEFT(TH!O3088,3)&lt;&gt;"111",'152-CT'!$J$8=TH!F3088),"x","")</f>
        <v/>
      </c>
      <c r="AC3088" s="79" t="str">
        <f>IF(AND(OR(LEFT(TH!N3088,2)="15",LEFT(TH!O3088,2)="15"),TK!$E$7=TH!F3088),"x","")</f>
        <v/>
      </c>
      <c r="AD3088" s="79" t="str">
        <f>IF(AND(N3088="1521",MONTH(C3088)='BK-NL'!$M$11),"x","")</f>
        <v/>
      </c>
    </row>
    <row r="3089" spans="1:30" s="1101" customFormat="1" ht="16.5" customHeight="1">
      <c r="A3089" s="318" t="str">
        <f>IF(B3089&lt;&gt;"",IF(AND(B3089='IN-TC'!$S$4,OR(TH!N3089="1111",TH!O3089="1111")),TH!D3089,""),"")</f>
        <v/>
      </c>
      <c r="B3089" s="60" t="str">
        <f t="shared" si="365"/>
        <v/>
      </c>
      <c r="C3089" s="61"/>
      <c r="D3089" s="61"/>
      <c r="E3089" s="61"/>
      <c r="F3089" s="69"/>
      <c r="G3089" s="64"/>
      <c r="H3089" s="69"/>
      <c r="I3089" s="385"/>
      <c r="J3089" s="395"/>
      <c r="K3089" s="385"/>
      <c r="L3089" s="392"/>
      <c r="M3089" s="62"/>
      <c r="N3089" s="63"/>
      <c r="O3089" s="63"/>
      <c r="P3089" s="79" t="str">
        <f>IF(AND('331-CT'!$E$7=TH!H3089,OR(N3089="331",O3089="331")),"x","")</f>
        <v/>
      </c>
      <c r="Q3089" s="79" t="str">
        <f>IF(AND(B3089='111'!$L$11,OR($N3089=$Q$7,$O3089=$Q$7)),"x","")</f>
        <v/>
      </c>
      <c r="R3089" s="79" t="str">
        <f>IF(AND($N3089=$Q$7,$B3089&lt;'111'!$L$11),"x","")</f>
        <v/>
      </c>
      <c r="S3089" s="79" t="str">
        <f>IF(AND($O3089=$Q$7,$B3089&lt;'111'!$L$11),"x","")</f>
        <v/>
      </c>
      <c r="T3089" s="79" t="str">
        <f>IF(ISERROR(FIND('112'!$M$9,G3089,1)),"",IF((AND(FIND('112'!$M$9,G3089,1)&gt;=1,B3089='112'!$K$9,OR($N3089='112'!$I$6,$O3089='112'!$I$6))),"x",""))</f>
        <v/>
      </c>
      <c r="U3089" s="79" t="str">
        <f>IF(ISERROR(FIND('112'!$M$9,G3089,1)),"",IF((AND(LEFT(G3089,2)=LEFT('112'!$M$9,2),B3089&lt;'112'!$K$9,$N3089='112'!$I$6)),"x",""))</f>
        <v/>
      </c>
      <c r="V3089" s="79" t="str">
        <f>IF(ISERROR(FIND('112'!$M$9,G3089,1)),"",IF((AND(RIGHT(G3089,2)=RIGHT('112'!$M$9,2),B3089&lt;'112'!$K$9,$O3089='112'!$I$6)),"x",""))</f>
        <v/>
      </c>
      <c r="W3089" s="79" t="str">
        <f>IF(AND('341-CT'!$H$9=H3089,OR(LEFT(N3089,3)=$W$7,LEFT(O3089,3)=$W$7)),"x","")</f>
        <v/>
      </c>
      <c r="X3089" s="79" t="str">
        <f>IF(OR(TH!N3089=TH!$X$7,O3089=TH!$X$7),"x","")</f>
        <v/>
      </c>
      <c r="Y3089" s="79" t="str">
        <f>IF(AND(OR(N3089="131",O3089="131"),H3089='131-CT'!$H$9),"x","")</f>
        <v/>
      </c>
      <c r="Z3089" s="79"/>
      <c r="AA3089" s="79" t="str">
        <f>IF(AND(MONTH(E3089)='IN-NX'!$J$5,'IN-NX'!$D$7=D3089),"x","")</f>
        <v/>
      </c>
      <c r="AB3089" s="79" t="str">
        <f>IF(AND(OR(LEFT(TH!N3089,2)="15",LEFT(TH!O3089,2)="15"),LEFT(TH!O3089,3)&lt;&gt;"111",'152-CT'!$J$8=TH!F3089),"x","")</f>
        <v/>
      </c>
      <c r="AC3089" s="79" t="str">
        <f>IF(AND(OR(LEFT(TH!N3089,2)="15",LEFT(TH!O3089,2)="15"),TK!$E$7=TH!F3089),"x","")</f>
        <v/>
      </c>
      <c r="AD3089" s="79" t="str">
        <f>IF(AND(N3089="1521",MONTH(C3089)='BK-NL'!$M$11),"x","")</f>
        <v/>
      </c>
    </row>
    <row r="3090" spans="1:30" s="1101" customFormat="1" ht="16.5" customHeight="1">
      <c r="A3090" s="318" t="str">
        <f>IF(B3090&lt;&gt;"",IF(AND(B3090='IN-TC'!$S$4,OR(TH!N3090="1111",TH!O3090="1111")),TH!D3090,""),"")</f>
        <v/>
      </c>
      <c r="B3090" s="60" t="str">
        <f t="shared" si="365"/>
        <v/>
      </c>
      <c r="C3090" s="61"/>
      <c r="D3090" s="61"/>
      <c r="E3090" s="61"/>
      <c r="F3090" s="69"/>
      <c r="G3090" s="64"/>
      <c r="H3090" s="69"/>
      <c r="I3090" s="385"/>
      <c r="J3090" s="395"/>
      <c r="K3090" s="385"/>
      <c r="L3090" s="392"/>
      <c r="M3090" s="62"/>
      <c r="N3090" s="63"/>
      <c r="O3090" s="63"/>
      <c r="P3090" s="79" t="str">
        <f>IF(AND('331-CT'!$E$7=TH!H3090,OR(N3090="331",O3090="331")),"x","")</f>
        <v/>
      </c>
      <c r="Q3090" s="79" t="str">
        <f>IF(AND(B3090='111'!$L$11,OR($N3090=$Q$7,$O3090=$Q$7)),"x","")</f>
        <v/>
      </c>
      <c r="R3090" s="79" t="str">
        <f>IF(AND($N3090=$Q$7,$B3090&lt;'111'!$L$11),"x","")</f>
        <v/>
      </c>
      <c r="S3090" s="79" t="str">
        <f>IF(AND($O3090=$Q$7,$B3090&lt;'111'!$L$11),"x","")</f>
        <v/>
      </c>
      <c r="T3090" s="79" t="str">
        <f>IF(ISERROR(FIND('112'!$M$9,G3090,1)),"",IF((AND(FIND('112'!$M$9,G3090,1)&gt;=1,B3090='112'!$K$9,OR($N3090='112'!$I$6,$O3090='112'!$I$6))),"x",""))</f>
        <v/>
      </c>
      <c r="U3090" s="79" t="str">
        <f>IF(ISERROR(FIND('112'!$M$9,G3090,1)),"",IF((AND(LEFT(G3090,2)=LEFT('112'!$M$9,2),B3090&lt;'112'!$K$9,$N3090='112'!$I$6)),"x",""))</f>
        <v/>
      </c>
      <c r="V3090" s="79" t="str">
        <f>IF(ISERROR(FIND('112'!$M$9,G3090,1)),"",IF((AND(RIGHT(G3090,2)=RIGHT('112'!$M$9,2),B3090&lt;'112'!$K$9,$O3090='112'!$I$6)),"x",""))</f>
        <v/>
      </c>
      <c r="W3090" s="79" t="str">
        <f>IF(AND('341-CT'!$H$9=H3090,OR(LEFT(N3090,3)=$W$7,LEFT(O3090,3)=$W$7)),"x","")</f>
        <v/>
      </c>
      <c r="X3090" s="79" t="str">
        <f>IF(OR(TH!N3090=TH!$X$7,O3090=TH!$X$7),"x","")</f>
        <v/>
      </c>
      <c r="Y3090" s="79" t="str">
        <f>IF(AND(OR(N3090="131",O3090="131"),H3090='131-CT'!$H$9),"x","")</f>
        <v/>
      </c>
      <c r="Z3090" s="79"/>
      <c r="AA3090" s="79" t="str">
        <f>IF(AND(MONTH(E3090)='IN-NX'!$J$5,'IN-NX'!$D$7=D3090),"x","")</f>
        <v/>
      </c>
      <c r="AB3090" s="79" t="str">
        <f>IF(AND(OR(LEFT(TH!N3090,2)="15",LEFT(TH!O3090,2)="15"),LEFT(TH!O3090,3)&lt;&gt;"111",'152-CT'!$J$8=TH!F3090),"x","")</f>
        <v/>
      </c>
      <c r="AC3090" s="79" t="str">
        <f>IF(AND(OR(LEFT(TH!N3090,2)="15",LEFT(TH!O3090,2)="15"),TK!$E$7=TH!F3090),"x","")</f>
        <v/>
      </c>
      <c r="AD3090" s="79" t="str">
        <f>IF(AND(N3090="1521",MONTH(C3090)='BK-NL'!$M$11),"x","")</f>
        <v/>
      </c>
    </row>
    <row r="3091" spans="1:30" s="1101" customFormat="1" ht="16.5" customHeight="1">
      <c r="A3091" s="318" t="str">
        <f>IF(B3091&lt;&gt;"",IF(AND(B3091='IN-TC'!$S$4,OR(TH!N3091="1111",TH!O3091="1111")),TH!D3091,""),"")</f>
        <v/>
      </c>
      <c r="B3091" s="60" t="str">
        <f t="shared" ref="B3091:B3092" si="366">IF(C3091&lt;&gt;"",MONTH(C3091),"")</f>
        <v/>
      </c>
      <c r="C3091" s="61"/>
      <c r="D3091" s="61"/>
      <c r="E3091" s="61"/>
      <c r="F3091" s="69"/>
      <c r="G3091" s="64"/>
      <c r="H3091" s="69"/>
      <c r="I3091" s="385"/>
      <c r="J3091" s="395"/>
      <c r="K3091" s="385"/>
      <c r="L3091" s="392"/>
      <c r="M3091" s="62"/>
      <c r="N3091" s="63"/>
      <c r="O3091" s="63"/>
      <c r="P3091" s="79" t="str">
        <f>IF(AND('331-CT'!$E$7=TH!H3091,OR(N3091="331",O3091="331")),"x","")</f>
        <v/>
      </c>
      <c r="Q3091" s="79" t="str">
        <f>IF(AND(B3091='111'!$L$11,OR($N3091=$Q$7,$O3091=$Q$7)),"x","")</f>
        <v/>
      </c>
      <c r="R3091" s="79" t="str">
        <f>IF(AND($N3091=$Q$7,$B3091&lt;'111'!$L$11),"x","")</f>
        <v/>
      </c>
      <c r="S3091" s="79" t="str">
        <f>IF(AND($O3091=$Q$7,$B3091&lt;'111'!$L$11),"x","")</f>
        <v/>
      </c>
      <c r="T3091" s="79" t="str">
        <f>IF(ISERROR(FIND('112'!$M$9,G3091,1)),"",IF((AND(FIND('112'!$M$9,G3091,1)&gt;=1,B3091='112'!$K$9,OR($N3091='112'!$I$6,$O3091='112'!$I$6))),"x",""))</f>
        <v/>
      </c>
      <c r="U3091" s="79" t="str">
        <f>IF(ISERROR(FIND('112'!$M$9,G3091,1)),"",IF((AND(LEFT(G3091,2)=LEFT('112'!$M$9,2),B3091&lt;'112'!$K$9,$N3091='112'!$I$6)),"x",""))</f>
        <v/>
      </c>
      <c r="V3091" s="79" t="str">
        <f>IF(ISERROR(FIND('112'!$M$9,G3091,1)),"",IF((AND(RIGHT(G3091,2)=RIGHT('112'!$M$9,2),B3091&lt;'112'!$K$9,$O3091='112'!$I$6)),"x",""))</f>
        <v/>
      </c>
      <c r="W3091" s="79" t="str">
        <f>IF(AND('341-CT'!$H$9=H3091,OR(LEFT(N3091,3)=$W$7,LEFT(O3091,3)=$W$7)),"x","")</f>
        <v/>
      </c>
      <c r="X3091" s="79" t="str">
        <f>IF(OR(TH!N3091=TH!$X$7,O3091=TH!$X$7),"x","")</f>
        <v/>
      </c>
      <c r="Y3091" s="79" t="str">
        <f>IF(AND(OR(N3091="131",O3091="131"),H3091='131-CT'!$H$9),"x","")</f>
        <v/>
      </c>
      <c r="Z3091" s="79"/>
      <c r="AA3091" s="79" t="str">
        <f>IF(AND(MONTH(E3091)='IN-NX'!$J$5,'IN-NX'!$D$7=D3091),"x","")</f>
        <v/>
      </c>
      <c r="AB3091" s="79" t="str">
        <f>IF(AND(OR(LEFT(TH!N3091,2)="15",LEFT(TH!O3091,2)="15"),LEFT(TH!O3091,3)&lt;&gt;"111",'152-CT'!$J$8=TH!F3091),"x","")</f>
        <v/>
      </c>
      <c r="AC3091" s="79" t="str">
        <f>IF(AND(OR(LEFT(TH!N3091,2)="15",LEFT(TH!O3091,2)="15"),TK!$E$7=TH!F3091),"x","")</f>
        <v/>
      </c>
      <c r="AD3091" s="79" t="str">
        <f>IF(AND(N3091="1521",MONTH(C3091)='BK-NL'!$M$11),"x","")</f>
        <v/>
      </c>
    </row>
    <row r="3092" spans="1:30" s="1101" customFormat="1" ht="16.5" customHeight="1">
      <c r="A3092" s="318" t="str">
        <f>IF(B3092&lt;&gt;"",IF(AND(B3092='IN-TC'!$S$4,OR(TH!N3092="1111",TH!O3092="1111")),TH!D3092,""),"")</f>
        <v/>
      </c>
      <c r="B3092" s="60" t="str">
        <f t="shared" si="366"/>
        <v/>
      </c>
      <c r="C3092" s="61"/>
      <c r="D3092" s="61"/>
      <c r="E3092" s="61"/>
      <c r="F3092" s="69"/>
      <c r="G3092" s="64"/>
      <c r="H3092" s="69"/>
      <c r="I3092" s="385"/>
      <c r="J3092" s="395"/>
      <c r="K3092" s="385"/>
      <c r="L3092" s="392"/>
      <c r="M3092" s="62"/>
      <c r="N3092" s="63"/>
      <c r="O3092" s="63"/>
      <c r="P3092" s="79" t="str">
        <f>IF(AND('331-CT'!$E$7=TH!H3092,OR(N3092="331",O3092="331")),"x","")</f>
        <v/>
      </c>
      <c r="Q3092" s="79" t="str">
        <f>IF(AND(B3092='111'!$L$11,OR($N3092=$Q$7,$O3092=$Q$7)),"x","")</f>
        <v/>
      </c>
      <c r="R3092" s="79" t="str">
        <f>IF(AND($N3092=$Q$7,$B3092&lt;'111'!$L$11),"x","")</f>
        <v/>
      </c>
      <c r="S3092" s="79" t="str">
        <f>IF(AND($O3092=$Q$7,$B3092&lt;'111'!$L$11),"x","")</f>
        <v/>
      </c>
      <c r="T3092" s="79" t="str">
        <f>IF(ISERROR(FIND('112'!$M$9,G3092,1)),"",IF((AND(FIND('112'!$M$9,G3092,1)&gt;=1,B3092='112'!$K$9,OR($N3092='112'!$I$6,$O3092='112'!$I$6))),"x",""))</f>
        <v/>
      </c>
      <c r="U3092" s="79" t="str">
        <f>IF(ISERROR(FIND('112'!$M$9,G3092,1)),"",IF((AND(LEFT(G3092,2)=LEFT('112'!$M$9,2),B3092&lt;'112'!$K$9,$N3092='112'!$I$6)),"x",""))</f>
        <v/>
      </c>
      <c r="V3092" s="79" t="str">
        <f>IF(ISERROR(FIND('112'!$M$9,G3092,1)),"",IF((AND(RIGHT(G3092,2)=RIGHT('112'!$M$9,2),B3092&lt;'112'!$K$9,$O3092='112'!$I$6)),"x",""))</f>
        <v/>
      </c>
      <c r="W3092" s="79" t="str">
        <f>IF(AND('341-CT'!$H$9=H3092,OR(LEFT(N3092,3)=$W$7,LEFT(O3092,3)=$W$7)),"x","")</f>
        <v/>
      </c>
      <c r="X3092" s="79" t="str">
        <f>IF(OR(TH!N3092=TH!$X$7,O3092=TH!$X$7),"x","")</f>
        <v/>
      </c>
      <c r="Y3092" s="79" t="str">
        <f>IF(AND(OR(N3092="131",O3092="131"),H3092='131-CT'!$H$9),"x","")</f>
        <v/>
      </c>
      <c r="Z3092" s="79"/>
      <c r="AA3092" s="79" t="str">
        <f>IF(AND(MONTH(E3092)='IN-NX'!$J$5,'IN-NX'!$D$7=D3092),"x","")</f>
        <v/>
      </c>
      <c r="AB3092" s="79" t="str">
        <f>IF(AND(OR(LEFT(TH!N3092,2)="15",LEFT(TH!O3092,2)="15"),LEFT(TH!O3092,3)&lt;&gt;"111",'152-CT'!$J$8=TH!F3092),"x","")</f>
        <v/>
      </c>
      <c r="AC3092" s="79" t="str">
        <f>IF(AND(OR(LEFT(TH!N3092,2)="15",LEFT(TH!O3092,2)="15"),TK!$E$7=TH!F3092),"x","")</f>
        <v/>
      </c>
      <c r="AD3092" s="79" t="str">
        <f>IF(AND(N3092="1521",MONTH(C3092)='BK-NL'!$M$11),"x","")</f>
        <v/>
      </c>
    </row>
    <row r="3093" spans="1:30" s="1101" customFormat="1" ht="16.5" customHeight="1">
      <c r="A3093" s="318" t="str">
        <f>IF(B3093&lt;&gt;"",IF(AND(B3093='IN-TC'!$S$4,OR(TH!N3093="1111",TH!O3093="1111")),TH!D3093,""),"")</f>
        <v/>
      </c>
      <c r="B3093" s="60" t="str">
        <f t="shared" ref="B3093" si="367">IF(C3093&lt;&gt;"",MONTH(C3093),"")</f>
        <v/>
      </c>
      <c r="C3093" s="61"/>
      <c r="D3093" s="61"/>
      <c r="E3093" s="61"/>
      <c r="F3093" s="69"/>
      <c r="G3093" s="64"/>
      <c r="H3093" s="69"/>
      <c r="I3093" s="385"/>
      <c r="J3093" s="395"/>
      <c r="K3093" s="385"/>
      <c r="L3093" s="392"/>
      <c r="M3093" s="62"/>
      <c r="N3093" s="63"/>
      <c r="O3093" s="63"/>
      <c r="P3093" s="79" t="str">
        <f>IF(AND('331-CT'!$E$7=TH!H3093,OR(N3093="331",O3093="331")),"x","")</f>
        <v/>
      </c>
      <c r="Q3093" s="79" t="str">
        <f>IF(AND(B3093='111'!$L$11,OR($N3093=$Q$7,$O3093=$Q$7)),"x","")</f>
        <v/>
      </c>
      <c r="R3093" s="79" t="str">
        <f>IF(AND($N3093=$Q$7,$B3093&lt;'111'!$L$11),"x","")</f>
        <v/>
      </c>
      <c r="S3093" s="79" t="str">
        <f>IF(AND($O3093=$Q$7,$B3093&lt;'111'!$L$11),"x","")</f>
        <v/>
      </c>
      <c r="T3093" s="79" t="str">
        <f>IF(ISERROR(FIND('112'!$M$9,G3093,1)),"",IF((AND(FIND('112'!$M$9,G3093,1)&gt;=1,B3093='112'!$K$9,OR($N3093='112'!$I$6,$O3093='112'!$I$6))),"x",""))</f>
        <v/>
      </c>
      <c r="U3093" s="79" t="str">
        <f>IF(ISERROR(FIND('112'!$M$9,G3093,1)),"",IF((AND(LEFT(G3093,2)=LEFT('112'!$M$9,2),B3093&lt;'112'!$K$9,$N3093='112'!$I$6)),"x",""))</f>
        <v/>
      </c>
      <c r="V3093" s="79" t="str">
        <f>IF(ISERROR(FIND('112'!$M$9,G3093,1)),"",IF((AND(RIGHT(G3093,2)=RIGHT('112'!$M$9,2),B3093&lt;'112'!$K$9,$O3093='112'!$I$6)),"x",""))</f>
        <v/>
      </c>
      <c r="W3093" s="79" t="str">
        <f>IF(AND('341-CT'!$H$9=H3093,OR(LEFT(N3093,3)=$W$7,LEFT(O3093,3)=$W$7)),"x","")</f>
        <v/>
      </c>
      <c r="X3093" s="79" t="str">
        <f>IF(OR(TH!N3093=TH!$X$7,O3093=TH!$X$7),"x","")</f>
        <v/>
      </c>
      <c r="Y3093" s="79" t="str">
        <f>IF(AND(OR(N3093="131",O3093="131"),H3093='131-CT'!$H$9),"x","")</f>
        <v/>
      </c>
      <c r="Z3093" s="79"/>
      <c r="AA3093" s="79" t="str">
        <f>IF(AND(MONTH(E3093)='IN-NX'!$J$5,'IN-NX'!$D$7=D3093),"x","")</f>
        <v/>
      </c>
      <c r="AB3093" s="79" t="str">
        <f>IF(AND(OR(LEFT(TH!N3093,2)="15",LEFT(TH!O3093,2)="15"),LEFT(TH!O3093,3)&lt;&gt;"111",'152-CT'!$J$8=TH!F3093),"x","")</f>
        <v/>
      </c>
      <c r="AC3093" s="79" t="str">
        <f>IF(AND(OR(LEFT(TH!N3093,2)="15",LEFT(TH!O3093,2)="15"),TK!$E$7=TH!F3093),"x","")</f>
        <v/>
      </c>
      <c r="AD3093" s="79" t="str">
        <f>IF(AND(N3093="1521",MONTH(C3093)='BK-NL'!$M$11),"x","")</f>
        <v/>
      </c>
    </row>
    <row r="3094" spans="1:30" s="1101" customFormat="1" ht="16.5" customHeight="1">
      <c r="A3094" s="318" t="str">
        <f>IF(B3094&lt;&gt;"",IF(AND(B3094='IN-TC'!$S$4,OR(TH!N3094="1111",TH!O3094="1111")),TH!D3094,""),"")</f>
        <v/>
      </c>
      <c r="B3094" s="60" t="str">
        <f t="shared" si="365"/>
        <v/>
      </c>
      <c r="C3094" s="61"/>
      <c r="D3094" s="61"/>
      <c r="E3094" s="61"/>
      <c r="F3094" s="69"/>
      <c r="G3094" s="64"/>
      <c r="H3094" s="69"/>
      <c r="I3094" s="385"/>
      <c r="J3094" s="395"/>
      <c r="K3094" s="385"/>
      <c r="L3094" s="392"/>
      <c r="M3094" s="62"/>
      <c r="N3094" s="63"/>
      <c r="O3094" s="63"/>
      <c r="P3094" s="79" t="str">
        <f>IF(AND('331-CT'!$E$7=TH!H3094,OR(N3094="331",O3094="331")),"x","")</f>
        <v/>
      </c>
      <c r="Q3094" s="79" t="str">
        <f>IF(AND(B3094='111'!$L$11,OR($N3094=$Q$7,$O3094=$Q$7)),"x","")</f>
        <v/>
      </c>
      <c r="R3094" s="79" t="str">
        <f>IF(AND($N3094=$Q$7,$B3094&lt;'111'!$L$11),"x","")</f>
        <v/>
      </c>
      <c r="S3094" s="79" t="str">
        <f>IF(AND($O3094=$Q$7,$B3094&lt;'111'!$L$11),"x","")</f>
        <v/>
      </c>
      <c r="T3094" s="79" t="str">
        <f>IF(ISERROR(FIND('112'!$M$9,G3094,1)),"",IF((AND(FIND('112'!$M$9,G3094,1)&gt;=1,B3094='112'!$K$9,OR($N3094='112'!$I$6,$O3094='112'!$I$6))),"x",""))</f>
        <v/>
      </c>
      <c r="U3094" s="79" t="str">
        <f>IF(ISERROR(FIND('112'!$M$9,G3094,1)),"",IF((AND(LEFT(G3094,2)=LEFT('112'!$M$9,2),B3094&lt;'112'!$K$9,$N3094='112'!$I$6)),"x",""))</f>
        <v/>
      </c>
      <c r="V3094" s="79" t="str">
        <f>IF(ISERROR(FIND('112'!$M$9,G3094,1)),"",IF((AND(RIGHT(G3094,2)=RIGHT('112'!$M$9,2),B3094&lt;'112'!$K$9,$O3094='112'!$I$6)),"x",""))</f>
        <v/>
      </c>
      <c r="W3094" s="79" t="str">
        <f>IF(AND('341-CT'!$H$9=H3094,OR(LEFT(N3094,3)=$W$7,LEFT(O3094,3)=$W$7)),"x","")</f>
        <v/>
      </c>
      <c r="X3094" s="79" t="str">
        <f>IF(OR(TH!N3094=TH!$X$7,O3094=TH!$X$7),"x","")</f>
        <v/>
      </c>
      <c r="Y3094" s="79" t="str">
        <f>IF(AND(OR(N3094="131",O3094="131"),H3094='131-CT'!$H$9),"x","")</f>
        <v/>
      </c>
      <c r="Z3094" s="79"/>
      <c r="AA3094" s="79" t="str">
        <f>IF(AND(MONTH(E3094)='IN-NX'!$J$5,'IN-NX'!$D$7=D3094),"x","")</f>
        <v/>
      </c>
      <c r="AB3094" s="79" t="str">
        <f>IF(AND(OR(LEFT(TH!N3094,2)="15",LEFT(TH!O3094,2)="15"),LEFT(TH!O3094,3)&lt;&gt;"111",'152-CT'!$J$8=TH!F3094),"x","")</f>
        <v/>
      </c>
      <c r="AC3094" s="79" t="str">
        <f>IF(AND(OR(LEFT(TH!N3094,2)="15",LEFT(TH!O3094,2)="15"),TK!$E$7=TH!F3094),"x","")</f>
        <v/>
      </c>
      <c r="AD3094" s="79" t="str">
        <f>IF(AND(N3094="1521",MONTH(C3094)='BK-NL'!$M$11),"x","")</f>
        <v/>
      </c>
    </row>
    <row r="3095" spans="1:30" s="1101" customFormat="1" ht="16.5" customHeight="1">
      <c r="A3095" s="318" t="str">
        <f>IF(B3095&lt;&gt;"",IF(AND(B3095='IN-TC'!$S$4,OR(TH!N3095="1111",TH!O3095="1111")),TH!D3095,""),"")</f>
        <v/>
      </c>
      <c r="B3095" s="60" t="str">
        <f t="shared" si="365"/>
        <v/>
      </c>
      <c r="C3095" s="61"/>
      <c r="D3095" s="61"/>
      <c r="E3095" s="61"/>
      <c r="F3095" s="69"/>
      <c r="G3095" s="64"/>
      <c r="H3095" s="69"/>
      <c r="I3095" s="385"/>
      <c r="J3095" s="395"/>
      <c r="K3095" s="385"/>
      <c r="L3095" s="392"/>
      <c r="M3095" s="62"/>
      <c r="N3095" s="63"/>
      <c r="O3095" s="63"/>
      <c r="P3095" s="79" t="str">
        <f>IF(AND('331-CT'!$E$7=TH!H3095,OR(N3095="331",O3095="331")),"x","")</f>
        <v/>
      </c>
      <c r="Q3095" s="79" t="str">
        <f>IF(AND(B3095='111'!$L$11,OR($N3095=$Q$7,$O3095=$Q$7)),"x","")</f>
        <v/>
      </c>
      <c r="R3095" s="79" t="str">
        <f>IF(AND($N3095=$Q$7,$B3095&lt;'111'!$L$11),"x","")</f>
        <v/>
      </c>
      <c r="S3095" s="79" t="str">
        <f>IF(AND($O3095=$Q$7,$B3095&lt;'111'!$L$11),"x","")</f>
        <v/>
      </c>
      <c r="T3095" s="79" t="str">
        <f>IF(ISERROR(FIND('112'!$M$9,G3095,1)),"",IF((AND(FIND('112'!$M$9,G3095,1)&gt;=1,B3095='112'!$K$9,OR($N3095='112'!$I$6,$O3095='112'!$I$6))),"x",""))</f>
        <v/>
      </c>
      <c r="U3095" s="79" t="str">
        <f>IF(ISERROR(FIND('112'!$M$9,G3095,1)),"",IF((AND(LEFT(G3095,2)=LEFT('112'!$M$9,2),B3095&lt;'112'!$K$9,$N3095='112'!$I$6)),"x",""))</f>
        <v/>
      </c>
      <c r="V3095" s="79" t="str">
        <f>IF(ISERROR(FIND('112'!$M$9,G3095,1)),"",IF((AND(RIGHT(G3095,2)=RIGHT('112'!$M$9,2),B3095&lt;'112'!$K$9,$O3095='112'!$I$6)),"x",""))</f>
        <v/>
      </c>
      <c r="W3095" s="79" t="str">
        <f>IF(AND('341-CT'!$H$9=H3095,OR(LEFT(N3095,3)=$W$7,LEFT(O3095,3)=$W$7)),"x","")</f>
        <v/>
      </c>
      <c r="X3095" s="79" t="str">
        <f>IF(OR(TH!N3095=TH!$X$7,O3095=TH!$X$7),"x","")</f>
        <v/>
      </c>
      <c r="Y3095" s="79" t="str">
        <f>IF(AND(OR(N3095="131",O3095="131"),H3095='131-CT'!$H$9),"x","")</f>
        <v/>
      </c>
      <c r="Z3095" s="79"/>
      <c r="AA3095" s="79" t="str">
        <f>IF(AND(MONTH(E3095)='IN-NX'!$J$5,'IN-NX'!$D$7=D3095),"x","")</f>
        <v/>
      </c>
      <c r="AB3095" s="79" t="str">
        <f>IF(AND(OR(LEFT(TH!N3095,2)="15",LEFT(TH!O3095,2)="15"),LEFT(TH!O3095,3)&lt;&gt;"111",'152-CT'!$J$8=TH!F3095),"x","")</f>
        <v/>
      </c>
      <c r="AC3095" s="79" t="str">
        <f>IF(AND(OR(LEFT(TH!N3095,2)="15",LEFT(TH!O3095,2)="15"),TK!$E$7=TH!F3095),"x","")</f>
        <v/>
      </c>
      <c r="AD3095" s="79" t="str">
        <f>IF(AND(N3095="1521",MONTH(C3095)='BK-NL'!$M$11),"x","")</f>
        <v/>
      </c>
    </row>
    <row r="3096" spans="1:30" ht="16.5" customHeight="1">
      <c r="A3096" s="318" t="str">
        <f>IF(B3096&lt;&gt;"",IF(AND(B3096='IN-TC'!$S$4,OR(TH!N3096="1111",TH!O3096="1111")),TH!D3096,""),"")</f>
        <v/>
      </c>
      <c r="B3096" s="60" t="str">
        <f>IF(C3096&lt;&gt;"",MONTH(C3096),"")</f>
        <v/>
      </c>
      <c r="C3096" s="61"/>
      <c r="D3096" s="61"/>
      <c r="E3096" s="61"/>
      <c r="F3096" s="69"/>
      <c r="G3096" s="64"/>
      <c r="H3096" s="69"/>
      <c r="I3096" s="387"/>
      <c r="J3096" s="395"/>
      <c r="K3096" s="387"/>
      <c r="L3096" s="394"/>
      <c r="M3096" s="62"/>
      <c r="N3096" s="63"/>
      <c r="O3096" s="63"/>
      <c r="P3096" s="79" t="str">
        <f>IF(AND('331-CT'!$E$7=TH!H3096,OR(N3096="331",O3096="331")),"x","")</f>
        <v/>
      </c>
      <c r="Q3096" s="79" t="str">
        <f>IF(AND(B3096='111'!$L$11,OR($N3096=$Q$7,$O3096=$Q$7)),"x","")</f>
        <v/>
      </c>
      <c r="R3096" s="79" t="str">
        <f>IF(AND($N3096=$Q$7,$B3096&lt;'111'!$L$11),"x","")</f>
        <v/>
      </c>
      <c r="S3096" s="79" t="str">
        <f>IF(AND($O3096=$Q$7,$B3096&lt;'111'!$L$11),"x","")</f>
        <v/>
      </c>
      <c r="T3096" s="79" t="str">
        <f>IF(ISERROR(FIND('112'!$M$9,G3096,1)),"",IF((AND(FIND('112'!$M$9,G3096,1)&gt;=1,B3096='112'!$K$9,OR($N3096='112'!$I$6,$O3096='112'!$I$6))),"x",""))</f>
        <v/>
      </c>
      <c r="U3096" s="79" t="str">
        <f>IF(ISERROR(FIND('112'!$M$9,G3096,1)),"",IF((AND(LEFT(G3096,2)=LEFT('112'!$M$9,2),B3096&lt;'112'!$K$9,$N3096='112'!$I$6)),"x",""))</f>
        <v/>
      </c>
      <c r="V3096" s="79" t="str">
        <f>IF(ISERROR(FIND('112'!$M$9,G3096,1)),"",IF((AND(RIGHT(G3096,2)=RIGHT('112'!$M$9,2),B3096&lt;'112'!$K$9,$O3096='112'!$I$6)),"x",""))</f>
        <v/>
      </c>
      <c r="W3096" s="79" t="str">
        <f>IF(AND('341-CT'!$H$9=H3096,OR(LEFT(N3096,3)=$W$7,LEFT(O3096,3)=$W$7)),"x","")</f>
        <v/>
      </c>
      <c r="X3096" s="79" t="str">
        <f>IF(OR(TH!N3096=TH!$X$7,O3096=TH!$X$7),"x","")</f>
        <v/>
      </c>
      <c r="Y3096" s="79" t="str">
        <f>IF(AND(OR(N3096="131",O3096="131"),H3096='131-CT'!$H$9),"x","")</f>
        <v/>
      </c>
      <c r="Z3096" s="79"/>
      <c r="AA3096" s="79" t="str">
        <f>IF(AND(MONTH(E3096)='IN-NX'!$J$5,'IN-NX'!$D$7=D3096),"x","")</f>
        <v/>
      </c>
      <c r="AB3096" s="79" t="str">
        <f>IF(AND(OR(LEFT(TH!N3096,2)="15",LEFT(TH!O3096,2)="15"),LEFT(TH!O3096,3)&lt;&gt;"111",'152-CT'!$J$8=TH!F3096),"x","")</f>
        <v/>
      </c>
      <c r="AC3096" s="79" t="str">
        <f>IF(AND(OR(LEFT(TH!N3096,2)="15",LEFT(TH!O3096,2)="15"),TK!$E$7=TH!F3096),"x","")</f>
        <v/>
      </c>
      <c r="AD3096" s="79" t="str">
        <f>IF(AND(N3096="1521",MONTH(C3096)='BK-NL'!$M$11),"x","")</f>
        <v/>
      </c>
    </row>
    <row r="3097" spans="1:30" ht="16.5" customHeight="1">
      <c r="A3097" s="318" t="str">
        <f>IF(B3097&lt;&gt;"",IF(AND(B3097='IN-TC'!$S$4,OR(TH!N3097="1111",TH!O3097="1111")),TH!D3097,""),"")</f>
        <v/>
      </c>
      <c r="B3097" s="60" t="str">
        <f>IF(C3097&lt;&gt;"",MONTH(C3097),"")</f>
        <v/>
      </c>
      <c r="C3097" s="61"/>
      <c r="D3097" s="61"/>
      <c r="E3097" s="61"/>
      <c r="F3097" s="69"/>
      <c r="G3097" s="64"/>
      <c r="H3097" s="303"/>
      <c r="I3097" s="385"/>
      <c r="J3097" s="395"/>
      <c r="K3097" s="385"/>
      <c r="L3097" s="392"/>
      <c r="M3097" s="62"/>
      <c r="N3097" s="63"/>
      <c r="O3097" s="63"/>
      <c r="P3097" s="79" t="str">
        <f>IF(AND('331-CT'!$E$7=TH!H3097,OR(N3097="331",O3097="331")),"x","")</f>
        <v/>
      </c>
      <c r="Q3097" s="79" t="str">
        <f>IF(AND(B3097='111'!$L$11,OR($N3097=$Q$7,$O3097=$Q$7)),"x","")</f>
        <v/>
      </c>
      <c r="R3097" s="79" t="str">
        <f>IF(AND($N3097=$Q$7,$B3097&lt;'111'!$L$11),"x","")</f>
        <v/>
      </c>
      <c r="S3097" s="79" t="str">
        <f>IF(AND($O3097=$Q$7,$B3097&lt;'111'!$L$11),"x","")</f>
        <v/>
      </c>
      <c r="T3097" s="79" t="str">
        <f>IF(ISERROR(FIND('112'!$M$9,G3097,1)),"",IF((AND(FIND('112'!$M$9,G3097,1)&gt;=1,B3097='112'!$K$9,OR($N3097='112'!$I$6,$O3097='112'!$I$6))),"x",""))</f>
        <v/>
      </c>
      <c r="U3097" s="79" t="str">
        <f>IF(ISERROR(FIND('112'!$M$9,G3097,1)),"",IF((AND(LEFT(G3097,2)=LEFT('112'!$M$9,2),B3097&lt;'112'!$K$9,$N3097='112'!$I$6)),"x",""))</f>
        <v/>
      </c>
      <c r="V3097" s="79" t="str">
        <f>IF(ISERROR(FIND('112'!$M$9,G3097,1)),"",IF((AND(RIGHT(G3097,2)=RIGHT('112'!$M$9,2),B3097&lt;'112'!$K$9,$O3097='112'!$I$6)),"x",""))</f>
        <v/>
      </c>
      <c r="W3097" s="79" t="str">
        <f>IF(AND('341-CT'!$H$9=H3097,OR(LEFT(N3097,3)=$W$7,LEFT(O3097,3)=$W$7)),"x","")</f>
        <v/>
      </c>
      <c r="X3097" s="79" t="str">
        <f>IF(OR(TH!N3097=TH!$X$7,O3097=TH!$X$7),"x","")</f>
        <v/>
      </c>
      <c r="Y3097" s="79" t="str">
        <f>IF(AND(OR(N3097="131",O3097="131"),H3097='131-CT'!$H$9),"x","")</f>
        <v/>
      </c>
      <c r="Z3097" s="79"/>
      <c r="AA3097" s="79" t="str">
        <f>IF(AND(MONTH(E3097)='IN-NX'!$J$5,'IN-NX'!$D$7=D3097),"x","")</f>
        <v/>
      </c>
      <c r="AB3097" s="79" t="str">
        <f>IF(AND(OR(LEFT(TH!N3097,2)="15",LEFT(TH!O3097,2)="15"),LEFT(TH!O3097,3)&lt;&gt;"111",'152-CT'!$J$8=TH!F3097),"x","")</f>
        <v/>
      </c>
      <c r="AC3097" s="79" t="str">
        <f>IF(AND(OR(LEFT(TH!N3097,2)="15",LEFT(TH!O3097,2)="15"),TK!$E$7=TH!F3097),"x","")</f>
        <v/>
      </c>
      <c r="AD3097" s="79" t="str">
        <f>IF(AND(N3097="1521",MONTH(C3097)='BK-NL'!$M$11),"x","")</f>
        <v/>
      </c>
    </row>
    <row r="3098" spans="1:30" ht="16.5" customHeight="1">
      <c r="A3098" s="318" t="str">
        <f>IF(B3098&lt;&gt;"",IF(AND(B3098='IN-TC'!$S$4,OR(TH!N3098="1111",TH!O3098="1111")),TH!D3098,""),"")</f>
        <v/>
      </c>
      <c r="B3098" s="60" t="str">
        <f>IF(C3098&lt;&gt;"",MONTH(C3098),"")</f>
        <v/>
      </c>
      <c r="C3098" s="61"/>
      <c r="D3098" s="61"/>
      <c r="E3098" s="61"/>
      <c r="F3098" s="69"/>
      <c r="G3098" s="64"/>
      <c r="H3098" s="303"/>
      <c r="I3098" s="385"/>
      <c r="J3098" s="395"/>
      <c r="K3098" s="385"/>
      <c r="L3098" s="392"/>
      <c r="M3098" s="62"/>
      <c r="N3098" s="63"/>
      <c r="O3098" s="63"/>
      <c r="P3098" s="79" t="str">
        <f>IF(AND('331-CT'!$E$7=TH!H3098,OR(N3098="331",O3098="331")),"x","")</f>
        <v/>
      </c>
      <c r="Q3098" s="79" t="str">
        <f>IF(AND(B3098='111'!$L$11,OR($N3098=$Q$7,$O3098=$Q$7)),"x","")</f>
        <v/>
      </c>
      <c r="R3098" s="79" t="str">
        <f>IF(AND($N3098=$Q$7,$B3098&lt;'111'!$L$11),"x","")</f>
        <v/>
      </c>
      <c r="S3098" s="79" t="str">
        <f>IF(AND($O3098=$Q$7,$B3098&lt;'111'!$L$11),"x","")</f>
        <v/>
      </c>
      <c r="T3098" s="79" t="str">
        <f>IF(ISERROR(FIND('112'!$M$9,G3098,1)),"",IF((AND(FIND('112'!$M$9,G3098,1)&gt;=1,B3098='112'!$K$9,OR($N3098='112'!$I$6,$O3098='112'!$I$6))),"x",""))</f>
        <v/>
      </c>
      <c r="U3098" s="79" t="str">
        <f>IF(ISERROR(FIND('112'!$M$9,G3098,1)),"",IF((AND(LEFT(G3098,2)=LEFT('112'!$M$9,2),B3098&lt;'112'!$K$9,$N3098='112'!$I$6)),"x",""))</f>
        <v/>
      </c>
      <c r="V3098" s="79" t="str">
        <f>IF(ISERROR(FIND('112'!$M$9,G3098,1)),"",IF((AND(RIGHT(G3098,2)=RIGHT('112'!$M$9,2),B3098&lt;'112'!$K$9,$O3098='112'!$I$6)),"x",""))</f>
        <v/>
      </c>
      <c r="W3098" s="79" t="str">
        <f>IF(AND('341-CT'!$H$9=H3098,OR(LEFT(N3098,3)=$W$7,LEFT(O3098,3)=$W$7)),"x","")</f>
        <v/>
      </c>
      <c r="X3098" s="79" t="str">
        <f>IF(OR(TH!N3098=TH!$X$7,O3098=TH!$X$7),"x","")</f>
        <v/>
      </c>
      <c r="Y3098" s="79" t="str">
        <f>IF(AND(OR(N3098="131",O3098="131"),H3098='131-CT'!$H$9),"x","")</f>
        <v/>
      </c>
      <c r="Z3098" s="79"/>
      <c r="AA3098" s="79" t="str">
        <f>IF(AND(MONTH(E3098)='IN-NX'!$J$5,'IN-NX'!$D$7=D3098),"x","")</f>
        <v/>
      </c>
      <c r="AB3098" s="79" t="str">
        <f>IF(AND(OR(LEFT(TH!N3098,2)="15",LEFT(TH!O3098,2)="15"),LEFT(TH!O3098,3)&lt;&gt;"111",'152-CT'!$J$8=TH!F3098),"x","")</f>
        <v/>
      </c>
      <c r="AC3098" s="79" t="str">
        <f>IF(AND(OR(LEFT(TH!N3098,2)="15",LEFT(TH!O3098,2)="15"),TK!$E$7=TH!F3098),"x","")</f>
        <v/>
      </c>
      <c r="AD3098" s="79" t="str">
        <f>IF(AND(N3098="1521",MONTH(C3098)='BK-NL'!$M$11),"x","")</f>
        <v/>
      </c>
    </row>
    <row r="3099" spans="1:30" ht="16.5" customHeight="1">
      <c r="A3099" s="318" t="str">
        <f>IF(B3099&lt;&gt;"",IF(AND(B3099='[3]IN-TC'!$S$4,OR([3]TH!N2513="1111",[3]TH!O2513="1111")),[3]TH!D2513,""),"")</f>
        <v/>
      </c>
      <c r="B3099" s="60" t="str">
        <f t="shared" si="365"/>
        <v/>
      </c>
      <c r="C3099" s="301"/>
      <c r="D3099" s="301"/>
      <c r="E3099" s="301"/>
      <c r="F3099" s="69"/>
      <c r="G3099" s="302"/>
      <c r="H3099" s="303"/>
      <c r="I3099" s="385"/>
      <c r="J3099" s="395"/>
      <c r="K3099" s="385"/>
      <c r="L3099" s="392"/>
      <c r="M3099" s="62"/>
      <c r="N3099" s="304"/>
      <c r="O3099" s="304"/>
      <c r="P3099" s="79" t="str">
        <f>IF(AND('331-CT'!$E$7=TH!H3099,OR(N3099="331",O3099="331")),"x","")</f>
        <v/>
      </c>
      <c r="Q3099" s="79" t="str">
        <f>IF(AND(B3099='111'!$L$11,OR($N3099=$Q$7,$O3099=$Q$7)),"x","")</f>
        <v/>
      </c>
      <c r="R3099" s="79" t="str">
        <f>IF(AND($N3099=$Q$7,$B3099&lt;'111'!$L$11),"x","")</f>
        <v/>
      </c>
      <c r="S3099" s="79" t="str">
        <f>IF(AND($O3099=$Q$7,$B3099&lt;'111'!$L$11),"x","")</f>
        <v/>
      </c>
      <c r="T3099" s="79" t="str">
        <f>IF(ISERROR(FIND('112'!$M$9,G3099,1)),"",IF((AND(FIND('112'!$M$9,G3099,1)&gt;=1,B3099='112'!$K$9,OR($N3099='112'!$I$6,$O3099='112'!$I$6))),"x",""))</f>
        <v/>
      </c>
      <c r="U3099" s="79" t="str">
        <f>IF(ISERROR(FIND('112'!$M$9,G3099,1)),"",IF((AND(LEFT(G3099,2)=LEFT('112'!$M$9,2),B3099&lt;'112'!$K$9,$N3099='112'!$I$6)),"x",""))</f>
        <v/>
      </c>
      <c r="V3099" s="79" t="str">
        <f>IF(ISERROR(FIND('112'!$M$9,G3099,1)),"",IF((AND(RIGHT(G3099,2)=RIGHT('112'!$M$9,2),B3099&lt;'112'!$K$9,$O3099='112'!$I$6)),"x",""))</f>
        <v/>
      </c>
      <c r="W3099" s="79" t="str">
        <f>IF(AND('341-CT'!$H$9=H3099,OR(LEFT(N3099,3)=$W$7,LEFT(O3099,3)=$W$7)),"x","")</f>
        <v/>
      </c>
      <c r="X3099" s="79" t="str">
        <f>IF(OR(TH!N3099=TH!$X$7,O3099=TH!$X$7),"x","")</f>
        <v/>
      </c>
      <c r="Y3099" s="79" t="str">
        <f>IF(AND(OR(N3099="131",O3099="131"),H3099='131-CT'!$H$9),"x","")</f>
        <v/>
      </c>
      <c r="Z3099" s="79"/>
      <c r="AA3099" s="79" t="str">
        <f>IF(AND(MONTH(E3099)='IN-NX'!$J$5,'IN-NX'!$D$7=D3099),"x","")</f>
        <v/>
      </c>
      <c r="AB3099" s="79" t="str">
        <f>IF(AND(OR(LEFT(TH!N3099,2)="15",LEFT(TH!O3099,2)="15"),LEFT(TH!O3099,3)&lt;&gt;"111",'152-CT'!$J$8=TH!F3099),"x","")</f>
        <v/>
      </c>
      <c r="AC3099" s="79" t="str">
        <f>IF(AND(OR(LEFT(TH!N3099,2)="15",LEFT(TH!O3099,2)="15"),TK!$E$7=TH!F3099),"x","")</f>
        <v/>
      </c>
      <c r="AD3099" s="79" t="str">
        <f>IF(AND(N3099="1521",MONTH(C3099)='BK-NL'!$M$11),"x","")</f>
        <v/>
      </c>
    </row>
    <row r="3100" spans="1:30" ht="16.5" customHeight="1">
      <c r="A3100" s="318" t="str">
        <f>IF(B3100&lt;&gt;"",IF(AND(B3100='[3]IN-TC'!$S$4,OR([3]TH!N2514="1111",[3]TH!O2514="1111")),[3]TH!D2514,""),"")</f>
        <v/>
      </c>
      <c r="B3100" s="60" t="str">
        <f t="shared" si="365"/>
        <v/>
      </c>
      <c r="C3100" s="301"/>
      <c r="D3100" s="301"/>
      <c r="E3100" s="301"/>
      <c r="F3100" s="69"/>
      <c r="G3100" s="302"/>
      <c r="H3100" s="303"/>
      <c r="I3100" s="385"/>
      <c r="J3100" s="395"/>
      <c r="K3100" s="385"/>
      <c r="L3100" s="392"/>
      <c r="M3100" s="62"/>
      <c r="N3100" s="304"/>
      <c r="O3100" s="304"/>
      <c r="P3100" s="79" t="str">
        <f>IF(AND('331-CT'!$E$7=TH!H3100,OR(N3100="331",O3100="331")),"x","")</f>
        <v/>
      </c>
      <c r="Q3100" s="79" t="str">
        <f>IF(AND(B3100='111'!$L$11,OR($N3100=$Q$7,$O3100=$Q$7)),"x","")</f>
        <v/>
      </c>
      <c r="R3100" s="79" t="str">
        <f>IF(AND($N3100=$Q$7,$B3100&lt;'111'!$L$11),"x","")</f>
        <v/>
      </c>
      <c r="S3100" s="79" t="str">
        <f>IF(AND($O3100=$Q$7,$B3100&lt;'111'!$L$11),"x","")</f>
        <v/>
      </c>
      <c r="T3100" s="79" t="str">
        <f>IF(ISERROR(FIND('112'!$M$9,G3100,1)),"",IF((AND(FIND('112'!$M$9,G3100,1)&gt;=1,B3100='112'!$K$9,OR($N3100='112'!$I$6,$O3100='112'!$I$6))),"x",""))</f>
        <v/>
      </c>
      <c r="U3100" s="79" t="str">
        <f>IF(ISERROR(FIND('112'!$M$9,G3100,1)),"",IF((AND(LEFT(G3100,2)=LEFT('112'!$M$9,2),B3100&lt;'112'!$K$9,$N3100='112'!$I$6)),"x",""))</f>
        <v/>
      </c>
      <c r="V3100" s="79" t="str">
        <f>IF(ISERROR(FIND('112'!$M$9,G3100,1)),"",IF((AND(RIGHT(G3100,2)=RIGHT('112'!$M$9,2),B3100&lt;'112'!$K$9,$O3100='112'!$I$6)),"x",""))</f>
        <v/>
      </c>
      <c r="W3100" s="79" t="str">
        <f>IF(AND('341-CT'!$H$9=H3100,OR(LEFT(N3100,3)=$W$7,LEFT(O3100,3)=$W$7)),"x","")</f>
        <v/>
      </c>
      <c r="X3100" s="79" t="str">
        <f>IF(OR(TH!N3100=TH!$X$7,O3100=TH!$X$7),"x","")</f>
        <v/>
      </c>
      <c r="Y3100" s="79" t="str">
        <f>IF(AND(OR(N3100="131",O3100="131"),H3100='131-CT'!$H$9),"x","")</f>
        <v/>
      </c>
      <c r="Z3100" s="79"/>
      <c r="AA3100" s="79" t="str">
        <f>IF(AND(MONTH(E3100)='IN-NX'!$J$5,'IN-NX'!$D$7=D3100),"x","")</f>
        <v/>
      </c>
      <c r="AB3100" s="79" t="str">
        <f>IF(AND(OR(LEFT(TH!N3100,2)="15",LEFT(TH!O3100,2)="15"),LEFT(TH!O3100,3)&lt;&gt;"111",'152-CT'!$J$8=TH!F3100),"x","")</f>
        <v/>
      </c>
      <c r="AC3100" s="79" t="str">
        <f>IF(AND(OR(LEFT(TH!N3100,2)="15",LEFT(TH!O3100,2)="15"),TK!$E$7=TH!F3100),"x","")</f>
        <v/>
      </c>
      <c r="AD3100" s="79" t="str">
        <f>IF(AND(N3100="1521",MONTH(C3100)='BK-NL'!$M$11),"x","")</f>
        <v/>
      </c>
    </row>
    <row r="3101" spans="1:30" ht="16.5" customHeight="1">
      <c r="A3101" s="318" t="str">
        <f>IF(B3101&lt;&gt;"",IF(AND(B3101='[3]IN-TC'!$S$4,OR([3]TH!N2515="1111",[3]TH!O2515="1111")),[3]TH!D2515,""),"")</f>
        <v/>
      </c>
      <c r="B3101" s="60" t="str">
        <f t="shared" si="365"/>
        <v/>
      </c>
      <c r="C3101" s="301"/>
      <c r="D3101" s="301"/>
      <c r="E3101" s="301"/>
      <c r="F3101" s="69"/>
      <c r="G3101" s="302"/>
      <c r="H3101" s="303"/>
      <c r="I3101" s="385"/>
      <c r="J3101" s="395"/>
      <c r="K3101" s="385"/>
      <c r="L3101" s="392"/>
      <c r="M3101" s="62"/>
      <c r="N3101" s="304"/>
      <c r="O3101" s="304"/>
      <c r="P3101" s="79" t="str">
        <f>IF(AND('331-CT'!$E$7=TH!H3101,OR(N3101="331",O3101="331")),"x","")</f>
        <v/>
      </c>
      <c r="Q3101" s="79" t="str">
        <f>IF(AND(B3101='111'!$L$11,OR($N3101=$Q$7,$O3101=$Q$7)),"x","")</f>
        <v/>
      </c>
      <c r="R3101" s="79" t="str">
        <f>IF(AND($N3101=$Q$7,$B3101&lt;'111'!$L$11),"x","")</f>
        <v/>
      </c>
      <c r="S3101" s="79" t="str">
        <f>IF(AND($O3101=$Q$7,$B3101&lt;'111'!$L$11),"x","")</f>
        <v/>
      </c>
      <c r="T3101" s="79" t="str">
        <f>IF(ISERROR(FIND('112'!$M$9,G3101,1)),"",IF((AND(FIND('112'!$M$9,G3101,1)&gt;=1,B3101='112'!$K$9,OR($N3101='112'!$I$6,$O3101='112'!$I$6))),"x",""))</f>
        <v/>
      </c>
      <c r="U3101" s="79" t="str">
        <f>IF(ISERROR(FIND('112'!$M$9,G3101,1)),"",IF((AND(LEFT(G3101,2)=LEFT('112'!$M$9,2),B3101&lt;'112'!$K$9,$N3101='112'!$I$6)),"x",""))</f>
        <v/>
      </c>
      <c r="V3101" s="79" t="str">
        <f>IF(ISERROR(FIND('112'!$M$9,G3101,1)),"",IF((AND(RIGHT(G3101,2)=RIGHT('112'!$M$9,2),B3101&lt;'112'!$K$9,$O3101='112'!$I$6)),"x",""))</f>
        <v/>
      </c>
      <c r="W3101" s="79" t="str">
        <f>IF(AND('341-CT'!$H$9=H3101,OR(LEFT(N3101,3)=$W$7,LEFT(O3101,3)=$W$7)),"x","")</f>
        <v/>
      </c>
      <c r="X3101" s="79" t="str">
        <f>IF(OR(TH!N3101=TH!$X$7,O3101=TH!$X$7),"x","")</f>
        <v/>
      </c>
      <c r="Y3101" s="79" t="str">
        <f>IF(AND(OR(N3101="131",O3101="131"),H3101='131-CT'!$H$9),"x","")</f>
        <v/>
      </c>
      <c r="Z3101" s="79"/>
      <c r="AA3101" s="79" t="str">
        <f>IF(AND(MONTH(E3101)='IN-NX'!$J$5,'IN-NX'!$D$7=D3101),"x","")</f>
        <v/>
      </c>
      <c r="AB3101" s="79" t="str">
        <f>IF(AND(OR(LEFT(TH!N3101,2)="15",LEFT(TH!O3101,2)="15"),LEFT(TH!O3101,3)&lt;&gt;"111",'152-CT'!$J$8=TH!F3101),"x","")</f>
        <v/>
      </c>
      <c r="AC3101" s="79" t="str">
        <f>IF(AND(OR(LEFT(TH!N3101,2)="15",LEFT(TH!O3101,2)="15"),TK!$E$7=TH!F3101),"x","")</f>
        <v/>
      </c>
      <c r="AD3101" s="79" t="str">
        <f>IF(AND(N3101="1521",MONTH(C3101)='BK-NL'!$M$11),"x","")</f>
        <v/>
      </c>
    </row>
    <row r="3102" spans="1:30" ht="16.5" customHeight="1">
      <c r="A3102" s="318" t="str">
        <f>IF(B3102&lt;&gt;"",IF(AND(B3102='[3]IN-TC'!$S$4,OR([3]TH!N2517="1111",[3]TH!O2517="1111")),[3]TH!D2517,""),"")</f>
        <v/>
      </c>
      <c r="B3102" s="60" t="str">
        <f>IF(C3102&lt;&gt;"",MONTH(C3102),"")</f>
        <v/>
      </c>
      <c r="C3102" s="301"/>
      <c r="D3102" s="301"/>
      <c r="E3102" s="301"/>
      <c r="F3102" s="69"/>
      <c r="G3102" s="302"/>
      <c r="H3102" s="303"/>
      <c r="I3102" s="385"/>
      <c r="J3102" s="395"/>
      <c r="K3102" s="385"/>
      <c r="L3102" s="392"/>
      <c r="M3102" s="62"/>
      <c r="N3102" s="304"/>
      <c r="O3102" s="304"/>
      <c r="P3102" s="79" t="str">
        <f>IF(AND('331-CT'!$E$7=TH!H3102,OR(N3102="331",O3102="331")),"x","")</f>
        <v/>
      </c>
      <c r="Q3102" s="79" t="str">
        <f>IF(AND(B3102='111'!$L$11,OR($N3102=$Q$7,$O3102=$Q$7)),"x","")</f>
        <v/>
      </c>
      <c r="R3102" s="79" t="str">
        <f>IF(AND($N3102=$Q$7,$B3102&lt;'111'!$L$11),"x","")</f>
        <v/>
      </c>
      <c r="S3102" s="79" t="str">
        <f>IF(AND($O3102=$Q$7,$B3102&lt;'111'!$L$11),"x","")</f>
        <v/>
      </c>
      <c r="T3102" s="79" t="str">
        <f>IF(ISERROR(FIND('112'!$M$9,G3102,1)),"",IF((AND(FIND('112'!$M$9,G3102,1)&gt;=1,B3102='112'!$K$9,OR($N3102='112'!$I$6,$O3102='112'!$I$6))),"x",""))</f>
        <v/>
      </c>
      <c r="U3102" s="79" t="str">
        <f>IF(ISERROR(FIND('112'!$M$9,G3102,1)),"",IF((AND(LEFT(G3102,2)=LEFT('112'!$M$9,2),B3102&lt;'112'!$K$9,$N3102='112'!$I$6)),"x",""))</f>
        <v/>
      </c>
      <c r="V3102" s="79" t="str">
        <f>IF(ISERROR(FIND('112'!$M$9,G3102,1)),"",IF((AND(RIGHT(G3102,2)=RIGHT('112'!$M$9,2),B3102&lt;'112'!$K$9,$O3102='112'!$I$6)),"x",""))</f>
        <v/>
      </c>
      <c r="W3102" s="79" t="str">
        <f>IF(AND('341-CT'!$H$9=H3102,OR(LEFT(N3102,3)=$W$7,LEFT(O3102,3)=$W$7)),"x","")</f>
        <v/>
      </c>
      <c r="X3102" s="79" t="str">
        <f>IF(OR(TH!N3102=TH!$X$7,O3102=TH!$X$7),"x","")</f>
        <v/>
      </c>
      <c r="Y3102" s="79" t="str">
        <f>IF(AND(OR(N3102="131",O3102="131"),H3102='131-CT'!$H$9),"x","")</f>
        <v/>
      </c>
      <c r="Z3102" s="79"/>
      <c r="AA3102" s="79" t="str">
        <f>IF(AND(MONTH(E3102)='IN-NX'!$J$5,'IN-NX'!$D$7=D3102),"x","")</f>
        <v/>
      </c>
      <c r="AB3102" s="79" t="str">
        <f>IF(AND(OR(LEFT(TH!N3102,2)="15",LEFT(TH!O3102,2)="15"),LEFT(TH!O3102,3)&lt;&gt;"111",'152-CT'!$J$8=TH!F3102),"x","")</f>
        <v/>
      </c>
      <c r="AC3102" s="79" t="str">
        <f>IF(AND(OR(LEFT(TH!N3102,2)="15",LEFT(TH!O3102,2)="15"),TK!$E$7=TH!F3102),"x","")</f>
        <v/>
      </c>
      <c r="AD3102" s="79" t="str">
        <f>IF(AND(N3102="1521",MONTH(C3102)='BK-NL'!$M$11),"x","")</f>
        <v/>
      </c>
    </row>
    <row r="3103" spans="1:30" ht="16.5" customHeight="1">
      <c r="A3103" s="318" t="str">
        <f>IF(B3103&lt;&gt;"",IF(AND(B3103='IN-TC'!$S$4,OR(TH!N3103="1111",TH!O3103="1111")),TH!D3103,""),"")</f>
        <v/>
      </c>
      <c r="B3103" s="60" t="str">
        <f t="shared" ref="B3103:B3106" si="368">IF(C3103&lt;&gt;"",MONTH(C3103),"")</f>
        <v/>
      </c>
      <c r="C3103" s="301"/>
      <c r="D3103" s="301"/>
      <c r="E3103" s="301"/>
      <c r="F3103" s="69"/>
      <c r="G3103" s="302"/>
      <c r="H3103" s="303"/>
      <c r="I3103" s="385"/>
      <c r="J3103" s="969"/>
      <c r="K3103" s="385"/>
      <c r="L3103" s="392"/>
      <c r="M3103" s="970"/>
      <c r="N3103" s="304"/>
      <c r="O3103" s="304"/>
      <c r="P3103" s="79" t="str">
        <f>IF(AND('331-CT'!$E$7=TH!H3103,OR(N3103="331",O3103="331")),"x","")</f>
        <v/>
      </c>
      <c r="Q3103" s="79" t="str">
        <f>IF(AND(B3103='111'!$L$11,OR($N3103=$Q$7,$O3103=$Q$7)),"x","")</f>
        <v/>
      </c>
      <c r="R3103" s="79" t="str">
        <f>IF(AND($N3103=$Q$7,$B3103&lt;'111'!$L$11),"x","")</f>
        <v/>
      </c>
      <c r="S3103" s="79" t="str">
        <f>IF(AND($O3103=$Q$7,$B3103&lt;'111'!$L$11),"x","")</f>
        <v/>
      </c>
      <c r="T3103" s="79" t="str">
        <f>IF(ISERROR(FIND('112'!$M$9,G3103,1)),"",IF((AND(FIND('112'!$M$9,G3103,1)&gt;=1,B3103='112'!$K$9,OR($N3103='112'!$I$6,$O3103='112'!$I$6))),"x",""))</f>
        <v/>
      </c>
      <c r="U3103" s="79" t="str">
        <f>IF(ISERROR(FIND('112'!$M$9,G3103,1)),"",IF((AND(LEFT(G3103,2)=LEFT('112'!$M$9,2),B3103&lt;'112'!$K$9,$N3103='112'!$I$6)),"x",""))</f>
        <v/>
      </c>
      <c r="V3103" s="79" t="str">
        <f>IF(ISERROR(FIND('112'!$M$9,G3103,1)),"",IF((AND(RIGHT(G3103,2)=RIGHT('112'!$M$9,2),B3103&lt;'112'!$K$9,$O3103='112'!$I$6)),"x",""))</f>
        <v/>
      </c>
      <c r="W3103" s="79" t="str">
        <f>IF(AND('341-CT'!$H$9=H3103,OR(LEFT(N3103,3)=$W$7,LEFT(O3103,3)=$W$7)),"x","")</f>
        <v/>
      </c>
      <c r="X3103" s="79" t="str">
        <f>IF(OR(TH!N3103=TH!$X$7,O3103=TH!$X$7),"x","")</f>
        <v/>
      </c>
      <c r="Y3103" s="79" t="str">
        <f>IF(AND(OR(N3103="131",O3103="131"),H3103='131-CT'!$H$9),"x","")</f>
        <v/>
      </c>
      <c r="Z3103" s="79"/>
      <c r="AA3103" s="79" t="str">
        <f>IF(AND(MONTH(E3103)='IN-NX'!$J$5,'IN-NX'!$D$7=D3103),"x","")</f>
        <v/>
      </c>
      <c r="AB3103" s="79" t="str">
        <f>IF(AND(OR(LEFT(TH!N3103,2)="15",LEFT(TH!O3103,2)="15"),LEFT(TH!O3103,3)&lt;&gt;"111",'152-CT'!$J$8=TH!F3103),"x","")</f>
        <v/>
      </c>
      <c r="AC3103" s="79" t="str">
        <f>IF(AND(OR(LEFT(TH!N3103,2)="15",LEFT(TH!O3103,2)="15"),TK!$E$7=TH!F3103),"x","")</f>
        <v/>
      </c>
      <c r="AD3103" s="79" t="str">
        <f>IF(AND(N3103="1521",MONTH(C3103)='BK-NL'!$M$11),"x","")</f>
        <v/>
      </c>
    </row>
    <row r="3104" spans="1:30" s="1101" customFormat="1" ht="16.5" customHeight="1">
      <c r="A3104" s="318" t="str">
        <f>IF(B3104&lt;&gt;"",IF(AND(B3104='IN-TC'!$S$4,OR(TH!N3104="1111",TH!O3104="1111")),TH!D3104,""),"")</f>
        <v/>
      </c>
      <c r="B3104" s="60" t="str">
        <f t="shared" si="368"/>
        <v/>
      </c>
      <c r="C3104" s="61"/>
      <c r="D3104" s="61"/>
      <c r="E3104" s="61"/>
      <c r="F3104" s="69"/>
      <c r="G3104" s="64"/>
      <c r="H3104" s="69"/>
      <c r="I3104" s="385"/>
      <c r="J3104" s="392"/>
      <c r="K3104" s="385"/>
      <c r="L3104" s="392"/>
      <c r="M3104" s="62"/>
      <c r="N3104" s="63"/>
      <c r="O3104" s="63"/>
      <c r="P3104" s="79" t="str">
        <f>IF(AND('331-CT'!$E$7=TH!H3104,OR(N3104="331",O3104="331")),"x","")</f>
        <v/>
      </c>
      <c r="Q3104" s="79" t="str">
        <f>IF(AND(B3104='111'!$L$11,OR($N3104=$Q$7,$O3104=$Q$7)),"x","")</f>
        <v/>
      </c>
      <c r="R3104" s="79" t="str">
        <f>IF(AND($N3104=$Q$7,$B3104&lt;'111'!$L$11),"x","")</f>
        <v/>
      </c>
      <c r="S3104" s="79" t="str">
        <f>IF(AND($O3104=$Q$7,$B3104&lt;'111'!$L$11),"x","")</f>
        <v/>
      </c>
      <c r="T3104" s="79" t="str">
        <f>IF(ISERROR(FIND('112'!$M$9,G3104,1)),"",IF((AND(FIND('112'!$M$9,G3104,1)&gt;=1,B3104='112'!$K$9,OR($N3104='112'!$I$6,$O3104='112'!$I$6))),"x",""))</f>
        <v/>
      </c>
      <c r="U3104" s="79" t="str">
        <f>IF(ISERROR(FIND('112'!$M$9,G3104,1)),"",IF((AND(LEFT(G3104,2)=LEFT('112'!$M$9,2),B3104&lt;'112'!$K$9,$N3104='112'!$I$6)),"x",""))</f>
        <v/>
      </c>
      <c r="V3104" s="79" t="str">
        <f>IF(ISERROR(FIND('112'!$M$9,G3104,1)),"",IF((AND(RIGHT(G3104,2)=RIGHT('112'!$M$9,2),B3104&lt;'112'!$K$9,$O3104='112'!$I$6)),"x",""))</f>
        <v/>
      </c>
      <c r="W3104" s="79" t="str">
        <f>IF(AND('341-CT'!$H$9=H3104,OR(LEFT(N3104,3)=$W$7,LEFT(O3104,3)=$W$7)),"x","")</f>
        <v/>
      </c>
      <c r="X3104" s="79" t="str">
        <f>IF(OR(TH!N3104=TH!$X$7,O3104=TH!$X$7),"x","")</f>
        <v/>
      </c>
      <c r="Y3104" s="79" t="str">
        <f>IF(AND(OR(N3104="131",O3104="131"),H3104='131-CT'!$H$9),"x","")</f>
        <v/>
      </c>
      <c r="Z3104" s="79"/>
      <c r="AA3104" s="79" t="str">
        <f>IF(AND(MONTH(E3104)='IN-NX'!$J$5,'IN-NX'!$D$7=D3104),"x","")</f>
        <v/>
      </c>
      <c r="AB3104" s="79" t="str">
        <f>IF(AND(OR(LEFT(TH!N3104,2)="15",LEFT(TH!O3104,2)="15"),LEFT(TH!O3104,3)&lt;&gt;"111",'152-CT'!$J$8=TH!F3104),"x","")</f>
        <v/>
      </c>
      <c r="AC3104" s="79" t="str">
        <f>IF(AND(OR(LEFT(TH!N3104,2)="15",LEFT(TH!O3104,2)="15"),TK!$E$7=TH!F3104),"x","")</f>
        <v/>
      </c>
      <c r="AD3104" s="79" t="str">
        <f>IF(AND(N3104="1521",MONTH(C3104)='BK-NL'!$M$11),"x","")</f>
        <v/>
      </c>
    </row>
    <row r="3105" spans="1:30" s="1101" customFormat="1" ht="16.5" customHeight="1">
      <c r="A3105" s="318" t="str">
        <f>IF(B3105&lt;&gt;"",IF(AND(B3105='IN-TC'!$S$4,OR(TH!N3105="1111",TH!O3105="1111")),TH!D3105,""),"")</f>
        <v/>
      </c>
      <c r="B3105" s="60" t="str">
        <f t="shared" si="368"/>
        <v/>
      </c>
      <c r="C3105" s="61"/>
      <c r="D3105" s="61"/>
      <c r="E3105" s="61"/>
      <c r="F3105" s="69"/>
      <c r="G3105" s="64"/>
      <c r="H3105" s="69"/>
      <c r="I3105" s="387"/>
      <c r="J3105" s="394"/>
      <c r="K3105" s="62"/>
      <c r="L3105" s="394"/>
      <c r="M3105" s="62"/>
      <c r="N3105" s="63"/>
      <c r="O3105" s="63"/>
      <c r="P3105" s="79" t="str">
        <f>IF(AND('331-CT'!$E$7=TH!H3105,OR(N3105="331",O3105="331")),"x","")</f>
        <v/>
      </c>
      <c r="Q3105" s="79" t="str">
        <f>IF(AND(B3105='111'!$L$11,OR($N3105=$Q$7,$O3105=$Q$7)),"x","")</f>
        <v/>
      </c>
      <c r="R3105" s="79" t="str">
        <f>IF(AND($N3105=$Q$7,$B3105&lt;'111'!$L$11),"x","")</f>
        <v/>
      </c>
      <c r="S3105" s="79" t="str">
        <f>IF(AND($O3105=$Q$7,$B3105&lt;'111'!$L$11),"x","")</f>
        <v/>
      </c>
      <c r="T3105" s="79" t="str">
        <f>IF(ISERROR(FIND('112'!$M$9,G3105,1)),"",IF((AND(FIND('112'!$M$9,G3105,1)&gt;=1,B3105='112'!$K$9,OR($N3105='112'!$I$6,$O3105='112'!$I$6))),"x",""))</f>
        <v/>
      </c>
      <c r="U3105" s="79" t="str">
        <f>IF(ISERROR(FIND('112'!$M$9,G3105,1)),"",IF((AND(LEFT(G3105,2)=LEFT('112'!$M$9,2),B3105&lt;'112'!$K$9,$N3105='112'!$I$6)),"x",""))</f>
        <v/>
      </c>
      <c r="V3105" s="79" t="str">
        <f>IF(ISERROR(FIND('112'!$M$9,G3105,1)),"",IF((AND(RIGHT(G3105,2)=RIGHT('112'!$M$9,2),B3105&lt;'112'!$K$9,$O3105='112'!$I$6)),"x",""))</f>
        <v/>
      </c>
      <c r="W3105" s="79" t="str">
        <f>IF(AND('341-CT'!$H$9=H3105,OR(LEFT(N3105,3)=$W$7,LEFT(O3105,3)=$W$7)),"x","")</f>
        <v/>
      </c>
      <c r="X3105" s="79" t="str">
        <f>IF(OR(TH!N3105=TH!$X$7,O3105=TH!$X$7),"x","")</f>
        <v/>
      </c>
      <c r="Y3105" s="79" t="str">
        <f>IF(AND(OR(N3105="131",O3105="131"),H3105='131-CT'!$H$9),"x","")</f>
        <v/>
      </c>
      <c r="Z3105" s="79"/>
      <c r="AA3105" s="79" t="str">
        <f>IF(AND(MONTH(E3105)='IN-NX'!$J$5,'IN-NX'!$D$7=D3105),"x","")</f>
        <v/>
      </c>
      <c r="AB3105" s="79" t="str">
        <f>IF(AND(OR(LEFT(TH!N3105,2)="15",LEFT(TH!O3105,2)="15"),LEFT(TH!O3105,3)&lt;&gt;"111",'152-CT'!$J$8=TH!F3105),"x","")</f>
        <v/>
      </c>
      <c r="AC3105" s="79" t="str">
        <f>IF(AND(OR(LEFT(TH!N3105,2)="15",LEFT(TH!O3105,2)="15"),TK!$E$7=TH!F3105),"x","")</f>
        <v/>
      </c>
      <c r="AD3105" s="79" t="str">
        <f>IF(AND(N3105="1521",MONTH(C3105)='BK-NL'!$M$11),"x","")</f>
        <v/>
      </c>
    </row>
    <row r="3106" spans="1:30" s="1101" customFormat="1" ht="16.5" customHeight="1">
      <c r="A3106" s="318" t="str">
        <f>IF(B3106&lt;&gt;"",IF(AND(B3106='IN-TC'!$S$4,OR(TH!N3106="1111",TH!O3106="1111")),TH!D3106,""),"")</f>
        <v/>
      </c>
      <c r="B3106" s="60" t="str">
        <f t="shared" si="368"/>
        <v/>
      </c>
      <c r="C3106" s="61"/>
      <c r="D3106" s="61"/>
      <c r="E3106" s="61"/>
      <c r="F3106" s="69"/>
      <c r="G3106" s="64"/>
      <c r="H3106" s="69"/>
      <c r="I3106" s="387"/>
      <c r="J3106" s="394"/>
      <c r="K3106" s="387"/>
      <c r="L3106" s="394"/>
      <c r="M3106" s="62"/>
      <c r="N3106" s="63"/>
      <c r="O3106" s="63"/>
      <c r="P3106" s="79" t="str">
        <f>IF(AND('331-CT'!$E$7=TH!H3106,OR(N3106="331",O3106="331")),"x","")</f>
        <v/>
      </c>
      <c r="Q3106" s="79" t="str">
        <f>IF(AND(B3106='111'!$L$11,OR($N3106=$Q$7,$O3106=$Q$7)),"x","")</f>
        <v/>
      </c>
      <c r="R3106" s="79" t="str">
        <f>IF(AND($N3106=$Q$7,$B3106&lt;'111'!$L$11),"x","")</f>
        <v/>
      </c>
      <c r="S3106" s="79" t="str">
        <f>IF(AND($O3106=$Q$7,$B3106&lt;'111'!$L$11),"x","")</f>
        <v/>
      </c>
      <c r="T3106" s="79" t="str">
        <f>IF(ISERROR(FIND('112'!$M$9,G3106,1)),"",IF((AND(FIND('112'!$M$9,G3106,1)&gt;=1,B3106='112'!$K$9,OR($N3106='112'!$I$6,$O3106='112'!$I$6))),"x",""))</f>
        <v/>
      </c>
      <c r="U3106" s="79" t="str">
        <f>IF(ISERROR(FIND('112'!$M$9,G3106,1)),"",IF((AND(LEFT(G3106,2)=LEFT('112'!$M$9,2),B3106&lt;'112'!$K$9,$N3106='112'!$I$6)),"x",""))</f>
        <v/>
      </c>
      <c r="V3106" s="79" t="str">
        <f>IF(ISERROR(FIND('112'!$M$9,G3106,1)),"",IF((AND(RIGHT(G3106,2)=RIGHT('112'!$M$9,2),B3106&lt;'112'!$K$9,$O3106='112'!$I$6)),"x",""))</f>
        <v/>
      </c>
      <c r="W3106" s="79" t="str">
        <f>IF(AND('341-CT'!$H$9=H3106,OR(LEFT(N3106,3)=$W$7,LEFT(O3106,3)=$W$7)),"x","")</f>
        <v/>
      </c>
      <c r="X3106" s="79" t="str">
        <f>IF(OR(TH!N3106=TH!$X$7,O3106=TH!$X$7),"x","")</f>
        <v/>
      </c>
      <c r="Y3106" s="79" t="str">
        <f>IF(AND(OR(N3106="131",O3106="131"),H3106='131-CT'!$H$9),"x","")</f>
        <v/>
      </c>
      <c r="Z3106" s="79"/>
      <c r="AA3106" s="79" t="str">
        <f>IF(AND(MONTH(E3106)='IN-NX'!$J$5,'IN-NX'!$D$7=D3106),"x","")</f>
        <v/>
      </c>
      <c r="AB3106" s="79" t="str">
        <f>IF(AND(OR(LEFT(TH!N3106,2)="15",LEFT(TH!O3106,2)="15"),LEFT(TH!O3106,3)&lt;&gt;"111",'152-CT'!$J$8=TH!F3106),"x","")</f>
        <v/>
      </c>
      <c r="AC3106" s="79" t="str">
        <f>IF(AND(OR(LEFT(TH!N3106,2)="15",LEFT(TH!O3106,2)="15"),TK!$E$7=TH!F3106),"x","")</f>
        <v/>
      </c>
      <c r="AD3106" s="79" t="str">
        <f>IF(AND(N3106="1521",MONTH(C3106)='BK-NL'!$M$11),"x","")</f>
        <v/>
      </c>
    </row>
    <row r="3107" spans="1:30" ht="16.5" customHeight="1">
      <c r="A3107" s="318" t="str">
        <f>IF(B3107&lt;&gt;"",IF(AND(B3107='IN-TC'!$S$4,OR(TH!N3107="1111",TH!O3107="1111")),TH!D3107,""),"")</f>
        <v/>
      </c>
      <c r="B3107" s="60" t="str">
        <f t="shared" ref="B3107" si="369">IF(C3107&lt;&gt;"",MONTH(C3107),"")</f>
        <v/>
      </c>
      <c r="C3107" s="301"/>
      <c r="D3107" s="301"/>
      <c r="E3107" s="301"/>
      <c r="F3107" s="69"/>
      <c r="G3107" s="302"/>
      <c r="H3107" s="303"/>
      <c r="I3107" s="385"/>
      <c r="J3107" s="969"/>
      <c r="K3107" s="385"/>
      <c r="L3107" s="392"/>
      <c r="M3107" s="970"/>
      <c r="N3107" s="304"/>
      <c r="O3107" s="304"/>
      <c r="P3107" s="79" t="str">
        <f>IF(AND('331-CT'!$E$7=TH!H3107,OR(N3107="331",O3107="331")),"x","")</f>
        <v/>
      </c>
      <c r="Q3107" s="79" t="str">
        <f>IF(AND(B3107='111'!$L$11,OR($N3107=$Q$7,$O3107=$Q$7)),"x","")</f>
        <v/>
      </c>
      <c r="R3107" s="79" t="str">
        <f>IF(AND($N3107=$Q$7,$B3107&lt;'111'!$L$11),"x","")</f>
        <v/>
      </c>
      <c r="S3107" s="79" t="str">
        <f>IF(AND($O3107=$Q$7,$B3107&lt;'111'!$L$11),"x","")</f>
        <v/>
      </c>
      <c r="T3107" s="79" t="str">
        <f>IF(ISERROR(FIND('112'!$M$9,G3107,1)),"",IF((AND(FIND('112'!$M$9,G3107,1)&gt;=1,B3107='112'!$K$9,OR($N3107='112'!$I$6,$O3107='112'!$I$6))),"x",""))</f>
        <v/>
      </c>
      <c r="U3107" s="79" t="str">
        <f>IF(ISERROR(FIND('112'!$M$9,G3107,1)),"",IF((AND(LEFT(G3107,2)=LEFT('112'!$M$9,2),B3107&lt;'112'!$K$9,$N3107='112'!$I$6)),"x",""))</f>
        <v/>
      </c>
      <c r="V3107" s="79" t="str">
        <f>IF(ISERROR(FIND('112'!$M$9,G3107,1)),"",IF((AND(RIGHT(G3107,2)=RIGHT('112'!$M$9,2),B3107&lt;'112'!$K$9,$O3107='112'!$I$6)),"x",""))</f>
        <v/>
      </c>
      <c r="W3107" s="79" t="str">
        <f>IF(AND('341-CT'!$H$9=H3107,OR(LEFT(N3107,3)=$W$7,LEFT(O3107,3)=$W$7)),"x","")</f>
        <v/>
      </c>
      <c r="X3107" s="79" t="str">
        <f>IF(OR(TH!N3107=TH!$X$7,O3107=TH!$X$7),"x","")</f>
        <v/>
      </c>
      <c r="Y3107" s="79" t="str">
        <f>IF(AND(OR(N3107="131",O3107="131"),H3107='131-CT'!$H$9),"x","")</f>
        <v/>
      </c>
      <c r="Z3107" s="79"/>
      <c r="AA3107" s="79" t="str">
        <f>IF(AND(MONTH(E3107)='IN-NX'!$J$5,'IN-NX'!$D$7=D3107),"x","")</f>
        <v/>
      </c>
      <c r="AB3107" s="79" t="str">
        <f>IF(AND(OR(LEFT(TH!N3107,2)="15",LEFT(TH!O3107,2)="15"),LEFT(TH!O3107,3)&lt;&gt;"111",'152-CT'!$J$8=TH!F3107),"x","")</f>
        <v/>
      </c>
      <c r="AC3107" s="79" t="str">
        <f>IF(AND(OR(LEFT(TH!N3107,2)="15",LEFT(TH!O3107,2)="15"),TK!$E$7=TH!F3107),"x","")</f>
        <v/>
      </c>
      <c r="AD3107" s="79" t="str">
        <f>IF(AND(N3107="1521",MONTH(C3107)='BK-NL'!$M$11),"x","")</f>
        <v/>
      </c>
    </row>
    <row r="3108" spans="1:30" ht="16.5" customHeight="1">
      <c r="A3108" s="318" t="str">
        <f>IF(B3108&lt;&gt;"",IF(AND(B3108='IN-TC'!$S$4,OR(TH!N3108="1111",TH!O3108="1111")),TH!D3108,""),"")</f>
        <v/>
      </c>
      <c r="B3108" s="60" t="str">
        <f t="shared" ref="B3108" si="370">IF(C3108&lt;&gt;"",MONTH(C3108),"")</f>
        <v/>
      </c>
      <c r="C3108" s="301"/>
      <c r="D3108" s="301"/>
      <c r="E3108" s="301"/>
      <c r="F3108" s="69"/>
      <c r="G3108" s="302"/>
      <c r="H3108" s="303"/>
      <c r="I3108" s="385"/>
      <c r="J3108" s="969"/>
      <c r="K3108" s="385"/>
      <c r="L3108" s="392"/>
      <c r="M3108" s="970"/>
      <c r="N3108" s="304"/>
      <c r="O3108" s="304"/>
      <c r="P3108" s="79" t="str">
        <f>IF(AND('331-CT'!$E$7=TH!H3108,OR(N3108="331",O3108="331")),"x","")</f>
        <v/>
      </c>
      <c r="Q3108" s="79" t="str">
        <f>IF(AND(B3108='111'!$L$11,OR($N3108=$Q$7,$O3108=$Q$7)),"x","")</f>
        <v/>
      </c>
      <c r="R3108" s="79" t="str">
        <f>IF(AND($N3108=$Q$7,$B3108&lt;'111'!$L$11),"x","")</f>
        <v/>
      </c>
      <c r="S3108" s="79" t="str">
        <f>IF(AND($O3108=$Q$7,$B3108&lt;'111'!$L$11),"x","")</f>
        <v/>
      </c>
      <c r="T3108" s="79" t="str">
        <f>IF(ISERROR(FIND('112'!$M$9,G3108,1)),"",IF((AND(FIND('112'!$M$9,G3108,1)&gt;=1,B3108='112'!$K$9,OR($N3108='112'!$I$6,$O3108='112'!$I$6))),"x",""))</f>
        <v/>
      </c>
      <c r="U3108" s="79" t="str">
        <f>IF(ISERROR(FIND('112'!$M$9,G3108,1)),"",IF((AND(LEFT(G3108,2)=LEFT('112'!$M$9,2),B3108&lt;'112'!$K$9,$N3108='112'!$I$6)),"x",""))</f>
        <v/>
      </c>
      <c r="V3108" s="79" t="str">
        <f>IF(ISERROR(FIND('112'!$M$9,G3108,1)),"",IF((AND(RIGHT(G3108,2)=RIGHT('112'!$M$9,2),B3108&lt;'112'!$K$9,$O3108='112'!$I$6)),"x",""))</f>
        <v/>
      </c>
      <c r="W3108" s="79" t="str">
        <f>IF(AND('341-CT'!$H$9=H3108,OR(LEFT(N3108,3)=$W$7,LEFT(O3108,3)=$W$7)),"x","")</f>
        <v/>
      </c>
      <c r="X3108" s="79" t="str">
        <f>IF(OR(TH!N3108=TH!$X$7,O3108=TH!$X$7),"x","")</f>
        <v/>
      </c>
      <c r="Y3108" s="79" t="str">
        <f>IF(AND(OR(N3108="131",O3108="131"),H3108='131-CT'!$H$9),"x","")</f>
        <v/>
      </c>
      <c r="Z3108" s="79"/>
      <c r="AA3108" s="79" t="str">
        <f>IF(AND(MONTH(E3108)='IN-NX'!$J$5,'IN-NX'!$D$7=D3108),"x","")</f>
        <v/>
      </c>
      <c r="AB3108" s="79" t="str">
        <f>IF(AND(OR(LEFT(TH!N3108,2)="15",LEFT(TH!O3108,2)="15"),LEFT(TH!O3108,3)&lt;&gt;"111",'152-CT'!$J$8=TH!F3108),"x","")</f>
        <v/>
      </c>
      <c r="AC3108" s="79" t="str">
        <f>IF(AND(OR(LEFT(TH!N3108,2)="15",LEFT(TH!O3108,2)="15"),TK!$E$7=TH!F3108),"x","")</f>
        <v/>
      </c>
      <c r="AD3108" s="79" t="str">
        <f>IF(AND(N3108="1521",MONTH(C3108)='BK-NL'!$M$11),"x","")</f>
        <v/>
      </c>
    </row>
    <row r="3109" spans="1:30" ht="16.5" customHeight="1">
      <c r="A3109" s="318" t="str">
        <f>IF(B3109&lt;&gt;"",IF(AND(B3109='IN-TC'!$S$4,OR(TH!N3109="1111",TH!O3109="1111")),TH!D3109,""),"")</f>
        <v/>
      </c>
      <c r="B3109" s="60" t="str">
        <f t="shared" ref="B3109:B3114" si="371">IF(C3109&lt;&gt;"",MONTH(C3109),"")</f>
        <v/>
      </c>
      <c r="C3109" s="301"/>
      <c r="D3109" s="301"/>
      <c r="E3109" s="301"/>
      <c r="F3109" s="69"/>
      <c r="G3109" s="302"/>
      <c r="H3109" s="303"/>
      <c r="I3109" s="385"/>
      <c r="J3109" s="969"/>
      <c r="K3109" s="385"/>
      <c r="L3109" s="392"/>
      <c r="M3109" s="970"/>
      <c r="N3109" s="304"/>
      <c r="O3109" s="304"/>
      <c r="P3109" s="79" t="str">
        <f>IF(AND('331-CT'!$E$7=TH!H3109,OR(N3109="331",O3109="331")),"x","")</f>
        <v/>
      </c>
      <c r="Q3109" s="79" t="str">
        <f>IF(AND(B3109='111'!$L$11,OR($N3109=$Q$7,$O3109=$Q$7)),"x","")</f>
        <v/>
      </c>
      <c r="R3109" s="79" t="str">
        <f>IF(AND($N3109=$Q$7,$B3109&lt;'111'!$L$11),"x","")</f>
        <v/>
      </c>
      <c r="S3109" s="79" t="str">
        <f>IF(AND($O3109=$Q$7,$B3109&lt;'111'!$L$11),"x","")</f>
        <v/>
      </c>
      <c r="T3109" s="79" t="str">
        <f>IF(ISERROR(FIND('112'!$M$9,G3109,1)),"",IF((AND(FIND('112'!$M$9,G3109,1)&gt;=1,B3109='112'!$K$9,OR($N3109='112'!$I$6,$O3109='112'!$I$6))),"x",""))</f>
        <v/>
      </c>
      <c r="U3109" s="79" t="str">
        <f>IF(ISERROR(FIND('112'!$M$9,G3109,1)),"",IF((AND(LEFT(G3109,2)=LEFT('112'!$M$9,2),B3109&lt;'112'!$K$9,$N3109='112'!$I$6)),"x",""))</f>
        <v/>
      </c>
      <c r="V3109" s="79" t="str">
        <f>IF(ISERROR(FIND('112'!$M$9,G3109,1)),"",IF((AND(RIGHT(G3109,2)=RIGHT('112'!$M$9,2),B3109&lt;'112'!$K$9,$O3109='112'!$I$6)),"x",""))</f>
        <v/>
      </c>
      <c r="W3109" s="79" t="str">
        <f>IF(AND('341-CT'!$H$9=H3109,OR(LEFT(N3109,3)=$W$7,LEFT(O3109,3)=$W$7)),"x","")</f>
        <v/>
      </c>
      <c r="X3109" s="79" t="str">
        <f>IF(OR(TH!N3109=TH!$X$7,O3109=TH!$X$7),"x","")</f>
        <v/>
      </c>
      <c r="Y3109" s="79" t="str">
        <f>IF(AND(OR(N3109="131",O3109="131"),H3109='131-CT'!$H$9),"x","")</f>
        <v/>
      </c>
      <c r="Z3109" s="79"/>
      <c r="AA3109" s="79" t="str">
        <f>IF(AND(MONTH(E3109)='IN-NX'!$J$5,'IN-NX'!$D$7=D3109),"x","")</f>
        <v/>
      </c>
      <c r="AB3109" s="79" t="str">
        <f>IF(AND(OR(LEFT(TH!N3109,2)="15",LEFT(TH!O3109,2)="15"),LEFT(TH!O3109,3)&lt;&gt;"111",'152-CT'!$J$8=TH!F3109),"x","")</f>
        <v/>
      </c>
      <c r="AC3109" s="79" t="str">
        <f>IF(AND(OR(LEFT(TH!N3109,2)="15",LEFT(TH!O3109,2)="15"),TK!$E$7=TH!F3109),"x","")</f>
        <v/>
      </c>
      <c r="AD3109" s="79" t="str">
        <f>IF(AND(N3109="1521",MONTH(C3109)='BK-NL'!$M$11),"x","")</f>
        <v/>
      </c>
    </row>
    <row r="3110" spans="1:30" s="1306" customFormat="1" ht="16.5" customHeight="1">
      <c r="A3110" s="1305" t="str">
        <f>IF(B3110&lt;&gt;"",IF(AND(B3110='IN-TC'!$S$4,OR(TH!N3110="1111",TH!O3110="1111")),TH!D3110,""),"")</f>
        <v/>
      </c>
      <c r="B3110" s="60" t="str">
        <f t="shared" si="371"/>
        <v/>
      </c>
      <c r="C3110" s="301"/>
      <c r="D3110" s="301"/>
      <c r="E3110" s="301"/>
      <c r="F3110" s="69"/>
      <c r="G3110" s="302"/>
      <c r="H3110" s="303"/>
      <c r="I3110" s="385"/>
      <c r="J3110" s="969"/>
      <c r="K3110" s="385"/>
      <c r="L3110" s="392"/>
      <c r="M3110" s="970"/>
      <c r="N3110" s="304"/>
      <c r="O3110" s="304"/>
      <c r="P3110" s="79" t="str">
        <f>IF(AND('331-CT'!$E$7=TH!H3110,OR(N3110="331",O3110="331")),"x","")</f>
        <v/>
      </c>
      <c r="Q3110" s="79" t="str">
        <f>IF(AND(B3110='111'!$L$11,OR($N3110=$Q$7,$O3110=$Q$7)),"x","")</f>
        <v/>
      </c>
      <c r="R3110" s="79" t="str">
        <f>IF(AND($N3110=$Q$7,$B3110&lt;'111'!$L$11),"x","")</f>
        <v/>
      </c>
      <c r="S3110" s="79" t="str">
        <f>IF(AND($O3110=$Q$7,$B3110&lt;'111'!$L$11),"x","")</f>
        <v/>
      </c>
      <c r="T3110" s="79" t="str">
        <f>IF(ISERROR(FIND('112'!$M$9,G3110,1)),"",IF((AND(FIND('112'!$M$9,G3110,1)&gt;=1,B3110='112'!$K$9,OR($N3110='112'!$I$6,$O3110='112'!$I$6))),"x",""))</f>
        <v/>
      </c>
      <c r="U3110" s="79" t="str">
        <f>IF(ISERROR(FIND('112'!$M$9,G3110,1)),"",IF((AND(LEFT(G3110,2)=LEFT('112'!$M$9,2),B3110&lt;'112'!$K$9,$N3110='112'!$I$6)),"x",""))</f>
        <v/>
      </c>
      <c r="V3110" s="79" t="str">
        <f>IF(ISERROR(FIND('112'!$M$9,G3110,1)),"",IF((AND(RIGHT(G3110,2)=RIGHT('112'!$M$9,2),B3110&lt;'112'!$K$9,$O3110='112'!$I$6)),"x",""))</f>
        <v/>
      </c>
      <c r="W3110" s="79" t="str">
        <f>IF(AND('341-CT'!$H$9=H3110,OR(LEFT(N3110,3)=$W$7,LEFT(O3110,3)=$W$7)),"x","")</f>
        <v/>
      </c>
      <c r="X3110" s="79" t="str">
        <f>IF(OR(TH!N3110=TH!$X$7,O3110=TH!$X$7),"x","")</f>
        <v/>
      </c>
      <c r="Y3110" s="79" t="str">
        <f>IF(AND(OR(N3110="131",O3110="131"),H3110='131-CT'!$H$9),"x","")</f>
        <v/>
      </c>
      <c r="Z3110" s="79"/>
      <c r="AA3110" s="79" t="str">
        <f>IF(AND(MONTH(E3110)='IN-NX'!$J$5,'IN-NX'!$D$7=D3110),"x","")</f>
        <v/>
      </c>
      <c r="AB3110" s="79" t="str">
        <f>IF(AND(OR(LEFT(TH!N3110,2)="15",LEFT(TH!O3110,2)="15"),LEFT(TH!O3110,3)&lt;&gt;"111",'152-CT'!$J$8=TH!F3110),"x","")</f>
        <v/>
      </c>
      <c r="AC3110" s="79" t="str">
        <f>IF(AND(OR(LEFT(TH!N3110,2)="15",LEFT(TH!O3110,2)="15"),TK!$E$7=TH!F3110),"x","")</f>
        <v/>
      </c>
      <c r="AD3110" s="79" t="str">
        <f>IF(AND(N3110="1521",MONTH(C3110)='BK-NL'!$M$11),"x","")</f>
        <v/>
      </c>
    </row>
    <row r="3111" spans="1:30" ht="16.5" customHeight="1">
      <c r="A3111" s="318" t="str">
        <f>IF(B3111&lt;&gt;"",IF(AND(B3111='IN-TC'!$S$4,OR(TH!N3111="1111",TH!O3111="1111")),TH!D3111,""),"")</f>
        <v/>
      </c>
      <c r="B3111" s="60" t="str">
        <f t="shared" si="371"/>
        <v/>
      </c>
      <c r="C3111" s="301"/>
      <c r="D3111" s="301"/>
      <c r="E3111" s="301"/>
      <c r="F3111" s="69"/>
      <c r="G3111" s="988"/>
      <c r="H3111" s="303"/>
      <c r="I3111" s="385"/>
      <c r="J3111" s="969"/>
      <c r="K3111" s="385"/>
      <c r="L3111" s="392"/>
      <c r="M3111" s="970"/>
      <c r="N3111" s="304"/>
      <c r="O3111" s="304"/>
      <c r="P3111" s="79" t="str">
        <f>IF(AND('331-CT'!$E$7=TH!H3111,OR(N3111="331",O3111="331")),"x","")</f>
        <v/>
      </c>
      <c r="Q3111" s="79" t="str">
        <f>IF(AND(B3111='111'!$L$11,OR($N3111=$Q$7,$O3111=$Q$7)),"x","")</f>
        <v/>
      </c>
      <c r="R3111" s="79" t="str">
        <f>IF(AND($N3111=$Q$7,$B3111&lt;'111'!$L$11),"x","")</f>
        <v/>
      </c>
      <c r="S3111" s="79" t="str">
        <f>IF(AND($O3111=$Q$7,$B3111&lt;'111'!$L$11),"x","")</f>
        <v/>
      </c>
      <c r="T3111" s="79" t="str">
        <f>IF(ISERROR(FIND('112'!$M$9,G3111,1)),"",IF((AND(FIND('112'!$M$9,G3111,1)&gt;=1,B3111='112'!$K$9,OR($N3111='112'!$I$6,$O3111='112'!$I$6))),"x",""))</f>
        <v/>
      </c>
      <c r="U3111" s="79" t="str">
        <f>IF(ISERROR(FIND('112'!$M$9,G3111,1)),"",IF((AND(LEFT(G3111,2)=LEFT('112'!$M$9,2),B3111&lt;'112'!$K$9,$N3111='112'!$I$6)),"x",""))</f>
        <v/>
      </c>
      <c r="V3111" s="79" t="str">
        <f>IF(ISERROR(FIND('112'!$M$9,G3111,1)),"",IF((AND(RIGHT(G3111,2)=RIGHT('112'!$M$9,2),B3111&lt;'112'!$K$9,$O3111='112'!$I$6)),"x",""))</f>
        <v/>
      </c>
      <c r="W3111" s="79" t="str">
        <f>IF(AND('341-CT'!$H$9=H3111,OR(LEFT(N3111,3)=$W$7,LEFT(O3111,3)=$W$7)),"x","")</f>
        <v/>
      </c>
      <c r="X3111" s="79" t="str">
        <f>IF(OR(TH!N3111=TH!$X$7,O3111=TH!$X$7),"x","")</f>
        <v/>
      </c>
      <c r="Y3111" s="79" t="str">
        <f>IF(AND(OR(N3111="131",O3111="131"),H3111='131-CT'!$H$9),"x","")</f>
        <v/>
      </c>
      <c r="Z3111" s="79"/>
      <c r="AA3111" s="79" t="str">
        <f>IF(AND(MONTH(E3111)='IN-NX'!$J$5,'IN-NX'!$D$7=D3111),"x","")</f>
        <v/>
      </c>
      <c r="AB3111" s="79" t="str">
        <f>IF(AND(OR(LEFT(TH!N3111,2)="15",LEFT(TH!O3111,2)="15"),LEFT(TH!O3111,3)&lt;&gt;"111",'152-CT'!$J$8=TH!F3111),"x","")</f>
        <v/>
      </c>
      <c r="AC3111" s="79" t="str">
        <f>IF(AND(OR(LEFT(TH!N3111,2)="15",LEFT(TH!O3111,2)="15"),TK!$E$7=TH!F3111),"x","")</f>
        <v/>
      </c>
      <c r="AD3111" s="79" t="str">
        <f>IF(AND(N3111="1521",MONTH(C3111)='BK-NL'!$M$11),"x","")</f>
        <v/>
      </c>
    </row>
    <row r="3112" spans="1:30" ht="16.5" customHeight="1">
      <c r="A3112" s="318" t="str">
        <f>IF(B3112&lt;&gt;"",IF(AND(B3112='IN-TC'!$S$4,OR(TH!N3112="1111",TH!O3112="1111")),TH!D3112,""),"")</f>
        <v/>
      </c>
      <c r="B3112" s="60" t="str">
        <f t="shared" si="371"/>
        <v/>
      </c>
      <c r="C3112" s="301"/>
      <c r="D3112" s="301"/>
      <c r="E3112" s="301"/>
      <c r="F3112" s="69"/>
      <c r="G3112" s="988"/>
      <c r="H3112" s="303"/>
      <c r="I3112" s="385"/>
      <c r="J3112" s="969"/>
      <c r="K3112" s="385"/>
      <c r="L3112" s="392"/>
      <c r="M3112" s="970"/>
      <c r="N3112" s="304"/>
      <c r="O3112" s="304"/>
      <c r="P3112" s="79" t="str">
        <f>IF(AND('331-CT'!$E$7=TH!H3112,OR(N3112="331",O3112="331")),"x","")</f>
        <v/>
      </c>
      <c r="Q3112" s="79" t="str">
        <f>IF(AND(B3112='111'!$L$11,OR($N3112=$Q$7,$O3112=$Q$7)),"x","")</f>
        <v/>
      </c>
      <c r="R3112" s="79" t="str">
        <f>IF(AND($N3112=$Q$7,$B3112&lt;'111'!$L$11),"x","")</f>
        <v/>
      </c>
      <c r="S3112" s="79" t="str">
        <f>IF(AND($O3112=$Q$7,$B3112&lt;'111'!$L$11),"x","")</f>
        <v/>
      </c>
      <c r="T3112" s="79" t="str">
        <f>IF(ISERROR(FIND('112'!$M$9,G3112,1)),"",IF((AND(FIND('112'!$M$9,G3112,1)&gt;=1,B3112='112'!$K$9,OR($N3112='112'!$I$6,$O3112='112'!$I$6))),"x",""))</f>
        <v/>
      </c>
      <c r="U3112" s="79" t="str">
        <f>IF(ISERROR(FIND('112'!$M$9,G3112,1)),"",IF((AND(LEFT(G3112,2)=LEFT('112'!$M$9,2),B3112&lt;'112'!$K$9,$N3112='112'!$I$6)),"x",""))</f>
        <v/>
      </c>
      <c r="V3112" s="79" t="str">
        <f>IF(ISERROR(FIND('112'!$M$9,G3112,1)),"",IF((AND(RIGHT(G3112,2)=RIGHT('112'!$M$9,2),B3112&lt;'112'!$K$9,$O3112='112'!$I$6)),"x",""))</f>
        <v/>
      </c>
      <c r="W3112" s="79" t="str">
        <f>IF(AND('341-CT'!$H$9=H3112,OR(LEFT(N3112,3)=$W$7,LEFT(O3112,3)=$W$7)),"x","")</f>
        <v/>
      </c>
      <c r="X3112" s="79" t="str">
        <f>IF(OR(TH!N3112=TH!$X$7,O3112=TH!$X$7),"x","")</f>
        <v/>
      </c>
      <c r="Y3112" s="79" t="str">
        <f>IF(AND(OR(N3112="131",O3112="131"),H3112='131-CT'!$H$9),"x","")</f>
        <v/>
      </c>
      <c r="Z3112" s="79"/>
      <c r="AA3112" s="79" t="str">
        <f>IF(AND(MONTH(E3112)='IN-NX'!$J$5,'IN-NX'!$D$7=D3112),"x","")</f>
        <v/>
      </c>
      <c r="AB3112" s="79" t="str">
        <f>IF(AND(OR(LEFT(TH!N3112,2)="15",LEFT(TH!O3112,2)="15"),LEFT(TH!O3112,3)&lt;&gt;"111",'152-CT'!$J$8=TH!F3112),"x","")</f>
        <v/>
      </c>
      <c r="AC3112" s="79" t="str">
        <f>IF(AND(OR(LEFT(TH!N3112,2)="15",LEFT(TH!O3112,2)="15"),TK!$E$7=TH!F3112),"x","")</f>
        <v/>
      </c>
      <c r="AD3112" s="79" t="str">
        <f>IF(AND(N3112="1521",MONTH(C3112)='BK-NL'!$M$11),"x","")</f>
        <v/>
      </c>
    </row>
    <row r="3113" spans="1:30" s="1101" customFormat="1" ht="16.5" customHeight="1">
      <c r="A3113" s="318" t="str">
        <f>IF(B3113&lt;&gt;"",IF(AND(B3113='IN-TC'!$S$4,OR(TH!N3113="1111",TH!O3113="1111")),TH!D3113,""),"")</f>
        <v/>
      </c>
      <c r="B3113" s="60" t="str">
        <f t="shared" si="371"/>
        <v/>
      </c>
      <c r="C3113" s="61"/>
      <c r="D3113" s="61"/>
      <c r="E3113" s="61"/>
      <c r="F3113" s="69"/>
      <c r="G3113" s="64"/>
      <c r="H3113" s="69"/>
      <c r="I3113" s="385"/>
      <c r="J3113" s="392"/>
      <c r="K3113" s="385"/>
      <c r="L3113" s="392"/>
      <c r="M3113" s="62"/>
      <c r="N3113" s="63"/>
      <c r="O3113" s="63"/>
      <c r="P3113" s="79" t="str">
        <f>IF(AND('331-CT'!$E$7=TH!H3113,OR(N3113="331",O3113="331")),"x","")</f>
        <v/>
      </c>
      <c r="Q3113" s="79" t="str">
        <f>IF(AND(B3113='111'!$L$11,OR($N3113=$Q$7,$O3113=$Q$7)),"x","")</f>
        <v/>
      </c>
      <c r="R3113" s="79" t="str">
        <f>IF(AND($N3113=$Q$7,$B3113&lt;'111'!$L$11),"x","")</f>
        <v/>
      </c>
      <c r="S3113" s="79" t="str">
        <f>IF(AND($O3113=$Q$7,$B3113&lt;'111'!$L$11),"x","")</f>
        <v/>
      </c>
      <c r="T3113" s="79" t="str">
        <f>IF(ISERROR(FIND('112'!$M$9,G3113,1)),"",IF((AND(FIND('112'!$M$9,G3113,1)&gt;=1,B3113='112'!$K$9,OR($N3113='112'!$I$6,$O3113='112'!$I$6))),"x",""))</f>
        <v/>
      </c>
      <c r="U3113" s="79" t="str">
        <f>IF(ISERROR(FIND('112'!$M$9,G3113,1)),"",IF((AND(LEFT(G3113,2)=LEFT('112'!$M$9,2),B3113&lt;'112'!$K$9,$N3113='112'!$I$6)),"x",""))</f>
        <v/>
      </c>
      <c r="V3113" s="79" t="str">
        <f>IF(ISERROR(FIND('112'!$M$9,G3113,1)),"",IF((AND(RIGHT(G3113,2)=RIGHT('112'!$M$9,2),B3113&lt;'112'!$K$9,$O3113='112'!$I$6)),"x",""))</f>
        <v/>
      </c>
      <c r="W3113" s="79" t="str">
        <f>IF(AND('341-CT'!$H$9=H3113,OR(LEFT(N3113,3)=$W$7,LEFT(O3113,3)=$W$7)),"x","")</f>
        <v/>
      </c>
      <c r="X3113" s="79" t="str">
        <f>IF(OR(TH!N3113=TH!$X$7,O3113=TH!$X$7),"x","")</f>
        <v/>
      </c>
      <c r="Y3113" s="79" t="str">
        <f>IF(AND(OR(N3113="131",O3113="131"),H3113='131-CT'!$H$9),"x","")</f>
        <v/>
      </c>
      <c r="Z3113" s="79"/>
      <c r="AA3113" s="79" t="str">
        <f>IF(AND(MONTH(E3113)='IN-NX'!$J$5,'IN-NX'!$D$7=D3113),"x","")</f>
        <v/>
      </c>
      <c r="AB3113" s="79" t="str">
        <f>IF(AND(OR(LEFT(TH!N3113,2)="15",LEFT(TH!O3113,2)="15"),LEFT(TH!O3113,3)&lt;&gt;"111",'152-CT'!$J$8=TH!F3113),"x","")</f>
        <v/>
      </c>
      <c r="AC3113" s="79" t="str">
        <f>IF(AND(OR(LEFT(TH!N3113,2)="15",LEFT(TH!O3113,2)="15"),TK!$E$7=TH!F3113),"x","")</f>
        <v/>
      </c>
      <c r="AD3113" s="79" t="str">
        <f>IF(AND(N3113="1521",MONTH(C3113)='BK-NL'!$M$11),"x","")</f>
        <v/>
      </c>
    </row>
    <row r="3114" spans="1:30" s="1101" customFormat="1" ht="16.5" customHeight="1">
      <c r="A3114" s="318" t="str">
        <f>IF(B3114&lt;&gt;"",IF(AND(B3114='IN-TC'!$S$4,OR(TH!N3114="1111",TH!O3114="1111")),TH!D3114,""),"")</f>
        <v/>
      </c>
      <c r="B3114" s="60" t="str">
        <f t="shared" si="371"/>
        <v/>
      </c>
      <c r="C3114" s="61"/>
      <c r="D3114" s="61"/>
      <c r="E3114" s="61"/>
      <c r="F3114" s="69"/>
      <c r="G3114" s="64"/>
      <c r="H3114" s="69"/>
      <c r="I3114" s="387"/>
      <c r="J3114" s="394"/>
      <c r="K3114" s="62"/>
      <c r="L3114" s="394"/>
      <c r="M3114" s="62"/>
      <c r="N3114" s="63"/>
      <c r="O3114" s="63"/>
      <c r="P3114" s="79" t="str">
        <f>IF(AND('331-CT'!$E$7=TH!H3114,OR(N3114="331",O3114="331")),"x","")</f>
        <v/>
      </c>
      <c r="Q3114" s="79" t="str">
        <f>IF(AND(B3114='111'!$L$11,OR($N3114=$Q$7,$O3114=$Q$7)),"x","")</f>
        <v/>
      </c>
      <c r="R3114" s="79" t="str">
        <f>IF(AND($N3114=$Q$7,$B3114&lt;'111'!$L$11),"x","")</f>
        <v/>
      </c>
      <c r="S3114" s="79" t="str">
        <f>IF(AND($O3114=$Q$7,$B3114&lt;'111'!$L$11),"x","")</f>
        <v/>
      </c>
      <c r="T3114" s="79" t="str">
        <f>IF(ISERROR(FIND('112'!$M$9,G3114,1)),"",IF((AND(FIND('112'!$M$9,G3114,1)&gt;=1,B3114='112'!$K$9,OR($N3114='112'!$I$6,$O3114='112'!$I$6))),"x",""))</f>
        <v/>
      </c>
      <c r="U3114" s="79" t="str">
        <f>IF(ISERROR(FIND('112'!$M$9,G3114,1)),"",IF((AND(LEFT(G3114,2)=LEFT('112'!$M$9,2),B3114&lt;'112'!$K$9,$N3114='112'!$I$6)),"x",""))</f>
        <v/>
      </c>
      <c r="V3114" s="79" t="str">
        <f>IF(ISERROR(FIND('112'!$M$9,G3114,1)),"",IF((AND(RIGHT(G3114,2)=RIGHT('112'!$M$9,2),B3114&lt;'112'!$K$9,$O3114='112'!$I$6)),"x",""))</f>
        <v/>
      </c>
      <c r="W3114" s="79" t="str">
        <f>IF(AND('341-CT'!$H$9=H3114,OR(LEFT(N3114,3)=$W$7,LEFT(O3114,3)=$W$7)),"x","")</f>
        <v/>
      </c>
      <c r="X3114" s="79" t="str">
        <f>IF(OR(TH!N3114=TH!$X$7,O3114=TH!$X$7),"x","")</f>
        <v/>
      </c>
      <c r="Y3114" s="79" t="str">
        <f>IF(AND(OR(N3114="131",O3114="131"),H3114='131-CT'!$H$9),"x","")</f>
        <v/>
      </c>
      <c r="Z3114" s="79"/>
      <c r="AA3114" s="79" t="str">
        <f>IF(AND(MONTH(E3114)='IN-NX'!$J$5,'IN-NX'!$D$7=D3114),"x","")</f>
        <v/>
      </c>
      <c r="AB3114" s="79" t="str">
        <f>IF(AND(OR(LEFT(TH!N3114,2)="15",LEFT(TH!O3114,2)="15"),LEFT(TH!O3114,3)&lt;&gt;"111",'152-CT'!$J$8=TH!F3114),"x","")</f>
        <v/>
      </c>
      <c r="AC3114" s="79" t="str">
        <f>IF(AND(OR(LEFT(TH!N3114,2)="15",LEFT(TH!O3114,2)="15"),TK!$E$7=TH!F3114),"x","")</f>
        <v/>
      </c>
      <c r="AD3114" s="79" t="str">
        <f>IF(AND(N3114="1521",MONTH(C3114)='BK-NL'!$M$11),"x","")</f>
        <v/>
      </c>
    </row>
    <row r="3115" spans="1:30" s="1101" customFormat="1" ht="16.5" customHeight="1">
      <c r="A3115" s="318" t="str">
        <f>IF(B3115&lt;&gt;"",IF(AND(B3115='IN-TC'!$S$4,OR(TH!N3115="1111",TH!O3115="1111")),TH!D3115,""),"")</f>
        <v/>
      </c>
      <c r="B3115" s="60" t="str">
        <f t="shared" ref="B3115:B3117" si="372">IF(C3115&lt;&gt;"",MONTH(C3115),"")</f>
        <v/>
      </c>
      <c r="C3115" s="61"/>
      <c r="D3115" s="61"/>
      <c r="E3115" s="61"/>
      <c r="F3115" s="69"/>
      <c r="G3115" s="64"/>
      <c r="H3115" s="69"/>
      <c r="I3115" s="387"/>
      <c r="J3115" s="394"/>
      <c r="K3115" s="387"/>
      <c r="L3115" s="394"/>
      <c r="M3115" s="62"/>
      <c r="N3115" s="63"/>
      <c r="O3115" s="63"/>
      <c r="P3115" s="79" t="str">
        <f>IF(AND('331-CT'!$E$7=TH!H3115,OR(N3115="331",O3115="331")),"x","")</f>
        <v/>
      </c>
      <c r="Q3115" s="79" t="str">
        <f>IF(AND(B3115='111'!$L$11,OR($N3115=$Q$7,$O3115=$Q$7)),"x","")</f>
        <v/>
      </c>
      <c r="R3115" s="79" t="str">
        <f>IF(AND($N3115=$Q$7,$B3115&lt;'111'!$L$11),"x","")</f>
        <v/>
      </c>
      <c r="S3115" s="79" t="str">
        <f>IF(AND($O3115=$Q$7,$B3115&lt;'111'!$L$11),"x","")</f>
        <v/>
      </c>
      <c r="T3115" s="79" t="str">
        <f>IF(ISERROR(FIND('112'!$M$9,G3115,1)),"",IF((AND(FIND('112'!$M$9,G3115,1)&gt;=1,B3115='112'!$K$9,OR($N3115='112'!$I$6,$O3115='112'!$I$6))),"x",""))</f>
        <v/>
      </c>
      <c r="U3115" s="79" t="str">
        <f>IF(ISERROR(FIND('112'!$M$9,G3115,1)),"",IF((AND(LEFT(G3115,2)=LEFT('112'!$M$9,2),B3115&lt;'112'!$K$9,$N3115='112'!$I$6)),"x",""))</f>
        <v/>
      </c>
      <c r="V3115" s="79" t="str">
        <f>IF(ISERROR(FIND('112'!$M$9,G3115,1)),"",IF((AND(RIGHT(G3115,2)=RIGHT('112'!$M$9,2),B3115&lt;'112'!$K$9,$O3115='112'!$I$6)),"x",""))</f>
        <v/>
      </c>
      <c r="W3115" s="79" t="str">
        <f>IF(AND('341-CT'!$H$9=H3115,OR(LEFT(N3115,3)=$W$7,LEFT(O3115,3)=$W$7)),"x","")</f>
        <v/>
      </c>
      <c r="X3115" s="79" t="str">
        <f>IF(OR(TH!N3115=TH!$X$7,O3115=TH!$X$7),"x","")</f>
        <v/>
      </c>
      <c r="Y3115" s="79" t="str">
        <f>IF(AND(OR(N3115="131",O3115="131"),H3115='131-CT'!$H$9),"x","")</f>
        <v/>
      </c>
      <c r="Z3115" s="79"/>
      <c r="AA3115" s="79" t="str">
        <f>IF(AND(MONTH(E3115)='IN-NX'!$J$5,'IN-NX'!$D$7=D3115),"x","")</f>
        <v/>
      </c>
      <c r="AB3115" s="79" t="str">
        <f>IF(AND(OR(LEFT(TH!N3115,2)="15",LEFT(TH!O3115,2)="15"),LEFT(TH!O3115,3)&lt;&gt;"111",'152-CT'!$J$8=TH!F3115),"x","")</f>
        <v/>
      </c>
      <c r="AC3115" s="79" t="str">
        <f>IF(AND(OR(LEFT(TH!N3115,2)="15",LEFT(TH!O3115,2)="15"),TK!$E$7=TH!F3115),"x","")</f>
        <v/>
      </c>
      <c r="AD3115" s="79" t="str">
        <f>IF(AND(N3115="1521",MONTH(C3115)='BK-NL'!$M$11),"x","")</f>
        <v/>
      </c>
    </row>
    <row r="3116" spans="1:30" s="1101" customFormat="1" ht="16.5" customHeight="1">
      <c r="A3116" s="318" t="str">
        <f>IF(B3116&lt;&gt;"",IF(AND(B3116='IN-TC'!$S$4,OR(TH!N3116="1111",TH!O3116="1111")),TH!D3116,""),"")</f>
        <v/>
      </c>
      <c r="B3116" s="60" t="str">
        <f t="shared" si="372"/>
        <v/>
      </c>
      <c r="C3116" s="61"/>
      <c r="D3116" s="61"/>
      <c r="E3116" s="61"/>
      <c r="F3116" s="69"/>
      <c r="G3116" s="64"/>
      <c r="H3116" s="69"/>
      <c r="I3116" s="385"/>
      <c r="J3116" s="392"/>
      <c r="K3116" s="385"/>
      <c r="L3116" s="392"/>
      <c r="M3116" s="62"/>
      <c r="N3116" s="63"/>
      <c r="O3116" s="63"/>
      <c r="P3116" s="79" t="str">
        <f>IF(AND('331-CT'!$E$7=TH!H3116,OR(N3116="331",O3116="331")),"x","")</f>
        <v/>
      </c>
      <c r="Q3116" s="79" t="str">
        <f>IF(AND(B3116='111'!$L$11,OR($N3116=$Q$7,$O3116=$Q$7)),"x","")</f>
        <v/>
      </c>
      <c r="R3116" s="79" t="str">
        <f>IF(AND($N3116=$Q$7,$B3116&lt;'111'!$L$11),"x","")</f>
        <v/>
      </c>
      <c r="S3116" s="79" t="str">
        <f>IF(AND($O3116=$Q$7,$B3116&lt;'111'!$L$11),"x","")</f>
        <v/>
      </c>
      <c r="T3116" s="79" t="str">
        <f>IF(ISERROR(FIND('112'!$M$9,G3116,1)),"",IF((AND(FIND('112'!$M$9,G3116,1)&gt;=1,B3116='112'!$K$9,OR($N3116='112'!$I$6,$O3116='112'!$I$6))),"x",""))</f>
        <v/>
      </c>
      <c r="U3116" s="79" t="str">
        <f>IF(ISERROR(FIND('112'!$M$9,G3116,1)),"",IF((AND(LEFT(G3116,2)=LEFT('112'!$M$9,2),B3116&lt;'112'!$K$9,$N3116='112'!$I$6)),"x",""))</f>
        <v/>
      </c>
      <c r="V3116" s="79" t="str">
        <f>IF(ISERROR(FIND('112'!$M$9,G3116,1)),"",IF((AND(RIGHT(G3116,2)=RIGHT('112'!$M$9,2),B3116&lt;'112'!$K$9,$O3116='112'!$I$6)),"x",""))</f>
        <v/>
      </c>
      <c r="W3116" s="79" t="str">
        <f>IF(AND('341-CT'!$H$9=H3116,OR(LEFT(N3116,3)=$W$7,LEFT(O3116,3)=$W$7)),"x","")</f>
        <v/>
      </c>
      <c r="X3116" s="79" t="str">
        <f>IF(OR(TH!N3116=TH!$X$7,O3116=TH!$X$7),"x","")</f>
        <v/>
      </c>
      <c r="Y3116" s="79" t="str">
        <f>IF(AND(OR(N3116="131",O3116="131"),H3116='131-CT'!$H$9),"x","")</f>
        <v/>
      </c>
      <c r="Z3116" s="79"/>
      <c r="AA3116" s="79" t="str">
        <f>IF(AND(MONTH(E3116)='IN-NX'!$J$5,'IN-NX'!$D$7=D3116),"x","")</f>
        <v/>
      </c>
      <c r="AB3116" s="79" t="str">
        <f>IF(AND(OR(LEFT(TH!N3116,2)="15",LEFT(TH!O3116,2)="15"),LEFT(TH!O3116,3)&lt;&gt;"111",'152-CT'!$J$8=TH!F3116),"x","")</f>
        <v/>
      </c>
      <c r="AC3116" s="79" t="str">
        <f>IF(AND(OR(LEFT(TH!N3116,2)="15",LEFT(TH!O3116,2)="15"),TK!$E$7=TH!F3116),"x","")</f>
        <v/>
      </c>
      <c r="AD3116" s="79" t="str">
        <f>IF(AND(N3116="1521",MONTH(C3116)='BK-NL'!$M$11),"x","")</f>
        <v/>
      </c>
    </row>
    <row r="3117" spans="1:30" s="1101" customFormat="1" ht="16.5" customHeight="1">
      <c r="A3117" s="318" t="str">
        <f>IF(B3117&lt;&gt;"",IF(AND(B3117='IN-TC'!$S$4,OR(TH!N3117="1111",TH!O3117="1111")),TH!D3117,""),"")</f>
        <v/>
      </c>
      <c r="B3117" s="60" t="str">
        <f t="shared" si="372"/>
        <v/>
      </c>
      <c r="C3117" s="61"/>
      <c r="D3117" s="61"/>
      <c r="E3117" s="61"/>
      <c r="F3117" s="69"/>
      <c r="G3117" s="64"/>
      <c r="H3117" s="69"/>
      <c r="I3117" s="387"/>
      <c r="J3117" s="394"/>
      <c r="K3117" s="62"/>
      <c r="L3117" s="394"/>
      <c r="M3117" s="62"/>
      <c r="N3117" s="63"/>
      <c r="O3117" s="63"/>
      <c r="P3117" s="79" t="str">
        <f>IF(AND('331-CT'!$E$7=TH!H3117,OR(N3117="331",O3117="331")),"x","")</f>
        <v/>
      </c>
      <c r="Q3117" s="79" t="str">
        <f>IF(AND(B3117='111'!$L$11,OR($N3117=$Q$7,$O3117=$Q$7)),"x","")</f>
        <v/>
      </c>
      <c r="R3117" s="79" t="str">
        <f>IF(AND($N3117=$Q$7,$B3117&lt;'111'!$L$11),"x","")</f>
        <v/>
      </c>
      <c r="S3117" s="79" t="str">
        <f>IF(AND($O3117=$Q$7,$B3117&lt;'111'!$L$11),"x","")</f>
        <v/>
      </c>
      <c r="T3117" s="79" t="str">
        <f>IF(ISERROR(FIND('112'!$M$9,G3117,1)),"",IF((AND(FIND('112'!$M$9,G3117,1)&gt;=1,B3117='112'!$K$9,OR($N3117='112'!$I$6,$O3117='112'!$I$6))),"x",""))</f>
        <v/>
      </c>
      <c r="U3117" s="79" t="str">
        <f>IF(ISERROR(FIND('112'!$M$9,G3117,1)),"",IF((AND(LEFT(G3117,2)=LEFT('112'!$M$9,2),B3117&lt;'112'!$K$9,$N3117='112'!$I$6)),"x",""))</f>
        <v/>
      </c>
      <c r="V3117" s="79" t="str">
        <f>IF(ISERROR(FIND('112'!$M$9,G3117,1)),"",IF((AND(RIGHT(G3117,2)=RIGHT('112'!$M$9,2),B3117&lt;'112'!$K$9,$O3117='112'!$I$6)),"x",""))</f>
        <v/>
      </c>
      <c r="W3117" s="79" t="str">
        <f>IF(AND('341-CT'!$H$9=H3117,OR(LEFT(N3117,3)=$W$7,LEFT(O3117,3)=$W$7)),"x","")</f>
        <v/>
      </c>
      <c r="X3117" s="79" t="str">
        <f>IF(OR(TH!N3117=TH!$X$7,O3117=TH!$X$7),"x","")</f>
        <v/>
      </c>
      <c r="Y3117" s="79" t="str">
        <f>IF(AND(OR(N3117="131",O3117="131"),H3117='131-CT'!$H$9),"x","")</f>
        <v/>
      </c>
      <c r="Z3117" s="79"/>
      <c r="AA3117" s="79" t="str">
        <f>IF(AND(MONTH(E3117)='IN-NX'!$J$5,'IN-NX'!$D$7=D3117),"x","")</f>
        <v/>
      </c>
      <c r="AB3117" s="79" t="str">
        <f>IF(AND(OR(LEFT(TH!N3117,2)="15",LEFT(TH!O3117,2)="15"),LEFT(TH!O3117,3)&lt;&gt;"111",'152-CT'!$J$8=TH!F3117),"x","")</f>
        <v/>
      </c>
      <c r="AC3117" s="79" t="str">
        <f>IF(AND(OR(LEFT(TH!N3117,2)="15",LEFT(TH!O3117,2)="15"),TK!$E$7=TH!F3117),"x","")</f>
        <v/>
      </c>
      <c r="AD3117" s="79" t="str">
        <f>IF(AND(N3117="1521",MONTH(C3117)='BK-NL'!$M$11),"x","")</f>
        <v/>
      </c>
    </row>
    <row r="3118" spans="1:30" s="1101" customFormat="1" ht="16.5" customHeight="1">
      <c r="A3118" s="318" t="str">
        <f>IF(B3118&lt;&gt;"",IF(AND(B3118='IN-TC'!$S$4,OR(TH!N3118="1111",TH!O3118="1111")),TH!D3118,""),"")</f>
        <v/>
      </c>
      <c r="B3118" s="60" t="str">
        <f t="shared" ref="B3118:B3120" si="373">IF(C3118&lt;&gt;"",MONTH(C3118),"")</f>
        <v/>
      </c>
      <c r="C3118" s="61"/>
      <c r="D3118" s="61"/>
      <c r="E3118" s="61"/>
      <c r="F3118" s="69"/>
      <c r="G3118" s="64"/>
      <c r="H3118" s="69"/>
      <c r="I3118" s="387"/>
      <c r="J3118" s="394"/>
      <c r="K3118" s="387"/>
      <c r="L3118" s="394"/>
      <c r="M3118" s="62"/>
      <c r="N3118" s="63"/>
      <c r="O3118" s="63"/>
      <c r="P3118" s="79" t="str">
        <f>IF(AND('331-CT'!$E$7=TH!H3118,OR(N3118="331",O3118="331")),"x","")</f>
        <v/>
      </c>
      <c r="Q3118" s="79" t="str">
        <f>IF(AND(B3118='111'!$L$11,OR($N3118=$Q$7,$O3118=$Q$7)),"x","")</f>
        <v/>
      </c>
      <c r="R3118" s="79" t="str">
        <f>IF(AND($N3118=$Q$7,$B3118&lt;'111'!$L$11),"x","")</f>
        <v/>
      </c>
      <c r="S3118" s="79" t="str">
        <f>IF(AND($O3118=$Q$7,$B3118&lt;'111'!$L$11),"x","")</f>
        <v/>
      </c>
      <c r="T3118" s="79" t="str">
        <f>IF(ISERROR(FIND('112'!$M$9,G3118,1)),"",IF((AND(FIND('112'!$M$9,G3118,1)&gt;=1,B3118='112'!$K$9,OR($N3118='112'!$I$6,$O3118='112'!$I$6))),"x",""))</f>
        <v/>
      </c>
      <c r="U3118" s="79" t="str">
        <f>IF(ISERROR(FIND('112'!$M$9,G3118,1)),"",IF((AND(LEFT(G3118,2)=LEFT('112'!$M$9,2),B3118&lt;'112'!$K$9,$N3118='112'!$I$6)),"x",""))</f>
        <v/>
      </c>
      <c r="V3118" s="79" t="str">
        <f>IF(ISERROR(FIND('112'!$M$9,G3118,1)),"",IF((AND(RIGHT(G3118,2)=RIGHT('112'!$M$9,2),B3118&lt;'112'!$K$9,$O3118='112'!$I$6)),"x",""))</f>
        <v/>
      </c>
      <c r="W3118" s="79" t="str">
        <f>IF(AND('341-CT'!$H$9=H3118,OR(LEFT(N3118,3)=$W$7,LEFT(O3118,3)=$W$7)),"x","")</f>
        <v/>
      </c>
      <c r="X3118" s="79" t="str">
        <f>IF(OR(TH!N3118=TH!$X$7,O3118=TH!$X$7),"x","")</f>
        <v/>
      </c>
      <c r="Y3118" s="79" t="str">
        <f>IF(AND(OR(N3118="131",O3118="131"),H3118='131-CT'!$H$9),"x","")</f>
        <v/>
      </c>
      <c r="Z3118" s="79"/>
      <c r="AA3118" s="79" t="str">
        <f>IF(AND(MONTH(E3118)='IN-NX'!$J$5,'IN-NX'!$D$7=D3118),"x","")</f>
        <v/>
      </c>
      <c r="AB3118" s="79" t="str">
        <f>IF(AND(OR(LEFT(TH!N3118,2)="15",LEFT(TH!O3118,2)="15"),LEFT(TH!O3118,3)&lt;&gt;"111",'152-CT'!$J$8=TH!F3118),"x","")</f>
        <v/>
      </c>
      <c r="AC3118" s="79" t="str">
        <f>IF(AND(OR(LEFT(TH!N3118,2)="15",LEFT(TH!O3118,2)="15"),TK!$E$7=TH!F3118),"x","")</f>
        <v/>
      </c>
      <c r="AD3118" s="79" t="str">
        <f>IF(AND(N3118="1521",MONTH(C3118)='BK-NL'!$M$11),"x","")</f>
        <v/>
      </c>
    </row>
    <row r="3119" spans="1:30" s="1101" customFormat="1" ht="16.5" customHeight="1">
      <c r="A3119" s="318" t="str">
        <f>IF(B3119&lt;&gt;"",IF(AND(B3119='IN-TC'!$S$4,OR(TH!N3119="1111",TH!O3119="1111")),TH!D3119,""),"")</f>
        <v/>
      </c>
      <c r="B3119" s="60" t="str">
        <f t="shared" si="373"/>
        <v/>
      </c>
      <c r="C3119" s="61"/>
      <c r="D3119" s="61"/>
      <c r="E3119" s="61"/>
      <c r="F3119" s="69"/>
      <c r="G3119" s="64"/>
      <c r="H3119" s="321"/>
      <c r="I3119" s="385"/>
      <c r="J3119" s="392"/>
      <c r="K3119" s="385"/>
      <c r="L3119" s="392"/>
      <c r="M3119" s="62"/>
      <c r="N3119" s="63"/>
      <c r="O3119" s="63"/>
      <c r="P3119" s="79" t="str">
        <f>IF(AND('331-CT'!$E$7=TH!H3119,OR(N3119="331",O3119="331")),"x","")</f>
        <v/>
      </c>
      <c r="Q3119" s="79" t="str">
        <f>IF(AND(B3119='111'!$L$11,OR($N3119=$Q$7,$O3119=$Q$7)),"x","")</f>
        <v/>
      </c>
      <c r="R3119" s="79" t="str">
        <f>IF(AND($N3119=$Q$7,$B3119&lt;'111'!$L$11),"x","")</f>
        <v/>
      </c>
      <c r="S3119" s="79" t="str">
        <f>IF(AND($O3119=$Q$7,$B3119&lt;'111'!$L$11),"x","")</f>
        <v/>
      </c>
      <c r="T3119" s="79" t="str">
        <f>IF(ISERROR(FIND('112'!$M$9,G3119,1)),"",IF((AND(FIND('112'!$M$9,G3119,1)&gt;=1,B3119='112'!$K$9,OR($N3119='112'!$I$6,$O3119='112'!$I$6))),"x",""))</f>
        <v/>
      </c>
      <c r="U3119" s="79" t="str">
        <f>IF(ISERROR(FIND('112'!$M$9,G3119,1)),"",IF((AND(LEFT(G3119,2)=LEFT('112'!$M$9,2),B3119&lt;'112'!$K$9,$N3119='112'!$I$6)),"x",""))</f>
        <v/>
      </c>
      <c r="V3119" s="79" t="str">
        <f>IF(ISERROR(FIND('112'!$M$9,G3119,1)),"",IF((AND(RIGHT(G3119,2)=RIGHT('112'!$M$9,2),B3119&lt;'112'!$K$9,$O3119='112'!$I$6)),"x",""))</f>
        <v/>
      </c>
      <c r="W3119" s="79" t="str">
        <f>IF(AND('341-CT'!$H$9=H3119,OR(LEFT(N3119,3)=$W$7,LEFT(O3119,3)=$W$7)),"x","")</f>
        <v/>
      </c>
      <c r="X3119" s="79" t="str">
        <f>IF(OR(TH!N3119=TH!$X$7,O3119=TH!$X$7),"x","")</f>
        <v/>
      </c>
      <c r="Y3119" s="79" t="str">
        <f>IF(AND(OR(N3119="131",O3119="131"),H3119='131-CT'!$H$9),"x","")</f>
        <v/>
      </c>
      <c r="Z3119" s="79"/>
      <c r="AA3119" s="79" t="str">
        <f>IF(AND(MONTH(E3119)='IN-NX'!$J$5,'IN-NX'!$D$7=D3119),"x","")</f>
        <v/>
      </c>
      <c r="AB3119" s="79" t="str">
        <f>IF(AND(OR(LEFT(TH!N3119,2)="15",LEFT(TH!O3119,2)="15"),LEFT(TH!O3119,3)&lt;&gt;"111",'152-CT'!$J$8=TH!F3119),"x","")</f>
        <v/>
      </c>
      <c r="AC3119" s="79" t="str">
        <f>IF(AND(OR(LEFT(TH!N3119,2)="15",LEFT(TH!O3119,2)="15"),TK!$E$7=TH!F3119),"x","")</f>
        <v/>
      </c>
      <c r="AD3119" s="79" t="str">
        <f>IF(AND(N3119="1521",MONTH(C3119)='BK-NL'!$M$11),"x","")</f>
        <v/>
      </c>
    </row>
    <row r="3120" spans="1:30" s="1101" customFormat="1" ht="16.5" customHeight="1">
      <c r="A3120" s="318" t="str">
        <f>IF(B3120&lt;&gt;"",IF(AND(B3120='IN-TC'!$S$4,OR(TH!N3120="1111",TH!O3120="1111")),TH!D3120,""),"")</f>
        <v/>
      </c>
      <c r="B3120" s="60" t="str">
        <f t="shared" si="373"/>
        <v/>
      </c>
      <c r="C3120" s="61"/>
      <c r="D3120" s="61"/>
      <c r="E3120" s="61"/>
      <c r="F3120" s="69"/>
      <c r="G3120" s="64"/>
      <c r="H3120" s="69"/>
      <c r="I3120" s="387"/>
      <c r="J3120" s="394"/>
      <c r="K3120" s="62"/>
      <c r="L3120" s="394"/>
      <c r="M3120" s="62"/>
      <c r="N3120" s="63"/>
      <c r="O3120" s="63"/>
      <c r="P3120" s="79" t="str">
        <f>IF(AND('331-CT'!$E$7=TH!H3120,OR(N3120="331",O3120="331")),"x","")</f>
        <v/>
      </c>
      <c r="Q3120" s="79" t="str">
        <f>IF(AND(B3120='111'!$L$11,OR($N3120=$Q$7,$O3120=$Q$7)),"x","")</f>
        <v/>
      </c>
      <c r="R3120" s="79" t="str">
        <f>IF(AND($N3120=$Q$7,$B3120&lt;'111'!$L$11),"x","")</f>
        <v/>
      </c>
      <c r="S3120" s="79" t="str">
        <f>IF(AND($O3120=$Q$7,$B3120&lt;'111'!$L$11),"x","")</f>
        <v/>
      </c>
      <c r="T3120" s="79" t="str">
        <f>IF(ISERROR(FIND('112'!$M$9,G3120,1)),"",IF((AND(FIND('112'!$M$9,G3120,1)&gt;=1,B3120='112'!$K$9,OR($N3120='112'!$I$6,$O3120='112'!$I$6))),"x",""))</f>
        <v/>
      </c>
      <c r="U3120" s="79" t="str">
        <f>IF(ISERROR(FIND('112'!$M$9,G3120,1)),"",IF((AND(LEFT(G3120,2)=LEFT('112'!$M$9,2),B3120&lt;'112'!$K$9,$N3120='112'!$I$6)),"x",""))</f>
        <v/>
      </c>
      <c r="V3120" s="79" t="str">
        <f>IF(ISERROR(FIND('112'!$M$9,G3120,1)),"",IF((AND(RIGHT(G3120,2)=RIGHT('112'!$M$9,2),B3120&lt;'112'!$K$9,$O3120='112'!$I$6)),"x",""))</f>
        <v/>
      </c>
      <c r="W3120" s="79" t="str">
        <f>IF(AND('341-CT'!$H$9=H3120,OR(LEFT(N3120,3)=$W$7,LEFT(O3120,3)=$W$7)),"x","")</f>
        <v/>
      </c>
      <c r="X3120" s="79" t="str">
        <f>IF(OR(TH!N3120=TH!$X$7,O3120=TH!$X$7),"x","")</f>
        <v/>
      </c>
      <c r="Y3120" s="79" t="str">
        <f>IF(AND(OR(N3120="131",O3120="131"),H3120='131-CT'!$H$9),"x","")</f>
        <v/>
      </c>
      <c r="Z3120" s="79"/>
      <c r="AA3120" s="79" t="str">
        <f>IF(AND(MONTH(E3120)='IN-NX'!$J$5,'IN-NX'!$D$7=D3120),"x","")</f>
        <v/>
      </c>
      <c r="AB3120" s="79" t="str">
        <f>IF(AND(OR(LEFT(TH!N3120,2)="15",LEFT(TH!O3120,2)="15"),LEFT(TH!O3120,3)&lt;&gt;"111",'152-CT'!$J$8=TH!F3120),"x","")</f>
        <v/>
      </c>
      <c r="AC3120" s="79" t="str">
        <f>IF(AND(OR(LEFT(TH!N3120,2)="15",LEFT(TH!O3120,2)="15"),TK!$E$7=TH!F3120),"x","")</f>
        <v/>
      </c>
      <c r="AD3120" s="79" t="str">
        <f>IF(AND(N3120="1521",MONTH(C3120)='BK-NL'!$M$11),"x","")</f>
        <v/>
      </c>
    </row>
    <row r="3121" spans="1:30" s="1101" customFormat="1" ht="16.5" customHeight="1">
      <c r="A3121" s="318" t="str">
        <f>IF(B3121&lt;&gt;"",IF(AND(B3121='IN-TC'!$S$4,OR(TH!N3121="1111",TH!O3121="1111")),TH!D3121,""),"")</f>
        <v/>
      </c>
      <c r="B3121" s="60" t="str">
        <f t="shared" ref="B3121:B3123" si="374">IF(C3121&lt;&gt;"",MONTH(C3121),"")</f>
        <v/>
      </c>
      <c r="C3121" s="61"/>
      <c r="D3121" s="61"/>
      <c r="E3121" s="61"/>
      <c r="F3121" s="69"/>
      <c r="G3121" s="64"/>
      <c r="H3121" s="69"/>
      <c r="I3121" s="387"/>
      <c r="J3121" s="394"/>
      <c r="K3121" s="387"/>
      <c r="L3121" s="394"/>
      <c r="M3121" s="62"/>
      <c r="N3121" s="63"/>
      <c r="O3121" s="63"/>
      <c r="P3121" s="79" t="str">
        <f>IF(AND('331-CT'!$E$7=TH!H3121,OR(N3121="331",O3121="331")),"x","")</f>
        <v/>
      </c>
      <c r="Q3121" s="79" t="str">
        <f>IF(AND(B3121='111'!$L$11,OR($N3121=$Q$7,$O3121=$Q$7)),"x","")</f>
        <v/>
      </c>
      <c r="R3121" s="79" t="str">
        <f>IF(AND($N3121=$Q$7,$B3121&lt;'111'!$L$11),"x","")</f>
        <v/>
      </c>
      <c r="S3121" s="79" t="str">
        <f>IF(AND($O3121=$Q$7,$B3121&lt;'111'!$L$11),"x","")</f>
        <v/>
      </c>
      <c r="T3121" s="79" t="str">
        <f>IF(ISERROR(FIND('112'!$M$9,G3121,1)),"",IF((AND(FIND('112'!$M$9,G3121,1)&gt;=1,B3121='112'!$K$9,OR($N3121='112'!$I$6,$O3121='112'!$I$6))),"x",""))</f>
        <v/>
      </c>
      <c r="U3121" s="79" t="str">
        <f>IF(ISERROR(FIND('112'!$M$9,G3121,1)),"",IF((AND(LEFT(G3121,2)=LEFT('112'!$M$9,2),B3121&lt;'112'!$K$9,$N3121='112'!$I$6)),"x",""))</f>
        <v/>
      </c>
      <c r="V3121" s="79" t="str">
        <f>IF(ISERROR(FIND('112'!$M$9,G3121,1)),"",IF((AND(RIGHT(G3121,2)=RIGHT('112'!$M$9,2),B3121&lt;'112'!$K$9,$O3121='112'!$I$6)),"x",""))</f>
        <v/>
      </c>
      <c r="W3121" s="79" t="str">
        <f>IF(AND('341-CT'!$H$9=H3121,OR(LEFT(N3121,3)=$W$7,LEFT(O3121,3)=$W$7)),"x","")</f>
        <v/>
      </c>
      <c r="X3121" s="79" t="str">
        <f>IF(OR(TH!N3121=TH!$X$7,O3121=TH!$X$7),"x","")</f>
        <v/>
      </c>
      <c r="Y3121" s="79" t="str">
        <f>IF(AND(OR(N3121="131",O3121="131"),H3121='131-CT'!$H$9),"x","")</f>
        <v/>
      </c>
      <c r="Z3121" s="79"/>
      <c r="AA3121" s="79" t="str">
        <f>IF(AND(MONTH(E3121)='IN-NX'!$J$5,'IN-NX'!$D$7=D3121),"x","")</f>
        <v/>
      </c>
      <c r="AB3121" s="79" t="str">
        <f>IF(AND(OR(LEFT(TH!N3121,2)="15",LEFT(TH!O3121,2)="15"),LEFT(TH!O3121,3)&lt;&gt;"111",'152-CT'!$J$8=TH!F3121),"x","")</f>
        <v/>
      </c>
      <c r="AC3121" s="79" t="str">
        <f>IF(AND(OR(LEFT(TH!N3121,2)="15",LEFT(TH!O3121,2)="15"),TK!$E$7=TH!F3121),"x","")</f>
        <v/>
      </c>
      <c r="AD3121" s="79" t="str">
        <f>IF(AND(N3121="1521",MONTH(C3121)='BK-NL'!$M$11),"x","")</f>
        <v/>
      </c>
    </row>
    <row r="3122" spans="1:30" s="1101" customFormat="1" ht="16.5" customHeight="1">
      <c r="A3122" s="318" t="str">
        <f>IF(B3122&lt;&gt;"",IF(AND(B3122='IN-TC'!$S$4,OR(TH!N3122="1111",TH!O3122="1111")),TH!D3122,""),"")</f>
        <v/>
      </c>
      <c r="B3122" s="60" t="str">
        <f t="shared" si="374"/>
        <v/>
      </c>
      <c r="C3122" s="61"/>
      <c r="D3122" s="61"/>
      <c r="E3122" s="61"/>
      <c r="F3122" s="69"/>
      <c r="G3122" s="64"/>
      <c r="H3122" s="321"/>
      <c r="I3122" s="385"/>
      <c r="J3122" s="392"/>
      <c r="K3122" s="385"/>
      <c r="L3122" s="392"/>
      <c r="M3122" s="62"/>
      <c r="N3122" s="63"/>
      <c r="O3122" s="63"/>
      <c r="P3122" s="79" t="str">
        <f>IF(AND('331-CT'!$E$7=TH!H3122,OR(N3122="331",O3122="331")),"x","")</f>
        <v/>
      </c>
      <c r="Q3122" s="79" t="str">
        <f>IF(AND(B3122='111'!$L$11,OR($N3122=$Q$7,$O3122=$Q$7)),"x","")</f>
        <v/>
      </c>
      <c r="R3122" s="79" t="str">
        <f>IF(AND($N3122=$Q$7,$B3122&lt;'111'!$L$11),"x","")</f>
        <v/>
      </c>
      <c r="S3122" s="79" t="str">
        <f>IF(AND($O3122=$Q$7,$B3122&lt;'111'!$L$11),"x","")</f>
        <v/>
      </c>
      <c r="T3122" s="79" t="str">
        <f>IF(ISERROR(FIND('112'!$M$9,G3122,1)),"",IF((AND(FIND('112'!$M$9,G3122,1)&gt;=1,B3122='112'!$K$9,OR($N3122='112'!$I$6,$O3122='112'!$I$6))),"x",""))</f>
        <v/>
      </c>
      <c r="U3122" s="79" t="str">
        <f>IF(ISERROR(FIND('112'!$M$9,G3122,1)),"",IF((AND(LEFT(G3122,2)=LEFT('112'!$M$9,2),B3122&lt;'112'!$K$9,$N3122='112'!$I$6)),"x",""))</f>
        <v/>
      </c>
      <c r="V3122" s="79" t="str">
        <f>IF(ISERROR(FIND('112'!$M$9,G3122,1)),"",IF((AND(RIGHT(G3122,2)=RIGHT('112'!$M$9,2),B3122&lt;'112'!$K$9,$O3122='112'!$I$6)),"x",""))</f>
        <v/>
      </c>
      <c r="W3122" s="79" t="str">
        <f>IF(AND('341-CT'!$H$9=H3122,OR(LEFT(N3122,3)=$W$7,LEFT(O3122,3)=$W$7)),"x","")</f>
        <v/>
      </c>
      <c r="X3122" s="79" t="str">
        <f>IF(OR(TH!N3122=TH!$X$7,O3122=TH!$X$7),"x","")</f>
        <v/>
      </c>
      <c r="Y3122" s="79" t="str">
        <f>IF(AND(OR(N3122="131",O3122="131"),H3122='131-CT'!$H$9),"x","")</f>
        <v/>
      </c>
      <c r="Z3122" s="79"/>
      <c r="AA3122" s="79" t="str">
        <f>IF(AND(MONTH(E3122)='IN-NX'!$J$5,'IN-NX'!$D$7=D3122),"x","")</f>
        <v/>
      </c>
      <c r="AB3122" s="79" t="str">
        <f>IF(AND(OR(LEFT(TH!N3122,2)="15",LEFT(TH!O3122,2)="15"),LEFT(TH!O3122,3)&lt;&gt;"111",'152-CT'!$J$8=TH!F3122),"x","")</f>
        <v/>
      </c>
      <c r="AC3122" s="79" t="str">
        <f>IF(AND(OR(LEFT(TH!N3122,2)="15",LEFT(TH!O3122,2)="15"),TK!$E$7=TH!F3122),"x","")</f>
        <v/>
      </c>
      <c r="AD3122" s="79" t="str">
        <f>IF(AND(N3122="1521",MONTH(C3122)='BK-NL'!$M$11),"x","")</f>
        <v/>
      </c>
    </row>
    <row r="3123" spans="1:30" s="1101" customFormat="1" ht="16.5" customHeight="1">
      <c r="A3123" s="318" t="str">
        <f>IF(B3123&lt;&gt;"",IF(AND(B3123='IN-TC'!$S$4,OR(TH!N3123="1111",TH!O3123="1111")),TH!D3123,""),"")</f>
        <v/>
      </c>
      <c r="B3123" s="60" t="str">
        <f t="shared" si="374"/>
        <v/>
      </c>
      <c r="C3123" s="61"/>
      <c r="D3123" s="61"/>
      <c r="E3123" s="61"/>
      <c r="F3123" s="69"/>
      <c r="G3123" s="64"/>
      <c r="H3123" s="69"/>
      <c r="I3123" s="387"/>
      <c r="J3123" s="394"/>
      <c r="K3123" s="62"/>
      <c r="L3123" s="394"/>
      <c r="M3123" s="62"/>
      <c r="N3123" s="63"/>
      <c r="O3123" s="63"/>
      <c r="P3123" s="79" t="str">
        <f>IF(AND('331-CT'!$E$7=TH!H3123,OR(N3123="331",O3123="331")),"x","")</f>
        <v/>
      </c>
      <c r="Q3123" s="79" t="str">
        <f>IF(AND(B3123='111'!$L$11,OR($N3123=$Q$7,$O3123=$Q$7)),"x","")</f>
        <v/>
      </c>
      <c r="R3123" s="79" t="str">
        <f>IF(AND($N3123=$Q$7,$B3123&lt;'111'!$L$11),"x","")</f>
        <v/>
      </c>
      <c r="S3123" s="79" t="str">
        <f>IF(AND($O3123=$Q$7,$B3123&lt;'111'!$L$11),"x","")</f>
        <v/>
      </c>
      <c r="T3123" s="79" t="str">
        <f>IF(ISERROR(FIND('112'!$M$9,G3123,1)),"",IF((AND(FIND('112'!$M$9,G3123,1)&gt;=1,B3123='112'!$K$9,OR($N3123='112'!$I$6,$O3123='112'!$I$6))),"x",""))</f>
        <v/>
      </c>
      <c r="U3123" s="79" t="str">
        <f>IF(ISERROR(FIND('112'!$M$9,G3123,1)),"",IF((AND(LEFT(G3123,2)=LEFT('112'!$M$9,2),B3123&lt;'112'!$K$9,$N3123='112'!$I$6)),"x",""))</f>
        <v/>
      </c>
      <c r="V3123" s="79" t="str">
        <f>IF(ISERROR(FIND('112'!$M$9,G3123,1)),"",IF((AND(RIGHT(G3123,2)=RIGHT('112'!$M$9,2),B3123&lt;'112'!$K$9,$O3123='112'!$I$6)),"x",""))</f>
        <v/>
      </c>
      <c r="W3123" s="79" t="str">
        <f>IF(AND('341-CT'!$H$9=H3123,OR(LEFT(N3123,3)=$W$7,LEFT(O3123,3)=$W$7)),"x","")</f>
        <v/>
      </c>
      <c r="X3123" s="79" t="str">
        <f>IF(OR(TH!N3123=TH!$X$7,O3123=TH!$X$7),"x","")</f>
        <v/>
      </c>
      <c r="Y3123" s="79" t="str">
        <f>IF(AND(OR(N3123="131",O3123="131"),H3123='131-CT'!$H$9),"x","")</f>
        <v/>
      </c>
      <c r="Z3123" s="79"/>
      <c r="AA3123" s="79" t="str">
        <f>IF(AND(MONTH(E3123)='IN-NX'!$J$5,'IN-NX'!$D$7=D3123),"x","")</f>
        <v/>
      </c>
      <c r="AB3123" s="79" t="str">
        <f>IF(AND(OR(LEFT(TH!N3123,2)="15",LEFT(TH!O3123,2)="15"),LEFT(TH!O3123,3)&lt;&gt;"111",'152-CT'!$J$8=TH!F3123),"x","")</f>
        <v/>
      </c>
      <c r="AC3123" s="79" t="str">
        <f>IF(AND(OR(LEFT(TH!N3123,2)="15",LEFT(TH!O3123,2)="15"),TK!$E$7=TH!F3123),"x","")</f>
        <v/>
      </c>
      <c r="AD3123" s="79" t="str">
        <f>IF(AND(N3123="1521",MONTH(C3123)='BK-NL'!$M$11),"x","")</f>
        <v/>
      </c>
    </row>
    <row r="3124" spans="1:30" s="1101" customFormat="1" ht="16.5" customHeight="1">
      <c r="A3124" s="318" t="str">
        <f>IF(B3124&lt;&gt;"",IF(AND(B3124='IN-TC'!$S$4,OR(TH!N3124="1111",TH!O3124="1111")),TH!D3124,""),"")</f>
        <v/>
      </c>
      <c r="B3124" s="60" t="str">
        <f t="shared" ref="B3124:B3126" si="375">IF(C3124&lt;&gt;"",MONTH(C3124),"")</f>
        <v/>
      </c>
      <c r="C3124" s="61"/>
      <c r="D3124" s="61"/>
      <c r="E3124" s="61"/>
      <c r="F3124" s="69"/>
      <c r="G3124" s="64"/>
      <c r="H3124" s="69"/>
      <c r="I3124" s="387"/>
      <c r="J3124" s="394"/>
      <c r="K3124" s="387"/>
      <c r="L3124" s="394"/>
      <c r="M3124" s="62"/>
      <c r="N3124" s="63"/>
      <c r="O3124" s="63"/>
      <c r="P3124" s="79" t="str">
        <f>IF(AND('331-CT'!$E$7=TH!H3124,OR(N3124="331",O3124="331")),"x","")</f>
        <v/>
      </c>
      <c r="Q3124" s="79" t="str">
        <f>IF(AND(B3124='111'!$L$11,OR($N3124=$Q$7,$O3124=$Q$7)),"x","")</f>
        <v/>
      </c>
      <c r="R3124" s="79" t="str">
        <f>IF(AND($N3124=$Q$7,$B3124&lt;'111'!$L$11),"x","")</f>
        <v/>
      </c>
      <c r="S3124" s="79" t="str">
        <f>IF(AND($O3124=$Q$7,$B3124&lt;'111'!$L$11),"x","")</f>
        <v/>
      </c>
      <c r="T3124" s="79" t="str">
        <f>IF(ISERROR(FIND('112'!$M$9,G3124,1)),"",IF((AND(FIND('112'!$M$9,G3124,1)&gt;=1,B3124='112'!$K$9,OR($N3124='112'!$I$6,$O3124='112'!$I$6))),"x",""))</f>
        <v/>
      </c>
      <c r="U3124" s="79" t="str">
        <f>IF(ISERROR(FIND('112'!$M$9,G3124,1)),"",IF((AND(LEFT(G3124,2)=LEFT('112'!$M$9,2),B3124&lt;'112'!$K$9,$N3124='112'!$I$6)),"x",""))</f>
        <v/>
      </c>
      <c r="V3124" s="79" t="str">
        <f>IF(ISERROR(FIND('112'!$M$9,G3124,1)),"",IF((AND(RIGHT(G3124,2)=RIGHT('112'!$M$9,2),B3124&lt;'112'!$K$9,$O3124='112'!$I$6)),"x",""))</f>
        <v/>
      </c>
      <c r="W3124" s="79" t="str">
        <f>IF(AND('341-CT'!$H$9=H3124,OR(LEFT(N3124,3)=$W$7,LEFT(O3124,3)=$W$7)),"x","")</f>
        <v/>
      </c>
      <c r="X3124" s="79" t="str">
        <f>IF(OR(TH!N3124=TH!$X$7,O3124=TH!$X$7),"x","")</f>
        <v/>
      </c>
      <c r="Y3124" s="79" t="str">
        <f>IF(AND(OR(N3124="131",O3124="131"),H3124='131-CT'!$H$9),"x","")</f>
        <v/>
      </c>
      <c r="Z3124" s="79"/>
      <c r="AA3124" s="79" t="str">
        <f>IF(AND(MONTH(E3124)='IN-NX'!$J$5,'IN-NX'!$D$7=D3124),"x","")</f>
        <v/>
      </c>
      <c r="AB3124" s="79" t="str">
        <f>IF(AND(OR(LEFT(TH!N3124,2)="15",LEFT(TH!O3124,2)="15"),LEFT(TH!O3124,3)&lt;&gt;"111",'152-CT'!$J$8=TH!F3124),"x","")</f>
        <v/>
      </c>
      <c r="AC3124" s="79" t="str">
        <f>IF(AND(OR(LEFT(TH!N3124,2)="15",LEFT(TH!O3124,2)="15"),TK!$E$7=TH!F3124),"x","")</f>
        <v/>
      </c>
      <c r="AD3124" s="79" t="str">
        <f>IF(AND(N3124="1521",MONTH(C3124)='BK-NL'!$M$11),"x","")</f>
        <v/>
      </c>
    </row>
    <row r="3125" spans="1:30" s="1101" customFormat="1" ht="16.5" customHeight="1">
      <c r="A3125" s="318" t="str">
        <f>IF(B3125&lt;&gt;"",IF(AND(B3125='IN-TC'!$S$4,OR(TH!N3125="1111",TH!O3125="1111")),TH!D3125,""),"")</f>
        <v/>
      </c>
      <c r="B3125" s="60" t="str">
        <f t="shared" si="375"/>
        <v/>
      </c>
      <c r="C3125" s="61"/>
      <c r="D3125" s="61"/>
      <c r="E3125" s="61"/>
      <c r="F3125" s="69"/>
      <c r="G3125" s="64"/>
      <c r="H3125" s="69"/>
      <c r="I3125" s="385"/>
      <c r="J3125" s="392"/>
      <c r="K3125" s="385"/>
      <c r="L3125" s="392"/>
      <c r="M3125" s="62"/>
      <c r="N3125" s="63"/>
      <c r="O3125" s="63"/>
      <c r="P3125" s="79" t="str">
        <f>IF(AND('331-CT'!$E$7=TH!H3125,OR(N3125="331",O3125="331")),"x","")</f>
        <v/>
      </c>
      <c r="Q3125" s="79" t="str">
        <f>IF(AND(B3125='111'!$L$11,OR($N3125=$Q$7,$O3125=$Q$7)),"x","")</f>
        <v/>
      </c>
      <c r="R3125" s="79" t="str">
        <f>IF(AND($N3125=$Q$7,$B3125&lt;'111'!$L$11),"x","")</f>
        <v/>
      </c>
      <c r="S3125" s="79" t="str">
        <f>IF(AND($O3125=$Q$7,$B3125&lt;'111'!$L$11),"x","")</f>
        <v/>
      </c>
      <c r="T3125" s="79" t="str">
        <f>IF(ISERROR(FIND('112'!$M$9,G3125,1)),"",IF((AND(FIND('112'!$M$9,G3125,1)&gt;=1,B3125='112'!$K$9,OR($N3125='112'!$I$6,$O3125='112'!$I$6))),"x",""))</f>
        <v/>
      </c>
      <c r="U3125" s="79" t="str">
        <f>IF(ISERROR(FIND('112'!$M$9,G3125,1)),"",IF((AND(LEFT(G3125,2)=LEFT('112'!$M$9,2),B3125&lt;'112'!$K$9,$N3125='112'!$I$6)),"x",""))</f>
        <v/>
      </c>
      <c r="V3125" s="79" t="str">
        <f>IF(ISERROR(FIND('112'!$M$9,G3125,1)),"",IF((AND(RIGHT(G3125,2)=RIGHT('112'!$M$9,2),B3125&lt;'112'!$K$9,$O3125='112'!$I$6)),"x",""))</f>
        <v/>
      </c>
      <c r="W3125" s="79" t="str">
        <f>IF(AND('341-CT'!$H$9=H3125,OR(LEFT(N3125,3)=$W$7,LEFT(O3125,3)=$W$7)),"x","")</f>
        <v/>
      </c>
      <c r="X3125" s="79" t="str">
        <f>IF(OR(TH!N3125=TH!$X$7,O3125=TH!$X$7),"x","")</f>
        <v/>
      </c>
      <c r="Y3125" s="79" t="str">
        <f>IF(AND(OR(N3125="131",O3125="131"),H3125='131-CT'!$H$9),"x","")</f>
        <v/>
      </c>
      <c r="Z3125" s="79"/>
      <c r="AA3125" s="79" t="str">
        <f>IF(AND(MONTH(E3125)='IN-NX'!$J$5,'IN-NX'!$D$7=D3125),"x","")</f>
        <v/>
      </c>
      <c r="AB3125" s="79" t="str">
        <f>IF(AND(OR(LEFT(TH!N3125,2)="15",LEFT(TH!O3125,2)="15"),LEFT(TH!O3125,3)&lt;&gt;"111",'152-CT'!$J$8=TH!F3125),"x","")</f>
        <v/>
      </c>
      <c r="AC3125" s="79" t="str">
        <f>IF(AND(OR(LEFT(TH!N3125,2)="15",LEFT(TH!O3125,2)="15"),TK!$E$7=TH!F3125),"x","")</f>
        <v/>
      </c>
      <c r="AD3125" s="79" t="str">
        <f>IF(AND(N3125="1521",MONTH(C3125)='BK-NL'!$M$11),"x","")</f>
        <v/>
      </c>
    </row>
    <row r="3126" spans="1:30" s="1101" customFormat="1" ht="16.5" customHeight="1">
      <c r="A3126" s="318" t="str">
        <f>IF(B3126&lt;&gt;"",IF(AND(B3126='IN-TC'!$S$4,OR(TH!N3126="1111",TH!O3126="1111")),TH!D3126,""),"")</f>
        <v/>
      </c>
      <c r="B3126" s="60" t="str">
        <f t="shared" si="375"/>
        <v/>
      </c>
      <c r="C3126" s="61"/>
      <c r="D3126" s="61"/>
      <c r="E3126" s="61"/>
      <c r="F3126" s="69"/>
      <c r="G3126" s="64"/>
      <c r="H3126" s="69"/>
      <c r="I3126" s="387"/>
      <c r="J3126" s="394"/>
      <c r="K3126" s="62"/>
      <c r="L3126" s="394"/>
      <c r="M3126" s="62"/>
      <c r="N3126" s="63"/>
      <c r="O3126" s="63"/>
      <c r="P3126" s="79" t="str">
        <f>IF(AND('331-CT'!$E$7=TH!H3126,OR(N3126="331",O3126="331")),"x","")</f>
        <v/>
      </c>
      <c r="Q3126" s="79" t="str">
        <f>IF(AND(B3126='111'!$L$11,OR($N3126=$Q$7,$O3126=$Q$7)),"x","")</f>
        <v/>
      </c>
      <c r="R3126" s="79" t="str">
        <f>IF(AND($N3126=$Q$7,$B3126&lt;'111'!$L$11),"x","")</f>
        <v/>
      </c>
      <c r="S3126" s="79" t="str">
        <f>IF(AND($O3126=$Q$7,$B3126&lt;'111'!$L$11),"x","")</f>
        <v/>
      </c>
      <c r="T3126" s="79" t="str">
        <f>IF(ISERROR(FIND('112'!$M$9,G3126,1)),"",IF((AND(FIND('112'!$M$9,G3126,1)&gt;=1,B3126='112'!$K$9,OR($N3126='112'!$I$6,$O3126='112'!$I$6))),"x",""))</f>
        <v/>
      </c>
      <c r="U3126" s="79" t="str">
        <f>IF(ISERROR(FIND('112'!$M$9,G3126,1)),"",IF((AND(LEFT(G3126,2)=LEFT('112'!$M$9,2),B3126&lt;'112'!$K$9,$N3126='112'!$I$6)),"x",""))</f>
        <v/>
      </c>
      <c r="V3126" s="79" t="str">
        <f>IF(ISERROR(FIND('112'!$M$9,G3126,1)),"",IF((AND(RIGHT(G3126,2)=RIGHT('112'!$M$9,2),B3126&lt;'112'!$K$9,$O3126='112'!$I$6)),"x",""))</f>
        <v/>
      </c>
      <c r="W3126" s="79" t="str">
        <f>IF(AND('341-CT'!$H$9=H3126,OR(LEFT(N3126,3)=$W$7,LEFT(O3126,3)=$W$7)),"x","")</f>
        <v/>
      </c>
      <c r="X3126" s="79" t="str">
        <f>IF(OR(TH!N3126=TH!$X$7,O3126=TH!$X$7),"x","")</f>
        <v/>
      </c>
      <c r="Y3126" s="79" t="str">
        <f>IF(AND(OR(N3126="131",O3126="131"),H3126='131-CT'!$H$9),"x","")</f>
        <v/>
      </c>
      <c r="Z3126" s="79"/>
      <c r="AA3126" s="79" t="str">
        <f>IF(AND(MONTH(E3126)='IN-NX'!$J$5,'IN-NX'!$D$7=D3126),"x","")</f>
        <v/>
      </c>
      <c r="AB3126" s="79" t="str">
        <f>IF(AND(OR(LEFT(TH!N3126,2)="15",LEFT(TH!O3126,2)="15"),LEFT(TH!O3126,3)&lt;&gt;"111",'152-CT'!$J$8=TH!F3126),"x","")</f>
        <v/>
      </c>
      <c r="AC3126" s="79" t="str">
        <f>IF(AND(OR(LEFT(TH!N3126,2)="15",LEFT(TH!O3126,2)="15"),TK!$E$7=TH!F3126),"x","")</f>
        <v/>
      </c>
      <c r="AD3126" s="79" t="str">
        <f>IF(AND(N3126="1521",MONTH(C3126)='BK-NL'!$M$11),"x","")</f>
        <v/>
      </c>
    </row>
    <row r="3127" spans="1:30" s="1101" customFormat="1" ht="16.5" customHeight="1">
      <c r="A3127" s="318" t="str">
        <f>IF(B3127&lt;&gt;"",IF(AND(B3127='IN-TC'!$S$4,OR(TH!N3127="1111",TH!O3127="1111")),TH!D3127,""),"")</f>
        <v/>
      </c>
      <c r="B3127" s="60" t="str">
        <f t="shared" ref="B3127:B3130" si="376">IF(C3127&lt;&gt;"",MONTH(C3127),"")</f>
        <v/>
      </c>
      <c r="C3127" s="61"/>
      <c r="D3127" s="61"/>
      <c r="E3127" s="61"/>
      <c r="F3127" s="69"/>
      <c r="G3127" s="64"/>
      <c r="H3127" s="69"/>
      <c r="I3127" s="387"/>
      <c r="J3127" s="394"/>
      <c r="K3127" s="387"/>
      <c r="L3127" s="394"/>
      <c r="M3127" s="62"/>
      <c r="N3127" s="63"/>
      <c r="O3127" s="63"/>
      <c r="P3127" s="79" t="str">
        <f>IF(AND('331-CT'!$E$7=TH!H3127,OR(N3127="331",O3127="331")),"x","")</f>
        <v/>
      </c>
      <c r="Q3127" s="79" t="str">
        <f>IF(AND(B3127='111'!$L$11,OR($N3127=$Q$7,$O3127=$Q$7)),"x","")</f>
        <v/>
      </c>
      <c r="R3127" s="79" t="str">
        <f>IF(AND($N3127=$Q$7,$B3127&lt;'111'!$L$11),"x","")</f>
        <v/>
      </c>
      <c r="S3127" s="79" t="str">
        <f>IF(AND($O3127=$Q$7,$B3127&lt;'111'!$L$11),"x","")</f>
        <v/>
      </c>
      <c r="T3127" s="79" t="str">
        <f>IF(ISERROR(FIND('112'!$M$9,G3127,1)),"",IF((AND(FIND('112'!$M$9,G3127,1)&gt;=1,B3127='112'!$K$9,OR($N3127='112'!$I$6,$O3127='112'!$I$6))),"x",""))</f>
        <v/>
      </c>
      <c r="U3127" s="79" t="str">
        <f>IF(ISERROR(FIND('112'!$M$9,G3127,1)),"",IF((AND(LEFT(G3127,2)=LEFT('112'!$M$9,2),B3127&lt;'112'!$K$9,$N3127='112'!$I$6)),"x",""))</f>
        <v/>
      </c>
      <c r="V3127" s="79" t="str">
        <f>IF(ISERROR(FIND('112'!$M$9,G3127,1)),"",IF((AND(RIGHT(G3127,2)=RIGHT('112'!$M$9,2),B3127&lt;'112'!$K$9,$O3127='112'!$I$6)),"x",""))</f>
        <v/>
      </c>
      <c r="W3127" s="79" t="str">
        <f>IF(AND('341-CT'!$H$9=H3127,OR(LEFT(N3127,3)=$W$7,LEFT(O3127,3)=$W$7)),"x","")</f>
        <v/>
      </c>
      <c r="X3127" s="79" t="str">
        <f>IF(OR(TH!N3127=TH!$X$7,O3127=TH!$X$7),"x","")</f>
        <v/>
      </c>
      <c r="Y3127" s="79" t="str">
        <f>IF(AND(OR(N3127="131",O3127="131"),H3127='131-CT'!$H$9),"x","")</f>
        <v/>
      </c>
      <c r="Z3127" s="79"/>
      <c r="AA3127" s="79" t="str">
        <f>IF(AND(MONTH(E3127)='IN-NX'!$J$5,'IN-NX'!$D$7=D3127),"x","")</f>
        <v/>
      </c>
      <c r="AB3127" s="79" t="str">
        <f>IF(AND(OR(LEFT(TH!N3127,2)="15",LEFT(TH!O3127,2)="15"),LEFT(TH!O3127,3)&lt;&gt;"111",'152-CT'!$J$8=TH!F3127),"x","")</f>
        <v/>
      </c>
      <c r="AC3127" s="79" t="str">
        <f>IF(AND(OR(LEFT(TH!N3127,2)="15",LEFT(TH!O3127,2)="15"),TK!$E$7=TH!F3127),"x","")</f>
        <v/>
      </c>
      <c r="AD3127" s="79" t="str">
        <f>IF(AND(N3127="1521",MONTH(C3127)='BK-NL'!$M$11),"x","")</f>
        <v/>
      </c>
    </row>
    <row r="3128" spans="1:30" ht="16.5" customHeight="1">
      <c r="A3128" s="318" t="str">
        <f>IF(B3128&lt;&gt;"",IF(AND(B3128='IN-TC'!$S$4,OR(TH!N3128="1111",TH!O3128="1111")),TH!D3128,""),"")</f>
        <v/>
      </c>
      <c r="B3128" s="60" t="str">
        <f t="shared" si="376"/>
        <v/>
      </c>
      <c r="C3128" s="301"/>
      <c r="D3128" s="301"/>
      <c r="E3128" s="301"/>
      <c r="F3128" s="69"/>
      <c r="G3128" s="988"/>
      <c r="H3128" s="303"/>
      <c r="I3128" s="385"/>
      <c r="J3128" s="969"/>
      <c r="K3128" s="385"/>
      <c r="L3128" s="392"/>
      <c r="M3128" s="970"/>
      <c r="N3128" s="304"/>
      <c r="O3128" s="304"/>
      <c r="P3128" s="79" t="str">
        <f>IF(AND('331-CT'!$E$7=TH!H3128,OR(N3128="331",O3128="331")),"x","")</f>
        <v/>
      </c>
      <c r="Q3128" s="79" t="str">
        <f>IF(AND(B3128='111'!$L$11,OR($N3128=$Q$7,$O3128=$Q$7)),"x","")</f>
        <v/>
      </c>
      <c r="R3128" s="79" t="str">
        <f>IF(AND($N3128=$Q$7,$B3128&lt;'111'!$L$11),"x","")</f>
        <v/>
      </c>
      <c r="S3128" s="79" t="str">
        <f>IF(AND($O3128=$Q$7,$B3128&lt;'111'!$L$11),"x","")</f>
        <v/>
      </c>
      <c r="T3128" s="79" t="str">
        <f>IF(ISERROR(FIND('112'!$M$9,G3128,1)),"",IF((AND(FIND('112'!$M$9,G3128,1)&gt;=1,B3128='112'!$K$9,OR($N3128='112'!$I$6,$O3128='112'!$I$6))),"x",""))</f>
        <v/>
      </c>
      <c r="U3128" s="79" t="str">
        <f>IF(ISERROR(FIND('112'!$M$9,G3128,1)),"",IF((AND(LEFT(G3128,2)=LEFT('112'!$M$9,2),B3128&lt;'112'!$K$9,$N3128='112'!$I$6)),"x",""))</f>
        <v/>
      </c>
      <c r="V3128" s="79" t="str">
        <f>IF(ISERROR(FIND('112'!$M$9,G3128,1)),"",IF((AND(RIGHT(G3128,2)=RIGHT('112'!$M$9,2),B3128&lt;'112'!$K$9,$O3128='112'!$I$6)),"x",""))</f>
        <v/>
      </c>
      <c r="W3128" s="79" t="str">
        <f>IF(AND('341-CT'!$H$9=H3128,OR(LEFT(N3128,3)=$W$7,LEFT(O3128,3)=$W$7)),"x","")</f>
        <v/>
      </c>
      <c r="X3128" s="79" t="str">
        <f>IF(OR(TH!N3128=TH!$X$7,O3128=TH!$X$7),"x","")</f>
        <v/>
      </c>
      <c r="Y3128" s="79" t="str">
        <f>IF(AND(OR(N3128="131",O3128="131"),H3128='131-CT'!$H$9),"x","")</f>
        <v/>
      </c>
      <c r="Z3128" s="79"/>
      <c r="AA3128" s="79" t="str">
        <f>IF(AND(MONTH(E3128)='IN-NX'!$J$5,'IN-NX'!$D$7=D3128),"x","")</f>
        <v/>
      </c>
      <c r="AB3128" s="79" t="str">
        <f>IF(AND(OR(LEFT(TH!N3128,2)="15",LEFT(TH!O3128,2)="15"),LEFT(TH!O3128,3)&lt;&gt;"111",'152-CT'!$J$8=TH!F3128),"x","")</f>
        <v/>
      </c>
      <c r="AC3128" s="79" t="str">
        <f>IF(AND(OR(LEFT(TH!N3128,2)="15",LEFT(TH!O3128,2)="15"),TK!$E$7=TH!F3128),"x","")</f>
        <v/>
      </c>
      <c r="AD3128" s="79" t="str">
        <f>IF(AND(N3128="1521",MONTH(C3128)='BK-NL'!$M$11),"x","")</f>
        <v/>
      </c>
    </row>
    <row r="3129" spans="1:30" ht="16.5" customHeight="1">
      <c r="A3129" s="318" t="str">
        <f>IF(B3129&lt;&gt;"",IF(AND(B3129='IN-TC'!$S$4,OR(TH!N3129="1111",TH!O3129="1111")),TH!D3129,""),"")</f>
        <v/>
      </c>
      <c r="B3129" s="60" t="str">
        <f t="shared" si="376"/>
        <v/>
      </c>
      <c r="C3129" s="301"/>
      <c r="D3129" s="301"/>
      <c r="E3129" s="301"/>
      <c r="F3129" s="69"/>
      <c r="G3129" s="302"/>
      <c r="H3129" s="303"/>
      <c r="I3129" s="385"/>
      <c r="J3129" s="969"/>
      <c r="K3129" s="385"/>
      <c r="L3129" s="392"/>
      <c r="M3129" s="970"/>
      <c r="N3129" s="304"/>
      <c r="O3129" s="304"/>
      <c r="P3129" s="79" t="str">
        <f>IF(AND('331-CT'!$E$7=TH!H3129,OR(N3129="331",O3129="331")),"x","")</f>
        <v/>
      </c>
      <c r="Q3129" s="79" t="str">
        <f>IF(AND(B3129='111'!$L$11,OR($N3129=$Q$7,$O3129=$Q$7)),"x","")</f>
        <v/>
      </c>
      <c r="R3129" s="79" t="str">
        <f>IF(AND($N3129=$Q$7,$B3129&lt;'111'!$L$11),"x","")</f>
        <v/>
      </c>
      <c r="S3129" s="79" t="str">
        <f>IF(AND($O3129=$Q$7,$B3129&lt;'111'!$L$11),"x","")</f>
        <v/>
      </c>
      <c r="T3129" s="79" t="str">
        <f>IF(ISERROR(FIND('112'!$M$9,G3129,1)),"",IF((AND(FIND('112'!$M$9,G3129,1)&gt;=1,B3129='112'!$K$9,OR($N3129='112'!$I$6,$O3129='112'!$I$6))),"x",""))</f>
        <v/>
      </c>
      <c r="U3129" s="79" t="str">
        <f>IF(ISERROR(FIND('112'!$M$9,G3129,1)),"",IF((AND(LEFT(G3129,2)=LEFT('112'!$M$9,2),B3129&lt;'112'!$K$9,$N3129='112'!$I$6)),"x",""))</f>
        <v/>
      </c>
      <c r="V3129" s="79" t="str">
        <f>IF(ISERROR(FIND('112'!$M$9,G3129,1)),"",IF((AND(RIGHT(G3129,2)=RIGHT('112'!$M$9,2),B3129&lt;'112'!$K$9,$O3129='112'!$I$6)),"x",""))</f>
        <v/>
      </c>
      <c r="W3129" s="79" t="str">
        <f>IF(AND('341-CT'!$H$9=H3129,OR(LEFT(N3129,3)=$W$7,LEFT(O3129,3)=$W$7)),"x","")</f>
        <v/>
      </c>
      <c r="X3129" s="79" t="str">
        <f>IF(OR(TH!N3129=TH!$X$7,O3129=TH!$X$7),"x","")</f>
        <v/>
      </c>
      <c r="Y3129" s="79" t="str">
        <f>IF(AND(OR(N3129="131",O3129="131"),H3129='131-CT'!$H$9),"x","")</f>
        <v/>
      </c>
      <c r="Z3129" s="79"/>
      <c r="AA3129" s="79" t="str">
        <f>IF(AND(MONTH(E3129)='IN-NX'!$J$5,'IN-NX'!$D$7=D3129),"x","")</f>
        <v/>
      </c>
      <c r="AB3129" s="79" t="str">
        <f>IF(AND(OR(LEFT(TH!N3129,2)="15",LEFT(TH!O3129,2)="15"),LEFT(TH!O3129,3)&lt;&gt;"111",'152-CT'!$J$8=TH!F3129),"x","")</f>
        <v/>
      </c>
      <c r="AC3129" s="79" t="str">
        <f>IF(AND(OR(LEFT(TH!N3129,2)="15",LEFT(TH!O3129,2)="15"),TK!$E$7=TH!F3129),"x","")</f>
        <v/>
      </c>
      <c r="AD3129" s="79" t="str">
        <f>IF(AND(N3129="1521",MONTH(C3129)='BK-NL'!$M$11),"x","")</f>
        <v/>
      </c>
    </row>
    <row r="3130" spans="1:30" ht="16.5" customHeight="1">
      <c r="A3130" s="318" t="str">
        <f>IF(B3130&lt;&gt;"",IF(AND(B3130='IN-TC'!$S$4,OR(TH!N3130="1111",TH!O3130="1111")),TH!D3130,""),"")</f>
        <v/>
      </c>
      <c r="B3130" s="60" t="str">
        <f t="shared" si="376"/>
        <v/>
      </c>
      <c r="C3130" s="301"/>
      <c r="D3130" s="301"/>
      <c r="E3130" s="301"/>
      <c r="F3130" s="69"/>
      <c r="G3130" s="302"/>
      <c r="H3130" s="303"/>
      <c r="I3130" s="385"/>
      <c r="J3130" s="969"/>
      <c r="K3130" s="385"/>
      <c r="L3130" s="392"/>
      <c r="M3130" s="970"/>
      <c r="N3130" s="304"/>
      <c r="O3130" s="304"/>
      <c r="P3130" s="79" t="str">
        <f>IF(AND('331-CT'!$E$7=TH!H3130,OR(N3130="331",O3130="331")),"x","")</f>
        <v/>
      </c>
      <c r="Q3130" s="79" t="str">
        <f>IF(AND(B3130='111'!$L$11,OR($N3130=$Q$7,$O3130=$Q$7)),"x","")</f>
        <v/>
      </c>
      <c r="R3130" s="79" t="str">
        <f>IF(AND($N3130=$Q$7,$B3130&lt;'111'!$L$11),"x","")</f>
        <v/>
      </c>
      <c r="S3130" s="79" t="str">
        <f>IF(AND($O3130=$Q$7,$B3130&lt;'111'!$L$11),"x","")</f>
        <v/>
      </c>
      <c r="T3130" s="79" t="str">
        <f>IF(ISERROR(FIND('112'!$M$9,G3130,1)),"",IF((AND(FIND('112'!$M$9,G3130,1)&gt;=1,B3130='112'!$K$9,OR($N3130='112'!$I$6,$O3130='112'!$I$6))),"x",""))</f>
        <v/>
      </c>
      <c r="U3130" s="79" t="str">
        <f>IF(ISERROR(FIND('112'!$M$9,G3130,1)),"",IF((AND(LEFT(G3130,2)=LEFT('112'!$M$9,2),B3130&lt;'112'!$K$9,$N3130='112'!$I$6)),"x",""))</f>
        <v/>
      </c>
      <c r="V3130" s="79" t="str">
        <f>IF(ISERROR(FIND('112'!$M$9,G3130,1)),"",IF((AND(RIGHT(G3130,2)=RIGHT('112'!$M$9,2),B3130&lt;'112'!$K$9,$O3130='112'!$I$6)),"x",""))</f>
        <v/>
      </c>
      <c r="W3130" s="79" t="str">
        <f>IF(AND('341-CT'!$H$9=H3130,OR(LEFT(N3130,3)=$W$7,LEFT(O3130,3)=$W$7)),"x","")</f>
        <v/>
      </c>
      <c r="X3130" s="79" t="str">
        <f>IF(OR(TH!N3130=TH!$X$7,O3130=TH!$X$7),"x","")</f>
        <v/>
      </c>
      <c r="Y3130" s="79" t="str">
        <f>IF(AND(OR(N3130="131",O3130="131"),H3130='131-CT'!$H$9),"x","")</f>
        <v/>
      </c>
      <c r="Z3130" s="79"/>
      <c r="AA3130" s="79" t="str">
        <f>IF(AND(MONTH(E3130)='IN-NX'!$J$5,'IN-NX'!$D$7=D3130),"x","")</f>
        <v/>
      </c>
      <c r="AB3130" s="79" t="str">
        <f>IF(AND(OR(LEFT(TH!N3130,2)="15",LEFT(TH!O3130,2)="15"),LEFT(TH!O3130,3)&lt;&gt;"111",'152-CT'!$J$8=TH!F3130),"x","")</f>
        <v/>
      </c>
      <c r="AC3130" s="79" t="str">
        <f>IF(AND(OR(LEFT(TH!N3130,2)="15",LEFT(TH!O3130,2)="15"),TK!$E$7=TH!F3130),"x","")</f>
        <v/>
      </c>
      <c r="AD3130" s="79" t="str">
        <f>IF(AND(N3130="1521",MONTH(C3130)='BK-NL'!$M$11),"x","")</f>
        <v/>
      </c>
    </row>
    <row r="3131" spans="1:30" ht="16.5" customHeight="1">
      <c r="A3131" s="318" t="str">
        <f>IF(B3131&lt;&gt;"",IF(AND(B3131='IN-TC'!$S$4,OR(TH!N3131="1111",TH!O3131="1111")),TH!D3131,""),"")</f>
        <v/>
      </c>
      <c r="B3131" s="60" t="str">
        <f t="shared" ref="B3131:B3136" si="377">IF(C3131&lt;&gt;"",MONTH(C3131),"")</f>
        <v/>
      </c>
      <c r="C3131" s="301"/>
      <c r="D3131" s="301"/>
      <c r="E3131" s="301"/>
      <c r="F3131" s="69"/>
      <c r="G3131" s="302"/>
      <c r="H3131" s="303"/>
      <c r="I3131" s="385"/>
      <c r="J3131" s="969"/>
      <c r="K3131" s="385"/>
      <c r="L3131" s="392"/>
      <c r="M3131" s="970"/>
      <c r="N3131" s="304"/>
      <c r="O3131" s="304"/>
      <c r="P3131" s="79" t="str">
        <f>IF(AND('331-CT'!$E$7=TH!H3131,OR(N3131="331",O3131="331")),"x","")</f>
        <v/>
      </c>
      <c r="Q3131" s="79" t="str">
        <f>IF(AND(B3131='111'!$L$11,OR($N3131=$Q$7,$O3131=$Q$7)),"x","")</f>
        <v/>
      </c>
      <c r="R3131" s="79" t="str">
        <f>IF(AND($N3131=$Q$7,$B3131&lt;'111'!$L$11),"x","")</f>
        <v/>
      </c>
      <c r="S3131" s="79" t="str">
        <f>IF(AND($O3131=$Q$7,$B3131&lt;'111'!$L$11),"x","")</f>
        <v/>
      </c>
      <c r="T3131" s="79" t="str">
        <f>IF(ISERROR(FIND('112'!$M$9,G3131,1)),"",IF((AND(FIND('112'!$M$9,G3131,1)&gt;=1,B3131='112'!$K$9,OR($N3131='112'!$I$6,$O3131='112'!$I$6))),"x",""))</f>
        <v/>
      </c>
      <c r="U3131" s="79" t="str">
        <f>IF(ISERROR(FIND('112'!$M$9,G3131,1)),"",IF((AND(LEFT(G3131,2)=LEFT('112'!$M$9,2),B3131&lt;'112'!$K$9,$N3131='112'!$I$6)),"x",""))</f>
        <v/>
      </c>
      <c r="V3131" s="79" t="str">
        <f>IF(ISERROR(FIND('112'!$M$9,G3131,1)),"",IF((AND(RIGHT(G3131,2)=RIGHT('112'!$M$9,2),B3131&lt;'112'!$K$9,$O3131='112'!$I$6)),"x",""))</f>
        <v/>
      </c>
      <c r="W3131" s="79" t="str">
        <f>IF(AND('341-CT'!$H$9=H3131,OR(LEFT(N3131,3)=$W$7,LEFT(O3131,3)=$W$7)),"x","")</f>
        <v/>
      </c>
      <c r="X3131" s="79" t="str">
        <f>IF(OR(TH!N3131=TH!$X$7,O3131=TH!$X$7),"x","")</f>
        <v/>
      </c>
      <c r="Y3131" s="79" t="str">
        <f>IF(AND(OR(N3131="131",O3131="131"),H3131='131-CT'!$H$9),"x","")</f>
        <v/>
      </c>
      <c r="Z3131" s="79"/>
      <c r="AA3131" s="79" t="str">
        <f>IF(AND(MONTH(E3131)='IN-NX'!$J$5,'IN-NX'!$D$7=D3131),"x","")</f>
        <v/>
      </c>
      <c r="AB3131" s="79" t="str">
        <f>IF(AND(OR(LEFT(TH!N3131,2)="15",LEFT(TH!O3131,2)="15"),LEFT(TH!O3131,3)&lt;&gt;"111",'152-CT'!$J$8=TH!F3131),"x","")</f>
        <v/>
      </c>
      <c r="AC3131" s="79" t="str">
        <f>IF(AND(OR(LEFT(TH!N3131,2)="15",LEFT(TH!O3131,2)="15"),TK!$E$7=TH!F3131),"x","")</f>
        <v/>
      </c>
      <c r="AD3131" s="79" t="str">
        <f>IF(AND(N3131="1521",MONTH(C3131)='BK-NL'!$M$11),"x","")</f>
        <v/>
      </c>
    </row>
    <row r="3132" spans="1:30" s="1101" customFormat="1" ht="16.5" customHeight="1">
      <c r="A3132" s="318" t="str">
        <f>IF(B3132&lt;&gt;"",IF(AND(B3132='IN-TC'!$S$4,OR(TH!N3132="1111",TH!O3132="1111")),TH!D3132,""),"")</f>
        <v/>
      </c>
      <c r="B3132" s="60" t="str">
        <f t="shared" si="377"/>
        <v/>
      </c>
      <c r="C3132" s="301"/>
      <c r="D3132" s="61"/>
      <c r="E3132" s="61"/>
      <c r="F3132" s="69"/>
      <c r="G3132" s="64"/>
      <c r="H3132" s="69"/>
      <c r="I3132" s="385"/>
      <c r="J3132" s="392"/>
      <c r="K3132" s="385"/>
      <c r="L3132" s="392"/>
      <c r="M3132" s="62"/>
      <c r="N3132" s="63"/>
      <c r="O3132" s="63"/>
      <c r="P3132" s="79" t="str">
        <f>IF(AND('331-CT'!$E$7=TH!H3132,OR(N3132="331",O3132="331")),"x","")</f>
        <v/>
      </c>
      <c r="Q3132" s="79" t="str">
        <f>IF(AND(B3132='111'!$L$11,OR($N3132=$Q$7,$O3132=$Q$7)),"x","")</f>
        <v/>
      </c>
      <c r="R3132" s="79" t="str">
        <f>IF(AND($N3132=$Q$7,$B3132&lt;'111'!$L$11),"x","")</f>
        <v/>
      </c>
      <c r="S3132" s="79" t="str">
        <f>IF(AND($O3132=$Q$7,$B3132&lt;'111'!$L$11),"x","")</f>
        <v/>
      </c>
      <c r="T3132" s="79" t="str">
        <f>IF(ISERROR(FIND('112'!$M$9,G3132,1)),"",IF((AND(FIND('112'!$M$9,G3132,1)&gt;=1,B3132='112'!$K$9,OR($N3132='112'!$I$6,$O3132='112'!$I$6))),"x",""))</f>
        <v/>
      </c>
      <c r="U3132" s="79" t="str">
        <f>IF(ISERROR(FIND('112'!$M$9,G3132,1)),"",IF((AND(LEFT(G3132,2)=LEFT('112'!$M$9,2),B3132&lt;'112'!$K$9,$N3132='112'!$I$6)),"x",""))</f>
        <v/>
      </c>
      <c r="V3132" s="79" t="str">
        <f>IF(ISERROR(FIND('112'!$M$9,G3132,1)),"",IF((AND(RIGHT(G3132,2)=RIGHT('112'!$M$9,2),B3132&lt;'112'!$K$9,$O3132='112'!$I$6)),"x",""))</f>
        <v/>
      </c>
      <c r="W3132" s="79" t="str">
        <f>IF(AND('341-CT'!$H$9=H3132,OR(LEFT(N3132,3)=$W$7,LEFT(O3132,3)=$W$7)),"x","")</f>
        <v/>
      </c>
      <c r="X3132" s="79" t="str">
        <f>IF(OR(TH!N3132=TH!$X$7,O3132=TH!$X$7),"x","")</f>
        <v/>
      </c>
      <c r="Y3132" s="79" t="str">
        <f>IF(AND(OR(N3132="131",O3132="131"),H3132='131-CT'!$H$9),"x","")</f>
        <v/>
      </c>
      <c r="Z3132" s="79"/>
      <c r="AA3132" s="79" t="str">
        <f>IF(AND(MONTH(E3132)='IN-NX'!$J$5,'IN-NX'!$D$7=D3132),"x","")</f>
        <v/>
      </c>
      <c r="AB3132" s="79" t="str">
        <f>IF(AND(OR(LEFT(TH!N3132,2)="15",LEFT(TH!O3132,2)="15"),LEFT(TH!O3132,3)&lt;&gt;"111",'152-CT'!$J$8=TH!F3132),"x","")</f>
        <v/>
      </c>
      <c r="AC3132" s="79" t="str">
        <f>IF(AND(OR(LEFT(TH!N3132,2)="15",LEFT(TH!O3132,2)="15"),TK!$E$7=TH!F3132),"x","")</f>
        <v/>
      </c>
      <c r="AD3132" s="79" t="str">
        <f>IF(AND(N3132="1521",MONTH(C3132)='BK-NL'!$M$11),"x","")</f>
        <v/>
      </c>
    </row>
    <row r="3133" spans="1:30" s="1101" customFormat="1" ht="16.5" customHeight="1">
      <c r="A3133" s="318" t="str">
        <f>IF(B3133&lt;&gt;"",IF(AND(B3133='IN-TC'!$S$4,OR(TH!N3133="1111",TH!O3133="1111")),TH!D3133,""),"")</f>
        <v/>
      </c>
      <c r="B3133" s="60" t="str">
        <f t="shared" si="377"/>
        <v/>
      </c>
      <c r="C3133" s="301"/>
      <c r="D3133" s="61"/>
      <c r="E3133" s="61"/>
      <c r="F3133" s="69"/>
      <c r="G3133" s="64"/>
      <c r="H3133" s="69"/>
      <c r="I3133" s="387"/>
      <c r="J3133" s="394"/>
      <c r="K3133" s="62"/>
      <c r="L3133" s="394"/>
      <c r="M3133" s="62"/>
      <c r="N3133" s="63"/>
      <c r="O3133" s="63"/>
      <c r="P3133" s="79" t="str">
        <f>IF(AND('331-CT'!$E$7=TH!H3133,OR(N3133="331",O3133="331")),"x","")</f>
        <v/>
      </c>
      <c r="Q3133" s="79" t="str">
        <f>IF(AND(B3133='111'!$L$11,OR($N3133=$Q$7,$O3133=$Q$7)),"x","")</f>
        <v/>
      </c>
      <c r="R3133" s="79" t="str">
        <f>IF(AND($N3133=$Q$7,$B3133&lt;'111'!$L$11),"x","")</f>
        <v/>
      </c>
      <c r="S3133" s="79" t="str">
        <f>IF(AND($O3133=$Q$7,$B3133&lt;'111'!$L$11),"x","")</f>
        <v/>
      </c>
      <c r="T3133" s="79" t="str">
        <f>IF(ISERROR(FIND('112'!$M$9,G3133,1)),"",IF((AND(FIND('112'!$M$9,G3133,1)&gt;=1,B3133='112'!$K$9,OR($N3133='112'!$I$6,$O3133='112'!$I$6))),"x",""))</f>
        <v/>
      </c>
      <c r="U3133" s="79" t="str">
        <f>IF(ISERROR(FIND('112'!$M$9,G3133,1)),"",IF((AND(LEFT(G3133,2)=LEFT('112'!$M$9,2),B3133&lt;'112'!$K$9,$N3133='112'!$I$6)),"x",""))</f>
        <v/>
      </c>
      <c r="V3133" s="79" t="str">
        <f>IF(ISERROR(FIND('112'!$M$9,G3133,1)),"",IF((AND(RIGHT(G3133,2)=RIGHT('112'!$M$9,2),B3133&lt;'112'!$K$9,$O3133='112'!$I$6)),"x",""))</f>
        <v/>
      </c>
      <c r="W3133" s="79" t="str">
        <f>IF(AND('341-CT'!$H$9=H3133,OR(LEFT(N3133,3)=$W$7,LEFT(O3133,3)=$W$7)),"x","")</f>
        <v/>
      </c>
      <c r="X3133" s="79" t="str">
        <f>IF(OR(TH!N3133=TH!$X$7,O3133=TH!$X$7),"x","")</f>
        <v/>
      </c>
      <c r="Y3133" s="79" t="str">
        <f>IF(AND(OR(N3133="131",O3133="131"),H3133='131-CT'!$H$9),"x","")</f>
        <v/>
      </c>
      <c r="Z3133" s="79"/>
      <c r="AA3133" s="79" t="str">
        <f>IF(AND(MONTH(E3133)='IN-NX'!$J$5,'IN-NX'!$D$7=D3133),"x","")</f>
        <v/>
      </c>
      <c r="AB3133" s="79" t="str">
        <f>IF(AND(OR(LEFT(TH!N3133,2)="15",LEFT(TH!O3133,2)="15"),LEFT(TH!O3133,3)&lt;&gt;"111",'152-CT'!$J$8=TH!F3133),"x","")</f>
        <v/>
      </c>
      <c r="AC3133" s="79" t="str">
        <f>IF(AND(OR(LEFT(TH!N3133,2)="15",LEFT(TH!O3133,2)="15"),TK!$E$7=TH!F3133),"x","")</f>
        <v/>
      </c>
      <c r="AD3133" s="79" t="str">
        <f>IF(AND(N3133="1521",MONTH(C3133)='BK-NL'!$M$11),"x","")</f>
        <v/>
      </c>
    </row>
    <row r="3134" spans="1:30" s="1101" customFormat="1" ht="16.5" customHeight="1">
      <c r="A3134" s="318" t="str">
        <f>IF(B3134&lt;&gt;"",IF(AND(B3134='IN-TC'!$S$4,OR(TH!N3134="1111",TH!O3134="1111")),TH!D3134,""),"")</f>
        <v/>
      </c>
      <c r="B3134" s="60" t="str">
        <f t="shared" si="377"/>
        <v/>
      </c>
      <c r="C3134" s="301"/>
      <c r="D3134" s="61"/>
      <c r="E3134" s="61"/>
      <c r="F3134" s="69"/>
      <c r="G3134" s="64"/>
      <c r="H3134" s="69"/>
      <c r="I3134" s="387"/>
      <c r="J3134" s="394"/>
      <c r="K3134" s="387"/>
      <c r="L3134" s="394"/>
      <c r="M3134" s="62"/>
      <c r="N3134" s="63"/>
      <c r="O3134" s="63"/>
      <c r="P3134" s="79" t="str">
        <f>IF(AND('331-CT'!$E$7=TH!H3134,OR(N3134="331",O3134="331")),"x","")</f>
        <v/>
      </c>
      <c r="Q3134" s="79" t="str">
        <f>IF(AND(B3134='111'!$L$11,OR($N3134=$Q$7,$O3134=$Q$7)),"x","")</f>
        <v/>
      </c>
      <c r="R3134" s="79" t="str">
        <f>IF(AND($N3134=$Q$7,$B3134&lt;'111'!$L$11),"x","")</f>
        <v/>
      </c>
      <c r="S3134" s="79" t="str">
        <f>IF(AND($O3134=$Q$7,$B3134&lt;'111'!$L$11),"x","")</f>
        <v/>
      </c>
      <c r="T3134" s="79" t="str">
        <f>IF(ISERROR(FIND('112'!$M$9,G3134,1)),"",IF((AND(FIND('112'!$M$9,G3134,1)&gt;=1,B3134='112'!$K$9,OR($N3134='112'!$I$6,$O3134='112'!$I$6))),"x",""))</f>
        <v/>
      </c>
      <c r="U3134" s="79" t="str">
        <f>IF(ISERROR(FIND('112'!$M$9,G3134,1)),"",IF((AND(LEFT(G3134,2)=LEFT('112'!$M$9,2),B3134&lt;'112'!$K$9,$N3134='112'!$I$6)),"x",""))</f>
        <v/>
      </c>
      <c r="V3134" s="79" t="str">
        <f>IF(ISERROR(FIND('112'!$M$9,G3134,1)),"",IF((AND(RIGHT(G3134,2)=RIGHT('112'!$M$9,2),B3134&lt;'112'!$K$9,$O3134='112'!$I$6)),"x",""))</f>
        <v/>
      </c>
      <c r="W3134" s="79" t="str">
        <f>IF(AND('341-CT'!$H$9=H3134,OR(LEFT(N3134,3)=$W$7,LEFT(O3134,3)=$W$7)),"x","")</f>
        <v/>
      </c>
      <c r="X3134" s="79" t="str">
        <f>IF(OR(TH!N3134=TH!$X$7,O3134=TH!$X$7),"x","")</f>
        <v/>
      </c>
      <c r="Y3134" s="79" t="str">
        <f>IF(AND(OR(N3134="131",O3134="131"),H3134='131-CT'!$H$9),"x","")</f>
        <v/>
      </c>
      <c r="Z3134" s="79"/>
      <c r="AA3134" s="79" t="str">
        <f>IF(AND(MONTH(E3134)='IN-NX'!$J$5,'IN-NX'!$D$7=D3134),"x","")</f>
        <v/>
      </c>
      <c r="AB3134" s="79" t="str">
        <f>IF(AND(OR(LEFT(TH!N3134,2)="15",LEFT(TH!O3134,2)="15"),LEFT(TH!O3134,3)&lt;&gt;"111",'152-CT'!$J$8=TH!F3134),"x","")</f>
        <v/>
      </c>
      <c r="AC3134" s="79" t="str">
        <f>IF(AND(OR(LEFT(TH!N3134,2)="15",LEFT(TH!O3134,2)="15"),TK!$E$7=TH!F3134),"x","")</f>
        <v/>
      </c>
      <c r="AD3134" s="79" t="str">
        <f>IF(AND(N3134="1521",MONTH(C3134)='BK-NL'!$M$11),"x","")</f>
        <v/>
      </c>
    </row>
    <row r="3135" spans="1:30" ht="16.5" customHeight="1">
      <c r="A3135" s="318" t="str">
        <f>IF(B3135&lt;&gt;"",IF(AND(B3135='IN-TC'!$S$4,OR(TH!N3135="1111",TH!O3135="1111")),TH!D3135,""),"")</f>
        <v/>
      </c>
      <c r="B3135" s="60" t="str">
        <f t="shared" si="377"/>
        <v/>
      </c>
      <c r="C3135" s="301"/>
      <c r="D3135" s="301"/>
      <c r="E3135" s="301"/>
      <c r="F3135" s="69"/>
      <c r="G3135" s="302"/>
      <c r="H3135" s="303"/>
      <c r="I3135" s="385"/>
      <c r="J3135" s="969"/>
      <c r="K3135" s="385"/>
      <c r="L3135" s="392"/>
      <c r="M3135" s="970"/>
      <c r="N3135" s="304"/>
      <c r="O3135" s="304"/>
      <c r="P3135" s="79" t="str">
        <f>IF(AND('331-CT'!$E$7=TH!H3135,OR(N3135="331",O3135="331")),"x","")</f>
        <v/>
      </c>
      <c r="Q3135" s="79" t="str">
        <f>IF(AND(B3135='111'!$L$11,OR($N3135=$Q$7,$O3135=$Q$7)),"x","")</f>
        <v/>
      </c>
      <c r="R3135" s="79" t="str">
        <f>IF(AND($N3135=$Q$7,$B3135&lt;'111'!$L$11),"x","")</f>
        <v/>
      </c>
      <c r="S3135" s="79" t="str">
        <f>IF(AND($O3135=$Q$7,$B3135&lt;'111'!$L$11),"x","")</f>
        <v/>
      </c>
      <c r="T3135" s="79" t="str">
        <f>IF(ISERROR(FIND('112'!$M$9,G3135,1)),"",IF((AND(FIND('112'!$M$9,G3135,1)&gt;=1,B3135='112'!$K$9,OR($N3135='112'!$I$6,$O3135='112'!$I$6))),"x",""))</f>
        <v/>
      </c>
      <c r="U3135" s="79" t="str">
        <f>IF(ISERROR(FIND('112'!$M$9,G3135,1)),"",IF((AND(LEFT(G3135,2)=LEFT('112'!$M$9,2),B3135&lt;'112'!$K$9,$N3135='112'!$I$6)),"x",""))</f>
        <v/>
      </c>
      <c r="V3135" s="79" t="str">
        <f>IF(ISERROR(FIND('112'!$M$9,G3135,1)),"",IF((AND(RIGHT(G3135,2)=RIGHT('112'!$M$9,2),B3135&lt;'112'!$K$9,$O3135='112'!$I$6)),"x",""))</f>
        <v/>
      </c>
      <c r="W3135" s="79" t="str">
        <f>IF(AND('341-CT'!$H$9=H3135,OR(LEFT(N3135,3)=$W$7,LEFT(O3135,3)=$W$7)),"x","")</f>
        <v/>
      </c>
      <c r="X3135" s="79" t="str">
        <f>IF(OR(TH!N3135=TH!$X$7,O3135=TH!$X$7),"x","")</f>
        <v/>
      </c>
      <c r="Y3135" s="79" t="str">
        <f>IF(AND(OR(N3135="131",O3135="131"),H3135='131-CT'!$H$9),"x","")</f>
        <v/>
      </c>
      <c r="Z3135" s="79"/>
      <c r="AA3135" s="79" t="str">
        <f>IF(AND(MONTH(E3135)='IN-NX'!$J$5,'IN-NX'!$D$7=D3135),"x","")</f>
        <v/>
      </c>
      <c r="AB3135" s="79" t="str">
        <f>IF(AND(OR(LEFT(TH!N3135,2)="15",LEFT(TH!O3135,2)="15"),LEFT(TH!O3135,3)&lt;&gt;"111",'152-CT'!$J$8=TH!F3135),"x","")</f>
        <v/>
      </c>
      <c r="AC3135" s="79" t="str">
        <f>IF(AND(OR(LEFT(TH!N3135,2)="15",LEFT(TH!O3135,2)="15"),TK!$E$7=TH!F3135),"x","")</f>
        <v/>
      </c>
      <c r="AD3135" s="79" t="str">
        <f>IF(AND(N3135="1521",MONTH(C3135)='BK-NL'!$M$11),"x","")</f>
        <v/>
      </c>
    </row>
    <row r="3136" spans="1:30" s="1306" customFormat="1" ht="16.5" customHeight="1">
      <c r="A3136" s="1305" t="str">
        <f>IF(B3136&lt;&gt;"",IF(AND(B3136='IN-TC'!$S$4,OR(TH!N3136="1111",TH!O3136="1111")),TH!D3136,""),"")</f>
        <v/>
      </c>
      <c r="B3136" s="60" t="str">
        <f t="shared" si="377"/>
        <v/>
      </c>
      <c r="C3136" s="301"/>
      <c r="D3136" s="301"/>
      <c r="E3136" s="301"/>
      <c r="F3136" s="69"/>
      <c r="G3136" s="302"/>
      <c r="H3136" s="303"/>
      <c r="I3136" s="385"/>
      <c r="J3136" s="969"/>
      <c r="K3136" s="385"/>
      <c r="L3136" s="392"/>
      <c r="M3136" s="970"/>
      <c r="N3136" s="304"/>
      <c r="O3136" s="304"/>
      <c r="P3136" s="79" t="str">
        <f>IF(AND('331-CT'!$E$7=TH!H3136,OR(N3136="331",O3136="331")),"x","")</f>
        <v/>
      </c>
      <c r="Q3136" s="79" t="str">
        <f>IF(AND(B3136='111'!$L$11,OR($N3136=$Q$7,$O3136=$Q$7)),"x","")</f>
        <v/>
      </c>
      <c r="R3136" s="79" t="str">
        <f>IF(AND($N3136=$Q$7,$B3136&lt;'111'!$L$11),"x","")</f>
        <v/>
      </c>
      <c r="S3136" s="79" t="str">
        <f>IF(AND($O3136=$Q$7,$B3136&lt;'111'!$L$11),"x","")</f>
        <v/>
      </c>
      <c r="T3136" s="79" t="str">
        <f>IF(ISERROR(FIND('112'!$M$9,G3136,1)),"",IF((AND(FIND('112'!$M$9,G3136,1)&gt;=1,B3136='112'!$K$9,OR($N3136='112'!$I$6,$O3136='112'!$I$6))),"x",""))</f>
        <v/>
      </c>
      <c r="U3136" s="79" t="str">
        <f>IF(ISERROR(FIND('112'!$M$9,G3136,1)),"",IF((AND(LEFT(G3136,2)=LEFT('112'!$M$9,2),B3136&lt;'112'!$K$9,$N3136='112'!$I$6)),"x",""))</f>
        <v/>
      </c>
      <c r="V3136" s="79" t="str">
        <f>IF(ISERROR(FIND('112'!$M$9,G3136,1)),"",IF((AND(RIGHT(G3136,2)=RIGHT('112'!$M$9,2),B3136&lt;'112'!$K$9,$O3136='112'!$I$6)),"x",""))</f>
        <v/>
      </c>
      <c r="W3136" s="79" t="str">
        <f>IF(AND('341-CT'!$H$9=H3136,OR(LEFT(N3136,3)=$W$7,LEFT(O3136,3)=$W$7)),"x","")</f>
        <v/>
      </c>
      <c r="X3136" s="79" t="str">
        <f>IF(OR(TH!N3136=TH!$X$7,O3136=TH!$X$7),"x","")</f>
        <v/>
      </c>
      <c r="Y3136" s="79" t="str">
        <f>IF(AND(OR(N3136="131",O3136="131"),H3136='131-CT'!$H$9),"x","")</f>
        <v/>
      </c>
      <c r="Z3136" s="79"/>
      <c r="AA3136" s="79" t="str">
        <f>IF(AND(MONTH(E3136)='IN-NX'!$J$5,'IN-NX'!$D$7=D3136),"x","")</f>
        <v/>
      </c>
      <c r="AB3136" s="79" t="str">
        <f>IF(AND(OR(LEFT(TH!N3136,2)="15",LEFT(TH!O3136,2)="15"),LEFT(TH!O3136,3)&lt;&gt;"111",'152-CT'!$J$8=TH!F3136),"x","")</f>
        <v/>
      </c>
      <c r="AC3136" s="79" t="str">
        <f>IF(AND(OR(LEFT(TH!N3136,2)="15",LEFT(TH!O3136,2)="15"),TK!$E$7=TH!F3136),"x","")</f>
        <v/>
      </c>
      <c r="AD3136" s="79" t="str">
        <f>IF(AND(N3136="1521",MONTH(C3136)='BK-NL'!$M$11),"x","")</f>
        <v/>
      </c>
    </row>
    <row r="3137" spans="1:30" ht="16.5" customHeight="1">
      <c r="A3137" s="318" t="str">
        <f>IF(B3137&lt;&gt;"",IF(AND(B3137='IN-TC'!$S$4,OR(TH!N3137="1111",TH!O3137="1111")),TH!D3137,""),"")</f>
        <v/>
      </c>
      <c r="B3137" s="60" t="str">
        <f t="shared" ref="B3137:B3139" si="378">IF(C3137&lt;&gt;"",MONTH(C3137),"")</f>
        <v/>
      </c>
      <c r="C3137" s="301"/>
      <c r="D3137" s="301"/>
      <c r="E3137" s="301"/>
      <c r="F3137" s="69"/>
      <c r="G3137" s="988"/>
      <c r="H3137" s="303"/>
      <c r="I3137" s="385"/>
      <c r="J3137" s="969"/>
      <c r="K3137" s="385"/>
      <c r="L3137" s="392"/>
      <c r="M3137" s="970"/>
      <c r="N3137" s="304"/>
      <c r="O3137" s="304"/>
      <c r="P3137" s="79" t="str">
        <f>IF(AND('331-CT'!$E$7=TH!H3137,OR(N3137="331",O3137="331")),"x","")</f>
        <v/>
      </c>
      <c r="Q3137" s="79" t="str">
        <f>IF(AND(B3137='111'!$L$11,OR($N3137=$Q$7,$O3137=$Q$7)),"x","")</f>
        <v/>
      </c>
      <c r="R3137" s="79" t="str">
        <f>IF(AND($N3137=$Q$7,$B3137&lt;'111'!$L$11),"x","")</f>
        <v/>
      </c>
      <c r="S3137" s="79" t="str">
        <f>IF(AND($O3137=$Q$7,$B3137&lt;'111'!$L$11),"x","")</f>
        <v/>
      </c>
      <c r="T3137" s="79" t="str">
        <f>IF(ISERROR(FIND('112'!$M$9,G3137,1)),"",IF((AND(FIND('112'!$M$9,G3137,1)&gt;=1,B3137='112'!$K$9,OR($N3137='112'!$I$6,$O3137='112'!$I$6))),"x",""))</f>
        <v/>
      </c>
      <c r="U3137" s="79" t="str">
        <f>IF(ISERROR(FIND('112'!$M$9,G3137,1)),"",IF((AND(LEFT(G3137,2)=LEFT('112'!$M$9,2),B3137&lt;'112'!$K$9,$N3137='112'!$I$6)),"x",""))</f>
        <v/>
      </c>
      <c r="V3137" s="79" t="str">
        <f>IF(ISERROR(FIND('112'!$M$9,G3137,1)),"",IF((AND(RIGHT(G3137,2)=RIGHT('112'!$M$9,2),B3137&lt;'112'!$K$9,$O3137='112'!$I$6)),"x",""))</f>
        <v/>
      </c>
      <c r="W3137" s="79" t="str">
        <f>IF(AND('341-CT'!$H$9=H3137,OR(LEFT(N3137,3)=$W$7,LEFT(O3137,3)=$W$7)),"x","")</f>
        <v/>
      </c>
      <c r="X3137" s="79" t="str">
        <f>IF(OR(TH!N3137=TH!$X$7,O3137=TH!$X$7),"x","")</f>
        <v/>
      </c>
      <c r="Y3137" s="79" t="str">
        <f>IF(AND(OR(N3137="131",O3137="131"),H3137='131-CT'!$H$9),"x","")</f>
        <v/>
      </c>
      <c r="Z3137" s="79"/>
      <c r="AA3137" s="79" t="str">
        <f>IF(AND(MONTH(E3137)='IN-NX'!$J$5,'IN-NX'!$D$7=D3137),"x","")</f>
        <v/>
      </c>
      <c r="AB3137" s="79" t="str">
        <f>IF(AND(OR(LEFT(TH!N3137,2)="15",LEFT(TH!O3137,2)="15"),LEFT(TH!O3137,3)&lt;&gt;"111",'152-CT'!$J$8=TH!F3137),"x","")</f>
        <v/>
      </c>
      <c r="AC3137" s="79" t="str">
        <f>IF(AND(OR(LEFT(TH!N3137,2)="15",LEFT(TH!O3137,2)="15"),TK!$E$7=TH!F3137),"x","")</f>
        <v/>
      </c>
      <c r="AD3137" s="79" t="str">
        <f>IF(AND(N3137="1521",MONTH(C3137)='BK-NL'!$M$11),"x","")</f>
        <v/>
      </c>
    </row>
    <row r="3138" spans="1:30" s="1101" customFormat="1" ht="16.5" customHeight="1">
      <c r="A3138" s="318" t="str">
        <f>IF(B3138&lt;&gt;"",IF(AND(B3138='IN-TC'!$S$4,OR(TH!N3138="1111",TH!O3138="1111")),TH!D3138,""),"")</f>
        <v/>
      </c>
      <c r="B3138" s="60" t="str">
        <f t="shared" si="378"/>
        <v/>
      </c>
      <c r="C3138" s="301"/>
      <c r="D3138" s="61"/>
      <c r="E3138" s="61"/>
      <c r="F3138" s="69"/>
      <c r="G3138" s="64"/>
      <c r="H3138" s="69"/>
      <c r="I3138" s="387"/>
      <c r="J3138" s="394"/>
      <c r="K3138" s="62"/>
      <c r="L3138" s="394"/>
      <c r="M3138" s="62"/>
      <c r="N3138" s="63"/>
      <c r="O3138" s="63"/>
      <c r="P3138" s="79" t="str">
        <f>IF(AND('331-CT'!$E$7=TH!H3138,OR(N3138="331",O3138="331")),"x","")</f>
        <v/>
      </c>
      <c r="Q3138" s="79" t="str">
        <f>IF(AND(B3138='111'!$L$11,OR($N3138=$Q$7,$O3138=$Q$7)),"x","")</f>
        <v/>
      </c>
      <c r="R3138" s="79" t="str">
        <f>IF(AND($N3138=$Q$7,$B3138&lt;'111'!$L$11),"x","")</f>
        <v/>
      </c>
      <c r="S3138" s="79" t="str">
        <f>IF(AND($O3138=$Q$7,$B3138&lt;'111'!$L$11),"x","")</f>
        <v/>
      </c>
      <c r="T3138" s="79" t="str">
        <f>IF(ISERROR(FIND('112'!$M$9,G3138,1)),"",IF((AND(FIND('112'!$M$9,G3138,1)&gt;=1,B3138='112'!$K$9,OR($N3138='112'!$I$6,$O3138='112'!$I$6))),"x",""))</f>
        <v/>
      </c>
      <c r="U3138" s="79" t="str">
        <f>IF(ISERROR(FIND('112'!$M$9,G3138,1)),"",IF((AND(LEFT(G3138,2)=LEFT('112'!$M$9,2),B3138&lt;'112'!$K$9,$N3138='112'!$I$6)),"x",""))</f>
        <v/>
      </c>
      <c r="V3138" s="79" t="str">
        <f>IF(ISERROR(FIND('112'!$M$9,G3138,1)),"",IF((AND(RIGHT(G3138,2)=RIGHT('112'!$M$9,2),B3138&lt;'112'!$K$9,$O3138='112'!$I$6)),"x",""))</f>
        <v/>
      </c>
      <c r="W3138" s="79" t="str">
        <f>IF(AND('341-CT'!$H$9=H3138,OR(LEFT(N3138,3)=$W$7,LEFT(O3138,3)=$W$7)),"x","")</f>
        <v/>
      </c>
      <c r="X3138" s="79" t="str">
        <f>IF(OR(TH!N3138=TH!$X$7,O3138=TH!$X$7),"x","")</f>
        <v/>
      </c>
      <c r="Y3138" s="79" t="str">
        <f>IF(AND(OR(N3138="131",O3138="131"),H3138='131-CT'!$H$9),"x","")</f>
        <v/>
      </c>
      <c r="Z3138" s="79"/>
      <c r="AA3138" s="79" t="str">
        <f>IF(AND(MONTH(E3138)='IN-NX'!$J$5,'IN-NX'!$D$7=D3138),"x","")</f>
        <v/>
      </c>
      <c r="AB3138" s="79" t="str">
        <f>IF(AND(OR(LEFT(TH!N3138,2)="15",LEFT(TH!O3138,2)="15"),LEFT(TH!O3138,3)&lt;&gt;"111",'152-CT'!$J$8=TH!F3138),"x","")</f>
        <v/>
      </c>
      <c r="AC3138" s="79" t="str">
        <f>IF(AND(OR(LEFT(TH!N3138,2)="15",LEFT(TH!O3138,2)="15"),TK!$E$7=TH!F3138),"x","")</f>
        <v/>
      </c>
      <c r="AD3138" s="79" t="str">
        <f>IF(AND(N3138="1521",MONTH(C3138)='BK-NL'!$M$11),"x","")</f>
        <v/>
      </c>
    </row>
    <row r="3139" spans="1:30" s="1101" customFormat="1" ht="16.5" customHeight="1">
      <c r="A3139" s="318" t="str">
        <f>IF(B3139&lt;&gt;"",IF(AND(B3139='IN-TC'!$S$4,OR(TH!N3139="1111",TH!O3139="1111")),TH!D3139,""),"")</f>
        <v/>
      </c>
      <c r="B3139" s="60" t="str">
        <f t="shared" si="378"/>
        <v/>
      </c>
      <c r="C3139" s="301"/>
      <c r="D3139" s="61"/>
      <c r="E3139" s="61"/>
      <c r="F3139" s="69"/>
      <c r="G3139" s="64"/>
      <c r="H3139" s="69"/>
      <c r="I3139" s="387"/>
      <c r="J3139" s="394"/>
      <c r="K3139" s="387"/>
      <c r="L3139" s="394"/>
      <c r="M3139" s="62"/>
      <c r="N3139" s="63"/>
      <c r="O3139" s="63"/>
      <c r="P3139" s="79" t="str">
        <f>IF(AND('331-CT'!$E$7=TH!H3139,OR(N3139="331",O3139="331")),"x","")</f>
        <v/>
      </c>
      <c r="Q3139" s="79" t="str">
        <f>IF(AND(B3139='111'!$L$11,OR($N3139=$Q$7,$O3139=$Q$7)),"x","")</f>
        <v/>
      </c>
      <c r="R3139" s="79" t="str">
        <f>IF(AND($N3139=$Q$7,$B3139&lt;'111'!$L$11),"x","")</f>
        <v/>
      </c>
      <c r="S3139" s="79" t="str">
        <f>IF(AND($O3139=$Q$7,$B3139&lt;'111'!$L$11),"x","")</f>
        <v/>
      </c>
      <c r="T3139" s="79" t="str">
        <f>IF(ISERROR(FIND('112'!$M$9,G3139,1)),"",IF((AND(FIND('112'!$M$9,G3139,1)&gt;=1,B3139='112'!$K$9,OR($N3139='112'!$I$6,$O3139='112'!$I$6))),"x",""))</f>
        <v/>
      </c>
      <c r="U3139" s="79" t="str">
        <f>IF(ISERROR(FIND('112'!$M$9,G3139,1)),"",IF((AND(LEFT(G3139,2)=LEFT('112'!$M$9,2),B3139&lt;'112'!$K$9,$N3139='112'!$I$6)),"x",""))</f>
        <v/>
      </c>
      <c r="V3139" s="79" t="str">
        <f>IF(ISERROR(FIND('112'!$M$9,G3139,1)),"",IF((AND(RIGHT(G3139,2)=RIGHT('112'!$M$9,2),B3139&lt;'112'!$K$9,$O3139='112'!$I$6)),"x",""))</f>
        <v/>
      </c>
      <c r="W3139" s="79" t="str">
        <f>IF(AND('341-CT'!$H$9=H3139,OR(LEFT(N3139,3)=$W$7,LEFT(O3139,3)=$W$7)),"x","")</f>
        <v/>
      </c>
      <c r="X3139" s="79" t="str">
        <f>IF(OR(TH!N3139=TH!$X$7,O3139=TH!$X$7),"x","")</f>
        <v/>
      </c>
      <c r="Y3139" s="79" t="str">
        <f>IF(AND(OR(N3139="131",O3139="131"),H3139='131-CT'!$H$9),"x","")</f>
        <v/>
      </c>
      <c r="Z3139" s="79"/>
      <c r="AA3139" s="79" t="str">
        <f>IF(AND(MONTH(E3139)='IN-NX'!$J$5,'IN-NX'!$D$7=D3139),"x","")</f>
        <v/>
      </c>
      <c r="AB3139" s="79" t="str">
        <f>IF(AND(OR(LEFT(TH!N3139,2)="15",LEFT(TH!O3139,2)="15"),LEFT(TH!O3139,3)&lt;&gt;"111",'152-CT'!$J$8=TH!F3139),"x","")</f>
        <v/>
      </c>
      <c r="AC3139" s="79" t="str">
        <f>IF(AND(OR(LEFT(TH!N3139,2)="15",LEFT(TH!O3139,2)="15"),TK!$E$7=TH!F3139),"x","")</f>
        <v/>
      </c>
      <c r="AD3139" s="79" t="str">
        <f>IF(AND(N3139="1521",MONTH(C3139)='BK-NL'!$M$11),"x","")</f>
        <v/>
      </c>
    </row>
    <row r="3140" spans="1:30" ht="16.5" customHeight="1">
      <c r="A3140" s="318" t="str">
        <f>IF(B3140&lt;&gt;"",IF(AND(B3140='IN-TC'!$S$4,OR(TH!N3140="1111",TH!O3140="1111")),TH!D3140,""),"")</f>
        <v/>
      </c>
      <c r="B3140" s="60" t="str">
        <f t="shared" ref="B3140:B3145" si="379">IF(C3140&lt;&gt;"",MONTH(C3140),"")</f>
        <v/>
      </c>
      <c r="C3140" s="301"/>
      <c r="D3140" s="301"/>
      <c r="E3140" s="301"/>
      <c r="F3140" s="69"/>
      <c r="G3140" s="302"/>
      <c r="H3140" s="303"/>
      <c r="I3140" s="385"/>
      <c r="J3140" s="969"/>
      <c r="K3140" s="385"/>
      <c r="L3140" s="392"/>
      <c r="M3140" s="970"/>
      <c r="N3140" s="304"/>
      <c r="O3140" s="304"/>
      <c r="P3140" s="79" t="str">
        <f>IF(AND('331-CT'!$E$7=TH!H3140,OR(N3140="331",O3140="331")),"x","")</f>
        <v/>
      </c>
      <c r="Q3140" s="79" t="str">
        <f>IF(AND(B3140='111'!$L$11,OR($N3140=$Q$7,$O3140=$Q$7)),"x","")</f>
        <v/>
      </c>
      <c r="R3140" s="79" t="str">
        <f>IF(AND($N3140=$Q$7,$B3140&lt;'111'!$L$11),"x","")</f>
        <v/>
      </c>
      <c r="S3140" s="79" t="str">
        <f>IF(AND($O3140=$Q$7,$B3140&lt;'111'!$L$11),"x","")</f>
        <v/>
      </c>
      <c r="T3140" s="79" t="str">
        <f>IF(ISERROR(FIND('112'!$M$9,G3140,1)),"",IF((AND(FIND('112'!$M$9,G3140,1)&gt;=1,B3140='112'!$K$9,OR($N3140='112'!$I$6,$O3140='112'!$I$6))),"x",""))</f>
        <v/>
      </c>
      <c r="U3140" s="79" t="str">
        <f>IF(ISERROR(FIND('112'!$M$9,G3140,1)),"",IF((AND(LEFT(G3140,2)=LEFT('112'!$M$9,2),B3140&lt;'112'!$K$9,$N3140='112'!$I$6)),"x",""))</f>
        <v/>
      </c>
      <c r="V3140" s="79" t="str">
        <f>IF(ISERROR(FIND('112'!$M$9,G3140,1)),"",IF((AND(RIGHT(G3140,2)=RIGHT('112'!$M$9,2),B3140&lt;'112'!$K$9,$O3140='112'!$I$6)),"x",""))</f>
        <v/>
      </c>
      <c r="W3140" s="79" t="str">
        <f>IF(AND('341-CT'!$H$9=H3140,OR(LEFT(N3140,3)=$W$7,LEFT(O3140,3)=$W$7)),"x","")</f>
        <v/>
      </c>
      <c r="X3140" s="79" t="str">
        <f>IF(OR(TH!N3140=TH!$X$7,O3140=TH!$X$7),"x","")</f>
        <v/>
      </c>
      <c r="Y3140" s="79" t="str">
        <f>IF(AND(OR(N3140="131",O3140="131"),H3140='131-CT'!$H$9),"x","")</f>
        <v/>
      </c>
      <c r="Z3140" s="79"/>
      <c r="AA3140" s="79" t="str">
        <f>IF(AND(MONTH(E3140)='IN-NX'!$J$5,'IN-NX'!$D$7=D3140),"x","")</f>
        <v/>
      </c>
      <c r="AB3140" s="79" t="str">
        <f>IF(AND(OR(LEFT(TH!N3140,2)="15",LEFT(TH!O3140,2)="15"),LEFT(TH!O3140,3)&lt;&gt;"111",'152-CT'!$J$8=TH!F3140),"x","")</f>
        <v/>
      </c>
      <c r="AC3140" s="79" t="str">
        <f>IF(AND(OR(LEFT(TH!N3140,2)="15",LEFT(TH!O3140,2)="15"),TK!$E$7=TH!F3140),"x","")</f>
        <v/>
      </c>
      <c r="AD3140" s="79" t="str">
        <f>IF(AND(N3140="1521",MONTH(C3140)='BK-NL'!$M$11),"x","")</f>
        <v/>
      </c>
    </row>
    <row r="3141" spans="1:30" ht="16.5" customHeight="1">
      <c r="A3141" s="318" t="str">
        <f>IF(B3141&lt;&gt;"",IF(AND(B3141='IN-TC'!$S$4,OR(TH!N3141="1111",TH!O3141="1111")),TH!D3141,""),"")</f>
        <v/>
      </c>
      <c r="B3141" s="60" t="str">
        <f t="shared" si="379"/>
        <v/>
      </c>
      <c r="C3141" s="301"/>
      <c r="D3141" s="301"/>
      <c r="E3141" s="301"/>
      <c r="F3141" s="69"/>
      <c r="G3141" s="302"/>
      <c r="H3141" s="303"/>
      <c r="I3141" s="385"/>
      <c r="J3141" s="969"/>
      <c r="K3141" s="385"/>
      <c r="L3141" s="392"/>
      <c r="M3141" s="970"/>
      <c r="N3141" s="304"/>
      <c r="O3141" s="304"/>
      <c r="P3141" s="79" t="str">
        <f>IF(AND('331-CT'!$E$7=TH!H3141,OR(N3141="331",O3141="331")),"x","")</f>
        <v/>
      </c>
      <c r="Q3141" s="79" t="str">
        <f>IF(AND(B3141='111'!$L$11,OR($N3141=$Q$7,$O3141=$Q$7)),"x","")</f>
        <v/>
      </c>
      <c r="R3141" s="79" t="str">
        <f>IF(AND($N3141=$Q$7,$B3141&lt;'111'!$L$11),"x","")</f>
        <v/>
      </c>
      <c r="S3141" s="79" t="str">
        <f>IF(AND($O3141=$Q$7,$B3141&lt;'111'!$L$11),"x","")</f>
        <v/>
      </c>
      <c r="T3141" s="79" t="str">
        <f>IF(ISERROR(FIND('112'!$M$9,G3141,1)),"",IF((AND(FIND('112'!$M$9,G3141,1)&gt;=1,B3141='112'!$K$9,OR($N3141='112'!$I$6,$O3141='112'!$I$6))),"x",""))</f>
        <v/>
      </c>
      <c r="U3141" s="79" t="str">
        <f>IF(ISERROR(FIND('112'!$M$9,G3141,1)),"",IF((AND(LEFT(G3141,2)=LEFT('112'!$M$9,2),B3141&lt;'112'!$K$9,$N3141='112'!$I$6)),"x",""))</f>
        <v/>
      </c>
      <c r="V3141" s="79" t="str">
        <f>IF(ISERROR(FIND('112'!$M$9,G3141,1)),"",IF((AND(RIGHT(G3141,2)=RIGHT('112'!$M$9,2),B3141&lt;'112'!$K$9,$O3141='112'!$I$6)),"x",""))</f>
        <v/>
      </c>
      <c r="W3141" s="79" t="str">
        <f>IF(AND('341-CT'!$H$9=H3141,OR(LEFT(N3141,3)=$W$7,LEFT(O3141,3)=$W$7)),"x","")</f>
        <v/>
      </c>
      <c r="X3141" s="79" t="str">
        <f>IF(OR(TH!N3141=TH!$X$7,O3141=TH!$X$7),"x","")</f>
        <v/>
      </c>
      <c r="Y3141" s="79" t="str">
        <f>IF(AND(OR(N3141="131",O3141="131"),H3141='131-CT'!$H$9),"x","")</f>
        <v/>
      </c>
      <c r="Z3141" s="79"/>
      <c r="AA3141" s="79" t="str">
        <f>IF(AND(MONTH(E3141)='IN-NX'!$J$5,'IN-NX'!$D$7=D3141),"x","")</f>
        <v/>
      </c>
      <c r="AB3141" s="79" t="str">
        <f>IF(AND(OR(LEFT(TH!N3141,2)="15",LEFT(TH!O3141,2)="15"),LEFT(TH!O3141,3)&lt;&gt;"111",'152-CT'!$J$8=TH!F3141),"x","")</f>
        <v/>
      </c>
      <c r="AC3141" s="79" t="str">
        <f>IF(AND(OR(LEFT(TH!N3141,2)="15",LEFT(TH!O3141,2)="15"),TK!$E$7=TH!F3141),"x","")</f>
        <v/>
      </c>
      <c r="AD3141" s="79" t="str">
        <f>IF(AND(N3141="1521",MONTH(C3141)='BK-NL'!$M$11),"x","")</f>
        <v/>
      </c>
    </row>
    <row r="3142" spans="1:30" ht="16.5" customHeight="1">
      <c r="A3142" s="318" t="str">
        <f>IF(B3142&lt;&gt;"",IF(AND(B3142='IN-TC'!$S$4,OR(TH!N3142="1111",TH!O3142="1111")),TH!D3142,""),"")</f>
        <v/>
      </c>
      <c r="B3142" s="60" t="str">
        <f t="shared" si="379"/>
        <v/>
      </c>
      <c r="C3142" s="301"/>
      <c r="D3142" s="301"/>
      <c r="E3142" s="301"/>
      <c r="F3142" s="69"/>
      <c r="G3142" s="988"/>
      <c r="H3142" s="303"/>
      <c r="I3142" s="385"/>
      <c r="J3142" s="969"/>
      <c r="K3142" s="385"/>
      <c r="L3142" s="392"/>
      <c r="M3142" s="970"/>
      <c r="N3142" s="304"/>
      <c r="O3142" s="304"/>
      <c r="P3142" s="79" t="str">
        <f>IF(AND('331-CT'!$E$7=TH!H3142,OR(N3142="331",O3142="331")),"x","")</f>
        <v/>
      </c>
      <c r="Q3142" s="79" t="str">
        <f>IF(AND(B3142='111'!$L$11,OR($N3142=$Q$7,$O3142=$Q$7)),"x","")</f>
        <v/>
      </c>
      <c r="R3142" s="79" t="str">
        <f>IF(AND($N3142=$Q$7,$B3142&lt;'111'!$L$11),"x","")</f>
        <v/>
      </c>
      <c r="S3142" s="79" t="str">
        <f>IF(AND($O3142=$Q$7,$B3142&lt;'111'!$L$11),"x","")</f>
        <v/>
      </c>
      <c r="T3142" s="79" t="str">
        <f>IF(ISERROR(FIND('112'!$M$9,G3142,1)),"",IF((AND(FIND('112'!$M$9,G3142,1)&gt;=1,B3142='112'!$K$9,OR($N3142='112'!$I$6,$O3142='112'!$I$6))),"x",""))</f>
        <v/>
      </c>
      <c r="U3142" s="79" t="str">
        <f>IF(ISERROR(FIND('112'!$M$9,G3142,1)),"",IF((AND(LEFT(G3142,2)=LEFT('112'!$M$9,2),B3142&lt;'112'!$K$9,$N3142='112'!$I$6)),"x",""))</f>
        <v/>
      </c>
      <c r="V3142" s="79" t="str">
        <f>IF(ISERROR(FIND('112'!$M$9,G3142,1)),"",IF((AND(RIGHT(G3142,2)=RIGHT('112'!$M$9,2),B3142&lt;'112'!$K$9,$O3142='112'!$I$6)),"x",""))</f>
        <v/>
      </c>
      <c r="W3142" s="79" t="str">
        <f>IF(AND('341-CT'!$H$9=H3142,OR(LEFT(N3142,3)=$W$7,LEFT(O3142,3)=$W$7)),"x","")</f>
        <v/>
      </c>
      <c r="X3142" s="79" t="str">
        <f>IF(OR(TH!N3142=TH!$X$7,O3142=TH!$X$7),"x","")</f>
        <v/>
      </c>
      <c r="Y3142" s="79" t="str">
        <f>IF(AND(OR(N3142="131",O3142="131"),H3142='131-CT'!$H$9),"x","")</f>
        <v/>
      </c>
      <c r="Z3142" s="79"/>
      <c r="AA3142" s="79" t="str">
        <f>IF(AND(MONTH(E3142)='IN-NX'!$J$5,'IN-NX'!$D$7=D3142),"x","")</f>
        <v/>
      </c>
      <c r="AB3142" s="79" t="str">
        <f>IF(AND(OR(LEFT(TH!N3142,2)="15",LEFT(TH!O3142,2)="15"),LEFT(TH!O3142,3)&lt;&gt;"111",'152-CT'!$J$8=TH!F3142),"x","")</f>
        <v/>
      </c>
      <c r="AC3142" s="79" t="str">
        <f>IF(AND(OR(LEFT(TH!N3142,2)="15",LEFT(TH!O3142,2)="15"),TK!$E$7=TH!F3142),"x","")</f>
        <v/>
      </c>
      <c r="AD3142" s="79" t="str">
        <f>IF(AND(N3142="1521",MONTH(C3142)='BK-NL'!$M$11),"x","")</f>
        <v/>
      </c>
    </row>
    <row r="3143" spans="1:30" ht="16.5" customHeight="1">
      <c r="A3143" s="318" t="str">
        <f>IF(B3143&lt;&gt;"",IF(AND(B3143='IN-TC'!$S$4,OR(TH!N3143="1111",TH!O3143="1111")),TH!D3143,""),"")</f>
        <v/>
      </c>
      <c r="B3143" s="60" t="str">
        <f t="shared" si="379"/>
        <v/>
      </c>
      <c r="C3143" s="301"/>
      <c r="D3143" s="301"/>
      <c r="E3143" s="301"/>
      <c r="F3143" s="69"/>
      <c r="G3143" s="302"/>
      <c r="H3143" s="303"/>
      <c r="I3143" s="385"/>
      <c r="J3143" s="969"/>
      <c r="K3143" s="385"/>
      <c r="L3143" s="392"/>
      <c r="M3143" s="970"/>
      <c r="N3143" s="304"/>
      <c r="O3143" s="304"/>
      <c r="P3143" s="79" t="str">
        <f>IF(AND('331-CT'!$E$7=TH!H3143,OR(N3143="331",O3143="331")),"x","")</f>
        <v/>
      </c>
      <c r="Q3143" s="79" t="str">
        <f>IF(AND(B3143='111'!$L$11,OR($N3143=$Q$7,$O3143=$Q$7)),"x","")</f>
        <v/>
      </c>
      <c r="R3143" s="79" t="str">
        <f>IF(AND($N3143=$Q$7,$B3143&lt;'111'!$L$11),"x","")</f>
        <v/>
      </c>
      <c r="S3143" s="79" t="str">
        <f>IF(AND($O3143=$Q$7,$B3143&lt;'111'!$L$11),"x","")</f>
        <v/>
      </c>
      <c r="T3143" s="79" t="str">
        <f>IF(ISERROR(FIND('112'!$M$9,G3143,1)),"",IF((AND(FIND('112'!$M$9,G3143,1)&gt;=1,B3143='112'!$K$9,OR($N3143='112'!$I$6,$O3143='112'!$I$6))),"x",""))</f>
        <v/>
      </c>
      <c r="U3143" s="79" t="str">
        <f>IF(ISERROR(FIND('112'!$M$9,G3143,1)),"",IF((AND(LEFT(G3143,2)=LEFT('112'!$M$9,2),B3143&lt;'112'!$K$9,$N3143='112'!$I$6)),"x",""))</f>
        <v/>
      </c>
      <c r="V3143" s="79" t="str">
        <f>IF(ISERROR(FIND('112'!$M$9,G3143,1)),"",IF((AND(RIGHT(G3143,2)=RIGHT('112'!$M$9,2),B3143&lt;'112'!$K$9,$O3143='112'!$I$6)),"x",""))</f>
        <v/>
      </c>
      <c r="W3143" s="79" t="str">
        <f>IF(AND('341-CT'!$H$9=H3143,OR(LEFT(N3143,3)=$W$7,LEFT(O3143,3)=$W$7)),"x","")</f>
        <v/>
      </c>
      <c r="X3143" s="79" t="str">
        <f>IF(OR(TH!N3143=TH!$X$7,O3143=TH!$X$7),"x","")</f>
        <v/>
      </c>
      <c r="Y3143" s="79" t="str">
        <f>IF(AND(OR(N3143="131",O3143="131"),H3143='131-CT'!$H$9),"x","")</f>
        <v/>
      </c>
      <c r="Z3143" s="79"/>
      <c r="AA3143" s="79" t="str">
        <f>IF(AND(MONTH(E3143)='IN-NX'!$J$5,'IN-NX'!$D$7=D3143),"x","")</f>
        <v/>
      </c>
      <c r="AB3143" s="79" t="str">
        <f>IF(AND(OR(LEFT(TH!N3143,2)="15",LEFT(TH!O3143,2)="15"),LEFT(TH!O3143,3)&lt;&gt;"111",'152-CT'!$J$8=TH!F3143),"x","")</f>
        <v/>
      </c>
      <c r="AC3143" s="79" t="str">
        <f>IF(AND(OR(LEFT(TH!N3143,2)="15",LEFT(TH!O3143,2)="15"),TK!$E$7=TH!F3143),"x","")</f>
        <v/>
      </c>
      <c r="AD3143" s="79" t="str">
        <f>IF(AND(N3143="1521",MONTH(C3143)='BK-NL'!$M$11),"x","")</f>
        <v/>
      </c>
    </row>
    <row r="3144" spans="1:30" s="1306" customFormat="1" ht="16.5" customHeight="1">
      <c r="A3144" s="1305" t="str">
        <f>IF(B3144&lt;&gt;"",IF(AND(B3144='IN-TC'!$S$4,OR(TH!N3144="1111",TH!O3144="1111")),TH!D3144,""),"")</f>
        <v/>
      </c>
      <c r="B3144" s="60" t="str">
        <f t="shared" si="379"/>
        <v/>
      </c>
      <c r="C3144" s="301"/>
      <c r="D3144" s="301"/>
      <c r="E3144" s="301"/>
      <c r="F3144" s="69"/>
      <c r="G3144" s="302"/>
      <c r="H3144" s="303"/>
      <c r="I3144" s="385"/>
      <c r="J3144" s="969"/>
      <c r="K3144" s="385"/>
      <c r="L3144" s="392"/>
      <c r="M3144" s="970"/>
      <c r="N3144" s="304"/>
      <c r="O3144" s="304"/>
      <c r="P3144" s="79" t="str">
        <f>IF(AND('331-CT'!$E$7=TH!H3144,OR(N3144="331",O3144="331")),"x","")</f>
        <v/>
      </c>
      <c r="Q3144" s="79" t="str">
        <f>IF(AND(B3144='111'!$L$11,OR($N3144=$Q$7,$O3144=$Q$7)),"x","")</f>
        <v/>
      </c>
      <c r="R3144" s="79" t="str">
        <f>IF(AND($N3144=$Q$7,$B3144&lt;'111'!$L$11),"x","")</f>
        <v/>
      </c>
      <c r="S3144" s="79" t="str">
        <f>IF(AND($O3144=$Q$7,$B3144&lt;'111'!$L$11),"x","")</f>
        <v/>
      </c>
      <c r="T3144" s="79" t="str">
        <f>IF(ISERROR(FIND('112'!$M$9,G3144,1)),"",IF((AND(FIND('112'!$M$9,G3144,1)&gt;=1,B3144='112'!$K$9,OR($N3144='112'!$I$6,$O3144='112'!$I$6))),"x",""))</f>
        <v/>
      </c>
      <c r="U3144" s="79" t="str">
        <f>IF(ISERROR(FIND('112'!$M$9,G3144,1)),"",IF((AND(LEFT(G3144,2)=LEFT('112'!$M$9,2),B3144&lt;'112'!$K$9,$N3144='112'!$I$6)),"x",""))</f>
        <v/>
      </c>
      <c r="V3144" s="79" t="str">
        <f>IF(ISERROR(FIND('112'!$M$9,G3144,1)),"",IF((AND(RIGHT(G3144,2)=RIGHT('112'!$M$9,2),B3144&lt;'112'!$K$9,$O3144='112'!$I$6)),"x",""))</f>
        <v/>
      </c>
      <c r="W3144" s="79" t="str">
        <f>IF(AND('341-CT'!$H$9=H3144,OR(LEFT(N3144,3)=$W$7,LEFT(O3144,3)=$W$7)),"x","")</f>
        <v/>
      </c>
      <c r="X3144" s="79" t="str">
        <f>IF(OR(TH!N3144=TH!$X$7,O3144=TH!$X$7),"x","")</f>
        <v/>
      </c>
      <c r="Y3144" s="79" t="str">
        <f>IF(AND(OR(N3144="131",O3144="131"),H3144='131-CT'!$H$9),"x","")</f>
        <v/>
      </c>
      <c r="Z3144" s="79"/>
      <c r="AA3144" s="79" t="str">
        <f>IF(AND(MONTH(E3144)='IN-NX'!$J$5,'IN-NX'!$D$7=D3144),"x","")</f>
        <v/>
      </c>
      <c r="AB3144" s="79" t="str">
        <f>IF(AND(OR(LEFT(TH!N3144,2)="15",LEFT(TH!O3144,2)="15"),LEFT(TH!O3144,3)&lt;&gt;"111",'152-CT'!$J$8=TH!F3144),"x","")</f>
        <v/>
      </c>
      <c r="AC3144" s="79" t="str">
        <f>IF(AND(OR(LEFT(TH!N3144,2)="15",LEFT(TH!O3144,2)="15"),TK!$E$7=TH!F3144),"x","")</f>
        <v/>
      </c>
      <c r="AD3144" s="79" t="str">
        <f>IF(AND(N3144="1521",MONTH(C3144)='BK-NL'!$M$11),"x","")</f>
        <v/>
      </c>
    </row>
    <row r="3145" spans="1:30" s="1306" customFormat="1" ht="16.5" customHeight="1">
      <c r="A3145" s="1305" t="str">
        <f>IF(B3145&lt;&gt;"",IF(AND(B3145='IN-TC'!$S$4,OR(TH!N3145="1111",TH!O3145="1111")),TH!D3145,""),"")</f>
        <v/>
      </c>
      <c r="B3145" s="60" t="str">
        <f t="shared" si="379"/>
        <v/>
      </c>
      <c r="C3145" s="301"/>
      <c r="D3145" s="301"/>
      <c r="E3145" s="301"/>
      <c r="F3145" s="69"/>
      <c r="G3145" s="302"/>
      <c r="H3145" s="303"/>
      <c r="I3145" s="385"/>
      <c r="J3145" s="969"/>
      <c r="K3145" s="385"/>
      <c r="L3145" s="392"/>
      <c r="M3145" s="970"/>
      <c r="N3145" s="304"/>
      <c r="O3145" s="304"/>
      <c r="P3145" s="79" t="str">
        <f>IF(AND('331-CT'!$E$7=TH!H3145,OR(N3145="331",O3145="331")),"x","")</f>
        <v/>
      </c>
      <c r="Q3145" s="79" t="str">
        <f>IF(AND(B3145='111'!$L$11,OR($N3145=$Q$7,$O3145=$Q$7)),"x","")</f>
        <v/>
      </c>
      <c r="R3145" s="79" t="str">
        <f>IF(AND($N3145=$Q$7,$B3145&lt;'111'!$L$11),"x","")</f>
        <v/>
      </c>
      <c r="S3145" s="79" t="str">
        <f>IF(AND($O3145=$Q$7,$B3145&lt;'111'!$L$11),"x","")</f>
        <v/>
      </c>
      <c r="T3145" s="79" t="str">
        <f>IF(ISERROR(FIND('112'!$M$9,G3145,1)),"",IF((AND(FIND('112'!$M$9,G3145,1)&gt;=1,B3145='112'!$K$9,OR($N3145='112'!$I$6,$O3145='112'!$I$6))),"x",""))</f>
        <v/>
      </c>
      <c r="U3145" s="79" t="str">
        <f>IF(ISERROR(FIND('112'!$M$9,G3145,1)),"",IF((AND(LEFT(G3145,2)=LEFT('112'!$M$9,2),B3145&lt;'112'!$K$9,$N3145='112'!$I$6)),"x",""))</f>
        <v/>
      </c>
      <c r="V3145" s="79" t="str">
        <f>IF(ISERROR(FIND('112'!$M$9,G3145,1)),"",IF((AND(RIGHT(G3145,2)=RIGHT('112'!$M$9,2),B3145&lt;'112'!$K$9,$O3145='112'!$I$6)),"x",""))</f>
        <v/>
      </c>
      <c r="W3145" s="79" t="str">
        <f>IF(AND('341-CT'!$H$9=H3145,OR(LEFT(N3145,3)=$W$7,LEFT(O3145,3)=$W$7)),"x","")</f>
        <v/>
      </c>
      <c r="X3145" s="79" t="str">
        <f>IF(OR(TH!N3145=TH!$X$7,O3145=TH!$X$7),"x","")</f>
        <v/>
      </c>
      <c r="Y3145" s="79" t="str">
        <f>IF(AND(OR(N3145="131",O3145="131"),H3145='131-CT'!$H$9),"x","")</f>
        <v/>
      </c>
      <c r="Z3145" s="79"/>
      <c r="AA3145" s="79" t="str">
        <f>IF(AND(MONTH(E3145)='IN-NX'!$J$5,'IN-NX'!$D$7=D3145),"x","")</f>
        <v/>
      </c>
      <c r="AB3145" s="79" t="str">
        <f>IF(AND(OR(LEFT(TH!N3145,2)="15",LEFT(TH!O3145,2)="15"),LEFT(TH!O3145,3)&lt;&gt;"111",'152-CT'!$J$8=TH!F3145),"x","")</f>
        <v/>
      </c>
      <c r="AC3145" s="79" t="str">
        <f>IF(AND(OR(LEFT(TH!N3145,2)="15",LEFT(TH!O3145,2)="15"),TK!$E$7=TH!F3145),"x","")</f>
        <v/>
      </c>
      <c r="AD3145" s="79" t="str">
        <f>IF(AND(N3145="1521",MONTH(C3145)='BK-NL'!$M$11),"x","")</f>
        <v/>
      </c>
    </row>
    <row r="3146" spans="1:30" ht="16.5" customHeight="1">
      <c r="A3146" s="318" t="str">
        <f>IF(B3146&lt;&gt;"",IF(AND(B3146='IN-TC'!$S$4,OR(TH!N3146="1111",TH!O3146="1111")),TH!D3146,""),"")</f>
        <v/>
      </c>
      <c r="B3146" s="60" t="str">
        <f t="shared" ref="B3146:B3214" si="380">IF(C3146&lt;&gt;"",MONTH(C3146),"")</f>
        <v/>
      </c>
      <c r="C3146" s="301"/>
      <c r="D3146" s="301"/>
      <c r="E3146" s="301"/>
      <c r="F3146" s="69"/>
      <c r="G3146" s="302"/>
      <c r="H3146" s="303"/>
      <c r="I3146" s="385"/>
      <c r="J3146" s="969"/>
      <c r="K3146" s="385"/>
      <c r="L3146" s="392"/>
      <c r="M3146" s="970"/>
      <c r="N3146" s="304"/>
      <c r="O3146" s="304"/>
      <c r="P3146" s="79" t="str">
        <f>IF(AND('331-CT'!$E$7=TH!H3146,OR(N3146="331",O3146="331")),"x","")</f>
        <v/>
      </c>
      <c r="Q3146" s="79" t="str">
        <f>IF(AND(B3146='111'!$L$11,OR($N3146=$Q$7,$O3146=$Q$7)),"x","")</f>
        <v/>
      </c>
      <c r="R3146" s="79" t="str">
        <f>IF(AND($N3146=$Q$7,$B3146&lt;'111'!$L$11),"x","")</f>
        <v/>
      </c>
      <c r="S3146" s="79" t="str">
        <f>IF(AND($O3146=$Q$7,$B3146&lt;'111'!$L$11),"x","")</f>
        <v/>
      </c>
      <c r="T3146" s="79" t="str">
        <f>IF(ISERROR(FIND('112'!$M$9,G3146,1)),"",IF((AND(FIND('112'!$M$9,G3146,1)&gt;=1,B3146='112'!$K$9,OR($N3146='112'!$I$6,$O3146='112'!$I$6))),"x",""))</f>
        <v/>
      </c>
      <c r="U3146" s="79" t="str">
        <f>IF(ISERROR(FIND('112'!$M$9,G3146,1)),"",IF((AND(LEFT(G3146,2)=LEFT('112'!$M$9,2),B3146&lt;'112'!$K$9,$N3146='112'!$I$6)),"x",""))</f>
        <v/>
      </c>
      <c r="V3146" s="79" t="str">
        <f>IF(ISERROR(FIND('112'!$M$9,G3146,1)),"",IF((AND(RIGHT(G3146,2)=RIGHT('112'!$M$9,2),B3146&lt;'112'!$K$9,$O3146='112'!$I$6)),"x",""))</f>
        <v/>
      </c>
      <c r="W3146" s="79" t="str">
        <f>IF(AND('341-CT'!$H$9=H3146,OR(LEFT(N3146,3)=$W$7,LEFT(O3146,3)=$W$7)),"x","")</f>
        <v/>
      </c>
      <c r="X3146" s="79" t="str">
        <f>IF(OR(TH!N3146=TH!$X$7,O3146=TH!$X$7),"x","")</f>
        <v/>
      </c>
      <c r="Y3146" s="79" t="str">
        <f>IF(AND(OR(N3146="131",O3146="131"),H3146='131-CT'!$H$9),"x","")</f>
        <v/>
      </c>
      <c r="Z3146" s="79"/>
      <c r="AA3146" s="79" t="str">
        <f>IF(AND(MONTH(E3146)='IN-NX'!$J$5,'IN-NX'!$D$7=D3146),"x","")</f>
        <v/>
      </c>
      <c r="AB3146" s="79" t="str">
        <f>IF(AND(OR(LEFT(TH!N3146,2)="15",LEFT(TH!O3146,2)="15"),LEFT(TH!O3146,3)&lt;&gt;"111",'152-CT'!$J$8=TH!F3146),"x","")</f>
        <v/>
      </c>
      <c r="AC3146" s="79" t="str">
        <f>IF(AND(OR(LEFT(TH!N3146,2)="15",LEFT(TH!O3146,2)="15"),TK!$E$7=TH!F3146),"x","")</f>
        <v/>
      </c>
      <c r="AD3146" s="79" t="str">
        <f>IF(AND(N3146="1521",MONTH(C3146)='BK-NL'!$M$11),"x","")</f>
        <v/>
      </c>
    </row>
    <row r="3147" spans="1:30" ht="16.5" customHeight="1">
      <c r="A3147" s="318" t="str">
        <f>IF(B3147&lt;&gt;"",IF(AND(B3147='IN-TC'!$S$4,OR(TH!N3147="1111",TH!O3147="1111")),TH!D3147,""),"")</f>
        <v/>
      </c>
      <c r="B3147" s="60" t="str">
        <f t="shared" si="380"/>
        <v/>
      </c>
      <c r="C3147" s="301"/>
      <c r="D3147" s="301"/>
      <c r="E3147" s="301"/>
      <c r="F3147" s="69"/>
      <c r="G3147" s="988"/>
      <c r="H3147" s="303"/>
      <c r="I3147" s="385"/>
      <c r="J3147" s="969"/>
      <c r="K3147" s="385"/>
      <c r="L3147" s="392"/>
      <c r="M3147" s="970"/>
      <c r="N3147" s="304"/>
      <c r="O3147" s="304"/>
      <c r="P3147" s="79" t="str">
        <f>IF(AND('331-CT'!$E$7=TH!H3147,OR(N3147="331",O3147="331")),"x","")</f>
        <v/>
      </c>
      <c r="Q3147" s="79" t="str">
        <f>IF(AND(B3147='111'!$L$11,OR($N3147=$Q$7,$O3147=$Q$7)),"x","")</f>
        <v/>
      </c>
      <c r="R3147" s="79" t="str">
        <f>IF(AND($N3147=$Q$7,$B3147&lt;'111'!$L$11),"x","")</f>
        <v/>
      </c>
      <c r="S3147" s="79" t="str">
        <f>IF(AND($O3147=$Q$7,$B3147&lt;'111'!$L$11),"x","")</f>
        <v/>
      </c>
      <c r="T3147" s="79" t="str">
        <f>IF(ISERROR(FIND('112'!$M$9,G3147,1)),"",IF((AND(FIND('112'!$M$9,G3147,1)&gt;=1,B3147='112'!$K$9,OR($N3147='112'!$I$6,$O3147='112'!$I$6))),"x",""))</f>
        <v/>
      </c>
      <c r="U3147" s="79" t="str">
        <f>IF(ISERROR(FIND('112'!$M$9,G3147,1)),"",IF((AND(LEFT(G3147,2)=LEFT('112'!$M$9,2),B3147&lt;'112'!$K$9,$N3147='112'!$I$6)),"x",""))</f>
        <v/>
      </c>
      <c r="V3147" s="79" t="str">
        <f>IF(ISERROR(FIND('112'!$M$9,G3147,1)),"",IF((AND(RIGHT(G3147,2)=RIGHT('112'!$M$9,2),B3147&lt;'112'!$K$9,$O3147='112'!$I$6)),"x",""))</f>
        <v/>
      </c>
      <c r="W3147" s="79" t="str">
        <f>IF(AND('341-CT'!$H$9=H3147,OR(LEFT(N3147,3)=$W$7,LEFT(O3147,3)=$W$7)),"x","")</f>
        <v/>
      </c>
      <c r="X3147" s="79" t="str">
        <f>IF(OR(TH!N3147=TH!$X$7,O3147=TH!$X$7),"x","")</f>
        <v/>
      </c>
      <c r="Y3147" s="79" t="str">
        <f>IF(AND(OR(N3147="131",O3147="131"),H3147='131-CT'!$H$9),"x","")</f>
        <v/>
      </c>
      <c r="Z3147" s="79"/>
      <c r="AA3147" s="79" t="str">
        <f>IF(AND(MONTH(E3147)='IN-NX'!$J$5,'IN-NX'!$D$7=D3147),"x","")</f>
        <v/>
      </c>
      <c r="AB3147" s="79" t="str">
        <f>IF(AND(OR(LEFT(TH!N3147,2)="15",LEFT(TH!O3147,2)="15"),LEFT(TH!O3147,3)&lt;&gt;"111",'152-CT'!$J$8=TH!F3147),"x","")</f>
        <v/>
      </c>
      <c r="AC3147" s="79" t="str">
        <f>IF(AND(OR(LEFT(TH!N3147,2)="15",LEFT(TH!O3147,2)="15"),TK!$E$7=TH!F3147),"x","")</f>
        <v/>
      </c>
      <c r="AD3147" s="79" t="str">
        <f>IF(AND(N3147="1521",MONTH(C3147)='BK-NL'!$M$11),"x","")</f>
        <v/>
      </c>
    </row>
    <row r="3148" spans="1:30" ht="16.5" customHeight="1">
      <c r="A3148" s="318" t="str">
        <f>IF(B3148&lt;&gt;"",IF(AND(B3148='IN-TC'!$S$4,OR(TH!N3148="1111",TH!O3148="1111")),TH!D3148,""),"")</f>
        <v/>
      </c>
      <c r="B3148" s="60" t="str">
        <f t="shared" si="380"/>
        <v/>
      </c>
      <c r="C3148" s="301"/>
      <c r="D3148" s="301"/>
      <c r="E3148" s="301"/>
      <c r="F3148" s="69"/>
      <c r="G3148" s="988"/>
      <c r="H3148" s="303"/>
      <c r="I3148" s="385"/>
      <c r="J3148" s="969"/>
      <c r="K3148" s="385"/>
      <c r="L3148" s="392"/>
      <c r="M3148" s="970"/>
      <c r="N3148" s="304"/>
      <c r="O3148" s="304"/>
      <c r="P3148" s="79" t="str">
        <f>IF(AND('331-CT'!$E$7=TH!H3148,OR(N3148="331",O3148="331")),"x","")</f>
        <v/>
      </c>
      <c r="Q3148" s="79" t="str">
        <f>IF(AND(B3148='111'!$L$11,OR($N3148=$Q$7,$O3148=$Q$7)),"x","")</f>
        <v/>
      </c>
      <c r="R3148" s="79" t="str">
        <f>IF(AND($N3148=$Q$7,$B3148&lt;'111'!$L$11),"x","")</f>
        <v/>
      </c>
      <c r="S3148" s="79" t="str">
        <f>IF(AND($O3148=$Q$7,$B3148&lt;'111'!$L$11),"x","")</f>
        <v/>
      </c>
      <c r="T3148" s="79" t="str">
        <f>IF(ISERROR(FIND('112'!$M$9,G3148,1)),"",IF((AND(FIND('112'!$M$9,G3148,1)&gt;=1,B3148='112'!$K$9,OR($N3148='112'!$I$6,$O3148='112'!$I$6))),"x",""))</f>
        <v/>
      </c>
      <c r="U3148" s="79" t="str">
        <f>IF(ISERROR(FIND('112'!$M$9,G3148,1)),"",IF((AND(LEFT(G3148,2)=LEFT('112'!$M$9,2),B3148&lt;'112'!$K$9,$N3148='112'!$I$6)),"x",""))</f>
        <v/>
      </c>
      <c r="V3148" s="79" t="str">
        <f>IF(ISERROR(FIND('112'!$M$9,G3148,1)),"",IF((AND(RIGHT(G3148,2)=RIGHT('112'!$M$9,2),B3148&lt;'112'!$K$9,$O3148='112'!$I$6)),"x",""))</f>
        <v/>
      </c>
      <c r="W3148" s="79" t="str">
        <f>IF(AND('341-CT'!$H$9=H3148,OR(LEFT(N3148,3)=$W$7,LEFT(O3148,3)=$W$7)),"x","")</f>
        <v/>
      </c>
      <c r="X3148" s="79" t="str">
        <f>IF(OR(TH!N3148=TH!$X$7,O3148=TH!$X$7),"x","")</f>
        <v/>
      </c>
      <c r="Y3148" s="79" t="str">
        <f>IF(AND(OR(N3148="131",O3148="131"),H3148='131-CT'!$H$9),"x","")</f>
        <v/>
      </c>
      <c r="Z3148" s="79"/>
      <c r="AA3148" s="79" t="str">
        <f>IF(AND(MONTH(E3148)='IN-NX'!$J$5,'IN-NX'!$D$7=D3148),"x","")</f>
        <v/>
      </c>
      <c r="AB3148" s="79" t="str">
        <f>IF(AND(OR(LEFT(TH!N3148,2)="15",LEFT(TH!O3148,2)="15"),LEFT(TH!O3148,3)&lt;&gt;"111",'152-CT'!$J$8=TH!F3148),"x","")</f>
        <v/>
      </c>
      <c r="AC3148" s="79" t="str">
        <f>IF(AND(OR(LEFT(TH!N3148,2)="15",LEFT(TH!O3148,2)="15"),TK!$E$7=TH!F3148),"x","")</f>
        <v/>
      </c>
      <c r="AD3148" s="79" t="str">
        <f>IF(AND(N3148="1521",MONTH(C3148)='BK-NL'!$M$11),"x","")</f>
        <v/>
      </c>
    </row>
    <row r="3149" spans="1:30" ht="16.5" customHeight="1">
      <c r="A3149" s="318" t="str">
        <f>IF(B3149&lt;&gt;"",IF(AND(B3149='IN-TC'!$S$4,OR(TH!N3149="1111",TH!O3149="1111")),TH!D3149,""),"")</f>
        <v/>
      </c>
      <c r="B3149" s="60" t="str">
        <f t="shared" si="380"/>
        <v/>
      </c>
      <c r="C3149" s="301"/>
      <c r="D3149" s="301"/>
      <c r="E3149" s="301"/>
      <c r="F3149" s="69"/>
      <c r="G3149" s="988"/>
      <c r="H3149" s="303"/>
      <c r="I3149" s="385"/>
      <c r="J3149" s="969"/>
      <c r="K3149" s="385"/>
      <c r="L3149" s="392"/>
      <c r="M3149" s="970"/>
      <c r="N3149" s="304"/>
      <c r="O3149" s="304"/>
      <c r="P3149" s="79" t="str">
        <f>IF(AND('331-CT'!$E$7=TH!H3149,OR(N3149="331",O3149="331")),"x","")</f>
        <v/>
      </c>
      <c r="Q3149" s="79" t="str">
        <f>IF(AND(B3149='111'!$L$11,OR($N3149=$Q$7,$O3149=$Q$7)),"x","")</f>
        <v/>
      </c>
      <c r="R3149" s="79" t="str">
        <f>IF(AND($N3149=$Q$7,$B3149&lt;'111'!$L$11),"x","")</f>
        <v/>
      </c>
      <c r="S3149" s="79" t="str">
        <f>IF(AND($O3149=$Q$7,$B3149&lt;'111'!$L$11),"x","")</f>
        <v/>
      </c>
      <c r="T3149" s="79" t="str">
        <f>IF(ISERROR(FIND('112'!$M$9,G3149,1)),"",IF((AND(FIND('112'!$M$9,G3149,1)&gt;=1,B3149='112'!$K$9,OR($N3149='112'!$I$6,$O3149='112'!$I$6))),"x",""))</f>
        <v/>
      </c>
      <c r="U3149" s="79" t="str">
        <f>IF(ISERROR(FIND('112'!$M$9,G3149,1)),"",IF((AND(LEFT(G3149,2)=LEFT('112'!$M$9,2),B3149&lt;'112'!$K$9,$N3149='112'!$I$6)),"x",""))</f>
        <v/>
      </c>
      <c r="V3149" s="79" t="str">
        <f>IF(ISERROR(FIND('112'!$M$9,G3149,1)),"",IF((AND(RIGHT(G3149,2)=RIGHT('112'!$M$9,2),B3149&lt;'112'!$K$9,$O3149='112'!$I$6)),"x",""))</f>
        <v/>
      </c>
      <c r="W3149" s="79" t="str">
        <f>IF(AND('341-CT'!$H$9=H3149,OR(LEFT(N3149,3)=$W$7,LEFT(O3149,3)=$W$7)),"x","")</f>
        <v/>
      </c>
      <c r="X3149" s="79" t="str">
        <f>IF(OR(TH!N3149=TH!$X$7,O3149=TH!$X$7),"x","")</f>
        <v/>
      </c>
      <c r="Y3149" s="79" t="str">
        <f>IF(AND(OR(N3149="131",O3149="131"),H3149='131-CT'!$H$9),"x","")</f>
        <v/>
      </c>
      <c r="Z3149" s="79"/>
      <c r="AA3149" s="79" t="str">
        <f>IF(AND(MONTH(E3149)='IN-NX'!$J$5,'IN-NX'!$D$7=D3149),"x","")</f>
        <v/>
      </c>
      <c r="AB3149" s="79" t="str">
        <f>IF(AND(OR(LEFT(TH!N3149,2)="15",LEFT(TH!O3149,2)="15"),LEFT(TH!O3149,3)&lt;&gt;"111",'152-CT'!$J$8=TH!F3149),"x","")</f>
        <v/>
      </c>
      <c r="AC3149" s="79" t="str">
        <f>IF(AND(OR(LEFT(TH!N3149,2)="15",LEFT(TH!O3149,2)="15"),TK!$E$7=TH!F3149),"x","")</f>
        <v/>
      </c>
      <c r="AD3149" s="79" t="str">
        <f>IF(AND(N3149="1521",MONTH(C3149)='BK-NL'!$M$11),"x","")</f>
        <v/>
      </c>
    </row>
    <row r="3150" spans="1:30" s="1101" customFormat="1" ht="16.5" customHeight="1">
      <c r="A3150" s="318" t="str">
        <f>IF(B3150&lt;&gt;"",IF(AND(B3150='IN-TC'!$S$4,OR(TH!N3150="1111",TH!O3150="1111")),TH!D3150,""),"")</f>
        <v/>
      </c>
      <c r="B3150" s="60" t="str">
        <f t="shared" si="380"/>
        <v/>
      </c>
      <c r="C3150" s="301"/>
      <c r="D3150" s="61"/>
      <c r="E3150" s="61"/>
      <c r="F3150" s="69"/>
      <c r="G3150" s="64"/>
      <c r="H3150" s="69"/>
      <c r="I3150" s="387"/>
      <c r="J3150" s="394"/>
      <c r="K3150" s="62"/>
      <c r="L3150" s="394"/>
      <c r="M3150" s="62"/>
      <c r="N3150" s="63"/>
      <c r="O3150" s="63"/>
      <c r="P3150" s="79" t="str">
        <f>IF(AND('331-CT'!$E$7=TH!H3150,OR(N3150="331",O3150="331")),"x","")</f>
        <v/>
      </c>
      <c r="Q3150" s="79" t="str">
        <f>IF(AND(B3150='111'!$L$11,OR($N3150=$Q$7,$O3150=$Q$7)),"x","")</f>
        <v/>
      </c>
      <c r="R3150" s="79" t="str">
        <f>IF(AND($N3150=$Q$7,$B3150&lt;'111'!$L$11),"x","")</f>
        <v/>
      </c>
      <c r="S3150" s="79" t="str">
        <f>IF(AND($O3150=$Q$7,$B3150&lt;'111'!$L$11),"x","")</f>
        <v/>
      </c>
      <c r="T3150" s="79" t="str">
        <f>IF(ISERROR(FIND('112'!$M$9,G3150,1)),"",IF((AND(FIND('112'!$M$9,G3150,1)&gt;=1,B3150='112'!$K$9,OR($N3150='112'!$I$6,$O3150='112'!$I$6))),"x",""))</f>
        <v/>
      </c>
      <c r="U3150" s="79" t="str">
        <f>IF(ISERROR(FIND('112'!$M$9,G3150,1)),"",IF((AND(LEFT(G3150,2)=LEFT('112'!$M$9,2),B3150&lt;'112'!$K$9,$N3150='112'!$I$6)),"x",""))</f>
        <v/>
      </c>
      <c r="V3150" s="79" t="str">
        <f>IF(ISERROR(FIND('112'!$M$9,G3150,1)),"",IF((AND(RIGHT(G3150,2)=RIGHT('112'!$M$9,2),B3150&lt;'112'!$K$9,$O3150='112'!$I$6)),"x",""))</f>
        <v/>
      </c>
      <c r="W3150" s="79" t="str">
        <f>IF(AND('341-CT'!$H$9=H3150,OR(LEFT(N3150,3)=$W$7,LEFT(O3150,3)=$W$7)),"x","")</f>
        <v/>
      </c>
      <c r="X3150" s="79" t="str">
        <f>IF(OR(TH!N3150=TH!$X$7,O3150=TH!$X$7),"x","")</f>
        <v/>
      </c>
      <c r="Y3150" s="79" t="str">
        <f>IF(AND(OR(N3150="131",O3150="131"),H3150='131-CT'!$H$9),"x","")</f>
        <v/>
      </c>
      <c r="Z3150" s="79"/>
      <c r="AA3150" s="79" t="str">
        <f>IF(AND(MONTH(E3150)='IN-NX'!$J$5,'IN-NX'!$D$7=D3150),"x","")</f>
        <v/>
      </c>
      <c r="AB3150" s="79" t="str">
        <f>IF(AND(OR(LEFT(TH!N3150,2)="15",LEFT(TH!O3150,2)="15"),LEFT(TH!O3150,3)&lt;&gt;"111",'152-CT'!$J$8=TH!F3150),"x","")</f>
        <v/>
      </c>
      <c r="AC3150" s="79" t="str">
        <f>IF(AND(OR(LEFT(TH!N3150,2)="15",LEFT(TH!O3150,2)="15"),TK!$E$7=TH!F3150),"x","")</f>
        <v/>
      </c>
      <c r="AD3150" s="79" t="str">
        <f>IF(AND(N3150="1521",MONTH(C3150)='BK-NL'!$M$11),"x","")</f>
        <v/>
      </c>
    </row>
    <row r="3151" spans="1:30" s="1101" customFormat="1" ht="16.5" customHeight="1">
      <c r="A3151" s="318" t="str">
        <f>IF(B3151&lt;&gt;"",IF(AND(B3151='IN-TC'!$S$4,OR(TH!N3151="1111",TH!O3151="1111")),TH!D3151,""),"")</f>
        <v/>
      </c>
      <c r="B3151" s="60" t="str">
        <f t="shared" si="380"/>
        <v/>
      </c>
      <c r="C3151" s="301"/>
      <c r="D3151" s="61"/>
      <c r="E3151" s="61"/>
      <c r="F3151" s="69"/>
      <c r="G3151" s="64"/>
      <c r="H3151" s="69"/>
      <c r="I3151" s="387"/>
      <c r="J3151" s="394"/>
      <c r="K3151" s="387"/>
      <c r="L3151" s="394"/>
      <c r="M3151" s="62"/>
      <c r="N3151" s="63"/>
      <c r="O3151" s="63"/>
      <c r="P3151" s="79" t="str">
        <f>IF(AND('331-CT'!$E$7=TH!H3151,OR(N3151="331",O3151="331")),"x","")</f>
        <v/>
      </c>
      <c r="Q3151" s="79" t="str">
        <f>IF(AND(B3151='111'!$L$11,OR($N3151=$Q$7,$O3151=$Q$7)),"x","")</f>
        <v/>
      </c>
      <c r="R3151" s="79" t="str">
        <f>IF(AND($N3151=$Q$7,$B3151&lt;'111'!$L$11),"x","")</f>
        <v/>
      </c>
      <c r="S3151" s="79" t="str">
        <f>IF(AND($O3151=$Q$7,$B3151&lt;'111'!$L$11),"x","")</f>
        <v/>
      </c>
      <c r="T3151" s="79" t="str">
        <f>IF(ISERROR(FIND('112'!$M$9,G3151,1)),"",IF((AND(FIND('112'!$M$9,G3151,1)&gt;=1,B3151='112'!$K$9,OR($N3151='112'!$I$6,$O3151='112'!$I$6))),"x",""))</f>
        <v/>
      </c>
      <c r="U3151" s="79" t="str">
        <f>IF(ISERROR(FIND('112'!$M$9,G3151,1)),"",IF((AND(LEFT(G3151,2)=LEFT('112'!$M$9,2),B3151&lt;'112'!$K$9,$N3151='112'!$I$6)),"x",""))</f>
        <v/>
      </c>
      <c r="V3151" s="79" t="str">
        <f>IF(ISERROR(FIND('112'!$M$9,G3151,1)),"",IF((AND(RIGHT(G3151,2)=RIGHT('112'!$M$9,2),B3151&lt;'112'!$K$9,$O3151='112'!$I$6)),"x",""))</f>
        <v/>
      </c>
      <c r="W3151" s="79" t="str">
        <f>IF(AND('341-CT'!$H$9=H3151,OR(LEFT(N3151,3)=$W$7,LEFT(O3151,3)=$W$7)),"x","")</f>
        <v/>
      </c>
      <c r="X3151" s="79" t="str">
        <f>IF(OR(TH!N3151=TH!$X$7,O3151=TH!$X$7),"x","")</f>
        <v/>
      </c>
      <c r="Y3151" s="79" t="str">
        <f>IF(AND(OR(N3151="131",O3151="131"),H3151='131-CT'!$H$9),"x","")</f>
        <v/>
      </c>
      <c r="Z3151" s="79"/>
      <c r="AA3151" s="79" t="str">
        <f>IF(AND(MONTH(E3151)='IN-NX'!$J$5,'IN-NX'!$D$7=D3151),"x","")</f>
        <v/>
      </c>
      <c r="AB3151" s="79" t="str">
        <f>IF(AND(OR(LEFT(TH!N3151,2)="15",LEFT(TH!O3151,2)="15"),LEFT(TH!O3151,3)&lt;&gt;"111",'152-CT'!$J$8=TH!F3151),"x","")</f>
        <v/>
      </c>
      <c r="AC3151" s="79" t="str">
        <f>IF(AND(OR(LEFT(TH!N3151,2)="15",LEFT(TH!O3151,2)="15"),TK!$E$7=TH!F3151),"x","")</f>
        <v/>
      </c>
      <c r="AD3151" s="79" t="str">
        <f>IF(AND(N3151="1521",MONTH(C3151)='BK-NL'!$M$11),"x","")</f>
        <v/>
      </c>
    </row>
    <row r="3152" spans="1:30" s="1306" customFormat="1" ht="16.5" customHeight="1">
      <c r="A3152" s="1305" t="str">
        <f>IF(B3152&lt;&gt;"",IF(AND(B3152='IN-TC'!$S$4,OR(TH!N3152="1111",TH!O3152="1111")),TH!D3152,""),"")</f>
        <v/>
      </c>
      <c r="B3152" s="60" t="str">
        <f t="shared" si="380"/>
        <v/>
      </c>
      <c r="C3152" s="301"/>
      <c r="D3152" s="301"/>
      <c r="E3152" s="301"/>
      <c r="F3152" s="69"/>
      <c r="G3152" s="302"/>
      <c r="H3152" s="303"/>
      <c r="I3152" s="385"/>
      <c r="J3152" s="969"/>
      <c r="K3152" s="385"/>
      <c r="L3152" s="392"/>
      <c r="M3152" s="970"/>
      <c r="N3152" s="304"/>
      <c r="O3152" s="304"/>
      <c r="P3152" s="79" t="str">
        <f>IF(AND('331-CT'!$E$7=TH!H3152,OR(N3152="331",O3152="331")),"x","")</f>
        <v/>
      </c>
      <c r="Q3152" s="79" t="str">
        <f>IF(AND(B3152='111'!$L$11,OR($N3152=$Q$7,$O3152=$Q$7)),"x","")</f>
        <v/>
      </c>
      <c r="R3152" s="79" t="str">
        <f>IF(AND($N3152=$Q$7,$B3152&lt;'111'!$L$11),"x","")</f>
        <v/>
      </c>
      <c r="S3152" s="79" t="str">
        <f>IF(AND($O3152=$Q$7,$B3152&lt;'111'!$L$11),"x","")</f>
        <v/>
      </c>
      <c r="T3152" s="79" t="str">
        <f>IF(ISERROR(FIND('112'!$M$9,G3152,1)),"",IF((AND(FIND('112'!$M$9,G3152,1)&gt;=1,B3152='112'!$K$9,OR($N3152='112'!$I$6,$O3152='112'!$I$6))),"x",""))</f>
        <v/>
      </c>
      <c r="U3152" s="79" t="str">
        <f>IF(ISERROR(FIND('112'!$M$9,G3152,1)),"",IF((AND(LEFT(G3152,2)=LEFT('112'!$M$9,2),B3152&lt;'112'!$K$9,$N3152='112'!$I$6)),"x",""))</f>
        <v/>
      </c>
      <c r="V3152" s="79" t="str">
        <f>IF(ISERROR(FIND('112'!$M$9,G3152,1)),"",IF((AND(RIGHT(G3152,2)=RIGHT('112'!$M$9,2),B3152&lt;'112'!$K$9,$O3152='112'!$I$6)),"x",""))</f>
        <v/>
      </c>
      <c r="W3152" s="79" t="str">
        <f>IF(AND('341-CT'!$H$9=H3152,OR(LEFT(N3152,3)=$W$7,LEFT(O3152,3)=$W$7)),"x","")</f>
        <v/>
      </c>
      <c r="X3152" s="79" t="str">
        <f>IF(OR(TH!N3152=TH!$X$7,O3152=TH!$X$7),"x","")</f>
        <v/>
      </c>
      <c r="Y3152" s="79" t="str">
        <f>IF(AND(OR(N3152="131",O3152="131"),H3152='131-CT'!$H$9),"x","")</f>
        <v/>
      </c>
      <c r="Z3152" s="79"/>
      <c r="AA3152" s="79" t="str">
        <f>IF(AND(MONTH(E3152)='IN-NX'!$J$5,'IN-NX'!$D$7=D3152),"x","")</f>
        <v/>
      </c>
      <c r="AB3152" s="79" t="str">
        <f>IF(AND(OR(LEFT(TH!N3152,2)="15",LEFT(TH!O3152,2)="15"),LEFT(TH!O3152,3)&lt;&gt;"111",'152-CT'!$J$8=TH!F3152),"x","")</f>
        <v/>
      </c>
      <c r="AC3152" s="79" t="str">
        <f>IF(AND(OR(LEFT(TH!N3152,2)="15",LEFT(TH!O3152,2)="15"),TK!$E$7=TH!F3152),"x","")</f>
        <v/>
      </c>
      <c r="AD3152" s="79" t="str">
        <f>IF(AND(N3152="1521",MONTH(C3152)='BK-NL'!$M$11),"x","")</f>
        <v/>
      </c>
    </row>
    <row r="3153" spans="1:30" ht="16.5" customHeight="1">
      <c r="A3153" s="318" t="str">
        <f>IF(B3153&lt;&gt;"",IF(AND(B3153='IN-TC'!$S$4,OR(TH!N3153="1111",TH!O3153="1111")),TH!D3153,""),"")</f>
        <v/>
      </c>
      <c r="B3153" s="60" t="str">
        <f t="shared" ref="B3153:B3158" si="381">IF(C3153&lt;&gt;"",MONTH(C3153),"")</f>
        <v/>
      </c>
      <c r="C3153" s="301"/>
      <c r="D3153" s="301"/>
      <c r="E3153" s="301"/>
      <c r="F3153" s="69"/>
      <c r="G3153" s="988"/>
      <c r="H3153" s="303"/>
      <c r="I3153" s="385"/>
      <c r="J3153" s="969"/>
      <c r="K3153" s="385"/>
      <c r="L3153" s="392"/>
      <c r="M3153" s="970"/>
      <c r="N3153" s="304"/>
      <c r="O3153" s="304"/>
      <c r="P3153" s="79" t="str">
        <f>IF(AND('331-CT'!$E$7=TH!H3153,OR(N3153="331",O3153="331")),"x","")</f>
        <v/>
      </c>
      <c r="Q3153" s="79" t="str">
        <f>IF(AND(B3153='111'!$L$11,OR($N3153=$Q$7,$O3153=$Q$7)),"x","")</f>
        <v/>
      </c>
      <c r="R3153" s="79" t="str">
        <f>IF(AND($N3153=$Q$7,$B3153&lt;'111'!$L$11),"x","")</f>
        <v/>
      </c>
      <c r="S3153" s="79" t="str">
        <f>IF(AND($O3153=$Q$7,$B3153&lt;'111'!$L$11),"x","")</f>
        <v/>
      </c>
      <c r="T3153" s="79" t="str">
        <f>IF(ISERROR(FIND('112'!$M$9,G3153,1)),"",IF((AND(FIND('112'!$M$9,G3153,1)&gt;=1,B3153='112'!$K$9,OR($N3153='112'!$I$6,$O3153='112'!$I$6))),"x",""))</f>
        <v/>
      </c>
      <c r="U3153" s="79" t="str">
        <f>IF(ISERROR(FIND('112'!$M$9,G3153,1)),"",IF((AND(LEFT(G3153,2)=LEFT('112'!$M$9,2),B3153&lt;'112'!$K$9,$N3153='112'!$I$6)),"x",""))</f>
        <v/>
      </c>
      <c r="V3153" s="79" t="str">
        <f>IF(ISERROR(FIND('112'!$M$9,G3153,1)),"",IF((AND(RIGHT(G3153,2)=RIGHT('112'!$M$9,2),B3153&lt;'112'!$K$9,$O3153='112'!$I$6)),"x",""))</f>
        <v/>
      </c>
      <c r="W3153" s="79" t="str">
        <f>IF(AND('341-CT'!$H$9=H3153,OR(LEFT(N3153,3)=$W$7,LEFT(O3153,3)=$W$7)),"x","")</f>
        <v/>
      </c>
      <c r="X3153" s="79" t="str">
        <f>IF(OR(TH!N3153=TH!$X$7,O3153=TH!$X$7),"x","")</f>
        <v/>
      </c>
      <c r="Y3153" s="79" t="str">
        <f>IF(AND(OR(N3153="131",O3153="131"),H3153='131-CT'!$H$9),"x","")</f>
        <v/>
      </c>
      <c r="Z3153" s="79"/>
      <c r="AA3153" s="79" t="str">
        <f>IF(AND(MONTH(E3153)='IN-NX'!$J$5,'IN-NX'!$D$7=D3153),"x","")</f>
        <v/>
      </c>
      <c r="AB3153" s="79" t="str">
        <f>IF(AND(OR(LEFT(TH!N3153,2)="15",LEFT(TH!O3153,2)="15"),LEFT(TH!O3153,3)&lt;&gt;"111",'152-CT'!$J$8=TH!F3153),"x","")</f>
        <v/>
      </c>
      <c r="AC3153" s="79" t="str">
        <f>IF(AND(OR(LEFT(TH!N3153,2)="15",LEFT(TH!O3153,2)="15"),TK!$E$7=TH!F3153),"x","")</f>
        <v/>
      </c>
      <c r="AD3153" s="79" t="str">
        <f>IF(AND(N3153="1521",MONTH(C3153)='BK-NL'!$M$11),"x","")</f>
        <v/>
      </c>
    </row>
    <row r="3154" spans="1:30" ht="16.5" customHeight="1">
      <c r="A3154" s="318" t="str">
        <f>IF(B3154&lt;&gt;"",IF(AND(B3154='IN-TC'!$S$4,OR(TH!N3154="1111",TH!O3154="1111")),TH!D3154,""),"")</f>
        <v/>
      </c>
      <c r="B3154" s="60" t="str">
        <f t="shared" si="381"/>
        <v/>
      </c>
      <c r="C3154" s="301"/>
      <c r="D3154" s="301"/>
      <c r="E3154" s="301"/>
      <c r="F3154" s="69"/>
      <c r="G3154" s="988"/>
      <c r="H3154" s="303"/>
      <c r="I3154" s="385"/>
      <c r="J3154" s="969"/>
      <c r="K3154" s="385"/>
      <c r="L3154" s="392"/>
      <c r="M3154" s="970"/>
      <c r="N3154" s="304"/>
      <c r="O3154" s="304"/>
      <c r="P3154" s="79" t="str">
        <f>IF(AND('331-CT'!$E$7=TH!H3154,OR(N3154="331",O3154="331")),"x","")</f>
        <v/>
      </c>
      <c r="Q3154" s="79" t="str">
        <f>IF(AND(B3154='111'!$L$11,OR($N3154=$Q$7,$O3154=$Q$7)),"x","")</f>
        <v/>
      </c>
      <c r="R3154" s="79" t="str">
        <f>IF(AND($N3154=$Q$7,$B3154&lt;'111'!$L$11),"x","")</f>
        <v/>
      </c>
      <c r="S3154" s="79" t="str">
        <f>IF(AND($O3154=$Q$7,$B3154&lt;'111'!$L$11),"x","")</f>
        <v/>
      </c>
      <c r="T3154" s="79" t="str">
        <f>IF(ISERROR(FIND('112'!$M$9,G3154,1)),"",IF((AND(FIND('112'!$M$9,G3154,1)&gt;=1,B3154='112'!$K$9,OR($N3154='112'!$I$6,$O3154='112'!$I$6))),"x",""))</f>
        <v/>
      </c>
      <c r="U3154" s="79" t="str">
        <f>IF(ISERROR(FIND('112'!$M$9,G3154,1)),"",IF((AND(LEFT(G3154,2)=LEFT('112'!$M$9,2),B3154&lt;'112'!$K$9,$N3154='112'!$I$6)),"x",""))</f>
        <v/>
      </c>
      <c r="V3154" s="79" t="str">
        <f>IF(ISERROR(FIND('112'!$M$9,G3154,1)),"",IF((AND(RIGHT(G3154,2)=RIGHT('112'!$M$9,2),B3154&lt;'112'!$K$9,$O3154='112'!$I$6)),"x",""))</f>
        <v/>
      </c>
      <c r="W3154" s="79" t="str">
        <f>IF(AND('341-CT'!$H$9=H3154,OR(LEFT(N3154,3)=$W$7,LEFT(O3154,3)=$W$7)),"x","")</f>
        <v/>
      </c>
      <c r="X3154" s="79" t="str">
        <f>IF(OR(TH!N3154=TH!$X$7,O3154=TH!$X$7),"x","")</f>
        <v/>
      </c>
      <c r="Y3154" s="79" t="str">
        <f>IF(AND(OR(N3154="131",O3154="131"),H3154='131-CT'!$H$9),"x","")</f>
        <v/>
      </c>
      <c r="Z3154" s="79"/>
      <c r="AA3154" s="79" t="str">
        <f>IF(AND(MONTH(E3154)='IN-NX'!$J$5,'IN-NX'!$D$7=D3154),"x","")</f>
        <v/>
      </c>
      <c r="AB3154" s="79" t="str">
        <f>IF(AND(OR(LEFT(TH!N3154,2)="15",LEFT(TH!O3154,2)="15"),LEFT(TH!O3154,3)&lt;&gt;"111",'152-CT'!$J$8=TH!F3154),"x","")</f>
        <v/>
      </c>
      <c r="AC3154" s="79" t="str">
        <f>IF(AND(OR(LEFT(TH!N3154,2)="15",LEFT(TH!O3154,2)="15"),TK!$E$7=TH!F3154),"x","")</f>
        <v/>
      </c>
      <c r="AD3154" s="79" t="str">
        <f>IF(AND(N3154="1521",MONTH(C3154)='BK-NL'!$M$11),"x","")</f>
        <v/>
      </c>
    </row>
    <row r="3155" spans="1:30" ht="16.5" customHeight="1">
      <c r="A3155" s="318" t="str">
        <f>IF(B3155&lt;&gt;"",IF(AND(B3155='IN-TC'!$S$4,OR(TH!N3155="1111",TH!O3155="1111")),TH!D3155,""),"")</f>
        <v/>
      </c>
      <c r="B3155" s="60" t="str">
        <f t="shared" si="381"/>
        <v/>
      </c>
      <c r="C3155" s="301"/>
      <c r="D3155" s="301"/>
      <c r="E3155" s="301"/>
      <c r="F3155" s="69"/>
      <c r="G3155" s="988"/>
      <c r="H3155" s="303"/>
      <c r="I3155" s="385"/>
      <c r="J3155" s="969"/>
      <c r="K3155" s="385"/>
      <c r="L3155" s="392"/>
      <c r="M3155" s="970"/>
      <c r="N3155" s="304"/>
      <c r="O3155" s="304"/>
      <c r="P3155" s="79" t="str">
        <f>IF(AND('331-CT'!$E$7=TH!H3155,OR(N3155="331",O3155="331")),"x","")</f>
        <v/>
      </c>
      <c r="Q3155" s="79" t="str">
        <f>IF(AND(B3155='111'!$L$11,OR($N3155=$Q$7,$O3155=$Q$7)),"x","")</f>
        <v/>
      </c>
      <c r="R3155" s="79" t="str">
        <f>IF(AND($N3155=$Q$7,$B3155&lt;'111'!$L$11),"x","")</f>
        <v/>
      </c>
      <c r="S3155" s="79" t="str">
        <f>IF(AND($O3155=$Q$7,$B3155&lt;'111'!$L$11),"x","")</f>
        <v/>
      </c>
      <c r="T3155" s="79" t="str">
        <f>IF(ISERROR(FIND('112'!$M$9,G3155,1)),"",IF((AND(FIND('112'!$M$9,G3155,1)&gt;=1,B3155='112'!$K$9,OR($N3155='112'!$I$6,$O3155='112'!$I$6))),"x",""))</f>
        <v/>
      </c>
      <c r="U3155" s="79" t="str">
        <f>IF(ISERROR(FIND('112'!$M$9,G3155,1)),"",IF((AND(LEFT(G3155,2)=LEFT('112'!$M$9,2),B3155&lt;'112'!$K$9,$N3155='112'!$I$6)),"x",""))</f>
        <v/>
      </c>
      <c r="V3155" s="79" t="str">
        <f>IF(ISERROR(FIND('112'!$M$9,G3155,1)),"",IF((AND(RIGHT(G3155,2)=RIGHT('112'!$M$9,2),B3155&lt;'112'!$K$9,$O3155='112'!$I$6)),"x",""))</f>
        <v/>
      </c>
      <c r="W3155" s="79" t="str">
        <f>IF(AND('341-CT'!$H$9=H3155,OR(LEFT(N3155,3)=$W$7,LEFT(O3155,3)=$W$7)),"x","")</f>
        <v/>
      </c>
      <c r="X3155" s="79" t="str">
        <f>IF(OR(TH!N3155=TH!$X$7,O3155=TH!$X$7),"x","")</f>
        <v/>
      </c>
      <c r="Y3155" s="79" t="str">
        <f>IF(AND(OR(N3155="131",O3155="131"),H3155='131-CT'!$H$9),"x","")</f>
        <v/>
      </c>
      <c r="Z3155" s="79"/>
      <c r="AA3155" s="79" t="str">
        <f>IF(AND(MONTH(E3155)='IN-NX'!$J$5,'IN-NX'!$D$7=D3155),"x","")</f>
        <v/>
      </c>
      <c r="AB3155" s="79" t="str">
        <f>IF(AND(OR(LEFT(TH!N3155,2)="15",LEFT(TH!O3155,2)="15"),LEFT(TH!O3155,3)&lt;&gt;"111",'152-CT'!$J$8=TH!F3155),"x","")</f>
        <v/>
      </c>
      <c r="AC3155" s="79" t="str">
        <f>IF(AND(OR(LEFT(TH!N3155,2)="15",LEFT(TH!O3155,2)="15"),TK!$E$7=TH!F3155),"x","")</f>
        <v/>
      </c>
      <c r="AD3155" s="79" t="str">
        <f>IF(AND(N3155="1521",MONTH(C3155)='BK-NL'!$M$11),"x","")</f>
        <v/>
      </c>
    </row>
    <row r="3156" spans="1:30" s="1101" customFormat="1" ht="16.5" customHeight="1">
      <c r="A3156" s="318" t="str">
        <f>IF(B3156&lt;&gt;"",IF(AND(B3156='IN-TC'!$S$4,OR(TH!N3156="1111",TH!O3156="1111")),TH!D3156,""),"")</f>
        <v/>
      </c>
      <c r="B3156" s="60" t="str">
        <f t="shared" si="381"/>
        <v/>
      </c>
      <c r="C3156" s="301"/>
      <c r="D3156" s="61"/>
      <c r="E3156" s="61"/>
      <c r="F3156" s="69"/>
      <c r="G3156" s="64"/>
      <c r="H3156" s="69"/>
      <c r="I3156" s="387"/>
      <c r="J3156" s="394"/>
      <c r="K3156" s="62"/>
      <c r="L3156" s="394"/>
      <c r="M3156" s="62"/>
      <c r="N3156" s="63"/>
      <c r="O3156" s="63"/>
      <c r="P3156" s="79" t="str">
        <f>IF(AND('331-CT'!$E$7=TH!H3156,OR(N3156="331",O3156="331")),"x","")</f>
        <v/>
      </c>
      <c r="Q3156" s="79" t="str">
        <f>IF(AND(B3156='111'!$L$11,OR($N3156=$Q$7,$O3156=$Q$7)),"x","")</f>
        <v/>
      </c>
      <c r="R3156" s="79" t="str">
        <f>IF(AND($N3156=$Q$7,$B3156&lt;'111'!$L$11),"x","")</f>
        <v/>
      </c>
      <c r="S3156" s="79" t="str">
        <f>IF(AND($O3156=$Q$7,$B3156&lt;'111'!$L$11),"x","")</f>
        <v/>
      </c>
      <c r="T3156" s="79" t="str">
        <f>IF(ISERROR(FIND('112'!$M$9,G3156,1)),"",IF((AND(FIND('112'!$M$9,G3156,1)&gt;=1,B3156='112'!$K$9,OR($N3156='112'!$I$6,$O3156='112'!$I$6))),"x",""))</f>
        <v/>
      </c>
      <c r="U3156" s="79" t="str">
        <f>IF(ISERROR(FIND('112'!$M$9,G3156,1)),"",IF((AND(LEFT(G3156,2)=LEFT('112'!$M$9,2),B3156&lt;'112'!$K$9,$N3156='112'!$I$6)),"x",""))</f>
        <v/>
      </c>
      <c r="V3156" s="79" t="str">
        <f>IF(ISERROR(FIND('112'!$M$9,G3156,1)),"",IF((AND(RIGHT(G3156,2)=RIGHT('112'!$M$9,2),B3156&lt;'112'!$K$9,$O3156='112'!$I$6)),"x",""))</f>
        <v/>
      </c>
      <c r="W3156" s="79" t="str">
        <f>IF(AND('341-CT'!$H$9=H3156,OR(LEFT(N3156,3)=$W$7,LEFT(O3156,3)=$W$7)),"x","")</f>
        <v/>
      </c>
      <c r="X3156" s="79" t="str">
        <f>IF(OR(TH!N3156=TH!$X$7,O3156=TH!$X$7),"x","")</f>
        <v/>
      </c>
      <c r="Y3156" s="79" t="str">
        <f>IF(AND(OR(N3156="131",O3156="131"),H3156='131-CT'!$H$9),"x","")</f>
        <v/>
      </c>
      <c r="Z3156" s="79"/>
      <c r="AA3156" s="79" t="str">
        <f>IF(AND(MONTH(E3156)='IN-NX'!$J$5,'IN-NX'!$D$7=D3156),"x","")</f>
        <v/>
      </c>
      <c r="AB3156" s="79" t="str">
        <f>IF(AND(OR(LEFT(TH!N3156,2)="15",LEFT(TH!O3156,2)="15"),LEFT(TH!O3156,3)&lt;&gt;"111",'152-CT'!$J$8=TH!F3156),"x","")</f>
        <v/>
      </c>
      <c r="AC3156" s="79" t="str">
        <f>IF(AND(OR(LEFT(TH!N3156,2)="15",LEFT(TH!O3156,2)="15"),TK!$E$7=TH!F3156),"x","")</f>
        <v/>
      </c>
      <c r="AD3156" s="79" t="str">
        <f>IF(AND(N3156="1521",MONTH(C3156)='BK-NL'!$M$11),"x","")</f>
        <v/>
      </c>
    </row>
    <row r="3157" spans="1:30" s="1101" customFormat="1" ht="16.5" customHeight="1">
      <c r="A3157" s="318" t="str">
        <f>IF(B3157&lt;&gt;"",IF(AND(B3157='IN-TC'!$S$4,OR(TH!N3157="1111",TH!O3157="1111")),TH!D3157,""),"")</f>
        <v/>
      </c>
      <c r="B3157" s="60" t="str">
        <f t="shared" si="381"/>
        <v/>
      </c>
      <c r="C3157" s="301"/>
      <c r="D3157" s="61"/>
      <c r="E3157" s="61"/>
      <c r="F3157" s="69"/>
      <c r="G3157" s="64"/>
      <c r="H3157" s="69"/>
      <c r="I3157" s="387"/>
      <c r="J3157" s="394"/>
      <c r="K3157" s="387"/>
      <c r="L3157" s="394"/>
      <c r="M3157" s="62"/>
      <c r="N3157" s="63"/>
      <c r="O3157" s="63"/>
      <c r="P3157" s="79" t="str">
        <f>IF(AND('331-CT'!$E$7=TH!H3157,OR(N3157="331",O3157="331")),"x","")</f>
        <v/>
      </c>
      <c r="Q3157" s="79" t="str">
        <f>IF(AND(B3157='111'!$L$11,OR($N3157=$Q$7,$O3157=$Q$7)),"x","")</f>
        <v/>
      </c>
      <c r="R3157" s="79" t="str">
        <f>IF(AND($N3157=$Q$7,$B3157&lt;'111'!$L$11),"x","")</f>
        <v/>
      </c>
      <c r="S3157" s="79" t="str">
        <f>IF(AND($O3157=$Q$7,$B3157&lt;'111'!$L$11),"x","")</f>
        <v/>
      </c>
      <c r="T3157" s="79" t="str">
        <f>IF(ISERROR(FIND('112'!$M$9,G3157,1)),"",IF((AND(FIND('112'!$M$9,G3157,1)&gt;=1,B3157='112'!$K$9,OR($N3157='112'!$I$6,$O3157='112'!$I$6))),"x",""))</f>
        <v/>
      </c>
      <c r="U3157" s="79" t="str">
        <f>IF(ISERROR(FIND('112'!$M$9,G3157,1)),"",IF((AND(LEFT(G3157,2)=LEFT('112'!$M$9,2),B3157&lt;'112'!$K$9,$N3157='112'!$I$6)),"x",""))</f>
        <v/>
      </c>
      <c r="V3157" s="79" t="str">
        <f>IF(ISERROR(FIND('112'!$M$9,G3157,1)),"",IF((AND(RIGHT(G3157,2)=RIGHT('112'!$M$9,2),B3157&lt;'112'!$K$9,$O3157='112'!$I$6)),"x",""))</f>
        <v/>
      </c>
      <c r="W3157" s="79" t="str">
        <f>IF(AND('341-CT'!$H$9=H3157,OR(LEFT(N3157,3)=$W$7,LEFT(O3157,3)=$W$7)),"x","")</f>
        <v/>
      </c>
      <c r="X3157" s="79" t="str">
        <f>IF(OR(TH!N3157=TH!$X$7,O3157=TH!$X$7),"x","")</f>
        <v/>
      </c>
      <c r="Y3157" s="79" t="str">
        <f>IF(AND(OR(N3157="131",O3157="131"),H3157='131-CT'!$H$9),"x","")</f>
        <v/>
      </c>
      <c r="Z3157" s="79"/>
      <c r="AA3157" s="79" t="str">
        <f>IF(AND(MONTH(E3157)='IN-NX'!$J$5,'IN-NX'!$D$7=D3157),"x","")</f>
        <v/>
      </c>
      <c r="AB3157" s="79" t="str">
        <f>IF(AND(OR(LEFT(TH!N3157,2)="15",LEFT(TH!O3157,2)="15"),LEFT(TH!O3157,3)&lt;&gt;"111",'152-CT'!$J$8=TH!F3157),"x","")</f>
        <v/>
      </c>
      <c r="AC3157" s="79" t="str">
        <f>IF(AND(OR(LEFT(TH!N3157,2)="15",LEFT(TH!O3157,2)="15"),TK!$E$7=TH!F3157),"x","")</f>
        <v/>
      </c>
      <c r="AD3157" s="79" t="str">
        <f>IF(AND(N3157="1521",MONTH(C3157)='BK-NL'!$M$11),"x","")</f>
        <v/>
      </c>
    </row>
    <row r="3158" spans="1:30" s="1306" customFormat="1" ht="16.5" customHeight="1">
      <c r="A3158" s="1305" t="str">
        <f>IF(B3158&lt;&gt;"",IF(AND(B3158='IN-TC'!$S$4,OR(TH!N3158="1111",TH!O3158="1111")),TH!D3158,""),"")</f>
        <v/>
      </c>
      <c r="B3158" s="60" t="str">
        <f t="shared" si="381"/>
        <v/>
      </c>
      <c r="C3158" s="301"/>
      <c r="D3158" s="301"/>
      <c r="E3158" s="301"/>
      <c r="F3158" s="69"/>
      <c r="G3158" s="302"/>
      <c r="H3158" s="303"/>
      <c r="I3158" s="385"/>
      <c r="J3158" s="969"/>
      <c r="K3158" s="385"/>
      <c r="L3158" s="392"/>
      <c r="M3158" s="970"/>
      <c r="N3158" s="304"/>
      <c r="O3158" s="304"/>
      <c r="P3158" s="79" t="str">
        <f>IF(AND('331-CT'!$E$7=TH!H3158,OR(N3158="331",O3158="331")),"x","")</f>
        <v/>
      </c>
      <c r="Q3158" s="79" t="str">
        <f>IF(AND(B3158='111'!$L$11,OR($N3158=$Q$7,$O3158=$Q$7)),"x","")</f>
        <v/>
      </c>
      <c r="R3158" s="79" t="str">
        <f>IF(AND($N3158=$Q$7,$B3158&lt;'111'!$L$11),"x","")</f>
        <v/>
      </c>
      <c r="S3158" s="79" t="str">
        <f>IF(AND($O3158=$Q$7,$B3158&lt;'111'!$L$11),"x","")</f>
        <v/>
      </c>
      <c r="T3158" s="79" t="str">
        <f>IF(ISERROR(FIND('112'!$M$9,G3158,1)),"",IF((AND(FIND('112'!$M$9,G3158,1)&gt;=1,B3158='112'!$K$9,OR($N3158='112'!$I$6,$O3158='112'!$I$6))),"x",""))</f>
        <v/>
      </c>
      <c r="U3158" s="79" t="str">
        <f>IF(ISERROR(FIND('112'!$M$9,G3158,1)),"",IF((AND(LEFT(G3158,2)=LEFT('112'!$M$9,2),B3158&lt;'112'!$K$9,$N3158='112'!$I$6)),"x",""))</f>
        <v/>
      </c>
      <c r="V3158" s="79" t="str">
        <f>IF(ISERROR(FIND('112'!$M$9,G3158,1)),"",IF((AND(RIGHT(G3158,2)=RIGHT('112'!$M$9,2),B3158&lt;'112'!$K$9,$O3158='112'!$I$6)),"x",""))</f>
        <v/>
      </c>
      <c r="W3158" s="79" t="str">
        <f>IF(AND('341-CT'!$H$9=H3158,OR(LEFT(N3158,3)=$W$7,LEFT(O3158,3)=$W$7)),"x","")</f>
        <v/>
      </c>
      <c r="X3158" s="79" t="str">
        <f>IF(OR(TH!N3158=TH!$X$7,O3158=TH!$X$7),"x","")</f>
        <v/>
      </c>
      <c r="Y3158" s="79" t="str">
        <f>IF(AND(OR(N3158="131",O3158="131"),H3158='131-CT'!$H$9),"x","")</f>
        <v/>
      </c>
      <c r="Z3158" s="79"/>
      <c r="AA3158" s="79" t="str">
        <f>IF(AND(MONTH(E3158)='IN-NX'!$J$5,'IN-NX'!$D$7=D3158),"x","")</f>
        <v/>
      </c>
      <c r="AB3158" s="79" t="str">
        <f>IF(AND(OR(LEFT(TH!N3158,2)="15",LEFT(TH!O3158,2)="15"),LEFT(TH!O3158,3)&lt;&gt;"111",'152-CT'!$J$8=TH!F3158),"x","")</f>
        <v/>
      </c>
      <c r="AC3158" s="79" t="str">
        <f>IF(AND(OR(LEFT(TH!N3158,2)="15",LEFT(TH!O3158,2)="15"),TK!$E$7=TH!F3158),"x","")</f>
        <v/>
      </c>
      <c r="AD3158" s="79" t="str">
        <f>IF(AND(N3158="1521",MONTH(C3158)='BK-NL'!$M$11),"x","")</f>
        <v/>
      </c>
    </row>
    <row r="3159" spans="1:30" ht="16.5" customHeight="1">
      <c r="A3159" s="318" t="str">
        <f>IF(B3159&lt;&gt;"",IF(AND(B3159='IN-TC'!$S$4,OR(TH!N3159="1111",TH!O3159="1111")),TH!D3159,""),"")</f>
        <v/>
      </c>
      <c r="B3159" s="60" t="str">
        <f t="shared" ref="B3159" si="382">IF(C3159&lt;&gt;"",MONTH(C3159),"")</f>
        <v/>
      </c>
      <c r="C3159" s="301"/>
      <c r="D3159" s="301"/>
      <c r="E3159" s="301"/>
      <c r="F3159" s="69"/>
      <c r="G3159" s="988"/>
      <c r="H3159" s="303"/>
      <c r="I3159" s="385"/>
      <c r="J3159" s="969"/>
      <c r="K3159" s="385"/>
      <c r="L3159" s="392"/>
      <c r="M3159" s="970"/>
      <c r="N3159" s="304"/>
      <c r="O3159" s="304"/>
      <c r="P3159" s="79" t="str">
        <f>IF(AND('331-CT'!$E$7=TH!H3159,OR(N3159="331",O3159="331")),"x","")</f>
        <v/>
      </c>
      <c r="Q3159" s="79" t="str">
        <f>IF(AND(B3159='111'!$L$11,OR($N3159=$Q$7,$O3159=$Q$7)),"x","")</f>
        <v/>
      </c>
      <c r="R3159" s="79" t="str">
        <f>IF(AND($N3159=$Q$7,$B3159&lt;'111'!$L$11),"x","")</f>
        <v/>
      </c>
      <c r="S3159" s="79" t="str">
        <f>IF(AND($O3159=$Q$7,$B3159&lt;'111'!$L$11),"x","")</f>
        <v/>
      </c>
      <c r="T3159" s="79" t="str">
        <f>IF(ISERROR(FIND('112'!$M$9,G3159,1)),"",IF((AND(FIND('112'!$M$9,G3159,1)&gt;=1,B3159='112'!$K$9,OR($N3159='112'!$I$6,$O3159='112'!$I$6))),"x",""))</f>
        <v/>
      </c>
      <c r="U3159" s="79" t="str">
        <f>IF(ISERROR(FIND('112'!$M$9,G3159,1)),"",IF((AND(LEFT(G3159,2)=LEFT('112'!$M$9,2),B3159&lt;'112'!$K$9,$N3159='112'!$I$6)),"x",""))</f>
        <v/>
      </c>
      <c r="V3159" s="79" t="str">
        <f>IF(ISERROR(FIND('112'!$M$9,G3159,1)),"",IF((AND(RIGHT(G3159,2)=RIGHT('112'!$M$9,2),B3159&lt;'112'!$K$9,$O3159='112'!$I$6)),"x",""))</f>
        <v/>
      </c>
      <c r="W3159" s="79" t="str">
        <f>IF(AND('341-CT'!$H$9=H3159,OR(LEFT(N3159,3)=$W$7,LEFT(O3159,3)=$W$7)),"x","")</f>
        <v/>
      </c>
      <c r="X3159" s="79" t="str">
        <f>IF(OR(TH!N3159=TH!$X$7,O3159=TH!$X$7),"x","")</f>
        <v/>
      </c>
      <c r="Y3159" s="79" t="str">
        <f>IF(AND(OR(N3159="131",O3159="131"),H3159='131-CT'!$H$9),"x","")</f>
        <v/>
      </c>
      <c r="Z3159" s="79"/>
      <c r="AA3159" s="79" t="str">
        <f>IF(AND(MONTH(E3159)='IN-NX'!$J$5,'IN-NX'!$D$7=D3159),"x","")</f>
        <v/>
      </c>
      <c r="AB3159" s="79" t="str">
        <f>IF(AND(OR(LEFT(TH!N3159,2)="15",LEFT(TH!O3159,2)="15"),LEFT(TH!O3159,3)&lt;&gt;"111",'152-CT'!$J$8=TH!F3159),"x","")</f>
        <v/>
      </c>
      <c r="AC3159" s="79" t="str">
        <f>IF(AND(OR(LEFT(TH!N3159,2)="15",LEFT(TH!O3159,2)="15"),TK!$E$7=TH!F3159),"x","")</f>
        <v/>
      </c>
      <c r="AD3159" s="79" t="str">
        <f>IF(AND(N3159="1521",MONTH(C3159)='BK-NL'!$M$11),"x","")</f>
        <v/>
      </c>
    </row>
    <row r="3160" spans="1:30" ht="16.5" customHeight="1">
      <c r="A3160" s="318" t="str">
        <f>IF(B3160&lt;&gt;"",IF(AND(B3160='IN-TC'!$S$4,OR(TH!N3160="1111",TH!O3160="1111")),TH!D3160,""),"")</f>
        <v/>
      </c>
      <c r="B3160" s="60" t="str">
        <f t="shared" si="380"/>
        <v/>
      </c>
      <c r="C3160" s="301"/>
      <c r="D3160" s="301"/>
      <c r="E3160" s="301"/>
      <c r="F3160" s="69"/>
      <c r="G3160" s="988"/>
      <c r="H3160" s="69"/>
      <c r="I3160" s="385"/>
      <c r="J3160" s="969"/>
      <c r="K3160" s="385"/>
      <c r="L3160" s="392"/>
      <c r="M3160" s="970"/>
      <c r="N3160" s="304"/>
      <c r="O3160" s="304"/>
      <c r="P3160" s="79" t="str">
        <f>IF(AND('331-CT'!$E$7=TH!H3160,OR(N3160="331",O3160="331")),"x","")</f>
        <v/>
      </c>
      <c r="Q3160" s="79" t="str">
        <f>IF(AND(B3160='111'!$L$11,OR($N3160=$Q$7,$O3160=$Q$7)),"x","")</f>
        <v/>
      </c>
      <c r="R3160" s="79" t="str">
        <f>IF(AND($N3160=$Q$7,$B3160&lt;'111'!$L$11),"x","")</f>
        <v/>
      </c>
      <c r="S3160" s="79" t="str">
        <f>IF(AND($O3160=$Q$7,$B3160&lt;'111'!$L$11),"x","")</f>
        <v/>
      </c>
      <c r="T3160" s="79" t="str">
        <f>IF(ISERROR(FIND('112'!$M$9,G3160,1)),"",IF((AND(FIND('112'!$M$9,G3160,1)&gt;=1,B3160='112'!$K$9,OR($N3160='112'!$I$6,$O3160='112'!$I$6))),"x",""))</f>
        <v/>
      </c>
      <c r="U3160" s="79" t="str">
        <f>IF(ISERROR(FIND('112'!$M$9,G3160,1)),"",IF((AND(LEFT(G3160,2)=LEFT('112'!$M$9,2),B3160&lt;'112'!$K$9,$N3160='112'!$I$6)),"x",""))</f>
        <v/>
      </c>
      <c r="V3160" s="79" t="str">
        <f>IF(ISERROR(FIND('112'!$M$9,G3160,1)),"",IF((AND(RIGHT(G3160,2)=RIGHT('112'!$M$9,2),B3160&lt;'112'!$K$9,$O3160='112'!$I$6)),"x",""))</f>
        <v/>
      </c>
      <c r="W3160" s="79" t="str">
        <f>IF(AND('341-CT'!$H$9=H3160,OR(LEFT(N3160,3)=$W$7,LEFT(O3160,3)=$W$7)),"x","")</f>
        <v/>
      </c>
      <c r="X3160" s="79" t="str">
        <f>IF(OR(TH!N3160=TH!$X$7,O3160=TH!$X$7),"x","")</f>
        <v/>
      </c>
      <c r="Y3160" s="79" t="str">
        <f>IF(AND(OR(N3160="131",O3160="131"),H3160='131-CT'!$H$9),"x","")</f>
        <v/>
      </c>
      <c r="Z3160" s="79"/>
      <c r="AA3160" s="79" t="str">
        <f>IF(AND(MONTH(E3160)='IN-NX'!$J$5,'IN-NX'!$D$7=D3160),"x","")</f>
        <v/>
      </c>
      <c r="AB3160" s="79" t="str">
        <f>IF(AND(OR(LEFT(TH!N3160,2)="15",LEFT(TH!O3160,2)="15"),LEFT(TH!O3160,3)&lt;&gt;"111",'152-CT'!$J$8=TH!F3160),"x","")</f>
        <v/>
      </c>
      <c r="AC3160" s="79" t="str">
        <f>IF(AND(OR(LEFT(TH!N3160,2)="15",LEFT(TH!O3160,2)="15"),TK!$E$7=TH!F3160),"x","")</f>
        <v/>
      </c>
      <c r="AD3160" s="79" t="str">
        <f>IF(AND(N3160="1521",MONTH(C3160)='BK-NL'!$M$11),"x","")</f>
        <v/>
      </c>
    </row>
    <row r="3161" spans="1:30" ht="16.5" customHeight="1">
      <c r="A3161" s="318" t="str">
        <f>IF(B3161&lt;&gt;"",IF(AND(B3161='IN-TC'!$S$4,OR(TH!N3161="1111",TH!O3161="1111")),TH!D3161,""),"")</f>
        <v/>
      </c>
      <c r="B3161" s="60" t="str">
        <f t="shared" si="380"/>
        <v/>
      </c>
      <c r="C3161" s="301"/>
      <c r="D3161" s="301"/>
      <c r="E3161" s="301"/>
      <c r="F3161" s="69"/>
      <c r="G3161" s="988"/>
      <c r="H3161" s="69"/>
      <c r="I3161" s="385"/>
      <c r="J3161" s="969"/>
      <c r="K3161" s="385"/>
      <c r="L3161" s="392"/>
      <c r="M3161" s="970"/>
      <c r="N3161" s="304"/>
      <c r="O3161" s="304"/>
      <c r="P3161" s="79" t="str">
        <f>IF(AND('331-CT'!$E$7=TH!H3161,OR(N3161="331",O3161="331")),"x","")</f>
        <v/>
      </c>
      <c r="Q3161" s="79" t="str">
        <f>IF(AND(B3161='111'!$L$11,OR($N3161=$Q$7,$O3161=$Q$7)),"x","")</f>
        <v/>
      </c>
      <c r="R3161" s="79" t="str">
        <f>IF(AND($N3161=$Q$7,$B3161&lt;'111'!$L$11),"x","")</f>
        <v/>
      </c>
      <c r="S3161" s="79" t="str">
        <f>IF(AND($O3161=$Q$7,$B3161&lt;'111'!$L$11),"x","")</f>
        <v/>
      </c>
      <c r="T3161" s="79" t="str">
        <f>IF(ISERROR(FIND('112'!$M$9,G3161,1)),"",IF((AND(FIND('112'!$M$9,G3161,1)&gt;=1,B3161='112'!$K$9,OR($N3161='112'!$I$6,$O3161='112'!$I$6))),"x",""))</f>
        <v/>
      </c>
      <c r="U3161" s="79" t="str">
        <f>IF(ISERROR(FIND('112'!$M$9,G3161,1)),"",IF((AND(LEFT(G3161,2)=LEFT('112'!$M$9,2),B3161&lt;'112'!$K$9,$N3161='112'!$I$6)),"x",""))</f>
        <v/>
      </c>
      <c r="V3161" s="79" t="str">
        <f>IF(ISERROR(FIND('112'!$M$9,G3161,1)),"",IF((AND(RIGHT(G3161,2)=RIGHT('112'!$M$9,2),B3161&lt;'112'!$K$9,$O3161='112'!$I$6)),"x",""))</f>
        <v/>
      </c>
      <c r="W3161" s="79" t="str">
        <f>IF(AND('341-CT'!$H$9=H3161,OR(LEFT(N3161,3)=$W$7,LEFT(O3161,3)=$W$7)),"x","")</f>
        <v/>
      </c>
      <c r="X3161" s="79" t="str">
        <f>IF(OR(TH!N3161=TH!$X$7,O3161=TH!$X$7),"x","")</f>
        <v/>
      </c>
      <c r="Y3161" s="79" t="str">
        <f>IF(AND(OR(N3161="131",O3161="131"),H3161='131-CT'!$H$9),"x","")</f>
        <v/>
      </c>
      <c r="Z3161" s="79"/>
      <c r="AA3161" s="79" t="str">
        <f>IF(AND(MONTH(E3161)='IN-NX'!$J$5,'IN-NX'!$D$7=D3161),"x","")</f>
        <v/>
      </c>
      <c r="AB3161" s="79" t="str">
        <f>IF(AND(OR(LEFT(TH!N3161,2)="15",LEFT(TH!O3161,2)="15"),LEFT(TH!O3161,3)&lt;&gt;"111",'152-CT'!$J$8=TH!F3161),"x","")</f>
        <v/>
      </c>
      <c r="AC3161" s="79" t="str">
        <f>IF(AND(OR(LEFT(TH!N3161,2)="15",LEFT(TH!O3161,2)="15"),TK!$E$7=TH!F3161),"x","")</f>
        <v/>
      </c>
      <c r="AD3161" s="79" t="str">
        <f>IF(AND(N3161="1521",MONTH(C3161)='BK-NL'!$M$11),"x","")</f>
        <v/>
      </c>
    </row>
    <row r="3162" spans="1:30" s="1306" customFormat="1" ht="16.5" customHeight="1">
      <c r="A3162" s="1305" t="str">
        <f>IF(B3162&lt;&gt;"",IF(AND(B3162='IN-TC'!$S$4,OR(TH!N3162="1111",TH!O3162="1111")),TH!D3162,""),"")</f>
        <v/>
      </c>
      <c r="B3162" s="60" t="str">
        <f t="shared" si="380"/>
        <v/>
      </c>
      <c r="C3162" s="301"/>
      <c r="D3162" s="301"/>
      <c r="E3162" s="301"/>
      <c r="F3162" s="69"/>
      <c r="G3162" s="302"/>
      <c r="H3162" s="303"/>
      <c r="I3162" s="385"/>
      <c r="J3162" s="969"/>
      <c r="K3162" s="385"/>
      <c r="L3162" s="392"/>
      <c r="M3162" s="970"/>
      <c r="N3162" s="304"/>
      <c r="O3162" s="304"/>
      <c r="P3162" s="79" t="str">
        <f>IF(AND('331-CT'!$E$7=TH!H3162,OR(N3162="331",O3162="331")),"x","")</f>
        <v/>
      </c>
      <c r="Q3162" s="79" t="str">
        <f>IF(AND(B3162='111'!$L$11,OR($N3162=$Q$7,$O3162=$Q$7)),"x","")</f>
        <v/>
      </c>
      <c r="R3162" s="79" t="str">
        <f>IF(AND($N3162=$Q$7,$B3162&lt;'111'!$L$11),"x","")</f>
        <v/>
      </c>
      <c r="S3162" s="79" t="str">
        <f>IF(AND($O3162=$Q$7,$B3162&lt;'111'!$L$11),"x","")</f>
        <v/>
      </c>
      <c r="T3162" s="79" t="str">
        <f>IF(ISERROR(FIND('112'!$M$9,G3162,1)),"",IF((AND(FIND('112'!$M$9,G3162,1)&gt;=1,B3162='112'!$K$9,OR($N3162='112'!$I$6,$O3162='112'!$I$6))),"x",""))</f>
        <v/>
      </c>
      <c r="U3162" s="79" t="str">
        <f>IF(ISERROR(FIND('112'!$M$9,G3162,1)),"",IF((AND(LEFT(G3162,2)=LEFT('112'!$M$9,2),B3162&lt;'112'!$K$9,$N3162='112'!$I$6)),"x",""))</f>
        <v/>
      </c>
      <c r="V3162" s="79" t="str">
        <f>IF(ISERROR(FIND('112'!$M$9,G3162,1)),"",IF((AND(RIGHT(G3162,2)=RIGHT('112'!$M$9,2),B3162&lt;'112'!$K$9,$O3162='112'!$I$6)),"x",""))</f>
        <v/>
      </c>
      <c r="W3162" s="79" t="str">
        <f>IF(AND('341-CT'!$H$9=H3162,OR(LEFT(N3162,3)=$W$7,LEFT(O3162,3)=$W$7)),"x","")</f>
        <v/>
      </c>
      <c r="X3162" s="79" t="str">
        <f>IF(OR(TH!N3162=TH!$X$7,O3162=TH!$X$7),"x","")</f>
        <v/>
      </c>
      <c r="Y3162" s="79" t="str">
        <f>IF(AND(OR(N3162="131",O3162="131"),H3162='131-CT'!$H$9),"x","")</f>
        <v/>
      </c>
      <c r="Z3162" s="79"/>
      <c r="AA3162" s="79" t="str">
        <f>IF(AND(MONTH(E3162)='IN-NX'!$J$5,'IN-NX'!$D$7=D3162),"x","")</f>
        <v/>
      </c>
      <c r="AB3162" s="79" t="str">
        <f>IF(AND(OR(LEFT(TH!N3162,2)="15",LEFT(TH!O3162,2)="15"),LEFT(TH!O3162,3)&lt;&gt;"111",'152-CT'!$J$8=TH!F3162),"x","")</f>
        <v/>
      </c>
      <c r="AC3162" s="79" t="str">
        <f>IF(AND(OR(LEFT(TH!N3162,2)="15",LEFT(TH!O3162,2)="15"),TK!$E$7=TH!F3162),"x","")</f>
        <v/>
      </c>
      <c r="AD3162" s="79" t="str">
        <f>IF(AND(N3162="1521",MONTH(C3162)='BK-NL'!$M$11),"x","")</f>
        <v/>
      </c>
    </row>
    <row r="3163" spans="1:30" ht="16.5" customHeight="1">
      <c r="A3163" s="318" t="str">
        <f>IF(B3163&lt;&gt;"",IF(AND(B3163='IN-TC'!$S$4,OR(TH!N3163="1111",TH!O3163="1111")),TH!D3163,""),"")</f>
        <v/>
      </c>
      <c r="B3163" s="60" t="str">
        <f t="shared" si="380"/>
        <v/>
      </c>
      <c r="C3163" s="301"/>
      <c r="D3163" s="301"/>
      <c r="E3163" s="301"/>
      <c r="F3163" s="69"/>
      <c r="G3163" s="988"/>
      <c r="H3163" s="69"/>
      <c r="I3163" s="385"/>
      <c r="J3163" s="969"/>
      <c r="K3163" s="385"/>
      <c r="L3163" s="392"/>
      <c r="M3163" s="970"/>
      <c r="N3163" s="304"/>
      <c r="O3163" s="304"/>
      <c r="P3163" s="79" t="str">
        <f>IF(AND('331-CT'!$E$7=TH!H3163,OR(N3163="331",O3163="331")),"x","")</f>
        <v/>
      </c>
      <c r="Q3163" s="79" t="str">
        <f>IF(AND(B3163='111'!$L$11,OR($N3163=$Q$7,$O3163=$Q$7)),"x","")</f>
        <v/>
      </c>
      <c r="R3163" s="79" t="str">
        <f>IF(AND($N3163=$Q$7,$B3163&lt;'111'!$L$11),"x","")</f>
        <v/>
      </c>
      <c r="S3163" s="79" t="str">
        <f>IF(AND($O3163=$Q$7,$B3163&lt;'111'!$L$11),"x","")</f>
        <v/>
      </c>
      <c r="T3163" s="79" t="str">
        <f>IF(ISERROR(FIND('112'!$M$9,G3163,1)),"",IF((AND(FIND('112'!$M$9,G3163,1)&gt;=1,B3163='112'!$K$9,OR($N3163='112'!$I$6,$O3163='112'!$I$6))),"x",""))</f>
        <v/>
      </c>
      <c r="U3163" s="79" t="str">
        <f>IF(ISERROR(FIND('112'!$M$9,G3163,1)),"",IF((AND(LEFT(G3163,2)=LEFT('112'!$M$9,2),B3163&lt;'112'!$K$9,$N3163='112'!$I$6)),"x",""))</f>
        <v/>
      </c>
      <c r="V3163" s="79" t="str">
        <f>IF(ISERROR(FIND('112'!$M$9,G3163,1)),"",IF((AND(RIGHT(G3163,2)=RIGHT('112'!$M$9,2),B3163&lt;'112'!$K$9,$O3163='112'!$I$6)),"x",""))</f>
        <v/>
      </c>
      <c r="W3163" s="79" t="str">
        <f>IF(AND('341-CT'!$H$9=H3163,OR(LEFT(N3163,3)=$W$7,LEFT(O3163,3)=$W$7)),"x","")</f>
        <v/>
      </c>
      <c r="X3163" s="79" t="str">
        <f>IF(OR(TH!N3163=TH!$X$7,O3163=TH!$X$7),"x","")</f>
        <v/>
      </c>
      <c r="Y3163" s="79" t="str">
        <f>IF(AND(OR(N3163="131",O3163="131"),H3163='131-CT'!$H$9),"x","")</f>
        <v/>
      </c>
      <c r="Z3163" s="79"/>
      <c r="AA3163" s="79" t="str">
        <f>IF(AND(MONTH(E3163)='IN-NX'!$J$5,'IN-NX'!$D$7=D3163),"x","")</f>
        <v/>
      </c>
      <c r="AB3163" s="79" t="str">
        <f>IF(AND(OR(LEFT(TH!N3163,2)="15",LEFT(TH!O3163,2)="15"),LEFT(TH!O3163,3)&lt;&gt;"111",'152-CT'!$J$8=TH!F3163),"x","")</f>
        <v/>
      </c>
      <c r="AC3163" s="79" t="str">
        <f>IF(AND(OR(LEFT(TH!N3163,2)="15",LEFT(TH!O3163,2)="15"),TK!$E$7=TH!F3163),"x","")</f>
        <v/>
      </c>
      <c r="AD3163" s="79" t="str">
        <f>IF(AND(N3163="1521",MONTH(C3163)='BK-NL'!$M$11),"x","")</f>
        <v/>
      </c>
    </row>
    <row r="3164" spans="1:30" s="1101" customFormat="1" ht="16.5" customHeight="1">
      <c r="A3164" s="318" t="str">
        <f>IF(B3164&lt;&gt;"",IF(AND(B3164='IN-TC'!$S$4,OR(TH!N3164="1111",TH!O3164="1111")),TH!D3164,""),"")</f>
        <v/>
      </c>
      <c r="B3164" s="60" t="str">
        <f t="shared" si="380"/>
        <v/>
      </c>
      <c r="C3164" s="301"/>
      <c r="D3164" s="61"/>
      <c r="E3164" s="61"/>
      <c r="F3164" s="69"/>
      <c r="G3164" s="64"/>
      <c r="H3164" s="69"/>
      <c r="I3164" s="387"/>
      <c r="J3164" s="394"/>
      <c r="K3164" s="62"/>
      <c r="L3164" s="394"/>
      <c r="M3164" s="62"/>
      <c r="N3164" s="63"/>
      <c r="O3164" s="63"/>
      <c r="P3164" s="79" t="str">
        <f>IF(AND('331-CT'!$E$7=TH!H3164,OR(N3164="331",O3164="331")),"x","")</f>
        <v/>
      </c>
      <c r="Q3164" s="79" t="str">
        <f>IF(AND(B3164='111'!$L$11,OR($N3164=$Q$7,$O3164=$Q$7)),"x","")</f>
        <v/>
      </c>
      <c r="R3164" s="79" t="str">
        <f>IF(AND($N3164=$Q$7,$B3164&lt;'111'!$L$11),"x","")</f>
        <v/>
      </c>
      <c r="S3164" s="79" t="str">
        <f>IF(AND($O3164=$Q$7,$B3164&lt;'111'!$L$11),"x","")</f>
        <v/>
      </c>
      <c r="T3164" s="79" t="str">
        <f>IF(ISERROR(FIND('112'!$M$9,G3164,1)),"",IF((AND(FIND('112'!$M$9,G3164,1)&gt;=1,B3164='112'!$K$9,OR($N3164='112'!$I$6,$O3164='112'!$I$6))),"x",""))</f>
        <v/>
      </c>
      <c r="U3164" s="79" t="str">
        <f>IF(ISERROR(FIND('112'!$M$9,G3164,1)),"",IF((AND(LEFT(G3164,2)=LEFT('112'!$M$9,2),B3164&lt;'112'!$K$9,$N3164='112'!$I$6)),"x",""))</f>
        <v/>
      </c>
      <c r="V3164" s="79" t="str">
        <f>IF(ISERROR(FIND('112'!$M$9,G3164,1)),"",IF((AND(RIGHT(G3164,2)=RIGHT('112'!$M$9,2),B3164&lt;'112'!$K$9,$O3164='112'!$I$6)),"x",""))</f>
        <v/>
      </c>
      <c r="W3164" s="79" t="str">
        <f>IF(AND('341-CT'!$H$9=H3164,OR(LEFT(N3164,3)=$W$7,LEFT(O3164,3)=$W$7)),"x","")</f>
        <v/>
      </c>
      <c r="X3164" s="79" t="str">
        <f>IF(OR(TH!N3164=TH!$X$7,O3164=TH!$X$7),"x","")</f>
        <v/>
      </c>
      <c r="Y3164" s="79" t="str">
        <f>IF(AND(OR(N3164="131",O3164="131"),H3164='131-CT'!$H$9),"x","")</f>
        <v/>
      </c>
      <c r="Z3164" s="79"/>
      <c r="AA3164" s="79" t="str">
        <f>IF(AND(MONTH(E3164)='IN-NX'!$J$5,'IN-NX'!$D$7=D3164),"x","")</f>
        <v/>
      </c>
      <c r="AB3164" s="79" t="str">
        <f>IF(AND(OR(LEFT(TH!N3164,2)="15",LEFT(TH!O3164,2)="15"),LEFT(TH!O3164,3)&lt;&gt;"111",'152-CT'!$J$8=TH!F3164),"x","")</f>
        <v/>
      </c>
      <c r="AC3164" s="79" t="str">
        <f>IF(AND(OR(LEFT(TH!N3164,2)="15",LEFT(TH!O3164,2)="15"),TK!$E$7=TH!F3164),"x","")</f>
        <v/>
      </c>
      <c r="AD3164" s="79" t="str">
        <f>IF(AND(N3164="1521",MONTH(C3164)='BK-NL'!$M$11),"x","")</f>
        <v/>
      </c>
    </row>
    <row r="3165" spans="1:30" s="1101" customFormat="1" ht="16.5" customHeight="1">
      <c r="A3165" s="318" t="str">
        <f>IF(B3165&lt;&gt;"",IF(AND(B3165='IN-TC'!$S$4,OR(TH!N3165="1111",TH!O3165="1111")),TH!D3165,""),"")</f>
        <v/>
      </c>
      <c r="B3165" s="60" t="str">
        <f t="shared" si="380"/>
        <v/>
      </c>
      <c r="C3165" s="301"/>
      <c r="D3165" s="61"/>
      <c r="E3165" s="61"/>
      <c r="F3165" s="69"/>
      <c r="G3165" s="64"/>
      <c r="H3165" s="69"/>
      <c r="I3165" s="387"/>
      <c r="J3165" s="394"/>
      <c r="K3165" s="387"/>
      <c r="L3165" s="394"/>
      <c r="M3165" s="62"/>
      <c r="N3165" s="63"/>
      <c r="O3165" s="63"/>
      <c r="P3165" s="79" t="str">
        <f>IF(AND('331-CT'!$E$7=TH!H3165,OR(N3165="331",O3165="331")),"x","")</f>
        <v/>
      </c>
      <c r="Q3165" s="79" t="str">
        <f>IF(AND(B3165='111'!$L$11,OR($N3165=$Q$7,$O3165=$Q$7)),"x","")</f>
        <v/>
      </c>
      <c r="R3165" s="79" t="str">
        <f>IF(AND($N3165=$Q$7,$B3165&lt;'111'!$L$11),"x","")</f>
        <v/>
      </c>
      <c r="S3165" s="79" t="str">
        <f>IF(AND($O3165=$Q$7,$B3165&lt;'111'!$L$11),"x","")</f>
        <v/>
      </c>
      <c r="T3165" s="79" t="str">
        <f>IF(ISERROR(FIND('112'!$M$9,G3165,1)),"",IF((AND(FIND('112'!$M$9,G3165,1)&gt;=1,B3165='112'!$K$9,OR($N3165='112'!$I$6,$O3165='112'!$I$6))),"x",""))</f>
        <v/>
      </c>
      <c r="U3165" s="79" t="str">
        <f>IF(ISERROR(FIND('112'!$M$9,G3165,1)),"",IF((AND(LEFT(G3165,2)=LEFT('112'!$M$9,2),B3165&lt;'112'!$K$9,$N3165='112'!$I$6)),"x",""))</f>
        <v/>
      </c>
      <c r="V3165" s="79" t="str">
        <f>IF(ISERROR(FIND('112'!$M$9,G3165,1)),"",IF((AND(RIGHT(G3165,2)=RIGHT('112'!$M$9,2),B3165&lt;'112'!$K$9,$O3165='112'!$I$6)),"x",""))</f>
        <v/>
      </c>
      <c r="W3165" s="79" t="str">
        <f>IF(AND('341-CT'!$H$9=H3165,OR(LEFT(N3165,3)=$W$7,LEFT(O3165,3)=$W$7)),"x","")</f>
        <v/>
      </c>
      <c r="X3165" s="79" t="str">
        <f>IF(OR(TH!N3165=TH!$X$7,O3165=TH!$X$7),"x","")</f>
        <v/>
      </c>
      <c r="Y3165" s="79" t="str">
        <f>IF(AND(OR(N3165="131",O3165="131"),H3165='131-CT'!$H$9),"x","")</f>
        <v/>
      </c>
      <c r="Z3165" s="79"/>
      <c r="AA3165" s="79" t="str">
        <f>IF(AND(MONTH(E3165)='IN-NX'!$J$5,'IN-NX'!$D$7=D3165),"x","")</f>
        <v/>
      </c>
      <c r="AB3165" s="79" t="str">
        <f>IF(AND(OR(LEFT(TH!N3165,2)="15",LEFT(TH!O3165,2)="15"),LEFT(TH!O3165,3)&lt;&gt;"111",'152-CT'!$J$8=TH!F3165),"x","")</f>
        <v/>
      </c>
      <c r="AC3165" s="79" t="str">
        <f>IF(AND(OR(LEFT(TH!N3165,2)="15",LEFT(TH!O3165,2)="15"),TK!$E$7=TH!F3165),"x","")</f>
        <v/>
      </c>
      <c r="AD3165" s="79" t="str">
        <f>IF(AND(N3165="1521",MONTH(C3165)='BK-NL'!$M$11),"x","")</f>
        <v/>
      </c>
    </row>
    <row r="3166" spans="1:30" ht="16.5" customHeight="1">
      <c r="A3166" s="318" t="str">
        <f>IF(B3166&lt;&gt;"",IF(AND(B3166='IN-TC'!$S$4,OR(TH!N3166="1111",TH!O3166="1111")),TH!D3166,""),"")</f>
        <v/>
      </c>
      <c r="B3166" s="60" t="str">
        <f t="shared" ref="B3166:B3174" si="383">IF(C3166&lt;&gt;"",MONTH(C3166),"")</f>
        <v/>
      </c>
      <c r="C3166" s="301"/>
      <c r="D3166" s="301"/>
      <c r="E3166" s="301"/>
      <c r="F3166" s="69"/>
      <c r="G3166" s="988"/>
      <c r="H3166" s="303"/>
      <c r="I3166" s="385"/>
      <c r="J3166" s="969"/>
      <c r="K3166" s="385"/>
      <c r="L3166" s="392"/>
      <c r="M3166" s="970"/>
      <c r="N3166" s="304"/>
      <c r="O3166" s="304"/>
      <c r="P3166" s="79" t="str">
        <f>IF(AND('331-CT'!$E$7=TH!H3166,OR(N3166="331",O3166="331")),"x","")</f>
        <v/>
      </c>
      <c r="Q3166" s="79" t="str">
        <f>IF(AND(B3166='111'!$L$11,OR($N3166=$Q$7,$O3166=$Q$7)),"x","")</f>
        <v/>
      </c>
      <c r="R3166" s="79" t="str">
        <f>IF(AND($N3166=$Q$7,$B3166&lt;'111'!$L$11),"x","")</f>
        <v/>
      </c>
      <c r="S3166" s="79" t="str">
        <f>IF(AND($O3166=$Q$7,$B3166&lt;'111'!$L$11),"x","")</f>
        <v/>
      </c>
      <c r="T3166" s="79" t="str">
        <f>IF(ISERROR(FIND('112'!$M$9,G3166,1)),"",IF((AND(FIND('112'!$M$9,G3166,1)&gt;=1,B3166='112'!$K$9,OR($N3166='112'!$I$6,$O3166='112'!$I$6))),"x",""))</f>
        <v/>
      </c>
      <c r="U3166" s="79" t="str">
        <f>IF(ISERROR(FIND('112'!$M$9,G3166,1)),"",IF((AND(LEFT(G3166,2)=LEFT('112'!$M$9,2),B3166&lt;'112'!$K$9,$N3166='112'!$I$6)),"x",""))</f>
        <v/>
      </c>
      <c r="V3166" s="79" t="str">
        <f>IF(ISERROR(FIND('112'!$M$9,G3166,1)),"",IF((AND(RIGHT(G3166,2)=RIGHT('112'!$M$9,2),B3166&lt;'112'!$K$9,$O3166='112'!$I$6)),"x",""))</f>
        <v/>
      </c>
      <c r="W3166" s="79" t="str">
        <f>IF(AND('341-CT'!$H$9=H3166,OR(LEFT(N3166,3)=$W$7,LEFT(O3166,3)=$W$7)),"x","")</f>
        <v/>
      </c>
      <c r="X3166" s="79" t="str">
        <f>IF(OR(TH!N3166=TH!$X$7,O3166=TH!$X$7),"x","")</f>
        <v/>
      </c>
      <c r="Y3166" s="79" t="str">
        <f>IF(AND(OR(N3166="131",O3166="131"),H3166='131-CT'!$H$9),"x","")</f>
        <v/>
      </c>
      <c r="Z3166" s="79"/>
      <c r="AA3166" s="79" t="str">
        <f>IF(AND(MONTH(E3166)='IN-NX'!$J$5,'IN-NX'!$D$7=D3166),"x","")</f>
        <v/>
      </c>
      <c r="AB3166" s="79" t="str">
        <f>IF(AND(OR(LEFT(TH!N3166,2)="15",LEFT(TH!O3166,2)="15"),LEFT(TH!O3166,3)&lt;&gt;"111",'152-CT'!$J$8=TH!F3166),"x","")</f>
        <v/>
      </c>
      <c r="AC3166" s="79" t="str">
        <f>IF(AND(OR(LEFT(TH!N3166,2)="15",LEFT(TH!O3166,2)="15"),TK!$E$7=TH!F3166),"x","")</f>
        <v/>
      </c>
      <c r="AD3166" s="79" t="str">
        <f>IF(AND(N3166="1521",MONTH(C3166)='BK-NL'!$M$11),"x","")</f>
        <v/>
      </c>
    </row>
    <row r="3167" spans="1:30" ht="16.5" customHeight="1">
      <c r="A3167" s="318" t="str">
        <f>IF(B3167&lt;&gt;"",IF(AND(B3167='IN-TC'!$S$4,OR(TH!N3167="1111",TH!O3167="1111")),TH!D3167,""),"")</f>
        <v/>
      </c>
      <c r="B3167" s="60" t="str">
        <f t="shared" ref="B3167:B3169" si="384">IF(C3167&lt;&gt;"",MONTH(C3167),"")</f>
        <v/>
      </c>
      <c r="C3167" s="301"/>
      <c r="D3167" s="301"/>
      <c r="E3167" s="301"/>
      <c r="F3167" s="69"/>
      <c r="G3167" s="988"/>
      <c r="H3167" s="303"/>
      <c r="I3167" s="385"/>
      <c r="J3167" s="969"/>
      <c r="K3167" s="385"/>
      <c r="L3167" s="392"/>
      <c r="M3167" s="970"/>
      <c r="N3167" s="304"/>
      <c r="O3167" s="304"/>
      <c r="P3167" s="79" t="str">
        <f>IF(AND('331-CT'!$E$7=TH!H3167,OR(N3167="331",O3167="331")),"x","")</f>
        <v/>
      </c>
      <c r="Q3167" s="79" t="str">
        <f>IF(AND(B3167='111'!$L$11,OR($N3167=$Q$7,$O3167=$Q$7)),"x","")</f>
        <v/>
      </c>
      <c r="R3167" s="79" t="str">
        <f>IF(AND($N3167=$Q$7,$B3167&lt;'111'!$L$11),"x","")</f>
        <v/>
      </c>
      <c r="S3167" s="79" t="str">
        <f>IF(AND($O3167=$Q$7,$B3167&lt;'111'!$L$11),"x","")</f>
        <v/>
      </c>
      <c r="T3167" s="79" t="str">
        <f>IF(ISERROR(FIND('112'!$M$9,G3167,1)),"",IF((AND(FIND('112'!$M$9,G3167,1)&gt;=1,B3167='112'!$K$9,OR($N3167='112'!$I$6,$O3167='112'!$I$6))),"x",""))</f>
        <v/>
      </c>
      <c r="U3167" s="79" t="str">
        <f>IF(ISERROR(FIND('112'!$M$9,G3167,1)),"",IF((AND(LEFT(G3167,2)=LEFT('112'!$M$9,2),B3167&lt;'112'!$K$9,$N3167='112'!$I$6)),"x",""))</f>
        <v/>
      </c>
      <c r="V3167" s="79" t="str">
        <f>IF(ISERROR(FIND('112'!$M$9,G3167,1)),"",IF((AND(RIGHT(G3167,2)=RIGHT('112'!$M$9,2),B3167&lt;'112'!$K$9,$O3167='112'!$I$6)),"x",""))</f>
        <v/>
      </c>
      <c r="W3167" s="79" t="str">
        <f>IF(AND('341-CT'!$H$9=H3167,OR(LEFT(N3167,3)=$W$7,LEFT(O3167,3)=$W$7)),"x","")</f>
        <v/>
      </c>
      <c r="X3167" s="79" t="str">
        <f>IF(OR(TH!N3167=TH!$X$7,O3167=TH!$X$7),"x","")</f>
        <v/>
      </c>
      <c r="Y3167" s="79" t="str">
        <f>IF(AND(OR(N3167="131",O3167="131"),H3167='131-CT'!$H$9),"x","")</f>
        <v/>
      </c>
      <c r="Z3167" s="79"/>
      <c r="AA3167" s="79" t="str">
        <f>IF(AND(MONTH(E3167)='IN-NX'!$J$5,'IN-NX'!$D$7=D3167),"x","")</f>
        <v/>
      </c>
      <c r="AB3167" s="79" t="str">
        <f>IF(AND(OR(LEFT(TH!N3167,2)="15",LEFT(TH!O3167,2)="15"),LEFT(TH!O3167,3)&lt;&gt;"111",'152-CT'!$J$8=TH!F3167),"x","")</f>
        <v/>
      </c>
      <c r="AC3167" s="79" t="str">
        <f>IF(AND(OR(LEFT(TH!N3167,2)="15",LEFT(TH!O3167,2)="15"),TK!$E$7=TH!F3167),"x","")</f>
        <v/>
      </c>
      <c r="AD3167" s="79" t="str">
        <f>IF(AND(N3167="1521",MONTH(C3167)='BK-NL'!$M$11),"x","")</f>
        <v/>
      </c>
    </row>
    <row r="3168" spans="1:30" ht="16.5" customHeight="1">
      <c r="A3168" s="318" t="str">
        <f>IF(B3168&lt;&gt;"",IF(AND(B3168='IN-TC'!$S$4,OR(TH!N3168="1111",TH!O3168="1111")),TH!D3168,""),"")</f>
        <v/>
      </c>
      <c r="B3168" s="60" t="str">
        <f t="shared" si="384"/>
        <v/>
      </c>
      <c r="C3168" s="301"/>
      <c r="D3168" s="301"/>
      <c r="E3168" s="301"/>
      <c r="F3168" s="69"/>
      <c r="G3168" s="988"/>
      <c r="H3168" s="303"/>
      <c r="I3168" s="385"/>
      <c r="J3168" s="969"/>
      <c r="K3168" s="385"/>
      <c r="L3168" s="392"/>
      <c r="M3168" s="970"/>
      <c r="N3168" s="304"/>
      <c r="O3168" s="304"/>
      <c r="P3168" s="79" t="str">
        <f>IF(AND('331-CT'!$E$7=TH!H3168,OR(N3168="331",O3168="331")),"x","")</f>
        <v/>
      </c>
      <c r="Q3168" s="79" t="str">
        <f>IF(AND(B3168='111'!$L$11,OR($N3168=$Q$7,$O3168=$Q$7)),"x","")</f>
        <v/>
      </c>
      <c r="R3168" s="79" t="str">
        <f>IF(AND($N3168=$Q$7,$B3168&lt;'111'!$L$11),"x","")</f>
        <v/>
      </c>
      <c r="S3168" s="79" t="str">
        <f>IF(AND($O3168=$Q$7,$B3168&lt;'111'!$L$11),"x","")</f>
        <v/>
      </c>
      <c r="T3168" s="79" t="str">
        <f>IF(ISERROR(FIND('112'!$M$9,G3168,1)),"",IF((AND(FIND('112'!$M$9,G3168,1)&gt;=1,B3168='112'!$K$9,OR($N3168='112'!$I$6,$O3168='112'!$I$6))),"x",""))</f>
        <v/>
      </c>
      <c r="U3168" s="79" t="str">
        <f>IF(ISERROR(FIND('112'!$M$9,G3168,1)),"",IF((AND(LEFT(G3168,2)=LEFT('112'!$M$9,2),B3168&lt;'112'!$K$9,$N3168='112'!$I$6)),"x",""))</f>
        <v/>
      </c>
      <c r="V3168" s="79" t="str">
        <f>IF(ISERROR(FIND('112'!$M$9,G3168,1)),"",IF((AND(RIGHT(G3168,2)=RIGHT('112'!$M$9,2),B3168&lt;'112'!$K$9,$O3168='112'!$I$6)),"x",""))</f>
        <v/>
      </c>
      <c r="W3168" s="79" t="str">
        <f>IF(AND('341-CT'!$H$9=H3168,OR(LEFT(N3168,3)=$W$7,LEFT(O3168,3)=$W$7)),"x","")</f>
        <v/>
      </c>
      <c r="X3168" s="79" t="str">
        <f>IF(OR(TH!N3168=TH!$X$7,O3168=TH!$X$7),"x","")</f>
        <v/>
      </c>
      <c r="Y3168" s="79" t="str">
        <f>IF(AND(OR(N3168="131",O3168="131"),H3168='131-CT'!$H$9),"x","")</f>
        <v/>
      </c>
      <c r="Z3168" s="79"/>
      <c r="AA3168" s="79" t="str">
        <f>IF(AND(MONTH(E3168)='IN-NX'!$J$5,'IN-NX'!$D$7=D3168),"x","")</f>
        <v/>
      </c>
      <c r="AB3168" s="79" t="str">
        <f>IF(AND(OR(LEFT(TH!N3168,2)="15",LEFT(TH!O3168,2)="15"),LEFT(TH!O3168,3)&lt;&gt;"111",'152-CT'!$J$8=TH!F3168),"x","")</f>
        <v/>
      </c>
      <c r="AC3168" s="79" t="str">
        <f>IF(AND(OR(LEFT(TH!N3168,2)="15",LEFT(TH!O3168,2)="15"),TK!$E$7=TH!F3168),"x","")</f>
        <v/>
      </c>
      <c r="AD3168" s="79" t="str">
        <f>IF(AND(N3168="1521",MONTH(C3168)='BK-NL'!$M$11),"x","")</f>
        <v/>
      </c>
    </row>
    <row r="3169" spans="1:30" ht="16.5" customHeight="1">
      <c r="A3169" s="318" t="str">
        <f>IF(B3169&lt;&gt;"",IF(AND(B3169='IN-TC'!$S$4,OR(TH!N3169="1111",TH!O3169="1111")),TH!D3169,""),"")</f>
        <v/>
      </c>
      <c r="B3169" s="60" t="str">
        <f t="shared" si="384"/>
        <v/>
      </c>
      <c r="C3169" s="301"/>
      <c r="D3169" s="301"/>
      <c r="E3169" s="301"/>
      <c r="F3169" s="69"/>
      <c r="G3169" s="988"/>
      <c r="H3169" s="303"/>
      <c r="I3169" s="385"/>
      <c r="J3169" s="969"/>
      <c r="K3169" s="385"/>
      <c r="L3169" s="392"/>
      <c r="M3169" s="970"/>
      <c r="N3169" s="304"/>
      <c r="O3169" s="304"/>
      <c r="P3169" s="79" t="str">
        <f>IF(AND('331-CT'!$E$7=TH!H3169,OR(N3169="331",O3169="331")),"x","")</f>
        <v/>
      </c>
      <c r="Q3169" s="79" t="str">
        <f>IF(AND(B3169='111'!$L$11,OR($N3169=$Q$7,$O3169=$Q$7)),"x","")</f>
        <v/>
      </c>
      <c r="R3169" s="79" t="str">
        <f>IF(AND($N3169=$Q$7,$B3169&lt;'111'!$L$11),"x","")</f>
        <v/>
      </c>
      <c r="S3169" s="79" t="str">
        <f>IF(AND($O3169=$Q$7,$B3169&lt;'111'!$L$11),"x","")</f>
        <v/>
      </c>
      <c r="T3169" s="79" t="str">
        <f>IF(ISERROR(FIND('112'!$M$9,G3169,1)),"",IF((AND(FIND('112'!$M$9,G3169,1)&gt;=1,B3169='112'!$K$9,OR($N3169='112'!$I$6,$O3169='112'!$I$6))),"x",""))</f>
        <v/>
      </c>
      <c r="U3169" s="79" t="str">
        <f>IF(ISERROR(FIND('112'!$M$9,G3169,1)),"",IF((AND(LEFT(G3169,2)=LEFT('112'!$M$9,2),B3169&lt;'112'!$K$9,$N3169='112'!$I$6)),"x",""))</f>
        <v/>
      </c>
      <c r="V3169" s="79" t="str">
        <f>IF(ISERROR(FIND('112'!$M$9,G3169,1)),"",IF((AND(RIGHT(G3169,2)=RIGHT('112'!$M$9,2),B3169&lt;'112'!$K$9,$O3169='112'!$I$6)),"x",""))</f>
        <v/>
      </c>
      <c r="W3169" s="79" t="str">
        <f>IF(AND('341-CT'!$H$9=H3169,OR(LEFT(N3169,3)=$W$7,LEFT(O3169,3)=$W$7)),"x","")</f>
        <v/>
      </c>
      <c r="X3169" s="79" t="str">
        <f>IF(OR(TH!N3169=TH!$X$7,O3169=TH!$X$7),"x","")</f>
        <v/>
      </c>
      <c r="Y3169" s="79" t="str">
        <f>IF(AND(OR(N3169="131",O3169="131"),H3169='131-CT'!$H$9),"x","")</f>
        <v/>
      </c>
      <c r="Z3169" s="79"/>
      <c r="AA3169" s="79" t="str">
        <f>IF(AND(MONTH(E3169)='IN-NX'!$J$5,'IN-NX'!$D$7=D3169),"x","")</f>
        <v/>
      </c>
      <c r="AB3169" s="79" t="str">
        <f>IF(AND(OR(LEFT(TH!N3169,2)="15",LEFT(TH!O3169,2)="15"),LEFT(TH!O3169,3)&lt;&gt;"111",'152-CT'!$J$8=TH!F3169),"x","")</f>
        <v/>
      </c>
      <c r="AC3169" s="79" t="str">
        <f>IF(AND(OR(LEFT(TH!N3169,2)="15",LEFT(TH!O3169,2)="15"),TK!$E$7=TH!F3169),"x","")</f>
        <v/>
      </c>
      <c r="AD3169" s="79" t="str">
        <f>IF(AND(N3169="1521",MONTH(C3169)='BK-NL'!$M$11),"x","")</f>
        <v/>
      </c>
    </row>
    <row r="3170" spans="1:30" s="1101" customFormat="1" ht="16.5" customHeight="1">
      <c r="A3170" s="318" t="str">
        <f>IF(B3170&lt;&gt;"",IF(AND(B3170='IN-TC'!$S$4,OR(TH!N3170="1111",TH!O3170="1111")),TH!D3170,""),"")</f>
        <v/>
      </c>
      <c r="B3170" s="60" t="str">
        <f t="shared" si="383"/>
        <v/>
      </c>
      <c r="C3170" s="301"/>
      <c r="D3170" s="61"/>
      <c r="E3170" s="61"/>
      <c r="F3170" s="69"/>
      <c r="G3170" s="64"/>
      <c r="H3170" s="69"/>
      <c r="I3170" s="387"/>
      <c r="J3170" s="394"/>
      <c r="K3170" s="62"/>
      <c r="L3170" s="394"/>
      <c r="M3170" s="62"/>
      <c r="N3170" s="63"/>
      <c r="O3170" s="63"/>
      <c r="P3170" s="79" t="str">
        <f>IF(AND('331-CT'!$E$7=TH!H3170,OR(N3170="331",O3170="331")),"x","")</f>
        <v/>
      </c>
      <c r="Q3170" s="79" t="str">
        <f>IF(AND(B3170='111'!$L$11,OR($N3170=$Q$7,$O3170=$Q$7)),"x","")</f>
        <v/>
      </c>
      <c r="R3170" s="79" t="str">
        <f>IF(AND($N3170=$Q$7,$B3170&lt;'111'!$L$11),"x","")</f>
        <v/>
      </c>
      <c r="S3170" s="79" t="str">
        <f>IF(AND($O3170=$Q$7,$B3170&lt;'111'!$L$11),"x","")</f>
        <v/>
      </c>
      <c r="T3170" s="79" t="str">
        <f>IF(ISERROR(FIND('112'!$M$9,G3170,1)),"",IF((AND(FIND('112'!$M$9,G3170,1)&gt;=1,B3170='112'!$K$9,OR($N3170='112'!$I$6,$O3170='112'!$I$6))),"x",""))</f>
        <v/>
      </c>
      <c r="U3170" s="79" t="str">
        <f>IF(ISERROR(FIND('112'!$M$9,G3170,1)),"",IF((AND(LEFT(G3170,2)=LEFT('112'!$M$9,2),B3170&lt;'112'!$K$9,$N3170='112'!$I$6)),"x",""))</f>
        <v/>
      </c>
      <c r="V3170" s="79" t="str">
        <f>IF(ISERROR(FIND('112'!$M$9,G3170,1)),"",IF((AND(RIGHT(G3170,2)=RIGHT('112'!$M$9,2),B3170&lt;'112'!$K$9,$O3170='112'!$I$6)),"x",""))</f>
        <v/>
      </c>
      <c r="W3170" s="79" t="str">
        <f>IF(AND('341-CT'!$H$9=H3170,OR(LEFT(N3170,3)=$W$7,LEFT(O3170,3)=$W$7)),"x","")</f>
        <v/>
      </c>
      <c r="X3170" s="79" t="str">
        <f>IF(OR(TH!N3170=TH!$X$7,O3170=TH!$X$7),"x","")</f>
        <v/>
      </c>
      <c r="Y3170" s="79" t="str">
        <f>IF(AND(OR(N3170="131",O3170="131"),H3170='131-CT'!$H$9),"x","")</f>
        <v/>
      </c>
      <c r="Z3170" s="79"/>
      <c r="AA3170" s="79" t="str">
        <f>IF(AND(MONTH(E3170)='IN-NX'!$J$5,'IN-NX'!$D$7=D3170),"x","")</f>
        <v/>
      </c>
      <c r="AB3170" s="79" t="str">
        <f>IF(AND(OR(LEFT(TH!N3170,2)="15",LEFT(TH!O3170,2)="15"),LEFT(TH!O3170,3)&lt;&gt;"111",'152-CT'!$J$8=TH!F3170),"x","")</f>
        <v/>
      </c>
      <c r="AC3170" s="79" t="str">
        <f>IF(AND(OR(LEFT(TH!N3170,2)="15",LEFT(TH!O3170,2)="15"),TK!$E$7=TH!F3170),"x","")</f>
        <v/>
      </c>
      <c r="AD3170" s="79" t="str">
        <f>IF(AND(N3170="1521",MONTH(C3170)='BK-NL'!$M$11),"x","")</f>
        <v/>
      </c>
    </row>
    <row r="3171" spans="1:30" s="1101" customFormat="1" ht="16.5" customHeight="1">
      <c r="A3171" s="318" t="str">
        <f>IF(B3171&lt;&gt;"",IF(AND(B3171='IN-TC'!$S$4,OR(TH!N3171="1111",TH!O3171="1111")),TH!D3171,""),"")</f>
        <v/>
      </c>
      <c r="B3171" s="60" t="str">
        <f t="shared" si="383"/>
        <v/>
      </c>
      <c r="C3171" s="301"/>
      <c r="D3171" s="61"/>
      <c r="E3171" s="61"/>
      <c r="F3171" s="69"/>
      <c r="G3171" s="64"/>
      <c r="H3171" s="69"/>
      <c r="I3171" s="387"/>
      <c r="J3171" s="394"/>
      <c r="K3171" s="387"/>
      <c r="L3171" s="394"/>
      <c r="M3171" s="62"/>
      <c r="N3171" s="63"/>
      <c r="O3171" s="63"/>
      <c r="P3171" s="79" t="str">
        <f>IF(AND('331-CT'!$E$7=TH!H3171,OR(N3171="331",O3171="331")),"x","")</f>
        <v/>
      </c>
      <c r="Q3171" s="79" t="str">
        <f>IF(AND(B3171='111'!$L$11,OR($N3171=$Q$7,$O3171=$Q$7)),"x","")</f>
        <v/>
      </c>
      <c r="R3171" s="79" t="str">
        <f>IF(AND($N3171=$Q$7,$B3171&lt;'111'!$L$11),"x","")</f>
        <v/>
      </c>
      <c r="S3171" s="79" t="str">
        <f>IF(AND($O3171=$Q$7,$B3171&lt;'111'!$L$11),"x","")</f>
        <v/>
      </c>
      <c r="T3171" s="79" t="str">
        <f>IF(ISERROR(FIND('112'!$M$9,G3171,1)),"",IF((AND(FIND('112'!$M$9,G3171,1)&gt;=1,B3171='112'!$K$9,OR($N3171='112'!$I$6,$O3171='112'!$I$6))),"x",""))</f>
        <v/>
      </c>
      <c r="U3171" s="79" t="str">
        <f>IF(ISERROR(FIND('112'!$M$9,G3171,1)),"",IF((AND(LEFT(G3171,2)=LEFT('112'!$M$9,2),B3171&lt;'112'!$K$9,$N3171='112'!$I$6)),"x",""))</f>
        <v/>
      </c>
      <c r="V3171" s="79" t="str">
        <f>IF(ISERROR(FIND('112'!$M$9,G3171,1)),"",IF((AND(RIGHT(G3171,2)=RIGHT('112'!$M$9,2),B3171&lt;'112'!$K$9,$O3171='112'!$I$6)),"x",""))</f>
        <v/>
      </c>
      <c r="W3171" s="79" t="str">
        <f>IF(AND('341-CT'!$H$9=H3171,OR(LEFT(N3171,3)=$W$7,LEFT(O3171,3)=$W$7)),"x","")</f>
        <v/>
      </c>
      <c r="X3171" s="79" t="str">
        <f>IF(OR(TH!N3171=TH!$X$7,O3171=TH!$X$7),"x","")</f>
        <v/>
      </c>
      <c r="Y3171" s="79" t="str">
        <f>IF(AND(OR(N3171="131",O3171="131"),H3171='131-CT'!$H$9),"x","")</f>
        <v/>
      </c>
      <c r="Z3171" s="79"/>
      <c r="AA3171" s="79" t="str">
        <f>IF(AND(MONTH(E3171)='IN-NX'!$J$5,'IN-NX'!$D$7=D3171),"x","")</f>
        <v/>
      </c>
      <c r="AB3171" s="79" t="str">
        <f>IF(AND(OR(LEFT(TH!N3171,2)="15",LEFT(TH!O3171,2)="15"),LEFT(TH!O3171,3)&lt;&gt;"111",'152-CT'!$J$8=TH!F3171),"x","")</f>
        <v/>
      </c>
      <c r="AC3171" s="79" t="str">
        <f>IF(AND(OR(LEFT(TH!N3171,2)="15",LEFT(TH!O3171,2)="15"),TK!$E$7=TH!F3171),"x","")</f>
        <v/>
      </c>
      <c r="AD3171" s="79" t="str">
        <f>IF(AND(N3171="1521",MONTH(C3171)='BK-NL'!$M$11),"x","")</f>
        <v/>
      </c>
    </row>
    <row r="3172" spans="1:30" ht="16.5" customHeight="1">
      <c r="A3172" s="318" t="str">
        <f>IF(B3172&lt;&gt;"",IF(AND(B3172='IN-TC'!$S$4,OR(TH!N3172="1111",TH!O3172="1111")),TH!D3172,""),"")</f>
        <v/>
      </c>
      <c r="B3172" s="60" t="str">
        <f t="shared" si="383"/>
        <v/>
      </c>
      <c r="C3172" s="301"/>
      <c r="D3172" s="301"/>
      <c r="E3172" s="301"/>
      <c r="F3172" s="69"/>
      <c r="G3172" s="988"/>
      <c r="H3172" s="303"/>
      <c r="I3172" s="385"/>
      <c r="J3172" s="969"/>
      <c r="K3172" s="385"/>
      <c r="L3172" s="392"/>
      <c r="M3172" s="970"/>
      <c r="N3172" s="304"/>
      <c r="O3172" s="304"/>
      <c r="P3172" s="79" t="str">
        <f>IF(AND('331-CT'!$E$7=TH!H3172,OR(N3172="331",O3172="331")),"x","")</f>
        <v/>
      </c>
      <c r="Q3172" s="79" t="str">
        <f>IF(AND(B3172='111'!$L$11,OR($N3172=$Q$7,$O3172=$Q$7)),"x","")</f>
        <v/>
      </c>
      <c r="R3172" s="79" t="str">
        <f>IF(AND($N3172=$Q$7,$B3172&lt;'111'!$L$11),"x","")</f>
        <v/>
      </c>
      <c r="S3172" s="79" t="str">
        <f>IF(AND($O3172=$Q$7,$B3172&lt;'111'!$L$11),"x","")</f>
        <v/>
      </c>
      <c r="T3172" s="79" t="str">
        <f>IF(ISERROR(FIND('112'!$M$9,G3172,1)),"",IF((AND(FIND('112'!$M$9,G3172,1)&gt;=1,B3172='112'!$K$9,OR($N3172='112'!$I$6,$O3172='112'!$I$6))),"x",""))</f>
        <v/>
      </c>
      <c r="U3172" s="79" t="str">
        <f>IF(ISERROR(FIND('112'!$M$9,G3172,1)),"",IF((AND(LEFT(G3172,2)=LEFT('112'!$M$9,2),B3172&lt;'112'!$K$9,$N3172='112'!$I$6)),"x",""))</f>
        <v/>
      </c>
      <c r="V3172" s="79" t="str">
        <f>IF(ISERROR(FIND('112'!$M$9,G3172,1)),"",IF((AND(RIGHT(G3172,2)=RIGHT('112'!$M$9,2),B3172&lt;'112'!$K$9,$O3172='112'!$I$6)),"x",""))</f>
        <v/>
      </c>
      <c r="W3172" s="79" t="str">
        <f>IF(AND('341-CT'!$H$9=H3172,OR(LEFT(N3172,3)=$W$7,LEFT(O3172,3)=$W$7)),"x","")</f>
        <v/>
      </c>
      <c r="X3172" s="79" t="str">
        <f>IF(OR(TH!N3172=TH!$X$7,O3172=TH!$X$7),"x","")</f>
        <v/>
      </c>
      <c r="Y3172" s="79" t="str">
        <f>IF(AND(OR(N3172="131",O3172="131"),H3172='131-CT'!$H$9),"x","")</f>
        <v/>
      </c>
      <c r="Z3172" s="79"/>
      <c r="AA3172" s="79" t="str">
        <f>IF(AND(MONTH(E3172)='IN-NX'!$J$5,'IN-NX'!$D$7=D3172),"x","")</f>
        <v/>
      </c>
      <c r="AB3172" s="79" t="str">
        <f>IF(AND(OR(LEFT(TH!N3172,2)="15",LEFT(TH!O3172,2)="15"),LEFT(TH!O3172,3)&lt;&gt;"111",'152-CT'!$J$8=TH!F3172),"x","")</f>
        <v/>
      </c>
      <c r="AC3172" s="79" t="str">
        <f>IF(AND(OR(LEFT(TH!N3172,2)="15",LEFT(TH!O3172,2)="15"),TK!$E$7=TH!F3172),"x","")</f>
        <v/>
      </c>
      <c r="AD3172" s="79" t="str">
        <f>IF(AND(N3172="1521",MONTH(C3172)='BK-NL'!$M$11),"x","")</f>
        <v/>
      </c>
    </row>
    <row r="3173" spans="1:30" s="1101" customFormat="1" ht="16.5" customHeight="1">
      <c r="A3173" s="318" t="str">
        <f>IF(B3173&lt;&gt;"",IF(AND(B3173='IN-TC'!$S$4,OR(TH!N3173="1111",TH!O3173="1111")),TH!D3173,""),"")</f>
        <v/>
      </c>
      <c r="B3173" s="60" t="str">
        <f t="shared" si="383"/>
        <v/>
      </c>
      <c r="C3173" s="301"/>
      <c r="D3173" s="61"/>
      <c r="E3173" s="61"/>
      <c r="F3173" s="69"/>
      <c r="G3173" s="64"/>
      <c r="H3173" s="69"/>
      <c r="I3173" s="387"/>
      <c r="J3173" s="394"/>
      <c r="K3173" s="62"/>
      <c r="L3173" s="394"/>
      <c r="M3173" s="62"/>
      <c r="N3173" s="63"/>
      <c r="O3173" s="63"/>
      <c r="P3173" s="79" t="str">
        <f>IF(AND('331-CT'!$E$7=TH!H3173,OR(N3173="331",O3173="331")),"x","")</f>
        <v/>
      </c>
      <c r="Q3173" s="79" t="str">
        <f>IF(AND(B3173='111'!$L$11,OR($N3173=$Q$7,$O3173=$Q$7)),"x","")</f>
        <v/>
      </c>
      <c r="R3173" s="79" t="str">
        <f>IF(AND($N3173=$Q$7,$B3173&lt;'111'!$L$11),"x","")</f>
        <v/>
      </c>
      <c r="S3173" s="79" t="str">
        <f>IF(AND($O3173=$Q$7,$B3173&lt;'111'!$L$11),"x","")</f>
        <v/>
      </c>
      <c r="T3173" s="79" t="str">
        <f>IF(ISERROR(FIND('112'!$M$9,G3173,1)),"",IF((AND(FIND('112'!$M$9,G3173,1)&gt;=1,B3173='112'!$K$9,OR($N3173='112'!$I$6,$O3173='112'!$I$6))),"x",""))</f>
        <v/>
      </c>
      <c r="U3173" s="79" t="str">
        <f>IF(ISERROR(FIND('112'!$M$9,G3173,1)),"",IF((AND(LEFT(G3173,2)=LEFT('112'!$M$9,2),B3173&lt;'112'!$K$9,$N3173='112'!$I$6)),"x",""))</f>
        <v/>
      </c>
      <c r="V3173" s="79" t="str">
        <f>IF(ISERROR(FIND('112'!$M$9,G3173,1)),"",IF((AND(RIGHT(G3173,2)=RIGHT('112'!$M$9,2),B3173&lt;'112'!$K$9,$O3173='112'!$I$6)),"x",""))</f>
        <v/>
      </c>
      <c r="W3173" s="79" t="str">
        <f>IF(AND('341-CT'!$H$9=H3173,OR(LEFT(N3173,3)=$W$7,LEFT(O3173,3)=$W$7)),"x","")</f>
        <v/>
      </c>
      <c r="X3173" s="79" t="str">
        <f>IF(OR(TH!N3173=TH!$X$7,O3173=TH!$X$7),"x","")</f>
        <v/>
      </c>
      <c r="Y3173" s="79" t="str">
        <f>IF(AND(OR(N3173="131",O3173="131"),H3173='131-CT'!$H$9),"x","")</f>
        <v/>
      </c>
      <c r="Z3173" s="79"/>
      <c r="AA3173" s="79" t="str">
        <f>IF(AND(MONTH(E3173)='IN-NX'!$J$5,'IN-NX'!$D$7=D3173),"x","")</f>
        <v/>
      </c>
      <c r="AB3173" s="79" t="str">
        <f>IF(AND(OR(LEFT(TH!N3173,2)="15",LEFT(TH!O3173,2)="15"),LEFT(TH!O3173,3)&lt;&gt;"111",'152-CT'!$J$8=TH!F3173),"x","")</f>
        <v/>
      </c>
      <c r="AC3173" s="79" t="str">
        <f>IF(AND(OR(LEFT(TH!N3173,2)="15",LEFT(TH!O3173,2)="15"),TK!$E$7=TH!F3173),"x","")</f>
        <v/>
      </c>
      <c r="AD3173" s="79" t="str">
        <f>IF(AND(N3173="1521",MONTH(C3173)='BK-NL'!$M$11),"x","")</f>
        <v/>
      </c>
    </row>
    <row r="3174" spans="1:30" s="1101" customFormat="1" ht="16.5" customHeight="1">
      <c r="A3174" s="318" t="str">
        <f>IF(B3174&lt;&gt;"",IF(AND(B3174='IN-TC'!$S$4,OR(TH!N3174="1111",TH!O3174="1111")),TH!D3174,""),"")</f>
        <v/>
      </c>
      <c r="B3174" s="60" t="str">
        <f t="shared" si="383"/>
        <v/>
      </c>
      <c r="C3174" s="301"/>
      <c r="D3174" s="61"/>
      <c r="E3174" s="61"/>
      <c r="F3174" s="69"/>
      <c r="G3174" s="64"/>
      <c r="H3174" s="69"/>
      <c r="I3174" s="387"/>
      <c r="J3174" s="394"/>
      <c r="K3174" s="387"/>
      <c r="L3174" s="394"/>
      <c r="M3174" s="62"/>
      <c r="N3174" s="63"/>
      <c r="O3174" s="63"/>
      <c r="P3174" s="79" t="str">
        <f>IF(AND('331-CT'!$E$7=TH!H3174,OR(N3174="331",O3174="331")),"x","")</f>
        <v/>
      </c>
      <c r="Q3174" s="79" t="str">
        <f>IF(AND(B3174='111'!$L$11,OR($N3174=$Q$7,$O3174=$Q$7)),"x","")</f>
        <v/>
      </c>
      <c r="R3174" s="79" t="str">
        <f>IF(AND($N3174=$Q$7,$B3174&lt;'111'!$L$11),"x","")</f>
        <v/>
      </c>
      <c r="S3174" s="79" t="str">
        <f>IF(AND($O3174=$Q$7,$B3174&lt;'111'!$L$11),"x","")</f>
        <v/>
      </c>
      <c r="T3174" s="79" t="str">
        <f>IF(ISERROR(FIND('112'!$M$9,G3174,1)),"",IF((AND(FIND('112'!$M$9,G3174,1)&gt;=1,B3174='112'!$K$9,OR($N3174='112'!$I$6,$O3174='112'!$I$6))),"x",""))</f>
        <v/>
      </c>
      <c r="U3174" s="79" t="str">
        <f>IF(ISERROR(FIND('112'!$M$9,G3174,1)),"",IF((AND(LEFT(G3174,2)=LEFT('112'!$M$9,2),B3174&lt;'112'!$K$9,$N3174='112'!$I$6)),"x",""))</f>
        <v/>
      </c>
      <c r="V3174" s="79" t="str">
        <f>IF(ISERROR(FIND('112'!$M$9,G3174,1)),"",IF((AND(RIGHT(G3174,2)=RIGHT('112'!$M$9,2),B3174&lt;'112'!$K$9,$O3174='112'!$I$6)),"x",""))</f>
        <v/>
      </c>
      <c r="W3174" s="79" t="str">
        <f>IF(AND('341-CT'!$H$9=H3174,OR(LEFT(N3174,3)=$W$7,LEFT(O3174,3)=$W$7)),"x","")</f>
        <v/>
      </c>
      <c r="X3174" s="79" t="str">
        <f>IF(OR(TH!N3174=TH!$X$7,O3174=TH!$X$7),"x","")</f>
        <v/>
      </c>
      <c r="Y3174" s="79" t="str">
        <f>IF(AND(OR(N3174="131",O3174="131"),H3174='131-CT'!$H$9),"x","")</f>
        <v/>
      </c>
      <c r="Z3174" s="79"/>
      <c r="AA3174" s="79" t="str">
        <f>IF(AND(MONTH(E3174)='IN-NX'!$J$5,'IN-NX'!$D$7=D3174),"x","")</f>
        <v/>
      </c>
      <c r="AB3174" s="79" t="str">
        <f>IF(AND(OR(LEFT(TH!N3174,2)="15",LEFT(TH!O3174,2)="15"),LEFT(TH!O3174,3)&lt;&gt;"111",'152-CT'!$J$8=TH!F3174),"x","")</f>
        <v/>
      </c>
      <c r="AC3174" s="79" t="str">
        <f>IF(AND(OR(LEFT(TH!N3174,2)="15",LEFT(TH!O3174,2)="15"),TK!$E$7=TH!F3174),"x","")</f>
        <v/>
      </c>
      <c r="AD3174" s="79" t="str">
        <f>IF(AND(N3174="1521",MONTH(C3174)='BK-NL'!$M$11),"x","")</f>
        <v/>
      </c>
    </row>
    <row r="3175" spans="1:30" ht="16.5" customHeight="1">
      <c r="A3175" s="318" t="str">
        <f>IF(B3175&lt;&gt;"",IF(AND(B3175='IN-TC'!$S$4,OR(TH!N3175="1111",TH!O3175="1111")),TH!D3175,""),"")</f>
        <v/>
      </c>
      <c r="B3175" s="60" t="str">
        <f t="shared" ref="B3175:B3177" si="385">IF(C3175&lt;&gt;"",MONTH(C3175),"")</f>
        <v/>
      </c>
      <c r="C3175" s="301"/>
      <c r="D3175" s="301"/>
      <c r="E3175" s="301"/>
      <c r="F3175" s="69"/>
      <c r="G3175" s="988"/>
      <c r="H3175" s="303"/>
      <c r="I3175" s="385"/>
      <c r="J3175" s="969"/>
      <c r="K3175" s="385"/>
      <c r="L3175" s="392"/>
      <c r="M3175" s="970"/>
      <c r="N3175" s="304"/>
      <c r="O3175" s="304"/>
      <c r="P3175" s="79" t="str">
        <f>IF(AND('331-CT'!$E$7=TH!H3175,OR(N3175="331",O3175="331")),"x","")</f>
        <v/>
      </c>
      <c r="Q3175" s="79" t="str">
        <f>IF(AND(B3175='111'!$L$11,OR($N3175=$Q$7,$O3175=$Q$7)),"x","")</f>
        <v/>
      </c>
      <c r="R3175" s="79" t="str">
        <f>IF(AND($N3175=$Q$7,$B3175&lt;'111'!$L$11),"x","")</f>
        <v/>
      </c>
      <c r="S3175" s="79" t="str">
        <f>IF(AND($O3175=$Q$7,$B3175&lt;'111'!$L$11),"x","")</f>
        <v/>
      </c>
      <c r="T3175" s="79" t="str">
        <f>IF(ISERROR(FIND('112'!$M$9,G3175,1)),"",IF((AND(FIND('112'!$M$9,G3175,1)&gt;=1,B3175='112'!$K$9,OR($N3175='112'!$I$6,$O3175='112'!$I$6))),"x",""))</f>
        <v/>
      </c>
      <c r="U3175" s="79" t="str">
        <f>IF(ISERROR(FIND('112'!$M$9,G3175,1)),"",IF((AND(LEFT(G3175,2)=LEFT('112'!$M$9,2),B3175&lt;'112'!$K$9,$N3175='112'!$I$6)),"x",""))</f>
        <v/>
      </c>
      <c r="V3175" s="79" t="str">
        <f>IF(ISERROR(FIND('112'!$M$9,G3175,1)),"",IF((AND(RIGHT(G3175,2)=RIGHT('112'!$M$9,2),B3175&lt;'112'!$K$9,$O3175='112'!$I$6)),"x",""))</f>
        <v/>
      </c>
      <c r="W3175" s="79" t="str">
        <f>IF(AND('341-CT'!$H$9=H3175,OR(LEFT(N3175,3)=$W$7,LEFT(O3175,3)=$W$7)),"x","")</f>
        <v/>
      </c>
      <c r="X3175" s="79" t="str">
        <f>IF(OR(TH!N3175=TH!$X$7,O3175=TH!$X$7),"x","")</f>
        <v/>
      </c>
      <c r="Y3175" s="79" t="str">
        <f>IF(AND(OR(N3175="131",O3175="131"),H3175='131-CT'!$H$9),"x","")</f>
        <v/>
      </c>
      <c r="Z3175" s="79"/>
      <c r="AA3175" s="79" t="str">
        <f>IF(AND(MONTH(E3175)='IN-NX'!$J$5,'IN-NX'!$D$7=D3175),"x","")</f>
        <v/>
      </c>
      <c r="AB3175" s="79" t="str">
        <f>IF(AND(OR(LEFT(TH!N3175,2)="15",LEFT(TH!O3175,2)="15"),LEFT(TH!O3175,3)&lt;&gt;"111",'152-CT'!$J$8=TH!F3175),"x","")</f>
        <v/>
      </c>
      <c r="AC3175" s="79" t="str">
        <f>IF(AND(OR(LEFT(TH!N3175,2)="15",LEFT(TH!O3175,2)="15"),TK!$E$7=TH!F3175),"x","")</f>
        <v/>
      </c>
      <c r="AD3175" s="79" t="str">
        <f>IF(AND(N3175="1521",MONTH(C3175)='BK-NL'!$M$11),"x","")</f>
        <v/>
      </c>
    </row>
    <row r="3176" spans="1:30" s="1101" customFormat="1" ht="16.5" customHeight="1">
      <c r="A3176" s="318" t="str">
        <f>IF(B3176&lt;&gt;"",IF(AND(B3176='IN-TC'!$S$4,OR(TH!N3176="1111",TH!O3176="1111")),TH!D3176,""),"")</f>
        <v/>
      </c>
      <c r="B3176" s="60" t="str">
        <f t="shared" si="385"/>
        <v/>
      </c>
      <c r="C3176" s="301"/>
      <c r="D3176" s="61"/>
      <c r="E3176" s="61"/>
      <c r="F3176" s="69"/>
      <c r="G3176" s="64"/>
      <c r="H3176" s="69"/>
      <c r="I3176" s="387"/>
      <c r="J3176" s="394"/>
      <c r="K3176" s="62"/>
      <c r="L3176" s="394"/>
      <c r="M3176" s="62"/>
      <c r="N3176" s="63"/>
      <c r="O3176" s="63"/>
      <c r="P3176" s="79" t="str">
        <f>IF(AND('331-CT'!$E$7=TH!H3176,OR(N3176="331",O3176="331")),"x","")</f>
        <v/>
      </c>
      <c r="Q3176" s="79" t="str">
        <f>IF(AND(B3176='111'!$L$11,OR($N3176=$Q$7,$O3176=$Q$7)),"x","")</f>
        <v/>
      </c>
      <c r="R3176" s="79" t="str">
        <f>IF(AND($N3176=$Q$7,$B3176&lt;'111'!$L$11),"x","")</f>
        <v/>
      </c>
      <c r="S3176" s="79" t="str">
        <f>IF(AND($O3176=$Q$7,$B3176&lt;'111'!$L$11),"x","")</f>
        <v/>
      </c>
      <c r="T3176" s="79" t="str">
        <f>IF(ISERROR(FIND('112'!$M$9,G3176,1)),"",IF((AND(FIND('112'!$M$9,G3176,1)&gt;=1,B3176='112'!$K$9,OR($N3176='112'!$I$6,$O3176='112'!$I$6))),"x",""))</f>
        <v/>
      </c>
      <c r="U3176" s="79" t="str">
        <f>IF(ISERROR(FIND('112'!$M$9,G3176,1)),"",IF((AND(LEFT(G3176,2)=LEFT('112'!$M$9,2),B3176&lt;'112'!$K$9,$N3176='112'!$I$6)),"x",""))</f>
        <v/>
      </c>
      <c r="V3176" s="79" t="str">
        <f>IF(ISERROR(FIND('112'!$M$9,G3176,1)),"",IF((AND(RIGHT(G3176,2)=RIGHT('112'!$M$9,2),B3176&lt;'112'!$K$9,$O3176='112'!$I$6)),"x",""))</f>
        <v/>
      </c>
      <c r="W3176" s="79" t="str">
        <f>IF(AND('341-CT'!$H$9=H3176,OR(LEFT(N3176,3)=$W$7,LEFT(O3176,3)=$W$7)),"x","")</f>
        <v/>
      </c>
      <c r="X3176" s="79" t="str">
        <f>IF(OR(TH!N3176=TH!$X$7,O3176=TH!$X$7),"x","")</f>
        <v/>
      </c>
      <c r="Y3176" s="79" t="str">
        <f>IF(AND(OR(N3176="131",O3176="131"),H3176='131-CT'!$H$9),"x","")</f>
        <v/>
      </c>
      <c r="Z3176" s="79"/>
      <c r="AA3176" s="79" t="str">
        <f>IF(AND(MONTH(E3176)='IN-NX'!$J$5,'IN-NX'!$D$7=D3176),"x","")</f>
        <v/>
      </c>
      <c r="AB3176" s="79" t="str">
        <f>IF(AND(OR(LEFT(TH!N3176,2)="15",LEFT(TH!O3176,2)="15"),LEFT(TH!O3176,3)&lt;&gt;"111",'152-CT'!$J$8=TH!F3176),"x","")</f>
        <v/>
      </c>
      <c r="AC3176" s="79" t="str">
        <f>IF(AND(OR(LEFT(TH!N3176,2)="15",LEFT(TH!O3176,2)="15"),TK!$E$7=TH!F3176),"x","")</f>
        <v/>
      </c>
      <c r="AD3176" s="79" t="str">
        <f>IF(AND(N3176="1521",MONTH(C3176)='BK-NL'!$M$11),"x","")</f>
        <v/>
      </c>
    </row>
    <row r="3177" spans="1:30" s="1101" customFormat="1" ht="16.5" customHeight="1">
      <c r="A3177" s="318" t="str">
        <f>IF(B3177&lt;&gt;"",IF(AND(B3177='IN-TC'!$S$4,OR(TH!N3177="1111",TH!O3177="1111")),TH!D3177,""),"")</f>
        <v/>
      </c>
      <c r="B3177" s="60" t="str">
        <f t="shared" si="385"/>
        <v/>
      </c>
      <c r="C3177" s="301"/>
      <c r="D3177" s="61"/>
      <c r="E3177" s="61"/>
      <c r="F3177" s="69"/>
      <c r="G3177" s="64"/>
      <c r="H3177" s="69"/>
      <c r="I3177" s="387"/>
      <c r="J3177" s="394"/>
      <c r="K3177" s="387"/>
      <c r="L3177" s="394"/>
      <c r="M3177" s="62"/>
      <c r="N3177" s="63"/>
      <c r="O3177" s="63"/>
      <c r="P3177" s="79" t="str">
        <f>IF(AND('331-CT'!$E$7=TH!H3177,OR(N3177="331",O3177="331")),"x","")</f>
        <v/>
      </c>
      <c r="Q3177" s="79" t="str">
        <f>IF(AND(B3177='111'!$L$11,OR($N3177=$Q$7,$O3177=$Q$7)),"x","")</f>
        <v/>
      </c>
      <c r="R3177" s="79" t="str">
        <f>IF(AND($N3177=$Q$7,$B3177&lt;'111'!$L$11),"x","")</f>
        <v/>
      </c>
      <c r="S3177" s="79" t="str">
        <f>IF(AND($O3177=$Q$7,$B3177&lt;'111'!$L$11),"x","")</f>
        <v/>
      </c>
      <c r="T3177" s="79" t="str">
        <f>IF(ISERROR(FIND('112'!$M$9,G3177,1)),"",IF((AND(FIND('112'!$M$9,G3177,1)&gt;=1,B3177='112'!$K$9,OR($N3177='112'!$I$6,$O3177='112'!$I$6))),"x",""))</f>
        <v/>
      </c>
      <c r="U3177" s="79" t="str">
        <f>IF(ISERROR(FIND('112'!$M$9,G3177,1)),"",IF((AND(LEFT(G3177,2)=LEFT('112'!$M$9,2),B3177&lt;'112'!$K$9,$N3177='112'!$I$6)),"x",""))</f>
        <v/>
      </c>
      <c r="V3177" s="79" t="str">
        <f>IF(ISERROR(FIND('112'!$M$9,G3177,1)),"",IF((AND(RIGHT(G3177,2)=RIGHT('112'!$M$9,2),B3177&lt;'112'!$K$9,$O3177='112'!$I$6)),"x",""))</f>
        <v/>
      </c>
      <c r="W3177" s="79" t="str">
        <f>IF(AND('341-CT'!$H$9=H3177,OR(LEFT(N3177,3)=$W$7,LEFT(O3177,3)=$W$7)),"x","")</f>
        <v/>
      </c>
      <c r="X3177" s="79" t="str">
        <f>IF(OR(TH!N3177=TH!$X$7,O3177=TH!$X$7),"x","")</f>
        <v/>
      </c>
      <c r="Y3177" s="79" t="str">
        <f>IF(AND(OR(N3177="131",O3177="131"),H3177='131-CT'!$H$9),"x","")</f>
        <v/>
      </c>
      <c r="Z3177" s="79"/>
      <c r="AA3177" s="79" t="str">
        <f>IF(AND(MONTH(E3177)='IN-NX'!$J$5,'IN-NX'!$D$7=D3177),"x","")</f>
        <v/>
      </c>
      <c r="AB3177" s="79" t="str">
        <f>IF(AND(OR(LEFT(TH!N3177,2)="15",LEFT(TH!O3177,2)="15"),LEFT(TH!O3177,3)&lt;&gt;"111",'152-CT'!$J$8=TH!F3177),"x","")</f>
        <v/>
      </c>
      <c r="AC3177" s="79" t="str">
        <f>IF(AND(OR(LEFT(TH!N3177,2)="15",LEFT(TH!O3177,2)="15"),TK!$E$7=TH!F3177),"x","")</f>
        <v/>
      </c>
      <c r="AD3177" s="79" t="str">
        <f>IF(AND(N3177="1521",MONTH(C3177)='BK-NL'!$M$11),"x","")</f>
        <v/>
      </c>
    </row>
    <row r="3178" spans="1:30" ht="16.5" customHeight="1">
      <c r="A3178" s="318" t="str">
        <f>IF(B3178&lt;&gt;"",IF(AND(B3178='IN-TC'!$S$4,OR(TH!N3178="1111",TH!O3178="1111")),TH!D3178,""),"")</f>
        <v/>
      </c>
      <c r="B3178" s="60" t="str">
        <f t="shared" ref="B3178:B3181" si="386">IF(C3178&lt;&gt;"",MONTH(C3178),"")</f>
        <v/>
      </c>
      <c r="C3178" s="301"/>
      <c r="D3178" s="301"/>
      <c r="E3178" s="301"/>
      <c r="F3178" s="69"/>
      <c r="G3178" s="988"/>
      <c r="H3178" s="303"/>
      <c r="I3178" s="385"/>
      <c r="J3178" s="969"/>
      <c r="K3178" s="385"/>
      <c r="L3178" s="392"/>
      <c r="M3178" s="970"/>
      <c r="N3178" s="304"/>
      <c r="O3178" s="304"/>
      <c r="P3178" s="79" t="str">
        <f>IF(AND('331-CT'!$E$7=TH!H3178,OR(N3178="331",O3178="331")),"x","")</f>
        <v/>
      </c>
      <c r="Q3178" s="79" t="str">
        <f>IF(AND(B3178='111'!$L$11,OR($N3178=$Q$7,$O3178=$Q$7)),"x","")</f>
        <v/>
      </c>
      <c r="R3178" s="79" t="str">
        <f>IF(AND($N3178=$Q$7,$B3178&lt;'111'!$L$11),"x","")</f>
        <v/>
      </c>
      <c r="S3178" s="79" t="str">
        <f>IF(AND($O3178=$Q$7,$B3178&lt;'111'!$L$11),"x","")</f>
        <v/>
      </c>
      <c r="T3178" s="79" t="str">
        <f>IF(ISERROR(FIND('112'!$M$9,G3178,1)),"",IF((AND(FIND('112'!$M$9,G3178,1)&gt;=1,B3178='112'!$K$9,OR($N3178='112'!$I$6,$O3178='112'!$I$6))),"x",""))</f>
        <v/>
      </c>
      <c r="U3178" s="79" t="str">
        <f>IF(ISERROR(FIND('112'!$M$9,G3178,1)),"",IF((AND(LEFT(G3178,2)=LEFT('112'!$M$9,2),B3178&lt;'112'!$K$9,$N3178='112'!$I$6)),"x",""))</f>
        <v/>
      </c>
      <c r="V3178" s="79" t="str">
        <f>IF(ISERROR(FIND('112'!$M$9,G3178,1)),"",IF((AND(RIGHT(G3178,2)=RIGHT('112'!$M$9,2),B3178&lt;'112'!$K$9,$O3178='112'!$I$6)),"x",""))</f>
        <v/>
      </c>
      <c r="W3178" s="79" t="str">
        <f>IF(AND('341-CT'!$H$9=H3178,OR(LEFT(N3178,3)=$W$7,LEFT(O3178,3)=$W$7)),"x","")</f>
        <v/>
      </c>
      <c r="X3178" s="79" t="str">
        <f>IF(OR(TH!N3178=TH!$X$7,O3178=TH!$X$7),"x","")</f>
        <v/>
      </c>
      <c r="Y3178" s="79" t="str">
        <f>IF(AND(OR(N3178="131",O3178="131"),H3178='131-CT'!$H$9),"x","")</f>
        <v/>
      </c>
      <c r="Z3178" s="79"/>
      <c r="AA3178" s="79" t="str">
        <f>IF(AND(MONTH(E3178)='IN-NX'!$J$5,'IN-NX'!$D$7=D3178),"x","")</f>
        <v/>
      </c>
      <c r="AB3178" s="79" t="str">
        <f>IF(AND(OR(LEFT(TH!N3178,2)="15",LEFT(TH!O3178,2)="15"),LEFT(TH!O3178,3)&lt;&gt;"111",'152-CT'!$J$8=TH!F3178),"x","")</f>
        <v/>
      </c>
      <c r="AC3178" s="79" t="str">
        <f>IF(AND(OR(LEFT(TH!N3178,2)="15",LEFT(TH!O3178,2)="15"),TK!$E$7=TH!F3178),"x","")</f>
        <v/>
      </c>
      <c r="AD3178" s="79" t="str">
        <f>IF(AND(N3178="1521",MONTH(C3178)='BK-NL'!$M$11),"x","")</f>
        <v/>
      </c>
    </row>
    <row r="3179" spans="1:30" s="1101" customFormat="1" ht="16.5" customHeight="1">
      <c r="A3179" s="318" t="str">
        <f>IF(B3179&lt;&gt;"",IF(AND(B3179='IN-TC'!$S$4,OR(TH!N3179="1111",TH!O3179="1111")),TH!D3179,""),"")</f>
        <v/>
      </c>
      <c r="B3179" s="60" t="str">
        <f t="shared" si="386"/>
        <v/>
      </c>
      <c r="C3179" s="301"/>
      <c r="D3179" s="61"/>
      <c r="E3179" s="61"/>
      <c r="F3179" s="69"/>
      <c r="G3179" s="64"/>
      <c r="H3179" s="69"/>
      <c r="I3179" s="387"/>
      <c r="J3179" s="394"/>
      <c r="K3179" s="62"/>
      <c r="L3179" s="394"/>
      <c r="M3179" s="62"/>
      <c r="N3179" s="63"/>
      <c r="O3179" s="63"/>
      <c r="P3179" s="79" t="str">
        <f>IF(AND('331-CT'!$E$7=TH!H3179,OR(N3179="331",O3179="331")),"x","")</f>
        <v/>
      </c>
      <c r="Q3179" s="79" t="str">
        <f>IF(AND(B3179='111'!$L$11,OR($N3179=$Q$7,$O3179=$Q$7)),"x","")</f>
        <v/>
      </c>
      <c r="R3179" s="79" t="str">
        <f>IF(AND($N3179=$Q$7,$B3179&lt;'111'!$L$11),"x","")</f>
        <v/>
      </c>
      <c r="S3179" s="79" t="str">
        <f>IF(AND($O3179=$Q$7,$B3179&lt;'111'!$L$11),"x","")</f>
        <v/>
      </c>
      <c r="T3179" s="79" t="str">
        <f>IF(ISERROR(FIND('112'!$M$9,G3179,1)),"",IF((AND(FIND('112'!$M$9,G3179,1)&gt;=1,B3179='112'!$K$9,OR($N3179='112'!$I$6,$O3179='112'!$I$6))),"x",""))</f>
        <v/>
      </c>
      <c r="U3179" s="79" t="str">
        <f>IF(ISERROR(FIND('112'!$M$9,G3179,1)),"",IF((AND(LEFT(G3179,2)=LEFT('112'!$M$9,2),B3179&lt;'112'!$K$9,$N3179='112'!$I$6)),"x",""))</f>
        <v/>
      </c>
      <c r="V3179" s="79" t="str">
        <f>IF(ISERROR(FIND('112'!$M$9,G3179,1)),"",IF((AND(RIGHT(G3179,2)=RIGHT('112'!$M$9,2),B3179&lt;'112'!$K$9,$O3179='112'!$I$6)),"x",""))</f>
        <v/>
      </c>
      <c r="W3179" s="79" t="str">
        <f>IF(AND('341-CT'!$H$9=H3179,OR(LEFT(N3179,3)=$W$7,LEFT(O3179,3)=$W$7)),"x","")</f>
        <v/>
      </c>
      <c r="X3179" s="79" t="str">
        <f>IF(OR(TH!N3179=TH!$X$7,O3179=TH!$X$7),"x","")</f>
        <v/>
      </c>
      <c r="Y3179" s="79" t="str">
        <f>IF(AND(OR(N3179="131",O3179="131"),H3179='131-CT'!$H$9),"x","")</f>
        <v/>
      </c>
      <c r="Z3179" s="79"/>
      <c r="AA3179" s="79" t="str">
        <f>IF(AND(MONTH(E3179)='IN-NX'!$J$5,'IN-NX'!$D$7=D3179),"x","")</f>
        <v/>
      </c>
      <c r="AB3179" s="79" t="str">
        <f>IF(AND(OR(LEFT(TH!N3179,2)="15",LEFT(TH!O3179,2)="15"),LEFT(TH!O3179,3)&lt;&gt;"111",'152-CT'!$J$8=TH!F3179),"x","")</f>
        <v/>
      </c>
      <c r="AC3179" s="79" t="str">
        <f>IF(AND(OR(LEFT(TH!N3179,2)="15",LEFT(TH!O3179,2)="15"),TK!$E$7=TH!F3179),"x","")</f>
        <v/>
      </c>
      <c r="AD3179" s="79" t="str">
        <f>IF(AND(N3179="1521",MONTH(C3179)='BK-NL'!$M$11),"x","")</f>
        <v/>
      </c>
    </row>
    <row r="3180" spans="1:30" s="1101" customFormat="1" ht="16.5" customHeight="1">
      <c r="A3180" s="318" t="str">
        <f>IF(B3180&lt;&gt;"",IF(AND(B3180='IN-TC'!$S$4,OR(TH!N3180="1111",TH!O3180="1111")),TH!D3180,""),"")</f>
        <v/>
      </c>
      <c r="B3180" s="60" t="str">
        <f t="shared" si="386"/>
        <v/>
      </c>
      <c r="C3180" s="301"/>
      <c r="D3180" s="61"/>
      <c r="E3180" s="61"/>
      <c r="F3180" s="69"/>
      <c r="G3180" s="64"/>
      <c r="H3180" s="69"/>
      <c r="I3180" s="387"/>
      <c r="J3180" s="394"/>
      <c r="K3180" s="387"/>
      <c r="L3180" s="394"/>
      <c r="M3180" s="62"/>
      <c r="N3180" s="63"/>
      <c r="O3180" s="63"/>
      <c r="P3180" s="79" t="str">
        <f>IF(AND('331-CT'!$E$7=TH!H3180,OR(N3180="331",O3180="331")),"x","")</f>
        <v/>
      </c>
      <c r="Q3180" s="79" t="str">
        <f>IF(AND(B3180='111'!$L$11,OR($N3180=$Q$7,$O3180=$Q$7)),"x","")</f>
        <v/>
      </c>
      <c r="R3180" s="79" t="str">
        <f>IF(AND($N3180=$Q$7,$B3180&lt;'111'!$L$11),"x","")</f>
        <v/>
      </c>
      <c r="S3180" s="79" t="str">
        <f>IF(AND($O3180=$Q$7,$B3180&lt;'111'!$L$11),"x","")</f>
        <v/>
      </c>
      <c r="T3180" s="79" t="str">
        <f>IF(ISERROR(FIND('112'!$M$9,G3180,1)),"",IF((AND(FIND('112'!$M$9,G3180,1)&gt;=1,B3180='112'!$K$9,OR($N3180='112'!$I$6,$O3180='112'!$I$6))),"x",""))</f>
        <v/>
      </c>
      <c r="U3180" s="79" t="str">
        <f>IF(ISERROR(FIND('112'!$M$9,G3180,1)),"",IF((AND(LEFT(G3180,2)=LEFT('112'!$M$9,2),B3180&lt;'112'!$K$9,$N3180='112'!$I$6)),"x",""))</f>
        <v/>
      </c>
      <c r="V3180" s="79" t="str">
        <f>IF(ISERROR(FIND('112'!$M$9,G3180,1)),"",IF((AND(RIGHT(G3180,2)=RIGHT('112'!$M$9,2),B3180&lt;'112'!$K$9,$O3180='112'!$I$6)),"x",""))</f>
        <v/>
      </c>
      <c r="W3180" s="79" t="str">
        <f>IF(AND('341-CT'!$H$9=H3180,OR(LEFT(N3180,3)=$W$7,LEFT(O3180,3)=$W$7)),"x","")</f>
        <v/>
      </c>
      <c r="X3180" s="79" t="str">
        <f>IF(OR(TH!N3180=TH!$X$7,O3180=TH!$X$7),"x","")</f>
        <v/>
      </c>
      <c r="Y3180" s="79" t="str">
        <f>IF(AND(OR(N3180="131",O3180="131"),H3180='131-CT'!$H$9),"x","")</f>
        <v/>
      </c>
      <c r="Z3180" s="79"/>
      <c r="AA3180" s="79" t="str">
        <f>IF(AND(MONTH(E3180)='IN-NX'!$J$5,'IN-NX'!$D$7=D3180),"x","")</f>
        <v/>
      </c>
      <c r="AB3180" s="79" t="str">
        <f>IF(AND(OR(LEFT(TH!N3180,2)="15",LEFT(TH!O3180,2)="15"),LEFT(TH!O3180,3)&lt;&gt;"111",'152-CT'!$J$8=TH!F3180),"x","")</f>
        <v/>
      </c>
      <c r="AC3180" s="79" t="str">
        <f>IF(AND(OR(LEFT(TH!N3180,2)="15",LEFT(TH!O3180,2)="15"),TK!$E$7=TH!F3180),"x","")</f>
        <v/>
      </c>
      <c r="AD3180" s="79" t="str">
        <f>IF(AND(N3180="1521",MONTH(C3180)='BK-NL'!$M$11),"x","")</f>
        <v/>
      </c>
    </row>
    <row r="3181" spans="1:30" s="1306" customFormat="1" ht="16.5" customHeight="1">
      <c r="A3181" s="1305" t="str">
        <f>IF(B3181&lt;&gt;"",IF(AND(B3181='IN-TC'!$S$4,OR(TH!N3181="1111",TH!O3181="1111")),TH!D3181,""),"")</f>
        <v/>
      </c>
      <c r="B3181" s="60" t="str">
        <f t="shared" si="386"/>
        <v/>
      </c>
      <c r="C3181" s="301"/>
      <c r="D3181" s="301"/>
      <c r="E3181" s="301"/>
      <c r="F3181" s="69"/>
      <c r="G3181" s="302"/>
      <c r="H3181" s="303"/>
      <c r="I3181" s="385"/>
      <c r="J3181" s="969"/>
      <c r="K3181" s="385"/>
      <c r="L3181" s="392"/>
      <c r="M3181" s="970"/>
      <c r="N3181" s="304"/>
      <c r="O3181" s="304"/>
      <c r="P3181" s="79" t="str">
        <f>IF(AND('331-CT'!$E$7=TH!H3181,OR(N3181="331",O3181="331")),"x","")</f>
        <v/>
      </c>
      <c r="Q3181" s="79" t="str">
        <f>IF(AND(B3181='111'!$L$11,OR($N3181=$Q$7,$O3181=$Q$7)),"x","")</f>
        <v/>
      </c>
      <c r="R3181" s="79" t="str">
        <f>IF(AND($N3181=$Q$7,$B3181&lt;'111'!$L$11),"x","")</f>
        <v/>
      </c>
      <c r="S3181" s="79" t="str">
        <f>IF(AND($O3181=$Q$7,$B3181&lt;'111'!$L$11),"x","")</f>
        <v/>
      </c>
      <c r="T3181" s="79" t="str">
        <f>IF(ISERROR(FIND('112'!$M$9,G3181,1)),"",IF((AND(FIND('112'!$M$9,G3181,1)&gt;=1,B3181='112'!$K$9,OR($N3181='112'!$I$6,$O3181='112'!$I$6))),"x",""))</f>
        <v/>
      </c>
      <c r="U3181" s="79" t="str">
        <f>IF(ISERROR(FIND('112'!$M$9,G3181,1)),"",IF((AND(LEFT(G3181,2)=LEFT('112'!$M$9,2),B3181&lt;'112'!$K$9,$N3181='112'!$I$6)),"x",""))</f>
        <v/>
      </c>
      <c r="V3181" s="79" t="str">
        <f>IF(ISERROR(FIND('112'!$M$9,G3181,1)),"",IF((AND(RIGHT(G3181,2)=RIGHT('112'!$M$9,2),B3181&lt;'112'!$K$9,$O3181='112'!$I$6)),"x",""))</f>
        <v/>
      </c>
      <c r="W3181" s="79" t="str">
        <f>IF(AND('341-CT'!$H$9=H3181,OR(LEFT(N3181,3)=$W$7,LEFT(O3181,3)=$W$7)),"x","")</f>
        <v/>
      </c>
      <c r="X3181" s="79" t="str">
        <f>IF(OR(TH!N3181=TH!$X$7,O3181=TH!$X$7),"x","")</f>
        <v/>
      </c>
      <c r="Y3181" s="79" t="str">
        <f>IF(AND(OR(N3181="131",O3181="131"),H3181='131-CT'!$H$9),"x","")</f>
        <v/>
      </c>
      <c r="Z3181" s="79"/>
      <c r="AA3181" s="79" t="str">
        <f>IF(AND(MONTH(E3181)='IN-NX'!$J$5,'IN-NX'!$D$7=D3181),"x","")</f>
        <v/>
      </c>
      <c r="AB3181" s="79" t="str">
        <f>IF(AND(OR(LEFT(TH!N3181,2)="15",LEFT(TH!O3181,2)="15"),LEFT(TH!O3181,3)&lt;&gt;"111",'152-CT'!$J$8=TH!F3181),"x","")</f>
        <v/>
      </c>
      <c r="AC3181" s="79" t="str">
        <f>IF(AND(OR(LEFT(TH!N3181,2)="15",LEFT(TH!O3181,2)="15"),TK!$E$7=TH!F3181),"x","")</f>
        <v/>
      </c>
      <c r="AD3181" s="79" t="str">
        <f>IF(AND(N3181="1521",MONTH(C3181)='BK-NL'!$M$11),"x","")</f>
        <v/>
      </c>
    </row>
    <row r="3182" spans="1:30" ht="16.5" customHeight="1">
      <c r="A3182" s="318" t="str">
        <f>IF(B3182&lt;&gt;"",IF(AND(B3182='IN-TC'!$S$4,OR(TH!N3182="1111",TH!O3182="1111")),TH!D3182,""),"")</f>
        <v/>
      </c>
      <c r="B3182" s="60" t="str">
        <f t="shared" si="380"/>
        <v/>
      </c>
      <c r="C3182" s="301"/>
      <c r="D3182" s="301"/>
      <c r="E3182" s="301"/>
      <c r="F3182" s="69"/>
      <c r="G3182" s="988"/>
      <c r="H3182" s="69"/>
      <c r="I3182" s="385"/>
      <c r="J3182" s="969"/>
      <c r="K3182" s="385"/>
      <c r="L3182" s="392"/>
      <c r="M3182" s="970"/>
      <c r="N3182" s="304"/>
      <c r="O3182" s="304"/>
      <c r="P3182" s="79" t="str">
        <f>IF(AND('331-CT'!$E$7=TH!H3182,OR(N3182="331",O3182="331")),"x","")</f>
        <v/>
      </c>
      <c r="Q3182" s="79" t="str">
        <f>IF(AND(B3182='111'!$L$11,OR($N3182=$Q$7,$O3182=$Q$7)),"x","")</f>
        <v/>
      </c>
      <c r="R3182" s="79" t="str">
        <f>IF(AND($N3182=$Q$7,$B3182&lt;'111'!$L$11),"x","")</f>
        <v/>
      </c>
      <c r="S3182" s="79" t="str">
        <f>IF(AND($O3182=$Q$7,$B3182&lt;'111'!$L$11),"x","")</f>
        <v/>
      </c>
      <c r="T3182" s="79" t="str">
        <f>IF(ISERROR(FIND('112'!$M$9,G3182,1)),"",IF((AND(FIND('112'!$M$9,G3182,1)&gt;=1,B3182='112'!$K$9,OR($N3182='112'!$I$6,$O3182='112'!$I$6))),"x",""))</f>
        <v/>
      </c>
      <c r="U3182" s="79" t="str">
        <f>IF(ISERROR(FIND('112'!$M$9,G3182,1)),"",IF((AND(LEFT(G3182,2)=LEFT('112'!$M$9,2),B3182&lt;'112'!$K$9,$N3182='112'!$I$6)),"x",""))</f>
        <v/>
      </c>
      <c r="V3182" s="79" t="str">
        <f>IF(ISERROR(FIND('112'!$M$9,G3182,1)),"",IF((AND(RIGHT(G3182,2)=RIGHT('112'!$M$9,2),B3182&lt;'112'!$K$9,$O3182='112'!$I$6)),"x",""))</f>
        <v/>
      </c>
      <c r="W3182" s="79" t="str">
        <f>IF(AND('341-CT'!$H$9=H3182,OR(LEFT(N3182,3)=$W$7,LEFT(O3182,3)=$W$7)),"x","")</f>
        <v/>
      </c>
      <c r="X3182" s="79" t="str">
        <f>IF(OR(TH!N3182=TH!$X$7,O3182=TH!$X$7),"x","")</f>
        <v/>
      </c>
      <c r="Y3182" s="79" t="str">
        <f>IF(AND(OR(N3182="131",O3182="131"),H3182='131-CT'!$H$9),"x","")</f>
        <v/>
      </c>
      <c r="Z3182" s="79"/>
      <c r="AA3182" s="79" t="str">
        <f>IF(AND(MONTH(E3182)='IN-NX'!$J$5,'IN-NX'!$D$7=D3182),"x","")</f>
        <v/>
      </c>
      <c r="AB3182" s="79" t="str">
        <f>IF(AND(OR(LEFT(TH!N3182,2)="15",LEFT(TH!O3182,2)="15"),LEFT(TH!O3182,3)&lt;&gt;"111",'152-CT'!$J$8=TH!F3182),"x","")</f>
        <v/>
      </c>
      <c r="AC3182" s="79" t="str">
        <f>IF(AND(OR(LEFT(TH!N3182,2)="15",LEFT(TH!O3182,2)="15"),TK!$E$7=TH!F3182),"x","")</f>
        <v/>
      </c>
      <c r="AD3182" s="79" t="str">
        <f>IF(AND(N3182="1521",MONTH(C3182)='BK-NL'!$M$11),"x","")</f>
        <v/>
      </c>
    </row>
    <row r="3183" spans="1:30" ht="16.5" customHeight="1">
      <c r="A3183" s="318" t="str">
        <f>IF(B3183&lt;&gt;"",IF(AND(B3183='IN-TC'!$S$4,OR(TH!N3183="1111",TH!O3183="1111")),TH!D3183,""),"")</f>
        <v/>
      </c>
      <c r="B3183" s="60" t="str">
        <f t="shared" ref="B3183:B3186" si="387">IF(C3183&lt;&gt;"",MONTH(C3183),"")</f>
        <v/>
      </c>
      <c r="C3183" s="301"/>
      <c r="D3183" s="301"/>
      <c r="E3183" s="301"/>
      <c r="F3183" s="69"/>
      <c r="G3183" s="988"/>
      <c r="H3183" s="69"/>
      <c r="I3183" s="385"/>
      <c r="J3183" s="969"/>
      <c r="K3183" s="385"/>
      <c r="L3183" s="392"/>
      <c r="M3183" s="970"/>
      <c r="N3183" s="304"/>
      <c r="O3183" s="304"/>
      <c r="P3183" s="79" t="str">
        <f>IF(AND('331-CT'!$E$7=TH!H3183,OR(N3183="331",O3183="331")),"x","")</f>
        <v/>
      </c>
      <c r="Q3183" s="79" t="str">
        <f>IF(AND(B3183='111'!$L$11,OR($N3183=$Q$7,$O3183=$Q$7)),"x","")</f>
        <v/>
      </c>
      <c r="R3183" s="79" t="str">
        <f>IF(AND($N3183=$Q$7,$B3183&lt;'111'!$L$11),"x","")</f>
        <v/>
      </c>
      <c r="S3183" s="79" t="str">
        <f>IF(AND($O3183=$Q$7,$B3183&lt;'111'!$L$11),"x","")</f>
        <v/>
      </c>
      <c r="T3183" s="79" t="str">
        <f>IF(ISERROR(FIND('112'!$M$9,G3183,1)),"",IF((AND(FIND('112'!$M$9,G3183,1)&gt;=1,B3183='112'!$K$9,OR($N3183='112'!$I$6,$O3183='112'!$I$6))),"x",""))</f>
        <v/>
      </c>
      <c r="U3183" s="79" t="str">
        <f>IF(ISERROR(FIND('112'!$M$9,G3183,1)),"",IF((AND(LEFT(G3183,2)=LEFT('112'!$M$9,2),B3183&lt;'112'!$K$9,$N3183='112'!$I$6)),"x",""))</f>
        <v/>
      </c>
      <c r="V3183" s="79" t="str">
        <f>IF(ISERROR(FIND('112'!$M$9,G3183,1)),"",IF((AND(RIGHT(G3183,2)=RIGHT('112'!$M$9,2),B3183&lt;'112'!$K$9,$O3183='112'!$I$6)),"x",""))</f>
        <v/>
      </c>
      <c r="W3183" s="79" t="str">
        <f>IF(AND('341-CT'!$H$9=H3183,OR(LEFT(N3183,3)=$W$7,LEFT(O3183,3)=$W$7)),"x","")</f>
        <v/>
      </c>
      <c r="X3183" s="79" t="str">
        <f>IF(OR(TH!N3183=TH!$X$7,O3183=TH!$X$7),"x","")</f>
        <v/>
      </c>
      <c r="Y3183" s="79" t="str">
        <f>IF(AND(OR(N3183="131",O3183="131"),H3183='131-CT'!$H$9),"x","")</f>
        <v/>
      </c>
      <c r="Z3183" s="79"/>
      <c r="AA3183" s="79" t="str">
        <f>IF(AND(MONTH(E3183)='IN-NX'!$J$5,'IN-NX'!$D$7=D3183),"x","")</f>
        <v/>
      </c>
      <c r="AB3183" s="79" t="str">
        <f>IF(AND(OR(LEFT(TH!N3183,2)="15",LEFT(TH!O3183,2)="15"),LEFT(TH!O3183,3)&lt;&gt;"111",'152-CT'!$J$8=TH!F3183),"x","")</f>
        <v/>
      </c>
      <c r="AC3183" s="79" t="str">
        <f>IF(AND(OR(LEFT(TH!N3183,2)="15",LEFT(TH!O3183,2)="15"),TK!$E$7=TH!F3183),"x","")</f>
        <v/>
      </c>
      <c r="AD3183" s="79" t="str">
        <f>IF(AND(N3183="1521",MONTH(C3183)='BK-NL'!$M$11),"x","")</f>
        <v/>
      </c>
    </row>
    <row r="3184" spans="1:30" s="1101" customFormat="1" ht="16.5" customHeight="1">
      <c r="A3184" s="318" t="str">
        <f>IF(B3184&lt;&gt;"",IF(AND(B3184='IN-TC'!$S$4,OR(TH!N3184="1111",TH!O3184="1111")),TH!D3184,""),"")</f>
        <v/>
      </c>
      <c r="B3184" s="60" t="str">
        <f t="shared" si="387"/>
        <v/>
      </c>
      <c r="C3184" s="301"/>
      <c r="D3184" s="61"/>
      <c r="E3184" s="61"/>
      <c r="F3184" s="69"/>
      <c r="G3184" s="64"/>
      <c r="H3184" s="69"/>
      <c r="I3184" s="387"/>
      <c r="J3184" s="394"/>
      <c r="K3184" s="62"/>
      <c r="L3184" s="394"/>
      <c r="M3184" s="62"/>
      <c r="N3184" s="63"/>
      <c r="O3184" s="63"/>
      <c r="P3184" s="79" t="str">
        <f>IF(AND('331-CT'!$E$7=TH!H3184,OR(N3184="331",O3184="331")),"x","")</f>
        <v/>
      </c>
      <c r="Q3184" s="79" t="str">
        <f>IF(AND(B3184='111'!$L$11,OR($N3184=$Q$7,$O3184=$Q$7)),"x","")</f>
        <v/>
      </c>
      <c r="R3184" s="79" t="str">
        <f>IF(AND($N3184=$Q$7,$B3184&lt;'111'!$L$11),"x","")</f>
        <v/>
      </c>
      <c r="S3184" s="79" t="str">
        <f>IF(AND($O3184=$Q$7,$B3184&lt;'111'!$L$11),"x","")</f>
        <v/>
      </c>
      <c r="T3184" s="79" t="str">
        <f>IF(ISERROR(FIND('112'!$M$9,G3184,1)),"",IF((AND(FIND('112'!$M$9,G3184,1)&gt;=1,B3184='112'!$K$9,OR($N3184='112'!$I$6,$O3184='112'!$I$6))),"x",""))</f>
        <v/>
      </c>
      <c r="U3184" s="79" t="str">
        <f>IF(ISERROR(FIND('112'!$M$9,G3184,1)),"",IF((AND(LEFT(G3184,2)=LEFT('112'!$M$9,2),B3184&lt;'112'!$K$9,$N3184='112'!$I$6)),"x",""))</f>
        <v/>
      </c>
      <c r="V3184" s="79" t="str">
        <f>IF(ISERROR(FIND('112'!$M$9,G3184,1)),"",IF((AND(RIGHT(G3184,2)=RIGHT('112'!$M$9,2),B3184&lt;'112'!$K$9,$O3184='112'!$I$6)),"x",""))</f>
        <v/>
      </c>
      <c r="W3184" s="79" t="str">
        <f>IF(AND('341-CT'!$H$9=H3184,OR(LEFT(N3184,3)=$W$7,LEFT(O3184,3)=$W$7)),"x","")</f>
        <v/>
      </c>
      <c r="X3184" s="79" t="str">
        <f>IF(OR(TH!N3184=TH!$X$7,O3184=TH!$X$7),"x","")</f>
        <v/>
      </c>
      <c r="Y3184" s="79" t="str">
        <f>IF(AND(OR(N3184="131",O3184="131"),H3184='131-CT'!$H$9),"x","")</f>
        <v/>
      </c>
      <c r="Z3184" s="79"/>
      <c r="AA3184" s="79" t="str">
        <f>IF(AND(MONTH(E3184)='IN-NX'!$J$5,'IN-NX'!$D$7=D3184),"x","")</f>
        <v/>
      </c>
      <c r="AB3184" s="79" t="str">
        <f>IF(AND(OR(LEFT(TH!N3184,2)="15",LEFT(TH!O3184,2)="15"),LEFT(TH!O3184,3)&lt;&gt;"111",'152-CT'!$J$8=TH!F3184),"x","")</f>
        <v/>
      </c>
      <c r="AC3184" s="79" t="str">
        <f>IF(AND(OR(LEFT(TH!N3184,2)="15",LEFT(TH!O3184,2)="15"),TK!$E$7=TH!F3184),"x","")</f>
        <v/>
      </c>
      <c r="AD3184" s="79" t="str">
        <f>IF(AND(N3184="1521",MONTH(C3184)='BK-NL'!$M$11),"x","")</f>
        <v/>
      </c>
    </row>
    <row r="3185" spans="1:30" s="1101" customFormat="1" ht="16.5" customHeight="1">
      <c r="A3185" s="318" t="str">
        <f>IF(B3185&lt;&gt;"",IF(AND(B3185='IN-TC'!$S$4,OR(TH!N3185="1111",TH!O3185="1111")),TH!D3185,""),"")</f>
        <v/>
      </c>
      <c r="B3185" s="60" t="str">
        <f t="shared" si="387"/>
        <v/>
      </c>
      <c r="C3185" s="301"/>
      <c r="D3185" s="61"/>
      <c r="E3185" s="61"/>
      <c r="F3185" s="69"/>
      <c r="G3185" s="64"/>
      <c r="H3185" s="69"/>
      <c r="I3185" s="387"/>
      <c r="J3185" s="394"/>
      <c r="K3185" s="387"/>
      <c r="L3185" s="394"/>
      <c r="M3185" s="62"/>
      <c r="N3185" s="63"/>
      <c r="O3185" s="63"/>
      <c r="P3185" s="79" t="str">
        <f>IF(AND('331-CT'!$E$7=TH!H3185,OR(N3185="331",O3185="331")),"x","")</f>
        <v/>
      </c>
      <c r="Q3185" s="79" t="str">
        <f>IF(AND(B3185='111'!$L$11,OR($N3185=$Q$7,$O3185=$Q$7)),"x","")</f>
        <v/>
      </c>
      <c r="R3185" s="79" t="str">
        <f>IF(AND($N3185=$Q$7,$B3185&lt;'111'!$L$11),"x","")</f>
        <v/>
      </c>
      <c r="S3185" s="79" t="str">
        <f>IF(AND($O3185=$Q$7,$B3185&lt;'111'!$L$11),"x","")</f>
        <v/>
      </c>
      <c r="T3185" s="79" t="str">
        <f>IF(ISERROR(FIND('112'!$M$9,G3185,1)),"",IF((AND(FIND('112'!$M$9,G3185,1)&gt;=1,B3185='112'!$K$9,OR($N3185='112'!$I$6,$O3185='112'!$I$6))),"x",""))</f>
        <v/>
      </c>
      <c r="U3185" s="79" t="str">
        <f>IF(ISERROR(FIND('112'!$M$9,G3185,1)),"",IF((AND(LEFT(G3185,2)=LEFT('112'!$M$9,2),B3185&lt;'112'!$K$9,$N3185='112'!$I$6)),"x",""))</f>
        <v/>
      </c>
      <c r="V3185" s="79" t="str">
        <f>IF(ISERROR(FIND('112'!$M$9,G3185,1)),"",IF((AND(RIGHT(G3185,2)=RIGHT('112'!$M$9,2),B3185&lt;'112'!$K$9,$O3185='112'!$I$6)),"x",""))</f>
        <v/>
      </c>
      <c r="W3185" s="79" t="str">
        <f>IF(AND('341-CT'!$H$9=H3185,OR(LEFT(N3185,3)=$W$7,LEFT(O3185,3)=$W$7)),"x","")</f>
        <v/>
      </c>
      <c r="X3185" s="79" t="str">
        <f>IF(OR(TH!N3185=TH!$X$7,O3185=TH!$X$7),"x","")</f>
        <v/>
      </c>
      <c r="Y3185" s="79" t="str">
        <f>IF(AND(OR(N3185="131",O3185="131"),H3185='131-CT'!$H$9),"x","")</f>
        <v/>
      </c>
      <c r="Z3185" s="79"/>
      <c r="AA3185" s="79" t="str">
        <f>IF(AND(MONTH(E3185)='IN-NX'!$J$5,'IN-NX'!$D$7=D3185),"x","")</f>
        <v/>
      </c>
      <c r="AB3185" s="79" t="str">
        <f>IF(AND(OR(LEFT(TH!N3185,2)="15",LEFT(TH!O3185,2)="15"),LEFT(TH!O3185,3)&lt;&gt;"111",'152-CT'!$J$8=TH!F3185),"x","")</f>
        <v/>
      </c>
      <c r="AC3185" s="79" t="str">
        <f>IF(AND(OR(LEFT(TH!N3185,2)="15",LEFT(TH!O3185,2)="15"),TK!$E$7=TH!F3185),"x","")</f>
        <v/>
      </c>
      <c r="AD3185" s="79" t="str">
        <f>IF(AND(N3185="1521",MONTH(C3185)='BK-NL'!$M$11),"x","")</f>
        <v/>
      </c>
    </row>
    <row r="3186" spans="1:30" ht="16.5" customHeight="1">
      <c r="A3186" s="318" t="str">
        <f>IF(B3186&lt;&gt;"",IF(AND(B3186='IN-TC'!$S$4,OR(TH!N3186="1111",TH!O3186="1111")),TH!D3186,""),"")</f>
        <v/>
      </c>
      <c r="B3186" s="60" t="str">
        <f t="shared" si="387"/>
        <v/>
      </c>
      <c r="C3186" s="301"/>
      <c r="D3186" s="301"/>
      <c r="E3186" s="301"/>
      <c r="F3186" s="69"/>
      <c r="G3186" s="988"/>
      <c r="H3186" s="303"/>
      <c r="I3186" s="385"/>
      <c r="J3186" s="969"/>
      <c r="K3186" s="385"/>
      <c r="L3186" s="392"/>
      <c r="M3186" s="970"/>
      <c r="N3186" s="304"/>
      <c r="O3186" s="304"/>
      <c r="P3186" s="79" t="str">
        <f>IF(AND('331-CT'!$E$7=TH!H3186,OR(N3186="331",O3186="331")),"x","")</f>
        <v/>
      </c>
      <c r="Q3186" s="79" t="str">
        <f>IF(AND(B3186='111'!$L$11,OR($N3186=$Q$7,$O3186=$Q$7)),"x","")</f>
        <v/>
      </c>
      <c r="R3186" s="79" t="str">
        <f>IF(AND($N3186=$Q$7,$B3186&lt;'111'!$L$11),"x","")</f>
        <v/>
      </c>
      <c r="S3186" s="79" t="str">
        <f>IF(AND($O3186=$Q$7,$B3186&lt;'111'!$L$11),"x","")</f>
        <v/>
      </c>
      <c r="T3186" s="79" t="str">
        <f>IF(ISERROR(FIND('112'!$M$9,G3186,1)),"",IF((AND(FIND('112'!$M$9,G3186,1)&gt;=1,B3186='112'!$K$9,OR($N3186='112'!$I$6,$O3186='112'!$I$6))),"x",""))</f>
        <v/>
      </c>
      <c r="U3186" s="79" t="str">
        <f>IF(ISERROR(FIND('112'!$M$9,G3186,1)),"",IF((AND(LEFT(G3186,2)=LEFT('112'!$M$9,2),B3186&lt;'112'!$K$9,$N3186='112'!$I$6)),"x",""))</f>
        <v/>
      </c>
      <c r="V3186" s="79" t="str">
        <f>IF(ISERROR(FIND('112'!$M$9,G3186,1)),"",IF((AND(RIGHT(G3186,2)=RIGHT('112'!$M$9,2),B3186&lt;'112'!$K$9,$O3186='112'!$I$6)),"x",""))</f>
        <v/>
      </c>
      <c r="W3186" s="79" t="str">
        <f>IF(AND('341-CT'!$H$9=H3186,OR(LEFT(N3186,3)=$W$7,LEFT(O3186,3)=$W$7)),"x","")</f>
        <v/>
      </c>
      <c r="X3186" s="79" t="str">
        <f>IF(OR(TH!N3186=TH!$X$7,O3186=TH!$X$7),"x","")</f>
        <v/>
      </c>
      <c r="Y3186" s="79" t="str">
        <f>IF(AND(OR(N3186="131",O3186="131"),H3186='131-CT'!$H$9),"x","")</f>
        <v/>
      </c>
      <c r="Z3186" s="79"/>
      <c r="AA3186" s="79" t="str">
        <f>IF(AND(MONTH(E3186)='IN-NX'!$J$5,'IN-NX'!$D$7=D3186),"x","")</f>
        <v/>
      </c>
      <c r="AB3186" s="79" t="str">
        <f>IF(AND(OR(LEFT(TH!N3186,2)="15",LEFT(TH!O3186,2)="15"),LEFT(TH!O3186,3)&lt;&gt;"111",'152-CT'!$J$8=TH!F3186),"x","")</f>
        <v/>
      </c>
      <c r="AC3186" s="79" t="str">
        <f>IF(AND(OR(LEFT(TH!N3186,2)="15",LEFT(TH!O3186,2)="15"),TK!$E$7=TH!F3186),"x","")</f>
        <v/>
      </c>
      <c r="AD3186" s="79" t="str">
        <f>IF(AND(N3186="1521",MONTH(C3186)='BK-NL'!$M$11),"x","")</f>
        <v/>
      </c>
    </row>
    <row r="3187" spans="1:30" ht="16.5" customHeight="1">
      <c r="A3187" s="318" t="str">
        <f>IF(B3187&lt;&gt;"",IF(AND(B3187='IN-TC'!$S$4,OR(TH!N3187="1111",TH!O3187="1111")),TH!D3187,""),"")</f>
        <v/>
      </c>
      <c r="B3187" s="60" t="str">
        <f t="shared" ref="B3187:B3190" si="388">IF(C3187&lt;&gt;"",MONTH(C3187),"")</f>
        <v/>
      </c>
      <c r="C3187" s="301"/>
      <c r="D3187" s="301"/>
      <c r="E3187" s="301"/>
      <c r="F3187" s="69"/>
      <c r="G3187" s="988"/>
      <c r="H3187" s="303"/>
      <c r="I3187" s="385"/>
      <c r="J3187" s="969"/>
      <c r="K3187" s="385"/>
      <c r="L3187" s="392"/>
      <c r="M3187" s="970"/>
      <c r="N3187" s="304"/>
      <c r="O3187" s="304"/>
      <c r="P3187" s="79" t="str">
        <f>IF(AND('331-CT'!$E$7=TH!H3187,OR(N3187="331",O3187="331")),"x","")</f>
        <v/>
      </c>
      <c r="Q3187" s="79" t="str">
        <f>IF(AND(B3187='111'!$L$11,OR($N3187=$Q$7,$O3187=$Q$7)),"x","")</f>
        <v/>
      </c>
      <c r="R3187" s="79" t="str">
        <f>IF(AND($N3187=$Q$7,$B3187&lt;'111'!$L$11),"x","")</f>
        <v/>
      </c>
      <c r="S3187" s="79" t="str">
        <f>IF(AND($O3187=$Q$7,$B3187&lt;'111'!$L$11),"x","")</f>
        <v/>
      </c>
      <c r="T3187" s="79" t="str">
        <f>IF(ISERROR(FIND('112'!$M$9,G3187,1)),"",IF((AND(FIND('112'!$M$9,G3187,1)&gt;=1,B3187='112'!$K$9,OR($N3187='112'!$I$6,$O3187='112'!$I$6))),"x",""))</f>
        <v/>
      </c>
      <c r="U3187" s="79" t="str">
        <f>IF(ISERROR(FIND('112'!$M$9,G3187,1)),"",IF((AND(LEFT(G3187,2)=LEFT('112'!$M$9,2),B3187&lt;'112'!$K$9,$N3187='112'!$I$6)),"x",""))</f>
        <v/>
      </c>
      <c r="V3187" s="79" t="str">
        <f>IF(ISERROR(FIND('112'!$M$9,G3187,1)),"",IF((AND(RIGHT(G3187,2)=RIGHT('112'!$M$9,2),B3187&lt;'112'!$K$9,$O3187='112'!$I$6)),"x",""))</f>
        <v/>
      </c>
      <c r="W3187" s="79" t="str">
        <f>IF(AND('341-CT'!$H$9=H3187,OR(LEFT(N3187,3)=$W$7,LEFT(O3187,3)=$W$7)),"x","")</f>
        <v/>
      </c>
      <c r="X3187" s="79" t="str">
        <f>IF(OR(TH!N3187=TH!$X$7,O3187=TH!$X$7),"x","")</f>
        <v/>
      </c>
      <c r="Y3187" s="79" t="str">
        <f>IF(AND(OR(N3187="131",O3187="131"),H3187='131-CT'!$H$9),"x","")</f>
        <v/>
      </c>
      <c r="Z3187" s="79"/>
      <c r="AA3187" s="79" t="str">
        <f>IF(AND(MONTH(E3187)='IN-NX'!$J$5,'IN-NX'!$D$7=D3187),"x","")</f>
        <v/>
      </c>
      <c r="AB3187" s="79" t="str">
        <f>IF(AND(OR(LEFT(TH!N3187,2)="15",LEFT(TH!O3187,2)="15"),LEFT(TH!O3187,3)&lt;&gt;"111",'152-CT'!$J$8=TH!F3187),"x","")</f>
        <v/>
      </c>
      <c r="AC3187" s="79" t="str">
        <f>IF(AND(OR(LEFT(TH!N3187,2)="15",LEFT(TH!O3187,2)="15"),TK!$E$7=TH!F3187),"x","")</f>
        <v/>
      </c>
      <c r="AD3187" s="79" t="str">
        <f>IF(AND(N3187="1521",MONTH(C3187)='BK-NL'!$M$11),"x","")</f>
        <v/>
      </c>
    </row>
    <row r="3188" spans="1:30" ht="16.5" customHeight="1">
      <c r="A3188" s="318" t="str">
        <f>IF(B3188&lt;&gt;"",IF(AND(B3188='IN-TC'!$S$4,OR(TH!N3188="1111",TH!O3188="1111")),TH!D3188,""),"")</f>
        <v/>
      </c>
      <c r="B3188" s="60" t="str">
        <f t="shared" si="388"/>
        <v/>
      </c>
      <c r="C3188" s="301"/>
      <c r="D3188" s="301"/>
      <c r="E3188" s="301"/>
      <c r="F3188" s="69"/>
      <c r="G3188" s="988"/>
      <c r="H3188" s="303"/>
      <c r="I3188" s="385"/>
      <c r="J3188" s="969"/>
      <c r="K3188" s="385"/>
      <c r="L3188" s="392"/>
      <c r="M3188" s="970"/>
      <c r="N3188" s="304"/>
      <c r="O3188" s="304"/>
      <c r="P3188" s="79" t="str">
        <f>IF(AND('331-CT'!$E$7=TH!H3188,OR(N3188="331",O3188="331")),"x","")</f>
        <v/>
      </c>
      <c r="Q3188" s="79" t="str">
        <f>IF(AND(B3188='111'!$L$11,OR($N3188=$Q$7,$O3188=$Q$7)),"x","")</f>
        <v/>
      </c>
      <c r="R3188" s="79" t="str">
        <f>IF(AND($N3188=$Q$7,$B3188&lt;'111'!$L$11),"x","")</f>
        <v/>
      </c>
      <c r="S3188" s="79" t="str">
        <f>IF(AND($O3188=$Q$7,$B3188&lt;'111'!$L$11),"x","")</f>
        <v/>
      </c>
      <c r="T3188" s="79" t="str">
        <f>IF(ISERROR(FIND('112'!$M$9,G3188,1)),"",IF((AND(FIND('112'!$M$9,G3188,1)&gt;=1,B3188='112'!$K$9,OR($N3188='112'!$I$6,$O3188='112'!$I$6))),"x",""))</f>
        <v/>
      </c>
      <c r="U3188" s="79" t="str">
        <f>IF(ISERROR(FIND('112'!$M$9,G3188,1)),"",IF((AND(LEFT(G3188,2)=LEFT('112'!$M$9,2),B3188&lt;'112'!$K$9,$N3188='112'!$I$6)),"x",""))</f>
        <v/>
      </c>
      <c r="V3188" s="79" t="str">
        <f>IF(ISERROR(FIND('112'!$M$9,G3188,1)),"",IF((AND(RIGHT(G3188,2)=RIGHT('112'!$M$9,2),B3188&lt;'112'!$K$9,$O3188='112'!$I$6)),"x",""))</f>
        <v/>
      </c>
      <c r="W3188" s="79" t="str">
        <f>IF(AND('341-CT'!$H$9=H3188,OR(LEFT(N3188,3)=$W$7,LEFT(O3188,3)=$W$7)),"x","")</f>
        <v/>
      </c>
      <c r="X3188" s="79" t="str">
        <f>IF(OR(TH!N3188=TH!$X$7,O3188=TH!$X$7),"x","")</f>
        <v/>
      </c>
      <c r="Y3188" s="79" t="str">
        <f>IF(AND(OR(N3188="131",O3188="131"),H3188='131-CT'!$H$9),"x","")</f>
        <v/>
      </c>
      <c r="Z3188" s="79"/>
      <c r="AA3188" s="79" t="str">
        <f>IF(AND(MONTH(E3188)='IN-NX'!$J$5,'IN-NX'!$D$7=D3188),"x","")</f>
        <v/>
      </c>
      <c r="AB3188" s="79" t="str">
        <f>IF(AND(OR(LEFT(TH!N3188,2)="15",LEFT(TH!O3188,2)="15"),LEFT(TH!O3188,3)&lt;&gt;"111",'152-CT'!$J$8=TH!F3188),"x","")</f>
        <v/>
      </c>
      <c r="AC3188" s="79" t="str">
        <f>IF(AND(OR(LEFT(TH!N3188,2)="15",LEFT(TH!O3188,2)="15"),TK!$E$7=TH!F3188),"x","")</f>
        <v/>
      </c>
      <c r="AD3188" s="79" t="str">
        <f>IF(AND(N3188="1521",MONTH(C3188)='BK-NL'!$M$11),"x","")</f>
        <v/>
      </c>
    </row>
    <row r="3189" spans="1:30" s="1101" customFormat="1" ht="16.5" customHeight="1">
      <c r="A3189" s="318" t="str">
        <f>IF(B3189&lt;&gt;"",IF(AND(B3189='IN-TC'!$S$4,OR(TH!N3189="1111",TH!O3189="1111")),TH!D3189,""),"")</f>
        <v/>
      </c>
      <c r="B3189" s="60" t="str">
        <f t="shared" si="388"/>
        <v/>
      </c>
      <c r="C3189" s="301"/>
      <c r="D3189" s="61"/>
      <c r="E3189" s="61"/>
      <c r="F3189" s="69"/>
      <c r="G3189" s="64"/>
      <c r="H3189" s="69"/>
      <c r="I3189" s="387"/>
      <c r="J3189" s="394"/>
      <c r="K3189" s="62"/>
      <c r="L3189" s="394"/>
      <c r="M3189" s="62"/>
      <c r="N3189" s="63"/>
      <c r="O3189" s="63"/>
      <c r="P3189" s="79" t="str">
        <f>IF(AND('331-CT'!$E$7=TH!H3189,OR(N3189="331",O3189="331")),"x","")</f>
        <v/>
      </c>
      <c r="Q3189" s="79" t="str">
        <f>IF(AND(B3189='111'!$L$11,OR($N3189=$Q$7,$O3189=$Q$7)),"x","")</f>
        <v/>
      </c>
      <c r="R3189" s="79" t="str">
        <f>IF(AND($N3189=$Q$7,$B3189&lt;'111'!$L$11),"x","")</f>
        <v/>
      </c>
      <c r="S3189" s="79" t="str">
        <f>IF(AND($O3189=$Q$7,$B3189&lt;'111'!$L$11),"x","")</f>
        <v/>
      </c>
      <c r="T3189" s="79" t="str">
        <f>IF(ISERROR(FIND('112'!$M$9,G3189,1)),"",IF((AND(FIND('112'!$M$9,G3189,1)&gt;=1,B3189='112'!$K$9,OR($N3189='112'!$I$6,$O3189='112'!$I$6))),"x",""))</f>
        <v/>
      </c>
      <c r="U3189" s="79" t="str">
        <f>IF(ISERROR(FIND('112'!$M$9,G3189,1)),"",IF((AND(LEFT(G3189,2)=LEFT('112'!$M$9,2),B3189&lt;'112'!$K$9,$N3189='112'!$I$6)),"x",""))</f>
        <v/>
      </c>
      <c r="V3189" s="79" t="str">
        <f>IF(ISERROR(FIND('112'!$M$9,G3189,1)),"",IF((AND(RIGHT(G3189,2)=RIGHT('112'!$M$9,2),B3189&lt;'112'!$K$9,$O3189='112'!$I$6)),"x",""))</f>
        <v/>
      </c>
      <c r="W3189" s="79" t="str">
        <f>IF(AND('341-CT'!$H$9=H3189,OR(LEFT(N3189,3)=$W$7,LEFT(O3189,3)=$W$7)),"x","")</f>
        <v/>
      </c>
      <c r="X3189" s="79" t="str">
        <f>IF(OR(TH!N3189=TH!$X$7,O3189=TH!$X$7),"x","")</f>
        <v/>
      </c>
      <c r="Y3189" s="79" t="str">
        <f>IF(AND(OR(N3189="131",O3189="131"),H3189='131-CT'!$H$9),"x","")</f>
        <v/>
      </c>
      <c r="Z3189" s="79"/>
      <c r="AA3189" s="79" t="str">
        <f>IF(AND(MONTH(E3189)='IN-NX'!$J$5,'IN-NX'!$D$7=D3189),"x","")</f>
        <v/>
      </c>
      <c r="AB3189" s="79" t="str">
        <f>IF(AND(OR(LEFT(TH!N3189,2)="15",LEFT(TH!O3189,2)="15"),LEFT(TH!O3189,3)&lt;&gt;"111",'152-CT'!$J$8=TH!F3189),"x","")</f>
        <v/>
      </c>
      <c r="AC3189" s="79" t="str">
        <f>IF(AND(OR(LEFT(TH!N3189,2)="15",LEFT(TH!O3189,2)="15"),TK!$E$7=TH!F3189),"x","")</f>
        <v/>
      </c>
      <c r="AD3189" s="79" t="str">
        <f>IF(AND(N3189="1521",MONTH(C3189)='BK-NL'!$M$11),"x","")</f>
        <v/>
      </c>
    </row>
    <row r="3190" spans="1:30" s="1101" customFormat="1" ht="16.5" customHeight="1">
      <c r="A3190" s="318" t="str">
        <f>IF(B3190&lt;&gt;"",IF(AND(B3190='IN-TC'!$S$4,OR(TH!N3190="1111",TH!O3190="1111")),TH!D3190,""),"")</f>
        <v/>
      </c>
      <c r="B3190" s="60" t="str">
        <f t="shared" si="388"/>
        <v/>
      </c>
      <c r="C3190" s="301"/>
      <c r="D3190" s="61"/>
      <c r="E3190" s="61"/>
      <c r="F3190" s="69"/>
      <c r="G3190" s="64"/>
      <c r="H3190" s="69"/>
      <c r="I3190" s="387"/>
      <c r="J3190" s="394"/>
      <c r="K3190" s="387"/>
      <c r="L3190" s="394"/>
      <c r="M3190" s="62"/>
      <c r="N3190" s="63"/>
      <c r="O3190" s="63"/>
      <c r="P3190" s="79" t="str">
        <f>IF(AND('331-CT'!$E$7=TH!H3190,OR(N3190="331",O3190="331")),"x","")</f>
        <v/>
      </c>
      <c r="Q3190" s="79" t="str">
        <f>IF(AND(B3190='111'!$L$11,OR($N3190=$Q$7,$O3190=$Q$7)),"x","")</f>
        <v/>
      </c>
      <c r="R3190" s="79" t="str">
        <f>IF(AND($N3190=$Q$7,$B3190&lt;'111'!$L$11),"x","")</f>
        <v/>
      </c>
      <c r="S3190" s="79" t="str">
        <f>IF(AND($O3190=$Q$7,$B3190&lt;'111'!$L$11),"x","")</f>
        <v/>
      </c>
      <c r="T3190" s="79" t="str">
        <f>IF(ISERROR(FIND('112'!$M$9,G3190,1)),"",IF((AND(FIND('112'!$M$9,G3190,1)&gt;=1,B3190='112'!$K$9,OR($N3190='112'!$I$6,$O3190='112'!$I$6))),"x",""))</f>
        <v/>
      </c>
      <c r="U3190" s="79" t="str">
        <f>IF(ISERROR(FIND('112'!$M$9,G3190,1)),"",IF((AND(LEFT(G3190,2)=LEFT('112'!$M$9,2),B3190&lt;'112'!$K$9,$N3190='112'!$I$6)),"x",""))</f>
        <v/>
      </c>
      <c r="V3190" s="79" t="str">
        <f>IF(ISERROR(FIND('112'!$M$9,G3190,1)),"",IF((AND(RIGHT(G3190,2)=RIGHT('112'!$M$9,2),B3190&lt;'112'!$K$9,$O3190='112'!$I$6)),"x",""))</f>
        <v/>
      </c>
      <c r="W3190" s="79" t="str">
        <f>IF(AND('341-CT'!$H$9=H3190,OR(LEFT(N3190,3)=$W$7,LEFT(O3190,3)=$W$7)),"x","")</f>
        <v/>
      </c>
      <c r="X3190" s="79" t="str">
        <f>IF(OR(TH!N3190=TH!$X$7,O3190=TH!$X$7),"x","")</f>
        <v/>
      </c>
      <c r="Y3190" s="79" t="str">
        <f>IF(AND(OR(N3190="131",O3190="131"),H3190='131-CT'!$H$9),"x","")</f>
        <v/>
      </c>
      <c r="Z3190" s="79"/>
      <c r="AA3190" s="79" t="str">
        <f>IF(AND(MONTH(E3190)='IN-NX'!$J$5,'IN-NX'!$D$7=D3190),"x","")</f>
        <v/>
      </c>
      <c r="AB3190" s="79" t="str">
        <f>IF(AND(OR(LEFT(TH!N3190,2)="15",LEFT(TH!O3190,2)="15"),LEFT(TH!O3190,3)&lt;&gt;"111",'152-CT'!$J$8=TH!F3190),"x","")</f>
        <v/>
      </c>
      <c r="AC3190" s="79" t="str">
        <f>IF(AND(OR(LEFT(TH!N3190,2)="15",LEFT(TH!O3190,2)="15"),TK!$E$7=TH!F3190),"x","")</f>
        <v/>
      </c>
      <c r="AD3190" s="79" t="str">
        <f>IF(AND(N3190="1521",MONTH(C3190)='BK-NL'!$M$11),"x","")</f>
        <v/>
      </c>
    </row>
    <row r="3191" spans="1:30" ht="16.5" customHeight="1">
      <c r="A3191" s="318" t="str">
        <f>IF(B3191&lt;&gt;"",IF(AND(B3191='IN-TC'!$S$4,OR(TH!N3191="1111",TH!O3191="1111")),TH!D3191,""),"")</f>
        <v/>
      </c>
      <c r="B3191" s="60" t="str">
        <f t="shared" si="380"/>
        <v/>
      </c>
      <c r="C3191" s="301"/>
      <c r="D3191" s="301"/>
      <c r="E3191" s="301"/>
      <c r="F3191" s="69"/>
      <c r="G3191" s="988"/>
      <c r="H3191" s="303"/>
      <c r="I3191" s="385"/>
      <c r="J3191" s="969"/>
      <c r="K3191" s="385"/>
      <c r="L3191" s="392"/>
      <c r="M3191" s="970"/>
      <c r="N3191" s="304"/>
      <c r="O3191" s="304"/>
      <c r="P3191" s="79" t="str">
        <f>IF(AND('331-CT'!$E$7=TH!H3191,OR(N3191="331",O3191="331")),"x","")</f>
        <v/>
      </c>
      <c r="Q3191" s="79" t="str">
        <f>IF(AND(B3191='111'!$L$11,OR($N3191=$Q$7,$O3191=$Q$7)),"x","")</f>
        <v/>
      </c>
      <c r="R3191" s="79" t="str">
        <f>IF(AND($N3191=$Q$7,$B3191&lt;'111'!$L$11),"x","")</f>
        <v/>
      </c>
      <c r="S3191" s="79" t="str">
        <f>IF(AND($O3191=$Q$7,$B3191&lt;'111'!$L$11),"x","")</f>
        <v/>
      </c>
      <c r="T3191" s="79" t="str">
        <f>IF(ISERROR(FIND('112'!$M$9,G3191,1)),"",IF((AND(FIND('112'!$M$9,G3191,1)&gt;=1,B3191='112'!$K$9,OR($N3191='112'!$I$6,$O3191='112'!$I$6))),"x",""))</f>
        <v/>
      </c>
      <c r="U3191" s="79" t="str">
        <f>IF(ISERROR(FIND('112'!$M$9,G3191,1)),"",IF((AND(LEFT(G3191,2)=LEFT('112'!$M$9,2),B3191&lt;'112'!$K$9,$N3191='112'!$I$6)),"x",""))</f>
        <v/>
      </c>
      <c r="V3191" s="79" t="str">
        <f>IF(ISERROR(FIND('112'!$M$9,G3191,1)),"",IF((AND(RIGHT(G3191,2)=RIGHT('112'!$M$9,2),B3191&lt;'112'!$K$9,$O3191='112'!$I$6)),"x",""))</f>
        <v/>
      </c>
      <c r="W3191" s="79" t="str">
        <f>IF(AND('341-CT'!$H$9=H3191,OR(LEFT(N3191,3)=$W$7,LEFT(O3191,3)=$W$7)),"x","")</f>
        <v/>
      </c>
      <c r="X3191" s="79" t="str">
        <f>IF(OR(TH!N3191=TH!$X$7,O3191=TH!$X$7),"x","")</f>
        <v/>
      </c>
      <c r="Y3191" s="79" t="str">
        <f>IF(AND(OR(N3191="131",O3191="131"),H3191='131-CT'!$H$9),"x","")</f>
        <v/>
      </c>
      <c r="Z3191" s="79"/>
      <c r="AA3191" s="79" t="str">
        <f>IF(AND(MONTH(E3191)='IN-NX'!$J$5,'IN-NX'!$D$7=D3191),"x","")</f>
        <v/>
      </c>
      <c r="AB3191" s="79" t="str">
        <f>IF(AND(OR(LEFT(TH!N3191,2)="15",LEFT(TH!O3191,2)="15"),LEFT(TH!O3191,3)&lt;&gt;"111",'152-CT'!$J$8=TH!F3191),"x","")</f>
        <v/>
      </c>
      <c r="AC3191" s="79" t="str">
        <f>IF(AND(OR(LEFT(TH!N3191,2)="15",LEFT(TH!O3191,2)="15"),TK!$E$7=TH!F3191),"x","")</f>
        <v/>
      </c>
      <c r="AD3191" s="79" t="str">
        <f>IF(AND(N3191="1521",MONTH(C3191)='BK-NL'!$M$11),"x","")</f>
        <v/>
      </c>
    </row>
    <row r="3192" spans="1:30" ht="16.5" customHeight="1">
      <c r="A3192" s="318" t="str">
        <f>IF(B3192&lt;&gt;"",IF(AND(B3192='IN-TC'!$S$4,OR(TH!N3192="1111",TH!O3192="1111")),TH!D3192,""),"")</f>
        <v/>
      </c>
      <c r="B3192" s="60" t="str">
        <f t="shared" si="380"/>
        <v/>
      </c>
      <c r="C3192" s="301"/>
      <c r="D3192" s="301"/>
      <c r="E3192" s="301"/>
      <c r="F3192" s="69"/>
      <c r="G3192" s="988"/>
      <c r="H3192" s="303"/>
      <c r="I3192" s="385"/>
      <c r="J3192" s="969"/>
      <c r="K3192" s="385"/>
      <c r="L3192" s="392"/>
      <c r="M3192" s="970"/>
      <c r="N3192" s="304"/>
      <c r="O3192" s="304"/>
      <c r="P3192" s="79" t="str">
        <f>IF(AND('331-CT'!$E$7=TH!H3192,OR(N3192="331",O3192="331")),"x","")</f>
        <v/>
      </c>
      <c r="Q3192" s="79" t="str">
        <f>IF(AND(B3192='111'!$L$11,OR($N3192=$Q$7,$O3192=$Q$7)),"x","")</f>
        <v/>
      </c>
      <c r="R3192" s="79" t="str">
        <f>IF(AND($N3192=$Q$7,$B3192&lt;'111'!$L$11),"x","")</f>
        <v/>
      </c>
      <c r="S3192" s="79" t="str">
        <f>IF(AND($O3192=$Q$7,$B3192&lt;'111'!$L$11),"x","")</f>
        <v/>
      </c>
      <c r="T3192" s="79" t="str">
        <f>IF(ISERROR(FIND('112'!$M$9,G3192,1)),"",IF((AND(FIND('112'!$M$9,G3192,1)&gt;=1,B3192='112'!$K$9,OR($N3192='112'!$I$6,$O3192='112'!$I$6))),"x",""))</f>
        <v/>
      </c>
      <c r="U3192" s="79" t="str">
        <f>IF(ISERROR(FIND('112'!$M$9,G3192,1)),"",IF((AND(LEFT(G3192,2)=LEFT('112'!$M$9,2),B3192&lt;'112'!$K$9,$N3192='112'!$I$6)),"x",""))</f>
        <v/>
      </c>
      <c r="V3192" s="79" t="str">
        <f>IF(ISERROR(FIND('112'!$M$9,G3192,1)),"",IF((AND(RIGHT(G3192,2)=RIGHT('112'!$M$9,2),B3192&lt;'112'!$K$9,$O3192='112'!$I$6)),"x",""))</f>
        <v/>
      </c>
      <c r="W3192" s="79" t="str">
        <f>IF(AND('341-CT'!$H$9=H3192,OR(LEFT(N3192,3)=$W$7,LEFT(O3192,3)=$W$7)),"x","")</f>
        <v/>
      </c>
      <c r="X3192" s="79" t="str">
        <f>IF(OR(TH!N3192=TH!$X$7,O3192=TH!$X$7),"x","")</f>
        <v/>
      </c>
      <c r="Y3192" s="79" t="str">
        <f>IF(AND(OR(N3192="131",O3192="131"),H3192='131-CT'!$H$9),"x","")</f>
        <v/>
      </c>
      <c r="Z3192" s="79"/>
      <c r="AA3192" s="79" t="str">
        <f>IF(AND(MONTH(E3192)='IN-NX'!$J$5,'IN-NX'!$D$7=D3192),"x","")</f>
        <v/>
      </c>
      <c r="AB3192" s="79" t="str">
        <f>IF(AND(OR(LEFT(TH!N3192,2)="15",LEFT(TH!O3192,2)="15"),LEFT(TH!O3192,3)&lt;&gt;"111",'152-CT'!$J$8=TH!F3192),"x","")</f>
        <v/>
      </c>
      <c r="AC3192" s="79" t="str">
        <f>IF(AND(OR(LEFT(TH!N3192,2)="15",LEFT(TH!O3192,2)="15"),TK!$E$7=TH!F3192),"x","")</f>
        <v/>
      </c>
      <c r="AD3192" s="79" t="str">
        <f>IF(AND(N3192="1521",MONTH(C3192)='BK-NL'!$M$11),"x","")</f>
        <v/>
      </c>
    </row>
    <row r="3193" spans="1:30" ht="16.5" customHeight="1">
      <c r="A3193" s="318" t="str">
        <f>IF(B3193&lt;&gt;"",IF(AND(B3193='IN-TC'!$S$4,OR(TH!N3193="1111",TH!O3193="1111")),TH!D3193,""),"")</f>
        <v/>
      </c>
      <c r="B3193" s="60" t="str">
        <f t="shared" si="380"/>
        <v/>
      </c>
      <c r="C3193" s="301"/>
      <c r="D3193" s="301"/>
      <c r="E3193" s="301"/>
      <c r="F3193" s="69"/>
      <c r="G3193" s="988"/>
      <c r="H3193" s="303"/>
      <c r="I3193" s="385"/>
      <c r="J3193" s="969"/>
      <c r="K3193" s="385"/>
      <c r="L3193" s="392"/>
      <c r="M3193" s="970"/>
      <c r="N3193" s="304"/>
      <c r="O3193" s="304"/>
      <c r="P3193" s="79" t="str">
        <f>IF(AND('331-CT'!$E$7=TH!H3193,OR(N3193="331",O3193="331")),"x","")</f>
        <v/>
      </c>
      <c r="Q3193" s="79" t="str">
        <f>IF(AND(B3193='111'!$L$11,OR($N3193=$Q$7,$O3193=$Q$7)),"x","")</f>
        <v/>
      </c>
      <c r="R3193" s="79" t="str">
        <f>IF(AND($N3193=$Q$7,$B3193&lt;'111'!$L$11),"x","")</f>
        <v/>
      </c>
      <c r="S3193" s="79" t="str">
        <f>IF(AND($O3193=$Q$7,$B3193&lt;'111'!$L$11),"x","")</f>
        <v/>
      </c>
      <c r="T3193" s="79" t="str">
        <f>IF(ISERROR(FIND('112'!$M$9,G3193,1)),"",IF((AND(FIND('112'!$M$9,G3193,1)&gt;=1,B3193='112'!$K$9,OR($N3193='112'!$I$6,$O3193='112'!$I$6))),"x",""))</f>
        <v/>
      </c>
      <c r="U3193" s="79" t="str">
        <f>IF(ISERROR(FIND('112'!$M$9,G3193,1)),"",IF((AND(LEFT(G3193,2)=LEFT('112'!$M$9,2),B3193&lt;'112'!$K$9,$N3193='112'!$I$6)),"x",""))</f>
        <v/>
      </c>
      <c r="V3193" s="79" t="str">
        <f>IF(ISERROR(FIND('112'!$M$9,G3193,1)),"",IF((AND(RIGHT(G3193,2)=RIGHT('112'!$M$9,2),B3193&lt;'112'!$K$9,$O3193='112'!$I$6)),"x",""))</f>
        <v/>
      </c>
      <c r="W3193" s="79" t="str">
        <f>IF(AND('341-CT'!$H$9=H3193,OR(LEFT(N3193,3)=$W$7,LEFT(O3193,3)=$W$7)),"x","")</f>
        <v/>
      </c>
      <c r="X3193" s="79" t="str">
        <f>IF(OR(TH!N3193=TH!$X$7,O3193=TH!$X$7),"x","")</f>
        <v/>
      </c>
      <c r="Y3193" s="79" t="str">
        <f>IF(AND(OR(N3193="131",O3193="131"),H3193='131-CT'!$H$9),"x","")</f>
        <v/>
      </c>
      <c r="Z3193" s="79"/>
      <c r="AA3193" s="79" t="str">
        <f>IF(AND(MONTH(E3193)='IN-NX'!$J$5,'IN-NX'!$D$7=D3193),"x","")</f>
        <v/>
      </c>
      <c r="AB3193" s="79" t="str">
        <f>IF(AND(OR(LEFT(TH!N3193,2)="15",LEFT(TH!O3193,2)="15"),LEFT(TH!O3193,3)&lt;&gt;"111",'152-CT'!$J$8=TH!F3193),"x","")</f>
        <v/>
      </c>
      <c r="AC3193" s="79" t="str">
        <f>IF(AND(OR(LEFT(TH!N3193,2)="15",LEFT(TH!O3193,2)="15"),TK!$E$7=TH!F3193),"x","")</f>
        <v/>
      </c>
      <c r="AD3193" s="79" t="str">
        <f>IF(AND(N3193="1521",MONTH(C3193)='BK-NL'!$M$11),"x","")</f>
        <v/>
      </c>
    </row>
    <row r="3194" spans="1:30" ht="16.5" customHeight="1">
      <c r="A3194" s="318" t="str">
        <f>IF(B3194&lt;&gt;"",IF(AND(B3194='IN-TC'!$S$4,OR(TH!N3194="1111",TH!O3194="1111")),TH!D3194,""),"")</f>
        <v/>
      </c>
      <c r="B3194" s="60" t="str">
        <f t="shared" si="380"/>
        <v/>
      </c>
      <c r="C3194" s="301"/>
      <c r="D3194" s="301"/>
      <c r="E3194" s="301"/>
      <c r="F3194" s="69"/>
      <c r="G3194" s="988"/>
      <c r="H3194" s="303"/>
      <c r="I3194" s="385"/>
      <c r="J3194" s="969"/>
      <c r="K3194" s="385"/>
      <c r="L3194" s="392"/>
      <c r="M3194" s="970"/>
      <c r="N3194" s="304"/>
      <c r="O3194" s="304"/>
      <c r="P3194" s="79" t="str">
        <f>IF(AND('331-CT'!$E$7=TH!H3194,OR(N3194="331",O3194="331")),"x","")</f>
        <v/>
      </c>
      <c r="Q3194" s="79" t="str">
        <f>IF(AND(B3194='111'!$L$11,OR($N3194=$Q$7,$O3194=$Q$7)),"x","")</f>
        <v/>
      </c>
      <c r="R3194" s="79" t="str">
        <f>IF(AND($N3194=$Q$7,$B3194&lt;'111'!$L$11),"x","")</f>
        <v/>
      </c>
      <c r="S3194" s="79" t="str">
        <f>IF(AND($O3194=$Q$7,$B3194&lt;'111'!$L$11),"x","")</f>
        <v/>
      </c>
      <c r="T3194" s="79" t="str">
        <f>IF(ISERROR(FIND('112'!$M$9,G3194,1)),"",IF((AND(FIND('112'!$M$9,G3194,1)&gt;=1,B3194='112'!$K$9,OR($N3194='112'!$I$6,$O3194='112'!$I$6))),"x",""))</f>
        <v/>
      </c>
      <c r="U3194" s="79" t="str">
        <f>IF(ISERROR(FIND('112'!$M$9,G3194,1)),"",IF((AND(LEFT(G3194,2)=LEFT('112'!$M$9,2),B3194&lt;'112'!$K$9,$N3194='112'!$I$6)),"x",""))</f>
        <v/>
      </c>
      <c r="V3194" s="79" t="str">
        <f>IF(ISERROR(FIND('112'!$M$9,G3194,1)),"",IF((AND(RIGHT(G3194,2)=RIGHT('112'!$M$9,2),B3194&lt;'112'!$K$9,$O3194='112'!$I$6)),"x",""))</f>
        <v/>
      </c>
      <c r="W3194" s="79" t="str">
        <f>IF(AND('341-CT'!$H$9=H3194,OR(LEFT(N3194,3)=$W$7,LEFT(O3194,3)=$W$7)),"x","")</f>
        <v/>
      </c>
      <c r="X3194" s="79" t="str">
        <f>IF(OR(TH!N3194=TH!$X$7,O3194=TH!$X$7),"x","")</f>
        <v/>
      </c>
      <c r="Y3194" s="79" t="str">
        <f>IF(AND(OR(N3194="131",O3194="131"),H3194='131-CT'!$H$9),"x","")</f>
        <v/>
      </c>
      <c r="Z3194" s="79"/>
      <c r="AA3194" s="79" t="str">
        <f>IF(AND(MONTH(E3194)='IN-NX'!$J$5,'IN-NX'!$D$7=D3194),"x","")</f>
        <v/>
      </c>
      <c r="AB3194" s="79" t="str">
        <f>IF(AND(OR(LEFT(TH!N3194,2)="15",LEFT(TH!O3194,2)="15"),LEFT(TH!O3194,3)&lt;&gt;"111",'152-CT'!$J$8=TH!F3194),"x","")</f>
        <v/>
      </c>
      <c r="AC3194" s="79" t="str">
        <f>IF(AND(OR(LEFT(TH!N3194,2)="15",LEFT(TH!O3194,2)="15"),TK!$E$7=TH!F3194),"x","")</f>
        <v/>
      </c>
      <c r="AD3194" s="79" t="str">
        <f>IF(AND(N3194="1521",MONTH(C3194)='BK-NL'!$M$11),"x","")</f>
        <v/>
      </c>
    </row>
    <row r="3195" spans="1:30" ht="16.5" customHeight="1">
      <c r="A3195" s="318" t="str">
        <f>IF(B3195&lt;&gt;"",IF(AND(B3195='IN-TC'!$S$4,OR(TH!N3195="1111",TH!O3195="1111")),TH!D3195,""),"")</f>
        <v/>
      </c>
      <c r="B3195" s="60" t="str">
        <f t="shared" si="380"/>
        <v/>
      </c>
      <c r="C3195" s="301"/>
      <c r="D3195" s="301"/>
      <c r="E3195" s="301"/>
      <c r="F3195" s="69"/>
      <c r="G3195" s="988"/>
      <c r="H3195" s="303"/>
      <c r="I3195" s="385"/>
      <c r="J3195" s="969"/>
      <c r="K3195" s="385"/>
      <c r="L3195" s="392"/>
      <c r="M3195" s="970"/>
      <c r="N3195" s="304"/>
      <c r="O3195" s="304"/>
      <c r="P3195" s="79" t="str">
        <f>IF(AND('331-CT'!$E$7=TH!H3195,OR(N3195="331",O3195="331")),"x","")</f>
        <v/>
      </c>
      <c r="Q3195" s="79" t="str">
        <f>IF(AND(B3195='111'!$L$11,OR($N3195=$Q$7,$O3195=$Q$7)),"x","")</f>
        <v/>
      </c>
      <c r="R3195" s="79" t="str">
        <f>IF(AND($N3195=$Q$7,$B3195&lt;'111'!$L$11),"x","")</f>
        <v/>
      </c>
      <c r="S3195" s="79" t="str">
        <f>IF(AND($O3195=$Q$7,$B3195&lt;'111'!$L$11),"x","")</f>
        <v/>
      </c>
      <c r="T3195" s="79" t="str">
        <f>IF(ISERROR(FIND('112'!$M$9,G3195,1)),"",IF((AND(FIND('112'!$M$9,G3195,1)&gt;=1,B3195='112'!$K$9,OR($N3195='112'!$I$6,$O3195='112'!$I$6))),"x",""))</f>
        <v/>
      </c>
      <c r="U3195" s="79" t="str">
        <f>IF(ISERROR(FIND('112'!$M$9,G3195,1)),"",IF((AND(LEFT(G3195,2)=LEFT('112'!$M$9,2),B3195&lt;'112'!$K$9,$N3195='112'!$I$6)),"x",""))</f>
        <v/>
      </c>
      <c r="V3195" s="79" t="str">
        <f>IF(ISERROR(FIND('112'!$M$9,G3195,1)),"",IF((AND(RIGHT(G3195,2)=RIGHT('112'!$M$9,2),B3195&lt;'112'!$K$9,$O3195='112'!$I$6)),"x",""))</f>
        <v/>
      </c>
      <c r="W3195" s="79" t="str">
        <f>IF(AND('341-CT'!$H$9=H3195,OR(LEFT(N3195,3)=$W$7,LEFT(O3195,3)=$W$7)),"x","")</f>
        <v/>
      </c>
      <c r="X3195" s="79" t="str">
        <f>IF(OR(TH!N3195=TH!$X$7,O3195=TH!$X$7),"x","")</f>
        <v/>
      </c>
      <c r="Y3195" s="79" t="str">
        <f>IF(AND(OR(N3195="131",O3195="131"),H3195='131-CT'!$H$9),"x","")</f>
        <v/>
      </c>
      <c r="Z3195" s="79"/>
      <c r="AA3195" s="79" t="str">
        <f>IF(AND(MONTH(E3195)='IN-NX'!$J$5,'IN-NX'!$D$7=D3195),"x","")</f>
        <v/>
      </c>
      <c r="AB3195" s="79" t="str">
        <f>IF(AND(OR(LEFT(TH!N3195,2)="15",LEFT(TH!O3195,2)="15"),LEFT(TH!O3195,3)&lt;&gt;"111",'152-CT'!$J$8=TH!F3195),"x","")</f>
        <v/>
      </c>
      <c r="AC3195" s="79" t="str">
        <f>IF(AND(OR(LEFT(TH!N3195,2)="15",LEFT(TH!O3195,2)="15"),TK!$E$7=TH!F3195),"x","")</f>
        <v/>
      </c>
      <c r="AD3195" s="79" t="str">
        <f>IF(AND(N3195="1521",MONTH(C3195)='BK-NL'!$M$11),"x","")</f>
        <v/>
      </c>
    </row>
    <row r="3196" spans="1:30" ht="16.5" customHeight="1">
      <c r="A3196" s="318" t="str">
        <f>IF(B3196&lt;&gt;"",IF(AND(B3196='IN-TC'!$S$4,OR(TH!N3196="1111",TH!O3196="1111")),TH!D3196,""),"")</f>
        <v/>
      </c>
      <c r="B3196" s="60" t="str">
        <f t="shared" si="380"/>
        <v/>
      </c>
      <c r="C3196" s="301"/>
      <c r="D3196" s="301"/>
      <c r="E3196" s="301"/>
      <c r="F3196" s="69"/>
      <c r="G3196" s="988"/>
      <c r="H3196" s="303"/>
      <c r="I3196" s="385"/>
      <c r="J3196" s="969"/>
      <c r="K3196" s="385"/>
      <c r="L3196" s="392"/>
      <c r="M3196" s="970"/>
      <c r="N3196" s="304"/>
      <c r="O3196" s="304"/>
      <c r="P3196" s="79" t="str">
        <f>IF(AND('331-CT'!$E$7=TH!H3196,OR(N3196="331",O3196="331")),"x","")</f>
        <v/>
      </c>
      <c r="Q3196" s="79" t="str">
        <f>IF(AND(B3196='111'!$L$11,OR($N3196=$Q$7,$O3196=$Q$7)),"x","")</f>
        <v/>
      </c>
      <c r="R3196" s="79" t="str">
        <f>IF(AND($N3196=$Q$7,$B3196&lt;'111'!$L$11),"x","")</f>
        <v/>
      </c>
      <c r="S3196" s="79" t="str">
        <f>IF(AND($O3196=$Q$7,$B3196&lt;'111'!$L$11),"x","")</f>
        <v/>
      </c>
      <c r="T3196" s="79" t="str">
        <f>IF(ISERROR(FIND('112'!$M$9,G3196,1)),"",IF((AND(FIND('112'!$M$9,G3196,1)&gt;=1,B3196='112'!$K$9,OR($N3196='112'!$I$6,$O3196='112'!$I$6))),"x",""))</f>
        <v/>
      </c>
      <c r="U3196" s="79" t="str">
        <f>IF(ISERROR(FIND('112'!$M$9,G3196,1)),"",IF((AND(LEFT(G3196,2)=LEFT('112'!$M$9,2),B3196&lt;'112'!$K$9,$N3196='112'!$I$6)),"x",""))</f>
        <v/>
      </c>
      <c r="V3196" s="79" t="str">
        <f>IF(ISERROR(FIND('112'!$M$9,G3196,1)),"",IF((AND(RIGHT(G3196,2)=RIGHT('112'!$M$9,2),B3196&lt;'112'!$K$9,$O3196='112'!$I$6)),"x",""))</f>
        <v/>
      </c>
      <c r="W3196" s="79" t="str">
        <f>IF(AND('341-CT'!$H$9=H3196,OR(LEFT(N3196,3)=$W$7,LEFT(O3196,3)=$W$7)),"x","")</f>
        <v/>
      </c>
      <c r="X3196" s="79" t="str">
        <f>IF(OR(TH!N3196=TH!$X$7,O3196=TH!$X$7),"x","")</f>
        <v/>
      </c>
      <c r="Y3196" s="79" t="str">
        <f>IF(AND(OR(N3196="131",O3196="131"),H3196='131-CT'!$H$9),"x","")</f>
        <v/>
      </c>
      <c r="Z3196" s="79"/>
      <c r="AA3196" s="79" t="str">
        <f>IF(AND(MONTH(E3196)='IN-NX'!$J$5,'IN-NX'!$D$7=D3196),"x","")</f>
        <v/>
      </c>
      <c r="AB3196" s="79" t="str">
        <f>IF(AND(OR(LEFT(TH!N3196,2)="15",LEFT(TH!O3196,2)="15"),LEFT(TH!O3196,3)&lt;&gt;"111",'152-CT'!$J$8=TH!F3196),"x","")</f>
        <v/>
      </c>
      <c r="AC3196" s="79" t="str">
        <f>IF(AND(OR(LEFT(TH!N3196,2)="15",LEFT(TH!O3196,2)="15"),TK!$E$7=TH!F3196),"x","")</f>
        <v/>
      </c>
      <c r="AD3196" s="79" t="str">
        <f>IF(AND(N3196="1521",MONTH(C3196)='BK-NL'!$M$11),"x","")</f>
        <v/>
      </c>
    </row>
    <row r="3197" spans="1:30" ht="16.5" customHeight="1">
      <c r="A3197" s="318" t="str">
        <f>IF(B3197&lt;&gt;"",IF(AND(B3197='IN-TC'!$S$4,OR(TH!N3197="1111",TH!O3197="1111")),TH!D3197,""),"")</f>
        <v/>
      </c>
      <c r="B3197" s="60" t="str">
        <f t="shared" si="380"/>
        <v/>
      </c>
      <c r="C3197" s="301"/>
      <c r="D3197" s="301"/>
      <c r="E3197" s="301"/>
      <c r="F3197" s="69"/>
      <c r="G3197" s="988"/>
      <c r="H3197" s="303"/>
      <c r="I3197" s="385"/>
      <c r="J3197" s="969"/>
      <c r="K3197" s="385"/>
      <c r="L3197" s="392"/>
      <c r="M3197" s="970"/>
      <c r="N3197" s="304"/>
      <c r="O3197" s="304"/>
      <c r="P3197" s="79" t="str">
        <f>IF(AND('331-CT'!$E$7=TH!H3197,OR(N3197="331",O3197="331")),"x","")</f>
        <v/>
      </c>
      <c r="Q3197" s="79" t="str">
        <f>IF(AND(B3197='111'!$L$11,OR($N3197=$Q$7,$O3197=$Q$7)),"x","")</f>
        <v/>
      </c>
      <c r="R3197" s="79" t="str">
        <f>IF(AND($N3197=$Q$7,$B3197&lt;'111'!$L$11),"x","")</f>
        <v/>
      </c>
      <c r="S3197" s="79" t="str">
        <f>IF(AND($O3197=$Q$7,$B3197&lt;'111'!$L$11),"x","")</f>
        <v/>
      </c>
      <c r="T3197" s="79" t="str">
        <f>IF(ISERROR(FIND('112'!$M$9,G3197,1)),"",IF((AND(FIND('112'!$M$9,G3197,1)&gt;=1,B3197='112'!$K$9,OR($N3197='112'!$I$6,$O3197='112'!$I$6))),"x",""))</f>
        <v/>
      </c>
      <c r="U3197" s="79" t="str">
        <f>IF(ISERROR(FIND('112'!$M$9,G3197,1)),"",IF((AND(LEFT(G3197,2)=LEFT('112'!$M$9,2),B3197&lt;'112'!$K$9,$N3197='112'!$I$6)),"x",""))</f>
        <v/>
      </c>
      <c r="V3197" s="79" t="str">
        <f>IF(ISERROR(FIND('112'!$M$9,G3197,1)),"",IF((AND(RIGHT(G3197,2)=RIGHT('112'!$M$9,2),B3197&lt;'112'!$K$9,$O3197='112'!$I$6)),"x",""))</f>
        <v/>
      </c>
      <c r="W3197" s="79" t="str">
        <f>IF(AND('341-CT'!$H$9=H3197,OR(LEFT(N3197,3)=$W$7,LEFT(O3197,3)=$W$7)),"x","")</f>
        <v/>
      </c>
      <c r="X3197" s="79" t="str">
        <f>IF(OR(TH!N3197=TH!$X$7,O3197=TH!$X$7),"x","")</f>
        <v/>
      </c>
      <c r="Y3197" s="79" t="str">
        <f>IF(AND(OR(N3197="131",O3197="131"),H3197='131-CT'!$H$9),"x","")</f>
        <v/>
      </c>
      <c r="Z3197" s="79"/>
      <c r="AA3197" s="79" t="str">
        <f>IF(AND(MONTH(E3197)='IN-NX'!$J$5,'IN-NX'!$D$7=D3197),"x","")</f>
        <v/>
      </c>
      <c r="AB3197" s="79" t="str">
        <f>IF(AND(OR(LEFT(TH!N3197,2)="15",LEFT(TH!O3197,2)="15"),LEFT(TH!O3197,3)&lt;&gt;"111",'152-CT'!$J$8=TH!F3197),"x","")</f>
        <v/>
      </c>
      <c r="AC3197" s="79" t="str">
        <f>IF(AND(OR(LEFT(TH!N3197,2)="15",LEFT(TH!O3197,2)="15"),TK!$E$7=TH!F3197),"x","")</f>
        <v/>
      </c>
      <c r="AD3197" s="79" t="str">
        <f>IF(AND(N3197="1521",MONTH(C3197)='BK-NL'!$M$11),"x","")</f>
        <v/>
      </c>
    </row>
    <row r="3198" spans="1:30" ht="16.5" customHeight="1">
      <c r="A3198" s="318" t="str">
        <f>IF(B3198&lt;&gt;"",IF(AND(B3198='IN-TC'!$S$4,OR(TH!N3198="1111",TH!O3198="1111")),TH!D3198,""),"")</f>
        <v/>
      </c>
      <c r="B3198" s="60" t="str">
        <f t="shared" si="380"/>
        <v/>
      </c>
      <c r="C3198" s="301"/>
      <c r="D3198" s="301"/>
      <c r="E3198" s="301"/>
      <c r="F3198" s="69"/>
      <c r="G3198" s="988"/>
      <c r="H3198" s="303"/>
      <c r="I3198" s="385"/>
      <c r="J3198" s="969"/>
      <c r="K3198" s="385"/>
      <c r="L3198" s="392"/>
      <c r="M3198" s="970"/>
      <c r="N3198" s="304"/>
      <c r="O3198" s="304"/>
      <c r="P3198" s="79" t="str">
        <f>IF(AND('331-CT'!$E$7=TH!H3198,OR(N3198="331",O3198="331")),"x","")</f>
        <v/>
      </c>
      <c r="Q3198" s="79" t="str">
        <f>IF(AND(B3198='111'!$L$11,OR($N3198=$Q$7,$O3198=$Q$7)),"x","")</f>
        <v/>
      </c>
      <c r="R3198" s="79" t="str">
        <f>IF(AND($N3198=$Q$7,$B3198&lt;'111'!$L$11),"x","")</f>
        <v/>
      </c>
      <c r="S3198" s="79" t="str">
        <f>IF(AND($O3198=$Q$7,$B3198&lt;'111'!$L$11),"x","")</f>
        <v/>
      </c>
      <c r="T3198" s="79" t="str">
        <f>IF(ISERROR(FIND('112'!$M$9,G3198,1)),"",IF((AND(FIND('112'!$M$9,G3198,1)&gt;=1,B3198='112'!$K$9,OR($N3198='112'!$I$6,$O3198='112'!$I$6))),"x",""))</f>
        <v/>
      </c>
      <c r="U3198" s="79" t="str">
        <f>IF(ISERROR(FIND('112'!$M$9,G3198,1)),"",IF((AND(LEFT(G3198,2)=LEFT('112'!$M$9,2),B3198&lt;'112'!$K$9,$N3198='112'!$I$6)),"x",""))</f>
        <v/>
      </c>
      <c r="V3198" s="79" t="str">
        <f>IF(ISERROR(FIND('112'!$M$9,G3198,1)),"",IF((AND(RIGHT(G3198,2)=RIGHT('112'!$M$9,2),B3198&lt;'112'!$K$9,$O3198='112'!$I$6)),"x",""))</f>
        <v/>
      </c>
      <c r="W3198" s="79" t="str">
        <f>IF(AND('341-CT'!$H$9=H3198,OR(LEFT(N3198,3)=$W$7,LEFT(O3198,3)=$W$7)),"x","")</f>
        <v/>
      </c>
      <c r="X3198" s="79" t="str">
        <f>IF(OR(TH!N3198=TH!$X$7,O3198=TH!$X$7),"x","")</f>
        <v/>
      </c>
      <c r="Y3198" s="79" t="str">
        <f>IF(AND(OR(N3198="131",O3198="131"),H3198='131-CT'!$H$9),"x","")</f>
        <v/>
      </c>
      <c r="Z3198" s="79"/>
      <c r="AA3198" s="79" t="str">
        <f>IF(AND(MONTH(E3198)='IN-NX'!$J$5,'IN-NX'!$D$7=D3198),"x","")</f>
        <v/>
      </c>
      <c r="AB3198" s="79" t="str">
        <f>IF(AND(OR(LEFT(TH!N3198,2)="15",LEFT(TH!O3198,2)="15"),LEFT(TH!O3198,3)&lt;&gt;"111",'152-CT'!$J$8=TH!F3198),"x","")</f>
        <v/>
      </c>
      <c r="AC3198" s="79" t="str">
        <f>IF(AND(OR(LEFT(TH!N3198,2)="15",LEFT(TH!O3198,2)="15"),TK!$E$7=TH!F3198),"x","")</f>
        <v/>
      </c>
      <c r="AD3198" s="79" t="str">
        <f>IF(AND(N3198="1521",MONTH(C3198)='BK-NL'!$M$11),"x","")</f>
        <v/>
      </c>
    </row>
    <row r="3199" spans="1:30" ht="16.5" customHeight="1">
      <c r="A3199" s="318" t="str">
        <f>IF(B3199&lt;&gt;"",IF(AND(B3199='IN-TC'!$S$4,OR(TH!N3199="1111",TH!O3199="1111")),TH!D3199,""),"")</f>
        <v/>
      </c>
      <c r="B3199" s="60" t="str">
        <f t="shared" si="380"/>
        <v/>
      </c>
      <c r="C3199" s="301"/>
      <c r="D3199" s="301"/>
      <c r="E3199" s="301"/>
      <c r="F3199" s="69"/>
      <c r="G3199" s="988"/>
      <c r="H3199" s="303"/>
      <c r="I3199" s="385"/>
      <c r="J3199" s="969"/>
      <c r="K3199" s="385"/>
      <c r="L3199" s="392"/>
      <c r="M3199" s="970"/>
      <c r="N3199" s="304"/>
      <c r="O3199" s="304"/>
      <c r="P3199" s="79" t="str">
        <f>IF(AND('331-CT'!$E$7=TH!H3199,OR(N3199="331",O3199="331")),"x","")</f>
        <v/>
      </c>
      <c r="Q3199" s="79" t="str">
        <f>IF(AND(B3199='111'!$L$11,OR($N3199=$Q$7,$O3199=$Q$7)),"x","")</f>
        <v/>
      </c>
      <c r="R3199" s="79" t="str">
        <f>IF(AND($N3199=$Q$7,$B3199&lt;'111'!$L$11),"x","")</f>
        <v/>
      </c>
      <c r="S3199" s="79" t="str">
        <f>IF(AND($O3199=$Q$7,$B3199&lt;'111'!$L$11),"x","")</f>
        <v/>
      </c>
      <c r="T3199" s="79" t="str">
        <f>IF(ISERROR(FIND('112'!$M$9,G3199,1)),"",IF((AND(FIND('112'!$M$9,G3199,1)&gt;=1,B3199='112'!$K$9,OR($N3199='112'!$I$6,$O3199='112'!$I$6))),"x",""))</f>
        <v/>
      </c>
      <c r="U3199" s="79" t="str">
        <f>IF(ISERROR(FIND('112'!$M$9,G3199,1)),"",IF((AND(LEFT(G3199,2)=LEFT('112'!$M$9,2),B3199&lt;'112'!$K$9,$N3199='112'!$I$6)),"x",""))</f>
        <v/>
      </c>
      <c r="V3199" s="79" t="str">
        <f>IF(ISERROR(FIND('112'!$M$9,G3199,1)),"",IF((AND(RIGHT(G3199,2)=RIGHT('112'!$M$9,2),B3199&lt;'112'!$K$9,$O3199='112'!$I$6)),"x",""))</f>
        <v/>
      </c>
      <c r="W3199" s="79" t="str">
        <f>IF(AND('341-CT'!$H$9=H3199,OR(LEFT(N3199,3)=$W$7,LEFT(O3199,3)=$W$7)),"x","")</f>
        <v/>
      </c>
      <c r="X3199" s="79" t="str">
        <f>IF(OR(TH!N3199=TH!$X$7,O3199=TH!$X$7),"x","")</f>
        <v/>
      </c>
      <c r="Y3199" s="79" t="str">
        <f>IF(AND(OR(N3199="131",O3199="131"),H3199='131-CT'!$H$9),"x","")</f>
        <v/>
      </c>
      <c r="Z3199" s="79"/>
      <c r="AA3199" s="79" t="str">
        <f>IF(AND(MONTH(E3199)='IN-NX'!$J$5,'IN-NX'!$D$7=D3199),"x","")</f>
        <v/>
      </c>
      <c r="AB3199" s="79" t="str">
        <f>IF(AND(OR(LEFT(TH!N3199,2)="15",LEFT(TH!O3199,2)="15"),LEFT(TH!O3199,3)&lt;&gt;"111",'152-CT'!$J$8=TH!F3199),"x","")</f>
        <v/>
      </c>
      <c r="AC3199" s="79" t="str">
        <f>IF(AND(OR(LEFT(TH!N3199,2)="15",LEFT(TH!O3199,2)="15"),TK!$E$7=TH!F3199),"x","")</f>
        <v/>
      </c>
      <c r="AD3199" s="79" t="str">
        <f>IF(AND(N3199="1521",MONTH(C3199)='BK-NL'!$M$11),"x","")</f>
        <v/>
      </c>
    </row>
    <row r="3200" spans="1:30" ht="16.5" customHeight="1">
      <c r="A3200" s="318" t="str">
        <f>IF(B3200&lt;&gt;"",IF(AND(B3200='IN-TC'!$S$4,OR(TH!N3200="1111",TH!O3200="1111")),TH!D3200,""),"")</f>
        <v/>
      </c>
      <c r="B3200" s="60" t="str">
        <f t="shared" si="380"/>
        <v/>
      </c>
      <c r="C3200" s="301"/>
      <c r="D3200" s="301"/>
      <c r="E3200" s="301"/>
      <c r="F3200" s="69"/>
      <c r="G3200" s="988"/>
      <c r="H3200" s="303"/>
      <c r="I3200" s="385"/>
      <c r="J3200" s="969"/>
      <c r="K3200" s="385"/>
      <c r="L3200" s="392"/>
      <c r="M3200" s="970"/>
      <c r="N3200" s="304"/>
      <c r="O3200" s="304"/>
      <c r="P3200" s="79" t="str">
        <f>IF(AND('331-CT'!$E$7=TH!H3200,OR(N3200="331",O3200="331")),"x","")</f>
        <v/>
      </c>
      <c r="Q3200" s="79" t="str">
        <f>IF(AND(B3200='111'!$L$11,OR($N3200=$Q$7,$O3200=$Q$7)),"x","")</f>
        <v/>
      </c>
      <c r="R3200" s="79" t="str">
        <f>IF(AND($N3200=$Q$7,$B3200&lt;'111'!$L$11),"x","")</f>
        <v/>
      </c>
      <c r="S3200" s="79" t="str">
        <f>IF(AND($O3200=$Q$7,$B3200&lt;'111'!$L$11),"x","")</f>
        <v/>
      </c>
      <c r="T3200" s="79" t="str">
        <f>IF(ISERROR(FIND('112'!$M$9,G3200,1)),"",IF((AND(FIND('112'!$M$9,G3200,1)&gt;=1,B3200='112'!$K$9,OR($N3200='112'!$I$6,$O3200='112'!$I$6))),"x",""))</f>
        <v/>
      </c>
      <c r="U3200" s="79" t="str">
        <f>IF(ISERROR(FIND('112'!$M$9,G3200,1)),"",IF((AND(LEFT(G3200,2)=LEFT('112'!$M$9,2),B3200&lt;'112'!$K$9,$N3200='112'!$I$6)),"x",""))</f>
        <v/>
      </c>
      <c r="V3200" s="79" t="str">
        <f>IF(ISERROR(FIND('112'!$M$9,G3200,1)),"",IF((AND(RIGHT(G3200,2)=RIGHT('112'!$M$9,2),B3200&lt;'112'!$K$9,$O3200='112'!$I$6)),"x",""))</f>
        <v/>
      </c>
      <c r="W3200" s="79" t="str">
        <f>IF(AND('341-CT'!$H$9=H3200,OR(LEFT(N3200,3)=$W$7,LEFT(O3200,3)=$W$7)),"x","")</f>
        <v/>
      </c>
      <c r="X3200" s="79" t="str">
        <f>IF(OR(TH!N3200=TH!$X$7,O3200=TH!$X$7),"x","")</f>
        <v/>
      </c>
      <c r="Y3200" s="79" t="str">
        <f>IF(AND(OR(N3200="131",O3200="131"),H3200='131-CT'!$H$9),"x","")</f>
        <v/>
      </c>
      <c r="Z3200" s="79"/>
      <c r="AA3200" s="79" t="str">
        <f>IF(AND(MONTH(E3200)='IN-NX'!$J$5,'IN-NX'!$D$7=D3200),"x","")</f>
        <v/>
      </c>
      <c r="AB3200" s="79" t="str">
        <f>IF(AND(OR(LEFT(TH!N3200,2)="15",LEFT(TH!O3200,2)="15"),LEFT(TH!O3200,3)&lt;&gt;"111",'152-CT'!$J$8=TH!F3200),"x","")</f>
        <v/>
      </c>
      <c r="AC3200" s="79" t="str">
        <f>IF(AND(OR(LEFT(TH!N3200,2)="15",LEFT(TH!O3200,2)="15"),TK!$E$7=TH!F3200),"x","")</f>
        <v/>
      </c>
      <c r="AD3200" s="79" t="str">
        <f>IF(AND(N3200="1521",MONTH(C3200)='BK-NL'!$M$11),"x","")</f>
        <v/>
      </c>
    </row>
    <row r="3201" spans="1:30" ht="16.5" customHeight="1">
      <c r="A3201" s="318" t="str">
        <f>IF(B3201&lt;&gt;"",IF(AND(B3201='IN-TC'!$S$4,OR(TH!N3201="1111",TH!O3201="1111")),TH!D3201,""),"")</f>
        <v/>
      </c>
      <c r="B3201" s="60" t="str">
        <f t="shared" si="380"/>
        <v/>
      </c>
      <c r="C3201" s="301"/>
      <c r="D3201" s="301"/>
      <c r="E3201" s="301"/>
      <c r="F3201" s="69"/>
      <c r="G3201" s="988"/>
      <c r="H3201" s="303"/>
      <c r="I3201" s="385"/>
      <c r="J3201" s="969"/>
      <c r="K3201" s="385"/>
      <c r="L3201" s="392"/>
      <c r="M3201" s="970"/>
      <c r="N3201" s="304"/>
      <c r="O3201" s="304"/>
      <c r="P3201" s="79" t="str">
        <f>IF(AND('331-CT'!$E$7=TH!H3201,OR(N3201="331",O3201="331")),"x","")</f>
        <v/>
      </c>
      <c r="Q3201" s="79" t="str">
        <f>IF(AND(B3201='111'!$L$11,OR($N3201=$Q$7,$O3201=$Q$7)),"x","")</f>
        <v/>
      </c>
      <c r="R3201" s="79" t="str">
        <f>IF(AND($N3201=$Q$7,$B3201&lt;'111'!$L$11),"x","")</f>
        <v/>
      </c>
      <c r="S3201" s="79" t="str">
        <f>IF(AND($O3201=$Q$7,$B3201&lt;'111'!$L$11),"x","")</f>
        <v/>
      </c>
      <c r="T3201" s="79" t="str">
        <f>IF(ISERROR(FIND('112'!$M$9,G3201,1)),"",IF((AND(FIND('112'!$M$9,G3201,1)&gt;=1,B3201='112'!$K$9,OR($N3201='112'!$I$6,$O3201='112'!$I$6))),"x",""))</f>
        <v/>
      </c>
      <c r="U3201" s="79" t="str">
        <f>IF(ISERROR(FIND('112'!$M$9,G3201,1)),"",IF((AND(LEFT(G3201,2)=LEFT('112'!$M$9,2),B3201&lt;'112'!$K$9,$N3201='112'!$I$6)),"x",""))</f>
        <v/>
      </c>
      <c r="V3201" s="79" t="str">
        <f>IF(ISERROR(FIND('112'!$M$9,G3201,1)),"",IF((AND(RIGHT(G3201,2)=RIGHT('112'!$M$9,2),B3201&lt;'112'!$K$9,$O3201='112'!$I$6)),"x",""))</f>
        <v/>
      </c>
      <c r="W3201" s="79" t="str">
        <f>IF(AND('341-CT'!$H$9=H3201,OR(LEFT(N3201,3)=$W$7,LEFT(O3201,3)=$W$7)),"x","")</f>
        <v/>
      </c>
      <c r="X3201" s="79" t="str">
        <f>IF(OR(TH!N3201=TH!$X$7,O3201=TH!$X$7),"x","")</f>
        <v/>
      </c>
      <c r="Y3201" s="79" t="str">
        <f>IF(AND(OR(N3201="131",O3201="131"),H3201='131-CT'!$H$9),"x","")</f>
        <v/>
      </c>
      <c r="Z3201" s="79"/>
      <c r="AA3201" s="79" t="str">
        <f>IF(AND(MONTH(E3201)='IN-NX'!$J$5,'IN-NX'!$D$7=D3201),"x","")</f>
        <v/>
      </c>
      <c r="AB3201" s="79" t="str">
        <f>IF(AND(OR(LEFT(TH!N3201,2)="15",LEFT(TH!O3201,2)="15"),LEFT(TH!O3201,3)&lt;&gt;"111",'152-CT'!$J$8=TH!F3201),"x","")</f>
        <v/>
      </c>
      <c r="AC3201" s="79" t="str">
        <f>IF(AND(OR(LEFT(TH!N3201,2)="15",LEFT(TH!O3201,2)="15"),TK!$E$7=TH!F3201),"x","")</f>
        <v/>
      </c>
      <c r="AD3201" s="79" t="str">
        <f>IF(AND(N3201="1521",MONTH(C3201)='BK-NL'!$M$11),"x","")</f>
        <v/>
      </c>
    </row>
    <row r="3202" spans="1:30" ht="16.5" customHeight="1">
      <c r="A3202" s="318" t="str">
        <f>IF(B3202&lt;&gt;"",IF(AND(B3202='IN-TC'!$S$4,OR(TH!N3202="1111",TH!O3202="1111")),TH!D3202,""),"")</f>
        <v/>
      </c>
      <c r="B3202" s="60" t="str">
        <f t="shared" si="380"/>
        <v/>
      </c>
      <c r="C3202" s="301"/>
      <c r="D3202" s="301"/>
      <c r="E3202" s="301"/>
      <c r="F3202" s="69"/>
      <c r="G3202" s="988"/>
      <c r="H3202" s="303"/>
      <c r="I3202" s="385"/>
      <c r="J3202" s="969"/>
      <c r="K3202" s="385"/>
      <c r="L3202" s="392"/>
      <c r="M3202" s="970"/>
      <c r="N3202" s="304"/>
      <c r="O3202" s="304"/>
      <c r="P3202" s="79" t="str">
        <f>IF(AND('331-CT'!$E$7=TH!H3202,OR(N3202="331",O3202="331")),"x","")</f>
        <v/>
      </c>
      <c r="Q3202" s="79" t="str">
        <f>IF(AND(B3202='111'!$L$11,OR($N3202=$Q$7,$O3202=$Q$7)),"x","")</f>
        <v/>
      </c>
      <c r="R3202" s="79" t="str">
        <f>IF(AND($N3202=$Q$7,$B3202&lt;'111'!$L$11),"x","")</f>
        <v/>
      </c>
      <c r="S3202" s="79" t="str">
        <f>IF(AND($O3202=$Q$7,$B3202&lt;'111'!$L$11),"x","")</f>
        <v/>
      </c>
      <c r="T3202" s="79" t="str">
        <f>IF(ISERROR(FIND('112'!$M$9,G3202,1)),"",IF((AND(FIND('112'!$M$9,G3202,1)&gt;=1,B3202='112'!$K$9,OR($N3202='112'!$I$6,$O3202='112'!$I$6))),"x",""))</f>
        <v/>
      </c>
      <c r="U3202" s="79" t="str">
        <f>IF(ISERROR(FIND('112'!$M$9,G3202,1)),"",IF((AND(LEFT(G3202,2)=LEFT('112'!$M$9,2),B3202&lt;'112'!$K$9,$N3202='112'!$I$6)),"x",""))</f>
        <v/>
      </c>
      <c r="V3202" s="79" t="str">
        <f>IF(ISERROR(FIND('112'!$M$9,G3202,1)),"",IF((AND(RIGHT(G3202,2)=RIGHT('112'!$M$9,2),B3202&lt;'112'!$K$9,$O3202='112'!$I$6)),"x",""))</f>
        <v/>
      </c>
      <c r="W3202" s="79" t="str">
        <f>IF(AND('341-CT'!$H$9=H3202,OR(LEFT(N3202,3)=$W$7,LEFT(O3202,3)=$W$7)),"x","")</f>
        <v/>
      </c>
      <c r="X3202" s="79" t="str">
        <f>IF(OR(TH!N3202=TH!$X$7,O3202=TH!$X$7),"x","")</f>
        <v/>
      </c>
      <c r="Y3202" s="79" t="str">
        <f>IF(AND(OR(N3202="131",O3202="131"),H3202='131-CT'!$H$9),"x","")</f>
        <v/>
      </c>
      <c r="Z3202" s="79"/>
      <c r="AA3202" s="79" t="str">
        <f>IF(AND(MONTH(E3202)='IN-NX'!$J$5,'IN-NX'!$D$7=D3202),"x","")</f>
        <v/>
      </c>
      <c r="AB3202" s="79" t="str">
        <f>IF(AND(OR(LEFT(TH!N3202,2)="15",LEFT(TH!O3202,2)="15"),LEFT(TH!O3202,3)&lt;&gt;"111",'152-CT'!$J$8=TH!F3202),"x","")</f>
        <v/>
      </c>
      <c r="AC3202" s="79" t="str">
        <f>IF(AND(OR(LEFT(TH!N3202,2)="15",LEFT(TH!O3202,2)="15"),TK!$E$7=TH!F3202),"x","")</f>
        <v/>
      </c>
      <c r="AD3202" s="79" t="str">
        <f>IF(AND(N3202="1521",MONTH(C3202)='BK-NL'!$M$11),"x","")</f>
        <v/>
      </c>
    </row>
    <row r="3203" spans="1:30" ht="16.5" customHeight="1">
      <c r="A3203" s="318" t="str">
        <f>IF(B3203&lt;&gt;"",IF(AND(B3203='IN-TC'!$S$4,OR(TH!N3203="1111",TH!O3203="1111")),TH!D3203,""),"")</f>
        <v/>
      </c>
      <c r="B3203" s="60" t="str">
        <f t="shared" si="380"/>
        <v/>
      </c>
      <c r="C3203" s="301"/>
      <c r="D3203" s="301"/>
      <c r="E3203" s="301"/>
      <c r="F3203" s="69"/>
      <c r="G3203" s="988"/>
      <c r="H3203" s="303"/>
      <c r="I3203" s="385"/>
      <c r="J3203" s="969"/>
      <c r="K3203" s="385"/>
      <c r="L3203" s="392"/>
      <c r="M3203" s="970"/>
      <c r="N3203" s="304"/>
      <c r="O3203" s="304"/>
      <c r="P3203" s="79" t="str">
        <f>IF(AND('331-CT'!$E$7=TH!H3203,OR(N3203="331",O3203="331")),"x","")</f>
        <v/>
      </c>
      <c r="Q3203" s="79" t="str">
        <f>IF(AND(B3203='111'!$L$11,OR($N3203=$Q$7,$O3203=$Q$7)),"x","")</f>
        <v/>
      </c>
      <c r="R3203" s="79" t="str">
        <f>IF(AND($N3203=$Q$7,$B3203&lt;'111'!$L$11),"x","")</f>
        <v/>
      </c>
      <c r="S3203" s="79" t="str">
        <f>IF(AND($O3203=$Q$7,$B3203&lt;'111'!$L$11),"x","")</f>
        <v/>
      </c>
      <c r="T3203" s="79" t="str">
        <f>IF(ISERROR(FIND('112'!$M$9,G3203,1)),"",IF((AND(FIND('112'!$M$9,G3203,1)&gt;=1,B3203='112'!$K$9,OR($N3203='112'!$I$6,$O3203='112'!$I$6))),"x",""))</f>
        <v/>
      </c>
      <c r="U3203" s="79" t="str">
        <f>IF(ISERROR(FIND('112'!$M$9,G3203,1)),"",IF((AND(LEFT(G3203,2)=LEFT('112'!$M$9,2),B3203&lt;'112'!$K$9,$N3203='112'!$I$6)),"x",""))</f>
        <v/>
      </c>
      <c r="V3203" s="79" t="str">
        <f>IF(ISERROR(FIND('112'!$M$9,G3203,1)),"",IF((AND(RIGHT(G3203,2)=RIGHT('112'!$M$9,2),B3203&lt;'112'!$K$9,$O3203='112'!$I$6)),"x",""))</f>
        <v/>
      </c>
      <c r="W3203" s="79" t="str">
        <f>IF(AND('341-CT'!$H$9=H3203,OR(LEFT(N3203,3)=$W$7,LEFT(O3203,3)=$W$7)),"x","")</f>
        <v/>
      </c>
      <c r="X3203" s="79" t="str">
        <f>IF(OR(TH!N3203=TH!$X$7,O3203=TH!$X$7),"x","")</f>
        <v/>
      </c>
      <c r="Y3203" s="79" t="str">
        <f>IF(AND(OR(N3203="131",O3203="131"),H3203='131-CT'!$H$9),"x","")</f>
        <v/>
      </c>
      <c r="Z3203" s="79"/>
      <c r="AA3203" s="79" t="str">
        <f>IF(AND(MONTH(E3203)='IN-NX'!$J$5,'IN-NX'!$D$7=D3203),"x","")</f>
        <v/>
      </c>
      <c r="AB3203" s="79" t="str">
        <f>IF(AND(OR(LEFT(TH!N3203,2)="15",LEFT(TH!O3203,2)="15"),LEFT(TH!O3203,3)&lt;&gt;"111",'152-CT'!$J$8=TH!F3203),"x","")</f>
        <v/>
      </c>
      <c r="AC3203" s="79" t="str">
        <f>IF(AND(OR(LEFT(TH!N3203,2)="15",LEFT(TH!O3203,2)="15"),TK!$E$7=TH!F3203),"x","")</f>
        <v/>
      </c>
      <c r="AD3203" s="79" t="str">
        <f>IF(AND(N3203="1521",MONTH(C3203)='BK-NL'!$M$11),"x","")</f>
        <v/>
      </c>
    </row>
    <row r="3204" spans="1:30" ht="16.5" customHeight="1">
      <c r="A3204" s="318" t="str">
        <f>IF(B3204&lt;&gt;"",IF(AND(B3204='IN-TC'!$S$4,OR(TH!N3204="1111",TH!O3204="1111")),TH!D3204,""),"")</f>
        <v/>
      </c>
      <c r="B3204" s="60" t="str">
        <f t="shared" si="380"/>
        <v/>
      </c>
      <c r="C3204" s="301"/>
      <c r="D3204" s="301"/>
      <c r="E3204" s="301"/>
      <c r="F3204" s="69"/>
      <c r="G3204" s="988"/>
      <c r="H3204" s="303"/>
      <c r="I3204" s="385"/>
      <c r="J3204" s="969"/>
      <c r="K3204" s="385"/>
      <c r="L3204" s="392"/>
      <c r="M3204" s="970"/>
      <c r="N3204" s="304"/>
      <c r="O3204" s="304"/>
      <c r="P3204" s="79" t="str">
        <f>IF(AND('331-CT'!$E$7=TH!H3204,OR(N3204="331",O3204="331")),"x","")</f>
        <v/>
      </c>
      <c r="Q3204" s="79" t="str">
        <f>IF(AND(B3204='111'!$L$11,OR($N3204=$Q$7,$O3204=$Q$7)),"x","")</f>
        <v/>
      </c>
      <c r="R3204" s="79" t="str">
        <f>IF(AND($N3204=$Q$7,$B3204&lt;'111'!$L$11),"x","")</f>
        <v/>
      </c>
      <c r="S3204" s="79" t="str">
        <f>IF(AND($O3204=$Q$7,$B3204&lt;'111'!$L$11),"x","")</f>
        <v/>
      </c>
      <c r="T3204" s="79" t="str">
        <f>IF(ISERROR(FIND('112'!$M$9,G3204,1)),"",IF((AND(FIND('112'!$M$9,G3204,1)&gt;=1,B3204='112'!$K$9,OR($N3204='112'!$I$6,$O3204='112'!$I$6))),"x",""))</f>
        <v/>
      </c>
      <c r="U3204" s="79" t="str">
        <f>IF(ISERROR(FIND('112'!$M$9,G3204,1)),"",IF((AND(LEFT(G3204,2)=LEFT('112'!$M$9,2),B3204&lt;'112'!$K$9,$N3204='112'!$I$6)),"x",""))</f>
        <v/>
      </c>
      <c r="V3204" s="79" t="str">
        <f>IF(ISERROR(FIND('112'!$M$9,G3204,1)),"",IF((AND(RIGHT(G3204,2)=RIGHT('112'!$M$9,2),B3204&lt;'112'!$K$9,$O3204='112'!$I$6)),"x",""))</f>
        <v/>
      </c>
      <c r="W3204" s="79" t="str">
        <f>IF(AND('341-CT'!$H$9=H3204,OR(LEFT(N3204,3)=$W$7,LEFT(O3204,3)=$W$7)),"x","")</f>
        <v/>
      </c>
      <c r="X3204" s="79" t="str">
        <f>IF(OR(TH!N3204=TH!$X$7,O3204=TH!$X$7),"x","")</f>
        <v/>
      </c>
      <c r="Y3204" s="79" t="str">
        <f>IF(AND(OR(N3204="131",O3204="131"),H3204='131-CT'!$H$9),"x","")</f>
        <v/>
      </c>
      <c r="Z3204" s="79"/>
      <c r="AA3204" s="79" t="str">
        <f>IF(AND(MONTH(E3204)='IN-NX'!$J$5,'IN-NX'!$D$7=D3204),"x","")</f>
        <v/>
      </c>
      <c r="AB3204" s="79" t="str">
        <f>IF(AND(OR(LEFT(TH!N3204,2)="15",LEFT(TH!O3204,2)="15"),LEFT(TH!O3204,3)&lt;&gt;"111",'152-CT'!$J$8=TH!F3204),"x","")</f>
        <v/>
      </c>
      <c r="AC3204" s="79" t="str">
        <f>IF(AND(OR(LEFT(TH!N3204,2)="15",LEFT(TH!O3204,2)="15"),TK!$E$7=TH!F3204),"x","")</f>
        <v/>
      </c>
      <c r="AD3204" s="79" t="str">
        <f>IF(AND(N3204="1521",MONTH(C3204)='BK-NL'!$M$11),"x","")</f>
        <v/>
      </c>
    </row>
    <row r="3205" spans="1:30" ht="16.5" customHeight="1">
      <c r="A3205" s="318" t="str">
        <f>IF(B3205&lt;&gt;"",IF(AND(B3205='IN-TC'!$S$4,OR(TH!N3205="1111",TH!O3205="1111")),TH!D3205,""),"")</f>
        <v/>
      </c>
      <c r="B3205" s="60" t="str">
        <f t="shared" si="380"/>
        <v/>
      </c>
      <c r="C3205" s="301"/>
      <c r="D3205" s="301"/>
      <c r="E3205" s="301"/>
      <c r="F3205" s="69"/>
      <c r="G3205" s="988"/>
      <c r="H3205" s="303"/>
      <c r="I3205" s="385"/>
      <c r="J3205" s="969"/>
      <c r="K3205" s="385"/>
      <c r="L3205" s="392"/>
      <c r="M3205" s="970"/>
      <c r="N3205" s="304"/>
      <c r="O3205" s="304"/>
      <c r="P3205" s="79" t="str">
        <f>IF(AND('331-CT'!$E$7=TH!H3205,OR(N3205="331",O3205="331")),"x","")</f>
        <v/>
      </c>
      <c r="Q3205" s="79" t="str">
        <f>IF(AND(B3205='111'!$L$11,OR($N3205=$Q$7,$O3205=$Q$7)),"x","")</f>
        <v/>
      </c>
      <c r="R3205" s="79" t="str">
        <f>IF(AND($N3205=$Q$7,$B3205&lt;'111'!$L$11),"x","")</f>
        <v/>
      </c>
      <c r="S3205" s="79" t="str">
        <f>IF(AND($O3205=$Q$7,$B3205&lt;'111'!$L$11),"x","")</f>
        <v/>
      </c>
      <c r="T3205" s="79" t="str">
        <f>IF(ISERROR(FIND('112'!$M$9,G3205,1)),"",IF((AND(FIND('112'!$M$9,G3205,1)&gt;=1,B3205='112'!$K$9,OR($N3205='112'!$I$6,$O3205='112'!$I$6))),"x",""))</f>
        <v/>
      </c>
      <c r="U3205" s="79" t="str">
        <f>IF(ISERROR(FIND('112'!$M$9,G3205,1)),"",IF((AND(LEFT(G3205,2)=LEFT('112'!$M$9,2),B3205&lt;'112'!$K$9,$N3205='112'!$I$6)),"x",""))</f>
        <v/>
      </c>
      <c r="V3205" s="79" t="str">
        <f>IF(ISERROR(FIND('112'!$M$9,G3205,1)),"",IF((AND(RIGHT(G3205,2)=RIGHT('112'!$M$9,2),B3205&lt;'112'!$K$9,$O3205='112'!$I$6)),"x",""))</f>
        <v/>
      </c>
      <c r="W3205" s="79" t="str">
        <f>IF(AND('341-CT'!$H$9=H3205,OR(LEFT(N3205,3)=$W$7,LEFT(O3205,3)=$W$7)),"x","")</f>
        <v/>
      </c>
      <c r="X3205" s="79" t="str">
        <f>IF(OR(TH!N3205=TH!$X$7,O3205=TH!$X$7),"x","")</f>
        <v/>
      </c>
      <c r="Y3205" s="79" t="str">
        <f>IF(AND(OR(N3205="131",O3205="131"),H3205='131-CT'!$H$9),"x","")</f>
        <v/>
      </c>
      <c r="Z3205" s="79"/>
      <c r="AA3205" s="79" t="str">
        <f>IF(AND(MONTH(E3205)='IN-NX'!$J$5,'IN-NX'!$D$7=D3205),"x","")</f>
        <v/>
      </c>
      <c r="AB3205" s="79" t="str">
        <f>IF(AND(OR(LEFT(TH!N3205,2)="15",LEFT(TH!O3205,2)="15"),LEFT(TH!O3205,3)&lt;&gt;"111",'152-CT'!$J$8=TH!F3205),"x","")</f>
        <v/>
      </c>
      <c r="AC3205" s="79" t="str">
        <f>IF(AND(OR(LEFT(TH!N3205,2)="15",LEFT(TH!O3205,2)="15"),TK!$E$7=TH!F3205),"x","")</f>
        <v/>
      </c>
      <c r="AD3205" s="79" t="str">
        <f>IF(AND(N3205="1521",MONTH(C3205)='BK-NL'!$M$11),"x","")</f>
        <v/>
      </c>
    </row>
    <row r="3206" spans="1:30" ht="16.5" customHeight="1">
      <c r="A3206" s="318" t="str">
        <f>IF(B3206&lt;&gt;"",IF(AND(B3206='IN-TC'!$S$4,OR(TH!N3206="1111",TH!O3206="1111")),TH!D3206,""),"")</f>
        <v/>
      </c>
      <c r="B3206" s="60" t="str">
        <f t="shared" si="380"/>
        <v/>
      </c>
      <c r="C3206" s="301"/>
      <c r="D3206" s="301"/>
      <c r="E3206" s="301"/>
      <c r="F3206" s="69"/>
      <c r="G3206" s="988"/>
      <c r="H3206" s="303"/>
      <c r="I3206" s="385"/>
      <c r="J3206" s="969"/>
      <c r="K3206" s="385"/>
      <c r="L3206" s="392"/>
      <c r="M3206" s="970"/>
      <c r="N3206" s="304"/>
      <c r="O3206" s="304"/>
      <c r="P3206" s="79" t="str">
        <f>IF(AND('331-CT'!$E$7=TH!H3206,OR(N3206="331",O3206="331")),"x","")</f>
        <v/>
      </c>
      <c r="Q3206" s="79" t="str">
        <f>IF(AND(B3206='111'!$L$11,OR($N3206=$Q$7,$O3206=$Q$7)),"x","")</f>
        <v/>
      </c>
      <c r="R3206" s="79" t="str">
        <f>IF(AND($N3206=$Q$7,$B3206&lt;'111'!$L$11),"x","")</f>
        <v/>
      </c>
      <c r="S3206" s="79" t="str">
        <f>IF(AND($O3206=$Q$7,$B3206&lt;'111'!$L$11),"x","")</f>
        <v/>
      </c>
      <c r="T3206" s="79" t="str">
        <f>IF(ISERROR(FIND('112'!$M$9,G3206,1)),"",IF((AND(FIND('112'!$M$9,G3206,1)&gt;=1,B3206='112'!$K$9,OR($N3206='112'!$I$6,$O3206='112'!$I$6))),"x",""))</f>
        <v/>
      </c>
      <c r="U3206" s="79" t="str">
        <f>IF(ISERROR(FIND('112'!$M$9,G3206,1)),"",IF((AND(LEFT(G3206,2)=LEFT('112'!$M$9,2),B3206&lt;'112'!$K$9,$N3206='112'!$I$6)),"x",""))</f>
        <v/>
      </c>
      <c r="V3206" s="79" t="str">
        <f>IF(ISERROR(FIND('112'!$M$9,G3206,1)),"",IF((AND(RIGHT(G3206,2)=RIGHT('112'!$M$9,2),B3206&lt;'112'!$K$9,$O3206='112'!$I$6)),"x",""))</f>
        <v/>
      </c>
      <c r="W3206" s="79" t="str">
        <f>IF(AND('341-CT'!$H$9=H3206,OR(LEFT(N3206,3)=$W$7,LEFT(O3206,3)=$W$7)),"x","")</f>
        <v/>
      </c>
      <c r="X3206" s="79" t="str">
        <f>IF(OR(TH!N3206=TH!$X$7,O3206=TH!$X$7),"x","")</f>
        <v/>
      </c>
      <c r="Y3206" s="79" t="str">
        <f>IF(AND(OR(N3206="131",O3206="131"),H3206='131-CT'!$H$9),"x","")</f>
        <v/>
      </c>
      <c r="Z3206" s="79"/>
      <c r="AA3206" s="79" t="str">
        <f>IF(AND(MONTH(E3206)='IN-NX'!$J$5,'IN-NX'!$D$7=D3206),"x","")</f>
        <v/>
      </c>
      <c r="AB3206" s="79" t="str">
        <f>IF(AND(OR(LEFT(TH!N3206,2)="15",LEFT(TH!O3206,2)="15"),LEFT(TH!O3206,3)&lt;&gt;"111",'152-CT'!$J$8=TH!F3206),"x","")</f>
        <v/>
      </c>
      <c r="AC3206" s="79" t="str">
        <f>IF(AND(OR(LEFT(TH!N3206,2)="15",LEFT(TH!O3206,2)="15"),TK!$E$7=TH!F3206),"x","")</f>
        <v/>
      </c>
      <c r="AD3206" s="79" t="str">
        <f>IF(AND(N3206="1521",MONTH(C3206)='BK-NL'!$M$11),"x","")</f>
        <v/>
      </c>
    </row>
    <row r="3207" spans="1:30" ht="16.5" customHeight="1">
      <c r="A3207" s="318" t="str">
        <f>IF(B3207&lt;&gt;"",IF(AND(B3207='IN-TC'!$S$4,OR(TH!N3207="1111",TH!O3207="1111")),TH!D3207,""),"")</f>
        <v/>
      </c>
      <c r="B3207" s="60" t="str">
        <f t="shared" si="380"/>
        <v/>
      </c>
      <c r="C3207" s="301"/>
      <c r="D3207" s="301"/>
      <c r="E3207" s="301"/>
      <c r="F3207" s="69"/>
      <c r="G3207" s="988"/>
      <c r="H3207" s="303"/>
      <c r="I3207" s="385"/>
      <c r="J3207" s="969"/>
      <c r="K3207" s="385"/>
      <c r="L3207" s="392"/>
      <c r="M3207" s="970"/>
      <c r="N3207" s="304"/>
      <c r="O3207" s="304"/>
      <c r="P3207" s="79" t="str">
        <f>IF(AND('331-CT'!$E$7=TH!H3207,OR(N3207="331",O3207="331")),"x","")</f>
        <v/>
      </c>
      <c r="Q3207" s="79" t="str">
        <f>IF(AND(B3207='111'!$L$11,OR($N3207=$Q$7,$O3207=$Q$7)),"x","")</f>
        <v/>
      </c>
      <c r="R3207" s="79" t="str">
        <f>IF(AND($N3207=$Q$7,$B3207&lt;'111'!$L$11),"x","")</f>
        <v/>
      </c>
      <c r="S3207" s="79" t="str">
        <f>IF(AND($O3207=$Q$7,$B3207&lt;'111'!$L$11),"x","")</f>
        <v/>
      </c>
      <c r="T3207" s="79" t="str">
        <f>IF(ISERROR(FIND('112'!$M$9,G3207,1)),"",IF((AND(FIND('112'!$M$9,G3207,1)&gt;=1,B3207='112'!$K$9,OR($N3207='112'!$I$6,$O3207='112'!$I$6))),"x",""))</f>
        <v/>
      </c>
      <c r="U3207" s="79" t="str">
        <f>IF(ISERROR(FIND('112'!$M$9,G3207,1)),"",IF((AND(LEFT(G3207,2)=LEFT('112'!$M$9,2),B3207&lt;'112'!$K$9,$N3207='112'!$I$6)),"x",""))</f>
        <v/>
      </c>
      <c r="V3207" s="79" t="str">
        <f>IF(ISERROR(FIND('112'!$M$9,G3207,1)),"",IF((AND(RIGHT(G3207,2)=RIGHT('112'!$M$9,2),B3207&lt;'112'!$K$9,$O3207='112'!$I$6)),"x",""))</f>
        <v/>
      </c>
      <c r="W3207" s="79" t="str">
        <f>IF(AND('341-CT'!$H$9=H3207,OR(LEFT(N3207,3)=$W$7,LEFT(O3207,3)=$W$7)),"x","")</f>
        <v/>
      </c>
      <c r="X3207" s="79" t="str">
        <f>IF(OR(TH!N3207=TH!$X$7,O3207=TH!$X$7),"x","")</f>
        <v/>
      </c>
      <c r="Y3207" s="79" t="str">
        <f>IF(AND(OR(N3207="131",O3207="131"),H3207='131-CT'!$H$9),"x","")</f>
        <v/>
      </c>
      <c r="Z3207" s="79"/>
      <c r="AA3207" s="79" t="str">
        <f>IF(AND(MONTH(E3207)='IN-NX'!$J$5,'IN-NX'!$D$7=D3207),"x","")</f>
        <v/>
      </c>
      <c r="AB3207" s="79" t="str">
        <f>IF(AND(OR(LEFT(TH!N3207,2)="15",LEFT(TH!O3207,2)="15"),LEFT(TH!O3207,3)&lt;&gt;"111",'152-CT'!$J$8=TH!F3207),"x","")</f>
        <v/>
      </c>
      <c r="AC3207" s="79" t="str">
        <f>IF(AND(OR(LEFT(TH!N3207,2)="15",LEFT(TH!O3207,2)="15"),TK!$E$7=TH!F3207),"x","")</f>
        <v/>
      </c>
      <c r="AD3207" s="79" t="str">
        <f>IF(AND(N3207="1521",MONTH(C3207)='BK-NL'!$M$11),"x","")</f>
        <v/>
      </c>
    </row>
    <row r="3208" spans="1:30" ht="16.5" customHeight="1">
      <c r="A3208" s="318" t="str">
        <f>IF(B3208&lt;&gt;"",IF(AND(B3208='IN-TC'!$S$4,OR(TH!N3208="1111",TH!O3208="1111")),TH!D3208,""),"")</f>
        <v/>
      </c>
      <c r="B3208" s="60" t="str">
        <f t="shared" si="380"/>
        <v/>
      </c>
      <c r="C3208" s="301"/>
      <c r="D3208" s="301"/>
      <c r="E3208" s="301"/>
      <c r="F3208" s="69"/>
      <c r="G3208" s="988"/>
      <c r="H3208" s="303"/>
      <c r="I3208" s="385"/>
      <c r="J3208" s="969"/>
      <c r="K3208" s="385"/>
      <c r="L3208" s="392"/>
      <c r="M3208" s="970"/>
      <c r="N3208" s="304"/>
      <c r="O3208" s="304"/>
      <c r="P3208" s="79" t="str">
        <f>IF(AND('331-CT'!$E$7=TH!H3208,OR(N3208="331",O3208="331")),"x","")</f>
        <v/>
      </c>
      <c r="Q3208" s="79" t="str">
        <f>IF(AND(B3208='111'!$L$11,OR($N3208=$Q$7,$O3208=$Q$7)),"x","")</f>
        <v/>
      </c>
      <c r="R3208" s="79" t="str">
        <f>IF(AND($N3208=$Q$7,$B3208&lt;'111'!$L$11),"x","")</f>
        <v/>
      </c>
      <c r="S3208" s="79" t="str">
        <f>IF(AND($O3208=$Q$7,$B3208&lt;'111'!$L$11),"x","")</f>
        <v/>
      </c>
      <c r="T3208" s="79" t="str">
        <f>IF(ISERROR(FIND('112'!$M$9,G3208,1)),"",IF((AND(FIND('112'!$M$9,G3208,1)&gt;=1,B3208='112'!$K$9,OR($N3208='112'!$I$6,$O3208='112'!$I$6))),"x",""))</f>
        <v/>
      </c>
      <c r="U3208" s="79" t="str">
        <f>IF(ISERROR(FIND('112'!$M$9,G3208,1)),"",IF((AND(LEFT(G3208,2)=LEFT('112'!$M$9,2),B3208&lt;'112'!$K$9,$N3208='112'!$I$6)),"x",""))</f>
        <v/>
      </c>
      <c r="V3208" s="79" t="str">
        <f>IF(ISERROR(FIND('112'!$M$9,G3208,1)),"",IF((AND(RIGHT(G3208,2)=RIGHT('112'!$M$9,2),B3208&lt;'112'!$K$9,$O3208='112'!$I$6)),"x",""))</f>
        <v/>
      </c>
      <c r="W3208" s="79" t="str">
        <f>IF(AND('341-CT'!$H$9=H3208,OR(LEFT(N3208,3)=$W$7,LEFT(O3208,3)=$W$7)),"x","")</f>
        <v/>
      </c>
      <c r="X3208" s="79" t="str">
        <f>IF(OR(TH!N3208=TH!$X$7,O3208=TH!$X$7),"x","")</f>
        <v/>
      </c>
      <c r="Y3208" s="79" t="str">
        <f>IF(AND(OR(N3208="131",O3208="131"),H3208='131-CT'!$H$9),"x","")</f>
        <v/>
      </c>
      <c r="Z3208" s="79"/>
      <c r="AA3208" s="79" t="str">
        <f>IF(AND(MONTH(E3208)='IN-NX'!$J$5,'IN-NX'!$D$7=D3208),"x","")</f>
        <v/>
      </c>
      <c r="AB3208" s="79" t="str">
        <f>IF(AND(OR(LEFT(TH!N3208,2)="15",LEFT(TH!O3208,2)="15"),LEFT(TH!O3208,3)&lt;&gt;"111",'152-CT'!$J$8=TH!F3208),"x","")</f>
        <v/>
      </c>
      <c r="AC3208" s="79" t="str">
        <f>IF(AND(OR(LEFT(TH!N3208,2)="15",LEFT(TH!O3208,2)="15"),TK!$E$7=TH!F3208),"x","")</f>
        <v/>
      </c>
      <c r="AD3208" s="79" t="str">
        <f>IF(AND(N3208="1521",MONTH(C3208)='BK-NL'!$M$11),"x","")</f>
        <v/>
      </c>
    </row>
    <row r="3209" spans="1:30" ht="16.5" customHeight="1">
      <c r="A3209" s="318" t="str">
        <f>IF(B3209&lt;&gt;"",IF(AND(B3209='IN-TC'!$S$4,OR(TH!N3209="1111",TH!O3209="1111")),TH!D3209,""),"")</f>
        <v/>
      </c>
      <c r="B3209" s="60" t="str">
        <f t="shared" si="380"/>
        <v/>
      </c>
      <c r="C3209" s="301"/>
      <c r="D3209" s="301"/>
      <c r="E3209" s="301"/>
      <c r="F3209" s="69"/>
      <c r="G3209" s="988"/>
      <c r="H3209" s="303"/>
      <c r="I3209" s="385"/>
      <c r="J3209" s="969"/>
      <c r="K3209" s="385"/>
      <c r="L3209" s="392"/>
      <c r="M3209" s="970"/>
      <c r="N3209" s="304"/>
      <c r="O3209" s="304"/>
      <c r="P3209" s="79" t="str">
        <f>IF(AND('331-CT'!$E$7=TH!H3209,OR(N3209="331",O3209="331")),"x","")</f>
        <v/>
      </c>
      <c r="Q3209" s="79" t="str">
        <f>IF(AND(B3209='111'!$L$11,OR($N3209=$Q$7,$O3209=$Q$7)),"x","")</f>
        <v/>
      </c>
      <c r="R3209" s="79" t="str">
        <f>IF(AND($N3209=$Q$7,$B3209&lt;'111'!$L$11),"x","")</f>
        <v/>
      </c>
      <c r="S3209" s="79" t="str">
        <f>IF(AND($O3209=$Q$7,$B3209&lt;'111'!$L$11),"x","")</f>
        <v/>
      </c>
      <c r="T3209" s="79" t="str">
        <f>IF(ISERROR(FIND('112'!$M$9,G3209,1)),"",IF((AND(FIND('112'!$M$9,G3209,1)&gt;=1,B3209='112'!$K$9,OR($N3209='112'!$I$6,$O3209='112'!$I$6))),"x",""))</f>
        <v/>
      </c>
      <c r="U3209" s="79" t="str">
        <f>IF(ISERROR(FIND('112'!$M$9,G3209,1)),"",IF((AND(LEFT(G3209,2)=LEFT('112'!$M$9,2),B3209&lt;'112'!$K$9,$N3209='112'!$I$6)),"x",""))</f>
        <v/>
      </c>
      <c r="V3209" s="79" t="str">
        <f>IF(ISERROR(FIND('112'!$M$9,G3209,1)),"",IF((AND(RIGHT(G3209,2)=RIGHT('112'!$M$9,2),B3209&lt;'112'!$K$9,$O3209='112'!$I$6)),"x",""))</f>
        <v/>
      </c>
      <c r="W3209" s="79" t="str">
        <f>IF(AND('341-CT'!$H$9=H3209,OR(LEFT(N3209,3)=$W$7,LEFT(O3209,3)=$W$7)),"x","")</f>
        <v/>
      </c>
      <c r="X3209" s="79" t="str">
        <f>IF(OR(TH!N3209=TH!$X$7,O3209=TH!$X$7),"x","")</f>
        <v/>
      </c>
      <c r="Y3209" s="79" t="str">
        <f>IF(AND(OR(N3209="131",O3209="131"),H3209='131-CT'!$H$9),"x","")</f>
        <v/>
      </c>
      <c r="Z3209" s="79"/>
      <c r="AA3209" s="79" t="str">
        <f>IF(AND(MONTH(E3209)='IN-NX'!$J$5,'IN-NX'!$D$7=D3209),"x","")</f>
        <v/>
      </c>
      <c r="AB3209" s="79" t="str">
        <f>IF(AND(OR(LEFT(TH!N3209,2)="15",LEFT(TH!O3209,2)="15"),LEFT(TH!O3209,3)&lt;&gt;"111",'152-CT'!$J$8=TH!F3209),"x","")</f>
        <v/>
      </c>
      <c r="AC3209" s="79" t="str">
        <f>IF(AND(OR(LEFT(TH!N3209,2)="15",LEFT(TH!O3209,2)="15"),TK!$E$7=TH!F3209),"x","")</f>
        <v/>
      </c>
      <c r="AD3209" s="79" t="str">
        <f>IF(AND(N3209="1521",MONTH(C3209)='BK-NL'!$M$11),"x","")</f>
        <v/>
      </c>
    </row>
    <row r="3210" spans="1:30" ht="16.5" customHeight="1">
      <c r="A3210" s="318" t="str">
        <f>IF(B3210&lt;&gt;"",IF(AND(B3210='IN-TC'!$S$4,OR(TH!N3210="1111",TH!O3210="1111")),TH!D3210,""),"")</f>
        <v/>
      </c>
      <c r="B3210" s="60" t="str">
        <f t="shared" si="380"/>
        <v/>
      </c>
      <c r="C3210" s="301"/>
      <c r="D3210" s="301"/>
      <c r="E3210" s="301"/>
      <c r="F3210" s="69"/>
      <c r="G3210" s="988"/>
      <c r="H3210" s="303"/>
      <c r="I3210" s="385"/>
      <c r="J3210" s="969"/>
      <c r="K3210" s="385"/>
      <c r="L3210" s="392"/>
      <c r="M3210" s="970"/>
      <c r="N3210" s="304"/>
      <c r="O3210" s="304"/>
      <c r="P3210" s="79" t="str">
        <f>IF(AND('331-CT'!$E$7=TH!H3210,OR(N3210="331",O3210="331")),"x","")</f>
        <v/>
      </c>
      <c r="Q3210" s="79" t="str">
        <f>IF(AND(B3210='111'!$L$11,OR($N3210=$Q$7,$O3210=$Q$7)),"x","")</f>
        <v/>
      </c>
      <c r="R3210" s="79" t="str">
        <f>IF(AND($N3210=$Q$7,$B3210&lt;'111'!$L$11),"x","")</f>
        <v/>
      </c>
      <c r="S3210" s="79" t="str">
        <f>IF(AND($O3210=$Q$7,$B3210&lt;'111'!$L$11),"x","")</f>
        <v/>
      </c>
      <c r="T3210" s="79" t="str">
        <f>IF(ISERROR(FIND('112'!$M$9,G3210,1)),"",IF((AND(FIND('112'!$M$9,G3210,1)&gt;=1,B3210='112'!$K$9,OR($N3210='112'!$I$6,$O3210='112'!$I$6))),"x",""))</f>
        <v/>
      </c>
      <c r="U3210" s="79" t="str">
        <f>IF(ISERROR(FIND('112'!$M$9,G3210,1)),"",IF((AND(LEFT(G3210,2)=LEFT('112'!$M$9,2),B3210&lt;'112'!$K$9,$N3210='112'!$I$6)),"x",""))</f>
        <v/>
      </c>
      <c r="V3210" s="79" t="str">
        <f>IF(ISERROR(FIND('112'!$M$9,G3210,1)),"",IF((AND(RIGHT(G3210,2)=RIGHT('112'!$M$9,2),B3210&lt;'112'!$K$9,$O3210='112'!$I$6)),"x",""))</f>
        <v/>
      </c>
      <c r="W3210" s="79" t="str">
        <f>IF(AND('341-CT'!$H$9=H3210,OR(LEFT(N3210,3)=$W$7,LEFT(O3210,3)=$W$7)),"x","")</f>
        <v/>
      </c>
      <c r="X3210" s="79" t="str">
        <f>IF(OR(TH!N3210=TH!$X$7,O3210=TH!$X$7),"x","")</f>
        <v/>
      </c>
      <c r="Y3210" s="79" t="str">
        <f>IF(AND(OR(N3210="131",O3210="131"),H3210='131-CT'!$H$9),"x","")</f>
        <v/>
      </c>
      <c r="Z3210" s="79"/>
      <c r="AA3210" s="79" t="str">
        <f>IF(AND(MONTH(E3210)='IN-NX'!$J$5,'IN-NX'!$D$7=D3210),"x","")</f>
        <v/>
      </c>
      <c r="AB3210" s="79" t="str">
        <f>IF(AND(OR(LEFT(TH!N3210,2)="15",LEFT(TH!O3210,2)="15"),LEFT(TH!O3210,3)&lt;&gt;"111",'152-CT'!$J$8=TH!F3210),"x","")</f>
        <v/>
      </c>
      <c r="AC3210" s="79" t="str">
        <f>IF(AND(OR(LEFT(TH!N3210,2)="15",LEFT(TH!O3210,2)="15"),TK!$E$7=TH!F3210),"x","")</f>
        <v/>
      </c>
      <c r="AD3210" s="79" t="str">
        <f>IF(AND(N3210="1521",MONTH(C3210)='BK-NL'!$M$11),"x","")</f>
        <v/>
      </c>
    </row>
    <row r="3211" spans="1:30" ht="16.5" customHeight="1">
      <c r="A3211" s="318" t="str">
        <f>IF(B3211&lt;&gt;"",IF(AND(B3211='IN-TC'!$S$4,OR(TH!N3211="1111",TH!O3211="1111")),TH!D3211,""),"")</f>
        <v/>
      </c>
      <c r="B3211" s="60" t="str">
        <f t="shared" si="380"/>
        <v/>
      </c>
      <c r="C3211" s="301"/>
      <c r="D3211" s="301"/>
      <c r="E3211" s="301"/>
      <c r="F3211" s="69"/>
      <c r="G3211" s="988"/>
      <c r="H3211" s="303"/>
      <c r="I3211" s="385"/>
      <c r="J3211" s="969"/>
      <c r="K3211" s="385"/>
      <c r="L3211" s="392"/>
      <c r="M3211" s="970"/>
      <c r="N3211" s="304"/>
      <c r="O3211" s="304"/>
      <c r="P3211" s="79" t="str">
        <f>IF(AND('331-CT'!$E$7=TH!H3211,OR(N3211="331",O3211="331")),"x","")</f>
        <v/>
      </c>
      <c r="Q3211" s="79" t="str">
        <f>IF(AND(B3211='111'!$L$11,OR($N3211=$Q$7,$O3211=$Q$7)),"x","")</f>
        <v/>
      </c>
      <c r="R3211" s="79" t="str">
        <f>IF(AND($N3211=$Q$7,$B3211&lt;'111'!$L$11),"x","")</f>
        <v/>
      </c>
      <c r="S3211" s="79" t="str">
        <f>IF(AND($O3211=$Q$7,$B3211&lt;'111'!$L$11),"x","")</f>
        <v/>
      </c>
      <c r="T3211" s="79" t="str">
        <f>IF(ISERROR(FIND('112'!$M$9,G3211,1)),"",IF((AND(FIND('112'!$M$9,G3211,1)&gt;=1,B3211='112'!$K$9,OR($N3211='112'!$I$6,$O3211='112'!$I$6))),"x",""))</f>
        <v/>
      </c>
      <c r="U3211" s="79" t="str">
        <f>IF(ISERROR(FIND('112'!$M$9,G3211,1)),"",IF((AND(LEFT(G3211,2)=LEFT('112'!$M$9,2),B3211&lt;'112'!$K$9,$N3211='112'!$I$6)),"x",""))</f>
        <v/>
      </c>
      <c r="V3211" s="79" t="str">
        <f>IF(ISERROR(FIND('112'!$M$9,G3211,1)),"",IF((AND(RIGHT(G3211,2)=RIGHT('112'!$M$9,2),B3211&lt;'112'!$K$9,$O3211='112'!$I$6)),"x",""))</f>
        <v/>
      </c>
      <c r="W3211" s="79" t="str">
        <f>IF(AND('341-CT'!$H$9=H3211,OR(LEFT(N3211,3)=$W$7,LEFT(O3211,3)=$W$7)),"x","")</f>
        <v/>
      </c>
      <c r="X3211" s="79" t="str">
        <f>IF(OR(TH!N3211=TH!$X$7,O3211=TH!$X$7),"x","")</f>
        <v/>
      </c>
      <c r="Y3211" s="79" t="str">
        <f>IF(AND(OR(N3211="131",O3211="131"),H3211='131-CT'!$H$9),"x","")</f>
        <v/>
      </c>
      <c r="Z3211" s="79"/>
      <c r="AA3211" s="79" t="str">
        <f>IF(AND(MONTH(E3211)='IN-NX'!$J$5,'IN-NX'!$D$7=D3211),"x","")</f>
        <v/>
      </c>
      <c r="AB3211" s="79" t="str">
        <f>IF(AND(OR(LEFT(TH!N3211,2)="15",LEFT(TH!O3211,2)="15"),LEFT(TH!O3211,3)&lt;&gt;"111",'152-CT'!$J$8=TH!F3211),"x","")</f>
        <v/>
      </c>
      <c r="AC3211" s="79" t="str">
        <f>IF(AND(OR(LEFT(TH!N3211,2)="15",LEFT(TH!O3211,2)="15"),TK!$E$7=TH!F3211),"x","")</f>
        <v/>
      </c>
      <c r="AD3211" s="79" t="str">
        <f>IF(AND(N3211="1521",MONTH(C3211)='BK-NL'!$M$11),"x","")</f>
        <v/>
      </c>
    </row>
    <row r="3212" spans="1:30" ht="16.5" customHeight="1">
      <c r="A3212" s="318" t="str">
        <f>IF(B3212&lt;&gt;"",IF(AND(B3212='IN-TC'!$S$4,OR(TH!N3212="1111",TH!O3212="1111")),TH!D3212,""),"")</f>
        <v/>
      </c>
      <c r="B3212" s="60" t="str">
        <f t="shared" si="380"/>
        <v/>
      </c>
      <c r="C3212" s="301"/>
      <c r="D3212" s="301"/>
      <c r="E3212" s="301"/>
      <c r="F3212" s="69"/>
      <c r="G3212" s="988"/>
      <c r="H3212" s="303"/>
      <c r="I3212" s="385"/>
      <c r="J3212" s="969"/>
      <c r="K3212" s="385"/>
      <c r="L3212" s="392"/>
      <c r="M3212" s="970"/>
      <c r="N3212" s="304"/>
      <c r="O3212" s="304"/>
      <c r="P3212" s="79" t="str">
        <f>IF(AND('331-CT'!$E$7=TH!H3212,OR(N3212="331",O3212="331")),"x","")</f>
        <v/>
      </c>
      <c r="Q3212" s="79" t="str">
        <f>IF(AND(B3212='111'!$L$11,OR($N3212=$Q$7,$O3212=$Q$7)),"x","")</f>
        <v/>
      </c>
      <c r="R3212" s="79" t="str">
        <f>IF(AND($N3212=$Q$7,$B3212&lt;'111'!$L$11),"x","")</f>
        <v/>
      </c>
      <c r="S3212" s="79" t="str">
        <f>IF(AND($O3212=$Q$7,$B3212&lt;'111'!$L$11),"x","")</f>
        <v/>
      </c>
      <c r="T3212" s="79" t="str">
        <f>IF(ISERROR(FIND('112'!$M$9,G3212,1)),"",IF((AND(FIND('112'!$M$9,G3212,1)&gt;=1,B3212='112'!$K$9,OR($N3212='112'!$I$6,$O3212='112'!$I$6))),"x",""))</f>
        <v/>
      </c>
      <c r="U3212" s="79" t="str">
        <f>IF(ISERROR(FIND('112'!$M$9,G3212,1)),"",IF((AND(LEFT(G3212,2)=LEFT('112'!$M$9,2),B3212&lt;'112'!$K$9,$N3212='112'!$I$6)),"x",""))</f>
        <v/>
      </c>
      <c r="V3212" s="79" t="str">
        <f>IF(ISERROR(FIND('112'!$M$9,G3212,1)),"",IF((AND(RIGHT(G3212,2)=RIGHT('112'!$M$9,2),B3212&lt;'112'!$K$9,$O3212='112'!$I$6)),"x",""))</f>
        <v/>
      </c>
      <c r="W3212" s="79" t="str">
        <f>IF(AND('341-CT'!$H$9=H3212,OR(LEFT(N3212,3)=$W$7,LEFT(O3212,3)=$W$7)),"x","")</f>
        <v/>
      </c>
      <c r="X3212" s="79" t="str">
        <f>IF(OR(TH!N3212=TH!$X$7,O3212=TH!$X$7),"x","")</f>
        <v/>
      </c>
      <c r="Y3212" s="79" t="str">
        <f>IF(AND(OR(N3212="131",O3212="131"),H3212='131-CT'!$H$9),"x","")</f>
        <v/>
      </c>
      <c r="Z3212" s="79"/>
      <c r="AA3212" s="79" t="str">
        <f>IF(AND(MONTH(E3212)='IN-NX'!$J$5,'IN-NX'!$D$7=D3212),"x","")</f>
        <v/>
      </c>
      <c r="AB3212" s="79" t="str">
        <f>IF(AND(OR(LEFT(TH!N3212,2)="15",LEFT(TH!O3212,2)="15"),LEFT(TH!O3212,3)&lt;&gt;"111",'152-CT'!$J$8=TH!F3212),"x","")</f>
        <v/>
      </c>
      <c r="AC3212" s="79" t="str">
        <f>IF(AND(OR(LEFT(TH!N3212,2)="15",LEFT(TH!O3212,2)="15"),TK!$E$7=TH!F3212),"x","")</f>
        <v/>
      </c>
      <c r="AD3212" s="79" t="str">
        <f>IF(AND(N3212="1521",MONTH(C3212)='BK-NL'!$M$11),"x","")</f>
        <v/>
      </c>
    </row>
    <row r="3213" spans="1:30" ht="16.5" customHeight="1">
      <c r="A3213" s="318" t="str">
        <f>IF(B3213&lt;&gt;"",IF(AND(B3213='IN-TC'!$S$4,OR(TH!N3213="1111",TH!O3213="1111")),TH!D3213,""),"")</f>
        <v/>
      </c>
      <c r="B3213" s="60" t="str">
        <f t="shared" si="380"/>
        <v/>
      </c>
      <c r="C3213" s="301"/>
      <c r="D3213" s="301"/>
      <c r="E3213" s="301"/>
      <c r="F3213" s="69"/>
      <c r="G3213" s="988"/>
      <c r="H3213" s="303"/>
      <c r="I3213" s="385"/>
      <c r="J3213" s="969"/>
      <c r="K3213" s="385"/>
      <c r="L3213" s="392"/>
      <c r="M3213" s="970"/>
      <c r="N3213" s="304"/>
      <c r="O3213" s="304"/>
      <c r="P3213" s="79" t="str">
        <f>IF(AND('331-CT'!$E$7=TH!H3213,OR(N3213="331",O3213="331")),"x","")</f>
        <v/>
      </c>
      <c r="Q3213" s="79" t="str">
        <f>IF(AND(B3213='111'!$L$11,OR($N3213=$Q$7,$O3213=$Q$7)),"x","")</f>
        <v/>
      </c>
      <c r="R3213" s="79" t="str">
        <f>IF(AND($N3213=$Q$7,$B3213&lt;'111'!$L$11),"x","")</f>
        <v/>
      </c>
      <c r="S3213" s="79" t="str">
        <f>IF(AND($O3213=$Q$7,$B3213&lt;'111'!$L$11),"x","")</f>
        <v/>
      </c>
      <c r="T3213" s="79" t="str">
        <f>IF(ISERROR(FIND('112'!$M$9,G3213,1)),"",IF((AND(FIND('112'!$M$9,G3213,1)&gt;=1,B3213='112'!$K$9,OR($N3213='112'!$I$6,$O3213='112'!$I$6))),"x",""))</f>
        <v/>
      </c>
      <c r="U3213" s="79" t="str">
        <f>IF(ISERROR(FIND('112'!$M$9,G3213,1)),"",IF((AND(LEFT(G3213,2)=LEFT('112'!$M$9,2),B3213&lt;'112'!$K$9,$N3213='112'!$I$6)),"x",""))</f>
        <v/>
      </c>
      <c r="V3213" s="79" t="str">
        <f>IF(ISERROR(FIND('112'!$M$9,G3213,1)),"",IF((AND(RIGHT(G3213,2)=RIGHT('112'!$M$9,2),B3213&lt;'112'!$K$9,$O3213='112'!$I$6)),"x",""))</f>
        <v/>
      </c>
      <c r="W3213" s="79" t="str">
        <f>IF(AND('341-CT'!$H$9=H3213,OR(LEFT(N3213,3)=$W$7,LEFT(O3213,3)=$W$7)),"x","")</f>
        <v/>
      </c>
      <c r="X3213" s="79" t="str">
        <f>IF(OR(TH!N3213=TH!$X$7,O3213=TH!$X$7),"x","")</f>
        <v/>
      </c>
      <c r="Y3213" s="79" t="str">
        <f>IF(AND(OR(N3213="131",O3213="131"),H3213='131-CT'!$H$9),"x","")</f>
        <v/>
      </c>
      <c r="Z3213" s="79"/>
      <c r="AA3213" s="79" t="str">
        <f>IF(AND(MONTH(E3213)='IN-NX'!$J$5,'IN-NX'!$D$7=D3213),"x","")</f>
        <v/>
      </c>
      <c r="AB3213" s="79" t="str">
        <f>IF(AND(OR(LEFT(TH!N3213,2)="15",LEFT(TH!O3213,2)="15"),LEFT(TH!O3213,3)&lt;&gt;"111",'152-CT'!$J$8=TH!F3213),"x","")</f>
        <v/>
      </c>
      <c r="AC3213" s="79" t="str">
        <f>IF(AND(OR(LEFT(TH!N3213,2)="15",LEFT(TH!O3213,2)="15"),TK!$E$7=TH!F3213),"x","")</f>
        <v/>
      </c>
      <c r="AD3213" s="79" t="str">
        <f>IF(AND(N3213="1521",MONTH(C3213)='BK-NL'!$M$11),"x","")</f>
        <v/>
      </c>
    </row>
    <row r="3214" spans="1:30" ht="16.5" customHeight="1">
      <c r="A3214" s="318" t="str">
        <f>IF(B3214&lt;&gt;"",IF(AND(B3214='IN-TC'!$S$4,OR(TH!N3214="1111",TH!O3214="1111")),TH!D3214,""),"")</f>
        <v/>
      </c>
      <c r="B3214" s="60" t="str">
        <f t="shared" si="380"/>
        <v/>
      </c>
      <c r="C3214" s="301"/>
      <c r="D3214" s="301"/>
      <c r="E3214" s="301"/>
      <c r="F3214" s="69"/>
      <c r="G3214" s="988"/>
      <c r="H3214" s="303"/>
      <c r="I3214" s="385"/>
      <c r="J3214" s="969"/>
      <c r="K3214" s="385"/>
      <c r="L3214" s="392"/>
      <c r="M3214" s="970"/>
      <c r="N3214" s="304"/>
      <c r="O3214" s="304"/>
      <c r="P3214" s="79" t="str">
        <f>IF(AND('331-CT'!$E$7=TH!H3214,OR(N3214="331",O3214="331")),"x","")</f>
        <v/>
      </c>
      <c r="Q3214" s="79" t="str">
        <f>IF(AND(B3214='111'!$L$11,OR($N3214=$Q$7,$O3214=$Q$7)),"x","")</f>
        <v/>
      </c>
      <c r="R3214" s="79" t="str">
        <f>IF(AND($N3214=$Q$7,$B3214&lt;'111'!$L$11),"x","")</f>
        <v/>
      </c>
      <c r="S3214" s="79" t="str">
        <f>IF(AND($O3214=$Q$7,$B3214&lt;'111'!$L$11),"x","")</f>
        <v/>
      </c>
      <c r="T3214" s="79" t="str">
        <f>IF(ISERROR(FIND('112'!$M$9,G3214,1)),"",IF((AND(FIND('112'!$M$9,G3214,1)&gt;=1,B3214='112'!$K$9,OR($N3214='112'!$I$6,$O3214='112'!$I$6))),"x",""))</f>
        <v/>
      </c>
      <c r="U3214" s="79" t="str">
        <f>IF(ISERROR(FIND('112'!$M$9,G3214,1)),"",IF((AND(LEFT(G3214,2)=LEFT('112'!$M$9,2),B3214&lt;'112'!$K$9,$N3214='112'!$I$6)),"x",""))</f>
        <v/>
      </c>
      <c r="V3214" s="79" t="str">
        <f>IF(ISERROR(FIND('112'!$M$9,G3214,1)),"",IF((AND(RIGHT(G3214,2)=RIGHT('112'!$M$9,2),B3214&lt;'112'!$K$9,$O3214='112'!$I$6)),"x",""))</f>
        <v/>
      </c>
      <c r="W3214" s="79" t="str">
        <f>IF(AND('341-CT'!$H$9=H3214,OR(LEFT(N3214,3)=$W$7,LEFT(O3214,3)=$W$7)),"x","")</f>
        <v/>
      </c>
      <c r="X3214" s="79" t="str">
        <f>IF(OR(TH!N3214=TH!$X$7,O3214=TH!$X$7),"x","")</f>
        <v/>
      </c>
      <c r="Y3214" s="79" t="str">
        <f>IF(AND(OR(N3214="131",O3214="131"),H3214='131-CT'!$H$9),"x","")</f>
        <v/>
      </c>
      <c r="Z3214" s="79"/>
      <c r="AA3214" s="79" t="str">
        <f>IF(AND(MONTH(E3214)='IN-NX'!$J$5,'IN-NX'!$D$7=D3214),"x","")</f>
        <v/>
      </c>
      <c r="AB3214" s="79" t="str">
        <f>IF(AND(OR(LEFT(TH!N3214,2)="15",LEFT(TH!O3214,2)="15"),LEFT(TH!O3214,3)&lt;&gt;"111",'152-CT'!$J$8=TH!F3214),"x","")</f>
        <v/>
      </c>
      <c r="AC3214" s="79" t="str">
        <f>IF(AND(OR(LEFT(TH!N3214,2)="15",LEFT(TH!O3214,2)="15"),TK!$E$7=TH!F3214),"x","")</f>
        <v/>
      </c>
      <c r="AD3214" s="79" t="str">
        <f>IF(AND(N3214="1521",MONTH(C3214)='BK-NL'!$M$11),"x","")</f>
        <v/>
      </c>
    </row>
    <row r="3215" spans="1:30" ht="16.5" customHeight="1">
      <c r="A3215" s="318" t="str">
        <f>IF(B3215&lt;&gt;"",IF(AND(B3215='IN-TC'!$S$4,OR(TH!N3215="1111",TH!O3215="1111")),TH!D3215,""),"")</f>
        <v/>
      </c>
      <c r="B3215" s="60" t="str">
        <f t="shared" ref="B3215:B3278" si="389">IF(C3215&lt;&gt;"",MONTH(C3215),"")</f>
        <v/>
      </c>
      <c r="C3215" s="75"/>
      <c r="D3215" s="75"/>
      <c r="E3215" s="974"/>
      <c r="F3215" s="69"/>
      <c r="G3215" s="76"/>
      <c r="H3215" s="77"/>
      <c r="I3215" s="383"/>
      <c r="J3215" s="390"/>
      <c r="K3215" s="383"/>
      <c r="L3215" s="390"/>
      <c r="M3215" s="978"/>
      <c r="N3215" s="1262"/>
      <c r="O3215" s="979"/>
      <c r="P3215" s="79" t="str">
        <f>IF(AND('331-CT'!$E$7=TH!H3215,OR(N3215="331",O3215="331")),"x","")</f>
        <v/>
      </c>
      <c r="Q3215" s="79" t="str">
        <f>IF(AND(B3215='111'!$L$11,OR($N3215=$Q$7,$O3215=$Q$7)),"x","")</f>
        <v/>
      </c>
      <c r="R3215" s="79" t="str">
        <f>IF(AND($N3215=$Q$7,$B3215&lt;'111'!$L$11),"x","")</f>
        <v/>
      </c>
      <c r="S3215" s="79" t="str">
        <f>IF(AND($O3215=$Q$7,$B3215&lt;'111'!$L$11),"x","")</f>
        <v/>
      </c>
      <c r="T3215" s="79" t="str">
        <f>IF(ISERROR(FIND('112'!$M$9,G3215,1)),"",IF((AND(FIND('112'!$M$9,G3215,1)&gt;=1,B3215='112'!$K$9,OR($N3215='112'!$I$6,$O3215='112'!$I$6))),"x",""))</f>
        <v/>
      </c>
      <c r="U3215" s="79" t="str">
        <f>IF(ISERROR(FIND('112'!$M$9,G3215,1)),"",IF((AND(LEFT(G3215,2)=LEFT('112'!$M$9,2),B3215&lt;'112'!$K$9,$N3215='112'!$I$6)),"x",""))</f>
        <v/>
      </c>
      <c r="V3215" s="79" t="str">
        <f>IF(ISERROR(FIND('112'!$M$9,G3215,1)),"",IF((AND(RIGHT(G3215,2)=RIGHT('112'!$M$9,2),B3215&lt;'112'!$K$9,$O3215='112'!$I$6)),"x",""))</f>
        <v/>
      </c>
      <c r="W3215" s="79" t="str">
        <f>IF(AND('341-CT'!$H$9=H3215,OR(LEFT(N3215,3)=$W$7,LEFT(O3215,3)=$W$7)),"x","")</f>
        <v/>
      </c>
      <c r="X3215" s="79" t="str">
        <f>IF(OR(TH!N3215=TH!$X$7,O3215=TH!$X$7),"x","")</f>
        <v/>
      </c>
      <c r="Y3215" s="79" t="str">
        <f>IF(AND(OR(N3215="131",O3215="131"),H3215='131-CT'!$H$9),"x","")</f>
        <v/>
      </c>
      <c r="Z3215" s="79"/>
      <c r="AA3215" s="79" t="str">
        <f>IF(AND(MONTH(E3215)='IN-NX'!$J$5,'IN-NX'!$D$7=D3215),"x","")</f>
        <v/>
      </c>
      <c r="AB3215" s="79" t="str">
        <f>IF(AND(OR(LEFT(TH!N3215,2)="15",LEFT(TH!O3215,2)="15"),LEFT(TH!O3215,3)&lt;&gt;"111",'152-CT'!$J$8=TH!F3215),"x","")</f>
        <v/>
      </c>
      <c r="AC3215" s="79" t="str">
        <f>IF(AND(OR(LEFT(TH!N3215,2)="15",LEFT(TH!O3215,2)="15"),TK!$E$7=TH!F3215),"x","")</f>
        <v/>
      </c>
      <c r="AD3215" s="79" t="str">
        <f>IF(AND(N3215="1521",MONTH(C3215)='BK-NL'!$M$11),"x","")</f>
        <v/>
      </c>
    </row>
    <row r="3216" spans="1:30" ht="16.5" customHeight="1">
      <c r="A3216" s="318" t="str">
        <f>IF(B3216&lt;&gt;"",IF(AND(B3216='IN-TC'!$S$4,OR(TH!N3216="1111",TH!O3216="1111")),TH!D3216,""),"")</f>
        <v/>
      </c>
      <c r="B3216" s="60" t="str">
        <f t="shared" si="389"/>
        <v/>
      </c>
      <c r="C3216" s="75"/>
      <c r="D3216" s="75"/>
      <c r="E3216" s="974"/>
      <c r="F3216" s="69"/>
      <c r="G3216" s="76"/>
      <c r="H3216" s="77"/>
      <c r="I3216" s="383"/>
      <c r="J3216" s="390"/>
      <c r="K3216" s="383"/>
      <c r="L3216" s="390"/>
      <c r="M3216" s="78"/>
      <c r="N3216" s="1262"/>
      <c r="O3216" s="79"/>
      <c r="P3216" s="79" t="str">
        <f>IF(AND('331-CT'!$E$7=TH!H3216,OR(N3216="331",O3216="331")),"x","")</f>
        <v/>
      </c>
      <c r="Q3216" s="79" t="str">
        <f>IF(AND(B3216='111'!$L$11,OR($N3216=$Q$7,$O3216=$Q$7)),"x","")</f>
        <v/>
      </c>
      <c r="R3216" s="79" t="str">
        <f>IF(AND($N3216=$Q$7,$B3216&lt;'111'!$L$11),"x","")</f>
        <v/>
      </c>
      <c r="S3216" s="79" t="str">
        <f>IF(AND($O3216=$Q$7,$B3216&lt;'111'!$L$11),"x","")</f>
        <v/>
      </c>
      <c r="T3216" s="79" t="str">
        <f>IF(ISERROR(FIND('112'!$M$9,G3216,1)),"",IF((AND(FIND('112'!$M$9,G3216,1)&gt;=1,B3216='112'!$K$9,OR($N3216='112'!$I$6,$O3216='112'!$I$6))),"x",""))</f>
        <v/>
      </c>
      <c r="U3216" s="79" t="str">
        <f>IF(ISERROR(FIND('112'!$M$9,G3216,1)),"",IF((AND(LEFT(G3216,2)=LEFT('112'!$M$9,2),B3216&lt;'112'!$K$9,$N3216='112'!$I$6)),"x",""))</f>
        <v/>
      </c>
      <c r="V3216" s="79" t="str">
        <f>IF(ISERROR(FIND('112'!$M$9,G3216,1)),"",IF((AND(RIGHT(G3216,2)=RIGHT('112'!$M$9,2),B3216&lt;'112'!$K$9,$O3216='112'!$I$6)),"x",""))</f>
        <v/>
      </c>
      <c r="W3216" s="79" t="str">
        <f>IF(AND('341-CT'!$H$9=H3216,OR(LEFT(N3216,3)=$W$7,LEFT(O3216,3)=$W$7)),"x","")</f>
        <v/>
      </c>
      <c r="X3216" s="79" t="str">
        <f>IF(OR(TH!N3216=TH!$X$7,O3216=TH!$X$7),"x","")</f>
        <v/>
      </c>
      <c r="Y3216" s="79" t="str">
        <f>IF(AND(OR(N3216="131",O3216="131"),H3216='131-CT'!$H$9),"x","")</f>
        <v/>
      </c>
      <c r="Z3216" s="79"/>
      <c r="AA3216" s="79" t="str">
        <f>IF(AND(MONTH(E3216)='IN-NX'!$J$5,'IN-NX'!$D$7=D3216),"x","")</f>
        <v/>
      </c>
      <c r="AB3216" s="79" t="str">
        <f>IF(AND(OR(LEFT(TH!N3216,2)="15",LEFT(TH!O3216,2)="15"),LEFT(TH!O3216,3)&lt;&gt;"111",'152-CT'!$J$8=TH!F3216),"x","")</f>
        <v/>
      </c>
      <c r="AC3216" s="79" t="str">
        <f>IF(AND(OR(LEFT(TH!N3216,2)="15",LEFT(TH!O3216,2)="15"),TK!$E$7=TH!F3216),"x","")</f>
        <v/>
      </c>
      <c r="AD3216" s="79" t="str">
        <f>IF(AND(N3216="1521",MONTH(C3216)='BK-NL'!$M$11),"x","")</f>
        <v/>
      </c>
    </row>
    <row r="3217" spans="1:30" ht="16.5" customHeight="1">
      <c r="A3217" s="318" t="str">
        <f>IF(B3217&lt;&gt;"",IF(AND(B3217='IN-TC'!$S$4,OR(TH!N3217="1111",TH!O3217="1111")),TH!D3217,""),"")</f>
        <v/>
      </c>
      <c r="B3217" s="60" t="str">
        <f t="shared" si="389"/>
        <v/>
      </c>
      <c r="C3217" s="75"/>
      <c r="D3217" s="75"/>
      <c r="E3217" s="974"/>
      <c r="F3217" s="69"/>
      <c r="G3217" s="76"/>
      <c r="H3217" s="77"/>
      <c r="I3217" s="383"/>
      <c r="J3217" s="390"/>
      <c r="K3217" s="383"/>
      <c r="L3217" s="390"/>
      <c r="M3217" s="978"/>
      <c r="N3217" s="1262"/>
      <c r="O3217" s="979"/>
      <c r="P3217" s="79" t="str">
        <f>IF(AND('331-CT'!$E$7=TH!H3217,OR(N3217="331",O3217="331")),"x","")</f>
        <v/>
      </c>
      <c r="Q3217" s="79" t="str">
        <f>IF(AND(B3217='111'!$L$11,OR($N3217=$Q$7,$O3217=$Q$7)),"x","")</f>
        <v/>
      </c>
      <c r="R3217" s="79" t="str">
        <f>IF(AND($N3217=$Q$7,$B3217&lt;'111'!$L$11),"x","")</f>
        <v/>
      </c>
      <c r="S3217" s="79" t="str">
        <f>IF(AND($O3217=$Q$7,$B3217&lt;'111'!$L$11),"x","")</f>
        <v/>
      </c>
      <c r="T3217" s="79" t="str">
        <f>IF(ISERROR(FIND('112'!$M$9,G3217,1)),"",IF((AND(FIND('112'!$M$9,G3217,1)&gt;=1,B3217='112'!$K$9,OR($N3217='112'!$I$6,$O3217='112'!$I$6))),"x",""))</f>
        <v/>
      </c>
      <c r="U3217" s="79" t="str">
        <f>IF(ISERROR(FIND('112'!$M$9,G3217,1)),"",IF((AND(LEFT(G3217,2)=LEFT('112'!$M$9,2),B3217&lt;'112'!$K$9,$N3217='112'!$I$6)),"x",""))</f>
        <v/>
      </c>
      <c r="V3217" s="79" t="str">
        <f>IF(ISERROR(FIND('112'!$M$9,G3217,1)),"",IF((AND(RIGHT(G3217,2)=RIGHT('112'!$M$9,2),B3217&lt;'112'!$K$9,$O3217='112'!$I$6)),"x",""))</f>
        <v/>
      </c>
      <c r="W3217" s="79" t="str">
        <f>IF(AND('341-CT'!$H$9=H3217,OR(LEFT(N3217,3)=$W$7,LEFT(O3217,3)=$W$7)),"x","")</f>
        <v/>
      </c>
      <c r="X3217" s="79" t="str">
        <f>IF(OR(TH!N3217=TH!$X$7,O3217=TH!$X$7),"x","")</f>
        <v/>
      </c>
      <c r="Y3217" s="79" t="str">
        <f>IF(AND(OR(N3217="131",O3217="131"),H3217='131-CT'!$H$9),"x","")</f>
        <v/>
      </c>
      <c r="Z3217" s="79"/>
      <c r="AA3217" s="79" t="str">
        <f>IF(AND(MONTH(E3217)='IN-NX'!$J$5,'IN-NX'!$D$7=D3217),"x","")</f>
        <v/>
      </c>
      <c r="AB3217" s="79" t="str">
        <f>IF(AND(OR(LEFT(TH!N3217,2)="15",LEFT(TH!O3217,2)="15"),LEFT(TH!O3217,3)&lt;&gt;"111",'152-CT'!$J$8=TH!F3217),"x","")</f>
        <v/>
      </c>
      <c r="AC3217" s="79" t="str">
        <f>IF(AND(OR(LEFT(TH!N3217,2)="15",LEFT(TH!O3217,2)="15"),TK!$E$7=TH!F3217),"x","")</f>
        <v/>
      </c>
      <c r="AD3217" s="79" t="str">
        <f>IF(AND(N3217="1521",MONTH(C3217)='BK-NL'!$M$11),"x","")</f>
        <v/>
      </c>
    </row>
    <row r="3218" spans="1:30" ht="16.5" customHeight="1">
      <c r="A3218" s="318" t="str">
        <f>IF(B3218&lt;&gt;"",IF(AND(B3218='IN-TC'!$S$4,OR(TH!N3218="1111",TH!O3218="1111")),TH!D3218,""),"")</f>
        <v/>
      </c>
      <c r="B3218" s="60" t="str">
        <f t="shared" si="389"/>
        <v/>
      </c>
      <c r="C3218" s="75"/>
      <c r="D3218" s="75"/>
      <c r="E3218" s="974"/>
      <c r="F3218" s="69"/>
      <c r="G3218" s="76"/>
      <c r="H3218" s="77"/>
      <c r="I3218" s="383"/>
      <c r="J3218" s="390"/>
      <c r="K3218" s="383"/>
      <c r="L3218" s="390"/>
      <c r="M3218" s="978"/>
      <c r="N3218" s="1262"/>
      <c r="O3218" s="979"/>
      <c r="P3218" s="79" t="str">
        <f>IF(AND('331-CT'!$E$7=TH!H3218,OR(N3218="331",O3218="331")),"x","")</f>
        <v/>
      </c>
      <c r="Q3218" s="79" t="str">
        <f>IF(AND(B3218='111'!$L$11,OR($N3218=$Q$7,$O3218=$Q$7)),"x","")</f>
        <v/>
      </c>
      <c r="R3218" s="79" t="str">
        <f>IF(AND($N3218=$Q$7,$B3218&lt;'111'!$L$11),"x","")</f>
        <v/>
      </c>
      <c r="S3218" s="79" t="str">
        <f>IF(AND($O3218=$Q$7,$B3218&lt;'111'!$L$11),"x","")</f>
        <v/>
      </c>
      <c r="T3218" s="79" t="str">
        <f>IF(ISERROR(FIND('112'!$M$9,G3218,1)),"",IF((AND(FIND('112'!$M$9,G3218,1)&gt;=1,B3218='112'!$K$9,OR($N3218='112'!$I$6,$O3218='112'!$I$6))),"x",""))</f>
        <v/>
      </c>
      <c r="U3218" s="79" t="str">
        <f>IF(ISERROR(FIND('112'!$M$9,G3218,1)),"",IF((AND(LEFT(G3218,2)=LEFT('112'!$M$9,2),B3218&lt;'112'!$K$9,$N3218='112'!$I$6)),"x",""))</f>
        <v/>
      </c>
      <c r="V3218" s="79" t="str">
        <f>IF(ISERROR(FIND('112'!$M$9,G3218,1)),"",IF((AND(RIGHT(G3218,2)=RIGHT('112'!$M$9,2),B3218&lt;'112'!$K$9,$O3218='112'!$I$6)),"x",""))</f>
        <v/>
      </c>
      <c r="W3218" s="79" t="str">
        <f>IF(AND('341-CT'!$H$9=H3218,OR(LEFT(N3218,3)=$W$7,LEFT(O3218,3)=$W$7)),"x","")</f>
        <v/>
      </c>
      <c r="X3218" s="79" t="str">
        <f>IF(OR(TH!N3218=TH!$X$7,O3218=TH!$X$7),"x","")</f>
        <v/>
      </c>
      <c r="Y3218" s="79" t="str">
        <f>IF(AND(OR(N3218="131",O3218="131"),H3218='131-CT'!$H$9),"x","")</f>
        <v/>
      </c>
      <c r="Z3218" s="79"/>
      <c r="AA3218" s="79" t="str">
        <f>IF(AND(MONTH(E3218)='IN-NX'!$J$5,'IN-NX'!$D$7=D3218),"x","")</f>
        <v/>
      </c>
      <c r="AB3218" s="79" t="str">
        <f>IF(AND(OR(LEFT(TH!N3218,2)="15",LEFT(TH!O3218,2)="15"),LEFT(TH!O3218,3)&lt;&gt;"111",'152-CT'!$J$8=TH!F3218),"x","")</f>
        <v/>
      </c>
      <c r="AC3218" s="79" t="str">
        <f>IF(AND(OR(LEFT(TH!N3218,2)="15",LEFT(TH!O3218,2)="15"),TK!$E$7=TH!F3218),"x","")</f>
        <v/>
      </c>
      <c r="AD3218" s="79" t="str">
        <f>IF(AND(N3218="1521",MONTH(C3218)='BK-NL'!$M$11),"x","")</f>
        <v/>
      </c>
    </row>
    <row r="3219" spans="1:30" ht="16.5" customHeight="1">
      <c r="A3219" s="318" t="str">
        <f>IF(B3219&lt;&gt;"",IF(AND(B3219='IN-TC'!$S$4,OR(TH!N3219="1111",TH!O3219="1111")),TH!D3219,""),"")</f>
        <v/>
      </c>
      <c r="B3219" s="60" t="str">
        <f t="shared" si="389"/>
        <v/>
      </c>
      <c r="C3219" s="75"/>
      <c r="D3219" s="75"/>
      <c r="E3219" s="974"/>
      <c r="F3219" s="69"/>
      <c r="G3219" s="76"/>
      <c r="H3219" s="77"/>
      <c r="I3219" s="383"/>
      <c r="J3219" s="390"/>
      <c r="K3219" s="383"/>
      <c r="L3219" s="390"/>
      <c r="M3219" s="978"/>
      <c r="N3219" s="1262"/>
      <c r="O3219" s="979"/>
      <c r="P3219" s="79" t="str">
        <f>IF(AND('331-CT'!$E$7=TH!H3219,OR(N3219="331",O3219="331")),"x","")</f>
        <v/>
      </c>
      <c r="Q3219" s="79" t="str">
        <f>IF(AND(B3219='111'!$L$11,OR($N3219=$Q$7,$O3219=$Q$7)),"x","")</f>
        <v/>
      </c>
      <c r="R3219" s="79" t="str">
        <f>IF(AND($N3219=$Q$7,$B3219&lt;'111'!$L$11),"x","")</f>
        <v/>
      </c>
      <c r="S3219" s="79" t="str">
        <f>IF(AND($O3219=$Q$7,$B3219&lt;'111'!$L$11),"x","")</f>
        <v/>
      </c>
      <c r="T3219" s="79" t="str">
        <f>IF(ISERROR(FIND('112'!$M$9,G3219,1)),"",IF((AND(FIND('112'!$M$9,G3219,1)&gt;=1,B3219='112'!$K$9,OR($N3219='112'!$I$6,$O3219='112'!$I$6))),"x",""))</f>
        <v/>
      </c>
      <c r="U3219" s="79" t="str">
        <f>IF(ISERROR(FIND('112'!$M$9,G3219,1)),"",IF((AND(LEFT(G3219,2)=LEFT('112'!$M$9,2),B3219&lt;'112'!$K$9,$N3219='112'!$I$6)),"x",""))</f>
        <v/>
      </c>
      <c r="V3219" s="79" t="str">
        <f>IF(ISERROR(FIND('112'!$M$9,G3219,1)),"",IF((AND(RIGHT(G3219,2)=RIGHT('112'!$M$9,2),B3219&lt;'112'!$K$9,$O3219='112'!$I$6)),"x",""))</f>
        <v/>
      </c>
      <c r="W3219" s="79" t="str">
        <f>IF(AND('341-CT'!$H$9=H3219,OR(LEFT(N3219,3)=$W$7,LEFT(O3219,3)=$W$7)),"x","")</f>
        <v/>
      </c>
      <c r="X3219" s="79" t="str">
        <f>IF(OR(TH!N3219=TH!$X$7,O3219=TH!$X$7),"x","")</f>
        <v/>
      </c>
      <c r="Y3219" s="79" t="str">
        <f>IF(AND(OR(N3219="131",O3219="131"),H3219='131-CT'!$H$9),"x","")</f>
        <v/>
      </c>
      <c r="Z3219" s="79"/>
      <c r="AA3219" s="79" t="str">
        <f>IF(AND(MONTH(E3219)='IN-NX'!$J$5,'IN-NX'!$D$7=D3219),"x","")</f>
        <v/>
      </c>
      <c r="AB3219" s="79" t="str">
        <f>IF(AND(OR(LEFT(TH!N3219,2)="15",LEFT(TH!O3219,2)="15"),LEFT(TH!O3219,3)&lt;&gt;"111",'152-CT'!$J$8=TH!F3219),"x","")</f>
        <v/>
      </c>
      <c r="AC3219" s="79" t="str">
        <f>IF(AND(OR(LEFT(TH!N3219,2)="15",LEFT(TH!O3219,2)="15"),TK!$E$7=TH!F3219),"x","")</f>
        <v/>
      </c>
      <c r="AD3219" s="79" t="str">
        <f>IF(AND(N3219="1521",MONTH(C3219)='BK-NL'!$M$11),"x","")</f>
        <v/>
      </c>
    </row>
    <row r="3220" spans="1:30" ht="16.5" customHeight="1">
      <c r="A3220" s="318" t="str">
        <f>IF(B3220&lt;&gt;"",IF(AND(B3220='IN-TC'!$S$4,OR(TH!N3220="1111",TH!O3220="1111")),TH!D3220,""),"")</f>
        <v/>
      </c>
      <c r="B3220" s="60" t="str">
        <f t="shared" si="389"/>
        <v/>
      </c>
      <c r="C3220" s="75"/>
      <c r="D3220" s="75"/>
      <c r="E3220" s="974"/>
      <c r="F3220" s="69"/>
      <c r="G3220" s="76"/>
      <c r="H3220" s="77"/>
      <c r="I3220" s="383"/>
      <c r="J3220" s="390"/>
      <c r="K3220" s="383"/>
      <c r="L3220" s="390"/>
      <c r="M3220" s="978"/>
      <c r="N3220" s="1262"/>
      <c r="O3220" s="979"/>
      <c r="P3220" s="79" t="str">
        <f>IF(AND('331-CT'!$E$7=TH!H3220,OR(N3220="331",O3220="331")),"x","")</f>
        <v/>
      </c>
      <c r="Q3220" s="79" t="str">
        <f>IF(AND(B3220='111'!$L$11,OR($N3220=$Q$7,$O3220=$Q$7)),"x","")</f>
        <v/>
      </c>
      <c r="R3220" s="79" t="str">
        <f>IF(AND($N3220=$Q$7,$B3220&lt;'111'!$L$11),"x","")</f>
        <v/>
      </c>
      <c r="S3220" s="79" t="str">
        <f>IF(AND($O3220=$Q$7,$B3220&lt;'111'!$L$11),"x","")</f>
        <v/>
      </c>
      <c r="T3220" s="79" t="str">
        <f>IF(ISERROR(FIND('112'!$M$9,G3220,1)),"",IF((AND(FIND('112'!$M$9,G3220,1)&gt;=1,B3220='112'!$K$9,OR($N3220='112'!$I$6,$O3220='112'!$I$6))),"x",""))</f>
        <v/>
      </c>
      <c r="U3220" s="79" t="str">
        <f>IF(ISERROR(FIND('112'!$M$9,G3220,1)),"",IF((AND(LEFT(G3220,2)=LEFT('112'!$M$9,2),B3220&lt;'112'!$K$9,$N3220='112'!$I$6)),"x",""))</f>
        <v/>
      </c>
      <c r="V3220" s="79" t="str">
        <f>IF(ISERROR(FIND('112'!$M$9,G3220,1)),"",IF((AND(RIGHT(G3220,2)=RIGHT('112'!$M$9,2),B3220&lt;'112'!$K$9,$O3220='112'!$I$6)),"x",""))</f>
        <v/>
      </c>
      <c r="W3220" s="79" t="str">
        <f>IF(AND('341-CT'!$H$9=H3220,OR(LEFT(N3220,3)=$W$7,LEFT(O3220,3)=$W$7)),"x","")</f>
        <v/>
      </c>
      <c r="X3220" s="79" t="str">
        <f>IF(OR(TH!N3220=TH!$X$7,O3220=TH!$X$7),"x","")</f>
        <v/>
      </c>
      <c r="Y3220" s="79" t="str">
        <f>IF(AND(OR(N3220="131",O3220="131"),H3220='131-CT'!$H$9),"x","")</f>
        <v/>
      </c>
      <c r="Z3220" s="79"/>
      <c r="AA3220" s="79" t="str">
        <f>IF(AND(MONTH(E3220)='IN-NX'!$J$5,'IN-NX'!$D$7=D3220),"x","")</f>
        <v/>
      </c>
      <c r="AB3220" s="79" t="str">
        <f>IF(AND(OR(LEFT(TH!N3220,2)="15",LEFT(TH!O3220,2)="15"),LEFT(TH!O3220,3)&lt;&gt;"111",'152-CT'!$J$8=TH!F3220),"x","")</f>
        <v/>
      </c>
      <c r="AC3220" s="79" t="str">
        <f>IF(AND(OR(LEFT(TH!N3220,2)="15",LEFT(TH!O3220,2)="15"),TK!$E$7=TH!F3220),"x","")</f>
        <v/>
      </c>
      <c r="AD3220" s="79" t="str">
        <f>IF(AND(N3220="1521",MONTH(C3220)='BK-NL'!$M$11),"x","")</f>
        <v/>
      </c>
    </row>
    <row r="3221" spans="1:30" ht="16.5" customHeight="1">
      <c r="A3221" s="318" t="str">
        <f>IF(B3221&lt;&gt;"",IF(AND(B3221='IN-TC'!$S$4,OR(TH!N3221="1111",TH!O3221="1111")),TH!D3221,""),"")</f>
        <v/>
      </c>
      <c r="B3221" s="60" t="str">
        <f t="shared" si="389"/>
        <v/>
      </c>
      <c r="C3221" s="75"/>
      <c r="D3221" s="75"/>
      <c r="E3221" s="974"/>
      <c r="F3221" s="69"/>
      <c r="G3221" s="76"/>
      <c r="H3221" s="77"/>
      <c r="I3221" s="383"/>
      <c r="J3221" s="390"/>
      <c r="K3221" s="383"/>
      <c r="L3221" s="390"/>
      <c r="M3221" s="978"/>
      <c r="N3221" s="79"/>
      <c r="O3221" s="979"/>
      <c r="P3221" s="79" t="str">
        <f>IF(AND('331-CT'!$E$7=TH!H3221,OR(N3221="331",O3221="331")),"x","")</f>
        <v/>
      </c>
      <c r="Q3221" s="79" t="str">
        <f>IF(AND(B3221='111'!$L$11,OR($N3221=$Q$7,$O3221=$Q$7)),"x","")</f>
        <v/>
      </c>
      <c r="R3221" s="79" t="str">
        <f>IF(AND($N3221=$Q$7,$B3221&lt;'111'!$L$11),"x","")</f>
        <v/>
      </c>
      <c r="S3221" s="79" t="str">
        <f>IF(AND($O3221=$Q$7,$B3221&lt;'111'!$L$11),"x","")</f>
        <v/>
      </c>
      <c r="T3221" s="79" t="str">
        <f>IF(ISERROR(FIND('112'!$M$9,G3221,1)),"",IF((AND(FIND('112'!$M$9,G3221,1)&gt;=1,B3221='112'!$K$9,OR($N3221='112'!$I$6,$O3221='112'!$I$6))),"x",""))</f>
        <v/>
      </c>
      <c r="U3221" s="79" t="str">
        <f>IF(ISERROR(FIND('112'!$M$9,G3221,1)),"",IF((AND(LEFT(G3221,2)=LEFT('112'!$M$9,2),B3221&lt;'112'!$K$9,$N3221='112'!$I$6)),"x",""))</f>
        <v/>
      </c>
      <c r="V3221" s="79" t="str">
        <f>IF(ISERROR(FIND('112'!$M$9,G3221,1)),"",IF((AND(RIGHT(G3221,2)=RIGHT('112'!$M$9,2),B3221&lt;'112'!$K$9,$O3221='112'!$I$6)),"x",""))</f>
        <v/>
      </c>
      <c r="W3221" s="79" t="str">
        <f>IF(AND('341-CT'!$H$9=H3221,OR(LEFT(N3221,3)=$W$7,LEFT(O3221,3)=$W$7)),"x","")</f>
        <v/>
      </c>
      <c r="X3221" s="79" t="str">
        <f>IF(OR(TH!N3221=TH!$X$7,O3221=TH!$X$7),"x","")</f>
        <v/>
      </c>
      <c r="Y3221" s="79" t="str">
        <f>IF(AND(OR(N3221="131",O3221="131"),H3221='131-CT'!$H$9),"x","")</f>
        <v/>
      </c>
      <c r="Z3221" s="79"/>
      <c r="AA3221" s="79" t="str">
        <f>IF(AND(MONTH(E3221)='IN-NX'!$J$5,'IN-NX'!$D$7=D3221),"x","")</f>
        <v/>
      </c>
      <c r="AB3221" s="79" t="str">
        <f>IF(AND(OR(LEFT(TH!N3221,2)="15",LEFT(TH!O3221,2)="15"),LEFT(TH!O3221,3)&lt;&gt;"111",'152-CT'!$J$8=TH!F3221),"x","")</f>
        <v/>
      </c>
      <c r="AC3221" s="79" t="str">
        <f>IF(AND(OR(LEFT(TH!N3221,2)="15",LEFT(TH!O3221,2)="15"),TK!$E$7=TH!F3221),"x","")</f>
        <v/>
      </c>
      <c r="AD3221" s="79" t="str">
        <f>IF(AND(N3221="1521",MONTH(C3221)='BK-NL'!$M$11),"x","")</f>
        <v/>
      </c>
    </row>
    <row r="3222" spans="1:30" ht="16.5" customHeight="1">
      <c r="A3222" s="318" t="str">
        <f>IF(B3222&lt;&gt;"",IF(AND(B3222='IN-TC'!$S$4,OR(TH!N3222="1111",TH!O3222="1111")),TH!D3222,""),"")</f>
        <v/>
      </c>
      <c r="B3222" s="60" t="str">
        <f t="shared" si="389"/>
        <v/>
      </c>
      <c r="C3222" s="75"/>
      <c r="D3222" s="75"/>
      <c r="E3222" s="974"/>
      <c r="F3222" s="69"/>
      <c r="G3222" s="76"/>
      <c r="H3222" s="77"/>
      <c r="I3222" s="383"/>
      <c r="J3222" s="390"/>
      <c r="K3222" s="383"/>
      <c r="L3222" s="390"/>
      <c r="M3222" s="78"/>
      <c r="N3222" s="79"/>
      <c r="O3222" s="79"/>
      <c r="P3222" s="79" t="str">
        <f>IF(AND('331-CT'!$E$7=TH!H3222,OR(N3222="331",O3222="331")),"x","")</f>
        <v/>
      </c>
      <c r="Q3222" s="79" t="str">
        <f>IF(AND(B3222='111'!$L$11,OR($N3222=$Q$7,$O3222=$Q$7)),"x","")</f>
        <v/>
      </c>
      <c r="R3222" s="79" t="str">
        <f>IF(AND($N3222=$Q$7,$B3222&lt;'111'!$L$11),"x","")</f>
        <v/>
      </c>
      <c r="S3222" s="79" t="str">
        <f>IF(AND($O3222=$Q$7,$B3222&lt;'111'!$L$11),"x","")</f>
        <v/>
      </c>
      <c r="T3222" s="79" t="str">
        <f>IF(ISERROR(FIND('112'!$M$9,G3222,1)),"",IF((AND(FIND('112'!$M$9,G3222,1)&gt;=1,B3222='112'!$K$9,OR($N3222='112'!$I$6,$O3222='112'!$I$6))),"x",""))</f>
        <v/>
      </c>
      <c r="U3222" s="79" t="str">
        <f>IF(ISERROR(FIND('112'!$M$9,G3222,1)),"",IF((AND(LEFT(G3222,2)=LEFT('112'!$M$9,2),B3222&lt;'112'!$K$9,$N3222='112'!$I$6)),"x",""))</f>
        <v/>
      </c>
      <c r="V3222" s="79" t="str">
        <f>IF(ISERROR(FIND('112'!$M$9,G3222,1)),"",IF((AND(RIGHT(G3222,2)=RIGHT('112'!$M$9,2),B3222&lt;'112'!$K$9,$O3222='112'!$I$6)),"x",""))</f>
        <v/>
      </c>
      <c r="W3222" s="79" t="str">
        <f>IF(AND('341-CT'!$H$9=H3222,OR(LEFT(N3222,3)=$W$7,LEFT(O3222,3)=$W$7)),"x","")</f>
        <v/>
      </c>
      <c r="X3222" s="79" t="str">
        <f>IF(OR(TH!N3222=TH!$X$7,O3222=TH!$X$7),"x","")</f>
        <v/>
      </c>
      <c r="Y3222" s="79" t="str">
        <f>IF(AND(OR(N3222="131",O3222="131"),H3222='131-CT'!$H$9),"x","")</f>
        <v/>
      </c>
      <c r="Z3222" s="79"/>
      <c r="AA3222" s="79" t="str">
        <f>IF(AND(MONTH(E3222)='IN-NX'!$J$5,'IN-NX'!$D$7=D3222),"x","")</f>
        <v/>
      </c>
      <c r="AB3222" s="79" t="str">
        <f>IF(AND(OR(LEFT(TH!N3222,2)="15",LEFT(TH!O3222,2)="15"),LEFT(TH!O3222,3)&lt;&gt;"111",'152-CT'!$J$8=TH!F3222),"x","")</f>
        <v/>
      </c>
      <c r="AC3222" s="79" t="str">
        <f>IF(AND(OR(LEFT(TH!N3222,2)="15",LEFT(TH!O3222,2)="15"),TK!$E$7=TH!F3222),"x","")</f>
        <v/>
      </c>
      <c r="AD3222" s="79" t="str">
        <f>IF(AND(N3222="1521",MONTH(C3222)='BK-NL'!$M$11),"x","")</f>
        <v/>
      </c>
    </row>
    <row r="3223" spans="1:30" ht="16.5" customHeight="1">
      <c r="A3223" s="318" t="str">
        <f>IF(B3223&lt;&gt;"",IF(AND(B3223='IN-TC'!$S$4,OR(TH!N3223="1111",TH!O3223="1111")),TH!D3223,""),"")</f>
        <v/>
      </c>
      <c r="B3223" s="60" t="str">
        <f t="shared" si="389"/>
        <v/>
      </c>
      <c r="C3223" s="75"/>
      <c r="D3223" s="75"/>
      <c r="E3223" s="974"/>
      <c r="F3223" s="69"/>
      <c r="G3223" s="76"/>
      <c r="H3223" s="77"/>
      <c r="I3223" s="383"/>
      <c r="J3223" s="390"/>
      <c r="K3223" s="383"/>
      <c r="L3223" s="390"/>
      <c r="M3223" s="978"/>
      <c r="N3223" s="79"/>
      <c r="O3223" s="979"/>
      <c r="P3223" s="79" t="str">
        <f>IF(AND('331-CT'!$E$7=TH!H3223,OR(N3223="331",O3223="331")),"x","")</f>
        <v/>
      </c>
      <c r="Q3223" s="79" t="str">
        <f>IF(AND(B3223='111'!$L$11,OR($N3223=$Q$7,$O3223=$Q$7)),"x","")</f>
        <v/>
      </c>
      <c r="R3223" s="79" t="str">
        <f>IF(AND($N3223=$Q$7,$B3223&lt;'111'!$L$11),"x","")</f>
        <v/>
      </c>
      <c r="S3223" s="79" t="str">
        <f>IF(AND($O3223=$Q$7,$B3223&lt;'111'!$L$11),"x","")</f>
        <v/>
      </c>
      <c r="T3223" s="79" t="str">
        <f>IF(ISERROR(FIND('112'!$M$9,G3223,1)),"",IF((AND(FIND('112'!$M$9,G3223,1)&gt;=1,B3223='112'!$K$9,OR($N3223='112'!$I$6,$O3223='112'!$I$6))),"x",""))</f>
        <v/>
      </c>
      <c r="U3223" s="79" t="str">
        <f>IF(ISERROR(FIND('112'!$M$9,G3223,1)),"",IF((AND(LEFT(G3223,2)=LEFT('112'!$M$9,2),B3223&lt;'112'!$K$9,$N3223='112'!$I$6)),"x",""))</f>
        <v/>
      </c>
      <c r="V3223" s="79" t="str">
        <f>IF(ISERROR(FIND('112'!$M$9,G3223,1)),"",IF((AND(RIGHT(G3223,2)=RIGHT('112'!$M$9,2),B3223&lt;'112'!$K$9,$O3223='112'!$I$6)),"x",""))</f>
        <v/>
      </c>
      <c r="W3223" s="79" t="str">
        <f>IF(AND('341-CT'!$H$9=H3223,OR(LEFT(N3223,3)=$W$7,LEFT(O3223,3)=$W$7)),"x","")</f>
        <v/>
      </c>
      <c r="X3223" s="79" t="str">
        <f>IF(OR(TH!N3223=TH!$X$7,O3223=TH!$X$7),"x","")</f>
        <v/>
      </c>
      <c r="Y3223" s="79" t="str">
        <f>IF(AND(OR(N3223="131",O3223="131"),H3223='131-CT'!$H$9),"x","")</f>
        <v/>
      </c>
      <c r="Z3223" s="79"/>
      <c r="AA3223" s="79" t="str">
        <f>IF(AND(MONTH(E3223)='IN-NX'!$J$5,'IN-NX'!$D$7=D3223),"x","")</f>
        <v/>
      </c>
      <c r="AB3223" s="79" t="str">
        <f>IF(AND(OR(LEFT(TH!N3223,2)="15",LEFT(TH!O3223,2)="15"),LEFT(TH!O3223,3)&lt;&gt;"111",'152-CT'!$J$8=TH!F3223),"x","")</f>
        <v/>
      </c>
      <c r="AC3223" s="79" t="str">
        <f>IF(AND(OR(LEFT(TH!N3223,2)="15",LEFT(TH!O3223,2)="15"),TK!$E$7=TH!F3223),"x","")</f>
        <v/>
      </c>
      <c r="AD3223" s="79" t="str">
        <f>IF(AND(N3223="1521",MONTH(C3223)='BK-NL'!$M$11),"x","")</f>
        <v/>
      </c>
    </row>
    <row r="3224" spans="1:30" ht="16.5" customHeight="1">
      <c r="A3224" s="318" t="str">
        <f>IF(B3224&lt;&gt;"",IF(AND(B3224='IN-TC'!$S$4,OR(TH!N3224="1111",TH!O3224="1111")),TH!D3224,""),"")</f>
        <v/>
      </c>
      <c r="B3224" s="60" t="str">
        <f t="shared" si="389"/>
        <v/>
      </c>
      <c r="C3224" s="75"/>
      <c r="D3224" s="75"/>
      <c r="E3224" s="974"/>
      <c r="F3224" s="69"/>
      <c r="G3224" s="76"/>
      <c r="H3224" s="76"/>
      <c r="I3224" s="383"/>
      <c r="J3224" s="390"/>
      <c r="K3224" s="383"/>
      <c r="L3224" s="390"/>
      <c r="M3224" s="978"/>
      <c r="N3224" s="79"/>
      <c r="O3224" s="979"/>
      <c r="P3224" s="79" t="str">
        <f>IF(AND('331-CT'!$E$7=TH!H3224,OR(N3224="331",O3224="331")),"x","")</f>
        <v/>
      </c>
      <c r="Q3224" s="79" t="str">
        <f>IF(AND(B3224='111'!$L$11,OR($N3224=$Q$7,$O3224=$Q$7)),"x","")</f>
        <v/>
      </c>
      <c r="R3224" s="79" t="str">
        <f>IF(AND($N3224=$Q$7,$B3224&lt;'111'!$L$11),"x","")</f>
        <v/>
      </c>
      <c r="S3224" s="79" t="str">
        <f>IF(AND($O3224=$Q$7,$B3224&lt;'111'!$L$11),"x","")</f>
        <v/>
      </c>
      <c r="T3224" s="79" t="str">
        <f>IF(ISERROR(FIND('112'!$M$9,G3224,1)),"",IF((AND(FIND('112'!$M$9,G3224,1)&gt;=1,B3224='112'!$K$9,OR($N3224='112'!$I$6,$O3224='112'!$I$6))),"x",""))</f>
        <v/>
      </c>
      <c r="U3224" s="79" t="str">
        <f>IF(ISERROR(FIND('112'!$M$9,G3224,1)),"",IF((AND(LEFT(G3224,2)=LEFT('112'!$M$9,2),B3224&lt;'112'!$K$9,$N3224='112'!$I$6)),"x",""))</f>
        <v/>
      </c>
      <c r="V3224" s="79" t="str">
        <f>IF(ISERROR(FIND('112'!$M$9,G3224,1)),"",IF((AND(RIGHT(G3224,2)=RIGHT('112'!$M$9,2),B3224&lt;'112'!$K$9,$O3224='112'!$I$6)),"x",""))</f>
        <v/>
      </c>
      <c r="W3224" s="79" t="str">
        <f>IF(AND('341-CT'!$H$9=H3224,OR(LEFT(N3224,3)=$W$7,LEFT(O3224,3)=$W$7)),"x","")</f>
        <v/>
      </c>
      <c r="X3224" s="79" t="str">
        <f>IF(OR(TH!N3224=TH!$X$7,O3224=TH!$X$7),"x","")</f>
        <v/>
      </c>
      <c r="Y3224" s="79" t="str">
        <f>IF(AND(OR(N3224="131",O3224="131"),H3224='131-CT'!$H$9),"x","")</f>
        <v/>
      </c>
      <c r="Z3224" s="79"/>
      <c r="AA3224" s="79" t="str">
        <f>IF(AND(MONTH(E3224)='IN-NX'!$J$5,'IN-NX'!$D$7=D3224),"x","")</f>
        <v/>
      </c>
      <c r="AB3224" s="79" t="str">
        <f>IF(AND(OR(LEFT(TH!N3224,2)="15",LEFT(TH!O3224,2)="15"),LEFT(TH!O3224,3)&lt;&gt;"111",'152-CT'!$J$8=TH!F3224),"x","")</f>
        <v/>
      </c>
      <c r="AC3224" s="79" t="str">
        <f>IF(AND(OR(LEFT(TH!N3224,2)="15",LEFT(TH!O3224,2)="15"),TK!$E$7=TH!F3224),"x","")</f>
        <v/>
      </c>
      <c r="AD3224" s="79" t="str">
        <f>IF(AND(N3224="1521",MONTH(C3224)='BK-NL'!$M$11),"x","")</f>
        <v/>
      </c>
    </row>
    <row r="3225" spans="1:30" ht="16.5" customHeight="1">
      <c r="A3225" s="318" t="str">
        <f>IF(B3225&lt;&gt;"",IF(AND(B3225='IN-TC'!$S$4,OR(TH!N3225="1111",TH!O3225="1111")),TH!D3225,""),"")</f>
        <v/>
      </c>
      <c r="B3225" s="60" t="str">
        <f t="shared" si="389"/>
        <v/>
      </c>
      <c r="C3225" s="75"/>
      <c r="D3225" s="75"/>
      <c r="E3225" s="974"/>
      <c r="F3225" s="69"/>
      <c r="G3225" s="76"/>
      <c r="H3225" s="76"/>
      <c r="I3225" s="383"/>
      <c r="J3225" s="390"/>
      <c r="K3225" s="383"/>
      <c r="L3225" s="390"/>
      <c r="M3225" s="978"/>
      <c r="N3225" s="79"/>
      <c r="O3225" s="979"/>
      <c r="P3225" s="79" t="str">
        <f>IF(AND('331-CT'!$E$7=TH!H3225,OR(N3225="331",O3225="331")),"x","")</f>
        <v/>
      </c>
      <c r="Q3225" s="79" t="str">
        <f>IF(AND(B3225='111'!$L$11,OR($N3225=$Q$7,$O3225=$Q$7)),"x","")</f>
        <v/>
      </c>
      <c r="R3225" s="79" t="str">
        <f>IF(AND($N3225=$Q$7,$B3225&lt;'111'!$L$11),"x","")</f>
        <v/>
      </c>
      <c r="S3225" s="79" t="str">
        <f>IF(AND($O3225=$Q$7,$B3225&lt;'111'!$L$11),"x","")</f>
        <v/>
      </c>
      <c r="T3225" s="79" t="str">
        <f>IF(ISERROR(FIND('112'!$M$9,G3225,1)),"",IF((AND(FIND('112'!$M$9,G3225,1)&gt;=1,B3225='112'!$K$9,OR($N3225='112'!$I$6,$O3225='112'!$I$6))),"x",""))</f>
        <v/>
      </c>
      <c r="U3225" s="79" t="str">
        <f>IF(ISERROR(FIND('112'!$M$9,G3225,1)),"",IF((AND(LEFT(G3225,2)=LEFT('112'!$M$9,2),B3225&lt;'112'!$K$9,$N3225='112'!$I$6)),"x",""))</f>
        <v/>
      </c>
      <c r="V3225" s="79" t="str">
        <f>IF(ISERROR(FIND('112'!$M$9,G3225,1)),"",IF((AND(RIGHT(G3225,2)=RIGHT('112'!$M$9,2),B3225&lt;'112'!$K$9,$O3225='112'!$I$6)),"x",""))</f>
        <v/>
      </c>
      <c r="W3225" s="79" t="str">
        <f>IF(AND('341-CT'!$H$9=H3225,OR(LEFT(N3225,3)=$W$7,LEFT(O3225,3)=$W$7)),"x","")</f>
        <v/>
      </c>
      <c r="X3225" s="79" t="str">
        <f>IF(OR(TH!N3225=TH!$X$7,O3225=TH!$X$7),"x","")</f>
        <v/>
      </c>
      <c r="Y3225" s="79" t="str">
        <f>IF(AND(OR(N3225="131",O3225="131"),H3225='131-CT'!$H$9),"x","")</f>
        <v/>
      </c>
      <c r="Z3225" s="79"/>
      <c r="AA3225" s="79" t="str">
        <f>IF(AND(MONTH(E3225)='IN-NX'!$J$5,'IN-NX'!$D$7=D3225),"x","")</f>
        <v/>
      </c>
      <c r="AB3225" s="79" t="str">
        <f>IF(AND(OR(LEFT(TH!N3225,2)="15",LEFT(TH!O3225,2)="15"),LEFT(TH!O3225,3)&lt;&gt;"111",'152-CT'!$J$8=TH!F3225),"x","")</f>
        <v/>
      </c>
      <c r="AC3225" s="79" t="str">
        <f>IF(AND(OR(LEFT(TH!N3225,2)="15",LEFT(TH!O3225,2)="15"),TK!$E$7=TH!F3225),"x","")</f>
        <v/>
      </c>
      <c r="AD3225" s="79" t="str">
        <f>IF(AND(N3225="1521",MONTH(C3225)='BK-NL'!$M$11),"x","")</f>
        <v/>
      </c>
    </row>
    <row r="3226" spans="1:30" ht="16.5" customHeight="1">
      <c r="A3226" s="318" t="str">
        <f>IF(B3226&lt;&gt;"",IF(AND(B3226='IN-TC'!$S$4,OR(TH!N3226="1111",TH!O3226="1111")),TH!D3226,""),"")</f>
        <v/>
      </c>
      <c r="B3226" s="60" t="str">
        <f t="shared" si="389"/>
        <v/>
      </c>
      <c r="C3226" s="75"/>
      <c r="D3226" s="75"/>
      <c r="E3226" s="974"/>
      <c r="F3226" s="69"/>
      <c r="G3226" s="76"/>
      <c r="H3226" s="759"/>
      <c r="I3226" s="383"/>
      <c r="J3226" s="390"/>
      <c r="K3226" s="383"/>
      <c r="L3226" s="390"/>
      <c r="M3226" s="978"/>
      <c r="N3226" s="79"/>
      <c r="O3226" s="979"/>
      <c r="P3226" s="79" t="str">
        <f>IF(AND('331-CT'!$E$7=TH!H3226,OR(N3226="331",O3226="331")),"x","")</f>
        <v/>
      </c>
      <c r="Q3226" s="79" t="str">
        <f>IF(AND(B3226='111'!$L$11,OR($N3226=$Q$7,$O3226=$Q$7)),"x","")</f>
        <v/>
      </c>
      <c r="R3226" s="79" t="str">
        <f>IF(AND($N3226=$Q$7,$B3226&lt;'111'!$L$11),"x","")</f>
        <v/>
      </c>
      <c r="S3226" s="79" t="str">
        <f>IF(AND($O3226=$Q$7,$B3226&lt;'111'!$L$11),"x","")</f>
        <v/>
      </c>
      <c r="T3226" s="79" t="str">
        <f>IF(ISERROR(FIND('112'!$M$9,G3226,1)),"",IF((AND(FIND('112'!$M$9,G3226,1)&gt;=1,B3226='112'!$K$9,OR($N3226='112'!$I$6,$O3226='112'!$I$6))),"x",""))</f>
        <v/>
      </c>
      <c r="U3226" s="79" t="str">
        <f>IF(ISERROR(FIND('112'!$M$9,G3226,1)),"",IF((AND(LEFT(G3226,2)=LEFT('112'!$M$9,2),B3226&lt;'112'!$K$9,$N3226='112'!$I$6)),"x",""))</f>
        <v/>
      </c>
      <c r="V3226" s="79" t="str">
        <f>IF(ISERROR(FIND('112'!$M$9,G3226,1)),"",IF((AND(RIGHT(G3226,2)=RIGHT('112'!$M$9,2),B3226&lt;'112'!$K$9,$O3226='112'!$I$6)),"x",""))</f>
        <v/>
      </c>
      <c r="W3226" s="79" t="str">
        <f>IF(AND('341-CT'!$H$9=H3226,OR(LEFT(N3226,3)=$W$7,LEFT(O3226,3)=$W$7)),"x","")</f>
        <v/>
      </c>
      <c r="X3226" s="79" t="str">
        <f>IF(OR(TH!N3226=TH!$X$7,O3226=TH!$X$7),"x","")</f>
        <v/>
      </c>
      <c r="Y3226" s="79" t="str">
        <f>IF(AND(OR(N3226="131",O3226="131"),H3226='131-CT'!$H$9),"x","")</f>
        <v/>
      </c>
      <c r="Z3226" s="79"/>
      <c r="AA3226" s="79" t="str">
        <f>IF(AND(MONTH(E3226)='IN-NX'!$J$5,'IN-NX'!$D$7=D3226),"x","")</f>
        <v/>
      </c>
      <c r="AB3226" s="79" t="str">
        <f>IF(AND(OR(LEFT(TH!N3226,2)="15",LEFT(TH!O3226,2)="15"),LEFT(TH!O3226,3)&lt;&gt;"111",'152-CT'!$J$8=TH!F3226),"x","")</f>
        <v/>
      </c>
      <c r="AC3226" s="79" t="str">
        <f>IF(AND(OR(LEFT(TH!N3226,2)="15",LEFT(TH!O3226,2)="15"),TK!$E$7=TH!F3226),"x","")</f>
        <v/>
      </c>
      <c r="AD3226" s="79" t="str">
        <f>IF(AND(N3226="1521",MONTH(C3226)='BK-NL'!$M$11),"x","")</f>
        <v/>
      </c>
    </row>
    <row r="3227" spans="1:30" ht="16.5" customHeight="1">
      <c r="A3227" s="318" t="str">
        <f>IF(B3227&lt;&gt;"",IF(AND(B3227='IN-TC'!$S$4,OR(TH!N3227="1111",TH!O3227="1111")),TH!D3227,""),"")</f>
        <v/>
      </c>
      <c r="B3227" s="60" t="str">
        <f t="shared" si="389"/>
        <v/>
      </c>
      <c r="C3227" s="75"/>
      <c r="D3227" s="75"/>
      <c r="E3227" s="974"/>
      <c r="F3227" s="69"/>
      <c r="G3227" s="76"/>
      <c r="H3227" s="77"/>
      <c r="I3227" s="383"/>
      <c r="J3227" s="390"/>
      <c r="K3227" s="383"/>
      <c r="L3227" s="390"/>
      <c r="M3227" s="978"/>
      <c r="N3227" s="79"/>
      <c r="O3227" s="979"/>
      <c r="P3227" s="79" t="str">
        <f>IF(AND('331-CT'!$E$7=TH!H3227,OR(N3227="331",O3227="331")),"x","")</f>
        <v/>
      </c>
      <c r="Q3227" s="79" t="str">
        <f>IF(AND(B3227='111'!$L$11,OR($N3227=$Q$7,$O3227=$Q$7)),"x","")</f>
        <v/>
      </c>
      <c r="R3227" s="79" t="str">
        <f>IF(AND($N3227=$Q$7,$B3227&lt;'111'!$L$11),"x","")</f>
        <v/>
      </c>
      <c r="S3227" s="79" t="str">
        <f>IF(AND($O3227=$Q$7,$B3227&lt;'111'!$L$11),"x","")</f>
        <v/>
      </c>
      <c r="T3227" s="79" t="str">
        <f>IF(ISERROR(FIND('112'!$M$9,G3227,1)),"",IF((AND(FIND('112'!$M$9,G3227,1)&gt;=1,B3227='112'!$K$9,OR($N3227='112'!$I$6,$O3227='112'!$I$6))),"x",""))</f>
        <v/>
      </c>
      <c r="U3227" s="79" t="str">
        <f>IF(ISERROR(FIND('112'!$M$9,G3227,1)),"",IF((AND(LEFT(G3227,2)=LEFT('112'!$M$9,2),B3227&lt;'112'!$K$9,$N3227='112'!$I$6)),"x",""))</f>
        <v/>
      </c>
      <c r="V3227" s="79" t="str">
        <f>IF(ISERROR(FIND('112'!$M$9,G3227,1)),"",IF((AND(RIGHT(G3227,2)=RIGHT('112'!$M$9,2),B3227&lt;'112'!$K$9,$O3227='112'!$I$6)),"x",""))</f>
        <v/>
      </c>
      <c r="W3227" s="79" t="str">
        <f>IF(AND('341-CT'!$H$9=H3227,OR(LEFT(N3227,3)=$W$7,LEFT(O3227,3)=$W$7)),"x","")</f>
        <v/>
      </c>
      <c r="X3227" s="79" t="str">
        <f>IF(OR(TH!N3227=TH!$X$7,O3227=TH!$X$7),"x","")</f>
        <v/>
      </c>
      <c r="Y3227" s="79" t="str">
        <f>IF(AND(OR(N3227="131",O3227="131"),H3227='131-CT'!$H$9),"x","")</f>
        <v/>
      </c>
      <c r="Z3227" s="79"/>
      <c r="AA3227" s="79" t="str">
        <f>IF(AND(MONTH(E3227)='IN-NX'!$J$5,'IN-NX'!$D$7=D3227),"x","")</f>
        <v/>
      </c>
      <c r="AB3227" s="79" t="str">
        <f>IF(AND(OR(LEFT(TH!N3227,2)="15",LEFT(TH!O3227,2)="15"),LEFT(TH!O3227,3)&lt;&gt;"111",'152-CT'!$J$8=TH!F3227),"x","")</f>
        <v/>
      </c>
      <c r="AC3227" s="79" t="str">
        <f>IF(AND(OR(LEFT(TH!N3227,2)="15",LEFT(TH!O3227,2)="15"),TK!$E$7=TH!F3227),"x","")</f>
        <v/>
      </c>
      <c r="AD3227" s="79" t="str">
        <f>IF(AND(N3227="1521",MONTH(C3227)='BK-NL'!$M$11),"x","")</f>
        <v/>
      </c>
    </row>
    <row r="3228" spans="1:30" ht="16.5" customHeight="1">
      <c r="A3228" s="318" t="str">
        <f>IF(B3228&lt;&gt;"",IF(AND(B3228='IN-TC'!$S$4,OR(TH!N3228="1111",TH!O3228="1111")),TH!D3228,""),"")</f>
        <v/>
      </c>
      <c r="B3228" s="60" t="str">
        <f t="shared" si="389"/>
        <v/>
      </c>
      <c r="C3228" s="75"/>
      <c r="D3228" s="75"/>
      <c r="E3228" s="75"/>
      <c r="F3228" s="69"/>
      <c r="G3228" s="76"/>
      <c r="H3228" s="759"/>
      <c r="I3228" s="383"/>
      <c r="J3228" s="390"/>
      <c r="K3228" s="383"/>
      <c r="L3228" s="390"/>
      <c r="M3228" s="978"/>
      <c r="N3228" s="1262"/>
      <c r="O3228" s="979"/>
      <c r="P3228" s="79" t="str">
        <f>IF(AND('331-CT'!$E$7=TH!H3228,OR(N3228="331",O3228="331")),"x","")</f>
        <v/>
      </c>
      <c r="Q3228" s="79" t="str">
        <f>IF(AND(B3228='111'!$L$11,OR($N3228=$Q$7,$O3228=$Q$7)),"x","")</f>
        <v/>
      </c>
      <c r="R3228" s="79" t="str">
        <f>IF(AND($N3228=$Q$7,$B3228&lt;'111'!$L$11),"x","")</f>
        <v/>
      </c>
      <c r="S3228" s="79" t="str">
        <f>IF(AND($O3228=$Q$7,$B3228&lt;'111'!$L$11),"x","")</f>
        <v/>
      </c>
      <c r="T3228" s="79" t="str">
        <f>IF(ISERROR(FIND('112'!$M$9,G3228,1)),"",IF((AND(FIND('112'!$M$9,G3228,1)&gt;=1,B3228='112'!$K$9,OR($N3228='112'!$I$6,$O3228='112'!$I$6))),"x",""))</f>
        <v/>
      </c>
      <c r="U3228" s="79" t="str">
        <f>IF(ISERROR(FIND('112'!$M$9,G3228,1)),"",IF((AND(LEFT(G3228,2)=LEFT('112'!$M$9,2),B3228&lt;'112'!$K$9,$N3228='112'!$I$6)),"x",""))</f>
        <v/>
      </c>
      <c r="V3228" s="79" t="str">
        <f>IF(ISERROR(FIND('112'!$M$9,G3228,1)),"",IF((AND(RIGHT(G3228,2)=RIGHT('112'!$M$9,2),B3228&lt;'112'!$K$9,$O3228='112'!$I$6)),"x",""))</f>
        <v/>
      </c>
      <c r="W3228" s="79" t="str">
        <f>IF(AND('341-CT'!$H$9=H3228,OR(LEFT(N3228,3)=$W$7,LEFT(O3228,3)=$W$7)),"x","")</f>
        <v/>
      </c>
      <c r="X3228" s="79" t="str">
        <f>IF(OR(TH!N3228=TH!$X$7,O3228=TH!$X$7),"x","")</f>
        <v/>
      </c>
      <c r="Y3228" s="79" t="str">
        <f>IF(AND(OR(N3228="131",O3228="131"),H3228='131-CT'!$H$9),"x","")</f>
        <v/>
      </c>
      <c r="Z3228" s="79"/>
      <c r="AA3228" s="79" t="str">
        <f>IF(AND(MONTH(E3228)='IN-NX'!$J$5,'IN-NX'!$D$7=D3228),"x","")</f>
        <v/>
      </c>
      <c r="AB3228" s="79" t="str">
        <f>IF(AND(OR(LEFT(TH!N3228,2)="15",LEFT(TH!O3228,2)="15"),LEFT(TH!O3228,3)&lt;&gt;"111",'152-CT'!$J$8=TH!F3228),"x","")</f>
        <v/>
      </c>
      <c r="AC3228" s="79" t="str">
        <f>IF(AND(OR(LEFT(TH!N3228,2)="15",LEFT(TH!O3228,2)="15"),TK!$E$7=TH!F3228),"x","")</f>
        <v/>
      </c>
      <c r="AD3228" s="79" t="str">
        <f>IF(AND(N3228="1521",MONTH(C3228)='BK-NL'!$M$11),"x","")</f>
        <v/>
      </c>
    </row>
    <row r="3229" spans="1:30" ht="16.5" customHeight="1">
      <c r="A3229" s="318" t="str">
        <f>IF(B3229&lt;&gt;"",IF(AND(B3229='IN-TC'!$S$4,OR(TH!N3229="1111",TH!O3229="1111")),TH!D3229,""),"")</f>
        <v/>
      </c>
      <c r="B3229" s="60" t="str">
        <f t="shared" si="389"/>
        <v/>
      </c>
      <c r="C3229" s="75"/>
      <c r="D3229" s="75"/>
      <c r="E3229" s="974"/>
      <c r="F3229" s="69"/>
      <c r="G3229" s="76"/>
      <c r="H3229" s="759"/>
      <c r="I3229" s="383"/>
      <c r="J3229" s="390"/>
      <c r="K3229" s="383"/>
      <c r="L3229" s="390"/>
      <c r="M3229" s="978"/>
      <c r="N3229" s="79"/>
      <c r="O3229" s="979"/>
      <c r="P3229" s="79" t="str">
        <f>IF(AND('331-CT'!$E$7=TH!H3229,OR(N3229="331",O3229="331")),"x","")</f>
        <v/>
      </c>
      <c r="Q3229" s="79" t="str">
        <f>IF(AND(B3229='111'!$L$11,OR($N3229=$Q$7,$O3229=$Q$7)),"x","")</f>
        <v/>
      </c>
      <c r="R3229" s="79" t="str">
        <f>IF(AND($N3229=$Q$7,$B3229&lt;'111'!$L$11),"x","")</f>
        <v/>
      </c>
      <c r="S3229" s="79" t="str">
        <f>IF(AND($O3229=$Q$7,$B3229&lt;'111'!$L$11),"x","")</f>
        <v/>
      </c>
      <c r="T3229" s="79" t="str">
        <f>IF(ISERROR(FIND('112'!$M$9,G3229,1)),"",IF((AND(FIND('112'!$M$9,G3229,1)&gt;=1,B3229='112'!$K$9,OR($N3229='112'!$I$6,$O3229='112'!$I$6))),"x",""))</f>
        <v/>
      </c>
      <c r="U3229" s="79" t="str">
        <f>IF(ISERROR(FIND('112'!$M$9,G3229,1)),"",IF((AND(LEFT(G3229,2)=LEFT('112'!$M$9,2),B3229&lt;'112'!$K$9,$N3229='112'!$I$6)),"x",""))</f>
        <v/>
      </c>
      <c r="V3229" s="79" t="str">
        <f>IF(ISERROR(FIND('112'!$M$9,G3229,1)),"",IF((AND(RIGHT(G3229,2)=RIGHT('112'!$M$9,2),B3229&lt;'112'!$K$9,$O3229='112'!$I$6)),"x",""))</f>
        <v/>
      </c>
      <c r="W3229" s="79" t="str">
        <f>IF(AND('341-CT'!$H$9=H3229,OR(LEFT(N3229,3)=$W$7,LEFT(O3229,3)=$W$7)),"x","")</f>
        <v/>
      </c>
      <c r="X3229" s="79" t="str">
        <f>IF(OR(TH!N3229=TH!$X$7,O3229=TH!$X$7),"x","")</f>
        <v/>
      </c>
      <c r="Y3229" s="79" t="str">
        <f>IF(AND(OR(N3229="131",O3229="131"),H3229='131-CT'!$H$9),"x","")</f>
        <v/>
      </c>
      <c r="Z3229" s="79"/>
      <c r="AA3229" s="79" t="str">
        <f>IF(AND(MONTH(E3229)='IN-NX'!$J$5,'IN-NX'!$D$7=D3229),"x","")</f>
        <v/>
      </c>
      <c r="AB3229" s="79" t="str">
        <f>IF(AND(OR(LEFT(TH!N3229,2)="15",LEFT(TH!O3229,2)="15"),LEFT(TH!O3229,3)&lt;&gt;"111",'152-CT'!$J$8=TH!F3229),"x","")</f>
        <v/>
      </c>
      <c r="AC3229" s="79" t="str">
        <f>IF(AND(OR(LEFT(TH!N3229,2)="15",LEFT(TH!O3229,2)="15"),TK!$E$7=TH!F3229),"x","")</f>
        <v/>
      </c>
      <c r="AD3229" s="79" t="str">
        <f>IF(AND(N3229="1521",MONTH(C3229)='BK-NL'!$M$11),"x","")</f>
        <v/>
      </c>
    </row>
    <row r="3230" spans="1:30" ht="16.5" customHeight="1">
      <c r="A3230" s="318" t="str">
        <f>IF(B3230&lt;&gt;"",IF(AND(B3230='IN-TC'!$S$4,OR(TH!N3230="1111",TH!O3230="1111")),TH!D3230,""),"")</f>
        <v/>
      </c>
      <c r="B3230" s="60" t="str">
        <f t="shared" si="389"/>
        <v/>
      </c>
      <c r="C3230" s="75"/>
      <c r="D3230" s="75"/>
      <c r="E3230" s="75"/>
      <c r="F3230" s="69"/>
      <c r="G3230" s="76"/>
      <c r="H3230" s="77"/>
      <c r="I3230" s="383"/>
      <c r="J3230" s="390"/>
      <c r="K3230" s="383"/>
      <c r="L3230" s="390"/>
      <c r="M3230" s="978"/>
      <c r="N3230" s="79"/>
      <c r="O3230" s="979"/>
      <c r="P3230" s="79" t="str">
        <f>IF(AND('331-CT'!$E$7=TH!H3230,OR(N3230="331",O3230="331")),"x","")</f>
        <v/>
      </c>
      <c r="Q3230" s="79" t="str">
        <f>IF(AND(B3230='111'!$L$11,OR($N3230=$Q$7,$O3230=$Q$7)),"x","")</f>
        <v/>
      </c>
      <c r="R3230" s="79" t="str">
        <f>IF(AND($N3230=$Q$7,$B3230&lt;'111'!$L$11),"x","")</f>
        <v/>
      </c>
      <c r="S3230" s="79" t="str">
        <f>IF(AND($O3230=$Q$7,$B3230&lt;'111'!$L$11),"x","")</f>
        <v/>
      </c>
      <c r="T3230" s="79" t="str">
        <f>IF(ISERROR(FIND('112'!$M$9,G3230,1)),"",IF((AND(FIND('112'!$M$9,G3230,1)&gt;=1,B3230='112'!$K$9,OR($N3230='112'!$I$6,$O3230='112'!$I$6))),"x",""))</f>
        <v/>
      </c>
      <c r="U3230" s="79" t="str">
        <f>IF(ISERROR(FIND('112'!$M$9,G3230,1)),"",IF((AND(LEFT(G3230,2)=LEFT('112'!$M$9,2),B3230&lt;'112'!$K$9,$N3230='112'!$I$6)),"x",""))</f>
        <v/>
      </c>
      <c r="V3230" s="79" t="str">
        <f>IF(ISERROR(FIND('112'!$M$9,G3230,1)),"",IF((AND(RIGHT(G3230,2)=RIGHT('112'!$M$9,2),B3230&lt;'112'!$K$9,$O3230='112'!$I$6)),"x",""))</f>
        <v/>
      </c>
      <c r="W3230" s="79" t="str">
        <f>IF(AND('341-CT'!$H$9=H3230,OR(LEFT(N3230,3)=$W$7,LEFT(O3230,3)=$W$7)),"x","")</f>
        <v/>
      </c>
      <c r="X3230" s="79" t="str">
        <f>IF(OR(TH!N3230=TH!$X$7,O3230=TH!$X$7),"x","")</f>
        <v/>
      </c>
      <c r="Y3230" s="79" t="str">
        <f>IF(AND(OR(N3230="131",O3230="131"),H3230='131-CT'!$H$9),"x","")</f>
        <v/>
      </c>
      <c r="Z3230" s="79"/>
      <c r="AA3230" s="79" t="str">
        <f>IF(AND(MONTH(E3230)='IN-NX'!$J$5,'IN-NX'!$D$7=D3230),"x","")</f>
        <v/>
      </c>
      <c r="AB3230" s="79" t="str">
        <f>IF(AND(OR(LEFT(TH!N3230,2)="15",LEFT(TH!O3230,2)="15"),LEFT(TH!O3230,3)&lt;&gt;"111",'152-CT'!$J$8=TH!F3230),"x","")</f>
        <v/>
      </c>
      <c r="AC3230" s="79" t="str">
        <f>IF(AND(OR(LEFT(TH!N3230,2)="15",LEFT(TH!O3230,2)="15"),TK!$E$7=TH!F3230),"x","")</f>
        <v/>
      </c>
      <c r="AD3230" s="79" t="str">
        <f>IF(AND(N3230="1521",MONTH(C3230)='BK-NL'!$M$11),"x","")</f>
        <v/>
      </c>
    </row>
    <row r="3231" spans="1:30" ht="16.5" customHeight="1">
      <c r="A3231" s="318" t="str">
        <f>IF(B3231&lt;&gt;"",IF(AND(B3231='IN-TC'!$S$4,OR(TH!N3231="1111",TH!O3231="1111")),TH!D3231,""),"")</f>
        <v/>
      </c>
      <c r="B3231" s="60" t="str">
        <f t="shared" si="389"/>
        <v/>
      </c>
      <c r="C3231" s="75"/>
      <c r="D3231" s="75"/>
      <c r="E3231" s="75"/>
      <c r="F3231" s="69"/>
      <c r="G3231" s="76"/>
      <c r="H3231" s="77"/>
      <c r="I3231" s="383"/>
      <c r="J3231" s="390"/>
      <c r="K3231" s="383"/>
      <c r="L3231" s="390"/>
      <c r="M3231" s="978"/>
      <c r="N3231" s="79"/>
      <c r="O3231" s="979"/>
      <c r="P3231" s="79" t="str">
        <f>IF(AND('331-CT'!$E$7=TH!H3231,OR(N3231="331",O3231="331")),"x","")</f>
        <v/>
      </c>
      <c r="Q3231" s="79" t="str">
        <f>IF(AND(B3231='111'!$L$11,OR($N3231=$Q$7,$O3231=$Q$7)),"x","")</f>
        <v/>
      </c>
      <c r="R3231" s="79" t="str">
        <f>IF(AND($N3231=$Q$7,$B3231&lt;'111'!$L$11),"x","")</f>
        <v/>
      </c>
      <c r="S3231" s="79" t="str">
        <f>IF(AND($O3231=$Q$7,$B3231&lt;'111'!$L$11),"x","")</f>
        <v/>
      </c>
      <c r="T3231" s="79" t="str">
        <f>IF(ISERROR(FIND('112'!$M$9,G3231,1)),"",IF((AND(FIND('112'!$M$9,G3231,1)&gt;=1,B3231='112'!$K$9,OR($N3231='112'!$I$6,$O3231='112'!$I$6))),"x",""))</f>
        <v/>
      </c>
      <c r="U3231" s="79" t="str">
        <f>IF(ISERROR(FIND('112'!$M$9,G3231,1)),"",IF((AND(LEFT(G3231,2)=LEFT('112'!$M$9,2),B3231&lt;'112'!$K$9,$N3231='112'!$I$6)),"x",""))</f>
        <v/>
      </c>
      <c r="V3231" s="79" t="str">
        <f>IF(ISERROR(FIND('112'!$M$9,G3231,1)),"",IF((AND(RIGHT(G3231,2)=RIGHT('112'!$M$9,2),B3231&lt;'112'!$K$9,$O3231='112'!$I$6)),"x",""))</f>
        <v/>
      </c>
      <c r="W3231" s="79" t="str">
        <f>IF(AND('341-CT'!$H$9=H3231,OR(LEFT(N3231,3)=$W$7,LEFT(O3231,3)=$W$7)),"x","")</f>
        <v/>
      </c>
      <c r="X3231" s="79" t="str">
        <f>IF(OR(TH!N3231=TH!$X$7,O3231=TH!$X$7),"x","")</f>
        <v/>
      </c>
      <c r="Y3231" s="79" t="str">
        <f>IF(AND(OR(N3231="131",O3231="131"),H3231='131-CT'!$H$9),"x","")</f>
        <v/>
      </c>
      <c r="Z3231" s="79"/>
      <c r="AA3231" s="79" t="str">
        <f>IF(AND(MONTH(E3231)='IN-NX'!$J$5,'IN-NX'!$D$7=D3231),"x","")</f>
        <v/>
      </c>
      <c r="AB3231" s="79" t="str">
        <f>IF(AND(OR(LEFT(TH!N3231,2)="15",LEFT(TH!O3231,2)="15"),LEFT(TH!O3231,3)&lt;&gt;"111",'152-CT'!$J$8=TH!F3231),"x","")</f>
        <v/>
      </c>
      <c r="AC3231" s="79" t="str">
        <f>IF(AND(OR(LEFT(TH!N3231,2)="15",LEFT(TH!O3231,2)="15"),TK!$E$7=TH!F3231),"x","")</f>
        <v/>
      </c>
      <c r="AD3231" s="79" t="str">
        <f>IF(AND(N3231="1521",MONTH(C3231)='BK-NL'!$M$11),"x","")</f>
        <v/>
      </c>
    </row>
    <row r="3232" spans="1:30" ht="16.5" customHeight="1">
      <c r="A3232" s="318" t="str">
        <f>IF(B3232&lt;&gt;"",IF(AND(B3232='IN-TC'!$S$4,OR(TH!N3232="1111",TH!O3232="1111")),TH!D3232,""),"")</f>
        <v/>
      </c>
      <c r="B3232" s="60" t="str">
        <f t="shared" si="389"/>
        <v/>
      </c>
      <c r="C3232" s="75"/>
      <c r="D3232" s="75"/>
      <c r="E3232" s="75"/>
      <c r="F3232" s="69"/>
      <c r="G3232" s="76"/>
      <c r="H3232" s="77"/>
      <c r="I3232" s="383"/>
      <c r="J3232" s="390"/>
      <c r="K3232" s="1247"/>
      <c r="L3232" s="390"/>
      <c r="M3232" s="978"/>
      <c r="N3232" s="79"/>
      <c r="O3232" s="79"/>
      <c r="P3232" s="79" t="str">
        <f>IF(AND('331-CT'!$E$7=TH!H3232,OR(N3232="331",O3232="331")),"x","")</f>
        <v/>
      </c>
      <c r="Q3232" s="79" t="str">
        <f>IF(AND(B3232='111'!$L$11,OR($N3232=$Q$7,$O3232=$Q$7)),"x","")</f>
        <v/>
      </c>
      <c r="R3232" s="79" t="str">
        <f>IF(AND($N3232=$Q$7,$B3232&lt;'111'!$L$11),"x","")</f>
        <v/>
      </c>
      <c r="S3232" s="79" t="str">
        <f>IF(AND($O3232=$Q$7,$B3232&lt;'111'!$L$11),"x","")</f>
        <v/>
      </c>
      <c r="T3232" s="79" t="str">
        <f>IF(ISERROR(FIND('112'!$M$9,G3232,1)),"",IF((AND(FIND('112'!$M$9,G3232,1)&gt;=1,B3232='112'!$K$9,OR($N3232='112'!$I$6,$O3232='112'!$I$6))),"x",""))</f>
        <v/>
      </c>
      <c r="U3232" s="79" t="str">
        <f>IF(ISERROR(FIND('112'!$M$9,G3232,1)),"",IF((AND(LEFT(G3232,2)=LEFT('112'!$M$9,2),B3232&lt;'112'!$K$9,$N3232='112'!$I$6)),"x",""))</f>
        <v/>
      </c>
      <c r="V3232" s="79" t="str">
        <f>IF(ISERROR(FIND('112'!$M$9,G3232,1)),"",IF((AND(RIGHT(G3232,2)=RIGHT('112'!$M$9,2),B3232&lt;'112'!$K$9,$O3232='112'!$I$6)),"x",""))</f>
        <v/>
      </c>
      <c r="W3232" s="79" t="str">
        <f>IF(AND('341-CT'!$H$9=H3232,OR(LEFT(N3232,3)=$W$7,LEFT(O3232,3)=$W$7)),"x","")</f>
        <v/>
      </c>
      <c r="X3232" s="79" t="str">
        <f>IF(OR(TH!N3232=TH!$X$7,O3232=TH!$X$7),"x","")</f>
        <v/>
      </c>
      <c r="Y3232" s="79" t="str">
        <f>IF(AND(OR(N3232="131",O3232="131"),H3232='131-CT'!$H$9),"x","")</f>
        <v/>
      </c>
      <c r="Z3232" s="79"/>
      <c r="AA3232" s="79" t="str">
        <f>IF(AND(MONTH(E3232)='IN-NX'!$J$5,'IN-NX'!$D$7=D3232),"x","")</f>
        <v/>
      </c>
      <c r="AB3232" s="79" t="str">
        <f>IF(AND(OR(LEFT(TH!N3232,2)="15",LEFT(TH!O3232,2)="15"),LEFT(TH!O3232,3)&lt;&gt;"111",'152-CT'!$J$8=TH!F3232),"x","")</f>
        <v/>
      </c>
      <c r="AC3232" s="79" t="str">
        <f>IF(AND(OR(LEFT(TH!N3232,2)="15",LEFT(TH!O3232,2)="15"),TK!$E$7=TH!F3232),"x","")</f>
        <v/>
      </c>
      <c r="AD3232" s="79" t="str">
        <f>IF(AND(N3232="1521",MONTH(C3232)='BK-NL'!$M$11),"x","")</f>
        <v/>
      </c>
    </row>
    <row r="3233" spans="1:30" ht="16.5" customHeight="1">
      <c r="A3233" s="318" t="str">
        <f>IF(B3233&lt;&gt;"",IF(AND(B3233='IN-TC'!$S$4,OR(TH!N3233="1111",TH!O3233="1111")),TH!D3233,""),"")</f>
        <v/>
      </c>
      <c r="B3233" s="60" t="str">
        <f t="shared" si="389"/>
        <v/>
      </c>
      <c r="C3233" s="75"/>
      <c r="D3233" s="75"/>
      <c r="E3233" s="75"/>
      <c r="F3233" s="69"/>
      <c r="G3233" s="76"/>
      <c r="H3233" s="77"/>
      <c r="I3233" s="383"/>
      <c r="J3233" s="390"/>
      <c r="K3233" s="1247"/>
      <c r="L3233" s="390"/>
      <c r="M3233" s="978"/>
      <c r="N3233" s="79"/>
      <c r="O3233" s="79"/>
      <c r="P3233" s="79" t="str">
        <f>IF(AND('331-CT'!$E$7=TH!H3233,OR(N3233="331",O3233="331")),"x","")</f>
        <v/>
      </c>
      <c r="Q3233" s="79" t="str">
        <f>IF(AND(B3233='111'!$L$11,OR($N3233=$Q$7,$O3233=$Q$7)),"x","")</f>
        <v/>
      </c>
      <c r="R3233" s="79" t="str">
        <f>IF(AND($N3233=$Q$7,$B3233&lt;'111'!$L$11),"x","")</f>
        <v/>
      </c>
      <c r="S3233" s="79" t="str">
        <f>IF(AND($O3233=$Q$7,$B3233&lt;'111'!$L$11),"x","")</f>
        <v/>
      </c>
      <c r="T3233" s="79" t="str">
        <f>IF(ISERROR(FIND('112'!$M$9,G3233,1)),"",IF((AND(FIND('112'!$M$9,G3233,1)&gt;=1,B3233='112'!$K$9,OR($N3233='112'!$I$6,$O3233='112'!$I$6))),"x",""))</f>
        <v/>
      </c>
      <c r="U3233" s="79" t="str">
        <f>IF(ISERROR(FIND('112'!$M$9,G3233,1)),"",IF((AND(LEFT(G3233,2)=LEFT('112'!$M$9,2),B3233&lt;'112'!$K$9,$N3233='112'!$I$6)),"x",""))</f>
        <v/>
      </c>
      <c r="V3233" s="79" t="str">
        <f>IF(ISERROR(FIND('112'!$M$9,G3233,1)),"",IF((AND(RIGHT(G3233,2)=RIGHT('112'!$M$9,2),B3233&lt;'112'!$K$9,$O3233='112'!$I$6)),"x",""))</f>
        <v/>
      </c>
      <c r="W3233" s="79" t="str">
        <f>IF(AND('341-CT'!$H$9=H3233,OR(LEFT(N3233,3)=$W$7,LEFT(O3233,3)=$W$7)),"x","")</f>
        <v/>
      </c>
      <c r="X3233" s="79" t="str">
        <f>IF(OR(TH!N3233=TH!$X$7,O3233=TH!$X$7),"x","")</f>
        <v/>
      </c>
      <c r="Y3233" s="79" t="str">
        <f>IF(AND(OR(N3233="131",O3233="131"),H3233='131-CT'!$H$9),"x","")</f>
        <v/>
      </c>
      <c r="Z3233" s="79"/>
      <c r="AA3233" s="79" t="str">
        <f>IF(AND(MONTH(E3233)='IN-NX'!$J$5,'IN-NX'!$D$7=D3233),"x","")</f>
        <v/>
      </c>
      <c r="AB3233" s="79" t="str">
        <f>IF(AND(OR(LEFT(TH!N3233,2)="15",LEFT(TH!O3233,2)="15"),LEFT(TH!O3233,3)&lt;&gt;"111",'152-CT'!$J$8=TH!F3233),"x","")</f>
        <v/>
      </c>
      <c r="AC3233" s="79" t="str">
        <f>IF(AND(OR(LEFT(TH!N3233,2)="15",LEFT(TH!O3233,2)="15"),TK!$E$7=TH!F3233),"x","")</f>
        <v/>
      </c>
      <c r="AD3233" s="79" t="str">
        <f>IF(AND(N3233="1521",MONTH(C3233)='BK-NL'!$M$11),"x","")</f>
        <v/>
      </c>
    </row>
    <row r="3234" spans="1:30" ht="16.5" customHeight="1">
      <c r="A3234" s="318" t="str">
        <f>IF(B3234&lt;&gt;"",IF(AND(B3234='IN-TC'!$S$4,OR(TH!N3234="1111",TH!O3234="1111")),TH!D3234,""),"")</f>
        <v/>
      </c>
      <c r="B3234" s="60" t="str">
        <f t="shared" si="389"/>
        <v/>
      </c>
      <c r="C3234" s="75"/>
      <c r="D3234" s="75"/>
      <c r="E3234" s="75"/>
      <c r="F3234" s="69"/>
      <c r="G3234" s="76"/>
      <c r="H3234" s="77"/>
      <c r="I3234" s="383"/>
      <c r="J3234" s="390"/>
      <c r="K3234" s="383"/>
      <c r="L3234" s="390"/>
      <c r="M3234" s="978"/>
      <c r="N3234" s="79"/>
      <c r="O3234" s="979"/>
      <c r="P3234" s="79" t="str">
        <f>IF(AND('331-CT'!$E$7=TH!H3234,OR(N3234="331",O3234="331")),"x","")</f>
        <v/>
      </c>
      <c r="Q3234" s="79" t="str">
        <f>IF(AND(B3234='111'!$L$11,OR($N3234=$Q$7,$O3234=$Q$7)),"x","")</f>
        <v/>
      </c>
      <c r="R3234" s="79" t="str">
        <f>IF(AND($N3234=$Q$7,$B3234&lt;'111'!$L$11),"x","")</f>
        <v/>
      </c>
      <c r="S3234" s="79" t="str">
        <f>IF(AND($O3234=$Q$7,$B3234&lt;'111'!$L$11),"x","")</f>
        <v/>
      </c>
      <c r="T3234" s="79" t="str">
        <f>IF(ISERROR(FIND('112'!$M$9,G3234,1)),"",IF((AND(FIND('112'!$M$9,G3234,1)&gt;=1,B3234='112'!$K$9,OR($N3234='112'!$I$6,$O3234='112'!$I$6))),"x",""))</f>
        <v/>
      </c>
      <c r="U3234" s="79" t="str">
        <f>IF(ISERROR(FIND('112'!$M$9,G3234,1)),"",IF((AND(LEFT(G3234,2)=LEFT('112'!$M$9,2),B3234&lt;'112'!$K$9,$N3234='112'!$I$6)),"x",""))</f>
        <v/>
      </c>
      <c r="V3234" s="79" t="str">
        <f>IF(ISERROR(FIND('112'!$M$9,G3234,1)),"",IF((AND(RIGHT(G3234,2)=RIGHT('112'!$M$9,2),B3234&lt;'112'!$K$9,$O3234='112'!$I$6)),"x",""))</f>
        <v/>
      </c>
      <c r="W3234" s="79" t="str">
        <f>IF(AND('341-CT'!$H$9=H3234,OR(LEFT(N3234,3)=$W$7,LEFT(O3234,3)=$W$7)),"x","")</f>
        <v/>
      </c>
      <c r="X3234" s="79" t="str">
        <f>IF(OR(TH!N3234=TH!$X$7,O3234=TH!$X$7),"x","")</f>
        <v/>
      </c>
      <c r="Y3234" s="79" t="str">
        <f>IF(AND(OR(N3234="131",O3234="131"),H3234='131-CT'!$H$9),"x","")</f>
        <v/>
      </c>
      <c r="Z3234" s="79"/>
      <c r="AA3234" s="79" t="str">
        <f>IF(AND(MONTH(E3234)='IN-NX'!$J$5,'IN-NX'!$D$7=D3234),"x","")</f>
        <v/>
      </c>
      <c r="AB3234" s="79" t="str">
        <f>IF(AND(OR(LEFT(TH!N3234,2)="15",LEFT(TH!O3234,2)="15"),LEFT(TH!O3234,3)&lt;&gt;"111",'152-CT'!$J$8=TH!F3234),"x","")</f>
        <v/>
      </c>
      <c r="AC3234" s="79" t="str">
        <f>IF(AND(OR(LEFT(TH!N3234,2)="15",LEFT(TH!O3234,2)="15"),TK!$E$7=TH!F3234),"x","")</f>
        <v/>
      </c>
      <c r="AD3234" s="79" t="str">
        <f>IF(AND(N3234="1521",MONTH(C3234)='BK-NL'!$M$11),"x","")</f>
        <v/>
      </c>
    </row>
    <row r="3235" spans="1:30" ht="16.5" customHeight="1">
      <c r="A3235" s="318" t="str">
        <f>IF(B3235&lt;&gt;"",IF(AND(B3235='IN-TC'!$S$4,OR(TH!N3235="1111",TH!O3235="1111")),TH!D3235,""),"")</f>
        <v/>
      </c>
      <c r="B3235" s="60" t="str">
        <f t="shared" si="389"/>
        <v/>
      </c>
      <c r="C3235" s="75"/>
      <c r="D3235" s="75"/>
      <c r="E3235" s="75"/>
      <c r="F3235" s="69"/>
      <c r="G3235" s="76"/>
      <c r="H3235" s="77"/>
      <c r="I3235" s="383"/>
      <c r="J3235" s="390"/>
      <c r="K3235" s="383"/>
      <c r="L3235" s="390"/>
      <c r="M3235" s="978"/>
      <c r="N3235" s="79"/>
      <c r="O3235" s="979"/>
      <c r="P3235" s="79" t="str">
        <f>IF(AND('331-CT'!$E$7=TH!H3235,OR(N3235="331",O3235="331")),"x","")</f>
        <v/>
      </c>
      <c r="Q3235" s="79" t="str">
        <f>IF(AND(B3235='111'!$L$11,OR($N3235=$Q$7,$O3235=$Q$7)),"x","")</f>
        <v/>
      </c>
      <c r="R3235" s="79" t="str">
        <f>IF(AND($N3235=$Q$7,$B3235&lt;'111'!$L$11),"x","")</f>
        <v/>
      </c>
      <c r="S3235" s="79" t="str">
        <f>IF(AND($O3235=$Q$7,$B3235&lt;'111'!$L$11),"x","")</f>
        <v/>
      </c>
      <c r="T3235" s="79" t="str">
        <f>IF(ISERROR(FIND('112'!$M$9,G3235,1)),"",IF((AND(FIND('112'!$M$9,G3235,1)&gt;=1,B3235='112'!$K$9,OR($N3235='112'!$I$6,$O3235='112'!$I$6))),"x",""))</f>
        <v/>
      </c>
      <c r="U3235" s="79" t="str">
        <f>IF(ISERROR(FIND('112'!$M$9,G3235,1)),"",IF((AND(LEFT(G3235,2)=LEFT('112'!$M$9,2),B3235&lt;'112'!$K$9,$N3235='112'!$I$6)),"x",""))</f>
        <v/>
      </c>
      <c r="V3235" s="79" t="str">
        <f>IF(ISERROR(FIND('112'!$M$9,G3235,1)),"",IF((AND(RIGHT(G3235,2)=RIGHT('112'!$M$9,2),B3235&lt;'112'!$K$9,$O3235='112'!$I$6)),"x",""))</f>
        <v/>
      </c>
      <c r="W3235" s="79" t="str">
        <f>IF(AND('341-CT'!$H$9=H3235,OR(LEFT(N3235,3)=$W$7,LEFT(O3235,3)=$W$7)),"x","")</f>
        <v/>
      </c>
      <c r="X3235" s="79" t="str">
        <f>IF(OR(TH!N3235=TH!$X$7,O3235=TH!$X$7),"x","")</f>
        <v/>
      </c>
      <c r="Y3235" s="79" t="str">
        <f>IF(AND(OR(N3235="131",O3235="131"),H3235='131-CT'!$H$9),"x","")</f>
        <v/>
      </c>
      <c r="Z3235" s="79"/>
      <c r="AA3235" s="79" t="str">
        <f>IF(AND(MONTH(E3235)='IN-NX'!$J$5,'IN-NX'!$D$7=D3235),"x","")</f>
        <v/>
      </c>
      <c r="AB3235" s="79" t="str">
        <f>IF(AND(OR(LEFT(TH!N3235,2)="15",LEFT(TH!O3235,2)="15"),LEFT(TH!O3235,3)&lt;&gt;"111",'152-CT'!$J$8=TH!F3235),"x","")</f>
        <v/>
      </c>
      <c r="AC3235" s="79" t="str">
        <f>IF(AND(OR(LEFT(TH!N3235,2)="15",LEFT(TH!O3235,2)="15"),TK!$E$7=TH!F3235),"x","")</f>
        <v/>
      </c>
      <c r="AD3235" s="79" t="str">
        <f>IF(AND(N3235="1521",MONTH(C3235)='BK-NL'!$M$11),"x","")</f>
        <v/>
      </c>
    </row>
    <row r="3236" spans="1:30" ht="16.5" customHeight="1">
      <c r="A3236" s="318" t="str">
        <f>IF(B3236&lt;&gt;"",IF(AND(B3236='IN-TC'!$S$4,OR(TH!N3236="1111",TH!O3236="1111")),TH!D3236,""),"")</f>
        <v/>
      </c>
      <c r="B3236" s="60" t="str">
        <f t="shared" si="389"/>
        <v/>
      </c>
      <c r="C3236" s="75"/>
      <c r="D3236" s="75"/>
      <c r="E3236" s="75"/>
      <c r="F3236" s="69"/>
      <c r="G3236" s="76"/>
      <c r="H3236" s="77"/>
      <c r="I3236" s="383"/>
      <c r="J3236" s="390"/>
      <c r="K3236" s="383"/>
      <c r="L3236" s="390"/>
      <c r="M3236" s="78"/>
      <c r="N3236" s="79"/>
      <c r="O3236" s="79"/>
      <c r="P3236" s="79" t="str">
        <f>IF(AND('331-CT'!$E$7=TH!H3236,OR(N3236="331",O3236="331")),"x","")</f>
        <v/>
      </c>
      <c r="Q3236" s="79" t="str">
        <f>IF(AND(B3236='111'!$L$11,OR($N3236=$Q$7,$O3236=$Q$7)),"x","")</f>
        <v/>
      </c>
      <c r="R3236" s="79" t="str">
        <f>IF(AND($N3236=$Q$7,$B3236&lt;'111'!$L$11),"x","")</f>
        <v/>
      </c>
      <c r="S3236" s="79" t="str">
        <f>IF(AND($O3236=$Q$7,$B3236&lt;'111'!$L$11),"x","")</f>
        <v/>
      </c>
      <c r="T3236" s="79" t="str">
        <f>IF(ISERROR(FIND('112'!$M$9,G3236,1)),"",IF((AND(FIND('112'!$M$9,G3236,1)&gt;=1,B3236='112'!$K$9,OR($N3236='112'!$I$6,$O3236='112'!$I$6))),"x",""))</f>
        <v/>
      </c>
      <c r="U3236" s="79" t="str">
        <f>IF(ISERROR(FIND('112'!$M$9,G3236,1)),"",IF((AND(LEFT(G3236,2)=LEFT('112'!$M$9,2),B3236&lt;'112'!$K$9,$N3236='112'!$I$6)),"x",""))</f>
        <v/>
      </c>
      <c r="V3236" s="79" t="str">
        <f>IF(ISERROR(FIND('112'!$M$9,G3236,1)),"",IF((AND(RIGHT(G3236,2)=RIGHT('112'!$M$9,2),B3236&lt;'112'!$K$9,$O3236='112'!$I$6)),"x",""))</f>
        <v/>
      </c>
      <c r="W3236" s="79" t="str">
        <f>IF(AND('341-CT'!$H$9=H3236,OR(LEFT(N3236,3)=$W$7,LEFT(O3236,3)=$W$7)),"x","")</f>
        <v/>
      </c>
      <c r="X3236" s="79" t="str">
        <f>IF(OR(TH!N3236=TH!$X$7,O3236=TH!$X$7),"x","")</f>
        <v/>
      </c>
      <c r="Y3236" s="79" t="str">
        <f>IF(AND(OR(N3236="131",O3236="131"),H3236='131-CT'!$H$9),"x","")</f>
        <v/>
      </c>
      <c r="Z3236" s="79"/>
      <c r="AA3236" s="79" t="str">
        <f>IF(AND(MONTH(E3236)='IN-NX'!$J$5,'IN-NX'!$D$7=D3236),"x","")</f>
        <v/>
      </c>
      <c r="AB3236" s="79" t="str">
        <f>IF(AND(OR(LEFT(TH!N3236,2)="15",LEFT(TH!O3236,2)="15"),LEFT(TH!O3236,3)&lt;&gt;"111",'152-CT'!$J$8=TH!F3236),"x","")</f>
        <v/>
      </c>
      <c r="AC3236" s="79" t="str">
        <f>IF(AND(OR(LEFT(TH!N3236,2)="15",LEFT(TH!O3236,2)="15"),TK!$E$7=TH!F3236),"x","")</f>
        <v/>
      </c>
      <c r="AD3236" s="79" t="str">
        <f>IF(AND(N3236="1521",MONTH(C3236)='BK-NL'!$M$11),"x","")</f>
        <v/>
      </c>
    </row>
    <row r="3237" spans="1:30" ht="16.5" customHeight="1">
      <c r="A3237" s="318" t="str">
        <f>IF(B3237&lt;&gt;"",IF(AND(B3237='IN-TC'!$S$4,OR(TH!N3237="1111",TH!O3237="1111")),TH!D3237,""),"")</f>
        <v/>
      </c>
      <c r="B3237" s="60" t="str">
        <f t="shared" si="389"/>
        <v/>
      </c>
      <c r="C3237" s="75"/>
      <c r="D3237" s="75"/>
      <c r="E3237" s="75"/>
      <c r="F3237" s="69"/>
      <c r="G3237" s="76"/>
      <c r="H3237" s="77"/>
      <c r="I3237" s="383"/>
      <c r="J3237" s="390"/>
      <c r="K3237" s="383"/>
      <c r="L3237" s="390"/>
      <c r="M3237" s="978"/>
      <c r="N3237" s="79"/>
      <c r="O3237" s="979"/>
      <c r="P3237" s="79" t="str">
        <f>IF(AND('331-CT'!$E$7=TH!H3237,OR(N3237="331",O3237="331")),"x","")</f>
        <v/>
      </c>
      <c r="Q3237" s="79" t="str">
        <f>IF(AND(B3237='111'!$L$11,OR($N3237=$Q$7,$O3237=$Q$7)),"x","")</f>
        <v/>
      </c>
      <c r="R3237" s="79" t="str">
        <f>IF(AND($N3237=$Q$7,$B3237&lt;'111'!$L$11),"x","")</f>
        <v/>
      </c>
      <c r="S3237" s="79" t="str">
        <f>IF(AND($O3237=$Q$7,$B3237&lt;'111'!$L$11),"x","")</f>
        <v/>
      </c>
      <c r="T3237" s="79" t="str">
        <f>IF(ISERROR(FIND('112'!$M$9,G3237,1)),"",IF((AND(FIND('112'!$M$9,G3237,1)&gt;=1,B3237='112'!$K$9,OR($N3237='112'!$I$6,$O3237='112'!$I$6))),"x",""))</f>
        <v/>
      </c>
      <c r="U3237" s="79" t="str">
        <f>IF(ISERROR(FIND('112'!$M$9,G3237,1)),"",IF((AND(LEFT(G3237,2)=LEFT('112'!$M$9,2),B3237&lt;'112'!$K$9,$N3237='112'!$I$6)),"x",""))</f>
        <v/>
      </c>
      <c r="V3237" s="79" t="str">
        <f>IF(ISERROR(FIND('112'!$M$9,G3237,1)),"",IF((AND(RIGHT(G3237,2)=RIGHT('112'!$M$9,2),B3237&lt;'112'!$K$9,$O3237='112'!$I$6)),"x",""))</f>
        <v/>
      </c>
      <c r="W3237" s="79" t="str">
        <f>IF(AND('341-CT'!$H$9=H3237,OR(LEFT(N3237,3)=$W$7,LEFT(O3237,3)=$W$7)),"x","")</f>
        <v/>
      </c>
      <c r="X3237" s="79" t="str">
        <f>IF(OR(TH!N3237=TH!$X$7,O3237=TH!$X$7),"x","")</f>
        <v/>
      </c>
      <c r="Y3237" s="79" t="str">
        <f>IF(AND(OR(N3237="131",O3237="131"),H3237='131-CT'!$H$9),"x","")</f>
        <v/>
      </c>
      <c r="Z3237" s="79"/>
      <c r="AA3237" s="79" t="str">
        <f>IF(AND(MONTH(E3237)='IN-NX'!$J$5,'IN-NX'!$D$7=D3237),"x","")</f>
        <v/>
      </c>
      <c r="AB3237" s="79" t="str">
        <f>IF(AND(OR(LEFT(TH!N3237,2)="15",LEFT(TH!O3237,2)="15"),LEFT(TH!O3237,3)&lt;&gt;"111",'152-CT'!$J$8=TH!F3237),"x","")</f>
        <v/>
      </c>
      <c r="AC3237" s="79" t="str">
        <f>IF(AND(OR(LEFT(TH!N3237,2)="15",LEFT(TH!O3237,2)="15"),TK!$E$7=TH!F3237),"x","")</f>
        <v/>
      </c>
      <c r="AD3237" s="79" t="str">
        <f>IF(AND(N3237="1521",MONTH(C3237)='BK-NL'!$M$11),"x","")</f>
        <v/>
      </c>
    </row>
    <row r="3238" spans="1:30" ht="16.5" customHeight="1">
      <c r="A3238" s="318" t="str">
        <f>IF(B3238&lt;&gt;"",IF(AND(B3238='IN-TC'!$S$4,OR(TH!N3238="1111",TH!O3238="1111")),TH!D3238,""),"")</f>
        <v/>
      </c>
      <c r="B3238" s="60" t="str">
        <f t="shared" si="389"/>
        <v/>
      </c>
      <c r="C3238" s="75"/>
      <c r="D3238" s="75"/>
      <c r="E3238" s="75"/>
      <c r="F3238" s="69"/>
      <c r="G3238" s="76"/>
      <c r="H3238" s="77"/>
      <c r="I3238" s="383"/>
      <c r="J3238" s="390"/>
      <c r="K3238" s="383"/>
      <c r="L3238" s="390"/>
      <c r="M3238" s="978"/>
      <c r="N3238" s="79"/>
      <c r="O3238" s="979"/>
      <c r="P3238" s="79" t="str">
        <f>IF(AND('331-CT'!$E$7=TH!H3238,OR(N3238="331",O3238="331")),"x","")</f>
        <v/>
      </c>
      <c r="Q3238" s="79" t="str">
        <f>IF(AND(B3238='111'!$L$11,OR($N3238=$Q$7,$O3238=$Q$7)),"x","")</f>
        <v/>
      </c>
      <c r="R3238" s="79" t="str">
        <f>IF(AND($N3238=$Q$7,$B3238&lt;'111'!$L$11),"x","")</f>
        <v/>
      </c>
      <c r="S3238" s="79" t="str">
        <f>IF(AND($O3238=$Q$7,$B3238&lt;'111'!$L$11),"x","")</f>
        <v/>
      </c>
      <c r="T3238" s="79" t="str">
        <f>IF(ISERROR(FIND('112'!$M$9,G3238,1)),"",IF((AND(FIND('112'!$M$9,G3238,1)&gt;=1,B3238='112'!$K$9,OR($N3238='112'!$I$6,$O3238='112'!$I$6))),"x",""))</f>
        <v/>
      </c>
      <c r="U3238" s="79" t="str">
        <f>IF(ISERROR(FIND('112'!$M$9,G3238,1)),"",IF((AND(LEFT(G3238,2)=LEFT('112'!$M$9,2),B3238&lt;'112'!$K$9,$N3238='112'!$I$6)),"x",""))</f>
        <v/>
      </c>
      <c r="V3238" s="79" t="str">
        <f>IF(ISERROR(FIND('112'!$M$9,G3238,1)),"",IF((AND(RIGHT(G3238,2)=RIGHT('112'!$M$9,2),B3238&lt;'112'!$K$9,$O3238='112'!$I$6)),"x",""))</f>
        <v/>
      </c>
      <c r="W3238" s="79" t="str">
        <f>IF(AND('341-CT'!$H$9=H3238,OR(LEFT(N3238,3)=$W$7,LEFT(O3238,3)=$W$7)),"x","")</f>
        <v/>
      </c>
      <c r="X3238" s="79" t="str">
        <f>IF(OR(TH!N3238=TH!$X$7,O3238=TH!$X$7),"x","")</f>
        <v/>
      </c>
      <c r="Y3238" s="79" t="str">
        <f>IF(AND(OR(N3238="131",O3238="131"),H3238='131-CT'!$H$9),"x","")</f>
        <v/>
      </c>
      <c r="Z3238" s="79"/>
      <c r="AA3238" s="79" t="str">
        <f>IF(AND(MONTH(E3238)='IN-NX'!$J$5,'IN-NX'!$D$7=D3238),"x","")</f>
        <v/>
      </c>
      <c r="AB3238" s="79" t="str">
        <f>IF(AND(OR(LEFT(TH!N3238,2)="15",LEFT(TH!O3238,2)="15"),LEFT(TH!O3238,3)&lt;&gt;"111",'152-CT'!$J$8=TH!F3238),"x","")</f>
        <v/>
      </c>
      <c r="AC3238" s="79" t="str">
        <f>IF(AND(OR(LEFT(TH!N3238,2)="15",LEFT(TH!O3238,2)="15"),TK!$E$7=TH!F3238),"x","")</f>
        <v/>
      </c>
      <c r="AD3238" s="79" t="str">
        <f>IF(AND(N3238="1521",MONTH(C3238)='BK-NL'!$M$11),"x","")</f>
        <v/>
      </c>
    </row>
    <row r="3239" spans="1:30" ht="16.5" customHeight="1">
      <c r="A3239" s="318" t="str">
        <f>IF(B3239&lt;&gt;"",IF(AND(B3239='IN-TC'!$S$4,OR(TH!N3239="1111",TH!O3239="1111")),TH!D3239,""),"")</f>
        <v/>
      </c>
      <c r="B3239" s="60" t="str">
        <f t="shared" si="389"/>
        <v/>
      </c>
      <c r="C3239" s="75"/>
      <c r="D3239" s="75"/>
      <c r="E3239" s="75"/>
      <c r="F3239" s="69"/>
      <c r="G3239" s="76"/>
      <c r="H3239" s="77"/>
      <c r="I3239" s="383"/>
      <c r="J3239" s="390"/>
      <c r="K3239" s="383"/>
      <c r="L3239" s="390"/>
      <c r="M3239" s="78"/>
      <c r="N3239" s="79"/>
      <c r="O3239" s="79"/>
      <c r="P3239" s="79" t="str">
        <f>IF(AND('331-CT'!$E$7=TH!H3239,OR(N3239="331",O3239="331")),"x","")</f>
        <v/>
      </c>
      <c r="Q3239" s="79" t="str">
        <f>IF(AND(B3239='111'!$L$11,OR($N3239=$Q$7,$O3239=$Q$7)),"x","")</f>
        <v/>
      </c>
      <c r="R3239" s="79" t="str">
        <f>IF(AND($N3239=$Q$7,$B3239&lt;'111'!$L$11),"x","")</f>
        <v/>
      </c>
      <c r="S3239" s="79" t="str">
        <f>IF(AND($O3239=$Q$7,$B3239&lt;'111'!$L$11),"x","")</f>
        <v/>
      </c>
      <c r="T3239" s="79" t="str">
        <f>IF(ISERROR(FIND('112'!$M$9,G3239,1)),"",IF((AND(FIND('112'!$M$9,G3239,1)&gt;=1,B3239='112'!$K$9,OR($N3239='112'!$I$6,$O3239='112'!$I$6))),"x",""))</f>
        <v/>
      </c>
      <c r="U3239" s="79" t="str">
        <f>IF(ISERROR(FIND('112'!$M$9,G3239,1)),"",IF((AND(LEFT(G3239,2)=LEFT('112'!$M$9,2),B3239&lt;'112'!$K$9,$N3239='112'!$I$6)),"x",""))</f>
        <v/>
      </c>
      <c r="V3239" s="79" t="str">
        <f>IF(ISERROR(FIND('112'!$M$9,G3239,1)),"",IF((AND(RIGHT(G3239,2)=RIGHT('112'!$M$9,2),B3239&lt;'112'!$K$9,$O3239='112'!$I$6)),"x",""))</f>
        <v/>
      </c>
      <c r="W3239" s="79" t="str">
        <f>IF(AND('341-CT'!$H$9=H3239,OR(LEFT(N3239,3)=$W$7,LEFT(O3239,3)=$W$7)),"x","")</f>
        <v/>
      </c>
      <c r="X3239" s="79" t="str">
        <f>IF(OR(TH!N3239=TH!$X$7,O3239=TH!$X$7),"x","")</f>
        <v/>
      </c>
      <c r="Y3239" s="79" t="str">
        <f>IF(AND(OR(N3239="131",O3239="131"),H3239='131-CT'!$H$9),"x","")</f>
        <v/>
      </c>
      <c r="Z3239" s="79"/>
      <c r="AA3239" s="79" t="str">
        <f>IF(AND(MONTH(E3239)='IN-NX'!$J$5,'IN-NX'!$D$7=D3239),"x","")</f>
        <v/>
      </c>
      <c r="AB3239" s="79" t="str">
        <f>IF(AND(OR(LEFT(TH!N3239,2)="15",LEFT(TH!O3239,2)="15"),LEFT(TH!O3239,3)&lt;&gt;"111",'152-CT'!$J$8=TH!F3239),"x","")</f>
        <v/>
      </c>
      <c r="AC3239" s="79" t="str">
        <f>IF(AND(OR(LEFT(TH!N3239,2)="15",LEFT(TH!O3239,2)="15"),TK!$E$7=TH!F3239),"x","")</f>
        <v/>
      </c>
      <c r="AD3239" s="79" t="str">
        <f>IF(AND(N3239="1521",MONTH(C3239)='BK-NL'!$M$11),"x","")</f>
        <v/>
      </c>
    </row>
    <row r="3240" spans="1:30" ht="16.5" customHeight="1">
      <c r="A3240" s="318" t="str">
        <f>IF(B3240&lt;&gt;"",IF(AND(B3240='IN-TC'!$S$4,OR(TH!N3240="1111",TH!O3240="1111")),TH!D3240,""),"")</f>
        <v/>
      </c>
      <c r="B3240" s="60" t="str">
        <f t="shared" si="389"/>
        <v/>
      </c>
      <c r="C3240" s="75"/>
      <c r="D3240" s="75"/>
      <c r="E3240" s="75"/>
      <c r="F3240" s="69"/>
      <c r="G3240" s="76"/>
      <c r="H3240" s="759"/>
      <c r="I3240" s="383"/>
      <c r="J3240" s="390"/>
      <c r="K3240" s="383"/>
      <c r="L3240" s="390"/>
      <c r="M3240" s="978"/>
      <c r="N3240" s="79"/>
      <c r="O3240" s="979"/>
      <c r="P3240" s="79" t="str">
        <f>IF(AND('331-CT'!$E$7=TH!H3240,OR(N3240="331",O3240="331")),"x","")</f>
        <v/>
      </c>
      <c r="Q3240" s="79" t="str">
        <f>IF(AND(B3240='111'!$L$11,OR($N3240=$Q$7,$O3240=$Q$7)),"x","")</f>
        <v/>
      </c>
      <c r="R3240" s="79" t="str">
        <f>IF(AND($N3240=$Q$7,$B3240&lt;'111'!$L$11),"x","")</f>
        <v/>
      </c>
      <c r="S3240" s="79" t="str">
        <f>IF(AND($O3240=$Q$7,$B3240&lt;'111'!$L$11),"x","")</f>
        <v/>
      </c>
      <c r="T3240" s="79" t="str">
        <f>IF(ISERROR(FIND('112'!$M$9,G3240,1)),"",IF((AND(FIND('112'!$M$9,G3240,1)&gt;=1,B3240='112'!$K$9,OR($N3240='112'!$I$6,$O3240='112'!$I$6))),"x",""))</f>
        <v/>
      </c>
      <c r="U3240" s="79" t="str">
        <f>IF(ISERROR(FIND('112'!$M$9,G3240,1)),"",IF((AND(LEFT(G3240,2)=LEFT('112'!$M$9,2),B3240&lt;'112'!$K$9,$N3240='112'!$I$6)),"x",""))</f>
        <v/>
      </c>
      <c r="V3240" s="79" t="str">
        <f>IF(ISERROR(FIND('112'!$M$9,G3240,1)),"",IF((AND(RIGHT(G3240,2)=RIGHT('112'!$M$9,2),B3240&lt;'112'!$K$9,$O3240='112'!$I$6)),"x",""))</f>
        <v/>
      </c>
      <c r="W3240" s="79" t="str">
        <f>IF(AND('341-CT'!$H$9=H3240,OR(LEFT(N3240,3)=$W$7,LEFT(O3240,3)=$W$7)),"x","")</f>
        <v/>
      </c>
      <c r="X3240" s="79" t="str">
        <f>IF(OR(TH!N3240=TH!$X$7,O3240=TH!$X$7),"x","")</f>
        <v/>
      </c>
      <c r="Y3240" s="79" t="str">
        <f>IF(AND(OR(N3240="131",O3240="131"),H3240='131-CT'!$H$9),"x","")</f>
        <v/>
      </c>
      <c r="Z3240" s="79"/>
      <c r="AA3240" s="79" t="str">
        <f>IF(AND(MONTH(E3240)='IN-NX'!$J$5,'IN-NX'!$D$7=D3240),"x","")</f>
        <v/>
      </c>
      <c r="AB3240" s="79" t="str">
        <f>IF(AND(OR(LEFT(TH!N3240,2)="15",LEFT(TH!O3240,2)="15"),LEFT(TH!O3240,3)&lt;&gt;"111",'152-CT'!$J$8=TH!F3240),"x","")</f>
        <v/>
      </c>
      <c r="AC3240" s="79" t="str">
        <f>IF(AND(OR(LEFT(TH!N3240,2)="15",LEFT(TH!O3240,2)="15"),TK!$E$7=TH!F3240),"x","")</f>
        <v/>
      </c>
      <c r="AD3240" s="79" t="str">
        <f>IF(AND(N3240="1521",MONTH(C3240)='BK-NL'!$M$11),"x","")</f>
        <v/>
      </c>
    </row>
    <row r="3241" spans="1:30" ht="16.5" customHeight="1">
      <c r="A3241" s="318" t="str">
        <f>IF(B3241&lt;&gt;"",IF(AND(B3241='IN-TC'!$S$4,OR(TH!N3241="1111",TH!O3241="1111")),TH!D3241,""),"")</f>
        <v/>
      </c>
      <c r="B3241" s="60" t="str">
        <f t="shared" si="389"/>
        <v/>
      </c>
      <c r="C3241" s="75"/>
      <c r="D3241" s="75"/>
      <c r="E3241" s="75"/>
      <c r="F3241" s="69"/>
      <c r="G3241" s="76"/>
      <c r="H3241" s="759"/>
      <c r="I3241" s="383"/>
      <c r="J3241" s="390"/>
      <c r="K3241" s="383"/>
      <c r="L3241" s="390"/>
      <c r="M3241" s="978"/>
      <c r="N3241" s="79"/>
      <c r="O3241" s="979"/>
      <c r="P3241" s="79" t="str">
        <f>IF(AND('331-CT'!$E$7=TH!H3241,OR(N3241="331",O3241="331")),"x","")</f>
        <v/>
      </c>
      <c r="Q3241" s="79" t="str">
        <f>IF(AND(B3241='111'!$L$11,OR($N3241=$Q$7,$O3241=$Q$7)),"x","")</f>
        <v/>
      </c>
      <c r="R3241" s="79" t="str">
        <f>IF(AND($N3241=$Q$7,$B3241&lt;'111'!$L$11),"x","")</f>
        <v/>
      </c>
      <c r="S3241" s="79" t="str">
        <f>IF(AND($O3241=$Q$7,$B3241&lt;'111'!$L$11),"x","")</f>
        <v/>
      </c>
      <c r="T3241" s="79" t="str">
        <f>IF(ISERROR(FIND('112'!$M$9,G3241,1)),"",IF((AND(FIND('112'!$M$9,G3241,1)&gt;=1,B3241='112'!$K$9,OR($N3241='112'!$I$6,$O3241='112'!$I$6))),"x",""))</f>
        <v/>
      </c>
      <c r="U3241" s="79" t="str">
        <f>IF(ISERROR(FIND('112'!$M$9,G3241,1)),"",IF((AND(LEFT(G3241,2)=LEFT('112'!$M$9,2),B3241&lt;'112'!$K$9,$N3241='112'!$I$6)),"x",""))</f>
        <v/>
      </c>
      <c r="V3241" s="79" t="str">
        <f>IF(ISERROR(FIND('112'!$M$9,G3241,1)),"",IF((AND(RIGHT(G3241,2)=RIGHT('112'!$M$9,2),B3241&lt;'112'!$K$9,$O3241='112'!$I$6)),"x",""))</f>
        <v/>
      </c>
      <c r="W3241" s="79" t="str">
        <f>IF(AND('341-CT'!$H$9=H3241,OR(LEFT(N3241,3)=$W$7,LEFT(O3241,3)=$W$7)),"x","")</f>
        <v/>
      </c>
      <c r="X3241" s="79" t="str">
        <f>IF(OR(TH!N3241=TH!$X$7,O3241=TH!$X$7),"x","")</f>
        <v/>
      </c>
      <c r="Y3241" s="79" t="str">
        <f>IF(AND(OR(N3241="131",O3241="131"),H3241='131-CT'!$H$9),"x","")</f>
        <v/>
      </c>
      <c r="Z3241" s="79"/>
      <c r="AA3241" s="79" t="str">
        <f>IF(AND(MONTH(E3241)='IN-NX'!$J$5,'IN-NX'!$D$7=D3241),"x","")</f>
        <v/>
      </c>
      <c r="AB3241" s="79" t="str">
        <f>IF(AND(OR(LEFT(TH!N3241,2)="15",LEFT(TH!O3241,2)="15"),LEFT(TH!O3241,3)&lt;&gt;"111",'152-CT'!$J$8=TH!F3241),"x","")</f>
        <v/>
      </c>
      <c r="AC3241" s="79" t="str">
        <f>IF(AND(OR(LEFT(TH!N3241,2)="15",LEFT(TH!O3241,2)="15"),TK!$E$7=TH!F3241),"x","")</f>
        <v/>
      </c>
      <c r="AD3241" s="79" t="str">
        <f>IF(AND(N3241="1521",MONTH(C3241)='BK-NL'!$M$11),"x","")</f>
        <v/>
      </c>
    </row>
    <row r="3242" spans="1:30" ht="16.5" customHeight="1">
      <c r="A3242" s="318" t="str">
        <f>IF(B3242&lt;&gt;"",IF(AND(B3242='IN-TC'!$S$4,OR(TH!N3242="1111",TH!O3242="1111")),TH!D3242,""),"")</f>
        <v/>
      </c>
      <c r="B3242" s="60" t="str">
        <f t="shared" si="389"/>
        <v/>
      </c>
      <c r="C3242" s="75"/>
      <c r="D3242" s="75"/>
      <c r="E3242" s="75"/>
      <c r="F3242" s="69"/>
      <c r="G3242" s="76"/>
      <c r="H3242" s="759"/>
      <c r="I3242" s="383"/>
      <c r="J3242" s="390"/>
      <c r="K3242" s="383"/>
      <c r="L3242" s="390"/>
      <c r="M3242" s="78"/>
      <c r="N3242" s="79"/>
      <c r="O3242" s="79"/>
      <c r="P3242" s="79" t="str">
        <f>IF(AND('331-CT'!$E$7=TH!H3242,OR(N3242="331",O3242="331")),"x","")</f>
        <v/>
      </c>
      <c r="Q3242" s="79" t="str">
        <f>IF(AND(B3242='111'!$L$11,OR($N3242=$Q$7,$O3242=$Q$7)),"x","")</f>
        <v/>
      </c>
      <c r="R3242" s="79" t="str">
        <f>IF(AND($N3242=$Q$7,$B3242&lt;'111'!$L$11),"x","")</f>
        <v/>
      </c>
      <c r="S3242" s="79" t="str">
        <f>IF(AND($O3242=$Q$7,$B3242&lt;'111'!$L$11),"x","")</f>
        <v/>
      </c>
      <c r="T3242" s="79" t="str">
        <f>IF(ISERROR(FIND('112'!$M$9,G3242,1)),"",IF((AND(FIND('112'!$M$9,G3242,1)&gt;=1,B3242='112'!$K$9,OR($N3242='112'!$I$6,$O3242='112'!$I$6))),"x",""))</f>
        <v/>
      </c>
      <c r="U3242" s="79" t="str">
        <f>IF(ISERROR(FIND('112'!$M$9,G3242,1)),"",IF((AND(LEFT(G3242,2)=LEFT('112'!$M$9,2),B3242&lt;'112'!$K$9,$N3242='112'!$I$6)),"x",""))</f>
        <v/>
      </c>
      <c r="V3242" s="79" t="str">
        <f>IF(ISERROR(FIND('112'!$M$9,G3242,1)),"",IF((AND(RIGHT(G3242,2)=RIGHT('112'!$M$9,2),B3242&lt;'112'!$K$9,$O3242='112'!$I$6)),"x",""))</f>
        <v/>
      </c>
      <c r="W3242" s="79" t="str">
        <f>IF(AND('341-CT'!$H$9=H3242,OR(LEFT(N3242,3)=$W$7,LEFT(O3242,3)=$W$7)),"x","")</f>
        <v/>
      </c>
      <c r="X3242" s="79" t="str">
        <f>IF(OR(TH!N3242=TH!$X$7,O3242=TH!$X$7),"x","")</f>
        <v/>
      </c>
      <c r="Y3242" s="79" t="str">
        <f>IF(AND(OR(N3242="131",O3242="131"),H3242='131-CT'!$H$9),"x","")</f>
        <v/>
      </c>
      <c r="Z3242" s="79"/>
      <c r="AA3242" s="79" t="str">
        <f>IF(AND(MONTH(E3242)='IN-NX'!$J$5,'IN-NX'!$D$7=D3242),"x","")</f>
        <v/>
      </c>
      <c r="AB3242" s="79" t="str">
        <f>IF(AND(OR(LEFT(TH!N3242,2)="15",LEFT(TH!O3242,2)="15"),LEFT(TH!O3242,3)&lt;&gt;"111",'152-CT'!$J$8=TH!F3242),"x","")</f>
        <v/>
      </c>
      <c r="AC3242" s="79" t="str">
        <f>IF(AND(OR(LEFT(TH!N3242,2)="15",LEFT(TH!O3242,2)="15"),TK!$E$7=TH!F3242),"x","")</f>
        <v/>
      </c>
      <c r="AD3242" s="79" t="str">
        <f>IF(AND(N3242="1521",MONTH(C3242)='BK-NL'!$M$11),"x","")</f>
        <v/>
      </c>
    </row>
    <row r="3243" spans="1:30" ht="16.5" customHeight="1">
      <c r="A3243" s="318" t="str">
        <f>IF(B3243&lt;&gt;"",IF(AND(B3243='IN-TC'!$S$4,OR(TH!N3243="1111",TH!O3243="1111")),TH!D3243,""),"")</f>
        <v/>
      </c>
      <c r="B3243" s="60" t="str">
        <f t="shared" si="389"/>
        <v/>
      </c>
      <c r="C3243" s="75"/>
      <c r="D3243" s="75"/>
      <c r="E3243" s="75"/>
      <c r="F3243" s="69"/>
      <c r="G3243" s="76"/>
      <c r="H3243" s="759"/>
      <c r="I3243" s="1247"/>
      <c r="J3243" s="1248"/>
      <c r="K3243" s="1247"/>
      <c r="L3243" s="390"/>
      <c r="M3243" s="978"/>
      <c r="N3243" s="79"/>
      <c r="O3243" s="979"/>
      <c r="P3243" s="79" t="str">
        <f>IF(AND('331-CT'!$E$7=TH!H3243,OR(N3243="331",O3243="331")),"x","")</f>
        <v/>
      </c>
      <c r="Q3243" s="79" t="str">
        <f>IF(AND(B3243='111'!$L$11,OR($N3243=$Q$7,$O3243=$Q$7)),"x","")</f>
        <v/>
      </c>
      <c r="R3243" s="79" t="str">
        <f>IF(AND($N3243=$Q$7,$B3243&lt;'111'!$L$11),"x","")</f>
        <v/>
      </c>
      <c r="S3243" s="79" t="str">
        <f>IF(AND($O3243=$Q$7,$B3243&lt;'111'!$L$11),"x","")</f>
        <v/>
      </c>
      <c r="T3243" s="79" t="str">
        <f>IF(ISERROR(FIND('112'!$M$9,G3243,1)),"",IF((AND(FIND('112'!$M$9,G3243,1)&gt;=1,B3243='112'!$K$9,OR($N3243='112'!$I$6,$O3243='112'!$I$6))),"x",""))</f>
        <v/>
      </c>
      <c r="U3243" s="79" t="str">
        <f>IF(ISERROR(FIND('112'!$M$9,G3243,1)),"",IF((AND(LEFT(G3243,2)=LEFT('112'!$M$9,2),B3243&lt;'112'!$K$9,$N3243='112'!$I$6)),"x",""))</f>
        <v/>
      </c>
      <c r="V3243" s="79" t="str">
        <f>IF(ISERROR(FIND('112'!$M$9,G3243,1)),"",IF((AND(RIGHT(G3243,2)=RIGHT('112'!$M$9,2),B3243&lt;'112'!$K$9,$O3243='112'!$I$6)),"x",""))</f>
        <v/>
      </c>
      <c r="W3243" s="79" t="str">
        <f>IF(AND('341-CT'!$H$9=H3243,OR(LEFT(N3243,3)=$W$7,LEFT(O3243,3)=$W$7)),"x","")</f>
        <v/>
      </c>
      <c r="X3243" s="79" t="str">
        <f>IF(OR(TH!N3243=TH!$X$7,O3243=TH!$X$7),"x","")</f>
        <v/>
      </c>
      <c r="Y3243" s="79" t="str">
        <f>IF(AND(OR(N3243="131",O3243="131"),H3243='131-CT'!$H$9),"x","")</f>
        <v/>
      </c>
      <c r="Z3243" s="79"/>
      <c r="AA3243" s="79" t="str">
        <f>IF(AND(MONTH(E3243)='IN-NX'!$J$5,'IN-NX'!$D$7=D3243),"x","")</f>
        <v/>
      </c>
      <c r="AB3243" s="79" t="str">
        <f>IF(AND(OR(LEFT(TH!N3243,2)="15",LEFT(TH!O3243,2)="15"),LEFT(TH!O3243,3)&lt;&gt;"111",'152-CT'!$J$8=TH!F3243),"x","")</f>
        <v/>
      </c>
      <c r="AC3243" s="79" t="str">
        <f>IF(AND(OR(LEFT(TH!N3243,2)="15",LEFT(TH!O3243,2)="15"),TK!$E$7=TH!F3243),"x","")</f>
        <v/>
      </c>
      <c r="AD3243" s="79" t="str">
        <f>IF(AND(N3243="1521",MONTH(C3243)='BK-NL'!$M$11),"x","")</f>
        <v/>
      </c>
    </row>
    <row r="3244" spans="1:30" ht="16.5" customHeight="1">
      <c r="A3244" s="318" t="str">
        <f>IF(B3244&lt;&gt;"",IF(AND(B3244='IN-TC'!$S$4,OR(TH!N3244="1111",TH!O3244="1111")),TH!D3244,""),"")</f>
        <v/>
      </c>
      <c r="B3244" s="60" t="str">
        <f t="shared" si="389"/>
        <v/>
      </c>
      <c r="C3244" s="75"/>
      <c r="D3244" s="75"/>
      <c r="E3244" s="75"/>
      <c r="F3244" s="69"/>
      <c r="G3244" s="76"/>
      <c r="H3244" s="759"/>
      <c r="I3244" s="383"/>
      <c r="J3244" s="390"/>
      <c r="K3244" s="383"/>
      <c r="L3244" s="390"/>
      <c r="M3244" s="978"/>
      <c r="N3244" s="79"/>
      <c r="O3244" s="979"/>
      <c r="P3244" s="79" t="str">
        <f>IF(AND('331-CT'!$E$7=TH!H3244,OR(N3244="331",O3244="331")),"x","")</f>
        <v/>
      </c>
      <c r="Q3244" s="79" t="str">
        <f>IF(AND(B3244='111'!$L$11,OR($N3244=$Q$7,$O3244=$Q$7)),"x","")</f>
        <v/>
      </c>
      <c r="R3244" s="79" t="str">
        <f>IF(AND($N3244=$Q$7,$B3244&lt;'111'!$L$11),"x","")</f>
        <v/>
      </c>
      <c r="S3244" s="79" t="str">
        <f>IF(AND($O3244=$Q$7,$B3244&lt;'111'!$L$11),"x","")</f>
        <v/>
      </c>
      <c r="T3244" s="79" t="str">
        <f>IF(ISERROR(FIND('112'!$M$9,G3244,1)),"",IF((AND(FIND('112'!$M$9,G3244,1)&gt;=1,B3244='112'!$K$9,OR($N3244='112'!$I$6,$O3244='112'!$I$6))),"x",""))</f>
        <v/>
      </c>
      <c r="U3244" s="79" t="str">
        <f>IF(ISERROR(FIND('112'!$M$9,G3244,1)),"",IF((AND(LEFT(G3244,2)=LEFT('112'!$M$9,2),B3244&lt;'112'!$K$9,$N3244='112'!$I$6)),"x",""))</f>
        <v/>
      </c>
      <c r="V3244" s="79" t="str">
        <f>IF(ISERROR(FIND('112'!$M$9,G3244,1)),"",IF((AND(RIGHT(G3244,2)=RIGHT('112'!$M$9,2),B3244&lt;'112'!$K$9,$O3244='112'!$I$6)),"x",""))</f>
        <v/>
      </c>
      <c r="W3244" s="79" t="str">
        <f>IF(AND('341-CT'!$H$9=H3244,OR(LEFT(N3244,3)=$W$7,LEFT(O3244,3)=$W$7)),"x","")</f>
        <v/>
      </c>
      <c r="X3244" s="79" t="str">
        <f>IF(OR(TH!N3244=TH!$X$7,O3244=TH!$X$7),"x","")</f>
        <v/>
      </c>
      <c r="Y3244" s="79" t="str">
        <f>IF(AND(OR(N3244="131",O3244="131"),H3244='131-CT'!$H$9),"x","")</f>
        <v/>
      </c>
      <c r="Z3244" s="79"/>
      <c r="AA3244" s="79" t="str">
        <f>IF(AND(MONTH(E3244)='IN-NX'!$J$5,'IN-NX'!$D$7=D3244),"x","")</f>
        <v/>
      </c>
      <c r="AB3244" s="79" t="str">
        <f>IF(AND(OR(LEFT(TH!N3244,2)="15",LEFT(TH!O3244,2)="15"),LEFT(TH!O3244,3)&lt;&gt;"111",'152-CT'!$J$8=TH!F3244),"x","")</f>
        <v/>
      </c>
      <c r="AC3244" s="79" t="str">
        <f>IF(AND(OR(LEFT(TH!N3244,2)="15",LEFT(TH!O3244,2)="15"),TK!$E$7=TH!F3244),"x","")</f>
        <v/>
      </c>
      <c r="AD3244" s="79" t="str">
        <f>IF(AND(N3244="1521",MONTH(C3244)='BK-NL'!$M$11),"x","")</f>
        <v/>
      </c>
    </row>
    <row r="3245" spans="1:30" ht="16.5" customHeight="1">
      <c r="A3245" s="318" t="str">
        <f>IF(B3245&lt;&gt;"",IF(AND(B3245='IN-TC'!$S$4,OR(TH!N3245="1111",TH!O3245="1111")),TH!D3245,""),"")</f>
        <v/>
      </c>
      <c r="B3245" s="60" t="str">
        <f t="shared" si="389"/>
        <v/>
      </c>
      <c r="C3245" s="75"/>
      <c r="D3245" s="75"/>
      <c r="E3245" s="75"/>
      <c r="F3245" s="69"/>
      <c r="G3245" s="76"/>
      <c r="H3245" s="759"/>
      <c r="I3245" s="383"/>
      <c r="J3245" s="390"/>
      <c r="K3245" s="383"/>
      <c r="L3245" s="390"/>
      <c r="M3245" s="78"/>
      <c r="N3245" s="79"/>
      <c r="O3245" s="79"/>
      <c r="P3245" s="79" t="str">
        <f>IF(AND('331-CT'!$E$7=TH!H3245,OR(N3245="331",O3245="331")),"x","")</f>
        <v/>
      </c>
      <c r="Q3245" s="79" t="str">
        <f>IF(AND(B3245='111'!$L$11,OR($N3245=$Q$7,$O3245=$Q$7)),"x","")</f>
        <v/>
      </c>
      <c r="R3245" s="79" t="str">
        <f>IF(AND($N3245=$Q$7,$B3245&lt;'111'!$L$11),"x","")</f>
        <v/>
      </c>
      <c r="S3245" s="79" t="str">
        <f>IF(AND($O3245=$Q$7,$B3245&lt;'111'!$L$11),"x","")</f>
        <v/>
      </c>
      <c r="T3245" s="79" t="str">
        <f>IF(ISERROR(FIND('112'!$M$9,G3245,1)),"",IF((AND(FIND('112'!$M$9,G3245,1)&gt;=1,B3245='112'!$K$9,OR($N3245='112'!$I$6,$O3245='112'!$I$6))),"x",""))</f>
        <v/>
      </c>
      <c r="U3245" s="79" t="str">
        <f>IF(ISERROR(FIND('112'!$M$9,G3245,1)),"",IF((AND(LEFT(G3245,2)=LEFT('112'!$M$9,2),B3245&lt;'112'!$K$9,$N3245='112'!$I$6)),"x",""))</f>
        <v/>
      </c>
      <c r="V3245" s="79" t="str">
        <f>IF(ISERROR(FIND('112'!$M$9,G3245,1)),"",IF((AND(RIGHT(G3245,2)=RIGHT('112'!$M$9,2),B3245&lt;'112'!$K$9,$O3245='112'!$I$6)),"x",""))</f>
        <v/>
      </c>
      <c r="W3245" s="79" t="str">
        <f>IF(AND('341-CT'!$H$9=H3245,OR(LEFT(N3245,3)=$W$7,LEFT(O3245,3)=$W$7)),"x","")</f>
        <v/>
      </c>
      <c r="X3245" s="79" t="str">
        <f>IF(OR(TH!N3245=TH!$X$7,O3245=TH!$X$7),"x","")</f>
        <v/>
      </c>
      <c r="Y3245" s="79" t="str">
        <f>IF(AND(OR(N3245="131",O3245="131"),H3245='131-CT'!$H$9),"x","")</f>
        <v/>
      </c>
      <c r="Z3245" s="79"/>
      <c r="AA3245" s="79" t="str">
        <f>IF(AND(MONTH(E3245)='IN-NX'!$J$5,'IN-NX'!$D$7=D3245),"x","")</f>
        <v/>
      </c>
      <c r="AB3245" s="79" t="str">
        <f>IF(AND(OR(LEFT(TH!N3245,2)="15",LEFT(TH!O3245,2)="15"),LEFT(TH!O3245,3)&lt;&gt;"111",'152-CT'!$J$8=TH!F3245),"x","")</f>
        <v/>
      </c>
      <c r="AC3245" s="79" t="str">
        <f>IF(AND(OR(LEFT(TH!N3245,2)="15",LEFT(TH!O3245,2)="15"),TK!$E$7=TH!F3245),"x","")</f>
        <v/>
      </c>
      <c r="AD3245" s="79" t="str">
        <f>IF(AND(N3245="1521",MONTH(C3245)='BK-NL'!$M$11),"x","")</f>
        <v/>
      </c>
    </row>
    <row r="3246" spans="1:30" ht="16.5" customHeight="1">
      <c r="A3246" s="318" t="str">
        <f>IF(B3246&lt;&gt;"",IF(AND(B3246='IN-TC'!$S$4,OR(TH!N3246="1111",TH!O3246="1111")),TH!D3246,""),"")</f>
        <v/>
      </c>
      <c r="B3246" s="60" t="str">
        <f t="shared" si="389"/>
        <v/>
      </c>
      <c r="C3246" s="974"/>
      <c r="D3246" s="75"/>
      <c r="E3246" s="974"/>
      <c r="F3246" s="69"/>
      <c r="G3246" s="975"/>
      <c r="H3246" s="759"/>
      <c r="I3246" s="383"/>
      <c r="J3246" s="390"/>
      <c r="K3246" s="383"/>
      <c r="L3246" s="390"/>
      <c r="M3246" s="978"/>
      <c r="N3246" s="979"/>
      <c r="O3246" s="979"/>
      <c r="P3246" s="79" t="str">
        <f>IF(AND('331-CT'!$E$7=TH!H3246,OR(N3246="331",O3246="331")),"x","")</f>
        <v/>
      </c>
      <c r="Q3246" s="79" t="str">
        <f>IF(AND(B3246='111'!$L$11,OR($N3246=$Q$7,$O3246=$Q$7)),"x","")</f>
        <v/>
      </c>
      <c r="R3246" s="79" t="str">
        <f>IF(AND($N3246=$Q$7,$B3246&lt;'111'!$L$11),"x","")</f>
        <v/>
      </c>
      <c r="S3246" s="79" t="str">
        <f>IF(AND($O3246=$Q$7,$B3246&lt;'111'!$L$11),"x","")</f>
        <v/>
      </c>
      <c r="T3246" s="79" t="str">
        <f>IF(ISERROR(FIND('112'!$M$9,G3246,1)),"",IF((AND(FIND('112'!$M$9,G3246,1)&gt;=1,B3246='112'!$K$9,OR($N3246='112'!$I$6,$O3246='112'!$I$6))),"x",""))</f>
        <v/>
      </c>
      <c r="U3246" s="79" t="str">
        <f>IF(ISERROR(FIND('112'!$M$9,G3246,1)),"",IF((AND(LEFT(G3246,2)=LEFT('112'!$M$9,2),B3246&lt;'112'!$K$9,$N3246='112'!$I$6)),"x",""))</f>
        <v/>
      </c>
      <c r="V3246" s="79" t="str">
        <f>IF(ISERROR(FIND('112'!$M$9,G3246,1)),"",IF((AND(RIGHT(G3246,2)=RIGHT('112'!$M$9,2),B3246&lt;'112'!$K$9,$O3246='112'!$I$6)),"x",""))</f>
        <v/>
      </c>
      <c r="W3246" s="79" t="str">
        <f>IF(AND('341-CT'!$H$9=H3246,OR(LEFT(N3246,3)=$W$7,LEFT(O3246,3)=$W$7)),"x","")</f>
        <v/>
      </c>
      <c r="X3246" s="79" t="str">
        <f>IF(OR(TH!N3246=TH!$X$7,O3246=TH!$X$7),"x","")</f>
        <v/>
      </c>
      <c r="Y3246" s="79" t="str">
        <f>IF(AND(OR(N3246="131",O3246="131"),H3246='131-CT'!$H$9),"x","")</f>
        <v/>
      </c>
      <c r="Z3246" s="79"/>
      <c r="AA3246" s="79" t="str">
        <f>IF(AND(MONTH(E3246)='IN-NX'!$J$5,'IN-NX'!$D$7=D3246),"x","")</f>
        <v/>
      </c>
      <c r="AB3246" s="79" t="str">
        <f>IF(AND(OR(LEFT(TH!N3246,2)="15",LEFT(TH!O3246,2)="15"),LEFT(TH!O3246,3)&lt;&gt;"111",'152-CT'!$J$8=TH!F3246),"x","")</f>
        <v/>
      </c>
      <c r="AC3246" s="79" t="str">
        <f>IF(AND(OR(LEFT(TH!N3246,2)="15",LEFT(TH!O3246,2)="15"),TK!$E$7=TH!F3246),"x","")</f>
        <v/>
      </c>
      <c r="AD3246" s="79" t="str">
        <f>IF(AND(N3246="1521",MONTH(C3246)='BK-NL'!$M$11),"x","")</f>
        <v/>
      </c>
    </row>
    <row r="3247" spans="1:30" ht="16.5" customHeight="1">
      <c r="A3247" s="318" t="str">
        <f>IF(B3247&lt;&gt;"",IF(AND(B3247='IN-TC'!$S$4,OR(TH!N3247="1111",TH!O3247="1111")),TH!D3247,""),"")</f>
        <v/>
      </c>
      <c r="B3247" s="60" t="str">
        <f t="shared" si="389"/>
        <v/>
      </c>
      <c r="C3247" s="75"/>
      <c r="D3247" s="974"/>
      <c r="E3247" s="75"/>
      <c r="F3247" s="69"/>
      <c r="G3247" s="76"/>
      <c r="H3247" s="759"/>
      <c r="I3247" s="383"/>
      <c r="J3247" s="390"/>
      <c r="K3247" s="383"/>
      <c r="L3247" s="390"/>
      <c r="M3247" s="978"/>
      <c r="N3247" s="79"/>
      <c r="O3247" s="979"/>
      <c r="P3247" s="79" t="str">
        <f>IF(AND('331-CT'!$E$7=TH!H3247,OR(N3247="331",O3247="331")),"x","")</f>
        <v/>
      </c>
      <c r="Q3247" s="79" t="str">
        <f>IF(AND(B3247='111'!$L$11,OR($N3247=$Q$7,$O3247=$Q$7)),"x","")</f>
        <v/>
      </c>
      <c r="R3247" s="79" t="str">
        <f>IF(AND($N3247=$Q$7,$B3247&lt;'111'!$L$11),"x","")</f>
        <v/>
      </c>
      <c r="S3247" s="79" t="str">
        <f>IF(AND($O3247=$Q$7,$B3247&lt;'111'!$L$11),"x","")</f>
        <v/>
      </c>
      <c r="T3247" s="79" t="str">
        <f>IF(ISERROR(FIND('112'!$M$9,G3247,1)),"",IF((AND(FIND('112'!$M$9,G3247,1)&gt;=1,B3247='112'!$K$9,OR($N3247='112'!$I$6,$O3247='112'!$I$6))),"x",""))</f>
        <v/>
      </c>
      <c r="U3247" s="79" t="str">
        <f>IF(ISERROR(FIND('112'!$M$9,G3247,1)),"",IF((AND(LEFT(G3247,2)=LEFT('112'!$M$9,2),B3247&lt;'112'!$K$9,$N3247='112'!$I$6)),"x",""))</f>
        <v/>
      </c>
      <c r="V3247" s="79" t="str">
        <f>IF(ISERROR(FIND('112'!$M$9,G3247,1)),"",IF((AND(RIGHT(G3247,2)=RIGHT('112'!$M$9,2),B3247&lt;'112'!$K$9,$O3247='112'!$I$6)),"x",""))</f>
        <v/>
      </c>
      <c r="W3247" s="79" t="str">
        <f>IF(AND('341-CT'!$H$9=H3247,OR(LEFT(N3247,3)=$W$7,LEFT(O3247,3)=$W$7)),"x","")</f>
        <v/>
      </c>
      <c r="X3247" s="79" t="str">
        <f>IF(OR(TH!N3247=TH!$X$7,O3247=TH!$X$7),"x","")</f>
        <v/>
      </c>
      <c r="Y3247" s="79" t="str">
        <f>IF(AND(OR(N3247="131",O3247="131"),H3247='131-CT'!$H$9),"x","")</f>
        <v/>
      </c>
      <c r="Z3247" s="79"/>
      <c r="AA3247" s="79" t="str">
        <f>IF(AND(MONTH(E3247)='IN-NX'!$J$5,'IN-NX'!$D$7=D3247),"x","")</f>
        <v/>
      </c>
      <c r="AB3247" s="79" t="str">
        <f>IF(AND(OR(LEFT(TH!N3247,2)="15",LEFT(TH!O3247,2)="15"),LEFT(TH!O3247,3)&lt;&gt;"111",'152-CT'!$J$8=TH!F3247),"x","")</f>
        <v/>
      </c>
      <c r="AC3247" s="79" t="str">
        <f>IF(AND(OR(LEFT(TH!N3247,2)="15",LEFT(TH!O3247,2)="15"),TK!$E$7=TH!F3247),"x","")</f>
        <v/>
      </c>
      <c r="AD3247" s="79" t="str">
        <f>IF(AND(N3247="1521",MONTH(C3247)='BK-NL'!$M$11),"x","")</f>
        <v/>
      </c>
    </row>
    <row r="3248" spans="1:30" ht="16.5" customHeight="1">
      <c r="A3248" s="318" t="str">
        <f>IF(B3248&lt;&gt;"",IF(AND(B3248='IN-TC'!$S$4,OR(TH!N3248="1111",TH!O3248="1111")),TH!D3248,""),"")</f>
        <v/>
      </c>
      <c r="B3248" s="60" t="str">
        <f t="shared" si="389"/>
        <v/>
      </c>
      <c r="C3248" s="75"/>
      <c r="D3248" s="75"/>
      <c r="E3248" s="75"/>
      <c r="F3248" s="69"/>
      <c r="G3248" s="76"/>
      <c r="H3248" s="77"/>
      <c r="I3248" s="383"/>
      <c r="J3248" s="390"/>
      <c r="K3248" s="383"/>
      <c r="L3248" s="390"/>
      <c r="M3248" s="978"/>
      <c r="N3248" s="79"/>
      <c r="O3248" s="979"/>
      <c r="P3248" s="79" t="str">
        <f>IF(AND('331-CT'!$E$7=TH!H3248,OR(N3248="331",O3248="331")),"x","")</f>
        <v/>
      </c>
      <c r="Q3248" s="79" t="str">
        <f>IF(AND(B3248='111'!$L$11,OR($N3248=$Q$7,$O3248=$Q$7)),"x","")</f>
        <v/>
      </c>
      <c r="R3248" s="79" t="str">
        <f>IF(AND($N3248=$Q$7,$B3248&lt;'111'!$L$11),"x","")</f>
        <v/>
      </c>
      <c r="S3248" s="79" t="str">
        <f>IF(AND($O3248=$Q$7,$B3248&lt;'111'!$L$11),"x","")</f>
        <v/>
      </c>
      <c r="T3248" s="79" t="str">
        <f>IF(ISERROR(FIND('112'!$M$9,G3248,1)),"",IF((AND(FIND('112'!$M$9,G3248,1)&gt;=1,B3248='112'!$K$9,OR($N3248='112'!$I$6,$O3248='112'!$I$6))),"x",""))</f>
        <v/>
      </c>
      <c r="U3248" s="79" t="str">
        <f>IF(ISERROR(FIND('112'!$M$9,G3248,1)),"",IF((AND(LEFT(G3248,2)=LEFT('112'!$M$9,2),B3248&lt;'112'!$K$9,$N3248='112'!$I$6)),"x",""))</f>
        <v/>
      </c>
      <c r="V3248" s="79" t="str">
        <f>IF(ISERROR(FIND('112'!$M$9,G3248,1)),"",IF((AND(RIGHT(G3248,2)=RIGHT('112'!$M$9,2),B3248&lt;'112'!$K$9,$O3248='112'!$I$6)),"x",""))</f>
        <v/>
      </c>
      <c r="W3248" s="79" t="str">
        <f>IF(AND('341-CT'!$H$9=H3248,OR(LEFT(N3248,3)=$W$7,LEFT(O3248,3)=$W$7)),"x","")</f>
        <v/>
      </c>
      <c r="X3248" s="79" t="str">
        <f>IF(OR(TH!N3248=TH!$X$7,O3248=TH!$X$7),"x","")</f>
        <v/>
      </c>
      <c r="Y3248" s="79" t="str">
        <f>IF(AND(OR(N3248="131",O3248="131"),H3248='131-CT'!$H$9),"x","")</f>
        <v/>
      </c>
      <c r="Z3248" s="79"/>
      <c r="AA3248" s="79" t="str">
        <f>IF(AND(MONTH(E3248)='IN-NX'!$J$5,'IN-NX'!$D$7=D3248),"x","")</f>
        <v/>
      </c>
      <c r="AB3248" s="79" t="str">
        <f>IF(AND(OR(LEFT(TH!N3248,2)="15",LEFT(TH!O3248,2)="15"),LEFT(TH!O3248,3)&lt;&gt;"111",'152-CT'!$J$8=TH!F3248),"x","")</f>
        <v/>
      </c>
      <c r="AC3248" s="79" t="str">
        <f>IF(AND(OR(LEFT(TH!N3248,2)="15",LEFT(TH!O3248,2)="15"),TK!$E$7=TH!F3248),"x","")</f>
        <v/>
      </c>
      <c r="AD3248" s="79" t="str">
        <f>IF(AND(N3248="1521",MONTH(C3248)='BK-NL'!$M$11),"x","")</f>
        <v/>
      </c>
    </row>
    <row r="3249" spans="1:30" ht="16.5" customHeight="1">
      <c r="A3249" s="318" t="str">
        <f>IF(B3249&lt;&gt;"",IF(AND(B3249='IN-TC'!$S$4,OR(TH!N3249="1111",TH!O3249="1111")),TH!D3249,""),"")</f>
        <v/>
      </c>
      <c r="B3249" s="60" t="str">
        <f t="shared" si="389"/>
        <v/>
      </c>
      <c r="C3249" s="75"/>
      <c r="D3249" s="75"/>
      <c r="E3249" s="75"/>
      <c r="F3249" s="69"/>
      <c r="G3249" s="76"/>
      <c r="H3249" s="305"/>
      <c r="I3249" s="383"/>
      <c r="J3249" s="390"/>
      <c r="K3249" s="383"/>
      <c r="L3249" s="390"/>
      <c r="M3249" s="978"/>
      <c r="N3249" s="79"/>
      <c r="O3249" s="979"/>
      <c r="P3249" s="79" t="str">
        <f>IF(AND('331-CT'!$E$7=TH!H3249,OR(N3249="331",O3249="331")),"x","")</f>
        <v/>
      </c>
      <c r="Q3249" s="79" t="str">
        <f>IF(AND(B3249='111'!$L$11,OR($N3249=$Q$7,$O3249=$Q$7)),"x","")</f>
        <v/>
      </c>
      <c r="R3249" s="79" t="str">
        <f>IF(AND($N3249=$Q$7,$B3249&lt;'111'!$L$11),"x","")</f>
        <v/>
      </c>
      <c r="S3249" s="79" t="str">
        <f>IF(AND($O3249=$Q$7,$B3249&lt;'111'!$L$11),"x","")</f>
        <v/>
      </c>
      <c r="T3249" s="79" t="str">
        <f>IF(ISERROR(FIND('112'!$M$9,G3249,1)),"",IF((AND(FIND('112'!$M$9,G3249,1)&gt;=1,B3249='112'!$K$9,OR($N3249='112'!$I$6,$O3249='112'!$I$6))),"x",""))</f>
        <v/>
      </c>
      <c r="U3249" s="79" t="str">
        <f>IF(ISERROR(FIND('112'!$M$9,G3249,1)),"",IF((AND(LEFT(G3249,2)=LEFT('112'!$M$9,2),B3249&lt;'112'!$K$9,$N3249='112'!$I$6)),"x",""))</f>
        <v/>
      </c>
      <c r="V3249" s="79" t="str">
        <f>IF(ISERROR(FIND('112'!$M$9,G3249,1)),"",IF((AND(RIGHT(G3249,2)=RIGHT('112'!$M$9,2),B3249&lt;'112'!$K$9,$O3249='112'!$I$6)),"x",""))</f>
        <v/>
      </c>
      <c r="W3249" s="79" t="str">
        <f>IF(AND('341-CT'!$H$9=H3249,OR(LEFT(N3249,3)=$W$7,LEFT(O3249,3)=$W$7)),"x","")</f>
        <v/>
      </c>
      <c r="X3249" s="79" t="str">
        <f>IF(OR(TH!N3249=TH!$X$7,O3249=TH!$X$7),"x","")</f>
        <v/>
      </c>
      <c r="Y3249" s="79" t="str">
        <f>IF(AND(OR(N3249="131",O3249="131"),H3249='131-CT'!$H$9),"x","")</f>
        <v/>
      </c>
      <c r="Z3249" s="79"/>
      <c r="AA3249" s="79" t="str">
        <f>IF(AND(MONTH(E3249)='IN-NX'!$J$5,'IN-NX'!$D$7=D3249),"x","")</f>
        <v/>
      </c>
      <c r="AB3249" s="79" t="str">
        <f>IF(AND(OR(LEFT(TH!N3249,2)="15",LEFT(TH!O3249,2)="15"),LEFT(TH!O3249,3)&lt;&gt;"111",'152-CT'!$J$8=TH!F3249),"x","")</f>
        <v/>
      </c>
      <c r="AC3249" s="79" t="str">
        <f>IF(AND(OR(LEFT(TH!N3249,2)="15",LEFT(TH!O3249,2)="15"),TK!$E$7=TH!F3249),"x","")</f>
        <v/>
      </c>
      <c r="AD3249" s="79" t="str">
        <f>IF(AND(N3249="1521",MONTH(C3249)='BK-NL'!$M$11),"x","")</f>
        <v/>
      </c>
    </row>
    <row r="3250" spans="1:30" ht="16.5" customHeight="1">
      <c r="A3250" s="318" t="str">
        <f>IF(B3250&lt;&gt;"",IF(AND(B3250='IN-TC'!$S$4,OR(TH!N3250="1111",TH!O3250="1111")),TH!D3250,""),"")</f>
        <v/>
      </c>
      <c r="B3250" s="60" t="str">
        <f t="shared" si="389"/>
        <v/>
      </c>
      <c r="C3250" s="75"/>
      <c r="D3250" s="75"/>
      <c r="E3250" s="75"/>
      <c r="F3250" s="69"/>
      <c r="G3250" s="76"/>
      <c r="H3250" s="305"/>
      <c r="I3250" s="383"/>
      <c r="J3250" s="390"/>
      <c r="K3250" s="383"/>
      <c r="L3250" s="390"/>
      <c r="M3250" s="978"/>
      <c r="N3250" s="79"/>
      <c r="O3250" s="79"/>
      <c r="P3250" s="79" t="str">
        <f>IF(AND('331-CT'!$E$7=TH!H3250,OR(N3250="331",O3250="331")),"x","")</f>
        <v/>
      </c>
      <c r="Q3250" s="79" t="str">
        <f>IF(AND(B3250='111'!$L$11,OR($N3250=$Q$7,$O3250=$Q$7)),"x","")</f>
        <v/>
      </c>
      <c r="R3250" s="79" t="str">
        <f>IF(AND($N3250=$Q$7,$B3250&lt;'111'!$L$11),"x","")</f>
        <v/>
      </c>
      <c r="S3250" s="79" t="str">
        <f>IF(AND($O3250=$Q$7,$B3250&lt;'111'!$L$11),"x","")</f>
        <v/>
      </c>
      <c r="T3250" s="79" t="str">
        <f>IF(ISERROR(FIND('112'!$M$9,G3250,1)),"",IF((AND(FIND('112'!$M$9,G3250,1)&gt;=1,B3250='112'!$K$9,OR($N3250='112'!$I$6,$O3250='112'!$I$6))),"x",""))</f>
        <v/>
      </c>
      <c r="U3250" s="79" t="str">
        <f>IF(ISERROR(FIND('112'!$M$9,G3250,1)),"",IF((AND(LEFT(G3250,2)=LEFT('112'!$M$9,2),B3250&lt;'112'!$K$9,$N3250='112'!$I$6)),"x",""))</f>
        <v/>
      </c>
      <c r="V3250" s="79" t="str">
        <f>IF(ISERROR(FIND('112'!$M$9,G3250,1)),"",IF((AND(RIGHT(G3250,2)=RIGHT('112'!$M$9,2),B3250&lt;'112'!$K$9,$O3250='112'!$I$6)),"x",""))</f>
        <v/>
      </c>
      <c r="W3250" s="79" t="str">
        <f>IF(AND('341-CT'!$H$9=H3250,OR(LEFT(N3250,3)=$W$7,LEFT(O3250,3)=$W$7)),"x","")</f>
        <v/>
      </c>
      <c r="X3250" s="79" t="str">
        <f>IF(OR(TH!N3250=TH!$X$7,O3250=TH!$X$7),"x","")</f>
        <v/>
      </c>
      <c r="Y3250" s="79" t="str">
        <f>IF(AND(OR(N3250="131",O3250="131"),H3250='131-CT'!$H$9),"x","")</f>
        <v/>
      </c>
      <c r="Z3250" s="79"/>
      <c r="AA3250" s="79" t="str">
        <f>IF(AND(MONTH(E3250)='IN-NX'!$J$5,'IN-NX'!$D$7=D3250),"x","")</f>
        <v/>
      </c>
      <c r="AB3250" s="79" t="str">
        <f>IF(AND(OR(LEFT(TH!N3250,2)="15",LEFT(TH!O3250,2)="15"),LEFT(TH!O3250,3)&lt;&gt;"111",'152-CT'!$J$8=TH!F3250),"x","")</f>
        <v/>
      </c>
      <c r="AC3250" s="79" t="str">
        <f>IF(AND(OR(LEFT(TH!N3250,2)="15",LEFT(TH!O3250,2)="15"),TK!$E$7=TH!F3250),"x","")</f>
        <v/>
      </c>
      <c r="AD3250" s="79" t="str">
        <f>IF(AND(N3250="1521",MONTH(C3250)='BK-NL'!$M$11),"x","")</f>
        <v/>
      </c>
    </row>
    <row r="3251" spans="1:30" ht="16.5" customHeight="1">
      <c r="A3251" s="318" t="str">
        <f>IF(B3251&lt;&gt;"",IF(AND(B3251='IN-TC'!$S$4,OR(TH!N3251="1111",TH!O3251="1111")),TH!D3251,""),"")</f>
        <v/>
      </c>
      <c r="B3251" s="60" t="str">
        <f t="shared" si="389"/>
        <v/>
      </c>
      <c r="C3251" s="75"/>
      <c r="D3251" s="75"/>
      <c r="E3251" s="75"/>
      <c r="F3251" s="69"/>
      <c r="G3251" s="76"/>
      <c r="H3251" s="305"/>
      <c r="I3251" s="383"/>
      <c r="J3251" s="390"/>
      <c r="K3251" s="383"/>
      <c r="L3251" s="390"/>
      <c r="M3251" s="978"/>
      <c r="N3251" s="79"/>
      <c r="O3251" s="79"/>
      <c r="P3251" s="79" t="str">
        <f>IF(AND('331-CT'!$E$7=TH!H3251,OR(N3251="331",O3251="331")),"x","")</f>
        <v/>
      </c>
      <c r="Q3251" s="79" t="str">
        <f>IF(AND(B3251='111'!$L$11,OR($N3251=$Q$7,$O3251=$Q$7)),"x","")</f>
        <v/>
      </c>
      <c r="R3251" s="79" t="str">
        <f>IF(AND($N3251=$Q$7,$B3251&lt;'111'!$L$11),"x","")</f>
        <v/>
      </c>
      <c r="S3251" s="79" t="str">
        <f>IF(AND($O3251=$Q$7,$B3251&lt;'111'!$L$11),"x","")</f>
        <v/>
      </c>
      <c r="T3251" s="79" t="str">
        <f>IF(ISERROR(FIND('112'!$M$9,G3251,1)),"",IF((AND(FIND('112'!$M$9,G3251,1)&gt;=1,B3251='112'!$K$9,OR($N3251='112'!$I$6,$O3251='112'!$I$6))),"x",""))</f>
        <v/>
      </c>
      <c r="U3251" s="79" t="str">
        <f>IF(ISERROR(FIND('112'!$M$9,G3251,1)),"",IF((AND(LEFT(G3251,2)=LEFT('112'!$M$9,2),B3251&lt;'112'!$K$9,$N3251='112'!$I$6)),"x",""))</f>
        <v/>
      </c>
      <c r="V3251" s="79" t="str">
        <f>IF(ISERROR(FIND('112'!$M$9,G3251,1)),"",IF((AND(RIGHT(G3251,2)=RIGHT('112'!$M$9,2),B3251&lt;'112'!$K$9,$O3251='112'!$I$6)),"x",""))</f>
        <v/>
      </c>
      <c r="W3251" s="79" t="str">
        <f>IF(AND('341-CT'!$H$9=H3251,OR(LEFT(N3251,3)=$W$7,LEFT(O3251,3)=$W$7)),"x","")</f>
        <v/>
      </c>
      <c r="X3251" s="79" t="str">
        <f>IF(OR(TH!N3251=TH!$X$7,O3251=TH!$X$7),"x","")</f>
        <v/>
      </c>
      <c r="Y3251" s="79" t="str">
        <f>IF(AND(OR(N3251="131",O3251="131"),H3251='131-CT'!$H$9),"x","")</f>
        <v/>
      </c>
      <c r="Z3251" s="79"/>
      <c r="AA3251" s="79" t="str">
        <f>IF(AND(MONTH(E3251)='IN-NX'!$J$5,'IN-NX'!$D$7=D3251),"x","")</f>
        <v/>
      </c>
      <c r="AB3251" s="79" t="str">
        <f>IF(AND(OR(LEFT(TH!N3251,2)="15",LEFT(TH!O3251,2)="15"),LEFT(TH!O3251,3)&lt;&gt;"111",'152-CT'!$J$8=TH!F3251),"x","")</f>
        <v/>
      </c>
      <c r="AC3251" s="79" t="str">
        <f>IF(AND(OR(LEFT(TH!N3251,2)="15",LEFT(TH!O3251,2)="15"),TK!$E$7=TH!F3251),"x","")</f>
        <v/>
      </c>
      <c r="AD3251" s="79" t="str">
        <f>IF(AND(N3251="1521",MONTH(C3251)='BK-NL'!$M$11),"x","")</f>
        <v/>
      </c>
    </row>
    <row r="3252" spans="1:30" ht="16.5" customHeight="1">
      <c r="A3252" s="318" t="str">
        <f>IF(B3252&lt;&gt;"",IF(AND(B3252='IN-TC'!$S$4,OR(TH!N3252="1111",TH!O3252="1111")),TH!D3252,""),"")</f>
        <v/>
      </c>
      <c r="B3252" s="60" t="str">
        <f t="shared" si="389"/>
        <v/>
      </c>
      <c r="C3252" s="75"/>
      <c r="D3252" s="75"/>
      <c r="E3252" s="75"/>
      <c r="F3252" s="69"/>
      <c r="G3252" s="76"/>
      <c r="H3252" s="305"/>
      <c r="I3252" s="383"/>
      <c r="J3252" s="390"/>
      <c r="K3252" s="383"/>
      <c r="L3252" s="390"/>
      <c r="M3252" s="978"/>
      <c r="N3252" s="79"/>
      <c r="O3252" s="79"/>
      <c r="P3252" s="79" t="str">
        <f>IF(AND('331-CT'!$E$7=TH!H3252,OR(N3252="331",O3252="331")),"x","")</f>
        <v/>
      </c>
      <c r="Q3252" s="79" t="str">
        <f>IF(AND(B3252='111'!$L$11,OR($N3252=$Q$7,$O3252=$Q$7)),"x","")</f>
        <v/>
      </c>
      <c r="R3252" s="79" t="str">
        <f>IF(AND($N3252=$Q$7,$B3252&lt;'111'!$L$11),"x","")</f>
        <v/>
      </c>
      <c r="S3252" s="79" t="str">
        <f>IF(AND($O3252=$Q$7,$B3252&lt;'111'!$L$11),"x","")</f>
        <v/>
      </c>
      <c r="T3252" s="79" t="str">
        <f>IF(ISERROR(FIND('112'!$M$9,G3252,1)),"",IF((AND(FIND('112'!$M$9,G3252,1)&gt;=1,B3252='112'!$K$9,OR($N3252='112'!$I$6,$O3252='112'!$I$6))),"x",""))</f>
        <v/>
      </c>
      <c r="U3252" s="79" t="str">
        <f>IF(ISERROR(FIND('112'!$M$9,G3252,1)),"",IF((AND(LEFT(G3252,2)=LEFT('112'!$M$9,2),B3252&lt;'112'!$K$9,$N3252='112'!$I$6)),"x",""))</f>
        <v/>
      </c>
      <c r="V3252" s="79" t="str">
        <f>IF(ISERROR(FIND('112'!$M$9,G3252,1)),"",IF((AND(RIGHT(G3252,2)=RIGHT('112'!$M$9,2),B3252&lt;'112'!$K$9,$O3252='112'!$I$6)),"x",""))</f>
        <v/>
      </c>
      <c r="W3252" s="79" t="str">
        <f>IF(AND('341-CT'!$H$9=H3252,OR(LEFT(N3252,3)=$W$7,LEFT(O3252,3)=$W$7)),"x","")</f>
        <v/>
      </c>
      <c r="X3252" s="79" t="str">
        <f>IF(OR(TH!N3252=TH!$X$7,O3252=TH!$X$7),"x","")</f>
        <v/>
      </c>
      <c r="Y3252" s="79" t="str">
        <f>IF(AND(OR(N3252="131",O3252="131"),H3252='131-CT'!$H$9),"x","")</f>
        <v/>
      </c>
      <c r="Z3252" s="79"/>
      <c r="AA3252" s="79" t="str">
        <f>IF(AND(MONTH(E3252)='IN-NX'!$J$5,'IN-NX'!$D$7=D3252),"x","")</f>
        <v/>
      </c>
      <c r="AB3252" s="79" t="str">
        <f>IF(AND(OR(LEFT(TH!N3252,2)="15",LEFT(TH!O3252,2)="15"),LEFT(TH!O3252,3)&lt;&gt;"111",'152-CT'!$J$8=TH!F3252),"x","")</f>
        <v/>
      </c>
      <c r="AC3252" s="79" t="str">
        <f>IF(AND(OR(LEFT(TH!N3252,2)="15",LEFT(TH!O3252,2)="15"),TK!$E$7=TH!F3252),"x","")</f>
        <v/>
      </c>
      <c r="AD3252" s="79" t="str">
        <f>IF(AND(N3252="1521",MONTH(C3252)='BK-NL'!$M$11),"x","")</f>
        <v/>
      </c>
    </row>
    <row r="3253" spans="1:30" ht="16.5" customHeight="1">
      <c r="A3253" s="318" t="str">
        <f>IF(B3253&lt;&gt;"",IF(AND(B3253='IN-TC'!$S$4,OR(TH!N3253="1111",TH!O3253="1111")),TH!D3253,""),"")</f>
        <v/>
      </c>
      <c r="B3253" s="60" t="str">
        <f t="shared" si="389"/>
        <v/>
      </c>
      <c r="C3253" s="75"/>
      <c r="D3253" s="75"/>
      <c r="E3253" s="75"/>
      <c r="F3253" s="69"/>
      <c r="G3253" s="76"/>
      <c r="H3253" s="305"/>
      <c r="I3253" s="383"/>
      <c r="J3253" s="390"/>
      <c r="K3253" s="383"/>
      <c r="L3253" s="390"/>
      <c r="M3253" s="978"/>
      <c r="N3253" s="79"/>
      <c r="O3253" s="79"/>
      <c r="P3253" s="79" t="str">
        <f>IF(AND('331-CT'!$E$7=TH!H3253,OR(N3253="331",O3253="331")),"x","")</f>
        <v/>
      </c>
      <c r="Q3253" s="79" t="str">
        <f>IF(AND(B3253='111'!$L$11,OR($N3253=$Q$7,$O3253=$Q$7)),"x","")</f>
        <v/>
      </c>
      <c r="R3253" s="79" t="str">
        <f>IF(AND($N3253=$Q$7,$B3253&lt;'111'!$L$11),"x","")</f>
        <v/>
      </c>
      <c r="S3253" s="79" t="str">
        <f>IF(AND($O3253=$Q$7,$B3253&lt;'111'!$L$11),"x","")</f>
        <v/>
      </c>
      <c r="T3253" s="79" t="str">
        <f>IF(ISERROR(FIND('112'!$M$9,G3253,1)),"",IF((AND(FIND('112'!$M$9,G3253,1)&gt;=1,B3253='112'!$K$9,OR($N3253='112'!$I$6,$O3253='112'!$I$6))),"x",""))</f>
        <v/>
      </c>
      <c r="U3253" s="79" t="str">
        <f>IF(ISERROR(FIND('112'!$M$9,G3253,1)),"",IF((AND(LEFT(G3253,2)=LEFT('112'!$M$9,2),B3253&lt;'112'!$K$9,$N3253='112'!$I$6)),"x",""))</f>
        <v/>
      </c>
      <c r="V3253" s="79" t="str">
        <f>IF(ISERROR(FIND('112'!$M$9,G3253,1)),"",IF((AND(RIGHT(G3253,2)=RIGHT('112'!$M$9,2),B3253&lt;'112'!$K$9,$O3253='112'!$I$6)),"x",""))</f>
        <v/>
      </c>
      <c r="W3253" s="79" t="str">
        <f>IF(AND('341-CT'!$H$9=H3253,OR(LEFT(N3253,3)=$W$7,LEFT(O3253,3)=$W$7)),"x","")</f>
        <v/>
      </c>
      <c r="X3253" s="79" t="str">
        <f>IF(OR(TH!N3253=TH!$X$7,O3253=TH!$X$7),"x","")</f>
        <v/>
      </c>
      <c r="Y3253" s="79" t="str">
        <f>IF(AND(OR(N3253="131",O3253="131"),H3253='131-CT'!$H$9),"x","")</f>
        <v/>
      </c>
      <c r="Z3253" s="79"/>
      <c r="AA3253" s="79" t="str">
        <f>IF(AND(MONTH(E3253)='IN-NX'!$J$5,'IN-NX'!$D$7=D3253),"x","")</f>
        <v/>
      </c>
      <c r="AB3253" s="79" t="str">
        <f>IF(AND(OR(LEFT(TH!N3253,2)="15",LEFT(TH!O3253,2)="15"),LEFT(TH!O3253,3)&lt;&gt;"111",'152-CT'!$J$8=TH!F3253),"x","")</f>
        <v/>
      </c>
      <c r="AC3253" s="79" t="str">
        <f>IF(AND(OR(LEFT(TH!N3253,2)="15",LEFT(TH!O3253,2)="15"),TK!$E$7=TH!F3253),"x","")</f>
        <v/>
      </c>
      <c r="AD3253" s="79" t="str">
        <f>IF(AND(N3253="1521",MONTH(C3253)='BK-NL'!$M$11),"x","")</f>
        <v/>
      </c>
    </row>
    <row r="3254" spans="1:30" ht="16.5" customHeight="1">
      <c r="A3254" s="318" t="str">
        <f>IF(B3254&lt;&gt;"",IF(AND(B3254='IN-TC'!$S$4,OR(TH!N3254="1111",TH!O3254="1111")),TH!D3254,""),"")</f>
        <v/>
      </c>
      <c r="B3254" s="60" t="str">
        <f t="shared" si="389"/>
        <v/>
      </c>
      <c r="C3254" s="75"/>
      <c r="D3254" s="75"/>
      <c r="E3254" s="75"/>
      <c r="F3254" s="69"/>
      <c r="G3254" s="76"/>
      <c r="H3254" s="305"/>
      <c r="I3254" s="383"/>
      <c r="J3254" s="390"/>
      <c r="K3254" s="383"/>
      <c r="L3254" s="390"/>
      <c r="M3254" s="978"/>
      <c r="N3254" s="79"/>
      <c r="O3254" s="79"/>
      <c r="P3254" s="79" t="str">
        <f>IF(AND('331-CT'!$E$7=TH!H3254,OR(N3254="331",O3254="331")),"x","")</f>
        <v/>
      </c>
      <c r="Q3254" s="79" t="str">
        <f>IF(AND(B3254='111'!$L$11,OR($N3254=$Q$7,$O3254=$Q$7)),"x","")</f>
        <v/>
      </c>
      <c r="R3254" s="79" t="str">
        <f>IF(AND($N3254=$Q$7,$B3254&lt;'111'!$L$11),"x","")</f>
        <v/>
      </c>
      <c r="S3254" s="79" t="str">
        <f>IF(AND($O3254=$Q$7,$B3254&lt;'111'!$L$11),"x","")</f>
        <v/>
      </c>
      <c r="T3254" s="79" t="str">
        <f>IF(ISERROR(FIND('112'!$M$9,G3254,1)),"",IF((AND(FIND('112'!$M$9,G3254,1)&gt;=1,B3254='112'!$K$9,OR($N3254='112'!$I$6,$O3254='112'!$I$6))),"x",""))</f>
        <v/>
      </c>
      <c r="U3254" s="79" t="str">
        <f>IF(ISERROR(FIND('112'!$M$9,G3254,1)),"",IF((AND(LEFT(G3254,2)=LEFT('112'!$M$9,2),B3254&lt;'112'!$K$9,$N3254='112'!$I$6)),"x",""))</f>
        <v/>
      </c>
      <c r="V3254" s="79" t="str">
        <f>IF(ISERROR(FIND('112'!$M$9,G3254,1)),"",IF((AND(RIGHT(G3254,2)=RIGHT('112'!$M$9,2),B3254&lt;'112'!$K$9,$O3254='112'!$I$6)),"x",""))</f>
        <v/>
      </c>
      <c r="W3254" s="79" t="str">
        <f>IF(AND('341-CT'!$H$9=H3254,OR(LEFT(N3254,3)=$W$7,LEFT(O3254,3)=$W$7)),"x","")</f>
        <v/>
      </c>
      <c r="X3254" s="79" t="str">
        <f>IF(OR(TH!N3254=TH!$X$7,O3254=TH!$X$7),"x","")</f>
        <v/>
      </c>
      <c r="Y3254" s="79" t="str">
        <f>IF(AND(OR(N3254="131",O3254="131"),H3254='131-CT'!$H$9),"x","")</f>
        <v/>
      </c>
      <c r="Z3254" s="79"/>
      <c r="AA3254" s="79" t="str">
        <f>IF(AND(MONTH(E3254)='IN-NX'!$J$5,'IN-NX'!$D$7=D3254),"x","")</f>
        <v/>
      </c>
      <c r="AB3254" s="79" t="str">
        <f>IF(AND(OR(LEFT(TH!N3254,2)="15",LEFT(TH!O3254,2)="15"),LEFT(TH!O3254,3)&lt;&gt;"111",'152-CT'!$J$8=TH!F3254),"x","")</f>
        <v/>
      </c>
      <c r="AC3254" s="79" t="str">
        <f>IF(AND(OR(LEFT(TH!N3254,2)="15",LEFT(TH!O3254,2)="15"),TK!$E$7=TH!F3254),"x","")</f>
        <v/>
      </c>
      <c r="AD3254" s="79" t="str">
        <f>IF(AND(N3254="1521",MONTH(C3254)='BK-NL'!$M$11),"x","")</f>
        <v/>
      </c>
    </row>
    <row r="3255" spans="1:30" ht="16.5" customHeight="1">
      <c r="A3255" s="318" t="str">
        <f>IF(B3255&lt;&gt;"",IF(AND(B3255='IN-TC'!$S$4,OR(TH!N3255="1111",TH!O3255="1111")),TH!D3255,""),"")</f>
        <v/>
      </c>
      <c r="B3255" s="60" t="str">
        <f t="shared" si="389"/>
        <v/>
      </c>
      <c r="C3255" s="75"/>
      <c r="D3255" s="75"/>
      <c r="E3255" s="75"/>
      <c r="F3255" s="69"/>
      <c r="G3255" s="76"/>
      <c r="H3255" s="305"/>
      <c r="I3255" s="383"/>
      <c r="J3255" s="390"/>
      <c r="K3255" s="383"/>
      <c r="L3255" s="390"/>
      <c r="M3255" s="978"/>
      <c r="N3255" s="79"/>
      <c r="O3255" s="79"/>
      <c r="P3255" s="79" t="str">
        <f>IF(AND('331-CT'!$E$7=TH!H3255,OR(N3255="331",O3255="331")),"x","")</f>
        <v/>
      </c>
      <c r="Q3255" s="79" t="str">
        <f>IF(AND(B3255='111'!$L$11,OR($N3255=$Q$7,$O3255=$Q$7)),"x","")</f>
        <v/>
      </c>
      <c r="R3255" s="79" t="str">
        <f>IF(AND($N3255=$Q$7,$B3255&lt;'111'!$L$11),"x","")</f>
        <v/>
      </c>
      <c r="S3255" s="79" t="str">
        <f>IF(AND($O3255=$Q$7,$B3255&lt;'111'!$L$11),"x","")</f>
        <v/>
      </c>
      <c r="T3255" s="79" t="str">
        <f>IF(ISERROR(FIND('112'!$M$9,G3255,1)),"",IF((AND(FIND('112'!$M$9,G3255,1)&gt;=1,B3255='112'!$K$9,OR($N3255='112'!$I$6,$O3255='112'!$I$6))),"x",""))</f>
        <v/>
      </c>
      <c r="U3255" s="79" t="str">
        <f>IF(ISERROR(FIND('112'!$M$9,G3255,1)),"",IF((AND(LEFT(G3255,2)=LEFT('112'!$M$9,2),B3255&lt;'112'!$K$9,$N3255='112'!$I$6)),"x",""))</f>
        <v/>
      </c>
      <c r="V3255" s="79" t="str">
        <f>IF(ISERROR(FIND('112'!$M$9,G3255,1)),"",IF((AND(RIGHT(G3255,2)=RIGHT('112'!$M$9,2),B3255&lt;'112'!$K$9,$O3255='112'!$I$6)),"x",""))</f>
        <v/>
      </c>
      <c r="W3255" s="79" t="str">
        <f>IF(AND('341-CT'!$H$9=H3255,OR(LEFT(N3255,3)=$W$7,LEFT(O3255,3)=$W$7)),"x","")</f>
        <v/>
      </c>
      <c r="X3255" s="79" t="str">
        <f>IF(OR(TH!N3255=TH!$X$7,O3255=TH!$X$7),"x","")</f>
        <v/>
      </c>
      <c r="Y3255" s="79" t="str">
        <f>IF(AND(OR(N3255="131",O3255="131"),H3255='131-CT'!$H$9),"x","")</f>
        <v/>
      </c>
      <c r="Z3255" s="79"/>
      <c r="AA3255" s="79" t="str">
        <f>IF(AND(MONTH(E3255)='IN-NX'!$J$5,'IN-NX'!$D$7=D3255),"x","")</f>
        <v/>
      </c>
      <c r="AB3255" s="79" t="str">
        <f>IF(AND(OR(LEFT(TH!N3255,2)="15",LEFT(TH!O3255,2)="15"),LEFT(TH!O3255,3)&lt;&gt;"111",'152-CT'!$J$8=TH!F3255),"x","")</f>
        <v/>
      </c>
      <c r="AC3255" s="79" t="str">
        <f>IF(AND(OR(LEFT(TH!N3255,2)="15",LEFT(TH!O3255,2)="15"),TK!$E$7=TH!F3255),"x","")</f>
        <v/>
      </c>
      <c r="AD3255" s="79" t="str">
        <f>IF(AND(N3255="1521",MONTH(C3255)='BK-NL'!$M$11),"x","")</f>
        <v/>
      </c>
    </row>
    <row r="3256" spans="1:30" ht="16.5" customHeight="1">
      <c r="A3256" s="318" t="str">
        <f>IF(B3256&lt;&gt;"",IF(AND(B3256='IN-TC'!$S$4,OR(TH!N3256="1111",TH!O3256="1111")),TH!D3256,""),"")</f>
        <v/>
      </c>
      <c r="B3256" s="60" t="str">
        <f t="shared" si="389"/>
        <v/>
      </c>
      <c r="C3256" s="75"/>
      <c r="D3256" s="75"/>
      <c r="E3256" s="75"/>
      <c r="F3256" s="69"/>
      <c r="G3256" s="76"/>
      <c r="H3256" s="305"/>
      <c r="I3256" s="383"/>
      <c r="J3256" s="390"/>
      <c r="K3256" s="383"/>
      <c r="L3256" s="390"/>
      <c r="M3256" s="978"/>
      <c r="N3256" s="79"/>
      <c r="O3256" s="79"/>
      <c r="P3256" s="79" t="str">
        <f>IF(AND('331-CT'!$E$7=TH!H3256,OR(N3256="331",O3256="331")),"x","")</f>
        <v/>
      </c>
      <c r="Q3256" s="79" t="str">
        <f>IF(AND(B3256='111'!$L$11,OR($N3256=$Q$7,$O3256=$Q$7)),"x","")</f>
        <v/>
      </c>
      <c r="R3256" s="79" t="str">
        <f>IF(AND($N3256=$Q$7,$B3256&lt;'111'!$L$11),"x","")</f>
        <v/>
      </c>
      <c r="S3256" s="79" t="str">
        <f>IF(AND($O3256=$Q$7,$B3256&lt;'111'!$L$11),"x","")</f>
        <v/>
      </c>
      <c r="T3256" s="79" t="str">
        <f>IF(ISERROR(FIND('112'!$M$9,G3256,1)),"",IF((AND(FIND('112'!$M$9,G3256,1)&gt;=1,B3256='112'!$K$9,OR($N3256='112'!$I$6,$O3256='112'!$I$6))),"x",""))</f>
        <v/>
      </c>
      <c r="U3256" s="79" t="str">
        <f>IF(ISERROR(FIND('112'!$M$9,G3256,1)),"",IF((AND(LEFT(G3256,2)=LEFT('112'!$M$9,2),B3256&lt;'112'!$K$9,$N3256='112'!$I$6)),"x",""))</f>
        <v/>
      </c>
      <c r="V3256" s="79" t="str">
        <f>IF(ISERROR(FIND('112'!$M$9,G3256,1)),"",IF((AND(RIGHT(G3256,2)=RIGHT('112'!$M$9,2),B3256&lt;'112'!$K$9,$O3256='112'!$I$6)),"x",""))</f>
        <v/>
      </c>
      <c r="W3256" s="79" t="str">
        <f>IF(AND('341-CT'!$H$9=H3256,OR(LEFT(N3256,3)=$W$7,LEFT(O3256,3)=$W$7)),"x","")</f>
        <v/>
      </c>
      <c r="X3256" s="79" t="str">
        <f>IF(OR(TH!N3256=TH!$X$7,O3256=TH!$X$7),"x","")</f>
        <v/>
      </c>
      <c r="Y3256" s="79" t="str">
        <f>IF(AND(OR(N3256="131",O3256="131"),H3256='131-CT'!$H$9),"x","")</f>
        <v/>
      </c>
      <c r="Z3256" s="79"/>
      <c r="AA3256" s="79" t="str">
        <f>IF(AND(MONTH(E3256)='IN-NX'!$J$5,'IN-NX'!$D$7=D3256),"x","")</f>
        <v/>
      </c>
      <c r="AB3256" s="79" t="str">
        <f>IF(AND(OR(LEFT(TH!N3256,2)="15",LEFT(TH!O3256,2)="15"),LEFT(TH!O3256,3)&lt;&gt;"111",'152-CT'!$J$8=TH!F3256),"x","")</f>
        <v/>
      </c>
      <c r="AC3256" s="79" t="str">
        <f>IF(AND(OR(LEFT(TH!N3256,2)="15",LEFT(TH!O3256,2)="15"),TK!$E$7=TH!F3256),"x","")</f>
        <v/>
      </c>
      <c r="AD3256" s="79" t="str">
        <f>IF(AND(N3256="1521",MONTH(C3256)='BK-NL'!$M$11),"x","")</f>
        <v/>
      </c>
    </row>
    <row r="3257" spans="1:30" ht="16.5" customHeight="1">
      <c r="A3257" s="318" t="str">
        <f>IF(B3257&lt;&gt;"",IF(AND(B3257='IN-TC'!$S$4,OR(TH!N3257="1111",TH!O3257="1111")),TH!D3257,""),"")</f>
        <v/>
      </c>
      <c r="B3257" s="60" t="str">
        <f t="shared" si="389"/>
        <v/>
      </c>
      <c r="C3257" s="75"/>
      <c r="D3257" s="75"/>
      <c r="E3257" s="75"/>
      <c r="F3257" s="69"/>
      <c r="G3257" s="76"/>
      <c r="H3257" s="305"/>
      <c r="I3257" s="383"/>
      <c r="J3257" s="390"/>
      <c r="K3257" s="383"/>
      <c r="L3257" s="390"/>
      <c r="M3257" s="978"/>
      <c r="N3257" s="79"/>
      <c r="O3257" s="79"/>
      <c r="P3257" s="79" t="str">
        <f>IF(AND('331-CT'!$E$7=TH!H3257,OR(N3257="331",O3257="331")),"x","")</f>
        <v/>
      </c>
      <c r="Q3257" s="79" t="str">
        <f>IF(AND(B3257='111'!$L$11,OR($N3257=$Q$7,$O3257=$Q$7)),"x","")</f>
        <v/>
      </c>
      <c r="R3257" s="79" t="str">
        <f>IF(AND($N3257=$Q$7,$B3257&lt;'111'!$L$11),"x","")</f>
        <v/>
      </c>
      <c r="S3257" s="79" t="str">
        <f>IF(AND($O3257=$Q$7,$B3257&lt;'111'!$L$11),"x","")</f>
        <v/>
      </c>
      <c r="T3257" s="79" t="str">
        <f>IF(ISERROR(FIND('112'!$M$9,G3257,1)),"",IF((AND(FIND('112'!$M$9,G3257,1)&gt;=1,B3257='112'!$K$9,OR($N3257='112'!$I$6,$O3257='112'!$I$6))),"x",""))</f>
        <v/>
      </c>
      <c r="U3257" s="79" t="str">
        <f>IF(ISERROR(FIND('112'!$M$9,G3257,1)),"",IF((AND(LEFT(G3257,2)=LEFT('112'!$M$9,2),B3257&lt;'112'!$K$9,$N3257='112'!$I$6)),"x",""))</f>
        <v/>
      </c>
      <c r="V3257" s="79" t="str">
        <f>IF(ISERROR(FIND('112'!$M$9,G3257,1)),"",IF((AND(RIGHT(G3257,2)=RIGHT('112'!$M$9,2),B3257&lt;'112'!$K$9,$O3257='112'!$I$6)),"x",""))</f>
        <v/>
      </c>
      <c r="W3257" s="79" t="str">
        <f>IF(AND('341-CT'!$H$9=H3257,OR(LEFT(N3257,3)=$W$7,LEFT(O3257,3)=$W$7)),"x","")</f>
        <v/>
      </c>
      <c r="X3257" s="79" t="str">
        <f>IF(OR(TH!N3257=TH!$X$7,O3257=TH!$X$7),"x","")</f>
        <v/>
      </c>
      <c r="Y3257" s="79" t="str">
        <f>IF(AND(OR(N3257="131",O3257="131"),H3257='131-CT'!$H$9),"x","")</f>
        <v/>
      </c>
      <c r="Z3257" s="79"/>
      <c r="AA3257" s="79" t="str">
        <f>IF(AND(MONTH(E3257)='IN-NX'!$J$5,'IN-NX'!$D$7=D3257),"x","")</f>
        <v/>
      </c>
      <c r="AB3257" s="79" t="str">
        <f>IF(AND(OR(LEFT(TH!N3257,2)="15",LEFT(TH!O3257,2)="15"),LEFT(TH!O3257,3)&lt;&gt;"111",'152-CT'!$J$8=TH!F3257),"x","")</f>
        <v/>
      </c>
      <c r="AC3257" s="79" t="str">
        <f>IF(AND(OR(LEFT(TH!N3257,2)="15",LEFT(TH!O3257,2)="15"),TK!$E$7=TH!F3257),"x","")</f>
        <v/>
      </c>
      <c r="AD3257" s="79" t="str">
        <f>IF(AND(N3257="1521",MONTH(C3257)='BK-NL'!$M$11),"x","")</f>
        <v/>
      </c>
    </row>
    <row r="3258" spans="1:30" ht="16.5" customHeight="1">
      <c r="A3258" s="318" t="str">
        <f>IF(B3258&lt;&gt;"",IF(AND(B3258='IN-TC'!$S$4,OR(TH!N3258="1111",TH!O3258="1111")),TH!D3258,""),"")</f>
        <v/>
      </c>
      <c r="B3258" s="60" t="str">
        <f t="shared" si="389"/>
        <v/>
      </c>
      <c r="C3258" s="75"/>
      <c r="D3258" s="75"/>
      <c r="E3258" s="75"/>
      <c r="F3258" s="69"/>
      <c r="G3258" s="76"/>
      <c r="H3258" s="305"/>
      <c r="I3258" s="383"/>
      <c r="J3258" s="390"/>
      <c r="K3258" s="383"/>
      <c r="L3258" s="390"/>
      <c r="M3258" s="978"/>
      <c r="N3258" s="79"/>
      <c r="O3258" s="79"/>
      <c r="P3258" s="79" t="str">
        <f>IF(AND('331-CT'!$E$7=TH!H3258,OR(N3258="331",O3258="331")),"x","")</f>
        <v/>
      </c>
      <c r="Q3258" s="79" t="str">
        <f>IF(AND(B3258='111'!$L$11,OR($N3258=$Q$7,$O3258=$Q$7)),"x","")</f>
        <v/>
      </c>
      <c r="R3258" s="79" t="str">
        <f>IF(AND($N3258=$Q$7,$B3258&lt;'111'!$L$11),"x","")</f>
        <v/>
      </c>
      <c r="S3258" s="79" t="str">
        <f>IF(AND($O3258=$Q$7,$B3258&lt;'111'!$L$11),"x","")</f>
        <v/>
      </c>
      <c r="T3258" s="79" t="str">
        <f>IF(ISERROR(FIND('112'!$M$9,G3258,1)),"",IF((AND(FIND('112'!$M$9,G3258,1)&gt;=1,B3258='112'!$K$9,OR($N3258='112'!$I$6,$O3258='112'!$I$6))),"x",""))</f>
        <v/>
      </c>
      <c r="U3258" s="79" t="str">
        <f>IF(ISERROR(FIND('112'!$M$9,G3258,1)),"",IF((AND(LEFT(G3258,2)=LEFT('112'!$M$9,2),B3258&lt;'112'!$K$9,$N3258='112'!$I$6)),"x",""))</f>
        <v/>
      </c>
      <c r="V3258" s="79" t="str">
        <f>IF(ISERROR(FIND('112'!$M$9,G3258,1)),"",IF((AND(RIGHT(G3258,2)=RIGHT('112'!$M$9,2),B3258&lt;'112'!$K$9,$O3258='112'!$I$6)),"x",""))</f>
        <v/>
      </c>
      <c r="W3258" s="79" t="str">
        <f>IF(AND('341-CT'!$H$9=H3258,OR(LEFT(N3258,3)=$W$7,LEFT(O3258,3)=$W$7)),"x","")</f>
        <v/>
      </c>
      <c r="X3258" s="79" t="str">
        <f>IF(OR(TH!N3258=TH!$X$7,O3258=TH!$X$7),"x","")</f>
        <v/>
      </c>
      <c r="Y3258" s="79" t="str">
        <f>IF(AND(OR(N3258="131",O3258="131"),H3258='131-CT'!$H$9),"x","")</f>
        <v/>
      </c>
      <c r="Z3258" s="79"/>
      <c r="AA3258" s="79" t="str">
        <f>IF(AND(MONTH(E3258)='IN-NX'!$J$5,'IN-NX'!$D$7=D3258),"x","")</f>
        <v/>
      </c>
      <c r="AB3258" s="79" t="str">
        <f>IF(AND(OR(LEFT(TH!N3258,2)="15",LEFT(TH!O3258,2)="15"),LEFT(TH!O3258,3)&lt;&gt;"111",'152-CT'!$J$8=TH!F3258),"x","")</f>
        <v/>
      </c>
      <c r="AC3258" s="79" t="str">
        <f>IF(AND(OR(LEFT(TH!N3258,2)="15",LEFT(TH!O3258,2)="15"),TK!$E$7=TH!F3258),"x","")</f>
        <v/>
      </c>
      <c r="AD3258" s="79" t="str">
        <f>IF(AND(N3258="1521",MONTH(C3258)='BK-NL'!$M$11),"x","")</f>
        <v/>
      </c>
    </row>
    <row r="3259" spans="1:30" ht="16.5" customHeight="1">
      <c r="A3259" s="318" t="str">
        <f>IF(B3259&lt;&gt;"",IF(AND(B3259='IN-TC'!$S$4,OR(TH!N3259="1111",TH!O3259="1111")),TH!D3259,""),"")</f>
        <v/>
      </c>
      <c r="B3259" s="60" t="str">
        <f t="shared" si="389"/>
        <v/>
      </c>
      <c r="C3259" s="75"/>
      <c r="D3259" s="75"/>
      <c r="E3259" s="75"/>
      <c r="F3259" s="69"/>
      <c r="G3259" s="76"/>
      <c r="H3259" s="305"/>
      <c r="I3259" s="383"/>
      <c r="J3259" s="390"/>
      <c r="K3259" s="383"/>
      <c r="L3259" s="390"/>
      <c r="M3259" s="78"/>
      <c r="N3259" s="79"/>
      <c r="O3259" s="979"/>
      <c r="P3259" s="79" t="str">
        <f>IF(AND('331-CT'!$E$7=TH!H3259,OR(N3259="331",O3259="331")),"x","")</f>
        <v/>
      </c>
      <c r="Q3259" s="79" t="str">
        <f>IF(AND(B3259='111'!$L$11,OR($N3259=$Q$7,$O3259=$Q$7)),"x","")</f>
        <v/>
      </c>
      <c r="R3259" s="79" t="str">
        <f>IF(AND($N3259=$Q$7,$B3259&lt;'111'!$L$11),"x","")</f>
        <v/>
      </c>
      <c r="S3259" s="79" t="str">
        <f>IF(AND($O3259=$Q$7,$B3259&lt;'111'!$L$11),"x","")</f>
        <v/>
      </c>
      <c r="T3259" s="79" t="str">
        <f>IF(ISERROR(FIND('112'!$M$9,G3259,1)),"",IF((AND(FIND('112'!$M$9,G3259,1)&gt;=1,B3259='112'!$K$9,OR($N3259='112'!$I$6,$O3259='112'!$I$6))),"x",""))</f>
        <v/>
      </c>
      <c r="U3259" s="79" t="str">
        <f>IF(ISERROR(FIND('112'!$M$9,G3259,1)),"",IF((AND(LEFT(G3259,2)=LEFT('112'!$M$9,2),B3259&lt;'112'!$K$9,$N3259='112'!$I$6)),"x",""))</f>
        <v/>
      </c>
      <c r="V3259" s="79" t="str">
        <f>IF(ISERROR(FIND('112'!$M$9,G3259,1)),"",IF((AND(RIGHT(G3259,2)=RIGHT('112'!$M$9,2),B3259&lt;'112'!$K$9,$O3259='112'!$I$6)),"x",""))</f>
        <v/>
      </c>
      <c r="W3259" s="79" t="str">
        <f>IF(AND('341-CT'!$H$9=H3259,OR(LEFT(N3259,3)=$W$7,LEFT(O3259,3)=$W$7)),"x","")</f>
        <v/>
      </c>
      <c r="X3259" s="79" t="str">
        <f>IF(OR(TH!N3259=TH!$X$7,O3259=TH!$X$7),"x","")</f>
        <v/>
      </c>
      <c r="Y3259" s="79" t="str">
        <f>IF(AND(OR(N3259="131",O3259="131"),H3259='131-CT'!$H$9),"x","")</f>
        <v/>
      </c>
      <c r="Z3259" s="79"/>
      <c r="AA3259" s="79" t="str">
        <f>IF(AND(MONTH(E3259)='IN-NX'!$J$5,'IN-NX'!$D$7=D3259),"x","")</f>
        <v/>
      </c>
      <c r="AB3259" s="79" t="str">
        <f>IF(AND(OR(LEFT(TH!N3259,2)="15",LEFT(TH!O3259,2)="15"),LEFT(TH!O3259,3)&lt;&gt;"111",'152-CT'!$J$8=TH!F3259),"x","")</f>
        <v/>
      </c>
      <c r="AC3259" s="79" t="str">
        <f>IF(AND(OR(LEFT(TH!N3259,2)="15",LEFT(TH!O3259,2)="15"),TK!$E$7=TH!F3259),"x","")</f>
        <v/>
      </c>
      <c r="AD3259" s="79" t="str">
        <f>IF(AND(N3259="1521",MONTH(C3259)='BK-NL'!$M$11),"x","")</f>
        <v/>
      </c>
    </row>
    <row r="3260" spans="1:30" ht="16.5" customHeight="1">
      <c r="A3260" s="318" t="str">
        <f>IF(B3260&lt;&gt;"",IF(AND(B3260='IN-TC'!$S$4,OR(TH!N3260="1111",TH!O3260="1111")),TH!D3260,""),"")</f>
        <v/>
      </c>
      <c r="B3260" s="60" t="str">
        <f t="shared" si="389"/>
        <v/>
      </c>
      <c r="C3260" s="75"/>
      <c r="D3260" s="75"/>
      <c r="E3260" s="75"/>
      <c r="F3260" s="69"/>
      <c r="G3260" s="76"/>
      <c r="H3260" s="305"/>
      <c r="I3260" s="383"/>
      <c r="J3260" s="390"/>
      <c r="K3260" s="383"/>
      <c r="L3260" s="390"/>
      <c r="M3260" s="978"/>
      <c r="N3260" s="79"/>
      <c r="O3260" s="79"/>
      <c r="P3260" s="79" t="str">
        <f>IF(AND('331-CT'!$E$7=TH!H3260,OR(N3260="331",O3260="331")),"x","")</f>
        <v/>
      </c>
      <c r="Q3260" s="79" t="str">
        <f>IF(AND(B3260='111'!$L$11,OR($N3260=$Q$7,$O3260=$Q$7)),"x","")</f>
        <v/>
      </c>
      <c r="R3260" s="79" t="str">
        <f>IF(AND($N3260=$Q$7,$B3260&lt;'111'!$L$11),"x","")</f>
        <v/>
      </c>
      <c r="S3260" s="79" t="str">
        <f>IF(AND($O3260=$Q$7,$B3260&lt;'111'!$L$11),"x","")</f>
        <v/>
      </c>
      <c r="T3260" s="79" t="str">
        <f>IF(ISERROR(FIND('112'!$M$9,G3260,1)),"",IF((AND(FIND('112'!$M$9,G3260,1)&gt;=1,B3260='112'!$K$9,OR($N3260='112'!$I$6,$O3260='112'!$I$6))),"x",""))</f>
        <v/>
      </c>
      <c r="U3260" s="79" t="str">
        <f>IF(ISERROR(FIND('112'!$M$9,G3260,1)),"",IF((AND(LEFT(G3260,2)=LEFT('112'!$M$9,2),B3260&lt;'112'!$K$9,$N3260='112'!$I$6)),"x",""))</f>
        <v/>
      </c>
      <c r="V3260" s="79" t="str">
        <f>IF(ISERROR(FIND('112'!$M$9,G3260,1)),"",IF((AND(RIGHT(G3260,2)=RIGHT('112'!$M$9,2),B3260&lt;'112'!$K$9,$O3260='112'!$I$6)),"x",""))</f>
        <v/>
      </c>
      <c r="W3260" s="79" t="str">
        <f>IF(AND('341-CT'!$H$9=H3260,OR(LEFT(N3260,3)=$W$7,LEFT(O3260,3)=$W$7)),"x","")</f>
        <v/>
      </c>
      <c r="X3260" s="79" t="str">
        <f>IF(OR(TH!N3260=TH!$X$7,O3260=TH!$X$7),"x","")</f>
        <v/>
      </c>
      <c r="Y3260" s="79" t="str">
        <f>IF(AND(OR(N3260="131",O3260="131"),H3260='131-CT'!$H$9),"x","")</f>
        <v/>
      </c>
      <c r="Z3260" s="79"/>
      <c r="AA3260" s="79" t="str">
        <f>IF(AND(MONTH(E3260)='IN-NX'!$J$5,'IN-NX'!$D$7=D3260),"x","")</f>
        <v/>
      </c>
      <c r="AB3260" s="79" t="str">
        <f>IF(AND(OR(LEFT(TH!N3260,2)="15",LEFT(TH!O3260,2)="15"),LEFT(TH!O3260,3)&lt;&gt;"111",'152-CT'!$J$8=TH!F3260),"x","")</f>
        <v/>
      </c>
      <c r="AC3260" s="79" t="str">
        <f>IF(AND(OR(LEFT(TH!N3260,2)="15",LEFT(TH!O3260,2)="15"),TK!$E$7=TH!F3260),"x","")</f>
        <v/>
      </c>
      <c r="AD3260" s="79" t="str">
        <f>IF(AND(N3260="1521",MONTH(C3260)='BK-NL'!$M$11),"x","")</f>
        <v/>
      </c>
    </row>
    <row r="3261" spans="1:30" ht="16.5" customHeight="1">
      <c r="A3261" s="318" t="str">
        <f>IF(B3261&lt;&gt;"",IF(AND(B3261='IN-TC'!$S$4,OR(TH!N3261="1111",TH!O3261="1111")),TH!D3261,""),"")</f>
        <v/>
      </c>
      <c r="B3261" s="60" t="str">
        <f t="shared" si="389"/>
        <v/>
      </c>
      <c r="C3261" s="75"/>
      <c r="D3261" s="75"/>
      <c r="E3261" s="75"/>
      <c r="F3261" s="69"/>
      <c r="G3261" s="76"/>
      <c r="H3261" s="305"/>
      <c r="I3261" s="383"/>
      <c r="J3261" s="390"/>
      <c r="K3261" s="383"/>
      <c r="L3261" s="390"/>
      <c r="M3261" s="978"/>
      <c r="N3261" s="79"/>
      <c r="O3261" s="79"/>
      <c r="P3261" s="79" t="str">
        <f>IF(AND('331-CT'!$E$7=TH!H3261,OR(N3261="331",O3261="331")),"x","")</f>
        <v/>
      </c>
      <c r="Q3261" s="79" t="str">
        <f>IF(AND(B3261='111'!$L$11,OR($N3261=$Q$7,$O3261=$Q$7)),"x","")</f>
        <v/>
      </c>
      <c r="R3261" s="79" t="str">
        <f>IF(AND($N3261=$Q$7,$B3261&lt;'111'!$L$11),"x","")</f>
        <v/>
      </c>
      <c r="S3261" s="79" t="str">
        <f>IF(AND($O3261=$Q$7,$B3261&lt;'111'!$L$11),"x","")</f>
        <v/>
      </c>
      <c r="T3261" s="79" t="str">
        <f>IF(ISERROR(FIND('112'!$M$9,G3261,1)),"",IF((AND(FIND('112'!$M$9,G3261,1)&gt;=1,B3261='112'!$K$9,OR($N3261='112'!$I$6,$O3261='112'!$I$6))),"x",""))</f>
        <v/>
      </c>
      <c r="U3261" s="79" t="str">
        <f>IF(ISERROR(FIND('112'!$M$9,G3261,1)),"",IF((AND(LEFT(G3261,2)=LEFT('112'!$M$9,2),B3261&lt;'112'!$K$9,$N3261='112'!$I$6)),"x",""))</f>
        <v/>
      </c>
      <c r="V3261" s="79" t="str">
        <f>IF(ISERROR(FIND('112'!$M$9,G3261,1)),"",IF((AND(RIGHT(G3261,2)=RIGHT('112'!$M$9,2),B3261&lt;'112'!$K$9,$O3261='112'!$I$6)),"x",""))</f>
        <v/>
      </c>
      <c r="W3261" s="79" t="str">
        <f>IF(AND('341-CT'!$H$9=H3261,OR(LEFT(N3261,3)=$W$7,LEFT(O3261,3)=$W$7)),"x","")</f>
        <v/>
      </c>
      <c r="X3261" s="79" t="str">
        <f>IF(OR(TH!N3261=TH!$X$7,O3261=TH!$X$7),"x","")</f>
        <v/>
      </c>
      <c r="Y3261" s="79" t="str">
        <f>IF(AND(OR(N3261="131",O3261="131"),H3261='131-CT'!$H$9),"x","")</f>
        <v/>
      </c>
      <c r="Z3261" s="79"/>
      <c r="AA3261" s="79" t="str">
        <f>IF(AND(MONTH(E3261)='IN-NX'!$J$5,'IN-NX'!$D$7=D3261),"x","")</f>
        <v/>
      </c>
      <c r="AB3261" s="79" t="str">
        <f>IF(AND(OR(LEFT(TH!N3261,2)="15",LEFT(TH!O3261,2)="15"),LEFT(TH!O3261,3)&lt;&gt;"111",'152-CT'!$J$8=TH!F3261),"x","")</f>
        <v/>
      </c>
      <c r="AC3261" s="79" t="str">
        <f>IF(AND(OR(LEFT(TH!N3261,2)="15",LEFT(TH!O3261,2)="15"),TK!$E$7=TH!F3261),"x","")</f>
        <v/>
      </c>
      <c r="AD3261" s="79" t="str">
        <f>IF(AND(N3261="1521",MONTH(C3261)='BK-NL'!$M$11),"x","")</f>
        <v/>
      </c>
    </row>
    <row r="3262" spans="1:30" ht="16.5" customHeight="1">
      <c r="A3262" s="318" t="str">
        <f>IF(B3262&lt;&gt;"",IF(AND(B3262='IN-TC'!$S$4,OR(TH!N3262="1111",TH!O3262="1111")),TH!D3262,""),"")</f>
        <v/>
      </c>
      <c r="B3262" s="60" t="str">
        <f t="shared" si="389"/>
        <v/>
      </c>
      <c r="C3262" s="75"/>
      <c r="D3262" s="75"/>
      <c r="E3262" s="75"/>
      <c r="F3262" s="69"/>
      <c r="G3262" s="76"/>
      <c r="H3262" s="305"/>
      <c r="I3262" s="383"/>
      <c r="J3262" s="390"/>
      <c r="K3262" s="383"/>
      <c r="L3262" s="390"/>
      <c r="M3262" s="978"/>
      <c r="N3262" s="79"/>
      <c r="O3262" s="79"/>
      <c r="P3262" s="79" t="str">
        <f>IF(AND('331-CT'!$E$7=TH!H3262,OR(N3262="331",O3262="331")),"x","")</f>
        <v/>
      </c>
      <c r="Q3262" s="79" t="str">
        <f>IF(AND(B3262='111'!$L$11,OR($N3262=$Q$7,$O3262=$Q$7)),"x","")</f>
        <v/>
      </c>
      <c r="R3262" s="79" t="str">
        <f>IF(AND($N3262=$Q$7,$B3262&lt;'111'!$L$11),"x","")</f>
        <v/>
      </c>
      <c r="S3262" s="79" t="str">
        <f>IF(AND($O3262=$Q$7,$B3262&lt;'111'!$L$11),"x","")</f>
        <v/>
      </c>
      <c r="T3262" s="79" t="str">
        <f>IF(ISERROR(FIND('112'!$M$9,G3262,1)),"",IF((AND(FIND('112'!$M$9,G3262,1)&gt;=1,B3262='112'!$K$9,OR($N3262='112'!$I$6,$O3262='112'!$I$6))),"x",""))</f>
        <v/>
      </c>
      <c r="U3262" s="79" t="str">
        <f>IF(ISERROR(FIND('112'!$M$9,G3262,1)),"",IF((AND(LEFT(G3262,2)=LEFT('112'!$M$9,2),B3262&lt;'112'!$K$9,$N3262='112'!$I$6)),"x",""))</f>
        <v/>
      </c>
      <c r="V3262" s="79" t="str">
        <f>IF(ISERROR(FIND('112'!$M$9,G3262,1)),"",IF((AND(RIGHT(G3262,2)=RIGHT('112'!$M$9,2),B3262&lt;'112'!$K$9,$O3262='112'!$I$6)),"x",""))</f>
        <v/>
      </c>
      <c r="W3262" s="79" t="str">
        <f>IF(AND('341-CT'!$H$9=H3262,OR(LEFT(N3262,3)=$W$7,LEFT(O3262,3)=$W$7)),"x","")</f>
        <v/>
      </c>
      <c r="X3262" s="79" t="str">
        <f>IF(OR(TH!N3262=TH!$X$7,O3262=TH!$X$7),"x","")</f>
        <v/>
      </c>
      <c r="Y3262" s="79" t="str">
        <f>IF(AND(OR(N3262="131",O3262="131"),H3262='131-CT'!$H$9),"x","")</f>
        <v/>
      </c>
      <c r="Z3262" s="79"/>
      <c r="AA3262" s="79" t="str">
        <f>IF(AND(MONTH(E3262)='IN-NX'!$J$5,'IN-NX'!$D$7=D3262),"x","")</f>
        <v/>
      </c>
      <c r="AB3262" s="79" t="str">
        <f>IF(AND(OR(LEFT(TH!N3262,2)="15",LEFT(TH!O3262,2)="15"),LEFT(TH!O3262,3)&lt;&gt;"111",'152-CT'!$J$8=TH!F3262),"x","")</f>
        <v/>
      </c>
      <c r="AC3262" s="79" t="str">
        <f>IF(AND(OR(LEFT(TH!N3262,2)="15",LEFT(TH!O3262,2)="15"),TK!$E$7=TH!F3262),"x","")</f>
        <v/>
      </c>
      <c r="AD3262" s="79" t="str">
        <f>IF(AND(N3262="1521",MONTH(C3262)='BK-NL'!$M$11),"x","")</f>
        <v/>
      </c>
    </row>
    <row r="3263" spans="1:30" ht="16.5" customHeight="1">
      <c r="A3263" s="318" t="str">
        <f>IF(B3263&lt;&gt;"",IF(AND(B3263='IN-TC'!$S$4,OR(TH!N3263="1111",TH!O3263="1111")),TH!D3263,""),"")</f>
        <v/>
      </c>
      <c r="B3263" s="60" t="str">
        <f t="shared" si="389"/>
        <v/>
      </c>
      <c r="C3263" s="75"/>
      <c r="D3263" s="75"/>
      <c r="E3263" s="75"/>
      <c r="F3263" s="69"/>
      <c r="G3263" s="76"/>
      <c r="H3263" s="305"/>
      <c r="I3263" s="383"/>
      <c r="J3263" s="390"/>
      <c r="K3263" s="383"/>
      <c r="L3263" s="390"/>
      <c r="M3263" s="978"/>
      <c r="N3263" s="79"/>
      <c r="O3263" s="79"/>
      <c r="P3263" s="79" t="str">
        <f>IF(AND('331-CT'!$E$7=TH!H3263,OR(N3263="331",O3263="331")),"x","")</f>
        <v/>
      </c>
      <c r="Q3263" s="79" t="str">
        <f>IF(AND(B3263='111'!$L$11,OR($N3263=$Q$7,$O3263=$Q$7)),"x","")</f>
        <v/>
      </c>
      <c r="R3263" s="79" t="str">
        <f>IF(AND($N3263=$Q$7,$B3263&lt;'111'!$L$11),"x","")</f>
        <v/>
      </c>
      <c r="S3263" s="79" t="str">
        <f>IF(AND($O3263=$Q$7,$B3263&lt;'111'!$L$11),"x","")</f>
        <v/>
      </c>
      <c r="T3263" s="79" t="str">
        <f>IF(ISERROR(FIND('112'!$M$9,G3263,1)),"",IF((AND(FIND('112'!$M$9,G3263,1)&gt;=1,B3263='112'!$K$9,OR($N3263='112'!$I$6,$O3263='112'!$I$6))),"x",""))</f>
        <v/>
      </c>
      <c r="U3263" s="79" t="str">
        <f>IF(ISERROR(FIND('112'!$M$9,G3263,1)),"",IF((AND(LEFT(G3263,2)=LEFT('112'!$M$9,2),B3263&lt;'112'!$K$9,$N3263='112'!$I$6)),"x",""))</f>
        <v/>
      </c>
      <c r="V3263" s="79" t="str">
        <f>IF(ISERROR(FIND('112'!$M$9,G3263,1)),"",IF((AND(RIGHT(G3263,2)=RIGHT('112'!$M$9,2),B3263&lt;'112'!$K$9,$O3263='112'!$I$6)),"x",""))</f>
        <v/>
      </c>
      <c r="W3263" s="79" t="str">
        <f>IF(AND('341-CT'!$H$9=H3263,OR(LEFT(N3263,3)=$W$7,LEFT(O3263,3)=$W$7)),"x","")</f>
        <v/>
      </c>
      <c r="X3263" s="79" t="str">
        <f>IF(OR(TH!N3263=TH!$X$7,O3263=TH!$X$7),"x","")</f>
        <v/>
      </c>
      <c r="Y3263" s="79" t="str">
        <f>IF(AND(OR(N3263="131",O3263="131"),H3263='131-CT'!$H$9),"x","")</f>
        <v/>
      </c>
      <c r="Z3263" s="79"/>
      <c r="AA3263" s="79" t="str">
        <f>IF(AND(MONTH(E3263)='IN-NX'!$J$5,'IN-NX'!$D$7=D3263),"x","")</f>
        <v/>
      </c>
      <c r="AB3263" s="79" t="str">
        <f>IF(AND(OR(LEFT(TH!N3263,2)="15",LEFT(TH!O3263,2)="15"),LEFT(TH!O3263,3)&lt;&gt;"111",'152-CT'!$J$8=TH!F3263),"x","")</f>
        <v/>
      </c>
      <c r="AC3263" s="79" t="str">
        <f>IF(AND(OR(LEFT(TH!N3263,2)="15",LEFT(TH!O3263,2)="15"),TK!$E$7=TH!F3263),"x","")</f>
        <v/>
      </c>
      <c r="AD3263" s="79" t="str">
        <f>IF(AND(N3263="1521",MONTH(C3263)='BK-NL'!$M$11),"x","")</f>
        <v/>
      </c>
    </row>
    <row r="3264" spans="1:30" ht="16.5" customHeight="1">
      <c r="A3264" s="318" t="str">
        <f>IF(B3264&lt;&gt;"",IF(AND(B3264='IN-TC'!$S$4,OR(TH!N3264="1111",TH!O3264="1111")),TH!D3264,""),"")</f>
        <v/>
      </c>
      <c r="B3264" s="60" t="str">
        <f t="shared" si="389"/>
        <v/>
      </c>
      <c r="C3264" s="75"/>
      <c r="D3264" s="75"/>
      <c r="E3264" s="75"/>
      <c r="F3264" s="69"/>
      <c r="G3264" s="76"/>
      <c r="H3264" s="305"/>
      <c r="I3264" s="383"/>
      <c r="J3264" s="390"/>
      <c r="K3264" s="383"/>
      <c r="L3264" s="390"/>
      <c r="M3264" s="978"/>
      <c r="N3264" s="79"/>
      <c r="O3264" s="79"/>
      <c r="P3264" s="79" t="str">
        <f>IF(AND('331-CT'!$E$7=TH!H3264,OR(N3264="331",O3264="331")),"x","")</f>
        <v/>
      </c>
      <c r="Q3264" s="79" t="str">
        <f>IF(AND(B3264='111'!$L$11,OR($N3264=$Q$7,$O3264=$Q$7)),"x","")</f>
        <v/>
      </c>
      <c r="R3264" s="79" t="str">
        <f>IF(AND($N3264=$Q$7,$B3264&lt;'111'!$L$11),"x","")</f>
        <v/>
      </c>
      <c r="S3264" s="79" t="str">
        <f>IF(AND($O3264=$Q$7,$B3264&lt;'111'!$L$11),"x","")</f>
        <v/>
      </c>
      <c r="T3264" s="79" t="str">
        <f>IF(ISERROR(FIND('112'!$M$9,G3264,1)),"",IF((AND(FIND('112'!$M$9,G3264,1)&gt;=1,B3264='112'!$K$9,OR($N3264='112'!$I$6,$O3264='112'!$I$6))),"x",""))</f>
        <v/>
      </c>
      <c r="U3264" s="79" t="str">
        <f>IF(ISERROR(FIND('112'!$M$9,G3264,1)),"",IF((AND(LEFT(G3264,2)=LEFT('112'!$M$9,2),B3264&lt;'112'!$K$9,$N3264='112'!$I$6)),"x",""))</f>
        <v/>
      </c>
      <c r="V3264" s="79" t="str">
        <f>IF(ISERROR(FIND('112'!$M$9,G3264,1)),"",IF((AND(RIGHT(G3264,2)=RIGHT('112'!$M$9,2),B3264&lt;'112'!$K$9,$O3264='112'!$I$6)),"x",""))</f>
        <v/>
      </c>
      <c r="W3264" s="79" t="str">
        <f>IF(AND('341-CT'!$H$9=H3264,OR(LEFT(N3264,3)=$W$7,LEFT(O3264,3)=$W$7)),"x","")</f>
        <v/>
      </c>
      <c r="X3264" s="79" t="str">
        <f>IF(OR(TH!N3264=TH!$X$7,O3264=TH!$X$7),"x","")</f>
        <v/>
      </c>
      <c r="Y3264" s="79" t="str">
        <f>IF(AND(OR(N3264="131",O3264="131"),H3264='131-CT'!$H$9),"x","")</f>
        <v/>
      </c>
      <c r="Z3264" s="79"/>
      <c r="AA3264" s="79" t="str">
        <f>IF(AND(MONTH(E3264)='IN-NX'!$J$5,'IN-NX'!$D$7=D3264),"x","")</f>
        <v/>
      </c>
      <c r="AB3264" s="79" t="str">
        <f>IF(AND(OR(LEFT(TH!N3264,2)="15",LEFT(TH!O3264,2)="15"),LEFT(TH!O3264,3)&lt;&gt;"111",'152-CT'!$J$8=TH!F3264),"x","")</f>
        <v/>
      </c>
      <c r="AC3264" s="79" t="str">
        <f>IF(AND(OR(LEFT(TH!N3264,2)="15",LEFT(TH!O3264,2)="15"),TK!$E$7=TH!F3264),"x","")</f>
        <v/>
      </c>
      <c r="AD3264" s="79" t="str">
        <f>IF(AND(N3264="1521",MONTH(C3264)='BK-NL'!$M$11),"x","")</f>
        <v/>
      </c>
    </row>
    <row r="3265" spans="1:30" ht="16.5" customHeight="1">
      <c r="A3265" s="318" t="str">
        <f>IF(B3265&lt;&gt;"",IF(AND(B3265='IN-TC'!$S$4,OR(TH!N3265="1111",TH!O3265="1111")),TH!D3265,""),"")</f>
        <v/>
      </c>
      <c r="B3265" s="60" t="str">
        <f t="shared" si="389"/>
        <v/>
      </c>
      <c r="C3265" s="75"/>
      <c r="D3265" s="75"/>
      <c r="E3265" s="75"/>
      <c r="F3265" s="69"/>
      <c r="G3265" s="76"/>
      <c r="H3265" s="305"/>
      <c r="I3265" s="383"/>
      <c r="J3265" s="390"/>
      <c r="K3265" s="383"/>
      <c r="L3265" s="390"/>
      <c r="M3265" s="978"/>
      <c r="N3265" s="79"/>
      <c r="O3265" s="79"/>
      <c r="P3265" s="79" t="str">
        <f>IF(AND('331-CT'!$E$7=TH!H3265,OR(N3265="331",O3265="331")),"x","")</f>
        <v/>
      </c>
      <c r="Q3265" s="79" t="str">
        <f>IF(AND(B3265='111'!$L$11,OR($N3265=$Q$7,$O3265=$Q$7)),"x","")</f>
        <v/>
      </c>
      <c r="R3265" s="79" t="str">
        <f>IF(AND($N3265=$Q$7,$B3265&lt;'111'!$L$11),"x","")</f>
        <v/>
      </c>
      <c r="S3265" s="79" t="str">
        <f>IF(AND($O3265=$Q$7,$B3265&lt;'111'!$L$11),"x","")</f>
        <v/>
      </c>
      <c r="T3265" s="79" t="str">
        <f>IF(ISERROR(FIND('112'!$M$9,G3265,1)),"",IF((AND(FIND('112'!$M$9,G3265,1)&gt;=1,B3265='112'!$K$9,OR($N3265='112'!$I$6,$O3265='112'!$I$6))),"x",""))</f>
        <v/>
      </c>
      <c r="U3265" s="79" t="str">
        <f>IF(ISERROR(FIND('112'!$M$9,G3265,1)),"",IF((AND(LEFT(G3265,2)=LEFT('112'!$M$9,2),B3265&lt;'112'!$K$9,$N3265='112'!$I$6)),"x",""))</f>
        <v/>
      </c>
      <c r="V3265" s="79" t="str">
        <f>IF(ISERROR(FIND('112'!$M$9,G3265,1)),"",IF((AND(RIGHT(G3265,2)=RIGHT('112'!$M$9,2),B3265&lt;'112'!$K$9,$O3265='112'!$I$6)),"x",""))</f>
        <v/>
      </c>
      <c r="W3265" s="79" t="str">
        <f>IF(AND('341-CT'!$H$9=H3265,OR(LEFT(N3265,3)=$W$7,LEFT(O3265,3)=$W$7)),"x","")</f>
        <v/>
      </c>
      <c r="X3265" s="79" t="str">
        <f>IF(OR(TH!N3265=TH!$X$7,O3265=TH!$X$7),"x","")</f>
        <v/>
      </c>
      <c r="Y3265" s="79" t="str">
        <f>IF(AND(OR(N3265="131",O3265="131"),H3265='131-CT'!$H$9),"x","")</f>
        <v/>
      </c>
      <c r="Z3265" s="79"/>
      <c r="AA3265" s="79" t="str">
        <f>IF(AND(MONTH(E3265)='IN-NX'!$J$5,'IN-NX'!$D$7=D3265),"x","")</f>
        <v/>
      </c>
      <c r="AB3265" s="79" t="str">
        <f>IF(AND(OR(LEFT(TH!N3265,2)="15",LEFT(TH!O3265,2)="15"),LEFT(TH!O3265,3)&lt;&gt;"111",'152-CT'!$J$8=TH!F3265),"x","")</f>
        <v/>
      </c>
      <c r="AC3265" s="79" t="str">
        <f>IF(AND(OR(LEFT(TH!N3265,2)="15",LEFT(TH!O3265,2)="15"),TK!$E$7=TH!F3265),"x","")</f>
        <v/>
      </c>
      <c r="AD3265" s="79" t="str">
        <f>IF(AND(N3265="1521",MONTH(C3265)='BK-NL'!$M$11),"x","")</f>
        <v/>
      </c>
    </row>
    <row r="3266" spans="1:30" ht="16.5" customHeight="1">
      <c r="A3266" s="318" t="str">
        <f>IF(B3266&lt;&gt;"",IF(AND(B3266='IN-TC'!$S$4,OR(TH!N3266="1111",TH!O3266="1111")),TH!D3266,""),"")</f>
        <v/>
      </c>
      <c r="B3266" s="60" t="str">
        <f t="shared" si="389"/>
        <v/>
      </c>
      <c r="C3266" s="75"/>
      <c r="D3266" s="75"/>
      <c r="E3266" s="75"/>
      <c r="F3266" s="69"/>
      <c r="G3266" s="76"/>
      <c r="H3266" s="305"/>
      <c r="I3266" s="383"/>
      <c r="J3266" s="390"/>
      <c r="K3266" s="383"/>
      <c r="L3266" s="390"/>
      <c r="M3266" s="978"/>
      <c r="N3266" s="79"/>
      <c r="O3266" s="79"/>
      <c r="P3266" s="79" t="str">
        <f>IF(AND('331-CT'!$E$7=TH!H3266,OR(N3266="331",O3266="331")),"x","")</f>
        <v/>
      </c>
      <c r="Q3266" s="79" t="str">
        <f>IF(AND(B3266='111'!$L$11,OR($N3266=$Q$7,$O3266=$Q$7)),"x","")</f>
        <v/>
      </c>
      <c r="R3266" s="79" t="str">
        <f>IF(AND($N3266=$Q$7,$B3266&lt;'111'!$L$11),"x","")</f>
        <v/>
      </c>
      <c r="S3266" s="79" t="str">
        <f>IF(AND($O3266=$Q$7,$B3266&lt;'111'!$L$11),"x","")</f>
        <v/>
      </c>
      <c r="T3266" s="79" t="str">
        <f>IF(ISERROR(FIND('112'!$M$9,G3266,1)),"",IF((AND(FIND('112'!$M$9,G3266,1)&gt;=1,B3266='112'!$K$9,OR($N3266='112'!$I$6,$O3266='112'!$I$6))),"x",""))</f>
        <v/>
      </c>
      <c r="U3266" s="79" t="str">
        <f>IF(ISERROR(FIND('112'!$M$9,G3266,1)),"",IF((AND(LEFT(G3266,2)=LEFT('112'!$M$9,2),B3266&lt;'112'!$K$9,$N3266='112'!$I$6)),"x",""))</f>
        <v/>
      </c>
      <c r="V3266" s="79" t="str">
        <f>IF(ISERROR(FIND('112'!$M$9,G3266,1)),"",IF((AND(RIGHT(G3266,2)=RIGHT('112'!$M$9,2),B3266&lt;'112'!$K$9,$O3266='112'!$I$6)),"x",""))</f>
        <v/>
      </c>
      <c r="W3266" s="79" t="str">
        <f>IF(AND('341-CT'!$H$9=H3266,OR(LEFT(N3266,3)=$W$7,LEFT(O3266,3)=$W$7)),"x","")</f>
        <v/>
      </c>
      <c r="X3266" s="79" t="str">
        <f>IF(OR(TH!N3266=TH!$X$7,O3266=TH!$X$7),"x","")</f>
        <v/>
      </c>
      <c r="Y3266" s="79" t="str">
        <f>IF(AND(OR(N3266="131",O3266="131"),H3266='131-CT'!$H$9),"x","")</f>
        <v/>
      </c>
      <c r="Z3266" s="79"/>
      <c r="AA3266" s="79" t="str">
        <f>IF(AND(MONTH(E3266)='IN-NX'!$J$5,'IN-NX'!$D$7=D3266),"x","")</f>
        <v/>
      </c>
      <c r="AB3266" s="79" t="str">
        <f>IF(AND(OR(LEFT(TH!N3266,2)="15",LEFT(TH!O3266,2)="15"),LEFT(TH!O3266,3)&lt;&gt;"111",'152-CT'!$J$8=TH!F3266),"x","")</f>
        <v/>
      </c>
      <c r="AC3266" s="79" t="str">
        <f>IF(AND(OR(LEFT(TH!N3266,2)="15",LEFT(TH!O3266,2)="15"),TK!$E$7=TH!F3266),"x","")</f>
        <v/>
      </c>
      <c r="AD3266" s="79" t="str">
        <f>IF(AND(N3266="1521",MONTH(C3266)='BK-NL'!$M$11),"x","")</f>
        <v/>
      </c>
    </row>
    <row r="3267" spans="1:30" ht="16.5" customHeight="1">
      <c r="A3267" s="318" t="str">
        <f>IF(B3267&lt;&gt;"",IF(AND(B3267='IN-TC'!$S$4,OR(TH!N3267="1111",TH!O3267="1111")),TH!D3267,""),"")</f>
        <v/>
      </c>
      <c r="B3267" s="60" t="str">
        <f t="shared" si="389"/>
        <v/>
      </c>
      <c r="C3267" s="75"/>
      <c r="D3267" s="75"/>
      <c r="E3267" s="75"/>
      <c r="F3267" s="69"/>
      <c r="G3267" s="76"/>
      <c r="H3267" s="305"/>
      <c r="I3267" s="383"/>
      <c r="J3267" s="390"/>
      <c r="K3267" s="383"/>
      <c r="L3267" s="390"/>
      <c r="M3267" s="978"/>
      <c r="N3267" s="79"/>
      <c r="O3267" s="79"/>
      <c r="P3267" s="79" t="str">
        <f>IF(AND('331-CT'!$E$7=TH!H3267,OR(N3267="331",O3267="331")),"x","")</f>
        <v/>
      </c>
      <c r="Q3267" s="79" t="str">
        <f>IF(AND(B3267='111'!$L$11,OR($N3267=$Q$7,$O3267=$Q$7)),"x","")</f>
        <v/>
      </c>
      <c r="R3267" s="79" t="str">
        <f>IF(AND($N3267=$Q$7,$B3267&lt;'111'!$L$11),"x","")</f>
        <v/>
      </c>
      <c r="S3267" s="79" t="str">
        <f>IF(AND($O3267=$Q$7,$B3267&lt;'111'!$L$11),"x","")</f>
        <v/>
      </c>
      <c r="T3267" s="79" t="str">
        <f>IF(ISERROR(FIND('112'!$M$9,G3267,1)),"",IF((AND(FIND('112'!$M$9,G3267,1)&gt;=1,B3267='112'!$K$9,OR($N3267='112'!$I$6,$O3267='112'!$I$6))),"x",""))</f>
        <v/>
      </c>
      <c r="U3267" s="79" t="str">
        <f>IF(ISERROR(FIND('112'!$M$9,G3267,1)),"",IF((AND(LEFT(G3267,2)=LEFT('112'!$M$9,2),B3267&lt;'112'!$K$9,$N3267='112'!$I$6)),"x",""))</f>
        <v/>
      </c>
      <c r="V3267" s="79" t="str">
        <f>IF(ISERROR(FIND('112'!$M$9,G3267,1)),"",IF((AND(RIGHT(G3267,2)=RIGHT('112'!$M$9,2),B3267&lt;'112'!$K$9,$O3267='112'!$I$6)),"x",""))</f>
        <v/>
      </c>
      <c r="W3267" s="79" t="str">
        <f>IF(AND('341-CT'!$H$9=H3267,OR(LEFT(N3267,3)=$W$7,LEFT(O3267,3)=$W$7)),"x","")</f>
        <v/>
      </c>
      <c r="X3267" s="79" t="str">
        <f>IF(OR(TH!N3267=TH!$X$7,O3267=TH!$X$7),"x","")</f>
        <v/>
      </c>
      <c r="Y3267" s="79" t="str">
        <f>IF(AND(OR(N3267="131",O3267="131"),H3267='131-CT'!$H$9),"x","")</f>
        <v/>
      </c>
      <c r="Z3267" s="79"/>
      <c r="AA3267" s="79" t="str">
        <f>IF(AND(MONTH(E3267)='IN-NX'!$J$5,'IN-NX'!$D$7=D3267),"x","")</f>
        <v/>
      </c>
      <c r="AB3267" s="79" t="str">
        <f>IF(AND(OR(LEFT(TH!N3267,2)="15",LEFT(TH!O3267,2)="15"),LEFT(TH!O3267,3)&lt;&gt;"111",'152-CT'!$J$8=TH!F3267),"x","")</f>
        <v/>
      </c>
      <c r="AC3267" s="79" t="str">
        <f>IF(AND(OR(LEFT(TH!N3267,2)="15",LEFT(TH!O3267,2)="15"),TK!$E$7=TH!F3267),"x","")</f>
        <v/>
      </c>
      <c r="AD3267" s="79" t="str">
        <f>IF(AND(N3267="1521",MONTH(C3267)='BK-NL'!$M$11),"x","")</f>
        <v/>
      </c>
    </row>
    <row r="3268" spans="1:30" ht="16.5" customHeight="1">
      <c r="A3268" s="318" t="str">
        <f>IF(B3268&lt;&gt;"",IF(AND(B3268='IN-TC'!$S$4,OR(TH!N3268="1111",TH!O3268="1111")),TH!D3268,""),"")</f>
        <v/>
      </c>
      <c r="B3268" s="60" t="str">
        <f t="shared" si="389"/>
        <v/>
      </c>
      <c r="C3268" s="75"/>
      <c r="D3268" s="75"/>
      <c r="E3268" s="75"/>
      <c r="F3268" s="69"/>
      <c r="G3268" s="76"/>
      <c r="H3268" s="305"/>
      <c r="I3268" s="383"/>
      <c r="J3268" s="390"/>
      <c r="K3268" s="383"/>
      <c r="L3268" s="390"/>
      <c r="M3268" s="978"/>
      <c r="N3268" s="79"/>
      <c r="O3268" s="79"/>
      <c r="P3268" s="79" t="str">
        <f>IF(AND('331-CT'!$E$7=TH!H3268,OR(N3268="331",O3268="331")),"x","")</f>
        <v/>
      </c>
      <c r="Q3268" s="79" t="str">
        <f>IF(AND(B3268='111'!$L$11,OR($N3268=$Q$7,$O3268=$Q$7)),"x","")</f>
        <v/>
      </c>
      <c r="R3268" s="79" t="str">
        <f>IF(AND($N3268=$Q$7,$B3268&lt;'111'!$L$11),"x","")</f>
        <v/>
      </c>
      <c r="S3268" s="79" t="str">
        <f>IF(AND($O3268=$Q$7,$B3268&lt;'111'!$L$11),"x","")</f>
        <v/>
      </c>
      <c r="T3268" s="79" t="str">
        <f>IF(ISERROR(FIND('112'!$M$9,G3268,1)),"",IF((AND(FIND('112'!$M$9,G3268,1)&gt;=1,B3268='112'!$K$9,OR($N3268='112'!$I$6,$O3268='112'!$I$6))),"x",""))</f>
        <v/>
      </c>
      <c r="U3268" s="79" t="str">
        <f>IF(ISERROR(FIND('112'!$M$9,G3268,1)),"",IF((AND(LEFT(G3268,2)=LEFT('112'!$M$9,2),B3268&lt;'112'!$K$9,$N3268='112'!$I$6)),"x",""))</f>
        <v/>
      </c>
      <c r="V3268" s="79" t="str">
        <f>IF(ISERROR(FIND('112'!$M$9,G3268,1)),"",IF((AND(RIGHT(G3268,2)=RIGHT('112'!$M$9,2),B3268&lt;'112'!$K$9,$O3268='112'!$I$6)),"x",""))</f>
        <v/>
      </c>
      <c r="W3268" s="79" t="str">
        <f>IF(AND('341-CT'!$H$9=H3268,OR(LEFT(N3268,3)=$W$7,LEFT(O3268,3)=$W$7)),"x","")</f>
        <v/>
      </c>
      <c r="X3268" s="79" t="str">
        <f>IF(OR(TH!N3268=TH!$X$7,O3268=TH!$X$7),"x","")</f>
        <v/>
      </c>
      <c r="Y3268" s="79" t="str">
        <f>IF(AND(OR(N3268="131",O3268="131"),H3268='131-CT'!$H$9),"x","")</f>
        <v/>
      </c>
      <c r="Z3268" s="79"/>
      <c r="AA3268" s="79" t="str">
        <f>IF(AND(MONTH(E3268)='IN-NX'!$J$5,'IN-NX'!$D$7=D3268),"x","")</f>
        <v/>
      </c>
      <c r="AB3268" s="79" t="str">
        <f>IF(AND(OR(LEFT(TH!N3268,2)="15",LEFT(TH!O3268,2)="15"),LEFT(TH!O3268,3)&lt;&gt;"111",'152-CT'!$J$8=TH!F3268),"x","")</f>
        <v/>
      </c>
      <c r="AC3268" s="79" t="str">
        <f>IF(AND(OR(LEFT(TH!N3268,2)="15",LEFT(TH!O3268,2)="15"),TK!$E$7=TH!F3268),"x","")</f>
        <v/>
      </c>
      <c r="AD3268" s="79" t="str">
        <f>IF(AND(N3268="1521",MONTH(C3268)='BK-NL'!$M$11),"x","")</f>
        <v/>
      </c>
    </row>
    <row r="3269" spans="1:30" ht="16.5" customHeight="1">
      <c r="A3269" s="318" t="str">
        <f>IF(B3269&lt;&gt;"",IF(AND(B3269='IN-TC'!$S$4,OR(TH!N3269="1111",TH!O3269="1111")),TH!D3269,""),"")</f>
        <v/>
      </c>
      <c r="B3269" s="60" t="str">
        <f t="shared" si="389"/>
        <v/>
      </c>
      <c r="C3269" s="75"/>
      <c r="D3269" s="75"/>
      <c r="E3269" s="75"/>
      <c r="F3269" s="69"/>
      <c r="G3269" s="76"/>
      <c r="H3269" s="305"/>
      <c r="I3269" s="383"/>
      <c r="J3269" s="390"/>
      <c r="K3269" s="383"/>
      <c r="L3269" s="390"/>
      <c r="M3269" s="78"/>
      <c r="N3269" s="79"/>
      <c r="O3269" s="979"/>
      <c r="P3269" s="79" t="str">
        <f>IF(AND('331-CT'!$E$7=TH!H3269,OR(N3269="331",O3269="331")),"x","")</f>
        <v/>
      </c>
      <c r="Q3269" s="79" t="str">
        <f>IF(AND(B3269='111'!$L$11,OR($N3269=$Q$7,$O3269=$Q$7)),"x","")</f>
        <v/>
      </c>
      <c r="R3269" s="79" t="str">
        <f>IF(AND($N3269=$Q$7,$B3269&lt;'111'!$L$11),"x","")</f>
        <v/>
      </c>
      <c r="S3269" s="79" t="str">
        <f>IF(AND($O3269=$Q$7,$B3269&lt;'111'!$L$11),"x","")</f>
        <v/>
      </c>
      <c r="T3269" s="79" t="str">
        <f>IF(ISERROR(FIND('112'!$M$9,G3269,1)),"",IF((AND(FIND('112'!$M$9,G3269,1)&gt;=1,B3269='112'!$K$9,OR($N3269='112'!$I$6,$O3269='112'!$I$6))),"x",""))</f>
        <v/>
      </c>
      <c r="U3269" s="79" t="str">
        <f>IF(ISERROR(FIND('112'!$M$9,G3269,1)),"",IF((AND(LEFT(G3269,2)=LEFT('112'!$M$9,2),B3269&lt;'112'!$K$9,$N3269='112'!$I$6)),"x",""))</f>
        <v/>
      </c>
      <c r="V3269" s="79" t="str">
        <f>IF(ISERROR(FIND('112'!$M$9,G3269,1)),"",IF((AND(RIGHT(G3269,2)=RIGHT('112'!$M$9,2),B3269&lt;'112'!$K$9,$O3269='112'!$I$6)),"x",""))</f>
        <v/>
      </c>
      <c r="W3269" s="79" t="str">
        <f>IF(AND('341-CT'!$H$9=H3269,OR(LEFT(N3269,3)=$W$7,LEFT(O3269,3)=$W$7)),"x","")</f>
        <v/>
      </c>
      <c r="X3269" s="79" t="str">
        <f>IF(OR(TH!N3269=TH!$X$7,O3269=TH!$X$7),"x","")</f>
        <v/>
      </c>
      <c r="Y3269" s="79" t="str">
        <f>IF(AND(OR(N3269="131",O3269="131"),H3269='131-CT'!$H$9),"x","")</f>
        <v/>
      </c>
      <c r="Z3269" s="79"/>
      <c r="AA3269" s="79" t="str">
        <f>IF(AND(MONTH(E3269)='IN-NX'!$J$5,'IN-NX'!$D$7=D3269),"x","")</f>
        <v/>
      </c>
      <c r="AB3269" s="79" t="str">
        <f>IF(AND(OR(LEFT(TH!N3269,2)="15",LEFT(TH!O3269,2)="15"),LEFT(TH!O3269,3)&lt;&gt;"111",'152-CT'!$J$8=TH!F3269),"x","")</f>
        <v/>
      </c>
      <c r="AC3269" s="79" t="str">
        <f>IF(AND(OR(LEFT(TH!N3269,2)="15",LEFT(TH!O3269,2)="15"),TK!$E$7=TH!F3269),"x","")</f>
        <v/>
      </c>
      <c r="AD3269" s="79" t="str">
        <f>IF(AND(N3269="1521",MONTH(C3269)='BK-NL'!$M$11),"x","")</f>
        <v/>
      </c>
    </row>
    <row r="3270" spans="1:30" ht="16.5" customHeight="1">
      <c r="A3270" s="318" t="str">
        <f>IF(B3270&lt;&gt;"",IF(AND(B3270='IN-TC'!$S$4,OR(TH!N3270="1111",TH!O3270="1111")),TH!D3270,""),"")</f>
        <v/>
      </c>
      <c r="B3270" s="60" t="str">
        <f t="shared" si="389"/>
        <v/>
      </c>
      <c r="C3270" s="75"/>
      <c r="D3270" s="75"/>
      <c r="E3270" s="75"/>
      <c r="F3270" s="69"/>
      <c r="G3270" s="76"/>
      <c r="H3270" s="305"/>
      <c r="I3270" s="383"/>
      <c r="J3270" s="390"/>
      <c r="K3270" s="383"/>
      <c r="L3270" s="390"/>
      <c r="M3270" s="978"/>
      <c r="N3270" s="79"/>
      <c r="O3270" s="79"/>
      <c r="P3270" s="79" t="str">
        <f>IF(AND('331-CT'!$E$7=TH!H3270,OR(N3270="331",O3270="331")),"x","")</f>
        <v/>
      </c>
      <c r="Q3270" s="79" t="str">
        <f>IF(AND(B3270='111'!$L$11,OR($N3270=$Q$7,$O3270=$Q$7)),"x","")</f>
        <v/>
      </c>
      <c r="R3270" s="79" t="str">
        <f>IF(AND($N3270=$Q$7,$B3270&lt;'111'!$L$11),"x","")</f>
        <v/>
      </c>
      <c r="S3270" s="79" t="str">
        <f>IF(AND($O3270=$Q$7,$B3270&lt;'111'!$L$11),"x","")</f>
        <v/>
      </c>
      <c r="T3270" s="79" t="str">
        <f>IF(ISERROR(FIND('112'!$M$9,G3270,1)),"",IF((AND(FIND('112'!$M$9,G3270,1)&gt;=1,B3270='112'!$K$9,OR($N3270='112'!$I$6,$O3270='112'!$I$6))),"x",""))</f>
        <v/>
      </c>
      <c r="U3270" s="79" t="str">
        <f>IF(ISERROR(FIND('112'!$M$9,G3270,1)),"",IF((AND(LEFT(G3270,2)=LEFT('112'!$M$9,2),B3270&lt;'112'!$K$9,$N3270='112'!$I$6)),"x",""))</f>
        <v/>
      </c>
      <c r="V3270" s="79" t="str">
        <f>IF(ISERROR(FIND('112'!$M$9,G3270,1)),"",IF((AND(RIGHT(G3270,2)=RIGHT('112'!$M$9,2),B3270&lt;'112'!$K$9,$O3270='112'!$I$6)),"x",""))</f>
        <v/>
      </c>
      <c r="W3270" s="79" t="str">
        <f>IF(AND('341-CT'!$H$9=H3270,OR(LEFT(N3270,3)=$W$7,LEFT(O3270,3)=$W$7)),"x","")</f>
        <v/>
      </c>
      <c r="X3270" s="79" t="str">
        <f>IF(OR(TH!N3270=TH!$X$7,O3270=TH!$X$7),"x","")</f>
        <v/>
      </c>
      <c r="Y3270" s="79" t="str">
        <f>IF(AND(OR(N3270="131",O3270="131"),H3270='131-CT'!$H$9),"x","")</f>
        <v/>
      </c>
      <c r="Z3270" s="79"/>
      <c r="AA3270" s="79" t="str">
        <f>IF(AND(MONTH(E3270)='IN-NX'!$J$5,'IN-NX'!$D$7=D3270),"x","")</f>
        <v/>
      </c>
      <c r="AB3270" s="79" t="str">
        <f>IF(AND(OR(LEFT(TH!N3270,2)="15",LEFT(TH!O3270,2)="15"),LEFT(TH!O3270,3)&lt;&gt;"111",'152-CT'!$J$8=TH!F3270),"x","")</f>
        <v/>
      </c>
      <c r="AC3270" s="79" t="str">
        <f>IF(AND(OR(LEFT(TH!N3270,2)="15",LEFT(TH!O3270,2)="15"),TK!$E$7=TH!F3270),"x","")</f>
        <v/>
      </c>
      <c r="AD3270" s="79" t="str">
        <f>IF(AND(N3270="1521",MONTH(C3270)='BK-NL'!$M$11),"x","")</f>
        <v/>
      </c>
    </row>
    <row r="3271" spans="1:30" ht="16.5" customHeight="1">
      <c r="A3271" s="318" t="str">
        <f>IF(B3271&lt;&gt;"",IF(AND(B3271='IN-TC'!$S$4,OR(TH!N3271="1111",TH!O3271="1111")),TH!D3271,""),"")</f>
        <v/>
      </c>
      <c r="B3271" s="60" t="str">
        <f t="shared" si="389"/>
        <v/>
      </c>
      <c r="C3271" s="75"/>
      <c r="D3271" s="75"/>
      <c r="E3271" s="75"/>
      <c r="F3271" s="69"/>
      <c r="G3271" s="76"/>
      <c r="H3271" s="305"/>
      <c r="I3271" s="383"/>
      <c r="J3271" s="390"/>
      <c r="K3271" s="383"/>
      <c r="L3271" s="390"/>
      <c r="M3271" s="978"/>
      <c r="N3271" s="79"/>
      <c r="O3271" s="79"/>
      <c r="P3271" s="79" t="str">
        <f>IF(AND('331-CT'!$E$7=TH!H3271,OR(N3271="331",O3271="331")),"x","")</f>
        <v/>
      </c>
      <c r="Q3271" s="79" t="str">
        <f>IF(AND(B3271='111'!$L$11,OR($N3271=$Q$7,$O3271=$Q$7)),"x","")</f>
        <v/>
      </c>
      <c r="R3271" s="79" t="str">
        <f>IF(AND($N3271=$Q$7,$B3271&lt;'111'!$L$11),"x","")</f>
        <v/>
      </c>
      <c r="S3271" s="79" t="str">
        <f>IF(AND($O3271=$Q$7,$B3271&lt;'111'!$L$11),"x","")</f>
        <v/>
      </c>
      <c r="T3271" s="79" t="str">
        <f>IF(ISERROR(FIND('112'!$M$9,G3271,1)),"",IF((AND(FIND('112'!$M$9,G3271,1)&gt;=1,B3271='112'!$K$9,OR($N3271='112'!$I$6,$O3271='112'!$I$6))),"x",""))</f>
        <v/>
      </c>
      <c r="U3271" s="79" t="str">
        <f>IF(ISERROR(FIND('112'!$M$9,G3271,1)),"",IF((AND(LEFT(G3271,2)=LEFT('112'!$M$9,2),B3271&lt;'112'!$K$9,$N3271='112'!$I$6)),"x",""))</f>
        <v/>
      </c>
      <c r="V3271" s="79" t="str">
        <f>IF(ISERROR(FIND('112'!$M$9,G3271,1)),"",IF((AND(RIGHT(G3271,2)=RIGHT('112'!$M$9,2),B3271&lt;'112'!$K$9,$O3271='112'!$I$6)),"x",""))</f>
        <v/>
      </c>
      <c r="W3271" s="79" t="str">
        <f>IF(AND('341-CT'!$H$9=H3271,OR(LEFT(N3271,3)=$W$7,LEFT(O3271,3)=$W$7)),"x","")</f>
        <v/>
      </c>
      <c r="X3271" s="79" t="str">
        <f>IF(OR(TH!N3271=TH!$X$7,O3271=TH!$X$7),"x","")</f>
        <v/>
      </c>
      <c r="Y3271" s="79" t="str">
        <f>IF(AND(OR(N3271="131",O3271="131"),H3271='131-CT'!$H$9),"x","")</f>
        <v/>
      </c>
      <c r="Z3271" s="79"/>
      <c r="AA3271" s="79" t="str">
        <f>IF(AND(MONTH(E3271)='IN-NX'!$J$5,'IN-NX'!$D$7=D3271),"x","")</f>
        <v/>
      </c>
      <c r="AB3271" s="79" t="str">
        <f>IF(AND(OR(LEFT(TH!N3271,2)="15",LEFT(TH!O3271,2)="15"),LEFT(TH!O3271,3)&lt;&gt;"111",'152-CT'!$J$8=TH!F3271),"x","")</f>
        <v/>
      </c>
      <c r="AC3271" s="79" t="str">
        <f>IF(AND(OR(LEFT(TH!N3271,2)="15",LEFT(TH!O3271,2)="15"),TK!$E$7=TH!F3271),"x","")</f>
        <v/>
      </c>
      <c r="AD3271" s="79" t="str">
        <f>IF(AND(N3271="1521",MONTH(C3271)='BK-NL'!$M$11),"x","")</f>
        <v/>
      </c>
    </row>
    <row r="3272" spans="1:30" ht="16.5" customHeight="1">
      <c r="A3272" s="318" t="str">
        <f>IF(B3272&lt;&gt;"",IF(AND(B3272='IN-TC'!$S$4,OR(TH!N3272="1111",TH!O3272="1111")),TH!D3272,""),"")</f>
        <v/>
      </c>
      <c r="B3272" s="60" t="str">
        <f t="shared" si="389"/>
        <v/>
      </c>
      <c r="C3272" s="75"/>
      <c r="D3272" s="75"/>
      <c r="E3272" s="75"/>
      <c r="F3272" s="69"/>
      <c r="G3272" s="76"/>
      <c r="H3272" s="305"/>
      <c r="I3272" s="383"/>
      <c r="J3272" s="390"/>
      <c r="K3272" s="383"/>
      <c r="L3272" s="390"/>
      <c r="M3272" s="978"/>
      <c r="N3272" s="79"/>
      <c r="O3272" s="79"/>
      <c r="P3272" s="79" t="str">
        <f>IF(AND('331-CT'!$E$7=TH!H3272,OR(N3272="331",O3272="331")),"x","")</f>
        <v/>
      </c>
      <c r="Q3272" s="79" t="str">
        <f>IF(AND(B3272='111'!$L$11,OR($N3272=$Q$7,$O3272=$Q$7)),"x","")</f>
        <v/>
      </c>
      <c r="R3272" s="79" t="str">
        <f>IF(AND($N3272=$Q$7,$B3272&lt;'111'!$L$11),"x","")</f>
        <v/>
      </c>
      <c r="S3272" s="79" t="str">
        <f>IF(AND($O3272=$Q$7,$B3272&lt;'111'!$L$11),"x","")</f>
        <v/>
      </c>
      <c r="T3272" s="79" t="str">
        <f>IF(ISERROR(FIND('112'!$M$9,G3272,1)),"",IF((AND(FIND('112'!$M$9,G3272,1)&gt;=1,B3272='112'!$K$9,OR($N3272='112'!$I$6,$O3272='112'!$I$6))),"x",""))</f>
        <v/>
      </c>
      <c r="U3272" s="79" t="str">
        <f>IF(ISERROR(FIND('112'!$M$9,G3272,1)),"",IF((AND(LEFT(G3272,2)=LEFT('112'!$M$9,2),B3272&lt;'112'!$K$9,$N3272='112'!$I$6)),"x",""))</f>
        <v/>
      </c>
      <c r="V3272" s="79" t="str">
        <f>IF(ISERROR(FIND('112'!$M$9,G3272,1)),"",IF((AND(RIGHT(G3272,2)=RIGHT('112'!$M$9,2),B3272&lt;'112'!$K$9,$O3272='112'!$I$6)),"x",""))</f>
        <v/>
      </c>
      <c r="W3272" s="79" t="str">
        <f>IF(AND('341-CT'!$H$9=H3272,OR(LEFT(N3272,3)=$W$7,LEFT(O3272,3)=$W$7)),"x","")</f>
        <v/>
      </c>
      <c r="X3272" s="79" t="str">
        <f>IF(OR(TH!N3272=TH!$X$7,O3272=TH!$X$7),"x","")</f>
        <v/>
      </c>
      <c r="Y3272" s="79" t="str">
        <f>IF(AND(OR(N3272="131",O3272="131"),H3272='131-CT'!$H$9),"x","")</f>
        <v/>
      </c>
      <c r="Z3272" s="79"/>
      <c r="AA3272" s="79" t="str">
        <f>IF(AND(MONTH(E3272)='IN-NX'!$J$5,'IN-NX'!$D$7=D3272),"x","")</f>
        <v/>
      </c>
      <c r="AB3272" s="79" t="str">
        <f>IF(AND(OR(LEFT(TH!N3272,2)="15",LEFT(TH!O3272,2)="15"),LEFT(TH!O3272,3)&lt;&gt;"111",'152-CT'!$J$8=TH!F3272),"x","")</f>
        <v/>
      </c>
      <c r="AC3272" s="79" t="str">
        <f>IF(AND(OR(LEFT(TH!N3272,2)="15",LEFT(TH!O3272,2)="15"),TK!$E$7=TH!F3272),"x","")</f>
        <v/>
      </c>
      <c r="AD3272" s="79" t="str">
        <f>IF(AND(N3272="1521",MONTH(C3272)='BK-NL'!$M$11),"x","")</f>
        <v/>
      </c>
    </row>
    <row r="3273" spans="1:30" ht="16.5" customHeight="1">
      <c r="A3273" s="318" t="str">
        <f>IF(B3273&lt;&gt;"",IF(AND(B3273='IN-TC'!$S$4,OR(TH!N3273="1111",TH!O3273="1111")),TH!D3273,""),"")</f>
        <v/>
      </c>
      <c r="B3273" s="60" t="str">
        <f t="shared" si="389"/>
        <v/>
      </c>
      <c r="C3273" s="75"/>
      <c r="D3273" s="75"/>
      <c r="E3273" s="75"/>
      <c r="F3273" s="69"/>
      <c r="G3273" s="76"/>
      <c r="H3273" s="305"/>
      <c r="I3273" s="383"/>
      <c r="J3273" s="390"/>
      <c r="K3273" s="383"/>
      <c r="L3273" s="390"/>
      <c r="M3273" s="978"/>
      <c r="N3273" s="79"/>
      <c r="O3273" s="79"/>
      <c r="P3273" s="79" t="str">
        <f>IF(AND('331-CT'!$E$7=TH!H3273,OR(N3273="331",O3273="331")),"x","")</f>
        <v/>
      </c>
      <c r="Q3273" s="79" t="str">
        <f>IF(AND(B3273='111'!$L$11,OR($N3273=$Q$7,$O3273=$Q$7)),"x","")</f>
        <v/>
      </c>
      <c r="R3273" s="79" t="str">
        <f>IF(AND($N3273=$Q$7,$B3273&lt;'111'!$L$11),"x","")</f>
        <v/>
      </c>
      <c r="S3273" s="79" t="str">
        <f>IF(AND($O3273=$Q$7,$B3273&lt;'111'!$L$11),"x","")</f>
        <v/>
      </c>
      <c r="T3273" s="79" t="str">
        <f>IF(ISERROR(FIND('112'!$M$9,G3273,1)),"",IF((AND(FIND('112'!$M$9,G3273,1)&gt;=1,B3273='112'!$K$9,OR($N3273='112'!$I$6,$O3273='112'!$I$6))),"x",""))</f>
        <v/>
      </c>
      <c r="U3273" s="79" t="str">
        <f>IF(ISERROR(FIND('112'!$M$9,G3273,1)),"",IF((AND(LEFT(G3273,2)=LEFT('112'!$M$9,2),B3273&lt;'112'!$K$9,$N3273='112'!$I$6)),"x",""))</f>
        <v/>
      </c>
      <c r="V3273" s="79" t="str">
        <f>IF(ISERROR(FIND('112'!$M$9,G3273,1)),"",IF((AND(RIGHT(G3273,2)=RIGHT('112'!$M$9,2),B3273&lt;'112'!$K$9,$O3273='112'!$I$6)),"x",""))</f>
        <v/>
      </c>
      <c r="W3273" s="79" t="str">
        <f>IF(AND('341-CT'!$H$9=H3273,OR(LEFT(N3273,3)=$W$7,LEFT(O3273,3)=$W$7)),"x","")</f>
        <v/>
      </c>
      <c r="X3273" s="79" t="str">
        <f>IF(OR(TH!N3273=TH!$X$7,O3273=TH!$X$7),"x","")</f>
        <v/>
      </c>
      <c r="Y3273" s="79" t="str">
        <f>IF(AND(OR(N3273="131",O3273="131"),H3273='131-CT'!$H$9),"x","")</f>
        <v/>
      </c>
      <c r="Z3273" s="79"/>
      <c r="AA3273" s="79" t="str">
        <f>IF(AND(MONTH(E3273)='IN-NX'!$J$5,'IN-NX'!$D$7=D3273),"x","")</f>
        <v/>
      </c>
      <c r="AB3273" s="79" t="str">
        <f>IF(AND(OR(LEFT(TH!N3273,2)="15",LEFT(TH!O3273,2)="15"),LEFT(TH!O3273,3)&lt;&gt;"111",'152-CT'!$J$8=TH!F3273),"x","")</f>
        <v/>
      </c>
      <c r="AC3273" s="79" t="str">
        <f>IF(AND(OR(LEFT(TH!N3273,2)="15",LEFT(TH!O3273,2)="15"),TK!$E$7=TH!F3273),"x","")</f>
        <v/>
      </c>
      <c r="AD3273" s="79" t="str">
        <f>IF(AND(N3273="1521",MONTH(C3273)='BK-NL'!$M$11),"x","")</f>
        <v/>
      </c>
    </row>
    <row r="3274" spans="1:30" ht="16.5" customHeight="1">
      <c r="A3274" s="318" t="str">
        <f>IF(B3274&lt;&gt;"",IF(AND(B3274='IN-TC'!$S$4,OR(TH!N3274="1111",TH!O3274="1111")),TH!D3274,""),"")</f>
        <v/>
      </c>
      <c r="B3274" s="60" t="str">
        <f t="shared" si="389"/>
        <v/>
      </c>
      <c r="C3274" s="75"/>
      <c r="D3274" s="75"/>
      <c r="E3274" s="75"/>
      <c r="F3274" s="69"/>
      <c r="G3274" s="76"/>
      <c r="H3274" s="305"/>
      <c r="I3274" s="383"/>
      <c r="J3274" s="390"/>
      <c r="K3274" s="383"/>
      <c r="L3274" s="390"/>
      <c r="M3274" s="978"/>
      <c r="N3274" s="79"/>
      <c r="O3274" s="79"/>
      <c r="P3274" s="79" t="str">
        <f>IF(AND('331-CT'!$E$7=TH!H3274,OR(N3274="331",O3274="331")),"x","")</f>
        <v/>
      </c>
      <c r="Q3274" s="79" t="str">
        <f>IF(AND(B3274='111'!$L$11,OR($N3274=$Q$7,$O3274=$Q$7)),"x","")</f>
        <v/>
      </c>
      <c r="R3274" s="79" t="str">
        <f>IF(AND($N3274=$Q$7,$B3274&lt;'111'!$L$11),"x","")</f>
        <v/>
      </c>
      <c r="S3274" s="79" t="str">
        <f>IF(AND($O3274=$Q$7,$B3274&lt;'111'!$L$11),"x","")</f>
        <v/>
      </c>
      <c r="T3274" s="79" t="str">
        <f>IF(ISERROR(FIND('112'!$M$9,G3274,1)),"",IF((AND(FIND('112'!$M$9,G3274,1)&gt;=1,B3274='112'!$K$9,OR($N3274='112'!$I$6,$O3274='112'!$I$6))),"x",""))</f>
        <v/>
      </c>
      <c r="U3274" s="79" t="str">
        <f>IF(ISERROR(FIND('112'!$M$9,G3274,1)),"",IF((AND(LEFT(G3274,2)=LEFT('112'!$M$9,2),B3274&lt;'112'!$K$9,$N3274='112'!$I$6)),"x",""))</f>
        <v/>
      </c>
      <c r="V3274" s="79" t="str">
        <f>IF(ISERROR(FIND('112'!$M$9,G3274,1)),"",IF((AND(RIGHT(G3274,2)=RIGHT('112'!$M$9,2),B3274&lt;'112'!$K$9,$O3274='112'!$I$6)),"x",""))</f>
        <v/>
      </c>
      <c r="W3274" s="79" t="str">
        <f>IF(AND('341-CT'!$H$9=H3274,OR(LEFT(N3274,3)=$W$7,LEFT(O3274,3)=$W$7)),"x","")</f>
        <v/>
      </c>
      <c r="X3274" s="79" t="str">
        <f>IF(OR(TH!N3274=TH!$X$7,O3274=TH!$X$7),"x","")</f>
        <v/>
      </c>
      <c r="Y3274" s="79" t="str">
        <f>IF(AND(OR(N3274="131",O3274="131"),H3274='131-CT'!$H$9),"x","")</f>
        <v/>
      </c>
      <c r="Z3274" s="79"/>
      <c r="AA3274" s="79" t="str">
        <f>IF(AND(MONTH(E3274)='IN-NX'!$J$5,'IN-NX'!$D$7=D3274),"x","")</f>
        <v/>
      </c>
      <c r="AB3274" s="79" t="str">
        <f>IF(AND(OR(LEFT(TH!N3274,2)="15",LEFT(TH!O3274,2)="15"),LEFT(TH!O3274,3)&lt;&gt;"111",'152-CT'!$J$8=TH!F3274),"x","")</f>
        <v/>
      </c>
      <c r="AC3274" s="79" t="str">
        <f>IF(AND(OR(LEFT(TH!N3274,2)="15",LEFT(TH!O3274,2)="15"),TK!$E$7=TH!F3274),"x","")</f>
        <v/>
      </c>
      <c r="AD3274" s="79" t="str">
        <f>IF(AND(N3274="1521",MONTH(C3274)='BK-NL'!$M$11),"x","")</f>
        <v/>
      </c>
    </row>
    <row r="3275" spans="1:30" ht="16.5" customHeight="1">
      <c r="A3275" s="318" t="str">
        <f>IF(B3275&lt;&gt;"",IF(AND(B3275='IN-TC'!$S$4,OR(TH!N3275="1111",TH!O3275="1111")),TH!D3275,""),"")</f>
        <v/>
      </c>
      <c r="B3275" s="60" t="str">
        <f t="shared" si="389"/>
        <v/>
      </c>
      <c r="C3275" s="75"/>
      <c r="D3275" s="75"/>
      <c r="E3275" s="75"/>
      <c r="F3275" s="69"/>
      <c r="G3275" s="76"/>
      <c r="H3275" s="305"/>
      <c r="I3275" s="383"/>
      <c r="J3275" s="390"/>
      <c r="K3275" s="383"/>
      <c r="L3275" s="390"/>
      <c r="M3275" s="978"/>
      <c r="N3275" s="79"/>
      <c r="O3275" s="79"/>
      <c r="P3275" s="79" t="str">
        <f>IF(AND('331-CT'!$E$7=TH!H3275,OR(N3275="331",O3275="331")),"x","")</f>
        <v/>
      </c>
      <c r="Q3275" s="79" t="str">
        <f>IF(AND(B3275='111'!$L$11,OR($N3275=$Q$7,$O3275=$Q$7)),"x","")</f>
        <v/>
      </c>
      <c r="R3275" s="79" t="str">
        <f>IF(AND($N3275=$Q$7,$B3275&lt;'111'!$L$11),"x","")</f>
        <v/>
      </c>
      <c r="S3275" s="79" t="str">
        <f>IF(AND($O3275=$Q$7,$B3275&lt;'111'!$L$11),"x","")</f>
        <v/>
      </c>
      <c r="T3275" s="79" t="str">
        <f>IF(ISERROR(FIND('112'!$M$9,G3275,1)),"",IF((AND(FIND('112'!$M$9,G3275,1)&gt;=1,B3275='112'!$K$9,OR($N3275='112'!$I$6,$O3275='112'!$I$6))),"x",""))</f>
        <v/>
      </c>
      <c r="U3275" s="79" t="str">
        <f>IF(ISERROR(FIND('112'!$M$9,G3275,1)),"",IF((AND(LEFT(G3275,2)=LEFT('112'!$M$9,2),B3275&lt;'112'!$K$9,$N3275='112'!$I$6)),"x",""))</f>
        <v/>
      </c>
      <c r="V3275" s="79" t="str">
        <f>IF(ISERROR(FIND('112'!$M$9,G3275,1)),"",IF((AND(RIGHT(G3275,2)=RIGHT('112'!$M$9,2),B3275&lt;'112'!$K$9,$O3275='112'!$I$6)),"x",""))</f>
        <v/>
      </c>
      <c r="W3275" s="79" t="str">
        <f>IF(AND('341-CT'!$H$9=H3275,OR(LEFT(N3275,3)=$W$7,LEFT(O3275,3)=$W$7)),"x","")</f>
        <v/>
      </c>
      <c r="X3275" s="79" t="str">
        <f>IF(OR(TH!N3275=TH!$X$7,O3275=TH!$X$7),"x","")</f>
        <v/>
      </c>
      <c r="Y3275" s="79" t="str">
        <f>IF(AND(OR(N3275="131",O3275="131"),H3275='131-CT'!$H$9),"x","")</f>
        <v/>
      </c>
      <c r="Z3275" s="79"/>
      <c r="AA3275" s="79" t="str">
        <f>IF(AND(MONTH(E3275)='IN-NX'!$J$5,'IN-NX'!$D$7=D3275),"x","")</f>
        <v/>
      </c>
      <c r="AB3275" s="79" t="str">
        <f>IF(AND(OR(LEFT(TH!N3275,2)="15",LEFT(TH!O3275,2)="15"),LEFT(TH!O3275,3)&lt;&gt;"111",'152-CT'!$J$8=TH!F3275),"x","")</f>
        <v/>
      </c>
      <c r="AC3275" s="79" t="str">
        <f>IF(AND(OR(LEFT(TH!N3275,2)="15",LEFT(TH!O3275,2)="15"),TK!$E$7=TH!F3275),"x","")</f>
        <v/>
      </c>
      <c r="AD3275" s="79" t="str">
        <f>IF(AND(N3275="1521",MONTH(C3275)='BK-NL'!$M$11),"x","")</f>
        <v/>
      </c>
    </row>
    <row r="3276" spans="1:30" ht="16.5" customHeight="1">
      <c r="A3276" s="318" t="str">
        <f>IF(B3276&lt;&gt;"",IF(AND(B3276='IN-TC'!$S$4,OR(TH!N3276="1111",TH!O3276="1111")),TH!D3276,""),"")</f>
        <v/>
      </c>
      <c r="B3276" s="60" t="str">
        <f t="shared" si="389"/>
        <v/>
      </c>
      <c r="C3276" s="75"/>
      <c r="D3276" s="75"/>
      <c r="E3276" s="75"/>
      <c r="F3276" s="69"/>
      <c r="G3276" s="76"/>
      <c r="H3276" s="305"/>
      <c r="I3276" s="383"/>
      <c r="J3276" s="390"/>
      <c r="K3276" s="383"/>
      <c r="L3276" s="390"/>
      <c r="M3276" s="978"/>
      <c r="N3276" s="79"/>
      <c r="O3276" s="79"/>
      <c r="P3276" s="79" t="str">
        <f>IF(AND('331-CT'!$E$7=TH!H3276,OR(N3276="331",O3276="331")),"x","")</f>
        <v/>
      </c>
      <c r="Q3276" s="79" t="str">
        <f>IF(AND(B3276='111'!$L$11,OR($N3276=$Q$7,$O3276=$Q$7)),"x","")</f>
        <v/>
      </c>
      <c r="R3276" s="79" t="str">
        <f>IF(AND($N3276=$Q$7,$B3276&lt;'111'!$L$11),"x","")</f>
        <v/>
      </c>
      <c r="S3276" s="79" t="str">
        <f>IF(AND($O3276=$Q$7,$B3276&lt;'111'!$L$11),"x","")</f>
        <v/>
      </c>
      <c r="T3276" s="79" t="str">
        <f>IF(ISERROR(FIND('112'!$M$9,G3276,1)),"",IF((AND(FIND('112'!$M$9,G3276,1)&gt;=1,B3276='112'!$K$9,OR($N3276='112'!$I$6,$O3276='112'!$I$6))),"x",""))</f>
        <v/>
      </c>
      <c r="U3276" s="79" t="str">
        <f>IF(ISERROR(FIND('112'!$M$9,G3276,1)),"",IF((AND(LEFT(G3276,2)=LEFT('112'!$M$9,2),B3276&lt;'112'!$K$9,$N3276='112'!$I$6)),"x",""))</f>
        <v/>
      </c>
      <c r="V3276" s="79" t="str">
        <f>IF(ISERROR(FIND('112'!$M$9,G3276,1)),"",IF((AND(RIGHT(G3276,2)=RIGHT('112'!$M$9,2),B3276&lt;'112'!$K$9,$O3276='112'!$I$6)),"x",""))</f>
        <v/>
      </c>
      <c r="W3276" s="79" t="str">
        <f>IF(AND('341-CT'!$H$9=H3276,OR(LEFT(N3276,3)=$W$7,LEFT(O3276,3)=$W$7)),"x","")</f>
        <v/>
      </c>
      <c r="X3276" s="79" t="str">
        <f>IF(OR(TH!N3276=TH!$X$7,O3276=TH!$X$7),"x","")</f>
        <v/>
      </c>
      <c r="Y3276" s="79" t="str">
        <f>IF(AND(OR(N3276="131",O3276="131"),H3276='131-CT'!$H$9),"x","")</f>
        <v/>
      </c>
      <c r="Z3276" s="79"/>
      <c r="AA3276" s="79" t="str">
        <f>IF(AND(MONTH(E3276)='IN-NX'!$J$5,'IN-NX'!$D$7=D3276),"x","")</f>
        <v/>
      </c>
      <c r="AB3276" s="79" t="str">
        <f>IF(AND(OR(LEFT(TH!N3276,2)="15",LEFT(TH!O3276,2)="15"),LEFT(TH!O3276,3)&lt;&gt;"111",'152-CT'!$J$8=TH!F3276),"x","")</f>
        <v/>
      </c>
      <c r="AC3276" s="79" t="str">
        <f>IF(AND(OR(LEFT(TH!N3276,2)="15",LEFT(TH!O3276,2)="15"),TK!$E$7=TH!F3276),"x","")</f>
        <v/>
      </c>
      <c r="AD3276" s="79" t="str">
        <f>IF(AND(N3276="1521",MONTH(C3276)='BK-NL'!$M$11),"x","")</f>
        <v/>
      </c>
    </row>
    <row r="3277" spans="1:30" ht="16.5" customHeight="1">
      <c r="A3277" s="318" t="str">
        <f>IF(B3277&lt;&gt;"",IF(AND(B3277='IN-TC'!$S$4,OR(TH!N3277="1111",TH!O3277="1111")),TH!D3277,""),"")</f>
        <v/>
      </c>
      <c r="B3277" s="60" t="str">
        <f t="shared" si="389"/>
        <v/>
      </c>
      <c r="C3277" s="75"/>
      <c r="D3277" s="75"/>
      <c r="E3277" s="75"/>
      <c r="F3277" s="69"/>
      <c r="G3277" s="76"/>
      <c r="H3277" s="305"/>
      <c r="I3277" s="383"/>
      <c r="J3277" s="390"/>
      <c r="K3277" s="383"/>
      <c r="L3277" s="390"/>
      <c r="M3277" s="978"/>
      <c r="N3277" s="79"/>
      <c r="O3277" s="79"/>
      <c r="P3277" s="79" t="str">
        <f>IF(AND('331-CT'!$E$7=TH!H3277,OR(N3277="331",O3277="331")),"x","")</f>
        <v/>
      </c>
      <c r="Q3277" s="79" t="str">
        <f>IF(AND(B3277='111'!$L$11,OR($N3277=$Q$7,$O3277=$Q$7)),"x","")</f>
        <v/>
      </c>
      <c r="R3277" s="79" t="str">
        <f>IF(AND($N3277=$Q$7,$B3277&lt;'111'!$L$11),"x","")</f>
        <v/>
      </c>
      <c r="S3277" s="79" t="str">
        <f>IF(AND($O3277=$Q$7,$B3277&lt;'111'!$L$11),"x","")</f>
        <v/>
      </c>
      <c r="T3277" s="79" t="str">
        <f>IF(ISERROR(FIND('112'!$M$9,G3277,1)),"",IF((AND(FIND('112'!$M$9,G3277,1)&gt;=1,B3277='112'!$K$9,OR($N3277='112'!$I$6,$O3277='112'!$I$6))),"x",""))</f>
        <v/>
      </c>
      <c r="U3277" s="79" t="str">
        <f>IF(ISERROR(FIND('112'!$M$9,G3277,1)),"",IF((AND(LEFT(G3277,2)=LEFT('112'!$M$9,2),B3277&lt;'112'!$K$9,$N3277='112'!$I$6)),"x",""))</f>
        <v/>
      </c>
      <c r="V3277" s="79" t="str">
        <f>IF(ISERROR(FIND('112'!$M$9,G3277,1)),"",IF((AND(RIGHT(G3277,2)=RIGHT('112'!$M$9,2),B3277&lt;'112'!$K$9,$O3277='112'!$I$6)),"x",""))</f>
        <v/>
      </c>
      <c r="W3277" s="79" t="str">
        <f>IF(AND('341-CT'!$H$9=H3277,OR(LEFT(N3277,3)=$W$7,LEFT(O3277,3)=$W$7)),"x","")</f>
        <v/>
      </c>
      <c r="X3277" s="79" t="str">
        <f>IF(OR(TH!N3277=TH!$X$7,O3277=TH!$X$7),"x","")</f>
        <v/>
      </c>
      <c r="Y3277" s="79" t="str">
        <f>IF(AND(OR(N3277="131",O3277="131"),H3277='131-CT'!$H$9),"x","")</f>
        <v/>
      </c>
      <c r="Z3277" s="79"/>
      <c r="AA3277" s="79" t="str">
        <f>IF(AND(MONTH(E3277)='IN-NX'!$J$5,'IN-NX'!$D$7=D3277),"x","")</f>
        <v/>
      </c>
      <c r="AB3277" s="79" t="str">
        <f>IF(AND(OR(LEFT(TH!N3277,2)="15",LEFT(TH!O3277,2)="15"),LEFT(TH!O3277,3)&lt;&gt;"111",'152-CT'!$J$8=TH!F3277),"x","")</f>
        <v/>
      </c>
      <c r="AC3277" s="79" t="str">
        <f>IF(AND(OR(LEFT(TH!N3277,2)="15",LEFT(TH!O3277,2)="15"),TK!$E$7=TH!F3277),"x","")</f>
        <v/>
      </c>
      <c r="AD3277" s="79" t="str">
        <f>IF(AND(N3277="1521",MONTH(C3277)='BK-NL'!$M$11),"x","")</f>
        <v/>
      </c>
    </row>
    <row r="3278" spans="1:30" ht="16.5" customHeight="1">
      <c r="A3278" s="318" t="str">
        <f>IF(B3278&lt;&gt;"",IF(AND(B3278='IN-TC'!$S$4,OR(TH!N3278="1111",TH!O3278="1111")),TH!D3278,""),"")</f>
        <v/>
      </c>
      <c r="B3278" s="60" t="str">
        <f t="shared" si="389"/>
        <v/>
      </c>
      <c r="C3278" s="75"/>
      <c r="D3278" s="75"/>
      <c r="E3278" s="75"/>
      <c r="F3278" s="69"/>
      <c r="G3278" s="76"/>
      <c r="H3278" s="305"/>
      <c r="I3278" s="383"/>
      <c r="J3278" s="390"/>
      <c r="K3278" s="383"/>
      <c r="L3278" s="390"/>
      <c r="M3278" s="978"/>
      <c r="N3278" s="79"/>
      <c r="O3278" s="79"/>
      <c r="P3278" s="79" t="str">
        <f>IF(AND('331-CT'!$E$7=TH!H3278,OR(N3278="331",O3278="331")),"x","")</f>
        <v/>
      </c>
      <c r="Q3278" s="79" t="str">
        <f>IF(AND(B3278='111'!$L$11,OR($N3278=$Q$7,$O3278=$Q$7)),"x","")</f>
        <v/>
      </c>
      <c r="R3278" s="79" t="str">
        <f>IF(AND($N3278=$Q$7,$B3278&lt;'111'!$L$11),"x","")</f>
        <v/>
      </c>
      <c r="S3278" s="79" t="str">
        <f>IF(AND($O3278=$Q$7,$B3278&lt;'111'!$L$11),"x","")</f>
        <v/>
      </c>
      <c r="T3278" s="79" t="str">
        <f>IF(ISERROR(FIND('112'!$M$9,G3278,1)),"",IF((AND(FIND('112'!$M$9,G3278,1)&gt;=1,B3278='112'!$K$9,OR($N3278='112'!$I$6,$O3278='112'!$I$6))),"x",""))</f>
        <v/>
      </c>
      <c r="U3278" s="79" t="str">
        <f>IF(ISERROR(FIND('112'!$M$9,G3278,1)),"",IF((AND(LEFT(G3278,2)=LEFT('112'!$M$9,2),B3278&lt;'112'!$K$9,$N3278='112'!$I$6)),"x",""))</f>
        <v/>
      </c>
      <c r="V3278" s="79" t="str">
        <f>IF(ISERROR(FIND('112'!$M$9,G3278,1)),"",IF((AND(RIGHT(G3278,2)=RIGHT('112'!$M$9,2),B3278&lt;'112'!$K$9,$O3278='112'!$I$6)),"x",""))</f>
        <v/>
      </c>
      <c r="W3278" s="79" t="str">
        <f>IF(AND('341-CT'!$H$9=H3278,OR(LEFT(N3278,3)=$W$7,LEFT(O3278,3)=$W$7)),"x","")</f>
        <v/>
      </c>
      <c r="X3278" s="79" t="str">
        <f>IF(OR(TH!N3278=TH!$X$7,O3278=TH!$X$7),"x","")</f>
        <v/>
      </c>
      <c r="Y3278" s="79" t="str">
        <f>IF(AND(OR(N3278="131",O3278="131"),H3278='131-CT'!$H$9),"x","")</f>
        <v/>
      </c>
      <c r="Z3278" s="79"/>
      <c r="AA3278" s="79" t="str">
        <f>IF(AND(MONTH(E3278)='IN-NX'!$J$5,'IN-NX'!$D$7=D3278),"x","")</f>
        <v/>
      </c>
      <c r="AB3278" s="79" t="str">
        <f>IF(AND(OR(LEFT(TH!N3278,2)="15",LEFT(TH!O3278,2)="15"),LEFT(TH!O3278,3)&lt;&gt;"111",'152-CT'!$J$8=TH!F3278),"x","")</f>
        <v/>
      </c>
      <c r="AC3278" s="79" t="str">
        <f>IF(AND(OR(LEFT(TH!N3278,2)="15",LEFT(TH!O3278,2)="15"),TK!$E$7=TH!F3278),"x","")</f>
        <v/>
      </c>
      <c r="AD3278" s="79" t="str">
        <f>IF(AND(N3278="1521",MONTH(C3278)='BK-NL'!$M$11),"x","")</f>
        <v/>
      </c>
    </row>
    <row r="3279" spans="1:30" ht="16.5" customHeight="1">
      <c r="A3279" s="318" t="str">
        <f>IF(B3279&lt;&gt;"",IF(AND(B3279='IN-TC'!$S$4,OR(TH!N3279="1111",TH!O3279="1111")),TH!D3279,""),"")</f>
        <v/>
      </c>
      <c r="B3279" s="60" t="str">
        <f t="shared" ref="B3279:B3347" si="390">IF(C3279&lt;&gt;"",MONTH(C3279),"")</f>
        <v/>
      </c>
      <c r="C3279" s="75"/>
      <c r="D3279" s="75"/>
      <c r="E3279" s="75"/>
      <c r="F3279" s="69"/>
      <c r="G3279" s="76"/>
      <c r="H3279" s="305"/>
      <c r="I3279" s="383"/>
      <c r="J3279" s="390"/>
      <c r="K3279" s="383"/>
      <c r="L3279" s="390"/>
      <c r="M3279" s="78"/>
      <c r="N3279" s="79"/>
      <c r="O3279" s="979"/>
      <c r="P3279" s="79" t="str">
        <f>IF(AND('331-CT'!$E$7=TH!H3279,OR(N3279="331",O3279="331")),"x","")</f>
        <v/>
      </c>
      <c r="Q3279" s="79" t="str">
        <f>IF(AND(B3279='111'!$L$11,OR($N3279=$Q$7,$O3279=$Q$7)),"x","")</f>
        <v/>
      </c>
      <c r="R3279" s="79" t="str">
        <f>IF(AND($N3279=$Q$7,$B3279&lt;'111'!$L$11),"x","")</f>
        <v/>
      </c>
      <c r="S3279" s="79" t="str">
        <f>IF(AND($O3279=$Q$7,$B3279&lt;'111'!$L$11),"x","")</f>
        <v/>
      </c>
      <c r="T3279" s="79" t="str">
        <f>IF(ISERROR(FIND('112'!$M$9,G3279,1)),"",IF((AND(FIND('112'!$M$9,G3279,1)&gt;=1,B3279='112'!$K$9,OR($N3279='112'!$I$6,$O3279='112'!$I$6))),"x",""))</f>
        <v/>
      </c>
      <c r="U3279" s="79" t="str">
        <f>IF(ISERROR(FIND('112'!$M$9,G3279,1)),"",IF((AND(LEFT(G3279,2)=LEFT('112'!$M$9,2),B3279&lt;'112'!$K$9,$N3279='112'!$I$6)),"x",""))</f>
        <v/>
      </c>
      <c r="V3279" s="79" t="str">
        <f>IF(ISERROR(FIND('112'!$M$9,G3279,1)),"",IF((AND(RIGHT(G3279,2)=RIGHT('112'!$M$9,2),B3279&lt;'112'!$K$9,$O3279='112'!$I$6)),"x",""))</f>
        <v/>
      </c>
      <c r="W3279" s="79" t="str">
        <f>IF(AND('341-CT'!$H$9=H3279,OR(LEFT(N3279,3)=$W$7,LEFT(O3279,3)=$W$7)),"x","")</f>
        <v/>
      </c>
      <c r="X3279" s="79" t="str">
        <f>IF(OR(TH!N3279=TH!$X$7,O3279=TH!$X$7),"x","")</f>
        <v/>
      </c>
      <c r="Y3279" s="79" t="str">
        <f>IF(AND(OR(N3279="131",O3279="131"),H3279='131-CT'!$H$9),"x","")</f>
        <v/>
      </c>
      <c r="Z3279" s="79"/>
      <c r="AA3279" s="79" t="str">
        <f>IF(AND(MONTH(E3279)='IN-NX'!$J$5,'IN-NX'!$D$7=D3279),"x","")</f>
        <v/>
      </c>
      <c r="AB3279" s="79" t="str">
        <f>IF(AND(OR(LEFT(TH!N3279,2)="15",LEFT(TH!O3279,2)="15"),LEFT(TH!O3279,3)&lt;&gt;"111",'152-CT'!$J$8=TH!F3279),"x","")</f>
        <v/>
      </c>
      <c r="AC3279" s="79" t="str">
        <f>IF(AND(OR(LEFT(TH!N3279,2)="15",LEFT(TH!O3279,2)="15"),TK!$E$7=TH!F3279),"x","")</f>
        <v/>
      </c>
      <c r="AD3279" s="79" t="str">
        <f>IF(AND(N3279="1521",MONTH(C3279)='BK-NL'!$M$11),"x","")</f>
        <v/>
      </c>
    </row>
    <row r="3280" spans="1:30" ht="16.5" customHeight="1">
      <c r="A3280" s="318" t="str">
        <f>IF(B3280&lt;&gt;"",IF(AND(B3280='IN-TC'!$S$4,OR(TH!N3280="1111",TH!O3280="1111")),TH!D3280,""),"")</f>
        <v/>
      </c>
      <c r="B3280" s="60" t="str">
        <f t="shared" si="390"/>
        <v/>
      </c>
      <c r="C3280" s="75"/>
      <c r="D3280" s="75"/>
      <c r="E3280" s="75"/>
      <c r="F3280" s="69"/>
      <c r="G3280" s="76"/>
      <c r="H3280" s="305"/>
      <c r="I3280" s="383"/>
      <c r="J3280" s="390"/>
      <c r="K3280" s="383"/>
      <c r="L3280" s="390"/>
      <c r="M3280" s="978"/>
      <c r="N3280" s="79"/>
      <c r="O3280" s="979"/>
      <c r="P3280" s="79" t="str">
        <f>IF(AND('331-CT'!$E$7=TH!H3280,OR(N3280="331",O3280="331")),"x","")</f>
        <v/>
      </c>
      <c r="Q3280" s="79" t="str">
        <f>IF(AND(B3280='111'!$L$11,OR($N3280=$Q$7,$O3280=$Q$7)),"x","")</f>
        <v/>
      </c>
      <c r="R3280" s="79" t="str">
        <f>IF(AND($N3280=$Q$7,$B3280&lt;'111'!$L$11),"x","")</f>
        <v/>
      </c>
      <c r="S3280" s="79" t="str">
        <f>IF(AND($O3280=$Q$7,$B3280&lt;'111'!$L$11),"x","")</f>
        <v/>
      </c>
      <c r="T3280" s="79" t="str">
        <f>IF(ISERROR(FIND('112'!$M$9,G3280,1)),"",IF((AND(FIND('112'!$M$9,G3280,1)&gt;=1,B3280='112'!$K$9,OR($N3280='112'!$I$6,$O3280='112'!$I$6))),"x",""))</f>
        <v/>
      </c>
      <c r="U3280" s="79" t="str">
        <f>IF(ISERROR(FIND('112'!$M$9,G3280,1)),"",IF((AND(LEFT(G3280,2)=LEFT('112'!$M$9,2),B3280&lt;'112'!$K$9,$N3280='112'!$I$6)),"x",""))</f>
        <v/>
      </c>
      <c r="V3280" s="79" t="str">
        <f>IF(ISERROR(FIND('112'!$M$9,G3280,1)),"",IF((AND(RIGHT(G3280,2)=RIGHT('112'!$M$9,2),B3280&lt;'112'!$K$9,$O3280='112'!$I$6)),"x",""))</f>
        <v/>
      </c>
      <c r="W3280" s="79" t="str">
        <f>IF(AND('341-CT'!$H$9=H3280,OR(LEFT(N3280,3)=$W$7,LEFT(O3280,3)=$W$7)),"x","")</f>
        <v/>
      </c>
      <c r="X3280" s="79" t="str">
        <f>IF(OR(TH!N3280=TH!$X$7,O3280=TH!$X$7),"x","")</f>
        <v/>
      </c>
      <c r="Y3280" s="79" t="str">
        <f>IF(AND(OR(N3280="131",O3280="131"),H3280='131-CT'!$H$9),"x","")</f>
        <v/>
      </c>
      <c r="Z3280" s="79"/>
      <c r="AA3280" s="79" t="str">
        <f>IF(AND(MONTH(E3280)='IN-NX'!$J$5,'IN-NX'!$D$7=D3280),"x","")</f>
        <v/>
      </c>
      <c r="AB3280" s="79" t="str">
        <f>IF(AND(OR(LEFT(TH!N3280,2)="15",LEFT(TH!O3280,2)="15"),LEFT(TH!O3280,3)&lt;&gt;"111",'152-CT'!$J$8=TH!F3280),"x","")</f>
        <v/>
      </c>
      <c r="AC3280" s="79" t="str">
        <f>IF(AND(OR(LEFT(TH!N3280,2)="15",LEFT(TH!O3280,2)="15"),TK!$E$7=TH!F3280),"x","")</f>
        <v/>
      </c>
      <c r="AD3280" s="79" t="str">
        <f>IF(AND(N3280="1521",MONTH(C3280)='BK-NL'!$M$11),"x","")</f>
        <v/>
      </c>
    </row>
    <row r="3281" spans="1:30" ht="16.5" customHeight="1">
      <c r="A3281" s="318" t="str">
        <f>IF(B3281&lt;&gt;"",IF(AND(B3281='IN-TC'!$S$4,OR(TH!N3281="1111",TH!O3281="1111")),TH!D3281,""),"")</f>
        <v/>
      </c>
      <c r="B3281" s="60" t="str">
        <f t="shared" si="390"/>
        <v/>
      </c>
      <c r="C3281" s="75"/>
      <c r="D3281" s="75"/>
      <c r="E3281" s="75"/>
      <c r="F3281" s="69"/>
      <c r="G3281" s="76"/>
      <c r="H3281" s="305"/>
      <c r="I3281" s="383"/>
      <c r="J3281" s="390"/>
      <c r="K3281" s="383"/>
      <c r="L3281" s="390"/>
      <c r="M3281" s="978"/>
      <c r="N3281" s="79"/>
      <c r="O3281" s="979"/>
      <c r="P3281" s="79" t="str">
        <f>IF(AND('331-CT'!$E$7=TH!H3281,OR(N3281="331",O3281="331")),"x","")</f>
        <v/>
      </c>
      <c r="Q3281" s="79" t="str">
        <f>IF(AND(B3281='111'!$L$11,OR($N3281=$Q$7,$O3281=$Q$7)),"x","")</f>
        <v/>
      </c>
      <c r="R3281" s="79" t="str">
        <f>IF(AND($N3281=$Q$7,$B3281&lt;'111'!$L$11),"x","")</f>
        <v/>
      </c>
      <c r="S3281" s="79" t="str">
        <f>IF(AND($O3281=$Q$7,$B3281&lt;'111'!$L$11),"x","")</f>
        <v/>
      </c>
      <c r="T3281" s="79" t="str">
        <f>IF(ISERROR(FIND('112'!$M$9,G3281,1)),"",IF((AND(FIND('112'!$M$9,G3281,1)&gt;=1,B3281='112'!$K$9,OR($N3281='112'!$I$6,$O3281='112'!$I$6))),"x",""))</f>
        <v/>
      </c>
      <c r="U3281" s="79" t="str">
        <f>IF(ISERROR(FIND('112'!$M$9,G3281,1)),"",IF((AND(LEFT(G3281,2)=LEFT('112'!$M$9,2),B3281&lt;'112'!$K$9,$N3281='112'!$I$6)),"x",""))</f>
        <v/>
      </c>
      <c r="V3281" s="79" t="str">
        <f>IF(ISERROR(FIND('112'!$M$9,G3281,1)),"",IF((AND(RIGHT(G3281,2)=RIGHT('112'!$M$9,2),B3281&lt;'112'!$K$9,$O3281='112'!$I$6)),"x",""))</f>
        <v/>
      </c>
      <c r="W3281" s="79" t="str">
        <f>IF(AND('341-CT'!$H$9=H3281,OR(LEFT(N3281,3)=$W$7,LEFT(O3281,3)=$W$7)),"x","")</f>
        <v/>
      </c>
      <c r="X3281" s="79" t="str">
        <f>IF(OR(TH!N3281=TH!$X$7,O3281=TH!$X$7),"x","")</f>
        <v/>
      </c>
      <c r="Y3281" s="79" t="str">
        <f>IF(AND(OR(N3281="131",O3281="131"),H3281='131-CT'!$H$9),"x","")</f>
        <v/>
      </c>
      <c r="Z3281" s="79"/>
      <c r="AA3281" s="79" t="str">
        <f>IF(AND(MONTH(E3281)='IN-NX'!$J$5,'IN-NX'!$D$7=D3281),"x","")</f>
        <v/>
      </c>
      <c r="AB3281" s="79" t="str">
        <f>IF(AND(OR(LEFT(TH!N3281,2)="15",LEFT(TH!O3281,2)="15"),LEFT(TH!O3281,3)&lt;&gt;"111",'152-CT'!$J$8=TH!F3281),"x","")</f>
        <v/>
      </c>
      <c r="AC3281" s="79" t="str">
        <f>IF(AND(OR(LEFT(TH!N3281,2)="15",LEFT(TH!O3281,2)="15"),TK!$E$7=TH!F3281),"x","")</f>
        <v/>
      </c>
      <c r="AD3281" s="79" t="str">
        <f>IF(AND(N3281="1521",MONTH(C3281)='BK-NL'!$M$11),"x","")</f>
        <v/>
      </c>
    </row>
    <row r="3282" spans="1:30" ht="16.5" customHeight="1">
      <c r="A3282" s="318" t="str">
        <f>IF(B3282&lt;&gt;"",IF(AND(B3282='IN-TC'!$S$4,OR(TH!N3282="1111",TH!O3282="1111")),TH!D3282,""),"")</f>
        <v/>
      </c>
      <c r="B3282" s="60" t="str">
        <f t="shared" si="390"/>
        <v/>
      </c>
      <c r="C3282" s="75"/>
      <c r="D3282" s="75"/>
      <c r="E3282" s="75"/>
      <c r="F3282" s="69"/>
      <c r="G3282" s="76"/>
      <c r="H3282" s="305"/>
      <c r="I3282" s="383"/>
      <c r="J3282" s="390"/>
      <c r="K3282" s="383"/>
      <c r="L3282" s="390"/>
      <c r="M3282" s="978"/>
      <c r="N3282" s="79"/>
      <c r="O3282" s="979"/>
      <c r="P3282" s="79" t="str">
        <f>IF(AND('331-CT'!$E$7=TH!H3282,OR(N3282="331",O3282="331")),"x","")</f>
        <v/>
      </c>
      <c r="Q3282" s="79" t="str">
        <f>IF(AND(B3282='111'!$L$11,OR($N3282=$Q$7,$O3282=$Q$7)),"x","")</f>
        <v/>
      </c>
      <c r="R3282" s="79" t="str">
        <f>IF(AND($N3282=$Q$7,$B3282&lt;'111'!$L$11),"x","")</f>
        <v/>
      </c>
      <c r="S3282" s="79" t="str">
        <f>IF(AND($O3282=$Q$7,$B3282&lt;'111'!$L$11),"x","")</f>
        <v/>
      </c>
      <c r="T3282" s="79" t="str">
        <f>IF(ISERROR(FIND('112'!$M$9,G3282,1)),"",IF((AND(FIND('112'!$M$9,G3282,1)&gt;=1,B3282='112'!$K$9,OR($N3282='112'!$I$6,$O3282='112'!$I$6))),"x",""))</f>
        <v/>
      </c>
      <c r="U3282" s="79" t="str">
        <f>IF(ISERROR(FIND('112'!$M$9,G3282,1)),"",IF((AND(LEFT(G3282,2)=LEFT('112'!$M$9,2),B3282&lt;'112'!$K$9,$N3282='112'!$I$6)),"x",""))</f>
        <v/>
      </c>
      <c r="V3282" s="79" t="str">
        <f>IF(ISERROR(FIND('112'!$M$9,G3282,1)),"",IF((AND(RIGHT(G3282,2)=RIGHT('112'!$M$9,2),B3282&lt;'112'!$K$9,$O3282='112'!$I$6)),"x",""))</f>
        <v/>
      </c>
      <c r="W3282" s="79" t="str">
        <f>IF(AND('341-CT'!$H$9=H3282,OR(LEFT(N3282,3)=$W$7,LEFT(O3282,3)=$W$7)),"x","")</f>
        <v/>
      </c>
      <c r="X3282" s="79" t="str">
        <f>IF(OR(TH!N3282=TH!$X$7,O3282=TH!$X$7),"x","")</f>
        <v/>
      </c>
      <c r="Y3282" s="79" t="str">
        <f>IF(AND(OR(N3282="131",O3282="131"),H3282='131-CT'!$H$9),"x","")</f>
        <v/>
      </c>
      <c r="Z3282" s="79"/>
      <c r="AA3282" s="79" t="str">
        <f>IF(AND(MONTH(E3282)='IN-NX'!$J$5,'IN-NX'!$D$7=D3282),"x","")</f>
        <v/>
      </c>
      <c r="AB3282" s="79" t="str">
        <f>IF(AND(OR(LEFT(TH!N3282,2)="15",LEFT(TH!O3282,2)="15"),LEFT(TH!O3282,3)&lt;&gt;"111",'152-CT'!$J$8=TH!F3282),"x","")</f>
        <v/>
      </c>
      <c r="AC3282" s="79" t="str">
        <f>IF(AND(OR(LEFT(TH!N3282,2)="15",LEFT(TH!O3282,2)="15"),TK!$E$7=TH!F3282),"x","")</f>
        <v/>
      </c>
      <c r="AD3282" s="79" t="str">
        <f>IF(AND(N3282="1521",MONTH(C3282)='BK-NL'!$M$11),"x","")</f>
        <v/>
      </c>
    </row>
    <row r="3283" spans="1:30" ht="16.5" customHeight="1">
      <c r="A3283" s="318" t="str">
        <f>IF(B3283&lt;&gt;"",IF(AND(B3283='IN-TC'!$S$4,OR(TH!N3283="1111",TH!O3283="1111")),TH!D3283,""),"")</f>
        <v/>
      </c>
      <c r="B3283" s="60" t="str">
        <f t="shared" si="390"/>
        <v/>
      </c>
      <c r="C3283" s="75"/>
      <c r="D3283" s="75"/>
      <c r="E3283" s="75"/>
      <c r="F3283" s="69"/>
      <c r="G3283" s="76"/>
      <c r="H3283" s="305"/>
      <c r="I3283" s="383"/>
      <c r="J3283" s="390"/>
      <c r="K3283" s="383"/>
      <c r="L3283" s="390"/>
      <c r="M3283" s="978"/>
      <c r="N3283" s="79"/>
      <c r="O3283" s="979"/>
      <c r="P3283" s="79" t="str">
        <f>IF(AND('331-CT'!$E$7=TH!H3283,OR(N3283="331",O3283="331")),"x","")</f>
        <v/>
      </c>
      <c r="Q3283" s="79" t="str">
        <f>IF(AND(B3283='111'!$L$11,OR($N3283=$Q$7,$O3283=$Q$7)),"x","")</f>
        <v/>
      </c>
      <c r="R3283" s="79" t="str">
        <f>IF(AND($N3283=$Q$7,$B3283&lt;'111'!$L$11),"x","")</f>
        <v/>
      </c>
      <c r="S3283" s="79" t="str">
        <f>IF(AND($O3283=$Q$7,$B3283&lt;'111'!$L$11),"x","")</f>
        <v/>
      </c>
      <c r="T3283" s="79" t="str">
        <f>IF(ISERROR(FIND('112'!$M$9,G3283,1)),"",IF((AND(FIND('112'!$M$9,G3283,1)&gt;=1,B3283='112'!$K$9,OR($N3283='112'!$I$6,$O3283='112'!$I$6))),"x",""))</f>
        <v/>
      </c>
      <c r="U3283" s="79" t="str">
        <f>IF(ISERROR(FIND('112'!$M$9,G3283,1)),"",IF((AND(LEFT(G3283,2)=LEFT('112'!$M$9,2),B3283&lt;'112'!$K$9,$N3283='112'!$I$6)),"x",""))</f>
        <v/>
      </c>
      <c r="V3283" s="79" t="str">
        <f>IF(ISERROR(FIND('112'!$M$9,G3283,1)),"",IF((AND(RIGHT(G3283,2)=RIGHT('112'!$M$9,2),B3283&lt;'112'!$K$9,$O3283='112'!$I$6)),"x",""))</f>
        <v/>
      </c>
      <c r="W3283" s="79" t="str">
        <f>IF(AND('341-CT'!$H$9=H3283,OR(LEFT(N3283,3)=$W$7,LEFT(O3283,3)=$W$7)),"x","")</f>
        <v/>
      </c>
      <c r="X3283" s="79" t="str">
        <f>IF(OR(TH!N3283=TH!$X$7,O3283=TH!$X$7),"x","")</f>
        <v/>
      </c>
      <c r="Y3283" s="79" t="str">
        <f>IF(AND(OR(N3283="131",O3283="131"),H3283='131-CT'!$H$9),"x","")</f>
        <v/>
      </c>
      <c r="Z3283" s="79"/>
      <c r="AA3283" s="79" t="str">
        <f>IF(AND(MONTH(E3283)='IN-NX'!$J$5,'IN-NX'!$D$7=D3283),"x","")</f>
        <v/>
      </c>
      <c r="AB3283" s="79" t="str">
        <f>IF(AND(OR(LEFT(TH!N3283,2)="15",LEFT(TH!O3283,2)="15"),LEFT(TH!O3283,3)&lt;&gt;"111",'152-CT'!$J$8=TH!F3283),"x","")</f>
        <v/>
      </c>
      <c r="AC3283" s="79" t="str">
        <f>IF(AND(OR(LEFT(TH!N3283,2)="15",LEFT(TH!O3283,2)="15"),TK!$E$7=TH!F3283),"x","")</f>
        <v/>
      </c>
      <c r="AD3283" s="79" t="str">
        <f>IF(AND(N3283="1521",MONTH(C3283)='BK-NL'!$M$11),"x","")</f>
        <v/>
      </c>
    </row>
    <row r="3284" spans="1:30" ht="16.5" customHeight="1">
      <c r="A3284" s="318" t="str">
        <f>IF(B3284&lt;&gt;"",IF(AND(B3284='IN-TC'!$S$4,OR(TH!N3284="1111",TH!O3284="1111")),TH!D3284,""),"")</f>
        <v/>
      </c>
      <c r="B3284" s="60" t="str">
        <f t="shared" si="390"/>
        <v/>
      </c>
      <c r="C3284" s="75"/>
      <c r="D3284" s="75"/>
      <c r="E3284" s="75"/>
      <c r="F3284" s="69"/>
      <c r="G3284" s="76"/>
      <c r="H3284" s="305"/>
      <c r="I3284" s="383"/>
      <c r="J3284" s="390"/>
      <c r="K3284" s="383"/>
      <c r="L3284" s="390"/>
      <c r="M3284" s="978"/>
      <c r="N3284" s="79"/>
      <c r="O3284" s="979"/>
      <c r="P3284" s="79" t="str">
        <f>IF(AND('331-CT'!$E$7=TH!H3284,OR(N3284="331",O3284="331")),"x","")</f>
        <v/>
      </c>
      <c r="Q3284" s="79" t="str">
        <f>IF(AND(B3284='111'!$L$11,OR($N3284=$Q$7,$O3284=$Q$7)),"x","")</f>
        <v/>
      </c>
      <c r="R3284" s="79" t="str">
        <f>IF(AND($N3284=$Q$7,$B3284&lt;'111'!$L$11),"x","")</f>
        <v/>
      </c>
      <c r="S3284" s="79" t="str">
        <f>IF(AND($O3284=$Q$7,$B3284&lt;'111'!$L$11),"x","")</f>
        <v/>
      </c>
      <c r="T3284" s="79" t="str">
        <f>IF(ISERROR(FIND('112'!$M$9,G3284,1)),"",IF((AND(FIND('112'!$M$9,G3284,1)&gt;=1,B3284='112'!$K$9,OR($N3284='112'!$I$6,$O3284='112'!$I$6))),"x",""))</f>
        <v/>
      </c>
      <c r="U3284" s="79" t="str">
        <f>IF(ISERROR(FIND('112'!$M$9,G3284,1)),"",IF((AND(LEFT(G3284,2)=LEFT('112'!$M$9,2),B3284&lt;'112'!$K$9,$N3284='112'!$I$6)),"x",""))</f>
        <v/>
      </c>
      <c r="V3284" s="79" t="str">
        <f>IF(ISERROR(FIND('112'!$M$9,G3284,1)),"",IF((AND(RIGHT(G3284,2)=RIGHT('112'!$M$9,2),B3284&lt;'112'!$K$9,$O3284='112'!$I$6)),"x",""))</f>
        <v/>
      </c>
      <c r="W3284" s="79" t="str">
        <f>IF(AND('341-CT'!$H$9=H3284,OR(LEFT(N3284,3)=$W$7,LEFT(O3284,3)=$W$7)),"x","")</f>
        <v/>
      </c>
      <c r="X3284" s="79" t="str">
        <f>IF(OR(TH!N3284=TH!$X$7,O3284=TH!$X$7),"x","")</f>
        <v/>
      </c>
      <c r="Y3284" s="79" t="str">
        <f>IF(AND(OR(N3284="131",O3284="131"),H3284='131-CT'!$H$9),"x","")</f>
        <v/>
      </c>
      <c r="Z3284" s="79"/>
      <c r="AA3284" s="79" t="str">
        <f>IF(AND(MONTH(E3284)='IN-NX'!$J$5,'IN-NX'!$D$7=D3284),"x","")</f>
        <v/>
      </c>
      <c r="AB3284" s="79" t="str">
        <f>IF(AND(OR(LEFT(TH!N3284,2)="15",LEFT(TH!O3284,2)="15"),LEFT(TH!O3284,3)&lt;&gt;"111",'152-CT'!$J$8=TH!F3284),"x","")</f>
        <v/>
      </c>
      <c r="AC3284" s="79" t="str">
        <f>IF(AND(OR(LEFT(TH!N3284,2)="15",LEFT(TH!O3284,2)="15"),TK!$E$7=TH!F3284),"x","")</f>
        <v/>
      </c>
      <c r="AD3284" s="79" t="str">
        <f>IF(AND(N3284="1521",MONTH(C3284)='BK-NL'!$M$11),"x","")</f>
        <v/>
      </c>
    </row>
    <row r="3285" spans="1:30" ht="16.5" customHeight="1">
      <c r="A3285" s="318" t="str">
        <f>IF(B3285&lt;&gt;"",IF(AND(B3285='IN-TC'!$S$4,OR(TH!N3285="1111",TH!O3285="1111")),TH!D3285,""),"")</f>
        <v/>
      </c>
      <c r="B3285" s="60" t="str">
        <f t="shared" si="390"/>
        <v/>
      </c>
      <c r="C3285" s="75"/>
      <c r="D3285" s="75"/>
      <c r="E3285" s="75"/>
      <c r="F3285" s="69"/>
      <c r="G3285" s="76"/>
      <c r="H3285" s="305"/>
      <c r="I3285" s="383"/>
      <c r="J3285" s="390"/>
      <c r="K3285" s="383"/>
      <c r="L3285" s="390"/>
      <c r="M3285" s="978"/>
      <c r="N3285" s="79"/>
      <c r="O3285" s="979"/>
      <c r="P3285" s="79" t="str">
        <f>IF(AND('331-CT'!$E$7=TH!H3285,OR(N3285="331",O3285="331")),"x","")</f>
        <v/>
      </c>
      <c r="Q3285" s="79" t="str">
        <f>IF(AND(B3285='111'!$L$11,OR($N3285=$Q$7,$O3285=$Q$7)),"x","")</f>
        <v/>
      </c>
      <c r="R3285" s="79" t="str">
        <f>IF(AND($N3285=$Q$7,$B3285&lt;'111'!$L$11),"x","")</f>
        <v/>
      </c>
      <c r="S3285" s="79" t="str">
        <f>IF(AND($O3285=$Q$7,$B3285&lt;'111'!$L$11),"x","")</f>
        <v/>
      </c>
      <c r="T3285" s="79" t="str">
        <f>IF(ISERROR(FIND('112'!$M$9,G3285,1)),"",IF((AND(FIND('112'!$M$9,G3285,1)&gt;=1,B3285='112'!$K$9,OR($N3285='112'!$I$6,$O3285='112'!$I$6))),"x",""))</f>
        <v/>
      </c>
      <c r="U3285" s="79" t="str">
        <f>IF(ISERROR(FIND('112'!$M$9,G3285,1)),"",IF((AND(LEFT(G3285,2)=LEFT('112'!$M$9,2),B3285&lt;'112'!$K$9,$N3285='112'!$I$6)),"x",""))</f>
        <v/>
      </c>
      <c r="V3285" s="79" t="str">
        <f>IF(ISERROR(FIND('112'!$M$9,G3285,1)),"",IF((AND(RIGHT(G3285,2)=RIGHT('112'!$M$9,2),B3285&lt;'112'!$K$9,$O3285='112'!$I$6)),"x",""))</f>
        <v/>
      </c>
      <c r="W3285" s="79" t="str">
        <f>IF(AND('341-CT'!$H$9=H3285,OR(LEFT(N3285,3)=$W$7,LEFT(O3285,3)=$W$7)),"x","")</f>
        <v/>
      </c>
      <c r="X3285" s="79" t="str">
        <f>IF(OR(TH!N3285=TH!$X$7,O3285=TH!$X$7),"x","")</f>
        <v/>
      </c>
      <c r="Y3285" s="79" t="str">
        <f>IF(AND(OR(N3285="131",O3285="131"),H3285='131-CT'!$H$9),"x","")</f>
        <v/>
      </c>
      <c r="Z3285" s="79"/>
      <c r="AA3285" s="79" t="str">
        <f>IF(AND(MONTH(E3285)='IN-NX'!$J$5,'IN-NX'!$D$7=D3285),"x","")</f>
        <v/>
      </c>
      <c r="AB3285" s="79" t="str">
        <f>IF(AND(OR(LEFT(TH!N3285,2)="15",LEFT(TH!O3285,2)="15"),LEFT(TH!O3285,3)&lt;&gt;"111",'152-CT'!$J$8=TH!F3285),"x","")</f>
        <v/>
      </c>
      <c r="AC3285" s="79" t="str">
        <f>IF(AND(OR(LEFT(TH!N3285,2)="15",LEFT(TH!O3285,2)="15"),TK!$E$7=TH!F3285),"x","")</f>
        <v/>
      </c>
      <c r="AD3285" s="79" t="str">
        <f>IF(AND(N3285="1521",MONTH(C3285)='BK-NL'!$M$11),"x","")</f>
        <v/>
      </c>
    </row>
    <row r="3286" spans="1:30" ht="16.5" customHeight="1">
      <c r="A3286" s="318" t="str">
        <f>IF(B3286&lt;&gt;"",IF(AND(B3286='IN-TC'!$S$4,OR(TH!N3286="1111",TH!O3286="1111")),TH!D3286,""),"")</f>
        <v/>
      </c>
      <c r="B3286" s="60" t="str">
        <f t="shared" si="390"/>
        <v/>
      </c>
      <c r="C3286" s="75"/>
      <c r="D3286" s="75"/>
      <c r="E3286" s="75"/>
      <c r="F3286" s="69"/>
      <c r="G3286" s="76"/>
      <c r="H3286" s="305"/>
      <c r="I3286" s="383"/>
      <c r="J3286" s="390"/>
      <c r="K3286" s="383"/>
      <c r="L3286" s="390"/>
      <c r="M3286" s="978"/>
      <c r="N3286" s="79"/>
      <c r="O3286" s="979"/>
      <c r="P3286" s="79" t="str">
        <f>IF(AND('331-CT'!$E$7=TH!H3286,OR(N3286="331",O3286="331")),"x","")</f>
        <v/>
      </c>
      <c r="Q3286" s="79" t="str">
        <f>IF(AND(B3286='111'!$L$11,OR($N3286=$Q$7,$O3286=$Q$7)),"x","")</f>
        <v/>
      </c>
      <c r="R3286" s="79" t="str">
        <f>IF(AND($N3286=$Q$7,$B3286&lt;'111'!$L$11),"x","")</f>
        <v/>
      </c>
      <c r="S3286" s="79" t="str">
        <f>IF(AND($O3286=$Q$7,$B3286&lt;'111'!$L$11),"x","")</f>
        <v/>
      </c>
      <c r="T3286" s="79" t="str">
        <f>IF(ISERROR(FIND('112'!$M$9,G3286,1)),"",IF((AND(FIND('112'!$M$9,G3286,1)&gt;=1,B3286='112'!$K$9,OR($N3286='112'!$I$6,$O3286='112'!$I$6))),"x",""))</f>
        <v/>
      </c>
      <c r="U3286" s="79" t="str">
        <f>IF(ISERROR(FIND('112'!$M$9,G3286,1)),"",IF((AND(LEFT(G3286,2)=LEFT('112'!$M$9,2),B3286&lt;'112'!$K$9,$N3286='112'!$I$6)),"x",""))</f>
        <v/>
      </c>
      <c r="V3286" s="79" t="str">
        <f>IF(ISERROR(FIND('112'!$M$9,G3286,1)),"",IF((AND(RIGHT(G3286,2)=RIGHT('112'!$M$9,2),B3286&lt;'112'!$K$9,$O3286='112'!$I$6)),"x",""))</f>
        <v/>
      </c>
      <c r="W3286" s="79" t="str">
        <f>IF(AND('341-CT'!$H$9=H3286,OR(LEFT(N3286,3)=$W$7,LEFT(O3286,3)=$W$7)),"x","")</f>
        <v/>
      </c>
      <c r="X3286" s="79" t="str">
        <f>IF(OR(TH!N3286=TH!$X$7,O3286=TH!$X$7),"x","")</f>
        <v/>
      </c>
      <c r="Y3286" s="79" t="str">
        <f>IF(AND(OR(N3286="131",O3286="131"),H3286='131-CT'!$H$9),"x","")</f>
        <v/>
      </c>
      <c r="Z3286" s="79"/>
      <c r="AA3286" s="79" t="str">
        <f>IF(AND(MONTH(E3286)='IN-NX'!$J$5,'IN-NX'!$D$7=D3286),"x","")</f>
        <v/>
      </c>
      <c r="AB3286" s="79" t="str">
        <f>IF(AND(OR(LEFT(TH!N3286,2)="15",LEFT(TH!O3286,2)="15"),LEFT(TH!O3286,3)&lt;&gt;"111",'152-CT'!$J$8=TH!F3286),"x","")</f>
        <v/>
      </c>
      <c r="AC3286" s="79" t="str">
        <f>IF(AND(OR(LEFT(TH!N3286,2)="15",LEFT(TH!O3286,2)="15"),TK!$E$7=TH!F3286),"x","")</f>
        <v/>
      </c>
      <c r="AD3286" s="79" t="str">
        <f>IF(AND(N3286="1521",MONTH(C3286)='BK-NL'!$M$11),"x","")</f>
        <v/>
      </c>
    </row>
    <row r="3287" spans="1:30" ht="16.5" customHeight="1">
      <c r="A3287" s="318" t="str">
        <f>IF(B3287&lt;&gt;"",IF(AND(B3287='IN-TC'!$S$4,OR(TH!N3287="1111",TH!O3287="1111")),TH!D3287,""),"")</f>
        <v/>
      </c>
      <c r="B3287" s="60" t="str">
        <f t="shared" si="390"/>
        <v/>
      </c>
      <c r="C3287" s="75"/>
      <c r="D3287" s="75"/>
      <c r="E3287" s="75"/>
      <c r="F3287" s="69"/>
      <c r="G3287" s="76"/>
      <c r="H3287" s="305"/>
      <c r="I3287" s="383"/>
      <c r="J3287" s="390"/>
      <c r="K3287" s="383"/>
      <c r="L3287" s="390"/>
      <c r="M3287" s="978"/>
      <c r="N3287" s="79"/>
      <c r="O3287" s="979"/>
      <c r="P3287" s="79" t="str">
        <f>IF(AND('331-CT'!$E$7=TH!H3287,OR(N3287="331",O3287="331")),"x","")</f>
        <v/>
      </c>
      <c r="Q3287" s="79" t="str">
        <f>IF(AND(B3287='111'!$L$11,OR($N3287=$Q$7,$O3287=$Q$7)),"x","")</f>
        <v/>
      </c>
      <c r="R3287" s="79" t="str">
        <f>IF(AND($N3287=$Q$7,$B3287&lt;'111'!$L$11),"x","")</f>
        <v/>
      </c>
      <c r="S3287" s="79" t="str">
        <f>IF(AND($O3287=$Q$7,$B3287&lt;'111'!$L$11),"x","")</f>
        <v/>
      </c>
      <c r="T3287" s="79" t="str">
        <f>IF(ISERROR(FIND('112'!$M$9,G3287,1)),"",IF((AND(FIND('112'!$M$9,G3287,1)&gt;=1,B3287='112'!$K$9,OR($N3287='112'!$I$6,$O3287='112'!$I$6))),"x",""))</f>
        <v/>
      </c>
      <c r="U3287" s="79" t="str">
        <f>IF(ISERROR(FIND('112'!$M$9,G3287,1)),"",IF((AND(LEFT(G3287,2)=LEFT('112'!$M$9,2),B3287&lt;'112'!$K$9,$N3287='112'!$I$6)),"x",""))</f>
        <v/>
      </c>
      <c r="V3287" s="79" t="str">
        <f>IF(ISERROR(FIND('112'!$M$9,G3287,1)),"",IF((AND(RIGHT(G3287,2)=RIGHT('112'!$M$9,2),B3287&lt;'112'!$K$9,$O3287='112'!$I$6)),"x",""))</f>
        <v/>
      </c>
      <c r="W3287" s="79" t="str">
        <f>IF(AND('341-CT'!$H$9=H3287,OR(LEFT(N3287,3)=$W$7,LEFT(O3287,3)=$W$7)),"x","")</f>
        <v/>
      </c>
      <c r="X3287" s="79" t="str">
        <f>IF(OR(TH!N3287=TH!$X$7,O3287=TH!$X$7),"x","")</f>
        <v/>
      </c>
      <c r="Y3287" s="79" t="str">
        <f>IF(AND(OR(N3287="131",O3287="131"),H3287='131-CT'!$H$9),"x","")</f>
        <v/>
      </c>
      <c r="Z3287" s="79"/>
      <c r="AA3287" s="79" t="str">
        <f>IF(AND(MONTH(E3287)='IN-NX'!$J$5,'IN-NX'!$D$7=D3287),"x","")</f>
        <v/>
      </c>
      <c r="AB3287" s="79" t="str">
        <f>IF(AND(OR(LEFT(TH!N3287,2)="15",LEFT(TH!O3287,2)="15"),LEFT(TH!O3287,3)&lt;&gt;"111",'152-CT'!$J$8=TH!F3287),"x","")</f>
        <v/>
      </c>
      <c r="AC3287" s="79" t="str">
        <f>IF(AND(OR(LEFT(TH!N3287,2)="15",LEFT(TH!O3287,2)="15"),TK!$E$7=TH!F3287),"x","")</f>
        <v/>
      </c>
      <c r="AD3287" s="79" t="str">
        <f>IF(AND(N3287="1521",MONTH(C3287)='BK-NL'!$M$11),"x","")</f>
        <v/>
      </c>
    </row>
    <row r="3288" spans="1:30" ht="16.5" customHeight="1">
      <c r="A3288" s="318" t="str">
        <f>IF(B3288&lt;&gt;"",IF(AND(B3288='IN-TC'!$S$4,OR(TH!N3288="1111",TH!O3288="1111")),TH!D3288,""),"")</f>
        <v/>
      </c>
      <c r="B3288" s="60" t="str">
        <f t="shared" si="390"/>
        <v/>
      </c>
      <c r="C3288" s="75"/>
      <c r="D3288" s="75"/>
      <c r="E3288" s="75"/>
      <c r="F3288" s="69"/>
      <c r="G3288" s="76"/>
      <c r="H3288" s="305"/>
      <c r="I3288" s="383"/>
      <c r="J3288" s="390"/>
      <c r="K3288" s="383"/>
      <c r="L3288" s="390"/>
      <c r="M3288" s="978"/>
      <c r="N3288" s="79"/>
      <c r="O3288" s="979"/>
      <c r="P3288" s="79" t="str">
        <f>IF(AND('331-CT'!$E$7=TH!H3288,OR(N3288="331",O3288="331")),"x","")</f>
        <v/>
      </c>
      <c r="Q3288" s="79" t="str">
        <f>IF(AND(B3288='111'!$L$11,OR($N3288=$Q$7,$O3288=$Q$7)),"x","")</f>
        <v/>
      </c>
      <c r="R3288" s="79" t="str">
        <f>IF(AND($N3288=$Q$7,$B3288&lt;'111'!$L$11),"x","")</f>
        <v/>
      </c>
      <c r="S3288" s="79" t="str">
        <f>IF(AND($O3288=$Q$7,$B3288&lt;'111'!$L$11),"x","")</f>
        <v/>
      </c>
      <c r="T3288" s="79" t="str">
        <f>IF(ISERROR(FIND('112'!$M$9,G3288,1)),"",IF((AND(FIND('112'!$M$9,G3288,1)&gt;=1,B3288='112'!$K$9,OR($N3288='112'!$I$6,$O3288='112'!$I$6))),"x",""))</f>
        <v/>
      </c>
      <c r="U3288" s="79" t="str">
        <f>IF(ISERROR(FIND('112'!$M$9,G3288,1)),"",IF((AND(LEFT(G3288,2)=LEFT('112'!$M$9,2),B3288&lt;'112'!$K$9,$N3288='112'!$I$6)),"x",""))</f>
        <v/>
      </c>
      <c r="V3288" s="79" t="str">
        <f>IF(ISERROR(FIND('112'!$M$9,G3288,1)),"",IF((AND(RIGHT(G3288,2)=RIGHT('112'!$M$9,2),B3288&lt;'112'!$K$9,$O3288='112'!$I$6)),"x",""))</f>
        <v/>
      </c>
      <c r="W3288" s="79" t="str">
        <f>IF(AND('341-CT'!$H$9=H3288,OR(LEFT(N3288,3)=$W$7,LEFT(O3288,3)=$W$7)),"x","")</f>
        <v/>
      </c>
      <c r="X3288" s="79" t="str">
        <f>IF(OR(TH!N3288=TH!$X$7,O3288=TH!$X$7),"x","")</f>
        <v/>
      </c>
      <c r="Y3288" s="79" t="str">
        <f>IF(AND(OR(N3288="131",O3288="131"),H3288='131-CT'!$H$9),"x","")</f>
        <v/>
      </c>
      <c r="Z3288" s="79"/>
      <c r="AA3288" s="79" t="str">
        <f>IF(AND(MONTH(E3288)='IN-NX'!$J$5,'IN-NX'!$D$7=D3288),"x","")</f>
        <v/>
      </c>
      <c r="AB3288" s="79" t="str">
        <f>IF(AND(OR(LEFT(TH!N3288,2)="15",LEFT(TH!O3288,2)="15"),LEFT(TH!O3288,3)&lt;&gt;"111",'152-CT'!$J$8=TH!F3288),"x","")</f>
        <v/>
      </c>
      <c r="AC3288" s="79" t="str">
        <f>IF(AND(OR(LEFT(TH!N3288,2)="15",LEFT(TH!O3288,2)="15"),TK!$E$7=TH!F3288),"x","")</f>
        <v/>
      </c>
      <c r="AD3288" s="79" t="str">
        <f>IF(AND(N3288="1521",MONTH(C3288)='BK-NL'!$M$11),"x","")</f>
        <v/>
      </c>
    </row>
    <row r="3289" spans="1:30" ht="16.5" customHeight="1">
      <c r="A3289" s="318" t="str">
        <f>IF(B3289&lt;&gt;"",IF(AND(B3289='IN-TC'!$S$4,OR(TH!N3289="1111",TH!O3289="1111")),TH!D3289,""),"")</f>
        <v/>
      </c>
      <c r="B3289" s="60" t="str">
        <f t="shared" si="390"/>
        <v/>
      </c>
      <c r="C3289" s="1257"/>
      <c r="D3289" s="301"/>
      <c r="E3289" s="301"/>
      <c r="F3289" s="69"/>
      <c r="G3289" s="64"/>
      <c r="H3289" s="69"/>
      <c r="I3289" s="1255"/>
      <c r="J3289" s="1256"/>
      <c r="K3289" s="385"/>
      <c r="L3289" s="392"/>
      <c r="M3289" s="970"/>
      <c r="N3289" s="304"/>
      <c r="O3289" s="304"/>
      <c r="P3289" s="79" t="str">
        <f>IF(AND('331-CT'!$E$7=TH!H3289,OR(N3289="331",O3289="331")),"x","")</f>
        <v/>
      </c>
      <c r="Q3289" s="79" t="str">
        <f>IF(AND(B3289='111'!$L$11,OR($N3289=$Q$7,$O3289=$Q$7)),"x","")</f>
        <v/>
      </c>
      <c r="R3289" s="79" t="str">
        <f>IF(AND($N3289=$Q$7,$B3289&lt;'111'!$L$11),"x","")</f>
        <v/>
      </c>
      <c r="S3289" s="79" t="str">
        <f>IF(AND($O3289=$Q$7,$B3289&lt;'111'!$L$11),"x","")</f>
        <v/>
      </c>
      <c r="T3289" s="79" t="str">
        <f>IF(ISERROR(FIND('112'!$M$9,G3289,1)),"",IF((AND(FIND('112'!$M$9,G3289,1)&gt;=1,B3289='112'!$K$9,OR($N3289='112'!$I$6,$O3289='112'!$I$6))),"x",""))</f>
        <v/>
      </c>
      <c r="U3289" s="79" t="str">
        <f>IF(ISERROR(FIND('112'!$M$9,G3289,1)),"",IF((AND(LEFT(G3289,2)=LEFT('112'!$M$9,2),B3289&lt;'112'!$K$9,$N3289='112'!$I$6)),"x",""))</f>
        <v/>
      </c>
      <c r="V3289" s="79" t="str">
        <f>IF(ISERROR(FIND('112'!$M$9,G3289,1)),"",IF((AND(RIGHT(G3289,2)=RIGHT('112'!$M$9,2),B3289&lt;'112'!$K$9,$O3289='112'!$I$6)),"x",""))</f>
        <v/>
      </c>
      <c r="W3289" s="79" t="str">
        <f>IF(AND('341-CT'!$H$9=H3289,OR(LEFT(N3289,3)=$W$7,LEFT(O3289,3)=$W$7)),"x","")</f>
        <v/>
      </c>
      <c r="X3289" s="79" t="str">
        <f>IF(OR(TH!N3289=TH!$X$7,O3289=TH!$X$7),"x","")</f>
        <v/>
      </c>
      <c r="Y3289" s="79" t="str">
        <f>IF(AND(OR(N3289="131",O3289="131"),H3289='131-CT'!$H$9),"x","")</f>
        <v/>
      </c>
      <c r="Z3289" s="79"/>
      <c r="AA3289" s="79" t="str">
        <f>IF(AND(MONTH(E3289)='IN-NX'!$J$5,'IN-NX'!$D$7=D3289),"x","")</f>
        <v/>
      </c>
      <c r="AB3289" s="79" t="str">
        <f>IF(AND(OR(LEFT(TH!N3289,2)="15",LEFT(TH!O3289,2)="15"),LEFT(TH!O3289,3)&lt;&gt;"111",'152-CT'!$J$8=TH!F3289),"x","")</f>
        <v/>
      </c>
      <c r="AC3289" s="79" t="str">
        <f>IF(AND(OR(LEFT(TH!N3289,2)="15",LEFT(TH!O3289,2)="15"),TK!$E$7=TH!F3289),"x","")</f>
        <v/>
      </c>
      <c r="AD3289" s="79" t="str">
        <f>IF(AND(N3289="1521",MONTH(C3289)='BK-NL'!$M$11),"x","")</f>
        <v/>
      </c>
    </row>
    <row r="3290" spans="1:30" ht="16.5" customHeight="1">
      <c r="A3290" s="318" t="str">
        <f>IF(B3290&lt;&gt;"",IF(AND(B3290='IN-TC'!$S$4,OR(TH!N3290="1111",TH!O3290="1111")),TH!D3290,""),"")</f>
        <v/>
      </c>
      <c r="B3290" s="60" t="str">
        <f t="shared" si="390"/>
        <v/>
      </c>
      <c r="C3290" s="1257"/>
      <c r="D3290" s="301"/>
      <c r="E3290" s="301"/>
      <c r="F3290" s="69"/>
      <c r="G3290" s="64"/>
      <c r="H3290" s="321"/>
      <c r="I3290" s="1255"/>
      <c r="J3290" s="1256"/>
      <c r="K3290" s="385"/>
      <c r="L3290" s="392"/>
      <c r="M3290" s="970"/>
      <c r="N3290" s="304"/>
      <c r="O3290" s="304"/>
      <c r="P3290" s="79" t="str">
        <f>IF(AND('331-CT'!$E$7=TH!H3290,OR(N3290="331",O3290="331")),"x","")</f>
        <v/>
      </c>
      <c r="Q3290" s="79" t="str">
        <f>IF(AND(B3290='111'!$L$11,OR($N3290=$Q$7,$O3290=$Q$7)),"x","")</f>
        <v/>
      </c>
      <c r="R3290" s="79" t="str">
        <f>IF(AND($N3290=$Q$7,$B3290&lt;'111'!$L$11),"x","")</f>
        <v/>
      </c>
      <c r="S3290" s="79" t="str">
        <f>IF(AND($O3290=$Q$7,$B3290&lt;'111'!$L$11),"x","")</f>
        <v/>
      </c>
      <c r="T3290" s="79" t="str">
        <f>IF(ISERROR(FIND('112'!$M$9,G3290,1)),"",IF((AND(FIND('112'!$M$9,G3290,1)&gt;=1,B3290='112'!$K$9,OR($N3290='112'!$I$6,$O3290='112'!$I$6))),"x",""))</f>
        <v/>
      </c>
      <c r="U3290" s="79" t="str">
        <f>IF(ISERROR(FIND('112'!$M$9,G3290,1)),"",IF((AND(LEFT(G3290,2)=LEFT('112'!$M$9,2),B3290&lt;'112'!$K$9,$N3290='112'!$I$6)),"x",""))</f>
        <v/>
      </c>
      <c r="V3290" s="79" t="str">
        <f>IF(ISERROR(FIND('112'!$M$9,G3290,1)),"",IF((AND(RIGHT(G3290,2)=RIGHT('112'!$M$9,2),B3290&lt;'112'!$K$9,$O3290='112'!$I$6)),"x",""))</f>
        <v/>
      </c>
      <c r="W3290" s="79" t="str">
        <f>IF(AND('341-CT'!$H$9=H3290,OR(LEFT(N3290,3)=$W$7,LEFT(O3290,3)=$W$7)),"x","")</f>
        <v/>
      </c>
      <c r="X3290" s="79" t="str">
        <f>IF(OR(TH!N3290=TH!$X$7,O3290=TH!$X$7),"x","")</f>
        <v/>
      </c>
      <c r="Y3290" s="79" t="str">
        <f>IF(AND(OR(N3290="131",O3290="131"),H3290='131-CT'!$H$9),"x","")</f>
        <v/>
      </c>
      <c r="Z3290" s="79"/>
      <c r="AA3290" s="79" t="str">
        <f>IF(AND(MONTH(E3290)='IN-NX'!$J$5,'IN-NX'!$D$7=D3290),"x","")</f>
        <v/>
      </c>
      <c r="AB3290" s="79" t="str">
        <f>IF(AND(OR(LEFT(TH!N3290,2)="15",LEFT(TH!O3290,2)="15"),LEFT(TH!O3290,3)&lt;&gt;"111",'152-CT'!$J$8=TH!F3290),"x","")</f>
        <v/>
      </c>
      <c r="AC3290" s="79" t="str">
        <f>IF(AND(OR(LEFT(TH!N3290,2)="15",LEFT(TH!O3290,2)="15"),TK!$E$7=TH!F3290),"x","")</f>
        <v/>
      </c>
      <c r="AD3290" s="79" t="str">
        <f>IF(AND(N3290="1521",MONTH(C3290)='BK-NL'!$M$11),"x","")</f>
        <v/>
      </c>
    </row>
    <row r="3291" spans="1:30" ht="16.5" customHeight="1">
      <c r="A3291" s="318" t="str">
        <f>IF(B3291&lt;&gt;"",IF(AND(B3291='IN-TC'!$S$4,OR(TH!N3291="1111",TH!O3291="1111")),TH!D3291,""),"")</f>
        <v/>
      </c>
      <c r="B3291" s="60" t="str">
        <f t="shared" si="390"/>
        <v/>
      </c>
      <c r="C3291" s="301"/>
      <c r="D3291" s="301"/>
      <c r="E3291" s="301"/>
      <c r="F3291" s="69"/>
      <c r="G3291" s="988"/>
      <c r="H3291" s="69"/>
      <c r="I3291" s="385"/>
      <c r="J3291" s="969"/>
      <c r="K3291" s="385"/>
      <c r="L3291" s="392"/>
      <c r="M3291" s="970"/>
      <c r="N3291" s="304"/>
      <c r="O3291" s="304"/>
      <c r="P3291" s="79" t="str">
        <f>IF(AND('331-CT'!$E$7=TH!H3291,OR(N3291="331",O3291="331")),"x","")</f>
        <v/>
      </c>
      <c r="Q3291" s="79" t="str">
        <f>IF(AND(B3291='111'!$L$11,OR($N3291=$Q$7,$O3291=$Q$7)),"x","")</f>
        <v/>
      </c>
      <c r="R3291" s="79" t="str">
        <f>IF(AND($N3291=$Q$7,$B3291&lt;'111'!$L$11),"x","")</f>
        <v/>
      </c>
      <c r="S3291" s="79" t="str">
        <f>IF(AND($O3291=$Q$7,$B3291&lt;'111'!$L$11),"x","")</f>
        <v/>
      </c>
      <c r="T3291" s="79" t="str">
        <f>IF(ISERROR(FIND('112'!$M$9,G3291,1)),"",IF((AND(FIND('112'!$M$9,G3291,1)&gt;=1,B3291='112'!$K$9,OR($N3291='112'!$I$6,$O3291='112'!$I$6))),"x",""))</f>
        <v/>
      </c>
      <c r="U3291" s="79" t="str">
        <f>IF(ISERROR(FIND('112'!$M$9,G3291,1)),"",IF((AND(LEFT(G3291,2)=LEFT('112'!$M$9,2),B3291&lt;'112'!$K$9,$N3291='112'!$I$6)),"x",""))</f>
        <v/>
      </c>
      <c r="V3291" s="79" t="str">
        <f>IF(ISERROR(FIND('112'!$M$9,G3291,1)),"",IF((AND(RIGHT(G3291,2)=RIGHT('112'!$M$9,2),B3291&lt;'112'!$K$9,$O3291='112'!$I$6)),"x",""))</f>
        <v/>
      </c>
      <c r="W3291" s="79" t="str">
        <f>IF(AND('341-CT'!$H$9=H3291,OR(LEFT(N3291,3)=$W$7,LEFT(O3291,3)=$W$7)),"x","")</f>
        <v/>
      </c>
      <c r="X3291" s="79" t="str">
        <f>IF(OR(TH!N3291=TH!$X$7,O3291=TH!$X$7),"x","")</f>
        <v/>
      </c>
      <c r="Y3291" s="79" t="str">
        <f>IF(AND(OR(N3291="131",O3291="131"),H3291='131-CT'!$H$9),"x","")</f>
        <v/>
      </c>
      <c r="Z3291" s="79"/>
      <c r="AA3291" s="79" t="str">
        <f>IF(AND(MONTH(E3291)='IN-NX'!$J$5,'IN-NX'!$D$7=D3291),"x","")</f>
        <v/>
      </c>
      <c r="AB3291" s="79" t="str">
        <f>IF(AND(OR(LEFT(TH!N3291,2)="15",LEFT(TH!O3291,2)="15"),LEFT(TH!O3291,3)&lt;&gt;"111",'152-CT'!$J$8=TH!F3291),"x","")</f>
        <v/>
      </c>
      <c r="AC3291" s="79" t="str">
        <f>IF(AND(OR(LEFT(TH!N3291,2)="15",LEFT(TH!O3291,2)="15"),TK!$E$7=TH!F3291),"x","")</f>
        <v/>
      </c>
      <c r="AD3291" s="79" t="str">
        <f>IF(AND(N3291="1521",MONTH(C3291)='BK-NL'!$M$11),"x","")</f>
        <v/>
      </c>
    </row>
    <row r="3292" spans="1:30" ht="16.5" customHeight="1">
      <c r="A3292" s="318" t="str">
        <f>IF(B3292&lt;&gt;"",IF(AND(B3292='IN-TC'!$S$4,OR(TH!N3292="1111",TH!O3292="1111")),TH!D3292,""),"")</f>
        <v/>
      </c>
      <c r="B3292" s="60" t="str">
        <f t="shared" si="390"/>
        <v/>
      </c>
      <c r="C3292" s="61"/>
      <c r="D3292" s="301"/>
      <c r="E3292" s="301"/>
      <c r="F3292" s="69"/>
      <c r="G3292" s="64"/>
      <c r="H3292" s="321"/>
      <c r="I3292" s="385"/>
      <c r="J3292" s="969"/>
      <c r="K3292" s="385"/>
      <c r="L3292" s="392"/>
      <c r="M3292" s="970"/>
      <c r="N3292" s="304"/>
      <c r="O3292" s="304"/>
      <c r="P3292" s="79" t="str">
        <f>IF(AND('331-CT'!$E$7=TH!H3292,OR(N3292="331",O3292="331")),"x","")</f>
        <v/>
      </c>
      <c r="Q3292" s="79" t="str">
        <f>IF(AND(B3292='111'!$L$11,OR($N3292=$Q$7,$O3292=$Q$7)),"x","")</f>
        <v/>
      </c>
      <c r="R3292" s="79" t="str">
        <f>IF(AND($N3292=$Q$7,$B3292&lt;'111'!$L$11),"x","")</f>
        <v/>
      </c>
      <c r="S3292" s="79" t="str">
        <f>IF(AND($O3292=$Q$7,$B3292&lt;'111'!$L$11),"x","")</f>
        <v/>
      </c>
      <c r="T3292" s="79" t="str">
        <f>IF(ISERROR(FIND('112'!$M$9,G3292,1)),"",IF((AND(FIND('112'!$M$9,G3292,1)&gt;=1,B3292='112'!$K$9,OR($N3292='112'!$I$6,$O3292='112'!$I$6))),"x",""))</f>
        <v/>
      </c>
      <c r="U3292" s="79" t="str">
        <f>IF(ISERROR(FIND('112'!$M$9,G3292,1)),"",IF((AND(LEFT(G3292,2)=LEFT('112'!$M$9,2),B3292&lt;'112'!$K$9,$N3292='112'!$I$6)),"x",""))</f>
        <v/>
      </c>
      <c r="V3292" s="79" t="str">
        <f>IF(ISERROR(FIND('112'!$M$9,G3292,1)),"",IF((AND(RIGHT(G3292,2)=RIGHT('112'!$M$9,2),B3292&lt;'112'!$K$9,$O3292='112'!$I$6)),"x",""))</f>
        <v/>
      </c>
      <c r="W3292" s="79" t="str">
        <f>IF(AND('341-CT'!$H$9=H3292,OR(LEFT(N3292,3)=$W$7,LEFT(O3292,3)=$W$7)),"x","")</f>
        <v/>
      </c>
      <c r="X3292" s="79" t="str">
        <f>IF(OR(TH!N3292=TH!$X$7,O3292=TH!$X$7),"x","")</f>
        <v/>
      </c>
      <c r="Y3292" s="79" t="str">
        <f>IF(AND(OR(N3292="131",O3292="131"),H3292='131-CT'!$H$9),"x","")</f>
        <v/>
      </c>
      <c r="Z3292" s="79"/>
      <c r="AA3292" s="79" t="str">
        <f>IF(AND(MONTH(E3292)='IN-NX'!$J$5,'IN-NX'!$D$7=D3292),"x","")</f>
        <v/>
      </c>
      <c r="AB3292" s="79" t="str">
        <f>IF(AND(OR(LEFT(TH!N3292,2)="15",LEFT(TH!O3292,2)="15"),LEFT(TH!O3292,3)&lt;&gt;"111",'152-CT'!$J$8=TH!F3292),"x","")</f>
        <v/>
      </c>
      <c r="AC3292" s="79" t="str">
        <f>IF(AND(OR(LEFT(TH!N3292,2)="15",LEFT(TH!O3292,2)="15"),TK!$E$7=TH!F3292),"x","")</f>
        <v/>
      </c>
      <c r="AD3292" s="79" t="str">
        <f>IF(AND(N3292="1521",MONTH(C3292)='BK-NL'!$M$11),"x","")</f>
        <v/>
      </c>
    </row>
    <row r="3293" spans="1:30" ht="16.5" customHeight="1">
      <c r="A3293" s="318" t="str">
        <f>IF(B3293&lt;&gt;"",IF(AND(B3293='IN-TC'!$S$4,OR(TH!N3293="1111",TH!O3293="1111")),TH!D3293,""),"")</f>
        <v/>
      </c>
      <c r="B3293" s="60" t="str">
        <f t="shared" si="390"/>
        <v/>
      </c>
      <c r="C3293" s="61"/>
      <c r="D3293" s="301"/>
      <c r="E3293" s="301"/>
      <c r="F3293" s="69"/>
      <c r="G3293" s="64"/>
      <c r="H3293" s="321"/>
      <c r="I3293" s="385"/>
      <c r="J3293" s="969"/>
      <c r="K3293" s="385"/>
      <c r="L3293" s="392"/>
      <c r="M3293" s="970"/>
      <c r="N3293" s="304"/>
      <c r="O3293" s="304"/>
      <c r="P3293" s="79" t="str">
        <f>IF(AND('331-CT'!$E$7=TH!H3293,OR(N3293="331",O3293="331")),"x","")</f>
        <v/>
      </c>
      <c r="Q3293" s="79" t="str">
        <f>IF(AND(B3293='111'!$L$11,OR($N3293=$Q$7,$O3293=$Q$7)),"x","")</f>
        <v/>
      </c>
      <c r="R3293" s="79" t="str">
        <f>IF(AND($N3293=$Q$7,$B3293&lt;'111'!$L$11),"x","")</f>
        <v/>
      </c>
      <c r="S3293" s="79" t="str">
        <f>IF(AND($O3293=$Q$7,$B3293&lt;'111'!$L$11),"x","")</f>
        <v/>
      </c>
      <c r="T3293" s="79" t="str">
        <f>IF(ISERROR(FIND('112'!$M$9,G3293,1)),"",IF((AND(FIND('112'!$M$9,G3293,1)&gt;=1,B3293='112'!$K$9,OR($N3293='112'!$I$6,$O3293='112'!$I$6))),"x",""))</f>
        <v/>
      </c>
      <c r="U3293" s="79" t="str">
        <f>IF(ISERROR(FIND('112'!$M$9,G3293,1)),"",IF((AND(LEFT(G3293,2)=LEFT('112'!$M$9,2),B3293&lt;'112'!$K$9,$N3293='112'!$I$6)),"x",""))</f>
        <v/>
      </c>
      <c r="V3293" s="79" t="str">
        <f>IF(ISERROR(FIND('112'!$M$9,G3293,1)),"",IF((AND(RIGHT(G3293,2)=RIGHT('112'!$M$9,2),B3293&lt;'112'!$K$9,$O3293='112'!$I$6)),"x",""))</f>
        <v/>
      </c>
      <c r="W3293" s="79" t="str">
        <f>IF(AND('341-CT'!$H$9=H3293,OR(LEFT(N3293,3)=$W$7,LEFT(O3293,3)=$W$7)),"x","")</f>
        <v/>
      </c>
      <c r="X3293" s="79" t="str">
        <f>IF(OR(TH!N3293=TH!$X$7,O3293=TH!$X$7),"x","")</f>
        <v/>
      </c>
      <c r="Y3293" s="79" t="str">
        <f>IF(AND(OR(N3293="131",O3293="131"),H3293='131-CT'!$H$9),"x","")</f>
        <v/>
      </c>
      <c r="Z3293" s="79"/>
      <c r="AA3293" s="79" t="str">
        <f>IF(AND(MONTH(E3293)='IN-NX'!$J$5,'IN-NX'!$D$7=D3293),"x","")</f>
        <v/>
      </c>
      <c r="AB3293" s="79" t="str">
        <f>IF(AND(OR(LEFT(TH!N3293,2)="15",LEFT(TH!O3293,2)="15"),LEFT(TH!O3293,3)&lt;&gt;"111",'152-CT'!$J$8=TH!F3293),"x","")</f>
        <v/>
      </c>
      <c r="AC3293" s="79" t="str">
        <f>IF(AND(OR(LEFT(TH!N3293,2)="15",LEFT(TH!O3293,2)="15"),TK!$E$7=TH!F3293),"x","")</f>
        <v/>
      </c>
      <c r="AD3293" s="79" t="str">
        <f>IF(AND(N3293="1521",MONTH(C3293)='BK-NL'!$M$11),"x","")</f>
        <v/>
      </c>
    </row>
    <row r="3294" spans="1:30" ht="16.5" customHeight="1">
      <c r="A3294" s="318" t="str">
        <f>IF(B3294&lt;&gt;"",IF(AND(B3294='IN-TC'!$S$4,OR(TH!N3294="1111",TH!O3294="1111")),TH!D3294,""),"")</f>
        <v/>
      </c>
      <c r="B3294" s="60" t="str">
        <f t="shared" si="390"/>
        <v/>
      </c>
      <c r="C3294" s="61"/>
      <c r="D3294" s="301"/>
      <c r="E3294" s="301"/>
      <c r="F3294" s="69"/>
      <c r="G3294" s="64"/>
      <c r="H3294" s="69"/>
      <c r="I3294" s="385"/>
      <c r="J3294" s="969"/>
      <c r="K3294" s="385"/>
      <c r="L3294" s="392"/>
      <c r="M3294" s="970"/>
      <c r="N3294" s="304"/>
      <c r="O3294" s="304"/>
      <c r="P3294" s="79" t="str">
        <f>IF(AND('331-CT'!$E$7=TH!H3294,OR(N3294="331",O3294="331")),"x","")</f>
        <v/>
      </c>
      <c r="Q3294" s="79" t="str">
        <f>IF(AND(B3294='111'!$L$11,OR($N3294=$Q$7,$O3294=$Q$7)),"x","")</f>
        <v/>
      </c>
      <c r="R3294" s="79" t="str">
        <f>IF(AND($N3294=$Q$7,$B3294&lt;'111'!$L$11),"x","")</f>
        <v/>
      </c>
      <c r="S3294" s="79" t="str">
        <f>IF(AND($O3294=$Q$7,$B3294&lt;'111'!$L$11),"x","")</f>
        <v/>
      </c>
      <c r="T3294" s="79" t="str">
        <f>IF(ISERROR(FIND('112'!$M$9,G3294,1)),"",IF((AND(FIND('112'!$M$9,G3294,1)&gt;=1,B3294='112'!$K$9,OR($N3294='112'!$I$6,$O3294='112'!$I$6))),"x",""))</f>
        <v/>
      </c>
      <c r="U3294" s="79" t="str">
        <f>IF(ISERROR(FIND('112'!$M$9,G3294,1)),"",IF((AND(LEFT(G3294,2)=LEFT('112'!$M$9,2),B3294&lt;'112'!$K$9,$N3294='112'!$I$6)),"x",""))</f>
        <v/>
      </c>
      <c r="V3294" s="79" t="str">
        <f>IF(ISERROR(FIND('112'!$M$9,G3294,1)),"",IF((AND(RIGHT(G3294,2)=RIGHT('112'!$M$9,2),B3294&lt;'112'!$K$9,$O3294='112'!$I$6)),"x",""))</f>
        <v/>
      </c>
      <c r="W3294" s="79" t="str">
        <f>IF(AND('341-CT'!$H$9=H3294,OR(LEFT(N3294,3)=$W$7,LEFT(O3294,3)=$W$7)),"x","")</f>
        <v/>
      </c>
      <c r="X3294" s="79" t="str">
        <f>IF(OR(TH!N3294=TH!$X$7,O3294=TH!$X$7),"x","")</f>
        <v/>
      </c>
      <c r="Y3294" s="79" t="str">
        <f>IF(AND(OR(N3294="131",O3294="131"),H3294='131-CT'!$H$9),"x","")</f>
        <v/>
      </c>
      <c r="Z3294" s="79"/>
      <c r="AA3294" s="79" t="str">
        <f>IF(AND(MONTH(E3294)='IN-NX'!$J$5,'IN-NX'!$D$7=D3294),"x","")</f>
        <v/>
      </c>
      <c r="AB3294" s="79" t="str">
        <f>IF(AND(OR(LEFT(TH!N3294,2)="15",LEFT(TH!O3294,2)="15"),LEFT(TH!O3294,3)&lt;&gt;"111",'152-CT'!$J$8=TH!F3294),"x","")</f>
        <v/>
      </c>
      <c r="AC3294" s="79" t="str">
        <f>IF(AND(OR(LEFT(TH!N3294,2)="15",LEFT(TH!O3294,2)="15"),TK!$E$7=TH!F3294),"x","")</f>
        <v/>
      </c>
      <c r="AD3294" s="79" t="str">
        <f>IF(AND(N3294="1521",MONTH(C3294)='BK-NL'!$M$11),"x","")</f>
        <v/>
      </c>
    </row>
    <row r="3295" spans="1:30" ht="16.5" customHeight="1">
      <c r="A3295" s="318" t="str">
        <f>IF(B3295&lt;&gt;"",IF(AND(B3295='IN-TC'!$S$4,OR(TH!N3295="1111",TH!O3295="1111")),TH!D3295,""),"")</f>
        <v/>
      </c>
      <c r="B3295" s="60" t="str">
        <f t="shared" si="390"/>
        <v/>
      </c>
      <c r="C3295" s="61"/>
      <c r="D3295" s="301"/>
      <c r="E3295" s="301"/>
      <c r="F3295" s="69"/>
      <c r="G3295" s="64"/>
      <c r="H3295" s="321"/>
      <c r="I3295" s="385"/>
      <c r="J3295" s="969"/>
      <c r="K3295" s="385"/>
      <c r="L3295" s="392"/>
      <c r="M3295" s="970"/>
      <c r="N3295" s="304"/>
      <c r="O3295" s="304"/>
      <c r="P3295" s="79" t="str">
        <f>IF(AND('331-CT'!$E$7=TH!H3295,OR(N3295="331",O3295="331")),"x","")</f>
        <v/>
      </c>
      <c r="Q3295" s="79" t="str">
        <f>IF(AND(B3295='111'!$L$11,OR($N3295=$Q$7,$O3295=$Q$7)),"x","")</f>
        <v/>
      </c>
      <c r="R3295" s="79" t="str">
        <f>IF(AND($N3295=$Q$7,$B3295&lt;'111'!$L$11),"x","")</f>
        <v/>
      </c>
      <c r="S3295" s="79" t="str">
        <f>IF(AND($O3295=$Q$7,$B3295&lt;'111'!$L$11),"x","")</f>
        <v/>
      </c>
      <c r="T3295" s="79" t="str">
        <f>IF(ISERROR(FIND('112'!$M$9,G3295,1)),"",IF((AND(FIND('112'!$M$9,G3295,1)&gt;=1,B3295='112'!$K$9,OR($N3295='112'!$I$6,$O3295='112'!$I$6))),"x",""))</f>
        <v/>
      </c>
      <c r="U3295" s="79" t="str">
        <f>IF(ISERROR(FIND('112'!$M$9,G3295,1)),"",IF((AND(LEFT(G3295,2)=LEFT('112'!$M$9,2),B3295&lt;'112'!$K$9,$N3295='112'!$I$6)),"x",""))</f>
        <v/>
      </c>
      <c r="V3295" s="79" t="str">
        <f>IF(ISERROR(FIND('112'!$M$9,G3295,1)),"",IF((AND(RIGHT(G3295,2)=RIGHT('112'!$M$9,2),B3295&lt;'112'!$K$9,$O3295='112'!$I$6)),"x",""))</f>
        <v/>
      </c>
      <c r="W3295" s="79" t="str">
        <f>IF(AND('341-CT'!$H$9=H3295,OR(LEFT(N3295,3)=$W$7,LEFT(O3295,3)=$W$7)),"x","")</f>
        <v/>
      </c>
      <c r="X3295" s="79" t="str">
        <f>IF(OR(TH!N3295=TH!$X$7,O3295=TH!$X$7),"x","")</f>
        <v/>
      </c>
      <c r="Y3295" s="79" t="str">
        <f>IF(AND(OR(N3295="131",O3295="131"),H3295='131-CT'!$H$9),"x","")</f>
        <v/>
      </c>
      <c r="Z3295" s="79"/>
      <c r="AA3295" s="79" t="str">
        <f>IF(AND(MONTH(E3295)='IN-NX'!$J$5,'IN-NX'!$D$7=D3295),"x","")</f>
        <v/>
      </c>
      <c r="AB3295" s="79" t="str">
        <f>IF(AND(OR(LEFT(TH!N3295,2)="15",LEFT(TH!O3295,2)="15"),LEFT(TH!O3295,3)&lt;&gt;"111",'152-CT'!$J$8=TH!F3295),"x","")</f>
        <v/>
      </c>
      <c r="AC3295" s="79" t="str">
        <f>IF(AND(OR(LEFT(TH!N3295,2)="15",LEFT(TH!O3295,2)="15"),TK!$E$7=TH!F3295),"x","")</f>
        <v/>
      </c>
      <c r="AD3295" s="79" t="str">
        <f>IF(AND(N3295="1521",MONTH(C3295)='BK-NL'!$M$11),"x","")</f>
        <v/>
      </c>
    </row>
    <row r="3296" spans="1:30" ht="16.5" customHeight="1">
      <c r="A3296" s="318" t="str">
        <f>IF(B3296&lt;&gt;"",IF(AND(B3296='IN-TC'!$S$4,OR(TH!N3296="1111",TH!O3296="1111")),TH!D3296,""),"")</f>
        <v/>
      </c>
      <c r="B3296" s="60" t="str">
        <f t="shared" si="390"/>
        <v/>
      </c>
      <c r="C3296" s="61"/>
      <c r="D3296" s="301"/>
      <c r="E3296" s="301"/>
      <c r="F3296" s="69"/>
      <c r="G3296" s="64"/>
      <c r="H3296" s="321"/>
      <c r="I3296" s="385"/>
      <c r="J3296" s="969"/>
      <c r="K3296" s="385"/>
      <c r="L3296" s="392"/>
      <c r="M3296" s="970"/>
      <c r="N3296" s="304"/>
      <c r="O3296" s="304"/>
      <c r="P3296" s="79" t="str">
        <f>IF(AND('331-CT'!$E$7=TH!H3296,OR(N3296="331",O3296="331")),"x","")</f>
        <v/>
      </c>
      <c r="Q3296" s="79" t="str">
        <f>IF(AND(B3296='111'!$L$11,OR($N3296=$Q$7,$O3296=$Q$7)),"x","")</f>
        <v/>
      </c>
      <c r="R3296" s="79" t="str">
        <f>IF(AND($N3296=$Q$7,$B3296&lt;'111'!$L$11),"x","")</f>
        <v/>
      </c>
      <c r="S3296" s="79" t="str">
        <f>IF(AND($O3296=$Q$7,$B3296&lt;'111'!$L$11),"x","")</f>
        <v/>
      </c>
      <c r="T3296" s="79" t="str">
        <f>IF(ISERROR(FIND('112'!$M$9,G3296,1)),"",IF((AND(FIND('112'!$M$9,G3296,1)&gt;=1,B3296='112'!$K$9,OR($N3296='112'!$I$6,$O3296='112'!$I$6))),"x",""))</f>
        <v/>
      </c>
      <c r="U3296" s="79" t="str">
        <f>IF(ISERROR(FIND('112'!$M$9,G3296,1)),"",IF((AND(LEFT(G3296,2)=LEFT('112'!$M$9,2),B3296&lt;'112'!$K$9,$N3296='112'!$I$6)),"x",""))</f>
        <v/>
      </c>
      <c r="V3296" s="79" t="str">
        <f>IF(ISERROR(FIND('112'!$M$9,G3296,1)),"",IF((AND(RIGHT(G3296,2)=RIGHT('112'!$M$9,2),B3296&lt;'112'!$K$9,$O3296='112'!$I$6)),"x",""))</f>
        <v/>
      </c>
      <c r="W3296" s="79" t="str">
        <f>IF(AND('341-CT'!$H$9=H3296,OR(LEFT(N3296,3)=$W$7,LEFT(O3296,3)=$W$7)),"x","")</f>
        <v/>
      </c>
      <c r="X3296" s="79" t="str">
        <f>IF(OR(TH!N3296=TH!$X$7,O3296=TH!$X$7),"x","")</f>
        <v/>
      </c>
      <c r="Y3296" s="79" t="str">
        <f>IF(AND(OR(N3296="131",O3296="131"),H3296='131-CT'!$H$9),"x","")</f>
        <v/>
      </c>
      <c r="Z3296" s="79"/>
      <c r="AA3296" s="79" t="str">
        <f>IF(AND(MONTH(E3296)='IN-NX'!$J$5,'IN-NX'!$D$7=D3296),"x","")</f>
        <v/>
      </c>
      <c r="AB3296" s="79" t="str">
        <f>IF(AND(OR(LEFT(TH!N3296,2)="15",LEFT(TH!O3296,2)="15"),LEFT(TH!O3296,3)&lt;&gt;"111",'152-CT'!$J$8=TH!F3296),"x","")</f>
        <v/>
      </c>
      <c r="AC3296" s="79" t="str">
        <f>IF(AND(OR(LEFT(TH!N3296,2)="15",LEFT(TH!O3296,2)="15"),TK!$E$7=TH!F3296),"x","")</f>
        <v/>
      </c>
      <c r="AD3296" s="79" t="str">
        <f>IF(AND(N3296="1521",MONTH(C3296)='BK-NL'!$M$11),"x","")</f>
        <v/>
      </c>
    </row>
    <row r="3297" spans="1:30" ht="16.5" customHeight="1">
      <c r="A3297" s="318" t="str">
        <f>IF(B3297&lt;&gt;"",IF(AND(B3297='IN-TC'!$S$4,OR(TH!N3297="1111",TH!O3297="1111")),TH!D3297,""),"")</f>
        <v/>
      </c>
      <c r="B3297" s="60" t="str">
        <f t="shared" si="390"/>
        <v/>
      </c>
      <c r="C3297" s="61"/>
      <c r="D3297" s="301"/>
      <c r="E3297" s="301"/>
      <c r="F3297" s="69"/>
      <c r="G3297" s="64"/>
      <c r="H3297" s="321"/>
      <c r="I3297" s="385"/>
      <c r="J3297" s="969"/>
      <c r="K3297" s="385"/>
      <c r="L3297" s="392"/>
      <c r="M3297" s="970"/>
      <c r="N3297" s="304"/>
      <c r="O3297" s="304"/>
      <c r="P3297" s="79" t="str">
        <f>IF(AND('331-CT'!$E$7=TH!H3297,OR(N3297="331",O3297="331")),"x","")</f>
        <v/>
      </c>
      <c r="Q3297" s="79" t="str">
        <f>IF(AND(B3297='111'!$L$11,OR($N3297=$Q$7,$O3297=$Q$7)),"x","")</f>
        <v/>
      </c>
      <c r="R3297" s="79" t="str">
        <f>IF(AND($N3297=$Q$7,$B3297&lt;'111'!$L$11),"x","")</f>
        <v/>
      </c>
      <c r="S3297" s="79" t="str">
        <f>IF(AND($O3297=$Q$7,$B3297&lt;'111'!$L$11),"x","")</f>
        <v/>
      </c>
      <c r="T3297" s="79" t="str">
        <f>IF(ISERROR(FIND('112'!$M$9,G3297,1)),"",IF((AND(FIND('112'!$M$9,G3297,1)&gt;=1,B3297='112'!$K$9,OR($N3297='112'!$I$6,$O3297='112'!$I$6))),"x",""))</f>
        <v/>
      </c>
      <c r="U3297" s="79" t="str">
        <f>IF(ISERROR(FIND('112'!$M$9,G3297,1)),"",IF((AND(LEFT(G3297,2)=LEFT('112'!$M$9,2),B3297&lt;'112'!$K$9,$N3297='112'!$I$6)),"x",""))</f>
        <v/>
      </c>
      <c r="V3297" s="79" t="str">
        <f>IF(ISERROR(FIND('112'!$M$9,G3297,1)),"",IF((AND(RIGHT(G3297,2)=RIGHT('112'!$M$9,2),B3297&lt;'112'!$K$9,$O3297='112'!$I$6)),"x",""))</f>
        <v/>
      </c>
      <c r="W3297" s="79" t="str">
        <f>IF(AND('341-CT'!$H$9=H3297,OR(LEFT(N3297,3)=$W$7,LEFT(O3297,3)=$W$7)),"x","")</f>
        <v/>
      </c>
      <c r="X3297" s="79" t="str">
        <f>IF(OR(TH!N3297=TH!$X$7,O3297=TH!$X$7),"x","")</f>
        <v/>
      </c>
      <c r="Y3297" s="79" t="str">
        <f>IF(AND(OR(N3297="131",O3297="131"),H3297='131-CT'!$H$9),"x","")</f>
        <v/>
      </c>
      <c r="Z3297" s="79"/>
      <c r="AA3297" s="79" t="str">
        <f>IF(AND(MONTH(E3297)='IN-NX'!$J$5,'IN-NX'!$D$7=D3297),"x","")</f>
        <v/>
      </c>
      <c r="AB3297" s="79" t="str">
        <f>IF(AND(OR(LEFT(TH!N3297,2)="15",LEFT(TH!O3297,2)="15"),LEFT(TH!O3297,3)&lt;&gt;"111",'152-CT'!$J$8=TH!F3297),"x","")</f>
        <v/>
      </c>
      <c r="AC3297" s="79" t="str">
        <f>IF(AND(OR(LEFT(TH!N3297,2)="15",LEFT(TH!O3297,2)="15"),TK!$E$7=TH!F3297),"x","")</f>
        <v/>
      </c>
      <c r="AD3297" s="79" t="str">
        <f>IF(AND(N3297="1521",MONTH(C3297)='BK-NL'!$M$11),"x","")</f>
        <v/>
      </c>
    </row>
    <row r="3298" spans="1:30" ht="16.5" customHeight="1">
      <c r="A3298" s="318" t="str">
        <f>IF(B3298&lt;&gt;"",IF(AND(B3298='IN-TC'!$S$4,OR(TH!N3298="1111",TH!O3298="1111")),TH!D3298,""),"")</f>
        <v/>
      </c>
      <c r="B3298" s="60" t="str">
        <f t="shared" si="390"/>
        <v/>
      </c>
      <c r="C3298" s="61"/>
      <c r="D3298" s="301"/>
      <c r="E3298" s="301"/>
      <c r="F3298" s="69"/>
      <c r="G3298" s="64"/>
      <c r="H3298" s="321"/>
      <c r="I3298" s="385"/>
      <c r="J3298" s="969"/>
      <c r="K3298" s="385"/>
      <c r="L3298" s="392"/>
      <c r="M3298" s="970"/>
      <c r="N3298" s="304"/>
      <c r="O3298" s="304"/>
      <c r="P3298" s="79" t="str">
        <f>IF(AND('331-CT'!$E$7=TH!H3298,OR(N3298="331",O3298="331")),"x","")</f>
        <v/>
      </c>
      <c r="Q3298" s="79" t="str">
        <f>IF(AND(B3298='111'!$L$11,OR($N3298=$Q$7,$O3298=$Q$7)),"x","")</f>
        <v/>
      </c>
      <c r="R3298" s="79" t="str">
        <f>IF(AND($N3298=$Q$7,$B3298&lt;'111'!$L$11),"x","")</f>
        <v/>
      </c>
      <c r="S3298" s="79" t="str">
        <f>IF(AND($O3298=$Q$7,$B3298&lt;'111'!$L$11),"x","")</f>
        <v/>
      </c>
      <c r="T3298" s="79" t="str">
        <f>IF(ISERROR(FIND('112'!$M$9,G3298,1)),"",IF((AND(FIND('112'!$M$9,G3298,1)&gt;=1,B3298='112'!$K$9,OR($N3298='112'!$I$6,$O3298='112'!$I$6))),"x",""))</f>
        <v/>
      </c>
      <c r="U3298" s="79" t="str">
        <f>IF(ISERROR(FIND('112'!$M$9,G3298,1)),"",IF((AND(LEFT(G3298,2)=LEFT('112'!$M$9,2),B3298&lt;'112'!$K$9,$N3298='112'!$I$6)),"x",""))</f>
        <v/>
      </c>
      <c r="V3298" s="79" t="str">
        <f>IF(ISERROR(FIND('112'!$M$9,G3298,1)),"",IF((AND(RIGHT(G3298,2)=RIGHT('112'!$M$9,2),B3298&lt;'112'!$K$9,$O3298='112'!$I$6)),"x",""))</f>
        <v/>
      </c>
      <c r="W3298" s="79" t="str">
        <f>IF(AND('341-CT'!$H$9=H3298,OR(LEFT(N3298,3)=$W$7,LEFT(O3298,3)=$W$7)),"x","")</f>
        <v/>
      </c>
      <c r="X3298" s="79" t="str">
        <f>IF(OR(TH!N3298=TH!$X$7,O3298=TH!$X$7),"x","")</f>
        <v/>
      </c>
      <c r="Y3298" s="79" t="str">
        <f>IF(AND(OR(N3298="131",O3298="131"),H3298='131-CT'!$H$9),"x","")</f>
        <v/>
      </c>
      <c r="Z3298" s="79"/>
      <c r="AA3298" s="79" t="str">
        <f>IF(AND(MONTH(E3298)='IN-NX'!$J$5,'IN-NX'!$D$7=D3298),"x","")</f>
        <v/>
      </c>
      <c r="AB3298" s="79" t="str">
        <f>IF(AND(OR(LEFT(TH!N3298,2)="15",LEFT(TH!O3298,2)="15"),LEFT(TH!O3298,3)&lt;&gt;"111",'152-CT'!$J$8=TH!F3298),"x","")</f>
        <v/>
      </c>
      <c r="AC3298" s="79" t="str">
        <f>IF(AND(OR(LEFT(TH!N3298,2)="15",LEFT(TH!O3298,2)="15"),TK!$E$7=TH!F3298),"x","")</f>
        <v/>
      </c>
      <c r="AD3298" s="79" t="str">
        <f>IF(AND(N3298="1521",MONTH(C3298)='BK-NL'!$M$11),"x","")</f>
        <v/>
      </c>
    </row>
    <row r="3299" spans="1:30" ht="16.5" customHeight="1">
      <c r="A3299" s="318" t="str">
        <f>IF(B3299&lt;&gt;"",IF(AND(B3299='IN-TC'!$S$4,OR(TH!N3299="1111",TH!O3299="1111")),TH!D3299,""),"")</f>
        <v/>
      </c>
      <c r="B3299" s="60" t="str">
        <f t="shared" si="390"/>
        <v/>
      </c>
      <c r="C3299" s="61"/>
      <c r="D3299" s="301"/>
      <c r="E3299" s="301"/>
      <c r="F3299" s="69"/>
      <c r="G3299" s="64"/>
      <c r="H3299" s="321"/>
      <c r="I3299" s="385"/>
      <c r="J3299" s="969"/>
      <c r="K3299" s="385"/>
      <c r="L3299" s="392"/>
      <c r="M3299" s="970"/>
      <c r="N3299" s="304"/>
      <c r="O3299" s="304"/>
      <c r="P3299" s="79" t="str">
        <f>IF(AND('331-CT'!$E$7=TH!H3299,OR(N3299="331",O3299="331")),"x","")</f>
        <v/>
      </c>
      <c r="Q3299" s="79" t="str">
        <f>IF(AND(B3299='111'!$L$11,OR($N3299=$Q$7,$O3299=$Q$7)),"x","")</f>
        <v/>
      </c>
      <c r="R3299" s="79" t="str">
        <f>IF(AND($N3299=$Q$7,$B3299&lt;'111'!$L$11),"x","")</f>
        <v/>
      </c>
      <c r="S3299" s="79" t="str">
        <f>IF(AND($O3299=$Q$7,$B3299&lt;'111'!$L$11),"x","")</f>
        <v/>
      </c>
      <c r="T3299" s="79" t="str">
        <f>IF(ISERROR(FIND('112'!$M$9,G3299,1)),"",IF((AND(FIND('112'!$M$9,G3299,1)&gt;=1,B3299='112'!$K$9,OR($N3299='112'!$I$6,$O3299='112'!$I$6))),"x",""))</f>
        <v/>
      </c>
      <c r="U3299" s="79" t="str">
        <f>IF(ISERROR(FIND('112'!$M$9,G3299,1)),"",IF((AND(LEFT(G3299,2)=LEFT('112'!$M$9,2),B3299&lt;'112'!$K$9,$N3299='112'!$I$6)),"x",""))</f>
        <v/>
      </c>
      <c r="V3299" s="79" t="str">
        <f>IF(ISERROR(FIND('112'!$M$9,G3299,1)),"",IF((AND(RIGHT(G3299,2)=RIGHT('112'!$M$9,2),B3299&lt;'112'!$K$9,$O3299='112'!$I$6)),"x",""))</f>
        <v/>
      </c>
      <c r="W3299" s="79" t="str">
        <f>IF(AND('341-CT'!$H$9=H3299,OR(LEFT(N3299,3)=$W$7,LEFT(O3299,3)=$W$7)),"x","")</f>
        <v/>
      </c>
      <c r="X3299" s="79" t="str">
        <f>IF(OR(TH!N3299=TH!$X$7,O3299=TH!$X$7),"x","")</f>
        <v/>
      </c>
      <c r="Y3299" s="79" t="str">
        <f>IF(AND(OR(N3299="131",O3299="131"),H3299='131-CT'!$H$9),"x","")</f>
        <v/>
      </c>
      <c r="Z3299" s="79"/>
      <c r="AA3299" s="79" t="str">
        <f>IF(AND(MONTH(E3299)='IN-NX'!$J$5,'IN-NX'!$D$7=D3299),"x","")</f>
        <v/>
      </c>
      <c r="AB3299" s="79" t="str">
        <f>IF(AND(OR(LEFT(TH!N3299,2)="15",LEFT(TH!O3299,2)="15"),LEFT(TH!O3299,3)&lt;&gt;"111",'152-CT'!$J$8=TH!F3299),"x","")</f>
        <v/>
      </c>
      <c r="AC3299" s="79" t="str">
        <f>IF(AND(OR(LEFT(TH!N3299,2)="15",LEFT(TH!O3299,2)="15"),TK!$E$7=TH!F3299),"x","")</f>
        <v/>
      </c>
      <c r="AD3299" s="79" t="str">
        <f>IF(AND(N3299="1521",MONTH(C3299)='BK-NL'!$M$11),"x","")</f>
        <v/>
      </c>
    </row>
    <row r="3300" spans="1:30" ht="16.5" customHeight="1">
      <c r="A3300" s="318" t="str">
        <f>IF(B3300&lt;&gt;"",IF(AND(B3300='IN-TC'!$S$4,OR(TH!N3300="1111",TH!O3300="1111")),TH!D3300,""),"")</f>
        <v/>
      </c>
      <c r="B3300" s="60" t="str">
        <f t="shared" si="390"/>
        <v/>
      </c>
      <c r="C3300" s="61"/>
      <c r="D3300" s="301"/>
      <c r="E3300" s="301"/>
      <c r="F3300" s="69"/>
      <c r="G3300" s="64"/>
      <c r="H3300" s="321"/>
      <c r="I3300" s="385"/>
      <c r="J3300" s="969"/>
      <c r="K3300" s="385"/>
      <c r="L3300" s="392"/>
      <c r="M3300" s="970"/>
      <c r="N3300" s="304"/>
      <c r="O3300" s="304"/>
      <c r="P3300" s="79" t="str">
        <f>IF(AND('331-CT'!$E$7=TH!H3300,OR(N3300="331",O3300="331")),"x","")</f>
        <v/>
      </c>
      <c r="Q3300" s="79" t="str">
        <f>IF(AND(B3300='111'!$L$11,OR($N3300=$Q$7,$O3300=$Q$7)),"x","")</f>
        <v/>
      </c>
      <c r="R3300" s="79" t="str">
        <f>IF(AND($N3300=$Q$7,$B3300&lt;'111'!$L$11),"x","")</f>
        <v/>
      </c>
      <c r="S3300" s="79" t="str">
        <f>IF(AND($O3300=$Q$7,$B3300&lt;'111'!$L$11),"x","")</f>
        <v/>
      </c>
      <c r="T3300" s="79" t="str">
        <f>IF(ISERROR(FIND('112'!$M$9,G3300,1)),"",IF((AND(FIND('112'!$M$9,G3300,1)&gt;=1,B3300='112'!$K$9,OR($N3300='112'!$I$6,$O3300='112'!$I$6))),"x",""))</f>
        <v/>
      </c>
      <c r="U3300" s="79" t="str">
        <f>IF(ISERROR(FIND('112'!$M$9,G3300,1)),"",IF((AND(LEFT(G3300,2)=LEFT('112'!$M$9,2),B3300&lt;'112'!$K$9,$N3300='112'!$I$6)),"x",""))</f>
        <v/>
      </c>
      <c r="V3300" s="79" t="str">
        <f>IF(ISERROR(FIND('112'!$M$9,G3300,1)),"",IF((AND(RIGHT(G3300,2)=RIGHT('112'!$M$9,2),B3300&lt;'112'!$K$9,$O3300='112'!$I$6)),"x",""))</f>
        <v/>
      </c>
      <c r="W3300" s="79" t="str">
        <f>IF(AND('341-CT'!$H$9=H3300,OR(LEFT(N3300,3)=$W$7,LEFT(O3300,3)=$W$7)),"x","")</f>
        <v/>
      </c>
      <c r="X3300" s="79" t="str">
        <f>IF(OR(TH!N3300=TH!$X$7,O3300=TH!$X$7),"x","")</f>
        <v/>
      </c>
      <c r="Y3300" s="79" t="str">
        <f>IF(AND(OR(N3300="131",O3300="131"),H3300='131-CT'!$H$9),"x","")</f>
        <v/>
      </c>
      <c r="Z3300" s="79"/>
      <c r="AA3300" s="79" t="str">
        <f>IF(AND(MONTH(E3300)='IN-NX'!$J$5,'IN-NX'!$D$7=D3300),"x","")</f>
        <v/>
      </c>
      <c r="AB3300" s="79" t="str">
        <f>IF(AND(OR(LEFT(TH!N3300,2)="15",LEFT(TH!O3300,2)="15"),LEFT(TH!O3300,3)&lt;&gt;"111",'152-CT'!$J$8=TH!F3300),"x","")</f>
        <v/>
      </c>
      <c r="AC3300" s="79" t="str">
        <f>IF(AND(OR(LEFT(TH!N3300,2)="15",LEFT(TH!O3300,2)="15"),TK!$E$7=TH!F3300),"x","")</f>
        <v/>
      </c>
      <c r="AD3300" s="79" t="str">
        <f>IF(AND(N3300="1521",MONTH(C3300)='BK-NL'!$M$11),"x","")</f>
        <v/>
      </c>
    </row>
    <row r="3301" spans="1:30" ht="16.5" customHeight="1">
      <c r="A3301" s="318" t="str">
        <f>IF(B3301&lt;&gt;"",IF(AND(B3301='IN-TC'!$S$4,OR(TH!N3301="1111",TH!O3301="1111")),TH!D3301,""),"")</f>
        <v/>
      </c>
      <c r="B3301" s="60" t="str">
        <f t="shared" si="390"/>
        <v/>
      </c>
      <c r="C3301" s="61"/>
      <c r="D3301" s="301"/>
      <c r="E3301" s="301"/>
      <c r="F3301" s="69"/>
      <c r="G3301" s="64"/>
      <c r="H3301" s="321"/>
      <c r="I3301" s="385"/>
      <c r="J3301" s="969"/>
      <c r="K3301" s="385"/>
      <c r="L3301" s="392"/>
      <c r="M3301" s="970"/>
      <c r="N3301" s="304"/>
      <c r="O3301" s="304"/>
      <c r="P3301" s="79" t="str">
        <f>IF(AND('331-CT'!$E$7=TH!H3301,OR(N3301="331",O3301="331")),"x","")</f>
        <v/>
      </c>
      <c r="Q3301" s="79" t="str">
        <f>IF(AND(B3301='111'!$L$11,OR($N3301=$Q$7,$O3301=$Q$7)),"x","")</f>
        <v/>
      </c>
      <c r="R3301" s="79" t="str">
        <f>IF(AND($N3301=$Q$7,$B3301&lt;'111'!$L$11),"x","")</f>
        <v/>
      </c>
      <c r="S3301" s="79" t="str">
        <f>IF(AND($O3301=$Q$7,$B3301&lt;'111'!$L$11),"x","")</f>
        <v/>
      </c>
      <c r="T3301" s="79" t="str">
        <f>IF(ISERROR(FIND('112'!$M$9,G3301,1)),"",IF((AND(FIND('112'!$M$9,G3301,1)&gt;=1,B3301='112'!$K$9,OR($N3301='112'!$I$6,$O3301='112'!$I$6))),"x",""))</f>
        <v/>
      </c>
      <c r="U3301" s="79" t="str">
        <f>IF(ISERROR(FIND('112'!$M$9,G3301,1)),"",IF((AND(LEFT(G3301,2)=LEFT('112'!$M$9,2),B3301&lt;'112'!$K$9,$N3301='112'!$I$6)),"x",""))</f>
        <v/>
      </c>
      <c r="V3301" s="79" t="str">
        <f>IF(ISERROR(FIND('112'!$M$9,G3301,1)),"",IF((AND(RIGHT(G3301,2)=RIGHT('112'!$M$9,2),B3301&lt;'112'!$K$9,$O3301='112'!$I$6)),"x",""))</f>
        <v/>
      </c>
      <c r="W3301" s="79" t="str">
        <f>IF(AND('341-CT'!$H$9=H3301,OR(LEFT(N3301,3)=$W$7,LEFT(O3301,3)=$W$7)),"x","")</f>
        <v/>
      </c>
      <c r="X3301" s="79" t="str">
        <f>IF(OR(TH!N3301=TH!$X$7,O3301=TH!$X$7),"x","")</f>
        <v/>
      </c>
      <c r="Y3301" s="79" t="str">
        <f>IF(AND(OR(N3301="131",O3301="131"),H3301='131-CT'!$H$9),"x","")</f>
        <v/>
      </c>
      <c r="Z3301" s="79"/>
      <c r="AA3301" s="79" t="str">
        <f>IF(AND(MONTH(E3301)='IN-NX'!$J$5,'IN-NX'!$D$7=D3301),"x","")</f>
        <v/>
      </c>
      <c r="AB3301" s="79" t="str">
        <f>IF(AND(OR(LEFT(TH!N3301,2)="15",LEFT(TH!O3301,2)="15"),LEFT(TH!O3301,3)&lt;&gt;"111",'152-CT'!$J$8=TH!F3301),"x","")</f>
        <v/>
      </c>
      <c r="AC3301" s="79" t="str">
        <f>IF(AND(OR(LEFT(TH!N3301,2)="15",LEFT(TH!O3301,2)="15"),TK!$E$7=TH!F3301),"x","")</f>
        <v/>
      </c>
      <c r="AD3301" s="79" t="str">
        <f>IF(AND(N3301="1521",MONTH(C3301)='BK-NL'!$M$11),"x","")</f>
        <v/>
      </c>
    </row>
    <row r="3302" spans="1:30" ht="16.5" customHeight="1">
      <c r="A3302" s="318" t="str">
        <f>IF(B3302&lt;&gt;"",IF(AND(B3302='IN-TC'!$S$4,OR(TH!N3302="1111",TH!O3302="1111")),TH!D3302,""),"")</f>
        <v/>
      </c>
      <c r="B3302" s="60" t="str">
        <f t="shared" si="390"/>
        <v/>
      </c>
      <c r="C3302" s="61"/>
      <c r="D3302" s="301"/>
      <c r="E3302" s="301"/>
      <c r="F3302" s="69"/>
      <c r="G3302" s="64"/>
      <c r="H3302" s="321"/>
      <c r="I3302" s="385"/>
      <c r="J3302" s="969"/>
      <c r="K3302" s="385"/>
      <c r="L3302" s="392"/>
      <c r="M3302" s="970"/>
      <c r="N3302" s="304"/>
      <c r="O3302" s="304"/>
      <c r="P3302" s="79" t="str">
        <f>IF(AND('331-CT'!$E$7=TH!H3302,OR(N3302="331",O3302="331")),"x","")</f>
        <v/>
      </c>
      <c r="Q3302" s="79" t="str">
        <f>IF(AND(B3302='111'!$L$11,OR($N3302=$Q$7,$O3302=$Q$7)),"x","")</f>
        <v/>
      </c>
      <c r="R3302" s="79" t="str">
        <f>IF(AND($N3302=$Q$7,$B3302&lt;'111'!$L$11),"x","")</f>
        <v/>
      </c>
      <c r="S3302" s="79" t="str">
        <f>IF(AND($O3302=$Q$7,$B3302&lt;'111'!$L$11),"x","")</f>
        <v/>
      </c>
      <c r="T3302" s="79" t="str">
        <f>IF(ISERROR(FIND('112'!$M$9,G3302,1)),"",IF((AND(FIND('112'!$M$9,G3302,1)&gt;=1,B3302='112'!$K$9,OR($N3302='112'!$I$6,$O3302='112'!$I$6))),"x",""))</f>
        <v/>
      </c>
      <c r="U3302" s="79" t="str">
        <f>IF(ISERROR(FIND('112'!$M$9,G3302,1)),"",IF((AND(LEFT(G3302,2)=LEFT('112'!$M$9,2),B3302&lt;'112'!$K$9,$N3302='112'!$I$6)),"x",""))</f>
        <v/>
      </c>
      <c r="V3302" s="79" t="str">
        <f>IF(ISERROR(FIND('112'!$M$9,G3302,1)),"",IF((AND(RIGHT(G3302,2)=RIGHT('112'!$M$9,2),B3302&lt;'112'!$K$9,$O3302='112'!$I$6)),"x",""))</f>
        <v/>
      </c>
      <c r="W3302" s="79" t="str">
        <f>IF(AND('341-CT'!$H$9=H3302,OR(LEFT(N3302,3)=$W$7,LEFT(O3302,3)=$W$7)),"x","")</f>
        <v/>
      </c>
      <c r="X3302" s="79" t="str">
        <f>IF(OR(TH!N3302=TH!$X$7,O3302=TH!$X$7),"x","")</f>
        <v/>
      </c>
      <c r="Y3302" s="79" t="str">
        <f>IF(AND(OR(N3302="131",O3302="131"),H3302='131-CT'!$H$9),"x","")</f>
        <v/>
      </c>
      <c r="Z3302" s="79"/>
      <c r="AA3302" s="79" t="str">
        <f>IF(AND(MONTH(E3302)='IN-NX'!$J$5,'IN-NX'!$D$7=D3302),"x","")</f>
        <v/>
      </c>
      <c r="AB3302" s="79" t="str">
        <f>IF(AND(OR(LEFT(TH!N3302,2)="15",LEFT(TH!O3302,2)="15"),LEFT(TH!O3302,3)&lt;&gt;"111",'152-CT'!$J$8=TH!F3302),"x","")</f>
        <v/>
      </c>
      <c r="AC3302" s="79" t="str">
        <f>IF(AND(OR(LEFT(TH!N3302,2)="15",LEFT(TH!O3302,2)="15"),TK!$E$7=TH!F3302),"x","")</f>
        <v/>
      </c>
      <c r="AD3302" s="79" t="str">
        <f>IF(AND(N3302="1521",MONTH(C3302)='BK-NL'!$M$11),"x","")</f>
        <v/>
      </c>
    </row>
    <row r="3303" spans="1:30" ht="16.5" customHeight="1">
      <c r="A3303" s="318" t="str">
        <f>IF(B3303&lt;&gt;"",IF(AND(B3303='IN-TC'!$S$4,OR(TH!N3303="1111",TH!O3303="1111")),TH!D3303,""),"")</f>
        <v/>
      </c>
      <c r="B3303" s="60" t="str">
        <f t="shared" si="390"/>
        <v/>
      </c>
      <c r="C3303" s="61"/>
      <c r="D3303" s="301"/>
      <c r="E3303" s="301"/>
      <c r="F3303" s="69"/>
      <c r="G3303" s="64"/>
      <c r="H3303" s="321"/>
      <c r="I3303" s="385"/>
      <c r="J3303" s="969"/>
      <c r="K3303" s="385"/>
      <c r="L3303" s="392"/>
      <c r="M3303" s="970"/>
      <c r="N3303" s="304"/>
      <c r="O3303" s="304"/>
      <c r="P3303" s="79" t="str">
        <f>IF(AND('331-CT'!$E$7=TH!H3303,OR(N3303="331",O3303="331")),"x","")</f>
        <v/>
      </c>
      <c r="Q3303" s="79" t="str">
        <f>IF(AND(B3303='111'!$L$11,OR($N3303=$Q$7,$O3303=$Q$7)),"x","")</f>
        <v/>
      </c>
      <c r="R3303" s="79" t="str">
        <f>IF(AND($N3303=$Q$7,$B3303&lt;'111'!$L$11),"x","")</f>
        <v/>
      </c>
      <c r="S3303" s="79" t="str">
        <f>IF(AND($O3303=$Q$7,$B3303&lt;'111'!$L$11),"x","")</f>
        <v/>
      </c>
      <c r="T3303" s="79" t="str">
        <f>IF(ISERROR(FIND('112'!$M$9,G3303,1)),"",IF((AND(FIND('112'!$M$9,G3303,1)&gt;=1,B3303='112'!$K$9,OR($N3303='112'!$I$6,$O3303='112'!$I$6))),"x",""))</f>
        <v/>
      </c>
      <c r="U3303" s="79" t="str">
        <f>IF(ISERROR(FIND('112'!$M$9,G3303,1)),"",IF((AND(LEFT(G3303,2)=LEFT('112'!$M$9,2),B3303&lt;'112'!$K$9,$N3303='112'!$I$6)),"x",""))</f>
        <v/>
      </c>
      <c r="V3303" s="79" t="str">
        <f>IF(ISERROR(FIND('112'!$M$9,G3303,1)),"",IF((AND(RIGHT(G3303,2)=RIGHT('112'!$M$9,2),B3303&lt;'112'!$K$9,$O3303='112'!$I$6)),"x",""))</f>
        <v/>
      </c>
      <c r="W3303" s="79" t="str">
        <f>IF(AND('341-CT'!$H$9=H3303,OR(LEFT(N3303,3)=$W$7,LEFT(O3303,3)=$W$7)),"x","")</f>
        <v/>
      </c>
      <c r="X3303" s="79" t="str">
        <f>IF(OR(TH!N3303=TH!$X$7,O3303=TH!$X$7),"x","")</f>
        <v/>
      </c>
      <c r="Y3303" s="79" t="str">
        <f>IF(AND(OR(N3303="131",O3303="131"),H3303='131-CT'!$H$9),"x","")</f>
        <v/>
      </c>
      <c r="Z3303" s="79"/>
      <c r="AA3303" s="79" t="str">
        <f>IF(AND(MONTH(E3303)='IN-NX'!$J$5,'IN-NX'!$D$7=D3303),"x","")</f>
        <v/>
      </c>
      <c r="AB3303" s="79" t="str">
        <f>IF(AND(OR(LEFT(TH!N3303,2)="15",LEFT(TH!O3303,2)="15"),LEFT(TH!O3303,3)&lt;&gt;"111",'152-CT'!$J$8=TH!F3303),"x","")</f>
        <v/>
      </c>
      <c r="AC3303" s="79" t="str">
        <f>IF(AND(OR(LEFT(TH!N3303,2)="15",LEFT(TH!O3303,2)="15"),TK!$E$7=TH!F3303),"x","")</f>
        <v/>
      </c>
      <c r="AD3303" s="79" t="str">
        <f>IF(AND(N3303="1521",MONTH(C3303)='BK-NL'!$M$11),"x","")</f>
        <v/>
      </c>
    </row>
    <row r="3304" spans="1:30" ht="16.5" customHeight="1">
      <c r="A3304" s="318" t="str">
        <f>IF(B3304&lt;&gt;"",IF(AND(B3304='IN-TC'!$S$4,OR(TH!N3304="1111",TH!O3304="1111")),TH!D3304,""),"")</f>
        <v/>
      </c>
      <c r="B3304" s="60" t="str">
        <f t="shared" si="390"/>
        <v/>
      </c>
      <c r="C3304" s="61"/>
      <c r="D3304" s="301"/>
      <c r="E3304" s="301"/>
      <c r="F3304" s="69"/>
      <c r="G3304" s="64"/>
      <c r="H3304" s="69"/>
      <c r="I3304" s="385"/>
      <c r="J3304" s="969"/>
      <c r="K3304" s="385"/>
      <c r="L3304" s="392"/>
      <c r="M3304" s="970"/>
      <c r="N3304" s="304"/>
      <c r="O3304" s="304"/>
      <c r="P3304" s="79" t="str">
        <f>IF(AND('331-CT'!$E$7=TH!H3304,OR(N3304="331",O3304="331")),"x","")</f>
        <v/>
      </c>
      <c r="Q3304" s="79" t="str">
        <f>IF(AND(B3304='111'!$L$11,OR($N3304=$Q$7,$O3304=$Q$7)),"x","")</f>
        <v/>
      </c>
      <c r="R3304" s="79" t="str">
        <f>IF(AND($N3304=$Q$7,$B3304&lt;'111'!$L$11),"x","")</f>
        <v/>
      </c>
      <c r="S3304" s="79" t="str">
        <f>IF(AND($O3304=$Q$7,$B3304&lt;'111'!$L$11),"x","")</f>
        <v/>
      </c>
      <c r="T3304" s="79" t="str">
        <f>IF(ISERROR(FIND('112'!$M$9,G3304,1)),"",IF((AND(FIND('112'!$M$9,G3304,1)&gt;=1,B3304='112'!$K$9,OR($N3304='112'!$I$6,$O3304='112'!$I$6))),"x",""))</f>
        <v/>
      </c>
      <c r="U3304" s="79" t="str">
        <f>IF(ISERROR(FIND('112'!$M$9,G3304,1)),"",IF((AND(LEFT(G3304,2)=LEFT('112'!$M$9,2),B3304&lt;'112'!$K$9,$N3304='112'!$I$6)),"x",""))</f>
        <v/>
      </c>
      <c r="V3304" s="79" t="str">
        <f>IF(ISERROR(FIND('112'!$M$9,G3304,1)),"",IF((AND(RIGHT(G3304,2)=RIGHT('112'!$M$9,2),B3304&lt;'112'!$K$9,$O3304='112'!$I$6)),"x",""))</f>
        <v/>
      </c>
      <c r="W3304" s="79" t="str">
        <f>IF(AND('341-CT'!$H$9=H3304,OR(LEFT(N3304,3)=$W$7,LEFT(O3304,3)=$W$7)),"x","")</f>
        <v/>
      </c>
      <c r="X3304" s="79" t="str">
        <f>IF(OR(TH!N3304=TH!$X$7,O3304=TH!$X$7),"x","")</f>
        <v/>
      </c>
      <c r="Y3304" s="79" t="str">
        <f>IF(AND(OR(N3304="131",O3304="131"),H3304='131-CT'!$H$9),"x","")</f>
        <v/>
      </c>
      <c r="Z3304" s="79"/>
      <c r="AA3304" s="79" t="str">
        <f>IF(AND(MONTH(E3304)='IN-NX'!$J$5,'IN-NX'!$D$7=D3304),"x","")</f>
        <v/>
      </c>
      <c r="AB3304" s="79" t="str">
        <f>IF(AND(OR(LEFT(TH!N3304,2)="15",LEFT(TH!O3304,2)="15"),LEFT(TH!O3304,3)&lt;&gt;"111",'152-CT'!$J$8=TH!F3304),"x","")</f>
        <v/>
      </c>
      <c r="AC3304" s="79" t="str">
        <f>IF(AND(OR(LEFT(TH!N3304,2)="15",LEFT(TH!O3304,2)="15"),TK!$E$7=TH!F3304),"x","")</f>
        <v/>
      </c>
      <c r="AD3304" s="79" t="str">
        <f>IF(AND(N3304="1521",MONTH(C3304)='BK-NL'!$M$11),"x","")</f>
        <v/>
      </c>
    </row>
    <row r="3305" spans="1:30" ht="16.5" customHeight="1">
      <c r="A3305" s="318" t="str">
        <f>IF(B3305&lt;&gt;"",IF(AND(B3305='IN-TC'!$S$4,OR(TH!N3305="1111",TH!O3305="1111")),TH!D3305,""),"")</f>
        <v/>
      </c>
      <c r="B3305" s="60" t="str">
        <f t="shared" si="390"/>
        <v/>
      </c>
      <c r="C3305" s="61"/>
      <c r="D3305" s="301"/>
      <c r="E3305" s="301"/>
      <c r="F3305" s="69"/>
      <c r="G3305" s="64"/>
      <c r="H3305" s="321"/>
      <c r="I3305" s="385"/>
      <c r="J3305" s="969"/>
      <c r="K3305" s="385"/>
      <c r="L3305" s="392"/>
      <c r="M3305" s="970"/>
      <c r="N3305" s="304"/>
      <c r="O3305" s="304"/>
      <c r="P3305" s="79" t="str">
        <f>IF(AND('331-CT'!$E$7=TH!H3305,OR(N3305="331",O3305="331")),"x","")</f>
        <v/>
      </c>
      <c r="Q3305" s="79" t="str">
        <f>IF(AND(B3305='111'!$L$11,OR($N3305=$Q$7,$O3305=$Q$7)),"x","")</f>
        <v/>
      </c>
      <c r="R3305" s="79" t="str">
        <f>IF(AND($N3305=$Q$7,$B3305&lt;'111'!$L$11),"x","")</f>
        <v/>
      </c>
      <c r="S3305" s="79" t="str">
        <f>IF(AND($O3305=$Q$7,$B3305&lt;'111'!$L$11),"x","")</f>
        <v/>
      </c>
      <c r="T3305" s="79" t="str">
        <f>IF(ISERROR(FIND('112'!$M$9,G3305,1)),"",IF((AND(FIND('112'!$M$9,G3305,1)&gt;=1,B3305='112'!$K$9,OR($N3305='112'!$I$6,$O3305='112'!$I$6))),"x",""))</f>
        <v/>
      </c>
      <c r="U3305" s="79" t="str">
        <f>IF(ISERROR(FIND('112'!$M$9,G3305,1)),"",IF((AND(LEFT(G3305,2)=LEFT('112'!$M$9,2),B3305&lt;'112'!$K$9,$N3305='112'!$I$6)),"x",""))</f>
        <v/>
      </c>
      <c r="V3305" s="79" t="str">
        <f>IF(ISERROR(FIND('112'!$M$9,G3305,1)),"",IF((AND(RIGHT(G3305,2)=RIGHT('112'!$M$9,2),B3305&lt;'112'!$K$9,$O3305='112'!$I$6)),"x",""))</f>
        <v/>
      </c>
      <c r="W3305" s="79" t="str">
        <f>IF(AND('341-CT'!$H$9=H3305,OR(LEFT(N3305,3)=$W$7,LEFT(O3305,3)=$W$7)),"x","")</f>
        <v/>
      </c>
      <c r="X3305" s="79" t="str">
        <f>IF(OR(TH!N3305=TH!$X$7,O3305=TH!$X$7),"x","")</f>
        <v/>
      </c>
      <c r="Y3305" s="79" t="str">
        <f>IF(AND(OR(N3305="131",O3305="131"),H3305='131-CT'!$H$9),"x","")</f>
        <v/>
      </c>
      <c r="Z3305" s="79"/>
      <c r="AA3305" s="79" t="str">
        <f>IF(AND(MONTH(E3305)='IN-NX'!$J$5,'IN-NX'!$D$7=D3305),"x","")</f>
        <v/>
      </c>
      <c r="AB3305" s="79" t="str">
        <f>IF(AND(OR(LEFT(TH!N3305,2)="15",LEFT(TH!O3305,2)="15"),LEFT(TH!O3305,3)&lt;&gt;"111",'152-CT'!$J$8=TH!F3305),"x","")</f>
        <v/>
      </c>
      <c r="AC3305" s="79" t="str">
        <f>IF(AND(OR(LEFT(TH!N3305,2)="15",LEFT(TH!O3305,2)="15"),TK!$E$7=TH!F3305),"x","")</f>
        <v/>
      </c>
      <c r="AD3305" s="79" t="str">
        <f>IF(AND(N3305="1521",MONTH(C3305)='BK-NL'!$M$11),"x","")</f>
        <v/>
      </c>
    </row>
    <row r="3306" spans="1:30" ht="16.5" customHeight="1">
      <c r="A3306" s="318" t="str">
        <f>IF(B3306&lt;&gt;"",IF(AND(B3306='IN-TC'!$S$4,OR(TH!N3306="1111",TH!O3306="1111")),TH!D3306,""),"")</f>
        <v/>
      </c>
      <c r="B3306" s="60" t="str">
        <f t="shared" si="390"/>
        <v/>
      </c>
      <c r="C3306" s="61"/>
      <c r="D3306" s="301"/>
      <c r="E3306" s="301"/>
      <c r="F3306" s="69"/>
      <c r="G3306" s="64"/>
      <c r="H3306" s="321"/>
      <c r="I3306" s="385"/>
      <c r="J3306" s="969"/>
      <c r="K3306" s="385"/>
      <c r="L3306" s="392"/>
      <c r="M3306" s="970"/>
      <c r="N3306" s="304"/>
      <c r="O3306" s="304"/>
      <c r="P3306" s="79" t="str">
        <f>IF(AND('331-CT'!$E$7=TH!H3306,OR(N3306="331",O3306="331")),"x","")</f>
        <v/>
      </c>
      <c r="Q3306" s="79" t="str">
        <f>IF(AND(B3306='111'!$L$11,OR($N3306=$Q$7,$O3306=$Q$7)),"x","")</f>
        <v/>
      </c>
      <c r="R3306" s="79" t="str">
        <f>IF(AND($N3306=$Q$7,$B3306&lt;'111'!$L$11),"x","")</f>
        <v/>
      </c>
      <c r="S3306" s="79" t="str">
        <f>IF(AND($O3306=$Q$7,$B3306&lt;'111'!$L$11),"x","")</f>
        <v/>
      </c>
      <c r="T3306" s="79" t="str">
        <f>IF(ISERROR(FIND('112'!$M$9,G3306,1)),"",IF((AND(FIND('112'!$M$9,G3306,1)&gt;=1,B3306='112'!$K$9,OR($N3306='112'!$I$6,$O3306='112'!$I$6))),"x",""))</f>
        <v/>
      </c>
      <c r="U3306" s="79" t="str">
        <f>IF(ISERROR(FIND('112'!$M$9,G3306,1)),"",IF((AND(LEFT(G3306,2)=LEFT('112'!$M$9,2),B3306&lt;'112'!$K$9,$N3306='112'!$I$6)),"x",""))</f>
        <v/>
      </c>
      <c r="V3306" s="79" t="str">
        <f>IF(ISERROR(FIND('112'!$M$9,G3306,1)),"",IF((AND(RIGHT(G3306,2)=RIGHT('112'!$M$9,2),B3306&lt;'112'!$K$9,$O3306='112'!$I$6)),"x",""))</f>
        <v/>
      </c>
      <c r="W3306" s="79" t="str">
        <f>IF(AND('341-CT'!$H$9=H3306,OR(LEFT(N3306,3)=$W$7,LEFT(O3306,3)=$W$7)),"x","")</f>
        <v/>
      </c>
      <c r="X3306" s="79" t="str">
        <f>IF(OR(TH!N3306=TH!$X$7,O3306=TH!$X$7),"x","")</f>
        <v/>
      </c>
      <c r="Y3306" s="79" t="str">
        <f>IF(AND(OR(N3306="131",O3306="131"),H3306='131-CT'!$H$9),"x","")</f>
        <v/>
      </c>
      <c r="Z3306" s="79"/>
      <c r="AA3306" s="79" t="str">
        <f>IF(AND(MONTH(E3306)='IN-NX'!$J$5,'IN-NX'!$D$7=D3306),"x","")</f>
        <v/>
      </c>
      <c r="AB3306" s="79" t="str">
        <f>IF(AND(OR(LEFT(TH!N3306,2)="15",LEFT(TH!O3306,2)="15"),LEFT(TH!O3306,3)&lt;&gt;"111",'152-CT'!$J$8=TH!F3306),"x","")</f>
        <v/>
      </c>
      <c r="AC3306" s="79" t="str">
        <f>IF(AND(OR(LEFT(TH!N3306,2)="15",LEFT(TH!O3306,2)="15"),TK!$E$7=TH!F3306),"x","")</f>
        <v/>
      </c>
      <c r="AD3306" s="79" t="str">
        <f>IF(AND(N3306="1521",MONTH(C3306)='BK-NL'!$M$11),"x","")</f>
        <v/>
      </c>
    </row>
    <row r="3307" spans="1:30" ht="16.5" customHeight="1">
      <c r="A3307" s="318" t="str">
        <f>IF(B3307&lt;&gt;"",IF(AND(B3307='IN-TC'!$S$4,OR(TH!N3307="1111",TH!O3307="1111")),TH!D3307,""),"")</f>
        <v/>
      </c>
      <c r="B3307" s="60" t="str">
        <f t="shared" si="390"/>
        <v/>
      </c>
      <c r="C3307" s="61"/>
      <c r="D3307" s="301"/>
      <c r="E3307" s="301"/>
      <c r="F3307" s="69"/>
      <c r="G3307" s="64"/>
      <c r="H3307" s="69"/>
      <c r="I3307" s="385"/>
      <c r="J3307" s="969"/>
      <c r="K3307" s="385"/>
      <c r="L3307" s="392"/>
      <c r="M3307" s="970"/>
      <c r="N3307" s="304"/>
      <c r="O3307" s="304"/>
      <c r="P3307" s="79" t="str">
        <f>IF(AND('331-CT'!$E$7=TH!H3307,OR(N3307="331",O3307="331")),"x","")</f>
        <v/>
      </c>
      <c r="Q3307" s="79" t="str">
        <f>IF(AND(B3307='111'!$L$11,OR($N3307=$Q$7,$O3307=$Q$7)),"x","")</f>
        <v/>
      </c>
      <c r="R3307" s="79" t="str">
        <f>IF(AND($N3307=$Q$7,$B3307&lt;'111'!$L$11),"x","")</f>
        <v/>
      </c>
      <c r="S3307" s="79" t="str">
        <f>IF(AND($O3307=$Q$7,$B3307&lt;'111'!$L$11),"x","")</f>
        <v/>
      </c>
      <c r="T3307" s="79" t="str">
        <f>IF(ISERROR(FIND('112'!$M$9,G3307,1)),"",IF((AND(FIND('112'!$M$9,G3307,1)&gt;=1,B3307='112'!$K$9,OR($N3307='112'!$I$6,$O3307='112'!$I$6))),"x",""))</f>
        <v/>
      </c>
      <c r="U3307" s="79" t="str">
        <f>IF(ISERROR(FIND('112'!$M$9,G3307,1)),"",IF((AND(LEFT(G3307,2)=LEFT('112'!$M$9,2),B3307&lt;'112'!$K$9,$N3307='112'!$I$6)),"x",""))</f>
        <v/>
      </c>
      <c r="V3307" s="79" t="str">
        <f>IF(ISERROR(FIND('112'!$M$9,G3307,1)),"",IF((AND(RIGHT(G3307,2)=RIGHT('112'!$M$9,2),B3307&lt;'112'!$K$9,$O3307='112'!$I$6)),"x",""))</f>
        <v/>
      </c>
      <c r="W3307" s="79" t="str">
        <f>IF(AND('341-CT'!$H$9=H3307,OR(LEFT(N3307,3)=$W$7,LEFT(O3307,3)=$W$7)),"x","")</f>
        <v/>
      </c>
      <c r="X3307" s="79" t="str">
        <f>IF(OR(TH!N3307=TH!$X$7,O3307=TH!$X$7),"x","")</f>
        <v/>
      </c>
      <c r="Y3307" s="79" t="str">
        <f>IF(AND(OR(N3307="131",O3307="131"),H3307='131-CT'!$H$9),"x","")</f>
        <v/>
      </c>
      <c r="Z3307" s="79"/>
      <c r="AA3307" s="79" t="str">
        <f>IF(AND(MONTH(E3307)='IN-NX'!$J$5,'IN-NX'!$D$7=D3307),"x","")</f>
        <v/>
      </c>
      <c r="AB3307" s="79" t="str">
        <f>IF(AND(OR(LEFT(TH!N3307,2)="15",LEFT(TH!O3307,2)="15"),LEFT(TH!O3307,3)&lt;&gt;"111",'152-CT'!$J$8=TH!F3307),"x","")</f>
        <v/>
      </c>
      <c r="AC3307" s="79" t="str">
        <f>IF(AND(OR(LEFT(TH!N3307,2)="15",LEFT(TH!O3307,2)="15"),TK!$E$7=TH!F3307),"x","")</f>
        <v/>
      </c>
      <c r="AD3307" s="79" t="str">
        <f>IF(AND(N3307="1521",MONTH(C3307)='BK-NL'!$M$11),"x","")</f>
        <v/>
      </c>
    </row>
    <row r="3308" spans="1:30" ht="16.5" customHeight="1">
      <c r="A3308" s="318" t="str">
        <f>IF(B3308&lt;&gt;"",IF(AND(B3308='IN-TC'!$S$4,OR(TH!N3308="1111",TH!O3308="1111")),TH!D3308,""),"")</f>
        <v/>
      </c>
      <c r="B3308" s="60" t="str">
        <f t="shared" si="390"/>
        <v/>
      </c>
      <c r="C3308" s="61"/>
      <c r="D3308" s="301"/>
      <c r="E3308" s="301"/>
      <c r="F3308" s="69"/>
      <c r="G3308" s="64"/>
      <c r="H3308" s="321"/>
      <c r="I3308" s="385"/>
      <c r="J3308" s="969"/>
      <c r="K3308" s="385"/>
      <c r="L3308" s="392"/>
      <c r="M3308" s="970"/>
      <c r="N3308" s="304"/>
      <c r="O3308" s="304"/>
      <c r="P3308" s="79" t="str">
        <f>IF(AND('331-CT'!$E$7=TH!H3308,OR(N3308="331",O3308="331")),"x","")</f>
        <v/>
      </c>
      <c r="Q3308" s="79" t="str">
        <f>IF(AND(B3308='111'!$L$11,OR($N3308=$Q$7,$O3308=$Q$7)),"x","")</f>
        <v/>
      </c>
      <c r="R3308" s="79" t="str">
        <f>IF(AND($N3308=$Q$7,$B3308&lt;'111'!$L$11),"x","")</f>
        <v/>
      </c>
      <c r="S3308" s="79" t="str">
        <f>IF(AND($O3308=$Q$7,$B3308&lt;'111'!$L$11),"x","")</f>
        <v/>
      </c>
      <c r="T3308" s="79" t="str">
        <f>IF(ISERROR(FIND('112'!$M$9,G3308,1)),"",IF((AND(FIND('112'!$M$9,G3308,1)&gt;=1,B3308='112'!$K$9,OR($N3308='112'!$I$6,$O3308='112'!$I$6))),"x",""))</f>
        <v/>
      </c>
      <c r="U3308" s="79" t="str">
        <f>IF(ISERROR(FIND('112'!$M$9,G3308,1)),"",IF((AND(LEFT(G3308,2)=LEFT('112'!$M$9,2),B3308&lt;'112'!$K$9,$N3308='112'!$I$6)),"x",""))</f>
        <v/>
      </c>
      <c r="V3308" s="79" t="str">
        <f>IF(ISERROR(FIND('112'!$M$9,G3308,1)),"",IF((AND(RIGHT(G3308,2)=RIGHT('112'!$M$9,2),B3308&lt;'112'!$K$9,$O3308='112'!$I$6)),"x",""))</f>
        <v/>
      </c>
      <c r="W3308" s="79" t="str">
        <f>IF(AND('341-CT'!$H$9=H3308,OR(LEFT(N3308,3)=$W$7,LEFT(O3308,3)=$W$7)),"x","")</f>
        <v/>
      </c>
      <c r="X3308" s="79" t="str">
        <f>IF(OR(TH!N3308=TH!$X$7,O3308=TH!$X$7),"x","")</f>
        <v/>
      </c>
      <c r="Y3308" s="79" t="str">
        <f>IF(AND(OR(N3308="131",O3308="131"),H3308='131-CT'!$H$9),"x","")</f>
        <v/>
      </c>
      <c r="Z3308" s="79"/>
      <c r="AA3308" s="79" t="str">
        <f>IF(AND(MONTH(E3308)='IN-NX'!$J$5,'IN-NX'!$D$7=D3308),"x","")</f>
        <v/>
      </c>
      <c r="AB3308" s="79" t="str">
        <f>IF(AND(OR(LEFT(TH!N3308,2)="15",LEFT(TH!O3308,2)="15"),LEFT(TH!O3308,3)&lt;&gt;"111",'152-CT'!$J$8=TH!F3308),"x","")</f>
        <v/>
      </c>
      <c r="AC3308" s="79" t="str">
        <f>IF(AND(OR(LEFT(TH!N3308,2)="15",LEFT(TH!O3308,2)="15"),TK!$E$7=TH!F3308),"x","")</f>
        <v/>
      </c>
      <c r="AD3308" s="79" t="str">
        <f>IF(AND(N3308="1521",MONTH(C3308)='BK-NL'!$M$11),"x","")</f>
        <v/>
      </c>
    </row>
    <row r="3309" spans="1:30" ht="16.5" customHeight="1">
      <c r="A3309" s="318" t="str">
        <f>IF(B3309&lt;&gt;"",IF(AND(B3309='IN-TC'!$S$4,OR(TH!N3309="1111",TH!O3309="1111")),TH!D3309,""),"")</f>
        <v/>
      </c>
      <c r="B3309" s="60" t="str">
        <f t="shared" si="390"/>
        <v/>
      </c>
      <c r="C3309" s="61"/>
      <c r="D3309" s="301"/>
      <c r="E3309" s="301"/>
      <c r="F3309" s="69"/>
      <c r="G3309" s="64"/>
      <c r="H3309" s="321"/>
      <c r="I3309" s="385"/>
      <c r="J3309" s="969"/>
      <c r="K3309" s="385"/>
      <c r="L3309" s="392"/>
      <c r="M3309" s="970"/>
      <c r="N3309" s="304"/>
      <c r="O3309" s="304"/>
      <c r="P3309" s="79" t="str">
        <f>IF(AND('331-CT'!$E$7=TH!H3309,OR(N3309="331",O3309="331")),"x","")</f>
        <v/>
      </c>
      <c r="Q3309" s="79" t="str">
        <f>IF(AND(B3309='111'!$L$11,OR($N3309=$Q$7,$O3309=$Q$7)),"x","")</f>
        <v/>
      </c>
      <c r="R3309" s="79" t="str">
        <f>IF(AND($N3309=$Q$7,$B3309&lt;'111'!$L$11),"x","")</f>
        <v/>
      </c>
      <c r="S3309" s="79" t="str">
        <f>IF(AND($O3309=$Q$7,$B3309&lt;'111'!$L$11),"x","")</f>
        <v/>
      </c>
      <c r="T3309" s="79" t="str">
        <f>IF(ISERROR(FIND('112'!$M$9,G3309,1)),"",IF((AND(FIND('112'!$M$9,G3309,1)&gt;=1,B3309='112'!$K$9,OR($N3309='112'!$I$6,$O3309='112'!$I$6))),"x",""))</f>
        <v/>
      </c>
      <c r="U3309" s="79" t="str">
        <f>IF(ISERROR(FIND('112'!$M$9,G3309,1)),"",IF((AND(LEFT(G3309,2)=LEFT('112'!$M$9,2),B3309&lt;'112'!$K$9,$N3309='112'!$I$6)),"x",""))</f>
        <v/>
      </c>
      <c r="V3309" s="79" t="str">
        <f>IF(ISERROR(FIND('112'!$M$9,G3309,1)),"",IF((AND(RIGHT(G3309,2)=RIGHT('112'!$M$9,2),B3309&lt;'112'!$K$9,$O3309='112'!$I$6)),"x",""))</f>
        <v/>
      </c>
      <c r="W3309" s="79" t="str">
        <f>IF(AND('341-CT'!$H$9=H3309,OR(LEFT(N3309,3)=$W$7,LEFT(O3309,3)=$W$7)),"x","")</f>
        <v/>
      </c>
      <c r="X3309" s="79" t="str">
        <f>IF(OR(TH!N3309=TH!$X$7,O3309=TH!$X$7),"x","")</f>
        <v/>
      </c>
      <c r="Y3309" s="79" t="str">
        <f>IF(AND(OR(N3309="131",O3309="131"),H3309='131-CT'!$H$9),"x","")</f>
        <v/>
      </c>
      <c r="Z3309" s="79"/>
      <c r="AA3309" s="79" t="str">
        <f>IF(AND(MONTH(E3309)='IN-NX'!$J$5,'IN-NX'!$D$7=D3309),"x","")</f>
        <v/>
      </c>
      <c r="AB3309" s="79" t="str">
        <f>IF(AND(OR(LEFT(TH!N3309,2)="15",LEFT(TH!O3309,2)="15"),LEFT(TH!O3309,3)&lt;&gt;"111",'152-CT'!$J$8=TH!F3309),"x","")</f>
        <v/>
      </c>
      <c r="AC3309" s="79" t="str">
        <f>IF(AND(OR(LEFT(TH!N3309,2)="15",LEFT(TH!O3309,2)="15"),TK!$E$7=TH!F3309),"x","")</f>
        <v/>
      </c>
      <c r="AD3309" s="79" t="str">
        <f>IF(AND(N3309="1521",MONTH(C3309)='BK-NL'!$M$11),"x","")</f>
        <v/>
      </c>
    </row>
    <row r="3310" spans="1:30" ht="16.5" customHeight="1">
      <c r="A3310" s="318" t="str">
        <f>IF(B3310&lt;&gt;"",IF(AND(B3310='IN-TC'!$S$4,OR(TH!N3310="1111",TH!O3310="1111")),TH!D3310,""),"")</f>
        <v/>
      </c>
      <c r="B3310" s="60" t="str">
        <f t="shared" si="390"/>
        <v/>
      </c>
      <c r="C3310" s="61"/>
      <c r="D3310" s="301"/>
      <c r="E3310" s="301"/>
      <c r="F3310" s="69"/>
      <c r="G3310" s="64"/>
      <c r="H3310" s="321"/>
      <c r="I3310" s="385"/>
      <c r="J3310" s="392"/>
      <c r="K3310" s="385"/>
      <c r="L3310" s="392"/>
      <c r="M3310" s="62"/>
      <c r="N3310" s="63"/>
      <c r="O3310" s="63"/>
      <c r="P3310" s="79" t="str">
        <f>IF(AND('331-CT'!$E$7=TH!H3310,OR(N3310="331",O3310="331")),"x","")</f>
        <v/>
      </c>
      <c r="Q3310" s="79" t="str">
        <f>IF(AND(B3310='111'!$L$11,OR($N3310=$Q$7,$O3310=$Q$7)),"x","")</f>
        <v/>
      </c>
      <c r="R3310" s="79" t="str">
        <f>IF(AND($N3310=$Q$7,$B3310&lt;'111'!$L$11),"x","")</f>
        <v/>
      </c>
      <c r="S3310" s="79" t="str">
        <f>IF(AND($O3310=$Q$7,$B3310&lt;'111'!$L$11),"x","")</f>
        <v/>
      </c>
      <c r="T3310" s="79" t="str">
        <f>IF(ISERROR(FIND('112'!$M$9,G3310,1)),"",IF((AND(FIND('112'!$M$9,G3310,1)&gt;=1,B3310='112'!$K$9,OR($N3310='112'!$I$6,$O3310='112'!$I$6))),"x",""))</f>
        <v/>
      </c>
      <c r="U3310" s="79" t="str">
        <f>IF(ISERROR(FIND('112'!$M$9,G3310,1)),"",IF((AND(LEFT(G3310,2)=LEFT('112'!$M$9,2),B3310&lt;'112'!$K$9,$N3310='112'!$I$6)),"x",""))</f>
        <v/>
      </c>
      <c r="V3310" s="79" t="str">
        <f>IF(ISERROR(FIND('112'!$M$9,G3310,1)),"",IF((AND(RIGHT(G3310,2)=RIGHT('112'!$M$9,2),B3310&lt;'112'!$K$9,$O3310='112'!$I$6)),"x",""))</f>
        <v/>
      </c>
      <c r="W3310" s="79" t="str">
        <f>IF(AND('341-CT'!$H$9=H3310,OR(LEFT(N3310,3)=$W$7,LEFT(O3310,3)=$W$7)),"x","")</f>
        <v/>
      </c>
      <c r="X3310" s="79" t="str">
        <f>IF(OR(TH!N3310=TH!$X$7,O3310=TH!$X$7),"x","")</f>
        <v/>
      </c>
      <c r="Y3310" s="79" t="str">
        <f>IF(AND(OR(N3310="131",O3310="131"),H3310='131-CT'!$H$9),"x","")</f>
        <v/>
      </c>
      <c r="Z3310" s="79"/>
      <c r="AA3310" s="79" t="str">
        <f>IF(AND(MONTH(E3310)='IN-NX'!$J$5,'IN-NX'!$D$7=D3310),"x","")</f>
        <v/>
      </c>
      <c r="AB3310" s="79" t="str">
        <f>IF(AND(OR(LEFT(TH!N3310,2)="15",LEFT(TH!O3310,2)="15"),LEFT(TH!O3310,3)&lt;&gt;"111",'152-CT'!$J$8=TH!F3310),"x","")</f>
        <v/>
      </c>
      <c r="AC3310" s="79" t="str">
        <f>IF(AND(OR(LEFT(TH!N3310,2)="15",LEFT(TH!O3310,2)="15"),TK!$E$7=TH!F3310),"x","")</f>
        <v/>
      </c>
      <c r="AD3310" s="79" t="str">
        <f>IF(AND(N3310="1521",MONTH(C3310)='BK-NL'!$M$11),"x","")</f>
        <v/>
      </c>
    </row>
    <row r="3311" spans="1:30" ht="16.5" customHeight="1">
      <c r="A3311" s="318" t="str">
        <f>IF(B3311&lt;&gt;"",IF(AND(B3311='IN-TC'!$S$4,OR(TH!N3311="1111",TH!O3311="1111")),TH!D3311,""),"")</f>
        <v/>
      </c>
      <c r="B3311" s="60" t="str">
        <f t="shared" si="390"/>
        <v/>
      </c>
      <c r="C3311" s="61"/>
      <c r="D3311" s="61"/>
      <c r="E3311" s="301"/>
      <c r="F3311" s="69"/>
      <c r="G3311" s="64"/>
      <c r="H3311" s="321"/>
      <c r="I3311" s="385"/>
      <c r="J3311" s="392"/>
      <c r="K3311" s="385"/>
      <c r="L3311" s="392"/>
      <c r="M3311" s="62"/>
      <c r="N3311" s="971"/>
      <c r="O3311" s="304"/>
      <c r="P3311" s="79" t="str">
        <f>IF(AND('331-CT'!$E$7=TH!H3311,OR(N3311="331",O3311="331")),"x","")</f>
        <v/>
      </c>
      <c r="Q3311" s="79" t="str">
        <f>IF(AND(B3311='111'!$L$11,OR($N3311=$Q$7,$O3311=$Q$7)),"x","")</f>
        <v/>
      </c>
      <c r="R3311" s="79" t="str">
        <f>IF(AND($N3311=$Q$7,$B3311&lt;'111'!$L$11),"x","")</f>
        <v/>
      </c>
      <c r="S3311" s="79" t="str">
        <f>IF(AND($O3311=$Q$7,$B3311&lt;'111'!$L$11),"x","")</f>
        <v/>
      </c>
      <c r="T3311" s="79" t="str">
        <f>IF(ISERROR(FIND('112'!$M$9,G3311,1)),"",IF((AND(FIND('112'!$M$9,G3311,1)&gt;=1,B3311='112'!$K$9,OR($N3311='112'!$I$6,$O3311='112'!$I$6))),"x",""))</f>
        <v/>
      </c>
      <c r="U3311" s="79" t="str">
        <f>IF(ISERROR(FIND('112'!$M$9,G3311,1)),"",IF((AND(LEFT(G3311,2)=LEFT('112'!$M$9,2),B3311&lt;'112'!$K$9,$N3311='112'!$I$6)),"x",""))</f>
        <v/>
      </c>
      <c r="V3311" s="79" t="str">
        <f>IF(ISERROR(FIND('112'!$M$9,G3311,1)),"",IF((AND(RIGHT(G3311,2)=RIGHT('112'!$M$9,2),B3311&lt;'112'!$K$9,$O3311='112'!$I$6)),"x",""))</f>
        <v/>
      </c>
      <c r="W3311" s="79" t="str">
        <f>IF(AND('341-CT'!$H$9=H3311,OR(LEFT(N3311,3)=$W$7,LEFT(O3311,3)=$W$7)),"x","")</f>
        <v/>
      </c>
      <c r="X3311" s="79" t="str">
        <f>IF(OR(TH!N3311=TH!$X$7,O3311=TH!$X$7),"x","")</f>
        <v/>
      </c>
      <c r="Y3311" s="79" t="str">
        <f>IF(AND(OR(N3311="131",O3311="131"),H3311='131-CT'!$H$9),"x","")</f>
        <v/>
      </c>
      <c r="Z3311" s="79"/>
      <c r="AA3311" s="79" t="str">
        <f>IF(AND(MONTH(E3311)='IN-NX'!$J$5,'IN-NX'!$D$7=D3311),"x","")</f>
        <v/>
      </c>
      <c r="AB3311" s="79" t="str">
        <f>IF(AND(OR(LEFT(TH!N3311,2)="15",LEFT(TH!O3311,2)="15"),LEFT(TH!O3311,3)&lt;&gt;"111",'152-CT'!$J$8=TH!F3311),"x","")</f>
        <v/>
      </c>
      <c r="AC3311" s="79" t="str">
        <f>IF(AND(OR(LEFT(TH!N3311,2)="15",LEFT(TH!O3311,2)="15"),TK!$E$7=TH!F3311),"x","")</f>
        <v/>
      </c>
      <c r="AD3311" s="79" t="str">
        <f>IF(AND(N3311="1521",MONTH(C3311)='BK-NL'!$M$11),"x","")</f>
        <v/>
      </c>
    </row>
    <row r="3312" spans="1:30" ht="16.5" customHeight="1">
      <c r="A3312" s="318" t="str">
        <f>IF(B3312&lt;&gt;"",IF(AND(B3312='IN-TC'!$S$4,OR(TH!N3312="1111",TH!O3312="1111")),TH!D3312,""),"")</f>
        <v/>
      </c>
      <c r="B3312" s="60" t="str">
        <f t="shared" si="390"/>
        <v/>
      </c>
      <c r="C3312" s="61"/>
      <c r="D3312" s="61"/>
      <c r="E3312" s="301"/>
      <c r="F3312" s="69"/>
      <c r="G3312" s="64"/>
      <c r="H3312" s="69"/>
      <c r="I3312" s="385"/>
      <c r="J3312" s="392"/>
      <c r="K3312" s="385"/>
      <c r="L3312" s="392"/>
      <c r="M3312" s="62"/>
      <c r="N3312" s="63"/>
      <c r="O3312" s="63"/>
      <c r="P3312" s="79" t="str">
        <f>IF(AND('331-CT'!$E$7=TH!H3312,OR(N3312="331",O3312="331")),"x","")</f>
        <v/>
      </c>
      <c r="Q3312" s="79" t="str">
        <f>IF(AND(B3312='111'!$L$11,OR($N3312=$Q$7,$O3312=$Q$7)),"x","")</f>
        <v/>
      </c>
      <c r="R3312" s="79" t="str">
        <f>IF(AND($N3312=$Q$7,$B3312&lt;'111'!$L$11),"x","")</f>
        <v/>
      </c>
      <c r="S3312" s="79" t="str">
        <f>IF(AND($O3312=$Q$7,$B3312&lt;'111'!$L$11),"x","")</f>
        <v/>
      </c>
      <c r="T3312" s="79" t="str">
        <f>IF(ISERROR(FIND('112'!$M$9,G3312,1)),"",IF((AND(FIND('112'!$M$9,G3312,1)&gt;=1,B3312='112'!$K$9,OR($N3312='112'!$I$6,$O3312='112'!$I$6))),"x",""))</f>
        <v/>
      </c>
      <c r="U3312" s="79" t="str">
        <f>IF(ISERROR(FIND('112'!$M$9,G3312,1)),"",IF((AND(LEFT(G3312,2)=LEFT('112'!$M$9,2),B3312&lt;'112'!$K$9,$N3312='112'!$I$6)),"x",""))</f>
        <v/>
      </c>
      <c r="V3312" s="79" t="str">
        <f>IF(ISERROR(FIND('112'!$M$9,G3312,1)),"",IF((AND(RIGHT(G3312,2)=RIGHT('112'!$M$9,2),B3312&lt;'112'!$K$9,$O3312='112'!$I$6)),"x",""))</f>
        <v/>
      </c>
      <c r="W3312" s="79" t="str">
        <f>IF(AND('341-CT'!$H$9=H3312,OR(LEFT(N3312,3)=$W$7,LEFT(O3312,3)=$W$7)),"x","")</f>
        <v/>
      </c>
      <c r="X3312" s="79" t="str">
        <f>IF(OR(TH!N3312=TH!$X$7,O3312=TH!$X$7),"x","")</f>
        <v/>
      </c>
      <c r="Y3312" s="79" t="str">
        <f>IF(AND(OR(N3312="131",O3312="131"),H3312='131-CT'!$H$9),"x","")</f>
        <v/>
      </c>
      <c r="Z3312" s="79"/>
      <c r="AA3312" s="79" t="str">
        <f>IF(AND(MONTH(E3312)='IN-NX'!$J$5,'IN-NX'!$D$7=D3312),"x","")</f>
        <v/>
      </c>
      <c r="AB3312" s="79" t="str">
        <f>IF(AND(OR(LEFT(TH!N3312,2)="15",LEFT(TH!O3312,2)="15"),LEFT(TH!O3312,3)&lt;&gt;"111",'152-CT'!$J$8=TH!F3312),"x","")</f>
        <v/>
      </c>
      <c r="AC3312" s="79" t="str">
        <f>IF(AND(OR(LEFT(TH!N3312,2)="15",LEFT(TH!O3312,2)="15"),TK!$E$7=TH!F3312),"x","")</f>
        <v/>
      </c>
      <c r="AD3312" s="79" t="str">
        <f>IF(AND(N3312="1521",MONTH(C3312)='BK-NL'!$M$11),"x","")</f>
        <v/>
      </c>
    </row>
    <row r="3313" spans="1:30" ht="16.5" customHeight="1">
      <c r="A3313" s="318" t="str">
        <f>IF(B3313&lt;&gt;"",IF(AND(B3313='IN-TC'!$S$4,OR(TH!N3313="1111",TH!O3313="1111")),TH!D3313,""),"")</f>
        <v/>
      </c>
      <c r="B3313" s="60" t="str">
        <f t="shared" si="390"/>
        <v/>
      </c>
      <c r="C3313" s="301"/>
      <c r="D3313" s="301"/>
      <c r="E3313" s="301"/>
      <c r="F3313" s="69"/>
      <c r="G3313" s="988"/>
      <c r="H3313" s="69"/>
      <c r="I3313" s="385"/>
      <c r="J3313" s="969"/>
      <c r="K3313" s="385"/>
      <c r="L3313" s="392"/>
      <c r="M3313" s="970"/>
      <c r="N3313" s="304"/>
      <c r="O3313" s="304"/>
      <c r="P3313" s="79" t="str">
        <f>IF(AND('331-CT'!$E$7=TH!H3313,OR(N3313="331",O3313="331")),"x","")</f>
        <v/>
      </c>
      <c r="Q3313" s="79" t="str">
        <f>IF(AND(B3313='111'!$L$11,OR($N3313=$Q$7,$O3313=$Q$7)),"x","")</f>
        <v/>
      </c>
      <c r="R3313" s="79" t="str">
        <f>IF(AND($N3313=$Q$7,$B3313&lt;'111'!$L$11),"x","")</f>
        <v/>
      </c>
      <c r="S3313" s="79" t="str">
        <f>IF(AND($O3313=$Q$7,$B3313&lt;'111'!$L$11),"x","")</f>
        <v/>
      </c>
      <c r="T3313" s="79" t="str">
        <f>IF(ISERROR(FIND('112'!$M$9,G3313,1)),"",IF((AND(FIND('112'!$M$9,G3313,1)&gt;=1,B3313='112'!$K$9,OR($N3313='112'!$I$6,$O3313='112'!$I$6))),"x",""))</f>
        <v/>
      </c>
      <c r="U3313" s="79" t="str">
        <f>IF(ISERROR(FIND('112'!$M$9,G3313,1)),"",IF((AND(LEFT(G3313,2)=LEFT('112'!$M$9,2),B3313&lt;'112'!$K$9,$N3313='112'!$I$6)),"x",""))</f>
        <v/>
      </c>
      <c r="V3313" s="79" t="str">
        <f>IF(ISERROR(FIND('112'!$M$9,G3313,1)),"",IF((AND(RIGHT(G3313,2)=RIGHT('112'!$M$9,2),B3313&lt;'112'!$K$9,$O3313='112'!$I$6)),"x",""))</f>
        <v/>
      </c>
      <c r="W3313" s="79" t="str">
        <f>IF(AND('341-CT'!$H$9=H3313,OR(LEFT(N3313,3)=$W$7,LEFT(O3313,3)=$W$7)),"x","")</f>
        <v/>
      </c>
      <c r="X3313" s="79" t="str">
        <f>IF(OR(TH!N3313=TH!$X$7,O3313=TH!$X$7),"x","")</f>
        <v/>
      </c>
      <c r="Y3313" s="79" t="str">
        <f>IF(AND(OR(N3313="131",O3313="131"),H3313='131-CT'!$H$9),"x","")</f>
        <v/>
      </c>
      <c r="Z3313" s="79"/>
      <c r="AA3313" s="79" t="str">
        <f>IF(AND(MONTH(E3313)='IN-NX'!$J$5,'IN-NX'!$D$7=D3313),"x","")</f>
        <v/>
      </c>
      <c r="AB3313" s="79" t="str">
        <f>IF(AND(OR(LEFT(TH!N3313,2)="15",LEFT(TH!O3313,2)="15"),LEFT(TH!O3313,3)&lt;&gt;"111",'152-CT'!$J$8=TH!F3313),"x","")</f>
        <v/>
      </c>
      <c r="AC3313" s="79" t="str">
        <f>IF(AND(OR(LEFT(TH!N3313,2)="15",LEFT(TH!O3313,2)="15"),TK!$E$7=TH!F3313),"x","")</f>
        <v/>
      </c>
      <c r="AD3313" s="79" t="str">
        <f>IF(AND(N3313="1521",MONTH(C3313)='BK-NL'!$M$11),"x","")</f>
        <v/>
      </c>
    </row>
    <row r="3314" spans="1:30" ht="16.5" customHeight="1">
      <c r="A3314" s="318" t="str">
        <f>IF(B3314&lt;&gt;"",IF(AND(B3314='IN-TC'!$S$4,OR(TH!N3314="1111",TH!O3314="1111")),TH!D3314,""),"")</f>
        <v/>
      </c>
      <c r="B3314" s="60" t="str">
        <f t="shared" si="390"/>
        <v/>
      </c>
      <c r="C3314" s="61"/>
      <c r="D3314" s="61"/>
      <c r="E3314" s="301"/>
      <c r="F3314" s="69"/>
      <c r="G3314" s="64"/>
      <c r="H3314" s="69"/>
      <c r="I3314" s="385"/>
      <c r="J3314" s="392"/>
      <c r="K3314" s="385"/>
      <c r="L3314" s="392"/>
      <c r="M3314" s="62"/>
      <c r="N3314" s="63"/>
      <c r="O3314" s="63"/>
      <c r="P3314" s="79" t="str">
        <f>IF(AND('331-CT'!$E$7=TH!H3314,OR(N3314="331",O3314="331")),"x","")</f>
        <v/>
      </c>
      <c r="Q3314" s="79" t="str">
        <f>IF(AND(B3314='111'!$L$11,OR($N3314=$Q$7,$O3314=$Q$7)),"x","")</f>
        <v/>
      </c>
      <c r="R3314" s="79" t="str">
        <f>IF(AND($N3314=$Q$7,$B3314&lt;'111'!$L$11),"x","")</f>
        <v/>
      </c>
      <c r="S3314" s="79" t="str">
        <f>IF(AND($O3314=$Q$7,$B3314&lt;'111'!$L$11),"x","")</f>
        <v/>
      </c>
      <c r="T3314" s="79" t="str">
        <f>IF(ISERROR(FIND('112'!$M$9,G3314,1)),"",IF((AND(FIND('112'!$M$9,G3314,1)&gt;=1,B3314='112'!$K$9,OR($N3314='112'!$I$6,$O3314='112'!$I$6))),"x",""))</f>
        <v/>
      </c>
      <c r="U3314" s="79" t="str">
        <f>IF(ISERROR(FIND('112'!$M$9,G3314,1)),"",IF((AND(LEFT(G3314,2)=LEFT('112'!$M$9,2),B3314&lt;'112'!$K$9,$N3314='112'!$I$6)),"x",""))</f>
        <v/>
      </c>
      <c r="V3314" s="79" t="str">
        <f>IF(ISERROR(FIND('112'!$M$9,G3314,1)),"",IF((AND(RIGHT(G3314,2)=RIGHT('112'!$M$9,2),B3314&lt;'112'!$K$9,$O3314='112'!$I$6)),"x",""))</f>
        <v/>
      </c>
      <c r="W3314" s="79" t="str">
        <f>IF(AND('341-CT'!$H$9=H3314,OR(LEFT(N3314,3)=$W$7,LEFT(O3314,3)=$W$7)),"x","")</f>
        <v/>
      </c>
      <c r="X3314" s="79" t="str">
        <f>IF(OR(TH!N3314=TH!$X$7,O3314=TH!$X$7),"x","")</f>
        <v/>
      </c>
      <c r="Y3314" s="79" t="str">
        <f>IF(AND(OR(N3314="131",O3314="131"),H3314='131-CT'!$H$9),"x","")</f>
        <v/>
      </c>
      <c r="Z3314" s="79"/>
      <c r="AA3314" s="79" t="str">
        <f>IF(AND(MONTH(E3314)='IN-NX'!$J$5,'IN-NX'!$D$7=D3314),"x","")</f>
        <v/>
      </c>
      <c r="AB3314" s="79" t="str">
        <f>IF(AND(OR(LEFT(TH!N3314,2)="15",LEFT(TH!O3314,2)="15"),LEFT(TH!O3314,3)&lt;&gt;"111",'152-CT'!$J$8=TH!F3314),"x","")</f>
        <v/>
      </c>
      <c r="AC3314" s="79" t="str">
        <f>IF(AND(OR(LEFT(TH!N3314,2)="15",LEFT(TH!O3314,2)="15"),TK!$E$7=TH!F3314),"x","")</f>
        <v/>
      </c>
      <c r="AD3314" s="79" t="str">
        <f>IF(AND(N3314="1521",MONTH(C3314)='BK-NL'!$M$11),"x","")</f>
        <v/>
      </c>
    </row>
    <row r="3315" spans="1:30" ht="16.5" customHeight="1">
      <c r="A3315" s="318" t="str">
        <f>IF(B3315&lt;&gt;"",IF(AND(B3315='IN-TC'!$S$4,OR(TH!N3315="1111",TH!O3315="1111")),TH!D3315,""),"")</f>
        <v/>
      </c>
      <c r="B3315" s="60" t="str">
        <f t="shared" si="390"/>
        <v/>
      </c>
      <c r="C3315" s="61"/>
      <c r="D3315" s="61"/>
      <c r="E3315" s="301"/>
      <c r="F3315" s="69"/>
      <c r="G3315" s="64"/>
      <c r="H3315" s="69"/>
      <c r="I3315" s="385"/>
      <c r="J3315" s="392"/>
      <c r="K3315" s="385"/>
      <c r="L3315" s="392"/>
      <c r="M3315" s="62"/>
      <c r="N3315" s="63"/>
      <c r="O3315" s="63"/>
      <c r="P3315" s="79" t="str">
        <f>IF(AND('331-CT'!$E$7=TH!H3315,OR(N3315="331",O3315="331")),"x","")</f>
        <v/>
      </c>
      <c r="Q3315" s="79" t="str">
        <f>IF(AND(B3315='111'!$L$11,OR($N3315=$Q$7,$O3315=$Q$7)),"x","")</f>
        <v/>
      </c>
      <c r="R3315" s="79" t="str">
        <f>IF(AND($N3315=$Q$7,$B3315&lt;'111'!$L$11),"x","")</f>
        <v/>
      </c>
      <c r="S3315" s="79" t="str">
        <f>IF(AND($O3315=$Q$7,$B3315&lt;'111'!$L$11),"x","")</f>
        <v/>
      </c>
      <c r="T3315" s="79" t="str">
        <f>IF(ISERROR(FIND('112'!$M$9,G3315,1)),"",IF((AND(FIND('112'!$M$9,G3315,1)&gt;=1,B3315='112'!$K$9,OR($N3315='112'!$I$6,$O3315='112'!$I$6))),"x",""))</f>
        <v/>
      </c>
      <c r="U3315" s="79" t="str">
        <f>IF(ISERROR(FIND('112'!$M$9,G3315,1)),"",IF((AND(LEFT(G3315,2)=LEFT('112'!$M$9,2),B3315&lt;'112'!$K$9,$N3315='112'!$I$6)),"x",""))</f>
        <v/>
      </c>
      <c r="V3315" s="79" t="str">
        <f>IF(ISERROR(FIND('112'!$M$9,G3315,1)),"",IF((AND(RIGHT(G3315,2)=RIGHT('112'!$M$9,2),B3315&lt;'112'!$K$9,$O3315='112'!$I$6)),"x",""))</f>
        <v/>
      </c>
      <c r="W3315" s="79" t="str">
        <f>IF(AND('341-CT'!$H$9=H3315,OR(LEFT(N3315,3)=$W$7,LEFT(O3315,3)=$W$7)),"x","")</f>
        <v/>
      </c>
      <c r="X3315" s="79" t="str">
        <f>IF(OR(TH!N3315=TH!$X$7,O3315=TH!$X$7),"x","")</f>
        <v/>
      </c>
      <c r="Y3315" s="79" t="str">
        <f>IF(AND(OR(N3315="131",O3315="131"),H3315='131-CT'!$H$9),"x","")</f>
        <v/>
      </c>
      <c r="Z3315" s="79"/>
      <c r="AA3315" s="79" t="str">
        <f>IF(AND(MONTH(E3315)='IN-NX'!$J$5,'IN-NX'!$D$7=D3315),"x","")</f>
        <v/>
      </c>
      <c r="AB3315" s="79" t="str">
        <f>IF(AND(OR(LEFT(TH!N3315,2)="15",LEFT(TH!O3315,2)="15"),LEFT(TH!O3315,3)&lt;&gt;"111",'152-CT'!$J$8=TH!F3315),"x","")</f>
        <v/>
      </c>
      <c r="AC3315" s="79" t="str">
        <f>IF(AND(OR(LEFT(TH!N3315,2)="15",LEFT(TH!O3315,2)="15"),TK!$E$7=TH!F3315),"x","")</f>
        <v/>
      </c>
      <c r="AD3315" s="79" t="str">
        <f>IF(AND(N3315="1521",MONTH(C3315)='BK-NL'!$M$11),"x","")</f>
        <v/>
      </c>
    </row>
    <row r="3316" spans="1:30" ht="16.5" customHeight="1">
      <c r="A3316" s="318" t="str">
        <f>IF(B3316&lt;&gt;"",IF(AND(B3316='IN-TC'!$S$4,OR(TH!N3316="1111",TH!O3316="1111")),TH!D3316,""),"")</f>
        <v/>
      </c>
      <c r="B3316" s="60" t="str">
        <f t="shared" si="390"/>
        <v/>
      </c>
      <c r="C3316" s="61"/>
      <c r="D3316" s="61"/>
      <c r="E3316" s="301"/>
      <c r="F3316" s="69"/>
      <c r="G3316" s="64"/>
      <c r="H3316" s="69"/>
      <c r="I3316" s="385"/>
      <c r="J3316" s="392"/>
      <c r="K3316" s="385"/>
      <c r="L3316" s="392"/>
      <c r="M3316" s="62"/>
      <c r="N3316" s="63"/>
      <c r="O3316" s="63"/>
      <c r="P3316" s="79" t="str">
        <f>IF(AND('331-CT'!$E$7=TH!H3316,OR(N3316="331",O3316="331")),"x","")</f>
        <v/>
      </c>
      <c r="Q3316" s="79" t="str">
        <f>IF(AND(B3316='111'!$L$11,OR($N3316=$Q$7,$O3316=$Q$7)),"x","")</f>
        <v/>
      </c>
      <c r="R3316" s="79" t="str">
        <f>IF(AND($N3316=$Q$7,$B3316&lt;'111'!$L$11),"x","")</f>
        <v/>
      </c>
      <c r="S3316" s="79" t="str">
        <f>IF(AND($O3316=$Q$7,$B3316&lt;'111'!$L$11),"x","")</f>
        <v/>
      </c>
      <c r="T3316" s="79" t="str">
        <f>IF(ISERROR(FIND('112'!$M$9,G3316,1)),"",IF((AND(FIND('112'!$M$9,G3316,1)&gt;=1,B3316='112'!$K$9,OR($N3316='112'!$I$6,$O3316='112'!$I$6))),"x",""))</f>
        <v/>
      </c>
      <c r="U3316" s="79" t="str">
        <f>IF(ISERROR(FIND('112'!$M$9,G3316,1)),"",IF((AND(LEFT(G3316,2)=LEFT('112'!$M$9,2),B3316&lt;'112'!$K$9,$N3316='112'!$I$6)),"x",""))</f>
        <v/>
      </c>
      <c r="V3316" s="79" t="str">
        <f>IF(ISERROR(FIND('112'!$M$9,G3316,1)),"",IF((AND(RIGHT(G3316,2)=RIGHT('112'!$M$9,2),B3316&lt;'112'!$K$9,$O3316='112'!$I$6)),"x",""))</f>
        <v/>
      </c>
      <c r="W3316" s="79" t="str">
        <f>IF(AND('341-CT'!$H$9=H3316,OR(LEFT(N3316,3)=$W$7,LEFT(O3316,3)=$W$7)),"x","")</f>
        <v/>
      </c>
      <c r="X3316" s="79" t="str">
        <f>IF(OR(TH!N3316=TH!$X$7,O3316=TH!$X$7),"x","")</f>
        <v/>
      </c>
      <c r="Y3316" s="79" t="str">
        <f>IF(AND(OR(N3316="131",O3316="131"),H3316='131-CT'!$H$9),"x","")</f>
        <v/>
      </c>
      <c r="Z3316" s="79"/>
      <c r="AA3316" s="79" t="str">
        <f>IF(AND(MONTH(E3316)='IN-NX'!$J$5,'IN-NX'!$D$7=D3316),"x","")</f>
        <v/>
      </c>
      <c r="AB3316" s="79" t="str">
        <f>IF(AND(OR(LEFT(TH!N3316,2)="15",LEFT(TH!O3316,2)="15"),LEFT(TH!O3316,3)&lt;&gt;"111",'152-CT'!$J$8=TH!F3316),"x","")</f>
        <v/>
      </c>
      <c r="AC3316" s="79" t="str">
        <f>IF(AND(OR(LEFT(TH!N3316,2)="15",LEFT(TH!O3316,2)="15"),TK!$E$7=TH!F3316),"x","")</f>
        <v/>
      </c>
      <c r="AD3316" s="79" t="str">
        <f>IF(AND(N3316="1521",MONTH(C3316)='BK-NL'!$M$11),"x","")</f>
        <v/>
      </c>
    </row>
    <row r="3317" spans="1:30" ht="16.5" customHeight="1">
      <c r="A3317" s="318" t="str">
        <f>IF(B3317&lt;&gt;"",IF(AND(B3317='IN-TC'!$S$4,OR(TH!N3317="1111",TH!O3317="1111")),TH!D3317,""),"")</f>
        <v/>
      </c>
      <c r="B3317" s="60" t="str">
        <f t="shared" si="390"/>
        <v/>
      </c>
      <c r="C3317" s="301"/>
      <c r="D3317" s="301"/>
      <c r="E3317" s="301"/>
      <c r="F3317" s="69"/>
      <c r="G3317" s="988"/>
      <c r="H3317" s="69"/>
      <c r="I3317" s="385"/>
      <c r="J3317" s="969"/>
      <c r="K3317" s="385"/>
      <c r="L3317" s="392"/>
      <c r="M3317" s="970"/>
      <c r="N3317" s="304"/>
      <c r="O3317" s="304"/>
      <c r="P3317" s="79" t="str">
        <f>IF(AND('331-CT'!$E$7=TH!H3317,OR(N3317="331",O3317="331")),"x","")</f>
        <v/>
      </c>
      <c r="Q3317" s="79" t="str">
        <f>IF(AND(B3317='111'!$L$11,OR($N3317=$Q$7,$O3317=$Q$7)),"x","")</f>
        <v/>
      </c>
      <c r="R3317" s="79" t="str">
        <f>IF(AND($N3317=$Q$7,$B3317&lt;'111'!$L$11),"x","")</f>
        <v/>
      </c>
      <c r="S3317" s="79" t="str">
        <f>IF(AND($O3317=$Q$7,$B3317&lt;'111'!$L$11),"x","")</f>
        <v/>
      </c>
      <c r="T3317" s="79" t="str">
        <f>IF(ISERROR(FIND('112'!$M$9,G3317,1)),"",IF((AND(FIND('112'!$M$9,G3317,1)&gt;=1,B3317='112'!$K$9,OR($N3317='112'!$I$6,$O3317='112'!$I$6))),"x",""))</f>
        <v/>
      </c>
      <c r="U3317" s="79" t="str">
        <f>IF(ISERROR(FIND('112'!$M$9,G3317,1)),"",IF((AND(LEFT(G3317,2)=LEFT('112'!$M$9,2),B3317&lt;'112'!$K$9,$N3317='112'!$I$6)),"x",""))</f>
        <v/>
      </c>
      <c r="V3317" s="79" t="str">
        <f>IF(ISERROR(FIND('112'!$M$9,G3317,1)),"",IF((AND(RIGHT(G3317,2)=RIGHT('112'!$M$9,2),B3317&lt;'112'!$K$9,$O3317='112'!$I$6)),"x",""))</f>
        <v/>
      </c>
      <c r="W3317" s="79" t="str">
        <f>IF(AND('341-CT'!$H$9=H3317,OR(LEFT(N3317,3)=$W$7,LEFT(O3317,3)=$W$7)),"x","")</f>
        <v/>
      </c>
      <c r="X3317" s="79" t="str">
        <f>IF(OR(TH!N3317=TH!$X$7,O3317=TH!$X$7),"x","")</f>
        <v/>
      </c>
      <c r="Y3317" s="79" t="str">
        <f>IF(AND(OR(N3317="131",O3317="131"),H3317='131-CT'!$H$9),"x","")</f>
        <v/>
      </c>
      <c r="Z3317" s="79"/>
      <c r="AA3317" s="79" t="str">
        <f>IF(AND(MONTH(E3317)='IN-NX'!$J$5,'IN-NX'!$D$7=D3317),"x","")</f>
        <v/>
      </c>
      <c r="AB3317" s="79" t="str">
        <f>IF(AND(OR(LEFT(TH!N3317,2)="15",LEFT(TH!O3317,2)="15"),LEFT(TH!O3317,3)&lt;&gt;"111",'152-CT'!$J$8=TH!F3317),"x","")</f>
        <v/>
      </c>
      <c r="AC3317" s="79" t="str">
        <f>IF(AND(OR(LEFT(TH!N3317,2)="15",LEFT(TH!O3317,2)="15"),TK!$E$7=TH!F3317),"x","")</f>
        <v/>
      </c>
      <c r="AD3317" s="79" t="str">
        <f>IF(AND(N3317="1521",MONTH(C3317)='BK-NL'!$M$11),"x","")</f>
        <v/>
      </c>
    </row>
    <row r="3318" spans="1:30" ht="16.5" customHeight="1">
      <c r="A3318" s="318" t="str">
        <f>IF(B3318&lt;&gt;"",IF(AND(B3318='IN-TC'!$S$4,OR(TH!N3318="1111",TH!O3318="1111")),TH!D3318,""),"")</f>
        <v/>
      </c>
      <c r="B3318" s="60" t="str">
        <f t="shared" si="390"/>
        <v/>
      </c>
      <c r="C3318" s="61"/>
      <c r="D3318" s="61"/>
      <c r="E3318" s="301"/>
      <c r="F3318" s="69"/>
      <c r="G3318" s="64"/>
      <c r="H3318" s="69"/>
      <c r="I3318" s="385"/>
      <c r="J3318" s="392"/>
      <c r="K3318" s="385"/>
      <c r="L3318" s="392"/>
      <c r="M3318" s="62"/>
      <c r="N3318" s="63"/>
      <c r="O3318" s="63"/>
      <c r="P3318" s="79" t="str">
        <f>IF(AND('331-CT'!$E$7=TH!H3318,OR(N3318="331",O3318="331")),"x","")</f>
        <v/>
      </c>
      <c r="Q3318" s="79" t="str">
        <f>IF(AND(B3318='111'!$L$11,OR($N3318=$Q$7,$O3318=$Q$7)),"x","")</f>
        <v/>
      </c>
      <c r="R3318" s="79" t="str">
        <f>IF(AND($N3318=$Q$7,$B3318&lt;'111'!$L$11),"x","")</f>
        <v/>
      </c>
      <c r="S3318" s="79" t="str">
        <f>IF(AND($O3318=$Q$7,$B3318&lt;'111'!$L$11),"x","")</f>
        <v/>
      </c>
      <c r="T3318" s="79" t="str">
        <f>IF(ISERROR(FIND('112'!$M$9,G3318,1)),"",IF((AND(FIND('112'!$M$9,G3318,1)&gt;=1,B3318='112'!$K$9,OR($N3318='112'!$I$6,$O3318='112'!$I$6))),"x",""))</f>
        <v/>
      </c>
      <c r="U3318" s="79" t="str">
        <f>IF(ISERROR(FIND('112'!$M$9,G3318,1)),"",IF((AND(LEFT(G3318,2)=LEFT('112'!$M$9,2),B3318&lt;'112'!$K$9,$N3318='112'!$I$6)),"x",""))</f>
        <v/>
      </c>
      <c r="V3318" s="79" t="str">
        <f>IF(ISERROR(FIND('112'!$M$9,G3318,1)),"",IF((AND(RIGHT(G3318,2)=RIGHT('112'!$M$9,2),B3318&lt;'112'!$K$9,$O3318='112'!$I$6)),"x",""))</f>
        <v/>
      </c>
      <c r="W3318" s="79" t="str">
        <f>IF(AND('341-CT'!$H$9=H3318,OR(LEFT(N3318,3)=$W$7,LEFT(O3318,3)=$W$7)),"x","")</f>
        <v/>
      </c>
      <c r="X3318" s="79" t="str">
        <f>IF(OR(TH!N3318=TH!$X$7,O3318=TH!$X$7),"x","")</f>
        <v/>
      </c>
      <c r="Y3318" s="79" t="str">
        <f>IF(AND(OR(N3318="131",O3318="131"),H3318='131-CT'!$H$9),"x","")</f>
        <v/>
      </c>
      <c r="Z3318" s="79"/>
      <c r="AA3318" s="79" t="str">
        <f>IF(AND(MONTH(E3318)='IN-NX'!$J$5,'IN-NX'!$D$7=D3318),"x","")</f>
        <v/>
      </c>
      <c r="AB3318" s="79" t="str">
        <f>IF(AND(OR(LEFT(TH!N3318,2)="15",LEFT(TH!O3318,2)="15"),LEFT(TH!O3318,3)&lt;&gt;"111",'152-CT'!$J$8=TH!F3318),"x","")</f>
        <v/>
      </c>
      <c r="AC3318" s="79" t="str">
        <f>IF(AND(OR(LEFT(TH!N3318,2)="15",LEFT(TH!O3318,2)="15"),TK!$E$7=TH!F3318),"x","")</f>
        <v/>
      </c>
      <c r="AD3318" s="79" t="str">
        <f>IF(AND(N3318="1521",MONTH(C3318)='BK-NL'!$M$11),"x","")</f>
        <v/>
      </c>
    </row>
    <row r="3319" spans="1:30" ht="16.5" customHeight="1">
      <c r="A3319" s="318" t="str">
        <f>IF(B3319&lt;&gt;"",IF(AND(B3319='IN-TC'!$S$4,OR(TH!N3319="1111",TH!O3319="1111")),TH!D3319,""),"")</f>
        <v/>
      </c>
      <c r="B3319" s="60" t="str">
        <f t="shared" si="390"/>
        <v/>
      </c>
      <c r="C3319" s="61"/>
      <c r="D3319" s="61"/>
      <c r="E3319" s="301"/>
      <c r="F3319" s="69"/>
      <c r="G3319" s="64"/>
      <c r="H3319" s="69"/>
      <c r="I3319" s="385"/>
      <c r="J3319" s="392"/>
      <c r="K3319" s="385"/>
      <c r="L3319" s="392"/>
      <c r="M3319" s="62"/>
      <c r="N3319" s="63"/>
      <c r="O3319" s="63"/>
      <c r="P3319" s="79" t="str">
        <f>IF(AND('331-CT'!$E$7=TH!H3319,OR(N3319="331",O3319="331")),"x","")</f>
        <v/>
      </c>
      <c r="Q3319" s="79" t="str">
        <f>IF(AND(B3319='111'!$L$11,OR($N3319=$Q$7,$O3319=$Q$7)),"x","")</f>
        <v/>
      </c>
      <c r="R3319" s="79" t="str">
        <f>IF(AND($N3319=$Q$7,$B3319&lt;'111'!$L$11),"x","")</f>
        <v/>
      </c>
      <c r="S3319" s="79" t="str">
        <f>IF(AND($O3319=$Q$7,$B3319&lt;'111'!$L$11),"x","")</f>
        <v/>
      </c>
      <c r="T3319" s="79" t="str">
        <f>IF(ISERROR(FIND('112'!$M$9,G3319,1)),"",IF((AND(FIND('112'!$M$9,G3319,1)&gt;=1,B3319='112'!$K$9,OR($N3319='112'!$I$6,$O3319='112'!$I$6))),"x",""))</f>
        <v/>
      </c>
      <c r="U3319" s="79" t="str">
        <f>IF(ISERROR(FIND('112'!$M$9,G3319,1)),"",IF((AND(LEFT(G3319,2)=LEFT('112'!$M$9,2),B3319&lt;'112'!$K$9,$N3319='112'!$I$6)),"x",""))</f>
        <v/>
      </c>
      <c r="V3319" s="79" t="str">
        <f>IF(ISERROR(FIND('112'!$M$9,G3319,1)),"",IF((AND(RIGHT(G3319,2)=RIGHT('112'!$M$9,2),B3319&lt;'112'!$K$9,$O3319='112'!$I$6)),"x",""))</f>
        <v/>
      </c>
      <c r="W3319" s="79" t="str">
        <f>IF(AND('341-CT'!$H$9=H3319,OR(LEFT(N3319,3)=$W$7,LEFT(O3319,3)=$W$7)),"x","")</f>
        <v/>
      </c>
      <c r="X3319" s="79" t="str">
        <f>IF(OR(TH!N3319=TH!$X$7,O3319=TH!$X$7),"x","")</f>
        <v/>
      </c>
      <c r="Y3319" s="79" t="str">
        <f>IF(AND(OR(N3319="131",O3319="131"),H3319='131-CT'!$H$9),"x","")</f>
        <v/>
      </c>
      <c r="Z3319" s="79"/>
      <c r="AA3319" s="79" t="str">
        <f>IF(AND(MONTH(E3319)='IN-NX'!$J$5,'IN-NX'!$D$7=D3319),"x","")</f>
        <v/>
      </c>
      <c r="AB3319" s="79" t="str">
        <f>IF(AND(OR(LEFT(TH!N3319,2)="15",LEFT(TH!O3319,2)="15"),LEFT(TH!O3319,3)&lt;&gt;"111",'152-CT'!$J$8=TH!F3319),"x","")</f>
        <v/>
      </c>
      <c r="AC3319" s="79" t="str">
        <f>IF(AND(OR(LEFT(TH!N3319,2)="15",LEFT(TH!O3319,2)="15"),TK!$E$7=TH!F3319),"x","")</f>
        <v/>
      </c>
      <c r="AD3319" s="79" t="str">
        <f>IF(AND(N3319="1521",MONTH(C3319)='BK-NL'!$M$11),"x","")</f>
        <v/>
      </c>
    </row>
    <row r="3320" spans="1:30" ht="16.5" customHeight="1">
      <c r="A3320" s="318" t="str">
        <f>IF(B3320&lt;&gt;"",IF(AND(B3320='IN-TC'!$S$4,OR(TH!N3320="1111",TH!O3320="1111")),TH!D3320,""),"")</f>
        <v/>
      </c>
      <c r="B3320" s="60" t="str">
        <f t="shared" si="390"/>
        <v/>
      </c>
      <c r="C3320" s="61"/>
      <c r="D3320" s="61"/>
      <c r="E3320" s="301"/>
      <c r="F3320" s="69"/>
      <c r="G3320" s="64"/>
      <c r="H3320" s="69"/>
      <c r="I3320" s="385"/>
      <c r="J3320" s="392"/>
      <c r="K3320" s="385"/>
      <c r="L3320" s="392"/>
      <c r="M3320" s="62"/>
      <c r="N3320" s="63"/>
      <c r="O3320" s="63"/>
      <c r="P3320" s="79" t="str">
        <f>IF(AND('331-CT'!$E$7=TH!H3320,OR(N3320="331",O3320="331")),"x","")</f>
        <v/>
      </c>
      <c r="Q3320" s="79" t="str">
        <f>IF(AND(B3320='111'!$L$11,OR($N3320=$Q$7,$O3320=$Q$7)),"x","")</f>
        <v/>
      </c>
      <c r="R3320" s="79" t="str">
        <f>IF(AND($N3320=$Q$7,$B3320&lt;'111'!$L$11),"x","")</f>
        <v/>
      </c>
      <c r="S3320" s="79" t="str">
        <f>IF(AND($O3320=$Q$7,$B3320&lt;'111'!$L$11),"x","")</f>
        <v/>
      </c>
      <c r="T3320" s="79" t="str">
        <f>IF(ISERROR(FIND('112'!$M$9,G3320,1)),"",IF((AND(FIND('112'!$M$9,G3320,1)&gt;=1,B3320='112'!$K$9,OR($N3320='112'!$I$6,$O3320='112'!$I$6))),"x",""))</f>
        <v/>
      </c>
      <c r="U3320" s="79" t="str">
        <f>IF(ISERROR(FIND('112'!$M$9,G3320,1)),"",IF((AND(LEFT(G3320,2)=LEFT('112'!$M$9,2),B3320&lt;'112'!$K$9,$N3320='112'!$I$6)),"x",""))</f>
        <v/>
      </c>
      <c r="V3320" s="79" t="str">
        <f>IF(ISERROR(FIND('112'!$M$9,G3320,1)),"",IF((AND(RIGHT(G3320,2)=RIGHT('112'!$M$9,2),B3320&lt;'112'!$K$9,$O3320='112'!$I$6)),"x",""))</f>
        <v/>
      </c>
      <c r="W3320" s="79" t="str">
        <f>IF(AND('341-CT'!$H$9=H3320,OR(LEFT(N3320,3)=$W$7,LEFT(O3320,3)=$W$7)),"x","")</f>
        <v/>
      </c>
      <c r="X3320" s="79" t="str">
        <f>IF(OR(TH!N3320=TH!$X$7,O3320=TH!$X$7),"x","")</f>
        <v/>
      </c>
      <c r="Y3320" s="79" t="str">
        <f>IF(AND(OR(N3320="131",O3320="131"),H3320='131-CT'!$H$9),"x","")</f>
        <v/>
      </c>
      <c r="Z3320" s="79"/>
      <c r="AA3320" s="79" t="str">
        <f>IF(AND(MONTH(E3320)='IN-NX'!$J$5,'IN-NX'!$D$7=D3320),"x","")</f>
        <v/>
      </c>
      <c r="AB3320" s="79" t="str">
        <f>IF(AND(OR(LEFT(TH!N3320,2)="15",LEFT(TH!O3320,2)="15"),LEFT(TH!O3320,3)&lt;&gt;"111",'152-CT'!$J$8=TH!F3320),"x","")</f>
        <v/>
      </c>
      <c r="AC3320" s="79" t="str">
        <f>IF(AND(OR(LEFT(TH!N3320,2)="15",LEFT(TH!O3320,2)="15"),TK!$E$7=TH!F3320),"x","")</f>
        <v/>
      </c>
      <c r="AD3320" s="79" t="str">
        <f>IF(AND(N3320="1521",MONTH(C3320)='BK-NL'!$M$11),"x","")</f>
        <v/>
      </c>
    </row>
    <row r="3321" spans="1:30" ht="16.5" customHeight="1">
      <c r="A3321" s="318" t="str">
        <f>IF(B3321&lt;&gt;"",IF(AND(B3321='IN-TC'!$S$4,OR(TH!N3321="1111",TH!O3321="1111")),TH!D3321,""),"")</f>
        <v/>
      </c>
      <c r="B3321" s="60" t="str">
        <f t="shared" si="390"/>
        <v/>
      </c>
      <c r="C3321" s="61"/>
      <c r="D3321" s="61"/>
      <c r="E3321" s="301"/>
      <c r="F3321" s="69"/>
      <c r="G3321" s="64"/>
      <c r="H3321" s="69"/>
      <c r="I3321" s="385"/>
      <c r="J3321" s="392"/>
      <c r="K3321" s="385"/>
      <c r="L3321" s="392"/>
      <c r="M3321" s="62"/>
      <c r="N3321" s="63"/>
      <c r="O3321" s="63"/>
      <c r="P3321" s="79" t="str">
        <f>IF(AND('331-CT'!$E$7=TH!H3321,OR(N3321="331",O3321="331")),"x","")</f>
        <v/>
      </c>
      <c r="Q3321" s="79" t="str">
        <f>IF(AND(B3321='111'!$L$11,OR($N3321=$Q$7,$O3321=$Q$7)),"x","")</f>
        <v/>
      </c>
      <c r="R3321" s="79" t="str">
        <f>IF(AND($N3321=$Q$7,$B3321&lt;'111'!$L$11),"x","")</f>
        <v/>
      </c>
      <c r="S3321" s="79" t="str">
        <f>IF(AND($O3321=$Q$7,$B3321&lt;'111'!$L$11),"x","")</f>
        <v/>
      </c>
      <c r="T3321" s="79" t="str">
        <f>IF(ISERROR(FIND('112'!$M$9,G3321,1)),"",IF((AND(FIND('112'!$M$9,G3321,1)&gt;=1,B3321='112'!$K$9,OR($N3321='112'!$I$6,$O3321='112'!$I$6))),"x",""))</f>
        <v/>
      </c>
      <c r="U3321" s="79" t="str">
        <f>IF(ISERROR(FIND('112'!$M$9,G3321,1)),"",IF((AND(LEFT(G3321,2)=LEFT('112'!$M$9,2),B3321&lt;'112'!$K$9,$N3321='112'!$I$6)),"x",""))</f>
        <v/>
      </c>
      <c r="V3321" s="79" t="str">
        <f>IF(ISERROR(FIND('112'!$M$9,G3321,1)),"",IF((AND(RIGHT(G3321,2)=RIGHT('112'!$M$9,2),B3321&lt;'112'!$K$9,$O3321='112'!$I$6)),"x",""))</f>
        <v/>
      </c>
      <c r="W3321" s="79" t="str">
        <f>IF(AND('341-CT'!$H$9=H3321,OR(LEFT(N3321,3)=$W$7,LEFT(O3321,3)=$W$7)),"x","")</f>
        <v/>
      </c>
      <c r="X3321" s="79" t="str">
        <f>IF(OR(TH!N3321=TH!$X$7,O3321=TH!$X$7),"x","")</f>
        <v/>
      </c>
      <c r="Y3321" s="79" t="str">
        <f>IF(AND(OR(N3321="131",O3321="131"),H3321='131-CT'!$H$9),"x","")</f>
        <v/>
      </c>
      <c r="Z3321" s="79"/>
      <c r="AA3321" s="79" t="str">
        <f>IF(AND(MONTH(E3321)='IN-NX'!$J$5,'IN-NX'!$D$7=D3321),"x","")</f>
        <v/>
      </c>
      <c r="AB3321" s="79" t="str">
        <f>IF(AND(OR(LEFT(TH!N3321,2)="15",LEFT(TH!O3321,2)="15"),LEFT(TH!O3321,3)&lt;&gt;"111",'152-CT'!$J$8=TH!F3321),"x","")</f>
        <v/>
      </c>
      <c r="AC3321" s="79" t="str">
        <f>IF(AND(OR(LEFT(TH!N3321,2)="15",LEFT(TH!O3321,2)="15"),TK!$E$7=TH!F3321),"x","")</f>
        <v/>
      </c>
      <c r="AD3321" s="79" t="str">
        <f>IF(AND(N3321="1521",MONTH(C3321)='BK-NL'!$M$11),"x","")</f>
        <v/>
      </c>
    </row>
    <row r="3322" spans="1:30" ht="16.5" customHeight="1">
      <c r="A3322" s="318" t="str">
        <f>IF(B3322&lt;&gt;"",IF(AND(B3322='IN-TC'!$S$4,OR(TH!N3322="1111",TH!O3322="1111")),TH!D3322,""),"")</f>
        <v/>
      </c>
      <c r="B3322" s="60" t="str">
        <f t="shared" si="390"/>
        <v/>
      </c>
      <c r="C3322" s="61"/>
      <c r="D3322" s="61"/>
      <c r="E3322" s="301"/>
      <c r="F3322" s="69"/>
      <c r="G3322" s="64"/>
      <c r="H3322" s="69"/>
      <c r="I3322" s="385"/>
      <c r="J3322" s="392"/>
      <c r="K3322" s="385"/>
      <c r="L3322" s="392"/>
      <c r="M3322" s="62"/>
      <c r="N3322" s="63"/>
      <c r="O3322" s="63"/>
      <c r="P3322" s="79" t="str">
        <f>IF(AND('331-CT'!$E$7=TH!H3322,OR(N3322="331",O3322="331")),"x","")</f>
        <v/>
      </c>
      <c r="Q3322" s="79" t="str">
        <f>IF(AND(B3322='111'!$L$11,OR($N3322=$Q$7,$O3322=$Q$7)),"x","")</f>
        <v/>
      </c>
      <c r="R3322" s="79" t="str">
        <f>IF(AND($N3322=$Q$7,$B3322&lt;'111'!$L$11),"x","")</f>
        <v/>
      </c>
      <c r="S3322" s="79" t="str">
        <f>IF(AND($O3322=$Q$7,$B3322&lt;'111'!$L$11),"x","")</f>
        <v/>
      </c>
      <c r="T3322" s="79" t="str">
        <f>IF(ISERROR(FIND('112'!$M$9,G3322,1)),"",IF((AND(FIND('112'!$M$9,G3322,1)&gt;=1,B3322='112'!$K$9,OR($N3322='112'!$I$6,$O3322='112'!$I$6))),"x",""))</f>
        <v/>
      </c>
      <c r="U3322" s="79" t="str">
        <f>IF(ISERROR(FIND('112'!$M$9,G3322,1)),"",IF((AND(LEFT(G3322,2)=LEFT('112'!$M$9,2),B3322&lt;'112'!$K$9,$N3322='112'!$I$6)),"x",""))</f>
        <v/>
      </c>
      <c r="V3322" s="79" t="str">
        <f>IF(ISERROR(FIND('112'!$M$9,G3322,1)),"",IF((AND(RIGHT(G3322,2)=RIGHT('112'!$M$9,2),B3322&lt;'112'!$K$9,$O3322='112'!$I$6)),"x",""))</f>
        <v/>
      </c>
      <c r="W3322" s="79" t="str">
        <f>IF(AND('341-CT'!$H$9=H3322,OR(LEFT(N3322,3)=$W$7,LEFT(O3322,3)=$W$7)),"x","")</f>
        <v/>
      </c>
      <c r="X3322" s="79" t="str">
        <f>IF(OR(TH!N3322=TH!$X$7,O3322=TH!$X$7),"x","")</f>
        <v/>
      </c>
      <c r="Y3322" s="79" t="str">
        <f>IF(AND(OR(N3322="131",O3322="131"),H3322='131-CT'!$H$9),"x","")</f>
        <v/>
      </c>
      <c r="Z3322" s="79"/>
      <c r="AA3322" s="79" t="str">
        <f>IF(AND(MONTH(E3322)='IN-NX'!$J$5,'IN-NX'!$D$7=D3322),"x","")</f>
        <v/>
      </c>
      <c r="AB3322" s="79" t="str">
        <f>IF(AND(OR(LEFT(TH!N3322,2)="15",LEFT(TH!O3322,2)="15"),LEFT(TH!O3322,3)&lt;&gt;"111",'152-CT'!$J$8=TH!F3322),"x","")</f>
        <v/>
      </c>
      <c r="AC3322" s="79" t="str">
        <f>IF(AND(OR(LEFT(TH!N3322,2)="15",LEFT(TH!O3322,2)="15"),TK!$E$7=TH!F3322),"x","")</f>
        <v/>
      </c>
      <c r="AD3322" s="79" t="str">
        <f>IF(AND(N3322="1521",MONTH(C3322)='BK-NL'!$M$11),"x","")</f>
        <v/>
      </c>
    </row>
    <row r="3323" spans="1:30" ht="16.5" customHeight="1">
      <c r="A3323" s="318" t="str">
        <f>IF(B3323&lt;&gt;"",IF(AND(B3323='IN-TC'!$S$4,OR(TH!N3323="1111",TH!O3323="1111")),TH!D3323,""),"")</f>
        <v/>
      </c>
      <c r="B3323" s="60" t="str">
        <f t="shared" si="390"/>
        <v/>
      </c>
      <c r="C3323" s="61"/>
      <c r="D3323" s="61"/>
      <c r="E3323" s="301"/>
      <c r="F3323" s="69"/>
      <c r="G3323" s="64"/>
      <c r="H3323" s="69"/>
      <c r="I3323" s="385"/>
      <c r="J3323" s="392"/>
      <c r="K3323" s="385"/>
      <c r="L3323" s="392"/>
      <c r="M3323" s="62"/>
      <c r="N3323" s="63"/>
      <c r="O3323" s="63"/>
      <c r="P3323" s="79" t="str">
        <f>IF(AND('331-CT'!$E$7=TH!H3323,OR(N3323="331",O3323="331")),"x","")</f>
        <v/>
      </c>
      <c r="Q3323" s="79" t="str">
        <f>IF(AND(B3323='111'!$L$11,OR($N3323=$Q$7,$O3323=$Q$7)),"x","")</f>
        <v/>
      </c>
      <c r="R3323" s="79" t="str">
        <f>IF(AND($N3323=$Q$7,$B3323&lt;'111'!$L$11),"x","")</f>
        <v/>
      </c>
      <c r="S3323" s="79" t="str">
        <f>IF(AND($O3323=$Q$7,$B3323&lt;'111'!$L$11),"x","")</f>
        <v/>
      </c>
      <c r="T3323" s="79" t="str">
        <f>IF(ISERROR(FIND('112'!$M$9,G3323,1)),"",IF((AND(FIND('112'!$M$9,G3323,1)&gt;=1,B3323='112'!$K$9,OR($N3323='112'!$I$6,$O3323='112'!$I$6))),"x",""))</f>
        <v/>
      </c>
      <c r="U3323" s="79" t="str">
        <f>IF(ISERROR(FIND('112'!$M$9,G3323,1)),"",IF((AND(LEFT(G3323,2)=LEFT('112'!$M$9,2),B3323&lt;'112'!$K$9,$N3323='112'!$I$6)),"x",""))</f>
        <v/>
      </c>
      <c r="V3323" s="79" t="str">
        <f>IF(ISERROR(FIND('112'!$M$9,G3323,1)),"",IF((AND(RIGHT(G3323,2)=RIGHT('112'!$M$9,2),B3323&lt;'112'!$K$9,$O3323='112'!$I$6)),"x",""))</f>
        <v/>
      </c>
      <c r="W3323" s="79" t="str">
        <f>IF(AND('341-CT'!$H$9=H3323,OR(LEFT(N3323,3)=$W$7,LEFT(O3323,3)=$W$7)),"x","")</f>
        <v/>
      </c>
      <c r="X3323" s="79" t="str">
        <f>IF(OR(TH!N3323=TH!$X$7,O3323=TH!$X$7),"x","")</f>
        <v/>
      </c>
      <c r="Y3323" s="79" t="str">
        <f>IF(AND(OR(N3323="131",O3323="131"),H3323='131-CT'!$H$9),"x","")</f>
        <v/>
      </c>
      <c r="Z3323" s="79"/>
      <c r="AA3323" s="79" t="str">
        <f>IF(AND(MONTH(E3323)='IN-NX'!$J$5,'IN-NX'!$D$7=D3323),"x","")</f>
        <v/>
      </c>
      <c r="AB3323" s="79" t="str">
        <f>IF(AND(OR(LEFT(TH!N3323,2)="15",LEFT(TH!O3323,2)="15"),LEFT(TH!O3323,3)&lt;&gt;"111",'152-CT'!$J$8=TH!F3323),"x","")</f>
        <v/>
      </c>
      <c r="AC3323" s="79" t="str">
        <f>IF(AND(OR(LEFT(TH!N3323,2)="15",LEFT(TH!O3323,2)="15"),TK!$E$7=TH!F3323),"x","")</f>
        <v/>
      </c>
      <c r="AD3323" s="79" t="str">
        <f>IF(AND(N3323="1521",MONTH(C3323)='BK-NL'!$M$11),"x","")</f>
        <v/>
      </c>
    </row>
    <row r="3324" spans="1:30" ht="16.5" customHeight="1">
      <c r="A3324" s="318" t="str">
        <f>IF(B3324&lt;&gt;"",IF(AND(B3324='IN-TC'!$S$4,OR(TH!N3324="1111",TH!O3324="1111")),TH!D3324,""),"")</f>
        <v/>
      </c>
      <c r="B3324" s="60" t="str">
        <f t="shared" si="390"/>
        <v/>
      </c>
      <c r="C3324" s="61"/>
      <c r="D3324" s="61"/>
      <c r="E3324" s="301"/>
      <c r="F3324" s="69"/>
      <c r="G3324" s="64"/>
      <c r="H3324" s="69"/>
      <c r="I3324" s="385"/>
      <c r="J3324" s="392"/>
      <c r="K3324" s="385"/>
      <c r="L3324" s="392"/>
      <c r="M3324" s="62"/>
      <c r="N3324" s="63"/>
      <c r="O3324" s="63"/>
      <c r="P3324" s="79" t="str">
        <f>IF(AND('331-CT'!$E$7=TH!H3324,OR(N3324="331",O3324="331")),"x","")</f>
        <v/>
      </c>
      <c r="Q3324" s="79" t="str">
        <f>IF(AND(B3324='111'!$L$11,OR($N3324=$Q$7,$O3324=$Q$7)),"x","")</f>
        <v/>
      </c>
      <c r="R3324" s="79" t="str">
        <f>IF(AND($N3324=$Q$7,$B3324&lt;'111'!$L$11),"x","")</f>
        <v/>
      </c>
      <c r="S3324" s="79" t="str">
        <f>IF(AND($O3324=$Q$7,$B3324&lt;'111'!$L$11),"x","")</f>
        <v/>
      </c>
      <c r="T3324" s="79" t="str">
        <f>IF(ISERROR(FIND('112'!$M$9,G3324,1)),"",IF((AND(FIND('112'!$M$9,G3324,1)&gt;=1,B3324='112'!$K$9,OR($N3324='112'!$I$6,$O3324='112'!$I$6))),"x",""))</f>
        <v/>
      </c>
      <c r="U3324" s="79" t="str">
        <f>IF(ISERROR(FIND('112'!$M$9,G3324,1)),"",IF((AND(LEFT(G3324,2)=LEFT('112'!$M$9,2),B3324&lt;'112'!$K$9,$N3324='112'!$I$6)),"x",""))</f>
        <v/>
      </c>
      <c r="V3324" s="79" t="str">
        <f>IF(ISERROR(FIND('112'!$M$9,G3324,1)),"",IF((AND(RIGHT(G3324,2)=RIGHT('112'!$M$9,2),B3324&lt;'112'!$K$9,$O3324='112'!$I$6)),"x",""))</f>
        <v/>
      </c>
      <c r="W3324" s="79" t="str">
        <f>IF(AND('341-CT'!$H$9=H3324,OR(LEFT(N3324,3)=$W$7,LEFT(O3324,3)=$W$7)),"x","")</f>
        <v/>
      </c>
      <c r="X3324" s="79" t="str">
        <f>IF(OR(TH!N3324=TH!$X$7,O3324=TH!$X$7),"x","")</f>
        <v/>
      </c>
      <c r="Y3324" s="79" t="str">
        <f>IF(AND(OR(N3324="131",O3324="131"),H3324='131-CT'!$H$9),"x","")</f>
        <v/>
      </c>
      <c r="Z3324" s="79"/>
      <c r="AA3324" s="79" t="str">
        <f>IF(AND(MONTH(E3324)='IN-NX'!$J$5,'IN-NX'!$D$7=D3324),"x","")</f>
        <v/>
      </c>
      <c r="AB3324" s="79" t="str">
        <f>IF(AND(OR(LEFT(TH!N3324,2)="15",LEFT(TH!O3324,2)="15"),LEFT(TH!O3324,3)&lt;&gt;"111",'152-CT'!$J$8=TH!F3324),"x","")</f>
        <v/>
      </c>
      <c r="AC3324" s="79" t="str">
        <f>IF(AND(OR(LEFT(TH!N3324,2)="15",LEFT(TH!O3324,2)="15"),TK!$E$7=TH!F3324),"x","")</f>
        <v/>
      </c>
      <c r="AD3324" s="79" t="str">
        <f>IF(AND(N3324="1521",MONTH(C3324)='BK-NL'!$M$11),"x","")</f>
        <v/>
      </c>
    </row>
    <row r="3325" spans="1:30" ht="16.5" customHeight="1">
      <c r="A3325" s="318" t="str">
        <f>IF(B3325&lt;&gt;"",IF(AND(B3325='IN-TC'!$S$4,OR(TH!N3325="1111",TH!O3325="1111")),TH!D3325,""),"")</f>
        <v/>
      </c>
      <c r="B3325" s="60" t="str">
        <f t="shared" si="390"/>
        <v/>
      </c>
      <c r="C3325" s="61"/>
      <c r="D3325" s="61"/>
      <c r="E3325" s="301"/>
      <c r="F3325" s="69"/>
      <c r="G3325" s="64"/>
      <c r="H3325" s="69"/>
      <c r="I3325" s="385"/>
      <c r="J3325" s="392"/>
      <c r="K3325" s="385"/>
      <c r="L3325" s="392"/>
      <c r="M3325" s="62"/>
      <c r="N3325" s="63"/>
      <c r="O3325" s="63"/>
      <c r="P3325" s="79" t="str">
        <f>IF(AND('331-CT'!$E$7=TH!H3325,OR(N3325="331",O3325="331")),"x","")</f>
        <v/>
      </c>
      <c r="Q3325" s="79" t="str">
        <f>IF(AND(B3325='111'!$L$11,OR($N3325=$Q$7,$O3325=$Q$7)),"x","")</f>
        <v/>
      </c>
      <c r="R3325" s="79" t="str">
        <f>IF(AND($N3325=$Q$7,$B3325&lt;'111'!$L$11),"x","")</f>
        <v/>
      </c>
      <c r="S3325" s="79" t="str">
        <f>IF(AND($O3325=$Q$7,$B3325&lt;'111'!$L$11),"x","")</f>
        <v/>
      </c>
      <c r="T3325" s="79" t="str">
        <f>IF(ISERROR(FIND('112'!$M$9,G3325,1)),"",IF((AND(FIND('112'!$M$9,G3325,1)&gt;=1,B3325='112'!$K$9,OR($N3325='112'!$I$6,$O3325='112'!$I$6))),"x",""))</f>
        <v/>
      </c>
      <c r="U3325" s="79" t="str">
        <f>IF(ISERROR(FIND('112'!$M$9,G3325,1)),"",IF((AND(LEFT(G3325,2)=LEFT('112'!$M$9,2),B3325&lt;'112'!$K$9,$N3325='112'!$I$6)),"x",""))</f>
        <v/>
      </c>
      <c r="V3325" s="79" t="str">
        <f>IF(ISERROR(FIND('112'!$M$9,G3325,1)),"",IF((AND(RIGHT(G3325,2)=RIGHT('112'!$M$9,2),B3325&lt;'112'!$K$9,$O3325='112'!$I$6)),"x",""))</f>
        <v/>
      </c>
      <c r="W3325" s="79" t="str">
        <f>IF(AND('341-CT'!$H$9=H3325,OR(LEFT(N3325,3)=$W$7,LEFT(O3325,3)=$W$7)),"x","")</f>
        <v/>
      </c>
      <c r="X3325" s="79" t="str">
        <f>IF(OR(TH!N3325=TH!$X$7,O3325=TH!$X$7),"x","")</f>
        <v/>
      </c>
      <c r="Y3325" s="79" t="str">
        <f>IF(AND(OR(N3325="131",O3325="131"),H3325='131-CT'!$H$9),"x","")</f>
        <v/>
      </c>
      <c r="Z3325" s="79"/>
      <c r="AA3325" s="79" t="str">
        <f>IF(AND(MONTH(E3325)='IN-NX'!$J$5,'IN-NX'!$D$7=D3325),"x","")</f>
        <v/>
      </c>
      <c r="AB3325" s="79" t="str">
        <f>IF(AND(OR(LEFT(TH!N3325,2)="15",LEFT(TH!O3325,2)="15"),LEFT(TH!O3325,3)&lt;&gt;"111",'152-CT'!$J$8=TH!F3325),"x","")</f>
        <v/>
      </c>
      <c r="AC3325" s="79" t="str">
        <f>IF(AND(OR(LEFT(TH!N3325,2)="15",LEFT(TH!O3325,2)="15"),TK!$E$7=TH!F3325),"x","")</f>
        <v/>
      </c>
      <c r="AD3325" s="79" t="str">
        <f>IF(AND(N3325="1521",MONTH(C3325)='BK-NL'!$M$11),"x","")</f>
        <v/>
      </c>
    </row>
    <row r="3326" spans="1:30" ht="16.5" customHeight="1">
      <c r="A3326" s="318" t="str">
        <f>IF(B3326&lt;&gt;"",IF(AND(B3326='IN-TC'!$S$4,OR(TH!N3326="1111",TH!O3326="1111")),TH!D3326,""),"")</f>
        <v/>
      </c>
      <c r="B3326" s="60" t="str">
        <f t="shared" si="390"/>
        <v/>
      </c>
      <c r="C3326" s="61"/>
      <c r="D3326" s="61"/>
      <c r="E3326" s="301"/>
      <c r="F3326" s="69"/>
      <c r="G3326" s="64"/>
      <c r="H3326" s="69"/>
      <c r="I3326" s="385"/>
      <c r="J3326" s="392"/>
      <c r="K3326" s="385"/>
      <c r="L3326" s="392"/>
      <c r="M3326" s="62"/>
      <c r="N3326" s="63"/>
      <c r="O3326" s="63"/>
      <c r="P3326" s="79" t="str">
        <f>IF(AND('331-CT'!$E$7=TH!H3326,OR(N3326="331",O3326="331")),"x","")</f>
        <v/>
      </c>
      <c r="Q3326" s="79" t="str">
        <f>IF(AND(B3326='111'!$L$11,OR($N3326=$Q$7,$O3326=$Q$7)),"x","")</f>
        <v/>
      </c>
      <c r="R3326" s="79" t="str">
        <f>IF(AND($N3326=$Q$7,$B3326&lt;'111'!$L$11),"x","")</f>
        <v/>
      </c>
      <c r="S3326" s="79" t="str">
        <f>IF(AND($O3326=$Q$7,$B3326&lt;'111'!$L$11),"x","")</f>
        <v/>
      </c>
      <c r="T3326" s="79" t="str">
        <f>IF(ISERROR(FIND('112'!$M$9,G3326,1)),"",IF((AND(FIND('112'!$M$9,G3326,1)&gt;=1,B3326='112'!$K$9,OR($N3326='112'!$I$6,$O3326='112'!$I$6))),"x",""))</f>
        <v/>
      </c>
      <c r="U3326" s="79" t="str">
        <f>IF(ISERROR(FIND('112'!$M$9,G3326,1)),"",IF((AND(LEFT(G3326,2)=LEFT('112'!$M$9,2),B3326&lt;'112'!$K$9,$N3326='112'!$I$6)),"x",""))</f>
        <v/>
      </c>
      <c r="V3326" s="79" t="str">
        <f>IF(ISERROR(FIND('112'!$M$9,G3326,1)),"",IF((AND(RIGHT(G3326,2)=RIGHT('112'!$M$9,2),B3326&lt;'112'!$K$9,$O3326='112'!$I$6)),"x",""))</f>
        <v/>
      </c>
      <c r="W3326" s="79" t="str">
        <f>IF(AND('341-CT'!$H$9=H3326,OR(LEFT(N3326,3)=$W$7,LEFT(O3326,3)=$W$7)),"x","")</f>
        <v/>
      </c>
      <c r="X3326" s="79" t="str">
        <f>IF(OR(TH!N3326=TH!$X$7,O3326=TH!$X$7),"x","")</f>
        <v/>
      </c>
      <c r="Y3326" s="79" t="str">
        <f>IF(AND(OR(N3326="131",O3326="131"),H3326='131-CT'!$H$9),"x","")</f>
        <v/>
      </c>
      <c r="Z3326" s="79"/>
      <c r="AA3326" s="79" t="str">
        <f>IF(AND(MONTH(E3326)='IN-NX'!$J$5,'IN-NX'!$D$7=D3326),"x","")</f>
        <v/>
      </c>
      <c r="AB3326" s="79" t="str">
        <f>IF(AND(OR(LEFT(TH!N3326,2)="15",LEFT(TH!O3326,2)="15"),LEFT(TH!O3326,3)&lt;&gt;"111",'152-CT'!$J$8=TH!F3326),"x","")</f>
        <v/>
      </c>
      <c r="AC3326" s="79" t="str">
        <f>IF(AND(OR(LEFT(TH!N3326,2)="15",LEFT(TH!O3326,2)="15"),TK!$E$7=TH!F3326),"x","")</f>
        <v/>
      </c>
      <c r="AD3326" s="79" t="str">
        <f>IF(AND(N3326="1521",MONTH(C3326)='BK-NL'!$M$11),"x","")</f>
        <v/>
      </c>
    </row>
    <row r="3327" spans="1:30" ht="16.5" customHeight="1">
      <c r="A3327" s="318" t="str">
        <f>IF(B3327&lt;&gt;"",IF(AND(B3327='IN-TC'!$S$4,OR(TH!N3327="1111",TH!O3327="1111")),TH!D3327,""),"")</f>
        <v/>
      </c>
      <c r="B3327" s="60" t="str">
        <f t="shared" si="390"/>
        <v/>
      </c>
      <c r="C3327" s="61"/>
      <c r="D3327" s="61"/>
      <c r="E3327" s="301"/>
      <c r="F3327" s="69"/>
      <c r="G3327" s="64"/>
      <c r="H3327" s="69"/>
      <c r="I3327" s="385"/>
      <c r="J3327" s="392"/>
      <c r="K3327" s="385"/>
      <c r="L3327" s="392"/>
      <c r="M3327" s="62"/>
      <c r="N3327" s="63"/>
      <c r="O3327" s="63"/>
      <c r="P3327" s="79" t="str">
        <f>IF(AND('331-CT'!$E$7=TH!H3327,OR(N3327="331",O3327="331")),"x","")</f>
        <v/>
      </c>
      <c r="Q3327" s="79" t="str">
        <f>IF(AND(B3327='111'!$L$11,OR($N3327=$Q$7,$O3327=$Q$7)),"x","")</f>
        <v/>
      </c>
      <c r="R3327" s="79" t="str">
        <f>IF(AND($N3327=$Q$7,$B3327&lt;'111'!$L$11),"x","")</f>
        <v/>
      </c>
      <c r="S3327" s="79" t="str">
        <f>IF(AND($O3327=$Q$7,$B3327&lt;'111'!$L$11),"x","")</f>
        <v/>
      </c>
      <c r="T3327" s="79" t="str">
        <f>IF(ISERROR(FIND('112'!$M$9,G3327,1)),"",IF((AND(FIND('112'!$M$9,G3327,1)&gt;=1,B3327='112'!$K$9,OR($N3327='112'!$I$6,$O3327='112'!$I$6))),"x",""))</f>
        <v/>
      </c>
      <c r="U3327" s="79" t="str">
        <f>IF(ISERROR(FIND('112'!$M$9,G3327,1)),"",IF((AND(LEFT(G3327,2)=LEFT('112'!$M$9,2),B3327&lt;'112'!$K$9,$N3327='112'!$I$6)),"x",""))</f>
        <v/>
      </c>
      <c r="V3327" s="79" t="str">
        <f>IF(ISERROR(FIND('112'!$M$9,G3327,1)),"",IF((AND(RIGHT(G3327,2)=RIGHT('112'!$M$9,2),B3327&lt;'112'!$K$9,$O3327='112'!$I$6)),"x",""))</f>
        <v/>
      </c>
      <c r="W3327" s="79" t="str">
        <f>IF(AND('341-CT'!$H$9=H3327,OR(LEFT(N3327,3)=$W$7,LEFT(O3327,3)=$W$7)),"x","")</f>
        <v/>
      </c>
      <c r="X3327" s="79" t="str">
        <f>IF(OR(TH!N3327=TH!$X$7,O3327=TH!$X$7),"x","")</f>
        <v/>
      </c>
      <c r="Y3327" s="79" t="str">
        <f>IF(AND(OR(N3327="131",O3327="131"),H3327='131-CT'!$H$9),"x","")</f>
        <v/>
      </c>
      <c r="Z3327" s="79"/>
      <c r="AA3327" s="79" t="str">
        <f>IF(AND(MONTH(E3327)='IN-NX'!$J$5,'IN-NX'!$D$7=D3327),"x","")</f>
        <v/>
      </c>
      <c r="AB3327" s="79" t="str">
        <f>IF(AND(OR(LEFT(TH!N3327,2)="15",LEFT(TH!O3327,2)="15"),LEFT(TH!O3327,3)&lt;&gt;"111",'152-CT'!$J$8=TH!F3327),"x","")</f>
        <v/>
      </c>
      <c r="AC3327" s="79" t="str">
        <f>IF(AND(OR(LEFT(TH!N3327,2)="15",LEFT(TH!O3327,2)="15"),TK!$E$7=TH!F3327),"x","")</f>
        <v/>
      </c>
      <c r="AD3327" s="79" t="str">
        <f>IF(AND(N3327="1521",MONTH(C3327)='BK-NL'!$M$11),"x","")</f>
        <v/>
      </c>
    </row>
    <row r="3328" spans="1:30" ht="16.5" customHeight="1">
      <c r="A3328" s="318" t="str">
        <f>IF(B3328&lt;&gt;"",IF(AND(B3328='IN-TC'!$S$4,OR(TH!N3328="1111",TH!O3328="1111")),TH!D3328,""),"")</f>
        <v/>
      </c>
      <c r="B3328" s="60" t="str">
        <f t="shared" si="390"/>
        <v/>
      </c>
      <c r="C3328" s="61"/>
      <c r="D3328" s="61"/>
      <c r="E3328" s="301"/>
      <c r="F3328" s="69"/>
      <c r="G3328" s="64"/>
      <c r="H3328" s="69"/>
      <c r="I3328" s="385"/>
      <c r="J3328" s="392"/>
      <c r="K3328" s="385"/>
      <c r="L3328" s="392"/>
      <c r="M3328" s="62"/>
      <c r="N3328" s="63"/>
      <c r="O3328" s="63"/>
      <c r="P3328" s="79" t="str">
        <f>IF(AND('331-CT'!$E$7=TH!H3328,OR(N3328="331",O3328="331")),"x","")</f>
        <v/>
      </c>
      <c r="Q3328" s="79" t="str">
        <f>IF(AND(B3328='111'!$L$11,OR($N3328=$Q$7,$O3328=$Q$7)),"x","")</f>
        <v/>
      </c>
      <c r="R3328" s="79" t="str">
        <f>IF(AND($N3328=$Q$7,$B3328&lt;'111'!$L$11),"x","")</f>
        <v/>
      </c>
      <c r="S3328" s="79" t="str">
        <f>IF(AND($O3328=$Q$7,$B3328&lt;'111'!$L$11),"x","")</f>
        <v/>
      </c>
      <c r="T3328" s="79" t="str">
        <f>IF(ISERROR(FIND('112'!$M$9,G3328,1)),"",IF((AND(FIND('112'!$M$9,G3328,1)&gt;=1,B3328='112'!$K$9,OR($N3328='112'!$I$6,$O3328='112'!$I$6))),"x",""))</f>
        <v/>
      </c>
      <c r="U3328" s="79" t="str">
        <f>IF(ISERROR(FIND('112'!$M$9,G3328,1)),"",IF((AND(LEFT(G3328,2)=LEFT('112'!$M$9,2),B3328&lt;'112'!$K$9,$N3328='112'!$I$6)),"x",""))</f>
        <v/>
      </c>
      <c r="V3328" s="79" t="str">
        <f>IF(ISERROR(FIND('112'!$M$9,G3328,1)),"",IF((AND(RIGHT(G3328,2)=RIGHT('112'!$M$9,2),B3328&lt;'112'!$K$9,$O3328='112'!$I$6)),"x",""))</f>
        <v/>
      </c>
      <c r="W3328" s="79" t="str">
        <f>IF(AND('341-CT'!$H$9=H3328,OR(LEFT(N3328,3)=$W$7,LEFT(O3328,3)=$W$7)),"x","")</f>
        <v/>
      </c>
      <c r="X3328" s="79" t="str">
        <f>IF(OR(TH!N3328=TH!$X$7,O3328=TH!$X$7),"x","")</f>
        <v/>
      </c>
      <c r="Y3328" s="79" t="str">
        <f>IF(AND(OR(N3328="131",O3328="131"),H3328='131-CT'!$H$9),"x","")</f>
        <v/>
      </c>
      <c r="Z3328" s="79"/>
      <c r="AA3328" s="79" t="str">
        <f>IF(AND(MONTH(E3328)='IN-NX'!$J$5,'IN-NX'!$D$7=D3328),"x","")</f>
        <v/>
      </c>
      <c r="AB3328" s="79" t="str">
        <f>IF(AND(OR(LEFT(TH!N3328,2)="15",LEFT(TH!O3328,2)="15"),LEFT(TH!O3328,3)&lt;&gt;"111",'152-CT'!$J$8=TH!F3328),"x","")</f>
        <v/>
      </c>
      <c r="AC3328" s="79" t="str">
        <f>IF(AND(OR(LEFT(TH!N3328,2)="15",LEFT(TH!O3328,2)="15"),TK!$E$7=TH!F3328),"x","")</f>
        <v/>
      </c>
      <c r="AD3328" s="79" t="str">
        <f>IF(AND(N3328="1521",MONTH(C3328)='BK-NL'!$M$11),"x","")</f>
        <v/>
      </c>
    </row>
    <row r="3329" spans="1:30" ht="16.5" customHeight="1">
      <c r="A3329" s="318" t="str">
        <f>IF(B3329&lt;&gt;"",IF(AND(B3329='IN-TC'!$S$4,OR(TH!N3329="1111",TH!O3329="1111")),TH!D3329,""),"")</f>
        <v/>
      </c>
      <c r="B3329" s="60" t="str">
        <f t="shared" si="390"/>
        <v/>
      </c>
      <c r="C3329" s="61"/>
      <c r="D3329" s="61"/>
      <c r="E3329" s="301"/>
      <c r="F3329" s="69"/>
      <c r="G3329" s="64"/>
      <c r="H3329" s="69"/>
      <c r="I3329" s="385"/>
      <c r="J3329" s="392"/>
      <c r="K3329" s="385"/>
      <c r="L3329" s="392"/>
      <c r="M3329" s="62"/>
      <c r="N3329" s="63"/>
      <c r="O3329" s="63"/>
      <c r="P3329" s="79" t="str">
        <f>IF(AND('331-CT'!$E$7=TH!H3329,OR(N3329="331",O3329="331")),"x","")</f>
        <v/>
      </c>
      <c r="Q3329" s="79" t="str">
        <f>IF(AND(B3329='111'!$L$11,OR($N3329=$Q$7,$O3329=$Q$7)),"x","")</f>
        <v/>
      </c>
      <c r="R3329" s="79" t="str">
        <f>IF(AND($N3329=$Q$7,$B3329&lt;'111'!$L$11),"x","")</f>
        <v/>
      </c>
      <c r="S3329" s="79" t="str">
        <f>IF(AND($O3329=$Q$7,$B3329&lt;'111'!$L$11),"x","")</f>
        <v/>
      </c>
      <c r="T3329" s="79" t="str">
        <f>IF(ISERROR(FIND('112'!$M$9,G3329,1)),"",IF((AND(FIND('112'!$M$9,G3329,1)&gt;=1,B3329='112'!$K$9,OR($N3329='112'!$I$6,$O3329='112'!$I$6))),"x",""))</f>
        <v/>
      </c>
      <c r="U3329" s="79" t="str">
        <f>IF(ISERROR(FIND('112'!$M$9,G3329,1)),"",IF((AND(LEFT(G3329,2)=LEFT('112'!$M$9,2),B3329&lt;'112'!$K$9,$N3329='112'!$I$6)),"x",""))</f>
        <v/>
      </c>
      <c r="V3329" s="79" t="str">
        <f>IF(ISERROR(FIND('112'!$M$9,G3329,1)),"",IF((AND(RIGHT(G3329,2)=RIGHT('112'!$M$9,2),B3329&lt;'112'!$K$9,$O3329='112'!$I$6)),"x",""))</f>
        <v/>
      </c>
      <c r="W3329" s="79" t="str">
        <f>IF(AND('341-CT'!$H$9=H3329,OR(LEFT(N3329,3)=$W$7,LEFT(O3329,3)=$W$7)),"x","")</f>
        <v/>
      </c>
      <c r="X3329" s="79" t="str">
        <f>IF(OR(TH!N3329=TH!$X$7,O3329=TH!$X$7),"x","")</f>
        <v/>
      </c>
      <c r="Y3329" s="79" t="str">
        <f>IF(AND(OR(N3329="131",O3329="131"),H3329='131-CT'!$H$9),"x","")</f>
        <v/>
      </c>
      <c r="Z3329" s="79"/>
      <c r="AA3329" s="79" t="str">
        <f>IF(AND(MONTH(E3329)='IN-NX'!$J$5,'IN-NX'!$D$7=D3329),"x","")</f>
        <v/>
      </c>
      <c r="AB3329" s="79" t="str">
        <f>IF(AND(OR(LEFT(TH!N3329,2)="15",LEFT(TH!O3329,2)="15"),LEFT(TH!O3329,3)&lt;&gt;"111",'152-CT'!$J$8=TH!F3329),"x","")</f>
        <v/>
      </c>
      <c r="AC3329" s="79" t="str">
        <f>IF(AND(OR(LEFT(TH!N3329,2)="15",LEFT(TH!O3329,2)="15"),TK!$E$7=TH!F3329),"x","")</f>
        <v/>
      </c>
      <c r="AD3329" s="79" t="str">
        <f>IF(AND(N3329="1521",MONTH(C3329)='BK-NL'!$M$11),"x","")</f>
        <v/>
      </c>
    </row>
    <row r="3330" spans="1:30" ht="16.5" customHeight="1">
      <c r="A3330" s="318" t="str">
        <f>IF(B3330&lt;&gt;"",IF(AND(B3330='IN-TC'!$S$4,OR(TH!N3330="1111",TH!O3330="1111")),TH!D3330,""),"")</f>
        <v/>
      </c>
      <c r="B3330" s="60" t="str">
        <f t="shared" si="390"/>
        <v/>
      </c>
      <c r="C3330" s="301"/>
      <c r="D3330" s="301"/>
      <c r="E3330" s="301"/>
      <c r="F3330" s="69"/>
      <c r="G3330" s="988"/>
      <c r="H3330" s="69"/>
      <c r="I3330" s="385"/>
      <c r="J3330" s="969"/>
      <c r="K3330" s="385"/>
      <c r="L3330" s="392"/>
      <c r="M3330" s="970"/>
      <c r="N3330" s="304"/>
      <c r="O3330" s="304"/>
      <c r="P3330" s="79" t="str">
        <f>IF(AND('331-CT'!$E$7=TH!H3330,OR(N3330="331",O3330="331")),"x","")</f>
        <v/>
      </c>
      <c r="Q3330" s="79" t="str">
        <f>IF(AND(B3330='111'!$L$11,OR($N3330=$Q$7,$O3330=$Q$7)),"x","")</f>
        <v/>
      </c>
      <c r="R3330" s="79" t="str">
        <f>IF(AND($N3330=$Q$7,$B3330&lt;'111'!$L$11),"x","")</f>
        <v/>
      </c>
      <c r="S3330" s="79" t="str">
        <f>IF(AND($O3330=$Q$7,$B3330&lt;'111'!$L$11),"x","")</f>
        <v/>
      </c>
      <c r="T3330" s="79" t="str">
        <f>IF(ISERROR(FIND('112'!$M$9,G3330,1)),"",IF((AND(FIND('112'!$M$9,G3330,1)&gt;=1,B3330='112'!$K$9,OR($N3330='112'!$I$6,$O3330='112'!$I$6))),"x",""))</f>
        <v/>
      </c>
      <c r="U3330" s="79" t="str">
        <f>IF(ISERROR(FIND('112'!$M$9,G3330,1)),"",IF((AND(LEFT(G3330,2)=LEFT('112'!$M$9,2),B3330&lt;'112'!$K$9,$N3330='112'!$I$6)),"x",""))</f>
        <v/>
      </c>
      <c r="V3330" s="79" t="str">
        <f>IF(ISERROR(FIND('112'!$M$9,G3330,1)),"",IF((AND(RIGHT(G3330,2)=RIGHT('112'!$M$9,2),B3330&lt;'112'!$K$9,$O3330='112'!$I$6)),"x",""))</f>
        <v/>
      </c>
      <c r="W3330" s="79" t="str">
        <f>IF(AND('341-CT'!$H$9=H3330,OR(LEFT(N3330,3)=$W$7,LEFT(O3330,3)=$W$7)),"x","")</f>
        <v/>
      </c>
      <c r="X3330" s="79" t="str">
        <f>IF(OR(TH!N3330=TH!$X$7,O3330=TH!$X$7),"x","")</f>
        <v/>
      </c>
      <c r="Y3330" s="79" t="str">
        <f>IF(AND(OR(N3330="131",O3330="131"),H3330='131-CT'!$H$9),"x","")</f>
        <v/>
      </c>
      <c r="Z3330" s="79"/>
      <c r="AA3330" s="79" t="str">
        <f>IF(AND(MONTH(E3330)='IN-NX'!$J$5,'IN-NX'!$D$7=D3330),"x","")</f>
        <v/>
      </c>
      <c r="AB3330" s="79" t="str">
        <f>IF(AND(OR(LEFT(TH!N3330,2)="15",LEFT(TH!O3330,2)="15"),LEFT(TH!O3330,3)&lt;&gt;"111",'152-CT'!$J$8=TH!F3330),"x","")</f>
        <v/>
      </c>
      <c r="AC3330" s="79" t="str">
        <f>IF(AND(OR(LEFT(TH!N3330,2)="15",LEFT(TH!O3330,2)="15"),TK!$E$7=TH!F3330),"x","")</f>
        <v/>
      </c>
      <c r="AD3330" s="79" t="str">
        <f>IF(AND(N3330="1521",MONTH(C3330)='BK-NL'!$M$11),"x","")</f>
        <v/>
      </c>
    </row>
    <row r="3331" spans="1:30" ht="16.5" customHeight="1">
      <c r="A3331" s="318" t="str">
        <f>IF(B3331&lt;&gt;"",IF(AND(B3331='IN-TC'!$S$4,OR(TH!N3331="1111",TH!O3331="1111")),TH!D3331,""),"")</f>
        <v/>
      </c>
      <c r="B3331" s="60" t="str">
        <f t="shared" si="390"/>
        <v/>
      </c>
      <c r="C3331" s="61"/>
      <c r="D3331" s="61"/>
      <c r="E3331" s="301"/>
      <c r="F3331" s="69"/>
      <c r="G3331" s="64"/>
      <c r="H3331" s="69"/>
      <c r="I3331" s="385"/>
      <c r="J3331" s="392"/>
      <c r="K3331" s="385"/>
      <c r="L3331" s="392"/>
      <c r="M3331" s="62"/>
      <c r="N3331" s="63"/>
      <c r="O3331" s="63"/>
      <c r="P3331" s="79" t="str">
        <f>IF(AND('331-CT'!$E$7=TH!H3331,OR(N3331="331",O3331="331")),"x","")</f>
        <v/>
      </c>
      <c r="Q3331" s="79" t="str">
        <f>IF(AND(B3331='111'!$L$11,OR($N3331=$Q$7,$O3331=$Q$7)),"x","")</f>
        <v/>
      </c>
      <c r="R3331" s="79" t="str">
        <f>IF(AND($N3331=$Q$7,$B3331&lt;'111'!$L$11),"x","")</f>
        <v/>
      </c>
      <c r="S3331" s="79" t="str">
        <f>IF(AND($O3331=$Q$7,$B3331&lt;'111'!$L$11),"x","")</f>
        <v/>
      </c>
      <c r="T3331" s="79" t="str">
        <f>IF(ISERROR(FIND('112'!$M$9,G3331,1)),"",IF((AND(FIND('112'!$M$9,G3331,1)&gt;=1,B3331='112'!$K$9,OR($N3331='112'!$I$6,$O3331='112'!$I$6))),"x",""))</f>
        <v/>
      </c>
      <c r="U3331" s="79" t="str">
        <f>IF(ISERROR(FIND('112'!$M$9,G3331,1)),"",IF((AND(LEFT(G3331,2)=LEFT('112'!$M$9,2),B3331&lt;'112'!$K$9,$N3331='112'!$I$6)),"x",""))</f>
        <v/>
      </c>
      <c r="V3331" s="79" t="str">
        <f>IF(ISERROR(FIND('112'!$M$9,G3331,1)),"",IF((AND(RIGHT(G3331,2)=RIGHT('112'!$M$9,2),B3331&lt;'112'!$K$9,$O3331='112'!$I$6)),"x",""))</f>
        <v/>
      </c>
      <c r="W3331" s="79" t="str">
        <f>IF(AND('341-CT'!$H$9=H3331,OR(LEFT(N3331,3)=$W$7,LEFT(O3331,3)=$W$7)),"x","")</f>
        <v/>
      </c>
      <c r="X3331" s="79" t="str">
        <f>IF(OR(TH!N3331=TH!$X$7,O3331=TH!$X$7),"x","")</f>
        <v/>
      </c>
      <c r="Y3331" s="79" t="str">
        <f>IF(AND(OR(N3331="131",O3331="131"),H3331='131-CT'!$H$9),"x","")</f>
        <v/>
      </c>
      <c r="Z3331" s="79"/>
      <c r="AA3331" s="79" t="str">
        <f>IF(AND(MONTH(E3331)='IN-NX'!$J$5,'IN-NX'!$D$7=D3331),"x","")</f>
        <v/>
      </c>
      <c r="AB3331" s="79" t="str">
        <f>IF(AND(OR(LEFT(TH!N3331,2)="15",LEFT(TH!O3331,2)="15"),LEFT(TH!O3331,3)&lt;&gt;"111",'152-CT'!$J$8=TH!F3331),"x","")</f>
        <v/>
      </c>
      <c r="AC3331" s="79" t="str">
        <f>IF(AND(OR(LEFT(TH!N3331,2)="15",LEFT(TH!O3331,2)="15"),TK!$E$7=TH!F3331),"x","")</f>
        <v/>
      </c>
      <c r="AD3331" s="79" t="str">
        <f>IF(AND(N3331="1521",MONTH(C3331)='BK-NL'!$M$11),"x","")</f>
        <v/>
      </c>
    </row>
    <row r="3332" spans="1:30" ht="16.5" customHeight="1">
      <c r="A3332" s="318" t="str">
        <f>IF(B3332&lt;&gt;"",IF(AND(B3332='IN-TC'!$S$4,OR(TH!N3332="1111",TH!O3332="1111")),TH!D3332,""),"")</f>
        <v/>
      </c>
      <c r="B3332" s="60" t="str">
        <f t="shared" si="390"/>
        <v/>
      </c>
      <c r="C3332" s="61"/>
      <c r="D3332" s="61"/>
      <c r="E3332" s="301"/>
      <c r="F3332" s="69"/>
      <c r="G3332" s="64"/>
      <c r="H3332" s="69"/>
      <c r="I3332" s="385"/>
      <c r="J3332" s="392"/>
      <c r="K3332" s="385"/>
      <c r="L3332" s="392"/>
      <c r="M3332" s="62"/>
      <c r="N3332" s="63"/>
      <c r="O3332" s="63"/>
      <c r="P3332" s="79" t="str">
        <f>IF(AND('331-CT'!$E$7=TH!H3332,OR(N3332="331",O3332="331")),"x","")</f>
        <v/>
      </c>
      <c r="Q3332" s="79" t="str">
        <f>IF(AND(B3332='111'!$L$11,OR($N3332=$Q$7,$O3332=$Q$7)),"x","")</f>
        <v/>
      </c>
      <c r="R3332" s="79" t="str">
        <f>IF(AND($N3332=$Q$7,$B3332&lt;'111'!$L$11),"x","")</f>
        <v/>
      </c>
      <c r="S3332" s="79" t="str">
        <f>IF(AND($O3332=$Q$7,$B3332&lt;'111'!$L$11),"x","")</f>
        <v/>
      </c>
      <c r="T3332" s="79" t="str">
        <f>IF(ISERROR(FIND('112'!$M$9,G3332,1)),"",IF((AND(FIND('112'!$M$9,G3332,1)&gt;=1,B3332='112'!$K$9,OR($N3332='112'!$I$6,$O3332='112'!$I$6))),"x",""))</f>
        <v/>
      </c>
      <c r="U3332" s="79" t="str">
        <f>IF(ISERROR(FIND('112'!$M$9,G3332,1)),"",IF((AND(LEFT(G3332,2)=LEFT('112'!$M$9,2),B3332&lt;'112'!$K$9,$N3332='112'!$I$6)),"x",""))</f>
        <v/>
      </c>
      <c r="V3332" s="79" t="str">
        <f>IF(ISERROR(FIND('112'!$M$9,G3332,1)),"",IF((AND(RIGHT(G3332,2)=RIGHT('112'!$M$9,2),B3332&lt;'112'!$K$9,$O3332='112'!$I$6)),"x",""))</f>
        <v/>
      </c>
      <c r="W3332" s="79" t="str">
        <f>IF(AND('341-CT'!$H$9=H3332,OR(LEFT(N3332,3)=$W$7,LEFT(O3332,3)=$W$7)),"x","")</f>
        <v/>
      </c>
      <c r="X3332" s="79" t="str">
        <f>IF(OR(TH!N3332=TH!$X$7,O3332=TH!$X$7),"x","")</f>
        <v/>
      </c>
      <c r="Y3332" s="79" t="str">
        <f>IF(AND(OR(N3332="131",O3332="131"),H3332='131-CT'!$H$9),"x","")</f>
        <v/>
      </c>
      <c r="Z3332" s="79"/>
      <c r="AA3332" s="79" t="str">
        <f>IF(AND(MONTH(E3332)='IN-NX'!$J$5,'IN-NX'!$D$7=D3332),"x","")</f>
        <v/>
      </c>
      <c r="AB3332" s="79" t="str">
        <f>IF(AND(OR(LEFT(TH!N3332,2)="15",LEFT(TH!O3332,2)="15"),LEFT(TH!O3332,3)&lt;&gt;"111",'152-CT'!$J$8=TH!F3332),"x","")</f>
        <v/>
      </c>
      <c r="AC3332" s="79" t="str">
        <f>IF(AND(OR(LEFT(TH!N3332,2)="15",LEFT(TH!O3332,2)="15"),TK!$E$7=TH!F3332),"x","")</f>
        <v/>
      </c>
      <c r="AD3332" s="79" t="str">
        <f>IF(AND(N3332="1521",MONTH(C3332)='BK-NL'!$M$11),"x","")</f>
        <v/>
      </c>
    </row>
    <row r="3333" spans="1:30" ht="16.5" customHeight="1">
      <c r="A3333" s="318" t="str">
        <f>IF(B3333&lt;&gt;"",IF(AND(B3333='IN-TC'!$S$4,OR(TH!N3333="1111",TH!O3333="1111")),TH!D3333,""),"")</f>
        <v/>
      </c>
      <c r="B3333" s="60" t="str">
        <f t="shared" si="390"/>
        <v/>
      </c>
      <c r="C3333" s="61"/>
      <c r="D3333" s="61"/>
      <c r="E3333" s="301"/>
      <c r="F3333" s="69"/>
      <c r="G3333" s="64"/>
      <c r="H3333" s="69"/>
      <c r="I3333" s="385"/>
      <c r="J3333" s="392"/>
      <c r="K3333" s="385"/>
      <c r="L3333" s="392"/>
      <c r="M3333" s="62"/>
      <c r="N3333" s="63"/>
      <c r="O3333" s="63"/>
      <c r="P3333" s="79" t="str">
        <f>IF(AND('331-CT'!$E$7=TH!H3333,OR(N3333="331",O3333="331")),"x","")</f>
        <v/>
      </c>
      <c r="Q3333" s="79" t="str">
        <f>IF(AND(B3333='111'!$L$11,OR($N3333=$Q$7,$O3333=$Q$7)),"x","")</f>
        <v/>
      </c>
      <c r="R3333" s="79" t="str">
        <f>IF(AND($N3333=$Q$7,$B3333&lt;'111'!$L$11),"x","")</f>
        <v/>
      </c>
      <c r="S3333" s="79" t="str">
        <f>IF(AND($O3333=$Q$7,$B3333&lt;'111'!$L$11),"x","")</f>
        <v/>
      </c>
      <c r="T3333" s="79" t="str">
        <f>IF(ISERROR(FIND('112'!$M$9,G3333,1)),"",IF((AND(FIND('112'!$M$9,G3333,1)&gt;=1,B3333='112'!$K$9,OR($N3333='112'!$I$6,$O3333='112'!$I$6))),"x",""))</f>
        <v/>
      </c>
      <c r="U3333" s="79" t="str">
        <f>IF(ISERROR(FIND('112'!$M$9,G3333,1)),"",IF((AND(LEFT(G3333,2)=LEFT('112'!$M$9,2),B3333&lt;'112'!$K$9,$N3333='112'!$I$6)),"x",""))</f>
        <v/>
      </c>
      <c r="V3333" s="79" t="str">
        <f>IF(ISERROR(FIND('112'!$M$9,G3333,1)),"",IF((AND(RIGHT(G3333,2)=RIGHT('112'!$M$9,2),B3333&lt;'112'!$K$9,$O3333='112'!$I$6)),"x",""))</f>
        <v/>
      </c>
      <c r="W3333" s="79" t="str">
        <f>IF(AND('341-CT'!$H$9=H3333,OR(LEFT(N3333,3)=$W$7,LEFT(O3333,3)=$W$7)),"x","")</f>
        <v/>
      </c>
      <c r="X3333" s="79" t="str">
        <f>IF(OR(TH!N3333=TH!$X$7,O3333=TH!$X$7),"x","")</f>
        <v/>
      </c>
      <c r="Y3333" s="79" t="str">
        <f>IF(AND(OR(N3333="131",O3333="131"),H3333='131-CT'!$H$9),"x","")</f>
        <v/>
      </c>
      <c r="Z3333" s="79"/>
      <c r="AA3333" s="79" t="str">
        <f>IF(AND(MONTH(E3333)='IN-NX'!$J$5,'IN-NX'!$D$7=D3333),"x","")</f>
        <v/>
      </c>
      <c r="AB3333" s="79" t="str">
        <f>IF(AND(OR(LEFT(TH!N3333,2)="15",LEFT(TH!O3333,2)="15"),LEFT(TH!O3333,3)&lt;&gt;"111",'152-CT'!$J$8=TH!F3333),"x","")</f>
        <v/>
      </c>
      <c r="AC3333" s="79" t="str">
        <f>IF(AND(OR(LEFT(TH!N3333,2)="15",LEFT(TH!O3333,2)="15"),TK!$E$7=TH!F3333),"x","")</f>
        <v/>
      </c>
      <c r="AD3333" s="79" t="str">
        <f>IF(AND(N3333="1521",MONTH(C3333)='BK-NL'!$M$11),"x","")</f>
        <v/>
      </c>
    </row>
    <row r="3334" spans="1:30" ht="16.5" customHeight="1">
      <c r="A3334" s="318" t="str">
        <f>IF(B3334&lt;&gt;"",IF(AND(B3334='IN-TC'!$S$4,OR(TH!N3334="1111",TH!O3334="1111")),TH!D3334,""),"")</f>
        <v/>
      </c>
      <c r="B3334" s="60" t="str">
        <f t="shared" si="390"/>
        <v/>
      </c>
      <c r="C3334" s="61"/>
      <c r="D3334" s="61"/>
      <c r="E3334" s="301"/>
      <c r="F3334" s="69"/>
      <c r="G3334" s="64"/>
      <c r="H3334" s="69"/>
      <c r="I3334" s="385"/>
      <c r="J3334" s="392"/>
      <c r="K3334" s="385"/>
      <c r="L3334" s="392"/>
      <c r="M3334" s="62"/>
      <c r="N3334" s="63"/>
      <c r="O3334" s="304"/>
      <c r="P3334" s="79" t="str">
        <f>IF(AND('331-CT'!$E$7=TH!H3334,OR(N3334="331",O3334="331")),"x","")</f>
        <v/>
      </c>
      <c r="Q3334" s="79" t="str">
        <f>IF(AND(B3334='111'!$L$11,OR($N3334=$Q$7,$O3334=$Q$7)),"x","")</f>
        <v/>
      </c>
      <c r="R3334" s="79" t="str">
        <f>IF(AND($N3334=$Q$7,$B3334&lt;'111'!$L$11),"x","")</f>
        <v/>
      </c>
      <c r="S3334" s="79" t="str">
        <f>IF(AND($O3334=$Q$7,$B3334&lt;'111'!$L$11),"x","")</f>
        <v/>
      </c>
      <c r="T3334" s="79" t="str">
        <f>IF(ISERROR(FIND('112'!$M$9,G3334,1)),"",IF((AND(FIND('112'!$M$9,G3334,1)&gt;=1,B3334='112'!$K$9,OR($N3334='112'!$I$6,$O3334='112'!$I$6))),"x",""))</f>
        <v/>
      </c>
      <c r="U3334" s="79" t="str">
        <f>IF(ISERROR(FIND('112'!$M$9,G3334,1)),"",IF((AND(LEFT(G3334,2)=LEFT('112'!$M$9,2),B3334&lt;'112'!$K$9,$N3334='112'!$I$6)),"x",""))</f>
        <v/>
      </c>
      <c r="V3334" s="79" t="str">
        <f>IF(ISERROR(FIND('112'!$M$9,G3334,1)),"",IF((AND(RIGHT(G3334,2)=RIGHT('112'!$M$9,2),B3334&lt;'112'!$K$9,$O3334='112'!$I$6)),"x",""))</f>
        <v/>
      </c>
      <c r="W3334" s="79" t="str">
        <f>IF(AND('341-CT'!$H$9=H3334,OR(LEFT(N3334,3)=$W$7,LEFT(O3334,3)=$W$7)),"x","")</f>
        <v/>
      </c>
      <c r="X3334" s="79" t="str">
        <f>IF(OR(TH!N3334=TH!$X$7,O3334=TH!$X$7),"x","")</f>
        <v/>
      </c>
      <c r="Y3334" s="79" t="str">
        <f>IF(AND(OR(N3334="131",O3334="131"),H3334='131-CT'!$H$9),"x","")</f>
        <v/>
      </c>
      <c r="Z3334" s="79"/>
      <c r="AA3334" s="79" t="str">
        <f>IF(AND(MONTH(E3334)='IN-NX'!$J$5,'IN-NX'!$D$7=D3334),"x","")</f>
        <v/>
      </c>
      <c r="AB3334" s="79" t="str">
        <f>IF(AND(OR(LEFT(TH!N3334,2)="15",LEFT(TH!O3334,2)="15"),LEFT(TH!O3334,3)&lt;&gt;"111",'152-CT'!$J$8=TH!F3334),"x","")</f>
        <v/>
      </c>
      <c r="AC3334" s="79" t="str">
        <f>IF(AND(OR(LEFT(TH!N3334,2)="15",LEFT(TH!O3334,2)="15"),TK!$E$7=TH!F3334),"x","")</f>
        <v/>
      </c>
      <c r="AD3334" s="79" t="str">
        <f>IF(AND(N3334="1521",MONTH(C3334)='BK-NL'!$M$11),"x","")</f>
        <v/>
      </c>
    </row>
    <row r="3335" spans="1:30" ht="16.5" customHeight="1">
      <c r="A3335" s="318" t="str">
        <f>IF(B3335&lt;&gt;"",IF(AND(B3335='IN-TC'!$S$4,OR(TH!N3335="1111",TH!O3335="1111")),TH!D3335,""),"")</f>
        <v/>
      </c>
      <c r="B3335" s="60" t="str">
        <f t="shared" si="390"/>
        <v/>
      </c>
      <c r="C3335" s="61"/>
      <c r="D3335" s="61"/>
      <c r="E3335" s="301"/>
      <c r="F3335" s="69"/>
      <c r="G3335" s="64"/>
      <c r="H3335" s="69"/>
      <c r="I3335" s="385"/>
      <c r="J3335" s="392"/>
      <c r="K3335" s="385"/>
      <c r="L3335" s="392"/>
      <c r="M3335" s="62"/>
      <c r="N3335" s="63"/>
      <c r="O3335" s="63"/>
      <c r="P3335" s="79" t="str">
        <f>IF(AND('331-CT'!$E$7=TH!H3335,OR(N3335="331",O3335="331")),"x","")</f>
        <v/>
      </c>
      <c r="Q3335" s="79" t="str">
        <f>IF(AND(B3335='111'!$L$11,OR($N3335=$Q$7,$O3335=$Q$7)),"x","")</f>
        <v/>
      </c>
      <c r="R3335" s="79" t="str">
        <f>IF(AND($N3335=$Q$7,$B3335&lt;'111'!$L$11),"x","")</f>
        <v/>
      </c>
      <c r="S3335" s="79" t="str">
        <f>IF(AND($O3335=$Q$7,$B3335&lt;'111'!$L$11),"x","")</f>
        <v/>
      </c>
      <c r="T3335" s="79" t="str">
        <f>IF(ISERROR(FIND('112'!$M$9,G3335,1)),"",IF((AND(FIND('112'!$M$9,G3335,1)&gt;=1,B3335='112'!$K$9,OR($N3335='112'!$I$6,$O3335='112'!$I$6))),"x",""))</f>
        <v/>
      </c>
      <c r="U3335" s="79" t="str">
        <f>IF(ISERROR(FIND('112'!$M$9,G3335,1)),"",IF((AND(LEFT(G3335,2)=LEFT('112'!$M$9,2),B3335&lt;'112'!$K$9,$N3335='112'!$I$6)),"x",""))</f>
        <v/>
      </c>
      <c r="V3335" s="79" t="str">
        <f>IF(ISERROR(FIND('112'!$M$9,G3335,1)),"",IF((AND(RIGHT(G3335,2)=RIGHT('112'!$M$9,2),B3335&lt;'112'!$K$9,$O3335='112'!$I$6)),"x",""))</f>
        <v/>
      </c>
      <c r="W3335" s="79" t="str">
        <f>IF(AND('341-CT'!$H$9=H3335,OR(LEFT(N3335,3)=$W$7,LEFT(O3335,3)=$W$7)),"x","")</f>
        <v/>
      </c>
      <c r="X3335" s="79" t="str">
        <f>IF(OR(TH!N3335=TH!$X$7,O3335=TH!$X$7),"x","")</f>
        <v/>
      </c>
      <c r="Y3335" s="79" t="str">
        <f>IF(AND(OR(N3335="131",O3335="131"),H3335='131-CT'!$H$9),"x","")</f>
        <v/>
      </c>
      <c r="Z3335" s="79"/>
      <c r="AA3335" s="79" t="str">
        <f>IF(AND(MONTH(E3335)='IN-NX'!$J$5,'IN-NX'!$D$7=D3335),"x","")</f>
        <v/>
      </c>
      <c r="AB3335" s="79" t="str">
        <f>IF(AND(OR(LEFT(TH!N3335,2)="15",LEFT(TH!O3335,2)="15"),LEFT(TH!O3335,3)&lt;&gt;"111",'152-CT'!$J$8=TH!F3335),"x","")</f>
        <v/>
      </c>
      <c r="AC3335" s="79" t="str">
        <f>IF(AND(OR(LEFT(TH!N3335,2)="15",LEFT(TH!O3335,2)="15"),TK!$E$7=TH!F3335),"x","")</f>
        <v/>
      </c>
      <c r="AD3335" s="79" t="str">
        <f>IF(AND(N3335="1521",MONTH(C3335)='BK-NL'!$M$11),"x","")</f>
        <v/>
      </c>
    </row>
    <row r="3336" spans="1:30" ht="16.5" customHeight="1">
      <c r="A3336" s="318" t="str">
        <f>IF(B3336&lt;&gt;"",IF(AND(B3336='IN-TC'!$S$4,OR(TH!N3336="1111",TH!O3336="1111")),TH!D3336,""),"")</f>
        <v/>
      </c>
      <c r="B3336" s="60" t="str">
        <f t="shared" si="390"/>
        <v/>
      </c>
      <c r="C3336" s="61"/>
      <c r="D3336" s="61"/>
      <c r="E3336" s="301"/>
      <c r="F3336" s="69"/>
      <c r="G3336" s="64"/>
      <c r="H3336" s="69"/>
      <c r="I3336" s="385"/>
      <c r="J3336" s="392"/>
      <c r="K3336" s="385"/>
      <c r="L3336" s="392"/>
      <c r="M3336" s="62"/>
      <c r="N3336" s="63"/>
      <c r="O3336" s="63"/>
      <c r="P3336" s="79" t="str">
        <f>IF(AND('331-CT'!$E$7=TH!H3336,OR(N3336="331",O3336="331")),"x","")</f>
        <v/>
      </c>
      <c r="Q3336" s="79" t="str">
        <f>IF(AND(B3336='111'!$L$11,OR($N3336=$Q$7,$O3336=$Q$7)),"x","")</f>
        <v/>
      </c>
      <c r="R3336" s="79" t="str">
        <f>IF(AND($N3336=$Q$7,$B3336&lt;'111'!$L$11),"x","")</f>
        <v/>
      </c>
      <c r="S3336" s="79" t="str">
        <f>IF(AND($O3336=$Q$7,$B3336&lt;'111'!$L$11),"x","")</f>
        <v/>
      </c>
      <c r="T3336" s="79" t="str">
        <f>IF(ISERROR(FIND('112'!$M$9,G3336,1)),"",IF((AND(FIND('112'!$M$9,G3336,1)&gt;=1,B3336='112'!$K$9,OR($N3336='112'!$I$6,$O3336='112'!$I$6))),"x",""))</f>
        <v/>
      </c>
      <c r="U3336" s="79" t="str">
        <f>IF(ISERROR(FIND('112'!$M$9,G3336,1)),"",IF((AND(LEFT(G3336,2)=LEFT('112'!$M$9,2),B3336&lt;'112'!$K$9,$N3336='112'!$I$6)),"x",""))</f>
        <v/>
      </c>
      <c r="V3336" s="79" t="str">
        <f>IF(ISERROR(FIND('112'!$M$9,G3336,1)),"",IF((AND(RIGHT(G3336,2)=RIGHT('112'!$M$9,2),B3336&lt;'112'!$K$9,$O3336='112'!$I$6)),"x",""))</f>
        <v/>
      </c>
      <c r="W3336" s="79" t="str">
        <f>IF(AND('341-CT'!$H$9=H3336,OR(LEFT(N3336,3)=$W$7,LEFT(O3336,3)=$W$7)),"x","")</f>
        <v/>
      </c>
      <c r="X3336" s="79" t="str">
        <f>IF(OR(TH!N3336=TH!$X$7,O3336=TH!$X$7),"x","")</f>
        <v/>
      </c>
      <c r="Y3336" s="79" t="str">
        <f>IF(AND(OR(N3336="131",O3336="131"),H3336='131-CT'!$H$9),"x","")</f>
        <v/>
      </c>
      <c r="Z3336" s="79"/>
      <c r="AA3336" s="79" t="str">
        <f>IF(AND(MONTH(E3336)='IN-NX'!$J$5,'IN-NX'!$D$7=D3336),"x","")</f>
        <v/>
      </c>
      <c r="AB3336" s="79" t="str">
        <f>IF(AND(OR(LEFT(TH!N3336,2)="15",LEFT(TH!O3336,2)="15"),LEFT(TH!O3336,3)&lt;&gt;"111",'152-CT'!$J$8=TH!F3336),"x","")</f>
        <v/>
      </c>
      <c r="AC3336" s="79" t="str">
        <f>IF(AND(OR(LEFT(TH!N3336,2)="15",LEFT(TH!O3336,2)="15"),TK!$E$7=TH!F3336),"x","")</f>
        <v/>
      </c>
      <c r="AD3336" s="79" t="str">
        <f>IF(AND(N3336="1521",MONTH(C3336)='BK-NL'!$M$11),"x","")</f>
        <v/>
      </c>
    </row>
    <row r="3337" spans="1:30" ht="16.5" customHeight="1">
      <c r="A3337" s="318" t="str">
        <f>IF(B3337&lt;&gt;"",IF(AND(B3337='IN-TC'!$S$4,OR(TH!N3337="1111",TH!O3337="1111")),TH!D3337,""),"")</f>
        <v/>
      </c>
      <c r="B3337" s="60" t="str">
        <f t="shared" si="390"/>
        <v/>
      </c>
      <c r="C3337" s="61"/>
      <c r="D3337" s="61"/>
      <c r="E3337" s="301"/>
      <c r="F3337" s="69"/>
      <c r="G3337" s="64"/>
      <c r="H3337" s="69"/>
      <c r="I3337" s="385"/>
      <c r="J3337" s="392"/>
      <c r="K3337" s="385"/>
      <c r="L3337" s="392"/>
      <c r="M3337" s="62"/>
      <c r="N3337" s="63"/>
      <c r="O3337" s="63"/>
      <c r="P3337" s="79" t="str">
        <f>IF(AND('331-CT'!$E$7=TH!H3337,OR(N3337="331",O3337="331")),"x","")</f>
        <v/>
      </c>
      <c r="Q3337" s="79" t="str">
        <f>IF(AND(B3337='111'!$L$11,OR($N3337=$Q$7,$O3337=$Q$7)),"x","")</f>
        <v/>
      </c>
      <c r="R3337" s="79" t="str">
        <f>IF(AND($N3337=$Q$7,$B3337&lt;'111'!$L$11),"x","")</f>
        <v/>
      </c>
      <c r="S3337" s="79" t="str">
        <f>IF(AND($O3337=$Q$7,$B3337&lt;'111'!$L$11),"x","")</f>
        <v/>
      </c>
      <c r="T3337" s="79" t="str">
        <f>IF(ISERROR(FIND('112'!$M$9,G3337,1)),"",IF((AND(FIND('112'!$M$9,G3337,1)&gt;=1,B3337='112'!$K$9,OR($N3337='112'!$I$6,$O3337='112'!$I$6))),"x",""))</f>
        <v/>
      </c>
      <c r="U3337" s="79" t="str">
        <f>IF(ISERROR(FIND('112'!$M$9,G3337,1)),"",IF((AND(LEFT(G3337,2)=LEFT('112'!$M$9,2),B3337&lt;'112'!$K$9,$N3337='112'!$I$6)),"x",""))</f>
        <v/>
      </c>
      <c r="V3337" s="79" t="str">
        <f>IF(ISERROR(FIND('112'!$M$9,G3337,1)),"",IF((AND(RIGHT(G3337,2)=RIGHT('112'!$M$9,2),B3337&lt;'112'!$K$9,$O3337='112'!$I$6)),"x",""))</f>
        <v/>
      </c>
      <c r="W3337" s="79" t="str">
        <f>IF(AND('341-CT'!$H$9=H3337,OR(LEFT(N3337,3)=$W$7,LEFT(O3337,3)=$W$7)),"x","")</f>
        <v/>
      </c>
      <c r="X3337" s="79" t="str">
        <f>IF(OR(TH!N3337=TH!$X$7,O3337=TH!$X$7),"x","")</f>
        <v/>
      </c>
      <c r="Y3337" s="79" t="str">
        <f>IF(AND(OR(N3337="131",O3337="131"),H3337='131-CT'!$H$9),"x","")</f>
        <v/>
      </c>
      <c r="Z3337" s="79"/>
      <c r="AA3337" s="79" t="str">
        <f>IF(AND(MONTH(E3337)='IN-NX'!$J$5,'IN-NX'!$D$7=D3337),"x","")</f>
        <v/>
      </c>
      <c r="AB3337" s="79" t="str">
        <f>IF(AND(OR(LEFT(TH!N3337,2)="15",LEFT(TH!O3337,2)="15"),LEFT(TH!O3337,3)&lt;&gt;"111",'152-CT'!$J$8=TH!F3337),"x","")</f>
        <v/>
      </c>
      <c r="AC3337" s="79" t="str">
        <f>IF(AND(OR(LEFT(TH!N3337,2)="15",LEFT(TH!O3337,2)="15"),TK!$E$7=TH!F3337),"x","")</f>
        <v/>
      </c>
      <c r="AD3337" s="79" t="str">
        <f>IF(AND(N3337="1521",MONTH(C3337)='BK-NL'!$M$11),"x","")</f>
        <v/>
      </c>
    </row>
    <row r="3338" spans="1:30" ht="16.5" customHeight="1">
      <c r="A3338" s="318" t="str">
        <f>IF(B3338&lt;&gt;"",IF(AND(B3338='IN-TC'!$S$4,OR(TH!N3338="1111",TH!O3338="1111")),TH!D3338,""),"")</f>
        <v/>
      </c>
      <c r="B3338" s="60" t="str">
        <f t="shared" si="390"/>
        <v/>
      </c>
      <c r="C3338" s="61"/>
      <c r="D3338" s="61"/>
      <c r="E3338" s="301"/>
      <c r="F3338" s="69"/>
      <c r="G3338" s="64"/>
      <c r="H3338" s="69"/>
      <c r="I3338" s="385"/>
      <c r="J3338" s="392"/>
      <c r="K3338" s="385"/>
      <c r="L3338" s="392"/>
      <c r="M3338" s="62"/>
      <c r="N3338" s="63"/>
      <c r="O3338" s="63"/>
      <c r="P3338" s="79" t="str">
        <f>IF(AND('331-CT'!$E$7=TH!H3338,OR(N3338="331",O3338="331")),"x","")</f>
        <v/>
      </c>
      <c r="Q3338" s="79" t="str">
        <f>IF(AND(B3338='111'!$L$11,OR($N3338=$Q$7,$O3338=$Q$7)),"x","")</f>
        <v/>
      </c>
      <c r="R3338" s="79" t="str">
        <f>IF(AND($N3338=$Q$7,$B3338&lt;'111'!$L$11),"x","")</f>
        <v/>
      </c>
      <c r="S3338" s="79" t="str">
        <f>IF(AND($O3338=$Q$7,$B3338&lt;'111'!$L$11),"x","")</f>
        <v/>
      </c>
      <c r="T3338" s="79" t="str">
        <f>IF(ISERROR(FIND('112'!$M$9,G3338,1)),"",IF((AND(FIND('112'!$M$9,G3338,1)&gt;=1,B3338='112'!$K$9,OR($N3338='112'!$I$6,$O3338='112'!$I$6))),"x",""))</f>
        <v/>
      </c>
      <c r="U3338" s="79" t="str">
        <f>IF(ISERROR(FIND('112'!$M$9,G3338,1)),"",IF((AND(LEFT(G3338,2)=LEFT('112'!$M$9,2),B3338&lt;'112'!$K$9,$N3338='112'!$I$6)),"x",""))</f>
        <v/>
      </c>
      <c r="V3338" s="79" t="str">
        <f>IF(ISERROR(FIND('112'!$M$9,G3338,1)),"",IF((AND(RIGHT(G3338,2)=RIGHT('112'!$M$9,2),B3338&lt;'112'!$K$9,$O3338='112'!$I$6)),"x",""))</f>
        <v/>
      </c>
      <c r="W3338" s="79" t="str">
        <f>IF(AND('341-CT'!$H$9=H3338,OR(LEFT(N3338,3)=$W$7,LEFT(O3338,3)=$W$7)),"x","")</f>
        <v/>
      </c>
      <c r="X3338" s="79" t="str">
        <f>IF(OR(TH!N3338=TH!$X$7,O3338=TH!$X$7),"x","")</f>
        <v/>
      </c>
      <c r="Y3338" s="79" t="str">
        <f>IF(AND(OR(N3338="131",O3338="131"),H3338='131-CT'!$H$9),"x","")</f>
        <v/>
      </c>
      <c r="Z3338" s="79"/>
      <c r="AA3338" s="79" t="str">
        <f>IF(AND(MONTH(E3338)='IN-NX'!$J$5,'IN-NX'!$D$7=D3338),"x","")</f>
        <v/>
      </c>
      <c r="AB3338" s="79" t="str">
        <f>IF(AND(OR(LEFT(TH!N3338,2)="15",LEFT(TH!O3338,2)="15"),LEFT(TH!O3338,3)&lt;&gt;"111",'152-CT'!$J$8=TH!F3338),"x","")</f>
        <v/>
      </c>
      <c r="AC3338" s="79" t="str">
        <f>IF(AND(OR(LEFT(TH!N3338,2)="15",LEFT(TH!O3338,2)="15"),TK!$E$7=TH!F3338),"x","")</f>
        <v/>
      </c>
      <c r="AD3338" s="79" t="str">
        <f>IF(AND(N3338="1521",MONTH(C3338)='BK-NL'!$M$11),"x","")</f>
        <v/>
      </c>
    </row>
    <row r="3339" spans="1:30" ht="16.5" customHeight="1">
      <c r="A3339" s="318" t="str">
        <f>IF(B3339&lt;&gt;"",IF(AND(B3339='IN-TC'!$S$4,OR(TH!N3339="1111",TH!O3339="1111")),TH!D3339,""),"")</f>
        <v/>
      </c>
      <c r="B3339" s="60" t="str">
        <f t="shared" si="390"/>
        <v/>
      </c>
      <c r="C3339" s="61"/>
      <c r="D3339" s="61"/>
      <c r="E3339" s="301"/>
      <c r="F3339" s="69"/>
      <c r="G3339" s="64"/>
      <c r="H3339" s="69"/>
      <c r="I3339" s="385"/>
      <c r="J3339" s="392"/>
      <c r="K3339" s="385"/>
      <c r="L3339" s="392"/>
      <c r="M3339" s="62"/>
      <c r="N3339" s="63"/>
      <c r="O3339" s="63"/>
      <c r="P3339" s="79" t="str">
        <f>IF(AND('331-CT'!$E$7=TH!H3339,OR(N3339="331",O3339="331")),"x","")</f>
        <v/>
      </c>
      <c r="Q3339" s="79" t="str">
        <f>IF(AND(B3339='111'!$L$11,OR($N3339=$Q$7,$O3339=$Q$7)),"x","")</f>
        <v/>
      </c>
      <c r="R3339" s="79" t="str">
        <f>IF(AND($N3339=$Q$7,$B3339&lt;'111'!$L$11),"x","")</f>
        <v/>
      </c>
      <c r="S3339" s="79" t="str">
        <f>IF(AND($O3339=$Q$7,$B3339&lt;'111'!$L$11),"x","")</f>
        <v/>
      </c>
      <c r="T3339" s="79" t="str">
        <f>IF(ISERROR(FIND('112'!$M$9,G3339,1)),"",IF((AND(FIND('112'!$M$9,G3339,1)&gt;=1,B3339='112'!$K$9,OR($N3339='112'!$I$6,$O3339='112'!$I$6))),"x",""))</f>
        <v/>
      </c>
      <c r="U3339" s="79" t="str">
        <f>IF(ISERROR(FIND('112'!$M$9,G3339,1)),"",IF((AND(LEFT(G3339,2)=LEFT('112'!$M$9,2),B3339&lt;'112'!$K$9,$N3339='112'!$I$6)),"x",""))</f>
        <v/>
      </c>
      <c r="V3339" s="79" t="str">
        <f>IF(ISERROR(FIND('112'!$M$9,G3339,1)),"",IF((AND(RIGHT(G3339,2)=RIGHT('112'!$M$9,2),B3339&lt;'112'!$K$9,$O3339='112'!$I$6)),"x",""))</f>
        <v/>
      </c>
      <c r="W3339" s="79" t="str">
        <f>IF(AND('341-CT'!$H$9=H3339,OR(LEFT(N3339,3)=$W$7,LEFT(O3339,3)=$W$7)),"x","")</f>
        <v/>
      </c>
      <c r="X3339" s="79" t="str">
        <f>IF(OR(TH!N3339=TH!$X$7,O3339=TH!$X$7),"x","")</f>
        <v/>
      </c>
      <c r="Y3339" s="79" t="str">
        <f>IF(AND(OR(N3339="131",O3339="131"),H3339='131-CT'!$H$9),"x","")</f>
        <v/>
      </c>
      <c r="Z3339" s="79"/>
      <c r="AA3339" s="79" t="str">
        <f>IF(AND(MONTH(E3339)='IN-NX'!$J$5,'IN-NX'!$D$7=D3339),"x","")</f>
        <v/>
      </c>
      <c r="AB3339" s="79" t="str">
        <f>IF(AND(OR(LEFT(TH!N3339,2)="15",LEFT(TH!O3339,2)="15"),LEFT(TH!O3339,3)&lt;&gt;"111",'152-CT'!$J$8=TH!F3339),"x","")</f>
        <v/>
      </c>
      <c r="AC3339" s="79" t="str">
        <f>IF(AND(OR(LEFT(TH!N3339,2)="15",LEFT(TH!O3339,2)="15"),TK!$E$7=TH!F3339),"x","")</f>
        <v/>
      </c>
      <c r="AD3339" s="79" t="str">
        <f>IF(AND(N3339="1521",MONTH(C3339)='BK-NL'!$M$11),"x","")</f>
        <v/>
      </c>
    </row>
    <row r="3340" spans="1:30" ht="16.5" customHeight="1">
      <c r="A3340" s="318" t="str">
        <f>IF(B3340&lt;&gt;"",IF(AND(B3340='IN-TC'!$S$4,OR(TH!N3340="1111",TH!O3340="1111")),TH!D3340,""),"")</f>
        <v/>
      </c>
      <c r="B3340" s="60" t="str">
        <f t="shared" si="390"/>
        <v/>
      </c>
      <c r="C3340" s="61"/>
      <c r="D3340" s="61"/>
      <c r="E3340" s="301"/>
      <c r="F3340" s="69"/>
      <c r="G3340" s="64"/>
      <c r="H3340" s="69"/>
      <c r="I3340" s="385"/>
      <c r="J3340" s="392"/>
      <c r="K3340" s="385"/>
      <c r="L3340" s="392"/>
      <c r="M3340" s="62"/>
      <c r="N3340" s="63"/>
      <c r="O3340" s="63"/>
      <c r="P3340" s="79" t="str">
        <f>IF(AND('331-CT'!$E$7=TH!H3340,OR(N3340="331",O3340="331")),"x","")</f>
        <v/>
      </c>
      <c r="Q3340" s="79" t="str">
        <f>IF(AND(B3340='111'!$L$11,OR($N3340=$Q$7,$O3340=$Q$7)),"x","")</f>
        <v/>
      </c>
      <c r="R3340" s="79" t="str">
        <f>IF(AND($N3340=$Q$7,$B3340&lt;'111'!$L$11),"x","")</f>
        <v/>
      </c>
      <c r="S3340" s="79" t="str">
        <f>IF(AND($O3340=$Q$7,$B3340&lt;'111'!$L$11),"x","")</f>
        <v/>
      </c>
      <c r="T3340" s="79" t="str">
        <f>IF(ISERROR(FIND('112'!$M$9,G3340,1)),"",IF((AND(FIND('112'!$M$9,G3340,1)&gt;=1,B3340='112'!$K$9,OR($N3340='112'!$I$6,$O3340='112'!$I$6))),"x",""))</f>
        <v/>
      </c>
      <c r="U3340" s="79" t="str">
        <f>IF(ISERROR(FIND('112'!$M$9,G3340,1)),"",IF((AND(LEFT(G3340,2)=LEFT('112'!$M$9,2),B3340&lt;'112'!$K$9,$N3340='112'!$I$6)),"x",""))</f>
        <v/>
      </c>
      <c r="V3340" s="79" t="str">
        <f>IF(ISERROR(FIND('112'!$M$9,G3340,1)),"",IF((AND(RIGHT(G3340,2)=RIGHT('112'!$M$9,2),B3340&lt;'112'!$K$9,$O3340='112'!$I$6)),"x",""))</f>
        <v/>
      </c>
      <c r="W3340" s="79" t="str">
        <f>IF(AND('341-CT'!$H$9=H3340,OR(LEFT(N3340,3)=$W$7,LEFT(O3340,3)=$W$7)),"x","")</f>
        <v/>
      </c>
      <c r="X3340" s="79" t="str">
        <f>IF(OR(TH!N3340=TH!$X$7,O3340=TH!$X$7),"x","")</f>
        <v/>
      </c>
      <c r="Y3340" s="79" t="str">
        <f>IF(AND(OR(N3340="131",O3340="131"),H3340='131-CT'!$H$9),"x","")</f>
        <v/>
      </c>
      <c r="Z3340" s="79"/>
      <c r="AA3340" s="79" t="str">
        <f>IF(AND(MONTH(E3340)='IN-NX'!$J$5,'IN-NX'!$D$7=D3340),"x","")</f>
        <v/>
      </c>
      <c r="AB3340" s="79" t="str">
        <f>IF(AND(OR(LEFT(TH!N3340,2)="15",LEFT(TH!O3340,2)="15"),LEFT(TH!O3340,3)&lt;&gt;"111",'152-CT'!$J$8=TH!F3340),"x","")</f>
        <v/>
      </c>
      <c r="AC3340" s="79" t="str">
        <f>IF(AND(OR(LEFT(TH!N3340,2)="15",LEFT(TH!O3340,2)="15"),TK!$E$7=TH!F3340),"x","")</f>
        <v/>
      </c>
      <c r="AD3340" s="79" t="str">
        <f>IF(AND(N3340="1521",MONTH(C3340)='BK-NL'!$M$11),"x","")</f>
        <v/>
      </c>
    </row>
    <row r="3341" spans="1:30" ht="16.5" customHeight="1">
      <c r="A3341" s="318" t="str">
        <f>IF(B3341&lt;&gt;"",IF(AND(B3341='IN-TC'!$S$4,OR(TH!N3341="1111",TH!O3341="1111")),TH!D3341,""),"")</f>
        <v/>
      </c>
      <c r="B3341" s="60" t="str">
        <f t="shared" si="390"/>
        <v/>
      </c>
      <c r="C3341" s="301"/>
      <c r="D3341" s="301"/>
      <c r="E3341" s="301"/>
      <c r="F3341" s="69"/>
      <c r="G3341" s="988"/>
      <c r="H3341" s="69"/>
      <c r="I3341" s="385"/>
      <c r="J3341" s="969"/>
      <c r="K3341" s="385"/>
      <c r="L3341" s="392"/>
      <c r="M3341" s="970"/>
      <c r="N3341" s="304"/>
      <c r="O3341" s="304"/>
      <c r="P3341" s="79" t="str">
        <f>IF(AND('331-CT'!$E$7=TH!H3341,OR(N3341="331",O3341="331")),"x","")</f>
        <v/>
      </c>
      <c r="Q3341" s="79" t="str">
        <f>IF(AND(B3341='111'!$L$11,OR($N3341=$Q$7,$O3341=$Q$7)),"x","")</f>
        <v/>
      </c>
      <c r="R3341" s="79" t="str">
        <f>IF(AND($N3341=$Q$7,$B3341&lt;'111'!$L$11),"x","")</f>
        <v/>
      </c>
      <c r="S3341" s="79" t="str">
        <f>IF(AND($O3341=$Q$7,$B3341&lt;'111'!$L$11),"x","")</f>
        <v/>
      </c>
      <c r="T3341" s="79" t="str">
        <f>IF(ISERROR(FIND('112'!$M$9,G3341,1)),"",IF((AND(FIND('112'!$M$9,G3341,1)&gt;=1,B3341='112'!$K$9,OR($N3341='112'!$I$6,$O3341='112'!$I$6))),"x",""))</f>
        <v/>
      </c>
      <c r="U3341" s="79" t="str">
        <f>IF(ISERROR(FIND('112'!$M$9,G3341,1)),"",IF((AND(LEFT(G3341,2)=LEFT('112'!$M$9,2),B3341&lt;'112'!$K$9,$N3341='112'!$I$6)),"x",""))</f>
        <v/>
      </c>
      <c r="V3341" s="79" t="str">
        <f>IF(ISERROR(FIND('112'!$M$9,G3341,1)),"",IF((AND(RIGHT(G3341,2)=RIGHT('112'!$M$9,2),B3341&lt;'112'!$K$9,$O3341='112'!$I$6)),"x",""))</f>
        <v/>
      </c>
      <c r="W3341" s="79" t="str">
        <f>IF(AND('341-CT'!$H$9=H3341,OR(LEFT(N3341,3)=$W$7,LEFT(O3341,3)=$W$7)),"x","")</f>
        <v/>
      </c>
      <c r="X3341" s="79" t="str">
        <f>IF(OR(TH!N3341=TH!$X$7,O3341=TH!$X$7),"x","")</f>
        <v/>
      </c>
      <c r="Y3341" s="79" t="str">
        <f>IF(AND(OR(N3341="131",O3341="131"),H3341='131-CT'!$H$9),"x","")</f>
        <v/>
      </c>
      <c r="Z3341" s="79"/>
      <c r="AA3341" s="79" t="str">
        <f>IF(AND(MONTH(E3341)='IN-NX'!$J$5,'IN-NX'!$D$7=D3341),"x","")</f>
        <v/>
      </c>
      <c r="AB3341" s="79" t="str">
        <f>IF(AND(OR(LEFT(TH!N3341,2)="15",LEFT(TH!O3341,2)="15"),LEFT(TH!O3341,3)&lt;&gt;"111",'152-CT'!$J$8=TH!F3341),"x","")</f>
        <v/>
      </c>
      <c r="AC3341" s="79" t="str">
        <f>IF(AND(OR(LEFT(TH!N3341,2)="15",LEFT(TH!O3341,2)="15"),TK!$E$7=TH!F3341),"x","")</f>
        <v/>
      </c>
      <c r="AD3341" s="79" t="str">
        <f>IF(AND(N3341="1521",MONTH(C3341)='BK-NL'!$M$11),"x","")</f>
        <v/>
      </c>
    </row>
    <row r="3342" spans="1:30" ht="16.5" customHeight="1">
      <c r="A3342" s="318" t="str">
        <f>IF(B3342&lt;&gt;"",IF(AND(B3342='IN-TC'!$S$4,OR(TH!N3342="1111",TH!O3342="1111")),TH!D3342,""),"")</f>
        <v/>
      </c>
      <c r="B3342" s="60" t="str">
        <f t="shared" si="390"/>
        <v/>
      </c>
      <c r="C3342" s="301"/>
      <c r="D3342" s="301"/>
      <c r="E3342" s="301"/>
      <c r="F3342" s="69"/>
      <c r="G3342" s="988"/>
      <c r="H3342" s="69"/>
      <c r="I3342" s="385"/>
      <c r="J3342" s="969"/>
      <c r="K3342" s="385"/>
      <c r="L3342" s="392"/>
      <c r="M3342" s="970"/>
      <c r="N3342" s="304"/>
      <c r="O3342" s="304"/>
      <c r="P3342" s="79" t="str">
        <f>IF(AND('331-CT'!$E$7=TH!H3342,OR(N3342="331",O3342="331")),"x","")</f>
        <v/>
      </c>
      <c r="Q3342" s="79" t="str">
        <f>IF(AND(B3342='111'!$L$11,OR($N3342=$Q$7,$O3342=$Q$7)),"x","")</f>
        <v/>
      </c>
      <c r="R3342" s="79" t="str">
        <f>IF(AND($N3342=$Q$7,$B3342&lt;'111'!$L$11),"x","")</f>
        <v/>
      </c>
      <c r="S3342" s="79" t="str">
        <f>IF(AND($O3342=$Q$7,$B3342&lt;'111'!$L$11),"x","")</f>
        <v/>
      </c>
      <c r="T3342" s="79" t="str">
        <f>IF(ISERROR(FIND('112'!$M$9,G3342,1)),"",IF((AND(FIND('112'!$M$9,G3342,1)&gt;=1,B3342='112'!$K$9,OR($N3342='112'!$I$6,$O3342='112'!$I$6))),"x",""))</f>
        <v/>
      </c>
      <c r="U3342" s="79" t="str">
        <f>IF(ISERROR(FIND('112'!$M$9,G3342,1)),"",IF((AND(LEFT(G3342,2)=LEFT('112'!$M$9,2),B3342&lt;'112'!$K$9,$N3342='112'!$I$6)),"x",""))</f>
        <v/>
      </c>
      <c r="V3342" s="79" t="str">
        <f>IF(ISERROR(FIND('112'!$M$9,G3342,1)),"",IF((AND(RIGHT(G3342,2)=RIGHT('112'!$M$9,2),B3342&lt;'112'!$K$9,$O3342='112'!$I$6)),"x",""))</f>
        <v/>
      </c>
      <c r="W3342" s="79" t="str">
        <f>IF(AND('341-CT'!$H$9=H3342,OR(LEFT(N3342,3)=$W$7,LEFT(O3342,3)=$W$7)),"x","")</f>
        <v/>
      </c>
      <c r="X3342" s="79" t="str">
        <f>IF(OR(TH!N3342=TH!$X$7,O3342=TH!$X$7),"x","")</f>
        <v/>
      </c>
      <c r="Y3342" s="79" t="str">
        <f>IF(AND(OR(N3342="131",O3342="131"),H3342='131-CT'!$H$9),"x","")</f>
        <v/>
      </c>
      <c r="Z3342" s="79"/>
      <c r="AA3342" s="79" t="str">
        <f>IF(AND(MONTH(E3342)='IN-NX'!$J$5,'IN-NX'!$D$7=D3342),"x","")</f>
        <v/>
      </c>
      <c r="AB3342" s="79" t="str">
        <f>IF(AND(OR(LEFT(TH!N3342,2)="15",LEFT(TH!O3342,2)="15"),LEFT(TH!O3342,3)&lt;&gt;"111",'152-CT'!$J$8=TH!F3342),"x","")</f>
        <v/>
      </c>
      <c r="AC3342" s="79" t="str">
        <f>IF(AND(OR(LEFT(TH!N3342,2)="15",LEFT(TH!O3342,2)="15"),TK!$E$7=TH!F3342),"x","")</f>
        <v/>
      </c>
      <c r="AD3342" s="79" t="str">
        <f>IF(AND(N3342="1521",MONTH(C3342)='BK-NL'!$M$11),"x","")</f>
        <v/>
      </c>
    </row>
    <row r="3343" spans="1:30" ht="16.5" customHeight="1">
      <c r="A3343" s="318" t="str">
        <f>IF(B3343&lt;&gt;"",IF(AND(B3343='IN-TC'!$S$4,OR(TH!N3343="1111",TH!O3343="1111")),TH!D3343,""),"")</f>
        <v/>
      </c>
      <c r="B3343" s="60" t="str">
        <f t="shared" si="390"/>
        <v/>
      </c>
      <c r="C3343" s="301"/>
      <c r="D3343" s="301"/>
      <c r="E3343" s="301"/>
      <c r="F3343" s="69"/>
      <c r="G3343" s="988"/>
      <c r="H3343" s="69"/>
      <c r="I3343" s="385"/>
      <c r="J3343" s="969"/>
      <c r="K3343" s="385"/>
      <c r="L3343" s="392"/>
      <c r="M3343" s="970"/>
      <c r="N3343" s="304"/>
      <c r="O3343" s="304"/>
      <c r="P3343" s="79" t="str">
        <f>IF(AND('331-CT'!$E$7=TH!H3343,OR(N3343="331",O3343="331")),"x","")</f>
        <v/>
      </c>
      <c r="Q3343" s="79" t="str">
        <f>IF(AND(B3343='111'!$L$11,OR($N3343=$Q$7,$O3343=$Q$7)),"x","")</f>
        <v/>
      </c>
      <c r="R3343" s="79" t="str">
        <f>IF(AND($N3343=$Q$7,$B3343&lt;'111'!$L$11),"x","")</f>
        <v/>
      </c>
      <c r="S3343" s="79" t="str">
        <f>IF(AND($O3343=$Q$7,$B3343&lt;'111'!$L$11),"x","")</f>
        <v/>
      </c>
      <c r="T3343" s="79" t="str">
        <f>IF(ISERROR(FIND('112'!$M$9,G3343,1)),"",IF((AND(FIND('112'!$M$9,G3343,1)&gt;=1,B3343='112'!$K$9,OR($N3343='112'!$I$6,$O3343='112'!$I$6))),"x",""))</f>
        <v/>
      </c>
      <c r="U3343" s="79" t="str">
        <f>IF(ISERROR(FIND('112'!$M$9,G3343,1)),"",IF((AND(LEFT(G3343,2)=LEFT('112'!$M$9,2),B3343&lt;'112'!$K$9,$N3343='112'!$I$6)),"x",""))</f>
        <v/>
      </c>
      <c r="V3343" s="79" t="str">
        <f>IF(ISERROR(FIND('112'!$M$9,G3343,1)),"",IF((AND(RIGHT(G3343,2)=RIGHT('112'!$M$9,2),B3343&lt;'112'!$K$9,$O3343='112'!$I$6)),"x",""))</f>
        <v/>
      </c>
      <c r="W3343" s="79" t="str">
        <f>IF(AND('341-CT'!$H$9=H3343,OR(LEFT(N3343,3)=$W$7,LEFT(O3343,3)=$W$7)),"x","")</f>
        <v/>
      </c>
      <c r="X3343" s="79" t="str">
        <f>IF(OR(TH!N3343=TH!$X$7,O3343=TH!$X$7),"x","")</f>
        <v/>
      </c>
      <c r="Y3343" s="79" t="str">
        <f>IF(AND(OR(N3343="131",O3343="131"),H3343='131-CT'!$H$9),"x","")</f>
        <v/>
      </c>
      <c r="Z3343" s="79"/>
      <c r="AA3343" s="79" t="str">
        <f>IF(AND(MONTH(E3343)='IN-NX'!$J$5,'IN-NX'!$D$7=D3343),"x","")</f>
        <v/>
      </c>
      <c r="AB3343" s="79" t="str">
        <f>IF(AND(OR(LEFT(TH!N3343,2)="15",LEFT(TH!O3343,2)="15"),LEFT(TH!O3343,3)&lt;&gt;"111",'152-CT'!$J$8=TH!F3343),"x","")</f>
        <v/>
      </c>
      <c r="AC3343" s="79" t="str">
        <f>IF(AND(OR(LEFT(TH!N3343,2)="15",LEFT(TH!O3343,2)="15"),TK!$E$7=TH!F3343),"x","")</f>
        <v/>
      </c>
      <c r="AD3343" s="79" t="str">
        <f>IF(AND(N3343="1521",MONTH(C3343)='BK-NL'!$M$11),"x","")</f>
        <v/>
      </c>
    </row>
    <row r="3344" spans="1:30" ht="16.5" customHeight="1">
      <c r="A3344" s="318" t="str">
        <f>IF(B3344&lt;&gt;"",IF(AND(B3344='IN-TC'!$S$4,OR(TH!N3344="1111",TH!O3344="1111")),TH!D3344,""),"")</f>
        <v/>
      </c>
      <c r="B3344" s="60" t="str">
        <f t="shared" si="390"/>
        <v/>
      </c>
      <c r="C3344" s="61"/>
      <c r="D3344" s="61"/>
      <c r="E3344" s="61"/>
      <c r="F3344" s="69"/>
      <c r="G3344" s="64"/>
      <c r="H3344" s="321"/>
      <c r="I3344" s="385"/>
      <c r="J3344" s="392"/>
      <c r="K3344" s="385"/>
      <c r="L3344" s="392"/>
      <c r="M3344" s="62"/>
      <c r="N3344" s="971"/>
      <c r="O3344" s="63"/>
      <c r="P3344" s="79" t="str">
        <f>IF(AND('331-CT'!$E$7=TH!H3344,OR(N3344="331",O3344="331")),"x","")</f>
        <v/>
      </c>
      <c r="Q3344" s="79" t="str">
        <f>IF(AND(B3344='111'!$L$11,OR($N3344=$Q$7,$O3344=$Q$7)),"x","")</f>
        <v/>
      </c>
      <c r="R3344" s="79" t="str">
        <f>IF(AND($N3344=$Q$7,$B3344&lt;'111'!$L$11),"x","")</f>
        <v/>
      </c>
      <c r="S3344" s="79" t="str">
        <f>IF(AND($O3344=$Q$7,$B3344&lt;'111'!$L$11),"x","")</f>
        <v/>
      </c>
      <c r="T3344" s="79" t="str">
        <f>IF(ISERROR(FIND('112'!$M$9,G3344,1)),"",IF((AND(FIND('112'!$M$9,G3344,1)&gt;=1,B3344='112'!$K$9,OR($N3344='112'!$I$6,$O3344='112'!$I$6))),"x",""))</f>
        <v/>
      </c>
      <c r="U3344" s="79" t="str">
        <f>IF(ISERROR(FIND('112'!$M$9,G3344,1)),"",IF((AND(LEFT(G3344,2)=LEFT('112'!$M$9,2),B3344&lt;'112'!$K$9,$N3344='112'!$I$6)),"x",""))</f>
        <v/>
      </c>
      <c r="V3344" s="79" t="str">
        <f>IF(ISERROR(FIND('112'!$M$9,G3344,1)),"",IF((AND(RIGHT(G3344,2)=RIGHT('112'!$M$9,2),B3344&lt;'112'!$K$9,$O3344='112'!$I$6)),"x",""))</f>
        <v/>
      </c>
      <c r="W3344" s="79" t="str">
        <f>IF(AND('341-CT'!$H$9=H3344,OR(LEFT(N3344,3)=$W$7,LEFT(O3344,3)=$W$7)),"x","")</f>
        <v/>
      </c>
      <c r="X3344" s="79" t="str">
        <f>IF(OR(TH!N3344=TH!$X$7,O3344=TH!$X$7),"x","")</f>
        <v/>
      </c>
      <c r="Y3344" s="79" t="str">
        <f>IF(AND(OR(N3344="131",O3344="131"),H3344='131-CT'!$H$9),"x","")</f>
        <v/>
      </c>
      <c r="Z3344" s="79"/>
      <c r="AA3344" s="79" t="str">
        <f>IF(AND(MONTH(E3344)='IN-NX'!$J$5,'IN-NX'!$D$7=D3344),"x","")</f>
        <v/>
      </c>
      <c r="AB3344" s="79" t="str">
        <f>IF(AND(OR(LEFT(TH!N3344,2)="15",LEFT(TH!O3344,2)="15"),LEFT(TH!O3344,3)&lt;&gt;"111",'152-CT'!$J$8=TH!F3344),"x","")</f>
        <v/>
      </c>
      <c r="AC3344" s="79" t="str">
        <f>IF(AND(OR(LEFT(TH!N3344,2)="15",LEFT(TH!O3344,2)="15"),TK!$E$7=TH!F3344),"x","")</f>
        <v/>
      </c>
      <c r="AD3344" s="79" t="str">
        <f>IF(AND(N3344="1521",MONTH(C3344)='BK-NL'!$M$11),"x","")</f>
        <v/>
      </c>
    </row>
    <row r="3345" spans="1:30" ht="16.5" customHeight="1">
      <c r="A3345" s="318" t="str">
        <f>IF(B3345&lt;&gt;"",IF(AND(B3345='IN-TC'!$S$4,OR(TH!N3345="1111",TH!O3345="1111")),TH!D3345,""),"")</f>
        <v/>
      </c>
      <c r="B3345" s="60" t="str">
        <f t="shared" si="390"/>
        <v/>
      </c>
      <c r="C3345" s="61"/>
      <c r="D3345" s="61"/>
      <c r="E3345" s="61"/>
      <c r="F3345" s="69"/>
      <c r="G3345" s="64"/>
      <c r="H3345" s="321"/>
      <c r="I3345" s="385"/>
      <c r="J3345" s="392"/>
      <c r="K3345" s="385"/>
      <c r="L3345" s="392"/>
      <c r="M3345" s="62"/>
      <c r="N3345" s="63"/>
      <c r="O3345" s="63"/>
      <c r="P3345" s="79" t="str">
        <f>IF(AND('331-CT'!$E$7=TH!H3345,OR(N3345="331",O3345="331")),"x","")</f>
        <v/>
      </c>
      <c r="Q3345" s="79" t="str">
        <f>IF(AND(B3345='111'!$L$11,OR($N3345=$Q$7,$O3345=$Q$7)),"x","")</f>
        <v/>
      </c>
      <c r="R3345" s="79" t="str">
        <f>IF(AND($N3345=$Q$7,$B3345&lt;'111'!$L$11),"x","")</f>
        <v/>
      </c>
      <c r="S3345" s="79" t="str">
        <f>IF(AND($O3345=$Q$7,$B3345&lt;'111'!$L$11),"x","")</f>
        <v/>
      </c>
      <c r="T3345" s="79" t="str">
        <f>IF(ISERROR(FIND('112'!$M$9,G3345,1)),"",IF((AND(FIND('112'!$M$9,G3345,1)&gt;=1,B3345='112'!$K$9,OR($N3345='112'!$I$6,$O3345='112'!$I$6))),"x",""))</f>
        <v/>
      </c>
      <c r="U3345" s="79" t="str">
        <f>IF(ISERROR(FIND('112'!$M$9,G3345,1)),"",IF((AND(LEFT(G3345,2)=LEFT('112'!$M$9,2),B3345&lt;'112'!$K$9,$N3345='112'!$I$6)),"x",""))</f>
        <v/>
      </c>
      <c r="V3345" s="79" t="str">
        <f>IF(ISERROR(FIND('112'!$M$9,G3345,1)),"",IF((AND(RIGHT(G3345,2)=RIGHT('112'!$M$9,2),B3345&lt;'112'!$K$9,$O3345='112'!$I$6)),"x",""))</f>
        <v/>
      </c>
      <c r="W3345" s="79" t="str">
        <f>IF(AND('341-CT'!$H$9=H3345,OR(LEFT(N3345,3)=$W$7,LEFT(O3345,3)=$W$7)),"x","")</f>
        <v/>
      </c>
      <c r="X3345" s="79" t="str">
        <f>IF(OR(TH!N3345=TH!$X$7,O3345=TH!$X$7),"x","")</f>
        <v/>
      </c>
      <c r="Y3345" s="79" t="str">
        <f>IF(AND(OR(N3345="131",O3345="131"),H3345='131-CT'!$H$9),"x","")</f>
        <v/>
      </c>
      <c r="Z3345" s="79"/>
      <c r="AA3345" s="79" t="str">
        <f>IF(AND(MONTH(E3345)='IN-NX'!$J$5,'IN-NX'!$D$7=D3345),"x","")</f>
        <v/>
      </c>
      <c r="AB3345" s="79" t="str">
        <f>IF(AND(OR(LEFT(TH!N3345,2)="15",LEFT(TH!O3345,2)="15"),LEFT(TH!O3345,3)&lt;&gt;"111",'152-CT'!$J$8=TH!F3345),"x","")</f>
        <v/>
      </c>
      <c r="AC3345" s="79" t="str">
        <f>IF(AND(OR(LEFT(TH!N3345,2)="15",LEFT(TH!O3345,2)="15"),TK!$E$7=TH!F3345),"x","")</f>
        <v/>
      </c>
      <c r="AD3345" s="79" t="str">
        <f>IF(AND(N3345="1521",MONTH(C3345)='BK-NL'!$M$11),"x","")</f>
        <v/>
      </c>
    </row>
    <row r="3346" spans="1:30" ht="16.5" customHeight="1">
      <c r="A3346" s="318" t="str">
        <f>IF(B3346&lt;&gt;"",IF(AND(B3346='IN-TC'!$S$4,OR(TH!N3346="1111",TH!O3346="1111")),TH!D3346,""),"")</f>
        <v/>
      </c>
      <c r="B3346" s="60" t="str">
        <f t="shared" si="390"/>
        <v/>
      </c>
      <c r="C3346" s="301"/>
      <c r="D3346" s="301"/>
      <c r="E3346" s="301"/>
      <c r="F3346" s="69"/>
      <c r="G3346" s="988"/>
      <c r="H3346" s="69"/>
      <c r="I3346" s="385"/>
      <c r="J3346" s="969"/>
      <c r="K3346" s="385"/>
      <c r="L3346" s="392"/>
      <c r="M3346" s="970"/>
      <c r="N3346" s="304"/>
      <c r="O3346" s="304"/>
      <c r="P3346" s="79" t="str">
        <f>IF(AND('331-CT'!$E$7=TH!H3346,OR(N3346="331",O3346="331")),"x","")</f>
        <v/>
      </c>
      <c r="Q3346" s="79" t="str">
        <f>IF(AND(B3346='111'!$L$11,OR($N3346=$Q$7,$O3346=$Q$7)),"x","")</f>
        <v/>
      </c>
      <c r="R3346" s="79" t="str">
        <f>IF(AND($N3346=$Q$7,$B3346&lt;'111'!$L$11),"x","")</f>
        <v/>
      </c>
      <c r="S3346" s="79" t="str">
        <f>IF(AND($O3346=$Q$7,$B3346&lt;'111'!$L$11),"x","")</f>
        <v/>
      </c>
      <c r="T3346" s="79" t="str">
        <f>IF(ISERROR(FIND('112'!$M$9,G3346,1)),"",IF((AND(FIND('112'!$M$9,G3346,1)&gt;=1,B3346='112'!$K$9,OR($N3346='112'!$I$6,$O3346='112'!$I$6))),"x",""))</f>
        <v/>
      </c>
      <c r="U3346" s="79" t="str">
        <f>IF(ISERROR(FIND('112'!$M$9,G3346,1)),"",IF((AND(LEFT(G3346,2)=LEFT('112'!$M$9,2),B3346&lt;'112'!$K$9,$N3346='112'!$I$6)),"x",""))</f>
        <v/>
      </c>
      <c r="V3346" s="79" t="str">
        <f>IF(ISERROR(FIND('112'!$M$9,G3346,1)),"",IF((AND(RIGHT(G3346,2)=RIGHT('112'!$M$9,2),B3346&lt;'112'!$K$9,$O3346='112'!$I$6)),"x",""))</f>
        <v/>
      </c>
      <c r="W3346" s="79" t="str">
        <f>IF(AND('341-CT'!$H$9=H3346,OR(LEFT(N3346,3)=$W$7,LEFT(O3346,3)=$W$7)),"x","")</f>
        <v/>
      </c>
      <c r="X3346" s="79" t="str">
        <f>IF(OR(TH!N3346=TH!$X$7,O3346=TH!$X$7),"x","")</f>
        <v/>
      </c>
      <c r="Y3346" s="79" t="str">
        <f>IF(AND(OR(N3346="131",O3346="131"),H3346='131-CT'!$H$9),"x","")</f>
        <v/>
      </c>
      <c r="Z3346" s="79"/>
      <c r="AA3346" s="79" t="str">
        <f>IF(AND(MONTH(E3346)='IN-NX'!$J$5,'IN-NX'!$D$7=D3346),"x","")</f>
        <v/>
      </c>
      <c r="AB3346" s="79" t="str">
        <f>IF(AND(OR(LEFT(TH!N3346,2)="15",LEFT(TH!O3346,2)="15"),LEFT(TH!O3346,3)&lt;&gt;"111",'152-CT'!$J$8=TH!F3346),"x","")</f>
        <v/>
      </c>
      <c r="AC3346" s="79" t="str">
        <f>IF(AND(OR(LEFT(TH!N3346,2)="15",LEFT(TH!O3346,2)="15"),TK!$E$7=TH!F3346),"x","")</f>
        <v/>
      </c>
      <c r="AD3346" s="79" t="str">
        <f>IF(AND(N3346="1521",MONTH(C3346)='BK-NL'!$M$11),"x","")</f>
        <v/>
      </c>
    </row>
    <row r="3347" spans="1:30" ht="16.5" customHeight="1">
      <c r="A3347" s="318" t="str">
        <f>IF(B3347&lt;&gt;"",IF(AND(B3347='IN-TC'!$S$4,OR(TH!N3347="1111",TH!O3347="1111")),TH!D3347,""),"")</f>
        <v/>
      </c>
      <c r="B3347" s="60" t="str">
        <f t="shared" si="390"/>
        <v/>
      </c>
      <c r="C3347" s="301"/>
      <c r="D3347" s="301"/>
      <c r="E3347" s="301"/>
      <c r="F3347" s="69"/>
      <c r="G3347" s="988"/>
      <c r="H3347" s="69"/>
      <c r="I3347" s="385"/>
      <c r="J3347" s="969"/>
      <c r="K3347" s="385"/>
      <c r="L3347" s="392"/>
      <c r="M3347" s="970"/>
      <c r="N3347" s="304"/>
      <c r="O3347" s="304"/>
      <c r="P3347" s="79" t="str">
        <f>IF(AND('331-CT'!$E$7=TH!H3347,OR(N3347="331",O3347="331")),"x","")</f>
        <v/>
      </c>
      <c r="Q3347" s="79" t="str">
        <f>IF(AND(B3347='111'!$L$11,OR($N3347=$Q$7,$O3347=$Q$7)),"x","")</f>
        <v/>
      </c>
      <c r="R3347" s="79" t="str">
        <f>IF(AND($N3347=$Q$7,$B3347&lt;'111'!$L$11),"x","")</f>
        <v/>
      </c>
      <c r="S3347" s="79" t="str">
        <f>IF(AND($O3347=$Q$7,$B3347&lt;'111'!$L$11),"x","")</f>
        <v/>
      </c>
      <c r="T3347" s="79" t="str">
        <f>IF(ISERROR(FIND('112'!$M$9,G3347,1)),"",IF((AND(FIND('112'!$M$9,G3347,1)&gt;=1,B3347='112'!$K$9,OR($N3347='112'!$I$6,$O3347='112'!$I$6))),"x",""))</f>
        <v/>
      </c>
      <c r="U3347" s="79" t="str">
        <f>IF(ISERROR(FIND('112'!$M$9,G3347,1)),"",IF((AND(LEFT(G3347,2)=LEFT('112'!$M$9,2),B3347&lt;'112'!$K$9,$N3347='112'!$I$6)),"x",""))</f>
        <v/>
      </c>
      <c r="V3347" s="79" t="str">
        <f>IF(ISERROR(FIND('112'!$M$9,G3347,1)),"",IF((AND(RIGHT(G3347,2)=RIGHT('112'!$M$9,2),B3347&lt;'112'!$K$9,$O3347='112'!$I$6)),"x",""))</f>
        <v/>
      </c>
      <c r="W3347" s="79" t="str">
        <f>IF(AND('341-CT'!$H$9=H3347,OR(LEFT(N3347,3)=$W$7,LEFT(O3347,3)=$W$7)),"x","")</f>
        <v/>
      </c>
      <c r="X3347" s="79" t="str">
        <f>IF(OR(TH!N3347=TH!$X$7,O3347=TH!$X$7),"x","")</f>
        <v/>
      </c>
      <c r="Y3347" s="79" t="str">
        <f>IF(AND(OR(N3347="131",O3347="131"),H3347='131-CT'!$H$9),"x","")</f>
        <v/>
      </c>
      <c r="Z3347" s="79"/>
      <c r="AA3347" s="79" t="str">
        <f>IF(AND(MONTH(E3347)='IN-NX'!$J$5,'IN-NX'!$D$7=D3347),"x","")</f>
        <v/>
      </c>
      <c r="AB3347" s="79" t="str">
        <f>IF(AND(OR(LEFT(TH!N3347,2)="15",LEFT(TH!O3347,2)="15"),LEFT(TH!O3347,3)&lt;&gt;"111",'152-CT'!$J$8=TH!F3347),"x","")</f>
        <v/>
      </c>
      <c r="AC3347" s="79" t="str">
        <f>IF(AND(OR(LEFT(TH!N3347,2)="15",LEFT(TH!O3347,2)="15"),TK!$E$7=TH!F3347),"x","")</f>
        <v/>
      </c>
      <c r="AD3347" s="79" t="str">
        <f>IF(AND(N3347="1521",MONTH(C3347)='BK-NL'!$M$11),"x","")</f>
        <v/>
      </c>
    </row>
    <row r="3348" spans="1:30" ht="16.5" customHeight="1">
      <c r="A3348" s="318" t="str">
        <f>IF(B3348&lt;&gt;"",IF(AND(B3348='IN-TC'!$S$4,OR(TH!N3348="1111",TH!O3348="1111")),TH!D3348,""),"")</f>
        <v/>
      </c>
      <c r="B3348" s="60" t="str">
        <f t="shared" ref="B3348:B3411" si="391">IF(C3348&lt;&gt;"",MONTH(C3348),"")</f>
        <v/>
      </c>
      <c r="C3348" s="301"/>
      <c r="D3348" s="301"/>
      <c r="E3348" s="301"/>
      <c r="F3348" s="69"/>
      <c r="G3348" s="988"/>
      <c r="H3348" s="69"/>
      <c r="I3348" s="385"/>
      <c r="J3348" s="969"/>
      <c r="K3348" s="385"/>
      <c r="L3348" s="392"/>
      <c r="M3348" s="970"/>
      <c r="N3348" s="304"/>
      <c r="O3348" s="304"/>
      <c r="P3348" s="79" t="str">
        <f>IF(AND('331-CT'!$E$7=TH!H3348,OR(N3348="331",O3348="331")),"x","")</f>
        <v/>
      </c>
      <c r="Q3348" s="79" t="str">
        <f>IF(AND(B3348='111'!$L$11,OR($N3348=$Q$7,$O3348=$Q$7)),"x","")</f>
        <v/>
      </c>
      <c r="R3348" s="79" t="str">
        <f>IF(AND($N3348=$Q$7,$B3348&lt;'111'!$L$11),"x","")</f>
        <v/>
      </c>
      <c r="S3348" s="79" t="str">
        <f>IF(AND($O3348=$Q$7,$B3348&lt;'111'!$L$11),"x","")</f>
        <v/>
      </c>
      <c r="T3348" s="79" t="str">
        <f>IF(ISERROR(FIND('112'!$M$9,G3348,1)),"",IF((AND(FIND('112'!$M$9,G3348,1)&gt;=1,B3348='112'!$K$9,OR($N3348='112'!$I$6,$O3348='112'!$I$6))),"x",""))</f>
        <v/>
      </c>
      <c r="U3348" s="79" t="str">
        <f>IF(ISERROR(FIND('112'!$M$9,G3348,1)),"",IF((AND(LEFT(G3348,2)=LEFT('112'!$M$9,2),B3348&lt;'112'!$K$9,$N3348='112'!$I$6)),"x",""))</f>
        <v/>
      </c>
      <c r="V3348" s="79" t="str">
        <f>IF(ISERROR(FIND('112'!$M$9,G3348,1)),"",IF((AND(RIGHT(G3348,2)=RIGHT('112'!$M$9,2),B3348&lt;'112'!$K$9,$O3348='112'!$I$6)),"x",""))</f>
        <v/>
      </c>
      <c r="W3348" s="79" t="str">
        <f>IF(AND('341-CT'!$H$9=H3348,OR(LEFT(N3348,3)=$W$7,LEFT(O3348,3)=$W$7)),"x","")</f>
        <v/>
      </c>
      <c r="X3348" s="79" t="str">
        <f>IF(OR(TH!N3348=TH!$X$7,O3348=TH!$X$7),"x","")</f>
        <v/>
      </c>
      <c r="Y3348" s="79" t="str">
        <f>IF(AND(OR(N3348="131",O3348="131"),H3348='131-CT'!$H$9),"x","")</f>
        <v/>
      </c>
      <c r="Z3348" s="79"/>
      <c r="AA3348" s="79" t="str">
        <f>IF(AND(MONTH(E3348)='IN-NX'!$J$5,'IN-NX'!$D$7=D3348),"x","")</f>
        <v/>
      </c>
      <c r="AB3348" s="79" t="str">
        <f>IF(AND(OR(LEFT(TH!N3348,2)="15",LEFT(TH!O3348,2)="15"),LEFT(TH!O3348,3)&lt;&gt;"111",'152-CT'!$J$8=TH!F3348),"x","")</f>
        <v/>
      </c>
      <c r="AC3348" s="79" t="str">
        <f>IF(AND(OR(LEFT(TH!N3348,2)="15",LEFT(TH!O3348,2)="15"),TK!$E$7=TH!F3348),"x","")</f>
        <v/>
      </c>
      <c r="AD3348" s="79" t="str">
        <f>IF(AND(N3348="1521",MONTH(C3348)='BK-NL'!$M$11),"x","")</f>
        <v/>
      </c>
    </row>
    <row r="3349" spans="1:30" ht="16.5" customHeight="1">
      <c r="A3349" s="318" t="str">
        <f>IF(B3349&lt;&gt;"",IF(AND(B3349='IN-TC'!$S$4,OR(TH!N3349="1111",TH!O3349="1111")),TH!D3349,""),"")</f>
        <v/>
      </c>
      <c r="B3349" s="60" t="str">
        <f t="shared" si="391"/>
        <v/>
      </c>
      <c r="C3349" s="61"/>
      <c r="D3349" s="61"/>
      <c r="E3349" s="61"/>
      <c r="F3349" s="69"/>
      <c r="G3349" s="64"/>
      <c r="H3349" s="321"/>
      <c r="I3349" s="385"/>
      <c r="J3349" s="392"/>
      <c r="K3349" s="385"/>
      <c r="L3349" s="392"/>
      <c r="M3349" s="62"/>
      <c r="N3349" s="63"/>
      <c r="O3349" s="63"/>
      <c r="P3349" s="79" t="str">
        <f>IF(AND('331-CT'!$E$7=TH!H3349,OR(N3349="331",O3349="331")),"x","")</f>
        <v/>
      </c>
      <c r="Q3349" s="79" t="str">
        <f>IF(AND(B3349='111'!$L$11,OR($N3349=$Q$7,$O3349=$Q$7)),"x","")</f>
        <v/>
      </c>
      <c r="R3349" s="79" t="str">
        <f>IF(AND($N3349=$Q$7,$B3349&lt;'111'!$L$11),"x","")</f>
        <v/>
      </c>
      <c r="S3349" s="79" t="str">
        <f>IF(AND($O3349=$Q$7,$B3349&lt;'111'!$L$11),"x","")</f>
        <v/>
      </c>
      <c r="T3349" s="79" t="str">
        <f>IF(ISERROR(FIND('112'!$M$9,G3349,1)),"",IF((AND(FIND('112'!$M$9,G3349,1)&gt;=1,B3349='112'!$K$9,OR($N3349='112'!$I$6,$O3349='112'!$I$6))),"x",""))</f>
        <v/>
      </c>
      <c r="U3349" s="79" t="str">
        <f>IF(ISERROR(FIND('112'!$M$9,G3349,1)),"",IF((AND(LEFT(G3349,2)=LEFT('112'!$M$9,2),B3349&lt;'112'!$K$9,$N3349='112'!$I$6)),"x",""))</f>
        <v/>
      </c>
      <c r="V3349" s="79" t="str">
        <f>IF(ISERROR(FIND('112'!$M$9,G3349,1)),"",IF((AND(RIGHT(G3349,2)=RIGHT('112'!$M$9,2),B3349&lt;'112'!$K$9,$O3349='112'!$I$6)),"x",""))</f>
        <v/>
      </c>
      <c r="W3349" s="79" t="str">
        <f>IF(AND('341-CT'!$H$9=H3349,OR(LEFT(N3349,3)=$W$7,LEFT(O3349,3)=$W$7)),"x","")</f>
        <v/>
      </c>
      <c r="X3349" s="79" t="str">
        <f>IF(OR(TH!N3349=TH!$X$7,O3349=TH!$X$7),"x","")</f>
        <v/>
      </c>
      <c r="Y3349" s="79" t="str">
        <f>IF(AND(OR(N3349="131",O3349="131"),H3349='131-CT'!$H$9),"x","")</f>
        <v/>
      </c>
      <c r="Z3349" s="79"/>
      <c r="AA3349" s="79" t="str">
        <f>IF(AND(MONTH(E3349)='IN-NX'!$J$5,'IN-NX'!$D$7=D3349),"x","")</f>
        <v/>
      </c>
      <c r="AB3349" s="79" t="str">
        <f>IF(AND(OR(LEFT(TH!N3349,2)="15",LEFT(TH!O3349,2)="15"),LEFT(TH!O3349,3)&lt;&gt;"111",'152-CT'!$J$8=TH!F3349),"x","")</f>
        <v/>
      </c>
      <c r="AC3349" s="79" t="str">
        <f>IF(AND(OR(LEFT(TH!N3349,2)="15",LEFT(TH!O3349,2)="15"),TK!$E$7=TH!F3349),"x","")</f>
        <v/>
      </c>
      <c r="AD3349" s="79" t="str">
        <f>IF(AND(N3349="1521",MONTH(C3349)='BK-NL'!$M$11),"x","")</f>
        <v/>
      </c>
    </row>
    <row r="3350" spans="1:30" ht="16.5" customHeight="1">
      <c r="A3350" s="318" t="str">
        <f>IF(B3350&lt;&gt;"",IF(AND(B3350='IN-TC'!$S$4,OR(TH!N3350="1111",TH!O3350="1111")),TH!D3350,""),"")</f>
        <v/>
      </c>
      <c r="B3350" s="60" t="str">
        <f t="shared" si="391"/>
        <v/>
      </c>
      <c r="C3350" s="61"/>
      <c r="D3350" s="61"/>
      <c r="E3350" s="61"/>
      <c r="F3350" s="69"/>
      <c r="G3350" s="64"/>
      <c r="H3350" s="321"/>
      <c r="I3350" s="385"/>
      <c r="J3350" s="392"/>
      <c r="K3350" s="385"/>
      <c r="L3350" s="392"/>
      <c r="M3350" s="62"/>
      <c r="N3350" s="63"/>
      <c r="O3350" s="63"/>
      <c r="P3350" s="79" t="str">
        <f>IF(AND('331-CT'!$E$7=TH!H3350,OR(N3350="331",O3350="331")),"x","")</f>
        <v/>
      </c>
      <c r="Q3350" s="79" t="str">
        <f>IF(AND(B3350='111'!$L$11,OR($N3350=$Q$7,$O3350=$Q$7)),"x","")</f>
        <v/>
      </c>
      <c r="R3350" s="79" t="str">
        <f>IF(AND($N3350=$Q$7,$B3350&lt;'111'!$L$11),"x","")</f>
        <v/>
      </c>
      <c r="S3350" s="79" t="str">
        <f>IF(AND($O3350=$Q$7,$B3350&lt;'111'!$L$11),"x","")</f>
        <v/>
      </c>
      <c r="T3350" s="79" t="str">
        <f>IF(ISERROR(FIND('112'!$M$9,G3350,1)),"",IF((AND(FIND('112'!$M$9,G3350,1)&gt;=1,B3350='112'!$K$9,OR($N3350='112'!$I$6,$O3350='112'!$I$6))),"x",""))</f>
        <v/>
      </c>
      <c r="U3350" s="79" t="str">
        <f>IF(ISERROR(FIND('112'!$M$9,G3350,1)),"",IF((AND(LEFT(G3350,2)=LEFT('112'!$M$9,2),B3350&lt;'112'!$K$9,$N3350='112'!$I$6)),"x",""))</f>
        <v/>
      </c>
      <c r="V3350" s="79" t="str">
        <f>IF(ISERROR(FIND('112'!$M$9,G3350,1)),"",IF((AND(RIGHT(G3350,2)=RIGHT('112'!$M$9,2),B3350&lt;'112'!$K$9,$O3350='112'!$I$6)),"x",""))</f>
        <v/>
      </c>
      <c r="W3350" s="79" t="str">
        <f>IF(AND('341-CT'!$H$9=H3350,OR(LEFT(N3350,3)=$W$7,LEFT(O3350,3)=$W$7)),"x","")</f>
        <v/>
      </c>
      <c r="X3350" s="79" t="str">
        <f>IF(OR(TH!N3350=TH!$X$7,O3350=TH!$X$7),"x","")</f>
        <v/>
      </c>
      <c r="Y3350" s="79" t="str">
        <f>IF(AND(OR(N3350="131",O3350="131"),H3350='131-CT'!$H$9),"x","")</f>
        <v/>
      </c>
      <c r="Z3350" s="79"/>
      <c r="AA3350" s="79" t="str">
        <f>IF(AND(MONTH(E3350)='IN-NX'!$J$5,'IN-NX'!$D$7=D3350),"x","")</f>
        <v/>
      </c>
      <c r="AB3350" s="79" t="str">
        <f>IF(AND(OR(LEFT(TH!N3350,2)="15",LEFT(TH!O3350,2)="15"),LEFT(TH!O3350,3)&lt;&gt;"111",'152-CT'!$J$8=TH!F3350),"x","")</f>
        <v/>
      </c>
      <c r="AC3350" s="79" t="str">
        <f>IF(AND(OR(LEFT(TH!N3350,2)="15",LEFT(TH!O3350,2)="15"),TK!$E$7=TH!F3350),"x","")</f>
        <v/>
      </c>
      <c r="AD3350" s="79" t="str">
        <f>IF(AND(N3350="1521",MONTH(C3350)='BK-NL'!$M$11),"x","")</f>
        <v/>
      </c>
    </row>
    <row r="3351" spans="1:30" ht="16.5" customHeight="1">
      <c r="A3351" s="318" t="str">
        <f>IF(B3351&lt;&gt;"",IF(AND(B3351='IN-TC'!$S$4,OR(TH!N3351="1111",TH!O3351="1111")),TH!D3351,""),"")</f>
        <v/>
      </c>
      <c r="B3351" s="60" t="str">
        <f t="shared" si="391"/>
        <v/>
      </c>
      <c r="C3351" s="61"/>
      <c r="D3351" s="61"/>
      <c r="E3351" s="61"/>
      <c r="F3351" s="69"/>
      <c r="G3351" s="64"/>
      <c r="H3351" s="321"/>
      <c r="I3351" s="385"/>
      <c r="J3351" s="392"/>
      <c r="K3351" s="385"/>
      <c r="L3351" s="392"/>
      <c r="M3351" s="62"/>
      <c r="N3351" s="63"/>
      <c r="O3351" s="63"/>
      <c r="P3351" s="79" t="str">
        <f>IF(AND('331-CT'!$E$7=TH!H3351,OR(N3351="331",O3351="331")),"x","")</f>
        <v/>
      </c>
      <c r="Q3351" s="79" t="str">
        <f>IF(AND(B3351='111'!$L$11,OR($N3351=$Q$7,$O3351=$Q$7)),"x","")</f>
        <v/>
      </c>
      <c r="R3351" s="79" t="str">
        <f>IF(AND($N3351=$Q$7,$B3351&lt;'111'!$L$11),"x","")</f>
        <v/>
      </c>
      <c r="S3351" s="79" t="str">
        <f>IF(AND($O3351=$Q$7,$B3351&lt;'111'!$L$11),"x","")</f>
        <v/>
      </c>
      <c r="T3351" s="79" t="str">
        <f>IF(ISERROR(FIND('112'!$M$9,G3351,1)),"",IF((AND(FIND('112'!$M$9,G3351,1)&gt;=1,B3351='112'!$K$9,OR($N3351='112'!$I$6,$O3351='112'!$I$6))),"x",""))</f>
        <v/>
      </c>
      <c r="U3351" s="79" t="str">
        <f>IF(ISERROR(FIND('112'!$M$9,G3351,1)),"",IF((AND(LEFT(G3351,2)=LEFT('112'!$M$9,2),B3351&lt;'112'!$K$9,$N3351='112'!$I$6)),"x",""))</f>
        <v/>
      </c>
      <c r="V3351" s="79" t="str">
        <f>IF(ISERROR(FIND('112'!$M$9,G3351,1)),"",IF((AND(RIGHT(G3351,2)=RIGHT('112'!$M$9,2),B3351&lt;'112'!$K$9,$O3351='112'!$I$6)),"x",""))</f>
        <v/>
      </c>
      <c r="W3351" s="79" t="str">
        <f>IF(AND('341-CT'!$H$9=H3351,OR(LEFT(N3351,3)=$W$7,LEFT(O3351,3)=$W$7)),"x","")</f>
        <v/>
      </c>
      <c r="X3351" s="79" t="str">
        <f>IF(OR(TH!N3351=TH!$X$7,O3351=TH!$X$7),"x","")</f>
        <v/>
      </c>
      <c r="Y3351" s="79" t="str">
        <f>IF(AND(OR(N3351="131",O3351="131"),H3351='131-CT'!$H$9),"x","")</f>
        <v/>
      </c>
      <c r="Z3351" s="79"/>
      <c r="AA3351" s="79" t="str">
        <f>IF(AND(MONTH(E3351)='IN-NX'!$J$5,'IN-NX'!$D$7=D3351),"x","")</f>
        <v/>
      </c>
      <c r="AB3351" s="79" t="str">
        <f>IF(AND(OR(LEFT(TH!N3351,2)="15",LEFT(TH!O3351,2)="15"),LEFT(TH!O3351,3)&lt;&gt;"111",'152-CT'!$J$8=TH!F3351),"x","")</f>
        <v/>
      </c>
      <c r="AC3351" s="79" t="str">
        <f>IF(AND(OR(LEFT(TH!N3351,2)="15",LEFT(TH!O3351,2)="15"),TK!$E$7=TH!F3351),"x","")</f>
        <v/>
      </c>
      <c r="AD3351" s="79" t="str">
        <f>IF(AND(N3351="1521",MONTH(C3351)='BK-NL'!$M$11),"x","")</f>
        <v/>
      </c>
    </row>
    <row r="3352" spans="1:30" ht="16.5" customHeight="1">
      <c r="A3352" s="318" t="str">
        <f>IF(B3352&lt;&gt;"",IF(AND(B3352='IN-TC'!$S$4,OR(TH!N3352="1111",TH!O3352="1111")),TH!D3352,""),"")</f>
        <v/>
      </c>
      <c r="B3352" s="60" t="str">
        <f t="shared" si="391"/>
        <v/>
      </c>
      <c r="C3352" s="61"/>
      <c r="D3352" s="61"/>
      <c r="E3352" s="61"/>
      <c r="F3352" s="69"/>
      <c r="G3352" s="64"/>
      <c r="H3352" s="321"/>
      <c r="I3352" s="385"/>
      <c r="J3352" s="392"/>
      <c r="K3352" s="385"/>
      <c r="L3352" s="392"/>
      <c r="M3352" s="62"/>
      <c r="N3352" s="63"/>
      <c r="O3352" s="63"/>
      <c r="P3352" s="79" t="str">
        <f>IF(AND('331-CT'!$E$7=TH!H3352,OR(N3352="331",O3352="331")),"x","")</f>
        <v/>
      </c>
      <c r="Q3352" s="79" t="str">
        <f>IF(AND(B3352='111'!$L$11,OR($N3352=$Q$7,$O3352=$Q$7)),"x","")</f>
        <v/>
      </c>
      <c r="R3352" s="79" t="str">
        <f>IF(AND($N3352=$Q$7,$B3352&lt;'111'!$L$11),"x","")</f>
        <v/>
      </c>
      <c r="S3352" s="79" t="str">
        <f>IF(AND($O3352=$Q$7,$B3352&lt;'111'!$L$11),"x","")</f>
        <v/>
      </c>
      <c r="T3352" s="79" t="str">
        <f>IF(ISERROR(FIND('112'!$M$9,G3352,1)),"",IF((AND(FIND('112'!$M$9,G3352,1)&gt;=1,B3352='112'!$K$9,OR($N3352='112'!$I$6,$O3352='112'!$I$6))),"x",""))</f>
        <v/>
      </c>
      <c r="U3352" s="79" t="str">
        <f>IF(ISERROR(FIND('112'!$M$9,G3352,1)),"",IF((AND(LEFT(G3352,2)=LEFT('112'!$M$9,2),B3352&lt;'112'!$K$9,$N3352='112'!$I$6)),"x",""))</f>
        <v/>
      </c>
      <c r="V3352" s="79" t="str">
        <f>IF(ISERROR(FIND('112'!$M$9,G3352,1)),"",IF((AND(RIGHT(G3352,2)=RIGHT('112'!$M$9,2),B3352&lt;'112'!$K$9,$O3352='112'!$I$6)),"x",""))</f>
        <v/>
      </c>
      <c r="W3352" s="79" t="str">
        <f>IF(AND('341-CT'!$H$9=H3352,OR(LEFT(N3352,3)=$W$7,LEFT(O3352,3)=$W$7)),"x","")</f>
        <v/>
      </c>
      <c r="X3352" s="79" t="str">
        <f>IF(OR(TH!N3352=TH!$X$7,O3352=TH!$X$7),"x","")</f>
        <v/>
      </c>
      <c r="Y3352" s="79" t="str">
        <f>IF(AND(OR(N3352="131",O3352="131"),H3352='131-CT'!$H$9),"x","")</f>
        <v/>
      </c>
      <c r="Z3352" s="79"/>
      <c r="AA3352" s="79" t="str">
        <f>IF(AND(MONTH(E3352)='IN-NX'!$J$5,'IN-NX'!$D$7=D3352),"x","")</f>
        <v/>
      </c>
      <c r="AB3352" s="79" t="str">
        <f>IF(AND(OR(LEFT(TH!N3352,2)="15",LEFT(TH!O3352,2)="15"),LEFT(TH!O3352,3)&lt;&gt;"111",'152-CT'!$J$8=TH!F3352),"x","")</f>
        <v/>
      </c>
      <c r="AC3352" s="79" t="str">
        <f>IF(AND(OR(LEFT(TH!N3352,2)="15",LEFT(TH!O3352,2)="15"),TK!$E$7=TH!F3352),"x","")</f>
        <v/>
      </c>
      <c r="AD3352" s="79" t="str">
        <f>IF(AND(N3352="1521",MONTH(C3352)='BK-NL'!$M$11),"x","")</f>
        <v/>
      </c>
    </row>
    <row r="3353" spans="1:30" ht="16.5" customHeight="1">
      <c r="A3353" s="318" t="str">
        <f>IF(B3353&lt;&gt;"",IF(AND(B3353='IN-TC'!$S$4,OR(TH!N3353="1111",TH!O3353="1111")),TH!D3353,""),"")</f>
        <v/>
      </c>
      <c r="B3353" s="60" t="str">
        <f t="shared" si="391"/>
        <v/>
      </c>
      <c r="C3353" s="61"/>
      <c r="D3353" s="61"/>
      <c r="E3353" s="61"/>
      <c r="F3353" s="69"/>
      <c r="G3353" s="64"/>
      <c r="H3353" s="321"/>
      <c r="I3353" s="385"/>
      <c r="J3353" s="392"/>
      <c r="K3353" s="385"/>
      <c r="L3353" s="392"/>
      <c r="M3353" s="62"/>
      <c r="N3353" s="63"/>
      <c r="O3353" s="63"/>
      <c r="P3353" s="79" t="str">
        <f>IF(AND('331-CT'!$E$7=TH!H3353,OR(N3353="331",O3353="331")),"x","")</f>
        <v/>
      </c>
      <c r="Q3353" s="79" t="str">
        <f>IF(AND(B3353='111'!$L$11,OR($N3353=$Q$7,$O3353=$Q$7)),"x","")</f>
        <v/>
      </c>
      <c r="R3353" s="79" t="str">
        <f>IF(AND($N3353=$Q$7,$B3353&lt;'111'!$L$11),"x","")</f>
        <v/>
      </c>
      <c r="S3353" s="79" t="str">
        <f>IF(AND($O3353=$Q$7,$B3353&lt;'111'!$L$11),"x","")</f>
        <v/>
      </c>
      <c r="T3353" s="79" t="str">
        <f>IF(ISERROR(FIND('112'!$M$9,G3353,1)),"",IF((AND(FIND('112'!$M$9,G3353,1)&gt;=1,B3353='112'!$K$9,OR($N3353='112'!$I$6,$O3353='112'!$I$6))),"x",""))</f>
        <v/>
      </c>
      <c r="U3353" s="79" t="str">
        <f>IF(ISERROR(FIND('112'!$M$9,G3353,1)),"",IF((AND(LEFT(G3353,2)=LEFT('112'!$M$9,2),B3353&lt;'112'!$K$9,$N3353='112'!$I$6)),"x",""))</f>
        <v/>
      </c>
      <c r="V3353" s="79" t="str">
        <f>IF(ISERROR(FIND('112'!$M$9,G3353,1)),"",IF((AND(RIGHT(G3353,2)=RIGHT('112'!$M$9,2),B3353&lt;'112'!$K$9,$O3353='112'!$I$6)),"x",""))</f>
        <v/>
      </c>
      <c r="W3353" s="79" t="str">
        <f>IF(AND('341-CT'!$H$9=H3353,OR(LEFT(N3353,3)=$W$7,LEFT(O3353,3)=$W$7)),"x","")</f>
        <v/>
      </c>
      <c r="X3353" s="79" t="str">
        <f>IF(OR(TH!N3353=TH!$X$7,O3353=TH!$X$7),"x","")</f>
        <v/>
      </c>
      <c r="Y3353" s="79" t="str">
        <f>IF(AND(OR(N3353="131",O3353="131"),H3353='131-CT'!$H$9),"x","")</f>
        <v/>
      </c>
      <c r="Z3353" s="79"/>
      <c r="AA3353" s="79" t="str">
        <f>IF(AND(MONTH(E3353)='IN-NX'!$J$5,'IN-NX'!$D$7=D3353),"x","")</f>
        <v/>
      </c>
      <c r="AB3353" s="79" t="str">
        <f>IF(AND(OR(LEFT(TH!N3353,2)="15",LEFT(TH!O3353,2)="15"),LEFT(TH!O3353,3)&lt;&gt;"111",'152-CT'!$J$8=TH!F3353),"x","")</f>
        <v/>
      </c>
      <c r="AC3353" s="79" t="str">
        <f>IF(AND(OR(LEFT(TH!N3353,2)="15",LEFT(TH!O3353,2)="15"),TK!$E$7=TH!F3353),"x","")</f>
        <v/>
      </c>
      <c r="AD3353" s="79" t="str">
        <f>IF(AND(N3353="1521",MONTH(C3353)='BK-NL'!$M$11),"x","")</f>
        <v/>
      </c>
    </row>
    <row r="3354" spans="1:30" ht="16.5" customHeight="1">
      <c r="A3354" s="318" t="str">
        <f>IF(B3354&lt;&gt;"",IF(AND(B3354='IN-TC'!$S$4,OR(TH!N3354="1111",TH!O3354="1111")),TH!D3354,""),"")</f>
        <v/>
      </c>
      <c r="B3354" s="60" t="str">
        <f t="shared" si="391"/>
        <v/>
      </c>
      <c r="C3354" s="61"/>
      <c r="D3354" s="61"/>
      <c r="E3354" s="61"/>
      <c r="F3354" s="69"/>
      <c r="G3354" s="64"/>
      <c r="H3354" s="321"/>
      <c r="I3354" s="385"/>
      <c r="J3354" s="392"/>
      <c r="K3354" s="385"/>
      <c r="L3354" s="392"/>
      <c r="M3354" s="62"/>
      <c r="N3354" s="63"/>
      <c r="O3354" s="63"/>
      <c r="P3354" s="79" t="str">
        <f>IF(AND('331-CT'!$E$7=TH!H3354,OR(N3354="331",O3354="331")),"x","")</f>
        <v/>
      </c>
      <c r="Q3354" s="79" t="str">
        <f>IF(AND(B3354='111'!$L$11,OR($N3354=$Q$7,$O3354=$Q$7)),"x","")</f>
        <v/>
      </c>
      <c r="R3354" s="79" t="str">
        <f>IF(AND($N3354=$Q$7,$B3354&lt;'111'!$L$11),"x","")</f>
        <v/>
      </c>
      <c r="S3354" s="79" t="str">
        <f>IF(AND($O3354=$Q$7,$B3354&lt;'111'!$L$11),"x","")</f>
        <v/>
      </c>
      <c r="T3354" s="79" t="str">
        <f>IF(ISERROR(FIND('112'!$M$9,G3354,1)),"",IF((AND(FIND('112'!$M$9,G3354,1)&gt;=1,B3354='112'!$K$9,OR($N3354='112'!$I$6,$O3354='112'!$I$6))),"x",""))</f>
        <v/>
      </c>
      <c r="U3354" s="79" t="str">
        <f>IF(ISERROR(FIND('112'!$M$9,G3354,1)),"",IF((AND(LEFT(G3354,2)=LEFT('112'!$M$9,2),B3354&lt;'112'!$K$9,$N3354='112'!$I$6)),"x",""))</f>
        <v/>
      </c>
      <c r="V3354" s="79" t="str">
        <f>IF(ISERROR(FIND('112'!$M$9,G3354,1)),"",IF((AND(RIGHT(G3354,2)=RIGHT('112'!$M$9,2),B3354&lt;'112'!$K$9,$O3354='112'!$I$6)),"x",""))</f>
        <v/>
      </c>
      <c r="W3354" s="79" t="str">
        <f>IF(AND('341-CT'!$H$9=H3354,OR(LEFT(N3354,3)=$W$7,LEFT(O3354,3)=$W$7)),"x","")</f>
        <v/>
      </c>
      <c r="X3354" s="79" t="str">
        <f>IF(OR(TH!N3354=TH!$X$7,O3354=TH!$X$7),"x","")</f>
        <v/>
      </c>
      <c r="Y3354" s="79" t="str">
        <f>IF(AND(OR(N3354="131",O3354="131"),H3354='131-CT'!$H$9),"x","")</f>
        <v/>
      </c>
      <c r="Z3354" s="79"/>
      <c r="AA3354" s="79" t="str">
        <f>IF(AND(MONTH(E3354)='IN-NX'!$J$5,'IN-NX'!$D$7=D3354),"x","")</f>
        <v/>
      </c>
      <c r="AB3354" s="79" t="str">
        <f>IF(AND(OR(LEFT(TH!N3354,2)="15",LEFT(TH!O3354,2)="15"),LEFT(TH!O3354,3)&lt;&gt;"111",'152-CT'!$J$8=TH!F3354),"x","")</f>
        <v/>
      </c>
      <c r="AC3354" s="79" t="str">
        <f>IF(AND(OR(LEFT(TH!N3354,2)="15",LEFT(TH!O3354,2)="15"),TK!$E$7=TH!F3354),"x","")</f>
        <v/>
      </c>
      <c r="AD3354" s="79" t="str">
        <f>IF(AND(N3354="1521",MONTH(C3354)='BK-NL'!$M$11),"x","")</f>
        <v/>
      </c>
    </row>
    <row r="3355" spans="1:30" ht="16.5" customHeight="1">
      <c r="A3355" s="318" t="str">
        <f>IF(B3355&lt;&gt;"",IF(AND(B3355='IN-TC'!$S$4,OR(TH!N3355="1111",TH!O3355="1111")),TH!D3355,""),"")</f>
        <v/>
      </c>
      <c r="B3355" s="60" t="str">
        <f t="shared" si="391"/>
        <v/>
      </c>
      <c r="C3355" s="61"/>
      <c r="D3355" s="61"/>
      <c r="E3355" s="61"/>
      <c r="F3355" s="69"/>
      <c r="G3355" s="64"/>
      <c r="H3355" s="321"/>
      <c r="I3355" s="385"/>
      <c r="J3355" s="392"/>
      <c r="K3355" s="385"/>
      <c r="L3355" s="392"/>
      <c r="M3355" s="62"/>
      <c r="N3355" s="63"/>
      <c r="O3355" s="63"/>
      <c r="P3355" s="79" t="str">
        <f>IF(AND('331-CT'!$E$7=TH!H3355,OR(N3355="331",O3355="331")),"x","")</f>
        <v/>
      </c>
      <c r="Q3355" s="79" t="str">
        <f>IF(AND(B3355='111'!$L$11,OR($N3355=$Q$7,$O3355=$Q$7)),"x","")</f>
        <v/>
      </c>
      <c r="R3355" s="79" t="str">
        <f>IF(AND($N3355=$Q$7,$B3355&lt;'111'!$L$11),"x","")</f>
        <v/>
      </c>
      <c r="S3355" s="79" t="str">
        <f>IF(AND($O3355=$Q$7,$B3355&lt;'111'!$L$11),"x","")</f>
        <v/>
      </c>
      <c r="T3355" s="79" t="str">
        <f>IF(ISERROR(FIND('112'!$M$9,G3355,1)),"",IF((AND(FIND('112'!$M$9,G3355,1)&gt;=1,B3355='112'!$K$9,OR($N3355='112'!$I$6,$O3355='112'!$I$6))),"x",""))</f>
        <v/>
      </c>
      <c r="U3355" s="79" t="str">
        <f>IF(ISERROR(FIND('112'!$M$9,G3355,1)),"",IF((AND(LEFT(G3355,2)=LEFT('112'!$M$9,2),B3355&lt;'112'!$K$9,$N3355='112'!$I$6)),"x",""))</f>
        <v/>
      </c>
      <c r="V3355" s="79" t="str">
        <f>IF(ISERROR(FIND('112'!$M$9,G3355,1)),"",IF((AND(RIGHT(G3355,2)=RIGHT('112'!$M$9,2),B3355&lt;'112'!$K$9,$O3355='112'!$I$6)),"x",""))</f>
        <v/>
      </c>
      <c r="W3355" s="79" t="str">
        <f>IF(AND('341-CT'!$H$9=H3355,OR(LEFT(N3355,3)=$W$7,LEFT(O3355,3)=$W$7)),"x","")</f>
        <v/>
      </c>
      <c r="X3355" s="79" t="str">
        <f>IF(OR(TH!N3355=TH!$X$7,O3355=TH!$X$7),"x","")</f>
        <v/>
      </c>
      <c r="Y3355" s="79" t="str">
        <f>IF(AND(OR(N3355="131",O3355="131"),H3355='131-CT'!$H$9),"x","")</f>
        <v/>
      </c>
      <c r="Z3355" s="79"/>
      <c r="AA3355" s="79" t="str">
        <f>IF(AND(MONTH(E3355)='IN-NX'!$J$5,'IN-NX'!$D$7=D3355),"x","")</f>
        <v/>
      </c>
      <c r="AB3355" s="79" t="str">
        <f>IF(AND(OR(LEFT(TH!N3355,2)="15",LEFT(TH!O3355,2)="15"),LEFT(TH!O3355,3)&lt;&gt;"111",'152-CT'!$J$8=TH!F3355),"x","")</f>
        <v/>
      </c>
      <c r="AC3355" s="79" t="str">
        <f>IF(AND(OR(LEFT(TH!N3355,2)="15",LEFT(TH!O3355,2)="15"),TK!$E$7=TH!F3355),"x","")</f>
        <v/>
      </c>
      <c r="AD3355" s="79" t="str">
        <f>IF(AND(N3355="1521",MONTH(C3355)='BK-NL'!$M$11),"x","")</f>
        <v/>
      </c>
    </row>
    <row r="3356" spans="1:30" ht="16.5" customHeight="1">
      <c r="A3356" s="318" t="str">
        <f>IF(B3356&lt;&gt;"",IF(AND(B3356='IN-TC'!$S$4,OR(TH!N3356="1111",TH!O3356="1111")),TH!D3356,""),"")</f>
        <v/>
      </c>
      <c r="B3356" s="60" t="str">
        <f t="shared" si="391"/>
        <v/>
      </c>
      <c r="C3356" s="61"/>
      <c r="D3356" s="61"/>
      <c r="E3356" s="61"/>
      <c r="F3356" s="69"/>
      <c r="G3356" s="64"/>
      <c r="H3356" s="321"/>
      <c r="I3356" s="385"/>
      <c r="J3356" s="392"/>
      <c r="K3356" s="385"/>
      <c r="L3356" s="392"/>
      <c r="M3356" s="62"/>
      <c r="N3356" s="63"/>
      <c r="O3356" s="63"/>
      <c r="P3356" s="79" t="str">
        <f>IF(AND('331-CT'!$E$7=TH!H3356,OR(N3356="331",O3356="331")),"x","")</f>
        <v/>
      </c>
      <c r="Q3356" s="79" t="str">
        <f>IF(AND(B3356='111'!$L$11,OR($N3356=$Q$7,$O3356=$Q$7)),"x","")</f>
        <v/>
      </c>
      <c r="R3356" s="79" t="str">
        <f>IF(AND($N3356=$Q$7,$B3356&lt;'111'!$L$11),"x","")</f>
        <v/>
      </c>
      <c r="S3356" s="79" t="str">
        <f>IF(AND($O3356=$Q$7,$B3356&lt;'111'!$L$11),"x","")</f>
        <v/>
      </c>
      <c r="T3356" s="79" t="str">
        <f>IF(ISERROR(FIND('112'!$M$9,G3356,1)),"",IF((AND(FIND('112'!$M$9,G3356,1)&gt;=1,B3356='112'!$K$9,OR($N3356='112'!$I$6,$O3356='112'!$I$6))),"x",""))</f>
        <v/>
      </c>
      <c r="U3356" s="79" t="str">
        <f>IF(ISERROR(FIND('112'!$M$9,G3356,1)),"",IF((AND(LEFT(G3356,2)=LEFT('112'!$M$9,2),B3356&lt;'112'!$K$9,$N3356='112'!$I$6)),"x",""))</f>
        <v/>
      </c>
      <c r="V3356" s="79" t="str">
        <f>IF(ISERROR(FIND('112'!$M$9,G3356,1)),"",IF((AND(RIGHT(G3356,2)=RIGHT('112'!$M$9,2),B3356&lt;'112'!$K$9,$O3356='112'!$I$6)),"x",""))</f>
        <v/>
      </c>
      <c r="W3356" s="79" t="str">
        <f>IF(AND('341-CT'!$H$9=H3356,OR(LEFT(N3356,3)=$W$7,LEFT(O3356,3)=$W$7)),"x","")</f>
        <v/>
      </c>
      <c r="X3356" s="79" t="str">
        <f>IF(OR(TH!N3356=TH!$X$7,O3356=TH!$X$7),"x","")</f>
        <v/>
      </c>
      <c r="Y3356" s="79" t="str">
        <f>IF(AND(OR(N3356="131",O3356="131"),H3356='131-CT'!$H$9),"x","")</f>
        <v/>
      </c>
      <c r="Z3356" s="79"/>
      <c r="AA3356" s="79" t="str">
        <f>IF(AND(MONTH(E3356)='IN-NX'!$J$5,'IN-NX'!$D$7=D3356),"x","")</f>
        <v/>
      </c>
      <c r="AB3356" s="79" t="str">
        <f>IF(AND(OR(LEFT(TH!N3356,2)="15",LEFT(TH!O3356,2)="15"),LEFT(TH!O3356,3)&lt;&gt;"111",'152-CT'!$J$8=TH!F3356),"x","")</f>
        <v/>
      </c>
      <c r="AC3356" s="79" t="str">
        <f>IF(AND(OR(LEFT(TH!N3356,2)="15",LEFT(TH!O3356,2)="15"),TK!$E$7=TH!F3356),"x","")</f>
        <v/>
      </c>
      <c r="AD3356" s="79" t="str">
        <f>IF(AND(N3356="1521",MONTH(C3356)='BK-NL'!$M$11),"x","")</f>
        <v/>
      </c>
    </row>
    <row r="3357" spans="1:30" ht="16.5" customHeight="1">
      <c r="A3357" s="318" t="str">
        <f>IF(B3357&lt;&gt;"",IF(AND(B3357='IN-TC'!$S$4,OR(TH!N3357="1111",TH!O3357="1111")),TH!D3357,""),"")</f>
        <v/>
      </c>
      <c r="B3357" s="60" t="str">
        <f t="shared" si="391"/>
        <v/>
      </c>
      <c r="C3357" s="61"/>
      <c r="D3357" s="61"/>
      <c r="E3357" s="61"/>
      <c r="F3357" s="69"/>
      <c r="G3357" s="64"/>
      <c r="H3357" s="321"/>
      <c r="I3357" s="385"/>
      <c r="J3357" s="392"/>
      <c r="K3357" s="385"/>
      <c r="L3357" s="392"/>
      <c r="M3357" s="62"/>
      <c r="N3357" s="63"/>
      <c r="O3357" s="63"/>
      <c r="P3357" s="79" t="str">
        <f>IF(AND('331-CT'!$E$7=TH!H3357,OR(N3357="331",O3357="331")),"x","")</f>
        <v/>
      </c>
      <c r="Q3357" s="79" t="str">
        <f>IF(AND(B3357='111'!$L$11,OR($N3357=$Q$7,$O3357=$Q$7)),"x","")</f>
        <v/>
      </c>
      <c r="R3357" s="79" t="str">
        <f>IF(AND($N3357=$Q$7,$B3357&lt;'111'!$L$11),"x","")</f>
        <v/>
      </c>
      <c r="S3357" s="79" t="str">
        <f>IF(AND($O3357=$Q$7,$B3357&lt;'111'!$L$11),"x","")</f>
        <v/>
      </c>
      <c r="T3357" s="79" t="str">
        <f>IF(ISERROR(FIND('112'!$M$9,G3357,1)),"",IF((AND(FIND('112'!$M$9,G3357,1)&gt;=1,B3357='112'!$K$9,OR($N3357='112'!$I$6,$O3357='112'!$I$6))),"x",""))</f>
        <v/>
      </c>
      <c r="U3357" s="79" t="str">
        <f>IF(ISERROR(FIND('112'!$M$9,G3357,1)),"",IF((AND(LEFT(G3357,2)=LEFT('112'!$M$9,2),B3357&lt;'112'!$K$9,$N3357='112'!$I$6)),"x",""))</f>
        <v/>
      </c>
      <c r="V3357" s="79" t="str">
        <f>IF(ISERROR(FIND('112'!$M$9,G3357,1)),"",IF((AND(RIGHT(G3357,2)=RIGHT('112'!$M$9,2),B3357&lt;'112'!$K$9,$O3357='112'!$I$6)),"x",""))</f>
        <v/>
      </c>
      <c r="W3357" s="79" t="str">
        <f>IF(AND('341-CT'!$H$9=H3357,OR(LEFT(N3357,3)=$W$7,LEFT(O3357,3)=$W$7)),"x","")</f>
        <v/>
      </c>
      <c r="X3357" s="79" t="str">
        <f>IF(OR(TH!N3357=TH!$X$7,O3357=TH!$X$7),"x","")</f>
        <v/>
      </c>
      <c r="Y3357" s="79" t="str">
        <f>IF(AND(OR(N3357="131",O3357="131"),H3357='131-CT'!$H$9),"x","")</f>
        <v/>
      </c>
      <c r="Z3357" s="79"/>
      <c r="AA3357" s="79" t="str">
        <f>IF(AND(MONTH(E3357)='IN-NX'!$J$5,'IN-NX'!$D$7=D3357),"x","")</f>
        <v/>
      </c>
      <c r="AB3357" s="79" t="str">
        <f>IF(AND(OR(LEFT(TH!N3357,2)="15",LEFT(TH!O3357,2)="15"),LEFT(TH!O3357,3)&lt;&gt;"111",'152-CT'!$J$8=TH!F3357),"x","")</f>
        <v/>
      </c>
      <c r="AC3357" s="79" t="str">
        <f>IF(AND(OR(LEFT(TH!N3357,2)="15",LEFT(TH!O3357,2)="15"),TK!$E$7=TH!F3357),"x","")</f>
        <v/>
      </c>
      <c r="AD3357" s="79" t="str">
        <f>IF(AND(N3357="1521",MONTH(C3357)='BK-NL'!$M$11),"x","")</f>
        <v/>
      </c>
    </row>
    <row r="3358" spans="1:30" ht="16.5" customHeight="1">
      <c r="A3358" s="318" t="str">
        <f>IF(B3358&lt;&gt;"",IF(AND(B3358='IN-TC'!$S$4,OR(TH!N3358="1111",TH!O3358="1111")),TH!D3358,""),"")</f>
        <v/>
      </c>
      <c r="B3358" s="60" t="str">
        <f t="shared" si="391"/>
        <v/>
      </c>
      <c r="C3358" s="61"/>
      <c r="D3358" s="61"/>
      <c r="E3358" s="61"/>
      <c r="F3358" s="69"/>
      <c r="G3358" s="64"/>
      <c r="H3358" s="321"/>
      <c r="I3358" s="385"/>
      <c r="J3358" s="392"/>
      <c r="K3358" s="385"/>
      <c r="L3358" s="392"/>
      <c r="M3358" s="62"/>
      <c r="N3358" s="63"/>
      <c r="O3358" s="63"/>
      <c r="P3358" s="79" t="str">
        <f>IF(AND('331-CT'!$E$7=TH!H3358,OR(N3358="331",O3358="331")),"x","")</f>
        <v/>
      </c>
      <c r="Q3358" s="79" t="str">
        <f>IF(AND(B3358='111'!$L$11,OR($N3358=$Q$7,$O3358=$Q$7)),"x","")</f>
        <v/>
      </c>
      <c r="R3358" s="79" t="str">
        <f>IF(AND($N3358=$Q$7,$B3358&lt;'111'!$L$11),"x","")</f>
        <v/>
      </c>
      <c r="S3358" s="79" t="str">
        <f>IF(AND($O3358=$Q$7,$B3358&lt;'111'!$L$11),"x","")</f>
        <v/>
      </c>
      <c r="T3358" s="79" t="str">
        <f>IF(ISERROR(FIND('112'!$M$9,G3358,1)),"",IF((AND(FIND('112'!$M$9,G3358,1)&gt;=1,B3358='112'!$K$9,OR($N3358='112'!$I$6,$O3358='112'!$I$6))),"x",""))</f>
        <v/>
      </c>
      <c r="U3358" s="79" t="str">
        <f>IF(ISERROR(FIND('112'!$M$9,G3358,1)),"",IF((AND(LEFT(G3358,2)=LEFT('112'!$M$9,2),B3358&lt;'112'!$K$9,$N3358='112'!$I$6)),"x",""))</f>
        <v/>
      </c>
      <c r="V3358" s="79" t="str">
        <f>IF(ISERROR(FIND('112'!$M$9,G3358,1)),"",IF((AND(RIGHT(G3358,2)=RIGHT('112'!$M$9,2),B3358&lt;'112'!$K$9,$O3358='112'!$I$6)),"x",""))</f>
        <v/>
      </c>
      <c r="W3358" s="79" t="str">
        <f>IF(AND('341-CT'!$H$9=H3358,OR(LEFT(N3358,3)=$W$7,LEFT(O3358,3)=$W$7)),"x","")</f>
        <v/>
      </c>
      <c r="X3358" s="79" t="str">
        <f>IF(OR(TH!N3358=TH!$X$7,O3358=TH!$X$7),"x","")</f>
        <v/>
      </c>
      <c r="Y3358" s="79" t="str">
        <f>IF(AND(OR(N3358="131",O3358="131"),H3358='131-CT'!$H$9),"x","")</f>
        <v/>
      </c>
      <c r="Z3358" s="79"/>
      <c r="AA3358" s="79" t="str">
        <f>IF(AND(MONTH(E3358)='IN-NX'!$J$5,'IN-NX'!$D$7=D3358),"x","")</f>
        <v/>
      </c>
      <c r="AB3358" s="79" t="str">
        <f>IF(AND(OR(LEFT(TH!N3358,2)="15",LEFT(TH!O3358,2)="15"),LEFT(TH!O3358,3)&lt;&gt;"111",'152-CT'!$J$8=TH!F3358),"x","")</f>
        <v/>
      </c>
      <c r="AC3358" s="79" t="str">
        <f>IF(AND(OR(LEFT(TH!N3358,2)="15",LEFT(TH!O3358,2)="15"),TK!$E$7=TH!F3358),"x","")</f>
        <v/>
      </c>
      <c r="AD3358" s="79" t="str">
        <f>IF(AND(N3358="1521",MONTH(C3358)='BK-NL'!$M$11),"x","")</f>
        <v/>
      </c>
    </row>
    <row r="3359" spans="1:30" ht="16.5" customHeight="1">
      <c r="A3359" s="318" t="str">
        <f>IF(B3359&lt;&gt;"",IF(AND(B3359='IN-TC'!$S$4,OR(TH!N3359="1111",TH!O3359="1111")),TH!D3359,""),"")</f>
        <v/>
      </c>
      <c r="B3359" s="60" t="str">
        <f t="shared" si="391"/>
        <v/>
      </c>
      <c r="C3359" s="61"/>
      <c r="D3359" s="61"/>
      <c r="E3359" s="61"/>
      <c r="F3359" s="69"/>
      <c r="G3359" s="64"/>
      <c r="H3359" s="321"/>
      <c r="I3359" s="385"/>
      <c r="J3359" s="392"/>
      <c r="K3359" s="385"/>
      <c r="L3359" s="392"/>
      <c r="M3359" s="62"/>
      <c r="N3359" s="63"/>
      <c r="O3359" s="63"/>
      <c r="P3359" s="79" t="str">
        <f>IF(AND('331-CT'!$E$7=TH!H3359,OR(N3359="331",O3359="331")),"x","")</f>
        <v/>
      </c>
      <c r="Q3359" s="79" t="str">
        <f>IF(AND(B3359='111'!$L$11,OR($N3359=$Q$7,$O3359=$Q$7)),"x","")</f>
        <v/>
      </c>
      <c r="R3359" s="79" t="str">
        <f>IF(AND($N3359=$Q$7,$B3359&lt;'111'!$L$11),"x","")</f>
        <v/>
      </c>
      <c r="S3359" s="79" t="str">
        <f>IF(AND($O3359=$Q$7,$B3359&lt;'111'!$L$11),"x","")</f>
        <v/>
      </c>
      <c r="T3359" s="79" t="str">
        <f>IF(ISERROR(FIND('112'!$M$9,G3359,1)),"",IF((AND(FIND('112'!$M$9,G3359,1)&gt;=1,B3359='112'!$K$9,OR($N3359='112'!$I$6,$O3359='112'!$I$6))),"x",""))</f>
        <v/>
      </c>
      <c r="U3359" s="79" t="str">
        <f>IF(ISERROR(FIND('112'!$M$9,G3359,1)),"",IF((AND(LEFT(G3359,2)=LEFT('112'!$M$9,2),B3359&lt;'112'!$K$9,$N3359='112'!$I$6)),"x",""))</f>
        <v/>
      </c>
      <c r="V3359" s="79" t="str">
        <f>IF(ISERROR(FIND('112'!$M$9,G3359,1)),"",IF((AND(RIGHT(G3359,2)=RIGHT('112'!$M$9,2),B3359&lt;'112'!$K$9,$O3359='112'!$I$6)),"x",""))</f>
        <v/>
      </c>
      <c r="W3359" s="79" t="str">
        <f>IF(AND('341-CT'!$H$9=H3359,OR(LEFT(N3359,3)=$W$7,LEFT(O3359,3)=$W$7)),"x","")</f>
        <v/>
      </c>
      <c r="X3359" s="79" t="str">
        <f>IF(OR(TH!N3359=TH!$X$7,O3359=TH!$X$7),"x","")</f>
        <v/>
      </c>
      <c r="Y3359" s="79" t="str">
        <f>IF(AND(OR(N3359="131",O3359="131"),H3359='131-CT'!$H$9),"x","")</f>
        <v/>
      </c>
      <c r="Z3359" s="79"/>
      <c r="AA3359" s="79" t="str">
        <f>IF(AND(MONTH(E3359)='IN-NX'!$J$5,'IN-NX'!$D$7=D3359),"x","")</f>
        <v/>
      </c>
      <c r="AB3359" s="79" t="str">
        <f>IF(AND(OR(LEFT(TH!N3359,2)="15",LEFT(TH!O3359,2)="15"),LEFT(TH!O3359,3)&lt;&gt;"111",'152-CT'!$J$8=TH!F3359),"x","")</f>
        <v/>
      </c>
      <c r="AC3359" s="79" t="str">
        <f>IF(AND(OR(LEFT(TH!N3359,2)="15",LEFT(TH!O3359,2)="15"),TK!$E$7=TH!F3359),"x","")</f>
        <v/>
      </c>
      <c r="AD3359" s="79" t="str">
        <f>IF(AND(N3359="1521",MONTH(C3359)='BK-NL'!$M$11),"x","")</f>
        <v/>
      </c>
    </row>
    <row r="3360" spans="1:30" ht="16.5" customHeight="1">
      <c r="A3360" s="318" t="str">
        <f>IF(B3360&lt;&gt;"",IF(AND(B3360='IN-TC'!$S$4,OR(TH!N3360="1111",TH!O3360="1111")),TH!D3360,""),"")</f>
        <v/>
      </c>
      <c r="B3360" s="60" t="str">
        <f t="shared" si="391"/>
        <v/>
      </c>
      <c r="C3360" s="61"/>
      <c r="D3360" s="61"/>
      <c r="E3360" s="61"/>
      <c r="F3360" s="69"/>
      <c r="G3360" s="64"/>
      <c r="H3360" s="321"/>
      <c r="I3360" s="385"/>
      <c r="J3360" s="392"/>
      <c r="K3360" s="385"/>
      <c r="L3360" s="392"/>
      <c r="M3360" s="62"/>
      <c r="N3360" s="63"/>
      <c r="O3360" s="63"/>
      <c r="P3360" s="79" t="str">
        <f>IF(AND('331-CT'!$E$7=TH!H3360,OR(N3360="331",O3360="331")),"x","")</f>
        <v/>
      </c>
      <c r="Q3360" s="79" t="str">
        <f>IF(AND(B3360='111'!$L$11,OR($N3360=$Q$7,$O3360=$Q$7)),"x","")</f>
        <v/>
      </c>
      <c r="R3360" s="79" t="str">
        <f>IF(AND($N3360=$Q$7,$B3360&lt;'111'!$L$11),"x","")</f>
        <v/>
      </c>
      <c r="S3360" s="79" t="str">
        <f>IF(AND($O3360=$Q$7,$B3360&lt;'111'!$L$11),"x","")</f>
        <v/>
      </c>
      <c r="T3360" s="79" t="str">
        <f>IF(ISERROR(FIND('112'!$M$9,G3360,1)),"",IF((AND(FIND('112'!$M$9,G3360,1)&gt;=1,B3360='112'!$K$9,OR($N3360='112'!$I$6,$O3360='112'!$I$6))),"x",""))</f>
        <v/>
      </c>
      <c r="U3360" s="79" t="str">
        <f>IF(ISERROR(FIND('112'!$M$9,G3360,1)),"",IF((AND(LEFT(G3360,2)=LEFT('112'!$M$9,2),B3360&lt;'112'!$K$9,$N3360='112'!$I$6)),"x",""))</f>
        <v/>
      </c>
      <c r="V3360" s="79" t="str">
        <f>IF(ISERROR(FIND('112'!$M$9,G3360,1)),"",IF((AND(RIGHT(G3360,2)=RIGHT('112'!$M$9,2),B3360&lt;'112'!$K$9,$O3360='112'!$I$6)),"x",""))</f>
        <v/>
      </c>
      <c r="W3360" s="79" t="str">
        <f>IF(AND('341-CT'!$H$9=H3360,OR(LEFT(N3360,3)=$W$7,LEFT(O3360,3)=$W$7)),"x","")</f>
        <v/>
      </c>
      <c r="X3360" s="79" t="str">
        <f>IF(OR(TH!N3360=TH!$X$7,O3360=TH!$X$7),"x","")</f>
        <v/>
      </c>
      <c r="Y3360" s="79" t="str">
        <f>IF(AND(OR(N3360="131",O3360="131"),H3360='131-CT'!$H$9),"x","")</f>
        <v/>
      </c>
      <c r="Z3360" s="79"/>
      <c r="AA3360" s="79" t="str">
        <f>IF(AND(MONTH(E3360)='IN-NX'!$J$5,'IN-NX'!$D$7=D3360),"x","")</f>
        <v/>
      </c>
      <c r="AB3360" s="79" t="str">
        <f>IF(AND(OR(LEFT(TH!N3360,2)="15",LEFT(TH!O3360,2)="15"),LEFT(TH!O3360,3)&lt;&gt;"111",'152-CT'!$J$8=TH!F3360),"x","")</f>
        <v/>
      </c>
      <c r="AC3360" s="79" t="str">
        <f>IF(AND(OR(LEFT(TH!N3360,2)="15",LEFT(TH!O3360,2)="15"),TK!$E$7=TH!F3360),"x","")</f>
        <v/>
      </c>
      <c r="AD3360" s="79" t="str">
        <f>IF(AND(N3360="1521",MONTH(C3360)='BK-NL'!$M$11),"x","")</f>
        <v/>
      </c>
    </row>
    <row r="3361" spans="1:30" ht="16.5" customHeight="1">
      <c r="A3361" s="318" t="str">
        <f>IF(B3361&lt;&gt;"",IF(AND(B3361='IN-TC'!$S$4,OR(TH!N3361="1111",TH!O3361="1111")),TH!D3361,""),"")</f>
        <v/>
      </c>
      <c r="B3361" s="60" t="str">
        <f t="shared" si="391"/>
        <v/>
      </c>
      <c r="C3361" s="61"/>
      <c r="D3361" s="61"/>
      <c r="E3361" s="61"/>
      <c r="F3361" s="69"/>
      <c r="G3361" s="64"/>
      <c r="H3361" s="321"/>
      <c r="I3361" s="385"/>
      <c r="J3361" s="392"/>
      <c r="K3361" s="385"/>
      <c r="L3361" s="392"/>
      <c r="M3361" s="62"/>
      <c r="N3361" s="63"/>
      <c r="O3361" s="63"/>
      <c r="P3361" s="79" t="str">
        <f>IF(AND('331-CT'!$E$7=TH!H3361,OR(N3361="331",O3361="331")),"x","")</f>
        <v/>
      </c>
      <c r="Q3361" s="79" t="str">
        <f>IF(AND(B3361='111'!$L$11,OR($N3361=$Q$7,$O3361=$Q$7)),"x","")</f>
        <v/>
      </c>
      <c r="R3361" s="79" t="str">
        <f>IF(AND($N3361=$Q$7,$B3361&lt;'111'!$L$11),"x","")</f>
        <v/>
      </c>
      <c r="S3361" s="79" t="str">
        <f>IF(AND($O3361=$Q$7,$B3361&lt;'111'!$L$11),"x","")</f>
        <v/>
      </c>
      <c r="T3361" s="79" t="str">
        <f>IF(ISERROR(FIND('112'!$M$9,G3361,1)),"",IF((AND(FIND('112'!$M$9,G3361,1)&gt;=1,B3361='112'!$K$9,OR($N3361='112'!$I$6,$O3361='112'!$I$6))),"x",""))</f>
        <v/>
      </c>
      <c r="U3361" s="79" t="str">
        <f>IF(ISERROR(FIND('112'!$M$9,G3361,1)),"",IF((AND(LEFT(G3361,2)=LEFT('112'!$M$9,2),B3361&lt;'112'!$K$9,$N3361='112'!$I$6)),"x",""))</f>
        <v/>
      </c>
      <c r="V3361" s="79" t="str">
        <f>IF(ISERROR(FIND('112'!$M$9,G3361,1)),"",IF((AND(RIGHT(G3361,2)=RIGHT('112'!$M$9,2),B3361&lt;'112'!$K$9,$O3361='112'!$I$6)),"x",""))</f>
        <v/>
      </c>
      <c r="W3361" s="79" t="str">
        <f>IF(AND('341-CT'!$H$9=H3361,OR(LEFT(N3361,3)=$W$7,LEFT(O3361,3)=$W$7)),"x","")</f>
        <v/>
      </c>
      <c r="X3361" s="79" t="str">
        <f>IF(OR(TH!N3361=TH!$X$7,O3361=TH!$X$7),"x","")</f>
        <v/>
      </c>
      <c r="Y3361" s="79" t="str">
        <f>IF(AND(OR(N3361="131",O3361="131"),H3361='131-CT'!$H$9),"x","")</f>
        <v/>
      </c>
      <c r="Z3361" s="79"/>
      <c r="AA3361" s="79" t="str">
        <f>IF(AND(MONTH(E3361)='IN-NX'!$J$5,'IN-NX'!$D$7=D3361),"x","")</f>
        <v/>
      </c>
      <c r="AB3361" s="79" t="str">
        <f>IF(AND(OR(LEFT(TH!N3361,2)="15",LEFT(TH!O3361,2)="15"),LEFT(TH!O3361,3)&lt;&gt;"111",'152-CT'!$J$8=TH!F3361),"x","")</f>
        <v/>
      </c>
      <c r="AC3361" s="79" t="str">
        <f>IF(AND(OR(LEFT(TH!N3361,2)="15",LEFT(TH!O3361,2)="15"),TK!$E$7=TH!F3361),"x","")</f>
        <v/>
      </c>
      <c r="AD3361" s="79" t="str">
        <f>IF(AND(N3361="1521",MONTH(C3361)='BK-NL'!$M$11),"x","")</f>
        <v/>
      </c>
    </row>
    <row r="3362" spans="1:30" ht="16.5" customHeight="1">
      <c r="A3362" s="318" t="str">
        <f>IF(B3362&lt;&gt;"",IF(AND(B3362='IN-TC'!$S$4,OR(TH!N3362="1111",TH!O3362="1111")),TH!D3362,""),"")</f>
        <v/>
      </c>
      <c r="B3362" s="60" t="str">
        <f t="shared" si="391"/>
        <v/>
      </c>
      <c r="C3362" s="61"/>
      <c r="D3362" s="61"/>
      <c r="E3362" s="61"/>
      <c r="F3362" s="69"/>
      <c r="G3362" s="64"/>
      <c r="H3362" s="321"/>
      <c r="I3362" s="385"/>
      <c r="J3362" s="392"/>
      <c r="K3362" s="385"/>
      <c r="L3362" s="392"/>
      <c r="M3362" s="62"/>
      <c r="N3362" s="63"/>
      <c r="O3362" s="63"/>
      <c r="P3362" s="79" t="str">
        <f>IF(AND('331-CT'!$E$7=TH!H3362,OR(N3362="331",O3362="331")),"x","")</f>
        <v/>
      </c>
      <c r="Q3362" s="79" t="str">
        <f>IF(AND(B3362='111'!$L$11,OR($N3362=$Q$7,$O3362=$Q$7)),"x","")</f>
        <v/>
      </c>
      <c r="R3362" s="79" t="str">
        <f>IF(AND($N3362=$Q$7,$B3362&lt;'111'!$L$11),"x","")</f>
        <v/>
      </c>
      <c r="S3362" s="79" t="str">
        <f>IF(AND($O3362=$Q$7,$B3362&lt;'111'!$L$11),"x","")</f>
        <v/>
      </c>
      <c r="T3362" s="79" t="str">
        <f>IF(ISERROR(FIND('112'!$M$9,G3362,1)),"",IF((AND(FIND('112'!$M$9,G3362,1)&gt;=1,B3362='112'!$K$9,OR($N3362='112'!$I$6,$O3362='112'!$I$6))),"x",""))</f>
        <v/>
      </c>
      <c r="U3362" s="79" t="str">
        <f>IF(ISERROR(FIND('112'!$M$9,G3362,1)),"",IF((AND(LEFT(G3362,2)=LEFT('112'!$M$9,2),B3362&lt;'112'!$K$9,$N3362='112'!$I$6)),"x",""))</f>
        <v/>
      </c>
      <c r="V3362" s="79" t="str">
        <f>IF(ISERROR(FIND('112'!$M$9,G3362,1)),"",IF((AND(RIGHT(G3362,2)=RIGHT('112'!$M$9,2),B3362&lt;'112'!$K$9,$O3362='112'!$I$6)),"x",""))</f>
        <v/>
      </c>
      <c r="W3362" s="79" t="str">
        <f>IF(AND('341-CT'!$H$9=H3362,OR(LEFT(N3362,3)=$W$7,LEFT(O3362,3)=$W$7)),"x","")</f>
        <v/>
      </c>
      <c r="X3362" s="79" t="str">
        <f>IF(OR(TH!N3362=TH!$X$7,O3362=TH!$X$7),"x","")</f>
        <v/>
      </c>
      <c r="Y3362" s="79" t="str">
        <f>IF(AND(OR(N3362="131",O3362="131"),H3362='131-CT'!$H$9),"x","")</f>
        <v/>
      </c>
      <c r="Z3362" s="79"/>
      <c r="AA3362" s="79" t="str">
        <f>IF(AND(MONTH(E3362)='IN-NX'!$J$5,'IN-NX'!$D$7=D3362),"x","")</f>
        <v/>
      </c>
      <c r="AB3362" s="79" t="str">
        <f>IF(AND(OR(LEFT(TH!N3362,2)="15",LEFT(TH!O3362,2)="15"),LEFT(TH!O3362,3)&lt;&gt;"111",'152-CT'!$J$8=TH!F3362),"x","")</f>
        <v/>
      </c>
      <c r="AC3362" s="79" t="str">
        <f>IF(AND(OR(LEFT(TH!N3362,2)="15",LEFT(TH!O3362,2)="15"),TK!$E$7=TH!F3362),"x","")</f>
        <v/>
      </c>
      <c r="AD3362" s="79" t="str">
        <f>IF(AND(N3362="1521",MONTH(C3362)='BK-NL'!$M$11),"x","")</f>
        <v/>
      </c>
    </row>
    <row r="3363" spans="1:30" ht="16.5" customHeight="1">
      <c r="A3363" s="318" t="str">
        <f>IF(B3363&lt;&gt;"",IF(AND(B3363='IN-TC'!$S$4,OR(TH!N3363="1111",TH!O3363="1111")),TH!D3363,""),"")</f>
        <v/>
      </c>
      <c r="B3363" s="60" t="str">
        <f t="shared" si="391"/>
        <v/>
      </c>
      <c r="C3363" s="61"/>
      <c r="D3363" s="61"/>
      <c r="E3363" s="61"/>
      <c r="F3363" s="69"/>
      <c r="G3363" s="64"/>
      <c r="H3363" s="321"/>
      <c r="I3363" s="385"/>
      <c r="J3363" s="392"/>
      <c r="K3363" s="385"/>
      <c r="L3363" s="392"/>
      <c r="M3363" s="62"/>
      <c r="N3363" s="63"/>
      <c r="O3363" s="63"/>
      <c r="P3363" s="79" t="str">
        <f>IF(AND('331-CT'!$E$7=TH!H3363,OR(N3363="331",O3363="331")),"x","")</f>
        <v/>
      </c>
      <c r="Q3363" s="79" t="str">
        <f>IF(AND(B3363='111'!$L$11,OR($N3363=$Q$7,$O3363=$Q$7)),"x","")</f>
        <v/>
      </c>
      <c r="R3363" s="79" t="str">
        <f>IF(AND($N3363=$Q$7,$B3363&lt;'111'!$L$11),"x","")</f>
        <v/>
      </c>
      <c r="S3363" s="79" t="str">
        <f>IF(AND($O3363=$Q$7,$B3363&lt;'111'!$L$11),"x","")</f>
        <v/>
      </c>
      <c r="T3363" s="79" t="str">
        <f>IF(ISERROR(FIND('112'!$M$9,G3363,1)),"",IF((AND(FIND('112'!$M$9,G3363,1)&gt;=1,B3363='112'!$K$9,OR($N3363='112'!$I$6,$O3363='112'!$I$6))),"x",""))</f>
        <v/>
      </c>
      <c r="U3363" s="79" t="str">
        <f>IF(ISERROR(FIND('112'!$M$9,G3363,1)),"",IF((AND(LEFT(G3363,2)=LEFT('112'!$M$9,2),B3363&lt;'112'!$K$9,$N3363='112'!$I$6)),"x",""))</f>
        <v/>
      </c>
      <c r="V3363" s="79" t="str">
        <f>IF(ISERROR(FIND('112'!$M$9,G3363,1)),"",IF((AND(RIGHT(G3363,2)=RIGHT('112'!$M$9,2),B3363&lt;'112'!$K$9,$O3363='112'!$I$6)),"x",""))</f>
        <v/>
      </c>
      <c r="W3363" s="79" t="str">
        <f>IF(AND('341-CT'!$H$9=H3363,OR(LEFT(N3363,3)=$W$7,LEFT(O3363,3)=$W$7)),"x","")</f>
        <v/>
      </c>
      <c r="X3363" s="79" t="str">
        <f>IF(OR(TH!N3363=TH!$X$7,O3363=TH!$X$7),"x","")</f>
        <v/>
      </c>
      <c r="Y3363" s="79" t="str">
        <f>IF(AND(OR(N3363="131",O3363="131"),H3363='131-CT'!$H$9),"x","")</f>
        <v/>
      </c>
      <c r="Z3363" s="79"/>
      <c r="AA3363" s="79" t="str">
        <f>IF(AND(MONTH(E3363)='IN-NX'!$J$5,'IN-NX'!$D$7=D3363),"x","")</f>
        <v/>
      </c>
      <c r="AB3363" s="79" t="str">
        <f>IF(AND(OR(LEFT(TH!N3363,2)="15",LEFT(TH!O3363,2)="15"),LEFT(TH!O3363,3)&lt;&gt;"111",'152-CT'!$J$8=TH!F3363),"x","")</f>
        <v/>
      </c>
      <c r="AC3363" s="79" t="str">
        <f>IF(AND(OR(LEFT(TH!N3363,2)="15",LEFT(TH!O3363,2)="15"),TK!$E$7=TH!F3363),"x","")</f>
        <v/>
      </c>
      <c r="AD3363" s="79" t="str">
        <f>IF(AND(N3363="1521",MONTH(C3363)='BK-NL'!$M$11),"x","")</f>
        <v/>
      </c>
    </row>
    <row r="3364" spans="1:30" ht="16.5" customHeight="1">
      <c r="A3364" s="318" t="str">
        <f>IF(B3364&lt;&gt;"",IF(AND(B3364='IN-TC'!$S$4,OR(TH!N3364="1111",TH!O3364="1111")),TH!D3364,""),"")</f>
        <v/>
      </c>
      <c r="B3364" s="60" t="str">
        <f t="shared" si="391"/>
        <v/>
      </c>
      <c r="C3364" s="61"/>
      <c r="D3364" s="61"/>
      <c r="E3364" s="61"/>
      <c r="F3364" s="69"/>
      <c r="G3364" s="64"/>
      <c r="H3364" s="321"/>
      <c r="I3364" s="385"/>
      <c r="J3364" s="392"/>
      <c r="K3364" s="385"/>
      <c r="L3364" s="392"/>
      <c r="M3364" s="62"/>
      <c r="N3364" s="63"/>
      <c r="O3364" s="63"/>
      <c r="P3364" s="79" t="str">
        <f>IF(AND('331-CT'!$E$7=TH!H3364,OR(N3364="331",O3364="331")),"x","")</f>
        <v/>
      </c>
      <c r="Q3364" s="79" t="str">
        <f>IF(AND(B3364='111'!$L$11,OR($N3364=$Q$7,$O3364=$Q$7)),"x","")</f>
        <v/>
      </c>
      <c r="R3364" s="79" t="str">
        <f>IF(AND($N3364=$Q$7,$B3364&lt;'111'!$L$11),"x","")</f>
        <v/>
      </c>
      <c r="S3364" s="79" t="str">
        <f>IF(AND($O3364=$Q$7,$B3364&lt;'111'!$L$11),"x","")</f>
        <v/>
      </c>
      <c r="T3364" s="79" t="str">
        <f>IF(ISERROR(FIND('112'!$M$9,G3364,1)),"",IF((AND(FIND('112'!$M$9,G3364,1)&gt;=1,B3364='112'!$K$9,OR($N3364='112'!$I$6,$O3364='112'!$I$6))),"x",""))</f>
        <v/>
      </c>
      <c r="U3364" s="79" t="str">
        <f>IF(ISERROR(FIND('112'!$M$9,G3364,1)),"",IF((AND(LEFT(G3364,2)=LEFT('112'!$M$9,2),B3364&lt;'112'!$K$9,$N3364='112'!$I$6)),"x",""))</f>
        <v/>
      </c>
      <c r="V3364" s="79" t="str">
        <f>IF(ISERROR(FIND('112'!$M$9,G3364,1)),"",IF((AND(RIGHT(G3364,2)=RIGHT('112'!$M$9,2),B3364&lt;'112'!$K$9,$O3364='112'!$I$6)),"x",""))</f>
        <v/>
      </c>
      <c r="W3364" s="79" t="str">
        <f>IF(AND('341-CT'!$H$9=H3364,OR(LEFT(N3364,3)=$W$7,LEFT(O3364,3)=$W$7)),"x","")</f>
        <v/>
      </c>
      <c r="X3364" s="79" t="str">
        <f>IF(OR(TH!N3364=TH!$X$7,O3364=TH!$X$7),"x","")</f>
        <v/>
      </c>
      <c r="Y3364" s="79" t="str">
        <f>IF(AND(OR(N3364="131",O3364="131"),H3364='131-CT'!$H$9),"x","")</f>
        <v/>
      </c>
      <c r="Z3364" s="79"/>
      <c r="AA3364" s="79" t="str">
        <f>IF(AND(MONTH(E3364)='IN-NX'!$J$5,'IN-NX'!$D$7=D3364),"x","")</f>
        <v/>
      </c>
      <c r="AB3364" s="79" t="str">
        <f>IF(AND(OR(LEFT(TH!N3364,2)="15",LEFT(TH!O3364,2)="15"),LEFT(TH!O3364,3)&lt;&gt;"111",'152-CT'!$J$8=TH!F3364),"x","")</f>
        <v/>
      </c>
      <c r="AC3364" s="79" t="str">
        <f>IF(AND(OR(LEFT(TH!N3364,2)="15",LEFT(TH!O3364,2)="15"),TK!$E$7=TH!F3364),"x","")</f>
        <v/>
      </c>
      <c r="AD3364" s="79" t="str">
        <f>IF(AND(N3364="1521",MONTH(C3364)='BK-NL'!$M$11),"x","")</f>
        <v/>
      </c>
    </row>
    <row r="3365" spans="1:30" ht="16.5" customHeight="1">
      <c r="A3365" s="318" t="str">
        <f>IF(B3365&lt;&gt;"",IF(AND(B3365='IN-TC'!$S$4,OR(TH!N3365="1111",TH!O3365="1111")),TH!D3365,""),"")</f>
        <v/>
      </c>
      <c r="B3365" s="60" t="str">
        <f t="shared" si="391"/>
        <v/>
      </c>
      <c r="C3365" s="61"/>
      <c r="D3365" s="61"/>
      <c r="E3365" s="61"/>
      <c r="F3365" s="69"/>
      <c r="G3365" s="64"/>
      <c r="H3365" s="321"/>
      <c r="I3365" s="385"/>
      <c r="J3365" s="392"/>
      <c r="K3365" s="385"/>
      <c r="L3365" s="392"/>
      <c r="M3365" s="62"/>
      <c r="N3365" s="63"/>
      <c r="O3365" s="63"/>
      <c r="P3365" s="79" t="str">
        <f>IF(AND('331-CT'!$E$7=TH!H3365,OR(N3365="331",O3365="331")),"x","")</f>
        <v/>
      </c>
      <c r="Q3365" s="79" t="str">
        <f>IF(AND(B3365='111'!$L$11,OR($N3365=$Q$7,$O3365=$Q$7)),"x","")</f>
        <v/>
      </c>
      <c r="R3365" s="79" t="str">
        <f>IF(AND($N3365=$Q$7,$B3365&lt;'111'!$L$11),"x","")</f>
        <v/>
      </c>
      <c r="S3365" s="79" t="str">
        <f>IF(AND($O3365=$Q$7,$B3365&lt;'111'!$L$11),"x","")</f>
        <v/>
      </c>
      <c r="T3365" s="79" t="str">
        <f>IF(ISERROR(FIND('112'!$M$9,G3365,1)),"",IF((AND(FIND('112'!$M$9,G3365,1)&gt;=1,B3365='112'!$K$9,OR($N3365='112'!$I$6,$O3365='112'!$I$6))),"x",""))</f>
        <v/>
      </c>
      <c r="U3365" s="79" t="str">
        <f>IF(ISERROR(FIND('112'!$M$9,G3365,1)),"",IF((AND(LEFT(G3365,2)=LEFT('112'!$M$9,2),B3365&lt;'112'!$K$9,$N3365='112'!$I$6)),"x",""))</f>
        <v/>
      </c>
      <c r="V3365" s="79" t="str">
        <f>IF(ISERROR(FIND('112'!$M$9,G3365,1)),"",IF((AND(RIGHT(G3365,2)=RIGHT('112'!$M$9,2),B3365&lt;'112'!$K$9,$O3365='112'!$I$6)),"x",""))</f>
        <v/>
      </c>
      <c r="W3365" s="79" t="str">
        <f>IF(AND('341-CT'!$H$9=H3365,OR(LEFT(N3365,3)=$W$7,LEFT(O3365,3)=$W$7)),"x","")</f>
        <v/>
      </c>
      <c r="X3365" s="79" t="str">
        <f>IF(OR(TH!N3365=TH!$X$7,O3365=TH!$X$7),"x","")</f>
        <v/>
      </c>
      <c r="Y3365" s="79" t="str">
        <f>IF(AND(OR(N3365="131",O3365="131"),H3365='131-CT'!$H$9),"x","")</f>
        <v/>
      </c>
      <c r="Z3365" s="79"/>
      <c r="AA3365" s="79" t="str">
        <f>IF(AND(MONTH(E3365)='IN-NX'!$J$5,'IN-NX'!$D$7=D3365),"x","")</f>
        <v/>
      </c>
      <c r="AB3365" s="79" t="str">
        <f>IF(AND(OR(LEFT(TH!N3365,2)="15",LEFT(TH!O3365,2)="15"),LEFT(TH!O3365,3)&lt;&gt;"111",'152-CT'!$J$8=TH!F3365),"x","")</f>
        <v/>
      </c>
      <c r="AC3365" s="79" t="str">
        <f>IF(AND(OR(LEFT(TH!N3365,2)="15",LEFT(TH!O3365,2)="15"),TK!$E$7=TH!F3365),"x","")</f>
        <v/>
      </c>
      <c r="AD3365" s="79" t="str">
        <f>IF(AND(N3365="1521",MONTH(C3365)='BK-NL'!$M$11),"x","")</f>
        <v/>
      </c>
    </row>
    <row r="3366" spans="1:30" ht="16.5" customHeight="1">
      <c r="A3366" s="318" t="str">
        <f>IF(B3366&lt;&gt;"",IF(AND(B3366='IN-TC'!$S$4,OR(TH!N3366="1111",TH!O3366="1111")),TH!D3366,""),"")</f>
        <v/>
      </c>
      <c r="B3366" s="60" t="str">
        <f t="shared" si="391"/>
        <v/>
      </c>
      <c r="C3366" s="61"/>
      <c r="D3366" s="61"/>
      <c r="E3366" s="61"/>
      <c r="F3366" s="69"/>
      <c r="G3366" s="64"/>
      <c r="H3366" s="321"/>
      <c r="I3366" s="385"/>
      <c r="J3366" s="392"/>
      <c r="K3366" s="385"/>
      <c r="L3366" s="392"/>
      <c r="M3366" s="62"/>
      <c r="N3366" s="63"/>
      <c r="O3366" s="63"/>
      <c r="P3366" s="79" t="str">
        <f>IF(AND('331-CT'!$E$7=TH!H3366,OR(N3366="331",O3366="331")),"x","")</f>
        <v/>
      </c>
      <c r="Q3366" s="79" t="str">
        <f>IF(AND(B3366='111'!$L$11,OR($N3366=$Q$7,$O3366=$Q$7)),"x","")</f>
        <v/>
      </c>
      <c r="R3366" s="79" t="str">
        <f>IF(AND($N3366=$Q$7,$B3366&lt;'111'!$L$11),"x","")</f>
        <v/>
      </c>
      <c r="S3366" s="79" t="str">
        <f>IF(AND($O3366=$Q$7,$B3366&lt;'111'!$L$11),"x","")</f>
        <v/>
      </c>
      <c r="T3366" s="79" t="str">
        <f>IF(ISERROR(FIND('112'!$M$9,G3366,1)),"",IF((AND(FIND('112'!$M$9,G3366,1)&gt;=1,B3366='112'!$K$9,OR($N3366='112'!$I$6,$O3366='112'!$I$6))),"x",""))</f>
        <v/>
      </c>
      <c r="U3366" s="79" t="str">
        <f>IF(ISERROR(FIND('112'!$M$9,G3366,1)),"",IF((AND(LEFT(G3366,2)=LEFT('112'!$M$9,2),B3366&lt;'112'!$K$9,$N3366='112'!$I$6)),"x",""))</f>
        <v/>
      </c>
      <c r="V3366" s="79" t="str">
        <f>IF(ISERROR(FIND('112'!$M$9,G3366,1)),"",IF((AND(RIGHT(G3366,2)=RIGHT('112'!$M$9,2),B3366&lt;'112'!$K$9,$O3366='112'!$I$6)),"x",""))</f>
        <v/>
      </c>
      <c r="W3366" s="79" t="str">
        <f>IF(AND('341-CT'!$H$9=H3366,OR(LEFT(N3366,3)=$W$7,LEFT(O3366,3)=$W$7)),"x","")</f>
        <v/>
      </c>
      <c r="X3366" s="79" t="str">
        <f>IF(OR(TH!N3366=TH!$X$7,O3366=TH!$X$7),"x","")</f>
        <v/>
      </c>
      <c r="Y3366" s="79" t="str">
        <f>IF(AND(OR(N3366="131",O3366="131"),H3366='131-CT'!$H$9),"x","")</f>
        <v/>
      </c>
      <c r="Z3366" s="79"/>
      <c r="AA3366" s="79" t="str">
        <f>IF(AND(MONTH(E3366)='IN-NX'!$J$5,'IN-NX'!$D$7=D3366),"x","")</f>
        <v/>
      </c>
      <c r="AB3366" s="79" t="str">
        <f>IF(AND(OR(LEFT(TH!N3366,2)="15",LEFT(TH!O3366,2)="15"),LEFT(TH!O3366,3)&lt;&gt;"111",'152-CT'!$J$8=TH!F3366),"x","")</f>
        <v/>
      </c>
      <c r="AC3366" s="79" t="str">
        <f>IF(AND(OR(LEFT(TH!N3366,2)="15",LEFT(TH!O3366,2)="15"),TK!$E$7=TH!F3366),"x","")</f>
        <v/>
      </c>
      <c r="AD3366" s="79" t="str">
        <f>IF(AND(N3366="1521",MONTH(C3366)='BK-NL'!$M$11),"x","")</f>
        <v/>
      </c>
    </row>
    <row r="3367" spans="1:30" ht="16.5" customHeight="1">
      <c r="A3367" s="318" t="str">
        <f>IF(B3367&lt;&gt;"",IF(AND(B3367='IN-TC'!$S$4,OR(TH!N3367="1111",TH!O3367="1111")),TH!D3367,""),"")</f>
        <v/>
      </c>
      <c r="B3367" s="60" t="str">
        <f t="shared" si="391"/>
        <v/>
      </c>
      <c r="C3367" s="61"/>
      <c r="D3367" s="61"/>
      <c r="E3367" s="61"/>
      <c r="F3367" s="69"/>
      <c r="G3367" s="64"/>
      <c r="H3367" s="321"/>
      <c r="I3367" s="385"/>
      <c r="J3367" s="392"/>
      <c r="K3367" s="385"/>
      <c r="L3367" s="392"/>
      <c r="M3367" s="62"/>
      <c r="N3367" s="63"/>
      <c r="O3367" s="63"/>
      <c r="P3367" s="79" t="str">
        <f>IF(AND('331-CT'!$E$7=TH!H3367,OR(N3367="331",O3367="331")),"x","")</f>
        <v/>
      </c>
      <c r="Q3367" s="79" t="str">
        <f>IF(AND(B3367='111'!$L$11,OR($N3367=$Q$7,$O3367=$Q$7)),"x","")</f>
        <v/>
      </c>
      <c r="R3367" s="79" t="str">
        <f>IF(AND($N3367=$Q$7,$B3367&lt;'111'!$L$11),"x","")</f>
        <v/>
      </c>
      <c r="S3367" s="79" t="str">
        <f>IF(AND($O3367=$Q$7,$B3367&lt;'111'!$L$11),"x","")</f>
        <v/>
      </c>
      <c r="T3367" s="79" t="str">
        <f>IF(ISERROR(FIND('112'!$M$9,G3367,1)),"",IF((AND(FIND('112'!$M$9,G3367,1)&gt;=1,B3367='112'!$K$9,OR($N3367='112'!$I$6,$O3367='112'!$I$6))),"x",""))</f>
        <v/>
      </c>
      <c r="U3367" s="79" t="str">
        <f>IF(ISERROR(FIND('112'!$M$9,G3367,1)),"",IF((AND(LEFT(G3367,2)=LEFT('112'!$M$9,2),B3367&lt;'112'!$K$9,$N3367='112'!$I$6)),"x",""))</f>
        <v/>
      </c>
      <c r="V3367" s="79" t="str">
        <f>IF(ISERROR(FIND('112'!$M$9,G3367,1)),"",IF((AND(RIGHT(G3367,2)=RIGHT('112'!$M$9,2),B3367&lt;'112'!$K$9,$O3367='112'!$I$6)),"x",""))</f>
        <v/>
      </c>
      <c r="W3367" s="79" t="str">
        <f>IF(AND('341-CT'!$H$9=H3367,OR(LEFT(N3367,3)=$W$7,LEFT(O3367,3)=$W$7)),"x","")</f>
        <v/>
      </c>
      <c r="X3367" s="79" t="str">
        <f>IF(OR(TH!N3367=TH!$X$7,O3367=TH!$X$7),"x","")</f>
        <v/>
      </c>
      <c r="Y3367" s="79" t="str">
        <f>IF(AND(OR(N3367="131",O3367="131"),H3367='131-CT'!$H$9),"x","")</f>
        <v/>
      </c>
      <c r="Z3367" s="79"/>
      <c r="AA3367" s="79" t="str">
        <f>IF(AND(MONTH(E3367)='IN-NX'!$J$5,'IN-NX'!$D$7=D3367),"x","")</f>
        <v/>
      </c>
      <c r="AB3367" s="79" t="str">
        <f>IF(AND(OR(LEFT(TH!N3367,2)="15",LEFT(TH!O3367,2)="15"),LEFT(TH!O3367,3)&lt;&gt;"111",'152-CT'!$J$8=TH!F3367),"x","")</f>
        <v/>
      </c>
      <c r="AC3367" s="79" t="str">
        <f>IF(AND(OR(LEFT(TH!N3367,2)="15",LEFT(TH!O3367,2)="15"),TK!$E$7=TH!F3367),"x","")</f>
        <v/>
      </c>
      <c r="AD3367" s="79" t="str">
        <f>IF(AND(N3367="1521",MONTH(C3367)='BK-NL'!$M$11),"x","")</f>
        <v/>
      </c>
    </row>
    <row r="3368" spans="1:30" ht="16.5" customHeight="1">
      <c r="A3368" s="318" t="str">
        <f>IF(B3368&lt;&gt;"",IF(AND(B3368='IN-TC'!$S$4,OR(TH!N3368="1111",TH!O3368="1111")),TH!D3368,""),"")</f>
        <v/>
      </c>
      <c r="B3368" s="60" t="str">
        <f t="shared" si="391"/>
        <v/>
      </c>
      <c r="C3368" s="61"/>
      <c r="D3368" s="61"/>
      <c r="E3368" s="61"/>
      <c r="F3368" s="69"/>
      <c r="G3368" s="64"/>
      <c r="H3368" s="321"/>
      <c r="I3368" s="385"/>
      <c r="J3368" s="392"/>
      <c r="K3368" s="385"/>
      <c r="L3368" s="392"/>
      <c r="M3368" s="62"/>
      <c r="N3368" s="63"/>
      <c r="O3368" s="63"/>
      <c r="P3368" s="79" t="str">
        <f>IF(AND('331-CT'!$E$7=TH!H3368,OR(N3368="331",O3368="331")),"x","")</f>
        <v/>
      </c>
      <c r="Q3368" s="79" t="str">
        <f>IF(AND(B3368='111'!$L$11,OR($N3368=$Q$7,$O3368=$Q$7)),"x","")</f>
        <v/>
      </c>
      <c r="R3368" s="79" t="str">
        <f>IF(AND($N3368=$Q$7,$B3368&lt;'111'!$L$11),"x","")</f>
        <v/>
      </c>
      <c r="S3368" s="79" t="str">
        <f>IF(AND($O3368=$Q$7,$B3368&lt;'111'!$L$11),"x","")</f>
        <v/>
      </c>
      <c r="T3368" s="79" t="str">
        <f>IF(ISERROR(FIND('112'!$M$9,G3368,1)),"",IF((AND(FIND('112'!$M$9,G3368,1)&gt;=1,B3368='112'!$K$9,OR($N3368='112'!$I$6,$O3368='112'!$I$6))),"x",""))</f>
        <v/>
      </c>
      <c r="U3368" s="79" t="str">
        <f>IF(ISERROR(FIND('112'!$M$9,G3368,1)),"",IF((AND(LEFT(G3368,2)=LEFT('112'!$M$9,2),B3368&lt;'112'!$K$9,$N3368='112'!$I$6)),"x",""))</f>
        <v/>
      </c>
      <c r="V3368" s="79" t="str">
        <f>IF(ISERROR(FIND('112'!$M$9,G3368,1)),"",IF((AND(RIGHT(G3368,2)=RIGHT('112'!$M$9,2),B3368&lt;'112'!$K$9,$O3368='112'!$I$6)),"x",""))</f>
        <v/>
      </c>
      <c r="W3368" s="79" t="str">
        <f>IF(AND('341-CT'!$H$9=H3368,OR(LEFT(N3368,3)=$W$7,LEFT(O3368,3)=$W$7)),"x","")</f>
        <v/>
      </c>
      <c r="X3368" s="79" t="str">
        <f>IF(OR(TH!N3368=TH!$X$7,O3368=TH!$X$7),"x","")</f>
        <v/>
      </c>
      <c r="Y3368" s="79" t="str">
        <f>IF(AND(OR(N3368="131",O3368="131"),H3368='131-CT'!$H$9),"x","")</f>
        <v/>
      </c>
      <c r="Z3368" s="79"/>
      <c r="AA3368" s="79" t="str">
        <f>IF(AND(MONTH(E3368)='IN-NX'!$J$5,'IN-NX'!$D$7=D3368),"x","")</f>
        <v/>
      </c>
      <c r="AB3368" s="79" t="str">
        <f>IF(AND(OR(LEFT(TH!N3368,2)="15",LEFT(TH!O3368,2)="15"),LEFT(TH!O3368,3)&lt;&gt;"111",'152-CT'!$J$8=TH!F3368),"x","")</f>
        <v/>
      </c>
      <c r="AC3368" s="79" t="str">
        <f>IF(AND(OR(LEFT(TH!N3368,2)="15",LEFT(TH!O3368,2)="15"),TK!$E$7=TH!F3368),"x","")</f>
        <v/>
      </c>
      <c r="AD3368" s="79" t="str">
        <f>IF(AND(N3368="1521",MONTH(C3368)='BK-NL'!$M$11),"x","")</f>
        <v/>
      </c>
    </row>
    <row r="3369" spans="1:30" ht="16.5" customHeight="1">
      <c r="A3369" s="318" t="str">
        <f>IF(B3369&lt;&gt;"",IF(AND(B3369='IN-TC'!$S$4,OR(TH!N3369="1111",TH!O3369="1111")),TH!D3369,""),"")</f>
        <v/>
      </c>
      <c r="B3369" s="60" t="str">
        <f t="shared" si="391"/>
        <v/>
      </c>
      <c r="C3369" s="61"/>
      <c r="D3369" s="61"/>
      <c r="E3369" s="61"/>
      <c r="F3369" s="69"/>
      <c r="G3369" s="64"/>
      <c r="H3369" s="321"/>
      <c r="I3369" s="385"/>
      <c r="J3369" s="392"/>
      <c r="K3369" s="385"/>
      <c r="L3369" s="392"/>
      <c r="M3369" s="62"/>
      <c r="N3369" s="63"/>
      <c r="O3369" s="63"/>
      <c r="P3369" s="79" t="str">
        <f>IF(AND('331-CT'!$E$7=TH!H3369,OR(N3369="331",O3369="331")),"x","")</f>
        <v/>
      </c>
      <c r="Q3369" s="79" t="str">
        <f>IF(AND(B3369='111'!$L$11,OR($N3369=$Q$7,$O3369=$Q$7)),"x","")</f>
        <v/>
      </c>
      <c r="R3369" s="79" t="str">
        <f>IF(AND($N3369=$Q$7,$B3369&lt;'111'!$L$11),"x","")</f>
        <v/>
      </c>
      <c r="S3369" s="79" t="str">
        <f>IF(AND($O3369=$Q$7,$B3369&lt;'111'!$L$11),"x","")</f>
        <v/>
      </c>
      <c r="T3369" s="79" t="str">
        <f>IF(ISERROR(FIND('112'!$M$9,G3369,1)),"",IF((AND(FIND('112'!$M$9,G3369,1)&gt;=1,B3369='112'!$K$9,OR($N3369='112'!$I$6,$O3369='112'!$I$6))),"x",""))</f>
        <v/>
      </c>
      <c r="U3369" s="79" t="str">
        <f>IF(ISERROR(FIND('112'!$M$9,G3369,1)),"",IF((AND(LEFT(G3369,2)=LEFT('112'!$M$9,2),B3369&lt;'112'!$K$9,$N3369='112'!$I$6)),"x",""))</f>
        <v/>
      </c>
      <c r="V3369" s="79" t="str">
        <f>IF(ISERROR(FIND('112'!$M$9,G3369,1)),"",IF((AND(RIGHT(G3369,2)=RIGHT('112'!$M$9,2),B3369&lt;'112'!$K$9,$O3369='112'!$I$6)),"x",""))</f>
        <v/>
      </c>
      <c r="W3369" s="79" t="str">
        <f>IF(AND('341-CT'!$H$9=H3369,OR(LEFT(N3369,3)=$W$7,LEFT(O3369,3)=$W$7)),"x","")</f>
        <v/>
      </c>
      <c r="X3369" s="79" t="str">
        <f>IF(OR(TH!N3369=TH!$X$7,O3369=TH!$X$7),"x","")</f>
        <v/>
      </c>
      <c r="Y3369" s="79" t="str">
        <f>IF(AND(OR(N3369="131",O3369="131"),H3369='131-CT'!$H$9),"x","")</f>
        <v/>
      </c>
      <c r="Z3369" s="79"/>
      <c r="AA3369" s="79" t="str">
        <f>IF(AND(MONTH(E3369)='IN-NX'!$J$5,'IN-NX'!$D$7=D3369),"x","")</f>
        <v/>
      </c>
      <c r="AB3369" s="79" t="str">
        <f>IF(AND(OR(LEFT(TH!N3369,2)="15",LEFT(TH!O3369,2)="15"),LEFT(TH!O3369,3)&lt;&gt;"111",'152-CT'!$J$8=TH!F3369),"x","")</f>
        <v/>
      </c>
      <c r="AC3369" s="79" t="str">
        <f>IF(AND(OR(LEFT(TH!N3369,2)="15",LEFT(TH!O3369,2)="15"),TK!$E$7=TH!F3369),"x","")</f>
        <v/>
      </c>
      <c r="AD3369" s="79" t="str">
        <f>IF(AND(N3369="1521",MONTH(C3369)='BK-NL'!$M$11),"x","")</f>
        <v/>
      </c>
    </row>
    <row r="3370" spans="1:30" ht="16.5" customHeight="1">
      <c r="A3370" s="318" t="str">
        <f>IF(B3370&lt;&gt;"",IF(AND(B3370='IN-TC'!$S$4,OR(TH!N3370="1111",TH!O3370="1111")),TH!D3370,""),"")</f>
        <v/>
      </c>
      <c r="B3370" s="60" t="str">
        <f t="shared" si="391"/>
        <v/>
      </c>
      <c r="C3370" s="61"/>
      <c r="D3370" s="61"/>
      <c r="E3370" s="61"/>
      <c r="F3370" s="69"/>
      <c r="G3370" s="64"/>
      <c r="H3370" s="321"/>
      <c r="I3370" s="385"/>
      <c r="J3370" s="392"/>
      <c r="K3370" s="385"/>
      <c r="L3370" s="392"/>
      <c r="M3370" s="62"/>
      <c r="N3370" s="63"/>
      <c r="O3370" s="63"/>
      <c r="P3370" s="79" t="str">
        <f>IF(AND('331-CT'!$E$7=TH!H3370,OR(N3370="331",O3370="331")),"x","")</f>
        <v/>
      </c>
      <c r="Q3370" s="79" t="str">
        <f>IF(AND(B3370='111'!$L$11,OR($N3370=$Q$7,$O3370=$Q$7)),"x","")</f>
        <v/>
      </c>
      <c r="R3370" s="79" t="str">
        <f>IF(AND($N3370=$Q$7,$B3370&lt;'111'!$L$11),"x","")</f>
        <v/>
      </c>
      <c r="S3370" s="79" t="str">
        <f>IF(AND($O3370=$Q$7,$B3370&lt;'111'!$L$11),"x","")</f>
        <v/>
      </c>
      <c r="T3370" s="79" t="str">
        <f>IF(ISERROR(FIND('112'!$M$9,G3370,1)),"",IF((AND(FIND('112'!$M$9,G3370,1)&gt;=1,B3370='112'!$K$9,OR($N3370='112'!$I$6,$O3370='112'!$I$6))),"x",""))</f>
        <v/>
      </c>
      <c r="U3370" s="79" t="str">
        <f>IF(ISERROR(FIND('112'!$M$9,G3370,1)),"",IF((AND(LEFT(G3370,2)=LEFT('112'!$M$9,2),B3370&lt;'112'!$K$9,$N3370='112'!$I$6)),"x",""))</f>
        <v/>
      </c>
      <c r="V3370" s="79" t="str">
        <f>IF(ISERROR(FIND('112'!$M$9,G3370,1)),"",IF((AND(RIGHT(G3370,2)=RIGHT('112'!$M$9,2),B3370&lt;'112'!$K$9,$O3370='112'!$I$6)),"x",""))</f>
        <v/>
      </c>
      <c r="W3370" s="79" t="str">
        <f>IF(AND('341-CT'!$H$9=H3370,OR(LEFT(N3370,3)=$W$7,LEFT(O3370,3)=$W$7)),"x","")</f>
        <v/>
      </c>
      <c r="X3370" s="79" t="str">
        <f>IF(OR(TH!N3370=TH!$X$7,O3370=TH!$X$7),"x","")</f>
        <v/>
      </c>
      <c r="Y3370" s="79" t="str">
        <f>IF(AND(OR(N3370="131",O3370="131"),H3370='131-CT'!$H$9),"x","")</f>
        <v/>
      </c>
      <c r="Z3370" s="79"/>
      <c r="AA3370" s="79" t="str">
        <f>IF(AND(MONTH(E3370)='IN-NX'!$J$5,'IN-NX'!$D$7=D3370),"x","")</f>
        <v/>
      </c>
      <c r="AB3370" s="79" t="str">
        <f>IF(AND(OR(LEFT(TH!N3370,2)="15",LEFT(TH!O3370,2)="15"),LEFT(TH!O3370,3)&lt;&gt;"111",'152-CT'!$J$8=TH!F3370),"x","")</f>
        <v/>
      </c>
      <c r="AC3370" s="79" t="str">
        <f>IF(AND(OR(LEFT(TH!N3370,2)="15",LEFT(TH!O3370,2)="15"),TK!$E$7=TH!F3370),"x","")</f>
        <v/>
      </c>
      <c r="AD3370" s="79" t="str">
        <f>IF(AND(N3370="1521",MONTH(C3370)='BK-NL'!$M$11),"x","")</f>
        <v/>
      </c>
    </row>
    <row r="3371" spans="1:30" ht="16.5" customHeight="1">
      <c r="A3371" s="318" t="str">
        <f>IF(B3371&lt;&gt;"",IF(AND(B3371='IN-TC'!$S$4,OR(TH!N3371="1111",TH!O3371="1111")),TH!D3371,""),"")</f>
        <v/>
      </c>
      <c r="B3371" s="60" t="str">
        <f t="shared" si="391"/>
        <v/>
      </c>
      <c r="C3371" s="61"/>
      <c r="D3371" s="61"/>
      <c r="E3371" s="61"/>
      <c r="F3371" s="69"/>
      <c r="G3371" s="64"/>
      <c r="H3371" s="321"/>
      <c r="I3371" s="385"/>
      <c r="J3371" s="392"/>
      <c r="K3371" s="385"/>
      <c r="L3371" s="392"/>
      <c r="M3371" s="62"/>
      <c r="N3371" s="63"/>
      <c r="O3371" s="63"/>
      <c r="P3371" s="79" t="str">
        <f>IF(AND('331-CT'!$E$7=TH!H3371,OR(N3371="331",O3371="331")),"x","")</f>
        <v/>
      </c>
      <c r="Q3371" s="79" t="str">
        <f>IF(AND(B3371='111'!$L$11,OR($N3371=$Q$7,$O3371=$Q$7)),"x","")</f>
        <v/>
      </c>
      <c r="R3371" s="79" t="str">
        <f>IF(AND($N3371=$Q$7,$B3371&lt;'111'!$L$11),"x","")</f>
        <v/>
      </c>
      <c r="S3371" s="79" t="str">
        <f>IF(AND($O3371=$Q$7,$B3371&lt;'111'!$L$11),"x","")</f>
        <v/>
      </c>
      <c r="T3371" s="79" t="str">
        <f>IF(ISERROR(FIND('112'!$M$9,G3371,1)),"",IF((AND(FIND('112'!$M$9,G3371,1)&gt;=1,B3371='112'!$K$9,OR($N3371='112'!$I$6,$O3371='112'!$I$6))),"x",""))</f>
        <v/>
      </c>
      <c r="U3371" s="79" t="str">
        <f>IF(ISERROR(FIND('112'!$M$9,G3371,1)),"",IF((AND(LEFT(G3371,2)=LEFT('112'!$M$9,2),B3371&lt;'112'!$K$9,$N3371='112'!$I$6)),"x",""))</f>
        <v/>
      </c>
      <c r="V3371" s="79" t="str">
        <f>IF(ISERROR(FIND('112'!$M$9,G3371,1)),"",IF((AND(RIGHT(G3371,2)=RIGHT('112'!$M$9,2),B3371&lt;'112'!$K$9,$O3371='112'!$I$6)),"x",""))</f>
        <v/>
      </c>
      <c r="W3371" s="79" t="str">
        <f>IF(AND('341-CT'!$H$9=H3371,OR(LEFT(N3371,3)=$W$7,LEFT(O3371,3)=$W$7)),"x","")</f>
        <v/>
      </c>
      <c r="X3371" s="79" t="str">
        <f>IF(OR(TH!N3371=TH!$X$7,O3371=TH!$X$7),"x","")</f>
        <v/>
      </c>
      <c r="Y3371" s="79" t="str">
        <f>IF(AND(OR(N3371="131",O3371="131"),H3371='131-CT'!$H$9),"x","")</f>
        <v/>
      </c>
      <c r="Z3371" s="79"/>
      <c r="AA3371" s="79" t="str">
        <f>IF(AND(MONTH(E3371)='IN-NX'!$J$5,'IN-NX'!$D$7=D3371),"x","")</f>
        <v/>
      </c>
      <c r="AB3371" s="79" t="str">
        <f>IF(AND(OR(LEFT(TH!N3371,2)="15",LEFT(TH!O3371,2)="15"),LEFT(TH!O3371,3)&lt;&gt;"111",'152-CT'!$J$8=TH!F3371),"x","")</f>
        <v/>
      </c>
      <c r="AC3371" s="79" t="str">
        <f>IF(AND(OR(LEFT(TH!N3371,2)="15",LEFT(TH!O3371,2)="15"),TK!$E$7=TH!F3371),"x","")</f>
        <v/>
      </c>
      <c r="AD3371" s="79" t="str">
        <f>IF(AND(N3371="1521",MONTH(C3371)='BK-NL'!$M$11),"x","")</f>
        <v/>
      </c>
    </row>
    <row r="3372" spans="1:30" ht="16.5" customHeight="1">
      <c r="A3372" s="318" t="str">
        <f>IF(B3372&lt;&gt;"",IF(AND(B3372='IN-TC'!$S$4,OR(TH!N3372="1111",TH!O3372="1111")),TH!D3372,""),"")</f>
        <v/>
      </c>
      <c r="B3372" s="60" t="str">
        <f t="shared" si="391"/>
        <v/>
      </c>
      <c r="C3372" s="61"/>
      <c r="D3372" s="61"/>
      <c r="E3372" s="61"/>
      <c r="F3372" s="69"/>
      <c r="G3372" s="64"/>
      <c r="H3372" s="321"/>
      <c r="I3372" s="385"/>
      <c r="J3372" s="392"/>
      <c r="K3372" s="385"/>
      <c r="L3372" s="392"/>
      <c r="M3372" s="62"/>
      <c r="N3372" s="63"/>
      <c r="O3372" s="63"/>
      <c r="P3372" s="79" t="str">
        <f>IF(AND('331-CT'!$E$7=TH!H3372,OR(N3372="331",O3372="331")),"x","")</f>
        <v/>
      </c>
      <c r="Q3372" s="79" t="str">
        <f>IF(AND(B3372='111'!$L$11,OR($N3372=$Q$7,$O3372=$Q$7)),"x","")</f>
        <v/>
      </c>
      <c r="R3372" s="79" t="str">
        <f>IF(AND($N3372=$Q$7,$B3372&lt;'111'!$L$11),"x","")</f>
        <v/>
      </c>
      <c r="S3372" s="79" t="str">
        <f>IF(AND($O3372=$Q$7,$B3372&lt;'111'!$L$11),"x","")</f>
        <v/>
      </c>
      <c r="T3372" s="79" t="str">
        <f>IF(ISERROR(FIND('112'!$M$9,G3372,1)),"",IF((AND(FIND('112'!$M$9,G3372,1)&gt;=1,B3372='112'!$K$9,OR($N3372='112'!$I$6,$O3372='112'!$I$6))),"x",""))</f>
        <v/>
      </c>
      <c r="U3372" s="79" t="str">
        <f>IF(ISERROR(FIND('112'!$M$9,G3372,1)),"",IF((AND(LEFT(G3372,2)=LEFT('112'!$M$9,2),B3372&lt;'112'!$K$9,$N3372='112'!$I$6)),"x",""))</f>
        <v/>
      </c>
      <c r="V3372" s="79" t="str">
        <f>IF(ISERROR(FIND('112'!$M$9,G3372,1)),"",IF((AND(RIGHT(G3372,2)=RIGHT('112'!$M$9,2),B3372&lt;'112'!$K$9,$O3372='112'!$I$6)),"x",""))</f>
        <v/>
      </c>
      <c r="W3372" s="79" t="str">
        <f>IF(AND('341-CT'!$H$9=H3372,OR(LEFT(N3372,3)=$W$7,LEFT(O3372,3)=$W$7)),"x","")</f>
        <v/>
      </c>
      <c r="X3372" s="79" t="str">
        <f>IF(OR(TH!N3372=TH!$X$7,O3372=TH!$X$7),"x","")</f>
        <v/>
      </c>
      <c r="Y3372" s="79" t="str">
        <f>IF(AND(OR(N3372="131",O3372="131"),H3372='131-CT'!$H$9),"x","")</f>
        <v/>
      </c>
      <c r="Z3372" s="79"/>
      <c r="AA3372" s="79" t="str">
        <f>IF(AND(MONTH(E3372)='IN-NX'!$J$5,'IN-NX'!$D$7=D3372),"x","")</f>
        <v/>
      </c>
      <c r="AB3372" s="79" t="str">
        <f>IF(AND(OR(LEFT(TH!N3372,2)="15",LEFT(TH!O3372,2)="15"),LEFT(TH!O3372,3)&lt;&gt;"111",'152-CT'!$J$8=TH!F3372),"x","")</f>
        <v/>
      </c>
      <c r="AC3372" s="79" t="str">
        <f>IF(AND(OR(LEFT(TH!N3372,2)="15",LEFT(TH!O3372,2)="15"),TK!$E$7=TH!F3372),"x","")</f>
        <v/>
      </c>
      <c r="AD3372" s="79" t="str">
        <f>IF(AND(N3372="1521",MONTH(C3372)='BK-NL'!$M$11),"x","")</f>
        <v/>
      </c>
    </row>
    <row r="3373" spans="1:30" ht="16.5" customHeight="1">
      <c r="A3373" s="318" t="str">
        <f>IF(B3373&lt;&gt;"",IF(AND(B3373='IN-TC'!$S$4,OR(TH!N3373="1111",TH!O3373="1111")),TH!D3373,""),"")</f>
        <v/>
      </c>
      <c r="B3373" s="60" t="str">
        <f t="shared" si="391"/>
        <v/>
      </c>
      <c r="C3373" s="61"/>
      <c r="D3373" s="61"/>
      <c r="E3373" s="61"/>
      <c r="F3373" s="69"/>
      <c r="G3373" s="64"/>
      <c r="H3373" s="321"/>
      <c r="I3373" s="385"/>
      <c r="J3373" s="392"/>
      <c r="K3373" s="385"/>
      <c r="L3373" s="392"/>
      <c r="M3373" s="62"/>
      <c r="N3373" s="63"/>
      <c r="O3373" s="63"/>
      <c r="P3373" s="79" t="str">
        <f>IF(AND('331-CT'!$E$7=TH!H3373,OR(N3373="331",O3373="331")),"x","")</f>
        <v/>
      </c>
      <c r="Q3373" s="79" t="str">
        <f>IF(AND(B3373='111'!$L$11,OR($N3373=$Q$7,$O3373=$Q$7)),"x","")</f>
        <v/>
      </c>
      <c r="R3373" s="79" t="str">
        <f>IF(AND($N3373=$Q$7,$B3373&lt;'111'!$L$11),"x","")</f>
        <v/>
      </c>
      <c r="S3373" s="79" t="str">
        <f>IF(AND($O3373=$Q$7,$B3373&lt;'111'!$L$11),"x","")</f>
        <v/>
      </c>
      <c r="T3373" s="79" t="str">
        <f>IF(ISERROR(FIND('112'!$M$9,G3373,1)),"",IF((AND(FIND('112'!$M$9,G3373,1)&gt;=1,B3373='112'!$K$9,OR($N3373='112'!$I$6,$O3373='112'!$I$6))),"x",""))</f>
        <v/>
      </c>
      <c r="U3373" s="79" t="str">
        <f>IF(ISERROR(FIND('112'!$M$9,G3373,1)),"",IF((AND(LEFT(G3373,2)=LEFT('112'!$M$9,2),B3373&lt;'112'!$K$9,$N3373='112'!$I$6)),"x",""))</f>
        <v/>
      </c>
      <c r="V3373" s="79" t="str">
        <f>IF(ISERROR(FIND('112'!$M$9,G3373,1)),"",IF((AND(RIGHT(G3373,2)=RIGHT('112'!$M$9,2),B3373&lt;'112'!$K$9,$O3373='112'!$I$6)),"x",""))</f>
        <v/>
      </c>
      <c r="W3373" s="79" t="str">
        <f>IF(AND('341-CT'!$H$9=H3373,OR(LEFT(N3373,3)=$W$7,LEFT(O3373,3)=$W$7)),"x","")</f>
        <v/>
      </c>
      <c r="X3373" s="79" t="str">
        <f>IF(OR(TH!N3373=TH!$X$7,O3373=TH!$X$7),"x","")</f>
        <v/>
      </c>
      <c r="Y3373" s="79" t="str">
        <f>IF(AND(OR(N3373="131",O3373="131"),H3373='131-CT'!$H$9),"x","")</f>
        <v/>
      </c>
      <c r="Z3373" s="79"/>
      <c r="AA3373" s="79" t="str">
        <f>IF(AND(MONTH(E3373)='IN-NX'!$J$5,'IN-NX'!$D$7=D3373),"x","")</f>
        <v/>
      </c>
      <c r="AB3373" s="79" t="str">
        <f>IF(AND(OR(LEFT(TH!N3373,2)="15",LEFT(TH!O3373,2)="15"),LEFT(TH!O3373,3)&lt;&gt;"111",'152-CT'!$J$8=TH!F3373),"x","")</f>
        <v/>
      </c>
      <c r="AC3373" s="79" t="str">
        <f>IF(AND(OR(LEFT(TH!N3373,2)="15",LEFT(TH!O3373,2)="15"),TK!$E$7=TH!F3373),"x","")</f>
        <v/>
      </c>
      <c r="AD3373" s="79" t="str">
        <f>IF(AND(N3373="1521",MONTH(C3373)='BK-NL'!$M$11),"x","")</f>
        <v/>
      </c>
    </row>
    <row r="3374" spans="1:30" ht="16.5" customHeight="1">
      <c r="A3374" s="318" t="str">
        <f>IF(B3374&lt;&gt;"",IF(AND(B3374='IN-TC'!$S$4,OR(TH!N3374="1111",TH!O3374="1111")),TH!D3374,""),"")</f>
        <v/>
      </c>
      <c r="B3374" s="60" t="str">
        <f t="shared" si="391"/>
        <v/>
      </c>
      <c r="C3374" s="61"/>
      <c r="D3374" s="61"/>
      <c r="E3374" s="61"/>
      <c r="F3374" s="69"/>
      <c r="G3374" s="64"/>
      <c r="H3374" s="321"/>
      <c r="I3374" s="385"/>
      <c r="J3374" s="392"/>
      <c r="K3374" s="385"/>
      <c r="L3374" s="392"/>
      <c r="M3374" s="62"/>
      <c r="N3374" s="63"/>
      <c r="O3374" s="63"/>
      <c r="P3374" s="79" t="str">
        <f>IF(AND('331-CT'!$E$7=TH!H3374,OR(N3374="331",O3374="331")),"x","")</f>
        <v/>
      </c>
      <c r="Q3374" s="79" t="str">
        <f>IF(AND(B3374='111'!$L$11,OR($N3374=$Q$7,$O3374=$Q$7)),"x","")</f>
        <v/>
      </c>
      <c r="R3374" s="79" t="str">
        <f>IF(AND($N3374=$Q$7,$B3374&lt;'111'!$L$11),"x","")</f>
        <v/>
      </c>
      <c r="S3374" s="79" t="str">
        <f>IF(AND($O3374=$Q$7,$B3374&lt;'111'!$L$11),"x","")</f>
        <v/>
      </c>
      <c r="T3374" s="79" t="str">
        <f>IF(ISERROR(FIND('112'!$M$9,G3374,1)),"",IF((AND(FIND('112'!$M$9,G3374,1)&gt;=1,B3374='112'!$K$9,OR($N3374='112'!$I$6,$O3374='112'!$I$6))),"x",""))</f>
        <v/>
      </c>
      <c r="U3374" s="79" t="str">
        <f>IF(ISERROR(FIND('112'!$M$9,G3374,1)),"",IF((AND(LEFT(G3374,2)=LEFT('112'!$M$9,2),B3374&lt;'112'!$K$9,$N3374='112'!$I$6)),"x",""))</f>
        <v/>
      </c>
      <c r="V3374" s="79" t="str">
        <f>IF(ISERROR(FIND('112'!$M$9,G3374,1)),"",IF((AND(RIGHT(G3374,2)=RIGHT('112'!$M$9,2),B3374&lt;'112'!$K$9,$O3374='112'!$I$6)),"x",""))</f>
        <v/>
      </c>
      <c r="W3374" s="79" t="str">
        <f>IF(AND('341-CT'!$H$9=H3374,OR(LEFT(N3374,3)=$W$7,LEFT(O3374,3)=$W$7)),"x","")</f>
        <v/>
      </c>
      <c r="X3374" s="79" t="str">
        <f>IF(OR(TH!N3374=TH!$X$7,O3374=TH!$X$7),"x","")</f>
        <v/>
      </c>
      <c r="Y3374" s="79" t="str">
        <f>IF(AND(OR(N3374="131",O3374="131"),H3374='131-CT'!$H$9),"x","")</f>
        <v/>
      </c>
      <c r="Z3374" s="79"/>
      <c r="AA3374" s="79" t="str">
        <f>IF(AND(MONTH(E3374)='IN-NX'!$J$5,'IN-NX'!$D$7=D3374),"x","")</f>
        <v/>
      </c>
      <c r="AB3374" s="79" t="str">
        <f>IF(AND(OR(LEFT(TH!N3374,2)="15",LEFT(TH!O3374,2)="15"),LEFT(TH!O3374,3)&lt;&gt;"111",'152-CT'!$J$8=TH!F3374),"x","")</f>
        <v/>
      </c>
      <c r="AC3374" s="79" t="str">
        <f>IF(AND(OR(LEFT(TH!N3374,2)="15",LEFT(TH!O3374,2)="15"),TK!$E$7=TH!F3374),"x","")</f>
        <v/>
      </c>
      <c r="AD3374" s="79" t="str">
        <f>IF(AND(N3374="1521",MONTH(C3374)='BK-NL'!$M$11),"x","")</f>
        <v/>
      </c>
    </row>
    <row r="3375" spans="1:30" ht="16.5" customHeight="1">
      <c r="A3375" s="318" t="str">
        <f>IF(B3375&lt;&gt;"",IF(AND(B3375='IN-TC'!$S$4,OR(TH!N3375="1111",TH!O3375="1111")),TH!D3375,""),"")</f>
        <v/>
      </c>
      <c r="B3375" s="60" t="str">
        <f t="shared" si="391"/>
        <v/>
      </c>
      <c r="C3375" s="61"/>
      <c r="D3375" s="61"/>
      <c r="E3375" s="61"/>
      <c r="F3375" s="69"/>
      <c r="G3375" s="64"/>
      <c r="H3375" s="321"/>
      <c r="I3375" s="385"/>
      <c r="J3375" s="392"/>
      <c r="K3375" s="385"/>
      <c r="L3375" s="392"/>
      <c r="M3375" s="62"/>
      <c r="N3375" s="63"/>
      <c r="O3375" s="63"/>
      <c r="P3375" s="79" t="str">
        <f>IF(AND('331-CT'!$E$7=TH!H3375,OR(N3375="331",O3375="331")),"x","")</f>
        <v/>
      </c>
      <c r="Q3375" s="79" t="str">
        <f>IF(AND(B3375='111'!$L$11,OR($N3375=$Q$7,$O3375=$Q$7)),"x","")</f>
        <v/>
      </c>
      <c r="R3375" s="79" t="str">
        <f>IF(AND($N3375=$Q$7,$B3375&lt;'111'!$L$11),"x","")</f>
        <v/>
      </c>
      <c r="S3375" s="79" t="str">
        <f>IF(AND($O3375=$Q$7,$B3375&lt;'111'!$L$11),"x","")</f>
        <v/>
      </c>
      <c r="T3375" s="79" t="str">
        <f>IF(ISERROR(FIND('112'!$M$9,G3375,1)),"",IF((AND(FIND('112'!$M$9,G3375,1)&gt;=1,B3375='112'!$K$9,OR($N3375='112'!$I$6,$O3375='112'!$I$6))),"x",""))</f>
        <v/>
      </c>
      <c r="U3375" s="79" t="str">
        <f>IF(ISERROR(FIND('112'!$M$9,G3375,1)),"",IF((AND(LEFT(G3375,2)=LEFT('112'!$M$9,2),B3375&lt;'112'!$K$9,$N3375='112'!$I$6)),"x",""))</f>
        <v/>
      </c>
      <c r="V3375" s="79" t="str">
        <f>IF(ISERROR(FIND('112'!$M$9,G3375,1)),"",IF((AND(RIGHT(G3375,2)=RIGHT('112'!$M$9,2),B3375&lt;'112'!$K$9,$O3375='112'!$I$6)),"x",""))</f>
        <v/>
      </c>
      <c r="W3375" s="79" t="str">
        <f>IF(AND('341-CT'!$H$9=H3375,OR(LEFT(N3375,3)=$W$7,LEFT(O3375,3)=$W$7)),"x","")</f>
        <v/>
      </c>
      <c r="X3375" s="79" t="str">
        <f>IF(OR(TH!N3375=TH!$X$7,O3375=TH!$X$7),"x","")</f>
        <v/>
      </c>
      <c r="Y3375" s="79" t="str">
        <f>IF(AND(OR(N3375="131",O3375="131"),H3375='131-CT'!$H$9),"x","")</f>
        <v/>
      </c>
      <c r="Z3375" s="79"/>
      <c r="AA3375" s="79" t="str">
        <f>IF(AND(MONTH(E3375)='IN-NX'!$J$5,'IN-NX'!$D$7=D3375),"x","")</f>
        <v/>
      </c>
      <c r="AB3375" s="79" t="str">
        <f>IF(AND(OR(LEFT(TH!N3375,2)="15",LEFT(TH!O3375,2)="15"),LEFT(TH!O3375,3)&lt;&gt;"111",'152-CT'!$J$8=TH!F3375),"x","")</f>
        <v/>
      </c>
      <c r="AC3375" s="79" t="str">
        <f>IF(AND(OR(LEFT(TH!N3375,2)="15",LEFT(TH!O3375,2)="15"),TK!$E$7=TH!F3375),"x","")</f>
        <v/>
      </c>
      <c r="AD3375" s="79" t="str">
        <f>IF(AND(N3375="1521",MONTH(C3375)='BK-NL'!$M$11),"x","")</f>
        <v/>
      </c>
    </row>
    <row r="3376" spans="1:30" ht="16.5" customHeight="1">
      <c r="A3376" s="318" t="str">
        <f>IF(B3376&lt;&gt;"",IF(AND(B3376='IN-TC'!$S$4,OR(TH!N3376="1111",TH!O3376="1111")),TH!D3376,""),"")</f>
        <v/>
      </c>
      <c r="B3376" s="60" t="str">
        <f t="shared" si="391"/>
        <v/>
      </c>
      <c r="C3376" s="61"/>
      <c r="D3376" s="61"/>
      <c r="E3376" s="61"/>
      <c r="F3376" s="69"/>
      <c r="G3376" s="64"/>
      <c r="H3376" s="321"/>
      <c r="I3376" s="385"/>
      <c r="J3376" s="392"/>
      <c r="K3376" s="385"/>
      <c r="L3376" s="392"/>
      <c r="M3376" s="62"/>
      <c r="N3376" s="63"/>
      <c r="O3376" s="63"/>
      <c r="P3376" s="79" t="str">
        <f>IF(AND('331-CT'!$E$7=TH!H3376,OR(N3376="331",O3376="331")),"x","")</f>
        <v/>
      </c>
      <c r="Q3376" s="79" t="str">
        <f>IF(AND(B3376='111'!$L$11,OR($N3376=$Q$7,$O3376=$Q$7)),"x","")</f>
        <v/>
      </c>
      <c r="R3376" s="79" t="str">
        <f>IF(AND($N3376=$Q$7,$B3376&lt;'111'!$L$11),"x","")</f>
        <v/>
      </c>
      <c r="S3376" s="79" t="str">
        <f>IF(AND($O3376=$Q$7,$B3376&lt;'111'!$L$11),"x","")</f>
        <v/>
      </c>
      <c r="T3376" s="79" t="str">
        <f>IF(ISERROR(FIND('112'!$M$9,G3376,1)),"",IF((AND(FIND('112'!$M$9,G3376,1)&gt;=1,B3376='112'!$K$9,OR($N3376='112'!$I$6,$O3376='112'!$I$6))),"x",""))</f>
        <v/>
      </c>
      <c r="U3376" s="79" t="str">
        <f>IF(ISERROR(FIND('112'!$M$9,G3376,1)),"",IF((AND(LEFT(G3376,2)=LEFT('112'!$M$9,2),B3376&lt;'112'!$K$9,$N3376='112'!$I$6)),"x",""))</f>
        <v/>
      </c>
      <c r="V3376" s="79" t="str">
        <f>IF(ISERROR(FIND('112'!$M$9,G3376,1)),"",IF((AND(RIGHT(G3376,2)=RIGHT('112'!$M$9,2),B3376&lt;'112'!$K$9,$O3376='112'!$I$6)),"x",""))</f>
        <v/>
      </c>
      <c r="W3376" s="79" t="str">
        <f>IF(AND('341-CT'!$H$9=H3376,OR(LEFT(N3376,3)=$W$7,LEFT(O3376,3)=$W$7)),"x","")</f>
        <v/>
      </c>
      <c r="X3376" s="79" t="str">
        <f>IF(OR(TH!N3376=TH!$X$7,O3376=TH!$X$7),"x","")</f>
        <v/>
      </c>
      <c r="Y3376" s="79" t="str">
        <f>IF(AND(OR(N3376="131",O3376="131"),H3376='131-CT'!$H$9),"x","")</f>
        <v/>
      </c>
      <c r="Z3376" s="79"/>
      <c r="AA3376" s="79" t="str">
        <f>IF(AND(MONTH(E3376)='IN-NX'!$J$5,'IN-NX'!$D$7=D3376),"x","")</f>
        <v/>
      </c>
      <c r="AB3376" s="79" t="str">
        <f>IF(AND(OR(LEFT(TH!N3376,2)="15",LEFT(TH!O3376,2)="15"),LEFT(TH!O3376,3)&lt;&gt;"111",'152-CT'!$J$8=TH!F3376),"x","")</f>
        <v/>
      </c>
      <c r="AC3376" s="79" t="str">
        <f>IF(AND(OR(LEFT(TH!N3376,2)="15",LEFT(TH!O3376,2)="15"),TK!$E$7=TH!F3376),"x","")</f>
        <v/>
      </c>
      <c r="AD3376" s="79" t="str">
        <f>IF(AND(N3376="1521",MONTH(C3376)='BK-NL'!$M$11),"x","")</f>
        <v/>
      </c>
    </row>
    <row r="3377" spans="1:30" ht="16.5" customHeight="1">
      <c r="A3377" s="318" t="str">
        <f>IF(B3377&lt;&gt;"",IF(AND(B3377='IN-TC'!$S$4,OR(TH!N3377="1111",TH!O3377="1111")),TH!D3377,""),"")</f>
        <v/>
      </c>
      <c r="B3377" s="60" t="str">
        <f t="shared" si="391"/>
        <v/>
      </c>
      <c r="C3377" s="61"/>
      <c r="D3377" s="61"/>
      <c r="E3377" s="61"/>
      <c r="F3377" s="69"/>
      <c r="G3377" s="64"/>
      <c r="H3377" s="321"/>
      <c r="I3377" s="385"/>
      <c r="J3377" s="392"/>
      <c r="K3377" s="385"/>
      <c r="L3377" s="392"/>
      <c r="M3377" s="62"/>
      <c r="N3377" s="63"/>
      <c r="O3377" s="63"/>
      <c r="P3377" s="79" t="str">
        <f>IF(AND('331-CT'!$E$7=TH!H3377,OR(N3377="331",O3377="331")),"x","")</f>
        <v/>
      </c>
      <c r="Q3377" s="79" t="str">
        <f>IF(AND(B3377='111'!$L$11,OR($N3377=$Q$7,$O3377=$Q$7)),"x","")</f>
        <v/>
      </c>
      <c r="R3377" s="79" t="str">
        <f>IF(AND($N3377=$Q$7,$B3377&lt;'111'!$L$11),"x","")</f>
        <v/>
      </c>
      <c r="S3377" s="79" t="str">
        <f>IF(AND($O3377=$Q$7,$B3377&lt;'111'!$L$11),"x","")</f>
        <v/>
      </c>
      <c r="T3377" s="79" t="str">
        <f>IF(ISERROR(FIND('112'!$M$9,G3377,1)),"",IF((AND(FIND('112'!$M$9,G3377,1)&gt;=1,B3377='112'!$K$9,OR($N3377='112'!$I$6,$O3377='112'!$I$6))),"x",""))</f>
        <v/>
      </c>
      <c r="U3377" s="79" t="str">
        <f>IF(ISERROR(FIND('112'!$M$9,G3377,1)),"",IF((AND(LEFT(G3377,2)=LEFT('112'!$M$9,2),B3377&lt;'112'!$K$9,$N3377='112'!$I$6)),"x",""))</f>
        <v/>
      </c>
      <c r="V3377" s="79" t="str">
        <f>IF(ISERROR(FIND('112'!$M$9,G3377,1)),"",IF((AND(RIGHT(G3377,2)=RIGHT('112'!$M$9,2),B3377&lt;'112'!$K$9,$O3377='112'!$I$6)),"x",""))</f>
        <v/>
      </c>
      <c r="W3377" s="79" t="str">
        <f>IF(AND('341-CT'!$H$9=H3377,OR(LEFT(N3377,3)=$W$7,LEFT(O3377,3)=$W$7)),"x","")</f>
        <v/>
      </c>
      <c r="X3377" s="79" t="str">
        <f>IF(OR(TH!N3377=TH!$X$7,O3377=TH!$X$7),"x","")</f>
        <v/>
      </c>
      <c r="Y3377" s="79" t="str">
        <f>IF(AND(OR(N3377="131",O3377="131"),H3377='131-CT'!$H$9),"x","")</f>
        <v/>
      </c>
      <c r="Z3377" s="79"/>
      <c r="AA3377" s="79" t="str">
        <f>IF(AND(MONTH(E3377)='IN-NX'!$J$5,'IN-NX'!$D$7=D3377),"x","")</f>
        <v/>
      </c>
      <c r="AB3377" s="79" t="str">
        <f>IF(AND(OR(LEFT(TH!N3377,2)="15",LEFT(TH!O3377,2)="15"),LEFT(TH!O3377,3)&lt;&gt;"111",'152-CT'!$J$8=TH!F3377),"x","")</f>
        <v/>
      </c>
      <c r="AC3377" s="79" t="str">
        <f>IF(AND(OR(LEFT(TH!N3377,2)="15",LEFT(TH!O3377,2)="15"),TK!$E$7=TH!F3377),"x","")</f>
        <v/>
      </c>
      <c r="AD3377" s="79" t="str">
        <f>IF(AND(N3377="1521",MONTH(C3377)='BK-NL'!$M$11),"x","")</f>
        <v/>
      </c>
    </row>
    <row r="3378" spans="1:30" ht="16.5" customHeight="1">
      <c r="A3378" s="318" t="str">
        <f>IF(B3378&lt;&gt;"",IF(AND(B3378='IN-TC'!$S$4,OR(TH!N3378="1111",TH!O3378="1111")),TH!D3378,""),"")</f>
        <v/>
      </c>
      <c r="B3378" s="60" t="str">
        <f t="shared" si="391"/>
        <v/>
      </c>
      <c r="C3378" s="61"/>
      <c r="D3378" s="61"/>
      <c r="E3378" s="61"/>
      <c r="F3378" s="69"/>
      <c r="G3378" s="64"/>
      <c r="H3378" s="321"/>
      <c r="I3378" s="385"/>
      <c r="J3378" s="392"/>
      <c r="K3378" s="385"/>
      <c r="L3378" s="392"/>
      <c r="M3378" s="62"/>
      <c r="N3378" s="63"/>
      <c r="O3378" s="304"/>
      <c r="P3378" s="79" t="str">
        <f>IF(AND('331-CT'!$E$7=TH!H3378,OR(N3378="331",O3378="331")),"x","")</f>
        <v/>
      </c>
      <c r="Q3378" s="79" t="str">
        <f>IF(AND(B3378='111'!$L$11,OR($N3378=$Q$7,$O3378=$Q$7)),"x","")</f>
        <v/>
      </c>
      <c r="R3378" s="79" t="str">
        <f>IF(AND($N3378=$Q$7,$B3378&lt;'111'!$L$11),"x","")</f>
        <v/>
      </c>
      <c r="S3378" s="79" t="str">
        <f>IF(AND($O3378=$Q$7,$B3378&lt;'111'!$L$11),"x","")</f>
        <v/>
      </c>
      <c r="T3378" s="79" t="str">
        <f>IF(ISERROR(FIND('112'!$M$9,G3378,1)),"",IF((AND(FIND('112'!$M$9,G3378,1)&gt;=1,B3378='112'!$K$9,OR($N3378='112'!$I$6,$O3378='112'!$I$6))),"x",""))</f>
        <v/>
      </c>
      <c r="U3378" s="79" t="str">
        <f>IF(ISERROR(FIND('112'!$M$9,G3378,1)),"",IF((AND(LEFT(G3378,2)=LEFT('112'!$M$9,2),B3378&lt;'112'!$K$9,$N3378='112'!$I$6)),"x",""))</f>
        <v/>
      </c>
      <c r="V3378" s="79" t="str">
        <f>IF(ISERROR(FIND('112'!$M$9,G3378,1)),"",IF((AND(RIGHT(G3378,2)=RIGHT('112'!$M$9,2),B3378&lt;'112'!$K$9,$O3378='112'!$I$6)),"x",""))</f>
        <v/>
      </c>
      <c r="W3378" s="79" t="str">
        <f>IF(AND('341-CT'!$H$9=H3378,OR(LEFT(N3378,3)=$W$7,LEFT(O3378,3)=$W$7)),"x","")</f>
        <v/>
      </c>
      <c r="X3378" s="79" t="str">
        <f>IF(OR(TH!N3378=TH!$X$7,O3378=TH!$X$7),"x","")</f>
        <v/>
      </c>
      <c r="Y3378" s="79" t="str">
        <f>IF(AND(OR(N3378="131",O3378="131"),H3378='131-CT'!$H$9),"x","")</f>
        <v/>
      </c>
      <c r="Z3378" s="79"/>
      <c r="AA3378" s="79" t="str">
        <f>IF(AND(MONTH(E3378)='IN-NX'!$J$5,'IN-NX'!$D$7=D3378),"x","")</f>
        <v/>
      </c>
      <c r="AB3378" s="79" t="str">
        <f>IF(AND(OR(LEFT(TH!N3378,2)="15",LEFT(TH!O3378,2)="15"),LEFT(TH!O3378,3)&lt;&gt;"111",'152-CT'!$J$8=TH!F3378),"x","")</f>
        <v/>
      </c>
      <c r="AC3378" s="79" t="str">
        <f>IF(AND(OR(LEFT(TH!N3378,2)="15",LEFT(TH!O3378,2)="15"),TK!$E$7=TH!F3378),"x","")</f>
        <v/>
      </c>
      <c r="AD3378" s="79" t="str">
        <f>IF(AND(N3378="1521",MONTH(C3378)='BK-NL'!$M$11),"x","")</f>
        <v/>
      </c>
    </row>
    <row r="3379" spans="1:30" ht="16.5" customHeight="1">
      <c r="A3379" s="318" t="str">
        <f>IF(B3379&lt;&gt;"",IF(AND(B3379='IN-TC'!$S$4,OR(TH!N3379="1111",TH!O3379="1111")),TH!D3379,""),"")</f>
        <v/>
      </c>
      <c r="B3379" s="60" t="str">
        <f t="shared" si="391"/>
        <v/>
      </c>
      <c r="C3379" s="61"/>
      <c r="D3379" s="61"/>
      <c r="E3379" s="61"/>
      <c r="F3379" s="69"/>
      <c r="G3379" s="64"/>
      <c r="H3379" s="321"/>
      <c r="I3379" s="385"/>
      <c r="J3379" s="392"/>
      <c r="K3379" s="385"/>
      <c r="L3379" s="392"/>
      <c r="M3379" s="62"/>
      <c r="N3379" s="63"/>
      <c r="O3379" s="63"/>
      <c r="P3379" s="79" t="str">
        <f>IF(AND('331-CT'!$E$7=TH!H3379,OR(N3379="331",O3379="331")),"x","")</f>
        <v/>
      </c>
      <c r="Q3379" s="79" t="str">
        <f>IF(AND(B3379='111'!$L$11,OR($N3379=$Q$7,$O3379=$Q$7)),"x","")</f>
        <v/>
      </c>
      <c r="R3379" s="79" t="str">
        <f>IF(AND($N3379=$Q$7,$B3379&lt;'111'!$L$11),"x","")</f>
        <v/>
      </c>
      <c r="S3379" s="79" t="str">
        <f>IF(AND($O3379=$Q$7,$B3379&lt;'111'!$L$11),"x","")</f>
        <v/>
      </c>
      <c r="T3379" s="79" t="str">
        <f>IF(ISERROR(FIND('112'!$M$9,G3379,1)),"",IF((AND(FIND('112'!$M$9,G3379,1)&gt;=1,B3379='112'!$K$9,OR($N3379='112'!$I$6,$O3379='112'!$I$6))),"x",""))</f>
        <v/>
      </c>
      <c r="U3379" s="79" t="str">
        <f>IF(ISERROR(FIND('112'!$M$9,G3379,1)),"",IF((AND(LEFT(G3379,2)=LEFT('112'!$M$9,2),B3379&lt;'112'!$K$9,$N3379='112'!$I$6)),"x",""))</f>
        <v/>
      </c>
      <c r="V3379" s="79" t="str">
        <f>IF(ISERROR(FIND('112'!$M$9,G3379,1)),"",IF((AND(RIGHT(G3379,2)=RIGHT('112'!$M$9,2),B3379&lt;'112'!$K$9,$O3379='112'!$I$6)),"x",""))</f>
        <v/>
      </c>
      <c r="W3379" s="79" t="str">
        <f>IF(AND('341-CT'!$H$9=H3379,OR(LEFT(N3379,3)=$W$7,LEFT(O3379,3)=$W$7)),"x","")</f>
        <v/>
      </c>
      <c r="X3379" s="79" t="str">
        <f>IF(OR(TH!N3379=TH!$X$7,O3379=TH!$X$7),"x","")</f>
        <v/>
      </c>
      <c r="Y3379" s="79" t="str">
        <f>IF(AND(OR(N3379="131",O3379="131"),H3379='131-CT'!$H$9),"x","")</f>
        <v/>
      </c>
      <c r="Z3379" s="79"/>
      <c r="AA3379" s="79" t="str">
        <f>IF(AND(MONTH(E3379)='IN-NX'!$J$5,'IN-NX'!$D$7=D3379),"x","")</f>
        <v/>
      </c>
      <c r="AB3379" s="79" t="str">
        <f>IF(AND(OR(LEFT(TH!N3379,2)="15",LEFT(TH!O3379,2)="15"),LEFT(TH!O3379,3)&lt;&gt;"111",'152-CT'!$J$8=TH!F3379),"x","")</f>
        <v/>
      </c>
      <c r="AC3379" s="79" t="str">
        <f>IF(AND(OR(LEFT(TH!N3379,2)="15",LEFT(TH!O3379,2)="15"),TK!$E$7=TH!F3379),"x","")</f>
        <v/>
      </c>
      <c r="AD3379" s="79" t="str">
        <f>IF(AND(N3379="1521",MONTH(C3379)='BK-NL'!$M$11),"x","")</f>
        <v/>
      </c>
    </row>
    <row r="3380" spans="1:30" ht="16.5" customHeight="1">
      <c r="A3380" s="318" t="str">
        <f>IF(B3380&lt;&gt;"",IF(AND(B3380='IN-TC'!$S$4,OR(TH!N3380="1111",TH!O3380="1111")),TH!D3380,""),"")</f>
        <v/>
      </c>
      <c r="B3380" s="60" t="str">
        <f t="shared" si="391"/>
        <v/>
      </c>
      <c r="C3380" s="61"/>
      <c r="D3380" s="61"/>
      <c r="E3380" s="61"/>
      <c r="F3380" s="69"/>
      <c r="G3380" s="64"/>
      <c r="H3380" s="321"/>
      <c r="I3380" s="385"/>
      <c r="J3380" s="392"/>
      <c r="K3380" s="385"/>
      <c r="L3380" s="392"/>
      <c r="M3380" s="62"/>
      <c r="N3380" s="63"/>
      <c r="O3380" s="63"/>
      <c r="P3380" s="79" t="str">
        <f>IF(AND('331-CT'!$E$7=TH!H3380,OR(N3380="331",O3380="331")),"x","")</f>
        <v/>
      </c>
      <c r="Q3380" s="79" t="str">
        <f>IF(AND(B3380='111'!$L$11,OR($N3380=$Q$7,$O3380=$Q$7)),"x","")</f>
        <v/>
      </c>
      <c r="R3380" s="79" t="str">
        <f>IF(AND($N3380=$Q$7,$B3380&lt;'111'!$L$11),"x","")</f>
        <v/>
      </c>
      <c r="S3380" s="79" t="str">
        <f>IF(AND($O3380=$Q$7,$B3380&lt;'111'!$L$11),"x","")</f>
        <v/>
      </c>
      <c r="T3380" s="79" t="str">
        <f>IF(ISERROR(FIND('112'!$M$9,G3380,1)),"",IF((AND(FIND('112'!$M$9,G3380,1)&gt;=1,B3380='112'!$K$9,OR($N3380='112'!$I$6,$O3380='112'!$I$6))),"x",""))</f>
        <v/>
      </c>
      <c r="U3380" s="79" t="str">
        <f>IF(ISERROR(FIND('112'!$M$9,G3380,1)),"",IF((AND(LEFT(G3380,2)=LEFT('112'!$M$9,2),B3380&lt;'112'!$K$9,$N3380='112'!$I$6)),"x",""))</f>
        <v/>
      </c>
      <c r="V3380" s="79" t="str">
        <f>IF(ISERROR(FIND('112'!$M$9,G3380,1)),"",IF((AND(RIGHT(G3380,2)=RIGHT('112'!$M$9,2),B3380&lt;'112'!$K$9,$O3380='112'!$I$6)),"x",""))</f>
        <v/>
      </c>
      <c r="W3380" s="79" t="str">
        <f>IF(AND('341-CT'!$H$9=H3380,OR(LEFT(N3380,3)=$W$7,LEFT(O3380,3)=$W$7)),"x","")</f>
        <v/>
      </c>
      <c r="X3380" s="79" t="str">
        <f>IF(OR(TH!N3380=TH!$X$7,O3380=TH!$X$7),"x","")</f>
        <v/>
      </c>
      <c r="Y3380" s="79" t="str">
        <f>IF(AND(OR(N3380="131",O3380="131"),H3380='131-CT'!$H$9),"x","")</f>
        <v/>
      </c>
      <c r="Z3380" s="79"/>
      <c r="AA3380" s="79" t="str">
        <f>IF(AND(MONTH(E3380)='IN-NX'!$J$5,'IN-NX'!$D$7=D3380),"x","")</f>
        <v/>
      </c>
      <c r="AB3380" s="79" t="str">
        <f>IF(AND(OR(LEFT(TH!N3380,2)="15",LEFT(TH!O3380,2)="15"),LEFT(TH!O3380,3)&lt;&gt;"111",'152-CT'!$J$8=TH!F3380),"x","")</f>
        <v/>
      </c>
      <c r="AC3380" s="79" t="str">
        <f>IF(AND(OR(LEFT(TH!N3380,2)="15",LEFT(TH!O3380,2)="15"),TK!$E$7=TH!F3380),"x","")</f>
        <v/>
      </c>
      <c r="AD3380" s="79" t="str">
        <f>IF(AND(N3380="1521",MONTH(C3380)='BK-NL'!$M$11),"x","")</f>
        <v/>
      </c>
    </row>
    <row r="3381" spans="1:30" ht="16.5" customHeight="1">
      <c r="A3381" s="318" t="str">
        <f>IF(B3381&lt;&gt;"",IF(AND(B3381='IN-TC'!$S$4,OR(TH!N3381="1111",TH!O3381="1111")),TH!D3381,""),"")</f>
        <v/>
      </c>
      <c r="B3381" s="60" t="str">
        <f t="shared" si="391"/>
        <v/>
      </c>
      <c r="C3381" s="301"/>
      <c r="D3381" s="301"/>
      <c r="E3381" s="301"/>
      <c r="F3381" s="69"/>
      <c r="G3381" s="988"/>
      <c r="H3381" s="69"/>
      <c r="I3381" s="385"/>
      <c r="J3381" s="969"/>
      <c r="K3381" s="385"/>
      <c r="L3381" s="392"/>
      <c r="M3381" s="970"/>
      <c r="N3381" s="304"/>
      <c r="O3381" s="304"/>
      <c r="P3381" s="79" t="str">
        <f>IF(AND('331-CT'!$E$7=TH!H3381,OR(N3381="331",O3381="331")),"x","")</f>
        <v/>
      </c>
      <c r="Q3381" s="79" t="str">
        <f>IF(AND(B3381='111'!$L$11,OR($N3381=$Q$7,$O3381=$Q$7)),"x","")</f>
        <v/>
      </c>
      <c r="R3381" s="79" t="str">
        <f>IF(AND($N3381=$Q$7,$B3381&lt;'111'!$L$11),"x","")</f>
        <v/>
      </c>
      <c r="S3381" s="79" t="str">
        <f>IF(AND($O3381=$Q$7,$B3381&lt;'111'!$L$11),"x","")</f>
        <v/>
      </c>
      <c r="T3381" s="79" t="str">
        <f>IF(ISERROR(FIND('112'!$M$9,G3381,1)),"",IF((AND(FIND('112'!$M$9,G3381,1)&gt;=1,B3381='112'!$K$9,OR($N3381='112'!$I$6,$O3381='112'!$I$6))),"x",""))</f>
        <v/>
      </c>
      <c r="U3381" s="79" t="str">
        <f>IF(ISERROR(FIND('112'!$M$9,G3381,1)),"",IF((AND(LEFT(G3381,2)=LEFT('112'!$M$9,2),B3381&lt;'112'!$K$9,$N3381='112'!$I$6)),"x",""))</f>
        <v/>
      </c>
      <c r="V3381" s="79" t="str">
        <f>IF(ISERROR(FIND('112'!$M$9,G3381,1)),"",IF((AND(RIGHT(G3381,2)=RIGHT('112'!$M$9,2),B3381&lt;'112'!$K$9,$O3381='112'!$I$6)),"x",""))</f>
        <v/>
      </c>
      <c r="W3381" s="79" t="str">
        <f>IF(AND('341-CT'!$H$9=H3381,OR(LEFT(N3381,3)=$W$7,LEFT(O3381,3)=$W$7)),"x","")</f>
        <v/>
      </c>
      <c r="X3381" s="79" t="str">
        <f>IF(OR(TH!N3381=TH!$X$7,O3381=TH!$X$7),"x","")</f>
        <v/>
      </c>
      <c r="Y3381" s="79" t="str">
        <f>IF(AND(OR(N3381="131",O3381="131"),H3381='131-CT'!$H$9),"x","")</f>
        <v/>
      </c>
      <c r="Z3381" s="79"/>
      <c r="AA3381" s="79" t="str">
        <f>IF(AND(MONTH(E3381)='IN-NX'!$J$5,'IN-NX'!$D$7=D3381),"x","")</f>
        <v/>
      </c>
      <c r="AB3381" s="79" t="str">
        <f>IF(AND(OR(LEFT(TH!N3381,2)="15",LEFT(TH!O3381,2)="15"),LEFT(TH!O3381,3)&lt;&gt;"111",'152-CT'!$J$8=TH!F3381),"x","")</f>
        <v/>
      </c>
      <c r="AC3381" s="79" t="str">
        <f>IF(AND(OR(LEFT(TH!N3381,2)="15",LEFT(TH!O3381,2)="15"),TK!$E$7=TH!F3381),"x","")</f>
        <v/>
      </c>
      <c r="AD3381" s="79" t="str">
        <f>IF(AND(N3381="1521",MONTH(C3381)='BK-NL'!$M$11),"x","")</f>
        <v/>
      </c>
    </row>
    <row r="3382" spans="1:30" ht="16.5" customHeight="1">
      <c r="A3382" s="318" t="str">
        <f>IF(B3382&lt;&gt;"",IF(AND(B3382='IN-TC'!$S$4,OR(TH!N3382="1111",TH!O3382="1111")),TH!D3382,""),"")</f>
        <v/>
      </c>
      <c r="B3382" s="60" t="str">
        <f t="shared" si="391"/>
        <v/>
      </c>
      <c r="C3382" s="61"/>
      <c r="D3382" s="61"/>
      <c r="E3382" s="61"/>
      <c r="F3382" s="69"/>
      <c r="G3382" s="64"/>
      <c r="H3382" s="321"/>
      <c r="I3382" s="385"/>
      <c r="J3382" s="392"/>
      <c r="K3382" s="385"/>
      <c r="L3382" s="392"/>
      <c r="M3382" s="62"/>
      <c r="N3382" s="63"/>
      <c r="O3382" s="63"/>
      <c r="P3382" s="79" t="str">
        <f>IF(AND('331-CT'!$E$7=TH!H3382,OR(N3382="331",O3382="331")),"x","")</f>
        <v/>
      </c>
      <c r="Q3382" s="79" t="str">
        <f>IF(AND(B3382='111'!$L$11,OR($N3382=$Q$7,$O3382=$Q$7)),"x","")</f>
        <v/>
      </c>
      <c r="R3382" s="79" t="str">
        <f>IF(AND($N3382=$Q$7,$B3382&lt;'111'!$L$11),"x","")</f>
        <v/>
      </c>
      <c r="S3382" s="79" t="str">
        <f>IF(AND($O3382=$Q$7,$B3382&lt;'111'!$L$11),"x","")</f>
        <v/>
      </c>
      <c r="T3382" s="79" t="str">
        <f>IF(ISERROR(FIND('112'!$M$9,G3382,1)),"",IF((AND(FIND('112'!$M$9,G3382,1)&gt;=1,B3382='112'!$K$9,OR($N3382='112'!$I$6,$O3382='112'!$I$6))),"x",""))</f>
        <v/>
      </c>
      <c r="U3382" s="79" t="str">
        <f>IF(ISERROR(FIND('112'!$M$9,G3382,1)),"",IF((AND(LEFT(G3382,2)=LEFT('112'!$M$9,2),B3382&lt;'112'!$K$9,$N3382='112'!$I$6)),"x",""))</f>
        <v/>
      </c>
      <c r="V3382" s="79" t="str">
        <f>IF(ISERROR(FIND('112'!$M$9,G3382,1)),"",IF((AND(RIGHT(G3382,2)=RIGHT('112'!$M$9,2),B3382&lt;'112'!$K$9,$O3382='112'!$I$6)),"x",""))</f>
        <v/>
      </c>
      <c r="W3382" s="79" t="str">
        <f>IF(AND('341-CT'!$H$9=H3382,OR(LEFT(N3382,3)=$W$7,LEFT(O3382,3)=$W$7)),"x","")</f>
        <v/>
      </c>
      <c r="X3382" s="79" t="str">
        <f>IF(OR(TH!N3382=TH!$X$7,O3382=TH!$X$7),"x","")</f>
        <v/>
      </c>
      <c r="Y3382" s="79" t="str">
        <f>IF(AND(OR(N3382="131",O3382="131"),H3382='131-CT'!$H$9),"x","")</f>
        <v/>
      </c>
      <c r="Z3382" s="79"/>
      <c r="AA3382" s="79" t="str">
        <f>IF(AND(MONTH(E3382)='IN-NX'!$J$5,'IN-NX'!$D$7=D3382),"x","")</f>
        <v/>
      </c>
      <c r="AB3382" s="79" t="str">
        <f>IF(AND(OR(LEFT(TH!N3382,2)="15",LEFT(TH!O3382,2)="15"),LEFT(TH!O3382,3)&lt;&gt;"111",'152-CT'!$J$8=TH!F3382),"x","")</f>
        <v/>
      </c>
      <c r="AC3382" s="79" t="str">
        <f>IF(AND(OR(LEFT(TH!N3382,2)="15",LEFT(TH!O3382,2)="15"),TK!$E$7=TH!F3382),"x","")</f>
        <v/>
      </c>
      <c r="AD3382" s="79" t="str">
        <f>IF(AND(N3382="1521",MONTH(C3382)='BK-NL'!$M$11),"x","")</f>
        <v/>
      </c>
    </row>
    <row r="3383" spans="1:30" ht="16.5" customHeight="1">
      <c r="A3383" s="318" t="str">
        <f>IF(B3383&lt;&gt;"",IF(AND(B3383='IN-TC'!$S$4,OR(TH!N3383="1111",TH!O3383="1111")),TH!D3383,""),"")</f>
        <v/>
      </c>
      <c r="B3383" s="60" t="str">
        <f t="shared" si="391"/>
        <v/>
      </c>
      <c r="C3383" s="61"/>
      <c r="D3383" s="61"/>
      <c r="E3383" s="61"/>
      <c r="F3383" s="69"/>
      <c r="G3383" s="64"/>
      <c r="H3383" s="321"/>
      <c r="I3383" s="385"/>
      <c r="J3383" s="392"/>
      <c r="K3383" s="385"/>
      <c r="L3383" s="392"/>
      <c r="M3383" s="62"/>
      <c r="N3383" s="63"/>
      <c r="O3383" s="63"/>
      <c r="P3383" s="79" t="str">
        <f>IF(AND('331-CT'!$E$7=TH!H3383,OR(N3383="331",O3383="331")),"x","")</f>
        <v/>
      </c>
      <c r="Q3383" s="79" t="str">
        <f>IF(AND(B3383='111'!$L$11,OR($N3383=$Q$7,$O3383=$Q$7)),"x","")</f>
        <v/>
      </c>
      <c r="R3383" s="79" t="str">
        <f>IF(AND($N3383=$Q$7,$B3383&lt;'111'!$L$11),"x","")</f>
        <v/>
      </c>
      <c r="S3383" s="79" t="str">
        <f>IF(AND($O3383=$Q$7,$B3383&lt;'111'!$L$11),"x","")</f>
        <v/>
      </c>
      <c r="T3383" s="79" t="str">
        <f>IF(ISERROR(FIND('112'!$M$9,G3383,1)),"",IF((AND(FIND('112'!$M$9,G3383,1)&gt;=1,B3383='112'!$K$9,OR($N3383='112'!$I$6,$O3383='112'!$I$6))),"x",""))</f>
        <v/>
      </c>
      <c r="U3383" s="79" t="str">
        <f>IF(ISERROR(FIND('112'!$M$9,G3383,1)),"",IF((AND(LEFT(G3383,2)=LEFT('112'!$M$9,2),B3383&lt;'112'!$K$9,$N3383='112'!$I$6)),"x",""))</f>
        <v/>
      </c>
      <c r="V3383" s="79" t="str">
        <f>IF(ISERROR(FIND('112'!$M$9,G3383,1)),"",IF((AND(RIGHT(G3383,2)=RIGHT('112'!$M$9,2),B3383&lt;'112'!$K$9,$O3383='112'!$I$6)),"x",""))</f>
        <v/>
      </c>
      <c r="W3383" s="79" t="str">
        <f>IF(AND('341-CT'!$H$9=H3383,OR(LEFT(N3383,3)=$W$7,LEFT(O3383,3)=$W$7)),"x","")</f>
        <v/>
      </c>
      <c r="X3383" s="79" t="str">
        <f>IF(OR(TH!N3383=TH!$X$7,O3383=TH!$X$7),"x","")</f>
        <v/>
      </c>
      <c r="Y3383" s="79" t="str">
        <f>IF(AND(OR(N3383="131",O3383="131"),H3383='131-CT'!$H$9),"x","")</f>
        <v/>
      </c>
      <c r="Z3383" s="79"/>
      <c r="AA3383" s="79" t="str">
        <f>IF(AND(MONTH(E3383)='IN-NX'!$J$5,'IN-NX'!$D$7=D3383),"x","")</f>
        <v/>
      </c>
      <c r="AB3383" s="79" t="str">
        <f>IF(AND(OR(LEFT(TH!N3383,2)="15",LEFT(TH!O3383,2)="15"),LEFT(TH!O3383,3)&lt;&gt;"111",'152-CT'!$J$8=TH!F3383),"x","")</f>
        <v/>
      </c>
      <c r="AC3383" s="79" t="str">
        <f>IF(AND(OR(LEFT(TH!N3383,2)="15",LEFT(TH!O3383,2)="15"),TK!$E$7=TH!F3383),"x","")</f>
        <v/>
      </c>
      <c r="AD3383" s="79" t="str">
        <f>IF(AND(N3383="1521",MONTH(C3383)='BK-NL'!$M$11),"x","")</f>
        <v/>
      </c>
    </row>
    <row r="3384" spans="1:30" ht="16.5" customHeight="1">
      <c r="A3384" s="318" t="str">
        <f>IF(B3384&lt;&gt;"",IF(AND(B3384='IN-TC'!$S$4,OR(TH!N3384="1111",TH!O3384="1111")),TH!D3384,""),"")</f>
        <v/>
      </c>
      <c r="B3384" s="60" t="str">
        <f t="shared" si="391"/>
        <v/>
      </c>
      <c r="C3384" s="61"/>
      <c r="D3384" s="61"/>
      <c r="E3384" s="61"/>
      <c r="F3384" s="69"/>
      <c r="G3384" s="64"/>
      <c r="H3384" s="69"/>
      <c r="I3384" s="385"/>
      <c r="J3384" s="392"/>
      <c r="K3384" s="385"/>
      <c r="L3384" s="392"/>
      <c r="M3384" s="62"/>
      <c r="N3384" s="63"/>
      <c r="O3384" s="304"/>
      <c r="P3384" s="79" t="str">
        <f>IF(AND('331-CT'!$E$7=TH!H3384,OR(N3384="331",O3384="331")),"x","")</f>
        <v/>
      </c>
      <c r="Q3384" s="79" t="str">
        <f>IF(AND(B3384='111'!$L$11,OR($N3384=$Q$7,$O3384=$Q$7)),"x","")</f>
        <v/>
      </c>
      <c r="R3384" s="79" t="str">
        <f>IF(AND($N3384=$Q$7,$B3384&lt;'111'!$L$11),"x","")</f>
        <v/>
      </c>
      <c r="S3384" s="79" t="str">
        <f>IF(AND($O3384=$Q$7,$B3384&lt;'111'!$L$11),"x","")</f>
        <v/>
      </c>
      <c r="T3384" s="79" t="str">
        <f>IF(ISERROR(FIND('112'!$M$9,G3384,1)),"",IF((AND(FIND('112'!$M$9,G3384,1)&gt;=1,B3384='112'!$K$9,OR($N3384='112'!$I$6,$O3384='112'!$I$6))),"x",""))</f>
        <v/>
      </c>
      <c r="U3384" s="79" t="str">
        <f>IF(ISERROR(FIND('112'!$M$9,G3384,1)),"",IF((AND(LEFT(G3384,2)=LEFT('112'!$M$9,2),B3384&lt;'112'!$K$9,$N3384='112'!$I$6)),"x",""))</f>
        <v/>
      </c>
      <c r="V3384" s="79" t="str">
        <f>IF(ISERROR(FIND('112'!$M$9,G3384,1)),"",IF((AND(RIGHT(G3384,2)=RIGHT('112'!$M$9,2),B3384&lt;'112'!$K$9,$O3384='112'!$I$6)),"x",""))</f>
        <v/>
      </c>
      <c r="W3384" s="79" t="str">
        <f>IF(AND('341-CT'!$H$9=H3384,OR(LEFT(N3384,3)=$W$7,LEFT(O3384,3)=$W$7)),"x","")</f>
        <v/>
      </c>
      <c r="X3384" s="79" t="str">
        <f>IF(OR(TH!N3384=TH!$X$7,O3384=TH!$X$7),"x","")</f>
        <v/>
      </c>
      <c r="Y3384" s="79" t="str">
        <f>IF(AND(OR(N3384="131",O3384="131"),H3384='131-CT'!$H$9),"x","")</f>
        <v/>
      </c>
      <c r="Z3384" s="79"/>
      <c r="AA3384" s="79" t="str">
        <f>IF(AND(MONTH(E3384)='IN-NX'!$J$5,'IN-NX'!$D$7=D3384),"x","")</f>
        <v/>
      </c>
      <c r="AB3384" s="79" t="str">
        <f>IF(AND(OR(LEFT(TH!N3384,2)="15",LEFT(TH!O3384,2)="15"),LEFT(TH!O3384,3)&lt;&gt;"111",'152-CT'!$J$8=TH!F3384),"x","")</f>
        <v/>
      </c>
      <c r="AC3384" s="79" t="str">
        <f>IF(AND(OR(LEFT(TH!N3384,2)="15",LEFT(TH!O3384,2)="15"),TK!$E$7=TH!F3384),"x","")</f>
        <v/>
      </c>
      <c r="AD3384" s="79" t="str">
        <f>IF(AND(N3384="1521",MONTH(C3384)='BK-NL'!$M$11),"x","")</f>
        <v/>
      </c>
    </row>
    <row r="3385" spans="1:30" ht="16.5" customHeight="1">
      <c r="A3385" s="318" t="str">
        <f>IF(B3385&lt;&gt;"",IF(AND(B3385='IN-TC'!$S$4,OR(TH!N3385="1111",TH!O3385="1111")),TH!D3385,""),"")</f>
        <v/>
      </c>
      <c r="B3385" s="60" t="str">
        <f t="shared" si="391"/>
        <v/>
      </c>
      <c r="C3385" s="61"/>
      <c r="D3385" s="61"/>
      <c r="E3385" s="61"/>
      <c r="F3385" s="69"/>
      <c r="G3385" s="64"/>
      <c r="H3385" s="321"/>
      <c r="I3385" s="385"/>
      <c r="J3385" s="392"/>
      <c r="K3385" s="385"/>
      <c r="L3385" s="392"/>
      <c r="M3385" s="62"/>
      <c r="N3385" s="63"/>
      <c r="O3385" s="63"/>
      <c r="P3385" s="79" t="str">
        <f>IF(AND('331-CT'!$E$7=TH!H3385,OR(N3385="331",O3385="331")),"x","")</f>
        <v/>
      </c>
      <c r="Q3385" s="79" t="str">
        <f>IF(AND(B3385='111'!$L$11,OR($N3385=$Q$7,$O3385=$Q$7)),"x","")</f>
        <v/>
      </c>
      <c r="R3385" s="79" t="str">
        <f>IF(AND($N3385=$Q$7,$B3385&lt;'111'!$L$11),"x","")</f>
        <v/>
      </c>
      <c r="S3385" s="79" t="str">
        <f>IF(AND($O3385=$Q$7,$B3385&lt;'111'!$L$11),"x","")</f>
        <v/>
      </c>
      <c r="T3385" s="79" t="str">
        <f>IF(ISERROR(FIND('112'!$M$9,G3385,1)),"",IF((AND(FIND('112'!$M$9,G3385,1)&gt;=1,B3385='112'!$K$9,OR($N3385='112'!$I$6,$O3385='112'!$I$6))),"x",""))</f>
        <v/>
      </c>
      <c r="U3385" s="79" t="str">
        <f>IF(ISERROR(FIND('112'!$M$9,G3385,1)),"",IF((AND(LEFT(G3385,2)=LEFT('112'!$M$9,2),B3385&lt;'112'!$K$9,$N3385='112'!$I$6)),"x",""))</f>
        <v/>
      </c>
      <c r="V3385" s="79" t="str">
        <f>IF(ISERROR(FIND('112'!$M$9,G3385,1)),"",IF((AND(RIGHT(G3385,2)=RIGHT('112'!$M$9,2),B3385&lt;'112'!$K$9,$O3385='112'!$I$6)),"x",""))</f>
        <v/>
      </c>
      <c r="W3385" s="79" t="str">
        <f>IF(AND('341-CT'!$H$9=H3385,OR(LEFT(N3385,3)=$W$7,LEFT(O3385,3)=$W$7)),"x","")</f>
        <v/>
      </c>
      <c r="X3385" s="79" t="str">
        <f>IF(OR(TH!N3385=TH!$X$7,O3385=TH!$X$7),"x","")</f>
        <v/>
      </c>
      <c r="Y3385" s="79" t="str">
        <f>IF(AND(OR(N3385="131",O3385="131"),H3385='131-CT'!$H$9),"x","")</f>
        <v/>
      </c>
      <c r="Z3385" s="79"/>
      <c r="AA3385" s="79" t="str">
        <f>IF(AND(MONTH(E3385)='IN-NX'!$J$5,'IN-NX'!$D$7=D3385),"x","")</f>
        <v/>
      </c>
      <c r="AB3385" s="79" t="str">
        <f>IF(AND(OR(LEFT(TH!N3385,2)="15",LEFT(TH!O3385,2)="15"),LEFT(TH!O3385,3)&lt;&gt;"111",'152-CT'!$J$8=TH!F3385),"x","")</f>
        <v/>
      </c>
      <c r="AC3385" s="79" t="str">
        <f>IF(AND(OR(LEFT(TH!N3385,2)="15",LEFT(TH!O3385,2)="15"),TK!$E$7=TH!F3385),"x","")</f>
        <v/>
      </c>
      <c r="AD3385" s="79" t="str">
        <f>IF(AND(N3385="1521",MONTH(C3385)='BK-NL'!$M$11),"x","")</f>
        <v/>
      </c>
    </row>
    <row r="3386" spans="1:30" ht="16.5" customHeight="1">
      <c r="A3386" s="318" t="str">
        <f>IF(B3386&lt;&gt;"",IF(AND(B3386='IN-TC'!$S$4,OR(TH!N3386="1111",TH!O3386="1111")),TH!D3386,""),"")</f>
        <v/>
      </c>
      <c r="B3386" s="60" t="str">
        <f t="shared" si="391"/>
        <v/>
      </c>
      <c r="C3386" s="61"/>
      <c r="D3386" s="301"/>
      <c r="E3386" s="61"/>
      <c r="F3386" s="69"/>
      <c r="G3386" s="64"/>
      <c r="H3386" s="321"/>
      <c r="I3386" s="385"/>
      <c r="J3386" s="392"/>
      <c r="K3386" s="385"/>
      <c r="L3386" s="392"/>
      <c r="M3386" s="62"/>
      <c r="N3386" s="63"/>
      <c r="O3386" s="63"/>
      <c r="P3386" s="79" t="str">
        <f>IF(AND('331-CT'!$E$7=TH!H3386,OR(N3386="331",O3386="331")),"x","")</f>
        <v/>
      </c>
      <c r="Q3386" s="79" t="str">
        <f>IF(AND(B3386='111'!$L$11,OR($N3386=$Q$7,$O3386=$Q$7)),"x","")</f>
        <v/>
      </c>
      <c r="R3386" s="79" t="str">
        <f>IF(AND($N3386=$Q$7,$B3386&lt;'111'!$L$11),"x","")</f>
        <v/>
      </c>
      <c r="S3386" s="79" t="str">
        <f>IF(AND($O3386=$Q$7,$B3386&lt;'111'!$L$11),"x","")</f>
        <v/>
      </c>
      <c r="T3386" s="79" t="str">
        <f>IF(ISERROR(FIND('112'!$M$9,G3386,1)),"",IF((AND(FIND('112'!$M$9,G3386,1)&gt;=1,B3386='112'!$K$9,OR($N3386='112'!$I$6,$O3386='112'!$I$6))),"x",""))</f>
        <v/>
      </c>
      <c r="U3386" s="79" t="str">
        <f>IF(ISERROR(FIND('112'!$M$9,G3386,1)),"",IF((AND(LEFT(G3386,2)=LEFT('112'!$M$9,2),B3386&lt;'112'!$K$9,$N3386='112'!$I$6)),"x",""))</f>
        <v/>
      </c>
      <c r="V3386" s="79" t="str">
        <f>IF(ISERROR(FIND('112'!$M$9,G3386,1)),"",IF((AND(RIGHT(G3386,2)=RIGHT('112'!$M$9,2),B3386&lt;'112'!$K$9,$O3386='112'!$I$6)),"x",""))</f>
        <v/>
      </c>
      <c r="W3386" s="79" t="str">
        <f>IF(AND('341-CT'!$H$9=H3386,OR(LEFT(N3386,3)=$W$7,LEFT(O3386,3)=$W$7)),"x","")</f>
        <v/>
      </c>
      <c r="X3386" s="79" t="str">
        <f>IF(OR(TH!N3386=TH!$X$7,O3386=TH!$X$7),"x","")</f>
        <v/>
      </c>
      <c r="Y3386" s="79" t="str">
        <f>IF(AND(OR(N3386="131",O3386="131"),H3386='131-CT'!$H$9),"x","")</f>
        <v/>
      </c>
      <c r="Z3386" s="79"/>
      <c r="AA3386" s="79" t="str">
        <f>IF(AND(MONTH(E3386)='IN-NX'!$J$5,'IN-NX'!$D$7=D3386),"x","")</f>
        <v/>
      </c>
      <c r="AB3386" s="79" t="str">
        <f>IF(AND(OR(LEFT(TH!N3386,2)="15",LEFT(TH!O3386,2)="15"),LEFT(TH!O3386,3)&lt;&gt;"111",'152-CT'!$J$8=TH!F3386),"x","")</f>
        <v/>
      </c>
      <c r="AC3386" s="79" t="str">
        <f>IF(AND(OR(LEFT(TH!N3386,2)="15",LEFT(TH!O3386,2)="15"),TK!$E$7=TH!F3386),"x","")</f>
        <v/>
      </c>
      <c r="AD3386" s="79" t="str">
        <f>IF(AND(N3386="1521",MONTH(C3386)='BK-NL'!$M$11),"x","")</f>
        <v/>
      </c>
    </row>
    <row r="3387" spans="1:30" ht="16.5" customHeight="1">
      <c r="A3387" s="318" t="str">
        <f>IF(B3387&lt;&gt;"",IF(AND(B3387='IN-TC'!$S$4,OR(TH!N3387="1111",TH!O3387="1111")),TH!D3387,""),"")</f>
        <v/>
      </c>
      <c r="B3387" s="60" t="str">
        <f t="shared" si="391"/>
        <v/>
      </c>
      <c r="C3387" s="61"/>
      <c r="D3387" s="301"/>
      <c r="E3387" s="61"/>
      <c r="F3387" s="69"/>
      <c r="G3387" s="64"/>
      <c r="H3387" s="69"/>
      <c r="I3387" s="385"/>
      <c r="J3387" s="392"/>
      <c r="K3387" s="385"/>
      <c r="L3387" s="392"/>
      <c r="M3387" s="62"/>
      <c r="N3387" s="63"/>
      <c r="O3387" s="63"/>
      <c r="P3387" s="79" t="str">
        <f>IF(AND('331-CT'!$E$7=TH!H3387,OR(N3387="331",O3387="331")),"x","")</f>
        <v/>
      </c>
      <c r="Q3387" s="79" t="str">
        <f>IF(AND(B3387='111'!$L$11,OR($N3387=$Q$7,$O3387=$Q$7)),"x","")</f>
        <v/>
      </c>
      <c r="R3387" s="79" t="str">
        <f>IF(AND($N3387=$Q$7,$B3387&lt;'111'!$L$11),"x","")</f>
        <v/>
      </c>
      <c r="S3387" s="79" t="str">
        <f>IF(AND($O3387=$Q$7,$B3387&lt;'111'!$L$11),"x","")</f>
        <v/>
      </c>
      <c r="T3387" s="79" t="str">
        <f>IF(ISERROR(FIND('112'!$M$9,G3387,1)),"",IF((AND(FIND('112'!$M$9,G3387,1)&gt;=1,B3387='112'!$K$9,OR($N3387='112'!$I$6,$O3387='112'!$I$6))),"x",""))</f>
        <v/>
      </c>
      <c r="U3387" s="79" t="str">
        <f>IF(ISERROR(FIND('112'!$M$9,G3387,1)),"",IF((AND(LEFT(G3387,2)=LEFT('112'!$M$9,2),B3387&lt;'112'!$K$9,$N3387='112'!$I$6)),"x",""))</f>
        <v/>
      </c>
      <c r="V3387" s="79" t="str">
        <f>IF(ISERROR(FIND('112'!$M$9,G3387,1)),"",IF((AND(RIGHT(G3387,2)=RIGHT('112'!$M$9,2),B3387&lt;'112'!$K$9,$O3387='112'!$I$6)),"x",""))</f>
        <v/>
      </c>
      <c r="W3387" s="79" t="str">
        <f>IF(AND('341-CT'!$H$9=H3387,OR(LEFT(N3387,3)=$W$7,LEFT(O3387,3)=$W$7)),"x","")</f>
        <v/>
      </c>
      <c r="X3387" s="79" t="str">
        <f>IF(OR(TH!N3387=TH!$X$7,O3387=TH!$X$7),"x","")</f>
        <v/>
      </c>
      <c r="Y3387" s="79" t="str">
        <f>IF(AND(OR(N3387="131",O3387="131"),H3387='131-CT'!$H$9),"x","")</f>
        <v/>
      </c>
      <c r="Z3387" s="79"/>
      <c r="AA3387" s="79" t="str">
        <f>IF(AND(MONTH(E3387)='IN-NX'!$J$5,'IN-NX'!$D$7=D3387),"x","")</f>
        <v/>
      </c>
      <c r="AB3387" s="79" t="str">
        <f>IF(AND(OR(LEFT(TH!N3387,2)="15",LEFT(TH!O3387,2)="15"),LEFT(TH!O3387,3)&lt;&gt;"111",'152-CT'!$J$8=TH!F3387),"x","")</f>
        <v/>
      </c>
      <c r="AC3387" s="79" t="str">
        <f>IF(AND(OR(LEFT(TH!N3387,2)="15",LEFT(TH!O3387,2)="15"),TK!$E$7=TH!F3387),"x","")</f>
        <v/>
      </c>
      <c r="AD3387" s="79" t="str">
        <f>IF(AND(N3387="1521",MONTH(C3387)='BK-NL'!$M$11),"x","")</f>
        <v/>
      </c>
    </row>
    <row r="3388" spans="1:30" ht="16.5" customHeight="1">
      <c r="A3388" s="318" t="str">
        <f>IF(B3388&lt;&gt;"",IF(AND(B3388='IN-TC'!$S$4,OR(TH!N3388="1111",TH!O3388="1111")),TH!D3388,""),"")</f>
        <v/>
      </c>
      <c r="B3388" s="60" t="str">
        <f t="shared" si="391"/>
        <v/>
      </c>
      <c r="C3388" s="61"/>
      <c r="D3388" s="301"/>
      <c r="E3388" s="61"/>
      <c r="F3388" s="69"/>
      <c r="G3388" s="64"/>
      <c r="H3388" s="69"/>
      <c r="I3388" s="385"/>
      <c r="J3388" s="392"/>
      <c r="K3388" s="385"/>
      <c r="L3388" s="392"/>
      <c r="M3388" s="62"/>
      <c r="N3388" s="63"/>
      <c r="O3388" s="304"/>
      <c r="P3388" s="79" t="str">
        <f>IF(AND('331-CT'!$E$7=TH!H3388,OR(N3388="331",O3388="331")),"x","")</f>
        <v/>
      </c>
      <c r="Q3388" s="79" t="str">
        <f>IF(AND(B3388='111'!$L$11,OR($N3388=$Q$7,$O3388=$Q$7)),"x","")</f>
        <v/>
      </c>
      <c r="R3388" s="79" t="str">
        <f>IF(AND($N3388=$Q$7,$B3388&lt;'111'!$L$11),"x","")</f>
        <v/>
      </c>
      <c r="S3388" s="79" t="str">
        <f>IF(AND($O3388=$Q$7,$B3388&lt;'111'!$L$11),"x","")</f>
        <v/>
      </c>
      <c r="T3388" s="79" t="str">
        <f>IF(ISERROR(FIND('112'!$M$9,G3388,1)),"",IF((AND(FIND('112'!$M$9,G3388,1)&gt;=1,B3388='112'!$K$9,OR($N3388='112'!$I$6,$O3388='112'!$I$6))),"x",""))</f>
        <v/>
      </c>
      <c r="U3388" s="79" t="str">
        <f>IF(ISERROR(FIND('112'!$M$9,G3388,1)),"",IF((AND(LEFT(G3388,2)=LEFT('112'!$M$9,2),B3388&lt;'112'!$K$9,$N3388='112'!$I$6)),"x",""))</f>
        <v/>
      </c>
      <c r="V3388" s="79" t="str">
        <f>IF(ISERROR(FIND('112'!$M$9,G3388,1)),"",IF((AND(RIGHT(G3388,2)=RIGHT('112'!$M$9,2),B3388&lt;'112'!$K$9,$O3388='112'!$I$6)),"x",""))</f>
        <v/>
      </c>
      <c r="W3388" s="79" t="str">
        <f>IF(AND('341-CT'!$H$9=H3388,OR(LEFT(N3388,3)=$W$7,LEFT(O3388,3)=$W$7)),"x","")</f>
        <v/>
      </c>
      <c r="X3388" s="79" t="str">
        <f>IF(OR(TH!N3388=TH!$X$7,O3388=TH!$X$7),"x","")</f>
        <v/>
      </c>
      <c r="Y3388" s="79" t="str">
        <f>IF(AND(OR(N3388="131",O3388="131"),H3388='131-CT'!$H$9),"x","")</f>
        <v/>
      </c>
      <c r="Z3388" s="79"/>
      <c r="AA3388" s="79" t="str">
        <f>IF(AND(MONTH(E3388)='IN-NX'!$J$5,'IN-NX'!$D$7=D3388),"x","")</f>
        <v/>
      </c>
      <c r="AB3388" s="79" t="str">
        <f>IF(AND(OR(LEFT(TH!N3388,2)="15",LEFT(TH!O3388,2)="15"),LEFT(TH!O3388,3)&lt;&gt;"111",'152-CT'!$J$8=TH!F3388),"x","")</f>
        <v/>
      </c>
      <c r="AC3388" s="79" t="str">
        <f>IF(AND(OR(LEFT(TH!N3388,2)="15",LEFT(TH!O3388,2)="15"),TK!$E$7=TH!F3388),"x","")</f>
        <v/>
      </c>
      <c r="AD3388" s="79" t="str">
        <f>IF(AND(N3388="1521",MONTH(C3388)='BK-NL'!$M$11),"x","")</f>
        <v/>
      </c>
    </row>
    <row r="3389" spans="1:30" ht="16.5" customHeight="1">
      <c r="A3389" s="318" t="str">
        <f>IF(B3389&lt;&gt;"",IF(AND(B3389='IN-TC'!$S$4,OR(TH!N3389="1111",TH!O3389="1111")),TH!D3389,""),"")</f>
        <v/>
      </c>
      <c r="B3389" s="60" t="str">
        <f t="shared" si="391"/>
        <v/>
      </c>
      <c r="C3389" s="61"/>
      <c r="D3389" s="301"/>
      <c r="E3389" s="61"/>
      <c r="F3389" s="69"/>
      <c r="G3389" s="64"/>
      <c r="H3389" s="321"/>
      <c r="I3389" s="385"/>
      <c r="J3389" s="392"/>
      <c r="K3389" s="385"/>
      <c r="L3389" s="392"/>
      <c r="M3389" s="62"/>
      <c r="N3389" s="63"/>
      <c r="O3389" s="63"/>
      <c r="P3389" s="79" t="str">
        <f>IF(AND('331-CT'!$E$7=TH!H3389,OR(N3389="331",O3389="331")),"x","")</f>
        <v/>
      </c>
      <c r="Q3389" s="79" t="str">
        <f>IF(AND(B3389='111'!$L$11,OR($N3389=$Q$7,$O3389=$Q$7)),"x","")</f>
        <v/>
      </c>
      <c r="R3389" s="79" t="str">
        <f>IF(AND($N3389=$Q$7,$B3389&lt;'111'!$L$11),"x","")</f>
        <v/>
      </c>
      <c r="S3389" s="79" t="str">
        <f>IF(AND($O3389=$Q$7,$B3389&lt;'111'!$L$11),"x","")</f>
        <v/>
      </c>
      <c r="T3389" s="79" t="str">
        <f>IF(ISERROR(FIND('112'!$M$9,G3389,1)),"",IF((AND(FIND('112'!$M$9,G3389,1)&gt;=1,B3389='112'!$K$9,OR($N3389='112'!$I$6,$O3389='112'!$I$6))),"x",""))</f>
        <v/>
      </c>
      <c r="U3389" s="79" t="str">
        <f>IF(ISERROR(FIND('112'!$M$9,G3389,1)),"",IF((AND(LEFT(G3389,2)=LEFT('112'!$M$9,2),B3389&lt;'112'!$K$9,$N3389='112'!$I$6)),"x",""))</f>
        <v/>
      </c>
      <c r="V3389" s="79" t="str">
        <f>IF(ISERROR(FIND('112'!$M$9,G3389,1)),"",IF((AND(RIGHT(G3389,2)=RIGHT('112'!$M$9,2),B3389&lt;'112'!$K$9,$O3389='112'!$I$6)),"x",""))</f>
        <v/>
      </c>
      <c r="W3389" s="79" t="str">
        <f>IF(AND('341-CT'!$H$9=H3389,OR(LEFT(N3389,3)=$W$7,LEFT(O3389,3)=$W$7)),"x","")</f>
        <v/>
      </c>
      <c r="X3389" s="79" t="str">
        <f>IF(OR(TH!N3389=TH!$X$7,O3389=TH!$X$7),"x","")</f>
        <v/>
      </c>
      <c r="Y3389" s="79" t="str">
        <f>IF(AND(OR(N3389="131",O3389="131"),H3389='131-CT'!$H$9),"x","")</f>
        <v/>
      </c>
      <c r="Z3389" s="79"/>
      <c r="AA3389" s="79" t="str">
        <f>IF(AND(MONTH(E3389)='IN-NX'!$J$5,'IN-NX'!$D$7=D3389),"x","")</f>
        <v/>
      </c>
      <c r="AB3389" s="79" t="str">
        <f>IF(AND(OR(LEFT(TH!N3389,2)="15",LEFT(TH!O3389,2)="15"),LEFT(TH!O3389,3)&lt;&gt;"111",'152-CT'!$J$8=TH!F3389),"x","")</f>
        <v/>
      </c>
      <c r="AC3389" s="79" t="str">
        <f>IF(AND(OR(LEFT(TH!N3389,2)="15",LEFT(TH!O3389,2)="15"),TK!$E$7=TH!F3389),"x","")</f>
        <v/>
      </c>
      <c r="AD3389" s="79" t="str">
        <f>IF(AND(N3389="1521",MONTH(C3389)='BK-NL'!$M$11),"x","")</f>
        <v/>
      </c>
    </row>
    <row r="3390" spans="1:30" ht="16.5" customHeight="1">
      <c r="A3390" s="318" t="str">
        <f>IF(B3390&lt;&gt;"",IF(AND(B3390='IN-TC'!$S$4,OR(TH!N3390="1111",TH!O3390="1111")),TH!D3390,""),"")</f>
        <v/>
      </c>
      <c r="B3390" s="60" t="str">
        <f t="shared" si="391"/>
        <v/>
      </c>
      <c r="C3390" s="61"/>
      <c r="D3390" s="301"/>
      <c r="E3390" s="61"/>
      <c r="F3390" s="69"/>
      <c r="G3390" s="64"/>
      <c r="H3390" s="321"/>
      <c r="I3390" s="385"/>
      <c r="J3390" s="392"/>
      <c r="K3390" s="385"/>
      <c r="L3390" s="392"/>
      <c r="M3390" s="62"/>
      <c r="N3390" s="63"/>
      <c r="O3390" s="63"/>
      <c r="P3390" s="79" t="str">
        <f>IF(AND('331-CT'!$E$7=TH!H3390,OR(N3390="331",O3390="331")),"x","")</f>
        <v/>
      </c>
      <c r="Q3390" s="79" t="str">
        <f>IF(AND(B3390='111'!$L$11,OR($N3390=$Q$7,$O3390=$Q$7)),"x","")</f>
        <v/>
      </c>
      <c r="R3390" s="79" t="str">
        <f>IF(AND($N3390=$Q$7,$B3390&lt;'111'!$L$11),"x","")</f>
        <v/>
      </c>
      <c r="S3390" s="79" t="str">
        <f>IF(AND($O3390=$Q$7,$B3390&lt;'111'!$L$11),"x","")</f>
        <v/>
      </c>
      <c r="T3390" s="79" t="str">
        <f>IF(ISERROR(FIND('112'!$M$9,G3390,1)),"",IF((AND(FIND('112'!$M$9,G3390,1)&gt;=1,B3390='112'!$K$9,OR($N3390='112'!$I$6,$O3390='112'!$I$6))),"x",""))</f>
        <v/>
      </c>
      <c r="U3390" s="79" t="str">
        <f>IF(ISERROR(FIND('112'!$M$9,G3390,1)),"",IF((AND(LEFT(G3390,2)=LEFT('112'!$M$9,2),B3390&lt;'112'!$K$9,$N3390='112'!$I$6)),"x",""))</f>
        <v/>
      </c>
      <c r="V3390" s="79" t="str">
        <f>IF(ISERROR(FIND('112'!$M$9,G3390,1)),"",IF((AND(RIGHT(G3390,2)=RIGHT('112'!$M$9,2),B3390&lt;'112'!$K$9,$O3390='112'!$I$6)),"x",""))</f>
        <v/>
      </c>
      <c r="W3390" s="79" t="str">
        <f>IF(AND('341-CT'!$H$9=H3390,OR(LEFT(N3390,3)=$W$7,LEFT(O3390,3)=$W$7)),"x","")</f>
        <v/>
      </c>
      <c r="X3390" s="79" t="str">
        <f>IF(OR(TH!N3390=TH!$X$7,O3390=TH!$X$7),"x","")</f>
        <v/>
      </c>
      <c r="Y3390" s="79" t="str">
        <f>IF(AND(OR(N3390="131",O3390="131"),H3390='131-CT'!$H$9),"x","")</f>
        <v/>
      </c>
      <c r="Z3390" s="79"/>
      <c r="AA3390" s="79" t="str">
        <f>IF(AND(MONTH(E3390)='IN-NX'!$J$5,'IN-NX'!$D$7=D3390),"x","")</f>
        <v/>
      </c>
      <c r="AB3390" s="79" t="str">
        <f>IF(AND(OR(LEFT(TH!N3390,2)="15",LEFT(TH!O3390,2)="15"),LEFT(TH!O3390,3)&lt;&gt;"111",'152-CT'!$J$8=TH!F3390),"x","")</f>
        <v/>
      </c>
      <c r="AC3390" s="79" t="str">
        <f>IF(AND(OR(LEFT(TH!N3390,2)="15",LEFT(TH!O3390,2)="15"),TK!$E$7=TH!F3390),"x","")</f>
        <v/>
      </c>
      <c r="AD3390" s="79" t="str">
        <f>IF(AND(N3390="1521",MONTH(C3390)='BK-NL'!$M$11),"x","")</f>
        <v/>
      </c>
    </row>
    <row r="3391" spans="1:30" ht="16.5" customHeight="1">
      <c r="A3391" s="318" t="str">
        <f>IF(B3391&lt;&gt;"",IF(AND(B3391='IN-TC'!$S$4,OR(TH!N3391="1111",TH!O3391="1111")),TH!D3391,""),"")</f>
        <v/>
      </c>
      <c r="B3391" s="60" t="str">
        <f t="shared" si="391"/>
        <v/>
      </c>
      <c r="C3391" s="61"/>
      <c r="D3391" s="301"/>
      <c r="E3391" s="61"/>
      <c r="F3391" s="69"/>
      <c r="G3391" s="64"/>
      <c r="H3391" s="321"/>
      <c r="I3391" s="385"/>
      <c r="J3391" s="392"/>
      <c r="K3391" s="385"/>
      <c r="L3391" s="392"/>
      <c r="M3391" s="62"/>
      <c r="N3391" s="63"/>
      <c r="O3391" s="63"/>
      <c r="P3391" s="79" t="str">
        <f>IF(AND('331-CT'!$E$7=TH!H3391,OR(N3391="331",O3391="331")),"x","")</f>
        <v/>
      </c>
      <c r="Q3391" s="79" t="str">
        <f>IF(AND(B3391='111'!$L$11,OR($N3391=$Q$7,$O3391=$Q$7)),"x","")</f>
        <v/>
      </c>
      <c r="R3391" s="79" t="str">
        <f>IF(AND($N3391=$Q$7,$B3391&lt;'111'!$L$11),"x","")</f>
        <v/>
      </c>
      <c r="S3391" s="79" t="str">
        <f>IF(AND($O3391=$Q$7,$B3391&lt;'111'!$L$11),"x","")</f>
        <v/>
      </c>
      <c r="T3391" s="79" t="str">
        <f>IF(ISERROR(FIND('112'!$M$9,G3391,1)),"",IF((AND(FIND('112'!$M$9,G3391,1)&gt;=1,B3391='112'!$K$9,OR($N3391='112'!$I$6,$O3391='112'!$I$6))),"x",""))</f>
        <v/>
      </c>
      <c r="U3391" s="79" t="str">
        <f>IF(ISERROR(FIND('112'!$M$9,G3391,1)),"",IF((AND(LEFT(G3391,2)=LEFT('112'!$M$9,2),B3391&lt;'112'!$K$9,$N3391='112'!$I$6)),"x",""))</f>
        <v/>
      </c>
      <c r="V3391" s="79" t="str">
        <f>IF(ISERROR(FIND('112'!$M$9,G3391,1)),"",IF((AND(RIGHT(G3391,2)=RIGHT('112'!$M$9,2),B3391&lt;'112'!$K$9,$O3391='112'!$I$6)),"x",""))</f>
        <v/>
      </c>
      <c r="W3391" s="79" t="str">
        <f>IF(AND('341-CT'!$H$9=H3391,OR(LEFT(N3391,3)=$W$7,LEFT(O3391,3)=$W$7)),"x","")</f>
        <v/>
      </c>
      <c r="X3391" s="79" t="str">
        <f>IF(OR(TH!N3391=TH!$X$7,O3391=TH!$X$7),"x","")</f>
        <v/>
      </c>
      <c r="Y3391" s="79" t="str">
        <f>IF(AND(OR(N3391="131",O3391="131"),H3391='131-CT'!$H$9),"x","")</f>
        <v/>
      </c>
      <c r="Z3391" s="79"/>
      <c r="AA3391" s="79" t="str">
        <f>IF(AND(MONTH(E3391)='IN-NX'!$J$5,'IN-NX'!$D$7=D3391),"x","")</f>
        <v/>
      </c>
      <c r="AB3391" s="79" t="str">
        <f>IF(AND(OR(LEFT(TH!N3391,2)="15",LEFT(TH!O3391,2)="15"),LEFT(TH!O3391,3)&lt;&gt;"111",'152-CT'!$J$8=TH!F3391),"x","")</f>
        <v/>
      </c>
      <c r="AC3391" s="79" t="str">
        <f>IF(AND(OR(LEFT(TH!N3391,2)="15",LEFT(TH!O3391,2)="15"),TK!$E$7=TH!F3391),"x","")</f>
        <v/>
      </c>
      <c r="AD3391" s="79" t="str">
        <f>IF(AND(N3391="1521",MONTH(C3391)='BK-NL'!$M$11),"x","")</f>
        <v/>
      </c>
    </row>
    <row r="3392" spans="1:30" ht="16.5" customHeight="1">
      <c r="A3392" s="318" t="str">
        <f>IF(B3392&lt;&gt;"",IF(AND(B3392='IN-TC'!$S$4,OR(TH!N3392="1111",TH!O3392="1111")),TH!D3392,""),"")</f>
        <v/>
      </c>
      <c r="B3392" s="60" t="str">
        <f t="shared" si="391"/>
        <v/>
      </c>
      <c r="C3392" s="301"/>
      <c r="D3392" s="301"/>
      <c r="E3392" s="301"/>
      <c r="F3392" s="69"/>
      <c r="G3392" s="988"/>
      <c r="H3392" s="69"/>
      <c r="I3392" s="385"/>
      <c r="J3392" s="969"/>
      <c r="K3392" s="385"/>
      <c r="L3392" s="392"/>
      <c r="M3392" s="970"/>
      <c r="N3392" s="304"/>
      <c r="O3392" s="304"/>
      <c r="P3392" s="79" t="str">
        <f>IF(AND('331-CT'!$E$7=TH!H3392,OR(N3392="331",O3392="331")),"x","")</f>
        <v/>
      </c>
      <c r="Q3392" s="79" t="str">
        <f>IF(AND(B3392='111'!$L$11,OR($N3392=$Q$7,$O3392=$Q$7)),"x","")</f>
        <v/>
      </c>
      <c r="R3392" s="79" t="str">
        <f>IF(AND($N3392=$Q$7,$B3392&lt;'111'!$L$11),"x","")</f>
        <v/>
      </c>
      <c r="S3392" s="79" t="str">
        <f>IF(AND($O3392=$Q$7,$B3392&lt;'111'!$L$11),"x","")</f>
        <v/>
      </c>
      <c r="T3392" s="79" t="str">
        <f>IF(ISERROR(FIND('112'!$M$9,G3392,1)),"",IF((AND(FIND('112'!$M$9,G3392,1)&gt;=1,B3392='112'!$K$9,OR($N3392='112'!$I$6,$O3392='112'!$I$6))),"x",""))</f>
        <v/>
      </c>
      <c r="U3392" s="79" t="str">
        <f>IF(ISERROR(FIND('112'!$M$9,G3392,1)),"",IF((AND(LEFT(G3392,2)=LEFT('112'!$M$9,2),B3392&lt;'112'!$K$9,$N3392='112'!$I$6)),"x",""))</f>
        <v/>
      </c>
      <c r="V3392" s="79" t="str">
        <f>IF(ISERROR(FIND('112'!$M$9,G3392,1)),"",IF((AND(RIGHT(G3392,2)=RIGHT('112'!$M$9,2),B3392&lt;'112'!$K$9,$O3392='112'!$I$6)),"x",""))</f>
        <v/>
      </c>
      <c r="W3392" s="79" t="str">
        <f>IF(AND('341-CT'!$H$9=H3392,OR(LEFT(N3392,3)=$W$7,LEFT(O3392,3)=$W$7)),"x","")</f>
        <v/>
      </c>
      <c r="X3392" s="79" t="str">
        <f>IF(OR(TH!N3392=TH!$X$7,O3392=TH!$X$7),"x","")</f>
        <v/>
      </c>
      <c r="Y3392" s="79" t="str">
        <f>IF(AND(OR(N3392="131",O3392="131"),H3392='131-CT'!$H$9),"x","")</f>
        <v/>
      </c>
      <c r="Z3392" s="79"/>
      <c r="AA3392" s="79" t="str">
        <f>IF(AND(MONTH(E3392)='IN-NX'!$J$5,'IN-NX'!$D$7=D3392),"x","")</f>
        <v/>
      </c>
      <c r="AB3392" s="79" t="str">
        <f>IF(AND(OR(LEFT(TH!N3392,2)="15",LEFT(TH!O3392,2)="15"),LEFT(TH!O3392,3)&lt;&gt;"111",'152-CT'!$J$8=TH!F3392),"x","")</f>
        <v/>
      </c>
      <c r="AC3392" s="79" t="str">
        <f>IF(AND(OR(LEFT(TH!N3392,2)="15",LEFT(TH!O3392,2)="15"),TK!$E$7=TH!F3392),"x","")</f>
        <v/>
      </c>
      <c r="AD3392" s="79" t="str">
        <f>IF(AND(N3392="1521",MONTH(C3392)='BK-NL'!$M$11),"x","")</f>
        <v/>
      </c>
    </row>
    <row r="3393" spans="1:30" ht="16.5" customHeight="1">
      <c r="A3393" s="318" t="str">
        <f>IF(B3393&lt;&gt;"",IF(AND(B3393='IN-TC'!$S$4,OR(TH!N3393="1111",TH!O3393="1111")),TH!D3393,""),"")</f>
        <v/>
      </c>
      <c r="B3393" s="60" t="str">
        <f t="shared" si="391"/>
        <v/>
      </c>
      <c r="C3393" s="301"/>
      <c r="D3393" s="301"/>
      <c r="E3393" s="301"/>
      <c r="F3393" s="69"/>
      <c r="G3393" s="988"/>
      <c r="H3393" s="303"/>
      <c r="I3393" s="385"/>
      <c r="J3393" s="969"/>
      <c r="K3393" s="385"/>
      <c r="L3393" s="392"/>
      <c r="M3393" s="970"/>
      <c r="N3393" s="304"/>
      <c r="O3393" s="304"/>
      <c r="P3393" s="79" t="str">
        <f>IF(AND('331-CT'!$E$7=TH!H3393,OR(N3393="331",O3393="331")),"x","")</f>
        <v/>
      </c>
      <c r="Q3393" s="79" t="str">
        <f>IF(AND(B3393='111'!$L$11,OR($N3393=$Q$7,$O3393=$Q$7)),"x","")</f>
        <v/>
      </c>
      <c r="R3393" s="79" t="str">
        <f>IF(AND($N3393=$Q$7,$B3393&lt;'111'!$L$11),"x","")</f>
        <v/>
      </c>
      <c r="S3393" s="79" t="str">
        <f>IF(AND($O3393=$Q$7,$B3393&lt;'111'!$L$11),"x","")</f>
        <v/>
      </c>
      <c r="T3393" s="79" t="str">
        <f>IF(ISERROR(FIND('112'!$M$9,G3393,1)),"",IF((AND(FIND('112'!$M$9,G3393,1)&gt;=1,B3393='112'!$K$9,OR($N3393='112'!$I$6,$O3393='112'!$I$6))),"x",""))</f>
        <v/>
      </c>
      <c r="U3393" s="79" t="str">
        <f>IF(ISERROR(FIND('112'!$M$9,G3393,1)),"",IF((AND(LEFT(G3393,2)=LEFT('112'!$M$9,2),B3393&lt;'112'!$K$9,$N3393='112'!$I$6)),"x",""))</f>
        <v/>
      </c>
      <c r="V3393" s="79" t="str">
        <f>IF(ISERROR(FIND('112'!$M$9,G3393,1)),"",IF((AND(RIGHT(G3393,2)=RIGHT('112'!$M$9,2),B3393&lt;'112'!$K$9,$O3393='112'!$I$6)),"x",""))</f>
        <v/>
      </c>
      <c r="W3393" s="79" t="str">
        <f>IF(AND('341-CT'!$H$9=H3393,OR(LEFT(N3393,3)=$W$7,LEFT(O3393,3)=$W$7)),"x","")</f>
        <v/>
      </c>
      <c r="X3393" s="79" t="str">
        <f>IF(OR(TH!N3393=TH!$X$7,O3393=TH!$X$7),"x","")</f>
        <v/>
      </c>
      <c r="Y3393" s="79" t="str">
        <f>IF(AND(OR(N3393="131",O3393="131"),H3393='131-CT'!$H$9),"x","")</f>
        <v/>
      </c>
      <c r="Z3393" s="79"/>
      <c r="AA3393" s="79" t="str">
        <f>IF(AND(MONTH(E3393)='IN-NX'!$J$5,'IN-NX'!$D$7=D3393),"x","")</f>
        <v/>
      </c>
      <c r="AB3393" s="79" t="str">
        <f>IF(AND(OR(LEFT(TH!N3393,2)="15",LEFT(TH!O3393,2)="15"),LEFT(TH!O3393,3)&lt;&gt;"111",'152-CT'!$J$8=TH!F3393),"x","")</f>
        <v/>
      </c>
      <c r="AC3393" s="79" t="str">
        <f>IF(AND(OR(LEFT(TH!N3393,2)="15",LEFT(TH!O3393,2)="15"),TK!$E$7=TH!F3393),"x","")</f>
        <v/>
      </c>
      <c r="AD3393" s="79" t="str">
        <f>IF(AND(N3393="1521",MONTH(C3393)='BK-NL'!$M$11),"x","")</f>
        <v/>
      </c>
    </row>
    <row r="3394" spans="1:30" ht="16.5" customHeight="1">
      <c r="A3394" s="318" t="str">
        <f>IF(B3394&lt;&gt;"",IF(AND(B3394='IN-TC'!$S$4,OR(TH!N3394="1111",TH!O3394="1111")),TH!D3394,""),"")</f>
        <v/>
      </c>
      <c r="B3394" s="60" t="str">
        <f t="shared" si="391"/>
        <v/>
      </c>
      <c r="C3394" s="61"/>
      <c r="D3394" s="301"/>
      <c r="E3394" s="61"/>
      <c r="F3394" s="69"/>
      <c r="G3394" s="64"/>
      <c r="H3394" s="69"/>
      <c r="I3394" s="385"/>
      <c r="J3394" s="392"/>
      <c r="K3394" s="385"/>
      <c r="L3394" s="392"/>
      <c r="M3394" s="62"/>
      <c r="N3394" s="63"/>
      <c r="O3394" s="63"/>
      <c r="P3394" s="79" t="str">
        <f>IF(AND('331-CT'!$E$7=TH!H3394,OR(N3394="331",O3394="331")),"x","")</f>
        <v/>
      </c>
      <c r="Q3394" s="79" t="str">
        <f>IF(AND(B3394='111'!$L$11,OR($N3394=$Q$7,$O3394=$Q$7)),"x","")</f>
        <v/>
      </c>
      <c r="R3394" s="79" t="str">
        <f>IF(AND($N3394=$Q$7,$B3394&lt;'111'!$L$11),"x","")</f>
        <v/>
      </c>
      <c r="S3394" s="79" t="str">
        <f>IF(AND($O3394=$Q$7,$B3394&lt;'111'!$L$11),"x","")</f>
        <v/>
      </c>
      <c r="T3394" s="79" t="str">
        <f>IF(ISERROR(FIND('112'!$M$9,G3394,1)),"",IF((AND(FIND('112'!$M$9,G3394,1)&gt;=1,B3394='112'!$K$9,OR($N3394='112'!$I$6,$O3394='112'!$I$6))),"x",""))</f>
        <v/>
      </c>
      <c r="U3394" s="79" t="str">
        <f>IF(ISERROR(FIND('112'!$M$9,G3394,1)),"",IF((AND(LEFT(G3394,2)=LEFT('112'!$M$9,2),B3394&lt;'112'!$K$9,$N3394='112'!$I$6)),"x",""))</f>
        <v/>
      </c>
      <c r="V3394" s="79" t="str">
        <f>IF(ISERROR(FIND('112'!$M$9,G3394,1)),"",IF((AND(RIGHT(G3394,2)=RIGHT('112'!$M$9,2),B3394&lt;'112'!$K$9,$O3394='112'!$I$6)),"x",""))</f>
        <v/>
      </c>
      <c r="W3394" s="79" t="str">
        <f>IF(AND('341-CT'!$H$9=H3394,OR(LEFT(N3394,3)=$W$7,LEFT(O3394,3)=$W$7)),"x","")</f>
        <v/>
      </c>
      <c r="X3394" s="79" t="str">
        <f>IF(OR(TH!N3394=TH!$X$7,O3394=TH!$X$7),"x","")</f>
        <v/>
      </c>
      <c r="Y3394" s="79" t="str">
        <f>IF(AND(OR(N3394="131",O3394="131"),H3394='131-CT'!$H$9),"x","")</f>
        <v/>
      </c>
      <c r="Z3394" s="79"/>
      <c r="AA3394" s="79" t="str">
        <f>IF(AND(MONTH(E3394)='IN-NX'!$J$5,'IN-NX'!$D$7=D3394),"x","")</f>
        <v/>
      </c>
      <c r="AB3394" s="79" t="str">
        <f>IF(AND(OR(LEFT(TH!N3394,2)="15",LEFT(TH!O3394,2)="15"),LEFT(TH!O3394,3)&lt;&gt;"111",'152-CT'!$J$8=TH!F3394),"x","")</f>
        <v/>
      </c>
      <c r="AC3394" s="79" t="str">
        <f>IF(AND(OR(LEFT(TH!N3394,2)="15",LEFT(TH!O3394,2)="15"),TK!$E$7=TH!F3394),"x","")</f>
        <v/>
      </c>
      <c r="AD3394" s="79" t="str">
        <f>IF(AND(N3394="1521",MONTH(C3394)='BK-NL'!$M$11),"x","")</f>
        <v/>
      </c>
    </row>
    <row r="3395" spans="1:30" ht="16.5" customHeight="1">
      <c r="A3395" s="318" t="str">
        <f>IF(B3395&lt;&gt;"",IF(AND(B3395='IN-TC'!$S$4,OR(TH!N3395="1111",TH!O3395="1111")),TH!D3395,""),"")</f>
        <v/>
      </c>
      <c r="B3395" s="60" t="str">
        <f t="shared" si="391"/>
        <v/>
      </c>
      <c r="C3395" s="61"/>
      <c r="D3395" s="301"/>
      <c r="E3395" s="61"/>
      <c r="F3395" s="69"/>
      <c r="G3395" s="64"/>
      <c r="H3395" s="69"/>
      <c r="I3395" s="385"/>
      <c r="J3395" s="392"/>
      <c r="K3395" s="385"/>
      <c r="L3395" s="392"/>
      <c r="M3395" s="62"/>
      <c r="N3395" s="63"/>
      <c r="O3395" s="63"/>
      <c r="P3395" s="79" t="str">
        <f>IF(AND('331-CT'!$E$7=TH!H3395,OR(N3395="331",O3395="331")),"x","")</f>
        <v/>
      </c>
      <c r="Q3395" s="79" t="str">
        <f>IF(AND(B3395='111'!$L$11,OR($N3395=$Q$7,$O3395=$Q$7)),"x","")</f>
        <v/>
      </c>
      <c r="R3395" s="79" t="str">
        <f>IF(AND($N3395=$Q$7,$B3395&lt;'111'!$L$11),"x","")</f>
        <v/>
      </c>
      <c r="S3395" s="79" t="str">
        <f>IF(AND($O3395=$Q$7,$B3395&lt;'111'!$L$11),"x","")</f>
        <v/>
      </c>
      <c r="T3395" s="79" t="str">
        <f>IF(ISERROR(FIND('112'!$M$9,G3395,1)),"",IF((AND(FIND('112'!$M$9,G3395,1)&gt;=1,B3395='112'!$K$9,OR($N3395='112'!$I$6,$O3395='112'!$I$6))),"x",""))</f>
        <v/>
      </c>
      <c r="U3395" s="79" t="str">
        <f>IF(ISERROR(FIND('112'!$M$9,G3395,1)),"",IF((AND(LEFT(G3395,2)=LEFT('112'!$M$9,2),B3395&lt;'112'!$K$9,$N3395='112'!$I$6)),"x",""))</f>
        <v/>
      </c>
      <c r="V3395" s="79" t="str">
        <f>IF(ISERROR(FIND('112'!$M$9,G3395,1)),"",IF((AND(RIGHT(G3395,2)=RIGHT('112'!$M$9,2),B3395&lt;'112'!$K$9,$O3395='112'!$I$6)),"x",""))</f>
        <v/>
      </c>
      <c r="W3395" s="79" t="str">
        <f>IF(AND('341-CT'!$H$9=H3395,OR(LEFT(N3395,3)=$W$7,LEFT(O3395,3)=$W$7)),"x","")</f>
        <v/>
      </c>
      <c r="X3395" s="79" t="str">
        <f>IF(OR(TH!N3395=TH!$X$7,O3395=TH!$X$7),"x","")</f>
        <v/>
      </c>
      <c r="Y3395" s="79" t="str">
        <f>IF(AND(OR(N3395="131",O3395="131"),H3395='131-CT'!$H$9),"x","")</f>
        <v/>
      </c>
      <c r="Z3395" s="79"/>
      <c r="AA3395" s="79" t="str">
        <f>IF(AND(MONTH(E3395)='IN-NX'!$J$5,'IN-NX'!$D$7=D3395),"x","")</f>
        <v/>
      </c>
      <c r="AB3395" s="79" t="str">
        <f>IF(AND(OR(LEFT(TH!N3395,2)="15",LEFT(TH!O3395,2)="15"),LEFT(TH!O3395,3)&lt;&gt;"111",'152-CT'!$J$8=TH!F3395),"x","")</f>
        <v/>
      </c>
      <c r="AC3395" s="79" t="str">
        <f>IF(AND(OR(LEFT(TH!N3395,2)="15",LEFT(TH!O3395,2)="15"),TK!$E$7=TH!F3395),"x","")</f>
        <v/>
      </c>
      <c r="AD3395" s="79" t="str">
        <f>IF(AND(N3395="1521",MONTH(C3395)='BK-NL'!$M$11),"x","")</f>
        <v/>
      </c>
    </row>
    <row r="3396" spans="1:30" ht="16.5" customHeight="1">
      <c r="A3396" s="318" t="str">
        <f>IF(B3396&lt;&gt;"",IF(AND(B3396='IN-TC'!$S$4,OR(TH!N3396="1111",TH!O3396="1111")),TH!D3396,""),"")</f>
        <v/>
      </c>
      <c r="B3396" s="60" t="str">
        <f t="shared" si="391"/>
        <v/>
      </c>
      <c r="C3396" s="61"/>
      <c r="D3396" s="301"/>
      <c r="E3396" s="61"/>
      <c r="F3396" s="69"/>
      <c r="G3396" s="64"/>
      <c r="H3396" s="69"/>
      <c r="I3396" s="385"/>
      <c r="J3396" s="392"/>
      <c r="K3396" s="385"/>
      <c r="L3396" s="392"/>
      <c r="M3396" s="62"/>
      <c r="N3396" s="304"/>
      <c r="O3396" s="63"/>
      <c r="P3396" s="79" t="str">
        <f>IF(AND('331-CT'!$E$7=TH!H3396,OR(N3396="331",O3396="331")),"x","")</f>
        <v/>
      </c>
      <c r="Q3396" s="79" t="str">
        <f>IF(AND(B3396='111'!$L$11,OR($N3396=$Q$7,$O3396=$Q$7)),"x","")</f>
        <v/>
      </c>
      <c r="R3396" s="79" t="str">
        <f>IF(AND($N3396=$Q$7,$B3396&lt;'111'!$L$11),"x","")</f>
        <v/>
      </c>
      <c r="S3396" s="79" t="str">
        <f>IF(AND($O3396=$Q$7,$B3396&lt;'111'!$L$11),"x","")</f>
        <v/>
      </c>
      <c r="T3396" s="79" t="str">
        <f>IF(ISERROR(FIND('112'!$M$9,G3396,1)),"",IF((AND(FIND('112'!$M$9,G3396,1)&gt;=1,B3396='112'!$K$9,OR($N3396='112'!$I$6,$O3396='112'!$I$6))),"x",""))</f>
        <v/>
      </c>
      <c r="U3396" s="79" t="str">
        <f>IF(ISERROR(FIND('112'!$M$9,G3396,1)),"",IF((AND(LEFT(G3396,2)=LEFT('112'!$M$9,2),B3396&lt;'112'!$K$9,$N3396='112'!$I$6)),"x",""))</f>
        <v/>
      </c>
      <c r="V3396" s="79" t="str">
        <f>IF(ISERROR(FIND('112'!$M$9,G3396,1)),"",IF((AND(RIGHT(G3396,2)=RIGHT('112'!$M$9,2),B3396&lt;'112'!$K$9,$O3396='112'!$I$6)),"x",""))</f>
        <v/>
      </c>
      <c r="W3396" s="79" t="str">
        <f>IF(AND('341-CT'!$H$9=H3396,OR(LEFT(N3396,3)=$W$7,LEFT(O3396,3)=$W$7)),"x","")</f>
        <v/>
      </c>
      <c r="X3396" s="79" t="str">
        <f>IF(OR(TH!N3396=TH!$X$7,O3396=TH!$X$7),"x","")</f>
        <v/>
      </c>
      <c r="Y3396" s="79" t="str">
        <f>IF(AND(OR(N3396="131",O3396="131"),H3396='131-CT'!$H$9),"x","")</f>
        <v/>
      </c>
      <c r="Z3396" s="79"/>
      <c r="AA3396" s="79" t="str">
        <f>IF(AND(MONTH(E3396)='IN-NX'!$J$5,'IN-NX'!$D$7=D3396),"x","")</f>
        <v/>
      </c>
      <c r="AB3396" s="79" t="str">
        <f>IF(AND(OR(LEFT(TH!N3396,2)="15",LEFT(TH!O3396,2)="15"),LEFT(TH!O3396,3)&lt;&gt;"111",'152-CT'!$J$8=TH!F3396),"x","")</f>
        <v/>
      </c>
      <c r="AC3396" s="79" t="str">
        <f>IF(AND(OR(LEFT(TH!N3396,2)="15",LEFT(TH!O3396,2)="15"),TK!$E$7=TH!F3396),"x","")</f>
        <v/>
      </c>
      <c r="AD3396" s="79" t="str">
        <f>IF(AND(N3396="1521",MONTH(C3396)='BK-NL'!$M$11),"x","")</f>
        <v/>
      </c>
    </row>
    <row r="3397" spans="1:30" ht="16.5" customHeight="1">
      <c r="A3397" s="318" t="str">
        <f>IF(B3397&lt;&gt;"",IF(AND(B3397='IN-TC'!$S$4,OR(TH!N3397="1111",TH!O3397="1111")),TH!D3397,""),"")</f>
        <v/>
      </c>
      <c r="B3397" s="60" t="str">
        <f t="shared" si="391"/>
        <v/>
      </c>
      <c r="C3397" s="61"/>
      <c r="D3397" s="301"/>
      <c r="E3397" s="61"/>
      <c r="F3397" s="69"/>
      <c r="G3397" s="64"/>
      <c r="H3397" s="321"/>
      <c r="I3397" s="385"/>
      <c r="J3397" s="392"/>
      <c r="K3397" s="385"/>
      <c r="L3397" s="392"/>
      <c r="M3397" s="62"/>
      <c r="N3397" s="304"/>
      <c r="O3397" s="63"/>
      <c r="P3397" s="79" t="str">
        <f>IF(AND('331-CT'!$E$7=TH!H3397,OR(N3397="331",O3397="331")),"x","")</f>
        <v/>
      </c>
      <c r="Q3397" s="79" t="str">
        <f>IF(AND(B3397='111'!$L$11,OR($N3397=$Q$7,$O3397=$Q$7)),"x","")</f>
        <v/>
      </c>
      <c r="R3397" s="79" t="str">
        <f>IF(AND($N3397=$Q$7,$B3397&lt;'111'!$L$11),"x","")</f>
        <v/>
      </c>
      <c r="S3397" s="79" t="str">
        <f>IF(AND($O3397=$Q$7,$B3397&lt;'111'!$L$11),"x","")</f>
        <v/>
      </c>
      <c r="T3397" s="79" t="str">
        <f>IF(ISERROR(FIND('112'!$M$9,G3397,1)),"",IF((AND(FIND('112'!$M$9,G3397,1)&gt;=1,B3397='112'!$K$9,OR($N3397='112'!$I$6,$O3397='112'!$I$6))),"x",""))</f>
        <v/>
      </c>
      <c r="U3397" s="79" t="str">
        <f>IF(ISERROR(FIND('112'!$M$9,G3397,1)),"",IF((AND(LEFT(G3397,2)=LEFT('112'!$M$9,2),B3397&lt;'112'!$K$9,$N3397='112'!$I$6)),"x",""))</f>
        <v/>
      </c>
      <c r="V3397" s="79" t="str">
        <f>IF(ISERROR(FIND('112'!$M$9,G3397,1)),"",IF((AND(RIGHT(G3397,2)=RIGHT('112'!$M$9,2),B3397&lt;'112'!$K$9,$O3397='112'!$I$6)),"x",""))</f>
        <v/>
      </c>
      <c r="W3397" s="79" t="str">
        <f>IF(AND('341-CT'!$H$9=H3397,OR(LEFT(N3397,3)=$W$7,LEFT(O3397,3)=$W$7)),"x","")</f>
        <v/>
      </c>
      <c r="X3397" s="79" t="str">
        <f>IF(OR(TH!N3397=TH!$X$7,O3397=TH!$X$7),"x","")</f>
        <v/>
      </c>
      <c r="Y3397" s="79" t="str">
        <f>IF(AND(OR(N3397="131",O3397="131"),H3397='131-CT'!$H$9),"x","")</f>
        <v/>
      </c>
      <c r="Z3397" s="79"/>
      <c r="AA3397" s="79" t="str">
        <f>IF(AND(MONTH(E3397)='IN-NX'!$J$5,'IN-NX'!$D$7=D3397),"x","")</f>
        <v/>
      </c>
      <c r="AB3397" s="79" t="str">
        <f>IF(AND(OR(LEFT(TH!N3397,2)="15",LEFT(TH!O3397,2)="15"),LEFT(TH!O3397,3)&lt;&gt;"111",'152-CT'!$J$8=TH!F3397),"x","")</f>
        <v/>
      </c>
      <c r="AC3397" s="79" t="str">
        <f>IF(AND(OR(LEFT(TH!N3397,2)="15",LEFT(TH!O3397,2)="15"),TK!$E$7=TH!F3397),"x","")</f>
        <v/>
      </c>
      <c r="AD3397" s="79" t="str">
        <f>IF(AND(N3397="1521",MONTH(C3397)='BK-NL'!$M$11),"x","")</f>
        <v/>
      </c>
    </row>
    <row r="3398" spans="1:30" ht="16.5" customHeight="1">
      <c r="A3398" s="318" t="str">
        <f>IF(B3398&lt;&gt;"",IF(AND(B3398='IN-TC'!$S$4,OR(TH!N3398="1111",TH!O3398="1111")),TH!D3398,""),"")</f>
        <v/>
      </c>
      <c r="B3398" s="60" t="str">
        <f t="shared" si="391"/>
        <v/>
      </c>
      <c r="C3398" s="61"/>
      <c r="D3398" s="301"/>
      <c r="E3398" s="61"/>
      <c r="F3398" s="69"/>
      <c r="G3398" s="64"/>
      <c r="H3398" s="321"/>
      <c r="I3398" s="385"/>
      <c r="J3398" s="392"/>
      <c r="K3398" s="385"/>
      <c r="L3398" s="392"/>
      <c r="M3398" s="62"/>
      <c r="N3398" s="304"/>
      <c r="O3398" s="63"/>
      <c r="P3398" s="79" t="str">
        <f>IF(AND('331-CT'!$E$7=TH!H3398,OR(N3398="331",O3398="331")),"x","")</f>
        <v/>
      </c>
      <c r="Q3398" s="79" t="str">
        <f>IF(AND(B3398='111'!$L$11,OR($N3398=$Q$7,$O3398=$Q$7)),"x","")</f>
        <v/>
      </c>
      <c r="R3398" s="79" t="str">
        <f>IF(AND($N3398=$Q$7,$B3398&lt;'111'!$L$11),"x","")</f>
        <v/>
      </c>
      <c r="S3398" s="79" t="str">
        <f>IF(AND($O3398=$Q$7,$B3398&lt;'111'!$L$11),"x","")</f>
        <v/>
      </c>
      <c r="T3398" s="79" t="str">
        <f>IF(ISERROR(FIND('112'!$M$9,G3398,1)),"",IF((AND(FIND('112'!$M$9,G3398,1)&gt;=1,B3398='112'!$K$9,OR($N3398='112'!$I$6,$O3398='112'!$I$6))),"x",""))</f>
        <v/>
      </c>
      <c r="U3398" s="79" t="str">
        <f>IF(ISERROR(FIND('112'!$M$9,G3398,1)),"",IF((AND(LEFT(G3398,2)=LEFT('112'!$M$9,2),B3398&lt;'112'!$K$9,$N3398='112'!$I$6)),"x",""))</f>
        <v/>
      </c>
      <c r="V3398" s="79" t="str">
        <f>IF(ISERROR(FIND('112'!$M$9,G3398,1)),"",IF((AND(RIGHT(G3398,2)=RIGHT('112'!$M$9,2),B3398&lt;'112'!$K$9,$O3398='112'!$I$6)),"x",""))</f>
        <v/>
      </c>
      <c r="W3398" s="79" t="str">
        <f>IF(AND('341-CT'!$H$9=H3398,OR(LEFT(N3398,3)=$W$7,LEFT(O3398,3)=$W$7)),"x","")</f>
        <v/>
      </c>
      <c r="X3398" s="79" t="str">
        <f>IF(OR(TH!N3398=TH!$X$7,O3398=TH!$X$7),"x","")</f>
        <v/>
      </c>
      <c r="Y3398" s="79" t="str">
        <f>IF(AND(OR(N3398="131",O3398="131"),H3398='131-CT'!$H$9),"x","")</f>
        <v/>
      </c>
      <c r="Z3398" s="79"/>
      <c r="AA3398" s="79" t="str">
        <f>IF(AND(MONTH(E3398)='IN-NX'!$J$5,'IN-NX'!$D$7=D3398),"x","")</f>
        <v/>
      </c>
      <c r="AB3398" s="79" t="str">
        <f>IF(AND(OR(LEFT(TH!N3398,2)="15",LEFT(TH!O3398,2)="15"),LEFT(TH!O3398,3)&lt;&gt;"111",'152-CT'!$J$8=TH!F3398),"x","")</f>
        <v/>
      </c>
      <c r="AC3398" s="79" t="str">
        <f>IF(AND(OR(LEFT(TH!N3398,2)="15",LEFT(TH!O3398,2)="15"),TK!$E$7=TH!F3398),"x","")</f>
        <v/>
      </c>
      <c r="AD3398" s="79" t="str">
        <f>IF(AND(N3398="1521",MONTH(C3398)='BK-NL'!$M$11),"x","")</f>
        <v/>
      </c>
    </row>
    <row r="3399" spans="1:30" ht="16.5" customHeight="1">
      <c r="A3399" s="318" t="str">
        <f>IF(B3399&lt;&gt;"",IF(AND(B3399='IN-TC'!$S$4,OR(TH!N3399="1111",TH!O3399="1111")),TH!D3399,""),"")</f>
        <v/>
      </c>
      <c r="B3399" s="60" t="str">
        <f t="shared" si="391"/>
        <v/>
      </c>
      <c r="C3399" s="61"/>
      <c r="D3399" s="301"/>
      <c r="E3399" s="61"/>
      <c r="F3399" s="69"/>
      <c r="G3399" s="64"/>
      <c r="H3399" s="69"/>
      <c r="I3399" s="385"/>
      <c r="J3399" s="392"/>
      <c r="K3399" s="385"/>
      <c r="L3399" s="392"/>
      <c r="M3399" s="62"/>
      <c r="N3399" s="304"/>
      <c r="O3399" s="63"/>
      <c r="P3399" s="79" t="str">
        <f>IF(AND('331-CT'!$E$7=TH!H3399,OR(N3399="331",O3399="331")),"x","")</f>
        <v/>
      </c>
      <c r="Q3399" s="79" t="str">
        <f>IF(AND(B3399='111'!$L$11,OR($N3399=$Q$7,$O3399=$Q$7)),"x","")</f>
        <v/>
      </c>
      <c r="R3399" s="79" t="str">
        <f>IF(AND($N3399=$Q$7,$B3399&lt;'111'!$L$11),"x","")</f>
        <v/>
      </c>
      <c r="S3399" s="79" t="str">
        <f>IF(AND($O3399=$Q$7,$B3399&lt;'111'!$L$11),"x","")</f>
        <v/>
      </c>
      <c r="T3399" s="79" t="str">
        <f>IF(ISERROR(FIND('112'!$M$9,G3399,1)),"",IF((AND(FIND('112'!$M$9,G3399,1)&gt;=1,B3399='112'!$K$9,OR($N3399='112'!$I$6,$O3399='112'!$I$6))),"x",""))</f>
        <v/>
      </c>
      <c r="U3399" s="79" t="str">
        <f>IF(ISERROR(FIND('112'!$M$9,G3399,1)),"",IF((AND(LEFT(G3399,2)=LEFT('112'!$M$9,2),B3399&lt;'112'!$K$9,$N3399='112'!$I$6)),"x",""))</f>
        <v/>
      </c>
      <c r="V3399" s="79" t="str">
        <f>IF(ISERROR(FIND('112'!$M$9,G3399,1)),"",IF((AND(RIGHT(G3399,2)=RIGHT('112'!$M$9,2),B3399&lt;'112'!$K$9,$O3399='112'!$I$6)),"x",""))</f>
        <v/>
      </c>
      <c r="W3399" s="79" t="str">
        <f>IF(AND('341-CT'!$H$9=H3399,OR(LEFT(N3399,3)=$W$7,LEFT(O3399,3)=$W$7)),"x","")</f>
        <v/>
      </c>
      <c r="X3399" s="79" t="str">
        <f>IF(OR(TH!N3399=TH!$X$7,O3399=TH!$X$7),"x","")</f>
        <v/>
      </c>
      <c r="Y3399" s="79" t="str">
        <f>IF(AND(OR(N3399="131",O3399="131"),H3399='131-CT'!$H$9),"x","")</f>
        <v/>
      </c>
      <c r="Z3399" s="79"/>
      <c r="AA3399" s="79" t="str">
        <f>IF(AND(MONTH(E3399)='IN-NX'!$J$5,'IN-NX'!$D$7=D3399),"x","")</f>
        <v/>
      </c>
      <c r="AB3399" s="79" t="str">
        <f>IF(AND(OR(LEFT(TH!N3399,2)="15",LEFT(TH!O3399,2)="15"),LEFT(TH!O3399,3)&lt;&gt;"111",'152-CT'!$J$8=TH!F3399),"x","")</f>
        <v/>
      </c>
      <c r="AC3399" s="79" t="str">
        <f>IF(AND(OR(LEFT(TH!N3399,2)="15",LEFT(TH!O3399,2)="15"),TK!$E$7=TH!F3399),"x","")</f>
        <v/>
      </c>
      <c r="AD3399" s="79" t="str">
        <f>IF(AND(N3399="1521",MONTH(C3399)='BK-NL'!$M$11),"x","")</f>
        <v/>
      </c>
    </row>
    <row r="3400" spans="1:30" ht="16.5" customHeight="1">
      <c r="A3400" s="318" t="str">
        <f>IF(B3400&lt;&gt;"",IF(AND(B3400='IN-TC'!$S$4,OR(TH!N3400="1111",TH!O3400="1111")),TH!D3400,""),"")</f>
        <v/>
      </c>
      <c r="B3400" s="60" t="str">
        <f t="shared" si="391"/>
        <v/>
      </c>
      <c r="C3400" s="61"/>
      <c r="D3400" s="301"/>
      <c r="E3400" s="61"/>
      <c r="F3400" s="69"/>
      <c r="G3400" s="64"/>
      <c r="H3400" s="321"/>
      <c r="I3400" s="385"/>
      <c r="J3400" s="392"/>
      <c r="K3400" s="385"/>
      <c r="L3400" s="392"/>
      <c r="M3400" s="62"/>
      <c r="N3400" s="304"/>
      <c r="O3400" s="63"/>
      <c r="P3400" s="79" t="str">
        <f>IF(AND('331-CT'!$E$7=TH!H3400,OR(N3400="331",O3400="331")),"x","")</f>
        <v/>
      </c>
      <c r="Q3400" s="79" t="str">
        <f>IF(AND(B3400='111'!$L$11,OR($N3400=$Q$7,$O3400=$Q$7)),"x","")</f>
        <v/>
      </c>
      <c r="R3400" s="79" t="str">
        <f>IF(AND($N3400=$Q$7,$B3400&lt;'111'!$L$11),"x","")</f>
        <v/>
      </c>
      <c r="S3400" s="79" t="str">
        <f>IF(AND($O3400=$Q$7,$B3400&lt;'111'!$L$11),"x","")</f>
        <v/>
      </c>
      <c r="T3400" s="79" t="str">
        <f>IF(ISERROR(FIND('112'!$M$9,G3400,1)),"",IF((AND(FIND('112'!$M$9,G3400,1)&gt;=1,B3400='112'!$K$9,OR($N3400='112'!$I$6,$O3400='112'!$I$6))),"x",""))</f>
        <v/>
      </c>
      <c r="U3400" s="79" t="str">
        <f>IF(ISERROR(FIND('112'!$M$9,G3400,1)),"",IF((AND(LEFT(G3400,2)=LEFT('112'!$M$9,2),B3400&lt;'112'!$K$9,$N3400='112'!$I$6)),"x",""))</f>
        <v/>
      </c>
      <c r="V3400" s="79" t="str">
        <f>IF(ISERROR(FIND('112'!$M$9,G3400,1)),"",IF((AND(RIGHT(G3400,2)=RIGHT('112'!$M$9,2),B3400&lt;'112'!$K$9,$O3400='112'!$I$6)),"x",""))</f>
        <v/>
      </c>
      <c r="W3400" s="79" t="str">
        <f>IF(AND('341-CT'!$H$9=H3400,OR(LEFT(N3400,3)=$W$7,LEFT(O3400,3)=$W$7)),"x","")</f>
        <v/>
      </c>
      <c r="X3400" s="79" t="str">
        <f>IF(OR(TH!N3400=TH!$X$7,O3400=TH!$X$7),"x","")</f>
        <v/>
      </c>
      <c r="Y3400" s="79" t="str">
        <f>IF(AND(OR(N3400="131",O3400="131"),H3400='131-CT'!$H$9),"x","")</f>
        <v/>
      </c>
      <c r="Z3400" s="79"/>
      <c r="AA3400" s="79" t="str">
        <f>IF(AND(MONTH(E3400)='IN-NX'!$J$5,'IN-NX'!$D$7=D3400),"x","")</f>
        <v/>
      </c>
      <c r="AB3400" s="79" t="str">
        <f>IF(AND(OR(LEFT(TH!N3400,2)="15",LEFT(TH!O3400,2)="15"),LEFT(TH!O3400,3)&lt;&gt;"111",'152-CT'!$J$8=TH!F3400),"x","")</f>
        <v/>
      </c>
      <c r="AC3400" s="79" t="str">
        <f>IF(AND(OR(LEFT(TH!N3400,2)="15",LEFT(TH!O3400,2)="15"),TK!$E$7=TH!F3400),"x","")</f>
        <v/>
      </c>
      <c r="AD3400" s="79" t="str">
        <f>IF(AND(N3400="1521",MONTH(C3400)='BK-NL'!$M$11),"x","")</f>
        <v/>
      </c>
    </row>
    <row r="3401" spans="1:30" ht="16.5" customHeight="1">
      <c r="A3401" s="318" t="str">
        <f>IF(B3401&lt;&gt;"",IF(AND(B3401='IN-TC'!$S$4,OR(TH!N3401="1111",TH!O3401="1111")),TH!D3401,""),"")</f>
        <v/>
      </c>
      <c r="B3401" s="60" t="str">
        <f t="shared" si="391"/>
        <v/>
      </c>
      <c r="C3401" s="1257"/>
      <c r="D3401" s="301"/>
      <c r="E3401" s="61"/>
      <c r="F3401" s="69"/>
      <c r="G3401" s="64"/>
      <c r="H3401" s="321"/>
      <c r="I3401" s="1255"/>
      <c r="J3401" s="1261"/>
      <c r="K3401" s="385"/>
      <c r="L3401" s="392"/>
      <c r="M3401" s="62"/>
      <c r="N3401" s="304"/>
      <c r="O3401" s="63"/>
      <c r="P3401" s="79" t="str">
        <f>IF(AND('331-CT'!$E$7=TH!H3401,OR(N3401="331",O3401="331")),"x","")</f>
        <v/>
      </c>
      <c r="Q3401" s="79" t="str">
        <f>IF(AND(B3401='111'!$L$11,OR($N3401=$Q$7,$O3401=$Q$7)),"x","")</f>
        <v/>
      </c>
      <c r="R3401" s="79" t="str">
        <f>IF(AND($N3401=$Q$7,$B3401&lt;'111'!$L$11),"x","")</f>
        <v/>
      </c>
      <c r="S3401" s="79" t="str">
        <f>IF(AND($O3401=$Q$7,$B3401&lt;'111'!$L$11),"x","")</f>
        <v/>
      </c>
      <c r="T3401" s="79" t="str">
        <f>IF(ISERROR(FIND('112'!$M$9,G3401,1)),"",IF((AND(FIND('112'!$M$9,G3401,1)&gt;=1,B3401='112'!$K$9,OR($N3401='112'!$I$6,$O3401='112'!$I$6))),"x",""))</f>
        <v/>
      </c>
      <c r="U3401" s="79" t="str">
        <f>IF(ISERROR(FIND('112'!$M$9,G3401,1)),"",IF((AND(LEFT(G3401,2)=LEFT('112'!$M$9,2),B3401&lt;'112'!$K$9,$N3401='112'!$I$6)),"x",""))</f>
        <v/>
      </c>
      <c r="V3401" s="79" t="str">
        <f>IF(ISERROR(FIND('112'!$M$9,G3401,1)),"",IF((AND(RIGHT(G3401,2)=RIGHT('112'!$M$9,2),B3401&lt;'112'!$K$9,$O3401='112'!$I$6)),"x",""))</f>
        <v/>
      </c>
      <c r="W3401" s="79" t="str">
        <f>IF(AND('341-CT'!$H$9=H3401,OR(LEFT(N3401,3)=$W$7,LEFT(O3401,3)=$W$7)),"x","")</f>
        <v/>
      </c>
      <c r="X3401" s="79" t="str">
        <f>IF(OR(TH!N3401=TH!$X$7,O3401=TH!$X$7),"x","")</f>
        <v/>
      </c>
      <c r="Y3401" s="79" t="str">
        <f>IF(AND(OR(N3401="131",O3401="131"),H3401='131-CT'!$H$9),"x","")</f>
        <v/>
      </c>
      <c r="Z3401" s="79"/>
      <c r="AA3401" s="79" t="str">
        <f>IF(AND(MONTH(E3401)='IN-NX'!$J$5,'IN-NX'!$D$7=D3401),"x","")</f>
        <v/>
      </c>
      <c r="AB3401" s="79" t="str">
        <f>IF(AND(OR(LEFT(TH!N3401,2)="15",LEFT(TH!O3401,2)="15"),LEFT(TH!O3401,3)&lt;&gt;"111",'152-CT'!$J$8=TH!F3401),"x","")</f>
        <v/>
      </c>
      <c r="AC3401" s="79" t="str">
        <f>IF(AND(OR(LEFT(TH!N3401,2)="15",LEFT(TH!O3401,2)="15"),TK!$E$7=TH!F3401),"x","")</f>
        <v/>
      </c>
      <c r="AD3401" s="79" t="str">
        <f>IF(AND(N3401="1521",MONTH(C3401)='BK-NL'!$M$11),"x","")</f>
        <v/>
      </c>
    </row>
    <row r="3402" spans="1:30" ht="16.5" customHeight="1">
      <c r="A3402" s="318" t="str">
        <f>IF(B3402&lt;&gt;"",IF(AND(B3402='IN-TC'!$S$4,OR(TH!N3402="1111",TH!O3402="1111")),TH!D3402,""),"")</f>
        <v/>
      </c>
      <c r="B3402" s="60" t="str">
        <f t="shared" si="391"/>
        <v/>
      </c>
      <c r="C3402" s="1257"/>
      <c r="D3402" s="301"/>
      <c r="E3402" s="61"/>
      <c r="F3402" s="69"/>
      <c r="G3402" s="64"/>
      <c r="H3402" s="321"/>
      <c r="I3402" s="1255"/>
      <c r="J3402" s="1261"/>
      <c r="K3402" s="385"/>
      <c r="L3402" s="392"/>
      <c r="M3402" s="62"/>
      <c r="N3402" s="304"/>
      <c r="O3402" s="63"/>
      <c r="P3402" s="79" t="str">
        <f>IF(AND('331-CT'!$E$7=TH!H3402,OR(N3402="331",O3402="331")),"x","")</f>
        <v/>
      </c>
      <c r="Q3402" s="79" t="str">
        <f>IF(AND(B3402='111'!$L$11,OR($N3402=$Q$7,$O3402=$Q$7)),"x","")</f>
        <v/>
      </c>
      <c r="R3402" s="79" t="str">
        <f>IF(AND($N3402=$Q$7,$B3402&lt;'111'!$L$11),"x","")</f>
        <v/>
      </c>
      <c r="S3402" s="79" t="str">
        <f>IF(AND($O3402=$Q$7,$B3402&lt;'111'!$L$11),"x","")</f>
        <v/>
      </c>
      <c r="T3402" s="79" t="str">
        <f>IF(ISERROR(FIND('112'!$M$9,G3402,1)),"",IF((AND(FIND('112'!$M$9,G3402,1)&gt;=1,B3402='112'!$K$9,OR($N3402='112'!$I$6,$O3402='112'!$I$6))),"x",""))</f>
        <v/>
      </c>
      <c r="U3402" s="79" t="str">
        <f>IF(ISERROR(FIND('112'!$M$9,G3402,1)),"",IF((AND(LEFT(G3402,2)=LEFT('112'!$M$9,2),B3402&lt;'112'!$K$9,$N3402='112'!$I$6)),"x",""))</f>
        <v/>
      </c>
      <c r="V3402" s="79" t="str">
        <f>IF(ISERROR(FIND('112'!$M$9,G3402,1)),"",IF((AND(RIGHT(G3402,2)=RIGHT('112'!$M$9,2),B3402&lt;'112'!$K$9,$O3402='112'!$I$6)),"x",""))</f>
        <v/>
      </c>
      <c r="W3402" s="79" t="str">
        <f>IF(AND('341-CT'!$H$9=H3402,OR(LEFT(N3402,3)=$W$7,LEFT(O3402,3)=$W$7)),"x","")</f>
        <v/>
      </c>
      <c r="X3402" s="79" t="str">
        <f>IF(OR(TH!N3402=TH!$X$7,O3402=TH!$X$7),"x","")</f>
        <v/>
      </c>
      <c r="Y3402" s="79" t="str">
        <f>IF(AND(OR(N3402="131",O3402="131"),H3402='131-CT'!$H$9),"x","")</f>
        <v/>
      </c>
      <c r="Z3402" s="79"/>
      <c r="AA3402" s="79" t="str">
        <f>IF(AND(MONTH(E3402)='IN-NX'!$J$5,'IN-NX'!$D$7=D3402),"x","")</f>
        <v/>
      </c>
      <c r="AB3402" s="79" t="str">
        <f>IF(AND(OR(LEFT(TH!N3402,2)="15",LEFT(TH!O3402,2)="15"),LEFT(TH!O3402,3)&lt;&gt;"111",'152-CT'!$J$8=TH!F3402),"x","")</f>
        <v/>
      </c>
      <c r="AC3402" s="79" t="str">
        <f>IF(AND(OR(LEFT(TH!N3402,2)="15",LEFT(TH!O3402,2)="15"),TK!$E$7=TH!F3402),"x","")</f>
        <v/>
      </c>
      <c r="AD3402" s="79" t="str">
        <f>IF(AND(N3402="1521",MONTH(C3402)='BK-NL'!$M$11),"x","")</f>
        <v/>
      </c>
    </row>
    <row r="3403" spans="1:30" ht="16.5" customHeight="1">
      <c r="A3403" s="318" t="str">
        <f>IF(B3403&lt;&gt;"",IF(AND(B3403='IN-TC'!$S$4,OR(TH!N3403="1111",TH!O3403="1111")),TH!D3403,""),"")</f>
        <v/>
      </c>
      <c r="B3403" s="60" t="str">
        <f t="shared" si="391"/>
        <v/>
      </c>
      <c r="C3403" s="1257"/>
      <c r="D3403" s="301"/>
      <c r="E3403" s="61"/>
      <c r="F3403" s="69"/>
      <c r="G3403" s="64"/>
      <c r="H3403" s="321"/>
      <c r="I3403" s="1255"/>
      <c r="J3403" s="1261"/>
      <c r="K3403" s="385"/>
      <c r="L3403" s="392"/>
      <c r="M3403" s="62"/>
      <c r="N3403" s="304"/>
      <c r="O3403" s="63"/>
      <c r="P3403" s="79" t="str">
        <f>IF(AND('331-CT'!$E$7=TH!H3403,OR(N3403="331",O3403="331")),"x","")</f>
        <v/>
      </c>
      <c r="Q3403" s="79" t="str">
        <f>IF(AND(B3403='111'!$L$11,OR($N3403=$Q$7,$O3403=$Q$7)),"x","")</f>
        <v/>
      </c>
      <c r="R3403" s="79" t="str">
        <f>IF(AND($N3403=$Q$7,$B3403&lt;'111'!$L$11),"x","")</f>
        <v/>
      </c>
      <c r="S3403" s="79" t="str">
        <f>IF(AND($O3403=$Q$7,$B3403&lt;'111'!$L$11),"x","")</f>
        <v/>
      </c>
      <c r="T3403" s="79" t="str">
        <f>IF(ISERROR(FIND('112'!$M$9,G3403,1)),"",IF((AND(FIND('112'!$M$9,G3403,1)&gt;=1,B3403='112'!$K$9,OR($N3403='112'!$I$6,$O3403='112'!$I$6))),"x",""))</f>
        <v/>
      </c>
      <c r="U3403" s="79" t="str">
        <f>IF(ISERROR(FIND('112'!$M$9,G3403,1)),"",IF((AND(LEFT(G3403,2)=LEFT('112'!$M$9,2),B3403&lt;'112'!$K$9,$N3403='112'!$I$6)),"x",""))</f>
        <v/>
      </c>
      <c r="V3403" s="79" t="str">
        <f>IF(ISERROR(FIND('112'!$M$9,G3403,1)),"",IF((AND(RIGHT(G3403,2)=RIGHT('112'!$M$9,2),B3403&lt;'112'!$K$9,$O3403='112'!$I$6)),"x",""))</f>
        <v/>
      </c>
      <c r="W3403" s="79" t="str">
        <f>IF(AND('341-CT'!$H$9=H3403,OR(LEFT(N3403,3)=$W$7,LEFT(O3403,3)=$W$7)),"x","")</f>
        <v/>
      </c>
      <c r="X3403" s="79" t="str">
        <f>IF(OR(TH!N3403=TH!$X$7,O3403=TH!$X$7),"x","")</f>
        <v/>
      </c>
      <c r="Y3403" s="79" t="str">
        <f>IF(AND(OR(N3403="131",O3403="131"),H3403='131-CT'!$H$9),"x","")</f>
        <v/>
      </c>
      <c r="Z3403" s="79"/>
      <c r="AA3403" s="79" t="str">
        <f>IF(AND(MONTH(E3403)='IN-NX'!$J$5,'IN-NX'!$D$7=D3403),"x","")</f>
        <v/>
      </c>
      <c r="AB3403" s="79" t="str">
        <f>IF(AND(OR(LEFT(TH!N3403,2)="15",LEFT(TH!O3403,2)="15"),LEFT(TH!O3403,3)&lt;&gt;"111",'152-CT'!$J$8=TH!F3403),"x","")</f>
        <v/>
      </c>
      <c r="AC3403" s="79" t="str">
        <f>IF(AND(OR(LEFT(TH!N3403,2)="15",LEFT(TH!O3403,2)="15"),TK!$E$7=TH!F3403),"x","")</f>
        <v/>
      </c>
      <c r="AD3403" s="79" t="str">
        <f>IF(AND(N3403="1521",MONTH(C3403)='BK-NL'!$M$11),"x","")</f>
        <v/>
      </c>
    </row>
    <row r="3404" spans="1:30" ht="16.5" customHeight="1">
      <c r="A3404" s="318" t="str">
        <f>IF(B3404&lt;&gt;"",IF(AND(B3404='IN-TC'!$S$4,OR(TH!N3404="1111",TH!O3404="1111")),TH!D3404,""),"")</f>
        <v/>
      </c>
      <c r="B3404" s="60" t="str">
        <f t="shared" si="391"/>
        <v/>
      </c>
      <c r="C3404" s="1257"/>
      <c r="D3404" s="301"/>
      <c r="E3404" s="61"/>
      <c r="F3404" s="69"/>
      <c r="G3404" s="64"/>
      <c r="H3404" s="321"/>
      <c r="I3404" s="1255"/>
      <c r="J3404" s="1261"/>
      <c r="K3404" s="385"/>
      <c r="L3404" s="392"/>
      <c r="M3404" s="62"/>
      <c r="N3404" s="304"/>
      <c r="O3404" s="63"/>
      <c r="P3404" s="79" t="str">
        <f>IF(AND('331-CT'!$E$7=TH!H3404,OR(N3404="331",O3404="331")),"x","")</f>
        <v/>
      </c>
      <c r="Q3404" s="79" t="str">
        <f>IF(AND(B3404='111'!$L$11,OR($N3404=$Q$7,$O3404=$Q$7)),"x","")</f>
        <v/>
      </c>
      <c r="R3404" s="79" t="str">
        <f>IF(AND($N3404=$Q$7,$B3404&lt;'111'!$L$11),"x","")</f>
        <v/>
      </c>
      <c r="S3404" s="79" t="str">
        <f>IF(AND($O3404=$Q$7,$B3404&lt;'111'!$L$11),"x","")</f>
        <v/>
      </c>
      <c r="T3404" s="79" t="str">
        <f>IF(ISERROR(FIND('112'!$M$9,G3404,1)),"",IF((AND(FIND('112'!$M$9,G3404,1)&gt;=1,B3404='112'!$K$9,OR($N3404='112'!$I$6,$O3404='112'!$I$6))),"x",""))</f>
        <v/>
      </c>
      <c r="U3404" s="79" t="str">
        <f>IF(ISERROR(FIND('112'!$M$9,G3404,1)),"",IF((AND(LEFT(G3404,2)=LEFT('112'!$M$9,2),B3404&lt;'112'!$K$9,$N3404='112'!$I$6)),"x",""))</f>
        <v/>
      </c>
      <c r="V3404" s="79" t="str">
        <f>IF(ISERROR(FIND('112'!$M$9,G3404,1)),"",IF((AND(RIGHT(G3404,2)=RIGHT('112'!$M$9,2),B3404&lt;'112'!$K$9,$O3404='112'!$I$6)),"x",""))</f>
        <v/>
      </c>
      <c r="W3404" s="79" t="str">
        <f>IF(AND('341-CT'!$H$9=H3404,OR(LEFT(N3404,3)=$W$7,LEFT(O3404,3)=$W$7)),"x","")</f>
        <v/>
      </c>
      <c r="X3404" s="79" t="str">
        <f>IF(OR(TH!N3404=TH!$X$7,O3404=TH!$X$7),"x","")</f>
        <v/>
      </c>
      <c r="Y3404" s="79" t="str">
        <f>IF(AND(OR(N3404="131",O3404="131"),H3404='131-CT'!$H$9),"x","")</f>
        <v/>
      </c>
      <c r="Z3404" s="79"/>
      <c r="AA3404" s="79" t="str">
        <f>IF(AND(MONTH(E3404)='IN-NX'!$J$5,'IN-NX'!$D$7=D3404),"x","")</f>
        <v/>
      </c>
      <c r="AB3404" s="79" t="str">
        <f>IF(AND(OR(LEFT(TH!N3404,2)="15",LEFT(TH!O3404,2)="15"),LEFT(TH!O3404,3)&lt;&gt;"111",'152-CT'!$J$8=TH!F3404),"x","")</f>
        <v/>
      </c>
      <c r="AC3404" s="79" t="str">
        <f>IF(AND(OR(LEFT(TH!N3404,2)="15",LEFT(TH!O3404,2)="15"),TK!$E$7=TH!F3404),"x","")</f>
        <v/>
      </c>
      <c r="AD3404" s="79" t="str">
        <f>IF(AND(N3404="1521",MONTH(C3404)='BK-NL'!$M$11),"x","")</f>
        <v/>
      </c>
    </row>
    <row r="3405" spans="1:30" ht="16.5" customHeight="1">
      <c r="A3405" s="318" t="str">
        <f>IF(B3405&lt;&gt;"",IF(AND(B3405='IN-TC'!$S$4,OR(TH!N3405="1111",TH!O3405="1111")),TH!D3405,""),"")</f>
        <v/>
      </c>
      <c r="B3405" s="60" t="str">
        <f t="shared" si="391"/>
        <v/>
      </c>
      <c r="C3405" s="1257"/>
      <c r="D3405" s="301"/>
      <c r="E3405" s="61"/>
      <c r="F3405" s="69"/>
      <c r="G3405" s="64"/>
      <c r="H3405" s="321"/>
      <c r="I3405" s="1255"/>
      <c r="J3405" s="1261"/>
      <c r="K3405" s="385"/>
      <c r="L3405" s="392"/>
      <c r="M3405" s="62"/>
      <c r="N3405" s="304"/>
      <c r="O3405" s="63"/>
      <c r="P3405" s="79" t="str">
        <f>IF(AND('331-CT'!$E$7=TH!H3405,OR(N3405="331",O3405="331")),"x","")</f>
        <v/>
      </c>
      <c r="Q3405" s="79" t="str">
        <f>IF(AND(B3405='111'!$L$11,OR($N3405=$Q$7,$O3405=$Q$7)),"x","")</f>
        <v/>
      </c>
      <c r="R3405" s="79" t="str">
        <f>IF(AND($N3405=$Q$7,$B3405&lt;'111'!$L$11),"x","")</f>
        <v/>
      </c>
      <c r="S3405" s="79" t="str">
        <f>IF(AND($O3405=$Q$7,$B3405&lt;'111'!$L$11),"x","")</f>
        <v/>
      </c>
      <c r="T3405" s="79" t="str">
        <f>IF(ISERROR(FIND('112'!$M$9,G3405,1)),"",IF((AND(FIND('112'!$M$9,G3405,1)&gt;=1,B3405='112'!$K$9,OR($N3405='112'!$I$6,$O3405='112'!$I$6))),"x",""))</f>
        <v/>
      </c>
      <c r="U3405" s="79" t="str">
        <f>IF(ISERROR(FIND('112'!$M$9,G3405,1)),"",IF((AND(LEFT(G3405,2)=LEFT('112'!$M$9,2),B3405&lt;'112'!$K$9,$N3405='112'!$I$6)),"x",""))</f>
        <v/>
      </c>
      <c r="V3405" s="79" t="str">
        <f>IF(ISERROR(FIND('112'!$M$9,G3405,1)),"",IF((AND(RIGHT(G3405,2)=RIGHT('112'!$M$9,2),B3405&lt;'112'!$K$9,$O3405='112'!$I$6)),"x",""))</f>
        <v/>
      </c>
      <c r="W3405" s="79" t="str">
        <f>IF(AND('341-CT'!$H$9=H3405,OR(LEFT(N3405,3)=$W$7,LEFT(O3405,3)=$W$7)),"x","")</f>
        <v/>
      </c>
      <c r="X3405" s="79" t="str">
        <f>IF(OR(TH!N3405=TH!$X$7,O3405=TH!$X$7),"x","")</f>
        <v/>
      </c>
      <c r="Y3405" s="79" t="str">
        <f>IF(AND(OR(N3405="131",O3405="131"),H3405='131-CT'!$H$9),"x","")</f>
        <v/>
      </c>
      <c r="Z3405" s="79"/>
      <c r="AA3405" s="79" t="str">
        <f>IF(AND(MONTH(E3405)='IN-NX'!$J$5,'IN-NX'!$D$7=D3405),"x","")</f>
        <v/>
      </c>
      <c r="AB3405" s="79" t="str">
        <f>IF(AND(OR(LEFT(TH!N3405,2)="15",LEFT(TH!O3405,2)="15"),LEFT(TH!O3405,3)&lt;&gt;"111",'152-CT'!$J$8=TH!F3405),"x","")</f>
        <v/>
      </c>
      <c r="AC3405" s="79" t="str">
        <f>IF(AND(OR(LEFT(TH!N3405,2)="15",LEFT(TH!O3405,2)="15"),TK!$E$7=TH!F3405),"x","")</f>
        <v/>
      </c>
      <c r="AD3405" s="79" t="str">
        <f>IF(AND(N3405="1521",MONTH(C3405)='BK-NL'!$M$11),"x","")</f>
        <v/>
      </c>
    </row>
    <row r="3406" spans="1:30" ht="16.5" customHeight="1">
      <c r="A3406" s="318" t="str">
        <f>IF(B3406&lt;&gt;"",IF(AND(B3406='IN-TC'!$S$4,OR(TH!N3406="1111",TH!O3406="1111")),TH!D3406,""),"")</f>
        <v/>
      </c>
      <c r="B3406" s="60" t="str">
        <f t="shared" si="391"/>
        <v/>
      </c>
      <c r="C3406" s="1257"/>
      <c r="D3406" s="301"/>
      <c r="E3406" s="61"/>
      <c r="F3406" s="69"/>
      <c r="G3406" s="64"/>
      <c r="H3406" s="321"/>
      <c r="I3406" s="1255"/>
      <c r="J3406" s="1261"/>
      <c r="K3406" s="385"/>
      <c r="L3406" s="392"/>
      <c r="M3406" s="62"/>
      <c r="N3406" s="304"/>
      <c r="O3406" s="63"/>
      <c r="P3406" s="79" t="str">
        <f>IF(AND('331-CT'!$E$7=TH!H3406,OR(N3406="331",O3406="331")),"x","")</f>
        <v/>
      </c>
      <c r="Q3406" s="79" t="str">
        <f>IF(AND(B3406='111'!$L$11,OR($N3406=$Q$7,$O3406=$Q$7)),"x","")</f>
        <v/>
      </c>
      <c r="R3406" s="79" t="str">
        <f>IF(AND($N3406=$Q$7,$B3406&lt;'111'!$L$11),"x","")</f>
        <v/>
      </c>
      <c r="S3406" s="79" t="str">
        <f>IF(AND($O3406=$Q$7,$B3406&lt;'111'!$L$11),"x","")</f>
        <v/>
      </c>
      <c r="T3406" s="79" t="str">
        <f>IF(ISERROR(FIND('112'!$M$9,G3406,1)),"",IF((AND(FIND('112'!$M$9,G3406,1)&gt;=1,B3406='112'!$K$9,OR($N3406='112'!$I$6,$O3406='112'!$I$6))),"x",""))</f>
        <v/>
      </c>
      <c r="U3406" s="79" t="str">
        <f>IF(ISERROR(FIND('112'!$M$9,G3406,1)),"",IF((AND(LEFT(G3406,2)=LEFT('112'!$M$9,2),B3406&lt;'112'!$K$9,$N3406='112'!$I$6)),"x",""))</f>
        <v/>
      </c>
      <c r="V3406" s="79" t="str">
        <f>IF(ISERROR(FIND('112'!$M$9,G3406,1)),"",IF((AND(RIGHT(G3406,2)=RIGHT('112'!$M$9,2),B3406&lt;'112'!$K$9,$O3406='112'!$I$6)),"x",""))</f>
        <v/>
      </c>
      <c r="W3406" s="79" t="str">
        <f>IF(AND('341-CT'!$H$9=H3406,OR(LEFT(N3406,3)=$W$7,LEFT(O3406,3)=$W$7)),"x","")</f>
        <v/>
      </c>
      <c r="X3406" s="79" t="str">
        <f>IF(OR(TH!N3406=TH!$X$7,O3406=TH!$X$7),"x","")</f>
        <v/>
      </c>
      <c r="Y3406" s="79" t="str">
        <f>IF(AND(OR(N3406="131",O3406="131"),H3406='131-CT'!$H$9),"x","")</f>
        <v/>
      </c>
      <c r="Z3406" s="79"/>
      <c r="AA3406" s="79" t="str">
        <f>IF(AND(MONTH(E3406)='IN-NX'!$J$5,'IN-NX'!$D$7=D3406),"x","")</f>
        <v/>
      </c>
      <c r="AB3406" s="79" t="str">
        <f>IF(AND(OR(LEFT(TH!N3406,2)="15",LEFT(TH!O3406,2)="15"),LEFT(TH!O3406,3)&lt;&gt;"111",'152-CT'!$J$8=TH!F3406),"x","")</f>
        <v/>
      </c>
      <c r="AC3406" s="79" t="str">
        <f>IF(AND(OR(LEFT(TH!N3406,2)="15",LEFT(TH!O3406,2)="15"),TK!$E$7=TH!F3406),"x","")</f>
        <v/>
      </c>
      <c r="AD3406" s="79" t="str">
        <f>IF(AND(N3406="1521",MONTH(C3406)='BK-NL'!$M$11),"x","")</f>
        <v/>
      </c>
    </row>
    <row r="3407" spans="1:30" ht="16.5" customHeight="1">
      <c r="A3407" s="318" t="str">
        <f>IF(B3407&lt;&gt;"",IF(AND(B3407='IN-TC'!$S$4,OR(TH!N3407="1111",TH!O3407="1111")),TH!D3407,""),"")</f>
        <v/>
      </c>
      <c r="B3407" s="60" t="str">
        <f t="shared" si="391"/>
        <v/>
      </c>
      <c r="C3407" s="1257"/>
      <c r="D3407" s="301"/>
      <c r="E3407" s="61"/>
      <c r="F3407" s="69"/>
      <c r="G3407" s="64"/>
      <c r="H3407" s="321"/>
      <c r="I3407" s="1255"/>
      <c r="J3407" s="1261"/>
      <c r="K3407" s="385"/>
      <c r="L3407" s="392"/>
      <c r="M3407" s="62"/>
      <c r="N3407" s="304"/>
      <c r="O3407" s="63"/>
      <c r="P3407" s="79" t="str">
        <f>IF(AND('331-CT'!$E$7=TH!H3407,OR(N3407="331",O3407="331")),"x","")</f>
        <v/>
      </c>
      <c r="Q3407" s="79" t="str">
        <f>IF(AND(B3407='111'!$L$11,OR($N3407=$Q$7,$O3407=$Q$7)),"x","")</f>
        <v/>
      </c>
      <c r="R3407" s="79" t="str">
        <f>IF(AND($N3407=$Q$7,$B3407&lt;'111'!$L$11),"x","")</f>
        <v/>
      </c>
      <c r="S3407" s="79" t="str">
        <f>IF(AND($O3407=$Q$7,$B3407&lt;'111'!$L$11),"x","")</f>
        <v/>
      </c>
      <c r="T3407" s="79" t="str">
        <f>IF(ISERROR(FIND('112'!$M$9,G3407,1)),"",IF((AND(FIND('112'!$M$9,G3407,1)&gt;=1,B3407='112'!$K$9,OR($N3407='112'!$I$6,$O3407='112'!$I$6))),"x",""))</f>
        <v/>
      </c>
      <c r="U3407" s="79" t="str">
        <f>IF(ISERROR(FIND('112'!$M$9,G3407,1)),"",IF((AND(LEFT(G3407,2)=LEFT('112'!$M$9,2),B3407&lt;'112'!$K$9,$N3407='112'!$I$6)),"x",""))</f>
        <v/>
      </c>
      <c r="V3407" s="79" t="str">
        <f>IF(ISERROR(FIND('112'!$M$9,G3407,1)),"",IF((AND(RIGHT(G3407,2)=RIGHT('112'!$M$9,2),B3407&lt;'112'!$K$9,$O3407='112'!$I$6)),"x",""))</f>
        <v/>
      </c>
      <c r="W3407" s="79" t="str">
        <f>IF(AND('341-CT'!$H$9=H3407,OR(LEFT(N3407,3)=$W$7,LEFT(O3407,3)=$W$7)),"x","")</f>
        <v/>
      </c>
      <c r="X3407" s="79" t="str">
        <f>IF(OR(TH!N3407=TH!$X$7,O3407=TH!$X$7),"x","")</f>
        <v/>
      </c>
      <c r="Y3407" s="79" t="str">
        <f>IF(AND(OR(N3407="131",O3407="131"),H3407='131-CT'!$H$9),"x","")</f>
        <v/>
      </c>
      <c r="Z3407" s="79"/>
      <c r="AA3407" s="79" t="str">
        <f>IF(AND(MONTH(E3407)='IN-NX'!$J$5,'IN-NX'!$D$7=D3407),"x","")</f>
        <v/>
      </c>
      <c r="AB3407" s="79" t="str">
        <f>IF(AND(OR(LEFT(TH!N3407,2)="15",LEFT(TH!O3407,2)="15"),LEFT(TH!O3407,3)&lt;&gt;"111",'152-CT'!$J$8=TH!F3407),"x","")</f>
        <v/>
      </c>
      <c r="AC3407" s="79" t="str">
        <f>IF(AND(OR(LEFT(TH!N3407,2)="15",LEFT(TH!O3407,2)="15"),TK!$E$7=TH!F3407),"x","")</f>
        <v/>
      </c>
      <c r="AD3407" s="79" t="str">
        <f>IF(AND(N3407="1521",MONTH(C3407)='BK-NL'!$M$11),"x","")</f>
        <v/>
      </c>
    </row>
    <row r="3408" spans="1:30" ht="16.5" customHeight="1">
      <c r="A3408" s="318" t="str">
        <f>IF(B3408&lt;&gt;"",IF(AND(B3408='IN-TC'!$S$4,OR(TH!N3408="1111",TH!O3408="1111")),TH!D3408,""),"")</f>
        <v/>
      </c>
      <c r="B3408" s="60" t="str">
        <f t="shared" si="391"/>
        <v/>
      </c>
      <c r="C3408" s="1257"/>
      <c r="D3408" s="301"/>
      <c r="E3408" s="61"/>
      <c r="F3408" s="69"/>
      <c r="G3408" s="64"/>
      <c r="H3408" s="321"/>
      <c r="I3408" s="1255"/>
      <c r="J3408" s="1261"/>
      <c r="K3408" s="385"/>
      <c r="L3408" s="392"/>
      <c r="M3408" s="62"/>
      <c r="N3408" s="304"/>
      <c r="O3408" s="63"/>
      <c r="P3408" s="79" t="str">
        <f>IF(AND('331-CT'!$E$7=TH!H3408,OR(N3408="331",O3408="331")),"x","")</f>
        <v/>
      </c>
      <c r="Q3408" s="79" t="str">
        <f>IF(AND(B3408='111'!$L$11,OR($N3408=$Q$7,$O3408=$Q$7)),"x","")</f>
        <v/>
      </c>
      <c r="R3408" s="79" t="str">
        <f>IF(AND($N3408=$Q$7,$B3408&lt;'111'!$L$11),"x","")</f>
        <v/>
      </c>
      <c r="S3408" s="79" t="str">
        <f>IF(AND($O3408=$Q$7,$B3408&lt;'111'!$L$11),"x","")</f>
        <v/>
      </c>
      <c r="T3408" s="79" t="str">
        <f>IF(ISERROR(FIND('112'!$M$9,G3408,1)),"",IF((AND(FIND('112'!$M$9,G3408,1)&gt;=1,B3408='112'!$K$9,OR($N3408='112'!$I$6,$O3408='112'!$I$6))),"x",""))</f>
        <v/>
      </c>
      <c r="U3408" s="79" t="str">
        <f>IF(ISERROR(FIND('112'!$M$9,G3408,1)),"",IF((AND(LEFT(G3408,2)=LEFT('112'!$M$9,2),B3408&lt;'112'!$K$9,$N3408='112'!$I$6)),"x",""))</f>
        <v/>
      </c>
      <c r="V3408" s="79" t="str">
        <f>IF(ISERROR(FIND('112'!$M$9,G3408,1)),"",IF((AND(RIGHT(G3408,2)=RIGHT('112'!$M$9,2),B3408&lt;'112'!$K$9,$O3408='112'!$I$6)),"x",""))</f>
        <v/>
      </c>
      <c r="W3408" s="79" t="str">
        <f>IF(AND('341-CT'!$H$9=H3408,OR(LEFT(N3408,3)=$W$7,LEFT(O3408,3)=$W$7)),"x","")</f>
        <v/>
      </c>
      <c r="X3408" s="79" t="str">
        <f>IF(OR(TH!N3408=TH!$X$7,O3408=TH!$X$7),"x","")</f>
        <v/>
      </c>
      <c r="Y3408" s="79" t="str">
        <f>IF(AND(OR(N3408="131",O3408="131"),H3408='131-CT'!$H$9),"x","")</f>
        <v/>
      </c>
      <c r="Z3408" s="79"/>
      <c r="AA3408" s="79" t="str">
        <f>IF(AND(MONTH(E3408)='IN-NX'!$J$5,'IN-NX'!$D$7=D3408),"x","")</f>
        <v/>
      </c>
      <c r="AB3408" s="79" t="str">
        <f>IF(AND(OR(LEFT(TH!N3408,2)="15",LEFT(TH!O3408,2)="15"),LEFT(TH!O3408,3)&lt;&gt;"111",'152-CT'!$J$8=TH!F3408),"x","")</f>
        <v/>
      </c>
      <c r="AC3408" s="79" t="str">
        <f>IF(AND(OR(LEFT(TH!N3408,2)="15",LEFT(TH!O3408,2)="15"),TK!$E$7=TH!F3408),"x","")</f>
        <v/>
      </c>
      <c r="AD3408" s="79" t="str">
        <f>IF(AND(N3408="1521",MONTH(C3408)='BK-NL'!$M$11),"x","")</f>
        <v/>
      </c>
    </row>
    <row r="3409" spans="1:30" ht="16.5" customHeight="1">
      <c r="A3409" s="318" t="str">
        <f>IF(B3409&lt;&gt;"",IF(AND(B3409='IN-TC'!$S$4,OR(TH!N3409="1111",TH!O3409="1111")),TH!D3409,""),"")</f>
        <v/>
      </c>
      <c r="B3409" s="60" t="str">
        <f t="shared" si="391"/>
        <v/>
      </c>
      <c r="C3409" s="1254"/>
      <c r="D3409" s="301"/>
      <c r="E3409" s="301"/>
      <c r="F3409" s="69"/>
      <c r="G3409" s="988"/>
      <c r="H3409" s="303"/>
      <c r="I3409" s="385"/>
      <c r="J3409" s="969"/>
      <c r="K3409" s="385"/>
      <c r="L3409" s="392"/>
      <c r="M3409" s="970"/>
      <c r="N3409" s="304"/>
      <c r="O3409" s="304"/>
      <c r="P3409" s="79" t="str">
        <f>IF(AND('331-CT'!$E$7=TH!H3409,OR(N3409="331",O3409="331")),"x","")</f>
        <v/>
      </c>
      <c r="Q3409" s="79" t="str">
        <f>IF(AND(B3409='111'!$L$11,OR($N3409=$Q$7,$O3409=$Q$7)),"x","")</f>
        <v/>
      </c>
      <c r="R3409" s="79" t="str">
        <f>IF(AND($N3409=$Q$7,$B3409&lt;'111'!$L$11),"x","")</f>
        <v/>
      </c>
      <c r="S3409" s="79" t="str">
        <f>IF(AND($O3409=$Q$7,$B3409&lt;'111'!$L$11),"x","")</f>
        <v/>
      </c>
      <c r="T3409" s="79" t="str">
        <f>IF(ISERROR(FIND('112'!$M$9,G3409,1)),"",IF((AND(FIND('112'!$M$9,G3409,1)&gt;=1,B3409='112'!$K$9,OR($N3409='112'!$I$6,$O3409='112'!$I$6))),"x",""))</f>
        <v/>
      </c>
      <c r="U3409" s="79" t="str">
        <f>IF(ISERROR(FIND('112'!$M$9,G3409,1)),"",IF((AND(LEFT(G3409,2)=LEFT('112'!$M$9,2),B3409&lt;'112'!$K$9,$N3409='112'!$I$6)),"x",""))</f>
        <v/>
      </c>
      <c r="V3409" s="79" t="str">
        <f>IF(ISERROR(FIND('112'!$M$9,G3409,1)),"",IF((AND(RIGHT(G3409,2)=RIGHT('112'!$M$9,2),B3409&lt;'112'!$K$9,$O3409='112'!$I$6)),"x",""))</f>
        <v/>
      </c>
      <c r="W3409" s="79" t="str">
        <f>IF(AND('341-CT'!$H$9=H3409,OR(LEFT(N3409,3)=$W$7,LEFT(O3409,3)=$W$7)),"x","")</f>
        <v/>
      </c>
      <c r="X3409" s="79" t="str">
        <f>IF(OR(TH!N3409=TH!$X$7,O3409=TH!$X$7),"x","")</f>
        <v/>
      </c>
      <c r="Y3409" s="79" t="str">
        <f>IF(AND(OR(N3409="131",O3409="131"),H3409='131-CT'!$H$9),"x","")</f>
        <v/>
      </c>
      <c r="Z3409" s="79"/>
      <c r="AA3409" s="79" t="str">
        <f>IF(AND(MONTH(E3409)='IN-NX'!$J$5,'IN-NX'!$D$7=D3409),"x","")</f>
        <v/>
      </c>
      <c r="AB3409" s="79" t="str">
        <f>IF(AND(OR(LEFT(TH!N3409,2)="15",LEFT(TH!O3409,2)="15"),LEFT(TH!O3409,3)&lt;&gt;"111",'152-CT'!$J$8=TH!F3409),"x","")</f>
        <v/>
      </c>
      <c r="AC3409" s="79" t="str">
        <f>IF(AND(OR(LEFT(TH!N3409,2)="15",LEFT(TH!O3409,2)="15"),TK!$E$7=TH!F3409),"x","")</f>
        <v/>
      </c>
      <c r="AD3409" s="79" t="str">
        <f>IF(AND(N3409="1521",MONTH(C3409)='BK-NL'!$M$11),"x","")</f>
        <v/>
      </c>
    </row>
    <row r="3410" spans="1:30" ht="16.5" customHeight="1">
      <c r="A3410" s="318" t="str">
        <f>IF(B3410&lt;&gt;"",IF(AND(B3410='IN-TC'!$S$4,OR(TH!N3410="1111",TH!O3410="1111")),TH!D3410,""),"")</f>
        <v/>
      </c>
      <c r="B3410" s="60" t="str">
        <f t="shared" si="391"/>
        <v/>
      </c>
      <c r="C3410" s="1257"/>
      <c r="D3410" s="61"/>
      <c r="E3410" s="61"/>
      <c r="F3410" s="69"/>
      <c r="G3410" s="64"/>
      <c r="H3410" s="69"/>
      <c r="I3410" s="387"/>
      <c r="J3410" s="394"/>
      <c r="K3410" s="387"/>
      <c r="L3410" s="394"/>
      <c r="M3410" s="62"/>
      <c r="N3410" s="63"/>
      <c r="O3410" s="63"/>
      <c r="P3410" s="79" t="str">
        <f>IF(AND('331-CT'!$E$7=TH!H3410,OR(N3410="331",O3410="331")),"x","")</f>
        <v/>
      </c>
      <c r="Q3410" s="79" t="str">
        <f>IF(AND(B3410='111'!$L$11,OR($N3410=$Q$7,$O3410=$Q$7)),"x","")</f>
        <v/>
      </c>
      <c r="R3410" s="79" t="str">
        <f>IF(AND($N3410=$Q$7,$B3410&lt;'111'!$L$11),"x","")</f>
        <v/>
      </c>
      <c r="S3410" s="79" t="str">
        <f>IF(AND($O3410=$Q$7,$B3410&lt;'111'!$L$11),"x","")</f>
        <v/>
      </c>
      <c r="T3410" s="79" t="str">
        <f>IF(ISERROR(FIND('112'!$M$9,G3410,1)),"",IF((AND(FIND('112'!$M$9,G3410,1)&gt;=1,B3410='112'!$K$9,OR($N3410='112'!$I$6,$O3410='112'!$I$6))),"x",""))</f>
        <v/>
      </c>
      <c r="U3410" s="79" t="str">
        <f>IF(ISERROR(FIND('112'!$M$9,G3410,1)),"",IF((AND(LEFT(G3410,2)=LEFT('112'!$M$9,2),B3410&lt;'112'!$K$9,$N3410='112'!$I$6)),"x",""))</f>
        <v/>
      </c>
      <c r="V3410" s="79" t="str">
        <f>IF(ISERROR(FIND('112'!$M$9,G3410,1)),"",IF((AND(RIGHT(G3410,2)=RIGHT('112'!$M$9,2),B3410&lt;'112'!$K$9,$O3410='112'!$I$6)),"x",""))</f>
        <v/>
      </c>
      <c r="W3410" s="79" t="str">
        <f>IF(AND('341-CT'!$H$9=H3410,OR(LEFT(N3410,3)=$W$7,LEFT(O3410,3)=$W$7)),"x","")</f>
        <v/>
      </c>
      <c r="X3410" s="79" t="str">
        <f>IF(OR(TH!N3410=TH!$X$7,O3410=TH!$X$7),"x","")</f>
        <v/>
      </c>
      <c r="Y3410" s="79" t="str">
        <f>IF(AND(OR(N3410="131",O3410="131"),H3410='131-CT'!$H$9),"x","")</f>
        <v/>
      </c>
      <c r="Z3410" s="79"/>
      <c r="AA3410" s="79" t="str">
        <f>IF(AND(MONTH(E3410)='IN-NX'!$J$5,'IN-NX'!$D$7=D3410),"x","")</f>
        <v/>
      </c>
      <c r="AB3410" s="79" t="str">
        <f>IF(AND(OR(LEFT(TH!N3410,2)="15",LEFT(TH!O3410,2)="15"),LEFT(TH!O3410,3)&lt;&gt;"111",'152-CT'!$J$8=TH!F3410),"x","")</f>
        <v/>
      </c>
      <c r="AC3410" s="79" t="str">
        <f>IF(AND(OR(LEFT(TH!N3410,2)="15",LEFT(TH!O3410,2)="15"),TK!$E$7=TH!F3410),"x","")</f>
        <v/>
      </c>
      <c r="AD3410" s="79" t="str">
        <f>IF(AND(N3410="1521",MONTH(C3410)='BK-NL'!$M$11),"x","")</f>
        <v/>
      </c>
    </row>
    <row r="3411" spans="1:30" ht="16.5" customHeight="1">
      <c r="A3411" s="318" t="str">
        <f>IF(B3411&lt;&gt;"",IF(AND(B3411='IN-TC'!$S$4,OR(TH!N3411="1111",TH!O3411="1111")),TH!D3411,""),"")</f>
        <v/>
      </c>
      <c r="B3411" s="60" t="str">
        <f t="shared" si="391"/>
        <v/>
      </c>
      <c r="C3411" s="1257"/>
      <c r="D3411" s="61"/>
      <c r="E3411" s="61"/>
      <c r="F3411" s="69"/>
      <c r="G3411" s="64"/>
      <c r="H3411" s="69"/>
      <c r="I3411" s="387"/>
      <c r="J3411" s="394"/>
      <c r="K3411" s="387"/>
      <c r="L3411" s="394"/>
      <c r="M3411" s="62"/>
      <c r="N3411" s="63"/>
      <c r="O3411" s="63"/>
      <c r="P3411" s="79" t="str">
        <f>IF(AND('331-CT'!$E$7=TH!H3411,OR(N3411="331",O3411="331")),"x","")</f>
        <v/>
      </c>
      <c r="Q3411" s="79" t="str">
        <f>IF(AND(B3411='111'!$L$11,OR($N3411=$Q$7,$O3411=$Q$7)),"x","")</f>
        <v/>
      </c>
      <c r="R3411" s="79" t="str">
        <f>IF(AND($N3411=$Q$7,$B3411&lt;'111'!$L$11),"x","")</f>
        <v/>
      </c>
      <c r="S3411" s="79" t="str">
        <f>IF(AND($O3411=$Q$7,$B3411&lt;'111'!$L$11),"x","")</f>
        <v/>
      </c>
      <c r="T3411" s="79" t="str">
        <f>IF(ISERROR(FIND('112'!$M$9,G3411,1)),"",IF((AND(FIND('112'!$M$9,G3411,1)&gt;=1,B3411='112'!$K$9,OR($N3411='112'!$I$6,$O3411='112'!$I$6))),"x",""))</f>
        <v/>
      </c>
      <c r="U3411" s="79" t="str">
        <f>IF(ISERROR(FIND('112'!$M$9,G3411,1)),"",IF((AND(LEFT(G3411,2)=LEFT('112'!$M$9,2),B3411&lt;'112'!$K$9,$N3411='112'!$I$6)),"x",""))</f>
        <v/>
      </c>
      <c r="V3411" s="79" t="str">
        <f>IF(ISERROR(FIND('112'!$M$9,G3411,1)),"",IF((AND(RIGHT(G3411,2)=RIGHT('112'!$M$9,2),B3411&lt;'112'!$K$9,$O3411='112'!$I$6)),"x",""))</f>
        <v/>
      </c>
      <c r="W3411" s="79" t="str">
        <f>IF(AND('341-CT'!$H$9=H3411,OR(LEFT(N3411,3)=$W$7,LEFT(O3411,3)=$W$7)),"x","")</f>
        <v/>
      </c>
      <c r="X3411" s="79" t="str">
        <f>IF(OR(TH!N3411=TH!$X$7,O3411=TH!$X$7),"x","")</f>
        <v/>
      </c>
      <c r="Y3411" s="79" t="str">
        <f>IF(AND(OR(N3411="131",O3411="131"),H3411='131-CT'!$H$9),"x","")</f>
        <v/>
      </c>
      <c r="Z3411" s="79"/>
      <c r="AA3411" s="79" t="str">
        <f>IF(AND(MONTH(E3411)='IN-NX'!$J$5,'IN-NX'!$D$7=D3411),"x","")</f>
        <v/>
      </c>
      <c r="AB3411" s="79" t="str">
        <f>IF(AND(OR(LEFT(TH!N3411,2)="15",LEFT(TH!O3411,2)="15"),LEFT(TH!O3411,3)&lt;&gt;"111",'152-CT'!$J$8=TH!F3411),"x","")</f>
        <v/>
      </c>
      <c r="AC3411" s="79" t="str">
        <f>IF(AND(OR(LEFT(TH!N3411,2)="15",LEFT(TH!O3411,2)="15"),TK!$E$7=TH!F3411),"x","")</f>
        <v/>
      </c>
      <c r="AD3411" s="79" t="str">
        <f>IF(AND(N3411="1521",MONTH(C3411)='BK-NL'!$M$11),"x","")</f>
        <v/>
      </c>
    </row>
    <row r="3412" spans="1:30" ht="16.5" customHeight="1">
      <c r="A3412" s="318" t="str">
        <f>IF(B3412&lt;&gt;"",IF(AND(B3412='IN-TC'!$S$4,OR(TH!N3412="1111",TH!O3412="1111")),TH!D3412,""),"")</f>
        <v/>
      </c>
      <c r="B3412" s="60" t="str">
        <f t="shared" ref="B3412:B3477" si="392">IF(C3412&lt;&gt;"",MONTH(C3412),"")</f>
        <v/>
      </c>
      <c r="C3412" s="1257"/>
      <c r="D3412" s="61"/>
      <c r="E3412" s="61"/>
      <c r="F3412" s="69"/>
      <c r="G3412" s="64"/>
      <c r="H3412" s="69"/>
      <c r="I3412" s="387"/>
      <c r="J3412" s="394"/>
      <c r="K3412" s="387"/>
      <c r="L3412" s="394"/>
      <c r="M3412" s="62"/>
      <c r="N3412" s="63"/>
      <c r="O3412" s="63"/>
      <c r="P3412" s="79" t="str">
        <f>IF(AND('331-CT'!$E$7=TH!H3412,OR(N3412="331",O3412="331")),"x","")</f>
        <v/>
      </c>
      <c r="Q3412" s="79" t="str">
        <f>IF(AND(B3412='111'!$L$11,OR($N3412=$Q$7,$O3412=$Q$7)),"x","")</f>
        <v/>
      </c>
      <c r="R3412" s="79" t="str">
        <f>IF(AND($N3412=$Q$7,$B3412&lt;'111'!$L$11),"x","")</f>
        <v/>
      </c>
      <c r="S3412" s="79" t="str">
        <f>IF(AND($O3412=$Q$7,$B3412&lt;'111'!$L$11),"x","")</f>
        <v/>
      </c>
      <c r="T3412" s="79" t="str">
        <f>IF(ISERROR(FIND('112'!$M$9,G3412,1)),"",IF((AND(FIND('112'!$M$9,G3412,1)&gt;=1,B3412='112'!$K$9,OR($N3412='112'!$I$6,$O3412='112'!$I$6))),"x",""))</f>
        <v/>
      </c>
      <c r="U3412" s="79" t="str">
        <f>IF(ISERROR(FIND('112'!$M$9,G3412,1)),"",IF((AND(LEFT(G3412,2)=LEFT('112'!$M$9,2),B3412&lt;'112'!$K$9,$N3412='112'!$I$6)),"x",""))</f>
        <v/>
      </c>
      <c r="V3412" s="79" t="str">
        <f>IF(ISERROR(FIND('112'!$M$9,G3412,1)),"",IF((AND(RIGHT(G3412,2)=RIGHT('112'!$M$9,2),B3412&lt;'112'!$K$9,$O3412='112'!$I$6)),"x",""))</f>
        <v/>
      </c>
      <c r="W3412" s="79" t="str">
        <f>IF(AND('341-CT'!$H$9=H3412,OR(LEFT(N3412,3)=$W$7,LEFT(O3412,3)=$W$7)),"x","")</f>
        <v/>
      </c>
      <c r="X3412" s="79" t="str">
        <f>IF(OR(TH!N3412=TH!$X$7,O3412=TH!$X$7),"x","")</f>
        <v/>
      </c>
      <c r="Y3412" s="79" t="str">
        <f>IF(AND(OR(N3412="131",O3412="131"),H3412='131-CT'!$H$9),"x","")</f>
        <v/>
      </c>
      <c r="Z3412" s="79"/>
      <c r="AA3412" s="79" t="str">
        <f>IF(AND(MONTH(E3412)='IN-NX'!$J$5,'IN-NX'!$D$7=D3412),"x","")</f>
        <v/>
      </c>
      <c r="AB3412" s="79" t="str">
        <f>IF(AND(OR(LEFT(TH!N3412,2)="15",LEFT(TH!O3412,2)="15"),LEFT(TH!O3412,3)&lt;&gt;"111",'152-CT'!$J$8=TH!F3412),"x","")</f>
        <v/>
      </c>
      <c r="AC3412" s="79" t="str">
        <f>IF(AND(OR(LEFT(TH!N3412,2)="15",LEFT(TH!O3412,2)="15"),TK!$E$7=TH!F3412),"x","")</f>
        <v/>
      </c>
      <c r="AD3412" s="79" t="str">
        <f>IF(AND(N3412="1521",MONTH(C3412)='BK-NL'!$M$11),"x","")</f>
        <v/>
      </c>
    </row>
    <row r="3413" spans="1:30" ht="16.5" customHeight="1">
      <c r="A3413" s="318" t="str">
        <f>IF(B3413&lt;&gt;"",IF(AND(B3413='IN-TC'!$S$4,OR(TH!N3413="1111",TH!O3413="1111")),TH!D3413,""),"")</f>
        <v/>
      </c>
      <c r="B3413" s="60" t="str">
        <f t="shared" si="392"/>
        <v/>
      </c>
      <c r="C3413" s="1257"/>
      <c r="D3413" s="61"/>
      <c r="E3413" s="61"/>
      <c r="F3413" s="69"/>
      <c r="G3413" s="64"/>
      <c r="H3413" s="69"/>
      <c r="I3413" s="387"/>
      <c r="J3413" s="394"/>
      <c r="K3413" s="387"/>
      <c r="L3413" s="394"/>
      <c r="M3413" s="62"/>
      <c r="N3413" s="63"/>
      <c r="O3413" s="304"/>
      <c r="P3413" s="79" t="str">
        <f>IF(AND('331-CT'!$E$7=TH!H3413,OR(N3413="331",O3413="331")),"x","")</f>
        <v/>
      </c>
      <c r="Q3413" s="79" t="str">
        <f>IF(AND(B3413='111'!$L$11,OR($N3413=$Q$7,$O3413=$Q$7)),"x","")</f>
        <v/>
      </c>
      <c r="R3413" s="79" t="str">
        <f>IF(AND($N3413=$Q$7,$B3413&lt;'111'!$L$11),"x","")</f>
        <v/>
      </c>
      <c r="S3413" s="79" t="str">
        <f>IF(AND($O3413=$Q$7,$B3413&lt;'111'!$L$11),"x","")</f>
        <v/>
      </c>
      <c r="T3413" s="79" t="str">
        <f>IF(ISERROR(FIND('112'!$M$9,G3413,1)),"",IF((AND(FIND('112'!$M$9,G3413,1)&gt;=1,B3413='112'!$K$9,OR($N3413='112'!$I$6,$O3413='112'!$I$6))),"x",""))</f>
        <v/>
      </c>
      <c r="U3413" s="79" t="str">
        <f>IF(ISERROR(FIND('112'!$M$9,G3413,1)),"",IF((AND(LEFT(G3413,2)=LEFT('112'!$M$9,2),B3413&lt;'112'!$K$9,$N3413='112'!$I$6)),"x",""))</f>
        <v/>
      </c>
      <c r="V3413" s="79" t="str">
        <f>IF(ISERROR(FIND('112'!$M$9,G3413,1)),"",IF((AND(RIGHT(G3413,2)=RIGHT('112'!$M$9,2),B3413&lt;'112'!$K$9,$O3413='112'!$I$6)),"x",""))</f>
        <v/>
      </c>
      <c r="W3413" s="79" t="str">
        <f>IF(AND('341-CT'!$H$9=H3413,OR(LEFT(N3413,3)=$W$7,LEFT(O3413,3)=$W$7)),"x","")</f>
        <v/>
      </c>
      <c r="X3413" s="79" t="str">
        <f>IF(OR(TH!N3413=TH!$X$7,O3413=TH!$X$7),"x","")</f>
        <v/>
      </c>
      <c r="Y3413" s="79" t="str">
        <f>IF(AND(OR(N3413="131",O3413="131"),H3413='131-CT'!$H$9),"x","")</f>
        <v/>
      </c>
      <c r="Z3413" s="79"/>
      <c r="AA3413" s="79" t="str">
        <f>IF(AND(MONTH(E3413)='IN-NX'!$J$5,'IN-NX'!$D$7=D3413),"x","")</f>
        <v/>
      </c>
      <c r="AB3413" s="79" t="str">
        <f>IF(AND(OR(LEFT(TH!N3413,2)="15",LEFT(TH!O3413,2)="15"),LEFT(TH!O3413,3)&lt;&gt;"111",'152-CT'!$J$8=TH!F3413),"x","")</f>
        <v/>
      </c>
      <c r="AC3413" s="79" t="str">
        <f>IF(AND(OR(LEFT(TH!N3413,2)="15",LEFT(TH!O3413,2)="15"),TK!$E$7=TH!F3413),"x","")</f>
        <v/>
      </c>
      <c r="AD3413" s="79" t="str">
        <f>IF(AND(N3413="1521",MONTH(C3413)='BK-NL'!$M$11),"x","")</f>
        <v/>
      </c>
    </row>
    <row r="3414" spans="1:30" ht="16.5" customHeight="1">
      <c r="A3414" s="318" t="str">
        <f>IF(B3414&lt;&gt;"",IF(AND(B3414='IN-TC'!$S$4,OR(TH!N3414="1111",TH!O3414="1111")),TH!D3414,""),"")</f>
        <v/>
      </c>
      <c r="B3414" s="60" t="str">
        <f t="shared" si="392"/>
        <v/>
      </c>
      <c r="C3414" s="1257"/>
      <c r="D3414" s="61"/>
      <c r="E3414" s="61"/>
      <c r="F3414" s="69"/>
      <c r="G3414" s="64"/>
      <c r="H3414" s="321"/>
      <c r="I3414" s="385"/>
      <c r="J3414" s="392"/>
      <c r="K3414" s="385"/>
      <c r="L3414" s="392"/>
      <c r="M3414" s="62"/>
      <c r="N3414" s="63"/>
      <c r="O3414" s="63"/>
      <c r="P3414" s="79" t="str">
        <f>IF(AND('331-CT'!$E$7=TH!H3414,OR(N3414="331",O3414="331")),"x","")</f>
        <v/>
      </c>
      <c r="Q3414" s="79" t="str">
        <f>IF(AND(B3414='111'!$L$11,OR($N3414=$Q$7,$O3414=$Q$7)),"x","")</f>
        <v/>
      </c>
      <c r="R3414" s="79" t="str">
        <f>IF(AND($N3414=$Q$7,$B3414&lt;'111'!$L$11),"x","")</f>
        <v/>
      </c>
      <c r="S3414" s="79" t="str">
        <f>IF(AND($O3414=$Q$7,$B3414&lt;'111'!$L$11),"x","")</f>
        <v/>
      </c>
      <c r="T3414" s="79" t="str">
        <f>IF(ISERROR(FIND('112'!$M$9,G3414,1)),"",IF((AND(FIND('112'!$M$9,G3414,1)&gt;=1,B3414='112'!$K$9,OR($N3414='112'!$I$6,$O3414='112'!$I$6))),"x",""))</f>
        <v/>
      </c>
      <c r="U3414" s="79" t="str">
        <f>IF(ISERROR(FIND('112'!$M$9,G3414,1)),"",IF((AND(LEFT(G3414,2)=LEFT('112'!$M$9,2),B3414&lt;'112'!$K$9,$N3414='112'!$I$6)),"x",""))</f>
        <v/>
      </c>
      <c r="V3414" s="79" t="str">
        <f>IF(ISERROR(FIND('112'!$M$9,G3414,1)),"",IF((AND(RIGHT(G3414,2)=RIGHT('112'!$M$9,2),B3414&lt;'112'!$K$9,$O3414='112'!$I$6)),"x",""))</f>
        <v/>
      </c>
      <c r="W3414" s="79" t="str">
        <f>IF(AND('341-CT'!$H$9=H3414,OR(LEFT(N3414,3)=$W$7,LEFT(O3414,3)=$W$7)),"x","")</f>
        <v/>
      </c>
      <c r="X3414" s="79" t="str">
        <f>IF(OR(TH!N3414=TH!$X$7,O3414=TH!$X$7),"x","")</f>
        <v/>
      </c>
      <c r="Y3414" s="79" t="str">
        <f>IF(AND(OR(N3414="131",O3414="131"),H3414='131-CT'!$H$9),"x","")</f>
        <v/>
      </c>
      <c r="Z3414" s="79"/>
      <c r="AA3414" s="79" t="str">
        <f>IF(AND(MONTH(E3414)='IN-NX'!$J$5,'IN-NX'!$D$7=D3414),"x","")</f>
        <v/>
      </c>
      <c r="AB3414" s="79" t="str">
        <f>IF(AND(OR(LEFT(TH!N3414,2)="15",LEFT(TH!O3414,2)="15"),LEFT(TH!O3414,3)&lt;&gt;"111",'152-CT'!$J$8=TH!F3414),"x","")</f>
        <v/>
      </c>
      <c r="AC3414" s="79" t="str">
        <f>IF(AND(OR(LEFT(TH!N3414,2)="15",LEFT(TH!O3414,2)="15"),TK!$E$7=TH!F3414),"x","")</f>
        <v/>
      </c>
      <c r="AD3414" s="79" t="str">
        <f>IF(AND(N3414="1521",MONTH(C3414)='BK-NL'!$M$11),"x","")</f>
        <v/>
      </c>
    </row>
    <row r="3415" spans="1:30" ht="16.5" customHeight="1">
      <c r="A3415" s="318" t="str">
        <f>IF(B3415&lt;&gt;"",IF(AND(B3415='IN-TC'!$S$4,OR(TH!N3415="1111",TH!O3415="1111")),TH!D3415,""),"")</f>
        <v/>
      </c>
      <c r="B3415" s="60" t="str">
        <f t="shared" si="392"/>
        <v/>
      </c>
      <c r="C3415" s="1254"/>
      <c r="D3415" s="301"/>
      <c r="E3415" s="301"/>
      <c r="F3415" s="69"/>
      <c r="G3415" s="988"/>
      <c r="H3415" s="69"/>
      <c r="I3415" s="385"/>
      <c r="J3415" s="969"/>
      <c r="K3415" s="385"/>
      <c r="L3415" s="392"/>
      <c r="M3415" s="970"/>
      <c r="N3415" s="304"/>
      <c r="O3415" s="304"/>
      <c r="P3415" s="79" t="str">
        <f>IF(AND('331-CT'!$E$7=TH!H3415,OR(N3415="331",O3415="331")),"x","")</f>
        <v/>
      </c>
      <c r="Q3415" s="79" t="str">
        <f>IF(AND(B3415='111'!$L$11,OR($N3415=$Q$7,$O3415=$Q$7)),"x","")</f>
        <v/>
      </c>
      <c r="R3415" s="79" t="str">
        <f>IF(AND($N3415=$Q$7,$B3415&lt;'111'!$L$11),"x","")</f>
        <v/>
      </c>
      <c r="S3415" s="79" t="str">
        <f>IF(AND($O3415=$Q$7,$B3415&lt;'111'!$L$11),"x","")</f>
        <v/>
      </c>
      <c r="T3415" s="79" t="str">
        <f>IF(ISERROR(FIND('112'!$M$9,G3415,1)),"",IF((AND(FIND('112'!$M$9,G3415,1)&gt;=1,B3415='112'!$K$9,OR($N3415='112'!$I$6,$O3415='112'!$I$6))),"x",""))</f>
        <v/>
      </c>
      <c r="U3415" s="79" t="str">
        <f>IF(ISERROR(FIND('112'!$M$9,G3415,1)),"",IF((AND(LEFT(G3415,2)=LEFT('112'!$M$9,2),B3415&lt;'112'!$K$9,$N3415='112'!$I$6)),"x",""))</f>
        <v/>
      </c>
      <c r="V3415" s="79" t="str">
        <f>IF(ISERROR(FIND('112'!$M$9,G3415,1)),"",IF((AND(RIGHT(G3415,2)=RIGHT('112'!$M$9,2),B3415&lt;'112'!$K$9,$O3415='112'!$I$6)),"x",""))</f>
        <v/>
      </c>
      <c r="W3415" s="79" t="str">
        <f>IF(AND('341-CT'!$H$9=H3415,OR(LEFT(N3415,3)=$W$7,LEFT(O3415,3)=$W$7)),"x","")</f>
        <v/>
      </c>
      <c r="X3415" s="79" t="str">
        <f>IF(OR(TH!N3415=TH!$X$7,O3415=TH!$X$7),"x","")</f>
        <v/>
      </c>
      <c r="Y3415" s="79" t="str">
        <f>IF(AND(OR(N3415="131",O3415="131"),H3415='131-CT'!$H$9),"x","")</f>
        <v/>
      </c>
      <c r="Z3415" s="79"/>
      <c r="AA3415" s="79" t="str">
        <f>IF(AND(MONTH(E3415)='IN-NX'!$J$5,'IN-NX'!$D$7=D3415),"x","")</f>
        <v/>
      </c>
      <c r="AB3415" s="79" t="str">
        <f>IF(AND(OR(LEFT(TH!N3415,2)="15",LEFT(TH!O3415,2)="15"),LEFT(TH!O3415,3)&lt;&gt;"111",'152-CT'!$J$8=TH!F3415),"x","")</f>
        <v/>
      </c>
      <c r="AC3415" s="79" t="str">
        <f>IF(AND(OR(LEFT(TH!N3415,2)="15",LEFT(TH!O3415,2)="15"),TK!$E$7=TH!F3415),"x","")</f>
        <v/>
      </c>
      <c r="AD3415" s="79" t="str">
        <f>IF(AND(N3415="1521",MONTH(C3415)='BK-NL'!$M$11),"x","")</f>
        <v/>
      </c>
    </row>
    <row r="3416" spans="1:30" ht="16.5" customHeight="1">
      <c r="A3416" s="318" t="str">
        <f>IF(B3416&lt;&gt;"",IF(AND(B3416='IN-TC'!$S$4,OR(TH!N3416="1111",TH!O3416="1111")),TH!D3416,""),"")</f>
        <v/>
      </c>
      <c r="B3416" s="60" t="str">
        <f t="shared" si="392"/>
        <v/>
      </c>
      <c r="C3416" s="1257"/>
      <c r="D3416" s="61"/>
      <c r="E3416" s="61"/>
      <c r="F3416" s="69"/>
      <c r="G3416" s="64"/>
      <c r="H3416" s="69"/>
      <c r="I3416" s="387"/>
      <c r="J3416" s="394"/>
      <c r="K3416" s="387"/>
      <c r="L3416" s="394"/>
      <c r="M3416" s="62"/>
      <c r="N3416" s="63"/>
      <c r="O3416" s="63"/>
      <c r="P3416" s="79" t="str">
        <f>IF(AND('331-CT'!$E$7=TH!H3416,OR(N3416="331",O3416="331")),"x","")</f>
        <v/>
      </c>
      <c r="Q3416" s="79" t="str">
        <f>IF(AND(B3416='111'!$L$11,OR($N3416=$Q$7,$O3416=$Q$7)),"x","")</f>
        <v/>
      </c>
      <c r="R3416" s="79" t="str">
        <f>IF(AND($N3416=$Q$7,$B3416&lt;'111'!$L$11),"x","")</f>
        <v/>
      </c>
      <c r="S3416" s="79" t="str">
        <f>IF(AND($O3416=$Q$7,$B3416&lt;'111'!$L$11),"x","")</f>
        <v/>
      </c>
      <c r="T3416" s="79" t="str">
        <f>IF(ISERROR(FIND('112'!$M$9,G3416,1)),"",IF((AND(FIND('112'!$M$9,G3416,1)&gt;=1,B3416='112'!$K$9,OR($N3416='112'!$I$6,$O3416='112'!$I$6))),"x",""))</f>
        <v/>
      </c>
      <c r="U3416" s="79" t="str">
        <f>IF(ISERROR(FIND('112'!$M$9,G3416,1)),"",IF((AND(LEFT(G3416,2)=LEFT('112'!$M$9,2),B3416&lt;'112'!$K$9,$N3416='112'!$I$6)),"x",""))</f>
        <v/>
      </c>
      <c r="V3416" s="79" t="str">
        <f>IF(ISERROR(FIND('112'!$M$9,G3416,1)),"",IF((AND(RIGHT(G3416,2)=RIGHT('112'!$M$9,2),B3416&lt;'112'!$K$9,$O3416='112'!$I$6)),"x",""))</f>
        <v/>
      </c>
      <c r="W3416" s="79" t="str">
        <f>IF(AND('341-CT'!$H$9=H3416,OR(LEFT(N3416,3)=$W$7,LEFT(O3416,3)=$W$7)),"x","")</f>
        <v/>
      </c>
      <c r="X3416" s="79" t="str">
        <f>IF(OR(TH!N3416=TH!$X$7,O3416=TH!$X$7),"x","")</f>
        <v/>
      </c>
      <c r="Y3416" s="79" t="str">
        <f>IF(AND(OR(N3416="131",O3416="131"),H3416='131-CT'!$H$9),"x","")</f>
        <v/>
      </c>
      <c r="Z3416" s="79"/>
      <c r="AA3416" s="79" t="str">
        <f>IF(AND(MONTH(E3416)='IN-NX'!$J$5,'IN-NX'!$D$7=D3416),"x","")</f>
        <v/>
      </c>
      <c r="AB3416" s="79" t="str">
        <f>IF(AND(OR(LEFT(TH!N3416,2)="15",LEFT(TH!O3416,2)="15"),LEFT(TH!O3416,3)&lt;&gt;"111",'152-CT'!$J$8=TH!F3416),"x","")</f>
        <v/>
      </c>
      <c r="AC3416" s="79" t="str">
        <f>IF(AND(OR(LEFT(TH!N3416,2)="15",LEFT(TH!O3416,2)="15"),TK!$E$7=TH!F3416),"x","")</f>
        <v/>
      </c>
      <c r="AD3416" s="79" t="str">
        <f>IF(AND(N3416="1521",MONTH(C3416)='BK-NL'!$M$11),"x","")</f>
        <v/>
      </c>
    </row>
    <row r="3417" spans="1:30" ht="16.5" customHeight="1">
      <c r="A3417" s="318" t="str">
        <f>IF(B3417&lt;&gt;"",IF(AND(B3417='IN-TC'!$S$4,OR(TH!N3417="1111",TH!O3417="1111")),TH!D3417,""),"")</f>
        <v/>
      </c>
      <c r="B3417" s="60" t="str">
        <f t="shared" si="392"/>
        <v/>
      </c>
      <c r="C3417" s="1257"/>
      <c r="D3417" s="61"/>
      <c r="E3417" s="61"/>
      <c r="F3417" s="69"/>
      <c r="G3417" s="64"/>
      <c r="H3417" s="69"/>
      <c r="I3417" s="387"/>
      <c r="J3417" s="394"/>
      <c r="K3417" s="387"/>
      <c r="L3417" s="394"/>
      <c r="M3417" s="62"/>
      <c r="N3417" s="63"/>
      <c r="O3417" s="63"/>
      <c r="P3417" s="79" t="str">
        <f>IF(AND('331-CT'!$E$7=TH!H3417,OR(N3417="331",O3417="331")),"x","")</f>
        <v/>
      </c>
      <c r="Q3417" s="79" t="str">
        <f>IF(AND(B3417='111'!$L$11,OR($N3417=$Q$7,$O3417=$Q$7)),"x","")</f>
        <v/>
      </c>
      <c r="R3417" s="79" t="str">
        <f>IF(AND($N3417=$Q$7,$B3417&lt;'111'!$L$11),"x","")</f>
        <v/>
      </c>
      <c r="S3417" s="79" t="str">
        <f>IF(AND($O3417=$Q$7,$B3417&lt;'111'!$L$11),"x","")</f>
        <v/>
      </c>
      <c r="T3417" s="79" t="str">
        <f>IF(ISERROR(FIND('112'!$M$9,G3417,1)),"",IF((AND(FIND('112'!$M$9,G3417,1)&gt;=1,B3417='112'!$K$9,OR($N3417='112'!$I$6,$O3417='112'!$I$6))),"x",""))</f>
        <v/>
      </c>
      <c r="U3417" s="79" t="str">
        <f>IF(ISERROR(FIND('112'!$M$9,G3417,1)),"",IF((AND(LEFT(G3417,2)=LEFT('112'!$M$9,2),B3417&lt;'112'!$K$9,$N3417='112'!$I$6)),"x",""))</f>
        <v/>
      </c>
      <c r="V3417" s="79" t="str">
        <f>IF(ISERROR(FIND('112'!$M$9,G3417,1)),"",IF((AND(RIGHT(G3417,2)=RIGHT('112'!$M$9,2),B3417&lt;'112'!$K$9,$O3417='112'!$I$6)),"x",""))</f>
        <v/>
      </c>
      <c r="W3417" s="79" t="str">
        <f>IF(AND('341-CT'!$H$9=H3417,OR(LEFT(N3417,3)=$W$7,LEFT(O3417,3)=$W$7)),"x","")</f>
        <v/>
      </c>
      <c r="X3417" s="79" t="str">
        <f>IF(OR(TH!N3417=TH!$X$7,O3417=TH!$X$7),"x","")</f>
        <v/>
      </c>
      <c r="Y3417" s="79" t="str">
        <f>IF(AND(OR(N3417="131",O3417="131"),H3417='131-CT'!$H$9),"x","")</f>
        <v/>
      </c>
      <c r="Z3417" s="79"/>
      <c r="AA3417" s="79" t="str">
        <f>IF(AND(MONTH(E3417)='IN-NX'!$J$5,'IN-NX'!$D$7=D3417),"x","")</f>
        <v/>
      </c>
      <c r="AB3417" s="79" t="str">
        <f>IF(AND(OR(LEFT(TH!N3417,2)="15",LEFT(TH!O3417,2)="15"),LEFT(TH!O3417,3)&lt;&gt;"111",'152-CT'!$J$8=TH!F3417),"x","")</f>
        <v/>
      </c>
      <c r="AC3417" s="79" t="str">
        <f>IF(AND(OR(LEFT(TH!N3417,2)="15",LEFT(TH!O3417,2)="15"),TK!$E$7=TH!F3417),"x","")</f>
        <v/>
      </c>
      <c r="AD3417" s="79" t="str">
        <f>IF(AND(N3417="1521",MONTH(C3417)='BK-NL'!$M$11),"x","")</f>
        <v/>
      </c>
    </row>
    <row r="3418" spans="1:30" ht="16.5" customHeight="1">
      <c r="A3418" s="318" t="str">
        <f>IF(B3418&lt;&gt;"",IF(AND(B3418='IN-TC'!$S$4,OR(TH!N3418="1111",TH!O3418="1111")),TH!D3418,""),"")</f>
        <v/>
      </c>
      <c r="B3418" s="60" t="str">
        <f t="shared" si="392"/>
        <v/>
      </c>
      <c r="C3418" s="1257"/>
      <c r="D3418" s="61"/>
      <c r="E3418" s="61"/>
      <c r="F3418" s="69"/>
      <c r="G3418" s="64"/>
      <c r="H3418" s="69"/>
      <c r="I3418" s="387"/>
      <c r="J3418" s="394"/>
      <c r="K3418" s="387"/>
      <c r="L3418" s="394"/>
      <c r="M3418" s="62"/>
      <c r="N3418" s="63"/>
      <c r="O3418" s="63"/>
      <c r="P3418" s="79" t="str">
        <f>IF(AND('331-CT'!$E$7=TH!H3418,OR(N3418="331",O3418="331")),"x","")</f>
        <v/>
      </c>
      <c r="Q3418" s="79" t="str">
        <f>IF(AND(B3418='111'!$L$11,OR($N3418=$Q$7,$O3418=$Q$7)),"x","")</f>
        <v/>
      </c>
      <c r="R3418" s="79" t="str">
        <f>IF(AND($N3418=$Q$7,$B3418&lt;'111'!$L$11),"x","")</f>
        <v/>
      </c>
      <c r="S3418" s="79" t="str">
        <f>IF(AND($O3418=$Q$7,$B3418&lt;'111'!$L$11),"x","")</f>
        <v/>
      </c>
      <c r="T3418" s="79" t="str">
        <f>IF(ISERROR(FIND('112'!$M$9,G3418,1)),"",IF((AND(FIND('112'!$M$9,G3418,1)&gt;=1,B3418='112'!$K$9,OR($N3418='112'!$I$6,$O3418='112'!$I$6))),"x",""))</f>
        <v/>
      </c>
      <c r="U3418" s="79" t="str">
        <f>IF(ISERROR(FIND('112'!$M$9,G3418,1)),"",IF((AND(LEFT(G3418,2)=LEFT('112'!$M$9,2),B3418&lt;'112'!$K$9,$N3418='112'!$I$6)),"x",""))</f>
        <v/>
      </c>
      <c r="V3418" s="79" t="str">
        <f>IF(ISERROR(FIND('112'!$M$9,G3418,1)),"",IF((AND(RIGHT(G3418,2)=RIGHT('112'!$M$9,2),B3418&lt;'112'!$K$9,$O3418='112'!$I$6)),"x",""))</f>
        <v/>
      </c>
      <c r="W3418" s="79" t="str">
        <f>IF(AND('341-CT'!$H$9=H3418,OR(LEFT(N3418,3)=$W$7,LEFT(O3418,3)=$W$7)),"x","")</f>
        <v/>
      </c>
      <c r="X3418" s="79" t="str">
        <f>IF(OR(TH!N3418=TH!$X$7,O3418=TH!$X$7),"x","")</f>
        <v/>
      </c>
      <c r="Y3418" s="79" t="str">
        <f>IF(AND(OR(N3418="131",O3418="131"),H3418='131-CT'!$H$9),"x","")</f>
        <v/>
      </c>
      <c r="Z3418" s="79"/>
      <c r="AA3418" s="79" t="str">
        <f>IF(AND(MONTH(E3418)='IN-NX'!$J$5,'IN-NX'!$D$7=D3418),"x","")</f>
        <v/>
      </c>
      <c r="AB3418" s="79" t="str">
        <f>IF(AND(OR(LEFT(TH!N3418,2)="15",LEFT(TH!O3418,2)="15"),LEFT(TH!O3418,3)&lt;&gt;"111",'152-CT'!$J$8=TH!F3418),"x","")</f>
        <v/>
      </c>
      <c r="AC3418" s="79" t="str">
        <f>IF(AND(OR(LEFT(TH!N3418,2)="15",LEFT(TH!O3418,2)="15"),TK!$E$7=TH!F3418),"x","")</f>
        <v/>
      </c>
      <c r="AD3418" s="79" t="str">
        <f>IF(AND(N3418="1521",MONTH(C3418)='BK-NL'!$M$11),"x","")</f>
        <v/>
      </c>
    </row>
    <row r="3419" spans="1:30" ht="16.5" customHeight="1">
      <c r="A3419" s="318" t="str">
        <f>IF(B3419&lt;&gt;"",IF(AND(B3419='IN-TC'!$S$4,OR(TH!N3419="1111",TH!O3419="1111")),TH!D3419,""),"")</f>
        <v/>
      </c>
      <c r="B3419" s="60" t="str">
        <f t="shared" si="392"/>
        <v/>
      </c>
      <c r="C3419" s="1254"/>
      <c r="D3419" s="301"/>
      <c r="E3419" s="301"/>
      <c r="F3419" s="69"/>
      <c r="G3419" s="988"/>
      <c r="H3419" s="303"/>
      <c r="I3419" s="385"/>
      <c r="J3419" s="969"/>
      <c r="K3419" s="385"/>
      <c r="L3419" s="392"/>
      <c r="M3419" s="970"/>
      <c r="N3419" s="304"/>
      <c r="O3419" s="304"/>
      <c r="P3419" s="79" t="str">
        <f>IF(AND('331-CT'!$E$7=TH!H3419,OR(N3419="331",O3419="331")),"x","")</f>
        <v/>
      </c>
      <c r="Q3419" s="79" t="str">
        <f>IF(AND(B3419='111'!$L$11,OR($N3419=$Q$7,$O3419=$Q$7)),"x","")</f>
        <v/>
      </c>
      <c r="R3419" s="79" t="str">
        <f>IF(AND($N3419=$Q$7,$B3419&lt;'111'!$L$11),"x","")</f>
        <v/>
      </c>
      <c r="S3419" s="79" t="str">
        <f>IF(AND($O3419=$Q$7,$B3419&lt;'111'!$L$11),"x","")</f>
        <v/>
      </c>
      <c r="T3419" s="79" t="str">
        <f>IF(ISERROR(FIND('112'!$M$9,G3419,1)),"",IF((AND(FIND('112'!$M$9,G3419,1)&gt;=1,B3419='112'!$K$9,OR($N3419='112'!$I$6,$O3419='112'!$I$6))),"x",""))</f>
        <v/>
      </c>
      <c r="U3419" s="79" t="str">
        <f>IF(ISERROR(FIND('112'!$M$9,G3419,1)),"",IF((AND(LEFT(G3419,2)=LEFT('112'!$M$9,2),B3419&lt;'112'!$K$9,$N3419='112'!$I$6)),"x",""))</f>
        <v/>
      </c>
      <c r="V3419" s="79" t="str">
        <f>IF(ISERROR(FIND('112'!$M$9,G3419,1)),"",IF((AND(RIGHT(G3419,2)=RIGHT('112'!$M$9,2),B3419&lt;'112'!$K$9,$O3419='112'!$I$6)),"x",""))</f>
        <v/>
      </c>
      <c r="W3419" s="79" t="str">
        <f>IF(AND('341-CT'!$H$9=H3419,OR(LEFT(N3419,3)=$W$7,LEFT(O3419,3)=$W$7)),"x","")</f>
        <v/>
      </c>
      <c r="X3419" s="79" t="str">
        <f>IF(OR(TH!N3419=TH!$X$7,O3419=TH!$X$7),"x","")</f>
        <v/>
      </c>
      <c r="Y3419" s="79" t="str">
        <f>IF(AND(OR(N3419="131",O3419="131"),H3419='131-CT'!$H$9),"x","")</f>
        <v/>
      </c>
      <c r="Z3419" s="79"/>
      <c r="AA3419" s="79" t="str">
        <f>IF(AND(MONTH(E3419)='IN-NX'!$J$5,'IN-NX'!$D$7=D3419),"x","")</f>
        <v/>
      </c>
      <c r="AB3419" s="79" t="str">
        <f>IF(AND(OR(LEFT(TH!N3419,2)="15",LEFT(TH!O3419,2)="15"),LEFT(TH!O3419,3)&lt;&gt;"111",'152-CT'!$J$8=TH!F3419),"x","")</f>
        <v/>
      </c>
      <c r="AC3419" s="79" t="str">
        <f>IF(AND(OR(LEFT(TH!N3419,2)="15",LEFT(TH!O3419,2)="15"),TK!$E$7=TH!F3419),"x","")</f>
        <v/>
      </c>
      <c r="AD3419" s="79" t="str">
        <f>IF(AND(N3419="1521",MONTH(C3419)='BK-NL'!$M$11),"x","")</f>
        <v/>
      </c>
    </row>
    <row r="3420" spans="1:30" ht="16.5" customHeight="1">
      <c r="A3420" s="318" t="str">
        <f>IF(B3420&lt;&gt;"",IF(AND(B3420='IN-TC'!$S$4,OR(TH!N3420="1111",TH!O3420="1111")),TH!D3420,""),"")</f>
        <v/>
      </c>
      <c r="B3420" s="60" t="str">
        <f t="shared" si="392"/>
        <v/>
      </c>
      <c r="C3420" s="1257"/>
      <c r="D3420" s="61"/>
      <c r="E3420" s="61"/>
      <c r="F3420" s="69"/>
      <c r="G3420" s="64"/>
      <c r="H3420" s="69"/>
      <c r="I3420" s="385"/>
      <c r="J3420" s="392"/>
      <c r="K3420" s="385"/>
      <c r="L3420" s="392"/>
      <c r="M3420" s="62"/>
      <c r="N3420" s="63"/>
      <c r="O3420" s="63"/>
      <c r="P3420" s="79" t="str">
        <f>IF(AND('331-CT'!$E$7=TH!H3420,OR(N3420="331",O3420="331")),"x","")</f>
        <v/>
      </c>
      <c r="Q3420" s="79" t="str">
        <f>IF(AND(B3420='111'!$L$11,OR($N3420=$Q$7,$O3420=$Q$7)),"x","")</f>
        <v/>
      </c>
      <c r="R3420" s="79" t="str">
        <f>IF(AND($N3420=$Q$7,$B3420&lt;'111'!$L$11),"x","")</f>
        <v/>
      </c>
      <c r="S3420" s="79" t="str">
        <f>IF(AND($O3420=$Q$7,$B3420&lt;'111'!$L$11),"x","")</f>
        <v/>
      </c>
      <c r="T3420" s="79" t="str">
        <f>IF(ISERROR(FIND('112'!$M$9,G3420,1)),"",IF((AND(FIND('112'!$M$9,G3420,1)&gt;=1,B3420='112'!$K$9,OR($N3420='112'!$I$6,$O3420='112'!$I$6))),"x",""))</f>
        <v/>
      </c>
      <c r="U3420" s="79" t="str">
        <f>IF(ISERROR(FIND('112'!$M$9,G3420,1)),"",IF((AND(LEFT(G3420,2)=LEFT('112'!$M$9,2),B3420&lt;'112'!$K$9,$N3420='112'!$I$6)),"x",""))</f>
        <v/>
      </c>
      <c r="V3420" s="79" t="str">
        <f>IF(ISERROR(FIND('112'!$M$9,G3420,1)),"",IF((AND(RIGHT(G3420,2)=RIGHT('112'!$M$9,2),B3420&lt;'112'!$K$9,$O3420='112'!$I$6)),"x",""))</f>
        <v/>
      </c>
      <c r="W3420" s="79" t="str">
        <f>IF(AND('341-CT'!$H$9=H3420,OR(LEFT(N3420,3)=$W$7,LEFT(O3420,3)=$W$7)),"x","")</f>
        <v/>
      </c>
      <c r="X3420" s="79" t="str">
        <f>IF(OR(TH!N3420=TH!$X$7,O3420=TH!$X$7),"x","")</f>
        <v/>
      </c>
      <c r="Y3420" s="79" t="str">
        <f>IF(AND(OR(N3420="131",O3420="131"),H3420='131-CT'!$H$9),"x","")</f>
        <v/>
      </c>
      <c r="Z3420" s="79"/>
      <c r="AA3420" s="79" t="str">
        <f>IF(AND(MONTH(E3420)='IN-NX'!$J$5,'IN-NX'!$D$7=D3420),"x","")</f>
        <v/>
      </c>
      <c r="AB3420" s="79" t="str">
        <f>IF(AND(OR(LEFT(TH!N3420,2)="15",LEFT(TH!O3420,2)="15"),LEFT(TH!O3420,3)&lt;&gt;"111",'152-CT'!$J$8=TH!F3420),"x","")</f>
        <v/>
      </c>
      <c r="AC3420" s="79" t="str">
        <f>IF(AND(OR(LEFT(TH!N3420,2)="15",LEFT(TH!O3420,2)="15"),TK!$E$7=TH!F3420),"x","")</f>
        <v/>
      </c>
      <c r="AD3420" s="79" t="str">
        <f>IF(AND(N3420="1521",MONTH(C3420)='BK-NL'!$M$11),"x","")</f>
        <v/>
      </c>
    </row>
    <row r="3421" spans="1:30" ht="16.5" customHeight="1">
      <c r="A3421" s="318" t="str">
        <f>IF(B3421&lt;&gt;"",IF(AND(B3421='IN-TC'!$S$4,OR(TH!N3421="1111",TH!O3421="1111")),TH!D3421,""),"")</f>
        <v/>
      </c>
      <c r="B3421" s="60" t="str">
        <f t="shared" si="392"/>
        <v/>
      </c>
      <c r="C3421" s="1257"/>
      <c r="D3421" s="61"/>
      <c r="E3421" s="61"/>
      <c r="F3421" s="69"/>
      <c r="G3421" s="64"/>
      <c r="H3421" s="69"/>
      <c r="I3421" s="387"/>
      <c r="J3421" s="394"/>
      <c r="K3421" s="387"/>
      <c r="L3421" s="394"/>
      <c r="M3421" s="62"/>
      <c r="N3421" s="63"/>
      <c r="O3421" s="63"/>
      <c r="P3421" s="79" t="str">
        <f>IF(AND('331-CT'!$E$7=TH!H3421,OR(N3421="331",O3421="331")),"x","")</f>
        <v/>
      </c>
      <c r="Q3421" s="79" t="str">
        <f>IF(AND(B3421='111'!$L$11,OR($N3421=$Q$7,$O3421=$Q$7)),"x","")</f>
        <v/>
      </c>
      <c r="R3421" s="79" t="str">
        <f>IF(AND($N3421=$Q$7,$B3421&lt;'111'!$L$11),"x","")</f>
        <v/>
      </c>
      <c r="S3421" s="79" t="str">
        <f>IF(AND($O3421=$Q$7,$B3421&lt;'111'!$L$11),"x","")</f>
        <v/>
      </c>
      <c r="T3421" s="79" t="str">
        <f>IF(ISERROR(FIND('112'!$M$9,G3421,1)),"",IF((AND(FIND('112'!$M$9,G3421,1)&gt;=1,B3421='112'!$K$9,OR($N3421='112'!$I$6,$O3421='112'!$I$6))),"x",""))</f>
        <v/>
      </c>
      <c r="U3421" s="79" t="str">
        <f>IF(ISERROR(FIND('112'!$M$9,G3421,1)),"",IF((AND(LEFT(G3421,2)=LEFT('112'!$M$9,2),B3421&lt;'112'!$K$9,$N3421='112'!$I$6)),"x",""))</f>
        <v/>
      </c>
      <c r="V3421" s="79" t="str">
        <f>IF(ISERROR(FIND('112'!$M$9,G3421,1)),"",IF((AND(RIGHT(G3421,2)=RIGHT('112'!$M$9,2),B3421&lt;'112'!$K$9,$O3421='112'!$I$6)),"x",""))</f>
        <v/>
      </c>
      <c r="W3421" s="79" t="str">
        <f>IF(AND('341-CT'!$H$9=H3421,OR(LEFT(N3421,3)=$W$7,LEFT(O3421,3)=$W$7)),"x","")</f>
        <v/>
      </c>
      <c r="X3421" s="79" t="str">
        <f>IF(OR(TH!N3421=TH!$X$7,O3421=TH!$X$7),"x","")</f>
        <v/>
      </c>
      <c r="Y3421" s="79" t="str">
        <f>IF(AND(OR(N3421="131",O3421="131"),H3421='131-CT'!$H$9),"x","")</f>
        <v/>
      </c>
      <c r="Z3421" s="79"/>
      <c r="AA3421" s="79" t="str">
        <f>IF(AND(MONTH(E3421)='IN-NX'!$J$5,'IN-NX'!$D$7=D3421),"x","")</f>
        <v/>
      </c>
      <c r="AB3421" s="79" t="str">
        <f>IF(AND(OR(LEFT(TH!N3421,2)="15",LEFT(TH!O3421,2)="15"),LEFT(TH!O3421,3)&lt;&gt;"111",'152-CT'!$J$8=TH!F3421),"x","")</f>
        <v/>
      </c>
      <c r="AC3421" s="79" t="str">
        <f>IF(AND(OR(LEFT(TH!N3421,2)="15",LEFT(TH!O3421,2)="15"),TK!$E$7=TH!F3421),"x","")</f>
        <v/>
      </c>
      <c r="AD3421" s="79" t="str">
        <f>IF(AND(N3421="1521",MONTH(C3421)='BK-NL'!$M$11),"x","")</f>
        <v/>
      </c>
    </row>
    <row r="3422" spans="1:30" ht="16.5" customHeight="1">
      <c r="A3422" s="318" t="str">
        <f>IF(B3422&lt;&gt;"",IF(AND(B3422='IN-TC'!$S$4,OR(TH!N3422="1111",TH!O3422="1111")),TH!D3422,""),"")</f>
        <v/>
      </c>
      <c r="B3422" s="60" t="str">
        <f t="shared" si="392"/>
        <v/>
      </c>
      <c r="C3422" s="1257"/>
      <c r="D3422" s="61"/>
      <c r="E3422" s="61"/>
      <c r="F3422" s="69"/>
      <c r="G3422" s="64"/>
      <c r="H3422" s="69"/>
      <c r="I3422" s="387"/>
      <c r="J3422" s="394"/>
      <c r="K3422" s="387"/>
      <c r="L3422" s="394"/>
      <c r="M3422" s="62"/>
      <c r="N3422" s="63"/>
      <c r="O3422" s="63"/>
      <c r="P3422" s="79" t="str">
        <f>IF(AND('331-CT'!$E$7=TH!H3422,OR(N3422="331",O3422="331")),"x","")</f>
        <v/>
      </c>
      <c r="Q3422" s="79" t="str">
        <f>IF(AND(B3422='111'!$L$11,OR($N3422=$Q$7,$O3422=$Q$7)),"x","")</f>
        <v/>
      </c>
      <c r="R3422" s="79" t="str">
        <f>IF(AND($N3422=$Q$7,$B3422&lt;'111'!$L$11),"x","")</f>
        <v/>
      </c>
      <c r="S3422" s="79" t="str">
        <f>IF(AND($O3422=$Q$7,$B3422&lt;'111'!$L$11),"x","")</f>
        <v/>
      </c>
      <c r="T3422" s="79" t="str">
        <f>IF(ISERROR(FIND('112'!$M$9,G3422,1)),"",IF((AND(FIND('112'!$M$9,G3422,1)&gt;=1,B3422='112'!$K$9,OR($N3422='112'!$I$6,$O3422='112'!$I$6))),"x",""))</f>
        <v/>
      </c>
      <c r="U3422" s="79" t="str">
        <f>IF(ISERROR(FIND('112'!$M$9,G3422,1)),"",IF((AND(LEFT(G3422,2)=LEFT('112'!$M$9,2),B3422&lt;'112'!$K$9,$N3422='112'!$I$6)),"x",""))</f>
        <v/>
      </c>
      <c r="V3422" s="79" t="str">
        <f>IF(ISERROR(FIND('112'!$M$9,G3422,1)),"",IF((AND(RIGHT(G3422,2)=RIGHT('112'!$M$9,2),B3422&lt;'112'!$K$9,$O3422='112'!$I$6)),"x",""))</f>
        <v/>
      </c>
      <c r="W3422" s="79" t="str">
        <f>IF(AND('341-CT'!$H$9=H3422,OR(LEFT(N3422,3)=$W$7,LEFT(O3422,3)=$W$7)),"x","")</f>
        <v/>
      </c>
      <c r="X3422" s="79" t="str">
        <f>IF(OR(TH!N3422=TH!$X$7,O3422=TH!$X$7),"x","")</f>
        <v/>
      </c>
      <c r="Y3422" s="79" t="str">
        <f>IF(AND(OR(N3422="131",O3422="131"),H3422='131-CT'!$H$9),"x","")</f>
        <v/>
      </c>
      <c r="Z3422" s="79"/>
      <c r="AA3422" s="79" t="str">
        <f>IF(AND(MONTH(E3422)='IN-NX'!$J$5,'IN-NX'!$D$7=D3422),"x","")</f>
        <v/>
      </c>
      <c r="AB3422" s="79" t="str">
        <f>IF(AND(OR(LEFT(TH!N3422,2)="15",LEFT(TH!O3422,2)="15"),LEFT(TH!O3422,3)&lt;&gt;"111",'152-CT'!$J$8=TH!F3422),"x","")</f>
        <v/>
      </c>
      <c r="AC3422" s="79" t="str">
        <f>IF(AND(OR(LEFT(TH!N3422,2)="15",LEFT(TH!O3422,2)="15"),TK!$E$7=TH!F3422),"x","")</f>
        <v/>
      </c>
      <c r="AD3422" s="79" t="str">
        <f>IF(AND(N3422="1521",MONTH(C3422)='BK-NL'!$M$11),"x","")</f>
        <v/>
      </c>
    </row>
    <row r="3423" spans="1:30" ht="16.5" customHeight="1">
      <c r="A3423" s="318" t="str">
        <f>IF(B3423&lt;&gt;"",IF(AND(B3423='IN-TC'!$S$4,OR(TH!N3423="1111",TH!O3423="1111")),TH!D3423,""),"")</f>
        <v/>
      </c>
      <c r="B3423" s="60" t="str">
        <f t="shared" si="392"/>
        <v/>
      </c>
      <c r="C3423" s="1257"/>
      <c r="D3423" s="61"/>
      <c r="E3423" s="61"/>
      <c r="F3423" s="69"/>
      <c r="G3423" s="64"/>
      <c r="H3423" s="303"/>
      <c r="I3423" s="387"/>
      <c r="J3423" s="394"/>
      <c r="K3423" s="387"/>
      <c r="L3423" s="394"/>
      <c r="M3423" s="62"/>
      <c r="N3423" s="63"/>
      <c r="O3423" s="63"/>
      <c r="P3423" s="79" t="str">
        <f>IF(AND('331-CT'!$E$7=TH!H3423,OR(N3423="331",O3423="331")),"x","")</f>
        <v/>
      </c>
      <c r="Q3423" s="79" t="str">
        <f>IF(AND(B3423='111'!$L$11,OR($N3423=$Q$7,$O3423=$Q$7)),"x","")</f>
        <v/>
      </c>
      <c r="R3423" s="79" t="str">
        <f>IF(AND($N3423=$Q$7,$B3423&lt;'111'!$L$11),"x","")</f>
        <v/>
      </c>
      <c r="S3423" s="79" t="str">
        <f>IF(AND($O3423=$Q$7,$B3423&lt;'111'!$L$11),"x","")</f>
        <v/>
      </c>
      <c r="T3423" s="79" t="str">
        <f>IF(ISERROR(FIND('112'!$M$9,G3423,1)),"",IF((AND(FIND('112'!$M$9,G3423,1)&gt;=1,B3423='112'!$K$9,OR($N3423='112'!$I$6,$O3423='112'!$I$6))),"x",""))</f>
        <v/>
      </c>
      <c r="U3423" s="79" t="str">
        <f>IF(ISERROR(FIND('112'!$M$9,G3423,1)),"",IF((AND(LEFT(G3423,2)=LEFT('112'!$M$9,2),B3423&lt;'112'!$K$9,$N3423='112'!$I$6)),"x",""))</f>
        <v/>
      </c>
      <c r="V3423" s="79" t="str">
        <f>IF(ISERROR(FIND('112'!$M$9,G3423,1)),"",IF((AND(RIGHT(G3423,2)=RIGHT('112'!$M$9,2),B3423&lt;'112'!$K$9,$O3423='112'!$I$6)),"x",""))</f>
        <v/>
      </c>
      <c r="W3423" s="79" t="str">
        <f>IF(AND('341-CT'!$H$9=H3423,OR(LEFT(N3423,3)=$W$7,LEFT(O3423,3)=$W$7)),"x","")</f>
        <v/>
      </c>
      <c r="X3423" s="79" t="str">
        <f>IF(OR(TH!N3423=TH!$X$7,O3423=TH!$X$7),"x","")</f>
        <v/>
      </c>
      <c r="Y3423" s="79" t="str">
        <f>IF(AND(OR(N3423="131",O3423="131"),H3423='131-CT'!$H$9),"x","")</f>
        <v/>
      </c>
      <c r="Z3423" s="79"/>
      <c r="AA3423" s="79" t="str">
        <f>IF(AND(MONTH(E3423)='IN-NX'!$J$5,'IN-NX'!$D$7=D3423),"x","")</f>
        <v/>
      </c>
      <c r="AB3423" s="79" t="str">
        <f>IF(AND(OR(LEFT(TH!N3423,2)="15",LEFT(TH!O3423,2)="15"),LEFT(TH!O3423,3)&lt;&gt;"111",'152-CT'!$J$8=TH!F3423),"x","")</f>
        <v/>
      </c>
      <c r="AC3423" s="79" t="str">
        <f>IF(AND(OR(LEFT(TH!N3423,2)="15",LEFT(TH!O3423,2)="15"),TK!$E$7=TH!F3423),"x","")</f>
        <v/>
      </c>
      <c r="AD3423" s="79" t="str">
        <f>IF(AND(N3423="1521",MONTH(C3423)='BK-NL'!$M$11),"x","")</f>
        <v/>
      </c>
    </row>
    <row r="3424" spans="1:30" ht="16.5" customHeight="1">
      <c r="A3424" s="318" t="str">
        <f>IF(B3424&lt;&gt;"",IF(AND(B3424='IN-TC'!$S$4,OR(TH!N3424="1111",TH!O3424="1111")),TH!D3424,""),"")</f>
        <v/>
      </c>
      <c r="B3424" s="60" t="str">
        <f t="shared" si="392"/>
        <v/>
      </c>
      <c r="C3424" s="1257"/>
      <c r="D3424" s="61"/>
      <c r="E3424" s="61"/>
      <c r="F3424" s="69"/>
      <c r="G3424" s="64"/>
      <c r="H3424" s="69"/>
      <c r="I3424" s="387"/>
      <c r="J3424" s="394"/>
      <c r="K3424" s="387"/>
      <c r="L3424" s="394"/>
      <c r="M3424" s="62"/>
      <c r="N3424" s="63"/>
      <c r="O3424" s="63"/>
      <c r="P3424" s="79" t="str">
        <f>IF(AND('331-CT'!$E$7=TH!H3424,OR(N3424="331",O3424="331")),"x","")</f>
        <v/>
      </c>
      <c r="Q3424" s="79" t="str">
        <f>IF(AND(B3424='111'!$L$11,OR($N3424=$Q$7,$O3424=$Q$7)),"x","")</f>
        <v/>
      </c>
      <c r="R3424" s="79" t="str">
        <f>IF(AND($N3424=$Q$7,$B3424&lt;'111'!$L$11),"x","")</f>
        <v/>
      </c>
      <c r="S3424" s="79" t="str">
        <f>IF(AND($O3424=$Q$7,$B3424&lt;'111'!$L$11),"x","")</f>
        <v/>
      </c>
      <c r="T3424" s="79" t="str">
        <f>IF(ISERROR(FIND('112'!$M$9,G3424,1)),"",IF((AND(FIND('112'!$M$9,G3424,1)&gt;=1,B3424='112'!$K$9,OR($N3424='112'!$I$6,$O3424='112'!$I$6))),"x",""))</f>
        <v/>
      </c>
      <c r="U3424" s="79" t="str">
        <f>IF(ISERROR(FIND('112'!$M$9,G3424,1)),"",IF((AND(LEFT(G3424,2)=LEFT('112'!$M$9,2),B3424&lt;'112'!$K$9,$N3424='112'!$I$6)),"x",""))</f>
        <v/>
      </c>
      <c r="V3424" s="79" t="str">
        <f>IF(ISERROR(FIND('112'!$M$9,G3424,1)),"",IF((AND(RIGHT(G3424,2)=RIGHT('112'!$M$9,2),B3424&lt;'112'!$K$9,$O3424='112'!$I$6)),"x",""))</f>
        <v/>
      </c>
      <c r="W3424" s="79" t="str">
        <f>IF(AND('341-CT'!$H$9=H3424,OR(LEFT(N3424,3)=$W$7,LEFT(O3424,3)=$W$7)),"x","")</f>
        <v/>
      </c>
      <c r="X3424" s="79" t="str">
        <f>IF(OR(TH!N3424=TH!$X$7,O3424=TH!$X$7),"x","")</f>
        <v/>
      </c>
      <c r="Y3424" s="79" t="str">
        <f>IF(AND(OR(N3424="131",O3424="131"),H3424='131-CT'!$H$9),"x","")</f>
        <v/>
      </c>
      <c r="Z3424" s="79"/>
      <c r="AA3424" s="79" t="str">
        <f>IF(AND(MONTH(E3424)='IN-NX'!$J$5,'IN-NX'!$D$7=D3424),"x","")</f>
        <v/>
      </c>
      <c r="AB3424" s="79" t="str">
        <f>IF(AND(OR(LEFT(TH!N3424,2)="15",LEFT(TH!O3424,2)="15"),LEFT(TH!O3424,3)&lt;&gt;"111",'152-CT'!$J$8=TH!F3424),"x","")</f>
        <v/>
      </c>
      <c r="AC3424" s="79" t="str">
        <f>IF(AND(OR(LEFT(TH!N3424,2)="15",LEFT(TH!O3424,2)="15"),TK!$E$7=TH!F3424),"x","")</f>
        <v/>
      </c>
      <c r="AD3424" s="79" t="str">
        <f>IF(AND(N3424="1521",MONTH(C3424)='BK-NL'!$M$11),"x","")</f>
        <v/>
      </c>
    </row>
    <row r="3425" spans="1:30" ht="16.5" customHeight="1">
      <c r="A3425" s="318" t="str">
        <f>IF(B3425&lt;&gt;"",IF(AND(B3425='IN-TC'!$S$4,OR(TH!N3425="1111",TH!O3425="1111")),TH!D3425,""),"")</f>
        <v/>
      </c>
      <c r="B3425" s="60" t="str">
        <f t="shared" si="392"/>
        <v/>
      </c>
      <c r="C3425" s="1257"/>
      <c r="D3425" s="61"/>
      <c r="E3425" s="61"/>
      <c r="F3425" s="69"/>
      <c r="G3425" s="64"/>
      <c r="H3425" s="69"/>
      <c r="I3425" s="387"/>
      <c r="J3425" s="394"/>
      <c r="K3425" s="387"/>
      <c r="L3425" s="394"/>
      <c r="M3425" s="62"/>
      <c r="N3425" s="63"/>
      <c r="O3425" s="63"/>
      <c r="P3425" s="79" t="str">
        <f>IF(AND('331-CT'!$E$7=TH!H3425,OR(N3425="331",O3425="331")),"x","")</f>
        <v/>
      </c>
      <c r="Q3425" s="79" t="str">
        <f>IF(AND(B3425='111'!$L$11,OR($N3425=$Q$7,$O3425=$Q$7)),"x","")</f>
        <v/>
      </c>
      <c r="R3425" s="79" t="str">
        <f>IF(AND($N3425=$Q$7,$B3425&lt;'111'!$L$11),"x","")</f>
        <v/>
      </c>
      <c r="S3425" s="79" t="str">
        <f>IF(AND($O3425=$Q$7,$B3425&lt;'111'!$L$11),"x","")</f>
        <v/>
      </c>
      <c r="T3425" s="79" t="str">
        <f>IF(ISERROR(FIND('112'!$M$9,G3425,1)),"",IF((AND(FIND('112'!$M$9,G3425,1)&gt;=1,B3425='112'!$K$9,OR($N3425='112'!$I$6,$O3425='112'!$I$6))),"x",""))</f>
        <v/>
      </c>
      <c r="U3425" s="79" t="str">
        <f>IF(ISERROR(FIND('112'!$M$9,G3425,1)),"",IF((AND(LEFT(G3425,2)=LEFT('112'!$M$9,2),B3425&lt;'112'!$K$9,$N3425='112'!$I$6)),"x",""))</f>
        <v/>
      </c>
      <c r="V3425" s="79" t="str">
        <f>IF(ISERROR(FIND('112'!$M$9,G3425,1)),"",IF((AND(RIGHT(G3425,2)=RIGHT('112'!$M$9,2),B3425&lt;'112'!$K$9,$O3425='112'!$I$6)),"x",""))</f>
        <v/>
      </c>
      <c r="W3425" s="79" t="str">
        <f>IF(AND('341-CT'!$H$9=H3425,OR(LEFT(N3425,3)=$W$7,LEFT(O3425,3)=$W$7)),"x","")</f>
        <v/>
      </c>
      <c r="X3425" s="79" t="str">
        <f>IF(OR(TH!N3425=TH!$X$7,O3425=TH!$X$7),"x","")</f>
        <v/>
      </c>
      <c r="Y3425" s="79" t="str">
        <f>IF(AND(OR(N3425="131",O3425="131"),H3425='131-CT'!$H$9),"x","")</f>
        <v/>
      </c>
      <c r="Z3425" s="79"/>
      <c r="AA3425" s="79" t="str">
        <f>IF(AND(MONTH(E3425)='IN-NX'!$J$5,'IN-NX'!$D$7=D3425),"x","")</f>
        <v/>
      </c>
      <c r="AB3425" s="79" t="str">
        <f>IF(AND(OR(LEFT(TH!N3425,2)="15",LEFT(TH!O3425,2)="15"),LEFT(TH!O3425,3)&lt;&gt;"111",'152-CT'!$J$8=TH!F3425),"x","")</f>
        <v/>
      </c>
      <c r="AC3425" s="79" t="str">
        <f>IF(AND(OR(LEFT(TH!N3425,2)="15",LEFT(TH!O3425,2)="15"),TK!$E$7=TH!F3425),"x","")</f>
        <v/>
      </c>
      <c r="AD3425" s="79" t="str">
        <f>IF(AND(N3425="1521",MONTH(C3425)='BK-NL'!$M$11),"x","")</f>
        <v/>
      </c>
    </row>
    <row r="3426" spans="1:30" ht="16.5" customHeight="1">
      <c r="A3426" s="318" t="str">
        <f>IF(B3426&lt;&gt;"",IF(AND(B3426='IN-TC'!$S$4,OR(TH!N3426="1111",TH!O3426="1111")),TH!D3426,""),"")</f>
        <v/>
      </c>
      <c r="B3426" s="60" t="str">
        <f t="shared" si="392"/>
        <v/>
      </c>
      <c r="C3426" s="61"/>
      <c r="D3426" s="61"/>
      <c r="E3426" s="61"/>
      <c r="F3426" s="69"/>
      <c r="G3426" s="64"/>
      <c r="H3426" s="69"/>
      <c r="I3426" s="387"/>
      <c r="J3426" s="394"/>
      <c r="K3426" s="387"/>
      <c r="L3426" s="394"/>
      <c r="M3426" s="62"/>
      <c r="N3426" s="63"/>
      <c r="O3426" s="63"/>
      <c r="P3426" s="79" t="str">
        <f>IF(AND('331-CT'!$E$7=TH!H3426,OR(N3426="331",O3426="331")),"x","")</f>
        <v/>
      </c>
      <c r="Q3426" s="79" t="str">
        <f>IF(AND(B3426='111'!$L$11,OR($N3426=$Q$7,$O3426=$Q$7)),"x","")</f>
        <v/>
      </c>
      <c r="R3426" s="79" t="str">
        <f>IF(AND($N3426=$Q$7,$B3426&lt;'111'!$L$11),"x","")</f>
        <v/>
      </c>
      <c r="S3426" s="79" t="str">
        <f>IF(AND($O3426=$Q$7,$B3426&lt;'111'!$L$11),"x","")</f>
        <v/>
      </c>
      <c r="T3426" s="79" t="str">
        <f>IF(ISERROR(FIND('112'!$M$9,G3426,1)),"",IF((AND(FIND('112'!$M$9,G3426,1)&gt;=1,B3426='112'!$K$9,OR($N3426='112'!$I$6,$O3426='112'!$I$6))),"x",""))</f>
        <v/>
      </c>
      <c r="U3426" s="79" t="str">
        <f>IF(ISERROR(FIND('112'!$M$9,G3426,1)),"",IF((AND(LEFT(G3426,2)=LEFT('112'!$M$9,2),B3426&lt;'112'!$K$9,$N3426='112'!$I$6)),"x",""))</f>
        <v/>
      </c>
      <c r="V3426" s="79" t="str">
        <f>IF(ISERROR(FIND('112'!$M$9,G3426,1)),"",IF((AND(RIGHT(G3426,2)=RIGHT('112'!$M$9,2),B3426&lt;'112'!$K$9,$O3426='112'!$I$6)),"x",""))</f>
        <v/>
      </c>
      <c r="W3426" s="79" t="str">
        <f>IF(AND('341-CT'!$H$9=H3426,OR(LEFT(N3426,3)=$W$7,LEFT(O3426,3)=$W$7)),"x","")</f>
        <v/>
      </c>
      <c r="X3426" s="79" t="str">
        <f>IF(OR(TH!N3426=TH!$X$7,O3426=TH!$X$7),"x","")</f>
        <v/>
      </c>
      <c r="Y3426" s="79" t="str">
        <f>IF(AND(OR(N3426="131",O3426="131"),H3426='131-CT'!$H$9),"x","")</f>
        <v/>
      </c>
      <c r="Z3426" s="79"/>
      <c r="AA3426" s="79" t="str">
        <f>IF(AND(MONTH(E3426)='IN-NX'!$J$5,'IN-NX'!$D$7=D3426),"x","")</f>
        <v/>
      </c>
      <c r="AB3426" s="79" t="str">
        <f>IF(AND(OR(LEFT(TH!N3426,2)="15",LEFT(TH!O3426,2)="15"),LEFT(TH!O3426,3)&lt;&gt;"111",'152-CT'!$J$8=TH!F3426),"x","")</f>
        <v/>
      </c>
      <c r="AC3426" s="79" t="str">
        <f>IF(AND(OR(LEFT(TH!N3426,2)="15",LEFT(TH!O3426,2)="15"),TK!$E$7=TH!F3426),"x","")</f>
        <v/>
      </c>
      <c r="AD3426" s="79" t="str">
        <f>IF(AND(N3426="1521",MONTH(C3426)='BK-NL'!$M$11),"x","")</f>
        <v/>
      </c>
    </row>
    <row r="3427" spans="1:30" ht="16.5" customHeight="1">
      <c r="A3427" s="318" t="str">
        <f>IF(B3427&lt;&gt;"",IF(AND(B3427='IN-TC'!$S$4,OR(TH!N3427="1111",TH!O3427="1111")),TH!D3427,""),"")</f>
        <v/>
      </c>
      <c r="B3427" s="60" t="str">
        <f t="shared" si="392"/>
        <v/>
      </c>
      <c r="C3427" s="61"/>
      <c r="D3427" s="61"/>
      <c r="E3427" s="61"/>
      <c r="F3427" s="69"/>
      <c r="G3427" s="64"/>
      <c r="H3427" s="69"/>
      <c r="I3427" s="387"/>
      <c r="J3427" s="394"/>
      <c r="K3427" s="387"/>
      <c r="L3427" s="394"/>
      <c r="M3427" s="62"/>
      <c r="N3427" s="63"/>
      <c r="O3427" s="63"/>
      <c r="P3427" s="79" t="str">
        <f>IF(AND('331-CT'!$E$7=TH!H3427,OR(N3427="331",O3427="331")),"x","")</f>
        <v/>
      </c>
      <c r="Q3427" s="79" t="str">
        <f>IF(AND(B3427='111'!$L$11,OR($N3427=$Q$7,$O3427=$Q$7)),"x","")</f>
        <v/>
      </c>
      <c r="R3427" s="79" t="str">
        <f>IF(AND($N3427=$Q$7,$B3427&lt;'111'!$L$11),"x","")</f>
        <v/>
      </c>
      <c r="S3427" s="79" t="str">
        <f>IF(AND($O3427=$Q$7,$B3427&lt;'111'!$L$11),"x","")</f>
        <v/>
      </c>
      <c r="T3427" s="79" t="str">
        <f>IF(ISERROR(FIND('112'!$M$9,G3427,1)),"",IF((AND(FIND('112'!$M$9,G3427,1)&gt;=1,B3427='112'!$K$9,OR($N3427='112'!$I$6,$O3427='112'!$I$6))),"x",""))</f>
        <v/>
      </c>
      <c r="U3427" s="79" t="str">
        <f>IF(ISERROR(FIND('112'!$M$9,G3427,1)),"",IF((AND(LEFT(G3427,2)=LEFT('112'!$M$9,2),B3427&lt;'112'!$K$9,$N3427='112'!$I$6)),"x",""))</f>
        <v/>
      </c>
      <c r="V3427" s="79" t="str">
        <f>IF(ISERROR(FIND('112'!$M$9,G3427,1)),"",IF((AND(RIGHT(G3427,2)=RIGHT('112'!$M$9,2),B3427&lt;'112'!$K$9,$O3427='112'!$I$6)),"x",""))</f>
        <v/>
      </c>
      <c r="W3427" s="79" t="str">
        <f>IF(AND('341-CT'!$H$9=H3427,OR(LEFT(N3427,3)=$W$7,LEFT(O3427,3)=$W$7)),"x","")</f>
        <v/>
      </c>
      <c r="X3427" s="79" t="str">
        <f>IF(OR(TH!N3427=TH!$X$7,O3427=TH!$X$7),"x","")</f>
        <v/>
      </c>
      <c r="Y3427" s="79" t="str">
        <f>IF(AND(OR(N3427="131",O3427="131"),H3427='131-CT'!$H$9),"x","")</f>
        <v/>
      </c>
      <c r="Z3427" s="79"/>
      <c r="AA3427" s="79" t="str">
        <f>IF(AND(MONTH(E3427)='IN-NX'!$J$5,'IN-NX'!$D$7=D3427),"x","")</f>
        <v/>
      </c>
      <c r="AB3427" s="79" t="str">
        <f>IF(AND(OR(LEFT(TH!N3427,2)="15",LEFT(TH!O3427,2)="15"),LEFT(TH!O3427,3)&lt;&gt;"111",'152-CT'!$J$8=TH!F3427),"x","")</f>
        <v/>
      </c>
      <c r="AC3427" s="79" t="str">
        <f>IF(AND(OR(LEFT(TH!N3427,2)="15",LEFT(TH!O3427,2)="15"),TK!$E$7=TH!F3427),"x","")</f>
        <v/>
      </c>
      <c r="AD3427" s="79" t="str">
        <f>IF(AND(N3427="1521",MONTH(C3427)='BK-NL'!$M$11),"x","")</f>
        <v/>
      </c>
    </row>
    <row r="3428" spans="1:30" ht="16.5" customHeight="1">
      <c r="A3428" s="318" t="str">
        <f>IF(B3428&lt;&gt;"",IF(AND(B3428='IN-TC'!$S$4,OR(TH!N3428="1111",TH!O3428="1111")),TH!D3428,""),"")</f>
        <v/>
      </c>
      <c r="B3428" s="60" t="str">
        <f t="shared" si="392"/>
        <v/>
      </c>
      <c r="C3428" s="61"/>
      <c r="D3428" s="61"/>
      <c r="E3428" s="61"/>
      <c r="F3428" s="69"/>
      <c r="G3428" s="64"/>
      <c r="H3428" s="69"/>
      <c r="I3428" s="387"/>
      <c r="J3428" s="394"/>
      <c r="K3428" s="387"/>
      <c r="L3428" s="394"/>
      <c r="M3428" s="62"/>
      <c r="N3428" s="63"/>
      <c r="O3428" s="63"/>
      <c r="P3428" s="79" t="str">
        <f>IF(AND('331-CT'!$E$7=TH!H3428,OR(N3428="331",O3428="331")),"x","")</f>
        <v/>
      </c>
      <c r="Q3428" s="79" t="str">
        <f>IF(AND(B3428='111'!$L$11,OR($N3428=$Q$7,$O3428=$Q$7)),"x","")</f>
        <v/>
      </c>
      <c r="R3428" s="79" t="str">
        <f>IF(AND($N3428=$Q$7,$B3428&lt;'111'!$L$11),"x","")</f>
        <v/>
      </c>
      <c r="S3428" s="79" t="str">
        <f>IF(AND($O3428=$Q$7,$B3428&lt;'111'!$L$11),"x","")</f>
        <v/>
      </c>
      <c r="T3428" s="79" t="str">
        <f>IF(ISERROR(FIND('112'!$M$9,G3428,1)),"",IF((AND(FIND('112'!$M$9,G3428,1)&gt;=1,B3428='112'!$K$9,OR($N3428='112'!$I$6,$O3428='112'!$I$6))),"x",""))</f>
        <v/>
      </c>
      <c r="U3428" s="79" t="str">
        <f>IF(ISERROR(FIND('112'!$M$9,G3428,1)),"",IF((AND(LEFT(G3428,2)=LEFT('112'!$M$9,2),B3428&lt;'112'!$K$9,$N3428='112'!$I$6)),"x",""))</f>
        <v/>
      </c>
      <c r="V3428" s="79" t="str">
        <f>IF(ISERROR(FIND('112'!$M$9,G3428,1)),"",IF((AND(RIGHT(G3428,2)=RIGHT('112'!$M$9,2),B3428&lt;'112'!$K$9,$O3428='112'!$I$6)),"x",""))</f>
        <v/>
      </c>
      <c r="W3428" s="79" t="str">
        <f>IF(AND('341-CT'!$H$9=H3428,OR(LEFT(N3428,3)=$W$7,LEFT(O3428,3)=$W$7)),"x","")</f>
        <v/>
      </c>
      <c r="X3428" s="79" t="str">
        <f>IF(OR(TH!N3428=TH!$X$7,O3428=TH!$X$7),"x","")</f>
        <v/>
      </c>
      <c r="Y3428" s="79" t="str">
        <f>IF(AND(OR(N3428="131",O3428="131"),H3428='131-CT'!$H$9),"x","")</f>
        <v/>
      </c>
      <c r="Z3428" s="79"/>
      <c r="AA3428" s="79" t="str">
        <f>IF(AND(MONTH(E3428)='IN-NX'!$J$5,'IN-NX'!$D$7=D3428),"x","")</f>
        <v/>
      </c>
      <c r="AB3428" s="79" t="str">
        <f>IF(AND(OR(LEFT(TH!N3428,2)="15",LEFT(TH!O3428,2)="15"),LEFT(TH!O3428,3)&lt;&gt;"111",'152-CT'!$J$8=TH!F3428),"x","")</f>
        <v/>
      </c>
      <c r="AC3428" s="79" t="str">
        <f>IF(AND(OR(LEFT(TH!N3428,2)="15",LEFT(TH!O3428,2)="15"),TK!$E$7=TH!F3428),"x","")</f>
        <v/>
      </c>
      <c r="AD3428" s="79" t="str">
        <f>IF(AND(N3428="1521",MONTH(C3428)='BK-NL'!$M$11),"x","")</f>
        <v/>
      </c>
    </row>
    <row r="3429" spans="1:30" ht="16.5" customHeight="1">
      <c r="A3429" s="318" t="str">
        <f>IF(B3429&lt;&gt;"",IF(AND(B3429='IN-TC'!$S$4,OR(TH!N3429="1111",TH!O3429="1111")),TH!D3429,""),"")</f>
        <v/>
      </c>
      <c r="B3429" s="60" t="str">
        <f t="shared" si="392"/>
        <v/>
      </c>
      <c r="C3429" s="1249"/>
      <c r="D3429" s="61"/>
      <c r="E3429" s="61"/>
      <c r="F3429" s="69"/>
      <c r="G3429" s="64"/>
      <c r="H3429" s="321"/>
      <c r="I3429" s="1193"/>
      <c r="J3429" s="948"/>
      <c r="K3429" s="387"/>
      <c r="L3429" s="394"/>
      <c r="M3429" s="62"/>
      <c r="N3429" s="63"/>
      <c r="O3429" s="63"/>
      <c r="P3429" s="79" t="str">
        <f>IF(AND('331-CT'!$E$7=TH!H3429,OR(N3429="331",O3429="331")),"x","")</f>
        <v/>
      </c>
      <c r="Q3429" s="79" t="str">
        <f>IF(AND(B3429='111'!$L$11,OR($N3429=$Q$7,$O3429=$Q$7)),"x","")</f>
        <v/>
      </c>
      <c r="R3429" s="79" t="str">
        <f>IF(AND($N3429=$Q$7,$B3429&lt;'111'!$L$11),"x","")</f>
        <v/>
      </c>
      <c r="S3429" s="79" t="str">
        <f>IF(AND($O3429=$Q$7,$B3429&lt;'111'!$L$11),"x","")</f>
        <v/>
      </c>
      <c r="T3429" s="79" t="str">
        <f>IF(ISERROR(FIND('112'!$M$9,G3429,1)),"",IF((AND(FIND('112'!$M$9,G3429,1)&gt;=1,B3429='112'!$K$9,OR($N3429='112'!$I$6,$O3429='112'!$I$6))),"x",""))</f>
        <v/>
      </c>
      <c r="U3429" s="79" t="str">
        <f>IF(ISERROR(FIND('112'!$M$9,G3429,1)),"",IF((AND(LEFT(G3429,2)=LEFT('112'!$M$9,2),B3429&lt;'112'!$K$9,$N3429='112'!$I$6)),"x",""))</f>
        <v/>
      </c>
      <c r="V3429" s="79" t="str">
        <f>IF(ISERROR(FIND('112'!$M$9,G3429,1)),"",IF((AND(RIGHT(G3429,2)=RIGHT('112'!$M$9,2),B3429&lt;'112'!$K$9,$O3429='112'!$I$6)),"x",""))</f>
        <v/>
      </c>
      <c r="W3429" s="79" t="str">
        <f>IF(AND('341-CT'!$H$9=H3429,OR(LEFT(N3429,3)=$W$7,LEFT(O3429,3)=$W$7)),"x","")</f>
        <v/>
      </c>
      <c r="X3429" s="79" t="str">
        <f>IF(OR(TH!N3429=TH!$X$7,O3429=TH!$X$7),"x","")</f>
        <v/>
      </c>
      <c r="Y3429" s="79" t="str">
        <f>IF(AND(OR(N3429="131",O3429="131"),H3429='131-CT'!$H$9),"x","")</f>
        <v/>
      </c>
      <c r="Z3429" s="79"/>
      <c r="AA3429" s="79" t="str">
        <f>IF(AND(MONTH(E3429)='IN-NX'!$J$5,'IN-NX'!$D$7=D3429),"x","")</f>
        <v/>
      </c>
      <c r="AB3429" s="79" t="str">
        <f>IF(AND(OR(LEFT(TH!N3429,2)="15",LEFT(TH!O3429,2)="15"),LEFT(TH!O3429,3)&lt;&gt;"111",'152-CT'!$J$8=TH!F3429),"x","")</f>
        <v/>
      </c>
      <c r="AC3429" s="79" t="str">
        <f>IF(AND(OR(LEFT(TH!N3429,2)="15",LEFT(TH!O3429,2)="15"),TK!$E$7=TH!F3429),"x","")</f>
        <v/>
      </c>
      <c r="AD3429" s="79" t="str">
        <f>IF(AND(N3429="1521",MONTH(C3429)='BK-NL'!$M$11),"x","")</f>
        <v/>
      </c>
    </row>
    <row r="3430" spans="1:30" ht="16.5" customHeight="1">
      <c r="A3430" s="318" t="str">
        <f>IF(B3430&lt;&gt;"",IF(AND(B3430='IN-TC'!$S$4,OR(TH!N3430="1111",TH!O3430="1111")),TH!D3430,""),"")</f>
        <v/>
      </c>
      <c r="B3430" s="60" t="str">
        <f t="shared" si="392"/>
        <v/>
      </c>
      <c r="C3430" s="1249"/>
      <c r="D3430" s="61"/>
      <c r="E3430" s="61"/>
      <c r="F3430" s="69"/>
      <c r="G3430" s="64"/>
      <c r="H3430" s="321"/>
      <c r="I3430" s="1193"/>
      <c r="J3430" s="948"/>
      <c r="K3430" s="387"/>
      <c r="L3430" s="394"/>
      <c r="M3430" s="62"/>
      <c r="N3430" s="63"/>
      <c r="O3430" s="63"/>
      <c r="P3430" s="79" t="str">
        <f>IF(AND('331-CT'!$E$7=TH!H3430,OR(N3430="331",O3430="331")),"x","")</f>
        <v/>
      </c>
      <c r="Q3430" s="79" t="str">
        <f>IF(AND(B3430='111'!$L$11,OR($N3430=$Q$7,$O3430=$Q$7)),"x","")</f>
        <v/>
      </c>
      <c r="R3430" s="79" t="str">
        <f>IF(AND($N3430=$Q$7,$B3430&lt;'111'!$L$11),"x","")</f>
        <v/>
      </c>
      <c r="S3430" s="79" t="str">
        <f>IF(AND($O3430=$Q$7,$B3430&lt;'111'!$L$11),"x","")</f>
        <v/>
      </c>
      <c r="T3430" s="79" t="str">
        <f>IF(ISERROR(FIND('112'!$M$9,G3430,1)),"",IF((AND(FIND('112'!$M$9,G3430,1)&gt;=1,B3430='112'!$K$9,OR($N3430='112'!$I$6,$O3430='112'!$I$6))),"x",""))</f>
        <v/>
      </c>
      <c r="U3430" s="79" t="str">
        <f>IF(ISERROR(FIND('112'!$M$9,G3430,1)),"",IF((AND(LEFT(G3430,2)=LEFT('112'!$M$9,2),B3430&lt;'112'!$K$9,$N3430='112'!$I$6)),"x",""))</f>
        <v/>
      </c>
      <c r="V3430" s="79" t="str">
        <f>IF(ISERROR(FIND('112'!$M$9,G3430,1)),"",IF((AND(RIGHT(G3430,2)=RIGHT('112'!$M$9,2),B3430&lt;'112'!$K$9,$O3430='112'!$I$6)),"x",""))</f>
        <v/>
      </c>
      <c r="W3430" s="79" t="str">
        <f>IF(AND('341-CT'!$H$9=H3430,OR(LEFT(N3430,3)=$W$7,LEFT(O3430,3)=$W$7)),"x","")</f>
        <v/>
      </c>
      <c r="X3430" s="79" t="str">
        <f>IF(OR(TH!N3430=TH!$X$7,O3430=TH!$X$7),"x","")</f>
        <v/>
      </c>
      <c r="Y3430" s="79" t="str">
        <f>IF(AND(OR(N3430="131",O3430="131"),H3430='131-CT'!$H$9),"x","")</f>
        <v/>
      </c>
      <c r="Z3430" s="79"/>
      <c r="AA3430" s="79" t="str">
        <f>IF(AND(MONTH(E3430)='IN-NX'!$J$5,'IN-NX'!$D$7=D3430),"x","")</f>
        <v/>
      </c>
      <c r="AB3430" s="79" t="str">
        <f>IF(AND(OR(LEFT(TH!N3430,2)="15",LEFT(TH!O3430,2)="15"),LEFT(TH!O3430,3)&lt;&gt;"111",'152-CT'!$J$8=TH!F3430),"x","")</f>
        <v/>
      </c>
      <c r="AC3430" s="79" t="str">
        <f>IF(AND(OR(LEFT(TH!N3430,2)="15",LEFT(TH!O3430,2)="15"),TK!$E$7=TH!F3430),"x","")</f>
        <v/>
      </c>
      <c r="AD3430" s="79" t="str">
        <f>IF(AND(N3430="1521",MONTH(C3430)='BK-NL'!$M$11),"x","")</f>
        <v/>
      </c>
    </row>
    <row r="3431" spans="1:30" ht="16.5" customHeight="1">
      <c r="A3431" s="318" t="str">
        <f>IF(B3431&lt;&gt;"",IF(AND(B3431='IN-TC'!$S$4,OR(TH!N3431="1111",TH!O3431="1111")),TH!D3431,""),"")</f>
        <v/>
      </c>
      <c r="B3431" s="60" t="str">
        <f t="shared" si="392"/>
        <v/>
      </c>
      <c r="C3431" s="1249"/>
      <c r="D3431" s="61"/>
      <c r="E3431" s="61"/>
      <c r="F3431" s="69"/>
      <c r="G3431" s="64"/>
      <c r="H3431" s="321"/>
      <c r="I3431" s="1193"/>
      <c r="J3431" s="948"/>
      <c r="K3431" s="387"/>
      <c r="L3431" s="394"/>
      <c r="M3431" s="62"/>
      <c r="N3431" s="63"/>
      <c r="O3431" s="63"/>
      <c r="P3431" s="79" t="str">
        <f>IF(AND('331-CT'!$E$7=TH!H3431,OR(N3431="331",O3431="331")),"x","")</f>
        <v/>
      </c>
      <c r="Q3431" s="79" t="str">
        <f>IF(AND(B3431='111'!$L$11,OR($N3431=$Q$7,$O3431=$Q$7)),"x","")</f>
        <v/>
      </c>
      <c r="R3431" s="79" t="str">
        <f>IF(AND($N3431=$Q$7,$B3431&lt;'111'!$L$11),"x","")</f>
        <v/>
      </c>
      <c r="S3431" s="79" t="str">
        <f>IF(AND($O3431=$Q$7,$B3431&lt;'111'!$L$11),"x","")</f>
        <v/>
      </c>
      <c r="T3431" s="79" t="str">
        <f>IF(ISERROR(FIND('112'!$M$9,G3431,1)),"",IF((AND(FIND('112'!$M$9,G3431,1)&gt;=1,B3431='112'!$K$9,OR($N3431='112'!$I$6,$O3431='112'!$I$6))),"x",""))</f>
        <v/>
      </c>
      <c r="U3431" s="79" t="str">
        <f>IF(ISERROR(FIND('112'!$M$9,G3431,1)),"",IF((AND(LEFT(G3431,2)=LEFT('112'!$M$9,2),B3431&lt;'112'!$K$9,$N3431='112'!$I$6)),"x",""))</f>
        <v/>
      </c>
      <c r="V3431" s="79" t="str">
        <f>IF(ISERROR(FIND('112'!$M$9,G3431,1)),"",IF((AND(RIGHT(G3431,2)=RIGHT('112'!$M$9,2),B3431&lt;'112'!$K$9,$O3431='112'!$I$6)),"x",""))</f>
        <v/>
      </c>
      <c r="W3431" s="79" t="str">
        <f>IF(AND('341-CT'!$H$9=H3431,OR(LEFT(N3431,3)=$W$7,LEFT(O3431,3)=$W$7)),"x","")</f>
        <v/>
      </c>
      <c r="X3431" s="79" t="str">
        <f>IF(OR(TH!N3431=TH!$X$7,O3431=TH!$X$7),"x","")</f>
        <v/>
      </c>
      <c r="Y3431" s="79" t="str">
        <f>IF(AND(OR(N3431="131",O3431="131"),H3431='131-CT'!$H$9),"x","")</f>
        <v/>
      </c>
      <c r="Z3431" s="79"/>
      <c r="AA3431" s="79" t="str">
        <f>IF(AND(MONTH(E3431)='IN-NX'!$J$5,'IN-NX'!$D$7=D3431),"x","")</f>
        <v/>
      </c>
      <c r="AB3431" s="79" t="str">
        <f>IF(AND(OR(LEFT(TH!N3431,2)="15",LEFT(TH!O3431,2)="15"),LEFT(TH!O3431,3)&lt;&gt;"111",'152-CT'!$J$8=TH!F3431),"x","")</f>
        <v/>
      </c>
      <c r="AC3431" s="79" t="str">
        <f>IF(AND(OR(LEFT(TH!N3431,2)="15",LEFT(TH!O3431,2)="15"),TK!$E$7=TH!F3431),"x","")</f>
        <v/>
      </c>
      <c r="AD3431" s="79" t="str">
        <f>IF(AND(N3431="1521",MONTH(C3431)='BK-NL'!$M$11),"x","")</f>
        <v/>
      </c>
    </row>
    <row r="3432" spans="1:30" ht="16.5" customHeight="1">
      <c r="A3432" s="318" t="str">
        <f>IF(B3432&lt;&gt;"",IF(AND(B3432='IN-TC'!$S$4,OR(TH!N3432="1111",TH!O3432="1111")),TH!D3432,""),"")</f>
        <v/>
      </c>
      <c r="B3432" s="60" t="str">
        <f t="shared" si="392"/>
        <v/>
      </c>
      <c r="C3432" s="1249"/>
      <c r="D3432" s="61"/>
      <c r="E3432" s="61"/>
      <c r="F3432" s="69"/>
      <c r="G3432" s="64"/>
      <c r="H3432" s="321"/>
      <c r="I3432" s="1193"/>
      <c r="J3432" s="948"/>
      <c r="K3432" s="387"/>
      <c r="L3432" s="394"/>
      <c r="M3432" s="62"/>
      <c r="N3432" s="63"/>
      <c r="O3432" s="63"/>
      <c r="P3432" s="79" t="str">
        <f>IF(AND('331-CT'!$E$7=TH!H3432,OR(N3432="331",O3432="331")),"x","")</f>
        <v/>
      </c>
      <c r="Q3432" s="79" t="str">
        <f>IF(AND(B3432='111'!$L$11,OR($N3432=$Q$7,$O3432=$Q$7)),"x","")</f>
        <v/>
      </c>
      <c r="R3432" s="79" t="str">
        <f>IF(AND($N3432=$Q$7,$B3432&lt;'111'!$L$11),"x","")</f>
        <v/>
      </c>
      <c r="S3432" s="79" t="str">
        <f>IF(AND($O3432=$Q$7,$B3432&lt;'111'!$L$11),"x","")</f>
        <v/>
      </c>
      <c r="T3432" s="79" t="str">
        <f>IF(ISERROR(FIND('112'!$M$9,G3432,1)),"",IF((AND(FIND('112'!$M$9,G3432,1)&gt;=1,B3432='112'!$K$9,OR($N3432='112'!$I$6,$O3432='112'!$I$6))),"x",""))</f>
        <v/>
      </c>
      <c r="U3432" s="79" t="str">
        <f>IF(ISERROR(FIND('112'!$M$9,G3432,1)),"",IF((AND(LEFT(G3432,2)=LEFT('112'!$M$9,2),B3432&lt;'112'!$K$9,$N3432='112'!$I$6)),"x",""))</f>
        <v/>
      </c>
      <c r="V3432" s="79" t="str">
        <f>IF(ISERROR(FIND('112'!$M$9,G3432,1)),"",IF((AND(RIGHT(G3432,2)=RIGHT('112'!$M$9,2),B3432&lt;'112'!$K$9,$O3432='112'!$I$6)),"x",""))</f>
        <v/>
      </c>
      <c r="W3432" s="79" t="str">
        <f>IF(AND('341-CT'!$H$9=H3432,OR(LEFT(N3432,3)=$W$7,LEFT(O3432,3)=$W$7)),"x","")</f>
        <v/>
      </c>
      <c r="X3432" s="79" t="str">
        <f>IF(OR(TH!N3432=TH!$X$7,O3432=TH!$X$7),"x","")</f>
        <v/>
      </c>
      <c r="Y3432" s="79" t="str">
        <f>IF(AND(OR(N3432="131",O3432="131"),H3432='131-CT'!$H$9),"x","")</f>
        <v/>
      </c>
      <c r="Z3432" s="79"/>
      <c r="AA3432" s="79" t="str">
        <f>IF(AND(MONTH(E3432)='IN-NX'!$J$5,'IN-NX'!$D$7=D3432),"x","")</f>
        <v/>
      </c>
      <c r="AB3432" s="79" t="str">
        <f>IF(AND(OR(LEFT(TH!N3432,2)="15",LEFT(TH!O3432,2)="15"),LEFT(TH!O3432,3)&lt;&gt;"111",'152-CT'!$J$8=TH!F3432),"x","")</f>
        <v/>
      </c>
      <c r="AC3432" s="79" t="str">
        <f>IF(AND(OR(LEFT(TH!N3432,2)="15",LEFT(TH!O3432,2)="15"),TK!$E$7=TH!F3432),"x","")</f>
        <v/>
      </c>
      <c r="AD3432" s="79" t="str">
        <f>IF(AND(N3432="1521",MONTH(C3432)='BK-NL'!$M$11),"x","")</f>
        <v/>
      </c>
    </row>
    <row r="3433" spans="1:30" ht="16.5" customHeight="1">
      <c r="A3433" s="318" t="str">
        <f>IF(B3433&lt;&gt;"",IF(AND(B3433='IN-TC'!$S$4,OR(TH!N3433="1111",TH!O3433="1111")),TH!D3433,""),"")</f>
        <v/>
      </c>
      <c r="B3433" s="60" t="str">
        <f t="shared" si="392"/>
        <v/>
      </c>
      <c r="C3433" s="1249"/>
      <c r="D3433" s="301"/>
      <c r="E3433" s="61"/>
      <c r="F3433" s="69"/>
      <c r="G3433" s="64"/>
      <c r="H3433" s="69"/>
      <c r="I3433" s="1193"/>
      <c r="J3433" s="948"/>
      <c r="K3433" s="387"/>
      <c r="L3433" s="394"/>
      <c r="M3433" s="62"/>
      <c r="N3433" s="63"/>
      <c r="O3433" s="63"/>
      <c r="P3433" s="79" t="str">
        <f>IF(AND('331-CT'!$E$7=TH!H3433,OR(N3433="331",O3433="331")),"x","")</f>
        <v/>
      </c>
      <c r="Q3433" s="79" t="str">
        <f>IF(AND(B3433='111'!$L$11,OR($N3433=$Q$7,$O3433=$Q$7)),"x","")</f>
        <v/>
      </c>
      <c r="R3433" s="79" t="str">
        <f>IF(AND($N3433=$Q$7,$B3433&lt;'111'!$L$11),"x","")</f>
        <v/>
      </c>
      <c r="S3433" s="79" t="str">
        <f>IF(AND($O3433=$Q$7,$B3433&lt;'111'!$L$11),"x","")</f>
        <v/>
      </c>
      <c r="T3433" s="79" t="str">
        <f>IF(ISERROR(FIND('112'!$M$9,G3433,1)),"",IF((AND(FIND('112'!$M$9,G3433,1)&gt;=1,B3433='112'!$K$9,OR($N3433='112'!$I$6,$O3433='112'!$I$6))),"x",""))</f>
        <v/>
      </c>
      <c r="U3433" s="79" t="str">
        <f>IF(ISERROR(FIND('112'!$M$9,G3433,1)),"",IF((AND(LEFT(G3433,2)=LEFT('112'!$M$9,2),B3433&lt;'112'!$K$9,$N3433='112'!$I$6)),"x",""))</f>
        <v/>
      </c>
      <c r="V3433" s="79" t="str">
        <f>IF(ISERROR(FIND('112'!$M$9,G3433,1)),"",IF((AND(RIGHT(G3433,2)=RIGHT('112'!$M$9,2),B3433&lt;'112'!$K$9,$O3433='112'!$I$6)),"x",""))</f>
        <v/>
      </c>
      <c r="W3433" s="79" t="str">
        <f>IF(AND('341-CT'!$H$9=H3433,OR(LEFT(N3433,3)=$W$7,LEFT(O3433,3)=$W$7)),"x","")</f>
        <v/>
      </c>
      <c r="X3433" s="79" t="str">
        <f>IF(OR(TH!N3433=TH!$X$7,O3433=TH!$X$7),"x","")</f>
        <v/>
      </c>
      <c r="Y3433" s="79" t="str">
        <f>IF(AND(OR(N3433="131",O3433="131"),H3433='131-CT'!$H$9),"x","")</f>
        <v/>
      </c>
      <c r="Z3433" s="79"/>
      <c r="AA3433" s="79" t="str">
        <f>IF(AND(MONTH(E3433)='IN-NX'!$J$5,'IN-NX'!$D$7=D3433),"x","")</f>
        <v/>
      </c>
      <c r="AB3433" s="79" t="str">
        <f>IF(AND(OR(LEFT(TH!N3433,2)="15",LEFT(TH!O3433,2)="15"),LEFT(TH!O3433,3)&lt;&gt;"111",'152-CT'!$J$8=TH!F3433),"x","")</f>
        <v/>
      </c>
      <c r="AC3433" s="79" t="str">
        <f>IF(AND(OR(LEFT(TH!N3433,2)="15",LEFT(TH!O3433,2)="15"),TK!$E$7=TH!F3433),"x","")</f>
        <v/>
      </c>
      <c r="AD3433" s="79" t="str">
        <f>IF(AND(N3433="1521",MONTH(C3433)='BK-NL'!$M$11),"x","")</f>
        <v/>
      </c>
    </row>
    <row r="3434" spans="1:30" ht="16.5" customHeight="1">
      <c r="A3434" s="318" t="str">
        <f>IF(B3434&lt;&gt;"",IF(AND(B3434='IN-TC'!$S$4,OR(TH!N3434="1111",TH!O3434="1111")),TH!D3434,""),"")</f>
        <v/>
      </c>
      <c r="B3434" s="60" t="str">
        <f t="shared" si="392"/>
        <v/>
      </c>
      <c r="C3434" s="1249"/>
      <c r="D3434" s="61"/>
      <c r="E3434" s="61"/>
      <c r="F3434" s="69"/>
      <c r="G3434" s="64"/>
      <c r="H3434" s="321"/>
      <c r="I3434" s="1193"/>
      <c r="J3434" s="948"/>
      <c r="K3434" s="387"/>
      <c r="L3434" s="394"/>
      <c r="M3434" s="62"/>
      <c r="N3434" s="63"/>
      <c r="O3434" s="63"/>
      <c r="P3434" s="79" t="str">
        <f>IF(AND('331-CT'!$E$7=TH!H3434,OR(N3434="331",O3434="331")),"x","")</f>
        <v/>
      </c>
      <c r="Q3434" s="79" t="str">
        <f>IF(AND(B3434='111'!$L$11,OR($N3434=$Q$7,$O3434=$Q$7)),"x","")</f>
        <v/>
      </c>
      <c r="R3434" s="79" t="str">
        <f>IF(AND($N3434=$Q$7,$B3434&lt;'111'!$L$11),"x","")</f>
        <v/>
      </c>
      <c r="S3434" s="79" t="str">
        <f>IF(AND($O3434=$Q$7,$B3434&lt;'111'!$L$11),"x","")</f>
        <v/>
      </c>
      <c r="T3434" s="79" t="str">
        <f>IF(ISERROR(FIND('112'!$M$9,G3434,1)),"",IF((AND(FIND('112'!$M$9,G3434,1)&gt;=1,B3434='112'!$K$9,OR($N3434='112'!$I$6,$O3434='112'!$I$6))),"x",""))</f>
        <v/>
      </c>
      <c r="U3434" s="79" t="str">
        <f>IF(ISERROR(FIND('112'!$M$9,G3434,1)),"",IF((AND(LEFT(G3434,2)=LEFT('112'!$M$9,2),B3434&lt;'112'!$K$9,$N3434='112'!$I$6)),"x",""))</f>
        <v/>
      </c>
      <c r="V3434" s="79" t="str">
        <f>IF(ISERROR(FIND('112'!$M$9,G3434,1)),"",IF((AND(RIGHT(G3434,2)=RIGHT('112'!$M$9,2),B3434&lt;'112'!$K$9,$O3434='112'!$I$6)),"x",""))</f>
        <v/>
      </c>
      <c r="W3434" s="79" t="str">
        <f>IF(AND('341-CT'!$H$9=H3434,OR(LEFT(N3434,3)=$W$7,LEFT(O3434,3)=$W$7)),"x","")</f>
        <v/>
      </c>
      <c r="X3434" s="79" t="str">
        <f>IF(OR(TH!N3434=TH!$X$7,O3434=TH!$X$7),"x","")</f>
        <v/>
      </c>
      <c r="Y3434" s="79" t="str">
        <f>IF(AND(OR(N3434="131",O3434="131"),H3434='131-CT'!$H$9),"x","")</f>
        <v/>
      </c>
      <c r="Z3434" s="79"/>
      <c r="AA3434" s="79" t="str">
        <f>IF(AND(MONTH(E3434)='IN-NX'!$J$5,'IN-NX'!$D$7=D3434),"x","")</f>
        <v/>
      </c>
      <c r="AB3434" s="79" t="str">
        <f>IF(AND(OR(LEFT(TH!N3434,2)="15",LEFT(TH!O3434,2)="15"),LEFT(TH!O3434,3)&lt;&gt;"111",'152-CT'!$J$8=TH!F3434),"x","")</f>
        <v/>
      </c>
      <c r="AC3434" s="79" t="str">
        <f>IF(AND(OR(LEFT(TH!N3434,2)="15",LEFT(TH!O3434,2)="15"),TK!$E$7=TH!F3434),"x","")</f>
        <v/>
      </c>
      <c r="AD3434" s="79" t="str">
        <f>IF(AND(N3434="1521",MONTH(C3434)='BK-NL'!$M$11),"x","")</f>
        <v/>
      </c>
    </row>
    <row r="3435" spans="1:30" ht="16.5" customHeight="1">
      <c r="A3435" s="318" t="str">
        <f>IF(B3435&lt;&gt;"",IF(AND(B3435='IN-TC'!$S$4,OR(TH!N3435="1111",TH!O3435="1111")),TH!D3435,""),"")</f>
        <v/>
      </c>
      <c r="B3435" s="60" t="str">
        <f t="shared" si="392"/>
        <v/>
      </c>
      <c r="C3435" s="1249"/>
      <c r="D3435" s="61"/>
      <c r="E3435" s="61"/>
      <c r="F3435" s="69"/>
      <c r="G3435" s="64"/>
      <c r="H3435" s="321"/>
      <c r="I3435" s="1193"/>
      <c r="J3435" s="948"/>
      <c r="K3435" s="387"/>
      <c r="L3435" s="394"/>
      <c r="M3435" s="62"/>
      <c r="N3435" s="63"/>
      <c r="O3435" s="63"/>
      <c r="P3435" s="79" t="str">
        <f>IF(AND('331-CT'!$E$7=TH!H3435,OR(N3435="331",O3435="331")),"x","")</f>
        <v/>
      </c>
      <c r="Q3435" s="79" t="str">
        <f>IF(AND(B3435='111'!$L$11,OR($N3435=$Q$7,$O3435=$Q$7)),"x","")</f>
        <v/>
      </c>
      <c r="R3435" s="79" t="str">
        <f>IF(AND($N3435=$Q$7,$B3435&lt;'111'!$L$11),"x","")</f>
        <v/>
      </c>
      <c r="S3435" s="79" t="str">
        <f>IF(AND($O3435=$Q$7,$B3435&lt;'111'!$L$11),"x","")</f>
        <v/>
      </c>
      <c r="T3435" s="79" t="str">
        <f>IF(ISERROR(FIND('112'!$M$9,G3435,1)),"",IF((AND(FIND('112'!$M$9,G3435,1)&gt;=1,B3435='112'!$K$9,OR($N3435='112'!$I$6,$O3435='112'!$I$6))),"x",""))</f>
        <v/>
      </c>
      <c r="U3435" s="79" t="str">
        <f>IF(ISERROR(FIND('112'!$M$9,G3435,1)),"",IF((AND(LEFT(G3435,2)=LEFT('112'!$M$9,2),B3435&lt;'112'!$K$9,$N3435='112'!$I$6)),"x",""))</f>
        <v/>
      </c>
      <c r="V3435" s="79" t="str">
        <f>IF(ISERROR(FIND('112'!$M$9,G3435,1)),"",IF((AND(RIGHT(G3435,2)=RIGHT('112'!$M$9,2),B3435&lt;'112'!$K$9,$O3435='112'!$I$6)),"x",""))</f>
        <v/>
      </c>
      <c r="W3435" s="79" t="str">
        <f>IF(AND('341-CT'!$H$9=H3435,OR(LEFT(N3435,3)=$W$7,LEFT(O3435,3)=$W$7)),"x","")</f>
        <v/>
      </c>
      <c r="X3435" s="79" t="str">
        <f>IF(OR(TH!N3435=TH!$X$7,O3435=TH!$X$7),"x","")</f>
        <v/>
      </c>
      <c r="Y3435" s="79" t="str">
        <f>IF(AND(OR(N3435="131",O3435="131"),H3435='131-CT'!$H$9),"x","")</f>
        <v/>
      </c>
      <c r="Z3435" s="79"/>
      <c r="AA3435" s="79" t="str">
        <f>IF(AND(MONTH(E3435)='IN-NX'!$J$5,'IN-NX'!$D$7=D3435),"x","")</f>
        <v/>
      </c>
      <c r="AB3435" s="79" t="str">
        <f>IF(AND(OR(LEFT(TH!N3435,2)="15",LEFT(TH!O3435,2)="15"),LEFT(TH!O3435,3)&lt;&gt;"111",'152-CT'!$J$8=TH!F3435),"x","")</f>
        <v/>
      </c>
      <c r="AC3435" s="79" t="str">
        <f>IF(AND(OR(LEFT(TH!N3435,2)="15",LEFT(TH!O3435,2)="15"),TK!$E$7=TH!F3435),"x","")</f>
        <v/>
      </c>
      <c r="AD3435" s="79" t="str">
        <f>IF(AND(N3435="1521",MONTH(C3435)='BK-NL'!$M$11),"x","")</f>
        <v/>
      </c>
    </row>
    <row r="3436" spans="1:30" ht="16.5" customHeight="1">
      <c r="A3436" s="318" t="str">
        <f>IF(B3436&lt;&gt;"",IF(AND(B3436='IN-TC'!$S$4,OR(TH!N3436="1111",TH!O3436="1111")),TH!D3436,""),"")</f>
        <v/>
      </c>
      <c r="B3436" s="60" t="str">
        <f t="shared" si="392"/>
        <v/>
      </c>
      <c r="C3436" s="1249"/>
      <c r="D3436" s="61"/>
      <c r="E3436" s="61"/>
      <c r="F3436" s="69"/>
      <c r="G3436" s="64"/>
      <c r="H3436" s="321"/>
      <c r="I3436" s="1193"/>
      <c r="J3436" s="948"/>
      <c r="K3436" s="387"/>
      <c r="L3436" s="394"/>
      <c r="M3436" s="62"/>
      <c r="N3436" s="63"/>
      <c r="O3436" s="63"/>
      <c r="P3436" s="79" t="str">
        <f>IF(AND('331-CT'!$E$7=TH!H3436,OR(N3436="331",O3436="331")),"x","")</f>
        <v/>
      </c>
      <c r="Q3436" s="79" t="str">
        <f>IF(AND(B3436='111'!$L$11,OR($N3436=$Q$7,$O3436=$Q$7)),"x","")</f>
        <v/>
      </c>
      <c r="R3436" s="79" t="str">
        <f>IF(AND($N3436=$Q$7,$B3436&lt;'111'!$L$11),"x","")</f>
        <v/>
      </c>
      <c r="S3436" s="79" t="str">
        <f>IF(AND($O3436=$Q$7,$B3436&lt;'111'!$L$11),"x","")</f>
        <v/>
      </c>
      <c r="T3436" s="79" t="str">
        <f>IF(ISERROR(FIND('112'!$M$9,G3436,1)),"",IF((AND(FIND('112'!$M$9,G3436,1)&gt;=1,B3436='112'!$K$9,OR($N3436='112'!$I$6,$O3436='112'!$I$6))),"x",""))</f>
        <v/>
      </c>
      <c r="U3436" s="79" t="str">
        <f>IF(ISERROR(FIND('112'!$M$9,G3436,1)),"",IF((AND(LEFT(G3436,2)=LEFT('112'!$M$9,2),B3436&lt;'112'!$K$9,$N3436='112'!$I$6)),"x",""))</f>
        <v/>
      </c>
      <c r="V3436" s="79" t="str">
        <f>IF(ISERROR(FIND('112'!$M$9,G3436,1)),"",IF((AND(RIGHT(G3436,2)=RIGHT('112'!$M$9,2),B3436&lt;'112'!$K$9,$O3436='112'!$I$6)),"x",""))</f>
        <v/>
      </c>
      <c r="W3436" s="79" t="str">
        <f>IF(AND('341-CT'!$H$9=H3436,OR(LEFT(N3436,3)=$W$7,LEFT(O3436,3)=$W$7)),"x","")</f>
        <v/>
      </c>
      <c r="X3436" s="79" t="str">
        <f>IF(OR(TH!N3436=TH!$X$7,O3436=TH!$X$7),"x","")</f>
        <v/>
      </c>
      <c r="Y3436" s="79" t="str">
        <f>IF(AND(OR(N3436="131",O3436="131"),H3436='131-CT'!$H$9),"x","")</f>
        <v/>
      </c>
      <c r="Z3436" s="79"/>
      <c r="AA3436" s="79" t="str">
        <f>IF(AND(MONTH(E3436)='IN-NX'!$J$5,'IN-NX'!$D$7=D3436),"x","")</f>
        <v/>
      </c>
      <c r="AB3436" s="79" t="str">
        <f>IF(AND(OR(LEFT(TH!N3436,2)="15",LEFT(TH!O3436,2)="15"),LEFT(TH!O3436,3)&lt;&gt;"111",'152-CT'!$J$8=TH!F3436),"x","")</f>
        <v/>
      </c>
      <c r="AC3436" s="79" t="str">
        <f>IF(AND(OR(LEFT(TH!N3436,2)="15",LEFT(TH!O3436,2)="15"),TK!$E$7=TH!F3436),"x","")</f>
        <v/>
      </c>
      <c r="AD3436" s="79" t="str">
        <f>IF(AND(N3436="1521",MONTH(C3436)='BK-NL'!$M$11),"x","")</f>
        <v/>
      </c>
    </row>
    <row r="3437" spans="1:30" ht="16.5" customHeight="1">
      <c r="A3437" s="318" t="str">
        <f>IF(B3437&lt;&gt;"",IF(AND(B3437='IN-TC'!$S$4,OR(TH!N3437="1111",TH!O3437="1111")),TH!D3437,""),"")</f>
        <v/>
      </c>
      <c r="B3437" s="60" t="str">
        <f t="shared" si="392"/>
        <v/>
      </c>
      <c r="C3437" s="1249"/>
      <c r="D3437" s="301"/>
      <c r="E3437" s="61"/>
      <c r="F3437" s="69"/>
      <c r="G3437" s="64"/>
      <c r="H3437" s="69"/>
      <c r="I3437" s="1193"/>
      <c r="J3437" s="948"/>
      <c r="K3437" s="387"/>
      <c r="L3437" s="394"/>
      <c r="M3437" s="62"/>
      <c r="N3437" s="63"/>
      <c r="O3437" s="63"/>
      <c r="P3437" s="79" t="str">
        <f>IF(AND('331-CT'!$E$7=TH!H3437,OR(N3437="331",O3437="331")),"x","")</f>
        <v/>
      </c>
      <c r="Q3437" s="79" t="str">
        <f>IF(AND(B3437='111'!$L$11,OR($N3437=$Q$7,$O3437=$Q$7)),"x","")</f>
        <v/>
      </c>
      <c r="R3437" s="79" t="str">
        <f>IF(AND($N3437=$Q$7,$B3437&lt;'111'!$L$11),"x","")</f>
        <v/>
      </c>
      <c r="S3437" s="79" t="str">
        <f>IF(AND($O3437=$Q$7,$B3437&lt;'111'!$L$11),"x","")</f>
        <v/>
      </c>
      <c r="T3437" s="79" t="str">
        <f>IF(ISERROR(FIND('112'!$M$9,G3437,1)),"",IF((AND(FIND('112'!$M$9,G3437,1)&gt;=1,B3437='112'!$K$9,OR($N3437='112'!$I$6,$O3437='112'!$I$6))),"x",""))</f>
        <v/>
      </c>
      <c r="U3437" s="79" t="str">
        <f>IF(ISERROR(FIND('112'!$M$9,G3437,1)),"",IF((AND(LEFT(G3437,2)=LEFT('112'!$M$9,2),B3437&lt;'112'!$K$9,$N3437='112'!$I$6)),"x",""))</f>
        <v/>
      </c>
      <c r="V3437" s="79" t="str">
        <f>IF(ISERROR(FIND('112'!$M$9,G3437,1)),"",IF((AND(RIGHT(G3437,2)=RIGHT('112'!$M$9,2),B3437&lt;'112'!$K$9,$O3437='112'!$I$6)),"x",""))</f>
        <v/>
      </c>
      <c r="W3437" s="79" t="str">
        <f>IF(AND('341-CT'!$H$9=H3437,OR(LEFT(N3437,3)=$W$7,LEFT(O3437,3)=$W$7)),"x","")</f>
        <v/>
      </c>
      <c r="X3437" s="79" t="str">
        <f>IF(OR(TH!N3437=TH!$X$7,O3437=TH!$X$7),"x","")</f>
        <v/>
      </c>
      <c r="Y3437" s="79" t="str">
        <f>IF(AND(OR(N3437="131",O3437="131"),H3437='131-CT'!$H$9),"x","")</f>
        <v/>
      </c>
      <c r="Z3437" s="79"/>
      <c r="AA3437" s="79" t="str">
        <f>IF(AND(MONTH(E3437)='IN-NX'!$J$5,'IN-NX'!$D$7=D3437),"x","")</f>
        <v/>
      </c>
      <c r="AB3437" s="79" t="str">
        <f>IF(AND(OR(LEFT(TH!N3437,2)="15",LEFT(TH!O3437,2)="15"),LEFT(TH!O3437,3)&lt;&gt;"111",'152-CT'!$J$8=TH!F3437),"x","")</f>
        <v/>
      </c>
      <c r="AC3437" s="79" t="str">
        <f>IF(AND(OR(LEFT(TH!N3437,2)="15",LEFT(TH!O3437,2)="15"),TK!$E$7=TH!F3437),"x","")</f>
        <v/>
      </c>
      <c r="AD3437" s="79" t="str">
        <f>IF(AND(N3437="1521",MONTH(C3437)='BK-NL'!$M$11),"x","")</f>
        <v/>
      </c>
    </row>
    <row r="3438" spans="1:30" ht="16.5" customHeight="1">
      <c r="A3438" s="318" t="str">
        <f>IF(B3438&lt;&gt;"",IF(AND(B3438='IN-TC'!$S$4,OR(TH!N3438="1111",TH!O3438="1111")),TH!D3438,""),"")</f>
        <v/>
      </c>
      <c r="B3438" s="60" t="str">
        <f t="shared" si="392"/>
        <v/>
      </c>
      <c r="C3438" s="1249"/>
      <c r="D3438" s="61"/>
      <c r="E3438" s="61"/>
      <c r="F3438" s="69"/>
      <c r="G3438" s="64"/>
      <c r="H3438" s="321"/>
      <c r="I3438" s="1193"/>
      <c r="J3438" s="948"/>
      <c r="K3438" s="387"/>
      <c r="L3438" s="394"/>
      <c r="M3438" s="62"/>
      <c r="N3438" s="63"/>
      <c r="O3438" s="63"/>
      <c r="P3438" s="79" t="str">
        <f>IF(AND('331-CT'!$E$7=TH!H3438,OR(N3438="331",O3438="331")),"x","")</f>
        <v/>
      </c>
      <c r="Q3438" s="79" t="str">
        <f>IF(AND(B3438='111'!$L$11,OR($N3438=$Q$7,$O3438=$Q$7)),"x","")</f>
        <v/>
      </c>
      <c r="R3438" s="79" t="str">
        <f>IF(AND($N3438=$Q$7,$B3438&lt;'111'!$L$11),"x","")</f>
        <v/>
      </c>
      <c r="S3438" s="79" t="str">
        <f>IF(AND($O3438=$Q$7,$B3438&lt;'111'!$L$11),"x","")</f>
        <v/>
      </c>
      <c r="T3438" s="79" t="str">
        <f>IF(ISERROR(FIND('112'!$M$9,G3438,1)),"",IF((AND(FIND('112'!$M$9,G3438,1)&gt;=1,B3438='112'!$K$9,OR($N3438='112'!$I$6,$O3438='112'!$I$6))),"x",""))</f>
        <v/>
      </c>
      <c r="U3438" s="79" t="str">
        <f>IF(ISERROR(FIND('112'!$M$9,G3438,1)),"",IF((AND(LEFT(G3438,2)=LEFT('112'!$M$9,2),B3438&lt;'112'!$K$9,$N3438='112'!$I$6)),"x",""))</f>
        <v/>
      </c>
      <c r="V3438" s="79" t="str">
        <f>IF(ISERROR(FIND('112'!$M$9,G3438,1)),"",IF((AND(RIGHT(G3438,2)=RIGHT('112'!$M$9,2),B3438&lt;'112'!$K$9,$O3438='112'!$I$6)),"x",""))</f>
        <v/>
      </c>
      <c r="W3438" s="79" t="str">
        <f>IF(AND('341-CT'!$H$9=H3438,OR(LEFT(N3438,3)=$W$7,LEFT(O3438,3)=$W$7)),"x","")</f>
        <v/>
      </c>
      <c r="X3438" s="79" t="str">
        <f>IF(OR(TH!N3438=TH!$X$7,O3438=TH!$X$7),"x","")</f>
        <v/>
      </c>
      <c r="Y3438" s="79" t="str">
        <f>IF(AND(OR(N3438="131",O3438="131"),H3438='131-CT'!$H$9),"x","")</f>
        <v/>
      </c>
      <c r="Z3438" s="79"/>
      <c r="AA3438" s="79" t="str">
        <f>IF(AND(MONTH(E3438)='IN-NX'!$J$5,'IN-NX'!$D$7=D3438),"x","")</f>
        <v/>
      </c>
      <c r="AB3438" s="79" t="str">
        <f>IF(AND(OR(LEFT(TH!N3438,2)="15",LEFT(TH!O3438,2)="15"),LEFT(TH!O3438,3)&lt;&gt;"111",'152-CT'!$J$8=TH!F3438),"x","")</f>
        <v/>
      </c>
      <c r="AC3438" s="79" t="str">
        <f>IF(AND(OR(LEFT(TH!N3438,2)="15",LEFT(TH!O3438,2)="15"),TK!$E$7=TH!F3438),"x","")</f>
        <v/>
      </c>
      <c r="AD3438" s="79" t="str">
        <f>IF(AND(N3438="1521",MONTH(C3438)='BK-NL'!$M$11),"x","")</f>
        <v/>
      </c>
    </row>
    <row r="3439" spans="1:30" ht="16.5" customHeight="1">
      <c r="A3439" s="318" t="str">
        <f>IF(B3439&lt;&gt;"",IF(AND(B3439='IN-TC'!$S$4,OR(TH!N3439="1111",TH!O3439="1111")),TH!D3439,""),"")</f>
        <v/>
      </c>
      <c r="B3439" s="60" t="str">
        <f t="shared" si="392"/>
        <v/>
      </c>
      <c r="C3439" s="1249"/>
      <c r="D3439" s="61"/>
      <c r="E3439" s="61"/>
      <c r="F3439" s="69"/>
      <c r="G3439" s="64"/>
      <c r="H3439" s="69"/>
      <c r="I3439" s="387"/>
      <c r="J3439" s="394"/>
      <c r="K3439" s="387"/>
      <c r="L3439" s="394"/>
      <c r="M3439" s="62"/>
      <c r="N3439" s="63"/>
      <c r="O3439" s="63"/>
      <c r="P3439" s="79" t="str">
        <f>IF(AND('331-CT'!$E$7=TH!H3439,OR(N3439="331",O3439="331")),"x","")</f>
        <v/>
      </c>
      <c r="Q3439" s="79" t="str">
        <f>IF(AND(B3439='111'!$L$11,OR($N3439=$Q$7,$O3439=$Q$7)),"x","")</f>
        <v/>
      </c>
      <c r="R3439" s="79" t="str">
        <f>IF(AND($N3439=$Q$7,$B3439&lt;'111'!$L$11),"x","")</f>
        <v/>
      </c>
      <c r="S3439" s="79" t="str">
        <f>IF(AND($O3439=$Q$7,$B3439&lt;'111'!$L$11),"x","")</f>
        <v/>
      </c>
      <c r="T3439" s="79" t="str">
        <f>IF(ISERROR(FIND('112'!$M$9,G3439,1)),"",IF((AND(FIND('112'!$M$9,G3439,1)&gt;=1,B3439='112'!$K$9,OR($N3439='112'!$I$6,$O3439='112'!$I$6))),"x",""))</f>
        <v/>
      </c>
      <c r="U3439" s="79" t="str">
        <f>IF(ISERROR(FIND('112'!$M$9,G3439,1)),"",IF((AND(LEFT(G3439,2)=LEFT('112'!$M$9,2),B3439&lt;'112'!$K$9,$N3439='112'!$I$6)),"x",""))</f>
        <v/>
      </c>
      <c r="V3439" s="79" t="str">
        <f>IF(ISERROR(FIND('112'!$M$9,G3439,1)),"",IF((AND(RIGHT(G3439,2)=RIGHT('112'!$M$9,2),B3439&lt;'112'!$K$9,$O3439='112'!$I$6)),"x",""))</f>
        <v/>
      </c>
      <c r="W3439" s="79" t="str">
        <f>IF(AND('341-CT'!$H$9=H3439,OR(LEFT(N3439,3)=$W$7,LEFT(O3439,3)=$W$7)),"x","")</f>
        <v/>
      </c>
      <c r="X3439" s="79" t="str">
        <f>IF(OR(TH!N3439=TH!$X$7,O3439=TH!$X$7),"x","")</f>
        <v/>
      </c>
      <c r="Y3439" s="79" t="str">
        <f>IF(AND(OR(N3439="131",O3439="131"),H3439='131-CT'!$H$9),"x","")</f>
        <v/>
      </c>
      <c r="Z3439" s="79"/>
      <c r="AA3439" s="79" t="str">
        <f>IF(AND(MONTH(E3439)='IN-NX'!$J$5,'IN-NX'!$D$7=D3439),"x","")</f>
        <v/>
      </c>
      <c r="AB3439" s="79" t="str">
        <f>IF(AND(OR(LEFT(TH!N3439,2)="15",LEFT(TH!O3439,2)="15"),LEFT(TH!O3439,3)&lt;&gt;"111",'152-CT'!$J$8=TH!F3439),"x","")</f>
        <v/>
      </c>
      <c r="AC3439" s="79" t="str">
        <f>IF(AND(OR(LEFT(TH!N3439,2)="15",LEFT(TH!O3439,2)="15"),TK!$E$7=TH!F3439),"x","")</f>
        <v/>
      </c>
      <c r="AD3439" s="79" t="str">
        <f>IF(AND(N3439="1521",MONTH(C3439)='BK-NL'!$M$11),"x","")</f>
        <v/>
      </c>
    </row>
    <row r="3440" spans="1:30" ht="16.5" customHeight="1">
      <c r="A3440" s="318" t="str">
        <f>IF(B3440&lt;&gt;"",IF(AND(B3440='IN-TC'!$S$4,OR(TH!N3440="1111",TH!O3440="1111")),TH!D3440,""),"")</f>
        <v/>
      </c>
      <c r="B3440" s="60" t="str">
        <f t="shared" si="392"/>
        <v/>
      </c>
      <c r="C3440" s="1249"/>
      <c r="D3440" s="61"/>
      <c r="E3440" s="61"/>
      <c r="F3440" s="69"/>
      <c r="G3440" s="64"/>
      <c r="H3440" s="69"/>
      <c r="I3440" s="387"/>
      <c r="J3440" s="394"/>
      <c r="K3440" s="387"/>
      <c r="L3440" s="394"/>
      <c r="M3440" s="62"/>
      <c r="N3440" s="63"/>
      <c r="O3440" s="63"/>
      <c r="P3440" s="79" t="str">
        <f>IF(AND('331-CT'!$E$7=TH!H3440,OR(N3440="331",O3440="331")),"x","")</f>
        <v/>
      </c>
      <c r="Q3440" s="79" t="str">
        <f>IF(AND(B3440='111'!$L$11,OR($N3440=$Q$7,$O3440=$Q$7)),"x","")</f>
        <v/>
      </c>
      <c r="R3440" s="79" t="str">
        <f>IF(AND($N3440=$Q$7,$B3440&lt;'111'!$L$11),"x","")</f>
        <v/>
      </c>
      <c r="S3440" s="79" t="str">
        <f>IF(AND($O3440=$Q$7,$B3440&lt;'111'!$L$11),"x","")</f>
        <v/>
      </c>
      <c r="T3440" s="79" t="str">
        <f>IF(ISERROR(FIND('112'!$M$9,G3440,1)),"",IF((AND(FIND('112'!$M$9,G3440,1)&gt;=1,B3440='112'!$K$9,OR($N3440='112'!$I$6,$O3440='112'!$I$6))),"x",""))</f>
        <v/>
      </c>
      <c r="U3440" s="79" t="str">
        <f>IF(ISERROR(FIND('112'!$M$9,G3440,1)),"",IF((AND(LEFT(G3440,2)=LEFT('112'!$M$9,2),B3440&lt;'112'!$K$9,$N3440='112'!$I$6)),"x",""))</f>
        <v/>
      </c>
      <c r="V3440" s="79" t="str">
        <f>IF(ISERROR(FIND('112'!$M$9,G3440,1)),"",IF((AND(RIGHT(G3440,2)=RIGHT('112'!$M$9,2),B3440&lt;'112'!$K$9,$O3440='112'!$I$6)),"x",""))</f>
        <v/>
      </c>
      <c r="W3440" s="79" t="str">
        <f>IF(AND('341-CT'!$H$9=H3440,OR(LEFT(N3440,3)=$W$7,LEFT(O3440,3)=$W$7)),"x","")</f>
        <v/>
      </c>
      <c r="X3440" s="79" t="str">
        <f>IF(OR(TH!N3440=TH!$X$7,O3440=TH!$X$7),"x","")</f>
        <v/>
      </c>
      <c r="Y3440" s="79" t="str">
        <f>IF(AND(OR(N3440="131",O3440="131"),H3440='131-CT'!$H$9),"x","")</f>
        <v/>
      </c>
      <c r="Z3440" s="79"/>
      <c r="AA3440" s="79" t="str">
        <f>IF(AND(MONTH(E3440)='IN-NX'!$J$5,'IN-NX'!$D$7=D3440),"x","")</f>
        <v/>
      </c>
      <c r="AB3440" s="79" t="str">
        <f>IF(AND(OR(LEFT(TH!N3440,2)="15",LEFT(TH!O3440,2)="15"),LEFT(TH!O3440,3)&lt;&gt;"111",'152-CT'!$J$8=TH!F3440),"x","")</f>
        <v/>
      </c>
      <c r="AC3440" s="79" t="str">
        <f>IF(AND(OR(LEFT(TH!N3440,2)="15",LEFT(TH!O3440,2)="15"),TK!$E$7=TH!F3440),"x","")</f>
        <v/>
      </c>
      <c r="AD3440" s="79" t="str">
        <f>IF(AND(N3440="1521",MONTH(C3440)='BK-NL'!$M$11),"x","")</f>
        <v/>
      </c>
    </row>
    <row r="3441" spans="1:30" ht="16.5" customHeight="1">
      <c r="A3441" s="318" t="str">
        <f>IF(B3441&lt;&gt;"",IF(AND(B3441='IN-TC'!$S$4,OR(TH!N3441="1111",TH!O3441="1111")),TH!D3441,""),"")</f>
        <v/>
      </c>
      <c r="B3441" s="60" t="str">
        <f t="shared" si="392"/>
        <v/>
      </c>
      <c r="C3441" s="1249"/>
      <c r="D3441" s="61"/>
      <c r="E3441" s="61"/>
      <c r="F3441" s="69"/>
      <c r="G3441" s="64"/>
      <c r="H3441" s="69"/>
      <c r="I3441" s="387"/>
      <c r="J3441" s="394"/>
      <c r="K3441" s="387"/>
      <c r="L3441" s="394"/>
      <c r="M3441" s="62"/>
      <c r="N3441" s="63"/>
      <c r="O3441" s="63"/>
      <c r="P3441" s="79" t="str">
        <f>IF(AND('331-CT'!$E$7=TH!H3441,OR(N3441="331",O3441="331")),"x","")</f>
        <v/>
      </c>
      <c r="Q3441" s="79" t="str">
        <f>IF(AND(B3441='111'!$L$11,OR($N3441=$Q$7,$O3441=$Q$7)),"x","")</f>
        <v/>
      </c>
      <c r="R3441" s="79" t="str">
        <f>IF(AND($N3441=$Q$7,$B3441&lt;'111'!$L$11),"x","")</f>
        <v/>
      </c>
      <c r="S3441" s="79" t="str">
        <f>IF(AND($O3441=$Q$7,$B3441&lt;'111'!$L$11),"x","")</f>
        <v/>
      </c>
      <c r="T3441" s="79" t="str">
        <f>IF(ISERROR(FIND('112'!$M$9,G3441,1)),"",IF((AND(FIND('112'!$M$9,G3441,1)&gt;=1,B3441='112'!$K$9,OR($N3441='112'!$I$6,$O3441='112'!$I$6))),"x",""))</f>
        <v/>
      </c>
      <c r="U3441" s="79" t="str">
        <f>IF(ISERROR(FIND('112'!$M$9,G3441,1)),"",IF((AND(LEFT(G3441,2)=LEFT('112'!$M$9,2),B3441&lt;'112'!$K$9,$N3441='112'!$I$6)),"x",""))</f>
        <v/>
      </c>
      <c r="V3441" s="79" t="str">
        <f>IF(ISERROR(FIND('112'!$M$9,G3441,1)),"",IF((AND(RIGHT(G3441,2)=RIGHT('112'!$M$9,2),B3441&lt;'112'!$K$9,$O3441='112'!$I$6)),"x",""))</f>
        <v/>
      </c>
      <c r="W3441" s="79" t="str">
        <f>IF(AND('341-CT'!$H$9=H3441,OR(LEFT(N3441,3)=$W$7,LEFT(O3441,3)=$W$7)),"x","")</f>
        <v/>
      </c>
      <c r="X3441" s="79" t="str">
        <f>IF(OR(TH!N3441=TH!$X$7,O3441=TH!$X$7),"x","")</f>
        <v/>
      </c>
      <c r="Y3441" s="79" t="str">
        <f>IF(AND(OR(N3441="131",O3441="131"),H3441='131-CT'!$H$9),"x","")</f>
        <v/>
      </c>
      <c r="Z3441" s="79"/>
      <c r="AA3441" s="79" t="str">
        <f>IF(AND(MONTH(E3441)='IN-NX'!$J$5,'IN-NX'!$D$7=D3441),"x","")</f>
        <v/>
      </c>
      <c r="AB3441" s="79" t="str">
        <f>IF(AND(OR(LEFT(TH!N3441,2)="15",LEFT(TH!O3441,2)="15"),LEFT(TH!O3441,3)&lt;&gt;"111",'152-CT'!$J$8=TH!F3441),"x","")</f>
        <v/>
      </c>
      <c r="AC3441" s="79" t="str">
        <f>IF(AND(OR(LEFT(TH!N3441,2)="15",LEFT(TH!O3441,2)="15"),TK!$E$7=TH!F3441),"x","")</f>
        <v/>
      </c>
      <c r="AD3441" s="79" t="str">
        <f>IF(AND(N3441="1521",MONTH(C3441)='BK-NL'!$M$11),"x","")</f>
        <v/>
      </c>
    </row>
    <row r="3442" spans="1:30" ht="16.5" customHeight="1">
      <c r="A3442" s="318" t="str">
        <f>IF(B3442&lt;&gt;"",IF(AND(B3442='IN-TC'!$S$4,OR(TH!N3442="1111",TH!O3442="1111")),TH!D3442,""),"")</f>
        <v/>
      </c>
      <c r="B3442" s="60" t="str">
        <f t="shared" si="392"/>
        <v/>
      </c>
      <c r="C3442" s="1249"/>
      <c r="D3442" s="61"/>
      <c r="E3442" s="61"/>
      <c r="F3442" s="69"/>
      <c r="G3442" s="64"/>
      <c r="H3442" s="69"/>
      <c r="I3442" s="387"/>
      <c r="J3442" s="394"/>
      <c r="K3442" s="387"/>
      <c r="L3442" s="394"/>
      <c r="M3442" s="62"/>
      <c r="N3442" s="63"/>
      <c r="O3442" s="63"/>
      <c r="P3442" s="79" t="str">
        <f>IF(AND('331-CT'!$E$7=TH!H3442,OR(N3442="331",O3442="331")),"x","")</f>
        <v/>
      </c>
      <c r="Q3442" s="79" t="str">
        <f>IF(AND(B3442='111'!$L$11,OR($N3442=$Q$7,$O3442=$Q$7)),"x","")</f>
        <v/>
      </c>
      <c r="R3442" s="79" t="str">
        <f>IF(AND($N3442=$Q$7,$B3442&lt;'111'!$L$11),"x","")</f>
        <v/>
      </c>
      <c r="S3442" s="79" t="str">
        <f>IF(AND($O3442=$Q$7,$B3442&lt;'111'!$L$11),"x","")</f>
        <v/>
      </c>
      <c r="T3442" s="79" t="str">
        <f>IF(ISERROR(FIND('112'!$M$9,G3442,1)),"",IF((AND(FIND('112'!$M$9,G3442,1)&gt;=1,B3442='112'!$K$9,OR($N3442='112'!$I$6,$O3442='112'!$I$6))),"x",""))</f>
        <v/>
      </c>
      <c r="U3442" s="79" t="str">
        <f>IF(ISERROR(FIND('112'!$M$9,G3442,1)),"",IF((AND(LEFT(G3442,2)=LEFT('112'!$M$9,2),B3442&lt;'112'!$K$9,$N3442='112'!$I$6)),"x",""))</f>
        <v/>
      </c>
      <c r="V3442" s="79" t="str">
        <f>IF(ISERROR(FIND('112'!$M$9,G3442,1)),"",IF((AND(RIGHT(G3442,2)=RIGHT('112'!$M$9,2),B3442&lt;'112'!$K$9,$O3442='112'!$I$6)),"x",""))</f>
        <v/>
      </c>
      <c r="W3442" s="79" t="str">
        <f>IF(AND('341-CT'!$H$9=H3442,OR(LEFT(N3442,3)=$W$7,LEFT(O3442,3)=$W$7)),"x","")</f>
        <v/>
      </c>
      <c r="X3442" s="79" t="str">
        <f>IF(OR(TH!N3442=TH!$X$7,O3442=TH!$X$7),"x","")</f>
        <v/>
      </c>
      <c r="Y3442" s="79" t="str">
        <f>IF(AND(OR(N3442="131",O3442="131"),H3442='131-CT'!$H$9),"x","")</f>
        <v/>
      </c>
      <c r="Z3442" s="79"/>
      <c r="AA3442" s="79" t="str">
        <f>IF(AND(MONTH(E3442)='IN-NX'!$J$5,'IN-NX'!$D$7=D3442),"x","")</f>
        <v/>
      </c>
      <c r="AB3442" s="79" t="str">
        <f>IF(AND(OR(LEFT(TH!N3442,2)="15",LEFT(TH!O3442,2)="15"),LEFT(TH!O3442,3)&lt;&gt;"111",'152-CT'!$J$8=TH!F3442),"x","")</f>
        <v/>
      </c>
      <c r="AC3442" s="79" t="str">
        <f>IF(AND(OR(LEFT(TH!N3442,2)="15",LEFT(TH!O3442,2)="15"),TK!$E$7=TH!F3442),"x","")</f>
        <v/>
      </c>
      <c r="AD3442" s="79" t="str">
        <f>IF(AND(N3442="1521",MONTH(C3442)='BK-NL'!$M$11),"x","")</f>
        <v/>
      </c>
    </row>
    <row r="3443" spans="1:30" ht="16.5" customHeight="1">
      <c r="A3443" s="318" t="str">
        <f>IF(B3443&lt;&gt;"",IF(AND(B3443='IN-TC'!$S$4,OR(TH!N3443="1111",TH!O3443="1111")),TH!D3443,""),"")</f>
        <v/>
      </c>
      <c r="B3443" s="60" t="str">
        <f t="shared" si="392"/>
        <v/>
      </c>
      <c r="C3443" s="1249"/>
      <c r="D3443" s="61"/>
      <c r="E3443" s="61"/>
      <c r="F3443" s="69"/>
      <c r="G3443" s="64"/>
      <c r="H3443" s="69"/>
      <c r="I3443" s="387"/>
      <c r="J3443" s="394"/>
      <c r="K3443" s="387"/>
      <c r="L3443" s="394"/>
      <c r="M3443" s="62"/>
      <c r="N3443" s="63"/>
      <c r="O3443" s="63"/>
      <c r="P3443" s="79" t="str">
        <f>IF(AND('331-CT'!$E$7=TH!H3443,OR(N3443="331",O3443="331")),"x","")</f>
        <v/>
      </c>
      <c r="Q3443" s="79" t="str">
        <f>IF(AND(B3443='111'!$L$11,OR($N3443=$Q$7,$O3443=$Q$7)),"x","")</f>
        <v/>
      </c>
      <c r="R3443" s="79" t="str">
        <f>IF(AND($N3443=$Q$7,$B3443&lt;'111'!$L$11),"x","")</f>
        <v/>
      </c>
      <c r="S3443" s="79" t="str">
        <f>IF(AND($O3443=$Q$7,$B3443&lt;'111'!$L$11),"x","")</f>
        <v/>
      </c>
      <c r="T3443" s="79" t="str">
        <f>IF(ISERROR(FIND('112'!$M$9,G3443,1)),"",IF((AND(FIND('112'!$M$9,G3443,1)&gt;=1,B3443='112'!$K$9,OR($N3443='112'!$I$6,$O3443='112'!$I$6))),"x",""))</f>
        <v/>
      </c>
      <c r="U3443" s="79" t="str">
        <f>IF(ISERROR(FIND('112'!$M$9,G3443,1)),"",IF((AND(LEFT(G3443,2)=LEFT('112'!$M$9,2),B3443&lt;'112'!$K$9,$N3443='112'!$I$6)),"x",""))</f>
        <v/>
      </c>
      <c r="V3443" s="79" t="str">
        <f>IF(ISERROR(FIND('112'!$M$9,G3443,1)),"",IF((AND(RIGHT(G3443,2)=RIGHT('112'!$M$9,2),B3443&lt;'112'!$K$9,$O3443='112'!$I$6)),"x",""))</f>
        <v/>
      </c>
      <c r="W3443" s="79" t="str">
        <f>IF(AND('341-CT'!$H$9=H3443,OR(LEFT(N3443,3)=$W$7,LEFT(O3443,3)=$W$7)),"x","")</f>
        <v/>
      </c>
      <c r="X3443" s="79" t="str">
        <f>IF(OR(TH!N3443=TH!$X$7,O3443=TH!$X$7),"x","")</f>
        <v/>
      </c>
      <c r="Y3443" s="79" t="str">
        <f>IF(AND(OR(N3443="131",O3443="131"),H3443='131-CT'!$H$9),"x","")</f>
        <v/>
      </c>
      <c r="Z3443" s="79"/>
      <c r="AA3443" s="79" t="str">
        <f>IF(AND(MONTH(E3443)='IN-NX'!$J$5,'IN-NX'!$D$7=D3443),"x","")</f>
        <v/>
      </c>
      <c r="AB3443" s="79" t="str">
        <f>IF(AND(OR(LEFT(TH!N3443,2)="15",LEFT(TH!O3443,2)="15"),LEFT(TH!O3443,3)&lt;&gt;"111",'152-CT'!$J$8=TH!F3443),"x","")</f>
        <v/>
      </c>
      <c r="AC3443" s="79" t="str">
        <f>IF(AND(OR(LEFT(TH!N3443,2)="15",LEFT(TH!O3443,2)="15"),TK!$E$7=TH!F3443),"x","")</f>
        <v/>
      </c>
      <c r="AD3443" s="79" t="str">
        <f>IF(AND(N3443="1521",MONTH(C3443)='BK-NL'!$M$11),"x","")</f>
        <v/>
      </c>
    </row>
    <row r="3444" spans="1:30" ht="16.5" customHeight="1">
      <c r="A3444" s="318" t="str">
        <f>IF(B3444&lt;&gt;"",IF(AND(B3444='IN-TC'!$S$4,OR(TH!N3444="1111",TH!O3444="1111")),TH!D3444,""),"")</f>
        <v/>
      </c>
      <c r="B3444" s="60" t="str">
        <f t="shared" ref="B3444:B3445" si="393">IF(C3444&lt;&gt;"",MONTH(C3444),"")</f>
        <v/>
      </c>
      <c r="C3444" s="1249"/>
      <c r="D3444" s="61"/>
      <c r="E3444" s="61"/>
      <c r="F3444" s="69"/>
      <c r="G3444" s="64"/>
      <c r="H3444" s="69"/>
      <c r="I3444" s="387"/>
      <c r="J3444" s="394"/>
      <c r="K3444" s="387"/>
      <c r="L3444" s="394"/>
      <c r="M3444" s="62"/>
      <c r="N3444" s="63"/>
      <c r="O3444" s="63"/>
      <c r="P3444" s="79" t="str">
        <f>IF(AND('331-CT'!$E$7=TH!H3444,OR(N3444="331",O3444="331")),"x","")</f>
        <v/>
      </c>
      <c r="Q3444" s="79" t="str">
        <f>IF(AND(B3444='111'!$L$11,OR($N3444=$Q$7,$O3444=$Q$7)),"x","")</f>
        <v/>
      </c>
      <c r="R3444" s="79" t="str">
        <f>IF(AND($N3444=$Q$7,$B3444&lt;'111'!$L$11),"x","")</f>
        <v/>
      </c>
      <c r="S3444" s="79" t="str">
        <f>IF(AND($O3444=$Q$7,$B3444&lt;'111'!$L$11),"x","")</f>
        <v/>
      </c>
      <c r="T3444" s="79" t="str">
        <f>IF(ISERROR(FIND('112'!$M$9,G3444,1)),"",IF((AND(FIND('112'!$M$9,G3444,1)&gt;=1,B3444='112'!$K$9,OR($N3444='112'!$I$6,$O3444='112'!$I$6))),"x",""))</f>
        <v/>
      </c>
      <c r="U3444" s="79" t="str">
        <f>IF(ISERROR(FIND('112'!$M$9,G3444,1)),"",IF((AND(LEFT(G3444,2)=LEFT('112'!$M$9,2),B3444&lt;'112'!$K$9,$N3444='112'!$I$6)),"x",""))</f>
        <v/>
      </c>
      <c r="V3444" s="79" t="str">
        <f>IF(ISERROR(FIND('112'!$M$9,G3444,1)),"",IF((AND(RIGHT(G3444,2)=RIGHT('112'!$M$9,2),B3444&lt;'112'!$K$9,$O3444='112'!$I$6)),"x",""))</f>
        <v/>
      </c>
      <c r="W3444" s="79" t="str">
        <f>IF(AND('341-CT'!$H$9=H3444,OR(LEFT(N3444,3)=$W$7,LEFT(O3444,3)=$W$7)),"x","")</f>
        <v/>
      </c>
      <c r="X3444" s="79" t="str">
        <f>IF(OR(TH!N3444=TH!$X$7,O3444=TH!$X$7),"x","")</f>
        <v/>
      </c>
      <c r="Y3444" s="79" t="str">
        <f>IF(AND(OR(N3444="131",O3444="131"),H3444='131-CT'!$H$9),"x","")</f>
        <v/>
      </c>
      <c r="Z3444" s="79"/>
      <c r="AA3444" s="79" t="str">
        <f>IF(AND(MONTH(E3444)='IN-NX'!$J$5,'IN-NX'!$D$7=D3444),"x","")</f>
        <v/>
      </c>
      <c r="AB3444" s="79" t="str">
        <f>IF(AND(OR(LEFT(TH!N3444,2)="15",LEFT(TH!O3444,2)="15"),LEFT(TH!O3444,3)&lt;&gt;"111",'152-CT'!$J$8=TH!F3444),"x","")</f>
        <v/>
      </c>
      <c r="AC3444" s="79" t="str">
        <f>IF(AND(OR(LEFT(TH!N3444,2)="15",LEFT(TH!O3444,2)="15"),TK!$E$7=TH!F3444),"x","")</f>
        <v/>
      </c>
      <c r="AD3444" s="79" t="str">
        <f>IF(AND(N3444="1521",MONTH(C3444)='BK-NL'!$M$11),"x","")</f>
        <v/>
      </c>
    </row>
    <row r="3445" spans="1:30" ht="16.5" customHeight="1">
      <c r="A3445" s="318" t="str">
        <f>IF(B3445&lt;&gt;"",IF(AND(B3445='IN-TC'!$S$4,OR(TH!N3445="1111",TH!O3445="1111")),TH!D3445,""),"")</f>
        <v/>
      </c>
      <c r="B3445" s="60" t="str">
        <f t="shared" si="393"/>
        <v/>
      </c>
      <c r="C3445" s="1249"/>
      <c r="D3445" s="61"/>
      <c r="E3445" s="61"/>
      <c r="F3445" s="69"/>
      <c r="G3445" s="64"/>
      <c r="H3445" s="69"/>
      <c r="I3445" s="387"/>
      <c r="J3445" s="394"/>
      <c r="K3445" s="387"/>
      <c r="L3445" s="394"/>
      <c r="M3445" s="62"/>
      <c r="N3445" s="63"/>
      <c r="O3445" s="63"/>
      <c r="P3445" s="79" t="str">
        <f>IF(AND('331-CT'!$E$7=TH!H3445,OR(N3445="331",O3445="331")),"x","")</f>
        <v/>
      </c>
      <c r="Q3445" s="79" t="str">
        <f>IF(AND(B3445='111'!$L$11,OR($N3445=$Q$7,$O3445=$Q$7)),"x","")</f>
        <v/>
      </c>
      <c r="R3445" s="79" t="str">
        <f>IF(AND($N3445=$Q$7,$B3445&lt;'111'!$L$11),"x","")</f>
        <v/>
      </c>
      <c r="S3445" s="79" t="str">
        <f>IF(AND($O3445=$Q$7,$B3445&lt;'111'!$L$11),"x","")</f>
        <v/>
      </c>
      <c r="T3445" s="79" t="str">
        <f>IF(ISERROR(FIND('112'!$M$9,G3445,1)),"",IF((AND(FIND('112'!$M$9,G3445,1)&gt;=1,B3445='112'!$K$9,OR($N3445='112'!$I$6,$O3445='112'!$I$6))),"x",""))</f>
        <v/>
      </c>
      <c r="U3445" s="79" t="str">
        <f>IF(ISERROR(FIND('112'!$M$9,G3445,1)),"",IF((AND(LEFT(G3445,2)=LEFT('112'!$M$9,2),B3445&lt;'112'!$K$9,$N3445='112'!$I$6)),"x",""))</f>
        <v/>
      </c>
      <c r="V3445" s="79" t="str">
        <f>IF(ISERROR(FIND('112'!$M$9,G3445,1)),"",IF((AND(RIGHT(G3445,2)=RIGHT('112'!$M$9,2),B3445&lt;'112'!$K$9,$O3445='112'!$I$6)),"x",""))</f>
        <v/>
      </c>
      <c r="W3445" s="79" t="str">
        <f>IF(AND('341-CT'!$H$9=H3445,OR(LEFT(N3445,3)=$W$7,LEFT(O3445,3)=$W$7)),"x","")</f>
        <v/>
      </c>
      <c r="X3445" s="79" t="str">
        <f>IF(OR(TH!N3445=TH!$X$7,O3445=TH!$X$7),"x","")</f>
        <v/>
      </c>
      <c r="Y3445" s="79" t="str">
        <f>IF(AND(OR(N3445="131",O3445="131"),H3445='131-CT'!$H$9),"x","")</f>
        <v/>
      </c>
      <c r="Z3445" s="79"/>
      <c r="AA3445" s="79" t="str">
        <f>IF(AND(MONTH(E3445)='IN-NX'!$J$5,'IN-NX'!$D$7=D3445),"x","")</f>
        <v/>
      </c>
      <c r="AB3445" s="79" t="str">
        <f>IF(AND(OR(LEFT(TH!N3445,2)="15",LEFT(TH!O3445,2)="15"),LEFT(TH!O3445,3)&lt;&gt;"111",'152-CT'!$J$8=TH!F3445),"x","")</f>
        <v/>
      </c>
      <c r="AC3445" s="79" t="str">
        <f>IF(AND(OR(LEFT(TH!N3445,2)="15",LEFT(TH!O3445,2)="15"),TK!$E$7=TH!F3445),"x","")</f>
        <v/>
      </c>
      <c r="AD3445" s="79" t="str">
        <f>IF(AND(N3445="1521",MONTH(C3445)='BK-NL'!$M$11),"x","")</f>
        <v/>
      </c>
    </row>
    <row r="3446" spans="1:30" ht="16.5" customHeight="1">
      <c r="A3446" s="318" t="str">
        <f>IF(B3446&lt;&gt;"",IF(AND(B3446='IN-TC'!$S$4,OR(TH!N3446="1111",TH!O3446="1111")),TH!D3446,""),"")</f>
        <v/>
      </c>
      <c r="B3446" s="60" t="str">
        <f t="shared" si="392"/>
        <v/>
      </c>
      <c r="C3446" s="1249"/>
      <c r="D3446" s="61"/>
      <c r="E3446" s="61"/>
      <c r="F3446" s="69"/>
      <c r="G3446" s="64"/>
      <c r="H3446" s="69"/>
      <c r="I3446" s="387"/>
      <c r="J3446" s="394"/>
      <c r="K3446" s="387"/>
      <c r="L3446" s="394"/>
      <c r="M3446" s="62"/>
      <c r="N3446" s="63"/>
      <c r="O3446" s="63"/>
      <c r="P3446" s="79" t="str">
        <f>IF(AND('331-CT'!$E$7=TH!H3446,OR(N3446="331",O3446="331")),"x","")</f>
        <v/>
      </c>
      <c r="Q3446" s="79" t="str">
        <f>IF(AND(B3446='111'!$L$11,OR($N3446=$Q$7,$O3446=$Q$7)),"x","")</f>
        <v/>
      </c>
      <c r="R3446" s="79" t="str">
        <f>IF(AND($N3446=$Q$7,$B3446&lt;'111'!$L$11),"x","")</f>
        <v/>
      </c>
      <c r="S3446" s="79" t="str">
        <f>IF(AND($O3446=$Q$7,$B3446&lt;'111'!$L$11),"x","")</f>
        <v/>
      </c>
      <c r="T3446" s="79" t="str">
        <f>IF(ISERROR(FIND('112'!$M$9,G3446,1)),"",IF((AND(FIND('112'!$M$9,G3446,1)&gt;=1,B3446='112'!$K$9,OR($N3446='112'!$I$6,$O3446='112'!$I$6))),"x",""))</f>
        <v/>
      </c>
      <c r="U3446" s="79" t="str">
        <f>IF(ISERROR(FIND('112'!$M$9,G3446,1)),"",IF((AND(LEFT(G3446,2)=LEFT('112'!$M$9,2),B3446&lt;'112'!$K$9,$N3446='112'!$I$6)),"x",""))</f>
        <v/>
      </c>
      <c r="V3446" s="79" t="str">
        <f>IF(ISERROR(FIND('112'!$M$9,G3446,1)),"",IF((AND(RIGHT(G3446,2)=RIGHT('112'!$M$9,2),B3446&lt;'112'!$K$9,$O3446='112'!$I$6)),"x",""))</f>
        <v/>
      </c>
      <c r="W3446" s="79" t="str">
        <f>IF(AND('341-CT'!$H$9=H3446,OR(LEFT(N3446,3)=$W$7,LEFT(O3446,3)=$W$7)),"x","")</f>
        <v/>
      </c>
      <c r="X3446" s="79" t="str">
        <f>IF(OR(TH!N3446=TH!$X$7,O3446=TH!$X$7),"x","")</f>
        <v/>
      </c>
      <c r="Y3446" s="79" t="str">
        <f>IF(AND(OR(N3446="131",O3446="131"),H3446='131-CT'!$H$9),"x","")</f>
        <v/>
      </c>
      <c r="Z3446" s="79"/>
      <c r="AA3446" s="79" t="str">
        <f>IF(AND(MONTH(E3446)='IN-NX'!$J$5,'IN-NX'!$D$7=D3446),"x","")</f>
        <v/>
      </c>
      <c r="AB3446" s="79" t="str">
        <f>IF(AND(OR(LEFT(TH!N3446,2)="15",LEFT(TH!O3446,2)="15"),LEFT(TH!O3446,3)&lt;&gt;"111",'152-CT'!$J$8=TH!F3446),"x","")</f>
        <v/>
      </c>
      <c r="AC3446" s="79" t="str">
        <f>IF(AND(OR(LEFT(TH!N3446,2)="15",LEFT(TH!O3446,2)="15"),TK!$E$7=TH!F3446),"x","")</f>
        <v/>
      </c>
      <c r="AD3446" s="79" t="str">
        <f>IF(AND(N3446="1521",MONTH(C3446)='BK-NL'!$M$11),"x","")</f>
        <v/>
      </c>
    </row>
    <row r="3447" spans="1:30" ht="16.5" customHeight="1">
      <c r="A3447" s="318" t="str">
        <f>IF(B3447&lt;&gt;"",IF(AND(B3447='IN-TC'!$S$4,OR(TH!N3447="1111",TH!O3447="1111")),TH!D3447,""),"")</f>
        <v/>
      </c>
      <c r="B3447" s="60" t="str">
        <f t="shared" si="392"/>
        <v/>
      </c>
      <c r="C3447" s="1249"/>
      <c r="D3447" s="61"/>
      <c r="E3447" s="61"/>
      <c r="F3447" s="69"/>
      <c r="G3447" s="64"/>
      <c r="H3447" s="69"/>
      <c r="I3447" s="387"/>
      <c r="J3447" s="394"/>
      <c r="K3447" s="387"/>
      <c r="L3447" s="394"/>
      <c r="M3447" s="62"/>
      <c r="N3447" s="63"/>
      <c r="O3447" s="63"/>
      <c r="P3447" s="79" t="str">
        <f>IF(AND('331-CT'!$E$7=TH!H3447,OR(N3447="331",O3447="331")),"x","")</f>
        <v/>
      </c>
      <c r="Q3447" s="79" t="str">
        <f>IF(AND(B3447='111'!$L$11,OR($N3447=$Q$7,$O3447=$Q$7)),"x","")</f>
        <v/>
      </c>
      <c r="R3447" s="79" t="str">
        <f>IF(AND($N3447=$Q$7,$B3447&lt;'111'!$L$11),"x","")</f>
        <v/>
      </c>
      <c r="S3447" s="79" t="str">
        <f>IF(AND($O3447=$Q$7,$B3447&lt;'111'!$L$11),"x","")</f>
        <v/>
      </c>
      <c r="T3447" s="79" t="str">
        <f>IF(ISERROR(FIND('112'!$M$9,G3447,1)),"",IF((AND(FIND('112'!$M$9,G3447,1)&gt;=1,B3447='112'!$K$9,OR($N3447='112'!$I$6,$O3447='112'!$I$6))),"x",""))</f>
        <v/>
      </c>
      <c r="U3447" s="79" t="str">
        <f>IF(ISERROR(FIND('112'!$M$9,G3447,1)),"",IF((AND(LEFT(G3447,2)=LEFT('112'!$M$9,2),B3447&lt;'112'!$K$9,$N3447='112'!$I$6)),"x",""))</f>
        <v/>
      </c>
      <c r="V3447" s="79" t="str">
        <f>IF(ISERROR(FIND('112'!$M$9,G3447,1)),"",IF((AND(RIGHT(G3447,2)=RIGHT('112'!$M$9,2),B3447&lt;'112'!$K$9,$O3447='112'!$I$6)),"x",""))</f>
        <v/>
      </c>
      <c r="W3447" s="79" t="str">
        <f>IF(AND('341-CT'!$H$9=H3447,OR(LEFT(N3447,3)=$W$7,LEFT(O3447,3)=$W$7)),"x","")</f>
        <v/>
      </c>
      <c r="X3447" s="79" t="str">
        <f>IF(OR(TH!N3447=TH!$X$7,O3447=TH!$X$7),"x","")</f>
        <v/>
      </c>
      <c r="Y3447" s="79" t="str">
        <f>IF(AND(OR(N3447="131",O3447="131"),H3447='131-CT'!$H$9),"x","")</f>
        <v/>
      </c>
      <c r="Z3447" s="79"/>
      <c r="AA3447" s="79" t="str">
        <f>IF(AND(MONTH(E3447)='IN-NX'!$J$5,'IN-NX'!$D$7=D3447),"x","")</f>
        <v/>
      </c>
      <c r="AB3447" s="79" t="str">
        <f>IF(AND(OR(LEFT(TH!N3447,2)="15",LEFT(TH!O3447,2)="15"),LEFT(TH!O3447,3)&lt;&gt;"111",'152-CT'!$J$8=TH!F3447),"x","")</f>
        <v/>
      </c>
      <c r="AC3447" s="79" t="str">
        <f>IF(AND(OR(LEFT(TH!N3447,2)="15",LEFT(TH!O3447,2)="15"),TK!$E$7=TH!F3447),"x","")</f>
        <v/>
      </c>
      <c r="AD3447" s="79" t="str">
        <f>IF(AND(N3447="1521",MONTH(C3447)='BK-NL'!$M$11),"x","")</f>
        <v/>
      </c>
    </row>
    <row r="3448" spans="1:30" ht="16.5" customHeight="1">
      <c r="A3448" s="318" t="str">
        <f>IF(B3448&lt;&gt;"",IF(AND(B3448='IN-TC'!$S$4,OR(TH!N3448="1111",TH!O3448="1111")),TH!D3448,""),"")</f>
        <v/>
      </c>
      <c r="B3448" s="60" t="str">
        <f t="shared" si="392"/>
        <v/>
      </c>
      <c r="C3448" s="1249"/>
      <c r="D3448" s="61"/>
      <c r="E3448" s="61"/>
      <c r="F3448" s="69"/>
      <c r="G3448" s="64"/>
      <c r="H3448" s="321"/>
      <c r="I3448" s="387"/>
      <c r="J3448" s="394"/>
      <c r="K3448" s="387"/>
      <c r="L3448" s="394"/>
      <c r="M3448" s="62"/>
      <c r="N3448" s="63"/>
      <c r="O3448" s="63"/>
      <c r="P3448" s="79" t="str">
        <f>IF(AND('331-CT'!$E$7=TH!H3448,OR(N3448="331",O3448="331")),"x","")</f>
        <v/>
      </c>
      <c r="Q3448" s="79" t="str">
        <f>IF(AND(B3448='111'!$L$11,OR($N3448=$Q$7,$O3448=$Q$7)),"x","")</f>
        <v/>
      </c>
      <c r="R3448" s="79" t="str">
        <f>IF(AND($N3448=$Q$7,$B3448&lt;'111'!$L$11),"x","")</f>
        <v/>
      </c>
      <c r="S3448" s="79" t="str">
        <f>IF(AND($O3448=$Q$7,$B3448&lt;'111'!$L$11),"x","")</f>
        <v/>
      </c>
      <c r="T3448" s="79" t="str">
        <f>IF(ISERROR(FIND('112'!$M$9,G3448,1)),"",IF((AND(FIND('112'!$M$9,G3448,1)&gt;=1,B3448='112'!$K$9,OR($N3448='112'!$I$6,$O3448='112'!$I$6))),"x",""))</f>
        <v/>
      </c>
      <c r="U3448" s="79" t="str">
        <f>IF(ISERROR(FIND('112'!$M$9,G3448,1)),"",IF((AND(LEFT(G3448,2)=LEFT('112'!$M$9,2),B3448&lt;'112'!$K$9,$N3448='112'!$I$6)),"x",""))</f>
        <v/>
      </c>
      <c r="V3448" s="79" t="str">
        <f>IF(ISERROR(FIND('112'!$M$9,G3448,1)),"",IF((AND(RIGHT(G3448,2)=RIGHT('112'!$M$9,2),B3448&lt;'112'!$K$9,$O3448='112'!$I$6)),"x",""))</f>
        <v/>
      </c>
      <c r="W3448" s="79" t="str">
        <f>IF(AND('341-CT'!$H$9=H3448,OR(LEFT(N3448,3)=$W$7,LEFT(O3448,3)=$W$7)),"x","")</f>
        <v/>
      </c>
      <c r="X3448" s="79" t="str">
        <f>IF(OR(TH!N3448=TH!$X$7,O3448=TH!$X$7),"x","")</f>
        <v/>
      </c>
      <c r="Y3448" s="79" t="str">
        <f>IF(AND(OR(N3448="131",O3448="131"),H3448='131-CT'!$H$9),"x","")</f>
        <v/>
      </c>
      <c r="Z3448" s="79"/>
      <c r="AA3448" s="79" t="str">
        <f>IF(AND(MONTH(E3448)='IN-NX'!$J$5,'IN-NX'!$D$7=D3448),"x","")</f>
        <v/>
      </c>
      <c r="AB3448" s="79" t="str">
        <f>IF(AND(OR(LEFT(TH!N3448,2)="15",LEFT(TH!O3448,2)="15"),LEFT(TH!O3448,3)&lt;&gt;"111",'152-CT'!$J$8=TH!F3448),"x","")</f>
        <v/>
      </c>
      <c r="AC3448" s="79" t="str">
        <f>IF(AND(OR(LEFT(TH!N3448,2)="15",LEFT(TH!O3448,2)="15"),TK!$E$7=TH!F3448),"x","")</f>
        <v/>
      </c>
      <c r="AD3448" s="79" t="str">
        <f>IF(AND(N3448="1521",MONTH(C3448)='BK-NL'!$M$11),"x","")</f>
        <v/>
      </c>
    </row>
    <row r="3449" spans="1:30" ht="16.5" customHeight="1">
      <c r="A3449" s="318" t="str">
        <f>IF(B3449&lt;&gt;"",IF(AND(B3449='IN-TC'!$S$4,OR(TH!N3449="1111",TH!O3449="1111")),TH!D3449,""),"")</f>
        <v/>
      </c>
      <c r="B3449" s="60" t="str">
        <f t="shared" si="392"/>
        <v/>
      </c>
      <c r="C3449" s="1249"/>
      <c r="D3449" s="61"/>
      <c r="E3449" s="61"/>
      <c r="F3449" s="69"/>
      <c r="G3449" s="64"/>
      <c r="H3449" s="69"/>
      <c r="I3449" s="387"/>
      <c r="J3449" s="394"/>
      <c r="K3449" s="387"/>
      <c r="L3449" s="394"/>
      <c r="M3449" s="62"/>
      <c r="N3449" s="63"/>
      <c r="O3449" s="63"/>
      <c r="P3449" s="79" t="str">
        <f>IF(AND('331-CT'!$E$7=TH!H3449,OR(N3449="331",O3449="331")),"x","")</f>
        <v/>
      </c>
      <c r="Q3449" s="79" t="str">
        <f>IF(AND(B3449='111'!$L$11,OR($N3449=$Q$7,$O3449=$Q$7)),"x","")</f>
        <v/>
      </c>
      <c r="R3449" s="79" t="str">
        <f>IF(AND($N3449=$Q$7,$B3449&lt;'111'!$L$11),"x","")</f>
        <v/>
      </c>
      <c r="S3449" s="79" t="str">
        <f>IF(AND($O3449=$Q$7,$B3449&lt;'111'!$L$11),"x","")</f>
        <v/>
      </c>
      <c r="T3449" s="79" t="str">
        <f>IF(ISERROR(FIND('112'!$M$9,G3449,1)),"",IF((AND(FIND('112'!$M$9,G3449,1)&gt;=1,B3449='112'!$K$9,OR($N3449='112'!$I$6,$O3449='112'!$I$6))),"x",""))</f>
        <v/>
      </c>
      <c r="U3449" s="79" t="str">
        <f>IF(ISERROR(FIND('112'!$M$9,G3449,1)),"",IF((AND(LEFT(G3449,2)=LEFT('112'!$M$9,2),B3449&lt;'112'!$K$9,$N3449='112'!$I$6)),"x",""))</f>
        <v/>
      </c>
      <c r="V3449" s="79" t="str">
        <f>IF(ISERROR(FIND('112'!$M$9,G3449,1)),"",IF((AND(RIGHT(G3449,2)=RIGHT('112'!$M$9,2),B3449&lt;'112'!$K$9,$O3449='112'!$I$6)),"x",""))</f>
        <v/>
      </c>
      <c r="W3449" s="79" t="str">
        <f>IF(AND('341-CT'!$H$9=H3449,OR(LEFT(N3449,3)=$W$7,LEFT(O3449,3)=$W$7)),"x","")</f>
        <v/>
      </c>
      <c r="X3449" s="79" t="str">
        <f>IF(OR(TH!N3449=TH!$X$7,O3449=TH!$X$7),"x","")</f>
        <v/>
      </c>
      <c r="Y3449" s="79" t="str">
        <f>IF(AND(OR(N3449="131",O3449="131"),H3449='131-CT'!$H$9),"x","")</f>
        <v/>
      </c>
      <c r="Z3449" s="79"/>
      <c r="AA3449" s="79" t="str">
        <f>IF(AND(MONTH(E3449)='IN-NX'!$J$5,'IN-NX'!$D$7=D3449),"x","")</f>
        <v/>
      </c>
      <c r="AB3449" s="79" t="str">
        <f>IF(AND(OR(LEFT(TH!N3449,2)="15",LEFT(TH!O3449,2)="15"),LEFT(TH!O3449,3)&lt;&gt;"111",'152-CT'!$J$8=TH!F3449),"x","")</f>
        <v/>
      </c>
      <c r="AC3449" s="79" t="str">
        <f>IF(AND(OR(LEFT(TH!N3449,2)="15",LEFT(TH!O3449,2)="15"),TK!$E$7=TH!F3449),"x","")</f>
        <v/>
      </c>
      <c r="AD3449" s="79" t="str">
        <f>IF(AND(N3449="1521",MONTH(C3449)='BK-NL'!$M$11),"x","")</f>
        <v/>
      </c>
    </row>
    <row r="3450" spans="1:30" ht="16.5" customHeight="1">
      <c r="A3450" s="318" t="str">
        <f>IF(B3450&lt;&gt;"",IF(AND(B3450='IN-TC'!$S$4,OR(TH!N3450="1111",TH!O3450="1111")),TH!D3450,""),"")</f>
        <v/>
      </c>
      <c r="B3450" s="60" t="str">
        <f t="shared" si="392"/>
        <v/>
      </c>
      <c r="C3450" s="1249"/>
      <c r="D3450" s="61"/>
      <c r="E3450" s="61"/>
      <c r="F3450" s="69"/>
      <c r="G3450" s="64"/>
      <c r="H3450" s="69"/>
      <c r="I3450" s="387"/>
      <c r="J3450" s="394"/>
      <c r="K3450" s="387"/>
      <c r="L3450" s="394"/>
      <c r="M3450" s="62"/>
      <c r="N3450" s="63"/>
      <c r="O3450" s="63"/>
      <c r="P3450" s="79" t="str">
        <f>IF(AND('331-CT'!$E$7=TH!H3450,OR(N3450="331",O3450="331")),"x","")</f>
        <v/>
      </c>
      <c r="Q3450" s="79" t="str">
        <f>IF(AND(B3450='111'!$L$11,OR($N3450=$Q$7,$O3450=$Q$7)),"x","")</f>
        <v/>
      </c>
      <c r="R3450" s="79" t="str">
        <f>IF(AND($N3450=$Q$7,$B3450&lt;'111'!$L$11),"x","")</f>
        <v/>
      </c>
      <c r="S3450" s="79" t="str">
        <f>IF(AND($O3450=$Q$7,$B3450&lt;'111'!$L$11),"x","")</f>
        <v/>
      </c>
      <c r="T3450" s="79" t="str">
        <f>IF(ISERROR(FIND('112'!$M$9,G3450,1)),"",IF((AND(FIND('112'!$M$9,G3450,1)&gt;=1,B3450='112'!$K$9,OR($N3450='112'!$I$6,$O3450='112'!$I$6))),"x",""))</f>
        <v/>
      </c>
      <c r="U3450" s="79" t="str">
        <f>IF(ISERROR(FIND('112'!$M$9,G3450,1)),"",IF((AND(LEFT(G3450,2)=LEFT('112'!$M$9,2),B3450&lt;'112'!$K$9,$N3450='112'!$I$6)),"x",""))</f>
        <v/>
      </c>
      <c r="V3450" s="79" t="str">
        <f>IF(ISERROR(FIND('112'!$M$9,G3450,1)),"",IF((AND(RIGHT(G3450,2)=RIGHT('112'!$M$9,2),B3450&lt;'112'!$K$9,$O3450='112'!$I$6)),"x",""))</f>
        <v/>
      </c>
      <c r="W3450" s="79" t="str">
        <f>IF(AND('341-CT'!$H$9=H3450,OR(LEFT(N3450,3)=$W$7,LEFT(O3450,3)=$W$7)),"x","")</f>
        <v/>
      </c>
      <c r="X3450" s="79" t="str">
        <f>IF(OR(TH!N3450=TH!$X$7,O3450=TH!$X$7),"x","")</f>
        <v/>
      </c>
      <c r="Y3450" s="79" t="str">
        <f>IF(AND(OR(N3450="131",O3450="131"),H3450='131-CT'!$H$9),"x","")</f>
        <v/>
      </c>
      <c r="Z3450" s="79"/>
      <c r="AA3450" s="79" t="str">
        <f>IF(AND(MONTH(E3450)='IN-NX'!$J$5,'IN-NX'!$D$7=D3450),"x","")</f>
        <v/>
      </c>
      <c r="AB3450" s="79" t="str">
        <f>IF(AND(OR(LEFT(TH!N3450,2)="15",LEFT(TH!O3450,2)="15"),LEFT(TH!O3450,3)&lt;&gt;"111",'152-CT'!$J$8=TH!F3450),"x","")</f>
        <v/>
      </c>
      <c r="AC3450" s="79" t="str">
        <f>IF(AND(OR(LEFT(TH!N3450,2)="15",LEFT(TH!O3450,2)="15"),TK!$E$7=TH!F3450),"x","")</f>
        <v/>
      </c>
      <c r="AD3450" s="79" t="str">
        <f>IF(AND(N3450="1521",MONTH(C3450)='BK-NL'!$M$11),"x","")</f>
        <v/>
      </c>
    </row>
    <row r="3451" spans="1:30" ht="16.5" customHeight="1">
      <c r="A3451" s="318" t="str">
        <f>IF(B3451&lt;&gt;"",IF(AND(B3451='IN-TC'!$S$4,OR(TH!N3451="1111",TH!O3451="1111")),TH!D3451,""),"")</f>
        <v/>
      </c>
      <c r="B3451" s="60" t="str">
        <f t="shared" si="392"/>
        <v/>
      </c>
      <c r="C3451" s="1249"/>
      <c r="D3451" s="61"/>
      <c r="E3451" s="61"/>
      <c r="F3451" s="69"/>
      <c r="G3451" s="64"/>
      <c r="H3451" s="321"/>
      <c r="I3451" s="387"/>
      <c r="J3451" s="394"/>
      <c r="K3451" s="387"/>
      <c r="L3451" s="394"/>
      <c r="M3451" s="62"/>
      <c r="N3451" s="63"/>
      <c r="O3451" s="63"/>
      <c r="P3451" s="79" t="str">
        <f>IF(AND('331-CT'!$E$7=TH!H3451,OR(N3451="331",O3451="331")),"x","")</f>
        <v/>
      </c>
      <c r="Q3451" s="79" t="str">
        <f>IF(AND(B3451='111'!$L$11,OR($N3451=$Q$7,$O3451=$Q$7)),"x","")</f>
        <v/>
      </c>
      <c r="R3451" s="79" t="str">
        <f>IF(AND($N3451=$Q$7,$B3451&lt;'111'!$L$11),"x","")</f>
        <v/>
      </c>
      <c r="S3451" s="79" t="str">
        <f>IF(AND($O3451=$Q$7,$B3451&lt;'111'!$L$11),"x","")</f>
        <v/>
      </c>
      <c r="T3451" s="79" t="str">
        <f>IF(ISERROR(FIND('112'!$M$9,G3451,1)),"",IF((AND(FIND('112'!$M$9,G3451,1)&gt;=1,B3451='112'!$K$9,OR($N3451='112'!$I$6,$O3451='112'!$I$6))),"x",""))</f>
        <v/>
      </c>
      <c r="U3451" s="79" t="str">
        <f>IF(ISERROR(FIND('112'!$M$9,G3451,1)),"",IF((AND(LEFT(G3451,2)=LEFT('112'!$M$9,2),B3451&lt;'112'!$K$9,$N3451='112'!$I$6)),"x",""))</f>
        <v/>
      </c>
      <c r="V3451" s="79" t="str">
        <f>IF(ISERROR(FIND('112'!$M$9,G3451,1)),"",IF((AND(RIGHT(G3451,2)=RIGHT('112'!$M$9,2),B3451&lt;'112'!$K$9,$O3451='112'!$I$6)),"x",""))</f>
        <v/>
      </c>
      <c r="W3451" s="79" t="str">
        <f>IF(AND('341-CT'!$H$9=H3451,OR(LEFT(N3451,3)=$W$7,LEFT(O3451,3)=$W$7)),"x","")</f>
        <v/>
      </c>
      <c r="X3451" s="79" t="str">
        <f>IF(OR(TH!N3451=TH!$X$7,O3451=TH!$X$7),"x","")</f>
        <v/>
      </c>
      <c r="Y3451" s="79" t="str">
        <f>IF(AND(OR(N3451="131",O3451="131"),H3451='131-CT'!$H$9),"x","")</f>
        <v/>
      </c>
      <c r="Z3451" s="79"/>
      <c r="AA3451" s="79" t="str">
        <f>IF(AND(MONTH(E3451)='IN-NX'!$J$5,'IN-NX'!$D$7=D3451),"x","")</f>
        <v/>
      </c>
      <c r="AB3451" s="79" t="str">
        <f>IF(AND(OR(LEFT(TH!N3451,2)="15",LEFT(TH!O3451,2)="15"),LEFT(TH!O3451,3)&lt;&gt;"111",'152-CT'!$J$8=TH!F3451),"x","")</f>
        <v/>
      </c>
      <c r="AC3451" s="79" t="str">
        <f>IF(AND(OR(LEFT(TH!N3451,2)="15",LEFT(TH!O3451,2)="15"),TK!$E$7=TH!F3451),"x","")</f>
        <v/>
      </c>
      <c r="AD3451" s="79" t="str">
        <f>IF(AND(N3451="1521",MONTH(C3451)='BK-NL'!$M$11),"x","")</f>
        <v/>
      </c>
    </row>
    <row r="3452" spans="1:30" ht="16.5" customHeight="1">
      <c r="A3452" s="318" t="str">
        <f>IF(B3452&lt;&gt;"",IF(AND(B3452='IN-TC'!$S$4,OR(TH!N3452="1111",TH!O3452="1111")),TH!D3452,""),"")</f>
        <v/>
      </c>
      <c r="B3452" s="60" t="str">
        <f t="shared" si="392"/>
        <v/>
      </c>
      <c r="C3452" s="1249"/>
      <c r="D3452" s="61"/>
      <c r="E3452" s="61"/>
      <c r="F3452" s="69"/>
      <c r="G3452" s="64"/>
      <c r="H3452" s="69"/>
      <c r="I3452" s="387"/>
      <c r="J3452" s="394"/>
      <c r="K3452" s="387"/>
      <c r="L3452" s="394"/>
      <c r="M3452" s="62"/>
      <c r="N3452" s="63"/>
      <c r="O3452" s="63"/>
      <c r="P3452" s="79" t="str">
        <f>IF(AND('331-CT'!$E$7=TH!H3452,OR(N3452="331",O3452="331")),"x","")</f>
        <v/>
      </c>
      <c r="Q3452" s="79" t="str">
        <f>IF(AND(B3452='111'!$L$11,OR($N3452=$Q$7,$O3452=$Q$7)),"x","")</f>
        <v/>
      </c>
      <c r="R3452" s="79" t="str">
        <f>IF(AND($N3452=$Q$7,$B3452&lt;'111'!$L$11),"x","")</f>
        <v/>
      </c>
      <c r="S3452" s="79" t="str">
        <f>IF(AND($O3452=$Q$7,$B3452&lt;'111'!$L$11),"x","")</f>
        <v/>
      </c>
      <c r="T3452" s="79" t="str">
        <f>IF(ISERROR(FIND('112'!$M$9,G3452,1)),"",IF((AND(FIND('112'!$M$9,G3452,1)&gt;=1,B3452='112'!$K$9,OR($N3452='112'!$I$6,$O3452='112'!$I$6))),"x",""))</f>
        <v/>
      </c>
      <c r="U3452" s="79" t="str">
        <f>IF(ISERROR(FIND('112'!$M$9,G3452,1)),"",IF((AND(LEFT(G3452,2)=LEFT('112'!$M$9,2),B3452&lt;'112'!$K$9,$N3452='112'!$I$6)),"x",""))</f>
        <v/>
      </c>
      <c r="V3452" s="79" t="str">
        <f>IF(ISERROR(FIND('112'!$M$9,G3452,1)),"",IF((AND(RIGHT(G3452,2)=RIGHT('112'!$M$9,2),B3452&lt;'112'!$K$9,$O3452='112'!$I$6)),"x",""))</f>
        <v/>
      </c>
      <c r="W3452" s="79" t="str">
        <f>IF(AND('341-CT'!$H$9=H3452,OR(LEFT(N3452,3)=$W$7,LEFT(O3452,3)=$W$7)),"x","")</f>
        <v/>
      </c>
      <c r="X3452" s="79" t="str">
        <f>IF(OR(TH!N3452=TH!$X$7,O3452=TH!$X$7),"x","")</f>
        <v/>
      </c>
      <c r="Y3452" s="79" t="str">
        <f>IF(AND(OR(N3452="131",O3452="131"),H3452='131-CT'!$H$9),"x","")</f>
        <v/>
      </c>
      <c r="Z3452" s="79"/>
      <c r="AA3452" s="79" t="str">
        <f>IF(AND(MONTH(E3452)='IN-NX'!$J$5,'IN-NX'!$D$7=D3452),"x","")</f>
        <v/>
      </c>
      <c r="AB3452" s="79" t="str">
        <f>IF(AND(OR(LEFT(TH!N3452,2)="15",LEFT(TH!O3452,2)="15"),LEFT(TH!O3452,3)&lt;&gt;"111",'152-CT'!$J$8=TH!F3452),"x","")</f>
        <v/>
      </c>
      <c r="AC3452" s="79" t="str">
        <f>IF(AND(OR(LEFT(TH!N3452,2)="15",LEFT(TH!O3452,2)="15"),TK!$E$7=TH!F3452),"x","")</f>
        <v/>
      </c>
      <c r="AD3452" s="79" t="str">
        <f>IF(AND(N3452="1521",MONTH(C3452)='BK-NL'!$M$11),"x","")</f>
        <v/>
      </c>
    </row>
    <row r="3453" spans="1:30" ht="16.5" customHeight="1">
      <c r="A3453" s="318" t="str">
        <f>IF(B3453&lt;&gt;"",IF(AND(B3453='IN-TC'!$S$4,OR(TH!N3453="1111",TH!O3453="1111")),TH!D3453,""),"")</f>
        <v/>
      </c>
      <c r="B3453" s="60" t="str">
        <f t="shared" si="392"/>
        <v/>
      </c>
      <c r="C3453" s="1249"/>
      <c r="D3453" s="61"/>
      <c r="E3453" s="61"/>
      <c r="F3453" s="69"/>
      <c r="G3453" s="64"/>
      <c r="H3453" s="69"/>
      <c r="I3453" s="387"/>
      <c r="J3453" s="394"/>
      <c r="K3453" s="387"/>
      <c r="L3453" s="394"/>
      <c r="M3453" s="62"/>
      <c r="N3453" s="63"/>
      <c r="O3453" s="63"/>
      <c r="P3453" s="79" t="str">
        <f>IF(AND('331-CT'!$E$7=TH!H3453,OR(N3453="331",O3453="331")),"x","")</f>
        <v/>
      </c>
      <c r="Q3453" s="79" t="str">
        <f>IF(AND(B3453='111'!$L$11,OR($N3453=$Q$7,$O3453=$Q$7)),"x","")</f>
        <v/>
      </c>
      <c r="R3453" s="79" t="str">
        <f>IF(AND($N3453=$Q$7,$B3453&lt;'111'!$L$11),"x","")</f>
        <v/>
      </c>
      <c r="S3453" s="79" t="str">
        <f>IF(AND($O3453=$Q$7,$B3453&lt;'111'!$L$11),"x","")</f>
        <v/>
      </c>
      <c r="T3453" s="79" t="str">
        <f>IF(ISERROR(FIND('112'!$M$9,G3453,1)),"",IF((AND(FIND('112'!$M$9,G3453,1)&gt;=1,B3453='112'!$K$9,OR($N3453='112'!$I$6,$O3453='112'!$I$6))),"x",""))</f>
        <v/>
      </c>
      <c r="U3453" s="79" t="str">
        <f>IF(ISERROR(FIND('112'!$M$9,G3453,1)),"",IF((AND(LEFT(G3453,2)=LEFT('112'!$M$9,2),B3453&lt;'112'!$K$9,$N3453='112'!$I$6)),"x",""))</f>
        <v/>
      </c>
      <c r="V3453" s="79" t="str">
        <f>IF(ISERROR(FIND('112'!$M$9,G3453,1)),"",IF((AND(RIGHT(G3453,2)=RIGHT('112'!$M$9,2),B3453&lt;'112'!$K$9,$O3453='112'!$I$6)),"x",""))</f>
        <v/>
      </c>
      <c r="W3453" s="79" t="str">
        <f>IF(AND('341-CT'!$H$9=H3453,OR(LEFT(N3453,3)=$W$7,LEFT(O3453,3)=$W$7)),"x","")</f>
        <v/>
      </c>
      <c r="X3453" s="79" t="str">
        <f>IF(OR(TH!N3453=TH!$X$7,O3453=TH!$X$7),"x","")</f>
        <v/>
      </c>
      <c r="Y3453" s="79" t="str">
        <f>IF(AND(OR(N3453="131",O3453="131"),H3453='131-CT'!$H$9),"x","")</f>
        <v/>
      </c>
      <c r="Z3453" s="79"/>
      <c r="AA3453" s="79" t="str">
        <f>IF(AND(MONTH(E3453)='IN-NX'!$J$5,'IN-NX'!$D$7=D3453),"x","")</f>
        <v/>
      </c>
      <c r="AB3453" s="79" t="str">
        <f>IF(AND(OR(LEFT(TH!N3453,2)="15",LEFT(TH!O3453,2)="15"),LEFT(TH!O3453,3)&lt;&gt;"111",'152-CT'!$J$8=TH!F3453),"x","")</f>
        <v/>
      </c>
      <c r="AC3453" s="79" t="str">
        <f>IF(AND(OR(LEFT(TH!N3453,2)="15",LEFT(TH!O3453,2)="15"),TK!$E$7=TH!F3453),"x","")</f>
        <v/>
      </c>
      <c r="AD3453" s="79" t="str">
        <f>IF(AND(N3453="1521",MONTH(C3453)='BK-NL'!$M$11),"x","")</f>
        <v/>
      </c>
    </row>
    <row r="3454" spans="1:30" ht="16.5" customHeight="1">
      <c r="A3454" s="318" t="str">
        <f>IF(B3454&lt;&gt;"",IF(AND(B3454='IN-TC'!$S$4,OR(TH!N3454="1111",TH!O3454="1111")),TH!D3454,""),"")</f>
        <v/>
      </c>
      <c r="B3454" s="60" t="str">
        <f t="shared" si="392"/>
        <v/>
      </c>
      <c r="C3454" s="1249"/>
      <c r="D3454" s="61"/>
      <c r="E3454" s="61"/>
      <c r="F3454" s="69"/>
      <c r="G3454" s="64"/>
      <c r="H3454" s="69"/>
      <c r="I3454" s="387"/>
      <c r="J3454" s="394"/>
      <c r="K3454" s="387"/>
      <c r="L3454" s="394"/>
      <c r="M3454" s="62"/>
      <c r="N3454" s="63"/>
      <c r="O3454" s="63"/>
      <c r="P3454" s="79" t="str">
        <f>IF(AND('331-CT'!$E$7=TH!H3454,OR(N3454="331",O3454="331")),"x","")</f>
        <v/>
      </c>
      <c r="Q3454" s="79" t="str">
        <f>IF(AND(B3454='111'!$L$11,OR($N3454=$Q$7,$O3454=$Q$7)),"x","")</f>
        <v/>
      </c>
      <c r="R3454" s="79" t="str">
        <f>IF(AND($N3454=$Q$7,$B3454&lt;'111'!$L$11),"x","")</f>
        <v/>
      </c>
      <c r="S3454" s="79" t="str">
        <f>IF(AND($O3454=$Q$7,$B3454&lt;'111'!$L$11),"x","")</f>
        <v/>
      </c>
      <c r="T3454" s="79" t="str">
        <f>IF(ISERROR(FIND('112'!$M$9,G3454,1)),"",IF((AND(FIND('112'!$M$9,G3454,1)&gt;=1,B3454='112'!$K$9,OR($N3454='112'!$I$6,$O3454='112'!$I$6))),"x",""))</f>
        <v/>
      </c>
      <c r="U3454" s="79" t="str">
        <f>IF(ISERROR(FIND('112'!$M$9,G3454,1)),"",IF((AND(LEFT(G3454,2)=LEFT('112'!$M$9,2),B3454&lt;'112'!$K$9,$N3454='112'!$I$6)),"x",""))</f>
        <v/>
      </c>
      <c r="V3454" s="79" t="str">
        <f>IF(ISERROR(FIND('112'!$M$9,G3454,1)),"",IF((AND(RIGHT(G3454,2)=RIGHT('112'!$M$9,2),B3454&lt;'112'!$K$9,$O3454='112'!$I$6)),"x",""))</f>
        <v/>
      </c>
      <c r="W3454" s="79" t="str">
        <f>IF(AND('341-CT'!$H$9=H3454,OR(LEFT(N3454,3)=$W$7,LEFT(O3454,3)=$W$7)),"x","")</f>
        <v/>
      </c>
      <c r="X3454" s="79" t="str">
        <f>IF(OR(TH!N3454=TH!$X$7,O3454=TH!$X$7),"x","")</f>
        <v/>
      </c>
      <c r="Y3454" s="79" t="str">
        <f>IF(AND(OR(N3454="131",O3454="131"),H3454='131-CT'!$H$9),"x","")</f>
        <v/>
      </c>
      <c r="Z3454" s="79"/>
      <c r="AA3454" s="79" t="str">
        <f>IF(AND(MONTH(E3454)='IN-NX'!$J$5,'IN-NX'!$D$7=D3454),"x","")</f>
        <v/>
      </c>
      <c r="AB3454" s="79" t="str">
        <f>IF(AND(OR(LEFT(TH!N3454,2)="15",LEFT(TH!O3454,2)="15"),LEFT(TH!O3454,3)&lt;&gt;"111",'152-CT'!$J$8=TH!F3454),"x","")</f>
        <v/>
      </c>
      <c r="AC3454" s="79" t="str">
        <f>IF(AND(OR(LEFT(TH!N3454,2)="15",LEFT(TH!O3454,2)="15"),TK!$E$7=TH!F3454),"x","")</f>
        <v/>
      </c>
      <c r="AD3454" s="79" t="str">
        <f>IF(AND(N3454="1521",MONTH(C3454)='BK-NL'!$M$11),"x","")</f>
        <v/>
      </c>
    </row>
    <row r="3455" spans="1:30" ht="16.5" customHeight="1">
      <c r="A3455" s="318" t="str">
        <f>IF(B3455&lt;&gt;"",IF(AND(B3455='IN-TC'!$S$4,OR(TH!N3455="1111",TH!O3455="1111")),TH!D3455,""),"")</f>
        <v/>
      </c>
      <c r="B3455" s="60" t="str">
        <f t="shared" si="392"/>
        <v/>
      </c>
      <c r="C3455" s="1249"/>
      <c r="D3455" s="61"/>
      <c r="E3455" s="61"/>
      <c r="F3455" s="69"/>
      <c r="G3455" s="64"/>
      <c r="H3455" s="69"/>
      <c r="I3455" s="387"/>
      <c r="J3455" s="394"/>
      <c r="K3455" s="387"/>
      <c r="L3455" s="394"/>
      <c r="M3455" s="62"/>
      <c r="N3455" s="63"/>
      <c r="O3455" s="63"/>
      <c r="P3455" s="79" t="str">
        <f>IF(AND('331-CT'!$E$7=TH!H3455,OR(N3455="331",O3455="331")),"x","")</f>
        <v/>
      </c>
      <c r="Q3455" s="79" t="str">
        <f>IF(AND(B3455='111'!$L$11,OR($N3455=$Q$7,$O3455=$Q$7)),"x","")</f>
        <v/>
      </c>
      <c r="R3455" s="79" t="str">
        <f>IF(AND($N3455=$Q$7,$B3455&lt;'111'!$L$11),"x","")</f>
        <v/>
      </c>
      <c r="S3455" s="79" t="str">
        <f>IF(AND($O3455=$Q$7,$B3455&lt;'111'!$L$11),"x","")</f>
        <v/>
      </c>
      <c r="T3455" s="79" t="str">
        <f>IF(ISERROR(FIND('112'!$M$9,G3455,1)),"",IF((AND(FIND('112'!$M$9,G3455,1)&gt;=1,B3455='112'!$K$9,OR($N3455='112'!$I$6,$O3455='112'!$I$6))),"x",""))</f>
        <v/>
      </c>
      <c r="U3455" s="79" t="str">
        <f>IF(ISERROR(FIND('112'!$M$9,G3455,1)),"",IF((AND(LEFT(G3455,2)=LEFT('112'!$M$9,2),B3455&lt;'112'!$K$9,$N3455='112'!$I$6)),"x",""))</f>
        <v/>
      </c>
      <c r="V3455" s="79" t="str">
        <f>IF(ISERROR(FIND('112'!$M$9,G3455,1)),"",IF((AND(RIGHT(G3455,2)=RIGHT('112'!$M$9,2),B3455&lt;'112'!$K$9,$O3455='112'!$I$6)),"x",""))</f>
        <v/>
      </c>
      <c r="W3455" s="79" t="str">
        <f>IF(AND('341-CT'!$H$9=H3455,OR(LEFT(N3455,3)=$W$7,LEFT(O3455,3)=$W$7)),"x","")</f>
        <v/>
      </c>
      <c r="X3455" s="79" t="str">
        <f>IF(OR(TH!N3455=TH!$X$7,O3455=TH!$X$7),"x","")</f>
        <v/>
      </c>
      <c r="Y3455" s="79" t="str">
        <f>IF(AND(OR(N3455="131",O3455="131"),H3455='131-CT'!$H$9),"x","")</f>
        <v/>
      </c>
      <c r="Z3455" s="79"/>
      <c r="AA3455" s="79" t="str">
        <f>IF(AND(MONTH(E3455)='IN-NX'!$J$5,'IN-NX'!$D$7=D3455),"x","")</f>
        <v/>
      </c>
      <c r="AB3455" s="79" t="str">
        <f>IF(AND(OR(LEFT(TH!N3455,2)="15",LEFT(TH!O3455,2)="15"),LEFT(TH!O3455,3)&lt;&gt;"111",'152-CT'!$J$8=TH!F3455),"x","")</f>
        <v/>
      </c>
      <c r="AC3455" s="79" t="str">
        <f>IF(AND(OR(LEFT(TH!N3455,2)="15",LEFT(TH!O3455,2)="15"),TK!$E$7=TH!F3455),"x","")</f>
        <v/>
      </c>
      <c r="AD3455" s="79" t="str">
        <f>IF(AND(N3455="1521",MONTH(C3455)='BK-NL'!$M$11),"x","")</f>
        <v/>
      </c>
    </row>
    <row r="3456" spans="1:30" ht="16.5" customHeight="1">
      <c r="A3456" s="318" t="str">
        <f>IF(B3456&lt;&gt;"",IF(AND(B3456='IN-TC'!$S$4,OR(TH!N3456="1111",TH!O3456="1111")),TH!D3456,""),"")</f>
        <v/>
      </c>
      <c r="B3456" s="60" t="str">
        <f t="shared" si="392"/>
        <v/>
      </c>
      <c r="C3456" s="1249"/>
      <c r="D3456" s="61"/>
      <c r="E3456" s="61"/>
      <c r="F3456" s="69"/>
      <c r="G3456" s="64"/>
      <c r="H3456" s="69"/>
      <c r="I3456" s="387"/>
      <c r="J3456" s="394"/>
      <c r="K3456" s="387"/>
      <c r="L3456" s="394"/>
      <c r="M3456" s="62"/>
      <c r="N3456" s="63"/>
      <c r="O3456" s="63"/>
      <c r="P3456" s="79" t="str">
        <f>IF(AND('331-CT'!$E$7=TH!H3456,OR(N3456="331",O3456="331")),"x","")</f>
        <v/>
      </c>
      <c r="Q3456" s="79" t="str">
        <f>IF(AND(B3456='111'!$L$11,OR($N3456=$Q$7,$O3456=$Q$7)),"x","")</f>
        <v/>
      </c>
      <c r="R3456" s="79" t="str">
        <f>IF(AND($N3456=$Q$7,$B3456&lt;'111'!$L$11),"x","")</f>
        <v/>
      </c>
      <c r="S3456" s="79" t="str">
        <f>IF(AND($O3456=$Q$7,$B3456&lt;'111'!$L$11),"x","")</f>
        <v/>
      </c>
      <c r="T3456" s="79" t="str">
        <f>IF(ISERROR(FIND('112'!$M$9,G3456,1)),"",IF((AND(FIND('112'!$M$9,G3456,1)&gt;=1,B3456='112'!$K$9,OR($N3456='112'!$I$6,$O3456='112'!$I$6))),"x",""))</f>
        <v/>
      </c>
      <c r="U3456" s="79" t="str">
        <f>IF(ISERROR(FIND('112'!$M$9,G3456,1)),"",IF((AND(LEFT(G3456,2)=LEFT('112'!$M$9,2),B3456&lt;'112'!$K$9,$N3456='112'!$I$6)),"x",""))</f>
        <v/>
      </c>
      <c r="V3456" s="79" t="str">
        <f>IF(ISERROR(FIND('112'!$M$9,G3456,1)),"",IF((AND(RIGHT(G3456,2)=RIGHT('112'!$M$9,2),B3456&lt;'112'!$K$9,$O3456='112'!$I$6)),"x",""))</f>
        <v/>
      </c>
      <c r="W3456" s="79" t="str">
        <f>IF(AND('341-CT'!$H$9=H3456,OR(LEFT(N3456,3)=$W$7,LEFT(O3456,3)=$W$7)),"x","")</f>
        <v/>
      </c>
      <c r="X3456" s="79" t="str">
        <f>IF(OR(TH!N3456=TH!$X$7,O3456=TH!$X$7),"x","")</f>
        <v/>
      </c>
      <c r="Y3456" s="79" t="str">
        <f>IF(AND(OR(N3456="131",O3456="131"),H3456='131-CT'!$H$9),"x","")</f>
        <v/>
      </c>
      <c r="Z3456" s="79"/>
      <c r="AA3456" s="79" t="str">
        <f>IF(AND(MONTH(E3456)='IN-NX'!$J$5,'IN-NX'!$D$7=D3456),"x","")</f>
        <v/>
      </c>
      <c r="AB3456" s="79" t="str">
        <f>IF(AND(OR(LEFT(TH!N3456,2)="15",LEFT(TH!O3456,2)="15"),LEFT(TH!O3456,3)&lt;&gt;"111",'152-CT'!$J$8=TH!F3456),"x","")</f>
        <v/>
      </c>
      <c r="AC3456" s="79" t="str">
        <f>IF(AND(OR(LEFT(TH!N3456,2)="15",LEFT(TH!O3456,2)="15"),TK!$E$7=TH!F3456),"x","")</f>
        <v/>
      </c>
      <c r="AD3456" s="79" t="str">
        <f>IF(AND(N3456="1521",MONTH(C3456)='BK-NL'!$M$11),"x","")</f>
        <v/>
      </c>
    </row>
    <row r="3457" spans="1:30" ht="16.5" customHeight="1">
      <c r="A3457" s="318" t="str">
        <f>IF(B3457&lt;&gt;"",IF(AND(B3457='IN-TC'!$S$4,OR(TH!N3457="1111",TH!O3457="1111")),TH!D3457,""),"")</f>
        <v/>
      </c>
      <c r="B3457" s="60" t="str">
        <f t="shared" si="392"/>
        <v/>
      </c>
      <c r="C3457" s="1249"/>
      <c r="D3457" s="61"/>
      <c r="E3457" s="61"/>
      <c r="F3457" s="69"/>
      <c r="G3457" s="64"/>
      <c r="H3457" s="321"/>
      <c r="I3457" s="387"/>
      <c r="J3457" s="394"/>
      <c r="K3457" s="387"/>
      <c r="L3457" s="394"/>
      <c r="M3457" s="970"/>
      <c r="N3457" s="63"/>
      <c r="O3457" s="63"/>
      <c r="P3457" s="79" t="str">
        <f>IF(AND('331-CT'!$E$7=TH!H3457,OR(N3457="331",O3457="331")),"x","")</f>
        <v/>
      </c>
      <c r="Q3457" s="79" t="str">
        <f>IF(AND(B3457='111'!$L$11,OR($N3457=$Q$7,$O3457=$Q$7)),"x","")</f>
        <v/>
      </c>
      <c r="R3457" s="79" t="str">
        <f>IF(AND($N3457=$Q$7,$B3457&lt;'111'!$L$11),"x","")</f>
        <v/>
      </c>
      <c r="S3457" s="79" t="str">
        <f>IF(AND($O3457=$Q$7,$B3457&lt;'111'!$L$11),"x","")</f>
        <v/>
      </c>
      <c r="T3457" s="79" t="str">
        <f>IF(ISERROR(FIND('112'!$M$9,G3457,1)),"",IF((AND(FIND('112'!$M$9,G3457,1)&gt;=1,B3457='112'!$K$9,OR($N3457='112'!$I$6,$O3457='112'!$I$6))),"x",""))</f>
        <v/>
      </c>
      <c r="U3457" s="79" t="str">
        <f>IF(ISERROR(FIND('112'!$M$9,G3457,1)),"",IF((AND(LEFT(G3457,2)=LEFT('112'!$M$9,2),B3457&lt;'112'!$K$9,$N3457='112'!$I$6)),"x",""))</f>
        <v/>
      </c>
      <c r="V3457" s="79" t="str">
        <f>IF(ISERROR(FIND('112'!$M$9,G3457,1)),"",IF((AND(RIGHT(G3457,2)=RIGHT('112'!$M$9,2),B3457&lt;'112'!$K$9,$O3457='112'!$I$6)),"x",""))</f>
        <v/>
      </c>
      <c r="W3457" s="79" t="str">
        <f>IF(AND('341-CT'!$H$9=H3457,OR(LEFT(N3457,3)=$W$7,LEFT(O3457,3)=$W$7)),"x","")</f>
        <v/>
      </c>
      <c r="X3457" s="79" t="str">
        <f>IF(OR(TH!N3457=TH!$X$7,O3457=TH!$X$7),"x","")</f>
        <v/>
      </c>
      <c r="Y3457" s="79" t="str">
        <f>IF(AND(OR(N3457="131",O3457="131"),H3457='131-CT'!$H$9),"x","")</f>
        <v/>
      </c>
      <c r="Z3457" s="79"/>
      <c r="AA3457" s="79" t="str">
        <f>IF(AND(MONTH(E3457)='IN-NX'!$J$5,'IN-NX'!$D$7=D3457),"x","")</f>
        <v/>
      </c>
      <c r="AB3457" s="79" t="str">
        <f>IF(AND(OR(LEFT(TH!N3457,2)="15",LEFT(TH!O3457,2)="15"),LEFT(TH!O3457,3)&lt;&gt;"111",'152-CT'!$J$8=TH!F3457),"x","")</f>
        <v/>
      </c>
      <c r="AC3457" s="79" t="str">
        <f>IF(AND(OR(LEFT(TH!N3457,2)="15",LEFT(TH!O3457,2)="15"),TK!$E$7=TH!F3457),"x","")</f>
        <v/>
      </c>
      <c r="AD3457" s="79" t="str">
        <f>IF(AND(N3457="1521",MONTH(C3457)='BK-NL'!$M$11),"x","")</f>
        <v/>
      </c>
    </row>
    <row r="3458" spans="1:30" ht="16.5" customHeight="1">
      <c r="A3458" s="318" t="str">
        <f>IF(B3458&lt;&gt;"",IF(AND(B3458='IN-TC'!$S$4,OR(TH!N3458="1111",TH!O3458="1111")),TH!D3458,""),"")</f>
        <v/>
      </c>
      <c r="B3458" s="60" t="str">
        <f t="shared" si="392"/>
        <v/>
      </c>
      <c r="C3458" s="61"/>
      <c r="D3458" s="61"/>
      <c r="E3458" s="61"/>
      <c r="F3458" s="69"/>
      <c r="G3458" s="64"/>
      <c r="H3458" s="321"/>
      <c r="I3458" s="387"/>
      <c r="J3458" s="394"/>
      <c r="K3458" s="387"/>
      <c r="L3458" s="394"/>
      <c r="M3458" s="970"/>
      <c r="N3458" s="63"/>
      <c r="O3458" s="63"/>
      <c r="P3458" s="79" t="str">
        <f>IF(AND('331-CT'!$E$7=TH!H3458,OR(N3458="331",O3458="331")),"x","")</f>
        <v/>
      </c>
      <c r="Q3458" s="79" t="str">
        <f>IF(AND(B3458='111'!$L$11,OR($N3458=$Q$7,$O3458=$Q$7)),"x","")</f>
        <v/>
      </c>
      <c r="R3458" s="79" t="str">
        <f>IF(AND($N3458=$Q$7,$B3458&lt;'111'!$L$11),"x","")</f>
        <v/>
      </c>
      <c r="S3458" s="79" t="str">
        <f>IF(AND($O3458=$Q$7,$B3458&lt;'111'!$L$11),"x","")</f>
        <v/>
      </c>
      <c r="T3458" s="79" t="str">
        <f>IF(ISERROR(FIND('112'!$M$9,G3458,1)),"",IF((AND(FIND('112'!$M$9,G3458,1)&gt;=1,B3458='112'!$K$9,OR($N3458='112'!$I$6,$O3458='112'!$I$6))),"x",""))</f>
        <v/>
      </c>
      <c r="U3458" s="79" t="str">
        <f>IF(ISERROR(FIND('112'!$M$9,G3458,1)),"",IF((AND(LEFT(G3458,2)=LEFT('112'!$M$9,2),B3458&lt;'112'!$K$9,$N3458='112'!$I$6)),"x",""))</f>
        <v/>
      </c>
      <c r="V3458" s="79" t="str">
        <f>IF(ISERROR(FIND('112'!$M$9,G3458,1)),"",IF((AND(RIGHT(G3458,2)=RIGHT('112'!$M$9,2),B3458&lt;'112'!$K$9,$O3458='112'!$I$6)),"x",""))</f>
        <v/>
      </c>
      <c r="W3458" s="79" t="str">
        <f>IF(AND('341-CT'!$H$9=H3458,OR(LEFT(N3458,3)=$W$7,LEFT(O3458,3)=$W$7)),"x","")</f>
        <v/>
      </c>
      <c r="X3458" s="79" t="str">
        <f>IF(OR(TH!N3458=TH!$X$7,O3458=TH!$X$7),"x","")</f>
        <v/>
      </c>
      <c r="Y3458" s="79" t="str">
        <f>IF(AND(OR(N3458="131",O3458="131"),H3458='131-CT'!$H$9),"x","")</f>
        <v/>
      </c>
      <c r="Z3458" s="79"/>
      <c r="AA3458" s="79" t="str">
        <f>IF(AND(MONTH(E3458)='IN-NX'!$J$5,'IN-NX'!$D$7=D3458),"x","")</f>
        <v/>
      </c>
      <c r="AB3458" s="79" t="str">
        <f>IF(AND(OR(LEFT(TH!N3458,2)="15",LEFT(TH!O3458,2)="15"),LEFT(TH!O3458,3)&lt;&gt;"111",'152-CT'!$J$8=TH!F3458),"x","")</f>
        <v/>
      </c>
      <c r="AC3458" s="79" t="str">
        <f>IF(AND(OR(LEFT(TH!N3458,2)="15",LEFT(TH!O3458,2)="15"),TK!$E$7=TH!F3458),"x","")</f>
        <v/>
      </c>
      <c r="AD3458" s="79" t="str">
        <f>IF(AND(N3458="1521",MONTH(C3458)='BK-NL'!$M$11),"x","")</f>
        <v/>
      </c>
    </row>
    <row r="3459" spans="1:30" ht="16.5" customHeight="1">
      <c r="A3459" s="318" t="str">
        <f>IF(B3459&lt;&gt;"",IF(AND(B3459='IN-TC'!$S$4,OR(TH!N3459="1111",TH!O3459="1111")),TH!D3459,""),"")</f>
        <v/>
      </c>
      <c r="B3459" s="60" t="str">
        <f t="shared" si="392"/>
        <v/>
      </c>
      <c r="C3459" s="301"/>
      <c r="D3459" s="301"/>
      <c r="E3459" s="301"/>
      <c r="F3459" s="302"/>
      <c r="G3459" s="988"/>
      <c r="H3459" s="69"/>
      <c r="I3459" s="385"/>
      <c r="J3459" s="969"/>
      <c r="K3459" s="385"/>
      <c r="L3459" s="392"/>
      <c r="M3459" s="970"/>
      <c r="N3459" s="304"/>
      <c r="O3459" s="304"/>
      <c r="P3459" s="79" t="str">
        <f>IF(AND('331-CT'!$E$7=TH!H3459,OR(N3459="331",O3459="331")),"x","")</f>
        <v/>
      </c>
      <c r="Q3459" s="79" t="str">
        <f>IF(AND(B3459='111'!$L$11,OR($N3459=$Q$7,$O3459=$Q$7)),"x","")</f>
        <v/>
      </c>
      <c r="R3459" s="79" t="str">
        <f>IF(AND($N3459=$Q$7,$B3459&lt;'111'!$L$11),"x","")</f>
        <v/>
      </c>
      <c r="S3459" s="79" t="str">
        <f>IF(AND($O3459=$Q$7,$B3459&lt;'111'!$L$11),"x","")</f>
        <v/>
      </c>
      <c r="T3459" s="79" t="str">
        <f>IF(ISERROR(FIND('112'!$M$9,G3459,1)),"",IF((AND(FIND('112'!$M$9,G3459,1)&gt;=1,B3459='112'!$K$9,OR($N3459='112'!$I$6,$O3459='112'!$I$6))),"x",""))</f>
        <v/>
      </c>
      <c r="U3459" s="79" t="str">
        <f>IF(ISERROR(FIND('112'!$M$9,G3459,1)),"",IF((AND(LEFT(G3459,2)=LEFT('112'!$M$9,2),B3459&lt;'112'!$K$9,$N3459='112'!$I$6)),"x",""))</f>
        <v/>
      </c>
      <c r="V3459" s="79" t="str">
        <f>IF(ISERROR(FIND('112'!$M$9,G3459,1)),"",IF((AND(RIGHT(G3459,2)=RIGHT('112'!$M$9,2),B3459&lt;'112'!$K$9,$O3459='112'!$I$6)),"x",""))</f>
        <v/>
      </c>
      <c r="W3459" s="79" t="str">
        <f>IF(AND('341-CT'!$H$9=H3459,OR(LEFT(N3459,3)=$W$7,LEFT(O3459,3)=$W$7)),"x","")</f>
        <v/>
      </c>
      <c r="X3459" s="79" t="str">
        <f>IF(OR(TH!N3459=TH!$X$7,O3459=TH!$X$7),"x","")</f>
        <v/>
      </c>
      <c r="Y3459" s="79" t="str">
        <f>IF(AND(OR(N3459="131",O3459="131"),H3459='131-CT'!$H$9),"x","")</f>
        <v/>
      </c>
      <c r="Z3459" s="79"/>
      <c r="AA3459" s="79" t="str">
        <f>IF(AND(MONTH(E3459)='IN-NX'!$J$5,'IN-NX'!$D$7=D3459),"x","")</f>
        <v/>
      </c>
      <c r="AB3459" s="79" t="str">
        <f>IF(AND(OR(LEFT(TH!N3459,2)="15",LEFT(TH!O3459,2)="15"),LEFT(TH!O3459,3)&lt;&gt;"111",'152-CT'!$J$8=TH!F3459),"x","")</f>
        <v/>
      </c>
      <c r="AC3459" s="79" t="str">
        <f>IF(AND(OR(LEFT(TH!N3459,2)="15",LEFT(TH!O3459,2)="15"),TK!$E$7=TH!F3459),"x","")</f>
        <v/>
      </c>
      <c r="AD3459" s="79" t="str">
        <f>IF(AND(N3459="1521",MONTH(C3459)='BK-NL'!$M$11),"x","")</f>
        <v/>
      </c>
    </row>
    <row r="3460" spans="1:30" ht="16.5" customHeight="1">
      <c r="A3460" s="318" t="str">
        <f>IF(B3460&lt;&gt;"",IF(AND(B3460='IN-TC'!$S$4,OR(TH!N3460="1111",TH!O3460="1111")),TH!D3460,""),"")</f>
        <v/>
      </c>
      <c r="B3460" s="60" t="str">
        <f t="shared" si="392"/>
        <v/>
      </c>
      <c r="C3460" s="61"/>
      <c r="D3460" s="61"/>
      <c r="E3460" s="61"/>
      <c r="F3460" s="69"/>
      <c r="G3460" s="64"/>
      <c r="H3460" s="303"/>
      <c r="I3460" s="385"/>
      <c r="J3460" s="392"/>
      <c r="K3460" s="385"/>
      <c r="L3460" s="392"/>
      <c r="M3460" s="62"/>
      <c r="N3460" s="63"/>
      <c r="O3460" s="63"/>
      <c r="P3460" s="79" t="str">
        <f>IF(AND('331-CT'!$E$7=TH!H3460,OR(N3460="331",O3460="331")),"x","")</f>
        <v/>
      </c>
      <c r="Q3460" s="79" t="str">
        <f>IF(AND(B3460='111'!$L$11,OR($N3460=$Q$7,$O3460=$Q$7)),"x","")</f>
        <v/>
      </c>
      <c r="R3460" s="79" t="str">
        <f>IF(AND($N3460=$Q$7,$B3460&lt;'111'!$L$11),"x","")</f>
        <v/>
      </c>
      <c r="S3460" s="79" t="str">
        <f>IF(AND($O3460=$Q$7,$B3460&lt;'111'!$L$11),"x","")</f>
        <v/>
      </c>
      <c r="T3460" s="79" t="str">
        <f>IF(ISERROR(FIND('112'!$M$9,G3460,1)),"",IF((AND(FIND('112'!$M$9,G3460,1)&gt;=1,B3460='112'!$K$9,OR($N3460='112'!$I$6,$O3460='112'!$I$6))),"x",""))</f>
        <v/>
      </c>
      <c r="U3460" s="79" t="str">
        <f>IF(ISERROR(FIND('112'!$M$9,G3460,1)),"",IF((AND(LEFT(G3460,2)=LEFT('112'!$M$9,2),B3460&lt;'112'!$K$9,$N3460='112'!$I$6)),"x",""))</f>
        <v/>
      </c>
      <c r="V3460" s="79" t="str">
        <f>IF(ISERROR(FIND('112'!$M$9,G3460,1)),"",IF((AND(RIGHT(G3460,2)=RIGHT('112'!$M$9,2),B3460&lt;'112'!$K$9,$O3460='112'!$I$6)),"x",""))</f>
        <v/>
      </c>
      <c r="W3460" s="79" t="str">
        <f>IF(AND('341-CT'!$H$9=H3460,OR(LEFT(N3460,3)=$W$7,LEFT(O3460,3)=$W$7)),"x","")</f>
        <v/>
      </c>
      <c r="X3460" s="79" t="str">
        <f>IF(OR(TH!N3460=TH!$X$7,O3460=TH!$X$7),"x","")</f>
        <v/>
      </c>
      <c r="Y3460" s="79" t="str">
        <f>IF(AND(OR(N3460="131",O3460="131"),H3460='131-CT'!$H$9),"x","")</f>
        <v/>
      </c>
      <c r="Z3460" s="79"/>
      <c r="AA3460" s="79" t="str">
        <f>IF(AND(MONTH(E3460)='IN-NX'!$J$5,'IN-NX'!$D$7=D3460),"x","")</f>
        <v/>
      </c>
      <c r="AB3460" s="79" t="str">
        <f>IF(AND(OR(LEFT(TH!N3460,2)="15",LEFT(TH!O3460,2)="15"),LEFT(TH!O3460,3)&lt;&gt;"111",'152-CT'!$J$8=TH!F3460),"x","")</f>
        <v/>
      </c>
      <c r="AC3460" s="79" t="str">
        <f>IF(AND(OR(LEFT(TH!N3460,2)="15",LEFT(TH!O3460,2)="15"),TK!$E$7=TH!F3460),"x","")</f>
        <v/>
      </c>
      <c r="AD3460" s="79" t="str">
        <f>IF(AND(N3460="1521",MONTH(C3460)='BK-NL'!$M$11),"x","")</f>
        <v/>
      </c>
    </row>
    <row r="3461" spans="1:30" ht="16.5" customHeight="1">
      <c r="A3461" s="318" t="str">
        <f>IF(B3461&lt;&gt;"",IF(AND(B3461='IN-TC'!$S$4,OR(TH!N3461="1111",TH!O3461="1111")),TH!D3461,""),"")</f>
        <v/>
      </c>
      <c r="B3461" s="60" t="str">
        <f t="shared" si="392"/>
        <v/>
      </c>
      <c r="C3461" s="301"/>
      <c r="D3461" s="301"/>
      <c r="E3461" s="301"/>
      <c r="F3461" s="302"/>
      <c r="G3461" s="988"/>
      <c r="H3461" s="69"/>
      <c r="I3461" s="385"/>
      <c r="J3461" s="969"/>
      <c r="K3461" s="385"/>
      <c r="L3461" s="392"/>
      <c r="M3461" s="970"/>
      <c r="N3461" s="304"/>
      <c r="O3461" s="304"/>
      <c r="P3461" s="79" t="str">
        <f>IF(AND('331-CT'!$E$7=TH!H3461,OR(N3461="331",O3461="331")),"x","")</f>
        <v/>
      </c>
      <c r="Q3461" s="79" t="str">
        <f>IF(AND(B3461='111'!$L$11,OR($N3461=$Q$7,$O3461=$Q$7)),"x","")</f>
        <v/>
      </c>
      <c r="R3461" s="79" t="str">
        <f>IF(AND($N3461=$Q$7,$B3461&lt;'111'!$L$11),"x","")</f>
        <v/>
      </c>
      <c r="S3461" s="79" t="str">
        <f>IF(AND($O3461=$Q$7,$B3461&lt;'111'!$L$11),"x","")</f>
        <v/>
      </c>
      <c r="T3461" s="79" t="str">
        <f>IF(ISERROR(FIND('112'!$M$9,G3461,1)),"",IF((AND(FIND('112'!$M$9,G3461,1)&gt;=1,B3461='112'!$K$9,OR($N3461='112'!$I$6,$O3461='112'!$I$6))),"x",""))</f>
        <v/>
      </c>
      <c r="U3461" s="79" t="str">
        <f>IF(ISERROR(FIND('112'!$M$9,G3461,1)),"",IF((AND(LEFT(G3461,2)=LEFT('112'!$M$9,2),B3461&lt;'112'!$K$9,$N3461='112'!$I$6)),"x",""))</f>
        <v/>
      </c>
      <c r="V3461" s="79" t="str">
        <f>IF(ISERROR(FIND('112'!$M$9,G3461,1)),"",IF((AND(RIGHT(G3461,2)=RIGHT('112'!$M$9,2),B3461&lt;'112'!$K$9,$O3461='112'!$I$6)),"x",""))</f>
        <v/>
      </c>
      <c r="W3461" s="79" t="str">
        <f>IF(AND('341-CT'!$H$9=H3461,OR(LEFT(N3461,3)=$W$7,LEFT(O3461,3)=$W$7)),"x","")</f>
        <v/>
      </c>
      <c r="X3461" s="79" t="str">
        <f>IF(OR(TH!N3461=TH!$X$7,O3461=TH!$X$7),"x","")</f>
        <v/>
      </c>
      <c r="Y3461" s="79" t="str">
        <f>IF(AND(OR(N3461="131",O3461="131"),H3461='131-CT'!$H$9),"x","")</f>
        <v/>
      </c>
      <c r="Z3461" s="79"/>
      <c r="AA3461" s="79" t="str">
        <f>IF(AND(MONTH(E3461)='IN-NX'!$J$5,'IN-NX'!$D$7=D3461),"x","")</f>
        <v/>
      </c>
      <c r="AB3461" s="79" t="str">
        <f>IF(AND(OR(LEFT(TH!N3461,2)="15",LEFT(TH!O3461,2)="15"),LEFT(TH!O3461,3)&lt;&gt;"111",'152-CT'!$J$8=TH!F3461),"x","")</f>
        <v/>
      </c>
      <c r="AC3461" s="79" t="str">
        <f>IF(AND(OR(LEFT(TH!N3461,2)="15",LEFT(TH!O3461,2)="15"),TK!$E$7=TH!F3461),"x","")</f>
        <v/>
      </c>
      <c r="AD3461" s="79" t="str">
        <f>IF(AND(N3461="1521",MONTH(C3461)='BK-NL'!$M$11),"x","")</f>
        <v/>
      </c>
    </row>
    <row r="3462" spans="1:30" ht="16.5" customHeight="1">
      <c r="A3462" s="318" t="str">
        <f>IF(B3462&lt;&gt;"",IF(AND(B3462='IN-TC'!$S$4,OR(TH!N3462="1111",TH!O3462="1111")),TH!D3462,""),"")</f>
        <v/>
      </c>
      <c r="B3462" s="60" t="str">
        <f t="shared" si="392"/>
        <v/>
      </c>
      <c r="C3462" s="61"/>
      <c r="D3462" s="61"/>
      <c r="E3462" s="61"/>
      <c r="F3462" s="69"/>
      <c r="G3462" s="64"/>
      <c r="H3462" s="303"/>
      <c r="I3462" s="385"/>
      <c r="J3462" s="392"/>
      <c r="K3462" s="385"/>
      <c r="L3462" s="392"/>
      <c r="M3462" s="62"/>
      <c r="N3462" s="63"/>
      <c r="O3462" s="304"/>
      <c r="P3462" s="79" t="str">
        <f>IF(AND('331-CT'!$E$7=TH!H3462,OR(N3462="331",O3462="331")),"x","")</f>
        <v/>
      </c>
      <c r="Q3462" s="79" t="str">
        <f>IF(AND(B3462='111'!$L$11,OR($N3462=$Q$7,$O3462=$Q$7)),"x","")</f>
        <v/>
      </c>
      <c r="R3462" s="79" t="str">
        <f>IF(AND($N3462=$Q$7,$B3462&lt;'111'!$L$11),"x","")</f>
        <v/>
      </c>
      <c r="S3462" s="79" t="str">
        <f>IF(AND($O3462=$Q$7,$B3462&lt;'111'!$L$11),"x","")</f>
        <v/>
      </c>
      <c r="T3462" s="79" t="str">
        <f>IF(ISERROR(FIND('112'!$M$9,G3462,1)),"",IF((AND(FIND('112'!$M$9,G3462,1)&gt;=1,B3462='112'!$K$9,OR($N3462='112'!$I$6,$O3462='112'!$I$6))),"x",""))</f>
        <v/>
      </c>
      <c r="U3462" s="79" t="str">
        <f>IF(ISERROR(FIND('112'!$M$9,G3462,1)),"",IF((AND(LEFT(G3462,2)=LEFT('112'!$M$9,2),B3462&lt;'112'!$K$9,$N3462='112'!$I$6)),"x",""))</f>
        <v/>
      </c>
      <c r="V3462" s="79" t="str">
        <f>IF(ISERROR(FIND('112'!$M$9,G3462,1)),"",IF((AND(RIGHT(G3462,2)=RIGHT('112'!$M$9,2),B3462&lt;'112'!$K$9,$O3462='112'!$I$6)),"x",""))</f>
        <v/>
      </c>
      <c r="W3462" s="79" t="str">
        <f>IF(AND('341-CT'!$H$9=H3462,OR(LEFT(N3462,3)=$W$7,LEFT(O3462,3)=$W$7)),"x","")</f>
        <v/>
      </c>
      <c r="X3462" s="79" t="str">
        <f>IF(OR(TH!N3462=TH!$X$7,O3462=TH!$X$7),"x","")</f>
        <v/>
      </c>
      <c r="Y3462" s="79" t="str">
        <f>IF(AND(OR(N3462="131",O3462="131"),H3462='131-CT'!$H$9),"x","")</f>
        <v/>
      </c>
      <c r="Z3462" s="79"/>
      <c r="AA3462" s="79" t="str">
        <f>IF(AND(MONTH(E3462)='IN-NX'!$J$5,'IN-NX'!$D$7=D3462),"x","")</f>
        <v/>
      </c>
      <c r="AB3462" s="79" t="str">
        <f>IF(AND(OR(LEFT(TH!N3462,2)="15",LEFT(TH!O3462,2)="15"),LEFT(TH!O3462,3)&lt;&gt;"111",'152-CT'!$J$8=TH!F3462),"x","")</f>
        <v/>
      </c>
      <c r="AC3462" s="79" t="str">
        <f>IF(AND(OR(LEFT(TH!N3462,2)="15",LEFT(TH!O3462,2)="15"),TK!$E$7=TH!F3462),"x","")</f>
        <v/>
      </c>
      <c r="AD3462" s="79" t="str">
        <f>IF(AND(N3462="1521",MONTH(C3462)='BK-NL'!$M$11),"x","")</f>
        <v/>
      </c>
    </row>
    <row r="3463" spans="1:30" ht="16.5" customHeight="1">
      <c r="A3463" s="318" t="str">
        <f>IF(B3463&lt;&gt;"",IF(AND(B3463='IN-TC'!$S$4,OR(TH!N3463="1111",TH!O3463="1111")),TH!D3463,""),"")</f>
        <v/>
      </c>
      <c r="B3463" s="60" t="str">
        <f t="shared" si="392"/>
        <v/>
      </c>
      <c r="C3463" s="61"/>
      <c r="D3463" s="61"/>
      <c r="E3463" s="61"/>
      <c r="F3463" s="64"/>
      <c r="G3463" s="64"/>
      <c r="H3463" s="69"/>
      <c r="I3463" s="385"/>
      <c r="J3463" s="395"/>
      <c r="K3463" s="385"/>
      <c r="L3463" s="392"/>
      <c r="M3463" s="62"/>
      <c r="N3463" s="63"/>
      <c r="O3463" s="304"/>
      <c r="P3463" s="79" t="str">
        <f>IF(AND('331-CT'!$E$7=TH!H3463,OR(N3463="331",O3463="331")),"x","")</f>
        <v/>
      </c>
      <c r="Q3463" s="79" t="str">
        <f>IF(AND(B3463='111'!$L$11,OR($N3463=$Q$7,$O3463=$Q$7)),"x","")</f>
        <v/>
      </c>
      <c r="R3463" s="79" t="str">
        <f>IF(AND($N3463=$Q$7,$B3463&lt;'111'!$L$11),"x","")</f>
        <v/>
      </c>
      <c r="S3463" s="79" t="str">
        <f>IF(AND($O3463=$Q$7,$B3463&lt;'111'!$L$11),"x","")</f>
        <v/>
      </c>
      <c r="T3463" s="79" t="str">
        <f>IF(ISERROR(FIND('112'!$M$9,G3463,1)),"",IF((AND(FIND('112'!$M$9,G3463,1)&gt;=1,B3463='112'!$K$9,OR($N3463='112'!$I$6,$O3463='112'!$I$6))),"x",""))</f>
        <v/>
      </c>
      <c r="U3463" s="79" t="str">
        <f>IF(ISERROR(FIND('112'!$M$9,G3463,1)),"",IF((AND(LEFT(G3463,2)=LEFT('112'!$M$9,2),B3463&lt;'112'!$K$9,$N3463='112'!$I$6)),"x",""))</f>
        <v/>
      </c>
      <c r="V3463" s="79" t="str">
        <f>IF(ISERROR(FIND('112'!$M$9,G3463,1)),"",IF((AND(RIGHT(G3463,2)=RIGHT('112'!$M$9,2),B3463&lt;'112'!$K$9,$O3463='112'!$I$6)),"x",""))</f>
        <v/>
      </c>
      <c r="W3463" s="79" t="str">
        <f>IF(AND('341-CT'!$H$9=H3463,OR(LEFT(N3463,3)=$W$7,LEFT(O3463,3)=$W$7)),"x","")</f>
        <v/>
      </c>
      <c r="X3463" s="79" t="str">
        <f>IF(OR(TH!N3463=TH!$X$7,O3463=TH!$X$7),"x","")</f>
        <v/>
      </c>
      <c r="Y3463" s="79" t="str">
        <f>IF(AND(OR(N3463="131",O3463="131"),H3463='131-CT'!$H$9),"x","")</f>
        <v/>
      </c>
      <c r="Z3463" s="79"/>
      <c r="AA3463" s="79" t="str">
        <f>IF(AND(MONTH(E3463)='IN-NX'!$J$5,'IN-NX'!$D$7=D3463),"x","")</f>
        <v/>
      </c>
      <c r="AB3463" s="79" t="str">
        <f>IF(AND(OR(LEFT(TH!N3463,2)="15",LEFT(TH!O3463,2)="15"),LEFT(TH!O3463,3)&lt;&gt;"111",'152-CT'!$J$8=TH!F3463),"x","")</f>
        <v/>
      </c>
      <c r="AC3463" s="79" t="str">
        <f>IF(AND(OR(LEFT(TH!N3463,2)="15",LEFT(TH!O3463,2)="15"),TK!$E$7=TH!F3463),"x","")</f>
        <v/>
      </c>
      <c r="AD3463" s="79" t="str">
        <f>IF(AND(N3463="1521",MONTH(C3463)='BK-NL'!$M$11),"x","")</f>
        <v/>
      </c>
    </row>
    <row r="3464" spans="1:30" ht="16.5" customHeight="1">
      <c r="A3464" s="318" t="str">
        <f>IF(B3464&lt;&gt;"",IF(AND(B3464='IN-TC'!$S$4,OR(TH!N3464="1111",TH!O3464="1111")),TH!D3464,""),"")</f>
        <v/>
      </c>
      <c r="B3464" s="60" t="str">
        <f t="shared" si="392"/>
        <v/>
      </c>
      <c r="C3464" s="61"/>
      <c r="D3464" s="61"/>
      <c r="E3464" s="61"/>
      <c r="F3464" s="64"/>
      <c r="G3464" s="64"/>
      <c r="H3464" s="321"/>
      <c r="I3464" s="385"/>
      <c r="J3464" s="395"/>
      <c r="K3464" s="385"/>
      <c r="L3464" s="392"/>
      <c r="M3464" s="62"/>
      <c r="N3464" s="63"/>
      <c r="O3464" s="63"/>
      <c r="P3464" s="79" t="str">
        <f>IF(AND('331-CT'!$E$7=TH!H3464,OR(N3464="331",O3464="331")),"x","")</f>
        <v/>
      </c>
      <c r="Q3464" s="79" t="str">
        <f>IF(AND(B3464='111'!$L$11,OR($N3464=$Q$7,$O3464=$Q$7)),"x","")</f>
        <v/>
      </c>
      <c r="R3464" s="79" t="str">
        <f>IF(AND($N3464=$Q$7,$B3464&lt;'111'!$L$11),"x","")</f>
        <v/>
      </c>
      <c r="S3464" s="79" t="str">
        <f>IF(AND($O3464=$Q$7,$B3464&lt;'111'!$L$11),"x","")</f>
        <v/>
      </c>
      <c r="T3464" s="79" t="str">
        <f>IF(ISERROR(FIND('112'!$M$9,G3464,1)),"",IF((AND(FIND('112'!$M$9,G3464,1)&gt;=1,B3464='112'!$K$9,OR($N3464='112'!$I$6,$O3464='112'!$I$6))),"x",""))</f>
        <v/>
      </c>
      <c r="U3464" s="79" t="str">
        <f>IF(ISERROR(FIND('112'!$M$9,G3464,1)),"",IF((AND(LEFT(G3464,2)=LEFT('112'!$M$9,2),B3464&lt;'112'!$K$9,$N3464='112'!$I$6)),"x",""))</f>
        <v/>
      </c>
      <c r="V3464" s="79" t="str">
        <f>IF(ISERROR(FIND('112'!$M$9,G3464,1)),"",IF((AND(RIGHT(G3464,2)=RIGHT('112'!$M$9,2),B3464&lt;'112'!$K$9,$O3464='112'!$I$6)),"x",""))</f>
        <v/>
      </c>
      <c r="W3464" s="79" t="str">
        <f>IF(AND('341-CT'!$H$9=H3464,OR(LEFT(N3464,3)=$W$7,LEFT(O3464,3)=$W$7)),"x","")</f>
        <v/>
      </c>
      <c r="X3464" s="79" t="str">
        <f>IF(OR(TH!N3464=TH!$X$7,O3464=TH!$X$7),"x","")</f>
        <v/>
      </c>
      <c r="Y3464" s="79" t="str">
        <f>IF(AND(OR(N3464="131",O3464="131"),H3464='131-CT'!$H$9),"x","")</f>
        <v/>
      </c>
      <c r="Z3464" s="79"/>
      <c r="AA3464" s="79" t="str">
        <f>IF(AND(MONTH(E3464)='IN-NX'!$J$5,'IN-NX'!$D$7=D3464),"x","")</f>
        <v/>
      </c>
      <c r="AB3464" s="79" t="str">
        <f>IF(AND(OR(LEFT(TH!N3464,2)="15",LEFT(TH!O3464,2)="15"),LEFT(TH!O3464,3)&lt;&gt;"111",'152-CT'!$J$8=TH!F3464),"x","")</f>
        <v/>
      </c>
      <c r="AC3464" s="79" t="str">
        <f>IF(AND(OR(LEFT(TH!N3464,2)="15",LEFT(TH!O3464,2)="15"),TK!$E$7=TH!F3464),"x","")</f>
        <v/>
      </c>
      <c r="AD3464" s="79" t="str">
        <f>IF(AND(N3464="1521",MONTH(C3464)='BK-NL'!$M$11),"x","")</f>
        <v/>
      </c>
    </row>
    <row r="3465" spans="1:30" ht="16.5" customHeight="1">
      <c r="A3465" s="318" t="str">
        <f>IF(B3465&lt;&gt;"",IF(AND(B3465='IN-TC'!$S$4,OR(TH!N3465="1111",TH!O3465="1111")),TH!D3465,""),"")</f>
        <v/>
      </c>
      <c r="B3465" s="60" t="str">
        <f t="shared" si="392"/>
        <v/>
      </c>
      <c r="C3465" s="301"/>
      <c r="D3465" s="301"/>
      <c r="E3465" s="301"/>
      <c r="F3465" s="302"/>
      <c r="G3465" s="988"/>
      <c r="H3465" s="69"/>
      <c r="I3465" s="385"/>
      <c r="J3465" s="969"/>
      <c r="K3465" s="385"/>
      <c r="L3465" s="392"/>
      <c r="M3465" s="970"/>
      <c r="N3465" s="304"/>
      <c r="O3465" s="304"/>
      <c r="P3465" s="79" t="str">
        <f>IF(AND('331-CT'!$E$7=TH!H3465,OR(N3465="331",O3465="331")),"x","")</f>
        <v/>
      </c>
      <c r="Q3465" s="79" t="str">
        <f>IF(AND(B3465='111'!$L$11,OR($N3465=$Q$7,$O3465=$Q$7)),"x","")</f>
        <v/>
      </c>
      <c r="R3465" s="79" t="str">
        <f>IF(AND($N3465=$Q$7,$B3465&lt;'111'!$L$11),"x","")</f>
        <v/>
      </c>
      <c r="S3465" s="79" t="str">
        <f>IF(AND($O3465=$Q$7,$B3465&lt;'111'!$L$11),"x","")</f>
        <v/>
      </c>
      <c r="T3465" s="79" t="str">
        <f>IF(ISERROR(FIND('112'!$M$9,G3465,1)),"",IF((AND(FIND('112'!$M$9,G3465,1)&gt;=1,B3465='112'!$K$9,OR($N3465='112'!$I$6,$O3465='112'!$I$6))),"x",""))</f>
        <v/>
      </c>
      <c r="U3465" s="79" t="str">
        <f>IF(ISERROR(FIND('112'!$M$9,G3465,1)),"",IF((AND(LEFT(G3465,2)=LEFT('112'!$M$9,2),B3465&lt;'112'!$K$9,$N3465='112'!$I$6)),"x",""))</f>
        <v/>
      </c>
      <c r="V3465" s="79" t="str">
        <f>IF(ISERROR(FIND('112'!$M$9,G3465,1)),"",IF((AND(RIGHT(G3465,2)=RIGHT('112'!$M$9,2),B3465&lt;'112'!$K$9,$O3465='112'!$I$6)),"x",""))</f>
        <v/>
      </c>
      <c r="W3465" s="79" t="str">
        <f>IF(AND('341-CT'!$H$9=H3465,OR(LEFT(N3465,3)=$W$7,LEFT(O3465,3)=$W$7)),"x","")</f>
        <v/>
      </c>
      <c r="X3465" s="79" t="str">
        <f>IF(OR(TH!N3465=TH!$X$7,O3465=TH!$X$7),"x","")</f>
        <v/>
      </c>
      <c r="Y3465" s="79" t="str">
        <f>IF(AND(OR(N3465="131",O3465="131"),H3465='131-CT'!$H$9),"x","")</f>
        <v/>
      </c>
      <c r="Z3465" s="79"/>
      <c r="AA3465" s="79" t="str">
        <f>IF(AND(MONTH(E3465)='IN-NX'!$J$5,'IN-NX'!$D$7=D3465),"x","")</f>
        <v/>
      </c>
      <c r="AB3465" s="79" t="str">
        <f>IF(AND(OR(LEFT(TH!N3465,2)="15",LEFT(TH!O3465,2)="15"),LEFT(TH!O3465,3)&lt;&gt;"111",'152-CT'!$J$8=TH!F3465),"x","")</f>
        <v/>
      </c>
      <c r="AC3465" s="79" t="str">
        <f>IF(AND(OR(LEFT(TH!N3465,2)="15",LEFT(TH!O3465,2)="15"),TK!$E$7=TH!F3465),"x","")</f>
        <v/>
      </c>
      <c r="AD3465" s="79" t="str">
        <f>IF(AND(N3465="1521",MONTH(C3465)='BK-NL'!$M$11),"x","")</f>
        <v/>
      </c>
    </row>
    <row r="3466" spans="1:30" ht="16.5" customHeight="1">
      <c r="A3466" s="318" t="str">
        <f>IF(B3466&lt;&gt;"",IF(AND(B3466='IN-TC'!$S$4,OR(TH!N3466="1111",TH!O3466="1111")),TH!D3466,""),"")</f>
        <v/>
      </c>
      <c r="B3466" s="60" t="str">
        <f t="shared" si="392"/>
        <v/>
      </c>
      <c r="C3466" s="61"/>
      <c r="D3466" s="61"/>
      <c r="E3466" s="61"/>
      <c r="F3466" s="64"/>
      <c r="G3466" s="64"/>
      <c r="H3466" s="69"/>
      <c r="I3466" s="385"/>
      <c r="J3466" s="395"/>
      <c r="K3466" s="385"/>
      <c r="L3466" s="392"/>
      <c r="M3466" s="62"/>
      <c r="N3466" s="63"/>
      <c r="O3466" s="63"/>
      <c r="P3466" s="79" t="str">
        <f>IF(AND('331-CT'!$E$7=TH!H3466,OR(N3466="331",O3466="331")),"x","")</f>
        <v/>
      </c>
      <c r="Q3466" s="79" t="str">
        <f>IF(AND(B3466='111'!$L$11,OR($N3466=$Q$7,$O3466=$Q$7)),"x","")</f>
        <v/>
      </c>
      <c r="R3466" s="79" t="str">
        <f>IF(AND($N3466=$Q$7,$B3466&lt;'111'!$L$11),"x","")</f>
        <v/>
      </c>
      <c r="S3466" s="79" t="str">
        <f>IF(AND($O3466=$Q$7,$B3466&lt;'111'!$L$11),"x","")</f>
        <v/>
      </c>
      <c r="T3466" s="79" t="str">
        <f>IF(ISERROR(FIND('112'!$M$9,G3466,1)),"",IF((AND(FIND('112'!$M$9,G3466,1)&gt;=1,B3466='112'!$K$9,OR($N3466='112'!$I$6,$O3466='112'!$I$6))),"x",""))</f>
        <v/>
      </c>
      <c r="U3466" s="79" t="str">
        <f>IF(ISERROR(FIND('112'!$M$9,G3466,1)),"",IF((AND(LEFT(G3466,2)=LEFT('112'!$M$9,2),B3466&lt;'112'!$K$9,$N3466='112'!$I$6)),"x",""))</f>
        <v/>
      </c>
      <c r="V3466" s="79" t="str">
        <f>IF(ISERROR(FIND('112'!$M$9,G3466,1)),"",IF((AND(RIGHT(G3466,2)=RIGHT('112'!$M$9,2),B3466&lt;'112'!$K$9,$O3466='112'!$I$6)),"x",""))</f>
        <v/>
      </c>
      <c r="W3466" s="79" t="str">
        <f>IF(AND('341-CT'!$H$9=H3466,OR(LEFT(N3466,3)=$W$7,LEFT(O3466,3)=$W$7)),"x","")</f>
        <v/>
      </c>
      <c r="X3466" s="79" t="str">
        <f>IF(OR(TH!N3466=TH!$X$7,O3466=TH!$X$7),"x","")</f>
        <v/>
      </c>
      <c r="Y3466" s="79" t="str">
        <f>IF(AND(OR(N3466="131",O3466="131"),H3466='131-CT'!$H$9),"x","")</f>
        <v/>
      </c>
      <c r="Z3466" s="79"/>
      <c r="AA3466" s="79" t="str">
        <f>IF(AND(MONTH(E3466)='IN-NX'!$J$5,'IN-NX'!$D$7=D3466),"x","")</f>
        <v/>
      </c>
      <c r="AB3466" s="79" t="str">
        <f>IF(AND(OR(LEFT(TH!N3466,2)="15",LEFT(TH!O3466,2)="15"),LEFT(TH!O3466,3)&lt;&gt;"111",'152-CT'!$J$8=TH!F3466),"x","")</f>
        <v/>
      </c>
      <c r="AC3466" s="79" t="str">
        <f>IF(AND(OR(LEFT(TH!N3466,2)="15",LEFT(TH!O3466,2)="15"),TK!$E$7=TH!F3466),"x","")</f>
        <v/>
      </c>
      <c r="AD3466" s="79" t="str">
        <f>IF(AND(N3466="1521",MONTH(C3466)='BK-NL'!$M$11),"x","")</f>
        <v/>
      </c>
    </row>
    <row r="3467" spans="1:30" ht="16.5" customHeight="1">
      <c r="A3467" s="318" t="str">
        <f>IF(B3467&lt;&gt;"",IF(AND(B3467='IN-TC'!$S$4,OR(TH!N3467="1111",TH!O3467="1111")),TH!D3467,""),"")</f>
        <v/>
      </c>
      <c r="B3467" s="60" t="str">
        <f t="shared" si="392"/>
        <v/>
      </c>
      <c r="C3467" s="61"/>
      <c r="D3467" s="61"/>
      <c r="E3467" s="61"/>
      <c r="F3467" s="64"/>
      <c r="G3467" s="64"/>
      <c r="H3467" s="69"/>
      <c r="I3467" s="385"/>
      <c r="J3467" s="395"/>
      <c r="K3467" s="385"/>
      <c r="L3467" s="392"/>
      <c r="M3467" s="62"/>
      <c r="N3467" s="63"/>
      <c r="O3467" s="63"/>
      <c r="P3467" s="79" t="str">
        <f>IF(AND('331-CT'!$E$7=TH!H3467,OR(N3467="331",O3467="331")),"x","")</f>
        <v/>
      </c>
      <c r="Q3467" s="79" t="str">
        <f>IF(AND(B3467='111'!$L$11,OR($N3467=$Q$7,$O3467=$Q$7)),"x","")</f>
        <v/>
      </c>
      <c r="R3467" s="79" t="str">
        <f>IF(AND($N3467=$Q$7,$B3467&lt;'111'!$L$11),"x","")</f>
        <v/>
      </c>
      <c r="S3467" s="79" t="str">
        <f>IF(AND($O3467=$Q$7,$B3467&lt;'111'!$L$11),"x","")</f>
        <v/>
      </c>
      <c r="T3467" s="79" t="str">
        <f>IF(ISERROR(FIND('112'!$M$9,G3467,1)),"",IF((AND(FIND('112'!$M$9,G3467,1)&gt;=1,B3467='112'!$K$9,OR($N3467='112'!$I$6,$O3467='112'!$I$6))),"x",""))</f>
        <v/>
      </c>
      <c r="U3467" s="79" t="str">
        <f>IF(ISERROR(FIND('112'!$M$9,G3467,1)),"",IF((AND(LEFT(G3467,2)=LEFT('112'!$M$9,2),B3467&lt;'112'!$K$9,$N3467='112'!$I$6)),"x",""))</f>
        <v/>
      </c>
      <c r="V3467" s="79" t="str">
        <f>IF(ISERROR(FIND('112'!$M$9,G3467,1)),"",IF((AND(RIGHT(G3467,2)=RIGHT('112'!$M$9,2),B3467&lt;'112'!$K$9,$O3467='112'!$I$6)),"x",""))</f>
        <v/>
      </c>
      <c r="W3467" s="79" t="str">
        <f>IF(AND('341-CT'!$H$9=H3467,OR(LEFT(N3467,3)=$W$7,LEFT(O3467,3)=$W$7)),"x","")</f>
        <v/>
      </c>
      <c r="X3467" s="79" t="str">
        <f>IF(OR(TH!N3467=TH!$X$7,O3467=TH!$X$7),"x","")</f>
        <v/>
      </c>
      <c r="Y3467" s="79" t="str">
        <f>IF(AND(OR(N3467="131",O3467="131"),H3467='131-CT'!$H$9),"x","")</f>
        <v/>
      </c>
      <c r="Z3467" s="79"/>
      <c r="AA3467" s="79" t="str">
        <f>IF(AND(MONTH(E3467)='IN-NX'!$J$5,'IN-NX'!$D$7=D3467),"x","")</f>
        <v/>
      </c>
      <c r="AB3467" s="79" t="str">
        <f>IF(AND(OR(LEFT(TH!N3467,2)="15",LEFT(TH!O3467,2)="15"),LEFT(TH!O3467,3)&lt;&gt;"111",'152-CT'!$J$8=TH!F3467),"x","")</f>
        <v/>
      </c>
      <c r="AC3467" s="79" t="str">
        <f>IF(AND(OR(LEFT(TH!N3467,2)="15",LEFT(TH!O3467,2)="15"),TK!$E$7=TH!F3467),"x","")</f>
        <v/>
      </c>
      <c r="AD3467" s="79" t="str">
        <f>IF(AND(N3467="1521",MONTH(C3467)='BK-NL'!$M$11),"x","")</f>
        <v/>
      </c>
    </row>
    <row r="3468" spans="1:30" ht="16.5" customHeight="1">
      <c r="A3468" s="318" t="str">
        <f>IF(B3468&lt;&gt;"",IF(AND(B3468='IN-TC'!$S$4,OR(TH!N3468="1111",TH!O3468="1111")),TH!D3468,""),"")</f>
        <v/>
      </c>
      <c r="B3468" s="60" t="str">
        <f t="shared" si="392"/>
        <v/>
      </c>
      <c r="C3468" s="61"/>
      <c r="D3468" s="61"/>
      <c r="E3468" s="61"/>
      <c r="F3468" s="64"/>
      <c r="G3468" s="64"/>
      <c r="H3468" s="69"/>
      <c r="I3468" s="385"/>
      <c r="J3468" s="395"/>
      <c r="K3468" s="385"/>
      <c r="L3468" s="392"/>
      <c r="M3468" s="62"/>
      <c r="N3468" s="63"/>
      <c r="O3468" s="63"/>
      <c r="P3468" s="79" t="str">
        <f>IF(AND('331-CT'!$E$7=TH!H3468,OR(N3468="331",O3468="331")),"x","")</f>
        <v/>
      </c>
      <c r="Q3468" s="79" t="str">
        <f>IF(AND(B3468='111'!$L$11,OR($N3468=$Q$7,$O3468=$Q$7)),"x","")</f>
        <v/>
      </c>
      <c r="R3468" s="79" t="str">
        <f>IF(AND($N3468=$Q$7,$B3468&lt;'111'!$L$11),"x","")</f>
        <v/>
      </c>
      <c r="S3468" s="79" t="str">
        <f>IF(AND($O3468=$Q$7,$B3468&lt;'111'!$L$11),"x","")</f>
        <v/>
      </c>
      <c r="T3468" s="79" t="str">
        <f>IF(ISERROR(FIND('112'!$M$9,G3468,1)),"",IF((AND(FIND('112'!$M$9,G3468,1)&gt;=1,B3468='112'!$K$9,OR($N3468='112'!$I$6,$O3468='112'!$I$6))),"x",""))</f>
        <v/>
      </c>
      <c r="U3468" s="79" t="str">
        <f>IF(ISERROR(FIND('112'!$M$9,G3468,1)),"",IF((AND(LEFT(G3468,2)=LEFT('112'!$M$9,2),B3468&lt;'112'!$K$9,$N3468='112'!$I$6)),"x",""))</f>
        <v/>
      </c>
      <c r="V3468" s="79" t="str">
        <f>IF(ISERROR(FIND('112'!$M$9,G3468,1)),"",IF((AND(RIGHT(G3468,2)=RIGHT('112'!$M$9,2),B3468&lt;'112'!$K$9,$O3468='112'!$I$6)),"x",""))</f>
        <v/>
      </c>
      <c r="W3468" s="79" t="str">
        <f>IF(AND('341-CT'!$H$9=H3468,OR(LEFT(N3468,3)=$W$7,LEFT(O3468,3)=$W$7)),"x","")</f>
        <v/>
      </c>
      <c r="X3468" s="79" t="str">
        <f>IF(OR(TH!N3468=TH!$X$7,O3468=TH!$X$7),"x","")</f>
        <v/>
      </c>
      <c r="Y3468" s="79" t="str">
        <f>IF(AND(OR(N3468="131",O3468="131"),H3468='131-CT'!$H$9),"x","")</f>
        <v/>
      </c>
      <c r="Z3468" s="79"/>
      <c r="AA3468" s="79" t="str">
        <f>IF(AND(MONTH(E3468)='IN-NX'!$J$5,'IN-NX'!$D$7=D3468),"x","")</f>
        <v/>
      </c>
      <c r="AB3468" s="79" t="str">
        <f>IF(AND(OR(LEFT(TH!N3468,2)="15",LEFT(TH!O3468,2)="15"),LEFT(TH!O3468,3)&lt;&gt;"111",'152-CT'!$J$8=TH!F3468),"x","")</f>
        <v/>
      </c>
      <c r="AC3468" s="79" t="str">
        <f>IF(AND(OR(LEFT(TH!N3468,2)="15",LEFT(TH!O3468,2)="15"),TK!$E$7=TH!F3468),"x","")</f>
        <v/>
      </c>
      <c r="AD3468" s="79" t="str">
        <f>IF(AND(N3468="1521",MONTH(C3468)='BK-NL'!$M$11),"x","")</f>
        <v/>
      </c>
    </row>
    <row r="3469" spans="1:30" ht="16.5" customHeight="1">
      <c r="A3469" s="318" t="str">
        <f>IF(B3469&lt;&gt;"",IF(AND(B3469='IN-TC'!$S$4,OR(TH!N3469="1111",TH!O3469="1111")),TH!D3469,""),"")</f>
        <v/>
      </c>
      <c r="B3469" s="60" t="str">
        <f t="shared" si="392"/>
        <v/>
      </c>
      <c r="C3469" s="61"/>
      <c r="D3469" s="61"/>
      <c r="E3469" s="61"/>
      <c r="F3469" s="64"/>
      <c r="G3469" s="64"/>
      <c r="H3469" s="69"/>
      <c r="I3469" s="385"/>
      <c r="J3469" s="395"/>
      <c r="K3469" s="385"/>
      <c r="L3469" s="392"/>
      <c r="M3469" s="62"/>
      <c r="N3469" s="63"/>
      <c r="O3469" s="63"/>
      <c r="P3469" s="79" t="str">
        <f>IF(AND('331-CT'!$E$7=TH!H3469,OR(N3469="331",O3469="331")),"x","")</f>
        <v/>
      </c>
      <c r="Q3469" s="79" t="str">
        <f>IF(AND(B3469='111'!$L$11,OR($N3469=$Q$7,$O3469=$Q$7)),"x","")</f>
        <v/>
      </c>
      <c r="R3469" s="79" t="str">
        <f>IF(AND($N3469=$Q$7,$B3469&lt;'111'!$L$11),"x","")</f>
        <v/>
      </c>
      <c r="S3469" s="79" t="str">
        <f>IF(AND($O3469=$Q$7,$B3469&lt;'111'!$L$11),"x","")</f>
        <v/>
      </c>
      <c r="T3469" s="79" t="str">
        <f>IF(ISERROR(FIND('112'!$M$9,G3469,1)),"",IF((AND(FIND('112'!$M$9,G3469,1)&gt;=1,B3469='112'!$K$9,OR($N3469='112'!$I$6,$O3469='112'!$I$6))),"x",""))</f>
        <v/>
      </c>
      <c r="U3469" s="79" t="str">
        <f>IF(ISERROR(FIND('112'!$M$9,G3469,1)),"",IF((AND(LEFT(G3469,2)=LEFT('112'!$M$9,2),B3469&lt;'112'!$K$9,$N3469='112'!$I$6)),"x",""))</f>
        <v/>
      </c>
      <c r="V3469" s="79" t="str">
        <f>IF(ISERROR(FIND('112'!$M$9,G3469,1)),"",IF((AND(RIGHT(G3469,2)=RIGHT('112'!$M$9,2),B3469&lt;'112'!$K$9,$O3469='112'!$I$6)),"x",""))</f>
        <v/>
      </c>
      <c r="W3469" s="79" t="str">
        <f>IF(AND('341-CT'!$H$9=H3469,OR(LEFT(N3469,3)=$W$7,LEFT(O3469,3)=$W$7)),"x","")</f>
        <v/>
      </c>
      <c r="X3469" s="79" t="str">
        <f>IF(OR(TH!N3469=TH!$X$7,O3469=TH!$X$7),"x","")</f>
        <v/>
      </c>
      <c r="Y3469" s="79" t="str">
        <f>IF(AND(OR(N3469="131",O3469="131"),H3469='131-CT'!$H$9),"x","")</f>
        <v/>
      </c>
      <c r="Z3469" s="79"/>
      <c r="AA3469" s="79" t="str">
        <f>IF(AND(MONTH(E3469)='IN-NX'!$J$5,'IN-NX'!$D$7=D3469),"x","")</f>
        <v/>
      </c>
      <c r="AB3469" s="79" t="str">
        <f>IF(AND(OR(LEFT(TH!N3469,2)="15",LEFT(TH!O3469,2)="15"),LEFT(TH!O3469,3)&lt;&gt;"111",'152-CT'!$J$8=TH!F3469),"x","")</f>
        <v/>
      </c>
      <c r="AC3469" s="79" t="str">
        <f>IF(AND(OR(LEFT(TH!N3469,2)="15",LEFT(TH!O3469,2)="15"),TK!$E$7=TH!F3469),"x","")</f>
        <v/>
      </c>
      <c r="AD3469" s="79" t="str">
        <f>IF(AND(N3469="1521",MONTH(C3469)='BK-NL'!$M$11),"x","")</f>
        <v/>
      </c>
    </row>
    <row r="3470" spans="1:30" ht="16.5" customHeight="1">
      <c r="A3470" s="318" t="str">
        <f>IF(B3470&lt;&gt;"",IF(AND(B3470='IN-TC'!$S$4,OR(TH!N3470="1111",TH!O3470="1111")),TH!D3470,""),"")</f>
        <v/>
      </c>
      <c r="B3470" s="60" t="str">
        <f t="shared" si="392"/>
        <v/>
      </c>
      <c r="C3470" s="61"/>
      <c r="D3470" s="61"/>
      <c r="E3470" s="61"/>
      <c r="F3470" s="302"/>
      <c r="G3470" s="64"/>
      <c r="H3470" s="321"/>
      <c r="I3470" s="385"/>
      <c r="J3470" s="395"/>
      <c r="K3470" s="385"/>
      <c r="L3470" s="392"/>
      <c r="M3470" s="62"/>
      <c r="N3470" s="63"/>
      <c r="O3470" s="63"/>
      <c r="P3470" s="79" t="str">
        <f>IF(AND('331-CT'!$E$7=TH!H3470,OR(N3470="331",O3470="331")),"x","")</f>
        <v/>
      </c>
      <c r="Q3470" s="79" t="str">
        <f>IF(AND(B3470='111'!$L$11,OR($N3470=$Q$7,$O3470=$Q$7)),"x","")</f>
        <v/>
      </c>
      <c r="R3470" s="79" t="str">
        <f>IF(AND($N3470=$Q$7,$B3470&lt;'111'!$L$11),"x","")</f>
        <v/>
      </c>
      <c r="S3470" s="79" t="str">
        <f>IF(AND($O3470=$Q$7,$B3470&lt;'111'!$L$11),"x","")</f>
        <v/>
      </c>
      <c r="T3470" s="79" t="str">
        <f>IF(ISERROR(FIND('112'!$M$9,G3470,1)),"",IF((AND(FIND('112'!$M$9,G3470,1)&gt;=1,B3470='112'!$K$9,OR($N3470='112'!$I$6,$O3470='112'!$I$6))),"x",""))</f>
        <v/>
      </c>
      <c r="U3470" s="79" t="str">
        <f>IF(ISERROR(FIND('112'!$M$9,G3470,1)),"",IF((AND(LEFT(G3470,2)=LEFT('112'!$M$9,2),B3470&lt;'112'!$K$9,$N3470='112'!$I$6)),"x",""))</f>
        <v/>
      </c>
      <c r="V3470" s="79" t="str">
        <f>IF(ISERROR(FIND('112'!$M$9,G3470,1)),"",IF((AND(RIGHT(G3470,2)=RIGHT('112'!$M$9,2),B3470&lt;'112'!$K$9,$O3470='112'!$I$6)),"x",""))</f>
        <v/>
      </c>
      <c r="W3470" s="79" t="str">
        <f>IF(AND('341-CT'!$H$9=H3470,OR(LEFT(N3470,3)=$W$7,LEFT(O3470,3)=$W$7)),"x","")</f>
        <v/>
      </c>
      <c r="X3470" s="79" t="str">
        <f>IF(OR(TH!N3470=TH!$X$7,O3470=TH!$X$7),"x","")</f>
        <v/>
      </c>
      <c r="Y3470" s="79" t="str">
        <f>IF(AND(OR(N3470="131",O3470="131"),H3470='131-CT'!$H$9),"x","")</f>
        <v/>
      </c>
      <c r="Z3470" s="79"/>
      <c r="AA3470" s="79" t="str">
        <f>IF(AND(MONTH(E3470)='IN-NX'!$J$5,'IN-NX'!$D$7=D3470),"x","")</f>
        <v/>
      </c>
      <c r="AB3470" s="79" t="str">
        <f>IF(AND(OR(LEFT(TH!N3470,2)="15",LEFT(TH!O3470,2)="15"),LEFT(TH!O3470,3)&lt;&gt;"111",'152-CT'!$J$8=TH!F3470),"x","")</f>
        <v/>
      </c>
      <c r="AC3470" s="79" t="str">
        <f>IF(AND(OR(LEFT(TH!N3470,2)="15",LEFT(TH!O3470,2)="15"),TK!$E$7=TH!F3470),"x","")</f>
        <v/>
      </c>
      <c r="AD3470" s="79" t="str">
        <f>IF(AND(N3470="1521",MONTH(C3470)='BK-NL'!$M$11),"x","")</f>
        <v/>
      </c>
    </row>
    <row r="3471" spans="1:30" ht="16.5" customHeight="1">
      <c r="A3471" s="318" t="str">
        <f>IF(B3471&lt;&gt;"",IF(AND(B3471='IN-TC'!$S$4,OR(TH!N3471="1111",TH!O3471="1111")),TH!D3471,""),"")</f>
        <v/>
      </c>
      <c r="B3471" s="60" t="str">
        <f t="shared" si="392"/>
        <v/>
      </c>
      <c r="C3471" s="61"/>
      <c r="D3471" s="61"/>
      <c r="E3471" s="61"/>
      <c r="F3471" s="64"/>
      <c r="G3471" s="64"/>
      <c r="H3471" s="69"/>
      <c r="I3471" s="385"/>
      <c r="J3471" s="395"/>
      <c r="K3471" s="385"/>
      <c r="L3471" s="392"/>
      <c r="M3471" s="62"/>
      <c r="N3471" s="63"/>
      <c r="O3471" s="63"/>
      <c r="P3471" s="79" t="str">
        <f>IF(AND('331-CT'!$E$7=TH!H3471,OR(N3471="331",O3471="331")),"x","")</f>
        <v/>
      </c>
      <c r="Q3471" s="79" t="str">
        <f>IF(AND(B3471='111'!$L$11,OR($N3471=$Q$7,$O3471=$Q$7)),"x","")</f>
        <v/>
      </c>
      <c r="R3471" s="79" t="str">
        <f>IF(AND($N3471=$Q$7,$B3471&lt;'111'!$L$11),"x","")</f>
        <v/>
      </c>
      <c r="S3471" s="79" t="str">
        <f>IF(AND($O3471=$Q$7,$B3471&lt;'111'!$L$11),"x","")</f>
        <v/>
      </c>
      <c r="T3471" s="79" t="str">
        <f>IF(ISERROR(FIND('112'!$M$9,G3471,1)),"",IF((AND(FIND('112'!$M$9,G3471,1)&gt;=1,B3471='112'!$K$9,OR($N3471='112'!$I$6,$O3471='112'!$I$6))),"x",""))</f>
        <v/>
      </c>
      <c r="U3471" s="79" t="str">
        <f>IF(ISERROR(FIND('112'!$M$9,G3471,1)),"",IF((AND(LEFT(G3471,2)=LEFT('112'!$M$9,2),B3471&lt;'112'!$K$9,$N3471='112'!$I$6)),"x",""))</f>
        <v/>
      </c>
      <c r="V3471" s="79" t="str">
        <f>IF(ISERROR(FIND('112'!$M$9,G3471,1)),"",IF((AND(RIGHT(G3471,2)=RIGHT('112'!$M$9,2),B3471&lt;'112'!$K$9,$O3471='112'!$I$6)),"x",""))</f>
        <v/>
      </c>
      <c r="W3471" s="79" t="str">
        <f>IF(AND('341-CT'!$H$9=H3471,OR(LEFT(N3471,3)=$W$7,LEFT(O3471,3)=$W$7)),"x","")</f>
        <v/>
      </c>
      <c r="X3471" s="79" t="str">
        <f>IF(OR(TH!N3471=TH!$X$7,O3471=TH!$X$7),"x","")</f>
        <v/>
      </c>
      <c r="Y3471" s="79" t="str">
        <f>IF(AND(OR(N3471="131",O3471="131"),H3471='131-CT'!$H$9),"x","")</f>
        <v/>
      </c>
      <c r="Z3471" s="79"/>
      <c r="AA3471" s="79" t="str">
        <f>IF(AND(MONTH(E3471)='IN-NX'!$J$5,'IN-NX'!$D$7=D3471),"x","")</f>
        <v/>
      </c>
      <c r="AB3471" s="79" t="str">
        <f>IF(AND(OR(LEFT(TH!N3471,2)="15",LEFT(TH!O3471,2)="15"),LEFT(TH!O3471,3)&lt;&gt;"111",'152-CT'!$J$8=TH!F3471),"x","")</f>
        <v/>
      </c>
      <c r="AC3471" s="79" t="str">
        <f>IF(AND(OR(LEFT(TH!N3471,2)="15",LEFT(TH!O3471,2)="15"),TK!$E$7=TH!F3471),"x","")</f>
        <v/>
      </c>
      <c r="AD3471" s="79" t="str">
        <f>IF(AND(N3471="1521",MONTH(C3471)='BK-NL'!$M$11),"x","")</f>
        <v/>
      </c>
    </row>
    <row r="3472" spans="1:30" ht="16.5" customHeight="1">
      <c r="A3472" s="318" t="str">
        <f>IF(B3472&lt;&gt;"",IF(AND(B3472='IN-TC'!$S$4,OR(TH!N3472="1111",TH!O3472="1111")),TH!D3472,""),"")</f>
        <v/>
      </c>
      <c r="B3472" s="60" t="str">
        <f t="shared" si="392"/>
        <v/>
      </c>
      <c r="C3472" s="61"/>
      <c r="D3472" s="61"/>
      <c r="E3472" s="61"/>
      <c r="F3472" s="64"/>
      <c r="G3472" s="64"/>
      <c r="H3472" s="69"/>
      <c r="I3472" s="385"/>
      <c r="J3472" s="395"/>
      <c r="K3472" s="385"/>
      <c r="L3472" s="392"/>
      <c r="M3472" s="62"/>
      <c r="N3472" s="63"/>
      <c r="O3472" s="63"/>
      <c r="P3472" s="79" t="str">
        <f>IF(AND('331-CT'!$E$7=TH!H3472,OR(N3472="331",O3472="331")),"x","")</f>
        <v/>
      </c>
      <c r="Q3472" s="79" t="str">
        <f>IF(AND(B3472='111'!$L$11,OR($N3472=$Q$7,$O3472=$Q$7)),"x","")</f>
        <v/>
      </c>
      <c r="R3472" s="79" t="str">
        <f>IF(AND($N3472=$Q$7,$B3472&lt;'111'!$L$11),"x","")</f>
        <v/>
      </c>
      <c r="S3472" s="79" t="str">
        <f>IF(AND($O3472=$Q$7,$B3472&lt;'111'!$L$11),"x","")</f>
        <v/>
      </c>
      <c r="T3472" s="79" t="str">
        <f>IF(ISERROR(FIND('112'!$M$9,G3472,1)),"",IF((AND(FIND('112'!$M$9,G3472,1)&gt;=1,B3472='112'!$K$9,OR($N3472='112'!$I$6,$O3472='112'!$I$6))),"x",""))</f>
        <v/>
      </c>
      <c r="U3472" s="79" t="str">
        <f>IF(ISERROR(FIND('112'!$M$9,G3472,1)),"",IF((AND(LEFT(G3472,2)=LEFT('112'!$M$9,2),B3472&lt;'112'!$K$9,$N3472='112'!$I$6)),"x",""))</f>
        <v/>
      </c>
      <c r="V3472" s="79" t="str">
        <f>IF(ISERROR(FIND('112'!$M$9,G3472,1)),"",IF((AND(RIGHT(G3472,2)=RIGHT('112'!$M$9,2),B3472&lt;'112'!$K$9,$O3472='112'!$I$6)),"x",""))</f>
        <v/>
      </c>
      <c r="W3472" s="79" t="str">
        <f>IF(AND('341-CT'!$H$9=H3472,OR(LEFT(N3472,3)=$W$7,LEFT(O3472,3)=$W$7)),"x","")</f>
        <v/>
      </c>
      <c r="X3472" s="79" t="str">
        <f>IF(OR(TH!N3472=TH!$X$7,O3472=TH!$X$7),"x","")</f>
        <v/>
      </c>
      <c r="Y3472" s="79" t="str">
        <f>IF(AND(OR(N3472="131",O3472="131"),H3472='131-CT'!$H$9),"x","")</f>
        <v/>
      </c>
      <c r="Z3472" s="79"/>
      <c r="AA3472" s="79" t="str">
        <f>IF(AND(MONTH(E3472)='IN-NX'!$J$5,'IN-NX'!$D$7=D3472),"x","")</f>
        <v/>
      </c>
      <c r="AB3472" s="79" t="str">
        <f>IF(AND(OR(LEFT(TH!N3472,2)="15",LEFT(TH!O3472,2)="15"),LEFT(TH!O3472,3)&lt;&gt;"111",'152-CT'!$J$8=TH!F3472),"x","")</f>
        <v/>
      </c>
      <c r="AC3472" s="79" t="str">
        <f>IF(AND(OR(LEFT(TH!N3472,2)="15",LEFT(TH!O3472,2)="15"),TK!$E$7=TH!F3472),"x","")</f>
        <v/>
      </c>
      <c r="AD3472" s="79" t="str">
        <f>IF(AND(N3472="1521",MONTH(C3472)='BK-NL'!$M$11),"x","")</f>
        <v/>
      </c>
    </row>
    <row r="3473" spans="1:30" ht="16.5" customHeight="1">
      <c r="A3473" s="318" t="str">
        <f>IF(B3473&lt;&gt;"",IF(AND(B3473='IN-TC'!$S$4,OR(TH!N3473="1111",TH!O3473="1111")),TH!D3473,""),"")</f>
        <v/>
      </c>
      <c r="B3473" s="60" t="str">
        <f t="shared" si="392"/>
        <v/>
      </c>
      <c r="C3473" s="61"/>
      <c r="D3473" s="61"/>
      <c r="E3473" s="61"/>
      <c r="F3473" s="64"/>
      <c r="G3473" s="64"/>
      <c r="H3473" s="69"/>
      <c r="I3473" s="387"/>
      <c r="J3473" s="395"/>
      <c r="K3473" s="387"/>
      <c r="L3473" s="394"/>
      <c r="M3473" s="62"/>
      <c r="N3473" s="63"/>
      <c r="O3473" s="304"/>
      <c r="P3473" s="79" t="str">
        <f>IF(AND('331-CT'!$E$7=TH!H3473,OR(N3473="331",O3473="331")),"x","")</f>
        <v/>
      </c>
      <c r="Q3473" s="79" t="str">
        <f>IF(AND(B3473='111'!$L$11,OR($N3473=$Q$7,$O3473=$Q$7)),"x","")</f>
        <v/>
      </c>
      <c r="R3473" s="79" t="str">
        <f>IF(AND($N3473=$Q$7,$B3473&lt;'111'!$L$11),"x","")</f>
        <v/>
      </c>
      <c r="S3473" s="79" t="str">
        <f>IF(AND($O3473=$Q$7,$B3473&lt;'111'!$L$11),"x","")</f>
        <v/>
      </c>
      <c r="T3473" s="79" t="str">
        <f>IF(ISERROR(FIND('112'!$M$9,G3473,1)),"",IF((AND(FIND('112'!$M$9,G3473,1)&gt;=1,B3473='112'!$K$9,OR($N3473='112'!$I$6,$O3473='112'!$I$6))),"x",""))</f>
        <v/>
      </c>
      <c r="U3473" s="79" t="str">
        <f>IF(ISERROR(FIND('112'!$M$9,G3473,1)),"",IF((AND(LEFT(G3473,2)=LEFT('112'!$M$9,2),B3473&lt;'112'!$K$9,$N3473='112'!$I$6)),"x",""))</f>
        <v/>
      </c>
      <c r="V3473" s="79" t="str">
        <f>IF(ISERROR(FIND('112'!$M$9,G3473,1)),"",IF((AND(RIGHT(G3473,2)=RIGHT('112'!$M$9,2),B3473&lt;'112'!$K$9,$O3473='112'!$I$6)),"x",""))</f>
        <v/>
      </c>
      <c r="W3473" s="79" t="str">
        <f>IF(AND('341-CT'!$H$9=H3473,OR(LEFT(N3473,3)=$W$7,LEFT(O3473,3)=$W$7)),"x","")</f>
        <v/>
      </c>
      <c r="X3473" s="79" t="str">
        <f>IF(OR(TH!N3473=TH!$X$7,O3473=TH!$X$7),"x","")</f>
        <v/>
      </c>
      <c r="Y3473" s="79" t="str">
        <f>IF(AND(OR(N3473="131",O3473="131"),H3473='131-CT'!$H$9),"x","")</f>
        <v/>
      </c>
      <c r="Z3473" s="79"/>
      <c r="AA3473" s="79" t="str">
        <f>IF(AND(MONTH(E3473)='IN-NX'!$J$5,'IN-NX'!$D$7=D3473),"x","")</f>
        <v/>
      </c>
      <c r="AB3473" s="79" t="str">
        <f>IF(AND(OR(LEFT(TH!N3473,2)="15",LEFT(TH!O3473,2)="15"),LEFT(TH!O3473,3)&lt;&gt;"111",'152-CT'!$J$8=TH!F3473),"x","")</f>
        <v/>
      </c>
      <c r="AC3473" s="79" t="str">
        <f>IF(AND(OR(LEFT(TH!N3473,2)="15",LEFT(TH!O3473,2)="15"),TK!$E$7=TH!F3473),"x","")</f>
        <v/>
      </c>
      <c r="AD3473" s="79" t="str">
        <f>IF(AND(N3473="1521",MONTH(C3473)='BK-NL'!$M$11),"x","")</f>
        <v/>
      </c>
    </row>
    <row r="3474" spans="1:30" ht="16.5" customHeight="1">
      <c r="A3474" s="318" t="str">
        <f>IF(B3474&lt;&gt;"",IF(AND(B3474='IN-TC'!$S$4,OR(TH!N3474="1111",TH!O3474="1111")),TH!D3474,""),"")</f>
        <v/>
      </c>
      <c r="B3474" s="60" t="str">
        <f t="shared" si="392"/>
        <v/>
      </c>
      <c r="C3474" s="61"/>
      <c r="D3474" s="61"/>
      <c r="E3474" s="61"/>
      <c r="F3474" s="64"/>
      <c r="G3474" s="64"/>
      <c r="H3474" s="303"/>
      <c r="I3474" s="385"/>
      <c r="J3474" s="395"/>
      <c r="K3474" s="385"/>
      <c r="L3474" s="392"/>
      <c r="M3474" s="62"/>
      <c r="N3474" s="63"/>
      <c r="O3474" s="63"/>
      <c r="P3474" s="79" t="str">
        <f>IF(AND('331-CT'!$E$7=TH!H3474,OR(N3474="331",O3474="331")),"x","")</f>
        <v/>
      </c>
      <c r="Q3474" s="79" t="str">
        <f>IF(AND(B3474='111'!$L$11,OR($N3474=$Q$7,$O3474=$Q$7)),"x","")</f>
        <v/>
      </c>
      <c r="R3474" s="79" t="str">
        <f>IF(AND($N3474=$Q$7,$B3474&lt;'111'!$L$11),"x","")</f>
        <v/>
      </c>
      <c r="S3474" s="79" t="str">
        <f>IF(AND($O3474=$Q$7,$B3474&lt;'111'!$L$11),"x","")</f>
        <v/>
      </c>
      <c r="T3474" s="79" t="str">
        <f>IF(ISERROR(FIND('112'!$M$9,G3474,1)),"",IF((AND(FIND('112'!$M$9,G3474,1)&gt;=1,B3474='112'!$K$9,OR($N3474='112'!$I$6,$O3474='112'!$I$6))),"x",""))</f>
        <v/>
      </c>
      <c r="U3474" s="79" t="str">
        <f>IF(ISERROR(FIND('112'!$M$9,G3474,1)),"",IF((AND(LEFT(G3474,2)=LEFT('112'!$M$9,2),B3474&lt;'112'!$K$9,$N3474='112'!$I$6)),"x",""))</f>
        <v/>
      </c>
      <c r="V3474" s="79" t="str">
        <f>IF(ISERROR(FIND('112'!$M$9,G3474,1)),"",IF((AND(RIGHT(G3474,2)=RIGHT('112'!$M$9,2),B3474&lt;'112'!$K$9,$O3474='112'!$I$6)),"x",""))</f>
        <v/>
      </c>
      <c r="W3474" s="79" t="str">
        <f>IF(AND('341-CT'!$H$9=H3474,OR(LEFT(N3474,3)=$W$7,LEFT(O3474,3)=$W$7)),"x","")</f>
        <v/>
      </c>
      <c r="X3474" s="79" t="str">
        <f>IF(OR(TH!N3474=TH!$X$7,O3474=TH!$X$7),"x","")</f>
        <v/>
      </c>
      <c r="Y3474" s="79" t="str">
        <f>IF(AND(OR(N3474="131",O3474="131"),H3474='131-CT'!$H$9),"x","")</f>
        <v/>
      </c>
      <c r="Z3474" s="79"/>
      <c r="AA3474" s="79" t="str">
        <f>IF(AND(MONTH(E3474)='IN-NX'!$J$5,'IN-NX'!$D$7=D3474),"x","")</f>
        <v/>
      </c>
      <c r="AB3474" s="79" t="str">
        <f>IF(AND(OR(LEFT(TH!N3474,2)="15",LEFT(TH!O3474,2)="15"),LEFT(TH!O3474,3)&lt;&gt;"111",'152-CT'!$J$8=TH!F3474),"x","")</f>
        <v/>
      </c>
      <c r="AC3474" s="79" t="str">
        <f>IF(AND(OR(LEFT(TH!N3474,2)="15",LEFT(TH!O3474,2)="15"),TK!$E$7=TH!F3474),"x","")</f>
        <v/>
      </c>
      <c r="AD3474" s="79" t="str">
        <f>IF(AND(N3474="1521",MONTH(C3474)='BK-NL'!$M$11),"x","")</f>
        <v/>
      </c>
    </row>
    <row r="3475" spans="1:30" ht="16.5" customHeight="1">
      <c r="A3475" s="318" t="str">
        <f>IF(B3475&lt;&gt;"",IF(AND(B3475='IN-TC'!$S$4,OR(TH!N3475="1111",TH!O3475="1111")),TH!D3475,""),"")</f>
        <v/>
      </c>
      <c r="B3475" s="60" t="str">
        <f t="shared" si="392"/>
        <v/>
      </c>
      <c r="C3475" s="61"/>
      <c r="D3475" s="61"/>
      <c r="E3475" s="61"/>
      <c r="F3475" s="64"/>
      <c r="G3475" s="64"/>
      <c r="H3475" s="69"/>
      <c r="I3475" s="385"/>
      <c r="J3475" s="395"/>
      <c r="K3475" s="385"/>
      <c r="L3475" s="392"/>
      <c r="M3475" s="62"/>
      <c r="N3475" s="63"/>
      <c r="O3475" s="63"/>
      <c r="P3475" s="79" t="str">
        <f>IF(AND('331-CT'!$E$7=TH!H3475,OR(N3475="331",O3475="331")),"x","")</f>
        <v/>
      </c>
      <c r="Q3475" s="79" t="str">
        <f>IF(AND(B3475='111'!$L$11,OR($N3475=$Q$7,$O3475=$Q$7)),"x","")</f>
        <v/>
      </c>
      <c r="R3475" s="79" t="str">
        <f>IF(AND($N3475=$Q$7,$B3475&lt;'111'!$L$11),"x","")</f>
        <v/>
      </c>
      <c r="S3475" s="79" t="str">
        <f>IF(AND($O3475=$Q$7,$B3475&lt;'111'!$L$11),"x","")</f>
        <v/>
      </c>
      <c r="T3475" s="79" t="str">
        <f>IF(ISERROR(FIND('112'!$M$9,G3475,1)),"",IF((AND(FIND('112'!$M$9,G3475,1)&gt;=1,B3475='112'!$K$9,OR($N3475='112'!$I$6,$O3475='112'!$I$6))),"x",""))</f>
        <v/>
      </c>
      <c r="U3475" s="79" t="str">
        <f>IF(ISERROR(FIND('112'!$M$9,G3475,1)),"",IF((AND(LEFT(G3475,2)=LEFT('112'!$M$9,2),B3475&lt;'112'!$K$9,$N3475='112'!$I$6)),"x",""))</f>
        <v/>
      </c>
      <c r="V3475" s="79" t="str">
        <f>IF(ISERROR(FIND('112'!$M$9,G3475,1)),"",IF((AND(RIGHT(G3475,2)=RIGHT('112'!$M$9,2),B3475&lt;'112'!$K$9,$O3475='112'!$I$6)),"x",""))</f>
        <v/>
      </c>
      <c r="W3475" s="79" t="str">
        <f>IF(AND('341-CT'!$H$9=H3475,OR(LEFT(N3475,3)=$W$7,LEFT(O3475,3)=$W$7)),"x","")</f>
        <v/>
      </c>
      <c r="X3475" s="79" t="str">
        <f>IF(OR(TH!N3475=TH!$X$7,O3475=TH!$X$7),"x","")</f>
        <v/>
      </c>
      <c r="Y3475" s="79" t="str">
        <f>IF(AND(OR(N3475="131",O3475="131"),H3475='131-CT'!$H$9),"x","")</f>
        <v/>
      </c>
      <c r="Z3475" s="79"/>
      <c r="AA3475" s="79" t="str">
        <f>IF(AND(MONTH(E3475)='IN-NX'!$J$5,'IN-NX'!$D$7=D3475),"x","")</f>
        <v/>
      </c>
      <c r="AB3475" s="79" t="str">
        <f>IF(AND(OR(LEFT(TH!N3475,2)="15",LEFT(TH!O3475,2)="15"),LEFT(TH!O3475,3)&lt;&gt;"111",'152-CT'!$J$8=TH!F3475),"x","")</f>
        <v/>
      </c>
      <c r="AC3475" s="79" t="str">
        <f>IF(AND(OR(LEFT(TH!N3475,2)="15",LEFT(TH!O3475,2)="15"),TK!$E$7=TH!F3475),"x","")</f>
        <v/>
      </c>
      <c r="AD3475" s="79" t="str">
        <f>IF(AND(N3475="1521",MONTH(C3475)='BK-NL'!$M$11),"x","")</f>
        <v/>
      </c>
    </row>
    <row r="3476" spans="1:30" ht="16.5" customHeight="1">
      <c r="A3476" s="318" t="str">
        <f>IF(B3476&lt;&gt;"",IF(AND(B3476='IN-TC'!$S$4,OR(TH!N3476="1111",TH!O3476="1111")),TH!D3476,""),"")</f>
        <v/>
      </c>
      <c r="B3476" s="60" t="str">
        <f t="shared" si="392"/>
        <v/>
      </c>
      <c r="C3476" s="61"/>
      <c r="D3476" s="61"/>
      <c r="E3476" s="61"/>
      <c r="F3476" s="64"/>
      <c r="G3476" s="64"/>
      <c r="H3476" s="69"/>
      <c r="I3476" s="385"/>
      <c r="J3476" s="395"/>
      <c r="K3476" s="385"/>
      <c r="L3476" s="392"/>
      <c r="M3476" s="62"/>
      <c r="N3476" s="63"/>
      <c r="O3476" s="63"/>
      <c r="P3476" s="79" t="str">
        <f>IF(AND('331-CT'!$E$7=TH!H3476,OR(N3476="331",O3476="331")),"x","")</f>
        <v/>
      </c>
      <c r="Q3476" s="79" t="str">
        <f>IF(AND(B3476='111'!$L$11,OR($N3476=$Q$7,$O3476=$Q$7)),"x","")</f>
        <v/>
      </c>
      <c r="R3476" s="79" t="str">
        <f>IF(AND($N3476=$Q$7,$B3476&lt;'111'!$L$11),"x","")</f>
        <v/>
      </c>
      <c r="S3476" s="79" t="str">
        <f>IF(AND($O3476=$Q$7,$B3476&lt;'111'!$L$11),"x","")</f>
        <v/>
      </c>
      <c r="T3476" s="79" t="str">
        <f>IF(ISERROR(FIND('112'!$M$9,G3476,1)),"",IF((AND(FIND('112'!$M$9,G3476,1)&gt;=1,B3476='112'!$K$9,OR($N3476='112'!$I$6,$O3476='112'!$I$6))),"x",""))</f>
        <v/>
      </c>
      <c r="U3476" s="79" t="str">
        <f>IF(ISERROR(FIND('112'!$M$9,G3476,1)),"",IF((AND(LEFT(G3476,2)=LEFT('112'!$M$9,2),B3476&lt;'112'!$K$9,$N3476='112'!$I$6)),"x",""))</f>
        <v/>
      </c>
      <c r="V3476" s="79" t="str">
        <f>IF(ISERROR(FIND('112'!$M$9,G3476,1)),"",IF((AND(RIGHT(G3476,2)=RIGHT('112'!$M$9,2),B3476&lt;'112'!$K$9,$O3476='112'!$I$6)),"x",""))</f>
        <v/>
      </c>
      <c r="W3476" s="79" t="str">
        <f>IF(AND('341-CT'!$H$9=H3476,OR(LEFT(N3476,3)=$W$7,LEFT(O3476,3)=$W$7)),"x","")</f>
        <v/>
      </c>
      <c r="X3476" s="79" t="str">
        <f>IF(OR(TH!N3476=TH!$X$7,O3476=TH!$X$7),"x","")</f>
        <v/>
      </c>
      <c r="Y3476" s="79" t="str">
        <f>IF(AND(OR(N3476="131",O3476="131"),H3476='131-CT'!$H$9),"x","")</f>
        <v/>
      </c>
      <c r="Z3476" s="79"/>
      <c r="AA3476" s="79" t="str">
        <f>IF(AND(MONTH(E3476)='IN-NX'!$J$5,'IN-NX'!$D$7=D3476),"x","")</f>
        <v/>
      </c>
      <c r="AB3476" s="79" t="str">
        <f>IF(AND(OR(LEFT(TH!N3476,2)="15",LEFT(TH!O3476,2)="15"),LEFT(TH!O3476,3)&lt;&gt;"111",'152-CT'!$J$8=TH!F3476),"x","")</f>
        <v/>
      </c>
      <c r="AC3476" s="79" t="str">
        <f>IF(AND(OR(LEFT(TH!N3476,2)="15",LEFT(TH!O3476,2)="15"),TK!$E$7=TH!F3476),"x","")</f>
        <v/>
      </c>
      <c r="AD3476" s="79" t="str">
        <f>IF(AND(N3476="1521",MONTH(C3476)='BK-NL'!$M$11),"x","")</f>
        <v/>
      </c>
    </row>
    <row r="3477" spans="1:30" ht="16.5" customHeight="1">
      <c r="A3477" s="318" t="str">
        <f>IF(B3477&lt;&gt;"",IF(AND(B3477='IN-TC'!$S$4,OR(TH!N3477="1111",TH!O3477="1111")),TH!D3477,""),"")</f>
        <v/>
      </c>
      <c r="B3477" s="60" t="str">
        <f t="shared" si="392"/>
        <v/>
      </c>
      <c r="C3477" s="61"/>
      <c r="D3477" s="61"/>
      <c r="E3477" s="61"/>
      <c r="F3477" s="64"/>
      <c r="G3477" s="64"/>
      <c r="H3477" s="69"/>
      <c r="I3477" s="385"/>
      <c r="J3477" s="395"/>
      <c r="K3477" s="385"/>
      <c r="L3477" s="392"/>
      <c r="M3477" s="62"/>
      <c r="N3477" s="63"/>
      <c r="O3477" s="63"/>
      <c r="P3477" s="79" t="str">
        <f>IF(AND('331-CT'!$E$7=TH!H3477,OR(N3477="331",O3477="331")),"x","")</f>
        <v/>
      </c>
      <c r="Q3477" s="79" t="str">
        <f>IF(AND(B3477='111'!$L$11,OR($N3477=$Q$7,$O3477=$Q$7)),"x","")</f>
        <v/>
      </c>
      <c r="R3477" s="79" t="str">
        <f>IF(AND($N3477=$Q$7,$B3477&lt;'111'!$L$11),"x","")</f>
        <v/>
      </c>
      <c r="S3477" s="79" t="str">
        <f>IF(AND($O3477=$Q$7,$B3477&lt;'111'!$L$11),"x","")</f>
        <v/>
      </c>
      <c r="T3477" s="79" t="str">
        <f>IF(ISERROR(FIND('112'!$M$9,G3477,1)),"",IF((AND(FIND('112'!$M$9,G3477,1)&gt;=1,B3477='112'!$K$9,OR($N3477='112'!$I$6,$O3477='112'!$I$6))),"x",""))</f>
        <v/>
      </c>
      <c r="U3477" s="79" t="str">
        <f>IF(ISERROR(FIND('112'!$M$9,G3477,1)),"",IF((AND(LEFT(G3477,2)=LEFT('112'!$M$9,2),B3477&lt;'112'!$K$9,$N3477='112'!$I$6)),"x",""))</f>
        <v/>
      </c>
      <c r="V3477" s="79" t="str">
        <f>IF(ISERROR(FIND('112'!$M$9,G3477,1)),"",IF((AND(RIGHT(G3477,2)=RIGHT('112'!$M$9,2),B3477&lt;'112'!$K$9,$O3477='112'!$I$6)),"x",""))</f>
        <v/>
      </c>
      <c r="W3477" s="79" t="str">
        <f>IF(AND('341-CT'!$H$9=H3477,OR(LEFT(N3477,3)=$W$7,LEFT(O3477,3)=$W$7)),"x","")</f>
        <v/>
      </c>
      <c r="X3477" s="79" t="str">
        <f>IF(OR(TH!N3477=TH!$X$7,O3477=TH!$X$7),"x","")</f>
        <v/>
      </c>
      <c r="Y3477" s="79" t="str">
        <f>IF(AND(OR(N3477="131",O3477="131"),H3477='131-CT'!$H$9),"x","")</f>
        <v/>
      </c>
      <c r="Z3477" s="79"/>
      <c r="AA3477" s="79" t="str">
        <f>IF(AND(MONTH(E3477)='IN-NX'!$J$5,'IN-NX'!$D$7=D3477),"x","")</f>
        <v/>
      </c>
      <c r="AB3477" s="79" t="str">
        <f>IF(AND(OR(LEFT(TH!N3477,2)="15",LEFT(TH!O3477,2)="15"),LEFT(TH!O3477,3)&lt;&gt;"111",'152-CT'!$J$8=TH!F3477),"x","")</f>
        <v/>
      </c>
      <c r="AC3477" s="79" t="str">
        <f>IF(AND(OR(LEFT(TH!N3477,2)="15",LEFT(TH!O3477,2)="15"),TK!$E$7=TH!F3477),"x","")</f>
        <v/>
      </c>
      <c r="AD3477" s="79" t="str">
        <f>IF(AND(N3477="1521",MONTH(C3477)='BK-NL'!$M$11),"x","")</f>
        <v/>
      </c>
    </row>
    <row r="3478" spans="1:30" ht="16.5" customHeight="1">
      <c r="A3478" s="318" t="str">
        <f>IF(B3478&lt;&gt;"",IF(AND(B3478='IN-TC'!$S$4,OR(TH!N3478="1111",TH!O3478="1111")),TH!D3478,""),"")</f>
        <v/>
      </c>
      <c r="B3478" s="60" t="str">
        <f t="shared" ref="B3478:B3527" si="394">IF(C3478&lt;&gt;"",MONTH(C3478),"")</f>
        <v/>
      </c>
      <c r="C3478" s="61"/>
      <c r="D3478" s="61"/>
      <c r="E3478" s="61"/>
      <c r="F3478" s="64"/>
      <c r="G3478" s="64"/>
      <c r="H3478" s="69"/>
      <c r="I3478" s="385"/>
      <c r="J3478" s="395"/>
      <c r="K3478" s="385"/>
      <c r="L3478" s="392"/>
      <c r="M3478" s="62"/>
      <c r="N3478" s="63"/>
      <c r="O3478" s="63"/>
      <c r="P3478" s="79" t="str">
        <f>IF(AND('331-CT'!$E$7=TH!H3478,OR(N3478="331",O3478="331")),"x","")</f>
        <v/>
      </c>
      <c r="Q3478" s="79" t="str">
        <f>IF(AND(B3478='111'!$L$11,OR($N3478=$Q$7,$O3478=$Q$7)),"x","")</f>
        <v/>
      </c>
      <c r="R3478" s="79" t="str">
        <f>IF(AND($N3478=$Q$7,$B3478&lt;'111'!$L$11),"x","")</f>
        <v/>
      </c>
      <c r="S3478" s="79" t="str">
        <f>IF(AND($O3478=$Q$7,$B3478&lt;'111'!$L$11),"x","")</f>
        <v/>
      </c>
      <c r="T3478" s="79" t="str">
        <f>IF(ISERROR(FIND('112'!$M$9,G3478,1)),"",IF((AND(FIND('112'!$M$9,G3478,1)&gt;=1,B3478='112'!$K$9,OR($N3478='112'!$I$6,$O3478='112'!$I$6))),"x",""))</f>
        <v/>
      </c>
      <c r="U3478" s="79" t="str">
        <f>IF(ISERROR(FIND('112'!$M$9,G3478,1)),"",IF((AND(LEFT(G3478,2)=LEFT('112'!$M$9,2),B3478&lt;'112'!$K$9,$N3478='112'!$I$6)),"x",""))</f>
        <v/>
      </c>
      <c r="V3478" s="79" t="str">
        <f>IF(ISERROR(FIND('112'!$M$9,G3478,1)),"",IF((AND(RIGHT(G3478,2)=RIGHT('112'!$M$9,2),B3478&lt;'112'!$K$9,$O3478='112'!$I$6)),"x",""))</f>
        <v/>
      </c>
      <c r="W3478" s="79" t="str">
        <f>IF(AND('341-CT'!$H$9=H3478,OR(LEFT(N3478,3)=$W$7,LEFT(O3478,3)=$W$7)),"x","")</f>
        <v/>
      </c>
      <c r="X3478" s="79" t="str">
        <f>IF(OR(TH!N3478=TH!$X$7,O3478=TH!$X$7),"x","")</f>
        <v/>
      </c>
      <c r="Y3478" s="79" t="str">
        <f>IF(AND(OR(N3478="131",O3478="131"),H3478='131-CT'!$H$9),"x","")</f>
        <v/>
      </c>
      <c r="Z3478" s="79"/>
      <c r="AA3478" s="79" t="str">
        <f>IF(AND(MONTH(E3478)='IN-NX'!$J$5,'IN-NX'!$D$7=D3478),"x","")</f>
        <v/>
      </c>
      <c r="AB3478" s="79" t="str">
        <f>IF(AND(OR(LEFT(TH!N3478,2)="15",LEFT(TH!O3478,2)="15"),LEFT(TH!O3478,3)&lt;&gt;"111",'152-CT'!$J$8=TH!F3478),"x","")</f>
        <v/>
      </c>
      <c r="AC3478" s="79" t="str">
        <f>IF(AND(OR(LEFT(TH!N3478,2)="15",LEFT(TH!O3478,2)="15"),TK!$E$7=TH!F3478),"x","")</f>
        <v/>
      </c>
      <c r="AD3478" s="79" t="str">
        <f>IF(AND(N3478="1521",MONTH(C3478)='BK-NL'!$M$11),"x","")</f>
        <v/>
      </c>
    </row>
    <row r="3479" spans="1:30" ht="16.5" customHeight="1">
      <c r="A3479" s="318" t="str">
        <f>IF(B3479&lt;&gt;"",IF(AND(B3479='IN-TC'!$S$4,OR(TH!N3479="1111",TH!O3479="1111")),TH!D3479,""),"")</f>
        <v/>
      </c>
      <c r="B3479" s="60" t="str">
        <f t="shared" si="394"/>
        <v/>
      </c>
      <c r="C3479" s="61"/>
      <c r="D3479" s="61"/>
      <c r="E3479" s="61"/>
      <c r="F3479" s="64"/>
      <c r="G3479" s="64"/>
      <c r="H3479" s="321"/>
      <c r="I3479" s="385"/>
      <c r="J3479" s="395"/>
      <c r="K3479" s="385"/>
      <c r="L3479" s="392"/>
      <c r="M3479" s="62"/>
      <c r="N3479" s="63"/>
      <c r="O3479" s="63"/>
      <c r="P3479" s="79" t="str">
        <f>IF(AND('331-CT'!$E$7=TH!H3479,OR(N3479="331",O3479="331")),"x","")</f>
        <v/>
      </c>
      <c r="Q3479" s="79" t="str">
        <f>IF(AND(B3479='111'!$L$11,OR($N3479=$Q$7,$O3479=$Q$7)),"x","")</f>
        <v/>
      </c>
      <c r="R3479" s="79" t="str">
        <f>IF(AND($N3479=$Q$7,$B3479&lt;'111'!$L$11),"x","")</f>
        <v/>
      </c>
      <c r="S3479" s="79" t="str">
        <f>IF(AND($O3479=$Q$7,$B3479&lt;'111'!$L$11),"x","")</f>
        <v/>
      </c>
      <c r="T3479" s="79" t="str">
        <f>IF(ISERROR(FIND('112'!$M$9,G3479,1)),"",IF((AND(FIND('112'!$M$9,G3479,1)&gt;=1,B3479='112'!$K$9,OR($N3479='112'!$I$6,$O3479='112'!$I$6))),"x",""))</f>
        <v/>
      </c>
      <c r="U3479" s="79" t="str">
        <f>IF(ISERROR(FIND('112'!$M$9,G3479,1)),"",IF((AND(LEFT(G3479,2)=LEFT('112'!$M$9,2),B3479&lt;'112'!$K$9,$N3479='112'!$I$6)),"x",""))</f>
        <v/>
      </c>
      <c r="V3479" s="79" t="str">
        <f>IF(ISERROR(FIND('112'!$M$9,G3479,1)),"",IF((AND(RIGHT(G3479,2)=RIGHT('112'!$M$9,2),B3479&lt;'112'!$K$9,$O3479='112'!$I$6)),"x",""))</f>
        <v/>
      </c>
      <c r="W3479" s="79" t="str">
        <f>IF(AND('341-CT'!$H$9=H3479,OR(LEFT(N3479,3)=$W$7,LEFT(O3479,3)=$W$7)),"x","")</f>
        <v/>
      </c>
      <c r="X3479" s="79" t="str">
        <f>IF(OR(TH!N3479=TH!$X$7,O3479=TH!$X$7),"x","")</f>
        <v/>
      </c>
      <c r="Y3479" s="79" t="str">
        <f>IF(AND(OR(N3479="131",O3479="131"),H3479='131-CT'!$H$9),"x","")</f>
        <v/>
      </c>
      <c r="Z3479" s="79"/>
      <c r="AA3479" s="79" t="str">
        <f>IF(AND(MONTH(E3479)='IN-NX'!$J$5,'IN-NX'!$D$7=D3479),"x","")</f>
        <v/>
      </c>
      <c r="AB3479" s="79" t="str">
        <f>IF(AND(OR(LEFT(TH!N3479,2)="15",LEFT(TH!O3479,2)="15"),LEFT(TH!O3479,3)&lt;&gt;"111",'152-CT'!$J$8=TH!F3479),"x","")</f>
        <v/>
      </c>
      <c r="AC3479" s="79" t="str">
        <f>IF(AND(OR(LEFT(TH!N3479,2)="15",LEFT(TH!O3479,2)="15"),TK!$E$7=TH!F3479),"x","")</f>
        <v/>
      </c>
      <c r="AD3479" s="79" t="str">
        <f>IF(AND(N3479="1521",MONTH(C3479)='BK-NL'!$M$11),"x","")</f>
        <v/>
      </c>
    </row>
    <row r="3480" spans="1:30" ht="16.5" customHeight="1">
      <c r="A3480" s="318" t="str">
        <f>IF(B3480&lt;&gt;"",IF(AND(B3480='IN-TC'!$S$4,OR(TH!N3480="1111",TH!O3480="1111")),TH!D3480,""),"")</f>
        <v/>
      </c>
      <c r="B3480" s="60" t="str">
        <f t="shared" si="394"/>
        <v/>
      </c>
      <c r="C3480" s="61"/>
      <c r="D3480" s="61"/>
      <c r="E3480" s="61"/>
      <c r="F3480" s="64"/>
      <c r="G3480" s="64"/>
      <c r="H3480" s="69"/>
      <c r="I3480" s="385"/>
      <c r="J3480" s="395"/>
      <c r="K3480" s="385"/>
      <c r="L3480" s="392"/>
      <c r="M3480" s="62"/>
      <c r="N3480" s="63"/>
      <c r="O3480" s="63"/>
      <c r="P3480" s="79" t="str">
        <f>IF(AND('331-CT'!$E$7=TH!H3480,OR(N3480="331",O3480="331")),"x","")</f>
        <v/>
      </c>
      <c r="Q3480" s="79" t="str">
        <f>IF(AND(B3480='111'!$L$11,OR($N3480=$Q$7,$O3480=$Q$7)),"x","")</f>
        <v/>
      </c>
      <c r="R3480" s="79" t="str">
        <f>IF(AND($N3480=$Q$7,$B3480&lt;'111'!$L$11),"x","")</f>
        <v/>
      </c>
      <c r="S3480" s="79" t="str">
        <f>IF(AND($O3480=$Q$7,$B3480&lt;'111'!$L$11),"x","")</f>
        <v/>
      </c>
      <c r="T3480" s="79" t="str">
        <f>IF(ISERROR(FIND('112'!$M$9,G3480,1)),"",IF((AND(FIND('112'!$M$9,G3480,1)&gt;=1,B3480='112'!$K$9,OR($N3480='112'!$I$6,$O3480='112'!$I$6))),"x",""))</f>
        <v/>
      </c>
      <c r="U3480" s="79" t="str">
        <f>IF(ISERROR(FIND('112'!$M$9,G3480,1)),"",IF((AND(LEFT(G3480,2)=LEFT('112'!$M$9,2),B3480&lt;'112'!$K$9,$N3480='112'!$I$6)),"x",""))</f>
        <v/>
      </c>
      <c r="V3480" s="79" t="str">
        <f>IF(ISERROR(FIND('112'!$M$9,G3480,1)),"",IF((AND(RIGHT(G3480,2)=RIGHT('112'!$M$9,2),B3480&lt;'112'!$K$9,$O3480='112'!$I$6)),"x",""))</f>
        <v/>
      </c>
      <c r="W3480" s="79" t="str">
        <f>IF(AND('341-CT'!$H$9=H3480,OR(LEFT(N3480,3)=$W$7,LEFT(O3480,3)=$W$7)),"x","")</f>
        <v/>
      </c>
      <c r="X3480" s="79" t="str">
        <f>IF(OR(TH!N3480=TH!$X$7,O3480=TH!$X$7),"x","")</f>
        <v/>
      </c>
      <c r="Y3480" s="79" t="str">
        <f>IF(AND(OR(N3480="131",O3480="131"),H3480='131-CT'!$H$9),"x","")</f>
        <v/>
      </c>
      <c r="Z3480" s="79"/>
      <c r="AA3480" s="79" t="str">
        <f>IF(AND(MONTH(E3480)='IN-NX'!$J$5,'IN-NX'!$D$7=D3480),"x","")</f>
        <v/>
      </c>
      <c r="AB3480" s="79" t="str">
        <f>IF(AND(OR(LEFT(TH!N3480,2)="15",LEFT(TH!O3480,2)="15"),LEFT(TH!O3480,3)&lt;&gt;"111",'152-CT'!$J$8=TH!F3480),"x","")</f>
        <v/>
      </c>
      <c r="AC3480" s="79" t="str">
        <f>IF(AND(OR(LEFT(TH!N3480,2)="15",LEFT(TH!O3480,2)="15"),TK!$E$7=TH!F3480),"x","")</f>
        <v/>
      </c>
      <c r="AD3480" s="79" t="str">
        <f>IF(AND(N3480="1521",MONTH(C3480)='BK-NL'!$M$11),"x","")</f>
        <v/>
      </c>
    </row>
    <row r="3481" spans="1:30" ht="16.5" customHeight="1">
      <c r="A3481" s="318" t="str">
        <f>IF(B3481&lt;&gt;"",IF(AND(B3481='IN-TC'!$S$4,OR(TH!N3481="1111",TH!O3481="1111")),TH!D3481,""),"")</f>
        <v/>
      </c>
      <c r="B3481" s="60" t="str">
        <f t="shared" si="394"/>
        <v/>
      </c>
      <c r="C3481" s="61"/>
      <c r="D3481" s="61"/>
      <c r="E3481" s="61"/>
      <c r="F3481" s="64"/>
      <c r="G3481" s="64"/>
      <c r="H3481" s="69"/>
      <c r="I3481" s="385"/>
      <c r="J3481" s="395"/>
      <c r="K3481" s="385"/>
      <c r="L3481" s="392"/>
      <c r="M3481" s="62"/>
      <c r="N3481" s="63"/>
      <c r="O3481" s="63"/>
      <c r="P3481" s="79" t="str">
        <f>IF(AND('331-CT'!$E$7=TH!H3481,OR(N3481="331",O3481="331")),"x","")</f>
        <v/>
      </c>
      <c r="Q3481" s="79" t="str">
        <f>IF(AND(B3481='111'!$L$11,OR($N3481=$Q$7,$O3481=$Q$7)),"x","")</f>
        <v/>
      </c>
      <c r="R3481" s="79" t="str">
        <f>IF(AND($N3481=$Q$7,$B3481&lt;'111'!$L$11),"x","")</f>
        <v/>
      </c>
      <c r="S3481" s="79" t="str">
        <f>IF(AND($O3481=$Q$7,$B3481&lt;'111'!$L$11),"x","")</f>
        <v/>
      </c>
      <c r="T3481" s="79" t="str">
        <f>IF(ISERROR(FIND('112'!$M$9,G3481,1)),"",IF((AND(FIND('112'!$M$9,G3481,1)&gt;=1,B3481='112'!$K$9,OR($N3481='112'!$I$6,$O3481='112'!$I$6))),"x",""))</f>
        <v/>
      </c>
      <c r="U3481" s="79" t="str">
        <f>IF(ISERROR(FIND('112'!$M$9,G3481,1)),"",IF((AND(LEFT(G3481,2)=LEFT('112'!$M$9,2),B3481&lt;'112'!$K$9,$N3481='112'!$I$6)),"x",""))</f>
        <v/>
      </c>
      <c r="V3481" s="79" t="str">
        <f>IF(ISERROR(FIND('112'!$M$9,G3481,1)),"",IF((AND(RIGHT(G3481,2)=RIGHT('112'!$M$9,2),B3481&lt;'112'!$K$9,$O3481='112'!$I$6)),"x",""))</f>
        <v/>
      </c>
      <c r="W3481" s="79" t="str">
        <f>IF(AND('341-CT'!$H$9=H3481,OR(LEFT(N3481,3)=$W$7,LEFT(O3481,3)=$W$7)),"x","")</f>
        <v/>
      </c>
      <c r="X3481" s="79" t="str">
        <f>IF(OR(TH!N3481=TH!$X$7,O3481=TH!$X$7),"x","")</f>
        <v/>
      </c>
      <c r="Y3481" s="79" t="str">
        <f>IF(AND(OR(N3481="131",O3481="131"),H3481='131-CT'!$H$9),"x","")</f>
        <v/>
      </c>
      <c r="Z3481" s="79"/>
      <c r="AA3481" s="79" t="str">
        <f>IF(AND(MONTH(E3481)='IN-NX'!$J$5,'IN-NX'!$D$7=D3481),"x","")</f>
        <v/>
      </c>
      <c r="AB3481" s="79" t="str">
        <f>IF(AND(OR(LEFT(TH!N3481,2)="15",LEFT(TH!O3481,2)="15"),LEFT(TH!O3481,3)&lt;&gt;"111",'152-CT'!$J$8=TH!F3481),"x","")</f>
        <v/>
      </c>
      <c r="AC3481" s="79" t="str">
        <f>IF(AND(OR(LEFT(TH!N3481,2)="15",LEFT(TH!O3481,2)="15"),TK!$E$7=TH!F3481),"x","")</f>
        <v/>
      </c>
      <c r="AD3481" s="79" t="str">
        <f>IF(AND(N3481="1521",MONTH(C3481)='BK-NL'!$M$11),"x","")</f>
        <v/>
      </c>
    </row>
    <row r="3482" spans="1:30" ht="16.5" customHeight="1">
      <c r="A3482" s="318" t="str">
        <f>IF(B3482&lt;&gt;"",IF(AND(B3482='IN-TC'!$S$4,OR(TH!N3482="1111",TH!O3482="1111")),TH!D3482,""),"")</f>
        <v/>
      </c>
      <c r="B3482" s="60" t="str">
        <f t="shared" si="394"/>
        <v/>
      </c>
      <c r="C3482" s="61"/>
      <c r="D3482" s="61"/>
      <c r="E3482" s="61"/>
      <c r="F3482" s="136"/>
      <c r="G3482" s="64"/>
      <c r="H3482" s="321"/>
      <c r="I3482" s="385"/>
      <c r="J3482" s="395"/>
      <c r="K3482" s="385"/>
      <c r="L3482" s="392"/>
      <c r="M3482" s="62"/>
      <c r="N3482" s="63"/>
      <c r="O3482" s="63"/>
      <c r="P3482" s="79" t="str">
        <f>IF(AND('331-CT'!$E$7=TH!H3482,OR(N3482="331",O3482="331")),"x","")</f>
        <v/>
      </c>
      <c r="Q3482" s="79" t="str">
        <f>IF(AND(B3482='111'!$L$11,OR($N3482=$Q$7,$O3482=$Q$7)),"x","")</f>
        <v/>
      </c>
      <c r="R3482" s="79" t="str">
        <f>IF(AND($N3482=$Q$7,$B3482&lt;'111'!$L$11),"x","")</f>
        <v/>
      </c>
      <c r="S3482" s="79" t="str">
        <f>IF(AND($O3482=$Q$7,$B3482&lt;'111'!$L$11),"x","")</f>
        <v/>
      </c>
      <c r="T3482" s="79" t="str">
        <f>IF(ISERROR(FIND('112'!$M$9,G3482,1)),"",IF((AND(FIND('112'!$M$9,G3482,1)&gt;=1,B3482='112'!$K$9,OR($N3482='112'!$I$6,$O3482='112'!$I$6))),"x",""))</f>
        <v/>
      </c>
      <c r="U3482" s="79" t="str">
        <f>IF(ISERROR(FIND('112'!$M$9,G3482,1)),"",IF((AND(LEFT(G3482,2)=LEFT('112'!$M$9,2),B3482&lt;'112'!$K$9,$N3482='112'!$I$6)),"x",""))</f>
        <v/>
      </c>
      <c r="V3482" s="79" t="str">
        <f>IF(ISERROR(FIND('112'!$M$9,G3482,1)),"",IF((AND(RIGHT(G3482,2)=RIGHT('112'!$M$9,2),B3482&lt;'112'!$K$9,$O3482='112'!$I$6)),"x",""))</f>
        <v/>
      </c>
      <c r="W3482" s="79" t="str">
        <f>IF(AND('341-CT'!$H$9=H3482,OR(LEFT(N3482,3)=$W$7,LEFT(O3482,3)=$W$7)),"x","")</f>
        <v/>
      </c>
      <c r="X3482" s="79" t="str">
        <f>IF(OR(TH!N3482=TH!$X$7,O3482=TH!$X$7),"x","")</f>
        <v/>
      </c>
      <c r="Y3482" s="79" t="str">
        <f>IF(AND(OR(N3482="131",O3482="131"),H3482='131-CT'!$H$9),"x","")</f>
        <v/>
      </c>
      <c r="Z3482" s="79"/>
      <c r="AA3482" s="79" t="str">
        <f>IF(AND(MONTH(E3482)='IN-NX'!$J$5,'IN-NX'!$D$7=D3482),"x","")</f>
        <v/>
      </c>
      <c r="AB3482" s="79" t="str">
        <f>IF(AND(OR(LEFT(TH!N3482,2)="15",LEFT(TH!O3482,2)="15"),LEFT(TH!O3482,3)&lt;&gt;"111",'152-CT'!$J$8=TH!F3482),"x","")</f>
        <v/>
      </c>
      <c r="AC3482" s="79" t="str">
        <f>IF(AND(OR(LEFT(TH!N3482,2)="15",LEFT(TH!O3482,2)="15"),TK!$E$7=TH!F3482),"x","")</f>
        <v/>
      </c>
      <c r="AD3482" s="79" t="str">
        <f>IF(AND(N3482="1521",MONTH(C3482)='BK-NL'!$M$11),"x","")</f>
        <v/>
      </c>
    </row>
    <row r="3483" spans="1:30" ht="16.5" customHeight="1">
      <c r="A3483" s="318" t="str">
        <f>IF(B3483&lt;&gt;"",IF(AND(B3483='IN-TC'!$S$4,OR(TH!N3483="1111",TH!O3483="1111")),TH!D3483,""),"")</f>
        <v/>
      </c>
      <c r="B3483" s="60" t="str">
        <f t="shared" si="394"/>
        <v/>
      </c>
      <c r="C3483" s="61"/>
      <c r="D3483" s="61"/>
      <c r="E3483" s="61"/>
      <c r="F3483" s="64"/>
      <c r="G3483" s="64"/>
      <c r="H3483" s="69"/>
      <c r="I3483" s="385"/>
      <c r="J3483" s="395"/>
      <c r="K3483" s="385"/>
      <c r="L3483" s="392"/>
      <c r="M3483" s="62"/>
      <c r="N3483" s="63"/>
      <c r="O3483" s="63"/>
      <c r="P3483" s="79" t="str">
        <f>IF(AND('331-CT'!$E$7=TH!H3483,OR(N3483="331",O3483="331")),"x","")</f>
        <v/>
      </c>
      <c r="Q3483" s="79" t="str">
        <f>IF(AND(B3483='111'!$L$11,OR($N3483=$Q$7,$O3483=$Q$7)),"x","")</f>
        <v/>
      </c>
      <c r="R3483" s="79" t="str">
        <f>IF(AND($N3483=$Q$7,$B3483&lt;'111'!$L$11),"x","")</f>
        <v/>
      </c>
      <c r="S3483" s="79" t="str">
        <f>IF(AND($O3483=$Q$7,$B3483&lt;'111'!$L$11),"x","")</f>
        <v/>
      </c>
      <c r="T3483" s="79" t="str">
        <f>IF(ISERROR(FIND('112'!$M$9,G3483,1)),"",IF((AND(FIND('112'!$M$9,G3483,1)&gt;=1,B3483='112'!$K$9,OR($N3483='112'!$I$6,$O3483='112'!$I$6))),"x",""))</f>
        <v/>
      </c>
      <c r="U3483" s="79" t="str">
        <f>IF(ISERROR(FIND('112'!$M$9,G3483,1)),"",IF((AND(LEFT(G3483,2)=LEFT('112'!$M$9,2),B3483&lt;'112'!$K$9,$N3483='112'!$I$6)),"x",""))</f>
        <v/>
      </c>
      <c r="V3483" s="79" t="str">
        <f>IF(ISERROR(FIND('112'!$M$9,G3483,1)),"",IF((AND(RIGHT(G3483,2)=RIGHT('112'!$M$9,2),B3483&lt;'112'!$K$9,$O3483='112'!$I$6)),"x",""))</f>
        <v/>
      </c>
      <c r="W3483" s="79" t="str">
        <f>IF(AND('341-CT'!$H$9=H3483,OR(LEFT(N3483,3)=$W$7,LEFT(O3483,3)=$W$7)),"x","")</f>
        <v/>
      </c>
      <c r="X3483" s="79" t="str">
        <f>IF(OR(TH!N3483=TH!$X$7,O3483=TH!$X$7),"x","")</f>
        <v/>
      </c>
      <c r="Y3483" s="79" t="str">
        <f>IF(AND(OR(N3483="131",O3483="131"),H3483='131-CT'!$H$9),"x","")</f>
        <v/>
      </c>
      <c r="Z3483" s="79"/>
      <c r="AA3483" s="79" t="str">
        <f>IF(AND(MONTH(E3483)='IN-NX'!$J$5,'IN-NX'!$D$7=D3483),"x","")</f>
        <v/>
      </c>
      <c r="AB3483" s="79" t="str">
        <f>IF(AND(OR(LEFT(TH!N3483,2)="15",LEFT(TH!O3483,2)="15"),LEFT(TH!O3483,3)&lt;&gt;"111",'152-CT'!$J$8=TH!F3483),"x","")</f>
        <v/>
      </c>
      <c r="AC3483" s="79" t="str">
        <f>IF(AND(OR(LEFT(TH!N3483,2)="15",LEFT(TH!O3483,2)="15"),TK!$E$7=TH!F3483),"x","")</f>
        <v/>
      </c>
      <c r="AD3483" s="79" t="str">
        <f>IF(AND(N3483="1521",MONTH(C3483)='BK-NL'!$M$11),"x","")</f>
        <v/>
      </c>
    </row>
    <row r="3484" spans="1:30" ht="16.5" customHeight="1">
      <c r="A3484" s="318" t="str">
        <f>IF(B3484&lt;&gt;"",IF(AND(B3484='IN-TC'!$S$4,OR(TH!N3484="1111",TH!O3484="1111")),TH!D3484,""),"")</f>
        <v/>
      </c>
      <c r="B3484" s="60" t="str">
        <f t="shared" si="394"/>
        <v/>
      </c>
      <c r="C3484" s="61"/>
      <c r="D3484" s="61"/>
      <c r="E3484" s="61"/>
      <c r="F3484" s="64"/>
      <c r="G3484" s="64"/>
      <c r="H3484" s="69"/>
      <c r="I3484" s="385"/>
      <c r="J3484" s="395"/>
      <c r="K3484" s="385"/>
      <c r="L3484" s="392"/>
      <c r="M3484" s="62"/>
      <c r="N3484" s="63"/>
      <c r="O3484" s="63"/>
      <c r="P3484" s="79" t="str">
        <f>IF(AND('331-CT'!$E$7=TH!H3484,OR(N3484="331",O3484="331")),"x","")</f>
        <v/>
      </c>
      <c r="Q3484" s="79" t="str">
        <f>IF(AND(B3484='111'!$L$11,OR($N3484=$Q$7,$O3484=$Q$7)),"x","")</f>
        <v/>
      </c>
      <c r="R3484" s="79" t="str">
        <f>IF(AND($N3484=$Q$7,$B3484&lt;'111'!$L$11),"x","")</f>
        <v/>
      </c>
      <c r="S3484" s="79" t="str">
        <f>IF(AND($O3484=$Q$7,$B3484&lt;'111'!$L$11),"x","")</f>
        <v/>
      </c>
      <c r="T3484" s="79" t="str">
        <f>IF(ISERROR(FIND('112'!$M$9,G3484,1)),"",IF((AND(FIND('112'!$M$9,G3484,1)&gt;=1,B3484='112'!$K$9,OR($N3484='112'!$I$6,$O3484='112'!$I$6))),"x",""))</f>
        <v/>
      </c>
      <c r="U3484" s="79" t="str">
        <f>IF(ISERROR(FIND('112'!$M$9,G3484,1)),"",IF((AND(LEFT(G3484,2)=LEFT('112'!$M$9,2),B3484&lt;'112'!$K$9,$N3484='112'!$I$6)),"x",""))</f>
        <v/>
      </c>
      <c r="V3484" s="79" t="str">
        <f>IF(ISERROR(FIND('112'!$M$9,G3484,1)),"",IF((AND(RIGHT(G3484,2)=RIGHT('112'!$M$9,2),B3484&lt;'112'!$K$9,$O3484='112'!$I$6)),"x",""))</f>
        <v/>
      </c>
      <c r="W3484" s="79" t="str">
        <f>IF(AND('341-CT'!$H$9=H3484,OR(LEFT(N3484,3)=$W$7,LEFT(O3484,3)=$W$7)),"x","")</f>
        <v/>
      </c>
      <c r="X3484" s="79" t="str">
        <f>IF(OR(TH!N3484=TH!$X$7,O3484=TH!$X$7),"x","")</f>
        <v/>
      </c>
      <c r="Y3484" s="79" t="str">
        <f>IF(AND(OR(N3484="131",O3484="131"),H3484='131-CT'!$H$9),"x","")</f>
        <v/>
      </c>
      <c r="Z3484" s="79"/>
      <c r="AA3484" s="79" t="str">
        <f>IF(AND(MONTH(E3484)='IN-NX'!$J$5,'IN-NX'!$D$7=D3484),"x","")</f>
        <v/>
      </c>
      <c r="AB3484" s="79" t="str">
        <f>IF(AND(OR(LEFT(TH!N3484,2)="15",LEFT(TH!O3484,2)="15"),LEFT(TH!O3484,3)&lt;&gt;"111",'152-CT'!$J$8=TH!F3484),"x","")</f>
        <v/>
      </c>
      <c r="AC3484" s="79" t="str">
        <f>IF(AND(OR(LEFT(TH!N3484,2)="15",LEFT(TH!O3484,2)="15"),TK!$E$7=TH!F3484),"x","")</f>
        <v/>
      </c>
      <c r="AD3484" s="79" t="str">
        <f>IF(AND(N3484="1521",MONTH(C3484)='BK-NL'!$M$11),"x","")</f>
        <v/>
      </c>
    </row>
    <row r="3485" spans="1:30" ht="16.5" customHeight="1">
      <c r="A3485" s="318" t="str">
        <f>IF(B3485&lt;&gt;"",IF(AND(B3485='IN-TC'!$S$4,OR(TH!N3485="1111",TH!O3485="1111")),TH!D3485,""),"")</f>
        <v/>
      </c>
      <c r="B3485" s="60" t="str">
        <f t="shared" si="394"/>
        <v/>
      </c>
      <c r="C3485" s="61"/>
      <c r="D3485" s="61"/>
      <c r="E3485" s="61"/>
      <c r="F3485" s="64"/>
      <c r="G3485" s="64"/>
      <c r="H3485" s="69"/>
      <c r="I3485" s="385"/>
      <c r="J3485" s="395"/>
      <c r="K3485" s="385"/>
      <c r="L3485" s="392"/>
      <c r="M3485" s="62"/>
      <c r="N3485" s="63"/>
      <c r="O3485" s="63"/>
      <c r="P3485" s="79" t="str">
        <f>IF(AND('331-CT'!$E$7=TH!H3485,OR(N3485="331",O3485="331")),"x","")</f>
        <v/>
      </c>
      <c r="Q3485" s="79" t="str">
        <f>IF(AND(B3485='111'!$L$11,OR($N3485=$Q$7,$O3485=$Q$7)),"x","")</f>
        <v/>
      </c>
      <c r="R3485" s="79" t="str">
        <f>IF(AND($N3485=$Q$7,$B3485&lt;'111'!$L$11),"x","")</f>
        <v/>
      </c>
      <c r="S3485" s="79" t="str">
        <f>IF(AND($O3485=$Q$7,$B3485&lt;'111'!$L$11),"x","")</f>
        <v/>
      </c>
      <c r="T3485" s="79" t="str">
        <f>IF(ISERROR(FIND('112'!$M$9,G3485,1)),"",IF((AND(FIND('112'!$M$9,G3485,1)&gt;=1,B3485='112'!$K$9,OR($N3485='112'!$I$6,$O3485='112'!$I$6))),"x",""))</f>
        <v/>
      </c>
      <c r="U3485" s="79" t="str">
        <f>IF(ISERROR(FIND('112'!$M$9,G3485,1)),"",IF((AND(LEFT(G3485,2)=LEFT('112'!$M$9,2),B3485&lt;'112'!$K$9,$N3485='112'!$I$6)),"x",""))</f>
        <v/>
      </c>
      <c r="V3485" s="79" t="str">
        <f>IF(ISERROR(FIND('112'!$M$9,G3485,1)),"",IF((AND(RIGHT(G3485,2)=RIGHT('112'!$M$9,2),B3485&lt;'112'!$K$9,$O3485='112'!$I$6)),"x",""))</f>
        <v/>
      </c>
      <c r="W3485" s="79" t="str">
        <f>IF(AND('341-CT'!$H$9=H3485,OR(LEFT(N3485,3)=$W$7,LEFT(O3485,3)=$W$7)),"x","")</f>
        <v/>
      </c>
      <c r="X3485" s="79" t="str">
        <f>IF(OR(TH!N3485=TH!$X$7,O3485=TH!$X$7),"x","")</f>
        <v/>
      </c>
      <c r="Y3485" s="79" t="str">
        <f>IF(AND(OR(N3485="131",O3485="131"),H3485='131-CT'!$H$9),"x","")</f>
        <v/>
      </c>
      <c r="Z3485" s="79"/>
      <c r="AA3485" s="79" t="str">
        <f>IF(AND(MONTH(E3485)='IN-NX'!$J$5,'IN-NX'!$D$7=D3485),"x","")</f>
        <v/>
      </c>
      <c r="AB3485" s="79" t="str">
        <f>IF(AND(OR(LEFT(TH!N3485,2)="15",LEFT(TH!O3485,2)="15"),LEFT(TH!O3485,3)&lt;&gt;"111",'152-CT'!$J$8=TH!F3485),"x","")</f>
        <v/>
      </c>
      <c r="AC3485" s="79" t="str">
        <f>IF(AND(OR(LEFT(TH!N3485,2)="15",LEFT(TH!O3485,2)="15"),TK!$E$7=TH!F3485),"x","")</f>
        <v/>
      </c>
      <c r="AD3485" s="79" t="str">
        <f>IF(AND(N3485="1521",MONTH(C3485)='BK-NL'!$M$11),"x","")</f>
        <v/>
      </c>
    </row>
    <row r="3486" spans="1:30" ht="16.5" customHeight="1">
      <c r="A3486" s="318" t="str">
        <f>IF(B3486&lt;&gt;"",IF(AND(B3486='IN-TC'!$S$4,OR(TH!N3486="1111",TH!O3486="1111")),TH!D3486,""),"")</f>
        <v/>
      </c>
      <c r="B3486" s="60" t="str">
        <f t="shared" si="394"/>
        <v/>
      </c>
      <c r="C3486" s="61"/>
      <c r="D3486" s="61"/>
      <c r="E3486" s="61"/>
      <c r="F3486" s="64"/>
      <c r="G3486" s="64"/>
      <c r="H3486" s="303"/>
      <c r="I3486" s="385"/>
      <c r="J3486" s="395"/>
      <c r="K3486" s="385"/>
      <c r="L3486" s="392"/>
      <c r="M3486" s="62"/>
      <c r="N3486" s="63"/>
      <c r="O3486" s="63"/>
      <c r="P3486" s="79" t="str">
        <f>IF(AND('331-CT'!$E$7=TH!H3486,OR(N3486="331",O3486="331")),"x","")</f>
        <v/>
      </c>
      <c r="Q3486" s="79" t="str">
        <f>IF(AND(B3486='111'!$L$11,OR($N3486=$Q$7,$O3486=$Q$7)),"x","")</f>
        <v/>
      </c>
      <c r="R3486" s="79" t="str">
        <f>IF(AND($N3486=$Q$7,$B3486&lt;'111'!$L$11),"x","")</f>
        <v/>
      </c>
      <c r="S3486" s="79" t="str">
        <f>IF(AND($O3486=$Q$7,$B3486&lt;'111'!$L$11),"x","")</f>
        <v/>
      </c>
      <c r="T3486" s="79" t="str">
        <f>IF(ISERROR(FIND('112'!$M$9,G3486,1)),"",IF((AND(FIND('112'!$M$9,G3486,1)&gt;=1,B3486='112'!$K$9,OR($N3486='112'!$I$6,$O3486='112'!$I$6))),"x",""))</f>
        <v/>
      </c>
      <c r="U3486" s="79" t="str">
        <f>IF(ISERROR(FIND('112'!$M$9,G3486,1)),"",IF((AND(LEFT(G3486,2)=LEFT('112'!$M$9,2),B3486&lt;'112'!$K$9,$N3486='112'!$I$6)),"x",""))</f>
        <v/>
      </c>
      <c r="V3486" s="79" t="str">
        <f>IF(ISERROR(FIND('112'!$M$9,G3486,1)),"",IF((AND(RIGHT(G3486,2)=RIGHT('112'!$M$9,2),B3486&lt;'112'!$K$9,$O3486='112'!$I$6)),"x",""))</f>
        <v/>
      </c>
      <c r="W3486" s="79" t="str">
        <f>IF(AND('341-CT'!$H$9=H3486,OR(LEFT(N3486,3)=$W$7,LEFT(O3486,3)=$W$7)),"x","")</f>
        <v/>
      </c>
      <c r="X3486" s="79" t="str">
        <f>IF(OR(TH!N3486=TH!$X$7,O3486=TH!$X$7),"x","")</f>
        <v/>
      </c>
      <c r="Y3486" s="79" t="str">
        <f>IF(AND(OR(N3486="131",O3486="131"),H3486='131-CT'!$H$9),"x","")</f>
        <v/>
      </c>
      <c r="Z3486" s="79"/>
      <c r="AA3486" s="79" t="str">
        <f>IF(AND(MONTH(E3486)='IN-NX'!$J$5,'IN-NX'!$D$7=D3486),"x","")</f>
        <v/>
      </c>
      <c r="AB3486" s="79" t="str">
        <f>IF(AND(OR(LEFT(TH!N3486,2)="15",LEFT(TH!O3486,2)="15"),LEFT(TH!O3486,3)&lt;&gt;"111",'152-CT'!$J$8=TH!F3486),"x","")</f>
        <v/>
      </c>
      <c r="AC3486" s="79" t="str">
        <f>IF(AND(OR(LEFT(TH!N3486,2)="15",LEFT(TH!O3486,2)="15"),TK!$E$7=TH!F3486),"x","")</f>
        <v/>
      </c>
      <c r="AD3486" s="79" t="str">
        <f>IF(AND(N3486="1521",MONTH(C3486)='BK-NL'!$M$11),"x","")</f>
        <v/>
      </c>
    </row>
    <row r="3487" spans="1:30" ht="16.5" customHeight="1">
      <c r="A3487" s="318" t="str">
        <f>IF(B3487&lt;&gt;"",IF(AND(B3487='IN-TC'!$S$4,OR(TH!N3487="1111",TH!O3487="1111")),TH!D3487,""),"")</f>
        <v/>
      </c>
      <c r="B3487" s="60" t="str">
        <f t="shared" si="394"/>
        <v/>
      </c>
      <c r="C3487" s="61"/>
      <c r="D3487" s="61"/>
      <c r="E3487" s="61"/>
      <c r="F3487" s="64"/>
      <c r="G3487" s="64"/>
      <c r="H3487" s="69"/>
      <c r="I3487" s="385"/>
      <c r="J3487" s="395"/>
      <c r="K3487" s="385"/>
      <c r="L3487" s="392"/>
      <c r="M3487" s="62"/>
      <c r="N3487" s="63"/>
      <c r="O3487" s="63"/>
      <c r="P3487" s="79" t="str">
        <f>IF(AND('331-CT'!$E$7=TH!H3487,OR(N3487="331",O3487="331")),"x","")</f>
        <v/>
      </c>
      <c r="Q3487" s="79" t="str">
        <f>IF(AND(B3487='111'!$L$11,OR($N3487=$Q$7,$O3487=$Q$7)),"x","")</f>
        <v/>
      </c>
      <c r="R3487" s="79" t="str">
        <f>IF(AND($N3487=$Q$7,$B3487&lt;'111'!$L$11),"x","")</f>
        <v/>
      </c>
      <c r="S3487" s="79" t="str">
        <f>IF(AND($O3487=$Q$7,$B3487&lt;'111'!$L$11),"x","")</f>
        <v/>
      </c>
      <c r="T3487" s="79" t="str">
        <f>IF(ISERROR(FIND('112'!$M$9,G3487,1)),"",IF((AND(FIND('112'!$M$9,G3487,1)&gt;=1,B3487='112'!$K$9,OR($N3487='112'!$I$6,$O3487='112'!$I$6))),"x",""))</f>
        <v/>
      </c>
      <c r="U3487" s="79" t="str">
        <f>IF(ISERROR(FIND('112'!$M$9,G3487,1)),"",IF((AND(LEFT(G3487,2)=LEFT('112'!$M$9,2),B3487&lt;'112'!$K$9,$N3487='112'!$I$6)),"x",""))</f>
        <v/>
      </c>
      <c r="V3487" s="79" t="str">
        <f>IF(ISERROR(FIND('112'!$M$9,G3487,1)),"",IF((AND(RIGHT(G3487,2)=RIGHT('112'!$M$9,2),B3487&lt;'112'!$K$9,$O3487='112'!$I$6)),"x",""))</f>
        <v/>
      </c>
      <c r="W3487" s="79" t="str">
        <f>IF(AND('341-CT'!$H$9=H3487,OR(LEFT(N3487,3)=$W$7,LEFT(O3487,3)=$W$7)),"x","")</f>
        <v/>
      </c>
      <c r="X3487" s="79" t="str">
        <f>IF(OR(TH!N3487=TH!$X$7,O3487=TH!$X$7),"x","")</f>
        <v/>
      </c>
      <c r="Y3487" s="79" t="str">
        <f>IF(AND(OR(N3487="131",O3487="131"),H3487='131-CT'!$H$9),"x","")</f>
        <v/>
      </c>
      <c r="Z3487" s="79"/>
      <c r="AA3487" s="79" t="str">
        <f>IF(AND(MONTH(E3487)='IN-NX'!$J$5,'IN-NX'!$D$7=D3487),"x","")</f>
        <v/>
      </c>
      <c r="AB3487" s="79" t="str">
        <f>IF(AND(OR(LEFT(TH!N3487,2)="15",LEFT(TH!O3487,2)="15"),LEFT(TH!O3487,3)&lt;&gt;"111",'152-CT'!$J$8=TH!F3487),"x","")</f>
        <v/>
      </c>
      <c r="AC3487" s="79" t="str">
        <f>IF(AND(OR(LEFT(TH!N3487,2)="15",LEFT(TH!O3487,2)="15"),TK!$E$7=TH!F3487),"x","")</f>
        <v/>
      </c>
      <c r="AD3487" s="79" t="str">
        <f>IF(AND(N3487="1521",MONTH(C3487)='BK-NL'!$M$11),"x","")</f>
        <v/>
      </c>
    </row>
    <row r="3488" spans="1:30" ht="16.5" customHeight="1">
      <c r="A3488" s="318" t="str">
        <f>IF(B3488&lt;&gt;"",IF(AND(B3488='IN-TC'!$S$4,OR(TH!N3488="1111",TH!O3488="1111")),TH!D3488,""),"")</f>
        <v/>
      </c>
      <c r="B3488" s="60" t="str">
        <f t="shared" si="394"/>
        <v/>
      </c>
      <c r="C3488" s="61"/>
      <c r="D3488" s="61"/>
      <c r="E3488" s="61"/>
      <c r="F3488" s="64"/>
      <c r="G3488" s="64"/>
      <c r="H3488" s="69"/>
      <c r="I3488" s="385"/>
      <c r="J3488" s="395"/>
      <c r="K3488" s="385"/>
      <c r="L3488" s="392"/>
      <c r="M3488" s="62"/>
      <c r="N3488" s="63"/>
      <c r="O3488" s="63"/>
      <c r="P3488" s="79" t="str">
        <f>IF(AND('331-CT'!$E$7=TH!H3488,OR(N3488="331",O3488="331")),"x","")</f>
        <v/>
      </c>
      <c r="Q3488" s="79" t="str">
        <f>IF(AND(B3488='111'!$L$11,OR($N3488=$Q$7,$O3488=$Q$7)),"x","")</f>
        <v/>
      </c>
      <c r="R3488" s="79" t="str">
        <f>IF(AND($N3488=$Q$7,$B3488&lt;'111'!$L$11),"x","")</f>
        <v/>
      </c>
      <c r="S3488" s="79" t="str">
        <f>IF(AND($O3488=$Q$7,$B3488&lt;'111'!$L$11),"x","")</f>
        <v/>
      </c>
      <c r="T3488" s="79" t="str">
        <f>IF(ISERROR(FIND('112'!$M$9,G3488,1)),"",IF((AND(FIND('112'!$M$9,G3488,1)&gt;=1,B3488='112'!$K$9,OR($N3488='112'!$I$6,$O3488='112'!$I$6))),"x",""))</f>
        <v/>
      </c>
      <c r="U3488" s="79" t="str">
        <f>IF(ISERROR(FIND('112'!$M$9,G3488,1)),"",IF((AND(LEFT(G3488,2)=LEFT('112'!$M$9,2),B3488&lt;'112'!$K$9,$N3488='112'!$I$6)),"x",""))</f>
        <v/>
      </c>
      <c r="V3488" s="79" t="str">
        <f>IF(ISERROR(FIND('112'!$M$9,G3488,1)),"",IF((AND(RIGHT(G3488,2)=RIGHT('112'!$M$9,2),B3488&lt;'112'!$K$9,$O3488='112'!$I$6)),"x",""))</f>
        <v/>
      </c>
      <c r="W3488" s="79" t="str">
        <f>IF(AND('341-CT'!$H$9=H3488,OR(LEFT(N3488,3)=$W$7,LEFT(O3488,3)=$W$7)),"x","")</f>
        <v/>
      </c>
      <c r="X3488" s="79" t="str">
        <f>IF(OR(TH!N3488=TH!$X$7,O3488=TH!$X$7),"x","")</f>
        <v/>
      </c>
      <c r="Y3488" s="79" t="str">
        <f>IF(AND(OR(N3488="131",O3488="131"),H3488='131-CT'!$H$9),"x","")</f>
        <v/>
      </c>
      <c r="Z3488" s="79"/>
      <c r="AA3488" s="79" t="str">
        <f>IF(AND(MONTH(E3488)='IN-NX'!$J$5,'IN-NX'!$D$7=D3488),"x","")</f>
        <v/>
      </c>
      <c r="AB3488" s="79" t="str">
        <f>IF(AND(OR(LEFT(TH!N3488,2)="15",LEFT(TH!O3488,2)="15"),LEFT(TH!O3488,3)&lt;&gt;"111",'152-CT'!$J$8=TH!F3488),"x","")</f>
        <v/>
      </c>
      <c r="AC3488" s="79" t="str">
        <f>IF(AND(OR(LEFT(TH!N3488,2)="15",LEFT(TH!O3488,2)="15"),TK!$E$7=TH!F3488),"x","")</f>
        <v/>
      </c>
      <c r="AD3488" s="79" t="str">
        <f>IF(AND(N3488="1521",MONTH(C3488)='BK-NL'!$M$11),"x","")</f>
        <v/>
      </c>
    </row>
    <row r="3489" spans="1:30" ht="16.5" customHeight="1">
      <c r="A3489" s="318" t="str">
        <f>IF(B3489&lt;&gt;"",IF(AND(B3489='IN-TC'!$S$4,OR(TH!N3489="1111",TH!O3489="1111")),TH!D3489,""),"")</f>
        <v/>
      </c>
      <c r="B3489" s="60" t="str">
        <f t="shared" si="394"/>
        <v/>
      </c>
      <c r="C3489" s="61"/>
      <c r="D3489" s="61"/>
      <c r="E3489" s="61"/>
      <c r="F3489" s="64"/>
      <c r="G3489" s="64"/>
      <c r="H3489" s="69"/>
      <c r="I3489" s="385"/>
      <c r="J3489" s="395"/>
      <c r="K3489" s="385"/>
      <c r="L3489" s="392"/>
      <c r="M3489" s="62"/>
      <c r="N3489" s="63"/>
      <c r="O3489" s="63"/>
      <c r="P3489" s="79" t="str">
        <f>IF(AND('331-CT'!$E$7=TH!H3489,OR(N3489="331",O3489="331")),"x","")</f>
        <v/>
      </c>
      <c r="Q3489" s="79" t="str">
        <f>IF(AND(B3489='111'!$L$11,OR($N3489=$Q$7,$O3489=$Q$7)),"x","")</f>
        <v/>
      </c>
      <c r="R3489" s="79" t="str">
        <f>IF(AND($N3489=$Q$7,$B3489&lt;'111'!$L$11),"x","")</f>
        <v/>
      </c>
      <c r="S3489" s="79" t="str">
        <f>IF(AND($O3489=$Q$7,$B3489&lt;'111'!$L$11),"x","")</f>
        <v/>
      </c>
      <c r="T3489" s="79" t="str">
        <f>IF(ISERROR(FIND('112'!$M$9,G3489,1)),"",IF((AND(FIND('112'!$M$9,G3489,1)&gt;=1,B3489='112'!$K$9,OR($N3489='112'!$I$6,$O3489='112'!$I$6))),"x",""))</f>
        <v/>
      </c>
      <c r="U3489" s="79" t="str">
        <f>IF(ISERROR(FIND('112'!$M$9,G3489,1)),"",IF((AND(LEFT(G3489,2)=LEFT('112'!$M$9,2),B3489&lt;'112'!$K$9,$N3489='112'!$I$6)),"x",""))</f>
        <v/>
      </c>
      <c r="V3489" s="79" t="str">
        <f>IF(ISERROR(FIND('112'!$M$9,G3489,1)),"",IF((AND(RIGHT(G3489,2)=RIGHT('112'!$M$9,2),B3489&lt;'112'!$K$9,$O3489='112'!$I$6)),"x",""))</f>
        <v/>
      </c>
      <c r="W3489" s="79" t="str">
        <f>IF(AND('341-CT'!$H$9=H3489,OR(LEFT(N3489,3)=$W$7,LEFT(O3489,3)=$W$7)),"x","")</f>
        <v/>
      </c>
      <c r="X3489" s="79" t="str">
        <f>IF(OR(TH!N3489=TH!$X$7,O3489=TH!$X$7),"x","")</f>
        <v/>
      </c>
      <c r="Y3489" s="79" t="str">
        <f>IF(AND(OR(N3489="131",O3489="131"),H3489='131-CT'!$H$9),"x","")</f>
        <v/>
      </c>
      <c r="Z3489" s="79"/>
      <c r="AA3489" s="79" t="str">
        <f>IF(AND(MONTH(E3489)='IN-NX'!$J$5,'IN-NX'!$D$7=D3489),"x","")</f>
        <v/>
      </c>
      <c r="AB3489" s="79" t="str">
        <f>IF(AND(OR(LEFT(TH!N3489,2)="15",LEFT(TH!O3489,2)="15"),LEFT(TH!O3489,3)&lt;&gt;"111",'152-CT'!$J$8=TH!F3489),"x","")</f>
        <v/>
      </c>
      <c r="AC3489" s="79" t="str">
        <f>IF(AND(OR(LEFT(TH!N3489,2)="15",LEFT(TH!O3489,2)="15"),TK!$E$7=TH!F3489),"x","")</f>
        <v/>
      </c>
      <c r="AD3489" s="79" t="str">
        <f>IF(AND(N3489="1521",MONTH(C3489)='BK-NL'!$M$11),"x","")</f>
        <v/>
      </c>
    </row>
    <row r="3490" spans="1:30" ht="16.5" customHeight="1">
      <c r="A3490" s="318" t="str">
        <f>IF(B3490&lt;&gt;"",IF(AND(B3490='IN-TC'!$S$4,OR(TH!N3490="1111",TH!O3490="1111")),TH!D3490,""),"")</f>
        <v/>
      </c>
      <c r="B3490" s="60" t="str">
        <f t="shared" si="394"/>
        <v/>
      </c>
      <c r="C3490" s="61"/>
      <c r="D3490" s="61"/>
      <c r="E3490" s="61"/>
      <c r="F3490" s="64"/>
      <c r="G3490" s="64"/>
      <c r="H3490" s="69"/>
      <c r="I3490" s="385"/>
      <c r="J3490" s="395"/>
      <c r="K3490" s="385"/>
      <c r="L3490" s="392"/>
      <c r="M3490" s="62"/>
      <c r="N3490" s="63"/>
      <c r="O3490" s="63"/>
      <c r="P3490" s="79" t="str">
        <f>IF(AND('331-CT'!$E$7=TH!H3490,OR(N3490="331",O3490="331")),"x","")</f>
        <v/>
      </c>
      <c r="Q3490" s="79" t="str">
        <f>IF(AND(B3490='111'!$L$11,OR($N3490=$Q$7,$O3490=$Q$7)),"x","")</f>
        <v/>
      </c>
      <c r="R3490" s="79" t="str">
        <f>IF(AND($N3490=$Q$7,$B3490&lt;'111'!$L$11),"x","")</f>
        <v/>
      </c>
      <c r="S3490" s="79" t="str">
        <f>IF(AND($O3490=$Q$7,$B3490&lt;'111'!$L$11),"x","")</f>
        <v/>
      </c>
      <c r="T3490" s="79" t="str">
        <f>IF(ISERROR(FIND('112'!$M$9,G3490,1)),"",IF((AND(FIND('112'!$M$9,G3490,1)&gt;=1,B3490='112'!$K$9,OR($N3490='112'!$I$6,$O3490='112'!$I$6))),"x",""))</f>
        <v/>
      </c>
      <c r="U3490" s="79" t="str">
        <f>IF(ISERROR(FIND('112'!$M$9,G3490,1)),"",IF((AND(LEFT(G3490,2)=LEFT('112'!$M$9,2),B3490&lt;'112'!$K$9,$N3490='112'!$I$6)),"x",""))</f>
        <v/>
      </c>
      <c r="V3490" s="79" t="str">
        <f>IF(ISERROR(FIND('112'!$M$9,G3490,1)),"",IF((AND(RIGHT(G3490,2)=RIGHT('112'!$M$9,2),B3490&lt;'112'!$K$9,$O3490='112'!$I$6)),"x",""))</f>
        <v/>
      </c>
      <c r="W3490" s="79" t="str">
        <f>IF(AND('341-CT'!$H$9=H3490,OR(LEFT(N3490,3)=$W$7,LEFT(O3490,3)=$W$7)),"x","")</f>
        <v/>
      </c>
      <c r="X3490" s="79" t="str">
        <f>IF(OR(TH!N3490=TH!$X$7,O3490=TH!$X$7),"x","")</f>
        <v/>
      </c>
      <c r="Y3490" s="79" t="str">
        <f>IF(AND(OR(N3490="131",O3490="131"),H3490='131-CT'!$H$9),"x","")</f>
        <v/>
      </c>
      <c r="Z3490" s="79"/>
      <c r="AA3490" s="79" t="str">
        <f>IF(AND(MONTH(E3490)='IN-NX'!$J$5,'IN-NX'!$D$7=D3490),"x","")</f>
        <v/>
      </c>
      <c r="AB3490" s="79" t="str">
        <f>IF(AND(OR(LEFT(TH!N3490,2)="15",LEFT(TH!O3490,2)="15"),LEFT(TH!O3490,3)&lt;&gt;"111",'152-CT'!$J$8=TH!F3490),"x","")</f>
        <v/>
      </c>
      <c r="AC3490" s="79" t="str">
        <f>IF(AND(OR(LEFT(TH!N3490,2)="15",LEFT(TH!O3490,2)="15"),TK!$E$7=TH!F3490),"x","")</f>
        <v/>
      </c>
      <c r="AD3490" s="79" t="str">
        <f>IF(AND(N3490="1521",MONTH(C3490)='BK-NL'!$M$11),"x","")</f>
        <v/>
      </c>
    </row>
    <row r="3491" spans="1:30" ht="16.5" customHeight="1">
      <c r="A3491" s="318" t="str">
        <f>IF(B3491&lt;&gt;"",IF(AND(B3491='IN-TC'!$S$4,OR(TH!N3491="1111",TH!O3491="1111")),TH!D3491,""),"")</f>
        <v/>
      </c>
      <c r="B3491" s="60" t="str">
        <f t="shared" si="394"/>
        <v/>
      </c>
      <c r="C3491" s="61"/>
      <c r="D3491" s="61"/>
      <c r="E3491" s="61"/>
      <c r="F3491" s="64"/>
      <c r="G3491" s="64"/>
      <c r="H3491" s="69"/>
      <c r="I3491" s="385"/>
      <c r="J3491" s="395"/>
      <c r="K3491" s="385"/>
      <c r="L3491" s="392"/>
      <c r="M3491" s="62"/>
      <c r="N3491" s="63"/>
      <c r="O3491" s="63"/>
      <c r="P3491" s="79" t="str">
        <f>IF(AND('331-CT'!$E$7=TH!H3491,OR(N3491="331",O3491="331")),"x","")</f>
        <v/>
      </c>
      <c r="Q3491" s="79" t="str">
        <f>IF(AND(B3491='111'!$L$11,OR($N3491=$Q$7,$O3491=$Q$7)),"x","")</f>
        <v/>
      </c>
      <c r="R3491" s="79" t="str">
        <f>IF(AND($N3491=$Q$7,$B3491&lt;'111'!$L$11),"x","")</f>
        <v/>
      </c>
      <c r="S3491" s="79" t="str">
        <f>IF(AND($O3491=$Q$7,$B3491&lt;'111'!$L$11),"x","")</f>
        <v/>
      </c>
      <c r="T3491" s="79" t="str">
        <f>IF(ISERROR(FIND('112'!$M$9,G3491,1)),"",IF((AND(FIND('112'!$M$9,G3491,1)&gt;=1,B3491='112'!$K$9,OR($N3491='112'!$I$6,$O3491='112'!$I$6))),"x",""))</f>
        <v/>
      </c>
      <c r="U3491" s="79" t="str">
        <f>IF(ISERROR(FIND('112'!$M$9,G3491,1)),"",IF((AND(LEFT(G3491,2)=LEFT('112'!$M$9,2),B3491&lt;'112'!$K$9,$N3491='112'!$I$6)),"x",""))</f>
        <v/>
      </c>
      <c r="V3491" s="79" t="str">
        <f>IF(ISERROR(FIND('112'!$M$9,G3491,1)),"",IF((AND(RIGHT(G3491,2)=RIGHT('112'!$M$9,2),B3491&lt;'112'!$K$9,$O3491='112'!$I$6)),"x",""))</f>
        <v/>
      </c>
      <c r="W3491" s="79" t="str">
        <f>IF(AND('341-CT'!$H$9=H3491,OR(LEFT(N3491,3)=$W$7,LEFT(O3491,3)=$W$7)),"x","")</f>
        <v/>
      </c>
      <c r="X3491" s="79" t="str">
        <f>IF(OR(TH!N3491=TH!$X$7,O3491=TH!$X$7),"x","")</f>
        <v/>
      </c>
      <c r="Y3491" s="79" t="str">
        <f>IF(AND(OR(N3491="131",O3491="131"),H3491='131-CT'!$H$9),"x","")</f>
        <v/>
      </c>
      <c r="Z3491" s="79"/>
      <c r="AA3491" s="79" t="str">
        <f>IF(AND(MONTH(E3491)='IN-NX'!$J$5,'IN-NX'!$D$7=D3491),"x","")</f>
        <v/>
      </c>
      <c r="AB3491" s="79" t="str">
        <f>IF(AND(OR(LEFT(TH!N3491,2)="15",LEFT(TH!O3491,2)="15"),LEFT(TH!O3491,3)&lt;&gt;"111",'152-CT'!$J$8=TH!F3491),"x","")</f>
        <v/>
      </c>
      <c r="AC3491" s="79" t="str">
        <f>IF(AND(OR(LEFT(TH!N3491,2)="15",LEFT(TH!O3491,2)="15"),TK!$E$7=TH!F3491),"x","")</f>
        <v/>
      </c>
      <c r="AD3491" s="79" t="str">
        <f>IF(AND(N3491="1521",MONTH(C3491)='BK-NL'!$M$11),"x","")</f>
        <v/>
      </c>
    </row>
    <row r="3492" spans="1:30" ht="16.5" customHeight="1">
      <c r="A3492" s="318" t="str">
        <f>IF(B3492&lt;&gt;"",IF(AND(B3492='IN-TC'!$S$4,OR(TH!N3492="1111",TH!O3492="1111")),TH!D3492,""),"")</f>
        <v/>
      </c>
      <c r="B3492" s="60" t="str">
        <f t="shared" si="394"/>
        <v/>
      </c>
      <c r="C3492" s="61"/>
      <c r="D3492" s="61"/>
      <c r="E3492" s="61"/>
      <c r="F3492" s="64"/>
      <c r="G3492" s="64"/>
      <c r="H3492" s="69"/>
      <c r="I3492" s="385"/>
      <c r="J3492" s="395"/>
      <c r="K3492" s="385"/>
      <c r="L3492" s="392"/>
      <c r="M3492" s="62"/>
      <c r="N3492" s="63"/>
      <c r="O3492" s="63"/>
      <c r="P3492" s="79" t="str">
        <f>IF(AND('331-CT'!$E$7=TH!H3492,OR(N3492="331",O3492="331")),"x","")</f>
        <v/>
      </c>
      <c r="Q3492" s="79" t="str">
        <f>IF(AND(B3492='111'!$L$11,OR($N3492=$Q$7,$O3492=$Q$7)),"x","")</f>
        <v/>
      </c>
      <c r="R3492" s="79" t="str">
        <f>IF(AND($N3492=$Q$7,$B3492&lt;'111'!$L$11),"x","")</f>
        <v/>
      </c>
      <c r="S3492" s="79" t="str">
        <f>IF(AND($O3492=$Q$7,$B3492&lt;'111'!$L$11),"x","")</f>
        <v/>
      </c>
      <c r="T3492" s="79" t="str">
        <f>IF(ISERROR(FIND('112'!$M$9,G3492,1)),"",IF((AND(FIND('112'!$M$9,G3492,1)&gt;=1,B3492='112'!$K$9,OR($N3492='112'!$I$6,$O3492='112'!$I$6))),"x",""))</f>
        <v/>
      </c>
      <c r="U3492" s="79" t="str">
        <f>IF(ISERROR(FIND('112'!$M$9,G3492,1)),"",IF((AND(LEFT(G3492,2)=LEFT('112'!$M$9,2),B3492&lt;'112'!$K$9,$N3492='112'!$I$6)),"x",""))</f>
        <v/>
      </c>
      <c r="V3492" s="79" t="str">
        <f>IF(ISERROR(FIND('112'!$M$9,G3492,1)),"",IF((AND(RIGHT(G3492,2)=RIGHT('112'!$M$9,2),B3492&lt;'112'!$K$9,$O3492='112'!$I$6)),"x",""))</f>
        <v/>
      </c>
      <c r="W3492" s="79" t="str">
        <f>IF(AND('341-CT'!$H$9=H3492,OR(LEFT(N3492,3)=$W$7,LEFT(O3492,3)=$W$7)),"x","")</f>
        <v/>
      </c>
      <c r="X3492" s="79" t="str">
        <f>IF(OR(TH!N3492=TH!$X$7,O3492=TH!$X$7),"x","")</f>
        <v/>
      </c>
      <c r="Y3492" s="79" t="str">
        <f>IF(AND(OR(N3492="131",O3492="131"),H3492='131-CT'!$H$9),"x","")</f>
        <v/>
      </c>
      <c r="Z3492" s="79"/>
      <c r="AA3492" s="79" t="str">
        <f>IF(AND(MONTH(E3492)='IN-NX'!$J$5,'IN-NX'!$D$7=D3492),"x","")</f>
        <v/>
      </c>
      <c r="AB3492" s="79" t="str">
        <f>IF(AND(OR(LEFT(TH!N3492,2)="15",LEFT(TH!O3492,2)="15"),LEFT(TH!O3492,3)&lt;&gt;"111",'152-CT'!$J$8=TH!F3492),"x","")</f>
        <v/>
      </c>
      <c r="AC3492" s="79" t="str">
        <f>IF(AND(OR(LEFT(TH!N3492,2)="15",LEFT(TH!O3492,2)="15"),TK!$E$7=TH!F3492),"x","")</f>
        <v/>
      </c>
      <c r="AD3492" s="79" t="str">
        <f>IF(AND(N3492="1521",MONTH(C3492)='BK-NL'!$M$11),"x","")</f>
        <v/>
      </c>
    </row>
    <row r="3493" spans="1:30" ht="16.5" customHeight="1">
      <c r="A3493" s="318" t="str">
        <f>IF(B3493&lt;&gt;"",IF(AND(B3493='IN-TC'!$S$4,OR(TH!N3493="1111",TH!O3493="1111")),TH!D3493,""),"")</f>
        <v/>
      </c>
      <c r="B3493" s="60" t="str">
        <f t="shared" si="394"/>
        <v/>
      </c>
      <c r="C3493" s="61"/>
      <c r="D3493" s="61"/>
      <c r="E3493" s="61"/>
      <c r="F3493" s="64"/>
      <c r="G3493" s="64"/>
      <c r="H3493" s="69"/>
      <c r="I3493" s="385"/>
      <c r="J3493" s="395"/>
      <c r="K3493" s="385"/>
      <c r="L3493" s="392"/>
      <c r="M3493" s="62"/>
      <c r="N3493" s="63"/>
      <c r="O3493" s="63"/>
      <c r="P3493" s="79" t="str">
        <f>IF(AND('331-CT'!$E$7=TH!H3493,OR(N3493="331",O3493="331")),"x","")</f>
        <v/>
      </c>
      <c r="Q3493" s="79" t="str">
        <f>IF(AND(B3493='111'!$L$11,OR($N3493=$Q$7,$O3493=$Q$7)),"x","")</f>
        <v/>
      </c>
      <c r="R3493" s="79" t="str">
        <f>IF(AND($N3493=$Q$7,$B3493&lt;'111'!$L$11),"x","")</f>
        <v/>
      </c>
      <c r="S3493" s="79" t="str">
        <f>IF(AND($O3493=$Q$7,$B3493&lt;'111'!$L$11),"x","")</f>
        <v/>
      </c>
      <c r="T3493" s="79" t="str">
        <f>IF(ISERROR(FIND('112'!$M$9,G3493,1)),"",IF((AND(FIND('112'!$M$9,G3493,1)&gt;=1,B3493='112'!$K$9,OR($N3493='112'!$I$6,$O3493='112'!$I$6))),"x",""))</f>
        <v/>
      </c>
      <c r="U3493" s="79" t="str">
        <f>IF(ISERROR(FIND('112'!$M$9,G3493,1)),"",IF((AND(LEFT(G3493,2)=LEFT('112'!$M$9,2),B3493&lt;'112'!$K$9,$N3493='112'!$I$6)),"x",""))</f>
        <v/>
      </c>
      <c r="V3493" s="79" t="str">
        <f>IF(ISERROR(FIND('112'!$M$9,G3493,1)),"",IF((AND(RIGHT(G3493,2)=RIGHT('112'!$M$9,2),B3493&lt;'112'!$K$9,$O3493='112'!$I$6)),"x",""))</f>
        <v/>
      </c>
      <c r="W3493" s="79" t="str">
        <f>IF(AND('341-CT'!$H$9=H3493,OR(LEFT(N3493,3)=$W$7,LEFT(O3493,3)=$W$7)),"x","")</f>
        <v/>
      </c>
      <c r="X3493" s="79" t="str">
        <f>IF(OR(TH!N3493=TH!$X$7,O3493=TH!$X$7),"x","")</f>
        <v/>
      </c>
      <c r="Y3493" s="79" t="str">
        <f>IF(AND(OR(N3493="131",O3493="131"),H3493='131-CT'!$H$9),"x","")</f>
        <v/>
      </c>
      <c r="Z3493" s="79"/>
      <c r="AA3493" s="79" t="str">
        <f>IF(AND(MONTH(E3493)='IN-NX'!$J$5,'IN-NX'!$D$7=D3493),"x","")</f>
        <v/>
      </c>
      <c r="AB3493" s="79" t="str">
        <f>IF(AND(OR(LEFT(TH!N3493,2)="15",LEFT(TH!O3493,2)="15"),LEFT(TH!O3493,3)&lt;&gt;"111",'152-CT'!$J$8=TH!F3493),"x","")</f>
        <v/>
      </c>
      <c r="AC3493" s="79" t="str">
        <f>IF(AND(OR(LEFT(TH!N3493,2)="15",LEFT(TH!O3493,2)="15"),TK!$E$7=TH!F3493),"x","")</f>
        <v/>
      </c>
      <c r="AD3493" s="79" t="str">
        <f>IF(AND(N3493="1521",MONTH(C3493)='BK-NL'!$M$11),"x","")</f>
        <v/>
      </c>
    </row>
    <row r="3494" spans="1:30" ht="16.5" customHeight="1">
      <c r="A3494" s="318" t="str">
        <f>IF(B3494&lt;&gt;"",IF(AND(B3494='IN-TC'!$S$4,OR(TH!N3494="1111",TH!O3494="1111")),TH!D3494,""),"")</f>
        <v/>
      </c>
      <c r="B3494" s="60" t="str">
        <f t="shared" si="394"/>
        <v/>
      </c>
      <c r="C3494" s="61"/>
      <c r="D3494" s="61"/>
      <c r="E3494" s="61"/>
      <c r="F3494" s="64"/>
      <c r="G3494" s="64"/>
      <c r="H3494" s="69"/>
      <c r="I3494" s="385"/>
      <c r="J3494" s="395"/>
      <c r="K3494" s="385"/>
      <c r="L3494" s="392"/>
      <c r="M3494" s="62"/>
      <c r="N3494" s="63"/>
      <c r="O3494" s="63"/>
      <c r="P3494" s="79" t="str">
        <f>IF(AND('331-CT'!$E$7=TH!H3494,OR(N3494="331",O3494="331")),"x","")</f>
        <v/>
      </c>
      <c r="Q3494" s="79" t="str">
        <f>IF(AND(B3494='111'!$L$11,OR($N3494=$Q$7,$O3494=$Q$7)),"x","")</f>
        <v/>
      </c>
      <c r="R3494" s="79" t="str">
        <f>IF(AND($N3494=$Q$7,$B3494&lt;'111'!$L$11),"x","")</f>
        <v/>
      </c>
      <c r="S3494" s="79" t="str">
        <f>IF(AND($O3494=$Q$7,$B3494&lt;'111'!$L$11),"x","")</f>
        <v/>
      </c>
      <c r="T3494" s="79" t="str">
        <f>IF(ISERROR(FIND('112'!$M$9,G3494,1)),"",IF((AND(FIND('112'!$M$9,G3494,1)&gt;=1,B3494='112'!$K$9,OR($N3494='112'!$I$6,$O3494='112'!$I$6))),"x",""))</f>
        <v/>
      </c>
      <c r="U3494" s="79" t="str">
        <f>IF(ISERROR(FIND('112'!$M$9,G3494,1)),"",IF((AND(LEFT(G3494,2)=LEFT('112'!$M$9,2),B3494&lt;'112'!$K$9,$N3494='112'!$I$6)),"x",""))</f>
        <v/>
      </c>
      <c r="V3494" s="79" t="str">
        <f>IF(ISERROR(FIND('112'!$M$9,G3494,1)),"",IF((AND(RIGHT(G3494,2)=RIGHT('112'!$M$9,2),B3494&lt;'112'!$K$9,$O3494='112'!$I$6)),"x",""))</f>
        <v/>
      </c>
      <c r="W3494" s="79" t="str">
        <f>IF(AND('341-CT'!$H$9=H3494,OR(LEFT(N3494,3)=$W$7,LEFT(O3494,3)=$W$7)),"x","")</f>
        <v/>
      </c>
      <c r="X3494" s="79" t="str">
        <f>IF(OR(TH!N3494=TH!$X$7,O3494=TH!$X$7),"x","")</f>
        <v/>
      </c>
      <c r="Y3494" s="79" t="str">
        <f>IF(AND(OR(N3494="131",O3494="131"),H3494='131-CT'!$H$9),"x","")</f>
        <v/>
      </c>
      <c r="Z3494" s="79"/>
      <c r="AA3494" s="79" t="str">
        <f>IF(AND(MONTH(E3494)='IN-NX'!$J$5,'IN-NX'!$D$7=D3494),"x","")</f>
        <v/>
      </c>
      <c r="AB3494" s="79" t="str">
        <f>IF(AND(OR(LEFT(TH!N3494,2)="15",LEFT(TH!O3494,2)="15"),LEFT(TH!O3494,3)&lt;&gt;"111",'152-CT'!$J$8=TH!F3494),"x","")</f>
        <v/>
      </c>
      <c r="AC3494" s="79" t="str">
        <f>IF(AND(OR(LEFT(TH!N3494,2)="15",LEFT(TH!O3494,2)="15"),TK!$E$7=TH!F3494),"x","")</f>
        <v/>
      </c>
      <c r="AD3494" s="79" t="str">
        <f>IF(AND(N3494="1521",MONTH(C3494)='BK-NL'!$M$11),"x","")</f>
        <v/>
      </c>
    </row>
    <row r="3495" spans="1:30" ht="16.5" customHeight="1">
      <c r="A3495" s="318" t="str">
        <f>IF(B3495&lt;&gt;"",IF(AND(B3495='IN-TC'!$S$4,OR(TH!N3495="1111",TH!O3495="1111")),TH!D3495,""),"")</f>
        <v/>
      </c>
      <c r="B3495" s="60" t="str">
        <f t="shared" si="394"/>
        <v/>
      </c>
      <c r="C3495" s="61"/>
      <c r="D3495" s="61"/>
      <c r="E3495" s="61"/>
      <c r="F3495" s="64"/>
      <c r="G3495" s="64"/>
      <c r="H3495" s="69"/>
      <c r="I3495" s="385"/>
      <c r="J3495" s="395"/>
      <c r="K3495" s="385"/>
      <c r="L3495" s="392"/>
      <c r="M3495" s="62"/>
      <c r="N3495" s="63"/>
      <c r="O3495" s="63"/>
      <c r="P3495" s="79" t="str">
        <f>IF(AND('331-CT'!$E$7=TH!H3495,OR(N3495="331",O3495="331")),"x","")</f>
        <v/>
      </c>
      <c r="Q3495" s="79" t="str">
        <f>IF(AND(B3495='111'!$L$11,OR($N3495=$Q$7,$O3495=$Q$7)),"x","")</f>
        <v/>
      </c>
      <c r="R3495" s="79" t="str">
        <f>IF(AND($N3495=$Q$7,$B3495&lt;'111'!$L$11),"x","")</f>
        <v/>
      </c>
      <c r="S3495" s="79" t="str">
        <f>IF(AND($O3495=$Q$7,$B3495&lt;'111'!$L$11),"x","")</f>
        <v/>
      </c>
      <c r="T3495" s="79" t="str">
        <f>IF(ISERROR(FIND('112'!$M$9,G3495,1)),"",IF((AND(FIND('112'!$M$9,G3495,1)&gt;=1,B3495='112'!$K$9,OR($N3495='112'!$I$6,$O3495='112'!$I$6))),"x",""))</f>
        <v/>
      </c>
      <c r="U3495" s="79" t="str">
        <f>IF(ISERROR(FIND('112'!$M$9,G3495,1)),"",IF((AND(LEFT(G3495,2)=LEFT('112'!$M$9,2),B3495&lt;'112'!$K$9,$N3495='112'!$I$6)),"x",""))</f>
        <v/>
      </c>
      <c r="V3495" s="79" t="str">
        <f>IF(ISERROR(FIND('112'!$M$9,G3495,1)),"",IF((AND(RIGHT(G3495,2)=RIGHT('112'!$M$9,2),B3495&lt;'112'!$K$9,$O3495='112'!$I$6)),"x",""))</f>
        <v/>
      </c>
      <c r="W3495" s="79" t="str">
        <f>IF(AND('341-CT'!$H$9=H3495,OR(LEFT(N3495,3)=$W$7,LEFT(O3495,3)=$W$7)),"x","")</f>
        <v/>
      </c>
      <c r="X3495" s="79" t="str">
        <f>IF(OR(TH!N3495=TH!$X$7,O3495=TH!$X$7),"x","")</f>
        <v/>
      </c>
      <c r="Y3495" s="79" t="str">
        <f>IF(AND(OR(N3495="131",O3495="131"),H3495='131-CT'!$H$9),"x","")</f>
        <v/>
      </c>
      <c r="Z3495" s="79"/>
      <c r="AA3495" s="79" t="str">
        <f>IF(AND(MONTH(E3495)='IN-NX'!$J$5,'IN-NX'!$D$7=D3495),"x","")</f>
        <v/>
      </c>
      <c r="AB3495" s="79" t="str">
        <f>IF(AND(OR(LEFT(TH!N3495,2)="15",LEFT(TH!O3495,2)="15"),LEFT(TH!O3495,3)&lt;&gt;"111",'152-CT'!$J$8=TH!F3495),"x","")</f>
        <v/>
      </c>
      <c r="AC3495" s="79" t="str">
        <f>IF(AND(OR(LEFT(TH!N3495,2)="15",LEFT(TH!O3495,2)="15"),TK!$E$7=TH!F3495),"x","")</f>
        <v/>
      </c>
      <c r="AD3495" s="79" t="str">
        <f>IF(AND(N3495="1521",MONTH(C3495)='BK-NL'!$M$11),"x","")</f>
        <v/>
      </c>
    </row>
    <row r="3496" spans="1:30" ht="16.5" customHeight="1">
      <c r="A3496" s="318" t="str">
        <f>IF(B3496&lt;&gt;"",IF(AND(B3496='IN-TC'!$S$4,OR(TH!N3496="1111",TH!O3496="1111")),TH!D3496,""),"")</f>
        <v/>
      </c>
      <c r="B3496" s="60" t="str">
        <f t="shared" si="394"/>
        <v/>
      </c>
      <c r="C3496" s="61"/>
      <c r="D3496" s="61"/>
      <c r="E3496" s="61"/>
      <c r="F3496" s="64"/>
      <c r="G3496" s="64"/>
      <c r="H3496" s="69"/>
      <c r="I3496" s="385"/>
      <c r="J3496" s="395"/>
      <c r="K3496" s="385"/>
      <c r="L3496" s="392"/>
      <c r="M3496" s="62"/>
      <c r="N3496" s="63"/>
      <c r="O3496" s="63"/>
      <c r="P3496" s="79" t="str">
        <f>IF(AND('331-CT'!$E$7=TH!H3496,OR(N3496="331",O3496="331")),"x","")</f>
        <v/>
      </c>
      <c r="Q3496" s="79" t="str">
        <f>IF(AND(B3496='111'!$L$11,OR($N3496=$Q$7,$O3496=$Q$7)),"x","")</f>
        <v/>
      </c>
      <c r="R3496" s="79" t="str">
        <f>IF(AND($N3496=$Q$7,$B3496&lt;'111'!$L$11),"x","")</f>
        <v/>
      </c>
      <c r="S3496" s="79" t="str">
        <f>IF(AND($O3496=$Q$7,$B3496&lt;'111'!$L$11),"x","")</f>
        <v/>
      </c>
      <c r="T3496" s="79" t="str">
        <f>IF(ISERROR(FIND('112'!$M$9,G3496,1)),"",IF((AND(FIND('112'!$M$9,G3496,1)&gt;=1,B3496='112'!$K$9,OR($N3496='112'!$I$6,$O3496='112'!$I$6))),"x",""))</f>
        <v/>
      </c>
      <c r="U3496" s="79" t="str">
        <f>IF(ISERROR(FIND('112'!$M$9,G3496,1)),"",IF((AND(LEFT(G3496,2)=LEFT('112'!$M$9,2),B3496&lt;'112'!$K$9,$N3496='112'!$I$6)),"x",""))</f>
        <v/>
      </c>
      <c r="V3496" s="79" t="str">
        <f>IF(ISERROR(FIND('112'!$M$9,G3496,1)),"",IF((AND(RIGHT(G3496,2)=RIGHT('112'!$M$9,2),B3496&lt;'112'!$K$9,$O3496='112'!$I$6)),"x",""))</f>
        <v/>
      </c>
      <c r="W3496" s="79" t="str">
        <f>IF(AND('341-CT'!$H$9=H3496,OR(LEFT(N3496,3)=$W$7,LEFT(O3496,3)=$W$7)),"x","")</f>
        <v/>
      </c>
      <c r="X3496" s="79" t="str">
        <f>IF(OR(TH!N3496=TH!$X$7,O3496=TH!$X$7),"x","")</f>
        <v/>
      </c>
      <c r="Y3496" s="79" t="str">
        <f>IF(AND(OR(N3496="131",O3496="131"),H3496='131-CT'!$H$9),"x","")</f>
        <v/>
      </c>
      <c r="Z3496" s="79"/>
      <c r="AA3496" s="79" t="str">
        <f>IF(AND(MONTH(E3496)='IN-NX'!$J$5,'IN-NX'!$D$7=D3496),"x","")</f>
        <v/>
      </c>
      <c r="AB3496" s="79" t="str">
        <f>IF(AND(OR(LEFT(TH!N3496,2)="15",LEFT(TH!O3496,2)="15"),LEFT(TH!O3496,3)&lt;&gt;"111",'152-CT'!$J$8=TH!F3496),"x","")</f>
        <v/>
      </c>
      <c r="AC3496" s="79" t="str">
        <f>IF(AND(OR(LEFT(TH!N3496,2)="15",LEFT(TH!O3496,2)="15"),TK!$E$7=TH!F3496),"x","")</f>
        <v/>
      </c>
      <c r="AD3496" s="79" t="str">
        <f>IF(AND(N3496="1521",MONTH(C3496)='BK-NL'!$M$11),"x","")</f>
        <v/>
      </c>
    </row>
    <row r="3497" spans="1:30" ht="16.5" customHeight="1">
      <c r="A3497" s="318" t="str">
        <f>IF(B3497&lt;&gt;"",IF(AND(B3497='IN-TC'!$S$4,OR(TH!N3497="1111",TH!O3497="1111")),TH!D3497,""),"")</f>
        <v/>
      </c>
      <c r="B3497" s="60" t="str">
        <f t="shared" si="394"/>
        <v/>
      </c>
      <c r="C3497" s="301"/>
      <c r="D3497" s="301"/>
      <c r="E3497" s="301"/>
      <c r="F3497" s="69"/>
      <c r="G3497" s="988"/>
      <c r="H3497" s="303"/>
      <c r="I3497" s="385"/>
      <c r="J3497" s="969"/>
      <c r="K3497" s="385"/>
      <c r="L3497" s="392"/>
      <c r="M3497" s="970"/>
      <c r="N3497" s="304"/>
      <c r="O3497" s="304"/>
      <c r="P3497" s="79" t="str">
        <f>IF(AND('331-CT'!$E$7=TH!H3497,OR(N3497="331",O3497="331")),"x","")</f>
        <v/>
      </c>
      <c r="Q3497" s="79" t="str">
        <f>IF(AND(B3497='111'!$L$11,OR($N3497=$Q$7,$O3497=$Q$7)),"x","")</f>
        <v/>
      </c>
      <c r="R3497" s="79" t="str">
        <f>IF(AND($N3497=$Q$7,$B3497&lt;'111'!$L$11),"x","")</f>
        <v/>
      </c>
      <c r="S3497" s="79" t="str">
        <f>IF(AND($O3497=$Q$7,$B3497&lt;'111'!$L$11),"x","")</f>
        <v/>
      </c>
      <c r="T3497" s="79" t="str">
        <f>IF(ISERROR(FIND('112'!$M$9,G3497,1)),"",IF((AND(FIND('112'!$M$9,G3497,1)&gt;=1,B3497='112'!$K$9,OR($N3497='112'!$I$6,$O3497='112'!$I$6))),"x",""))</f>
        <v/>
      </c>
      <c r="U3497" s="79" t="str">
        <f>IF(ISERROR(FIND('112'!$M$9,G3497,1)),"",IF((AND(LEFT(G3497,2)=LEFT('112'!$M$9,2),B3497&lt;'112'!$K$9,$N3497='112'!$I$6)),"x",""))</f>
        <v/>
      </c>
      <c r="V3497" s="79" t="str">
        <f>IF(ISERROR(FIND('112'!$M$9,G3497,1)),"",IF((AND(RIGHT(G3497,2)=RIGHT('112'!$M$9,2),B3497&lt;'112'!$K$9,$O3497='112'!$I$6)),"x",""))</f>
        <v/>
      </c>
      <c r="W3497" s="79" t="str">
        <f>IF(AND('341-CT'!$H$9=H3497,OR(LEFT(N3497,3)=$W$7,LEFT(O3497,3)=$W$7)),"x","")</f>
        <v/>
      </c>
      <c r="X3497" s="79" t="str">
        <f>IF(OR(TH!N3497=TH!$X$7,O3497=TH!$X$7),"x","")</f>
        <v/>
      </c>
      <c r="Y3497" s="79" t="str">
        <f>IF(AND(OR(N3497="131",O3497="131"),H3497='131-CT'!$H$9),"x","")</f>
        <v/>
      </c>
      <c r="Z3497" s="79"/>
      <c r="AA3497" s="79" t="str">
        <f>IF(AND(MONTH(E3497)='IN-NX'!$J$5,'IN-NX'!$D$7=D3497),"x","")</f>
        <v/>
      </c>
      <c r="AB3497" s="79" t="str">
        <f>IF(AND(OR(LEFT(TH!N3497,2)="15",LEFT(TH!O3497,2)="15"),LEFT(TH!O3497,3)&lt;&gt;"111",'152-CT'!$J$8=TH!F3497),"x","")</f>
        <v/>
      </c>
      <c r="AC3497" s="79" t="str">
        <f>IF(AND(OR(LEFT(TH!N3497,2)="15",LEFT(TH!O3497,2)="15"),TK!$E$7=TH!F3497),"x","")</f>
        <v/>
      </c>
      <c r="AD3497" s="79" t="str">
        <f>IF(AND(N3497="1521",MONTH(C3497)='BK-NL'!$M$11),"x","")</f>
        <v/>
      </c>
    </row>
    <row r="3498" spans="1:30" ht="16.5" customHeight="1">
      <c r="A3498" s="318" t="str">
        <f>IF(B3498&lt;&gt;"",IF(AND(B3498='IN-TC'!$S$4,OR(TH!N3498="1111",TH!O3498="1111")),TH!D3498,""),"")</f>
        <v/>
      </c>
      <c r="B3498" s="60" t="str">
        <f t="shared" si="394"/>
        <v/>
      </c>
      <c r="C3498" s="61"/>
      <c r="D3498" s="61"/>
      <c r="E3498" s="61"/>
      <c r="F3498" s="64"/>
      <c r="G3498" s="64"/>
      <c r="H3498" s="303"/>
      <c r="I3498" s="385"/>
      <c r="J3498" s="395"/>
      <c r="K3498" s="385"/>
      <c r="L3498" s="392"/>
      <c r="M3498" s="62"/>
      <c r="N3498" s="63"/>
      <c r="O3498" s="63"/>
      <c r="P3498" s="79" t="str">
        <f>IF(AND('331-CT'!$E$7=TH!H3498,OR(N3498="331",O3498="331")),"x","")</f>
        <v/>
      </c>
      <c r="Q3498" s="79" t="str">
        <f>IF(AND(B3498='111'!$L$11,OR($N3498=$Q$7,$O3498=$Q$7)),"x","")</f>
        <v/>
      </c>
      <c r="R3498" s="79" t="str">
        <f>IF(AND($N3498=$Q$7,$B3498&lt;'111'!$L$11),"x","")</f>
        <v/>
      </c>
      <c r="S3498" s="79" t="str">
        <f>IF(AND($O3498=$Q$7,$B3498&lt;'111'!$L$11),"x","")</f>
        <v/>
      </c>
      <c r="T3498" s="79" t="str">
        <f>IF(ISERROR(FIND('112'!$M$9,G3498,1)),"",IF((AND(FIND('112'!$M$9,G3498,1)&gt;=1,B3498='112'!$K$9,OR($N3498='112'!$I$6,$O3498='112'!$I$6))),"x",""))</f>
        <v/>
      </c>
      <c r="U3498" s="79" t="str">
        <f>IF(ISERROR(FIND('112'!$M$9,G3498,1)),"",IF((AND(LEFT(G3498,2)=LEFT('112'!$M$9,2),B3498&lt;'112'!$K$9,$N3498='112'!$I$6)),"x",""))</f>
        <v/>
      </c>
      <c r="V3498" s="79" t="str">
        <f>IF(ISERROR(FIND('112'!$M$9,G3498,1)),"",IF((AND(RIGHT(G3498,2)=RIGHT('112'!$M$9,2),B3498&lt;'112'!$K$9,$O3498='112'!$I$6)),"x",""))</f>
        <v/>
      </c>
      <c r="W3498" s="79" t="str">
        <f>IF(AND('341-CT'!$H$9=H3498,OR(LEFT(N3498,3)=$W$7,LEFT(O3498,3)=$W$7)),"x","")</f>
        <v/>
      </c>
      <c r="X3498" s="79" t="str">
        <f>IF(OR(TH!N3498=TH!$X$7,O3498=TH!$X$7),"x","")</f>
        <v/>
      </c>
      <c r="Y3498" s="79" t="str">
        <f>IF(AND(OR(N3498="131",O3498="131"),H3498='131-CT'!$H$9),"x","")</f>
        <v/>
      </c>
      <c r="Z3498" s="79"/>
      <c r="AA3498" s="79" t="str">
        <f>IF(AND(MONTH(E3498)='IN-NX'!$J$5,'IN-NX'!$D$7=D3498),"x","")</f>
        <v/>
      </c>
      <c r="AB3498" s="79" t="str">
        <f>IF(AND(OR(LEFT(TH!N3498,2)="15",LEFT(TH!O3498,2)="15"),LEFT(TH!O3498,3)&lt;&gt;"111",'152-CT'!$J$8=TH!F3498),"x","")</f>
        <v/>
      </c>
      <c r="AC3498" s="79" t="str">
        <f>IF(AND(OR(LEFT(TH!N3498,2)="15",LEFT(TH!O3498,2)="15"),TK!$E$7=TH!F3498),"x","")</f>
        <v/>
      </c>
      <c r="AD3498" s="79" t="str">
        <f>IF(AND(N3498="1521",MONTH(C3498)='BK-NL'!$M$11),"x","")</f>
        <v/>
      </c>
    </row>
    <row r="3499" spans="1:30" ht="16.5" customHeight="1">
      <c r="A3499" s="318" t="str">
        <f>IF(B3499&lt;&gt;"",IF(AND(B3499='IN-TC'!$S$4,OR(TH!N3499="1111",TH!O3499="1111")),TH!D3499,""),"")</f>
        <v/>
      </c>
      <c r="B3499" s="60" t="str">
        <f t="shared" si="394"/>
        <v/>
      </c>
      <c r="C3499" s="61"/>
      <c r="D3499" s="61"/>
      <c r="E3499" s="61"/>
      <c r="F3499" s="64"/>
      <c r="G3499" s="64"/>
      <c r="H3499" s="69"/>
      <c r="I3499" s="385"/>
      <c r="J3499" s="395"/>
      <c r="K3499" s="385"/>
      <c r="L3499" s="392"/>
      <c r="M3499" s="62"/>
      <c r="N3499" s="63"/>
      <c r="O3499" s="63"/>
      <c r="P3499" s="79" t="str">
        <f>IF(AND('331-CT'!$E$7=TH!H3499,OR(N3499="331",O3499="331")),"x","")</f>
        <v/>
      </c>
      <c r="Q3499" s="79" t="str">
        <f>IF(AND(B3499='111'!$L$11,OR($N3499=$Q$7,$O3499=$Q$7)),"x","")</f>
        <v/>
      </c>
      <c r="R3499" s="79" t="str">
        <f>IF(AND($N3499=$Q$7,$B3499&lt;'111'!$L$11),"x","")</f>
        <v/>
      </c>
      <c r="S3499" s="79" t="str">
        <f>IF(AND($O3499=$Q$7,$B3499&lt;'111'!$L$11),"x","")</f>
        <v/>
      </c>
      <c r="T3499" s="79" t="str">
        <f>IF(ISERROR(FIND('112'!$M$9,G3499,1)),"",IF((AND(FIND('112'!$M$9,G3499,1)&gt;=1,B3499='112'!$K$9,OR($N3499='112'!$I$6,$O3499='112'!$I$6))),"x",""))</f>
        <v/>
      </c>
      <c r="U3499" s="79" t="str">
        <f>IF(ISERROR(FIND('112'!$M$9,G3499,1)),"",IF((AND(LEFT(G3499,2)=LEFT('112'!$M$9,2),B3499&lt;'112'!$K$9,$N3499='112'!$I$6)),"x",""))</f>
        <v/>
      </c>
      <c r="V3499" s="79" t="str">
        <f>IF(ISERROR(FIND('112'!$M$9,G3499,1)),"",IF((AND(RIGHT(G3499,2)=RIGHT('112'!$M$9,2),B3499&lt;'112'!$K$9,$O3499='112'!$I$6)),"x",""))</f>
        <v/>
      </c>
      <c r="W3499" s="79" t="str">
        <f>IF(AND('341-CT'!$H$9=H3499,OR(LEFT(N3499,3)=$W$7,LEFT(O3499,3)=$W$7)),"x","")</f>
        <v/>
      </c>
      <c r="X3499" s="79" t="str">
        <f>IF(OR(TH!N3499=TH!$X$7,O3499=TH!$X$7),"x","")</f>
        <v/>
      </c>
      <c r="Y3499" s="79" t="str">
        <f>IF(AND(OR(N3499="131",O3499="131"),H3499='131-CT'!$H$9),"x","")</f>
        <v/>
      </c>
      <c r="Z3499" s="79"/>
      <c r="AA3499" s="79" t="str">
        <f>IF(AND(MONTH(E3499)='IN-NX'!$J$5,'IN-NX'!$D$7=D3499),"x","")</f>
        <v/>
      </c>
      <c r="AB3499" s="79" t="str">
        <f>IF(AND(OR(LEFT(TH!N3499,2)="15",LEFT(TH!O3499,2)="15"),LEFT(TH!O3499,3)&lt;&gt;"111",'152-CT'!$J$8=TH!F3499),"x","")</f>
        <v/>
      </c>
      <c r="AC3499" s="79" t="str">
        <f>IF(AND(OR(LEFT(TH!N3499,2)="15",LEFT(TH!O3499,2)="15"),TK!$E$7=TH!F3499),"x","")</f>
        <v/>
      </c>
      <c r="AD3499" s="79" t="str">
        <f>IF(AND(N3499="1521",MONTH(C3499)='BK-NL'!$M$11),"x","")</f>
        <v/>
      </c>
    </row>
    <row r="3500" spans="1:30" ht="16.5" customHeight="1">
      <c r="A3500" s="318" t="str">
        <f>IF(B3500&lt;&gt;"",IF(AND(B3500='IN-TC'!$S$4,OR(TH!N3500="1111",TH!O3500="1111")),TH!D3500,""),"")</f>
        <v/>
      </c>
      <c r="B3500" s="60" t="str">
        <f t="shared" si="394"/>
        <v/>
      </c>
      <c r="C3500" s="61"/>
      <c r="D3500" s="61"/>
      <c r="E3500" s="61"/>
      <c r="F3500" s="64"/>
      <c r="G3500" s="64"/>
      <c r="H3500" s="69"/>
      <c r="I3500" s="385"/>
      <c r="J3500" s="395"/>
      <c r="K3500" s="385"/>
      <c r="L3500" s="392"/>
      <c r="M3500" s="62"/>
      <c r="N3500" s="63"/>
      <c r="O3500" s="63"/>
      <c r="P3500" s="79" t="str">
        <f>IF(AND('331-CT'!$E$7=TH!H3500,OR(N3500="331",O3500="331")),"x","")</f>
        <v/>
      </c>
      <c r="Q3500" s="79" t="str">
        <f>IF(AND(B3500='111'!$L$11,OR($N3500=$Q$7,$O3500=$Q$7)),"x","")</f>
        <v/>
      </c>
      <c r="R3500" s="79" t="str">
        <f>IF(AND($N3500=$Q$7,$B3500&lt;'111'!$L$11),"x","")</f>
        <v/>
      </c>
      <c r="S3500" s="79" t="str">
        <f>IF(AND($O3500=$Q$7,$B3500&lt;'111'!$L$11),"x","")</f>
        <v/>
      </c>
      <c r="T3500" s="79" t="str">
        <f>IF(ISERROR(FIND('112'!$M$9,G3500,1)),"",IF((AND(FIND('112'!$M$9,G3500,1)&gt;=1,B3500='112'!$K$9,OR($N3500='112'!$I$6,$O3500='112'!$I$6))),"x",""))</f>
        <v/>
      </c>
      <c r="U3500" s="79" t="str">
        <f>IF(ISERROR(FIND('112'!$M$9,G3500,1)),"",IF((AND(LEFT(G3500,2)=LEFT('112'!$M$9,2),B3500&lt;'112'!$K$9,$N3500='112'!$I$6)),"x",""))</f>
        <v/>
      </c>
      <c r="V3500" s="79" t="str">
        <f>IF(ISERROR(FIND('112'!$M$9,G3500,1)),"",IF((AND(RIGHT(G3500,2)=RIGHT('112'!$M$9,2),B3500&lt;'112'!$K$9,$O3500='112'!$I$6)),"x",""))</f>
        <v/>
      </c>
      <c r="W3500" s="79" t="str">
        <f>IF(AND('341-CT'!$H$9=H3500,OR(LEFT(N3500,3)=$W$7,LEFT(O3500,3)=$W$7)),"x","")</f>
        <v/>
      </c>
      <c r="X3500" s="79" t="str">
        <f>IF(OR(TH!N3500=TH!$X$7,O3500=TH!$X$7),"x","")</f>
        <v/>
      </c>
      <c r="Y3500" s="79" t="str">
        <f>IF(AND(OR(N3500="131",O3500="131"),H3500='131-CT'!$H$9),"x","")</f>
        <v/>
      </c>
      <c r="Z3500" s="79"/>
      <c r="AA3500" s="79" t="str">
        <f>IF(AND(MONTH(E3500)='IN-NX'!$J$5,'IN-NX'!$D$7=D3500),"x","")</f>
        <v/>
      </c>
      <c r="AB3500" s="79" t="str">
        <f>IF(AND(OR(LEFT(TH!N3500,2)="15",LEFT(TH!O3500,2)="15"),LEFT(TH!O3500,3)&lt;&gt;"111",'152-CT'!$J$8=TH!F3500),"x","")</f>
        <v/>
      </c>
      <c r="AC3500" s="79" t="str">
        <f>IF(AND(OR(LEFT(TH!N3500,2)="15",LEFT(TH!O3500,2)="15"),TK!$E$7=TH!F3500),"x","")</f>
        <v/>
      </c>
      <c r="AD3500" s="79" t="str">
        <f>IF(AND(N3500="1521",MONTH(C3500)='BK-NL'!$M$11),"x","")</f>
        <v/>
      </c>
    </row>
    <row r="3501" spans="1:30" ht="16.5" customHeight="1">
      <c r="A3501" s="318" t="str">
        <f>IF(B3501&lt;&gt;"",IF(AND(B3501='IN-TC'!$S$4,OR(TH!N3501="1111",TH!O3501="1111")),TH!D3501,""),"")</f>
        <v/>
      </c>
      <c r="B3501" s="60" t="str">
        <f t="shared" si="394"/>
        <v/>
      </c>
      <c r="C3501" s="61"/>
      <c r="D3501" s="61"/>
      <c r="E3501" s="61"/>
      <c r="F3501" s="64"/>
      <c r="G3501" s="64"/>
      <c r="H3501" s="69"/>
      <c r="I3501" s="385"/>
      <c r="J3501" s="395"/>
      <c r="K3501" s="385"/>
      <c r="L3501" s="392"/>
      <c r="M3501" s="62"/>
      <c r="N3501" s="63"/>
      <c r="O3501" s="63"/>
      <c r="P3501" s="79" t="str">
        <f>IF(AND('331-CT'!$E$7=TH!H3501,OR(N3501="331",O3501="331")),"x","")</f>
        <v/>
      </c>
      <c r="Q3501" s="79" t="str">
        <f>IF(AND(B3501='111'!$L$11,OR($N3501=$Q$7,$O3501=$Q$7)),"x","")</f>
        <v/>
      </c>
      <c r="R3501" s="79" t="str">
        <f>IF(AND($N3501=$Q$7,$B3501&lt;'111'!$L$11),"x","")</f>
        <v/>
      </c>
      <c r="S3501" s="79" t="str">
        <f>IF(AND($O3501=$Q$7,$B3501&lt;'111'!$L$11),"x","")</f>
        <v/>
      </c>
      <c r="T3501" s="79" t="str">
        <f>IF(ISERROR(FIND('112'!$M$9,G3501,1)),"",IF((AND(FIND('112'!$M$9,G3501,1)&gt;=1,B3501='112'!$K$9,OR($N3501='112'!$I$6,$O3501='112'!$I$6))),"x",""))</f>
        <v/>
      </c>
      <c r="U3501" s="79" t="str">
        <f>IF(ISERROR(FIND('112'!$M$9,G3501,1)),"",IF((AND(LEFT(G3501,2)=LEFT('112'!$M$9,2),B3501&lt;'112'!$K$9,$N3501='112'!$I$6)),"x",""))</f>
        <v/>
      </c>
      <c r="V3501" s="79" t="str">
        <f>IF(ISERROR(FIND('112'!$M$9,G3501,1)),"",IF((AND(RIGHT(G3501,2)=RIGHT('112'!$M$9,2),B3501&lt;'112'!$K$9,$O3501='112'!$I$6)),"x",""))</f>
        <v/>
      </c>
      <c r="W3501" s="79" t="str">
        <f>IF(AND('341-CT'!$H$9=H3501,OR(LEFT(N3501,3)=$W$7,LEFT(O3501,3)=$W$7)),"x","")</f>
        <v/>
      </c>
      <c r="X3501" s="79" t="str">
        <f>IF(OR(TH!N3501=TH!$X$7,O3501=TH!$X$7),"x","")</f>
        <v/>
      </c>
      <c r="Y3501" s="79" t="str">
        <f>IF(AND(OR(N3501="131",O3501="131"),H3501='131-CT'!$H$9),"x","")</f>
        <v/>
      </c>
      <c r="Z3501" s="79"/>
      <c r="AA3501" s="79" t="str">
        <f>IF(AND(MONTH(E3501)='IN-NX'!$J$5,'IN-NX'!$D$7=D3501),"x","")</f>
        <v/>
      </c>
      <c r="AB3501" s="79" t="str">
        <f>IF(AND(OR(LEFT(TH!N3501,2)="15",LEFT(TH!O3501,2)="15"),LEFT(TH!O3501,3)&lt;&gt;"111",'152-CT'!$J$8=TH!F3501),"x","")</f>
        <v/>
      </c>
      <c r="AC3501" s="79" t="str">
        <f>IF(AND(OR(LEFT(TH!N3501,2)="15",LEFT(TH!O3501,2)="15"),TK!$E$7=TH!F3501),"x","")</f>
        <v/>
      </c>
      <c r="AD3501" s="79" t="str">
        <f>IF(AND(N3501="1521",MONTH(C3501)='BK-NL'!$M$11),"x","")</f>
        <v/>
      </c>
    </row>
    <row r="3502" spans="1:30" ht="16.5" customHeight="1">
      <c r="A3502" s="318" t="str">
        <f>IF(B3502&lt;&gt;"",IF(AND(B3502='IN-TC'!$S$4,OR(TH!N3502="1111",TH!O3502="1111")),TH!D3502,""),"")</f>
        <v/>
      </c>
      <c r="B3502" s="60" t="str">
        <f t="shared" si="394"/>
        <v/>
      </c>
      <c r="C3502" s="61"/>
      <c r="D3502" s="61"/>
      <c r="E3502" s="61"/>
      <c r="F3502" s="64"/>
      <c r="G3502" s="64"/>
      <c r="H3502" s="69"/>
      <c r="I3502" s="385"/>
      <c r="J3502" s="395"/>
      <c r="K3502" s="385"/>
      <c r="L3502" s="392"/>
      <c r="M3502" s="62"/>
      <c r="N3502" s="63"/>
      <c r="O3502" s="63"/>
      <c r="P3502" s="79" t="str">
        <f>IF(AND('331-CT'!$E$7=TH!H3502,OR(N3502="331",O3502="331")),"x","")</f>
        <v/>
      </c>
      <c r="Q3502" s="79" t="str">
        <f>IF(AND(B3502='111'!$L$11,OR($N3502=$Q$7,$O3502=$Q$7)),"x","")</f>
        <v/>
      </c>
      <c r="R3502" s="79" t="str">
        <f>IF(AND($N3502=$Q$7,$B3502&lt;'111'!$L$11),"x","")</f>
        <v/>
      </c>
      <c r="S3502" s="79" t="str">
        <f>IF(AND($O3502=$Q$7,$B3502&lt;'111'!$L$11),"x","")</f>
        <v/>
      </c>
      <c r="T3502" s="79" t="str">
        <f>IF(ISERROR(FIND('112'!$M$9,G3502,1)),"",IF((AND(FIND('112'!$M$9,G3502,1)&gt;=1,B3502='112'!$K$9,OR($N3502='112'!$I$6,$O3502='112'!$I$6))),"x",""))</f>
        <v/>
      </c>
      <c r="U3502" s="79" t="str">
        <f>IF(ISERROR(FIND('112'!$M$9,G3502,1)),"",IF((AND(LEFT(G3502,2)=LEFT('112'!$M$9,2),B3502&lt;'112'!$K$9,$N3502='112'!$I$6)),"x",""))</f>
        <v/>
      </c>
      <c r="V3502" s="79" t="str">
        <f>IF(ISERROR(FIND('112'!$M$9,G3502,1)),"",IF((AND(RIGHT(G3502,2)=RIGHT('112'!$M$9,2),B3502&lt;'112'!$K$9,$O3502='112'!$I$6)),"x",""))</f>
        <v/>
      </c>
      <c r="W3502" s="79" t="str">
        <f>IF(AND('341-CT'!$H$9=H3502,OR(LEFT(N3502,3)=$W$7,LEFT(O3502,3)=$W$7)),"x","")</f>
        <v/>
      </c>
      <c r="X3502" s="79" t="str">
        <f>IF(OR(TH!N3502=TH!$X$7,O3502=TH!$X$7),"x","")</f>
        <v/>
      </c>
      <c r="Y3502" s="79" t="str">
        <f>IF(AND(OR(N3502="131",O3502="131"),H3502='131-CT'!$H$9),"x","")</f>
        <v/>
      </c>
      <c r="Z3502" s="79"/>
      <c r="AA3502" s="79" t="str">
        <f>IF(AND(MONTH(E3502)='IN-NX'!$J$5,'IN-NX'!$D$7=D3502),"x","")</f>
        <v/>
      </c>
      <c r="AB3502" s="79" t="str">
        <f>IF(AND(OR(LEFT(TH!N3502,2)="15",LEFT(TH!O3502,2)="15"),LEFT(TH!O3502,3)&lt;&gt;"111",'152-CT'!$J$8=TH!F3502),"x","")</f>
        <v/>
      </c>
      <c r="AC3502" s="79" t="str">
        <f>IF(AND(OR(LEFT(TH!N3502,2)="15",LEFT(TH!O3502,2)="15"),TK!$E$7=TH!F3502),"x","")</f>
        <v/>
      </c>
      <c r="AD3502" s="79" t="str">
        <f>IF(AND(N3502="1521",MONTH(C3502)='BK-NL'!$M$11),"x","")</f>
        <v/>
      </c>
    </row>
    <row r="3503" spans="1:30" ht="16.5" customHeight="1">
      <c r="A3503" s="318" t="str">
        <f>IF(B3503&lt;&gt;"",IF(AND(B3503='IN-TC'!$S$4,OR(TH!N3503="1111",TH!O3503="1111")),TH!D3503,""),"")</f>
        <v/>
      </c>
      <c r="B3503" s="60" t="str">
        <f t="shared" si="394"/>
        <v/>
      </c>
      <c r="C3503" s="61"/>
      <c r="D3503" s="61"/>
      <c r="E3503" s="61"/>
      <c r="F3503" s="64"/>
      <c r="G3503" s="64"/>
      <c r="H3503" s="69"/>
      <c r="I3503" s="385"/>
      <c r="J3503" s="395"/>
      <c r="K3503" s="385"/>
      <c r="L3503" s="392"/>
      <c r="M3503" s="62"/>
      <c r="N3503" s="63"/>
      <c r="O3503" s="63"/>
      <c r="P3503" s="79" t="str">
        <f>IF(AND('331-CT'!$E$7=TH!H3503,OR(N3503="331",O3503="331")),"x","")</f>
        <v/>
      </c>
      <c r="Q3503" s="79" t="str">
        <f>IF(AND(B3503='111'!$L$11,OR($N3503=$Q$7,$O3503=$Q$7)),"x","")</f>
        <v/>
      </c>
      <c r="R3503" s="79" t="str">
        <f>IF(AND($N3503=$Q$7,$B3503&lt;'111'!$L$11),"x","")</f>
        <v/>
      </c>
      <c r="S3503" s="79" t="str">
        <f>IF(AND($O3503=$Q$7,$B3503&lt;'111'!$L$11),"x","")</f>
        <v/>
      </c>
      <c r="T3503" s="79" t="str">
        <f>IF(ISERROR(FIND('112'!$M$9,G3503,1)),"",IF((AND(FIND('112'!$M$9,G3503,1)&gt;=1,B3503='112'!$K$9,OR($N3503='112'!$I$6,$O3503='112'!$I$6))),"x",""))</f>
        <v/>
      </c>
      <c r="U3503" s="79" t="str">
        <f>IF(ISERROR(FIND('112'!$M$9,G3503,1)),"",IF((AND(LEFT(G3503,2)=LEFT('112'!$M$9,2),B3503&lt;'112'!$K$9,$N3503='112'!$I$6)),"x",""))</f>
        <v/>
      </c>
      <c r="V3503" s="79" t="str">
        <f>IF(ISERROR(FIND('112'!$M$9,G3503,1)),"",IF((AND(RIGHT(G3503,2)=RIGHT('112'!$M$9,2),B3503&lt;'112'!$K$9,$O3503='112'!$I$6)),"x",""))</f>
        <v/>
      </c>
      <c r="W3503" s="79" t="str">
        <f>IF(AND('341-CT'!$H$9=H3503,OR(LEFT(N3503,3)=$W$7,LEFT(O3503,3)=$W$7)),"x","")</f>
        <v/>
      </c>
      <c r="X3503" s="79" t="str">
        <f>IF(OR(TH!N3503=TH!$X$7,O3503=TH!$X$7),"x","")</f>
        <v/>
      </c>
      <c r="Y3503" s="79" t="str">
        <f>IF(AND(OR(N3503="131",O3503="131"),H3503='131-CT'!$H$9),"x","")</f>
        <v/>
      </c>
      <c r="Z3503" s="79"/>
      <c r="AA3503" s="79" t="str">
        <f>IF(AND(MONTH(E3503)='IN-NX'!$J$5,'IN-NX'!$D$7=D3503),"x","")</f>
        <v/>
      </c>
      <c r="AB3503" s="79" t="str">
        <f>IF(AND(OR(LEFT(TH!N3503,2)="15",LEFT(TH!O3503,2)="15"),LEFT(TH!O3503,3)&lt;&gt;"111",'152-CT'!$J$8=TH!F3503),"x","")</f>
        <v/>
      </c>
      <c r="AC3503" s="79" t="str">
        <f>IF(AND(OR(LEFT(TH!N3503,2)="15",LEFT(TH!O3503,2)="15"),TK!$E$7=TH!F3503),"x","")</f>
        <v/>
      </c>
      <c r="AD3503" s="79" t="str">
        <f>IF(AND(N3503="1521",MONTH(C3503)='BK-NL'!$M$11),"x","")</f>
        <v/>
      </c>
    </row>
    <row r="3504" spans="1:30" ht="16.5" customHeight="1">
      <c r="A3504" s="318" t="str">
        <f>IF(B3504&lt;&gt;"",IF(AND(B3504='IN-TC'!$S$4,OR(TH!N3504="1111",TH!O3504="1111")),TH!D3504,""),"")</f>
        <v/>
      </c>
      <c r="B3504" s="60" t="str">
        <f t="shared" si="394"/>
        <v/>
      </c>
      <c r="C3504" s="61"/>
      <c r="D3504" s="61"/>
      <c r="E3504" s="61"/>
      <c r="F3504" s="64"/>
      <c r="G3504" s="64"/>
      <c r="H3504" s="321"/>
      <c r="I3504" s="385"/>
      <c r="J3504" s="395"/>
      <c r="K3504" s="385"/>
      <c r="L3504" s="392"/>
      <c r="M3504" s="62"/>
      <c r="N3504" s="63"/>
      <c r="O3504" s="63"/>
      <c r="P3504" s="79" t="str">
        <f>IF(AND('331-CT'!$E$7=TH!H3504,OR(N3504="331",O3504="331")),"x","")</f>
        <v/>
      </c>
      <c r="Q3504" s="79" t="str">
        <f>IF(AND(B3504='111'!$L$11,OR($N3504=$Q$7,$O3504=$Q$7)),"x","")</f>
        <v/>
      </c>
      <c r="R3504" s="79" t="str">
        <f>IF(AND($N3504=$Q$7,$B3504&lt;'111'!$L$11),"x","")</f>
        <v/>
      </c>
      <c r="S3504" s="79" t="str">
        <f>IF(AND($O3504=$Q$7,$B3504&lt;'111'!$L$11),"x","")</f>
        <v/>
      </c>
      <c r="T3504" s="79" t="str">
        <f>IF(ISERROR(FIND('112'!$M$9,G3504,1)),"",IF((AND(FIND('112'!$M$9,G3504,1)&gt;=1,B3504='112'!$K$9,OR($N3504='112'!$I$6,$O3504='112'!$I$6))),"x",""))</f>
        <v/>
      </c>
      <c r="U3504" s="79" t="str">
        <f>IF(ISERROR(FIND('112'!$M$9,G3504,1)),"",IF((AND(LEFT(G3504,2)=LEFT('112'!$M$9,2),B3504&lt;'112'!$K$9,$N3504='112'!$I$6)),"x",""))</f>
        <v/>
      </c>
      <c r="V3504" s="79" t="str">
        <f>IF(ISERROR(FIND('112'!$M$9,G3504,1)),"",IF((AND(RIGHT(G3504,2)=RIGHT('112'!$M$9,2),B3504&lt;'112'!$K$9,$O3504='112'!$I$6)),"x",""))</f>
        <v/>
      </c>
      <c r="W3504" s="79" t="str">
        <f>IF(AND('341-CT'!$H$9=H3504,OR(LEFT(N3504,3)=$W$7,LEFT(O3504,3)=$W$7)),"x","")</f>
        <v/>
      </c>
      <c r="X3504" s="79" t="str">
        <f>IF(OR(TH!N3504=TH!$X$7,O3504=TH!$X$7),"x","")</f>
        <v/>
      </c>
      <c r="Y3504" s="79" t="str">
        <f>IF(AND(OR(N3504="131",O3504="131"),H3504='131-CT'!$H$9),"x","")</f>
        <v/>
      </c>
      <c r="Z3504" s="79"/>
      <c r="AA3504" s="79" t="str">
        <f>IF(AND(MONTH(E3504)='IN-NX'!$J$5,'IN-NX'!$D$7=D3504),"x","")</f>
        <v/>
      </c>
      <c r="AB3504" s="79" t="str">
        <f>IF(AND(OR(LEFT(TH!N3504,2)="15",LEFT(TH!O3504,2)="15"),LEFT(TH!O3504,3)&lt;&gt;"111",'152-CT'!$J$8=TH!F3504),"x","")</f>
        <v/>
      </c>
      <c r="AC3504" s="79" t="str">
        <f>IF(AND(OR(LEFT(TH!N3504,2)="15",LEFT(TH!O3504,2)="15"),TK!$E$7=TH!F3504),"x","")</f>
        <v/>
      </c>
      <c r="AD3504" s="79" t="str">
        <f>IF(AND(N3504="1521",MONTH(C3504)='BK-NL'!$M$11),"x","")</f>
        <v/>
      </c>
    </row>
    <row r="3505" spans="1:30" ht="16.5" customHeight="1">
      <c r="A3505" s="318" t="str">
        <f>IF(B3505&lt;&gt;"",IF(AND(B3505='IN-TC'!$S$4,OR(TH!N3505="1111",TH!O3505="1111")),TH!D3505,""),"")</f>
        <v/>
      </c>
      <c r="B3505" s="60" t="str">
        <f t="shared" si="394"/>
        <v/>
      </c>
      <c r="C3505" s="61"/>
      <c r="D3505" s="61"/>
      <c r="E3505" s="61"/>
      <c r="F3505" s="64"/>
      <c r="G3505" s="64"/>
      <c r="H3505" s="69"/>
      <c r="I3505" s="385"/>
      <c r="J3505" s="395"/>
      <c r="K3505" s="385"/>
      <c r="L3505" s="392"/>
      <c r="M3505" s="62"/>
      <c r="N3505" s="63"/>
      <c r="O3505" s="63"/>
      <c r="P3505" s="79" t="str">
        <f>IF(AND('331-CT'!$E$7=TH!H3505,OR(N3505="331",O3505="331")),"x","")</f>
        <v/>
      </c>
      <c r="Q3505" s="79" t="str">
        <f>IF(AND(B3505='111'!$L$11,OR($N3505=$Q$7,$O3505=$Q$7)),"x","")</f>
        <v/>
      </c>
      <c r="R3505" s="79" t="str">
        <f>IF(AND($N3505=$Q$7,$B3505&lt;'111'!$L$11),"x","")</f>
        <v/>
      </c>
      <c r="S3505" s="79" t="str">
        <f>IF(AND($O3505=$Q$7,$B3505&lt;'111'!$L$11),"x","")</f>
        <v/>
      </c>
      <c r="T3505" s="79" t="str">
        <f>IF(ISERROR(FIND('112'!$M$9,G3505,1)),"",IF((AND(FIND('112'!$M$9,G3505,1)&gt;=1,B3505='112'!$K$9,OR($N3505='112'!$I$6,$O3505='112'!$I$6))),"x",""))</f>
        <v/>
      </c>
      <c r="U3505" s="79" t="str">
        <f>IF(ISERROR(FIND('112'!$M$9,G3505,1)),"",IF((AND(LEFT(G3505,2)=LEFT('112'!$M$9,2),B3505&lt;'112'!$K$9,$N3505='112'!$I$6)),"x",""))</f>
        <v/>
      </c>
      <c r="V3505" s="79" t="str">
        <f>IF(ISERROR(FIND('112'!$M$9,G3505,1)),"",IF((AND(RIGHT(G3505,2)=RIGHT('112'!$M$9,2),B3505&lt;'112'!$K$9,$O3505='112'!$I$6)),"x",""))</f>
        <v/>
      </c>
      <c r="W3505" s="79" t="str">
        <f>IF(AND('341-CT'!$H$9=H3505,OR(LEFT(N3505,3)=$W$7,LEFT(O3505,3)=$W$7)),"x","")</f>
        <v/>
      </c>
      <c r="X3505" s="79" t="str">
        <f>IF(OR(TH!N3505=TH!$X$7,O3505=TH!$X$7),"x","")</f>
        <v/>
      </c>
      <c r="Y3505" s="79" t="str">
        <f>IF(AND(OR(N3505="131",O3505="131"),H3505='131-CT'!$H$9),"x","")</f>
        <v/>
      </c>
      <c r="Z3505" s="79"/>
      <c r="AA3505" s="79" t="str">
        <f>IF(AND(MONTH(E3505)='IN-NX'!$J$5,'IN-NX'!$D$7=D3505),"x","")</f>
        <v/>
      </c>
      <c r="AB3505" s="79" t="str">
        <f>IF(AND(OR(LEFT(TH!N3505,2)="15",LEFT(TH!O3505,2)="15"),LEFT(TH!O3505,3)&lt;&gt;"111",'152-CT'!$J$8=TH!F3505),"x","")</f>
        <v/>
      </c>
      <c r="AC3505" s="79" t="str">
        <f>IF(AND(OR(LEFT(TH!N3505,2)="15",LEFT(TH!O3505,2)="15"),TK!$E$7=TH!F3505),"x","")</f>
        <v/>
      </c>
      <c r="AD3505" s="79" t="str">
        <f>IF(AND(N3505="1521",MONTH(C3505)='BK-NL'!$M$11),"x","")</f>
        <v/>
      </c>
    </row>
    <row r="3506" spans="1:30" ht="16.5" customHeight="1">
      <c r="A3506" s="318" t="str">
        <f>IF(B3506&lt;&gt;"",IF(AND(B3506='IN-TC'!$S$4,OR(TH!N3506="1111",TH!O3506="1111")),TH!D3506,""),"")</f>
        <v/>
      </c>
      <c r="B3506" s="60" t="str">
        <f t="shared" si="394"/>
        <v/>
      </c>
      <c r="C3506" s="61"/>
      <c r="D3506" s="61"/>
      <c r="E3506" s="61"/>
      <c r="F3506" s="64"/>
      <c r="G3506" s="64"/>
      <c r="H3506" s="69"/>
      <c r="I3506" s="385"/>
      <c r="J3506" s="395"/>
      <c r="K3506" s="385"/>
      <c r="L3506" s="392"/>
      <c r="M3506" s="62"/>
      <c r="N3506" s="63"/>
      <c r="O3506" s="63"/>
      <c r="P3506" s="79" t="str">
        <f>IF(AND('331-CT'!$E$7=TH!H3506,OR(N3506="331",O3506="331")),"x","")</f>
        <v/>
      </c>
      <c r="Q3506" s="79" t="str">
        <f>IF(AND(B3506='111'!$L$11,OR($N3506=$Q$7,$O3506=$Q$7)),"x","")</f>
        <v/>
      </c>
      <c r="R3506" s="79" t="str">
        <f>IF(AND($N3506=$Q$7,$B3506&lt;'111'!$L$11),"x","")</f>
        <v/>
      </c>
      <c r="S3506" s="79" t="str">
        <f>IF(AND($O3506=$Q$7,$B3506&lt;'111'!$L$11),"x","")</f>
        <v/>
      </c>
      <c r="T3506" s="79" t="str">
        <f>IF(ISERROR(FIND('112'!$M$9,G3506,1)),"",IF((AND(FIND('112'!$M$9,G3506,1)&gt;=1,B3506='112'!$K$9,OR($N3506='112'!$I$6,$O3506='112'!$I$6))),"x",""))</f>
        <v/>
      </c>
      <c r="U3506" s="79" t="str">
        <f>IF(ISERROR(FIND('112'!$M$9,G3506,1)),"",IF((AND(LEFT(G3506,2)=LEFT('112'!$M$9,2),B3506&lt;'112'!$K$9,$N3506='112'!$I$6)),"x",""))</f>
        <v/>
      </c>
      <c r="V3506" s="79" t="str">
        <f>IF(ISERROR(FIND('112'!$M$9,G3506,1)),"",IF((AND(RIGHT(G3506,2)=RIGHT('112'!$M$9,2),B3506&lt;'112'!$K$9,$O3506='112'!$I$6)),"x",""))</f>
        <v/>
      </c>
      <c r="W3506" s="79" t="str">
        <f>IF(AND('341-CT'!$H$9=H3506,OR(LEFT(N3506,3)=$W$7,LEFT(O3506,3)=$W$7)),"x","")</f>
        <v/>
      </c>
      <c r="X3506" s="79" t="str">
        <f>IF(OR(TH!N3506=TH!$X$7,O3506=TH!$X$7),"x","")</f>
        <v/>
      </c>
      <c r="Y3506" s="79" t="str">
        <f>IF(AND(OR(N3506="131",O3506="131"),H3506='131-CT'!$H$9),"x","")</f>
        <v/>
      </c>
      <c r="Z3506" s="79"/>
      <c r="AA3506" s="79" t="str">
        <f>IF(AND(MONTH(E3506)='IN-NX'!$J$5,'IN-NX'!$D$7=D3506),"x","")</f>
        <v/>
      </c>
      <c r="AB3506" s="79" t="str">
        <f>IF(AND(OR(LEFT(TH!N3506,2)="15",LEFT(TH!O3506,2)="15"),LEFT(TH!O3506,3)&lt;&gt;"111",'152-CT'!$J$8=TH!F3506),"x","")</f>
        <v/>
      </c>
      <c r="AC3506" s="79" t="str">
        <f>IF(AND(OR(LEFT(TH!N3506,2)="15",LEFT(TH!O3506,2)="15"),TK!$E$7=TH!F3506),"x","")</f>
        <v/>
      </c>
      <c r="AD3506" s="79" t="str">
        <f>IF(AND(N3506="1521",MONTH(C3506)='BK-NL'!$M$11),"x","")</f>
        <v/>
      </c>
    </row>
    <row r="3507" spans="1:30" ht="16.5" customHeight="1">
      <c r="A3507" s="318" t="str">
        <f>IF(B3507&lt;&gt;"",IF(AND(B3507='IN-TC'!$S$4,OR(TH!N3507="1111",TH!O3507="1111")),TH!D3507,""),"")</f>
        <v/>
      </c>
      <c r="B3507" s="60" t="str">
        <f t="shared" si="394"/>
        <v/>
      </c>
      <c r="C3507" s="61"/>
      <c r="D3507" s="61"/>
      <c r="E3507" s="61"/>
      <c r="F3507" s="64"/>
      <c r="G3507" s="64"/>
      <c r="H3507" s="321"/>
      <c r="I3507" s="385"/>
      <c r="J3507" s="395"/>
      <c r="K3507" s="385"/>
      <c r="L3507" s="392"/>
      <c r="M3507" s="62"/>
      <c r="N3507" s="63"/>
      <c r="O3507" s="63"/>
      <c r="P3507" s="79" t="str">
        <f>IF(AND('331-CT'!$E$7=TH!H3507,OR(N3507="331",O3507="331")),"x","")</f>
        <v/>
      </c>
      <c r="Q3507" s="79" t="str">
        <f>IF(AND(B3507='111'!$L$11,OR($N3507=$Q$7,$O3507=$Q$7)),"x","")</f>
        <v/>
      </c>
      <c r="R3507" s="79" t="str">
        <f>IF(AND($N3507=$Q$7,$B3507&lt;'111'!$L$11),"x","")</f>
        <v/>
      </c>
      <c r="S3507" s="79" t="str">
        <f>IF(AND($O3507=$Q$7,$B3507&lt;'111'!$L$11),"x","")</f>
        <v/>
      </c>
      <c r="T3507" s="79" t="str">
        <f>IF(ISERROR(FIND('112'!$M$9,G3507,1)),"",IF((AND(FIND('112'!$M$9,G3507,1)&gt;=1,B3507='112'!$K$9,OR($N3507='112'!$I$6,$O3507='112'!$I$6))),"x",""))</f>
        <v/>
      </c>
      <c r="U3507" s="79" t="str">
        <f>IF(ISERROR(FIND('112'!$M$9,G3507,1)),"",IF((AND(LEFT(G3507,2)=LEFT('112'!$M$9,2),B3507&lt;'112'!$K$9,$N3507='112'!$I$6)),"x",""))</f>
        <v/>
      </c>
      <c r="V3507" s="79" t="str">
        <f>IF(ISERROR(FIND('112'!$M$9,G3507,1)),"",IF((AND(RIGHT(G3507,2)=RIGHT('112'!$M$9,2),B3507&lt;'112'!$K$9,$O3507='112'!$I$6)),"x",""))</f>
        <v/>
      </c>
      <c r="W3507" s="79" t="str">
        <f>IF(AND('341-CT'!$H$9=H3507,OR(LEFT(N3507,3)=$W$7,LEFT(O3507,3)=$W$7)),"x","")</f>
        <v/>
      </c>
      <c r="X3507" s="79" t="str">
        <f>IF(OR(TH!N3507=TH!$X$7,O3507=TH!$X$7),"x","")</f>
        <v/>
      </c>
      <c r="Y3507" s="79" t="str">
        <f>IF(AND(OR(N3507="131",O3507="131"),H3507='131-CT'!$H$9),"x","")</f>
        <v/>
      </c>
      <c r="Z3507" s="79"/>
      <c r="AA3507" s="79" t="str">
        <f>IF(AND(MONTH(E3507)='IN-NX'!$J$5,'IN-NX'!$D$7=D3507),"x","")</f>
        <v/>
      </c>
      <c r="AB3507" s="79" t="str">
        <f>IF(AND(OR(LEFT(TH!N3507,2)="15",LEFT(TH!O3507,2)="15"),LEFT(TH!O3507,3)&lt;&gt;"111",'152-CT'!$J$8=TH!F3507),"x","")</f>
        <v/>
      </c>
      <c r="AC3507" s="79" t="str">
        <f>IF(AND(OR(LEFT(TH!N3507,2)="15",LEFT(TH!O3507,2)="15"),TK!$E$7=TH!F3507),"x","")</f>
        <v/>
      </c>
      <c r="AD3507" s="79" t="str">
        <f>IF(AND(N3507="1521",MONTH(C3507)='BK-NL'!$M$11),"x","")</f>
        <v/>
      </c>
    </row>
    <row r="3508" spans="1:30" ht="16.5" customHeight="1">
      <c r="A3508" s="318" t="str">
        <f>IF(B3508&lt;&gt;"",IF(AND(B3508='IN-TC'!$S$4,OR(TH!N3508="1111",TH!O3508="1111")),TH!D3508,""),"")</f>
        <v/>
      </c>
      <c r="B3508" s="60" t="str">
        <f t="shared" si="394"/>
        <v/>
      </c>
      <c r="C3508" s="61"/>
      <c r="D3508" s="61"/>
      <c r="E3508" s="61"/>
      <c r="F3508" s="64"/>
      <c r="G3508" s="64"/>
      <c r="H3508" s="69"/>
      <c r="I3508" s="385"/>
      <c r="J3508" s="395"/>
      <c r="K3508" s="385"/>
      <c r="L3508" s="392"/>
      <c r="M3508" s="62"/>
      <c r="N3508" s="63"/>
      <c r="O3508" s="63"/>
      <c r="P3508" s="79" t="str">
        <f>IF(AND('331-CT'!$E$7=TH!H3508,OR(N3508="331",O3508="331")),"x","")</f>
        <v/>
      </c>
      <c r="Q3508" s="79" t="str">
        <f>IF(AND(B3508='111'!$L$11,OR($N3508=$Q$7,$O3508=$Q$7)),"x","")</f>
        <v/>
      </c>
      <c r="R3508" s="79" t="str">
        <f>IF(AND($N3508=$Q$7,$B3508&lt;'111'!$L$11),"x","")</f>
        <v/>
      </c>
      <c r="S3508" s="79" t="str">
        <f>IF(AND($O3508=$Q$7,$B3508&lt;'111'!$L$11),"x","")</f>
        <v/>
      </c>
      <c r="T3508" s="79" t="str">
        <f>IF(ISERROR(FIND('112'!$M$9,G3508,1)),"",IF((AND(FIND('112'!$M$9,G3508,1)&gt;=1,B3508='112'!$K$9,OR($N3508='112'!$I$6,$O3508='112'!$I$6))),"x",""))</f>
        <v/>
      </c>
      <c r="U3508" s="79" t="str">
        <f>IF(ISERROR(FIND('112'!$M$9,G3508,1)),"",IF((AND(LEFT(G3508,2)=LEFT('112'!$M$9,2),B3508&lt;'112'!$K$9,$N3508='112'!$I$6)),"x",""))</f>
        <v/>
      </c>
      <c r="V3508" s="79" t="str">
        <f>IF(ISERROR(FIND('112'!$M$9,G3508,1)),"",IF((AND(RIGHT(G3508,2)=RIGHT('112'!$M$9,2),B3508&lt;'112'!$K$9,$O3508='112'!$I$6)),"x",""))</f>
        <v/>
      </c>
      <c r="W3508" s="79" t="str">
        <f>IF(AND('341-CT'!$H$9=H3508,OR(LEFT(N3508,3)=$W$7,LEFT(O3508,3)=$W$7)),"x","")</f>
        <v/>
      </c>
      <c r="X3508" s="79" t="str">
        <f>IF(OR(TH!N3508=TH!$X$7,O3508=TH!$X$7),"x","")</f>
        <v/>
      </c>
      <c r="Y3508" s="79" t="str">
        <f>IF(AND(OR(N3508="131",O3508="131"),H3508='131-CT'!$H$9),"x","")</f>
        <v/>
      </c>
      <c r="Z3508" s="79"/>
      <c r="AA3508" s="79" t="str">
        <f>IF(AND(MONTH(E3508)='IN-NX'!$J$5,'IN-NX'!$D$7=D3508),"x","")</f>
        <v/>
      </c>
      <c r="AB3508" s="79" t="str">
        <f>IF(AND(OR(LEFT(TH!N3508,2)="15",LEFT(TH!O3508,2)="15"),LEFT(TH!O3508,3)&lt;&gt;"111",'152-CT'!$J$8=TH!F3508),"x","")</f>
        <v/>
      </c>
      <c r="AC3508" s="79" t="str">
        <f>IF(AND(OR(LEFT(TH!N3508,2)="15",LEFT(TH!O3508,2)="15"),TK!$E$7=TH!F3508),"x","")</f>
        <v/>
      </c>
      <c r="AD3508" s="79" t="str">
        <f>IF(AND(N3508="1521",MONTH(C3508)='BK-NL'!$M$11),"x","")</f>
        <v/>
      </c>
    </row>
    <row r="3509" spans="1:30" ht="16.5" customHeight="1">
      <c r="A3509" s="318" t="str">
        <f>IF(B3509&lt;&gt;"",IF(AND(B3509='IN-TC'!$S$4,OR(TH!N3509="1111",TH!O3509="1111")),TH!D3509,""),"")</f>
        <v/>
      </c>
      <c r="B3509" s="60" t="str">
        <f t="shared" si="394"/>
        <v/>
      </c>
      <c r="C3509" s="61"/>
      <c r="D3509" s="61"/>
      <c r="E3509" s="61"/>
      <c r="F3509" s="64"/>
      <c r="G3509" s="64"/>
      <c r="H3509" s="69"/>
      <c r="I3509" s="385"/>
      <c r="J3509" s="395"/>
      <c r="K3509" s="385"/>
      <c r="L3509" s="392"/>
      <c r="M3509" s="62"/>
      <c r="N3509" s="63"/>
      <c r="O3509" s="63"/>
      <c r="P3509" s="79" t="str">
        <f>IF(AND('331-CT'!$E$7=TH!H3509,OR(N3509="331",O3509="331")),"x","")</f>
        <v/>
      </c>
      <c r="Q3509" s="79" t="str">
        <f>IF(AND(B3509='111'!$L$11,OR($N3509=$Q$7,$O3509=$Q$7)),"x","")</f>
        <v/>
      </c>
      <c r="R3509" s="79" t="str">
        <f>IF(AND($N3509=$Q$7,$B3509&lt;'111'!$L$11),"x","")</f>
        <v/>
      </c>
      <c r="S3509" s="79" t="str">
        <f>IF(AND($O3509=$Q$7,$B3509&lt;'111'!$L$11),"x","")</f>
        <v/>
      </c>
      <c r="T3509" s="79" t="str">
        <f>IF(ISERROR(FIND('112'!$M$9,G3509,1)),"",IF((AND(FIND('112'!$M$9,G3509,1)&gt;=1,B3509='112'!$K$9,OR($N3509='112'!$I$6,$O3509='112'!$I$6))),"x",""))</f>
        <v/>
      </c>
      <c r="U3509" s="79" t="str">
        <f>IF(ISERROR(FIND('112'!$M$9,G3509,1)),"",IF((AND(LEFT(G3509,2)=LEFT('112'!$M$9,2),B3509&lt;'112'!$K$9,$N3509='112'!$I$6)),"x",""))</f>
        <v/>
      </c>
      <c r="V3509" s="79" t="str">
        <f>IF(ISERROR(FIND('112'!$M$9,G3509,1)),"",IF((AND(RIGHT(G3509,2)=RIGHT('112'!$M$9,2),B3509&lt;'112'!$K$9,$O3509='112'!$I$6)),"x",""))</f>
        <v/>
      </c>
      <c r="W3509" s="79" t="str">
        <f>IF(AND('341-CT'!$H$9=H3509,OR(LEFT(N3509,3)=$W$7,LEFT(O3509,3)=$W$7)),"x","")</f>
        <v/>
      </c>
      <c r="X3509" s="79" t="str">
        <f>IF(OR(TH!N3509=TH!$X$7,O3509=TH!$X$7),"x","")</f>
        <v/>
      </c>
      <c r="Y3509" s="79" t="str">
        <f>IF(AND(OR(N3509="131",O3509="131"),H3509='131-CT'!$H$9),"x","")</f>
        <v/>
      </c>
      <c r="Z3509" s="79"/>
      <c r="AA3509" s="79" t="str">
        <f>IF(AND(MONTH(E3509)='IN-NX'!$J$5,'IN-NX'!$D$7=D3509),"x","")</f>
        <v/>
      </c>
      <c r="AB3509" s="79" t="str">
        <f>IF(AND(OR(LEFT(TH!N3509,2)="15",LEFT(TH!O3509,2)="15"),LEFT(TH!O3509,3)&lt;&gt;"111",'152-CT'!$J$8=TH!F3509),"x","")</f>
        <v/>
      </c>
      <c r="AC3509" s="79" t="str">
        <f>IF(AND(OR(LEFT(TH!N3509,2)="15",LEFT(TH!O3509,2)="15"),TK!$E$7=TH!F3509),"x","")</f>
        <v/>
      </c>
      <c r="AD3509" s="79" t="str">
        <f>IF(AND(N3509="1521",MONTH(C3509)='BK-NL'!$M$11),"x","")</f>
        <v/>
      </c>
    </row>
    <row r="3510" spans="1:30" ht="16.5" customHeight="1">
      <c r="A3510" s="318" t="str">
        <f>IF(B3510&lt;&gt;"",IF(AND(B3510='IN-TC'!$S$4,OR(TH!N3510="1111",TH!O3510="1111")),TH!D3510,""),"")</f>
        <v/>
      </c>
      <c r="B3510" s="60" t="str">
        <f t="shared" si="394"/>
        <v/>
      </c>
      <c r="C3510" s="61"/>
      <c r="D3510" s="61"/>
      <c r="E3510" s="61"/>
      <c r="F3510" s="64"/>
      <c r="G3510" s="64"/>
      <c r="H3510" s="321"/>
      <c r="I3510" s="387"/>
      <c r="J3510" s="395"/>
      <c r="K3510" s="387"/>
      <c r="L3510" s="394"/>
      <c r="M3510" s="62"/>
      <c r="N3510" s="63"/>
      <c r="O3510" s="63"/>
      <c r="P3510" s="79" t="str">
        <f>IF(AND('331-CT'!$E$7=TH!H3510,OR(N3510="331",O3510="331")),"x","")</f>
        <v/>
      </c>
      <c r="Q3510" s="79" t="str">
        <f>IF(AND(B3510='111'!$L$11,OR($N3510=$Q$7,$O3510=$Q$7)),"x","")</f>
        <v/>
      </c>
      <c r="R3510" s="79" t="str">
        <f>IF(AND($N3510=$Q$7,$B3510&lt;'111'!$L$11),"x","")</f>
        <v/>
      </c>
      <c r="S3510" s="79" t="str">
        <f>IF(AND($O3510=$Q$7,$B3510&lt;'111'!$L$11),"x","")</f>
        <v/>
      </c>
      <c r="T3510" s="79" t="str">
        <f>IF(ISERROR(FIND('112'!$M$9,G3510,1)),"",IF((AND(FIND('112'!$M$9,G3510,1)&gt;=1,B3510='112'!$K$9,OR($N3510='112'!$I$6,$O3510='112'!$I$6))),"x",""))</f>
        <v/>
      </c>
      <c r="U3510" s="79" t="str">
        <f>IF(ISERROR(FIND('112'!$M$9,G3510,1)),"",IF((AND(LEFT(G3510,2)=LEFT('112'!$M$9,2),B3510&lt;'112'!$K$9,$N3510='112'!$I$6)),"x",""))</f>
        <v/>
      </c>
      <c r="V3510" s="79" t="str">
        <f>IF(ISERROR(FIND('112'!$M$9,G3510,1)),"",IF((AND(RIGHT(G3510,2)=RIGHT('112'!$M$9,2),B3510&lt;'112'!$K$9,$O3510='112'!$I$6)),"x",""))</f>
        <v/>
      </c>
      <c r="W3510" s="79" t="str">
        <f>IF(AND('341-CT'!$H$9=H3510,OR(LEFT(N3510,3)=$W$7,LEFT(O3510,3)=$W$7)),"x","")</f>
        <v/>
      </c>
      <c r="X3510" s="79" t="str">
        <f>IF(OR(TH!N3510=TH!$X$7,O3510=TH!$X$7),"x","")</f>
        <v/>
      </c>
      <c r="Y3510" s="79" t="str">
        <f>IF(AND(OR(N3510="131",O3510="131"),H3510='131-CT'!$H$9),"x","")</f>
        <v/>
      </c>
      <c r="Z3510" s="79"/>
      <c r="AA3510" s="79" t="str">
        <f>IF(AND(MONTH(E3510)='IN-NX'!$J$5,'IN-NX'!$D$7=D3510),"x","")</f>
        <v/>
      </c>
      <c r="AB3510" s="79" t="str">
        <f>IF(AND(OR(LEFT(TH!N3510,2)="15",LEFT(TH!O3510,2)="15"),LEFT(TH!O3510,3)&lt;&gt;"111",'152-CT'!$J$8=TH!F3510),"x","")</f>
        <v/>
      </c>
      <c r="AC3510" s="79" t="str">
        <f>IF(AND(OR(LEFT(TH!N3510,2)="15",LEFT(TH!O3510,2)="15"),TK!$E$7=TH!F3510),"x","")</f>
        <v/>
      </c>
      <c r="AD3510" s="79" t="str">
        <f>IF(AND(N3510="1521",MONTH(C3510)='BK-NL'!$M$11),"x","")</f>
        <v/>
      </c>
    </row>
    <row r="3511" spans="1:30" ht="16.5" customHeight="1">
      <c r="A3511" s="318" t="str">
        <f>IF(B3511&lt;&gt;"",IF(AND(B3511='IN-TC'!$S$4,OR(TH!N3511="1111",TH!O3511="1111")),TH!D3511,""),"")</f>
        <v/>
      </c>
      <c r="B3511" s="60" t="str">
        <f t="shared" si="394"/>
        <v/>
      </c>
      <c r="C3511" s="61"/>
      <c r="D3511" s="61"/>
      <c r="E3511" s="61"/>
      <c r="F3511" s="64"/>
      <c r="G3511" s="64"/>
      <c r="H3511" s="321"/>
      <c r="I3511" s="385"/>
      <c r="J3511" s="395"/>
      <c r="K3511" s="385"/>
      <c r="L3511" s="392"/>
      <c r="M3511" s="62"/>
      <c r="N3511" s="63"/>
      <c r="O3511" s="63"/>
      <c r="P3511" s="79" t="str">
        <f>IF(AND('331-CT'!$E$7=TH!H3511,OR(N3511="331",O3511="331")),"x","")</f>
        <v/>
      </c>
      <c r="Q3511" s="79" t="str">
        <f>IF(AND(B3511='111'!$L$11,OR($N3511=$Q$7,$O3511=$Q$7)),"x","")</f>
        <v/>
      </c>
      <c r="R3511" s="79" t="str">
        <f>IF(AND($N3511=$Q$7,$B3511&lt;'111'!$L$11),"x","")</f>
        <v/>
      </c>
      <c r="S3511" s="79" t="str">
        <f>IF(AND($O3511=$Q$7,$B3511&lt;'111'!$L$11),"x","")</f>
        <v/>
      </c>
      <c r="T3511" s="79" t="str">
        <f>IF(ISERROR(FIND('112'!$M$9,G3511,1)),"",IF((AND(FIND('112'!$M$9,G3511,1)&gt;=1,B3511='112'!$K$9,OR($N3511='112'!$I$6,$O3511='112'!$I$6))),"x",""))</f>
        <v/>
      </c>
      <c r="U3511" s="79" t="str">
        <f>IF(ISERROR(FIND('112'!$M$9,G3511,1)),"",IF((AND(LEFT(G3511,2)=LEFT('112'!$M$9,2),B3511&lt;'112'!$K$9,$N3511='112'!$I$6)),"x",""))</f>
        <v/>
      </c>
      <c r="V3511" s="79" t="str">
        <f>IF(ISERROR(FIND('112'!$M$9,G3511,1)),"",IF((AND(RIGHT(G3511,2)=RIGHT('112'!$M$9,2),B3511&lt;'112'!$K$9,$O3511='112'!$I$6)),"x",""))</f>
        <v/>
      </c>
      <c r="W3511" s="79" t="str">
        <f>IF(AND('341-CT'!$H$9=H3511,OR(LEFT(N3511,3)=$W$7,LEFT(O3511,3)=$W$7)),"x","")</f>
        <v/>
      </c>
      <c r="X3511" s="79" t="str">
        <f>IF(OR(TH!N3511=TH!$X$7,O3511=TH!$X$7),"x","")</f>
        <v/>
      </c>
      <c r="Y3511" s="79" t="str">
        <f>IF(AND(OR(N3511="131",O3511="131"),H3511='131-CT'!$H$9),"x","")</f>
        <v/>
      </c>
      <c r="Z3511" s="79"/>
      <c r="AA3511" s="79" t="str">
        <f>IF(AND(MONTH(E3511)='IN-NX'!$J$5,'IN-NX'!$D$7=D3511),"x","")</f>
        <v/>
      </c>
      <c r="AB3511" s="79" t="str">
        <f>IF(AND(OR(LEFT(TH!N3511,2)="15",LEFT(TH!O3511,2)="15"),LEFT(TH!O3511,3)&lt;&gt;"111",'152-CT'!$J$8=TH!F3511),"x","")</f>
        <v/>
      </c>
      <c r="AC3511" s="79" t="str">
        <f>IF(AND(OR(LEFT(TH!N3511,2)="15",LEFT(TH!O3511,2)="15"),TK!$E$7=TH!F3511),"x","")</f>
        <v/>
      </c>
      <c r="AD3511" s="79" t="str">
        <f>IF(AND(N3511="1521",MONTH(C3511)='BK-NL'!$M$11),"x","")</f>
        <v/>
      </c>
    </row>
    <row r="3512" spans="1:30" ht="16.5" customHeight="1">
      <c r="A3512" s="318" t="str">
        <f>IF(B3512&lt;&gt;"",IF(AND(B3512='IN-TC'!$S$4,OR(TH!N3512="1111",TH!O3512="1111")),TH!D3512,""),"")</f>
        <v/>
      </c>
      <c r="B3512" s="60" t="str">
        <f t="shared" si="394"/>
        <v/>
      </c>
      <c r="C3512" s="61"/>
      <c r="D3512" s="61"/>
      <c r="E3512" s="61"/>
      <c r="F3512" s="64"/>
      <c r="G3512" s="64"/>
      <c r="H3512" s="69"/>
      <c r="I3512" s="385"/>
      <c r="J3512" s="395"/>
      <c r="K3512" s="385"/>
      <c r="L3512" s="392"/>
      <c r="M3512" s="62"/>
      <c r="N3512" s="63"/>
      <c r="O3512" s="63"/>
      <c r="P3512" s="79" t="str">
        <f>IF(AND('331-CT'!$E$7=TH!H3512,OR(N3512="331",O3512="331")),"x","")</f>
        <v/>
      </c>
      <c r="Q3512" s="79" t="str">
        <f>IF(AND(B3512='111'!$L$11,OR($N3512=$Q$7,$O3512=$Q$7)),"x","")</f>
        <v/>
      </c>
      <c r="R3512" s="79" t="str">
        <f>IF(AND($N3512=$Q$7,$B3512&lt;'111'!$L$11),"x","")</f>
        <v/>
      </c>
      <c r="S3512" s="79" t="str">
        <f>IF(AND($O3512=$Q$7,$B3512&lt;'111'!$L$11),"x","")</f>
        <v/>
      </c>
      <c r="T3512" s="79" t="str">
        <f>IF(ISERROR(FIND('112'!$M$9,G3512,1)),"",IF((AND(FIND('112'!$M$9,G3512,1)&gt;=1,B3512='112'!$K$9,OR($N3512='112'!$I$6,$O3512='112'!$I$6))),"x",""))</f>
        <v/>
      </c>
      <c r="U3512" s="79" t="str">
        <f>IF(ISERROR(FIND('112'!$M$9,G3512,1)),"",IF((AND(LEFT(G3512,2)=LEFT('112'!$M$9,2),B3512&lt;'112'!$K$9,$N3512='112'!$I$6)),"x",""))</f>
        <v/>
      </c>
      <c r="V3512" s="79" t="str">
        <f>IF(ISERROR(FIND('112'!$M$9,G3512,1)),"",IF((AND(RIGHT(G3512,2)=RIGHT('112'!$M$9,2),B3512&lt;'112'!$K$9,$O3512='112'!$I$6)),"x",""))</f>
        <v/>
      </c>
      <c r="W3512" s="79" t="str">
        <f>IF(AND('341-CT'!$H$9=H3512,OR(LEFT(N3512,3)=$W$7,LEFT(O3512,3)=$W$7)),"x","")</f>
        <v/>
      </c>
      <c r="X3512" s="79" t="str">
        <f>IF(OR(TH!N3512=TH!$X$7,O3512=TH!$X$7),"x","")</f>
        <v/>
      </c>
      <c r="Y3512" s="79" t="str">
        <f>IF(AND(OR(N3512="131",O3512="131"),H3512='131-CT'!$H$9),"x","")</f>
        <v/>
      </c>
      <c r="Z3512" s="79"/>
      <c r="AA3512" s="79" t="str">
        <f>IF(AND(MONTH(E3512)='IN-NX'!$J$5,'IN-NX'!$D$7=D3512),"x","")</f>
        <v/>
      </c>
      <c r="AB3512" s="79" t="str">
        <f>IF(AND(OR(LEFT(TH!N3512,2)="15",LEFT(TH!O3512,2)="15"),LEFT(TH!O3512,3)&lt;&gt;"111",'152-CT'!$J$8=TH!F3512),"x","")</f>
        <v/>
      </c>
      <c r="AC3512" s="79" t="str">
        <f>IF(AND(OR(LEFT(TH!N3512,2)="15",LEFT(TH!O3512,2)="15"),TK!$E$7=TH!F3512),"x","")</f>
        <v/>
      </c>
      <c r="AD3512" s="79" t="str">
        <f>IF(AND(N3512="1521",MONTH(C3512)='BK-NL'!$M$11),"x","")</f>
        <v/>
      </c>
    </row>
    <row r="3513" spans="1:30" ht="16.5" customHeight="1">
      <c r="A3513" s="318" t="str">
        <f>IF(B3513&lt;&gt;"",IF(AND(B3513='IN-TC'!$S$4,OR(TH!N3513="1111",TH!O3513="1111")),TH!D3513,""),"")</f>
        <v/>
      </c>
      <c r="B3513" s="60" t="str">
        <f t="shared" si="394"/>
        <v/>
      </c>
      <c r="C3513" s="61"/>
      <c r="D3513" s="61"/>
      <c r="E3513" s="61"/>
      <c r="F3513" s="64"/>
      <c r="G3513" s="64"/>
      <c r="H3513" s="69"/>
      <c r="I3513" s="385"/>
      <c r="J3513" s="395"/>
      <c r="K3513" s="385"/>
      <c r="L3513" s="392"/>
      <c r="M3513" s="62"/>
      <c r="N3513" s="63"/>
      <c r="O3513" s="63"/>
      <c r="P3513" s="79" t="str">
        <f>IF(AND('331-CT'!$E$7=TH!H3513,OR(N3513="331",O3513="331")),"x","")</f>
        <v/>
      </c>
      <c r="Q3513" s="79" t="str">
        <f>IF(AND(B3513='111'!$L$11,OR($N3513=$Q$7,$O3513=$Q$7)),"x","")</f>
        <v/>
      </c>
      <c r="R3513" s="79" t="str">
        <f>IF(AND($N3513=$Q$7,$B3513&lt;'111'!$L$11),"x","")</f>
        <v/>
      </c>
      <c r="S3513" s="79" t="str">
        <f>IF(AND($O3513=$Q$7,$B3513&lt;'111'!$L$11),"x","")</f>
        <v/>
      </c>
      <c r="T3513" s="79" t="str">
        <f>IF(ISERROR(FIND('112'!$M$9,G3513,1)),"",IF((AND(FIND('112'!$M$9,G3513,1)&gt;=1,B3513='112'!$K$9,OR($N3513='112'!$I$6,$O3513='112'!$I$6))),"x",""))</f>
        <v/>
      </c>
      <c r="U3513" s="79" t="str">
        <f>IF(ISERROR(FIND('112'!$M$9,G3513,1)),"",IF((AND(LEFT(G3513,2)=LEFT('112'!$M$9,2),B3513&lt;'112'!$K$9,$N3513='112'!$I$6)),"x",""))</f>
        <v/>
      </c>
      <c r="V3513" s="79" t="str">
        <f>IF(ISERROR(FIND('112'!$M$9,G3513,1)),"",IF((AND(RIGHT(G3513,2)=RIGHT('112'!$M$9,2),B3513&lt;'112'!$K$9,$O3513='112'!$I$6)),"x",""))</f>
        <v/>
      </c>
      <c r="W3513" s="79" t="str">
        <f>IF(AND('341-CT'!$H$9=H3513,OR(LEFT(N3513,3)=$W$7,LEFT(O3513,3)=$W$7)),"x","")</f>
        <v/>
      </c>
      <c r="X3513" s="79" t="str">
        <f>IF(OR(TH!N3513=TH!$X$7,O3513=TH!$X$7),"x","")</f>
        <v/>
      </c>
      <c r="Y3513" s="79" t="str">
        <f>IF(AND(OR(N3513="131",O3513="131"),H3513='131-CT'!$H$9),"x","")</f>
        <v/>
      </c>
      <c r="Z3513" s="79"/>
      <c r="AA3513" s="79" t="str">
        <f>IF(AND(MONTH(E3513)='IN-NX'!$J$5,'IN-NX'!$D$7=D3513),"x","")</f>
        <v/>
      </c>
      <c r="AB3513" s="79" t="str">
        <f>IF(AND(OR(LEFT(TH!N3513,2)="15",LEFT(TH!O3513,2)="15"),LEFT(TH!O3513,3)&lt;&gt;"111",'152-CT'!$J$8=TH!F3513),"x","")</f>
        <v/>
      </c>
      <c r="AC3513" s="79" t="str">
        <f>IF(AND(OR(LEFT(TH!N3513,2)="15",LEFT(TH!O3513,2)="15"),TK!$E$7=TH!F3513),"x","")</f>
        <v/>
      </c>
      <c r="AD3513" s="79" t="str">
        <f>IF(AND(N3513="1521",MONTH(C3513)='BK-NL'!$M$11),"x","")</f>
        <v/>
      </c>
    </row>
    <row r="3514" spans="1:30" ht="16.5" customHeight="1">
      <c r="A3514" s="318" t="str">
        <f>IF(B3514&lt;&gt;"",IF(AND(B3514='IN-TC'!$S$4,OR(TH!N3514="1111",TH!O3514="1111")),TH!D3514,""),"")</f>
        <v/>
      </c>
      <c r="B3514" s="60" t="str">
        <f t="shared" si="394"/>
        <v/>
      </c>
      <c r="C3514" s="61"/>
      <c r="D3514" s="61"/>
      <c r="E3514" s="61"/>
      <c r="F3514" s="64"/>
      <c r="G3514" s="64"/>
      <c r="H3514" s="69"/>
      <c r="I3514" s="385"/>
      <c r="J3514" s="395"/>
      <c r="K3514" s="385"/>
      <c r="L3514" s="392"/>
      <c r="M3514" s="62"/>
      <c r="N3514" s="63"/>
      <c r="O3514" s="304"/>
      <c r="P3514" s="79" t="str">
        <f>IF(AND('331-CT'!$E$7=TH!H3514,OR(N3514="331",O3514="331")),"x","")</f>
        <v/>
      </c>
      <c r="Q3514" s="79" t="str">
        <f>IF(AND(B3514='111'!$L$11,OR($N3514=$Q$7,$O3514=$Q$7)),"x","")</f>
        <v/>
      </c>
      <c r="R3514" s="79" t="str">
        <f>IF(AND($N3514=$Q$7,$B3514&lt;'111'!$L$11),"x","")</f>
        <v/>
      </c>
      <c r="S3514" s="79" t="str">
        <f>IF(AND($O3514=$Q$7,$B3514&lt;'111'!$L$11),"x","")</f>
        <v/>
      </c>
      <c r="T3514" s="79" t="str">
        <f>IF(ISERROR(FIND('112'!$M$9,G3514,1)),"",IF((AND(FIND('112'!$M$9,G3514,1)&gt;=1,B3514='112'!$K$9,OR($N3514='112'!$I$6,$O3514='112'!$I$6))),"x",""))</f>
        <v/>
      </c>
      <c r="U3514" s="79" t="str">
        <f>IF(ISERROR(FIND('112'!$M$9,G3514,1)),"",IF((AND(LEFT(G3514,2)=LEFT('112'!$M$9,2),B3514&lt;'112'!$K$9,$N3514='112'!$I$6)),"x",""))</f>
        <v/>
      </c>
      <c r="V3514" s="79" t="str">
        <f>IF(ISERROR(FIND('112'!$M$9,G3514,1)),"",IF((AND(RIGHT(G3514,2)=RIGHT('112'!$M$9,2),B3514&lt;'112'!$K$9,$O3514='112'!$I$6)),"x",""))</f>
        <v/>
      </c>
      <c r="W3514" s="79" t="str">
        <f>IF(AND('341-CT'!$H$9=H3514,OR(LEFT(N3514,3)=$W$7,LEFT(O3514,3)=$W$7)),"x","")</f>
        <v/>
      </c>
      <c r="X3514" s="79" t="str">
        <f>IF(OR(TH!N3514=TH!$X$7,O3514=TH!$X$7),"x","")</f>
        <v/>
      </c>
      <c r="Y3514" s="79" t="str">
        <f>IF(AND(OR(N3514="131",O3514="131"),H3514='131-CT'!$H$9),"x","")</f>
        <v/>
      </c>
      <c r="Z3514" s="79"/>
      <c r="AA3514" s="79" t="str">
        <f>IF(AND(MONTH(E3514)='IN-NX'!$J$5,'IN-NX'!$D$7=D3514),"x","")</f>
        <v/>
      </c>
      <c r="AB3514" s="79" t="str">
        <f>IF(AND(OR(LEFT(TH!N3514,2)="15",LEFT(TH!O3514,2)="15"),LEFT(TH!O3514,3)&lt;&gt;"111",'152-CT'!$J$8=TH!F3514),"x","")</f>
        <v/>
      </c>
      <c r="AC3514" s="79" t="str">
        <f>IF(AND(OR(LEFT(TH!N3514,2)="15",LEFT(TH!O3514,2)="15"),TK!$E$7=TH!F3514),"x","")</f>
        <v/>
      </c>
      <c r="AD3514" s="79" t="str">
        <f>IF(AND(N3514="1521",MONTH(C3514)='BK-NL'!$M$11),"x","")</f>
        <v/>
      </c>
    </row>
    <row r="3515" spans="1:30" ht="16.5" customHeight="1">
      <c r="A3515" s="318" t="str">
        <f>IF(B3515&lt;&gt;"",IF(AND(B3515='IN-TC'!$S$4,OR(TH!N3515="1111",TH!O3515="1111")),TH!D3515,""),"")</f>
        <v/>
      </c>
      <c r="B3515" s="60" t="str">
        <f t="shared" si="394"/>
        <v/>
      </c>
      <c r="C3515" s="61"/>
      <c r="D3515" s="61"/>
      <c r="E3515" s="61"/>
      <c r="F3515" s="64"/>
      <c r="G3515" s="64"/>
      <c r="H3515" s="321"/>
      <c r="I3515" s="385"/>
      <c r="J3515" s="395"/>
      <c r="K3515" s="385"/>
      <c r="L3515" s="392"/>
      <c r="M3515" s="62"/>
      <c r="N3515" s="63"/>
      <c r="O3515" s="63"/>
      <c r="P3515" s="79" t="str">
        <f>IF(AND('331-CT'!$E$7=TH!H3515,OR(N3515="331",O3515="331")),"x","")</f>
        <v/>
      </c>
      <c r="Q3515" s="79" t="str">
        <f>IF(AND(B3515='111'!$L$11,OR($N3515=$Q$7,$O3515=$Q$7)),"x","")</f>
        <v/>
      </c>
      <c r="R3515" s="79" t="str">
        <f>IF(AND($N3515=$Q$7,$B3515&lt;'111'!$L$11),"x","")</f>
        <v/>
      </c>
      <c r="S3515" s="79" t="str">
        <f>IF(AND($O3515=$Q$7,$B3515&lt;'111'!$L$11),"x","")</f>
        <v/>
      </c>
      <c r="T3515" s="79" t="str">
        <f>IF(ISERROR(FIND('112'!$M$9,G3515,1)),"",IF((AND(FIND('112'!$M$9,G3515,1)&gt;=1,B3515='112'!$K$9,OR($N3515='112'!$I$6,$O3515='112'!$I$6))),"x",""))</f>
        <v/>
      </c>
      <c r="U3515" s="79" t="str">
        <f>IF(ISERROR(FIND('112'!$M$9,G3515,1)),"",IF((AND(LEFT(G3515,2)=LEFT('112'!$M$9,2),B3515&lt;'112'!$K$9,$N3515='112'!$I$6)),"x",""))</f>
        <v/>
      </c>
      <c r="V3515" s="79" t="str">
        <f>IF(ISERROR(FIND('112'!$M$9,G3515,1)),"",IF((AND(RIGHT(G3515,2)=RIGHT('112'!$M$9,2),B3515&lt;'112'!$K$9,$O3515='112'!$I$6)),"x",""))</f>
        <v/>
      </c>
      <c r="W3515" s="79" t="str">
        <f>IF(AND('341-CT'!$H$9=H3515,OR(LEFT(N3515,3)=$W$7,LEFT(O3515,3)=$W$7)),"x","")</f>
        <v/>
      </c>
      <c r="X3515" s="79" t="str">
        <f>IF(OR(TH!N3515=TH!$X$7,O3515=TH!$X$7),"x","")</f>
        <v/>
      </c>
      <c r="Y3515" s="79" t="str">
        <f>IF(AND(OR(N3515="131",O3515="131"),H3515='131-CT'!$H$9),"x","")</f>
        <v/>
      </c>
      <c r="Z3515" s="79"/>
      <c r="AA3515" s="79" t="str">
        <f>IF(AND(MONTH(E3515)='IN-NX'!$J$5,'IN-NX'!$D$7=D3515),"x","")</f>
        <v/>
      </c>
      <c r="AB3515" s="79" t="str">
        <f>IF(AND(OR(LEFT(TH!N3515,2)="15",LEFT(TH!O3515,2)="15"),LEFT(TH!O3515,3)&lt;&gt;"111",'152-CT'!$J$8=TH!F3515),"x","")</f>
        <v/>
      </c>
      <c r="AC3515" s="79" t="str">
        <f>IF(AND(OR(LEFT(TH!N3515,2)="15",LEFT(TH!O3515,2)="15"),TK!$E$7=TH!F3515),"x","")</f>
        <v/>
      </c>
      <c r="AD3515" s="79" t="str">
        <f>IF(AND(N3515="1521",MONTH(C3515)='BK-NL'!$M$11),"x","")</f>
        <v/>
      </c>
    </row>
    <row r="3516" spans="1:30" ht="16.5" customHeight="1">
      <c r="A3516" s="318" t="str">
        <f>IF(B3516&lt;&gt;"",IF(AND(B3516='IN-TC'!$S$4,OR(TH!N3516="1111",TH!O3516="1111")),TH!D3516,""),"")</f>
        <v/>
      </c>
      <c r="B3516" s="60" t="str">
        <f t="shared" si="394"/>
        <v/>
      </c>
      <c r="C3516" s="61"/>
      <c r="D3516" s="61"/>
      <c r="E3516" s="61"/>
      <c r="F3516" s="64"/>
      <c r="G3516" s="64"/>
      <c r="H3516" s="69"/>
      <c r="I3516" s="385"/>
      <c r="J3516" s="395"/>
      <c r="K3516" s="385"/>
      <c r="L3516" s="392"/>
      <c r="M3516" s="62"/>
      <c r="N3516" s="63"/>
      <c r="O3516" s="63"/>
      <c r="P3516" s="79" t="str">
        <f>IF(AND('331-CT'!$E$7=TH!H3516,OR(N3516="331",O3516="331")),"x","")</f>
        <v/>
      </c>
      <c r="Q3516" s="79" t="str">
        <f>IF(AND(B3516='111'!$L$11,OR($N3516=$Q$7,$O3516=$Q$7)),"x","")</f>
        <v/>
      </c>
      <c r="R3516" s="79" t="str">
        <f>IF(AND($N3516=$Q$7,$B3516&lt;'111'!$L$11),"x","")</f>
        <v/>
      </c>
      <c r="S3516" s="79" t="str">
        <f>IF(AND($O3516=$Q$7,$B3516&lt;'111'!$L$11),"x","")</f>
        <v/>
      </c>
      <c r="T3516" s="79" t="str">
        <f>IF(ISERROR(FIND('112'!$M$9,G3516,1)),"",IF((AND(FIND('112'!$M$9,G3516,1)&gt;=1,B3516='112'!$K$9,OR($N3516='112'!$I$6,$O3516='112'!$I$6))),"x",""))</f>
        <v/>
      </c>
      <c r="U3516" s="79" t="str">
        <f>IF(ISERROR(FIND('112'!$M$9,G3516,1)),"",IF((AND(LEFT(G3516,2)=LEFT('112'!$M$9,2),B3516&lt;'112'!$K$9,$N3516='112'!$I$6)),"x",""))</f>
        <v/>
      </c>
      <c r="V3516" s="79" t="str">
        <f>IF(ISERROR(FIND('112'!$M$9,G3516,1)),"",IF((AND(RIGHT(G3516,2)=RIGHT('112'!$M$9,2),B3516&lt;'112'!$K$9,$O3516='112'!$I$6)),"x",""))</f>
        <v/>
      </c>
      <c r="W3516" s="79" t="str">
        <f>IF(AND('341-CT'!$H$9=H3516,OR(LEFT(N3516,3)=$W$7,LEFT(O3516,3)=$W$7)),"x","")</f>
        <v/>
      </c>
      <c r="X3516" s="79" t="str">
        <f>IF(OR(TH!N3516=TH!$X$7,O3516=TH!$X$7),"x","")</f>
        <v/>
      </c>
      <c r="Y3516" s="79" t="str">
        <f>IF(AND(OR(N3516="131",O3516="131"),H3516='131-CT'!$H$9),"x","")</f>
        <v/>
      </c>
      <c r="Z3516" s="79"/>
      <c r="AA3516" s="79" t="str">
        <f>IF(AND(MONTH(E3516)='IN-NX'!$J$5,'IN-NX'!$D$7=D3516),"x","")</f>
        <v/>
      </c>
      <c r="AB3516" s="79" t="str">
        <f>IF(AND(OR(LEFT(TH!N3516,2)="15",LEFT(TH!O3516,2)="15"),LEFT(TH!O3516,3)&lt;&gt;"111",'152-CT'!$J$8=TH!F3516),"x","")</f>
        <v/>
      </c>
      <c r="AC3516" s="79" t="str">
        <f>IF(AND(OR(LEFT(TH!N3516,2)="15",LEFT(TH!O3516,2)="15"),TK!$E$7=TH!F3516),"x","")</f>
        <v/>
      </c>
      <c r="AD3516" s="79" t="str">
        <f>IF(AND(N3516="1521",MONTH(C3516)='BK-NL'!$M$11),"x","")</f>
        <v/>
      </c>
    </row>
    <row r="3517" spans="1:30" ht="16.5" customHeight="1">
      <c r="A3517" s="318" t="str">
        <f>IF(B3517&lt;&gt;"",IF(AND(B3517='IN-TC'!$S$4,OR(TH!N3517="1111",TH!O3517="1111")),TH!D3517,""),"")</f>
        <v/>
      </c>
      <c r="B3517" s="60" t="str">
        <f t="shared" si="394"/>
        <v/>
      </c>
      <c r="C3517" s="61"/>
      <c r="D3517" s="61"/>
      <c r="E3517" s="61"/>
      <c r="F3517" s="64"/>
      <c r="G3517" s="64"/>
      <c r="H3517" s="69"/>
      <c r="I3517" s="385"/>
      <c r="J3517" s="395"/>
      <c r="K3517" s="385"/>
      <c r="L3517" s="392"/>
      <c r="M3517" s="62"/>
      <c r="N3517" s="63"/>
      <c r="O3517" s="63"/>
      <c r="P3517" s="79" t="str">
        <f>IF(AND('331-CT'!$E$7=TH!H3517,OR(N3517="331",O3517="331")),"x","")</f>
        <v/>
      </c>
      <c r="Q3517" s="79" t="str">
        <f>IF(AND(B3517='111'!$L$11,OR($N3517=$Q$7,$O3517=$Q$7)),"x","")</f>
        <v/>
      </c>
      <c r="R3517" s="79" t="str">
        <f>IF(AND($N3517=$Q$7,$B3517&lt;'111'!$L$11),"x","")</f>
        <v/>
      </c>
      <c r="S3517" s="79" t="str">
        <f>IF(AND($O3517=$Q$7,$B3517&lt;'111'!$L$11),"x","")</f>
        <v/>
      </c>
      <c r="T3517" s="79" t="str">
        <f>IF(ISERROR(FIND('112'!$M$9,G3517,1)),"",IF((AND(FIND('112'!$M$9,G3517,1)&gt;=1,B3517='112'!$K$9,OR($N3517='112'!$I$6,$O3517='112'!$I$6))),"x",""))</f>
        <v/>
      </c>
      <c r="U3517" s="79" t="str">
        <f>IF(ISERROR(FIND('112'!$M$9,G3517,1)),"",IF((AND(LEFT(G3517,2)=LEFT('112'!$M$9,2),B3517&lt;'112'!$K$9,$N3517='112'!$I$6)),"x",""))</f>
        <v/>
      </c>
      <c r="V3517" s="79" t="str">
        <f>IF(ISERROR(FIND('112'!$M$9,G3517,1)),"",IF((AND(RIGHT(G3517,2)=RIGHT('112'!$M$9,2),B3517&lt;'112'!$K$9,$O3517='112'!$I$6)),"x",""))</f>
        <v/>
      </c>
      <c r="W3517" s="79" t="str">
        <f>IF(AND('341-CT'!$H$9=H3517,OR(LEFT(N3517,3)=$W$7,LEFT(O3517,3)=$W$7)),"x","")</f>
        <v/>
      </c>
      <c r="X3517" s="79" t="str">
        <f>IF(OR(TH!N3517=TH!$X$7,O3517=TH!$X$7),"x","")</f>
        <v/>
      </c>
      <c r="Y3517" s="79" t="str">
        <f>IF(AND(OR(N3517="131",O3517="131"),H3517='131-CT'!$H$9),"x","")</f>
        <v/>
      </c>
      <c r="Z3517" s="79"/>
      <c r="AA3517" s="79" t="str">
        <f>IF(AND(MONTH(E3517)='IN-NX'!$J$5,'IN-NX'!$D$7=D3517),"x","")</f>
        <v/>
      </c>
      <c r="AB3517" s="79" t="str">
        <f>IF(AND(OR(LEFT(TH!N3517,2)="15",LEFT(TH!O3517,2)="15"),LEFT(TH!O3517,3)&lt;&gt;"111",'152-CT'!$J$8=TH!F3517),"x","")</f>
        <v/>
      </c>
      <c r="AC3517" s="79" t="str">
        <f>IF(AND(OR(LEFT(TH!N3517,2)="15",LEFT(TH!O3517,2)="15"),TK!$E$7=TH!F3517),"x","")</f>
        <v/>
      </c>
      <c r="AD3517" s="79" t="str">
        <f>IF(AND(N3517="1521",MONTH(C3517)='BK-NL'!$M$11),"x","")</f>
        <v/>
      </c>
    </row>
    <row r="3518" spans="1:30" ht="16.5" customHeight="1">
      <c r="A3518" s="318" t="str">
        <f>IF(B3518&lt;&gt;"",IF(AND(B3518='IN-TC'!$S$4,OR(TH!N3518="1111",TH!O3518="1111")),TH!D3518,""),"")</f>
        <v/>
      </c>
      <c r="B3518" s="60" t="str">
        <f t="shared" si="394"/>
        <v/>
      </c>
      <c r="C3518" s="61"/>
      <c r="D3518" s="61"/>
      <c r="E3518" s="61"/>
      <c r="F3518" s="64"/>
      <c r="G3518" s="64"/>
      <c r="H3518" s="321"/>
      <c r="I3518" s="385"/>
      <c r="J3518" s="395"/>
      <c r="K3518" s="385"/>
      <c r="L3518" s="392"/>
      <c r="M3518" s="62"/>
      <c r="N3518" s="63"/>
      <c r="O3518" s="63"/>
      <c r="P3518" s="79" t="str">
        <f>IF(AND('331-CT'!$E$7=TH!H3518,OR(N3518="331",O3518="331")),"x","")</f>
        <v/>
      </c>
      <c r="Q3518" s="79" t="str">
        <f>IF(AND(B3518='111'!$L$11,OR($N3518=$Q$7,$O3518=$Q$7)),"x","")</f>
        <v/>
      </c>
      <c r="R3518" s="79" t="str">
        <f>IF(AND($N3518=$Q$7,$B3518&lt;'111'!$L$11),"x","")</f>
        <v/>
      </c>
      <c r="S3518" s="79" t="str">
        <f>IF(AND($O3518=$Q$7,$B3518&lt;'111'!$L$11),"x","")</f>
        <v/>
      </c>
      <c r="T3518" s="79" t="str">
        <f>IF(ISERROR(FIND('112'!$M$9,G3518,1)),"",IF((AND(FIND('112'!$M$9,G3518,1)&gt;=1,B3518='112'!$K$9,OR($N3518='112'!$I$6,$O3518='112'!$I$6))),"x",""))</f>
        <v/>
      </c>
      <c r="U3518" s="79" t="str">
        <f>IF(ISERROR(FIND('112'!$M$9,G3518,1)),"",IF((AND(LEFT(G3518,2)=LEFT('112'!$M$9,2),B3518&lt;'112'!$K$9,$N3518='112'!$I$6)),"x",""))</f>
        <v/>
      </c>
      <c r="V3518" s="79" t="str">
        <f>IF(ISERROR(FIND('112'!$M$9,G3518,1)),"",IF((AND(RIGHT(G3518,2)=RIGHT('112'!$M$9,2),B3518&lt;'112'!$K$9,$O3518='112'!$I$6)),"x",""))</f>
        <v/>
      </c>
      <c r="W3518" s="79" t="str">
        <f>IF(AND('341-CT'!$H$9=H3518,OR(LEFT(N3518,3)=$W$7,LEFT(O3518,3)=$W$7)),"x","")</f>
        <v/>
      </c>
      <c r="X3518" s="79" t="str">
        <f>IF(OR(TH!N3518=TH!$X$7,O3518=TH!$X$7),"x","")</f>
        <v/>
      </c>
      <c r="Y3518" s="79" t="str">
        <f>IF(AND(OR(N3518="131",O3518="131"),H3518='131-CT'!$H$9),"x","")</f>
        <v/>
      </c>
      <c r="Z3518" s="79"/>
      <c r="AA3518" s="79" t="str">
        <f>IF(AND(MONTH(E3518)='IN-NX'!$J$5,'IN-NX'!$D$7=D3518),"x","")</f>
        <v/>
      </c>
      <c r="AB3518" s="79" t="str">
        <f>IF(AND(OR(LEFT(TH!N3518,2)="15",LEFT(TH!O3518,2)="15"),LEFT(TH!O3518,3)&lt;&gt;"111",'152-CT'!$J$8=TH!F3518),"x","")</f>
        <v/>
      </c>
      <c r="AC3518" s="79" t="str">
        <f>IF(AND(OR(LEFT(TH!N3518,2)="15",LEFT(TH!O3518,2)="15"),TK!$E$7=TH!F3518),"x","")</f>
        <v/>
      </c>
      <c r="AD3518" s="79" t="str">
        <f>IF(AND(N3518="1521",MONTH(C3518)='BK-NL'!$M$11),"x","")</f>
        <v/>
      </c>
    </row>
    <row r="3519" spans="1:30" ht="16.5" customHeight="1">
      <c r="A3519" s="318" t="str">
        <f>IF(B3519&lt;&gt;"",IF(AND(B3519='IN-TC'!$S$4,OR(TH!N3519="1111",TH!O3519="1111")),TH!D3519,""),"")</f>
        <v/>
      </c>
      <c r="B3519" s="60" t="str">
        <f t="shared" si="394"/>
        <v/>
      </c>
      <c r="C3519" s="61"/>
      <c r="D3519" s="61"/>
      <c r="E3519" s="61"/>
      <c r="F3519" s="64"/>
      <c r="G3519" s="64"/>
      <c r="H3519" s="69"/>
      <c r="I3519" s="385"/>
      <c r="J3519" s="395"/>
      <c r="K3519" s="385"/>
      <c r="L3519" s="392"/>
      <c r="M3519" s="62"/>
      <c r="N3519" s="63"/>
      <c r="O3519" s="63"/>
      <c r="P3519" s="79" t="str">
        <f>IF(AND('331-CT'!$E$7=TH!H3519,OR(N3519="331",O3519="331")),"x","")</f>
        <v/>
      </c>
      <c r="Q3519" s="79" t="str">
        <f>IF(AND(B3519='111'!$L$11,OR($N3519=$Q$7,$O3519=$Q$7)),"x","")</f>
        <v/>
      </c>
      <c r="R3519" s="79" t="str">
        <f>IF(AND($N3519=$Q$7,$B3519&lt;'111'!$L$11),"x","")</f>
        <v/>
      </c>
      <c r="S3519" s="79" t="str">
        <f>IF(AND($O3519=$Q$7,$B3519&lt;'111'!$L$11),"x","")</f>
        <v/>
      </c>
      <c r="T3519" s="79" t="str">
        <f>IF(ISERROR(FIND('112'!$M$9,G3519,1)),"",IF((AND(FIND('112'!$M$9,G3519,1)&gt;=1,B3519='112'!$K$9,OR($N3519='112'!$I$6,$O3519='112'!$I$6))),"x",""))</f>
        <v/>
      </c>
      <c r="U3519" s="79" t="str">
        <f>IF(ISERROR(FIND('112'!$M$9,G3519,1)),"",IF((AND(LEFT(G3519,2)=LEFT('112'!$M$9,2),B3519&lt;'112'!$K$9,$N3519='112'!$I$6)),"x",""))</f>
        <v/>
      </c>
      <c r="V3519" s="79" t="str">
        <f>IF(ISERROR(FIND('112'!$M$9,G3519,1)),"",IF((AND(RIGHT(G3519,2)=RIGHT('112'!$M$9,2),B3519&lt;'112'!$K$9,$O3519='112'!$I$6)),"x",""))</f>
        <v/>
      </c>
      <c r="W3519" s="79" t="str">
        <f>IF(AND('341-CT'!$H$9=H3519,OR(LEFT(N3519,3)=$W$7,LEFT(O3519,3)=$W$7)),"x","")</f>
        <v/>
      </c>
      <c r="X3519" s="79" t="str">
        <f>IF(OR(TH!N3519=TH!$X$7,O3519=TH!$X$7),"x","")</f>
        <v/>
      </c>
      <c r="Y3519" s="79" t="str">
        <f>IF(AND(OR(N3519="131",O3519="131"),H3519='131-CT'!$H$9),"x","")</f>
        <v/>
      </c>
      <c r="Z3519" s="79"/>
      <c r="AA3519" s="79" t="str">
        <f>IF(AND(MONTH(E3519)='IN-NX'!$J$5,'IN-NX'!$D$7=D3519),"x","")</f>
        <v/>
      </c>
      <c r="AB3519" s="79" t="str">
        <f>IF(AND(OR(LEFT(TH!N3519,2)="15",LEFT(TH!O3519,2)="15"),LEFT(TH!O3519,3)&lt;&gt;"111",'152-CT'!$J$8=TH!F3519),"x","")</f>
        <v/>
      </c>
      <c r="AC3519" s="79" t="str">
        <f>IF(AND(OR(LEFT(TH!N3519,2)="15",LEFT(TH!O3519,2)="15"),TK!$E$7=TH!F3519),"x","")</f>
        <v/>
      </c>
      <c r="AD3519" s="79" t="str">
        <f>IF(AND(N3519="1521",MONTH(C3519)='BK-NL'!$M$11),"x","")</f>
        <v/>
      </c>
    </row>
    <row r="3520" spans="1:30" ht="16.5" customHeight="1">
      <c r="A3520" s="318" t="str">
        <f>IF(B3520&lt;&gt;"",IF(AND(B3520='IN-TC'!$S$4,OR(TH!N3520="1111",TH!O3520="1111")),TH!D3520,""),"")</f>
        <v/>
      </c>
      <c r="B3520" s="60" t="str">
        <f t="shared" si="394"/>
        <v/>
      </c>
      <c r="C3520" s="61"/>
      <c r="D3520" s="61"/>
      <c r="E3520" s="61"/>
      <c r="F3520" s="64"/>
      <c r="G3520" s="64"/>
      <c r="H3520" s="69"/>
      <c r="I3520" s="385"/>
      <c r="J3520" s="395"/>
      <c r="K3520" s="385"/>
      <c r="L3520" s="392"/>
      <c r="M3520" s="62"/>
      <c r="N3520" s="63"/>
      <c r="O3520" s="63"/>
      <c r="P3520" s="79" t="str">
        <f>IF(AND('331-CT'!$E$7=TH!H3520,OR(N3520="331",O3520="331")),"x","")</f>
        <v/>
      </c>
      <c r="Q3520" s="79" t="str">
        <f>IF(AND(B3520='111'!$L$11,OR($N3520=$Q$7,$O3520=$Q$7)),"x","")</f>
        <v/>
      </c>
      <c r="R3520" s="79" t="str">
        <f>IF(AND($N3520=$Q$7,$B3520&lt;'111'!$L$11),"x","")</f>
        <v/>
      </c>
      <c r="S3520" s="79" t="str">
        <f>IF(AND($O3520=$Q$7,$B3520&lt;'111'!$L$11),"x","")</f>
        <v/>
      </c>
      <c r="T3520" s="79" t="str">
        <f>IF(ISERROR(FIND('112'!$M$9,G3520,1)),"",IF((AND(FIND('112'!$M$9,G3520,1)&gt;=1,B3520='112'!$K$9,OR($N3520='112'!$I$6,$O3520='112'!$I$6))),"x",""))</f>
        <v/>
      </c>
      <c r="U3520" s="79" t="str">
        <f>IF(ISERROR(FIND('112'!$M$9,G3520,1)),"",IF((AND(LEFT(G3520,2)=LEFT('112'!$M$9,2),B3520&lt;'112'!$K$9,$N3520='112'!$I$6)),"x",""))</f>
        <v/>
      </c>
      <c r="V3520" s="79" t="str">
        <f>IF(ISERROR(FIND('112'!$M$9,G3520,1)),"",IF((AND(RIGHT(G3520,2)=RIGHT('112'!$M$9,2),B3520&lt;'112'!$K$9,$O3520='112'!$I$6)),"x",""))</f>
        <v/>
      </c>
      <c r="W3520" s="79" t="str">
        <f>IF(AND('341-CT'!$H$9=H3520,OR(LEFT(N3520,3)=$W$7,LEFT(O3520,3)=$W$7)),"x","")</f>
        <v/>
      </c>
      <c r="X3520" s="79" t="str">
        <f>IF(OR(TH!N3520=TH!$X$7,O3520=TH!$X$7),"x","")</f>
        <v/>
      </c>
      <c r="Y3520" s="79" t="str">
        <f>IF(AND(OR(N3520="131",O3520="131"),H3520='131-CT'!$H$9),"x","")</f>
        <v/>
      </c>
      <c r="Z3520" s="79"/>
      <c r="AA3520" s="79" t="str">
        <f>IF(AND(MONTH(E3520)='IN-NX'!$J$5,'IN-NX'!$D$7=D3520),"x","")</f>
        <v/>
      </c>
      <c r="AB3520" s="79" t="str">
        <f>IF(AND(OR(LEFT(TH!N3520,2)="15",LEFT(TH!O3520,2)="15"),LEFT(TH!O3520,3)&lt;&gt;"111",'152-CT'!$J$8=TH!F3520),"x","")</f>
        <v/>
      </c>
      <c r="AC3520" s="79" t="str">
        <f>IF(AND(OR(LEFT(TH!N3520,2)="15",LEFT(TH!O3520,2)="15"),TK!$E$7=TH!F3520),"x","")</f>
        <v/>
      </c>
      <c r="AD3520" s="79" t="str">
        <f>IF(AND(N3520="1521",MONTH(C3520)='BK-NL'!$M$11),"x","")</f>
        <v/>
      </c>
    </row>
    <row r="3521" spans="1:30" ht="16.5" customHeight="1">
      <c r="A3521" s="318" t="str">
        <f>IF(B3521&lt;&gt;"",IF(AND(B3521='IN-TC'!$S$4,OR(TH!N3521="1111",TH!O3521="1111")),TH!D3521,""),"")</f>
        <v/>
      </c>
      <c r="B3521" s="60" t="str">
        <f t="shared" si="394"/>
        <v/>
      </c>
      <c r="C3521" s="61"/>
      <c r="D3521" s="61"/>
      <c r="E3521" s="61"/>
      <c r="F3521" s="64"/>
      <c r="G3521" s="64"/>
      <c r="H3521" s="69"/>
      <c r="I3521" s="385"/>
      <c r="J3521" s="395"/>
      <c r="K3521" s="385"/>
      <c r="L3521" s="392"/>
      <c r="M3521" s="62"/>
      <c r="N3521" s="63"/>
      <c r="O3521" s="63"/>
      <c r="P3521" s="79" t="str">
        <f>IF(AND('331-CT'!$E$7=TH!H3521,OR(N3521="331",O3521="331")),"x","")</f>
        <v/>
      </c>
      <c r="Q3521" s="79" t="str">
        <f>IF(AND(B3521='111'!$L$11,OR($N3521=$Q$7,$O3521=$Q$7)),"x","")</f>
        <v/>
      </c>
      <c r="R3521" s="79" t="str">
        <f>IF(AND($N3521=$Q$7,$B3521&lt;'111'!$L$11),"x","")</f>
        <v/>
      </c>
      <c r="S3521" s="79" t="str">
        <f>IF(AND($O3521=$Q$7,$B3521&lt;'111'!$L$11),"x","")</f>
        <v/>
      </c>
      <c r="T3521" s="79" t="str">
        <f>IF(ISERROR(FIND('112'!$M$9,G3521,1)),"",IF((AND(FIND('112'!$M$9,G3521,1)&gt;=1,B3521='112'!$K$9,OR($N3521='112'!$I$6,$O3521='112'!$I$6))),"x",""))</f>
        <v/>
      </c>
      <c r="U3521" s="79" t="str">
        <f>IF(ISERROR(FIND('112'!$M$9,G3521,1)),"",IF((AND(LEFT(G3521,2)=LEFT('112'!$M$9,2),B3521&lt;'112'!$K$9,$N3521='112'!$I$6)),"x",""))</f>
        <v/>
      </c>
      <c r="V3521" s="79" t="str">
        <f>IF(ISERROR(FIND('112'!$M$9,G3521,1)),"",IF((AND(RIGHT(G3521,2)=RIGHT('112'!$M$9,2),B3521&lt;'112'!$K$9,$O3521='112'!$I$6)),"x",""))</f>
        <v/>
      </c>
      <c r="W3521" s="79" t="str">
        <f>IF(AND('341-CT'!$H$9=H3521,OR(LEFT(N3521,3)=$W$7,LEFT(O3521,3)=$W$7)),"x","")</f>
        <v/>
      </c>
      <c r="X3521" s="79" t="str">
        <f>IF(OR(TH!N3521=TH!$X$7,O3521=TH!$X$7),"x","")</f>
        <v/>
      </c>
      <c r="Y3521" s="79" t="str">
        <f>IF(AND(OR(N3521="131",O3521="131"),H3521='131-CT'!$H$9),"x","")</f>
        <v/>
      </c>
      <c r="Z3521" s="79"/>
      <c r="AA3521" s="79" t="str">
        <f>IF(AND(MONTH(E3521)='IN-NX'!$J$5,'IN-NX'!$D$7=D3521),"x","")</f>
        <v/>
      </c>
      <c r="AB3521" s="79" t="str">
        <f>IF(AND(OR(LEFT(TH!N3521,2)="15",LEFT(TH!O3521,2)="15"),LEFT(TH!O3521,3)&lt;&gt;"111",'152-CT'!$J$8=TH!F3521),"x","")</f>
        <v/>
      </c>
      <c r="AC3521" s="79" t="str">
        <f>IF(AND(OR(LEFT(TH!N3521,2)="15",LEFT(TH!O3521,2)="15"),TK!$E$7=TH!F3521),"x","")</f>
        <v/>
      </c>
      <c r="AD3521" s="79" t="str">
        <f>IF(AND(N3521="1521",MONTH(C3521)='BK-NL'!$M$11),"x","")</f>
        <v/>
      </c>
    </row>
    <row r="3522" spans="1:30" ht="16.5" customHeight="1">
      <c r="A3522" s="318" t="str">
        <f>IF(B3522&lt;&gt;"",IF(AND(B3522='IN-TC'!$S$4,OR(TH!N3522="1111",TH!O3522="1111")),TH!D3522,""),"")</f>
        <v/>
      </c>
      <c r="B3522" s="60" t="str">
        <f t="shared" si="394"/>
        <v/>
      </c>
      <c r="C3522" s="61"/>
      <c r="D3522" s="61"/>
      <c r="E3522" s="61"/>
      <c r="F3522" s="64"/>
      <c r="G3522" s="64"/>
      <c r="H3522" s="69"/>
      <c r="I3522" s="387"/>
      <c r="J3522" s="395"/>
      <c r="K3522" s="387"/>
      <c r="L3522" s="394"/>
      <c r="M3522" s="62"/>
      <c r="N3522" s="63"/>
      <c r="O3522" s="63"/>
      <c r="P3522" s="79" t="str">
        <f>IF(AND('331-CT'!$E$7=TH!H3522,OR(N3522="331",O3522="331")),"x","")</f>
        <v/>
      </c>
      <c r="Q3522" s="79" t="str">
        <f>IF(AND(B3522='111'!$L$11,OR($N3522=$Q$7,$O3522=$Q$7)),"x","")</f>
        <v/>
      </c>
      <c r="R3522" s="79" t="str">
        <f>IF(AND($N3522=$Q$7,$B3522&lt;'111'!$L$11),"x","")</f>
        <v/>
      </c>
      <c r="S3522" s="79" t="str">
        <f>IF(AND($O3522=$Q$7,$B3522&lt;'111'!$L$11),"x","")</f>
        <v/>
      </c>
      <c r="T3522" s="79" t="str">
        <f>IF(ISERROR(FIND('112'!$M$9,G3522,1)),"",IF((AND(FIND('112'!$M$9,G3522,1)&gt;=1,B3522='112'!$K$9,OR($N3522='112'!$I$6,$O3522='112'!$I$6))),"x",""))</f>
        <v/>
      </c>
      <c r="U3522" s="79" t="str">
        <f>IF(ISERROR(FIND('112'!$M$9,G3522,1)),"",IF((AND(LEFT(G3522,2)=LEFT('112'!$M$9,2),B3522&lt;'112'!$K$9,$N3522='112'!$I$6)),"x",""))</f>
        <v/>
      </c>
      <c r="V3522" s="79" t="str">
        <f>IF(ISERROR(FIND('112'!$M$9,G3522,1)),"",IF((AND(RIGHT(G3522,2)=RIGHT('112'!$M$9,2),B3522&lt;'112'!$K$9,$O3522='112'!$I$6)),"x",""))</f>
        <v/>
      </c>
      <c r="W3522" s="79" t="str">
        <f>IF(AND('341-CT'!$H$9=H3522,OR(LEFT(N3522,3)=$W$7,LEFT(O3522,3)=$W$7)),"x","")</f>
        <v/>
      </c>
      <c r="X3522" s="79" t="str">
        <f>IF(OR(TH!N3522=TH!$X$7,O3522=TH!$X$7),"x","")</f>
        <v/>
      </c>
      <c r="Y3522" s="79" t="str">
        <f>IF(AND(OR(N3522="131",O3522="131"),H3522='131-CT'!$H$9),"x","")</f>
        <v/>
      </c>
      <c r="Z3522" s="79"/>
      <c r="AA3522" s="79" t="str">
        <f>IF(AND(MONTH(E3522)='IN-NX'!$J$5,'IN-NX'!$D$7=D3522),"x","")</f>
        <v/>
      </c>
      <c r="AB3522" s="79" t="str">
        <f>IF(AND(OR(LEFT(TH!N3522,2)="15",LEFT(TH!O3522,2)="15"),LEFT(TH!O3522,3)&lt;&gt;"111",'152-CT'!$J$8=TH!F3522),"x","")</f>
        <v/>
      </c>
      <c r="AC3522" s="79" t="str">
        <f>IF(AND(OR(LEFT(TH!N3522,2)="15",LEFT(TH!O3522,2)="15"),TK!$E$7=TH!F3522),"x","")</f>
        <v/>
      </c>
      <c r="AD3522" s="79" t="str">
        <f>IF(AND(N3522="1521",MONTH(C3522)='BK-NL'!$M$11),"x","")</f>
        <v/>
      </c>
    </row>
    <row r="3523" spans="1:30" ht="16.5" customHeight="1">
      <c r="A3523" s="318" t="str">
        <f>IF(B3523&lt;&gt;"",IF(AND(B3523='IN-TC'!$S$4,OR(TH!N3523="1111",TH!O3523="1111")),TH!D3523,""),"")</f>
        <v/>
      </c>
      <c r="B3523" s="60" t="str">
        <f t="shared" si="394"/>
        <v/>
      </c>
      <c r="C3523" s="61"/>
      <c r="D3523" s="61"/>
      <c r="E3523" s="61"/>
      <c r="F3523" s="64"/>
      <c r="G3523" s="64"/>
      <c r="H3523" s="69"/>
      <c r="I3523" s="385"/>
      <c r="J3523" s="395"/>
      <c r="K3523" s="385"/>
      <c r="L3523" s="392"/>
      <c r="M3523" s="62"/>
      <c r="N3523" s="63"/>
      <c r="O3523" s="63"/>
      <c r="P3523" s="79" t="str">
        <f>IF(AND('331-CT'!$E$7=TH!H3523,OR(N3523="331",O3523="331")),"x","")</f>
        <v/>
      </c>
      <c r="Q3523" s="79" t="str">
        <f>IF(AND(B3523='111'!$L$11,OR($N3523=$Q$7,$O3523=$Q$7)),"x","")</f>
        <v/>
      </c>
      <c r="R3523" s="79" t="str">
        <f>IF(AND($N3523=$Q$7,$B3523&lt;'111'!$L$11),"x","")</f>
        <v/>
      </c>
      <c r="S3523" s="79" t="str">
        <f>IF(AND($O3523=$Q$7,$B3523&lt;'111'!$L$11),"x","")</f>
        <v/>
      </c>
      <c r="T3523" s="79" t="str">
        <f>IF(ISERROR(FIND('112'!$M$9,G3523,1)),"",IF((AND(FIND('112'!$M$9,G3523,1)&gt;=1,B3523='112'!$K$9,OR($N3523='112'!$I$6,$O3523='112'!$I$6))),"x",""))</f>
        <v/>
      </c>
      <c r="U3523" s="79" t="str">
        <f>IF(ISERROR(FIND('112'!$M$9,G3523,1)),"",IF((AND(LEFT(G3523,2)=LEFT('112'!$M$9,2),B3523&lt;'112'!$K$9,$N3523='112'!$I$6)),"x",""))</f>
        <v/>
      </c>
      <c r="V3523" s="79" t="str">
        <f>IF(ISERROR(FIND('112'!$M$9,G3523,1)),"",IF((AND(RIGHT(G3523,2)=RIGHT('112'!$M$9,2),B3523&lt;'112'!$K$9,$O3523='112'!$I$6)),"x",""))</f>
        <v/>
      </c>
      <c r="W3523" s="79" t="str">
        <f>IF(AND('341-CT'!$H$9=H3523,OR(LEFT(N3523,3)=$W$7,LEFT(O3523,3)=$W$7)),"x","")</f>
        <v/>
      </c>
      <c r="X3523" s="79" t="str">
        <f>IF(OR(TH!N3523=TH!$X$7,O3523=TH!$X$7),"x","")</f>
        <v/>
      </c>
      <c r="Y3523" s="79" t="str">
        <f>IF(AND(OR(N3523="131",O3523="131"),H3523='131-CT'!$H$9),"x","")</f>
        <v/>
      </c>
      <c r="Z3523" s="79"/>
      <c r="AA3523" s="79" t="str">
        <f>IF(AND(MONTH(E3523)='IN-NX'!$J$5,'IN-NX'!$D$7=D3523),"x","")</f>
        <v/>
      </c>
      <c r="AB3523" s="79" t="str">
        <f>IF(AND(OR(LEFT(TH!N3523,2)="15",LEFT(TH!O3523,2)="15"),LEFT(TH!O3523,3)&lt;&gt;"111",'152-CT'!$J$8=TH!F3523),"x","")</f>
        <v/>
      </c>
      <c r="AC3523" s="79" t="str">
        <f>IF(AND(OR(LEFT(TH!N3523,2)="15",LEFT(TH!O3523,2)="15"),TK!$E$7=TH!F3523),"x","")</f>
        <v/>
      </c>
      <c r="AD3523" s="79" t="str">
        <f>IF(AND(N3523="1521",MONTH(C3523)='BK-NL'!$M$11),"x","")</f>
        <v/>
      </c>
    </row>
    <row r="3524" spans="1:30" ht="16.5" customHeight="1">
      <c r="A3524" s="318" t="str">
        <f>IF(B3524&lt;&gt;"",IF(AND(B3524='IN-TC'!$S$4,OR(TH!N3524="1111",TH!O3524="1111")),TH!D3524,""),"")</f>
        <v/>
      </c>
      <c r="B3524" s="60" t="str">
        <f t="shared" si="394"/>
        <v/>
      </c>
      <c r="C3524" s="61"/>
      <c r="D3524" s="61"/>
      <c r="E3524" s="61"/>
      <c r="F3524" s="64"/>
      <c r="G3524" s="64"/>
      <c r="H3524" s="69"/>
      <c r="I3524" s="385"/>
      <c r="J3524" s="395"/>
      <c r="K3524" s="385"/>
      <c r="L3524" s="392"/>
      <c r="M3524" s="62"/>
      <c r="N3524" s="63"/>
      <c r="O3524" s="63"/>
      <c r="P3524" s="79" t="str">
        <f>IF(AND('331-CT'!$E$7=TH!H3524,OR(N3524="331",O3524="331")),"x","")</f>
        <v/>
      </c>
      <c r="Q3524" s="79" t="str">
        <f>IF(AND(B3524='111'!$L$11,OR($N3524=$Q$7,$O3524=$Q$7)),"x","")</f>
        <v/>
      </c>
      <c r="R3524" s="79" t="str">
        <f>IF(AND($N3524=$Q$7,$B3524&lt;'111'!$L$11),"x","")</f>
        <v/>
      </c>
      <c r="S3524" s="79" t="str">
        <f>IF(AND($O3524=$Q$7,$B3524&lt;'111'!$L$11),"x","")</f>
        <v/>
      </c>
      <c r="T3524" s="79" t="str">
        <f>IF(ISERROR(FIND('112'!$M$9,G3524,1)),"",IF((AND(FIND('112'!$M$9,G3524,1)&gt;=1,B3524='112'!$K$9,OR($N3524='112'!$I$6,$O3524='112'!$I$6))),"x",""))</f>
        <v/>
      </c>
      <c r="U3524" s="79" t="str">
        <f>IF(ISERROR(FIND('112'!$M$9,G3524,1)),"",IF((AND(LEFT(G3524,2)=LEFT('112'!$M$9,2),B3524&lt;'112'!$K$9,$N3524='112'!$I$6)),"x",""))</f>
        <v/>
      </c>
      <c r="V3524" s="79" t="str">
        <f>IF(ISERROR(FIND('112'!$M$9,G3524,1)),"",IF((AND(RIGHT(G3524,2)=RIGHT('112'!$M$9,2),B3524&lt;'112'!$K$9,$O3524='112'!$I$6)),"x",""))</f>
        <v/>
      </c>
      <c r="W3524" s="79" t="str">
        <f>IF(AND('341-CT'!$H$9=H3524,OR(LEFT(N3524,3)=$W$7,LEFT(O3524,3)=$W$7)),"x","")</f>
        <v/>
      </c>
      <c r="X3524" s="79" t="str">
        <f>IF(OR(TH!N3524=TH!$X$7,O3524=TH!$X$7),"x","")</f>
        <v/>
      </c>
      <c r="Y3524" s="79" t="str">
        <f>IF(AND(OR(N3524="131",O3524="131"),H3524='131-CT'!$H$9),"x","")</f>
        <v/>
      </c>
      <c r="Z3524" s="79"/>
      <c r="AA3524" s="79" t="str">
        <f>IF(AND(MONTH(E3524)='IN-NX'!$J$5,'IN-NX'!$D$7=D3524),"x","")</f>
        <v/>
      </c>
      <c r="AB3524" s="79" t="str">
        <f>IF(AND(OR(LEFT(TH!N3524,2)="15",LEFT(TH!O3524,2)="15"),LEFT(TH!O3524,3)&lt;&gt;"111",'152-CT'!$J$8=TH!F3524),"x","")</f>
        <v/>
      </c>
      <c r="AC3524" s="79" t="str">
        <f>IF(AND(OR(LEFT(TH!N3524,2)="15",LEFT(TH!O3524,2)="15"),TK!$E$7=TH!F3524),"x","")</f>
        <v/>
      </c>
      <c r="AD3524" s="79" t="str">
        <f>IF(AND(N3524="1521",MONTH(C3524)='BK-NL'!$M$11),"x","")</f>
        <v/>
      </c>
    </row>
    <row r="3525" spans="1:30" ht="16.5" customHeight="1">
      <c r="A3525" s="318" t="str">
        <f>IF(B3525&lt;&gt;"",IF(AND(B3525='IN-TC'!$S$4,OR(TH!N3525="1111",TH!O3525="1111")),TH!D3525,""),"")</f>
        <v/>
      </c>
      <c r="B3525" s="60" t="str">
        <f t="shared" ref="B3525:B3526" si="395">IF(C3525&lt;&gt;"",MONTH(C3525),"")</f>
        <v/>
      </c>
      <c r="C3525" s="61"/>
      <c r="D3525" s="61"/>
      <c r="E3525" s="61"/>
      <c r="F3525" s="64"/>
      <c r="G3525" s="64"/>
      <c r="H3525" s="69"/>
      <c r="I3525" s="385"/>
      <c r="J3525" s="395"/>
      <c r="K3525" s="385"/>
      <c r="L3525" s="392"/>
      <c r="M3525" s="62"/>
      <c r="N3525" s="63"/>
      <c r="O3525" s="63"/>
      <c r="P3525" s="79" t="str">
        <f>IF(AND('331-CT'!$E$7=TH!H3525,OR(N3525="331",O3525="331")),"x","")</f>
        <v/>
      </c>
      <c r="Q3525" s="79" t="str">
        <f>IF(AND(B3525='111'!$L$11,OR($N3525=$Q$7,$O3525=$Q$7)),"x","")</f>
        <v/>
      </c>
      <c r="R3525" s="79" t="str">
        <f>IF(AND($N3525=$Q$7,$B3525&lt;'111'!$L$11),"x","")</f>
        <v/>
      </c>
      <c r="S3525" s="79" t="str">
        <f>IF(AND($O3525=$Q$7,$B3525&lt;'111'!$L$11),"x","")</f>
        <v/>
      </c>
      <c r="T3525" s="79" t="str">
        <f>IF(ISERROR(FIND('112'!$M$9,G3525,1)),"",IF((AND(FIND('112'!$M$9,G3525,1)&gt;=1,B3525='112'!$K$9,OR($N3525='112'!$I$6,$O3525='112'!$I$6))),"x",""))</f>
        <v/>
      </c>
      <c r="U3525" s="79" t="str">
        <f>IF(ISERROR(FIND('112'!$M$9,G3525,1)),"",IF((AND(LEFT(G3525,2)=LEFT('112'!$M$9,2),B3525&lt;'112'!$K$9,$N3525='112'!$I$6)),"x",""))</f>
        <v/>
      </c>
      <c r="V3525" s="79" t="str">
        <f>IF(ISERROR(FIND('112'!$M$9,G3525,1)),"",IF((AND(RIGHT(G3525,2)=RIGHT('112'!$M$9,2),B3525&lt;'112'!$K$9,$O3525='112'!$I$6)),"x",""))</f>
        <v/>
      </c>
      <c r="W3525" s="79" t="str">
        <f>IF(AND('341-CT'!$H$9=H3525,OR(LEFT(N3525,3)=$W$7,LEFT(O3525,3)=$W$7)),"x","")</f>
        <v/>
      </c>
      <c r="X3525" s="79" t="str">
        <f>IF(OR(TH!N3525=TH!$X$7,O3525=TH!$X$7),"x","")</f>
        <v/>
      </c>
      <c r="Y3525" s="79" t="str">
        <f>IF(AND(OR(N3525="131",O3525="131"),H3525='131-CT'!$H$9),"x","")</f>
        <v/>
      </c>
      <c r="Z3525" s="79"/>
      <c r="AA3525" s="79" t="str">
        <f>IF(AND(MONTH(E3525)='IN-NX'!$J$5,'IN-NX'!$D$7=D3525),"x","")</f>
        <v/>
      </c>
      <c r="AB3525" s="79" t="str">
        <f>IF(AND(OR(LEFT(TH!N3525,2)="15",LEFT(TH!O3525,2)="15"),LEFT(TH!O3525,3)&lt;&gt;"111",'152-CT'!$J$8=TH!F3525),"x","")</f>
        <v/>
      </c>
      <c r="AC3525" s="79" t="str">
        <f>IF(AND(OR(LEFT(TH!N3525,2)="15",LEFT(TH!O3525,2)="15"),TK!$E$7=TH!F3525),"x","")</f>
        <v/>
      </c>
      <c r="AD3525" s="79" t="str">
        <f>IF(AND(N3525="1521",MONTH(C3525)='BK-NL'!$M$11),"x","")</f>
        <v/>
      </c>
    </row>
    <row r="3526" spans="1:30" ht="16.5" customHeight="1">
      <c r="A3526" s="318" t="str">
        <f>IF(B3526&lt;&gt;"",IF(AND(B3526='IN-TC'!$S$4,OR(TH!N3526="1111",TH!O3526="1111")),TH!D3526,""),"")</f>
        <v/>
      </c>
      <c r="B3526" s="60" t="str">
        <f t="shared" si="395"/>
        <v/>
      </c>
      <c r="C3526" s="61"/>
      <c r="D3526" s="61"/>
      <c r="E3526" s="61"/>
      <c r="F3526" s="64"/>
      <c r="G3526" s="64"/>
      <c r="H3526" s="69"/>
      <c r="I3526" s="387"/>
      <c r="J3526" s="395"/>
      <c r="K3526" s="387"/>
      <c r="L3526" s="394"/>
      <c r="M3526" s="62"/>
      <c r="N3526" s="63"/>
      <c r="O3526" s="63"/>
      <c r="P3526" s="79" t="str">
        <f>IF(AND('331-CT'!$E$7=TH!H3526,OR(N3526="331",O3526="331")),"x","")</f>
        <v/>
      </c>
      <c r="Q3526" s="79" t="str">
        <f>IF(AND(B3526='111'!$L$11,OR($N3526=$Q$7,$O3526=$Q$7)),"x","")</f>
        <v/>
      </c>
      <c r="R3526" s="79" t="str">
        <f>IF(AND($N3526=$Q$7,$B3526&lt;'111'!$L$11),"x","")</f>
        <v/>
      </c>
      <c r="S3526" s="79" t="str">
        <f>IF(AND($O3526=$Q$7,$B3526&lt;'111'!$L$11),"x","")</f>
        <v/>
      </c>
      <c r="T3526" s="79" t="str">
        <f>IF(ISERROR(FIND('112'!$M$9,G3526,1)),"",IF((AND(FIND('112'!$M$9,G3526,1)&gt;=1,B3526='112'!$K$9,OR($N3526='112'!$I$6,$O3526='112'!$I$6))),"x",""))</f>
        <v/>
      </c>
      <c r="U3526" s="79" t="str">
        <f>IF(ISERROR(FIND('112'!$M$9,G3526,1)),"",IF((AND(LEFT(G3526,2)=LEFT('112'!$M$9,2),B3526&lt;'112'!$K$9,$N3526='112'!$I$6)),"x",""))</f>
        <v/>
      </c>
      <c r="V3526" s="79" t="str">
        <f>IF(ISERROR(FIND('112'!$M$9,G3526,1)),"",IF((AND(RIGHT(G3526,2)=RIGHT('112'!$M$9,2),B3526&lt;'112'!$K$9,$O3526='112'!$I$6)),"x",""))</f>
        <v/>
      </c>
      <c r="W3526" s="79" t="str">
        <f>IF(AND('341-CT'!$H$9=H3526,OR(LEFT(N3526,3)=$W$7,LEFT(O3526,3)=$W$7)),"x","")</f>
        <v/>
      </c>
      <c r="X3526" s="79" t="str">
        <f>IF(OR(TH!N3526=TH!$X$7,O3526=TH!$X$7),"x","")</f>
        <v/>
      </c>
      <c r="Y3526" s="79" t="str">
        <f>IF(AND(OR(N3526="131",O3526="131"),H3526='131-CT'!$H$9),"x","")</f>
        <v/>
      </c>
      <c r="Z3526" s="79"/>
      <c r="AA3526" s="79" t="str">
        <f>IF(AND(MONTH(E3526)='IN-NX'!$J$5,'IN-NX'!$D$7=D3526),"x","")</f>
        <v/>
      </c>
      <c r="AB3526" s="79" t="str">
        <f>IF(AND(OR(LEFT(TH!N3526,2)="15",LEFT(TH!O3526,2)="15"),LEFT(TH!O3526,3)&lt;&gt;"111",'152-CT'!$J$8=TH!F3526),"x","")</f>
        <v/>
      </c>
      <c r="AC3526" s="79" t="str">
        <f>IF(AND(OR(LEFT(TH!N3526,2)="15",LEFT(TH!O3526,2)="15"),TK!$E$7=TH!F3526),"x","")</f>
        <v/>
      </c>
      <c r="AD3526" s="79" t="str">
        <f>IF(AND(N3526="1521",MONTH(C3526)='BK-NL'!$M$11),"x","")</f>
        <v/>
      </c>
    </row>
    <row r="3527" spans="1:30" ht="16.5" customHeight="1">
      <c r="A3527" s="318" t="str">
        <f>IF(B3527&lt;&gt;"",IF(AND(B3527='IN-TC'!$S$4,OR(TH!N3527="1111",TH!O3527="1111")),TH!D3527,""),"")</f>
        <v/>
      </c>
      <c r="B3527" s="60" t="str">
        <f t="shared" si="394"/>
        <v/>
      </c>
      <c r="C3527" s="61"/>
      <c r="D3527" s="61"/>
      <c r="E3527" s="61"/>
      <c r="F3527" s="64"/>
      <c r="G3527" s="64"/>
      <c r="H3527" s="69"/>
      <c r="I3527" s="385"/>
      <c r="J3527" s="395"/>
      <c r="K3527" s="385"/>
      <c r="L3527" s="392"/>
      <c r="M3527" s="62"/>
      <c r="N3527" s="63"/>
      <c r="O3527" s="63"/>
      <c r="P3527" s="79" t="str">
        <f>IF(AND('331-CT'!$E$7=TH!H3527,OR(N3527="331",O3527="331")),"x","")</f>
        <v/>
      </c>
      <c r="Q3527" s="79" t="str">
        <f>IF(AND(B3527='111'!$L$11,OR($N3527=$Q$7,$O3527=$Q$7)),"x","")</f>
        <v/>
      </c>
      <c r="R3527" s="79" t="str">
        <f>IF(AND($N3527=$Q$7,$B3527&lt;'111'!$L$11),"x","")</f>
        <v/>
      </c>
      <c r="S3527" s="79" t="str">
        <f>IF(AND($O3527=$Q$7,$B3527&lt;'111'!$L$11),"x","")</f>
        <v/>
      </c>
      <c r="T3527" s="79" t="str">
        <f>IF(ISERROR(FIND('112'!$M$9,G3527,1)),"",IF((AND(FIND('112'!$M$9,G3527,1)&gt;=1,B3527='112'!$K$9,OR($N3527='112'!$I$6,$O3527='112'!$I$6))),"x",""))</f>
        <v/>
      </c>
      <c r="U3527" s="79" t="str">
        <f>IF(ISERROR(FIND('112'!$M$9,G3527,1)),"",IF((AND(LEFT(G3527,2)=LEFT('112'!$M$9,2),B3527&lt;'112'!$K$9,$N3527='112'!$I$6)),"x",""))</f>
        <v/>
      </c>
      <c r="V3527" s="79" t="str">
        <f>IF(ISERROR(FIND('112'!$M$9,G3527,1)),"",IF((AND(RIGHT(G3527,2)=RIGHT('112'!$M$9,2),B3527&lt;'112'!$K$9,$O3527='112'!$I$6)),"x",""))</f>
        <v/>
      </c>
      <c r="W3527" s="79" t="str">
        <f>IF(AND('341-CT'!$H$9=H3527,OR(LEFT(N3527,3)=$W$7,LEFT(O3527,3)=$W$7)),"x","")</f>
        <v/>
      </c>
      <c r="X3527" s="79" t="str">
        <f>IF(OR(TH!N3527=TH!$X$7,O3527=TH!$X$7),"x","")</f>
        <v/>
      </c>
      <c r="Y3527" s="79" t="str">
        <f>IF(AND(OR(N3527="131",O3527="131"),H3527='131-CT'!$H$9),"x","")</f>
        <v/>
      </c>
      <c r="Z3527" s="79"/>
      <c r="AA3527" s="79" t="str">
        <f>IF(AND(MONTH(E3527)='IN-NX'!$J$5,'IN-NX'!$D$7=D3527),"x","")</f>
        <v/>
      </c>
      <c r="AB3527" s="79" t="str">
        <f>IF(AND(OR(LEFT(TH!N3527,2)="15",LEFT(TH!O3527,2)="15"),LEFT(TH!O3527,3)&lt;&gt;"111",'152-CT'!$J$8=TH!F3527),"x","")</f>
        <v/>
      </c>
      <c r="AC3527" s="79" t="str">
        <f>IF(AND(OR(LEFT(TH!N3527,2)="15",LEFT(TH!O3527,2)="15"),TK!$E$7=TH!F3527),"x","")</f>
        <v/>
      </c>
      <c r="AD3527" s="79" t="str">
        <f>IF(AND(N3527="1521",MONTH(C3527)='BK-NL'!$M$11),"x","")</f>
        <v/>
      </c>
    </row>
    <row r="3528" spans="1:30" ht="16.5" customHeight="1">
      <c r="A3528" s="318" t="str">
        <f>IF(B3528&lt;&gt;"",IF(AND(B3528='IN-TC'!$S$4,OR(TH!N3528="1111",TH!O3528="1111")),TH!D3528,""),"")</f>
        <v/>
      </c>
      <c r="B3528" s="60" t="str">
        <f t="shared" ref="B3528:B3560" si="396">IF(C3528&lt;&gt;"",MONTH(C3528),"")</f>
        <v/>
      </c>
      <c r="C3528" s="61"/>
      <c r="D3528" s="61"/>
      <c r="E3528" s="61"/>
      <c r="F3528" s="64"/>
      <c r="G3528" s="64"/>
      <c r="H3528" s="69"/>
      <c r="I3528" s="385"/>
      <c r="J3528" s="395"/>
      <c r="K3528" s="385"/>
      <c r="L3528" s="392"/>
      <c r="M3528" s="62"/>
      <c r="N3528" s="63"/>
      <c r="O3528" s="63"/>
      <c r="P3528" s="79" t="str">
        <f>IF(AND('331-CT'!$E$7=TH!H3528,OR(N3528="331",O3528="331")),"x","")</f>
        <v/>
      </c>
      <c r="Q3528" s="79" t="str">
        <f>IF(AND(B3528='111'!$L$11,OR($N3528=$Q$7,$O3528=$Q$7)),"x","")</f>
        <v/>
      </c>
      <c r="R3528" s="79" t="str">
        <f>IF(AND($N3528=$Q$7,$B3528&lt;'111'!$L$11),"x","")</f>
        <v/>
      </c>
      <c r="S3528" s="79" t="str">
        <f>IF(AND($O3528=$Q$7,$B3528&lt;'111'!$L$11),"x","")</f>
        <v/>
      </c>
      <c r="T3528" s="79" t="str">
        <f>IF(ISERROR(FIND('112'!$M$9,G3528,1)),"",IF((AND(FIND('112'!$M$9,G3528,1)&gt;=1,B3528='112'!$K$9,OR($N3528='112'!$I$6,$O3528='112'!$I$6))),"x",""))</f>
        <v/>
      </c>
      <c r="U3528" s="79" t="str">
        <f>IF(ISERROR(FIND('112'!$M$9,G3528,1)),"",IF((AND(LEFT(G3528,2)=LEFT('112'!$M$9,2),B3528&lt;'112'!$K$9,$N3528='112'!$I$6)),"x",""))</f>
        <v/>
      </c>
      <c r="V3528" s="79" t="str">
        <f>IF(ISERROR(FIND('112'!$M$9,G3528,1)),"",IF((AND(RIGHT(G3528,2)=RIGHT('112'!$M$9,2),B3528&lt;'112'!$K$9,$O3528='112'!$I$6)),"x",""))</f>
        <v/>
      </c>
      <c r="W3528" s="79" t="str">
        <f>IF(AND('341-CT'!$H$9=H3528,OR(LEFT(N3528,3)=$W$7,LEFT(O3528,3)=$W$7)),"x","")</f>
        <v/>
      </c>
      <c r="X3528" s="79" t="str">
        <f>IF(OR(TH!N3528=TH!$X$7,O3528=TH!$X$7),"x","")</f>
        <v/>
      </c>
      <c r="Y3528" s="79" t="str">
        <f>IF(AND(OR(N3528="131",O3528="131"),H3528='131-CT'!$H$9),"x","")</f>
        <v/>
      </c>
      <c r="Z3528" s="79"/>
      <c r="AA3528" s="79" t="str">
        <f>IF(AND(MONTH(E3528)='IN-NX'!$J$5,'IN-NX'!$D$7=D3528),"x","")</f>
        <v/>
      </c>
      <c r="AB3528" s="79" t="str">
        <f>IF(AND(OR(LEFT(TH!N3528,2)="15",LEFT(TH!O3528,2)="15"),LEFT(TH!O3528,3)&lt;&gt;"111",'152-CT'!$J$8=TH!F3528),"x","")</f>
        <v/>
      </c>
      <c r="AC3528" s="79" t="str">
        <f>IF(AND(OR(LEFT(TH!N3528,2)="15",LEFT(TH!O3528,2)="15"),TK!$E$7=TH!F3528),"x","")</f>
        <v/>
      </c>
      <c r="AD3528" s="79" t="str">
        <f>IF(AND(N3528="1521",MONTH(C3528)='BK-NL'!$M$11),"x","")</f>
        <v/>
      </c>
    </row>
    <row r="3529" spans="1:30" ht="16.5" customHeight="1">
      <c r="A3529" s="318" t="str">
        <f>IF(B3529&lt;&gt;"",IF(AND(B3529='IN-TC'!$S$4,OR(TH!N3529="1111",TH!O3529="1111")),TH!D3529,""),"")</f>
        <v/>
      </c>
      <c r="B3529" s="60" t="str">
        <f t="shared" si="396"/>
        <v/>
      </c>
      <c r="C3529" s="61"/>
      <c r="D3529" s="61"/>
      <c r="E3529" s="61"/>
      <c r="F3529" s="64"/>
      <c r="G3529" s="64"/>
      <c r="H3529" s="69"/>
      <c r="I3529" s="385"/>
      <c r="J3529" s="395"/>
      <c r="K3529" s="385"/>
      <c r="L3529" s="392"/>
      <c r="M3529" s="62"/>
      <c r="N3529" s="63"/>
      <c r="O3529" s="63"/>
      <c r="P3529" s="79" t="str">
        <f>IF(AND('331-CT'!$E$7=TH!H3529,OR(N3529="331",O3529="331")),"x","")</f>
        <v/>
      </c>
      <c r="Q3529" s="79" t="str">
        <f>IF(AND(B3529='111'!$L$11,OR($N3529=$Q$7,$O3529=$Q$7)),"x","")</f>
        <v/>
      </c>
      <c r="R3529" s="79" t="str">
        <f>IF(AND($N3529=$Q$7,$B3529&lt;'111'!$L$11),"x","")</f>
        <v/>
      </c>
      <c r="S3529" s="79" t="str">
        <f>IF(AND($O3529=$Q$7,$B3529&lt;'111'!$L$11),"x","")</f>
        <v/>
      </c>
      <c r="T3529" s="79" t="str">
        <f>IF(ISERROR(FIND('112'!$M$9,G3529,1)),"",IF((AND(FIND('112'!$M$9,G3529,1)&gt;=1,B3529='112'!$K$9,OR($N3529='112'!$I$6,$O3529='112'!$I$6))),"x",""))</f>
        <v/>
      </c>
      <c r="U3529" s="79" t="str">
        <f>IF(ISERROR(FIND('112'!$M$9,G3529,1)),"",IF((AND(LEFT(G3529,2)=LEFT('112'!$M$9,2),B3529&lt;'112'!$K$9,$N3529='112'!$I$6)),"x",""))</f>
        <v/>
      </c>
      <c r="V3529" s="79" t="str">
        <f>IF(ISERROR(FIND('112'!$M$9,G3529,1)),"",IF((AND(RIGHT(G3529,2)=RIGHT('112'!$M$9,2),B3529&lt;'112'!$K$9,$O3529='112'!$I$6)),"x",""))</f>
        <v/>
      </c>
      <c r="W3529" s="79" t="str">
        <f>IF(AND('341-CT'!$H$9=H3529,OR(LEFT(N3529,3)=$W$7,LEFT(O3529,3)=$W$7)),"x","")</f>
        <v/>
      </c>
      <c r="X3529" s="79" t="str">
        <f>IF(OR(TH!N3529=TH!$X$7,O3529=TH!$X$7),"x","")</f>
        <v/>
      </c>
      <c r="Y3529" s="79" t="str">
        <f>IF(AND(OR(N3529="131",O3529="131"),H3529='131-CT'!$H$9),"x","")</f>
        <v/>
      </c>
      <c r="Z3529" s="79"/>
      <c r="AA3529" s="79" t="str">
        <f>IF(AND(MONTH(E3529)='IN-NX'!$J$5,'IN-NX'!$D$7=D3529),"x","")</f>
        <v/>
      </c>
      <c r="AB3529" s="79" t="str">
        <f>IF(AND(OR(LEFT(TH!N3529,2)="15",LEFT(TH!O3529,2)="15"),LEFT(TH!O3529,3)&lt;&gt;"111",'152-CT'!$J$8=TH!F3529),"x","")</f>
        <v/>
      </c>
      <c r="AC3529" s="79" t="str">
        <f>IF(AND(OR(LEFT(TH!N3529,2)="15",LEFT(TH!O3529,2)="15"),TK!$E$7=TH!F3529),"x","")</f>
        <v/>
      </c>
      <c r="AD3529" s="79" t="str">
        <f>IF(AND(N3529="1521",MONTH(C3529)='BK-NL'!$M$11),"x","")</f>
        <v/>
      </c>
    </row>
    <row r="3530" spans="1:30" ht="16.5" customHeight="1">
      <c r="A3530" s="318" t="str">
        <f>IF(B3530&lt;&gt;"",IF(AND(B3530='IN-TC'!$S$4,OR(TH!N3530="1111",TH!O3530="1111")),TH!D3530,""),"")</f>
        <v/>
      </c>
      <c r="B3530" s="60" t="str">
        <f t="shared" si="396"/>
        <v/>
      </c>
      <c r="C3530" s="61"/>
      <c r="D3530" s="61"/>
      <c r="E3530" s="61"/>
      <c r="F3530" s="64"/>
      <c r="G3530" s="64"/>
      <c r="H3530" s="69"/>
      <c r="I3530" s="385"/>
      <c r="J3530" s="395"/>
      <c r="K3530" s="385"/>
      <c r="L3530" s="392"/>
      <c r="M3530" s="62"/>
      <c r="N3530" s="63"/>
      <c r="O3530" s="63"/>
      <c r="P3530" s="79" t="str">
        <f>IF(AND('331-CT'!$E$7=TH!H3530,OR(N3530="331",O3530="331")),"x","")</f>
        <v/>
      </c>
      <c r="Q3530" s="79" t="str">
        <f>IF(AND(B3530='111'!$L$11,OR($N3530=$Q$7,$O3530=$Q$7)),"x","")</f>
        <v/>
      </c>
      <c r="R3530" s="79" t="str">
        <f>IF(AND($N3530=$Q$7,$B3530&lt;'111'!$L$11),"x","")</f>
        <v/>
      </c>
      <c r="S3530" s="79" t="str">
        <f>IF(AND($O3530=$Q$7,$B3530&lt;'111'!$L$11),"x","")</f>
        <v/>
      </c>
      <c r="T3530" s="79" t="str">
        <f>IF(ISERROR(FIND('112'!$M$9,G3530,1)),"",IF((AND(FIND('112'!$M$9,G3530,1)&gt;=1,B3530='112'!$K$9,OR($N3530='112'!$I$6,$O3530='112'!$I$6))),"x",""))</f>
        <v/>
      </c>
      <c r="U3530" s="79" t="str">
        <f>IF(ISERROR(FIND('112'!$M$9,G3530,1)),"",IF((AND(LEFT(G3530,2)=LEFT('112'!$M$9,2),B3530&lt;'112'!$K$9,$N3530='112'!$I$6)),"x",""))</f>
        <v/>
      </c>
      <c r="V3530" s="79" t="str">
        <f>IF(ISERROR(FIND('112'!$M$9,G3530,1)),"",IF((AND(RIGHT(G3530,2)=RIGHT('112'!$M$9,2),B3530&lt;'112'!$K$9,$O3530='112'!$I$6)),"x",""))</f>
        <v/>
      </c>
      <c r="W3530" s="79" t="str">
        <f>IF(AND('341-CT'!$H$9=H3530,OR(LEFT(N3530,3)=$W$7,LEFT(O3530,3)=$W$7)),"x","")</f>
        <v/>
      </c>
      <c r="X3530" s="79" t="str">
        <f>IF(OR(TH!N3530=TH!$X$7,O3530=TH!$X$7),"x","")</f>
        <v/>
      </c>
      <c r="Y3530" s="79" t="str">
        <f>IF(AND(OR(N3530="131",O3530="131"),H3530='131-CT'!$H$9),"x","")</f>
        <v/>
      </c>
      <c r="Z3530" s="79"/>
      <c r="AA3530" s="79" t="str">
        <f>IF(AND(MONTH(E3530)='IN-NX'!$J$5,'IN-NX'!$D$7=D3530),"x","")</f>
        <v/>
      </c>
      <c r="AB3530" s="79" t="str">
        <f>IF(AND(OR(LEFT(TH!N3530,2)="15",LEFT(TH!O3530,2)="15"),LEFT(TH!O3530,3)&lt;&gt;"111",'152-CT'!$J$8=TH!F3530),"x","")</f>
        <v/>
      </c>
      <c r="AC3530" s="79" t="str">
        <f>IF(AND(OR(LEFT(TH!N3530,2)="15",LEFT(TH!O3530,2)="15"),TK!$E$7=TH!F3530),"x","")</f>
        <v/>
      </c>
      <c r="AD3530" s="79" t="str">
        <f>IF(AND(N3530="1521",MONTH(C3530)='BK-NL'!$M$11),"x","")</f>
        <v/>
      </c>
    </row>
    <row r="3531" spans="1:30" ht="16.5" customHeight="1">
      <c r="A3531" s="318" t="str">
        <f>IF(B3531&lt;&gt;"",IF(AND(B3531='IN-TC'!$S$4,OR(TH!N3531="1111",TH!O3531="1111")),TH!D3531,""),"")</f>
        <v/>
      </c>
      <c r="B3531" s="60" t="str">
        <f t="shared" si="396"/>
        <v/>
      </c>
      <c r="C3531" s="61"/>
      <c r="D3531" s="61"/>
      <c r="E3531" s="61"/>
      <c r="F3531" s="69"/>
      <c r="G3531" s="64"/>
      <c r="H3531" s="69"/>
      <c r="I3531" s="387"/>
      <c r="J3531" s="394"/>
      <c r="K3531" s="387"/>
      <c r="L3531" s="394"/>
      <c r="M3531" s="62"/>
      <c r="N3531" s="63"/>
      <c r="O3531" s="63"/>
      <c r="P3531" s="79" t="str">
        <f>IF(AND('331-CT'!$E$7=TH!H3531,OR(N3531="331",O3531="331")),"x","")</f>
        <v/>
      </c>
      <c r="Q3531" s="79" t="str">
        <f>IF(AND(B3531='111'!$L$11,OR($N3531=$Q$7,$O3531=$Q$7)),"x","")</f>
        <v/>
      </c>
      <c r="R3531" s="79" t="str">
        <f>IF(AND($N3531=$Q$7,$B3531&lt;'111'!$L$11),"x","")</f>
        <v/>
      </c>
      <c r="S3531" s="79" t="str">
        <f>IF(AND($O3531=$Q$7,$B3531&lt;'111'!$L$11),"x","")</f>
        <v/>
      </c>
      <c r="T3531" s="79" t="str">
        <f>IF(ISERROR(FIND('112'!$M$9,G3531,1)),"",IF((AND(FIND('112'!$M$9,G3531,1)&gt;=1,B3531='112'!$K$9,OR($N3531='112'!$I$6,$O3531='112'!$I$6))),"x",""))</f>
        <v/>
      </c>
      <c r="U3531" s="79" t="str">
        <f>IF(ISERROR(FIND('112'!$M$9,G3531,1)),"",IF((AND(LEFT(G3531,2)=LEFT('112'!$M$9,2),B3531&lt;'112'!$K$9,$N3531='112'!$I$6)),"x",""))</f>
        <v/>
      </c>
      <c r="V3531" s="79" t="str">
        <f>IF(ISERROR(FIND('112'!$M$9,G3531,1)),"",IF((AND(RIGHT(G3531,2)=RIGHT('112'!$M$9,2),B3531&lt;'112'!$K$9,$O3531='112'!$I$6)),"x",""))</f>
        <v/>
      </c>
      <c r="W3531" s="79" t="str">
        <f>IF(AND('341-CT'!$H$9=H3531,OR(LEFT(N3531,3)=$W$7,LEFT(O3531,3)=$W$7)),"x","")</f>
        <v/>
      </c>
      <c r="X3531" s="79" t="str">
        <f>IF(OR(TH!N3531=TH!$X$7,O3531=TH!$X$7),"x","")</f>
        <v/>
      </c>
      <c r="Y3531" s="79" t="str">
        <f>IF(AND(OR(N3531="131",O3531="131"),H3531='131-CT'!$H$9),"x","")</f>
        <v/>
      </c>
      <c r="Z3531" s="79"/>
      <c r="AA3531" s="79" t="str">
        <f>IF(AND(MONTH(E3531)='IN-NX'!$J$5,'IN-NX'!$D$7=D3531),"x","")</f>
        <v/>
      </c>
      <c r="AB3531" s="79" t="str">
        <f>IF(AND(OR(LEFT(TH!N3531,2)="15",LEFT(TH!O3531,2)="15"),LEFT(TH!O3531,3)&lt;&gt;"111",'152-CT'!$J$8=TH!F3531),"x","")</f>
        <v/>
      </c>
      <c r="AC3531" s="79" t="str">
        <f>IF(AND(OR(LEFT(TH!N3531,2)="15",LEFT(TH!O3531,2)="15"),TK!$E$7=TH!F3531),"x","")</f>
        <v/>
      </c>
      <c r="AD3531" s="79" t="str">
        <f>IF(AND(N3531="1521",MONTH(C3531)='BK-NL'!$M$11),"x","")</f>
        <v/>
      </c>
    </row>
    <row r="3532" spans="1:30" ht="16.5" customHeight="1">
      <c r="A3532" s="318" t="str">
        <f>IF(B3532&lt;&gt;"",IF(AND(B3532='IN-TC'!$S$4,OR(TH!N3532="1111",TH!O3532="1111")),TH!D3532,""),"")</f>
        <v/>
      </c>
      <c r="B3532" s="60" t="str">
        <f t="shared" si="396"/>
        <v/>
      </c>
      <c r="C3532" s="61"/>
      <c r="D3532" s="61"/>
      <c r="E3532" s="61"/>
      <c r="F3532" s="69"/>
      <c r="G3532" s="64"/>
      <c r="H3532" s="69"/>
      <c r="I3532" s="387"/>
      <c r="J3532" s="394"/>
      <c r="K3532" s="387"/>
      <c r="L3532" s="394"/>
      <c r="M3532" s="62"/>
      <c r="N3532" s="63"/>
      <c r="O3532" s="63"/>
      <c r="P3532" s="79" t="str">
        <f>IF(AND('331-CT'!$E$7=TH!H3532,OR(N3532="331",O3532="331")),"x","")</f>
        <v/>
      </c>
      <c r="Q3532" s="79" t="str">
        <f>IF(AND(B3532='111'!$L$11,OR($N3532=$Q$7,$O3532=$Q$7)),"x","")</f>
        <v/>
      </c>
      <c r="R3532" s="79" t="str">
        <f>IF(AND($N3532=$Q$7,$B3532&lt;'111'!$L$11),"x","")</f>
        <v/>
      </c>
      <c r="S3532" s="79" t="str">
        <f>IF(AND($O3532=$Q$7,$B3532&lt;'111'!$L$11),"x","")</f>
        <v/>
      </c>
      <c r="T3532" s="79" t="str">
        <f>IF(ISERROR(FIND('112'!$M$9,G3532,1)),"",IF((AND(FIND('112'!$M$9,G3532,1)&gt;=1,B3532='112'!$K$9,OR($N3532='112'!$I$6,$O3532='112'!$I$6))),"x",""))</f>
        <v/>
      </c>
      <c r="U3532" s="79" t="str">
        <f>IF(ISERROR(FIND('112'!$M$9,G3532,1)),"",IF((AND(LEFT(G3532,2)=LEFT('112'!$M$9,2),B3532&lt;'112'!$K$9,$N3532='112'!$I$6)),"x",""))</f>
        <v/>
      </c>
      <c r="V3532" s="79" t="str">
        <f>IF(ISERROR(FIND('112'!$M$9,G3532,1)),"",IF((AND(RIGHT(G3532,2)=RIGHT('112'!$M$9,2),B3532&lt;'112'!$K$9,$O3532='112'!$I$6)),"x",""))</f>
        <v/>
      </c>
      <c r="W3532" s="79" t="str">
        <f>IF(AND('341-CT'!$H$9=H3532,OR(LEFT(N3532,3)=$W$7,LEFT(O3532,3)=$W$7)),"x","")</f>
        <v/>
      </c>
      <c r="X3532" s="79" t="str">
        <f>IF(OR(TH!N3532=TH!$X$7,O3532=TH!$X$7),"x","")</f>
        <v/>
      </c>
      <c r="Y3532" s="79" t="str">
        <f>IF(AND(OR(N3532="131",O3532="131"),H3532='131-CT'!$H$9),"x","")</f>
        <v/>
      </c>
      <c r="Z3532" s="79"/>
      <c r="AA3532" s="79" t="str">
        <f>IF(AND(MONTH(E3532)='IN-NX'!$J$5,'IN-NX'!$D$7=D3532),"x","")</f>
        <v/>
      </c>
      <c r="AB3532" s="79" t="str">
        <f>IF(AND(OR(LEFT(TH!N3532,2)="15",LEFT(TH!O3532,2)="15"),LEFT(TH!O3532,3)&lt;&gt;"111",'152-CT'!$J$8=TH!F3532),"x","")</f>
        <v/>
      </c>
      <c r="AC3532" s="79" t="str">
        <f>IF(AND(OR(LEFT(TH!N3532,2)="15",LEFT(TH!O3532,2)="15"),TK!$E$7=TH!F3532),"x","")</f>
        <v/>
      </c>
      <c r="AD3532" s="79" t="str">
        <f>IF(AND(N3532="1521",MONTH(C3532)='BK-NL'!$M$11),"x","")</f>
        <v/>
      </c>
    </row>
    <row r="3533" spans="1:30" ht="16.5" customHeight="1">
      <c r="A3533" s="318" t="str">
        <f>IF(B3533&lt;&gt;"",IF(AND(B3533='IN-TC'!$S$4,OR(TH!N3533="1111",TH!O3533="1111")),TH!D3533,""),"")</f>
        <v/>
      </c>
      <c r="B3533" s="60" t="str">
        <f t="shared" si="396"/>
        <v/>
      </c>
      <c r="C3533" s="61"/>
      <c r="D3533" s="61"/>
      <c r="E3533" s="61"/>
      <c r="F3533" s="69"/>
      <c r="G3533" s="64"/>
      <c r="H3533" s="69"/>
      <c r="I3533" s="387"/>
      <c r="J3533" s="394"/>
      <c r="K3533" s="387"/>
      <c r="L3533" s="394"/>
      <c r="M3533" s="62"/>
      <c r="N3533" s="63"/>
      <c r="O3533" s="63"/>
      <c r="P3533" s="79" t="str">
        <f>IF(AND('331-CT'!$E$7=TH!H3533,OR(N3533="331",O3533="331")),"x","")</f>
        <v/>
      </c>
      <c r="Q3533" s="79" t="str">
        <f>IF(AND(B3533='111'!$L$11,OR($N3533=$Q$7,$O3533=$Q$7)),"x","")</f>
        <v/>
      </c>
      <c r="R3533" s="79" t="str">
        <f>IF(AND($N3533=$Q$7,$B3533&lt;'111'!$L$11),"x","")</f>
        <v/>
      </c>
      <c r="S3533" s="79" t="str">
        <f>IF(AND($O3533=$Q$7,$B3533&lt;'111'!$L$11),"x","")</f>
        <v/>
      </c>
      <c r="T3533" s="79" t="str">
        <f>IF(ISERROR(FIND('112'!$M$9,G3533,1)),"",IF((AND(FIND('112'!$M$9,G3533,1)&gt;=1,B3533='112'!$K$9,OR($N3533='112'!$I$6,$O3533='112'!$I$6))),"x",""))</f>
        <v/>
      </c>
      <c r="U3533" s="79" t="str">
        <f>IF(ISERROR(FIND('112'!$M$9,G3533,1)),"",IF((AND(LEFT(G3533,2)=LEFT('112'!$M$9,2),B3533&lt;'112'!$K$9,$N3533='112'!$I$6)),"x",""))</f>
        <v/>
      </c>
      <c r="V3533" s="79" t="str">
        <f>IF(ISERROR(FIND('112'!$M$9,G3533,1)),"",IF((AND(RIGHT(G3533,2)=RIGHT('112'!$M$9,2),B3533&lt;'112'!$K$9,$O3533='112'!$I$6)),"x",""))</f>
        <v/>
      </c>
      <c r="W3533" s="79" t="str">
        <f>IF(AND('341-CT'!$H$9=H3533,OR(LEFT(N3533,3)=$W$7,LEFT(O3533,3)=$W$7)),"x","")</f>
        <v/>
      </c>
      <c r="X3533" s="79" t="str">
        <f>IF(OR(TH!N3533=TH!$X$7,O3533=TH!$X$7),"x","")</f>
        <v/>
      </c>
      <c r="Y3533" s="79" t="str">
        <f>IF(AND(OR(N3533="131",O3533="131"),H3533='131-CT'!$H$9),"x","")</f>
        <v/>
      </c>
      <c r="Z3533" s="79"/>
      <c r="AA3533" s="79" t="str">
        <f>IF(AND(MONTH(E3533)='IN-NX'!$J$5,'IN-NX'!$D$7=D3533),"x","")</f>
        <v/>
      </c>
      <c r="AB3533" s="79" t="str">
        <f>IF(AND(OR(LEFT(TH!N3533,2)="15",LEFT(TH!O3533,2)="15"),LEFT(TH!O3533,3)&lt;&gt;"111",'152-CT'!$J$8=TH!F3533),"x","")</f>
        <v/>
      </c>
      <c r="AC3533" s="79" t="str">
        <f>IF(AND(OR(LEFT(TH!N3533,2)="15",LEFT(TH!O3533,2)="15"),TK!$E$7=TH!F3533),"x","")</f>
        <v/>
      </c>
      <c r="AD3533" s="79" t="str">
        <f>IF(AND(N3533="1521",MONTH(C3533)='BK-NL'!$M$11),"x","")</f>
        <v/>
      </c>
    </row>
    <row r="3534" spans="1:30" ht="16.5" customHeight="1">
      <c r="A3534" s="318" t="str">
        <f>IF(B3534&lt;&gt;"",IF(AND(B3534='IN-TC'!$S$4,OR(TH!N3534="1111",TH!O3534="1111")),TH!D3534,""),"")</f>
        <v/>
      </c>
      <c r="B3534" s="60" t="str">
        <f t="shared" si="396"/>
        <v/>
      </c>
      <c r="C3534" s="61"/>
      <c r="D3534" s="61"/>
      <c r="E3534" s="61"/>
      <c r="F3534" s="64"/>
      <c r="G3534" s="64"/>
      <c r="H3534" s="69"/>
      <c r="I3534" s="387"/>
      <c r="J3534" s="395"/>
      <c r="K3534" s="387"/>
      <c r="L3534" s="394"/>
      <c r="M3534" s="62"/>
      <c r="N3534" s="63"/>
      <c r="O3534" s="63"/>
      <c r="P3534" s="79" t="str">
        <f>IF(AND('331-CT'!$E$7=TH!H3534,OR(N3534="331",O3534="331")),"x","")</f>
        <v/>
      </c>
      <c r="Q3534" s="79" t="str">
        <f>IF(AND(B3534='111'!$L$11,OR($N3534=$Q$7,$O3534=$Q$7)),"x","")</f>
        <v/>
      </c>
      <c r="R3534" s="79" t="str">
        <f>IF(AND($N3534=$Q$7,$B3534&lt;'111'!$L$11),"x","")</f>
        <v/>
      </c>
      <c r="S3534" s="79" t="str">
        <f>IF(AND($O3534=$Q$7,$B3534&lt;'111'!$L$11),"x","")</f>
        <v/>
      </c>
      <c r="T3534" s="79" t="str">
        <f>IF(ISERROR(FIND('112'!$M$9,G3534,1)),"",IF((AND(FIND('112'!$M$9,G3534,1)&gt;=1,B3534='112'!$K$9,OR($N3534='112'!$I$6,$O3534='112'!$I$6))),"x",""))</f>
        <v/>
      </c>
      <c r="U3534" s="79" t="str">
        <f>IF(ISERROR(FIND('112'!$M$9,G3534,1)),"",IF((AND(LEFT(G3534,2)=LEFT('112'!$M$9,2),B3534&lt;'112'!$K$9,$N3534='112'!$I$6)),"x",""))</f>
        <v/>
      </c>
      <c r="V3534" s="79" t="str">
        <f>IF(ISERROR(FIND('112'!$M$9,G3534,1)),"",IF((AND(RIGHT(G3534,2)=RIGHT('112'!$M$9,2),B3534&lt;'112'!$K$9,$O3534='112'!$I$6)),"x",""))</f>
        <v/>
      </c>
      <c r="W3534" s="79" t="str">
        <f>IF(AND('341-CT'!$H$9=H3534,OR(LEFT(N3534,3)=$W$7,LEFT(O3534,3)=$W$7)),"x","")</f>
        <v/>
      </c>
      <c r="X3534" s="79" t="str">
        <f>IF(OR(TH!N3534=TH!$X$7,O3534=TH!$X$7),"x","")</f>
        <v/>
      </c>
      <c r="Y3534" s="79" t="str">
        <f>IF(AND(OR(N3534="131",O3534="131"),H3534='131-CT'!$H$9),"x","")</f>
        <v/>
      </c>
      <c r="Z3534" s="79"/>
      <c r="AA3534" s="79" t="str">
        <f>IF(AND(MONTH(E3534)='IN-NX'!$J$5,'IN-NX'!$D$7=D3534),"x","")</f>
        <v/>
      </c>
      <c r="AB3534" s="79" t="str">
        <f>IF(AND(OR(LEFT(TH!N3534,2)="15",LEFT(TH!O3534,2)="15"),LEFT(TH!O3534,3)&lt;&gt;"111",'152-CT'!$J$8=TH!F3534),"x","")</f>
        <v/>
      </c>
      <c r="AC3534" s="79" t="str">
        <f>IF(AND(OR(LEFT(TH!N3534,2)="15",LEFT(TH!O3534,2)="15"),TK!$E$7=TH!F3534),"x","")</f>
        <v/>
      </c>
      <c r="AD3534" s="79" t="str">
        <f>IF(AND(N3534="1521",MONTH(C3534)='BK-NL'!$M$11),"x","")</f>
        <v/>
      </c>
    </row>
    <row r="3535" spans="1:30" s="313" customFormat="1" ht="16.5" customHeight="1">
      <c r="A3535" s="318" t="str">
        <f>IF(B3535&lt;&gt;"",IF(AND(B3535='IN-TC'!$S$4,OR(TH!N3535="1111",TH!O3535="1111")),TH!D3535,""),"")</f>
        <v/>
      </c>
      <c r="B3535" s="60" t="str">
        <f t="shared" si="396"/>
        <v/>
      </c>
      <c r="C3535" s="61"/>
      <c r="D3535" s="61"/>
      <c r="E3535" s="61"/>
      <c r="F3535" s="64"/>
      <c r="G3535" s="64"/>
      <c r="H3535" s="69"/>
      <c r="I3535" s="385"/>
      <c r="J3535" s="395"/>
      <c r="K3535" s="385"/>
      <c r="L3535" s="392"/>
      <c r="M3535" s="62"/>
      <c r="N3535" s="63"/>
      <c r="O3535" s="63"/>
      <c r="P3535" s="79" t="str">
        <f>IF(AND('331-CT'!$E$7=TH!H3535,OR(N3535="331",O3535="331")),"x","")</f>
        <v/>
      </c>
      <c r="Q3535" s="79" t="str">
        <f>IF(AND(B3535='111'!$L$11,OR($N3535=$Q$7,$O3535=$Q$7)),"x","")</f>
        <v/>
      </c>
      <c r="R3535" s="79" t="str">
        <f>IF(AND($N3535=$Q$7,$B3535&lt;'111'!$L$11),"x","")</f>
        <v/>
      </c>
      <c r="S3535" s="79" t="str">
        <f>IF(AND($O3535=$Q$7,$B3535&lt;'111'!$L$11),"x","")</f>
        <v/>
      </c>
      <c r="T3535" s="79" t="str">
        <f>IF(ISERROR(FIND('112'!$M$9,G3535,1)),"",IF((AND(FIND('112'!$M$9,G3535,1)&gt;=1,B3535='112'!$K$9,OR($N3535='112'!$I$6,$O3535='112'!$I$6))),"x",""))</f>
        <v/>
      </c>
      <c r="U3535" s="79" t="str">
        <f>IF(ISERROR(FIND('112'!$M$9,G3535,1)),"",IF((AND(LEFT(G3535,2)=LEFT('112'!$M$9,2),B3535&lt;'112'!$K$9,$N3535='112'!$I$6)),"x",""))</f>
        <v/>
      </c>
      <c r="V3535" s="79" t="str">
        <f>IF(ISERROR(FIND('112'!$M$9,G3535,1)),"",IF((AND(RIGHT(G3535,2)=RIGHT('112'!$M$9,2),B3535&lt;'112'!$K$9,$O3535='112'!$I$6)),"x",""))</f>
        <v/>
      </c>
      <c r="W3535" s="79" t="str">
        <f>IF(AND('341-CT'!$H$9=H3535,OR(LEFT(N3535,3)=$W$7,LEFT(O3535,3)=$W$7)),"x","")</f>
        <v/>
      </c>
      <c r="X3535" s="79" t="str">
        <f>IF(OR(TH!N3535=TH!$X$7,O3535=TH!$X$7),"x","")</f>
        <v/>
      </c>
      <c r="Y3535" s="79" t="str">
        <f>IF(AND(OR(N3535="131",O3535="131"),H3535='131-CT'!$H$9),"x","")</f>
        <v/>
      </c>
      <c r="Z3535" s="79"/>
      <c r="AA3535" s="79" t="str">
        <f>IF(AND(MONTH(E3535)='IN-NX'!$J$5,'IN-NX'!$D$7=D3535),"x","")</f>
        <v/>
      </c>
      <c r="AB3535" s="79" t="str">
        <f>IF(AND(OR(LEFT(TH!N3535,2)="15",LEFT(TH!O3535,2)="15"),LEFT(TH!O3535,3)&lt;&gt;"111",'152-CT'!$J$8=TH!F3535),"x","")</f>
        <v/>
      </c>
      <c r="AC3535" s="79" t="str">
        <f>IF(AND(OR(LEFT(TH!N3535,2)="15",LEFT(TH!O3535,2)="15"),TK!$E$7=TH!F3535),"x","")</f>
        <v/>
      </c>
      <c r="AD3535" s="79" t="str">
        <f>IF(AND(N3535="1521",MONTH(C3535)='BK-NL'!$M$11),"x","")</f>
        <v/>
      </c>
    </row>
    <row r="3536" spans="1:30" s="313" customFormat="1" ht="16.5" customHeight="1">
      <c r="A3536" s="318"/>
      <c r="B3536" s="60" t="str">
        <f t="shared" si="396"/>
        <v/>
      </c>
      <c r="C3536" s="61"/>
      <c r="D3536" s="61"/>
      <c r="E3536" s="61"/>
      <c r="F3536" s="64"/>
      <c r="G3536" s="64"/>
      <c r="H3536" s="69"/>
      <c r="I3536" s="385"/>
      <c r="J3536" s="395"/>
      <c r="K3536" s="385"/>
      <c r="L3536" s="392"/>
      <c r="M3536" s="62"/>
      <c r="N3536" s="63"/>
      <c r="O3536" s="63"/>
      <c r="P3536" s="79" t="str">
        <f>IF(AND('331-CT'!$E$7=TH!H3536,OR(N3536="331",O3536="331")),"x","")</f>
        <v/>
      </c>
      <c r="Q3536" s="79" t="str">
        <f>IF(AND(B3536='111'!$L$11,OR($N3536=$Q$7,$O3536=$Q$7)),"x","")</f>
        <v/>
      </c>
      <c r="R3536" s="79" t="str">
        <f>IF(AND($N3536=$Q$7,$B3536&lt;'111'!$L$11),"x","")</f>
        <v/>
      </c>
      <c r="S3536" s="79" t="str">
        <f>IF(AND($O3536=$Q$7,$B3536&lt;'111'!$L$11),"x","")</f>
        <v/>
      </c>
      <c r="T3536" s="79" t="str">
        <f>IF(ISERROR(FIND('112'!$M$9,G3536,1)),"",IF((AND(FIND('112'!$M$9,G3536,1)&gt;=1,B3536='112'!$K$9,OR($N3536='112'!$I$6,$O3536='112'!$I$6))),"x",""))</f>
        <v/>
      </c>
      <c r="U3536" s="79" t="str">
        <f>IF(ISERROR(FIND('112'!$M$9,G3536,1)),"",IF((AND(LEFT(G3536,2)=LEFT('112'!$M$9,2),B3536&lt;'112'!$K$9,$N3536='112'!$I$6)),"x",""))</f>
        <v/>
      </c>
      <c r="V3536" s="79" t="str">
        <f>IF(ISERROR(FIND('112'!$M$9,G3536,1)),"",IF((AND(RIGHT(G3536,2)=RIGHT('112'!$M$9,2),B3536&lt;'112'!$K$9,$O3536='112'!$I$6)),"x",""))</f>
        <v/>
      </c>
      <c r="W3536" s="79" t="str">
        <f>IF(AND('341-CT'!$H$9=H3536,OR(LEFT(N3536,3)=$W$7,LEFT(O3536,3)=$W$7)),"x","")</f>
        <v/>
      </c>
      <c r="X3536" s="79" t="str">
        <f>IF(OR(TH!N3536=TH!$X$7,O3536=TH!$X$7),"x","")</f>
        <v/>
      </c>
      <c r="Y3536" s="79" t="str">
        <f>IF(AND(OR(N3536="131",O3536="131"),H3536='131-CT'!$H$9),"x","")</f>
        <v/>
      </c>
      <c r="Z3536" s="79"/>
      <c r="AA3536" s="79" t="str">
        <f>IF(AND(MONTH(E3536)='IN-NX'!$J$5,'IN-NX'!$D$7=D3536),"x","")</f>
        <v/>
      </c>
      <c r="AB3536" s="79" t="str">
        <f>IF(AND(OR(LEFT(TH!N3536,2)="15",LEFT(TH!O3536,2)="15"),LEFT(TH!O3536,3)&lt;&gt;"111",'152-CT'!$J$8=TH!F3536),"x","")</f>
        <v/>
      </c>
      <c r="AC3536" s="79" t="str">
        <f>IF(AND(OR(LEFT(TH!N3536,2)="15",LEFT(TH!O3536,2)="15"),TK!$E$7=TH!F3536),"x","")</f>
        <v/>
      </c>
      <c r="AD3536" s="79" t="str">
        <f>IF(AND(N3536="1521",MONTH(C3536)='BK-NL'!$M$11),"x","")</f>
        <v/>
      </c>
    </row>
    <row r="3537" spans="1:30" s="313" customFormat="1" ht="16.5" customHeight="1">
      <c r="A3537" s="318"/>
      <c r="B3537" s="60" t="str">
        <f t="shared" si="396"/>
        <v/>
      </c>
      <c r="C3537" s="61"/>
      <c r="D3537" s="61"/>
      <c r="E3537" s="61"/>
      <c r="F3537" s="64"/>
      <c r="G3537" s="64"/>
      <c r="H3537" s="69"/>
      <c r="I3537" s="385"/>
      <c r="J3537" s="395"/>
      <c r="K3537" s="385"/>
      <c r="L3537" s="392"/>
      <c r="M3537" s="62"/>
      <c r="N3537" s="63"/>
      <c r="O3537" s="63"/>
      <c r="P3537" s="79" t="str">
        <f>IF(AND('331-CT'!$E$7=TH!H3537,OR(N3537="331",O3537="331")),"x","")</f>
        <v/>
      </c>
      <c r="Q3537" s="79" t="str">
        <f>IF(AND(B3537='111'!$L$11,OR($N3537=$Q$7,$O3537=$Q$7)),"x","")</f>
        <v/>
      </c>
      <c r="R3537" s="79" t="str">
        <f>IF(AND($N3537=$Q$7,$B3537&lt;'111'!$L$11),"x","")</f>
        <v/>
      </c>
      <c r="S3537" s="79" t="str">
        <f>IF(AND($O3537=$Q$7,$B3537&lt;'111'!$L$11),"x","")</f>
        <v/>
      </c>
      <c r="T3537" s="79" t="str">
        <f>IF(ISERROR(FIND('112'!$M$9,G3537,1)),"",IF((AND(FIND('112'!$M$9,G3537,1)&gt;=1,B3537='112'!$K$9,OR($N3537='112'!$I$6,$O3537='112'!$I$6))),"x",""))</f>
        <v/>
      </c>
      <c r="U3537" s="79" t="str">
        <f>IF(ISERROR(FIND('112'!$M$9,G3537,1)),"",IF((AND(LEFT(G3537,2)=LEFT('112'!$M$9,2),B3537&lt;'112'!$K$9,$N3537='112'!$I$6)),"x",""))</f>
        <v/>
      </c>
      <c r="V3537" s="79" t="str">
        <f>IF(ISERROR(FIND('112'!$M$9,G3537,1)),"",IF((AND(RIGHT(G3537,2)=RIGHT('112'!$M$9,2),B3537&lt;'112'!$K$9,$O3537='112'!$I$6)),"x",""))</f>
        <v/>
      </c>
      <c r="W3537" s="79" t="str">
        <f>IF(AND('341-CT'!$H$9=H3537,OR(LEFT(N3537,3)=$W$7,LEFT(O3537,3)=$W$7)),"x","")</f>
        <v/>
      </c>
      <c r="X3537" s="79" t="str">
        <f>IF(OR(TH!N3537=TH!$X$7,O3537=TH!$X$7),"x","")</f>
        <v/>
      </c>
      <c r="Y3537" s="79" t="str">
        <f>IF(AND(OR(N3537="131",O3537="131"),H3537='131-CT'!$H$9),"x","")</f>
        <v/>
      </c>
      <c r="Z3537" s="79"/>
      <c r="AA3537" s="79" t="str">
        <f>IF(AND(MONTH(E3537)='IN-NX'!$J$5,'IN-NX'!$D$7=D3537),"x","")</f>
        <v/>
      </c>
      <c r="AB3537" s="79" t="str">
        <f>IF(AND(OR(LEFT(TH!N3537,2)="15",LEFT(TH!O3537,2)="15"),LEFT(TH!O3537,3)&lt;&gt;"111",'152-CT'!$J$8=TH!F3537),"x","")</f>
        <v/>
      </c>
      <c r="AC3537" s="79" t="str">
        <f>IF(AND(OR(LEFT(TH!N3537,2)="15",LEFT(TH!O3537,2)="15"),TK!$E$7=TH!F3537),"x","")</f>
        <v/>
      </c>
      <c r="AD3537" s="79" t="str">
        <f>IF(AND(N3537="1521",MONTH(C3537)='BK-NL'!$M$11),"x","")</f>
        <v/>
      </c>
    </row>
    <row r="3538" spans="1:30" s="313" customFormat="1" ht="16.5" customHeight="1">
      <c r="A3538" s="318"/>
      <c r="B3538" s="60" t="str">
        <f t="shared" si="396"/>
        <v/>
      </c>
      <c r="C3538" s="61"/>
      <c r="D3538" s="301"/>
      <c r="E3538" s="61"/>
      <c r="F3538" s="64"/>
      <c r="G3538" s="64"/>
      <c r="H3538" s="303"/>
      <c r="I3538" s="385"/>
      <c r="J3538" s="395"/>
      <c r="K3538" s="385"/>
      <c r="L3538" s="392"/>
      <c r="M3538" s="62"/>
      <c r="N3538" s="63"/>
      <c r="O3538" s="63"/>
      <c r="P3538" s="79" t="str">
        <f>IF(AND('331-CT'!$E$7=TH!H3538,OR(N3538="331",O3538="331")),"x","")</f>
        <v/>
      </c>
      <c r="Q3538" s="79" t="str">
        <f>IF(AND(B3538='111'!$L$11,OR($N3538=$Q$7,$O3538=$Q$7)),"x","")</f>
        <v/>
      </c>
      <c r="R3538" s="79" t="str">
        <f>IF(AND($N3538=$Q$7,$B3538&lt;'111'!$L$11),"x","")</f>
        <v/>
      </c>
      <c r="S3538" s="79" t="str">
        <f>IF(AND($O3538=$Q$7,$B3538&lt;'111'!$L$11),"x","")</f>
        <v/>
      </c>
      <c r="T3538" s="79" t="str">
        <f>IF(ISERROR(FIND('112'!$M$9,G3538,1)),"",IF((AND(FIND('112'!$M$9,G3538,1)&gt;=1,B3538='112'!$K$9,OR($N3538='112'!$I$6,$O3538='112'!$I$6))),"x",""))</f>
        <v/>
      </c>
      <c r="U3538" s="79" t="str">
        <f>IF(ISERROR(FIND('112'!$M$9,G3538,1)),"",IF((AND(LEFT(G3538,2)=LEFT('112'!$M$9,2),B3538&lt;'112'!$K$9,$N3538='112'!$I$6)),"x",""))</f>
        <v/>
      </c>
      <c r="V3538" s="79" t="str">
        <f>IF(ISERROR(FIND('112'!$M$9,G3538,1)),"",IF((AND(RIGHT(G3538,2)=RIGHT('112'!$M$9,2),B3538&lt;'112'!$K$9,$O3538='112'!$I$6)),"x",""))</f>
        <v/>
      </c>
      <c r="W3538" s="79" t="str">
        <f>IF(AND('341-CT'!$H$9=H3538,OR(LEFT(N3538,3)=$W$7,LEFT(O3538,3)=$W$7)),"x","")</f>
        <v/>
      </c>
      <c r="X3538" s="79" t="str">
        <f>IF(OR(TH!N3538=TH!$X$7,O3538=TH!$X$7),"x","")</f>
        <v/>
      </c>
      <c r="Y3538" s="79" t="str">
        <f>IF(AND(OR(N3538="131",O3538="131"),H3538='131-CT'!$H$9),"x","")</f>
        <v/>
      </c>
      <c r="Z3538" s="79"/>
      <c r="AA3538" s="79" t="str">
        <f>IF(AND(MONTH(E3538)='IN-NX'!$J$5,'IN-NX'!$D$7=D3538),"x","")</f>
        <v/>
      </c>
      <c r="AB3538" s="79" t="str">
        <f>IF(AND(OR(LEFT(TH!N3538,2)="15",LEFT(TH!O3538,2)="15"),LEFT(TH!O3538,3)&lt;&gt;"111",'152-CT'!$J$8=TH!F3538),"x","")</f>
        <v/>
      </c>
      <c r="AC3538" s="79" t="str">
        <f>IF(AND(OR(LEFT(TH!N3538,2)="15",LEFT(TH!O3538,2)="15"),TK!$E$7=TH!F3538),"x","")</f>
        <v/>
      </c>
      <c r="AD3538" s="79" t="str">
        <f>IF(AND(N3538="1521",MONTH(C3538)='BK-NL'!$M$11),"x","")</f>
        <v/>
      </c>
    </row>
    <row r="3539" spans="1:30" s="313" customFormat="1" ht="16.5" customHeight="1">
      <c r="A3539" s="318"/>
      <c r="B3539" s="60" t="str">
        <f t="shared" si="396"/>
        <v/>
      </c>
      <c r="C3539" s="61"/>
      <c r="D3539" s="61"/>
      <c r="E3539" s="61"/>
      <c r="F3539" s="64"/>
      <c r="G3539" s="64"/>
      <c r="H3539" s="69"/>
      <c r="I3539" s="385"/>
      <c r="J3539" s="395"/>
      <c r="K3539" s="385"/>
      <c r="L3539" s="392"/>
      <c r="M3539" s="62"/>
      <c r="N3539" s="63"/>
      <c r="O3539" s="63"/>
      <c r="P3539" s="79" t="str">
        <f>IF(AND('331-CT'!$E$7=TH!H3539,OR(N3539="331",O3539="331")),"x","")</f>
        <v/>
      </c>
      <c r="Q3539" s="79" t="str">
        <f>IF(AND(B3539='111'!$L$11,OR($N3539=$Q$7,$O3539=$Q$7)),"x","")</f>
        <v/>
      </c>
      <c r="R3539" s="79" t="str">
        <f>IF(AND($N3539=$Q$7,$B3539&lt;'111'!$L$11),"x","")</f>
        <v/>
      </c>
      <c r="S3539" s="79" t="str">
        <f>IF(AND($O3539=$Q$7,$B3539&lt;'111'!$L$11),"x","")</f>
        <v/>
      </c>
      <c r="T3539" s="79" t="str">
        <f>IF(ISERROR(FIND('112'!$M$9,G3539,1)),"",IF((AND(FIND('112'!$M$9,G3539,1)&gt;=1,B3539='112'!$K$9,OR($N3539='112'!$I$6,$O3539='112'!$I$6))),"x",""))</f>
        <v/>
      </c>
      <c r="U3539" s="79" t="str">
        <f>IF(ISERROR(FIND('112'!$M$9,G3539,1)),"",IF((AND(LEFT(G3539,2)=LEFT('112'!$M$9,2),B3539&lt;'112'!$K$9,$N3539='112'!$I$6)),"x",""))</f>
        <v/>
      </c>
      <c r="V3539" s="79" t="str">
        <f>IF(ISERROR(FIND('112'!$M$9,G3539,1)),"",IF((AND(RIGHT(G3539,2)=RIGHT('112'!$M$9,2),B3539&lt;'112'!$K$9,$O3539='112'!$I$6)),"x",""))</f>
        <v/>
      </c>
      <c r="W3539" s="79" t="str">
        <f>IF(AND('341-CT'!$H$9=H3539,OR(LEFT(N3539,3)=$W$7,LEFT(O3539,3)=$W$7)),"x","")</f>
        <v/>
      </c>
      <c r="X3539" s="79" t="str">
        <f>IF(OR(TH!N3539=TH!$X$7,O3539=TH!$X$7),"x","")</f>
        <v/>
      </c>
      <c r="Y3539" s="79" t="str">
        <f>IF(AND(OR(N3539="131",O3539="131"),H3539='131-CT'!$H$9),"x","")</f>
        <v/>
      </c>
      <c r="Z3539" s="79"/>
      <c r="AA3539" s="79" t="str">
        <f>IF(AND(MONTH(E3539)='IN-NX'!$J$5,'IN-NX'!$D$7=D3539),"x","")</f>
        <v/>
      </c>
      <c r="AB3539" s="79" t="str">
        <f>IF(AND(OR(LEFT(TH!N3539,2)="15",LEFT(TH!O3539,2)="15"),LEFT(TH!O3539,3)&lt;&gt;"111",'152-CT'!$J$8=TH!F3539),"x","")</f>
        <v/>
      </c>
      <c r="AC3539" s="79" t="str">
        <f>IF(AND(OR(LEFT(TH!N3539,2)="15",LEFT(TH!O3539,2)="15"),TK!$E$7=TH!F3539),"x","")</f>
        <v/>
      </c>
      <c r="AD3539" s="79" t="str">
        <f>IF(AND(N3539="1521",MONTH(C3539)='BK-NL'!$M$11),"x","")</f>
        <v/>
      </c>
    </row>
    <row r="3540" spans="1:30" s="313" customFormat="1" ht="16.5" customHeight="1">
      <c r="A3540" s="318"/>
      <c r="B3540" s="60" t="str">
        <f t="shared" si="396"/>
        <v/>
      </c>
      <c r="C3540" s="61"/>
      <c r="D3540" s="61"/>
      <c r="E3540" s="61"/>
      <c r="F3540" s="64"/>
      <c r="G3540" s="64"/>
      <c r="H3540" s="69"/>
      <c r="I3540" s="385"/>
      <c r="J3540" s="395"/>
      <c r="K3540" s="385"/>
      <c r="L3540" s="392"/>
      <c r="M3540" s="62"/>
      <c r="N3540" s="63"/>
      <c r="O3540" s="63"/>
      <c r="P3540" s="79" t="str">
        <f>IF(AND('331-CT'!$E$7=TH!H3540,OR(N3540="331",O3540="331")),"x","")</f>
        <v/>
      </c>
      <c r="Q3540" s="79" t="str">
        <f>IF(AND(B3540='111'!$L$11,OR($N3540=$Q$7,$O3540=$Q$7)),"x","")</f>
        <v/>
      </c>
      <c r="R3540" s="79" t="str">
        <f>IF(AND($N3540=$Q$7,$B3540&lt;'111'!$L$11),"x","")</f>
        <v/>
      </c>
      <c r="S3540" s="79" t="str">
        <f>IF(AND($O3540=$Q$7,$B3540&lt;'111'!$L$11),"x","")</f>
        <v/>
      </c>
      <c r="T3540" s="79" t="str">
        <f>IF(ISERROR(FIND('112'!$M$9,G3540,1)),"",IF((AND(FIND('112'!$M$9,G3540,1)&gt;=1,B3540='112'!$K$9,OR($N3540='112'!$I$6,$O3540='112'!$I$6))),"x",""))</f>
        <v/>
      </c>
      <c r="U3540" s="79" t="str">
        <f>IF(ISERROR(FIND('112'!$M$9,G3540,1)),"",IF((AND(LEFT(G3540,2)=LEFT('112'!$M$9,2),B3540&lt;'112'!$K$9,$N3540='112'!$I$6)),"x",""))</f>
        <v/>
      </c>
      <c r="V3540" s="79" t="str">
        <f>IF(ISERROR(FIND('112'!$M$9,G3540,1)),"",IF((AND(RIGHT(G3540,2)=RIGHT('112'!$M$9,2),B3540&lt;'112'!$K$9,$O3540='112'!$I$6)),"x",""))</f>
        <v/>
      </c>
      <c r="W3540" s="79" t="str">
        <f>IF(AND('341-CT'!$H$9=H3540,OR(LEFT(N3540,3)=$W$7,LEFT(O3540,3)=$W$7)),"x","")</f>
        <v/>
      </c>
      <c r="X3540" s="79" t="str">
        <f>IF(OR(TH!N3540=TH!$X$7,O3540=TH!$X$7),"x","")</f>
        <v/>
      </c>
      <c r="Y3540" s="79" t="str">
        <f>IF(AND(OR(N3540="131",O3540="131"),H3540='131-CT'!$H$9),"x","")</f>
        <v/>
      </c>
      <c r="Z3540" s="79"/>
      <c r="AA3540" s="79" t="str">
        <f>IF(AND(MONTH(E3540)='IN-NX'!$J$5,'IN-NX'!$D$7=D3540),"x","")</f>
        <v/>
      </c>
      <c r="AB3540" s="79" t="str">
        <f>IF(AND(OR(LEFT(TH!N3540,2)="15",LEFT(TH!O3540,2)="15"),LEFT(TH!O3540,3)&lt;&gt;"111",'152-CT'!$J$8=TH!F3540),"x","")</f>
        <v/>
      </c>
      <c r="AC3540" s="79" t="str">
        <f>IF(AND(OR(LEFT(TH!N3540,2)="15",LEFT(TH!O3540,2)="15"),TK!$E$7=TH!F3540),"x","")</f>
        <v/>
      </c>
      <c r="AD3540" s="79" t="str">
        <f>IF(AND(N3540="1521",MONTH(C3540)='BK-NL'!$M$11),"x","")</f>
        <v/>
      </c>
    </row>
    <row r="3541" spans="1:30" ht="16.5" customHeight="1">
      <c r="A3541" s="318" t="str">
        <f>IF(B3541&lt;&gt;"",IF(AND(B3541='IN-TC'!$S$4,OR(TH!N3541="1111",TH!O3541="1111")),TH!D3541,""),"")</f>
        <v/>
      </c>
      <c r="B3541" s="60" t="str">
        <f t="shared" si="396"/>
        <v/>
      </c>
      <c r="C3541" s="61"/>
      <c r="D3541" s="61"/>
      <c r="E3541" s="61"/>
      <c r="F3541" s="64"/>
      <c r="G3541" s="64"/>
      <c r="H3541" s="69"/>
      <c r="I3541" s="385"/>
      <c r="J3541" s="395"/>
      <c r="K3541" s="385"/>
      <c r="L3541" s="392"/>
      <c r="M3541" s="62"/>
      <c r="N3541" s="63"/>
      <c r="O3541" s="63"/>
      <c r="P3541" s="79" t="str">
        <f>IF(AND('331-CT'!$E$7=TH!H3541,OR(N3541="331",O3541="331")),"x","")</f>
        <v/>
      </c>
      <c r="Q3541" s="79" t="str">
        <f>IF(AND(B3541='111'!$L$11,OR($N3541=$Q$7,$O3541=$Q$7)),"x","")</f>
        <v/>
      </c>
      <c r="R3541" s="79" t="str">
        <f>IF(AND($N3541=$Q$7,$B3541&lt;'111'!$L$11),"x","")</f>
        <v/>
      </c>
      <c r="S3541" s="79" t="str">
        <f>IF(AND($O3541=$Q$7,$B3541&lt;'111'!$L$11),"x","")</f>
        <v/>
      </c>
      <c r="T3541" s="79" t="str">
        <f>IF(ISERROR(FIND('112'!$M$9,G3541,1)),"",IF((AND(FIND('112'!$M$9,G3541,1)&gt;=1,B3541='112'!$K$9,OR($N3541='112'!$I$6,$O3541='112'!$I$6))),"x",""))</f>
        <v/>
      </c>
      <c r="U3541" s="79" t="str">
        <f>IF(ISERROR(FIND('112'!$M$9,G3541,1)),"",IF((AND(LEFT(G3541,2)=LEFT('112'!$M$9,2),B3541&lt;'112'!$K$9,$N3541='112'!$I$6)),"x",""))</f>
        <v/>
      </c>
      <c r="V3541" s="79" t="str">
        <f>IF(ISERROR(FIND('112'!$M$9,G3541,1)),"",IF((AND(RIGHT(G3541,2)=RIGHT('112'!$M$9,2),B3541&lt;'112'!$K$9,$O3541='112'!$I$6)),"x",""))</f>
        <v/>
      </c>
      <c r="W3541" s="79" t="str">
        <f>IF(AND('341-CT'!$H$9=H3541,OR(LEFT(N3541,3)=$W$7,LEFT(O3541,3)=$W$7)),"x","")</f>
        <v/>
      </c>
      <c r="X3541" s="79" t="str">
        <f>IF(OR(TH!N3541=TH!$X$7,O3541=TH!$X$7),"x","")</f>
        <v/>
      </c>
      <c r="Y3541" s="79" t="str">
        <f>IF(AND(OR(N3541="131",O3541="131"),H3541='131-CT'!$H$9),"x","")</f>
        <v/>
      </c>
      <c r="Z3541" s="79"/>
      <c r="AA3541" s="79" t="str">
        <f>IF(AND(MONTH(E3541)='IN-NX'!$J$5,'IN-NX'!$D$7=D3541),"x","")</f>
        <v/>
      </c>
      <c r="AB3541" s="79" t="str">
        <f>IF(AND(OR(LEFT(TH!N3541,2)="15",LEFT(TH!O3541,2)="15"),LEFT(TH!O3541,3)&lt;&gt;"111",'152-CT'!$J$8=TH!F3541),"x","")</f>
        <v/>
      </c>
      <c r="AC3541" s="79" t="str">
        <f>IF(AND(OR(LEFT(TH!N3541,2)="15",LEFT(TH!O3541,2)="15"),TK!$E$7=TH!F3541),"x","")</f>
        <v/>
      </c>
      <c r="AD3541" s="79" t="str">
        <f>IF(AND(N3541="1521",MONTH(C3541)='BK-NL'!$M$11),"x","")</f>
        <v/>
      </c>
    </row>
    <row r="3542" spans="1:30" ht="16.5" customHeight="1">
      <c r="A3542" s="318" t="str">
        <f>IF(B3542&lt;&gt;"",IF(AND(B3542='IN-TC'!$S$4,OR(TH!N3542="1111",TH!O3542="1111")),TH!D3542,""),"")</f>
        <v/>
      </c>
      <c r="B3542" s="60" t="str">
        <f t="shared" si="396"/>
        <v/>
      </c>
      <c r="C3542" s="61"/>
      <c r="D3542" s="61"/>
      <c r="E3542" s="61"/>
      <c r="F3542" s="64"/>
      <c r="G3542" s="64"/>
      <c r="H3542" s="69"/>
      <c r="I3542" s="385"/>
      <c r="J3542" s="395"/>
      <c r="K3542" s="385"/>
      <c r="L3542" s="392"/>
      <c r="M3542" s="62"/>
      <c r="N3542" s="63"/>
      <c r="O3542" s="63"/>
      <c r="P3542" s="79" t="str">
        <f>IF(AND('331-CT'!$E$7=TH!H3542,OR(N3542="331",O3542="331")),"x","")</f>
        <v/>
      </c>
      <c r="Q3542" s="79" t="str">
        <f>IF(AND(B3542='111'!$L$11,OR($N3542=$Q$7,$O3542=$Q$7)),"x","")</f>
        <v/>
      </c>
      <c r="R3542" s="79" t="str">
        <f>IF(AND($N3542=$Q$7,$B3542&lt;'111'!$L$11),"x","")</f>
        <v/>
      </c>
      <c r="S3542" s="79" t="str">
        <f>IF(AND($O3542=$Q$7,$B3542&lt;'111'!$L$11),"x","")</f>
        <v/>
      </c>
      <c r="T3542" s="79" t="str">
        <f>IF(ISERROR(FIND('112'!$M$9,G3542,1)),"",IF((AND(FIND('112'!$M$9,G3542,1)&gt;=1,B3542='112'!$K$9,OR($N3542='112'!$I$6,$O3542='112'!$I$6))),"x",""))</f>
        <v/>
      </c>
      <c r="U3542" s="79" t="str">
        <f>IF(ISERROR(FIND('112'!$M$9,G3542,1)),"",IF((AND(LEFT(G3542,2)=LEFT('112'!$M$9,2),B3542&lt;'112'!$K$9,$N3542='112'!$I$6)),"x",""))</f>
        <v/>
      </c>
      <c r="V3542" s="79" t="str">
        <f>IF(ISERROR(FIND('112'!$M$9,G3542,1)),"",IF((AND(RIGHT(G3542,2)=RIGHT('112'!$M$9,2),B3542&lt;'112'!$K$9,$O3542='112'!$I$6)),"x",""))</f>
        <v/>
      </c>
      <c r="W3542" s="79" t="str">
        <f>IF(AND('341-CT'!$H$9=H3542,OR(LEFT(N3542,3)=$W$7,LEFT(O3542,3)=$W$7)),"x","")</f>
        <v/>
      </c>
      <c r="X3542" s="79" t="str">
        <f>IF(OR(TH!N3542=TH!$X$7,O3542=TH!$X$7),"x","")</f>
        <v/>
      </c>
      <c r="Y3542" s="79" t="str">
        <f>IF(AND(OR(N3542="131",O3542="131"),H3542='131-CT'!$H$9),"x","")</f>
        <v/>
      </c>
      <c r="Z3542" s="79"/>
      <c r="AA3542" s="79" t="str">
        <f>IF(AND(MONTH(E3542)='IN-NX'!$J$5,'IN-NX'!$D$7=D3542),"x","")</f>
        <v/>
      </c>
      <c r="AB3542" s="79" t="str">
        <f>IF(AND(OR(LEFT(TH!N3542,2)="15",LEFT(TH!O3542,2)="15"),LEFT(TH!O3542,3)&lt;&gt;"111",'152-CT'!$J$8=TH!F3542),"x","")</f>
        <v/>
      </c>
      <c r="AC3542" s="79" t="str">
        <f>IF(AND(OR(LEFT(TH!N3542,2)="15",LEFT(TH!O3542,2)="15"),TK!$E$7=TH!F3542),"x","")</f>
        <v/>
      </c>
      <c r="AD3542" s="79" t="str">
        <f>IF(AND(N3542="1521",MONTH(C3542)='BK-NL'!$M$11),"x","")</f>
        <v/>
      </c>
    </row>
    <row r="3543" spans="1:30" s="313" customFormat="1" ht="16.5" customHeight="1">
      <c r="A3543" s="318"/>
      <c r="B3543" s="60" t="str">
        <f t="shared" si="396"/>
        <v/>
      </c>
      <c r="C3543" s="61"/>
      <c r="D3543" s="61"/>
      <c r="E3543" s="61"/>
      <c r="F3543" s="64"/>
      <c r="G3543" s="64"/>
      <c r="H3543" s="321"/>
      <c r="I3543" s="385"/>
      <c r="J3543" s="395"/>
      <c r="K3543" s="385"/>
      <c r="L3543" s="392"/>
      <c r="M3543" s="62"/>
      <c r="N3543" s="63"/>
      <c r="O3543" s="63"/>
      <c r="P3543" s="79" t="str">
        <f>IF(AND('331-CT'!$E$7=TH!H3543,OR(N3543="331",O3543="331")),"x","")</f>
        <v/>
      </c>
      <c r="Q3543" s="79" t="str">
        <f>IF(AND(B3543='111'!$L$11,OR($N3543=$Q$7,$O3543=$Q$7)),"x","")</f>
        <v/>
      </c>
      <c r="R3543" s="79" t="str">
        <f>IF(AND($N3543=$Q$7,$B3543&lt;'111'!$L$11),"x","")</f>
        <v/>
      </c>
      <c r="S3543" s="79" t="str">
        <f>IF(AND($O3543=$Q$7,$B3543&lt;'111'!$L$11),"x","")</f>
        <v/>
      </c>
      <c r="T3543" s="79" t="str">
        <f>IF(ISERROR(FIND('112'!$M$9,G3543,1)),"",IF((AND(FIND('112'!$M$9,G3543,1)&gt;=1,B3543='112'!$K$9,OR($N3543='112'!$I$6,$O3543='112'!$I$6))),"x",""))</f>
        <v/>
      </c>
      <c r="U3543" s="79" t="str">
        <f>IF(ISERROR(FIND('112'!$M$9,G3543,1)),"",IF((AND(LEFT(G3543,2)=LEFT('112'!$M$9,2),B3543&lt;'112'!$K$9,$N3543='112'!$I$6)),"x",""))</f>
        <v/>
      </c>
      <c r="V3543" s="79" t="str">
        <f>IF(ISERROR(FIND('112'!$M$9,G3543,1)),"",IF((AND(RIGHT(G3543,2)=RIGHT('112'!$M$9,2),B3543&lt;'112'!$K$9,$O3543='112'!$I$6)),"x",""))</f>
        <v/>
      </c>
      <c r="W3543" s="79" t="str">
        <f>IF(AND('341-CT'!$H$9=H3543,OR(LEFT(N3543,3)=$W$7,LEFT(O3543,3)=$W$7)),"x","")</f>
        <v/>
      </c>
      <c r="X3543" s="79" t="str">
        <f>IF(OR(TH!N3543=TH!$X$7,O3543=TH!$X$7),"x","")</f>
        <v/>
      </c>
      <c r="Y3543" s="79" t="str">
        <f>IF(AND(OR(N3543="131",O3543="131"),H3543='131-CT'!$H$9),"x","")</f>
        <v/>
      </c>
      <c r="Z3543" s="79"/>
      <c r="AA3543" s="79" t="str">
        <f>IF(AND(MONTH(E3543)='IN-NX'!$J$5,'IN-NX'!$D$7=D3543),"x","")</f>
        <v/>
      </c>
      <c r="AB3543" s="79" t="str">
        <f>IF(AND(OR(LEFT(TH!N3543,2)="15",LEFT(TH!O3543,2)="15"),LEFT(TH!O3543,3)&lt;&gt;"111",'152-CT'!$J$8=TH!F3543),"x","")</f>
        <v/>
      </c>
      <c r="AC3543" s="79" t="str">
        <f>IF(AND(OR(LEFT(TH!N3543,2)="15",LEFT(TH!O3543,2)="15"),TK!$E$7=TH!F3543),"x","")</f>
        <v/>
      </c>
      <c r="AD3543" s="79" t="str">
        <f>IF(AND(N3543="1521",MONTH(C3543)='BK-NL'!$M$11),"x","")</f>
        <v/>
      </c>
    </row>
    <row r="3544" spans="1:30" ht="16.5" customHeight="1">
      <c r="A3544" s="318" t="str">
        <f>IF(B3544&lt;&gt;"",IF(AND(B3544='IN-TC'!$S$4,OR(TH!N3544="1111",TH!O3544="1111")),TH!D3544,""),"")</f>
        <v/>
      </c>
      <c r="B3544" s="60" t="str">
        <f t="shared" si="396"/>
        <v/>
      </c>
      <c r="C3544" s="61"/>
      <c r="D3544" s="61"/>
      <c r="E3544" s="61"/>
      <c r="F3544" s="64"/>
      <c r="G3544" s="64"/>
      <c r="H3544" s="69"/>
      <c r="I3544" s="385"/>
      <c r="J3544" s="395"/>
      <c r="K3544" s="385"/>
      <c r="L3544" s="392"/>
      <c r="M3544" s="62"/>
      <c r="N3544" s="63"/>
      <c r="O3544" s="63"/>
      <c r="P3544" s="79" t="str">
        <f>IF(AND('331-CT'!$E$7=TH!H3544,OR(N3544="331",O3544="331")),"x","")</f>
        <v/>
      </c>
      <c r="Q3544" s="79" t="str">
        <f>IF(AND(B3544='111'!$L$11,OR($N3544=$Q$7,$O3544=$Q$7)),"x","")</f>
        <v/>
      </c>
      <c r="R3544" s="79" t="str">
        <f>IF(AND($N3544=$Q$7,$B3544&lt;'111'!$L$11),"x","")</f>
        <v/>
      </c>
      <c r="S3544" s="79" t="str">
        <f>IF(AND($O3544=$Q$7,$B3544&lt;'111'!$L$11),"x","")</f>
        <v/>
      </c>
      <c r="T3544" s="79" t="str">
        <f>IF(ISERROR(FIND('112'!$M$9,G3544,1)),"",IF((AND(FIND('112'!$M$9,G3544,1)&gt;=1,B3544='112'!$K$9,OR($N3544='112'!$I$6,$O3544='112'!$I$6))),"x",""))</f>
        <v/>
      </c>
      <c r="U3544" s="79" t="str">
        <f>IF(ISERROR(FIND('112'!$M$9,G3544,1)),"",IF((AND(LEFT(G3544,2)=LEFT('112'!$M$9,2),B3544&lt;'112'!$K$9,$N3544='112'!$I$6)),"x",""))</f>
        <v/>
      </c>
      <c r="V3544" s="79" t="str">
        <f>IF(ISERROR(FIND('112'!$M$9,G3544,1)),"",IF((AND(RIGHT(G3544,2)=RIGHT('112'!$M$9,2),B3544&lt;'112'!$K$9,$O3544='112'!$I$6)),"x",""))</f>
        <v/>
      </c>
      <c r="W3544" s="79" t="str">
        <f>IF(AND('341-CT'!$H$9=H3544,OR(LEFT(N3544,3)=$W$7,LEFT(O3544,3)=$W$7)),"x","")</f>
        <v/>
      </c>
      <c r="X3544" s="79" t="str">
        <f>IF(OR(TH!N3544=TH!$X$7,O3544=TH!$X$7),"x","")</f>
        <v/>
      </c>
      <c r="Y3544" s="79" t="str">
        <f>IF(AND(OR(N3544="131",O3544="131"),H3544='131-CT'!$H$9),"x","")</f>
        <v/>
      </c>
      <c r="Z3544" s="79"/>
      <c r="AA3544" s="79" t="str">
        <f>IF(AND(MONTH(E3544)='IN-NX'!$J$5,'IN-NX'!$D$7=D3544),"x","")</f>
        <v/>
      </c>
      <c r="AB3544" s="79" t="str">
        <f>IF(AND(OR(LEFT(TH!N3544,2)="15",LEFT(TH!O3544,2)="15"),LEFT(TH!O3544,3)&lt;&gt;"111",'152-CT'!$J$8=TH!F3544),"x","")</f>
        <v/>
      </c>
      <c r="AC3544" s="79" t="str">
        <f>IF(AND(OR(LEFT(TH!N3544,2)="15",LEFT(TH!O3544,2)="15"),TK!$E$7=TH!F3544),"x","")</f>
        <v/>
      </c>
      <c r="AD3544" s="79" t="str">
        <f>IF(AND(N3544="1521",MONTH(C3544)='BK-NL'!$M$11),"x","")</f>
        <v/>
      </c>
    </row>
    <row r="3545" spans="1:30" ht="16.5" customHeight="1">
      <c r="A3545" s="318" t="str">
        <f>IF(B3545&lt;&gt;"",IF(AND(B3545='IN-TC'!$S$4,OR(TH!N3545="1111",TH!O3545="1111")),TH!D3545,""),"")</f>
        <v/>
      </c>
      <c r="B3545" s="60" t="str">
        <f t="shared" si="396"/>
        <v/>
      </c>
      <c r="C3545" s="61"/>
      <c r="D3545" s="61"/>
      <c r="E3545" s="61"/>
      <c r="F3545" s="64"/>
      <c r="G3545" s="64"/>
      <c r="H3545" s="69"/>
      <c r="I3545" s="385"/>
      <c r="J3545" s="395"/>
      <c r="K3545" s="385"/>
      <c r="L3545" s="392"/>
      <c r="M3545" s="62"/>
      <c r="N3545" s="63"/>
      <c r="O3545" s="63"/>
      <c r="P3545" s="79" t="str">
        <f>IF(AND('331-CT'!$E$7=TH!H3545,OR(N3545="331",O3545="331")),"x","")</f>
        <v/>
      </c>
      <c r="Q3545" s="79" t="str">
        <f>IF(AND(B3545='111'!$L$11,OR($N3545=$Q$7,$O3545=$Q$7)),"x","")</f>
        <v/>
      </c>
      <c r="R3545" s="79" t="str">
        <f>IF(AND($N3545=$Q$7,$B3545&lt;'111'!$L$11),"x","")</f>
        <v/>
      </c>
      <c r="S3545" s="79" t="str">
        <f>IF(AND($O3545=$Q$7,$B3545&lt;'111'!$L$11),"x","")</f>
        <v/>
      </c>
      <c r="T3545" s="79" t="str">
        <f>IF(ISERROR(FIND('112'!$M$9,G3545,1)),"",IF((AND(FIND('112'!$M$9,G3545,1)&gt;=1,B3545='112'!$K$9,OR($N3545='112'!$I$6,$O3545='112'!$I$6))),"x",""))</f>
        <v/>
      </c>
      <c r="U3545" s="79" t="str">
        <f>IF(ISERROR(FIND('112'!$M$9,G3545,1)),"",IF((AND(LEFT(G3545,2)=LEFT('112'!$M$9,2),B3545&lt;'112'!$K$9,$N3545='112'!$I$6)),"x",""))</f>
        <v/>
      </c>
      <c r="V3545" s="79" t="str">
        <f>IF(ISERROR(FIND('112'!$M$9,G3545,1)),"",IF((AND(RIGHT(G3545,2)=RIGHT('112'!$M$9,2),B3545&lt;'112'!$K$9,$O3545='112'!$I$6)),"x",""))</f>
        <v/>
      </c>
      <c r="W3545" s="79" t="str">
        <f>IF(AND('341-CT'!$H$9=H3545,OR(LEFT(N3545,3)=$W$7,LEFT(O3545,3)=$W$7)),"x","")</f>
        <v/>
      </c>
      <c r="X3545" s="79" t="str">
        <f>IF(OR(TH!N3545=TH!$X$7,O3545=TH!$X$7),"x","")</f>
        <v/>
      </c>
      <c r="Y3545" s="79" t="str">
        <f>IF(AND(OR(N3545="131",O3545="131"),H3545='131-CT'!$H$9),"x","")</f>
        <v/>
      </c>
      <c r="Z3545" s="79"/>
      <c r="AA3545" s="79" t="str">
        <f>IF(AND(MONTH(E3545)='IN-NX'!$J$5,'IN-NX'!$D$7=D3545),"x","")</f>
        <v/>
      </c>
      <c r="AB3545" s="79" t="str">
        <f>IF(AND(OR(LEFT(TH!N3545,2)="15",LEFT(TH!O3545,2)="15"),LEFT(TH!O3545,3)&lt;&gt;"111",'152-CT'!$J$8=TH!F3545),"x","")</f>
        <v/>
      </c>
      <c r="AC3545" s="79" t="str">
        <f>IF(AND(OR(LEFT(TH!N3545,2)="15",LEFT(TH!O3545,2)="15"),TK!$E$7=TH!F3545),"x","")</f>
        <v/>
      </c>
      <c r="AD3545" s="79" t="str">
        <f>IF(AND(N3545="1521",MONTH(C3545)='BK-NL'!$M$11),"x","")</f>
        <v/>
      </c>
    </row>
    <row r="3546" spans="1:30" s="313" customFormat="1" ht="16.5" customHeight="1">
      <c r="A3546" s="318"/>
      <c r="B3546" s="60" t="str">
        <f t="shared" si="396"/>
        <v/>
      </c>
      <c r="C3546" s="61"/>
      <c r="D3546" s="61"/>
      <c r="E3546" s="61"/>
      <c r="F3546" s="64"/>
      <c r="G3546" s="64"/>
      <c r="H3546" s="321"/>
      <c r="I3546" s="385"/>
      <c r="J3546" s="395"/>
      <c r="K3546" s="385"/>
      <c r="L3546" s="392"/>
      <c r="M3546" s="62"/>
      <c r="N3546" s="63"/>
      <c r="O3546" s="63"/>
      <c r="P3546" s="79" t="str">
        <f>IF(AND('331-CT'!$E$7=TH!H3546,OR(N3546="331",O3546="331")),"x","")</f>
        <v/>
      </c>
      <c r="Q3546" s="79" t="str">
        <f>IF(AND(B3546='111'!$L$11,OR($N3546=$Q$7,$O3546=$Q$7)),"x","")</f>
        <v/>
      </c>
      <c r="R3546" s="79" t="str">
        <f>IF(AND($N3546=$Q$7,$B3546&lt;'111'!$L$11),"x","")</f>
        <v/>
      </c>
      <c r="S3546" s="79" t="str">
        <f>IF(AND($O3546=$Q$7,$B3546&lt;'111'!$L$11),"x","")</f>
        <v/>
      </c>
      <c r="T3546" s="79" t="str">
        <f>IF(ISERROR(FIND('112'!$M$9,G3546,1)),"",IF((AND(FIND('112'!$M$9,G3546,1)&gt;=1,B3546='112'!$K$9,OR($N3546='112'!$I$6,$O3546='112'!$I$6))),"x",""))</f>
        <v/>
      </c>
      <c r="U3546" s="79" t="str">
        <f>IF(ISERROR(FIND('112'!$M$9,G3546,1)),"",IF((AND(LEFT(G3546,2)=LEFT('112'!$M$9,2),B3546&lt;'112'!$K$9,$N3546='112'!$I$6)),"x",""))</f>
        <v/>
      </c>
      <c r="V3546" s="79" t="str">
        <f>IF(ISERROR(FIND('112'!$M$9,G3546,1)),"",IF((AND(RIGHT(G3546,2)=RIGHT('112'!$M$9,2),B3546&lt;'112'!$K$9,$O3546='112'!$I$6)),"x",""))</f>
        <v/>
      </c>
      <c r="W3546" s="79" t="str">
        <f>IF(AND('341-CT'!$H$9=H3546,OR(LEFT(N3546,3)=$W$7,LEFT(O3546,3)=$W$7)),"x","")</f>
        <v/>
      </c>
      <c r="X3546" s="79" t="str">
        <f>IF(OR(TH!N3546=TH!$X$7,O3546=TH!$X$7),"x","")</f>
        <v/>
      </c>
      <c r="Y3546" s="79" t="str">
        <f>IF(AND(OR(N3546="131",O3546="131"),H3546='131-CT'!$H$9),"x","")</f>
        <v/>
      </c>
      <c r="Z3546" s="79"/>
      <c r="AA3546" s="79" t="str">
        <f>IF(AND(MONTH(E3546)='IN-NX'!$J$5,'IN-NX'!$D$7=D3546),"x","")</f>
        <v/>
      </c>
      <c r="AB3546" s="79" t="str">
        <f>IF(AND(OR(LEFT(TH!N3546,2)="15",LEFT(TH!O3546,2)="15"),LEFT(TH!O3546,3)&lt;&gt;"111",'152-CT'!$J$8=TH!F3546),"x","")</f>
        <v/>
      </c>
      <c r="AC3546" s="79" t="str">
        <f>IF(AND(OR(LEFT(TH!N3546,2)="15",LEFT(TH!O3546,2)="15"),TK!$E$7=TH!F3546),"x","")</f>
        <v/>
      </c>
      <c r="AD3546" s="79" t="str">
        <f>IF(AND(N3546="1521",MONTH(C3546)='BK-NL'!$M$11),"x","")</f>
        <v/>
      </c>
    </row>
    <row r="3547" spans="1:30" ht="16.5" customHeight="1">
      <c r="A3547" s="318" t="str">
        <f>IF(B3547&lt;&gt;"",IF(AND(B3547='IN-TC'!$S$4,OR(TH!N3547="1111",TH!O3547="1111")),TH!D3547,""),"")</f>
        <v/>
      </c>
      <c r="B3547" s="60" t="str">
        <f t="shared" si="396"/>
        <v/>
      </c>
      <c r="C3547" s="61"/>
      <c r="D3547" s="61"/>
      <c r="E3547" s="61"/>
      <c r="F3547" s="64"/>
      <c r="G3547" s="64"/>
      <c r="H3547" s="69"/>
      <c r="I3547" s="385"/>
      <c r="J3547" s="395"/>
      <c r="K3547" s="385"/>
      <c r="L3547" s="392"/>
      <c r="M3547" s="62"/>
      <c r="N3547" s="63"/>
      <c r="O3547" s="63"/>
      <c r="P3547" s="79" t="str">
        <f>IF(AND('331-CT'!$E$7=TH!H3547,OR(N3547="331",O3547="331")),"x","")</f>
        <v/>
      </c>
      <c r="Q3547" s="79" t="str">
        <f>IF(AND(B3547='111'!$L$11,OR($N3547=$Q$7,$O3547=$Q$7)),"x","")</f>
        <v/>
      </c>
      <c r="R3547" s="79" t="str">
        <f>IF(AND($N3547=$Q$7,$B3547&lt;'111'!$L$11),"x","")</f>
        <v/>
      </c>
      <c r="S3547" s="79" t="str">
        <f>IF(AND($O3547=$Q$7,$B3547&lt;'111'!$L$11),"x","")</f>
        <v/>
      </c>
      <c r="T3547" s="79" t="str">
        <f>IF(ISERROR(FIND('112'!$M$9,G3547,1)),"",IF((AND(FIND('112'!$M$9,G3547,1)&gt;=1,B3547='112'!$K$9,OR($N3547='112'!$I$6,$O3547='112'!$I$6))),"x",""))</f>
        <v/>
      </c>
      <c r="U3547" s="79" t="str">
        <f>IF(ISERROR(FIND('112'!$M$9,G3547,1)),"",IF((AND(LEFT(G3547,2)=LEFT('112'!$M$9,2),B3547&lt;'112'!$K$9,$N3547='112'!$I$6)),"x",""))</f>
        <v/>
      </c>
      <c r="V3547" s="79" t="str">
        <f>IF(ISERROR(FIND('112'!$M$9,G3547,1)),"",IF((AND(RIGHT(G3547,2)=RIGHT('112'!$M$9,2),B3547&lt;'112'!$K$9,$O3547='112'!$I$6)),"x",""))</f>
        <v/>
      </c>
      <c r="W3547" s="79" t="str">
        <f>IF(AND('341-CT'!$H$9=H3547,OR(LEFT(N3547,3)=$W$7,LEFT(O3547,3)=$W$7)),"x","")</f>
        <v/>
      </c>
      <c r="X3547" s="79" t="str">
        <f>IF(OR(TH!N3547=TH!$X$7,O3547=TH!$X$7),"x","")</f>
        <v/>
      </c>
      <c r="Y3547" s="79" t="str">
        <f>IF(AND(OR(N3547="131",O3547="131"),H3547='131-CT'!$H$9),"x","")</f>
        <v/>
      </c>
      <c r="Z3547" s="79"/>
      <c r="AA3547" s="79" t="str">
        <f>IF(AND(MONTH(E3547)='IN-NX'!$J$5,'IN-NX'!$D$7=D3547),"x","")</f>
        <v/>
      </c>
      <c r="AB3547" s="79" t="str">
        <f>IF(AND(OR(LEFT(TH!N3547,2)="15",LEFT(TH!O3547,2)="15"),LEFT(TH!O3547,3)&lt;&gt;"111",'152-CT'!$J$8=TH!F3547),"x","")</f>
        <v/>
      </c>
      <c r="AC3547" s="79" t="str">
        <f>IF(AND(OR(LEFT(TH!N3547,2)="15",LEFT(TH!O3547,2)="15"),TK!$E$7=TH!F3547),"x","")</f>
        <v/>
      </c>
      <c r="AD3547" s="79" t="str">
        <f>IF(AND(N3547="1521",MONTH(C3547)='BK-NL'!$M$11),"x","")</f>
        <v/>
      </c>
    </row>
    <row r="3548" spans="1:30" ht="16.5" customHeight="1">
      <c r="A3548" s="318" t="str">
        <f>IF(B3548&lt;&gt;"",IF(AND(B3548='IN-TC'!$S$4,OR(TH!N3548="1111",TH!O3548="1111")),TH!D3548,""),"")</f>
        <v/>
      </c>
      <c r="B3548" s="60" t="str">
        <f t="shared" si="396"/>
        <v/>
      </c>
      <c r="C3548" s="61"/>
      <c r="D3548" s="61"/>
      <c r="E3548" s="61"/>
      <c r="F3548" s="64"/>
      <c r="G3548" s="64"/>
      <c r="H3548" s="69"/>
      <c r="I3548" s="385"/>
      <c r="J3548" s="395"/>
      <c r="K3548" s="385"/>
      <c r="L3548" s="392"/>
      <c r="M3548" s="62"/>
      <c r="N3548" s="63"/>
      <c r="O3548" s="63"/>
      <c r="P3548" s="79" t="str">
        <f>IF(AND('331-CT'!$E$7=TH!H3548,OR(N3548="331",O3548="331")),"x","")</f>
        <v/>
      </c>
      <c r="Q3548" s="79" t="str">
        <f>IF(AND(B3548='111'!$L$11,OR($N3548=$Q$7,$O3548=$Q$7)),"x","")</f>
        <v/>
      </c>
      <c r="R3548" s="79" t="str">
        <f>IF(AND($N3548=$Q$7,$B3548&lt;'111'!$L$11),"x","")</f>
        <v/>
      </c>
      <c r="S3548" s="79" t="str">
        <f>IF(AND($O3548=$Q$7,$B3548&lt;'111'!$L$11),"x","")</f>
        <v/>
      </c>
      <c r="T3548" s="79" t="str">
        <f>IF(ISERROR(FIND('112'!$M$9,G3548,1)),"",IF((AND(FIND('112'!$M$9,G3548,1)&gt;=1,B3548='112'!$K$9,OR($N3548='112'!$I$6,$O3548='112'!$I$6))),"x",""))</f>
        <v/>
      </c>
      <c r="U3548" s="79" t="str">
        <f>IF(ISERROR(FIND('112'!$M$9,G3548,1)),"",IF((AND(LEFT(G3548,2)=LEFT('112'!$M$9,2),B3548&lt;'112'!$K$9,$N3548='112'!$I$6)),"x",""))</f>
        <v/>
      </c>
      <c r="V3548" s="79" t="str">
        <f>IF(ISERROR(FIND('112'!$M$9,G3548,1)),"",IF((AND(RIGHT(G3548,2)=RIGHT('112'!$M$9,2),B3548&lt;'112'!$K$9,$O3548='112'!$I$6)),"x",""))</f>
        <v/>
      </c>
      <c r="W3548" s="79" t="str">
        <f>IF(AND('341-CT'!$H$9=H3548,OR(LEFT(N3548,3)=$W$7,LEFT(O3548,3)=$W$7)),"x","")</f>
        <v/>
      </c>
      <c r="X3548" s="79" t="str">
        <f>IF(OR(TH!N3548=TH!$X$7,O3548=TH!$X$7),"x","")</f>
        <v/>
      </c>
      <c r="Y3548" s="79" t="str">
        <f>IF(AND(OR(N3548="131",O3548="131"),H3548='131-CT'!$H$9),"x","")</f>
        <v/>
      </c>
      <c r="Z3548" s="79"/>
      <c r="AA3548" s="79" t="str">
        <f>IF(AND(MONTH(E3548)='IN-NX'!$J$5,'IN-NX'!$D$7=D3548),"x","")</f>
        <v/>
      </c>
      <c r="AB3548" s="79" t="str">
        <f>IF(AND(OR(LEFT(TH!N3548,2)="15",LEFT(TH!O3548,2)="15"),LEFT(TH!O3548,3)&lt;&gt;"111",'152-CT'!$J$8=TH!F3548),"x","")</f>
        <v/>
      </c>
      <c r="AC3548" s="79" t="str">
        <f>IF(AND(OR(LEFT(TH!N3548,2)="15",LEFT(TH!O3548,2)="15"),TK!$E$7=TH!F3548),"x","")</f>
        <v/>
      </c>
      <c r="AD3548" s="79" t="str">
        <f>IF(AND(N3548="1521",MONTH(C3548)='BK-NL'!$M$11),"x","")</f>
        <v/>
      </c>
    </row>
    <row r="3549" spans="1:30" s="313" customFormat="1" ht="16.5" customHeight="1">
      <c r="A3549" s="318"/>
      <c r="B3549" s="60" t="str">
        <f t="shared" si="396"/>
        <v/>
      </c>
      <c r="C3549" s="61"/>
      <c r="D3549" s="61"/>
      <c r="E3549" s="61"/>
      <c r="F3549" s="64"/>
      <c r="G3549" s="64"/>
      <c r="H3549" s="321"/>
      <c r="I3549" s="385"/>
      <c r="J3549" s="395"/>
      <c r="K3549" s="385"/>
      <c r="L3549" s="392"/>
      <c r="M3549" s="62"/>
      <c r="N3549" s="63"/>
      <c r="O3549" s="63"/>
      <c r="P3549" s="79" t="str">
        <f>IF(AND('331-CT'!$E$7=TH!H3549,OR(N3549="331",O3549="331")),"x","")</f>
        <v/>
      </c>
      <c r="Q3549" s="79" t="str">
        <f>IF(AND(B3549='111'!$L$11,OR($N3549=$Q$7,$O3549=$Q$7)),"x","")</f>
        <v/>
      </c>
      <c r="R3549" s="79" t="str">
        <f>IF(AND($N3549=$Q$7,$B3549&lt;'111'!$L$11),"x","")</f>
        <v/>
      </c>
      <c r="S3549" s="79" t="str">
        <f>IF(AND($O3549=$Q$7,$B3549&lt;'111'!$L$11),"x","")</f>
        <v/>
      </c>
      <c r="T3549" s="79" t="str">
        <f>IF(ISERROR(FIND('112'!$M$9,G3549,1)),"",IF((AND(FIND('112'!$M$9,G3549,1)&gt;=1,B3549='112'!$K$9,OR($N3549='112'!$I$6,$O3549='112'!$I$6))),"x",""))</f>
        <v/>
      </c>
      <c r="U3549" s="79" t="str">
        <f>IF(ISERROR(FIND('112'!$M$9,G3549,1)),"",IF((AND(LEFT(G3549,2)=LEFT('112'!$M$9,2),B3549&lt;'112'!$K$9,$N3549='112'!$I$6)),"x",""))</f>
        <v/>
      </c>
      <c r="V3549" s="79" t="str">
        <f>IF(ISERROR(FIND('112'!$M$9,G3549,1)),"",IF((AND(RIGHT(G3549,2)=RIGHT('112'!$M$9,2),B3549&lt;'112'!$K$9,$O3549='112'!$I$6)),"x",""))</f>
        <v/>
      </c>
      <c r="W3549" s="79" t="str">
        <f>IF(AND('341-CT'!$H$9=H3549,OR(LEFT(N3549,3)=$W$7,LEFT(O3549,3)=$W$7)),"x","")</f>
        <v/>
      </c>
      <c r="X3549" s="79" t="str">
        <f>IF(OR(TH!N3549=TH!$X$7,O3549=TH!$X$7),"x","")</f>
        <v/>
      </c>
      <c r="Y3549" s="79" t="str">
        <f>IF(AND(OR(N3549="131",O3549="131"),H3549='131-CT'!$H$9),"x","")</f>
        <v/>
      </c>
      <c r="Z3549" s="79"/>
      <c r="AA3549" s="79" t="str">
        <f>IF(AND(MONTH(E3549)='IN-NX'!$J$5,'IN-NX'!$D$7=D3549),"x","")</f>
        <v/>
      </c>
      <c r="AB3549" s="79" t="str">
        <f>IF(AND(OR(LEFT(TH!N3549,2)="15",LEFT(TH!O3549,2)="15"),LEFT(TH!O3549,3)&lt;&gt;"111",'152-CT'!$J$8=TH!F3549),"x","")</f>
        <v/>
      </c>
      <c r="AC3549" s="79" t="str">
        <f>IF(AND(OR(LEFT(TH!N3549,2)="15",LEFT(TH!O3549,2)="15"),TK!$E$7=TH!F3549),"x","")</f>
        <v/>
      </c>
      <c r="AD3549" s="79" t="str">
        <f>IF(AND(N3549="1521",MONTH(C3549)='BK-NL'!$M$11),"x","")</f>
        <v/>
      </c>
    </row>
    <row r="3550" spans="1:30" ht="16.5" customHeight="1">
      <c r="A3550" s="318" t="str">
        <f>IF(B3550&lt;&gt;"",IF(AND(B3550='IN-TC'!$S$4,OR(TH!N3550="1111",TH!O3550="1111")),TH!D3550,""),"")</f>
        <v/>
      </c>
      <c r="B3550" s="60" t="str">
        <f t="shared" si="396"/>
        <v/>
      </c>
      <c r="C3550" s="61"/>
      <c r="D3550" s="61"/>
      <c r="E3550" s="61"/>
      <c r="F3550" s="64"/>
      <c r="G3550" s="64"/>
      <c r="H3550" s="69"/>
      <c r="I3550" s="385"/>
      <c r="J3550" s="395"/>
      <c r="K3550" s="385"/>
      <c r="L3550" s="392"/>
      <c r="M3550" s="62"/>
      <c r="N3550" s="63"/>
      <c r="O3550" s="63"/>
      <c r="P3550" s="79" t="str">
        <f>IF(AND('331-CT'!$E$7=TH!H3550,OR(N3550="331",O3550="331")),"x","")</f>
        <v/>
      </c>
      <c r="Q3550" s="79" t="str">
        <f>IF(AND(B3550='111'!$L$11,OR($N3550=$Q$7,$O3550=$Q$7)),"x","")</f>
        <v/>
      </c>
      <c r="R3550" s="79" t="str">
        <f>IF(AND($N3550=$Q$7,$B3550&lt;'111'!$L$11),"x","")</f>
        <v/>
      </c>
      <c r="S3550" s="79" t="str">
        <f>IF(AND($O3550=$Q$7,$B3550&lt;'111'!$L$11),"x","")</f>
        <v/>
      </c>
      <c r="T3550" s="79" t="str">
        <f>IF(ISERROR(FIND('112'!$M$9,G3550,1)),"",IF((AND(FIND('112'!$M$9,G3550,1)&gt;=1,B3550='112'!$K$9,OR($N3550='112'!$I$6,$O3550='112'!$I$6))),"x",""))</f>
        <v/>
      </c>
      <c r="U3550" s="79" t="str">
        <f>IF(ISERROR(FIND('112'!$M$9,G3550,1)),"",IF((AND(LEFT(G3550,2)=LEFT('112'!$M$9,2),B3550&lt;'112'!$K$9,$N3550='112'!$I$6)),"x",""))</f>
        <v/>
      </c>
      <c r="V3550" s="79" t="str">
        <f>IF(ISERROR(FIND('112'!$M$9,G3550,1)),"",IF((AND(RIGHT(G3550,2)=RIGHT('112'!$M$9,2),B3550&lt;'112'!$K$9,$O3550='112'!$I$6)),"x",""))</f>
        <v/>
      </c>
      <c r="W3550" s="79" t="str">
        <f>IF(AND('341-CT'!$H$9=H3550,OR(LEFT(N3550,3)=$W$7,LEFT(O3550,3)=$W$7)),"x","")</f>
        <v/>
      </c>
      <c r="X3550" s="79" t="str">
        <f>IF(OR(TH!N3550=TH!$X$7,O3550=TH!$X$7),"x","")</f>
        <v/>
      </c>
      <c r="Y3550" s="79" t="str">
        <f>IF(AND(OR(N3550="131",O3550="131"),H3550='131-CT'!$H$9),"x","")</f>
        <v/>
      </c>
      <c r="Z3550" s="79"/>
      <c r="AA3550" s="79" t="str">
        <f>IF(AND(MONTH(E3550)='IN-NX'!$J$5,'IN-NX'!$D$7=D3550),"x","")</f>
        <v/>
      </c>
      <c r="AB3550" s="79" t="str">
        <f>IF(AND(OR(LEFT(TH!N3550,2)="15",LEFT(TH!O3550,2)="15"),LEFT(TH!O3550,3)&lt;&gt;"111",'152-CT'!$J$8=TH!F3550),"x","")</f>
        <v/>
      </c>
      <c r="AC3550" s="79" t="str">
        <f>IF(AND(OR(LEFT(TH!N3550,2)="15",LEFT(TH!O3550,2)="15"),TK!$E$7=TH!F3550),"x","")</f>
        <v/>
      </c>
      <c r="AD3550" s="79" t="str">
        <f>IF(AND(N3550="1521",MONTH(C3550)='BK-NL'!$M$11),"x","")</f>
        <v/>
      </c>
    </row>
    <row r="3551" spans="1:30" ht="16.5" customHeight="1">
      <c r="A3551" s="318" t="str">
        <f>IF(B3551&lt;&gt;"",IF(AND(B3551='IN-TC'!$S$4,OR(TH!N3551="1111",TH!O3551="1111")),TH!D3551,""),"")</f>
        <v/>
      </c>
      <c r="B3551" s="60" t="str">
        <f t="shared" si="396"/>
        <v/>
      </c>
      <c r="C3551" s="61"/>
      <c r="D3551" s="61"/>
      <c r="E3551" s="61"/>
      <c r="F3551" s="64"/>
      <c r="G3551" s="64"/>
      <c r="H3551" s="69"/>
      <c r="I3551" s="385"/>
      <c r="J3551" s="395"/>
      <c r="K3551" s="385"/>
      <c r="L3551" s="392"/>
      <c r="M3551" s="62"/>
      <c r="N3551" s="63"/>
      <c r="O3551" s="63"/>
      <c r="P3551" s="79" t="str">
        <f>IF(AND('331-CT'!$E$7=TH!H3551,OR(N3551="331",O3551="331")),"x","")</f>
        <v/>
      </c>
      <c r="Q3551" s="79" t="str">
        <f>IF(AND(B3551='111'!$L$11,OR($N3551=$Q$7,$O3551=$Q$7)),"x","")</f>
        <v/>
      </c>
      <c r="R3551" s="79" t="str">
        <f>IF(AND($N3551=$Q$7,$B3551&lt;'111'!$L$11),"x","")</f>
        <v/>
      </c>
      <c r="S3551" s="79" t="str">
        <f>IF(AND($O3551=$Q$7,$B3551&lt;'111'!$L$11),"x","")</f>
        <v/>
      </c>
      <c r="T3551" s="79" t="str">
        <f>IF(ISERROR(FIND('112'!$M$9,G3551,1)),"",IF((AND(FIND('112'!$M$9,G3551,1)&gt;=1,B3551='112'!$K$9,OR($N3551='112'!$I$6,$O3551='112'!$I$6))),"x",""))</f>
        <v/>
      </c>
      <c r="U3551" s="79" t="str">
        <f>IF(ISERROR(FIND('112'!$M$9,G3551,1)),"",IF((AND(LEFT(G3551,2)=LEFT('112'!$M$9,2),B3551&lt;'112'!$K$9,$N3551='112'!$I$6)),"x",""))</f>
        <v/>
      </c>
      <c r="V3551" s="79" t="str">
        <f>IF(ISERROR(FIND('112'!$M$9,G3551,1)),"",IF((AND(RIGHT(G3551,2)=RIGHT('112'!$M$9,2),B3551&lt;'112'!$K$9,$O3551='112'!$I$6)),"x",""))</f>
        <v/>
      </c>
      <c r="W3551" s="79" t="str">
        <f>IF(AND('341-CT'!$H$9=H3551,OR(LEFT(N3551,3)=$W$7,LEFT(O3551,3)=$W$7)),"x","")</f>
        <v/>
      </c>
      <c r="X3551" s="79" t="str">
        <f>IF(OR(TH!N3551=TH!$X$7,O3551=TH!$X$7),"x","")</f>
        <v/>
      </c>
      <c r="Y3551" s="79" t="str">
        <f>IF(AND(OR(N3551="131",O3551="131"),H3551='131-CT'!$H$9),"x","")</f>
        <v/>
      </c>
      <c r="Z3551" s="79"/>
      <c r="AA3551" s="79" t="str">
        <f>IF(AND(MONTH(E3551)='IN-NX'!$J$5,'IN-NX'!$D$7=D3551),"x","")</f>
        <v/>
      </c>
      <c r="AB3551" s="79" t="str">
        <f>IF(AND(OR(LEFT(TH!N3551,2)="15",LEFT(TH!O3551,2)="15"),LEFT(TH!O3551,3)&lt;&gt;"111",'152-CT'!$J$8=TH!F3551),"x","")</f>
        <v/>
      </c>
      <c r="AC3551" s="79" t="str">
        <f>IF(AND(OR(LEFT(TH!N3551,2)="15",LEFT(TH!O3551,2)="15"),TK!$E$7=TH!F3551),"x","")</f>
        <v/>
      </c>
      <c r="AD3551" s="79" t="str">
        <f>IF(AND(N3551="1521",MONTH(C3551)='BK-NL'!$M$11),"x","")</f>
        <v/>
      </c>
    </row>
    <row r="3552" spans="1:30" s="313" customFormat="1" ht="16.5" customHeight="1">
      <c r="A3552" s="318"/>
      <c r="B3552" s="60" t="str">
        <f t="shared" si="396"/>
        <v/>
      </c>
      <c r="C3552" s="61"/>
      <c r="D3552" s="61"/>
      <c r="E3552" s="61"/>
      <c r="F3552" s="64"/>
      <c r="G3552" s="64"/>
      <c r="H3552" s="321"/>
      <c r="I3552" s="385"/>
      <c r="J3552" s="395"/>
      <c r="K3552" s="385"/>
      <c r="L3552" s="392"/>
      <c r="M3552" s="62"/>
      <c r="N3552" s="63"/>
      <c r="O3552" s="63"/>
      <c r="P3552" s="79" t="str">
        <f>IF(AND('331-CT'!$E$7=TH!H3552,OR(N3552="331",O3552="331")),"x","")</f>
        <v/>
      </c>
      <c r="Q3552" s="79" t="str">
        <f>IF(AND(B3552='111'!$L$11,OR($N3552=$Q$7,$O3552=$Q$7)),"x","")</f>
        <v/>
      </c>
      <c r="R3552" s="79" t="str">
        <f>IF(AND($N3552=$Q$7,$B3552&lt;'111'!$L$11),"x","")</f>
        <v/>
      </c>
      <c r="S3552" s="79" t="str">
        <f>IF(AND($O3552=$Q$7,$B3552&lt;'111'!$L$11),"x","")</f>
        <v/>
      </c>
      <c r="T3552" s="79" t="str">
        <f>IF(ISERROR(FIND('112'!$M$9,G3552,1)),"",IF((AND(FIND('112'!$M$9,G3552,1)&gt;=1,B3552='112'!$K$9,OR($N3552='112'!$I$6,$O3552='112'!$I$6))),"x",""))</f>
        <v/>
      </c>
      <c r="U3552" s="79" t="str">
        <f>IF(ISERROR(FIND('112'!$M$9,G3552,1)),"",IF((AND(LEFT(G3552,2)=LEFT('112'!$M$9,2),B3552&lt;'112'!$K$9,$N3552='112'!$I$6)),"x",""))</f>
        <v/>
      </c>
      <c r="V3552" s="79" t="str">
        <f>IF(ISERROR(FIND('112'!$M$9,G3552,1)),"",IF((AND(RIGHT(G3552,2)=RIGHT('112'!$M$9,2),B3552&lt;'112'!$K$9,$O3552='112'!$I$6)),"x",""))</f>
        <v/>
      </c>
      <c r="W3552" s="79" t="str">
        <f>IF(AND('341-CT'!$H$9=H3552,OR(LEFT(N3552,3)=$W$7,LEFT(O3552,3)=$W$7)),"x","")</f>
        <v/>
      </c>
      <c r="X3552" s="79" t="str">
        <f>IF(OR(TH!N3552=TH!$X$7,O3552=TH!$X$7),"x","")</f>
        <v/>
      </c>
      <c r="Y3552" s="79" t="str">
        <f>IF(AND(OR(N3552="131",O3552="131"),H3552='131-CT'!$H$9),"x","")</f>
        <v/>
      </c>
      <c r="Z3552" s="79"/>
      <c r="AA3552" s="79" t="str">
        <f>IF(AND(MONTH(E3552)='IN-NX'!$J$5,'IN-NX'!$D$7=D3552),"x","")</f>
        <v/>
      </c>
      <c r="AB3552" s="79" t="str">
        <f>IF(AND(OR(LEFT(TH!N3552,2)="15",LEFT(TH!O3552,2)="15"),LEFT(TH!O3552,3)&lt;&gt;"111",'152-CT'!$J$8=TH!F3552),"x","")</f>
        <v/>
      </c>
      <c r="AC3552" s="79" t="str">
        <f>IF(AND(OR(LEFT(TH!N3552,2)="15",LEFT(TH!O3552,2)="15"),TK!$E$7=TH!F3552),"x","")</f>
        <v/>
      </c>
      <c r="AD3552" s="79" t="str">
        <f>IF(AND(N3552="1521",MONTH(C3552)='BK-NL'!$M$11),"x","")</f>
        <v/>
      </c>
    </row>
    <row r="3553" spans="1:30" ht="16.5" customHeight="1">
      <c r="A3553" s="318" t="str">
        <f>IF(B3553&lt;&gt;"",IF(AND(B3553='IN-TC'!$S$4,OR(TH!N3553="1111",TH!O3553="1111")),TH!D3553,""),"")</f>
        <v/>
      </c>
      <c r="B3553" s="60" t="str">
        <f t="shared" si="396"/>
        <v/>
      </c>
      <c r="C3553" s="61"/>
      <c r="D3553" s="61"/>
      <c r="E3553" s="61"/>
      <c r="F3553" s="64"/>
      <c r="G3553" s="64"/>
      <c r="H3553" s="69"/>
      <c r="I3553" s="385"/>
      <c r="J3553" s="395"/>
      <c r="K3553" s="385"/>
      <c r="L3553" s="392"/>
      <c r="M3553" s="62"/>
      <c r="N3553" s="63"/>
      <c r="O3553" s="63"/>
      <c r="P3553" s="79" t="str">
        <f>IF(AND('331-CT'!$E$7=TH!H3553,OR(N3553="331",O3553="331")),"x","")</f>
        <v/>
      </c>
      <c r="Q3553" s="79" t="str">
        <f>IF(AND(B3553='111'!$L$11,OR($N3553=$Q$7,$O3553=$Q$7)),"x","")</f>
        <v/>
      </c>
      <c r="R3553" s="79" t="str">
        <f>IF(AND($N3553=$Q$7,$B3553&lt;'111'!$L$11),"x","")</f>
        <v/>
      </c>
      <c r="S3553" s="79" t="str">
        <f>IF(AND($O3553=$Q$7,$B3553&lt;'111'!$L$11),"x","")</f>
        <v/>
      </c>
      <c r="T3553" s="79" t="str">
        <f>IF(ISERROR(FIND('112'!$M$9,G3553,1)),"",IF((AND(FIND('112'!$M$9,G3553,1)&gt;=1,B3553='112'!$K$9,OR($N3553='112'!$I$6,$O3553='112'!$I$6))),"x",""))</f>
        <v/>
      </c>
      <c r="U3553" s="79" t="str">
        <f>IF(ISERROR(FIND('112'!$M$9,G3553,1)),"",IF((AND(LEFT(G3553,2)=LEFT('112'!$M$9,2),B3553&lt;'112'!$K$9,$N3553='112'!$I$6)),"x",""))</f>
        <v/>
      </c>
      <c r="V3553" s="79" t="str">
        <f>IF(ISERROR(FIND('112'!$M$9,G3553,1)),"",IF((AND(RIGHT(G3553,2)=RIGHT('112'!$M$9,2),B3553&lt;'112'!$K$9,$O3553='112'!$I$6)),"x",""))</f>
        <v/>
      </c>
      <c r="W3553" s="79" t="str">
        <f>IF(AND('341-CT'!$H$9=H3553,OR(LEFT(N3553,3)=$W$7,LEFT(O3553,3)=$W$7)),"x","")</f>
        <v/>
      </c>
      <c r="X3553" s="79" t="str">
        <f>IF(OR(TH!N3553=TH!$X$7,O3553=TH!$X$7),"x","")</f>
        <v/>
      </c>
      <c r="Y3553" s="79" t="str">
        <f>IF(AND(OR(N3553="131",O3553="131"),H3553='131-CT'!$H$9),"x","")</f>
        <v/>
      </c>
      <c r="Z3553" s="79"/>
      <c r="AA3553" s="79" t="str">
        <f>IF(AND(MONTH(E3553)='IN-NX'!$J$5,'IN-NX'!$D$7=D3553),"x","")</f>
        <v/>
      </c>
      <c r="AB3553" s="79" t="str">
        <f>IF(AND(OR(LEFT(TH!N3553,2)="15",LEFT(TH!O3553,2)="15"),LEFT(TH!O3553,3)&lt;&gt;"111",'152-CT'!$J$8=TH!F3553),"x","")</f>
        <v/>
      </c>
      <c r="AC3553" s="79" t="str">
        <f>IF(AND(OR(LEFT(TH!N3553,2)="15",LEFT(TH!O3553,2)="15"),TK!$E$7=TH!F3553),"x","")</f>
        <v/>
      </c>
      <c r="AD3553" s="79" t="str">
        <f>IF(AND(N3553="1521",MONTH(C3553)='BK-NL'!$M$11),"x","")</f>
        <v/>
      </c>
    </row>
    <row r="3554" spans="1:30" ht="16.5" customHeight="1">
      <c r="A3554" s="318" t="str">
        <f>IF(B3554&lt;&gt;"",IF(AND(B3554='IN-TC'!$S$4,OR(TH!N3554="1111",TH!O3554="1111")),TH!D3554,""),"")</f>
        <v/>
      </c>
      <c r="B3554" s="60" t="str">
        <f t="shared" si="396"/>
        <v/>
      </c>
      <c r="C3554" s="61"/>
      <c r="D3554" s="61"/>
      <c r="E3554" s="61"/>
      <c r="F3554" s="64"/>
      <c r="G3554" s="64"/>
      <c r="H3554" s="69"/>
      <c r="I3554" s="385"/>
      <c r="J3554" s="395"/>
      <c r="K3554" s="385"/>
      <c r="L3554" s="392"/>
      <c r="M3554" s="62"/>
      <c r="N3554" s="63"/>
      <c r="O3554" s="63"/>
      <c r="P3554" s="79" t="str">
        <f>IF(AND('331-CT'!$E$7=TH!H3554,OR(N3554="331",O3554="331")),"x","")</f>
        <v/>
      </c>
      <c r="Q3554" s="79" t="str">
        <f>IF(AND(B3554='111'!$L$11,OR($N3554=$Q$7,$O3554=$Q$7)),"x","")</f>
        <v/>
      </c>
      <c r="R3554" s="79" t="str">
        <f>IF(AND($N3554=$Q$7,$B3554&lt;'111'!$L$11),"x","")</f>
        <v/>
      </c>
      <c r="S3554" s="79" t="str">
        <f>IF(AND($O3554=$Q$7,$B3554&lt;'111'!$L$11),"x","")</f>
        <v/>
      </c>
      <c r="T3554" s="79" t="str">
        <f>IF(ISERROR(FIND('112'!$M$9,G3554,1)),"",IF((AND(FIND('112'!$M$9,G3554,1)&gt;=1,B3554='112'!$K$9,OR($N3554='112'!$I$6,$O3554='112'!$I$6))),"x",""))</f>
        <v/>
      </c>
      <c r="U3554" s="79" t="str">
        <f>IF(ISERROR(FIND('112'!$M$9,G3554,1)),"",IF((AND(LEFT(G3554,2)=LEFT('112'!$M$9,2),B3554&lt;'112'!$K$9,$N3554='112'!$I$6)),"x",""))</f>
        <v/>
      </c>
      <c r="V3554" s="79" t="str">
        <f>IF(ISERROR(FIND('112'!$M$9,G3554,1)),"",IF((AND(RIGHT(G3554,2)=RIGHT('112'!$M$9,2),B3554&lt;'112'!$K$9,$O3554='112'!$I$6)),"x",""))</f>
        <v/>
      </c>
      <c r="W3554" s="79" t="str">
        <f>IF(AND('341-CT'!$H$9=H3554,OR(LEFT(N3554,3)=$W$7,LEFT(O3554,3)=$W$7)),"x","")</f>
        <v/>
      </c>
      <c r="X3554" s="79" t="str">
        <f>IF(OR(TH!N3554=TH!$X$7,O3554=TH!$X$7),"x","")</f>
        <v/>
      </c>
      <c r="Y3554" s="79" t="str">
        <f>IF(AND(OR(N3554="131",O3554="131"),H3554='131-CT'!$H$9),"x","")</f>
        <v/>
      </c>
      <c r="Z3554" s="79"/>
      <c r="AA3554" s="79" t="str">
        <f>IF(AND(MONTH(E3554)='IN-NX'!$J$5,'IN-NX'!$D$7=D3554),"x","")</f>
        <v/>
      </c>
      <c r="AB3554" s="79" t="str">
        <f>IF(AND(OR(LEFT(TH!N3554,2)="15",LEFT(TH!O3554,2)="15"),LEFT(TH!O3554,3)&lt;&gt;"111",'152-CT'!$J$8=TH!F3554),"x","")</f>
        <v/>
      </c>
      <c r="AC3554" s="79" t="str">
        <f>IF(AND(OR(LEFT(TH!N3554,2)="15",LEFT(TH!O3554,2)="15"),TK!$E$7=TH!F3554),"x","")</f>
        <v/>
      </c>
      <c r="AD3554" s="79" t="str">
        <f>IF(AND(N3554="1521",MONTH(C3554)='BK-NL'!$M$11),"x","")</f>
        <v/>
      </c>
    </row>
    <row r="3555" spans="1:30" ht="16.5" customHeight="1">
      <c r="A3555" s="318" t="str">
        <f>IF(B3555&lt;&gt;"",IF(AND(B3555='IN-TC'!$S$4,OR(TH!N3555="1111",TH!O3555="1111")),TH!D3555,""),"")</f>
        <v/>
      </c>
      <c r="B3555" s="60" t="str">
        <f t="shared" si="396"/>
        <v/>
      </c>
      <c r="C3555" s="61"/>
      <c r="D3555" s="61"/>
      <c r="E3555" s="61"/>
      <c r="F3555" s="64"/>
      <c r="G3555" s="64"/>
      <c r="H3555" s="69"/>
      <c r="I3555" s="385"/>
      <c r="J3555" s="395"/>
      <c r="K3555" s="385"/>
      <c r="L3555" s="392"/>
      <c r="M3555" s="62"/>
      <c r="N3555" s="63"/>
      <c r="O3555" s="63"/>
      <c r="P3555" s="79" t="str">
        <f>IF(AND('331-CT'!$E$7=TH!H3555,OR(N3555="331",O3555="331")),"x","")</f>
        <v/>
      </c>
      <c r="Q3555" s="79" t="str">
        <f>IF(AND(B3555='111'!$L$11,OR($N3555=$Q$7,$O3555=$Q$7)),"x","")</f>
        <v/>
      </c>
      <c r="R3555" s="79" t="str">
        <f>IF(AND($N3555=$Q$7,$B3555&lt;'111'!$L$11),"x","")</f>
        <v/>
      </c>
      <c r="S3555" s="79" t="str">
        <f>IF(AND($O3555=$Q$7,$B3555&lt;'111'!$L$11),"x","")</f>
        <v/>
      </c>
      <c r="T3555" s="79" t="str">
        <f>IF(ISERROR(FIND('112'!$M$9,G3555,1)),"",IF((AND(FIND('112'!$M$9,G3555,1)&gt;=1,B3555='112'!$K$9,OR($N3555='112'!$I$6,$O3555='112'!$I$6))),"x",""))</f>
        <v/>
      </c>
      <c r="U3555" s="79" t="str">
        <f>IF(ISERROR(FIND('112'!$M$9,G3555,1)),"",IF((AND(LEFT(G3555,2)=LEFT('112'!$M$9,2),B3555&lt;'112'!$K$9,$N3555='112'!$I$6)),"x",""))</f>
        <v/>
      </c>
      <c r="V3555" s="79" t="str">
        <f>IF(ISERROR(FIND('112'!$M$9,G3555,1)),"",IF((AND(RIGHT(G3555,2)=RIGHT('112'!$M$9,2),B3555&lt;'112'!$K$9,$O3555='112'!$I$6)),"x",""))</f>
        <v/>
      </c>
      <c r="W3555" s="79" t="str">
        <f>IF(AND('341-CT'!$H$9=H3555,OR(LEFT(N3555,3)=$W$7,LEFT(O3555,3)=$W$7)),"x","")</f>
        <v/>
      </c>
      <c r="X3555" s="79" t="str">
        <f>IF(OR(TH!N3555=TH!$X$7,O3555=TH!$X$7),"x","")</f>
        <v/>
      </c>
      <c r="Y3555" s="79" t="str">
        <f>IF(AND(OR(N3555="131",O3555="131"),H3555='131-CT'!$H$9),"x","")</f>
        <v/>
      </c>
      <c r="Z3555" s="79"/>
      <c r="AA3555" s="79" t="str">
        <f>IF(AND(MONTH(E3555)='IN-NX'!$J$5,'IN-NX'!$D$7=D3555),"x","")</f>
        <v/>
      </c>
      <c r="AB3555" s="79" t="str">
        <f>IF(AND(OR(LEFT(TH!N3555,2)="15",LEFT(TH!O3555,2)="15"),LEFT(TH!O3555,3)&lt;&gt;"111",'152-CT'!$J$8=TH!F3555),"x","")</f>
        <v/>
      </c>
      <c r="AC3555" s="79" t="str">
        <f>IF(AND(OR(LEFT(TH!N3555,2)="15",LEFT(TH!O3555,2)="15"),TK!$E$7=TH!F3555),"x","")</f>
        <v/>
      </c>
      <c r="AD3555" s="79" t="str">
        <f>IF(AND(N3555="1521",MONTH(C3555)='BK-NL'!$M$11),"x","")</f>
        <v/>
      </c>
    </row>
    <row r="3556" spans="1:30" ht="16.5" customHeight="1">
      <c r="A3556" s="318" t="str">
        <f>IF(B3556&lt;&gt;"",IF(AND(B3556='IN-TC'!$S$4,OR(TH!N3556="1111",TH!O3556="1111")),TH!D3556,""),"")</f>
        <v/>
      </c>
      <c r="B3556" s="60" t="str">
        <f t="shared" si="396"/>
        <v/>
      </c>
      <c r="C3556" s="61"/>
      <c r="D3556" s="61"/>
      <c r="E3556" s="61"/>
      <c r="F3556" s="64"/>
      <c r="G3556" s="64"/>
      <c r="H3556" s="69"/>
      <c r="I3556" s="385"/>
      <c r="J3556" s="395"/>
      <c r="K3556" s="385"/>
      <c r="L3556" s="392"/>
      <c r="M3556" s="62"/>
      <c r="N3556" s="63"/>
      <c r="O3556" s="63"/>
      <c r="P3556" s="79" t="str">
        <f>IF(AND('331-CT'!$E$7=TH!H3556,OR(N3556="331",O3556="331")),"x","")</f>
        <v/>
      </c>
      <c r="Q3556" s="79" t="str">
        <f>IF(AND(B3556='111'!$L$11,OR($N3556=$Q$7,$O3556=$Q$7)),"x","")</f>
        <v/>
      </c>
      <c r="R3556" s="79" t="str">
        <f>IF(AND($N3556=$Q$7,$B3556&lt;'111'!$L$11),"x","")</f>
        <v/>
      </c>
      <c r="S3556" s="79" t="str">
        <f>IF(AND($O3556=$Q$7,$B3556&lt;'111'!$L$11),"x","")</f>
        <v/>
      </c>
      <c r="T3556" s="79" t="str">
        <f>IF(ISERROR(FIND('112'!$M$9,G3556,1)),"",IF((AND(FIND('112'!$M$9,G3556,1)&gt;=1,B3556='112'!$K$9,OR($N3556='112'!$I$6,$O3556='112'!$I$6))),"x",""))</f>
        <v/>
      </c>
      <c r="U3556" s="79" t="str">
        <f>IF(ISERROR(FIND('112'!$M$9,G3556,1)),"",IF((AND(LEFT(G3556,2)=LEFT('112'!$M$9,2),B3556&lt;'112'!$K$9,$N3556='112'!$I$6)),"x",""))</f>
        <v/>
      </c>
      <c r="V3556" s="79" t="str">
        <f>IF(ISERROR(FIND('112'!$M$9,G3556,1)),"",IF((AND(RIGHT(G3556,2)=RIGHT('112'!$M$9,2),B3556&lt;'112'!$K$9,$O3556='112'!$I$6)),"x",""))</f>
        <v/>
      </c>
      <c r="W3556" s="79" t="str">
        <f>IF(AND('341-CT'!$H$9=H3556,OR(LEFT(N3556,3)=$W$7,LEFT(O3556,3)=$W$7)),"x","")</f>
        <v/>
      </c>
      <c r="X3556" s="79" t="str">
        <f>IF(OR(TH!N3556=TH!$X$7,O3556=TH!$X$7),"x","")</f>
        <v/>
      </c>
      <c r="Y3556" s="79" t="str">
        <f>IF(AND(OR(N3556="131",O3556="131"),H3556='131-CT'!$H$9),"x","")</f>
        <v/>
      </c>
      <c r="Z3556" s="79"/>
      <c r="AA3556" s="79" t="str">
        <f>IF(AND(MONTH(E3556)='IN-NX'!$J$5,'IN-NX'!$D$7=D3556),"x","")</f>
        <v/>
      </c>
      <c r="AB3556" s="79" t="str">
        <f>IF(AND(OR(LEFT(TH!N3556,2)="15",LEFT(TH!O3556,2)="15"),LEFT(TH!O3556,3)&lt;&gt;"111",'152-CT'!$J$8=TH!F3556),"x","")</f>
        <v/>
      </c>
      <c r="AC3556" s="79" t="str">
        <f>IF(AND(OR(LEFT(TH!N3556,2)="15",LEFT(TH!O3556,2)="15"),TK!$E$7=TH!F3556),"x","")</f>
        <v/>
      </c>
      <c r="AD3556" s="79" t="str">
        <f>IF(AND(N3556="1521",MONTH(C3556)='BK-NL'!$M$11),"x","")</f>
        <v/>
      </c>
    </row>
    <row r="3557" spans="1:30" s="313" customFormat="1" ht="16.5" customHeight="1">
      <c r="A3557" s="318"/>
      <c r="B3557" s="60" t="str">
        <f t="shared" si="396"/>
        <v/>
      </c>
      <c r="C3557" s="61"/>
      <c r="D3557" s="301"/>
      <c r="E3557" s="61"/>
      <c r="F3557" s="64"/>
      <c r="G3557" s="64"/>
      <c r="H3557" s="69"/>
      <c r="I3557" s="385"/>
      <c r="J3557" s="395"/>
      <c r="K3557" s="385"/>
      <c r="L3557" s="392"/>
      <c r="M3557" s="62"/>
      <c r="N3557" s="63"/>
      <c r="O3557" s="63"/>
      <c r="P3557" s="79" t="str">
        <f>IF(AND('331-CT'!$E$7=TH!H3557,OR(N3557="331",O3557="331")),"x","")</f>
        <v/>
      </c>
      <c r="Q3557" s="79" t="str">
        <f>IF(AND(B3557='111'!$L$11,OR($N3557=$Q$7,$O3557=$Q$7)),"x","")</f>
        <v/>
      </c>
      <c r="R3557" s="79" t="str">
        <f>IF(AND($N3557=$Q$7,$B3557&lt;'111'!$L$11),"x","")</f>
        <v/>
      </c>
      <c r="S3557" s="79" t="str">
        <f>IF(AND($O3557=$Q$7,$B3557&lt;'111'!$L$11),"x","")</f>
        <v/>
      </c>
      <c r="T3557" s="79" t="str">
        <f>IF(ISERROR(FIND('112'!$M$9,G3557,1)),"",IF((AND(FIND('112'!$M$9,G3557,1)&gt;=1,B3557='112'!$K$9,OR($N3557='112'!$I$6,$O3557='112'!$I$6))),"x",""))</f>
        <v/>
      </c>
      <c r="U3557" s="79" t="str">
        <f>IF(ISERROR(FIND('112'!$M$9,G3557,1)),"",IF((AND(LEFT(G3557,2)=LEFT('112'!$M$9,2),B3557&lt;'112'!$K$9,$N3557='112'!$I$6)),"x",""))</f>
        <v/>
      </c>
      <c r="V3557" s="79" t="str">
        <f>IF(ISERROR(FIND('112'!$M$9,G3557,1)),"",IF((AND(RIGHT(G3557,2)=RIGHT('112'!$M$9,2),B3557&lt;'112'!$K$9,$O3557='112'!$I$6)),"x",""))</f>
        <v/>
      </c>
      <c r="W3557" s="79" t="str">
        <f>IF(AND('341-CT'!$H$9=H3557,OR(LEFT(N3557,3)=$W$7,LEFT(O3557,3)=$W$7)),"x","")</f>
        <v/>
      </c>
      <c r="X3557" s="79" t="str">
        <f>IF(OR(TH!N3557=TH!$X$7,O3557=TH!$X$7),"x","")</f>
        <v/>
      </c>
      <c r="Y3557" s="79" t="str">
        <f>IF(AND(OR(N3557="131",O3557="131"),H3557='131-CT'!$H$9),"x","")</f>
        <v/>
      </c>
      <c r="Z3557" s="79"/>
      <c r="AA3557" s="79" t="str">
        <f>IF(AND(MONTH(E3557)='IN-NX'!$J$5,'IN-NX'!$D$7=D3557),"x","")</f>
        <v/>
      </c>
      <c r="AB3557" s="79" t="str">
        <f>IF(AND(OR(LEFT(TH!N3557,2)="15",LEFT(TH!O3557,2)="15"),LEFT(TH!O3557,3)&lt;&gt;"111",'152-CT'!$J$8=TH!F3557),"x","")</f>
        <v/>
      </c>
      <c r="AC3557" s="79" t="str">
        <f>IF(AND(OR(LEFT(TH!N3557,2)="15",LEFT(TH!O3557,2)="15"),TK!$E$7=TH!F3557),"x","")</f>
        <v/>
      </c>
      <c r="AD3557" s="79" t="str">
        <f>IF(AND(N3557="1521",MONTH(C3557)='BK-NL'!$M$11),"x","")</f>
        <v/>
      </c>
    </row>
    <row r="3558" spans="1:30" s="313" customFormat="1" ht="16.5" customHeight="1">
      <c r="A3558" s="318"/>
      <c r="B3558" s="60" t="str">
        <f t="shared" si="396"/>
        <v/>
      </c>
      <c r="C3558" s="61"/>
      <c r="D3558" s="61"/>
      <c r="E3558" s="61"/>
      <c r="F3558" s="64"/>
      <c r="G3558" s="64"/>
      <c r="H3558" s="69"/>
      <c r="I3558" s="385"/>
      <c r="J3558" s="395"/>
      <c r="K3558" s="385"/>
      <c r="L3558" s="392"/>
      <c r="M3558" s="62"/>
      <c r="N3558" s="63"/>
      <c r="O3558" s="63"/>
      <c r="P3558" s="79" t="str">
        <f>IF(AND('331-CT'!$E$7=TH!H3558,OR(N3558="331",O3558="331")),"x","")</f>
        <v/>
      </c>
      <c r="Q3558" s="79" t="str">
        <f>IF(AND(B3558='111'!$L$11,OR($N3558=$Q$7,$O3558=$Q$7)),"x","")</f>
        <v/>
      </c>
      <c r="R3558" s="79" t="str">
        <f>IF(AND($N3558=$Q$7,$B3558&lt;'111'!$L$11),"x","")</f>
        <v/>
      </c>
      <c r="S3558" s="79" t="str">
        <f>IF(AND($O3558=$Q$7,$B3558&lt;'111'!$L$11),"x","")</f>
        <v/>
      </c>
      <c r="T3558" s="79" t="str">
        <f>IF(ISERROR(FIND('112'!$M$9,G3558,1)),"",IF((AND(FIND('112'!$M$9,G3558,1)&gt;=1,B3558='112'!$K$9,OR($N3558='112'!$I$6,$O3558='112'!$I$6))),"x",""))</f>
        <v/>
      </c>
      <c r="U3558" s="79" t="str">
        <f>IF(ISERROR(FIND('112'!$M$9,G3558,1)),"",IF((AND(LEFT(G3558,2)=LEFT('112'!$M$9,2),B3558&lt;'112'!$K$9,$N3558='112'!$I$6)),"x",""))</f>
        <v/>
      </c>
      <c r="V3558" s="79" t="str">
        <f>IF(ISERROR(FIND('112'!$M$9,G3558,1)),"",IF((AND(RIGHT(G3558,2)=RIGHT('112'!$M$9,2),B3558&lt;'112'!$K$9,$O3558='112'!$I$6)),"x",""))</f>
        <v/>
      </c>
      <c r="W3558" s="79" t="str">
        <f>IF(AND('341-CT'!$H$9=H3558,OR(LEFT(N3558,3)=$W$7,LEFT(O3558,3)=$W$7)),"x","")</f>
        <v/>
      </c>
      <c r="X3558" s="79" t="str">
        <f>IF(OR(TH!N3558=TH!$X$7,O3558=TH!$X$7),"x","")</f>
        <v/>
      </c>
      <c r="Y3558" s="79" t="str">
        <f>IF(AND(OR(N3558="131",O3558="131"),H3558='131-CT'!$H$9),"x","")</f>
        <v/>
      </c>
      <c r="Z3558" s="79"/>
      <c r="AA3558" s="79" t="str">
        <f>IF(AND(MONTH(E3558)='IN-NX'!$J$5,'IN-NX'!$D$7=D3558),"x","")</f>
        <v/>
      </c>
      <c r="AB3558" s="79" t="str">
        <f>IF(AND(OR(LEFT(TH!N3558,2)="15",LEFT(TH!O3558,2)="15"),LEFT(TH!O3558,3)&lt;&gt;"111",'152-CT'!$J$8=TH!F3558),"x","")</f>
        <v/>
      </c>
      <c r="AC3558" s="79" t="str">
        <f>IF(AND(OR(LEFT(TH!N3558,2)="15",LEFT(TH!O3558,2)="15"),TK!$E$7=TH!F3558),"x","")</f>
        <v/>
      </c>
      <c r="AD3558" s="79" t="str">
        <f>IF(AND(N3558="1521",MONTH(C3558)='BK-NL'!$M$11),"x","")</f>
        <v/>
      </c>
    </row>
    <row r="3559" spans="1:30" s="313" customFormat="1" ht="16.5" customHeight="1">
      <c r="A3559" s="318"/>
      <c r="B3559" s="60" t="str">
        <f t="shared" si="396"/>
        <v/>
      </c>
      <c r="C3559" s="61"/>
      <c r="D3559" s="61"/>
      <c r="E3559" s="61"/>
      <c r="F3559" s="64"/>
      <c r="G3559" s="64"/>
      <c r="H3559" s="69"/>
      <c r="I3559" s="385"/>
      <c r="J3559" s="395"/>
      <c r="K3559" s="385"/>
      <c r="L3559" s="392"/>
      <c r="M3559" s="62"/>
      <c r="N3559" s="63"/>
      <c r="O3559" s="63"/>
      <c r="P3559" s="79" t="str">
        <f>IF(AND('331-CT'!$E$7=TH!H3559,OR(N3559="331",O3559="331")),"x","")</f>
        <v/>
      </c>
      <c r="Q3559" s="79" t="str">
        <f>IF(AND(B3559='111'!$L$11,OR($N3559=$Q$7,$O3559=$Q$7)),"x","")</f>
        <v/>
      </c>
      <c r="R3559" s="79" t="str">
        <f>IF(AND($N3559=$Q$7,$B3559&lt;'111'!$L$11),"x","")</f>
        <v/>
      </c>
      <c r="S3559" s="79" t="str">
        <f>IF(AND($O3559=$Q$7,$B3559&lt;'111'!$L$11),"x","")</f>
        <v/>
      </c>
      <c r="T3559" s="79" t="str">
        <f>IF(ISERROR(FIND('112'!$M$9,G3559,1)),"",IF((AND(FIND('112'!$M$9,G3559,1)&gt;=1,B3559='112'!$K$9,OR($N3559='112'!$I$6,$O3559='112'!$I$6))),"x",""))</f>
        <v/>
      </c>
      <c r="U3559" s="79" t="str">
        <f>IF(ISERROR(FIND('112'!$M$9,G3559,1)),"",IF((AND(LEFT(G3559,2)=LEFT('112'!$M$9,2),B3559&lt;'112'!$K$9,$N3559='112'!$I$6)),"x",""))</f>
        <v/>
      </c>
      <c r="V3559" s="79" t="str">
        <f>IF(ISERROR(FIND('112'!$M$9,G3559,1)),"",IF((AND(RIGHT(G3559,2)=RIGHT('112'!$M$9,2),B3559&lt;'112'!$K$9,$O3559='112'!$I$6)),"x",""))</f>
        <v/>
      </c>
      <c r="W3559" s="79" t="str">
        <f>IF(AND('341-CT'!$H$9=H3559,OR(LEFT(N3559,3)=$W$7,LEFT(O3559,3)=$W$7)),"x","")</f>
        <v/>
      </c>
      <c r="X3559" s="79" t="str">
        <f>IF(OR(TH!N3559=TH!$X$7,O3559=TH!$X$7),"x","")</f>
        <v/>
      </c>
      <c r="Y3559" s="79" t="str">
        <f>IF(AND(OR(N3559="131",O3559="131"),H3559='131-CT'!$H$9),"x","")</f>
        <v/>
      </c>
      <c r="Z3559" s="79"/>
      <c r="AA3559" s="79" t="str">
        <f>IF(AND(MONTH(E3559)='IN-NX'!$J$5,'IN-NX'!$D$7=D3559),"x","")</f>
        <v/>
      </c>
      <c r="AB3559" s="79" t="str">
        <f>IF(AND(OR(LEFT(TH!N3559,2)="15",LEFT(TH!O3559,2)="15"),LEFT(TH!O3559,3)&lt;&gt;"111",'152-CT'!$J$8=TH!F3559),"x","")</f>
        <v/>
      </c>
      <c r="AC3559" s="79" t="str">
        <f>IF(AND(OR(LEFT(TH!N3559,2)="15",LEFT(TH!O3559,2)="15"),TK!$E$7=TH!F3559),"x","")</f>
        <v/>
      </c>
      <c r="AD3559" s="79" t="str">
        <f>IF(AND(N3559="1521",MONTH(C3559)='BK-NL'!$M$11),"x","")</f>
        <v/>
      </c>
    </row>
    <row r="3560" spans="1:30" s="313" customFormat="1" ht="16.5" customHeight="1">
      <c r="A3560" s="318"/>
      <c r="B3560" s="60" t="str">
        <f t="shared" si="396"/>
        <v/>
      </c>
      <c r="C3560" s="61"/>
      <c r="D3560" s="61"/>
      <c r="E3560" s="61"/>
      <c r="F3560" s="64"/>
      <c r="G3560" s="64"/>
      <c r="H3560" s="69"/>
      <c r="I3560" s="385"/>
      <c r="J3560" s="395"/>
      <c r="K3560" s="385"/>
      <c r="L3560" s="392"/>
      <c r="M3560" s="62"/>
      <c r="N3560" s="63"/>
      <c r="O3560" s="63"/>
      <c r="P3560" s="79" t="str">
        <f>IF(AND('331-CT'!$E$7=TH!H3560,OR(N3560="331",O3560="331")),"x","")</f>
        <v/>
      </c>
      <c r="Q3560" s="79" t="str">
        <f>IF(AND(B3560='111'!$L$11,OR($N3560=$Q$7,$O3560=$Q$7)),"x","")</f>
        <v/>
      </c>
      <c r="R3560" s="79" t="str">
        <f>IF(AND($N3560=$Q$7,$B3560&lt;'111'!$L$11),"x","")</f>
        <v/>
      </c>
      <c r="S3560" s="79" t="str">
        <f>IF(AND($O3560=$Q$7,$B3560&lt;'111'!$L$11),"x","")</f>
        <v/>
      </c>
      <c r="T3560" s="79" t="str">
        <f>IF(ISERROR(FIND('112'!$M$9,G3560,1)),"",IF((AND(FIND('112'!$M$9,G3560,1)&gt;=1,B3560='112'!$K$9,OR($N3560='112'!$I$6,$O3560='112'!$I$6))),"x",""))</f>
        <v/>
      </c>
      <c r="U3560" s="79" t="str">
        <f>IF(ISERROR(FIND('112'!$M$9,G3560,1)),"",IF((AND(LEFT(G3560,2)=LEFT('112'!$M$9,2),B3560&lt;'112'!$K$9,$N3560='112'!$I$6)),"x",""))</f>
        <v/>
      </c>
      <c r="V3560" s="79" t="str">
        <f>IF(ISERROR(FIND('112'!$M$9,G3560,1)),"",IF((AND(RIGHT(G3560,2)=RIGHT('112'!$M$9,2),B3560&lt;'112'!$K$9,$O3560='112'!$I$6)),"x",""))</f>
        <v/>
      </c>
      <c r="W3560" s="79" t="str">
        <f>IF(AND('341-CT'!$H$9=H3560,OR(LEFT(N3560,3)=$W$7,LEFT(O3560,3)=$W$7)),"x","")</f>
        <v/>
      </c>
      <c r="X3560" s="79" t="str">
        <f>IF(OR(TH!N3560=TH!$X$7,O3560=TH!$X$7),"x","")</f>
        <v/>
      </c>
      <c r="Y3560" s="79" t="str">
        <f>IF(AND(OR(N3560="131",O3560="131"),H3560='131-CT'!$H$9),"x","")</f>
        <v/>
      </c>
      <c r="Z3560" s="79"/>
      <c r="AA3560" s="79" t="str">
        <f>IF(AND(MONTH(E3560)='IN-NX'!$J$5,'IN-NX'!$D$7=D3560),"x","")</f>
        <v/>
      </c>
      <c r="AB3560" s="79" t="str">
        <f>IF(AND(OR(LEFT(TH!N3560,2)="15",LEFT(TH!O3560,2)="15"),LEFT(TH!O3560,3)&lt;&gt;"111",'152-CT'!$J$8=TH!F3560),"x","")</f>
        <v/>
      </c>
      <c r="AC3560" s="79" t="str">
        <f>IF(AND(OR(LEFT(TH!N3560,2)="15",LEFT(TH!O3560,2)="15"),TK!$E$7=TH!F3560),"x","")</f>
        <v/>
      </c>
      <c r="AD3560" s="79" t="str">
        <f>IF(AND(N3560="1521",MONTH(C3560)='BK-NL'!$M$11),"x","")</f>
        <v/>
      </c>
    </row>
    <row r="3561" spans="1:30" s="313" customFormat="1" ht="16.5" customHeight="1">
      <c r="A3561" s="318"/>
      <c r="B3561" s="60" t="str">
        <f t="shared" ref="B3561" si="397">IF(C3561&lt;&gt;"",MONTH(C3561),"")</f>
        <v/>
      </c>
      <c r="C3561" s="61"/>
      <c r="D3561" s="61"/>
      <c r="E3561" s="61"/>
      <c r="F3561" s="64"/>
      <c r="G3561" s="64"/>
      <c r="H3561" s="69"/>
      <c r="I3561" s="385"/>
      <c r="J3561" s="395"/>
      <c r="K3561" s="385"/>
      <c r="L3561" s="392"/>
      <c r="M3561" s="62"/>
      <c r="N3561" s="63"/>
      <c r="O3561" s="63"/>
      <c r="P3561" s="79" t="str">
        <f>IF(AND('331-CT'!$E$7=TH!H3561,OR(N3561="331",O3561="331")),"x","")</f>
        <v/>
      </c>
      <c r="Q3561" s="79" t="str">
        <f>IF(AND(B3561='111'!$L$11,OR($N3561=$Q$7,$O3561=$Q$7)),"x","")</f>
        <v/>
      </c>
      <c r="R3561" s="79" t="str">
        <f>IF(AND($N3561=$Q$7,$B3561&lt;'111'!$L$11),"x","")</f>
        <v/>
      </c>
      <c r="S3561" s="79" t="str">
        <f>IF(AND($O3561=$Q$7,$B3561&lt;'111'!$L$11),"x","")</f>
        <v/>
      </c>
      <c r="T3561" s="79" t="str">
        <f>IF(ISERROR(FIND('112'!$M$9,G3561,1)),"",IF((AND(FIND('112'!$M$9,G3561,1)&gt;=1,B3561='112'!$K$9,OR($N3561='112'!$I$6,$O3561='112'!$I$6))),"x",""))</f>
        <v/>
      </c>
      <c r="U3561" s="79" t="str">
        <f>IF(ISERROR(FIND('112'!$M$9,G3561,1)),"",IF((AND(LEFT(G3561,2)=LEFT('112'!$M$9,2),B3561&lt;'112'!$K$9,$N3561='112'!$I$6)),"x",""))</f>
        <v/>
      </c>
      <c r="V3561" s="79" t="str">
        <f>IF(ISERROR(FIND('112'!$M$9,G3561,1)),"",IF((AND(RIGHT(G3561,2)=RIGHT('112'!$M$9,2),B3561&lt;'112'!$K$9,$O3561='112'!$I$6)),"x",""))</f>
        <v/>
      </c>
      <c r="W3561" s="79" t="str">
        <f>IF(AND('341-CT'!$H$9=H3561,OR(LEFT(N3561,3)=$W$7,LEFT(O3561,3)=$W$7)),"x","")</f>
        <v/>
      </c>
      <c r="X3561" s="79" t="str">
        <f>IF(OR(TH!N3561=TH!$X$7,O3561=TH!$X$7),"x","")</f>
        <v/>
      </c>
      <c r="Y3561" s="79" t="str">
        <f>IF(AND(OR(N3561="131",O3561="131"),H3561='131-CT'!$H$9),"x","")</f>
        <v/>
      </c>
      <c r="Z3561" s="79"/>
      <c r="AA3561" s="79" t="str">
        <f>IF(AND(MONTH(E3561)='IN-NX'!$J$5,'IN-NX'!$D$7=D3561),"x","")</f>
        <v/>
      </c>
      <c r="AB3561" s="79" t="str">
        <f>IF(AND(OR(LEFT(TH!N3561,2)="15",LEFT(TH!O3561,2)="15"),LEFT(TH!O3561,3)&lt;&gt;"111",'152-CT'!$J$8=TH!F3561),"x","")</f>
        <v/>
      </c>
      <c r="AC3561" s="79" t="str">
        <f>IF(AND(OR(LEFT(TH!N3561,2)="15",LEFT(TH!O3561,2)="15"),TK!$E$7=TH!F3561),"x","")</f>
        <v/>
      </c>
      <c r="AD3561" s="79" t="str">
        <f>IF(AND(N3561="1521",MONTH(C3561)='BK-NL'!$M$11),"x","")</f>
        <v/>
      </c>
    </row>
    <row r="3562" spans="1:30" s="313" customFormat="1" ht="16.5" customHeight="1">
      <c r="A3562" s="318"/>
      <c r="B3562" s="60" t="str">
        <f t="shared" ref="B3562:B3564" si="398">IF(C3562&lt;&gt;"",MONTH(C3562),"")</f>
        <v/>
      </c>
      <c r="C3562" s="61"/>
      <c r="D3562" s="61"/>
      <c r="E3562" s="61"/>
      <c r="F3562" s="64"/>
      <c r="G3562" s="64"/>
      <c r="H3562" s="303"/>
      <c r="I3562" s="385"/>
      <c r="J3562" s="395"/>
      <c r="K3562" s="385"/>
      <c r="L3562" s="392"/>
      <c r="M3562" s="62"/>
      <c r="N3562" s="63"/>
      <c r="O3562" s="63"/>
      <c r="P3562" s="79" t="str">
        <f>IF(AND('331-CT'!$E$7=TH!H3562,OR(N3562="331",O3562="331")),"x","")</f>
        <v/>
      </c>
      <c r="Q3562" s="79" t="str">
        <f>IF(AND(B3562='111'!$L$11,OR($N3562=$Q$7,$O3562=$Q$7)),"x","")</f>
        <v/>
      </c>
      <c r="R3562" s="79" t="str">
        <f>IF(AND($N3562=$Q$7,$B3562&lt;'111'!$L$11),"x","")</f>
        <v/>
      </c>
      <c r="S3562" s="79" t="str">
        <f>IF(AND($O3562=$Q$7,$B3562&lt;'111'!$L$11),"x","")</f>
        <v/>
      </c>
      <c r="T3562" s="79" t="str">
        <f>IF(ISERROR(FIND('112'!$M$9,G3562,1)),"",IF((AND(FIND('112'!$M$9,G3562,1)&gt;=1,B3562='112'!$K$9,OR($N3562='112'!$I$6,$O3562='112'!$I$6))),"x",""))</f>
        <v/>
      </c>
      <c r="U3562" s="79" t="str">
        <f>IF(ISERROR(FIND('112'!$M$9,G3562,1)),"",IF((AND(LEFT(G3562,2)=LEFT('112'!$M$9,2),B3562&lt;'112'!$K$9,$N3562='112'!$I$6)),"x",""))</f>
        <v/>
      </c>
      <c r="V3562" s="79" t="str">
        <f>IF(ISERROR(FIND('112'!$M$9,G3562,1)),"",IF((AND(RIGHT(G3562,2)=RIGHT('112'!$M$9,2),B3562&lt;'112'!$K$9,$O3562='112'!$I$6)),"x",""))</f>
        <v/>
      </c>
      <c r="W3562" s="79" t="str">
        <f>IF(AND('341-CT'!$H$9=H3562,OR(LEFT(N3562,3)=$W$7,LEFT(O3562,3)=$W$7)),"x","")</f>
        <v/>
      </c>
      <c r="X3562" s="79" t="str">
        <f>IF(OR(TH!N3562=TH!$X$7,O3562=TH!$X$7),"x","")</f>
        <v/>
      </c>
      <c r="Y3562" s="79" t="str">
        <f>IF(AND(OR(N3562="131",O3562="131"),H3562='131-CT'!$H$9),"x","")</f>
        <v/>
      </c>
      <c r="Z3562" s="79"/>
      <c r="AA3562" s="79" t="str">
        <f>IF(AND(MONTH(E3562)='IN-NX'!$J$5,'IN-NX'!$D$7=D3562),"x","")</f>
        <v/>
      </c>
      <c r="AB3562" s="79" t="str">
        <f>IF(AND(OR(LEFT(TH!N3562,2)="15",LEFT(TH!O3562,2)="15"),LEFT(TH!O3562,3)&lt;&gt;"111",'152-CT'!$J$8=TH!F3562),"x","")</f>
        <v/>
      </c>
      <c r="AC3562" s="79" t="str">
        <f>IF(AND(OR(LEFT(TH!N3562,2)="15",LEFT(TH!O3562,2)="15"),TK!$E$7=TH!F3562),"x","")</f>
        <v/>
      </c>
      <c r="AD3562" s="79" t="str">
        <f>IF(AND(N3562="1521",MONTH(C3562)='BK-NL'!$M$11),"x","")</f>
        <v/>
      </c>
    </row>
    <row r="3563" spans="1:30" s="313" customFormat="1" ht="16.5" customHeight="1">
      <c r="A3563" s="318"/>
      <c r="B3563" s="60" t="str">
        <f t="shared" si="398"/>
        <v/>
      </c>
      <c r="C3563" s="61"/>
      <c r="D3563" s="61"/>
      <c r="E3563" s="61"/>
      <c r="F3563" s="64"/>
      <c r="G3563" s="64"/>
      <c r="H3563" s="69"/>
      <c r="I3563" s="385"/>
      <c r="J3563" s="395"/>
      <c r="K3563" s="385"/>
      <c r="L3563" s="392"/>
      <c r="M3563" s="62"/>
      <c r="N3563" s="63"/>
      <c r="O3563" s="63"/>
      <c r="P3563" s="79" t="str">
        <f>IF(AND('331-CT'!$E$7=TH!H3563,OR(N3563="331",O3563="331")),"x","")</f>
        <v/>
      </c>
      <c r="Q3563" s="79" t="str">
        <f>IF(AND(B3563='111'!$L$11,OR($N3563=$Q$7,$O3563=$Q$7)),"x","")</f>
        <v/>
      </c>
      <c r="R3563" s="79" t="str">
        <f>IF(AND($N3563=$Q$7,$B3563&lt;'111'!$L$11),"x","")</f>
        <v/>
      </c>
      <c r="S3563" s="79" t="str">
        <f>IF(AND($O3563=$Q$7,$B3563&lt;'111'!$L$11),"x","")</f>
        <v/>
      </c>
      <c r="T3563" s="79" t="str">
        <f>IF(ISERROR(FIND('112'!$M$9,G3563,1)),"",IF((AND(FIND('112'!$M$9,G3563,1)&gt;=1,B3563='112'!$K$9,OR($N3563='112'!$I$6,$O3563='112'!$I$6))),"x",""))</f>
        <v/>
      </c>
      <c r="U3563" s="79" t="str">
        <f>IF(ISERROR(FIND('112'!$M$9,G3563,1)),"",IF((AND(LEFT(G3563,2)=LEFT('112'!$M$9,2),B3563&lt;'112'!$K$9,$N3563='112'!$I$6)),"x",""))</f>
        <v/>
      </c>
      <c r="V3563" s="79" t="str">
        <f>IF(ISERROR(FIND('112'!$M$9,G3563,1)),"",IF((AND(RIGHT(G3563,2)=RIGHT('112'!$M$9,2),B3563&lt;'112'!$K$9,$O3563='112'!$I$6)),"x",""))</f>
        <v/>
      </c>
      <c r="W3563" s="79" t="str">
        <f>IF(AND('341-CT'!$H$9=H3563,OR(LEFT(N3563,3)=$W$7,LEFT(O3563,3)=$W$7)),"x","")</f>
        <v/>
      </c>
      <c r="X3563" s="79" t="str">
        <f>IF(OR(TH!N3563=TH!$X$7,O3563=TH!$X$7),"x","")</f>
        <v/>
      </c>
      <c r="Y3563" s="79" t="str">
        <f>IF(AND(OR(N3563="131",O3563="131"),H3563='131-CT'!$H$9),"x","")</f>
        <v/>
      </c>
      <c r="Z3563" s="79"/>
      <c r="AA3563" s="79" t="str">
        <f>IF(AND(MONTH(E3563)='IN-NX'!$J$5,'IN-NX'!$D$7=D3563),"x","")</f>
        <v/>
      </c>
      <c r="AB3563" s="79" t="str">
        <f>IF(AND(OR(LEFT(TH!N3563,2)="15",LEFT(TH!O3563,2)="15"),LEFT(TH!O3563,3)&lt;&gt;"111",'152-CT'!$J$8=TH!F3563),"x","")</f>
        <v/>
      </c>
      <c r="AC3563" s="79" t="str">
        <f>IF(AND(OR(LEFT(TH!N3563,2)="15",LEFT(TH!O3563,2)="15"),TK!$E$7=TH!F3563),"x","")</f>
        <v/>
      </c>
      <c r="AD3563" s="79" t="str">
        <f>IF(AND(N3563="1521",MONTH(C3563)='BK-NL'!$M$11),"x","")</f>
        <v/>
      </c>
    </row>
    <row r="3564" spans="1:30" s="313" customFormat="1" ht="16.5" customHeight="1">
      <c r="A3564" s="318"/>
      <c r="B3564" s="60" t="str">
        <f t="shared" si="398"/>
        <v/>
      </c>
      <c r="C3564" s="61"/>
      <c r="D3564" s="61"/>
      <c r="E3564" s="61"/>
      <c r="F3564" s="64"/>
      <c r="G3564" s="64"/>
      <c r="H3564" s="69"/>
      <c r="I3564" s="385"/>
      <c r="J3564" s="395"/>
      <c r="K3564" s="385"/>
      <c r="L3564" s="392"/>
      <c r="M3564" s="62"/>
      <c r="N3564" s="63"/>
      <c r="O3564" s="63"/>
      <c r="P3564" s="79" t="str">
        <f>IF(AND('331-CT'!$E$7=TH!H3564,OR(N3564="331",O3564="331")),"x","")</f>
        <v/>
      </c>
      <c r="Q3564" s="79" t="str">
        <f>IF(AND(B3564='111'!$L$11,OR($N3564=$Q$7,$O3564=$Q$7)),"x","")</f>
        <v/>
      </c>
      <c r="R3564" s="79" t="str">
        <f>IF(AND($N3564=$Q$7,$B3564&lt;'111'!$L$11),"x","")</f>
        <v/>
      </c>
      <c r="S3564" s="79" t="str">
        <f>IF(AND($O3564=$Q$7,$B3564&lt;'111'!$L$11),"x","")</f>
        <v/>
      </c>
      <c r="T3564" s="79" t="str">
        <f>IF(ISERROR(FIND('112'!$M$9,G3564,1)),"",IF((AND(FIND('112'!$M$9,G3564,1)&gt;=1,B3564='112'!$K$9,OR($N3564='112'!$I$6,$O3564='112'!$I$6))),"x",""))</f>
        <v/>
      </c>
      <c r="U3564" s="79" t="str">
        <f>IF(ISERROR(FIND('112'!$M$9,G3564,1)),"",IF((AND(LEFT(G3564,2)=LEFT('112'!$M$9,2),B3564&lt;'112'!$K$9,$N3564='112'!$I$6)),"x",""))</f>
        <v/>
      </c>
      <c r="V3564" s="79" t="str">
        <f>IF(ISERROR(FIND('112'!$M$9,G3564,1)),"",IF((AND(RIGHT(G3564,2)=RIGHT('112'!$M$9,2),B3564&lt;'112'!$K$9,$O3564='112'!$I$6)),"x",""))</f>
        <v/>
      </c>
      <c r="W3564" s="79" t="str">
        <f>IF(AND('341-CT'!$H$9=H3564,OR(LEFT(N3564,3)=$W$7,LEFT(O3564,3)=$W$7)),"x","")</f>
        <v/>
      </c>
      <c r="X3564" s="79" t="str">
        <f>IF(OR(TH!N3564=TH!$X$7,O3564=TH!$X$7),"x","")</f>
        <v/>
      </c>
      <c r="Y3564" s="79" t="str">
        <f>IF(AND(OR(N3564="131",O3564="131"),H3564='131-CT'!$H$9),"x","")</f>
        <v/>
      </c>
      <c r="Z3564" s="79"/>
      <c r="AA3564" s="79" t="str">
        <f>IF(AND(MONTH(E3564)='IN-NX'!$J$5,'IN-NX'!$D$7=D3564),"x","")</f>
        <v/>
      </c>
      <c r="AB3564" s="79" t="str">
        <f>IF(AND(OR(LEFT(TH!N3564,2)="15",LEFT(TH!O3564,2)="15"),LEFT(TH!O3564,3)&lt;&gt;"111",'152-CT'!$J$8=TH!F3564),"x","")</f>
        <v/>
      </c>
      <c r="AC3564" s="79" t="str">
        <f>IF(AND(OR(LEFT(TH!N3564,2)="15",LEFT(TH!O3564,2)="15"),TK!$E$7=TH!F3564),"x","")</f>
        <v/>
      </c>
      <c r="AD3564" s="79" t="str">
        <f>IF(AND(N3564="1521",MONTH(C3564)='BK-NL'!$M$11),"x","")</f>
        <v/>
      </c>
    </row>
    <row r="3565" spans="1:30" s="313" customFormat="1" ht="16.5" customHeight="1">
      <c r="A3565" s="318"/>
      <c r="B3565" s="60" t="str">
        <f t="shared" ref="B3565:B3577" si="399">IF(C3565&lt;&gt;"",MONTH(C3565),"")</f>
        <v/>
      </c>
      <c r="C3565" s="61"/>
      <c r="D3565" s="301"/>
      <c r="E3565" s="61"/>
      <c r="F3565" s="64"/>
      <c r="G3565" s="64"/>
      <c r="H3565" s="69"/>
      <c r="I3565" s="385"/>
      <c r="J3565" s="395"/>
      <c r="K3565" s="385"/>
      <c r="L3565" s="392"/>
      <c r="M3565" s="62"/>
      <c r="N3565" s="63"/>
      <c r="O3565" s="63"/>
      <c r="P3565" s="79" t="str">
        <f>IF(AND('331-CT'!$E$7=TH!H3565,OR(N3565="331",O3565="331")),"x","")</f>
        <v/>
      </c>
      <c r="Q3565" s="79" t="str">
        <f>IF(AND(B3565='111'!$L$11,OR($N3565=$Q$7,$O3565=$Q$7)),"x","")</f>
        <v/>
      </c>
      <c r="R3565" s="79" t="str">
        <f>IF(AND($N3565=$Q$7,$B3565&lt;'111'!$L$11),"x","")</f>
        <v/>
      </c>
      <c r="S3565" s="79" t="str">
        <f>IF(AND($O3565=$Q$7,$B3565&lt;'111'!$L$11),"x","")</f>
        <v/>
      </c>
      <c r="T3565" s="79" t="str">
        <f>IF(ISERROR(FIND('112'!$M$9,G3565,1)),"",IF((AND(FIND('112'!$M$9,G3565,1)&gt;=1,B3565='112'!$K$9,OR($N3565='112'!$I$6,$O3565='112'!$I$6))),"x",""))</f>
        <v/>
      </c>
      <c r="U3565" s="79" t="str">
        <f>IF(ISERROR(FIND('112'!$M$9,G3565,1)),"",IF((AND(LEFT(G3565,2)=LEFT('112'!$M$9,2),B3565&lt;'112'!$K$9,$N3565='112'!$I$6)),"x",""))</f>
        <v/>
      </c>
      <c r="V3565" s="79" t="str">
        <f>IF(ISERROR(FIND('112'!$M$9,G3565,1)),"",IF((AND(RIGHT(G3565,2)=RIGHT('112'!$M$9,2),B3565&lt;'112'!$K$9,$O3565='112'!$I$6)),"x",""))</f>
        <v/>
      </c>
      <c r="W3565" s="79" t="str">
        <f>IF(AND('341-CT'!$H$9=H3565,OR(LEFT(N3565,3)=$W$7,LEFT(O3565,3)=$W$7)),"x","")</f>
        <v/>
      </c>
      <c r="X3565" s="79" t="str">
        <f>IF(OR(TH!N3565=TH!$X$7,O3565=TH!$X$7),"x","")</f>
        <v/>
      </c>
      <c r="Y3565" s="79" t="str">
        <f>IF(AND(OR(N3565="131",O3565="131"),H3565='131-CT'!$H$9),"x","")</f>
        <v/>
      </c>
      <c r="Z3565" s="79"/>
      <c r="AA3565" s="79" t="str">
        <f>IF(AND(MONTH(E3565)='IN-NX'!$J$5,'IN-NX'!$D$7=D3565),"x","")</f>
        <v/>
      </c>
      <c r="AB3565" s="79" t="str">
        <f>IF(AND(OR(LEFT(TH!N3565,2)="15",LEFT(TH!O3565,2)="15"),LEFT(TH!O3565,3)&lt;&gt;"111",'152-CT'!$J$8=TH!F3565),"x","")</f>
        <v/>
      </c>
      <c r="AC3565" s="79" t="str">
        <f>IF(AND(OR(LEFT(TH!N3565,2)="15",LEFT(TH!O3565,2)="15"),TK!$E$7=TH!F3565),"x","")</f>
        <v/>
      </c>
      <c r="AD3565" s="79" t="str">
        <f>IF(AND(N3565="1521",MONTH(C3565)='BK-NL'!$M$11),"x","")</f>
        <v/>
      </c>
    </row>
    <row r="3566" spans="1:30" s="313" customFormat="1" ht="16.5" customHeight="1">
      <c r="A3566" s="318"/>
      <c r="B3566" s="60" t="str">
        <f t="shared" si="399"/>
        <v/>
      </c>
      <c r="C3566" s="61"/>
      <c r="D3566" s="61"/>
      <c r="E3566" s="61"/>
      <c r="F3566" s="64"/>
      <c r="G3566" s="64"/>
      <c r="H3566" s="69"/>
      <c r="I3566" s="385"/>
      <c r="J3566" s="395"/>
      <c r="K3566" s="385"/>
      <c r="L3566" s="392"/>
      <c r="M3566" s="62"/>
      <c r="N3566" s="63"/>
      <c r="O3566" s="63"/>
      <c r="P3566" s="79" t="str">
        <f>IF(AND('331-CT'!$E$7=TH!H3566,OR(N3566="331",O3566="331")),"x","")</f>
        <v/>
      </c>
      <c r="Q3566" s="79" t="str">
        <f>IF(AND(B3566='111'!$L$11,OR($N3566=$Q$7,$O3566=$Q$7)),"x","")</f>
        <v/>
      </c>
      <c r="R3566" s="79" t="str">
        <f>IF(AND($N3566=$Q$7,$B3566&lt;'111'!$L$11),"x","")</f>
        <v/>
      </c>
      <c r="S3566" s="79" t="str">
        <f>IF(AND($O3566=$Q$7,$B3566&lt;'111'!$L$11),"x","")</f>
        <v/>
      </c>
      <c r="T3566" s="79" t="str">
        <f>IF(ISERROR(FIND('112'!$M$9,G3566,1)),"",IF((AND(FIND('112'!$M$9,G3566,1)&gt;=1,B3566='112'!$K$9,OR($N3566='112'!$I$6,$O3566='112'!$I$6))),"x",""))</f>
        <v/>
      </c>
      <c r="U3566" s="79" t="str">
        <f>IF(ISERROR(FIND('112'!$M$9,G3566,1)),"",IF((AND(LEFT(G3566,2)=LEFT('112'!$M$9,2),B3566&lt;'112'!$K$9,$N3566='112'!$I$6)),"x",""))</f>
        <v/>
      </c>
      <c r="V3566" s="79" t="str">
        <f>IF(ISERROR(FIND('112'!$M$9,G3566,1)),"",IF((AND(RIGHT(G3566,2)=RIGHT('112'!$M$9,2),B3566&lt;'112'!$K$9,$O3566='112'!$I$6)),"x",""))</f>
        <v/>
      </c>
      <c r="W3566" s="79" t="str">
        <f>IF(AND('341-CT'!$H$9=H3566,OR(LEFT(N3566,3)=$W$7,LEFT(O3566,3)=$W$7)),"x","")</f>
        <v/>
      </c>
      <c r="X3566" s="79" t="str">
        <f>IF(OR(TH!N3566=TH!$X$7,O3566=TH!$X$7),"x","")</f>
        <v/>
      </c>
      <c r="Y3566" s="79" t="str">
        <f>IF(AND(OR(N3566="131",O3566="131"),H3566='131-CT'!$H$9),"x","")</f>
        <v/>
      </c>
      <c r="Z3566" s="79"/>
      <c r="AA3566" s="79" t="str">
        <f>IF(AND(MONTH(E3566)='IN-NX'!$J$5,'IN-NX'!$D$7=D3566),"x","")</f>
        <v/>
      </c>
      <c r="AB3566" s="79" t="str">
        <f>IF(AND(OR(LEFT(TH!N3566,2)="15",LEFT(TH!O3566,2)="15"),LEFT(TH!O3566,3)&lt;&gt;"111",'152-CT'!$J$8=TH!F3566),"x","")</f>
        <v/>
      </c>
      <c r="AC3566" s="79" t="str">
        <f>IF(AND(OR(LEFT(TH!N3566,2)="15",LEFT(TH!O3566,2)="15"),TK!$E$7=TH!F3566),"x","")</f>
        <v/>
      </c>
      <c r="AD3566" s="79" t="str">
        <f>IF(AND(N3566="1521",MONTH(C3566)='BK-NL'!$M$11),"x","")</f>
        <v/>
      </c>
    </row>
    <row r="3567" spans="1:30" s="313" customFormat="1" ht="16.5" customHeight="1">
      <c r="A3567" s="318"/>
      <c r="B3567" s="60" t="str">
        <f t="shared" si="399"/>
        <v/>
      </c>
      <c r="C3567" s="61"/>
      <c r="D3567" s="61"/>
      <c r="E3567" s="61"/>
      <c r="F3567" s="64"/>
      <c r="G3567" s="64"/>
      <c r="H3567" s="69"/>
      <c r="I3567" s="385"/>
      <c r="J3567" s="395"/>
      <c r="K3567" s="385"/>
      <c r="L3567" s="392"/>
      <c r="M3567" s="62"/>
      <c r="N3567" s="63"/>
      <c r="O3567" s="63"/>
      <c r="P3567" s="79" t="str">
        <f>IF(AND('331-CT'!$E$7=TH!H3567,OR(N3567="331",O3567="331")),"x","")</f>
        <v/>
      </c>
      <c r="Q3567" s="79" t="str">
        <f>IF(AND(B3567='111'!$L$11,OR($N3567=$Q$7,$O3567=$Q$7)),"x","")</f>
        <v/>
      </c>
      <c r="R3567" s="79" t="str">
        <f>IF(AND($N3567=$Q$7,$B3567&lt;'111'!$L$11),"x","")</f>
        <v/>
      </c>
      <c r="S3567" s="79" t="str">
        <f>IF(AND($O3567=$Q$7,$B3567&lt;'111'!$L$11),"x","")</f>
        <v/>
      </c>
      <c r="T3567" s="79" t="str">
        <f>IF(ISERROR(FIND('112'!$M$9,G3567,1)),"",IF((AND(FIND('112'!$M$9,G3567,1)&gt;=1,B3567='112'!$K$9,OR($N3567='112'!$I$6,$O3567='112'!$I$6))),"x",""))</f>
        <v/>
      </c>
      <c r="U3567" s="79" t="str">
        <f>IF(ISERROR(FIND('112'!$M$9,G3567,1)),"",IF((AND(LEFT(G3567,2)=LEFT('112'!$M$9,2),B3567&lt;'112'!$K$9,$N3567='112'!$I$6)),"x",""))</f>
        <v/>
      </c>
      <c r="V3567" s="79" t="str">
        <f>IF(ISERROR(FIND('112'!$M$9,G3567,1)),"",IF((AND(RIGHT(G3567,2)=RIGHT('112'!$M$9,2),B3567&lt;'112'!$K$9,$O3567='112'!$I$6)),"x",""))</f>
        <v/>
      </c>
      <c r="W3567" s="79" t="str">
        <f>IF(AND('341-CT'!$H$9=H3567,OR(LEFT(N3567,3)=$W$7,LEFT(O3567,3)=$W$7)),"x","")</f>
        <v/>
      </c>
      <c r="X3567" s="79" t="str">
        <f>IF(OR(TH!N3567=TH!$X$7,O3567=TH!$X$7),"x","")</f>
        <v/>
      </c>
      <c r="Y3567" s="79" t="str">
        <f>IF(AND(OR(N3567="131",O3567="131"),H3567='131-CT'!$H$9),"x","")</f>
        <v/>
      </c>
      <c r="Z3567" s="79"/>
      <c r="AA3567" s="79" t="str">
        <f>IF(AND(MONTH(E3567)='IN-NX'!$J$5,'IN-NX'!$D$7=D3567),"x","")</f>
        <v/>
      </c>
      <c r="AB3567" s="79" t="str">
        <f>IF(AND(OR(LEFT(TH!N3567,2)="15",LEFT(TH!O3567,2)="15"),LEFT(TH!O3567,3)&lt;&gt;"111",'152-CT'!$J$8=TH!F3567),"x","")</f>
        <v/>
      </c>
      <c r="AC3567" s="79" t="str">
        <f>IF(AND(OR(LEFT(TH!N3567,2)="15",LEFT(TH!O3567,2)="15"),TK!$E$7=TH!F3567),"x","")</f>
        <v/>
      </c>
      <c r="AD3567" s="79" t="str">
        <f>IF(AND(N3567="1521",MONTH(C3567)='BK-NL'!$M$11),"x","")</f>
        <v/>
      </c>
    </row>
    <row r="3568" spans="1:30" s="313" customFormat="1" ht="16.5" customHeight="1">
      <c r="A3568" s="318"/>
      <c r="B3568" s="60" t="str">
        <f t="shared" si="399"/>
        <v/>
      </c>
      <c r="C3568" s="61"/>
      <c r="D3568" s="61"/>
      <c r="E3568" s="61"/>
      <c r="F3568" s="64"/>
      <c r="G3568" s="64"/>
      <c r="H3568" s="69"/>
      <c r="I3568" s="385"/>
      <c r="J3568" s="395"/>
      <c r="K3568" s="385"/>
      <c r="L3568" s="392"/>
      <c r="M3568" s="62"/>
      <c r="N3568" s="63"/>
      <c r="O3568" s="63"/>
      <c r="P3568" s="79" t="str">
        <f>IF(AND('331-CT'!$E$7=TH!H3568,OR(N3568="331",O3568="331")),"x","")</f>
        <v/>
      </c>
      <c r="Q3568" s="79" t="str">
        <f>IF(AND(B3568='111'!$L$11,OR($N3568=$Q$7,$O3568=$Q$7)),"x","")</f>
        <v/>
      </c>
      <c r="R3568" s="79" t="str">
        <f>IF(AND($N3568=$Q$7,$B3568&lt;'111'!$L$11),"x","")</f>
        <v/>
      </c>
      <c r="S3568" s="79" t="str">
        <f>IF(AND($O3568=$Q$7,$B3568&lt;'111'!$L$11),"x","")</f>
        <v/>
      </c>
      <c r="T3568" s="79" t="str">
        <f>IF(ISERROR(FIND('112'!$M$9,G3568,1)),"",IF((AND(FIND('112'!$M$9,G3568,1)&gt;=1,B3568='112'!$K$9,OR($N3568='112'!$I$6,$O3568='112'!$I$6))),"x",""))</f>
        <v/>
      </c>
      <c r="U3568" s="79" t="str">
        <f>IF(ISERROR(FIND('112'!$M$9,G3568,1)),"",IF((AND(LEFT(G3568,2)=LEFT('112'!$M$9,2),B3568&lt;'112'!$K$9,$N3568='112'!$I$6)),"x",""))</f>
        <v/>
      </c>
      <c r="V3568" s="79" t="str">
        <f>IF(ISERROR(FIND('112'!$M$9,G3568,1)),"",IF((AND(RIGHT(G3568,2)=RIGHT('112'!$M$9,2),B3568&lt;'112'!$K$9,$O3568='112'!$I$6)),"x",""))</f>
        <v/>
      </c>
      <c r="W3568" s="79" t="str">
        <f>IF(AND('341-CT'!$H$9=H3568,OR(LEFT(N3568,3)=$W$7,LEFT(O3568,3)=$W$7)),"x","")</f>
        <v/>
      </c>
      <c r="X3568" s="79" t="str">
        <f>IF(OR(TH!N3568=TH!$X$7,O3568=TH!$X$7),"x","")</f>
        <v/>
      </c>
      <c r="Y3568" s="79" t="str">
        <f>IF(AND(OR(N3568="131",O3568="131"),H3568='131-CT'!$H$9),"x","")</f>
        <v/>
      </c>
      <c r="Z3568" s="79"/>
      <c r="AA3568" s="79" t="str">
        <f>IF(AND(MONTH(E3568)='IN-NX'!$J$5,'IN-NX'!$D$7=D3568),"x","")</f>
        <v/>
      </c>
      <c r="AB3568" s="79" t="str">
        <f>IF(AND(OR(LEFT(TH!N3568,2)="15",LEFT(TH!O3568,2)="15"),LEFT(TH!O3568,3)&lt;&gt;"111",'152-CT'!$J$8=TH!F3568),"x","")</f>
        <v/>
      </c>
      <c r="AC3568" s="79" t="str">
        <f>IF(AND(OR(LEFT(TH!N3568,2)="15",LEFT(TH!O3568,2)="15"),TK!$E$7=TH!F3568),"x","")</f>
        <v/>
      </c>
      <c r="AD3568" s="79" t="str">
        <f>IF(AND(N3568="1521",MONTH(C3568)='BK-NL'!$M$11),"x","")</f>
        <v/>
      </c>
    </row>
    <row r="3569" spans="1:30" s="313" customFormat="1" ht="16.5" customHeight="1">
      <c r="A3569" s="318"/>
      <c r="B3569" s="60" t="str">
        <f t="shared" si="399"/>
        <v/>
      </c>
      <c r="C3569" s="61"/>
      <c r="D3569" s="61"/>
      <c r="E3569" s="61"/>
      <c r="F3569" s="64"/>
      <c r="G3569" s="64"/>
      <c r="H3569" s="69"/>
      <c r="I3569" s="385"/>
      <c r="J3569" s="395"/>
      <c r="K3569" s="385"/>
      <c r="L3569" s="392"/>
      <c r="M3569" s="62"/>
      <c r="N3569" s="63"/>
      <c r="O3569" s="63"/>
      <c r="P3569" s="79" t="str">
        <f>IF(AND('331-CT'!$E$7=TH!H3569,OR(N3569="331",O3569="331")),"x","")</f>
        <v/>
      </c>
      <c r="Q3569" s="79" t="str">
        <f>IF(AND(B3569='111'!$L$11,OR($N3569=$Q$7,$O3569=$Q$7)),"x","")</f>
        <v/>
      </c>
      <c r="R3569" s="79" t="str">
        <f>IF(AND($N3569=$Q$7,$B3569&lt;'111'!$L$11),"x","")</f>
        <v/>
      </c>
      <c r="S3569" s="79" t="str">
        <f>IF(AND($O3569=$Q$7,$B3569&lt;'111'!$L$11),"x","")</f>
        <v/>
      </c>
      <c r="T3569" s="79" t="str">
        <f>IF(ISERROR(FIND('112'!$M$9,G3569,1)),"",IF((AND(FIND('112'!$M$9,G3569,1)&gt;=1,B3569='112'!$K$9,OR($N3569='112'!$I$6,$O3569='112'!$I$6))),"x",""))</f>
        <v/>
      </c>
      <c r="U3569" s="79" t="str">
        <f>IF(ISERROR(FIND('112'!$M$9,G3569,1)),"",IF((AND(LEFT(G3569,2)=LEFT('112'!$M$9,2),B3569&lt;'112'!$K$9,$N3569='112'!$I$6)),"x",""))</f>
        <v/>
      </c>
      <c r="V3569" s="79" t="str">
        <f>IF(ISERROR(FIND('112'!$M$9,G3569,1)),"",IF((AND(RIGHT(G3569,2)=RIGHT('112'!$M$9,2),B3569&lt;'112'!$K$9,$O3569='112'!$I$6)),"x",""))</f>
        <v/>
      </c>
      <c r="W3569" s="79" t="str">
        <f>IF(AND('341-CT'!$H$9=H3569,OR(LEFT(N3569,3)=$W$7,LEFT(O3569,3)=$W$7)),"x","")</f>
        <v/>
      </c>
      <c r="X3569" s="79" t="str">
        <f>IF(OR(TH!N3569=TH!$X$7,O3569=TH!$X$7),"x","")</f>
        <v/>
      </c>
      <c r="Y3569" s="79" t="str">
        <f>IF(AND(OR(N3569="131",O3569="131"),H3569='131-CT'!$H$9),"x","")</f>
        <v/>
      </c>
      <c r="Z3569" s="79"/>
      <c r="AA3569" s="79" t="str">
        <f>IF(AND(MONTH(E3569)='IN-NX'!$J$5,'IN-NX'!$D$7=D3569),"x","")</f>
        <v/>
      </c>
      <c r="AB3569" s="79" t="str">
        <f>IF(AND(OR(LEFT(TH!N3569,2)="15",LEFT(TH!O3569,2)="15"),LEFT(TH!O3569,3)&lt;&gt;"111",'152-CT'!$J$8=TH!F3569),"x","")</f>
        <v/>
      </c>
      <c r="AC3569" s="79" t="str">
        <f>IF(AND(OR(LEFT(TH!N3569,2)="15",LEFT(TH!O3569,2)="15"),TK!$E$7=TH!F3569),"x","")</f>
        <v/>
      </c>
      <c r="AD3569" s="79" t="str">
        <f>IF(AND(N3569="1521",MONTH(C3569)='BK-NL'!$M$11),"x","")</f>
        <v/>
      </c>
    </row>
    <row r="3570" spans="1:30" s="313" customFormat="1" ht="16.5" customHeight="1">
      <c r="A3570" s="318"/>
      <c r="B3570" s="60" t="str">
        <f t="shared" si="399"/>
        <v/>
      </c>
      <c r="C3570" s="61"/>
      <c r="D3570" s="61"/>
      <c r="E3570" s="61"/>
      <c r="F3570" s="64"/>
      <c r="G3570" s="64"/>
      <c r="H3570" s="69"/>
      <c r="I3570" s="385"/>
      <c r="J3570" s="395"/>
      <c r="K3570" s="385"/>
      <c r="L3570" s="392"/>
      <c r="M3570" s="62"/>
      <c r="N3570" s="63"/>
      <c r="O3570" s="63"/>
      <c r="P3570" s="79" t="str">
        <f>IF(AND('331-CT'!$E$7=TH!H3570,OR(N3570="331",O3570="331")),"x","")</f>
        <v/>
      </c>
      <c r="Q3570" s="79" t="str">
        <f>IF(AND(B3570='111'!$L$11,OR($N3570=$Q$7,$O3570=$Q$7)),"x","")</f>
        <v/>
      </c>
      <c r="R3570" s="79" t="str">
        <f>IF(AND($N3570=$Q$7,$B3570&lt;'111'!$L$11),"x","")</f>
        <v/>
      </c>
      <c r="S3570" s="79" t="str">
        <f>IF(AND($O3570=$Q$7,$B3570&lt;'111'!$L$11),"x","")</f>
        <v/>
      </c>
      <c r="T3570" s="79" t="str">
        <f>IF(ISERROR(FIND('112'!$M$9,G3570,1)),"",IF((AND(FIND('112'!$M$9,G3570,1)&gt;=1,B3570='112'!$K$9,OR($N3570='112'!$I$6,$O3570='112'!$I$6))),"x",""))</f>
        <v/>
      </c>
      <c r="U3570" s="79" t="str">
        <f>IF(ISERROR(FIND('112'!$M$9,G3570,1)),"",IF((AND(LEFT(G3570,2)=LEFT('112'!$M$9,2),B3570&lt;'112'!$K$9,$N3570='112'!$I$6)),"x",""))</f>
        <v/>
      </c>
      <c r="V3570" s="79" t="str">
        <f>IF(ISERROR(FIND('112'!$M$9,G3570,1)),"",IF((AND(RIGHT(G3570,2)=RIGHT('112'!$M$9,2),B3570&lt;'112'!$K$9,$O3570='112'!$I$6)),"x",""))</f>
        <v/>
      </c>
      <c r="W3570" s="79" t="str">
        <f>IF(AND('341-CT'!$H$9=H3570,OR(LEFT(N3570,3)=$W$7,LEFT(O3570,3)=$W$7)),"x","")</f>
        <v/>
      </c>
      <c r="X3570" s="79" t="str">
        <f>IF(OR(TH!N3570=TH!$X$7,O3570=TH!$X$7),"x","")</f>
        <v/>
      </c>
      <c r="Y3570" s="79" t="str">
        <f>IF(AND(OR(N3570="131",O3570="131"),H3570='131-CT'!$H$9),"x","")</f>
        <v/>
      </c>
      <c r="Z3570" s="79"/>
      <c r="AA3570" s="79" t="str">
        <f>IF(AND(MONTH(E3570)='IN-NX'!$J$5,'IN-NX'!$D$7=D3570),"x","")</f>
        <v/>
      </c>
      <c r="AB3570" s="79" t="str">
        <f>IF(AND(OR(LEFT(TH!N3570,2)="15",LEFT(TH!O3570,2)="15"),LEFT(TH!O3570,3)&lt;&gt;"111",'152-CT'!$J$8=TH!F3570),"x","")</f>
        <v/>
      </c>
      <c r="AC3570" s="79" t="str">
        <f>IF(AND(OR(LEFT(TH!N3570,2)="15",LEFT(TH!O3570,2)="15"),TK!$E$7=TH!F3570),"x","")</f>
        <v/>
      </c>
      <c r="AD3570" s="79" t="str">
        <f>IF(AND(N3570="1521",MONTH(C3570)='BK-NL'!$M$11),"x","")</f>
        <v/>
      </c>
    </row>
    <row r="3571" spans="1:30" s="313" customFormat="1" ht="16.5" customHeight="1">
      <c r="A3571" s="318"/>
      <c r="B3571" s="60" t="str">
        <f t="shared" si="399"/>
        <v/>
      </c>
      <c r="C3571" s="61"/>
      <c r="D3571" s="61"/>
      <c r="E3571" s="61"/>
      <c r="F3571" s="64"/>
      <c r="G3571" s="64"/>
      <c r="H3571" s="69"/>
      <c r="I3571" s="385"/>
      <c r="J3571" s="395"/>
      <c r="K3571" s="385"/>
      <c r="L3571" s="392"/>
      <c r="M3571" s="62"/>
      <c r="N3571" s="63"/>
      <c r="O3571" s="63"/>
      <c r="P3571" s="79" t="str">
        <f>IF(AND('331-CT'!$E$7=TH!H3571,OR(N3571="331",O3571="331")),"x","")</f>
        <v/>
      </c>
      <c r="Q3571" s="79" t="str">
        <f>IF(AND(B3571='111'!$L$11,OR($N3571=$Q$7,$O3571=$Q$7)),"x","")</f>
        <v/>
      </c>
      <c r="R3571" s="79" t="str">
        <f>IF(AND($N3571=$Q$7,$B3571&lt;'111'!$L$11),"x","")</f>
        <v/>
      </c>
      <c r="S3571" s="79" t="str">
        <f>IF(AND($O3571=$Q$7,$B3571&lt;'111'!$L$11),"x","")</f>
        <v/>
      </c>
      <c r="T3571" s="79" t="str">
        <f>IF(ISERROR(FIND('112'!$M$9,G3571,1)),"",IF((AND(FIND('112'!$M$9,G3571,1)&gt;=1,B3571='112'!$K$9,OR($N3571='112'!$I$6,$O3571='112'!$I$6))),"x",""))</f>
        <v/>
      </c>
      <c r="U3571" s="79" t="str">
        <f>IF(ISERROR(FIND('112'!$M$9,G3571,1)),"",IF((AND(LEFT(G3571,2)=LEFT('112'!$M$9,2),B3571&lt;'112'!$K$9,$N3571='112'!$I$6)),"x",""))</f>
        <v/>
      </c>
      <c r="V3571" s="79" t="str">
        <f>IF(ISERROR(FIND('112'!$M$9,G3571,1)),"",IF((AND(RIGHT(G3571,2)=RIGHT('112'!$M$9,2),B3571&lt;'112'!$K$9,$O3571='112'!$I$6)),"x",""))</f>
        <v/>
      </c>
      <c r="W3571" s="79" t="str">
        <f>IF(AND('341-CT'!$H$9=H3571,OR(LEFT(N3571,3)=$W$7,LEFT(O3571,3)=$W$7)),"x","")</f>
        <v/>
      </c>
      <c r="X3571" s="79" t="str">
        <f>IF(OR(TH!N3571=TH!$X$7,O3571=TH!$X$7),"x","")</f>
        <v/>
      </c>
      <c r="Y3571" s="79" t="str">
        <f>IF(AND(OR(N3571="131",O3571="131"),H3571='131-CT'!$H$9),"x","")</f>
        <v/>
      </c>
      <c r="Z3571" s="79"/>
      <c r="AA3571" s="79" t="str">
        <f>IF(AND(MONTH(E3571)='IN-NX'!$J$5,'IN-NX'!$D$7=D3571),"x","")</f>
        <v/>
      </c>
      <c r="AB3571" s="79" t="str">
        <f>IF(AND(OR(LEFT(TH!N3571,2)="15",LEFT(TH!O3571,2)="15"),LEFT(TH!O3571,3)&lt;&gt;"111",'152-CT'!$J$8=TH!F3571),"x","")</f>
        <v/>
      </c>
      <c r="AC3571" s="79" t="str">
        <f>IF(AND(OR(LEFT(TH!N3571,2)="15",LEFT(TH!O3571,2)="15"),TK!$E$7=TH!F3571),"x","")</f>
        <v/>
      </c>
      <c r="AD3571" s="79" t="str">
        <f>IF(AND(N3571="1521",MONTH(C3571)='BK-NL'!$M$11),"x","")</f>
        <v/>
      </c>
    </row>
    <row r="3572" spans="1:30" s="313" customFormat="1" ht="16.5" customHeight="1">
      <c r="A3572" s="318"/>
      <c r="B3572" s="60" t="str">
        <f t="shared" si="399"/>
        <v/>
      </c>
      <c r="C3572" s="61"/>
      <c r="D3572" s="301"/>
      <c r="E3572" s="61"/>
      <c r="F3572" s="64"/>
      <c r="G3572" s="64"/>
      <c r="H3572" s="69"/>
      <c r="I3572" s="385"/>
      <c r="J3572" s="395"/>
      <c r="K3572" s="385"/>
      <c r="L3572" s="392"/>
      <c r="M3572" s="62"/>
      <c r="N3572" s="63"/>
      <c r="O3572" s="63"/>
      <c r="P3572" s="79" t="str">
        <f>IF(AND('331-CT'!$E$7=TH!H3572,OR(N3572="331",O3572="331")),"x","")</f>
        <v/>
      </c>
      <c r="Q3572" s="79" t="str">
        <f>IF(AND(B3572='111'!$L$11,OR($N3572=$Q$7,$O3572=$Q$7)),"x","")</f>
        <v/>
      </c>
      <c r="R3572" s="79" t="str">
        <f>IF(AND($N3572=$Q$7,$B3572&lt;'111'!$L$11),"x","")</f>
        <v/>
      </c>
      <c r="S3572" s="79" t="str">
        <f>IF(AND($O3572=$Q$7,$B3572&lt;'111'!$L$11),"x","")</f>
        <v/>
      </c>
      <c r="T3572" s="79" t="str">
        <f>IF(ISERROR(FIND('112'!$M$9,G3572,1)),"",IF((AND(FIND('112'!$M$9,G3572,1)&gt;=1,B3572='112'!$K$9,OR($N3572='112'!$I$6,$O3572='112'!$I$6))),"x",""))</f>
        <v/>
      </c>
      <c r="U3572" s="79" t="str">
        <f>IF(ISERROR(FIND('112'!$M$9,G3572,1)),"",IF((AND(LEFT(G3572,2)=LEFT('112'!$M$9,2),B3572&lt;'112'!$K$9,$N3572='112'!$I$6)),"x",""))</f>
        <v/>
      </c>
      <c r="V3572" s="79" t="str">
        <f>IF(ISERROR(FIND('112'!$M$9,G3572,1)),"",IF((AND(RIGHT(G3572,2)=RIGHT('112'!$M$9,2),B3572&lt;'112'!$K$9,$O3572='112'!$I$6)),"x",""))</f>
        <v/>
      </c>
      <c r="W3572" s="79" t="str">
        <f>IF(AND('341-CT'!$H$9=H3572,OR(LEFT(N3572,3)=$W$7,LEFT(O3572,3)=$W$7)),"x","")</f>
        <v/>
      </c>
      <c r="X3572" s="79" t="str">
        <f>IF(OR(TH!N3572=TH!$X$7,O3572=TH!$X$7),"x","")</f>
        <v/>
      </c>
      <c r="Y3572" s="79" t="str">
        <f>IF(AND(OR(N3572="131",O3572="131"),H3572='131-CT'!$H$9),"x","")</f>
        <v/>
      </c>
      <c r="Z3572" s="79"/>
      <c r="AA3572" s="79" t="str">
        <f>IF(AND(MONTH(E3572)='IN-NX'!$J$5,'IN-NX'!$D$7=D3572),"x","")</f>
        <v/>
      </c>
      <c r="AB3572" s="79" t="str">
        <f>IF(AND(OR(LEFT(TH!N3572,2)="15",LEFT(TH!O3572,2)="15"),LEFT(TH!O3572,3)&lt;&gt;"111",'152-CT'!$J$8=TH!F3572),"x","")</f>
        <v/>
      </c>
      <c r="AC3572" s="79" t="str">
        <f>IF(AND(OR(LEFT(TH!N3572,2)="15",LEFT(TH!O3572,2)="15"),TK!$E$7=TH!F3572),"x","")</f>
        <v/>
      </c>
      <c r="AD3572" s="79" t="str">
        <f>IF(AND(N3572="1521",MONTH(C3572)='BK-NL'!$M$11),"x","")</f>
        <v/>
      </c>
    </row>
    <row r="3573" spans="1:30" s="313" customFormat="1" ht="16.5" customHeight="1">
      <c r="A3573" s="318"/>
      <c r="B3573" s="60" t="str">
        <f t="shared" si="399"/>
        <v/>
      </c>
      <c r="C3573" s="61"/>
      <c r="D3573" s="61"/>
      <c r="E3573" s="61"/>
      <c r="F3573" s="64"/>
      <c r="G3573" s="64"/>
      <c r="H3573" s="321"/>
      <c r="I3573" s="385"/>
      <c r="J3573" s="395"/>
      <c r="K3573" s="385"/>
      <c r="L3573" s="392"/>
      <c r="M3573" s="62"/>
      <c r="N3573" s="63"/>
      <c r="O3573" s="63"/>
      <c r="P3573" s="79" t="str">
        <f>IF(AND('331-CT'!$E$7=TH!H3573,OR(N3573="331",O3573="331")),"x","")</f>
        <v/>
      </c>
      <c r="Q3573" s="79" t="str">
        <f>IF(AND(B3573='111'!$L$11,OR($N3573=$Q$7,$O3573=$Q$7)),"x","")</f>
        <v/>
      </c>
      <c r="R3573" s="79" t="str">
        <f>IF(AND($N3573=$Q$7,$B3573&lt;'111'!$L$11),"x","")</f>
        <v/>
      </c>
      <c r="S3573" s="79" t="str">
        <f>IF(AND($O3573=$Q$7,$B3573&lt;'111'!$L$11),"x","")</f>
        <v/>
      </c>
      <c r="T3573" s="79" t="str">
        <f>IF(ISERROR(FIND('112'!$M$9,G3573,1)),"",IF((AND(FIND('112'!$M$9,G3573,1)&gt;=1,B3573='112'!$K$9,OR($N3573='112'!$I$6,$O3573='112'!$I$6))),"x",""))</f>
        <v/>
      </c>
      <c r="U3573" s="79" t="str">
        <f>IF(ISERROR(FIND('112'!$M$9,G3573,1)),"",IF((AND(LEFT(G3573,2)=LEFT('112'!$M$9,2),B3573&lt;'112'!$K$9,$N3573='112'!$I$6)),"x",""))</f>
        <v/>
      </c>
      <c r="V3573" s="79" t="str">
        <f>IF(ISERROR(FIND('112'!$M$9,G3573,1)),"",IF((AND(RIGHT(G3573,2)=RIGHT('112'!$M$9,2),B3573&lt;'112'!$K$9,$O3573='112'!$I$6)),"x",""))</f>
        <v/>
      </c>
      <c r="W3573" s="79" t="str">
        <f>IF(AND('341-CT'!$H$9=H3573,OR(LEFT(N3573,3)=$W$7,LEFT(O3573,3)=$W$7)),"x","")</f>
        <v/>
      </c>
      <c r="X3573" s="79" t="str">
        <f>IF(OR(TH!N3573=TH!$X$7,O3573=TH!$X$7),"x","")</f>
        <v/>
      </c>
      <c r="Y3573" s="79" t="str">
        <f>IF(AND(OR(N3573="131",O3573="131"),H3573='131-CT'!$H$9),"x","")</f>
        <v/>
      </c>
      <c r="Z3573" s="79"/>
      <c r="AA3573" s="79" t="str">
        <f>IF(AND(MONTH(E3573)='IN-NX'!$J$5,'IN-NX'!$D$7=D3573),"x","")</f>
        <v/>
      </c>
      <c r="AB3573" s="79" t="str">
        <f>IF(AND(OR(LEFT(TH!N3573,2)="15",LEFT(TH!O3573,2)="15"),LEFT(TH!O3573,3)&lt;&gt;"111",'152-CT'!$J$8=TH!F3573),"x","")</f>
        <v/>
      </c>
      <c r="AC3573" s="79" t="str">
        <f>IF(AND(OR(LEFT(TH!N3573,2)="15",LEFT(TH!O3573,2)="15"),TK!$E$7=TH!F3573),"x","")</f>
        <v/>
      </c>
      <c r="AD3573" s="79" t="str">
        <f>IF(AND(N3573="1521",MONTH(C3573)='BK-NL'!$M$11),"x","")</f>
        <v/>
      </c>
    </row>
    <row r="3574" spans="1:30" s="313" customFormat="1" ht="16.5" customHeight="1">
      <c r="A3574" s="318"/>
      <c r="B3574" s="60" t="str">
        <f t="shared" si="399"/>
        <v/>
      </c>
      <c r="C3574" s="61"/>
      <c r="D3574" s="61"/>
      <c r="E3574" s="61"/>
      <c r="F3574" s="64"/>
      <c r="G3574" s="64"/>
      <c r="H3574" s="69"/>
      <c r="I3574" s="385"/>
      <c r="J3574" s="395"/>
      <c r="K3574" s="385"/>
      <c r="L3574" s="392"/>
      <c r="M3574" s="62"/>
      <c r="N3574" s="63"/>
      <c r="O3574" s="63"/>
      <c r="P3574" s="79" t="str">
        <f>IF(AND('331-CT'!$E$7=TH!H3574,OR(N3574="331",O3574="331")),"x","")</f>
        <v/>
      </c>
      <c r="Q3574" s="79" t="str">
        <f>IF(AND(B3574='111'!$L$11,OR($N3574=$Q$7,$O3574=$Q$7)),"x","")</f>
        <v/>
      </c>
      <c r="R3574" s="79" t="str">
        <f>IF(AND($N3574=$Q$7,$B3574&lt;'111'!$L$11),"x","")</f>
        <v/>
      </c>
      <c r="S3574" s="79" t="str">
        <f>IF(AND($O3574=$Q$7,$B3574&lt;'111'!$L$11),"x","")</f>
        <v/>
      </c>
      <c r="T3574" s="79" t="str">
        <f>IF(ISERROR(FIND('112'!$M$9,G3574,1)),"",IF((AND(FIND('112'!$M$9,G3574,1)&gt;=1,B3574='112'!$K$9,OR($N3574='112'!$I$6,$O3574='112'!$I$6))),"x",""))</f>
        <v/>
      </c>
      <c r="U3574" s="79" t="str">
        <f>IF(ISERROR(FIND('112'!$M$9,G3574,1)),"",IF((AND(LEFT(G3574,2)=LEFT('112'!$M$9,2),B3574&lt;'112'!$K$9,$N3574='112'!$I$6)),"x",""))</f>
        <v/>
      </c>
      <c r="V3574" s="79" t="str">
        <f>IF(ISERROR(FIND('112'!$M$9,G3574,1)),"",IF((AND(RIGHT(G3574,2)=RIGHT('112'!$M$9,2),B3574&lt;'112'!$K$9,$O3574='112'!$I$6)),"x",""))</f>
        <v/>
      </c>
      <c r="W3574" s="79" t="str">
        <f>IF(AND('341-CT'!$H$9=H3574,OR(LEFT(N3574,3)=$W$7,LEFT(O3574,3)=$W$7)),"x","")</f>
        <v/>
      </c>
      <c r="X3574" s="79" t="str">
        <f>IF(OR(TH!N3574=TH!$X$7,O3574=TH!$X$7),"x","")</f>
        <v/>
      </c>
      <c r="Y3574" s="79" t="str">
        <f>IF(AND(OR(N3574="131",O3574="131"),H3574='131-CT'!$H$9),"x","")</f>
        <v/>
      </c>
      <c r="Z3574" s="79"/>
      <c r="AA3574" s="79" t="str">
        <f>IF(AND(MONTH(E3574)='IN-NX'!$J$5,'IN-NX'!$D$7=D3574),"x","")</f>
        <v/>
      </c>
      <c r="AB3574" s="79" t="str">
        <f>IF(AND(OR(LEFT(TH!N3574,2)="15",LEFT(TH!O3574,2)="15"),LEFT(TH!O3574,3)&lt;&gt;"111",'152-CT'!$J$8=TH!F3574),"x","")</f>
        <v/>
      </c>
      <c r="AC3574" s="79" t="str">
        <f>IF(AND(OR(LEFT(TH!N3574,2)="15",LEFT(TH!O3574,2)="15"),TK!$E$7=TH!F3574),"x","")</f>
        <v/>
      </c>
      <c r="AD3574" s="79" t="str">
        <f>IF(AND(N3574="1521",MONTH(C3574)='BK-NL'!$M$11),"x","")</f>
        <v/>
      </c>
    </row>
    <row r="3575" spans="1:30" s="313" customFormat="1" ht="16.5" customHeight="1">
      <c r="A3575" s="318"/>
      <c r="B3575" s="60" t="str">
        <f t="shared" si="399"/>
        <v/>
      </c>
      <c r="C3575" s="61"/>
      <c r="D3575" s="61"/>
      <c r="E3575" s="61"/>
      <c r="F3575" s="64"/>
      <c r="G3575" s="64"/>
      <c r="H3575" s="69"/>
      <c r="I3575" s="385"/>
      <c r="J3575" s="395"/>
      <c r="K3575" s="385"/>
      <c r="L3575" s="392"/>
      <c r="M3575" s="62"/>
      <c r="N3575" s="63"/>
      <c r="O3575" s="63"/>
      <c r="P3575" s="79" t="str">
        <f>IF(AND('331-CT'!$E$7=TH!H3575,OR(N3575="331",O3575="331")),"x","")</f>
        <v/>
      </c>
      <c r="Q3575" s="79" t="str">
        <f>IF(AND(B3575='111'!$L$11,OR($N3575=$Q$7,$O3575=$Q$7)),"x","")</f>
        <v/>
      </c>
      <c r="R3575" s="79" t="str">
        <f>IF(AND($N3575=$Q$7,$B3575&lt;'111'!$L$11),"x","")</f>
        <v/>
      </c>
      <c r="S3575" s="79" t="str">
        <f>IF(AND($O3575=$Q$7,$B3575&lt;'111'!$L$11),"x","")</f>
        <v/>
      </c>
      <c r="T3575" s="79" t="str">
        <f>IF(ISERROR(FIND('112'!$M$9,G3575,1)),"",IF((AND(FIND('112'!$M$9,G3575,1)&gt;=1,B3575='112'!$K$9,OR($N3575='112'!$I$6,$O3575='112'!$I$6))),"x",""))</f>
        <v/>
      </c>
      <c r="U3575" s="79" t="str">
        <f>IF(ISERROR(FIND('112'!$M$9,G3575,1)),"",IF((AND(LEFT(G3575,2)=LEFT('112'!$M$9,2),B3575&lt;'112'!$K$9,$N3575='112'!$I$6)),"x",""))</f>
        <v/>
      </c>
      <c r="V3575" s="79" t="str">
        <f>IF(ISERROR(FIND('112'!$M$9,G3575,1)),"",IF((AND(RIGHT(G3575,2)=RIGHT('112'!$M$9,2),B3575&lt;'112'!$K$9,$O3575='112'!$I$6)),"x",""))</f>
        <v/>
      </c>
      <c r="W3575" s="79" t="str">
        <f>IF(AND('341-CT'!$H$9=H3575,OR(LEFT(N3575,3)=$W$7,LEFT(O3575,3)=$W$7)),"x","")</f>
        <v/>
      </c>
      <c r="X3575" s="79" t="str">
        <f>IF(OR(TH!N3575=TH!$X$7,O3575=TH!$X$7),"x","")</f>
        <v/>
      </c>
      <c r="Y3575" s="79" t="str">
        <f>IF(AND(OR(N3575="131",O3575="131"),H3575='131-CT'!$H$9),"x","")</f>
        <v/>
      </c>
      <c r="Z3575" s="79"/>
      <c r="AA3575" s="79" t="str">
        <f>IF(AND(MONTH(E3575)='IN-NX'!$J$5,'IN-NX'!$D$7=D3575),"x","")</f>
        <v/>
      </c>
      <c r="AB3575" s="79" t="str">
        <f>IF(AND(OR(LEFT(TH!N3575,2)="15",LEFT(TH!O3575,2)="15"),LEFT(TH!O3575,3)&lt;&gt;"111",'152-CT'!$J$8=TH!F3575),"x","")</f>
        <v/>
      </c>
      <c r="AC3575" s="79" t="str">
        <f>IF(AND(OR(LEFT(TH!N3575,2)="15",LEFT(TH!O3575,2)="15"),TK!$E$7=TH!F3575),"x","")</f>
        <v/>
      </c>
      <c r="AD3575" s="79" t="str">
        <f>IF(AND(N3575="1521",MONTH(C3575)='BK-NL'!$M$11),"x","")</f>
        <v/>
      </c>
    </row>
    <row r="3576" spans="1:30" s="313" customFormat="1" ht="16.5" customHeight="1">
      <c r="A3576" s="318"/>
      <c r="B3576" s="60" t="str">
        <f t="shared" si="399"/>
        <v/>
      </c>
      <c r="C3576" s="61"/>
      <c r="D3576" s="61"/>
      <c r="E3576" s="61"/>
      <c r="F3576" s="64"/>
      <c r="G3576" s="64"/>
      <c r="H3576" s="69"/>
      <c r="I3576" s="385"/>
      <c r="J3576" s="395"/>
      <c r="K3576" s="385"/>
      <c r="L3576" s="392"/>
      <c r="M3576" s="62"/>
      <c r="N3576" s="63"/>
      <c r="O3576" s="63"/>
      <c r="P3576" s="79" t="str">
        <f>IF(AND('331-CT'!$E$7=TH!H3576,OR(N3576="331",O3576="331")),"x","")</f>
        <v/>
      </c>
      <c r="Q3576" s="79" t="str">
        <f>IF(AND(B3576='111'!$L$11,OR($N3576=$Q$7,$O3576=$Q$7)),"x","")</f>
        <v/>
      </c>
      <c r="R3576" s="79" t="str">
        <f>IF(AND($N3576=$Q$7,$B3576&lt;'111'!$L$11),"x","")</f>
        <v/>
      </c>
      <c r="S3576" s="79" t="str">
        <f>IF(AND($O3576=$Q$7,$B3576&lt;'111'!$L$11),"x","")</f>
        <v/>
      </c>
      <c r="T3576" s="79" t="str">
        <f>IF(ISERROR(FIND('112'!$M$9,G3576,1)),"",IF((AND(FIND('112'!$M$9,G3576,1)&gt;=1,B3576='112'!$K$9,OR($N3576='112'!$I$6,$O3576='112'!$I$6))),"x",""))</f>
        <v/>
      </c>
      <c r="U3576" s="79" t="str">
        <f>IF(ISERROR(FIND('112'!$M$9,G3576,1)),"",IF((AND(LEFT(G3576,2)=LEFT('112'!$M$9,2),B3576&lt;'112'!$K$9,$N3576='112'!$I$6)),"x",""))</f>
        <v/>
      </c>
      <c r="V3576" s="79" t="str">
        <f>IF(ISERROR(FIND('112'!$M$9,G3576,1)),"",IF((AND(RIGHT(G3576,2)=RIGHT('112'!$M$9,2),B3576&lt;'112'!$K$9,$O3576='112'!$I$6)),"x",""))</f>
        <v/>
      </c>
      <c r="W3576" s="79" t="str">
        <f>IF(AND('341-CT'!$H$9=H3576,OR(LEFT(N3576,3)=$W$7,LEFT(O3576,3)=$W$7)),"x","")</f>
        <v/>
      </c>
      <c r="X3576" s="79" t="str">
        <f>IF(OR(TH!N3576=TH!$X$7,O3576=TH!$X$7),"x","")</f>
        <v/>
      </c>
      <c r="Y3576" s="79" t="str">
        <f>IF(AND(OR(N3576="131",O3576="131"),H3576='131-CT'!$H$9),"x","")</f>
        <v/>
      </c>
      <c r="Z3576" s="79"/>
      <c r="AA3576" s="79" t="str">
        <f>IF(AND(MONTH(E3576)='IN-NX'!$J$5,'IN-NX'!$D$7=D3576),"x","")</f>
        <v/>
      </c>
      <c r="AB3576" s="79" t="str">
        <f>IF(AND(OR(LEFT(TH!N3576,2)="15",LEFT(TH!O3576,2)="15"),LEFT(TH!O3576,3)&lt;&gt;"111",'152-CT'!$J$8=TH!F3576),"x","")</f>
        <v/>
      </c>
      <c r="AC3576" s="79" t="str">
        <f>IF(AND(OR(LEFT(TH!N3576,2)="15",LEFT(TH!O3576,2)="15"),TK!$E$7=TH!F3576),"x","")</f>
        <v/>
      </c>
      <c r="AD3576" s="79" t="str">
        <f>IF(AND(N3576="1521",MONTH(C3576)='BK-NL'!$M$11),"x","")</f>
        <v/>
      </c>
    </row>
    <row r="3577" spans="1:30" s="313" customFormat="1" ht="16.5" customHeight="1">
      <c r="A3577" s="318"/>
      <c r="B3577" s="60" t="str">
        <f t="shared" si="399"/>
        <v/>
      </c>
      <c r="C3577" s="61"/>
      <c r="D3577" s="61"/>
      <c r="E3577" s="61"/>
      <c r="F3577" s="64"/>
      <c r="G3577" s="64"/>
      <c r="H3577" s="69"/>
      <c r="I3577" s="385"/>
      <c r="J3577" s="395"/>
      <c r="K3577" s="385"/>
      <c r="L3577" s="392"/>
      <c r="M3577" s="62"/>
      <c r="N3577" s="63"/>
      <c r="O3577" s="63"/>
      <c r="P3577" s="79" t="str">
        <f>IF(AND('331-CT'!$E$7=TH!H3577,OR(N3577="331",O3577="331")),"x","")</f>
        <v/>
      </c>
      <c r="Q3577" s="79" t="str">
        <f>IF(AND(B3577='111'!$L$11,OR($N3577=$Q$7,$O3577=$Q$7)),"x","")</f>
        <v/>
      </c>
      <c r="R3577" s="79" t="str">
        <f>IF(AND($N3577=$Q$7,$B3577&lt;'111'!$L$11),"x","")</f>
        <v/>
      </c>
      <c r="S3577" s="79" t="str">
        <f>IF(AND($O3577=$Q$7,$B3577&lt;'111'!$L$11),"x","")</f>
        <v/>
      </c>
      <c r="T3577" s="79" t="str">
        <f>IF(ISERROR(FIND('112'!$M$9,G3577,1)),"",IF((AND(FIND('112'!$M$9,G3577,1)&gt;=1,B3577='112'!$K$9,OR($N3577='112'!$I$6,$O3577='112'!$I$6))),"x",""))</f>
        <v/>
      </c>
      <c r="U3577" s="79" t="str">
        <f>IF(ISERROR(FIND('112'!$M$9,G3577,1)),"",IF((AND(LEFT(G3577,2)=LEFT('112'!$M$9,2),B3577&lt;'112'!$K$9,$N3577='112'!$I$6)),"x",""))</f>
        <v/>
      </c>
      <c r="V3577" s="79" t="str">
        <f>IF(ISERROR(FIND('112'!$M$9,G3577,1)),"",IF((AND(RIGHT(G3577,2)=RIGHT('112'!$M$9,2),B3577&lt;'112'!$K$9,$O3577='112'!$I$6)),"x",""))</f>
        <v/>
      </c>
      <c r="W3577" s="79" t="str">
        <f>IF(AND('341-CT'!$H$9=H3577,OR(LEFT(N3577,3)=$W$7,LEFT(O3577,3)=$W$7)),"x","")</f>
        <v/>
      </c>
      <c r="X3577" s="79" t="str">
        <f>IF(OR(TH!N3577=TH!$X$7,O3577=TH!$X$7),"x","")</f>
        <v/>
      </c>
      <c r="Y3577" s="79" t="str">
        <f>IF(AND(OR(N3577="131",O3577="131"),H3577='131-CT'!$H$9),"x","")</f>
        <v/>
      </c>
      <c r="Z3577" s="79"/>
      <c r="AA3577" s="79" t="str">
        <f>IF(AND(MONTH(E3577)='IN-NX'!$J$5,'IN-NX'!$D$7=D3577),"x","")</f>
        <v/>
      </c>
      <c r="AB3577" s="79" t="str">
        <f>IF(AND(OR(LEFT(TH!N3577,2)="15",LEFT(TH!O3577,2)="15"),LEFT(TH!O3577,3)&lt;&gt;"111",'152-CT'!$J$8=TH!F3577),"x","")</f>
        <v/>
      </c>
      <c r="AC3577" s="79" t="str">
        <f>IF(AND(OR(LEFT(TH!N3577,2)="15",LEFT(TH!O3577,2)="15"),TK!$E$7=TH!F3577),"x","")</f>
        <v/>
      </c>
      <c r="AD3577" s="79" t="str">
        <f>IF(AND(N3577="1521",MONTH(C3577)='BK-NL'!$M$11),"x","")</f>
        <v/>
      </c>
    </row>
    <row r="3578" spans="1:30" s="313" customFormat="1" ht="16.5" customHeight="1">
      <c r="A3578" s="318"/>
      <c r="B3578" s="60" t="str">
        <f t="shared" ref="B3578" si="400">IF(C3578&lt;&gt;"",MONTH(C3578),"")</f>
        <v/>
      </c>
      <c r="C3578" s="61"/>
      <c r="D3578" s="61"/>
      <c r="E3578" s="61"/>
      <c r="F3578" s="64"/>
      <c r="G3578" s="64"/>
      <c r="H3578" s="69"/>
      <c r="I3578" s="385"/>
      <c r="J3578" s="395"/>
      <c r="K3578" s="385"/>
      <c r="L3578" s="392"/>
      <c r="M3578" s="62"/>
      <c r="N3578" s="63"/>
      <c r="O3578" s="63"/>
      <c r="P3578" s="79" t="str">
        <f>IF(AND('331-CT'!$E$7=TH!H3578,OR(N3578="331",O3578="331")),"x","")</f>
        <v/>
      </c>
      <c r="Q3578" s="79" t="str">
        <f>IF(AND(B3578='111'!$L$11,OR($N3578=$Q$7,$O3578=$Q$7)),"x","")</f>
        <v/>
      </c>
      <c r="R3578" s="79" t="str">
        <f>IF(AND($N3578=$Q$7,$B3578&lt;'111'!$L$11),"x","")</f>
        <v/>
      </c>
      <c r="S3578" s="79" t="str">
        <f>IF(AND($O3578=$Q$7,$B3578&lt;'111'!$L$11),"x","")</f>
        <v/>
      </c>
      <c r="T3578" s="79" t="str">
        <f>IF(ISERROR(FIND('112'!$M$9,G3578,1)),"",IF((AND(FIND('112'!$M$9,G3578,1)&gt;=1,B3578='112'!$K$9,OR($N3578='112'!$I$6,$O3578='112'!$I$6))),"x",""))</f>
        <v/>
      </c>
      <c r="U3578" s="79" t="str">
        <f>IF(ISERROR(FIND('112'!$M$9,G3578,1)),"",IF((AND(LEFT(G3578,2)=LEFT('112'!$M$9,2),B3578&lt;'112'!$K$9,$N3578='112'!$I$6)),"x",""))</f>
        <v/>
      </c>
      <c r="V3578" s="79" t="str">
        <f>IF(ISERROR(FIND('112'!$M$9,G3578,1)),"",IF((AND(RIGHT(G3578,2)=RIGHT('112'!$M$9,2),B3578&lt;'112'!$K$9,$O3578='112'!$I$6)),"x",""))</f>
        <v/>
      </c>
      <c r="W3578" s="79" t="str">
        <f>IF(AND('341-CT'!$H$9=H3578,OR(LEFT(N3578,3)=$W$7,LEFT(O3578,3)=$W$7)),"x","")</f>
        <v/>
      </c>
      <c r="X3578" s="79" t="str">
        <f>IF(OR(TH!N3578=TH!$X$7,O3578=TH!$X$7),"x","")</f>
        <v/>
      </c>
      <c r="Y3578" s="79" t="str">
        <f>IF(AND(OR(N3578="131",O3578="131"),H3578='131-CT'!$H$9),"x","")</f>
        <v/>
      </c>
      <c r="Z3578" s="79"/>
      <c r="AA3578" s="79" t="str">
        <f>IF(AND(MONTH(E3578)='IN-NX'!$J$5,'IN-NX'!$D$7=D3578),"x","")</f>
        <v/>
      </c>
      <c r="AB3578" s="79" t="str">
        <f>IF(AND(OR(LEFT(TH!N3578,2)="15",LEFT(TH!O3578,2)="15"),LEFT(TH!O3578,3)&lt;&gt;"111",'152-CT'!$J$8=TH!F3578),"x","")</f>
        <v/>
      </c>
      <c r="AC3578" s="79" t="str">
        <f>IF(AND(OR(LEFT(TH!N3578,2)="15",LEFT(TH!O3578,2)="15"),TK!$E$7=TH!F3578),"x","")</f>
        <v/>
      </c>
      <c r="AD3578" s="79" t="str">
        <f>IF(AND(N3578="1521",MONTH(C3578)='BK-NL'!$M$11),"x","")</f>
        <v/>
      </c>
    </row>
    <row r="3579" spans="1:30" s="313" customFormat="1" ht="16.5" customHeight="1">
      <c r="A3579" s="318"/>
      <c r="B3579" s="60" t="str">
        <f t="shared" ref="B3579" si="401">IF(C3579&lt;&gt;"",MONTH(C3579),"")</f>
        <v/>
      </c>
      <c r="C3579" s="61"/>
      <c r="D3579" s="61"/>
      <c r="E3579" s="61"/>
      <c r="F3579" s="64"/>
      <c r="G3579" s="64"/>
      <c r="H3579" s="69"/>
      <c r="I3579" s="385"/>
      <c r="J3579" s="395"/>
      <c r="K3579" s="385"/>
      <c r="L3579" s="392"/>
      <c r="M3579" s="62"/>
      <c r="N3579" s="63"/>
      <c r="O3579" s="63"/>
      <c r="P3579" s="79" t="str">
        <f>IF(AND('331-CT'!$E$7=TH!H3579,OR(N3579="331",O3579="331")),"x","")</f>
        <v/>
      </c>
      <c r="Q3579" s="79" t="str">
        <f>IF(AND(B3579='111'!$L$11,OR($N3579=$Q$7,$O3579=$Q$7)),"x","")</f>
        <v/>
      </c>
      <c r="R3579" s="79" t="str">
        <f>IF(AND($N3579=$Q$7,$B3579&lt;'111'!$L$11),"x","")</f>
        <v/>
      </c>
      <c r="S3579" s="79" t="str">
        <f>IF(AND($O3579=$Q$7,$B3579&lt;'111'!$L$11),"x","")</f>
        <v/>
      </c>
      <c r="T3579" s="79" t="str">
        <f>IF(ISERROR(FIND('112'!$M$9,G3579,1)),"",IF((AND(FIND('112'!$M$9,G3579,1)&gt;=1,B3579='112'!$K$9,OR($N3579='112'!$I$6,$O3579='112'!$I$6))),"x",""))</f>
        <v/>
      </c>
      <c r="U3579" s="79" t="str">
        <f>IF(ISERROR(FIND('112'!$M$9,G3579,1)),"",IF((AND(LEFT(G3579,2)=LEFT('112'!$M$9,2),B3579&lt;'112'!$K$9,$N3579='112'!$I$6)),"x",""))</f>
        <v/>
      </c>
      <c r="V3579" s="79" t="str">
        <f>IF(ISERROR(FIND('112'!$M$9,G3579,1)),"",IF((AND(RIGHT(G3579,2)=RIGHT('112'!$M$9,2),B3579&lt;'112'!$K$9,$O3579='112'!$I$6)),"x",""))</f>
        <v/>
      </c>
      <c r="W3579" s="79" t="str">
        <f>IF(AND('341-CT'!$H$9=H3579,OR(LEFT(N3579,3)=$W$7,LEFT(O3579,3)=$W$7)),"x","")</f>
        <v/>
      </c>
      <c r="X3579" s="79" t="str">
        <f>IF(OR(TH!N3579=TH!$X$7,O3579=TH!$X$7),"x","")</f>
        <v/>
      </c>
      <c r="Y3579" s="79" t="str">
        <f>IF(AND(OR(N3579="131",O3579="131"),H3579='131-CT'!$H$9),"x","")</f>
        <v/>
      </c>
      <c r="Z3579" s="79"/>
      <c r="AA3579" s="79" t="str">
        <f>IF(AND(MONTH(E3579)='IN-NX'!$J$5,'IN-NX'!$D$7=D3579),"x","")</f>
        <v/>
      </c>
      <c r="AB3579" s="79" t="str">
        <f>IF(AND(OR(LEFT(TH!N3579,2)="15",LEFT(TH!O3579,2)="15"),LEFT(TH!O3579,3)&lt;&gt;"111",'152-CT'!$J$8=TH!F3579),"x","")</f>
        <v/>
      </c>
      <c r="AC3579" s="79" t="str">
        <f>IF(AND(OR(LEFT(TH!N3579,2)="15",LEFT(TH!O3579,2)="15"),TK!$E$7=TH!F3579),"x","")</f>
        <v/>
      </c>
      <c r="AD3579" s="79" t="str">
        <f>IF(AND(N3579="1521",MONTH(C3579)='BK-NL'!$M$11),"x","")</f>
        <v/>
      </c>
    </row>
    <row r="3580" spans="1:30" s="313" customFormat="1" ht="16.5" customHeight="1">
      <c r="A3580" s="318"/>
      <c r="B3580" s="60" t="str">
        <f t="shared" ref="B3580" si="402">IF(C3580&lt;&gt;"",MONTH(C3580),"")</f>
        <v/>
      </c>
      <c r="C3580" s="61"/>
      <c r="D3580" s="61"/>
      <c r="E3580" s="61"/>
      <c r="F3580" s="64"/>
      <c r="G3580" s="64"/>
      <c r="H3580" s="69"/>
      <c r="I3580" s="385"/>
      <c r="J3580" s="395"/>
      <c r="K3580" s="385"/>
      <c r="L3580" s="392"/>
      <c r="M3580" s="62"/>
      <c r="N3580" s="63"/>
      <c r="O3580" s="63"/>
      <c r="P3580" s="79" t="str">
        <f>IF(AND('331-CT'!$E$7=TH!H3580,OR(N3580="331",O3580="331")),"x","")</f>
        <v/>
      </c>
      <c r="Q3580" s="79" t="str">
        <f>IF(AND(B3580='111'!$L$11,OR($N3580=$Q$7,$O3580=$Q$7)),"x","")</f>
        <v/>
      </c>
      <c r="R3580" s="79" t="str">
        <f>IF(AND($N3580=$Q$7,$B3580&lt;'111'!$L$11),"x","")</f>
        <v/>
      </c>
      <c r="S3580" s="79" t="str">
        <f>IF(AND($O3580=$Q$7,$B3580&lt;'111'!$L$11),"x","")</f>
        <v/>
      </c>
      <c r="T3580" s="79" t="str">
        <f>IF(ISERROR(FIND('112'!$M$9,G3580,1)),"",IF((AND(FIND('112'!$M$9,G3580,1)&gt;=1,B3580='112'!$K$9,OR($N3580='112'!$I$6,$O3580='112'!$I$6))),"x",""))</f>
        <v/>
      </c>
      <c r="U3580" s="79" t="str">
        <f>IF(ISERROR(FIND('112'!$M$9,G3580,1)),"",IF((AND(LEFT(G3580,2)=LEFT('112'!$M$9,2),B3580&lt;'112'!$K$9,$N3580='112'!$I$6)),"x",""))</f>
        <v/>
      </c>
      <c r="V3580" s="79" t="str">
        <f>IF(ISERROR(FIND('112'!$M$9,G3580,1)),"",IF((AND(RIGHT(G3580,2)=RIGHT('112'!$M$9,2),B3580&lt;'112'!$K$9,$O3580='112'!$I$6)),"x",""))</f>
        <v/>
      </c>
      <c r="W3580" s="79" t="str">
        <f>IF(AND('341-CT'!$H$9=H3580,OR(LEFT(N3580,3)=$W$7,LEFT(O3580,3)=$W$7)),"x","")</f>
        <v/>
      </c>
      <c r="X3580" s="79" t="str">
        <f>IF(OR(TH!N3580=TH!$X$7,O3580=TH!$X$7),"x","")</f>
        <v/>
      </c>
      <c r="Y3580" s="79" t="str">
        <f>IF(AND(OR(N3580="131",O3580="131"),H3580='131-CT'!$H$9),"x","")</f>
        <v/>
      </c>
      <c r="Z3580" s="79"/>
      <c r="AA3580" s="79" t="str">
        <f>IF(AND(MONTH(E3580)='IN-NX'!$J$5,'IN-NX'!$D$7=D3580),"x","")</f>
        <v/>
      </c>
      <c r="AB3580" s="79" t="str">
        <f>IF(AND(OR(LEFT(TH!N3580,2)="15",LEFT(TH!O3580,2)="15"),LEFT(TH!O3580,3)&lt;&gt;"111",'152-CT'!$J$8=TH!F3580),"x","")</f>
        <v/>
      </c>
      <c r="AC3580" s="79" t="str">
        <f>IF(AND(OR(LEFT(TH!N3580,2)="15",LEFT(TH!O3580,2)="15"),TK!$E$7=TH!F3580),"x","")</f>
        <v/>
      </c>
      <c r="AD3580" s="79" t="str">
        <f>IF(AND(N3580="1521",MONTH(C3580)='BK-NL'!$M$11),"x","")</f>
        <v/>
      </c>
    </row>
    <row r="3581" spans="1:30" s="313" customFormat="1" ht="16.5" customHeight="1">
      <c r="A3581" s="318"/>
      <c r="B3581" s="60" t="str">
        <f t="shared" ref="B3581" si="403">IF(C3581&lt;&gt;"",MONTH(C3581),"")</f>
        <v/>
      </c>
      <c r="C3581" s="61"/>
      <c r="D3581" s="61"/>
      <c r="E3581" s="61"/>
      <c r="F3581" s="64"/>
      <c r="G3581" s="64"/>
      <c r="H3581" s="69"/>
      <c r="I3581" s="385"/>
      <c r="J3581" s="395"/>
      <c r="K3581" s="385"/>
      <c r="L3581" s="392"/>
      <c r="M3581" s="62"/>
      <c r="N3581" s="63"/>
      <c r="O3581" s="63"/>
      <c r="P3581" s="79" t="str">
        <f>IF(AND('331-CT'!$E$7=TH!H3581,OR(N3581="331",O3581="331")),"x","")</f>
        <v/>
      </c>
      <c r="Q3581" s="79" t="str">
        <f>IF(AND(B3581='111'!$L$11,OR($N3581=$Q$7,$O3581=$Q$7)),"x","")</f>
        <v/>
      </c>
      <c r="R3581" s="79" t="str">
        <f>IF(AND($N3581=$Q$7,$B3581&lt;'111'!$L$11),"x","")</f>
        <v/>
      </c>
      <c r="S3581" s="79" t="str">
        <f>IF(AND($O3581=$Q$7,$B3581&lt;'111'!$L$11),"x","")</f>
        <v/>
      </c>
      <c r="T3581" s="79" t="str">
        <f>IF(ISERROR(FIND('112'!$M$9,G3581,1)),"",IF((AND(FIND('112'!$M$9,G3581,1)&gt;=1,B3581='112'!$K$9,OR($N3581='112'!$I$6,$O3581='112'!$I$6))),"x",""))</f>
        <v/>
      </c>
      <c r="U3581" s="79" t="str">
        <f>IF(ISERROR(FIND('112'!$M$9,G3581,1)),"",IF((AND(LEFT(G3581,2)=LEFT('112'!$M$9,2),B3581&lt;'112'!$K$9,$N3581='112'!$I$6)),"x",""))</f>
        <v/>
      </c>
      <c r="V3581" s="79" t="str">
        <f>IF(ISERROR(FIND('112'!$M$9,G3581,1)),"",IF((AND(RIGHT(G3581,2)=RIGHT('112'!$M$9,2),B3581&lt;'112'!$K$9,$O3581='112'!$I$6)),"x",""))</f>
        <v/>
      </c>
      <c r="W3581" s="79" t="str">
        <f>IF(AND('341-CT'!$H$9=H3581,OR(LEFT(N3581,3)=$W$7,LEFT(O3581,3)=$W$7)),"x","")</f>
        <v/>
      </c>
      <c r="X3581" s="79" t="str">
        <f>IF(OR(TH!N3581=TH!$X$7,O3581=TH!$X$7),"x","")</f>
        <v/>
      </c>
      <c r="Y3581" s="79" t="str">
        <f>IF(AND(OR(N3581="131",O3581="131"),H3581='131-CT'!$H$9),"x","")</f>
        <v/>
      </c>
      <c r="Z3581" s="79"/>
      <c r="AA3581" s="79" t="str">
        <f>IF(AND(MONTH(E3581)='IN-NX'!$J$5,'IN-NX'!$D$7=D3581),"x","")</f>
        <v/>
      </c>
      <c r="AB3581" s="79" t="str">
        <f>IF(AND(OR(LEFT(TH!N3581,2)="15",LEFT(TH!O3581,2)="15"),LEFT(TH!O3581,3)&lt;&gt;"111",'152-CT'!$J$8=TH!F3581),"x","")</f>
        <v/>
      </c>
      <c r="AC3581" s="79" t="str">
        <f>IF(AND(OR(LEFT(TH!N3581,2)="15",LEFT(TH!O3581,2)="15"),TK!$E$7=TH!F3581),"x","")</f>
        <v/>
      </c>
      <c r="AD3581" s="79" t="str">
        <f>IF(AND(N3581="1521",MONTH(C3581)='BK-NL'!$M$11),"x","")</f>
        <v/>
      </c>
    </row>
    <row r="3582" spans="1:30" s="313" customFormat="1" ht="16.5" customHeight="1">
      <c r="A3582" s="318"/>
      <c r="B3582" s="60" t="str">
        <f t="shared" ref="B3582" si="404">IF(C3582&lt;&gt;"",MONTH(C3582),"")</f>
        <v/>
      </c>
      <c r="C3582" s="61"/>
      <c r="D3582" s="61"/>
      <c r="E3582" s="61"/>
      <c r="F3582" s="64"/>
      <c r="G3582" s="64"/>
      <c r="H3582" s="69"/>
      <c r="I3582" s="385"/>
      <c r="J3582" s="395"/>
      <c r="K3582" s="385"/>
      <c r="L3582" s="392"/>
      <c r="M3582" s="62"/>
      <c r="N3582" s="63"/>
      <c r="O3582" s="63"/>
      <c r="P3582" s="79" t="str">
        <f>IF(AND('331-CT'!$E$7=TH!H3582,OR(N3582="331",O3582="331")),"x","")</f>
        <v/>
      </c>
      <c r="Q3582" s="79" t="str">
        <f>IF(AND(B3582='111'!$L$11,OR($N3582=$Q$7,$O3582=$Q$7)),"x","")</f>
        <v/>
      </c>
      <c r="R3582" s="79" t="str">
        <f>IF(AND($N3582=$Q$7,$B3582&lt;'111'!$L$11),"x","")</f>
        <v/>
      </c>
      <c r="S3582" s="79" t="str">
        <f>IF(AND($O3582=$Q$7,$B3582&lt;'111'!$L$11),"x","")</f>
        <v/>
      </c>
      <c r="T3582" s="79" t="str">
        <f>IF(ISERROR(FIND('112'!$M$9,G3582,1)),"",IF((AND(FIND('112'!$M$9,G3582,1)&gt;=1,B3582='112'!$K$9,OR($N3582='112'!$I$6,$O3582='112'!$I$6))),"x",""))</f>
        <v/>
      </c>
      <c r="U3582" s="79" t="str">
        <f>IF(ISERROR(FIND('112'!$M$9,G3582,1)),"",IF((AND(LEFT(G3582,2)=LEFT('112'!$M$9,2),B3582&lt;'112'!$K$9,$N3582='112'!$I$6)),"x",""))</f>
        <v/>
      </c>
      <c r="V3582" s="79" t="str">
        <f>IF(ISERROR(FIND('112'!$M$9,G3582,1)),"",IF((AND(RIGHT(G3582,2)=RIGHT('112'!$M$9,2),B3582&lt;'112'!$K$9,$O3582='112'!$I$6)),"x",""))</f>
        <v/>
      </c>
      <c r="W3582" s="79" t="str">
        <f>IF(AND('341-CT'!$H$9=H3582,OR(LEFT(N3582,3)=$W$7,LEFT(O3582,3)=$W$7)),"x","")</f>
        <v/>
      </c>
      <c r="X3582" s="79" t="str">
        <f>IF(OR(TH!N3582=TH!$X$7,O3582=TH!$X$7),"x","")</f>
        <v/>
      </c>
      <c r="Y3582" s="79" t="str">
        <f>IF(AND(OR(N3582="131",O3582="131"),H3582='131-CT'!$H$9),"x","")</f>
        <v/>
      </c>
      <c r="Z3582" s="79"/>
      <c r="AA3582" s="79" t="str">
        <f>IF(AND(MONTH(E3582)='IN-NX'!$J$5,'IN-NX'!$D$7=D3582),"x","")</f>
        <v/>
      </c>
      <c r="AB3582" s="79" t="str">
        <f>IF(AND(OR(LEFT(TH!N3582,2)="15",LEFT(TH!O3582,2)="15"),LEFT(TH!O3582,3)&lt;&gt;"111",'152-CT'!$J$8=TH!F3582),"x","")</f>
        <v/>
      </c>
      <c r="AC3582" s="79" t="str">
        <f>IF(AND(OR(LEFT(TH!N3582,2)="15",LEFT(TH!O3582,2)="15"),TK!$E$7=TH!F3582),"x","")</f>
        <v/>
      </c>
      <c r="AD3582" s="79" t="str">
        <f>IF(AND(N3582="1521",MONTH(C3582)='BK-NL'!$M$11),"x","")</f>
        <v/>
      </c>
    </row>
    <row r="3583" spans="1:30" s="313" customFormat="1" ht="16.5" customHeight="1">
      <c r="A3583" s="318"/>
      <c r="B3583" s="60" t="str">
        <f t="shared" ref="B3583:B3585" si="405">IF(C3583&lt;&gt;"",MONTH(C3583),"")</f>
        <v/>
      </c>
      <c r="C3583" s="61"/>
      <c r="D3583" s="61"/>
      <c r="E3583" s="61"/>
      <c r="F3583" s="64"/>
      <c r="G3583" s="64"/>
      <c r="H3583" s="69"/>
      <c r="I3583" s="385"/>
      <c r="J3583" s="395"/>
      <c r="K3583" s="385"/>
      <c r="L3583" s="392"/>
      <c r="M3583" s="62"/>
      <c r="N3583" s="63"/>
      <c r="O3583" s="63"/>
      <c r="P3583" s="79" t="str">
        <f>IF(AND('331-CT'!$E$7=TH!H3583,OR(N3583="331",O3583="331")),"x","")</f>
        <v/>
      </c>
      <c r="Q3583" s="79" t="str">
        <f>IF(AND(B3583='111'!$L$11,OR($N3583=$Q$7,$O3583=$Q$7)),"x","")</f>
        <v/>
      </c>
      <c r="R3583" s="79" t="str">
        <f>IF(AND($N3583=$Q$7,$B3583&lt;'111'!$L$11),"x","")</f>
        <v/>
      </c>
      <c r="S3583" s="79" t="str">
        <f>IF(AND($O3583=$Q$7,$B3583&lt;'111'!$L$11),"x","")</f>
        <v/>
      </c>
      <c r="T3583" s="79" t="str">
        <f>IF(ISERROR(FIND('112'!$M$9,G3583,1)),"",IF((AND(FIND('112'!$M$9,G3583,1)&gt;=1,B3583='112'!$K$9,OR($N3583='112'!$I$6,$O3583='112'!$I$6))),"x",""))</f>
        <v/>
      </c>
      <c r="U3583" s="79" t="str">
        <f>IF(ISERROR(FIND('112'!$M$9,G3583,1)),"",IF((AND(LEFT(G3583,2)=LEFT('112'!$M$9,2),B3583&lt;'112'!$K$9,$N3583='112'!$I$6)),"x",""))</f>
        <v/>
      </c>
      <c r="V3583" s="79" t="str">
        <f>IF(ISERROR(FIND('112'!$M$9,G3583,1)),"",IF((AND(RIGHT(G3583,2)=RIGHT('112'!$M$9,2),B3583&lt;'112'!$K$9,$O3583='112'!$I$6)),"x",""))</f>
        <v/>
      </c>
      <c r="W3583" s="79" t="str">
        <f>IF(AND('341-CT'!$H$9=H3583,OR(LEFT(N3583,3)=$W$7,LEFT(O3583,3)=$W$7)),"x","")</f>
        <v/>
      </c>
      <c r="X3583" s="79" t="str">
        <f>IF(OR(TH!N3583=TH!$X$7,O3583=TH!$X$7),"x","")</f>
        <v/>
      </c>
      <c r="Y3583" s="79" t="str">
        <f>IF(AND(OR(N3583="131",O3583="131"),H3583='131-CT'!$H$9),"x","")</f>
        <v/>
      </c>
      <c r="Z3583" s="79"/>
      <c r="AA3583" s="79" t="str">
        <f>IF(AND(MONTH(E3583)='IN-NX'!$J$5,'IN-NX'!$D$7=D3583),"x","")</f>
        <v/>
      </c>
      <c r="AB3583" s="79" t="str">
        <f>IF(AND(OR(LEFT(TH!N3583,2)="15",LEFT(TH!O3583,2)="15"),LEFT(TH!O3583,3)&lt;&gt;"111",'152-CT'!$J$8=TH!F3583),"x","")</f>
        <v/>
      </c>
      <c r="AC3583" s="79" t="str">
        <f>IF(AND(OR(LEFT(TH!N3583,2)="15",LEFT(TH!O3583,2)="15"),TK!$E$7=TH!F3583),"x","")</f>
        <v/>
      </c>
      <c r="AD3583" s="79" t="str">
        <f>IF(AND(N3583="1521",MONTH(C3583)='BK-NL'!$M$11),"x","")</f>
        <v/>
      </c>
    </row>
    <row r="3584" spans="1:30" s="313" customFormat="1" ht="16.5" customHeight="1">
      <c r="A3584" s="318"/>
      <c r="B3584" s="60" t="str">
        <f t="shared" si="405"/>
        <v/>
      </c>
      <c r="C3584" s="61"/>
      <c r="D3584" s="61"/>
      <c r="E3584" s="61"/>
      <c r="F3584" s="64"/>
      <c r="G3584" s="64"/>
      <c r="H3584" s="69"/>
      <c r="I3584" s="385"/>
      <c r="J3584" s="395"/>
      <c r="K3584" s="385"/>
      <c r="L3584" s="392"/>
      <c r="M3584" s="62"/>
      <c r="N3584" s="63"/>
      <c r="O3584" s="63"/>
      <c r="P3584" s="79" t="str">
        <f>IF(AND('331-CT'!$E$7=TH!H3584,OR(N3584="331",O3584="331")),"x","")</f>
        <v/>
      </c>
      <c r="Q3584" s="79" t="str">
        <f>IF(AND(B3584='111'!$L$11,OR($N3584=$Q$7,$O3584=$Q$7)),"x","")</f>
        <v/>
      </c>
      <c r="R3584" s="79" t="str">
        <f>IF(AND($N3584=$Q$7,$B3584&lt;'111'!$L$11),"x","")</f>
        <v/>
      </c>
      <c r="S3584" s="79" t="str">
        <f>IF(AND($O3584=$Q$7,$B3584&lt;'111'!$L$11),"x","")</f>
        <v/>
      </c>
      <c r="T3584" s="79" t="str">
        <f>IF(ISERROR(FIND('112'!$M$9,G3584,1)),"",IF((AND(FIND('112'!$M$9,G3584,1)&gt;=1,B3584='112'!$K$9,OR($N3584='112'!$I$6,$O3584='112'!$I$6))),"x",""))</f>
        <v/>
      </c>
      <c r="U3584" s="79" t="str">
        <f>IF(ISERROR(FIND('112'!$M$9,G3584,1)),"",IF((AND(LEFT(G3584,2)=LEFT('112'!$M$9,2),B3584&lt;'112'!$K$9,$N3584='112'!$I$6)),"x",""))</f>
        <v/>
      </c>
      <c r="V3584" s="79" t="str">
        <f>IF(ISERROR(FIND('112'!$M$9,G3584,1)),"",IF((AND(RIGHT(G3584,2)=RIGHT('112'!$M$9,2),B3584&lt;'112'!$K$9,$O3584='112'!$I$6)),"x",""))</f>
        <v/>
      </c>
      <c r="W3584" s="79" t="str">
        <f>IF(AND('341-CT'!$H$9=H3584,OR(LEFT(N3584,3)=$W$7,LEFT(O3584,3)=$W$7)),"x","")</f>
        <v/>
      </c>
      <c r="X3584" s="79" t="str">
        <f>IF(OR(TH!N3584=TH!$X$7,O3584=TH!$X$7),"x","")</f>
        <v/>
      </c>
      <c r="Y3584" s="79" t="str">
        <f>IF(AND(OR(N3584="131",O3584="131"),H3584='131-CT'!$H$9),"x","")</f>
        <v/>
      </c>
      <c r="Z3584" s="79"/>
      <c r="AA3584" s="79" t="str">
        <f>IF(AND(MONTH(E3584)='IN-NX'!$J$5,'IN-NX'!$D$7=D3584),"x","")</f>
        <v/>
      </c>
      <c r="AB3584" s="79" t="str">
        <f>IF(AND(OR(LEFT(TH!N3584,2)="15",LEFT(TH!O3584,2)="15"),LEFT(TH!O3584,3)&lt;&gt;"111",'152-CT'!$J$8=TH!F3584),"x","")</f>
        <v/>
      </c>
      <c r="AC3584" s="79" t="str">
        <f>IF(AND(OR(LEFT(TH!N3584,2)="15",LEFT(TH!O3584,2)="15"),TK!$E$7=TH!F3584),"x","")</f>
        <v/>
      </c>
      <c r="AD3584" s="79" t="str">
        <f>IF(AND(N3584="1521",MONTH(C3584)='BK-NL'!$M$11),"x","")</f>
        <v/>
      </c>
    </row>
    <row r="3585" spans="1:30" s="313" customFormat="1" ht="16.5" customHeight="1">
      <c r="A3585" s="318"/>
      <c r="B3585" s="60" t="str">
        <f t="shared" si="405"/>
        <v/>
      </c>
      <c r="C3585" s="61"/>
      <c r="D3585" s="61"/>
      <c r="E3585" s="61"/>
      <c r="F3585" s="64"/>
      <c r="G3585" s="64"/>
      <c r="H3585" s="69"/>
      <c r="I3585" s="385"/>
      <c r="J3585" s="395"/>
      <c r="K3585" s="385"/>
      <c r="L3585" s="392"/>
      <c r="M3585" s="62"/>
      <c r="N3585" s="63"/>
      <c r="O3585" s="63"/>
      <c r="P3585" s="79" t="str">
        <f>IF(AND('331-CT'!$E$7=TH!H3585,OR(N3585="331",O3585="331")),"x","")</f>
        <v/>
      </c>
      <c r="Q3585" s="79" t="str">
        <f>IF(AND(B3585='111'!$L$11,OR($N3585=$Q$7,$O3585=$Q$7)),"x","")</f>
        <v/>
      </c>
      <c r="R3585" s="79" t="str">
        <f>IF(AND($N3585=$Q$7,$B3585&lt;'111'!$L$11),"x","")</f>
        <v/>
      </c>
      <c r="S3585" s="79" t="str">
        <f>IF(AND($O3585=$Q$7,$B3585&lt;'111'!$L$11),"x","")</f>
        <v/>
      </c>
      <c r="T3585" s="79" t="str">
        <f>IF(ISERROR(FIND('112'!$M$9,G3585,1)),"",IF((AND(FIND('112'!$M$9,G3585,1)&gt;=1,B3585='112'!$K$9,OR($N3585='112'!$I$6,$O3585='112'!$I$6))),"x",""))</f>
        <v/>
      </c>
      <c r="U3585" s="79" t="str">
        <f>IF(ISERROR(FIND('112'!$M$9,G3585,1)),"",IF((AND(LEFT(G3585,2)=LEFT('112'!$M$9,2),B3585&lt;'112'!$K$9,$N3585='112'!$I$6)),"x",""))</f>
        <v/>
      </c>
      <c r="V3585" s="79" t="str">
        <f>IF(ISERROR(FIND('112'!$M$9,G3585,1)),"",IF((AND(RIGHT(G3585,2)=RIGHT('112'!$M$9,2),B3585&lt;'112'!$K$9,$O3585='112'!$I$6)),"x",""))</f>
        <v/>
      </c>
      <c r="W3585" s="79" t="str">
        <f>IF(AND('341-CT'!$H$9=H3585,OR(LEFT(N3585,3)=$W$7,LEFT(O3585,3)=$W$7)),"x","")</f>
        <v/>
      </c>
      <c r="X3585" s="79" t="str">
        <f>IF(OR(TH!N3585=TH!$X$7,O3585=TH!$X$7),"x","")</f>
        <v/>
      </c>
      <c r="Y3585" s="79" t="str">
        <f>IF(AND(OR(N3585="131",O3585="131"),H3585='131-CT'!$H$9),"x","")</f>
        <v/>
      </c>
      <c r="Z3585" s="79"/>
      <c r="AA3585" s="79" t="str">
        <f>IF(AND(MONTH(E3585)='IN-NX'!$J$5,'IN-NX'!$D$7=D3585),"x","")</f>
        <v/>
      </c>
      <c r="AB3585" s="79" t="str">
        <f>IF(AND(OR(LEFT(TH!N3585,2)="15",LEFT(TH!O3585,2)="15"),LEFT(TH!O3585,3)&lt;&gt;"111",'152-CT'!$J$8=TH!F3585),"x","")</f>
        <v/>
      </c>
      <c r="AC3585" s="79" t="str">
        <f>IF(AND(OR(LEFT(TH!N3585,2)="15",LEFT(TH!O3585,2)="15"),TK!$E$7=TH!F3585),"x","")</f>
        <v/>
      </c>
      <c r="AD3585" s="79" t="str">
        <f>IF(AND(N3585="1521",MONTH(C3585)='BK-NL'!$M$11),"x","")</f>
        <v/>
      </c>
    </row>
    <row r="3586" spans="1:30" s="313" customFormat="1" ht="16.5" customHeight="1">
      <c r="A3586" s="318"/>
      <c r="B3586" s="60" t="str">
        <f t="shared" ref="B3586" si="406">IF(C3586&lt;&gt;"",MONTH(C3586),"")</f>
        <v/>
      </c>
      <c r="C3586" s="61"/>
      <c r="D3586" s="61"/>
      <c r="E3586" s="61"/>
      <c r="F3586" s="64"/>
      <c r="G3586" s="64"/>
      <c r="H3586" s="69"/>
      <c r="I3586" s="385"/>
      <c r="J3586" s="395"/>
      <c r="K3586" s="385"/>
      <c r="L3586" s="392"/>
      <c r="M3586" s="62"/>
      <c r="N3586" s="63"/>
      <c r="O3586" s="63"/>
      <c r="P3586" s="79" t="str">
        <f>IF(AND('331-CT'!$E$7=TH!H3586,OR(N3586="331",O3586="331")),"x","")</f>
        <v/>
      </c>
      <c r="Q3586" s="79" t="str">
        <f>IF(AND(B3586='111'!$L$11,OR($N3586=$Q$7,$O3586=$Q$7)),"x","")</f>
        <v/>
      </c>
      <c r="R3586" s="79" t="str">
        <f>IF(AND($N3586=$Q$7,$B3586&lt;'111'!$L$11),"x","")</f>
        <v/>
      </c>
      <c r="S3586" s="79" t="str">
        <f>IF(AND($O3586=$Q$7,$B3586&lt;'111'!$L$11),"x","")</f>
        <v/>
      </c>
      <c r="T3586" s="79" t="str">
        <f>IF(ISERROR(FIND('112'!$M$9,G3586,1)),"",IF((AND(FIND('112'!$M$9,G3586,1)&gt;=1,B3586='112'!$K$9,OR($N3586='112'!$I$6,$O3586='112'!$I$6))),"x",""))</f>
        <v/>
      </c>
      <c r="U3586" s="79" t="str">
        <f>IF(ISERROR(FIND('112'!$M$9,G3586,1)),"",IF((AND(LEFT(G3586,2)=LEFT('112'!$M$9,2),B3586&lt;'112'!$K$9,$N3586='112'!$I$6)),"x",""))</f>
        <v/>
      </c>
      <c r="V3586" s="79" t="str">
        <f>IF(ISERROR(FIND('112'!$M$9,G3586,1)),"",IF((AND(RIGHT(G3586,2)=RIGHT('112'!$M$9,2),B3586&lt;'112'!$K$9,$O3586='112'!$I$6)),"x",""))</f>
        <v/>
      </c>
      <c r="W3586" s="79" t="str">
        <f>IF(AND('341-CT'!$H$9=H3586,OR(LEFT(N3586,3)=$W$7,LEFT(O3586,3)=$W$7)),"x","")</f>
        <v/>
      </c>
      <c r="X3586" s="79" t="str">
        <f>IF(OR(TH!N3586=TH!$X$7,O3586=TH!$X$7),"x","")</f>
        <v/>
      </c>
      <c r="Y3586" s="79" t="str">
        <f>IF(AND(OR(N3586="131",O3586="131"),H3586='131-CT'!$H$9),"x","")</f>
        <v/>
      </c>
      <c r="Z3586" s="79"/>
      <c r="AA3586" s="79" t="str">
        <f>IF(AND(MONTH(E3586)='IN-NX'!$J$5,'IN-NX'!$D$7=D3586),"x","")</f>
        <v/>
      </c>
      <c r="AB3586" s="79" t="str">
        <f>IF(AND(OR(LEFT(TH!N3586,2)="15",LEFT(TH!O3586,2)="15"),LEFT(TH!O3586,3)&lt;&gt;"111",'152-CT'!$J$8=TH!F3586),"x","")</f>
        <v/>
      </c>
      <c r="AC3586" s="79" t="str">
        <f>IF(AND(OR(LEFT(TH!N3586,2)="15",LEFT(TH!O3586,2)="15"),TK!$E$7=TH!F3586),"x","")</f>
        <v/>
      </c>
      <c r="AD3586" s="79" t="str">
        <f>IF(AND(N3586="1521",MONTH(C3586)='BK-NL'!$M$11),"x","")</f>
        <v/>
      </c>
    </row>
    <row r="3587" spans="1:30" s="313" customFormat="1" ht="16.5" customHeight="1">
      <c r="A3587" s="318"/>
      <c r="B3587" s="60"/>
      <c r="C3587" s="61"/>
      <c r="D3587" s="61"/>
      <c r="E3587" s="61"/>
      <c r="F3587" s="64"/>
      <c r="G3587" s="64"/>
      <c r="H3587" s="69"/>
      <c r="I3587" s="385"/>
      <c r="J3587" s="395"/>
      <c r="K3587" s="385"/>
      <c r="L3587" s="392"/>
      <c r="M3587" s="62"/>
      <c r="N3587" s="63"/>
      <c r="O3587" s="63"/>
      <c r="P3587" s="79" t="str">
        <f>IF(AND('331-CT'!$E$7=TH!H3587,OR(N3587="331",O3587="331")),"x","")</f>
        <v/>
      </c>
      <c r="Q3587" s="79" t="str">
        <f>IF(AND(B3587='111'!$L$11,OR($N3587=$Q$7,$O3587=$Q$7)),"x","")</f>
        <v/>
      </c>
      <c r="R3587" s="79" t="str">
        <f>IF(AND($N3587=$Q$7,$B3587&lt;'111'!$L$11),"x","")</f>
        <v/>
      </c>
      <c r="S3587" s="79" t="str">
        <f>IF(AND($O3587=$Q$7,$B3587&lt;'111'!$L$11),"x","")</f>
        <v/>
      </c>
      <c r="T3587" s="79" t="str">
        <f>IF(ISERROR(FIND('112'!$M$9,G3587,1)),"",IF((AND(FIND('112'!$M$9,G3587,1)&gt;=1,B3587='112'!$K$9,OR($N3587='112'!$I$6,$O3587='112'!$I$6))),"x",""))</f>
        <v/>
      </c>
      <c r="U3587" s="79" t="str">
        <f>IF(ISERROR(FIND('112'!$M$9,G3587,1)),"",IF((AND(LEFT(G3587,2)=LEFT('112'!$M$9,2),B3587&lt;'112'!$K$9,$N3587='112'!$I$6)),"x",""))</f>
        <v/>
      </c>
      <c r="V3587" s="79" t="str">
        <f>IF(ISERROR(FIND('112'!$M$9,G3587,1)),"",IF((AND(RIGHT(G3587,2)=RIGHT('112'!$M$9,2),B3587&lt;'112'!$K$9,$O3587='112'!$I$6)),"x",""))</f>
        <v/>
      </c>
      <c r="W3587" s="79" t="str">
        <f>IF(AND('341-CT'!$H$9=H3587,OR(LEFT(N3587,3)=$W$7,LEFT(O3587,3)=$W$7)),"x","")</f>
        <v/>
      </c>
      <c r="X3587" s="79" t="str">
        <f>IF(OR(TH!N3587=TH!$X$7,O3587=TH!$X$7),"x","")</f>
        <v/>
      </c>
      <c r="Y3587" s="79" t="str">
        <f>IF(AND(OR(N3587="131",O3587="131"),H3587='131-CT'!$H$9),"x","")</f>
        <v/>
      </c>
      <c r="Z3587" s="79"/>
      <c r="AA3587" s="79" t="str">
        <f>IF(AND(MONTH(E3587)='IN-NX'!$J$5,'IN-NX'!$D$7=D3587),"x","")</f>
        <v/>
      </c>
      <c r="AB3587" s="79" t="str">
        <f>IF(AND(OR(LEFT(TH!N3587,2)="15",LEFT(TH!O3587,2)="15"),LEFT(TH!O3587,3)&lt;&gt;"111",'152-CT'!$J$8=TH!F3587),"x","")</f>
        <v/>
      </c>
      <c r="AC3587" s="79" t="str">
        <f>IF(AND(OR(LEFT(TH!N3587,2)="15",LEFT(TH!O3587,2)="15"),TK!$E$7=TH!F3587),"x","")</f>
        <v/>
      </c>
      <c r="AD3587" s="79" t="str">
        <f>IF(AND(N3587="1521",MONTH(C3587)='BK-NL'!$M$11),"x","")</f>
        <v/>
      </c>
    </row>
    <row r="3588" spans="1:30" ht="16.5" customHeight="1">
      <c r="A3588" s="318" t="str">
        <f>IF(B3588&lt;&gt;"",IF(AND(B3588='IN-TC'!$S$4,OR(TH!N3588="1111",TH!O3588="1111")),TH!D3588,""),"")</f>
        <v/>
      </c>
      <c r="B3588" s="60" t="str">
        <f t="shared" ref="B3588:B3651" si="407">IF(C3588&lt;&gt;"",MONTH(C3588),"")</f>
        <v/>
      </c>
      <c r="C3588" s="75"/>
      <c r="D3588" s="75"/>
      <c r="E3588" s="974"/>
      <c r="F3588" s="76"/>
      <c r="G3588" s="76"/>
      <c r="H3588" s="759"/>
      <c r="I3588" s="383"/>
      <c r="J3588" s="977"/>
      <c r="K3588" s="383"/>
      <c r="L3588" s="390"/>
      <c r="M3588" s="978"/>
      <c r="N3588" s="979"/>
      <c r="O3588" s="979"/>
      <c r="P3588" s="79" t="str">
        <f>IF(AND('331-CT'!$E$7=TH!H3588,OR(N3588="331",O3588="331")),"x","")</f>
        <v/>
      </c>
      <c r="Q3588" s="79" t="str">
        <f>IF(AND(B3588='111'!$L$11,OR($N3588=$Q$7,$O3588=$Q$7)),"x","")</f>
        <v/>
      </c>
      <c r="R3588" s="79" t="str">
        <f>IF(AND($N3588=$Q$7,$B3588&lt;'111'!$L$11),"x","")</f>
        <v/>
      </c>
      <c r="S3588" s="79" t="str">
        <f>IF(AND($O3588=$Q$7,$B3588&lt;'111'!$L$11),"x","")</f>
        <v/>
      </c>
      <c r="T3588" s="79" t="str">
        <f>IF(ISERROR(FIND('112'!$M$9,G3588,1)),"",IF((AND(FIND('112'!$M$9,G3588,1)&gt;=1,B3588='112'!$K$9,OR($N3588='112'!$I$6,$O3588='112'!$I$6))),"x",""))</f>
        <v/>
      </c>
      <c r="U3588" s="79" t="str">
        <f>IF(ISERROR(FIND('112'!$M$9,G3588,1)),"",IF((AND(LEFT(G3588,2)=LEFT('112'!$M$9,2),B3588&lt;'112'!$K$9,$N3588='112'!$I$6)),"x",""))</f>
        <v/>
      </c>
      <c r="V3588" s="79" t="str">
        <f>IF(ISERROR(FIND('112'!$M$9,G3588,1)),"",IF((AND(RIGHT(G3588,2)=RIGHT('112'!$M$9,2),B3588&lt;'112'!$K$9,$O3588='112'!$I$6)),"x",""))</f>
        <v/>
      </c>
      <c r="W3588" s="79" t="str">
        <f>IF(AND('341-CT'!$H$9=H3588,OR(LEFT(N3588,3)=$W$7,LEFT(O3588,3)=$W$7)),"x","")</f>
        <v/>
      </c>
      <c r="X3588" s="79" t="str">
        <f>IF(OR(TH!N3588=TH!$X$7,O3588=TH!$X$7),"x","")</f>
        <v/>
      </c>
      <c r="Y3588" s="79" t="str">
        <f>IF(AND(OR(N3588="131",O3588="131"),H3588='131-CT'!$H$9),"x","")</f>
        <v/>
      </c>
      <c r="Z3588" s="79"/>
      <c r="AA3588" s="79" t="str">
        <f>IF(AND(MONTH(E3588)='IN-NX'!$J$5,'IN-NX'!$D$7=D3588),"x","")</f>
        <v/>
      </c>
      <c r="AB3588" s="79" t="str">
        <f>IF(AND(OR(LEFT(TH!N3588,2)="15",LEFT(TH!O3588,2)="15"),LEFT(TH!O3588,3)&lt;&gt;"111",'152-CT'!$J$8=TH!F3588),"x","")</f>
        <v/>
      </c>
      <c r="AC3588" s="79" t="str">
        <f>IF(AND(OR(LEFT(TH!N3588,2)="15",LEFT(TH!O3588,2)="15"),TK!$E$7=TH!F3588),"x","")</f>
        <v/>
      </c>
      <c r="AD3588" s="79" t="str">
        <f>IF(AND(N3588="1521",MONTH(C3588)='BK-NL'!$M$11),"x","")</f>
        <v/>
      </c>
    </row>
    <row r="3589" spans="1:30" ht="16.5" customHeight="1">
      <c r="A3589" s="318" t="str">
        <f>IF(B3589&lt;&gt;"",IF(AND(B3589='IN-TC'!$S$4,OR(TH!N3589="1111",TH!O3589="1111")),TH!D3589,""),"")</f>
        <v/>
      </c>
      <c r="B3589" s="60" t="str">
        <f t="shared" si="407"/>
        <v/>
      </c>
      <c r="C3589" s="75"/>
      <c r="D3589" s="75"/>
      <c r="E3589" s="974"/>
      <c r="F3589" s="76"/>
      <c r="G3589" s="76"/>
      <c r="H3589" s="1208"/>
      <c r="I3589" s="383"/>
      <c r="J3589" s="977"/>
      <c r="K3589" s="383"/>
      <c r="L3589" s="390"/>
      <c r="M3589" s="978"/>
      <c r="N3589" s="979"/>
      <c r="O3589" s="979"/>
      <c r="P3589" s="79" t="str">
        <f>IF(AND('331-CT'!$E$7=TH!H3589,OR(N3589="331",O3589="331")),"x","")</f>
        <v/>
      </c>
      <c r="Q3589" s="79" t="str">
        <f>IF(AND(B3589='111'!$L$11,OR($N3589=$Q$7,$O3589=$Q$7)),"x","")</f>
        <v/>
      </c>
      <c r="R3589" s="79" t="str">
        <f>IF(AND($N3589=$Q$7,$B3589&lt;'111'!$L$11),"x","")</f>
        <v/>
      </c>
      <c r="S3589" s="79" t="str">
        <f>IF(AND($O3589=$Q$7,$B3589&lt;'111'!$L$11),"x","")</f>
        <v/>
      </c>
      <c r="T3589" s="79" t="str">
        <f>IF(ISERROR(FIND('112'!$M$9,G3589,1)),"",IF((AND(FIND('112'!$M$9,G3589,1)&gt;=1,B3589='112'!$K$9,OR($N3589='112'!$I$6,$O3589='112'!$I$6))),"x",""))</f>
        <v/>
      </c>
      <c r="U3589" s="79" t="str">
        <f>IF(ISERROR(FIND('112'!$M$9,G3589,1)),"",IF((AND(LEFT(G3589,2)=LEFT('112'!$M$9,2),B3589&lt;'112'!$K$9,$N3589='112'!$I$6)),"x",""))</f>
        <v/>
      </c>
      <c r="V3589" s="79" t="str">
        <f>IF(ISERROR(FIND('112'!$M$9,G3589,1)),"",IF((AND(RIGHT(G3589,2)=RIGHT('112'!$M$9,2),B3589&lt;'112'!$K$9,$O3589='112'!$I$6)),"x",""))</f>
        <v/>
      </c>
      <c r="W3589" s="79" t="str">
        <f>IF(AND('341-CT'!$H$9=H3589,OR(LEFT(N3589,3)=$W$7,LEFT(O3589,3)=$W$7)),"x","")</f>
        <v/>
      </c>
      <c r="X3589" s="79" t="str">
        <f>IF(OR(TH!N3589=TH!$X$7,O3589=TH!$X$7),"x","")</f>
        <v/>
      </c>
      <c r="Y3589" s="79" t="str">
        <f>IF(AND(OR(N3589="131",O3589="131"),H3589='131-CT'!$H$9),"x","")</f>
        <v/>
      </c>
      <c r="Z3589" s="79"/>
      <c r="AA3589" s="79" t="str">
        <f>IF(AND(MONTH(E3589)='IN-NX'!$J$5,'IN-NX'!$D$7=D3589),"x","")</f>
        <v/>
      </c>
      <c r="AB3589" s="79" t="str">
        <f>IF(AND(OR(LEFT(TH!N3589,2)="15",LEFT(TH!O3589,2)="15"),LEFT(TH!O3589,3)&lt;&gt;"111",'152-CT'!$J$8=TH!F3589),"x","")</f>
        <v/>
      </c>
      <c r="AC3589" s="79" t="str">
        <f>IF(AND(OR(LEFT(TH!N3589,2)="15",LEFT(TH!O3589,2)="15"),TK!$E$7=TH!F3589),"x","")</f>
        <v/>
      </c>
      <c r="AD3589" s="79" t="str">
        <f>IF(AND(N3589="1521",MONTH(C3589)='BK-NL'!$M$11),"x","")</f>
        <v/>
      </c>
    </row>
    <row r="3590" spans="1:30" ht="16.5" customHeight="1">
      <c r="A3590" s="318" t="str">
        <f>IF(B3590&lt;&gt;"",IF(AND(B3590='IN-TC'!$S$4,OR(TH!N3590="1111",TH!O3590="1111")),TH!D3590,""),"")</f>
        <v/>
      </c>
      <c r="B3590" s="60" t="str">
        <f t="shared" si="407"/>
        <v/>
      </c>
      <c r="C3590" s="974"/>
      <c r="D3590" s="75"/>
      <c r="E3590" s="974"/>
      <c r="F3590" s="975"/>
      <c r="G3590" s="1018"/>
      <c r="H3590" s="77"/>
      <c r="I3590" s="383"/>
      <c r="J3590" s="977"/>
      <c r="K3590" s="383"/>
      <c r="L3590" s="390"/>
      <c r="M3590" s="978"/>
      <c r="N3590" s="979"/>
      <c r="O3590" s="979"/>
      <c r="P3590" s="79" t="str">
        <f>IF(AND('331-CT'!$E$7=TH!H3590,OR(N3590="331",O3590="331")),"x","")</f>
        <v/>
      </c>
      <c r="Q3590" s="79" t="str">
        <f>IF(AND(B3590='111'!$L$11,OR($N3590=$Q$7,$O3590=$Q$7)),"x","")</f>
        <v/>
      </c>
      <c r="R3590" s="79" t="str">
        <f>IF(AND($N3590=$Q$7,$B3590&lt;'111'!$L$11),"x","")</f>
        <v/>
      </c>
      <c r="S3590" s="79" t="str">
        <f>IF(AND($O3590=$Q$7,$B3590&lt;'111'!$L$11),"x","")</f>
        <v/>
      </c>
      <c r="T3590" s="79" t="str">
        <f>IF(ISERROR(FIND('112'!$M$9,G3590,1)),"",IF((AND(FIND('112'!$M$9,G3590,1)&gt;=1,B3590='112'!$K$9,OR($N3590='112'!$I$6,$O3590='112'!$I$6))),"x",""))</f>
        <v/>
      </c>
      <c r="U3590" s="79" t="str">
        <f>IF(ISERROR(FIND('112'!$M$9,G3590,1)),"",IF((AND(LEFT(G3590,2)=LEFT('112'!$M$9,2),B3590&lt;'112'!$K$9,$N3590='112'!$I$6)),"x",""))</f>
        <v/>
      </c>
      <c r="V3590" s="79" t="str">
        <f>IF(ISERROR(FIND('112'!$M$9,G3590,1)),"",IF((AND(RIGHT(G3590,2)=RIGHT('112'!$M$9,2),B3590&lt;'112'!$K$9,$O3590='112'!$I$6)),"x",""))</f>
        <v/>
      </c>
      <c r="W3590" s="79" t="str">
        <f>IF(AND('341-CT'!$H$9=H3590,OR(LEFT(N3590,3)=$W$7,LEFT(O3590,3)=$W$7)),"x","")</f>
        <v/>
      </c>
      <c r="X3590" s="79" t="str">
        <f>IF(OR(TH!N3590=TH!$X$7,O3590=TH!$X$7),"x","")</f>
        <v/>
      </c>
      <c r="Y3590" s="79" t="str">
        <f>IF(AND(OR(N3590="131",O3590="131"),H3590='131-CT'!$H$9),"x","")</f>
        <v/>
      </c>
      <c r="Z3590" s="79"/>
      <c r="AA3590" s="79" t="str">
        <f>IF(AND(MONTH(E3590)='IN-NX'!$J$5,'IN-NX'!$D$7=D3590),"x","")</f>
        <v/>
      </c>
      <c r="AB3590" s="79" t="str">
        <f>IF(AND(OR(LEFT(TH!N3590,2)="15",LEFT(TH!O3590,2)="15"),LEFT(TH!O3590,3)&lt;&gt;"111",'152-CT'!$J$8=TH!F3590),"x","")</f>
        <v/>
      </c>
      <c r="AC3590" s="79" t="str">
        <f>IF(AND(OR(LEFT(TH!N3590,2)="15",LEFT(TH!O3590,2)="15"),TK!$E$7=TH!F3590),"x","")</f>
        <v/>
      </c>
      <c r="AD3590" s="79" t="str">
        <f>IF(AND(N3590="1521",MONTH(C3590)='BK-NL'!$M$11),"x","")</f>
        <v/>
      </c>
    </row>
    <row r="3591" spans="1:30" ht="16.5" customHeight="1">
      <c r="A3591" s="318" t="str">
        <f>IF(B3591&lt;&gt;"",IF(AND(B3591='IN-TC'!$S$4,OR(TH!N3591="1111",TH!O3591="1111")),TH!D3591,""),"")</f>
        <v/>
      </c>
      <c r="B3591" s="60" t="str">
        <f t="shared" si="407"/>
        <v/>
      </c>
      <c r="C3591" s="1273"/>
      <c r="D3591" s="75"/>
      <c r="E3591" s="974"/>
      <c r="F3591" s="76"/>
      <c r="G3591" s="76"/>
      <c r="H3591" s="77"/>
      <c r="I3591" s="383"/>
      <c r="J3591" s="977"/>
      <c r="K3591" s="383"/>
      <c r="L3591" s="390"/>
      <c r="M3591" s="978"/>
      <c r="N3591" s="979"/>
      <c r="O3591" s="979"/>
      <c r="P3591" s="79" t="str">
        <f>IF(AND('331-CT'!$E$7=TH!H3591,OR(N3591="331",O3591="331")),"x","")</f>
        <v/>
      </c>
      <c r="Q3591" s="79" t="str">
        <f>IF(AND(B3591='111'!$L$11,OR($N3591=$Q$7,$O3591=$Q$7)),"x","")</f>
        <v/>
      </c>
      <c r="R3591" s="79" t="str">
        <f>IF(AND($N3591=$Q$7,$B3591&lt;'111'!$L$11),"x","")</f>
        <v/>
      </c>
      <c r="S3591" s="79" t="str">
        <f>IF(AND($O3591=$Q$7,$B3591&lt;'111'!$L$11),"x","")</f>
        <v/>
      </c>
      <c r="T3591" s="79" t="str">
        <f>IF(ISERROR(FIND('112'!$M$9,G3591,1)),"",IF((AND(FIND('112'!$M$9,G3591,1)&gt;=1,B3591='112'!$K$9,OR($N3591='112'!$I$6,$O3591='112'!$I$6))),"x",""))</f>
        <v/>
      </c>
      <c r="U3591" s="79" t="str">
        <f>IF(ISERROR(FIND('112'!$M$9,G3591,1)),"",IF((AND(LEFT(G3591,2)=LEFT('112'!$M$9,2),B3591&lt;'112'!$K$9,$N3591='112'!$I$6)),"x",""))</f>
        <v/>
      </c>
      <c r="V3591" s="79" t="str">
        <f>IF(ISERROR(FIND('112'!$M$9,G3591,1)),"",IF((AND(RIGHT(G3591,2)=RIGHT('112'!$M$9,2),B3591&lt;'112'!$K$9,$O3591='112'!$I$6)),"x",""))</f>
        <v/>
      </c>
      <c r="W3591" s="79" t="str">
        <f>IF(AND('341-CT'!$H$9=H3591,OR(LEFT(N3591,3)=$W$7,LEFT(O3591,3)=$W$7)),"x","")</f>
        <v/>
      </c>
      <c r="X3591" s="79" t="str">
        <f>IF(OR(TH!N3591=TH!$X$7,O3591=TH!$X$7),"x","")</f>
        <v/>
      </c>
      <c r="Y3591" s="79" t="str">
        <f>IF(AND(OR(N3591="131",O3591="131"),H3591='131-CT'!$H$9),"x","")</f>
        <v/>
      </c>
      <c r="Z3591" s="79"/>
      <c r="AA3591" s="79" t="str">
        <f>IF(AND(MONTH(E3591)='IN-NX'!$J$5,'IN-NX'!$D$7=D3591),"x","")</f>
        <v/>
      </c>
      <c r="AB3591" s="79" t="str">
        <f>IF(AND(OR(LEFT(TH!N3591,2)="15",LEFT(TH!O3591,2)="15"),LEFT(TH!O3591,3)&lt;&gt;"111",'152-CT'!$J$8=TH!F3591),"x","")</f>
        <v/>
      </c>
      <c r="AC3591" s="79" t="str">
        <f>IF(AND(OR(LEFT(TH!N3591,2)="15",LEFT(TH!O3591,2)="15"),TK!$E$7=TH!F3591),"x","")</f>
        <v/>
      </c>
      <c r="AD3591" s="79" t="str">
        <f>IF(AND(N3591="1521",MONTH(C3591)='BK-NL'!$M$11),"x","")</f>
        <v/>
      </c>
    </row>
    <row r="3592" spans="1:30" ht="16.5" customHeight="1">
      <c r="A3592" s="318" t="str">
        <f>IF(B3592&lt;&gt;"",IF(AND(B3592='IN-TC'!$S$4,OR(TH!N3592="1111",TH!O3592="1111")),TH!D3592,""),"")</f>
        <v/>
      </c>
      <c r="B3592" s="60" t="str">
        <f t="shared" si="407"/>
        <v/>
      </c>
      <c r="C3592" s="1273"/>
      <c r="D3592" s="974"/>
      <c r="E3592" s="974"/>
      <c r="F3592" s="76"/>
      <c r="G3592" s="76"/>
      <c r="H3592" s="77"/>
      <c r="I3592" s="1274"/>
      <c r="J3592" s="1275"/>
      <c r="K3592" s="383"/>
      <c r="L3592" s="390"/>
      <c r="M3592" s="978"/>
      <c r="N3592" s="979"/>
      <c r="O3592" s="979"/>
      <c r="P3592" s="79" t="str">
        <f>IF(AND('331-CT'!$E$7=TH!H3592,OR(N3592="331",O3592="331")),"x","")</f>
        <v/>
      </c>
      <c r="Q3592" s="79" t="str">
        <f>IF(AND(B3592='111'!$L$11,OR($N3592=$Q$7,$O3592=$Q$7)),"x","")</f>
        <v/>
      </c>
      <c r="R3592" s="79" t="str">
        <f>IF(AND($N3592=$Q$7,$B3592&lt;'111'!$L$11),"x","")</f>
        <v/>
      </c>
      <c r="S3592" s="79" t="str">
        <f>IF(AND($O3592=$Q$7,$B3592&lt;'111'!$L$11),"x","")</f>
        <v/>
      </c>
      <c r="T3592" s="79" t="str">
        <f>IF(ISERROR(FIND('112'!$M$9,G3592,1)),"",IF((AND(FIND('112'!$M$9,G3592,1)&gt;=1,B3592='112'!$K$9,OR($N3592='112'!$I$6,$O3592='112'!$I$6))),"x",""))</f>
        <v/>
      </c>
      <c r="U3592" s="79" t="str">
        <f>IF(ISERROR(FIND('112'!$M$9,G3592,1)),"",IF((AND(LEFT(G3592,2)=LEFT('112'!$M$9,2),B3592&lt;'112'!$K$9,$N3592='112'!$I$6)),"x",""))</f>
        <v/>
      </c>
      <c r="V3592" s="79" t="str">
        <f>IF(ISERROR(FIND('112'!$M$9,G3592,1)),"",IF((AND(RIGHT(G3592,2)=RIGHT('112'!$M$9,2),B3592&lt;'112'!$K$9,$O3592='112'!$I$6)),"x",""))</f>
        <v/>
      </c>
      <c r="W3592" s="79" t="str">
        <f>IF(AND('341-CT'!$H$9=H3592,OR(LEFT(N3592,3)=$W$7,LEFT(O3592,3)=$W$7)),"x","")</f>
        <v/>
      </c>
      <c r="X3592" s="79" t="str">
        <f>IF(OR(TH!N3592=TH!$X$7,O3592=TH!$X$7),"x","")</f>
        <v/>
      </c>
      <c r="Y3592" s="79" t="str">
        <f>IF(AND(OR(N3592="131",O3592="131"),H3592='131-CT'!$H$9),"x","")</f>
        <v/>
      </c>
      <c r="Z3592" s="79"/>
      <c r="AA3592" s="79" t="str">
        <f>IF(AND(MONTH(E3592)='IN-NX'!$J$5,'IN-NX'!$D$7=D3592),"x","")</f>
        <v/>
      </c>
      <c r="AB3592" s="79" t="str">
        <f>IF(AND(OR(LEFT(TH!N3592,2)="15",LEFT(TH!O3592,2)="15"),LEFT(TH!O3592,3)&lt;&gt;"111",'152-CT'!$J$8=TH!F3592),"x","")</f>
        <v/>
      </c>
      <c r="AC3592" s="79" t="str">
        <f>IF(AND(OR(LEFT(TH!N3592,2)="15",LEFT(TH!O3592,2)="15"),TK!$E$7=TH!F3592),"x","")</f>
        <v/>
      </c>
      <c r="AD3592" s="79" t="str">
        <f>IF(AND(N3592="1521",MONTH(C3592)='BK-NL'!$M$11),"x","")</f>
        <v/>
      </c>
    </row>
    <row r="3593" spans="1:30" ht="16.5" customHeight="1">
      <c r="A3593" s="318" t="str">
        <f>IF(B3593&lt;&gt;"",IF(AND(B3593='IN-TC'!$S$4,OR(TH!N3593="1111",TH!O3593="1111")),TH!D3593,""),"")</f>
        <v/>
      </c>
      <c r="B3593" s="60" t="str">
        <f t="shared" si="407"/>
        <v/>
      </c>
      <c r="C3593" s="1273"/>
      <c r="D3593" s="75"/>
      <c r="E3593" s="974"/>
      <c r="F3593" s="76"/>
      <c r="G3593" s="76"/>
      <c r="H3593" s="759"/>
      <c r="I3593" s="1274"/>
      <c r="J3593" s="1275"/>
      <c r="K3593" s="383"/>
      <c r="L3593" s="390"/>
      <c r="M3593" s="978"/>
      <c r="N3593" s="979"/>
      <c r="O3593" s="979"/>
      <c r="P3593" s="79" t="str">
        <f>IF(AND('331-CT'!$E$7=TH!H3593,OR(N3593="331",O3593="331")),"x","")</f>
        <v/>
      </c>
      <c r="Q3593" s="79" t="str">
        <f>IF(AND(B3593='111'!$L$11,OR($N3593=$Q$7,$O3593=$Q$7)),"x","")</f>
        <v/>
      </c>
      <c r="R3593" s="79" t="str">
        <f>IF(AND($N3593=$Q$7,$B3593&lt;'111'!$L$11),"x","")</f>
        <v/>
      </c>
      <c r="S3593" s="79" t="str">
        <f>IF(AND($O3593=$Q$7,$B3593&lt;'111'!$L$11),"x","")</f>
        <v/>
      </c>
      <c r="T3593" s="79" t="str">
        <f>IF(ISERROR(FIND('112'!$M$9,G3593,1)),"",IF((AND(FIND('112'!$M$9,G3593,1)&gt;=1,B3593='112'!$K$9,OR($N3593='112'!$I$6,$O3593='112'!$I$6))),"x",""))</f>
        <v/>
      </c>
      <c r="U3593" s="79" t="str">
        <f>IF(ISERROR(FIND('112'!$M$9,G3593,1)),"",IF((AND(LEFT(G3593,2)=LEFT('112'!$M$9,2),B3593&lt;'112'!$K$9,$N3593='112'!$I$6)),"x",""))</f>
        <v/>
      </c>
      <c r="V3593" s="79" t="str">
        <f>IF(ISERROR(FIND('112'!$M$9,G3593,1)),"",IF((AND(RIGHT(G3593,2)=RIGHT('112'!$M$9,2),B3593&lt;'112'!$K$9,$O3593='112'!$I$6)),"x",""))</f>
        <v/>
      </c>
      <c r="W3593" s="79" t="str">
        <f>IF(AND('341-CT'!$H$9=H3593,OR(LEFT(N3593,3)=$W$7,LEFT(O3593,3)=$W$7)),"x","")</f>
        <v/>
      </c>
      <c r="X3593" s="79" t="str">
        <f>IF(OR(TH!N3593=TH!$X$7,O3593=TH!$X$7),"x","")</f>
        <v/>
      </c>
      <c r="Y3593" s="79" t="str">
        <f>IF(AND(OR(N3593="131",O3593="131"),H3593='131-CT'!$H$9),"x","")</f>
        <v/>
      </c>
      <c r="Z3593" s="79"/>
      <c r="AA3593" s="79" t="str">
        <f>IF(AND(MONTH(E3593)='IN-NX'!$J$5,'IN-NX'!$D$7=D3593),"x","")</f>
        <v/>
      </c>
      <c r="AB3593" s="79" t="str">
        <f>IF(AND(OR(LEFT(TH!N3593,2)="15",LEFT(TH!O3593,2)="15"),LEFT(TH!O3593,3)&lt;&gt;"111",'152-CT'!$J$8=TH!F3593),"x","")</f>
        <v/>
      </c>
      <c r="AC3593" s="79" t="str">
        <f>IF(AND(OR(LEFT(TH!N3593,2)="15",LEFT(TH!O3593,2)="15"),TK!$E$7=TH!F3593),"x","")</f>
        <v/>
      </c>
      <c r="AD3593" s="79" t="str">
        <f>IF(AND(N3593="1521",MONTH(C3593)='BK-NL'!$M$11),"x","")</f>
        <v/>
      </c>
    </row>
    <row r="3594" spans="1:30" ht="16.5" customHeight="1">
      <c r="A3594" s="318" t="str">
        <f>IF(B3594&lt;&gt;"",IF(AND(B3594='IN-TC'!$S$4,OR(TH!N3594="1111",TH!O3594="1111")),TH!D3594,""),"")</f>
        <v/>
      </c>
      <c r="B3594" s="60" t="str">
        <f t="shared" si="407"/>
        <v/>
      </c>
      <c r="C3594" s="1273"/>
      <c r="D3594" s="75"/>
      <c r="E3594" s="974"/>
      <c r="F3594" s="76"/>
      <c r="G3594" s="76"/>
      <c r="H3594" s="759"/>
      <c r="I3594" s="1274"/>
      <c r="J3594" s="1275"/>
      <c r="K3594" s="383"/>
      <c r="L3594" s="390"/>
      <c r="M3594" s="978"/>
      <c r="N3594" s="979"/>
      <c r="O3594" s="979"/>
      <c r="P3594" s="79" t="str">
        <f>IF(AND('331-CT'!$E$7=TH!H3594,OR(N3594="331",O3594="331")),"x","")</f>
        <v/>
      </c>
      <c r="Q3594" s="79" t="str">
        <f>IF(AND(B3594='111'!$L$11,OR($N3594=$Q$7,$O3594=$Q$7)),"x","")</f>
        <v/>
      </c>
      <c r="R3594" s="79" t="str">
        <f>IF(AND($N3594=$Q$7,$B3594&lt;'111'!$L$11),"x","")</f>
        <v/>
      </c>
      <c r="S3594" s="79" t="str">
        <f>IF(AND($O3594=$Q$7,$B3594&lt;'111'!$L$11),"x","")</f>
        <v/>
      </c>
      <c r="T3594" s="79" t="str">
        <f>IF(ISERROR(FIND('112'!$M$9,G3594,1)),"",IF((AND(FIND('112'!$M$9,G3594,1)&gt;=1,B3594='112'!$K$9,OR($N3594='112'!$I$6,$O3594='112'!$I$6))),"x",""))</f>
        <v/>
      </c>
      <c r="U3594" s="79" t="str">
        <f>IF(ISERROR(FIND('112'!$M$9,G3594,1)),"",IF((AND(LEFT(G3594,2)=LEFT('112'!$M$9,2),B3594&lt;'112'!$K$9,$N3594='112'!$I$6)),"x",""))</f>
        <v/>
      </c>
      <c r="V3594" s="79" t="str">
        <f>IF(ISERROR(FIND('112'!$M$9,G3594,1)),"",IF((AND(RIGHT(G3594,2)=RIGHT('112'!$M$9,2),B3594&lt;'112'!$K$9,$O3594='112'!$I$6)),"x",""))</f>
        <v/>
      </c>
      <c r="W3594" s="79" t="str">
        <f>IF(AND('341-CT'!$H$9=H3594,OR(LEFT(N3594,3)=$W$7,LEFT(O3594,3)=$W$7)),"x","")</f>
        <v/>
      </c>
      <c r="X3594" s="79" t="str">
        <f>IF(OR(TH!N3594=TH!$X$7,O3594=TH!$X$7),"x","")</f>
        <v/>
      </c>
      <c r="Y3594" s="79" t="str">
        <f>IF(AND(OR(N3594="131",O3594="131"),H3594='131-CT'!$H$9),"x","")</f>
        <v/>
      </c>
      <c r="Z3594" s="79"/>
      <c r="AA3594" s="79" t="str">
        <f>IF(AND(MONTH(E3594)='IN-NX'!$J$5,'IN-NX'!$D$7=D3594),"x","")</f>
        <v/>
      </c>
      <c r="AB3594" s="79" t="str">
        <f>IF(AND(OR(LEFT(TH!N3594,2)="15",LEFT(TH!O3594,2)="15"),LEFT(TH!O3594,3)&lt;&gt;"111",'152-CT'!$J$8=TH!F3594),"x","")</f>
        <v/>
      </c>
      <c r="AC3594" s="79" t="str">
        <f>IF(AND(OR(LEFT(TH!N3594,2)="15",LEFT(TH!O3594,2)="15"),TK!$E$7=TH!F3594),"x","")</f>
        <v/>
      </c>
      <c r="AD3594" s="79" t="str">
        <f>IF(AND(N3594="1521",MONTH(C3594)='BK-NL'!$M$11),"x","")</f>
        <v/>
      </c>
    </row>
    <row r="3595" spans="1:30" ht="16.5" customHeight="1">
      <c r="A3595" s="318" t="str">
        <f>IF(B3595&lt;&gt;"",IF(AND(B3595='IN-TC'!$S$4,OR(TH!N3595="1111",TH!O3595="1111")),TH!D3595,""),"")</f>
        <v/>
      </c>
      <c r="B3595" s="60" t="str">
        <f t="shared" si="407"/>
        <v/>
      </c>
      <c r="C3595" s="75"/>
      <c r="D3595" s="75"/>
      <c r="E3595" s="974"/>
      <c r="F3595" s="76"/>
      <c r="G3595" s="76"/>
      <c r="H3595" s="759"/>
      <c r="I3595" s="383"/>
      <c r="J3595" s="977"/>
      <c r="K3595" s="383"/>
      <c r="L3595" s="390"/>
      <c r="M3595" s="978"/>
      <c r="N3595" s="979"/>
      <c r="O3595" s="979"/>
      <c r="P3595" s="79" t="str">
        <f>IF(AND('331-CT'!$E$7=TH!H3595,OR(N3595="331",O3595="331")),"x","")</f>
        <v/>
      </c>
      <c r="Q3595" s="79" t="str">
        <f>IF(AND(B3595='111'!$L$11,OR($N3595=$Q$7,$O3595=$Q$7)),"x","")</f>
        <v/>
      </c>
      <c r="R3595" s="79" t="str">
        <f>IF(AND($N3595=$Q$7,$B3595&lt;'111'!$L$11),"x","")</f>
        <v/>
      </c>
      <c r="S3595" s="79" t="str">
        <f>IF(AND($O3595=$Q$7,$B3595&lt;'111'!$L$11),"x","")</f>
        <v/>
      </c>
      <c r="T3595" s="79" t="str">
        <f>IF(ISERROR(FIND('112'!$M$9,G3595,1)),"",IF((AND(FIND('112'!$M$9,G3595,1)&gt;=1,B3595='112'!$K$9,OR($N3595='112'!$I$6,$O3595='112'!$I$6))),"x",""))</f>
        <v/>
      </c>
      <c r="U3595" s="79" t="str">
        <f>IF(ISERROR(FIND('112'!$M$9,G3595,1)),"",IF((AND(LEFT(G3595,2)=LEFT('112'!$M$9,2),B3595&lt;'112'!$K$9,$N3595='112'!$I$6)),"x",""))</f>
        <v/>
      </c>
      <c r="V3595" s="79" t="str">
        <f>IF(ISERROR(FIND('112'!$M$9,G3595,1)),"",IF((AND(RIGHT(G3595,2)=RIGHT('112'!$M$9,2),B3595&lt;'112'!$K$9,$O3595='112'!$I$6)),"x",""))</f>
        <v/>
      </c>
      <c r="W3595" s="79" t="str">
        <f>IF(AND('341-CT'!$H$9=H3595,OR(LEFT(N3595,3)=$W$7,LEFT(O3595,3)=$W$7)),"x","")</f>
        <v/>
      </c>
      <c r="X3595" s="79" t="str">
        <f>IF(OR(TH!N3595=TH!$X$7,O3595=TH!$X$7),"x","")</f>
        <v/>
      </c>
      <c r="Y3595" s="79" t="str">
        <f>IF(AND(OR(N3595="131",O3595="131"),H3595='131-CT'!$H$9),"x","")</f>
        <v/>
      </c>
      <c r="Z3595" s="79"/>
      <c r="AA3595" s="79" t="str">
        <f>IF(AND(MONTH(E3595)='IN-NX'!$J$5,'IN-NX'!$D$7=D3595),"x","")</f>
        <v/>
      </c>
      <c r="AB3595" s="79" t="str">
        <f>IF(AND(OR(LEFT(TH!N3595,2)="15",LEFT(TH!O3595,2)="15"),LEFT(TH!O3595,3)&lt;&gt;"111",'152-CT'!$J$8=TH!F3595),"x","")</f>
        <v/>
      </c>
      <c r="AC3595" s="79" t="str">
        <f>IF(AND(OR(LEFT(TH!N3595,2)="15",LEFT(TH!O3595,2)="15"),TK!$E$7=TH!F3595),"x","")</f>
        <v/>
      </c>
      <c r="AD3595" s="79" t="str">
        <f>IF(AND(N3595="1521",MONTH(C3595)='BK-NL'!$M$11),"x","")</f>
        <v/>
      </c>
    </row>
    <row r="3596" spans="1:30" ht="16.5" customHeight="1">
      <c r="A3596" s="318" t="str">
        <f>IF(B3596&lt;&gt;"",IF(AND(B3596='IN-TC'!$S$4,OR(TH!N3596="1111",TH!O3596="1111")),TH!D3596,""),"")</f>
        <v/>
      </c>
      <c r="B3596" s="60" t="str">
        <f t="shared" si="407"/>
        <v/>
      </c>
      <c r="C3596" s="75"/>
      <c r="D3596" s="75"/>
      <c r="E3596" s="974"/>
      <c r="F3596" s="76"/>
      <c r="G3596" s="76"/>
      <c r="H3596" s="1208"/>
      <c r="I3596" s="383"/>
      <c r="J3596" s="977"/>
      <c r="K3596" s="383"/>
      <c r="L3596" s="390"/>
      <c r="M3596" s="978"/>
      <c r="N3596" s="979"/>
      <c r="O3596" s="979"/>
      <c r="P3596" s="79" t="str">
        <f>IF(AND('331-CT'!$E$7=TH!H3596,OR(N3596="331",O3596="331")),"x","")</f>
        <v/>
      </c>
      <c r="Q3596" s="79" t="str">
        <f>IF(AND(B3596='111'!$L$11,OR($N3596=$Q$7,$O3596=$Q$7)),"x","")</f>
        <v/>
      </c>
      <c r="R3596" s="79" t="str">
        <f>IF(AND($N3596=$Q$7,$B3596&lt;'111'!$L$11),"x","")</f>
        <v/>
      </c>
      <c r="S3596" s="79" t="str">
        <f>IF(AND($O3596=$Q$7,$B3596&lt;'111'!$L$11),"x","")</f>
        <v/>
      </c>
      <c r="T3596" s="79" t="str">
        <f>IF(ISERROR(FIND('112'!$M$9,G3596,1)),"",IF((AND(FIND('112'!$M$9,G3596,1)&gt;=1,B3596='112'!$K$9,OR($N3596='112'!$I$6,$O3596='112'!$I$6))),"x",""))</f>
        <v/>
      </c>
      <c r="U3596" s="79" t="str">
        <f>IF(ISERROR(FIND('112'!$M$9,G3596,1)),"",IF((AND(LEFT(G3596,2)=LEFT('112'!$M$9,2),B3596&lt;'112'!$K$9,$N3596='112'!$I$6)),"x",""))</f>
        <v/>
      </c>
      <c r="V3596" s="79" t="str">
        <f>IF(ISERROR(FIND('112'!$M$9,G3596,1)),"",IF((AND(RIGHT(G3596,2)=RIGHT('112'!$M$9,2),B3596&lt;'112'!$K$9,$O3596='112'!$I$6)),"x",""))</f>
        <v/>
      </c>
      <c r="W3596" s="79" t="str">
        <f>IF(AND('341-CT'!$H$9=H3596,OR(LEFT(N3596,3)=$W$7,LEFT(O3596,3)=$W$7)),"x","")</f>
        <v/>
      </c>
      <c r="X3596" s="79" t="str">
        <f>IF(OR(TH!N3596=TH!$X$7,O3596=TH!$X$7),"x","")</f>
        <v/>
      </c>
      <c r="Y3596" s="79" t="str">
        <f>IF(AND(OR(N3596="131",O3596="131"),H3596='131-CT'!$H$9),"x","")</f>
        <v/>
      </c>
      <c r="Z3596" s="79"/>
      <c r="AA3596" s="79" t="str">
        <f>IF(AND(MONTH(E3596)='IN-NX'!$J$5,'IN-NX'!$D$7=D3596),"x","")</f>
        <v/>
      </c>
      <c r="AB3596" s="79" t="str">
        <f>IF(AND(OR(LEFT(TH!N3596,2)="15",LEFT(TH!O3596,2)="15"),LEFT(TH!O3596,3)&lt;&gt;"111",'152-CT'!$J$8=TH!F3596),"x","")</f>
        <v/>
      </c>
      <c r="AC3596" s="79" t="str">
        <f>IF(AND(OR(LEFT(TH!N3596,2)="15",LEFT(TH!O3596,2)="15"),TK!$E$7=TH!F3596),"x","")</f>
        <v/>
      </c>
      <c r="AD3596" s="79" t="str">
        <f>IF(AND(N3596="1521",MONTH(C3596)='BK-NL'!$M$11),"x","")</f>
        <v/>
      </c>
    </row>
    <row r="3597" spans="1:30" ht="16.5" customHeight="1">
      <c r="A3597" s="318" t="str">
        <f>IF(B3597&lt;&gt;"",IF(AND(B3597='IN-TC'!$S$4,OR(TH!N3597="1111",TH!O3597="1111")),TH!D3597,""),"")</f>
        <v/>
      </c>
      <c r="B3597" s="60" t="str">
        <f t="shared" si="407"/>
        <v/>
      </c>
      <c r="C3597" s="75"/>
      <c r="D3597" s="75"/>
      <c r="E3597" s="974"/>
      <c r="F3597" s="76"/>
      <c r="G3597" s="76"/>
      <c r="H3597" s="1208"/>
      <c r="I3597" s="383"/>
      <c r="J3597" s="977"/>
      <c r="K3597" s="383"/>
      <c r="L3597" s="390"/>
      <c r="M3597" s="978"/>
      <c r="N3597" s="979"/>
      <c r="O3597" s="979"/>
      <c r="P3597" s="79" t="str">
        <f>IF(AND('331-CT'!$E$7=TH!H3597,OR(N3597="331",O3597="331")),"x","")</f>
        <v/>
      </c>
      <c r="Q3597" s="79" t="str">
        <f>IF(AND(B3597='111'!$L$11,OR($N3597=$Q$7,$O3597=$Q$7)),"x","")</f>
        <v/>
      </c>
      <c r="R3597" s="79" t="str">
        <f>IF(AND($N3597=$Q$7,$B3597&lt;'111'!$L$11),"x","")</f>
        <v/>
      </c>
      <c r="S3597" s="79" t="str">
        <f>IF(AND($O3597=$Q$7,$B3597&lt;'111'!$L$11),"x","")</f>
        <v/>
      </c>
      <c r="T3597" s="79" t="str">
        <f>IF(ISERROR(FIND('112'!$M$9,G3597,1)),"",IF((AND(FIND('112'!$M$9,G3597,1)&gt;=1,B3597='112'!$K$9,OR($N3597='112'!$I$6,$O3597='112'!$I$6))),"x",""))</f>
        <v/>
      </c>
      <c r="U3597" s="79" t="str">
        <f>IF(ISERROR(FIND('112'!$M$9,G3597,1)),"",IF((AND(LEFT(G3597,2)=LEFT('112'!$M$9,2),B3597&lt;'112'!$K$9,$N3597='112'!$I$6)),"x",""))</f>
        <v/>
      </c>
      <c r="V3597" s="79" t="str">
        <f>IF(ISERROR(FIND('112'!$M$9,G3597,1)),"",IF((AND(RIGHT(G3597,2)=RIGHT('112'!$M$9,2),B3597&lt;'112'!$K$9,$O3597='112'!$I$6)),"x",""))</f>
        <v/>
      </c>
      <c r="W3597" s="79" t="str">
        <f>IF(AND('341-CT'!$H$9=H3597,OR(LEFT(N3597,3)=$W$7,LEFT(O3597,3)=$W$7)),"x","")</f>
        <v/>
      </c>
      <c r="X3597" s="79" t="str">
        <f>IF(OR(TH!N3597=TH!$X$7,O3597=TH!$X$7),"x","")</f>
        <v/>
      </c>
      <c r="Y3597" s="79" t="str">
        <f>IF(AND(OR(N3597="131",O3597="131"),H3597='131-CT'!$H$9),"x","")</f>
        <v/>
      </c>
      <c r="Z3597" s="79"/>
      <c r="AA3597" s="79" t="str">
        <f>IF(AND(MONTH(E3597)='IN-NX'!$J$5,'IN-NX'!$D$7=D3597),"x","")</f>
        <v/>
      </c>
      <c r="AB3597" s="79" t="str">
        <f>IF(AND(OR(LEFT(TH!N3597,2)="15",LEFT(TH!O3597,2)="15"),LEFT(TH!O3597,3)&lt;&gt;"111",'152-CT'!$J$8=TH!F3597),"x","")</f>
        <v/>
      </c>
      <c r="AC3597" s="79" t="str">
        <f>IF(AND(OR(LEFT(TH!N3597,2)="15",LEFT(TH!O3597,2)="15"),TK!$E$7=TH!F3597),"x","")</f>
        <v/>
      </c>
      <c r="AD3597" s="79" t="str">
        <f>IF(AND(N3597="1521",MONTH(C3597)='BK-NL'!$M$11),"x","")</f>
        <v/>
      </c>
    </row>
    <row r="3598" spans="1:30" ht="16.5" customHeight="1">
      <c r="A3598" s="318" t="str">
        <f>IF(B3598&lt;&gt;"",IF(AND(B3598='IN-TC'!$S$4,OR(TH!N3598="1111",TH!O3598="1111")),TH!D3598,""),"")</f>
        <v/>
      </c>
      <c r="B3598" s="60" t="str">
        <f t="shared" si="407"/>
        <v/>
      </c>
      <c r="C3598" s="75"/>
      <c r="D3598" s="974"/>
      <c r="E3598" s="974"/>
      <c r="F3598" s="76"/>
      <c r="G3598" s="76"/>
      <c r="H3598" s="1208"/>
      <c r="I3598" s="383"/>
      <c r="J3598" s="977"/>
      <c r="K3598" s="383"/>
      <c r="L3598" s="390"/>
      <c r="M3598" s="978"/>
      <c r="N3598" s="979"/>
      <c r="O3598" s="979"/>
      <c r="P3598" s="79" t="str">
        <f>IF(AND('331-CT'!$E$7=TH!H3598,OR(N3598="331",O3598="331")),"x","")</f>
        <v/>
      </c>
      <c r="Q3598" s="79" t="str">
        <f>IF(AND(B3598='111'!$L$11,OR($N3598=$Q$7,$O3598=$Q$7)),"x","")</f>
        <v/>
      </c>
      <c r="R3598" s="79" t="str">
        <f>IF(AND($N3598=$Q$7,$B3598&lt;'111'!$L$11),"x","")</f>
        <v/>
      </c>
      <c r="S3598" s="79" t="str">
        <f>IF(AND($O3598=$Q$7,$B3598&lt;'111'!$L$11),"x","")</f>
        <v/>
      </c>
      <c r="T3598" s="79" t="str">
        <f>IF(ISERROR(FIND('112'!$M$9,G3598,1)),"",IF((AND(FIND('112'!$M$9,G3598,1)&gt;=1,B3598='112'!$K$9,OR($N3598='112'!$I$6,$O3598='112'!$I$6))),"x",""))</f>
        <v/>
      </c>
      <c r="U3598" s="79" t="str">
        <f>IF(ISERROR(FIND('112'!$M$9,G3598,1)),"",IF((AND(LEFT(G3598,2)=LEFT('112'!$M$9,2),B3598&lt;'112'!$K$9,$N3598='112'!$I$6)),"x",""))</f>
        <v/>
      </c>
      <c r="V3598" s="79" t="str">
        <f>IF(ISERROR(FIND('112'!$M$9,G3598,1)),"",IF((AND(RIGHT(G3598,2)=RIGHT('112'!$M$9,2),B3598&lt;'112'!$K$9,$O3598='112'!$I$6)),"x",""))</f>
        <v/>
      </c>
      <c r="W3598" s="79" t="str">
        <f>IF(AND('341-CT'!$H$9=H3598,OR(LEFT(N3598,3)=$W$7,LEFT(O3598,3)=$W$7)),"x","")</f>
        <v/>
      </c>
      <c r="X3598" s="79" t="str">
        <f>IF(OR(TH!N3598=TH!$X$7,O3598=TH!$X$7),"x","")</f>
        <v/>
      </c>
      <c r="Y3598" s="79" t="str">
        <f>IF(AND(OR(N3598="131",O3598="131"),H3598='131-CT'!$H$9),"x","")</f>
        <v/>
      </c>
      <c r="Z3598" s="79"/>
      <c r="AA3598" s="79" t="str">
        <f>IF(AND(MONTH(E3598)='IN-NX'!$J$5,'IN-NX'!$D$7=D3598),"x","")</f>
        <v/>
      </c>
      <c r="AB3598" s="79" t="str">
        <f>IF(AND(OR(LEFT(TH!N3598,2)="15",LEFT(TH!O3598,2)="15"),LEFT(TH!O3598,3)&lt;&gt;"111",'152-CT'!$J$8=TH!F3598),"x","")</f>
        <v/>
      </c>
      <c r="AC3598" s="79" t="str">
        <f>IF(AND(OR(LEFT(TH!N3598,2)="15",LEFT(TH!O3598,2)="15"),TK!$E$7=TH!F3598),"x","")</f>
        <v/>
      </c>
      <c r="AD3598" s="79" t="str">
        <f>IF(AND(N3598="1521",MONTH(C3598)='BK-NL'!$M$11),"x","")</f>
        <v/>
      </c>
    </row>
    <row r="3599" spans="1:30" ht="16.5" customHeight="1">
      <c r="A3599" s="318" t="str">
        <f>IF(B3599&lt;&gt;"",IF(AND(B3599='IN-TC'!$S$4,OR(TH!N3599="1111",TH!O3599="1111")),TH!D3599,""),"")</f>
        <v/>
      </c>
      <c r="B3599" s="60" t="str">
        <f t="shared" si="407"/>
        <v/>
      </c>
      <c r="C3599" s="75"/>
      <c r="D3599" s="75"/>
      <c r="E3599" s="974"/>
      <c r="F3599" s="76"/>
      <c r="G3599" s="76"/>
      <c r="H3599" s="759"/>
      <c r="I3599" s="383"/>
      <c r="J3599" s="977"/>
      <c r="K3599" s="383"/>
      <c r="L3599" s="390"/>
      <c r="M3599" s="978"/>
      <c r="N3599" s="979"/>
      <c r="O3599" s="979"/>
      <c r="P3599" s="79" t="str">
        <f>IF(AND('331-CT'!$E$7=TH!H3599,OR(N3599="331",O3599="331")),"x","")</f>
        <v/>
      </c>
      <c r="Q3599" s="79" t="str">
        <f>IF(AND(B3599='111'!$L$11,OR($N3599=$Q$7,$O3599=$Q$7)),"x","")</f>
        <v/>
      </c>
      <c r="R3599" s="79" t="str">
        <f>IF(AND($N3599=$Q$7,$B3599&lt;'111'!$L$11),"x","")</f>
        <v/>
      </c>
      <c r="S3599" s="79" t="str">
        <f>IF(AND($O3599=$Q$7,$B3599&lt;'111'!$L$11),"x","")</f>
        <v/>
      </c>
      <c r="T3599" s="79" t="str">
        <f>IF(ISERROR(FIND('112'!$M$9,G3599,1)),"",IF((AND(FIND('112'!$M$9,G3599,1)&gt;=1,B3599='112'!$K$9,OR($N3599='112'!$I$6,$O3599='112'!$I$6))),"x",""))</f>
        <v/>
      </c>
      <c r="U3599" s="79" t="str">
        <f>IF(ISERROR(FIND('112'!$M$9,G3599,1)),"",IF((AND(LEFT(G3599,2)=LEFT('112'!$M$9,2),B3599&lt;'112'!$K$9,$N3599='112'!$I$6)),"x",""))</f>
        <v/>
      </c>
      <c r="V3599" s="79" t="str">
        <f>IF(ISERROR(FIND('112'!$M$9,G3599,1)),"",IF((AND(RIGHT(G3599,2)=RIGHT('112'!$M$9,2),B3599&lt;'112'!$K$9,$O3599='112'!$I$6)),"x",""))</f>
        <v/>
      </c>
      <c r="W3599" s="79" t="str">
        <f>IF(AND('341-CT'!$H$9=H3599,OR(LEFT(N3599,3)=$W$7,LEFT(O3599,3)=$W$7)),"x","")</f>
        <v/>
      </c>
      <c r="X3599" s="79" t="str">
        <f>IF(OR(TH!N3599=TH!$X$7,O3599=TH!$X$7),"x","")</f>
        <v/>
      </c>
      <c r="Y3599" s="79" t="str">
        <f>IF(AND(OR(N3599="131",O3599="131"),H3599='131-CT'!$H$9),"x","")</f>
        <v/>
      </c>
      <c r="Z3599" s="79"/>
      <c r="AA3599" s="79" t="str">
        <f>IF(AND(MONTH(E3599)='IN-NX'!$J$5,'IN-NX'!$D$7=D3599),"x","")</f>
        <v/>
      </c>
      <c r="AB3599" s="79" t="str">
        <f>IF(AND(OR(LEFT(TH!N3599,2)="15",LEFT(TH!O3599,2)="15"),LEFT(TH!O3599,3)&lt;&gt;"111",'152-CT'!$J$8=TH!F3599),"x","")</f>
        <v/>
      </c>
      <c r="AC3599" s="79" t="str">
        <f>IF(AND(OR(LEFT(TH!N3599,2)="15",LEFT(TH!O3599,2)="15"),TK!$E$7=TH!F3599),"x","")</f>
        <v/>
      </c>
      <c r="AD3599" s="79" t="str">
        <f>IF(AND(N3599="1521",MONTH(C3599)='BK-NL'!$M$11),"x","")</f>
        <v/>
      </c>
    </row>
    <row r="3600" spans="1:30" ht="16.5" customHeight="1">
      <c r="A3600" s="318" t="str">
        <f>IF(B3600&lt;&gt;"",IF(AND(B3600='IN-TC'!$S$4,OR(TH!N3600="1111",TH!O3600="1111")),TH!D3600,""),"")</f>
        <v/>
      </c>
      <c r="B3600" s="60" t="str">
        <f t="shared" si="407"/>
        <v/>
      </c>
      <c r="C3600" s="974"/>
      <c r="D3600" s="75"/>
      <c r="E3600" s="974"/>
      <c r="F3600" s="975"/>
      <c r="G3600" s="1018"/>
      <c r="H3600" s="77"/>
      <c r="I3600" s="383"/>
      <c r="J3600" s="977"/>
      <c r="K3600" s="383"/>
      <c r="L3600" s="390"/>
      <c r="M3600" s="978"/>
      <c r="N3600" s="979"/>
      <c r="O3600" s="979"/>
      <c r="P3600" s="79" t="str">
        <f>IF(AND('331-CT'!$E$7=TH!H3600,OR(N3600="331",O3600="331")),"x","")</f>
        <v/>
      </c>
      <c r="Q3600" s="79" t="str">
        <f>IF(AND(B3600='111'!$L$11,OR($N3600=$Q$7,$O3600=$Q$7)),"x","")</f>
        <v/>
      </c>
      <c r="R3600" s="79" t="str">
        <f>IF(AND($N3600=$Q$7,$B3600&lt;'111'!$L$11),"x","")</f>
        <v/>
      </c>
      <c r="S3600" s="79" t="str">
        <f>IF(AND($O3600=$Q$7,$B3600&lt;'111'!$L$11),"x","")</f>
        <v/>
      </c>
      <c r="T3600" s="79" t="str">
        <f>IF(ISERROR(FIND('112'!$M$9,G3600,1)),"",IF((AND(FIND('112'!$M$9,G3600,1)&gt;=1,B3600='112'!$K$9,OR($N3600='112'!$I$6,$O3600='112'!$I$6))),"x",""))</f>
        <v/>
      </c>
      <c r="U3600" s="79" t="str">
        <f>IF(ISERROR(FIND('112'!$M$9,G3600,1)),"",IF((AND(LEFT(G3600,2)=LEFT('112'!$M$9,2),B3600&lt;'112'!$K$9,$N3600='112'!$I$6)),"x",""))</f>
        <v/>
      </c>
      <c r="V3600" s="79" t="str">
        <f>IF(ISERROR(FIND('112'!$M$9,G3600,1)),"",IF((AND(RIGHT(G3600,2)=RIGHT('112'!$M$9,2),B3600&lt;'112'!$K$9,$O3600='112'!$I$6)),"x",""))</f>
        <v/>
      </c>
      <c r="W3600" s="79" t="str">
        <f>IF(AND('341-CT'!$H$9=H3600,OR(LEFT(N3600,3)=$W$7,LEFT(O3600,3)=$W$7)),"x","")</f>
        <v/>
      </c>
      <c r="X3600" s="79" t="str">
        <f>IF(OR(TH!N3600=TH!$X$7,O3600=TH!$X$7),"x","")</f>
        <v/>
      </c>
      <c r="Y3600" s="79" t="str">
        <f>IF(AND(OR(N3600="131",O3600="131"),H3600='131-CT'!$H$9),"x","")</f>
        <v/>
      </c>
      <c r="Z3600" s="79"/>
      <c r="AA3600" s="79" t="str">
        <f>IF(AND(MONTH(E3600)='IN-NX'!$J$5,'IN-NX'!$D$7=D3600),"x","")</f>
        <v/>
      </c>
      <c r="AB3600" s="79" t="str">
        <f>IF(AND(OR(LEFT(TH!N3600,2)="15",LEFT(TH!O3600,2)="15"),LEFT(TH!O3600,3)&lt;&gt;"111",'152-CT'!$J$8=TH!F3600),"x","")</f>
        <v/>
      </c>
      <c r="AC3600" s="79" t="str">
        <f>IF(AND(OR(LEFT(TH!N3600,2)="15",LEFT(TH!O3600,2)="15"),TK!$E$7=TH!F3600),"x","")</f>
        <v/>
      </c>
      <c r="AD3600" s="79" t="str">
        <f>IF(AND(N3600="1521",MONTH(C3600)='BK-NL'!$M$11),"x","")</f>
        <v/>
      </c>
    </row>
    <row r="3601" spans="1:30" ht="16.5" customHeight="1">
      <c r="A3601" s="318" t="str">
        <f>IF(B3601&lt;&gt;"",IF(AND(B3601='IN-TC'!$S$4,OR(TH!N3601="1111",TH!O3601="1111")),TH!D3601,""),"")</f>
        <v/>
      </c>
      <c r="B3601" s="60" t="str">
        <f t="shared" si="407"/>
        <v/>
      </c>
      <c r="C3601" s="75"/>
      <c r="D3601" s="75"/>
      <c r="E3601" s="974"/>
      <c r="F3601" s="76"/>
      <c r="G3601" s="76"/>
      <c r="H3601" s="77"/>
      <c r="I3601" s="383"/>
      <c r="J3601" s="977"/>
      <c r="K3601" s="383"/>
      <c r="L3601" s="390"/>
      <c r="M3601" s="978"/>
      <c r="N3601" s="979"/>
      <c r="O3601" s="979"/>
      <c r="P3601" s="79" t="str">
        <f>IF(AND('331-CT'!$E$7=TH!H3601,OR(N3601="331",O3601="331")),"x","")</f>
        <v/>
      </c>
      <c r="Q3601" s="79" t="str">
        <f>IF(AND(B3601='111'!$L$11,OR($N3601=$Q$7,$O3601=$Q$7)),"x","")</f>
        <v/>
      </c>
      <c r="R3601" s="79" t="str">
        <f>IF(AND($N3601=$Q$7,$B3601&lt;'111'!$L$11),"x","")</f>
        <v/>
      </c>
      <c r="S3601" s="79" t="str">
        <f>IF(AND($O3601=$Q$7,$B3601&lt;'111'!$L$11),"x","")</f>
        <v/>
      </c>
      <c r="T3601" s="79" t="str">
        <f>IF(ISERROR(FIND('112'!$M$9,G3601,1)),"",IF((AND(FIND('112'!$M$9,G3601,1)&gt;=1,B3601='112'!$K$9,OR($N3601='112'!$I$6,$O3601='112'!$I$6))),"x",""))</f>
        <v/>
      </c>
      <c r="U3601" s="79" t="str">
        <f>IF(ISERROR(FIND('112'!$M$9,G3601,1)),"",IF((AND(LEFT(G3601,2)=LEFT('112'!$M$9,2),B3601&lt;'112'!$K$9,$N3601='112'!$I$6)),"x",""))</f>
        <v/>
      </c>
      <c r="V3601" s="79" t="str">
        <f>IF(ISERROR(FIND('112'!$M$9,G3601,1)),"",IF((AND(RIGHT(G3601,2)=RIGHT('112'!$M$9,2),B3601&lt;'112'!$K$9,$O3601='112'!$I$6)),"x",""))</f>
        <v/>
      </c>
      <c r="W3601" s="79" t="str">
        <f>IF(AND('341-CT'!$H$9=H3601,OR(LEFT(N3601,3)=$W$7,LEFT(O3601,3)=$W$7)),"x","")</f>
        <v/>
      </c>
      <c r="X3601" s="79" t="str">
        <f>IF(OR(TH!N3601=TH!$X$7,O3601=TH!$X$7),"x","")</f>
        <v/>
      </c>
      <c r="Y3601" s="79" t="str">
        <f>IF(AND(OR(N3601="131",O3601="131"),H3601='131-CT'!$H$9),"x","")</f>
        <v/>
      </c>
      <c r="Z3601" s="79"/>
      <c r="AA3601" s="79" t="str">
        <f>IF(AND(MONTH(E3601)='IN-NX'!$J$5,'IN-NX'!$D$7=D3601),"x","")</f>
        <v/>
      </c>
      <c r="AB3601" s="79" t="str">
        <f>IF(AND(OR(LEFT(TH!N3601,2)="15",LEFT(TH!O3601,2)="15"),LEFT(TH!O3601,3)&lt;&gt;"111",'152-CT'!$J$8=TH!F3601),"x","")</f>
        <v/>
      </c>
      <c r="AC3601" s="79" t="str">
        <f>IF(AND(OR(LEFT(TH!N3601,2)="15",LEFT(TH!O3601,2)="15"),TK!$E$7=TH!F3601),"x","")</f>
        <v/>
      </c>
      <c r="AD3601" s="79" t="str">
        <f>IF(AND(N3601="1521",MONTH(C3601)='BK-NL'!$M$11),"x","")</f>
        <v/>
      </c>
    </row>
    <row r="3602" spans="1:30" ht="16.5" customHeight="1">
      <c r="A3602" s="318" t="str">
        <f>IF(B3602&lt;&gt;"",IF(AND(B3602='IN-TC'!$S$4,OR(TH!N3602="1111",TH!O3602="1111")),TH!D3602,""),"")</f>
        <v/>
      </c>
      <c r="B3602" s="60" t="str">
        <f t="shared" si="407"/>
        <v/>
      </c>
      <c r="C3602" s="75"/>
      <c r="D3602" s="974"/>
      <c r="E3602" s="974"/>
      <c r="F3602" s="76"/>
      <c r="G3602" s="76"/>
      <c r="H3602" s="77"/>
      <c r="I3602" s="383"/>
      <c r="J3602" s="977"/>
      <c r="K3602" s="383"/>
      <c r="L3602" s="390"/>
      <c r="M3602" s="978"/>
      <c r="N3602" s="979"/>
      <c r="O3602" s="979"/>
      <c r="P3602" s="79" t="str">
        <f>IF(AND('331-CT'!$E$7=TH!H3602,OR(N3602="331",O3602="331")),"x","")</f>
        <v/>
      </c>
      <c r="Q3602" s="79" t="str">
        <f>IF(AND(B3602='111'!$L$11,OR($N3602=$Q$7,$O3602=$Q$7)),"x","")</f>
        <v/>
      </c>
      <c r="R3602" s="79" t="str">
        <f>IF(AND($N3602=$Q$7,$B3602&lt;'111'!$L$11),"x","")</f>
        <v/>
      </c>
      <c r="S3602" s="79" t="str">
        <f>IF(AND($O3602=$Q$7,$B3602&lt;'111'!$L$11),"x","")</f>
        <v/>
      </c>
      <c r="T3602" s="79" t="str">
        <f>IF(ISERROR(FIND('112'!$M$9,G3602,1)),"",IF((AND(FIND('112'!$M$9,G3602,1)&gt;=1,B3602='112'!$K$9,OR($N3602='112'!$I$6,$O3602='112'!$I$6))),"x",""))</f>
        <v/>
      </c>
      <c r="U3602" s="79" t="str">
        <f>IF(ISERROR(FIND('112'!$M$9,G3602,1)),"",IF((AND(LEFT(G3602,2)=LEFT('112'!$M$9,2),B3602&lt;'112'!$K$9,$N3602='112'!$I$6)),"x",""))</f>
        <v/>
      </c>
      <c r="V3602" s="79" t="str">
        <f>IF(ISERROR(FIND('112'!$M$9,G3602,1)),"",IF((AND(RIGHT(G3602,2)=RIGHT('112'!$M$9,2),B3602&lt;'112'!$K$9,$O3602='112'!$I$6)),"x",""))</f>
        <v/>
      </c>
      <c r="W3602" s="79" t="str">
        <f>IF(AND('341-CT'!$H$9=H3602,OR(LEFT(N3602,3)=$W$7,LEFT(O3602,3)=$W$7)),"x","")</f>
        <v/>
      </c>
      <c r="X3602" s="79" t="str">
        <f>IF(OR(TH!N3602=TH!$X$7,O3602=TH!$X$7),"x","")</f>
        <v/>
      </c>
      <c r="Y3602" s="79" t="str">
        <f>IF(AND(OR(N3602="131",O3602="131"),H3602='131-CT'!$H$9),"x","")</f>
        <v/>
      </c>
      <c r="Z3602" s="79"/>
      <c r="AA3602" s="79" t="str">
        <f>IF(AND(MONTH(E3602)='IN-NX'!$J$5,'IN-NX'!$D$7=D3602),"x","")</f>
        <v/>
      </c>
      <c r="AB3602" s="79" t="str">
        <f>IF(AND(OR(LEFT(TH!N3602,2)="15",LEFT(TH!O3602,2)="15"),LEFT(TH!O3602,3)&lt;&gt;"111",'152-CT'!$J$8=TH!F3602),"x","")</f>
        <v/>
      </c>
      <c r="AC3602" s="79" t="str">
        <f>IF(AND(OR(LEFT(TH!N3602,2)="15",LEFT(TH!O3602,2)="15"),TK!$E$7=TH!F3602),"x","")</f>
        <v/>
      </c>
      <c r="AD3602" s="79" t="str">
        <f>IF(AND(N3602="1521",MONTH(C3602)='BK-NL'!$M$11),"x","")</f>
        <v/>
      </c>
    </row>
    <row r="3603" spans="1:30" ht="16.5" customHeight="1">
      <c r="A3603" s="318" t="str">
        <f>IF(B3603&lt;&gt;"",IF(AND(B3603='IN-TC'!$S$4,OR(TH!N3603="1111",TH!O3603="1111")),TH!D3603,""),"")</f>
        <v/>
      </c>
      <c r="B3603" s="60" t="str">
        <f t="shared" si="407"/>
        <v/>
      </c>
      <c r="C3603" s="75"/>
      <c r="D3603" s="75"/>
      <c r="E3603" s="974"/>
      <c r="F3603" s="76"/>
      <c r="G3603" s="76"/>
      <c r="H3603" s="759"/>
      <c r="I3603" s="383"/>
      <c r="J3603" s="977"/>
      <c r="K3603" s="383"/>
      <c r="L3603" s="390"/>
      <c r="M3603" s="978"/>
      <c r="N3603" s="979"/>
      <c r="O3603" s="979"/>
      <c r="P3603" s="79" t="str">
        <f>IF(AND('331-CT'!$E$7=TH!H3603,OR(N3603="331",O3603="331")),"x","")</f>
        <v/>
      </c>
      <c r="Q3603" s="79" t="str">
        <f>IF(AND(B3603='111'!$L$11,OR($N3603=$Q$7,$O3603=$Q$7)),"x","")</f>
        <v/>
      </c>
      <c r="R3603" s="79" t="str">
        <f>IF(AND($N3603=$Q$7,$B3603&lt;'111'!$L$11),"x","")</f>
        <v/>
      </c>
      <c r="S3603" s="79" t="str">
        <f>IF(AND($O3603=$Q$7,$B3603&lt;'111'!$L$11),"x","")</f>
        <v/>
      </c>
      <c r="T3603" s="79" t="str">
        <f>IF(ISERROR(FIND('112'!$M$9,G3603,1)),"",IF((AND(FIND('112'!$M$9,G3603,1)&gt;=1,B3603='112'!$K$9,OR($N3603='112'!$I$6,$O3603='112'!$I$6))),"x",""))</f>
        <v/>
      </c>
      <c r="U3603" s="79" t="str">
        <f>IF(ISERROR(FIND('112'!$M$9,G3603,1)),"",IF((AND(LEFT(G3603,2)=LEFT('112'!$M$9,2),B3603&lt;'112'!$K$9,$N3603='112'!$I$6)),"x",""))</f>
        <v/>
      </c>
      <c r="V3603" s="79" t="str">
        <f>IF(ISERROR(FIND('112'!$M$9,G3603,1)),"",IF((AND(RIGHT(G3603,2)=RIGHT('112'!$M$9,2),B3603&lt;'112'!$K$9,$O3603='112'!$I$6)),"x",""))</f>
        <v/>
      </c>
      <c r="W3603" s="79" t="str">
        <f>IF(AND('341-CT'!$H$9=H3603,OR(LEFT(N3603,3)=$W$7,LEFT(O3603,3)=$W$7)),"x","")</f>
        <v/>
      </c>
      <c r="X3603" s="79" t="str">
        <f>IF(OR(TH!N3603=TH!$X$7,O3603=TH!$X$7),"x","")</f>
        <v/>
      </c>
      <c r="Y3603" s="79" t="str">
        <f>IF(AND(OR(N3603="131",O3603="131"),H3603='131-CT'!$H$9),"x","")</f>
        <v/>
      </c>
      <c r="Z3603" s="79"/>
      <c r="AA3603" s="79" t="str">
        <f>IF(AND(MONTH(E3603)='IN-NX'!$J$5,'IN-NX'!$D$7=D3603),"x","")</f>
        <v/>
      </c>
      <c r="AB3603" s="79" t="str">
        <f>IF(AND(OR(LEFT(TH!N3603,2)="15",LEFT(TH!O3603,2)="15"),LEFT(TH!O3603,3)&lt;&gt;"111",'152-CT'!$J$8=TH!F3603),"x","")</f>
        <v/>
      </c>
      <c r="AC3603" s="79" t="str">
        <f>IF(AND(OR(LEFT(TH!N3603,2)="15",LEFT(TH!O3603,2)="15"),TK!$E$7=TH!F3603),"x","")</f>
        <v/>
      </c>
      <c r="AD3603" s="79" t="str">
        <f>IF(AND(N3603="1521",MONTH(C3603)='BK-NL'!$M$11),"x","")</f>
        <v/>
      </c>
    </row>
    <row r="3604" spans="1:30" ht="16.5" customHeight="1">
      <c r="A3604" s="318" t="str">
        <f>IF(B3604&lt;&gt;"",IF(AND(B3604='IN-TC'!$S$4,OR(TH!N3604="1111",TH!O3604="1111")),TH!D3604,""),"")</f>
        <v/>
      </c>
      <c r="B3604" s="60" t="str">
        <f t="shared" si="407"/>
        <v/>
      </c>
      <c r="C3604" s="75"/>
      <c r="D3604" s="75"/>
      <c r="E3604" s="974"/>
      <c r="F3604" s="76"/>
      <c r="G3604" s="76"/>
      <c r="H3604" s="759"/>
      <c r="I3604" s="383"/>
      <c r="J3604" s="977"/>
      <c r="K3604" s="383"/>
      <c r="L3604" s="390"/>
      <c r="M3604" s="978"/>
      <c r="N3604" s="979"/>
      <c r="O3604" s="979"/>
      <c r="P3604" s="79" t="str">
        <f>IF(AND('331-CT'!$E$7=TH!H3604,OR(N3604="331",O3604="331")),"x","")</f>
        <v/>
      </c>
      <c r="Q3604" s="79" t="str">
        <f>IF(AND(B3604='111'!$L$11,OR($N3604=$Q$7,$O3604=$Q$7)),"x","")</f>
        <v/>
      </c>
      <c r="R3604" s="79" t="str">
        <f>IF(AND($N3604=$Q$7,$B3604&lt;'111'!$L$11),"x","")</f>
        <v/>
      </c>
      <c r="S3604" s="79" t="str">
        <f>IF(AND($O3604=$Q$7,$B3604&lt;'111'!$L$11),"x","")</f>
        <v/>
      </c>
      <c r="T3604" s="79" t="str">
        <f>IF(ISERROR(FIND('112'!$M$9,G3604,1)),"",IF((AND(FIND('112'!$M$9,G3604,1)&gt;=1,B3604='112'!$K$9,OR($N3604='112'!$I$6,$O3604='112'!$I$6))),"x",""))</f>
        <v/>
      </c>
      <c r="U3604" s="79" t="str">
        <f>IF(ISERROR(FIND('112'!$M$9,G3604,1)),"",IF((AND(LEFT(G3604,2)=LEFT('112'!$M$9,2),B3604&lt;'112'!$K$9,$N3604='112'!$I$6)),"x",""))</f>
        <v/>
      </c>
      <c r="V3604" s="79" t="str">
        <f>IF(ISERROR(FIND('112'!$M$9,G3604,1)),"",IF((AND(RIGHT(G3604,2)=RIGHT('112'!$M$9,2),B3604&lt;'112'!$K$9,$O3604='112'!$I$6)),"x",""))</f>
        <v/>
      </c>
      <c r="W3604" s="79" t="str">
        <f>IF(AND('341-CT'!$H$9=H3604,OR(LEFT(N3604,3)=$W$7,LEFT(O3604,3)=$W$7)),"x","")</f>
        <v/>
      </c>
      <c r="X3604" s="79" t="str">
        <f>IF(OR(TH!N3604=TH!$X$7,O3604=TH!$X$7),"x","")</f>
        <v/>
      </c>
      <c r="Y3604" s="79" t="str">
        <f>IF(AND(OR(N3604="131",O3604="131"),H3604='131-CT'!$H$9),"x","")</f>
        <v/>
      </c>
      <c r="Z3604" s="79"/>
      <c r="AA3604" s="79" t="str">
        <f>IF(AND(MONTH(E3604)='IN-NX'!$J$5,'IN-NX'!$D$7=D3604),"x","")</f>
        <v/>
      </c>
      <c r="AB3604" s="79" t="str">
        <f>IF(AND(OR(LEFT(TH!N3604,2)="15",LEFT(TH!O3604,2)="15"),LEFT(TH!O3604,3)&lt;&gt;"111",'152-CT'!$J$8=TH!F3604),"x","")</f>
        <v/>
      </c>
      <c r="AC3604" s="79" t="str">
        <f>IF(AND(OR(LEFT(TH!N3604,2)="15",LEFT(TH!O3604,2)="15"),TK!$E$7=TH!F3604),"x","")</f>
        <v/>
      </c>
      <c r="AD3604" s="79" t="str">
        <f>IF(AND(N3604="1521",MONTH(C3604)='BK-NL'!$M$11),"x","")</f>
        <v/>
      </c>
    </row>
    <row r="3605" spans="1:30" ht="16.5" customHeight="1">
      <c r="A3605" s="318" t="str">
        <f>IF(B3605&lt;&gt;"",IF(AND(B3605='IN-TC'!$S$4,OR(TH!N3605="1111",TH!O3605="1111")),TH!D3605,""),"")</f>
        <v/>
      </c>
      <c r="B3605" s="60" t="str">
        <f t="shared" si="407"/>
        <v/>
      </c>
      <c r="C3605" s="75"/>
      <c r="D3605" s="75"/>
      <c r="E3605" s="974"/>
      <c r="F3605" s="76"/>
      <c r="G3605" s="76"/>
      <c r="H3605" s="759"/>
      <c r="I3605" s="383"/>
      <c r="J3605" s="977"/>
      <c r="K3605" s="383"/>
      <c r="L3605" s="390"/>
      <c r="M3605" s="978"/>
      <c r="N3605" s="979"/>
      <c r="O3605" s="979"/>
      <c r="P3605" s="79" t="str">
        <f>IF(AND('331-CT'!$E$7=TH!H3605,OR(N3605="331",O3605="331")),"x","")</f>
        <v/>
      </c>
      <c r="Q3605" s="79" t="str">
        <f>IF(AND(B3605='111'!$L$11,OR($N3605=$Q$7,$O3605=$Q$7)),"x","")</f>
        <v/>
      </c>
      <c r="R3605" s="79" t="str">
        <f>IF(AND($N3605=$Q$7,$B3605&lt;'111'!$L$11),"x","")</f>
        <v/>
      </c>
      <c r="S3605" s="79" t="str">
        <f>IF(AND($O3605=$Q$7,$B3605&lt;'111'!$L$11),"x","")</f>
        <v/>
      </c>
      <c r="T3605" s="79" t="str">
        <f>IF(ISERROR(FIND('112'!$M$9,G3605,1)),"",IF((AND(FIND('112'!$M$9,G3605,1)&gt;=1,B3605='112'!$K$9,OR($N3605='112'!$I$6,$O3605='112'!$I$6))),"x",""))</f>
        <v/>
      </c>
      <c r="U3605" s="79" t="str">
        <f>IF(ISERROR(FIND('112'!$M$9,G3605,1)),"",IF((AND(LEFT(G3605,2)=LEFT('112'!$M$9,2),B3605&lt;'112'!$K$9,$N3605='112'!$I$6)),"x",""))</f>
        <v/>
      </c>
      <c r="V3605" s="79" t="str">
        <f>IF(ISERROR(FIND('112'!$M$9,G3605,1)),"",IF((AND(RIGHT(G3605,2)=RIGHT('112'!$M$9,2),B3605&lt;'112'!$K$9,$O3605='112'!$I$6)),"x",""))</f>
        <v/>
      </c>
      <c r="W3605" s="79" t="str">
        <f>IF(AND('341-CT'!$H$9=H3605,OR(LEFT(N3605,3)=$W$7,LEFT(O3605,3)=$W$7)),"x","")</f>
        <v/>
      </c>
      <c r="X3605" s="79" t="str">
        <f>IF(OR(TH!N3605=TH!$X$7,O3605=TH!$X$7),"x","")</f>
        <v/>
      </c>
      <c r="Y3605" s="79" t="str">
        <f>IF(AND(OR(N3605="131",O3605="131"),H3605='131-CT'!$H$9),"x","")</f>
        <v/>
      </c>
      <c r="Z3605" s="79"/>
      <c r="AA3605" s="79" t="str">
        <f>IF(AND(MONTH(E3605)='IN-NX'!$J$5,'IN-NX'!$D$7=D3605),"x","")</f>
        <v/>
      </c>
      <c r="AB3605" s="79" t="str">
        <f>IF(AND(OR(LEFT(TH!N3605,2)="15",LEFT(TH!O3605,2)="15"),LEFT(TH!O3605,3)&lt;&gt;"111",'152-CT'!$J$8=TH!F3605),"x","")</f>
        <v/>
      </c>
      <c r="AC3605" s="79" t="str">
        <f>IF(AND(OR(LEFT(TH!N3605,2)="15",LEFT(TH!O3605,2)="15"),TK!$E$7=TH!F3605),"x","")</f>
        <v/>
      </c>
      <c r="AD3605" s="79" t="str">
        <f>IF(AND(N3605="1521",MONTH(C3605)='BK-NL'!$M$11),"x","")</f>
        <v/>
      </c>
    </row>
    <row r="3606" spans="1:30" ht="16.5" customHeight="1">
      <c r="A3606" s="318" t="str">
        <f>IF(B3606&lt;&gt;"",IF(AND(B3606='IN-TC'!$S$4,OR(TH!N3606="1111",TH!O3606="1111")),TH!D3606,""),"")</f>
        <v/>
      </c>
      <c r="B3606" s="60" t="str">
        <f t="shared" si="407"/>
        <v/>
      </c>
      <c r="C3606" s="75"/>
      <c r="D3606" s="974"/>
      <c r="E3606" s="974"/>
      <c r="F3606" s="76"/>
      <c r="G3606" s="76"/>
      <c r="H3606" s="759"/>
      <c r="I3606" s="383"/>
      <c r="J3606" s="977"/>
      <c r="K3606" s="383"/>
      <c r="L3606" s="390"/>
      <c r="M3606" s="978"/>
      <c r="N3606" s="979"/>
      <c r="O3606" s="979"/>
      <c r="P3606" s="79" t="str">
        <f>IF(AND('331-CT'!$E$7=TH!H3606,OR(N3606="331",O3606="331")),"x","")</f>
        <v/>
      </c>
      <c r="Q3606" s="79" t="str">
        <f>IF(AND(B3606='111'!$L$11,OR($N3606=$Q$7,$O3606=$Q$7)),"x","")</f>
        <v/>
      </c>
      <c r="R3606" s="79" t="str">
        <f>IF(AND($N3606=$Q$7,$B3606&lt;'111'!$L$11),"x","")</f>
        <v/>
      </c>
      <c r="S3606" s="79" t="str">
        <f>IF(AND($O3606=$Q$7,$B3606&lt;'111'!$L$11),"x","")</f>
        <v/>
      </c>
      <c r="T3606" s="79" t="str">
        <f>IF(ISERROR(FIND('112'!$M$9,G3606,1)),"",IF((AND(FIND('112'!$M$9,G3606,1)&gt;=1,B3606='112'!$K$9,OR($N3606='112'!$I$6,$O3606='112'!$I$6))),"x",""))</f>
        <v/>
      </c>
      <c r="U3606" s="79" t="str">
        <f>IF(ISERROR(FIND('112'!$M$9,G3606,1)),"",IF((AND(LEFT(G3606,2)=LEFT('112'!$M$9,2),B3606&lt;'112'!$K$9,$N3606='112'!$I$6)),"x",""))</f>
        <v/>
      </c>
      <c r="V3606" s="79" t="str">
        <f>IF(ISERROR(FIND('112'!$M$9,G3606,1)),"",IF((AND(RIGHT(G3606,2)=RIGHT('112'!$M$9,2),B3606&lt;'112'!$K$9,$O3606='112'!$I$6)),"x",""))</f>
        <v/>
      </c>
      <c r="W3606" s="79" t="str">
        <f>IF(AND('341-CT'!$H$9=H3606,OR(LEFT(N3606,3)=$W$7,LEFT(O3606,3)=$W$7)),"x","")</f>
        <v/>
      </c>
      <c r="X3606" s="79" t="str">
        <f>IF(OR(TH!N3606=TH!$X$7,O3606=TH!$X$7),"x","")</f>
        <v/>
      </c>
      <c r="Y3606" s="79" t="str">
        <f>IF(AND(OR(N3606="131",O3606="131"),H3606='131-CT'!$H$9),"x","")</f>
        <v/>
      </c>
      <c r="Z3606" s="79"/>
      <c r="AA3606" s="79" t="str">
        <f>IF(AND(MONTH(E3606)='IN-NX'!$J$5,'IN-NX'!$D$7=D3606),"x","")</f>
        <v/>
      </c>
      <c r="AB3606" s="79" t="str">
        <f>IF(AND(OR(LEFT(TH!N3606,2)="15",LEFT(TH!O3606,2)="15"),LEFT(TH!O3606,3)&lt;&gt;"111",'152-CT'!$J$8=TH!F3606),"x","")</f>
        <v/>
      </c>
      <c r="AC3606" s="79" t="str">
        <f>IF(AND(OR(LEFT(TH!N3606,2)="15",LEFT(TH!O3606,2)="15"),TK!$E$7=TH!F3606),"x","")</f>
        <v/>
      </c>
      <c r="AD3606" s="79" t="str">
        <f>IF(AND(N3606="1521",MONTH(C3606)='BK-NL'!$M$11),"x","")</f>
        <v/>
      </c>
    </row>
    <row r="3607" spans="1:30" ht="16.5" customHeight="1">
      <c r="A3607" s="318" t="str">
        <f>IF(B3607&lt;&gt;"",IF(AND(B3607='IN-TC'!$S$4,OR(TH!N3607="1111",TH!O3607="1111")),TH!D3607,""),"")</f>
        <v/>
      </c>
      <c r="B3607" s="60" t="str">
        <f t="shared" si="407"/>
        <v/>
      </c>
      <c r="C3607" s="75"/>
      <c r="D3607" s="974"/>
      <c r="E3607" s="974"/>
      <c r="F3607" s="76"/>
      <c r="G3607" s="76"/>
      <c r="H3607" s="759"/>
      <c r="I3607" s="383"/>
      <c r="J3607" s="977"/>
      <c r="K3607" s="383"/>
      <c r="L3607" s="390"/>
      <c r="M3607" s="978"/>
      <c r="N3607" s="979"/>
      <c r="O3607" s="979"/>
      <c r="P3607" s="79" t="str">
        <f>IF(AND('331-CT'!$E$7=TH!H3607,OR(N3607="331",O3607="331")),"x","")</f>
        <v/>
      </c>
      <c r="Q3607" s="79" t="str">
        <f>IF(AND(B3607='111'!$L$11,OR($N3607=$Q$7,$O3607=$Q$7)),"x","")</f>
        <v/>
      </c>
      <c r="R3607" s="79" t="str">
        <f>IF(AND($N3607=$Q$7,$B3607&lt;'111'!$L$11),"x","")</f>
        <v/>
      </c>
      <c r="S3607" s="79" t="str">
        <f>IF(AND($O3607=$Q$7,$B3607&lt;'111'!$L$11),"x","")</f>
        <v/>
      </c>
      <c r="T3607" s="79" t="str">
        <f>IF(ISERROR(FIND('112'!$M$9,G3607,1)),"",IF((AND(FIND('112'!$M$9,G3607,1)&gt;=1,B3607='112'!$K$9,OR($N3607='112'!$I$6,$O3607='112'!$I$6))),"x",""))</f>
        <v/>
      </c>
      <c r="U3607" s="79" t="str">
        <f>IF(ISERROR(FIND('112'!$M$9,G3607,1)),"",IF((AND(LEFT(G3607,2)=LEFT('112'!$M$9,2),B3607&lt;'112'!$K$9,$N3607='112'!$I$6)),"x",""))</f>
        <v/>
      </c>
      <c r="V3607" s="79" t="str">
        <f>IF(ISERROR(FIND('112'!$M$9,G3607,1)),"",IF((AND(RIGHT(G3607,2)=RIGHT('112'!$M$9,2),B3607&lt;'112'!$K$9,$O3607='112'!$I$6)),"x",""))</f>
        <v/>
      </c>
      <c r="W3607" s="79" t="str">
        <f>IF(AND('341-CT'!$H$9=H3607,OR(LEFT(N3607,3)=$W$7,LEFT(O3607,3)=$W$7)),"x","")</f>
        <v/>
      </c>
      <c r="X3607" s="79" t="str">
        <f>IF(OR(TH!N3607=TH!$X$7,O3607=TH!$X$7),"x","")</f>
        <v/>
      </c>
      <c r="Y3607" s="79" t="str">
        <f>IF(AND(OR(N3607="131",O3607="131"),H3607='131-CT'!$H$9),"x","")</f>
        <v/>
      </c>
      <c r="Z3607" s="79"/>
      <c r="AA3607" s="79" t="str">
        <f>IF(AND(MONTH(E3607)='IN-NX'!$J$5,'IN-NX'!$D$7=D3607),"x","")</f>
        <v/>
      </c>
      <c r="AB3607" s="79" t="str">
        <f>IF(AND(OR(LEFT(TH!N3607,2)="15",LEFT(TH!O3607,2)="15"),LEFT(TH!O3607,3)&lt;&gt;"111",'152-CT'!$J$8=TH!F3607),"x","")</f>
        <v/>
      </c>
      <c r="AC3607" s="79" t="str">
        <f>IF(AND(OR(LEFT(TH!N3607,2)="15",LEFT(TH!O3607,2)="15"),TK!$E$7=TH!F3607),"x","")</f>
        <v/>
      </c>
      <c r="AD3607" s="79" t="str">
        <f>IF(AND(N3607="1521",MONTH(C3607)='BK-NL'!$M$11),"x","")</f>
        <v/>
      </c>
    </row>
    <row r="3608" spans="1:30" ht="16.5" customHeight="1">
      <c r="A3608" s="318" t="str">
        <f>IF(B3608&lt;&gt;"",IF(AND(B3608='IN-TC'!$S$4,OR(TH!N3608="1111",TH!O3608="1111")),TH!D3608,""),"")</f>
        <v/>
      </c>
      <c r="B3608" s="60" t="str">
        <f t="shared" si="407"/>
        <v/>
      </c>
      <c r="C3608" s="75"/>
      <c r="D3608" s="75"/>
      <c r="E3608" s="974"/>
      <c r="F3608" s="76"/>
      <c r="G3608" s="76"/>
      <c r="H3608" s="1276"/>
      <c r="I3608" s="383"/>
      <c r="J3608" s="977"/>
      <c r="K3608" s="383"/>
      <c r="L3608" s="390"/>
      <c r="M3608" s="978"/>
      <c r="N3608" s="979"/>
      <c r="O3608" s="979"/>
      <c r="P3608" s="79" t="str">
        <f>IF(AND('331-CT'!$E$7=TH!H3608,OR(N3608="331",O3608="331")),"x","")</f>
        <v/>
      </c>
      <c r="Q3608" s="79" t="str">
        <f>IF(AND(B3608='111'!$L$11,OR($N3608=$Q$7,$O3608=$Q$7)),"x","")</f>
        <v/>
      </c>
      <c r="R3608" s="79" t="str">
        <f>IF(AND($N3608=$Q$7,$B3608&lt;'111'!$L$11),"x","")</f>
        <v/>
      </c>
      <c r="S3608" s="79" t="str">
        <f>IF(AND($O3608=$Q$7,$B3608&lt;'111'!$L$11),"x","")</f>
        <v/>
      </c>
      <c r="T3608" s="79" t="str">
        <f>IF(ISERROR(FIND('112'!$M$9,G3608,1)),"",IF((AND(FIND('112'!$M$9,G3608,1)&gt;=1,B3608='112'!$K$9,OR($N3608='112'!$I$6,$O3608='112'!$I$6))),"x",""))</f>
        <v/>
      </c>
      <c r="U3608" s="79" t="str">
        <f>IF(ISERROR(FIND('112'!$M$9,G3608,1)),"",IF((AND(LEFT(G3608,2)=LEFT('112'!$M$9,2),B3608&lt;'112'!$K$9,$N3608='112'!$I$6)),"x",""))</f>
        <v/>
      </c>
      <c r="V3608" s="79" t="str">
        <f>IF(ISERROR(FIND('112'!$M$9,G3608,1)),"",IF((AND(RIGHT(G3608,2)=RIGHT('112'!$M$9,2),B3608&lt;'112'!$K$9,$O3608='112'!$I$6)),"x",""))</f>
        <v/>
      </c>
      <c r="W3608" s="79" t="str">
        <f>IF(AND('341-CT'!$H$9=H3608,OR(LEFT(N3608,3)=$W$7,LEFT(O3608,3)=$W$7)),"x","")</f>
        <v/>
      </c>
      <c r="X3608" s="79" t="str">
        <f>IF(OR(TH!N3608=TH!$X$7,O3608=TH!$X$7),"x","")</f>
        <v/>
      </c>
      <c r="Y3608" s="79" t="str">
        <f>IF(AND(OR(N3608="131",O3608="131"),H3608='131-CT'!$H$9),"x","")</f>
        <v/>
      </c>
      <c r="Z3608" s="79"/>
      <c r="AA3608" s="79" t="str">
        <f>IF(AND(MONTH(E3608)='IN-NX'!$J$5,'IN-NX'!$D$7=D3608),"x","")</f>
        <v/>
      </c>
      <c r="AB3608" s="79" t="str">
        <f>IF(AND(OR(LEFT(TH!N3608,2)="15",LEFT(TH!O3608,2)="15"),LEFT(TH!O3608,3)&lt;&gt;"111",'152-CT'!$J$8=TH!F3608),"x","")</f>
        <v/>
      </c>
      <c r="AC3608" s="79" t="str">
        <f>IF(AND(OR(LEFT(TH!N3608,2)="15",LEFT(TH!O3608,2)="15"),TK!$E$7=TH!F3608),"x","")</f>
        <v/>
      </c>
      <c r="AD3608" s="79" t="str">
        <f>IF(AND(N3608="1521",MONTH(C3608)='BK-NL'!$M$11),"x","")</f>
        <v/>
      </c>
    </row>
    <row r="3609" spans="1:30" ht="16.5" customHeight="1">
      <c r="A3609" s="318" t="str">
        <f>IF(B3609&lt;&gt;"",IF(AND(B3609='IN-TC'!$S$4,OR(TH!N3609="1111",TH!O3609="1111")),TH!D3609,""),"")</f>
        <v/>
      </c>
      <c r="B3609" s="60" t="str">
        <f t="shared" si="407"/>
        <v/>
      </c>
      <c r="C3609" s="75"/>
      <c r="D3609" s="75"/>
      <c r="E3609" s="974"/>
      <c r="F3609" s="76"/>
      <c r="G3609" s="76"/>
      <c r="H3609" s="1276"/>
      <c r="I3609" s="383"/>
      <c r="J3609" s="977"/>
      <c r="K3609" s="383"/>
      <c r="L3609" s="390"/>
      <c r="M3609" s="978"/>
      <c r="N3609" s="979"/>
      <c r="O3609" s="979"/>
      <c r="P3609" s="79" t="str">
        <f>IF(AND('331-CT'!$E$7=TH!H3609,OR(N3609="331",O3609="331")),"x","")</f>
        <v/>
      </c>
      <c r="Q3609" s="79" t="str">
        <f>IF(AND(B3609='111'!$L$11,OR($N3609=$Q$7,$O3609=$Q$7)),"x","")</f>
        <v/>
      </c>
      <c r="R3609" s="79" t="str">
        <f>IF(AND($N3609=$Q$7,$B3609&lt;'111'!$L$11),"x","")</f>
        <v/>
      </c>
      <c r="S3609" s="79" t="str">
        <f>IF(AND($O3609=$Q$7,$B3609&lt;'111'!$L$11),"x","")</f>
        <v/>
      </c>
      <c r="T3609" s="79" t="str">
        <f>IF(ISERROR(FIND('112'!$M$9,G3609,1)),"",IF((AND(FIND('112'!$M$9,G3609,1)&gt;=1,B3609='112'!$K$9,OR($N3609='112'!$I$6,$O3609='112'!$I$6))),"x",""))</f>
        <v/>
      </c>
      <c r="U3609" s="79" t="str">
        <f>IF(ISERROR(FIND('112'!$M$9,G3609,1)),"",IF((AND(LEFT(G3609,2)=LEFT('112'!$M$9,2),B3609&lt;'112'!$K$9,$N3609='112'!$I$6)),"x",""))</f>
        <v/>
      </c>
      <c r="V3609" s="79" t="str">
        <f>IF(ISERROR(FIND('112'!$M$9,G3609,1)),"",IF((AND(RIGHT(G3609,2)=RIGHT('112'!$M$9,2),B3609&lt;'112'!$K$9,$O3609='112'!$I$6)),"x",""))</f>
        <v/>
      </c>
      <c r="W3609" s="79" t="str">
        <f>IF(AND('341-CT'!$H$9=H3609,OR(LEFT(N3609,3)=$W$7,LEFT(O3609,3)=$W$7)),"x","")</f>
        <v/>
      </c>
      <c r="X3609" s="79" t="str">
        <f>IF(OR(TH!N3609=TH!$X$7,O3609=TH!$X$7),"x","")</f>
        <v/>
      </c>
      <c r="Y3609" s="79" t="str">
        <f>IF(AND(OR(N3609="131",O3609="131"),H3609='131-CT'!$H$9),"x","")</f>
        <v/>
      </c>
      <c r="Z3609" s="79"/>
      <c r="AA3609" s="79" t="str">
        <f>IF(AND(MONTH(E3609)='IN-NX'!$J$5,'IN-NX'!$D$7=D3609),"x","")</f>
        <v/>
      </c>
      <c r="AB3609" s="79" t="str">
        <f>IF(AND(OR(LEFT(TH!N3609,2)="15",LEFT(TH!O3609,2)="15"),LEFT(TH!O3609,3)&lt;&gt;"111",'152-CT'!$J$8=TH!F3609),"x","")</f>
        <v/>
      </c>
      <c r="AC3609" s="79" t="str">
        <f>IF(AND(OR(LEFT(TH!N3609,2)="15",LEFT(TH!O3609,2)="15"),TK!$E$7=TH!F3609),"x","")</f>
        <v/>
      </c>
      <c r="AD3609" s="79" t="str">
        <f>IF(AND(N3609="1521",MONTH(C3609)='BK-NL'!$M$11),"x","")</f>
        <v/>
      </c>
    </row>
    <row r="3610" spans="1:30" ht="16.5" customHeight="1">
      <c r="A3610" s="318" t="str">
        <f>IF(B3610&lt;&gt;"",IF(AND(B3610='IN-TC'!$S$4,OR(TH!N3610="1111",TH!O3610="1111")),TH!D3610,""),"")</f>
        <v/>
      </c>
      <c r="B3610" s="60" t="str">
        <f t="shared" si="407"/>
        <v/>
      </c>
      <c r="C3610" s="75"/>
      <c r="D3610" s="974"/>
      <c r="E3610" s="974"/>
      <c r="F3610" s="76"/>
      <c r="G3610" s="76"/>
      <c r="H3610" s="1276"/>
      <c r="I3610" s="383"/>
      <c r="J3610" s="977"/>
      <c r="K3610" s="383"/>
      <c r="L3610" s="390"/>
      <c r="M3610" s="978"/>
      <c r="N3610" s="979"/>
      <c r="O3610" s="979"/>
      <c r="P3610" s="79" t="str">
        <f>IF(AND('331-CT'!$E$7=TH!H3610,OR(N3610="331",O3610="331")),"x","")</f>
        <v/>
      </c>
      <c r="Q3610" s="79" t="str">
        <f>IF(AND(B3610='111'!$L$11,OR($N3610=$Q$7,$O3610=$Q$7)),"x","")</f>
        <v/>
      </c>
      <c r="R3610" s="79" t="str">
        <f>IF(AND($N3610=$Q$7,$B3610&lt;'111'!$L$11),"x","")</f>
        <v/>
      </c>
      <c r="S3610" s="79" t="str">
        <f>IF(AND($O3610=$Q$7,$B3610&lt;'111'!$L$11),"x","")</f>
        <v/>
      </c>
      <c r="T3610" s="79" t="str">
        <f>IF(ISERROR(FIND('112'!$M$9,G3610,1)),"",IF((AND(FIND('112'!$M$9,G3610,1)&gt;=1,B3610='112'!$K$9,OR($N3610='112'!$I$6,$O3610='112'!$I$6))),"x",""))</f>
        <v/>
      </c>
      <c r="U3610" s="79" t="str">
        <f>IF(ISERROR(FIND('112'!$M$9,G3610,1)),"",IF((AND(LEFT(G3610,2)=LEFT('112'!$M$9,2),B3610&lt;'112'!$K$9,$N3610='112'!$I$6)),"x",""))</f>
        <v/>
      </c>
      <c r="V3610" s="79" t="str">
        <f>IF(ISERROR(FIND('112'!$M$9,G3610,1)),"",IF((AND(RIGHT(G3610,2)=RIGHT('112'!$M$9,2),B3610&lt;'112'!$K$9,$O3610='112'!$I$6)),"x",""))</f>
        <v/>
      </c>
      <c r="W3610" s="79" t="str">
        <f>IF(AND('341-CT'!$H$9=H3610,OR(LEFT(N3610,3)=$W$7,LEFT(O3610,3)=$W$7)),"x","")</f>
        <v/>
      </c>
      <c r="X3610" s="79" t="str">
        <f>IF(OR(TH!N3610=TH!$X$7,O3610=TH!$X$7),"x","")</f>
        <v/>
      </c>
      <c r="Y3610" s="79" t="str">
        <f>IF(AND(OR(N3610="131",O3610="131"),H3610='131-CT'!$H$9),"x","")</f>
        <v/>
      </c>
      <c r="Z3610" s="79"/>
      <c r="AA3610" s="79" t="str">
        <f>IF(AND(MONTH(E3610)='IN-NX'!$J$5,'IN-NX'!$D$7=D3610),"x","")</f>
        <v/>
      </c>
      <c r="AB3610" s="79" t="str">
        <f>IF(AND(OR(LEFT(TH!N3610,2)="15",LEFT(TH!O3610,2)="15"),LEFT(TH!O3610,3)&lt;&gt;"111",'152-CT'!$J$8=TH!F3610),"x","")</f>
        <v/>
      </c>
      <c r="AC3610" s="79" t="str">
        <f>IF(AND(OR(LEFT(TH!N3610,2)="15",LEFT(TH!O3610,2)="15"),TK!$E$7=TH!F3610),"x","")</f>
        <v/>
      </c>
      <c r="AD3610" s="79" t="str">
        <f>IF(AND(N3610="1521",MONTH(C3610)='BK-NL'!$M$11),"x","")</f>
        <v/>
      </c>
    </row>
    <row r="3611" spans="1:30" ht="16.5" customHeight="1">
      <c r="A3611" s="318" t="str">
        <f>IF(B3611&lt;&gt;"",IF(AND(B3611='IN-TC'!$S$4,OR(TH!N3611="1111",TH!O3611="1111")),TH!D3611,""),"")</f>
        <v/>
      </c>
      <c r="B3611" s="60" t="str">
        <f t="shared" si="407"/>
        <v/>
      </c>
      <c r="C3611" s="75"/>
      <c r="D3611" s="75"/>
      <c r="E3611" s="974"/>
      <c r="F3611" s="76"/>
      <c r="G3611" s="76"/>
      <c r="H3611" s="759"/>
      <c r="I3611" s="383"/>
      <c r="J3611" s="977"/>
      <c r="K3611" s="383"/>
      <c r="L3611" s="390"/>
      <c r="M3611" s="978"/>
      <c r="N3611" s="979"/>
      <c r="O3611" s="979"/>
      <c r="P3611" s="79" t="str">
        <f>IF(AND('331-CT'!$E$7=TH!H3611,OR(N3611="331",O3611="331")),"x","")</f>
        <v/>
      </c>
      <c r="Q3611" s="79" t="str">
        <f>IF(AND(B3611='111'!$L$11,OR($N3611=$Q$7,$O3611=$Q$7)),"x","")</f>
        <v/>
      </c>
      <c r="R3611" s="79" t="str">
        <f>IF(AND($N3611=$Q$7,$B3611&lt;'111'!$L$11),"x","")</f>
        <v/>
      </c>
      <c r="S3611" s="79" t="str">
        <f>IF(AND($O3611=$Q$7,$B3611&lt;'111'!$L$11),"x","")</f>
        <v/>
      </c>
      <c r="T3611" s="79" t="str">
        <f>IF(ISERROR(FIND('112'!$M$9,G3611,1)),"",IF((AND(FIND('112'!$M$9,G3611,1)&gt;=1,B3611='112'!$K$9,OR($N3611='112'!$I$6,$O3611='112'!$I$6))),"x",""))</f>
        <v/>
      </c>
      <c r="U3611" s="79" t="str">
        <f>IF(ISERROR(FIND('112'!$M$9,G3611,1)),"",IF((AND(LEFT(G3611,2)=LEFT('112'!$M$9,2),B3611&lt;'112'!$K$9,$N3611='112'!$I$6)),"x",""))</f>
        <v/>
      </c>
      <c r="V3611" s="79" t="str">
        <f>IF(ISERROR(FIND('112'!$M$9,G3611,1)),"",IF((AND(RIGHT(G3611,2)=RIGHT('112'!$M$9,2),B3611&lt;'112'!$K$9,$O3611='112'!$I$6)),"x",""))</f>
        <v/>
      </c>
      <c r="W3611" s="79" t="str">
        <f>IF(AND('341-CT'!$H$9=H3611,OR(LEFT(N3611,3)=$W$7,LEFT(O3611,3)=$W$7)),"x","")</f>
        <v/>
      </c>
      <c r="X3611" s="79" t="str">
        <f>IF(OR(TH!N3611=TH!$X$7,O3611=TH!$X$7),"x","")</f>
        <v/>
      </c>
      <c r="Y3611" s="79" t="str">
        <f>IF(AND(OR(N3611="131",O3611="131"),H3611='131-CT'!$H$9),"x","")</f>
        <v/>
      </c>
      <c r="Z3611" s="79"/>
      <c r="AA3611" s="79" t="str">
        <f>IF(AND(MONTH(E3611)='IN-NX'!$J$5,'IN-NX'!$D$7=D3611),"x","")</f>
        <v/>
      </c>
      <c r="AB3611" s="79" t="str">
        <f>IF(AND(OR(LEFT(TH!N3611,2)="15",LEFT(TH!O3611,2)="15"),LEFT(TH!O3611,3)&lt;&gt;"111",'152-CT'!$J$8=TH!F3611),"x","")</f>
        <v/>
      </c>
      <c r="AC3611" s="79" t="str">
        <f>IF(AND(OR(LEFT(TH!N3611,2)="15",LEFT(TH!O3611,2)="15"),TK!$E$7=TH!F3611),"x","")</f>
        <v/>
      </c>
      <c r="AD3611" s="79" t="str">
        <f>IF(AND(N3611="1521",MONTH(C3611)='BK-NL'!$M$11),"x","")</f>
        <v/>
      </c>
    </row>
    <row r="3612" spans="1:30" ht="16.5" customHeight="1">
      <c r="A3612" s="318" t="str">
        <f>IF(B3612&lt;&gt;"",IF(AND(B3612='IN-TC'!$S$4,OR(TH!N3612="1111",TH!O3612="1111")),TH!D3612,""),"")</f>
        <v/>
      </c>
      <c r="B3612" s="60" t="str">
        <f t="shared" si="407"/>
        <v/>
      </c>
      <c r="C3612" s="75"/>
      <c r="D3612" s="75"/>
      <c r="E3612" s="974"/>
      <c r="F3612" s="76"/>
      <c r="G3612" s="76"/>
      <c r="H3612" s="759"/>
      <c r="I3612" s="383"/>
      <c r="J3612" s="977"/>
      <c r="K3612" s="383"/>
      <c r="L3612" s="390"/>
      <c r="M3612" s="978"/>
      <c r="N3612" s="979"/>
      <c r="O3612" s="979"/>
      <c r="P3612" s="79" t="str">
        <f>IF(AND('331-CT'!$E$7=TH!H3612,OR(N3612="331",O3612="331")),"x","")</f>
        <v/>
      </c>
      <c r="Q3612" s="79" t="str">
        <f>IF(AND(B3612='111'!$L$11,OR($N3612=$Q$7,$O3612=$Q$7)),"x","")</f>
        <v/>
      </c>
      <c r="R3612" s="79" t="str">
        <f>IF(AND($N3612=$Q$7,$B3612&lt;'111'!$L$11),"x","")</f>
        <v/>
      </c>
      <c r="S3612" s="79" t="str">
        <f>IF(AND($O3612=$Q$7,$B3612&lt;'111'!$L$11),"x","")</f>
        <v/>
      </c>
      <c r="T3612" s="79" t="str">
        <f>IF(ISERROR(FIND('112'!$M$9,G3612,1)),"",IF((AND(FIND('112'!$M$9,G3612,1)&gt;=1,B3612='112'!$K$9,OR($N3612='112'!$I$6,$O3612='112'!$I$6))),"x",""))</f>
        <v/>
      </c>
      <c r="U3612" s="79" t="str">
        <f>IF(ISERROR(FIND('112'!$M$9,G3612,1)),"",IF((AND(LEFT(G3612,2)=LEFT('112'!$M$9,2),B3612&lt;'112'!$K$9,$N3612='112'!$I$6)),"x",""))</f>
        <v/>
      </c>
      <c r="V3612" s="79" t="str">
        <f>IF(ISERROR(FIND('112'!$M$9,G3612,1)),"",IF((AND(RIGHT(G3612,2)=RIGHT('112'!$M$9,2),B3612&lt;'112'!$K$9,$O3612='112'!$I$6)),"x",""))</f>
        <v/>
      </c>
      <c r="W3612" s="79" t="str">
        <f>IF(AND('341-CT'!$H$9=H3612,OR(LEFT(N3612,3)=$W$7,LEFT(O3612,3)=$W$7)),"x","")</f>
        <v/>
      </c>
      <c r="X3612" s="79" t="str">
        <f>IF(OR(TH!N3612=TH!$X$7,O3612=TH!$X$7),"x","")</f>
        <v/>
      </c>
      <c r="Y3612" s="79" t="str">
        <f>IF(AND(OR(N3612="131",O3612="131"),H3612='131-CT'!$H$9),"x","")</f>
        <v/>
      </c>
      <c r="Z3612" s="79"/>
      <c r="AA3612" s="79" t="str">
        <f>IF(AND(MONTH(E3612)='IN-NX'!$J$5,'IN-NX'!$D$7=D3612),"x","")</f>
        <v/>
      </c>
      <c r="AB3612" s="79" t="str">
        <f>IF(AND(OR(LEFT(TH!N3612,2)="15",LEFT(TH!O3612,2)="15"),LEFT(TH!O3612,3)&lt;&gt;"111",'152-CT'!$J$8=TH!F3612),"x","")</f>
        <v/>
      </c>
      <c r="AC3612" s="79" t="str">
        <f>IF(AND(OR(LEFT(TH!N3612,2)="15",LEFT(TH!O3612,2)="15"),TK!$E$7=TH!F3612),"x","")</f>
        <v/>
      </c>
      <c r="AD3612" s="79" t="str">
        <f>IF(AND(N3612="1521",MONTH(C3612)='BK-NL'!$M$11),"x","")</f>
        <v/>
      </c>
    </row>
    <row r="3613" spans="1:30" ht="16.5" customHeight="1">
      <c r="A3613" s="318" t="str">
        <f>IF(B3613&lt;&gt;"",IF(AND(B3613='IN-TC'!$S$4,OR(TH!N3613="1111",TH!O3613="1111")),TH!D3613,""),"")</f>
        <v/>
      </c>
      <c r="B3613" s="60" t="str">
        <f t="shared" si="407"/>
        <v/>
      </c>
      <c r="C3613" s="75"/>
      <c r="D3613" s="75"/>
      <c r="E3613" s="974"/>
      <c r="F3613" s="76"/>
      <c r="G3613" s="76"/>
      <c r="H3613" s="759"/>
      <c r="I3613" s="383"/>
      <c r="J3613" s="977"/>
      <c r="K3613" s="383"/>
      <c r="L3613" s="390"/>
      <c r="M3613" s="978"/>
      <c r="N3613" s="979"/>
      <c r="O3613" s="979"/>
      <c r="P3613" s="79" t="str">
        <f>IF(AND('331-CT'!$E$7=TH!H3613,OR(N3613="331",O3613="331")),"x","")</f>
        <v/>
      </c>
      <c r="Q3613" s="79" t="str">
        <f>IF(AND(B3613='111'!$L$11,OR($N3613=$Q$7,$O3613=$Q$7)),"x","")</f>
        <v/>
      </c>
      <c r="R3613" s="79" t="str">
        <f>IF(AND($N3613=$Q$7,$B3613&lt;'111'!$L$11),"x","")</f>
        <v/>
      </c>
      <c r="S3613" s="79" t="str">
        <f>IF(AND($O3613=$Q$7,$B3613&lt;'111'!$L$11),"x","")</f>
        <v/>
      </c>
      <c r="T3613" s="79" t="str">
        <f>IF(ISERROR(FIND('112'!$M$9,G3613,1)),"",IF((AND(FIND('112'!$M$9,G3613,1)&gt;=1,B3613='112'!$K$9,OR($N3613='112'!$I$6,$O3613='112'!$I$6))),"x",""))</f>
        <v/>
      </c>
      <c r="U3613" s="79" t="str">
        <f>IF(ISERROR(FIND('112'!$M$9,G3613,1)),"",IF((AND(LEFT(G3613,2)=LEFT('112'!$M$9,2),B3613&lt;'112'!$K$9,$N3613='112'!$I$6)),"x",""))</f>
        <v/>
      </c>
      <c r="V3613" s="79" t="str">
        <f>IF(ISERROR(FIND('112'!$M$9,G3613,1)),"",IF((AND(RIGHT(G3613,2)=RIGHT('112'!$M$9,2),B3613&lt;'112'!$K$9,$O3613='112'!$I$6)),"x",""))</f>
        <v/>
      </c>
      <c r="W3613" s="79" t="str">
        <f>IF(AND('341-CT'!$H$9=H3613,OR(LEFT(N3613,3)=$W$7,LEFT(O3613,3)=$W$7)),"x","")</f>
        <v/>
      </c>
      <c r="X3613" s="79" t="str">
        <f>IF(OR(TH!N3613=TH!$X$7,O3613=TH!$X$7),"x","")</f>
        <v/>
      </c>
      <c r="Y3613" s="79" t="str">
        <f>IF(AND(OR(N3613="131",O3613="131"),H3613='131-CT'!$H$9),"x","")</f>
        <v/>
      </c>
      <c r="Z3613" s="79"/>
      <c r="AA3613" s="79" t="str">
        <f>IF(AND(MONTH(E3613)='IN-NX'!$J$5,'IN-NX'!$D$7=D3613),"x","")</f>
        <v/>
      </c>
      <c r="AB3613" s="79" t="str">
        <f>IF(AND(OR(LEFT(TH!N3613,2)="15",LEFT(TH!O3613,2)="15"),LEFT(TH!O3613,3)&lt;&gt;"111",'152-CT'!$J$8=TH!F3613),"x","")</f>
        <v/>
      </c>
      <c r="AC3613" s="79" t="str">
        <f>IF(AND(OR(LEFT(TH!N3613,2)="15",LEFT(TH!O3613,2)="15"),TK!$E$7=TH!F3613),"x","")</f>
        <v/>
      </c>
      <c r="AD3613" s="79" t="str">
        <f>IF(AND(N3613="1521",MONTH(C3613)='BK-NL'!$M$11),"x","")</f>
        <v/>
      </c>
    </row>
    <row r="3614" spans="1:30" ht="16.5" customHeight="1">
      <c r="A3614" s="318" t="str">
        <f>IF(B3614&lt;&gt;"",IF(AND(B3614='IN-TC'!$S$4,OR(TH!N3614="1111",TH!O3614="1111")),TH!D3614,""),"")</f>
        <v/>
      </c>
      <c r="B3614" s="60" t="str">
        <f t="shared" si="407"/>
        <v/>
      </c>
      <c r="C3614" s="75"/>
      <c r="D3614" s="974"/>
      <c r="E3614" s="974"/>
      <c r="F3614" s="76"/>
      <c r="G3614" s="76"/>
      <c r="H3614" s="759"/>
      <c r="I3614" s="383"/>
      <c r="J3614" s="977"/>
      <c r="K3614" s="383"/>
      <c r="L3614" s="390"/>
      <c r="M3614" s="978"/>
      <c r="N3614" s="979"/>
      <c r="O3614" s="979"/>
      <c r="P3614" s="79" t="str">
        <f>IF(AND('331-CT'!$E$7=TH!H3614,OR(N3614="331",O3614="331")),"x","")</f>
        <v/>
      </c>
      <c r="Q3614" s="79" t="str">
        <f>IF(AND(B3614='111'!$L$11,OR($N3614=$Q$7,$O3614=$Q$7)),"x","")</f>
        <v/>
      </c>
      <c r="R3614" s="79" t="str">
        <f>IF(AND($N3614=$Q$7,$B3614&lt;'111'!$L$11),"x","")</f>
        <v/>
      </c>
      <c r="S3614" s="79" t="str">
        <f>IF(AND($O3614=$Q$7,$B3614&lt;'111'!$L$11),"x","")</f>
        <v/>
      </c>
      <c r="T3614" s="79" t="str">
        <f>IF(ISERROR(FIND('112'!$M$9,G3614,1)),"",IF((AND(FIND('112'!$M$9,G3614,1)&gt;=1,B3614='112'!$K$9,OR($N3614='112'!$I$6,$O3614='112'!$I$6))),"x",""))</f>
        <v/>
      </c>
      <c r="U3614" s="79" t="str">
        <f>IF(ISERROR(FIND('112'!$M$9,G3614,1)),"",IF((AND(LEFT(G3614,2)=LEFT('112'!$M$9,2),B3614&lt;'112'!$K$9,$N3614='112'!$I$6)),"x",""))</f>
        <v/>
      </c>
      <c r="V3614" s="79" t="str">
        <f>IF(ISERROR(FIND('112'!$M$9,G3614,1)),"",IF((AND(RIGHT(G3614,2)=RIGHT('112'!$M$9,2),B3614&lt;'112'!$K$9,$O3614='112'!$I$6)),"x",""))</f>
        <v/>
      </c>
      <c r="W3614" s="79" t="str">
        <f>IF(AND('341-CT'!$H$9=H3614,OR(LEFT(N3614,3)=$W$7,LEFT(O3614,3)=$W$7)),"x","")</f>
        <v/>
      </c>
      <c r="X3614" s="79" t="str">
        <f>IF(OR(TH!N3614=TH!$X$7,O3614=TH!$X$7),"x","")</f>
        <v/>
      </c>
      <c r="Y3614" s="79" t="str">
        <f>IF(AND(OR(N3614="131",O3614="131"),H3614='131-CT'!$H$9),"x","")</f>
        <v/>
      </c>
      <c r="Z3614" s="79"/>
      <c r="AA3614" s="79" t="str">
        <f>IF(AND(MONTH(E3614)='IN-NX'!$J$5,'IN-NX'!$D$7=D3614),"x","")</f>
        <v/>
      </c>
      <c r="AB3614" s="79" t="str">
        <f>IF(AND(OR(LEFT(TH!N3614,2)="15",LEFT(TH!O3614,2)="15"),LEFT(TH!O3614,3)&lt;&gt;"111",'152-CT'!$J$8=TH!F3614),"x","")</f>
        <v/>
      </c>
      <c r="AC3614" s="79" t="str">
        <f>IF(AND(OR(LEFT(TH!N3614,2)="15",LEFT(TH!O3614,2)="15"),TK!$E$7=TH!F3614),"x","")</f>
        <v/>
      </c>
      <c r="AD3614" s="79" t="str">
        <f>IF(AND(N3614="1521",MONTH(C3614)='BK-NL'!$M$11),"x","")</f>
        <v/>
      </c>
    </row>
    <row r="3615" spans="1:30" ht="16.5" customHeight="1">
      <c r="A3615" s="318" t="str">
        <f>IF(B3615&lt;&gt;"",IF(AND(B3615='IN-TC'!$S$4,OR(TH!N3615="1111",TH!O3615="1111")),TH!D3615,""),"")</f>
        <v/>
      </c>
      <c r="B3615" s="60" t="str">
        <f t="shared" si="407"/>
        <v/>
      </c>
      <c r="C3615" s="75"/>
      <c r="D3615" s="75"/>
      <c r="E3615" s="974"/>
      <c r="F3615" s="76"/>
      <c r="G3615" s="76"/>
      <c r="H3615" s="759"/>
      <c r="I3615" s="383"/>
      <c r="J3615" s="977"/>
      <c r="K3615" s="383"/>
      <c r="L3615" s="390"/>
      <c r="M3615" s="978"/>
      <c r="N3615" s="979"/>
      <c r="O3615" s="979"/>
      <c r="P3615" s="79" t="str">
        <f>IF(AND('331-CT'!$E$7=TH!H3615,OR(N3615="331",O3615="331")),"x","")</f>
        <v/>
      </c>
      <c r="Q3615" s="79" t="str">
        <f>IF(AND(B3615='111'!$L$11,OR($N3615=$Q$7,$O3615=$Q$7)),"x","")</f>
        <v/>
      </c>
      <c r="R3615" s="79" t="str">
        <f>IF(AND($N3615=$Q$7,$B3615&lt;'111'!$L$11),"x","")</f>
        <v/>
      </c>
      <c r="S3615" s="79" t="str">
        <f>IF(AND($O3615=$Q$7,$B3615&lt;'111'!$L$11),"x","")</f>
        <v/>
      </c>
      <c r="T3615" s="79" t="str">
        <f>IF(ISERROR(FIND('112'!$M$9,G3615,1)),"",IF((AND(FIND('112'!$M$9,G3615,1)&gt;=1,B3615='112'!$K$9,OR($N3615='112'!$I$6,$O3615='112'!$I$6))),"x",""))</f>
        <v/>
      </c>
      <c r="U3615" s="79" t="str">
        <f>IF(ISERROR(FIND('112'!$M$9,G3615,1)),"",IF((AND(LEFT(G3615,2)=LEFT('112'!$M$9,2),B3615&lt;'112'!$K$9,$N3615='112'!$I$6)),"x",""))</f>
        <v/>
      </c>
      <c r="V3615" s="79" t="str">
        <f>IF(ISERROR(FIND('112'!$M$9,G3615,1)),"",IF((AND(RIGHT(G3615,2)=RIGHT('112'!$M$9,2),B3615&lt;'112'!$K$9,$O3615='112'!$I$6)),"x",""))</f>
        <v/>
      </c>
      <c r="W3615" s="79" t="str">
        <f>IF(AND('341-CT'!$H$9=H3615,OR(LEFT(N3615,3)=$W$7,LEFT(O3615,3)=$W$7)),"x","")</f>
        <v/>
      </c>
      <c r="X3615" s="79" t="str">
        <f>IF(OR(TH!N3615=TH!$X$7,O3615=TH!$X$7),"x","")</f>
        <v/>
      </c>
      <c r="Y3615" s="79" t="str">
        <f>IF(AND(OR(N3615="131",O3615="131"),H3615='131-CT'!$H$9),"x","")</f>
        <v/>
      </c>
      <c r="Z3615" s="79"/>
      <c r="AA3615" s="79" t="str">
        <f>IF(AND(MONTH(E3615)='IN-NX'!$J$5,'IN-NX'!$D$7=D3615),"x","")</f>
        <v/>
      </c>
      <c r="AB3615" s="79" t="str">
        <f>IF(AND(OR(LEFT(TH!N3615,2)="15",LEFT(TH!O3615,2)="15"),LEFT(TH!O3615,3)&lt;&gt;"111",'152-CT'!$J$8=TH!F3615),"x","")</f>
        <v/>
      </c>
      <c r="AC3615" s="79" t="str">
        <f>IF(AND(OR(LEFT(TH!N3615,2)="15",LEFT(TH!O3615,2)="15"),TK!$E$7=TH!F3615),"x","")</f>
        <v/>
      </c>
      <c r="AD3615" s="79" t="str">
        <f>IF(AND(N3615="1521",MONTH(C3615)='BK-NL'!$M$11),"x","")</f>
        <v/>
      </c>
    </row>
    <row r="3616" spans="1:30" ht="16.5" customHeight="1">
      <c r="A3616" s="318" t="str">
        <f>IF(B3616&lt;&gt;"",IF(AND(B3616='IN-TC'!$S$4,OR(TH!N3616="1111",TH!O3616="1111")),TH!D3616,""),"")</f>
        <v/>
      </c>
      <c r="B3616" s="60" t="str">
        <f t="shared" si="407"/>
        <v/>
      </c>
      <c r="C3616" s="75"/>
      <c r="D3616" s="75"/>
      <c r="E3616" s="974"/>
      <c r="F3616" s="76"/>
      <c r="G3616" s="76"/>
      <c r="H3616" s="759"/>
      <c r="I3616" s="383"/>
      <c r="J3616" s="977"/>
      <c r="K3616" s="383"/>
      <c r="L3616" s="390"/>
      <c r="M3616" s="978"/>
      <c r="N3616" s="979"/>
      <c r="O3616" s="979"/>
      <c r="P3616" s="79" t="str">
        <f>IF(AND('331-CT'!$E$7=TH!H3616,OR(N3616="331",O3616="331")),"x","")</f>
        <v/>
      </c>
      <c r="Q3616" s="79" t="str">
        <f>IF(AND(B3616='111'!$L$11,OR($N3616=$Q$7,$O3616=$Q$7)),"x","")</f>
        <v/>
      </c>
      <c r="R3616" s="79" t="str">
        <f>IF(AND($N3616=$Q$7,$B3616&lt;'111'!$L$11),"x","")</f>
        <v/>
      </c>
      <c r="S3616" s="79" t="str">
        <f>IF(AND($O3616=$Q$7,$B3616&lt;'111'!$L$11),"x","")</f>
        <v/>
      </c>
      <c r="T3616" s="79" t="str">
        <f>IF(ISERROR(FIND('112'!$M$9,G3616,1)),"",IF((AND(FIND('112'!$M$9,G3616,1)&gt;=1,B3616='112'!$K$9,OR($N3616='112'!$I$6,$O3616='112'!$I$6))),"x",""))</f>
        <v/>
      </c>
      <c r="U3616" s="79" t="str">
        <f>IF(ISERROR(FIND('112'!$M$9,G3616,1)),"",IF((AND(LEFT(G3616,2)=LEFT('112'!$M$9,2),B3616&lt;'112'!$K$9,$N3616='112'!$I$6)),"x",""))</f>
        <v/>
      </c>
      <c r="V3616" s="79" t="str">
        <f>IF(ISERROR(FIND('112'!$M$9,G3616,1)),"",IF((AND(RIGHT(G3616,2)=RIGHT('112'!$M$9,2),B3616&lt;'112'!$K$9,$O3616='112'!$I$6)),"x",""))</f>
        <v/>
      </c>
      <c r="W3616" s="79" t="str">
        <f>IF(AND('341-CT'!$H$9=H3616,OR(LEFT(N3616,3)=$W$7,LEFT(O3616,3)=$W$7)),"x","")</f>
        <v/>
      </c>
      <c r="X3616" s="79" t="str">
        <f>IF(OR(TH!N3616=TH!$X$7,O3616=TH!$X$7),"x","")</f>
        <v/>
      </c>
      <c r="Y3616" s="79" t="str">
        <f>IF(AND(OR(N3616="131",O3616="131"),H3616='131-CT'!$H$9),"x","")</f>
        <v/>
      </c>
      <c r="Z3616" s="79"/>
      <c r="AA3616" s="79" t="str">
        <f>IF(AND(MONTH(E3616)='IN-NX'!$J$5,'IN-NX'!$D$7=D3616),"x","")</f>
        <v/>
      </c>
      <c r="AB3616" s="79" t="str">
        <f>IF(AND(OR(LEFT(TH!N3616,2)="15",LEFT(TH!O3616,2)="15"),LEFT(TH!O3616,3)&lt;&gt;"111",'152-CT'!$J$8=TH!F3616),"x","")</f>
        <v/>
      </c>
      <c r="AC3616" s="79" t="str">
        <f>IF(AND(OR(LEFT(TH!N3616,2)="15",LEFT(TH!O3616,2)="15"),TK!$E$7=TH!F3616),"x","")</f>
        <v/>
      </c>
      <c r="AD3616" s="79" t="str">
        <f>IF(AND(N3616="1521",MONTH(C3616)='BK-NL'!$M$11),"x","")</f>
        <v/>
      </c>
    </row>
    <row r="3617" spans="1:30" ht="16.5" customHeight="1">
      <c r="A3617" s="318" t="str">
        <f>IF(B3617&lt;&gt;"",IF(AND(B3617='IN-TC'!$S$4,OR(TH!N3617="1111",TH!O3617="1111")),TH!D3617,""),"")</f>
        <v/>
      </c>
      <c r="B3617" s="60" t="str">
        <f t="shared" si="407"/>
        <v/>
      </c>
      <c r="C3617" s="75"/>
      <c r="D3617" s="75"/>
      <c r="E3617" s="974"/>
      <c r="F3617" s="76"/>
      <c r="G3617" s="76"/>
      <c r="H3617" s="759"/>
      <c r="I3617" s="383"/>
      <c r="J3617" s="977"/>
      <c r="K3617" s="383"/>
      <c r="L3617" s="390"/>
      <c r="M3617" s="978"/>
      <c r="N3617" s="979"/>
      <c r="O3617" s="979"/>
      <c r="P3617" s="79" t="str">
        <f>IF(AND('331-CT'!$E$7=TH!H3617,OR(N3617="331",O3617="331")),"x","")</f>
        <v/>
      </c>
      <c r="Q3617" s="79" t="str">
        <f>IF(AND(B3617='111'!$L$11,OR($N3617=$Q$7,$O3617=$Q$7)),"x","")</f>
        <v/>
      </c>
      <c r="R3617" s="79" t="str">
        <f>IF(AND($N3617=$Q$7,$B3617&lt;'111'!$L$11),"x","")</f>
        <v/>
      </c>
      <c r="S3617" s="79" t="str">
        <f>IF(AND($O3617=$Q$7,$B3617&lt;'111'!$L$11),"x","")</f>
        <v/>
      </c>
      <c r="T3617" s="79" t="str">
        <f>IF(ISERROR(FIND('112'!$M$9,G3617,1)),"",IF((AND(FIND('112'!$M$9,G3617,1)&gt;=1,B3617='112'!$K$9,OR($N3617='112'!$I$6,$O3617='112'!$I$6))),"x",""))</f>
        <v/>
      </c>
      <c r="U3617" s="79" t="str">
        <f>IF(ISERROR(FIND('112'!$M$9,G3617,1)),"",IF((AND(LEFT(G3617,2)=LEFT('112'!$M$9,2),B3617&lt;'112'!$K$9,$N3617='112'!$I$6)),"x",""))</f>
        <v/>
      </c>
      <c r="V3617" s="79" t="str">
        <f>IF(ISERROR(FIND('112'!$M$9,G3617,1)),"",IF((AND(RIGHT(G3617,2)=RIGHT('112'!$M$9,2),B3617&lt;'112'!$K$9,$O3617='112'!$I$6)),"x",""))</f>
        <v/>
      </c>
      <c r="W3617" s="79" t="str">
        <f>IF(AND('341-CT'!$H$9=H3617,OR(LEFT(N3617,3)=$W$7,LEFT(O3617,3)=$W$7)),"x","")</f>
        <v/>
      </c>
      <c r="X3617" s="79" t="str">
        <f>IF(OR(TH!N3617=TH!$X$7,O3617=TH!$X$7),"x","")</f>
        <v/>
      </c>
      <c r="Y3617" s="79" t="str">
        <f>IF(AND(OR(N3617="131",O3617="131"),H3617='131-CT'!$H$9),"x","")</f>
        <v/>
      </c>
      <c r="Z3617" s="79"/>
      <c r="AA3617" s="79" t="str">
        <f>IF(AND(MONTH(E3617)='IN-NX'!$J$5,'IN-NX'!$D$7=D3617),"x","")</f>
        <v/>
      </c>
      <c r="AB3617" s="79" t="str">
        <f>IF(AND(OR(LEFT(TH!N3617,2)="15",LEFT(TH!O3617,2)="15"),LEFT(TH!O3617,3)&lt;&gt;"111",'152-CT'!$J$8=TH!F3617),"x","")</f>
        <v/>
      </c>
      <c r="AC3617" s="79" t="str">
        <f>IF(AND(OR(LEFT(TH!N3617,2)="15",LEFT(TH!O3617,2)="15"),TK!$E$7=TH!F3617),"x","")</f>
        <v/>
      </c>
      <c r="AD3617" s="79" t="str">
        <f>IF(AND(N3617="1521",MONTH(C3617)='BK-NL'!$M$11),"x","")</f>
        <v/>
      </c>
    </row>
    <row r="3618" spans="1:30" ht="16.5" customHeight="1">
      <c r="A3618" s="318" t="str">
        <f>IF(B3618&lt;&gt;"",IF(AND(B3618='IN-TC'!$S$4,OR(TH!N3618="1111",TH!O3618="1111")),TH!D3618,""),"")</f>
        <v/>
      </c>
      <c r="B3618" s="60" t="str">
        <f t="shared" si="407"/>
        <v/>
      </c>
      <c r="C3618" s="75"/>
      <c r="D3618" s="75"/>
      <c r="E3618" s="974"/>
      <c r="F3618" s="76"/>
      <c r="G3618" s="76"/>
      <c r="H3618" s="759"/>
      <c r="I3618" s="383"/>
      <c r="J3618" s="977"/>
      <c r="K3618" s="383"/>
      <c r="L3618" s="390"/>
      <c r="M3618" s="978"/>
      <c r="N3618" s="979"/>
      <c r="O3618" s="979"/>
      <c r="P3618" s="79" t="str">
        <f>IF(AND('331-CT'!$E$7=TH!H3618,OR(N3618="331",O3618="331")),"x","")</f>
        <v/>
      </c>
      <c r="Q3618" s="79" t="str">
        <f>IF(AND(B3618='111'!$L$11,OR($N3618=$Q$7,$O3618=$Q$7)),"x","")</f>
        <v/>
      </c>
      <c r="R3618" s="79" t="str">
        <f>IF(AND($N3618=$Q$7,$B3618&lt;'111'!$L$11),"x","")</f>
        <v/>
      </c>
      <c r="S3618" s="79" t="str">
        <f>IF(AND($O3618=$Q$7,$B3618&lt;'111'!$L$11),"x","")</f>
        <v/>
      </c>
      <c r="T3618" s="79" t="str">
        <f>IF(ISERROR(FIND('112'!$M$9,G3618,1)),"",IF((AND(FIND('112'!$M$9,G3618,1)&gt;=1,B3618='112'!$K$9,OR($N3618='112'!$I$6,$O3618='112'!$I$6))),"x",""))</f>
        <v/>
      </c>
      <c r="U3618" s="79" t="str">
        <f>IF(ISERROR(FIND('112'!$M$9,G3618,1)),"",IF((AND(LEFT(G3618,2)=LEFT('112'!$M$9,2),B3618&lt;'112'!$K$9,$N3618='112'!$I$6)),"x",""))</f>
        <v/>
      </c>
      <c r="V3618" s="79" t="str">
        <f>IF(ISERROR(FIND('112'!$M$9,G3618,1)),"",IF((AND(RIGHT(G3618,2)=RIGHT('112'!$M$9,2),B3618&lt;'112'!$K$9,$O3618='112'!$I$6)),"x",""))</f>
        <v/>
      </c>
      <c r="W3618" s="79" t="str">
        <f>IF(AND('341-CT'!$H$9=H3618,OR(LEFT(N3618,3)=$W$7,LEFT(O3618,3)=$W$7)),"x","")</f>
        <v/>
      </c>
      <c r="X3618" s="79" t="str">
        <f>IF(OR(TH!N3618=TH!$X$7,O3618=TH!$X$7),"x","")</f>
        <v/>
      </c>
      <c r="Y3618" s="79" t="str">
        <f>IF(AND(OR(N3618="131",O3618="131"),H3618='131-CT'!$H$9),"x","")</f>
        <v/>
      </c>
      <c r="Z3618" s="79"/>
      <c r="AA3618" s="79" t="str">
        <f>IF(AND(MONTH(E3618)='IN-NX'!$J$5,'IN-NX'!$D$7=D3618),"x","")</f>
        <v/>
      </c>
      <c r="AB3618" s="79" t="str">
        <f>IF(AND(OR(LEFT(TH!N3618,2)="15",LEFT(TH!O3618,2)="15"),LEFT(TH!O3618,3)&lt;&gt;"111",'152-CT'!$J$8=TH!F3618),"x","")</f>
        <v/>
      </c>
      <c r="AC3618" s="79" t="str">
        <f>IF(AND(OR(LEFT(TH!N3618,2)="15",LEFT(TH!O3618,2)="15"),TK!$E$7=TH!F3618),"x","")</f>
        <v/>
      </c>
      <c r="AD3618" s="79" t="str">
        <f>IF(AND(N3618="1521",MONTH(C3618)='BK-NL'!$M$11),"x","")</f>
        <v/>
      </c>
    </row>
    <row r="3619" spans="1:30" ht="16.5" customHeight="1">
      <c r="A3619" s="318" t="str">
        <f>IF(B3619&lt;&gt;"",IF(AND(B3619='IN-TC'!$S$4,OR(TH!N3619="1111",TH!O3619="1111")),TH!D3619,""),"")</f>
        <v/>
      </c>
      <c r="B3619" s="60" t="str">
        <f t="shared" si="407"/>
        <v/>
      </c>
      <c r="C3619" s="75"/>
      <c r="D3619" s="75"/>
      <c r="E3619" s="974"/>
      <c r="F3619" s="76"/>
      <c r="G3619" s="76"/>
      <c r="H3619" s="759"/>
      <c r="I3619" s="383"/>
      <c r="J3619" s="977"/>
      <c r="K3619" s="383"/>
      <c r="L3619" s="390"/>
      <c r="M3619" s="978"/>
      <c r="N3619" s="979"/>
      <c r="O3619" s="979"/>
      <c r="P3619" s="79" t="str">
        <f>IF(AND('331-CT'!$E$7=TH!H3619,OR(N3619="331",O3619="331")),"x","")</f>
        <v/>
      </c>
      <c r="Q3619" s="79" t="str">
        <f>IF(AND(B3619='111'!$L$11,OR($N3619=$Q$7,$O3619=$Q$7)),"x","")</f>
        <v/>
      </c>
      <c r="R3619" s="79" t="str">
        <f>IF(AND($N3619=$Q$7,$B3619&lt;'111'!$L$11),"x","")</f>
        <v/>
      </c>
      <c r="S3619" s="79" t="str">
        <f>IF(AND($O3619=$Q$7,$B3619&lt;'111'!$L$11),"x","")</f>
        <v/>
      </c>
      <c r="T3619" s="79" t="str">
        <f>IF(ISERROR(FIND('112'!$M$9,G3619,1)),"",IF((AND(FIND('112'!$M$9,G3619,1)&gt;=1,B3619='112'!$K$9,OR($N3619='112'!$I$6,$O3619='112'!$I$6))),"x",""))</f>
        <v/>
      </c>
      <c r="U3619" s="79" t="str">
        <f>IF(ISERROR(FIND('112'!$M$9,G3619,1)),"",IF((AND(LEFT(G3619,2)=LEFT('112'!$M$9,2),B3619&lt;'112'!$K$9,$N3619='112'!$I$6)),"x",""))</f>
        <v/>
      </c>
      <c r="V3619" s="79" t="str">
        <f>IF(ISERROR(FIND('112'!$M$9,G3619,1)),"",IF((AND(RIGHT(G3619,2)=RIGHT('112'!$M$9,2),B3619&lt;'112'!$K$9,$O3619='112'!$I$6)),"x",""))</f>
        <v/>
      </c>
      <c r="W3619" s="79" t="str">
        <f>IF(AND('341-CT'!$H$9=H3619,OR(LEFT(N3619,3)=$W$7,LEFT(O3619,3)=$W$7)),"x","")</f>
        <v/>
      </c>
      <c r="X3619" s="79" t="str">
        <f>IF(OR(TH!N3619=TH!$X$7,O3619=TH!$X$7),"x","")</f>
        <v/>
      </c>
      <c r="Y3619" s="79" t="str">
        <f>IF(AND(OR(N3619="131",O3619="131"),H3619='131-CT'!$H$9),"x","")</f>
        <v/>
      </c>
      <c r="Z3619" s="79"/>
      <c r="AA3619" s="79" t="str">
        <f>IF(AND(MONTH(E3619)='IN-NX'!$J$5,'IN-NX'!$D$7=D3619),"x","")</f>
        <v/>
      </c>
      <c r="AB3619" s="79" t="str">
        <f>IF(AND(OR(LEFT(TH!N3619,2)="15",LEFT(TH!O3619,2)="15"),LEFT(TH!O3619,3)&lt;&gt;"111",'152-CT'!$J$8=TH!F3619),"x","")</f>
        <v/>
      </c>
      <c r="AC3619" s="79" t="str">
        <f>IF(AND(OR(LEFT(TH!N3619,2)="15",LEFT(TH!O3619,2)="15"),TK!$E$7=TH!F3619),"x","")</f>
        <v/>
      </c>
      <c r="AD3619" s="79" t="str">
        <f>IF(AND(N3619="1521",MONTH(C3619)='BK-NL'!$M$11),"x","")</f>
        <v/>
      </c>
    </row>
    <row r="3620" spans="1:30" ht="16.5" customHeight="1">
      <c r="A3620" s="318" t="str">
        <f>IF(B3620&lt;&gt;"",IF(AND(B3620='IN-TC'!$S$4,OR(TH!N3620="1111",TH!O3620="1111")),TH!D3620,""),"")</f>
        <v/>
      </c>
      <c r="B3620" s="60" t="str">
        <f t="shared" si="407"/>
        <v/>
      </c>
      <c r="C3620" s="75"/>
      <c r="D3620" s="75"/>
      <c r="E3620" s="974"/>
      <c r="F3620" s="76"/>
      <c r="G3620" s="76"/>
      <c r="H3620" s="759"/>
      <c r="I3620" s="383"/>
      <c r="J3620" s="977"/>
      <c r="K3620" s="383"/>
      <c r="L3620" s="390"/>
      <c r="M3620" s="978"/>
      <c r="N3620" s="979"/>
      <c r="O3620" s="979"/>
      <c r="P3620" s="79" t="str">
        <f>IF(AND('331-CT'!$E$7=TH!H3620,OR(N3620="331",O3620="331")),"x","")</f>
        <v/>
      </c>
      <c r="Q3620" s="79" t="str">
        <f>IF(AND(B3620='111'!$L$11,OR($N3620=$Q$7,$O3620=$Q$7)),"x","")</f>
        <v/>
      </c>
      <c r="R3620" s="79" t="str">
        <f>IF(AND($N3620=$Q$7,$B3620&lt;'111'!$L$11),"x","")</f>
        <v/>
      </c>
      <c r="S3620" s="79" t="str">
        <f>IF(AND($O3620=$Q$7,$B3620&lt;'111'!$L$11),"x","")</f>
        <v/>
      </c>
      <c r="T3620" s="79" t="str">
        <f>IF(ISERROR(FIND('112'!$M$9,G3620,1)),"",IF((AND(FIND('112'!$M$9,G3620,1)&gt;=1,B3620='112'!$K$9,OR($N3620='112'!$I$6,$O3620='112'!$I$6))),"x",""))</f>
        <v/>
      </c>
      <c r="U3620" s="79" t="str">
        <f>IF(ISERROR(FIND('112'!$M$9,G3620,1)),"",IF((AND(LEFT(G3620,2)=LEFT('112'!$M$9,2),B3620&lt;'112'!$K$9,$N3620='112'!$I$6)),"x",""))</f>
        <v/>
      </c>
      <c r="V3620" s="79" t="str">
        <f>IF(ISERROR(FIND('112'!$M$9,G3620,1)),"",IF((AND(RIGHT(G3620,2)=RIGHT('112'!$M$9,2),B3620&lt;'112'!$K$9,$O3620='112'!$I$6)),"x",""))</f>
        <v/>
      </c>
      <c r="W3620" s="79" t="str">
        <f>IF(AND('341-CT'!$H$9=H3620,OR(LEFT(N3620,3)=$W$7,LEFT(O3620,3)=$W$7)),"x","")</f>
        <v/>
      </c>
      <c r="X3620" s="79" t="str">
        <f>IF(OR(TH!N3620=TH!$X$7,O3620=TH!$X$7),"x","")</f>
        <v/>
      </c>
      <c r="Y3620" s="79" t="str">
        <f>IF(AND(OR(N3620="131",O3620="131"),H3620='131-CT'!$H$9),"x","")</f>
        <v/>
      </c>
      <c r="Z3620" s="79"/>
      <c r="AA3620" s="79" t="str">
        <f>IF(AND(MONTH(E3620)='IN-NX'!$J$5,'IN-NX'!$D$7=D3620),"x","")</f>
        <v/>
      </c>
      <c r="AB3620" s="79" t="str">
        <f>IF(AND(OR(LEFT(TH!N3620,2)="15",LEFT(TH!O3620,2)="15"),LEFT(TH!O3620,3)&lt;&gt;"111",'152-CT'!$J$8=TH!F3620),"x","")</f>
        <v/>
      </c>
      <c r="AC3620" s="79" t="str">
        <f>IF(AND(OR(LEFT(TH!N3620,2)="15",LEFT(TH!O3620,2)="15"),TK!$E$7=TH!F3620),"x","")</f>
        <v/>
      </c>
      <c r="AD3620" s="79" t="str">
        <f>IF(AND(N3620="1521",MONTH(C3620)='BK-NL'!$M$11),"x","")</f>
        <v/>
      </c>
    </row>
    <row r="3621" spans="1:30" ht="16.5" customHeight="1">
      <c r="A3621" s="318" t="str">
        <f>IF(B3621&lt;&gt;"",IF(AND(B3621='IN-TC'!$S$4,OR(TH!N3621="1111",TH!O3621="1111")),TH!D3621,""),"")</f>
        <v/>
      </c>
      <c r="B3621" s="60" t="str">
        <f t="shared" si="407"/>
        <v/>
      </c>
      <c r="C3621" s="75"/>
      <c r="D3621" s="75"/>
      <c r="E3621" s="974"/>
      <c r="F3621" s="76"/>
      <c r="G3621" s="76"/>
      <c r="H3621" s="759"/>
      <c r="I3621" s="383"/>
      <c r="J3621" s="977"/>
      <c r="K3621" s="383"/>
      <c r="L3621" s="390"/>
      <c r="M3621" s="978"/>
      <c r="N3621" s="979"/>
      <c r="O3621" s="979"/>
      <c r="P3621" s="79" t="str">
        <f>IF(AND('331-CT'!$E$7=TH!H3621,OR(N3621="331",O3621="331")),"x","")</f>
        <v/>
      </c>
      <c r="Q3621" s="79" t="str">
        <f>IF(AND(B3621='111'!$L$11,OR($N3621=$Q$7,$O3621=$Q$7)),"x","")</f>
        <v/>
      </c>
      <c r="R3621" s="79" t="str">
        <f>IF(AND($N3621=$Q$7,$B3621&lt;'111'!$L$11),"x","")</f>
        <v/>
      </c>
      <c r="S3621" s="79" t="str">
        <f>IF(AND($O3621=$Q$7,$B3621&lt;'111'!$L$11),"x","")</f>
        <v/>
      </c>
      <c r="T3621" s="79" t="str">
        <f>IF(ISERROR(FIND('112'!$M$9,G3621,1)),"",IF((AND(FIND('112'!$M$9,G3621,1)&gt;=1,B3621='112'!$K$9,OR($N3621='112'!$I$6,$O3621='112'!$I$6))),"x",""))</f>
        <v/>
      </c>
      <c r="U3621" s="79" t="str">
        <f>IF(ISERROR(FIND('112'!$M$9,G3621,1)),"",IF((AND(LEFT(G3621,2)=LEFT('112'!$M$9,2),B3621&lt;'112'!$K$9,$N3621='112'!$I$6)),"x",""))</f>
        <v/>
      </c>
      <c r="V3621" s="79" t="str">
        <f>IF(ISERROR(FIND('112'!$M$9,G3621,1)),"",IF((AND(RIGHT(G3621,2)=RIGHT('112'!$M$9,2),B3621&lt;'112'!$K$9,$O3621='112'!$I$6)),"x",""))</f>
        <v/>
      </c>
      <c r="W3621" s="79" t="str">
        <f>IF(AND('341-CT'!$H$9=H3621,OR(LEFT(N3621,3)=$W$7,LEFT(O3621,3)=$W$7)),"x","")</f>
        <v/>
      </c>
      <c r="X3621" s="79" t="str">
        <f>IF(OR(TH!N3621=TH!$X$7,O3621=TH!$X$7),"x","")</f>
        <v/>
      </c>
      <c r="Y3621" s="79" t="str">
        <f>IF(AND(OR(N3621="131",O3621="131"),H3621='131-CT'!$H$9),"x","")</f>
        <v/>
      </c>
      <c r="Z3621" s="79"/>
      <c r="AA3621" s="79" t="str">
        <f>IF(AND(MONTH(E3621)='IN-NX'!$J$5,'IN-NX'!$D$7=D3621),"x","")</f>
        <v/>
      </c>
      <c r="AB3621" s="79" t="str">
        <f>IF(AND(OR(LEFT(TH!N3621,2)="15",LEFT(TH!O3621,2)="15"),LEFT(TH!O3621,3)&lt;&gt;"111",'152-CT'!$J$8=TH!F3621),"x","")</f>
        <v/>
      </c>
      <c r="AC3621" s="79" t="str">
        <f>IF(AND(OR(LEFT(TH!N3621,2)="15",LEFT(TH!O3621,2)="15"),TK!$E$7=TH!F3621),"x","")</f>
        <v/>
      </c>
      <c r="AD3621" s="79" t="str">
        <f>IF(AND(N3621="1521",MONTH(C3621)='BK-NL'!$M$11),"x","")</f>
        <v/>
      </c>
    </row>
    <row r="3622" spans="1:30" ht="16.5" customHeight="1">
      <c r="A3622" s="318" t="str">
        <f>IF(B3622&lt;&gt;"",IF(AND(B3622='IN-TC'!$S$4,OR(TH!N3622="1111",TH!O3622="1111")),TH!D3622,""),"")</f>
        <v/>
      </c>
      <c r="B3622" s="60" t="str">
        <f t="shared" si="407"/>
        <v/>
      </c>
      <c r="C3622" s="75"/>
      <c r="D3622" s="75"/>
      <c r="E3622" s="974"/>
      <c r="F3622" s="76"/>
      <c r="G3622" s="76"/>
      <c r="H3622" s="759"/>
      <c r="I3622" s="383"/>
      <c r="J3622" s="977"/>
      <c r="K3622" s="383"/>
      <c r="L3622" s="390"/>
      <c r="M3622" s="978"/>
      <c r="N3622" s="979"/>
      <c r="O3622" s="979"/>
      <c r="P3622" s="79" t="str">
        <f>IF(AND('331-CT'!$E$7=TH!H3622,OR(N3622="331",O3622="331")),"x","")</f>
        <v/>
      </c>
      <c r="Q3622" s="79" t="str">
        <f>IF(AND(B3622='111'!$L$11,OR($N3622=$Q$7,$O3622=$Q$7)),"x","")</f>
        <v/>
      </c>
      <c r="R3622" s="79" t="str">
        <f>IF(AND($N3622=$Q$7,$B3622&lt;'111'!$L$11),"x","")</f>
        <v/>
      </c>
      <c r="S3622" s="79" t="str">
        <f>IF(AND($O3622=$Q$7,$B3622&lt;'111'!$L$11),"x","")</f>
        <v/>
      </c>
      <c r="T3622" s="79" t="str">
        <f>IF(ISERROR(FIND('112'!$M$9,G3622,1)),"",IF((AND(FIND('112'!$M$9,G3622,1)&gt;=1,B3622='112'!$K$9,OR($N3622='112'!$I$6,$O3622='112'!$I$6))),"x",""))</f>
        <v/>
      </c>
      <c r="U3622" s="79" t="str">
        <f>IF(ISERROR(FIND('112'!$M$9,G3622,1)),"",IF((AND(LEFT(G3622,2)=LEFT('112'!$M$9,2),B3622&lt;'112'!$K$9,$N3622='112'!$I$6)),"x",""))</f>
        <v/>
      </c>
      <c r="V3622" s="79" t="str">
        <f>IF(ISERROR(FIND('112'!$M$9,G3622,1)),"",IF((AND(RIGHT(G3622,2)=RIGHT('112'!$M$9,2),B3622&lt;'112'!$K$9,$O3622='112'!$I$6)),"x",""))</f>
        <v/>
      </c>
      <c r="W3622" s="79" t="str">
        <f>IF(AND('341-CT'!$H$9=H3622,OR(LEFT(N3622,3)=$W$7,LEFT(O3622,3)=$W$7)),"x","")</f>
        <v/>
      </c>
      <c r="X3622" s="79" t="str">
        <f>IF(OR(TH!N3622=TH!$X$7,O3622=TH!$X$7),"x","")</f>
        <v/>
      </c>
      <c r="Y3622" s="79" t="str">
        <f>IF(AND(OR(N3622="131",O3622="131"),H3622='131-CT'!$H$9),"x","")</f>
        <v/>
      </c>
      <c r="Z3622" s="79"/>
      <c r="AA3622" s="79" t="str">
        <f>IF(AND(MONTH(E3622)='IN-NX'!$J$5,'IN-NX'!$D$7=D3622),"x","")</f>
        <v/>
      </c>
      <c r="AB3622" s="79" t="str">
        <f>IF(AND(OR(LEFT(TH!N3622,2)="15",LEFT(TH!O3622,2)="15"),LEFT(TH!O3622,3)&lt;&gt;"111",'152-CT'!$J$8=TH!F3622),"x","")</f>
        <v/>
      </c>
      <c r="AC3622" s="79" t="str">
        <f>IF(AND(OR(LEFT(TH!N3622,2)="15",LEFT(TH!O3622,2)="15"),TK!$E$7=TH!F3622),"x","")</f>
        <v/>
      </c>
      <c r="AD3622" s="79" t="str">
        <f>IF(AND(N3622="1521",MONTH(C3622)='BK-NL'!$M$11),"x","")</f>
        <v/>
      </c>
    </row>
    <row r="3623" spans="1:30" ht="16.5" customHeight="1">
      <c r="A3623" s="318" t="str">
        <f>IF(B3623&lt;&gt;"",IF(AND(B3623='IN-TC'!$S$4,OR(TH!N3623="1111",TH!O3623="1111")),TH!D3623,""),"")</f>
        <v/>
      </c>
      <c r="B3623" s="60" t="str">
        <f t="shared" si="407"/>
        <v/>
      </c>
      <c r="C3623" s="75"/>
      <c r="D3623" s="75"/>
      <c r="E3623" s="974"/>
      <c r="F3623" s="76"/>
      <c r="G3623" s="76"/>
      <c r="H3623" s="759"/>
      <c r="I3623" s="383"/>
      <c r="J3623" s="977"/>
      <c r="K3623" s="383"/>
      <c r="L3623" s="390"/>
      <c r="M3623" s="978"/>
      <c r="N3623" s="979"/>
      <c r="O3623" s="979"/>
      <c r="P3623" s="79" t="str">
        <f>IF(AND('331-CT'!$E$7=TH!H3623,OR(N3623="331",O3623="331")),"x","")</f>
        <v/>
      </c>
      <c r="Q3623" s="79" t="str">
        <f>IF(AND(B3623='111'!$L$11,OR($N3623=$Q$7,$O3623=$Q$7)),"x","")</f>
        <v/>
      </c>
      <c r="R3623" s="79" t="str">
        <f>IF(AND($N3623=$Q$7,$B3623&lt;'111'!$L$11),"x","")</f>
        <v/>
      </c>
      <c r="S3623" s="79" t="str">
        <f>IF(AND($O3623=$Q$7,$B3623&lt;'111'!$L$11),"x","")</f>
        <v/>
      </c>
      <c r="T3623" s="79" t="str">
        <f>IF(ISERROR(FIND('112'!$M$9,G3623,1)),"",IF((AND(FIND('112'!$M$9,G3623,1)&gt;=1,B3623='112'!$K$9,OR($N3623='112'!$I$6,$O3623='112'!$I$6))),"x",""))</f>
        <v/>
      </c>
      <c r="U3623" s="79" t="str">
        <f>IF(ISERROR(FIND('112'!$M$9,G3623,1)),"",IF((AND(LEFT(G3623,2)=LEFT('112'!$M$9,2),B3623&lt;'112'!$K$9,$N3623='112'!$I$6)),"x",""))</f>
        <v/>
      </c>
      <c r="V3623" s="79" t="str">
        <f>IF(ISERROR(FIND('112'!$M$9,G3623,1)),"",IF((AND(RIGHT(G3623,2)=RIGHT('112'!$M$9,2),B3623&lt;'112'!$K$9,$O3623='112'!$I$6)),"x",""))</f>
        <v/>
      </c>
      <c r="W3623" s="79" t="str">
        <f>IF(AND('341-CT'!$H$9=H3623,OR(LEFT(N3623,3)=$W$7,LEFT(O3623,3)=$W$7)),"x","")</f>
        <v/>
      </c>
      <c r="X3623" s="79" t="str">
        <f>IF(OR(TH!N3623=TH!$X$7,O3623=TH!$X$7),"x","")</f>
        <v/>
      </c>
      <c r="Y3623" s="79" t="str">
        <f>IF(AND(OR(N3623="131",O3623="131"),H3623='131-CT'!$H$9),"x","")</f>
        <v/>
      </c>
      <c r="Z3623" s="79"/>
      <c r="AA3623" s="79" t="str">
        <f>IF(AND(MONTH(E3623)='IN-NX'!$J$5,'IN-NX'!$D$7=D3623),"x","")</f>
        <v/>
      </c>
      <c r="AB3623" s="79" t="str">
        <f>IF(AND(OR(LEFT(TH!N3623,2)="15",LEFT(TH!O3623,2)="15"),LEFT(TH!O3623,3)&lt;&gt;"111",'152-CT'!$J$8=TH!F3623),"x","")</f>
        <v/>
      </c>
      <c r="AC3623" s="79" t="str">
        <f>IF(AND(OR(LEFT(TH!N3623,2)="15",LEFT(TH!O3623,2)="15"),TK!$E$7=TH!F3623),"x","")</f>
        <v/>
      </c>
      <c r="AD3623" s="79" t="str">
        <f>IF(AND(N3623="1521",MONTH(C3623)='BK-NL'!$M$11),"x","")</f>
        <v/>
      </c>
    </row>
    <row r="3624" spans="1:30" ht="16.5" customHeight="1">
      <c r="A3624" s="318" t="str">
        <f>IF(B3624&lt;&gt;"",IF(AND(B3624='IN-TC'!$S$4,OR(TH!N3624="1111",TH!O3624="1111")),TH!D3624,""),"")</f>
        <v/>
      </c>
      <c r="B3624" s="60" t="str">
        <f t="shared" si="407"/>
        <v/>
      </c>
      <c r="C3624" s="75"/>
      <c r="D3624" s="75"/>
      <c r="E3624" s="974"/>
      <c r="F3624" s="76"/>
      <c r="G3624" s="76"/>
      <c r="H3624" s="759"/>
      <c r="I3624" s="383"/>
      <c r="J3624" s="977"/>
      <c r="K3624" s="383"/>
      <c r="L3624" s="390"/>
      <c r="M3624" s="978"/>
      <c r="N3624" s="979"/>
      <c r="O3624" s="979"/>
      <c r="P3624" s="79" t="str">
        <f>IF(AND('331-CT'!$E$7=TH!H3624,OR(N3624="331",O3624="331")),"x","")</f>
        <v/>
      </c>
      <c r="Q3624" s="79" t="str">
        <f>IF(AND(B3624='111'!$L$11,OR($N3624=$Q$7,$O3624=$Q$7)),"x","")</f>
        <v/>
      </c>
      <c r="R3624" s="79" t="str">
        <f>IF(AND($N3624=$Q$7,$B3624&lt;'111'!$L$11),"x","")</f>
        <v/>
      </c>
      <c r="S3624" s="79" t="str">
        <f>IF(AND($O3624=$Q$7,$B3624&lt;'111'!$L$11),"x","")</f>
        <v/>
      </c>
      <c r="T3624" s="79" t="str">
        <f>IF(ISERROR(FIND('112'!$M$9,G3624,1)),"",IF((AND(FIND('112'!$M$9,G3624,1)&gt;=1,B3624='112'!$K$9,OR($N3624='112'!$I$6,$O3624='112'!$I$6))),"x",""))</f>
        <v/>
      </c>
      <c r="U3624" s="79" t="str">
        <f>IF(ISERROR(FIND('112'!$M$9,G3624,1)),"",IF((AND(LEFT(G3624,2)=LEFT('112'!$M$9,2),B3624&lt;'112'!$K$9,$N3624='112'!$I$6)),"x",""))</f>
        <v/>
      </c>
      <c r="V3624" s="79" t="str">
        <f>IF(ISERROR(FIND('112'!$M$9,G3624,1)),"",IF((AND(RIGHT(G3624,2)=RIGHT('112'!$M$9,2),B3624&lt;'112'!$K$9,$O3624='112'!$I$6)),"x",""))</f>
        <v/>
      </c>
      <c r="W3624" s="79" t="str">
        <f>IF(AND('341-CT'!$H$9=H3624,OR(LEFT(N3624,3)=$W$7,LEFT(O3624,3)=$W$7)),"x","")</f>
        <v/>
      </c>
      <c r="X3624" s="79" t="str">
        <f>IF(OR(TH!N3624=TH!$X$7,O3624=TH!$X$7),"x","")</f>
        <v/>
      </c>
      <c r="Y3624" s="79" t="str">
        <f>IF(AND(OR(N3624="131",O3624="131"),H3624='131-CT'!$H$9),"x","")</f>
        <v/>
      </c>
      <c r="Z3624" s="79"/>
      <c r="AA3624" s="79" t="str">
        <f>IF(AND(MONTH(E3624)='IN-NX'!$J$5,'IN-NX'!$D$7=D3624),"x","")</f>
        <v/>
      </c>
      <c r="AB3624" s="79" t="str">
        <f>IF(AND(OR(LEFT(TH!N3624,2)="15",LEFT(TH!O3624,2)="15"),LEFT(TH!O3624,3)&lt;&gt;"111",'152-CT'!$J$8=TH!F3624),"x","")</f>
        <v/>
      </c>
      <c r="AC3624" s="79" t="str">
        <f>IF(AND(OR(LEFT(TH!N3624,2)="15",LEFT(TH!O3624,2)="15"),TK!$E$7=TH!F3624),"x","")</f>
        <v/>
      </c>
      <c r="AD3624" s="79" t="str">
        <f>IF(AND(N3624="1521",MONTH(C3624)='BK-NL'!$M$11),"x","")</f>
        <v/>
      </c>
    </row>
    <row r="3625" spans="1:30" ht="16.5" customHeight="1">
      <c r="A3625" s="318" t="str">
        <f>IF(B3625&lt;&gt;"",IF(AND(B3625='IN-TC'!$S$4,OR(TH!N3625="1111",TH!O3625="1111")),TH!D3625,""),"")</f>
        <v/>
      </c>
      <c r="B3625" s="60" t="str">
        <f t="shared" si="407"/>
        <v/>
      </c>
      <c r="C3625" s="75"/>
      <c r="D3625" s="75"/>
      <c r="E3625" s="75"/>
      <c r="F3625" s="76"/>
      <c r="G3625" s="76"/>
      <c r="H3625" s="759"/>
      <c r="I3625" s="383"/>
      <c r="J3625" s="390"/>
      <c r="K3625" s="383"/>
      <c r="L3625" s="390"/>
      <c r="M3625" s="978"/>
      <c r="N3625" s="79"/>
      <c r="O3625" s="79"/>
      <c r="P3625" s="79" t="str">
        <f>IF(AND('331-CT'!$E$7=TH!H3625,OR(N3625="331",O3625="331")),"x","")</f>
        <v/>
      </c>
      <c r="Q3625" s="79" t="str">
        <f>IF(AND(B3625='111'!$L$11,OR($N3625=$Q$7,$O3625=$Q$7)),"x","")</f>
        <v/>
      </c>
      <c r="R3625" s="79" t="str">
        <f>IF(AND($N3625=$Q$7,$B3625&lt;'111'!$L$11),"x","")</f>
        <v/>
      </c>
      <c r="S3625" s="79" t="str">
        <f>IF(AND($O3625=$Q$7,$B3625&lt;'111'!$L$11),"x","")</f>
        <v/>
      </c>
      <c r="T3625" s="79" t="str">
        <f>IF(ISERROR(FIND('112'!$M$9,G3625,1)),"",IF((AND(FIND('112'!$M$9,G3625,1)&gt;=1,B3625='112'!$K$9,OR($N3625='112'!$I$6,$O3625='112'!$I$6))),"x",""))</f>
        <v/>
      </c>
      <c r="U3625" s="79" t="str">
        <f>IF(ISERROR(FIND('112'!$M$9,G3625,1)),"",IF((AND(LEFT(G3625,2)=LEFT('112'!$M$9,2),B3625&lt;'112'!$K$9,$N3625='112'!$I$6)),"x",""))</f>
        <v/>
      </c>
      <c r="V3625" s="79" t="str">
        <f>IF(ISERROR(FIND('112'!$M$9,G3625,1)),"",IF((AND(RIGHT(G3625,2)=RIGHT('112'!$M$9,2),B3625&lt;'112'!$K$9,$O3625='112'!$I$6)),"x",""))</f>
        <v/>
      </c>
      <c r="W3625" s="79" t="str">
        <f>IF(AND('341-CT'!$H$9=H3625,OR(LEFT(N3625,3)=$W$7,LEFT(O3625,3)=$W$7)),"x","")</f>
        <v/>
      </c>
      <c r="X3625" s="79" t="str">
        <f>IF(OR(TH!N3625=TH!$X$7,O3625=TH!$X$7),"x","")</f>
        <v/>
      </c>
      <c r="Y3625" s="79" t="str">
        <f>IF(AND(OR(N3625="131",O3625="131"),H3625='131-CT'!$H$9),"x","")</f>
        <v/>
      </c>
      <c r="Z3625" s="79"/>
      <c r="AA3625" s="79" t="str">
        <f>IF(AND(MONTH(E3625)='IN-NX'!$J$5,'IN-NX'!$D$7=D3625),"x","")</f>
        <v/>
      </c>
      <c r="AB3625" s="79" t="str">
        <f>IF(AND(OR(LEFT(TH!N3625,2)="15",LEFT(TH!O3625,2)="15"),LEFT(TH!O3625,3)&lt;&gt;"111",'152-CT'!$J$8=TH!F3625),"x","")</f>
        <v/>
      </c>
      <c r="AC3625" s="79" t="str">
        <f>IF(AND(OR(LEFT(TH!N3625,2)="15",LEFT(TH!O3625,2)="15"),TK!$E$7=TH!F3625),"x","")</f>
        <v/>
      </c>
      <c r="AD3625" s="79" t="str">
        <f>IF(AND(N3625="1521",MONTH(C3625)='BK-NL'!$M$11),"x","")</f>
        <v/>
      </c>
    </row>
    <row r="3626" spans="1:30" ht="16.5" customHeight="1">
      <c r="A3626" s="318" t="str">
        <f>IF(B3626&lt;&gt;"",IF(AND(B3626='IN-TC'!$S$4,OR(TH!N3626="1111",TH!O3626="1111")),TH!D3626,""),"")</f>
        <v/>
      </c>
      <c r="B3626" s="60" t="str">
        <f t="shared" si="407"/>
        <v/>
      </c>
      <c r="C3626" s="75"/>
      <c r="D3626" s="75"/>
      <c r="E3626" s="75"/>
      <c r="F3626" s="76"/>
      <c r="G3626" s="76"/>
      <c r="H3626" s="759"/>
      <c r="I3626" s="383"/>
      <c r="J3626" s="390"/>
      <c r="K3626" s="383"/>
      <c r="L3626" s="390"/>
      <c r="M3626" s="978"/>
      <c r="N3626" s="79"/>
      <c r="O3626" s="79"/>
      <c r="P3626" s="79" t="str">
        <f>IF(AND('331-CT'!$E$7=TH!H3626,OR(N3626="331",O3626="331")),"x","")</f>
        <v/>
      </c>
      <c r="Q3626" s="79" t="str">
        <f>IF(AND(B3626='111'!$L$11,OR($N3626=$Q$7,$O3626=$Q$7)),"x","")</f>
        <v/>
      </c>
      <c r="R3626" s="79" t="str">
        <f>IF(AND($N3626=$Q$7,$B3626&lt;'111'!$L$11),"x","")</f>
        <v/>
      </c>
      <c r="S3626" s="79" t="str">
        <f>IF(AND($O3626=$Q$7,$B3626&lt;'111'!$L$11),"x","")</f>
        <v/>
      </c>
      <c r="T3626" s="79" t="str">
        <f>IF(ISERROR(FIND('112'!$M$9,G3626,1)),"",IF((AND(FIND('112'!$M$9,G3626,1)&gt;=1,B3626='112'!$K$9,OR($N3626='112'!$I$6,$O3626='112'!$I$6))),"x",""))</f>
        <v/>
      </c>
      <c r="U3626" s="79" t="str">
        <f>IF(ISERROR(FIND('112'!$M$9,G3626,1)),"",IF((AND(LEFT(G3626,2)=LEFT('112'!$M$9,2),B3626&lt;'112'!$K$9,$N3626='112'!$I$6)),"x",""))</f>
        <v/>
      </c>
      <c r="V3626" s="79" t="str">
        <f>IF(ISERROR(FIND('112'!$M$9,G3626,1)),"",IF((AND(RIGHT(G3626,2)=RIGHT('112'!$M$9,2),B3626&lt;'112'!$K$9,$O3626='112'!$I$6)),"x",""))</f>
        <v/>
      </c>
      <c r="W3626" s="79" t="str">
        <f>IF(AND('341-CT'!$H$9=H3626,OR(LEFT(N3626,3)=$W$7,LEFT(O3626,3)=$W$7)),"x","")</f>
        <v/>
      </c>
      <c r="X3626" s="79" t="str">
        <f>IF(OR(TH!N3626=TH!$X$7,O3626=TH!$X$7),"x","")</f>
        <v/>
      </c>
      <c r="Y3626" s="79" t="str">
        <f>IF(AND(OR(N3626="131",O3626="131"),H3626='131-CT'!$H$9),"x","")</f>
        <v/>
      </c>
      <c r="Z3626" s="79"/>
      <c r="AA3626" s="79" t="str">
        <f>IF(AND(MONTH(E3626)='IN-NX'!$J$5,'IN-NX'!$D$7=D3626),"x","")</f>
        <v/>
      </c>
      <c r="AB3626" s="79" t="str">
        <f>IF(AND(OR(LEFT(TH!N3626,2)="15",LEFT(TH!O3626,2)="15"),LEFT(TH!O3626,3)&lt;&gt;"111",'152-CT'!$J$8=TH!F3626),"x","")</f>
        <v/>
      </c>
      <c r="AC3626" s="79" t="str">
        <f>IF(AND(OR(LEFT(TH!N3626,2)="15",LEFT(TH!O3626,2)="15"),TK!$E$7=TH!F3626),"x","")</f>
        <v/>
      </c>
      <c r="AD3626" s="79" t="str">
        <f>IF(AND(N3626="1521",MONTH(C3626)='BK-NL'!$M$11),"x","")</f>
        <v/>
      </c>
    </row>
    <row r="3627" spans="1:30" ht="16.5" customHeight="1">
      <c r="A3627" s="318" t="str">
        <f>IF(B3627&lt;&gt;"",IF(AND(B3627='IN-TC'!$S$4,OR(TH!N3627="1111",TH!O3627="1111")),TH!D3627,""),"")</f>
        <v/>
      </c>
      <c r="B3627" s="60" t="str">
        <f t="shared" si="407"/>
        <v/>
      </c>
      <c r="C3627" s="75"/>
      <c r="D3627" s="75"/>
      <c r="E3627" s="75"/>
      <c r="F3627" s="76"/>
      <c r="G3627" s="76"/>
      <c r="H3627" s="759"/>
      <c r="I3627" s="383"/>
      <c r="J3627" s="390"/>
      <c r="K3627" s="383"/>
      <c r="L3627" s="390"/>
      <c r="M3627" s="78"/>
      <c r="N3627" s="79"/>
      <c r="O3627" s="979"/>
      <c r="P3627" s="79" t="str">
        <f>IF(AND('331-CT'!$E$7=TH!H3627,OR(N3627="331",O3627="331")),"x","")</f>
        <v/>
      </c>
      <c r="Q3627" s="79" t="str">
        <f>IF(AND(B3627='111'!$L$11,OR($N3627=$Q$7,$O3627=$Q$7)),"x","")</f>
        <v/>
      </c>
      <c r="R3627" s="79" t="str">
        <f>IF(AND($N3627=$Q$7,$B3627&lt;'111'!$L$11),"x","")</f>
        <v/>
      </c>
      <c r="S3627" s="79" t="str">
        <f>IF(AND($O3627=$Q$7,$B3627&lt;'111'!$L$11),"x","")</f>
        <v/>
      </c>
      <c r="T3627" s="79" t="str">
        <f>IF(ISERROR(FIND('112'!$M$9,G3627,1)),"",IF((AND(FIND('112'!$M$9,G3627,1)&gt;=1,B3627='112'!$K$9,OR($N3627='112'!$I$6,$O3627='112'!$I$6))),"x",""))</f>
        <v/>
      </c>
      <c r="U3627" s="79" t="str">
        <f>IF(ISERROR(FIND('112'!$M$9,G3627,1)),"",IF((AND(LEFT(G3627,2)=LEFT('112'!$M$9,2),B3627&lt;'112'!$K$9,$N3627='112'!$I$6)),"x",""))</f>
        <v/>
      </c>
      <c r="V3627" s="79" t="str">
        <f>IF(ISERROR(FIND('112'!$M$9,G3627,1)),"",IF((AND(RIGHT(G3627,2)=RIGHT('112'!$M$9,2),B3627&lt;'112'!$K$9,$O3627='112'!$I$6)),"x",""))</f>
        <v/>
      </c>
      <c r="W3627" s="79" t="str">
        <f>IF(AND('341-CT'!$H$9=H3627,OR(LEFT(N3627,3)=$W$7,LEFT(O3627,3)=$W$7)),"x","")</f>
        <v/>
      </c>
      <c r="X3627" s="79" t="str">
        <f>IF(OR(TH!N3627=TH!$X$7,O3627=TH!$X$7),"x","")</f>
        <v/>
      </c>
      <c r="Y3627" s="79" t="str">
        <f>IF(AND(OR(N3627="131",O3627="131"),H3627='131-CT'!$H$9),"x","")</f>
        <v/>
      </c>
      <c r="Z3627" s="79"/>
      <c r="AA3627" s="79" t="str">
        <f>IF(AND(MONTH(E3627)='IN-NX'!$J$5,'IN-NX'!$D$7=D3627),"x","")</f>
        <v/>
      </c>
      <c r="AB3627" s="79" t="str">
        <f>IF(AND(OR(LEFT(TH!N3627,2)="15",LEFT(TH!O3627,2)="15"),LEFT(TH!O3627,3)&lt;&gt;"111",'152-CT'!$J$8=TH!F3627),"x","")</f>
        <v/>
      </c>
      <c r="AC3627" s="79" t="str">
        <f>IF(AND(OR(LEFT(TH!N3627,2)="15",LEFT(TH!O3627,2)="15"),TK!$E$7=TH!F3627),"x","")</f>
        <v/>
      </c>
      <c r="AD3627" s="79" t="str">
        <f>IF(AND(N3627="1521",MONTH(C3627)='BK-NL'!$M$11),"x","")</f>
        <v/>
      </c>
    </row>
    <row r="3628" spans="1:30" ht="16.5" customHeight="1">
      <c r="A3628" s="318" t="str">
        <f>IF(B3628&lt;&gt;"",IF(AND(B3628='IN-TC'!$S$4,OR(TH!N3628="1111",TH!O3628="1111")),TH!D3628,""),"")</f>
        <v/>
      </c>
      <c r="B3628" s="60" t="str">
        <f t="shared" si="407"/>
        <v/>
      </c>
      <c r="C3628" s="75"/>
      <c r="D3628" s="75"/>
      <c r="E3628" s="75"/>
      <c r="F3628" s="76"/>
      <c r="G3628" s="76"/>
      <c r="H3628" s="759"/>
      <c r="I3628" s="383"/>
      <c r="J3628" s="390"/>
      <c r="K3628" s="383"/>
      <c r="L3628" s="390"/>
      <c r="M3628" s="978"/>
      <c r="N3628" s="79"/>
      <c r="O3628" s="79"/>
      <c r="P3628" s="79" t="str">
        <f>IF(AND('331-CT'!$E$7=TH!H3628,OR(N3628="331",O3628="331")),"x","")</f>
        <v/>
      </c>
      <c r="Q3628" s="79" t="str">
        <f>IF(AND(B3628='111'!$L$11,OR($N3628=$Q$7,$O3628=$Q$7)),"x","")</f>
        <v/>
      </c>
      <c r="R3628" s="79" t="str">
        <f>IF(AND($N3628=$Q$7,$B3628&lt;'111'!$L$11),"x","")</f>
        <v/>
      </c>
      <c r="S3628" s="79" t="str">
        <f>IF(AND($O3628=$Q$7,$B3628&lt;'111'!$L$11),"x","")</f>
        <v/>
      </c>
      <c r="T3628" s="79" t="str">
        <f>IF(ISERROR(FIND('112'!$M$9,G3628,1)),"",IF((AND(FIND('112'!$M$9,G3628,1)&gt;=1,B3628='112'!$K$9,OR($N3628='112'!$I$6,$O3628='112'!$I$6))),"x",""))</f>
        <v/>
      </c>
      <c r="U3628" s="79" t="str">
        <f>IF(ISERROR(FIND('112'!$M$9,G3628,1)),"",IF((AND(LEFT(G3628,2)=LEFT('112'!$M$9,2),B3628&lt;'112'!$K$9,$N3628='112'!$I$6)),"x",""))</f>
        <v/>
      </c>
      <c r="V3628" s="79" t="str">
        <f>IF(ISERROR(FIND('112'!$M$9,G3628,1)),"",IF((AND(RIGHT(G3628,2)=RIGHT('112'!$M$9,2),B3628&lt;'112'!$K$9,$O3628='112'!$I$6)),"x",""))</f>
        <v/>
      </c>
      <c r="W3628" s="79" t="str">
        <f>IF(AND('341-CT'!$H$9=H3628,OR(LEFT(N3628,3)=$W$7,LEFT(O3628,3)=$W$7)),"x","")</f>
        <v/>
      </c>
      <c r="X3628" s="79" t="str">
        <f>IF(OR(TH!N3628=TH!$X$7,O3628=TH!$X$7),"x","")</f>
        <v/>
      </c>
      <c r="Y3628" s="79" t="str">
        <f>IF(AND(OR(N3628="131",O3628="131"),H3628='131-CT'!$H$9),"x","")</f>
        <v/>
      </c>
      <c r="Z3628" s="79"/>
      <c r="AA3628" s="79" t="str">
        <f>IF(AND(MONTH(E3628)='IN-NX'!$J$5,'IN-NX'!$D$7=D3628),"x","")</f>
        <v/>
      </c>
      <c r="AB3628" s="79" t="str">
        <f>IF(AND(OR(LEFT(TH!N3628,2)="15",LEFT(TH!O3628,2)="15"),LEFT(TH!O3628,3)&lt;&gt;"111",'152-CT'!$J$8=TH!F3628),"x","")</f>
        <v/>
      </c>
      <c r="AC3628" s="79" t="str">
        <f>IF(AND(OR(LEFT(TH!N3628,2)="15",LEFT(TH!O3628,2)="15"),TK!$E$7=TH!F3628),"x","")</f>
        <v/>
      </c>
      <c r="AD3628" s="79" t="str">
        <f>IF(AND(N3628="1521",MONTH(C3628)='BK-NL'!$M$11),"x","")</f>
        <v/>
      </c>
    </row>
    <row r="3629" spans="1:30" ht="16.5" customHeight="1">
      <c r="A3629" s="318" t="str">
        <f>IF(B3629&lt;&gt;"",IF(AND(B3629='IN-TC'!$S$4,OR(TH!N3629="1111",TH!O3629="1111")),TH!D3629,""),"")</f>
        <v/>
      </c>
      <c r="B3629" s="60" t="str">
        <f t="shared" si="407"/>
        <v/>
      </c>
      <c r="C3629" s="75"/>
      <c r="D3629" s="75"/>
      <c r="E3629" s="75"/>
      <c r="F3629" s="76"/>
      <c r="G3629" s="76"/>
      <c r="H3629" s="759"/>
      <c r="I3629" s="383"/>
      <c r="J3629" s="390"/>
      <c r="K3629" s="383"/>
      <c r="L3629" s="390"/>
      <c r="M3629" s="978"/>
      <c r="N3629" s="79"/>
      <c r="O3629" s="79"/>
      <c r="P3629" s="79" t="str">
        <f>IF(AND('331-CT'!$E$7=TH!H3629,OR(N3629="331",O3629="331")),"x","")</f>
        <v/>
      </c>
      <c r="Q3629" s="79" t="str">
        <f>IF(AND(B3629='111'!$L$11,OR($N3629=$Q$7,$O3629=$Q$7)),"x","")</f>
        <v/>
      </c>
      <c r="R3629" s="79" t="str">
        <f>IF(AND($N3629=$Q$7,$B3629&lt;'111'!$L$11),"x","")</f>
        <v/>
      </c>
      <c r="S3629" s="79" t="str">
        <f>IF(AND($O3629=$Q$7,$B3629&lt;'111'!$L$11),"x","")</f>
        <v/>
      </c>
      <c r="T3629" s="79" t="str">
        <f>IF(ISERROR(FIND('112'!$M$9,G3629,1)),"",IF((AND(FIND('112'!$M$9,G3629,1)&gt;=1,B3629='112'!$K$9,OR($N3629='112'!$I$6,$O3629='112'!$I$6))),"x",""))</f>
        <v/>
      </c>
      <c r="U3629" s="79" t="str">
        <f>IF(ISERROR(FIND('112'!$M$9,G3629,1)),"",IF((AND(LEFT(G3629,2)=LEFT('112'!$M$9,2),B3629&lt;'112'!$K$9,$N3629='112'!$I$6)),"x",""))</f>
        <v/>
      </c>
      <c r="V3629" s="79" t="str">
        <f>IF(ISERROR(FIND('112'!$M$9,G3629,1)),"",IF((AND(RIGHT(G3629,2)=RIGHT('112'!$M$9,2),B3629&lt;'112'!$K$9,$O3629='112'!$I$6)),"x",""))</f>
        <v/>
      </c>
      <c r="W3629" s="79" t="str">
        <f>IF(AND('341-CT'!$H$9=H3629,OR(LEFT(N3629,3)=$W$7,LEFT(O3629,3)=$W$7)),"x","")</f>
        <v/>
      </c>
      <c r="X3629" s="79" t="str">
        <f>IF(OR(TH!N3629=TH!$X$7,O3629=TH!$X$7),"x","")</f>
        <v/>
      </c>
      <c r="Y3629" s="79" t="str">
        <f>IF(AND(OR(N3629="131",O3629="131"),H3629='131-CT'!$H$9),"x","")</f>
        <v/>
      </c>
      <c r="Z3629" s="79"/>
      <c r="AA3629" s="79" t="str">
        <f>IF(AND(MONTH(E3629)='IN-NX'!$J$5,'IN-NX'!$D$7=D3629),"x","")</f>
        <v/>
      </c>
      <c r="AB3629" s="79" t="str">
        <f>IF(AND(OR(LEFT(TH!N3629,2)="15",LEFT(TH!O3629,2)="15"),LEFT(TH!O3629,3)&lt;&gt;"111",'152-CT'!$J$8=TH!F3629),"x","")</f>
        <v/>
      </c>
      <c r="AC3629" s="79" t="str">
        <f>IF(AND(OR(LEFT(TH!N3629,2)="15",LEFT(TH!O3629,2)="15"),TK!$E$7=TH!F3629),"x","")</f>
        <v/>
      </c>
      <c r="AD3629" s="79" t="str">
        <f>IF(AND(N3629="1521",MONTH(C3629)='BK-NL'!$M$11),"x","")</f>
        <v/>
      </c>
    </row>
    <row r="3630" spans="1:30" ht="16.5" customHeight="1">
      <c r="A3630" s="318" t="str">
        <f>IF(B3630&lt;&gt;"",IF(AND(B3630='IN-TC'!$S$4,OR(TH!N3630="1111",TH!O3630="1111")),TH!D3630,""),"")</f>
        <v/>
      </c>
      <c r="B3630" s="60" t="str">
        <f t="shared" si="407"/>
        <v/>
      </c>
      <c r="C3630" s="75"/>
      <c r="D3630" s="75"/>
      <c r="E3630" s="75"/>
      <c r="F3630" s="76"/>
      <c r="G3630" s="76"/>
      <c r="H3630" s="759"/>
      <c r="I3630" s="383"/>
      <c r="J3630" s="390"/>
      <c r="K3630" s="383"/>
      <c r="L3630" s="390"/>
      <c r="M3630" s="78"/>
      <c r="N3630" s="79"/>
      <c r="O3630" s="979"/>
      <c r="P3630" s="79" t="str">
        <f>IF(AND('331-CT'!$E$7=TH!H3630,OR(N3630="331",O3630="331")),"x","")</f>
        <v/>
      </c>
      <c r="Q3630" s="79" t="str">
        <f>IF(AND(B3630='111'!$L$11,OR($N3630=$Q$7,$O3630=$Q$7)),"x","")</f>
        <v/>
      </c>
      <c r="R3630" s="79" t="str">
        <f>IF(AND($N3630=$Q$7,$B3630&lt;'111'!$L$11),"x","")</f>
        <v/>
      </c>
      <c r="S3630" s="79" t="str">
        <f>IF(AND($O3630=$Q$7,$B3630&lt;'111'!$L$11),"x","")</f>
        <v/>
      </c>
      <c r="T3630" s="79" t="str">
        <f>IF(ISERROR(FIND('112'!$M$9,G3630,1)),"",IF((AND(FIND('112'!$M$9,G3630,1)&gt;=1,B3630='112'!$K$9,OR($N3630='112'!$I$6,$O3630='112'!$I$6))),"x",""))</f>
        <v/>
      </c>
      <c r="U3630" s="79" t="str">
        <f>IF(ISERROR(FIND('112'!$M$9,G3630,1)),"",IF((AND(LEFT(G3630,2)=LEFT('112'!$M$9,2),B3630&lt;'112'!$K$9,$N3630='112'!$I$6)),"x",""))</f>
        <v/>
      </c>
      <c r="V3630" s="79" t="str">
        <f>IF(ISERROR(FIND('112'!$M$9,G3630,1)),"",IF((AND(RIGHT(G3630,2)=RIGHT('112'!$M$9,2),B3630&lt;'112'!$K$9,$O3630='112'!$I$6)),"x",""))</f>
        <v/>
      </c>
      <c r="W3630" s="79" t="str">
        <f>IF(AND('341-CT'!$H$9=H3630,OR(LEFT(N3630,3)=$W$7,LEFT(O3630,3)=$W$7)),"x","")</f>
        <v/>
      </c>
      <c r="X3630" s="79" t="str">
        <f>IF(OR(TH!N3630=TH!$X$7,O3630=TH!$X$7),"x","")</f>
        <v/>
      </c>
      <c r="Y3630" s="79" t="str">
        <f>IF(AND(OR(N3630="131",O3630="131"),H3630='131-CT'!$H$9),"x","")</f>
        <v/>
      </c>
      <c r="Z3630" s="79"/>
      <c r="AA3630" s="79" t="str">
        <f>IF(AND(MONTH(E3630)='IN-NX'!$J$5,'IN-NX'!$D$7=D3630),"x","")</f>
        <v/>
      </c>
      <c r="AB3630" s="79" t="str">
        <f>IF(AND(OR(LEFT(TH!N3630,2)="15",LEFT(TH!O3630,2)="15"),LEFT(TH!O3630,3)&lt;&gt;"111",'152-CT'!$J$8=TH!F3630),"x","")</f>
        <v/>
      </c>
      <c r="AC3630" s="79" t="str">
        <f>IF(AND(OR(LEFT(TH!N3630,2)="15",LEFT(TH!O3630,2)="15"),TK!$E$7=TH!F3630),"x","")</f>
        <v/>
      </c>
      <c r="AD3630" s="79" t="str">
        <f>IF(AND(N3630="1521",MONTH(C3630)='BK-NL'!$M$11),"x","")</f>
        <v/>
      </c>
    </row>
    <row r="3631" spans="1:30" ht="16.5" customHeight="1">
      <c r="A3631" s="318" t="str">
        <f>IF(B3631&lt;&gt;"",IF(AND(B3631='IN-TC'!$S$4,OR(TH!N3631="1111",TH!O3631="1111")),TH!D3631,""),"")</f>
        <v/>
      </c>
      <c r="B3631" s="60" t="str">
        <f t="shared" si="407"/>
        <v/>
      </c>
      <c r="C3631" s="75"/>
      <c r="D3631" s="75"/>
      <c r="E3631" s="75"/>
      <c r="F3631" s="76"/>
      <c r="G3631" s="76"/>
      <c r="H3631" s="759"/>
      <c r="I3631" s="383"/>
      <c r="J3631" s="390"/>
      <c r="K3631" s="383"/>
      <c r="L3631" s="390"/>
      <c r="M3631" s="978"/>
      <c r="N3631" s="79"/>
      <c r="O3631" s="79"/>
      <c r="P3631" s="79" t="str">
        <f>IF(AND('331-CT'!$E$7=TH!H3631,OR(N3631="331",O3631="331")),"x","")</f>
        <v/>
      </c>
      <c r="Q3631" s="79" t="str">
        <f>IF(AND(B3631='111'!$L$11,OR($N3631=$Q$7,$O3631=$Q$7)),"x","")</f>
        <v/>
      </c>
      <c r="R3631" s="79" t="str">
        <f>IF(AND($N3631=$Q$7,$B3631&lt;'111'!$L$11),"x","")</f>
        <v/>
      </c>
      <c r="S3631" s="79" t="str">
        <f>IF(AND($O3631=$Q$7,$B3631&lt;'111'!$L$11),"x","")</f>
        <v/>
      </c>
      <c r="T3631" s="79" t="str">
        <f>IF(ISERROR(FIND('112'!$M$9,G3631,1)),"",IF((AND(FIND('112'!$M$9,G3631,1)&gt;=1,B3631='112'!$K$9,OR($N3631='112'!$I$6,$O3631='112'!$I$6))),"x",""))</f>
        <v/>
      </c>
      <c r="U3631" s="79" t="str">
        <f>IF(ISERROR(FIND('112'!$M$9,G3631,1)),"",IF((AND(LEFT(G3631,2)=LEFT('112'!$M$9,2),B3631&lt;'112'!$K$9,$N3631='112'!$I$6)),"x",""))</f>
        <v/>
      </c>
      <c r="V3631" s="79" t="str">
        <f>IF(ISERROR(FIND('112'!$M$9,G3631,1)),"",IF((AND(RIGHT(G3631,2)=RIGHT('112'!$M$9,2),B3631&lt;'112'!$K$9,$O3631='112'!$I$6)),"x",""))</f>
        <v/>
      </c>
      <c r="W3631" s="79" t="str">
        <f>IF(AND('341-CT'!$H$9=H3631,OR(LEFT(N3631,3)=$W$7,LEFT(O3631,3)=$W$7)),"x","")</f>
        <v/>
      </c>
      <c r="X3631" s="79" t="str">
        <f>IF(OR(TH!N3631=TH!$X$7,O3631=TH!$X$7),"x","")</f>
        <v/>
      </c>
      <c r="Y3631" s="79" t="str">
        <f>IF(AND(OR(N3631="131",O3631="131"),H3631='131-CT'!$H$9),"x","")</f>
        <v/>
      </c>
      <c r="Z3631" s="79"/>
      <c r="AA3631" s="79" t="str">
        <f>IF(AND(MONTH(E3631)='IN-NX'!$J$5,'IN-NX'!$D$7=D3631),"x","")</f>
        <v/>
      </c>
      <c r="AB3631" s="79" t="str">
        <f>IF(AND(OR(LEFT(TH!N3631,2)="15",LEFT(TH!O3631,2)="15"),LEFT(TH!O3631,3)&lt;&gt;"111",'152-CT'!$J$8=TH!F3631),"x","")</f>
        <v/>
      </c>
      <c r="AC3631" s="79" t="str">
        <f>IF(AND(OR(LEFT(TH!N3631,2)="15",LEFT(TH!O3631,2)="15"),TK!$E$7=TH!F3631),"x","")</f>
        <v/>
      </c>
      <c r="AD3631" s="79" t="str">
        <f>IF(AND(N3631="1521",MONTH(C3631)='BK-NL'!$M$11),"x","")</f>
        <v/>
      </c>
    </row>
    <row r="3632" spans="1:30" ht="16.5" customHeight="1">
      <c r="A3632" s="318" t="str">
        <f>IF(B3632&lt;&gt;"",IF(AND(B3632='IN-TC'!$S$4,OR(TH!N3632="1111",TH!O3632="1111")),TH!D3632,""),"")</f>
        <v/>
      </c>
      <c r="B3632" s="60" t="str">
        <f t="shared" si="407"/>
        <v/>
      </c>
      <c r="C3632" s="75"/>
      <c r="D3632" s="75"/>
      <c r="E3632" s="75"/>
      <c r="F3632" s="76"/>
      <c r="G3632" s="76"/>
      <c r="H3632" s="759"/>
      <c r="I3632" s="383"/>
      <c r="J3632" s="390"/>
      <c r="K3632" s="383"/>
      <c r="L3632" s="390"/>
      <c r="M3632" s="978"/>
      <c r="N3632" s="79"/>
      <c r="O3632" s="79"/>
      <c r="P3632" s="79" t="str">
        <f>IF(AND('331-CT'!$E$7=TH!H3632,OR(N3632="331",O3632="331")),"x","")</f>
        <v/>
      </c>
      <c r="Q3632" s="79" t="str">
        <f>IF(AND(B3632='111'!$L$11,OR($N3632=$Q$7,$O3632=$Q$7)),"x","")</f>
        <v/>
      </c>
      <c r="R3632" s="79" t="str">
        <f>IF(AND($N3632=$Q$7,$B3632&lt;'111'!$L$11),"x","")</f>
        <v/>
      </c>
      <c r="S3632" s="79" t="str">
        <f>IF(AND($O3632=$Q$7,$B3632&lt;'111'!$L$11),"x","")</f>
        <v/>
      </c>
      <c r="T3632" s="79" t="str">
        <f>IF(ISERROR(FIND('112'!$M$9,G3632,1)),"",IF((AND(FIND('112'!$M$9,G3632,1)&gt;=1,B3632='112'!$K$9,OR($N3632='112'!$I$6,$O3632='112'!$I$6))),"x",""))</f>
        <v/>
      </c>
      <c r="U3632" s="79" t="str">
        <f>IF(ISERROR(FIND('112'!$M$9,G3632,1)),"",IF((AND(LEFT(G3632,2)=LEFT('112'!$M$9,2),B3632&lt;'112'!$K$9,$N3632='112'!$I$6)),"x",""))</f>
        <v/>
      </c>
      <c r="V3632" s="79" t="str">
        <f>IF(ISERROR(FIND('112'!$M$9,G3632,1)),"",IF((AND(RIGHT(G3632,2)=RIGHT('112'!$M$9,2),B3632&lt;'112'!$K$9,$O3632='112'!$I$6)),"x",""))</f>
        <v/>
      </c>
      <c r="W3632" s="79" t="str">
        <f>IF(AND('341-CT'!$H$9=H3632,OR(LEFT(N3632,3)=$W$7,LEFT(O3632,3)=$W$7)),"x","")</f>
        <v/>
      </c>
      <c r="X3632" s="79" t="str">
        <f>IF(OR(TH!N3632=TH!$X$7,O3632=TH!$X$7),"x","")</f>
        <v/>
      </c>
      <c r="Y3632" s="79" t="str">
        <f>IF(AND(OR(N3632="131",O3632="131"),H3632='131-CT'!$H$9),"x","")</f>
        <v/>
      </c>
      <c r="Z3632" s="79"/>
      <c r="AA3632" s="79" t="str">
        <f>IF(AND(MONTH(E3632)='IN-NX'!$J$5,'IN-NX'!$D$7=D3632),"x","")</f>
        <v/>
      </c>
      <c r="AB3632" s="79" t="str">
        <f>IF(AND(OR(LEFT(TH!N3632,2)="15",LEFT(TH!O3632,2)="15"),LEFT(TH!O3632,3)&lt;&gt;"111",'152-CT'!$J$8=TH!F3632),"x","")</f>
        <v/>
      </c>
      <c r="AC3632" s="79" t="str">
        <f>IF(AND(OR(LEFT(TH!N3632,2)="15",LEFT(TH!O3632,2)="15"),TK!$E$7=TH!F3632),"x","")</f>
        <v/>
      </c>
      <c r="AD3632" s="79" t="str">
        <f>IF(AND(N3632="1521",MONTH(C3632)='BK-NL'!$M$11),"x","")</f>
        <v/>
      </c>
    </row>
    <row r="3633" spans="1:30" ht="16.5" customHeight="1">
      <c r="A3633" s="318" t="str">
        <f>IF(B3633&lt;&gt;"",IF(AND(B3633='IN-TC'!$S$4,OR(TH!N3633="1111",TH!O3633="1111")),TH!D3633,""),"")</f>
        <v/>
      </c>
      <c r="B3633" s="60" t="str">
        <f t="shared" si="407"/>
        <v/>
      </c>
      <c r="C3633" s="75"/>
      <c r="D3633" s="75"/>
      <c r="E3633" s="75"/>
      <c r="F3633" s="76"/>
      <c r="G3633" s="76"/>
      <c r="H3633" s="759"/>
      <c r="I3633" s="383"/>
      <c r="J3633" s="390"/>
      <c r="K3633" s="383"/>
      <c r="L3633" s="390"/>
      <c r="M3633" s="78"/>
      <c r="N3633" s="79"/>
      <c r="O3633" s="979"/>
      <c r="P3633" s="79" t="str">
        <f>IF(AND('331-CT'!$E$7=TH!H3633,OR(N3633="331",O3633="331")),"x","")</f>
        <v/>
      </c>
      <c r="Q3633" s="79" t="str">
        <f>IF(AND(B3633='111'!$L$11,OR($N3633=$Q$7,$O3633=$Q$7)),"x","")</f>
        <v/>
      </c>
      <c r="R3633" s="79" t="str">
        <f>IF(AND($N3633=$Q$7,$B3633&lt;'111'!$L$11),"x","")</f>
        <v/>
      </c>
      <c r="S3633" s="79" t="str">
        <f>IF(AND($O3633=$Q$7,$B3633&lt;'111'!$L$11),"x","")</f>
        <v/>
      </c>
      <c r="T3633" s="79" t="str">
        <f>IF(ISERROR(FIND('112'!$M$9,G3633,1)),"",IF((AND(FIND('112'!$M$9,G3633,1)&gt;=1,B3633='112'!$K$9,OR($N3633='112'!$I$6,$O3633='112'!$I$6))),"x",""))</f>
        <v/>
      </c>
      <c r="U3633" s="79" t="str">
        <f>IF(ISERROR(FIND('112'!$M$9,G3633,1)),"",IF((AND(LEFT(G3633,2)=LEFT('112'!$M$9,2),B3633&lt;'112'!$K$9,$N3633='112'!$I$6)),"x",""))</f>
        <v/>
      </c>
      <c r="V3633" s="79" t="str">
        <f>IF(ISERROR(FIND('112'!$M$9,G3633,1)),"",IF((AND(RIGHT(G3633,2)=RIGHT('112'!$M$9,2),B3633&lt;'112'!$K$9,$O3633='112'!$I$6)),"x",""))</f>
        <v/>
      </c>
      <c r="W3633" s="79" t="str">
        <f>IF(AND('341-CT'!$H$9=H3633,OR(LEFT(N3633,3)=$W$7,LEFT(O3633,3)=$W$7)),"x","")</f>
        <v/>
      </c>
      <c r="X3633" s="79" t="str">
        <f>IF(OR(TH!N3633=TH!$X$7,O3633=TH!$X$7),"x","")</f>
        <v/>
      </c>
      <c r="Y3633" s="79" t="str">
        <f>IF(AND(OR(N3633="131",O3633="131"),H3633='131-CT'!$H$9),"x","")</f>
        <v/>
      </c>
      <c r="Z3633" s="79"/>
      <c r="AA3633" s="79" t="str">
        <f>IF(AND(MONTH(E3633)='IN-NX'!$J$5,'IN-NX'!$D$7=D3633),"x","")</f>
        <v/>
      </c>
      <c r="AB3633" s="79" t="str">
        <f>IF(AND(OR(LEFT(TH!N3633,2)="15",LEFT(TH!O3633,2)="15"),LEFT(TH!O3633,3)&lt;&gt;"111",'152-CT'!$J$8=TH!F3633),"x","")</f>
        <v/>
      </c>
      <c r="AC3633" s="79" t="str">
        <f>IF(AND(OR(LEFT(TH!N3633,2)="15",LEFT(TH!O3633,2)="15"),TK!$E$7=TH!F3633),"x","")</f>
        <v/>
      </c>
      <c r="AD3633" s="79" t="str">
        <f>IF(AND(N3633="1521",MONTH(C3633)='BK-NL'!$M$11),"x","")</f>
        <v/>
      </c>
    </row>
    <row r="3634" spans="1:30" ht="16.5" customHeight="1">
      <c r="A3634" s="318" t="str">
        <f>IF(B3634&lt;&gt;"",IF(AND(B3634='IN-TC'!$S$4,OR(TH!N3634="1111",TH!O3634="1111")),TH!D3634,""),"")</f>
        <v/>
      </c>
      <c r="B3634" s="60" t="str">
        <f t="shared" si="407"/>
        <v/>
      </c>
      <c r="C3634" s="75"/>
      <c r="D3634" s="75"/>
      <c r="E3634" s="75"/>
      <c r="F3634" s="76"/>
      <c r="G3634" s="76"/>
      <c r="H3634" s="759"/>
      <c r="I3634" s="383"/>
      <c r="J3634" s="390"/>
      <c r="K3634" s="383"/>
      <c r="L3634" s="390"/>
      <c r="M3634" s="978"/>
      <c r="N3634" s="79"/>
      <c r="O3634" s="979"/>
      <c r="P3634" s="79" t="str">
        <f>IF(AND('331-CT'!$E$7=TH!H3634,OR(N3634="331",O3634="331")),"x","")</f>
        <v/>
      </c>
      <c r="Q3634" s="79" t="str">
        <f>IF(AND(B3634='111'!$L$11,OR($N3634=$Q$7,$O3634=$Q$7)),"x","")</f>
        <v/>
      </c>
      <c r="R3634" s="79" t="str">
        <f>IF(AND($N3634=$Q$7,$B3634&lt;'111'!$L$11),"x","")</f>
        <v/>
      </c>
      <c r="S3634" s="79" t="str">
        <f>IF(AND($O3634=$Q$7,$B3634&lt;'111'!$L$11),"x","")</f>
        <v/>
      </c>
      <c r="T3634" s="79" t="str">
        <f>IF(ISERROR(FIND('112'!$M$9,G3634,1)),"",IF((AND(FIND('112'!$M$9,G3634,1)&gt;=1,B3634='112'!$K$9,OR($N3634='112'!$I$6,$O3634='112'!$I$6))),"x",""))</f>
        <v/>
      </c>
      <c r="U3634" s="79" t="str">
        <f>IF(ISERROR(FIND('112'!$M$9,G3634,1)),"",IF((AND(LEFT(G3634,2)=LEFT('112'!$M$9,2),B3634&lt;'112'!$K$9,$N3634='112'!$I$6)),"x",""))</f>
        <v/>
      </c>
      <c r="V3634" s="79" t="str">
        <f>IF(ISERROR(FIND('112'!$M$9,G3634,1)),"",IF((AND(RIGHT(G3634,2)=RIGHT('112'!$M$9,2),B3634&lt;'112'!$K$9,$O3634='112'!$I$6)),"x",""))</f>
        <v/>
      </c>
      <c r="W3634" s="79" t="str">
        <f>IF(AND('341-CT'!$H$9=H3634,OR(LEFT(N3634,3)=$W$7,LEFT(O3634,3)=$W$7)),"x","")</f>
        <v/>
      </c>
      <c r="X3634" s="79" t="str">
        <f>IF(OR(TH!N3634=TH!$X$7,O3634=TH!$X$7),"x","")</f>
        <v/>
      </c>
      <c r="Y3634" s="79" t="str">
        <f>IF(AND(OR(N3634="131",O3634="131"),H3634='131-CT'!$H$9),"x","")</f>
        <v/>
      </c>
      <c r="Z3634" s="79"/>
      <c r="AA3634" s="79" t="str">
        <f>IF(AND(MONTH(E3634)='IN-NX'!$J$5,'IN-NX'!$D$7=D3634),"x","")</f>
        <v/>
      </c>
      <c r="AB3634" s="79" t="str">
        <f>IF(AND(OR(LEFT(TH!N3634,2)="15",LEFT(TH!O3634,2)="15"),LEFT(TH!O3634,3)&lt;&gt;"111",'152-CT'!$J$8=TH!F3634),"x","")</f>
        <v/>
      </c>
      <c r="AC3634" s="79" t="str">
        <f>IF(AND(OR(LEFT(TH!N3634,2)="15",LEFT(TH!O3634,2)="15"),TK!$E$7=TH!F3634),"x","")</f>
        <v/>
      </c>
      <c r="AD3634" s="79" t="str">
        <f>IF(AND(N3634="1521",MONTH(C3634)='BK-NL'!$M$11),"x","")</f>
        <v/>
      </c>
    </row>
    <row r="3635" spans="1:30" ht="16.5" customHeight="1">
      <c r="A3635" s="318" t="str">
        <f>IF(B3635&lt;&gt;"",IF(AND(B3635='IN-TC'!$S$4,OR(TH!N3635="1111",TH!O3635="1111")),TH!D3635,""),"")</f>
        <v/>
      </c>
      <c r="B3635" s="60" t="str">
        <f t="shared" si="407"/>
        <v/>
      </c>
      <c r="C3635" s="75"/>
      <c r="D3635" s="75"/>
      <c r="E3635" s="75"/>
      <c r="F3635" s="76"/>
      <c r="G3635" s="76"/>
      <c r="H3635" s="759"/>
      <c r="I3635" s="383"/>
      <c r="J3635" s="390"/>
      <c r="K3635" s="383"/>
      <c r="L3635" s="390"/>
      <c r="M3635" s="978"/>
      <c r="N3635" s="79"/>
      <c r="O3635" s="979"/>
      <c r="P3635" s="79" t="str">
        <f>IF(AND('331-CT'!$E$7=TH!H3635,OR(N3635="331",O3635="331")),"x","")</f>
        <v/>
      </c>
      <c r="Q3635" s="79" t="str">
        <f>IF(AND(B3635='111'!$L$11,OR($N3635=$Q$7,$O3635=$Q$7)),"x","")</f>
        <v/>
      </c>
      <c r="R3635" s="79" t="str">
        <f>IF(AND($N3635=$Q$7,$B3635&lt;'111'!$L$11),"x","")</f>
        <v/>
      </c>
      <c r="S3635" s="79" t="str">
        <f>IF(AND($O3635=$Q$7,$B3635&lt;'111'!$L$11),"x","")</f>
        <v/>
      </c>
      <c r="T3635" s="79" t="str">
        <f>IF(ISERROR(FIND('112'!$M$9,G3635,1)),"",IF((AND(FIND('112'!$M$9,G3635,1)&gt;=1,B3635='112'!$K$9,OR($N3635='112'!$I$6,$O3635='112'!$I$6))),"x",""))</f>
        <v/>
      </c>
      <c r="U3635" s="79" t="str">
        <f>IF(ISERROR(FIND('112'!$M$9,G3635,1)),"",IF((AND(LEFT(G3635,2)=LEFT('112'!$M$9,2),B3635&lt;'112'!$K$9,$N3635='112'!$I$6)),"x",""))</f>
        <v/>
      </c>
      <c r="V3635" s="79" t="str">
        <f>IF(ISERROR(FIND('112'!$M$9,G3635,1)),"",IF((AND(RIGHT(G3635,2)=RIGHT('112'!$M$9,2),B3635&lt;'112'!$K$9,$O3635='112'!$I$6)),"x",""))</f>
        <v/>
      </c>
      <c r="W3635" s="79" t="str">
        <f>IF(AND('341-CT'!$H$9=H3635,OR(LEFT(N3635,3)=$W$7,LEFT(O3635,3)=$W$7)),"x","")</f>
        <v/>
      </c>
      <c r="X3635" s="79" t="str">
        <f>IF(OR(TH!N3635=TH!$X$7,O3635=TH!$X$7),"x","")</f>
        <v/>
      </c>
      <c r="Y3635" s="79" t="str">
        <f>IF(AND(OR(N3635="131",O3635="131"),H3635='131-CT'!$H$9),"x","")</f>
        <v/>
      </c>
      <c r="Z3635" s="79"/>
      <c r="AA3635" s="79" t="str">
        <f>IF(AND(MONTH(E3635)='IN-NX'!$J$5,'IN-NX'!$D$7=D3635),"x","")</f>
        <v/>
      </c>
      <c r="AB3635" s="79" t="str">
        <f>IF(AND(OR(LEFT(TH!N3635,2)="15",LEFT(TH!O3635,2)="15"),LEFT(TH!O3635,3)&lt;&gt;"111",'152-CT'!$J$8=TH!F3635),"x","")</f>
        <v/>
      </c>
      <c r="AC3635" s="79" t="str">
        <f>IF(AND(OR(LEFT(TH!N3635,2)="15",LEFT(TH!O3635,2)="15"),TK!$E$7=TH!F3635),"x","")</f>
        <v/>
      </c>
      <c r="AD3635" s="79" t="str">
        <f>IF(AND(N3635="1521",MONTH(C3635)='BK-NL'!$M$11),"x","")</f>
        <v/>
      </c>
    </row>
    <row r="3636" spans="1:30" ht="16.5" customHeight="1">
      <c r="A3636" s="318" t="str">
        <f>IF(B3636&lt;&gt;"",IF(AND(B3636='IN-TC'!$S$4,OR(TH!N3636="1111",TH!O3636="1111")),TH!D3636,""),"")</f>
        <v/>
      </c>
      <c r="B3636" s="60" t="str">
        <f t="shared" si="407"/>
        <v/>
      </c>
      <c r="C3636" s="75"/>
      <c r="D3636" s="75"/>
      <c r="E3636" s="75"/>
      <c r="F3636" s="76"/>
      <c r="G3636" s="76"/>
      <c r="H3636" s="759"/>
      <c r="I3636" s="383"/>
      <c r="J3636" s="390"/>
      <c r="K3636" s="383"/>
      <c r="L3636" s="390"/>
      <c r="M3636" s="78"/>
      <c r="N3636" s="79"/>
      <c r="O3636" s="79"/>
      <c r="P3636" s="79" t="str">
        <f>IF(AND('331-CT'!$E$7=TH!H3636,OR(N3636="331",O3636="331")),"x","")</f>
        <v/>
      </c>
      <c r="Q3636" s="79" t="str">
        <f>IF(AND(B3636='111'!$L$11,OR($N3636=$Q$7,$O3636=$Q$7)),"x","")</f>
        <v/>
      </c>
      <c r="R3636" s="79" t="str">
        <f>IF(AND($N3636=$Q$7,$B3636&lt;'111'!$L$11),"x","")</f>
        <v/>
      </c>
      <c r="S3636" s="79" t="str">
        <f>IF(AND($O3636=$Q$7,$B3636&lt;'111'!$L$11),"x","")</f>
        <v/>
      </c>
      <c r="T3636" s="79" t="str">
        <f>IF(ISERROR(FIND('112'!$M$9,G3636,1)),"",IF((AND(FIND('112'!$M$9,G3636,1)&gt;=1,B3636='112'!$K$9,OR($N3636='112'!$I$6,$O3636='112'!$I$6))),"x",""))</f>
        <v/>
      </c>
      <c r="U3636" s="79" t="str">
        <f>IF(ISERROR(FIND('112'!$M$9,G3636,1)),"",IF((AND(LEFT(G3636,2)=LEFT('112'!$M$9,2),B3636&lt;'112'!$K$9,$N3636='112'!$I$6)),"x",""))</f>
        <v/>
      </c>
      <c r="V3636" s="79" t="str">
        <f>IF(ISERROR(FIND('112'!$M$9,G3636,1)),"",IF((AND(RIGHT(G3636,2)=RIGHT('112'!$M$9,2),B3636&lt;'112'!$K$9,$O3636='112'!$I$6)),"x",""))</f>
        <v/>
      </c>
      <c r="W3636" s="79" t="str">
        <f>IF(AND('341-CT'!$H$9=H3636,OR(LEFT(N3636,3)=$W$7,LEFT(O3636,3)=$W$7)),"x","")</f>
        <v/>
      </c>
      <c r="X3636" s="79" t="str">
        <f>IF(OR(TH!N3636=TH!$X$7,O3636=TH!$X$7),"x","")</f>
        <v/>
      </c>
      <c r="Y3636" s="79" t="str">
        <f>IF(AND(OR(N3636="131",O3636="131"),H3636='131-CT'!$H$9),"x","")</f>
        <v/>
      </c>
      <c r="Z3636" s="79"/>
      <c r="AA3636" s="79" t="str">
        <f>IF(AND(MONTH(E3636)='IN-NX'!$J$5,'IN-NX'!$D$7=D3636),"x","")</f>
        <v/>
      </c>
      <c r="AB3636" s="79" t="str">
        <f>IF(AND(OR(LEFT(TH!N3636,2)="15",LEFT(TH!O3636,2)="15"),LEFT(TH!O3636,3)&lt;&gt;"111",'152-CT'!$J$8=TH!F3636),"x","")</f>
        <v/>
      </c>
      <c r="AC3636" s="79" t="str">
        <f>IF(AND(OR(LEFT(TH!N3636,2)="15",LEFT(TH!O3636,2)="15"),TK!$E$7=TH!F3636),"x","")</f>
        <v/>
      </c>
      <c r="AD3636" s="79" t="str">
        <f>IF(AND(N3636="1521",MONTH(C3636)='BK-NL'!$M$11),"x","")</f>
        <v/>
      </c>
    </row>
    <row r="3637" spans="1:30" ht="16.5" customHeight="1">
      <c r="A3637" s="318" t="str">
        <f>IF(B3637&lt;&gt;"",IF(AND(B3637='IN-TC'!$S$4,OR(TH!N3637="1111",TH!O3637="1111")),TH!D3637,""),"")</f>
        <v/>
      </c>
      <c r="B3637" s="60" t="str">
        <f t="shared" si="407"/>
        <v/>
      </c>
      <c r="C3637" s="75"/>
      <c r="D3637" s="75"/>
      <c r="E3637" s="75"/>
      <c r="F3637" s="76"/>
      <c r="G3637" s="76"/>
      <c r="H3637" s="759"/>
      <c r="I3637" s="383"/>
      <c r="J3637" s="390"/>
      <c r="K3637" s="383"/>
      <c r="L3637" s="390"/>
      <c r="M3637" s="978"/>
      <c r="N3637" s="79"/>
      <c r="O3637" s="979"/>
      <c r="P3637" s="79" t="str">
        <f>IF(AND('331-CT'!$E$7=TH!H3637,OR(N3637="331",O3637="331")),"x","")</f>
        <v/>
      </c>
      <c r="Q3637" s="79" t="str">
        <f>IF(AND(B3637='111'!$L$11,OR($N3637=$Q$7,$O3637=$Q$7)),"x","")</f>
        <v/>
      </c>
      <c r="R3637" s="79" t="str">
        <f>IF(AND($N3637=$Q$7,$B3637&lt;'111'!$L$11),"x","")</f>
        <v/>
      </c>
      <c r="S3637" s="79" t="str">
        <f>IF(AND($O3637=$Q$7,$B3637&lt;'111'!$L$11),"x","")</f>
        <v/>
      </c>
      <c r="T3637" s="79" t="str">
        <f>IF(ISERROR(FIND('112'!$M$9,G3637,1)),"",IF((AND(FIND('112'!$M$9,G3637,1)&gt;=1,B3637='112'!$K$9,OR($N3637='112'!$I$6,$O3637='112'!$I$6))),"x",""))</f>
        <v/>
      </c>
      <c r="U3637" s="79" t="str">
        <f>IF(ISERROR(FIND('112'!$M$9,G3637,1)),"",IF((AND(LEFT(G3637,2)=LEFT('112'!$M$9,2),B3637&lt;'112'!$K$9,$N3637='112'!$I$6)),"x",""))</f>
        <v/>
      </c>
      <c r="V3637" s="79" t="str">
        <f>IF(ISERROR(FIND('112'!$M$9,G3637,1)),"",IF((AND(RIGHT(G3637,2)=RIGHT('112'!$M$9,2),B3637&lt;'112'!$K$9,$O3637='112'!$I$6)),"x",""))</f>
        <v/>
      </c>
      <c r="W3637" s="79" t="str">
        <f>IF(AND('341-CT'!$H$9=H3637,OR(LEFT(N3637,3)=$W$7,LEFT(O3637,3)=$W$7)),"x","")</f>
        <v/>
      </c>
      <c r="X3637" s="79" t="str">
        <f>IF(OR(TH!N3637=TH!$X$7,O3637=TH!$X$7),"x","")</f>
        <v/>
      </c>
      <c r="Y3637" s="79" t="str">
        <f>IF(AND(OR(N3637="131",O3637="131"),H3637='131-CT'!$H$9),"x","")</f>
        <v/>
      </c>
      <c r="Z3637" s="79"/>
      <c r="AA3637" s="79" t="str">
        <f>IF(AND(MONTH(E3637)='IN-NX'!$J$5,'IN-NX'!$D$7=D3637),"x","")</f>
        <v/>
      </c>
      <c r="AB3637" s="79" t="str">
        <f>IF(AND(OR(LEFT(TH!N3637,2)="15",LEFT(TH!O3637,2)="15"),LEFT(TH!O3637,3)&lt;&gt;"111",'152-CT'!$J$8=TH!F3637),"x","")</f>
        <v/>
      </c>
      <c r="AC3637" s="79" t="str">
        <f>IF(AND(OR(LEFT(TH!N3637,2)="15",LEFT(TH!O3637,2)="15"),TK!$E$7=TH!F3637),"x","")</f>
        <v/>
      </c>
      <c r="AD3637" s="79" t="str">
        <f>IF(AND(N3637="1521",MONTH(C3637)='BK-NL'!$M$11),"x","")</f>
        <v/>
      </c>
    </row>
    <row r="3638" spans="1:30" ht="16.5" customHeight="1">
      <c r="A3638" s="318" t="str">
        <f>IF(B3638&lt;&gt;"",IF(AND(B3638='IN-TC'!$S$4,OR(TH!N3638="1111",TH!O3638="1111")),TH!D3638,""),"")</f>
        <v/>
      </c>
      <c r="B3638" s="60" t="str">
        <f t="shared" si="407"/>
        <v/>
      </c>
      <c r="C3638" s="75"/>
      <c r="D3638" s="75"/>
      <c r="E3638" s="75"/>
      <c r="F3638" s="76"/>
      <c r="G3638" s="76"/>
      <c r="H3638" s="759"/>
      <c r="I3638" s="383"/>
      <c r="J3638" s="390"/>
      <c r="K3638" s="383"/>
      <c r="L3638" s="390"/>
      <c r="M3638" s="978"/>
      <c r="N3638" s="79"/>
      <c r="O3638" s="979"/>
      <c r="P3638" s="79" t="str">
        <f>IF(AND('331-CT'!$E$7=TH!H3638,OR(N3638="331",O3638="331")),"x","")</f>
        <v/>
      </c>
      <c r="Q3638" s="79" t="str">
        <f>IF(AND(B3638='111'!$L$11,OR($N3638=$Q$7,$O3638=$Q$7)),"x","")</f>
        <v/>
      </c>
      <c r="R3638" s="79" t="str">
        <f>IF(AND($N3638=$Q$7,$B3638&lt;'111'!$L$11),"x","")</f>
        <v/>
      </c>
      <c r="S3638" s="79" t="str">
        <f>IF(AND($O3638=$Q$7,$B3638&lt;'111'!$L$11),"x","")</f>
        <v/>
      </c>
      <c r="T3638" s="79" t="str">
        <f>IF(ISERROR(FIND('112'!$M$9,G3638,1)),"",IF((AND(FIND('112'!$M$9,G3638,1)&gt;=1,B3638='112'!$K$9,OR($N3638='112'!$I$6,$O3638='112'!$I$6))),"x",""))</f>
        <v/>
      </c>
      <c r="U3638" s="79" t="str">
        <f>IF(ISERROR(FIND('112'!$M$9,G3638,1)),"",IF((AND(LEFT(G3638,2)=LEFT('112'!$M$9,2),B3638&lt;'112'!$K$9,$N3638='112'!$I$6)),"x",""))</f>
        <v/>
      </c>
      <c r="V3638" s="79" t="str">
        <f>IF(ISERROR(FIND('112'!$M$9,G3638,1)),"",IF((AND(RIGHT(G3638,2)=RIGHT('112'!$M$9,2),B3638&lt;'112'!$K$9,$O3638='112'!$I$6)),"x",""))</f>
        <v/>
      </c>
      <c r="W3638" s="79" t="str">
        <f>IF(AND('341-CT'!$H$9=H3638,OR(LEFT(N3638,3)=$W$7,LEFT(O3638,3)=$W$7)),"x","")</f>
        <v/>
      </c>
      <c r="X3638" s="79" t="str">
        <f>IF(OR(TH!N3638=TH!$X$7,O3638=TH!$X$7),"x","")</f>
        <v/>
      </c>
      <c r="Y3638" s="79" t="str">
        <f>IF(AND(OR(N3638="131",O3638="131"),H3638='131-CT'!$H$9),"x","")</f>
        <v/>
      </c>
      <c r="Z3638" s="79"/>
      <c r="AA3638" s="79" t="str">
        <f>IF(AND(MONTH(E3638)='IN-NX'!$J$5,'IN-NX'!$D$7=D3638),"x","")</f>
        <v/>
      </c>
      <c r="AB3638" s="79" t="str">
        <f>IF(AND(OR(LEFT(TH!N3638,2)="15",LEFT(TH!O3638,2)="15"),LEFT(TH!O3638,3)&lt;&gt;"111",'152-CT'!$J$8=TH!F3638),"x","")</f>
        <v/>
      </c>
      <c r="AC3638" s="79" t="str">
        <f>IF(AND(OR(LEFT(TH!N3638,2)="15",LEFT(TH!O3638,2)="15"),TK!$E$7=TH!F3638),"x","")</f>
        <v/>
      </c>
      <c r="AD3638" s="79" t="str">
        <f>IF(AND(N3638="1521",MONTH(C3638)='BK-NL'!$M$11),"x","")</f>
        <v/>
      </c>
    </row>
    <row r="3639" spans="1:30" ht="16.5" customHeight="1">
      <c r="A3639" s="318" t="str">
        <f>IF(B3639&lt;&gt;"",IF(AND(B3639='IN-TC'!$S$4,OR(TH!N3639="1111",TH!O3639="1111")),TH!D3639,""),"")</f>
        <v/>
      </c>
      <c r="B3639" s="60" t="str">
        <f t="shared" si="407"/>
        <v/>
      </c>
      <c r="C3639" s="75"/>
      <c r="D3639" s="75"/>
      <c r="E3639" s="75"/>
      <c r="F3639" s="76"/>
      <c r="G3639" s="76"/>
      <c r="H3639" s="759"/>
      <c r="I3639" s="383"/>
      <c r="J3639" s="390"/>
      <c r="K3639" s="383"/>
      <c r="L3639" s="390"/>
      <c r="M3639" s="78"/>
      <c r="N3639" s="79"/>
      <c r="O3639" s="79"/>
      <c r="P3639" s="79" t="str">
        <f>IF(AND('331-CT'!$E$7=TH!H3639,OR(N3639="331",O3639="331")),"x","")</f>
        <v/>
      </c>
      <c r="Q3639" s="79" t="str">
        <f>IF(AND(B3639='111'!$L$11,OR($N3639=$Q$7,$O3639=$Q$7)),"x","")</f>
        <v/>
      </c>
      <c r="R3639" s="79" t="str">
        <f>IF(AND($N3639=$Q$7,$B3639&lt;'111'!$L$11),"x","")</f>
        <v/>
      </c>
      <c r="S3639" s="79" t="str">
        <f>IF(AND($O3639=$Q$7,$B3639&lt;'111'!$L$11),"x","")</f>
        <v/>
      </c>
      <c r="T3639" s="79" t="str">
        <f>IF(ISERROR(FIND('112'!$M$9,G3639,1)),"",IF((AND(FIND('112'!$M$9,G3639,1)&gt;=1,B3639='112'!$K$9,OR($N3639='112'!$I$6,$O3639='112'!$I$6))),"x",""))</f>
        <v/>
      </c>
      <c r="U3639" s="79" t="str">
        <f>IF(ISERROR(FIND('112'!$M$9,G3639,1)),"",IF((AND(LEFT(G3639,2)=LEFT('112'!$M$9,2),B3639&lt;'112'!$K$9,$N3639='112'!$I$6)),"x",""))</f>
        <v/>
      </c>
      <c r="V3639" s="79" t="str">
        <f>IF(ISERROR(FIND('112'!$M$9,G3639,1)),"",IF((AND(RIGHT(G3639,2)=RIGHT('112'!$M$9,2),B3639&lt;'112'!$K$9,$O3639='112'!$I$6)),"x",""))</f>
        <v/>
      </c>
      <c r="W3639" s="79" t="str">
        <f>IF(AND('341-CT'!$H$9=H3639,OR(LEFT(N3639,3)=$W$7,LEFT(O3639,3)=$W$7)),"x","")</f>
        <v/>
      </c>
      <c r="X3639" s="79" t="str">
        <f>IF(OR(TH!N3639=TH!$X$7,O3639=TH!$X$7),"x","")</f>
        <v/>
      </c>
      <c r="Y3639" s="79" t="str">
        <f>IF(AND(OR(N3639="131",O3639="131"),H3639='131-CT'!$H$9),"x","")</f>
        <v/>
      </c>
      <c r="Z3639" s="79"/>
      <c r="AA3639" s="79" t="str">
        <f>IF(AND(MONTH(E3639)='IN-NX'!$J$5,'IN-NX'!$D$7=D3639),"x","")</f>
        <v/>
      </c>
      <c r="AB3639" s="79" t="str">
        <f>IF(AND(OR(LEFT(TH!N3639,2)="15",LEFT(TH!O3639,2)="15"),LEFT(TH!O3639,3)&lt;&gt;"111",'152-CT'!$J$8=TH!F3639),"x","")</f>
        <v/>
      </c>
      <c r="AC3639" s="79" t="str">
        <f>IF(AND(OR(LEFT(TH!N3639,2)="15",LEFT(TH!O3639,2)="15"),TK!$E$7=TH!F3639),"x","")</f>
        <v/>
      </c>
      <c r="AD3639" s="79" t="str">
        <f>IF(AND(N3639="1521",MONTH(C3639)='BK-NL'!$M$11),"x","")</f>
        <v/>
      </c>
    </row>
    <row r="3640" spans="1:30" ht="16.5" customHeight="1">
      <c r="A3640" s="318" t="str">
        <f>IF(B3640&lt;&gt;"",IF(AND(B3640='IN-TC'!$S$4,OR(TH!N3640="1111",TH!O3640="1111")),TH!D3640,""),"")</f>
        <v/>
      </c>
      <c r="B3640" s="60" t="str">
        <f t="shared" si="407"/>
        <v/>
      </c>
      <c r="C3640" s="75"/>
      <c r="D3640" s="75"/>
      <c r="E3640" s="75"/>
      <c r="F3640" s="76"/>
      <c r="G3640" s="76"/>
      <c r="H3640" s="76"/>
      <c r="I3640" s="383"/>
      <c r="J3640" s="390"/>
      <c r="K3640" s="383"/>
      <c r="L3640" s="390"/>
      <c r="M3640" s="978"/>
      <c r="N3640" s="79"/>
      <c r="O3640" s="979"/>
      <c r="P3640" s="79" t="str">
        <f>IF(AND('331-CT'!$E$7=TH!H3640,OR(N3640="331",O3640="331")),"x","")</f>
        <v/>
      </c>
      <c r="Q3640" s="79" t="str">
        <f>IF(AND(B3640='111'!$L$11,OR($N3640=$Q$7,$O3640=$Q$7)),"x","")</f>
        <v/>
      </c>
      <c r="R3640" s="79" t="str">
        <f>IF(AND($N3640=$Q$7,$B3640&lt;'111'!$L$11),"x","")</f>
        <v/>
      </c>
      <c r="S3640" s="79" t="str">
        <f>IF(AND($O3640=$Q$7,$B3640&lt;'111'!$L$11),"x","")</f>
        <v/>
      </c>
      <c r="T3640" s="79" t="str">
        <f>IF(ISERROR(FIND('112'!$M$9,G3640,1)),"",IF((AND(FIND('112'!$M$9,G3640,1)&gt;=1,B3640='112'!$K$9,OR($N3640='112'!$I$6,$O3640='112'!$I$6))),"x",""))</f>
        <v/>
      </c>
      <c r="U3640" s="79" t="str">
        <f>IF(ISERROR(FIND('112'!$M$9,G3640,1)),"",IF((AND(LEFT(G3640,2)=LEFT('112'!$M$9,2),B3640&lt;'112'!$K$9,$N3640='112'!$I$6)),"x",""))</f>
        <v/>
      </c>
      <c r="V3640" s="79" t="str">
        <f>IF(ISERROR(FIND('112'!$M$9,G3640,1)),"",IF((AND(RIGHT(G3640,2)=RIGHT('112'!$M$9,2),B3640&lt;'112'!$K$9,$O3640='112'!$I$6)),"x",""))</f>
        <v/>
      </c>
      <c r="W3640" s="79" t="str">
        <f>IF(AND('341-CT'!$H$9=H3640,OR(LEFT(N3640,3)=$W$7,LEFT(O3640,3)=$W$7)),"x","")</f>
        <v/>
      </c>
      <c r="X3640" s="79" t="str">
        <f>IF(OR(TH!N3640=TH!$X$7,O3640=TH!$X$7),"x","")</f>
        <v/>
      </c>
      <c r="Y3640" s="79" t="str">
        <f>IF(AND(OR(N3640="131",O3640="131"),H3640='131-CT'!$H$9),"x","")</f>
        <v/>
      </c>
      <c r="Z3640" s="79"/>
      <c r="AA3640" s="79" t="str">
        <f>IF(AND(MONTH(E3640)='IN-NX'!$J$5,'IN-NX'!$D$7=D3640),"x","")</f>
        <v/>
      </c>
      <c r="AB3640" s="79" t="str">
        <f>IF(AND(OR(LEFT(TH!N3640,2)="15",LEFT(TH!O3640,2)="15"),LEFT(TH!O3640,3)&lt;&gt;"111",'152-CT'!$J$8=TH!F3640),"x","")</f>
        <v/>
      </c>
      <c r="AC3640" s="79" t="str">
        <f>IF(AND(OR(LEFT(TH!N3640,2)="15",LEFT(TH!O3640,2)="15"),TK!$E$7=TH!F3640),"x","")</f>
        <v/>
      </c>
      <c r="AD3640" s="79" t="str">
        <f>IF(AND(N3640="1521",MONTH(C3640)='BK-NL'!$M$11),"x","")</f>
        <v/>
      </c>
    </row>
    <row r="3641" spans="1:30" ht="16.5" customHeight="1">
      <c r="A3641" s="318" t="str">
        <f>IF(B3641&lt;&gt;"",IF(AND(B3641='IN-TC'!$S$4,OR(TH!N3641="1111",TH!O3641="1111")),TH!D3641,""),"")</f>
        <v/>
      </c>
      <c r="B3641" s="60" t="str">
        <f t="shared" si="407"/>
        <v/>
      </c>
      <c r="C3641" s="75"/>
      <c r="D3641" s="75"/>
      <c r="E3641" s="75"/>
      <c r="F3641" s="76"/>
      <c r="G3641" s="76"/>
      <c r="H3641" s="76"/>
      <c r="I3641" s="383"/>
      <c r="J3641" s="390"/>
      <c r="K3641" s="383"/>
      <c r="L3641" s="390"/>
      <c r="M3641" s="978"/>
      <c r="N3641" s="79"/>
      <c r="O3641" s="979"/>
      <c r="P3641" s="79" t="str">
        <f>IF(AND('331-CT'!$E$7=TH!H3641,OR(N3641="331",O3641="331")),"x","")</f>
        <v/>
      </c>
      <c r="Q3641" s="79" t="str">
        <f>IF(AND(B3641='111'!$L$11,OR($N3641=$Q$7,$O3641=$Q$7)),"x","")</f>
        <v/>
      </c>
      <c r="R3641" s="79" t="str">
        <f>IF(AND($N3641=$Q$7,$B3641&lt;'111'!$L$11),"x","")</f>
        <v/>
      </c>
      <c r="S3641" s="79" t="str">
        <f>IF(AND($O3641=$Q$7,$B3641&lt;'111'!$L$11),"x","")</f>
        <v/>
      </c>
      <c r="T3641" s="79" t="str">
        <f>IF(ISERROR(FIND('112'!$M$9,G3641,1)),"",IF((AND(FIND('112'!$M$9,G3641,1)&gt;=1,B3641='112'!$K$9,OR($N3641='112'!$I$6,$O3641='112'!$I$6))),"x",""))</f>
        <v/>
      </c>
      <c r="U3641" s="79" t="str">
        <f>IF(ISERROR(FIND('112'!$M$9,G3641,1)),"",IF((AND(LEFT(G3641,2)=LEFT('112'!$M$9,2),B3641&lt;'112'!$K$9,$N3641='112'!$I$6)),"x",""))</f>
        <v/>
      </c>
      <c r="V3641" s="79" t="str">
        <f>IF(ISERROR(FIND('112'!$M$9,G3641,1)),"",IF((AND(RIGHT(G3641,2)=RIGHT('112'!$M$9,2),B3641&lt;'112'!$K$9,$O3641='112'!$I$6)),"x",""))</f>
        <v/>
      </c>
      <c r="W3641" s="79" t="str">
        <f>IF(AND('341-CT'!$H$9=H3641,OR(LEFT(N3641,3)=$W$7,LEFT(O3641,3)=$W$7)),"x","")</f>
        <v/>
      </c>
      <c r="X3641" s="79" t="str">
        <f>IF(OR(TH!N3641=TH!$X$7,O3641=TH!$X$7),"x","")</f>
        <v/>
      </c>
      <c r="Y3641" s="79" t="str">
        <f>IF(AND(OR(N3641="131",O3641="131"),H3641='131-CT'!$H$9),"x","")</f>
        <v/>
      </c>
      <c r="Z3641" s="79"/>
      <c r="AA3641" s="79" t="str">
        <f>IF(AND(MONTH(E3641)='IN-NX'!$J$5,'IN-NX'!$D$7=D3641),"x","")</f>
        <v/>
      </c>
      <c r="AB3641" s="79" t="str">
        <f>IF(AND(OR(LEFT(TH!N3641,2)="15",LEFT(TH!O3641,2)="15"),LEFT(TH!O3641,3)&lt;&gt;"111",'152-CT'!$J$8=TH!F3641),"x","")</f>
        <v/>
      </c>
      <c r="AC3641" s="79" t="str">
        <f>IF(AND(OR(LEFT(TH!N3641,2)="15",LEFT(TH!O3641,2)="15"),TK!$E$7=TH!F3641),"x","")</f>
        <v/>
      </c>
      <c r="AD3641" s="79" t="str">
        <f>IF(AND(N3641="1521",MONTH(C3641)='BK-NL'!$M$11),"x","")</f>
        <v/>
      </c>
    </row>
    <row r="3642" spans="1:30" ht="16.5" customHeight="1">
      <c r="A3642" s="318" t="str">
        <f>IF(B3642&lt;&gt;"",IF(AND(B3642='IN-TC'!$S$4,OR(TH!N3642="1111",TH!O3642="1111")),TH!D3642,""),"")</f>
        <v/>
      </c>
      <c r="B3642" s="60" t="str">
        <f t="shared" si="407"/>
        <v/>
      </c>
      <c r="C3642" s="75"/>
      <c r="D3642" s="75"/>
      <c r="E3642" s="75"/>
      <c r="F3642" s="76"/>
      <c r="G3642" s="76"/>
      <c r="H3642" s="76"/>
      <c r="I3642" s="383"/>
      <c r="J3642" s="390"/>
      <c r="K3642" s="383"/>
      <c r="L3642" s="390"/>
      <c r="M3642" s="78"/>
      <c r="N3642" s="79"/>
      <c r="O3642" s="79"/>
      <c r="P3642" s="79" t="str">
        <f>IF(AND('331-CT'!$E$7=TH!H3642,OR(N3642="331",O3642="331")),"x","")</f>
        <v/>
      </c>
      <c r="Q3642" s="79" t="str">
        <f>IF(AND(B3642='111'!$L$11,OR($N3642=$Q$7,$O3642=$Q$7)),"x","")</f>
        <v/>
      </c>
      <c r="R3642" s="79" t="str">
        <f>IF(AND($N3642=$Q$7,$B3642&lt;'111'!$L$11),"x","")</f>
        <v/>
      </c>
      <c r="S3642" s="79" t="str">
        <f>IF(AND($O3642=$Q$7,$B3642&lt;'111'!$L$11),"x","")</f>
        <v/>
      </c>
      <c r="T3642" s="79" t="str">
        <f>IF(ISERROR(FIND('112'!$M$9,G3642,1)),"",IF((AND(FIND('112'!$M$9,G3642,1)&gt;=1,B3642='112'!$K$9,OR($N3642='112'!$I$6,$O3642='112'!$I$6))),"x",""))</f>
        <v/>
      </c>
      <c r="U3642" s="79" t="str">
        <f>IF(ISERROR(FIND('112'!$M$9,G3642,1)),"",IF((AND(LEFT(G3642,2)=LEFT('112'!$M$9,2),B3642&lt;'112'!$K$9,$N3642='112'!$I$6)),"x",""))</f>
        <v/>
      </c>
      <c r="V3642" s="79" t="str">
        <f>IF(ISERROR(FIND('112'!$M$9,G3642,1)),"",IF((AND(RIGHT(G3642,2)=RIGHT('112'!$M$9,2),B3642&lt;'112'!$K$9,$O3642='112'!$I$6)),"x",""))</f>
        <v/>
      </c>
      <c r="W3642" s="79" t="str">
        <f>IF(AND('341-CT'!$H$9=H3642,OR(LEFT(N3642,3)=$W$7,LEFT(O3642,3)=$W$7)),"x","")</f>
        <v/>
      </c>
      <c r="X3642" s="79" t="str">
        <f>IF(OR(TH!N3642=TH!$X$7,O3642=TH!$X$7),"x","")</f>
        <v/>
      </c>
      <c r="Y3642" s="79" t="str">
        <f>IF(AND(OR(N3642="131",O3642="131"),H3642='131-CT'!$H$9),"x","")</f>
        <v/>
      </c>
      <c r="Z3642" s="79"/>
      <c r="AA3642" s="79" t="str">
        <f>IF(AND(MONTH(E3642)='IN-NX'!$J$5,'IN-NX'!$D$7=D3642),"x","")</f>
        <v/>
      </c>
      <c r="AB3642" s="79" t="str">
        <f>IF(AND(OR(LEFT(TH!N3642,2)="15",LEFT(TH!O3642,2)="15"),LEFT(TH!O3642,3)&lt;&gt;"111",'152-CT'!$J$8=TH!F3642),"x","")</f>
        <v/>
      </c>
      <c r="AC3642" s="79" t="str">
        <f>IF(AND(OR(LEFT(TH!N3642,2)="15",LEFT(TH!O3642,2)="15"),TK!$E$7=TH!F3642),"x","")</f>
        <v/>
      </c>
      <c r="AD3642" s="79" t="str">
        <f>IF(AND(N3642="1521",MONTH(C3642)='BK-NL'!$M$11),"x","")</f>
        <v/>
      </c>
    </row>
    <row r="3643" spans="1:30" ht="16.5" customHeight="1">
      <c r="A3643" s="318" t="str">
        <f>IF(B3643&lt;&gt;"",IF(AND(B3643='IN-TC'!$S$4,OR(TH!N3643="1111",TH!O3643="1111")),TH!D3643,""),"")</f>
        <v/>
      </c>
      <c r="B3643" s="60" t="str">
        <f t="shared" si="407"/>
        <v/>
      </c>
      <c r="C3643" s="75"/>
      <c r="D3643" s="75"/>
      <c r="E3643" s="75"/>
      <c r="F3643" s="76"/>
      <c r="G3643" s="76"/>
      <c r="H3643" s="759"/>
      <c r="I3643" s="383"/>
      <c r="J3643" s="390"/>
      <c r="K3643" s="383"/>
      <c r="L3643" s="390"/>
      <c r="M3643" s="978"/>
      <c r="N3643" s="79"/>
      <c r="O3643" s="979"/>
      <c r="P3643" s="79" t="str">
        <f>IF(AND('331-CT'!$E$7=TH!H3643,OR(N3643="331",O3643="331")),"x","")</f>
        <v/>
      </c>
      <c r="Q3643" s="79" t="str">
        <f>IF(AND(B3643='111'!$L$11,OR($N3643=$Q$7,$O3643=$Q$7)),"x","")</f>
        <v/>
      </c>
      <c r="R3643" s="79" t="str">
        <f>IF(AND($N3643=$Q$7,$B3643&lt;'111'!$L$11),"x","")</f>
        <v/>
      </c>
      <c r="S3643" s="79" t="str">
        <f>IF(AND($O3643=$Q$7,$B3643&lt;'111'!$L$11),"x","")</f>
        <v/>
      </c>
      <c r="T3643" s="79" t="str">
        <f>IF(ISERROR(FIND('112'!$M$9,G3643,1)),"",IF((AND(FIND('112'!$M$9,G3643,1)&gt;=1,B3643='112'!$K$9,OR($N3643='112'!$I$6,$O3643='112'!$I$6))),"x",""))</f>
        <v/>
      </c>
      <c r="U3643" s="79" t="str">
        <f>IF(ISERROR(FIND('112'!$M$9,G3643,1)),"",IF((AND(LEFT(G3643,2)=LEFT('112'!$M$9,2),B3643&lt;'112'!$K$9,$N3643='112'!$I$6)),"x",""))</f>
        <v/>
      </c>
      <c r="V3643" s="79" t="str">
        <f>IF(ISERROR(FIND('112'!$M$9,G3643,1)),"",IF((AND(RIGHT(G3643,2)=RIGHT('112'!$M$9,2),B3643&lt;'112'!$K$9,$O3643='112'!$I$6)),"x",""))</f>
        <v/>
      </c>
      <c r="W3643" s="79" t="str">
        <f>IF(AND('341-CT'!$H$9=H3643,OR(LEFT(N3643,3)=$W$7,LEFT(O3643,3)=$W$7)),"x","")</f>
        <v/>
      </c>
      <c r="X3643" s="79" t="str">
        <f>IF(OR(TH!N3643=TH!$X$7,O3643=TH!$X$7),"x","")</f>
        <v/>
      </c>
      <c r="Y3643" s="79" t="str">
        <f>IF(AND(OR(N3643="131",O3643="131"),H3643='131-CT'!$H$9),"x","")</f>
        <v/>
      </c>
      <c r="Z3643" s="79"/>
      <c r="AA3643" s="79" t="str">
        <f>IF(AND(MONTH(E3643)='IN-NX'!$J$5,'IN-NX'!$D$7=D3643),"x","")</f>
        <v/>
      </c>
      <c r="AB3643" s="79" t="str">
        <f>IF(AND(OR(LEFT(TH!N3643,2)="15",LEFT(TH!O3643,2)="15"),LEFT(TH!O3643,3)&lt;&gt;"111",'152-CT'!$J$8=TH!F3643),"x","")</f>
        <v/>
      </c>
      <c r="AC3643" s="79" t="str">
        <f>IF(AND(OR(LEFT(TH!N3643,2)="15",LEFT(TH!O3643,2)="15"),TK!$E$7=TH!F3643),"x","")</f>
        <v/>
      </c>
      <c r="AD3643" s="79" t="str">
        <f>IF(AND(N3643="1521",MONTH(C3643)='BK-NL'!$M$11),"x","")</f>
        <v/>
      </c>
    </row>
    <row r="3644" spans="1:30" ht="16.5" customHeight="1">
      <c r="A3644" s="318" t="str">
        <f>IF(B3644&lt;&gt;"",IF(AND(B3644='IN-TC'!$S$4,OR(TH!N3644="1111",TH!O3644="1111")),TH!D3644,""),"")</f>
        <v/>
      </c>
      <c r="B3644" s="60" t="str">
        <f t="shared" si="407"/>
        <v/>
      </c>
      <c r="C3644" s="75"/>
      <c r="D3644" s="75"/>
      <c r="E3644" s="75"/>
      <c r="F3644" s="76"/>
      <c r="G3644" s="76"/>
      <c r="H3644" s="759"/>
      <c r="I3644" s="383"/>
      <c r="J3644" s="390"/>
      <c r="K3644" s="383"/>
      <c r="L3644" s="390"/>
      <c r="M3644" s="978"/>
      <c r="N3644" s="1262"/>
      <c r="O3644" s="79"/>
      <c r="P3644" s="79" t="str">
        <f>IF(AND('331-CT'!$E$7=TH!H3644,OR(N3644="331",O3644="331")),"x","")</f>
        <v/>
      </c>
      <c r="Q3644" s="79" t="str">
        <f>IF(AND(B3644='111'!$L$11,OR($N3644=$Q$7,$O3644=$Q$7)),"x","")</f>
        <v/>
      </c>
      <c r="R3644" s="79" t="str">
        <f>IF(AND($N3644=$Q$7,$B3644&lt;'111'!$L$11),"x","")</f>
        <v/>
      </c>
      <c r="S3644" s="79" t="str">
        <f>IF(AND($O3644=$Q$7,$B3644&lt;'111'!$L$11),"x","")</f>
        <v/>
      </c>
      <c r="T3644" s="79" t="str">
        <f>IF(ISERROR(FIND('112'!$M$9,G3644,1)),"",IF((AND(FIND('112'!$M$9,G3644,1)&gt;=1,B3644='112'!$K$9,OR($N3644='112'!$I$6,$O3644='112'!$I$6))),"x",""))</f>
        <v/>
      </c>
      <c r="U3644" s="79" t="str">
        <f>IF(ISERROR(FIND('112'!$M$9,G3644,1)),"",IF((AND(LEFT(G3644,2)=LEFT('112'!$M$9,2),B3644&lt;'112'!$K$9,$N3644='112'!$I$6)),"x",""))</f>
        <v/>
      </c>
      <c r="V3644" s="79" t="str">
        <f>IF(ISERROR(FIND('112'!$M$9,G3644,1)),"",IF((AND(RIGHT(G3644,2)=RIGHT('112'!$M$9,2),B3644&lt;'112'!$K$9,$O3644='112'!$I$6)),"x",""))</f>
        <v/>
      </c>
      <c r="W3644" s="79" t="str">
        <f>IF(AND('341-CT'!$H$9=H3644,OR(LEFT(N3644,3)=$W$7,LEFT(O3644,3)=$W$7)),"x","")</f>
        <v/>
      </c>
      <c r="X3644" s="79" t="str">
        <f>IF(OR(TH!N3644=TH!$X$7,O3644=TH!$X$7),"x","")</f>
        <v/>
      </c>
      <c r="Y3644" s="79" t="str">
        <f>IF(AND(OR(N3644="131",O3644="131"),H3644='131-CT'!$H$9),"x","")</f>
        <v/>
      </c>
      <c r="Z3644" s="79"/>
      <c r="AA3644" s="79" t="str">
        <f>IF(AND(MONTH(E3644)='IN-NX'!$J$5,'IN-NX'!$D$7=D3644),"x","")</f>
        <v/>
      </c>
      <c r="AB3644" s="79" t="str">
        <f>IF(AND(OR(LEFT(TH!N3644,2)="15",LEFT(TH!O3644,2)="15"),LEFT(TH!O3644,3)&lt;&gt;"111",'152-CT'!$J$8=TH!F3644),"x","")</f>
        <v/>
      </c>
      <c r="AC3644" s="79" t="str">
        <f>IF(AND(OR(LEFT(TH!N3644,2)="15",LEFT(TH!O3644,2)="15"),TK!$E$7=TH!F3644),"x","")</f>
        <v/>
      </c>
      <c r="AD3644" s="79" t="str">
        <f>IF(AND(N3644="1521",MONTH(C3644)='BK-NL'!$M$11),"x","")</f>
        <v/>
      </c>
    </row>
    <row r="3645" spans="1:30" ht="16.5" customHeight="1">
      <c r="A3645" s="318" t="str">
        <f>IF(B3645&lt;&gt;"",IF(AND(B3645='IN-TC'!$S$4,OR(TH!N3645="1111",TH!O3645="1111")),TH!D3645,""),"")</f>
        <v/>
      </c>
      <c r="B3645" s="60" t="str">
        <f t="shared" si="407"/>
        <v/>
      </c>
      <c r="C3645" s="75"/>
      <c r="D3645" s="75"/>
      <c r="E3645" s="75"/>
      <c r="F3645" s="76"/>
      <c r="G3645" s="76"/>
      <c r="H3645" s="759"/>
      <c r="I3645" s="383"/>
      <c r="J3645" s="390"/>
      <c r="K3645" s="383"/>
      <c r="L3645" s="390"/>
      <c r="M3645" s="978"/>
      <c r="N3645" s="1262"/>
      <c r="O3645" s="79"/>
      <c r="P3645" s="79" t="str">
        <f>IF(AND('331-CT'!$E$7=TH!H3645,OR(N3645="331",O3645="331")),"x","")</f>
        <v/>
      </c>
      <c r="Q3645" s="79" t="str">
        <f>IF(AND(B3645='111'!$L$11,OR($N3645=$Q$7,$O3645=$Q$7)),"x","")</f>
        <v/>
      </c>
      <c r="R3645" s="79" t="str">
        <f>IF(AND($N3645=$Q$7,$B3645&lt;'111'!$L$11),"x","")</f>
        <v/>
      </c>
      <c r="S3645" s="79" t="str">
        <f>IF(AND($O3645=$Q$7,$B3645&lt;'111'!$L$11),"x","")</f>
        <v/>
      </c>
      <c r="T3645" s="79" t="str">
        <f>IF(ISERROR(FIND('112'!$M$9,G3645,1)),"",IF((AND(FIND('112'!$M$9,G3645,1)&gt;=1,B3645='112'!$K$9,OR($N3645='112'!$I$6,$O3645='112'!$I$6))),"x",""))</f>
        <v/>
      </c>
      <c r="U3645" s="79" t="str">
        <f>IF(ISERROR(FIND('112'!$M$9,G3645,1)),"",IF((AND(LEFT(G3645,2)=LEFT('112'!$M$9,2),B3645&lt;'112'!$K$9,$N3645='112'!$I$6)),"x",""))</f>
        <v/>
      </c>
      <c r="V3645" s="79" t="str">
        <f>IF(ISERROR(FIND('112'!$M$9,G3645,1)),"",IF((AND(RIGHT(G3645,2)=RIGHT('112'!$M$9,2),B3645&lt;'112'!$K$9,$O3645='112'!$I$6)),"x",""))</f>
        <v/>
      </c>
      <c r="W3645" s="79" t="str">
        <f>IF(AND('341-CT'!$H$9=H3645,OR(LEFT(N3645,3)=$W$7,LEFT(O3645,3)=$W$7)),"x","")</f>
        <v/>
      </c>
      <c r="X3645" s="79" t="str">
        <f>IF(OR(TH!N3645=TH!$X$7,O3645=TH!$X$7),"x","")</f>
        <v/>
      </c>
      <c r="Y3645" s="79" t="str">
        <f>IF(AND(OR(N3645="131",O3645="131"),H3645='131-CT'!$H$9),"x","")</f>
        <v/>
      </c>
      <c r="Z3645" s="79"/>
      <c r="AA3645" s="79" t="str">
        <f>IF(AND(MONTH(E3645)='IN-NX'!$J$5,'IN-NX'!$D$7=D3645),"x","")</f>
        <v/>
      </c>
      <c r="AB3645" s="79" t="str">
        <f>IF(AND(OR(LEFT(TH!N3645,2)="15",LEFT(TH!O3645,2)="15"),LEFT(TH!O3645,3)&lt;&gt;"111",'152-CT'!$J$8=TH!F3645),"x","")</f>
        <v/>
      </c>
      <c r="AC3645" s="79" t="str">
        <f>IF(AND(OR(LEFT(TH!N3645,2)="15",LEFT(TH!O3645,2)="15"),TK!$E$7=TH!F3645),"x","")</f>
        <v/>
      </c>
      <c r="AD3645" s="79" t="str">
        <f>IF(AND(N3645="1521",MONTH(C3645)='BK-NL'!$M$11),"x","")</f>
        <v/>
      </c>
    </row>
    <row r="3646" spans="1:30" ht="16.5" customHeight="1">
      <c r="A3646" s="318" t="str">
        <f>IF(B3646&lt;&gt;"",IF(AND(B3646='IN-TC'!$S$4,OR(TH!N3646="1111",TH!O3646="1111")),TH!D3646,""),"")</f>
        <v/>
      </c>
      <c r="B3646" s="60" t="str">
        <f t="shared" si="407"/>
        <v/>
      </c>
      <c r="C3646" s="75"/>
      <c r="D3646" s="75"/>
      <c r="E3646" s="75"/>
      <c r="F3646" s="76"/>
      <c r="G3646" s="76"/>
      <c r="H3646" s="759"/>
      <c r="I3646" s="383"/>
      <c r="J3646" s="390"/>
      <c r="K3646" s="383"/>
      <c r="L3646" s="390"/>
      <c r="M3646" s="978"/>
      <c r="N3646" s="79"/>
      <c r="O3646" s="79"/>
      <c r="P3646" s="79" t="str">
        <f>IF(AND('331-CT'!$E$7=TH!H3646,OR(N3646="331",O3646="331")),"x","")</f>
        <v/>
      </c>
      <c r="Q3646" s="79" t="str">
        <f>IF(AND(B3646='111'!$L$11,OR($N3646=$Q$7,$O3646=$Q$7)),"x","")</f>
        <v/>
      </c>
      <c r="R3646" s="79" t="str">
        <f>IF(AND($N3646=$Q$7,$B3646&lt;'111'!$L$11),"x","")</f>
        <v/>
      </c>
      <c r="S3646" s="79" t="str">
        <f>IF(AND($O3646=$Q$7,$B3646&lt;'111'!$L$11),"x","")</f>
        <v/>
      </c>
      <c r="T3646" s="79" t="str">
        <f>IF(ISERROR(FIND('112'!$M$9,G3646,1)),"",IF((AND(FIND('112'!$M$9,G3646,1)&gt;=1,B3646='112'!$K$9,OR($N3646='112'!$I$6,$O3646='112'!$I$6))),"x",""))</f>
        <v/>
      </c>
      <c r="U3646" s="79" t="str">
        <f>IF(ISERROR(FIND('112'!$M$9,G3646,1)),"",IF((AND(LEFT(G3646,2)=LEFT('112'!$M$9,2),B3646&lt;'112'!$K$9,$N3646='112'!$I$6)),"x",""))</f>
        <v/>
      </c>
      <c r="V3646" s="79" t="str">
        <f>IF(ISERROR(FIND('112'!$M$9,G3646,1)),"",IF((AND(RIGHT(G3646,2)=RIGHT('112'!$M$9,2),B3646&lt;'112'!$K$9,$O3646='112'!$I$6)),"x",""))</f>
        <v/>
      </c>
      <c r="W3646" s="79" t="str">
        <f>IF(AND('341-CT'!$H$9=H3646,OR(LEFT(N3646,3)=$W$7,LEFT(O3646,3)=$W$7)),"x","")</f>
        <v/>
      </c>
      <c r="X3646" s="79" t="str">
        <f>IF(OR(TH!N3646=TH!$X$7,O3646=TH!$X$7),"x","")</f>
        <v/>
      </c>
      <c r="Y3646" s="79" t="str">
        <f>IF(AND(OR(N3646="131",O3646="131"),H3646='131-CT'!$H$9),"x","")</f>
        <v/>
      </c>
      <c r="Z3646" s="79"/>
      <c r="AA3646" s="79" t="str">
        <f>IF(AND(MONTH(E3646)='IN-NX'!$J$5,'IN-NX'!$D$7=D3646),"x","")</f>
        <v/>
      </c>
      <c r="AB3646" s="79" t="str">
        <f>IF(AND(OR(LEFT(TH!N3646,2)="15",LEFT(TH!O3646,2)="15"),LEFT(TH!O3646,3)&lt;&gt;"111",'152-CT'!$J$8=TH!F3646),"x","")</f>
        <v/>
      </c>
      <c r="AC3646" s="79" t="str">
        <f>IF(AND(OR(LEFT(TH!N3646,2)="15",LEFT(TH!O3646,2)="15"),TK!$E$7=TH!F3646),"x","")</f>
        <v/>
      </c>
      <c r="AD3646" s="79" t="str">
        <f>IF(AND(N3646="1521",MONTH(C3646)='BK-NL'!$M$11),"x","")</f>
        <v/>
      </c>
    </row>
    <row r="3647" spans="1:30" ht="16.5" customHeight="1">
      <c r="A3647" s="318" t="str">
        <f>IF(B3647&lt;&gt;"",IF(AND(B3647='IN-TC'!$S$4,OR(TH!N3647="1111",TH!O3647="1111")),TH!D3647,""),"")</f>
        <v/>
      </c>
      <c r="B3647" s="60" t="str">
        <f t="shared" si="407"/>
        <v/>
      </c>
      <c r="C3647" s="75"/>
      <c r="D3647" s="75"/>
      <c r="E3647" s="75"/>
      <c r="F3647" s="76"/>
      <c r="G3647" s="76"/>
      <c r="H3647" s="759"/>
      <c r="I3647" s="383"/>
      <c r="J3647" s="390"/>
      <c r="K3647" s="383"/>
      <c r="L3647" s="390"/>
      <c r="M3647" s="978"/>
      <c r="N3647" s="79"/>
      <c r="O3647" s="79"/>
      <c r="P3647" s="79" t="str">
        <f>IF(AND('331-CT'!$E$7=TH!H3647,OR(N3647="331",O3647="331")),"x","")</f>
        <v/>
      </c>
      <c r="Q3647" s="79" t="str">
        <f>IF(AND(B3647='111'!$L$11,OR($N3647=$Q$7,$O3647=$Q$7)),"x","")</f>
        <v/>
      </c>
      <c r="R3647" s="79" t="str">
        <f>IF(AND($N3647=$Q$7,$B3647&lt;'111'!$L$11),"x","")</f>
        <v/>
      </c>
      <c r="S3647" s="79" t="str">
        <f>IF(AND($O3647=$Q$7,$B3647&lt;'111'!$L$11),"x","")</f>
        <v/>
      </c>
      <c r="T3647" s="79" t="str">
        <f>IF(ISERROR(FIND('112'!$M$9,G3647,1)),"",IF((AND(FIND('112'!$M$9,G3647,1)&gt;=1,B3647='112'!$K$9,OR($N3647='112'!$I$6,$O3647='112'!$I$6))),"x",""))</f>
        <v/>
      </c>
      <c r="U3647" s="79" t="str">
        <f>IF(ISERROR(FIND('112'!$M$9,G3647,1)),"",IF((AND(LEFT(G3647,2)=LEFT('112'!$M$9,2),B3647&lt;'112'!$K$9,$N3647='112'!$I$6)),"x",""))</f>
        <v/>
      </c>
      <c r="V3647" s="79" t="str">
        <f>IF(ISERROR(FIND('112'!$M$9,G3647,1)),"",IF((AND(RIGHT(G3647,2)=RIGHT('112'!$M$9,2),B3647&lt;'112'!$K$9,$O3647='112'!$I$6)),"x",""))</f>
        <v/>
      </c>
      <c r="W3647" s="79" t="str">
        <f>IF(AND('341-CT'!$H$9=H3647,OR(LEFT(N3647,3)=$W$7,LEFT(O3647,3)=$W$7)),"x","")</f>
        <v/>
      </c>
      <c r="X3647" s="79" t="str">
        <f>IF(OR(TH!N3647=TH!$X$7,O3647=TH!$X$7),"x","")</f>
        <v/>
      </c>
      <c r="Y3647" s="79" t="str">
        <f>IF(AND(OR(N3647="131",O3647="131"),H3647='131-CT'!$H$9),"x","")</f>
        <v/>
      </c>
      <c r="Z3647" s="79"/>
      <c r="AA3647" s="79" t="str">
        <f>IF(AND(MONTH(E3647)='IN-NX'!$J$5,'IN-NX'!$D$7=D3647),"x","")</f>
        <v/>
      </c>
      <c r="AB3647" s="79" t="str">
        <f>IF(AND(OR(LEFT(TH!N3647,2)="15",LEFT(TH!O3647,2)="15"),LEFT(TH!O3647,3)&lt;&gt;"111",'152-CT'!$J$8=TH!F3647),"x","")</f>
        <v/>
      </c>
      <c r="AC3647" s="79" t="str">
        <f>IF(AND(OR(LEFT(TH!N3647,2)="15",LEFT(TH!O3647,2)="15"),TK!$E$7=TH!F3647),"x","")</f>
        <v/>
      </c>
      <c r="AD3647" s="79" t="str">
        <f>IF(AND(N3647="1521",MONTH(C3647)='BK-NL'!$M$11),"x","")</f>
        <v/>
      </c>
    </row>
    <row r="3648" spans="1:30" ht="16.5" customHeight="1">
      <c r="A3648" s="318" t="str">
        <f>IF(B3648&lt;&gt;"",IF(AND(B3648='IN-TC'!$S$4,OR(TH!N3648="1111",TH!O3648="1111")),TH!D3648,""),"")</f>
        <v/>
      </c>
      <c r="B3648" s="60" t="str">
        <f t="shared" si="407"/>
        <v/>
      </c>
      <c r="C3648" s="75"/>
      <c r="D3648" s="75"/>
      <c r="E3648" s="75"/>
      <c r="F3648" s="76"/>
      <c r="G3648" s="76"/>
      <c r="H3648" s="759"/>
      <c r="I3648" s="383"/>
      <c r="J3648" s="390"/>
      <c r="K3648" s="383"/>
      <c r="L3648" s="390"/>
      <c r="M3648" s="78"/>
      <c r="N3648" s="79"/>
      <c r="O3648" s="979"/>
      <c r="P3648" s="79" t="str">
        <f>IF(AND('331-CT'!$E$7=TH!H3648,OR(N3648="331",O3648="331")),"x","")</f>
        <v/>
      </c>
      <c r="Q3648" s="79" t="str">
        <f>IF(AND(B3648='111'!$L$11,OR($N3648=$Q$7,$O3648=$Q$7)),"x","")</f>
        <v/>
      </c>
      <c r="R3648" s="79" t="str">
        <f>IF(AND($N3648=$Q$7,$B3648&lt;'111'!$L$11),"x","")</f>
        <v/>
      </c>
      <c r="S3648" s="79" t="str">
        <f>IF(AND($O3648=$Q$7,$B3648&lt;'111'!$L$11),"x","")</f>
        <v/>
      </c>
      <c r="T3648" s="79" t="str">
        <f>IF(ISERROR(FIND('112'!$M$9,G3648,1)),"",IF((AND(FIND('112'!$M$9,G3648,1)&gt;=1,B3648='112'!$K$9,OR($N3648='112'!$I$6,$O3648='112'!$I$6))),"x",""))</f>
        <v/>
      </c>
      <c r="U3648" s="79" t="str">
        <f>IF(ISERROR(FIND('112'!$M$9,G3648,1)),"",IF((AND(LEFT(G3648,2)=LEFT('112'!$M$9,2),B3648&lt;'112'!$K$9,$N3648='112'!$I$6)),"x",""))</f>
        <v/>
      </c>
      <c r="V3648" s="79" t="str">
        <f>IF(ISERROR(FIND('112'!$M$9,G3648,1)),"",IF((AND(RIGHT(G3648,2)=RIGHT('112'!$M$9,2),B3648&lt;'112'!$K$9,$O3648='112'!$I$6)),"x",""))</f>
        <v/>
      </c>
      <c r="W3648" s="79" t="str">
        <f>IF(AND('341-CT'!$H$9=H3648,OR(LEFT(N3648,3)=$W$7,LEFT(O3648,3)=$W$7)),"x","")</f>
        <v/>
      </c>
      <c r="X3648" s="79" t="str">
        <f>IF(OR(TH!N3648=TH!$X$7,O3648=TH!$X$7),"x","")</f>
        <v/>
      </c>
      <c r="Y3648" s="79" t="str">
        <f>IF(AND(OR(N3648="131",O3648="131"),H3648='131-CT'!$H$9),"x","")</f>
        <v/>
      </c>
      <c r="Z3648" s="79"/>
      <c r="AA3648" s="79" t="str">
        <f>IF(AND(MONTH(E3648)='IN-NX'!$J$5,'IN-NX'!$D$7=D3648),"x","")</f>
        <v/>
      </c>
      <c r="AB3648" s="79" t="str">
        <f>IF(AND(OR(LEFT(TH!N3648,2)="15",LEFT(TH!O3648,2)="15"),LEFT(TH!O3648,3)&lt;&gt;"111",'152-CT'!$J$8=TH!F3648),"x","")</f>
        <v/>
      </c>
      <c r="AC3648" s="79" t="str">
        <f>IF(AND(OR(LEFT(TH!N3648,2)="15",LEFT(TH!O3648,2)="15"),TK!$E$7=TH!F3648),"x","")</f>
        <v/>
      </c>
      <c r="AD3648" s="79" t="str">
        <f>IF(AND(N3648="1521",MONTH(C3648)='BK-NL'!$M$11),"x","")</f>
        <v/>
      </c>
    </row>
    <row r="3649" spans="1:30" ht="16.5" customHeight="1">
      <c r="A3649" s="318" t="str">
        <f>IF(B3649&lt;&gt;"",IF(AND(B3649='IN-TC'!$S$4,OR(TH!N3649="1111",TH!O3649="1111")),TH!D3649,""),"")</f>
        <v/>
      </c>
      <c r="B3649" s="60" t="str">
        <f t="shared" si="407"/>
        <v/>
      </c>
      <c r="C3649" s="75"/>
      <c r="D3649" s="75"/>
      <c r="E3649" s="75"/>
      <c r="F3649" s="76"/>
      <c r="G3649" s="76"/>
      <c r="H3649" s="759"/>
      <c r="I3649" s="383"/>
      <c r="J3649" s="390"/>
      <c r="K3649" s="383"/>
      <c r="L3649" s="390"/>
      <c r="M3649" s="978"/>
      <c r="N3649" s="1262"/>
      <c r="O3649" s="979"/>
      <c r="P3649" s="79" t="str">
        <f>IF(AND('331-CT'!$E$7=TH!H3649,OR(N3649="331",O3649="331")),"x","")</f>
        <v/>
      </c>
      <c r="Q3649" s="79" t="str">
        <f>IF(AND(B3649='111'!$L$11,OR($N3649=$Q$7,$O3649=$Q$7)),"x","")</f>
        <v/>
      </c>
      <c r="R3649" s="79" t="str">
        <f>IF(AND($N3649=$Q$7,$B3649&lt;'111'!$L$11),"x","")</f>
        <v/>
      </c>
      <c r="S3649" s="79" t="str">
        <f>IF(AND($O3649=$Q$7,$B3649&lt;'111'!$L$11),"x","")</f>
        <v/>
      </c>
      <c r="T3649" s="79" t="str">
        <f>IF(ISERROR(FIND('112'!$M$9,G3649,1)),"",IF((AND(FIND('112'!$M$9,G3649,1)&gt;=1,B3649='112'!$K$9,OR($N3649='112'!$I$6,$O3649='112'!$I$6))),"x",""))</f>
        <v/>
      </c>
      <c r="U3649" s="79" t="str">
        <f>IF(ISERROR(FIND('112'!$M$9,G3649,1)),"",IF((AND(LEFT(G3649,2)=LEFT('112'!$M$9,2),B3649&lt;'112'!$K$9,$N3649='112'!$I$6)),"x",""))</f>
        <v/>
      </c>
      <c r="V3649" s="79" t="str">
        <f>IF(ISERROR(FIND('112'!$M$9,G3649,1)),"",IF((AND(RIGHT(G3649,2)=RIGHT('112'!$M$9,2),B3649&lt;'112'!$K$9,$O3649='112'!$I$6)),"x",""))</f>
        <v/>
      </c>
      <c r="W3649" s="79" t="str">
        <f>IF(AND('341-CT'!$H$9=H3649,OR(LEFT(N3649,3)=$W$7,LEFT(O3649,3)=$W$7)),"x","")</f>
        <v/>
      </c>
      <c r="X3649" s="79" t="str">
        <f>IF(OR(TH!N3649=TH!$X$7,O3649=TH!$X$7),"x","")</f>
        <v/>
      </c>
      <c r="Y3649" s="79" t="str">
        <f>IF(AND(OR(N3649="131",O3649="131"),H3649='131-CT'!$H$9),"x","")</f>
        <v/>
      </c>
      <c r="Z3649" s="79"/>
      <c r="AA3649" s="79" t="str">
        <f>IF(AND(MONTH(E3649)='IN-NX'!$J$5,'IN-NX'!$D$7=D3649),"x","")</f>
        <v/>
      </c>
      <c r="AB3649" s="79" t="str">
        <f>IF(AND(OR(LEFT(TH!N3649,2)="15",LEFT(TH!O3649,2)="15"),LEFT(TH!O3649,3)&lt;&gt;"111",'152-CT'!$J$8=TH!F3649),"x","")</f>
        <v/>
      </c>
      <c r="AC3649" s="79" t="str">
        <f>IF(AND(OR(LEFT(TH!N3649,2)="15",LEFT(TH!O3649,2)="15"),TK!$E$7=TH!F3649),"x","")</f>
        <v/>
      </c>
      <c r="AD3649" s="79" t="str">
        <f>IF(AND(N3649="1521",MONTH(C3649)='BK-NL'!$M$11),"x","")</f>
        <v/>
      </c>
    </row>
    <row r="3650" spans="1:30" ht="16.5" customHeight="1">
      <c r="A3650" s="318" t="str">
        <f>IF(B3650&lt;&gt;"",IF(AND(B3650='IN-TC'!$S$4,OR(TH!N3650="1111",TH!O3650="1111")),TH!D3650,""),"")</f>
        <v/>
      </c>
      <c r="B3650" s="60" t="str">
        <f t="shared" si="407"/>
        <v/>
      </c>
      <c r="C3650" s="75"/>
      <c r="D3650" s="75"/>
      <c r="E3650" s="75"/>
      <c r="F3650" s="76"/>
      <c r="G3650" s="76"/>
      <c r="H3650" s="759"/>
      <c r="I3650" s="383"/>
      <c r="J3650" s="390"/>
      <c r="K3650" s="383"/>
      <c r="L3650" s="390"/>
      <c r="M3650" s="978"/>
      <c r="N3650" s="1262"/>
      <c r="O3650" s="979"/>
      <c r="P3650" s="79" t="str">
        <f>IF(AND('331-CT'!$E$7=TH!H3650,OR(N3650="331",O3650="331")),"x","")</f>
        <v/>
      </c>
      <c r="Q3650" s="79" t="str">
        <f>IF(AND(B3650='111'!$L$11,OR($N3650=$Q$7,$O3650=$Q$7)),"x","")</f>
        <v/>
      </c>
      <c r="R3650" s="79" t="str">
        <f>IF(AND($N3650=$Q$7,$B3650&lt;'111'!$L$11),"x","")</f>
        <v/>
      </c>
      <c r="S3650" s="79" t="str">
        <f>IF(AND($O3650=$Q$7,$B3650&lt;'111'!$L$11),"x","")</f>
        <v/>
      </c>
      <c r="T3650" s="79" t="str">
        <f>IF(ISERROR(FIND('112'!$M$9,G3650,1)),"",IF((AND(FIND('112'!$M$9,G3650,1)&gt;=1,B3650='112'!$K$9,OR($N3650='112'!$I$6,$O3650='112'!$I$6))),"x",""))</f>
        <v/>
      </c>
      <c r="U3650" s="79" t="str">
        <f>IF(ISERROR(FIND('112'!$M$9,G3650,1)),"",IF((AND(LEFT(G3650,2)=LEFT('112'!$M$9,2),B3650&lt;'112'!$K$9,$N3650='112'!$I$6)),"x",""))</f>
        <v/>
      </c>
      <c r="V3650" s="79" t="str">
        <f>IF(ISERROR(FIND('112'!$M$9,G3650,1)),"",IF((AND(RIGHT(G3650,2)=RIGHT('112'!$M$9,2),B3650&lt;'112'!$K$9,$O3650='112'!$I$6)),"x",""))</f>
        <v/>
      </c>
      <c r="W3650" s="79" t="str">
        <f>IF(AND('341-CT'!$H$9=H3650,OR(LEFT(N3650,3)=$W$7,LEFT(O3650,3)=$W$7)),"x","")</f>
        <v/>
      </c>
      <c r="X3650" s="79" t="str">
        <f>IF(OR(TH!N3650=TH!$X$7,O3650=TH!$X$7),"x","")</f>
        <v/>
      </c>
      <c r="Y3650" s="79" t="str">
        <f>IF(AND(OR(N3650="131",O3650="131"),H3650='131-CT'!$H$9),"x","")</f>
        <v/>
      </c>
      <c r="Z3650" s="79"/>
      <c r="AA3650" s="79" t="str">
        <f>IF(AND(MONTH(E3650)='IN-NX'!$J$5,'IN-NX'!$D$7=D3650),"x","")</f>
        <v/>
      </c>
      <c r="AB3650" s="79" t="str">
        <f>IF(AND(OR(LEFT(TH!N3650,2)="15",LEFT(TH!O3650,2)="15"),LEFT(TH!O3650,3)&lt;&gt;"111",'152-CT'!$J$8=TH!F3650),"x","")</f>
        <v/>
      </c>
      <c r="AC3650" s="79" t="str">
        <f>IF(AND(OR(LEFT(TH!N3650,2)="15",LEFT(TH!O3650,2)="15"),TK!$E$7=TH!F3650),"x","")</f>
        <v/>
      </c>
      <c r="AD3650" s="79" t="str">
        <f>IF(AND(N3650="1521",MONTH(C3650)='BK-NL'!$M$11),"x","")</f>
        <v/>
      </c>
    </row>
    <row r="3651" spans="1:30" ht="16.5" customHeight="1">
      <c r="A3651" s="318" t="str">
        <f>IF(B3651&lt;&gt;"",IF(AND(B3651='IN-TC'!$S$4,OR(TH!N3651="1111",TH!O3651="1111")),TH!D3651,""),"")</f>
        <v/>
      </c>
      <c r="B3651" s="60" t="str">
        <f t="shared" si="407"/>
        <v/>
      </c>
      <c r="C3651" s="75"/>
      <c r="D3651" s="75"/>
      <c r="E3651" s="75"/>
      <c r="F3651" s="76"/>
      <c r="G3651" s="76"/>
      <c r="H3651" s="759"/>
      <c r="I3651" s="383"/>
      <c r="J3651" s="390"/>
      <c r="K3651" s="383"/>
      <c r="L3651" s="390"/>
      <c r="M3651" s="978"/>
      <c r="N3651" s="1262"/>
      <c r="O3651" s="979"/>
      <c r="P3651" s="79" t="str">
        <f>IF(AND('331-CT'!$E$7=TH!H3651,OR(N3651="331",O3651="331")),"x","")</f>
        <v/>
      </c>
      <c r="Q3651" s="79" t="str">
        <f>IF(AND(B3651='111'!$L$11,OR($N3651=$Q$7,$O3651=$Q$7)),"x","")</f>
        <v/>
      </c>
      <c r="R3651" s="79" t="str">
        <f>IF(AND($N3651=$Q$7,$B3651&lt;'111'!$L$11),"x","")</f>
        <v/>
      </c>
      <c r="S3651" s="79" t="str">
        <f>IF(AND($O3651=$Q$7,$B3651&lt;'111'!$L$11),"x","")</f>
        <v/>
      </c>
      <c r="T3651" s="79" t="str">
        <f>IF(ISERROR(FIND('112'!$M$9,G3651,1)),"",IF((AND(FIND('112'!$M$9,G3651,1)&gt;=1,B3651='112'!$K$9,OR($N3651='112'!$I$6,$O3651='112'!$I$6))),"x",""))</f>
        <v/>
      </c>
      <c r="U3651" s="79" t="str">
        <f>IF(ISERROR(FIND('112'!$M$9,G3651,1)),"",IF((AND(LEFT(G3651,2)=LEFT('112'!$M$9,2),B3651&lt;'112'!$K$9,$N3651='112'!$I$6)),"x",""))</f>
        <v/>
      </c>
      <c r="V3651" s="79" t="str">
        <f>IF(ISERROR(FIND('112'!$M$9,G3651,1)),"",IF((AND(RIGHT(G3651,2)=RIGHT('112'!$M$9,2),B3651&lt;'112'!$K$9,$O3651='112'!$I$6)),"x",""))</f>
        <v/>
      </c>
      <c r="W3651" s="79" t="str">
        <f>IF(AND('341-CT'!$H$9=H3651,OR(LEFT(N3651,3)=$W$7,LEFT(O3651,3)=$W$7)),"x","")</f>
        <v/>
      </c>
      <c r="X3651" s="79" t="str">
        <f>IF(OR(TH!N3651=TH!$X$7,O3651=TH!$X$7),"x","")</f>
        <v/>
      </c>
      <c r="Y3651" s="79" t="str">
        <f>IF(AND(OR(N3651="131",O3651="131"),H3651='131-CT'!$H$9),"x","")</f>
        <v/>
      </c>
      <c r="Z3651" s="79"/>
      <c r="AA3651" s="79" t="str">
        <f>IF(AND(MONTH(E3651)='IN-NX'!$J$5,'IN-NX'!$D$7=D3651),"x","")</f>
        <v/>
      </c>
      <c r="AB3651" s="79" t="str">
        <f>IF(AND(OR(LEFT(TH!N3651,2)="15",LEFT(TH!O3651,2)="15"),LEFT(TH!O3651,3)&lt;&gt;"111",'152-CT'!$J$8=TH!F3651),"x","")</f>
        <v/>
      </c>
      <c r="AC3651" s="79" t="str">
        <f>IF(AND(OR(LEFT(TH!N3651,2)="15",LEFT(TH!O3651,2)="15"),TK!$E$7=TH!F3651),"x","")</f>
        <v/>
      </c>
      <c r="AD3651" s="79" t="str">
        <f>IF(AND(N3651="1521",MONTH(C3651)='BK-NL'!$M$11),"x","")</f>
        <v/>
      </c>
    </row>
    <row r="3652" spans="1:30" ht="16.5" customHeight="1">
      <c r="A3652" s="318" t="str">
        <f>IF(B3652&lt;&gt;"",IF(AND(B3652='IN-TC'!$S$4,OR(TH!N3652="1111",TH!O3652="1111")),TH!D3652,""),"")</f>
        <v/>
      </c>
      <c r="B3652" s="60" t="str">
        <f t="shared" ref="B3652:B3715" si="408">IF(C3652&lt;&gt;"",MONTH(C3652),"")</f>
        <v/>
      </c>
      <c r="C3652" s="75"/>
      <c r="D3652" s="75"/>
      <c r="E3652" s="75"/>
      <c r="F3652" s="76"/>
      <c r="G3652" s="76"/>
      <c r="H3652" s="759"/>
      <c r="I3652" s="383"/>
      <c r="J3652" s="390"/>
      <c r="K3652" s="383"/>
      <c r="L3652" s="390"/>
      <c r="M3652" s="978"/>
      <c r="N3652" s="1262"/>
      <c r="O3652" s="979"/>
      <c r="P3652" s="79" t="str">
        <f>IF(AND('331-CT'!$E$7=TH!H3652,OR(N3652="331",O3652="331")),"x","")</f>
        <v/>
      </c>
      <c r="Q3652" s="79" t="str">
        <f>IF(AND(B3652='111'!$L$11,OR($N3652=$Q$7,$O3652=$Q$7)),"x","")</f>
        <v/>
      </c>
      <c r="R3652" s="79" t="str">
        <f>IF(AND($N3652=$Q$7,$B3652&lt;'111'!$L$11),"x","")</f>
        <v/>
      </c>
      <c r="S3652" s="79" t="str">
        <f>IF(AND($O3652=$Q$7,$B3652&lt;'111'!$L$11),"x","")</f>
        <v/>
      </c>
      <c r="T3652" s="79" t="str">
        <f>IF(ISERROR(FIND('112'!$M$9,G3652,1)),"",IF((AND(FIND('112'!$M$9,G3652,1)&gt;=1,B3652='112'!$K$9,OR($N3652='112'!$I$6,$O3652='112'!$I$6))),"x",""))</f>
        <v/>
      </c>
      <c r="U3652" s="79" t="str">
        <f>IF(ISERROR(FIND('112'!$M$9,G3652,1)),"",IF((AND(LEFT(G3652,2)=LEFT('112'!$M$9,2),B3652&lt;'112'!$K$9,$N3652='112'!$I$6)),"x",""))</f>
        <v/>
      </c>
      <c r="V3652" s="79" t="str">
        <f>IF(ISERROR(FIND('112'!$M$9,G3652,1)),"",IF((AND(RIGHT(G3652,2)=RIGHT('112'!$M$9,2),B3652&lt;'112'!$K$9,$O3652='112'!$I$6)),"x",""))</f>
        <v/>
      </c>
      <c r="W3652" s="79" t="str">
        <f>IF(AND('341-CT'!$H$9=H3652,OR(LEFT(N3652,3)=$W$7,LEFT(O3652,3)=$W$7)),"x","")</f>
        <v/>
      </c>
      <c r="X3652" s="79" t="str">
        <f>IF(OR(TH!N3652=TH!$X$7,O3652=TH!$X$7),"x","")</f>
        <v/>
      </c>
      <c r="Y3652" s="79" t="str">
        <f>IF(AND(OR(N3652="131",O3652="131"),H3652='131-CT'!$H$9),"x","")</f>
        <v/>
      </c>
      <c r="Z3652" s="79"/>
      <c r="AA3652" s="79" t="str">
        <f>IF(AND(MONTH(E3652)='IN-NX'!$J$5,'IN-NX'!$D$7=D3652),"x","")</f>
        <v/>
      </c>
      <c r="AB3652" s="79" t="str">
        <f>IF(AND(OR(LEFT(TH!N3652,2)="15",LEFT(TH!O3652,2)="15"),LEFT(TH!O3652,3)&lt;&gt;"111",'152-CT'!$J$8=TH!F3652),"x","")</f>
        <v/>
      </c>
      <c r="AC3652" s="79" t="str">
        <f>IF(AND(OR(LEFT(TH!N3652,2)="15",LEFT(TH!O3652,2)="15"),TK!$E$7=TH!F3652),"x","")</f>
        <v/>
      </c>
      <c r="AD3652" s="79" t="str">
        <f>IF(AND(N3652="1521",MONTH(C3652)='BK-NL'!$M$11),"x","")</f>
        <v/>
      </c>
    </row>
    <row r="3653" spans="1:30" ht="16.5" customHeight="1">
      <c r="A3653" s="318" t="str">
        <f>IF(B3653&lt;&gt;"",IF(AND(B3653='IN-TC'!$S$4,OR(TH!N3653="1111",TH!O3653="1111")),TH!D3653,""),"")</f>
        <v/>
      </c>
      <c r="B3653" s="60" t="str">
        <f t="shared" si="408"/>
        <v/>
      </c>
      <c r="C3653" s="75"/>
      <c r="D3653" s="75"/>
      <c r="E3653" s="75"/>
      <c r="F3653" s="76"/>
      <c r="G3653" s="76"/>
      <c r="H3653" s="759"/>
      <c r="I3653" s="383"/>
      <c r="J3653" s="390"/>
      <c r="K3653" s="383"/>
      <c r="L3653" s="390"/>
      <c r="M3653" s="978"/>
      <c r="N3653" s="1262"/>
      <c r="O3653" s="979"/>
      <c r="P3653" s="79" t="str">
        <f>IF(AND('331-CT'!$E$7=TH!H3653,OR(N3653="331",O3653="331")),"x","")</f>
        <v/>
      </c>
      <c r="Q3653" s="79" t="str">
        <f>IF(AND(B3653='111'!$L$11,OR($N3653=$Q$7,$O3653=$Q$7)),"x","")</f>
        <v/>
      </c>
      <c r="R3653" s="79" t="str">
        <f>IF(AND($N3653=$Q$7,$B3653&lt;'111'!$L$11),"x","")</f>
        <v/>
      </c>
      <c r="S3653" s="79" t="str">
        <f>IF(AND($O3653=$Q$7,$B3653&lt;'111'!$L$11),"x","")</f>
        <v/>
      </c>
      <c r="T3653" s="79" t="str">
        <f>IF(ISERROR(FIND('112'!$M$9,G3653,1)),"",IF((AND(FIND('112'!$M$9,G3653,1)&gt;=1,B3653='112'!$K$9,OR($N3653='112'!$I$6,$O3653='112'!$I$6))),"x",""))</f>
        <v/>
      </c>
      <c r="U3653" s="79" t="str">
        <f>IF(ISERROR(FIND('112'!$M$9,G3653,1)),"",IF((AND(LEFT(G3653,2)=LEFT('112'!$M$9,2),B3653&lt;'112'!$K$9,$N3653='112'!$I$6)),"x",""))</f>
        <v/>
      </c>
      <c r="V3653" s="79" t="str">
        <f>IF(ISERROR(FIND('112'!$M$9,G3653,1)),"",IF((AND(RIGHT(G3653,2)=RIGHT('112'!$M$9,2),B3653&lt;'112'!$K$9,$O3653='112'!$I$6)),"x",""))</f>
        <v/>
      </c>
      <c r="W3653" s="79" t="str">
        <f>IF(AND('341-CT'!$H$9=H3653,OR(LEFT(N3653,3)=$W$7,LEFT(O3653,3)=$W$7)),"x","")</f>
        <v/>
      </c>
      <c r="X3653" s="79" t="str">
        <f>IF(OR(TH!N3653=TH!$X$7,O3653=TH!$X$7),"x","")</f>
        <v/>
      </c>
      <c r="Y3653" s="79" t="str">
        <f>IF(AND(OR(N3653="131",O3653="131"),H3653='131-CT'!$H$9),"x","")</f>
        <v/>
      </c>
      <c r="Z3653" s="79"/>
      <c r="AA3653" s="79" t="str">
        <f>IF(AND(MONTH(E3653)='IN-NX'!$J$5,'IN-NX'!$D$7=D3653),"x","")</f>
        <v/>
      </c>
      <c r="AB3653" s="79" t="str">
        <f>IF(AND(OR(LEFT(TH!N3653,2)="15",LEFT(TH!O3653,2)="15"),LEFT(TH!O3653,3)&lt;&gt;"111",'152-CT'!$J$8=TH!F3653),"x","")</f>
        <v/>
      </c>
      <c r="AC3653" s="79" t="str">
        <f>IF(AND(OR(LEFT(TH!N3653,2)="15",LEFT(TH!O3653,2)="15"),TK!$E$7=TH!F3653),"x","")</f>
        <v/>
      </c>
      <c r="AD3653" s="79" t="str">
        <f>IF(AND(N3653="1521",MONTH(C3653)='BK-NL'!$M$11),"x","")</f>
        <v/>
      </c>
    </row>
    <row r="3654" spans="1:30" ht="16.5" customHeight="1">
      <c r="A3654" s="318" t="str">
        <f>IF(B3654&lt;&gt;"",IF(AND(B3654='IN-TC'!$S$4,OR(TH!N3654="1111",TH!O3654="1111")),TH!D3654,""),"")</f>
        <v/>
      </c>
      <c r="B3654" s="60" t="str">
        <f t="shared" si="408"/>
        <v/>
      </c>
      <c r="C3654" s="75"/>
      <c r="D3654" s="75"/>
      <c r="E3654" s="75"/>
      <c r="F3654" s="76"/>
      <c r="G3654" s="76"/>
      <c r="H3654" s="759"/>
      <c r="I3654" s="383"/>
      <c r="J3654" s="390"/>
      <c r="K3654" s="383"/>
      <c r="L3654" s="390"/>
      <c r="M3654" s="978"/>
      <c r="N3654" s="1262"/>
      <c r="O3654" s="79"/>
      <c r="P3654" s="79" t="str">
        <f>IF(AND('331-CT'!$E$7=TH!H3654,OR(N3654="331",O3654="331")),"x","")</f>
        <v/>
      </c>
      <c r="Q3654" s="79" t="str">
        <f>IF(AND(B3654='111'!$L$11,OR($N3654=$Q$7,$O3654=$Q$7)),"x","")</f>
        <v/>
      </c>
      <c r="R3654" s="79" t="str">
        <f>IF(AND($N3654=$Q$7,$B3654&lt;'111'!$L$11),"x","")</f>
        <v/>
      </c>
      <c r="S3654" s="79" t="str">
        <f>IF(AND($O3654=$Q$7,$B3654&lt;'111'!$L$11),"x","")</f>
        <v/>
      </c>
      <c r="T3654" s="79" t="str">
        <f>IF(ISERROR(FIND('112'!$M$9,G3654,1)),"",IF((AND(FIND('112'!$M$9,G3654,1)&gt;=1,B3654='112'!$K$9,OR($N3654='112'!$I$6,$O3654='112'!$I$6))),"x",""))</f>
        <v/>
      </c>
      <c r="U3654" s="79" t="str">
        <f>IF(ISERROR(FIND('112'!$M$9,G3654,1)),"",IF((AND(LEFT(G3654,2)=LEFT('112'!$M$9,2),B3654&lt;'112'!$K$9,$N3654='112'!$I$6)),"x",""))</f>
        <v/>
      </c>
      <c r="V3654" s="79" t="str">
        <f>IF(ISERROR(FIND('112'!$M$9,G3654,1)),"",IF((AND(RIGHT(G3654,2)=RIGHT('112'!$M$9,2),B3654&lt;'112'!$K$9,$O3654='112'!$I$6)),"x",""))</f>
        <v/>
      </c>
      <c r="W3654" s="79" t="str">
        <f>IF(AND('341-CT'!$H$9=H3654,OR(LEFT(N3654,3)=$W$7,LEFT(O3654,3)=$W$7)),"x","")</f>
        <v/>
      </c>
      <c r="X3654" s="79" t="str">
        <f>IF(OR(TH!N3654=TH!$X$7,O3654=TH!$X$7),"x","")</f>
        <v/>
      </c>
      <c r="Y3654" s="79" t="str">
        <f>IF(AND(OR(N3654="131",O3654="131"),H3654='131-CT'!$H$9),"x","")</f>
        <v/>
      </c>
      <c r="Z3654" s="79"/>
      <c r="AA3654" s="79" t="str">
        <f>IF(AND(MONTH(E3654)='IN-NX'!$J$5,'IN-NX'!$D$7=D3654),"x","")</f>
        <v/>
      </c>
      <c r="AB3654" s="79" t="str">
        <f>IF(AND(OR(LEFT(TH!N3654,2)="15",LEFT(TH!O3654,2)="15"),LEFT(TH!O3654,3)&lt;&gt;"111",'152-CT'!$J$8=TH!F3654),"x","")</f>
        <v/>
      </c>
      <c r="AC3654" s="79" t="str">
        <f>IF(AND(OR(LEFT(TH!N3654,2)="15",LEFT(TH!O3654,2)="15"),TK!$E$7=TH!F3654),"x","")</f>
        <v/>
      </c>
      <c r="AD3654" s="79" t="str">
        <f>IF(AND(N3654="1521",MONTH(C3654)='BK-NL'!$M$11),"x","")</f>
        <v/>
      </c>
    </row>
    <row r="3655" spans="1:30" ht="16.5" customHeight="1">
      <c r="A3655" s="318" t="str">
        <f>IF(B3655&lt;&gt;"",IF(AND(B3655='IN-TC'!$S$4,OR(TH!N3655="1111",TH!O3655="1111")),TH!D3655,""),"")</f>
        <v/>
      </c>
      <c r="B3655" s="60" t="str">
        <f t="shared" si="408"/>
        <v/>
      </c>
      <c r="C3655" s="75"/>
      <c r="D3655" s="75"/>
      <c r="E3655" s="75"/>
      <c r="F3655" s="76"/>
      <c r="G3655" s="76"/>
      <c r="H3655" s="759"/>
      <c r="I3655" s="383"/>
      <c r="J3655" s="390"/>
      <c r="K3655" s="383"/>
      <c r="L3655" s="390"/>
      <c r="M3655" s="978"/>
      <c r="N3655" s="1262"/>
      <c r="O3655" s="979"/>
      <c r="P3655" s="79" t="str">
        <f>IF(AND('331-CT'!$E$7=TH!H3655,OR(N3655="331",O3655="331")),"x","")</f>
        <v/>
      </c>
      <c r="Q3655" s="79" t="str">
        <f>IF(AND(B3655='111'!$L$11,OR($N3655=$Q$7,$O3655=$Q$7)),"x","")</f>
        <v/>
      </c>
      <c r="R3655" s="79" t="str">
        <f>IF(AND($N3655=$Q$7,$B3655&lt;'111'!$L$11),"x","")</f>
        <v/>
      </c>
      <c r="S3655" s="79" t="str">
        <f>IF(AND($O3655=$Q$7,$B3655&lt;'111'!$L$11),"x","")</f>
        <v/>
      </c>
      <c r="T3655" s="79" t="str">
        <f>IF(ISERROR(FIND('112'!$M$9,G3655,1)),"",IF((AND(FIND('112'!$M$9,G3655,1)&gt;=1,B3655='112'!$K$9,OR($N3655='112'!$I$6,$O3655='112'!$I$6))),"x",""))</f>
        <v/>
      </c>
      <c r="U3655" s="79" t="str">
        <f>IF(ISERROR(FIND('112'!$M$9,G3655,1)),"",IF((AND(LEFT(G3655,2)=LEFT('112'!$M$9,2),B3655&lt;'112'!$K$9,$N3655='112'!$I$6)),"x",""))</f>
        <v/>
      </c>
      <c r="V3655" s="79" t="str">
        <f>IF(ISERROR(FIND('112'!$M$9,G3655,1)),"",IF((AND(RIGHT(G3655,2)=RIGHT('112'!$M$9,2),B3655&lt;'112'!$K$9,$O3655='112'!$I$6)),"x",""))</f>
        <v/>
      </c>
      <c r="W3655" s="79" t="str">
        <f>IF(AND('341-CT'!$H$9=H3655,OR(LEFT(N3655,3)=$W$7,LEFT(O3655,3)=$W$7)),"x","")</f>
        <v/>
      </c>
      <c r="X3655" s="79" t="str">
        <f>IF(OR(TH!N3655=TH!$X$7,O3655=TH!$X$7),"x","")</f>
        <v/>
      </c>
      <c r="Y3655" s="79" t="str">
        <f>IF(AND(OR(N3655="131",O3655="131"),H3655='131-CT'!$H$9),"x","")</f>
        <v/>
      </c>
      <c r="Z3655" s="79"/>
      <c r="AA3655" s="79" t="str">
        <f>IF(AND(MONTH(E3655)='IN-NX'!$J$5,'IN-NX'!$D$7=D3655),"x","")</f>
        <v/>
      </c>
      <c r="AB3655" s="79" t="str">
        <f>IF(AND(OR(LEFT(TH!N3655,2)="15",LEFT(TH!O3655,2)="15"),LEFT(TH!O3655,3)&lt;&gt;"111",'152-CT'!$J$8=TH!F3655),"x","")</f>
        <v/>
      </c>
      <c r="AC3655" s="79" t="str">
        <f>IF(AND(OR(LEFT(TH!N3655,2)="15",LEFT(TH!O3655,2)="15"),TK!$E$7=TH!F3655),"x","")</f>
        <v/>
      </c>
      <c r="AD3655" s="79" t="str">
        <f>IF(AND(N3655="1521",MONTH(C3655)='BK-NL'!$M$11),"x","")</f>
        <v/>
      </c>
    </row>
    <row r="3656" spans="1:30" ht="16.5" customHeight="1">
      <c r="A3656" s="318" t="str">
        <f>IF(B3656&lt;&gt;"",IF(AND(B3656='IN-TC'!$S$4,OR(TH!N3656="1111",TH!O3656="1111")),TH!D3656,""),"")</f>
        <v/>
      </c>
      <c r="B3656" s="60" t="str">
        <f t="shared" si="408"/>
        <v/>
      </c>
      <c r="C3656" s="75"/>
      <c r="D3656" s="75"/>
      <c r="E3656" s="75"/>
      <c r="F3656" s="76"/>
      <c r="G3656" s="76"/>
      <c r="H3656" s="759"/>
      <c r="I3656" s="383"/>
      <c r="J3656" s="390"/>
      <c r="K3656" s="383"/>
      <c r="L3656" s="390"/>
      <c r="M3656" s="978"/>
      <c r="N3656" s="1262"/>
      <c r="O3656" s="979"/>
      <c r="P3656" s="79" t="str">
        <f>IF(AND('331-CT'!$E$7=TH!H3656,OR(N3656="331",O3656="331")),"x","")</f>
        <v/>
      </c>
      <c r="Q3656" s="79" t="str">
        <f>IF(AND(B3656='111'!$L$11,OR($N3656=$Q$7,$O3656=$Q$7)),"x","")</f>
        <v/>
      </c>
      <c r="R3656" s="79" t="str">
        <f>IF(AND($N3656=$Q$7,$B3656&lt;'111'!$L$11),"x","")</f>
        <v/>
      </c>
      <c r="S3656" s="79" t="str">
        <f>IF(AND($O3656=$Q$7,$B3656&lt;'111'!$L$11),"x","")</f>
        <v/>
      </c>
      <c r="T3656" s="79" t="str">
        <f>IF(ISERROR(FIND('112'!$M$9,G3656,1)),"",IF((AND(FIND('112'!$M$9,G3656,1)&gt;=1,B3656='112'!$K$9,OR($N3656='112'!$I$6,$O3656='112'!$I$6))),"x",""))</f>
        <v/>
      </c>
      <c r="U3656" s="79" t="str">
        <f>IF(ISERROR(FIND('112'!$M$9,G3656,1)),"",IF((AND(LEFT(G3656,2)=LEFT('112'!$M$9,2),B3656&lt;'112'!$K$9,$N3656='112'!$I$6)),"x",""))</f>
        <v/>
      </c>
      <c r="V3656" s="79" t="str">
        <f>IF(ISERROR(FIND('112'!$M$9,G3656,1)),"",IF((AND(RIGHT(G3656,2)=RIGHT('112'!$M$9,2),B3656&lt;'112'!$K$9,$O3656='112'!$I$6)),"x",""))</f>
        <v/>
      </c>
      <c r="W3656" s="79" t="str">
        <f>IF(AND('341-CT'!$H$9=H3656,OR(LEFT(N3656,3)=$W$7,LEFT(O3656,3)=$W$7)),"x","")</f>
        <v/>
      </c>
      <c r="X3656" s="79" t="str">
        <f>IF(OR(TH!N3656=TH!$X$7,O3656=TH!$X$7),"x","")</f>
        <v/>
      </c>
      <c r="Y3656" s="79" t="str">
        <f>IF(AND(OR(N3656="131",O3656="131"),H3656='131-CT'!$H$9),"x","")</f>
        <v/>
      </c>
      <c r="Z3656" s="79"/>
      <c r="AA3656" s="79" t="str">
        <f>IF(AND(MONTH(E3656)='IN-NX'!$J$5,'IN-NX'!$D$7=D3656),"x","")</f>
        <v/>
      </c>
      <c r="AB3656" s="79" t="str">
        <f>IF(AND(OR(LEFT(TH!N3656,2)="15",LEFT(TH!O3656,2)="15"),LEFT(TH!O3656,3)&lt;&gt;"111",'152-CT'!$J$8=TH!F3656),"x","")</f>
        <v/>
      </c>
      <c r="AC3656" s="79" t="str">
        <f>IF(AND(OR(LEFT(TH!N3656,2)="15",LEFT(TH!O3656,2)="15"),TK!$E$7=TH!F3656),"x","")</f>
        <v/>
      </c>
      <c r="AD3656" s="79" t="str">
        <f>IF(AND(N3656="1521",MONTH(C3656)='BK-NL'!$M$11),"x","")</f>
        <v/>
      </c>
    </row>
    <row r="3657" spans="1:30" ht="16.5" customHeight="1">
      <c r="A3657" s="318" t="str">
        <f>IF(B3657&lt;&gt;"",IF(AND(B3657='IN-TC'!$S$4,OR(TH!N3657="1111",TH!O3657="1111")),TH!D3657,""),"")</f>
        <v/>
      </c>
      <c r="B3657" s="60" t="str">
        <f t="shared" si="408"/>
        <v/>
      </c>
      <c r="C3657" s="75"/>
      <c r="D3657" s="75"/>
      <c r="E3657" s="75"/>
      <c r="F3657" s="76"/>
      <c r="G3657" s="76"/>
      <c r="H3657" s="759"/>
      <c r="I3657" s="383"/>
      <c r="J3657" s="390"/>
      <c r="K3657" s="383"/>
      <c r="L3657" s="390"/>
      <c r="M3657" s="978"/>
      <c r="N3657" s="1262"/>
      <c r="O3657" s="79"/>
      <c r="P3657" s="79" t="str">
        <f>IF(AND('331-CT'!$E$7=TH!H3657,OR(N3657="331",O3657="331")),"x","")</f>
        <v/>
      </c>
      <c r="Q3657" s="79" t="str">
        <f>IF(AND(B3657='111'!$L$11,OR($N3657=$Q$7,$O3657=$Q$7)),"x","")</f>
        <v/>
      </c>
      <c r="R3657" s="79" t="str">
        <f>IF(AND($N3657=$Q$7,$B3657&lt;'111'!$L$11),"x","")</f>
        <v/>
      </c>
      <c r="S3657" s="79" t="str">
        <f>IF(AND($O3657=$Q$7,$B3657&lt;'111'!$L$11),"x","")</f>
        <v/>
      </c>
      <c r="T3657" s="79" t="str">
        <f>IF(ISERROR(FIND('112'!$M$9,G3657,1)),"",IF((AND(FIND('112'!$M$9,G3657,1)&gt;=1,B3657='112'!$K$9,OR($N3657='112'!$I$6,$O3657='112'!$I$6))),"x",""))</f>
        <v/>
      </c>
      <c r="U3657" s="79" t="str">
        <f>IF(ISERROR(FIND('112'!$M$9,G3657,1)),"",IF((AND(LEFT(G3657,2)=LEFT('112'!$M$9,2),B3657&lt;'112'!$K$9,$N3657='112'!$I$6)),"x",""))</f>
        <v/>
      </c>
      <c r="V3657" s="79" t="str">
        <f>IF(ISERROR(FIND('112'!$M$9,G3657,1)),"",IF((AND(RIGHT(G3657,2)=RIGHT('112'!$M$9,2),B3657&lt;'112'!$K$9,$O3657='112'!$I$6)),"x",""))</f>
        <v/>
      </c>
      <c r="W3657" s="79" t="str">
        <f>IF(AND('341-CT'!$H$9=H3657,OR(LEFT(N3657,3)=$W$7,LEFT(O3657,3)=$W$7)),"x","")</f>
        <v/>
      </c>
      <c r="X3657" s="79" t="str">
        <f>IF(OR(TH!N3657=TH!$X$7,O3657=TH!$X$7),"x","")</f>
        <v/>
      </c>
      <c r="Y3657" s="79" t="str">
        <f>IF(AND(OR(N3657="131",O3657="131"),H3657='131-CT'!$H$9),"x","")</f>
        <v/>
      </c>
      <c r="Z3657" s="79"/>
      <c r="AA3657" s="79" t="str">
        <f>IF(AND(MONTH(E3657)='IN-NX'!$J$5,'IN-NX'!$D$7=D3657),"x","")</f>
        <v/>
      </c>
      <c r="AB3657" s="79" t="str">
        <f>IF(AND(OR(LEFT(TH!N3657,2)="15",LEFT(TH!O3657,2)="15"),LEFT(TH!O3657,3)&lt;&gt;"111",'152-CT'!$J$8=TH!F3657),"x","")</f>
        <v/>
      </c>
      <c r="AC3657" s="79" t="str">
        <f>IF(AND(OR(LEFT(TH!N3657,2)="15",LEFT(TH!O3657,2)="15"),TK!$E$7=TH!F3657),"x","")</f>
        <v/>
      </c>
      <c r="AD3657" s="79" t="str">
        <f>IF(AND(N3657="1521",MONTH(C3657)='BK-NL'!$M$11),"x","")</f>
        <v/>
      </c>
    </row>
    <row r="3658" spans="1:30" ht="16.5" customHeight="1">
      <c r="A3658" s="318" t="str">
        <f>IF(B3658&lt;&gt;"",IF(AND(B3658='IN-TC'!$S$4,OR(TH!N3658="1111",TH!O3658="1111")),TH!D3658,""),"")</f>
        <v/>
      </c>
      <c r="B3658" s="60" t="str">
        <f t="shared" si="408"/>
        <v/>
      </c>
      <c r="C3658" s="75"/>
      <c r="D3658" s="75"/>
      <c r="E3658" s="75"/>
      <c r="F3658" s="76"/>
      <c r="G3658" s="76"/>
      <c r="H3658" s="759"/>
      <c r="I3658" s="383"/>
      <c r="J3658" s="390"/>
      <c r="K3658" s="383"/>
      <c r="L3658" s="390"/>
      <c r="M3658" s="978"/>
      <c r="N3658" s="1262"/>
      <c r="O3658" s="79"/>
      <c r="P3658" s="79" t="str">
        <f>IF(AND('331-CT'!$E$7=TH!H3658,OR(N3658="331",O3658="331")),"x","")</f>
        <v/>
      </c>
      <c r="Q3658" s="79" t="str">
        <f>IF(AND(B3658='111'!$L$11,OR($N3658=$Q$7,$O3658=$Q$7)),"x","")</f>
        <v/>
      </c>
      <c r="R3658" s="79" t="str">
        <f>IF(AND($N3658=$Q$7,$B3658&lt;'111'!$L$11),"x","")</f>
        <v/>
      </c>
      <c r="S3658" s="79" t="str">
        <f>IF(AND($O3658=$Q$7,$B3658&lt;'111'!$L$11),"x","")</f>
        <v/>
      </c>
      <c r="T3658" s="79" t="str">
        <f>IF(ISERROR(FIND('112'!$M$9,G3658,1)),"",IF((AND(FIND('112'!$M$9,G3658,1)&gt;=1,B3658='112'!$K$9,OR($N3658='112'!$I$6,$O3658='112'!$I$6))),"x",""))</f>
        <v/>
      </c>
      <c r="U3658" s="79" t="str">
        <f>IF(ISERROR(FIND('112'!$M$9,G3658,1)),"",IF((AND(LEFT(G3658,2)=LEFT('112'!$M$9,2),B3658&lt;'112'!$K$9,$N3658='112'!$I$6)),"x",""))</f>
        <v/>
      </c>
      <c r="V3658" s="79" t="str">
        <f>IF(ISERROR(FIND('112'!$M$9,G3658,1)),"",IF((AND(RIGHT(G3658,2)=RIGHT('112'!$M$9,2),B3658&lt;'112'!$K$9,$O3658='112'!$I$6)),"x",""))</f>
        <v/>
      </c>
      <c r="W3658" s="79" t="str">
        <f>IF(AND('341-CT'!$H$9=H3658,OR(LEFT(N3658,3)=$W$7,LEFT(O3658,3)=$W$7)),"x","")</f>
        <v/>
      </c>
      <c r="X3658" s="79" t="str">
        <f>IF(OR(TH!N3658=TH!$X$7,O3658=TH!$X$7),"x","")</f>
        <v/>
      </c>
      <c r="Y3658" s="79" t="str">
        <f>IF(AND(OR(N3658="131",O3658="131"),H3658='131-CT'!$H$9),"x","")</f>
        <v/>
      </c>
      <c r="Z3658" s="79"/>
      <c r="AA3658" s="79" t="str">
        <f>IF(AND(MONTH(E3658)='IN-NX'!$J$5,'IN-NX'!$D$7=D3658),"x","")</f>
        <v/>
      </c>
      <c r="AB3658" s="79" t="str">
        <f>IF(AND(OR(LEFT(TH!N3658,2)="15",LEFT(TH!O3658,2)="15"),LEFT(TH!O3658,3)&lt;&gt;"111",'152-CT'!$J$8=TH!F3658),"x","")</f>
        <v/>
      </c>
      <c r="AC3658" s="79" t="str">
        <f>IF(AND(OR(LEFT(TH!N3658,2)="15",LEFT(TH!O3658,2)="15"),TK!$E$7=TH!F3658),"x","")</f>
        <v/>
      </c>
      <c r="AD3658" s="79" t="str">
        <f>IF(AND(N3658="1521",MONTH(C3658)='BK-NL'!$M$11),"x","")</f>
        <v/>
      </c>
    </row>
    <row r="3659" spans="1:30" ht="16.5" customHeight="1">
      <c r="A3659" s="318" t="str">
        <f>IF(B3659&lt;&gt;"",IF(AND(B3659='IN-TC'!$S$4,OR(TH!N3659="1111",TH!O3659="1111")),TH!D3659,""),"")</f>
        <v/>
      </c>
      <c r="B3659" s="60" t="str">
        <f t="shared" si="408"/>
        <v/>
      </c>
      <c r="C3659" s="75"/>
      <c r="D3659" s="75"/>
      <c r="E3659" s="75"/>
      <c r="F3659" s="76"/>
      <c r="G3659" s="76"/>
      <c r="H3659" s="759"/>
      <c r="I3659" s="383"/>
      <c r="J3659" s="390"/>
      <c r="K3659" s="383"/>
      <c r="L3659" s="390"/>
      <c r="M3659" s="978"/>
      <c r="N3659" s="1262"/>
      <c r="O3659" s="79"/>
      <c r="P3659" s="79" t="str">
        <f>IF(AND('331-CT'!$E$7=TH!H3659,OR(N3659="331",O3659="331")),"x","")</f>
        <v/>
      </c>
      <c r="Q3659" s="79" t="str">
        <f>IF(AND(B3659='111'!$L$11,OR($N3659=$Q$7,$O3659=$Q$7)),"x","")</f>
        <v/>
      </c>
      <c r="R3659" s="79" t="str">
        <f>IF(AND($N3659=$Q$7,$B3659&lt;'111'!$L$11),"x","")</f>
        <v/>
      </c>
      <c r="S3659" s="79" t="str">
        <f>IF(AND($O3659=$Q$7,$B3659&lt;'111'!$L$11),"x","")</f>
        <v/>
      </c>
      <c r="T3659" s="79" t="str">
        <f>IF(ISERROR(FIND('112'!$M$9,G3659,1)),"",IF((AND(FIND('112'!$M$9,G3659,1)&gt;=1,B3659='112'!$K$9,OR($N3659='112'!$I$6,$O3659='112'!$I$6))),"x",""))</f>
        <v/>
      </c>
      <c r="U3659" s="79" t="str">
        <f>IF(ISERROR(FIND('112'!$M$9,G3659,1)),"",IF((AND(LEFT(G3659,2)=LEFT('112'!$M$9,2),B3659&lt;'112'!$K$9,$N3659='112'!$I$6)),"x",""))</f>
        <v/>
      </c>
      <c r="V3659" s="79" t="str">
        <f>IF(ISERROR(FIND('112'!$M$9,G3659,1)),"",IF((AND(RIGHT(G3659,2)=RIGHT('112'!$M$9,2),B3659&lt;'112'!$K$9,$O3659='112'!$I$6)),"x",""))</f>
        <v/>
      </c>
      <c r="W3659" s="79" t="str">
        <f>IF(AND('341-CT'!$H$9=H3659,OR(LEFT(N3659,3)=$W$7,LEFT(O3659,3)=$W$7)),"x","")</f>
        <v/>
      </c>
      <c r="X3659" s="79" t="str">
        <f>IF(OR(TH!N3659=TH!$X$7,O3659=TH!$X$7),"x","")</f>
        <v/>
      </c>
      <c r="Y3659" s="79" t="str">
        <f>IF(AND(OR(N3659="131",O3659="131"),H3659='131-CT'!$H$9),"x","")</f>
        <v/>
      </c>
      <c r="Z3659" s="79"/>
      <c r="AA3659" s="79" t="str">
        <f>IF(AND(MONTH(E3659)='IN-NX'!$J$5,'IN-NX'!$D$7=D3659),"x","")</f>
        <v/>
      </c>
      <c r="AB3659" s="79" t="str">
        <f>IF(AND(OR(LEFT(TH!N3659,2)="15",LEFT(TH!O3659,2)="15"),LEFT(TH!O3659,3)&lt;&gt;"111",'152-CT'!$J$8=TH!F3659),"x","")</f>
        <v/>
      </c>
      <c r="AC3659" s="79" t="str">
        <f>IF(AND(OR(LEFT(TH!N3659,2)="15",LEFT(TH!O3659,2)="15"),TK!$E$7=TH!F3659),"x","")</f>
        <v/>
      </c>
      <c r="AD3659" s="79" t="str">
        <f>IF(AND(N3659="1521",MONTH(C3659)='BK-NL'!$M$11),"x","")</f>
        <v/>
      </c>
    </row>
    <row r="3660" spans="1:30" ht="16.5" customHeight="1">
      <c r="A3660" s="318" t="str">
        <f>IF(B3660&lt;&gt;"",IF(AND(B3660='IN-TC'!$S$4,OR(TH!N3660="1111",TH!O3660="1111")),TH!D3660,""),"")</f>
        <v/>
      </c>
      <c r="B3660" s="60" t="str">
        <f t="shared" si="408"/>
        <v/>
      </c>
      <c r="C3660" s="75"/>
      <c r="D3660" s="75"/>
      <c r="E3660" s="75"/>
      <c r="F3660" s="76"/>
      <c r="G3660" s="76"/>
      <c r="H3660" s="759"/>
      <c r="I3660" s="383"/>
      <c r="J3660" s="390"/>
      <c r="K3660" s="383"/>
      <c r="L3660" s="390"/>
      <c r="M3660" s="978"/>
      <c r="N3660" s="79"/>
      <c r="O3660" s="979"/>
      <c r="P3660" s="79" t="str">
        <f>IF(AND('331-CT'!$E$7=TH!H3660,OR(N3660="331",O3660="331")),"x","")</f>
        <v/>
      </c>
      <c r="Q3660" s="79" t="str">
        <f>IF(AND(B3660='111'!$L$11,OR($N3660=$Q$7,$O3660=$Q$7)),"x","")</f>
        <v/>
      </c>
      <c r="R3660" s="79" t="str">
        <f>IF(AND($N3660=$Q$7,$B3660&lt;'111'!$L$11),"x","")</f>
        <v/>
      </c>
      <c r="S3660" s="79" t="str">
        <f>IF(AND($O3660=$Q$7,$B3660&lt;'111'!$L$11),"x","")</f>
        <v/>
      </c>
      <c r="T3660" s="79" t="str">
        <f>IF(ISERROR(FIND('112'!$M$9,G3660,1)),"",IF((AND(FIND('112'!$M$9,G3660,1)&gt;=1,B3660='112'!$K$9,OR($N3660='112'!$I$6,$O3660='112'!$I$6))),"x",""))</f>
        <v/>
      </c>
      <c r="U3660" s="79" t="str">
        <f>IF(ISERROR(FIND('112'!$M$9,G3660,1)),"",IF((AND(LEFT(G3660,2)=LEFT('112'!$M$9,2),B3660&lt;'112'!$K$9,$N3660='112'!$I$6)),"x",""))</f>
        <v/>
      </c>
      <c r="V3660" s="79" t="str">
        <f>IF(ISERROR(FIND('112'!$M$9,G3660,1)),"",IF((AND(RIGHT(G3660,2)=RIGHT('112'!$M$9,2),B3660&lt;'112'!$K$9,$O3660='112'!$I$6)),"x",""))</f>
        <v/>
      </c>
      <c r="W3660" s="79" t="str">
        <f>IF(AND('341-CT'!$H$9=H3660,OR(LEFT(N3660,3)=$W$7,LEFT(O3660,3)=$W$7)),"x","")</f>
        <v/>
      </c>
      <c r="X3660" s="79" t="str">
        <f>IF(OR(TH!N3660=TH!$X$7,O3660=TH!$X$7),"x","")</f>
        <v/>
      </c>
      <c r="Y3660" s="79" t="str">
        <f>IF(AND(OR(N3660="131",O3660="131"),H3660='131-CT'!$H$9),"x","")</f>
        <v/>
      </c>
      <c r="Z3660" s="79"/>
      <c r="AA3660" s="79" t="str">
        <f>IF(AND(MONTH(E3660)='IN-NX'!$J$5,'IN-NX'!$D$7=D3660),"x","")</f>
        <v/>
      </c>
      <c r="AB3660" s="79" t="str">
        <f>IF(AND(OR(LEFT(TH!N3660,2)="15",LEFT(TH!O3660,2)="15"),LEFT(TH!O3660,3)&lt;&gt;"111",'152-CT'!$J$8=TH!F3660),"x","")</f>
        <v/>
      </c>
      <c r="AC3660" s="79" t="str">
        <f>IF(AND(OR(LEFT(TH!N3660,2)="15",LEFT(TH!O3660,2)="15"),TK!$E$7=TH!F3660),"x","")</f>
        <v/>
      </c>
      <c r="AD3660" s="79" t="str">
        <f>IF(AND(N3660="1521",MONTH(C3660)='BK-NL'!$M$11),"x","")</f>
        <v/>
      </c>
    </row>
    <row r="3661" spans="1:30" ht="16.5" customHeight="1">
      <c r="A3661" s="318" t="str">
        <f>IF(B3661&lt;&gt;"",IF(AND(B3661='IN-TC'!$S$4,OR(TH!N3661="1111",TH!O3661="1111")),TH!D3661,""),"")</f>
        <v/>
      </c>
      <c r="B3661" s="60" t="str">
        <f t="shared" si="408"/>
        <v/>
      </c>
      <c r="C3661" s="75"/>
      <c r="D3661" s="75"/>
      <c r="E3661" s="75"/>
      <c r="F3661" s="76"/>
      <c r="G3661" s="76"/>
      <c r="H3661" s="759"/>
      <c r="I3661" s="383"/>
      <c r="J3661" s="390"/>
      <c r="K3661" s="383"/>
      <c r="L3661" s="390"/>
      <c r="M3661" s="978"/>
      <c r="N3661" s="79"/>
      <c r="O3661" s="979"/>
      <c r="P3661" s="79" t="str">
        <f>IF(AND('331-CT'!$E$7=TH!H3661,OR(N3661="331",O3661="331")),"x","")</f>
        <v/>
      </c>
      <c r="Q3661" s="79" t="str">
        <f>IF(AND(B3661='111'!$L$11,OR($N3661=$Q$7,$O3661=$Q$7)),"x","")</f>
        <v/>
      </c>
      <c r="R3661" s="79" t="str">
        <f>IF(AND($N3661=$Q$7,$B3661&lt;'111'!$L$11),"x","")</f>
        <v/>
      </c>
      <c r="S3661" s="79" t="str">
        <f>IF(AND($O3661=$Q$7,$B3661&lt;'111'!$L$11),"x","")</f>
        <v/>
      </c>
      <c r="T3661" s="79" t="str">
        <f>IF(ISERROR(FIND('112'!$M$9,G3661,1)),"",IF((AND(FIND('112'!$M$9,G3661,1)&gt;=1,B3661='112'!$K$9,OR($N3661='112'!$I$6,$O3661='112'!$I$6))),"x",""))</f>
        <v/>
      </c>
      <c r="U3661" s="79" t="str">
        <f>IF(ISERROR(FIND('112'!$M$9,G3661,1)),"",IF((AND(LEFT(G3661,2)=LEFT('112'!$M$9,2),B3661&lt;'112'!$K$9,$N3661='112'!$I$6)),"x",""))</f>
        <v/>
      </c>
      <c r="V3661" s="79" t="str">
        <f>IF(ISERROR(FIND('112'!$M$9,G3661,1)),"",IF((AND(RIGHT(G3661,2)=RIGHT('112'!$M$9,2),B3661&lt;'112'!$K$9,$O3661='112'!$I$6)),"x",""))</f>
        <v/>
      </c>
      <c r="W3661" s="79" t="str">
        <f>IF(AND('341-CT'!$H$9=H3661,OR(LEFT(N3661,3)=$W$7,LEFT(O3661,3)=$W$7)),"x","")</f>
        <v/>
      </c>
      <c r="X3661" s="79" t="str">
        <f>IF(OR(TH!N3661=TH!$X$7,O3661=TH!$X$7),"x","")</f>
        <v/>
      </c>
      <c r="Y3661" s="79" t="str">
        <f>IF(AND(OR(N3661="131",O3661="131"),H3661='131-CT'!$H$9),"x","")</f>
        <v/>
      </c>
      <c r="Z3661" s="79"/>
      <c r="AA3661" s="79" t="str">
        <f>IF(AND(MONTH(E3661)='IN-NX'!$J$5,'IN-NX'!$D$7=D3661),"x","")</f>
        <v/>
      </c>
      <c r="AB3661" s="79" t="str">
        <f>IF(AND(OR(LEFT(TH!N3661,2)="15",LEFT(TH!O3661,2)="15"),LEFT(TH!O3661,3)&lt;&gt;"111",'152-CT'!$J$8=TH!F3661),"x","")</f>
        <v/>
      </c>
      <c r="AC3661" s="79" t="str">
        <f>IF(AND(OR(LEFT(TH!N3661,2)="15",LEFT(TH!O3661,2)="15"),TK!$E$7=TH!F3661),"x","")</f>
        <v/>
      </c>
      <c r="AD3661" s="79" t="str">
        <f>IF(AND(N3661="1521",MONTH(C3661)='BK-NL'!$M$11),"x","")</f>
        <v/>
      </c>
    </row>
    <row r="3662" spans="1:30" ht="16.5" customHeight="1">
      <c r="A3662" s="318" t="str">
        <f>IF(B3662&lt;&gt;"",IF(AND(B3662='IN-TC'!$S$4,OR(TH!N3662="1111",TH!O3662="1111")),TH!D3662,""),"")</f>
        <v/>
      </c>
      <c r="B3662" s="60" t="str">
        <f t="shared" si="408"/>
        <v/>
      </c>
      <c r="C3662" s="75"/>
      <c r="D3662" s="75"/>
      <c r="E3662" s="75"/>
      <c r="F3662" s="76"/>
      <c r="G3662" s="76"/>
      <c r="H3662" s="759"/>
      <c r="I3662" s="383"/>
      <c r="J3662" s="390"/>
      <c r="K3662" s="383"/>
      <c r="L3662" s="390"/>
      <c r="M3662" s="978"/>
      <c r="N3662" s="1262"/>
      <c r="O3662" s="79"/>
      <c r="P3662" s="79" t="str">
        <f>IF(AND('331-CT'!$E$7=TH!H3662,OR(N3662="331",O3662="331")),"x","")</f>
        <v/>
      </c>
      <c r="Q3662" s="79" t="str">
        <f>IF(AND(B3662='111'!$L$11,OR($N3662=$Q$7,$O3662=$Q$7)),"x","")</f>
        <v/>
      </c>
      <c r="R3662" s="79" t="str">
        <f>IF(AND($N3662=$Q$7,$B3662&lt;'111'!$L$11),"x","")</f>
        <v/>
      </c>
      <c r="S3662" s="79" t="str">
        <f>IF(AND($O3662=$Q$7,$B3662&lt;'111'!$L$11),"x","")</f>
        <v/>
      </c>
      <c r="T3662" s="79" t="str">
        <f>IF(ISERROR(FIND('112'!$M$9,G3662,1)),"",IF((AND(FIND('112'!$M$9,G3662,1)&gt;=1,B3662='112'!$K$9,OR($N3662='112'!$I$6,$O3662='112'!$I$6))),"x",""))</f>
        <v/>
      </c>
      <c r="U3662" s="79" t="str">
        <f>IF(ISERROR(FIND('112'!$M$9,G3662,1)),"",IF((AND(LEFT(G3662,2)=LEFT('112'!$M$9,2),B3662&lt;'112'!$K$9,$N3662='112'!$I$6)),"x",""))</f>
        <v/>
      </c>
      <c r="V3662" s="79" t="str">
        <f>IF(ISERROR(FIND('112'!$M$9,G3662,1)),"",IF((AND(RIGHT(G3662,2)=RIGHT('112'!$M$9,2),B3662&lt;'112'!$K$9,$O3662='112'!$I$6)),"x",""))</f>
        <v/>
      </c>
      <c r="W3662" s="79" t="str">
        <f>IF(AND('341-CT'!$H$9=H3662,OR(LEFT(N3662,3)=$W$7,LEFT(O3662,3)=$W$7)),"x","")</f>
        <v/>
      </c>
      <c r="X3662" s="79" t="str">
        <f>IF(OR(TH!N3662=TH!$X$7,O3662=TH!$X$7),"x","")</f>
        <v/>
      </c>
      <c r="Y3662" s="79" t="str">
        <f>IF(AND(OR(N3662="131",O3662="131"),H3662='131-CT'!$H$9),"x","")</f>
        <v/>
      </c>
      <c r="Z3662" s="79"/>
      <c r="AA3662" s="79" t="str">
        <f>IF(AND(MONTH(E3662)='IN-NX'!$J$5,'IN-NX'!$D$7=D3662),"x","")</f>
        <v/>
      </c>
      <c r="AB3662" s="79" t="str">
        <f>IF(AND(OR(LEFT(TH!N3662,2)="15",LEFT(TH!O3662,2)="15"),LEFT(TH!O3662,3)&lt;&gt;"111",'152-CT'!$J$8=TH!F3662),"x","")</f>
        <v/>
      </c>
      <c r="AC3662" s="79" t="str">
        <f>IF(AND(OR(LEFT(TH!N3662,2)="15",LEFT(TH!O3662,2)="15"),TK!$E$7=TH!F3662),"x","")</f>
        <v/>
      </c>
      <c r="AD3662" s="79" t="str">
        <f>IF(AND(N3662="1521",MONTH(C3662)='BK-NL'!$M$11),"x","")</f>
        <v/>
      </c>
    </row>
    <row r="3663" spans="1:30" ht="16.5" customHeight="1">
      <c r="A3663" s="318" t="str">
        <f>IF(B3663&lt;&gt;"",IF(AND(B3663='IN-TC'!$S$4,OR(TH!N3663="1111",TH!O3663="1111")),TH!D3663,""),"")</f>
        <v/>
      </c>
      <c r="B3663" s="60" t="str">
        <f t="shared" si="408"/>
        <v/>
      </c>
      <c r="C3663" s="75"/>
      <c r="D3663" s="75"/>
      <c r="E3663" s="75"/>
      <c r="F3663" s="76"/>
      <c r="G3663" s="76"/>
      <c r="H3663" s="759"/>
      <c r="I3663" s="383"/>
      <c r="J3663" s="390"/>
      <c r="K3663" s="383"/>
      <c r="L3663" s="390"/>
      <c r="M3663" s="978"/>
      <c r="N3663" s="1262"/>
      <c r="O3663" s="79"/>
      <c r="P3663" s="79" t="str">
        <f>IF(AND('331-CT'!$E$7=TH!H3663,OR(N3663="331",O3663="331")),"x","")</f>
        <v/>
      </c>
      <c r="Q3663" s="79" t="str">
        <f>IF(AND(B3663='111'!$L$11,OR($N3663=$Q$7,$O3663=$Q$7)),"x","")</f>
        <v/>
      </c>
      <c r="R3663" s="79" t="str">
        <f>IF(AND($N3663=$Q$7,$B3663&lt;'111'!$L$11),"x","")</f>
        <v/>
      </c>
      <c r="S3663" s="79" t="str">
        <f>IF(AND($O3663=$Q$7,$B3663&lt;'111'!$L$11),"x","")</f>
        <v/>
      </c>
      <c r="T3663" s="79" t="str">
        <f>IF(ISERROR(FIND('112'!$M$9,G3663,1)),"",IF((AND(FIND('112'!$M$9,G3663,1)&gt;=1,B3663='112'!$K$9,OR($N3663='112'!$I$6,$O3663='112'!$I$6))),"x",""))</f>
        <v/>
      </c>
      <c r="U3663" s="79" t="str">
        <f>IF(ISERROR(FIND('112'!$M$9,G3663,1)),"",IF((AND(LEFT(G3663,2)=LEFT('112'!$M$9,2),B3663&lt;'112'!$K$9,$N3663='112'!$I$6)),"x",""))</f>
        <v/>
      </c>
      <c r="V3663" s="79" t="str">
        <f>IF(ISERROR(FIND('112'!$M$9,G3663,1)),"",IF((AND(RIGHT(G3663,2)=RIGHT('112'!$M$9,2),B3663&lt;'112'!$K$9,$O3663='112'!$I$6)),"x",""))</f>
        <v/>
      </c>
      <c r="W3663" s="79" t="str">
        <f>IF(AND('341-CT'!$H$9=H3663,OR(LEFT(N3663,3)=$W$7,LEFT(O3663,3)=$W$7)),"x","")</f>
        <v/>
      </c>
      <c r="X3663" s="79" t="str">
        <f>IF(OR(TH!N3663=TH!$X$7,O3663=TH!$X$7),"x","")</f>
        <v/>
      </c>
      <c r="Y3663" s="79" t="str">
        <f>IF(AND(OR(N3663="131",O3663="131"),H3663='131-CT'!$H$9),"x","")</f>
        <v/>
      </c>
      <c r="Z3663" s="79"/>
      <c r="AA3663" s="79" t="str">
        <f>IF(AND(MONTH(E3663)='IN-NX'!$J$5,'IN-NX'!$D$7=D3663),"x","")</f>
        <v/>
      </c>
      <c r="AB3663" s="79" t="str">
        <f>IF(AND(OR(LEFT(TH!N3663,2)="15",LEFT(TH!O3663,2)="15"),LEFT(TH!O3663,3)&lt;&gt;"111",'152-CT'!$J$8=TH!F3663),"x","")</f>
        <v/>
      </c>
      <c r="AC3663" s="79" t="str">
        <f>IF(AND(OR(LEFT(TH!N3663,2)="15",LEFT(TH!O3663,2)="15"),TK!$E$7=TH!F3663),"x","")</f>
        <v/>
      </c>
      <c r="AD3663" s="79" t="str">
        <f>IF(AND(N3663="1521",MONTH(C3663)='BK-NL'!$M$11),"x","")</f>
        <v/>
      </c>
    </row>
    <row r="3664" spans="1:30" ht="16.5" customHeight="1">
      <c r="A3664" s="318" t="str">
        <f>IF(B3664&lt;&gt;"",IF(AND(B3664='IN-TC'!$S$4,OR(TH!N3664="1111",TH!O3664="1111")),TH!D3664,""),"")</f>
        <v/>
      </c>
      <c r="B3664" s="60" t="str">
        <f t="shared" si="408"/>
        <v/>
      </c>
      <c r="C3664" s="75"/>
      <c r="D3664" s="75"/>
      <c r="E3664" s="75"/>
      <c r="F3664" s="76"/>
      <c r="G3664" s="76"/>
      <c r="H3664" s="759"/>
      <c r="I3664" s="383"/>
      <c r="J3664" s="390"/>
      <c r="K3664" s="383"/>
      <c r="L3664" s="390"/>
      <c r="M3664" s="978"/>
      <c r="N3664" s="1262"/>
      <c r="O3664" s="979"/>
      <c r="P3664" s="79" t="str">
        <f>IF(AND('331-CT'!$E$7=TH!H3664,OR(N3664="331",O3664="331")),"x","")</f>
        <v/>
      </c>
      <c r="Q3664" s="79" t="str">
        <f>IF(AND(B3664='111'!$L$11,OR($N3664=$Q$7,$O3664=$Q$7)),"x","")</f>
        <v/>
      </c>
      <c r="R3664" s="79" t="str">
        <f>IF(AND($N3664=$Q$7,$B3664&lt;'111'!$L$11),"x","")</f>
        <v/>
      </c>
      <c r="S3664" s="79" t="str">
        <f>IF(AND($O3664=$Q$7,$B3664&lt;'111'!$L$11),"x","")</f>
        <v/>
      </c>
      <c r="T3664" s="79" t="str">
        <f>IF(ISERROR(FIND('112'!$M$9,G3664,1)),"",IF((AND(FIND('112'!$M$9,G3664,1)&gt;=1,B3664='112'!$K$9,OR($N3664='112'!$I$6,$O3664='112'!$I$6))),"x",""))</f>
        <v/>
      </c>
      <c r="U3664" s="79" t="str">
        <f>IF(ISERROR(FIND('112'!$M$9,G3664,1)),"",IF((AND(LEFT(G3664,2)=LEFT('112'!$M$9,2),B3664&lt;'112'!$K$9,$N3664='112'!$I$6)),"x",""))</f>
        <v/>
      </c>
      <c r="V3664" s="79" t="str">
        <f>IF(ISERROR(FIND('112'!$M$9,G3664,1)),"",IF((AND(RIGHT(G3664,2)=RIGHT('112'!$M$9,2),B3664&lt;'112'!$K$9,$O3664='112'!$I$6)),"x",""))</f>
        <v/>
      </c>
      <c r="W3664" s="79" t="str">
        <f>IF(AND('341-CT'!$H$9=H3664,OR(LEFT(N3664,3)=$W$7,LEFT(O3664,3)=$W$7)),"x","")</f>
        <v/>
      </c>
      <c r="X3664" s="79" t="str">
        <f>IF(OR(TH!N3664=TH!$X$7,O3664=TH!$X$7),"x","")</f>
        <v/>
      </c>
      <c r="Y3664" s="79" t="str">
        <f>IF(AND(OR(N3664="131",O3664="131"),H3664='131-CT'!$H$9),"x","")</f>
        <v/>
      </c>
      <c r="Z3664" s="79"/>
      <c r="AA3664" s="79" t="str">
        <f>IF(AND(MONTH(E3664)='IN-NX'!$J$5,'IN-NX'!$D$7=D3664),"x","")</f>
        <v/>
      </c>
      <c r="AB3664" s="79" t="str">
        <f>IF(AND(OR(LEFT(TH!N3664,2)="15",LEFT(TH!O3664,2)="15"),LEFT(TH!O3664,3)&lt;&gt;"111",'152-CT'!$J$8=TH!F3664),"x","")</f>
        <v/>
      </c>
      <c r="AC3664" s="79" t="str">
        <f>IF(AND(OR(LEFT(TH!N3664,2)="15",LEFT(TH!O3664,2)="15"),TK!$E$7=TH!F3664),"x","")</f>
        <v/>
      </c>
      <c r="AD3664" s="79" t="str">
        <f>IF(AND(N3664="1521",MONTH(C3664)='BK-NL'!$M$11),"x","")</f>
        <v/>
      </c>
    </row>
    <row r="3665" spans="1:30" ht="16.5" customHeight="1">
      <c r="A3665" s="318" t="str">
        <f>IF(B3665&lt;&gt;"",IF(AND(B3665='IN-TC'!$S$4,OR(TH!N3665="1111",TH!O3665="1111")),TH!D3665,""),"")</f>
        <v/>
      </c>
      <c r="B3665" s="60" t="str">
        <f t="shared" si="408"/>
        <v/>
      </c>
      <c r="C3665" s="75"/>
      <c r="D3665" s="75"/>
      <c r="E3665" s="75"/>
      <c r="F3665" s="76"/>
      <c r="G3665" s="76"/>
      <c r="H3665" s="759"/>
      <c r="I3665" s="383"/>
      <c r="J3665" s="390"/>
      <c r="K3665" s="383"/>
      <c r="L3665" s="390"/>
      <c r="M3665" s="978"/>
      <c r="N3665" s="1262"/>
      <c r="O3665" s="979"/>
      <c r="P3665" s="79" t="str">
        <f>IF(AND('331-CT'!$E$7=TH!H3665,OR(N3665="331",O3665="331")),"x","")</f>
        <v/>
      </c>
      <c r="Q3665" s="79" t="str">
        <f>IF(AND(B3665='111'!$L$11,OR($N3665=$Q$7,$O3665=$Q$7)),"x","")</f>
        <v/>
      </c>
      <c r="R3665" s="79" t="str">
        <f>IF(AND($N3665=$Q$7,$B3665&lt;'111'!$L$11),"x","")</f>
        <v/>
      </c>
      <c r="S3665" s="79" t="str">
        <f>IF(AND($O3665=$Q$7,$B3665&lt;'111'!$L$11),"x","")</f>
        <v/>
      </c>
      <c r="T3665" s="79" t="str">
        <f>IF(ISERROR(FIND('112'!$M$9,G3665,1)),"",IF((AND(FIND('112'!$M$9,G3665,1)&gt;=1,B3665='112'!$K$9,OR($N3665='112'!$I$6,$O3665='112'!$I$6))),"x",""))</f>
        <v/>
      </c>
      <c r="U3665" s="79" t="str">
        <f>IF(ISERROR(FIND('112'!$M$9,G3665,1)),"",IF((AND(LEFT(G3665,2)=LEFT('112'!$M$9,2),B3665&lt;'112'!$K$9,$N3665='112'!$I$6)),"x",""))</f>
        <v/>
      </c>
      <c r="V3665" s="79" t="str">
        <f>IF(ISERROR(FIND('112'!$M$9,G3665,1)),"",IF((AND(RIGHT(G3665,2)=RIGHT('112'!$M$9,2),B3665&lt;'112'!$K$9,$O3665='112'!$I$6)),"x",""))</f>
        <v/>
      </c>
      <c r="W3665" s="79" t="str">
        <f>IF(AND('341-CT'!$H$9=H3665,OR(LEFT(N3665,3)=$W$7,LEFT(O3665,3)=$W$7)),"x","")</f>
        <v/>
      </c>
      <c r="X3665" s="79" t="str">
        <f>IF(OR(TH!N3665=TH!$X$7,O3665=TH!$X$7),"x","")</f>
        <v/>
      </c>
      <c r="Y3665" s="79" t="str">
        <f>IF(AND(OR(N3665="131",O3665="131"),H3665='131-CT'!$H$9),"x","")</f>
        <v/>
      </c>
      <c r="Z3665" s="79"/>
      <c r="AA3665" s="79" t="str">
        <f>IF(AND(MONTH(E3665)='IN-NX'!$J$5,'IN-NX'!$D$7=D3665),"x","")</f>
        <v/>
      </c>
      <c r="AB3665" s="79" t="str">
        <f>IF(AND(OR(LEFT(TH!N3665,2)="15",LEFT(TH!O3665,2)="15"),LEFT(TH!O3665,3)&lt;&gt;"111",'152-CT'!$J$8=TH!F3665),"x","")</f>
        <v/>
      </c>
      <c r="AC3665" s="79" t="str">
        <f>IF(AND(OR(LEFT(TH!N3665,2)="15",LEFT(TH!O3665,2)="15"),TK!$E$7=TH!F3665),"x","")</f>
        <v/>
      </c>
      <c r="AD3665" s="79" t="str">
        <f>IF(AND(N3665="1521",MONTH(C3665)='BK-NL'!$M$11),"x","")</f>
        <v/>
      </c>
    </row>
    <row r="3666" spans="1:30" ht="16.5" customHeight="1">
      <c r="A3666" s="318" t="str">
        <f>IF(B3666&lt;&gt;"",IF(AND(B3666='IN-TC'!$S$4,OR(TH!N3666="1111",TH!O3666="1111")),TH!D3666,""),"")</f>
        <v/>
      </c>
      <c r="B3666" s="60" t="str">
        <f t="shared" si="408"/>
        <v/>
      </c>
      <c r="C3666" s="75"/>
      <c r="D3666" s="75"/>
      <c r="E3666" s="75"/>
      <c r="F3666" s="76"/>
      <c r="G3666" s="76"/>
      <c r="H3666" s="759"/>
      <c r="I3666" s="383"/>
      <c r="J3666" s="390"/>
      <c r="K3666" s="383"/>
      <c r="L3666" s="390"/>
      <c r="M3666" s="978"/>
      <c r="N3666" s="1262"/>
      <c r="O3666" s="979"/>
      <c r="P3666" s="79" t="str">
        <f>IF(AND('331-CT'!$E$7=TH!H3666,OR(N3666="331",O3666="331")),"x","")</f>
        <v/>
      </c>
      <c r="Q3666" s="79" t="str">
        <f>IF(AND(B3666='111'!$L$11,OR($N3666=$Q$7,$O3666=$Q$7)),"x","")</f>
        <v/>
      </c>
      <c r="R3666" s="79" t="str">
        <f>IF(AND($N3666=$Q$7,$B3666&lt;'111'!$L$11),"x","")</f>
        <v/>
      </c>
      <c r="S3666" s="79" t="str">
        <f>IF(AND($O3666=$Q$7,$B3666&lt;'111'!$L$11),"x","")</f>
        <v/>
      </c>
      <c r="T3666" s="79" t="str">
        <f>IF(ISERROR(FIND('112'!$M$9,G3666,1)),"",IF((AND(FIND('112'!$M$9,G3666,1)&gt;=1,B3666='112'!$K$9,OR($N3666='112'!$I$6,$O3666='112'!$I$6))),"x",""))</f>
        <v/>
      </c>
      <c r="U3666" s="79" t="str">
        <f>IF(ISERROR(FIND('112'!$M$9,G3666,1)),"",IF((AND(LEFT(G3666,2)=LEFT('112'!$M$9,2),B3666&lt;'112'!$K$9,$N3666='112'!$I$6)),"x",""))</f>
        <v/>
      </c>
      <c r="V3666" s="79" t="str">
        <f>IF(ISERROR(FIND('112'!$M$9,G3666,1)),"",IF((AND(RIGHT(G3666,2)=RIGHT('112'!$M$9,2),B3666&lt;'112'!$K$9,$O3666='112'!$I$6)),"x",""))</f>
        <v/>
      </c>
      <c r="W3666" s="79" t="str">
        <f>IF(AND('341-CT'!$H$9=H3666,OR(LEFT(N3666,3)=$W$7,LEFT(O3666,3)=$W$7)),"x","")</f>
        <v/>
      </c>
      <c r="X3666" s="79" t="str">
        <f>IF(OR(TH!N3666=TH!$X$7,O3666=TH!$X$7),"x","")</f>
        <v/>
      </c>
      <c r="Y3666" s="79" t="str">
        <f>IF(AND(OR(N3666="131",O3666="131"),H3666='131-CT'!$H$9),"x","")</f>
        <v/>
      </c>
      <c r="Z3666" s="79"/>
      <c r="AA3666" s="79" t="str">
        <f>IF(AND(MONTH(E3666)='IN-NX'!$J$5,'IN-NX'!$D$7=D3666),"x","")</f>
        <v/>
      </c>
      <c r="AB3666" s="79" t="str">
        <f>IF(AND(OR(LEFT(TH!N3666,2)="15",LEFT(TH!O3666,2)="15"),LEFT(TH!O3666,3)&lt;&gt;"111",'152-CT'!$J$8=TH!F3666),"x","")</f>
        <v/>
      </c>
      <c r="AC3666" s="79" t="str">
        <f>IF(AND(OR(LEFT(TH!N3666,2)="15",LEFT(TH!O3666,2)="15"),TK!$E$7=TH!F3666),"x","")</f>
        <v/>
      </c>
      <c r="AD3666" s="79" t="str">
        <f>IF(AND(N3666="1521",MONTH(C3666)='BK-NL'!$M$11),"x","")</f>
        <v/>
      </c>
    </row>
    <row r="3667" spans="1:30" ht="16.5" customHeight="1">
      <c r="A3667" s="318" t="str">
        <f>IF(B3667&lt;&gt;"",IF(AND(B3667='IN-TC'!$S$4,OR(TH!N3667="1111",TH!O3667="1111")),TH!D3667,""),"")</f>
        <v/>
      </c>
      <c r="B3667" s="60" t="str">
        <f t="shared" si="408"/>
        <v/>
      </c>
      <c r="C3667" s="75"/>
      <c r="D3667" s="75"/>
      <c r="E3667" s="75"/>
      <c r="F3667" s="76"/>
      <c r="G3667" s="76"/>
      <c r="H3667" s="759"/>
      <c r="I3667" s="383"/>
      <c r="J3667" s="390"/>
      <c r="K3667" s="383"/>
      <c r="L3667" s="390"/>
      <c r="M3667" s="978"/>
      <c r="N3667" s="1262"/>
      <c r="O3667" s="979"/>
      <c r="P3667" s="79" t="str">
        <f>IF(AND('331-CT'!$E$7=TH!H3667,OR(N3667="331",O3667="331")),"x","")</f>
        <v/>
      </c>
      <c r="Q3667" s="79" t="str">
        <f>IF(AND(B3667='111'!$L$11,OR($N3667=$Q$7,$O3667=$Q$7)),"x","")</f>
        <v/>
      </c>
      <c r="R3667" s="79" t="str">
        <f>IF(AND($N3667=$Q$7,$B3667&lt;'111'!$L$11),"x","")</f>
        <v/>
      </c>
      <c r="S3667" s="79" t="str">
        <f>IF(AND($O3667=$Q$7,$B3667&lt;'111'!$L$11),"x","")</f>
        <v/>
      </c>
      <c r="T3667" s="79" t="str">
        <f>IF(ISERROR(FIND('112'!$M$9,G3667,1)),"",IF((AND(FIND('112'!$M$9,G3667,1)&gt;=1,B3667='112'!$K$9,OR($N3667='112'!$I$6,$O3667='112'!$I$6))),"x",""))</f>
        <v/>
      </c>
      <c r="U3667" s="79" t="str">
        <f>IF(ISERROR(FIND('112'!$M$9,G3667,1)),"",IF((AND(LEFT(G3667,2)=LEFT('112'!$M$9,2),B3667&lt;'112'!$K$9,$N3667='112'!$I$6)),"x",""))</f>
        <v/>
      </c>
      <c r="V3667" s="79" t="str">
        <f>IF(ISERROR(FIND('112'!$M$9,G3667,1)),"",IF((AND(RIGHT(G3667,2)=RIGHT('112'!$M$9,2),B3667&lt;'112'!$K$9,$O3667='112'!$I$6)),"x",""))</f>
        <v/>
      </c>
      <c r="W3667" s="79" t="str">
        <f>IF(AND('341-CT'!$H$9=H3667,OR(LEFT(N3667,3)=$W$7,LEFT(O3667,3)=$W$7)),"x","")</f>
        <v/>
      </c>
      <c r="X3667" s="79" t="str">
        <f>IF(OR(TH!N3667=TH!$X$7,O3667=TH!$X$7),"x","")</f>
        <v/>
      </c>
      <c r="Y3667" s="79" t="str">
        <f>IF(AND(OR(N3667="131",O3667="131"),H3667='131-CT'!$H$9),"x","")</f>
        <v/>
      </c>
      <c r="Z3667" s="79"/>
      <c r="AA3667" s="79" t="str">
        <f>IF(AND(MONTH(E3667)='IN-NX'!$J$5,'IN-NX'!$D$7=D3667),"x","")</f>
        <v/>
      </c>
      <c r="AB3667" s="79" t="str">
        <f>IF(AND(OR(LEFT(TH!N3667,2)="15",LEFT(TH!O3667,2)="15"),LEFT(TH!O3667,3)&lt;&gt;"111",'152-CT'!$J$8=TH!F3667),"x","")</f>
        <v/>
      </c>
      <c r="AC3667" s="79" t="str">
        <f>IF(AND(OR(LEFT(TH!N3667,2)="15",LEFT(TH!O3667,2)="15"),TK!$E$7=TH!F3667),"x","")</f>
        <v/>
      </c>
      <c r="AD3667" s="79" t="str">
        <f>IF(AND(N3667="1521",MONTH(C3667)='BK-NL'!$M$11),"x","")</f>
        <v/>
      </c>
    </row>
    <row r="3668" spans="1:30" ht="16.5" customHeight="1">
      <c r="A3668" s="318" t="str">
        <f>IF(B3668&lt;&gt;"",IF(AND(B3668='IN-TC'!$S$4,OR(TH!N3668="1111",TH!O3668="1111")),TH!D3668,""),"")</f>
        <v/>
      </c>
      <c r="B3668" s="60" t="str">
        <f t="shared" si="408"/>
        <v/>
      </c>
      <c r="C3668" s="75"/>
      <c r="D3668" s="75"/>
      <c r="E3668" s="75"/>
      <c r="F3668" s="76"/>
      <c r="G3668" s="76"/>
      <c r="H3668" s="759"/>
      <c r="I3668" s="383"/>
      <c r="J3668" s="390"/>
      <c r="K3668" s="383"/>
      <c r="L3668" s="390"/>
      <c r="M3668" s="978"/>
      <c r="N3668" s="1262"/>
      <c r="O3668" s="979"/>
      <c r="P3668" s="79" t="str">
        <f>IF(AND('331-CT'!$E$7=TH!H3668,OR(N3668="331",O3668="331")),"x","")</f>
        <v/>
      </c>
      <c r="Q3668" s="79" t="str">
        <f>IF(AND(B3668='111'!$L$11,OR($N3668=$Q$7,$O3668=$Q$7)),"x","")</f>
        <v/>
      </c>
      <c r="R3668" s="79" t="str">
        <f>IF(AND($N3668=$Q$7,$B3668&lt;'111'!$L$11),"x","")</f>
        <v/>
      </c>
      <c r="S3668" s="79" t="str">
        <f>IF(AND($O3668=$Q$7,$B3668&lt;'111'!$L$11),"x","")</f>
        <v/>
      </c>
      <c r="T3668" s="79" t="str">
        <f>IF(ISERROR(FIND('112'!$M$9,G3668,1)),"",IF((AND(FIND('112'!$M$9,G3668,1)&gt;=1,B3668='112'!$K$9,OR($N3668='112'!$I$6,$O3668='112'!$I$6))),"x",""))</f>
        <v/>
      </c>
      <c r="U3668" s="79" t="str">
        <f>IF(ISERROR(FIND('112'!$M$9,G3668,1)),"",IF((AND(LEFT(G3668,2)=LEFT('112'!$M$9,2),B3668&lt;'112'!$K$9,$N3668='112'!$I$6)),"x",""))</f>
        <v/>
      </c>
      <c r="V3668" s="79" t="str">
        <f>IF(ISERROR(FIND('112'!$M$9,G3668,1)),"",IF((AND(RIGHT(G3668,2)=RIGHT('112'!$M$9,2),B3668&lt;'112'!$K$9,$O3668='112'!$I$6)),"x",""))</f>
        <v/>
      </c>
      <c r="W3668" s="79" t="str">
        <f>IF(AND('341-CT'!$H$9=H3668,OR(LEFT(N3668,3)=$W$7,LEFT(O3668,3)=$W$7)),"x","")</f>
        <v/>
      </c>
      <c r="X3668" s="79" t="str">
        <f>IF(OR(TH!N3668=TH!$X$7,O3668=TH!$X$7),"x","")</f>
        <v/>
      </c>
      <c r="Y3668" s="79" t="str">
        <f>IF(AND(OR(N3668="131",O3668="131"),H3668='131-CT'!$H$9),"x","")</f>
        <v/>
      </c>
      <c r="Z3668" s="79"/>
      <c r="AA3668" s="79" t="str">
        <f>IF(AND(MONTH(E3668)='IN-NX'!$J$5,'IN-NX'!$D$7=D3668),"x","")</f>
        <v/>
      </c>
      <c r="AB3668" s="79" t="str">
        <f>IF(AND(OR(LEFT(TH!N3668,2)="15",LEFT(TH!O3668,2)="15"),LEFT(TH!O3668,3)&lt;&gt;"111",'152-CT'!$J$8=TH!F3668),"x","")</f>
        <v/>
      </c>
      <c r="AC3668" s="79" t="str">
        <f>IF(AND(OR(LEFT(TH!N3668,2)="15",LEFT(TH!O3668,2)="15"),TK!$E$7=TH!F3668),"x","")</f>
        <v/>
      </c>
      <c r="AD3668" s="79" t="str">
        <f>IF(AND(N3668="1521",MONTH(C3668)='BK-NL'!$M$11),"x","")</f>
        <v/>
      </c>
    </row>
    <row r="3669" spans="1:30" ht="16.5" customHeight="1">
      <c r="A3669" s="318" t="str">
        <f>IF(B3669&lt;&gt;"",IF(AND(B3669='IN-TC'!$S$4,OR(TH!N3669="1111",TH!O3669="1111")),TH!D3669,""),"")</f>
        <v/>
      </c>
      <c r="B3669" s="60" t="str">
        <f t="shared" si="408"/>
        <v/>
      </c>
      <c r="C3669" s="75"/>
      <c r="D3669" s="75"/>
      <c r="E3669" s="75"/>
      <c r="F3669" s="76"/>
      <c r="G3669" s="76"/>
      <c r="H3669" s="759"/>
      <c r="I3669" s="383"/>
      <c r="J3669" s="390"/>
      <c r="K3669" s="383"/>
      <c r="L3669" s="390"/>
      <c r="M3669" s="978"/>
      <c r="N3669" s="1262"/>
      <c r="O3669" s="979"/>
      <c r="P3669" s="79" t="str">
        <f>IF(AND('331-CT'!$E$7=TH!H3669,OR(N3669="331",O3669="331")),"x","")</f>
        <v/>
      </c>
      <c r="Q3669" s="79" t="str">
        <f>IF(AND(B3669='111'!$L$11,OR($N3669=$Q$7,$O3669=$Q$7)),"x","")</f>
        <v/>
      </c>
      <c r="R3669" s="79" t="str">
        <f>IF(AND($N3669=$Q$7,$B3669&lt;'111'!$L$11),"x","")</f>
        <v/>
      </c>
      <c r="S3669" s="79" t="str">
        <f>IF(AND($O3669=$Q$7,$B3669&lt;'111'!$L$11),"x","")</f>
        <v/>
      </c>
      <c r="T3669" s="79" t="str">
        <f>IF(ISERROR(FIND('112'!$M$9,G3669,1)),"",IF((AND(FIND('112'!$M$9,G3669,1)&gt;=1,B3669='112'!$K$9,OR($N3669='112'!$I$6,$O3669='112'!$I$6))),"x",""))</f>
        <v/>
      </c>
      <c r="U3669" s="79" t="str">
        <f>IF(ISERROR(FIND('112'!$M$9,G3669,1)),"",IF((AND(LEFT(G3669,2)=LEFT('112'!$M$9,2),B3669&lt;'112'!$K$9,$N3669='112'!$I$6)),"x",""))</f>
        <v/>
      </c>
      <c r="V3669" s="79" t="str">
        <f>IF(ISERROR(FIND('112'!$M$9,G3669,1)),"",IF((AND(RIGHT(G3669,2)=RIGHT('112'!$M$9,2),B3669&lt;'112'!$K$9,$O3669='112'!$I$6)),"x",""))</f>
        <v/>
      </c>
      <c r="W3669" s="79" t="str">
        <f>IF(AND('341-CT'!$H$9=H3669,OR(LEFT(N3669,3)=$W$7,LEFT(O3669,3)=$W$7)),"x","")</f>
        <v/>
      </c>
      <c r="X3669" s="79" t="str">
        <f>IF(OR(TH!N3669=TH!$X$7,O3669=TH!$X$7),"x","")</f>
        <v/>
      </c>
      <c r="Y3669" s="79" t="str">
        <f>IF(AND(OR(N3669="131",O3669="131"),H3669='131-CT'!$H$9),"x","")</f>
        <v/>
      </c>
      <c r="Z3669" s="79"/>
      <c r="AA3669" s="79" t="str">
        <f>IF(AND(MONTH(E3669)='IN-NX'!$J$5,'IN-NX'!$D$7=D3669),"x","")</f>
        <v/>
      </c>
      <c r="AB3669" s="79" t="str">
        <f>IF(AND(OR(LEFT(TH!N3669,2)="15",LEFT(TH!O3669,2)="15"),LEFT(TH!O3669,3)&lt;&gt;"111",'152-CT'!$J$8=TH!F3669),"x","")</f>
        <v/>
      </c>
      <c r="AC3669" s="79" t="str">
        <f>IF(AND(OR(LEFT(TH!N3669,2)="15",LEFT(TH!O3669,2)="15"),TK!$E$7=TH!F3669),"x","")</f>
        <v/>
      </c>
      <c r="AD3669" s="79" t="str">
        <f>IF(AND(N3669="1521",MONTH(C3669)='BK-NL'!$M$11),"x","")</f>
        <v/>
      </c>
    </row>
    <row r="3670" spans="1:30" ht="16.5" customHeight="1">
      <c r="A3670" s="318" t="str">
        <f>IF(B3670&lt;&gt;"",IF(AND(B3670='IN-TC'!$S$4,OR(TH!N3670="1111",TH!O3670="1111")),TH!D3670,""),"")</f>
        <v/>
      </c>
      <c r="B3670" s="60" t="str">
        <f t="shared" si="408"/>
        <v/>
      </c>
      <c r="C3670" s="75"/>
      <c r="D3670" s="75"/>
      <c r="E3670" s="75"/>
      <c r="F3670" s="76"/>
      <c r="G3670" s="76"/>
      <c r="H3670" s="759"/>
      <c r="I3670" s="383"/>
      <c r="J3670" s="390"/>
      <c r="K3670" s="383"/>
      <c r="L3670" s="390"/>
      <c r="M3670" s="978"/>
      <c r="N3670" s="1262"/>
      <c r="O3670" s="979"/>
      <c r="P3670" s="79" t="str">
        <f>IF(AND('331-CT'!$E$7=TH!H3670,OR(N3670="331",O3670="331")),"x","")</f>
        <v/>
      </c>
      <c r="Q3670" s="79" t="str">
        <f>IF(AND(B3670='111'!$L$11,OR($N3670=$Q$7,$O3670=$Q$7)),"x","")</f>
        <v/>
      </c>
      <c r="R3670" s="79" t="str">
        <f>IF(AND($N3670=$Q$7,$B3670&lt;'111'!$L$11),"x","")</f>
        <v/>
      </c>
      <c r="S3670" s="79" t="str">
        <f>IF(AND($O3670=$Q$7,$B3670&lt;'111'!$L$11),"x","")</f>
        <v/>
      </c>
      <c r="T3670" s="79" t="str">
        <f>IF(ISERROR(FIND('112'!$M$9,G3670,1)),"",IF((AND(FIND('112'!$M$9,G3670,1)&gt;=1,B3670='112'!$K$9,OR($N3670='112'!$I$6,$O3670='112'!$I$6))),"x",""))</f>
        <v/>
      </c>
      <c r="U3670" s="79" t="str">
        <f>IF(ISERROR(FIND('112'!$M$9,G3670,1)),"",IF((AND(LEFT(G3670,2)=LEFT('112'!$M$9,2),B3670&lt;'112'!$K$9,$N3670='112'!$I$6)),"x",""))</f>
        <v/>
      </c>
      <c r="V3670" s="79" t="str">
        <f>IF(ISERROR(FIND('112'!$M$9,G3670,1)),"",IF((AND(RIGHT(G3670,2)=RIGHT('112'!$M$9,2),B3670&lt;'112'!$K$9,$O3670='112'!$I$6)),"x",""))</f>
        <v/>
      </c>
      <c r="W3670" s="79" t="str">
        <f>IF(AND('341-CT'!$H$9=H3670,OR(LEFT(N3670,3)=$W$7,LEFT(O3670,3)=$W$7)),"x","")</f>
        <v/>
      </c>
      <c r="X3670" s="79" t="str">
        <f>IF(OR(TH!N3670=TH!$X$7,O3670=TH!$X$7),"x","")</f>
        <v/>
      </c>
      <c r="Y3670" s="79" t="str">
        <f>IF(AND(OR(N3670="131",O3670="131"),H3670='131-CT'!$H$9),"x","")</f>
        <v/>
      </c>
      <c r="Z3670" s="79"/>
      <c r="AA3670" s="79" t="str">
        <f>IF(AND(MONTH(E3670)='IN-NX'!$J$5,'IN-NX'!$D$7=D3670),"x","")</f>
        <v/>
      </c>
      <c r="AB3670" s="79" t="str">
        <f>IF(AND(OR(LEFT(TH!N3670,2)="15",LEFT(TH!O3670,2)="15"),LEFT(TH!O3670,3)&lt;&gt;"111",'152-CT'!$J$8=TH!F3670),"x","")</f>
        <v/>
      </c>
      <c r="AC3670" s="79" t="str">
        <f>IF(AND(OR(LEFT(TH!N3670,2)="15",LEFT(TH!O3670,2)="15"),TK!$E$7=TH!F3670),"x","")</f>
        <v/>
      </c>
      <c r="AD3670" s="79" t="str">
        <f>IF(AND(N3670="1521",MONTH(C3670)='BK-NL'!$M$11),"x","")</f>
        <v/>
      </c>
    </row>
    <row r="3671" spans="1:30" ht="16.5" customHeight="1">
      <c r="A3671" s="318" t="str">
        <f>IF(B3671&lt;&gt;"",IF(AND(B3671='IN-TC'!$S$4,OR(TH!N3671="1111",TH!O3671="1111")),TH!D3671,""),"")</f>
        <v/>
      </c>
      <c r="B3671" s="60" t="str">
        <f t="shared" si="408"/>
        <v/>
      </c>
      <c r="C3671" s="75"/>
      <c r="D3671" s="75"/>
      <c r="E3671" s="75"/>
      <c r="F3671" s="76"/>
      <c r="G3671" s="76"/>
      <c r="H3671" s="759"/>
      <c r="I3671" s="383"/>
      <c r="J3671" s="390"/>
      <c r="K3671" s="383"/>
      <c r="L3671" s="390"/>
      <c r="M3671" s="978"/>
      <c r="N3671" s="1262"/>
      <c r="O3671" s="979"/>
      <c r="P3671" s="79" t="str">
        <f>IF(AND('331-CT'!$E$7=TH!H3671,OR(N3671="331",O3671="331")),"x","")</f>
        <v/>
      </c>
      <c r="Q3671" s="79" t="str">
        <f>IF(AND(B3671='111'!$L$11,OR($N3671=$Q$7,$O3671=$Q$7)),"x","")</f>
        <v/>
      </c>
      <c r="R3671" s="79" t="str">
        <f>IF(AND($N3671=$Q$7,$B3671&lt;'111'!$L$11),"x","")</f>
        <v/>
      </c>
      <c r="S3671" s="79" t="str">
        <f>IF(AND($O3671=$Q$7,$B3671&lt;'111'!$L$11),"x","")</f>
        <v/>
      </c>
      <c r="T3671" s="79" t="str">
        <f>IF(ISERROR(FIND('112'!$M$9,G3671,1)),"",IF((AND(FIND('112'!$M$9,G3671,1)&gt;=1,B3671='112'!$K$9,OR($N3671='112'!$I$6,$O3671='112'!$I$6))),"x",""))</f>
        <v/>
      </c>
      <c r="U3671" s="79" t="str">
        <f>IF(ISERROR(FIND('112'!$M$9,G3671,1)),"",IF((AND(LEFT(G3671,2)=LEFT('112'!$M$9,2),B3671&lt;'112'!$K$9,$N3671='112'!$I$6)),"x",""))</f>
        <v/>
      </c>
      <c r="V3671" s="79" t="str">
        <f>IF(ISERROR(FIND('112'!$M$9,G3671,1)),"",IF((AND(RIGHT(G3671,2)=RIGHT('112'!$M$9,2),B3671&lt;'112'!$K$9,$O3671='112'!$I$6)),"x",""))</f>
        <v/>
      </c>
      <c r="W3671" s="79" t="str">
        <f>IF(AND('341-CT'!$H$9=H3671,OR(LEFT(N3671,3)=$W$7,LEFT(O3671,3)=$W$7)),"x","")</f>
        <v/>
      </c>
      <c r="X3671" s="79" t="str">
        <f>IF(OR(TH!N3671=TH!$X$7,O3671=TH!$X$7),"x","")</f>
        <v/>
      </c>
      <c r="Y3671" s="79" t="str">
        <f>IF(AND(OR(N3671="131",O3671="131"),H3671='131-CT'!$H$9),"x","")</f>
        <v/>
      </c>
      <c r="Z3671" s="79"/>
      <c r="AA3671" s="79" t="str">
        <f>IF(AND(MONTH(E3671)='IN-NX'!$J$5,'IN-NX'!$D$7=D3671),"x","")</f>
        <v/>
      </c>
      <c r="AB3671" s="79" t="str">
        <f>IF(AND(OR(LEFT(TH!N3671,2)="15",LEFT(TH!O3671,2)="15"),LEFT(TH!O3671,3)&lt;&gt;"111",'152-CT'!$J$8=TH!F3671),"x","")</f>
        <v/>
      </c>
      <c r="AC3671" s="79" t="str">
        <f>IF(AND(OR(LEFT(TH!N3671,2)="15",LEFT(TH!O3671,2)="15"),TK!$E$7=TH!F3671),"x","")</f>
        <v/>
      </c>
      <c r="AD3671" s="79" t="str">
        <f>IF(AND(N3671="1521",MONTH(C3671)='BK-NL'!$M$11),"x","")</f>
        <v/>
      </c>
    </row>
    <row r="3672" spans="1:30" ht="16.5" customHeight="1">
      <c r="A3672" s="318" t="str">
        <f>IF(B3672&lt;&gt;"",IF(AND(B3672='IN-TC'!$S$4,OR(TH!N3672="1111",TH!O3672="1111")),TH!D3672,""),"")</f>
        <v/>
      </c>
      <c r="B3672" s="60" t="str">
        <f t="shared" si="408"/>
        <v/>
      </c>
      <c r="C3672" s="75"/>
      <c r="D3672" s="75"/>
      <c r="E3672" s="75"/>
      <c r="F3672" s="76"/>
      <c r="G3672" s="76"/>
      <c r="H3672" s="759"/>
      <c r="I3672" s="383"/>
      <c r="J3672" s="390"/>
      <c r="K3672" s="383"/>
      <c r="L3672" s="390"/>
      <c r="M3672" s="978"/>
      <c r="N3672" s="1262"/>
      <c r="O3672" s="979"/>
      <c r="P3672" s="79" t="str">
        <f>IF(AND('331-CT'!$E$7=TH!H3672,OR(N3672="331",O3672="331")),"x","")</f>
        <v/>
      </c>
      <c r="Q3672" s="79" t="str">
        <f>IF(AND(B3672='111'!$L$11,OR($N3672=$Q$7,$O3672=$Q$7)),"x","")</f>
        <v/>
      </c>
      <c r="R3672" s="79" t="str">
        <f>IF(AND($N3672=$Q$7,$B3672&lt;'111'!$L$11),"x","")</f>
        <v/>
      </c>
      <c r="S3672" s="79" t="str">
        <f>IF(AND($O3672=$Q$7,$B3672&lt;'111'!$L$11),"x","")</f>
        <v/>
      </c>
      <c r="T3672" s="79" t="str">
        <f>IF(ISERROR(FIND('112'!$M$9,G3672,1)),"",IF((AND(FIND('112'!$M$9,G3672,1)&gt;=1,B3672='112'!$K$9,OR($N3672='112'!$I$6,$O3672='112'!$I$6))),"x",""))</f>
        <v/>
      </c>
      <c r="U3672" s="79" t="str">
        <f>IF(ISERROR(FIND('112'!$M$9,G3672,1)),"",IF((AND(LEFT(G3672,2)=LEFT('112'!$M$9,2),B3672&lt;'112'!$K$9,$N3672='112'!$I$6)),"x",""))</f>
        <v/>
      </c>
      <c r="V3672" s="79" t="str">
        <f>IF(ISERROR(FIND('112'!$M$9,G3672,1)),"",IF((AND(RIGHT(G3672,2)=RIGHT('112'!$M$9,2),B3672&lt;'112'!$K$9,$O3672='112'!$I$6)),"x",""))</f>
        <v/>
      </c>
      <c r="W3672" s="79" t="str">
        <f>IF(AND('341-CT'!$H$9=H3672,OR(LEFT(N3672,3)=$W$7,LEFT(O3672,3)=$W$7)),"x","")</f>
        <v/>
      </c>
      <c r="X3672" s="79" t="str">
        <f>IF(OR(TH!N3672=TH!$X$7,O3672=TH!$X$7),"x","")</f>
        <v/>
      </c>
      <c r="Y3672" s="79" t="str">
        <f>IF(AND(OR(N3672="131",O3672="131"),H3672='131-CT'!$H$9),"x","")</f>
        <v/>
      </c>
      <c r="Z3672" s="79"/>
      <c r="AA3672" s="79" t="str">
        <f>IF(AND(MONTH(E3672)='IN-NX'!$J$5,'IN-NX'!$D$7=D3672),"x","")</f>
        <v/>
      </c>
      <c r="AB3672" s="79" t="str">
        <f>IF(AND(OR(LEFT(TH!N3672,2)="15",LEFT(TH!O3672,2)="15"),LEFT(TH!O3672,3)&lt;&gt;"111",'152-CT'!$J$8=TH!F3672),"x","")</f>
        <v/>
      </c>
      <c r="AC3672" s="79" t="str">
        <f>IF(AND(OR(LEFT(TH!N3672,2)="15",LEFT(TH!O3672,2)="15"),TK!$E$7=TH!F3672),"x","")</f>
        <v/>
      </c>
      <c r="AD3672" s="79" t="str">
        <f>IF(AND(N3672="1521",MONTH(C3672)='BK-NL'!$M$11),"x","")</f>
        <v/>
      </c>
    </row>
    <row r="3673" spans="1:30" ht="16.5" customHeight="1">
      <c r="A3673" s="318" t="str">
        <f>IF(B3673&lt;&gt;"",IF(AND(B3673='IN-TC'!$S$4,OR(TH!N3673="1111",TH!O3673="1111")),TH!D3673,""),"")</f>
        <v/>
      </c>
      <c r="B3673" s="60" t="str">
        <f t="shared" si="408"/>
        <v/>
      </c>
      <c r="C3673" s="75"/>
      <c r="D3673" s="75"/>
      <c r="E3673" s="75"/>
      <c r="F3673" s="76"/>
      <c r="G3673" s="76"/>
      <c r="H3673" s="759"/>
      <c r="I3673" s="383"/>
      <c r="J3673" s="390"/>
      <c r="K3673" s="383"/>
      <c r="L3673" s="390"/>
      <c r="M3673" s="978"/>
      <c r="N3673" s="79"/>
      <c r="O3673" s="979"/>
      <c r="P3673" s="79" t="str">
        <f>IF(AND('331-CT'!$E$7=TH!H3673,OR(N3673="331",O3673="331")),"x","")</f>
        <v/>
      </c>
      <c r="Q3673" s="79" t="str">
        <f>IF(AND(B3673='111'!$L$11,OR($N3673=$Q$7,$O3673=$Q$7)),"x","")</f>
        <v/>
      </c>
      <c r="R3673" s="79" t="str">
        <f>IF(AND($N3673=$Q$7,$B3673&lt;'111'!$L$11),"x","")</f>
        <v/>
      </c>
      <c r="S3673" s="79" t="str">
        <f>IF(AND($O3673=$Q$7,$B3673&lt;'111'!$L$11),"x","")</f>
        <v/>
      </c>
      <c r="T3673" s="79" t="str">
        <f>IF(ISERROR(FIND('112'!$M$9,G3673,1)),"",IF((AND(FIND('112'!$M$9,G3673,1)&gt;=1,B3673='112'!$K$9,OR($N3673='112'!$I$6,$O3673='112'!$I$6))),"x",""))</f>
        <v/>
      </c>
      <c r="U3673" s="79" t="str">
        <f>IF(ISERROR(FIND('112'!$M$9,G3673,1)),"",IF((AND(LEFT(G3673,2)=LEFT('112'!$M$9,2),B3673&lt;'112'!$K$9,$N3673='112'!$I$6)),"x",""))</f>
        <v/>
      </c>
      <c r="V3673" s="79" t="str">
        <f>IF(ISERROR(FIND('112'!$M$9,G3673,1)),"",IF((AND(RIGHT(G3673,2)=RIGHT('112'!$M$9,2),B3673&lt;'112'!$K$9,$O3673='112'!$I$6)),"x",""))</f>
        <v/>
      </c>
      <c r="W3673" s="79" t="str">
        <f>IF(AND('341-CT'!$H$9=H3673,OR(LEFT(N3673,3)=$W$7,LEFT(O3673,3)=$W$7)),"x","")</f>
        <v/>
      </c>
      <c r="X3673" s="79" t="str">
        <f>IF(OR(TH!N3673=TH!$X$7,O3673=TH!$X$7),"x","")</f>
        <v/>
      </c>
      <c r="Y3673" s="79" t="str">
        <f>IF(AND(OR(N3673="131",O3673="131"),H3673='131-CT'!$H$9),"x","")</f>
        <v/>
      </c>
      <c r="Z3673" s="79"/>
      <c r="AA3673" s="79" t="str">
        <f>IF(AND(MONTH(E3673)='IN-NX'!$J$5,'IN-NX'!$D$7=D3673),"x","")</f>
        <v/>
      </c>
      <c r="AB3673" s="79" t="str">
        <f>IF(AND(OR(LEFT(TH!N3673,2)="15",LEFT(TH!O3673,2)="15"),LEFT(TH!O3673,3)&lt;&gt;"111",'152-CT'!$J$8=TH!F3673),"x","")</f>
        <v/>
      </c>
      <c r="AC3673" s="79" t="str">
        <f>IF(AND(OR(LEFT(TH!N3673,2)="15",LEFT(TH!O3673,2)="15"),TK!$E$7=TH!F3673),"x","")</f>
        <v/>
      </c>
      <c r="AD3673" s="79" t="str">
        <f>IF(AND(N3673="1521",MONTH(C3673)='BK-NL'!$M$11),"x","")</f>
        <v/>
      </c>
    </row>
    <row r="3674" spans="1:30" ht="16.5" customHeight="1">
      <c r="A3674" s="318" t="str">
        <f>IF(B3674&lt;&gt;"",IF(AND(B3674='IN-TC'!$S$4,OR(TH!N3674="1111",TH!O3674="1111")),TH!D3674,""),"")</f>
        <v/>
      </c>
      <c r="B3674" s="60" t="str">
        <f t="shared" si="408"/>
        <v/>
      </c>
      <c r="C3674" s="75"/>
      <c r="D3674" s="75"/>
      <c r="E3674" s="75"/>
      <c r="F3674" s="76"/>
      <c r="G3674" s="76"/>
      <c r="H3674" s="759"/>
      <c r="I3674" s="383"/>
      <c r="J3674" s="390"/>
      <c r="K3674" s="383"/>
      <c r="L3674" s="390"/>
      <c r="M3674" s="978"/>
      <c r="N3674" s="1262"/>
      <c r="O3674" s="79"/>
      <c r="P3674" s="79" t="str">
        <f>IF(AND('331-CT'!$E$7=TH!H3674,OR(N3674="331",O3674="331")),"x","")</f>
        <v/>
      </c>
      <c r="Q3674" s="79" t="str">
        <f>IF(AND(B3674='111'!$L$11,OR($N3674=$Q$7,$O3674=$Q$7)),"x","")</f>
        <v/>
      </c>
      <c r="R3674" s="79" t="str">
        <f>IF(AND($N3674=$Q$7,$B3674&lt;'111'!$L$11),"x","")</f>
        <v/>
      </c>
      <c r="S3674" s="79" t="str">
        <f>IF(AND($O3674=$Q$7,$B3674&lt;'111'!$L$11),"x","")</f>
        <v/>
      </c>
      <c r="T3674" s="79" t="str">
        <f>IF(ISERROR(FIND('112'!$M$9,G3674,1)),"",IF((AND(FIND('112'!$M$9,G3674,1)&gt;=1,B3674='112'!$K$9,OR($N3674='112'!$I$6,$O3674='112'!$I$6))),"x",""))</f>
        <v/>
      </c>
      <c r="U3674" s="79" t="str">
        <f>IF(ISERROR(FIND('112'!$M$9,G3674,1)),"",IF((AND(LEFT(G3674,2)=LEFT('112'!$M$9,2),B3674&lt;'112'!$K$9,$N3674='112'!$I$6)),"x",""))</f>
        <v/>
      </c>
      <c r="V3674" s="79" t="str">
        <f>IF(ISERROR(FIND('112'!$M$9,G3674,1)),"",IF((AND(RIGHT(G3674,2)=RIGHT('112'!$M$9,2),B3674&lt;'112'!$K$9,$O3674='112'!$I$6)),"x",""))</f>
        <v/>
      </c>
      <c r="W3674" s="79" t="str">
        <f>IF(AND('341-CT'!$H$9=H3674,OR(LEFT(N3674,3)=$W$7,LEFT(O3674,3)=$W$7)),"x","")</f>
        <v/>
      </c>
      <c r="X3674" s="79" t="str">
        <f>IF(OR(TH!N3674=TH!$X$7,O3674=TH!$X$7),"x","")</f>
        <v/>
      </c>
      <c r="Y3674" s="79" t="str">
        <f>IF(AND(OR(N3674="131",O3674="131"),H3674='131-CT'!$H$9),"x","")</f>
        <v/>
      </c>
      <c r="Z3674" s="79"/>
      <c r="AA3674" s="79" t="str">
        <f>IF(AND(MONTH(E3674)='IN-NX'!$J$5,'IN-NX'!$D$7=D3674),"x","")</f>
        <v/>
      </c>
      <c r="AB3674" s="79" t="str">
        <f>IF(AND(OR(LEFT(TH!N3674,2)="15",LEFT(TH!O3674,2)="15"),LEFT(TH!O3674,3)&lt;&gt;"111",'152-CT'!$J$8=TH!F3674),"x","")</f>
        <v/>
      </c>
      <c r="AC3674" s="79" t="str">
        <f>IF(AND(OR(LEFT(TH!N3674,2)="15",LEFT(TH!O3674,2)="15"),TK!$E$7=TH!F3674),"x","")</f>
        <v/>
      </c>
      <c r="AD3674" s="79" t="str">
        <f>IF(AND(N3674="1521",MONTH(C3674)='BK-NL'!$M$11),"x","")</f>
        <v/>
      </c>
    </row>
    <row r="3675" spans="1:30" ht="16.5" customHeight="1">
      <c r="A3675" s="318" t="str">
        <f>IF(B3675&lt;&gt;"",IF(AND(B3675='IN-TC'!$S$4,OR(TH!N3675="1111",TH!O3675="1111")),TH!D3675,""),"")</f>
        <v/>
      </c>
      <c r="B3675" s="60" t="str">
        <f t="shared" si="408"/>
        <v/>
      </c>
      <c r="C3675" s="75"/>
      <c r="D3675" s="75"/>
      <c r="E3675" s="75"/>
      <c r="F3675" s="76"/>
      <c r="G3675" s="76"/>
      <c r="H3675" s="759"/>
      <c r="I3675" s="383"/>
      <c r="J3675" s="390"/>
      <c r="K3675" s="383"/>
      <c r="L3675" s="390"/>
      <c r="M3675" s="978"/>
      <c r="N3675" s="1262"/>
      <c r="O3675" s="79"/>
      <c r="P3675" s="79" t="str">
        <f>IF(AND('331-CT'!$E$7=TH!H3675,OR(N3675="331",O3675="331")),"x","")</f>
        <v/>
      </c>
      <c r="Q3675" s="79" t="str">
        <f>IF(AND(B3675='111'!$L$11,OR($N3675=$Q$7,$O3675=$Q$7)),"x","")</f>
        <v/>
      </c>
      <c r="R3675" s="79" t="str">
        <f>IF(AND($N3675=$Q$7,$B3675&lt;'111'!$L$11),"x","")</f>
        <v/>
      </c>
      <c r="S3675" s="79" t="str">
        <f>IF(AND($O3675=$Q$7,$B3675&lt;'111'!$L$11),"x","")</f>
        <v/>
      </c>
      <c r="T3675" s="79" t="str">
        <f>IF(ISERROR(FIND('112'!$M$9,G3675,1)),"",IF((AND(FIND('112'!$M$9,G3675,1)&gt;=1,B3675='112'!$K$9,OR($N3675='112'!$I$6,$O3675='112'!$I$6))),"x",""))</f>
        <v/>
      </c>
      <c r="U3675" s="79" t="str">
        <f>IF(ISERROR(FIND('112'!$M$9,G3675,1)),"",IF((AND(LEFT(G3675,2)=LEFT('112'!$M$9,2),B3675&lt;'112'!$K$9,$N3675='112'!$I$6)),"x",""))</f>
        <v/>
      </c>
      <c r="V3675" s="79" t="str">
        <f>IF(ISERROR(FIND('112'!$M$9,G3675,1)),"",IF((AND(RIGHT(G3675,2)=RIGHT('112'!$M$9,2),B3675&lt;'112'!$K$9,$O3675='112'!$I$6)),"x",""))</f>
        <v/>
      </c>
      <c r="W3675" s="79" t="str">
        <f>IF(AND('341-CT'!$H$9=H3675,OR(LEFT(N3675,3)=$W$7,LEFT(O3675,3)=$W$7)),"x","")</f>
        <v/>
      </c>
      <c r="X3675" s="79" t="str">
        <f>IF(OR(TH!N3675=TH!$X$7,O3675=TH!$X$7),"x","")</f>
        <v/>
      </c>
      <c r="Y3675" s="79" t="str">
        <f>IF(AND(OR(N3675="131",O3675="131"),H3675='131-CT'!$H$9),"x","")</f>
        <v/>
      </c>
      <c r="Z3675" s="79"/>
      <c r="AA3675" s="79" t="str">
        <f>IF(AND(MONTH(E3675)='IN-NX'!$J$5,'IN-NX'!$D$7=D3675),"x","")</f>
        <v/>
      </c>
      <c r="AB3675" s="79" t="str">
        <f>IF(AND(OR(LEFT(TH!N3675,2)="15",LEFT(TH!O3675,2)="15"),LEFT(TH!O3675,3)&lt;&gt;"111",'152-CT'!$J$8=TH!F3675),"x","")</f>
        <v/>
      </c>
      <c r="AC3675" s="79" t="str">
        <f>IF(AND(OR(LEFT(TH!N3675,2)="15",LEFT(TH!O3675,2)="15"),TK!$E$7=TH!F3675),"x","")</f>
        <v/>
      </c>
      <c r="AD3675" s="79" t="str">
        <f>IF(AND(N3675="1521",MONTH(C3675)='BK-NL'!$M$11),"x","")</f>
        <v/>
      </c>
    </row>
    <row r="3676" spans="1:30" ht="16.5" customHeight="1">
      <c r="A3676" s="318" t="str">
        <f>IF(B3676&lt;&gt;"",IF(AND(B3676='IN-TC'!$S$4,OR(TH!N3676="1111",TH!O3676="1111")),TH!D3676,""),"")</f>
        <v/>
      </c>
      <c r="B3676" s="60" t="str">
        <f t="shared" si="408"/>
        <v/>
      </c>
      <c r="C3676" s="75"/>
      <c r="D3676" s="75"/>
      <c r="E3676" s="75"/>
      <c r="F3676" s="76"/>
      <c r="G3676" s="76"/>
      <c r="H3676" s="759"/>
      <c r="I3676" s="383"/>
      <c r="J3676" s="390"/>
      <c r="K3676" s="383"/>
      <c r="L3676" s="390"/>
      <c r="M3676" s="978"/>
      <c r="N3676" s="1262"/>
      <c r="O3676" s="979"/>
      <c r="P3676" s="79" t="str">
        <f>IF(AND('331-CT'!$E$7=TH!H3676,OR(N3676="331",O3676="331")),"x","")</f>
        <v/>
      </c>
      <c r="Q3676" s="79" t="str">
        <f>IF(AND(B3676='111'!$L$11,OR($N3676=$Q$7,$O3676=$Q$7)),"x","")</f>
        <v/>
      </c>
      <c r="R3676" s="79" t="str">
        <f>IF(AND($N3676=$Q$7,$B3676&lt;'111'!$L$11),"x","")</f>
        <v/>
      </c>
      <c r="S3676" s="79" t="str">
        <f>IF(AND($O3676=$Q$7,$B3676&lt;'111'!$L$11),"x","")</f>
        <v/>
      </c>
      <c r="T3676" s="79" t="str">
        <f>IF(ISERROR(FIND('112'!$M$9,G3676,1)),"",IF((AND(FIND('112'!$M$9,G3676,1)&gt;=1,B3676='112'!$K$9,OR($N3676='112'!$I$6,$O3676='112'!$I$6))),"x",""))</f>
        <v/>
      </c>
      <c r="U3676" s="79" t="str">
        <f>IF(ISERROR(FIND('112'!$M$9,G3676,1)),"",IF((AND(LEFT(G3676,2)=LEFT('112'!$M$9,2),B3676&lt;'112'!$K$9,$N3676='112'!$I$6)),"x",""))</f>
        <v/>
      </c>
      <c r="V3676" s="79" t="str">
        <f>IF(ISERROR(FIND('112'!$M$9,G3676,1)),"",IF((AND(RIGHT(G3676,2)=RIGHT('112'!$M$9,2),B3676&lt;'112'!$K$9,$O3676='112'!$I$6)),"x",""))</f>
        <v/>
      </c>
      <c r="W3676" s="79" t="str">
        <f>IF(AND('341-CT'!$H$9=H3676,OR(LEFT(N3676,3)=$W$7,LEFT(O3676,3)=$W$7)),"x","")</f>
        <v/>
      </c>
      <c r="X3676" s="79" t="str">
        <f>IF(OR(TH!N3676=TH!$X$7,O3676=TH!$X$7),"x","")</f>
        <v/>
      </c>
      <c r="Y3676" s="79" t="str">
        <f>IF(AND(OR(N3676="131",O3676="131"),H3676='131-CT'!$H$9),"x","")</f>
        <v/>
      </c>
      <c r="Z3676" s="79"/>
      <c r="AA3676" s="79" t="str">
        <f>IF(AND(MONTH(E3676)='IN-NX'!$J$5,'IN-NX'!$D$7=D3676),"x","")</f>
        <v/>
      </c>
      <c r="AB3676" s="79" t="str">
        <f>IF(AND(OR(LEFT(TH!N3676,2)="15",LEFT(TH!O3676,2)="15"),LEFT(TH!O3676,3)&lt;&gt;"111",'152-CT'!$J$8=TH!F3676),"x","")</f>
        <v/>
      </c>
      <c r="AC3676" s="79" t="str">
        <f>IF(AND(OR(LEFT(TH!N3676,2)="15",LEFT(TH!O3676,2)="15"),TK!$E$7=TH!F3676),"x","")</f>
        <v/>
      </c>
      <c r="AD3676" s="79" t="str">
        <f>IF(AND(N3676="1521",MONTH(C3676)='BK-NL'!$M$11),"x","")</f>
        <v/>
      </c>
    </row>
    <row r="3677" spans="1:30" ht="16.5" customHeight="1">
      <c r="A3677" s="318" t="str">
        <f>IF(B3677&lt;&gt;"",IF(AND(B3677='IN-TC'!$S$4,OR(TH!N3677="1111",TH!O3677="1111")),TH!D3677,""),"")</f>
        <v/>
      </c>
      <c r="B3677" s="60" t="str">
        <f t="shared" si="408"/>
        <v/>
      </c>
      <c r="C3677" s="75"/>
      <c r="D3677" s="75"/>
      <c r="E3677" s="75"/>
      <c r="F3677" s="76"/>
      <c r="G3677" s="76"/>
      <c r="H3677" s="759"/>
      <c r="I3677" s="383"/>
      <c r="J3677" s="390"/>
      <c r="K3677" s="383"/>
      <c r="L3677" s="390"/>
      <c r="M3677" s="978"/>
      <c r="N3677" s="1262"/>
      <c r="O3677" s="979"/>
      <c r="P3677" s="79" t="str">
        <f>IF(AND('331-CT'!$E$7=TH!H3677,OR(N3677="331",O3677="331")),"x","")</f>
        <v/>
      </c>
      <c r="Q3677" s="79" t="str">
        <f>IF(AND(B3677='111'!$L$11,OR($N3677=$Q$7,$O3677=$Q$7)),"x","")</f>
        <v/>
      </c>
      <c r="R3677" s="79" t="str">
        <f>IF(AND($N3677=$Q$7,$B3677&lt;'111'!$L$11),"x","")</f>
        <v/>
      </c>
      <c r="S3677" s="79" t="str">
        <f>IF(AND($O3677=$Q$7,$B3677&lt;'111'!$L$11),"x","")</f>
        <v/>
      </c>
      <c r="T3677" s="79" t="str">
        <f>IF(ISERROR(FIND('112'!$M$9,G3677,1)),"",IF((AND(FIND('112'!$M$9,G3677,1)&gt;=1,B3677='112'!$K$9,OR($N3677='112'!$I$6,$O3677='112'!$I$6))),"x",""))</f>
        <v/>
      </c>
      <c r="U3677" s="79" t="str">
        <f>IF(ISERROR(FIND('112'!$M$9,G3677,1)),"",IF((AND(LEFT(G3677,2)=LEFT('112'!$M$9,2),B3677&lt;'112'!$K$9,$N3677='112'!$I$6)),"x",""))</f>
        <v/>
      </c>
      <c r="V3677" s="79" t="str">
        <f>IF(ISERROR(FIND('112'!$M$9,G3677,1)),"",IF((AND(RIGHT(G3677,2)=RIGHT('112'!$M$9,2),B3677&lt;'112'!$K$9,$O3677='112'!$I$6)),"x",""))</f>
        <v/>
      </c>
      <c r="W3677" s="79" t="str">
        <f>IF(AND('341-CT'!$H$9=H3677,OR(LEFT(N3677,3)=$W$7,LEFT(O3677,3)=$W$7)),"x","")</f>
        <v/>
      </c>
      <c r="X3677" s="79" t="str">
        <f>IF(OR(TH!N3677=TH!$X$7,O3677=TH!$X$7),"x","")</f>
        <v/>
      </c>
      <c r="Y3677" s="79" t="str">
        <f>IF(AND(OR(N3677="131",O3677="131"),H3677='131-CT'!$H$9),"x","")</f>
        <v/>
      </c>
      <c r="Z3677" s="79"/>
      <c r="AA3677" s="79" t="str">
        <f>IF(AND(MONTH(E3677)='IN-NX'!$J$5,'IN-NX'!$D$7=D3677),"x","")</f>
        <v/>
      </c>
      <c r="AB3677" s="79" t="str">
        <f>IF(AND(OR(LEFT(TH!N3677,2)="15",LEFT(TH!O3677,2)="15"),LEFT(TH!O3677,3)&lt;&gt;"111",'152-CT'!$J$8=TH!F3677),"x","")</f>
        <v/>
      </c>
      <c r="AC3677" s="79" t="str">
        <f>IF(AND(OR(LEFT(TH!N3677,2)="15",LEFT(TH!O3677,2)="15"),TK!$E$7=TH!F3677),"x","")</f>
        <v/>
      </c>
      <c r="AD3677" s="79" t="str">
        <f>IF(AND(N3677="1521",MONTH(C3677)='BK-NL'!$M$11),"x","")</f>
        <v/>
      </c>
    </row>
    <row r="3678" spans="1:30" ht="16.5" customHeight="1">
      <c r="A3678" s="318" t="str">
        <f>IF(B3678&lt;&gt;"",IF(AND(B3678='IN-TC'!$S$4,OR(TH!N3678="1111",TH!O3678="1111")),TH!D3678,""),"")</f>
        <v/>
      </c>
      <c r="B3678" s="60" t="str">
        <f t="shared" si="408"/>
        <v/>
      </c>
      <c r="C3678" s="75"/>
      <c r="D3678" s="75"/>
      <c r="E3678" s="75"/>
      <c r="F3678" s="76"/>
      <c r="G3678" s="76"/>
      <c r="H3678" s="759"/>
      <c r="I3678" s="383"/>
      <c r="J3678" s="390"/>
      <c r="K3678" s="383"/>
      <c r="L3678" s="390"/>
      <c r="M3678" s="978"/>
      <c r="N3678" s="79"/>
      <c r="O3678" s="979"/>
      <c r="P3678" s="79" t="str">
        <f>IF(AND('331-CT'!$E$7=TH!H3678,OR(N3678="331",O3678="331")),"x","")</f>
        <v/>
      </c>
      <c r="Q3678" s="79" t="str">
        <f>IF(AND(B3678='111'!$L$11,OR($N3678=$Q$7,$O3678=$Q$7)),"x","")</f>
        <v/>
      </c>
      <c r="R3678" s="79" t="str">
        <f>IF(AND($N3678=$Q$7,$B3678&lt;'111'!$L$11),"x","")</f>
        <v/>
      </c>
      <c r="S3678" s="79" t="str">
        <f>IF(AND($O3678=$Q$7,$B3678&lt;'111'!$L$11),"x","")</f>
        <v/>
      </c>
      <c r="T3678" s="79" t="str">
        <f>IF(ISERROR(FIND('112'!$M$9,G3678,1)),"",IF((AND(FIND('112'!$M$9,G3678,1)&gt;=1,B3678='112'!$K$9,OR($N3678='112'!$I$6,$O3678='112'!$I$6))),"x",""))</f>
        <v/>
      </c>
      <c r="U3678" s="79" t="str">
        <f>IF(ISERROR(FIND('112'!$M$9,G3678,1)),"",IF((AND(LEFT(G3678,2)=LEFT('112'!$M$9,2),B3678&lt;'112'!$K$9,$N3678='112'!$I$6)),"x",""))</f>
        <v/>
      </c>
      <c r="V3678" s="79" t="str">
        <f>IF(ISERROR(FIND('112'!$M$9,G3678,1)),"",IF((AND(RIGHT(G3678,2)=RIGHT('112'!$M$9,2),B3678&lt;'112'!$K$9,$O3678='112'!$I$6)),"x",""))</f>
        <v/>
      </c>
      <c r="W3678" s="79" t="str">
        <f>IF(AND('341-CT'!$H$9=H3678,OR(LEFT(N3678,3)=$W$7,LEFT(O3678,3)=$W$7)),"x","")</f>
        <v/>
      </c>
      <c r="X3678" s="79" t="str">
        <f>IF(OR(TH!N3678=TH!$X$7,O3678=TH!$X$7),"x","")</f>
        <v/>
      </c>
      <c r="Y3678" s="79" t="str">
        <f>IF(AND(OR(N3678="131",O3678="131"),H3678='131-CT'!$H$9),"x","")</f>
        <v/>
      </c>
      <c r="Z3678" s="79"/>
      <c r="AA3678" s="79" t="str">
        <f>IF(AND(MONTH(E3678)='IN-NX'!$J$5,'IN-NX'!$D$7=D3678),"x","")</f>
        <v/>
      </c>
      <c r="AB3678" s="79" t="str">
        <f>IF(AND(OR(LEFT(TH!N3678,2)="15",LEFT(TH!O3678,2)="15"),LEFT(TH!O3678,3)&lt;&gt;"111",'152-CT'!$J$8=TH!F3678),"x","")</f>
        <v/>
      </c>
      <c r="AC3678" s="79" t="str">
        <f>IF(AND(OR(LEFT(TH!N3678,2)="15",LEFT(TH!O3678,2)="15"),TK!$E$7=TH!F3678),"x","")</f>
        <v/>
      </c>
      <c r="AD3678" s="79" t="str">
        <f>IF(AND(N3678="1521",MONTH(C3678)='BK-NL'!$M$11),"x","")</f>
        <v/>
      </c>
    </row>
    <row r="3679" spans="1:30" ht="16.5" customHeight="1">
      <c r="A3679" s="318" t="str">
        <f>IF(B3679&lt;&gt;"",IF(AND(B3679='IN-TC'!$S$4,OR(TH!N3679="1111",TH!O3679="1111")),TH!D3679,""),"")</f>
        <v/>
      </c>
      <c r="B3679" s="60" t="str">
        <f t="shared" si="408"/>
        <v/>
      </c>
      <c r="C3679" s="75"/>
      <c r="D3679" s="75"/>
      <c r="E3679" s="75"/>
      <c r="F3679" s="76"/>
      <c r="G3679" s="76"/>
      <c r="H3679" s="759"/>
      <c r="I3679" s="383"/>
      <c r="J3679" s="390"/>
      <c r="K3679" s="383"/>
      <c r="L3679" s="390"/>
      <c r="M3679" s="978"/>
      <c r="N3679" s="79"/>
      <c r="O3679" s="979"/>
      <c r="P3679" s="79" t="str">
        <f>IF(AND('331-CT'!$E$7=TH!H3679,OR(N3679="331",O3679="331")),"x","")</f>
        <v/>
      </c>
      <c r="Q3679" s="79" t="str">
        <f>IF(AND(B3679='111'!$L$11,OR($N3679=$Q$7,$O3679=$Q$7)),"x","")</f>
        <v/>
      </c>
      <c r="R3679" s="79" t="str">
        <f>IF(AND($N3679=$Q$7,$B3679&lt;'111'!$L$11),"x","")</f>
        <v/>
      </c>
      <c r="S3679" s="79" t="str">
        <f>IF(AND($O3679=$Q$7,$B3679&lt;'111'!$L$11),"x","")</f>
        <v/>
      </c>
      <c r="T3679" s="79" t="str">
        <f>IF(ISERROR(FIND('112'!$M$9,G3679,1)),"",IF((AND(FIND('112'!$M$9,G3679,1)&gt;=1,B3679='112'!$K$9,OR($N3679='112'!$I$6,$O3679='112'!$I$6))),"x",""))</f>
        <v/>
      </c>
      <c r="U3679" s="79" t="str">
        <f>IF(ISERROR(FIND('112'!$M$9,G3679,1)),"",IF((AND(LEFT(G3679,2)=LEFT('112'!$M$9,2),B3679&lt;'112'!$K$9,$N3679='112'!$I$6)),"x",""))</f>
        <v/>
      </c>
      <c r="V3679" s="79" t="str">
        <f>IF(ISERROR(FIND('112'!$M$9,G3679,1)),"",IF((AND(RIGHT(G3679,2)=RIGHT('112'!$M$9,2),B3679&lt;'112'!$K$9,$O3679='112'!$I$6)),"x",""))</f>
        <v/>
      </c>
      <c r="W3679" s="79" t="str">
        <f>IF(AND('341-CT'!$H$9=H3679,OR(LEFT(N3679,3)=$W$7,LEFT(O3679,3)=$W$7)),"x","")</f>
        <v/>
      </c>
      <c r="X3679" s="79" t="str">
        <f>IF(OR(TH!N3679=TH!$X$7,O3679=TH!$X$7),"x","")</f>
        <v/>
      </c>
      <c r="Y3679" s="79" t="str">
        <f>IF(AND(OR(N3679="131",O3679="131"),H3679='131-CT'!$H$9),"x","")</f>
        <v/>
      </c>
      <c r="Z3679" s="79"/>
      <c r="AA3679" s="79" t="str">
        <f>IF(AND(MONTH(E3679)='IN-NX'!$J$5,'IN-NX'!$D$7=D3679),"x","")</f>
        <v/>
      </c>
      <c r="AB3679" s="79" t="str">
        <f>IF(AND(OR(LEFT(TH!N3679,2)="15",LEFT(TH!O3679,2)="15"),LEFT(TH!O3679,3)&lt;&gt;"111",'152-CT'!$J$8=TH!F3679),"x","")</f>
        <v/>
      </c>
      <c r="AC3679" s="79" t="str">
        <f>IF(AND(OR(LEFT(TH!N3679,2)="15",LEFT(TH!O3679,2)="15"),TK!$E$7=TH!F3679),"x","")</f>
        <v/>
      </c>
      <c r="AD3679" s="79" t="str">
        <f>IF(AND(N3679="1521",MONTH(C3679)='BK-NL'!$M$11),"x","")</f>
        <v/>
      </c>
    </row>
    <row r="3680" spans="1:30" ht="16.5" customHeight="1">
      <c r="A3680" s="318" t="str">
        <f>IF(B3680&lt;&gt;"",IF(AND(B3680='IN-TC'!$S$4,OR(TH!N3680="1111",TH!O3680="1111")),TH!D3680,""),"")</f>
        <v/>
      </c>
      <c r="B3680" s="60" t="str">
        <f t="shared" si="408"/>
        <v/>
      </c>
      <c r="C3680" s="75"/>
      <c r="D3680" s="75"/>
      <c r="E3680" s="75"/>
      <c r="F3680" s="76"/>
      <c r="G3680" s="76"/>
      <c r="H3680" s="759"/>
      <c r="I3680" s="383"/>
      <c r="J3680" s="390"/>
      <c r="K3680" s="383"/>
      <c r="L3680" s="390"/>
      <c r="M3680" s="978"/>
      <c r="N3680" s="79"/>
      <c r="O3680" s="79"/>
      <c r="P3680" s="79" t="str">
        <f>IF(AND('331-CT'!$E$7=TH!H3680,OR(N3680="331",O3680="331")),"x","")</f>
        <v/>
      </c>
      <c r="Q3680" s="79" t="str">
        <f>IF(AND(B3680='111'!$L$11,OR($N3680=$Q$7,$O3680=$Q$7)),"x","")</f>
        <v/>
      </c>
      <c r="R3680" s="79" t="str">
        <f>IF(AND($N3680=$Q$7,$B3680&lt;'111'!$L$11),"x","")</f>
        <v/>
      </c>
      <c r="S3680" s="79" t="str">
        <f>IF(AND($O3680=$Q$7,$B3680&lt;'111'!$L$11),"x","")</f>
        <v/>
      </c>
      <c r="T3680" s="79" t="str">
        <f>IF(ISERROR(FIND('112'!$M$9,G3680,1)),"",IF((AND(FIND('112'!$M$9,G3680,1)&gt;=1,B3680='112'!$K$9,OR($N3680='112'!$I$6,$O3680='112'!$I$6))),"x",""))</f>
        <v/>
      </c>
      <c r="U3680" s="79" t="str">
        <f>IF(ISERROR(FIND('112'!$M$9,G3680,1)),"",IF((AND(LEFT(G3680,2)=LEFT('112'!$M$9,2),B3680&lt;'112'!$K$9,$N3680='112'!$I$6)),"x",""))</f>
        <v/>
      </c>
      <c r="V3680" s="79" t="str">
        <f>IF(ISERROR(FIND('112'!$M$9,G3680,1)),"",IF((AND(RIGHT(G3680,2)=RIGHT('112'!$M$9,2),B3680&lt;'112'!$K$9,$O3680='112'!$I$6)),"x",""))</f>
        <v/>
      </c>
      <c r="W3680" s="79" t="str">
        <f>IF(AND('341-CT'!$H$9=H3680,OR(LEFT(N3680,3)=$W$7,LEFT(O3680,3)=$W$7)),"x","")</f>
        <v/>
      </c>
      <c r="X3680" s="79" t="str">
        <f>IF(OR(TH!N3680=TH!$X$7,O3680=TH!$X$7),"x","")</f>
        <v/>
      </c>
      <c r="Y3680" s="79" t="str">
        <f>IF(AND(OR(N3680="131",O3680="131"),H3680='131-CT'!$H$9),"x","")</f>
        <v/>
      </c>
      <c r="Z3680" s="79"/>
      <c r="AA3680" s="79" t="str">
        <f>IF(AND(MONTH(E3680)='IN-NX'!$J$5,'IN-NX'!$D$7=D3680),"x","")</f>
        <v/>
      </c>
      <c r="AB3680" s="79" t="str">
        <f>IF(AND(OR(LEFT(TH!N3680,2)="15",LEFT(TH!O3680,2)="15"),LEFT(TH!O3680,3)&lt;&gt;"111",'152-CT'!$J$8=TH!F3680),"x","")</f>
        <v/>
      </c>
      <c r="AC3680" s="79" t="str">
        <f>IF(AND(OR(LEFT(TH!N3680,2)="15",LEFT(TH!O3680,2)="15"),TK!$E$7=TH!F3680),"x","")</f>
        <v/>
      </c>
      <c r="AD3680" s="79" t="str">
        <f>IF(AND(N3680="1521",MONTH(C3680)='BK-NL'!$M$11),"x","")</f>
        <v/>
      </c>
    </row>
    <row r="3681" spans="1:30" ht="16.5" customHeight="1">
      <c r="A3681" s="318" t="str">
        <f>IF(B3681&lt;&gt;"",IF(AND(B3681='IN-TC'!$S$4,OR(TH!N3681="1111",TH!O3681="1111")),TH!D3681,""),"")</f>
        <v/>
      </c>
      <c r="B3681" s="60" t="str">
        <f t="shared" si="408"/>
        <v/>
      </c>
      <c r="C3681" s="75"/>
      <c r="D3681" s="75"/>
      <c r="E3681" s="75"/>
      <c r="F3681" s="76"/>
      <c r="G3681" s="76"/>
      <c r="H3681" s="759"/>
      <c r="I3681" s="383"/>
      <c r="J3681" s="390"/>
      <c r="K3681" s="383"/>
      <c r="L3681" s="390"/>
      <c r="M3681" s="978"/>
      <c r="N3681" s="79"/>
      <c r="O3681" s="979"/>
      <c r="P3681" s="79" t="str">
        <f>IF(AND('331-CT'!$E$7=TH!H3681,OR(N3681="331",O3681="331")),"x","")</f>
        <v/>
      </c>
      <c r="Q3681" s="79" t="str">
        <f>IF(AND(B3681='111'!$L$11,OR($N3681=$Q$7,$O3681=$Q$7)),"x","")</f>
        <v/>
      </c>
      <c r="R3681" s="79" t="str">
        <f>IF(AND($N3681=$Q$7,$B3681&lt;'111'!$L$11),"x","")</f>
        <v/>
      </c>
      <c r="S3681" s="79" t="str">
        <f>IF(AND($O3681=$Q$7,$B3681&lt;'111'!$L$11),"x","")</f>
        <v/>
      </c>
      <c r="T3681" s="79" t="str">
        <f>IF(ISERROR(FIND('112'!$M$9,G3681,1)),"",IF((AND(FIND('112'!$M$9,G3681,1)&gt;=1,B3681='112'!$K$9,OR($N3681='112'!$I$6,$O3681='112'!$I$6))),"x",""))</f>
        <v/>
      </c>
      <c r="U3681" s="79" t="str">
        <f>IF(ISERROR(FIND('112'!$M$9,G3681,1)),"",IF((AND(LEFT(G3681,2)=LEFT('112'!$M$9,2),B3681&lt;'112'!$K$9,$N3681='112'!$I$6)),"x",""))</f>
        <v/>
      </c>
      <c r="V3681" s="79" t="str">
        <f>IF(ISERROR(FIND('112'!$M$9,G3681,1)),"",IF((AND(RIGHT(G3681,2)=RIGHT('112'!$M$9,2),B3681&lt;'112'!$K$9,$O3681='112'!$I$6)),"x",""))</f>
        <v/>
      </c>
      <c r="W3681" s="79" t="str">
        <f>IF(AND('341-CT'!$H$9=H3681,OR(LEFT(N3681,3)=$W$7,LEFT(O3681,3)=$W$7)),"x","")</f>
        <v/>
      </c>
      <c r="X3681" s="79" t="str">
        <f>IF(OR(TH!N3681=TH!$X$7,O3681=TH!$X$7),"x","")</f>
        <v/>
      </c>
      <c r="Y3681" s="79" t="str">
        <f>IF(AND(OR(N3681="131",O3681="131"),H3681='131-CT'!$H$9),"x","")</f>
        <v/>
      </c>
      <c r="Z3681" s="79"/>
      <c r="AA3681" s="79" t="str">
        <f>IF(AND(MONTH(E3681)='IN-NX'!$J$5,'IN-NX'!$D$7=D3681),"x","")</f>
        <v/>
      </c>
      <c r="AB3681" s="79" t="str">
        <f>IF(AND(OR(LEFT(TH!N3681,2)="15",LEFT(TH!O3681,2)="15"),LEFT(TH!O3681,3)&lt;&gt;"111",'152-CT'!$J$8=TH!F3681),"x","")</f>
        <v/>
      </c>
      <c r="AC3681" s="79" t="str">
        <f>IF(AND(OR(LEFT(TH!N3681,2)="15",LEFT(TH!O3681,2)="15"),TK!$E$7=TH!F3681),"x","")</f>
        <v/>
      </c>
      <c r="AD3681" s="79" t="str">
        <f>IF(AND(N3681="1521",MONTH(C3681)='BK-NL'!$M$11),"x","")</f>
        <v/>
      </c>
    </row>
    <row r="3682" spans="1:30" ht="16.5" customHeight="1">
      <c r="A3682" s="318" t="str">
        <f>IF(B3682&lt;&gt;"",IF(AND(B3682='IN-TC'!$S$4,OR(TH!N3682="1111",TH!O3682="1111")),TH!D3682,""),"")</f>
        <v/>
      </c>
      <c r="B3682" s="60" t="str">
        <f t="shared" si="408"/>
        <v/>
      </c>
      <c r="C3682" s="75"/>
      <c r="D3682" s="75"/>
      <c r="E3682" s="75"/>
      <c r="F3682" s="76"/>
      <c r="G3682" s="76"/>
      <c r="H3682" s="759"/>
      <c r="I3682" s="383"/>
      <c r="J3682" s="390"/>
      <c r="K3682" s="383"/>
      <c r="L3682" s="390"/>
      <c r="M3682" s="978"/>
      <c r="N3682" s="79"/>
      <c r="O3682" s="979"/>
      <c r="P3682" s="79" t="str">
        <f>IF(AND('331-CT'!$E$7=TH!H3682,OR(N3682="331",O3682="331")),"x","")</f>
        <v/>
      </c>
      <c r="Q3682" s="79" t="str">
        <f>IF(AND(B3682='111'!$L$11,OR($N3682=$Q$7,$O3682=$Q$7)),"x","")</f>
        <v/>
      </c>
      <c r="R3682" s="79" t="str">
        <f>IF(AND($N3682=$Q$7,$B3682&lt;'111'!$L$11),"x","")</f>
        <v/>
      </c>
      <c r="S3682" s="79" t="str">
        <f>IF(AND($O3682=$Q$7,$B3682&lt;'111'!$L$11),"x","")</f>
        <v/>
      </c>
      <c r="T3682" s="79" t="str">
        <f>IF(ISERROR(FIND('112'!$M$9,G3682,1)),"",IF((AND(FIND('112'!$M$9,G3682,1)&gt;=1,B3682='112'!$K$9,OR($N3682='112'!$I$6,$O3682='112'!$I$6))),"x",""))</f>
        <v/>
      </c>
      <c r="U3682" s="79" t="str">
        <f>IF(ISERROR(FIND('112'!$M$9,G3682,1)),"",IF((AND(LEFT(G3682,2)=LEFT('112'!$M$9,2),B3682&lt;'112'!$K$9,$N3682='112'!$I$6)),"x",""))</f>
        <v/>
      </c>
      <c r="V3682" s="79" t="str">
        <f>IF(ISERROR(FIND('112'!$M$9,G3682,1)),"",IF((AND(RIGHT(G3682,2)=RIGHT('112'!$M$9,2),B3682&lt;'112'!$K$9,$O3682='112'!$I$6)),"x",""))</f>
        <v/>
      </c>
      <c r="W3682" s="79" t="str">
        <f>IF(AND('341-CT'!$H$9=H3682,OR(LEFT(N3682,3)=$W$7,LEFT(O3682,3)=$W$7)),"x","")</f>
        <v/>
      </c>
      <c r="X3682" s="79" t="str">
        <f>IF(OR(TH!N3682=TH!$X$7,O3682=TH!$X$7),"x","")</f>
        <v/>
      </c>
      <c r="Y3682" s="79" t="str">
        <f>IF(AND(OR(N3682="131",O3682="131"),H3682='131-CT'!$H$9),"x","")</f>
        <v/>
      </c>
      <c r="Z3682" s="79"/>
      <c r="AA3682" s="79" t="str">
        <f>IF(AND(MONTH(E3682)='IN-NX'!$J$5,'IN-NX'!$D$7=D3682),"x","")</f>
        <v/>
      </c>
      <c r="AB3682" s="79" t="str">
        <f>IF(AND(OR(LEFT(TH!N3682,2)="15",LEFT(TH!O3682,2)="15"),LEFT(TH!O3682,3)&lt;&gt;"111",'152-CT'!$J$8=TH!F3682),"x","")</f>
        <v/>
      </c>
      <c r="AC3682" s="79" t="str">
        <f>IF(AND(OR(LEFT(TH!N3682,2)="15",LEFT(TH!O3682,2)="15"),TK!$E$7=TH!F3682),"x","")</f>
        <v/>
      </c>
      <c r="AD3682" s="79" t="str">
        <f>IF(AND(N3682="1521",MONTH(C3682)='BK-NL'!$M$11),"x","")</f>
        <v/>
      </c>
    </row>
    <row r="3683" spans="1:30" ht="16.5" customHeight="1">
      <c r="A3683" s="318" t="str">
        <f>IF(B3683&lt;&gt;"",IF(AND(B3683='IN-TC'!$S$4,OR(TH!N3683="1111",TH!O3683="1111")),TH!D3683,""),"")</f>
        <v/>
      </c>
      <c r="B3683" s="60" t="str">
        <f t="shared" si="408"/>
        <v/>
      </c>
      <c r="C3683" s="75"/>
      <c r="D3683" s="75"/>
      <c r="E3683" s="75"/>
      <c r="F3683" s="76"/>
      <c r="G3683" s="76"/>
      <c r="H3683" s="759"/>
      <c r="I3683" s="383"/>
      <c r="J3683" s="390"/>
      <c r="K3683" s="383"/>
      <c r="L3683" s="390"/>
      <c r="M3683" s="978"/>
      <c r="N3683" s="79"/>
      <c r="O3683" s="979"/>
      <c r="P3683" s="79" t="str">
        <f>IF(AND('331-CT'!$E$7=TH!H3683,OR(N3683="331",O3683="331")),"x","")</f>
        <v/>
      </c>
      <c r="Q3683" s="79" t="str">
        <f>IF(AND(B3683='111'!$L$11,OR($N3683=$Q$7,$O3683=$Q$7)),"x","")</f>
        <v/>
      </c>
      <c r="R3683" s="79" t="str">
        <f>IF(AND($N3683=$Q$7,$B3683&lt;'111'!$L$11),"x","")</f>
        <v/>
      </c>
      <c r="S3683" s="79" t="str">
        <f>IF(AND($O3683=$Q$7,$B3683&lt;'111'!$L$11),"x","")</f>
        <v/>
      </c>
      <c r="T3683" s="79" t="str">
        <f>IF(ISERROR(FIND('112'!$M$9,G3683,1)),"",IF((AND(FIND('112'!$M$9,G3683,1)&gt;=1,B3683='112'!$K$9,OR($N3683='112'!$I$6,$O3683='112'!$I$6))),"x",""))</f>
        <v/>
      </c>
      <c r="U3683" s="79" t="str">
        <f>IF(ISERROR(FIND('112'!$M$9,G3683,1)),"",IF((AND(LEFT(G3683,2)=LEFT('112'!$M$9,2),B3683&lt;'112'!$K$9,$N3683='112'!$I$6)),"x",""))</f>
        <v/>
      </c>
      <c r="V3683" s="79" t="str">
        <f>IF(ISERROR(FIND('112'!$M$9,G3683,1)),"",IF((AND(RIGHT(G3683,2)=RIGHT('112'!$M$9,2),B3683&lt;'112'!$K$9,$O3683='112'!$I$6)),"x",""))</f>
        <v/>
      </c>
      <c r="W3683" s="79" t="str">
        <f>IF(AND('341-CT'!$H$9=H3683,OR(LEFT(N3683,3)=$W$7,LEFT(O3683,3)=$W$7)),"x","")</f>
        <v/>
      </c>
      <c r="X3683" s="79" t="str">
        <f>IF(OR(TH!N3683=TH!$X$7,O3683=TH!$X$7),"x","")</f>
        <v/>
      </c>
      <c r="Y3683" s="79" t="str">
        <f>IF(AND(OR(N3683="131",O3683="131"),H3683='131-CT'!$H$9),"x","")</f>
        <v/>
      </c>
      <c r="Z3683" s="79"/>
      <c r="AA3683" s="79" t="str">
        <f>IF(AND(MONTH(E3683)='IN-NX'!$J$5,'IN-NX'!$D$7=D3683),"x","")</f>
        <v/>
      </c>
      <c r="AB3683" s="79" t="str">
        <f>IF(AND(OR(LEFT(TH!N3683,2)="15",LEFT(TH!O3683,2)="15"),LEFT(TH!O3683,3)&lt;&gt;"111",'152-CT'!$J$8=TH!F3683),"x","")</f>
        <v/>
      </c>
      <c r="AC3683" s="79" t="str">
        <f>IF(AND(OR(LEFT(TH!N3683,2)="15",LEFT(TH!O3683,2)="15"),TK!$E$7=TH!F3683),"x","")</f>
        <v/>
      </c>
      <c r="AD3683" s="79" t="str">
        <f>IF(AND(N3683="1521",MONTH(C3683)='BK-NL'!$M$11),"x","")</f>
        <v/>
      </c>
    </row>
    <row r="3684" spans="1:30" ht="16.5" customHeight="1">
      <c r="A3684" s="318" t="str">
        <f>IF(B3684&lt;&gt;"",IF(AND(B3684='IN-TC'!$S$4,OR(TH!N3684="1111",TH!O3684="1111")),TH!D3684,""),"")</f>
        <v/>
      </c>
      <c r="B3684" s="60" t="str">
        <f t="shared" si="408"/>
        <v/>
      </c>
      <c r="C3684" s="75"/>
      <c r="D3684" s="75"/>
      <c r="E3684" s="75"/>
      <c r="F3684" s="76"/>
      <c r="G3684" s="76"/>
      <c r="H3684" s="759"/>
      <c r="I3684" s="383"/>
      <c r="J3684" s="390"/>
      <c r="K3684" s="383"/>
      <c r="L3684" s="390"/>
      <c r="M3684" s="978"/>
      <c r="N3684" s="79"/>
      <c r="O3684" s="979"/>
      <c r="P3684" s="79" t="str">
        <f>IF(AND('331-CT'!$E$7=TH!H3684,OR(N3684="331",O3684="331")),"x","")</f>
        <v/>
      </c>
      <c r="Q3684" s="79" t="str">
        <f>IF(AND(B3684='111'!$L$11,OR($N3684=$Q$7,$O3684=$Q$7)),"x","")</f>
        <v/>
      </c>
      <c r="R3684" s="79" t="str">
        <f>IF(AND($N3684=$Q$7,$B3684&lt;'111'!$L$11),"x","")</f>
        <v/>
      </c>
      <c r="S3684" s="79" t="str">
        <f>IF(AND($O3684=$Q$7,$B3684&lt;'111'!$L$11),"x","")</f>
        <v/>
      </c>
      <c r="T3684" s="79" t="str">
        <f>IF(ISERROR(FIND('112'!$M$9,G3684,1)),"",IF((AND(FIND('112'!$M$9,G3684,1)&gt;=1,B3684='112'!$K$9,OR($N3684='112'!$I$6,$O3684='112'!$I$6))),"x",""))</f>
        <v/>
      </c>
      <c r="U3684" s="79" t="str">
        <f>IF(ISERROR(FIND('112'!$M$9,G3684,1)),"",IF((AND(LEFT(G3684,2)=LEFT('112'!$M$9,2),B3684&lt;'112'!$K$9,$N3684='112'!$I$6)),"x",""))</f>
        <v/>
      </c>
      <c r="V3684" s="79" t="str">
        <f>IF(ISERROR(FIND('112'!$M$9,G3684,1)),"",IF((AND(RIGHT(G3684,2)=RIGHT('112'!$M$9,2),B3684&lt;'112'!$K$9,$O3684='112'!$I$6)),"x",""))</f>
        <v/>
      </c>
      <c r="W3684" s="79" t="str">
        <f>IF(AND('341-CT'!$H$9=H3684,OR(LEFT(N3684,3)=$W$7,LEFT(O3684,3)=$W$7)),"x","")</f>
        <v/>
      </c>
      <c r="X3684" s="79" t="str">
        <f>IF(OR(TH!N3684=TH!$X$7,O3684=TH!$X$7),"x","")</f>
        <v/>
      </c>
      <c r="Y3684" s="79" t="str">
        <f>IF(AND(OR(N3684="131",O3684="131"),H3684='131-CT'!$H$9),"x","")</f>
        <v/>
      </c>
      <c r="Z3684" s="79"/>
      <c r="AA3684" s="79" t="str">
        <f>IF(AND(MONTH(E3684)='IN-NX'!$J$5,'IN-NX'!$D$7=D3684),"x","")</f>
        <v/>
      </c>
      <c r="AB3684" s="79" t="str">
        <f>IF(AND(OR(LEFT(TH!N3684,2)="15",LEFT(TH!O3684,2)="15"),LEFT(TH!O3684,3)&lt;&gt;"111",'152-CT'!$J$8=TH!F3684),"x","")</f>
        <v/>
      </c>
      <c r="AC3684" s="79" t="str">
        <f>IF(AND(OR(LEFT(TH!N3684,2)="15",LEFT(TH!O3684,2)="15"),TK!$E$7=TH!F3684),"x","")</f>
        <v/>
      </c>
      <c r="AD3684" s="79" t="str">
        <f>IF(AND(N3684="1521",MONTH(C3684)='BK-NL'!$M$11),"x","")</f>
        <v/>
      </c>
    </row>
    <row r="3685" spans="1:30" ht="16.5" customHeight="1">
      <c r="A3685" s="318" t="str">
        <f>IF(B3685&lt;&gt;"",IF(AND(B3685='IN-TC'!$S$4,OR(TH!N3685="1111",TH!O3685="1111")),TH!D3685,""),"")</f>
        <v/>
      </c>
      <c r="B3685" s="60" t="str">
        <f t="shared" si="408"/>
        <v/>
      </c>
      <c r="C3685" s="75"/>
      <c r="D3685" s="75"/>
      <c r="E3685" s="75"/>
      <c r="F3685" s="76"/>
      <c r="G3685" s="76"/>
      <c r="H3685" s="759"/>
      <c r="I3685" s="383"/>
      <c r="J3685" s="390"/>
      <c r="K3685" s="383"/>
      <c r="L3685" s="390"/>
      <c r="M3685" s="978"/>
      <c r="N3685" s="79"/>
      <c r="O3685" s="979"/>
      <c r="P3685" s="79" t="str">
        <f>IF(AND('331-CT'!$E$7=TH!H3685,OR(N3685="331",O3685="331")),"x","")</f>
        <v/>
      </c>
      <c r="Q3685" s="79" t="str">
        <f>IF(AND(B3685='111'!$L$11,OR($N3685=$Q$7,$O3685=$Q$7)),"x","")</f>
        <v/>
      </c>
      <c r="R3685" s="79" t="str">
        <f>IF(AND($N3685=$Q$7,$B3685&lt;'111'!$L$11),"x","")</f>
        <v/>
      </c>
      <c r="S3685" s="79" t="str">
        <f>IF(AND($O3685=$Q$7,$B3685&lt;'111'!$L$11),"x","")</f>
        <v/>
      </c>
      <c r="T3685" s="79" t="str">
        <f>IF(ISERROR(FIND('112'!$M$9,G3685,1)),"",IF((AND(FIND('112'!$M$9,G3685,1)&gt;=1,B3685='112'!$K$9,OR($N3685='112'!$I$6,$O3685='112'!$I$6))),"x",""))</f>
        <v/>
      </c>
      <c r="U3685" s="79" t="str">
        <f>IF(ISERROR(FIND('112'!$M$9,G3685,1)),"",IF((AND(LEFT(G3685,2)=LEFT('112'!$M$9,2),B3685&lt;'112'!$K$9,$N3685='112'!$I$6)),"x",""))</f>
        <v/>
      </c>
      <c r="V3685" s="79" t="str">
        <f>IF(ISERROR(FIND('112'!$M$9,G3685,1)),"",IF((AND(RIGHT(G3685,2)=RIGHT('112'!$M$9,2),B3685&lt;'112'!$K$9,$O3685='112'!$I$6)),"x",""))</f>
        <v/>
      </c>
      <c r="W3685" s="79" t="str">
        <f>IF(AND('341-CT'!$H$9=H3685,OR(LEFT(N3685,3)=$W$7,LEFT(O3685,3)=$W$7)),"x","")</f>
        <v/>
      </c>
      <c r="X3685" s="79" t="str">
        <f>IF(OR(TH!N3685=TH!$X$7,O3685=TH!$X$7),"x","")</f>
        <v/>
      </c>
      <c r="Y3685" s="79" t="str">
        <f>IF(AND(OR(N3685="131",O3685="131"),H3685='131-CT'!$H$9),"x","")</f>
        <v/>
      </c>
      <c r="Z3685" s="79"/>
      <c r="AA3685" s="79" t="str">
        <f>IF(AND(MONTH(E3685)='IN-NX'!$J$5,'IN-NX'!$D$7=D3685),"x","")</f>
        <v/>
      </c>
      <c r="AB3685" s="79" t="str">
        <f>IF(AND(OR(LEFT(TH!N3685,2)="15",LEFT(TH!O3685,2)="15"),LEFT(TH!O3685,3)&lt;&gt;"111",'152-CT'!$J$8=TH!F3685),"x","")</f>
        <v/>
      </c>
      <c r="AC3685" s="79" t="str">
        <f>IF(AND(OR(LEFT(TH!N3685,2)="15",LEFT(TH!O3685,2)="15"),TK!$E$7=TH!F3685),"x","")</f>
        <v/>
      </c>
      <c r="AD3685" s="79" t="str">
        <f>IF(AND(N3685="1521",MONTH(C3685)='BK-NL'!$M$11),"x","")</f>
        <v/>
      </c>
    </row>
    <row r="3686" spans="1:30" ht="16.5" customHeight="1">
      <c r="A3686" s="318" t="str">
        <f>IF(B3686&lt;&gt;"",IF(AND(B3686='IN-TC'!$S$4,OR(TH!N3686="1111",TH!O3686="1111")),TH!D3686,""),"")</f>
        <v/>
      </c>
      <c r="B3686" s="60" t="str">
        <f t="shared" si="408"/>
        <v/>
      </c>
      <c r="C3686" s="75"/>
      <c r="D3686" s="75"/>
      <c r="E3686" s="75"/>
      <c r="F3686" s="76"/>
      <c r="G3686" s="76"/>
      <c r="H3686" s="759"/>
      <c r="I3686" s="383"/>
      <c r="J3686" s="390"/>
      <c r="K3686" s="383"/>
      <c r="L3686" s="390"/>
      <c r="M3686" s="978"/>
      <c r="N3686" s="79"/>
      <c r="O3686" s="979"/>
      <c r="P3686" s="79" t="str">
        <f>IF(AND('331-CT'!$E$7=TH!H3686,OR(N3686="331",O3686="331")),"x","")</f>
        <v/>
      </c>
      <c r="Q3686" s="79" t="str">
        <f>IF(AND(B3686='111'!$L$11,OR($N3686=$Q$7,$O3686=$Q$7)),"x","")</f>
        <v/>
      </c>
      <c r="R3686" s="79" t="str">
        <f>IF(AND($N3686=$Q$7,$B3686&lt;'111'!$L$11),"x","")</f>
        <v/>
      </c>
      <c r="S3686" s="79" t="str">
        <f>IF(AND($O3686=$Q$7,$B3686&lt;'111'!$L$11),"x","")</f>
        <v/>
      </c>
      <c r="T3686" s="79" t="str">
        <f>IF(ISERROR(FIND('112'!$M$9,G3686,1)),"",IF((AND(FIND('112'!$M$9,G3686,1)&gt;=1,B3686='112'!$K$9,OR($N3686='112'!$I$6,$O3686='112'!$I$6))),"x",""))</f>
        <v/>
      </c>
      <c r="U3686" s="79" t="str">
        <f>IF(ISERROR(FIND('112'!$M$9,G3686,1)),"",IF((AND(LEFT(G3686,2)=LEFT('112'!$M$9,2),B3686&lt;'112'!$K$9,$N3686='112'!$I$6)),"x",""))</f>
        <v/>
      </c>
      <c r="V3686" s="79" t="str">
        <f>IF(ISERROR(FIND('112'!$M$9,G3686,1)),"",IF((AND(RIGHT(G3686,2)=RIGHT('112'!$M$9,2),B3686&lt;'112'!$K$9,$O3686='112'!$I$6)),"x",""))</f>
        <v/>
      </c>
      <c r="W3686" s="79" t="str">
        <f>IF(AND('341-CT'!$H$9=H3686,OR(LEFT(N3686,3)=$W$7,LEFT(O3686,3)=$W$7)),"x","")</f>
        <v/>
      </c>
      <c r="X3686" s="79" t="str">
        <f>IF(OR(TH!N3686=TH!$X$7,O3686=TH!$X$7),"x","")</f>
        <v/>
      </c>
      <c r="Y3686" s="79" t="str">
        <f>IF(AND(OR(N3686="131",O3686="131"),H3686='131-CT'!$H$9),"x","")</f>
        <v/>
      </c>
      <c r="Z3686" s="79"/>
      <c r="AA3686" s="79" t="str">
        <f>IF(AND(MONTH(E3686)='IN-NX'!$J$5,'IN-NX'!$D$7=D3686),"x","")</f>
        <v/>
      </c>
      <c r="AB3686" s="79" t="str">
        <f>IF(AND(OR(LEFT(TH!N3686,2)="15",LEFT(TH!O3686,2)="15"),LEFT(TH!O3686,3)&lt;&gt;"111",'152-CT'!$J$8=TH!F3686),"x","")</f>
        <v/>
      </c>
      <c r="AC3686" s="79" t="str">
        <f>IF(AND(OR(LEFT(TH!N3686,2)="15",LEFT(TH!O3686,2)="15"),TK!$E$7=TH!F3686),"x","")</f>
        <v/>
      </c>
      <c r="AD3686" s="79" t="str">
        <f>IF(AND(N3686="1521",MONTH(C3686)='BK-NL'!$M$11),"x","")</f>
        <v/>
      </c>
    </row>
    <row r="3687" spans="1:30" ht="16.5" customHeight="1">
      <c r="A3687" s="318" t="str">
        <f>IF(B3687&lt;&gt;"",IF(AND(B3687='IN-TC'!$S$4,OR(TH!N3687="1111",TH!O3687="1111")),TH!D3687,""),"")</f>
        <v/>
      </c>
      <c r="B3687" s="60" t="str">
        <f t="shared" si="408"/>
        <v/>
      </c>
      <c r="C3687" s="75"/>
      <c r="D3687" s="75"/>
      <c r="E3687" s="75"/>
      <c r="F3687" s="76"/>
      <c r="G3687" s="76"/>
      <c r="H3687" s="759"/>
      <c r="I3687" s="383"/>
      <c r="J3687" s="390"/>
      <c r="K3687" s="383"/>
      <c r="L3687" s="390"/>
      <c r="M3687" s="978"/>
      <c r="N3687" s="79"/>
      <c r="O3687" s="979"/>
      <c r="P3687" s="79" t="str">
        <f>IF(AND('331-CT'!$E$7=TH!H3687,OR(N3687="331",O3687="331")),"x","")</f>
        <v/>
      </c>
      <c r="Q3687" s="79" t="str">
        <f>IF(AND(B3687='111'!$L$11,OR($N3687=$Q$7,$O3687=$Q$7)),"x","")</f>
        <v/>
      </c>
      <c r="R3687" s="79" t="str">
        <f>IF(AND($N3687=$Q$7,$B3687&lt;'111'!$L$11),"x","")</f>
        <v/>
      </c>
      <c r="S3687" s="79" t="str">
        <f>IF(AND($O3687=$Q$7,$B3687&lt;'111'!$L$11),"x","")</f>
        <v/>
      </c>
      <c r="T3687" s="79" t="str">
        <f>IF(ISERROR(FIND('112'!$M$9,G3687,1)),"",IF((AND(FIND('112'!$M$9,G3687,1)&gt;=1,B3687='112'!$K$9,OR($N3687='112'!$I$6,$O3687='112'!$I$6))),"x",""))</f>
        <v/>
      </c>
      <c r="U3687" s="79" t="str">
        <f>IF(ISERROR(FIND('112'!$M$9,G3687,1)),"",IF((AND(LEFT(G3687,2)=LEFT('112'!$M$9,2),B3687&lt;'112'!$K$9,$N3687='112'!$I$6)),"x",""))</f>
        <v/>
      </c>
      <c r="V3687" s="79" t="str">
        <f>IF(ISERROR(FIND('112'!$M$9,G3687,1)),"",IF((AND(RIGHT(G3687,2)=RIGHT('112'!$M$9,2),B3687&lt;'112'!$K$9,$O3687='112'!$I$6)),"x",""))</f>
        <v/>
      </c>
      <c r="W3687" s="79" t="str">
        <f>IF(AND('341-CT'!$H$9=H3687,OR(LEFT(N3687,3)=$W$7,LEFT(O3687,3)=$W$7)),"x","")</f>
        <v/>
      </c>
      <c r="X3687" s="79" t="str">
        <f>IF(OR(TH!N3687=TH!$X$7,O3687=TH!$X$7),"x","")</f>
        <v/>
      </c>
      <c r="Y3687" s="79" t="str">
        <f>IF(AND(OR(N3687="131",O3687="131"),H3687='131-CT'!$H$9),"x","")</f>
        <v/>
      </c>
      <c r="Z3687" s="79"/>
      <c r="AA3687" s="79" t="str">
        <f>IF(AND(MONTH(E3687)='IN-NX'!$J$5,'IN-NX'!$D$7=D3687),"x","")</f>
        <v/>
      </c>
      <c r="AB3687" s="79" t="str">
        <f>IF(AND(OR(LEFT(TH!N3687,2)="15",LEFT(TH!O3687,2)="15"),LEFT(TH!O3687,3)&lt;&gt;"111",'152-CT'!$J$8=TH!F3687),"x","")</f>
        <v/>
      </c>
      <c r="AC3687" s="79" t="str">
        <f>IF(AND(OR(LEFT(TH!N3687,2)="15",LEFT(TH!O3687,2)="15"),TK!$E$7=TH!F3687),"x","")</f>
        <v/>
      </c>
      <c r="AD3687" s="79" t="str">
        <f>IF(AND(N3687="1521",MONTH(C3687)='BK-NL'!$M$11),"x","")</f>
        <v/>
      </c>
    </row>
    <row r="3688" spans="1:30" ht="16.5" customHeight="1">
      <c r="A3688" s="318" t="str">
        <f>IF(B3688&lt;&gt;"",IF(AND(B3688='IN-TC'!$S$4,OR(TH!N3688="1111",TH!O3688="1111")),TH!D3688,""),"")</f>
        <v/>
      </c>
      <c r="B3688" s="60" t="str">
        <f t="shared" si="408"/>
        <v/>
      </c>
      <c r="C3688" s="75"/>
      <c r="D3688" s="75"/>
      <c r="E3688" s="75"/>
      <c r="F3688" s="76"/>
      <c r="G3688" s="76"/>
      <c r="H3688" s="759"/>
      <c r="I3688" s="383"/>
      <c r="J3688" s="390"/>
      <c r="K3688" s="383"/>
      <c r="L3688" s="390"/>
      <c r="M3688" s="978"/>
      <c r="N3688" s="79"/>
      <c r="O3688" s="979"/>
      <c r="P3688" s="79" t="str">
        <f>IF(AND('331-CT'!$E$7=TH!H3688,OR(N3688="331",O3688="331")),"x","")</f>
        <v/>
      </c>
      <c r="Q3688" s="79" t="str">
        <f>IF(AND(B3688='111'!$L$11,OR($N3688=$Q$7,$O3688=$Q$7)),"x","")</f>
        <v/>
      </c>
      <c r="R3688" s="79" t="str">
        <f>IF(AND($N3688=$Q$7,$B3688&lt;'111'!$L$11),"x","")</f>
        <v/>
      </c>
      <c r="S3688" s="79" t="str">
        <f>IF(AND($O3688=$Q$7,$B3688&lt;'111'!$L$11),"x","")</f>
        <v/>
      </c>
      <c r="T3688" s="79" t="str">
        <f>IF(ISERROR(FIND('112'!$M$9,G3688,1)),"",IF((AND(FIND('112'!$M$9,G3688,1)&gt;=1,B3688='112'!$K$9,OR($N3688='112'!$I$6,$O3688='112'!$I$6))),"x",""))</f>
        <v/>
      </c>
      <c r="U3688" s="79" t="str">
        <f>IF(ISERROR(FIND('112'!$M$9,G3688,1)),"",IF((AND(LEFT(G3688,2)=LEFT('112'!$M$9,2),B3688&lt;'112'!$K$9,$N3688='112'!$I$6)),"x",""))</f>
        <v/>
      </c>
      <c r="V3688" s="79" t="str">
        <f>IF(ISERROR(FIND('112'!$M$9,G3688,1)),"",IF((AND(RIGHT(G3688,2)=RIGHT('112'!$M$9,2),B3688&lt;'112'!$K$9,$O3688='112'!$I$6)),"x",""))</f>
        <v/>
      </c>
      <c r="W3688" s="79" t="str">
        <f>IF(AND('341-CT'!$H$9=H3688,OR(LEFT(N3688,3)=$W$7,LEFT(O3688,3)=$W$7)),"x","")</f>
        <v/>
      </c>
      <c r="X3688" s="79" t="str">
        <f>IF(OR(TH!N3688=TH!$X$7,O3688=TH!$X$7),"x","")</f>
        <v/>
      </c>
      <c r="Y3688" s="79" t="str">
        <f>IF(AND(OR(N3688="131",O3688="131"),H3688='131-CT'!$H$9),"x","")</f>
        <v/>
      </c>
      <c r="Z3688" s="79"/>
      <c r="AA3688" s="79" t="str">
        <f>IF(AND(MONTH(E3688)='IN-NX'!$J$5,'IN-NX'!$D$7=D3688),"x","")</f>
        <v/>
      </c>
      <c r="AB3688" s="79" t="str">
        <f>IF(AND(OR(LEFT(TH!N3688,2)="15",LEFT(TH!O3688,2)="15"),LEFT(TH!O3688,3)&lt;&gt;"111",'152-CT'!$J$8=TH!F3688),"x","")</f>
        <v/>
      </c>
      <c r="AC3688" s="79" t="str">
        <f>IF(AND(OR(LEFT(TH!N3688,2)="15",LEFT(TH!O3688,2)="15"),TK!$E$7=TH!F3688),"x","")</f>
        <v/>
      </c>
      <c r="AD3688" s="79" t="str">
        <f>IF(AND(N3688="1521",MONTH(C3688)='BK-NL'!$M$11),"x","")</f>
        <v/>
      </c>
    </row>
    <row r="3689" spans="1:30" ht="16.5" customHeight="1">
      <c r="A3689" s="318" t="str">
        <f>IF(B3689&lt;&gt;"",IF(AND(B3689='IN-TC'!$S$4,OR(TH!N3689="1111",TH!O3689="1111")),TH!D3689,""),"")</f>
        <v/>
      </c>
      <c r="B3689" s="60" t="str">
        <f t="shared" si="408"/>
        <v/>
      </c>
      <c r="C3689" s="75"/>
      <c r="D3689" s="75"/>
      <c r="E3689" s="75"/>
      <c r="F3689" s="76"/>
      <c r="G3689" s="76"/>
      <c r="H3689" s="759"/>
      <c r="I3689" s="383"/>
      <c r="J3689" s="390"/>
      <c r="K3689" s="383"/>
      <c r="L3689" s="390"/>
      <c r="M3689" s="978"/>
      <c r="N3689" s="79"/>
      <c r="O3689" s="979"/>
      <c r="P3689" s="79" t="str">
        <f>IF(AND('331-CT'!$E$7=TH!H3689,OR(N3689="331",O3689="331")),"x","")</f>
        <v/>
      </c>
      <c r="Q3689" s="79" t="str">
        <f>IF(AND(B3689='111'!$L$11,OR($N3689=$Q$7,$O3689=$Q$7)),"x","")</f>
        <v/>
      </c>
      <c r="R3689" s="79" t="str">
        <f>IF(AND($N3689=$Q$7,$B3689&lt;'111'!$L$11),"x","")</f>
        <v/>
      </c>
      <c r="S3689" s="79" t="str">
        <f>IF(AND($O3689=$Q$7,$B3689&lt;'111'!$L$11),"x","")</f>
        <v/>
      </c>
      <c r="T3689" s="79" t="str">
        <f>IF(ISERROR(FIND('112'!$M$9,G3689,1)),"",IF((AND(FIND('112'!$M$9,G3689,1)&gt;=1,B3689='112'!$K$9,OR($N3689='112'!$I$6,$O3689='112'!$I$6))),"x",""))</f>
        <v/>
      </c>
      <c r="U3689" s="79" t="str">
        <f>IF(ISERROR(FIND('112'!$M$9,G3689,1)),"",IF((AND(LEFT(G3689,2)=LEFT('112'!$M$9,2),B3689&lt;'112'!$K$9,$N3689='112'!$I$6)),"x",""))</f>
        <v/>
      </c>
      <c r="V3689" s="79" t="str">
        <f>IF(ISERROR(FIND('112'!$M$9,G3689,1)),"",IF((AND(RIGHT(G3689,2)=RIGHT('112'!$M$9,2),B3689&lt;'112'!$K$9,$O3689='112'!$I$6)),"x",""))</f>
        <v/>
      </c>
      <c r="W3689" s="79" t="str">
        <f>IF(AND('341-CT'!$H$9=H3689,OR(LEFT(N3689,3)=$W$7,LEFT(O3689,3)=$W$7)),"x","")</f>
        <v/>
      </c>
      <c r="X3689" s="79" t="str">
        <f>IF(OR(TH!N3689=TH!$X$7,O3689=TH!$X$7),"x","")</f>
        <v/>
      </c>
      <c r="Y3689" s="79" t="str">
        <f>IF(AND(OR(N3689="131",O3689="131"),H3689='131-CT'!$H$9),"x","")</f>
        <v/>
      </c>
      <c r="Z3689" s="79"/>
      <c r="AA3689" s="79" t="str">
        <f>IF(AND(MONTH(E3689)='IN-NX'!$J$5,'IN-NX'!$D$7=D3689),"x","")</f>
        <v/>
      </c>
      <c r="AB3689" s="79" t="str">
        <f>IF(AND(OR(LEFT(TH!N3689,2)="15",LEFT(TH!O3689,2)="15"),LEFT(TH!O3689,3)&lt;&gt;"111",'152-CT'!$J$8=TH!F3689),"x","")</f>
        <v/>
      </c>
      <c r="AC3689" s="79" t="str">
        <f>IF(AND(OR(LEFT(TH!N3689,2)="15",LEFT(TH!O3689,2)="15"),TK!$E$7=TH!F3689),"x","")</f>
        <v/>
      </c>
      <c r="AD3689" s="79" t="str">
        <f>IF(AND(N3689="1521",MONTH(C3689)='BK-NL'!$M$11),"x","")</f>
        <v/>
      </c>
    </row>
    <row r="3690" spans="1:30" ht="16.5" customHeight="1">
      <c r="A3690" s="318" t="str">
        <f>IF(B3690&lt;&gt;"",IF(AND(B3690='IN-TC'!$S$4,OR(TH!N3690="1111",TH!O3690="1111")),TH!D3690,""),"")</f>
        <v/>
      </c>
      <c r="B3690" s="60" t="str">
        <f t="shared" si="408"/>
        <v/>
      </c>
      <c r="C3690" s="75"/>
      <c r="D3690" s="75"/>
      <c r="E3690" s="75"/>
      <c r="F3690" s="76"/>
      <c r="G3690" s="76"/>
      <c r="H3690" s="759"/>
      <c r="I3690" s="383"/>
      <c r="J3690" s="390"/>
      <c r="K3690" s="383"/>
      <c r="L3690" s="390"/>
      <c r="M3690" s="978"/>
      <c r="N3690" s="79"/>
      <c r="O3690" s="979"/>
      <c r="P3690" s="79" t="str">
        <f>IF(AND('331-CT'!$E$7=TH!H3690,OR(N3690="331",O3690="331")),"x","")</f>
        <v/>
      </c>
      <c r="Q3690" s="79" t="str">
        <f>IF(AND(B3690='111'!$L$11,OR($N3690=$Q$7,$O3690=$Q$7)),"x","")</f>
        <v/>
      </c>
      <c r="R3690" s="79" t="str">
        <f>IF(AND($N3690=$Q$7,$B3690&lt;'111'!$L$11),"x","")</f>
        <v/>
      </c>
      <c r="S3690" s="79" t="str">
        <f>IF(AND($O3690=$Q$7,$B3690&lt;'111'!$L$11),"x","")</f>
        <v/>
      </c>
      <c r="T3690" s="79" t="str">
        <f>IF(ISERROR(FIND('112'!$M$9,G3690,1)),"",IF((AND(FIND('112'!$M$9,G3690,1)&gt;=1,B3690='112'!$K$9,OR($N3690='112'!$I$6,$O3690='112'!$I$6))),"x",""))</f>
        <v/>
      </c>
      <c r="U3690" s="79" t="str">
        <f>IF(ISERROR(FIND('112'!$M$9,G3690,1)),"",IF((AND(LEFT(G3690,2)=LEFT('112'!$M$9,2),B3690&lt;'112'!$K$9,$N3690='112'!$I$6)),"x",""))</f>
        <v/>
      </c>
      <c r="V3690" s="79" t="str">
        <f>IF(ISERROR(FIND('112'!$M$9,G3690,1)),"",IF((AND(RIGHT(G3690,2)=RIGHT('112'!$M$9,2),B3690&lt;'112'!$K$9,$O3690='112'!$I$6)),"x",""))</f>
        <v/>
      </c>
      <c r="W3690" s="79" t="str">
        <f>IF(AND('341-CT'!$H$9=H3690,OR(LEFT(N3690,3)=$W$7,LEFT(O3690,3)=$W$7)),"x","")</f>
        <v/>
      </c>
      <c r="X3690" s="79" t="str">
        <f>IF(OR(TH!N3690=TH!$X$7,O3690=TH!$X$7),"x","")</f>
        <v/>
      </c>
      <c r="Y3690" s="79" t="str">
        <f>IF(AND(OR(N3690="131",O3690="131"),H3690='131-CT'!$H$9),"x","")</f>
        <v/>
      </c>
      <c r="Z3690" s="79"/>
      <c r="AA3690" s="79" t="str">
        <f>IF(AND(MONTH(E3690)='IN-NX'!$J$5,'IN-NX'!$D$7=D3690),"x","")</f>
        <v/>
      </c>
      <c r="AB3690" s="79" t="str">
        <f>IF(AND(OR(LEFT(TH!N3690,2)="15",LEFT(TH!O3690,2)="15"),LEFT(TH!O3690,3)&lt;&gt;"111",'152-CT'!$J$8=TH!F3690),"x","")</f>
        <v/>
      </c>
      <c r="AC3690" s="79" t="str">
        <f>IF(AND(OR(LEFT(TH!N3690,2)="15",LEFT(TH!O3690,2)="15"),TK!$E$7=TH!F3690),"x","")</f>
        <v/>
      </c>
      <c r="AD3690" s="79" t="str">
        <f>IF(AND(N3690="1521",MONTH(C3690)='BK-NL'!$M$11),"x","")</f>
        <v/>
      </c>
    </row>
    <row r="3691" spans="1:30" ht="16.5" customHeight="1">
      <c r="A3691" s="318" t="str">
        <f>IF(B3691&lt;&gt;"",IF(AND(B3691='IN-TC'!$S$4,OR(TH!N3691="1111",TH!O3691="1111")),TH!D3691,""),"")</f>
        <v/>
      </c>
      <c r="B3691" s="60" t="str">
        <f t="shared" si="408"/>
        <v/>
      </c>
      <c r="C3691" s="75"/>
      <c r="D3691" s="75"/>
      <c r="E3691" s="75"/>
      <c r="F3691" s="76"/>
      <c r="G3691" s="76"/>
      <c r="H3691" s="759"/>
      <c r="I3691" s="383"/>
      <c r="J3691" s="390"/>
      <c r="K3691" s="383"/>
      <c r="L3691" s="390"/>
      <c r="M3691" s="978"/>
      <c r="N3691" s="79"/>
      <c r="O3691" s="979"/>
      <c r="P3691" s="79" t="str">
        <f>IF(AND('331-CT'!$E$7=TH!H3691,OR(N3691="331",O3691="331")),"x","")</f>
        <v/>
      </c>
      <c r="Q3691" s="79" t="str">
        <f>IF(AND(B3691='111'!$L$11,OR($N3691=$Q$7,$O3691=$Q$7)),"x","")</f>
        <v/>
      </c>
      <c r="R3691" s="79" t="str">
        <f>IF(AND($N3691=$Q$7,$B3691&lt;'111'!$L$11),"x","")</f>
        <v/>
      </c>
      <c r="S3691" s="79" t="str">
        <f>IF(AND($O3691=$Q$7,$B3691&lt;'111'!$L$11),"x","")</f>
        <v/>
      </c>
      <c r="T3691" s="79" t="str">
        <f>IF(ISERROR(FIND('112'!$M$9,G3691,1)),"",IF((AND(FIND('112'!$M$9,G3691,1)&gt;=1,B3691='112'!$K$9,OR($N3691='112'!$I$6,$O3691='112'!$I$6))),"x",""))</f>
        <v/>
      </c>
      <c r="U3691" s="79" t="str">
        <f>IF(ISERROR(FIND('112'!$M$9,G3691,1)),"",IF((AND(LEFT(G3691,2)=LEFT('112'!$M$9,2),B3691&lt;'112'!$K$9,$N3691='112'!$I$6)),"x",""))</f>
        <v/>
      </c>
      <c r="V3691" s="79" t="str">
        <f>IF(ISERROR(FIND('112'!$M$9,G3691,1)),"",IF((AND(RIGHT(G3691,2)=RIGHT('112'!$M$9,2),B3691&lt;'112'!$K$9,$O3691='112'!$I$6)),"x",""))</f>
        <v/>
      </c>
      <c r="W3691" s="79" t="str">
        <f>IF(AND('341-CT'!$H$9=H3691,OR(LEFT(N3691,3)=$W$7,LEFT(O3691,3)=$W$7)),"x","")</f>
        <v/>
      </c>
      <c r="X3691" s="79" t="str">
        <f>IF(OR(TH!N3691=TH!$X$7,O3691=TH!$X$7),"x","")</f>
        <v/>
      </c>
      <c r="Y3691" s="79" t="str">
        <f>IF(AND(OR(N3691="131",O3691="131"),H3691='131-CT'!$H$9),"x","")</f>
        <v/>
      </c>
      <c r="Z3691" s="79"/>
      <c r="AA3691" s="79" t="str">
        <f>IF(AND(MONTH(E3691)='IN-NX'!$J$5,'IN-NX'!$D$7=D3691),"x","")</f>
        <v/>
      </c>
      <c r="AB3691" s="79" t="str">
        <f>IF(AND(OR(LEFT(TH!N3691,2)="15",LEFT(TH!O3691,2)="15"),LEFT(TH!O3691,3)&lt;&gt;"111",'152-CT'!$J$8=TH!F3691),"x","")</f>
        <v/>
      </c>
      <c r="AC3691" s="79" t="str">
        <f>IF(AND(OR(LEFT(TH!N3691,2)="15",LEFT(TH!O3691,2)="15"),TK!$E$7=TH!F3691),"x","")</f>
        <v/>
      </c>
      <c r="AD3691" s="79" t="str">
        <f>IF(AND(N3691="1521",MONTH(C3691)='BK-NL'!$M$11),"x","")</f>
        <v/>
      </c>
    </row>
    <row r="3692" spans="1:30" ht="16.5" customHeight="1">
      <c r="A3692" s="318" t="str">
        <f>IF(B3692&lt;&gt;"",IF(AND(B3692='IN-TC'!$S$4,OR(TH!N3692="1111",TH!O3692="1111")),TH!D3692,""),"")</f>
        <v/>
      </c>
      <c r="B3692" s="60" t="str">
        <f t="shared" si="408"/>
        <v/>
      </c>
      <c r="C3692" s="75"/>
      <c r="D3692" s="75"/>
      <c r="E3692" s="75"/>
      <c r="F3692" s="76"/>
      <c r="G3692" s="76"/>
      <c r="H3692" s="759"/>
      <c r="I3692" s="383"/>
      <c r="J3692" s="390"/>
      <c r="K3692" s="383"/>
      <c r="L3692" s="390"/>
      <c r="M3692" s="978"/>
      <c r="N3692" s="79"/>
      <c r="O3692" s="979"/>
      <c r="P3692" s="79" t="str">
        <f>IF(AND('331-CT'!$E$7=TH!H3692,OR(N3692="331",O3692="331")),"x","")</f>
        <v/>
      </c>
      <c r="Q3692" s="79" t="str">
        <f>IF(AND(B3692='111'!$L$11,OR($N3692=$Q$7,$O3692=$Q$7)),"x","")</f>
        <v/>
      </c>
      <c r="R3692" s="79" t="str">
        <f>IF(AND($N3692=$Q$7,$B3692&lt;'111'!$L$11),"x","")</f>
        <v/>
      </c>
      <c r="S3692" s="79" t="str">
        <f>IF(AND($O3692=$Q$7,$B3692&lt;'111'!$L$11),"x","")</f>
        <v/>
      </c>
      <c r="T3692" s="79" t="str">
        <f>IF(ISERROR(FIND('112'!$M$9,G3692,1)),"",IF((AND(FIND('112'!$M$9,G3692,1)&gt;=1,B3692='112'!$K$9,OR($N3692='112'!$I$6,$O3692='112'!$I$6))),"x",""))</f>
        <v/>
      </c>
      <c r="U3692" s="79" t="str">
        <f>IF(ISERROR(FIND('112'!$M$9,G3692,1)),"",IF((AND(LEFT(G3692,2)=LEFT('112'!$M$9,2),B3692&lt;'112'!$K$9,$N3692='112'!$I$6)),"x",""))</f>
        <v/>
      </c>
      <c r="V3692" s="79" t="str">
        <f>IF(ISERROR(FIND('112'!$M$9,G3692,1)),"",IF((AND(RIGHT(G3692,2)=RIGHT('112'!$M$9,2),B3692&lt;'112'!$K$9,$O3692='112'!$I$6)),"x",""))</f>
        <v/>
      </c>
      <c r="W3692" s="79" t="str">
        <f>IF(AND('341-CT'!$H$9=H3692,OR(LEFT(N3692,3)=$W$7,LEFT(O3692,3)=$W$7)),"x","")</f>
        <v/>
      </c>
      <c r="X3692" s="79" t="str">
        <f>IF(OR(TH!N3692=TH!$X$7,O3692=TH!$X$7),"x","")</f>
        <v/>
      </c>
      <c r="Y3692" s="79" t="str">
        <f>IF(AND(OR(N3692="131",O3692="131"),H3692='131-CT'!$H$9),"x","")</f>
        <v/>
      </c>
      <c r="Z3692" s="79"/>
      <c r="AA3692" s="79" t="str">
        <f>IF(AND(MONTH(E3692)='IN-NX'!$J$5,'IN-NX'!$D$7=D3692),"x","")</f>
        <v/>
      </c>
      <c r="AB3692" s="79" t="str">
        <f>IF(AND(OR(LEFT(TH!N3692,2)="15",LEFT(TH!O3692,2)="15"),LEFT(TH!O3692,3)&lt;&gt;"111",'152-CT'!$J$8=TH!F3692),"x","")</f>
        <v/>
      </c>
      <c r="AC3692" s="79" t="str">
        <f>IF(AND(OR(LEFT(TH!N3692,2)="15",LEFT(TH!O3692,2)="15"),TK!$E$7=TH!F3692),"x","")</f>
        <v/>
      </c>
      <c r="AD3692" s="79" t="str">
        <f>IF(AND(N3692="1521",MONTH(C3692)='BK-NL'!$M$11),"x","")</f>
        <v/>
      </c>
    </row>
    <row r="3693" spans="1:30" ht="16.5" customHeight="1">
      <c r="A3693" s="318" t="str">
        <f>IF(B3693&lt;&gt;"",IF(AND(B3693='IN-TC'!$S$4,OR(TH!N3693="1111",TH!O3693="1111")),TH!D3693,""),"")</f>
        <v/>
      </c>
      <c r="B3693" s="60" t="str">
        <f t="shared" si="408"/>
        <v/>
      </c>
      <c r="C3693" s="75"/>
      <c r="D3693" s="75"/>
      <c r="E3693" s="75"/>
      <c r="F3693" s="76"/>
      <c r="G3693" s="76"/>
      <c r="H3693" s="759"/>
      <c r="I3693" s="383"/>
      <c r="J3693" s="390"/>
      <c r="K3693" s="383"/>
      <c r="L3693" s="390"/>
      <c r="M3693" s="978"/>
      <c r="N3693" s="79"/>
      <c r="O3693" s="979"/>
      <c r="P3693" s="79" t="str">
        <f>IF(AND('331-CT'!$E$7=TH!H3693,OR(N3693="331",O3693="331")),"x","")</f>
        <v/>
      </c>
      <c r="Q3693" s="79" t="str">
        <f>IF(AND(B3693='111'!$L$11,OR($N3693=$Q$7,$O3693=$Q$7)),"x","")</f>
        <v/>
      </c>
      <c r="R3693" s="79" t="str">
        <f>IF(AND($N3693=$Q$7,$B3693&lt;'111'!$L$11),"x","")</f>
        <v/>
      </c>
      <c r="S3693" s="79" t="str">
        <f>IF(AND($O3693=$Q$7,$B3693&lt;'111'!$L$11),"x","")</f>
        <v/>
      </c>
      <c r="T3693" s="79" t="str">
        <f>IF(ISERROR(FIND('112'!$M$9,G3693,1)),"",IF((AND(FIND('112'!$M$9,G3693,1)&gt;=1,B3693='112'!$K$9,OR($N3693='112'!$I$6,$O3693='112'!$I$6))),"x",""))</f>
        <v/>
      </c>
      <c r="U3693" s="79" t="str">
        <f>IF(ISERROR(FIND('112'!$M$9,G3693,1)),"",IF((AND(LEFT(G3693,2)=LEFT('112'!$M$9,2),B3693&lt;'112'!$K$9,$N3693='112'!$I$6)),"x",""))</f>
        <v/>
      </c>
      <c r="V3693" s="79" t="str">
        <f>IF(ISERROR(FIND('112'!$M$9,G3693,1)),"",IF((AND(RIGHT(G3693,2)=RIGHT('112'!$M$9,2),B3693&lt;'112'!$K$9,$O3693='112'!$I$6)),"x",""))</f>
        <v/>
      </c>
      <c r="W3693" s="79" t="str">
        <f>IF(AND('341-CT'!$H$9=H3693,OR(LEFT(N3693,3)=$W$7,LEFT(O3693,3)=$W$7)),"x","")</f>
        <v/>
      </c>
      <c r="X3693" s="79" t="str">
        <f>IF(OR(TH!N3693=TH!$X$7,O3693=TH!$X$7),"x","")</f>
        <v/>
      </c>
      <c r="Y3693" s="79" t="str">
        <f>IF(AND(OR(N3693="131",O3693="131"),H3693='131-CT'!$H$9),"x","")</f>
        <v/>
      </c>
      <c r="Z3693" s="79"/>
      <c r="AA3693" s="79" t="str">
        <f>IF(AND(MONTH(E3693)='IN-NX'!$J$5,'IN-NX'!$D$7=D3693),"x","")</f>
        <v/>
      </c>
      <c r="AB3693" s="79" t="str">
        <f>IF(AND(OR(LEFT(TH!N3693,2)="15",LEFT(TH!O3693,2)="15"),LEFT(TH!O3693,3)&lt;&gt;"111",'152-CT'!$J$8=TH!F3693),"x","")</f>
        <v/>
      </c>
      <c r="AC3693" s="79" t="str">
        <f>IF(AND(OR(LEFT(TH!N3693,2)="15",LEFT(TH!O3693,2)="15"),TK!$E$7=TH!F3693),"x","")</f>
        <v/>
      </c>
      <c r="AD3693" s="79" t="str">
        <f>IF(AND(N3693="1521",MONTH(C3693)='BK-NL'!$M$11),"x","")</f>
        <v/>
      </c>
    </row>
    <row r="3694" spans="1:30" ht="16.5" customHeight="1">
      <c r="A3694" s="318" t="str">
        <f>IF(B3694&lt;&gt;"",IF(AND(B3694='IN-TC'!$S$4,OR(TH!N3694="1111",TH!O3694="1111")),TH!D3694,""),"")</f>
        <v/>
      </c>
      <c r="B3694" s="60" t="str">
        <f t="shared" si="408"/>
        <v/>
      </c>
      <c r="C3694" s="75"/>
      <c r="D3694" s="75"/>
      <c r="E3694" s="75"/>
      <c r="F3694" s="76"/>
      <c r="G3694" s="76"/>
      <c r="H3694" s="759"/>
      <c r="I3694" s="383"/>
      <c r="J3694" s="390"/>
      <c r="K3694" s="383"/>
      <c r="L3694" s="390"/>
      <c r="M3694" s="978"/>
      <c r="N3694" s="79"/>
      <c r="O3694" s="979"/>
      <c r="P3694" s="79" t="str">
        <f>IF(AND('331-CT'!$E$7=TH!H3694,OR(N3694="331",O3694="331")),"x","")</f>
        <v/>
      </c>
      <c r="Q3694" s="79" t="str">
        <f>IF(AND(B3694='111'!$L$11,OR($N3694=$Q$7,$O3694=$Q$7)),"x","")</f>
        <v/>
      </c>
      <c r="R3694" s="79" t="str">
        <f>IF(AND($N3694=$Q$7,$B3694&lt;'111'!$L$11),"x","")</f>
        <v/>
      </c>
      <c r="S3694" s="79" t="str">
        <f>IF(AND($O3694=$Q$7,$B3694&lt;'111'!$L$11),"x","")</f>
        <v/>
      </c>
      <c r="T3694" s="79" t="str">
        <f>IF(ISERROR(FIND('112'!$M$9,G3694,1)),"",IF((AND(FIND('112'!$M$9,G3694,1)&gt;=1,B3694='112'!$K$9,OR($N3694='112'!$I$6,$O3694='112'!$I$6))),"x",""))</f>
        <v/>
      </c>
      <c r="U3694" s="79" t="str">
        <f>IF(ISERROR(FIND('112'!$M$9,G3694,1)),"",IF((AND(LEFT(G3694,2)=LEFT('112'!$M$9,2),B3694&lt;'112'!$K$9,$N3694='112'!$I$6)),"x",""))</f>
        <v/>
      </c>
      <c r="V3694" s="79" t="str">
        <f>IF(ISERROR(FIND('112'!$M$9,G3694,1)),"",IF((AND(RIGHT(G3694,2)=RIGHT('112'!$M$9,2),B3694&lt;'112'!$K$9,$O3694='112'!$I$6)),"x",""))</f>
        <v/>
      </c>
      <c r="W3694" s="79" t="str">
        <f>IF(AND('341-CT'!$H$9=H3694,OR(LEFT(N3694,3)=$W$7,LEFT(O3694,3)=$W$7)),"x","")</f>
        <v/>
      </c>
      <c r="X3694" s="79" t="str">
        <f>IF(OR(TH!N3694=TH!$X$7,O3694=TH!$X$7),"x","")</f>
        <v/>
      </c>
      <c r="Y3694" s="79" t="str">
        <f>IF(AND(OR(N3694="131",O3694="131"),H3694='131-CT'!$H$9),"x","")</f>
        <v/>
      </c>
      <c r="Z3694" s="79"/>
      <c r="AA3694" s="79" t="str">
        <f>IF(AND(MONTH(E3694)='IN-NX'!$J$5,'IN-NX'!$D$7=D3694),"x","")</f>
        <v/>
      </c>
      <c r="AB3694" s="79" t="str">
        <f>IF(AND(OR(LEFT(TH!N3694,2)="15",LEFT(TH!O3694,2)="15"),LEFT(TH!O3694,3)&lt;&gt;"111",'152-CT'!$J$8=TH!F3694),"x","")</f>
        <v/>
      </c>
      <c r="AC3694" s="79" t="str">
        <f>IF(AND(OR(LEFT(TH!N3694,2)="15",LEFT(TH!O3694,2)="15"),TK!$E$7=TH!F3694),"x","")</f>
        <v/>
      </c>
      <c r="AD3694" s="79" t="str">
        <f>IF(AND(N3694="1521",MONTH(C3694)='BK-NL'!$M$11),"x","")</f>
        <v/>
      </c>
    </row>
    <row r="3695" spans="1:30" ht="16.5" customHeight="1">
      <c r="A3695" s="318" t="str">
        <f>IF(B3695&lt;&gt;"",IF(AND(B3695='IN-TC'!$S$4,OR(TH!N3695="1111",TH!O3695="1111")),TH!D3695,""),"")</f>
        <v/>
      </c>
      <c r="B3695" s="60" t="str">
        <f t="shared" si="408"/>
        <v/>
      </c>
      <c r="C3695" s="75"/>
      <c r="D3695" s="75"/>
      <c r="E3695" s="75"/>
      <c r="F3695" s="76"/>
      <c r="G3695" s="76"/>
      <c r="H3695" s="759"/>
      <c r="I3695" s="383"/>
      <c r="J3695" s="390"/>
      <c r="K3695" s="383"/>
      <c r="L3695" s="390"/>
      <c r="M3695" s="978"/>
      <c r="N3695" s="79"/>
      <c r="O3695" s="979"/>
      <c r="P3695" s="79" t="str">
        <f>IF(AND('331-CT'!$E$7=TH!H3695,OR(N3695="331",O3695="331")),"x","")</f>
        <v/>
      </c>
      <c r="Q3695" s="79" t="str">
        <f>IF(AND(B3695='111'!$L$11,OR($N3695=$Q$7,$O3695=$Q$7)),"x","")</f>
        <v/>
      </c>
      <c r="R3695" s="79" t="str">
        <f>IF(AND($N3695=$Q$7,$B3695&lt;'111'!$L$11),"x","")</f>
        <v/>
      </c>
      <c r="S3695" s="79" t="str">
        <f>IF(AND($O3695=$Q$7,$B3695&lt;'111'!$L$11),"x","")</f>
        <v/>
      </c>
      <c r="T3695" s="79" t="str">
        <f>IF(ISERROR(FIND('112'!$M$9,G3695,1)),"",IF((AND(FIND('112'!$M$9,G3695,1)&gt;=1,B3695='112'!$K$9,OR($N3695='112'!$I$6,$O3695='112'!$I$6))),"x",""))</f>
        <v/>
      </c>
      <c r="U3695" s="79" t="str">
        <f>IF(ISERROR(FIND('112'!$M$9,G3695,1)),"",IF((AND(LEFT(G3695,2)=LEFT('112'!$M$9,2),B3695&lt;'112'!$K$9,$N3695='112'!$I$6)),"x",""))</f>
        <v/>
      </c>
      <c r="V3695" s="79" t="str">
        <f>IF(ISERROR(FIND('112'!$M$9,G3695,1)),"",IF((AND(RIGHT(G3695,2)=RIGHT('112'!$M$9,2),B3695&lt;'112'!$K$9,$O3695='112'!$I$6)),"x",""))</f>
        <v/>
      </c>
      <c r="W3695" s="79" t="str">
        <f>IF(AND('341-CT'!$H$9=H3695,OR(LEFT(N3695,3)=$W$7,LEFT(O3695,3)=$W$7)),"x","")</f>
        <v/>
      </c>
      <c r="X3695" s="79" t="str">
        <f>IF(OR(TH!N3695=TH!$X$7,O3695=TH!$X$7),"x","")</f>
        <v/>
      </c>
      <c r="Y3695" s="79" t="str">
        <f>IF(AND(OR(N3695="131",O3695="131"),H3695='131-CT'!$H$9),"x","")</f>
        <v/>
      </c>
      <c r="Z3695" s="79"/>
      <c r="AA3695" s="79" t="str">
        <f>IF(AND(MONTH(E3695)='IN-NX'!$J$5,'IN-NX'!$D$7=D3695),"x","")</f>
        <v/>
      </c>
      <c r="AB3695" s="79" t="str">
        <f>IF(AND(OR(LEFT(TH!N3695,2)="15",LEFT(TH!O3695,2)="15"),LEFT(TH!O3695,3)&lt;&gt;"111",'152-CT'!$J$8=TH!F3695),"x","")</f>
        <v/>
      </c>
      <c r="AC3695" s="79" t="str">
        <f>IF(AND(OR(LEFT(TH!N3695,2)="15",LEFT(TH!O3695,2)="15"),TK!$E$7=TH!F3695),"x","")</f>
        <v/>
      </c>
      <c r="AD3695" s="79" t="str">
        <f>IF(AND(N3695="1521",MONTH(C3695)='BK-NL'!$M$11),"x","")</f>
        <v/>
      </c>
    </row>
    <row r="3696" spans="1:30" ht="16.5" customHeight="1">
      <c r="A3696" s="318" t="str">
        <f>IF(B3696&lt;&gt;"",IF(AND(B3696='IN-TC'!$S$4,OR(TH!N3696="1111",TH!O3696="1111")),TH!D3696,""),"")</f>
        <v/>
      </c>
      <c r="B3696" s="60" t="str">
        <f t="shared" si="408"/>
        <v/>
      </c>
      <c r="C3696" s="75"/>
      <c r="D3696" s="75"/>
      <c r="E3696" s="75"/>
      <c r="F3696" s="76"/>
      <c r="G3696" s="76"/>
      <c r="H3696" s="759"/>
      <c r="I3696" s="383"/>
      <c r="J3696" s="390"/>
      <c r="K3696" s="383"/>
      <c r="L3696" s="390"/>
      <c r="M3696" s="978"/>
      <c r="N3696" s="79"/>
      <c r="O3696" s="979"/>
      <c r="P3696" s="79" t="str">
        <f>IF(AND('331-CT'!$E$7=TH!H3696,OR(N3696="331",O3696="331")),"x","")</f>
        <v/>
      </c>
      <c r="Q3696" s="79" t="str">
        <f>IF(AND(B3696='111'!$L$11,OR($N3696=$Q$7,$O3696=$Q$7)),"x","")</f>
        <v/>
      </c>
      <c r="R3696" s="79" t="str">
        <f>IF(AND($N3696=$Q$7,$B3696&lt;'111'!$L$11),"x","")</f>
        <v/>
      </c>
      <c r="S3696" s="79" t="str">
        <f>IF(AND($O3696=$Q$7,$B3696&lt;'111'!$L$11),"x","")</f>
        <v/>
      </c>
      <c r="T3696" s="79" t="str">
        <f>IF(ISERROR(FIND('112'!$M$9,G3696,1)),"",IF((AND(FIND('112'!$M$9,G3696,1)&gt;=1,B3696='112'!$K$9,OR($N3696='112'!$I$6,$O3696='112'!$I$6))),"x",""))</f>
        <v/>
      </c>
      <c r="U3696" s="79" t="str">
        <f>IF(ISERROR(FIND('112'!$M$9,G3696,1)),"",IF((AND(LEFT(G3696,2)=LEFT('112'!$M$9,2),B3696&lt;'112'!$K$9,$N3696='112'!$I$6)),"x",""))</f>
        <v/>
      </c>
      <c r="V3696" s="79" t="str">
        <f>IF(ISERROR(FIND('112'!$M$9,G3696,1)),"",IF((AND(RIGHT(G3696,2)=RIGHT('112'!$M$9,2),B3696&lt;'112'!$K$9,$O3696='112'!$I$6)),"x",""))</f>
        <v/>
      </c>
      <c r="W3696" s="79" t="str">
        <f>IF(AND('341-CT'!$H$9=H3696,OR(LEFT(N3696,3)=$W$7,LEFT(O3696,3)=$W$7)),"x","")</f>
        <v/>
      </c>
      <c r="X3696" s="79" t="str">
        <f>IF(OR(TH!N3696=TH!$X$7,O3696=TH!$X$7),"x","")</f>
        <v/>
      </c>
      <c r="Y3696" s="79" t="str">
        <f>IF(AND(OR(N3696="131",O3696="131"),H3696='131-CT'!$H$9),"x","")</f>
        <v/>
      </c>
      <c r="Z3696" s="79"/>
      <c r="AA3696" s="79" t="str">
        <f>IF(AND(MONTH(E3696)='IN-NX'!$J$5,'IN-NX'!$D$7=D3696),"x","")</f>
        <v/>
      </c>
      <c r="AB3696" s="79" t="str">
        <f>IF(AND(OR(LEFT(TH!N3696,2)="15",LEFT(TH!O3696,2)="15"),LEFT(TH!O3696,3)&lt;&gt;"111",'152-CT'!$J$8=TH!F3696),"x","")</f>
        <v/>
      </c>
      <c r="AC3696" s="79" t="str">
        <f>IF(AND(OR(LEFT(TH!N3696,2)="15",LEFT(TH!O3696,2)="15"),TK!$E$7=TH!F3696),"x","")</f>
        <v/>
      </c>
      <c r="AD3696" s="79" t="str">
        <f>IF(AND(N3696="1521",MONTH(C3696)='BK-NL'!$M$11),"x","")</f>
        <v/>
      </c>
    </row>
    <row r="3697" spans="1:30" ht="16.5" customHeight="1">
      <c r="A3697" s="318" t="str">
        <f>IF(B3697&lt;&gt;"",IF(AND(B3697='IN-TC'!$S$4,OR(TH!N3697="1111",TH!O3697="1111")),TH!D3697,""),"")</f>
        <v/>
      </c>
      <c r="B3697" s="60" t="str">
        <f t="shared" si="408"/>
        <v/>
      </c>
      <c r="C3697" s="75"/>
      <c r="D3697" s="75"/>
      <c r="E3697" s="75"/>
      <c r="F3697" s="76"/>
      <c r="G3697" s="76"/>
      <c r="H3697" s="759"/>
      <c r="I3697" s="383"/>
      <c r="J3697" s="390"/>
      <c r="K3697" s="383"/>
      <c r="L3697" s="390"/>
      <c r="M3697" s="978"/>
      <c r="N3697" s="79"/>
      <c r="O3697" s="979"/>
      <c r="P3697" s="79" t="str">
        <f>IF(AND('331-CT'!$E$7=TH!H3697,OR(N3697="331",O3697="331")),"x","")</f>
        <v/>
      </c>
      <c r="Q3697" s="79" t="str">
        <f>IF(AND(B3697='111'!$L$11,OR($N3697=$Q$7,$O3697=$Q$7)),"x","")</f>
        <v/>
      </c>
      <c r="R3697" s="79" t="str">
        <f>IF(AND($N3697=$Q$7,$B3697&lt;'111'!$L$11),"x","")</f>
        <v/>
      </c>
      <c r="S3697" s="79" t="str">
        <f>IF(AND($O3697=$Q$7,$B3697&lt;'111'!$L$11),"x","")</f>
        <v/>
      </c>
      <c r="T3697" s="79" t="str">
        <f>IF(ISERROR(FIND('112'!$M$9,G3697,1)),"",IF((AND(FIND('112'!$M$9,G3697,1)&gt;=1,B3697='112'!$K$9,OR($N3697='112'!$I$6,$O3697='112'!$I$6))),"x",""))</f>
        <v/>
      </c>
      <c r="U3697" s="79" t="str">
        <f>IF(ISERROR(FIND('112'!$M$9,G3697,1)),"",IF((AND(LEFT(G3697,2)=LEFT('112'!$M$9,2),B3697&lt;'112'!$K$9,$N3697='112'!$I$6)),"x",""))</f>
        <v/>
      </c>
      <c r="V3697" s="79" t="str">
        <f>IF(ISERROR(FIND('112'!$M$9,G3697,1)),"",IF((AND(RIGHT(G3697,2)=RIGHT('112'!$M$9,2),B3697&lt;'112'!$K$9,$O3697='112'!$I$6)),"x",""))</f>
        <v/>
      </c>
      <c r="W3697" s="79" t="str">
        <f>IF(AND('341-CT'!$H$9=H3697,OR(LEFT(N3697,3)=$W$7,LEFT(O3697,3)=$W$7)),"x","")</f>
        <v/>
      </c>
      <c r="X3697" s="79" t="str">
        <f>IF(OR(TH!N3697=TH!$X$7,O3697=TH!$X$7),"x","")</f>
        <v/>
      </c>
      <c r="Y3697" s="79" t="str">
        <f>IF(AND(OR(N3697="131",O3697="131"),H3697='131-CT'!$H$9),"x","")</f>
        <v/>
      </c>
      <c r="Z3697" s="79"/>
      <c r="AA3697" s="79" t="str">
        <f>IF(AND(MONTH(E3697)='IN-NX'!$J$5,'IN-NX'!$D$7=D3697),"x","")</f>
        <v/>
      </c>
      <c r="AB3697" s="79" t="str">
        <f>IF(AND(OR(LEFT(TH!N3697,2)="15",LEFT(TH!O3697,2)="15"),LEFT(TH!O3697,3)&lt;&gt;"111",'152-CT'!$J$8=TH!F3697),"x","")</f>
        <v/>
      </c>
      <c r="AC3697" s="79" t="str">
        <f>IF(AND(OR(LEFT(TH!N3697,2)="15",LEFT(TH!O3697,2)="15"),TK!$E$7=TH!F3697),"x","")</f>
        <v/>
      </c>
      <c r="AD3697" s="79" t="str">
        <f>IF(AND(N3697="1521",MONTH(C3697)='BK-NL'!$M$11),"x","")</f>
        <v/>
      </c>
    </row>
    <row r="3698" spans="1:30" ht="16.5" customHeight="1">
      <c r="A3698" s="318" t="str">
        <f>IF(B3698&lt;&gt;"",IF(AND(B3698='IN-TC'!$S$4,OR(TH!N3698="1111",TH!O3698="1111")),TH!D3698,""),"")</f>
        <v/>
      </c>
      <c r="B3698" s="60" t="str">
        <f t="shared" si="408"/>
        <v/>
      </c>
      <c r="C3698" s="75"/>
      <c r="D3698" s="75"/>
      <c r="E3698" s="75"/>
      <c r="F3698" s="76"/>
      <c r="G3698" s="76"/>
      <c r="H3698" s="759"/>
      <c r="I3698" s="383"/>
      <c r="J3698" s="390"/>
      <c r="K3698" s="383"/>
      <c r="L3698" s="390"/>
      <c r="M3698" s="978"/>
      <c r="N3698" s="79"/>
      <c r="O3698" s="979"/>
      <c r="P3698" s="79" t="str">
        <f>IF(AND('331-CT'!$E$7=TH!H3698,OR(N3698="331",O3698="331")),"x","")</f>
        <v/>
      </c>
      <c r="Q3698" s="79" t="str">
        <f>IF(AND(B3698='111'!$L$11,OR($N3698=$Q$7,$O3698=$Q$7)),"x","")</f>
        <v/>
      </c>
      <c r="R3698" s="79" t="str">
        <f>IF(AND($N3698=$Q$7,$B3698&lt;'111'!$L$11),"x","")</f>
        <v/>
      </c>
      <c r="S3698" s="79" t="str">
        <f>IF(AND($O3698=$Q$7,$B3698&lt;'111'!$L$11),"x","")</f>
        <v/>
      </c>
      <c r="T3698" s="79" t="str">
        <f>IF(ISERROR(FIND('112'!$M$9,G3698,1)),"",IF((AND(FIND('112'!$M$9,G3698,1)&gt;=1,B3698='112'!$K$9,OR($N3698='112'!$I$6,$O3698='112'!$I$6))),"x",""))</f>
        <v/>
      </c>
      <c r="U3698" s="79" t="str">
        <f>IF(ISERROR(FIND('112'!$M$9,G3698,1)),"",IF((AND(LEFT(G3698,2)=LEFT('112'!$M$9,2),B3698&lt;'112'!$K$9,$N3698='112'!$I$6)),"x",""))</f>
        <v/>
      </c>
      <c r="V3698" s="79" t="str">
        <f>IF(ISERROR(FIND('112'!$M$9,G3698,1)),"",IF((AND(RIGHT(G3698,2)=RIGHT('112'!$M$9,2),B3698&lt;'112'!$K$9,$O3698='112'!$I$6)),"x",""))</f>
        <v/>
      </c>
      <c r="W3698" s="79" t="str">
        <f>IF(AND('341-CT'!$H$9=H3698,OR(LEFT(N3698,3)=$W$7,LEFT(O3698,3)=$W$7)),"x","")</f>
        <v/>
      </c>
      <c r="X3698" s="79" t="str">
        <f>IF(OR(TH!N3698=TH!$X$7,O3698=TH!$X$7),"x","")</f>
        <v/>
      </c>
      <c r="Y3698" s="79" t="str">
        <f>IF(AND(OR(N3698="131",O3698="131"),H3698='131-CT'!$H$9),"x","")</f>
        <v/>
      </c>
      <c r="Z3698" s="79"/>
      <c r="AA3698" s="79" t="str">
        <f>IF(AND(MONTH(E3698)='IN-NX'!$J$5,'IN-NX'!$D$7=D3698),"x","")</f>
        <v/>
      </c>
      <c r="AB3698" s="79" t="str">
        <f>IF(AND(OR(LEFT(TH!N3698,2)="15",LEFT(TH!O3698,2)="15"),LEFT(TH!O3698,3)&lt;&gt;"111",'152-CT'!$J$8=TH!F3698),"x","")</f>
        <v/>
      </c>
      <c r="AC3698" s="79" t="str">
        <f>IF(AND(OR(LEFT(TH!N3698,2)="15",LEFT(TH!O3698,2)="15"),TK!$E$7=TH!F3698),"x","")</f>
        <v/>
      </c>
      <c r="AD3698" s="79" t="str">
        <f>IF(AND(N3698="1521",MONTH(C3698)='BK-NL'!$M$11),"x","")</f>
        <v/>
      </c>
    </row>
    <row r="3699" spans="1:30" ht="16.5" customHeight="1">
      <c r="A3699" s="318" t="str">
        <f>IF(B3699&lt;&gt;"",IF(AND(B3699='IN-TC'!$S$4,OR(TH!N3699="1111",TH!O3699="1111")),TH!D3699,""),"")</f>
        <v/>
      </c>
      <c r="B3699" s="60" t="str">
        <f t="shared" si="408"/>
        <v/>
      </c>
      <c r="C3699" s="75"/>
      <c r="D3699" s="75"/>
      <c r="E3699" s="75"/>
      <c r="F3699" s="76"/>
      <c r="G3699" s="76"/>
      <c r="H3699" s="759"/>
      <c r="I3699" s="383"/>
      <c r="J3699" s="390"/>
      <c r="K3699" s="383"/>
      <c r="L3699" s="390"/>
      <c r="M3699" s="978"/>
      <c r="N3699" s="79"/>
      <c r="O3699" s="979"/>
      <c r="P3699" s="79" t="str">
        <f>IF(AND('331-CT'!$E$7=TH!H3699,OR(N3699="331",O3699="331")),"x","")</f>
        <v/>
      </c>
      <c r="Q3699" s="79" t="str">
        <f>IF(AND(B3699='111'!$L$11,OR($N3699=$Q$7,$O3699=$Q$7)),"x","")</f>
        <v/>
      </c>
      <c r="R3699" s="79" t="str">
        <f>IF(AND($N3699=$Q$7,$B3699&lt;'111'!$L$11),"x","")</f>
        <v/>
      </c>
      <c r="S3699" s="79" t="str">
        <f>IF(AND($O3699=$Q$7,$B3699&lt;'111'!$L$11),"x","")</f>
        <v/>
      </c>
      <c r="T3699" s="79" t="str">
        <f>IF(ISERROR(FIND('112'!$M$9,G3699,1)),"",IF((AND(FIND('112'!$M$9,G3699,1)&gt;=1,B3699='112'!$K$9,OR($N3699='112'!$I$6,$O3699='112'!$I$6))),"x",""))</f>
        <v/>
      </c>
      <c r="U3699" s="79" t="str">
        <f>IF(ISERROR(FIND('112'!$M$9,G3699,1)),"",IF((AND(LEFT(G3699,2)=LEFT('112'!$M$9,2),B3699&lt;'112'!$K$9,$N3699='112'!$I$6)),"x",""))</f>
        <v/>
      </c>
      <c r="V3699" s="79" t="str">
        <f>IF(ISERROR(FIND('112'!$M$9,G3699,1)),"",IF((AND(RIGHT(G3699,2)=RIGHT('112'!$M$9,2),B3699&lt;'112'!$K$9,$O3699='112'!$I$6)),"x",""))</f>
        <v/>
      </c>
      <c r="W3699" s="79" t="str">
        <f>IF(AND('341-CT'!$H$9=H3699,OR(LEFT(N3699,3)=$W$7,LEFT(O3699,3)=$W$7)),"x","")</f>
        <v/>
      </c>
      <c r="X3699" s="79" t="str">
        <f>IF(OR(TH!N3699=TH!$X$7,O3699=TH!$X$7),"x","")</f>
        <v/>
      </c>
      <c r="Y3699" s="79" t="str">
        <f>IF(AND(OR(N3699="131",O3699="131"),H3699='131-CT'!$H$9),"x","")</f>
        <v/>
      </c>
      <c r="Z3699" s="79"/>
      <c r="AA3699" s="79" t="str">
        <f>IF(AND(MONTH(E3699)='IN-NX'!$J$5,'IN-NX'!$D$7=D3699),"x","")</f>
        <v/>
      </c>
      <c r="AB3699" s="79" t="str">
        <f>IF(AND(OR(LEFT(TH!N3699,2)="15",LEFT(TH!O3699,2)="15"),LEFT(TH!O3699,3)&lt;&gt;"111",'152-CT'!$J$8=TH!F3699),"x","")</f>
        <v/>
      </c>
      <c r="AC3699" s="79" t="str">
        <f>IF(AND(OR(LEFT(TH!N3699,2)="15",LEFT(TH!O3699,2)="15"),TK!$E$7=TH!F3699),"x","")</f>
        <v/>
      </c>
      <c r="AD3699" s="79" t="str">
        <f>IF(AND(N3699="1521",MONTH(C3699)='BK-NL'!$M$11),"x","")</f>
        <v/>
      </c>
    </row>
    <row r="3700" spans="1:30" ht="16.5" customHeight="1">
      <c r="A3700" s="318" t="str">
        <f>IF(B3700&lt;&gt;"",IF(AND(B3700='IN-TC'!$S$4,OR(TH!N3700="1111",TH!O3700="1111")),TH!D3700,""),"")</f>
        <v/>
      </c>
      <c r="B3700" s="60" t="str">
        <f t="shared" si="408"/>
        <v/>
      </c>
      <c r="C3700" s="75"/>
      <c r="D3700" s="75"/>
      <c r="E3700" s="75"/>
      <c r="F3700" s="76"/>
      <c r="G3700" s="76"/>
      <c r="H3700" s="759"/>
      <c r="I3700" s="383"/>
      <c r="J3700" s="390"/>
      <c r="K3700" s="383"/>
      <c r="L3700" s="390"/>
      <c r="M3700" s="978"/>
      <c r="N3700" s="79"/>
      <c r="O3700" s="979"/>
      <c r="P3700" s="79" t="str">
        <f>IF(AND('331-CT'!$E$7=TH!H3700,OR(N3700="331",O3700="331")),"x","")</f>
        <v/>
      </c>
      <c r="Q3700" s="79" t="str">
        <f>IF(AND(B3700='111'!$L$11,OR($N3700=$Q$7,$O3700=$Q$7)),"x","")</f>
        <v/>
      </c>
      <c r="R3700" s="79" t="str">
        <f>IF(AND($N3700=$Q$7,$B3700&lt;'111'!$L$11),"x","")</f>
        <v/>
      </c>
      <c r="S3700" s="79" t="str">
        <f>IF(AND($O3700=$Q$7,$B3700&lt;'111'!$L$11),"x","")</f>
        <v/>
      </c>
      <c r="T3700" s="79" t="str">
        <f>IF(ISERROR(FIND('112'!$M$9,G3700,1)),"",IF((AND(FIND('112'!$M$9,G3700,1)&gt;=1,B3700='112'!$K$9,OR($N3700='112'!$I$6,$O3700='112'!$I$6))),"x",""))</f>
        <v/>
      </c>
      <c r="U3700" s="79" t="str">
        <f>IF(ISERROR(FIND('112'!$M$9,G3700,1)),"",IF((AND(LEFT(G3700,2)=LEFT('112'!$M$9,2),B3700&lt;'112'!$K$9,$N3700='112'!$I$6)),"x",""))</f>
        <v/>
      </c>
      <c r="V3700" s="79" t="str">
        <f>IF(ISERROR(FIND('112'!$M$9,G3700,1)),"",IF((AND(RIGHT(G3700,2)=RIGHT('112'!$M$9,2),B3700&lt;'112'!$K$9,$O3700='112'!$I$6)),"x",""))</f>
        <v/>
      </c>
      <c r="W3700" s="79" t="str">
        <f>IF(AND('341-CT'!$H$9=H3700,OR(LEFT(N3700,3)=$W$7,LEFT(O3700,3)=$W$7)),"x","")</f>
        <v/>
      </c>
      <c r="X3700" s="79" t="str">
        <f>IF(OR(TH!N3700=TH!$X$7,O3700=TH!$X$7),"x","")</f>
        <v/>
      </c>
      <c r="Y3700" s="79" t="str">
        <f>IF(AND(OR(N3700="131",O3700="131"),H3700='131-CT'!$H$9),"x","")</f>
        <v/>
      </c>
      <c r="Z3700" s="79"/>
      <c r="AA3700" s="79" t="str">
        <f>IF(AND(MONTH(E3700)='IN-NX'!$J$5,'IN-NX'!$D$7=D3700),"x","")</f>
        <v/>
      </c>
      <c r="AB3700" s="79" t="str">
        <f>IF(AND(OR(LEFT(TH!N3700,2)="15",LEFT(TH!O3700,2)="15"),LEFT(TH!O3700,3)&lt;&gt;"111",'152-CT'!$J$8=TH!F3700),"x","")</f>
        <v/>
      </c>
      <c r="AC3700" s="79" t="str">
        <f>IF(AND(OR(LEFT(TH!N3700,2)="15",LEFT(TH!O3700,2)="15"),TK!$E$7=TH!F3700),"x","")</f>
        <v/>
      </c>
      <c r="AD3700" s="79" t="str">
        <f>IF(AND(N3700="1521",MONTH(C3700)='BK-NL'!$M$11),"x","")</f>
        <v/>
      </c>
    </row>
    <row r="3701" spans="1:30" ht="16.5" customHeight="1">
      <c r="A3701" s="318" t="str">
        <f>IF(B3701&lt;&gt;"",IF(AND(B3701='IN-TC'!$S$4,OR(TH!N3701="1111",TH!O3701="1111")),TH!D3701,""),"")</f>
        <v/>
      </c>
      <c r="B3701" s="60" t="str">
        <f t="shared" si="408"/>
        <v/>
      </c>
      <c r="C3701" s="75"/>
      <c r="D3701" s="75"/>
      <c r="E3701" s="75"/>
      <c r="F3701" s="76"/>
      <c r="G3701" s="76"/>
      <c r="H3701" s="759"/>
      <c r="I3701" s="383"/>
      <c r="J3701" s="390"/>
      <c r="K3701" s="383"/>
      <c r="L3701" s="390"/>
      <c r="M3701" s="978"/>
      <c r="N3701" s="79"/>
      <c r="O3701" s="979"/>
      <c r="P3701" s="79" t="str">
        <f>IF(AND('331-CT'!$E$7=TH!H3701,OR(N3701="331",O3701="331")),"x","")</f>
        <v/>
      </c>
      <c r="Q3701" s="79" t="str">
        <f>IF(AND(B3701='111'!$L$11,OR($N3701=$Q$7,$O3701=$Q$7)),"x","")</f>
        <v/>
      </c>
      <c r="R3701" s="79" t="str">
        <f>IF(AND($N3701=$Q$7,$B3701&lt;'111'!$L$11),"x","")</f>
        <v/>
      </c>
      <c r="S3701" s="79" t="str">
        <f>IF(AND($O3701=$Q$7,$B3701&lt;'111'!$L$11),"x","")</f>
        <v/>
      </c>
      <c r="T3701" s="79" t="str">
        <f>IF(ISERROR(FIND('112'!$M$9,G3701,1)),"",IF((AND(FIND('112'!$M$9,G3701,1)&gt;=1,B3701='112'!$K$9,OR($N3701='112'!$I$6,$O3701='112'!$I$6))),"x",""))</f>
        <v/>
      </c>
      <c r="U3701" s="79" t="str">
        <f>IF(ISERROR(FIND('112'!$M$9,G3701,1)),"",IF((AND(LEFT(G3701,2)=LEFT('112'!$M$9,2),B3701&lt;'112'!$K$9,$N3701='112'!$I$6)),"x",""))</f>
        <v/>
      </c>
      <c r="V3701" s="79" t="str">
        <f>IF(ISERROR(FIND('112'!$M$9,G3701,1)),"",IF((AND(RIGHT(G3701,2)=RIGHT('112'!$M$9,2),B3701&lt;'112'!$K$9,$O3701='112'!$I$6)),"x",""))</f>
        <v/>
      </c>
      <c r="W3701" s="79" t="str">
        <f>IF(AND('341-CT'!$H$9=H3701,OR(LEFT(N3701,3)=$W$7,LEFT(O3701,3)=$W$7)),"x","")</f>
        <v/>
      </c>
      <c r="X3701" s="79" t="str">
        <f>IF(OR(TH!N3701=TH!$X$7,O3701=TH!$X$7),"x","")</f>
        <v/>
      </c>
      <c r="Y3701" s="79" t="str">
        <f>IF(AND(OR(N3701="131",O3701="131"),H3701='131-CT'!$H$9),"x","")</f>
        <v/>
      </c>
      <c r="Z3701" s="79"/>
      <c r="AA3701" s="79" t="str">
        <f>IF(AND(MONTH(E3701)='IN-NX'!$J$5,'IN-NX'!$D$7=D3701),"x","")</f>
        <v/>
      </c>
      <c r="AB3701" s="79" t="str">
        <f>IF(AND(OR(LEFT(TH!N3701,2)="15",LEFT(TH!O3701,2)="15"),LEFT(TH!O3701,3)&lt;&gt;"111",'152-CT'!$J$8=TH!F3701),"x","")</f>
        <v/>
      </c>
      <c r="AC3701" s="79" t="str">
        <f>IF(AND(OR(LEFT(TH!N3701,2)="15",LEFT(TH!O3701,2)="15"),TK!$E$7=TH!F3701),"x","")</f>
        <v/>
      </c>
      <c r="AD3701" s="79" t="str">
        <f>IF(AND(N3701="1521",MONTH(C3701)='BK-NL'!$M$11),"x","")</f>
        <v/>
      </c>
    </row>
    <row r="3702" spans="1:30" ht="16.5" customHeight="1">
      <c r="A3702" s="318" t="str">
        <f>IF(B3702&lt;&gt;"",IF(AND(B3702='IN-TC'!$S$4,OR(TH!N3702="1111",TH!O3702="1111")),TH!D3702,""),"")</f>
        <v/>
      </c>
      <c r="B3702" s="60" t="str">
        <f t="shared" si="408"/>
        <v/>
      </c>
      <c r="C3702" s="75"/>
      <c r="D3702" s="75"/>
      <c r="E3702" s="75"/>
      <c r="F3702" s="76"/>
      <c r="G3702" s="76"/>
      <c r="H3702" s="759"/>
      <c r="I3702" s="383"/>
      <c r="J3702" s="390"/>
      <c r="K3702" s="383"/>
      <c r="L3702" s="390"/>
      <c r="M3702" s="978"/>
      <c r="N3702" s="1262"/>
      <c r="O3702" s="79"/>
      <c r="P3702" s="79" t="str">
        <f>IF(AND('331-CT'!$E$7=TH!H3702,OR(N3702="331",O3702="331")),"x","")</f>
        <v/>
      </c>
      <c r="Q3702" s="79" t="str">
        <f>IF(AND(B3702='111'!$L$11,OR($N3702=$Q$7,$O3702=$Q$7)),"x","")</f>
        <v/>
      </c>
      <c r="R3702" s="79" t="str">
        <f>IF(AND($N3702=$Q$7,$B3702&lt;'111'!$L$11),"x","")</f>
        <v/>
      </c>
      <c r="S3702" s="79" t="str">
        <f>IF(AND($O3702=$Q$7,$B3702&lt;'111'!$L$11),"x","")</f>
        <v/>
      </c>
      <c r="T3702" s="79" t="str">
        <f>IF(ISERROR(FIND('112'!$M$9,G3702,1)),"",IF((AND(FIND('112'!$M$9,G3702,1)&gt;=1,B3702='112'!$K$9,OR($N3702='112'!$I$6,$O3702='112'!$I$6))),"x",""))</f>
        <v/>
      </c>
      <c r="U3702" s="79" t="str">
        <f>IF(ISERROR(FIND('112'!$M$9,G3702,1)),"",IF((AND(LEFT(G3702,2)=LEFT('112'!$M$9,2),B3702&lt;'112'!$K$9,$N3702='112'!$I$6)),"x",""))</f>
        <v/>
      </c>
      <c r="V3702" s="79" t="str">
        <f>IF(ISERROR(FIND('112'!$M$9,G3702,1)),"",IF((AND(RIGHT(G3702,2)=RIGHT('112'!$M$9,2),B3702&lt;'112'!$K$9,$O3702='112'!$I$6)),"x",""))</f>
        <v/>
      </c>
      <c r="W3702" s="79" t="str">
        <f>IF(AND('341-CT'!$H$9=H3702,OR(LEFT(N3702,3)=$W$7,LEFT(O3702,3)=$W$7)),"x","")</f>
        <v/>
      </c>
      <c r="X3702" s="79" t="str">
        <f>IF(OR(TH!N3702=TH!$X$7,O3702=TH!$X$7),"x","")</f>
        <v/>
      </c>
      <c r="Y3702" s="79" t="str">
        <f>IF(AND(OR(N3702="131",O3702="131"),H3702='131-CT'!$H$9),"x","")</f>
        <v/>
      </c>
      <c r="Z3702" s="79"/>
      <c r="AA3702" s="79" t="str">
        <f>IF(AND(MONTH(E3702)='IN-NX'!$J$5,'IN-NX'!$D$7=D3702),"x","")</f>
        <v/>
      </c>
      <c r="AB3702" s="79" t="str">
        <f>IF(AND(OR(LEFT(TH!N3702,2)="15",LEFT(TH!O3702,2)="15"),LEFT(TH!O3702,3)&lt;&gt;"111",'152-CT'!$J$8=TH!F3702),"x","")</f>
        <v/>
      </c>
      <c r="AC3702" s="79" t="str">
        <f>IF(AND(OR(LEFT(TH!N3702,2)="15",LEFT(TH!O3702,2)="15"),TK!$E$7=TH!F3702),"x","")</f>
        <v/>
      </c>
      <c r="AD3702" s="79" t="str">
        <f>IF(AND(N3702="1521",MONTH(C3702)='BK-NL'!$M$11),"x","")</f>
        <v/>
      </c>
    </row>
    <row r="3703" spans="1:30" ht="16.5" customHeight="1">
      <c r="A3703" s="318" t="str">
        <f>IF(B3703&lt;&gt;"",IF(AND(B3703='IN-TC'!$S$4,OR(TH!N3703="1111",TH!O3703="1111")),TH!D3703,""),"")</f>
        <v/>
      </c>
      <c r="B3703" s="60" t="str">
        <f t="shared" si="408"/>
        <v/>
      </c>
      <c r="C3703" s="75"/>
      <c r="D3703" s="75"/>
      <c r="E3703" s="75"/>
      <c r="F3703" s="76"/>
      <c r="G3703" s="76"/>
      <c r="H3703" s="759"/>
      <c r="I3703" s="383"/>
      <c r="J3703" s="390"/>
      <c r="K3703" s="383"/>
      <c r="L3703" s="390"/>
      <c r="M3703" s="978"/>
      <c r="N3703" s="1262"/>
      <c r="O3703" s="79"/>
      <c r="P3703" s="79" t="str">
        <f>IF(AND('331-CT'!$E$7=TH!H3703,OR(N3703="331",O3703="331")),"x","")</f>
        <v/>
      </c>
      <c r="Q3703" s="79" t="str">
        <f>IF(AND(B3703='111'!$L$11,OR($N3703=$Q$7,$O3703=$Q$7)),"x","")</f>
        <v/>
      </c>
      <c r="R3703" s="79" t="str">
        <f>IF(AND($N3703=$Q$7,$B3703&lt;'111'!$L$11),"x","")</f>
        <v/>
      </c>
      <c r="S3703" s="79" t="str">
        <f>IF(AND($O3703=$Q$7,$B3703&lt;'111'!$L$11),"x","")</f>
        <v/>
      </c>
      <c r="T3703" s="79" t="str">
        <f>IF(ISERROR(FIND('112'!$M$9,G3703,1)),"",IF((AND(FIND('112'!$M$9,G3703,1)&gt;=1,B3703='112'!$K$9,OR($N3703='112'!$I$6,$O3703='112'!$I$6))),"x",""))</f>
        <v/>
      </c>
      <c r="U3703" s="79" t="str">
        <f>IF(ISERROR(FIND('112'!$M$9,G3703,1)),"",IF((AND(LEFT(G3703,2)=LEFT('112'!$M$9,2),B3703&lt;'112'!$K$9,$N3703='112'!$I$6)),"x",""))</f>
        <v/>
      </c>
      <c r="V3703" s="79" t="str">
        <f>IF(ISERROR(FIND('112'!$M$9,G3703,1)),"",IF((AND(RIGHT(G3703,2)=RIGHT('112'!$M$9,2),B3703&lt;'112'!$K$9,$O3703='112'!$I$6)),"x",""))</f>
        <v/>
      </c>
      <c r="W3703" s="79" t="str">
        <f>IF(AND('341-CT'!$H$9=H3703,OR(LEFT(N3703,3)=$W$7,LEFT(O3703,3)=$W$7)),"x","")</f>
        <v/>
      </c>
      <c r="X3703" s="79" t="str">
        <f>IF(OR(TH!N3703=TH!$X$7,O3703=TH!$X$7),"x","")</f>
        <v/>
      </c>
      <c r="Y3703" s="79" t="str">
        <f>IF(AND(OR(N3703="131",O3703="131"),H3703='131-CT'!$H$9),"x","")</f>
        <v/>
      </c>
      <c r="Z3703" s="79"/>
      <c r="AA3703" s="79" t="str">
        <f>IF(AND(MONTH(E3703)='IN-NX'!$J$5,'IN-NX'!$D$7=D3703),"x","")</f>
        <v/>
      </c>
      <c r="AB3703" s="79" t="str">
        <f>IF(AND(OR(LEFT(TH!N3703,2)="15",LEFT(TH!O3703,2)="15"),LEFT(TH!O3703,3)&lt;&gt;"111",'152-CT'!$J$8=TH!F3703),"x","")</f>
        <v/>
      </c>
      <c r="AC3703" s="79" t="str">
        <f>IF(AND(OR(LEFT(TH!N3703,2)="15",LEFT(TH!O3703,2)="15"),TK!$E$7=TH!F3703),"x","")</f>
        <v/>
      </c>
      <c r="AD3703" s="79" t="str">
        <f>IF(AND(N3703="1521",MONTH(C3703)='BK-NL'!$M$11),"x","")</f>
        <v/>
      </c>
    </row>
    <row r="3704" spans="1:30" ht="16.5" customHeight="1">
      <c r="A3704" s="318" t="str">
        <f>IF(B3704&lt;&gt;"",IF(AND(B3704='IN-TC'!$S$4,OR(TH!N3704="1111",TH!O3704="1111")),TH!D3704,""),"")</f>
        <v/>
      </c>
      <c r="B3704" s="60" t="str">
        <f t="shared" si="408"/>
        <v/>
      </c>
      <c r="C3704" s="75"/>
      <c r="D3704" s="75"/>
      <c r="E3704" s="75"/>
      <c r="F3704" s="76"/>
      <c r="G3704" s="76"/>
      <c r="H3704" s="759"/>
      <c r="I3704" s="383"/>
      <c r="J3704" s="390"/>
      <c r="K3704" s="383"/>
      <c r="L3704" s="390"/>
      <c r="M3704" s="978"/>
      <c r="N3704" s="1262"/>
      <c r="O3704" s="979"/>
      <c r="P3704" s="79" t="str">
        <f>IF(AND('331-CT'!$E$7=TH!H3704,OR(N3704="331",O3704="331")),"x","")</f>
        <v/>
      </c>
      <c r="Q3704" s="79" t="str">
        <f>IF(AND(B3704='111'!$L$11,OR($N3704=$Q$7,$O3704=$Q$7)),"x","")</f>
        <v/>
      </c>
      <c r="R3704" s="79" t="str">
        <f>IF(AND($N3704=$Q$7,$B3704&lt;'111'!$L$11),"x","")</f>
        <v/>
      </c>
      <c r="S3704" s="79" t="str">
        <f>IF(AND($O3704=$Q$7,$B3704&lt;'111'!$L$11),"x","")</f>
        <v/>
      </c>
      <c r="T3704" s="79" t="str">
        <f>IF(ISERROR(FIND('112'!$M$9,G3704,1)),"",IF((AND(FIND('112'!$M$9,G3704,1)&gt;=1,B3704='112'!$K$9,OR($N3704='112'!$I$6,$O3704='112'!$I$6))),"x",""))</f>
        <v/>
      </c>
      <c r="U3704" s="79" t="str">
        <f>IF(ISERROR(FIND('112'!$M$9,G3704,1)),"",IF((AND(LEFT(G3704,2)=LEFT('112'!$M$9,2),B3704&lt;'112'!$K$9,$N3704='112'!$I$6)),"x",""))</f>
        <v/>
      </c>
      <c r="V3704" s="79" t="str">
        <f>IF(ISERROR(FIND('112'!$M$9,G3704,1)),"",IF((AND(RIGHT(G3704,2)=RIGHT('112'!$M$9,2),B3704&lt;'112'!$K$9,$O3704='112'!$I$6)),"x",""))</f>
        <v/>
      </c>
      <c r="W3704" s="79" t="str">
        <f>IF(AND('341-CT'!$H$9=H3704,OR(LEFT(N3704,3)=$W$7,LEFT(O3704,3)=$W$7)),"x","")</f>
        <v/>
      </c>
      <c r="X3704" s="79" t="str">
        <f>IF(OR(TH!N3704=TH!$X$7,O3704=TH!$X$7),"x","")</f>
        <v/>
      </c>
      <c r="Y3704" s="79" t="str">
        <f>IF(AND(OR(N3704="131",O3704="131"),H3704='131-CT'!$H$9),"x","")</f>
        <v/>
      </c>
      <c r="Z3704" s="79"/>
      <c r="AA3704" s="79" t="str">
        <f>IF(AND(MONTH(E3704)='IN-NX'!$J$5,'IN-NX'!$D$7=D3704),"x","")</f>
        <v/>
      </c>
      <c r="AB3704" s="79" t="str">
        <f>IF(AND(OR(LEFT(TH!N3704,2)="15",LEFT(TH!O3704,2)="15"),LEFT(TH!O3704,3)&lt;&gt;"111",'152-CT'!$J$8=TH!F3704),"x","")</f>
        <v/>
      </c>
      <c r="AC3704" s="79" t="str">
        <f>IF(AND(OR(LEFT(TH!N3704,2)="15",LEFT(TH!O3704,2)="15"),TK!$E$7=TH!F3704),"x","")</f>
        <v/>
      </c>
      <c r="AD3704" s="79" t="str">
        <f>IF(AND(N3704="1521",MONTH(C3704)='BK-NL'!$M$11),"x","")</f>
        <v/>
      </c>
    </row>
    <row r="3705" spans="1:30" ht="16.5" customHeight="1">
      <c r="A3705" s="318" t="str">
        <f>IF(B3705&lt;&gt;"",IF(AND(B3705='IN-TC'!$S$4,OR(TH!N3705="1111",TH!O3705="1111")),TH!D3705,""),"")</f>
        <v/>
      </c>
      <c r="B3705" s="60" t="str">
        <f t="shared" si="408"/>
        <v/>
      </c>
      <c r="C3705" s="75"/>
      <c r="D3705" s="75"/>
      <c r="E3705" s="75"/>
      <c r="F3705" s="76"/>
      <c r="G3705" s="76"/>
      <c r="H3705" s="759"/>
      <c r="I3705" s="383"/>
      <c r="J3705" s="390"/>
      <c r="K3705" s="383"/>
      <c r="L3705" s="390"/>
      <c r="M3705" s="978"/>
      <c r="N3705" s="1262"/>
      <c r="O3705" s="979"/>
      <c r="P3705" s="79" t="str">
        <f>IF(AND('331-CT'!$E$7=TH!H3705,OR(N3705="331",O3705="331")),"x","")</f>
        <v/>
      </c>
      <c r="Q3705" s="79" t="str">
        <f>IF(AND(B3705='111'!$L$11,OR($N3705=$Q$7,$O3705=$Q$7)),"x","")</f>
        <v/>
      </c>
      <c r="R3705" s="79" t="str">
        <f>IF(AND($N3705=$Q$7,$B3705&lt;'111'!$L$11),"x","")</f>
        <v/>
      </c>
      <c r="S3705" s="79" t="str">
        <f>IF(AND($O3705=$Q$7,$B3705&lt;'111'!$L$11),"x","")</f>
        <v/>
      </c>
      <c r="T3705" s="79" t="str">
        <f>IF(ISERROR(FIND('112'!$M$9,G3705,1)),"",IF((AND(FIND('112'!$M$9,G3705,1)&gt;=1,B3705='112'!$K$9,OR($N3705='112'!$I$6,$O3705='112'!$I$6))),"x",""))</f>
        <v/>
      </c>
      <c r="U3705" s="79" t="str">
        <f>IF(ISERROR(FIND('112'!$M$9,G3705,1)),"",IF((AND(LEFT(G3705,2)=LEFT('112'!$M$9,2),B3705&lt;'112'!$K$9,$N3705='112'!$I$6)),"x",""))</f>
        <v/>
      </c>
      <c r="V3705" s="79" t="str">
        <f>IF(ISERROR(FIND('112'!$M$9,G3705,1)),"",IF((AND(RIGHT(G3705,2)=RIGHT('112'!$M$9,2),B3705&lt;'112'!$K$9,$O3705='112'!$I$6)),"x",""))</f>
        <v/>
      </c>
      <c r="W3705" s="79" t="str">
        <f>IF(AND('341-CT'!$H$9=H3705,OR(LEFT(N3705,3)=$W$7,LEFT(O3705,3)=$W$7)),"x","")</f>
        <v/>
      </c>
      <c r="X3705" s="79" t="str">
        <f>IF(OR(TH!N3705=TH!$X$7,O3705=TH!$X$7),"x","")</f>
        <v/>
      </c>
      <c r="Y3705" s="79" t="str">
        <f>IF(AND(OR(N3705="131",O3705="131"),H3705='131-CT'!$H$9),"x","")</f>
        <v/>
      </c>
      <c r="Z3705" s="79"/>
      <c r="AA3705" s="79" t="str">
        <f>IF(AND(MONTH(E3705)='IN-NX'!$J$5,'IN-NX'!$D$7=D3705),"x","")</f>
        <v/>
      </c>
      <c r="AB3705" s="79" t="str">
        <f>IF(AND(OR(LEFT(TH!N3705,2)="15",LEFT(TH!O3705,2)="15"),LEFT(TH!O3705,3)&lt;&gt;"111",'152-CT'!$J$8=TH!F3705),"x","")</f>
        <v/>
      </c>
      <c r="AC3705" s="79" t="str">
        <f>IF(AND(OR(LEFT(TH!N3705,2)="15",LEFT(TH!O3705,2)="15"),TK!$E$7=TH!F3705),"x","")</f>
        <v/>
      </c>
      <c r="AD3705" s="79" t="str">
        <f>IF(AND(N3705="1521",MONTH(C3705)='BK-NL'!$M$11),"x","")</f>
        <v/>
      </c>
    </row>
    <row r="3706" spans="1:30" ht="16.5" customHeight="1">
      <c r="A3706" s="318" t="str">
        <f>IF(B3706&lt;&gt;"",IF(AND(B3706='IN-TC'!$S$4,OR(TH!N3706="1111",TH!O3706="1111")),TH!D3706,""),"")</f>
        <v/>
      </c>
      <c r="B3706" s="60" t="str">
        <f t="shared" si="408"/>
        <v/>
      </c>
      <c r="C3706" s="75"/>
      <c r="D3706" s="75"/>
      <c r="E3706" s="75"/>
      <c r="F3706" s="76"/>
      <c r="G3706" s="76"/>
      <c r="H3706" s="759"/>
      <c r="I3706" s="383"/>
      <c r="J3706" s="390"/>
      <c r="K3706" s="383"/>
      <c r="L3706" s="390"/>
      <c r="M3706" s="978"/>
      <c r="N3706" s="1262"/>
      <c r="O3706" s="79"/>
      <c r="P3706" s="79" t="str">
        <f>IF(AND('331-CT'!$E$7=TH!H3706,OR(N3706="331",O3706="331")),"x","")</f>
        <v/>
      </c>
      <c r="Q3706" s="79" t="str">
        <f>IF(AND(B3706='111'!$L$11,OR($N3706=$Q$7,$O3706=$Q$7)),"x","")</f>
        <v/>
      </c>
      <c r="R3706" s="79" t="str">
        <f>IF(AND($N3706=$Q$7,$B3706&lt;'111'!$L$11),"x","")</f>
        <v/>
      </c>
      <c r="S3706" s="79" t="str">
        <f>IF(AND($O3706=$Q$7,$B3706&lt;'111'!$L$11),"x","")</f>
        <v/>
      </c>
      <c r="T3706" s="79" t="str">
        <f>IF(ISERROR(FIND('112'!$M$9,G3706,1)),"",IF((AND(FIND('112'!$M$9,G3706,1)&gt;=1,B3706='112'!$K$9,OR($N3706='112'!$I$6,$O3706='112'!$I$6))),"x",""))</f>
        <v/>
      </c>
      <c r="U3706" s="79" t="str">
        <f>IF(ISERROR(FIND('112'!$M$9,G3706,1)),"",IF((AND(LEFT(G3706,2)=LEFT('112'!$M$9,2),B3706&lt;'112'!$K$9,$N3706='112'!$I$6)),"x",""))</f>
        <v/>
      </c>
      <c r="V3706" s="79" t="str">
        <f>IF(ISERROR(FIND('112'!$M$9,G3706,1)),"",IF((AND(RIGHT(G3706,2)=RIGHT('112'!$M$9,2),B3706&lt;'112'!$K$9,$O3706='112'!$I$6)),"x",""))</f>
        <v/>
      </c>
      <c r="W3706" s="79" t="str">
        <f>IF(AND('341-CT'!$H$9=H3706,OR(LEFT(N3706,3)=$W$7,LEFT(O3706,3)=$W$7)),"x","")</f>
        <v/>
      </c>
      <c r="X3706" s="79" t="str">
        <f>IF(OR(TH!N3706=TH!$X$7,O3706=TH!$X$7),"x","")</f>
        <v/>
      </c>
      <c r="Y3706" s="79" t="str">
        <f>IF(AND(OR(N3706="131",O3706="131"),H3706='131-CT'!$H$9),"x","")</f>
        <v/>
      </c>
      <c r="Z3706" s="79"/>
      <c r="AA3706" s="79" t="str">
        <f>IF(AND(MONTH(E3706)='IN-NX'!$J$5,'IN-NX'!$D$7=D3706),"x","")</f>
        <v/>
      </c>
      <c r="AB3706" s="79" t="str">
        <f>IF(AND(OR(LEFT(TH!N3706,2)="15",LEFT(TH!O3706,2)="15"),LEFT(TH!O3706,3)&lt;&gt;"111",'152-CT'!$J$8=TH!F3706),"x","")</f>
        <v/>
      </c>
      <c r="AC3706" s="79" t="str">
        <f>IF(AND(OR(LEFT(TH!N3706,2)="15",LEFT(TH!O3706,2)="15"),TK!$E$7=TH!F3706),"x","")</f>
        <v/>
      </c>
      <c r="AD3706" s="79" t="str">
        <f>IF(AND(N3706="1521",MONTH(C3706)='BK-NL'!$M$11),"x","")</f>
        <v/>
      </c>
    </row>
    <row r="3707" spans="1:30" ht="16.5" customHeight="1">
      <c r="A3707" s="318" t="str">
        <f>IF(B3707&lt;&gt;"",IF(AND(B3707='IN-TC'!$S$4,OR(TH!N3707="1111",TH!O3707="1111")),TH!D3707,""),"")</f>
        <v/>
      </c>
      <c r="B3707" s="60" t="str">
        <f t="shared" si="408"/>
        <v/>
      </c>
      <c r="C3707" s="75"/>
      <c r="D3707" s="75"/>
      <c r="E3707" s="75"/>
      <c r="F3707" s="76"/>
      <c r="G3707" s="76"/>
      <c r="H3707" s="759"/>
      <c r="I3707" s="383"/>
      <c r="J3707" s="390"/>
      <c r="K3707" s="383"/>
      <c r="L3707" s="390"/>
      <c r="M3707" s="978"/>
      <c r="N3707" s="1262"/>
      <c r="O3707" s="79"/>
      <c r="P3707" s="79" t="str">
        <f>IF(AND('331-CT'!$E$7=TH!H3707,OR(N3707="331",O3707="331")),"x","")</f>
        <v/>
      </c>
      <c r="Q3707" s="79" t="str">
        <f>IF(AND(B3707='111'!$L$11,OR($N3707=$Q$7,$O3707=$Q$7)),"x","")</f>
        <v/>
      </c>
      <c r="R3707" s="79" t="str">
        <f>IF(AND($N3707=$Q$7,$B3707&lt;'111'!$L$11),"x","")</f>
        <v/>
      </c>
      <c r="S3707" s="79" t="str">
        <f>IF(AND($O3707=$Q$7,$B3707&lt;'111'!$L$11),"x","")</f>
        <v/>
      </c>
      <c r="T3707" s="79" t="str">
        <f>IF(ISERROR(FIND('112'!$M$9,G3707,1)),"",IF((AND(FIND('112'!$M$9,G3707,1)&gt;=1,B3707='112'!$K$9,OR($N3707='112'!$I$6,$O3707='112'!$I$6))),"x",""))</f>
        <v/>
      </c>
      <c r="U3707" s="79" t="str">
        <f>IF(ISERROR(FIND('112'!$M$9,G3707,1)),"",IF((AND(LEFT(G3707,2)=LEFT('112'!$M$9,2),B3707&lt;'112'!$K$9,$N3707='112'!$I$6)),"x",""))</f>
        <v/>
      </c>
      <c r="V3707" s="79" t="str">
        <f>IF(ISERROR(FIND('112'!$M$9,G3707,1)),"",IF((AND(RIGHT(G3707,2)=RIGHT('112'!$M$9,2),B3707&lt;'112'!$K$9,$O3707='112'!$I$6)),"x",""))</f>
        <v/>
      </c>
      <c r="W3707" s="79" t="str">
        <f>IF(AND('341-CT'!$H$9=H3707,OR(LEFT(N3707,3)=$W$7,LEFT(O3707,3)=$W$7)),"x","")</f>
        <v/>
      </c>
      <c r="X3707" s="79" t="str">
        <f>IF(OR(TH!N3707=TH!$X$7,O3707=TH!$X$7),"x","")</f>
        <v/>
      </c>
      <c r="Y3707" s="79" t="str">
        <f>IF(AND(OR(N3707="131",O3707="131"),H3707='131-CT'!$H$9),"x","")</f>
        <v/>
      </c>
      <c r="Z3707" s="79"/>
      <c r="AA3707" s="79" t="str">
        <f>IF(AND(MONTH(E3707)='IN-NX'!$J$5,'IN-NX'!$D$7=D3707),"x","")</f>
        <v/>
      </c>
      <c r="AB3707" s="79" t="str">
        <f>IF(AND(OR(LEFT(TH!N3707,2)="15",LEFT(TH!O3707,2)="15"),LEFT(TH!O3707,3)&lt;&gt;"111",'152-CT'!$J$8=TH!F3707),"x","")</f>
        <v/>
      </c>
      <c r="AC3707" s="79" t="str">
        <f>IF(AND(OR(LEFT(TH!N3707,2)="15",LEFT(TH!O3707,2)="15"),TK!$E$7=TH!F3707),"x","")</f>
        <v/>
      </c>
      <c r="AD3707" s="79" t="str">
        <f>IF(AND(N3707="1521",MONTH(C3707)='BK-NL'!$M$11),"x","")</f>
        <v/>
      </c>
    </row>
    <row r="3708" spans="1:30" ht="16.5" customHeight="1">
      <c r="A3708" s="318" t="str">
        <f>IF(B3708&lt;&gt;"",IF(AND(B3708='IN-TC'!$S$4,OR(TH!N3708="1111",TH!O3708="1111")),TH!D3708,""),"")</f>
        <v/>
      </c>
      <c r="B3708" s="60" t="str">
        <f t="shared" si="408"/>
        <v/>
      </c>
      <c r="C3708" s="75"/>
      <c r="D3708" s="75"/>
      <c r="E3708" s="75"/>
      <c r="F3708" s="76"/>
      <c r="G3708" s="76"/>
      <c r="H3708" s="759"/>
      <c r="I3708" s="383"/>
      <c r="J3708" s="390"/>
      <c r="K3708" s="383"/>
      <c r="L3708" s="390"/>
      <c r="M3708" s="978"/>
      <c r="N3708" s="1262"/>
      <c r="O3708" s="79"/>
      <c r="P3708" s="79" t="str">
        <f>IF(AND('331-CT'!$E$7=TH!H3708,OR(N3708="331",O3708="331")),"x","")</f>
        <v/>
      </c>
      <c r="Q3708" s="79" t="str">
        <f>IF(AND(B3708='111'!$L$11,OR($N3708=$Q$7,$O3708=$Q$7)),"x","")</f>
        <v/>
      </c>
      <c r="R3708" s="79" t="str">
        <f>IF(AND($N3708=$Q$7,$B3708&lt;'111'!$L$11),"x","")</f>
        <v/>
      </c>
      <c r="S3708" s="79" t="str">
        <f>IF(AND($O3708=$Q$7,$B3708&lt;'111'!$L$11),"x","")</f>
        <v/>
      </c>
      <c r="T3708" s="79" t="str">
        <f>IF(ISERROR(FIND('112'!$M$9,G3708,1)),"",IF((AND(FIND('112'!$M$9,G3708,1)&gt;=1,B3708='112'!$K$9,OR($N3708='112'!$I$6,$O3708='112'!$I$6))),"x",""))</f>
        <v/>
      </c>
      <c r="U3708" s="79" t="str">
        <f>IF(ISERROR(FIND('112'!$M$9,G3708,1)),"",IF((AND(LEFT(G3708,2)=LEFT('112'!$M$9,2),B3708&lt;'112'!$K$9,$N3708='112'!$I$6)),"x",""))</f>
        <v/>
      </c>
      <c r="V3708" s="79" t="str">
        <f>IF(ISERROR(FIND('112'!$M$9,G3708,1)),"",IF((AND(RIGHT(G3708,2)=RIGHT('112'!$M$9,2),B3708&lt;'112'!$K$9,$O3708='112'!$I$6)),"x",""))</f>
        <v/>
      </c>
      <c r="W3708" s="79" t="str">
        <f>IF(AND('341-CT'!$H$9=H3708,OR(LEFT(N3708,3)=$W$7,LEFT(O3708,3)=$W$7)),"x","")</f>
        <v/>
      </c>
      <c r="X3708" s="79" t="str">
        <f>IF(OR(TH!N3708=TH!$X$7,O3708=TH!$X$7),"x","")</f>
        <v/>
      </c>
      <c r="Y3708" s="79" t="str">
        <f>IF(AND(OR(N3708="131",O3708="131"),H3708='131-CT'!$H$9),"x","")</f>
        <v/>
      </c>
      <c r="Z3708" s="79"/>
      <c r="AA3708" s="79" t="str">
        <f>IF(AND(MONTH(E3708)='IN-NX'!$J$5,'IN-NX'!$D$7=D3708),"x","")</f>
        <v/>
      </c>
      <c r="AB3708" s="79" t="str">
        <f>IF(AND(OR(LEFT(TH!N3708,2)="15",LEFT(TH!O3708,2)="15"),LEFT(TH!O3708,3)&lt;&gt;"111",'152-CT'!$J$8=TH!F3708),"x","")</f>
        <v/>
      </c>
      <c r="AC3708" s="79" t="str">
        <f>IF(AND(OR(LEFT(TH!N3708,2)="15",LEFT(TH!O3708,2)="15"),TK!$E$7=TH!F3708),"x","")</f>
        <v/>
      </c>
      <c r="AD3708" s="79" t="str">
        <f>IF(AND(N3708="1521",MONTH(C3708)='BK-NL'!$M$11),"x","")</f>
        <v/>
      </c>
    </row>
    <row r="3709" spans="1:30" ht="16.5" customHeight="1">
      <c r="A3709" s="318" t="str">
        <f>IF(B3709&lt;&gt;"",IF(AND(B3709='IN-TC'!$S$4,OR(TH!N3709="1111",TH!O3709="1111")),TH!D3709,""),"")</f>
        <v/>
      </c>
      <c r="B3709" s="60" t="str">
        <f t="shared" si="408"/>
        <v/>
      </c>
      <c r="C3709" s="75"/>
      <c r="D3709" s="75"/>
      <c r="E3709" s="75"/>
      <c r="F3709" s="76"/>
      <c r="G3709" s="76"/>
      <c r="H3709" s="759"/>
      <c r="I3709" s="383"/>
      <c r="J3709" s="390"/>
      <c r="K3709" s="383"/>
      <c r="L3709" s="390"/>
      <c r="M3709" s="978"/>
      <c r="N3709" s="1262"/>
      <c r="O3709" s="979"/>
      <c r="P3709" s="79" t="str">
        <f>IF(AND('331-CT'!$E$7=TH!H3709,OR(N3709="331",O3709="331")),"x","")</f>
        <v/>
      </c>
      <c r="Q3709" s="79" t="str">
        <f>IF(AND(B3709='111'!$L$11,OR($N3709=$Q$7,$O3709=$Q$7)),"x","")</f>
        <v/>
      </c>
      <c r="R3709" s="79" t="str">
        <f>IF(AND($N3709=$Q$7,$B3709&lt;'111'!$L$11),"x","")</f>
        <v/>
      </c>
      <c r="S3709" s="79" t="str">
        <f>IF(AND($O3709=$Q$7,$B3709&lt;'111'!$L$11),"x","")</f>
        <v/>
      </c>
      <c r="T3709" s="79" t="str">
        <f>IF(ISERROR(FIND('112'!$M$9,G3709,1)),"",IF((AND(FIND('112'!$M$9,G3709,1)&gt;=1,B3709='112'!$K$9,OR($N3709='112'!$I$6,$O3709='112'!$I$6))),"x",""))</f>
        <v/>
      </c>
      <c r="U3709" s="79" t="str">
        <f>IF(ISERROR(FIND('112'!$M$9,G3709,1)),"",IF((AND(LEFT(G3709,2)=LEFT('112'!$M$9,2),B3709&lt;'112'!$K$9,$N3709='112'!$I$6)),"x",""))</f>
        <v/>
      </c>
      <c r="V3709" s="79" t="str">
        <f>IF(ISERROR(FIND('112'!$M$9,G3709,1)),"",IF((AND(RIGHT(G3709,2)=RIGHT('112'!$M$9,2),B3709&lt;'112'!$K$9,$O3709='112'!$I$6)),"x",""))</f>
        <v/>
      </c>
      <c r="W3709" s="79" t="str">
        <f>IF(AND('341-CT'!$H$9=H3709,OR(LEFT(N3709,3)=$W$7,LEFT(O3709,3)=$W$7)),"x","")</f>
        <v/>
      </c>
      <c r="X3709" s="79" t="str">
        <f>IF(OR(TH!N3709=TH!$X$7,O3709=TH!$X$7),"x","")</f>
        <v/>
      </c>
      <c r="Y3709" s="79" t="str">
        <f>IF(AND(OR(N3709="131",O3709="131"),H3709='131-CT'!$H$9),"x","")</f>
        <v/>
      </c>
      <c r="Z3709" s="79"/>
      <c r="AA3709" s="79" t="str">
        <f>IF(AND(MONTH(E3709)='IN-NX'!$J$5,'IN-NX'!$D$7=D3709),"x","")</f>
        <v/>
      </c>
      <c r="AB3709" s="79" t="str">
        <f>IF(AND(OR(LEFT(TH!N3709,2)="15",LEFT(TH!O3709,2)="15"),LEFT(TH!O3709,3)&lt;&gt;"111",'152-CT'!$J$8=TH!F3709),"x","")</f>
        <v/>
      </c>
      <c r="AC3709" s="79" t="str">
        <f>IF(AND(OR(LEFT(TH!N3709,2)="15",LEFT(TH!O3709,2)="15"),TK!$E$7=TH!F3709),"x","")</f>
        <v/>
      </c>
      <c r="AD3709" s="79" t="str">
        <f>IF(AND(N3709="1521",MONTH(C3709)='BK-NL'!$M$11),"x","")</f>
        <v/>
      </c>
    </row>
    <row r="3710" spans="1:30" ht="16.5" customHeight="1">
      <c r="A3710" s="318" t="str">
        <f>IF(B3710&lt;&gt;"",IF(AND(B3710='IN-TC'!$S$4,OR(TH!N3710="1111",TH!O3710="1111")),TH!D3710,""),"")</f>
        <v/>
      </c>
      <c r="B3710" s="60" t="str">
        <f t="shared" si="408"/>
        <v/>
      </c>
      <c r="C3710" s="75"/>
      <c r="D3710" s="75"/>
      <c r="E3710" s="75"/>
      <c r="F3710" s="76"/>
      <c r="G3710" s="76"/>
      <c r="H3710" s="759"/>
      <c r="I3710" s="383"/>
      <c r="J3710" s="390"/>
      <c r="K3710" s="383"/>
      <c r="L3710" s="390"/>
      <c r="M3710" s="978"/>
      <c r="N3710" s="1262"/>
      <c r="O3710" s="979"/>
      <c r="P3710" s="79" t="str">
        <f>IF(AND('331-CT'!$E$7=TH!H3710,OR(N3710="331",O3710="331")),"x","")</f>
        <v/>
      </c>
      <c r="Q3710" s="79" t="str">
        <f>IF(AND(B3710='111'!$L$11,OR($N3710=$Q$7,$O3710=$Q$7)),"x","")</f>
        <v/>
      </c>
      <c r="R3710" s="79" t="str">
        <f>IF(AND($N3710=$Q$7,$B3710&lt;'111'!$L$11),"x","")</f>
        <v/>
      </c>
      <c r="S3710" s="79" t="str">
        <f>IF(AND($O3710=$Q$7,$B3710&lt;'111'!$L$11),"x","")</f>
        <v/>
      </c>
      <c r="T3710" s="79" t="str">
        <f>IF(ISERROR(FIND('112'!$M$9,G3710,1)),"",IF((AND(FIND('112'!$M$9,G3710,1)&gt;=1,B3710='112'!$K$9,OR($N3710='112'!$I$6,$O3710='112'!$I$6))),"x",""))</f>
        <v/>
      </c>
      <c r="U3710" s="79" t="str">
        <f>IF(ISERROR(FIND('112'!$M$9,G3710,1)),"",IF((AND(LEFT(G3710,2)=LEFT('112'!$M$9,2),B3710&lt;'112'!$K$9,$N3710='112'!$I$6)),"x",""))</f>
        <v/>
      </c>
      <c r="V3710" s="79" t="str">
        <f>IF(ISERROR(FIND('112'!$M$9,G3710,1)),"",IF((AND(RIGHT(G3710,2)=RIGHT('112'!$M$9,2),B3710&lt;'112'!$K$9,$O3710='112'!$I$6)),"x",""))</f>
        <v/>
      </c>
      <c r="W3710" s="79" t="str">
        <f>IF(AND('341-CT'!$H$9=H3710,OR(LEFT(N3710,3)=$W$7,LEFT(O3710,3)=$W$7)),"x","")</f>
        <v/>
      </c>
      <c r="X3710" s="79" t="str">
        <f>IF(OR(TH!N3710=TH!$X$7,O3710=TH!$X$7),"x","")</f>
        <v/>
      </c>
      <c r="Y3710" s="79" t="str">
        <f>IF(AND(OR(N3710="131",O3710="131"),H3710='131-CT'!$H$9),"x","")</f>
        <v/>
      </c>
      <c r="Z3710" s="79"/>
      <c r="AA3710" s="79" t="str">
        <f>IF(AND(MONTH(E3710)='IN-NX'!$J$5,'IN-NX'!$D$7=D3710),"x","")</f>
        <v/>
      </c>
      <c r="AB3710" s="79" t="str">
        <f>IF(AND(OR(LEFT(TH!N3710,2)="15",LEFT(TH!O3710,2)="15"),LEFT(TH!O3710,3)&lt;&gt;"111",'152-CT'!$J$8=TH!F3710),"x","")</f>
        <v/>
      </c>
      <c r="AC3710" s="79" t="str">
        <f>IF(AND(OR(LEFT(TH!N3710,2)="15",LEFT(TH!O3710,2)="15"),TK!$E$7=TH!F3710),"x","")</f>
        <v/>
      </c>
      <c r="AD3710" s="79" t="str">
        <f>IF(AND(N3710="1521",MONTH(C3710)='BK-NL'!$M$11),"x","")</f>
        <v/>
      </c>
    </row>
    <row r="3711" spans="1:30" ht="16.5" customHeight="1">
      <c r="A3711" s="318" t="str">
        <f>IF(B3711&lt;&gt;"",IF(AND(B3711='IN-TC'!$S$4,OR(TH!N3711="1111",TH!O3711="1111")),TH!D3711,""),"")</f>
        <v/>
      </c>
      <c r="B3711" s="60" t="str">
        <f t="shared" si="408"/>
        <v/>
      </c>
      <c r="C3711" s="75"/>
      <c r="D3711" s="75"/>
      <c r="E3711" s="75"/>
      <c r="F3711" s="76"/>
      <c r="G3711" s="76"/>
      <c r="H3711" s="759"/>
      <c r="I3711" s="383"/>
      <c r="J3711" s="390"/>
      <c r="K3711" s="383"/>
      <c r="L3711" s="390"/>
      <c r="M3711" s="978"/>
      <c r="N3711" s="1262"/>
      <c r="O3711" s="79"/>
      <c r="P3711" s="79" t="str">
        <f>IF(AND('331-CT'!$E$7=TH!H3711,OR(N3711="331",O3711="331")),"x","")</f>
        <v/>
      </c>
      <c r="Q3711" s="79" t="str">
        <f>IF(AND(B3711='111'!$L$11,OR($N3711=$Q$7,$O3711=$Q$7)),"x","")</f>
        <v/>
      </c>
      <c r="R3711" s="79" t="str">
        <f>IF(AND($N3711=$Q$7,$B3711&lt;'111'!$L$11),"x","")</f>
        <v/>
      </c>
      <c r="S3711" s="79" t="str">
        <f>IF(AND($O3711=$Q$7,$B3711&lt;'111'!$L$11),"x","")</f>
        <v/>
      </c>
      <c r="T3711" s="79" t="str">
        <f>IF(ISERROR(FIND('112'!$M$9,G3711,1)),"",IF((AND(FIND('112'!$M$9,G3711,1)&gt;=1,B3711='112'!$K$9,OR($N3711='112'!$I$6,$O3711='112'!$I$6))),"x",""))</f>
        <v/>
      </c>
      <c r="U3711" s="79" t="str">
        <f>IF(ISERROR(FIND('112'!$M$9,G3711,1)),"",IF((AND(LEFT(G3711,2)=LEFT('112'!$M$9,2),B3711&lt;'112'!$K$9,$N3711='112'!$I$6)),"x",""))</f>
        <v/>
      </c>
      <c r="V3711" s="79" t="str">
        <f>IF(ISERROR(FIND('112'!$M$9,G3711,1)),"",IF((AND(RIGHT(G3711,2)=RIGHT('112'!$M$9,2),B3711&lt;'112'!$K$9,$O3711='112'!$I$6)),"x",""))</f>
        <v/>
      </c>
      <c r="W3711" s="79" t="str">
        <f>IF(AND('341-CT'!$H$9=H3711,OR(LEFT(N3711,3)=$W$7,LEFT(O3711,3)=$W$7)),"x","")</f>
        <v/>
      </c>
      <c r="X3711" s="79" t="str">
        <f>IF(OR(TH!N3711=TH!$X$7,O3711=TH!$X$7),"x","")</f>
        <v/>
      </c>
      <c r="Y3711" s="79" t="str">
        <f>IF(AND(OR(N3711="131",O3711="131"),H3711='131-CT'!$H$9),"x","")</f>
        <v/>
      </c>
      <c r="Z3711" s="79"/>
      <c r="AA3711" s="79" t="str">
        <f>IF(AND(MONTH(E3711)='IN-NX'!$J$5,'IN-NX'!$D$7=D3711),"x","")</f>
        <v/>
      </c>
      <c r="AB3711" s="79" t="str">
        <f>IF(AND(OR(LEFT(TH!N3711,2)="15",LEFT(TH!O3711,2)="15"),LEFT(TH!O3711,3)&lt;&gt;"111",'152-CT'!$J$8=TH!F3711),"x","")</f>
        <v/>
      </c>
      <c r="AC3711" s="79" t="str">
        <f>IF(AND(OR(LEFT(TH!N3711,2)="15",LEFT(TH!O3711,2)="15"),TK!$E$7=TH!F3711),"x","")</f>
        <v/>
      </c>
      <c r="AD3711" s="79" t="str">
        <f>IF(AND(N3711="1521",MONTH(C3711)='BK-NL'!$M$11),"x","")</f>
        <v/>
      </c>
    </row>
    <row r="3712" spans="1:30" ht="16.5" customHeight="1">
      <c r="A3712" s="318" t="str">
        <f>IF(B3712&lt;&gt;"",IF(AND(B3712='IN-TC'!$S$4,OR(TH!N3712="1111",TH!O3712="1111")),TH!D3712,""),"")</f>
        <v/>
      </c>
      <c r="B3712" s="60" t="str">
        <f t="shared" si="408"/>
        <v/>
      </c>
      <c r="C3712" s="75"/>
      <c r="D3712" s="75"/>
      <c r="E3712" s="75"/>
      <c r="F3712" s="76"/>
      <c r="G3712" s="76"/>
      <c r="H3712" s="759"/>
      <c r="I3712" s="383"/>
      <c r="J3712" s="390"/>
      <c r="K3712" s="383"/>
      <c r="L3712" s="390"/>
      <c r="M3712" s="978"/>
      <c r="N3712" s="1262"/>
      <c r="O3712" s="979"/>
      <c r="P3712" s="79" t="str">
        <f>IF(AND('331-CT'!$E$7=TH!H3712,OR(N3712="331",O3712="331")),"x","")</f>
        <v/>
      </c>
      <c r="Q3712" s="79" t="str">
        <f>IF(AND(B3712='111'!$L$11,OR($N3712=$Q$7,$O3712=$Q$7)),"x","")</f>
        <v/>
      </c>
      <c r="R3712" s="79" t="str">
        <f>IF(AND($N3712=$Q$7,$B3712&lt;'111'!$L$11),"x","")</f>
        <v/>
      </c>
      <c r="S3712" s="79" t="str">
        <f>IF(AND($O3712=$Q$7,$B3712&lt;'111'!$L$11),"x","")</f>
        <v/>
      </c>
      <c r="T3712" s="79" t="str">
        <f>IF(ISERROR(FIND('112'!$M$9,G3712,1)),"",IF((AND(FIND('112'!$M$9,G3712,1)&gt;=1,B3712='112'!$K$9,OR($N3712='112'!$I$6,$O3712='112'!$I$6))),"x",""))</f>
        <v/>
      </c>
      <c r="U3712" s="79" t="str">
        <f>IF(ISERROR(FIND('112'!$M$9,G3712,1)),"",IF((AND(LEFT(G3712,2)=LEFT('112'!$M$9,2),B3712&lt;'112'!$K$9,$N3712='112'!$I$6)),"x",""))</f>
        <v/>
      </c>
      <c r="V3712" s="79" t="str">
        <f>IF(ISERROR(FIND('112'!$M$9,G3712,1)),"",IF((AND(RIGHT(G3712,2)=RIGHT('112'!$M$9,2),B3712&lt;'112'!$K$9,$O3712='112'!$I$6)),"x",""))</f>
        <v/>
      </c>
      <c r="W3712" s="79" t="str">
        <f>IF(AND('341-CT'!$H$9=H3712,OR(LEFT(N3712,3)=$W$7,LEFT(O3712,3)=$W$7)),"x","")</f>
        <v/>
      </c>
      <c r="X3712" s="79" t="str">
        <f>IF(OR(TH!N3712=TH!$X$7,O3712=TH!$X$7),"x","")</f>
        <v/>
      </c>
      <c r="Y3712" s="79" t="str">
        <f>IF(AND(OR(N3712="131",O3712="131"),H3712='131-CT'!$H$9),"x","")</f>
        <v/>
      </c>
      <c r="Z3712" s="79"/>
      <c r="AA3712" s="79" t="str">
        <f>IF(AND(MONTH(E3712)='IN-NX'!$J$5,'IN-NX'!$D$7=D3712),"x","")</f>
        <v/>
      </c>
      <c r="AB3712" s="79" t="str">
        <f>IF(AND(OR(LEFT(TH!N3712,2)="15",LEFT(TH!O3712,2)="15"),LEFT(TH!O3712,3)&lt;&gt;"111",'152-CT'!$J$8=TH!F3712),"x","")</f>
        <v/>
      </c>
      <c r="AC3712" s="79" t="str">
        <f>IF(AND(OR(LEFT(TH!N3712,2)="15",LEFT(TH!O3712,2)="15"),TK!$E$7=TH!F3712),"x","")</f>
        <v/>
      </c>
      <c r="AD3712" s="79" t="str">
        <f>IF(AND(N3712="1521",MONTH(C3712)='BK-NL'!$M$11),"x","")</f>
        <v/>
      </c>
    </row>
    <row r="3713" spans="1:30" ht="16.5" customHeight="1">
      <c r="A3713" s="318" t="str">
        <f>IF(B3713&lt;&gt;"",IF(AND(B3713='IN-TC'!$S$4,OR(TH!N3713="1111",TH!O3713="1111")),TH!D3713,""),"")</f>
        <v/>
      </c>
      <c r="B3713" s="60" t="str">
        <f t="shared" si="408"/>
        <v/>
      </c>
      <c r="C3713" s="75"/>
      <c r="D3713" s="75"/>
      <c r="E3713" s="75"/>
      <c r="F3713" s="76"/>
      <c r="G3713" s="76"/>
      <c r="H3713" s="759"/>
      <c r="I3713" s="383"/>
      <c r="J3713" s="390"/>
      <c r="K3713" s="383"/>
      <c r="L3713" s="390"/>
      <c r="M3713" s="978"/>
      <c r="N3713" s="1262"/>
      <c r="O3713" s="79"/>
      <c r="P3713" s="79" t="str">
        <f>IF(AND('331-CT'!$E$7=TH!H3713,OR(N3713="331",O3713="331")),"x","")</f>
        <v/>
      </c>
      <c r="Q3713" s="79" t="str">
        <f>IF(AND(B3713='111'!$L$11,OR($N3713=$Q$7,$O3713=$Q$7)),"x","")</f>
        <v/>
      </c>
      <c r="R3713" s="79" t="str">
        <f>IF(AND($N3713=$Q$7,$B3713&lt;'111'!$L$11),"x","")</f>
        <v/>
      </c>
      <c r="S3713" s="79" t="str">
        <f>IF(AND($O3713=$Q$7,$B3713&lt;'111'!$L$11),"x","")</f>
        <v/>
      </c>
      <c r="T3713" s="79" t="str">
        <f>IF(ISERROR(FIND('112'!$M$9,G3713,1)),"",IF((AND(FIND('112'!$M$9,G3713,1)&gt;=1,B3713='112'!$K$9,OR($N3713='112'!$I$6,$O3713='112'!$I$6))),"x",""))</f>
        <v/>
      </c>
      <c r="U3713" s="79" t="str">
        <f>IF(ISERROR(FIND('112'!$M$9,G3713,1)),"",IF((AND(LEFT(G3713,2)=LEFT('112'!$M$9,2),B3713&lt;'112'!$K$9,$N3713='112'!$I$6)),"x",""))</f>
        <v/>
      </c>
      <c r="V3713" s="79" t="str">
        <f>IF(ISERROR(FIND('112'!$M$9,G3713,1)),"",IF((AND(RIGHT(G3713,2)=RIGHT('112'!$M$9,2),B3713&lt;'112'!$K$9,$O3713='112'!$I$6)),"x",""))</f>
        <v/>
      </c>
      <c r="W3713" s="79" t="str">
        <f>IF(AND('341-CT'!$H$9=H3713,OR(LEFT(N3713,3)=$W$7,LEFT(O3713,3)=$W$7)),"x","")</f>
        <v/>
      </c>
      <c r="X3713" s="79" t="str">
        <f>IF(OR(TH!N3713=TH!$X$7,O3713=TH!$X$7),"x","")</f>
        <v/>
      </c>
      <c r="Y3713" s="79" t="str">
        <f>IF(AND(OR(N3713="131",O3713="131"),H3713='131-CT'!$H$9),"x","")</f>
        <v/>
      </c>
      <c r="Z3713" s="79"/>
      <c r="AA3713" s="79" t="str">
        <f>IF(AND(MONTH(E3713)='IN-NX'!$J$5,'IN-NX'!$D$7=D3713),"x","")</f>
        <v/>
      </c>
      <c r="AB3713" s="79" t="str">
        <f>IF(AND(OR(LEFT(TH!N3713,2)="15",LEFT(TH!O3713,2)="15"),LEFT(TH!O3713,3)&lt;&gt;"111",'152-CT'!$J$8=TH!F3713),"x","")</f>
        <v/>
      </c>
      <c r="AC3713" s="79" t="str">
        <f>IF(AND(OR(LEFT(TH!N3713,2)="15",LEFT(TH!O3713,2)="15"),TK!$E$7=TH!F3713),"x","")</f>
        <v/>
      </c>
      <c r="AD3713" s="79" t="str">
        <f>IF(AND(N3713="1521",MONTH(C3713)='BK-NL'!$M$11),"x","")</f>
        <v/>
      </c>
    </row>
    <row r="3714" spans="1:30" ht="16.5" customHeight="1">
      <c r="A3714" s="318" t="str">
        <f>IF(B3714&lt;&gt;"",IF(AND(B3714='IN-TC'!$S$4,OR(TH!N3714="1111",TH!O3714="1111")),TH!D3714,""),"")</f>
        <v/>
      </c>
      <c r="B3714" s="60" t="str">
        <f t="shared" si="408"/>
        <v/>
      </c>
      <c r="C3714" s="75"/>
      <c r="D3714" s="75"/>
      <c r="E3714" s="75"/>
      <c r="F3714" s="76"/>
      <c r="G3714" s="76"/>
      <c r="H3714" s="759"/>
      <c r="I3714" s="383"/>
      <c r="J3714" s="390"/>
      <c r="K3714" s="383"/>
      <c r="L3714" s="390"/>
      <c r="M3714" s="978"/>
      <c r="N3714" s="1262"/>
      <c r="O3714" s="79"/>
      <c r="P3714" s="79" t="str">
        <f>IF(AND('331-CT'!$E$7=TH!H3714,OR(N3714="331",O3714="331")),"x","")</f>
        <v/>
      </c>
      <c r="Q3714" s="79" t="str">
        <f>IF(AND(B3714='111'!$L$11,OR($N3714=$Q$7,$O3714=$Q$7)),"x","")</f>
        <v/>
      </c>
      <c r="R3714" s="79" t="str">
        <f>IF(AND($N3714=$Q$7,$B3714&lt;'111'!$L$11),"x","")</f>
        <v/>
      </c>
      <c r="S3714" s="79" t="str">
        <f>IF(AND($O3714=$Q$7,$B3714&lt;'111'!$L$11),"x","")</f>
        <v/>
      </c>
      <c r="T3714" s="79" t="str">
        <f>IF(ISERROR(FIND('112'!$M$9,G3714,1)),"",IF((AND(FIND('112'!$M$9,G3714,1)&gt;=1,B3714='112'!$K$9,OR($N3714='112'!$I$6,$O3714='112'!$I$6))),"x",""))</f>
        <v/>
      </c>
      <c r="U3714" s="79" t="str">
        <f>IF(ISERROR(FIND('112'!$M$9,G3714,1)),"",IF((AND(LEFT(G3714,2)=LEFT('112'!$M$9,2),B3714&lt;'112'!$K$9,$N3714='112'!$I$6)),"x",""))</f>
        <v/>
      </c>
      <c r="V3714" s="79" t="str">
        <f>IF(ISERROR(FIND('112'!$M$9,G3714,1)),"",IF((AND(RIGHT(G3714,2)=RIGHT('112'!$M$9,2),B3714&lt;'112'!$K$9,$O3714='112'!$I$6)),"x",""))</f>
        <v/>
      </c>
      <c r="W3714" s="79" t="str">
        <f>IF(AND('341-CT'!$H$9=H3714,OR(LEFT(N3714,3)=$W$7,LEFT(O3714,3)=$W$7)),"x","")</f>
        <v/>
      </c>
      <c r="X3714" s="79" t="str">
        <f>IF(OR(TH!N3714=TH!$X$7,O3714=TH!$X$7),"x","")</f>
        <v/>
      </c>
      <c r="Y3714" s="79" t="str">
        <f>IF(AND(OR(N3714="131",O3714="131"),H3714='131-CT'!$H$9),"x","")</f>
        <v/>
      </c>
      <c r="Z3714" s="79"/>
      <c r="AA3714" s="79" t="str">
        <f>IF(AND(MONTH(E3714)='IN-NX'!$J$5,'IN-NX'!$D$7=D3714),"x","")</f>
        <v/>
      </c>
      <c r="AB3714" s="79" t="str">
        <f>IF(AND(OR(LEFT(TH!N3714,2)="15",LEFT(TH!O3714,2)="15"),LEFT(TH!O3714,3)&lt;&gt;"111",'152-CT'!$J$8=TH!F3714),"x","")</f>
        <v/>
      </c>
      <c r="AC3714" s="79" t="str">
        <f>IF(AND(OR(LEFT(TH!N3714,2)="15",LEFT(TH!O3714,2)="15"),TK!$E$7=TH!F3714),"x","")</f>
        <v/>
      </c>
      <c r="AD3714" s="79" t="str">
        <f>IF(AND(N3714="1521",MONTH(C3714)='BK-NL'!$M$11),"x","")</f>
        <v/>
      </c>
    </row>
    <row r="3715" spans="1:30" ht="16.5" customHeight="1">
      <c r="A3715" s="318" t="str">
        <f>IF(B3715&lt;&gt;"",IF(AND(B3715='IN-TC'!$S$4,OR(TH!N3715="1111",TH!O3715="1111")),TH!D3715,""),"")</f>
        <v/>
      </c>
      <c r="B3715" s="60" t="str">
        <f t="shared" si="408"/>
        <v/>
      </c>
      <c r="C3715" s="75"/>
      <c r="D3715" s="75"/>
      <c r="E3715" s="75"/>
      <c r="F3715" s="76"/>
      <c r="G3715" s="76"/>
      <c r="H3715" s="759"/>
      <c r="I3715" s="383"/>
      <c r="J3715" s="390"/>
      <c r="K3715" s="383"/>
      <c r="L3715" s="390"/>
      <c r="M3715" s="978"/>
      <c r="N3715" s="1262"/>
      <c r="O3715" s="979"/>
      <c r="P3715" s="79" t="str">
        <f>IF(AND('331-CT'!$E$7=TH!H3715,OR(N3715="331",O3715="331")),"x","")</f>
        <v/>
      </c>
      <c r="Q3715" s="79" t="str">
        <f>IF(AND(B3715='111'!$L$11,OR($N3715=$Q$7,$O3715=$Q$7)),"x","")</f>
        <v/>
      </c>
      <c r="R3715" s="79" t="str">
        <f>IF(AND($N3715=$Q$7,$B3715&lt;'111'!$L$11),"x","")</f>
        <v/>
      </c>
      <c r="S3715" s="79" t="str">
        <f>IF(AND($O3715=$Q$7,$B3715&lt;'111'!$L$11),"x","")</f>
        <v/>
      </c>
      <c r="T3715" s="79" t="str">
        <f>IF(ISERROR(FIND('112'!$M$9,G3715,1)),"",IF((AND(FIND('112'!$M$9,G3715,1)&gt;=1,B3715='112'!$K$9,OR($N3715='112'!$I$6,$O3715='112'!$I$6))),"x",""))</f>
        <v/>
      </c>
      <c r="U3715" s="79" t="str">
        <f>IF(ISERROR(FIND('112'!$M$9,G3715,1)),"",IF((AND(LEFT(G3715,2)=LEFT('112'!$M$9,2),B3715&lt;'112'!$K$9,$N3715='112'!$I$6)),"x",""))</f>
        <v/>
      </c>
      <c r="V3715" s="79" t="str">
        <f>IF(ISERROR(FIND('112'!$M$9,G3715,1)),"",IF((AND(RIGHT(G3715,2)=RIGHT('112'!$M$9,2),B3715&lt;'112'!$K$9,$O3715='112'!$I$6)),"x",""))</f>
        <v/>
      </c>
      <c r="W3715" s="79" t="str">
        <f>IF(AND('341-CT'!$H$9=H3715,OR(LEFT(N3715,3)=$W$7,LEFT(O3715,3)=$W$7)),"x","")</f>
        <v/>
      </c>
      <c r="X3715" s="79" t="str">
        <f>IF(OR(TH!N3715=TH!$X$7,O3715=TH!$X$7),"x","")</f>
        <v/>
      </c>
      <c r="Y3715" s="79" t="str">
        <f>IF(AND(OR(N3715="131",O3715="131"),H3715='131-CT'!$H$9),"x","")</f>
        <v/>
      </c>
      <c r="Z3715" s="79"/>
      <c r="AA3715" s="79" t="str">
        <f>IF(AND(MONTH(E3715)='IN-NX'!$J$5,'IN-NX'!$D$7=D3715),"x","")</f>
        <v/>
      </c>
      <c r="AB3715" s="79" t="str">
        <f>IF(AND(OR(LEFT(TH!N3715,2)="15",LEFT(TH!O3715,2)="15"),LEFT(TH!O3715,3)&lt;&gt;"111",'152-CT'!$J$8=TH!F3715),"x","")</f>
        <v/>
      </c>
      <c r="AC3715" s="79" t="str">
        <f>IF(AND(OR(LEFT(TH!N3715,2)="15",LEFT(TH!O3715,2)="15"),TK!$E$7=TH!F3715),"x","")</f>
        <v/>
      </c>
      <c r="AD3715" s="79" t="str">
        <f>IF(AND(N3715="1521",MONTH(C3715)='BK-NL'!$M$11),"x","")</f>
        <v/>
      </c>
    </row>
    <row r="3716" spans="1:30" ht="16.5" customHeight="1">
      <c r="A3716" s="318" t="str">
        <f>IF(B3716&lt;&gt;"",IF(AND(B3716='IN-TC'!$S$4,OR(TH!N3716="1111",TH!O3716="1111")),TH!D3716,""),"")</f>
        <v/>
      </c>
      <c r="B3716" s="60" t="str">
        <f t="shared" ref="B3716:B3782" si="409">IF(C3716&lt;&gt;"",MONTH(C3716),"")</f>
        <v/>
      </c>
      <c r="C3716" s="75"/>
      <c r="D3716" s="75"/>
      <c r="E3716" s="75"/>
      <c r="F3716" s="76"/>
      <c r="G3716" s="76"/>
      <c r="H3716" s="759"/>
      <c r="I3716" s="383"/>
      <c r="J3716" s="390"/>
      <c r="K3716" s="383"/>
      <c r="L3716" s="390"/>
      <c r="M3716" s="978"/>
      <c r="N3716" s="1262"/>
      <c r="O3716" s="79"/>
      <c r="P3716" s="79" t="str">
        <f>IF(AND('331-CT'!$E$7=TH!H3716,OR(N3716="331",O3716="331")),"x","")</f>
        <v/>
      </c>
      <c r="Q3716" s="79" t="str">
        <f>IF(AND(B3716='111'!$L$11,OR($N3716=$Q$7,$O3716=$Q$7)),"x","")</f>
        <v/>
      </c>
      <c r="R3716" s="79" t="str">
        <f>IF(AND($N3716=$Q$7,$B3716&lt;'111'!$L$11),"x","")</f>
        <v/>
      </c>
      <c r="S3716" s="79" t="str">
        <f>IF(AND($O3716=$Q$7,$B3716&lt;'111'!$L$11),"x","")</f>
        <v/>
      </c>
      <c r="T3716" s="79" t="str">
        <f>IF(ISERROR(FIND('112'!$M$9,G3716,1)),"",IF((AND(FIND('112'!$M$9,G3716,1)&gt;=1,B3716='112'!$K$9,OR($N3716='112'!$I$6,$O3716='112'!$I$6))),"x",""))</f>
        <v/>
      </c>
      <c r="U3716" s="79" t="str">
        <f>IF(ISERROR(FIND('112'!$M$9,G3716,1)),"",IF((AND(LEFT(G3716,2)=LEFT('112'!$M$9,2),B3716&lt;'112'!$K$9,$N3716='112'!$I$6)),"x",""))</f>
        <v/>
      </c>
      <c r="V3716" s="79" t="str">
        <f>IF(ISERROR(FIND('112'!$M$9,G3716,1)),"",IF((AND(RIGHT(G3716,2)=RIGHT('112'!$M$9,2),B3716&lt;'112'!$K$9,$O3716='112'!$I$6)),"x",""))</f>
        <v/>
      </c>
      <c r="W3716" s="79" t="str">
        <f>IF(AND('341-CT'!$H$9=H3716,OR(LEFT(N3716,3)=$W$7,LEFT(O3716,3)=$W$7)),"x","")</f>
        <v/>
      </c>
      <c r="X3716" s="79" t="str">
        <f>IF(OR(TH!N3716=TH!$X$7,O3716=TH!$X$7),"x","")</f>
        <v/>
      </c>
      <c r="Y3716" s="79" t="str">
        <f>IF(AND(OR(N3716="131",O3716="131"),H3716='131-CT'!$H$9),"x","")</f>
        <v/>
      </c>
      <c r="Z3716" s="79"/>
      <c r="AA3716" s="79" t="str">
        <f>IF(AND(MONTH(E3716)='IN-NX'!$J$5,'IN-NX'!$D$7=D3716),"x","")</f>
        <v/>
      </c>
      <c r="AB3716" s="79" t="str">
        <f>IF(AND(OR(LEFT(TH!N3716,2)="15",LEFT(TH!O3716,2)="15"),LEFT(TH!O3716,3)&lt;&gt;"111",'152-CT'!$J$8=TH!F3716),"x","")</f>
        <v/>
      </c>
      <c r="AC3716" s="79" t="str">
        <f>IF(AND(OR(LEFT(TH!N3716,2)="15",LEFT(TH!O3716,2)="15"),TK!$E$7=TH!F3716),"x","")</f>
        <v/>
      </c>
      <c r="AD3716" s="79" t="str">
        <f>IF(AND(N3716="1521",MONTH(C3716)='BK-NL'!$M$11),"x","")</f>
        <v/>
      </c>
    </row>
    <row r="3717" spans="1:30" ht="16.5" customHeight="1">
      <c r="A3717" s="318" t="str">
        <f>IF(B3717&lt;&gt;"",IF(AND(B3717='IN-TC'!$S$4,OR(TH!N3717="1111",TH!O3717="1111")),TH!D3717,""),"")</f>
        <v/>
      </c>
      <c r="B3717" s="60" t="str">
        <f t="shared" si="409"/>
        <v/>
      </c>
      <c r="C3717" s="75"/>
      <c r="D3717" s="75"/>
      <c r="E3717" s="75"/>
      <c r="F3717" s="76"/>
      <c r="G3717" s="76"/>
      <c r="H3717" s="759"/>
      <c r="I3717" s="383"/>
      <c r="J3717" s="390"/>
      <c r="K3717" s="383"/>
      <c r="L3717" s="390"/>
      <c r="M3717" s="978"/>
      <c r="N3717" s="1262"/>
      <c r="O3717" s="79"/>
      <c r="P3717" s="79" t="str">
        <f>IF(AND('331-CT'!$E$7=TH!H3717,OR(N3717="331",O3717="331")),"x","")</f>
        <v/>
      </c>
      <c r="Q3717" s="79" t="str">
        <f>IF(AND(B3717='111'!$L$11,OR($N3717=$Q$7,$O3717=$Q$7)),"x","")</f>
        <v/>
      </c>
      <c r="R3717" s="79" t="str">
        <f>IF(AND($N3717=$Q$7,$B3717&lt;'111'!$L$11),"x","")</f>
        <v/>
      </c>
      <c r="S3717" s="79" t="str">
        <f>IF(AND($O3717=$Q$7,$B3717&lt;'111'!$L$11),"x","")</f>
        <v/>
      </c>
      <c r="T3717" s="79" t="str">
        <f>IF(ISERROR(FIND('112'!$M$9,G3717,1)),"",IF((AND(FIND('112'!$M$9,G3717,1)&gt;=1,B3717='112'!$K$9,OR($N3717='112'!$I$6,$O3717='112'!$I$6))),"x",""))</f>
        <v/>
      </c>
      <c r="U3717" s="79" t="str">
        <f>IF(ISERROR(FIND('112'!$M$9,G3717,1)),"",IF((AND(LEFT(G3717,2)=LEFT('112'!$M$9,2),B3717&lt;'112'!$K$9,$N3717='112'!$I$6)),"x",""))</f>
        <v/>
      </c>
      <c r="V3717" s="79" t="str">
        <f>IF(ISERROR(FIND('112'!$M$9,G3717,1)),"",IF((AND(RIGHT(G3717,2)=RIGHT('112'!$M$9,2),B3717&lt;'112'!$K$9,$O3717='112'!$I$6)),"x",""))</f>
        <v/>
      </c>
      <c r="W3717" s="79" t="str">
        <f>IF(AND('341-CT'!$H$9=H3717,OR(LEFT(N3717,3)=$W$7,LEFT(O3717,3)=$W$7)),"x","")</f>
        <v/>
      </c>
      <c r="X3717" s="79" t="str">
        <f>IF(OR(TH!N3717=TH!$X$7,O3717=TH!$X$7),"x","")</f>
        <v/>
      </c>
      <c r="Y3717" s="79" t="str">
        <f>IF(AND(OR(N3717="131",O3717="131"),H3717='131-CT'!$H$9),"x","")</f>
        <v/>
      </c>
      <c r="Z3717" s="79"/>
      <c r="AA3717" s="79" t="str">
        <f>IF(AND(MONTH(E3717)='IN-NX'!$J$5,'IN-NX'!$D$7=D3717),"x","")</f>
        <v/>
      </c>
      <c r="AB3717" s="79" t="str">
        <f>IF(AND(OR(LEFT(TH!N3717,2)="15",LEFT(TH!O3717,2)="15"),LEFT(TH!O3717,3)&lt;&gt;"111",'152-CT'!$J$8=TH!F3717),"x","")</f>
        <v/>
      </c>
      <c r="AC3717" s="79" t="str">
        <f>IF(AND(OR(LEFT(TH!N3717,2)="15",LEFT(TH!O3717,2)="15"),TK!$E$7=TH!F3717),"x","")</f>
        <v/>
      </c>
      <c r="AD3717" s="79" t="str">
        <f>IF(AND(N3717="1521",MONTH(C3717)='BK-NL'!$M$11),"x","")</f>
        <v/>
      </c>
    </row>
    <row r="3718" spans="1:30" ht="16.5" customHeight="1">
      <c r="A3718" s="318" t="str">
        <f>IF(B3718&lt;&gt;"",IF(AND(B3718='IN-TC'!$S$4,OR(TH!N3718="1111",TH!O3718="1111")),TH!D3718,""),"")</f>
        <v/>
      </c>
      <c r="B3718" s="60" t="str">
        <f t="shared" si="409"/>
        <v/>
      </c>
      <c r="C3718" s="75"/>
      <c r="D3718" s="75"/>
      <c r="E3718" s="75"/>
      <c r="F3718" s="76"/>
      <c r="G3718" s="76"/>
      <c r="H3718" s="759"/>
      <c r="I3718" s="383"/>
      <c r="J3718" s="390"/>
      <c r="K3718" s="383"/>
      <c r="L3718" s="390"/>
      <c r="M3718" s="978"/>
      <c r="N3718" s="1262"/>
      <c r="O3718" s="79"/>
      <c r="P3718" s="79" t="str">
        <f>IF(AND('331-CT'!$E$7=TH!H3718,OR(N3718="331",O3718="331")),"x","")</f>
        <v/>
      </c>
      <c r="Q3718" s="79" t="str">
        <f>IF(AND(B3718='111'!$L$11,OR($N3718=$Q$7,$O3718=$Q$7)),"x","")</f>
        <v/>
      </c>
      <c r="R3718" s="79" t="str">
        <f>IF(AND($N3718=$Q$7,$B3718&lt;'111'!$L$11),"x","")</f>
        <v/>
      </c>
      <c r="S3718" s="79" t="str">
        <f>IF(AND($O3718=$Q$7,$B3718&lt;'111'!$L$11),"x","")</f>
        <v/>
      </c>
      <c r="T3718" s="79" t="str">
        <f>IF(ISERROR(FIND('112'!$M$9,G3718,1)),"",IF((AND(FIND('112'!$M$9,G3718,1)&gt;=1,B3718='112'!$K$9,OR($N3718='112'!$I$6,$O3718='112'!$I$6))),"x",""))</f>
        <v/>
      </c>
      <c r="U3718" s="79" t="str">
        <f>IF(ISERROR(FIND('112'!$M$9,G3718,1)),"",IF((AND(LEFT(G3718,2)=LEFT('112'!$M$9,2),B3718&lt;'112'!$K$9,$N3718='112'!$I$6)),"x",""))</f>
        <v/>
      </c>
      <c r="V3718" s="79" t="str">
        <f>IF(ISERROR(FIND('112'!$M$9,G3718,1)),"",IF((AND(RIGHT(G3718,2)=RIGHT('112'!$M$9,2),B3718&lt;'112'!$K$9,$O3718='112'!$I$6)),"x",""))</f>
        <v/>
      </c>
      <c r="W3718" s="79" t="str">
        <f>IF(AND('341-CT'!$H$9=H3718,OR(LEFT(N3718,3)=$W$7,LEFT(O3718,3)=$W$7)),"x","")</f>
        <v/>
      </c>
      <c r="X3718" s="79" t="str">
        <f>IF(OR(TH!N3718=TH!$X$7,O3718=TH!$X$7),"x","")</f>
        <v/>
      </c>
      <c r="Y3718" s="79" t="str">
        <f>IF(AND(OR(N3718="131",O3718="131"),H3718='131-CT'!$H$9),"x","")</f>
        <v/>
      </c>
      <c r="Z3718" s="79"/>
      <c r="AA3718" s="79" t="str">
        <f>IF(AND(MONTH(E3718)='IN-NX'!$J$5,'IN-NX'!$D$7=D3718),"x","")</f>
        <v/>
      </c>
      <c r="AB3718" s="79" t="str">
        <f>IF(AND(OR(LEFT(TH!N3718,2)="15",LEFT(TH!O3718,2)="15"),LEFT(TH!O3718,3)&lt;&gt;"111",'152-CT'!$J$8=TH!F3718),"x","")</f>
        <v/>
      </c>
      <c r="AC3718" s="79" t="str">
        <f>IF(AND(OR(LEFT(TH!N3718,2)="15",LEFT(TH!O3718,2)="15"),TK!$E$7=TH!F3718),"x","")</f>
        <v/>
      </c>
      <c r="AD3718" s="79" t="str">
        <f>IF(AND(N3718="1521",MONTH(C3718)='BK-NL'!$M$11),"x","")</f>
        <v/>
      </c>
    </row>
    <row r="3719" spans="1:30" ht="16.5" customHeight="1">
      <c r="A3719" s="318" t="str">
        <f>IF(B3719&lt;&gt;"",IF(AND(B3719='IN-TC'!$S$4,OR(TH!N3719="1111",TH!O3719="1111")),TH!D3719,""),"")</f>
        <v/>
      </c>
      <c r="B3719" s="60" t="str">
        <f t="shared" si="409"/>
        <v/>
      </c>
      <c r="C3719" s="75"/>
      <c r="D3719" s="75"/>
      <c r="E3719" s="75"/>
      <c r="F3719" s="76"/>
      <c r="G3719" s="76"/>
      <c r="H3719" s="759"/>
      <c r="I3719" s="383"/>
      <c r="J3719" s="390"/>
      <c r="K3719" s="383"/>
      <c r="L3719" s="390"/>
      <c r="M3719" s="978"/>
      <c r="N3719" s="79"/>
      <c r="O3719" s="979"/>
      <c r="P3719" s="79" t="str">
        <f>IF(AND('331-CT'!$E$7=TH!H3719,OR(N3719="331",O3719="331")),"x","")</f>
        <v/>
      </c>
      <c r="Q3719" s="79" t="str">
        <f>IF(AND(B3719='111'!$L$11,OR($N3719=$Q$7,$O3719=$Q$7)),"x","")</f>
        <v/>
      </c>
      <c r="R3719" s="79" t="str">
        <f>IF(AND($N3719=$Q$7,$B3719&lt;'111'!$L$11),"x","")</f>
        <v/>
      </c>
      <c r="S3719" s="79" t="str">
        <f>IF(AND($O3719=$Q$7,$B3719&lt;'111'!$L$11),"x","")</f>
        <v/>
      </c>
      <c r="T3719" s="79" t="str">
        <f>IF(ISERROR(FIND('112'!$M$9,G3719,1)),"",IF((AND(FIND('112'!$M$9,G3719,1)&gt;=1,B3719='112'!$K$9,OR($N3719='112'!$I$6,$O3719='112'!$I$6))),"x",""))</f>
        <v/>
      </c>
      <c r="U3719" s="79" t="str">
        <f>IF(ISERROR(FIND('112'!$M$9,G3719,1)),"",IF((AND(LEFT(G3719,2)=LEFT('112'!$M$9,2),B3719&lt;'112'!$K$9,$N3719='112'!$I$6)),"x",""))</f>
        <v/>
      </c>
      <c r="V3719" s="79" t="str">
        <f>IF(ISERROR(FIND('112'!$M$9,G3719,1)),"",IF((AND(RIGHT(G3719,2)=RIGHT('112'!$M$9,2),B3719&lt;'112'!$K$9,$O3719='112'!$I$6)),"x",""))</f>
        <v/>
      </c>
      <c r="W3719" s="79" t="str">
        <f>IF(AND('341-CT'!$H$9=H3719,OR(LEFT(N3719,3)=$W$7,LEFT(O3719,3)=$W$7)),"x","")</f>
        <v/>
      </c>
      <c r="X3719" s="79" t="str">
        <f>IF(OR(TH!N3719=TH!$X$7,O3719=TH!$X$7),"x","")</f>
        <v/>
      </c>
      <c r="Y3719" s="79" t="str">
        <f>IF(AND(OR(N3719="131",O3719="131"),H3719='131-CT'!$H$9),"x","")</f>
        <v/>
      </c>
      <c r="Z3719" s="79"/>
      <c r="AA3719" s="79" t="str">
        <f>IF(AND(MONTH(E3719)='IN-NX'!$J$5,'IN-NX'!$D$7=D3719),"x","")</f>
        <v/>
      </c>
      <c r="AB3719" s="79" t="str">
        <f>IF(AND(OR(LEFT(TH!N3719,2)="15",LEFT(TH!O3719,2)="15"),LEFT(TH!O3719,3)&lt;&gt;"111",'152-CT'!$J$8=TH!F3719),"x","")</f>
        <v/>
      </c>
      <c r="AC3719" s="79" t="str">
        <f>IF(AND(OR(LEFT(TH!N3719,2)="15",LEFT(TH!O3719,2)="15"),TK!$E$7=TH!F3719),"x","")</f>
        <v/>
      </c>
      <c r="AD3719" s="79" t="str">
        <f>IF(AND(N3719="1521",MONTH(C3719)='BK-NL'!$M$11),"x","")</f>
        <v/>
      </c>
    </row>
    <row r="3720" spans="1:30" ht="16.5" customHeight="1">
      <c r="A3720" s="318" t="str">
        <f>IF(B3720&lt;&gt;"",IF(AND(B3720='IN-TC'!$S$4,OR(TH!N3720="1111",TH!O3720="1111")),TH!D3720,""),"")</f>
        <v/>
      </c>
      <c r="B3720" s="60" t="str">
        <f t="shared" si="409"/>
        <v/>
      </c>
      <c r="C3720" s="75"/>
      <c r="D3720" s="75"/>
      <c r="E3720" s="75"/>
      <c r="F3720" s="76"/>
      <c r="G3720" s="76"/>
      <c r="H3720" s="76"/>
      <c r="I3720" s="383"/>
      <c r="J3720" s="390"/>
      <c r="K3720" s="383"/>
      <c r="L3720" s="390"/>
      <c r="M3720" s="978"/>
      <c r="N3720" s="1262"/>
      <c r="O3720" s="979"/>
      <c r="P3720" s="79" t="str">
        <f>IF(AND('331-CT'!$E$7=TH!H3720,OR(N3720="331",O3720="331")),"x","")</f>
        <v/>
      </c>
      <c r="Q3720" s="79" t="str">
        <f>IF(AND(B3720='111'!$L$11,OR($N3720=$Q$7,$O3720=$Q$7)),"x","")</f>
        <v/>
      </c>
      <c r="R3720" s="79" t="str">
        <f>IF(AND($N3720=$Q$7,$B3720&lt;'111'!$L$11),"x","")</f>
        <v/>
      </c>
      <c r="S3720" s="79" t="str">
        <f>IF(AND($O3720=$Q$7,$B3720&lt;'111'!$L$11),"x","")</f>
        <v/>
      </c>
      <c r="T3720" s="79" t="str">
        <f>IF(ISERROR(FIND('112'!$M$9,G3720,1)),"",IF((AND(FIND('112'!$M$9,G3720,1)&gt;=1,B3720='112'!$K$9,OR($N3720='112'!$I$6,$O3720='112'!$I$6))),"x",""))</f>
        <v/>
      </c>
      <c r="U3720" s="79" t="str">
        <f>IF(ISERROR(FIND('112'!$M$9,G3720,1)),"",IF((AND(LEFT(G3720,2)=LEFT('112'!$M$9,2),B3720&lt;'112'!$K$9,$N3720='112'!$I$6)),"x",""))</f>
        <v/>
      </c>
      <c r="V3720" s="79" t="str">
        <f>IF(ISERROR(FIND('112'!$M$9,G3720,1)),"",IF((AND(RIGHT(G3720,2)=RIGHT('112'!$M$9,2),B3720&lt;'112'!$K$9,$O3720='112'!$I$6)),"x",""))</f>
        <v/>
      </c>
      <c r="W3720" s="79" t="str">
        <f>IF(AND('341-CT'!$H$9=H3720,OR(LEFT(N3720,3)=$W$7,LEFT(O3720,3)=$W$7)),"x","")</f>
        <v/>
      </c>
      <c r="X3720" s="79" t="str">
        <f>IF(OR(TH!N3720=TH!$X$7,O3720=TH!$X$7),"x","")</f>
        <v/>
      </c>
      <c r="Y3720" s="79" t="str">
        <f>IF(AND(OR(N3720="131",O3720="131"),H3720='131-CT'!$H$9),"x","")</f>
        <v/>
      </c>
      <c r="Z3720" s="79"/>
      <c r="AA3720" s="79" t="str">
        <f>IF(AND(MONTH(E3720)='IN-NX'!$J$5,'IN-NX'!$D$7=D3720),"x","")</f>
        <v/>
      </c>
      <c r="AB3720" s="79" t="str">
        <f>IF(AND(OR(LEFT(TH!N3720,2)="15",LEFT(TH!O3720,2)="15"),LEFT(TH!O3720,3)&lt;&gt;"111",'152-CT'!$J$8=TH!F3720),"x","")</f>
        <v/>
      </c>
      <c r="AC3720" s="79" t="str">
        <f>IF(AND(OR(LEFT(TH!N3720,2)="15",LEFT(TH!O3720,2)="15"),TK!$E$7=TH!F3720),"x","")</f>
        <v/>
      </c>
      <c r="AD3720" s="79" t="str">
        <f>IF(AND(N3720="1521",MONTH(C3720)='BK-NL'!$M$11),"x","")</f>
        <v/>
      </c>
    </row>
    <row r="3721" spans="1:30" ht="16.5" customHeight="1">
      <c r="A3721" s="318" t="str">
        <f>IF(B3721&lt;&gt;"",IF(AND(B3721='IN-TC'!$S$4,OR(TH!N3721="1111",TH!O3721="1111")),TH!D3721,""),"")</f>
        <v/>
      </c>
      <c r="B3721" s="60" t="str">
        <f t="shared" si="409"/>
        <v/>
      </c>
      <c r="C3721" s="75"/>
      <c r="D3721" s="75"/>
      <c r="E3721" s="75"/>
      <c r="F3721" s="76"/>
      <c r="G3721" s="76"/>
      <c r="H3721" s="76"/>
      <c r="I3721" s="383"/>
      <c r="J3721" s="390"/>
      <c r="K3721" s="383"/>
      <c r="L3721" s="390"/>
      <c r="M3721" s="978"/>
      <c r="N3721" s="1262"/>
      <c r="O3721" s="979"/>
      <c r="P3721" s="79" t="str">
        <f>IF(AND('331-CT'!$E$7=TH!H3721,OR(N3721="331",O3721="331")),"x","")</f>
        <v/>
      </c>
      <c r="Q3721" s="79" t="str">
        <f>IF(AND(B3721='111'!$L$11,OR($N3721=$Q$7,$O3721=$Q$7)),"x","")</f>
        <v/>
      </c>
      <c r="R3721" s="79" t="str">
        <f>IF(AND($N3721=$Q$7,$B3721&lt;'111'!$L$11),"x","")</f>
        <v/>
      </c>
      <c r="S3721" s="79" t="str">
        <f>IF(AND($O3721=$Q$7,$B3721&lt;'111'!$L$11),"x","")</f>
        <v/>
      </c>
      <c r="T3721" s="79" t="str">
        <f>IF(ISERROR(FIND('112'!$M$9,G3721,1)),"",IF((AND(FIND('112'!$M$9,G3721,1)&gt;=1,B3721='112'!$K$9,OR($N3721='112'!$I$6,$O3721='112'!$I$6))),"x",""))</f>
        <v/>
      </c>
      <c r="U3721" s="79" t="str">
        <f>IF(ISERROR(FIND('112'!$M$9,G3721,1)),"",IF((AND(LEFT(G3721,2)=LEFT('112'!$M$9,2),B3721&lt;'112'!$K$9,$N3721='112'!$I$6)),"x",""))</f>
        <v/>
      </c>
      <c r="V3721" s="79" t="str">
        <f>IF(ISERROR(FIND('112'!$M$9,G3721,1)),"",IF((AND(RIGHT(G3721,2)=RIGHT('112'!$M$9,2),B3721&lt;'112'!$K$9,$O3721='112'!$I$6)),"x",""))</f>
        <v/>
      </c>
      <c r="W3721" s="79" t="str">
        <f>IF(AND('341-CT'!$H$9=H3721,OR(LEFT(N3721,3)=$W$7,LEFT(O3721,3)=$W$7)),"x","")</f>
        <v/>
      </c>
      <c r="X3721" s="79" t="str">
        <f>IF(OR(TH!N3721=TH!$X$7,O3721=TH!$X$7),"x","")</f>
        <v/>
      </c>
      <c r="Y3721" s="79" t="str">
        <f>IF(AND(OR(N3721="131",O3721="131"),H3721='131-CT'!$H$9),"x","")</f>
        <v/>
      </c>
      <c r="Z3721" s="79"/>
      <c r="AA3721" s="79" t="str">
        <f>IF(AND(MONTH(E3721)='IN-NX'!$J$5,'IN-NX'!$D$7=D3721),"x","")</f>
        <v/>
      </c>
      <c r="AB3721" s="79" t="str">
        <f>IF(AND(OR(LEFT(TH!N3721,2)="15",LEFT(TH!O3721,2)="15"),LEFT(TH!O3721,3)&lt;&gt;"111",'152-CT'!$J$8=TH!F3721),"x","")</f>
        <v/>
      </c>
      <c r="AC3721" s="79" t="str">
        <f>IF(AND(OR(LEFT(TH!N3721,2)="15",LEFT(TH!O3721,2)="15"),TK!$E$7=TH!F3721),"x","")</f>
        <v/>
      </c>
      <c r="AD3721" s="79" t="str">
        <f>IF(AND(N3721="1521",MONTH(C3721)='BK-NL'!$M$11),"x","")</f>
        <v/>
      </c>
    </row>
    <row r="3722" spans="1:30" ht="16.5" customHeight="1">
      <c r="A3722" s="318" t="str">
        <f>IF(B3722&lt;&gt;"",IF(AND(B3722='IN-TC'!$S$4,OR(TH!N3722="1111",TH!O3722="1111")),TH!D3722,""),"")</f>
        <v/>
      </c>
      <c r="B3722" s="60" t="str">
        <f t="shared" si="409"/>
        <v/>
      </c>
      <c r="C3722" s="75"/>
      <c r="D3722" s="75"/>
      <c r="E3722" s="75"/>
      <c r="F3722" s="76"/>
      <c r="G3722" s="76"/>
      <c r="H3722" s="759"/>
      <c r="I3722" s="383"/>
      <c r="J3722" s="390"/>
      <c r="K3722" s="383"/>
      <c r="L3722" s="390"/>
      <c r="M3722" s="978"/>
      <c r="N3722" s="79"/>
      <c r="O3722" s="979"/>
      <c r="P3722" s="79" t="str">
        <f>IF(AND('331-CT'!$E$7=TH!H3722,OR(N3722="331",O3722="331")),"x","")</f>
        <v/>
      </c>
      <c r="Q3722" s="79" t="str">
        <f>IF(AND(B3722='111'!$L$11,OR($N3722=$Q$7,$O3722=$Q$7)),"x","")</f>
        <v/>
      </c>
      <c r="R3722" s="79" t="str">
        <f>IF(AND($N3722=$Q$7,$B3722&lt;'111'!$L$11),"x","")</f>
        <v/>
      </c>
      <c r="S3722" s="79" t="str">
        <f>IF(AND($O3722=$Q$7,$B3722&lt;'111'!$L$11),"x","")</f>
        <v/>
      </c>
      <c r="T3722" s="79" t="str">
        <f>IF(ISERROR(FIND('112'!$M$9,G3722,1)),"",IF((AND(FIND('112'!$M$9,G3722,1)&gt;=1,B3722='112'!$K$9,OR($N3722='112'!$I$6,$O3722='112'!$I$6))),"x",""))</f>
        <v/>
      </c>
      <c r="U3722" s="79" t="str">
        <f>IF(ISERROR(FIND('112'!$M$9,G3722,1)),"",IF((AND(LEFT(G3722,2)=LEFT('112'!$M$9,2),B3722&lt;'112'!$K$9,$N3722='112'!$I$6)),"x",""))</f>
        <v/>
      </c>
      <c r="V3722" s="79" t="str">
        <f>IF(ISERROR(FIND('112'!$M$9,G3722,1)),"",IF((AND(RIGHT(G3722,2)=RIGHT('112'!$M$9,2),B3722&lt;'112'!$K$9,$O3722='112'!$I$6)),"x",""))</f>
        <v/>
      </c>
      <c r="W3722" s="79" t="str">
        <f>IF(AND('341-CT'!$H$9=H3722,OR(LEFT(N3722,3)=$W$7,LEFT(O3722,3)=$W$7)),"x","")</f>
        <v/>
      </c>
      <c r="X3722" s="79" t="str">
        <f>IF(OR(TH!N3722=TH!$X$7,O3722=TH!$X$7),"x","")</f>
        <v/>
      </c>
      <c r="Y3722" s="79" t="str">
        <f>IF(AND(OR(N3722="131",O3722="131"),H3722='131-CT'!$H$9),"x","")</f>
        <v/>
      </c>
      <c r="Z3722" s="79"/>
      <c r="AA3722" s="79" t="str">
        <f>IF(AND(MONTH(E3722)='IN-NX'!$J$5,'IN-NX'!$D$7=D3722),"x","")</f>
        <v/>
      </c>
      <c r="AB3722" s="79" t="str">
        <f>IF(AND(OR(LEFT(TH!N3722,2)="15",LEFT(TH!O3722,2)="15"),LEFT(TH!O3722,3)&lt;&gt;"111",'152-CT'!$J$8=TH!F3722),"x","")</f>
        <v/>
      </c>
      <c r="AC3722" s="79" t="str">
        <f>IF(AND(OR(LEFT(TH!N3722,2)="15",LEFT(TH!O3722,2)="15"),TK!$E$7=TH!F3722),"x","")</f>
        <v/>
      </c>
      <c r="AD3722" s="79" t="str">
        <f>IF(AND(N3722="1521",MONTH(C3722)='BK-NL'!$M$11),"x","")</f>
        <v/>
      </c>
    </row>
    <row r="3723" spans="1:30" ht="16.5" customHeight="1">
      <c r="A3723" s="318" t="str">
        <f>IF(B3723&lt;&gt;"",IF(AND(B3723='IN-TC'!$S$4,OR(TH!N3723="1111",TH!O3723="1111")),TH!D3723,""),"")</f>
        <v/>
      </c>
      <c r="B3723" s="60" t="str">
        <f t="shared" si="409"/>
        <v/>
      </c>
      <c r="C3723" s="75"/>
      <c r="D3723" s="75"/>
      <c r="E3723" s="75"/>
      <c r="F3723" s="76"/>
      <c r="G3723" s="76"/>
      <c r="H3723" s="759"/>
      <c r="I3723" s="383"/>
      <c r="J3723" s="390"/>
      <c r="K3723" s="383"/>
      <c r="L3723" s="390"/>
      <c r="M3723" s="978"/>
      <c r="N3723" s="79"/>
      <c r="O3723" s="979"/>
      <c r="P3723" s="79" t="str">
        <f>IF(AND('331-CT'!$E$7=TH!H3723,OR(N3723="331",O3723="331")),"x","")</f>
        <v/>
      </c>
      <c r="Q3723" s="79" t="str">
        <f>IF(AND(B3723='111'!$L$11,OR($N3723=$Q$7,$O3723=$Q$7)),"x","")</f>
        <v/>
      </c>
      <c r="R3723" s="79" t="str">
        <f>IF(AND($N3723=$Q$7,$B3723&lt;'111'!$L$11),"x","")</f>
        <v/>
      </c>
      <c r="S3723" s="79" t="str">
        <f>IF(AND($O3723=$Q$7,$B3723&lt;'111'!$L$11),"x","")</f>
        <v/>
      </c>
      <c r="T3723" s="79" t="str">
        <f>IF(ISERROR(FIND('112'!$M$9,G3723,1)),"",IF((AND(FIND('112'!$M$9,G3723,1)&gt;=1,B3723='112'!$K$9,OR($N3723='112'!$I$6,$O3723='112'!$I$6))),"x",""))</f>
        <v/>
      </c>
      <c r="U3723" s="79" t="str">
        <f>IF(ISERROR(FIND('112'!$M$9,G3723,1)),"",IF((AND(LEFT(G3723,2)=LEFT('112'!$M$9,2),B3723&lt;'112'!$K$9,$N3723='112'!$I$6)),"x",""))</f>
        <v/>
      </c>
      <c r="V3723" s="79" t="str">
        <f>IF(ISERROR(FIND('112'!$M$9,G3723,1)),"",IF((AND(RIGHT(G3723,2)=RIGHT('112'!$M$9,2),B3723&lt;'112'!$K$9,$O3723='112'!$I$6)),"x",""))</f>
        <v/>
      </c>
      <c r="W3723" s="79" t="str">
        <f>IF(AND('341-CT'!$H$9=H3723,OR(LEFT(N3723,3)=$W$7,LEFT(O3723,3)=$W$7)),"x","")</f>
        <v/>
      </c>
      <c r="X3723" s="79" t="str">
        <f>IF(OR(TH!N3723=TH!$X$7,O3723=TH!$X$7),"x","")</f>
        <v/>
      </c>
      <c r="Y3723" s="79" t="str">
        <f>IF(AND(OR(N3723="131",O3723="131"),H3723='131-CT'!$H$9),"x","")</f>
        <v/>
      </c>
      <c r="Z3723" s="79"/>
      <c r="AA3723" s="79" t="str">
        <f>IF(AND(MONTH(E3723)='IN-NX'!$J$5,'IN-NX'!$D$7=D3723),"x","")</f>
        <v/>
      </c>
      <c r="AB3723" s="79" t="str">
        <f>IF(AND(OR(LEFT(TH!N3723,2)="15",LEFT(TH!O3723,2)="15"),LEFT(TH!O3723,3)&lt;&gt;"111",'152-CT'!$J$8=TH!F3723),"x","")</f>
        <v/>
      </c>
      <c r="AC3723" s="79" t="str">
        <f>IF(AND(OR(LEFT(TH!N3723,2)="15",LEFT(TH!O3723,2)="15"),TK!$E$7=TH!F3723),"x","")</f>
        <v/>
      </c>
      <c r="AD3723" s="79" t="str">
        <f>IF(AND(N3723="1521",MONTH(C3723)='BK-NL'!$M$11),"x","")</f>
        <v/>
      </c>
    </row>
    <row r="3724" spans="1:30" ht="16.5" customHeight="1">
      <c r="A3724" s="318" t="str">
        <f>IF(B3724&lt;&gt;"",IF(AND(B3724='IN-TC'!$S$4,OR(TH!N3724="1111",TH!O3724="1111")),TH!D3724,""),"")</f>
        <v/>
      </c>
      <c r="B3724" s="60" t="str">
        <f t="shared" si="409"/>
        <v/>
      </c>
      <c r="C3724" s="75"/>
      <c r="D3724" s="75"/>
      <c r="E3724" s="75"/>
      <c r="F3724" s="76"/>
      <c r="G3724" s="76"/>
      <c r="H3724" s="759"/>
      <c r="I3724" s="383"/>
      <c r="J3724" s="390"/>
      <c r="K3724" s="383"/>
      <c r="L3724" s="390"/>
      <c r="M3724" s="978"/>
      <c r="N3724" s="79"/>
      <c r="O3724" s="979"/>
      <c r="P3724" s="79" t="str">
        <f>IF(AND('331-CT'!$E$7=TH!H3724,OR(N3724="331",O3724="331")),"x","")</f>
        <v/>
      </c>
      <c r="Q3724" s="79" t="str">
        <f>IF(AND(B3724='111'!$L$11,OR($N3724=$Q$7,$O3724=$Q$7)),"x","")</f>
        <v/>
      </c>
      <c r="R3724" s="79" t="str">
        <f>IF(AND($N3724=$Q$7,$B3724&lt;'111'!$L$11),"x","")</f>
        <v/>
      </c>
      <c r="S3724" s="79" t="str">
        <f>IF(AND($O3724=$Q$7,$B3724&lt;'111'!$L$11),"x","")</f>
        <v/>
      </c>
      <c r="T3724" s="79" t="str">
        <f>IF(ISERROR(FIND('112'!$M$9,G3724,1)),"",IF((AND(FIND('112'!$M$9,G3724,1)&gt;=1,B3724='112'!$K$9,OR($N3724='112'!$I$6,$O3724='112'!$I$6))),"x",""))</f>
        <v/>
      </c>
      <c r="U3724" s="79" t="str">
        <f>IF(ISERROR(FIND('112'!$M$9,G3724,1)),"",IF((AND(LEFT(G3724,2)=LEFT('112'!$M$9,2),B3724&lt;'112'!$K$9,$N3724='112'!$I$6)),"x",""))</f>
        <v/>
      </c>
      <c r="V3724" s="79" t="str">
        <f>IF(ISERROR(FIND('112'!$M$9,G3724,1)),"",IF((AND(RIGHT(G3724,2)=RIGHT('112'!$M$9,2),B3724&lt;'112'!$K$9,$O3724='112'!$I$6)),"x",""))</f>
        <v/>
      </c>
      <c r="W3724" s="79" t="str">
        <f>IF(AND('341-CT'!$H$9=H3724,OR(LEFT(N3724,3)=$W$7,LEFT(O3724,3)=$W$7)),"x","")</f>
        <v/>
      </c>
      <c r="X3724" s="79" t="str">
        <f>IF(OR(TH!N3724=TH!$X$7,O3724=TH!$X$7),"x","")</f>
        <v/>
      </c>
      <c r="Y3724" s="79" t="str">
        <f>IF(AND(OR(N3724="131",O3724="131"),H3724='131-CT'!$H$9),"x","")</f>
        <v/>
      </c>
      <c r="Z3724" s="79"/>
      <c r="AA3724" s="79" t="str">
        <f>IF(AND(MONTH(E3724)='IN-NX'!$J$5,'IN-NX'!$D$7=D3724),"x","")</f>
        <v/>
      </c>
      <c r="AB3724" s="79" t="str">
        <f>IF(AND(OR(LEFT(TH!N3724,2)="15",LEFT(TH!O3724,2)="15"),LEFT(TH!O3724,3)&lt;&gt;"111",'152-CT'!$J$8=TH!F3724),"x","")</f>
        <v/>
      </c>
      <c r="AC3724" s="79" t="str">
        <f>IF(AND(OR(LEFT(TH!N3724,2)="15",LEFT(TH!O3724,2)="15"),TK!$E$7=TH!F3724),"x","")</f>
        <v/>
      </c>
      <c r="AD3724" s="79" t="str">
        <f>IF(AND(N3724="1521",MONTH(C3724)='BK-NL'!$M$11),"x","")</f>
        <v/>
      </c>
    </row>
    <row r="3725" spans="1:30" ht="16.5" customHeight="1">
      <c r="A3725" s="318" t="str">
        <f>IF(B3725&lt;&gt;"",IF(AND(B3725='IN-TC'!$S$4,OR(TH!N3725="1111",TH!O3725="1111")),TH!D3725,""),"")</f>
        <v/>
      </c>
      <c r="B3725" s="60" t="str">
        <f t="shared" si="409"/>
        <v/>
      </c>
      <c r="C3725" s="75"/>
      <c r="D3725" s="75"/>
      <c r="E3725" s="75"/>
      <c r="F3725" s="76"/>
      <c r="G3725" s="76"/>
      <c r="H3725" s="759"/>
      <c r="I3725" s="383"/>
      <c r="J3725" s="390"/>
      <c r="K3725" s="383"/>
      <c r="L3725" s="390"/>
      <c r="M3725" s="978"/>
      <c r="N3725" s="79"/>
      <c r="O3725" s="979"/>
      <c r="P3725" s="79" t="str">
        <f>IF(AND('331-CT'!$E$7=TH!H3725,OR(N3725="331",O3725="331")),"x","")</f>
        <v/>
      </c>
      <c r="Q3725" s="79" t="str">
        <f>IF(AND(B3725='111'!$L$11,OR($N3725=$Q$7,$O3725=$Q$7)),"x","")</f>
        <v/>
      </c>
      <c r="R3725" s="79" t="str">
        <f>IF(AND($N3725=$Q$7,$B3725&lt;'111'!$L$11),"x","")</f>
        <v/>
      </c>
      <c r="S3725" s="79" t="str">
        <f>IF(AND($O3725=$Q$7,$B3725&lt;'111'!$L$11),"x","")</f>
        <v/>
      </c>
      <c r="T3725" s="79" t="str">
        <f>IF(ISERROR(FIND('112'!$M$9,G3725,1)),"",IF((AND(FIND('112'!$M$9,G3725,1)&gt;=1,B3725='112'!$K$9,OR($N3725='112'!$I$6,$O3725='112'!$I$6))),"x",""))</f>
        <v/>
      </c>
      <c r="U3725" s="79" t="str">
        <f>IF(ISERROR(FIND('112'!$M$9,G3725,1)),"",IF((AND(LEFT(G3725,2)=LEFT('112'!$M$9,2),B3725&lt;'112'!$K$9,$N3725='112'!$I$6)),"x",""))</f>
        <v/>
      </c>
      <c r="V3725" s="79" t="str">
        <f>IF(ISERROR(FIND('112'!$M$9,G3725,1)),"",IF((AND(RIGHT(G3725,2)=RIGHT('112'!$M$9,2),B3725&lt;'112'!$K$9,$O3725='112'!$I$6)),"x",""))</f>
        <v/>
      </c>
      <c r="W3725" s="79" t="str">
        <f>IF(AND('341-CT'!$H$9=H3725,OR(LEFT(N3725,3)=$W$7,LEFT(O3725,3)=$W$7)),"x","")</f>
        <v/>
      </c>
      <c r="X3725" s="79" t="str">
        <f>IF(OR(TH!N3725=TH!$X$7,O3725=TH!$X$7),"x","")</f>
        <v/>
      </c>
      <c r="Y3725" s="79" t="str">
        <f>IF(AND(OR(N3725="131",O3725="131"),H3725='131-CT'!$H$9),"x","")</f>
        <v/>
      </c>
      <c r="Z3725" s="79"/>
      <c r="AA3725" s="79" t="str">
        <f>IF(AND(MONTH(E3725)='IN-NX'!$J$5,'IN-NX'!$D$7=D3725),"x","")</f>
        <v/>
      </c>
      <c r="AB3725" s="79" t="str">
        <f>IF(AND(OR(LEFT(TH!N3725,2)="15",LEFT(TH!O3725,2)="15"),LEFT(TH!O3725,3)&lt;&gt;"111",'152-CT'!$J$8=TH!F3725),"x","")</f>
        <v/>
      </c>
      <c r="AC3725" s="79" t="str">
        <f>IF(AND(OR(LEFT(TH!N3725,2)="15",LEFT(TH!O3725,2)="15"),TK!$E$7=TH!F3725),"x","")</f>
        <v/>
      </c>
      <c r="AD3725" s="79" t="str">
        <f>IF(AND(N3725="1521",MONTH(C3725)='BK-NL'!$M$11),"x","")</f>
        <v/>
      </c>
    </row>
    <row r="3726" spans="1:30" ht="16.5" customHeight="1">
      <c r="A3726" s="318" t="str">
        <f>IF(B3726&lt;&gt;"",IF(AND(B3726='IN-TC'!$S$4,OR(TH!N3726="1111",TH!O3726="1111")),TH!D3726,""),"")</f>
        <v/>
      </c>
      <c r="B3726" s="60" t="str">
        <f t="shared" si="409"/>
        <v/>
      </c>
      <c r="C3726" s="75"/>
      <c r="D3726" s="75"/>
      <c r="E3726" s="75"/>
      <c r="F3726" s="76"/>
      <c r="G3726" s="76"/>
      <c r="H3726" s="759"/>
      <c r="I3726" s="383"/>
      <c r="J3726" s="390"/>
      <c r="K3726" s="383"/>
      <c r="L3726" s="390"/>
      <c r="M3726" s="978"/>
      <c r="N3726" s="79"/>
      <c r="O3726" s="979"/>
      <c r="P3726" s="79" t="str">
        <f>IF(AND('331-CT'!$E$7=TH!H3726,OR(N3726="331",O3726="331")),"x","")</f>
        <v/>
      </c>
      <c r="Q3726" s="79" t="str">
        <f>IF(AND(B3726='111'!$L$11,OR($N3726=$Q$7,$O3726=$Q$7)),"x","")</f>
        <v/>
      </c>
      <c r="R3726" s="79" t="str">
        <f>IF(AND($N3726=$Q$7,$B3726&lt;'111'!$L$11),"x","")</f>
        <v/>
      </c>
      <c r="S3726" s="79" t="str">
        <f>IF(AND($O3726=$Q$7,$B3726&lt;'111'!$L$11),"x","")</f>
        <v/>
      </c>
      <c r="T3726" s="79" t="str">
        <f>IF(ISERROR(FIND('112'!$M$9,G3726,1)),"",IF((AND(FIND('112'!$M$9,G3726,1)&gt;=1,B3726='112'!$K$9,OR($N3726='112'!$I$6,$O3726='112'!$I$6))),"x",""))</f>
        <v/>
      </c>
      <c r="U3726" s="79" t="str">
        <f>IF(ISERROR(FIND('112'!$M$9,G3726,1)),"",IF((AND(LEFT(G3726,2)=LEFT('112'!$M$9,2),B3726&lt;'112'!$K$9,$N3726='112'!$I$6)),"x",""))</f>
        <v/>
      </c>
      <c r="V3726" s="79" t="str">
        <f>IF(ISERROR(FIND('112'!$M$9,G3726,1)),"",IF((AND(RIGHT(G3726,2)=RIGHT('112'!$M$9,2),B3726&lt;'112'!$K$9,$O3726='112'!$I$6)),"x",""))</f>
        <v/>
      </c>
      <c r="W3726" s="79" t="str">
        <f>IF(AND('341-CT'!$H$9=H3726,OR(LEFT(N3726,3)=$W$7,LEFT(O3726,3)=$W$7)),"x","")</f>
        <v/>
      </c>
      <c r="X3726" s="79" t="str">
        <f>IF(OR(TH!N3726=TH!$X$7,O3726=TH!$X$7),"x","")</f>
        <v/>
      </c>
      <c r="Y3726" s="79" t="str">
        <f>IF(AND(OR(N3726="131",O3726="131"),H3726='131-CT'!$H$9),"x","")</f>
        <v/>
      </c>
      <c r="Z3726" s="79"/>
      <c r="AA3726" s="79" t="str">
        <f>IF(AND(MONTH(E3726)='IN-NX'!$J$5,'IN-NX'!$D$7=D3726),"x","")</f>
        <v/>
      </c>
      <c r="AB3726" s="79" t="str">
        <f>IF(AND(OR(LEFT(TH!N3726,2)="15",LEFT(TH!O3726,2)="15"),LEFT(TH!O3726,3)&lt;&gt;"111",'152-CT'!$J$8=TH!F3726),"x","")</f>
        <v/>
      </c>
      <c r="AC3726" s="79" t="str">
        <f>IF(AND(OR(LEFT(TH!N3726,2)="15",LEFT(TH!O3726,2)="15"),TK!$E$7=TH!F3726),"x","")</f>
        <v/>
      </c>
      <c r="AD3726" s="79" t="str">
        <f>IF(AND(N3726="1521",MONTH(C3726)='BK-NL'!$M$11),"x","")</f>
        <v/>
      </c>
    </row>
    <row r="3727" spans="1:30" ht="16.5" customHeight="1">
      <c r="A3727" s="318" t="str">
        <f>IF(B3727&lt;&gt;"",IF(AND(B3727='IN-TC'!$S$4,OR(TH!N3727="1111",TH!O3727="1111")),TH!D3727,""),"")</f>
        <v/>
      </c>
      <c r="B3727" s="60" t="str">
        <f t="shared" si="409"/>
        <v/>
      </c>
      <c r="C3727" s="75"/>
      <c r="D3727" s="75"/>
      <c r="E3727" s="75"/>
      <c r="F3727" s="76"/>
      <c r="G3727" s="76"/>
      <c r="H3727" s="759"/>
      <c r="I3727" s="383"/>
      <c r="J3727" s="390"/>
      <c r="K3727" s="383"/>
      <c r="L3727" s="390"/>
      <c r="M3727" s="978"/>
      <c r="N3727" s="79"/>
      <c r="O3727" s="979"/>
      <c r="P3727" s="79" t="str">
        <f>IF(AND('331-CT'!$E$7=TH!H3727,OR(N3727="331",O3727="331")),"x","")</f>
        <v/>
      </c>
      <c r="Q3727" s="79" t="str">
        <f>IF(AND(B3727='111'!$L$11,OR($N3727=$Q$7,$O3727=$Q$7)),"x","")</f>
        <v/>
      </c>
      <c r="R3727" s="79" t="str">
        <f>IF(AND($N3727=$Q$7,$B3727&lt;'111'!$L$11),"x","")</f>
        <v/>
      </c>
      <c r="S3727" s="79" t="str">
        <f>IF(AND($O3727=$Q$7,$B3727&lt;'111'!$L$11),"x","")</f>
        <v/>
      </c>
      <c r="T3727" s="79" t="str">
        <f>IF(ISERROR(FIND('112'!$M$9,G3727,1)),"",IF((AND(FIND('112'!$M$9,G3727,1)&gt;=1,B3727='112'!$K$9,OR($N3727='112'!$I$6,$O3727='112'!$I$6))),"x",""))</f>
        <v/>
      </c>
      <c r="U3727" s="79" t="str">
        <f>IF(ISERROR(FIND('112'!$M$9,G3727,1)),"",IF((AND(LEFT(G3727,2)=LEFT('112'!$M$9,2),B3727&lt;'112'!$K$9,$N3727='112'!$I$6)),"x",""))</f>
        <v/>
      </c>
      <c r="V3727" s="79" t="str">
        <f>IF(ISERROR(FIND('112'!$M$9,G3727,1)),"",IF((AND(RIGHT(G3727,2)=RIGHT('112'!$M$9,2),B3727&lt;'112'!$K$9,$O3727='112'!$I$6)),"x",""))</f>
        <v/>
      </c>
      <c r="W3727" s="79" t="str">
        <f>IF(AND('341-CT'!$H$9=H3727,OR(LEFT(N3727,3)=$W$7,LEFT(O3727,3)=$W$7)),"x","")</f>
        <v/>
      </c>
      <c r="X3727" s="79" t="str">
        <f>IF(OR(TH!N3727=TH!$X$7,O3727=TH!$X$7),"x","")</f>
        <v/>
      </c>
      <c r="Y3727" s="79" t="str">
        <f>IF(AND(OR(N3727="131",O3727="131"),H3727='131-CT'!$H$9),"x","")</f>
        <v/>
      </c>
      <c r="Z3727" s="79"/>
      <c r="AA3727" s="79" t="str">
        <f>IF(AND(MONTH(E3727)='IN-NX'!$J$5,'IN-NX'!$D$7=D3727),"x","")</f>
        <v/>
      </c>
      <c r="AB3727" s="79" t="str">
        <f>IF(AND(OR(LEFT(TH!N3727,2)="15",LEFT(TH!O3727,2)="15"),LEFT(TH!O3727,3)&lt;&gt;"111",'152-CT'!$J$8=TH!F3727),"x","")</f>
        <v/>
      </c>
      <c r="AC3727" s="79" t="str">
        <f>IF(AND(OR(LEFT(TH!N3727,2)="15",LEFT(TH!O3727,2)="15"),TK!$E$7=TH!F3727),"x","")</f>
        <v/>
      </c>
      <c r="AD3727" s="79" t="str">
        <f>IF(AND(N3727="1521",MONTH(C3727)='BK-NL'!$M$11),"x","")</f>
        <v/>
      </c>
    </row>
    <row r="3728" spans="1:30" ht="16.5" customHeight="1">
      <c r="A3728" s="318" t="str">
        <f>IF(B3728&lt;&gt;"",IF(AND(B3728='IN-TC'!$S$4,OR(TH!N3728="1111",TH!O3728="1111")),TH!D3728,""),"")</f>
        <v/>
      </c>
      <c r="B3728" s="60" t="str">
        <f t="shared" si="409"/>
        <v/>
      </c>
      <c r="C3728" s="75"/>
      <c r="D3728" s="75"/>
      <c r="E3728" s="75"/>
      <c r="F3728" s="76"/>
      <c r="G3728" s="76"/>
      <c r="H3728" s="759"/>
      <c r="I3728" s="383"/>
      <c r="J3728" s="390"/>
      <c r="K3728" s="383"/>
      <c r="L3728" s="390"/>
      <c r="M3728" s="978"/>
      <c r="N3728" s="79"/>
      <c r="O3728" s="979"/>
      <c r="P3728" s="79" t="str">
        <f>IF(AND('331-CT'!$E$7=TH!H3728,OR(N3728="331",O3728="331")),"x","")</f>
        <v/>
      </c>
      <c r="Q3728" s="79" t="str">
        <f>IF(AND(B3728='111'!$L$11,OR($N3728=$Q$7,$O3728=$Q$7)),"x","")</f>
        <v/>
      </c>
      <c r="R3728" s="79" t="str">
        <f>IF(AND($N3728=$Q$7,$B3728&lt;'111'!$L$11),"x","")</f>
        <v/>
      </c>
      <c r="S3728" s="79" t="str">
        <f>IF(AND($O3728=$Q$7,$B3728&lt;'111'!$L$11),"x","")</f>
        <v/>
      </c>
      <c r="T3728" s="79" t="str">
        <f>IF(ISERROR(FIND('112'!$M$9,G3728,1)),"",IF((AND(FIND('112'!$M$9,G3728,1)&gt;=1,B3728='112'!$K$9,OR($N3728='112'!$I$6,$O3728='112'!$I$6))),"x",""))</f>
        <v/>
      </c>
      <c r="U3728" s="79" t="str">
        <f>IF(ISERROR(FIND('112'!$M$9,G3728,1)),"",IF((AND(LEFT(G3728,2)=LEFT('112'!$M$9,2),B3728&lt;'112'!$K$9,$N3728='112'!$I$6)),"x",""))</f>
        <v/>
      </c>
      <c r="V3728" s="79" t="str">
        <f>IF(ISERROR(FIND('112'!$M$9,G3728,1)),"",IF((AND(RIGHT(G3728,2)=RIGHT('112'!$M$9,2),B3728&lt;'112'!$K$9,$O3728='112'!$I$6)),"x",""))</f>
        <v/>
      </c>
      <c r="W3728" s="79" t="str">
        <f>IF(AND('341-CT'!$H$9=H3728,OR(LEFT(N3728,3)=$W$7,LEFT(O3728,3)=$W$7)),"x","")</f>
        <v/>
      </c>
      <c r="X3728" s="79" t="str">
        <f>IF(OR(TH!N3728=TH!$X$7,O3728=TH!$X$7),"x","")</f>
        <v/>
      </c>
      <c r="Y3728" s="79" t="str">
        <f>IF(AND(OR(N3728="131",O3728="131"),H3728='131-CT'!$H$9),"x","")</f>
        <v/>
      </c>
      <c r="Z3728" s="79"/>
      <c r="AA3728" s="79" t="str">
        <f>IF(AND(MONTH(E3728)='IN-NX'!$J$5,'IN-NX'!$D$7=D3728),"x","")</f>
        <v/>
      </c>
      <c r="AB3728" s="79" t="str">
        <f>IF(AND(OR(LEFT(TH!N3728,2)="15",LEFT(TH!O3728,2)="15"),LEFT(TH!O3728,3)&lt;&gt;"111",'152-CT'!$J$8=TH!F3728),"x","")</f>
        <v/>
      </c>
      <c r="AC3728" s="79" t="str">
        <f>IF(AND(OR(LEFT(TH!N3728,2)="15",LEFT(TH!O3728,2)="15"),TK!$E$7=TH!F3728),"x","")</f>
        <v/>
      </c>
      <c r="AD3728" s="79" t="str">
        <f>IF(AND(N3728="1521",MONTH(C3728)='BK-NL'!$M$11),"x","")</f>
        <v/>
      </c>
    </row>
    <row r="3729" spans="1:30" ht="16.5" customHeight="1">
      <c r="A3729" s="318" t="str">
        <f>IF(B3729&lt;&gt;"",IF(AND(B3729='IN-TC'!$S$4,OR(TH!N3729="1111",TH!O3729="1111")),TH!D3729,""),"")</f>
        <v/>
      </c>
      <c r="B3729" s="60" t="str">
        <f t="shared" si="409"/>
        <v/>
      </c>
      <c r="C3729" s="75"/>
      <c r="D3729" s="75"/>
      <c r="E3729" s="75"/>
      <c r="F3729" s="76"/>
      <c r="G3729" s="76"/>
      <c r="H3729" s="759"/>
      <c r="I3729" s="383"/>
      <c r="J3729" s="390"/>
      <c r="K3729" s="383"/>
      <c r="L3729" s="390"/>
      <c r="M3729" s="978"/>
      <c r="N3729" s="1262"/>
      <c r="O3729" s="979"/>
      <c r="P3729" s="79" t="str">
        <f>IF(AND('331-CT'!$E$7=TH!H3729,OR(N3729="331",O3729="331")),"x","")</f>
        <v/>
      </c>
      <c r="Q3729" s="79" t="str">
        <f>IF(AND(B3729='111'!$L$11,OR($N3729=$Q$7,$O3729=$Q$7)),"x","")</f>
        <v/>
      </c>
      <c r="R3729" s="79" t="str">
        <f>IF(AND($N3729=$Q$7,$B3729&lt;'111'!$L$11),"x","")</f>
        <v/>
      </c>
      <c r="S3729" s="79" t="str">
        <f>IF(AND($O3729=$Q$7,$B3729&lt;'111'!$L$11),"x","")</f>
        <v/>
      </c>
      <c r="T3729" s="79" t="str">
        <f>IF(ISERROR(FIND('112'!$M$9,G3729,1)),"",IF((AND(FIND('112'!$M$9,G3729,1)&gt;=1,B3729='112'!$K$9,OR($N3729='112'!$I$6,$O3729='112'!$I$6))),"x",""))</f>
        <v/>
      </c>
      <c r="U3729" s="79" t="str">
        <f>IF(ISERROR(FIND('112'!$M$9,G3729,1)),"",IF((AND(LEFT(G3729,2)=LEFT('112'!$M$9,2),B3729&lt;'112'!$K$9,$N3729='112'!$I$6)),"x",""))</f>
        <v/>
      </c>
      <c r="V3729" s="79" t="str">
        <f>IF(ISERROR(FIND('112'!$M$9,G3729,1)),"",IF((AND(RIGHT(G3729,2)=RIGHT('112'!$M$9,2),B3729&lt;'112'!$K$9,$O3729='112'!$I$6)),"x",""))</f>
        <v/>
      </c>
      <c r="W3729" s="79" t="str">
        <f>IF(AND('341-CT'!$H$9=H3729,OR(LEFT(N3729,3)=$W$7,LEFT(O3729,3)=$W$7)),"x","")</f>
        <v/>
      </c>
      <c r="X3729" s="79" t="str">
        <f>IF(OR(TH!N3729=TH!$X$7,O3729=TH!$X$7),"x","")</f>
        <v/>
      </c>
      <c r="Y3729" s="79" t="str">
        <f>IF(AND(OR(N3729="131",O3729="131"),H3729='131-CT'!$H$9),"x","")</f>
        <v/>
      </c>
      <c r="Z3729" s="79"/>
      <c r="AA3729" s="79" t="str">
        <f>IF(AND(MONTH(E3729)='IN-NX'!$J$5,'IN-NX'!$D$7=D3729),"x","")</f>
        <v/>
      </c>
      <c r="AB3729" s="79" t="str">
        <f>IF(AND(OR(LEFT(TH!N3729,2)="15",LEFT(TH!O3729,2)="15"),LEFT(TH!O3729,3)&lt;&gt;"111",'152-CT'!$J$8=TH!F3729),"x","")</f>
        <v/>
      </c>
      <c r="AC3729" s="79" t="str">
        <f>IF(AND(OR(LEFT(TH!N3729,2)="15",LEFT(TH!O3729,2)="15"),TK!$E$7=TH!F3729),"x","")</f>
        <v/>
      </c>
      <c r="AD3729" s="79" t="str">
        <f>IF(AND(N3729="1521",MONTH(C3729)='BK-NL'!$M$11),"x","")</f>
        <v/>
      </c>
    </row>
    <row r="3730" spans="1:30" ht="16.5" customHeight="1">
      <c r="A3730" s="318" t="str">
        <f>IF(B3730&lt;&gt;"",IF(AND(B3730='IN-TC'!$S$4,OR(TH!N3730="1111",TH!O3730="1111")),TH!D3730,""),"")</f>
        <v/>
      </c>
      <c r="B3730" s="60" t="str">
        <f t="shared" si="409"/>
        <v/>
      </c>
      <c r="C3730" s="75"/>
      <c r="D3730" s="75"/>
      <c r="E3730" s="75"/>
      <c r="F3730" s="76"/>
      <c r="G3730" s="76"/>
      <c r="H3730" s="759"/>
      <c r="I3730" s="383"/>
      <c r="J3730" s="390"/>
      <c r="K3730" s="383"/>
      <c r="L3730" s="390"/>
      <c r="M3730" s="978"/>
      <c r="N3730" s="79"/>
      <c r="O3730" s="79"/>
      <c r="P3730" s="79" t="str">
        <f>IF(AND('331-CT'!$E$7=TH!H3730,OR(N3730="331",O3730="331")),"x","")</f>
        <v/>
      </c>
      <c r="Q3730" s="79" t="str">
        <f>IF(AND(B3730='111'!$L$11,OR($N3730=$Q$7,$O3730=$Q$7)),"x","")</f>
        <v/>
      </c>
      <c r="R3730" s="79" t="str">
        <f>IF(AND($N3730=$Q$7,$B3730&lt;'111'!$L$11),"x","")</f>
        <v/>
      </c>
      <c r="S3730" s="79" t="str">
        <f>IF(AND($O3730=$Q$7,$B3730&lt;'111'!$L$11),"x","")</f>
        <v/>
      </c>
      <c r="T3730" s="79" t="str">
        <f>IF(ISERROR(FIND('112'!$M$9,G3730,1)),"",IF((AND(FIND('112'!$M$9,G3730,1)&gt;=1,B3730='112'!$K$9,OR($N3730='112'!$I$6,$O3730='112'!$I$6))),"x",""))</f>
        <v/>
      </c>
      <c r="U3730" s="79" t="str">
        <f>IF(ISERROR(FIND('112'!$M$9,G3730,1)),"",IF((AND(LEFT(G3730,2)=LEFT('112'!$M$9,2),B3730&lt;'112'!$K$9,$N3730='112'!$I$6)),"x",""))</f>
        <v/>
      </c>
      <c r="V3730" s="79" t="str">
        <f>IF(ISERROR(FIND('112'!$M$9,G3730,1)),"",IF((AND(RIGHT(G3730,2)=RIGHT('112'!$M$9,2),B3730&lt;'112'!$K$9,$O3730='112'!$I$6)),"x",""))</f>
        <v/>
      </c>
      <c r="W3730" s="79" t="str">
        <f>IF(AND('341-CT'!$H$9=H3730,OR(LEFT(N3730,3)=$W$7,LEFT(O3730,3)=$W$7)),"x","")</f>
        <v/>
      </c>
      <c r="X3730" s="79" t="str">
        <f>IF(OR(TH!N3730=TH!$X$7,O3730=TH!$X$7),"x","")</f>
        <v/>
      </c>
      <c r="Y3730" s="79" t="str">
        <f>IF(AND(OR(N3730="131",O3730="131"),H3730='131-CT'!$H$9),"x","")</f>
        <v/>
      </c>
      <c r="Z3730" s="79"/>
      <c r="AA3730" s="79" t="str">
        <f>IF(AND(MONTH(E3730)='IN-NX'!$J$5,'IN-NX'!$D$7=D3730),"x","")</f>
        <v/>
      </c>
      <c r="AB3730" s="79" t="str">
        <f>IF(AND(OR(LEFT(TH!N3730,2)="15",LEFT(TH!O3730,2)="15"),LEFT(TH!O3730,3)&lt;&gt;"111",'152-CT'!$J$8=TH!F3730),"x","")</f>
        <v/>
      </c>
      <c r="AC3730" s="79" t="str">
        <f>IF(AND(OR(LEFT(TH!N3730,2)="15",LEFT(TH!O3730,2)="15"),TK!$E$7=TH!F3730),"x","")</f>
        <v/>
      </c>
      <c r="AD3730" s="79" t="str">
        <f>IF(AND(N3730="1521",MONTH(C3730)='BK-NL'!$M$11),"x","")</f>
        <v/>
      </c>
    </row>
    <row r="3731" spans="1:30" ht="16.5" customHeight="1">
      <c r="A3731" s="318" t="str">
        <f>IF(B3731&lt;&gt;"",IF(AND(B3731='IN-TC'!$S$4,OR(TH!N3731="1111",TH!O3731="1111")),TH!D3731,""),"")</f>
        <v/>
      </c>
      <c r="B3731" s="60" t="str">
        <f t="shared" si="409"/>
        <v/>
      </c>
      <c r="C3731" s="75"/>
      <c r="D3731" s="75"/>
      <c r="E3731" s="75"/>
      <c r="F3731" s="76"/>
      <c r="G3731" s="76"/>
      <c r="H3731" s="759"/>
      <c r="I3731" s="383"/>
      <c r="J3731" s="390"/>
      <c r="K3731" s="383"/>
      <c r="L3731" s="390"/>
      <c r="M3731" s="978"/>
      <c r="N3731" s="79"/>
      <c r="O3731" s="979"/>
      <c r="P3731" s="79" t="str">
        <f>IF(AND('331-CT'!$E$7=TH!H3731,OR(N3731="331",O3731="331")),"x","")</f>
        <v/>
      </c>
      <c r="Q3731" s="79" t="str">
        <f>IF(AND(B3731='111'!$L$11,OR($N3731=$Q$7,$O3731=$Q$7)),"x","")</f>
        <v/>
      </c>
      <c r="R3731" s="79" t="str">
        <f>IF(AND($N3731=$Q$7,$B3731&lt;'111'!$L$11),"x","")</f>
        <v/>
      </c>
      <c r="S3731" s="79" t="str">
        <f>IF(AND($O3731=$Q$7,$B3731&lt;'111'!$L$11),"x","")</f>
        <v/>
      </c>
      <c r="T3731" s="79" t="str">
        <f>IF(ISERROR(FIND('112'!$M$9,G3731,1)),"",IF((AND(FIND('112'!$M$9,G3731,1)&gt;=1,B3731='112'!$K$9,OR($N3731='112'!$I$6,$O3731='112'!$I$6))),"x",""))</f>
        <v/>
      </c>
      <c r="U3731" s="79" t="str">
        <f>IF(ISERROR(FIND('112'!$M$9,G3731,1)),"",IF((AND(LEFT(G3731,2)=LEFT('112'!$M$9,2),B3731&lt;'112'!$K$9,$N3731='112'!$I$6)),"x",""))</f>
        <v/>
      </c>
      <c r="V3731" s="79" t="str">
        <f>IF(ISERROR(FIND('112'!$M$9,G3731,1)),"",IF((AND(RIGHT(G3731,2)=RIGHT('112'!$M$9,2),B3731&lt;'112'!$K$9,$O3731='112'!$I$6)),"x",""))</f>
        <v/>
      </c>
      <c r="W3731" s="79" t="str">
        <f>IF(AND('341-CT'!$H$9=H3731,OR(LEFT(N3731,3)=$W$7,LEFT(O3731,3)=$W$7)),"x","")</f>
        <v/>
      </c>
      <c r="X3731" s="79" t="str">
        <f>IF(OR(TH!N3731=TH!$X$7,O3731=TH!$X$7),"x","")</f>
        <v/>
      </c>
      <c r="Y3731" s="79" t="str">
        <f>IF(AND(OR(N3731="131",O3731="131"),H3731='131-CT'!$H$9),"x","")</f>
        <v/>
      </c>
      <c r="Z3731" s="79"/>
      <c r="AA3731" s="79" t="str">
        <f>IF(AND(MONTH(E3731)='IN-NX'!$J$5,'IN-NX'!$D$7=D3731),"x","")</f>
        <v/>
      </c>
      <c r="AB3731" s="79" t="str">
        <f>IF(AND(OR(LEFT(TH!N3731,2)="15",LEFT(TH!O3731,2)="15"),LEFT(TH!O3731,3)&lt;&gt;"111",'152-CT'!$J$8=TH!F3731),"x","")</f>
        <v/>
      </c>
      <c r="AC3731" s="79" t="str">
        <f>IF(AND(OR(LEFT(TH!N3731,2)="15",LEFT(TH!O3731,2)="15"),TK!$E$7=TH!F3731),"x","")</f>
        <v/>
      </c>
      <c r="AD3731" s="79" t="str">
        <f>IF(AND(N3731="1521",MONTH(C3731)='BK-NL'!$M$11),"x","")</f>
        <v/>
      </c>
    </row>
    <row r="3732" spans="1:30" ht="16.5" customHeight="1">
      <c r="A3732" s="318" t="str">
        <f>IF(B3732&lt;&gt;"",IF(AND(B3732='IN-TC'!$S$4,OR(TH!N3732="1111",TH!O3732="1111")),TH!D3732,""),"")</f>
        <v/>
      </c>
      <c r="B3732" s="60" t="str">
        <f t="shared" si="409"/>
        <v/>
      </c>
      <c r="C3732" s="75"/>
      <c r="D3732" s="75"/>
      <c r="E3732" s="75"/>
      <c r="F3732" s="76"/>
      <c r="G3732" s="76"/>
      <c r="H3732" s="759"/>
      <c r="I3732" s="383"/>
      <c r="J3732" s="390"/>
      <c r="K3732" s="383"/>
      <c r="L3732" s="390"/>
      <c r="M3732" s="978"/>
      <c r="N3732" s="79"/>
      <c r="O3732" s="979"/>
      <c r="P3732" s="79" t="str">
        <f>IF(AND('331-CT'!$E$7=TH!H3732,OR(N3732="331",O3732="331")),"x","")</f>
        <v/>
      </c>
      <c r="Q3732" s="79" t="str">
        <f>IF(AND(B3732='111'!$L$11,OR($N3732=$Q$7,$O3732=$Q$7)),"x","")</f>
        <v/>
      </c>
      <c r="R3732" s="79" t="str">
        <f>IF(AND($N3732=$Q$7,$B3732&lt;'111'!$L$11),"x","")</f>
        <v/>
      </c>
      <c r="S3732" s="79" t="str">
        <f>IF(AND($O3732=$Q$7,$B3732&lt;'111'!$L$11),"x","")</f>
        <v/>
      </c>
      <c r="T3732" s="79" t="str">
        <f>IF(ISERROR(FIND('112'!$M$9,G3732,1)),"",IF((AND(FIND('112'!$M$9,G3732,1)&gt;=1,B3732='112'!$K$9,OR($N3732='112'!$I$6,$O3732='112'!$I$6))),"x",""))</f>
        <v/>
      </c>
      <c r="U3732" s="79" t="str">
        <f>IF(ISERROR(FIND('112'!$M$9,G3732,1)),"",IF((AND(LEFT(G3732,2)=LEFT('112'!$M$9,2),B3732&lt;'112'!$K$9,$N3732='112'!$I$6)),"x",""))</f>
        <v/>
      </c>
      <c r="V3732" s="79" t="str">
        <f>IF(ISERROR(FIND('112'!$M$9,G3732,1)),"",IF((AND(RIGHT(G3732,2)=RIGHT('112'!$M$9,2),B3732&lt;'112'!$K$9,$O3732='112'!$I$6)),"x",""))</f>
        <v/>
      </c>
      <c r="W3732" s="79" t="str">
        <f>IF(AND('341-CT'!$H$9=H3732,OR(LEFT(N3732,3)=$W$7,LEFT(O3732,3)=$W$7)),"x","")</f>
        <v/>
      </c>
      <c r="X3732" s="79" t="str">
        <f>IF(OR(TH!N3732=TH!$X$7,O3732=TH!$X$7),"x","")</f>
        <v/>
      </c>
      <c r="Y3732" s="79" t="str">
        <f>IF(AND(OR(N3732="131",O3732="131"),H3732='131-CT'!$H$9),"x","")</f>
        <v/>
      </c>
      <c r="Z3732" s="79"/>
      <c r="AA3732" s="79" t="str">
        <f>IF(AND(MONTH(E3732)='IN-NX'!$J$5,'IN-NX'!$D$7=D3732),"x","")</f>
        <v/>
      </c>
      <c r="AB3732" s="79" t="str">
        <f>IF(AND(OR(LEFT(TH!N3732,2)="15",LEFT(TH!O3732,2)="15"),LEFT(TH!O3732,3)&lt;&gt;"111",'152-CT'!$J$8=TH!F3732),"x","")</f>
        <v/>
      </c>
      <c r="AC3732" s="79" t="str">
        <f>IF(AND(OR(LEFT(TH!N3732,2)="15",LEFT(TH!O3732,2)="15"),TK!$E$7=TH!F3732),"x","")</f>
        <v/>
      </c>
      <c r="AD3732" s="79" t="str">
        <f>IF(AND(N3732="1521",MONTH(C3732)='BK-NL'!$M$11),"x","")</f>
        <v/>
      </c>
    </row>
    <row r="3733" spans="1:30" ht="16.5" customHeight="1">
      <c r="A3733" s="318" t="str">
        <f>IF(B3733&lt;&gt;"",IF(AND(B3733='IN-TC'!$S$4,OR(TH!N3733="1111",TH!O3733="1111")),TH!D3733,""),"")</f>
        <v/>
      </c>
      <c r="B3733" s="60" t="str">
        <f t="shared" si="409"/>
        <v/>
      </c>
      <c r="C3733" s="75"/>
      <c r="D3733" s="75"/>
      <c r="E3733" s="75"/>
      <c r="F3733" s="76"/>
      <c r="G3733" s="76"/>
      <c r="H3733" s="759"/>
      <c r="I3733" s="383"/>
      <c r="J3733" s="390"/>
      <c r="K3733" s="383"/>
      <c r="L3733" s="390"/>
      <c r="M3733" s="978"/>
      <c r="N3733" s="79"/>
      <c r="O3733" s="979"/>
      <c r="P3733" s="79" t="str">
        <f>IF(AND('331-CT'!$E$7=TH!H3733,OR(N3733="331",O3733="331")),"x","")</f>
        <v/>
      </c>
      <c r="Q3733" s="79" t="str">
        <f>IF(AND(B3733='111'!$L$11,OR($N3733=$Q$7,$O3733=$Q$7)),"x","")</f>
        <v/>
      </c>
      <c r="R3733" s="79" t="str">
        <f>IF(AND($N3733=$Q$7,$B3733&lt;'111'!$L$11),"x","")</f>
        <v/>
      </c>
      <c r="S3733" s="79" t="str">
        <f>IF(AND($O3733=$Q$7,$B3733&lt;'111'!$L$11),"x","")</f>
        <v/>
      </c>
      <c r="T3733" s="79" t="str">
        <f>IF(ISERROR(FIND('112'!$M$9,G3733,1)),"",IF((AND(FIND('112'!$M$9,G3733,1)&gt;=1,B3733='112'!$K$9,OR($N3733='112'!$I$6,$O3733='112'!$I$6))),"x",""))</f>
        <v/>
      </c>
      <c r="U3733" s="79" t="str">
        <f>IF(ISERROR(FIND('112'!$M$9,G3733,1)),"",IF((AND(LEFT(G3733,2)=LEFT('112'!$M$9,2),B3733&lt;'112'!$K$9,$N3733='112'!$I$6)),"x",""))</f>
        <v/>
      </c>
      <c r="V3733" s="79" t="str">
        <f>IF(ISERROR(FIND('112'!$M$9,G3733,1)),"",IF((AND(RIGHT(G3733,2)=RIGHT('112'!$M$9,2),B3733&lt;'112'!$K$9,$O3733='112'!$I$6)),"x",""))</f>
        <v/>
      </c>
      <c r="W3733" s="79" t="str">
        <f>IF(AND('341-CT'!$H$9=H3733,OR(LEFT(N3733,3)=$W$7,LEFT(O3733,3)=$W$7)),"x","")</f>
        <v/>
      </c>
      <c r="X3733" s="79" t="str">
        <f>IF(OR(TH!N3733=TH!$X$7,O3733=TH!$X$7),"x","")</f>
        <v/>
      </c>
      <c r="Y3733" s="79" t="str">
        <f>IF(AND(OR(N3733="131",O3733="131"),H3733='131-CT'!$H$9),"x","")</f>
        <v/>
      </c>
      <c r="Z3733" s="79"/>
      <c r="AA3733" s="79" t="str">
        <f>IF(AND(MONTH(E3733)='IN-NX'!$J$5,'IN-NX'!$D$7=D3733),"x","")</f>
        <v/>
      </c>
      <c r="AB3733" s="79" t="str">
        <f>IF(AND(OR(LEFT(TH!N3733,2)="15",LEFT(TH!O3733,2)="15"),LEFT(TH!O3733,3)&lt;&gt;"111",'152-CT'!$J$8=TH!F3733),"x","")</f>
        <v/>
      </c>
      <c r="AC3733" s="79" t="str">
        <f>IF(AND(OR(LEFT(TH!N3733,2)="15",LEFT(TH!O3733,2)="15"),TK!$E$7=TH!F3733),"x","")</f>
        <v/>
      </c>
      <c r="AD3733" s="79" t="str">
        <f>IF(AND(N3733="1521",MONTH(C3733)='BK-NL'!$M$11),"x","")</f>
        <v/>
      </c>
    </row>
    <row r="3734" spans="1:30" ht="16.5" customHeight="1">
      <c r="A3734" s="318" t="str">
        <f>IF(B3734&lt;&gt;"",IF(AND(B3734='IN-TC'!$S$4,OR(TH!N3734="1111",TH!O3734="1111")),TH!D3734,""),"")</f>
        <v/>
      </c>
      <c r="B3734" s="60" t="str">
        <f t="shared" si="409"/>
        <v/>
      </c>
      <c r="C3734" s="75"/>
      <c r="D3734" s="75"/>
      <c r="E3734" s="75"/>
      <c r="F3734" s="76"/>
      <c r="G3734" s="76"/>
      <c r="H3734" s="759"/>
      <c r="I3734" s="383"/>
      <c r="J3734" s="390"/>
      <c r="K3734" s="383"/>
      <c r="L3734" s="390"/>
      <c r="M3734" s="978"/>
      <c r="N3734" s="79"/>
      <c r="O3734" s="979"/>
      <c r="P3734" s="79" t="str">
        <f>IF(AND('331-CT'!$E$7=TH!H3734,OR(N3734="331",O3734="331")),"x","")</f>
        <v/>
      </c>
      <c r="Q3734" s="79" t="str">
        <f>IF(AND(B3734='111'!$L$11,OR($N3734=$Q$7,$O3734=$Q$7)),"x","")</f>
        <v/>
      </c>
      <c r="R3734" s="79" t="str">
        <f>IF(AND($N3734=$Q$7,$B3734&lt;'111'!$L$11),"x","")</f>
        <v/>
      </c>
      <c r="S3734" s="79" t="str">
        <f>IF(AND($O3734=$Q$7,$B3734&lt;'111'!$L$11),"x","")</f>
        <v/>
      </c>
      <c r="T3734" s="79" t="str">
        <f>IF(ISERROR(FIND('112'!$M$9,G3734,1)),"",IF((AND(FIND('112'!$M$9,G3734,1)&gt;=1,B3734='112'!$K$9,OR($N3734='112'!$I$6,$O3734='112'!$I$6))),"x",""))</f>
        <v/>
      </c>
      <c r="U3734" s="79" t="str">
        <f>IF(ISERROR(FIND('112'!$M$9,G3734,1)),"",IF((AND(LEFT(G3734,2)=LEFT('112'!$M$9,2),B3734&lt;'112'!$K$9,$N3734='112'!$I$6)),"x",""))</f>
        <v/>
      </c>
      <c r="V3734" s="79" t="str">
        <f>IF(ISERROR(FIND('112'!$M$9,G3734,1)),"",IF((AND(RIGHT(G3734,2)=RIGHT('112'!$M$9,2),B3734&lt;'112'!$K$9,$O3734='112'!$I$6)),"x",""))</f>
        <v/>
      </c>
      <c r="W3734" s="79" t="str">
        <f>IF(AND('341-CT'!$H$9=H3734,OR(LEFT(N3734,3)=$W$7,LEFT(O3734,3)=$W$7)),"x","")</f>
        <v/>
      </c>
      <c r="X3734" s="79" t="str">
        <f>IF(OR(TH!N3734=TH!$X$7,O3734=TH!$X$7),"x","")</f>
        <v/>
      </c>
      <c r="Y3734" s="79" t="str">
        <f>IF(AND(OR(N3734="131",O3734="131"),H3734='131-CT'!$H$9),"x","")</f>
        <v/>
      </c>
      <c r="Z3734" s="79"/>
      <c r="AA3734" s="79" t="str">
        <f>IF(AND(MONTH(E3734)='IN-NX'!$J$5,'IN-NX'!$D$7=D3734),"x","")</f>
        <v/>
      </c>
      <c r="AB3734" s="79" t="str">
        <f>IF(AND(OR(LEFT(TH!N3734,2)="15",LEFT(TH!O3734,2)="15"),LEFT(TH!O3734,3)&lt;&gt;"111",'152-CT'!$J$8=TH!F3734),"x","")</f>
        <v/>
      </c>
      <c r="AC3734" s="79" t="str">
        <f>IF(AND(OR(LEFT(TH!N3734,2)="15",LEFT(TH!O3734,2)="15"),TK!$E$7=TH!F3734),"x","")</f>
        <v/>
      </c>
      <c r="AD3734" s="79" t="str">
        <f>IF(AND(N3734="1521",MONTH(C3734)='BK-NL'!$M$11),"x","")</f>
        <v/>
      </c>
    </row>
    <row r="3735" spans="1:30" ht="16.5" customHeight="1">
      <c r="A3735" s="318" t="str">
        <f>IF(B3735&lt;&gt;"",IF(AND(B3735='IN-TC'!$S$4,OR(TH!N3735="1111",TH!O3735="1111")),TH!D3735,""),"")</f>
        <v/>
      </c>
      <c r="B3735" s="60" t="str">
        <f t="shared" si="409"/>
        <v/>
      </c>
      <c r="C3735" s="75"/>
      <c r="D3735" s="75"/>
      <c r="E3735" s="75"/>
      <c r="F3735" s="76"/>
      <c r="G3735" s="76"/>
      <c r="H3735" s="759"/>
      <c r="I3735" s="383"/>
      <c r="J3735" s="390"/>
      <c r="K3735" s="383"/>
      <c r="L3735" s="390"/>
      <c r="M3735" s="978"/>
      <c r="N3735" s="79"/>
      <c r="O3735" s="979"/>
      <c r="P3735" s="79" t="str">
        <f>IF(AND('331-CT'!$E$7=TH!H3735,OR(N3735="331",O3735="331")),"x","")</f>
        <v/>
      </c>
      <c r="Q3735" s="79" t="str">
        <f>IF(AND(B3735='111'!$L$11,OR($N3735=$Q$7,$O3735=$Q$7)),"x","")</f>
        <v/>
      </c>
      <c r="R3735" s="79" t="str">
        <f>IF(AND($N3735=$Q$7,$B3735&lt;'111'!$L$11),"x","")</f>
        <v/>
      </c>
      <c r="S3735" s="79" t="str">
        <f>IF(AND($O3735=$Q$7,$B3735&lt;'111'!$L$11),"x","")</f>
        <v/>
      </c>
      <c r="T3735" s="79" t="str">
        <f>IF(ISERROR(FIND('112'!$M$9,G3735,1)),"",IF((AND(FIND('112'!$M$9,G3735,1)&gt;=1,B3735='112'!$K$9,OR($N3735='112'!$I$6,$O3735='112'!$I$6))),"x",""))</f>
        <v/>
      </c>
      <c r="U3735" s="79" t="str">
        <f>IF(ISERROR(FIND('112'!$M$9,G3735,1)),"",IF((AND(LEFT(G3735,2)=LEFT('112'!$M$9,2),B3735&lt;'112'!$K$9,$N3735='112'!$I$6)),"x",""))</f>
        <v/>
      </c>
      <c r="V3735" s="79" t="str">
        <f>IF(ISERROR(FIND('112'!$M$9,G3735,1)),"",IF((AND(RIGHT(G3735,2)=RIGHT('112'!$M$9,2),B3735&lt;'112'!$K$9,$O3735='112'!$I$6)),"x",""))</f>
        <v/>
      </c>
      <c r="W3735" s="79" t="str">
        <f>IF(AND('341-CT'!$H$9=H3735,OR(LEFT(N3735,3)=$W$7,LEFT(O3735,3)=$W$7)),"x","")</f>
        <v/>
      </c>
      <c r="X3735" s="79" t="str">
        <f>IF(OR(TH!N3735=TH!$X$7,O3735=TH!$X$7),"x","")</f>
        <v/>
      </c>
      <c r="Y3735" s="79" t="str">
        <f>IF(AND(OR(N3735="131",O3735="131"),H3735='131-CT'!$H$9),"x","")</f>
        <v/>
      </c>
      <c r="Z3735" s="79"/>
      <c r="AA3735" s="79" t="str">
        <f>IF(AND(MONTH(E3735)='IN-NX'!$J$5,'IN-NX'!$D$7=D3735),"x","")</f>
        <v/>
      </c>
      <c r="AB3735" s="79" t="str">
        <f>IF(AND(OR(LEFT(TH!N3735,2)="15",LEFT(TH!O3735,2)="15"),LEFT(TH!O3735,3)&lt;&gt;"111",'152-CT'!$J$8=TH!F3735),"x","")</f>
        <v/>
      </c>
      <c r="AC3735" s="79" t="str">
        <f>IF(AND(OR(LEFT(TH!N3735,2)="15",LEFT(TH!O3735,2)="15"),TK!$E$7=TH!F3735),"x","")</f>
        <v/>
      </c>
      <c r="AD3735" s="79" t="str">
        <f>IF(AND(N3735="1521",MONTH(C3735)='BK-NL'!$M$11),"x","")</f>
        <v/>
      </c>
    </row>
    <row r="3736" spans="1:30" ht="16.5" customHeight="1">
      <c r="A3736" s="318" t="str">
        <f>IF(B3736&lt;&gt;"",IF(AND(B3736='IN-TC'!$S$4,OR(TH!N3736="1111",TH!O3736="1111")),TH!D3736,""),"")</f>
        <v/>
      </c>
      <c r="B3736" s="60" t="str">
        <f t="shared" si="409"/>
        <v/>
      </c>
      <c r="C3736" s="75"/>
      <c r="D3736" s="75"/>
      <c r="E3736" s="75"/>
      <c r="F3736" s="76"/>
      <c r="G3736" s="76"/>
      <c r="H3736" s="759"/>
      <c r="I3736" s="383"/>
      <c r="J3736" s="390"/>
      <c r="K3736" s="383"/>
      <c r="L3736" s="390"/>
      <c r="M3736" s="978"/>
      <c r="N3736" s="79"/>
      <c r="O3736" s="979"/>
      <c r="P3736" s="79" t="str">
        <f>IF(AND('331-CT'!$E$7=TH!H3736,OR(N3736="331",O3736="331")),"x","")</f>
        <v/>
      </c>
      <c r="Q3736" s="79" t="str">
        <f>IF(AND(B3736='111'!$L$11,OR($N3736=$Q$7,$O3736=$Q$7)),"x","")</f>
        <v/>
      </c>
      <c r="R3736" s="79" t="str">
        <f>IF(AND($N3736=$Q$7,$B3736&lt;'111'!$L$11),"x","")</f>
        <v/>
      </c>
      <c r="S3736" s="79" t="str">
        <f>IF(AND($O3736=$Q$7,$B3736&lt;'111'!$L$11),"x","")</f>
        <v/>
      </c>
      <c r="T3736" s="79" t="str">
        <f>IF(ISERROR(FIND('112'!$M$9,G3736,1)),"",IF((AND(FIND('112'!$M$9,G3736,1)&gt;=1,B3736='112'!$K$9,OR($N3736='112'!$I$6,$O3736='112'!$I$6))),"x",""))</f>
        <v/>
      </c>
      <c r="U3736" s="79" t="str">
        <f>IF(ISERROR(FIND('112'!$M$9,G3736,1)),"",IF((AND(LEFT(G3736,2)=LEFT('112'!$M$9,2),B3736&lt;'112'!$K$9,$N3736='112'!$I$6)),"x",""))</f>
        <v/>
      </c>
      <c r="V3736" s="79" t="str">
        <f>IF(ISERROR(FIND('112'!$M$9,G3736,1)),"",IF((AND(RIGHT(G3736,2)=RIGHT('112'!$M$9,2),B3736&lt;'112'!$K$9,$O3736='112'!$I$6)),"x",""))</f>
        <v/>
      </c>
      <c r="W3736" s="79" t="str">
        <f>IF(AND('341-CT'!$H$9=H3736,OR(LEFT(N3736,3)=$W$7,LEFT(O3736,3)=$W$7)),"x","")</f>
        <v/>
      </c>
      <c r="X3736" s="79" t="str">
        <f>IF(OR(TH!N3736=TH!$X$7,O3736=TH!$X$7),"x","")</f>
        <v/>
      </c>
      <c r="Y3736" s="79" t="str">
        <f>IF(AND(OR(N3736="131",O3736="131"),H3736='131-CT'!$H$9),"x","")</f>
        <v/>
      </c>
      <c r="Z3736" s="79"/>
      <c r="AA3736" s="79" t="str">
        <f>IF(AND(MONTH(E3736)='IN-NX'!$J$5,'IN-NX'!$D$7=D3736),"x","")</f>
        <v/>
      </c>
      <c r="AB3736" s="79" t="str">
        <f>IF(AND(OR(LEFT(TH!N3736,2)="15",LEFT(TH!O3736,2)="15"),LEFT(TH!O3736,3)&lt;&gt;"111",'152-CT'!$J$8=TH!F3736),"x","")</f>
        <v/>
      </c>
      <c r="AC3736" s="79" t="str">
        <f>IF(AND(OR(LEFT(TH!N3736,2)="15",LEFT(TH!O3736,2)="15"),TK!$E$7=TH!F3736),"x","")</f>
        <v/>
      </c>
      <c r="AD3736" s="79" t="str">
        <f>IF(AND(N3736="1521",MONTH(C3736)='BK-NL'!$M$11),"x","")</f>
        <v/>
      </c>
    </row>
    <row r="3737" spans="1:30" ht="16.5" customHeight="1">
      <c r="A3737" s="318" t="str">
        <f>IF(B3737&lt;&gt;"",IF(AND(B3737='IN-TC'!$S$4,OR(TH!N3737="1111",TH!O3737="1111")),TH!D3737,""),"")</f>
        <v/>
      </c>
      <c r="B3737" s="60" t="str">
        <f t="shared" si="409"/>
        <v/>
      </c>
      <c r="C3737" s="75"/>
      <c r="D3737" s="75"/>
      <c r="E3737" s="75"/>
      <c r="F3737" s="76"/>
      <c r="G3737" s="76"/>
      <c r="H3737" s="759"/>
      <c r="I3737" s="383"/>
      <c r="J3737" s="390"/>
      <c r="K3737" s="383"/>
      <c r="L3737" s="390"/>
      <c r="M3737" s="978"/>
      <c r="N3737" s="79"/>
      <c r="O3737" s="979"/>
      <c r="P3737" s="79" t="str">
        <f>IF(AND('331-CT'!$E$7=TH!H3737,OR(N3737="331",O3737="331")),"x","")</f>
        <v/>
      </c>
      <c r="Q3737" s="79" t="str">
        <f>IF(AND(B3737='111'!$L$11,OR($N3737=$Q$7,$O3737=$Q$7)),"x","")</f>
        <v/>
      </c>
      <c r="R3737" s="79" t="str">
        <f>IF(AND($N3737=$Q$7,$B3737&lt;'111'!$L$11),"x","")</f>
        <v/>
      </c>
      <c r="S3737" s="79" t="str">
        <f>IF(AND($O3737=$Q$7,$B3737&lt;'111'!$L$11),"x","")</f>
        <v/>
      </c>
      <c r="T3737" s="79" t="str">
        <f>IF(ISERROR(FIND('112'!$M$9,G3737,1)),"",IF((AND(FIND('112'!$M$9,G3737,1)&gt;=1,B3737='112'!$K$9,OR($N3737='112'!$I$6,$O3737='112'!$I$6))),"x",""))</f>
        <v/>
      </c>
      <c r="U3737" s="79" t="str">
        <f>IF(ISERROR(FIND('112'!$M$9,G3737,1)),"",IF((AND(LEFT(G3737,2)=LEFT('112'!$M$9,2),B3737&lt;'112'!$K$9,$N3737='112'!$I$6)),"x",""))</f>
        <v/>
      </c>
      <c r="V3737" s="79" t="str">
        <f>IF(ISERROR(FIND('112'!$M$9,G3737,1)),"",IF((AND(RIGHT(G3737,2)=RIGHT('112'!$M$9,2),B3737&lt;'112'!$K$9,$O3737='112'!$I$6)),"x",""))</f>
        <v/>
      </c>
      <c r="W3737" s="79" t="str">
        <f>IF(AND('341-CT'!$H$9=H3737,OR(LEFT(N3737,3)=$W$7,LEFT(O3737,3)=$W$7)),"x","")</f>
        <v/>
      </c>
      <c r="X3737" s="79" t="str">
        <f>IF(OR(TH!N3737=TH!$X$7,O3737=TH!$X$7),"x","")</f>
        <v/>
      </c>
      <c r="Y3737" s="79" t="str">
        <f>IF(AND(OR(N3737="131",O3737="131"),H3737='131-CT'!$H$9),"x","")</f>
        <v/>
      </c>
      <c r="Z3737" s="79"/>
      <c r="AA3737" s="79" t="str">
        <f>IF(AND(MONTH(E3737)='IN-NX'!$J$5,'IN-NX'!$D$7=D3737),"x","")</f>
        <v/>
      </c>
      <c r="AB3737" s="79" t="str">
        <f>IF(AND(OR(LEFT(TH!N3737,2)="15",LEFT(TH!O3737,2)="15"),LEFT(TH!O3737,3)&lt;&gt;"111",'152-CT'!$J$8=TH!F3737),"x","")</f>
        <v/>
      </c>
      <c r="AC3737" s="79" t="str">
        <f>IF(AND(OR(LEFT(TH!N3737,2)="15",LEFT(TH!O3737,2)="15"),TK!$E$7=TH!F3737),"x","")</f>
        <v/>
      </c>
      <c r="AD3737" s="79" t="str">
        <f>IF(AND(N3737="1521",MONTH(C3737)='BK-NL'!$M$11),"x","")</f>
        <v/>
      </c>
    </row>
    <row r="3738" spans="1:30" ht="16.5" customHeight="1">
      <c r="A3738" s="318" t="str">
        <f>IF(B3738&lt;&gt;"",IF(AND(B3738='IN-TC'!$S$4,OR(TH!N3738="1111",TH!O3738="1111")),TH!D3738,""),"")</f>
        <v/>
      </c>
      <c r="B3738" s="60" t="str">
        <f t="shared" si="409"/>
        <v/>
      </c>
      <c r="C3738" s="75"/>
      <c r="D3738" s="75"/>
      <c r="E3738" s="75"/>
      <c r="F3738" s="76"/>
      <c r="G3738" s="76"/>
      <c r="H3738" s="759"/>
      <c r="I3738" s="383"/>
      <c r="J3738" s="390"/>
      <c r="K3738" s="383"/>
      <c r="L3738" s="390"/>
      <c r="M3738" s="978"/>
      <c r="N3738" s="79"/>
      <c r="O3738" s="979"/>
      <c r="P3738" s="79" t="str">
        <f>IF(AND('331-CT'!$E$7=TH!H3738,OR(N3738="331",O3738="331")),"x","")</f>
        <v/>
      </c>
      <c r="Q3738" s="79" t="str">
        <f>IF(AND(B3738='111'!$L$11,OR($N3738=$Q$7,$O3738=$Q$7)),"x","")</f>
        <v/>
      </c>
      <c r="R3738" s="79" t="str">
        <f>IF(AND($N3738=$Q$7,$B3738&lt;'111'!$L$11),"x","")</f>
        <v/>
      </c>
      <c r="S3738" s="79" t="str">
        <f>IF(AND($O3738=$Q$7,$B3738&lt;'111'!$L$11),"x","")</f>
        <v/>
      </c>
      <c r="T3738" s="79" t="str">
        <f>IF(ISERROR(FIND('112'!$M$9,G3738,1)),"",IF((AND(FIND('112'!$M$9,G3738,1)&gt;=1,B3738='112'!$K$9,OR($N3738='112'!$I$6,$O3738='112'!$I$6))),"x",""))</f>
        <v/>
      </c>
      <c r="U3738" s="79" t="str">
        <f>IF(ISERROR(FIND('112'!$M$9,G3738,1)),"",IF((AND(LEFT(G3738,2)=LEFT('112'!$M$9,2),B3738&lt;'112'!$K$9,$N3738='112'!$I$6)),"x",""))</f>
        <v/>
      </c>
      <c r="V3738" s="79" t="str">
        <f>IF(ISERROR(FIND('112'!$M$9,G3738,1)),"",IF((AND(RIGHT(G3738,2)=RIGHT('112'!$M$9,2),B3738&lt;'112'!$K$9,$O3738='112'!$I$6)),"x",""))</f>
        <v/>
      </c>
      <c r="W3738" s="79" t="str">
        <f>IF(AND('341-CT'!$H$9=H3738,OR(LEFT(N3738,3)=$W$7,LEFT(O3738,3)=$W$7)),"x","")</f>
        <v/>
      </c>
      <c r="X3738" s="79" t="str">
        <f>IF(OR(TH!N3738=TH!$X$7,O3738=TH!$X$7),"x","")</f>
        <v/>
      </c>
      <c r="Y3738" s="79" t="str">
        <f>IF(AND(OR(N3738="131",O3738="131"),H3738='131-CT'!$H$9),"x","")</f>
        <v/>
      </c>
      <c r="Z3738" s="79"/>
      <c r="AA3738" s="79" t="str">
        <f>IF(AND(MONTH(E3738)='IN-NX'!$J$5,'IN-NX'!$D$7=D3738),"x","")</f>
        <v/>
      </c>
      <c r="AB3738" s="79" t="str">
        <f>IF(AND(OR(LEFT(TH!N3738,2)="15",LEFT(TH!O3738,2)="15"),LEFT(TH!O3738,3)&lt;&gt;"111",'152-CT'!$J$8=TH!F3738),"x","")</f>
        <v/>
      </c>
      <c r="AC3738" s="79" t="str">
        <f>IF(AND(OR(LEFT(TH!N3738,2)="15",LEFT(TH!O3738,2)="15"),TK!$E$7=TH!F3738),"x","")</f>
        <v/>
      </c>
      <c r="AD3738" s="79" t="str">
        <f>IF(AND(N3738="1521",MONTH(C3738)='BK-NL'!$M$11),"x","")</f>
        <v/>
      </c>
    </row>
    <row r="3739" spans="1:30" ht="16.5" customHeight="1">
      <c r="A3739" s="318" t="str">
        <f>IF(B3739&lt;&gt;"",IF(AND(B3739='IN-TC'!$S$4,OR(TH!N3739="1111",TH!O3739="1111")),TH!D3739,""),"")</f>
        <v/>
      </c>
      <c r="B3739" s="60" t="str">
        <f t="shared" si="409"/>
        <v/>
      </c>
      <c r="C3739" s="75"/>
      <c r="D3739" s="75"/>
      <c r="E3739" s="75"/>
      <c r="F3739" s="76"/>
      <c r="G3739" s="76"/>
      <c r="H3739" s="759"/>
      <c r="I3739" s="383"/>
      <c r="J3739" s="390"/>
      <c r="K3739" s="383"/>
      <c r="L3739" s="390"/>
      <c r="M3739" s="978"/>
      <c r="N3739" s="79"/>
      <c r="O3739" s="979"/>
      <c r="P3739" s="79" t="str">
        <f>IF(AND('331-CT'!$E$7=TH!H3739,OR(N3739="331",O3739="331")),"x","")</f>
        <v/>
      </c>
      <c r="Q3739" s="79" t="str">
        <f>IF(AND(B3739='111'!$L$11,OR($N3739=$Q$7,$O3739=$Q$7)),"x","")</f>
        <v/>
      </c>
      <c r="R3739" s="79" t="str">
        <f>IF(AND($N3739=$Q$7,$B3739&lt;'111'!$L$11),"x","")</f>
        <v/>
      </c>
      <c r="S3739" s="79" t="str">
        <f>IF(AND($O3739=$Q$7,$B3739&lt;'111'!$L$11),"x","")</f>
        <v/>
      </c>
      <c r="T3739" s="79" t="str">
        <f>IF(ISERROR(FIND('112'!$M$9,G3739,1)),"",IF((AND(FIND('112'!$M$9,G3739,1)&gt;=1,B3739='112'!$K$9,OR($N3739='112'!$I$6,$O3739='112'!$I$6))),"x",""))</f>
        <v/>
      </c>
      <c r="U3739" s="79" t="str">
        <f>IF(ISERROR(FIND('112'!$M$9,G3739,1)),"",IF((AND(LEFT(G3739,2)=LEFT('112'!$M$9,2),B3739&lt;'112'!$K$9,$N3739='112'!$I$6)),"x",""))</f>
        <v/>
      </c>
      <c r="V3739" s="79" t="str">
        <f>IF(ISERROR(FIND('112'!$M$9,G3739,1)),"",IF((AND(RIGHT(G3739,2)=RIGHT('112'!$M$9,2),B3739&lt;'112'!$K$9,$O3739='112'!$I$6)),"x",""))</f>
        <v/>
      </c>
      <c r="W3739" s="79" t="str">
        <f>IF(AND('341-CT'!$H$9=H3739,OR(LEFT(N3739,3)=$W$7,LEFT(O3739,3)=$W$7)),"x","")</f>
        <v/>
      </c>
      <c r="X3739" s="79" t="str">
        <f>IF(OR(TH!N3739=TH!$X$7,O3739=TH!$X$7),"x","")</f>
        <v/>
      </c>
      <c r="Y3739" s="79" t="str">
        <f>IF(AND(OR(N3739="131",O3739="131"),H3739='131-CT'!$H$9),"x","")</f>
        <v/>
      </c>
      <c r="Z3739" s="79"/>
      <c r="AA3739" s="79" t="str">
        <f>IF(AND(MONTH(E3739)='IN-NX'!$J$5,'IN-NX'!$D$7=D3739),"x","")</f>
        <v/>
      </c>
      <c r="AB3739" s="79" t="str">
        <f>IF(AND(OR(LEFT(TH!N3739,2)="15",LEFT(TH!O3739,2)="15"),LEFT(TH!O3739,3)&lt;&gt;"111",'152-CT'!$J$8=TH!F3739),"x","")</f>
        <v/>
      </c>
      <c r="AC3739" s="79" t="str">
        <f>IF(AND(OR(LEFT(TH!N3739,2)="15",LEFT(TH!O3739,2)="15"),TK!$E$7=TH!F3739),"x","")</f>
        <v/>
      </c>
      <c r="AD3739" s="79" t="str">
        <f>IF(AND(N3739="1521",MONTH(C3739)='BK-NL'!$M$11),"x","")</f>
        <v/>
      </c>
    </row>
    <row r="3740" spans="1:30" ht="16.5" customHeight="1">
      <c r="A3740" s="318" t="str">
        <f>IF(B3740&lt;&gt;"",IF(AND(B3740='IN-TC'!$S$4,OR(TH!N3740="1111",TH!O3740="1111")),TH!D3740,""),"")</f>
        <v/>
      </c>
      <c r="B3740" s="60" t="str">
        <f t="shared" si="409"/>
        <v/>
      </c>
      <c r="C3740" s="75"/>
      <c r="D3740" s="75"/>
      <c r="E3740" s="75"/>
      <c r="F3740" s="76"/>
      <c r="G3740" s="76"/>
      <c r="H3740" s="759"/>
      <c r="I3740" s="383"/>
      <c r="J3740" s="390"/>
      <c r="K3740" s="383"/>
      <c r="L3740" s="390"/>
      <c r="M3740" s="978"/>
      <c r="N3740" s="79"/>
      <c r="O3740" s="979"/>
      <c r="P3740" s="79" t="str">
        <f>IF(AND('331-CT'!$E$7=TH!H3740,OR(N3740="331",O3740="331")),"x","")</f>
        <v/>
      </c>
      <c r="Q3740" s="79" t="str">
        <f>IF(AND(B3740='111'!$L$11,OR($N3740=$Q$7,$O3740=$Q$7)),"x","")</f>
        <v/>
      </c>
      <c r="R3740" s="79" t="str">
        <f>IF(AND($N3740=$Q$7,$B3740&lt;'111'!$L$11),"x","")</f>
        <v/>
      </c>
      <c r="S3740" s="79" t="str">
        <f>IF(AND($O3740=$Q$7,$B3740&lt;'111'!$L$11),"x","")</f>
        <v/>
      </c>
      <c r="T3740" s="79" t="str">
        <f>IF(ISERROR(FIND('112'!$M$9,G3740,1)),"",IF((AND(FIND('112'!$M$9,G3740,1)&gt;=1,B3740='112'!$K$9,OR($N3740='112'!$I$6,$O3740='112'!$I$6))),"x",""))</f>
        <v/>
      </c>
      <c r="U3740" s="79" t="str">
        <f>IF(ISERROR(FIND('112'!$M$9,G3740,1)),"",IF((AND(LEFT(G3740,2)=LEFT('112'!$M$9,2),B3740&lt;'112'!$K$9,$N3740='112'!$I$6)),"x",""))</f>
        <v/>
      </c>
      <c r="V3740" s="79" t="str">
        <f>IF(ISERROR(FIND('112'!$M$9,G3740,1)),"",IF((AND(RIGHT(G3740,2)=RIGHT('112'!$M$9,2),B3740&lt;'112'!$K$9,$O3740='112'!$I$6)),"x",""))</f>
        <v/>
      </c>
      <c r="W3740" s="79" t="str">
        <f>IF(AND('341-CT'!$H$9=H3740,OR(LEFT(N3740,3)=$W$7,LEFT(O3740,3)=$W$7)),"x","")</f>
        <v/>
      </c>
      <c r="X3740" s="79" t="str">
        <f>IF(OR(TH!N3740=TH!$X$7,O3740=TH!$X$7),"x","")</f>
        <v/>
      </c>
      <c r="Y3740" s="79" t="str">
        <f>IF(AND(OR(N3740="131",O3740="131"),H3740='131-CT'!$H$9),"x","")</f>
        <v/>
      </c>
      <c r="Z3740" s="79"/>
      <c r="AA3740" s="79" t="str">
        <f>IF(AND(MONTH(E3740)='IN-NX'!$J$5,'IN-NX'!$D$7=D3740),"x","")</f>
        <v/>
      </c>
      <c r="AB3740" s="79" t="str">
        <f>IF(AND(OR(LEFT(TH!N3740,2)="15",LEFT(TH!O3740,2)="15"),LEFT(TH!O3740,3)&lt;&gt;"111",'152-CT'!$J$8=TH!F3740),"x","")</f>
        <v/>
      </c>
      <c r="AC3740" s="79" t="str">
        <f>IF(AND(OR(LEFT(TH!N3740,2)="15",LEFT(TH!O3740,2)="15"),TK!$E$7=TH!F3740),"x","")</f>
        <v/>
      </c>
      <c r="AD3740" s="79" t="str">
        <f>IF(AND(N3740="1521",MONTH(C3740)='BK-NL'!$M$11),"x","")</f>
        <v/>
      </c>
    </row>
    <row r="3741" spans="1:30" ht="16.5" customHeight="1">
      <c r="A3741" s="318" t="str">
        <f>IF(B3741&lt;&gt;"",IF(AND(B3741='IN-TC'!$S$4,OR(TH!N3741="1111",TH!O3741="1111")),TH!D3741,""),"")</f>
        <v/>
      </c>
      <c r="B3741" s="60" t="str">
        <f t="shared" si="409"/>
        <v/>
      </c>
      <c r="C3741" s="75"/>
      <c r="D3741" s="75"/>
      <c r="E3741" s="75"/>
      <c r="F3741" s="76"/>
      <c r="G3741" s="76"/>
      <c r="H3741" s="759"/>
      <c r="I3741" s="383"/>
      <c r="J3741" s="390"/>
      <c r="K3741" s="383"/>
      <c r="L3741" s="390"/>
      <c r="M3741" s="978"/>
      <c r="N3741" s="1262"/>
      <c r="O3741" s="79"/>
      <c r="P3741" s="79" t="str">
        <f>IF(AND('331-CT'!$E$7=TH!H3741,OR(N3741="331",O3741="331")),"x","")</f>
        <v/>
      </c>
      <c r="Q3741" s="79" t="str">
        <f>IF(AND(B3741='111'!$L$11,OR($N3741=$Q$7,$O3741=$Q$7)),"x","")</f>
        <v/>
      </c>
      <c r="R3741" s="79" t="str">
        <f>IF(AND($N3741=$Q$7,$B3741&lt;'111'!$L$11),"x","")</f>
        <v/>
      </c>
      <c r="S3741" s="79" t="str">
        <f>IF(AND($O3741=$Q$7,$B3741&lt;'111'!$L$11),"x","")</f>
        <v/>
      </c>
      <c r="T3741" s="79" t="str">
        <f>IF(ISERROR(FIND('112'!$M$9,G3741,1)),"",IF((AND(FIND('112'!$M$9,G3741,1)&gt;=1,B3741='112'!$K$9,OR($N3741='112'!$I$6,$O3741='112'!$I$6))),"x",""))</f>
        <v/>
      </c>
      <c r="U3741" s="79" t="str">
        <f>IF(ISERROR(FIND('112'!$M$9,G3741,1)),"",IF((AND(LEFT(G3741,2)=LEFT('112'!$M$9,2),B3741&lt;'112'!$K$9,$N3741='112'!$I$6)),"x",""))</f>
        <v/>
      </c>
      <c r="V3741" s="79" t="str">
        <f>IF(ISERROR(FIND('112'!$M$9,G3741,1)),"",IF((AND(RIGHT(G3741,2)=RIGHT('112'!$M$9,2),B3741&lt;'112'!$K$9,$O3741='112'!$I$6)),"x",""))</f>
        <v/>
      </c>
      <c r="W3741" s="79" t="str">
        <f>IF(AND('341-CT'!$H$9=H3741,OR(LEFT(N3741,3)=$W$7,LEFT(O3741,3)=$W$7)),"x","")</f>
        <v/>
      </c>
      <c r="X3741" s="79" t="str">
        <f>IF(OR(TH!N3741=TH!$X$7,O3741=TH!$X$7),"x","")</f>
        <v/>
      </c>
      <c r="Y3741" s="79" t="str">
        <f>IF(AND(OR(N3741="131",O3741="131"),H3741='131-CT'!$H$9),"x","")</f>
        <v/>
      </c>
      <c r="Z3741" s="79"/>
      <c r="AA3741" s="79" t="str">
        <f>IF(AND(MONTH(E3741)='IN-NX'!$J$5,'IN-NX'!$D$7=D3741),"x","")</f>
        <v/>
      </c>
      <c r="AB3741" s="79" t="str">
        <f>IF(AND(OR(LEFT(TH!N3741,2)="15",LEFT(TH!O3741,2)="15"),LEFT(TH!O3741,3)&lt;&gt;"111",'152-CT'!$J$8=TH!F3741),"x","")</f>
        <v/>
      </c>
      <c r="AC3741" s="79" t="str">
        <f>IF(AND(OR(LEFT(TH!N3741,2)="15",LEFT(TH!O3741,2)="15"),TK!$E$7=TH!F3741),"x","")</f>
        <v/>
      </c>
      <c r="AD3741" s="79" t="str">
        <f>IF(AND(N3741="1521",MONTH(C3741)='BK-NL'!$M$11),"x","")</f>
        <v/>
      </c>
    </row>
    <row r="3742" spans="1:30" ht="16.5" customHeight="1">
      <c r="A3742" s="318" t="str">
        <f>IF(B3742&lt;&gt;"",IF(AND(B3742='IN-TC'!$S$4,OR(TH!N3742="1111",TH!O3742="1111")),TH!D3742,""),"")</f>
        <v/>
      </c>
      <c r="B3742" s="60" t="str">
        <f t="shared" si="409"/>
        <v/>
      </c>
      <c r="C3742" s="75"/>
      <c r="D3742" s="75"/>
      <c r="E3742" s="75"/>
      <c r="F3742" s="76"/>
      <c r="G3742" s="76"/>
      <c r="H3742" s="759"/>
      <c r="I3742" s="383"/>
      <c r="J3742" s="390"/>
      <c r="K3742" s="383"/>
      <c r="L3742" s="390"/>
      <c r="M3742" s="978"/>
      <c r="N3742" s="79"/>
      <c r="O3742" s="979"/>
      <c r="P3742" s="79" t="str">
        <f>IF(AND('331-CT'!$E$7=TH!H3742,OR(N3742="331",O3742="331")),"x","")</f>
        <v/>
      </c>
      <c r="Q3742" s="79" t="str">
        <f>IF(AND(B3742='111'!$L$11,OR($N3742=$Q$7,$O3742=$Q$7)),"x","")</f>
        <v/>
      </c>
      <c r="R3742" s="79" t="str">
        <f>IF(AND($N3742=$Q$7,$B3742&lt;'111'!$L$11),"x","")</f>
        <v/>
      </c>
      <c r="S3742" s="79" t="str">
        <f>IF(AND($O3742=$Q$7,$B3742&lt;'111'!$L$11),"x","")</f>
        <v/>
      </c>
      <c r="T3742" s="79" t="str">
        <f>IF(ISERROR(FIND('112'!$M$9,G3742,1)),"",IF((AND(FIND('112'!$M$9,G3742,1)&gt;=1,B3742='112'!$K$9,OR($N3742='112'!$I$6,$O3742='112'!$I$6))),"x",""))</f>
        <v/>
      </c>
      <c r="U3742" s="79" t="str">
        <f>IF(ISERROR(FIND('112'!$M$9,G3742,1)),"",IF((AND(LEFT(G3742,2)=LEFT('112'!$M$9,2),B3742&lt;'112'!$K$9,$N3742='112'!$I$6)),"x",""))</f>
        <v/>
      </c>
      <c r="V3742" s="79" t="str">
        <f>IF(ISERROR(FIND('112'!$M$9,G3742,1)),"",IF((AND(RIGHT(G3742,2)=RIGHT('112'!$M$9,2),B3742&lt;'112'!$K$9,$O3742='112'!$I$6)),"x",""))</f>
        <v/>
      </c>
      <c r="W3742" s="79" t="str">
        <f>IF(AND('341-CT'!$H$9=H3742,OR(LEFT(N3742,3)=$W$7,LEFT(O3742,3)=$W$7)),"x","")</f>
        <v/>
      </c>
      <c r="X3742" s="79" t="str">
        <f>IF(OR(TH!N3742=TH!$X$7,O3742=TH!$X$7),"x","")</f>
        <v/>
      </c>
      <c r="Y3742" s="79" t="str">
        <f>IF(AND(OR(N3742="131",O3742="131"),H3742='131-CT'!$H$9),"x","")</f>
        <v/>
      </c>
      <c r="Z3742" s="79"/>
      <c r="AA3742" s="79" t="str">
        <f>IF(AND(MONTH(E3742)='IN-NX'!$J$5,'IN-NX'!$D$7=D3742),"x","")</f>
        <v/>
      </c>
      <c r="AB3742" s="79" t="str">
        <f>IF(AND(OR(LEFT(TH!N3742,2)="15",LEFT(TH!O3742,2)="15"),LEFT(TH!O3742,3)&lt;&gt;"111",'152-CT'!$J$8=TH!F3742),"x","")</f>
        <v/>
      </c>
      <c r="AC3742" s="79" t="str">
        <f>IF(AND(OR(LEFT(TH!N3742,2)="15",LEFT(TH!O3742,2)="15"),TK!$E$7=TH!F3742),"x","")</f>
        <v/>
      </c>
      <c r="AD3742" s="79" t="str">
        <f>IF(AND(N3742="1521",MONTH(C3742)='BK-NL'!$M$11),"x","")</f>
        <v/>
      </c>
    </row>
    <row r="3743" spans="1:30" ht="16.5" customHeight="1">
      <c r="A3743" s="318" t="str">
        <f>IF(B3743&lt;&gt;"",IF(AND(B3743='IN-TC'!$S$4,OR(TH!N3743="1111",TH!O3743="1111")),TH!D3743,""),"")</f>
        <v/>
      </c>
      <c r="B3743" s="60" t="str">
        <f t="shared" si="409"/>
        <v/>
      </c>
      <c r="C3743" s="75"/>
      <c r="D3743" s="75"/>
      <c r="E3743" s="75"/>
      <c r="F3743" s="76"/>
      <c r="G3743" s="76"/>
      <c r="H3743" s="77"/>
      <c r="I3743" s="383"/>
      <c r="J3743" s="390"/>
      <c r="K3743" s="1247"/>
      <c r="L3743" s="390"/>
      <c r="M3743" s="978"/>
      <c r="N3743" s="79"/>
      <c r="O3743" s="79"/>
      <c r="P3743" s="79" t="str">
        <f>IF(AND('331-CT'!$E$7=TH!H3743,OR(N3743="331",O3743="331")),"x","")</f>
        <v/>
      </c>
      <c r="Q3743" s="79" t="str">
        <f>IF(AND(B3743='111'!$L$11,OR($N3743=$Q$7,$O3743=$Q$7)),"x","")</f>
        <v/>
      </c>
      <c r="R3743" s="79" t="str">
        <f>IF(AND($N3743=$Q$7,$B3743&lt;'111'!$L$11),"x","")</f>
        <v/>
      </c>
      <c r="S3743" s="79" t="str">
        <f>IF(AND($O3743=$Q$7,$B3743&lt;'111'!$L$11),"x","")</f>
        <v/>
      </c>
      <c r="T3743" s="79" t="str">
        <f>IF(ISERROR(FIND('112'!$M$9,G3743,1)),"",IF((AND(FIND('112'!$M$9,G3743,1)&gt;=1,B3743='112'!$K$9,OR($N3743='112'!$I$6,$O3743='112'!$I$6))),"x",""))</f>
        <v/>
      </c>
      <c r="U3743" s="79" t="str">
        <f>IF(ISERROR(FIND('112'!$M$9,G3743,1)),"",IF((AND(LEFT(G3743,2)=LEFT('112'!$M$9,2),B3743&lt;'112'!$K$9,$N3743='112'!$I$6)),"x",""))</f>
        <v/>
      </c>
      <c r="V3743" s="79" t="str">
        <f>IF(ISERROR(FIND('112'!$M$9,G3743,1)),"",IF((AND(RIGHT(G3743,2)=RIGHT('112'!$M$9,2),B3743&lt;'112'!$K$9,$O3743='112'!$I$6)),"x",""))</f>
        <v/>
      </c>
      <c r="W3743" s="79" t="str">
        <f>IF(AND('341-CT'!$H$9=H3743,OR(LEFT(N3743,3)=$W$7,LEFT(O3743,3)=$W$7)),"x","")</f>
        <v/>
      </c>
      <c r="X3743" s="79" t="str">
        <f>IF(OR(TH!N3743=TH!$X$7,O3743=TH!$X$7),"x","")</f>
        <v/>
      </c>
      <c r="Y3743" s="79" t="str">
        <f>IF(AND(OR(N3743="131",O3743="131"),H3743='131-CT'!$H$9),"x","")</f>
        <v/>
      </c>
      <c r="Z3743" s="79"/>
      <c r="AA3743" s="79" t="str">
        <f>IF(AND(MONTH(E3743)='IN-NX'!$J$5,'IN-NX'!$D$7=D3743),"x","")</f>
        <v/>
      </c>
      <c r="AB3743" s="79" t="str">
        <f>IF(AND(OR(LEFT(TH!N3743,2)="15",LEFT(TH!O3743,2)="15"),LEFT(TH!O3743,3)&lt;&gt;"111",'152-CT'!$J$8=TH!F3743),"x","")</f>
        <v/>
      </c>
      <c r="AC3743" s="79" t="str">
        <f>IF(AND(OR(LEFT(TH!N3743,2)="15",LEFT(TH!O3743,2)="15"),TK!$E$7=TH!F3743),"x","")</f>
        <v/>
      </c>
      <c r="AD3743" s="79" t="str">
        <f>IF(AND(N3743="1521",MONTH(C3743)='BK-NL'!$M$11),"x","")</f>
        <v/>
      </c>
    </row>
    <row r="3744" spans="1:30" ht="16.5" customHeight="1">
      <c r="A3744" s="318" t="str">
        <f>IF(B3744&lt;&gt;"",IF(AND(B3744='IN-TC'!$S$4,OR(TH!N3744="1111",TH!O3744="1111")),TH!D3744,""),"")</f>
        <v/>
      </c>
      <c r="B3744" s="60" t="str">
        <f t="shared" si="409"/>
        <v/>
      </c>
      <c r="C3744" s="75"/>
      <c r="D3744" s="75"/>
      <c r="E3744" s="75"/>
      <c r="F3744" s="76"/>
      <c r="G3744" s="76"/>
      <c r="H3744" s="77"/>
      <c r="I3744" s="383"/>
      <c r="J3744" s="390"/>
      <c r="K3744" s="1247"/>
      <c r="L3744" s="390"/>
      <c r="M3744" s="978"/>
      <c r="N3744" s="79"/>
      <c r="O3744" s="79"/>
      <c r="P3744" s="79" t="str">
        <f>IF(AND('331-CT'!$E$7=TH!H3744,OR(N3744="331",O3744="331")),"x","")</f>
        <v/>
      </c>
      <c r="Q3744" s="79" t="str">
        <f>IF(AND(B3744='111'!$L$11,OR($N3744=$Q$7,$O3744=$Q$7)),"x","")</f>
        <v/>
      </c>
      <c r="R3744" s="79" t="str">
        <f>IF(AND($N3744=$Q$7,$B3744&lt;'111'!$L$11),"x","")</f>
        <v/>
      </c>
      <c r="S3744" s="79" t="str">
        <f>IF(AND($O3744=$Q$7,$B3744&lt;'111'!$L$11),"x","")</f>
        <v/>
      </c>
      <c r="T3744" s="79" t="str">
        <f>IF(ISERROR(FIND('112'!$M$9,G3744,1)),"",IF((AND(FIND('112'!$M$9,G3744,1)&gt;=1,B3744='112'!$K$9,OR($N3744='112'!$I$6,$O3744='112'!$I$6))),"x",""))</f>
        <v/>
      </c>
      <c r="U3744" s="79" t="str">
        <f>IF(ISERROR(FIND('112'!$M$9,G3744,1)),"",IF((AND(LEFT(G3744,2)=LEFT('112'!$M$9,2),B3744&lt;'112'!$K$9,$N3744='112'!$I$6)),"x",""))</f>
        <v/>
      </c>
      <c r="V3744" s="79" t="str">
        <f>IF(ISERROR(FIND('112'!$M$9,G3744,1)),"",IF((AND(RIGHT(G3744,2)=RIGHT('112'!$M$9,2),B3744&lt;'112'!$K$9,$O3744='112'!$I$6)),"x",""))</f>
        <v/>
      </c>
      <c r="W3744" s="79" t="str">
        <f>IF(AND('341-CT'!$H$9=H3744,OR(LEFT(N3744,3)=$W$7,LEFT(O3744,3)=$W$7)),"x","")</f>
        <v/>
      </c>
      <c r="X3744" s="79" t="str">
        <f>IF(OR(TH!N3744=TH!$X$7,O3744=TH!$X$7),"x","")</f>
        <v/>
      </c>
      <c r="Y3744" s="79" t="str">
        <f>IF(AND(OR(N3744="131",O3744="131"),H3744='131-CT'!$H$9),"x","")</f>
        <v/>
      </c>
      <c r="Z3744" s="79"/>
      <c r="AA3744" s="79" t="str">
        <f>IF(AND(MONTH(E3744)='IN-NX'!$J$5,'IN-NX'!$D$7=D3744),"x","")</f>
        <v/>
      </c>
      <c r="AB3744" s="79" t="str">
        <f>IF(AND(OR(LEFT(TH!N3744,2)="15",LEFT(TH!O3744,2)="15"),LEFT(TH!O3744,3)&lt;&gt;"111",'152-CT'!$J$8=TH!F3744),"x","")</f>
        <v/>
      </c>
      <c r="AC3744" s="79" t="str">
        <f>IF(AND(OR(LEFT(TH!N3744,2)="15",LEFT(TH!O3744,2)="15"),TK!$E$7=TH!F3744),"x","")</f>
        <v/>
      </c>
      <c r="AD3744" s="79" t="str">
        <f>IF(AND(N3744="1521",MONTH(C3744)='BK-NL'!$M$11),"x","")</f>
        <v/>
      </c>
    </row>
    <row r="3745" spans="1:30" ht="16.5" customHeight="1">
      <c r="A3745" s="318" t="str">
        <f>IF(B3745&lt;&gt;"",IF(AND(B3745='IN-TC'!$S$4,OR(TH!N3745="1111",TH!O3745="1111")),TH!D3745,""),"")</f>
        <v/>
      </c>
      <c r="B3745" s="60" t="str">
        <f t="shared" ref="B3745" si="410">IF(C3745&lt;&gt;"",MONTH(C3745),"")</f>
        <v/>
      </c>
      <c r="C3745" s="75"/>
      <c r="D3745" s="75"/>
      <c r="E3745" s="75"/>
      <c r="F3745" s="76"/>
      <c r="G3745" s="76"/>
      <c r="H3745" s="77"/>
      <c r="I3745" s="383"/>
      <c r="J3745" s="390"/>
      <c r="K3745" s="1247"/>
      <c r="L3745" s="390"/>
      <c r="M3745" s="978"/>
      <c r="N3745" s="79"/>
      <c r="O3745" s="79"/>
      <c r="P3745" s="79" t="str">
        <f>IF(AND('331-CT'!$E$7=TH!H3745,OR(N3745="331",O3745="331")),"x","")</f>
        <v/>
      </c>
      <c r="Q3745" s="79" t="str">
        <f>IF(AND(B3745='111'!$L$11,OR($N3745=$Q$7,$O3745=$Q$7)),"x","")</f>
        <v/>
      </c>
      <c r="R3745" s="79" t="str">
        <f>IF(AND($N3745=$Q$7,$B3745&lt;'111'!$L$11),"x","")</f>
        <v/>
      </c>
      <c r="S3745" s="79" t="str">
        <f>IF(AND($O3745=$Q$7,$B3745&lt;'111'!$L$11),"x","")</f>
        <v/>
      </c>
      <c r="T3745" s="79" t="str">
        <f>IF(ISERROR(FIND('112'!$M$9,G3745,1)),"",IF((AND(FIND('112'!$M$9,G3745,1)&gt;=1,B3745='112'!$K$9,OR($N3745='112'!$I$6,$O3745='112'!$I$6))),"x",""))</f>
        <v/>
      </c>
      <c r="U3745" s="79" t="str">
        <f>IF(ISERROR(FIND('112'!$M$9,G3745,1)),"",IF((AND(LEFT(G3745,2)=LEFT('112'!$M$9,2),B3745&lt;'112'!$K$9,$N3745='112'!$I$6)),"x",""))</f>
        <v/>
      </c>
      <c r="V3745" s="79" t="str">
        <f>IF(ISERROR(FIND('112'!$M$9,G3745,1)),"",IF((AND(RIGHT(G3745,2)=RIGHT('112'!$M$9,2),B3745&lt;'112'!$K$9,$O3745='112'!$I$6)),"x",""))</f>
        <v/>
      </c>
      <c r="W3745" s="79" t="str">
        <f>IF(AND('341-CT'!$H$9=H3745,OR(LEFT(N3745,3)=$W$7,LEFT(O3745,3)=$W$7)),"x","")</f>
        <v/>
      </c>
      <c r="X3745" s="79" t="str">
        <f>IF(OR(TH!N3745=TH!$X$7,O3745=TH!$X$7),"x","")</f>
        <v/>
      </c>
      <c r="Y3745" s="79" t="str">
        <f>IF(AND(OR(N3745="131",O3745="131"),H3745='131-CT'!$H$9),"x","")</f>
        <v/>
      </c>
      <c r="Z3745" s="79"/>
      <c r="AA3745" s="79" t="str">
        <f>IF(AND(MONTH(E3745)='IN-NX'!$J$5,'IN-NX'!$D$7=D3745),"x","")</f>
        <v/>
      </c>
      <c r="AB3745" s="79" t="str">
        <f>IF(AND(OR(LEFT(TH!N3745,2)="15",LEFT(TH!O3745,2)="15"),LEFT(TH!O3745,3)&lt;&gt;"111",'152-CT'!$J$8=TH!F3745),"x","")</f>
        <v/>
      </c>
      <c r="AC3745" s="79" t="str">
        <f>IF(AND(OR(LEFT(TH!N3745,2)="15",LEFT(TH!O3745,2)="15"),TK!$E$7=TH!F3745),"x","")</f>
        <v/>
      </c>
      <c r="AD3745" s="79" t="str">
        <f>IF(AND(N3745="1521",MONTH(C3745)='BK-NL'!$M$11),"x","")</f>
        <v/>
      </c>
    </row>
    <row r="3746" spans="1:30" ht="16.5" customHeight="1">
      <c r="A3746" s="318" t="str">
        <f>IF(B3746&lt;&gt;"",IF(AND(B3746='IN-TC'!$S$4,OR(TH!N3746="1111",TH!O3746="1111")),TH!D3746,""),"")</f>
        <v/>
      </c>
      <c r="B3746" s="60" t="str">
        <f t="shared" si="409"/>
        <v/>
      </c>
      <c r="C3746" s="75"/>
      <c r="D3746" s="75"/>
      <c r="E3746" s="75"/>
      <c r="F3746" s="76"/>
      <c r="G3746" s="76"/>
      <c r="H3746" s="759"/>
      <c r="I3746" s="383"/>
      <c r="J3746" s="390"/>
      <c r="K3746" s="383"/>
      <c r="L3746" s="390"/>
      <c r="M3746" s="978"/>
      <c r="N3746" s="79"/>
      <c r="O3746" s="979"/>
      <c r="P3746" s="79" t="str">
        <f>IF(AND('331-CT'!$E$7=TH!H3746,OR(N3746="331",O3746="331")),"x","")</f>
        <v/>
      </c>
      <c r="Q3746" s="79" t="str">
        <f>IF(AND(B3746='111'!$L$11,OR($N3746=$Q$7,$O3746=$Q$7)),"x","")</f>
        <v/>
      </c>
      <c r="R3746" s="79" t="str">
        <f>IF(AND($N3746=$Q$7,$B3746&lt;'111'!$L$11),"x","")</f>
        <v/>
      </c>
      <c r="S3746" s="79" t="str">
        <f>IF(AND($O3746=$Q$7,$B3746&lt;'111'!$L$11),"x","")</f>
        <v/>
      </c>
      <c r="T3746" s="79" t="str">
        <f>IF(ISERROR(FIND('112'!$M$9,G3746,1)),"",IF((AND(FIND('112'!$M$9,G3746,1)&gt;=1,B3746='112'!$K$9,OR($N3746='112'!$I$6,$O3746='112'!$I$6))),"x",""))</f>
        <v/>
      </c>
      <c r="U3746" s="79" t="str">
        <f>IF(ISERROR(FIND('112'!$M$9,G3746,1)),"",IF((AND(LEFT(G3746,2)=LEFT('112'!$M$9,2),B3746&lt;'112'!$K$9,$N3746='112'!$I$6)),"x",""))</f>
        <v/>
      </c>
      <c r="V3746" s="79" t="str">
        <f>IF(ISERROR(FIND('112'!$M$9,G3746,1)),"",IF((AND(RIGHT(G3746,2)=RIGHT('112'!$M$9,2),B3746&lt;'112'!$K$9,$O3746='112'!$I$6)),"x",""))</f>
        <v/>
      </c>
      <c r="W3746" s="79" t="str">
        <f>IF(AND('341-CT'!$H$9=H3746,OR(LEFT(N3746,3)=$W$7,LEFT(O3746,3)=$W$7)),"x","")</f>
        <v/>
      </c>
      <c r="X3746" s="79" t="str">
        <f>IF(OR(TH!N3746=TH!$X$7,O3746=TH!$X$7),"x","")</f>
        <v/>
      </c>
      <c r="Y3746" s="79" t="str">
        <f>IF(AND(OR(N3746="131",O3746="131"),H3746='131-CT'!$H$9),"x","")</f>
        <v/>
      </c>
      <c r="Z3746" s="79"/>
      <c r="AA3746" s="79" t="str">
        <f>IF(AND(MONTH(E3746)='IN-NX'!$J$5,'IN-NX'!$D$7=D3746),"x","")</f>
        <v/>
      </c>
      <c r="AB3746" s="79" t="str">
        <f>IF(AND(OR(LEFT(TH!N3746,2)="15",LEFT(TH!O3746,2)="15"),LEFT(TH!O3746,3)&lt;&gt;"111",'152-CT'!$J$8=TH!F3746),"x","")</f>
        <v/>
      </c>
      <c r="AC3746" s="79" t="str">
        <f>IF(AND(OR(LEFT(TH!N3746,2)="15",LEFT(TH!O3746,2)="15"),TK!$E$7=TH!F3746),"x","")</f>
        <v/>
      </c>
      <c r="AD3746" s="79" t="str">
        <f>IF(AND(N3746="1521",MONTH(C3746)='BK-NL'!$M$11),"x","")</f>
        <v/>
      </c>
    </row>
    <row r="3747" spans="1:30" ht="16.5" customHeight="1">
      <c r="A3747" s="318" t="str">
        <f>IF(B3747&lt;&gt;"",IF(AND(B3747='IN-TC'!$S$4,OR(TH!N3747="1111",TH!O3747="1111")),TH!D3747,""),"")</f>
        <v/>
      </c>
      <c r="B3747" s="60" t="str">
        <f t="shared" si="409"/>
        <v/>
      </c>
      <c r="C3747" s="75"/>
      <c r="D3747" s="75"/>
      <c r="E3747" s="75"/>
      <c r="F3747" s="76"/>
      <c r="G3747" s="76"/>
      <c r="H3747" s="759"/>
      <c r="I3747" s="383"/>
      <c r="J3747" s="390"/>
      <c r="K3747" s="383"/>
      <c r="L3747" s="390"/>
      <c r="M3747" s="978"/>
      <c r="N3747" s="79"/>
      <c r="O3747" s="979"/>
      <c r="P3747" s="79" t="str">
        <f>IF(AND('331-CT'!$E$7=TH!H3747,OR(N3747="331",O3747="331")),"x","")</f>
        <v/>
      </c>
      <c r="Q3747" s="79" t="str">
        <f>IF(AND(B3747='111'!$L$11,OR($N3747=$Q$7,$O3747=$Q$7)),"x","")</f>
        <v/>
      </c>
      <c r="R3747" s="79" t="str">
        <f>IF(AND($N3747=$Q$7,$B3747&lt;'111'!$L$11),"x","")</f>
        <v/>
      </c>
      <c r="S3747" s="79" t="str">
        <f>IF(AND($O3747=$Q$7,$B3747&lt;'111'!$L$11),"x","")</f>
        <v/>
      </c>
      <c r="T3747" s="79" t="str">
        <f>IF(ISERROR(FIND('112'!$M$9,G3747,1)),"",IF((AND(FIND('112'!$M$9,G3747,1)&gt;=1,B3747='112'!$K$9,OR($N3747='112'!$I$6,$O3747='112'!$I$6))),"x",""))</f>
        <v/>
      </c>
      <c r="U3747" s="79" t="str">
        <f>IF(ISERROR(FIND('112'!$M$9,G3747,1)),"",IF((AND(LEFT(G3747,2)=LEFT('112'!$M$9,2),B3747&lt;'112'!$K$9,$N3747='112'!$I$6)),"x",""))</f>
        <v/>
      </c>
      <c r="V3747" s="79" t="str">
        <f>IF(ISERROR(FIND('112'!$M$9,G3747,1)),"",IF((AND(RIGHT(G3747,2)=RIGHT('112'!$M$9,2),B3747&lt;'112'!$K$9,$O3747='112'!$I$6)),"x",""))</f>
        <v/>
      </c>
      <c r="W3747" s="79" t="str">
        <f>IF(AND('341-CT'!$H$9=H3747,OR(LEFT(N3747,3)=$W$7,LEFT(O3747,3)=$W$7)),"x","")</f>
        <v/>
      </c>
      <c r="X3747" s="79" t="str">
        <f>IF(OR(TH!N3747=TH!$X$7,O3747=TH!$X$7),"x","")</f>
        <v/>
      </c>
      <c r="Y3747" s="79" t="str">
        <f>IF(AND(OR(N3747="131",O3747="131"),H3747='131-CT'!$H$9),"x","")</f>
        <v/>
      </c>
      <c r="Z3747" s="79"/>
      <c r="AA3747" s="79" t="str">
        <f>IF(AND(MONTH(E3747)='IN-NX'!$J$5,'IN-NX'!$D$7=D3747),"x","")</f>
        <v/>
      </c>
      <c r="AB3747" s="79" t="str">
        <f>IF(AND(OR(LEFT(TH!N3747,2)="15",LEFT(TH!O3747,2)="15"),LEFT(TH!O3747,3)&lt;&gt;"111",'152-CT'!$J$8=TH!F3747),"x","")</f>
        <v/>
      </c>
      <c r="AC3747" s="79" t="str">
        <f>IF(AND(OR(LEFT(TH!N3747,2)="15",LEFT(TH!O3747,2)="15"),TK!$E$7=TH!F3747),"x","")</f>
        <v/>
      </c>
      <c r="AD3747" s="79" t="str">
        <f>IF(AND(N3747="1521",MONTH(C3747)='BK-NL'!$M$11),"x","")</f>
        <v/>
      </c>
    </row>
    <row r="3748" spans="1:30" ht="16.5" customHeight="1">
      <c r="A3748" s="318" t="str">
        <f>IF(B3748&lt;&gt;"",IF(AND(B3748='IN-TC'!$S$4,OR(TH!N3748="1111",TH!O3748="1111")),TH!D3748,""),"")</f>
        <v/>
      </c>
      <c r="B3748" s="60" t="str">
        <f t="shared" si="409"/>
        <v/>
      </c>
      <c r="C3748" s="75"/>
      <c r="D3748" s="75"/>
      <c r="E3748" s="75"/>
      <c r="F3748" s="76"/>
      <c r="G3748" s="76"/>
      <c r="H3748" s="759"/>
      <c r="I3748" s="383"/>
      <c r="J3748" s="390"/>
      <c r="K3748" s="1247"/>
      <c r="L3748" s="390"/>
      <c r="M3748" s="78"/>
      <c r="N3748" s="79"/>
      <c r="O3748" s="79"/>
      <c r="P3748" s="79" t="str">
        <f>IF(AND('331-CT'!$E$7=TH!H3748,OR(N3748="331",O3748="331")),"x","")</f>
        <v/>
      </c>
      <c r="Q3748" s="79" t="str">
        <f>IF(AND(B3748='111'!$L$11,OR($N3748=$Q$7,$O3748=$Q$7)),"x","")</f>
        <v/>
      </c>
      <c r="R3748" s="79" t="str">
        <f>IF(AND($N3748=$Q$7,$B3748&lt;'111'!$L$11),"x","")</f>
        <v/>
      </c>
      <c r="S3748" s="79" t="str">
        <f>IF(AND($O3748=$Q$7,$B3748&lt;'111'!$L$11),"x","")</f>
        <v/>
      </c>
      <c r="T3748" s="79" t="str">
        <f>IF(ISERROR(FIND('112'!$M$9,G3748,1)),"",IF((AND(FIND('112'!$M$9,G3748,1)&gt;=1,B3748='112'!$K$9,OR($N3748='112'!$I$6,$O3748='112'!$I$6))),"x",""))</f>
        <v/>
      </c>
      <c r="U3748" s="79" t="str">
        <f>IF(ISERROR(FIND('112'!$M$9,G3748,1)),"",IF((AND(LEFT(G3748,2)=LEFT('112'!$M$9,2),B3748&lt;'112'!$K$9,$N3748='112'!$I$6)),"x",""))</f>
        <v/>
      </c>
      <c r="V3748" s="79" t="str">
        <f>IF(ISERROR(FIND('112'!$M$9,G3748,1)),"",IF((AND(RIGHT(G3748,2)=RIGHT('112'!$M$9,2),B3748&lt;'112'!$K$9,$O3748='112'!$I$6)),"x",""))</f>
        <v/>
      </c>
      <c r="W3748" s="79" t="str">
        <f>IF(AND('341-CT'!$H$9=H3748,OR(LEFT(N3748,3)=$W$7,LEFT(O3748,3)=$W$7)),"x","")</f>
        <v/>
      </c>
      <c r="X3748" s="79" t="str">
        <f>IF(OR(TH!N3748=TH!$X$7,O3748=TH!$X$7),"x","")</f>
        <v/>
      </c>
      <c r="Y3748" s="79" t="str">
        <f>IF(AND(OR(N3748="131",O3748="131"),H3748='131-CT'!$H$9),"x","")</f>
        <v/>
      </c>
      <c r="Z3748" s="79"/>
      <c r="AA3748" s="79" t="str">
        <f>IF(AND(MONTH(E3748)='IN-NX'!$J$5,'IN-NX'!$D$7=D3748),"x","")</f>
        <v/>
      </c>
      <c r="AB3748" s="79" t="str">
        <f>IF(AND(OR(LEFT(TH!N3748,2)="15",LEFT(TH!O3748,2)="15"),LEFT(TH!O3748,3)&lt;&gt;"111",'152-CT'!$J$8=TH!F3748),"x","")</f>
        <v/>
      </c>
      <c r="AC3748" s="79" t="str">
        <f>IF(AND(OR(LEFT(TH!N3748,2)="15",LEFT(TH!O3748,2)="15"),TK!$E$7=TH!F3748),"x","")</f>
        <v/>
      </c>
      <c r="AD3748" s="79" t="str">
        <f>IF(AND(N3748="1521",MONTH(C3748)='BK-NL'!$M$11),"x","")</f>
        <v/>
      </c>
    </row>
    <row r="3749" spans="1:30" ht="16.5" customHeight="1">
      <c r="A3749" s="318" t="str">
        <f>IF(B3749&lt;&gt;"",IF(AND(B3749='IN-TC'!$S$4,OR(TH!N3749="1111",TH!O3749="1111")),TH!D3749,""),"")</f>
        <v/>
      </c>
      <c r="B3749" s="60" t="str">
        <f t="shared" si="409"/>
        <v/>
      </c>
      <c r="C3749" s="75"/>
      <c r="D3749" s="75"/>
      <c r="E3749" s="75"/>
      <c r="F3749" s="76"/>
      <c r="G3749" s="76"/>
      <c r="H3749" s="759"/>
      <c r="I3749" s="383"/>
      <c r="J3749" s="390"/>
      <c r="K3749" s="383"/>
      <c r="L3749" s="390"/>
      <c r="M3749" s="978"/>
      <c r="N3749" s="79"/>
      <c r="O3749" s="979"/>
      <c r="P3749" s="79" t="str">
        <f>IF(AND('331-CT'!$E$7=TH!H3749,OR(N3749="331",O3749="331")),"x","")</f>
        <v/>
      </c>
      <c r="Q3749" s="79" t="str">
        <f>IF(AND(B3749='111'!$L$11,OR($N3749=$Q$7,$O3749=$Q$7)),"x","")</f>
        <v/>
      </c>
      <c r="R3749" s="79" t="str">
        <f>IF(AND($N3749=$Q$7,$B3749&lt;'111'!$L$11),"x","")</f>
        <v/>
      </c>
      <c r="S3749" s="79" t="str">
        <f>IF(AND($O3749=$Q$7,$B3749&lt;'111'!$L$11),"x","")</f>
        <v/>
      </c>
      <c r="T3749" s="79" t="str">
        <f>IF(ISERROR(FIND('112'!$M$9,G3749,1)),"",IF((AND(FIND('112'!$M$9,G3749,1)&gt;=1,B3749='112'!$K$9,OR($N3749='112'!$I$6,$O3749='112'!$I$6))),"x",""))</f>
        <v/>
      </c>
      <c r="U3749" s="79" t="str">
        <f>IF(ISERROR(FIND('112'!$M$9,G3749,1)),"",IF((AND(LEFT(G3749,2)=LEFT('112'!$M$9,2),B3749&lt;'112'!$K$9,$N3749='112'!$I$6)),"x",""))</f>
        <v/>
      </c>
      <c r="V3749" s="79" t="str">
        <f>IF(ISERROR(FIND('112'!$M$9,G3749,1)),"",IF((AND(RIGHT(G3749,2)=RIGHT('112'!$M$9,2),B3749&lt;'112'!$K$9,$O3749='112'!$I$6)),"x",""))</f>
        <v/>
      </c>
      <c r="W3749" s="79" t="str">
        <f>IF(AND('341-CT'!$H$9=H3749,OR(LEFT(N3749,3)=$W$7,LEFT(O3749,3)=$W$7)),"x","")</f>
        <v/>
      </c>
      <c r="X3749" s="79" t="str">
        <f>IF(OR(TH!N3749=TH!$X$7,O3749=TH!$X$7),"x","")</f>
        <v/>
      </c>
      <c r="Y3749" s="79" t="str">
        <f>IF(AND(OR(N3749="131",O3749="131"),H3749='131-CT'!$H$9),"x","")</f>
        <v/>
      </c>
      <c r="Z3749" s="79"/>
      <c r="AA3749" s="79" t="str">
        <f>IF(AND(MONTH(E3749)='IN-NX'!$J$5,'IN-NX'!$D$7=D3749),"x","")</f>
        <v/>
      </c>
      <c r="AB3749" s="79" t="str">
        <f>IF(AND(OR(LEFT(TH!N3749,2)="15",LEFT(TH!O3749,2)="15"),LEFT(TH!O3749,3)&lt;&gt;"111",'152-CT'!$J$8=TH!F3749),"x","")</f>
        <v/>
      </c>
      <c r="AC3749" s="79" t="str">
        <f>IF(AND(OR(LEFT(TH!N3749,2)="15",LEFT(TH!O3749,2)="15"),TK!$E$7=TH!F3749),"x","")</f>
        <v/>
      </c>
      <c r="AD3749" s="79" t="str">
        <f>IF(AND(N3749="1521",MONTH(C3749)='BK-NL'!$M$11),"x","")</f>
        <v/>
      </c>
    </row>
    <row r="3750" spans="1:30" ht="16.5" customHeight="1">
      <c r="A3750" s="318" t="str">
        <f>IF(B3750&lt;&gt;"",IF(AND(B3750='IN-TC'!$S$4,OR(TH!N3750="1111",TH!O3750="1111")),TH!D3750,""),"")</f>
        <v/>
      </c>
      <c r="B3750" s="60" t="str">
        <f t="shared" si="409"/>
        <v/>
      </c>
      <c r="C3750" s="75"/>
      <c r="D3750" s="75"/>
      <c r="E3750" s="75"/>
      <c r="F3750" s="76"/>
      <c r="G3750" s="76"/>
      <c r="H3750" s="759"/>
      <c r="I3750" s="383"/>
      <c r="J3750" s="390"/>
      <c r="K3750" s="383"/>
      <c r="L3750" s="390"/>
      <c r="M3750" s="978"/>
      <c r="N3750" s="79"/>
      <c r="O3750" s="979"/>
      <c r="P3750" s="79" t="str">
        <f>IF(AND('331-CT'!$E$7=TH!H3750,OR(N3750="331",O3750="331")),"x","")</f>
        <v/>
      </c>
      <c r="Q3750" s="79" t="str">
        <f>IF(AND(B3750='111'!$L$11,OR($N3750=$Q$7,$O3750=$Q$7)),"x","")</f>
        <v/>
      </c>
      <c r="R3750" s="79" t="str">
        <f>IF(AND($N3750=$Q$7,$B3750&lt;'111'!$L$11),"x","")</f>
        <v/>
      </c>
      <c r="S3750" s="79" t="str">
        <f>IF(AND($O3750=$Q$7,$B3750&lt;'111'!$L$11),"x","")</f>
        <v/>
      </c>
      <c r="T3750" s="79" t="str">
        <f>IF(ISERROR(FIND('112'!$M$9,G3750,1)),"",IF((AND(FIND('112'!$M$9,G3750,1)&gt;=1,B3750='112'!$K$9,OR($N3750='112'!$I$6,$O3750='112'!$I$6))),"x",""))</f>
        <v/>
      </c>
      <c r="U3750" s="79" t="str">
        <f>IF(ISERROR(FIND('112'!$M$9,G3750,1)),"",IF((AND(LEFT(G3750,2)=LEFT('112'!$M$9,2),B3750&lt;'112'!$K$9,$N3750='112'!$I$6)),"x",""))</f>
        <v/>
      </c>
      <c r="V3750" s="79" t="str">
        <f>IF(ISERROR(FIND('112'!$M$9,G3750,1)),"",IF((AND(RIGHT(G3750,2)=RIGHT('112'!$M$9,2),B3750&lt;'112'!$K$9,$O3750='112'!$I$6)),"x",""))</f>
        <v/>
      </c>
      <c r="W3750" s="79" t="str">
        <f>IF(AND('341-CT'!$H$9=H3750,OR(LEFT(N3750,3)=$W$7,LEFT(O3750,3)=$W$7)),"x","")</f>
        <v/>
      </c>
      <c r="X3750" s="79" t="str">
        <f>IF(OR(TH!N3750=TH!$X$7,O3750=TH!$X$7),"x","")</f>
        <v/>
      </c>
      <c r="Y3750" s="79" t="str">
        <f>IF(AND(OR(N3750="131",O3750="131"),H3750='131-CT'!$H$9),"x","")</f>
        <v/>
      </c>
      <c r="Z3750" s="79"/>
      <c r="AA3750" s="79" t="str">
        <f>IF(AND(MONTH(E3750)='IN-NX'!$J$5,'IN-NX'!$D$7=D3750),"x","")</f>
        <v/>
      </c>
      <c r="AB3750" s="79" t="str">
        <f>IF(AND(OR(LEFT(TH!N3750,2)="15",LEFT(TH!O3750,2)="15"),LEFT(TH!O3750,3)&lt;&gt;"111",'152-CT'!$J$8=TH!F3750),"x","")</f>
        <v/>
      </c>
      <c r="AC3750" s="79" t="str">
        <f>IF(AND(OR(LEFT(TH!N3750,2)="15",LEFT(TH!O3750,2)="15"),TK!$E$7=TH!F3750),"x","")</f>
        <v/>
      </c>
      <c r="AD3750" s="79" t="str">
        <f>IF(AND(N3750="1521",MONTH(C3750)='BK-NL'!$M$11),"x","")</f>
        <v/>
      </c>
    </row>
    <row r="3751" spans="1:30" ht="16.5" customHeight="1">
      <c r="A3751" s="318" t="str">
        <f>IF(B3751&lt;&gt;"",IF(AND(B3751='IN-TC'!$S$4,OR(TH!N3751="1111",TH!O3751="1111")),TH!D3751,""),"")</f>
        <v/>
      </c>
      <c r="B3751" s="60" t="str">
        <f t="shared" si="409"/>
        <v/>
      </c>
      <c r="C3751" s="75"/>
      <c r="D3751" s="75"/>
      <c r="E3751" s="75"/>
      <c r="F3751" s="76"/>
      <c r="G3751" s="76"/>
      <c r="H3751" s="759"/>
      <c r="I3751" s="383"/>
      <c r="J3751" s="390"/>
      <c r="K3751" s="383"/>
      <c r="L3751" s="390"/>
      <c r="M3751" s="978"/>
      <c r="N3751" s="79"/>
      <c r="O3751" s="979"/>
      <c r="P3751" s="79" t="str">
        <f>IF(AND('331-CT'!$E$7=TH!H3751,OR(N3751="331",O3751="331")),"x","")</f>
        <v/>
      </c>
      <c r="Q3751" s="79" t="str">
        <f>IF(AND(B3751='111'!$L$11,OR($N3751=$Q$7,$O3751=$Q$7)),"x","")</f>
        <v/>
      </c>
      <c r="R3751" s="79" t="str">
        <f>IF(AND($N3751=$Q$7,$B3751&lt;'111'!$L$11),"x","")</f>
        <v/>
      </c>
      <c r="S3751" s="79" t="str">
        <f>IF(AND($O3751=$Q$7,$B3751&lt;'111'!$L$11),"x","")</f>
        <v/>
      </c>
      <c r="T3751" s="79" t="str">
        <f>IF(ISERROR(FIND('112'!$M$9,G3751,1)),"",IF((AND(FIND('112'!$M$9,G3751,1)&gt;=1,B3751='112'!$K$9,OR($N3751='112'!$I$6,$O3751='112'!$I$6))),"x",""))</f>
        <v/>
      </c>
      <c r="U3751" s="79" t="str">
        <f>IF(ISERROR(FIND('112'!$M$9,G3751,1)),"",IF((AND(LEFT(G3751,2)=LEFT('112'!$M$9,2),B3751&lt;'112'!$K$9,$N3751='112'!$I$6)),"x",""))</f>
        <v/>
      </c>
      <c r="V3751" s="79" t="str">
        <f>IF(ISERROR(FIND('112'!$M$9,G3751,1)),"",IF((AND(RIGHT(G3751,2)=RIGHT('112'!$M$9,2),B3751&lt;'112'!$K$9,$O3751='112'!$I$6)),"x",""))</f>
        <v/>
      </c>
      <c r="W3751" s="79" t="str">
        <f>IF(AND('341-CT'!$H$9=H3751,OR(LEFT(N3751,3)=$W$7,LEFT(O3751,3)=$W$7)),"x","")</f>
        <v/>
      </c>
      <c r="X3751" s="79" t="str">
        <f>IF(OR(TH!N3751=TH!$X$7,O3751=TH!$X$7),"x","")</f>
        <v/>
      </c>
      <c r="Y3751" s="79" t="str">
        <f>IF(AND(OR(N3751="131",O3751="131"),H3751='131-CT'!$H$9),"x","")</f>
        <v/>
      </c>
      <c r="Z3751" s="79"/>
      <c r="AA3751" s="79" t="str">
        <f>IF(AND(MONTH(E3751)='IN-NX'!$J$5,'IN-NX'!$D$7=D3751),"x","")</f>
        <v/>
      </c>
      <c r="AB3751" s="79" t="str">
        <f>IF(AND(OR(LEFT(TH!N3751,2)="15",LEFT(TH!O3751,2)="15"),LEFT(TH!O3751,3)&lt;&gt;"111",'152-CT'!$J$8=TH!F3751),"x","")</f>
        <v/>
      </c>
      <c r="AC3751" s="79" t="str">
        <f>IF(AND(OR(LEFT(TH!N3751,2)="15",LEFT(TH!O3751,2)="15"),TK!$E$7=TH!F3751),"x","")</f>
        <v/>
      </c>
      <c r="AD3751" s="79" t="str">
        <f>IF(AND(N3751="1521",MONTH(C3751)='BK-NL'!$M$11),"x","")</f>
        <v/>
      </c>
    </row>
    <row r="3752" spans="1:30" ht="16.5" customHeight="1">
      <c r="A3752" s="318" t="str">
        <f>IF(B3752&lt;&gt;"",IF(AND(B3752='IN-TC'!$S$4,OR(TH!N3752="1111",TH!O3752="1111")),TH!D3752,""),"")</f>
        <v/>
      </c>
      <c r="B3752" s="60" t="str">
        <f t="shared" si="409"/>
        <v/>
      </c>
      <c r="C3752" s="75"/>
      <c r="D3752" s="75"/>
      <c r="E3752" s="75"/>
      <c r="F3752" s="76"/>
      <c r="G3752" s="76"/>
      <c r="H3752" s="759"/>
      <c r="I3752" s="383"/>
      <c r="J3752" s="390"/>
      <c r="K3752" s="383"/>
      <c r="L3752" s="390"/>
      <c r="M3752" s="978"/>
      <c r="N3752" s="79"/>
      <c r="O3752" s="979"/>
      <c r="P3752" s="79" t="str">
        <f>IF(AND('331-CT'!$E$7=TH!H3752,OR(N3752="331",O3752="331")),"x","")</f>
        <v/>
      </c>
      <c r="Q3752" s="79" t="str">
        <f>IF(AND(B3752='111'!$L$11,OR($N3752=$Q$7,$O3752=$Q$7)),"x","")</f>
        <v/>
      </c>
      <c r="R3752" s="79" t="str">
        <f>IF(AND($N3752=$Q$7,$B3752&lt;'111'!$L$11),"x","")</f>
        <v/>
      </c>
      <c r="S3752" s="79" t="str">
        <f>IF(AND($O3752=$Q$7,$B3752&lt;'111'!$L$11),"x","")</f>
        <v/>
      </c>
      <c r="T3752" s="79" t="str">
        <f>IF(ISERROR(FIND('112'!$M$9,G3752,1)),"",IF((AND(FIND('112'!$M$9,G3752,1)&gt;=1,B3752='112'!$K$9,OR($N3752='112'!$I$6,$O3752='112'!$I$6))),"x",""))</f>
        <v/>
      </c>
      <c r="U3752" s="79" t="str">
        <f>IF(ISERROR(FIND('112'!$M$9,G3752,1)),"",IF((AND(LEFT(G3752,2)=LEFT('112'!$M$9,2),B3752&lt;'112'!$K$9,$N3752='112'!$I$6)),"x",""))</f>
        <v/>
      </c>
      <c r="V3752" s="79" t="str">
        <f>IF(ISERROR(FIND('112'!$M$9,G3752,1)),"",IF((AND(RIGHT(G3752,2)=RIGHT('112'!$M$9,2),B3752&lt;'112'!$K$9,$O3752='112'!$I$6)),"x",""))</f>
        <v/>
      </c>
      <c r="W3752" s="79" t="str">
        <f>IF(AND('341-CT'!$H$9=H3752,OR(LEFT(N3752,3)=$W$7,LEFT(O3752,3)=$W$7)),"x","")</f>
        <v/>
      </c>
      <c r="X3752" s="79" t="str">
        <f>IF(OR(TH!N3752=TH!$X$7,O3752=TH!$X$7),"x","")</f>
        <v/>
      </c>
      <c r="Y3752" s="79" t="str">
        <f>IF(AND(OR(N3752="131",O3752="131"),H3752='131-CT'!$H$9),"x","")</f>
        <v/>
      </c>
      <c r="Z3752" s="79"/>
      <c r="AA3752" s="79" t="str">
        <f>IF(AND(MONTH(E3752)='IN-NX'!$J$5,'IN-NX'!$D$7=D3752),"x","")</f>
        <v/>
      </c>
      <c r="AB3752" s="79" t="str">
        <f>IF(AND(OR(LEFT(TH!N3752,2)="15",LEFT(TH!O3752,2)="15"),LEFT(TH!O3752,3)&lt;&gt;"111",'152-CT'!$J$8=TH!F3752),"x","")</f>
        <v/>
      </c>
      <c r="AC3752" s="79" t="str">
        <f>IF(AND(OR(LEFT(TH!N3752,2)="15",LEFT(TH!O3752,2)="15"),TK!$E$7=TH!F3752),"x","")</f>
        <v/>
      </c>
      <c r="AD3752" s="79" t="str">
        <f>IF(AND(N3752="1521",MONTH(C3752)='BK-NL'!$M$11),"x","")</f>
        <v/>
      </c>
    </row>
    <row r="3753" spans="1:30" ht="16.5" customHeight="1">
      <c r="A3753" s="318" t="str">
        <f>IF(B3753&lt;&gt;"",IF(AND(B3753='IN-TC'!$S$4,OR(TH!N3753="1111",TH!O3753="1111")),TH!D3753,""),"")</f>
        <v/>
      </c>
      <c r="B3753" s="60" t="str">
        <f t="shared" si="409"/>
        <v/>
      </c>
      <c r="C3753" s="75"/>
      <c r="D3753" s="75"/>
      <c r="E3753" s="75"/>
      <c r="F3753" s="76"/>
      <c r="G3753" s="76"/>
      <c r="H3753" s="1276"/>
      <c r="I3753" s="383"/>
      <c r="J3753" s="390"/>
      <c r="K3753" s="383"/>
      <c r="L3753" s="390"/>
      <c r="M3753" s="978"/>
      <c r="N3753" s="79"/>
      <c r="O3753" s="79"/>
      <c r="P3753" s="79" t="str">
        <f>IF(AND('331-CT'!$E$7=TH!H3753,OR(N3753="331",O3753="331")),"x","")</f>
        <v/>
      </c>
      <c r="Q3753" s="79" t="str">
        <f>IF(AND(B3753='111'!$L$11,OR($N3753=$Q$7,$O3753=$Q$7)),"x","")</f>
        <v/>
      </c>
      <c r="R3753" s="79" t="str">
        <f>IF(AND($N3753=$Q$7,$B3753&lt;'111'!$L$11),"x","")</f>
        <v/>
      </c>
      <c r="S3753" s="79" t="str">
        <f>IF(AND($O3753=$Q$7,$B3753&lt;'111'!$L$11),"x","")</f>
        <v/>
      </c>
      <c r="T3753" s="79" t="str">
        <f>IF(ISERROR(FIND('112'!$M$9,G3753,1)),"",IF((AND(FIND('112'!$M$9,G3753,1)&gt;=1,B3753='112'!$K$9,OR($N3753='112'!$I$6,$O3753='112'!$I$6))),"x",""))</f>
        <v/>
      </c>
      <c r="U3753" s="79" t="str">
        <f>IF(ISERROR(FIND('112'!$M$9,G3753,1)),"",IF((AND(LEFT(G3753,2)=LEFT('112'!$M$9,2),B3753&lt;'112'!$K$9,$N3753='112'!$I$6)),"x",""))</f>
        <v/>
      </c>
      <c r="V3753" s="79" t="str">
        <f>IF(ISERROR(FIND('112'!$M$9,G3753,1)),"",IF((AND(RIGHT(G3753,2)=RIGHT('112'!$M$9,2),B3753&lt;'112'!$K$9,$O3753='112'!$I$6)),"x",""))</f>
        <v/>
      </c>
      <c r="W3753" s="79" t="str">
        <f>IF(AND('341-CT'!$H$9=H3753,OR(LEFT(N3753,3)=$W$7,LEFT(O3753,3)=$W$7)),"x","")</f>
        <v/>
      </c>
      <c r="X3753" s="79" t="str">
        <f>IF(OR(TH!N3753=TH!$X$7,O3753=TH!$X$7),"x","")</f>
        <v/>
      </c>
      <c r="Y3753" s="79" t="str">
        <f>IF(AND(OR(N3753="131",O3753="131"),H3753='131-CT'!$H$9),"x","")</f>
        <v/>
      </c>
      <c r="Z3753" s="79"/>
      <c r="AA3753" s="79" t="str">
        <f>IF(AND(MONTH(E3753)='IN-NX'!$J$5,'IN-NX'!$D$7=D3753),"x","")</f>
        <v/>
      </c>
      <c r="AB3753" s="79" t="str">
        <f>IF(AND(OR(LEFT(TH!N3753,2)="15",LEFT(TH!O3753,2)="15"),LEFT(TH!O3753,3)&lt;&gt;"111",'152-CT'!$J$8=TH!F3753),"x","")</f>
        <v/>
      </c>
      <c r="AC3753" s="79" t="str">
        <f>IF(AND(OR(LEFT(TH!N3753,2)="15",LEFT(TH!O3753,2)="15"),TK!$E$7=TH!F3753),"x","")</f>
        <v/>
      </c>
      <c r="AD3753" s="79" t="str">
        <f>IF(AND(N3753="1521",MONTH(C3753)='BK-NL'!$M$11),"x","")</f>
        <v/>
      </c>
    </row>
    <row r="3754" spans="1:30" ht="16.5" customHeight="1">
      <c r="A3754" s="318" t="str">
        <f>IF(B3754&lt;&gt;"",IF(AND(B3754='IN-TC'!$S$4,OR(TH!N3754="1111",TH!O3754="1111")),TH!D3754,""),"")</f>
        <v/>
      </c>
      <c r="B3754" s="60" t="str">
        <f t="shared" si="409"/>
        <v/>
      </c>
      <c r="C3754" s="75"/>
      <c r="D3754" s="75"/>
      <c r="E3754" s="75"/>
      <c r="F3754" s="76"/>
      <c r="G3754" s="76"/>
      <c r="H3754" s="759"/>
      <c r="I3754" s="383"/>
      <c r="J3754" s="390"/>
      <c r="K3754" s="383"/>
      <c r="L3754" s="390"/>
      <c r="M3754" s="978"/>
      <c r="N3754" s="79"/>
      <c r="O3754" s="979"/>
      <c r="P3754" s="79" t="str">
        <f>IF(AND('331-CT'!$E$7=TH!H3754,OR(N3754="331",O3754="331")),"x","")</f>
        <v/>
      </c>
      <c r="Q3754" s="79" t="str">
        <f>IF(AND(B3754='111'!$L$11,OR($N3754=$Q$7,$O3754=$Q$7)),"x","")</f>
        <v/>
      </c>
      <c r="R3754" s="79" t="str">
        <f>IF(AND($N3754=$Q$7,$B3754&lt;'111'!$L$11),"x","")</f>
        <v/>
      </c>
      <c r="S3754" s="79" t="str">
        <f>IF(AND($O3754=$Q$7,$B3754&lt;'111'!$L$11),"x","")</f>
        <v/>
      </c>
      <c r="T3754" s="79" t="str">
        <f>IF(ISERROR(FIND('112'!$M$9,G3754,1)),"",IF((AND(FIND('112'!$M$9,G3754,1)&gt;=1,B3754='112'!$K$9,OR($N3754='112'!$I$6,$O3754='112'!$I$6))),"x",""))</f>
        <v/>
      </c>
      <c r="U3754" s="79" t="str">
        <f>IF(ISERROR(FIND('112'!$M$9,G3754,1)),"",IF((AND(LEFT(G3754,2)=LEFT('112'!$M$9,2),B3754&lt;'112'!$K$9,$N3754='112'!$I$6)),"x",""))</f>
        <v/>
      </c>
      <c r="V3754" s="79" t="str">
        <f>IF(ISERROR(FIND('112'!$M$9,G3754,1)),"",IF((AND(RIGHT(G3754,2)=RIGHT('112'!$M$9,2),B3754&lt;'112'!$K$9,$O3754='112'!$I$6)),"x",""))</f>
        <v/>
      </c>
      <c r="W3754" s="79" t="str">
        <f>IF(AND('341-CT'!$H$9=H3754,OR(LEFT(N3754,3)=$W$7,LEFT(O3754,3)=$W$7)),"x","")</f>
        <v/>
      </c>
      <c r="X3754" s="79" t="str">
        <f>IF(OR(TH!N3754=TH!$X$7,O3754=TH!$X$7),"x","")</f>
        <v/>
      </c>
      <c r="Y3754" s="79" t="str">
        <f>IF(AND(OR(N3754="131",O3754="131"),H3754='131-CT'!$H$9),"x","")</f>
        <v/>
      </c>
      <c r="Z3754" s="79"/>
      <c r="AA3754" s="79" t="str">
        <f>IF(AND(MONTH(E3754)='IN-NX'!$J$5,'IN-NX'!$D$7=D3754),"x","")</f>
        <v/>
      </c>
      <c r="AB3754" s="79" t="str">
        <f>IF(AND(OR(LEFT(TH!N3754,2)="15",LEFT(TH!O3754,2)="15"),LEFT(TH!O3754,3)&lt;&gt;"111",'152-CT'!$J$8=TH!F3754),"x","")</f>
        <v/>
      </c>
      <c r="AC3754" s="79" t="str">
        <f>IF(AND(OR(LEFT(TH!N3754,2)="15",LEFT(TH!O3754,2)="15"),TK!$E$7=TH!F3754),"x","")</f>
        <v/>
      </c>
      <c r="AD3754" s="79" t="str">
        <f>IF(AND(N3754="1521",MONTH(C3754)='BK-NL'!$M$11),"x","")</f>
        <v/>
      </c>
    </row>
    <row r="3755" spans="1:30" ht="16.5" customHeight="1">
      <c r="A3755" s="318" t="str">
        <f>IF(B3755&lt;&gt;"",IF(AND(B3755='IN-TC'!$S$4,OR(TH!N3755="1111",TH!O3755="1111")),TH!D3755,""),"")</f>
        <v/>
      </c>
      <c r="B3755" s="60" t="str">
        <f t="shared" si="409"/>
        <v/>
      </c>
      <c r="C3755" s="75"/>
      <c r="D3755" s="75"/>
      <c r="E3755" s="75"/>
      <c r="F3755" s="76"/>
      <c r="G3755" s="76"/>
      <c r="H3755" s="759"/>
      <c r="I3755" s="383"/>
      <c r="J3755" s="390"/>
      <c r="K3755" s="383"/>
      <c r="L3755" s="390"/>
      <c r="M3755" s="978"/>
      <c r="N3755" s="79"/>
      <c r="O3755" s="979"/>
      <c r="P3755" s="79" t="str">
        <f>IF(AND('331-CT'!$E$7=TH!H3755,OR(N3755="331",O3755="331")),"x","")</f>
        <v/>
      </c>
      <c r="Q3755" s="79" t="str">
        <f>IF(AND(B3755='111'!$L$11,OR($N3755=$Q$7,$O3755=$Q$7)),"x","")</f>
        <v/>
      </c>
      <c r="R3755" s="79" t="str">
        <f>IF(AND($N3755=$Q$7,$B3755&lt;'111'!$L$11),"x","")</f>
        <v/>
      </c>
      <c r="S3755" s="79" t="str">
        <f>IF(AND($O3755=$Q$7,$B3755&lt;'111'!$L$11),"x","")</f>
        <v/>
      </c>
      <c r="T3755" s="79" t="str">
        <f>IF(ISERROR(FIND('112'!$M$9,G3755,1)),"",IF((AND(FIND('112'!$M$9,G3755,1)&gt;=1,B3755='112'!$K$9,OR($N3755='112'!$I$6,$O3755='112'!$I$6))),"x",""))</f>
        <v/>
      </c>
      <c r="U3755" s="79" t="str">
        <f>IF(ISERROR(FIND('112'!$M$9,G3755,1)),"",IF((AND(LEFT(G3755,2)=LEFT('112'!$M$9,2),B3755&lt;'112'!$K$9,$N3755='112'!$I$6)),"x",""))</f>
        <v/>
      </c>
      <c r="V3755" s="79" t="str">
        <f>IF(ISERROR(FIND('112'!$M$9,G3755,1)),"",IF((AND(RIGHT(G3755,2)=RIGHT('112'!$M$9,2),B3755&lt;'112'!$K$9,$O3755='112'!$I$6)),"x",""))</f>
        <v/>
      </c>
      <c r="W3755" s="79" t="str">
        <f>IF(AND('341-CT'!$H$9=H3755,OR(LEFT(N3755,3)=$W$7,LEFT(O3755,3)=$W$7)),"x","")</f>
        <v/>
      </c>
      <c r="X3755" s="79" t="str">
        <f>IF(OR(TH!N3755=TH!$X$7,O3755=TH!$X$7),"x","")</f>
        <v/>
      </c>
      <c r="Y3755" s="79" t="str">
        <f>IF(AND(OR(N3755="131",O3755="131"),H3755='131-CT'!$H$9),"x","")</f>
        <v/>
      </c>
      <c r="Z3755" s="79"/>
      <c r="AA3755" s="79" t="str">
        <f>IF(AND(MONTH(E3755)='IN-NX'!$J$5,'IN-NX'!$D$7=D3755),"x","")</f>
        <v/>
      </c>
      <c r="AB3755" s="79" t="str">
        <f>IF(AND(OR(LEFT(TH!N3755,2)="15",LEFT(TH!O3755,2)="15"),LEFT(TH!O3755,3)&lt;&gt;"111",'152-CT'!$J$8=TH!F3755),"x","")</f>
        <v/>
      </c>
      <c r="AC3755" s="79" t="str">
        <f>IF(AND(OR(LEFT(TH!N3755,2)="15",LEFT(TH!O3755,2)="15"),TK!$E$7=TH!F3755),"x","")</f>
        <v/>
      </c>
      <c r="AD3755" s="79" t="str">
        <f>IF(AND(N3755="1521",MONTH(C3755)='BK-NL'!$M$11),"x","")</f>
        <v/>
      </c>
    </row>
    <row r="3756" spans="1:30" ht="16.5" customHeight="1">
      <c r="A3756" s="318" t="str">
        <f>IF(B3756&lt;&gt;"",IF(AND(B3756='IN-TC'!$S$4,OR(TH!N3756="1111",TH!O3756="1111")),TH!D3756,""),"")</f>
        <v/>
      </c>
      <c r="B3756" s="60" t="str">
        <f t="shared" si="409"/>
        <v/>
      </c>
      <c r="C3756" s="75"/>
      <c r="D3756" s="75"/>
      <c r="E3756" s="75"/>
      <c r="F3756" s="76"/>
      <c r="G3756" s="76"/>
      <c r="H3756" s="759"/>
      <c r="I3756" s="383"/>
      <c r="J3756" s="390"/>
      <c r="K3756" s="383"/>
      <c r="L3756" s="390"/>
      <c r="M3756" s="78"/>
      <c r="N3756" s="79"/>
      <c r="O3756" s="79"/>
      <c r="P3756" s="79" t="str">
        <f>IF(AND('331-CT'!$E$7=TH!H3756,OR(N3756="331",O3756="331")),"x","")</f>
        <v/>
      </c>
      <c r="Q3756" s="79" t="str">
        <f>IF(AND(B3756='111'!$L$11,OR($N3756=$Q$7,$O3756=$Q$7)),"x","")</f>
        <v/>
      </c>
      <c r="R3756" s="79" t="str">
        <f>IF(AND($N3756=$Q$7,$B3756&lt;'111'!$L$11),"x","")</f>
        <v/>
      </c>
      <c r="S3756" s="79" t="str">
        <f>IF(AND($O3756=$Q$7,$B3756&lt;'111'!$L$11),"x","")</f>
        <v/>
      </c>
      <c r="T3756" s="79" t="str">
        <f>IF(ISERROR(FIND('112'!$M$9,G3756,1)),"",IF((AND(FIND('112'!$M$9,G3756,1)&gt;=1,B3756='112'!$K$9,OR($N3756='112'!$I$6,$O3756='112'!$I$6))),"x",""))</f>
        <v/>
      </c>
      <c r="U3756" s="79" t="str">
        <f>IF(ISERROR(FIND('112'!$M$9,G3756,1)),"",IF((AND(LEFT(G3756,2)=LEFT('112'!$M$9,2),B3756&lt;'112'!$K$9,$N3756='112'!$I$6)),"x",""))</f>
        <v/>
      </c>
      <c r="V3756" s="79" t="str">
        <f>IF(ISERROR(FIND('112'!$M$9,G3756,1)),"",IF((AND(RIGHT(G3756,2)=RIGHT('112'!$M$9,2),B3756&lt;'112'!$K$9,$O3756='112'!$I$6)),"x",""))</f>
        <v/>
      </c>
      <c r="W3756" s="79" t="str">
        <f>IF(AND('341-CT'!$H$9=H3756,OR(LEFT(N3756,3)=$W$7,LEFT(O3756,3)=$W$7)),"x","")</f>
        <v/>
      </c>
      <c r="X3756" s="79" t="str">
        <f>IF(OR(TH!N3756=TH!$X$7,O3756=TH!$X$7),"x","")</f>
        <v/>
      </c>
      <c r="Y3756" s="79" t="str">
        <f>IF(AND(OR(N3756="131",O3756="131"),H3756='131-CT'!$H$9),"x","")</f>
        <v/>
      </c>
      <c r="Z3756" s="79"/>
      <c r="AA3756" s="79" t="str">
        <f>IF(AND(MONTH(E3756)='IN-NX'!$J$5,'IN-NX'!$D$7=D3756),"x","")</f>
        <v/>
      </c>
      <c r="AB3756" s="79" t="str">
        <f>IF(AND(OR(LEFT(TH!N3756,2)="15",LEFT(TH!O3756,2)="15"),LEFT(TH!O3756,3)&lt;&gt;"111",'152-CT'!$J$8=TH!F3756),"x","")</f>
        <v/>
      </c>
      <c r="AC3756" s="79" t="str">
        <f>IF(AND(OR(LEFT(TH!N3756,2)="15",LEFT(TH!O3756,2)="15"),TK!$E$7=TH!F3756),"x","")</f>
        <v/>
      </c>
      <c r="AD3756" s="79" t="str">
        <f>IF(AND(N3756="1521",MONTH(C3756)='BK-NL'!$M$11),"x","")</f>
        <v/>
      </c>
    </row>
    <row r="3757" spans="1:30" ht="16.5" customHeight="1">
      <c r="A3757" s="318" t="str">
        <f>IF(B3757&lt;&gt;"",IF(AND(B3757='IN-TC'!$S$4,OR(TH!N3757="1111",TH!O3757="1111")),TH!D3757,""),"")</f>
        <v/>
      </c>
      <c r="B3757" s="60" t="str">
        <f t="shared" si="409"/>
        <v/>
      </c>
      <c r="C3757" s="75"/>
      <c r="D3757" s="75"/>
      <c r="E3757" s="75"/>
      <c r="F3757" s="76"/>
      <c r="G3757" s="76"/>
      <c r="H3757" s="759"/>
      <c r="I3757" s="383"/>
      <c r="J3757" s="390"/>
      <c r="K3757" s="383"/>
      <c r="L3757" s="390"/>
      <c r="M3757" s="978"/>
      <c r="N3757" s="79"/>
      <c r="O3757" s="979"/>
      <c r="P3757" s="79" t="str">
        <f>IF(AND('331-CT'!$E$7=TH!H3757,OR(N3757="331",O3757="331")),"x","")</f>
        <v/>
      </c>
      <c r="Q3757" s="79" t="str">
        <f>IF(AND(B3757='111'!$L$11,OR($N3757=$Q$7,$O3757=$Q$7)),"x","")</f>
        <v/>
      </c>
      <c r="R3757" s="79" t="str">
        <f>IF(AND($N3757=$Q$7,$B3757&lt;'111'!$L$11),"x","")</f>
        <v/>
      </c>
      <c r="S3757" s="79" t="str">
        <f>IF(AND($O3757=$Q$7,$B3757&lt;'111'!$L$11),"x","")</f>
        <v/>
      </c>
      <c r="T3757" s="79" t="str">
        <f>IF(ISERROR(FIND('112'!$M$9,G3757,1)),"",IF((AND(FIND('112'!$M$9,G3757,1)&gt;=1,B3757='112'!$K$9,OR($N3757='112'!$I$6,$O3757='112'!$I$6))),"x",""))</f>
        <v/>
      </c>
      <c r="U3757" s="79" t="str">
        <f>IF(ISERROR(FIND('112'!$M$9,G3757,1)),"",IF((AND(LEFT(G3757,2)=LEFT('112'!$M$9,2),B3757&lt;'112'!$K$9,$N3757='112'!$I$6)),"x",""))</f>
        <v/>
      </c>
      <c r="V3757" s="79" t="str">
        <f>IF(ISERROR(FIND('112'!$M$9,G3757,1)),"",IF((AND(RIGHT(G3757,2)=RIGHT('112'!$M$9,2),B3757&lt;'112'!$K$9,$O3757='112'!$I$6)),"x",""))</f>
        <v/>
      </c>
      <c r="W3757" s="79" t="str">
        <f>IF(AND('341-CT'!$H$9=H3757,OR(LEFT(N3757,3)=$W$7,LEFT(O3757,3)=$W$7)),"x","")</f>
        <v/>
      </c>
      <c r="X3757" s="79" t="str">
        <f>IF(OR(TH!N3757=TH!$X$7,O3757=TH!$X$7),"x","")</f>
        <v/>
      </c>
      <c r="Y3757" s="79" t="str">
        <f>IF(AND(OR(N3757="131",O3757="131"),H3757='131-CT'!$H$9),"x","")</f>
        <v/>
      </c>
      <c r="Z3757" s="79"/>
      <c r="AA3757" s="79" t="str">
        <f>IF(AND(MONTH(E3757)='IN-NX'!$J$5,'IN-NX'!$D$7=D3757),"x","")</f>
        <v/>
      </c>
      <c r="AB3757" s="79" t="str">
        <f>IF(AND(OR(LEFT(TH!N3757,2)="15",LEFT(TH!O3757,2)="15"),LEFT(TH!O3757,3)&lt;&gt;"111",'152-CT'!$J$8=TH!F3757),"x","")</f>
        <v/>
      </c>
      <c r="AC3757" s="79" t="str">
        <f>IF(AND(OR(LEFT(TH!N3757,2)="15",LEFT(TH!O3757,2)="15"),TK!$E$7=TH!F3757),"x","")</f>
        <v/>
      </c>
      <c r="AD3757" s="79" t="str">
        <f>IF(AND(N3757="1521",MONTH(C3757)='BK-NL'!$M$11),"x","")</f>
        <v/>
      </c>
    </row>
    <row r="3758" spans="1:30" ht="16.5" customHeight="1">
      <c r="A3758" s="318" t="str">
        <f>IF(B3758&lt;&gt;"",IF(AND(B3758='IN-TC'!$S$4,OR(TH!N3758="1111",TH!O3758="1111")),TH!D3758,""),"")</f>
        <v/>
      </c>
      <c r="B3758" s="60" t="str">
        <f t="shared" ref="B3758" si="411">IF(C3758&lt;&gt;"",MONTH(C3758),"")</f>
        <v/>
      </c>
      <c r="C3758" s="75"/>
      <c r="D3758" s="75"/>
      <c r="E3758" s="75"/>
      <c r="F3758" s="76"/>
      <c r="G3758" s="76"/>
      <c r="H3758" s="759"/>
      <c r="I3758" s="383"/>
      <c r="J3758" s="390"/>
      <c r="K3758" s="383"/>
      <c r="L3758" s="390"/>
      <c r="M3758" s="978"/>
      <c r="N3758" s="79"/>
      <c r="O3758" s="979"/>
      <c r="P3758" s="79" t="str">
        <f>IF(AND('331-CT'!$E$7=TH!H3758,OR(N3758="331",O3758="331")),"x","")</f>
        <v/>
      </c>
      <c r="Q3758" s="79" t="str">
        <f>IF(AND(B3758='111'!$L$11,OR($N3758=$Q$7,$O3758=$Q$7)),"x","")</f>
        <v/>
      </c>
      <c r="R3758" s="79" t="str">
        <f>IF(AND($N3758=$Q$7,$B3758&lt;'111'!$L$11),"x","")</f>
        <v/>
      </c>
      <c r="S3758" s="79" t="str">
        <f>IF(AND($O3758=$Q$7,$B3758&lt;'111'!$L$11),"x","")</f>
        <v/>
      </c>
      <c r="T3758" s="79" t="str">
        <f>IF(ISERROR(FIND('112'!$M$9,G3758,1)),"",IF((AND(FIND('112'!$M$9,G3758,1)&gt;=1,B3758='112'!$K$9,OR($N3758='112'!$I$6,$O3758='112'!$I$6))),"x",""))</f>
        <v/>
      </c>
      <c r="U3758" s="79" t="str">
        <f>IF(ISERROR(FIND('112'!$M$9,G3758,1)),"",IF((AND(LEFT(G3758,2)=LEFT('112'!$M$9,2),B3758&lt;'112'!$K$9,$N3758='112'!$I$6)),"x",""))</f>
        <v/>
      </c>
      <c r="V3758" s="79" t="str">
        <f>IF(ISERROR(FIND('112'!$M$9,G3758,1)),"",IF((AND(RIGHT(G3758,2)=RIGHT('112'!$M$9,2),B3758&lt;'112'!$K$9,$O3758='112'!$I$6)),"x",""))</f>
        <v/>
      </c>
      <c r="W3758" s="79" t="str">
        <f>IF(AND('341-CT'!$H$9=H3758,OR(LEFT(N3758,3)=$W$7,LEFT(O3758,3)=$W$7)),"x","")</f>
        <v/>
      </c>
      <c r="X3758" s="79" t="str">
        <f>IF(OR(TH!N3758=TH!$X$7,O3758=TH!$X$7),"x","")</f>
        <v/>
      </c>
      <c r="Y3758" s="79" t="str">
        <f>IF(AND(OR(N3758="131",O3758="131"),H3758='131-CT'!$H$9),"x","")</f>
        <v/>
      </c>
      <c r="Z3758" s="79"/>
      <c r="AA3758" s="79" t="str">
        <f>IF(AND(MONTH(E3758)='IN-NX'!$J$5,'IN-NX'!$D$7=D3758),"x","")</f>
        <v/>
      </c>
      <c r="AB3758" s="79" t="str">
        <f>IF(AND(OR(LEFT(TH!N3758,2)="15",LEFT(TH!O3758,2)="15"),LEFT(TH!O3758,3)&lt;&gt;"111",'152-CT'!$J$8=TH!F3758),"x","")</f>
        <v/>
      </c>
      <c r="AC3758" s="79" t="str">
        <f>IF(AND(OR(LEFT(TH!N3758,2)="15",LEFT(TH!O3758,2)="15"),TK!$E$7=TH!F3758),"x","")</f>
        <v/>
      </c>
      <c r="AD3758" s="79" t="str">
        <f>IF(AND(N3758="1521",MONTH(C3758)='BK-NL'!$M$11),"x","")</f>
        <v/>
      </c>
    </row>
    <row r="3759" spans="1:30" ht="16.5" customHeight="1">
      <c r="A3759" s="318" t="str">
        <f>IF(B3759&lt;&gt;"",IF(AND(B3759='IN-TC'!$S$4,OR(TH!N3759="1111",TH!O3759="1111")),TH!D3759,""),"")</f>
        <v/>
      </c>
      <c r="B3759" s="60" t="str">
        <f t="shared" ref="B3759" si="412">IF(C3759&lt;&gt;"",MONTH(C3759),"")</f>
        <v/>
      </c>
      <c r="C3759" s="75"/>
      <c r="D3759" s="75"/>
      <c r="E3759" s="75"/>
      <c r="F3759" s="76"/>
      <c r="G3759" s="76"/>
      <c r="H3759" s="759"/>
      <c r="I3759" s="383"/>
      <c r="J3759" s="390"/>
      <c r="K3759" s="383"/>
      <c r="L3759" s="390"/>
      <c r="M3759" s="978"/>
      <c r="N3759" s="79"/>
      <c r="O3759" s="979"/>
      <c r="P3759" s="79" t="str">
        <f>IF(AND('331-CT'!$E$7=TH!H3759,OR(N3759="331",O3759="331")),"x","")</f>
        <v/>
      </c>
      <c r="Q3759" s="79" t="str">
        <f>IF(AND(B3759='111'!$L$11,OR($N3759=$Q$7,$O3759=$Q$7)),"x","")</f>
        <v/>
      </c>
      <c r="R3759" s="79" t="str">
        <f>IF(AND($N3759=$Q$7,$B3759&lt;'111'!$L$11),"x","")</f>
        <v/>
      </c>
      <c r="S3759" s="79" t="str">
        <f>IF(AND($O3759=$Q$7,$B3759&lt;'111'!$L$11),"x","")</f>
        <v/>
      </c>
      <c r="T3759" s="79" t="str">
        <f>IF(ISERROR(FIND('112'!$M$9,G3759,1)),"",IF((AND(FIND('112'!$M$9,G3759,1)&gt;=1,B3759='112'!$K$9,OR($N3759='112'!$I$6,$O3759='112'!$I$6))),"x",""))</f>
        <v/>
      </c>
      <c r="U3759" s="79" t="str">
        <f>IF(ISERROR(FIND('112'!$M$9,G3759,1)),"",IF((AND(LEFT(G3759,2)=LEFT('112'!$M$9,2),B3759&lt;'112'!$K$9,$N3759='112'!$I$6)),"x",""))</f>
        <v/>
      </c>
      <c r="V3759" s="79" t="str">
        <f>IF(ISERROR(FIND('112'!$M$9,G3759,1)),"",IF((AND(RIGHT(G3759,2)=RIGHT('112'!$M$9,2),B3759&lt;'112'!$K$9,$O3759='112'!$I$6)),"x",""))</f>
        <v/>
      </c>
      <c r="W3759" s="79" t="str">
        <f>IF(AND('341-CT'!$H$9=H3759,OR(LEFT(N3759,3)=$W$7,LEFT(O3759,3)=$W$7)),"x","")</f>
        <v/>
      </c>
      <c r="X3759" s="79" t="str">
        <f>IF(OR(TH!N3759=TH!$X$7,O3759=TH!$X$7),"x","")</f>
        <v/>
      </c>
      <c r="Y3759" s="79" t="str">
        <f>IF(AND(OR(N3759="131",O3759="131"),H3759='131-CT'!$H$9),"x","")</f>
        <v/>
      </c>
      <c r="Z3759" s="79"/>
      <c r="AA3759" s="79" t="str">
        <f>IF(AND(MONTH(E3759)='IN-NX'!$J$5,'IN-NX'!$D$7=D3759),"x","")</f>
        <v/>
      </c>
      <c r="AB3759" s="79" t="str">
        <f>IF(AND(OR(LEFT(TH!N3759,2)="15",LEFT(TH!O3759,2)="15"),LEFT(TH!O3759,3)&lt;&gt;"111",'152-CT'!$J$8=TH!F3759),"x","")</f>
        <v/>
      </c>
      <c r="AC3759" s="79" t="str">
        <f>IF(AND(OR(LEFT(TH!N3759,2)="15",LEFT(TH!O3759,2)="15"),TK!$E$7=TH!F3759),"x","")</f>
        <v/>
      </c>
      <c r="AD3759" s="79" t="str">
        <f>IF(AND(N3759="1521",MONTH(C3759)='BK-NL'!$M$11),"x","")</f>
        <v/>
      </c>
    </row>
    <row r="3760" spans="1:30" ht="16.5" customHeight="1">
      <c r="A3760" s="318" t="str">
        <f>IF(B3760&lt;&gt;"",IF(AND(B3760='IN-TC'!$S$4,OR(TH!N3760="1111",TH!O3760="1111")),TH!D3760,""),"")</f>
        <v/>
      </c>
      <c r="B3760" s="60" t="str">
        <f t="shared" si="409"/>
        <v/>
      </c>
      <c r="C3760" s="75"/>
      <c r="D3760" s="75"/>
      <c r="E3760" s="75"/>
      <c r="F3760" s="76"/>
      <c r="G3760" s="76"/>
      <c r="H3760" s="759"/>
      <c r="I3760" s="383"/>
      <c r="J3760" s="390"/>
      <c r="K3760" s="383"/>
      <c r="L3760" s="390"/>
      <c r="M3760" s="978"/>
      <c r="N3760" s="79"/>
      <c r="O3760" s="79"/>
      <c r="P3760" s="79" t="str">
        <f>IF(AND('331-CT'!$E$7=TH!H3760,OR(N3760="331",O3760="331")),"x","")</f>
        <v/>
      </c>
      <c r="Q3760" s="79" t="str">
        <f>IF(AND(B3760='111'!$L$11,OR($N3760=$Q$7,$O3760=$Q$7)),"x","")</f>
        <v/>
      </c>
      <c r="R3760" s="79" t="str">
        <f>IF(AND($N3760=$Q$7,$B3760&lt;'111'!$L$11),"x","")</f>
        <v/>
      </c>
      <c r="S3760" s="79" t="str">
        <f>IF(AND($O3760=$Q$7,$B3760&lt;'111'!$L$11),"x","")</f>
        <v/>
      </c>
      <c r="T3760" s="79" t="str">
        <f>IF(ISERROR(FIND('112'!$M$9,G3760,1)),"",IF((AND(FIND('112'!$M$9,G3760,1)&gt;=1,B3760='112'!$K$9,OR($N3760='112'!$I$6,$O3760='112'!$I$6))),"x",""))</f>
        <v/>
      </c>
      <c r="U3760" s="79" t="str">
        <f>IF(ISERROR(FIND('112'!$M$9,G3760,1)),"",IF((AND(LEFT(G3760,2)=LEFT('112'!$M$9,2),B3760&lt;'112'!$K$9,$N3760='112'!$I$6)),"x",""))</f>
        <v/>
      </c>
      <c r="V3760" s="79" t="str">
        <f>IF(ISERROR(FIND('112'!$M$9,G3760,1)),"",IF((AND(RIGHT(G3760,2)=RIGHT('112'!$M$9,2),B3760&lt;'112'!$K$9,$O3760='112'!$I$6)),"x",""))</f>
        <v/>
      </c>
      <c r="W3760" s="79" t="str">
        <f>IF(AND('341-CT'!$H$9=H3760,OR(LEFT(N3760,3)=$W$7,LEFT(O3760,3)=$W$7)),"x","")</f>
        <v/>
      </c>
      <c r="X3760" s="79" t="str">
        <f>IF(OR(TH!N3760=TH!$X$7,O3760=TH!$X$7),"x","")</f>
        <v/>
      </c>
      <c r="Y3760" s="79" t="str">
        <f>IF(AND(OR(N3760="131",O3760="131"),H3760='131-CT'!$H$9),"x","")</f>
        <v/>
      </c>
      <c r="Z3760" s="79"/>
      <c r="AA3760" s="79" t="str">
        <f>IF(AND(MONTH(E3760)='IN-NX'!$J$5,'IN-NX'!$D$7=D3760),"x","")</f>
        <v/>
      </c>
      <c r="AB3760" s="79" t="str">
        <f>IF(AND(OR(LEFT(TH!N3760,2)="15",LEFT(TH!O3760,2)="15"),LEFT(TH!O3760,3)&lt;&gt;"111",'152-CT'!$J$8=TH!F3760),"x","")</f>
        <v/>
      </c>
      <c r="AC3760" s="79" t="str">
        <f>IF(AND(OR(LEFT(TH!N3760,2)="15",LEFT(TH!O3760,2)="15"),TK!$E$7=TH!F3760),"x","")</f>
        <v/>
      </c>
      <c r="AD3760" s="79" t="str">
        <f>IF(AND(N3760="1521",MONTH(C3760)='BK-NL'!$M$11),"x","")</f>
        <v/>
      </c>
    </row>
    <row r="3761" spans="1:30" ht="16.5" customHeight="1">
      <c r="A3761" s="318" t="str">
        <f>IF(B3761&lt;&gt;"",IF(AND(B3761='IN-TC'!$S$4,OR(TH!N3761="1111",TH!O3761="1111")),TH!D3761,""),"")</f>
        <v/>
      </c>
      <c r="B3761" s="60" t="str">
        <f t="shared" si="409"/>
        <v/>
      </c>
      <c r="C3761" s="75"/>
      <c r="D3761" s="75"/>
      <c r="E3761" s="75"/>
      <c r="F3761" s="76"/>
      <c r="G3761" s="76"/>
      <c r="H3761" s="759"/>
      <c r="I3761" s="383"/>
      <c r="J3761" s="390"/>
      <c r="K3761" s="383"/>
      <c r="L3761" s="390"/>
      <c r="M3761" s="978"/>
      <c r="N3761" s="79"/>
      <c r="O3761" s="979"/>
      <c r="P3761" s="79" t="str">
        <f>IF(AND('331-CT'!$E$7=TH!H3761,OR(N3761="331",O3761="331")),"x","")</f>
        <v/>
      </c>
      <c r="Q3761" s="79" t="str">
        <f>IF(AND(B3761='111'!$L$11,OR($N3761=$Q$7,$O3761=$Q$7)),"x","")</f>
        <v/>
      </c>
      <c r="R3761" s="79" t="str">
        <f>IF(AND($N3761=$Q$7,$B3761&lt;'111'!$L$11),"x","")</f>
        <v/>
      </c>
      <c r="S3761" s="79" t="str">
        <f>IF(AND($O3761=$Q$7,$B3761&lt;'111'!$L$11),"x","")</f>
        <v/>
      </c>
      <c r="T3761" s="79" t="str">
        <f>IF(ISERROR(FIND('112'!$M$9,G3761,1)),"",IF((AND(FIND('112'!$M$9,G3761,1)&gt;=1,B3761='112'!$K$9,OR($N3761='112'!$I$6,$O3761='112'!$I$6))),"x",""))</f>
        <v/>
      </c>
      <c r="U3761" s="79" t="str">
        <f>IF(ISERROR(FIND('112'!$M$9,G3761,1)),"",IF((AND(LEFT(G3761,2)=LEFT('112'!$M$9,2),B3761&lt;'112'!$K$9,$N3761='112'!$I$6)),"x",""))</f>
        <v/>
      </c>
      <c r="V3761" s="79" t="str">
        <f>IF(ISERROR(FIND('112'!$M$9,G3761,1)),"",IF((AND(RIGHT(G3761,2)=RIGHT('112'!$M$9,2),B3761&lt;'112'!$K$9,$O3761='112'!$I$6)),"x",""))</f>
        <v/>
      </c>
      <c r="W3761" s="79" t="str">
        <f>IF(AND('341-CT'!$H$9=H3761,OR(LEFT(N3761,3)=$W$7,LEFT(O3761,3)=$W$7)),"x","")</f>
        <v/>
      </c>
      <c r="X3761" s="79" t="str">
        <f>IF(OR(TH!N3761=TH!$X$7,O3761=TH!$X$7),"x","")</f>
        <v/>
      </c>
      <c r="Y3761" s="79" t="str">
        <f>IF(AND(OR(N3761="131",O3761="131"),H3761='131-CT'!$H$9),"x","")</f>
        <v/>
      </c>
      <c r="Z3761" s="79"/>
      <c r="AA3761" s="79" t="str">
        <f>IF(AND(MONTH(E3761)='IN-NX'!$J$5,'IN-NX'!$D$7=D3761),"x","")</f>
        <v/>
      </c>
      <c r="AB3761" s="79" t="str">
        <f>IF(AND(OR(LEFT(TH!N3761,2)="15",LEFT(TH!O3761,2)="15"),LEFT(TH!O3761,3)&lt;&gt;"111",'152-CT'!$J$8=TH!F3761),"x","")</f>
        <v/>
      </c>
      <c r="AC3761" s="79" t="str">
        <f>IF(AND(OR(LEFT(TH!N3761,2)="15",LEFT(TH!O3761,2)="15"),TK!$E$7=TH!F3761),"x","")</f>
        <v/>
      </c>
      <c r="AD3761" s="79" t="str">
        <f>IF(AND(N3761="1521",MONTH(C3761)='BK-NL'!$M$11),"x","")</f>
        <v/>
      </c>
    </row>
    <row r="3762" spans="1:30" ht="16.5" customHeight="1">
      <c r="A3762" s="318" t="str">
        <f>IF(B3762&lt;&gt;"",IF(AND(B3762='IN-TC'!$S$4,OR(TH!N3762="1111",TH!O3762="1111")),TH!D3762,""),"")</f>
        <v/>
      </c>
      <c r="B3762" s="60" t="str">
        <f t="shared" si="409"/>
        <v/>
      </c>
      <c r="C3762" s="75"/>
      <c r="D3762" s="75"/>
      <c r="E3762" s="75"/>
      <c r="F3762" s="76"/>
      <c r="G3762" s="76"/>
      <c r="H3762" s="759"/>
      <c r="I3762" s="383"/>
      <c r="J3762" s="390"/>
      <c r="K3762" s="383"/>
      <c r="L3762" s="390"/>
      <c r="M3762" s="978"/>
      <c r="N3762" s="79"/>
      <c r="O3762" s="79"/>
      <c r="P3762" s="79" t="str">
        <f>IF(AND('331-CT'!$E$7=TH!H3762,OR(N3762="331",O3762="331")),"x","")</f>
        <v/>
      </c>
      <c r="Q3762" s="79" t="str">
        <f>IF(AND(B3762='111'!$L$11,OR($N3762=$Q$7,$O3762=$Q$7)),"x","")</f>
        <v/>
      </c>
      <c r="R3762" s="79" t="str">
        <f>IF(AND($N3762=$Q$7,$B3762&lt;'111'!$L$11),"x","")</f>
        <v/>
      </c>
      <c r="S3762" s="79" t="str">
        <f>IF(AND($O3762=$Q$7,$B3762&lt;'111'!$L$11),"x","")</f>
        <v/>
      </c>
      <c r="T3762" s="79" t="str">
        <f>IF(ISERROR(FIND('112'!$M$9,G3762,1)),"",IF((AND(FIND('112'!$M$9,G3762,1)&gt;=1,B3762='112'!$K$9,OR($N3762='112'!$I$6,$O3762='112'!$I$6))),"x",""))</f>
        <v/>
      </c>
      <c r="U3762" s="79" t="str">
        <f>IF(ISERROR(FIND('112'!$M$9,G3762,1)),"",IF((AND(LEFT(G3762,2)=LEFT('112'!$M$9,2),B3762&lt;'112'!$K$9,$N3762='112'!$I$6)),"x",""))</f>
        <v/>
      </c>
      <c r="V3762" s="79" t="str">
        <f>IF(ISERROR(FIND('112'!$M$9,G3762,1)),"",IF((AND(RIGHT(G3762,2)=RIGHT('112'!$M$9,2),B3762&lt;'112'!$K$9,$O3762='112'!$I$6)),"x",""))</f>
        <v/>
      </c>
      <c r="W3762" s="79" t="str">
        <f>IF(AND('341-CT'!$H$9=H3762,OR(LEFT(N3762,3)=$W$7,LEFT(O3762,3)=$W$7)),"x","")</f>
        <v/>
      </c>
      <c r="X3762" s="79" t="str">
        <f>IF(OR(TH!N3762=TH!$X$7,O3762=TH!$X$7),"x","")</f>
        <v/>
      </c>
      <c r="Y3762" s="79" t="str">
        <f>IF(AND(OR(N3762="131",O3762="131"),H3762='131-CT'!$H$9),"x","")</f>
        <v/>
      </c>
      <c r="Z3762" s="79"/>
      <c r="AA3762" s="79" t="str">
        <f>IF(AND(MONTH(E3762)='IN-NX'!$J$5,'IN-NX'!$D$7=D3762),"x","")</f>
        <v/>
      </c>
      <c r="AB3762" s="79" t="str">
        <f>IF(AND(OR(LEFT(TH!N3762,2)="15",LEFT(TH!O3762,2)="15"),LEFT(TH!O3762,3)&lt;&gt;"111",'152-CT'!$J$8=TH!F3762),"x","")</f>
        <v/>
      </c>
      <c r="AC3762" s="79" t="str">
        <f>IF(AND(OR(LEFT(TH!N3762,2)="15",LEFT(TH!O3762,2)="15"),TK!$E$7=TH!F3762),"x","")</f>
        <v/>
      </c>
      <c r="AD3762" s="79" t="str">
        <f>IF(AND(N3762="1521",MONTH(C3762)='BK-NL'!$M$11),"x","")</f>
        <v/>
      </c>
    </row>
    <row r="3763" spans="1:30" ht="16.5" customHeight="1">
      <c r="A3763" s="318" t="str">
        <f>IF(B3763&lt;&gt;"",IF(AND(B3763='IN-TC'!$S$4,OR(TH!N3763="1111",TH!O3763="1111")),TH!D3763,""),"")</f>
        <v/>
      </c>
      <c r="B3763" s="60" t="str">
        <f t="shared" si="409"/>
        <v/>
      </c>
      <c r="C3763" s="75"/>
      <c r="D3763" s="75"/>
      <c r="E3763" s="75"/>
      <c r="F3763" s="76"/>
      <c r="G3763" s="76"/>
      <c r="H3763" s="759"/>
      <c r="I3763" s="383"/>
      <c r="J3763" s="390"/>
      <c r="K3763" s="383"/>
      <c r="L3763" s="390"/>
      <c r="M3763" s="978"/>
      <c r="N3763" s="79"/>
      <c r="O3763" s="79"/>
      <c r="P3763" s="79" t="str">
        <f>IF(AND('331-CT'!$E$7=TH!H3763,OR(N3763="331",O3763="331")),"x","")</f>
        <v/>
      </c>
      <c r="Q3763" s="79" t="str">
        <f>IF(AND(B3763='111'!$L$11,OR($N3763=$Q$7,$O3763=$Q$7)),"x","")</f>
        <v/>
      </c>
      <c r="R3763" s="79" t="str">
        <f>IF(AND($N3763=$Q$7,$B3763&lt;'111'!$L$11),"x","")</f>
        <v/>
      </c>
      <c r="S3763" s="79" t="str">
        <f>IF(AND($O3763=$Q$7,$B3763&lt;'111'!$L$11),"x","")</f>
        <v/>
      </c>
      <c r="T3763" s="79" t="str">
        <f>IF(ISERROR(FIND('112'!$M$9,G3763,1)),"",IF((AND(FIND('112'!$M$9,G3763,1)&gt;=1,B3763='112'!$K$9,OR($N3763='112'!$I$6,$O3763='112'!$I$6))),"x",""))</f>
        <v/>
      </c>
      <c r="U3763" s="79" t="str">
        <f>IF(ISERROR(FIND('112'!$M$9,G3763,1)),"",IF((AND(LEFT(G3763,2)=LEFT('112'!$M$9,2),B3763&lt;'112'!$K$9,$N3763='112'!$I$6)),"x",""))</f>
        <v/>
      </c>
      <c r="V3763" s="79" t="str">
        <f>IF(ISERROR(FIND('112'!$M$9,G3763,1)),"",IF((AND(RIGHT(G3763,2)=RIGHT('112'!$M$9,2),B3763&lt;'112'!$K$9,$O3763='112'!$I$6)),"x",""))</f>
        <v/>
      </c>
      <c r="W3763" s="79" t="str">
        <f>IF(AND('341-CT'!$H$9=H3763,OR(LEFT(N3763,3)=$W$7,LEFT(O3763,3)=$W$7)),"x","")</f>
        <v/>
      </c>
      <c r="X3763" s="79" t="str">
        <f>IF(OR(TH!N3763=TH!$X$7,O3763=TH!$X$7),"x","")</f>
        <v/>
      </c>
      <c r="Y3763" s="79" t="str">
        <f>IF(AND(OR(N3763="131",O3763="131"),H3763='131-CT'!$H$9),"x","")</f>
        <v/>
      </c>
      <c r="Z3763" s="79"/>
      <c r="AA3763" s="79" t="str">
        <f>IF(AND(MONTH(E3763)='IN-NX'!$J$5,'IN-NX'!$D$7=D3763),"x","")</f>
        <v/>
      </c>
      <c r="AB3763" s="79" t="str">
        <f>IF(AND(OR(LEFT(TH!N3763,2)="15",LEFT(TH!O3763,2)="15"),LEFT(TH!O3763,3)&lt;&gt;"111",'152-CT'!$J$8=TH!F3763),"x","")</f>
        <v/>
      </c>
      <c r="AC3763" s="79" t="str">
        <f>IF(AND(OR(LEFT(TH!N3763,2)="15",LEFT(TH!O3763,2)="15"),TK!$E$7=TH!F3763),"x","")</f>
        <v/>
      </c>
      <c r="AD3763" s="79" t="str">
        <f>IF(AND(N3763="1521",MONTH(C3763)='BK-NL'!$M$11),"x","")</f>
        <v/>
      </c>
    </row>
    <row r="3764" spans="1:30" ht="16.5" customHeight="1">
      <c r="A3764" s="318" t="str">
        <f>IF(B3764&lt;&gt;"",IF(AND(B3764='IN-TC'!$S$4,OR(TH!N3764="1111",TH!O3764="1111")),TH!D3764,""),"")</f>
        <v/>
      </c>
      <c r="B3764" s="60" t="str">
        <f t="shared" si="409"/>
        <v/>
      </c>
      <c r="C3764" s="75"/>
      <c r="D3764" s="75"/>
      <c r="E3764" s="75"/>
      <c r="F3764" s="76"/>
      <c r="G3764" s="76"/>
      <c r="H3764" s="77"/>
      <c r="I3764" s="383"/>
      <c r="J3764" s="390"/>
      <c r="K3764" s="1247"/>
      <c r="L3764" s="390"/>
      <c r="M3764" s="978"/>
      <c r="N3764" s="79"/>
      <c r="O3764" s="79"/>
      <c r="P3764" s="79" t="str">
        <f>IF(AND('331-CT'!$E$7=TH!H3764,OR(N3764="331",O3764="331")),"x","")</f>
        <v/>
      </c>
      <c r="Q3764" s="79" t="str">
        <f>IF(AND(B3764='111'!$L$11,OR($N3764=$Q$7,$O3764=$Q$7)),"x","")</f>
        <v/>
      </c>
      <c r="R3764" s="79" t="str">
        <f>IF(AND($N3764=$Q$7,$B3764&lt;'111'!$L$11),"x","")</f>
        <v/>
      </c>
      <c r="S3764" s="79" t="str">
        <f>IF(AND($O3764=$Q$7,$B3764&lt;'111'!$L$11),"x","")</f>
        <v/>
      </c>
      <c r="T3764" s="79" t="str">
        <f>IF(ISERROR(FIND('112'!$M$9,G3764,1)),"",IF((AND(FIND('112'!$M$9,G3764,1)&gt;=1,B3764='112'!$K$9,OR($N3764='112'!$I$6,$O3764='112'!$I$6))),"x",""))</f>
        <v/>
      </c>
      <c r="U3764" s="79" t="str">
        <f>IF(ISERROR(FIND('112'!$M$9,G3764,1)),"",IF((AND(LEFT(G3764,2)=LEFT('112'!$M$9,2),B3764&lt;'112'!$K$9,$N3764='112'!$I$6)),"x",""))</f>
        <v/>
      </c>
      <c r="V3764" s="79" t="str">
        <f>IF(ISERROR(FIND('112'!$M$9,G3764,1)),"",IF((AND(RIGHT(G3764,2)=RIGHT('112'!$M$9,2),B3764&lt;'112'!$K$9,$O3764='112'!$I$6)),"x",""))</f>
        <v/>
      </c>
      <c r="W3764" s="79" t="str">
        <f>IF(AND('341-CT'!$H$9=H3764,OR(LEFT(N3764,3)=$W$7,LEFT(O3764,3)=$W$7)),"x","")</f>
        <v/>
      </c>
      <c r="X3764" s="79" t="str">
        <f>IF(OR(TH!N3764=TH!$X$7,O3764=TH!$X$7),"x","")</f>
        <v/>
      </c>
      <c r="Y3764" s="79" t="str">
        <f>IF(AND(OR(N3764="131",O3764="131"),H3764='131-CT'!$H$9),"x","")</f>
        <v/>
      </c>
      <c r="Z3764" s="79"/>
      <c r="AA3764" s="79" t="str">
        <f>IF(AND(MONTH(E3764)='IN-NX'!$J$5,'IN-NX'!$D$7=D3764),"x","")</f>
        <v/>
      </c>
      <c r="AB3764" s="79" t="str">
        <f>IF(AND(OR(LEFT(TH!N3764,2)="15",LEFT(TH!O3764,2)="15"),LEFT(TH!O3764,3)&lt;&gt;"111",'152-CT'!$J$8=TH!F3764),"x","")</f>
        <v/>
      </c>
      <c r="AC3764" s="79" t="str">
        <f>IF(AND(OR(LEFT(TH!N3764,2)="15",LEFT(TH!O3764,2)="15"),TK!$E$7=TH!F3764),"x","")</f>
        <v/>
      </c>
      <c r="AD3764" s="79" t="str">
        <f>IF(AND(N3764="1521",MONTH(C3764)='BK-NL'!$M$11),"x","")</f>
        <v/>
      </c>
    </row>
    <row r="3765" spans="1:30" ht="16.5" customHeight="1">
      <c r="A3765" s="318" t="str">
        <f>IF(B3765&lt;&gt;"",IF(AND(B3765='IN-TC'!$S$4,OR(TH!N3765="1111",TH!O3765="1111")),TH!D3765,""),"")</f>
        <v/>
      </c>
      <c r="B3765" s="60" t="str">
        <f t="shared" si="409"/>
        <v/>
      </c>
      <c r="C3765" s="75"/>
      <c r="D3765" s="75"/>
      <c r="E3765" s="75"/>
      <c r="F3765" s="76"/>
      <c r="G3765" s="76"/>
      <c r="H3765" s="77"/>
      <c r="I3765" s="383"/>
      <c r="J3765" s="390"/>
      <c r="K3765" s="1247"/>
      <c r="L3765" s="390"/>
      <c r="M3765" s="978"/>
      <c r="N3765" s="79"/>
      <c r="O3765" s="79"/>
      <c r="P3765" s="79" t="str">
        <f>IF(AND('331-CT'!$E$7=TH!H3765,OR(N3765="331",O3765="331")),"x","")</f>
        <v/>
      </c>
      <c r="Q3765" s="79" t="str">
        <f>IF(AND(B3765='111'!$L$11,OR($N3765=$Q$7,$O3765=$Q$7)),"x","")</f>
        <v/>
      </c>
      <c r="R3765" s="79" t="str">
        <f>IF(AND($N3765=$Q$7,$B3765&lt;'111'!$L$11),"x","")</f>
        <v/>
      </c>
      <c r="S3765" s="79" t="str">
        <f>IF(AND($O3765=$Q$7,$B3765&lt;'111'!$L$11),"x","")</f>
        <v/>
      </c>
      <c r="T3765" s="79" t="str">
        <f>IF(ISERROR(FIND('112'!$M$9,G3765,1)),"",IF((AND(FIND('112'!$M$9,G3765,1)&gt;=1,B3765='112'!$K$9,OR($N3765='112'!$I$6,$O3765='112'!$I$6))),"x",""))</f>
        <v/>
      </c>
      <c r="U3765" s="79" t="str">
        <f>IF(ISERROR(FIND('112'!$M$9,G3765,1)),"",IF((AND(LEFT(G3765,2)=LEFT('112'!$M$9,2),B3765&lt;'112'!$K$9,$N3765='112'!$I$6)),"x",""))</f>
        <v/>
      </c>
      <c r="V3765" s="79" t="str">
        <f>IF(ISERROR(FIND('112'!$M$9,G3765,1)),"",IF((AND(RIGHT(G3765,2)=RIGHT('112'!$M$9,2),B3765&lt;'112'!$K$9,$O3765='112'!$I$6)),"x",""))</f>
        <v/>
      </c>
      <c r="W3765" s="79" t="str">
        <f>IF(AND('341-CT'!$H$9=H3765,OR(LEFT(N3765,3)=$W$7,LEFT(O3765,3)=$W$7)),"x","")</f>
        <v/>
      </c>
      <c r="X3765" s="79" t="str">
        <f>IF(OR(TH!N3765=TH!$X$7,O3765=TH!$X$7),"x","")</f>
        <v/>
      </c>
      <c r="Y3765" s="79" t="str">
        <f>IF(AND(OR(N3765="131",O3765="131"),H3765='131-CT'!$H$9),"x","")</f>
        <v/>
      </c>
      <c r="Z3765" s="79"/>
      <c r="AA3765" s="79" t="str">
        <f>IF(AND(MONTH(E3765)='IN-NX'!$J$5,'IN-NX'!$D$7=D3765),"x","")</f>
        <v/>
      </c>
      <c r="AB3765" s="79" t="str">
        <f>IF(AND(OR(LEFT(TH!N3765,2)="15",LEFT(TH!O3765,2)="15"),LEFT(TH!O3765,3)&lt;&gt;"111",'152-CT'!$J$8=TH!F3765),"x","")</f>
        <v/>
      </c>
      <c r="AC3765" s="79" t="str">
        <f>IF(AND(OR(LEFT(TH!N3765,2)="15",LEFT(TH!O3765,2)="15"),TK!$E$7=TH!F3765),"x","")</f>
        <v/>
      </c>
      <c r="AD3765" s="79" t="str">
        <f>IF(AND(N3765="1521",MONTH(C3765)='BK-NL'!$M$11),"x","")</f>
        <v/>
      </c>
    </row>
    <row r="3766" spans="1:30" ht="16.5" customHeight="1">
      <c r="A3766" s="318" t="str">
        <f>IF(B3766&lt;&gt;"",IF(AND(B3766='IN-TC'!$S$4,OR(TH!N3766="1111",TH!O3766="1111")),TH!D3766,""),"")</f>
        <v/>
      </c>
      <c r="B3766" s="60" t="str">
        <f t="shared" si="409"/>
        <v/>
      </c>
      <c r="C3766" s="75"/>
      <c r="D3766" s="75"/>
      <c r="E3766" s="75"/>
      <c r="F3766" s="76"/>
      <c r="G3766" s="76"/>
      <c r="H3766" s="76"/>
      <c r="I3766" s="383"/>
      <c r="J3766" s="390"/>
      <c r="K3766" s="383"/>
      <c r="L3766" s="390"/>
      <c r="M3766" s="978"/>
      <c r="N3766" s="79"/>
      <c r="O3766" s="979"/>
      <c r="P3766" s="79" t="str">
        <f>IF(AND('331-CT'!$E$7=TH!H3766,OR(N3766="331",O3766="331")),"x","")</f>
        <v/>
      </c>
      <c r="Q3766" s="79" t="str">
        <f>IF(AND(B3766='111'!$L$11,OR($N3766=$Q$7,$O3766=$Q$7)),"x","")</f>
        <v/>
      </c>
      <c r="R3766" s="79" t="str">
        <f>IF(AND($N3766=$Q$7,$B3766&lt;'111'!$L$11),"x","")</f>
        <v/>
      </c>
      <c r="S3766" s="79" t="str">
        <f>IF(AND($O3766=$Q$7,$B3766&lt;'111'!$L$11),"x","")</f>
        <v/>
      </c>
      <c r="T3766" s="79" t="str">
        <f>IF(ISERROR(FIND('112'!$M$9,G3766,1)),"",IF((AND(FIND('112'!$M$9,G3766,1)&gt;=1,B3766='112'!$K$9,OR($N3766='112'!$I$6,$O3766='112'!$I$6))),"x",""))</f>
        <v/>
      </c>
      <c r="U3766" s="79" t="str">
        <f>IF(ISERROR(FIND('112'!$M$9,G3766,1)),"",IF((AND(LEFT(G3766,2)=LEFT('112'!$M$9,2),B3766&lt;'112'!$K$9,$N3766='112'!$I$6)),"x",""))</f>
        <v/>
      </c>
      <c r="V3766" s="79" t="str">
        <f>IF(ISERROR(FIND('112'!$M$9,G3766,1)),"",IF((AND(RIGHT(G3766,2)=RIGHT('112'!$M$9,2),B3766&lt;'112'!$K$9,$O3766='112'!$I$6)),"x",""))</f>
        <v/>
      </c>
      <c r="W3766" s="79" t="str">
        <f>IF(AND('341-CT'!$H$9=H3766,OR(LEFT(N3766,3)=$W$7,LEFT(O3766,3)=$W$7)),"x","")</f>
        <v/>
      </c>
      <c r="X3766" s="79" t="str">
        <f>IF(OR(TH!N3766=TH!$X$7,O3766=TH!$X$7),"x","")</f>
        <v/>
      </c>
      <c r="Y3766" s="79" t="str">
        <f>IF(AND(OR(N3766="131",O3766="131"),H3766='131-CT'!$H$9),"x","")</f>
        <v/>
      </c>
      <c r="Z3766" s="79"/>
      <c r="AA3766" s="79" t="str">
        <f>IF(AND(MONTH(E3766)='IN-NX'!$J$5,'IN-NX'!$D$7=D3766),"x","")</f>
        <v/>
      </c>
      <c r="AB3766" s="79" t="str">
        <f>IF(AND(OR(LEFT(TH!N3766,2)="15",LEFT(TH!O3766,2)="15"),LEFT(TH!O3766,3)&lt;&gt;"111",'152-CT'!$J$8=TH!F3766),"x","")</f>
        <v/>
      </c>
      <c r="AC3766" s="79" t="str">
        <f>IF(AND(OR(LEFT(TH!N3766,2)="15",LEFT(TH!O3766,2)="15"),TK!$E$7=TH!F3766),"x","")</f>
        <v/>
      </c>
      <c r="AD3766" s="79" t="str">
        <f>IF(AND(N3766="1521",MONTH(C3766)='BK-NL'!$M$11),"x","")</f>
        <v/>
      </c>
    </row>
    <row r="3767" spans="1:30" ht="16.5" customHeight="1">
      <c r="A3767" s="318" t="str">
        <f>IF(B3767&lt;&gt;"",IF(AND(B3767='IN-TC'!$S$4,OR(TH!N3767="1111",TH!O3767="1111")),TH!D3767,""),"")</f>
        <v/>
      </c>
      <c r="B3767" s="60" t="str">
        <f t="shared" si="409"/>
        <v/>
      </c>
      <c r="C3767" s="75"/>
      <c r="D3767" s="75"/>
      <c r="E3767" s="75"/>
      <c r="F3767" s="76"/>
      <c r="G3767" s="76"/>
      <c r="H3767" s="76"/>
      <c r="I3767" s="383"/>
      <c r="J3767" s="390"/>
      <c r="K3767" s="383"/>
      <c r="L3767" s="390"/>
      <c r="M3767" s="978"/>
      <c r="N3767" s="79"/>
      <c r="O3767" s="979"/>
      <c r="P3767" s="79" t="str">
        <f>IF(AND('331-CT'!$E$7=TH!H3767,OR(N3767="331",O3767="331")),"x","")</f>
        <v/>
      </c>
      <c r="Q3767" s="79" t="str">
        <f>IF(AND(B3767='111'!$L$11,OR($N3767=$Q$7,$O3767=$Q$7)),"x","")</f>
        <v/>
      </c>
      <c r="R3767" s="79" t="str">
        <f>IF(AND($N3767=$Q$7,$B3767&lt;'111'!$L$11),"x","")</f>
        <v/>
      </c>
      <c r="S3767" s="79" t="str">
        <f>IF(AND($O3767=$Q$7,$B3767&lt;'111'!$L$11),"x","")</f>
        <v/>
      </c>
      <c r="T3767" s="79" t="str">
        <f>IF(ISERROR(FIND('112'!$M$9,G3767,1)),"",IF((AND(FIND('112'!$M$9,G3767,1)&gt;=1,B3767='112'!$K$9,OR($N3767='112'!$I$6,$O3767='112'!$I$6))),"x",""))</f>
        <v/>
      </c>
      <c r="U3767" s="79" t="str">
        <f>IF(ISERROR(FIND('112'!$M$9,G3767,1)),"",IF((AND(LEFT(G3767,2)=LEFT('112'!$M$9,2),B3767&lt;'112'!$K$9,$N3767='112'!$I$6)),"x",""))</f>
        <v/>
      </c>
      <c r="V3767" s="79" t="str">
        <f>IF(ISERROR(FIND('112'!$M$9,G3767,1)),"",IF((AND(RIGHT(G3767,2)=RIGHT('112'!$M$9,2),B3767&lt;'112'!$K$9,$O3767='112'!$I$6)),"x",""))</f>
        <v/>
      </c>
      <c r="W3767" s="79" t="str">
        <f>IF(AND('341-CT'!$H$9=H3767,OR(LEFT(N3767,3)=$W$7,LEFT(O3767,3)=$W$7)),"x","")</f>
        <v/>
      </c>
      <c r="X3767" s="79" t="str">
        <f>IF(OR(TH!N3767=TH!$X$7,O3767=TH!$X$7),"x","")</f>
        <v/>
      </c>
      <c r="Y3767" s="79" t="str">
        <f>IF(AND(OR(N3767="131",O3767="131"),H3767='131-CT'!$H$9),"x","")</f>
        <v/>
      </c>
      <c r="Z3767" s="79"/>
      <c r="AA3767" s="79" t="str">
        <f>IF(AND(MONTH(E3767)='IN-NX'!$J$5,'IN-NX'!$D$7=D3767),"x","")</f>
        <v/>
      </c>
      <c r="AB3767" s="79" t="str">
        <f>IF(AND(OR(LEFT(TH!N3767,2)="15",LEFT(TH!O3767,2)="15"),LEFT(TH!O3767,3)&lt;&gt;"111",'152-CT'!$J$8=TH!F3767),"x","")</f>
        <v/>
      </c>
      <c r="AC3767" s="79" t="str">
        <f>IF(AND(OR(LEFT(TH!N3767,2)="15",LEFT(TH!O3767,2)="15"),TK!$E$7=TH!F3767),"x","")</f>
        <v/>
      </c>
      <c r="AD3767" s="79" t="str">
        <f>IF(AND(N3767="1521",MONTH(C3767)='BK-NL'!$M$11),"x","")</f>
        <v/>
      </c>
    </row>
    <row r="3768" spans="1:30" ht="16.5" customHeight="1">
      <c r="A3768" s="318" t="str">
        <f>IF(B3768&lt;&gt;"",IF(AND(B3768='IN-TC'!$S$4,OR(TH!N3768="1111",TH!O3768="1111")),TH!D3768,""),"")</f>
        <v/>
      </c>
      <c r="B3768" s="60" t="str">
        <f t="shared" si="409"/>
        <v/>
      </c>
      <c r="C3768" s="75"/>
      <c r="D3768" s="75"/>
      <c r="E3768" s="75"/>
      <c r="F3768" s="76"/>
      <c r="G3768" s="76"/>
      <c r="H3768" s="759"/>
      <c r="I3768" s="383"/>
      <c r="J3768" s="390"/>
      <c r="K3768" s="383"/>
      <c r="L3768" s="390"/>
      <c r="M3768" s="978"/>
      <c r="N3768" s="79"/>
      <c r="O3768" s="979"/>
      <c r="P3768" s="79" t="str">
        <f>IF(AND('331-CT'!$E$7=TH!H3768,OR(N3768="331",O3768="331")),"x","")</f>
        <v/>
      </c>
      <c r="Q3768" s="79" t="str">
        <f>IF(AND(B3768='111'!$L$11,OR($N3768=$Q$7,$O3768=$Q$7)),"x","")</f>
        <v/>
      </c>
      <c r="R3768" s="79" t="str">
        <f>IF(AND($N3768=$Q$7,$B3768&lt;'111'!$L$11),"x","")</f>
        <v/>
      </c>
      <c r="S3768" s="79" t="str">
        <f>IF(AND($O3768=$Q$7,$B3768&lt;'111'!$L$11),"x","")</f>
        <v/>
      </c>
      <c r="T3768" s="79" t="str">
        <f>IF(ISERROR(FIND('112'!$M$9,G3768,1)),"",IF((AND(FIND('112'!$M$9,G3768,1)&gt;=1,B3768='112'!$K$9,OR($N3768='112'!$I$6,$O3768='112'!$I$6))),"x",""))</f>
        <v/>
      </c>
      <c r="U3768" s="79" t="str">
        <f>IF(ISERROR(FIND('112'!$M$9,G3768,1)),"",IF((AND(LEFT(G3768,2)=LEFT('112'!$M$9,2),B3768&lt;'112'!$K$9,$N3768='112'!$I$6)),"x",""))</f>
        <v/>
      </c>
      <c r="V3768" s="79" t="str">
        <f>IF(ISERROR(FIND('112'!$M$9,G3768,1)),"",IF((AND(RIGHT(G3768,2)=RIGHT('112'!$M$9,2),B3768&lt;'112'!$K$9,$O3768='112'!$I$6)),"x",""))</f>
        <v/>
      </c>
      <c r="W3768" s="79" t="str">
        <f>IF(AND('341-CT'!$H$9=H3768,OR(LEFT(N3768,3)=$W$7,LEFT(O3768,3)=$W$7)),"x","")</f>
        <v/>
      </c>
      <c r="X3768" s="79" t="str">
        <f>IF(OR(TH!N3768=TH!$X$7,O3768=TH!$X$7),"x","")</f>
        <v/>
      </c>
      <c r="Y3768" s="79" t="str">
        <f>IF(AND(OR(N3768="131",O3768="131"),H3768='131-CT'!$H$9),"x","")</f>
        <v/>
      </c>
      <c r="Z3768" s="79"/>
      <c r="AA3768" s="79" t="str">
        <f>IF(AND(MONTH(E3768)='IN-NX'!$J$5,'IN-NX'!$D$7=D3768),"x","")</f>
        <v/>
      </c>
      <c r="AB3768" s="79" t="str">
        <f>IF(AND(OR(LEFT(TH!N3768,2)="15",LEFT(TH!O3768,2)="15"),LEFT(TH!O3768,3)&lt;&gt;"111",'152-CT'!$J$8=TH!F3768),"x","")</f>
        <v/>
      </c>
      <c r="AC3768" s="79" t="str">
        <f>IF(AND(OR(LEFT(TH!N3768,2)="15",LEFT(TH!O3768,2)="15"),TK!$E$7=TH!F3768),"x","")</f>
        <v/>
      </c>
      <c r="AD3768" s="79" t="str">
        <f>IF(AND(N3768="1521",MONTH(C3768)='BK-NL'!$M$11),"x","")</f>
        <v/>
      </c>
    </row>
    <row r="3769" spans="1:30" ht="16.5" customHeight="1">
      <c r="A3769" s="318" t="str">
        <f>IF(B3769&lt;&gt;"",IF(AND(B3769='IN-TC'!$S$4,OR(TH!N3769="1111",TH!O3769="1111")),TH!D3769,""),"")</f>
        <v/>
      </c>
      <c r="B3769" s="60" t="str">
        <f t="shared" si="409"/>
        <v/>
      </c>
      <c r="C3769" s="75"/>
      <c r="D3769" s="75"/>
      <c r="E3769" s="75"/>
      <c r="F3769" s="76"/>
      <c r="G3769" s="76"/>
      <c r="H3769" s="759"/>
      <c r="I3769" s="383"/>
      <c r="J3769" s="390"/>
      <c r="K3769" s="383"/>
      <c r="L3769" s="390"/>
      <c r="M3769" s="978"/>
      <c r="N3769" s="79"/>
      <c r="O3769" s="979"/>
      <c r="P3769" s="79" t="str">
        <f>IF(AND('331-CT'!$E$7=TH!H3769,OR(N3769="331",O3769="331")),"x","")</f>
        <v/>
      </c>
      <c r="Q3769" s="79" t="str">
        <f>IF(AND(B3769='111'!$L$11,OR($N3769=$Q$7,$O3769=$Q$7)),"x","")</f>
        <v/>
      </c>
      <c r="R3769" s="79" t="str">
        <f>IF(AND($N3769=$Q$7,$B3769&lt;'111'!$L$11),"x","")</f>
        <v/>
      </c>
      <c r="S3769" s="79" t="str">
        <f>IF(AND($O3769=$Q$7,$B3769&lt;'111'!$L$11),"x","")</f>
        <v/>
      </c>
      <c r="T3769" s="79" t="str">
        <f>IF(ISERROR(FIND('112'!$M$9,G3769,1)),"",IF((AND(FIND('112'!$M$9,G3769,1)&gt;=1,B3769='112'!$K$9,OR($N3769='112'!$I$6,$O3769='112'!$I$6))),"x",""))</f>
        <v/>
      </c>
      <c r="U3769" s="79" t="str">
        <f>IF(ISERROR(FIND('112'!$M$9,G3769,1)),"",IF((AND(LEFT(G3769,2)=LEFT('112'!$M$9,2),B3769&lt;'112'!$K$9,$N3769='112'!$I$6)),"x",""))</f>
        <v/>
      </c>
      <c r="V3769" s="79" t="str">
        <f>IF(ISERROR(FIND('112'!$M$9,G3769,1)),"",IF((AND(RIGHT(G3769,2)=RIGHT('112'!$M$9,2),B3769&lt;'112'!$K$9,$O3769='112'!$I$6)),"x",""))</f>
        <v/>
      </c>
      <c r="W3769" s="79" t="str">
        <f>IF(AND('341-CT'!$H$9=H3769,OR(LEFT(N3769,3)=$W$7,LEFT(O3769,3)=$W$7)),"x","")</f>
        <v/>
      </c>
      <c r="X3769" s="79" t="str">
        <f>IF(OR(TH!N3769=TH!$X$7,O3769=TH!$X$7),"x","")</f>
        <v/>
      </c>
      <c r="Y3769" s="79" t="str">
        <f>IF(AND(OR(N3769="131",O3769="131"),H3769='131-CT'!$H$9),"x","")</f>
        <v/>
      </c>
      <c r="Z3769" s="79"/>
      <c r="AA3769" s="79" t="str">
        <f>IF(AND(MONTH(E3769)='IN-NX'!$J$5,'IN-NX'!$D$7=D3769),"x","")</f>
        <v/>
      </c>
      <c r="AB3769" s="79" t="str">
        <f>IF(AND(OR(LEFT(TH!N3769,2)="15",LEFT(TH!O3769,2)="15"),LEFT(TH!O3769,3)&lt;&gt;"111",'152-CT'!$J$8=TH!F3769),"x","")</f>
        <v/>
      </c>
      <c r="AC3769" s="79" t="str">
        <f>IF(AND(OR(LEFT(TH!N3769,2)="15",LEFT(TH!O3769,2)="15"),TK!$E$7=TH!F3769),"x","")</f>
        <v/>
      </c>
      <c r="AD3769" s="79" t="str">
        <f>IF(AND(N3769="1521",MONTH(C3769)='BK-NL'!$M$11),"x","")</f>
        <v/>
      </c>
    </row>
    <row r="3770" spans="1:30" ht="16.5" customHeight="1">
      <c r="A3770" s="318" t="str">
        <f>IF(B3770&lt;&gt;"",IF(AND(B3770='IN-TC'!$S$4,OR(TH!N3770="1111",TH!O3770="1111")),TH!D3770,""),"")</f>
        <v/>
      </c>
      <c r="B3770" s="60" t="str">
        <f t="shared" si="409"/>
        <v/>
      </c>
      <c r="C3770" s="75"/>
      <c r="D3770" s="75"/>
      <c r="E3770" s="75"/>
      <c r="F3770" s="76"/>
      <c r="G3770" s="76"/>
      <c r="H3770" s="759"/>
      <c r="I3770" s="383"/>
      <c r="J3770" s="390"/>
      <c r="K3770" s="383"/>
      <c r="L3770" s="390"/>
      <c r="M3770" s="978"/>
      <c r="N3770" s="79"/>
      <c r="O3770" s="979"/>
      <c r="P3770" s="79" t="str">
        <f>IF(AND('331-CT'!$E$7=TH!H3770,OR(N3770="331",O3770="331")),"x","")</f>
        <v/>
      </c>
      <c r="Q3770" s="79" t="str">
        <f>IF(AND(B3770='111'!$L$11,OR($N3770=$Q$7,$O3770=$Q$7)),"x","")</f>
        <v/>
      </c>
      <c r="R3770" s="79" t="str">
        <f>IF(AND($N3770=$Q$7,$B3770&lt;'111'!$L$11),"x","")</f>
        <v/>
      </c>
      <c r="S3770" s="79" t="str">
        <f>IF(AND($O3770=$Q$7,$B3770&lt;'111'!$L$11),"x","")</f>
        <v/>
      </c>
      <c r="T3770" s="79" t="str">
        <f>IF(ISERROR(FIND('112'!$M$9,G3770,1)),"",IF((AND(FIND('112'!$M$9,G3770,1)&gt;=1,B3770='112'!$K$9,OR($N3770='112'!$I$6,$O3770='112'!$I$6))),"x",""))</f>
        <v/>
      </c>
      <c r="U3770" s="79" t="str">
        <f>IF(ISERROR(FIND('112'!$M$9,G3770,1)),"",IF((AND(LEFT(G3770,2)=LEFT('112'!$M$9,2),B3770&lt;'112'!$K$9,$N3770='112'!$I$6)),"x",""))</f>
        <v/>
      </c>
      <c r="V3770" s="79" t="str">
        <f>IF(ISERROR(FIND('112'!$M$9,G3770,1)),"",IF((AND(RIGHT(G3770,2)=RIGHT('112'!$M$9,2),B3770&lt;'112'!$K$9,$O3770='112'!$I$6)),"x",""))</f>
        <v/>
      </c>
      <c r="W3770" s="79" t="str">
        <f>IF(AND('341-CT'!$H$9=H3770,OR(LEFT(N3770,3)=$W$7,LEFT(O3770,3)=$W$7)),"x","")</f>
        <v/>
      </c>
      <c r="X3770" s="79" t="str">
        <f>IF(OR(TH!N3770=TH!$X$7,O3770=TH!$X$7),"x","")</f>
        <v/>
      </c>
      <c r="Y3770" s="79" t="str">
        <f>IF(AND(OR(N3770="131",O3770="131"),H3770='131-CT'!$H$9),"x","")</f>
        <v/>
      </c>
      <c r="Z3770" s="79"/>
      <c r="AA3770" s="79" t="str">
        <f>IF(AND(MONTH(E3770)='IN-NX'!$J$5,'IN-NX'!$D$7=D3770),"x","")</f>
        <v/>
      </c>
      <c r="AB3770" s="79" t="str">
        <f>IF(AND(OR(LEFT(TH!N3770,2)="15",LEFT(TH!O3770,2)="15"),LEFT(TH!O3770,3)&lt;&gt;"111",'152-CT'!$J$8=TH!F3770),"x","")</f>
        <v/>
      </c>
      <c r="AC3770" s="79" t="str">
        <f>IF(AND(OR(LEFT(TH!N3770,2)="15",LEFT(TH!O3770,2)="15"),TK!$E$7=TH!F3770),"x","")</f>
        <v/>
      </c>
      <c r="AD3770" s="79" t="str">
        <f>IF(AND(N3770="1521",MONTH(C3770)='BK-NL'!$M$11),"x","")</f>
        <v/>
      </c>
    </row>
    <row r="3771" spans="1:30" ht="16.5" customHeight="1">
      <c r="A3771" s="318" t="str">
        <f>IF(B3771&lt;&gt;"",IF(AND(B3771='IN-TC'!$S$4,OR(TH!N3771="1111",TH!O3771="1111")),TH!D3771,""),"")</f>
        <v/>
      </c>
      <c r="B3771" s="60" t="str">
        <f t="shared" si="409"/>
        <v/>
      </c>
      <c r="C3771" s="75"/>
      <c r="D3771" s="75"/>
      <c r="E3771" s="75"/>
      <c r="F3771" s="76"/>
      <c r="G3771" s="76"/>
      <c r="H3771" s="759"/>
      <c r="I3771" s="383"/>
      <c r="J3771" s="390"/>
      <c r="K3771" s="383"/>
      <c r="L3771" s="390"/>
      <c r="M3771" s="978"/>
      <c r="N3771" s="79"/>
      <c r="O3771" s="979"/>
      <c r="P3771" s="79" t="str">
        <f>IF(AND('331-CT'!$E$7=TH!H3771,OR(N3771="331",O3771="331")),"x","")</f>
        <v/>
      </c>
      <c r="Q3771" s="79" t="str">
        <f>IF(AND(B3771='111'!$L$11,OR($N3771=$Q$7,$O3771=$Q$7)),"x","")</f>
        <v/>
      </c>
      <c r="R3771" s="79" t="str">
        <f>IF(AND($N3771=$Q$7,$B3771&lt;'111'!$L$11),"x","")</f>
        <v/>
      </c>
      <c r="S3771" s="79" t="str">
        <f>IF(AND($O3771=$Q$7,$B3771&lt;'111'!$L$11),"x","")</f>
        <v/>
      </c>
      <c r="T3771" s="79" t="str">
        <f>IF(ISERROR(FIND('112'!$M$9,G3771,1)),"",IF((AND(FIND('112'!$M$9,G3771,1)&gt;=1,B3771='112'!$K$9,OR($N3771='112'!$I$6,$O3771='112'!$I$6))),"x",""))</f>
        <v/>
      </c>
      <c r="U3771" s="79" t="str">
        <f>IF(ISERROR(FIND('112'!$M$9,G3771,1)),"",IF((AND(LEFT(G3771,2)=LEFT('112'!$M$9,2),B3771&lt;'112'!$K$9,$N3771='112'!$I$6)),"x",""))</f>
        <v/>
      </c>
      <c r="V3771" s="79" t="str">
        <f>IF(ISERROR(FIND('112'!$M$9,G3771,1)),"",IF((AND(RIGHT(G3771,2)=RIGHT('112'!$M$9,2),B3771&lt;'112'!$K$9,$O3771='112'!$I$6)),"x",""))</f>
        <v/>
      </c>
      <c r="W3771" s="79" t="str">
        <f>IF(AND('341-CT'!$H$9=H3771,OR(LEFT(N3771,3)=$W$7,LEFT(O3771,3)=$W$7)),"x","")</f>
        <v/>
      </c>
      <c r="X3771" s="79" t="str">
        <f>IF(OR(TH!N3771=TH!$X$7,O3771=TH!$X$7),"x","")</f>
        <v/>
      </c>
      <c r="Y3771" s="79" t="str">
        <f>IF(AND(OR(N3771="131",O3771="131"),H3771='131-CT'!$H$9),"x","")</f>
        <v/>
      </c>
      <c r="Z3771" s="79"/>
      <c r="AA3771" s="79" t="str">
        <f>IF(AND(MONTH(E3771)='IN-NX'!$J$5,'IN-NX'!$D$7=D3771),"x","")</f>
        <v/>
      </c>
      <c r="AB3771" s="79" t="str">
        <f>IF(AND(OR(LEFT(TH!N3771,2)="15",LEFT(TH!O3771,2)="15"),LEFT(TH!O3771,3)&lt;&gt;"111",'152-CT'!$J$8=TH!F3771),"x","")</f>
        <v/>
      </c>
      <c r="AC3771" s="79" t="str">
        <f>IF(AND(OR(LEFT(TH!N3771,2)="15",LEFT(TH!O3771,2)="15"),TK!$E$7=TH!F3771),"x","")</f>
        <v/>
      </c>
      <c r="AD3771" s="79" t="str">
        <f>IF(AND(N3771="1521",MONTH(C3771)='BK-NL'!$M$11),"x","")</f>
        <v/>
      </c>
    </row>
    <row r="3772" spans="1:30" ht="16.5" customHeight="1">
      <c r="A3772" s="318" t="str">
        <f>IF(B3772&lt;&gt;"",IF(AND(B3772='IN-TC'!$S$4,OR(TH!N3772="1111",TH!O3772="1111")),TH!D3772,""),"")</f>
        <v/>
      </c>
      <c r="B3772" s="60" t="str">
        <f t="shared" si="409"/>
        <v/>
      </c>
      <c r="C3772" s="75"/>
      <c r="D3772" s="75"/>
      <c r="E3772" s="75"/>
      <c r="F3772" s="76"/>
      <c r="G3772" s="76"/>
      <c r="H3772" s="759"/>
      <c r="I3772" s="383"/>
      <c r="J3772" s="390"/>
      <c r="K3772" s="383"/>
      <c r="L3772" s="390"/>
      <c r="M3772" s="978"/>
      <c r="N3772" s="79"/>
      <c r="O3772" s="979"/>
      <c r="P3772" s="79" t="str">
        <f>IF(AND('331-CT'!$E$7=TH!H3772,OR(N3772="331",O3772="331")),"x","")</f>
        <v/>
      </c>
      <c r="Q3772" s="79" t="str">
        <f>IF(AND(B3772='111'!$L$11,OR($N3772=$Q$7,$O3772=$Q$7)),"x","")</f>
        <v/>
      </c>
      <c r="R3772" s="79" t="str">
        <f>IF(AND($N3772=$Q$7,$B3772&lt;'111'!$L$11),"x","")</f>
        <v/>
      </c>
      <c r="S3772" s="79" t="str">
        <f>IF(AND($O3772=$Q$7,$B3772&lt;'111'!$L$11),"x","")</f>
        <v/>
      </c>
      <c r="T3772" s="79" t="str">
        <f>IF(ISERROR(FIND('112'!$M$9,G3772,1)),"",IF((AND(FIND('112'!$M$9,G3772,1)&gt;=1,B3772='112'!$K$9,OR($N3772='112'!$I$6,$O3772='112'!$I$6))),"x",""))</f>
        <v/>
      </c>
      <c r="U3772" s="79" t="str">
        <f>IF(ISERROR(FIND('112'!$M$9,G3772,1)),"",IF((AND(LEFT(G3772,2)=LEFT('112'!$M$9,2),B3772&lt;'112'!$K$9,$N3772='112'!$I$6)),"x",""))</f>
        <v/>
      </c>
      <c r="V3772" s="79" t="str">
        <f>IF(ISERROR(FIND('112'!$M$9,G3772,1)),"",IF((AND(RIGHT(G3772,2)=RIGHT('112'!$M$9,2),B3772&lt;'112'!$K$9,$O3772='112'!$I$6)),"x",""))</f>
        <v/>
      </c>
      <c r="W3772" s="79" t="str">
        <f>IF(AND('341-CT'!$H$9=H3772,OR(LEFT(N3772,3)=$W$7,LEFT(O3772,3)=$W$7)),"x","")</f>
        <v/>
      </c>
      <c r="X3772" s="79" t="str">
        <f>IF(OR(TH!N3772=TH!$X$7,O3772=TH!$X$7),"x","")</f>
        <v/>
      </c>
      <c r="Y3772" s="79" t="str">
        <f>IF(AND(OR(N3772="131",O3772="131"),H3772='131-CT'!$H$9),"x","")</f>
        <v/>
      </c>
      <c r="Z3772" s="79"/>
      <c r="AA3772" s="79" t="str">
        <f>IF(AND(MONTH(E3772)='IN-NX'!$J$5,'IN-NX'!$D$7=D3772),"x","")</f>
        <v/>
      </c>
      <c r="AB3772" s="79" t="str">
        <f>IF(AND(OR(LEFT(TH!N3772,2)="15",LEFT(TH!O3772,2)="15"),LEFT(TH!O3772,3)&lt;&gt;"111",'152-CT'!$J$8=TH!F3772),"x","")</f>
        <v/>
      </c>
      <c r="AC3772" s="79" t="str">
        <f>IF(AND(OR(LEFT(TH!N3772,2)="15",LEFT(TH!O3772,2)="15"),TK!$E$7=TH!F3772),"x","")</f>
        <v/>
      </c>
      <c r="AD3772" s="79" t="str">
        <f>IF(AND(N3772="1521",MONTH(C3772)='BK-NL'!$M$11),"x","")</f>
        <v/>
      </c>
    </row>
    <row r="3773" spans="1:30" ht="16.5" customHeight="1">
      <c r="A3773" s="318" t="str">
        <f>IF(B3773&lt;&gt;"",IF(AND(B3773='IN-TC'!$S$4,OR(TH!N3773="1111",TH!O3773="1111")),TH!D3773,""),"")</f>
        <v/>
      </c>
      <c r="B3773" s="60" t="str">
        <f t="shared" si="409"/>
        <v/>
      </c>
      <c r="C3773" s="75"/>
      <c r="D3773" s="75"/>
      <c r="E3773" s="75"/>
      <c r="F3773" s="76"/>
      <c r="G3773" s="76"/>
      <c r="H3773" s="759"/>
      <c r="I3773" s="383"/>
      <c r="J3773" s="390"/>
      <c r="K3773" s="383"/>
      <c r="L3773" s="390"/>
      <c r="M3773" s="978"/>
      <c r="N3773" s="79"/>
      <c r="O3773" s="979"/>
      <c r="P3773" s="79" t="str">
        <f>IF(AND('331-CT'!$E$7=TH!H3773,OR(N3773="331",O3773="331")),"x","")</f>
        <v/>
      </c>
      <c r="Q3773" s="79" t="str">
        <f>IF(AND(B3773='111'!$L$11,OR($N3773=$Q$7,$O3773=$Q$7)),"x","")</f>
        <v/>
      </c>
      <c r="R3773" s="79" t="str">
        <f>IF(AND($N3773=$Q$7,$B3773&lt;'111'!$L$11),"x","")</f>
        <v/>
      </c>
      <c r="S3773" s="79" t="str">
        <f>IF(AND($O3773=$Q$7,$B3773&lt;'111'!$L$11),"x","")</f>
        <v/>
      </c>
      <c r="T3773" s="79" t="str">
        <f>IF(ISERROR(FIND('112'!$M$9,G3773,1)),"",IF((AND(FIND('112'!$M$9,G3773,1)&gt;=1,B3773='112'!$K$9,OR($N3773='112'!$I$6,$O3773='112'!$I$6))),"x",""))</f>
        <v/>
      </c>
      <c r="U3773" s="79" t="str">
        <f>IF(ISERROR(FIND('112'!$M$9,G3773,1)),"",IF((AND(LEFT(G3773,2)=LEFT('112'!$M$9,2),B3773&lt;'112'!$K$9,$N3773='112'!$I$6)),"x",""))</f>
        <v/>
      </c>
      <c r="V3773" s="79" t="str">
        <f>IF(ISERROR(FIND('112'!$M$9,G3773,1)),"",IF((AND(RIGHT(G3773,2)=RIGHT('112'!$M$9,2),B3773&lt;'112'!$K$9,$O3773='112'!$I$6)),"x",""))</f>
        <v/>
      </c>
      <c r="W3773" s="79" t="str">
        <f>IF(AND('341-CT'!$H$9=H3773,OR(LEFT(N3773,3)=$W$7,LEFT(O3773,3)=$W$7)),"x","")</f>
        <v/>
      </c>
      <c r="X3773" s="79" t="str">
        <f>IF(OR(TH!N3773=TH!$X$7,O3773=TH!$X$7),"x","")</f>
        <v/>
      </c>
      <c r="Y3773" s="79" t="str">
        <f>IF(AND(OR(N3773="131",O3773="131"),H3773='131-CT'!$H$9),"x","")</f>
        <v/>
      </c>
      <c r="Z3773" s="79"/>
      <c r="AA3773" s="79" t="str">
        <f>IF(AND(MONTH(E3773)='IN-NX'!$J$5,'IN-NX'!$D$7=D3773),"x","")</f>
        <v/>
      </c>
      <c r="AB3773" s="79" t="str">
        <f>IF(AND(OR(LEFT(TH!N3773,2)="15",LEFT(TH!O3773,2)="15"),LEFT(TH!O3773,3)&lt;&gt;"111",'152-CT'!$J$8=TH!F3773),"x","")</f>
        <v/>
      </c>
      <c r="AC3773" s="79" t="str">
        <f>IF(AND(OR(LEFT(TH!N3773,2)="15",LEFT(TH!O3773,2)="15"),TK!$E$7=TH!F3773),"x","")</f>
        <v/>
      </c>
      <c r="AD3773" s="79" t="str">
        <f>IF(AND(N3773="1521",MONTH(C3773)='BK-NL'!$M$11),"x","")</f>
        <v/>
      </c>
    </row>
    <row r="3774" spans="1:30" ht="16.5" customHeight="1">
      <c r="A3774" s="318" t="str">
        <f>IF(B3774&lt;&gt;"",IF(AND(B3774='IN-TC'!$S$4,OR(TH!N3774="1111",TH!O3774="1111")),TH!D3774,""),"")</f>
        <v/>
      </c>
      <c r="B3774" s="60" t="str">
        <f t="shared" si="409"/>
        <v/>
      </c>
      <c r="C3774" s="75"/>
      <c r="D3774" s="75"/>
      <c r="E3774" s="75"/>
      <c r="F3774" s="76"/>
      <c r="G3774" s="76"/>
      <c r="H3774" s="759"/>
      <c r="I3774" s="383"/>
      <c r="J3774" s="390"/>
      <c r="K3774" s="383"/>
      <c r="L3774" s="390"/>
      <c r="M3774" s="978"/>
      <c r="N3774" s="79"/>
      <c r="O3774" s="979"/>
      <c r="P3774" s="79" t="str">
        <f>IF(AND('331-CT'!$E$7=TH!H3774,OR(N3774="331",O3774="331")),"x","")</f>
        <v/>
      </c>
      <c r="Q3774" s="79" t="str">
        <f>IF(AND(B3774='111'!$L$11,OR($N3774=$Q$7,$O3774=$Q$7)),"x","")</f>
        <v/>
      </c>
      <c r="R3774" s="79" t="str">
        <f>IF(AND($N3774=$Q$7,$B3774&lt;'111'!$L$11),"x","")</f>
        <v/>
      </c>
      <c r="S3774" s="79" t="str">
        <f>IF(AND($O3774=$Q$7,$B3774&lt;'111'!$L$11),"x","")</f>
        <v/>
      </c>
      <c r="T3774" s="79" t="str">
        <f>IF(ISERROR(FIND('112'!$M$9,G3774,1)),"",IF((AND(FIND('112'!$M$9,G3774,1)&gt;=1,B3774='112'!$K$9,OR($N3774='112'!$I$6,$O3774='112'!$I$6))),"x",""))</f>
        <v/>
      </c>
      <c r="U3774" s="79" t="str">
        <f>IF(ISERROR(FIND('112'!$M$9,G3774,1)),"",IF((AND(LEFT(G3774,2)=LEFT('112'!$M$9,2),B3774&lt;'112'!$K$9,$N3774='112'!$I$6)),"x",""))</f>
        <v/>
      </c>
      <c r="V3774" s="79" t="str">
        <f>IF(ISERROR(FIND('112'!$M$9,G3774,1)),"",IF((AND(RIGHT(G3774,2)=RIGHT('112'!$M$9,2),B3774&lt;'112'!$K$9,$O3774='112'!$I$6)),"x",""))</f>
        <v/>
      </c>
      <c r="W3774" s="79" t="str">
        <f>IF(AND('341-CT'!$H$9=H3774,OR(LEFT(N3774,3)=$W$7,LEFT(O3774,3)=$W$7)),"x","")</f>
        <v/>
      </c>
      <c r="X3774" s="79" t="str">
        <f>IF(OR(TH!N3774=TH!$X$7,O3774=TH!$X$7),"x","")</f>
        <v/>
      </c>
      <c r="Y3774" s="79" t="str">
        <f>IF(AND(OR(N3774="131",O3774="131"),H3774='131-CT'!$H$9),"x","")</f>
        <v/>
      </c>
      <c r="Z3774" s="79"/>
      <c r="AA3774" s="79" t="str">
        <f>IF(AND(MONTH(E3774)='IN-NX'!$J$5,'IN-NX'!$D$7=D3774),"x","")</f>
        <v/>
      </c>
      <c r="AB3774" s="79" t="str">
        <f>IF(AND(OR(LEFT(TH!N3774,2)="15",LEFT(TH!O3774,2)="15"),LEFT(TH!O3774,3)&lt;&gt;"111",'152-CT'!$J$8=TH!F3774),"x","")</f>
        <v/>
      </c>
      <c r="AC3774" s="79" t="str">
        <f>IF(AND(OR(LEFT(TH!N3774,2)="15",LEFT(TH!O3774,2)="15"),TK!$E$7=TH!F3774),"x","")</f>
        <v/>
      </c>
      <c r="AD3774" s="79" t="str">
        <f>IF(AND(N3774="1521",MONTH(C3774)='BK-NL'!$M$11),"x","")</f>
        <v/>
      </c>
    </row>
    <row r="3775" spans="1:30" ht="16.5" customHeight="1">
      <c r="A3775" s="318" t="str">
        <f>IF(B3775&lt;&gt;"",IF(AND(B3775='IN-TC'!$S$4,OR(TH!N3775="1111",TH!O3775="1111")),TH!D3775,""),"")</f>
        <v/>
      </c>
      <c r="B3775" s="60" t="str">
        <f t="shared" si="409"/>
        <v/>
      </c>
      <c r="C3775" s="75"/>
      <c r="D3775" s="75"/>
      <c r="E3775" s="75"/>
      <c r="F3775" s="76"/>
      <c r="G3775" s="76"/>
      <c r="H3775" s="759"/>
      <c r="I3775" s="383"/>
      <c r="J3775" s="390"/>
      <c r="K3775" s="383"/>
      <c r="L3775" s="390"/>
      <c r="M3775" s="978"/>
      <c r="N3775" s="79"/>
      <c r="O3775" s="979"/>
      <c r="P3775" s="79" t="str">
        <f>IF(AND('331-CT'!$E$7=TH!H3775,OR(N3775="331",O3775="331")),"x","")</f>
        <v/>
      </c>
      <c r="Q3775" s="79" t="str">
        <f>IF(AND(B3775='111'!$L$11,OR($N3775=$Q$7,$O3775=$Q$7)),"x","")</f>
        <v/>
      </c>
      <c r="R3775" s="79" t="str">
        <f>IF(AND($N3775=$Q$7,$B3775&lt;'111'!$L$11),"x","")</f>
        <v/>
      </c>
      <c r="S3775" s="79" t="str">
        <f>IF(AND($O3775=$Q$7,$B3775&lt;'111'!$L$11),"x","")</f>
        <v/>
      </c>
      <c r="T3775" s="79" t="str">
        <f>IF(ISERROR(FIND('112'!$M$9,G3775,1)),"",IF((AND(FIND('112'!$M$9,G3775,1)&gt;=1,B3775='112'!$K$9,OR($N3775='112'!$I$6,$O3775='112'!$I$6))),"x",""))</f>
        <v/>
      </c>
      <c r="U3775" s="79" t="str">
        <f>IF(ISERROR(FIND('112'!$M$9,G3775,1)),"",IF((AND(LEFT(G3775,2)=LEFT('112'!$M$9,2),B3775&lt;'112'!$K$9,$N3775='112'!$I$6)),"x",""))</f>
        <v/>
      </c>
      <c r="V3775" s="79" t="str">
        <f>IF(ISERROR(FIND('112'!$M$9,G3775,1)),"",IF((AND(RIGHT(G3775,2)=RIGHT('112'!$M$9,2),B3775&lt;'112'!$K$9,$O3775='112'!$I$6)),"x",""))</f>
        <v/>
      </c>
      <c r="W3775" s="79" t="str">
        <f>IF(AND('341-CT'!$H$9=H3775,OR(LEFT(N3775,3)=$W$7,LEFT(O3775,3)=$W$7)),"x","")</f>
        <v/>
      </c>
      <c r="X3775" s="79" t="str">
        <f>IF(OR(TH!N3775=TH!$X$7,O3775=TH!$X$7),"x","")</f>
        <v/>
      </c>
      <c r="Y3775" s="79" t="str">
        <f>IF(AND(OR(N3775="131",O3775="131"),H3775='131-CT'!$H$9),"x","")</f>
        <v/>
      </c>
      <c r="Z3775" s="79"/>
      <c r="AA3775" s="79" t="str">
        <f>IF(AND(MONTH(E3775)='IN-NX'!$J$5,'IN-NX'!$D$7=D3775),"x","")</f>
        <v/>
      </c>
      <c r="AB3775" s="79" t="str">
        <f>IF(AND(OR(LEFT(TH!N3775,2)="15",LEFT(TH!O3775,2)="15"),LEFT(TH!O3775,3)&lt;&gt;"111",'152-CT'!$J$8=TH!F3775),"x","")</f>
        <v/>
      </c>
      <c r="AC3775" s="79" t="str">
        <f>IF(AND(OR(LEFT(TH!N3775,2)="15",LEFT(TH!O3775,2)="15"),TK!$E$7=TH!F3775),"x","")</f>
        <v/>
      </c>
      <c r="AD3775" s="79" t="str">
        <f>IF(AND(N3775="1521",MONTH(C3775)='BK-NL'!$M$11),"x","")</f>
        <v/>
      </c>
    </row>
    <row r="3776" spans="1:30" ht="16.5" customHeight="1">
      <c r="A3776" s="318" t="str">
        <f>IF(B3776&lt;&gt;"",IF(AND(B3776='IN-TC'!$S$4,OR(TH!N3776="1111",TH!O3776="1111")),TH!D3776,""),"")</f>
        <v/>
      </c>
      <c r="B3776" s="60" t="str">
        <f t="shared" si="409"/>
        <v/>
      </c>
      <c r="C3776" s="75"/>
      <c r="D3776" s="75"/>
      <c r="E3776" s="75"/>
      <c r="F3776" s="76"/>
      <c r="G3776" s="76"/>
      <c r="H3776" s="759"/>
      <c r="I3776" s="383"/>
      <c r="J3776" s="390"/>
      <c r="K3776" s="383"/>
      <c r="L3776" s="390"/>
      <c r="M3776" s="978"/>
      <c r="N3776" s="79"/>
      <c r="O3776" s="979"/>
      <c r="P3776" s="79" t="str">
        <f>IF(AND('331-CT'!$E$7=TH!H3776,OR(N3776="331",O3776="331")),"x","")</f>
        <v/>
      </c>
      <c r="Q3776" s="79" t="str">
        <f>IF(AND(B3776='111'!$L$11,OR($N3776=$Q$7,$O3776=$Q$7)),"x","")</f>
        <v/>
      </c>
      <c r="R3776" s="79" t="str">
        <f>IF(AND($N3776=$Q$7,$B3776&lt;'111'!$L$11),"x","")</f>
        <v/>
      </c>
      <c r="S3776" s="79" t="str">
        <f>IF(AND($O3776=$Q$7,$B3776&lt;'111'!$L$11),"x","")</f>
        <v/>
      </c>
      <c r="T3776" s="79" t="str">
        <f>IF(ISERROR(FIND('112'!$M$9,G3776,1)),"",IF((AND(FIND('112'!$M$9,G3776,1)&gt;=1,B3776='112'!$K$9,OR($N3776='112'!$I$6,$O3776='112'!$I$6))),"x",""))</f>
        <v/>
      </c>
      <c r="U3776" s="79" t="str">
        <f>IF(ISERROR(FIND('112'!$M$9,G3776,1)),"",IF((AND(LEFT(G3776,2)=LEFT('112'!$M$9,2),B3776&lt;'112'!$K$9,$N3776='112'!$I$6)),"x",""))</f>
        <v/>
      </c>
      <c r="V3776" s="79" t="str">
        <f>IF(ISERROR(FIND('112'!$M$9,G3776,1)),"",IF((AND(RIGHT(G3776,2)=RIGHT('112'!$M$9,2),B3776&lt;'112'!$K$9,$O3776='112'!$I$6)),"x",""))</f>
        <v/>
      </c>
      <c r="W3776" s="79" t="str">
        <f>IF(AND('341-CT'!$H$9=H3776,OR(LEFT(N3776,3)=$W$7,LEFT(O3776,3)=$W$7)),"x","")</f>
        <v/>
      </c>
      <c r="X3776" s="79" t="str">
        <f>IF(OR(TH!N3776=TH!$X$7,O3776=TH!$X$7),"x","")</f>
        <v/>
      </c>
      <c r="Y3776" s="79" t="str">
        <f>IF(AND(OR(N3776="131",O3776="131"),H3776='131-CT'!$H$9),"x","")</f>
        <v/>
      </c>
      <c r="Z3776" s="79"/>
      <c r="AA3776" s="79" t="str">
        <f>IF(AND(MONTH(E3776)='IN-NX'!$J$5,'IN-NX'!$D$7=D3776),"x","")</f>
        <v/>
      </c>
      <c r="AB3776" s="79" t="str">
        <f>IF(AND(OR(LEFT(TH!N3776,2)="15",LEFT(TH!O3776,2)="15"),LEFT(TH!O3776,3)&lt;&gt;"111",'152-CT'!$J$8=TH!F3776),"x","")</f>
        <v/>
      </c>
      <c r="AC3776" s="79" t="str">
        <f>IF(AND(OR(LEFT(TH!N3776,2)="15",LEFT(TH!O3776,2)="15"),TK!$E$7=TH!F3776),"x","")</f>
        <v/>
      </c>
      <c r="AD3776" s="79" t="str">
        <f>IF(AND(N3776="1521",MONTH(C3776)='BK-NL'!$M$11),"x","")</f>
        <v/>
      </c>
    </row>
    <row r="3777" spans="1:30" ht="16.5" customHeight="1">
      <c r="A3777" s="318" t="str">
        <f>IF(B3777&lt;&gt;"",IF(AND(B3777='IN-TC'!$S$4,OR(TH!N3777="1111",TH!O3777="1111")),TH!D3777,""),"")</f>
        <v/>
      </c>
      <c r="B3777" s="60" t="str">
        <f t="shared" si="409"/>
        <v/>
      </c>
      <c r="C3777" s="75"/>
      <c r="D3777" s="75"/>
      <c r="E3777" s="75"/>
      <c r="F3777" s="76"/>
      <c r="G3777" s="76"/>
      <c r="H3777" s="759"/>
      <c r="I3777" s="383"/>
      <c r="J3777" s="390"/>
      <c r="K3777" s="383"/>
      <c r="L3777" s="390"/>
      <c r="M3777" s="978"/>
      <c r="N3777" s="79"/>
      <c r="O3777" s="979"/>
      <c r="P3777" s="79" t="str">
        <f>IF(AND('331-CT'!$E$7=TH!H3777,OR(N3777="331",O3777="331")),"x","")</f>
        <v/>
      </c>
      <c r="Q3777" s="79" t="str">
        <f>IF(AND(B3777='111'!$L$11,OR($N3777=$Q$7,$O3777=$Q$7)),"x","")</f>
        <v/>
      </c>
      <c r="R3777" s="79" t="str">
        <f>IF(AND($N3777=$Q$7,$B3777&lt;'111'!$L$11),"x","")</f>
        <v/>
      </c>
      <c r="S3777" s="79" t="str">
        <f>IF(AND($O3777=$Q$7,$B3777&lt;'111'!$L$11),"x","")</f>
        <v/>
      </c>
      <c r="T3777" s="79" t="str">
        <f>IF(ISERROR(FIND('112'!$M$9,G3777,1)),"",IF((AND(FIND('112'!$M$9,G3777,1)&gt;=1,B3777='112'!$K$9,OR($N3777='112'!$I$6,$O3777='112'!$I$6))),"x",""))</f>
        <v/>
      </c>
      <c r="U3777" s="79" t="str">
        <f>IF(ISERROR(FIND('112'!$M$9,G3777,1)),"",IF((AND(LEFT(G3777,2)=LEFT('112'!$M$9,2),B3777&lt;'112'!$K$9,$N3777='112'!$I$6)),"x",""))</f>
        <v/>
      </c>
      <c r="V3777" s="79" t="str">
        <f>IF(ISERROR(FIND('112'!$M$9,G3777,1)),"",IF((AND(RIGHT(G3777,2)=RIGHT('112'!$M$9,2),B3777&lt;'112'!$K$9,$O3777='112'!$I$6)),"x",""))</f>
        <v/>
      </c>
      <c r="W3777" s="79" t="str">
        <f>IF(AND('341-CT'!$H$9=H3777,OR(LEFT(N3777,3)=$W$7,LEFT(O3777,3)=$W$7)),"x","")</f>
        <v/>
      </c>
      <c r="X3777" s="79" t="str">
        <f>IF(OR(TH!N3777=TH!$X$7,O3777=TH!$X$7),"x","")</f>
        <v/>
      </c>
      <c r="Y3777" s="79" t="str">
        <f>IF(AND(OR(N3777="131",O3777="131"),H3777='131-CT'!$H$9),"x","")</f>
        <v/>
      </c>
      <c r="Z3777" s="79"/>
      <c r="AA3777" s="79" t="str">
        <f>IF(AND(MONTH(E3777)='IN-NX'!$J$5,'IN-NX'!$D$7=D3777),"x","")</f>
        <v/>
      </c>
      <c r="AB3777" s="79" t="str">
        <f>IF(AND(OR(LEFT(TH!N3777,2)="15",LEFT(TH!O3777,2)="15"),LEFT(TH!O3777,3)&lt;&gt;"111",'152-CT'!$J$8=TH!F3777),"x","")</f>
        <v/>
      </c>
      <c r="AC3777" s="79" t="str">
        <f>IF(AND(OR(LEFT(TH!N3777,2)="15",LEFT(TH!O3777,2)="15"),TK!$E$7=TH!F3777),"x","")</f>
        <v/>
      </c>
      <c r="AD3777" s="79" t="str">
        <f>IF(AND(N3777="1521",MONTH(C3777)='BK-NL'!$M$11),"x","")</f>
        <v/>
      </c>
    </row>
    <row r="3778" spans="1:30" ht="16.5" customHeight="1">
      <c r="A3778" s="318" t="str">
        <f>IF(B3778&lt;&gt;"",IF(AND(B3778='IN-TC'!$S$4,OR(TH!N3778="1111",TH!O3778="1111")),TH!D3778,""),"")</f>
        <v/>
      </c>
      <c r="B3778" s="60" t="str">
        <f t="shared" si="409"/>
        <v/>
      </c>
      <c r="C3778" s="75"/>
      <c r="D3778" s="75"/>
      <c r="E3778" s="75"/>
      <c r="F3778" s="76"/>
      <c r="G3778" s="76"/>
      <c r="H3778" s="759"/>
      <c r="I3778" s="383"/>
      <c r="J3778" s="390"/>
      <c r="K3778" s="383"/>
      <c r="L3778" s="390"/>
      <c r="M3778" s="978"/>
      <c r="N3778" s="79"/>
      <c r="O3778" s="979"/>
      <c r="P3778" s="79" t="str">
        <f>IF(AND('331-CT'!$E$7=TH!H3778,OR(N3778="331",O3778="331")),"x","")</f>
        <v/>
      </c>
      <c r="Q3778" s="79" t="str">
        <f>IF(AND(B3778='111'!$L$11,OR($N3778=$Q$7,$O3778=$Q$7)),"x","")</f>
        <v/>
      </c>
      <c r="R3778" s="79" t="str">
        <f>IF(AND($N3778=$Q$7,$B3778&lt;'111'!$L$11),"x","")</f>
        <v/>
      </c>
      <c r="S3778" s="79" t="str">
        <f>IF(AND($O3778=$Q$7,$B3778&lt;'111'!$L$11),"x","")</f>
        <v/>
      </c>
      <c r="T3778" s="79" t="str">
        <f>IF(ISERROR(FIND('112'!$M$9,G3778,1)),"",IF((AND(FIND('112'!$M$9,G3778,1)&gt;=1,B3778='112'!$K$9,OR($N3778='112'!$I$6,$O3778='112'!$I$6))),"x",""))</f>
        <v/>
      </c>
      <c r="U3778" s="79" t="str">
        <f>IF(ISERROR(FIND('112'!$M$9,G3778,1)),"",IF((AND(LEFT(G3778,2)=LEFT('112'!$M$9,2),B3778&lt;'112'!$K$9,$N3778='112'!$I$6)),"x",""))</f>
        <v/>
      </c>
      <c r="V3778" s="79" t="str">
        <f>IF(ISERROR(FIND('112'!$M$9,G3778,1)),"",IF((AND(RIGHT(G3778,2)=RIGHT('112'!$M$9,2),B3778&lt;'112'!$K$9,$O3778='112'!$I$6)),"x",""))</f>
        <v/>
      </c>
      <c r="W3778" s="79" t="str">
        <f>IF(AND('341-CT'!$H$9=H3778,OR(LEFT(N3778,3)=$W$7,LEFT(O3778,3)=$W$7)),"x","")</f>
        <v/>
      </c>
      <c r="X3778" s="79" t="str">
        <f>IF(OR(TH!N3778=TH!$X$7,O3778=TH!$X$7),"x","")</f>
        <v/>
      </c>
      <c r="Y3778" s="79" t="str">
        <f>IF(AND(OR(N3778="131",O3778="131"),H3778='131-CT'!$H$9),"x","")</f>
        <v/>
      </c>
      <c r="Z3778" s="79"/>
      <c r="AA3778" s="79" t="str">
        <f>IF(AND(MONTH(E3778)='IN-NX'!$J$5,'IN-NX'!$D$7=D3778),"x","")</f>
        <v/>
      </c>
      <c r="AB3778" s="79" t="str">
        <f>IF(AND(OR(LEFT(TH!N3778,2)="15",LEFT(TH!O3778,2)="15"),LEFT(TH!O3778,3)&lt;&gt;"111",'152-CT'!$J$8=TH!F3778),"x","")</f>
        <v/>
      </c>
      <c r="AC3778" s="79" t="str">
        <f>IF(AND(OR(LEFT(TH!N3778,2)="15",LEFT(TH!O3778,2)="15"),TK!$E$7=TH!F3778),"x","")</f>
        <v/>
      </c>
      <c r="AD3778" s="79" t="str">
        <f>IF(AND(N3778="1521",MONTH(C3778)='BK-NL'!$M$11),"x","")</f>
        <v/>
      </c>
    </row>
    <row r="3779" spans="1:30" ht="16.5" customHeight="1">
      <c r="A3779" s="318" t="str">
        <f>IF(B3779&lt;&gt;"",IF(AND(B3779='IN-TC'!$S$4,OR(TH!N3779="1111",TH!O3779="1111")),TH!D3779,""),"")</f>
        <v/>
      </c>
      <c r="B3779" s="60" t="str">
        <f t="shared" si="409"/>
        <v/>
      </c>
      <c r="C3779" s="75"/>
      <c r="D3779" s="75"/>
      <c r="E3779" s="75"/>
      <c r="F3779" s="76"/>
      <c r="G3779" s="76"/>
      <c r="H3779" s="759"/>
      <c r="I3779" s="383"/>
      <c r="J3779" s="390"/>
      <c r="K3779" s="383"/>
      <c r="L3779" s="390"/>
      <c r="M3779" s="978"/>
      <c r="N3779" s="79"/>
      <c r="O3779" s="979"/>
      <c r="P3779" s="79" t="str">
        <f>IF(AND('331-CT'!$E$7=TH!H3779,OR(N3779="331",O3779="331")),"x","")</f>
        <v/>
      </c>
      <c r="Q3779" s="79" t="str">
        <f>IF(AND(B3779='111'!$L$11,OR($N3779=$Q$7,$O3779=$Q$7)),"x","")</f>
        <v/>
      </c>
      <c r="R3779" s="79" t="str">
        <f>IF(AND($N3779=$Q$7,$B3779&lt;'111'!$L$11),"x","")</f>
        <v/>
      </c>
      <c r="S3779" s="79" t="str">
        <f>IF(AND($O3779=$Q$7,$B3779&lt;'111'!$L$11),"x","")</f>
        <v/>
      </c>
      <c r="T3779" s="79" t="str">
        <f>IF(ISERROR(FIND('112'!$M$9,G3779,1)),"",IF((AND(FIND('112'!$M$9,G3779,1)&gt;=1,B3779='112'!$K$9,OR($N3779='112'!$I$6,$O3779='112'!$I$6))),"x",""))</f>
        <v/>
      </c>
      <c r="U3779" s="79" t="str">
        <f>IF(ISERROR(FIND('112'!$M$9,G3779,1)),"",IF((AND(LEFT(G3779,2)=LEFT('112'!$M$9,2),B3779&lt;'112'!$K$9,$N3779='112'!$I$6)),"x",""))</f>
        <v/>
      </c>
      <c r="V3779" s="79" t="str">
        <f>IF(ISERROR(FIND('112'!$M$9,G3779,1)),"",IF((AND(RIGHT(G3779,2)=RIGHT('112'!$M$9,2),B3779&lt;'112'!$K$9,$O3779='112'!$I$6)),"x",""))</f>
        <v/>
      </c>
      <c r="W3779" s="79" t="str">
        <f>IF(AND('341-CT'!$H$9=H3779,OR(LEFT(N3779,3)=$W$7,LEFT(O3779,3)=$W$7)),"x","")</f>
        <v/>
      </c>
      <c r="X3779" s="79" t="str">
        <f>IF(OR(TH!N3779=TH!$X$7,O3779=TH!$X$7),"x","")</f>
        <v/>
      </c>
      <c r="Y3779" s="79" t="str">
        <f>IF(AND(OR(N3779="131",O3779="131"),H3779='131-CT'!$H$9),"x","")</f>
        <v/>
      </c>
      <c r="Z3779" s="79"/>
      <c r="AA3779" s="79" t="str">
        <f>IF(AND(MONTH(E3779)='IN-NX'!$J$5,'IN-NX'!$D$7=D3779),"x","")</f>
        <v/>
      </c>
      <c r="AB3779" s="79" t="str">
        <f>IF(AND(OR(LEFT(TH!N3779,2)="15",LEFT(TH!O3779,2)="15"),LEFT(TH!O3779,3)&lt;&gt;"111",'152-CT'!$J$8=TH!F3779),"x","")</f>
        <v/>
      </c>
      <c r="AC3779" s="79" t="str">
        <f>IF(AND(OR(LEFT(TH!N3779,2)="15",LEFT(TH!O3779,2)="15"),TK!$E$7=TH!F3779),"x","")</f>
        <v/>
      </c>
      <c r="AD3779" s="79" t="str">
        <f>IF(AND(N3779="1521",MONTH(C3779)='BK-NL'!$M$11),"x","")</f>
        <v/>
      </c>
    </row>
    <row r="3780" spans="1:30" ht="16.5" customHeight="1">
      <c r="A3780" s="318" t="str">
        <f>IF(B3780&lt;&gt;"",IF(AND(B3780='IN-TC'!$S$4,OR(TH!N3780="1111",TH!O3780="1111")),TH!D3780,""),"")</f>
        <v/>
      </c>
      <c r="B3780" s="60" t="str">
        <f t="shared" si="409"/>
        <v/>
      </c>
      <c r="C3780" s="75"/>
      <c r="D3780" s="75"/>
      <c r="E3780" s="75"/>
      <c r="F3780" s="76"/>
      <c r="G3780" s="76"/>
      <c r="H3780" s="759"/>
      <c r="I3780" s="383"/>
      <c r="J3780" s="390"/>
      <c r="K3780" s="383"/>
      <c r="L3780" s="390"/>
      <c r="M3780" s="978"/>
      <c r="N3780" s="79"/>
      <c r="O3780" s="979"/>
      <c r="P3780" s="79" t="str">
        <f>IF(AND('331-CT'!$E$7=TH!H3780,OR(N3780="331",O3780="331")),"x","")</f>
        <v/>
      </c>
      <c r="Q3780" s="79" t="str">
        <f>IF(AND(B3780='111'!$L$11,OR($N3780=$Q$7,$O3780=$Q$7)),"x","")</f>
        <v/>
      </c>
      <c r="R3780" s="79" t="str">
        <f>IF(AND($N3780=$Q$7,$B3780&lt;'111'!$L$11),"x","")</f>
        <v/>
      </c>
      <c r="S3780" s="79" t="str">
        <f>IF(AND($O3780=$Q$7,$B3780&lt;'111'!$L$11),"x","")</f>
        <v/>
      </c>
      <c r="T3780" s="79" t="str">
        <f>IF(ISERROR(FIND('112'!$M$9,G3780,1)),"",IF((AND(FIND('112'!$M$9,G3780,1)&gt;=1,B3780='112'!$K$9,OR($N3780='112'!$I$6,$O3780='112'!$I$6))),"x",""))</f>
        <v/>
      </c>
      <c r="U3780" s="79" t="str">
        <f>IF(ISERROR(FIND('112'!$M$9,G3780,1)),"",IF((AND(LEFT(G3780,2)=LEFT('112'!$M$9,2),B3780&lt;'112'!$K$9,$N3780='112'!$I$6)),"x",""))</f>
        <v/>
      </c>
      <c r="V3780" s="79" t="str">
        <f>IF(ISERROR(FIND('112'!$M$9,G3780,1)),"",IF((AND(RIGHT(G3780,2)=RIGHT('112'!$M$9,2),B3780&lt;'112'!$K$9,$O3780='112'!$I$6)),"x",""))</f>
        <v/>
      </c>
      <c r="W3780" s="79" t="str">
        <f>IF(AND('341-CT'!$H$9=H3780,OR(LEFT(N3780,3)=$W$7,LEFT(O3780,3)=$W$7)),"x","")</f>
        <v/>
      </c>
      <c r="X3780" s="79" t="str">
        <f>IF(OR(TH!N3780=TH!$X$7,O3780=TH!$X$7),"x","")</f>
        <v/>
      </c>
      <c r="Y3780" s="79" t="str">
        <f>IF(AND(OR(N3780="131",O3780="131"),H3780='131-CT'!$H$9),"x","")</f>
        <v/>
      </c>
      <c r="Z3780" s="79"/>
      <c r="AA3780" s="79" t="str">
        <f>IF(AND(MONTH(E3780)='IN-NX'!$J$5,'IN-NX'!$D$7=D3780),"x","")</f>
        <v/>
      </c>
      <c r="AB3780" s="79" t="str">
        <f>IF(AND(OR(LEFT(TH!N3780,2)="15",LEFT(TH!O3780,2)="15"),LEFT(TH!O3780,3)&lt;&gt;"111",'152-CT'!$J$8=TH!F3780),"x","")</f>
        <v/>
      </c>
      <c r="AC3780" s="79" t="str">
        <f>IF(AND(OR(LEFT(TH!N3780,2)="15",LEFT(TH!O3780,2)="15"),TK!$E$7=TH!F3780),"x","")</f>
        <v/>
      </c>
      <c r="AD3780" s="79" t="str">
        <f>IF(AND(N3780="1521",MONTH(C3780)='BK-NL'!$M$11),"x","")</f>
        <v/>
      </c>
    </row>
    <row r="3781" spans="1:30" ht="16.5" customHeight="1">
      <c r="A3781" s="318" t="str">
        <f>IF(B3781&lt;&gt;"",IF(AND(B3781='IN-TC'!$S$4,OR(TH!N3781="1111",TH!O3781="1111")),TH!D3781,""),"")</f>
        <v/>
      </c>
      <c r="B3781" s="60" t="str">
        <f t="shared" si="409"/>
        <v/>
      </c>
      <c r="C3781" s="974"/>
      <c r="D3781" s="75"/>
      <c r="E3781" s="974"/>
      <c r="F3781" s="975"/>
      <c r="G3781" s="76"/>
      <c r="H3781" s="759"/>
      <c r="I3781" s="383"/>
      <c r="J3781" s="390"/>
      <c r="K3781" s="383"/>
      <c r="L3781" s="390"/>
      <c r="M3781" s="978"/>
      <c r="N3781" s="979"/>
      <c r="O3781" s="79"/>
      <c r="P3781" s="79" t="str">
        <f>IF(AND('331-CT'!$E$7=TH!H3781,OR(N3781="331",O3781="331")),"x","")</f>
        <v/>
      </c>
      <c r="Q3781" s="79" t="str">
        <f>IF(AND(B3781='111'!$L$11,OR($N3781=$Q$7,$O3781=$Q$7)),"x","")</f>
        <v/>
      </c>
      <c r="R3781" s="79" t="str">
        <f>IF(AND($N3781=$Q$7,$B3781&lt;'111'!$L$11),"x","")</f>
        <v/>
      </c>
      <c r="S3781" s="79" t="str">
        <f>IF(AND($O3781=$Q$7,$B3781&lt;'111'!$L$11),"x","")</f>
        <v/>
      </c>
      <c r="T3781" s="79" t="str">
        <f>IF(ISERROR(FIND('112'!$M$9,G3781,1)),"",IF((AND(FIND('112'!$M$9,G3781,1)&gt;=1,B3781='112'!$K$9,OR($N3781='112'!$I$6,$O3781='112'!$I$6))),"x",""))</f>
        <v/>
      </c>
      <c r="U3781" s="79" t="str">
        <f>IF(ISERROR(FIND('112'!$M$9,G3781,1)),"",IF((AND(LEFT(G3781,2)=LEFT('112'!$M$9,2),B3781&lt;'112'!$K$9,$N3781='112'!$I$6)),"x",""))</f>
        <v/>
      </c>
      <c r="V3781" s="79" t="str">
        <f>IF(ISERROR(FIND('112'!$M$9,G3781,1)),"",IF((AND(RIGHT(G3781,2)=RIGHT('112'!$M$9,2),B3781&lt;'112'!$K$9,$O3781='112'!$I$6)),"x",""))</f>
        <v/>
      </c>
      <c r="W3781" s="79" t="str">
        <f>IF(AND('341-CT'!$H$9=H3781,OR(LEFT(N3781,3)=$W$7,LEFT(O3781,3)=$W$7)),"x","")</f>
        <v/>
      </c>
      <c r="X3781" s="79" t="str">
        <f>IF(OR(TH!N3781=TH!$X$7,O3781=TH!$X$7),"x","")</f>
        <v/>
      </c>
      <c r="Y3781" s="79" t="str">
        <f>IF(AND(OR(N3781="131",O3781="131"),H3781='131-CT'!$H$9),"x","")</f>
        <v/>
      </c>
      <c r="Z3781" s="79"/>
      <c r="AA3781" s="79" t="str">
        <f>IF(AND(MONTH(E3781)='IN-NX'!$J$5,'IN-NX'!$D$7=D3781),"x","")</f>
        <v/>
      </c>
      <c r="AB3781" s="79" t="str">
        <f>IF(AND(OR(LEFT(TH!N3781,2)="15",LEFT(TH!O3781,2)="15"),LEFT(TH!O3781,3)&lt;&gt;"111",'152-CT'!$J$8=TH!F3781),"x","")</f>
        <v/>
      </c>
      <c r="AC3781" s="79" t="str">
        <f>IF(AND(OR(LEFT(TH!N3781,2)="15",LEFT(TH!O3781,2)="15"),TK!$E$7=TH!F3781),"x","")</f>
        <v/>
      </c>
      <c r="AD3781" s="79" t="str">
        <f>IF(AND(N3781="1521",MONTH(C3781)='BK-NL'!$M$11),"x","")</f>
        <v/>
      </c>
    </row>
    <row r="3782" spans="1:30" ht="16.5" customHeight="1">
      <c r="A3782" s="318" t="str">
        <f>IF(B3782&lt;&gt;"",IF(AND(B3782='IN-TC'!$S$4,OR(TH!N3782="1111",TH!O3782="1111")),TH!D3782,""),"")</f>
        <v/>
      </c>
      <c r="B3782" s="60" t="str">
        <f t="shared" si="409"/>
        <v/>
      </c>
      <c r="C3782" s="974"/>
      <c r="D3782" s="974"/>
      <c r="E3782" s="974"/>
      <c r="F3782" s="975"/>
      <c r="G3782" s="76"/>
      <c r="H3782" s="759"/>
      <c r="I3782" s="383"/>
      <c r="J3782" s="390"/>
      <c r="K3782" s="383"/>
      <c r="L3782" s="390"/>
      <c r="M3782" s="978"/>
      <c r="N3782" s="979"/>
      <c r="O3782" s="79"/>
      <c r="P3782" s="79" t="str">
        <f>IF(AND('331-CT'!$E$7=TH!H3782,OR(N3782="331",O3782="331")),"x","")</f>
        <v/>
      </c>
      <c r="Q3782" s="79" t="str">
        <f>IF(AND(B3782='111'!$L$11,OR($N3782=$Q$7,$O3782=$Q$7)),"x","")</f>
        <v/>
      </c>
      <c r="R3782" s="79" t="str">
        <f>IF(AND($N3782=$Q$7,$B3782&lt;'111'!$L$11),"x","")</f>
        <v/>
      </c>
      <c r="S3782" s="79" t="str">
        <f>IF(AND($O3782=$Q$7,$B3782&lt;'111'!$L$11),"x","")</f>
        <v/>
      </c>
      <c r="T3782" s="79" t="str">
        <f>IF(ISERROR(FIND('112'!$M$9,G3782,1)),"",IF((AND(FIND('112'!$M$9,G3782,1)&gt;=1,B3782='112'!$K$9,OR($N3782='112'!$I$6,$O3782='112'!$I$6))),"x",""))</f>
        <v/>
      </c>
      <c r="U3782" s="79" t="str">
        <f>IF(ISERROR(FIND('112'!$M$9,G3782,1)),"",IF((AND(LEFT(G3782,2)=LEFT('112'!$M$9,2),B3782&lt;'112'!$K$9,$N3782='112'!$I$6)),"x",""))</f>
        <v/>
      </c>
      <c r="V3782" s="79" t="str">
        <f>IF(ISERROR(FIND('112'!$M$9,G3782,1)),"",IF((AND(RIGHT(G3782,2)=RIGHT('112'!$M$9,2),B3782&lt;'112'!$K$9,$O3782='112'!$I$6)),"x",""))</f>
        <v/>
      </c>
      <c r="W3782" s="79" t="str">
        <f>IF(AND('341-CT'!$H$9=H3782,OR(LEFT(N3782,3)=$W$7,LEFT(O3782,3)=$W$7)),"x","")</f>
        <v/>
      </c>
      <c r="X3782" s="79" t="str">
        <f>IF(OR(TH!N3782=TH!$X$7,O3782=TH!$X$7),"x","")</f>
        <v/>
      </c>
      <c r="Y3782" s="79" t="str">
        <f>IF(AND(OR(N3782="131",O3782="131"),H3782='131-CT'!$H$9),"x","")</f>
        <v/>
      </c>
      <c r="Z3782" s="79"/>
      <c r="AA3782" s="79" t="str">
        <f>IF(AND(MONTH(E3782)='IN-NX'!$J$5,'IN-NX'!$D$7=D3782),"x","")</f>
        <v/>
      </c>
      <c r="AB3782" s="79" t="str">
        <f>IF(AND(OR(LEFT(TH!N3782,2)="15",LEFT(TH!O3782,2)="15"),LEFT(TH!O3782,3)&lt;&gt;"111",'152-CT'!$J$8=TH!F3782),"x","")</f>
        <v/>
      </c>
      <c r="AC3782" s="79" t="str">
        <f>IF(AND(OR(LEFT(TH!N3782,2)="15",LEFT(TH!O3782,2)="15"),TK!$E$7=TH!F3782),"x","")</f>
        <v/>
      </c>
      <c r="AD3782" s="79" t="str">
        <f>IF(AND(N3782="1521",MONTH(C3782)='BK-NL'!$M$11),"x","")</f>
        <v/>
      </c>
    </row>
    <row r="3783" spans="1:30" ht="16.5" customHeight="1">
      <c r="A3783" s="318" t="str">
        <f>IF(B3783&lt;&gt;"",IF(AND(B3783='IN-TC'!$S$4,OR(TH!N3783="1111",TH!O3783="1111")),TH!D3783,""),"")</f>
        <v/>
      </c>
      <c r="B3783" s="60" t="str">
        <f t="shared" ref="B3783:B3853" si="413">IF(C3783&lt;&gt;"",MONTH(C3783),"")</f>
        <v/>
      </c>
      <c r="C3783" s="974"/>
      <c r="D3783" s="75"/>
      <c r="E3783" s="75"/>
      <c r="F3783" s="76"/>
      <c r="G3783" s="76"/>
      <c r="H3783" s="759"/>
      <c r="I3783" s="383"/>
      <c r="J3783" s="390"/>
      <c r="K3783" s="1247"/>
      <c r="L3783" s="390"/>
      <c r="M3783" s="78"/>
      <c r="N3783" s="79"/>
      <c r="O3783" s="979"/>
      <c r="P3783" s="79" t="str">
        <f>IF(AND('331-CT'!$E$7=TH!H3783,OR(N3783="331",O3783="331")),"x","")</f>
        <v/>
      </c>
      <c r="Q3783" s="79" t="str">
        <f>IF(AND(B3783='111'!$L$11,OR($N3783=$Q$7,$O3783=$Q$7)),"x","")</f>
        <v/>
      </c>
      <c r="R3783" s="79" t="str">
        <f>IF(AND($N3783=$Q$7,$B3783&lt;'111'!$L$11),"x","")</f>
        <v/>
      </c>
      <c r="S3783" s="79" t="str">
        <f>IF(AND($O3783=$Q$7,$B3783&lt;'111'!$L$11),"x","")</f>
        <v/>
      </c>
      <c r="T3783" s="79" t="str">
        <f>IF(ISERROR(FIND('112'!$M$9,G3783,1)),"",IF((AND(FIND('112'!$M$9,G3783,1)&gt;=1,B3783='112'!$K$9,OR($N3783='112'!$I$6,$O3783='112'!$I$6))),"x",""))</f>
        <v/>
      </c>
      <c r="U3783" s="79" t="str">
        <f>IF(ISERROR(FIND('112'!$M$9,G3783,1)),"",IF((AND(LEFT(G3783,2)=LEFT('112'!$M$9,2),B3783&lt;'112'!$K$9,$N3783='112'!$I$6)),"x",""))</f>
        <v/>
      </c>
      <c r="V3783" s="79" t="str">
        <f>IF(ISERROR(FIND('112'!$M$9,G3783,1)),"",IF((AND(RIGHT(G3783,2)=RIGHT('112'!$M$9,2),B3783&lt;'112'!$K$9,$O3783='112'!$I$6)),"x",""))</f>
        <v/>
      </c>
      <c r="W3783" s="79" t="str">
        <f>IF(AND('341-CT'!$H$9=H3783,OR(LEFT(N3783,3)=$W$7,LEFT(O3783,3)=$W$7)),"x","")</f>
        <v/>
      </c>
      <c r="X3783" s="79" t="str">
        <f>IF(OR(TH!N3783=TH!$X$7,O3783=TH!$X$7),"x","")</f>
        <v/>
      </c>
      <c r="Y3783" s="79" t="str">
        <f>IF(AND(OR(N3783="131",O3783="131"),H3783='131-CT'!$H$9),"x","")</f>
        <v/>
      </c>
      <c r="Z3783" s="79"/>
      <c r="AA3783" s="79" t="str">
        <f>IF(AND(MONTH(E3783)='IN-NX'!$J$5,'IN-NX'!$D$7=D3783),"x","")</f>
        <v/>
      </c>
      <c r="AB3783" s="79" t="str">
        <f>IF(AND(OR(LEFT(TH!N3783,2)="15",LEFT(TH!O3783,2)="15"),LEFT(TH!O3783,3)&lt;&gt;"111",'152-CT'!$J$8=TH!F3783),"x","")</f>
        <v/>
      </c>
      <c r="AC3783" s="79" t="str">
        <f>IF(AND(OR(LEFT(TH!N3783,2)="15",LEFT(TH!O3783,2)="15"),TK!$E$7=TH!F3783),"x","")</f>
        <v/>
      </c>
      <c r="AD3783" s="79" t="str">
        <f>IF(AND(N3783="1521",MONTH(C3783)='BK-NL'!$M$11),"x","")</f>
        <v/>
      </c>
    </row>
    <row r="3784" spans="1:30" ht="16.5" customHeight="1">
      <c r="A3784" s="318" t="str">
        <f>IF(B3784&lt;&gt;"",IF(AND(B3784='IN-TC'!$S$4,OR(TH!N3784="1111",TH!O3784="1111")),TH!D3784,""),"")</f>
        <v/>
      </c>
      <c r="B3784" s="60" t="str">
        <f t="shared" si="413"/>
        <v/>
      </c>
      <c r="C3784" s="974"/>
      <c r="D3784" s="75"/>
      <c r="E3784" s="75"/>
      <c r="F3784" s="76"/>
      <c r="G3784" s="76"/>
      <c r="H3784" s="1276"/>
      <c r="I3784" s="383"/>
      <c r="J3784" s="390"/>
      <c r="K3784" s="1247"/>
      <c r="L3784" s="390"/>
      <c r="M3784" s="978"/>
      <c r="N3784" s="79"/>
      <c r="O3784" s="979"/>
      <c r="P3784" s="79" t="str">
        <f>IF(AND('331-CT'!$E$7=TH!H3784,OR(N3784="331",O3784="331")),"x","")</f>
        <v/>
      </c>
      <c r="Q3784" s="79" t="str">
        <f>IF(AND(B3784='111'!$L$11,OR($N3784=$Q$7,$O3784=$Q$7)),"x","")</f>
        <v/>
      </c>
      <c r="R3784" s="79" t="str">
        <f>IF(AND($N3784=$Q$7,$B3784&lt;'111'!$L$11),"x","")</f>
        <v/>
      </c>
      <c r="S3784" s="79" t="str">
        <f>IF(AND($O3784=$Q$7,$B3784&lt;'111'!$L$11),"x","")</f>
        <v/>
      </c>
      <c r="T3784" s="79" t="str">
        <f>IF(ISERROR(FIND('112'!$M$9,G3784,1)),"",IF((AND(FIND('112'!$M$9,G3784,1)&gt;=1,B3784='112'!$K$9,OR($N3784='112'!$I$6,$O3784='112'!$I$6))),"x",""))</f>
        <v/>
      </c>
      <c r="U3784" s="79" t="str">
        <f>IF(ISERROR(FIND('112'!$M$9,G3784,1)),"",IF((AND(LEFT(G3784,2)=LEFT('112'!$M$9,2),B3784&lt;'112'!$K$9,$N3784='112'!$I$6)),"x",""))</f>
        <v/>
      </c>
      <c r="V3784" s="79" t="str">
        <f>IF(ISERROR(FIND('112'!$M$9,G3784,1)),"",IF((AND(RIGHT(G3784,2)=RIGHT('112'!$M$9,2),B3784&lt;'112'!$K$9,$O3784='112'!$I$6)),"x",""))</f>
        <v/>
      </c>
      <c r="W3784" s="79" t="str">
        <f>IF(AND('341-CT'!$H$9=H3784,OR(LEFT(N3784,3)=$W$7,LEFT(O3784,3)=$W$7)),"x","")</f>
        <v/>
      </c>
      <c r="X3784" s="79" t="str">
        <f>IF(OR(TH!N3784=TH!$X$7,O3784=TH!$X$7),"x","")</f>
        <v/>
      </c>
      <c r="Y3784" s="79" t="str">
        <f>IF(AND(OR(N3784="131",O3784="131"),H3784='131-CT'!$H$9),"x","")</f>
        <v/>
      </c>
      <c r="Z3784" s="79"/>
      <c r="AA3784" s="79" t="str">
        <f>IF(AND(MONTH(E3784)='IN-NX'!$J$5,'IN-NX'!$D$7=D3784),"x","")</f>
        <v/>
      </c>
      <c r="AB3784" s="79" t="str">
        <f>IF(AND(OR(LEFT(TH!N3784,2)="15",LEFT(TH!O3784,2)="15"),LEFT(TH!O3784,3)&lt;&gt;"111",'152-CT'!$J$8=TH!F3784),"x","")</f>
        <v/>
      </c>
      <c r="AC3784" s="79" t="str">
        <f>IF(AND(OR(LEFT(TH!N3784,2)="15",LEFT(TH!O3784,2)="15"),TK!$E$7=TH!F3784),"x","")</f>
        <v/>
      </c>
      <c r="AD3784" s="79" t="str">
        <f>IF(AND(N3784="1521",MONTH(C3784)='BK-NL'!$M$11),"x","")</f>
        <v/>
      </c>
    </row>
    <row r="3785" spans="1:30" ht="16.5" customHeight="1">
      <c r="A3785" s="318" t="str">
        <f>IF(B3785&lt;&gt;"",IF(AND(B3785='IN-TC'!$S$4,OR(TH!N3785="1111",TH!O3785="1111")),TH!D3785,""),"")</f>
        <v/>
      </c>
      <c r="B3785" s="60" t="str">
        <f t="shared" si="413"/>
        <v/>
      </c>
      <c r="C3785" s="974"/>
      <c r="D3785" s="75"/>
      <c r="E3785" s="75"/>
      <c r="F3785" s="76"/>
      <c r="G3785" s="76"/>
      <c r="H3785" s="1276"/>
      <c r="I3785" s="383"/>
      <c r="J3785" s="390"/>
      <c r="K3785" s="1247"/>
      <c r="L3785" s="390"/>
      <c r="M3785" s="978"/>
      <c r="N3785" s="79"/>
      <c r="O3785" s="979"/>
      <c r="P3785" s="79" t="str">
        <f>IF(AND('331-CT'!$E$7=TH!H3785,OR(N3785="331",O3785="331")),"x","")</f>
        <v/>
      </c>
      <c r="Q3785" s="79" t="str">
        <f>IF(AND(B3785='111'!$L$11,OR($N3785=$Q$7,$O3785=$Q$7)),"x","")</f>
        <v/>
      </c>
      <c r="R3785" s="79" t="str">
        <f>IF(AND($N3785=$Q$7,$B3785&lt;'111'!$L$11),"x","")</f>
        <v/>
      </c>
      <c r="S3785" s="79" t="str">
        <f>IF(AND($O3785=$Q$7,$B3785&lt;'111'!$L$11),"x","")</f>
        <v/>
      </c>
      <c r="T3785" s="79" t="str">
        <f>IF(ISERROR(FIND('112'!$M$9,G3785,1)),"",IF((AND(FIND('112'!$M$9,G3785,1)&gt;=1,B3785='112'!$K$9,OR($N3785='112'!$I$6,$O3785='112'!$I$6))),"x",""))</f>
        <v/>
      </c>
      <c r="U3785" s="79" t="str">
        <f>IF(ISERROR(FIND('112'!$M$9,G3785,1)),"",IF((AND(LEFT(G3785,2)=LEFT('112'!$M$9,2),B3785&lt;'112'!$K$9,$N3785='112'!$I$6)),"x",""))</f>
        <v/>
      </c>
      <c r="V3785" s="79" t="str">
        <f>IF(ISERROR(FIND('112'!$M$9,G3785,1)),"",IF((AND(RIGHT(G3785,2)=RIGHT('112'!$M$9,2),B3785&lt;'112'!$K$9,$O3785='112'!$I$6)),"x",""))</f>
        <v/>
      </c>
      <c r="W3785" s="79" t="str">
        <f>IF(AND('341-CT'!$H$9=H3785,OR(LEFT(N3785,3)=$W$7,LEFT(O3785,3)=$W$7)),"x","")</f>
        <v/>
      </c>
      <c r="X3785" s="79" t="str">
        <f>IF(OR(TH!N3785=TH!$X$7,O3785=TH!$X$7),"x","")</f>
        <v/>
      </c>
      <c r="Y3785" s="79" t="str">
        <f>IF(AND(OR(N3785="131",O3785="131"),H3785='131-CT'!$H$9),"x","")</f>
        <v/>
      </c>
      <c r="Z3785" s="79"/>
      <c r="AA3785" s="79" t="str">
        <f>IF(AND(MONTH(E3785)='IN-NX'!$J$5,'IN-NX'!$D$7=D3785),"x","")</f>
        <v/>
      </c>
      <c r="AB3785" s="79" t="str">
        <f>IF(AND(OR(LEFT(TH!N3785,2)="15",LEFT(TH!O3785,2)="15"),LEFT(TH!O3785,3)&lt;&gt;"111",'152-CT'!$J$8=TH!F3785),"x","")</f>
        <v/>
      </c>
      <c r="AC3785" s="79" t="str">
        <f>IF(AND(OR(LEFT(TH!N3785,2)="15",LEFT(TH!O3785,2)="15"),TK!$E$7=TH!F3785),"x","")</f>
        <v/>
      </c>
      <c r="AD3785" s="79" t="str">
        <f>IF(AND(N3785="1521",MONTH(C3785)='BK-NL'!$M$11),"x","")</f>
        <v/>
      </c>
    </row>
    <row r="3786" spans="1:30" ht="16.5" customHeight="1">
      <c r="A3786" s="318" t="str">
        <f>IF(B3786&lt;&gt;"",IF(AND(B3786='IN-TC'!$S$4,OR(TH!N3786="1111",TH!O3786="1111")),TH!D3786,""),"")</f>
        <v/>
      </c>
      <c r="B3786" s="60" t="str">
        <f t="shared" si="413"/>
        <v/>
      </c>
      <c r="C3786" s="974"/>
      <c r="D3786" s="75"/>
      <c r="E3786" s="75"/>
      <c r="F3786" s="76"/>
      <c r="G3786" s="76"/>
      <c r="H3786" s="1276"/>
      <c r="I3786" s="383"/>
      <c r="J3786" s="390"/>
      <c r="K3786" s="1247"/>
      <c r="L3786" s="390"/>
      <c r="M3786" s="78"/>
      <c r="N3786" s="79"/>
      <c r="O3786" s="979"/>
      <c r="P3786" s="79" t="str">
        <f>IF(AND('331-CT'!$E$7=TH!H3786,OR(N3786="331",O3786="331")),"x","")</f>
        <v/>
      </c>
      <c r="Q3786" s="79" t="str">
        <f>IF(AND(B3786='111'!$L$11,OR($N3786=$Q$7,$O3786=$Q$7)),"x","")</f>
        <v/>
      </c>
      <c r="R3786" s="79" t="str">
        <f>IF(AND($N3786=$Q$7,$B3786&lt;'111'!$L$11),"x","")</f>
        <v/>
      </c>
      <c r="S3786" s="79" t="str">
        <f>IF(AND($O3786=$Q$7,$B3786&lt;'111'!$L$11),"x","")</f>
        <v/>
      </c>
      <c r="T3786" s="79" t="str">
        <f>IF(ISERROR(FIND('112'!$M$9,G3786,1)),"",IF((AND(FIND('112'!$M$9,G3786,1)&gt;=1,B3786='112'!$K$9,OR($N3786='112'!$I$6,$O3786='112'!$I$6))),"x",""))</f>
        <v/>
      </c>
      <c r="U3786" s="79" t="str">
        <f>IF(ISERROR(FIND('112'!$M$9,G3786,1)),"",IF((AND(LEFT(G3786,2)=LEFT('112'!$M$9,2),B3786&lt;'112'!$K$9,$N3786='112'!$I$6)),"x",""))</f>
        <v/>
      </c>
      <c r="V3786" s="79" t="str">
        <f>IF(ISERROR(FIND('112'!$M$9,G3786,1)),"",IF((AND(RIGHT(G3786,2)=RIGHT('112'!$M$9,2),B3786&lt;'112'!$K$9,$O3786='112'!$I$6)),"x",""))</f>
        <v/>
      </c>
      <c r="W3786" s="79" t="str">
        <f>IF(AND('341-CT'!$H$9=H3786,OR(LEFT(N3786,3)=$W$7,LEFT(O3786,3)=$W$7)),"x","")</f>
        <v/>
      </c>
      <c r="X3786" s="79" t="str">
        <f>IF(OR(TH!N3786=TH!$X$7,O3786=TH!$X$7),"x","")</f>
        <v/>
      </c>
      <c r="Y3786" s="79" t="str">
        <f>IF(AND(OR(N3786="131",O3786="131"),H3786='131-CT'!$H$9),"x","")</f>
        <v/>
      </c>
      <c r="Z3786" s="79"/>
      <c r="AA3786" s="79" t="str">
        <f>IF(AND(MONTH(E3786)='IN-NX'!$J$5,'IN-NX'!$D$7=D3786),"x","")</f>
        <v/>
      </c>
      <c r="AB3786" s="79" t="str">
        <f>IF(AND(OR(LEFT(TH!N3786,2)="15",LEFT(TH!O3786,2)="15"),LEFT(TH!O3786,3)&lt;&gt;"111",'152-CT'!$J$8=TH!F3786),"x","")</f>
        <v/>
      </c>
      <c r="AC3786" s="79" t="str">
        <f>IF(AND(OR(LEFT(TH!N3786,2)="15",LEFT(TH!O3786,2)="15"),TK!$E$7=TH!F3786),"x","")</f>
        <v/>
      </c>
      <c r="AD3786" s="79" t="str">
        <f>IF(AND(N3786="1521",MONTH(C3786)='BK-NL'!$M$11),"x","")</f>
        <v/>
      </c>
    </row>
    <row r="3787" spans="1:30" ht="16.5" customHeight="1">
      <c r="A3787" s="318" t="str">
        <f>IF(B3787&lt;&gt;"",IF(AND(B3787='IN-TC'!$S$4,OR(TH!N3787="1111",TH!O3787="1111")),TH!D3787,""),"")</f>
        <v/>
      </c>
      <c r="B3787" s="60" t="str">
        <f t="shared" si="413"/>
        <v/>
      </c>
      <c r="C3787" s="75"/>
      <c r="D3787" s="75"/>
      <c r="E3787" s="974"/>
      <c r="F3787" s="76"/>
      <c r="G3787" s="76"/>
      <c r="H3787" s="759"/>
      <c r="I3787" s="1247"/>
      <c r="J3787" s="1248"/>
      <c r="K3787" s="1247"/>
      <c r="L3787" s="1248"/>
      <c r="M3787" s="978"/>
      <c r="N3787" s="79"/>
      <c r="O3787" s="79"/>
      <c r="P3787" s="79" t="str">
        <f>IF(AND('331-CT'!$E$7=TH!H3787,OR(N3787="331",O3787="331")),"x","")</f>
        <v/>
      </c>
      <c r="Q3787" s="79" t="str">
        <f>IF(AND(B3787='111'!$L$11,OR($N3787=$Q$7,$O3787=$Q$7)),"x","")</f>
        <v/>
      </c>
      <c r="R3787" s="79" t="str">
        <f>IF(AND($N3787=$Q$7,$B3787&lt;'111'!$L$11),"x","")</f>
        <v/>
      </c>
      <c r="S3787" s="79" t="str">
        <f>IF(AND($O3787=$Q$7,$B3787&lt;'111'!$L$11),"x","")</f>
        <v/>
      </c>
      <c r="T3787" s="79" t="str">
        <f>IF(ISERROR(FIND('112'!$M$9,G3787,1)),"",IF((AND(FIND('112'!$M$9,G3787,1)&gt;=1,B3787='112'!$K$9,OR($N3787='112'!$I$6,$O3787='112'!$I$6))),"x",""))</f>
        <v/>
      </c>
      <c r="U3787" s="79" t="str">
        <f>IF(ISERROR(FIND('112'!$M$9,G3787,1)),"",IF((AND(LEFT(G3787,2)=LEFT('112'!$M$9,2),B3787&lt;'112'!$K$9,$N3787='112'!$I$6)),"x",""))</f>
        <v/>
      </c>
      <c r="V3787" s="79" t="str">
        <f>IF(ISERROR(FIND('112'!$M$9,G3787,1)),"",IF((AND(RIGHT(G3787,2)=RIGHT('112'!$M$9,2),B3787&lt;'112'!$K$9,$O3787='112'!$I$6)),"x",""))</f>
        <v/>
      </c>
      <c r="W3787" s="79" t="str">
        <f>IF(AND('341-CT'!$H$9=H3787,OR(LEFT(N3787,3)=$W$7,LEFT(O3787,3)=$W$7)),"x","")</f>
        <v/>
      </c>
      <c r="X3787" s="79" t="str">
        <f>IF(OR(TH!N3787=TH!$X$7,O3787=TH!$X$7),"x","")</f>
        <v/>
      </c>
      <c r="Y3787" s="79" t="str">
        <f>IF(AND(OR(N3787="131",O3787="131"),H3787='131-CT'!$H$9),"x","")</f>
        <v/>
      </c>
      <c r="Z3787" s="79"/>
      <c r="AA3787" s="79" t="str">
        <f>IF(AND(MONTH(E3787)='IN-NX'!$J$5,'IN-NX'!$D$7=D3787),"x","")</f>
        <v/>
      </c>
      <c r="AB3787" s="79" t="str">
        <f>IF(AND(OR(LEFT(TH!N3787,2)="15",LEFT(TH!O3787,2)="15"),LEFT(TH!O3787,3)&lt;&gt;"111",'152-CT'!$J$8=TH!F3787),"x","")</f>
        <v/>
      </c>
      <c r="AC3787" s="79" t="str">
        <f>IF(AND(OR(LEFT(TH!N3787,2)="15",LEFT(TH!O3787,2)="15"),TK!$E$7=TH!F3787),"x","")</f>
        <v/>
      </c>
      <c r="AD3787" s="79" t="str">
        <f>IF(AND(N3787="1521",MONTH(C3787)='BK-NL'!$M$11),"x","")</f>
        <v/>
      </c>
    </row>
    <row r="3788" spans="1:30" ht="16.5" customHeight="1">
      <c r="A3788" s="318" t="str">
        <f>IF(B3788&lt;&gt;"",IF(AND(B3788='IN-TC'!$S$4,OR(TH!N3788="1111",TH!O3788="1111")),TH!D3788,""),"")</f>
        <v/>
      </c>
      <c r="B3788" s="60" t="str">
        <f t="shared" si="413"/>
        <v/>
      </c>
      <c r="C3788" s="75"/>
      <c r="D3788" s="75"/>
      <c r="E3788" s="974"/>
      <c r="F3788" s="975"/>
      <c r="G3788" s="76"/>
      <c r="H3788" s="759"/>
      <c r="I3788" s="1247"/>
      <c r="J3788" s="1248"/>
      <c r="K3788" s="1247"/>
      <c r="L3788" s="1248"/>
      <c r="M3788" s="978"/>
      <c r="N3788" s="979"/>
      <c r="O3788" s="79"/>
      <c r="P3788" s="79" t="str">
        <f>IF(AND('331-CT'!$E$7=TH!H3788,OR(N3788="331",O3788="331")),"x","")</f>
        <v/>
      </c>
      <c r="Q3788" s="79" t="str">
        <f>IF(AND(B3788='111'!$L$11,OR($N3788=$Q$7,$O3788=$Q$7)),"x","")</f>
        <v/>
      </c>
      <c r="R3788" s="79" t="str">
        <f>IF(AND($N3788=$Q$7,$B3788&lt;'111'!$L$11),"x","")</f>
        <v/>
      </c>
      <c r="S3788" s="79" t="str">
        <f>IF(AND($O3788=$Q$7,$B3788&lt;'111'!$L$11),"x","")</f>
        <v/>
      </c>
      <c r="T3788" s="79" t="str">
        <f>IF(ISERROR(FIND('112'!$M$9,G3788,1)),"",IF((AND(FIND('112'!$M$9,G3788,1)&gt;=1,B3788='112'!$K$9,OR($N3788='112'!$I$6,$O3788='112'!$I$6))),"x",""))</f>
        <v/>
      </c>
      <c r="U3788" s="79" t="str">
        <f>IF(ISERROR(FIND('112'!$M$9,G3788,1)),"",IF((AND(LEFT(G3788,2)=LEFT('112'!$M$9,2),B3788&lt;'112'!$K$9,$N3788='112'!$I$6)),"x",""))</f>
        <v/>
      </c>
      <c r="V3788" s="79" t="str">
        <f>IF(ISERROR(FIND('112'!$M$9,G3788,1)),"",IF((AND(RIGHT(G3788,2)=RIGHT('112'!$M$9,2),B3788&lt;'112'!$K$9,$O3788='112'!$I$6)),"x",""))</f>
        <v/>
      </c>
      <c r="W3788" s="79" t="str">
        <f>IF(AND('341-CT'!$H$9=H3788,OR(LEFT(N3788,3)=$W$7,LEFT(O3788,3)=$W$7)),"x","")</f>
        <v/>
      </c>
      <c r="X3788" s="79" t="str">
        <f>IF(OR(TH!N3788=TH!$X$7,O3788=TH!$X$7),"x","")</f>
        <v/>
      </c>
      <c r="Y3788" s="79" t="str">
        <f>IF(AND(OR(N3788="131",O3788="131"),H3788='131-CT'!$H$9),"x","")</f>
        <v/>
      </c>
      <c r="Z3788" s="79"/>
      <c r="AA3788" s="79" t="str">
        <f>IF(AND(MONTH(E3788)='IN-NX'!$J$5,'IN-NX'!$D$7=D3788),"x","")</f>
        <v/>
      </c>
      <c r="AB3788" s="79" t="str">
        <f>IF(AND(OR(LEFT(TH!N3788,2)="15",LEFT(TH!O3788,2)="15"),LEFT(TH!O3788,3)&lt;&gt;"111",'152-CT'!$J$8=TH!F3788),"x","")</f>
        <v/>
      </c>
      <c r="AC3788" s="79" t="str">
        <f>IF(AND(OR(LEFT(TH!N3788,2)="15",LEFT(TH!O3788,2)="15"),TK!$E$7=TH!F3788),"x","")</f>
        <v/>
      </c>
      <c r="AD3788" s="79" t="str">
        <f>IF(AND(N3788="1521",MONTH(C3788)='BK-NL'!$M$11),"x","")</f>
        <v/>
      </c>
    </row>
    <row r="3789" spans="1:30" ht="16.5" customHeight="1">
      <c r="A3789" s="318" t="str">
        <f>IF(B3789&lt;&gt;"",IF(AND(B3789='IN-TC'!$S$4,OR(TH!N3789="1111",TH!O3789="1111")),TH!D3789,""),"")</f>
        <v/>
      </c>
      <c r="B3789" s="60" t="str">
        <f t="shared" si="413"/>
        <v/>
      </c>
      <c r="C3789" s="974"/>
      <c r="D3789" s="75"/>
      <c r="E3789" s="974"/>
      <c r="F3789" s="77"/>
      <c r="G3789" s="975"/>
      <c r="H3789" s="305"/>
      <c r="I3789" s="383"/>
      <c r="J3789" s="390"/>
      <c r="K3789" s="383"/>
      <c r="L3789" s="390"/>
      <c r="M3789" s="978"/>
      <c r="N3789" s="979"/>
      <c r="O3789" s="979"/>
      <c r="P3789" s="79" t="str">
        <f>IF(AND('331-CT'!$E$7=TH!H3789,OR(N3789="331",O3789="331")),"x","")</f>
        <v/>
      </c>
      <c r="Q3789" s="79" t="str">
        <f>IF(AND(B3789='111'!$L$11,OR($N3789=$Q$7,$O3789=$Q$7)),"x","")</f>
        <v/>
      </c>
      <c r="R3789" s="79" t="str">
        <f>IF(AND($N3789=$Q$7,$B3789&lt;'111'!$L$11),"x","")</f>
        <v/>
      </c>
      <c r="S3789" s="79" t="str">
        <f>IF(AND($O3789=$Q$7,$B3789&lt;'111'!$L$11),"x","")</f>
        <v/>
      </c>
      <c r="T3789" s="79" t="str">
        <f>IF(ISERROR(FIND('112'!$M$9,G3789,1)),"",IF((AND(FIND('112'!$M$9,G3789,1)&gt;=1,B3789='112'!$K$9,OR($N3789='112'!$I$6,$O3789='112'!$I$6))),"x",""))</f>
        <v/>
      </c>
      <c r="U3789" s="79" t="str">
        <f>IF(ISERROR(FIND('112'!$M$9,G3789,1)),"",IF((AND(LEFT(G3789,2)=LEFT('112'!$M$9,2),B3789&lt;'112'!$K$9,$N3789='112'!$I$6)),"x",""))</f>
        <v/>
      </c>
      <c r="V3789" s="79" t="str">
        <f>IF(ISERROR(FIND('112'!$M$9,G3789,1)),"",IF((AND(RIGHT(G3789,2)=RIGHT('112'!$M$9,2),B3789&lt;'112'!$K$9,$O3789='112'!$I$6)),"x",""))</f>
        <v/>
      </c>
      <c r="W3789" s="79" t="str">
        <f>IF(AND('341-CT'!$H$9=H3789,OR(LEFT(N3789,3)=$W$7,LEFT(O3789,3)=$W$7)),"x","")</f>
        <v/>
      </c>
      <c r="X3789" s="79" t="str">
        <f>IF(OR(TH!N3789=TH!$X$7,O3789=TH!$X$7),"x","")</f>
        <v/>
      </c>
      <c r="Y3789" s="79" t="str">
        <f>IF(AND(OR(N3789="131",O3789="131"),H3789='131-CT'!$H$9),"x","")</f>
        <v/>
      </c>
      <c r="Z3789" s="79"/>
      <c r="AA3789" s="79" t="str">
        <f>IF(AND(MONTH(E3789)='IN-NX'!$J$5,'IN-NX'!$D$7=D3789),"x","")</f>
        <v/>
      </c>
      <c r="AB3789" s="79" t="str">
        <f>IF(AND(OR(LEFT(TH!N3789,2)="15",LEFT(TH!O3789,2)="15"),LEFT(TH!O3789,3)&lt;&gt;"111",'152-CT'!$J$8=TH!F3789),"x","")</f>
        <v/>
      </c>
      <c r="AC3789" s="79" t="str">
        <f>IF(AND(OR(LEFT(TH!N3789,2)="15",LEFT(TH!O3789,2)="15"),TK!$E$7=TH!F3789),"x","")</f>
        <v/>
      </c>
      <c r="AD3789" s="79" t="str">
        <f>IF(AND(N3789="1521",MONTH(C3789)='BK-NL'!$M$11),"x","")</f>
        <v/>
      </c>
    </row>
    <row r="3790" spans="1:30" ht="16.5" customHeight="1">
      <c r="A3790" s="318" t="str">
        <f>IF(B3790&lt;&gt;"",IF(AND(B3790='IN-TC'!$S$4,OR(TH!N3790="1111",TH!O3790="1111")),TH!D3790,""),"")</f>
        <v/>
      </c>
      <c r="B3790" s="60" t="str">
        <f t="shared" si="413"/>
        <v/>
      </c>
      <c r="C3790" s="75"/>
      <c r="D3790" s="75"/>
      <c r="E3790" s="75"/>
      <c r="F3790" s="76"/>
      <c r="G3790" s="975"/>
      <c r="H3790" s="305"/>
      <c r="I3790" s="383"/>
      <c r="J3790" s="390"/>
      <c r="K3790" s="383"/>
      <c r="L3790" s="390"/>
      <c r="M3790" s="978"/>
      <c r="N3790" s="79"/>
      <c r="O3790" s="979"/>
      <c r="P3790" s="79" t="str">
        <f>IF(AND('331-CT'!$E$7=TH!H3790,OR(N3790="331",O3790="331")),"x","")</f>
        <v/>
      </c>
      <c r="Q3790" s="79" t="str">
        <f>IF(AND(B3790='111'!$L$11,OR($N3790=$Q$7,$O3790=$Q$7)),"x","")</f>
        <v/>
      </c>
      <c r="R3790" s="79" t="str">
        <f>IF(AND($N3790=$Q$7,$B3790&lt;'111'!$L$11),"x","")</f>
        <v/>
      </c>
      <c r="S3790" s="79" t="str">
        <f>IF(AND($O3790=$Q$7,$B3790&lt;'111'!$L$11),"x","")</f>
        <v/>
      </c>
      <c r="T3790" s="79" t="str">
        <f>IF(ISERROR(FIND('112'!$M$9,G3790,1)),"",IF((AND(FIND('112'!$M$9,G3790,1)&gt;=1,B3790='112'!$K$9,OR($N3790='112'!$I$6,$O3790='112'!$I$6))),"x",""))</f>
        <v/>
      </c>
      <c r="U3790" s="79" t="str">
        <f>IF(ISERROR(FIND('112'!$M$9,G3790,1)),"",IF((AND(LEFT(G3790,2)=LEFT('112'!$M$9,2),B3790&lt;'112'!$K$9,$N3790='112'!$I$6)),"x",""))</f>
        <v/>
      </c>
      <c r="V3790" s="79" t="str">
        <f>IF(ISERROR(FIND('112'!$M$9,G3790,1)),"",IF((AND(RIGHT(G3790,2)=RIGHT('112'!$M$9,2),B3790&lt;'112'!$K$9,$O3790='112'!$I$6)),"x",""))</f>
        <v/>
      </c>
      <c r="W3790" s="79" t="str">
        <f>IF(AND('341-CT'!$H$9=H3790,OR(LEFT(N3790,3)=$W$7,LEFT(O3790,3)=$W$7)),"x","")</f>
        <v/>
      </c>
      <c r="X3790" s="79" t="str">
        <f>IF(OR(TH!N3790=TH!$X$7,O3790=TH!$X$7),"x","")</f>
        <v/>
      </c>
      <c r="Y3790" s="79" t="str">
        <f>IF(AND(OR(N3790="131",O3790="131"),H3790='131-CT'!$H$9),"x","")</f>
        <v/>
      </c>
      <c r="Z3790" s="79"/>
      <c r="AA3790" s="79" t="str">
        <f>IF(AND(MONTH(E3790)='IN-NX'!$J$5,'IN-NX'!$D$7=D3790),"x","")</f>
        <v/>
      </c>
      <c r="AB3790" s="79" t="str">
        <f>IF(AND(OR(LEFT(TH!N3790,2)="15",LEFT(TH!O3790,2)="15"),LEFT(TH!O3790,3)&lt;&gt;"111",'152-CT'!$J$8=TH!F3790),"x","")</f>
        <v/>
      </c>
      <c r="AC3790" s="79" t="str">
        <f>IF(AND(OR(LEFT(TH!N3790,2)="15",LEFT(TH!O3790,2)="15"),TK!$E$7=TH!F3790),"x","")</f>
        <v/>
      </c>
      <c r="AD3790" s="79" t="str">
        <f>IF(AND(N3790="1521",MONTH(C3790)='BK-NL'!$M$11),"x","")</f>
        <v/>
      </c>
    </row>
    <row r="3791" spans="1:30" ht="16.5" customHeight="1">
      <c r="A3791" s="318" t="str">
        <f>IF(B3791&lt;&gt;"",IF(AND(B3791='IN-TC'!$S$4,OR(TH!N3791="1111",TH!O3791="1111")),TH!D3791,""),"")</f>
        <v/>
      </c>
      <c r="B3791" s="60" t="str">
        <f t="shared" si="413"/>
        <v/>
      </c>
      <c r="C3791" s="75"/>
      <c r="D3791" s="75"/>
      <c r="E3791" s="974"/>
      <c r="F3791" s="76"/>
      <c r="G3791" s="76"/>
      <c r="H3791" s="77"/>
      <c r="I3791" s="1247"/>
      <c r="J3791" s="1248"/>
      <c r="K3791" s="1247"/>
      <c r="L3791" s="1248"/>
      <c r="M3791" s="978"/>
      <c r="N3791" s="79"/>
      <c r="O3791" s="79"/>
      <c r="P3791" s="79" t="str">
        <f>IF(AND('331-CT'!$E$7=TH!H3791,OR(N3791="331",O3791="331")),"x","")</f>
        <v/>
      </c>
      <c r="Q3791" s="79" t="str">
        <f>IF(AND(B3791='111'!$L$11,OR($N3791=$Q$7,$O3791=$Q$7)),"x","")</f>
        <v/>
      </c>
      <c r="R3791" s="79" t="str">
        <f>IF(AND($N3791=$Q$7,$B3791&lt;'111'!$L$11),"x","")</f>
        <v/>
      </c>
      <c r="S3791" s="79" t="str">
        <f>IF(AND($O3791=$Q$7,$B3791&lt;'111'!$L$11),"x","")</f>
        <v/>
      </c>
      <c r="T3791" s="79" t="str">
        <f>IF(ISERROR(FIND('112'!$M$9,G3791,1)),"",IF((AND(FIND('112'!$M$9,G3791,1)&gt;=1,B3791='112'!$K$9,OR($N3791='112'!$I$6,$O3791='112'!$I$6))),"x",""))</f>
        <v/>
      </c>
      <c r="U3791" s="79" t="str">
        <f>IF(ISERROR(FIND('112'!$M$9,G3791,1)),"",IF((AND(LEFT(G3791,2)=LEFT('112'!$M$9,2),B3791&lt;'112'!$K$9,$N3791='112'!$I$6)),"x",""))</f>
        <v/>
      </c>
      <c r="V3791" s="79" t="str">
        <f>IF(ISERROR(FIND('112'!$M$9,G3791,1)),"",IF((AND(RIGHT(G3791,2)=RIGHT('112'!$M$9,2),B3791&lt;'112'!$K$9,$O3791='112'!$I$6)),"x",""))</f>
        <v/>
      </c>
      <c r="W3791" s="79" t="str">
        <f>IF(AND('341-CT'!$H$9=H3791,OR(LEFT(N3791,3)=$W$7,LEFT(O3791,3)=$W$7)),"x","")</f>
        <v/>
      </c>
      <c r="X3791" s="79" t="str">
        <f>IF(OR(TH!N3791=TH!$X$7,O3791=TH!$X$7),"x","")</f>
        <v/>
      </c>
      <c r="Y3791" s="79" t="str">
        <f>IF(AND(OR(N3791="131",O3791="131"),H3791='131-CT'!$H$9),"x","")</f>
        <v/>
      </c>
      <c r="Z3791" s="79"/>
      <c r="AA3791" s="79" t="str">
        <f>IF(AND(MONTH(E3791)='IN-NX'!$J$5,'IN-NX'!$D$7=D3791),"x","")</f>
        <v/>
      </c>
      <c r="AB3791" s="79" t="str">
        <f>IF(AND(OR(LEFT(TH!N3791,2)="15",LEFT(TH!O3791,2)="15"),LEFT(TH!O3791,3)&lt;&gt;"111",'152-CT'!$J$8=TH!F3791),"x","")</f>
        <v/>
      </c>
      <c r="AC3791" s="79" t="str">
        <f>IF(AND(OR(LEFT(TH!N3791,2)="15",LEFT(TH!O3791,2)="15"),TK!$E$7=TH!F3791),"x","")</f>
        <v/>
      </c>
      <c r="AD3791" s="79" t="str">
        <f>IF(AND(N3791="1521",MONTH(C3791)='BK-NL'!$M$11),"x","")</f>
        <v/>
      </c>
    </row>
    <row r="3792" spans="1:30" ht="16.5" customHeight="1">
      <c r="A3792" s="318" t="str">
        <f>IF(B3792&lt;&gt;"",IF(AND(B3792='IN-TC'!$S$4,OR(TH!N3792="1111",TH!O3792="1111")),TH!D3792,""),"")</f>
        <v/>
      </c>
      <c r="B3792" s="60" t="str">
        <f t="shared" si="413"/>
        <v/>
      </c>
      <c r="C3792" s="75"/>
      <c r="D3792" s="75"/>
      <c r="E3792" s="974"/>
      <c r="F3792" s="76"/>
      <c r="G3792" s="76"/>
      <c r="H3792" s="77"/>
      <c r="I3792" s="1247"/>
      <c r="J3792" s="1248"/>
      <c r="K3792" s="1247"/>
      <c r="L3792" s="1248"/>
      <c r="M3792" s="978"/>
      <c r="N3792" s="79"/>
      <c r="O3792" s="79"/>
      <c r="P3792" s="79" t="str">
        <f>IF(AND('331-CT'!$E$7=TH!H3792,OR(N3792="331",O3792="331")),"x","")</f>
        <v/>
      </c>
      <c r="Q3792" s="79" t="str">
        <f>IF(AND(B3792='111'!$L$11,OR($N3792=$Q$7,$O3792=$Q$7)),"x","")</f>
        <v/>
      </c>
      <c r="R3792" s="79" t="str">
        <f>IF(AND($N3792=$Q$7,$B3792&lt;'111'!$L$11),"x","")</f>
        <v/>
      </c>
      <c r="S3792" s="79" t="str">
        <f>IF(AND($O3792=$Q$7,$B3792&lt;'111'!$L$11),"x","")</f>
        <v/>
      </c>
      <c r="T3792" s="79" t="str">
        <f>IF(ISERROR(FIND('112'!$M$9,G3792,1)),"",IF((AND(FIND('112'!$M$9,G3792,1)&gt;=1,B3792='112'!$K$9,OR($N3792='112'!$I$6,$O3792='112'!$I$6))),"x",""))</f>
        <v/>
      </c>
      <c r="U3792" s="79" t="str">
        <f>IF(ISERROR(FIND('112'!$M$9,G3792,1)),"",IF((AND(LEFT(G3792,2)=LEFT('112'!$M$9,2),B3792&lt;'112'!$K$9,$N3792='112'!$I$6)),"x",""))</f>
        <v/>
      </c>
      <c r="V3792" s="79" t="str">
        <f>IF(ISERROR(FIND('112'!$M$9,G3792,1)),"",IF((AND(RIGHT(G3792,2)=RIGHT('112'!$M$9,2),B3792&lt;'112'!$K$9,$O3792='112'!$I$6)),"x",""))</f>
        <v/>
      </c>
      <c r="W3792" s="79" t="str">
        <f>IF(AND('341-CT'!$H$9=H3792,OR(LEFT(N3792,3)=$W$7,LEFT(O3792,3)=$W$7)),"x","")</f>
        <v/>
      </c>
      <c r="X3792" s="79" t="str">
        <f>IF(OR(TH!N3792=TH!$X$7,O3792=TH!$X$7),"x","")</f>
        <v/>
      </c>
      <c r="Y3792" s="79" t="str">
        <f>IF(AND(OR(N3792="131",O3792="131"),H3792='131-CT'!$H$9),"x","")</f>
        <v/>
      </c>
      <c r="Z3792" s="79"/>
      <c r="AA3792" s="79" t="str">
        <f>IF(AND(MONTH(E3792)='IN-NX'!$J$5,'IN-NX'!$D$7=D3792),"x","")</f>
        <v/>
      </c>
      <c r="AB3792" s="79" t="str">
        <f>IF(AND(OR(LEFT(TH!N3792,2)="15",LEFT(TH!O3792,2)="15"),LEFT(TH!O3792,3)&lt;&gt;"111",'152-CT'!$J$8=TH!F3792),"x","")</f>
        <v/>
      </c>
      <c r="AC3792" s="79" t="str">
        <f>IF(AND(OR(LEFT(TH!N3792,2)="15",LEFT(TH!O3792,2)="15"),TK!$E$7=TH!F3792),"x","")</f>
        <v/>
      </c>
      <c r="AD3792" s="79" t="str">
        <f>IF(AND(N3792="1521",MONTH(C3792)='BK-NL'!$M$11),"x","")</f>
        <v/>
      </c>
    </row>
    <row r="3793" spans="1:30" ht="16.5" customHeight="1">
      <c r="A3793" s="318" t="str">
        <f>IF(B3793&lt;&gt;"",IF(AND(B3793='IN-TC'!$S$4,OR(TH!N3793="1111",TH!O3793="1111")),TH!D3793,""),"")</f>
        <v/>
      </c>
      <c r="B3793" s="60" t="str">
        <f t="shared" ref="B3793" si="414">IF(C3793&lt;&gt;"",MONTH(C3793),"")</f>
        <v/>
      </c>
      <c r="C3793" s="75"/>
      <c r="D3793" s="75"/>
      <c r="E3793" s="974"/>
      <c r="F3793" s="76"/>
      <c r="G3793" s="76"/>
      <c r="H3793" s="77"/>
      <c r="I3793" s="1247"/>
      <c r="J3793" s="1248"/>
      <c r="K3793" s="1247"/>
      <c r="L3793" s="1248"/>
      <c r="M3793" s="978"/>
      <c r="N3793" s="79"/>
      <c r="O3793" s="79"/>
      <c r="P3793" s="79" t="str">
        <f>IF(AND('331-CT'!$E$7=TH!H3793,OR(N3793="331",O3793="331")),"x","")</f>
        <v/>
      </c>
      <c r="Q3793" s="79" t="str">
        <f>IF(AND(B3793='111'!$L$11,OR($N3793=$Q$7,$O3793=$Q$7)),"x","")</f>
        <v/>
      </c>
      <c r="R3793" s="79" t="str">
        <f>IF(AND($N3793=$Q$7,$B3793&lt;'111'!$L$11),"x","")</f>
        <v/>
      </c>
      <c r="S3793" s="79" t="str">
        <f>IF(AND($O3793=$Q$7,$B3793&lt;'111'!$L$11),"x","")</f>
        <v/>
      </c>
      <c r="T3793" s="79" t="str">
        <f>IF(ISERROR(FIND('112'!$M$9,G3793,1)),"",IF((AND(FIND('112'!$M$9,G3793,1)&gt;=1,B3793='112'!$K$9,OR($N3793='112'!$I$6,$O3793='112'!$I$6))),"x",""))</f>
        <v/>
      </c>
      <c r="U3793" s="79" t="str">
        <f>IF(ISERROR(FIND('112'!$M$9,G3793,1)),"",IF((AND(LEFT(G3793,2)=LEFT('112'!$M$9,2),B3793&lt;'112'!$K$9,$N3793='112'!$I$6)),"x",""))</f>
        <v/>
      </c>
      <c r="V3793" s="79" t="str">
        <f>IF(ISERROR(FIND('112'!$M$9,G3793,1)),"",IF((AND(RIGHT(G3793,2)=RIGHT('112'!$M$9,2),B3793&lt;'112'!$K$9,$O3793='112'!$I$6)),"x",""))</f>
        <v/>
      </c>
      <c r="W3793" s="79" t="str">
        <f>IF(AND('341-CT'!$H$9=H3793,OR(LEFT(N3793,3)=$W$7,LEFT(O3793,3)=$W$7)),"x","")</f>
        <v/>
      </c>
      <c r="X3793" s="79" t="str">
        <f>IF(OR(TH!N3793=TH!$X$7,O3793=TH!$X$7),"x","")</f>
        <v/>
      </c>
      <c r="Y3793" s="79" t="str">
        <f>IF(AND(OR(N3793="131",O3793="131"),H3793='131-CT'!$H$9),"x","")</f>
        <v/>
      </c>
      <c r="Z3793" s="79"/>
      <c r="AA3793" s="79" t="str">
        <f>IF(AND(MONTH(E3793)='IN-NX'!$J$5,'IN-NX'!$D$7=D3793),"x","")</f>
        <v/>
      </c>
      <c r="AB3793" s="79" t="str">
        <f>IF(AND(OR(LEFT(TH!N3793,2)="15",LEFT(TH!O3793,2)="15"),LEFT(TH!O3793,3)&lt;&gt;"111",'152-CT'!$J$8=TH!F3793),"x","")</f>
        <v/>
      </c>
      <c r="AC3793" s="79" t="str">
        <f>IF(AND(OR(LEFT(TH!N3793,2)="15",LEFT(TH!O3793,2)="15"),TK!$E$7=TH!F3793),"x","")</f>
        <v/>
      </c>
      <c r="AD3793" s="79" t="str">
        <f>IF(AND(N3793="1521",MONTH(C3793)='BK-NL'!$M$11),"x","")</f>
        <v/>
      </c>
    </row>
    <row r="3794" spans="1:30" ht="16.5" customHeight="1">
      <c r="A3794" s="318" t="str">
        <f>IF(B3794&lt;&gt;"",IF(AND(B3794='IN-TC'!$S$4,OR(TH!N3794="1111",TH!O3794="1111")),TH!D3794,""),"")</f>
        <v/>
      </c>
      <c r="B3794" s="60" t="str">
        <f t="shared" si="413"/>
        <v/>
      </c>
      <c r="C3794" s="75"/>
      <c r="D3794" s="75"/>
      <c r="E3794" s="974"/>
      <c r="F3794" s="76"/>
      <c r="G3794" s="76"/>
      <c r="H3794" s="305"/>
      <c r="I3794" s="1247"/>
      <c r="J3794" s="1248"/>
      <c r="K3794" s="1247"/>
      <c r="L3794" s="1248"/>
      <c r="M3794" s="978"/>
      <c r="N3794" s="79"/>
      <c r="O3794" s="979"/>
      <c r="P3794" s="79" t="str">
        <f>IF(AND('331-CT'!$E$7=TH!H3794,OR(N3794="331",O3794="331")),"x","")</f>
        <v/>
      </c>
      <c r="Q3794" s="79" t="str">
        <f>IF(AND(B3794='111'!$L$11,OR($N3794=$Q$7,$O3794=$Q$7)),"x","")</f>
        <v/>
      </c>
      <c r="R3794" s="79" t="str">
        <f>IF(AND($N3794=$Q$7,$B3794&lt;'111'!$L$11),"x","")</f>
        <v/>
      </c>
      <c r="S3794" s="79" t="str">
        <f>IF(AND($O3794=$Q$7,$B3794&lt;'111'!$L$11),"x","")</f>
        <v/>
      </c>
      <c r="T3794" s="79" t="str">
        <f>IF(ISERROR(FIND('112'!$M$9,G3794,1)),"",IF((AND(FIND('112'!$M$9,G3794,1)&gt;=1,B3794='112'!$K$9,OR($N3794='112'!$I$6,$O3794='112'!$I$6))),"x",""))</f>
        <v/>
      </c>
      <c r="U3794" s="79" t="str">
        <f>IF(ISERROR(FIND('112'!$M$9,G3794,1)),"",IF((AND(LEFT(G3794,2)=LEFT('112'!$M$9,2),B3794&lt;'112'!$K$9,$N3794='112'!$I$6)),"x",""))</f>
        <v/>
      </c>
      <c r="V3794" s="79" t="str">
        <f>IF(ISERROR(FIND('112'!$M$9,G3794,1)),"",IF((AND(RIGHT(G3794,2)=RIGHT('112'!$M$9,2),B3794&lt;'112'!$K$9,$O3794='112'!$I$6)),"x",""))</f>
        <v/>
      </c>
      <c r="W3794" s="79" t="str">
        <f>IF(AND('341-CT'!$H$9=H3794,OR(LEFT(N3794,3)=$W$7,LEFT(O3794,3)=$W$7)),"x","")</f>
        <v/>
      </c>
      <c r="X3794" s="79" t="str">
        <f>IF(OR(TH!N3794=TH!$X$7,O3794=TH!$X$7),"x","")</f>
        <v/>
      </c>
      <c r="Y3794" s="79" t="str">
        <f>IF(AND(OR(N3794="131",O3794="131"),H3794='131-CT'!$H$9),"x","")</f>
        <v/>
      </c>
      <c r="Z3794" s="79"/>
      <c r="AA3794" s="79" t="str">
        <f>IF(AND(MONTH(E3794)='IN-NX'!$J$5,'IN-NX'!$D$7=D3794),"x","")</f>
        <v/>
      </c>
      <c r="AB3794" s="79" t="str">
        <f>IF(AND(OR(LEFT(TH!N3794,2)="15",LEFT(TH!O3794,2)="15"),LEFT(TH!O3794,3)&lt;&gt;"111",'152-CT'!$J$8=TH!F3794),"x","")</f>
        <v/>
      </c>
      <c r="AC3794" s="79" t="str">
        <f>IF(AND(OR(LEFT(TH!N3794,2)="15",LEFT(TH!O3794,2)="15"),TK!$E$7=TH!F3794),"x","")</f>
        <v/>
      </c>
      <c r="AD3794" s="79" t="str">
        <f>IF(AND(N3794="1521",MONTH(C3794)='BK-NL'!$M$11),"x","")</f>
        <v/>
      </c>
    </row>
    <row r="3795" spans="1:30" ht="16.5" customHeight="1">
      <c r="A3795" s="318" t="str">
        <f>IF(B3795&lt;&gt;"",IF(AND(B3795='IN-TC'!$S$4,OR(TH!N3795="1111",TH!O3795="1111")),TH!D3795,""),"")</f>
        <v/>
      </c>
      <c r="B3795" s="60" t="str">
        <f t="shared" si="413"/>
        <v/>
      </c>
      <c r="C3795" s="75"/>
      <c r="D3795" s="75"/>
      <c r="E3795" s="974"/>
      <c r="F3795" s="76"/>
      <c r="G3795" s="76"/>
      <c r="H3795" s="1208"/>
      <c r="I3795" s="1247"/>
      <c r="J3795" s="1248"/>
      <c r="K3795" s="1247"/>
      <c r="L3795" s="1248"/>
      <c r="M3795" s="978"/>
      <c r="N3795" s="79"/>
      <c r="O3795" s="979"/>
      <c r="P3795" s="79" t="str">
        <f>IF(AND('331-CT'!$E$7=TH!H3795,OR(N3795="331",O3795="331")),"x","")</f>
        <v/>
      </c>
      <c r="Q3795" s="79" t="str">
        <f>IF(AND(B3795='111'!$L$11,OR($N3795=$Q$7,$O3795=$Q$7)),"x","")</f>
        <v/>
      </c>
      <c r="R3795" s="79" t="str">
        <f>IF(AND($N3795=$Q$7,$B3795&lt;'111'!$L$11),"x","")</f>
        <v/>
      </c>
      <c r="S3795" s="79" t="str">
        <f>IF(AND($O3795=$Q$7,$B3795&lt;'111'!$L$11),"x","")</f>
        <v/>
      </c>
      <c r="T3795" s="79" t="str">
        <f>IF(ISERROR(FIND('112'!$M$9,G3795,1)),"",IF((AND(FIND('112'!$M$9,G3795,1)&gt;=1,B3795='112'!$K$9,OR($N3795='112'!$I$6,$O3795='112'!$I$6))),"x",""))</f>
        <v/>
      </c>
      <c r="U3795" s="79" t="str">
        <f>IF(ISERROR(FIND('112'!$M$9,G3795,1)),"",IF((AND(LEFT(G3795,2)=LEFT('112'!$M$9,2),B3795&lt;'112'!$K$9,$N3795='112'!$I$6)),"x",""))</f>
        <v/>
      </c>
      <c r="V3795" s="79" t="str">
        <f>IF(ISERROR(FIND('112'!$M$9,G3795,1)),"",IF((AND(RIGHT(G3795,2)=RIGHT('112'!$M$9,2),B3795&lt;'112'!$K$9,$O3795='112'!$I$6)),"x",""))</f>
        <v/>
      </c>
      <c r="W3795" s="79" t="str">
        <f>IF(AND('341-CT'!$H$9=H3795,OR(LEFT(N3795,3)=$W$7,LEFT(O3795,3)=$W$7)),"x","")</f>
        <v/>
      </c>
      <c r="X3795" s="79" t="str">
        <f>IF(OR(TH!N3795=TH!$X$7,O3795=TH!$X$7),"x","")</f>
        <v/>
      </c>
      <c r="Y3795" s="79" t="str">
        <f>IF(AND(OR(N3795="131",O3795="131"),H3795='131-CT'!$H$9),"x","")</f>
        <v/>
      </c>
      <c r="Z3795" s="79"/>
      <c r="AA3795" s="79" t="str">
        <f>IF(AND(MONTH(E3795)='IN-NX'!$J$5,'IN-NX'!$D$7=D3795),"x","")</f>
        <v/>
      </c>
      <c r="AB3795" s="79" t="str">
        <f>IF(AND(OR(LEFT(TH!N3795,2)="15",LEFT(TH!O3795,2)="15"),LEFT(TH!O3795,3)&lt;&gt;"111",'152-CT'!$J$8=TH!F3795),"x","")</f>
        <v/>
      </c>
      <c r="AC3795" s="79" t="str">
        <f>IF(AND(OR(LEFT(TH!N3795,2)="15",LEFT(TH!O3795,2)="15"),TK!$E$7=TH!F3795),"x","")</f>
        <v/>
      </c>
      <c r="AD3795" s="79" t="str">
        <f>IF(AND(N3795="1521",MONTH(C3795)='BK-NL'!$M$11),"x","")</f>
        <v/>
      </c>
    </row>
    <row r="3796" spans="1:30" ht="16.5" customHeight="1">
      <c r="A3796" s="318" t="str">
        <f>IF(B3796&lt;&gt;"",IF(AND(B3796='IN-TC'!$S$4,OR(TH!N3796="1111",TH!O3796="1111")),TH!D3796,""),"")</f>
        <v/>
      </c>
      <c r="B3796" s="60" t="str">
        <f t="shared" si="413"/>
        <v/>
      </c>
      <c r="C3796" s="75"/>
      <c r="D3796" s="75"/>
      <c r="E3796" s="974"/>
      <c r="F3796" s="76"/>
      <c r="G3796" s="76"/>
      <c r="H3796" s="1208"/>
      <c r="I3796" s="1247"/>
      <c r="J3796" s="1248"/>
      <c r="K3796" s="1247"/>
      <c r="L3796" s="1248"/>
      <c r="M3796" s="78"/>
      <c r="N3796" s="79"/>
      <c r="O3796" s="79"/>
      <c r="P3796" s="79" t="str">
        <f>IF(AND('331-CT'!$E$7=TH!H3796,OR(N3796="331",O3796="331")),"x","")</f>
        <v/>
      </c>
      <c r="Q3796" s="79" t="str">
        <f>IF(AND(B3796='111'!$L$11,OR($N3796=$Q$7,$O3796=$Q$7)),"x","")</f>
        <v/>
      </c>
      <c r="R3796" s="79" t="str">
        <f>IF(AND($N3796=$Q$7,$B3796&lt;'111'!$L$11),"x","")</f>
        <v/>
      </c>
      <c r="S3796" s="79" t="str">
        <f>IF(AND($O3796=$Q$7,$B3796&lt;'111'!$L$11),"x","")</f>
        <v/>
      </c>
      <c r="T3796" s="79" t="str">
        <f>IF(ISERROR(FIND('112'!$M$9,G3796,1)),"",IF((AND(FIND('112'!$M$9,G3796,1)&gt;=1,B3796='112'!$K$9,OR($N3796='112'!$I$6,$O3796='112'!$I$6))),"x",""))</f>
        <v/>
      </c>
      <c r="U3796" s="79" t="str">
        <f>IF(ISERROR(FIND('112'!$M$9,G3796,1)),"",IF((AND(LEFT(G3796,2)=LEFT('112'!$M$9,2),B3796&lt;'112'!$K$9,$N3796='112'!$I$6)),"x",""))</f>
        <v/>
      </c>
      <c r="V3796" s="79" t="str">
        <f>IF(ISERROR(FIND('112'!$M$9,G3796,1)),"",IF((AND(RIGHT(G3796,2)=RIGHT('112'!$M$9,2),B3796&lt;'112'!$K$9,$O3796='112'!$I$6)),"x",""))</f>
        <v/>
      </c>
      <c r="W3796" s="79" t="str">
        <f>IF(AND('341-CT'!$H$9=H3796,OR(LEFT(N3796,3)=$W$7,LEFT(O3796,3)=$W$7)),"x","")</f>
        <v/>
      </c>
      <c r="X3796" s="79" t="str">
        <f>IF(OR(TH!N3796=TH!$X$7,O3796=TH!$X$7),"x","")</f>
        <v/>
      </c>
      <c r="Y3796" s="79" t="str">
        <f>IF(AND(OR(N3796="131",O3796="131"),H3796='131-CT'!$H$9),"x","")</f>
        <v/>
      </c>
      <c r="Z3796" s="79"/>
      <c r="AA3796" s="79" t="str">
        <f>IF(AND(MONTH(E3796)='IN-NX'!$J$5,'IN-NX'!$D$7=D3796),"x","")</f>
        <v/>
      </c>
      <c r="AB3796" s="79" t="str">
        <f>IF(AND(OR(LEFT(TH!N3796,2)="15",LEFT(TH!O3796,2)="15"),LEFT(TH!O3796,3)&lt;&gt;"111",'152-CT'!$J$8=TH!F3796),"x","")</f>
        <v/>
      </c>
      <c r="AC3796" s="79" t="str">
        <f>IF(AND(OR(LEFT(TH!N3796,2)="15",LEFT(TH!O3796,2)="15"),TK!$E$7=TH!F3796),"x","")</f>
        <v/>
      </c>
      <c r="AD3796" s="79" t="str">
        <f>IF(AND(N3796="1521",MONTH(C3796)='BK-NL'!$M$11),"x","")</f>
        <v/>
      </c>
    </row>
    <row r="3797" spans="1:30" ht="16.5" customHeight="1">
      <c r="A3797" s="318" t="str">
        <f>IF(B3797&lt;&gt;"",IF(AND(B3797='IN-TC'!$S$4,OR(TH!N3797="1111",TH!O3797="1111")),TH!D3797,""),"")</f>
        <v/>
      </c>
      <c r="B3797" s="60" t="str">
        <f t="shared" si="413"/>
        <v/>
      </c>
      <c r="C3797" s="75"/>
      <c r="D3797" s="75"/>
      <c r="E3797" s="974"/>
      <c r="F3797" s="76"/>
      <c r="G3797" s="76"/>
      <c r="H3797" s="77"/>
      <c r="I3797" s="1247"/>
      <c r="J3797" s="1248"/>
      <c r="K3797" s="1247"/>
      <c r="L3797" s="1248"/>
      <c r="M3797" s="978"/>
      <c r="N3797" s="79"/>
      <c r="O3797" s="79"/>
      <c r="P3797" s="79" t="str">
        <f>IF(AND('331-CT'!$E$7=TH!H3797,OR(N3797="331",O3797="331")),"x","")</f>
        <v/>
      </c>
      <c r="Q3797" s="79" t="str">
        <f>IF(AND(B3797='111'!$L$11,OR($N3797=$Q$7,$O3797=$Q$7)),"x","")</f>
        <v/>
      </c>
      <c r="R3797" s="79" t="str">
        <f>IF(AND($N3797=$Q$7,$B3797&lt;'111'!$L$11),"x","")</f>
        <v/>
      </c>
      <c r="S3797" s="79" t="str">
        <f>IF(AND($O3797=$Q$7,$B3797&lt;'111'!$L$11),"x","")</f>
        <v/>
      </c>
      <c r="T3797" s="79" t="str">
        <f>IF(ISERROR(FIND('112'!$M$9,G3797,1)),"",IF((AND(FIND('112'!$M$9,G3797,1)&gt;=1,B3797='112'!$K$9,OR($N3797='112'!$I$6,$O3797='112'!$I$6))),"x",""))</f>
        <v/>
      </c>
      <c r="U3797" s="79" t="str">
        <f>IF(ISERROR(FIND('112'!$M$9,G3797,1)),"",IF((AND(LEFT(G3797,2)=LEFT('112'!$M$9,2),B3797&lt;'112'!$K$9,$N3797='112'!$I$6)),"x",""))</f>
        <v/>
      </c>
      <c r="V3797" s="79" t="str">
        <f>IF(ISERROR(FIND('112'!$M$9,G3797,1)),"",IF((AND(RIGHT(G3797,2)=RIGHT('112'!$M$9,2),B3797&lt;'112'!$K$9,$O3797='112'!$I$6)),"x",""))</f>
        <v/>
      </c>
      <c r="W3797" s="79" t="str">
        <f>IF(AND('341-CT'!$H$9=H3797,OR(LEFT(N3797,3)=$W$7,LEFT(O3797,3)=$W$7)),"x","")</f>
        <v/>
      </c>
      <c r="X3797" s="79" t="str">
        <f>IF(OR(TH!N3797=TH!$X$7,O3797=TH!$X$7),"x","")</f>
        <v/>
      </c>
      <c r="Y3797" s="79" t="str">
        <f>IF(AND(OR(N3797="131",O3797="131"),H3797='131-CT'!$H$9),"x","")</f>
        <v/>
      </c>
      <c r="Z3797" s="79"/>
      <c r="AA3797" s="79" t="str">
        <f>IF(AND(MONTH(E3797)='IN-NX'!$J$5,'IN-NX'!$D$7=D3797),"x","")</f>
        <v/>
      </c>
      <c r="AB3797" s="79" t="str">
        <f>IF(AND(OR(LEFT(TH!N3797,2)="15",LEFT(TH!O3797,2)="15"),LEFT(TH!O3797,3)&lt;&gt;"111",'152-CT'!$J$8=TH!F3797),"x","")</f>
        <v/>
      </c>
      <c r="AC3797" s="79" t="str">
        <f>IF(AND(OR(LEFT(TH!N3797,2)="15",LEFT(TH!O3797,2)="15"),TK!$E$7=TH!F3797),"x","")</f>
        <v/>
      </c>
      <c r="AD3797" s="79" t="str">
        <f>IF(AND(N3797="1521",MONTH(C3797)='BK-NL'!$M$11),"x","")</f>
        <v/>
      </c>
    </row>
    <row r="3798" spans="1:30" ht="16.5" customHeight="1">
      <c r="A3798" s="318" t="str">
        <f>IF(B3798&lt;&gt;"",IF(AND(B3798='IN-TC'!$S$4,OR(TH!N3798="1111",TH!O3798="1111")),TH!D3798,""),"")</f>
        <v/>
      </c>
      <c r="B3798" s="60" t="str">
        <f t="shared" si="413"/>
        <v/>
      </c>
      <c r="C3798" s="75"/>
      <c r="D3798" s="75"/>
      <c r="E3798" s="974"/>
      <c r="F3798" s="76"/>
      <c r="G3798" s="76"/>
      <c r="H3798" s="77"/>
      <c r="I3798" s="1247"/>
      <c r="J3798" s="1248"/>
      <c r="K3798" s="1247"/>
      <c r="L3798" s="1248"/>
      <c r="M3798" s="978"/>
      <c r="N3798" s="79"/>
      <c r="O3798" s="79"/>
      <c r="P3798" s="79" t="str">
        <f>IF(AND('331-CT'!$E$7=TH!H3798,OR(N3798="331",O3798="331")),"x","")</f>
        <v/>
      </c>
      <c r="Q3798" s="79" t="str">
        <f>IF(AND(B3798='111'!$L$11,OR($N3798=$Q$7,$O3798=$Q$7)),"x","")</f>
        <v/>
      </c>
      <c r="R3798" s="79" t="str">
        <f>IF(AND($N3798=$Q$7,$B3798&lt;'111'!$L$11),"x","")</f>
        <v/>
      </c>
      <c r="S3798" s="79" t="str">
        <f>IF(AND($O3798=$Q$7,$B3798&lt;'111'!$L$11),"x","")</f>
        <v/>
      </c>
      <c r="T3798" s="79" t="str">
        <f>IF(ISERROR(FIND('112'!$M$9,G3798,1)),"",IF((AND(FIND('112'!$M$9,G3798,1)&gt;=1,B3798='112'!$K$9,OR($N3798='112'!$I$6,$O3798='112'!$I$6))),"x",""))</f>
        <v/>
      </c>
      <c r="U3798" s="79" t="str">
        <f>IF(ISERROR(FIND('112'!$M$9,G3798,1)),"",IF((AND(LEFT(G3798,2)=LEFT('112'!$M$9,2),B3798&lt;'112'!$K$9,$N3798='112'!$I$6)),"x",""))</f>
        <v/>
      </c>
      <c r="V3798" s="79" t="str">
        <f>IF(ISERROR(FIND('112'!$M$9,G3798,1)),"",IF((AND(RIGHT(G3798,2)=RIGHT('112'!$M$9,2),B3798&lt;'112'!$K$9,$O3798='112'!$I$6)),"x",""))</f>
        <v/>
      </c>
      <c r="W3798" s="79" t="str">
        <f>IF(AND('341-CT'!$H$9=H3798,OR(LEFT(N3798,3)=$W$7,LEFT(O3798,3)=$W$7)),"x","")</f>
        <v/>
      </c>
      <c r="X3798" s="79" t="str">
        <f>IF(OR(TH!N3798=TH!$X$7,O3798=TH!$X$7),"x","")</f>
        <v/>
      </c>
      <c r="Y3798" s="79" t="str">
        <f>IF(AND(OR(N3798="131",O3798="131"),H3798='131-CT'!$H$9),"x","")</f>
        <v/>
      </c>
      <c r="Z3798" s="79"/>
      <c r="AA3798" s="79" t="str">
        <f>IF(AND(MONTH(E3798)='IN-NX'!$J$5,'IN-NX'!$D$7=D3798),"x","")</f>
        <v/>
      </c>
      <c r="AB3798" s="79" t="str">
        <f>IF(AND(OR(LEFT(TH!N3798,2)="15",LEFT(TH!O3798,2)="15"),LEFT(TH!O3798,3)&lt;&gt;"111",'152-CT'!$J$8=TH!F3798),"x","")</f>
        <v/>
      </c>
      <c r="AC3798" s="79" t="str">
        <f>IF(AND(OR(LEFT(TH!N3798,2)="15",LEFT(TH!O3798,2)="15"),TK!$E$7=TH!F3798),"x","")</f>
        <v/>
      </c>
      <c r="AD3798" s="79" t="str">
        <f>IF(AND(N3798="1521",MONTH(C3798)='BK-NL'!$M$11),"x","")</f>
        <v/>
      </c>
    </row>
    <row r="3799" spans="1:30" ht="16.5" customHeight="1">
      <c r="A3799" s="318" t="str">
        <f>IF(B3799&lt;&gt;"",IF(AND(B3799='IN-TC'!$S$4,OR(TH!N3799="1111",TH!O3799="1111")),TH!D3799,""),"")</f>
        <v/>
      </c>
      <c r="B3799" s="60" t="str">
        <f t="shared" ref="B3799" si="415">IF(C3799&lt;&gt;"",MONTH(C3799),"")</f>
        <v/>
      </c>
      <c r="C3799" s="75"/>
      <c r="D3799" s="75"/>
      <c r="E3799" s="974"/>
      <c r="F3799" s="76"/>
      <c r="G3799" s="76"/>
      <c r="H3799" s="77"/>
      <c r="I3799" s="1247"/>
      <c r="J3799" s="1248"/>
      <c r="K3799" s="1247"/>
      <c r="L3799" s="1248"/>
      <c r="M3799" s="978"/>
      <c r="N3799" s="79"/>
      <c r="O3799" s="79"/>
      <c r="P3799" s="79" t="str">
        <f>IF(AND('331-CT'!$E$7=TH!H3799,OR(N3799="331",O3799="331")),"x","")</f>
        <v/>
      </c>
      <c r="Q3799" s="79" t="str">
        <f>IF(AND(B3799='111'!$L$11,OR($N3799=$Q$7,$O3799=$Q$7)),"x","")</f>
        <v/>
      </c>
      <c r="R3799" s="79" t="str">
        <f>IF(AND($N3799=$Q$7,$B3799&lt;'111'!$L$11),"x","")</f>
        <v/>
      </c>
      <c r="S3799" s="79" t="str">
        <f>IF(AND($O3799=$Q$7,$B3799&lt;'111'!$L$11),"x","")</f>
        <v/>
      </c>
      <c r="T3799" s="79" t="str">
        <f>IF(ISERROR(FIND('112'!$M$9,G3799,1)),"",IF((AND(FIND('112'!$M$9,G3799,1)&gt;=1,B3799='112'!$K$9,OR($N3799='112'!$I$6,$O3799='112'!$I$6))),"x",""))</f>
        <v/>
      </c>
      <c r="U3799" s="79" t="str">
        <f>IF(ISERROR(FIND('112'!$M$9,G3799,1)),"",IF((AND(LEFT(G3799,2)=LEFT('112'!$M$9,2),B3799&lt;'112'!$K$9,$N3799='112'!$I$6)),"x",""))</f>
        <v/>
      </c>
      <c r="V3799" s="79" t="str">
        <f>IF(ISERROR(FIND('112'!$M$9,G3799,1)),"",IF((AND(RIGHT(G3799,2)=RIGHT('112'!$M$9,2),B3799&lt;'112'!$K$9,$O3799='112'!$I$6)),"x",""))</f>
        <v/>
      </c>
      <c r="W3799" s="79" t="str">
        <f>IF(AND('341-CT'!$H$9=H3799,OR(LEFT(N3799,3)=$W$7,LEFT(O3799,3)=$W$7)),"x","")</f>
        <v/>
      </c>
      <c r="X3799" s="79" t="str">
        <f>IF(OR(TH!N3799=TH!$X$7,O3799=TH!$X$7),"x","")</f>
        <v/>
      </c>
      <c r="Y3799" s="79" t="str">
        <f>IF(AND(OR(N3799="131",O3799="131"),H3799='131-CT'!$H$9),"x","")</f>
        <v/>
      </c>
      <c r="Z3799" s="79"/>
      <c r="AA3799" s="79" t="str">
        <f>IF(AND(MONTH(E3799)='IN-NX'!$J$5,'IN-NX'!$D$7=D3799),"x","")</f>
        <v/>
      </c>
      <c r="AB3799" s="79" t="str">
        <f>IF(AND(OR(LEFT(TH!N3799,2)="15",LEFT(TH!O3799,2)="15"),LEFT(TH!O3799,3)&lt;&gt;"111",'152-CT'!$J$8=TH!F3799),"x","")</f>
        <v/>
      </c>
      <c r="AC3799" s="79" t="str">
        <f>IF(AND(OR(LEFT(TH!N3799,2)="15",LEFT(TH!O3799,2)="15"),TK!$E$7=TH!F3799),"x","")</f>
        <v/>
      </c>
      <c r="AD3799" s="79" t="str">
        <f>IF(AND(N3799="1521",MONTH(C3799)='BK-NL'!$M$11),"x","")</f>
        <v/>
      </c>
    </row>
    <row r="3800" spans="1:30" ht="16.5" customHeight="1">
      <c r="A3800" s="318" t="str">
        <f>IF(B3800&lt;&gt;"",IF(AND(B3800='IN-TC'!$S$4,OR(TH!N3800="1111",TH!O3800="1111")),TH!D3800,""),"")</f>
        <v/>
      </c>
      <c r="B3800" s="60" t="str">
        <f t="shared" si="413"/>
        <v/>
      </c>
      <c r="C3800" s="75"/>
      <c r="D3800" s="75"/>
      <c r="E3800" s="974"/>
      <c r="F3800" s="76"/>
      <c r="G3800" s="76"/>
      <c r="H3800" s="1208"/>
      <c r="I3800" s="1247"/>
      <c r="J3800" s="1248"/>
      <c r="K3800" s="1247"/>
      <c r="L3800" s="1248"/>
      <c r="M3800" s="978"/>
      <c r="N3800" s="79"/>
      <c r="O3800" s="979"/>
      <c r="P3800" s="79" t="str">
        <f>IF(AND('331-CT'!$E$7=TH!H3800,OR(N3800="331",O3800="331")),"x","")</f>
        <v/>
      </c>
      <c r="Q3800" s="79" t="str">
        <f>IF(AND(B3800='111'!$L$11,OR($N3800=$Q$7,$O3800=$Q$7)),"x","")</f>
        <v/>
      </c>
      <c r="R3800" s="79" t="str">
        <f>IF(AND($N3800=$Q$7,$B3800&lt;'111'!$L$11),"x","")</f>
        <v/>
      </c>
      <c r="S3800" s="79" t="str">
        <f>IF(AND($O3800=$Q$7,$B3800&lt;'111'!$L$11),"x","")</f>
        <v/>
      </c>
      <c r="T3800" s="79" t="str">
        <f>IF(ISERROR(FIND('112'!$M$9,G3800,1)),"",IF((AND(FIND('112'!$M$9,G3800,1)&gt;=1,B3800='112'!$K$9,OR($N3800='112'!$I$6,$O3800='112'!$I$6))),"x",""))</f>
        <v/>
      </c>
      <c r="U3800" s="79" t="str">
        <f>IF(ISERROR(FIND('112'!$M$9,G3800,1)),"",IF((AND(LEFT(G3800,2)=LEFT('112'!$M$9,2),B3800&lt;'112'!$K$9,$N3800='112'!$I$6)),"x",""))</f>
        <v/>
      </c>
      <c r="V3800" s="79" t="str">
        <f>IF(ISERROR(FIND('112'!$M$9,G3800,1)),"",IF((AND(RIGHT(G3800,2)=RIGHT('112'!$M$9,2),B3800&lt;'112'!$K$9,$O3800='112'!$I$6)),"x",""))</f>
        <v/>
      </c>
      <c r="W3800" s="79" t="str">
        <f>IF(AND('341-CT'!$H$9=H3800,OR(LEFT(N3800,3)=$W$7,LEFT(O3800,3)=$W$7)),"x","")</f>
        <v/>
      </c>
      <c r="X3800" s="79" t="str">
        <f>IF(OR(TH!N3800=TH!$X$7,O3800=TH!$X$7),"x","")</f>
        <v/>
      </c>
      <c r="Y3800" s="79" t="str">
        <f>IF(AND(OR(N3800="131",O3800="131"),H3800='131-CT'!$H$9),"x","")</f>
        <v/>
      </c>
      <c r="Z3800" s="79"/>
      <c r="AA3800" s="79" t="str">
        <f>IF(AND(MONTH(E3800)='IN-NX'!$J$5,'IN-NX'!$D$7=D3800),"x","")</f>
        <v/>
      </c>
      <c r="AB3800" s="79" t="str">
        <f>IF(AND(OR(LEFT(TH!N3800,2)="15",LEFT(TH!O3800,2)="15"),LEFT(TH!O3800,3)&lt;&gt;"111",'152-CT'!$J$8=TH!F3800),"x","")</f>
        <v/>
      </c>
      <c r="AC3800" s="79" t="str">
        <f>IF(AND(OR(LEFT(TH!N3800,2)="15",LEFT(TH!O3800,2)="15"),TK!$E$7=TH!F3800),"x","")</f>
        <v/>
      </c>
      <c r="AD3800" s="79" t="str">
        <f>IF(AND(N3800="1521",MONTH(C3800)='BK-NL'!$M$11),"x","")</f>
        <v/>
      </c>
    </row>
    <row r="3801" spans="1:30" ht="16.5" customHeight="1">
      <c r="A3801" s="318" t="str">
        <f>IF(B3801&lt;&gt;"",IF(AND(B3801='IN-TC'!$S$4,OR(TH!N3801="1111",TH!O3801="1111")),TH!D3801,""),"")</f>
        <v/>
      </c>
      <c r="B3801" s="60" t="str">
        <f t="shared" si="413"/>
        <v/>
      </c>
      <c r="C3801" s="75"/>
      <c r="D3801" s="75"/>
      <c r="E3801" s="974"/>
      <c r="F3801" s="76"/>
      <c r="G3801" s="76"/>
      <c r="H3801" s="1208"/>
      <c r="I3801" s="1247"/>
      <c r="J3801" s="1248"/>
      <c r="K3801" s="1247"/>
      <c r="L3801" s="1248"/>
      <c r="M3801" s="978"/>
      <c r="N3801" s="79"/>
      <c r="O3801" s="979"/>
      <c r="P3801" s="79" t="str">
        <f>IF(AND('331-CT'!$E$7=TH!H3801,OR(N3801="331",O3801="331")),"x","")</f>
        <v/>
      </c>
      <c r="Q3801" s="79" t="str">
        <f>IF(AND(B3801='111'!$L$11,OR($N3801=$Q$7,$O3801=$Q$7)),"x","")</f>
        <v/>
      </c>
      <c r="R3801" s="79" t="str">
        <f>IF(AND($N3801=$Q$7,$B3801&lt;'111'!$L$11),"x","")</f>
        <v/>
      </c>
      <c r="S3801" s="79" t="str">
        <f>IF(AND($O3801=$Q$7,$B3801&lt;'111'!$L$11),"x","")</f>
        <v/>
      </c>
      <c r="T3801" s="79" t="str">
        <f>IF(ISERROR(FIND('112'!$M$9,G3801,1)),"",IF((AND(FIND('112'!$M$9,G3801,1)&gt;=1,B3801='112'!$K$9,OR($N3801='112'!$I$6,$O3801='112'!$I$6))),"x",""))</f>
        <v/>
      </c>
      <c r="U3801" s="79" t="str">
        <f>IF(ISERROR(FIND('112'!$M$9,G3801,1)),"",IF((AND(LEFT(G3801,2)=LEFT('112'!$M$9,2),B3801&lt;'112'!$K$9,$N3801='112'!$I$6)),"x",""))</f>
        <v/>
      </c>
      <c r="V3801" s="79" t="str">
        <f>IF(ISERROR(FIND('112'!$M$9,G3801,1)),"",IF((AND(RIGHT(G3801,2)=RIGHT('112'!$M$9,2),B3801&lt;'112'!$K$9,$O3801='112'!$I$6)),"x",""))</f>
        <v/>
      </c>
      <c r="W3801" s="79" t="str">
        <f>IF(AND('341-CT'!$H$9=H3801,OR(LEFT(N3801,3)=$W$7,LEFT(O3801,3)=$W$7)),"x","")</f>
        <v/>
      </c>
      <c r="X3801" s="79" t="str">
        <f>IF(OR(TH!N3801=TH!$X$7,O3801=TH!$X$7),"x","")</f>
        <v/>
      </c>
      <c r="Y3801" s="79" t="str">
        <f>IF(AND(OR(N3801="131",O3801="131"),H3801='131-CT'!$H$9),"x","")</f>
        <v/>
      </c>
      <c r="Z3801" s="79"/>
      <c r="AA3801" s="79" t="str">
        <f>IF(AND(MONTH(E3801)='IN-NX'!$J$5,'IN-NX'!$D$7=D3801),"x","")</f>
        <v/>
      </c>
      <c r="AB3801" s="79" t="str">
        <f>IF(AND(OR(LEFT(TH!N3801,2)="15",LEFT(TH!O3801,2)="15"),LEFT(TH!O3801,3)&lt;&gt;"111",'152-CT'!$J$8=TH!F3801),"x","")</f>
        <v/>
      </c>
      <c r="AC3801" s="79" t="str">
        <f>IF(AND(OR(LEFT(TH!N3801,2)="15",LEFT(TH!O3801,2)="15"),TK!$E$7=TH!F3801),"x","")</f>
        <v/>
      </c>
      <c r="AD3801" s="79" t="str">
        <f>IF(AND(N3801="1521",MONTH(C3801)='BK-NL'!$M$11),"x","")</f>
        <v/>
      </c>
    </row>
    <row r="3802" spans="1:30" ht="16.5" customHeight="1">
      <c r="A3802" s="318" t="str">
        <f>IF(B3802&lt;&gt;"",IF(AND(B3802='IN-TC'!$S$4,OR(TH!N3802="1111",TH!O3802="1111")),TH!D3802,""),"")</f>
        <v/>
      </c>
      <c r="B3802" s="60" t="str">
        <f t="shared" si="413"/>
        <v/>
      </c>
      <c r="C3802" s="75"/>
      <c r="D3802" s="75"/>
      <c r="E3802" s="974"/>
      <c r="F3802" s="76"/>
      <c r="G3802" s="76"/>
      <c r="H3802" s="1208"/>
      <c r="I3802" s="1247"/>
      <c r="J3802" s="1248"/>
      <c r="K3802" s="1247"/>
      <c r="L3802" s="1248"/>
      <c r="M3802" s="78"/>
      <c r="N3802" s="79"/>
      <c r="O3802" s="79"/>
      <c r="P3802" s="79" t="str">
        <f>IF(AND('331-CT'!$E$7=TH!H3802,OR(N3802="331",O3802="331")),"x","")</f>
        <v/>
      </c>
      <c r="Q3802" s="79" t="str">
        <f>IF(AND(B3802='111'!$L$11,OR($N3802=$Q$7,$O3802=$Q$7)),"x","")</f>
        <v/>
      </c>
      <c r="R3802" s="79" t="str">
        <f>IF(AND($N3802=$Q$7,$B3802&lt;'111'!$L$11),"x","")</f>
        <v/>
      </c>
      <c r="S3802" s="79" t="str">
        <f>IF(AND($O3802=$Q$7,$B3802&lt;'111'!$L$11),"x","")</f>
        <v/>
      </c>
      <c r="T3802" s="79" t="str">
        <f>IF(ISERROR(FIND('112'!$M$9,G3802,1)),"",IF((AND(FIND('112'!$M$9,G3802,1)&gt;=1,B3802='112'!$K$9,OR($N3802='112'!$I$6,$O3802='112'!$I$6))),"x",""))</f>
        <v/>
      </c>
      <c r="U3802" s="79" t="str">
        <f>IF(ISERROR(FIND('112'!$M$9,G3802,1)),"",IF((AND(LEFT(G3802,2)=LEFT('112'!$M$9,2),B3802&lt;'112'!$K$9,$N3802='112'!$I$6)),"x",""))</f>
        <v/>
      </c>
      <c r="V3802" s="79" t="str">
        <f>IF(ISERROR(FIND('112'!$M$9,G3802,1)),"",IF((AND(RIGHT(G3802,2)=RIGHT('112'!$M$9,2),B3802&lt;'112'!$K$9,$O3802='112'!$I$6)),"x",""))</f>
        <v/>
      </c>
      <c r="W3802" s="79" t="str">
        <f>IF(AND('341-CT'!$H$9=H3802,OR(LEFT(N3802,3)=$W$7,LEFT(O3802,3)=$W$7)),"x","")</f>
        <v/>
      </c>
      <c r="X3802" s="79" t="str">
        <f>IF(OR(TH!N3802=TH!$X$7,O3802=TH!$X$7),"x","")</f>
        <v/>
      </c>
      <c r="Y3802" s="79" t="str">
        <f>IF(AND(OR(N3802="131",O3802="131"),H3802='131-CT'!$H$9),"x","")</f>
        <v/>
      </c>
      <c r="Z3802" s="79"/>
      <c r="AA3802" s="79" t="str">
        <f>IF(AND(MONTH(E3802)='IN-NX'!$J$5,'IN-NX'!$D$7=D3802),"x","")</f>
        <v/>
      </c>
      <c r="AB3802" s="79" t="str">
        <f>IF(AND(OR(LEFT(TH!N3802,2)="15",LEFT(TH!O3802,2)="15"),LEFT(TH!O3802,3)&lt;&gt;"111",'152-CT'!$J$8=TH!F3802),"x","")</f>
        <v/>
      </c>
      <c r="AC3802" s="79" t="str">
        <f>IF(AND(OR(LEFT(TH!N3802,2)="15",LEFT(TH!O3802,2)="15"),TK!$E$7=TH!F3802),"x","")</f>
        <v/>
      </c>
      <c r="AD3802" s="79" t="str">
        <f>IF(AND(N3802="1521",MONTH(C3802)='BK-NL'!$M$11),"x","")</f>
        <v/>
      </c>
    </row>
    <row r="3803" spans="1:30" ht="16.5" customHeight="1">
      <c r="A3803" s="318" t="str">
        <f>IF(B3803&lt;&gt;"",IF(AND(B3803='IN-TC'!$S$4,OR(TH!N3803="1111",TH!O3803="1111")),TH!D3803,""),"")</f>
        <v/>
      </c>
      <c r="B3803" s="60" t="str">
        <f t="shared" si="413"/>
        <v/>
      </c>
      <c r="C3803" s="75"/>
      <c r="D3803" s="75"/>
      <c r="E3803" s="974"/>
      <c r="F3803" s="76"/>
      <c r="G3803" s="76"/>
      <c r="H3803" s="77"/>
      <c r="I3803" s="1247"/>
      <c r="J3803" s="1248"/>
      <c r="K3803" s="1247"/>
      <c r="L3803" s="1248"/>
      <c r="M3803" s="978"/>
      <c r="N3803" s="79"/>
      <c r="O3803" s="979"/>
      <c r="P3803" s="79" t="str">
        <f>IF(AND('331-CT'!$E$7=TH!H3803,OR(N3803="331",O3803="331")),"x","")</f>
        <v/>
      </c>
      <c r="Q3803" s="79" t="str">
        <f>IF(AND(B3803='111'!$L$11,OR($N3803=$Q$7,$O3803=$Q$7)),"x","")</f>
        <v/>
      </c>
      <c r="R3803" s="79" t="str">
        <f>IF(AND($N3803=$Q$7,$B3803&lt;'111'!$L$11),"x","")</f>
        <v/>
      </c>
      <c r="S3803" s="79" t="str">
        <f>IF(AND($O3803=$Q$7,$B3803&lt;'111'!$L$11),"x","")</f>
        <v/>
      </c>
      <c r="T3803" s="79" t="str">
        <f>IF(ISERROR(FIND('112'!$M$9,G3803,1)),"",IF((AND(FIND('112'!$M$9,G3803,1)&gt;=1,B3803='112'!$K$9,OR($N3803='112'!$I$6,$O3803='112'!$I$6))),"x",""))</f>
        <v/>
      </c>
      <c r="U3803" s="79" t="str">
        <f>IF(ISERROR(FIND('112'!$M$9,G3803,1)),"",IF((AND(LEFT(G3803,2)=LEFT('112'!$M$9,2),B3803&lt;'112'!$K$9,$N3803='112'!$I$6)),"x",""))</f>
        <v/>
      </c>
      <c r="V3803" s="79" t="str">
        <f>IF(ISERROR(FIND('112'!$M$9,G3803,1)),"",IF((AND(RIGHT(G3803,2)=RIGHT('112'!$M$9,2),B3803&lt;'112'!$K$9,$O3803='112'!$I$6)),"x",""))</f>
        <v/>
      </c>
      <c r="W3803" s="79" t="str">
        <f>IF(AND('341-CT'!$H$9=H3803,OR(LEFT(N3803,3)=$W$7,LEFT(O3803,3)=$W$7)),"x","")</f>
        <v/>
      </c>
      <c r="X3803" s="79" t="str">
        <f>IF(OR(TH!N3803=TH!$X$7,O3803=TH!$X$7),"x","")</f>
        <v/>
      </c>
      <c r="Y3803" s="79" t="str">
        <f>IF(AND(OR(N3803="131",O3803="131"),H3803='131-CT'!$H$9),"x","")</f>
        <v/>
      </c>
      <c r="Z3803" s="79"/>
      <c r="AA3803" s="79" t="str">
        <f>IF(AND(MONTH(E3803)='IN-NX'!$J$5,'IN-NX'!$D$7=D3803),"x","")</f>
        <v/>
      </c>
      <c r="AB3803" s="79" t="str">
        <f>IF(AND(OR(LEFT(TH!N3803,2)="15",LEFT(TH!O3803,2)="15"),LEFT(TH!O3803,3)&lt;&gt;"111",'152-CT'!$J$8=TH!F3803),"x","")</f>
        <v/>
      </c>
      <c r="AC3803" s="79" t="str">
        <f>IF(AND(OR(LEFT(TH!N3803,2)="15",LEFT(TH!O3803,2)="15"),TK!$E$7=TH!F3803),"x","")</f>
        <v/>
      </c>
      <c r="AD3803" s="79" t="str">
        <f>IF(AND(N3803="1521",MONTH(C3803)='BK-NL'!$M$11),"x","")</f>
        <v/>
      </c>
    </row>
    <row r="3804" spans="1:30" ht="16.5" customHeight="1">
      <c r="A3804" s="318" t="str">
        <f>IF(B3804&lt;&gt;"",IF(AND(B3804='IN-TC'!$S$4,OR(TH!N3804="1111",TH!O3804="1111")),TH!D3804,""),"")</f>
        <v/>
      </c>
      <c r="B3804" s="60" t="str">
        <f t="shared" si="413"/>
        <v/>
      </c>
      <c r="C3804" s="75"/>
      <c r="D3804" s="75"/>
      <c r="E3804" s="974"/>
      <c r="F3804" s="76"/>
      <c r="G3804" s="76"/>
      <c r="H3804" s="77"/>
      <c r="I3804" s="1247"/>
      <c r="J3804" s="1248"/>
      <c r="K3804" s="1247"/>
      <c r="L3804" s="1248"/>
      <c r="M3804" s="978"/>
      <c r="N3804" s="79"/>
      <c r="O3804" s="979"/>
      <c r="P3804" s="79" t="str">
        <f>IF(AND('331-CT'!$E$7=TH!H3804,OR(N3804="331",O3804="331")),"x","")</f>
        <v/>
      </c>
      <c r="Q3804" s="79" t="str">
        <f>IF(AND(B3804='111'!$L$11,OR($N3804=$Q$7,$O3804=$Q$7)),"x","")</f>
        <v/>
      </c>
      <c r="R3804" s="79" t="str">
        <f>IF(AND($N3804=$Q$7,$B3804&lt;'111'!$L$11),"x","")</f>
        <v/>
      </c>
      <c r="S3804" s="79" t="str">
        <f>IF(AND($O3804=$Q$7,$B3804&lt;'111'!$L$11),"x","")</f>
        <v/>
      </c>
      <c r="T3804" s="79" t="str">
        <f>IF(ISERROR(FIND('112'!$M$9,G3804,1)),"",IF((AND(FIND('112'!$M$9,G3804,1)&gt;=1,B3804='112'!$K$9,OR($N3804='112'!$I$6,$O3804='112'!$I$6))),"x",""))</f>
        <v/>
      </c>
      <c r="U3804" s="79" t="str">
        <f>IF(ISERROR(FIND('112'!$M$9,G3804,1)),"",IF((AND(LEFT(G3804,2)=LEFT('112'!$M$9,2),B3804&lt;'112'!$K$9,$N3804='112'!$I$6)),"x",""))</f>
        <v/>
      </c>
      <c r="V3804" s="79" t="str">
        <f>IF(ISERROR(FIND('112'!$M$9,G3804,1)),"",IF((AND(RIGHT(G3804,2)=RIGHT('112'!$M$9,2),B3804&lt;'112'!$K$9,$O3804='112'!$I$6)),"x",""))</f>
        <v/>
      </c>
      <c r="W3804" s="79" t="str">
        <f>IF(AND('341-CT'!$H$9=H3804,OR(LEFT(N3804,3)=$W$7,LEFT(O3804,3)=$W$7)),"x","")</f>
        <v/>
      </c>
      <c r="X3804" s="79" t="str">
        <f>IF(OR(TH!N3804=TH!$X$7,O3804=TH!$X$7),"x","")</f>
        <v/>
      </c>
      <c r="Y3804" s="79" t="str">
        <f>IF(AND(OR(N3804="131",O3804="131"),H3804='131-CT'!$H$9),"x","")</f>
        <v/>
      </c>
      <c r="Z3804" s="79"/>
      <c r="AA3804" s="79" t="str">
        <f>IF(AND(MONTH(E3804)='IN-NX'!$J$5,'IN-NX'!$D$7=D3804),"x","")</f>
        <v/>
      </c>
      <c r="AB3804" s="79" t="str">
        <f>IF(AND(OR(LEFT(TH!N3804,2)="15",LEFT(TH!O3804,2)="15"),LEFT(TH!O3804,3)&lt;&gt;"111",'152-CT'!$J$8=TH!F3804),"x","")</f>
        <v/>
      </c>
      <c r="AC3804" s="79" t="str">
        <f>IF(AND(OR(LEFT(TH!N3804,2)="15",LEFT(TH!O3804,2)="15"),TK!$E$7=TH!F3804),"x","")</f>
        <v/>
      </c>
      <c r="AD3804" s="79" t="str">
        <f>IF(AND(N3804="1521",MONTH(C3804)='BK-NL'!$M$11),"x","")</f>
        <v/>
      </c>
    </row>
    <row r="3805" spans="1:30" ht="16.5" customHeight="1">
      <c r="A3805" s="318" t="str">
        <f>IF(B3805&lt;&gt;"",IF(AND(B3805='IN-TC'!$S$4,OR(TH!N3805="1111",TH!O3805="1111")),TH!D3805,""),"")</f>
        <v/>
      </c>
      <c r="B3805" s="60" t="str">
        <f t="shared" si="413"/>
        <v/>
      </c>
      <c r="C3805" s="75"/>
      <c r="D3805" s="75"/>
      <c r="E3805" s="974"/>
      <c r="F3805" s="76"/>
      <c r="G3805" s="76"/>
      <c r="H3805" s="77"/>
      <c r="I3805" s="383"/>
      <c r="J3805" s="390"/>
      <c r="K3805" s="383"/>
      <c r="L3805" s="1248"/>
      <c r="M3805" s="978"/>
      <c r="N3805" s="79"/>
      <c r="O3805" s="979"/>
      <c r="P3805" s="79" t="str">
        <f>IF(AND('331-CT'!$E$7=TH!H3805,OR(N3805="331",O3805="331")),"x","")</f>
        <v/>
      </c>
      <c r="Q3805" s="79" t="str">
        <f>IF(AND(B3805='111'!$L$11,OR($N3805=$Q$7,$O3805=$Q$7)),"x","")</f>
        <v/>
      </c>
      <c r="R3805" s="79" t="str">
        <f>IF(AND($N3805=$Q$7,$B3805&lt;'111'!$L$11),"x","")</f>
        <v/>
      </c>
      <c r="S3805" s="79" t="str">
        <f>IF(AND($O3805=$Q$7,$B3805&lt;'111'!$L$11),"x","")</f>
        <v/>
      </c>
      <c r="T3805" s="79" t="str">
        <f>IF(ISERROR(FIND('112'!$M$9,G3805,1)),"",IF((AND(FIND('112'!$M$9,G3805,1)&gt;=1,B3805='112'!$K$9,OR($N3805='112'!$I$6,$O3805='112'!$I$6))),"x",""))</f>
        <v/>
      </c>
      <c r="U3805" s="79" t="str">
        <f>IF(ISERROR(FIND('112'!$M$9,G3805,1)),"",IF((AND(LEFT(G3805,2)=LEFT('112'!$M$9,2),B3805&lt;'112'!$K$9,$N3805='112'!$I$6)),"x",""))</f>
        <v/>
      </c>
      <c r="V3805" s="79" t="str">
        <f>IF(ISERROR(FIND('112'!$M$9,G3805,1)),"",IF((AND(RIGHT(G3805,2)=RIGHT('112'!$M$9,2),B3805&lt;'112'!$K$9,$O3805='112'!$I$6)),"x",""))</f>
        <v/>
      </c>
      <c r="W3805" s="79" t="str">
        <f>IF(AND('341-CT'!$H$9=H3805,OR(LEFT(N3805,3)=$W$7,LEFT(O3805,3)=$W$7)),"x","")</f>
        <v/>
      </c>
      <c r="X3805" s="79" t="str">
        <f>IF(OR(TH!N3805=TH!$X$7,O3805=TH!$X$7),"x","")</f>
        <v/>
      </c>
      <c r="Y3805" s="79" t="str">
        <f>IF(AND(OR(N3805="131",O3805="131"),H3805='131-CT'!$H$9),"x","")</f>
        <v/>
      </c>
      <c r="Z3805" s="79"/>
      <c r="AA3805" s="79" t="str">
        <f>IF(AND(MONTH(E3805)='IN-NX'!$J$5,'IN-NX'!$D$7=D3805),"x","")</f>
        <v/>
      </c>
      <c r="AB3805" s="79" t="str">
        <f>IF(AND(OR(LEFT(TH!N3805,2)="15",LEFT(TH!O3805,2)="15"),LEFT(TH!O3805,3)&lt;&gt;"111",'152-CT'!$J$8=TH!F3805),"x","")</f>
        <v/>
      </c>
      <c r="AC3805" s="79" t="str">
        <f>IF(AND(OR(LEFT(TH!N3805,2)="15",LEFT(TH!O3805,2)="15"),TK!$E$7=TH!F3805),"x","")</f>
        <v/>
      </c>
      <c r="AD3805" s="79" t="str">
        <f>IF(AND(N3805="1521",MONTH(C3805)='BK-NL'!$M$11),"x","")</f>
        <v/>
      </c>
    </row>
    <row r="3806" spans="1:30" ht="16.5" customHeight="1">
      <c r="A3806" s="318" t="str">
        <f>IF(B3806&lt;&gt;"",IF(AND(B3806='IN-TC'!$S$4,OR(TH!N3806="1111",TH!O3806="1111")),TH!D3806,""),"")</f>
        <v/>
      </c>
      <c r="B3806" s="60" t="str">
        <f t="shared" si="413"/>
        <v/>
      </c>
      <c r="C3806" s="75"/>
      <c r="D3806" s="75"/>
      <c r="E3806" s="974"/>
      <c r="F3806" s="76"/>
      <c r="G3806" s="76"/>
      <c r="H3806" s="77"/>
      <c r="I3806" s="77"/>
      <c r="J3806" s="390"/>
      <c r="K3806" s="383"/>
      <c r="L3806" s="1248"/>
      <c r="M3806" s="978"/>
      <c r="N3806" s="79"/>
      <c r="O3806" s="979"/>
      <c r="P3806" s="79" t="str">
        <f>IF(AND('331-CT'!$E$7=TH!H3806,OR(N3806="331",O3806="331")),"x","")</f>
        <v/>
      </c>
      <c r="Q3806" s="79" t="str">
        <f>IF(AND(B3806='111'!$L$11,OR($N3806=$Q$7,$O3806=$Q$7)),"x","")</f>
        <v/>
      </c>
      <c r="R3806" s="79" t="str">
        <f>IF(AND($N3806=$Q$7,$B3806&lt;'111'!$L$11),"x","")</f>
        <v/>
      </c>
      <c r="S3806" s="79" t="str">
        <f>IF(AND($O3806=$Q$7,$B3806&lt;'111'!$L$11),"x","")</f>
        <v/>
      </c>
      <c r="T3806" s="79" t="str">
        <f>IF(ISERROR(FIND('112'!$M$9,G3806,1)),"",IF((AND(FIND('112'!$M$9,G3806,1)&gt;=1,B3806='112'!$K$9,OR($N3806='112'!$I$6,$O3806='112'!$I$6))),"x",""))</f>
        <v/>
      </c>
      <c r="U3806" s="79" t="str">
        <f>IF(ISERROR(FIND('112'!$M$9,G3806,1)),"",IF((AND(LEFT(G3806,2)=LEFT('112'!$M$9,2),B3806&lt;'112'!$K$9,$N3806='112'!$I$6)),"x",""))</f>
        <v/>
      </c>
      <c r="V3806" s="79" t="str">
        <f>IF(ISERROR(FIND('112'!$M$9,G3806,1)),"",IF((AND(RIGHT(G3806,2)=RIGHT('112'!$M$9,2),B3806&lt;'112'!$K$9,$O3806='112'!$I$6)),"x",""))</f>
        <v/>
      </c>
      <c r="W3806" s="79" t="str">
        <f>IF(AND('341-CT'!$H$9=H3806,OR(LEFT(N3806,3)=$W$7,LEFT(O3806,3)=$W$7)),"x","")</f>
        <v/>
      </c>
      <c r="X3806" s="79" t="str">
        <f>IF(OR(TH!N3806=TH!$X$7,O3806=TH!$X$7),"x","")</f>
        <v/>
      </c>
      <c r="Y3806" s="79" t="str">
        <f>IF(AND(OR(N3806="131",O3806="131"),H3806='131-CT'!$H$9),"x","")</f>
        <v/>
      </c>
      <c r="Z3806" s="79"/>
      <c r="AA3806" s="79" t="str">
        <f>IF(AND(MONTH(E3806)='IN-NX'!$J$5,'IN-NX'!$D$7=D3806),"x","")</f>
        <v/>
      </c>
      <c r="AB3806" s="79" t="str">
        <f>IF(AND(OR(LEFT(TH!N3806,2)="15",LEFT(TH!O3806,2)="15"),LEFT(TH!O3806,3)&lt;&gt;"111",'152-CT'!$J$8=TH!F3806),"x","")</f>
        <v/>
      </c>
      <c r="AC3806" s="79" t="str">
        <f>IF(AND(OR(LEFT(TH!N3806,2)="15",LEFT(TH!O3806,2)="15"),TK!$E$7=TH!F3806),"x","")</f>
        <v/>
      </c>
      <c r="AD3806" s="79" t="str">
        <f>IF(AND(N3806="1521",MONTH(C3806)='BK-NL'!$M$11),"x","")</f>
        <v/>
      </c>
    </row>
    <row r="3807" spans="1:30" ht="16.5" customHeight="1">
      <c r="A3807" s="318" t="str">
        <f>IF(B3807&lt;&gt;"",IF(AND(B3807='IN-TC'!$S$4,OR(TH!N3807="1111",TH!O3807="1111")),TH!D3807,""),"")</f>
        <v/>
      </c>
      <c r="B3807" s="60" t="str">
        <f t="shared" si="413"/>
        <v/>
      </c>
      <c r="C3807" s="75"/>
      <c r="D3807" s="75"/>
      <c r="E3807" s="974"/>
      <c r="F3807" s="76"/>
      <c r="G3807" s="76"/>
      <c r="H3807" s="77"/>
      <c r="I3807" s="77"/>
      <c r="J3807" s="390"/>
      <c r="K3807" s="383"/>
      <c r="L3807" s="1248"/>
      <c r="M3807" s="978"/>
      <c r="N3807" s="79"/>
      <c r="O3807" s="979"/>
      <c r="P3807" s="79" t="str">
        <f>IF(AND('331-CT'!$E$7=TH!H3807,OR(N3807="331",O3807="331")),"x","")</f>
        <v/>
      </c>
      <c r="Q3807" s="79" t="str">
        <f>IF(AND(B3807='111'!$L$11,OR($N3807=$Q$7,$O3807=$Q$7)),"x","")</f>
        <v/>
      </c>
      <c r="R3807" s="79" t="str">
        <f>IF(AND($N3807=$Q$7,$B3807&lt;'111'!$L$11),"x","")</f>
        <v/>
      </c>
      <c r="S3807" s="79" t="str">
        <f>IF(AND($O3807=$Q$7,$B3807&lt;'111'!$L$11),"x","")</f>
        <v/>
      </c>
      <c r="T3807" s="79" t="str">
        <f>IF(ISERROR(FIND('112'!$M$9,G3807,1)),"",IF((AND(FIND('112'!$M$9,G3807,1)&gt;=1,B3807='112'!$K$9,OR($N3807='112'!$I$6,$O3807='112'!$I$6))),"x",""))</f>
        <v/>
      </c>
      <c r="U3807" s="79" t="str">
        <f>IF(ISERROR(FIND('112'!$M$9,G3807,1)),"",IF((AND(LEFT(G3807,2)=LEFT('112'!$M$9,2),B3807&lt;'112'!$K$9,$N3807='112'!$I$6)),"x",""))</f>
        <v/>
      </c>
      <c r="V3807" s="79" t="str">
        <f>IF(ISERROR(FIND('112'!$M$9,G3807,1)),"",IF((AND(RIGHT(G3807,2)=RIGHT('112'!$M$9,2),B3807&lt;'112'!$K$9,$O3807='112'!$I$6)),"x",""))</f>
        <v/>
      </c>
      <c r="W3807" s="79" t="str">
        <f>IF(AND('341-CT'!$H$9=H3807,OR(LEFT(N3807,3)=$W$7,LEFT(O3807,3)=$W$7)),"x","")</f>
        <v/>
      </c>
      <c r="X3807" s="79" t="str">
        <f>IF(OR(TH!N3807=TH!$X$7,O3807=TH!$X$7),"x","")</f>
        <v/>
      </c>
      <c r="Y3807" s="79" t="str">
        <f>IF(AND(OR(N3807="131",O3807="131"),H3807='131-CT'!$H$9),"x","")</f>
        <v/>
      </c>
      <c r="Z3807" s="79"/>
      <c r="AA3807" s="79" t="str">
        <f>IF(AND(MONTH(E3807)='IN-NX'!$J$5,'IN-NX'!$D$7=D3807),"x","")</f>
        <v/>
      </c>
      <c r="AB3807" s="79" t="str">
        <f>IF(AND(OR(LEFT(TH!N3807,2)="15",LEFT(TH!O3807,2)="15"),LEFT(TH!O3807,3)&lt;&gt;"111",'152-CT'!$J$8=TH!F3807),"x","")</f>
        <v/>
      </c>
      <c r="AC3807" s="79" t="str">
        <f>IF(AND(OR(LEFT(TH!N3807,2)="15",LEFT(TH!O3807,2)="15"),TK!$E$7=TH!F3807),"x","")</f>
        <v/>
      </c>
      <c r="AD3807" s="79" t="str">
        <f>IF(AND(N3807="1521",MONTH(C3807)='BK-NL'!$M$11),"x","")</f>
        <v/>
      </c>
    </row>
    <row r="3808" spans="1:30" ht="16.5" customHeight="1">
      <c r="A3808" s="318" t="str">
        <f>IF(B3808&lt;&gt;"",IF(AND(B3808='IN-TC'!$S$4,OR(TH!N3808="1111",TH!O3808="1111")),TH!D3808,""),"")</f>
        <v/>
      </c>
      <c r="B3808" s="60" t="str">
        <f t="shared" si="413"/>
        <v/>
      </c>
      <c r="C3808" s="75"/>
      <c r="D3808" s="75"/>
      <c r="E3808" s="974"/>
      <c r="F3808" s="76"/>
      <c r="G3808" s="76"/>
      <c r="H3808" s="77"/>
      <c r="I3808" s="77"/>
      <c r="J3808" s="1248"/>
      <c r="K3808" s="1247"/>
      <c r="L3808" s="1248"/>
      <c r="M3808" s="978"/>
      <c r="N3808" s="79"/>
      <c r="O3808" s="979"/>
      <c r="P3808" s="79" t="str">
        <f>IF(AND('331-CT'!$E$7=TH!H3808,OR(N3808="331",O3808="331")),"x","")</f>
        <v/>
      </c>
      <c r="Q3808" s="79" t="str">
        <f>IF(AND(B3808='111'!$L$11,OR($N3808=$Q$7,$O3808=$Q$7)),"x","")</f>
        <v/>
      </c>
      <c r="R3808" s="79" t="str">
        <f>IF(AND($N3808=$Q$7,$B3808&lt;'111'!$L$11),"x","")</f>
        <v/>
      </c>
      <c r="S3808" s="79" t="str">
        <f>IF(AND($O3808=$Q$7,$B3808&lt;'111'!$L$11),"x","")</f>
        <v/>
      </c>
      <c r="T3808" s="79" t="str">
        <f>IF(ISERROR(FIND('112'!$M$9,G3808,1)),"",IF((AND(FIND('112'!$M$9,G3808,1)&gt;=1,B3808='112'!$K$9,OR($N3808='112'!$I$6,$O3808='112'!$I$6))),"x",""))</f>
        <v/>
      </c>
      <c r="U3808" s="79" t="str">
        <f>IF(ISERROR(FIND('112'!$M$9,G3808,1)),"",IF((AND(LEFT(G3808,2)=LEFT('112'!$M$9,2),B3808&lt;'112'!$K$9,$N3808='112'!$I$6)),"x",""))</f>
        <v/>
      </c>
      <c r="V3808" s="79" t="str">
        <f>IF(ISERROR(FIND('112'!$M$9,G3808,1)),"",IF((AND(RIGHT(G3808,2)=RIGHT('112'!$M$9,2),B3808&lt;'112'!$K$9,$O3808='112'!$I$6)),"x",""))</f>
        <v/>
      </c>
      <c r="W3808" s="79" t="str">
        <f>IF(AND('341-CT'!$H$9=H3808,OR(LEFT(N3808,3)=$W$7,LEFT(O3808,3)=$W$7)),"x","")</f>
        <v/>
      </c>
      <c r="X3808" s="79" t="str">
        <f>IF(OR(TH!N3808=TH!$X$7,O3808=TH!$X$7),"x","")</f>
        <v/>
      </c>
      <c r="Y3808" s="79" t="str">
        <f>IF(AND(OR(N3808="131",O3808="131"),H3808='131-CT'!$H$9),"x","")</f>
        <v/>
      </c>
      <c r="Z3808" s="79"/>
      <c r="AA3808" s="79" t="str">
        <f>IF(AND(MONTH(E3808)='IN-NX'!$J$5,'IN-NX'!$D$7=D3808),"x","")</f>
        <v/>
      </c>
      <c r="AB3808" s="79" t="str">
        <f>IF(AND(OR(LEFT(TH!N3808,2)="15",LEFT(TH!O3808,2)="15"),LEFT(TH!O3808,3)&lt;&gt;"111",'152-CT'!$J$8=TH!F3808),"x","")</f>
        <v/>
      </c>
      <c r="AC3808" s="79" t="str">
        <f>IF(AND(OR(LEFT(TH!N3808,2)="15",LEFT(TH!O3808,2)="15"),TK!$E$7=TH!F3808),"x","")</f>
        <v/>
      </c>
      <c r="AD3808" s="79" t="str">
        <f>IF(AND(N3808="1521",MONTH(C3808)='BK-NL'!$M$11),"x","")</f>
        <v/>
      </c>
    </row>
    <row r="3809" spans="1:30" ht="16.5" customHeight="1">
      <c r="A3809" s="318" t="str">
        <f>IF(B3809&lt;&gt;"",IF(AND(B3809='IN-TC'!$S$4,OR(TH!N3809="1111",TH!O3809="1111")),TH!D3809,""),"")</f>
        <v/>
      </c>
      <c r="B3809" s="60" t="str">
        <f t="shared" si="413"/>
        <v/>
      </c>
      <c r="C3809" s="75"/>
      <c r="D3809" s="75"/>
      <c r="E3809" s="974"/>
      <c r="F3809" s="76"/>
      <c r="G3809" s="76"/>
      <c r="H3809" s="77"/>
      <c r="I3809" s="77"/>
      <c r="J3809" s="1248"/>
      <c r="K3809" s="1247"/>
      <c r="L3809" s="1248"/>
      <c r="M3809" s="978"/>
      <c r="N3809" s="79"/>
      <c r="O3809" s="79"/>
      <c r="P3809" s="79" t="str">
        <f>IF(AND('331-CT'!$E$7=TH!H3809,OR(N3809="331",O3809="331")),"x","")</f>
        <v/>
      </c>
      <c r="Q3809" s="79" t="str">
        <f>IF(AND(B3809='111'!$L$11,OR($N3809=$Q$7,$O3809=$Q$7)),"x","")</f>
        <v/>
      </c>
      <c r="R3809" s="79" t="str">
        <f>IF(AND($N3809=$Q$7,$B3809&lt;'111'!$L$11),"x","")</f>
        <v/>
      </c>
      <c r="S3809" s="79" t="str">
        <f>IF(AND($O3809=$Q$7,$B3809&lt;'111'!$L$11),"x","")</f>
        <v/>
      </c>
      <c r="T3809" s="79" t="str">
        <f>IF(ISERROR(FIND('112'!$M$9,G3809,1)),"",IF((AND(FIND('112'!$M$9,G3809,1)&gt;=1,B3809='112'!$K$9,OR($N3809='112'!$I$6,$O3809='112'!$I$6))),"x",""))</f>
        <v/>
      </c>
      <c r="U3809" s="79" t="str">
        <f>IF(ISERROR(FIND('112'!$M$9,G3809,1)),"",IF((AND(LEFT(G3809,2)=LEFT('112'!$M$9,2),B3809&lt;'112'!$K$9,$N3809='112'!$I$6)),"x",""))</f>
        <v/>
      </c>
      <c r="V3809" s="79" t="str">
        <f>IF(ISERROR(FIND('112'!$M$9,G3809,1)),"",IF((AND(RIGHT(G3809,2)=RIGHT('112'!$M$9,2),B3809&lt;'112'!$K$9,$O3809='112'!$I$6)),"x",""))</f>
        <v/>
      </c>
      <c r="W3809" s="79" t="str">
        <f>IF(AND('341-CT'!$H$9=H3809,OR(LEFT(N3809,3)=$W$7,LEFT(O3809,3)=$W$7)),"x","")</f>
        <v/>
      </c>
      <c r="X3809" s="79" t="str">
        <f>IF(OR(TH!N3809=TH!$X$7,O3809=TH!$X$7),"x","")</f>
        <v/>
      </c>
      <c r="Y3809" s="79" t="str">
        <f>IF(AND(OR(N3809="131",O3809="131"),H3809='131-CT'!$H$9),"x","")</f>
        <v/>
      </c>
      <c r="Z3809" s="79"/>
      <c r="AA3809" s="79" t="str">
        <f>IF(AND(MONTH(E3809)='IN-NX'!$J$5,'IN-NX'!$D$7=D3809),"x","")</f>
        <v/>
      </c>
      <c r="AB3809" s="79" t="str">
        <f>IF(AND(OR(LEFT(TH!N3809,2)="15",LEFT(TH!O3809,2)="15"),LEFT(TH!O3809,3)&lt;&gt;"111",'152-CT'!$J$8=TH!F3809),"x","")</f>
        <v/>
      </c>
      <c r="AC3809" s="79" t="str">
        <f>IF(AND(OR(LEFT(TH!N3809,2)="15",LEFT(TH!O3809,2)="15"),TK!$E$7=TH!F3809),"x","")</f>
        <v/>
      </c>
      <c r="AD3809" s="79" t="str">
        <f>IF(AND(N3809="1521",MONTH(C3809)='BK-NL'!$M$11),"x","")</f>
        <v/>
      </c>
    </row>
    <row r="3810" spans="1:30" ht="16.5" customHeight="1">
      <c r="A3810" s="318" t="str">
        <f>IF(B3810&lt;&gt;"",IF(AND(B3810='IN-TC'!$S$4,OR(TH!N3810="1111",TH!O3810="1111")),TH!D3810,""),"")</f>
        <v/>
      </c>
      <c r="B3810" s="60" t="str">
        <f t="shared" si="413"/>
        <v/>
      </c>
      <c r="C3810" s="75"/>
      <c r="D3810" s="75"/>
      <c r="E3810" s="974"/>
      <c r="F3810" s="76"/>
      <c r="G3810" s="76"/>
      <c r="H3810" s="77"/>
      <c r="I3810" s="77"/>
      <c r="J3810" s="1248"/>
      <c r="K3810" s="1247"/>
      <c r="L3810" s="1248"/>
      <c r="M3810" s="978"/>
      <c r="N3810" s="79"/>
      <c r="O3810" s="79"/>
      <c r="P3810" s="79" t="str">
        <f>IF(AND('331-CT'!$E$7=TH!H3810,OR(N3810="331",O3810="331")),"x","")</f>
        <v/>
      </c>
      <c r="Q3810" s="79" t="str">
        <f>IF(AND(B3810='111'!$L$11,OR($N3810=$Q$7,$O3810=$Q$7)),"x","")</f>
        <v/>
      </c>
      <c r="R3810" s="79" t="str">
        <f>IF(AND($N3810=$Q$7,$B3810&lt;'111'!$L$11),"x","")</f>
        <v/>
      </c>
      <c r="S3810" s="79" t="str">
        <f>IF(AND($O3810=$Q$7,$B3810&lt;'111'!$L$11),"x","")</f>
        <v/>
      </c>
      <c r="T3810" s="79" t="str">
        <f>IF(ISERROR(FIND('112'!$M$9,G3810,1)),"",IF((AND(FIND('112'!$M$9,G3810,1)&gt;=1,B3810='112'!$K$9,OR($N3810='112'!$I$6,$O3810='112'!$I$6))),"x",""))</f>
        <v/>
      </c>
      <c r="U3810" s="79" t="str">
        <f>IF(ISERROR(FIND('112'!$M$9,G3810,1)),"",IF((AND(LEFT(G3810,2)=LEFT('112'!$M$9,2),B3810&lt;'112'!$K$9,$N3810='112'!$I$6)),"x",""))</f>
        <v/>
      </c>
      <c r="V3810" s="79" t="str">
        <f>IF(ISERROR(FIND('112'!$M$9,G3810,1)),"",IF((AND(RIGHT(G3810,2)=RIGHT('112'!$M$9,2),B3810&lt;'112'!$K$9,$O3810='112'!$I$6)),"x",""))</f>
        <v/>
      </c>
      <c r="W3810" s="79" t="str">
        <f>IF(AND('341-CT'!$H$9=H3810,OR(LEFT(N3810,3)=$W$7,LEFT(O3810,3)=$W$7)),"x","")</f>
        <v/>
      </c>
      <c r="X3810" s="79" t="str">
        <f>IF(OR(TH!N3810=TH!$X$7,O3810=TH!$X$7),"x","")</f>
        <v/>
      </c>
      <c r="Y3810" s="79" t="str">
        <f>IF(AND(OR(N3810="131",O3810="131"),H3810='131-CT'!$H$9),"x","")</f>
        <v/>
      </c>
      <c r="Z3810" s="79"/>
      <c r="AA3810" s="79" t="str">
        <f>IF(AND(MONTH(E3810)='IN-NX'!$J$5,'IN-NX'!$D$7=D3810),"x","")</f>
        <v/>
      </c>
      <c r="AB3810" s="79" t="str">
        <f>IF(AND(OR(LEFT(TH!N3810,2)="15",LEFT(TH!O3810,2)="15"),LEFT(TH!O3810,3)&lt;&gt;"111",'152-CT'!$J$8=TH!F3810),"x","")</f>
        <v/>
      </c>
      <c r="AC3810" s="79" t="str">
        <f>IF(AND(OR(LEFT(TH!N3810,2)="15",LEFT(TH!O3810,2)="15"),TK!$E$7=TH!F3810),"x","")</f>
        <v/>
      </c>
      <c r="AD3810" s="79" t="str">
        <f>IF(AND(N3810="1521",MONTH(C3810)='BK-NL'!$M$11),"x","")</f>
        <v/>
      </c>
    </row>
    <row r="3811" spans="1:30" ht="16.5" customHeight="1">
      <c r="A3811" s="318" t="str">
        <f>IF(B3811&lt;&gt;"",IF(AND(B3811='IN-TC'!$S$4,OR(TH!N3811="1111",TH!O3811="1111")),TH!D3811,""),"")</f>
        <v/>
      </c>
      <c r="B3811" s="60" t="str">
        <f t="shared" si="413"/>
        <v/>
      </c>
      <c r="C3811" s="974"/>
      <c r="D3811" s="75"/>
      <c r="E3811" s="974"/>
      <c r="F3811" s="77"/>
      <c r="G3811" s="975"/>
      <c r="H3811" s="305"/>
      <c r="I3811" s="77"/>
      <c r="J3811" s="390"/>
      <c r="K3811" s="383"/>
      <c r="L3811" s="390"/>
      <c r="M3811" s="978"/>
      <c r="N3811" s="979"/>
      <c r="O3811" s="979"/>
      <c r="P3811" s="79" t="str">
        <f>IF(AND('331-CT'!$E$7=TH!H3811,OR(N3811="331",O3811="331")),"x","")</f>
        <v/>
      </c>
      <c r="Q3811" s="79" t="str">
        <f>IF(AND(B3811='111'!$L$11,OR($N3811=$Q$7,$O3811=$Q$7)),"x","")</f>
        <v/>
      </c>
      <c r="R3811" s="79" t="str">
        <f>IF(AND($N3811=$Q$7,$B3811&lt;'111'!$L$11),"x","")</f>
        <v/>
      </c>
      <c r="S3811" s="79" t="str">
        <f>IF(AND($O3811=$Q$7,$B3811&lt;'111'!$L$11),"x","")</f>
        <v/>
      </c>
      <c r="T3811" s="79" t="str">
        <f>IF(ISERROR(FIND('112'!$M$9,G3811,1)),"",IF((AND(FIND('112'!$M$9,G3811,1)&gt;=1,B3811='112'!$K$9,OR($N3811='112'!$I$6,$O3811='112'!$I$6))),"x",""))</f>
        <v/>
      </c>
      <c r="U3811" s="79" t="str">
        <f>IF(ISERROR(FIND('112'!$M$9,G3811,1)),"",IF((AND(LEFT(G3811,2)=LEFT('112'!$M$9,2),B3811&lt;'112'!$K$9,$N3811='112'!$I$6)),"x",""))</f>
        <v/>
      </c>
      <c r="V3811" s="79" t="str">
        <f>IF(ISERROR(FIND('112'!$M$9,G3811,1)),"",IF((AND(RIGHT(G3811,2)=RIGHT('112'!$M$9,2),B3811&lt;'112'!$K$9,$O3811='112'!$I$6)),"x",""))</f>
        <v/>
      </c>
      <c r="W3811" s="79" t="str">
        <f>IF(AND('341-CT'!$H$9=H3811,OR(LEFT(N3811,3)=$W$7,LEFT(O3811,3)=$W$7)),"x","")</f>
        <v/>
      </c>
      <c r="X3811" s="79" t="str">
        <f>IF(OR(TH!N3811=TH!$X$7,O3811=TH!$X$7),"x","")</f>
        <v/>
      </c>
      <c r="Y3811" s="79" t="str">
        <f>IF(AND(OR(N3811="131",O3811="131"),H3811='131-CT'!$H$9),"x","")</f>
        <v/>
      </c>
      <c r="Z3811" s="79"/>
      <c r="AA3811" s="79" t="str">
        <f>IF(AND(MONTH(E3811)='IN-NX'!$J$5,'IN-NX'!$D$7=D3811),"x","")</f>
        <v/>
      </c>
      <c r="AB3811" s="79" t="str">
        <f>IF(AND(OR(LEFT(TH!N3811,2)="15",LEFT(TH!O3811,2)="15"),LEFT(TH!O3811,3)&lt;&gt;"111",'152-CT'!$J$8=TH!F3811),"x","")</f>
        <v/>
      </c>
      <c r="AC3811" s="79" t="str">
        <f>IF(AND(OR(LEFT(TH!N3811,2)="15",LEFT(TH!O3811,2)="15"),TK!$E$7=TH!F3811),"x","")</f>
        <v/>
      </c>
      <c r="AD3811" s="79" t="str">
        <f>IF(AND(N3811="1521",MONTH(C3811)='BK-NL'!$M$11),"x","")</f>
        <v/>
      </c>
    </row>
    <row r="3812" spans="1:30" ht="16.5" customHeight="1">
      <c r="A3812" s="318" t="str">
        <f>IF(B3812&lt;&gt;"",IF(AND(B3812='IN-TC'!$S$4,OR(TH!N3812="1111",TH!O3812="1111")),TH!D3812,""),"")</f>
        <v/>
      </c>
      <c r="B3812" s="60" t="str">
        <f t="shared" si="413"/>
        <v/>
      </c>
      <c r="C3812" s="75"/>
      <c r="D3812" s="75"/>
      <c r="E3812" s="974"/>
      <c r="F3812" s="76"/>
      <c r="G3812" s="76"/>
      <c r="H3812" s="759"/>
      <c r="I3812" s="77"/>
      <c r="J3812" s="1248"/>
      <c r="K3812" s="1247"/>
      <c r="L3812" s="1248"/>
      <c r="M3812" s="978"/>
      <c r="N3812" s="79"/>
      <c r="O3812" s="79"/>
      <c r="P3812" s="79" t="str">
        <f>IF(AND('331-CT'!$E$7=TH!H3812,OR(N3812="331",O3812="331")),"x","")</f>
        <v/>
      </c>
      <c r="Q3812" s="79" t="str">
        <f>IF(AND(B3812='111'!$L$11,OR($N3812=$Q$7,$O3812=$Q$7)),"x","")</f>
        <v/>
      </c>
      <c r="R3812" s="79" t="str">
        <f>IF(AND($N3812=$Q$7,$B3812&lt;'111'!$L$11),"x","")</f>
        <v/>
      </c>
      <c r="S3812" s="79" t="str">
        <f>IF(AND($O3812=$Q$7,$B3812&lt;'111'!$L$11),"x","")</f>
        <v/>
      </c>
      <c r="T3812" s="79" t="str">
        <f>IF(ISERROR(FIND('112'!$M$9,G3812,1)),"",IF((AND(FIND('112'!$M$9,G3812,1)&gt;=1,B3812='112'!$K$9,OR($N3812='112'!$I$6,$O3812='112'!$I$6))),"x",""))</f>
        <v/>
      </c>
      <c r="U3812" s="79" t="str">
        <f>IF(ISERROR(FIND('112'!$M$9,G3812,1)),"",IF((AND(LEFT(G3812,2)=LEFT('112'!$M$9,2),B3812&lt;'112'!$K$9,$N3812='112'!$I$6)),"x",""))</f>
        <v/>
      </c>
      <c r="V3812" s="79" t="str">
        <f>IF(ISERROR(FIND('112'!$M$9,G3812,1)),"",IF((AND(RIGHT(G3812,2)=RIGHT('112'!$M$9,2),B3812&lt;'112'!$K$9,$O3812='112'!$I$6)),"x",""))</f>
        <v/>
      </c>
      <c r="W3812" s="79" t="str">
        <f>IF(AND('341-CT'!$H$9=H3812,OR(LEFT(N3812,3)=$W$7,LEFT(O3812,3)=$W$7)),"x","")</f>
        <v/>
      </c>
      <c r="X3812" s="79" t="str">
        <f>IF(OR(TH!N3812=TH!$X$7,O3812=TH!$X$7),"x","")</f>
        <v/>
      </c>
      <c r="Y3812" s="79" t="str">
        <f>IF(AND(OR(N3812="131",O3812="131"),H3812='131-CT'!$H$9),"x","")</f>
        <v/>
      </c>
      <c r="Z3812" s="79"/>
      <c r="AA3812" s="79" t="str">
        <f>IF(AND(MONTH(E3812)='IN-NX'!$J$5,'IN-NX'!$D$7=D3812),"x","")</f>
        <v/>
      </c>
      <c r="AB3812" s="79" t="str">
        <f>IF(AND(OR(LEFT(TH!N3812,2)="15",LEFT(TH!O3812,2)="15"),LEFT(TH!O3812,3)&lt;&gt;"111",'152-CT'!$J$8=TH!F3812),"x","")</f>
        <v/>
      </c>
      <c r="AC3812" s="79" t="str">
        <f>IF(AND(OR(LEFT(TH!N3812,2)="15",LEFT(TH!O3812,2)="15"),TK!$E$7=TH!F3812),"x","")</f>
        <v/>
      </c>
      <c r="AD3812" s="79" t="str">
        <f>IF(AND(N3812="1521",MONTH(C3812)='BK-NL'!$M$11),"x","")</f>
        <v/>
      </c>
    </row>
    <row r="3813" spans="1:30" ht="16.5" customHeight="1">
      <c r="A3813" s="318" t="str">
        <f>IF(B3813&lt;&gt;"",IF(AND(B3813='IN-TC'!$S$4,OR(TH!N3813="1111",TH!O3813="1111")),TH!D3813,""),"")</f>
        <v/>
      </c>
      <c r="B3813" s="60" t="str">
        <f t="shared" si="413"/>
        <v/>
      </c>
      <c r="C3813" s="75"/>
      <c r="D3813" s="75"/>
      <c r="E3813" s="75"/>
      <c r="F3813" s="76"/>
      <c r="G3813" s="76"/>
      <c r="H3813" s="759"/>
      <c r="I3813" s="77"/>
      <c r="J3813" s="390"/>
      <c r="K3813" s="383"/>
      <c r="L3813" s="1248"/>
      <c r="M3813" s="978"/>
      <c r="N3813" s="79"/>
      <c r="O3813" s="79"/>
      <c r="P3813" s="79" t="str">
        <f>IF(AND('331-CT'!$E$7=TH!H3813,OR(N3813="331",O3813="331")),"x","")</f>
        <v/>
      </c>
      <c r="Q3813" s="79" t="str">
        <f>IF(AND(B3813='111'!$L$11,OR($N3813=$Q$7,$O3813=$Q$7)),"x","")</f>
        <v/>
      </c>
      <c r="R3813" s="79" t="str">
        <f>IF(AND($N3813=$Q$7,$B3813&lt;'111'!$L$11),"x","")</f>
        <v/>
      </c>
      <c r="S3813" s="79" t="str">
        <f>IF(AND($O3813=$Q$7,$B3813&lt;'111'!$L$11),"x","")</f>
        <v/>
      </c>
      <c r="T3813" s="79" t="str">
        <f>IF(ISERROR(FIND('112'!$M$9,G3813,1)),"",IF((AND(FIND('112'!$M$9,G3813,1)&gt;=1,B3813='112'!$K$9,OR($N3813='112'!$I$6,$O3813='112'!$I$6))),"x",""))</f>
        <v/>
      </c>
      <c r="U3813" s="79" t="str">
        <f>IF(ISERROR(FIND('112'!$M$9,G3813,1)),"",IF((AND(LEFT(G3813,2)=LEFT('112'!$M$9,2),B3813&lt;'112'!$K$9,$N3813='112'!$I$6)),"x",""))</f>
        <v/>
      </c>
      <c r="V3813" s="79" t="str">
        <f>IF(ISERROR(FIND('112'!$M$9,G3813,1)),"",IF((AND(RIGHT(G3813,2)=RIGHT('112'!$M$9,2),B3813&lt;'112'!$K$9,$O3813='112'!$I$6)),"x",""))</f>
        <v/>
      </c>
      <c r="W3813" s="79" t="str">
        <f>IF(AND('341-CT'!$H$9=H3813,OR(LEFT(N3813,3)=$W$7,LEFT(O3813,3)=$W$7)),"x","")</f>
        <v/>
      </c>
      <c r="X3813" s="79" t="str">
        <f>IF(OR(TH!N3813=TH!$X$7,O3813=TH!$X$7),"x","")</f>
        <v/>
      </c>
      <c r="Y3813" s="79" t="str">
        <f>IF(AND(OR(N3813="131",O3813="131"),H3813='131-CT'!$H$9),"x","")</f>
        <v/>
      </c>
      <c r="Z3813" s="79"/>
      <c r="AA3813" s="79" t="str">
        <f>IF(AND(MONTH(E3813)='IN-NX'!$J$5,'IN-NX'!$D$7=D3813),"x","")</f>
        <v/>
      </c>
      <c r="AB3813" s="79" t="str">
        <f>IF(AND(OR(LEFT(TH!N3813,2)="15",LEFT(TH!O3813,2)="15"),LEFT(TH!O3813,3)&lt;&gt;"111",'152-CT'!$J$8=TH!F3813),"x","")</f>
        <v/>
      </c>
      <c r="AC3813" s="79" t="str">
        <f>IF(AND(OR(LEFT(TH!N3813,2)="15",LEFT(TH!O3813,2)="15"),TK!$E$7=TH!F3813),"x","")</f>
        <v/>
      </c>
      <c r="AD3813" s="79" t="str">
        <f>IF(AND(N3813="1521",MONTH(C3813)='BK-NL'!$M$11),"x","")</f>
        <v/>
      </c>
    </row>
    <row r="3814" spans="1:30" ht="16.5" customHeight="1">
      <c r="A3814" s="318" t="str">
        <f>IF(B3814&lt;&gt;"",IF(AND(B3814='IN-TC'!$S$4,OR(TH!N3814="1111",TH!O3814="1111")),TH!D3814,""),"")</f>
        <v/>
      </c>
      <c r="B3814" s="60" t="str">
        <f t="shared" si="413"/>
        <v/>
      </c>
      <c r="C3814" s="75"/>
      <c r="D3814" s="75"/>
      <c r="E3814" s="75"/>
      <c r="F3814" s="76"/>
      <c r="G3814" s="76"/>
      <c r="H3814" s="759"/>
      <c r="I3814" s="77"/>
      <c r="J3814" s="390"/>
      <c r="K3814" s="383"/>
      <c r="L3814" s="1248"/>
      <c r="M3814" s="978"/>
      <c r="N3814" s="79"/>
      <c r="O3814" s="79"/>
      <c r="P3814" s="79" t="str">
        <f>IF(AND('331-CT'!$E$7=TH!H3814,OR(N3814="331",O3814="331")),"x","")</f>
        <v/>
      </c>
      <c r="Q3814" s="79" t="str">
        <f>IF(AND(B3814='111'!$L$11,OR($N3814=$Q$7,$O3814=$Q$7)),"x","")</f>
        <v/>
      </c>
      <c r="R3814" s="79" t="str">
        <f>IF(AND($N3814=$Q$7,$B3814&lt;'111'!$L$11),"x","")</f>
        <v/>
      </c>
      <c r="S3814" s="79" t="str">
        <f>IF(AND($O3814=$Q$7,$B3814&lt;'111'!$L$11),"x","")</f>
        <v/>
      </c>
      <c r="T3814" s="79" t="str">
        <f>IF(ISERROR(FIND('112'!$M$9,G3814,1)),"",IF((AND(FIND('112'!$M$9,G3814,1)&gt;=1,B3814='112'!$K$9,OR($N3814='112'!$I$6,$O3814='112'!$I$6))),"x",""))</f>
        <v/>
      </c>
      <c r="U3814" s="79" t="str">
        <f>IF(ISERROR(FIND('112'!$M$9,G3814,1)),"",IF((AND(LEFT(G3814,2)=LEFT('112'!$M$9,2),B3814&lt;'112'!$K$9,$N3814='112'!$I$6)),"x",""))</f>
        <v/>
      </c>
      <c r="V3814" s="79" t="str">
        <f>IF(ISERROR(FIND('112'!$M$9,G3814,1)),"",IF((AND(RIGHT(G3814,2)=RIGHT('112'!$M$9,2),B3814&lt;'112'!$K$9,$O3814='112'!$I$6)),"x",""))</f>
        <v/>
      </c>
      <c r="W3814" s="79" t="str">
        <f>IF(AND('341-CT'!$H$9=H3814,OR(LEFT(N3814,3)=$W$7,LEFT(O3814,3)=$W$7)),"x","")</f>
        <v/>
      </c>
      <c r="X3814" s="79" t="str">
        <f>IF(OR(TH!N3814=TH!$X$7,O3814=TH!$X$7),"x","")</f>
        <v/>
      </c>
      <c r="Y3814" s="79" t="str">
        <f>IF(AND(OR(N3814="131",O3814="131"),H3814='131-CT'!$H$9),"x","")</f>
        <v/>
      </c>
      <c r="Z3814" s="79"/>
      <c r="AA3814" s="79" t="str">
        <f>IF(AND(MONTH(E3814)='IN-NX'!$J$5,'IN-NX'!$D$7=D3814),"x","")</f>
        <v/>
      </c>
      <c r="AB3814" s="79" t="str">
        <f>IF(AND(OR(LEFT(TH!N3814,2)="15",LEFT(TH!O3814,2)="15"),LEFT(TH!O3814,3)&lt;&gt;"111",'152-CT'!$J$8=TH!F3814),"x","")</f>
        <v/>
      </c>
      <c r="AC3814" s="79" t="str">
        <f>IF(AND(OR(LEFT(TH!N3814,2)="15",LEFT(TH!O3814,2)="15"),TK!$E$7=TH!F3814),"x","")</f>
        <v/>
      </c>
      <c r="AD3814" s="79" t="str">
        <f>IF(AND(N3814="1521",MONTH(C3814)='BK-NL'!$M$11),"x","")</f>
        <v/>
      </c>
    </row>
    <row r="3815" spans="1:30" ht="16.5" customHeight="1">
      <c r="A3815" s="318" t="str">
        <f>IF(B3815&lt;&gt;"",IF(AND(B3815='IN-TC'!$S$4,OR(TH!N3815="1111",TH!O3815="1111")),TH!D3815,""),"")</f>
        <v/>
      </c>
      <c r="B3815" s="60" t="str">
        <f t="shared" si="413"/>
        <v/>
      </c>
      <c r="C3815" s="75"/>
      <c r="D3815" s="75"/>
      <c r="E3815" s="974"/>
      <c r="F3815" s="76"/>
      <c r="G3815" s="76"/>
      <c r="H3815" s="77"/>
      <c r="I3815" s="77"/>
      <c r="J3815" s="390"/>
      <c r="K3815" s="383"/>
      <c r="L3815" s="390"/>
      <c r="M3815" s="978"/>
      <c r="N3815" s="79"/>
      <c r="O3815" s="979"/>
      <c r="P3815" s="79" t="str">
        <f>IF(AND('331-CT'!$E$7=TH!H3815,OR(N3815="331",O3815="331")),"x","")</f>
        <v/>
      </c>
      <c r="Q3815" s="79" t="str">
        <f>IF(AND(B3815='111'!$L$11,OR($N3815=$Q$7,$O3815=$Q$7)),"x","")</f>
        <v/>
      </c>
      <c r="R3815" s="79" t="str">
        <f>IF(AND($N3815=$Q$7,$B3815&lt;'111'!$L$11),"x","")</f>
        <v/>
      </c>
      <c r="S3815" s="79" t="str">
        <f>IF(AND($O3815=$Q$7,$B3815&lt;'111'!$L$11),"x","")</f>
        <v/>
      </c>
      <c r="T3815" s="79" t="str">
        <f>IF(ISERROR(FIND('112'!$M$9,G3815,1)),"",IF((AND(FIND('112'!$M$9,G3815,1)&gt;=1,B3815='112'!$K$9,OR($N3815='112'!$I$6,$O3815='112'!$I$6))),"x",""))</f>
        <v/>
      </c>
      <c r="U3815" s="79" t="str">
        <f>IF(ISERROR(FIND('112'!$M$9,G3815,1)),"",IF((AND(LEFT(G3815,2)=LEFT('112'!$M$9,2),B3815&lt;'112'!$K$9,$N3815='112'!$I$6)),"x",""))</f>
        <v/>
      </c>
      <c r="V3815" s="79" t="str">
        <f>IF(ISERROR(FIND('112'!$M$9,G3815,1)),"",IF((AND(RIGHT(G3815,2)=RIGHT('112'!$M$9,2),B3815&lt;'112'!$K$9,$O3815='112'!$I$6)),"x",""))</f>
        <v/>
      </c>
      <c r="W3815" s="79" t="str">
        <f>IF(AND('341-CT'!$H$9=H3815,OR(LEFT(N3815,3)=$W$7,LEFT(O3815,3)=$W$7)),"x","")</f>
        <v/>
      </c>
      <c r="X3815" s="79" t="str">
        <f>IF(OR(TH!N3815=TH!$X$7,O3815=TH!$X$7),"x","")</f>
        <v/>
      </c>
      <c r="Y3815" s="79" t="str">
        <f>IF(AND(OR(N3815="131",O3815="131"),H3815='131-CT'!$H$9),"x","")</f>
        <v/>
      </c>
      <c r="Z3815" s="79"/>
      <c r="AA3815" s="79" t="str">
        <f>IF(AND(MONTH(E3815)='IN-NX'!$J$5,'IN-NX'!$D$7=D3815),"x","")</f>
        <v/>
      </c>
      <c r="AB3815" s="79" t="str">
        <f>IF(AND(OR(LEFT(TH!N3815,2)="15",LEFT(TH!O3815,2)="15"),LEFT(TH!O3815,3)&lt;&gt;"111",'152-CT'!$J$8=TH!F3815),"x","")</f>
        <v/>
      </c>
      <c r="AC3815" s="79" t="str">
        <f>IF(AND(OR(LEFT(TH!N3815,2)="15",LEFT(TH!O3815,2)="15"),TK!$E$7=TH!F3815),"x","")</f>
        <v/>
      </c>
      <c r="AD3815" s="79" t="str">
        <f>IF(AND(N3815="1521",MONTH(C3815)='BK-NL'!$M$11),"x","")</f>
        <v/>
      </c>
    </row>
    <row r="3816" spans="1:30" ht="16.5" customHeight="1">
      <c r="A3816" s="318" t="str">
        <f>IF(B3816&lt;&gt;"",IF(AND(B3816='IN-TC'!$S$4,OR(TH!N3816="1111",TH!O3816="1111")),TH!D3816,""),"")</f>
        <v/>
      </c>
      <c r="B3816" s="60" t="str">
        <f t="shared" si="413"/>
        <v/>
      </c>
      <c r="C3816" s="75"/>
      <c r="D3816" s="75"/>
      <c r="E3816" s="974"/>
      <c r="F3816" s="76"/>
      <c r="G3816" s="76"/>
      <c r="H3816" s="305"/>
      <c r="I3816" s="77"/>
      <c r="J3816" s="390"/>
      <c r="K3816" s="383"/>
      <c r="L3816" s="390"/>
      <c r="M3816" s="978"/>
      <c r="N3816" s="79"/>
      <c r="O3816" s="979"/>
      <c r="P3816" s="79" t="str">
        <f>IF(AND('331-CT'!$E$7=TH!H3816,OR(N3816="331",O3816="331")),"x","")</f>
        <v/>
      </c>
      <c r="Q3816" s="79" t="str">
        <f>IF(AND(B3816='111'!$L$11,OR($N3816=$Q$7,$O3816=$Q$7)),"x","")</f>
        <v/>
      </c>
      <c r="R3816" s="79" t="str">
        <f>IF(AND($N3816=$Q$7,$B3816&lt;'111'!$L$11),"x","")</f>
        <v/>
      </c>
      <c r="S3816" s="79" t="str">
        <f>IF(AND($O3816=$Q$7,$B3816&lt;'111'!$L$11),"x","")</f>
        <v/>
      </c>
      <c r="T3816" s="79" t="str">
        <f>IF(ISERROR(FIND('112'!$M$9,G3816,1)),"",IF((AND(FIND('112'!$M$9,G3816,1)&gt;=1,B3816='112'!$K$9,OR($N3816='112'!$I$6,$O3816='112'!$I$6))),"x",""))</f>
        <v/>
      </c>
      <c r="U3816" s="79" t="str">
        <f>IF(ISERROR(FIND('112'!$M$9,G3816,1)),"",IF((AND(LEFT(G3816,2)=LEFT('112'!$M$9,2),B3816&lt;'112'!$K$9,$N3816='112'!$I$6)),"x",""))</f>
        <v/>
      </c>
      <c r="V3816" s="79" t="str">
        <f>IF(ISERROR(FIND('112'!$M$9,G3816,1)),"",IF((AND(RIGHT(G3816,2)=RIGHT('112'!$M$9,2),B3816&lt;'112'!$K$9,$O3816='112'!$I$6)),"x",""))</f>
        <v/>
      </c>
      <c r="W3816" s="79" t="str">
        <f>IF(AND('341-CT'!$H$9=H3816,OR(LEFT(N3816,3)=$W$7,LEFT(O3816,3)=$W$7)),"x","")</f>
        <v/>
      </c>
      <c r="X3816" s="79" t="str">
        <f>IF(OR(TH!N3816=TH!$X$7,O3816=TH!$X$7),"x","")</f>
        <v/>
      </c>
      <c r="Y3816" s="79" t="str">
        <f>IF(AND(OR(N3816="131",O3816="131"),H3816='131-CT'!$H$9),"x","")</f>
        <v/>
      </c>
      <c r="Z3816" s="79"/>
      <c r="AA3816" s="79" t="str">
        <f>IF(AND(MONTH(E3816)='IN-NX'!$J$5,'IN-NX'!$D$7=D3816),"x","")</f>
        <v/>
      </c>
      <c r="AB3816" s="79" t="str">
        <f>IF(AND(OR(LEFT(TH!N3816,2)="15",LEFT(TH!O3816,2)="15"),LEFT(TH!O3816,3)&lt;&gt;"111",'152-CT'!$J$8=TH!F3816),"x","")</f>
        <v/>
      </c>
      <c r="AC3816" s="79" t="str">
        <f>IF(AND(OR(LEFT(TH!N3816,2)="15",LEFT(TH!O3816,2)="15"),TK!$E$7=TH!F3816),"x","")</f>
        <v/>
      </c>
      <c r="AD3816" s="79" t="str">
        <f>IF(AND(N3816="1521",MONTH(C3816)='BK-NL'!$M$11),"x","")</f>
        <v/>
      </c>
    </row>
    <row r="3817" spans="1:30" ht="16.5" customHeight="1">
      <c r="A3817" s="318" t="str">
        <f>IF(B3817&lt;&gt;"",IF(AND(B3817='IN-TC'!$S$4,OR(TH!N3817="1111",TH!O3817="1111")),TH!D3817,""),"")</f>
        <v/>
      </c>
      <c r="B3817" s="60" t="str">
        <f t="shared" si="413"/>
        <v/>
      </c>
      <c r="C3817" s="75"/>
      <c r="D3817" s="75"/>
      <c r="E3817" s="974"/>
      <c r="F3817" s="76"/>
      <c r="G3817" s="76"/>
      <c r="H3817" s="77"/>
      <c r="I3817" s="77"/>
      <c r="J3817" s="390"/>
      <c r="K3817" s="383"/>
      <c r="L3817" s="390"/>
      <c r="M3817" s="978"/>
      <c r="N3817" s="79"/>
      <c r="O3817" s="979"/>
      <c r="P3817" s="79" t="str">
        <f>IF(AND('331-CT'!$E$7=TH!H3817,OR(N3817="331",O3817="331")),"x","")</f>
        <v/>
      </c>
      <c r="Q3817" s="79" t="str">
        <f>IF(AND(B3817='111'!$L$11,OR($N3817=$Q$7,$O3817=$Q$7)),"x","")</f>
        <v/>
      </c>
      <c r="R3817" s="79" t="str">
        <f>IF(AND($N3817=$Q$7,$B3817&lt;'111'!$L$11),"x","")</f>
        <v/>
      </c>
      <c r="S3817" s="79" t="str">
        <f>IF(AND($O3817=$Q$7,$B3817&lt;'111'!$L$11),"x","")</f>
        <v/>
      </c>
      <c r="T3817" s="79" t="str">
        <f>IF(ISERROR(FIND('112'!$M$9,G3817,1)),"",IF((AND(FIND('112'!$M$9,G3817,1)&gt;=1,B3817='112'!$K$9,OR($N3817='112'!$I$6,$O3817='112'!$I$6))),"x",""))</f>
        <v/>
      </c>
      <c r="U3817" s="79" t="str">
        <f>IF(ISERROR(FIND('112'!$M$9,G3817,1)),"",IF((AND(LEFT(G3817,2)=LEFT('112'!$M$9,2),B3817&lt;'112'!$K$9,$N3817='112'!$I$6)),"x",""))</f>
        <v/>
      </c>
      <c r="V3817" s="79" t="str">
        <f>IF(ISERROR(FIND('112'!$M$9,G3817,1)),"",IF((AND(RIGHT(G3817,2)=RIGHT('112'!$M$9,2),B3817&lt;'112'!$K$9,$O3817='112'!$I$6)),"x",""))</f>
        <v/>
      </c>
      <c r="W3817" s="79" t="str">
        <f>IF(AND('341-CT'!$H$9=H3817,OR(LEFT(N3817,3)=$W$7,LEFT(O3817,3)=$W$7)),"x","")</f>
        <v/>
      </c>
      <c r="X3817" s="79" t="str">
        <f>IF(OR(TH!N3817=TH!$X$7,O3817=TH!$X$7),"x","")</f>
        <v/>
      </c>
      <c r="Y3817" s="79" t="str">
        <f>IF(AND(OR(N3817="131",O3817="131"),H3817='131-CT'!$H$9),"x","")</f>
        <v/>
      </c>
      <c r="Z3817" s="79"/>
      <c r="AA3817" s="79" t="str">
        <f>IF(AND(MONTH(E3817)='IN-NX'!$J$5,'IN-NX'!$D$7=D3817),"x","")</f>
        <v/>
      </c>
      <c r="AB3817" s="79" t="str">
        <f>IF(AND(OR(LEFT(TH!N3817,2)="15",LEFT(TH!O3817,2)="15"),LEFT(TH!O3817,3)&lt;&gt;"111",'152-CT'!$J$8=TH!F3817),"x","")</f>
        <v/>
      </c>
      <c r="AC3817" s="79" t="str">
        <f>IF(AND(OR(LEFT(TH!N3817,2)="15",LEFT(TH!O3817,2)="15"),TK!$E$7=TH!F3817),"x","")</f>
        <v/>
      </c>
      <c r="AD3817" s="79" t="str">
        <f>IF(AND(N3817="1521",MONTH(C3817)='BK-NL'!$M$11),"x","")</f>
        <v/>
      </c>
    </row>
    <row r="3818" spans="1:30" ht="16.5" customHeight="1">
      <c r="A3818" s="318" t="str">
        <f>IF(B3818&lt;&gt;"",IF(AND(B3818='IN-TC'!$S$4,OR(TH!N3818="1111",TH!O3818="1111")),TH!D3818,""),"")</f>
        <v/>
      </c>
      <c r="B3818" s="60" t="str">
        <f t="shared" si="413"/>
        <v/>
      </c>
      <c r="C3818" s="75"/>
      <c r="D3818" s="75"/>
      <c r="E3818" s="974"/>
      <c r="F3818" s="76"/>
      <c r="G3818" s="76"/>
      <c r="H3818" s="77"/>
      <c r="I3818" s="77"/>
      <c r="J3818" s="390"/>
      <c r="K3818" s="383"/>
      <c r="L3818" s="390"/>
      <c r="M3818" s="978"/>
      <c r="N3818" s="79"/>
      <c r="O3818" s="979"/>
      <c r="P3818" s="79" t="str">
        <f>IF(AND('331-CT'!$E$7=TH!H3818,OR(N3818="331",O3818="331")),"x","")</f>
        <v/>
      </c>
      <c r="Q3818" s="79" t="str">
        <f>IF(AND(B3818='111'!$L$11,OR($N3818=$Q$7,$O3818=$Q$7)),"x","")</f>
        <v/>
      </c>
      <c r="R3818" s="79" t="str">
        <f>IF(AND($N3818=$Q$7,$B3818&lt;'111'!$L$11),"x","")</f>
        <v/>
      </c>
      <c r="S3818" s="79" t="str">
        <f>IF(AND($O3818=$Q$7,$B3818&lt;'111'!$L$11),"x","")</f>
        <v/>
      </c>
      <c r="T3818" s="79" t="str">
        <f>IF(ISERROR(FIND('112'!$M$9,G3818,1)),"",IF((AND(FIND('112'!$M$9,G3818,1)&gt;=1,B3818='112'!$K$9,OR($N3818='112'!$I$6,$O3818='112'!$I$6))),"x",""))</f>
        <v/>
      </c>
      <c r="U3818" s="79" t="str">
        <f>IF(ISERROR(FIND('112'!$M$9,G3818,1)),"",IF((AND(LEFT(G3818,2)=LEFT('112'!$M$9,2),B3818&lt;'112'!$K$9,$N3818='112'!$I$6)),"x",""))</f>
        <v/>
      </c>
      <c r="V3818" s="79" t="str">
        <f>IF(ISERROR(FIND('112'!$M$9,G3818,1)),"",IF((AND(RIGHT(G3818,2)=RIGHT('112'!$M$9,2),B3818&lt;'112'!$K$9,$O3818='112'!$I$6)),"x",""))</f>
        <v/>
      </c>
      <c r="W3818" s="79" t="str">
        <f>IF(AND('341-CT'!$H$9=H3818,OR(LEFT(N3818,3)=$W$7,LEFT(O3818,3)=$W$7)),"x","")</f>
        <v/>
      </c>
      <c r="X3818" s="79" t="str">
        <f>IF(OR(TH!N3818=TH!$X$7,O3818=TH!$X$7),"x","")</f>
        <v/>
      </c>
      <c r="Y3818" s="79" t="str">
        <f>IF(AND(OR(N3818="131",O3818="131"),H3818='131-CT'!$H$9),"x","")</f>
        <v/>
      </c>
      <c r="Z3818" s="79"/>
      <c r="AA3818" s="79" t="str">
        <f>IF(AND(MONTH(E3818)='IN-NX'!$J$5,'IN-NX'!$D$7=D3818),"x","")</f>
        <v/>
      </c>
      <c r="AB3818" s="79" t="str">
        <f>IF(AND(OR(LEFT(TH!N3818,2)="15",LEFT(TH!O3818,2)="15"),LEFT(TH!O3818,3)&lt;&gt;"111",'152-CT'!$J$8=TH!F3818),"x","")</f>
        <v/>
      </c>
      <c r="AC3818" s="79" t="str">
        <f>IF(AND(OR(LEFT(TH!N3818,2)="15",LEFT(TH!O3818,2)="15"),TK!$E$7=TH!F3818),"x","")</f>
        <v/>
      </c>
      <c r="AD3818" s="79" t="str">
        <f>IF(AND(N3818="1521",MONTH(C3818)='BK-NL'!$M$11),"x","")</f>
        <v/>
      </c>
    </row>
    <row r="3819" spans="1:30" ht="16.5" customHeight="1">
      <c r="A3819" s="318" t="str">
        <f>IF(B3819&lt;&gt;"",IF(AND(B3819='IN-TC'!$S$4,OR(TH!N3819="1111",TH!O3819="1111")),TH!D3819,""),"")</f>
        <v/>
      </c>
      <c r="B3819" s="60" t="str">
        <f t="shared" si="413"/>
        <v/>
      </c>
      <c r="C3819" s="75"/>
      <c r="D3819" s="75"/>
      <c r="E3819" s="974"/>
      <c r="F3819" s="76"/>
      <c r="G3819" s="76"/>
      <c r="H3819" s="77"/>
      <c r="I3819" s="77"/>
      <c r="J3819" s="1248"/>
      <c r="K3819" s="1247"/>
      <c r="L3819" s="390"/>
      <c r="M3819" s="978"/>
      <c r="N3819" s="79"/>
      <c r="O3819" s="79"/>
      <c r="P3819" s="79" t="str">
        <f>IF(AND('331-CT'!$E$7=TH!H3819,OR(N3819="331",O3819="331")),"x","")</f>
        <v/>
      </c>
      <c r="Q3819" s="79" t="str">
        <f>IF(AND(B3819='111'!$L$11,OR($N3819=$Q$7,$O3819=$Q$7)),"x","")</f>
        <v/>
      </c>
      <c r="R3819" s="79" t="str">
        <f>IF(AND($N3819=$Q$7,$B3819&lt;'111'!$L$11),"x","")</f>
        <v/>
      </c>
      <c r="S3819" s="79" t="str">
        <f>IF(AND($O3819=$Q$7,$B3819&lt;'111'!$L$11),"x","")</f>
        <v/>
      </c>
      <c r="T3819" s="79" t="str">
        <f>IF(ISERROR(FIND('112'!$M$9,G3819,1)),"",IF((AND(FIND('112'!$M$9,G3819,1)&gt;=1,B3819='112'!$K$9,OR($N3819='112'!$I$6,$O3819='112'!$I$6))),"x",""))</f>
        <v/>
      </c>
      <c r="U3819" s="79" t="str">
        <f>IF(ISERROR(FIND('112'!$M$9,G3819,1)),"",IF((AND(LEFT(G3819,2)=LEFT('112'!$M$9,2),B3819&lt;'112'!$K$9,$N3819='112'!$I$6)),"x",""))</f>
        <v/>
      </c>
      <c r="V3819" s="79" t="str">
        <f>IF(ISERROR(FIND('112'!$M$9,G3819,1)),"",IF((AND(RIGHT(G3819,2)=RIGHT('112'!$M$9,2),B3819&lt;'112'!$K$9,$O3819='112'!$I$6)),"x",""))</f>
        <v/>
      </c>
      <c r="W3819" s="79" t="str">
        <f>IF(AND('341-CT'!$H$9=H3819,OR(LEFT(N3819,3)=$W$7,LEFT(O3819,3)=$W$7)),"x","")</f>
        <v/>
      </c>
      <c r="X3819" s="79" t="str">
        <f>IF(OR(TH!N3819=TH!$X$7,O3819=TH!$X$7),"x","")</f>
        <v/>
      </c>
      <c r="Y3819" s="79" t="str">
        <f>IF(AND(OR(N3819="131",O3819="131"),H3819='131-CT'!$H$9),"x","")</f>
        <v/>
      </c>
      <c r="Z3819" s="79"/>
      <c r="AA3819" s="79" t="str">
        <f>IF(AND(MONTH(E3819)='IN-NX'!$J$5,'IN-NX'!$D$7=D3819),"x","")</f>
        <v/>
      </c>
      <c r="AB3819" s="79" t="str">
        <f>IF(AND(OR(LEFT(TH!N3819,2)="15",LEFT(TH!O3819,2)="15"),LEFT(TH!O3819,3)&lt;&gt;"111",'152-CT'!$J$8=TH!F3819),"x","")</f>
        <v/>
      </c>
      <c r="AC3819" s="79" t="str">
        <f>IF(AND(OR(LEFT(TH!N3819,2)="15",LEFT(TH!O3819,2)="15"),TK!$E$7=TH!F3819),"x","")</f>
        <v/>
      </c>
      <c r="AD3819" s="79" t="str">
        <f>IF(AND(N3819="1521",MONTH(C3819)='BK-NL'!$M$11),"x","")</f>
        <v/>
      </c>
    </row>
    <row r="3820" spans="1:30" ht="16.5" customHeight="1">
      <c r="A3820" s="318" t="str">
        <f>IF(B3820&lt;&gt;"",IF(AND(B3820='IN-TC'!$S$4,OR(TH!N3820="1111",TH!O3820="1111")),TH!D3820,""),"")</f>
        <v/>
      </c>
      <c r="B3820" s="60" t="str">
        <f t="shared" si="413"/>
        <v/>
      </c>
      <c r="C3820" s="75"/>
      <c r="D3820" s="75"/>
      <c r="E3820" s="974"/>
      <c r="F3820" s="76"/>
      <c r="G3820" s="76"/>
      <c r="H3820" s="77"/>
      <c r="I3820" s="77"/>
      <c r="J3820" s="1248"/>
      <c r="K3820" s="1247"/>
      <c r="L3820" s="390"/>
      <c r="M3820" s="978"/>
      <c r="N3820" s="79"/>
      <c r="O3820" s="79"/>
      <c r="P3820" s="79" t="str">
        <f>IF(AND('331-CT'!$E$7=TH!H3820,OR(N3820="331",O3820="331")),"x","")</f>
        <v/>
      </c>
      <c r="Q3820" s="79" t="str">
        <f>IF(AND(B3820='111'!$L$11,OR($N3820=$Q$7,$O3820=$Q$7)),"x","")</f>
        <v/>
      </c>
      <c r="R3820" s="79" t="str">
        <f>IF(AND($N3820=$Q$7,$B3820&lt;'111'!$L$11),"x","")</f>
        <v/>
      </c>
      <c r="S3820" s="79" t="str">
        <f>IF(AND($O3820=$Q$7,$B3820&lt;'111'!$L$11),"x","")</f>
        <v/>
      </c>
      <c r="T3820" s="79" t="str">
        <f>IF(ISERROR(FIND('112'!$M$9,G3820,1)),"",IF((AND(FIND('112'!$M$9,G3820,1)&gt;=1,B3820='112'!$K$9,OR($N3820='112'!$I$6,$O3820='112'!$I$6))),"x",""))</f>
        <v/>
      </c>
      <c r="U3820" s="79" t="str">
        <f>IF(ISERROR(FIND('112'!$M$9,G3820,1)),"",IF((AND(LEFT(G3820,2)=LEFT('112'!$M$9,2),B3820&lt;'112'!$K$9,$N3820='112'!$I$6)),"x",""))</f>
        <v/>
      </c>
      <c r="V3820" s="79" t="str">
        <f>IF(ISERROR(FIND('112'!$M$9,G3820,1)),"",IF((AND(RIGHT(G3820,2)=RIGHT('112'!$M$9,2),B3820&lt;'112'!$K$9,$O3820='112'!$I$6)),"x",""))</f>
        <v/>
      </c>
      <c r="W3820" s="79" t="str">
        <f>IF(AND('341-CT'!$H$9=H3820,OR(LEFT(N3820,3)=$W$7,LEFT(O3820,3)=$W$7)),"x","")</f>
        <v/>
      </c>
      <c r="X3820" s="79" t="str">
        <f>IF(OR(TH!N3820=TH!$X$7,O3820=TH!$X$7),"x","")</f>
        <v/>
      </c>
      <c r="Y3820" s="79" t="str">
        <f>IF(AND(OR(N3820="131",O3820="131"),H3820='131-CT'!$H$9),"x","")</f>
        <v/>
      </c>
      <c r="Z3820" s="79"/>
      <c r="AA3820" s="79" t="str">
        <f>IF(AND(MONTH(E3820)='IN-NX'!$J$5,'IN-NX'!$D$7=D3820),"x","")</f>
        <v/>
      </c>
      <c r="AB3820" s="79" t="str">
        <f>IF(AND(OR(LEFT(TH!N3820,2)="15",LEFT(TH!O3820,2)="15"),LEFT(TH!O3820,3)&lt;&gt;"111",'152-CT'!$J$8=TH!F3820),"x","")</f>
        <v/>
      </c>
      <c r="AC3820" s="79" t="str">
        <f>IF(AND(OR(LEFT(TH!N3820,2)="15",LEFT(TH!O3820,2)="15"),TK!$E$7=TH!F3820),"x","")</f>
        <v/>
      </c>
      <c r="AD3820" s="79" t="str">
        <f>IF(AND(N3820="1521",MONTH(C3820)='BK-NL'!$M$11),"x","")</f>
        <v/>
      </c>
    </row>
    <row r="3821" spans="1:30" ht="16.5" customHeight="1">
      <c r="A3821" s="318" t="str">
        <f>IF(B3821&lt;&gt;"",IF(AND(B3821='IN-TC'!$S$4,OR(TH!N3821="1111",TH!O3821="1111")),TH!D3821,""),"")</f>
        <v/>
      </c>
      <c r="B3821" s="60" t="str">
        <f t="shared" si="413"/>
        <v/>
      </c>
      <c r="C3821" s="75"/>
      <c r="D3821" s="75"/>
      <c r="E3821" s="974"/>
      <c r="F3821" s="76"/>
      <c r="G3821" s="76"/>
      <c r="H3821" s="77"/>
      <c r="I3821" s="77"/>
      <c r="J3821" s="1248"/>
      <c r="K3821" s="1247"/>
      <c r="L3821" s="390"/>
      <c r="M3821" s="78"/>
      <c r="N3821" s="79"/>
      <c r="O3821" s="979"/>
      <c r="P3821" s="79" t="str">
        <f>IF(AND('331-CT'!$E$7=TH!H3821,OR(N3821="331",O3821="331")),"x","")</f>
        <v/>
      </c>
      <c r="Q3821" s="79" t="str">
        <f>IF(AND(B3821='111'!$L$11,OR($N3821=$Q$7,$O3821=$Q$7)),"x","")</f>
        <v/>
      </c>
      <c r="R3821" s="79" t="str">
        <f>IF(AND($N3821=$Q$7,$B3821&lt;'111'!$L$11),"x","")</f>
        <v/>
      </c>
      <c r="S3821" s="79" t="str">
        <f>IF(AND($O3821=$Q$7,$B3821&lt;'111'!$L$11),"x","")</f>
        <v/>
      </c>
      <c r="T3821" s="79" t="str">
        <f>IF(ISERROR(FIND('112'!$M$9,G3821,1)),"",IF((AND(FIND('112'!$M$9,G3821,1)&gt;=1,B3821='112'!$K$9,OR($N3821='112'!$I$6,$O3821='112'!$I$6))),"x",""))</f>
        <v/>
      </c>
      <c r="U3821" s="79" t="str">
        <f>IF(ISERROR(FIND('112'!$M$9,G3821,1)),"",IF((AND(LEFT(G3821,2)=LEFT('112'!$M$9,2),B3821&lt;'112'!$K$9,$N3821='112'!$I$6)),"x",""))</f>
        <v/>
      </c>
      <c r="V3821" s="79" t="str">
        <f>IF(ISERROR(FIND('112'!$M$9,G3821,1)),"",IF((AND(RIGHT(G3821,2)=RIGHT('112'!$M$9,2),B3821&lt;'112'!$K$9,$O3821='112'!$I$6)),"x",""))</f>
        <v/>
      </c>
      <c r="W3821" s="79" t="str">
        <f>IF(AND('341-CT'!$H$9=H3821,OR(LEFT(N3821,3)=$W$7,LEFT(O3821,3)=$W$7)),"x","")</f>
        <v/>
      </c>
      <c r="X3821" s="79" t="str">
        <f>IF(OR(TH!N3821=TH!$X$7,O3821=TH!$X$7),"x","")</f>
        <v/>
      </c>
      <c r="Y3821" s="79" t="str">
        <f>IF(AND(OR(N3821="131",O3821="131"),H3821='131-CT'!$H$9),"x","")</f>
        <v/>
      </c>
      <c r="Z3821" s="79"/>
      <c r="AA3821" s="79" t="str">
        <f>IF(AND(MONTH(E3821)='IN-NX'!$J$5,'IN-NX'!$D$7=D3821),"x","")</f>
        <v/>
      </c>
      <c r="AB3821" s="79" t="str">
        <f>IF(AND(OR(LEFT(TH!N3821,2)="15",LEFT(TH!O3821,2)="15"),LEFT(TH!O3821,3)&lt;&gt;"111",'152-CT'!$J$8=TH!F3821),"x","")</f>
        <v/>
      </c>
      <c r="AC3821" s="79" t="str">
        <f>IF(AND(OR(LEFT(TH!N3821,2)="15",LEFT(TH!O3821,2)="15"),TK!$E$7=TH!F3821),"x","")</f>
        <v/>
      </c>
      <c r="AD3821" s="79" t="str">
        <f>IF(AND(N3821="1521",MONTH(C3821)='BK-NL'!$M$11),"x","")</f>
        <v/>
      </c>
    </row>
    <row r="3822" spans="1:30" ht="16.5" customHeight="1">
      <c r="A3822" s="318" t="str">
        <f>IF(B3822&lt;&gt;"",IF(AND(B3822='IN-TC'!$S$4,OR(TH!N3822="1111",TH!O3822="1111")),TH!D3822,""),"")</f>
        <v/>
      </c>
      <c r="B3822" s="60" t="str">
        <f t="shared" si="413"/>
        <v/>
      </c>
      <c r="C3822" s="75"/>
      <c r="D3822" s="75"/>
      <c r="E3822" s="974"/>
      <c r="F3822" s="76"/>
      <c r="G3822" s="76"/>
      <c r="H3822" s="77"/>
      <c r="I3822" s="77"/>
      <c r="J3822" s="390"/>
      <c r="K3822" s="383"/>
      <c r="L3822" s="390"/>
      <c r="M3822" s="978"/>
      <c r="N3822" s="79"/>
      <c r="O3822" s="979"/>
      <c r="P3822" s="79" t="str">
        <f>IF(AND('331-CT'!$E$7=TH!H3822,OR(N3822="331",O3822="331")),"x","")</f>
        <v/>
      </c>
      <c r="Q3822" s="79" t="str">
        <f>IF(AND(B3822='111'!$L$11,OR($N3822=$Q$7,$O3822=$Q$7)),"x","")</f>
        <v/>
      </c>
      <c r="R3822" s="79" t="str">
        <f>IF(AND($N3822=$Q$7,$B3822&lt;'111'!$L$11),"x","")</f>
        <v/>
      </c>
      <c r="S3822" s="79" t="str">
        <f>IF(AND($O3822=$Q$7,$B3822&lt;'111'!$L$11),"x","")</f>
        <v/>
      </c>
      <c r="T3822" s="79" t="str">
        <f>IF(ISERROR(FIND('112'!$M$9,G3822,1)),"",IF((AND(FIND('112'!$M$9,G3822,1)&gt;=1,B3822='112'!$K$9,OR($N3822='112'!$I$6,$O3822='112'!$I$6))),"x",""))</f>
        <v/>
      </c>
      <c r="U3822" s="79" t="str">
        <f>IF(ISERROR(FIND('112'!$M$9,G3822,1)),"",IF((AND(LEFT(G3822,2)=LEFT('112'!$M$9,2),B3822&lt;'112'!$K$9,$N3822='112'!$I$6)),"x",""))</f>
        <v/>
      </c>
      <c r="V3822" s="79" t="str">
        <f>IF(ISERROR(FIND('112'!$M$9,G3822,1)),"",IF((AND(RIGHT(G3822,2)=RIGHT('112'!$M$9,2),B3822&lt;'112'!$K$9,$O3822='112'!$I$6)),"x",""))</f>
        <v/>
      </c>
      <c r="W3822" s="79" t="str">
        <f>IF(AND('341-CT'!$H$9=H3822,OR(LEFT(N3822,3)=$W$7,LEFT(O3822,3)=$W$7)),"x","")</f>
        <v/>
      </c>
      <c r="X3822" s="79" t="str">
        <f>IF(OR(TH!N3822=TH!$X$7,O3822=TH!$X$7),"x","")</f>
        <v/>
      </c>
      <c r="Y3822" s="79" t="str">
        <f>IF(AND(OR(N3822="131",O3822="131"),H3822='131-CT'!$H$9),"x","")</f>
        <v/>
      </c>
      <c r="Z3822" s="79"/>
      <c r="AA3822" s="79" t="str">
        <f>IF(AND(MONTH(E3822)='IN-NX'!$J$5,'IN-NX'!$D$7=D3822),"x","")</f>
        <v/>
      </c>
      <c r="AB3822" s="79" t="str">
        <f>IF(AND(OR(LEFT(TH!N3822,2)="15",LEFT(TH!O3822,2)="15"),LEFT(TH!O3822,3)&lt;&gt;"111",'152-CT'!$J$8=TH!F3822),"x","")</f>
        <v/>
      </c>
      <c r="AC3822" s="79" t="str">
        <f>IF(AND(OR(LEFT(TH!N3822,2)="15",LEFT(TH!O3822,2)="15"),TK!$E$7=TH!F3822),"x","")</f>
        <v/>
      </c>
      <c r="AD3822" s="79" t="str">
        <f>IF(AND(N3822="1521",MONTH(C3822)='BK-NL'!$M$11),"x","")</f>
        <v/>
      </c>
    </row>
    <row r="3823" spans="1:30" ht="16.5" customHeight="1">
      <c r="A3823" s="318" t="str">
        <f>IF(B3823&lt;&gt;"",IF(AND(B3823='IN-TC'!$S$4,OR(TH!N3823="1111",TH!O3823="1111")),TH!D3823,""),"")</f>
        <v/>
      </c>
      <c r="B3823" s="60" t="str">
        <f t="shared" si="413"/>
        <v/>
      </c>
      <c r="C3823" s="75"/>
      <c r="D3823" s="75"/>
      <c r="E3823" s="974"/>
      <c r="F3823" s="76"/>
      <c r="G3823" s="76"/>
      <c r="H3823" s="77"/>
      <c r="I3823" s="77"/>
      <c r="J3823" s="390"/>
      <c r="K3823" s="383"/>
      <c r="L3823" s="390"/>
      <c r="M3823" s="978"/>
      <c r="N3823" s="79"/>
      <c r="O3823" s="979"/>
      <c r="P3823" s="79" t="str">
        <f>IF(AND('331-CT'!$E$7=TH!H3823,OR(N3823="331",O3823="331")),"x","")</f>
        <v/>
      </c>
      <c r="Q3823" s="79" t="str">
        <f>IF(AND(B3823='111'!$L$11,OR($N3823=$Q$7,$O3823=$Q$7)),"x","")</f>
        <v/>
      </c>
      <c r="R3823" s="79" t="str">
        <f>IF(AND($N3823=$Q$7,$B3823&lt;'111'!$L$11),"x","")</f>
        <v/>
      </c>
      <c r="S3823" s="79" t="str">
        <f>IF(AND($O3823=$Q$7,$B3823&lt;'111'!$L$11),"x","")</f>
        <v/>
      </c>
      <c r="T3823" s="79" t="str">
        <f>IF(ISERROR(FIND('112'!$M$9,G3823,1)),"",IF((AND(FIND('112'!$M$9,G3823,1)&gt;=1,B3823='112'!$K$9,OR($N3823='112'!$I$6,$O3823='112'!$I$6))),"x",""))</f>
        <v/>
      </c>
      <c r="U3823" s="79" t="str">
        <f>IF(ISERROR(FIND('112'!$M$9,G3823,1)),"",IF((AND(LEFT(G3823,2)=LEFT('112'!$M$9,2),B3823&lt;'112'!$K$9,$N3823='112'!$I$6)),"x",""))</f>
        <v/>
      </c>
      <c r="V3823" s="79" t="str">
        <f>IF(ISERROR(FIND('112'!$M$9,G3823,1)),"",IF((AND(RIGHT(G3823,2)=RIGHT('112'!$M$9,2),B3823&lt;'112'!$K$9,$O3823='112'!$I$6)),"x",""))</f>
        <v/>
      </c>
      <c r="W3823" s="79" t="str">
        <f>IF(AND('341-CT'!$H$9=H3823,OR(LEFT(N3823,3)=$W$7,LEFT(O3823,3)=$W$7)),"x","")</f>
        <v/>
      </c>
      <c r="X3823" s="79" t="str">
        <f>IF(OR(TH!N3823=TH!$X$7,O3823=TH!$X$7),"x","")</f>
        <v/>
      </c>
      <c r="Y3823" s="79" t="str">
        <f>IF(AND(OR(N3823="131",O3823="131"),H3823='131-CT'!$H$9),"x","")</f>
        <v/>
      </c>
      <c r="Z3823" s="79"/>
      <c r="AA3823" s="79" t="str">
        <f>IF(AND(MONTH(E3823)='IN-NX'!$J$5,'IN-NX'!$D$7=D3823),"x","")</f>
        <v/>
      </c>
      <c r="AB3823" s="79" t="str">
        <f>IF(AND(OR(LEFT(TH!N3823,2)="15",LEFT(TH!O3823,2)="15"),LEFT(TH!O3823,3)&lt;&gt;"111",'152-CT'!$J$8=TH!F3823),"x","")</f>
        <v/>
      </c>
      <c r="AC3823" s="79" t="str">
        <f>IF(AND(OR(LEFT(TH!N3823,2)="15",LEFT(TH!O3823,2)="15"),TK!$E$7=TH!F3823),"x","")</f>
        <v/>
      </c>
      <c r="AD3823" s="79" t="str">
        <f>IF(AND(N3823="1521",MONTH(C3823)='BK-NL'!$M$11),"x","")</f>
        <v/>
      </c>
    </row>
    <row r="3824" spans="1:30" ht="16.5" customHeight="1">
      <c r="A3824" s="318" t="str">
        <f>IF(B3824&lt;&gt;"",IF(AND(B3824='IN-TC'!$S$4,OR(TH!N3824="1111",TH!O3824="1111")),TH!D3824,""),"")</f>
        <v/>
      </c>
      <c r="B3824" s="60" t="str">
        <f t="shared" ref="B3824:B3825" si="416">IF(C3824&lt;&gt;"",MONTH(C3824),"")</f>
        <v/>
      </c>
      <c r="C3824" s="75"/>
      <c r="D3824" s="75"/>
      <c r="E3824" s="974"/>
      <c r="F3824" s="76"/>
      <c r="G3824" s="76"/>
      <c r="H3824" s="77"/>
      <c r="I3824" s="77"/>
      <c r="J3824" s="390"/>
      <c r="K3824" s="383"/>
      <c r="L3824" s="390"/>
      <c r="M3824" s="978"/>
      <c r="N3824" s="79"/>
      <c r="O3824" s="979"/>
      <c r="P3824" s="79" t="str">
        <f>IF(AND('331-CT'!$E$7=TH!H3824,OR(N3824="331",O3824="331")),"x","")</f>
        <v/>
      </c>
      <c r="Q3824" s="79" t="str">
        <f>IF(AND(B3824='111'!$L$11,OR($N3824=$Q$7,$O3824=$Q$7)),"x","")</f>
        <v/>
      </c>
      <c r="R3824" s="79" t="str">
        <f>IF(AND($N3824=$Q$7,$B3824&lt;'111'!$L$11),"x","")</f>
        <v/>
      </c>
      <c r="S3824" s="79" t="str">
        <f>IF(AND($O3824=$Q$7,$B3824&lt;'111'!$L$11),"x","")</f>
        <v/>
      </c>
      <c r="T3824" s="79" t="str">
        <f>IF(ISERROR(FIND('112'!$M$9,G3824,1)),"",IF((AND(FIND('112'!$M$9,G3824,1)&gt;=1,B3824='112'!$K$9,OR($N3824='112'!$I$6,$O3824='112'!$I$6))),"x",""))</f>
        <v/>
      </c>
      <c r="U3824" s="79" t="str">
        <f>IF(ISERROR(FIND('112'!$M$9,G3824,1)),"",IF((AND(LEFT(G3824,2)=LEFT('112'!$M$9,2),B3824&lt;'112'!$K$9,$N3824='112'!$I$6)),"x",""))</f>
        <v/>
      </c>
      <c r="V3824" s="79" t="str">
        <f>IF(ISERROR(FIND('112'!$M$9,G3824,1)),"",IF((AND(RIGHT(G3824,2)=RIGHT('112'!$M$9,2),B3824&lt;'112'!$K$9,$O3824='112'!$I$6)),"x",""))</f>
        <v/>
      </c>
      <c r="W3824" s="79" t="str">
        <f>IF(AND('341-CT'!$H$9=H3824,OR(LEFT(N3824,3)=$W$7,LEFT(O3824,3)=$W$7)),"x","")</f>
        <v/>
      </c>
      <c r="X3824" s="79" t="str">
        <f>IF(OR(TH!N3824=TH!$X$7,O3824=TH!$X$7),"x","")</f>
        <v/>
      </c>
      <c r="Y3824" s="79" t="str">
        <f>IF(AND(OR(N3824="131",O3824="131"),H3824='131-CT'!$H$9),"x","")</f>
        <v/>
      </c>
      <c r="Z3824" s="79"/>
      <c r="AA3824" s="79" t="str">
        <f>IF(AND(MONTH(E3824)='IN-NX'!$J$5,'IN-NX'!$D$7=D3824),"x","")</f>
        <v/>
      </c>
      <c r="AB3824" s="79" t="str">
        <f>IF(AND(OR(LEFT(TH!N3824,2)="15",LEFT(TH!O3824,2)="15"),LEFT(TH!O3824,3)&lt;&gt;"111",'152-CT'!$J$8=TH!F3824),"x","")</f>
        <v/>
      </c>
      <c r="AC3824" s="79" t="str">
        <f>IF(AND(OR(LEFT(TH!N3824,2)="15",LEFT(TH!O3824,2)="15"),TK!$E$7=TH!F3824),"x","")</f>
        <v/>
      </c>
      <c r="AD3824" s="79" t="str">
        <f>IF(AND(N3824="1521",MONTH(C3824)='BK-NL'!$M$11),"x","")</f>
        <v/>
      </c>
    </row>
    <row r="3825" spans="1:30" ht="16.5" customHeight="1">
      <c r="A3825" s="318" t="str">
        <f>IF(B3825&lt;&gt;"",IF(AND(B3825='IN-TC'!$S$4,OR(TH!N3825="1111",TH!O3825="1111")),TH!D3825,""),"")</f>
        <v/>
      </c>
      <c r="B3825" s="60" t="str">
        <f t="shared" si="416"/>
        <v/>
      </c>
      <c r="C3825" s="75"/>
      <c r="D3825" s="75"/>
      <c r="E3825" s="974"/>
      <c r="F3825" s="76"/>
      <c r="G3825" s="76"/>
      <c r="H3825" s="77"/>
      <c r="I3825" s="77"/>
      <c r="J3825" s="390"/>
      <c r="K3825" s="383"/>
      <c r="L3825" s="390"/>
      <c r="M3825" s="978"/>
      <c r="N3825" s="79"/>
      <c r="O3825" s="979"/>
      <c r="P3825" s="79" t="str">
        <f>IF(AND('331-CT'!$E$7=TH!H3825,OR(N3825="331",O3825="331")),"x","")</f>
        <v/>
      </c>
      <c r="Q3825" s="79" t="str">
        <f>IF(AND(B3825='111'!$L$11,OR($N3825=$Q$7,$O3825=$Q$7)),"x","")</f>
        <v/>
      </c>
      <c r="R3825" s="79" t="str">
        <f>IF(AND($N3825=$Q$7,$B3825&lt;'111'!$L$11),"x","")</f>
        <v/>
      </c>
      <c r="S3825" s="79" t="str">
        <f>IF(AND($O3825=$Q$7,$B3825&lt;'111'!$L$11),"x","")</f>
        <v/>
      </c>
      <c r="T3825" s="79" t="str">
        <f>IF(ISERROR(FIND('112'!$M$9,G3825,1)),"",IF((AND(FIND('112'!$M$9,G3825,1)&gt;=1,B3825='112'!$K$9,OR($N3825='112'!$I$6,$O3825='112'!$I$6))),"x",""))</f>
        <v/>
      </c>
      <c r="U3825" s="79" t="str">
        <f>IF(ISERROR(FIND('112'!$M$9,G3825,1)),"",IF((AND(LEFT(G3825,2)=LEFT('112'!$M$9,2),B3825&lt;'112'!$K$9,$N3825='112'!$I$6)),"x",""))</f>
        <v/>
      </c>
      <c r="V3825" s="79" t="str">
        <f>IF(ISERROR(FIND('112'!$M$9,G3825,1)),"",IF((AND(RIGHT(G3825,2)=RIGHT('112'!$M$9,2),B3825&lt;'112'!$K$9,$O3825='112'!$I$6)),"x",""))</f>
        <v/>
      </c>
      <c r="W3825" s="79" t="str">
        <f>IF(AND('341-CT'!$H$9=H3825,OR(LEFT(N3825,3)=$W$7,LEFT(O3825,3)=$W$7)),"x","")</f>
        <v/>
      </c>
      <c r="X3825" s="79" t="str">
        <f>IF(OR(TH!N3825=TH!$X$7,O3825=TH!$X$7),"x","")</f>
        <v/>
      </c>
      <c r="Y3825" s="79" t="str">
        <f>IF(AND(OR(N3825="131",O3825="131"),H3825='131-CT'!$H$9),"x","")</f>
        <v/>
      </c>
      <c r="Z3825" s="79"/>
      <c r="AA3825" s="79" t="str">
        <f>IF(AND(MONTH(E3825)='IN-NX'!$J$5,'IN-NX'!$D$7=D3825),"x","")</f>
        <v/>
      </c>
      <c r="AB3825" s="79" t="str">
        <f>IF(AND(OR(LEFT(TH!N3825,2)="15",LEFT(TH!O3825,2)="15"),LEFT(TH!O3825,3)&lt;&gt;"111",'152-CT'!$J$8=TH!F3825),"x","")</f>
        <v/>
      </c>
      <c r="AC3825" s="79" t="str">
        <f>IF(AND(OR(LEFT(TH!N3825,2)="15",LEFT(TH!O3825,2)="15"),TK!$E$7=TH!F3825),"x","")</f>
        <v/>
      </c>
      <c r="AD3825" s="79" t="str">
        <f>IF(AND(N3825="1521",MONTH(C3825)='BK-NL'!$M$11),"x","")</f>
        <v/>
      </c>
    </row>
    <row r="3826" spans="1:30" ht="16.5" customHeight="1">
      <c r="A3826" s="318" t="str">
        <f>IF(B3826&lt;&gt;"",IF(AND(B3826='IN-TC'!$S$4,OR(TH!N3826="1111",TH!O3826="1111")),TH!D3826,""),"")</f>
        <v/>
      </c>
      <c r="B3826" s="60" t="str">
        <f t="shared" si="413"/>
        <v/>
      </c>
      <c r="C3826" s="75"/>
      <c r="D3826" s="75"/>
      <c r="E3826" s="974"/>
      <c r="F3826" s="76"/>
      <c r="G3826" s="76"/>
      <c r="H3826" s="77"/>
      <c r="I3826" s="77"/>
      <c r="J3826" s="390"/>
      <c r="K3826" s="383"/>
      <c r="L3826" s="390"/>
      <c r="M3826" s="978"/>
      <c r="N3826" s="79"/>
      <c r="O3826" s="979"/>
      <c r="P3826" s="79" t="str">
        <f>IF(AND('331-CT'!$E$7=TH!H3826,OR(N3826="331",O3826="331")),"x","")</f>
        <v/>
      </c>
      <c r="Q3826" s="79" t="str">
        <f>IF(AND(B3826='111'!$L$11,OR($N3826=$Q$7,$O3826=$Q$7)),"x","")</f>
        <v/>
      </c>
      <c r="R3826" s="79" t="str">
        <f>IF(AND($N3826=$Q$7,$B3826&lt;'111'!$L$11),"x","")</f>
        <v/>
      </c>
      <c r="S3826" s="79" t="str">
        <f>IF(AND($O3826=$Q$7,$B3826&lt;'111'!$L$11),"x","")</f>
        <v/>
      </c>
      <c r="T3826" s="79" t="str">
        <f>IF(ISERROR(FIND('112'!$M$9,G3826,1)),"",IF((AND(FIND('112'!$M$9,G3826,1)&gt;=1,B3826='112'!$K$9,OR($N3826='112'!$I$6,$O3826='112'!$I$6))),"x",""))</f>
        <v/>
      </c>
      <c r="U3826" s="79" t="str">
        <f>IF(ISERROR(FIND('112'!$M$9,G3826,1)),"",IF((AND(LEFT(G3826,2)=LEFT('112'!$M$9,2),B3826&lt;'112'!$K$9,$N3826='112'!$I$6)),"x",""))</f>
        <v/>
      </c>
      <c r="V3826" s="79" t="str">
        <f>IF(ISERROR(FIND('112'!$M$9,G3826,1)),"",IF((AND(RIGHT(G3826,2)=RIGHT('112'!$M$9,2),B3826&lt;'112'!$K$9,$O3826='112'!$I$6)),"x",""))</f>
        <v/>
      </c>
      <c r="W3826" s="79" t="str">
        <f>IF(AND('341-CT'!$H$9=H3826,OR(LEFT(N3826,3)=$W$7,LEFT(O3826,3)=$W$7)),"x","")</f>
        <v/>
      </c>
      <c r="X3826" s="79" t="str">
        <f>IF(OR(TH!N3826=TH!$X$7,O3826=TH!$X$7),"x","")</f>
        <v/>
      </c>
      <c r="Y3826" s="79" t="str">
        <f>IF(AND(OR(N3826="131",O3826="131"),H3826='131-CT'!$H$9),"x","")</f>
        <v/>
      </c>
      <c r="Z3826" s="79"/>
      <c r="AA3826" s="79" t="str">
        <f>IF(AND(MONTH(E3826)='IN-NX'!$J$5,'IN-NX'!$D$7=D3826),"x","")</f>
        <v/>
      </c>
      <c r="AB3826" s="79" t="str">
        <f>IF(AND(OR(LEFT(TH!N3826,2)="15",LEFT(TH!O3826,2)="15"),LEFT(TH!O3826,3)&lt;&gt;"111",'152-CT'!$J$8=TH!F3826),"x","")</f>
        <v/>
      </c>
      <c r="AC3826" s="79" t="str">
        <f>IF(AND(OR(LEFT(TH!N3826,2)="15",LEFT(TH!O3826,2)="15"),TK!$E$7=TH!F3826),"x","")</f>
        <v/>
      </c>
      <c r="AD3826" s="79" t="str">
        <f>IF(AND(N3826="1521",MONTH(C3826)='BK-NL'!$M$11),"x","")</f>
        <v/>
      </c>
    </row>
    <row r="3827" spans="1:30" ht="16.5" customHeight="1">
      <c r="A3827" s="318" t="str">
        <f>IF(B3827&lt;&gt;"",IF(AND(B3827='IN-TC'!$S$4,OR(TH!N3827="1111",TH!O3827="1111")),TH!D3827,""),"")</f>
        <v/>
      </c>
      <c r="B3827" s="60" t="str">
        <f t="shared" si="413"/>
        <v/>
      </c>
      <c r="C3827" s="75"/>
      <c r="D3827" s="75"/>
      <c r="E3827" s="974"/>
      <c r="F3827" s="76"/>
      <c r="G3827" s="76"/>
      <c r="H3827" s="77"/>
      <c r="I3827" s="77"/>
      <c r="J3827" s="390"/>
      <c r="K3827" s="383"/>
      <c r="L3827" s="390"/>
      <c r="M3827" s="978"/>
      <c r="N3827" s="79"/>
      <c r="O3827" s="979"/>
      <c r="P3827" s="79" t="str">
        <f>IF(AND('331-CT'!$E$7=TH!H3827,OR(N3827="331",O3827="331")),"x","")</f>
        <v/>
      </c>
      <c r="Q3827" s="79" t="str">
        <f>IF(AND(B3827='111'!$L$11,OR($N3827=$Q$7,$O3827=$Q$7)),"x","")</f>
        <v/>
      </c>
      <c r="R3827" s="79" t="str">
        <f>IF(AND($N3827=$Q$7,$B3827&lt;'111'!$L$11),"x","")</f>
        <v/>
      </c>
      <c r="S3827" s="79" t="str">
        <f>IF(AND($O3827=$Q$7,$B3827&lt;'111'!$L$11),"x","")</f>
        <v/>
      </c>
      <c r="T3827" s="79" t="str">
        <f>IF(ISERROR(FIND('112'!$M$9,G3827,1)),"",IF((AND(FIND('112'!$M$9,G3827,1)&gt;=1,B3827='112'!$K$9,OR($N3827='112'!$I$6,$O3827='112'!$I$6))),"x",""))</f>
        <v/>
      </c>
      <c r="U3827" s="79" t="str">
        <f>IF(ISERROR(FIND('112'!$M$9,G3827,1)),"",IF((AND(LEFT(G3827,2)=LEFT('112'!$M$9,2),B3827&lt;'112'!$K$9,$N3827='112'!$I$6)),"x",""))</f>
        <v/>
      </c>
      <c r="V3827" s="79" t="str">
        <f>IF(ISERROR(FIND('112'!$M$9,G3827,1)),"",IF((AND(RIGHT(G3827,2)=RIGHT('112'!$M$9,2),B3827&lt;'112'!$K$9,$O3827='112'!$I$6)),"x",""))</f>
        <v/>
      </c>
      <c r="W3827" s="79" t="str">
        <f>IF(AND('341-CT'!$H$9=H3827,OR(LEFT(N3827,3)=$W$7,LEFT(O3827,3)=$W$7)),"x","")</f>
        <v/>
      </c>
      <c r="X3827" s="79" t="str">
        <f>IF(OR(TH!N3827=TH!$X$7,O3827=TH!$X$7),"x","")</f>
        <v/>
      </c>
      <c r="Y3827" s="79" t="str">
        <f>IF(AND(OR(N3827="131",O3827="131"),H3827='131-CT'!$H$9),"x","")</f>
        <v/>
      </c>
      <c r="Z3827" s="79"/>
      <c r="AA3827" s="79" t="str">
        <f>IF(AND(MONTH(E3827)='IN-NX'!$J$5,'IN-NX'!$D$7=D3827),"x","")</f>
        <v/>
      </c>
      <c r="AB3827" s="79" t="str">
        <f>IF(AND(OR(LEFT(TH!N3827,2)="15",LEFT(TH!O3827,2)="15"),LEFT(TH!O3827,3)&lt;&gt;"111",'152-CT'!$J$8=TH!F3827),"x","")</f>
        <v/>
      </c>
      <c r="AC3827" s="79" t="str">
        <f>IF(AND(OR(LEFT(TH!N3827,2)="15",LEFT(TH!O3827,2)="15"),TK!$E$7=TH!F3827),"x","")</f>
        <v/>
      </c>
      <c r="AD3827" s="79" t="str">
        <f>IF(AND(N3827="1521",MONTH(C3827)='BK-NL'!$M$11),"x","")</f>
        <v/>
      </c>
    </row>
    <row r="3828" spans="1:30" ht="16.5" customHeight="1">
      <c r="A3828" s="318" t="str">
        <f>IF(B3828&lt;&gt;"",IF(AND(B3828='IN-TC'!$S$4,OR(TH!N3828="1111",TH!O3828="1111")),TH!D3828,""),"")</f>
        <v/>
      </c>
      <c r="B3828" s="60" t="str">
        <f t="shared" si="413"/>
        <v/>
      </c>
      <c r="C3828" s="75"/>
      <c r="D3828" s="75"/>
      <c r="E3828" s="974"/>
      <c r="F3828" s="76"/>
      <c r="G3828" s="76"/>
      <c r="H3828" s="77"/>
      <c r="I3828" s="77"/>
      <c r="J3828" s="390"/>
      <c r="K3828" s="383"/>
      <c r="L3828" s="390"/>
      <c r="M3828" s="978"/>
      <c r="N3828" s="79"/>
      <c r="O3828" s="979"/>
      <c r="P3828" s="79" t="str">
        <f>IF(AND('331-CT'!$E$7=TH!H3828,OR(N3828="331",O3828="331")),"x","")</f>
        <v/>
      </c>
      <c r="Q3828" s="79" t="str">
        <f>IF(AND(B3828='111'!$L$11,OR($N3828=$Q$7,$O3828=$Q$7)),"x","")</f>
        <v/>
      </c>
      <c r="R3828" s="79" t="str">
        <f>IF(AND($N3828=$Q$7,$B3828&lt;'111'!$L$11),"x","")</f>
        <v/>
      </c>
      <c r="S3828" s="79" t="str">
        <f>IF(AND($O3828=$Q$7,$B3828&lt;'111'!$L$11),"x","")</f>
        <v/>
      </c>
      <c r="T3828" s="79" t="str">
        <f>IF(ISERROR(FIND('112'!$M$9,G3828,1)),"",IF((AND(FIND('112'!$M$9,G3828,1)&gt;=1,B3828='112'!$K$9,OR($N3828='112'!$I$6,$O3828='112'!$I$6))),"x",""))</f>
        <v/>
      </c>
      <c r="U3828" s="79" t="str">
        <f>IF(ISERROR(FIND('112'!$M$9,G3828,1)),"",IF((AND(LEFT(G3828,2)=LEFT('112'!$M$9,2),B3828&lt;'112'!$K$9,$N3828='112'!$I$6)),"x",""))</f>
        <v/>
      </c>
      <c r="V3828" s="79" t="str">
        <f>IF(ISERROR(FIND('112'!$M$9,G3828,1)),"",IF((AND(RIGHT(G3828,2)=RIGHT('112'!$M$9,2),B3828&lt;'112'!$K$9,$O3828='112'!$I$6)),"x",""))</f>
        <v/>
      </c>
      <c r="W3828" s="79" t="str">
        <f>IF(AND('341-CT'!$H$9=H3828,OR(LEFT(N3828,3)=$W$7,LEFT(O3828,3)=$W$7)),"x","")</f>
        <v/>
      </c>
      <c r="X3828" s="79" t="str">
        <f>IF(OR(TH!N3828=TH!$X$7,O3828=TH!$X$7),"x","")</f>
        <v/>
      </c>
      <c r="Y3828" s="79" t="str">
        <f>IF(AND(OR(N3828="131",O3828="131"),H3828='131-CT'!$H$9),"x","")</f>
        <v/>
      </c>
      <c r="Z3828" s="79"/>
      <c r="AA3828" s="79" t="str">
        <f>IF(AND(MONTH(E3828)='IN-NX'!$J$5,'IN-NX'!$D$7=D3828),"x","")</f>
        <v/>
      </c>
      <c r="AB3828" s="79" t="str">
        <f>IF(AND(OR(LEFT(TH!N3828,2)="15",LEFT(TH!O3828,2)="15"),LEFT(TH!O3828,3)&lt;&gt;"111",'152-CT'!$J$8=TH!F3828),"x","")</f>
        <v/>
      </c>
      <c r="AC3828" s="79" t="str">
        <f>IF(AND(OR(LEFT(TH!N3828,2)="15",LEFT(TH!O3828,2)="15"),TK!$E$7=TH!F3828),"x","")</f>
        <v/>
      </c>
      <c r="AD3828" s="79" t="str">
        <f>IF(AND(N3828="1521",MONTH(C3828)='BK-NL'!$M$11),"x","")</f>
        <v/>
      </c>
    </row>
    <row r="3829" spans="1:30" ht="16.5" customHeight="1">
      <c r="A3829" s="318" t="str">
        <f>IF(B3829&lt;&gt;"",IF(AND(B3829='IN-TC'!$S$4,OR(TH!N3829="1111",TH!O3829="1111")),TH!D3829,""),"")</f>
        <v/>
      </c>
      <c r="B3829" s="60" t="str">
        <f t="shared" si="413"/>
        <v/>
      </c>
      <c r="C3829" s="75"/>
      <c r="D3829" s="75"/>
      <c r="E3829" s="974"/>
      <c r="F3829" s="76"/>
      <c r="G3829" s="76"/>
      <c r="H3829" s="77"/>
      <c r="I3829" s="77"/>
      <c r="J3829" s="390"/>
      <c r="K3829" s="383"/>
      <c r="L3829" s="390"/>
      <c r="M3829" s="978"/>
      <c r="N3829" s="79"/>
      <c r="O3829" s="979"/>
      <c r="P3829" s="79" t="str">
        <f>IF(AND('331-CT'!$E$7=TH!H3829,OR(N3829="331",O3829="331")),"x","")</f>
        <v/>
      </c>
      <c r="Q3829" s="79" t="str">
        <f>IF(AND(B3829='111'!$L$11,OR($N3829=$Q$7,$O3829=$Q$7)),"x","")</f>
        <v/>
      </c>
      <c r="R3829" s="79" t="str">
        <f>IF(AND($N3829=$Q$7,$B3829&lt;'111'!$L$11),"x","")</f>
        <v/>
      </c>
      <c r="S3829" s="79" t="str">
        <f>IF(AND($O3829=$Q$7,$B3829&lt;'111'!$L$11),"x","")</f>
        <v/>
      </c>
      <c r="T3829" s="79" t="str">
        <f>IF(ISERROR(FIND('112'!$M$9,G3829,1)),"",IF((AND(FIND('112'!$M$9,G3829,1)&gt;=1,B3829='112'!$K$9,OR($N3829='112'!$I$6,$O3829='112'!$I$6))),"x",""))</f>
        <v/>
      </c>
      <c r="U3829" s="79" t="str">
        <f>IF(ISERROR(FIND('112'!$M$9,G3829,1)),"",IF((AND(LEFT(G3829,2)=LEFT('112'!$M$9,2),B3829&lt;'112'!$K$9,$N3829='112'!$I$6)),"x",""))</f>
        <v/>
      </c>
      <c r="V3829" s="79" t="str">
        <f>IF(ISERROR(FIND('112'!$M$9,G3829,1)),"",IF((AND(RIGHT(G3829,2)=RIGHT('112'!$M$9,2),B3829&lt;'112'!$K$9,$O3829='112'!$I$6)),"x",""))</f>
        <v/>
      </c>
      <c r="W3829" s="79" t="str">
        <f>IF(AND('341-CT'!$H$9=H3829,OR(LEFT(N3829,3)=$W$7,LEFT(O3829,3)=$W$7)),"x","")</f>
        <v/>
      </c>
      <c r="X3829" s="79" t="str">
        <f>IF(OR(TH!N3829=TH!$X$7,O3829=TH!$X$7),"x","")</f>
        <v/>
      </c>
      <c r="Y3829" s="79" t="str">
        <f>IF(AND(OR(N3829="131",O3829="131"),H3829='131-CT'!$H$9),"x","")</f>
        <v/>
      </c>
      <c r="Z3829" s="79"/>
      <c r="AA3829" s="79" t="str">
        <f>IF(AND(MONTH(E3829)='IN-NX'!$J$5,'IN-NX'!$D$7=D3829),"x","")</f>
        <v/>
      </c>
      <c r="AB3829" s="79" t="str">
        <f>IF(AND(OR(LEFT(TH!N3829,2)="15",LEFT(TH!O3829,2)="15"),LEFT(TH!O3829,3)&lt;&gt;"111",'152-CT'!$J$8=TH!F3829),"x","")</f>
        <v/>
      </c>
      <c r="AC3829" s="79" t="str">
        <f>IF(AND(OR(LEFT(TH!N3829,2)="15",LEFT(TH!O3829,2)="15"),TK!$E$7=TH!F3829),"x","")</f>
        <v/>
      </c>
      <c r="AD3829" s="79" t="str">
        <f>IF(AND(N3829="1521",MONTH(C3829)='BK-NL'!$M$11),"x","")</f>
        <v/>
      </c>
    </row>
    <row r="3830" spans="1:30" ht="16.5" customHeight="1">
      <c r="A3830" s="318" t="str">
        <f>IF(B3830&lt;&gt;"",IF(AND(B3830='IN-TC'!$S$4,OR(TH!N3830="1111",TH!O3830="1111")),TH!D3830,""),"")</f>
        <v/>
      </c>
      <c r="B3830" s="60" t="str">
        <f t="shared" si="413"/>
        <v/>
      </c>
      <c r="C3830" s="75"/>
      <c r="D3830" s="75"/>
      <c r="E3830" s="974"/>
      <c r="F3830" s="76"/>
      <c r="G3830" s="76"/>
      <c r="H3830" s="77"/>
      <c r="I3830" s="77"/>
      <c r="J3830" s="390"/>
      <c r="K3830" s="383"/>
      <c r="L3830" s="390"/>
      <c r="M3830" s="978"/>
      <c r="N3830" s="79"/>
      <c r="O3830" s="979"/>
      <c r="P3830" s="79" t="str">
        <f>IF(AND('331-CT'!$E$7=TH!H3830,OR(N3830="331",O3830="331")),"x","")</f>
        <v/>
      </c>
      <c r="Q3830" s="79" t="str">
        <f>IF(AND(B3830='111'!$L$11,OR($N3830=$Q$7,$O3830=$Q$7)),"x","")</f>
        <v/>
      </c>
      <c r="R3830" s="79" t="str">
        <f>IF(AND($N3830=$Q$7,$B3830&lt;'111'!$L$11),"x","")</f>
        <v/>
      </c>
      <c r="S3830" s="79" t="str">
        <f>IF(AND($O3830=$Q$7,$B3830&lt;'111'!$L$11),"x","")</f>
        <v/>
      </c>
      <c r="T3830" s="79" t="str">
        <f>IF(ISERROR(FIND('112'!$M$9,G3830,1)),"",IF((AND(FIND('112'!$M$9,G3830,1)&gt;=1,B3830='112'!$K$9,OR($N3830='112'!$I$6,$O3830='112'!$I$6))),"x",""))</f>
        <v/>
      </c>
      <c r="U3830" s="79" t="str">
        <f>IF(ISERROR(FIND('112'!$M$9,G3830,1)),"",IF((AND(LEFT(G3830,2)=LEFT('112'!$M$9,2),B3830&lt;'112'!$K$9,$N3830='112'!$I$6)),"x",""))</f>
        <v/>
      </c>
      <c r="V3830" s="79" t="str">
        <f>IF(ISERROR(FIND('112'!$M$9,G3830,1)),"",IF((AND(RIGHT(G3830,2)=RIGHT('112'!$M$9,2),B3830&lt;'112'!$K$9,$O3830='112'!$I$6)),"x",""))</f>
        <v/>
      </c>
      <c r="W3830" s="79" t="str">
        <f>IF(AND('341-CT'!$H$9=H3830,OR(LEFT(N3830,3)=$W$7,LEFT(O3830,3)=$W$7)),"x","")</f>
        <v/>
      </c>
      <c r="X3830" s="79" t="str">
        <f>IF(OR(TH!N3830=TH!$X$7,O3830=TH!$X$7),"x","")</f>
        <v/>
      </c>
      <c r="Y3830" s="79" t="str">
        <f>IF(AND(OR(N3830="131",O3830="131"),H3830='131-CT'!$H$9),"x","")</f>
        <v/>
      </c>
      <c r="Z3830" s="79"/>
      <c r="AA3830" s="79" t="str">
        <f>IF(AND(MONTH(E3830)='IN-NX'!$J$5,'IN-NX'!$D$7=D3830),"x","")</f>
        <v/>
      </c>
      <c r="AB3830" s="79" t="str">
        <f>IF(AND(OR(LEFT(TH!N3830,2)="15",LEFT(TH!O3830,2)="15"),LEFT(TH!O3830,3)&lt;&gt;"111",'152-CT'!$J$8=TH!F3830),"x","")</f>
        <v/>
      </c>
      <c r="AC3830" s="79" t="str">
        <f>IF(AND(OR(LEFT(TH!N3830,2)="15",LEFT(TH!O3830,2)="15"),TK!$E$7=TH!F3830),"x","")</f>
        <v/>
      </c>
      <c r="AD3830" s="79" t="str">
        <f>IF(AND(N3830="1521",MONTH(C3830)='BK-NL'!$M$11),"x","")</f>
        <v/>
      </c>
    </row>
    <row r="3831" spans="1:30" ht="16.5" customHeight="1">
      <c r="A3831" s="318" t="str">
        <f>IF(B3831&lt;&gt;"",IF(AND(B3831='IN-TC'!$S$4,OR(TH!N3831="1111",TH!O3831="1111")),TH!D3831,""),"")</f>
        <v/>
      </c>
      <c r="B3831" s="60" t="str">
        <f t="shared" si="413"/>
        <v/>
      </c>
      <c r="C3831" s="75"/>
      <c r="D3831" s="75"/>
      <c r="E3831" s="974"/>
      <c r="F3831" s="76"/>
      <c r="G3831" s="76"/>
      <c r="H3831" s="77"/>
      <c r="I3831" s="77"/>
      <c r="J3831" s="390"/>
      <c r="K3831" s="383"/>
      <c r="L3831" s="390"/>
      <c r="M3831" s="978"/>
      <c r="N3831" s="79"/>
      <c r="O3831" s="979"/>
      <c r="P3831" s="79" t="str">
        <f>IF(AND('331-CT'!$E$7=TH!H3831,OR(N3831="331",O3831="331")),"x","")</f>
        <v/>
      </c>
      <c r="Q3831" s="79" t="str">
        <f>IF(AND(B3831='111'!$L$11,OR($N3831=$Q$7,$O3831=$Q$7)),"x","")</f>
        <v/>
      </c>
      <c r="R3831" s="79" t="str">
        <f>IF(AND($N3831=$Q$7,$B3831&lt;'111'!$L$11),"x","")</f>
        <v/>
      </c>
      <c r="S3831" s="79" t="str">
        <f>IF(AND($O3831=$Q$7,$B3831&lt;'111'!$L$11),"x","")</f>
        <v/>
      </c>
      <c r="T3831" s="79" t="str">
        <f>IF(ISERROR(FIND('112'!$M$9,G3831,1)),"",IF((AND(FIND('112'!$M$9,G3831,1)&gt;=1,B3831='112'!$K$9,OR($N3831='112'!$I$6,$O3831='112'!$I$6))),"x",""))</f>
        <v/>
      </c>
      <c r="U3831" s="79" t="str">
        <f>IF(ISERROR(FIND('112'!$M$9,G3831,1)),"",IF((AND(LEFT(G3831,2)=LEFT('112'!$M$9,2),B3831&lt;'112'!$K$9,$N3831='112'!$I$6)),"x",""))</f>
        <v/>
      </c>
      <c r="V3831" s="79" t="str">
        <f>IF(ISERROR(FIND('112'!$M$9,G3831,1)),"",IF((AND(RIGHT(G3831,2)=RIGHT('112'!$M$9,2),B3831&lt;'112'!$K$9,$O3831='112'!$I$6)),"x",""))</f>
        <v/>
      </c>
      <c r="W3831" s="79" t="str">
        <f>IF(AND('341-CT'!$H$9=H3831,OR(LEFT(N3831,3)=$W$7,LEFT(O3831,3)=$W$7)),"x","")</f>
        <v/>
      </c>
      <c r="X3831" s="79" t="str">
        <f>IF(OR(TH!N3831=TH!$X$7,O3831=TH!$X$7),"x","")</f>
        <v/>
      </c>
      <c r="Y3831" s="79" t="str">
        <f>IF(AND(OR(N3831="131",O3831="131"),H3831='131-CT'!$H$9),"x","")</f>
        <v/>
      </c>
      <c r="Z3831" s="79"/>
      <c r="AA3831" s="79" t="str">
        <f>IF(AND(MONTH(E3831)='IN-NX'!$J$5,'IN-NX'!$D$7=D3831),"x","")</f>
        <v/>
      </c>
      <c r="AB3831" s="79" t="str">
        <f>IF(AND(OR(LEFT(TH!N3831,2)="15",LEFT(TH!O3831,2)="15"),LEFT(TH!O3831,3)&lt;&gt;"111",'152-CT'!$J$8=TH!F3831),"x","")</f>
        <v/>
      </c>
      <c r="AC3831" s="79" t="str">
        <f>IF(AND(OR(LEFT(TH!N3831,2)="15",LEFT(TH!O3831,2)="15"),TK!$E$7=TH!F3831),"x","")</f>
        <v/>
      </c>
      <c r="AD3831" s="79" t="str">
        <f>IF(AND(N3831="1521",MONTH(C3831)='BK-NL'!$M$11),"x","")</f>
        <v/>
      </c>
    </row>
    <row r="3832" spans="1:30" ht="16.5" customHeight="1">
      <c r="A3832" s="318" t="str">
        <f>IF(B3832&lt;&gt;"",IF(AND(B3832='IN-TC'!$S$4,OR(TH!N3832="1111",TH!O3832="1111")),TH!D3832,""),"")</f>
        <v/>
      </c>
      <c r="B3832" s="60" t="str">
        <f t="shared" si="413"/>
        <v/>
      </c>
      <c r="C3832" s="75"/>
      <c r="D3832" s="75"/>
      <c r="E3832" s="974"/>
      <c r="F3832" s="76"/>
      <c r="G3832" s="76"/>
      <c r="H3832" s="77"/>
      <c r="I3832" s="77"/>
      <c r="J3832" s="390"/>
      <c r="K3832" s="383"/>
      <c r="L3832" s="390"/>
      <c r="M3832" s="978"/>
      <c r="N3832" s="79"/>
      <c r="O3832" s="979"/>
      <c r="P3832" s="79" t="str">
        <f>IF(AND('331-CT'!$E$7=TH!H3832,OR(N3832="331",O3832="331")),"x","")</f>
        <v/>
      </c>
      <c r="Q3832" s="79" t="str">
        <f>IF(AND(B3832='111'!$L$11,OR($N3832=$Q$7,$O3832=$Q$7)),"x","")</f>
        <v/>
      </c>
      <c r="R3832" s="79" t="str">
        <f>IF(AND($N3832=$Q$7,$B3832&lt;'111'!$L$11),"x","")</f>
        <v/>
      </c>
      <c r="S3832" s="79" t="str">
        <f>IF(AND($O3832=$Q$7,$B3832&lt;'111'!$L$11),"x","")</f>
        <v/>
      </c>
      <c r="T3832" s="79" t="str">
        <f>IF(ISERROR(FIND('112'!$M$9,G3832,1)),"",IF((AND(FIND('112'!$M$9,G3832,1)&gt;=1,B3832='112'!$K$9,OR($N3832='112'!$I$6,$O3832='112'!$I$6))),"x",""))</f>
        <v/>
      </c>
      <c r="U3832" s="79" t="str">
        <f>IF(ISERROR(FIND('112'!$M$9,G3832,1)),"",IF((AND(LEFT(G3832,2)=LEFT('112'!$M$9,2),B3832&lt;'112'!$K$9,$N3832='112'!$I$6)),"x",""))</f>
        <v/>
      </c>
      <c r="V3832" s="79" t="str">
        <f>IF(ISERROR(FIND('112'!$M$9,G3832,1)),"",IF((AND(RIGHT(G3832,2)=RIGHT('112'!$M$9,2),B3832&lt;'112'!$K$9,$O3832='112'!$I$6)),"x",""))</f>
        <v/>
      </c>
      <c r="W3832" s="79" t="str">
        <f>IF(AND('341-CT'!$H$9=H3832,OR(LEFT(N3832,3)=$W$7,LEFT(O3832,3)=$W$7)),"x","")</f>
        <v/>
      </c>
      <c r="X3832" s="79" t="str">
        <f>IF(OR(TH!N3832=TH!$X$7,O3832=TH!$X$7),"x","")</f>
        <v/>
      </c>
      <c r="Y3832" s="79" t="str">
        <f>IF(AND(OR(N3832="131",O3832="131"),H3832='131-CT'!$H$9),"x","")</f>
        <v/>
      </c>
      <c r="Z3832" s="79"/>
      <c r="AA3832" s="79" t="str">
        <f>IF(AND(MONTH(E3832)='IN-NX'!$J$5,'IN-NX'!$D$7=D3832),"x","")</f>
        <v/>
      </c>
      <c r="AB3832" s="79" t="str">
        <f>IF(AND(OR(LEFT(TH!N3832,2)="15",LEFT(TH!O3832,2)="15"),LEFT(TH!O3832,3)&lt;&gt;"111",'152-CT'!$J$8=TH!F3832),"x","")</f>
        <v/>
      </c>
      <c r="AC3832" s="79" t="str">
        <f>IF(AND(OR(LEFT(TH!N3832,2)="15",LEFT(TH!O3832,2)="15"),TK!$E$7=TH!F3832),"x","")</f>
        <v/>
      </c>
      <c r="AD3832" s="79" t="str">
        <f>IF(AND(N3832="1521",MONTH(C3832)='BK-NL'!$M$11),"x","")</f>
        <v/>
      </c>
    </row>
    <row r="3833" spans="1:30" ht="16.5" customHeight="1">
      <c r="A3833" s="318" t="str">
        <f>IF(B3833&lt;&gt;"",IF(AND(B3833='IN-TC'!$S$4,OR(TH!N3833="1111",TH!O3833="1111")),TH!D3833,""),"")</f>
        <v/>
      </c>
      <c r="B3833" s="60" t="str">
        <f t="shared" si="413"/>
        <v/>
      </c>
      <c r="C3833" s="75"/>
      <c r="D3833" s="75"/>
      <c r="E3833" s="974"/>
      <c r="F3833" s="76"/>
      <c r="G3833" s="76"/>
      <c r="H3833" s="77"/>
      <c r="I3833" s="77"/>
      <c r="J3833" s="390"/>
      <c r="K3833" s="383"/>
      <c r="L3833" s="390"/>
      <c r="M3833" s="978"/>
      <c r="N3833" s="79"/>
      <c r="O3833" s="979"/>
      <c r="P3833" s="79" t="str">
        <f>IF(AND('331-CT'!$E$7=TH!H3833,OR(N3833="331",O3833="331")),"x","")</f>
        <v/>
      </c>
      <c r="Q3833" s="79" t="str">
        <f>IF(AND(B3833='111'!$L$11,OR($N3833=$Q$7,$O3833=$Q$7)),"x","")</f>
        <v/>
      </c>
      <c r="R3833" s="79" t="str">
        <f>IF(AND($N3833=$Q$7,$B3833&lt;'111'!$L$11),"x","")</f>
        <v/>
      </c>
      <c r="S3833" s="79" t="str">
        <f>IF(AND($O3833=$Q$7,$B3833&lt;'111'!$L$11),"x","")</f>
        <v/>
      </c>
      <c r="T3833" s="79" t="str">
        <f>IF(ISERROR(FIND('112'!$M$9,G3833,1)),"",IF((AND(FIND('112'!$M$9,G3833,1)&gt;=1,B3833='112'!$K$9,OR($N3833='112'!$I$6,$O3833='112'!$I$6))),"x",""))</f>
        <v/>
      </c>
      <c r="U3833" s="79" t="str">
        <f>IF(ISERROR(FIND('112'!$M$9,G3833,1)),"",IF((AND(LEFT(G3833,2)=LEFT('112'!$M$9,2),B3833&lt;'112'!$K$9,$N3833='112'!$I$6)),"x",""))</f>
        <v/>
      </c>
      <c r="V3833" s="79" t="str">
        <f>IF(ISERROR(FIND('112'!$M$9,G3833,1)),"",IF((AND(RIGHT(G3833,2)=RIGHT('112'!$M$9,2),B3833&lt;'112'!$K$9,$O3833='112'!$I$6)),"x",""))</f>
        <v/>
      </c>
      <c r="W3833" s="79" t="str">
        <f>IF(AND('341-CT'!$H$9=H3833,OR(LEFT(N3833,3)=$W$7,LEFT(O3833,3)=$W$7)),"x","")</f>
        <v/>
      </c>
      <c r="X3833" s="79" t="str">
        <f>IF(OR(TH!N3833=TH!$X$7,O3833=TH!$X$7),"x","")</f>
        <v/>
      </c>
      <c r="Y3833" s="79" t="str">
        <f>IF(AND(OR(N3833="131",O3833="131"),H3833='131-CT'!$H$9),"x","")</f>
        <v/>
      </c>
      <c r="Z3833" s="79"/>
      <c r="AA3833" s="79" t="str">
        <f>IF(AND(MONTH(E3833)='IN-NX'!$J$5,'IN-NX'!$D$7=D3833),"x","")</f>
        <v/>
      </c>
      <c r="AB3833" s="79" t="str">
        <f>IF(AND(OR(LEFT(TH!N3833,2)="15",LEFT(TH!O3833,2)="15"),LEFT(TH!O3833,3)&lt;&gt;"111",'152-CT'!$J$8=TH!F3833),"x","")</f>
        <v/>
      </c>
      <c r="AC3833" s="79" t="str">
        <f>IF(AND(OR(LEFT(TH!N3833,2)="15",LEFT(TH!O3833,2)="15"),TK!$E$7=TH!F3833),"x","")</f>
        <v/>
      </c>
      <c r="AD3833" s="79" t="str">
        <f>IF(AND(N3833="1521",MONTH(C3833)='BK-NL'!$M$11),"x","")</f>
        <v/>
      </c>
    </row>
    <row r="3834" spans="1:30" ht="16.5" customHeight="1">
      <c r="A3834" s="318" t="str">
        <f>IF(B3834&lt;&gt;"",IF(AND(B3834='IN-TC'!$S$4,OR(TH!N3834="1111",TH!O3834="1111")),TH!D3834,""),"")</f>
        <v/>
      </c>
      <c r="B3834" s="60" t="str">
        <f t="shared" si="413"/>
        <v/>
      </c>
      <c r="C3834" s="75"/>
      <c r="D3834" s="75"/>
      <c r="E3834" s="974"/>
      <c r="F3834" s="76"/>
      <c r="G3834" s="76"/>
      <c r="H3834" s="77"/>
      <c r="I3834" s="77"/>
      <c r="J3834" s="390"/>
      <c r="K3834" s="383"/>
      <c r="L3834" s="390"/>
      <c r="M3834" s="978"/>
      <c r="N3834" s="79"/>
      <c r="O3834" s="979"/>
      <c r="P3834" s="79" t="str">
        <f>IF(AND('331-CT'!$E$7=TH!H3834,OR(N3834="331",O3834="331")),"x","")</f>
        <v/>
      </c>
      <c r="Q3834" s="79" t="str">
        <f>IF(AND(B3834='111'!$L$11,OR($N3834=$Q$7,$O3834=$Q$7)),"x","")</f>
        <v/>
      </c>
      <c r="R3834" s="79" t="str">
        <f>IF(AND($N3834=$Q$7,$B3834&lt;'111'!$L$11),"x","")</f>
        <v/>
      </c>
      <c r="S3834" s="79" t="str">
        <f>IF(AND($O3834=$Q$7,$B3834&lt;'111'!$L$11),"x","")</f>
        <v/>
      </c>
      <c r="T3834" s="79" t="str">
        <f>IF(ISERROR(FIND('112'!$M$9,G3834,1)),"",IF((AND(FIND('112'!$M$9,G3834,1)&gt;=1,B3834='112'!$K$9,OR($N3834='112'!$I$6,$O3834='112'!$I$6))),"x",""))</f>
        <v/>
      </c>
      <c r="U3834" s="79" t="str">
        <f>IF(ISERROR(FIND('112'!$M$9,G3834,1)),"",IF((AND(LEFT(G3834,2)=LEFT('112'!$M$9,2),B3834&lt;'112'!$K$9,$N3834='112'!$I$6)),"x",""))</f>
        <v/>
      </c>
      <c r="V3834" s="79" t="str">
        <f>IF(ISERROR(FIND('112'!$M$9,G3834,1)),"",IF((AND(RIGHT(G3834,2)=RIGHT('112'!$M$9,2),B3834&lt;'112'!$K$9,$O3834='112'!$I$6)),"x",""))</f>
        <v/>
      </c>
      <c r="W3834" s="79" t="str">
        <f>IF(AND('341-CT'!$H$9=H3834,OR(LEFT(N3834,3)=$W$7,LEFT(O3834,3)=$W$7)),"x","")</f>
        <v/>
      </c>
      <c r="X3834" s="79" t="str">
        <f>IF(OR(TH!N3834=TH!$X$7,O3834=TH!$X$7),"x","")</f>
        <v/>
      </c>
      <c r="Y3834" s="79" t="str">
        <f>IF(AND(OR(N3834="131",O3834="131"),H3834='131-CT'!$H$9),"x","")</f>
        <v/>
      </c>
      <c r="Z3834" s="79"/>
      <c r="AA3834" s="79" t="str">
        <f>IF(AND(MONTH(E3834)='IN-NX'!$J$5,'IN-NX'!$D$7=D3834),"x","")</f>
        <v/>
      </c>
      <c r="AB3834" s="79" t="str">
        <f>IF(AND(OR(LEFT(TH!N3834,2)="15",LEFT(TH!O3834,2)="15"),LEFT(TH!O3834,3)&lt;&gt;"111",'152-CT'!$J$8=TH!F3834),"x","")</f>
        <v/>
      </c>
      <c r="AC3834" s="79" t="str">
        <f>IF(AND(OR(LEFT(TH!N3834,2)="15",LEFT(TH!O3834,2)="15"),TK!$E$7=TH!F3834),"x","")</f>
        <v/>
      </c>
      <c r="AD3834" s="79" t="str">
        <f>IF(AND(N3834="1521",MONTH(C3834)='BK-NL'!$M$11),"x","")</f>
        <v/>
      </c>
    </row>
    <row r="3835" spans="1:30" ht="16.5" customHeight="1">
      <c r="A3835" s="318" t="str">
        <f>IF(B3835&lt;&gt;"",IF(AND(B3835='IN-TC'!$S$4,OR(TH!N3835="1111",TH!O3835="1111")),TH!D3835,""),"")</f>
        <v/>
      </c>
      <c r="B3835" s="60" t="str">
        <f t="shared" si="413"/>
        <v/>
      </c>
      <c r="C3835" s="75"/>
      <c r="D3835" s="75"/>
      <c r="E3835" s="974"/>
      <c r="F3835" s="76"/>
      <c r="G3835" s="76"/>
      <c r="H3835" s="1208"/>
      <c r="I3835" s="77"/>
      <c r="J3835" s="1248"/>
      <c r="K3835" s="1247"/>
      <c r="L3835" s="390"/>
      <c r="M3835" s="978"/>
      <c r="N3835" s="79"/>
      <c r="O3835" s="79"/>
      <c r="P3835" s="79" t="str">
        <f>IF(AND('331-CT'!$E$7=TH!H3835,OR(N3835="331",O3835="331")),"x","")</f>
        <v/>
      </c>
      <c r="Q3835" s="79" t="str">
        <f>IF(AND(B3835='111'!$L$11,OR($N3835=$Q$7,$O3835=$Q$7)),"x","")</f>
        <v/>
      </c>
      <c r="R3835" s="79" t="str">
        <f>IF(AND($N3835=$Q$7,$B3835&lt;'111'!$L$11),"x","")</f>
        <v/>
      </c>
      <c r="S3835" s="79" t="str">
        <f>IF(AND($O3835=$Q$7,$B3835&lt;'111'!$L$11),"x","")</f>
        <v/>
      </c>
      <c r="T3835" s="79" t="str">
        <f>IF(ISERROR(FIND('112'!$M$9,G3835,1)),"",IF((AND(FIND('112'!$M$9,G3835,1)&gt;=1,B3835='112'!$K$9,OR($N3835='112'!$I$6,$O3835='112'!$I$6))),"x",""))</f>
        <v/>
      </c>
      <c r="U3835" s="79" t="str">
        <f>IF(ISERROR(FIND('112'!$M$9,G3835,1)),"",IF((AND(LEFT(G3835,2)=LEFT('112'!$M$9,2),B3835&lt;'112'!$K$9,$N3835='112'!$I$6)),"x",""))</f>
        <v/>
      </c>
      <c r="V3835" s="79" t="str">
        <f>IF(ISERROR(FIND('112'!$M$9,G3835,1)),"",IF((AND(RIGHT(G3835,2)=RIGHT('112'!$M$9,2),B3835&lt;'112'!$K$9,$O3835='112'!$I$6)),"x",""))</f>
        <v/>
      </c>
      <c r="W3835" s="79" t="str">
        <f>IF(AND('341-CT'!$H$9=H3835,OR(LEFT(N3835,3)=$W$7,LEFT(O3835,3)=$W$7)),"x","")</f>
        <v/>
      </c>
      <c r="X3835" s="79" t="str">
        <f>IF(OR(TH!N3835=TH!$X$7,O3835=TH!$X$7),"x","")</f>
        <v/>
      </c>
      <c r="Y3835" s="79" t="str">
        <f>IF(AND(OR(N3835="131",O3835="131"),H3835='131-CT'!$H$9),"x","")</f>
        <v/>
      </c>
      <c r="Z3835" s="79"/>
      <c r="AA3835" s="79" t="str">
        <f>IF(AND(MONTH(E3835)='IN-NX'!$J$5,'IN-NX'!$D$7=D3835),"x","")</f>
        <v/>
      </c>
      <c r="AB3835" s="79" t="str">
        <f>IF(AND(OR(LEFT(TH!N3835,2)="15",LEFT(TH!O3835,2)="15"),LEFT(TH!O3835,3)&lt;&gt;"111",'152-CT'!$J$8=TH!F3835),"x","")</f>
        <v/>
      </c>
      <c r="AC3835" s="79" t="str">
        <f>IF(AND(OR(LEFT(TH!N3835,2)="15",LEFT(TH!O3835,2)="15"),TK!$E$7=TH!F3835),"x","")</f>
        <v/>
      </c>
      <c r="AD3835" s="79" t="str">
        <f>IF(AND(N3835="1521",MONTH(C3835)='BK-NL'!$M$11),"x","")</f>
        <v/>
      </c>
    </row>
    <row r="3836" spans="1:30" ht="16.5" customHeight="1">
      <c r="A3836" s="318" t="str">
        <f>IF(B3836&lt;&gt;"",IF(AND(B3836='IN-TC'!$S$4,OR(TH!N3836="1111",TH!O3836="1111")),TH!D3836,""),"")</f>
        <v/>
      </c>
      <c r="B3836" s="60" t="str">
        <f t="shared" si="413"/>
        <v/>
      </c>
      <c r="C3836" s="75"/>
      <c r="D3836" s="75"/>
      <c r="E3836" s="974"/>
      <c r="F3836" s="76"/>
      <c r="G3836" s="76"/>
      <c r="H3836" s="1208"/>
      <c r="I3836" s="77"/>
      <c r="J3836" s="1248"/>
      <c r="K3836" s="1247"/>
      <c r="L3836" s="390"/>
      <c r="M3836" s="978"/>
      <c r="N3836" s="79"/>
      <c r="O3836" s="79"/>
      <c r="P3836" s="79" t="str">
        <f>IF(AND('331-CT'!$E$7=TH!H3836,OR(N3836="331",O3836="331")),"x","")</f>
        <v/>
      </c>
      <c r="Q3836" s="79" t="str">
        <f>IF(AND(B3836='111'!$L$11,OR($N3836=$Q$7,$O3836=$Q$7)),"x","")</f>
        <v/>
      </c>
      <c r="R3836" s="79" t="str">
        <f>IF(AND($N3836=$Q$7,$B3836&lt;'111'!$L$11),"x","")</f>
        <v/>
      </c>
      <c r="S3836" s="79" t="str">
        <f>IF(AND($O3836=$Q$7,$B3836&lt;'111'!$L$11),"x","")</f>
        <v/>
      </c>
      <c r="T3836" s="79" t="str">
        <f>IF(ISERROR(FIND('112'!$M$9,G3836,1)),"",IF((AND(FIND('112'!$M$9,G3836,1)&gt;=1,B3836='112'!$K$9,OR($N3836='112'!$I$6,$O3836='112'!$I$6))),"x",""))</f>
        <v/>
      </c>
      <c r="U3836" s="79" t="str">
        <f>IF(ISERROR(FIND('112'!$M$9,G3836,1)),"",IF((AND(LEFT(G3836,2)=LEFT('112'!$M$9,2),B3836&lt;'112'!$K$9,$N3836='112'!$I$6)),"x",""))</f>
        <v/>
      </c>
      <c r="V3836" s="79" t="str">
        <f>IF(ISERROR(FIND('112'!$M$9,G3836,1)),"",IF((AND(RIGHT(G3836,2)=RIGHT('112'!$M$9,2),B3836&lt;'112'!$K$9,$O3836='112'!$I$6)),"x",""))</f>
        <v/>
      </c>
      <c r="W3836" s="79" t="str">
        <f>IF(AND('341-CT'!$H$9=H3836,OR(LEFT(N3836,3)=$W$7,LEFT(O3836,3)=$W$7)),"x","")</f>
        <v/>
      </c>
      <c r="X3836" s="79" t="str">
        <f>IF(OR(TH!N3836=TH!$X$7,O3836=TH!$X$7),"x","")</f>
        <v/>
      </c>
      <c r="Y3836" s="79" t="str">
        <f>IF(AND(OR(N3836="131",O3836="131"),H3836='131-CT'!$H$9),"x","")</f>
        <v/>
      </c>
      <c r="Z3836" s="79"/>
      <c r="AA3836" s="79" t="str">
        <f>IF(AND(MONTH(E3836)='IN-NX'!$J$5,'IN-NX'!$D$7=D3836),"x","")</f>
        <v/>
      </c>
      <c r="AB3836" s="79" t="str">
        <f>IF(AND(OR(LEFT(TH!N3836,2)="15",LEFT(TH!O3836,2)="15"),LEFT(TH!O3836,3)&lt;&gt;"111",'152-CT'!$J$8=TH!F3836),"x","")</f>
        <v/>
      </c>
      <c r="AC3836" s="79" t="str">
        <f>IF(AND(OR(LEFT(TH!N3836,2)="15",LEFT(TH!O3836,2)="15"),TK!$E$7=TH!F3836),"x","")</f>
        <v/>
      </c>
      <c r="AD3836" s="79" t="str">
        <f>IF(AND(N3836="1521",MONTH(C3836)='BK-NL'!$M$11),"x","")</f>
        <v/>
      </c>
    </row>
    <row r="3837" spans="1:30" ht="16.5" customHeight="1">
      <c r="A3837" s="318" t="str">
        <f>IF(B3837&lt;&gt;"",IF(AND(B3837='IN-TC'!$S$4,OR(TH!N3837="1111",TH!O3837="1111")),TH!D3837,""),"")</f>
        <v/>
      </c>
      <c r="B3837" s="60" t="str">
        <f t="shared" si="413"/>
        <v/>
      </c>
      <c r="C3837" s="75"/>
      <c r="D3837" s="75"/>
      <c r="E3837" s="974"/>
      <c r="F3837" s="76"/>
      <c r="G3837" s="76"/>
      <c r="H3837" s="1208"/>
      <c r="I3837" s="77"/>
      <c r="J3837" s="1248"/>
      <c r="K3837" s="1247"/>
      <c r="L3837" s="390"/>
      <c r="M3837" s="78"/>
      <c r="N3837" s="79"/>
      <c r="O3837" s="979"/>
      <c r="P3837" s="79" t="str">
        <f>IF(AND('331-CT'!$E$7=TH!H3837,OR(N3837="331",O3837="331")),"x","")</f>
        <v/>
      </c>
      <c r="Q3837" s="79" t="str">
        <f>IF(AND(B3837='111'!$L$11,OR($N3837=$Q$7,$O3837=$Q$7)),"x","")</f>
        <v/>
      </c>
      <c r="R3837" s="79" t="str">
        <f>IF(AND($N3837=$Q$7,$B3837&lt;'111'!$L$11),"x","")</f>
        <v/>
      </c>
      <c r="S3837" s="79" t="str">
        <f>IF(AND($O3837=$Q$7,$B3837&lt;'111'!$L$11),"x","")</f>
        <v/>
      </c>
      <c r="T3837" s="79" t="str">
        <f>IF(ISERROR(FIND('112'!$M$9,G3837,1)),"",IF((AND(FIND('112'!$M$9,G3837,1)&gt;=1,B3837='112'!$K$9,OR($N3837='112'!$I$6,$O3837='112'!$I$6))),"x",""))</f>
        <v/>
      </c>
      <c r="U3837" s="79" t="str">
        <f>IF(ISERROR(FIND('112'!$M$9,G3837,1)),"",IF((AND(LEFT(G3837,2)=LEFT('112'!$M$9,2),B3837&lt;'112'!$K$9,$N3837='112'!$I$6)),"x",""))</f>
        <v/>
      </c>
      <c r="V3837" s="79" t="str">
        <f>IF(ISERROR(FIND('112'!$M$9,G3837,1)),"",IF((AND(RIGHT(G3837,2)=RIGHT('112'!$M$9,2),B3837&lt;'112'!$K$9,$O3837='112'!$I$6)),"x",""))</f>
        <v/>
      </c>
      <c r="W3837" s="79" t="str">
        <f>IF(AND('341-CT'!$H$9=H3837,OR(LEFT(N3837,3)=$W$7,LEFT(O3837,3)=$W$7)),"x","")</f>
        <v/>
      </c>
      <c r="X3837" s="79" t="str">
        <f>IF(OR(TH!N3837=TH!$X$7,O3837=TH!$X$7),"x","")</f>
        <v/>
      </c>
      <c r="Y3837" s="79" t="str">
        <f>IF(AND(OR(N3837="131",O3837="131"),H3837='131-CT'!$H$9),"x","")</f>
        <v/>
      </c>
      <c r="Z3837" s="79"/>
      <c r="AA3837" s="79" t="str">
        <f>IF(AND(MONTH(E3837)='IN-NX'!$J$5,'IN-NX'!$D$7=D3837),"x","")</f>
        <v/>
      </c>
      <c r="AB3837" s="79" t="str">
        <f>IF(AND(OR(LEFT(TH!N3837,2)="15",LEFT(TH!O3837,2)="15"),LEFT(TH!O3837,3)&lt;&gt;"111",'152-CT'!$J$8=TH!F3837),"x","")</f>
        <v/>
      </c>
      <c r="AC3837" s="79" t="str">
        <f>IF(AND(OR(LEFT(TH!N3837,2)="15",LEFT(TH!O3837,2)="15"),TK!$E$7=TH!F3837),"x","")</f>
        <v/>
      </c>
      <c r="AD3837" s="79" t="str">
        <f>IF(AND(N3837="1521",MONTH(C3837)='BK-NL'!$M$11),"x","")</f>
        <v/>
      </c>
    </row>
    <row r="3838" spans="1:30" ht="16.5" customHeight="1">
      <c r="A3838" s="318" t="str">
        <f>IF(B3838&lt;&gt;"",IF(AND(B3838='IN-TC'!$S$4,OR(TH!N3838="1111",TH!O3838="1111")),TH!D3838,""),"")</f>
        <v/>
      </c>
      <c r="B3838" s="60" t="str">
        <f t="shared" si="413"/>
        <v/>
      </c>
      <c r="C3838" s="75"/>
      <c r="D3838" s="75"/>
      <c r="E3838" s="974"/>
      <c r="F3838" s="76"/>
      <c r="G3838" s="76"/>
      <c r="H3838" s="76"/>
      <c r="I3838" s="77"/>
      <c r="J3838" s="390"/>
      <c r="K3838" s="383"/>
      <c r="L3838" s="390"/>
      <c r="M3838" s="978"/>
      <c r="N3838" s="79"/>
      <c r="O3838" s="979"/>
      <c r="P3838" s="79" t="str">
        <f>IF(AND('331-CT'!$E$7=TH!H3838,OR(N3838="331",O3838="331")),"x","")</f>
        <v/>
      </c>
      <c r="Q3838" s="79" t="str">
        <f>IF(AND(B3838='111'!$L$11,OR($N3838=$Q$7,$O3838=$Q$7)),"x","")</f>
        <v/>
      </c>
      <c r="R3838" s="79" t="str">
        <f>IF(AND($N3838=$Q$7,$B3838&lt;'111'!$L$11),"x","")</f>
        <v/>
      </c>
      <c r="S3838" s="79" t="str">
        <f>IF(AND($O3838=$Q$7,$B3838&lt;'111'!$L$11),"x","")</f>
        <v/>
      </c>
      <c r="T3838" s="79" t="str">
        <f>IF(ISERROR(FIND('112'!$M$9,G3838,1)),"",IF((AND(FIND('112'!$M$9,G3838,1)&gt;=1,B3838='112'!$K$9,OR($N3838='112'!$I$6,$O3838='112'!$I$6))),"x",""))</f>
        <v/>
      </c>
      <c r="U3838" s="79" t="str">
        <f>IF(ISERROR(FIND('112'!$M$9,G3838,1)),"",IF((AND(LEFT(G3838,2)=LEFT('112'!$M$9,2),B3838&lt;'112'!$K$9,$N3838='112'!$I$6)),"x",""))</f>
        <v/>
      </c>
      <c r="V3838" s="79" t="str">
        <f>IF(ISERROR(FIND('112'!$M$9,G3838,1)),"",IF((AND(RIGHT(G3838,2)=RIGHT('112'!$M$9,2),B3838&lt;'112'!$K$9,$O3838='112'!$I$6)),"x",""))</f>
        <v/>
      </c>
      <c r="W3838" s="79" t="str">
        <f>IF(AND('341-CT'!$H$9=H3838,OR(LEFT(N3838,3)=$W$7,LEFT(O3838,3)=$W$7)),"x","")</f>
        <v/>
      </c>
      <c r="X3838" s="79" t="str">
        <f>IF(OR(TH!N3838=TH!$X$7,O3838=TH!$X$7),"x","")</f>
        <v/>
      </c>
      <c r="Y3838" s="79" t="str">
        <f>IF(AND(OR(N3838="131",O3838="131"),H3838='131-CT'!$H$9),"x","")</f>
        <v/>
      </c>
      <c r="Z3838" s="79"/>
      <c r="AA3838" s="79" t="str">
        <f>IF(AND(MONTH(E3838)='IN-NX'!$J$5,'IN-NX'!$D$7=D3838),"x","")</f>
        <v/>
      </c>
      <c r="AB3838" s="79" t="str">
        <f>IF(AND(OR(LEFT(TH!N3838,2)="15",LEFT(TH!O3838,2)="15"),LEFT(TH!O3838,3)&lt;&gt;"111",'152-CT'!$J$8=TH!F3838),"x","")</f>
        <v/>
      </c>
      <c r="AC3838" s="79" t="str">
        <f>IF(AND(OR(LEFT(TH!N3838,2)="15",LEFT(TH!O3838,2)="15"),TK!$E$7=TH!F3838),"x","")</f>
        <v/>
      </c>
      <c r="AD3838" s="79" t="str">
        <f>IF(AND(N3838="1521",MONTH(C3838)='BK-NL'!$M$11),"x","")</f>
        <v/>
      </c>
    </row>
    <row r="3839" spans="1:30" ht="16.5" customHeight="1">
      <c r="A3839" s="318" t="str">
        <f>IF(B3839&lt;&gt;"",IF(AND(B3839='IN-TC'!$S$4,OR(TH!N3839="1111",TH!O3839="1111")),TH!D3839,""),"")</f>
        <v/>
      </c>
      <c r="B3839" s="60" t="str">
        <f t="shared" si="413"/>
        <v/>
      </c>
      <c r="C3839" s="75"/>
      <c r="D3839" s="75"/>
      <c r="E3839" s="974"/>
      <c r="F3839" s="76"/>
      <c r="G3839" s="76"/>
      <c r="H3839" s="76"/>
      <c r="I3839" s="77"/>
      <c r="J3839" s="390"/>
      <c r="K3839" s="383"/>
      <c r="L3839" s="390"/>
      <c r="M3839" s="978"/>
      <c r="N3839" s="79"/>
      <c r="O3839" s="979"/>
      <c r="P3839" s="79" t="str">
        <f>IF(AND('331-CT'!$E$7=TH!H3839,OR(N3839="331",O3839="331")),"x","")</f>
        <v/>
      </c>
      <c r="Q3839" s="79" t="str">
        <f>IF(AND(B3839='111'!$L$11,OR($N3839=$Q$7,$O3839=$Q$7)),"x","")</f>
        <v/>
      </c>
      <c r="R3839" s="79" t="str">
        <f>IF(AND($N3839=$Q$7,$B3839&lt;'111'!$L$11),"x","")</f>
        <v/>
      </c>
      <c r="S3839" s="79" t="str">
        <f>IF(AND($O3839=$Q$7,$B3839&lt;'111'!$L$11),"x","")</f>
        <v/>
      </c>
      <c r="T3839" s="79" t="str">
        <f>IF(ISERROR(FIND('112'!$M$9,G3839,1)),"",IF((AND(FIND('112'!$M$9,G3839,1)&gt;=1,B3839='112'!$K$9,OR($N3839='112'!$I$6,$O3839='112'!$I$6))),"x",""))</f>
        <v/>
      </c>
      <c r="U3839" s="79" t="str">
        <f>IF(ISERROR(FIND('112'!$M$9,G3839,1)),"",IF((AND(LEFT(G3839,2)=LEFT('112'!$M$9,2),B3839&lt;'112'!$K$9,$N3839='112'!$I$6)),"x",""))</f>
        <v/>
      </c>
      <c r="V3839" s="79" t="str">
        <f>IF(ISERROR(FIND('112'!$M$9,G3839,1)),"",IF((AND(RIGHT(G3839,2)=RIGHT('112'!$M$9,2),B3839&lt;'112'!$K$9,$O3839='112'!$I$6)),"x",""))</f>
        <v/>
      </c>
      <c r="W3839" s="79" t="str">
        <f>IF(AND('341-CT'!$H$9=H3839,OR(LEFT(N3839,3)=$W$7,LEFT(O3839,3)=$W$7)),"x","")</f>
        <v/>
      </c>
      <c r="X3839" s="79" t="str">
        <f>IF(OR(TH!N3839=TH!$X$7,O3839=TH!$X$7),"x","")</f>
        <v/>
      </c>
      <c r="Y3839" s="79" t="str">
        <f>IF(AND(OR(N3839="131",O3839="131"),H3839='131-CT'!$H$9),"x","")</f>
        <v/>
      </c>
      <c r="Z3839" s="79"/>
      <c r="AA3839" s="79" t="str">
        <f>IF(AND(MONTH(E3839)='IN-NX'!$J$5,'IN-NX'!$D$7=D3839),"x","")</f>
        <v/>
      </c>
      <c r="AB3839" s="79" t="str">
        <f>IF(AND(OR(LEFT(TH!N3839,2)="15",LEFT(TH!O3839,2)="15"),LEFT(TH!O3839,3)&lt;&gt;"111",'152-CT'!$J$8=TH!F3839),"x","")</f>
        <v/>
      </c>
      <c r="AC3839" s="79" t="str">
        <f>IF(AND(OR(LEFT(TH!N3839,2)="15",LEFT(TH!O3839,2)="15"),TK!$E$7=TH!F3839),"x","")</f>
        <v/>
      </c>
      <c r="AD3839" s="79" t="str">
        <f>IF(AND(N3839="1521",MONTH(C3839)='BK-NL'!$M$11),"x","")</f>
        <v/>
      </c>
    </row>
    <row r="3840" spans="1:30" ht="16.5" customHeight="1">
      <c r="A3840" s="318" t="str">
        <f>IF(B3840&lt;&gt;"",IF(AND(B3840='IN-TC'!$S$4,OR(TH!N3840="1111",TH!O3840="1111")),TH!D3840,""),"")</f>
        <v/>
      </c>
      <c r="B3840" s="60" t="str">
        <f t="shared" si="413"/>
        <v/>
      </c>
      <c r="C3840" s="75"/>
      <c r="D3840" s="75"/>
      <c r="E3840" s="974"/>
      <c r="F3840" s="76"/>
      <c r="G3840" s="76"/>
      <c r="H3840" s="759"/>
      <c r="I3840" s="77"/>
      <c r="J3840" s="1248"/>
      <c r="K3840" s="1247"/>
      <c r="L3840" s="390"/>
      <c r="M3840" s="978"/>
      <c r="N3840" s="79"/>
      <c r="O3840" s="79"/>
      <c r="P3840" s="79" t="str">
        <f>IF(AND('331-CT'!$E$7=TH!H3840,OR(N3840="331",O3840="331")),"x","")</f>
        <v/>
      </c>
      <c r="Q3840" s="79" t="str">
        <f>IF(AND(B3840='111'!$L$11,OR($N3840=$Q$7,$O3840=$Q$7)),"x","")</f>
        <v/>
      </c>
      <c r="R3840" s="79" t="str">
        <f>IF(AND($N3840=$Q$7,$B3840&lt;'111'!$L$11),"x","")</f>
        <v/>
      </c>
      <c r="S3840" s="79" t="str">
        <f>IF(AND($O3840=$Q$7,$B3840&lt;'111'!$L$11),"x","")</f>
        <v/>
      </c>
      <c r="T3840" s="79" t="str">
        <f>IF(ISERROR(FIND('112'!$M$9,G3840,1)),"",IF((AND(FIND('112'!$M$9,G3840,1)&gt;=1,B3840='112'!$K$9,OR($N3840='112'!$I$6,$O3840='112'!$I$6))),"x",""))</f>
        <v/>
      </c>
      <c r="U3840" s="79" t="str">
        <f>IF(ISERROR(FIND('112'!$M$9,G3840,1)),"",IF((AND(LEFT(G3840,2)=LEFT('112'!$M$9,2),B3840&lt;'112'!$K$9,$N3840='112'!$I$6)),"x",""))</f>
        <v/>
      </c>
      <c r="V3840" s="79" t="str">
        <f>IF(ISERROR(FIND('112'!$M$9,G3840,1)),"",IF((AND(RIGHT(G3840,2)=RIGHT('112'!$M$9,2),B3840&lt;'112'!$K$9,$O3840='112'!$I$6)),"x",""))</f>
        <v/>
      </c>
      <c r="W3840" s="79" t="str">
        <f>IF(AND('341-CT'!$H$9=H3840,OR(LEFT(N3840,3)=$W$7,LEFT(O3840,3)=$W$7)),"x","")</f>
        <v/>
      </c>
      <c r="X3840" s="79" t="str">
        <f>IF(OR(TH!N3840=TH!$X$7,O3840=TH!$X$7),"x","")</f>
        <v/>
      </c>
      <c r="Y3840" s="79" t="str">
        <f>IF(AND(OR(N3840="131",O3840="131"),H3840='131-CT'!$H$9),"x","")</f>
        <v/>
      </c>
      <c r="Z3840" s="79"/>
      <c r="AA3840" s="79" t="str">
        <f>IF(AND(MONTH(E3840)='IN-NX'!$J$5,'IN-NX'!$D$7=D3840),"x","")</f>
        <v/>
      </c>
      <c r="AB3840" s="79" t="str">
        <f>IF(AND(OR(LEFT(TH!N3840,2)="15",LEFT(TH!O3840,2)="15"),LEFT(TH!O3840,3)&lt;&gt;"111",'152-CT'!$J$8=TH!F3840),"x","")</f>
        <v/>
      </c>
      <c r="AC3840" s="79" t="str">
        <f>IF(AND(OR(LEFT(TH!N3840,2)="15",LEFT(TH!O3840,2)="15"),TK!$E$7=TH!F3840),"x","")</f>
        <v/>
      </c>
      <c r="AD3840" s="79" t="str">
        <f>IF(AND(N3840="1521",MONTH(C3840)='BK-NL'!$M$11),"x","")</f>
        <v/>
      </c>
    </row>
    <row r="3841" spans="1:30" ht="16.5" customHeight="1">
      <c r="A3841" s="318" t="str">
        <f>IF(B3841&lt;&gt;"",IF(AND(B3841='IN-TC'!$S$4,OR(TH!N3841="1111",TH!O3841="1111")),TH!D3841,""),"")</f>
        <v/>
      </c>
      <c r="B3841" s="60" t="str">
        <f t="shared" si="413"/>
        <v/>
      </c>
      <c r="C3841" s="75"/>
      <c r="D3841" s="75"/>
      <c r="E3841" s="974"/>
      <c r="F3841" s="76"/>
      <c r="G3841" s="76"/>
      <c r="H3841" s="759"/>
      <c r="I3841" s="77"/>
      <c r="J3841" s="1248"/>
      <c r="K3841" s="1247"/>
      <c r="L3841" s="390"/>
      <c r="M3841" s="978"/>
      <c r="N3841" s="79"/>
      <c r="O3841" s="79"/>
      <c r="P3841" s="79" t="str">
        <f>IF(AND('331-CT'!$E$7=TH!H3841,OR(N3841="331",O3841="331")),"x","")</f>
        <v/>
      </c>
      <c r="Q3841" s="79" t="str">
        <f>IF(AND(B3841='111'!$L$11,OR($N3841=$Q$7,$O3841=$Q$7)),"x","")</f>
        <v/>
      </c>
      <c r="R3841" s="79" t="str">
        <f>IF(AND($N3841=$Q$7,$B3841&lt;'111'!$L$11),"x","")</f>
        <v/>
      </c>
      <c r="S3841" s="79" t="str">
        <f>IF(AND($O3841=$Q$7,$B3841&lt;'111'!$L$11),"x","")</f>
        <v/>
      </c>
      <c r="T3841" s="79" t="str">
        <f>IF(ISERROR(FIND('112'!$M$9,G3841,1)),"",IF((AND(FIND('112'!$M$9,G3841,1)&gt;=1,B3841='112'!$K$9,OR($N3841='112'!$I$6,$O3841='112'!$I$6))),"x",""))</f>
        <v/>
      </c>
      <c r="U3841" s="79" t="str">
        <f>IF(ISERROR(FIND('112'!$M$9,G3841,1)),"",IF((AND(LEFT(G3841,2)=LEFT('112'!$M$9,2),B3841&lt;'112'!$K$9,$N3841='112'!$I$6)),"x",""))</f>
        <v/>
      </c>
      <c r="V3841" s="79" t="str">
        <f>IF(ISERROR(FIND('112'!$M$9,G3841,1)),"",IF((AND(RIGHT(G3841,2)=RIGHT('112'!$M$9,2),B3841&lt;'112'!$K$9,$O3841='112'!$I$6)),"x",""))</f>
        <v/>
      </c>
      <c r="W3841" s="79" t="str">
        <f>IF(AND('341-CT'!$H$9=H3841,OR(LEFT(N3841,3)=$W$7,LEFT(O3841,3)=$W$7)),"x","")</f>
        <v/>
      </c>
      <c r="X3841" s="79" t="str">
        <f>IF(OR(TH!N3841=TH!$X$7,O3841=TH!$X$7),"x","")</f>
        <v/>
      </c>
      <c r="Y3841" s="79" t="str">
        <f>IF(AND(OR(N3841="131",O3841="131"),H3841='131-CT'!$H$9),"x","")</f>
        <v/>
      </c>
      <c r="Z3841" s="79"/>
      <c r="AA3841" s="79" t="str">
        <f>IF(AND(MONTH(E3841)='IN-NX'!$J$5,'IN-NX'!$D$7=D3841),"x","")</f>
        <v/>
      </c>
      <c r="AB3841" s="79" t="str">
        <f>IF(AND(OR(LEFT(TH!N3841,2)="15",LEFT(TH!O3841,2)="15"),LEFT(TH!O3841,3)&lt;&gt;"111",'152-CT'!$J$8=TH!F3841),"x","")</f>
        <v/>
      </c>
      <c r="AC3841" s="79" t="str">
        <f>IF(AND(OR(LEFT(TH!N3841,2)="15",LEFT(TH!O3841,2)="15"),TK!$E$7=TH!F3841),"x","")</f>
        <v/>
      </c>
      <c r="AD3841" s="79" t="str">
        <f>IF(AND(N3841="1521",MONTH(C3841)='BK-NL'!$M$11),"x","")</f>
        <v/>
      </c>
    </row>
    <row r="3842" spans="1:30" ht="16.5" customHeight="1">
      <c r="A3842" s="318" t="str">
        <f>IF(B3842&lt;&gt;"",IF(AND(B3842='IN-TC'!$S$4,OR(TH!N3842="1111",TH!O3842="1111")),TH!D3842,""),"")</f>
        <v/>
      </c>
      <c r="B3842" s="60" t="str">
        <f t="shared" si="413"/>
        <v/>
      </c>
      <c r="C3842" s="75"/>
      <c r="D3842" s="75"/>
      <c r="E3842" s="974"/>
      <c r="F3842" s="76"/>
      <c r="G3842" s="76"/>
      <c r="H3842" s="759"/>
      <c r="I3842" s="77"/>
      <c r="J3842" s="1248"/>
      <c r="K3842" s="1247"/>
      <c r="L3842" s="390"/>
      <c r="M3842" s="78"/>
      <c r="N3842" s="79"/>
      <c r="O3842" s="979"/>
      <c r="P3842" s="79" t="str">
        <f>IF(AND('331-CT'!$E$7=TH!H3842,OR(N3842="331",O3842="331")),"x","")</f>
        <v/>
      </c>
      <c r="Q3842" s="79" t="str">
        <f>IF(AND(B3842='111'!$L$11,OR($N3842=$Q$7,$O3842=$Q$7)),"x","")</f>
        <v/>
      </c>
      <c r="R3842" s="79" t="str">
        <f>IF(AND($N3842=$Q$7,$B3842&lt;'111'!$L$11),"x","")</f>
        <v/>
      </c>
      <c r="S3842" s="79" t="str">
        <f>IF(AND($O3842=$Q$7,$B3842&lt;'111'!$L$11),"x","")</f>
        <v/>
      </c>
      <c r="T3842" s="79" t="str">
        <f>IF(ISERROR(FIND('112'!$M$9,G3842,1)),"",IF((AND(FIND('112'!$M$9,G3842,1)&gt;=1,B3842='112'!$K$9,OR($N3842='112'!$I$6,$O3842='112'!$I$6))),"x",""))</f>
        <v/>
      </c>
      <c r="U3842" s="79" t="str">
        <f>IF(ISERROR(FIND('112'!$M$9,G3842,1)),"",IF((AND(LEFT(G3842,2)=LEFT('112'!$M$9,2),B3842&lt;'112'!$K$9,$N3842='112'!$I$6)),"x",""))</f>
        <v/>
      </c>
      <c r="V3842" s="79" t="str">
        <f>IF(ISERROR(FIND('112'!$M$9,G3842,1)),"",IF((AND(RIGHT(G3842,2)=RIGHT('112'!$M$9,2),B3842&lt;'112'!$K$9,$O3842='112'!$I$6)),"x",""))</f>
        <v/>
      </c>
      <c r="W3842" s="79" t="str">
        <f>IF(AND('341-CT'!$H$9=H3842,OR(LEFT(N3842,3)=$W$7,LEFT(O3842,3)=$W$7)),"x","")</f>
        <v/>
      </c>
      <c r="X3842" s="79" t="str">
        <f>IF(OR(TH!N3842=TH!$X$7,O3842=TH!$X$7),"x","")</f>
        <v/>
      </c>
      <c r="Y3842" s="79" t="str">
        <f>IF(AND(OR(N3842="131",O3842="131"),H3842='131-CT'!$H$9),"x","")</f>
        <v/>
      </c>
      <c r="Z3842" s="79"/>
      <c r="AA3842" s="79" t="str">
        <f>IF(AND(MONTH(E3842)='IN-NX'!$J$5,'IN-NX'!$D$7=D3842),"x","")</f>
        <v/>
      </c>
      <c r="AB3842" s="79" t="str">
        <f>IF(AND(OR(LEFT(TH!N3842,2)="15",LEFT(TH!O3842,2)="15"),LEFT(TH!O3842,3)&lt;&gt;"111",'152-CT'!$J$8=TH!F3842),"x","")</f>
        <v/>
      </c>
      <c r="AC3842" s="79" t="str">
        <f>IF(AND(OR(LEFT(TH!N3842,2)="15",LEFT(TH!O3842,2)="15"),TK!$E$7=TH!F3842),"x","")</f>
        <v/>
      </c>
      <c r="AD3842" s="79" t="str">
        <f>IF(AND(N3842="1521",MONTH(C3842)='BK-NL'!$M$11),"x","")</f>
        <v/>
      </c>
    </row>
    <row r="3843" spans="1:30" ht="16.5" customHeight="1">
      <c r="A3843" s="318" t="str">
        <f>IF(B3843&lt;&gt;"",IF(AND(B3843='IN-TC'!$S$4,OR(TH!N3843="1111",TH!O3843="1111")),TH!D3843,""),"")</f>
        <v/>
      </c>
      <c r="B3843" s="60" t="str">
        <f t="shared" si="413"/>
        <v/>
      </c>
      <c r="C3843" s="75"/>
      <c r="D3843" s="75"/>
      <c r="E3843" s="974"/>
      <c r="F3843" s="76"/>
      <c r="G3843" s="76"/>
      <c r="H3843" s="76"/>
      <c r="I3843" s="77"/>
      <c r="J3843" s="390"/>
      <c r="K3843" s="383"/>
      <c r="L3843" s="390"/>
      <c r="M3843" s="978"/>
      <c r="N3843" s="79"/>
      <c r="O3843" s="979"/>
      <c r="P3843" s="79" t="str">
        <f>IF(AND('331-CT'!$E$7=TH!H3843,OR(N3843="331",O3843="331")),"x","")</f>
        <v/>
      </c>
      <c r="Q3843" s="79" t="str">
        <f>IF(AND(B3843='111'!$L$11,OR($N3843=$Q$7,$O3843=$Q$7)),"x","")</f>
        <v/>
      </c>
      <c r="R3843" s="79" t="str">
        <f>IF(AND($N3843=$Q$7,$B3843&lt;'111'!$L$11),"x","")</f>
        <v/>
      </c>
      <c r="S3843" s="79" t="str">
        <f>IF(AND($O3843=$Q$7,$B3843&lt;'111'!$L$11),"x","")</f>
        <v/>
      </c>
      <c r="T3843" s="79" t="str">
        <f>IF(ISERROR(FIND('112'!$M$9,G3843,1)),"",IF((AND(FIND('112'!$M$9,G3843,1)&gt;=1,B3843='112'!$K$9,OR($N3843='112'!$I$6,$O3843='112'!$I$6))),"x",""))</f>
        <v/>
      </c>
      <c r="U3843" s="79" t="str">
        <f>IF(ISERROR(FIND('112'!$M$9,G3843,1)),"",IF((AND(LEFT(G3843,2)=LEFT('112'!$M$9,2),B3843&lt;'112'!$K$9,$N3843='112'!$I$6)),"x",""))</f>
        <v/>
      </c>
      <c r="V3843" s="79" t="str">
        <f>IF(ISERROR(FIND('112'!$M$9,G3843,1)),"",IF((AND(RIGHT(G3843,2)=RIGHT('112'!$M$9,2),B3843&lt;'112'!$K$9,$O3843='112'!$I$6)),"x",""))</f>
        <v/>
      </c>
      <c r="W3843" s="79" t="str">
        <f>IF(AND('341-CT'!$H$9=H3843,OR(LEFT(N3843,3)=$W$7,LEFT(O3843,3)=$W$7)),"x","")</f>
        <v/>
      </c>
      <c r="X3843" s="79" t="str">
        <f>IF(OR(TH!N3843=TH!$X$7,O3843=TH!$X$7),"x","")</f>
        <v/>
      </c>
      <c r="Y3843" s="79" t="str">
        <f>IF(AND(OR(N3843="131",O3843="131"),H3843='131-CT'!$H$9),"x","")</f>
        <v/>
      </c>
      <c r="Z3843" s="79"/>
      <c r="AA3843" s="79" t="str">
        <f>IF(AND(MONTH(E3843)='IN-NX'!$J$5,'IN-NX'!$D$7=D3843),"x","")</f>
        <v/>
      </c>
      <c r="AB3843" s="79" t="str">
        <f>IF(AND(OR(LEFT(TH!N3843,2)="15",LEFT(TH!O3843,2)="15"),LEFT(TH!O3843,3)&lt;&gt;"111",'152-CT'!$J$8=TH!F3843),"x","")</f>
        <v/>
      </c>
      <c r="AC3843" s="79" t="str">
        <f>IF(AND(OR(LEFT(TH!N3843,2)="15",LEFT(TH!O3843,2)="15"),TK!$E$7=TH!F3843),"x","")</f>
        <v/>
      </c>
      <c r="AD3843" s="79" t="str">
        <f>IF(AND(N3843="1521",MONTH(C3843)='BK-NL'!$M$11),"x","")</f>
        <v/>
      </c>
    </row>
    <row r="3844" spans="1:30" ht="16.5" customHeight="1">
      <c r="A3844" s="318" t="str">
        <f>IF(B3844&lt;&gt;"",IF(AND(B3844='IN-TC'!$S$4,OR(TH!N3844="1111",TH!O3844="1111")),TH!D3844,""),"")</f>
        <v/>
      </c>
      <c r="B3844" s="60" t="str">
        <f t="shared" si="413"/>
        <v/>
      </c>
      <c r="C3844" s="75"/>
      <c r="D3844" s="75"/>
      <c r="E3844" s="974"/>
      <c r="F3844" s="76"/>
      <c r="G3844" s="76"/>
      <c r="H3844" s="76"/>
      <c r="I3844" s="77"/>
      <c r="J3844" s="390"/>
      <c r="K3844" s="383"/>
      <c r="L3844" s="390"/>
      <c r="M3844" s="978"/>
      <c r="N3844" s="79"/>
      <c r="O3844" s="979"/>
      <c r="P3844" s="79" t="str">
        <f>IF(AND('331-CT'!$E$7=TH!H3844,OR(N3844="331",O3844="331")),"x","")</f>
        <v/>
      </c>
      <c r="Q3844" s="79" t="str">
        <f>IF(AND(B3844='111'!$L$11,OR($N3844=$Q$7,$O3844=$Q$7)),"x","")</f>
        <v/>
      </c>
      <c r="R3844" s="79" t="str">
        <f>IF(AND($N3844=$Q$7,$B3844&lt;'111'!$L$11),"x","")</f>
        <v/>
      </c>
      <c r="S3844" s="79" t="str">
        <f>IF(AND($O3844=$Q$7,$B3844&lt;'111'!$L$11),"x","")</f>
        <v/>
      </c>
      <c r="T3844" s="79" t="str">
        <f>IF(ISERROR(FIND('112'!$M$9,G3844,1)),"",IF((AND(FIND('112'!$M$9,G3844,1)&gt;=1,B3844='112'!$K$9,OR($N3844='112'!$I$6,$O3844='112'!$I$6))),"x",""))</f>
        <v/>
      </c>
      <c r="U3844" s="79" t="str">
        <f>IF(ISERROR(FIND('112'!$M$9,G3844,1)),"",IF((AND(LEFT(G3844,2)=LEFT('112'!$M$9,2),B3844&lt;'112'!$K$9,$N3844='112'!$I$6)),"x",""))</f>
        <v/>
      </c>
      <c r="V3844" s="79" t="str">
        <f>IF(ISERROR(FIND('112'!$M$9,G3844,1)),"",IF((AND(RIGHT(G3844,2)=RIGHT('112'!$M$9,2),B3844&lt;'112'!$K$9,$O3844='112'!$I$6)),"x",""))</f>
        <v/>
      </c>
      <c r="W3844" s="79" t="str">
        <f>IF(AND('341-CT'!$H$9=H3844,OR(LEFT(N3844,3)=$W$7,LEFT(O3844,3)=$W$7)),"x","")</f>
        <v/>
      </c>
      <c r="X3844" s="79" t="str">
        <f>IF(OR(TH!N3844=TH!$X$7,O3844=TH!$X$7),"x","")</f>
        <v/>
      </c>
      <c r="Y3844" s="79" t="str">
        <f>IF(AND(OR(N3844="131",O3844="131"),H3844='131-CT'!$H$9),"x","")</f>
        <v/>
      </c>
      <c r="Z3844" s="79"/>
      <c r="AA3844" s="79" t="str">
        <f>IF(AND(MONTH(E3844)='IN-NX'!$J$5,'IN-NX'!$D$7=D3844),"x","")</f>
        <v/>
      </c>
      <c r="AB3844" s="79" t="str">
        <f>IF(AND(OR(LEFT(TH!N3844,2)="15",LEFT(TH!O3844,2)="15"),LEFT(TH!O3844,3)&lt;&gt;"111",'152-CT'!$J$8=TH!F3844),"x","")</f>
        <v/>
      </c>
      <c r="AC3844" s="79" t="str">
        <f>IF(AND(OR(LEFT(TH!N3844,2)="15",LEFT(TH!O3844,2)="15"),TK!$E$7=TH!F3844),"x","")</f>
        <v/>
      </c>
      <c r="AD3844" s="79" t="str">
        <f>IF(AND(N3844="1521",MONTH(C3844)='BK-NL'!$M$11),"x","")</f>
        <v/>
      </c>
    </row>
    <row r="3845" spans="1:30" ht="16.5" customHeight="1">
      <c r="A3845" s="318" t="str">
        <f>IF(B3845&lt;&gt;"",IF(AND(B3845='IN-TC'!$S$4,OR(TH!N3845="1111",TH!O3845="1111")),TH!D3845,""),"")</f>
        <v/>
      </c>
      <c r="B3845" s="60" t="str">
        <f t="shared" si="413"/>
        <v/>
      </c>
      <c r="C3845" s="75"/>
      <c r="D3845" s="75"/>
      <c r="E3845" s="974"/>
      <c r="F3845" s="76"/>
      <c r="G3845" s="76"/>
      <c r="H3845" s="76"/>
      <c r="I3845" s="77"/>
      <c r="J3845" s="390"/>
      <c r="K3845" s="383"/>
      <c r="L3845" s="390"/>
      <c r="M3845" s="78"/>
      <c r="N3845" s="79"/>
      <c r="O3845" s="79"/>
      <c r="P3845" s="79" t="str">
        <f>IF(AND('331-CT'!$E$7=TH!H3845,OR(N3845="331",O3845="331")),"x","")</f>
        <v/>
      </c>
      <c r="Q3845" s="79" t="str">
        <f>IF(AND(B3845='111'!$L$11,OR($N3845=$Q$7,$O3845=$Q$7)),"x","")</f>
        <v/>
      </c>
      <c r="R3845" s="79" t="str">
        <f>IF(AND($N3845=$Q$7,$B3845&lt;'111'!$L$11),"x","")</f>
        <v/>
      </c>
      <c r="S3845" s="79" t="str">
        <f>IF(AND($O3845=$Q$7,$B3845&lt;'111'!$L$11),"x","")</f>
        <v/>
      </c>
      <c r="T3845" s="79" t="str">
        <f>IF(ISERROR(FIND('112'!$M$9,G3845,1)),"",IF((AND(FIND('112'!$M$9,G3845,1)&gt;=1,B3845='112'!$K$9,OR($N3845='112'!$I$6,$O3845='112'!$I$6))),"x",""))</f>
        <v/>
      </c>
      <c r="U3845" s="79" t="str">
        <f>IF(ISERROR(FIND('112'!$M$9,G3845,1)),"",IF((AND(LEFT(G3845,2)=LEFT('112'!$M$9,2),B3845&lt;'112'!$K$9,$N3845='112'!$I$6)),"x",""))</f>
        <v/>
      </c>
      <c r="V3845" s="79" t="str">
        <f>IF(ISERROR(FIND('112'!$M$9,G3845,1)),"",IF((AND(RIGHT(G3845,2)=RIGHT('112'!$M$9,2),B3845&lt;'112'!$K$9,$O3845='112'!$I$6)),"x",""))</f>
        <v/>
      </c>
      <c r="W3845" s="79" t="str">
        <f>IF(AND('341-CT'!$H$9=H3845,OR(LEFT(N3845,3)=$W$7,LEFT(O3845,3)=$W$7)),"x","")</f>
        <v/>
      </c>
      <c r="X3845" s="79" t="str">
        <f>IF(OR(TH!N3845=TH!$X$7,O3845=TH!$X$7),"x","")</f>
        <v/>
      </c>
      <c r="Y3845" s="79" t="str">
        <f>IF(AND(OR(N3845="131",O3845="131"),H3845='131-CT'!$H$9),"x","")</f>
        <v/>
      </c>
      <c r="Z3845" s="79"/>
      <c r="AA3845" s="79" t="str">
        <f>IF(AND(MONTH(E3845)='IN-NX'!$J$5,'IN-NX'!$D$7=D3845),"x","")</f>
        <v/>
      </c>
      <c r="AB3845" s="79" t="str">
        <f>IF(AND(OR(LEFT(TH!N3845,2)="15",LEFT(TH!O3845,2)="15"),LEFT(TH!O3845,3)&lt;&gt;"111",'152-CT'!$J$8=TH!F3845),"x","")</f>
        <v/>
      </c>
      <c r="AC3845" s="79" t="str">
        <f>IF(AND(OR(LEFT(TH!N3845,2)="15",LEFT(TH!O3845,2)="15"),TK!$E$7=TH!F3845),"x","")</f>
        <v/>
      </c>
      <c r="AD3845" s="79" t="str">
        <f>IF(AND(N3845="1521",MONTH(C3845)='BK-NL'!$M$11),"x","")</f>
        <v/>
      </c>
    </row>
    <row r="3846" spans="1:30" ht="16.5" customHeight="1">
      <c r="A3846" s="318" t="str">
        <f>IF(B3846&lt;&gt;"",IF(AND(B3846='IN-TC'!$S$4,OR(TH!N3846="1111",TH!O3846="1111")),TH!D3846,""),"")</f>
        <v/>
      </c>
      <c r="B3846" s="60" t="str">
        <f t="shared" si="413"/>
        <v/>
      </c>
      <c r="C3846" s="974"/>
      <c r="D3846" s="75"/>
      <c r="E3846" s="974"/>
      <c r="F3846" s="76"/>
      <c r="G3846" s="975"/>
      <c r="H3846" s="305"/>
      <c r="I3846" s="77"/>
      <c r="J3846" s="390"/>
      <c r="K3846" s="383"/>
      <c r="L3846" s="390"/>
      <c r="M3846" s="978"/>
      <c r="N3846" s="79"/>
      <c r="O3846" s="979"/>
      <c r="P3846" s="79" t="str">
        <f>IF(AND('331-CT'!$E$7=TH!H3846,OR(N3846="331",O3846="331")),"x","")</f>
        <v/>
      </c>
      <c r="Q3846" s="79" t="str">
        <f>IF(AND(B3846='111'!$L$11,OR($N3846=$Q$7,$O3846=$Q$7)),"x","")</f>
        <v/>
      </c>
      <c r="R3846" s="79" t="str">
        <f>IF(AND($N3846=$Q$7,$B3846&lt;'111'!$L$11),"x","")</f>
        <v/>
      </c>
      <c r="S3846" s="79" t="str">
        <f>IF(AND($O3846=$Q$7,$B3846&lt;'111'!$L$11),"x","")</f>
        <v/>
      </c>
      <c r="T3846" s="79" t="str">
        <f>IF(ISERROR(FIND('112'!$M$9,G3846,1)),"",IF((AND(FIND('112'!$M$9,G3846,1)&gt;=1,B3846='112'!$K$9,OR($N3846='112'!$I$6,$O3846='112'!$I$6))),"x",""))</f>
        <v/>
      </c>
      <c r="U3846" s="79" t="str">
        <f>IF(ISERROR(FIND('112'!$M$9,G3846,1)),"",IF((AND(LEFT(G3846,2)=LEFT('112'!$M$9,2),B3846&lt;'112'!$K$9,$N3846='112'!$I$6)),"x",""))</f>
        <v/>
      </c>
      <c r="V3846" s="79" t="str">
        <f>IF(ISERROR(FIND('112'!$M$9,G3846,1)),"",IF((AND(RIGHT(G3846,2)=RIGHT('112'!$M$9,2),B3846&lt;'112'!$K$9,$O3846='112'!$I$6)),"x",""))</f>
        <v/>
      </c>
      <c r="W3846" s="79" t="str">
        <f>IF(AND('341-CT'!$H$9=H3846,OR(LEFT(N3846,3)=$W$7,LEFT(O3846,3)=$W$7)),"x","")</f>
        <v/>
      </c>
      <c r="X3846" s="79" t="str">
        <f>IF(OR(TH!N3846=TH!$X$7,O3846=TH!$X$7),"x","")</f>
        <v/>
      </c>
      <c r="Y3846" s="79" t="str">
        <f>IF(AND(OR(N3846="131",O3846="131"),H3846='131-CT'!$H$9),"x","")</f>
        <v/>
      </c>
      <c r="Z3846" s="79"/>
      <c r="AA3846" s="79" t="str">
        <f>IF(AND(MONTH(E3846)='IN-NX'!$J$5,'IN-NX'!$D$7=D3846),"x","")</f>
        <v/>
      </c>
      <c r="AB3846" s="79" t="str">
        <f>IF(AND(OR(LEFT(TH!N3846,2)="15",LEFT(TH!O3846,2)="15"),LEFT(TH!O3846,3)&lt;&gt;"111",'152-CT'!$J$8=TH!F3846),"x","")</f>
        <v/>
      </c>
      <c r="AC3846" s="79" t="str">
        <f>IF(AND(OR(LEFT(TH!N3846,2)="15",LEFT(TH!O3846,2)="15"),TK!$E$7=TH!F3846),"x","")</f>
        <v/>
      </c>
      <c r="AD3846" s="79" t="str">
        <f>IF(AND(N3846="1521",MONTH(C3846)='BK-NL'!$M$11),"x","")</f>
        <v/>
      </c>
    </row>
    <row r="3847" spans="1:30" ht="16.5" customHeight="1">
      <c r="A3847" s="318" t="str">
        <f>IF(B3847&lt;&gt;"",IF(AND(B3847='IN-TC'!$S$4,OR(TH!N3847="1111",TH!O3847="1111")),TH!D3847,""),"")</f>
        <v/>
      </c>
      <c r="B3847" s="60" t="str">
        <f t="shared" si="413"/>
        <v/>
      </c>
      <c r="C3847" s="974"/>
      <c r="D3847" s="75"/>
      <c r="E3847" s="974"/>
      <c r="F3847" s="76"/>
      <c r="G3847" s="975"/>
      <c r="H3847" s="305"/>
      <c r="I3847" s="77"/>
      <c r="J3847" s="390"/>
      <c r="K3847" s="383"/>
      <c r="L3847" s="390"/>
      <c r="M3847" s="978"/>
      <c r="N3847" s="79"/>
      <c r="O3847" s="979"/>
      <c r="P3847" s="79" t="str">
        <f>IF(AND('331-CT'!$E$7=TH!H3847,OR(N3847="331",O3847="331")),"x","")</f>
        <v/>
      </c>
      <c r="Q3847" s="79" t="str">
        <f>IF(AND(B3847='111'!$L$11,OR($N3847=$Q$7,$O3847=$Q$7)),"x","")</f>
        <v/>
      </c>
      <c r="R3847" s="79" t="str">
        <f>IF(AND($N3847=$Q$7,$B3847&lt;'111'!$L$11),"x","")</f>
        <v/>
      </c>
      <c r="S3847" s="79" t="str">
        <f>IF(AND($O3847=$Q$7,$B3847&lt;'111'!$L$11),"x","")</f>
        <v/>
      </c>
      <c r="T3847" s="79" t="str">
        <f>IF(ISERROR(FIND('112'!$M$9,G3847,1)),"",IF((AND(FIND('112'!$M$9,G3847,1)&gt;=1,B3847='112'!$K$9,OR($N3847='112'!$I$6,$O3847='112'!$I$6))),"x",""))</f>
        <v/>
      </c>
      <c r="U3847" s="79" t="str">
        <f>IF(ISERROR(FIND('112'!$M$9,G3847,1)),"",IF((AND(LEFT(G3847,2)=LEFT('112'!$M$9,2),B3847&lt;'112'!$K$9,$N3847='112'!$I$6)),"x",""))</f>
        <v/>
      </c>
      <c r="V3847" s="79" t="str">
        <f>IF(ISERROR(FIND('112'!$M$9,G3847,1)),"",IF((AND(RIGHT(G3847,2)=RIGHT('112'!$M$9,2),B3847&lt;'112'!$K$9,$O3847='112'!$I$6)),"x",""))</f>
        <v/>
      </c>
      <c r="W3847" s="79" t="str">
        <f>IF(AND('341-CT'!$H$9=H3847,OR(LEFT(N3847,3)=$W$7,LEFT(O3847,3)=$W$7)),"x","")</f>
        <v/>
      </c>
      <c r="X3847" s="79" t="str">
        <f>IF(OR(TH!N3847=TH!$X$7,O3847=TH!$X$7),"x","")</f>
        <v/>
      </c>
      <c r="Y3847" s="79" t="str">
        <f>IF(AND(OR(N3847="131",O3847="131"),H3847='131-CT'!$H$9),"x","")</f>
        <v/>
      </c>
      <c r="Z3847" s="79"/>
      <c r="AA3847" s="79" t="str">
        <f>IF(AND(MONTH(E3847)='IN-NX'!$J$5,'IN-NX'!$D$7=D3847),"x","")</f>
        <v/>
      </c>
      <c r="AB3847" s="79" t="str">
        <f>IF(AND(OR(LEFT(TH!N3847,2)="15",LEFT(TH!O3847,2)="15"),LEFT(TH!O3847,3)&lt;&gt;"111",'152-CT'!$J$8=TH!F3847),"x","")</f>
        <v/>
      </c>
      <c r="AC3847" s="79" t="str">
        <f>IF(AND(OR(LEFT(TH!N3847,2)="15",LEFT(TH!O3847,2)="15"),TK!$E$7=TH!F3847),"x","")</f>
        <v/>
      </c>
      <c r="AD3847" s="79" t="str">
        <f>IF(AND(N3847="1521",MONTH(C3847)='BK-NL'!$M$11),"x","")</f>
        <v/>
      </c>
    </row>
    <row r="3848" spans="1:30" ht="16.5" customHeight="1">
      <c r="A3848" s="318" t="str">
        <f>IF(B3848&lt;&gt;"",IF(AND(B3848='IN-TC'!$S$4,OR(TH!N3848="1111",TH!O3848="1111")),TH!D3848,""),"")</f>
        <v/>
      </c>
      <c r="B3848" s="60" t="str">
        <f t="shared" si="413"/>
        <v/>
      </c>
      <c r="C3848" s="75"/>
      <c r="D3848" s="75"/>
      <c r="E3848" s="974"/>
      <c r="F3848" s="76"/>
      <c r="G3848" s="76"/>
      <c r="H3848" s="759"/>
      <c r="I3848" s="77"/>
      <c r="J3848" s="1248"/>
      <c r="K3848" s="1247"/>
      <c r="L3848" s="1248"/>
      <c r="M3848" s="978"/>
      <c r="N3848" s="79"/>
      <c r="O3848" s="79"/>
      <c r="P3848" s="79" t="str">
        <f>IF(AND('331-CT'!$E$7=TH!H3848,OR(N3848="331",O3848="331")),"x","")</f>
        <v/>
      </c>
      <c r="Q3848" s="79" t="str">
        <f>IF(AND(B3848='111'!$L$11,OR($N3848=$Q$7,$O3848=$Q$7)),"x","")</f>
        <v/>
      </c>
      <c r="R3848" s="79" t="str">
        <f>IF(AND($N3848=$Q$7,$B3848&lt;'111'!$L$11),"x","")</f>
        <v/>
      </c>
      <c r="S3848" s="79" t="str">
        <f>IF(AND($O3848=$Q$7,$B3848&lt;'111'!$L$11),"x","")</f>
        <v/>
      </c>
      <c r="T3848" s="79" t="str">
        <f>IF(ISERROR(FIND('112'!$M$9,G3848,1)),"",IF((AND(FIND('112'!$M$9,G3848,1)&gt;=1,B3848='112'!$K$9,OR($N3848='112'!$I$6,$O3848='112'!$I$6))),"x",""))</f>
        <v/>
      </c>
      <c r="U3848" s="79" t="str">
        <f>IF(ISERROR(FIND('112'!$M$9,G3848,1)),"",IF((AND(LEFT(G3848,2)=LEFT('112'!$M$9,2),B3848&lt;'112'!$K$9,$N3848='112'!$I$6)),"x",""))</f>
        <v/>
      </c>
      <c r="V3848" s="79" t="str">
        <f>IF(ISERROR(FIND('112'!$M$9,G3848,1)),"",IF((AND(RIGHT(G3848,2)=RIGHT('112'!$M$9,2),B3848&lt;'112'!$K$9,$O3848='112'!$I$6)),"x",""))</f>
        <v/>
      </c>
      <c r="W3848" s="79" t="str">
        <f>IF(AND('341-CT'!$H$9=H3848,OR(LEFT(N3848,3)=$W$7,LEFT(O3848,3)=$W$7)),"x","")</f>
        <v/>
      </c>
      <c r="X3848" s="79" t="str">
        <f>IF(OR(TH!N3848=TH!$X$7,O3848=TH!$X$7),"x","")</f>
        <v/>
      </c>
      <c r="Y3848" s="79" t="str">
        <f>IF(AND(OR(N3848="131",O3848="131"),H3848='131-CT'!$H$9),"x","")</f>
        <v/>
      </c>
      <c r="Z3848" s="79"/>
      <c r="AA3848" s="79" t="str">
        <f>IF(AND(MONTH(E3848)='IN-NX'!$J$5,'IN-NX'!$D$7=D3848),"x","")</f>
        <v/>
      </c>
      <c r="AB3848" s="79" t="str">
        <f>IF(AND(OR(LEFT(TH!N3848,2)="15",LEFT(TH!O3848,2)="15"),LEFT(TH!O3848,3)&lt;&gt;"111",'152-CT'!$J$8=TH!F3848),"x","")</f>
        <v/>
      </c>
      <c r="AC3848" s="79" t="str">
        <f>IF(AND(OR(LEFT(TH!N3848,2)="15",LEFT(TH!O3848,2)="15"),TK!$E$7=TH!F3848),"x","")</f>
        <v/>
      </c>
      <c r="AD3848" s="79" t="str">
        <f>IF(AND(N3848="1521",MONTH(C3848)='BK-NL'!$M$11),"x","")</f>
        <v/>
      </c>
    </row>
    <row r="3849" spans="1:30" ht="16.5" customHeight="1">
      <c r="A3849" s="318" t="str">
        <f>IF(B3849&lt;&gt;"",IF(AND(B3849='IN-TC'!$S$4,OR(TH!N3849="1111",TH!O3849="1111")),TH!D3849,""),"")</f>
        <v/>
      </c>
      <c r="B3849" s="60" t="str">
        <f t="shared" si="413"/>
        <v/>
      </c>
      <c r="C3849" s="75"/>
      <c r="D3849" s="75"/>
      <c r="E3849" s="974"/>
      <c r="F3849" s="1131"/>
      <c r="G3849" s="76"/>
      <c r="H3849" s="759"/>
      <c r="I3849" s="77"/>
      <c r="J3849" s="1248"/>
      <c r="K3849" s="1247"/>
      <c r="L3849" s="1248"/>
      <c r="M3849" s="978"/>
      <c r="N3849" s="79"/>
      <c r="O3849" s="79"/>
      <c r="P3849" s="79" t="str">
        <f>IF(AND('331-CT'!$E$7=TH!H3849,OR(N3849="331",O3849="331")),"x","")</f>
        <v/>
      </c>
      <c r="Q3849" s="79" t="str">
        <f>IF(AND(B3849='111'!$L$11,OR($N3849=$Q$7,$O3849=$Q$7)),"x","")</f>
        <v/>
      </c>
      <c r="R3849" s="79" t="str">
        <f>IF(AND($N3849=$Q$7,$B3849&lt;'111'!$L$11),"x","")</f>
        <v/>
      </c>
      <c r="S3849" s="79" t="str">
        <f>IF(AND($O3849=$Q$7,$B3849&lt;'111'!$L$11),"x","")</f>
        <v/>
      </c>
      <c r="T3849" s="79" t="str">
        <f>IF(ISERROR(FIND('112'!$M$9,G3849,1)),"",IF((AND(FIND('112'!$M$9,G3849,1)&gt;=1,B3849='112'!$K$9,OR($N3849='112'!$I$6,$O3849='112'!$I$6))),"x",""))</f>
        <v/>
      </c>
      <c r="U3849" s="79" t="str">
        <f>IF(ISERROR(FIND('112'!$M$9,G3849,1)),"",IF((AND(LEFT(G3849,2)=LEFT('112'!$M$9,2),B3849&lt;'112'!$K$9,$N3849='112'!$I$6)),"x",""))</f>
        <v/>
      </c>
      <c r="V3849" s="79" t="str">
        <f>IF(ISERROR(FIND('112'!$M$9,G3849,1)),"",IF((AND(RIGHT(G3849,2)=RIGHT('112'!$M$9,2),B3849&lt;'112'!$K$9,$O3849='112'!$I$6)),"x",""))</f>
        <v/>
      </c>
      <c r="W3849" s="79" t="str">
        <f>IF(AND('341-CT'!$H$9=H3849,OR(LEFT(N3849,3)=$W$7,LEFT(O3849,3)=$W$7)),"x","")</f>
        <v/>
      </c>
      <c r="X3849" s="79" t="str">
        <f>IF(OR(TH!N3849=TH!$X$7,O3849=TH!$X$7),"x","")</f>
        <v/>
      </c>
      <c r="Y3849" s="79" t="str">
        <f>IF(AND(OR(N3849="131",O3849="131"),H3849='131-CT'!$H$9),"x","")</f>
        <v/>
      </c>
      <c r="Z3849" s="79"/>
      <c r="AA3849" s="79" t="str">
        <f>IF(AND(MONTH(E3849)='IN-NX'!$J$5,'IN-NX'!$D$7=D3849),"x","")</f>
        <v/>
      </c>
      <c r="AB3849" s="79" t="str">
        <f>IF(AND(OR(LEFT(TH!N3849,2)="15",LEFT(TH!O3849,2)="15"),LEFT(TH!O3849,3)&lt;&gt;"111",'152-CT'!$J$8=TH!F3849),"x","")</f>
        <v/>
      </c>
      <c r="AC3849" s="79" t="str">
        <f>IF(AND(OR(LEFT(TH!N3849,2)="15",LEFT(TH!O3849,2)="15"),TK!$E$7=TH!F3849),"x","")</f>
        <v/>
      </c>
      <c r="AD3849" s="79" t="str">
        <f>IF(AND(N3849="1521",MONTH(C3849)='BK-NL'!$M$11),"x","")</f>
        <v/>
      </c>
    </row>
    <row r="3850" spans="1:30" ht="16.5" customHeight="1">
      <c r="A3850" s="318" t="str">
        <f>IF(B3850&lt;&gt;"",IF(AND(B3850='IN-TC'!$S$4,OR(TH!N3850="1111",TH!O3850="1111")),TH!D3850,""),"")</f>
        <v/>
      </c>
      <c r="B3850" s="60" t="str">
        <f t="shared" si="413"/>
        <v/>
      </c>
      <c r="C3850" s="75"/>
      <c r="D3850" s="75"/>
      <c r="E3850" s="75"/>
      <c r="F3850" s="1131"/>
      <c r="G3850" s="76"/>
      <c r="H3850" s="305"/>
      <c r="I3850" s="77"/>
      <c r="J3850" s="390"/>
      <c r="K3850" s="383"/>
      <c r="L3850" s="390"/>
      <c r="M3850" s="978"/>
      <c r="N3850" s="79"/>
      <c r="O3850" s="79"/>
      <c r="P3850" s="79" t="str">
        <f>IF(AND('331-CT'!$E$7=TH!H3850,OR(N3850="331",O3850="331")),"x","")</f>
        <v/>
      </c>
      <c r="Q3850" s="79" t="str">
        <f>IF(AND(B3850='111'!$L$11,OR($N3850=$Q$7,$O3850=$Q$7)),"x","")</f>
        <v/>
      </c>
      <c r="R3850" s="79" t="str">
        <f>IF(AND($N3850=$Q$7,$B3850&lt;'111'!$L$11),"x","")</f>
        <v/>
      </c>
      <c r="S3850" s="79" t="str">
        <f>IF(AND($O3850=$Q$7,$B3850&lt;'111'!$L$11),"x","")</f>
        <v/>
      </c>
      <c r="T3850" s="79" t="str">
        <f>IF(ISERROR(FIND('112'!$M$9,G3850,1)),"",IF((AND(FIND('112'!$M$9,G3850,1)&gt;=1,B3850='112'!$K$9,OR($N3850='112'!$I$6,$O3850='112'!$I$6))),"x",""))</f>
        <v/>
      </c>
      <c r="U3850" s="79" t="str">
        <f>IF(ISERROR(FIND('112'!$M$9,G3850,1)),"",IF((AND(LEFT(G3850,2)=LEFT('112'!$M$9,2),B3850&lt;'112'!$K$9,$N3850='112'!$I$6)),"x",""))</f>
        <v/>
      </c>
      <c r="V3850" s="79" t="str">
        <f>IF(ISERROR(FIND('112'!$M$9,G3850,1)),"",IF((AND(RIGHT(G3850,2)=RIGHT('112'!$M$9,2),B3850&lt;'112'!$K$9,$O3850='112'!$I$6)),"x",""))</f>
        <v/>
      </c>
      <c r="W3850" s="79" t="str">
        <f>IF(AND('341-CT'!$H$9=H3850,OR(LEFT(N3850,3)=$W$7,LEFT(O3850,3)=$W$7)),"x","")</f>
        <v/>
      </c>
      <c r="X3850" s="79" t="str">
        <f>IF(OR(TH!N3850=TH!$X$7,O3850=TH!$X$7),"x","")</f>
        <v/>
      </c>
      <c r="Y3850" s="79" t="str">
        <f>IF(AND(OR(N3850="131",O3850="131"),H3850='131-CT'!$H$9),"x","")</f>
        <v/>
      </c>
      <c r="Z3850" s="79"/>
      <c r="AA3850" s="79" t="str">
        <f>IF(AND(MONTH(E3850)='IN-NX'!$J$5,'IN-NX'!$D$7=D3850),"x","")</f>
        <v/>
      </c>
      <c r="AB3850" s="79" t="str">
        <f>IF(AND(OR(LEFT(TH!N3850,2)="15",LEFT(TH!O3850,2)="15"),LEFT(TH!O3850,3)&lt;&gt;"111",'152-CT'!$J$8=TH!F3850),"x","")</f>
        <v/>
      </c>
      <c r="AC3850" s="79" t="str">
        <f>IF(AND(OR(LEFT(TH!N3850,2)="15",LEFT(TH!O3850,2)="15"),TK!$E$7=TH!F3850),"x","")</f>
        <v/>
      </c>
      <c r="AD3850" s="79" t="str">
        <f>IF(AND(N3850="1521",MONTH(C3850)='BK-NL'!$M$11),"x","")</f>
        <v/>
      </c>
    </row>
    <row r="3851" spans="1:30" ht="16.5" customHeight="1">
      <c r="A3851" s="318" t="str">
        <f>IF(B3851&lt;&gt;"",IF(AND(B3851='IN-TC'!$S$4,OR(TH!N3851="1111",TH!O3851="1111")),TH!D3851,""),"")</f>
        <v/>
      </c>
      <c r="B3851" s="60" t="str">
        <f t="shared" si="413"/>
        <v/>
      </c>
      <c r="C3851" s="75"/>
      <c r="D3851" s="75"/>
      <c r="E3851" s="75"/>
      <c r="F3851" s="1131"/>
      <c r="G3851" s="76"/>
      <c r="H3851" s="305"/>
      <c r="I3851" s="77"/>
      <c r="J3851" s="390"/>
      <c r="K3851" s="383"/>
      <c r="L3851" s="390"/>
      <c r="M3851" s="978"/>
      <c r="N3851" s="79"/>
      <c r="O3851" s="79"/>
      <c r="P3851" s="79" t="str">
        <f>IF(AND('331-CT'!$E$7=TH!H3851,OR(N3851="331",O3851="331")),"x","")</f>
        <v/>
      </c>
      <c r="Q3851" s="79" t="str">
        <f>IF(AND(B3851='111'!$L$11,OR($N3851=$Q$7,$O3851=$Q$7)),"x","")</f>
        <v/>
      </c>
      <c r="R3851" s="79" t="str">
        <f>IF(AND($N3851=$Q$7,$B3851&lt;'111'!$L$11),"x","")</f>
        <v/>
      </c>
      <c r="S3851" s="79" t="str">
        <f>IF(AND($O3851=$Q$7,$B3851&lt;'111'!$L$11),"x","")</f>
        <v/>
      </c>
      <c r="T3851" s="79" t="str">
        <f>IF(ISERROR(FIND('112'!$M$9,G3851,1)),"",IF((AND(FIND('112'!$M$9,G3851,1)&gt;=1,B3851='112'!$K$9,OR($N3851='112'!$I$6,$O3851='112'!$I$6))),"x",""))</f>
        <v/>
      </c>
      <c r="U3851" s="79" t="str">
        <f>IF(ISERROR(FIND('112'!$M$9,G3851,1)),"",IF((AND(LEFT(G3851,2)=LEFT('112'!$M$9,2),B3851&lt;'112'!$K$9,$N3851='112'!$I$6)),"x",""))</f>
        <v/>
      </c>
      <c r="V3851" s="79" t="str">
        <f>IF(ISERROR(FIND('112'!$M$9,G3851,1)),"",IF((AND(RIGHT(G3851,2)=RIGHT('112'!$M$9,2),B3851&lt;'112'!$K$9,$O3851='112'!$I$6)),"x",""))</f>
        <v/>
      </c>
      <c r="W3851" s="79" t="str">
        <f>IF(AND('341-CT'!$H$9=H3851,OR(LEFT(N3851,3)=$W$7,LEFT(O3851,3)=$W$7)),"x","")</f>
        <v/>
      </c>
      <c r="X3851" s="79" t="str">
        <f>IF(OR(TH!N3851=TH!$X$7,O3851=TH!$X$7),"x","")</f>
        <v/>
      </c>
      <c r="Y3851" s="79" t="str">
        <f>IF(AND(OR(N3851="131",O3851="131"),H3851='131-CT'!$H$9),"x","")</f>
        <v/>
      </c>
      <c r="Z3851" s="79"/>
      <c r="AA3851" s="79" t="str">
        <f>IF(AND(MONTH(E3851)='IN-NX'!$J$5,'IN-NX'!$D$7=D3851),"x","")</f>
        <v/>
      </c>
      <c r="AB3851" s="79" t="str">
        <f>IF(AND(OR(LEFT(TH!N3851,2)="15",LEFT(TH!O3851,2)="15"),LEFT(TH!O3851,3)&lt;&gt;"111",'152-CT'!$J$8=TH!F3851),"x","")</f>
        <v/>
      </c>
      <c r="AC3851" s="79" t="str">
        <f>IF(AND(OR(LEFT(TH!N3851,2)="15",LEFT(TH!O3851,2)="15"),TK!$E$7=TH!F3851),"x","")</f>
        <v/>
      </c>
      <c r="AD3851" s="79" t="str">
        <f>IF(AND(N3851="1521",MONTH(C3851)='BK-NL'!$M$11),"x","")</f>
        <v/>
      </c>
    </row>
    <row r="3852" spans="1:30" ht="16.5" customHeight="1">
      <c r="A3852" s="318" t="str">
        <f>IF(B3852&lt;&gt;"",IF(AND(B3852='IN-TC'!$S$4,OR(TH!N3852="1111",TH!O3852="1111")),TH!D3852,""),"")</f>
        <v/>
      </c>
      <c r="B3852" s="60" t="str">
        <f t="shared" ref="B3852" si="417">IF(C3852&lt;&gt;"",MONTH(C3852),"")</f>
        <v/>
      </c>
      <c r="C3852" s="75"/>
      <c r="D3852" s="75"/>
      <c r="E3852" s="75"/>
      <c r="F3852" s="1131"/>
      <c r="G3852" s="76"/>
      <c r="H3852" s="305"/>
      <c r="I3852" s="77"/>
      <c r="J3852" s="390"/>
      <c r="K3852" s="383"/>
      <c r="L3852" s="390"/>
      <c r="M3852" s="978"/>
      <c r="N3852" s="79"/>
      <c r="O3852" s="79"/>
      <c r="P3852" s="79" t="str">
        <f>IF(AND('331-CT'!$E$7=TH!H3852,OR(N3852="331",O3852="331")),"x","")</f>
        <v/>
      </c>
      <c r="Q3852" s="79" t="str">
        <f>IF(AND(B3852='111'!$L$11,OR($N3852=$Q$7,$O3852=$Q$7)),"x","")</f>
        <v/>
      </c>
      <c r="R3852" s="79" t="str">
        <f>IF(AND($N3852=$Q$7,$B3852&lt;'111'!$L$11),"x","")</f>
        <v/>
      </c>
      <c r="S3852" s="79" t="str">
        <f>IF(AND($O3852=$Q$7,$B3852&lt;'111'!$L$11),"x","")</f>
        <v/>
      </c>
      <c r="T3852" s="79" t="str">
        <f>IF(ISERROR(FIND('112'!$M$9,G3852,1)),"",IF((AND(FIND('112'!$M$9,G3852,1)&gt;=1,B3852='112'!$K$9,OR($N3852='112'!$I$6,$O3852='112'!$I$6))),"x",""))</f>
        <v/>
      </c>
      <c r="U3852" s="79" t="str">
        <f>IF(ISERROR(FIND('112'!$M$9,G3852,1)),"",IF((AND(LEFT(G3852,2)=LEFT('112'!$M$9,2),B3852&lt;'112'!$K$9,$N3852='112'!$I$6)),"x",""))</f>
        <v/>
      </c>
      <c r="V3852" s="79" t="str">
        <f>IF(ISERROR(FIND('112'!$M$9,G3852,1)),"",IF((AND(RIGHT(G3852,2)=RIGHT('112'!$M$9,2),B3852&lt;'112'!$K$9,$O3852='112'!$I$6)),"x",""))</f>
        <v/>
      </c>
      <c r="W3852" s="79" t="str">
        <f>IF(AND('341-CT'!$H$9=H3852,OR(LEFT(N3852,3)=$W$7,LEFT(O3852,3)=$W$7)),"x","")</f>
        <v/>
      </c>
      <c r="X3852" s="79" t="str">
        <f>IF(OR(TH!N3852=TH!$X$7,O3852=TH!$X$7),"x","")</f>
        <v/>
      </c>
      <c r="Y3852" s="79" t="str">
        <f>IF(AND(OR(N3852="131",O3852="131"),H3852='131-CT'!$H$9),"x","")</f>
        <v/>
      </c>
      <c r="Z3852" s="79"/>
      <c r="AA3852" s="79" t="str">
        <f>IF(AND(MONTH(E3852)='IN-NX'!$J$5,'IN-NX'!$D$7=D3852),"x","")</f>
        <v/>
      </c>
      <c r="AB3852" s="79" t="str">
        <f>IF(AND(OR(LEFT(TH!N3852,2)="15",LEFT(TH!O3852,2)="15"),LEFT(TH!O3852,3)&lt;&gt;"111",'152-CT'!$J$8=TH!F3852),"x","")</f>
        <v/>
      </c>
      <c r="AC3852" s="79" t="str">
        <f>IF(AND(OR(LEFT(TH!N3852,2)="15",LEFT(TH!O3852,2)="15"),TK!$E$7=TH!F3852),"x","")</f>
        <v/>
      </c>
      <c r="AD3852" s="79" t="str">
        <f>IF(AND(N3852="1521",MONTH(C3852)='BK-NL'!$M$11),"x","")</f>
        <v/>
      </c>
    </row>
    <row r="3853" spans="1:30" ht="16.5" customHeight="1">
      <c r="A3853" s="318" t="str">
        <f>IF(B3853&lt;&gt;"",IF(AND(B3853='IN-TC'!$S$4,OR(TH!N3853="1111",TH!O3853="1111")),TH!D3853,""),"")</f>
        <v/>
      </c>
      <c r="B3853" s="60" t="str">
        <f t="shared" si="413"/>
        <v/>
      </c>
      <c r="C3853" s="75"/>
      <c r="D3853" s="75"/>
      <c r="E3853" s="75"/>
      <c r="F3853" s="76"/>
      <c r="G3853" s="76"/>
      <c r="H3853" s="759"/>
      <c r="I3853" s="77"/>
      <c r="J3853" s="390"/>
      <c r="K3853" s="383"/>
      <c r="L3853" s="390"/>
      <c r="M3853" s="978"/>
      <c r="N3853" s="79"/>
      <c r="O3853" s="979"/>
      <c r="P3853" s="79" t="str">
        <f>IF(AND('331-CT'!$E$7=TH!H3853,OR(N3853="331",O3853="331")),"x","")</f>
        <v/>
      </c>
      <c r="Q3853" s="79" t="str">
        <f>IF(AND(B3853='111'!$L$11,OR($N3853=$Q$7,$O3853=$Q$7)),"x","")</f>
        <v/>
      </c>
      <c r="R3853" s="79" t="str">
        <f>IF(AND($N3853=$Q$7,$B3853&lt;'111'!$L$11),"x","")</f>
        <v/>
      </c>
      <c r="S3853" s="79" t="str">
        <f>IF(AND($O3853=$Q$7,$B3853&lt;'111'!$L$11),"x","")</f>
        <v/>
      </c>
      <c r="T3853" s="79" t="str">
        <f>IF(ISERROR(FIND('112'!$M$9,G3853,1)),"",IF((AND(FIND('112'!$M$9,G3853,1)&gt;=1,B3853='112'!$K$9,OR($N3853='112'!$I$6,$O3853='112'!$I$6))),"x",""))</f>
        <v/>
      </c>
      <c r="U3853" s="79" t="str">
        <f>IF(ISERROR(FIND('112'!$M$9,G3853,1)),"",IF((AND(LEFT(G3853,2)=LEFT('112'!$M$9,2),B3853&lt;'112'!$K$9,$N3853='112'!$I$6)),"x",""))</f>
        <v/>
      </c>
      <c r="V3853" s="79" t="str">
        <f>IF(ISERROR(FIND('112'!$M$9,G3853,1)),"",IF((AND(RIGHT(G3853,2)=RIGHT('112'!$M$9,2),B3853&lt;'112'!$K$9,$O3853='112'!$I$6)),"x",""))</f>
        <v/>
      </c>
      <c r="W3853" s="79" t="str">
        <f>IF(AND('341-CT'!$H$9=H3853,OR(LEFT(N3853,3)=$W$7,LEFT(O3853,3)=$W$7)),"x","")</f>
        <v/>
      </c>
      <c r="X3853" s="79" t="str">
        <f>IF(OR(TH!N3853=TH!$X$7,O3853=TH!$X$7),"x","")</f>
        <v/>
      </c>
      <c r="Y3853" s="79" t="str">
        <f>IF(AND(OR(N3853="131",O3853="131"),H3853='131-CT'!$H$9),"x","")</f>
        <v/>
      </c>
      <c r="Z3853" s="79"/>
      <c r="AA3853" s="79" t="str">
        <f>IF(AND(MONTH(E3853)='IN-NX'!$J$5,'IN-NX'!$D$7=D3853),"x","")</f>
        <v/>
      </c>
      <c r="AB3853" s="79" t="str">
        <f>IF(AND(OR(LEFT(TH!N3853,2)="15",LEFT(TH!O3853,2)="15"),LEFT(TH!O3853,3)&lt;&gt;"111",'152-CT'!$J$8=TH!F3853),"x","")</f>
        <v/>
      </c>
      <c r="AC3853" s="79" t="str">
        <f>IF(AND(OR(LEFT(TH!N3853,2)="15",LEFT(TH!O3853,2)="15"),TK!$E$7=TH!F3853),"x","")</f>
        <v/>
      </c>
      <c r="AD3853" s="79" t="str">
        <f>IF(AND(N3853="1521",MONTH(C3853)='BK-NL'!$M$11),"x","")</f>
        <v/>
      </c>
    </row>
    <row r="3854" spans="1:30" ht="16.5" customHeight="1">
      <c r="A3854" s="318" t="str">
        <f>IF(B3854&lt;&gt;"",IF(AND(B3854='IN-TC'!$S$4,OR(TH!N3854="1111",TH!O3854="1111")),TH!D3854,""),"")</f>
        <v/>
      </c>
      <c r="B3854" s="60" t="str">
        <f t="shared" ref="B3854:B3919" si="418">IF(C3854&lt;&gt;"",MONTH(C3854),"")</f>
        <v/>
      </c>
      <c r="C3854" s="75"/>
      <c r="D3854" s="75"/>
      <c r="E3854" s="75"/>
      <c r="F3854" s="77"/>
      <c r="G3854" s="76"/>
      <c r="H3854" s="77"/>
      <c r="I3854" s="77"/>
      <c r="J3854" s="390"/>
      <c r="K3854" s="383"/>
      <c r="L3854" s="390"/>
      <c r="M3854" s="978"/>
      <c r="N3854" s="79"/>
      <c r="O3854" s="979"/>
      <c r="P3854" s="79" t="str">
        <f>IF(AND('331-CT'!$E$7=TH!H3854,OR(N3854="331",O3854="331")),"x","")</f>
        <v/>
      </c>
      <c r="Q3854" s="79" t="str">
        <f>IF(AND(B3854='111'!$L$11,OR($N3854=$Q$7,$O3854=$Q$7)),"x","")</f>
        <v/>
      </c>
      <c r="R3854" s="79" t="str">
        <f>IF(AND($N3854=$Q$7,$B3854&lt;'111'!$L$11),"x","")</f>
        <v/>
      </c>
      <c r="S3854" s="79" t="str">
        <f>IF(AND($O3854=$Q$7,$B3854&lt;'111'!$L$11),"x","")</f>
        <v/>
      </c>
      <c r="T3854" s="79" t="str">
        <f>IF(ISERROR(FIND('112'!$M$9,G3854,1)),"",IF((AND(FIND('112'!$M$9,G3854,1)&gt;=1,B3854='112'!$K$9,OR($N3854='112'!$I$6,$O3854='112'!$I$6))),"x",""))</f>
        <v/>
      </c>
      <c r="U3854" s="79" t="str">
        <f>IF(ISERROR(FIND('112'!$M$9,G3854,1)),"",IF((AND(LEFT(G3854,2)=LEFT('112'!$M$9,2),B3854&lt;'112'!$K$9,$N3854='112'!$I$6)),"x",""))</f>
        <v/>
      </c>
      <c r="V3854" s="79" t="str">
        <f>IF(ISERROR(FIND('112'!$M$9,G3854,1)),"",IF((AND(RIGHT(G3854,2)=RIGHT('112'!$M$9,2),B3854&lt;'112'!$K$9,$O3854='112'!$I$6)),"x",""))</f>
        <v/>
      </c>
      <c r="W3854" s="79" t="str">
        <f>IF(AND('341-CT'!$H$9=H3854,OR(LEFT(N3854,3)=$W$7,LEFT(O3854,3)=$W$7)),"x","")</f>
        <v/>
      </c>
      <c r="X3854" s="79" t="str">
        <f>IF(OR(TH!N3854=TH!$X$7,O3854=TH!$X$7),"x","")</f>
        <v/>
      </c>
      <c r="Y3854" s="79" t="str">
        <f>IF(AND(OR(N3854="131",O3854="131"),H3854='131-CT'!$H$9),"x","")</f>
        <v/>
      </c>
      <c r="Z3854" s="79"/>
      <c r="AA3854" s="79" t="str">
        <f>IF(AND(MONTH(E3854)='IN-NX'!$J$5,'IN-NX'!$D$7=D3854),"x","")</f>
        <v/>
      </c>
      <c r="AB3854" s="79" t="str">
        <f>IF(AND(OR(LEFT(TH!N3854,2)="15",LEFT(TH!O3854,2)="15"),LEFT(TH!O3854,3)&lt;&gt;"111",'152-CT'!$J$8=TH!F3854),"x","")</f>
        <v/>
      </c>
      <c r="AC3854" s="79" t="str">
        <f>IF(AND(OR(LEFT(TH!N3854,2)="15",LEFT(TH!O3854,2)="15"),TK!$E$7=TH!F3854),"x","")</f>
        <v/>
      </c>
      <c r="AD3854" s="79" t="str">
        <f>IF(AND(N3854="1521",MONTH(C3854)='BK-NL'!$M$11),"x","")</f>
        <v/>
      </c>
    </row>
    <row r="3855" spans="1:30" ht="16.5" customHeight="1">
      <c r="A3855" s="318" t="str">
        <f>IF(B3855&lt;&gt;"",IF(AND(B3855='IN-TC'!$S$4,OR(TH!N3855="1111",TH!O3855="1111")),TH!D3855,""),"")</f>
        <v/>
      </c>
      <c r="B3855" s="60" t="str">
        <f t="shared" si="418"/>
        <v/>
      </c>
      <c r="C3855" s="75"/>
      <c r="D3855" s="75"/>
      <c r="E3855" s="75"/>
      <c r="F3855" s="77"/>
      <c r="G3855" s="76"/>
      <c r="H3855" s="77"/>
      <c r="I3855" s="77"/>
      <c r="J3855" s="390"/>
      <c r="K3855" s="383"/>
      <c r="L3855" s="390"/>
      <c r="M3855" s="978"/>
      <c r="N3855" s="79"/>
      <c r="O3855" s="79"/>
      <c r="P3855" s="79" t="str">
        <f>IF(AND('331-CT'!$E$7=TH!H3855,OR(N3855="331",O3855="331")),"x","")</f>
        <v/>
      </c>
      <c r="Q3855" s="79" t="str">
        <f>IF(AND(B3855='111'!$L$11,OR($N3855=$Q$7,$O3855=$Q$7)),"x","")</f>
        <v/>
      </c>
      <c r="R3855" s="79" t="str">
        <f>IF(AND($N3855=$Q$7,$B3855&lt;'111'!$L$11),"x","")</f>
        <v/>
      </c>
      <c r="S3855" s="79" t="str">
        <f>IF(AND($O3855=$Q$7,$B3855&lt;'111'!$L$11),"x","")</f>
        <v/>
      </c>
      <c r="T3855" s="79" t="str">
        <f>IF(ISERROR(FIND('112'!$M$9,G3855,1)),"",IF((AND(FIND('112'!$M$9,G3855,1)&gt;=1,B3855='112'!$K$9,OR($N3855='112'!$I$6,$O3855='112'!$I$6))),"x",""))</f>
        <v/>
      </c>
      <c r="U3855" s="79" t="str">
        <f>IF(ISERROR(FIND('112'!$M$9,G3855,1)),"",IF((AND(LEFT(G3855,2)=LEFT('112'!$M$9,2),B3855&lt;'112'!$K$9,$N3855='112'!$I$6)),"x",""))</f>
        <v/>
      </c>
      <c r="V3855" s="79" t="str">
        <f>IF(ISERROR(FIND('112'!$M$9,G3855,1)),"",IF((AND(RIGHT(G3855,2)=RIGHT('112'!$M$9,2),B3855&lt;'112'!$K$9,$O3855='112'!$I$6)),"x",""))</f>
        <v/>
      </c>
      <c r="W3855" s="79" t="str">
        <f>IF(AND('341-CT'!$H$9=H3855,OR(LEFT(N3855,3)=$W$7,LEFT(O3855,3)=$W$7)),"x","")</f>
        <v/>
      </c>
      <c r="X3855" s="79" t="str">
        <f>IF(OR(TH!N3855=TH!$X$7,O3855=TH!$X$7),"x","")</f>
        <v/>
      </c>
      <c r="Y3855" s="79" t="str">
        <f>IF(AND(OR(N3855="131",O3855="131"),H3855='131-CT'!$H$9),"x","")</f>
        <v/>
      </c>
      <c r="Z3855" s="79"/>
      <c r="AA3855" s="79" t="str">
        <f>IF(AND(MONTH(E3855)='IN-NX'!$J$5,'IN-NX'!$D$7=D3855),"x","")</f>
        <v/>
      </c>
      <c r="AB3855" s="79" t="str">
        <f>IF(AND(OR(LEFT(TH!N3855,2)="15",LEFT(TH!O3855,2)="15"),LEFT(TH!O3855,3)&lt;&gt;"111",'152-CT'!$J$8=TH!F3855),"x","")</f>
        <v/>
      </c>
      <c r="AC3855" s="79" t="str">
        <f>IF(AND(OR(LEFT(TH!N3855,2)="15",LEFT(TH!O3855,2)="15"),TK!$E$7=TH!F3855),"x","")</f>
        <v/>
      </c>
      <c r="AD3855" s="79" t="str">
        <f>IF(AND(N3855="1521",MONTH(C3855)='BK-NL'!$M$11),"x","")</f>
        <v/>
      </c>
    </row>
    <row r="3856" spans="1:30" ht="16.5" customHeight="1">
      <c r="A3856" s="318" t="str">
        <f>IF(B3856&lt;&gt;"",IF(AND(B3856='IN-TC'!$S$4,OR(TH!N3856="1111",TH!O3856="1111")),TH!D3856,""),"")</f>
        <v/>
      </c>
      <c r="B3856" s="60" t="str">
        <f t="shared" si="418"/>
        <v/>
      </c>
      <c r="C3856" s="75"/>
      <c r="D3856" s="75"/>
      <c r="E3856" s="75"/>
      <c r="F3856" s="76"/>
      <c r="G3856" s="76"/>
      <c r="H3856" s="77"/>
      <c r="I3856" s="77"/>
      <c r="J3856" s="390"/>
      <c r="K3856" s="383"/>
      <c r="L3856" s="390"/>
      <c r="M3856" s="978"/>
      <c r="N3856" s="79"/>
      <c r="O3856" s="979"/>
      <c r="P3856" s="79" t="str">
        <f>IF(AND('331-CT'!$E$7=TH!H3856,OR(N3856="331",O3856="331")),"x","")</f>
        <v/>
      </c>
      <c r="Q3856" s="79" t="str">
        <f>IF(AND(B3856='111'!$L$11,OR($N3856=$Q$7,$O3856=$Q$7)),"x","")</f>
        <v/>
      </c>
      <c r="R3856" s="79" t="str">
        <f>IF(AND($N3856=$Q$7,$B3856&lt;'111'!$L$11),"x","")</f>
        <v/>
      </c>
      <c r="S3856" s="79" t="str">
        <f>IF(AND($O3856=$Q$7,$B3856&lt;'111'!$L$11),"x","")</f>
        <v/>
      </c>
      <c r="T3856" s="79" t="str">
        <f>IF(ISERROR(FIND('112'!$M$9,G3856,1)),"",IF((AND(FIND('112'!$M$9,G3856,1)&gt;=1,B3856='112'!$K$9,OR($N3856='112'!$I$6,$O3856='112'!$I$6))),"x",""))</f>
        <v/>
      </c>
      <c r="U3856" s="79" t="str">
        <f>IF(ISERROR(FIND('112'!$M$9,G3856,1)),"",IF((AND(LEFT(G3856,2)=LEFT('112'!$M$9,2),B3856&lt;'112'!$K$9,$N3856='112'!$I$6)),"x",""))</f>
        <v/>
      </c>
      <c r="V3856" s="79" t="str">
        <f>IF(ISERROR(FIND('112'!$M$9,G3856,1)),"",IF((AND(RIGHT(G3856,2)=RIGHT('112'!$M$9,2),B3856&lt;'112'!$K$9,$O3856='112'!$I$6)),"x",""))</f>
        <v/>
      </c>
      <c r="W3856" s="79" t="str">
        <f>IF(AND('341-CT'!$H$9=H3856,OR(LEFT(N3856,3)=$W$7,LEFT(O3856,3)=$W$7)),"x","")</f>
        <v/>
      </c>
      <c r="X3856" s="79" t="str">
        <f>IF(OR(TH!N3856=TH!$X$7,O3856=TH!$X$7),"x","")</f>
        <v/>
      </c>
      <c r="Y3856" s="79" t="str">
        <f>IF(AND(OR(N3856="131",O3856="131"),H3856='131-CT'!$H$9),"x","")</f>
        <v/>
      </c>
      <c r="Z3856" s="79"/>
      <c r="AA3856" s="79" t="str">
        <f>IF(AND(MONTH(E3856)='IN-NX'!$J$5,'IN-NX'!$D$7=D3856),"x","")</f>
        <v/>
      </c>
      <c r="AB3856" s="79" t="str">
        <f>IF(AND(OR(LEFT(TH!N3856,2)="15",LEFT(TH!O3856,2)="15"),LEFT(TH!O3856,3)&lt;&gt;"111",'152-CT'!$J$8=TH!F3856),"x","")</f>
        <v/>
      </c>
      <c r="AC3856" s="79" t="str">
        <f>IF(AND(OR(LEFT(TH!N3856,2)="15",LEFT(TH!O3856,2)="15"),TK!$E$7=TH!F3856),"x","")</f>
        <v/>
      </c>
      <c r="AD3856" s="79" t="str">
        <f>IF(AND(N3856="1521",MONTH(C3856)='BK-NL'!$M$11),"x","")</f>
        <v/>
      </c>
    </row>
    <row r="3857" spans="1:30" ht="16.5" customHeight="1">
      <c r="A3857" s="318" t="str">
        <f>IF(B3857&lt;&gt;"",IF(AND(B3857='IN-TC'!$S$4,OR(TH!N3857="1111",TH!O3857="1111")),TH!D3857,""),"")</f>
        <v/>
      </c>
      <c r="B3857" s="60" t="str">
        <f t="shared" si="418"/>
        <v/>
      </c>
      <c r="C3857" s="1273"/>
      <c r="D3857" s="75"/>
      <c r="E3857" s="75"/>
      <c r="F3857" s="76"/>
      <c r="G3857" s="76"/>
      <c r="H3857" s="759"/>
      <c r="I3857" s="77"/>
      <c r="J3857" s="1277"/>
      <c r="K3857" s="383"/>
      <c r="L3857" s="390"/>
      <c r="M3857" s="978"/>
      <c r="N3857" s="79"/>
      <c r="O3857" s="979"/>
      <c r="P3857" s="79" t="str">
        <f>IF(AND('331-CT'!$E$7=TH!H3857,OR(N3857="331",O3857="331")),"x","")</f>
        <v/>
      </c>
      <c r="Q3857" s="79" t="str">
        <f>IF(AND(B3857='111'!$L$11,OR($N3857=$Q$7,$O3857=$Q$7)),"x","")</f>
        <v/>
      </c>
      <c r="R3857" s="79" t="str">
        <f>IF(AND($N3857=$Q$7,$B3857&lt;'111'!$L$11),"x","")</f>
        <v/>
      </c>
      <c r="S3857" s="79" t="str">
        <f>IF(AND($O3857=$Q$7,$B3857&lt;'111'!$L$11),"x","")</f>
        <v/>
      </c>
      <c r="T3857" s="79" t="str">
        <f>IF(ISERROR(FIND('112'!$M$9,G3857,1)),"",IF((AND(FIND('112'!$M$9,G3857,1)&gt;=1,B3857='112'!$K$9,OR($N3857='112'!$I$6,$O3857='112'!$I$6))),"x",""))</f>
        <v/>
      </c>
      <c r="U3857" s="79" t="str">
        <f>IF(ISERROR(FIND('112'!$M$9,G3857,1)),"",IF((AND(LEFT(G3857,2)=LEFT('112'!$M$9,2),B3857&lt;'112'!$K$9,$N3857='112'!$I$6)),"x",""))</f>
        <v/>
      </c>
      <c r="V3857" s="79" t="str">
        <f>IF(ISERROR(FIND('112'!$M$9,G3857,1)),"",IF((AND(RIGHT(G3857,2)=RIGHT('112'!$M$9,2),B3857&lt;'112'!$K$9,$O3857='112'!$I$6)),"x",""))</f>
        <v/>
      </c>
      <c r="W3857" s="79" t="str">
        <f>IF(AND('341-CT'!$H$9=H3857,OR(LEFT(N3857,3)=$W$7,LEFT(O3857,3)=$W$7)),"x","")</f>
        <v/>
      </c>
      <c r="X3857" s="79" t="str">
        <f>IF(OR(TH!N3857=TH!$X$7,O3857=TH!$X$7),"x","")</f>
        <v/>
      </c>
      <c r="Y3857" s="79" t="str">
        <f>IF(AND(OR(N3857="131",O3857="131"),H3857='131-CT'!$H$9),"x","")</f>
        <v/>
      </c>
      <c r="Z3857" s="79"/>
      <c r="AA3857" s="79" t="str">
        <f>IF(AND(MONTH(E3857)='IN-NX'!$J$5,'IN-NX'!$D$7=D3857),"x","")</f>
        <v/>
      </c>
      <c r="AB3857" s="79" t="str">
        <f>IF(AND(OR(LEFT(TH!N3857,2)="15",LEFT(TH!O3857,2)="15"),LEFT(TH!O3857,3)&lt;&gt;"111",'152-CT'!$J$8=TH!F3857),"x","")</f>
        <v/>
      </c>
      <c r="AC3857" s="79" t="str">
        <f>IF(AND(OR(LEFT(TH!N3857,2)="15",LEFT(TH!O3857,2)="15"),TK!$E$7=TH!F3857),"x","")</f>
        <v/>
      </c>
      <c r="AD3857" s="79" t="str">
        <f>IF(AND(N3857="1521",MONTH(C3857)='BK-NL'!$M$11),"x","")</f>
        <v/>
      </c>
    </row>
    <row r="3858" spans="1:30" ht="16.5" customHeight="1">
      <c r="A3858" s="318" t="str">
        <f>IF(B3858&lt;&gt;"",IF(AND(B3858='IN-TC'!$S$4,OR(TH!N3858="1111",TH!O3858="1111")),TH!D3858,""),"")</f>
        <v/>
      </c>
      <c r="B3858" s="60" t="str">
        <f t="shared" si="418"/>
        <v/>
      </c>
      <c r="C3858" s="75"/>
      <c r="D3858" s="75"/>
      <c r="E3858" s="75"/>
      <c r="F3858" s="77"/>
      <c r="G3858" s="76"/>
      <c r="H3858" s="759"/>
      <c r="I3858" s="77"/>
      <c r="J3858" s="390"/>
      <c r="K3858" s="383"/>
      <c r="L3858" s="390"/>
      <c r="M3858" s="78"/>
      <c r="N3858" s="79"/>
      <c r="O3858" s="979"/>
      <c r="P3858" s="79" t="str">
        <f>IF(AND('331-CT'!$E$7=TH!H3858,OR(N3858="331",O3858="331")),"x","")</f>
        <v/>
      </c>
      <c r="Q3858" s="79" t="str">
        <f>IF(AND(B3858='111'!$L$11,OR($N3858=$Q$7,$O3858=$Q$7)),"x","")</f>
        <v/>
      </c>
      <c r="R3858" s="79" t="str">
        <f>IF(AND($N3858=$Q$7,$B3858&lt;'111'!$L$11),"x","")</f>
        <v/>
      </c>
      <c r="S3858" s="79" t="str">
        <f>IF(AND($O3858=$Q$7,$B3858&lt;'111'!$L$11),"x","")</f>
        <v/>
      </c>
      <c r="T3858" s="79" t="str">
        <f>IF(ISERROR(FIND('112'!$M$9,G3858,1)),"",IF((AND(FIND('112'!$M$9,G3858,1)&gt;=1,B3858='112'!$K$9,OR($N3858='112'!$I$6,$O3858='112'!$I$6))),"x",""))</f>
        <v/>
      </c>
      <c r="U3858" s="79" t="str">
        <f>IF(ISERROR(FIND('112'!$M$9,G3858,1)),"",IF((AND(LEFT(G3858,2)=LEFT('112'!$M$9,2),B3858&lt;'112'!$K$9,$N3858='112'!$I$6)),"x",""))</f>
        <v/>
      </c>
      <c r="V3858" s="79" t="str">
        <f>IF(ISERROR(FIND('112'!$M$9,G3858,1)),"",IF((AND(RIGHT(G3858,2)=RIGHT('112'!$M$9,2),B3858&lt;'112'!$K$9,$O3858='112'!$I$6)),"x",""))</f>
        <v/>
      </c>
      <c r="W3858" s="79" t="str">
        <f>IF(AND('341-CT'!$H$9=H3858,OR(LEFT(N3858,3)=$W$7,LEFT(O3858,3)=$W$7)),"x","")</f>
        <v/>
      </c>
      <c r="X3858" s="79" t="str">
        <f>IF(OR(TH!N3858=TH!$X$7,O3858=TH!$X$7),"x","")</f>
        <v/>
      </c>
      <c r="Y3858" s="79" t="str">
        <f>IF(AND(OR(N3858="131",O3858="131"),H3858='131-CT'!$H$9),"x","")</f>
        <v/>
      </c>
      <c r="Z3858" s="79"/>
      <c r="AA3858" s="79" t="str">
        <f>IF(AND(MONTH(E3858)='IN-NX'!$J$5,'IN-NX'!$D$7=D3858),"x","")</f>
        <v/>
      </c>
      <c r="AB3858" s="79" t="str">
        <f>IF(AND(OR(LEFT(TH!N3858,2)="15",LEFT(TH!O3858,2)="15"),LEFT(TH!O3858,3)&lt;&gt;"111",'152-CT'!$J$8=TH!F3858),"x","")</f>
        <v/>
      </c>
      <c r="AC3858" s="79" t="str">
        <f>IF(AND(OR(LEFT(TH!N3858,2)="15",LEFT(TH!O3858,2)="15"),TK!$E$7=TH!F3858),"x","")</f>
        <v/>
      </c>
      <c r="AD3858" s="79" t="str">
        <f>IF(AND(N3858="1521",MONTH(C3858)='BK-NL'!$M$11),"x","")</f>
        <v/>
      </c>
    </row>
    <row r="3859" spans="1:30" ht="16.5" customHeight="1">
      <c r="A3859" s="318" t="str">
        <f>IF(B3859&lt;&gt;"",IF(AND(B3859='IN-TC'!$S$4,OR(TH!N3859="1111",TH!O3859="1111")),TH!D3859,""),"")</f>
        <v/>
      </c>
      <c r="B3859" s="60" t="str">
        <f t="shared" si="418"/>
        <v/>
      </c>
      <c r="C3859" s="1273"/>
      <c r="D3859" s="75"/>
      <c r="E3859" s="75"/>
      <c r="F3859" s="76"/>
      <c r="G3859" s="76"/>
      <c r="H3859" s="305"/>
      <c r="I3859" s="77"/>
      <c r="J3859" s="1277"/>
      <c r="K3859" s="383"/>
      <c r="L3859" s="390"/>
      <c r="M3859" s="978"/>
      <c r="N3859" s="79"/>
      <c r="O3859" s="979"/>
      <c r="P3859" s="79" t="str">
        <f>IF(AND('331-CT'!$E$7=TH!H3859,OR(N3859="331",O3859="331")),"x","")</f>
        <v/>
      </c>
      <c r="Q3859" s="79" t="str">
        <f>IF(AND(B3859='111'!$L$11,OR($N3859=$Q$7,$O3859=$Q$7)),"x","")</f>
        <v/>
      </c>
      <c r="R3859" s="79" t="str">
        <f>IF(AND($N3859=$Q$7,$B3859&lt;'111'!$L$11),"x","")</f>
        <v/>
      </c>
      <c r="S3859" s="79" t="str">
        <f>IF(AND($O3859=$Q$7,$B3859&lt;'111'!$L$11),"x","")</f>
        <v/>
      </c>
      <c r="T3859" s="79" t="str">
        <f>IF(ISERROR(FIND('112'!$M$9,G3859,1)),"",IF((AND(FIND('112'!$M$9,G3859,1)&gt;=1,B3859='112'!$K$9,OR($N3859='112'!$I$6,$O3859='112'!$I$6))),"x",""))</f>
        <v/>
      </c>
      <c r="U3859" s="79" t="str">
        <f>IF(ISERROR(FIND('112'!$M$9,G3859,1)),"",IF((AND(LEFT(G3859,2)=LEFT('112'!$M$9,2),B3859&lt;'112'!$K$9,$N3859='112'!$I$6)),"x",""))</f>
        <v/>
      </c>
      <c r="V3859" s="79" t="str">
        <f>IF(ISERROR(FIND('112'!$M$9,G3859,1)),"",IF((AND(RIGHT(G3859,2)=RIGHT('112'!$M$9,2),B3859&lt;'112'!$K$9,$O3859='112'!$I$6)),"x",""))</f>
        <v/>
      </c>
      <c r="W3859" s="79" t="str">
        <f>IF(AND('341-CT'!$H$9=H3859,OR(LEFT(N3859,3)=$W$7,LEFT(O3859,3)=$W$7)),"x","")</f>
        <v/>
      </c>
      <c r="X3859" s="79" t="str">
        <f>IF(OR(TH!N3859=TH!$X$7,O3859=TH!$X$7),"x","")</f>
        <v/>
      </c>
      <c r="Y3859" s="79" t="str">
        <f>IF(AND(OR(N3859="131",O3859="131"),H3859='131-CT'!$H$9),"x","")</f>
        <v/>
      </c>
      <c r="Z3859" s="79"/>
      <c r="AA3859" s="79" t="str">
        <f>IF(AND(MONTH(E3859)='IN-NX'!$J$5,'IN-NX'!$D$7=D3859),"x","")</f>
        <v/>
      </c>
      <c r="AB3859" s="79" t="str">
        <f>IF(AND(OR(LEFT(TH!N3859,2)="15",LEFT(TH!O3859,2)="15"),LEFT(TH!O3859,3)&lt;&gt;"111",'152-CT'!$J$8=TH!F3859),"x","")</f>
        <v/>
      </c>
      <c r="AC3859" s="79" t="str">
        <f>IF(AND(OR(LEFT(TH!N3859,2)="15",LEFT(TH!O3859,2)="15"),TK!$E$7=TH!F3859),"x","")</f>
        <v/>
      </c>
      <c r="AD3859" s="79" t="str">
        <f>IF(AND(N3859="1521",MONTH(C3859)='BK-NL'!$M$11),"x","")</f>
        <v/>
      </c>
    </row>
    <row r="3860" spans="1:30" ht="16.5" customHeight="1">
      <c r="A3860" s="318" t="str">
        <f>IF(B3860&lt;&gt;"",IF(AND(B3860='IN-TC'!$S$4,OR(TH!N3860="1111",TH!O3860="1111")),TH!D3860,""),"")</f>
        <v/>
      </c>
      <c r="B3860" s="60" t="str">
        <f t="shared" si="418"/>
        <v/>
      </c>
      <c r="C3860" s="1273"/>
      <c r="D3860" s="75"/>
      <c r="E3860" s="75"/>
      <c r="F3860" s="76"/>
      <c r="G3860" s="76"/>
      <c r="H3860" s="305"/>
      <c r="I3860" s="77"/>
      <c r="J3860" s="1277"/>
      <c r="K3860" s="383"/>
      <c r="L3860" s="390"/>
      <c r="M3860" s="978"/>
      <c r="N3860" s="79"/>
      <c r="O3860" s="979"/>
      <c r="P3860" s="79" t="str">
        <f>IF(AND('331-CT'!$E$7=TH!H3860,OR(N3860="331",O3860="331")),"x","")</f>
        <v/>
      </c>
      <c r="Q3860" s="79" t="str">
        <f>IF(AND(B3860='111'!$L$11,OR($N3860=$Q$7,$O3860=$Q$7)),"x","")</f>
        <v/>
      </c>
      <c r="R3860" s="79" t="str">
        <f>IF(AND($N3860=$Q$7,$B3860&lt;'111'!$L$11),"x","")</f>
        <v/>
      </c>
      <c r="S3860" s="79" t="str">
        <f>IF(AND($O3860=$Q$7,$B3860&lt;'111'!$L$11),"x","")</f>
        <v/>
      </c>
      <c r="T3860" s="79" t="str">
        <f>IF(ISERROR(FIND('112'!$M$9,G3860,1)),"",IF((AND(FIND('112'!$M$9,G3860,1)&gt;=1,B3860='112'!$K$9,OR($N3860='112'!$I$6,$O3860='112'!$I$6))),"x",""))</f>
        <v/>
      </c>
      <c r="U3860" s="79" t="str">
        <f>IF(ISERROR(FIND('112'!$M$9,G3860,1)),"",IF((AND(LEFT(G3860,2)=LEFT('112'!$M$9,2),B3860&lt;'112'!$K$9,$N3860='112'!$I$6)),"x",""))</f>
        <v/>
      </c>
      <c r="V3860" s="79" t="str">
        <f>IF(ISERROR(FIND('112'!$M$9,G3860,1)),"",IF((AND(RIGHT(G3860,2)=RIGHT('112'!$M$9,2),B3860&lt;'112'!$K$9,$O3860='112'!$I$6)),"x",""))</f>
        <v/>
      </c>
      <c r="W3860" s="79" t="str">
        <f>IF(AND('341-CT'!$H$9=H3860,OR(LEFT(N3860,3)=$W$7,LEFT(O3860,3)=$W$7)),"x","")</f>
        <v/>
      </c>
      <c r="X3860" s="79" t="str">
        <f>IF(OR(TH!N3860=TH!$X$7,O3860=TH!$X$7),"x","")</f>
        <v/>
      </c>
      <c r="Y3860" s="79" t="str">
        <f>IF(AND(OR(N3860="131",O3860="131"),H3860='131-CT'!$H$9),"x","")</f>
        <v/>
      </c>
      <c r="Z3860" s="79"/>
      <c r="AA3860" s="79" t="str">
        <f>IF(AND(MONTH(E3860)='IN-NX'!$J$5,'IN-NX'!$D$7=D3860),"x","")</f>
        <v/>
      </c>
      <c r="AB3860" s="79" t="str">
        <f>IF(AND(OR(LEFT(TH!N3860,2)="15",LEFT(TH!O3860,2)="15"),LEFT(TH!O3860,3)&lt;&gt;"111",'152-CT'!$J$8=TH!F3860),"x","")</f>
        <v/>
      </c>
      <c r="AC3860" s="79" t="str">
        <f>IF(AND(OR(LEFT(TH!N3860,2)="15",LEFT(TH!O3860,2)="15"),TK!$E$7=TH!F3860),"x","")</f>
        <v/>
      </c>
      <c r="AD3860" s="79" t="str">
        <f>IF(AND(N3860="1521",MONTH(C3860)='BK-NL'!$M$11),"x","")</f>
        <v/>
      </c>
    </row>
    <row r="3861" spans="1:30" ht="16.5" customHeight="1">
      <c r="A3861" s="318" t="str">
        <f>IF(B3861&lt;&gt;"",IF(AND(B3861='IN-TC'!$S$4,OR(TH!N3861="1111",TH!O3861="1111")),TH!D3861,""),"")</f>
        <v/>
      </c>
      <c r="B3861" s="60" t="str">
        <f t="shared" si="418"/>
        <v/>
      </c>
      <c r="C3861" s="1273"/>
      <c r="D3861" s="75"/>
      <c r="E3861" s="75"/>
      <c r="F3861" s="77"/>
      <c r="G3861" s="76"/>
      <c r="H3861" s="759"/>
      <c r="I3861" s="77"/>
      <c r="J3861" s="390"/>
      <c r="K3861" s="383"/>
      <c r="L3861" s="390"/>
      <c r="M3861" s="978"/>
      <c r="N3861" s="79"/>
      <c r="O3861" s="79"/>
      <c r="P3861" s="79" t="str">
        <f>IF(AND('331-CT'!$E$7=TH!H3861,OR(N3861="331",O3861="331")),"x","")</f>
        <v/>
      </c>
      <c r="Q3861" s="79" t="str">
        <f>IF(AND(B3861='111'!$L$11,OR($N3861=$Q$7,$O3861=$Q$7)),"x","")</f>
        <v/>
      </c>
      <c r="R3861" s="79" t="str">
        <f>IF(AND($N3861=$Q$7,$B3861&lt;'111'!$L$11),"x","")</f>
        <v/>
      </c>
      <c r="S3861" s="79" t="str">
        <f>IF(AND($O3861=$Q$7,$B3861&lt;'111'!$L$11),"x","")</f>
        <v/>
      </c>
      <c r="T3861" s="79" t="str">
        <f>IF(ISERROR(FIND('112'!$M$9,G3861,1)),"",IF((AND(FIND('112'!$M$9,G3861,1)&gt;=1,B3861='112'!$K$9,OR($N3861='112'!$I$6,$O3861='112'!$I$6))),"x",""))</f>
        <v/>
      </c>
      <c r="U3861" s="79" t="str">
        <f>IF(ISERROR(FIND('112'!$M$9,G3861,1)),"",IF((AND(LEFT(G3861,2)=LEFT('112'!$M$9,2),B3861&lt;'112'!$K$9,$N3861='112'!$I$6)),"x",""))</f>
        <v/>
      </c>
      <c r="V3861" s="79" t="str">
        <f>IF(ISERROR(FIND('112'!$M$9,G3861,1)),"",IF((AND(RIGHT(G3861,2)=RIGHT('112'!$M$9,2),B3861&lt;'112'!$K$9,$O3861='112'!$I$6)),"x",""))</f>
        <v/>
      </c>
      <c r="W3861" s="79" t="str">
        <f>IF(AND('341-CT'!$H$9=H3861,OR(LEFT(N3861,3)=$W$7,LEFT(O3861,3)=$W$7)),"x","")</f>
        <v/>
      </c>
      <c r="X3861" s="79" t="str">
        <f>IF(OR(TH!N3861=TH!$X$7,O3861=TH!$X$7),"x","")</f>
        <v/>
      </c>
      <c r="Y3861" s="79" t="str">
        <f>IF(AND(OR(N3861="131",O3861="131"),H3861='131-CT'!$H$9),"x","")</f>
        <v/>
      </c>
      <c r="Z3861" s="79"/>
      <c r="AA3861" s="79" t="str">
        <f>IF(AND(MONTH(E3861)='IN-NX'!$J$5,'IN-NX'!$D$7=D3861),"x","")</f>
        <v/>
      </c>
      <c r="AB3861" s="79" t="str">
        <f>IF(AND(OR(LEFT(TH!N3861,2)="15",LEFT(TH!O3861,2)="15"),LEFT(TH!O3861,3)&lt;&gt;"111",'152-CT'!$J$8=TH!F3861),"x","")</f>
        <v/>
      </c>
      <c r="AC3861" s="79" t="str">
        <f>IF(AND(OR(LEFT(TH!N3861,2)="15",LEFT(TH!O3861,2)="15"),TK!$E$7=TH!F3861),"x","")</f>
        <v/>
      </c>
      <c r="AD3861" s="79" t="str">
        <f>IF(AND(N3861="1521",MONTH(C3861)='BK-NL'!$M$11),"x","")</f>
        <v/>
      </c>
    </row>
    <row r="3862" spans="1:30" ht="16.5" customHeight="1">
      <c r="A3862" s="318" t="str">
        <f>IF(B3862&lt;&gt;"",IF(AND(B3862='IN-TC'!$S$4,OR(TH!N3862="1111",TH!O3862="1111")),TH!D3862,""),"")</f>
        <v/>
      </c>
      <c r="B3862" s="60" t="str">
        <f t="shared" si="418"/>
        <v/>
      </c>
      <c r="C3862" s="1273"/>
      <c r="D3862" s="75"/>
      <c r="E3862" s="75"/>
      <c r="F3862" s="77"/>
      <c r="G3862" s="76"/>
      <c r="H3862" s="759"/>
      <c r="I3862" s="77"/>
      <c r="J3862" s="390"/>
      <c r="K3862" s="383"/>
      <c r="L3862" s="390"/>
      <c r="M3862" s="978"/>
      <c r="N3862" s="79"/>
      <c r="O3862" s="79"/>
      <c r="P3862" s="79" t="str">
        <f>IF(AND('331-CT'!$E$7=TH!H3862,OR(N3862="331",O3862="331")),"x","")</f>
        <v/>
      </c>
      <c r="Q3862" s="79" t="str">
        <f>IF(AND(B3862='111'!$L$11,OR($N3862=$Q$7,$O3862=$Q$7)),"x","")</f>
        <v/>
      </c>
      <c r="R3862" s="79" t="str">
        <f>IF(AND($N3862=$Q$7,$B3862&lt;'111'!$L$11),"x","")</f>
        <v/>
      </c>
      <c r="S3862" s="79" t="str">
        <f>IF(AND($O3862=$Q$7,$B3862&lt;'111'!$L$11),"x","")</f>
        <v/>
      </c>
      <c r="T3862" s="79" t="str">
        <f>IF(ISERROR(FIND('112'!$M$9,G3862,1)),"",IF((AND(FIND('112'!$M$9,G3862,1)&gt;=1,B3862='112'!$K$9,OR($N3862='112'!$I$6,$O3862='112'!$I$6))),"x",""))</f>
        <v/>
      </c>
      <c r="U3862" s="79" t="str">
        <f>IF(ISERROR(FIND('112'!$M$9,G3862,1)),"",IF((AND(LEFT(G3862,2)=LEFT('112'!$M$9,2),B3862&lt;'112'!$K$9,$N3862='112'!$I$6)),"x",""))</f>
        <v/>
      </c>
      <c r="V3862" s="79" t="str">
        <f>IF(ISERROR(FIND('112'!$M$9,G3862,1)),"",IF((AND(RIGHT(G3862,2)=RIGHT('112'!$M$9,2),B3862&lt;'112'!$K$9,$O3862='112'!$I$6)),"x",""))</f>
        <v/>
      </c>
      <c r="W3862" s="79" t="str">
        <f>IF(AND('341-CT'!$H$9=H3862,OR(LEFT(N3862,3)=$W$7,LEFT(O3862,3)=$W$7)),"x","")</f>
        <v/>
      </c>
      <c r="X3862" s="79" t="str">
        <f>IF(OR(TH!N3862=TH!$X$7,O3862=TH!$X$7),"x","")</f>
        <v/>
      </c>
      <c r="Y3862" s="79" t="str">
        <f>IF(AND(OR(N3862="131",O3862="131"),H3862='131-CT'!$H$9),"x","")</f>
        <v/>
      </c>
      <c r="Z3862" s="79"/>
      <c r="AA3862" s="79" t="str">
        <f>IF(AND(MONTH(E3862)='IN-NX'!$J$5,'IN-NX'!$D$7=D3862),"x","")</f>
        <v/>
      </c>
      <c r="AB3862" s="79" t="str">
        <f>IF(AND(OR(LEFT(TH!N3862,2)="15",LEFT(TH!O3862,2)="15"),LEFT(TH!O3862,3)&lt;&gt;"111",'152-CT'!$J$8=TH!F3862),"x","")</f>
        <v/>
      </c>
      <c r="AC3862" s="79" t="str">
        <f>IF(AND(OR(LEFT(TH!N3862,2)="15",LEFT(TH!O3862,2)="15"),TK!$E$7=TH!F3862),"x","")</f>
        <v/>
      </c>
      <c r="AD3862" s="79" t="str">
        <f>IF(AND(N3862="1521",MONTH(C3862)='BK-NL'!$M$11),"x","")</f>
        <v/>
      </c>
    </row>
    <row r="3863" spans="1:30" ht="16.5" customHeight="1">
      <c r="A3863" s="318" t="str">
        <f>IF(B3863&lt;&gt;"",IF(AND(B3863='IN-TC'!$S$4,OR(TH!N3863="1111",TH!O3863="1111")),TH!D3863,""),"")</f>
        <v/>
      </c>
      <c r="B3863" s="60" t="str">
        <f t="shared" si="418"/>
        <v/>
      </c>
      <c r="C3863" s="1273"/>
      <c r="D3863" s="75"/>
      <c r="E3863" s="75"/>
      <c r="F3863" s="77"/>
      <c r="G3863" s="76"/>
      <c r="H3863" s="77"/>
      <c r="I3863" s="77"/>
      <c r="J3863" s="390"/>
      <c r="K3863" s="383"/>
      <c r="L3863" s="390"/>
      <c r="M3863" s="978"/>
      <c r="N3863" s="79"/>
      <c r="O3863" s="979"/>
      <c r="P3863" s="79" t="str">
        <f>IF(AND('331-CT'!$E$7=TH!H3863,OR(N3863="331",O3863="331")),"x","")</f>
        <v/>
      </c>
      <c r="Q3863" s="79" t="str">
        <f>IF(AND(B3863='111'!$L$11,OR($N3863=$Q$7,$O3863=$Q$7)),"x","")</f>
        <v/>
      </c>
      <c r="R3863" s="79" t="str">
        <f>IF(AND($N3863=$Q$7,$B3863&lt;'111'!$L$11),"x","")</f>
        <v/>
      </c>
      <c r="S3863" s="79" t="str">
        <f>IF(AND($O3863=$Q$7,$B3863&lt;'111'!$L$11),"x","")</f>
        <v/>
      </c>
      <c r="T3863" s="79" t="str">
        <f>IF(ISERROR(FIND('112'!$M$9,G3863,1)),"",IF((AND(FIND('112'!$M$9,G3863,1)&gt;=1,B3863='112'!$K$9,OR($N3863='112'!$I$6,$O3863='112'!$I$6))),"x",""))</f>
        <v/>
      </c>
      <c r="U3863" s="79" t="str">
        <f>IF(ISERROR(FIND('112'!$M$9,G3863,1)),"",IF((AND(LEFT(G3863,2)=LEFT('112'!$M$9,2),B3863&lt;'112'!$K$9,$N3863='112'!$I$6)),"x",""))</f>
        <v/>
      </c>
      <c r="V3863" s="79" t="str">
        <f>IF(ISERROR(FIND('112'!$M$9,G3863,1)),"",IF((AND(RIGHT(G3863,2)=RIGHT('112'!$M$9,2),B3863&lt;'112'!$K$9,$O3863='112'!$I$6)),"x",""))</f>
        <v/>
      </c>
      <c r="W3863" s="79" t="str">
        <f>IF(AND('341-CT'!$H$9=H3863,OR(LEFT(N3863,3)=$W$7,LEFT(O3863,3)=$W$7)),"x","")</f>
        <v/>
      </c>
      <c r="X3863" s="79" t="str">
        <f>IF(OR(TH!N3863=TH!$X$7,O3863=TH!$X$7),"x","")</f>
        <v/>
      </c>
      <c r="Y3863" s="79" t="str">
        <f>IF(AND(OR(N3863="131",O3863="131"),H3863='131-CT'!$H$9),"x","")</f>
        <v/>
      </c>
      <c r="Z3863" s="79"/>
      <c r="AA3863" s="79" t="str">
        <f>IF(AND(MONTH(E3863)='IN-NX'!$J$5,'IN-NX'!$D$7=D3863),"x","")</f>
        <v/>
      </c>
      <c r="AB3863" s="79" t="str">
        <f>IF(AND(OR(LEFT(TH!N3863,2)="15",LEFT(TH!O3863,2)="15"),LEFT(TH!O3863,3)&lt;&gt;"111",'152-CT'!$J$8=TH!F3863),"x","")</f>
        <v/>
      </c>
      <c r="AC3863" s="79" t="str">
        <f>IF(AND(OR(LEFT(TH!N3863,2)="15",LEFT(TH!O3863,2)="15"),TK!$E$7=TH!F3863),"x","")</f>
        <v/>
      </c>
      <c r="AD3863" s="79" t="str">
        <f>IF(AND(N3863="1521",MONTH(C3863)='BK-NL'!$M$11),"x","")</f>
        <v/>
      </c>
    </row>
    <row r="3864" spans="1:30" ht="16.5" customHeight="1">
      <c r="A3864" s="318" t="str">
        <f>IF(B3864&lt;&gt;"",IF(AND(B3864='IN-TC'!$S$4,OR(TH!N3864="1111",TH!O3864="1111")),TH!D3864,""),"")</f>
        <v/>
      </c>
      <c r="B3864" s="60" t="str">
        <f t="shared" si="418"/>
        <v/>
      </c>
      <c r="C3864" s="1273"/>
      <c r="D3864" s="75"/>
      <c r="E3864" s="75"/>
      <c r="F3864" s="1131"/>
      <c r="G3864" s="76"/>
      <c r="H3864" s="305"/>
      <c r="I3864" s="77"/>
      <c r="J3864" s="1277"/>
      <c r="K3864" s="383"/>
      <c r="L3864" s="390"/>
      <c r="M3864" s="978"/>
      <c r="N3864" s="79"/>
      <c r="O3864" s="79"/>
      <c r="P3864" s="79" t="str">
        <f>IF(AND('331-CT'!$E$7=TH!H3864,OR(N3864="331",O3864="331")),"x","")</f>
        <v/>
      </c>
      <c r="Q3864" s="79" t="str">
        <f>IF(AND(B3864='111'!$L$11,OR($N3864=$Q$7,$O3864=$Q$7)),"x","")</f>
        <v/>
      </c>
      <c r="R3864" s="79" t="str">
        <f>IF(AND($N3864=$Q$7,$B3864&lt;'111'!$L$11),"x","")</f>
        <v/>
      </c>
      <c r="S3864" s="79" t="str">
        <f>IF(AND($O3864=$Q$7,$B3864&lt;'111'!$L$11),"x","")</f>
        <v/>
      </c>
      <c r="T3864" s="79" t="str">
        <f>IF(ISERROR(FIND('112'!$M$9,G3864,1)),"",IF((AND(FIND('112'!$M$9,G3864,1)&gt;=1,B3864='112'!$K$9,OR($N3864='112'!$I$6,$O3864='112'!$I$6))),"x",""))</f>
        <v/>
      </c>
      <c r="U3864" s="79" t="str">
        <f>IF(ISERROR(FIND('112'!$M$9,G3864,1)),"",IF((AND(LEFT(G3864,2)=LEFT('112'!$M$9,2),B3864&lt;'112'!$K$9,$N3864='112'!$I$6)),"x",""))</f>
        <v/>
      </c>
      <c r="V3864" s="79" t="str">
        <f>IF(ISERROR(FIND('112'!$M$9,G3864,1)),"",IF((AND(RIGHT(G3864,2)=RIGHT('112'!$M$9,2),B3864&lt;'112'!$K$9,$O3864='112'!$I$6)),"x",""))</f>
        <v/>
      </c>
      <c r="W3864" s="79" t="str">
        <f>IF(AND('341-CT'!$H$9=H3864,OR(LEFT(N3864,3)=$W$7,LEFT(O3864,3)=$W$7)),"x","")</f>
        <v/>
      </c>
      <c r="X3864" s="79" t="str">
        <f>IF(OR(TH!N3864=TH!$X$7,O3864=TH!$X$7),"x","")</f>
        <v/>
      </c>
      <c r="Y3864" s="79" t="str">
        <f>IF(AND(OR(N3864="131",O3864="131"),H3864='131-CT'!$H$9),"x","")</f>
        <v/>
      </c>
      <c r="Z3864" s="79"/>
      <c r="AA3864" s="79" t="str">
        <f>IF(AND(MONTH(E3864)='IN-NX'!$J$5,'IN-NX'!$D$7=D3864),"x","")</f>
        <v/>
      </c>
      <c r="AB3864" s="79" t="str">
        <f>IF(AND(OR(LEFT(TH!N3864,2)="15",LEFT(TH!O3864,2)="15"),LEFT(TH!O3864,3)&lt;&gt;"111",'152-CT'!$J$8=TH!F3864),"x","")</f>
        <v/>
      </c>
      <c r="AC3864" s="79" t="str">
        <f>IF(AND(OR(LEFT(TH!N3864,2)="15",LEFT(TH!O3864,2)="15"),TK!$E$7=TH!F3864),"x","")</f>
        <v/>
      </c>
      <c r="AD3864" s="79" t="str">
        <f>IF(AND(N3864="1521",MONTH(C3864)='BK-NL'!$M$11),"x","")</f>
        <v/>
      </c>
    </row>
    <row r="3865" spans="1:30" ht="16.5" customHeight="1">
      <c r="A3865" s="318" t="str">
        <f>IF(B3865&lt;&gt;"",IF(AND(B3865='IN-TC'!$S$4,OR(TH!N3865="1111",TH!O3865="1111")),TH!D3865,""),"")</f>
        <v/>
      </c>
      <c r="B3865" s="60" t="str">
        <f t="shared" si="418"/>
        <v/>
      </c>
      <c r="C3865" s="1273"/>
      <c r="D3865" s="75"/>
      <c r="E3865" s="75"/>
      <c r="F3865" s="1131"/>
      <c r="G3865" s="76"/>
      <c r="H3865" s="305"/>
      <c r="I3865" s="77"/>
      <c r="J3865" s="1277"/>
      <c r="K3865" s="383"/>
      <c r="L3865" s="390"/>
      <c r="M3865" s="978"/>
      <c r="N3865" s="79"/>
      <c r="O3865" s="79"/>
      <c r="P3865" s="79" t="str">
        <f>IF(AND('331-CT'!$E$7=TH!H3865,OR(N3865="331",O3865="331")),"x","")</f>
        <v/>
      </c>
      <c r="Q3865" s="79" t="str">
        <f>IF(AND(B3865='111'!$L$11,OR($N3865=$Q$7,$O3865=$Q$7)),"x","")</f>
        <v/>
      </c>
      <c r="R3865" s="79" t="str">
        <f>IF(AND($N3865=$Q$7,$B3865&lt;'111'!$L$11),"x","")</f>
        <v/>
      </c>
      <c r="S3865" s="79" t="str">
        <f>IF(AND($O3865=$Q$7,$B3865&lt;'111'!$L$11),"x","")</f>
        <v/>
      </c>
      <c r="T3865" s="79" t="str">
        <f>IF(ISERROR(FIND('112'!$M$9,G3865,1)),"",IF((AND(FIND('112'!$M$9,G3865,1)&gt;=1,B3865='112'!$K$9,OR($N3865='112'!$I$6,$O3865='112'!$I$6))),"x",""))</f>
        <v/>
      </c>
      <c r="U3865" s="79" t="str">
        <f>IF(ISERROR(FIND('112'!$M$9,G3865,1)),"",IF((AND(LEFT(G3865,2)=LEFT('112'!$M$9,2),B3865&lt;'112'!$K$9,$N3865='112'!$I$6)),"x",""))</f>
        <v/>
      </c>
      <c r="V3865" s="79" t="str">
        <f>IF(ISERROR(FIND('112'!$M$9,G3865,1)),"",IF((AND(RIGHT(G3865,2)=RIGHT('112'!$M$9,2),B3865&lt;'112'!$K$9,$O3865='112'!$I$6)),"x",""))</f>
        <v/>
      </c>
      <c r="W3865" s="79" t="str">
        <f>IF(AND('341-CT'!$H$9=H3865,OR(LEFT(N3865,3)=$W$7,LEFT(O3865,3)=$W$7)),"x","")</f>
        <v/>
      </c>
      <c r="X3865" s="79" t="str">
        <f>IF(OR(TH!N3865=TH!$X$7,O3865=TH!$X$7),"x","")</f>
        <v/>
      </c>
      <c r="Y3865" s="79" t="str">
        <f>IF(AND(OR(N3865="131",O3865="131"),H3865='131-CT'!$H$9),"x","")</f>
        <v/>
      </c>
      <c r="Z3865" s="79"/>
      <c r="AA3865" s="79" t="str">
        <f>IF(AND(MONTH(E3865)='IN-NX'!$J$5,'IN-NX'!$D$7=D3865),"x","")</f>
        <v/>
      </c>
      <c r="AB3865" s="79" t="str">
        <f>IF(AND(OR(LEFT(TH!N3865,2)="15",LEFT(TH!O3865,2)="15"),LEFT(TH!O3865,3)&lt;&gt;"111",'152-CT'!$J$8=TH!F3865),"x","")</f>
        <v/>
      </c>
      <c r="AC3865" s="79" t="str">
        <f>IF(AND(OR(LEFT(TH!N3865,2)="15",LEFT(TH!O3865,2)="15"),TK!$E$7=TH!F3865),"x","")</f>
        <v/>
      </c>
      <c r="AD3865" s="79" t="str">
        <f>IF(AND(N3865="1521",MONTH(C3865)='BK-NL'!$M$11),"x","")</f>
        <v/>
      </c>
    </row>
    <row r="3866" spans="1:30" ht="16.5" customHeight="1">
      <c r="A3866" s="318" t="str">
        <f>IF(B3866&lt;&gt;"",IF(AND(B3866='IN-TC'!$S$4,OR(TH!N3866="1111",TH!O3866="1111")),TH!D3866,""),"")</f>
        <v/>
      </c>
      <c r="B3866" s="60" t="str">
        <f t="shared" ref="B3866" si="419">IF(C3866&lt;&gt;"",MONTH(C3866),"")</f>
        <v/>
      </c>
      <c r="C3866" s="1273"/>
      <c r="D3866" s="75"/>
      <c r="E3866" s="75"/>
      <c r="F3866" s="1131"/>
      <c r="G3866" s="76"/>
      <c r="H3866" s="305"/>
      <c r="I3866" s="77"/>
      <c r="J3866" s="1277"/>
      <c r="K3866" s="383"/>
      <c r="L3866" s="390"/>
      <c r="M3866" s="978"/>
      <c r="N3866" s="79"/>
      <c r="O3866" s="79"/>
      <c r="P3866" s="79" t="str">
        <f>IF(AND('331-CT'!$E$7=TH!H3866,OR(N3866="331",O3866="331")),"x","")</f>
        <v/>
      </c>
      <c r="Q3866" s="79" t="str">
        <f>IF(AND(B3866='111'!$L$11,OR($N3866=$Q$7,$O3866=$Q$7)),"x","")</f>
        <v/>
      </c>
      <c r="R3866" s="79" t="str">
        <f>IF(AND($N3866=$Q$7,$B3866&lt;'111'!$L$11),"x","")</f>
        <v/>
      </c>
      <c r="S3866" s="79" t="str">
        <f>IF(AND($O3866=$Q$7,$B3866&lt;'111'!$L$11),"x","")</f>
        <v/>
      </c>
      <c r="T3866" s="79" t="str">
        <f>IF(ISERROR(FIND('112'!$M$9,G3866,1)),"",IF((AND(FIND('112'!$M$9,G3866,1)&gt;=1,B3866='112'!$K$9,OR($N3866='112'!$I$6,$O3866='112'!$I$6))),"x",""))</f>
        <v/>
      </c>
      <c r="U3866" s="79" t="str">
        <f>IF(ISERROR(FIND('112'!$M$9,G3866,1)),"",IF((AND(LEFT(G3866,2)=LEFT('112'!$M$9,2),B3866&lt;'112'!$K$9,$N3866='112'!$I$6)),"x",""))</f>
        <v/>
      </c>
      <c r="V3866" s="79" t="str">
        <f>IF(ISERROR(FIND('112'!$M$9,G3866,1)),"",IF((AND(RIGHT(G3866,2)=RIGHT('112'!$M$9,2),B3866&lt;'112'!$K$9,$O3866='112'!$I$6)),"x",""))</f>
        <v/>
      </c>
      <c r="W3866" s="79" t="str">
        <f>IF(AND('341-CT'!$H$9=H3866,OR(LEFT(N3866,3)=$W$7,LEFT(O3866,3)=$W$7)),"x","")</f>
        <v/>
      </c>
      <c r="X3866" s="79" t="str">
        <f>IF(OR(TH!N3866=TH!$X$7,O3866=TH!$X$7),"x","")</f>
        <v/>
      </c>
      <c r="Y3866" s="79" t="str">
        <f>IF(AND(OR(N3866="131",O3866="131"),H3866='131-CT'!$H$9),"x","")</f>
        <v/>
      </c>
      <c r="Z3866" s="79"/>
      <c r="AA3866" s="79" t="str">
        <f>IF(AND(MONTH(E3866)='IN-NX'!$J$5,'IN-NX'!$D$7=D3866),"x","")</f>
        <v/>
      </c>
      <c r="AB3866" s="79" t="str">
        <f>IF(AND(OR(LEFT(TH!N3866,2)="15",LEFT(TH!O3866,2)="15"),LEFT(TH!O3866,3)&lt;&gt;"111",'152-CT'!$J$8=TH!F3866),"x","")</f>
        <v/>
      </c>
      <c r="AC3866" s="79" t="str">
        <f>IF(AND(OR(LEFT(TH!N3866,2)="15",LEFT(TH!O3866,2)="15"),TK!$E$7=TH!F3866),"x","")</f>
        <v/>
      </c>
      <c r="AD3866" s="79" t="str">
        <f>IF(AND(N3866="1521",MONTH(C3866)='BK-NL'!$M$11),"x","")</f>
        <v/>
      </c>
    </row>
    <row r="3867" spans="1:30" ht="16.5" customHeight="1">
      <c r="A3867" s="318" t="str">
        <f>IF(B3867&lt;&gt;"",IF(AND(B3867='IN-TC'!$S$4,OR(TH!N3867="1111",TH!O3867="1111")),TH!D3867,""),"")</f>
        <v/>
      </c>
      <c r="B3867" s="60" t="str">
        <f t="shared" si="418"/>
        <v/>
      </c>
      <c r="C3867" s="75"/>
      <c r="D3867" s="75"/>
      <c r="E3867" s="75"/>
      <c r="F3867" s="1131"/>
      <c r="G3867" s="76"/>
      <c r="H3867" s="759"/>
      <c r="I3867" s="77"/>
      <c r="J3867" s="390"/>
      <c r="K3867" s="383"/>
      <c r="L3867" s="390"/>
      <c r="M3867" s="978"/>
      <c r="N3867" s="79"/>
      <c r="O3867" s="79"/>
      <c r="P3867" s="79" t="str">
        <f>IF(AND('331-CT'!$E$7=TH!H3867,OR(N3867="331",O3867="331")),"x","")</f>
        <v/>
      </c>
      <c r="Q3867" s="79" t="str">
        <f>IF(AND(B3867='111'!$L$11,OR($N3867=$Q$7,$O3867=$Q$7)),"x","")</f>
        <v/>
      </c>
      <c r="R3867" s="79" t="str">
        <f>IF(AND($N3867=$Q$7,$B3867&lt;'111'!$L$11),"x","")</f>
        <v/>
      </c>
      <c r="S3867" s="79" t="str">
        <f>IF(AND($O3867=$Q$7,$B3867&lt;'111'!$L$11),"x","")</f>
        <v/>
      </c>
      <c r="T3867" s="79" t="str">
        <f>IF(ISERROR(FIND('112'!$M$9,G3867,1)),"",IF((AND(FIND('112'!$M$9,G3867,1)&gt;=1,B3867='112'!$K$9,OR($N3867='112'!$I$6,$O3867='112'!$I$6))),"x",""))</f>
        <v/>
      </c>
      <c r="U3867" s="79" t="str">
        <f>IF(ISERROR(FIND('112'!$M$9,G3867,1)),"",IF((AND(LEFT(G3867,2)=LEFT('112'!$M$9,2),B3867&lt;'112'!$K$9,$N3867='112'!$I$6)),"x",""))</f>
        <v/>
      </c>
      <c r="V3867" s="79" t="str">
        <f>IF(ISERROR(FIND('112'!$M$9,G3867,1)),"",IF((AND(RIGHT(G3867,2)=RIGHT('112'!$M$9,2),B3867&lt;'112'!$K$9,$O3867='112'!$I$6)),"x",""))</f>
        <v/>
      </c>
      <c r="W3867" s="79" t="str">
        <f>IF(AND('341-CT'!$H$9=H3867,OR(LEFT(N3867,3)=$W$7,LEFT(O3867,3)=$W$7)),"x","")</f>
        <v/>
      </c>
      <c r="X3867" s="79" t="str">
        <f>IF(OR(TH!N3867=TH!$X$7,O3867=TH!$X$7),"x","")</f>
        <v/>
      </c>
      <c r="Y3867" s="79" t="str">
        <f>IF(AND(OR(N3867="131",O3867="131"),H3867='131-CT'!$H$9),"x","")</f>
        <v/>
      </c>
      <c r="Z3867" s="79"/>
      <c r="AA3867" s="79" t="str">
        <f>IF(AND(MONTH(E3867)='IN-NX'!$J$5,'IN-NX'!$D$7=D3867),"x","")</f>
        <v/>
      </c>
      <c r="AB3867" s="79" t="str">
        <f>IF(AND(OR(LEFT(TH!N3867,2)="15",LEFT(TH!O3867,2)="15"),LEFT(TH!O3867,3)&lt;&gt;"111",'152-CT'!$J$8=TH!F3867),"x","")</f>
        <v/>
      </c>
      <c r="AC3867" s="79" t="str">
        <f>IF(AND(OR(LEFT(TH!N3867,2)="15",LEFT(TH!O3867,2)="15"),TK!$E$7=TH!F3867),"x","")</f>
        <v/>
      </c>
      <c r="AD3867" s="79" t="str">
        <f>IF(AND(N3867="1521",MONTH(C3867)='BK-NL'!$M$11),"x","")</f>
        <v/>
      </c>
    </row>
    <row r="3868" spans="1:30" ht="16.5" customHeight="1">
      <c r="A3868" s="318" t="str">
        <f>IF(B3868&lt;&gt;"",IF(AND(B3868='IN-TC'!$S$4,OR(TH!N3868="1111",TH!O3868="1111")),TH!D3868,""),"")</f>
        <v/>
      </c>
      <c r="B3868" s="60" t="str">
        <f t="shared" si="418"/>
        <v/>
      </c>
      <c r="C3868" s="75"/>
      <c r="D3868" s="75"/>
      <c r="E3868" s="75"/>
      <c r="F3868" s="1131"/>
      <c r="G3868" s="76"/>
      <c r="H3868" s="759"/>
      <c r="I3868" s="77"/>
      <c r="J3868" s="390"/>
      <c r="K3868" s="383"/>
      <c r="L3868" s="390"/>
      <c r="M3868" s="978"/>
      <c r="N3868" s="79"/>
      <c r="O3868" s="79"/>
      <c r="P3868" s="79" t="str">
        <f>IF(AND('331-CT'!$E$7=TH!H3868,OR(N3868="331",O3868="331")),"x","")</f>
        <v/>
      </c>
      <c r="Q3868" s="79" t="str">
        <f>IF(AND(B3868='111'!$L$11,OR($N3868=$Q$7,$O3868=$Q$7)),"x","")</f>
        <v/>
      </c>
      <c r="R3868" s="79" t="str">
        <f>IF(AND($N3868=$Q$7,$B3868&lt;'111'!$L$11),"x","")</f>
        <v/>
      </c>
      <c r="S3868" s="79" t="str">
        <f>IF(AND($O3868=$Q$7,$B3868&lt;'111'!$L$11),"x","")</f>
        <v/>
      </c>
      <c r="T3868" s="79" t="str">
        <f>IF(ISERROR(FIND('112'!$M$9,G3868,1)),"",IF((AND(FIND('112'!$M$9,G3868,1)&gt;=1,B3868='112'!$K$9,OR($N3868='112'!$I$6,$O3868='112'!$I$6))),"x",""))</f>
        <v/>
      </c>
      <c r="U3868" s="79" t="str">
        <f>IF(ISERROR(FIND('112'!$M$9,G3868,1)),"",IF((AND(LEFT(G3868,2)=LEFT('112'!$M$9,2),B3868&lt;'112'!$K$9,$N3868='112'!$I$6)),"x",""))</f>
        <v/>
      </c>
      <c r="V3868" s="79" t="str">
        <f>IF(ISERROR(FIND('112'!$M$9,G3868,1)),"",IF((AND(RIGHT(G3868,2)=RIGHT('112'!$M$9,2),B3868&lt;'112'!$K$9,$O3868='112'!$I$6)),"x",""))</f>
        <v/>
      </c>
      <c r="W3868" s="79" t="str">
        <f>IF(AND('341-CT'!$H$9=H3868,OR(LEFT(N3868,3)=$W$7,LEFT(O3868,3)=$W$7)),"x","")</f>
        <v/>
      </c>
      <c r="X3868" s="79" t="str">
        <f>IF(OR(TH!N3868=TH!$X$7,O3868=TH!$X$7),"x","")</f>
        <v/>
      </c>
      <c r="Y3868" s="79" t="str">
        <f>IF(AND(OR(N3868="131",O3868="131"),H3868='131-CT'!$H$9),"x","")</f>
        <v/>
      </c>
      <c r="Z3868" s="79"/>
      <c r="AA3868" s="79" t="str">
        <f>IF(AND(MONTH(E3868)='IN-NX'!$J$5,'IN-NX'!$D$7=D3868),"x","")</f>
        <v/>
      </c>
      <c r="AB3868" s="79" t="str">
        <f>IF(AND(OR(LEFT(TH!N3868,2)="15",LEFT(TH!O3868,2)="15"),LEFT(TH!O3868,3)&lt;&gt;"111",'152-CT'!$J$8=TH!F3868),"x","")</f>
        <v/>
      </c>
      <c r="AC3868" s="79" t="str">
        <f>IF(AND(OR(LEFT(TH!N3868,2)="15",LEFT(TH!O3868,2)="15"),TK!$E$7=TH!F3868),"x","")</f>
        <v/>
      </c>
      <c r="AD3868" s="79" t="str">
        <f>IF(AND(N3868="1521",MONTH(C3868)='BK-NL'!$M$11),"x","")</f>
        <v/>
      </c>
    </row>
    <row r="3869" spans="1:30" ht="16.5" customHeight="1">
      <c r="A3869" s="318" t="str">
        <f>IF(B3869&lt;&gt;"",IF(AND(B3869='IN-TC'!$S$4,OR(TH!N3869="1111",TH!O3869="1111")),TH!D3869,""),"")</f>
        <v/>
      </c>
      <c r="B3869" s="60" t="str">
        <f t="shared" si="418"/>
        <v/>
      </c>
      <c r="C3869" s="75"/>
      <c r="D3869" s="75"/>
      <c r="E3869" s="75"/>
      <c r="F3869" s="1131"/>
      <c r="G3869" s="76"/>
      <c r="H3869" s="759"/>
      <c r="I3869" s="77"/>
      <c r="J3869" s="390"/>
      <c r="K3869" s="383"/>
      <c r="L3869" s="390"/>
      <c r="M3869" s="78"/>
      <c r="N3869" s="79"/>
      <c r="O3869" s="979"/>
      <c r="P3869" s="79" t="str">
        <f>IF(AND('331-CT'!$E$7=TH!H3869,OR(N3869="331",O3869="331")),"x","")</f>
        <v/>
      </c>
      <c r="Q3869" s="79" t="str">
        <f>IF(AND(B3869='111'!$L$11,OR($N3869=$Q$7,$O3869=$Q$7)),"x","")</f>
        <v/>
      </c>
      <c r="R3869" s="79" t="str">
        <f>IF(AND($N3869=$Q$7,$B3869&lt;'111'!$L$11),"x","")</f>
        <v/>
      </c>
      <c r="S3869" s="79" t="str">
        <f>IF(AND($O3869=$Q$7,$B3869&lt;'111'!$L$11),"x","")</f>
        <v/>
      </c>
      <c r="T3869" s="79" t="str">
        <f>IF(ISERROR(FIND('112'!$M$9,G3869,1)),"",IF((AND(FIND('112'!$M$9,G3869,1)&gt;=1,B3869='112'!$K$9,OR($N3869='112'!$I$6,$O3869='112'!$I$6))),"x",""))</f>
        <v/>
      </c>
      <c r="U3869" s="79" t="str">
        <f>IF(ISERROR(FIND('112'!$M$9,G3869,1)),"",IF((AND(LEFT(G3869,2)=LEFT('112'!$M$9,2),B3869&lt;'112'!$K$9,$N3869='112'!$I$6)),"x",""))</f>
        <v/>
      </c>
      <c r="V3869" s="79" t="str">
        <f>IF(ISERROR(FIND('112'!$M$9,G3869,1)),"",IF((AND(RIGHT(G3869,2)=RIGHT('112'!$M$9,2),B3869&lt;'112'!$K$9,$O3869='112'!$I$6)),"x",""))</f>
        <v/>
      </c>
      <c r="W3869" s="79" t="str">
        <f>IF(AND('341-CT'!$H$9=H3869,OR(LEFT(N3869,3)=$W$7,LEFT(O3869,3)=$W$7)),"x","")</f>
        <v/>
      </c>
      <c r="X3869" s="79" t="str">
        <f>IF(OR(TH!N3869=TH!$X$7,O3869=TH!$X$7),"x","")</f>
        <v/>
      </c>
      <c r="Y3869" s="79" t="str">
        <f>IF(AND(OR(N3869="131",O3869="131"),H3869='131-CT'!$H$9),"x","")</f>
        <v/>
      </c>
      <c r="Z3869" s="79"/>
      <c r="AA3869" s="79" t="str">
        <f>IF(AND(MONTH(E3869)='IN-NX'!$J$5,'IN-NX'!$D$7=D3869),"x","")</f>
        <v/>
      </c>
      <c r="AB3869" s="79" t="str">
        <f>IF(AND(OR(LEFT(TH!N3869,2)="15",LEFT(TH!O3869,2)="15"),LEFT(TH!O3869,3)&lt;&gt;"111",'152-CT'!$J$8=TH!F3869),"x","")</f>
        <v/>
      </c>
      <c r="AC3869" s="79" t="str">
        <f>IF(AND(OR(LEFT(TH!N3869,2)="15",LEFT(TH!O3869,2)="15"),TK!$E$7=TH!F3869),"x","")</f>
        <v/>
      </c>
      <c r="AD3869" s="79" t="str">
        <f>IF(AND(N3869="1521",MONTH(C3869)='BK-NL'!$M$11),"x","")</f>
        <v/>
      </c>
    </row>
    <row r="3870" spans="1:30" ht="16.5" customHeight="1">
      <c r="A3870" s="318" t="str">
        <f>IF(B3870&lt;&gt;"",IF(AND(B3870='IN-TC'!$S$4,OR(TH!N3870="1111",TH!O3870="1111")),TH!D3870,""),"")</f>
        <v/>
      </c>
      <c r="B3870" s="60" t="str">
        <f t="shared" si="418"/>
        <v/>
      </c>
      <c r="C3870" s="75"/>
      <c r="D3870" s="75"/>
      <c r="E3870" s="75"/>
      <c r="F3870" s="77"/>
      <c r="G3870" s="76"/>
      <c r="H3870" s="77"/>
      <c r="I3870" s="77"/>
      <c r="J3870" s="390"/>
      <c r="K3870" s="383"/>
      <c r="L3870" s="390"/>
      <c r="M3870" s="978"/>
      <c r="N3870" s="79"/>
      <c r="O3870" s="979"/>
      <c r="P3870" s="79" t="str">
        <f>IF(AND('331-CT'!$E$7=TH!H3870,OR(N3870="331",O3870="331")),"x","")</f>
        <v/>
      </c>
      <c r="Q3870" s="79" t="str">
        <f>IF(AND(B3870='111'!$L$11,OR($N3870=$Q$7,$O3870=$Q$7)),"x","")</f>
        <v/>
      </c>
      <c r="R3870" s="79" t="str">
        <f>IF(AND($N3870=$Q$7,$B3870&lt;'111'!$L$11),"x","")</f>
        <v/>
      </c>
      <c r="S3870" s="79" t="str">
        <f>IF(AND($O3870=$Q$7,$B3870&lt;'111'!$L$11),"x","")</f>
        <v/>
      </c>
      <c r="T3870" s="79" t="str">
        <f>IF(ISERROR(FIND('112'!$M$9,G3870,1)),"",IF((AND(FIND('112'!$M$9,G3870,1)&gt;=1,B3870='112'!$K$9,OR($N3870='112'!$I$6,$O3870='112'!$I$6))),"x",""))</f>
        <v/>
      </c>
      <c r="U3870" s="79" t="str">
        <f>IF(ISERROR(FIND('112'!$M$9,G3870,1)),"",IF((AND(LEFT(G3870,2)=LEFT('112'!$M$9,2),B3870&lt;'112'!$K$9,$N3870='112'!$I$6)),"x",""))</f>
        <v/>
      </c>
      <c r="V3870" s="79" t="str">
        <f>IF(ISERROR(FIND('112'!$M$9,G3870,1)),"",IF((AND(RIGHT(G3870,2)=RIGHT('112'!$M$9,2),B3870&lt;'112'!$K$9,$O3870='112'!$I$6)),"x",""))</f>
        <v/>
      </c>
      <c r="W3870" s="79" t="str">
        <f>IF(AND('341-CT'!$H$9=H3870,OR(LEFT(N3870,3)=$W$7,LEFT(O3870,3)=$W$7)),"x","")</f>
        <v/>
      </c>
      <c r="X3870" s="79" t="str">
        <f>IF(OR(TH!N3870=TH!$X$7,O3870=TH!$X$7),"x","")</f>
        <v/>
      </c>
      <c r="Y3870" s="79" t="str">
        <f>IF(AND(OR(N3870="131",O3870="131"),H3870='131-CT'!$H$9),"x","")</f>
        <v/>
      </c>
      <c r="Z3870" s="79"/>
      <c r="AA3870" s="79" t="str">
        <f>IF(AND(MONTH(E3870)='IN-NX'!$J$5,'IN-NX'!$D$7=D3870),"x","")</f>
        <v/>
      </c>
      <c r="AB3870" s="79" t="str">
        <f>IF(AND(OR(LEFT(TH!N3870,2)="15",LEFT(TH!O3870,2)="15"),LEFT(TH!O3870,3)&lt;&gt;"111",'152-CT'!$J$8=TH!F3870),"x","")</f>
        <v/>
      </c>
      <c r="AC3870" s="79" t="str">
        <f>IF(AND(OR(LEFT(TH!N3870,2)="15",LEFT(TH!O3870,2)="15"),TK!$E$7=TH!F3870),"x","")</f>
        <v/>
      </c>
      <c r="AD3870" s="79" t="str">
        <f>IF(AND(N3870="1521",MONTH(C3870)='BK-NL'!$M$11),"x","")</f>
        <v/>
      </c>
    </row>
    <row r="3871" spans="1:30" ht="16.5" customHeight="1">
      <c r="A3871" s="318" t="str">
        <f>IF(B3871&lt;&gt;"",IF(AND(B3871='IN-TC'!$S$4,OR(TH!N3871="1111",TH!O3871="1111")),TH!D3871,""),"")</f>
        <v/>
      </c>
      <c r="B3871" s="60" t="str">
        <f t="shared" si="418"/>
        <v/>
      </c>
      <c r="C3871" s="75"/>
      <c r="D3871" s="75"/>
      <c r="E3871" s="75"/>
      <c r="F3871" s="77"/>
      <c r="G3871" s="76"/>
      <c r="H3871" s="77"/>
      <c r="I3871" s="77"/>
      <c r="J3871" s="390"/>
      <c r="K3871" s="383"/>
      <c r="L3871" s="390"/>
      <c r="M3871" s="978"/>
      <c r="N3871" s="79"/>
      <c r="O3871" s="979"/>
      <c r="P3871" s="79" t="str">
        <f>IF(AND('331-CT'!$E$7=TH!H3871,OR(N3871="331",O3871="331")),"x","")</f>
        <v/>
      </c>
      <c r="Q3871" s="79" t="str">
        <f>IF(AND(B3871='111'!$L$11,OR($N3871=$Q$7,$O3871=$Q$7)),"x","")</f>
        <v/>
      </c>
      <c r="R3871" s="79" t="str">
        <f>IF(AND($N3871=$Q$7,$B3871&lt;'111'!$L$11),"x","")</f>
        <v/>
      </c>
      <c r="S3871" s="79" t="str">
        <f>IF(AND($O3871=$Q$7,$B3871&lt;'111'!$L$11),"x","")</f>
        <v/>
      </c>
      <c r="T3871" s="79" t="str">
        <f>IF(ISERROR(FIND('112'!$M$9,G3871,1)),"",IF((AND(FIND('112'!$M$9,G3871,1)&gt;=1,B3871='112'!$K$9,OR($N3871='112'!$I$6,$O3871='112'!$I$6))),"x",""))</f>
        <v/>
      </c>
      <c r="U3871" s="79" t="str">
        <f>IF(ISERROR(FIND('112'!$M$9,G3871,1)),"",IF((AND(LEFT(G3871,2)=LEFT('112'!$M$9,2),B3871&lt;'112'!$K$9,$N3871='112'!$I$6)),"x",""))</f>
        <v/>
      </c>
      <c r="V3871" s="79" t="str">
        <f>IF(ISERROR(FIND('112'!$M$9,G3871,1)),"",IF((AND(RIGHT(G3871,2)=RIGHT('112'!$M$9,2),B3871&lt;'112'!$K$9,$O3871='112'!$I$6)),"x",""))</f>
        <v/>
      </c>
      <c r="W3871" s="79" t="str">
        <f>IF(AND('341-CT'!$H$9=H3871,OR(LEFT(N3871,3)=$W$7,LEFT(O3871,3)=$W$7)),"x","")</f>
        <v/>
      </c>
      <c r="X3871" s="79" t="str">
        <f>IF(OR(TH!N3871=TH!$X$7,O3871=TH!$X$7),"x","")</f>
        <v/>
      </c>
      <c r="Y3871" s="79" t="str">
        <f>IF(AND(OR(N3871="131",O3871="131"),H3871='131-CT'!$H$9),"x","")</f>
        <v/>
      </c>
      <c r="Z3871" s="79"/>
      <c r="AA3871" s="79" t="str">
        <f>IF(AND(MONTH(E3871)='IN-NX'!$J$5,'IN-NX'!$D$7=D3871),"x","")</f>
        <v/>
      </c>
      <c r="AB3871" s="79" t="str">
        <f>IF(AND(OR(LEFT(TH!N3871,2)="15",LEFT(TH!O3871,2)="15"),LEFT(TH!O3871,3)&lt;&gt;"111",'152-CT'!$J$8=TH!F3871),"x","")</f>
        <v/>
      </c>
      <c r="AC3871" s="79" t="str">
        <f>IF(AND(OR(LEFT(TH!N3871,2)="15",LEFT(TH!O3871,2)="15"),TK!$E$7=TH!F3871),"x","")</f>
        <v/>
      </c>
      <c r="AD3871" s="79" t="str">
        <f>IF(AND(N3871="1521",MONTH(C3871)='BK-NL'!$M$11),"x","")</f>
        <v/>
      </c>
    </row>
    <row r="3872" spans="1:30" ht="16.5" customHeight="1">
      <c r="A3872" s="318" t="str">
        <f>IF(B3872&lt;&gt;"",IF(AND(B3872='IN-TC'!$S$4,OR(TH!N3872="1111",TH!O3872="1111")),TH!D3872,""),"")</f>
        <v/>
      </c>
      <c r="B3872" s="60" t="str">
        <f t="shared" si="418"/>
        <v/>
      </c>
      <c r="C3872" s="75"/>
      <c r="D3872" s="75"/>
      <c r="E3872" s="75"/>
      <c r="F3872" s="77"/>
      <c r="G3872" s="76"/>
      <c r="H3872" s="77"/>
      <c r="I3872" s="77"/>
      <c r="J3872" s="390"/>
      <c r="K3872" s="383"/>
      <c r="L3872" s="390"/>
      <c r="M3872" s="978"/>
      <c r="N3872" s="79"/>
      <c r="O3872" s="979"/>
      <c r="P3872" s="79" t="str">
        <f>IF(AND('331-CT'!$E$7=TH!H3872,OR(N3872="331",O3872="331")),"x","")</f>
        <v/>
      </c>
      <c r="Q3872" s="79" t="str">
        <f>IF(AND(B3872='111'!$L$11,OR($N3872=$Q$7,$O3872=$Q$7)),"x","")</f>
        <v/>
      </c>
      <c r="R3872" s="79" t="str">
        <f>IF(AND($N3872=$Q$7,$B3872&lt;'111'!$L$11),"x","")</f>
        <v/>
      </c>
      <c r="S3872" s="79" t="str">
        <f>IF(AND($O3872=$Q$7,$B3872&lt;'111'!$L$11),"x","")</f>
        <v/>
      </c>
      <c r="T3872" s="79" t="str">
        <f>IF(ISERROR(FIND('112'!$M$9,G3872,1)),"",IF((AND(FIND('112'!$M$9,G3872,1)&gt;=1,B3872='112'!$K$9,OR($N3872='112'!$I$6,$O3872='112'!$I$6))),"x",""))</f>
        <v/>
      </c>
      <c r="U3872" s="79" t="str">
        <f>IF(ISERROR(FIND('112'!$M$9,G3872,1)),"",IF((AND(LEFT(G3872,2)=LEFT('112'!$M$9,2),B3872&lt;'112'!$K$9,$N3872='112'!$I$6)),"x",""))</f>
        <v/>
      </c>
      <c r="V3872" s="79" t="str">
        <f>IF(ISERROR(FIND('112'!$M$9,G3872,1)),"",IF((AND(RIGHT(G3872,2)=RIGHT('112'!$M$9,2),B3872&lt;'112'!$K$9,$O3872='112'!$I$6)),"x",""))</f>
        <v/>
      </c>
      <c r="W3872" s="79" t="str">
        <f>IF(AND('341-CT'!$H$9=H3872,OR(LEFT(N3872,3)=$W$7,LEFT(O3872,3)=$W$7)),"x","")</f>
        <v/>
      </c>
      <c r="X3872" s="79" t="str">
        <f>IF(OR(TH!N3872=TH!$X$7,O3872=TH!$X$7),"x","")</f>
        <v/>
      </c>
      <c r="Y3872" s="79" t="str">
        <f>IF(AND(OR(N3872="131",O3872="131"),H3872='131-CT'!$H$9),"x","")</f>
        <v/>
      </c>
      <c r="Z3872" s="79"/>
      <c r="AA3872" s="79" t="str">
        <f>IF(AND(MONTH(E3872)='IN-NX'!$J$5,'IN-NX'!$D$7=D3872),"x","")</f>
        <v/>
      </c>
      <c r="AB3872" s="79" t="str">
        <f>IF(AND(OR(LEFT(TH!N3872,2)="15",LEFT(TH!O3872,2)="15"),LEFT(TH!O3872,3)&lt;&gt;"111",'152-CT'!$J$8=TH!F3872),"x","")</f>
        <v/>
      </c>
      <c r="AC3872" s="79" t="str">
        <f>IF(AND(OR(LEFT(TH!N3872,2)="15",LEFT(TH!O3872,2)="15"),TK!$E$7=TH!F3872),"x","")</f>
        <v/>
      </c>
      <c r="AD3872" s="79" t="str">
        <f>IF(AND(N3872="1521",MONTH(C3872)='BK-NL'!$M$11),"x","")</f>
        <v/>
      </c>
    </row>
    <row r="3873" spans="1:30" ht="16.5" customHeight="1">
      <c r="A3873" s="318" t="str">
        <f>IF(B3873&lt;&gt;"",IF(AND(B3873='IN-TC'!$S$4,OR(TH!N3873="1111",TH!O3873="1111")),TH!D3873,""),"")</f>
        <v/>
      </c>
      <c r="B3873" s="60" t="str">
        <f t="shared" si="418"/>
        <v/>
      </c>
      <c r="C3873" s="75"/>
      <c r="D3873" s="75"/>
      <c r="E3873" s="75"/>
      <c r="F3873" s="77"/>
      <c r="G3873" s="76"/>
      <c r="H3873" s="77"/>
      <c r="I3873" s="77"/>
      <c r="J3873" s="390"/>
      <c r="K3873" s="383"/>
      <c r="L3873" s="390"/>
      <c r="M3873" s="978"/>
      <c r="N3873" s="79"/>
      <c r="O3873" s="979"/>
      <c r="P3873" s="79" t="str">
        <f>IF(AND('331-CT'!$E$7=TH!H3873,OR(N3873="331",O3873="331")),"x","")</f>
        <v/>
      </c>
      <c r="Q3873" s="79" t="str">
        <f>IF(AND(B3873='111'!$L$11,OR($N3873=$Q$7,$O3873=$Q$7)),"x","")</f>
        <v/>
      </c>
      <c r="R3873" s="79" t="str">
        <f>IF(AND($N3873=$Q$7,$B3873&lt;'111'!$L$11),"x","")</f>
        <v/>
      </c>
      <c r="S3873" s="79" t="str">
        <f>IF(AND($O3873=$Q$7,$B3873&lt;'111'!$L$11),"x","")</f>
        <v/>
      </c>
      <c r="T3873" s="79" t="str">
        <f>IF(ISERROR(FIND('112'!$M$9,G3873,1)),"",IF((AND(FIND('112'!$M$9,G3873,1)&gt;=1,B3873='112'!$K$9,OR($N3873='112'!$I$6,$O3873='112'!$I$6))),"x",""))</f>
        <v/>
      </c>
      <c r="U3873" s="79" t="str">
        <f>IF(ISERROR(FIND('112'!$M$9,G3873,1)),"",IF((AND(LEFT(G3873,2)=LEFT('112'!$M$9,2),B3873&lt;'112'!$K$9,$N3873='112'!$I$6)),"x",""))</f>
        <v/>
      </c>
      <c r="V3873" s="79" t="str">
        <f>IF(ISERROR(FIND('112'!$M$9,G3873,1)),"",IF((AND(RIGHT(G3873,2)=RIGHT('112'!$M$9,2),B3873&lt;'112'!$K$9,$O3873='112'!$I$6)),"x",""))</f>
        <v/>
      </c>
      <c r="W3873" s="79" t="str">
        <f>IF(AND('341-CT'!$H$9=H3873,OR(LEFT(N3873,3)=$W$7,LEFT(O3873,3)=$W$7)),"x","")</f>
        <v/>
      </c>
      <c r="X3873" s="79" t="str">
        <f>IF(OR(TH!N3873=TH!$X$7,O3873=TH!$X$7),"x","")</f>
        <v/>
      </c>
      <c r="Y3873" s="79" t="str">
        <f>IF(AND(OR(N3873="131",O3873="131"),H3873='131-CT'!$H$9),"x","")</f>
        <v/>
      </c>
      <c r="Z3873" s="79"/>
      <c r="AA3873" s="79" t="str">
        <f>IF(AND(MONTH(E3873)='IN-NX'!$J$5,'IN-NX'!$D$7=D3873),"x","")</f>
        <v/>
      </c>
      <c r="AB3873" s="79" t="str">
        <f>IF(AND(OR(LEFT(TH!N3873,2)="15",LEFT(TH!O3873,2)="15"),LEFT(TH!O3873,3)&lt;&gt;"111",'152-CT'!$J$8=TH!F3873),"x","")</f>
        <v/>
      </c>
      <c r="AC3873" s="79" t="str">
        <f>IF(AND(OR(LEFT(TH!N3873,2)="15",LEFT(TH!O3873,2)="15"),TK!$E$7=TH!F3873),"x","")</f>
        <v/>
      </c>
      <c r="AD3873" s="79" t="str">
        <f>IF(AND(N3873="1521",MONTH(C3873)='BK-NL'!$M$11),"x","")</f>
        <v/>
      </c>
    </row>
    <row r="3874" spans="1:30" ht="16.5" customHeight="1">
      <c r="A3874" s="318" t="str">
        <f>IF(B3874&lt;&gt;"",IF(AND(B3874='IN-TC'!$S$4,OR(TH!N3874="1111",TH!O3874="1111")),TH!D3874,""),"")</f>
        <v/>
      </c>
      <c r="B3874" s="60" t="str">
        <f t="shared" si="418"/>
        <v/>
      </c>
      <c r="C3874" s="75"/>
      <c r="D3874" s="75"/>
      <c r="E3874" s="75"/>
      <c r="F3874" s="77"/>
      <c r="G3874" s="76"/>
      <c r="H3874" s="77"/>
      <c r="I3874" s="77"/>
      <c r="J3874" s="390"/>
      <c r="K3874" s="383"/>
      <c r="L3874" s="390"/>
      <c r="M3874" s="978"/>
      <c r="N3874" s="79"/>
      <c r="O3874" s="979"/>
      <c r="P3874" s="79" t="str">
        <f>IF(AND('331-CT'!$E$7=TH!H3874,OR(N3874="331",O3874="331")),"x","")</f>
        <v/>
      </c>
      <c r="Q3874" s="79" t="str">
        <f>IF(AND(B3874='111'!$L$11,OR($N3874=$Q$7,$O3874=$Q$7)),"x","")</f>
        <v/>
      </c>
      <c r="R3874" s="79" t="str">
        <f>IF(AND($N3874=$Q$7,$B3874&lt;'111'!$L$11),"x","")</f>
        <v/>
      </c>
      <c r="S3874" s="79" t="str">
        <f>IF(AND($O3874=$Q$7,$B3874&lt;'111'!$L$11),"x","")</f>
        <v/>
      </c>
      <c r="T3874" s="79" t="str">
        <f>IF(ISERROR(FIND('112'!$M$9,G3874,1)),"",IF((AND(FIND('112'!$M$9,G3874,1)&gt;=1,B3874='112'!$K$9,OR($N3874='112'!$I$6,$O3874='112'!$I$6))),"x",""))</f>
        <v/>
      </c>
      <c r="U3874" s="79" t="str">
        <f>IF(ISERROR(FIND('112'!$M$9,G3874,1)),"",IF((AND(LEFT(G3874,2)=LEFT('112'!$M$9,2),B3874&lt;'112'!$K$9,$N3874='112'!$I$6)),"x",""))</f>
        <v/>
      </c>
      <c r="V3874" s="79" t="str">
        <f>IF(ISERROR(FIND('112'!$M$9,G3874,1)),"",IF((AND(RIGHT(G3874,2)=RIGHT('112'!$M$9,2),B3874&lt;'112'!$K$9,$O3874='112'!$I$6)),"x",""))</f>
        <v/>
      </c>
      <c r="W3874" s="79" t="str">
        <f>IF(AND('341-CT'!$H$9=H3874,OR(LEFT(N3874,3)=$W$7,LEFT(O3874,3)=$W$7)),"x","")</f>
        <v/>
      </c>
      <c r="X3874" s="79" t="str">
        <f>IF(OR(TH!N3874=TH!$X$7,O3874=TH!$X$7),"x","")</f>
        <v/>
      </c>
      <c r="Y3874" s="79" t="str">
        <f>IF(AND(OR(N3874="131",O3874="131"),H3874='131-CT'!$H$9),"x","")</f>
        <v/>
      </c>
      <c r="Z3874" s="79"/>
      <c r="AA3874" s="79" t="str">
        <f>IF(AND(MONTH(E3874)='IN-NX'!$J$5,'IN-NX'!$D$7=D3874),"x","")</f>
        <v/>
      </c>
      <c r="AB3874" s="79" t="str">
        <f>IF(AND(OR(LEFT(TH!N3874,2)="15",LEFT(TH!O3874,2)="15"),LEFT(TH!O3874,3)&lt;&gt;"111",'152-CT'!$J$8=TH!F3874),"x","")</f>
        <v/>
      </c>
      <c r="AC3874" s="79" t="str">
        <f>IF(AND(OR(LEFT(TH!N3874,2)="15",LEFT(TH!O3874,2)="15"),TK!$E$7=TH!F3874),"x","")</f>
        <v/>
      </c>
      <c r="AD3874" s="79" t="str">
        <f>IF(AND(N3874="1521",MONTH(C3874)='BK-NL'!$M$11),"x","")</f>
        <v/>
      </c>
    </row>
    <row r="3875" spans="1:30" ht="16.5" customHeight="1">
      <c r="A3875" s="318" t="str">
        <f>IF(B3875&lt;&gt;"",IF(AND(B3875='IN-TC'!$S$4,OR(TH!N3875="1111",TH!O3875="1111")),TH!D3875,""),"")</f>
        <v/>
      </c>
      <c r="B3875" s="60" t="str">
        <f t="shared" si="418"/>
        <v/>
      </c>
      <c r="C3875" s="75"/>
      <c r="D3875" s="75"/>
      <c r="E3875" s="75"/>
      <c r="F3875" s="77"/>
      <c r="G3875" s="76"/>
      <c r="H3875" s="77"/>
      <c r="I3875" s="77"/>
      <c r="J3875" s="390"/>
      <c r="K3875" s="383"/>
      <c r="L3875" s="390"/>
      <c r="M3875" s="978"/>
      <c r="N3875" s="79"/>
      <c r="O3875" s="979"/>
      <c r="P3875" s="79" t="str">
        <f>IF(AND('331-CT'!$E$7=TH!H3875,OR(N3875="331",O3875="331")),"x","")</f>
        <v/>
      </c>
      <c r="Q3875" s="79" t="str">
        <f>IF(AND(B3875='111'!$L$11,OR($N3875=$Q$7,$O3875=$Q$7)),"x","")</f>
        <v/>
      </c>
      <c r="R3875" s="79" t="str">
        <f>IF(AND($N3875=$Q$7,$B3875&lt;'111'!$L$11),"x","")</f>
        <v/>
      </c>
      <c r="S3875" s="79" t="str">
        <f>IF(AND($O3875=$Q$7,$B3875&lt;'111'!$L$11),"x","")</f>
        <v/>
      </c>
      <c r="T3875" s="79" t="str">
        <f>IF(ISERROR(FIND('112'!$M$9,G3875,1)),"",IF((AND(FIND('112'!$M$9,G3875,1)&gt;=1,B3875='112'!$K$9,OR($N3875='112'!$I$6,$O3875='112'!$I$6))),"x",""))</f>
        <v/>
      </c>
      <c r="U3875" s="79" t="str">
        <f>IF(ISERROR(FIND('112'!$M$9,G3875,1)),"",IF((AND(LEFT(G3875,2)=LEFT('112'!$M$9,2),B3875&lt;'112'!$K$9,$N3875='112'!$I$6)),"x",""))</f>
        <v/>
      </c>
      <c r="V3875" s="79" t="str">
        <f>IF(ISERROR(FIND('112'!$M$9,G3875,1)),"",IF((AND(RIGHT(G3875,2)=RIGHT('112'!$M$9,2),B3875&lt;'112'!$K$9,$O3875='112'!$I$6)),"x",""))</f>
        <v/>
      </c>
      <c r="W3875" s="79" t="str">
        <f>IF(AND('341-CT'!$H$9=H3875,OR(LEFT(N3875,3)=$W$7,LEFT(O3875,3)=$W$7)),"x","")</f>
        <v/>
      </c>
      <c r="X3875" s="79" t="str">
        <f>IF(OR(TH!N3875=TH!$X$7,O3875=TH!$X$7),"x","")</f>
        <v/>
      </c>
      <c r="Y3875" s="79" t="str">
        <f>IF(AND(OR(N3875="131",O3875="131"),H3875='131-CT'!$H$9),"x","")</f>
        <v/>
      </c>
      <c r="Z3875" s="79"/>
      <c r="AA3875" s="79" t="str">
        <f>IF(AND(MONTH(E3875)='IN-NX'!$J$5,'IN-NX'!$D$7=D3875),"x","")</f>
        <v/>
      </c>
      <c r="AB3875" s="79" t="str">
        <f>IF(AND(OR(LEFT(TH!N3875,2)="15",LEFT(TH!O3875,2)="15"),LEFT(TH!O3875,3)&lt;&gt;"111",'152-CT'!$J$8=TH!F3875),"x","")</f>
        <v/>
      </c>
      <c r="AC3875" s="79" t="str">
        <f>IF(AND(OR(LEFT(TH!N3875,2)="15",LEFT(TH!O3875,2)="15"),TK!$E$7=TH!F3875),"x","")</f>
        <v/>
      </c>
      <c r="AD3875" s="79" t="str">
        <f>IF(AND(N3875="1521",MONTH(C3875)='BK-NL'!$M$11),"x","")</f>
        <v/>
      </c>
    </row>
    <row r="3876" spans="1:30" ht="16.5" customHeight="1">
      <c r="A3876" s="318" t="str">
        <f>IF(B3876&lt;&gt;"",IF(AND(B3876='IN-TC'!$S$4,OR(TH!N3876="1111",TH!O3876="1111")),TH!D3876,""),"")</f>
        <v/>
      </c>
      <c r="B3876" s="60" t="str">
        <f t="shared" si="418"/>
        <v/>
      </c>
      <c r="C3876" s="75"/>
      <c r="D3876" s="75"/>
      <c r="E3876" s="75"/>
      <c r="F3876" s="77"/>
      <c r="G3876" s="76"/>
      <c r="H3876" s="305"/>
      <c r="I3876" s="77"/>
      <c r="J3876" s="390"/>
      <c r="K3876" s="383"/>
      <c r="L3876" s="390"/>
      <c r="M3876" s="978"/>
      <c r="N3876" s="79"/>
      <c r="O3876" s="979"/>
      <c r="P3876" s="79" t="str">
        <f>IF(AND('331-CT'!$E$7=TH!H3876,OR(N3876="331",O3876="331")),"x","")</f>
        <v/>
      </c>
      <c r="Q3876" s="79" t="str">
        <f>IF(AND(B3876='111'!$L$11,OR($N3876=$Q$7,$O3876=$Q$7)),"x","")</f>
        <v/>
      </c>
      <c r="R3876" s="79" t="str">
        <f>IF(AND($N3876=$Q$7,$B3876&lt;'111'!$L$11),"x","")</f>
        <v/>
      </c>
      <c r="S3876" s="79" t="str">
        <f>IF(AND($O3876=$Q$7,$B3876&lt;'111'!$L$11),"x","")</f>
        <v/>
      </c>
      <c r="T3876" s="79" t="str">
        <f>IF(ISERROR(FIND('112'!$M$9,G3876,1)),"",IF((AND(FIND('112'!$M$9,G3876,1)&gt;=1,B3876='112'!$K$9,OR($N3876='112'!$I$6,$O3876='112'!$I$6))),"x",""))</f>
        <v/>
      </c>
      <c r="U3876" s="79" t="str">
        <f>IF(ISERROR(FIND('112'!$M$9,G3876,1)),"",IF((AND(LEFT(G3876,2)=LEFT('112'!$M$9,2),B3876&lt;'112'!$K$9,$N3876='112'!$I$6)),"x",""))</f>
        <v/>
      </c>
      <c r="V3876" s="79" t="str">
        <f>IF(ISERROR(FIND('112'!$M$9,G3876,1)),"",IF((AND(RIGHT(G3876,2)=RIGHT('112'!$M$9,2),B3876&lt;'112'!$K$9,$O3876='112'!$I$6)),"x",""))</f>
        <v/>
      </c>
      <c r="W3876" s="79" t="str">
        <f>IF(AND('341-CT'!$H$9=H3876,OR(LEFT(N3876,3)=$W$7,LEFT(O3876,3)=$W$7)),"x","")</f>
        <v/>
      </c>
      <c r="X3876" s="79" t="str">
        <f>IF(OR(TH!N3876=TH!$X$7,O3876=TH!$X$7),"x","")</f>
        <v/>
      </c>
      <c r="Y3876" s="79" t="str">
        <f>IF(AND(OR(N3876="131",O3876="131"),H3876='131-CT'!$H$9),"x","")</f>
        <v/>
      </c>
      <c r="Z3876" s="79"/>
      <c r="AA3876" s="79" t="str">
        <f>IF(AND(MONTH(E3876)='IN-NX'!$J$5,'IN-NX'!$D$7=D3876),"x","")</f>
        <v/>
      </c>
      <c r="AB3876" s="79" t="str">
        <f>IF(AND(OR(LEFT(TH!N3876,2)="15",LEFT(TH!O3876,2)="15"),LEFT(TH!O3876,3)&lt;&gt;"111",'152-CT'!$J$8=TH!F3876),"x","")</f>
        <v/>
      </c>
      <c r="AC3876" s="79" t="str">
        <f>IF(AND(OR(LEFT(TH!N3876,2)="15",LEFT(TH!O3876,2)="15"),TK!$E$7=TH!F3876),"x","")</f>
        <v/>
      </c>
      <c r="AD3876" s="79" t="str">
        <f>IF(AND(N3876="1521",MONTH(C3876)='BK-NL'!$M$11),"x","")</f>
        <v/>
      </c>
    </row>
    <row r="3877" spans="1:30" ht="16.5" customHeight="1">
      <c r="A3877" s="318" t="str">
        <f>IF(B3877&lt;&gt;"",IF(AND(B3877='IN-TC'!$S$4,OR(TH!N3877="1111",TH!O3877="1111")),TH!D3877,""),"")</f>
        <v/>
      </c>
      <c r="B3877" s="60" t="str">
        <f t="shared" si="418"/>
        <v/>
      </c>
      <c r="C3877" s="75"/>
      <c r="D3877" s="75"/>
      <c r="E3877" s="75"/>
      <c r="F3877" s="1278"/>
      <c r="G3877" s="76"/>
      <c r="H3877" s="305"/>
      <c r="I3877" s="77"/>
      <c r="J3877" s="1279"/>
      <c r="K3877" s="1247"/>
      <c r="L3877" s="390"/>
      <c r="M3877" s="978"/>
      <c r="N3877" s="79"/>
      <c r="O3877" s="979"/>
      <c r="P3877" s="79" t="str">
        <f>IF(AND('331-CT'!$E$7=TH!H3877,OR(N3877="331",O3877="331")),"x","")</f>
        <v/>
      </c>
      <c r="Q3877" s="79" t="str">
        <f>IF(AND(B3877='111'!$L$11,OR($N3877=$Q$7,$O3877=$Q$7)),"x","")</f>
        <v/>
      </c>
      <c r="R3877" s="79" t="str">
        <f>IF(AND($N3877=$Q$7,$B3877&lt;'111'!$L$11),"x","")</f>
        <v/>
      </c>
      <c r="S3877" s="79" t="str">
        <f>IF(AND($O3877=$Q$7,$B3877&lt;'111'!$L$11),"x","")</f>
        <v/>
      </c>
      <c r="T3877" s="79" t="str">
        <f>IF(ISERROR(FIND('112'!$M$9,G3877,1)),"",IF((AND(FIND('112'!$M$9,G3877,1)&gt;=1,B3877='112'!$K$9,OR($N3877='112'!$I$6,$O3877='112'!$I$6))),"x",""))</f>
        <v/>
      </c>
      <c r="U3877" s="79" t="str">
        <f>IF(ISERROR(FIND('112'!$M$9,G3877,1)),"",IF((AND(LEFT(G3877,2)=LEFT('112'!$M$9,2),B3877&lt;'112'!$K$9,$N3877='112'!$I$6)),"x",""))</f>
        <v/>
      </c>
      <c r="V3877" s="79" t="str">
        <f>IF(ISERROR(FIND('112'!$M$9,G3877,1)),"",IF((AND(RIGHT(G3877,2)=RIGHT('112'!$M$9,2),B3877&lt;'112'!$K$9,$O3877='112'!$I$6)),"x",""))</f>
        <v/>
      </c>
      <c r="W3877" s="79" t="str">
        <f>IF(AND('341-CT'!$H$9=H3877,OR(LEFT(N3877,3)=$W$7,LEFT(O3877,3)=$W$7)),"x","")</f>
        <v/>
      </c>
      <c r="X3877" s="79" t="str">
        <f>IF(OR(TH!N3877=TH!$X$7,O3877=TH!$X$7),"x","")</f>
        <v/>
      </c>
      <c r="Y3877" s="79" t="str">
        <f>IF(AND(OR(N3877="131",O3877="131"),H3877='131-CT'!$H$9),"x","")</f>
        <v/>
      </c>
      <c r="Z3877" s="79"/>
      <c r="AA3877" s="79" t="str">
        <f>IF(AND(MONTH(E3877)='IN-NX'!$J$5,'IN-NX'!$D$7=D3877),"x","")</f>
        <v/>
      </c>
      <c r="AB3877" s="79" t="str">
        <f>IF(AND(OR(LEFT(TH!N3877,2)="15",LEFT(TH!O3877,2)="15"),LEFT(TH!O3877,3)&lt;&gt;"111",'152-CT'!$J$8=TH!F3877),"x","")</f>
        <v/>
      </c>
      <c r="AC3877" s="79" t="str">
        <f>IF(AND(OR(LEFT(TH!N3877,2)="15",LEFT(TH!O3877,2)="15"),TK!$E$7=TH!F3877),"x","")</f>
        <v/>
      </c>
      <c r="AD3877" s="79" t="str">
        <f>IF(AND(N3877="1521",MONTH(C3877)='BK-NL'!$M$11),"x","")</f>
        <v/>
      </c>
    </row>
    <row r="3878" spans="1:30" ht="16.5" customHeight="1">
      <c r="A3878" s="318" t="str">
        <f>IF(B3878&lt;&gt;"",IF(AND(B3878='IN-TC'!$S$4,OR(TH!N3878="1111",TH!O3878="1111")),TH!D3878,""),"")</f>
        <v/>
      </c>
      <c r="B3878" s="60" t="str">
        <f t="shared" si="418"/>
        <v/>
      </c>
      <c r="C3878" s="75"/>
      <c r="D3878" s="75"/>
      <c r="E3878" s="75"/>
      <c r="F3878" s="1278"/>
      <c r="G3878" s="76"/>
      <c r="H3878" s="305"/>
      <c r="I3878" s="77"/>
      <c r="J3878" s="1279"/>
      <c r="K3878" s="1247"/>
      <c r="L3878" s="390"/>
      <c r="M3878" s="978"/>
      <c r="N3878" s="79"/>
      <c r="O3878" s="979"/>
      <c r="P3878" s="79" t="str">
        <f>IF(AND('331-CT'!$E$7=TH!H3878,OR(N3878="331",O3878="331")),"x","")</f>
        <v/>
      </c>
      <c r="Q3878" s="79" t="str">
        <f>IF(AND(B3878='111'!$L$11,OR($N3878=$Q$7,$O3878=$Q$7)),"x","")</f>
        <v/>
      </c>
      <c r="R3878" s="79" t="str">
        <f>IF(AND($N3878=$Q$7,$B3878&lt;'111'!$L$11),"x","")</f>
        <v/>
      </c>
      <c r="S3878" s="79" t="str">
        <f>IF(AND($O3878=$Q$7,$B3878&lt;'111'!$L$11),"x","")</f>
        <v/>
      </c>
      <c r="T3878" s="79" t="str">
        <f>IF(ISERROR(FIND('112'!$M$9,G3878,1)),"",IF((AND(FIND('112'!$M$9,G3878,1)&gt;=1,B3878='112'!$K$9,OR($N3878='112'!$I$6,$O3878='112'!$I$6))),"x",""))</f>
        <v/>
      </c>
      <c r="U3878" s="79" t="str">
        <f>IF(ISERROR(FIND('112'!$M$9,G3878,1)),"",IF((AND(LEFT(G3878,2)=LEFT('112'!$M$9,2),B3878&lt;'112'!$K$9,$N3878='112'!$I$6)),"x",""))</f>
        <v/>
      </c>
      <c r="V3878" s="79" t="str">
        <f>IF(ISERROR(FIND('112'!$M$9,G3878,1)),"",IF((AND(RIGHT(G3878,2)=RIGHT('112'!$M$9,2),B3878&lt;'112'!$K$9,$O3878='112'!$I$6)),"x",""))</f>
        <v/>
      </c>
      <c r="W3878" s="79" t="str">
        <f>IF(AND('341-CT'!$H$9=H3878,OR(LEFT(N3878,3)=$W$7,LEFT(O3878,3)=$W$7)),"x","")</f>
        <v/>
      </c>
      <c r="X3878" s="79" t="str">
        <f>IF(OR(TH!N3878=TH!$X$7,O3878=TH!$X$7),"x","")</f>
        <v/>
      </c>
      <c r="Y3878" s="79" t="str">
        <f>IF(AND(OR(N3878="131",O3878="131"),H3878='131-CT'!$H$9),"x","")</f>
        <v/>
      </c>
      <c r="Z3878" s="79"/>
      <c r="AA3878" s="79" t="str">
        <f>IF(AND(MONTH(E3878)='IN-NX'!$J$5,'IN-NX'!$D$7=D3878),"x","")</f>
        <v/>
      </c>
      <c r="AB3878" s="79" t="str">
        <f>IF(AND(OR(LEFT(TH!N3878,2)="15",LEFT(TH!O3878,2)="15"),LEFT(TH!O3878,3)&lt;&gt;"111",'152-CT'!$J$8=TH!F3878),"x","")</f>
        <v/>
      </c>
      <c r="AC3878" s="79" t="str">
        <f>IF(AND(OR(LEFT(TH!N3878,2)="15",LEFT(TH!O3878,2)="15"),TK!$E$7=TH!F3878),"x","")</f>
        <v/>
      </c>
      <c r="AD3878" s="79" t="str">
        <f>IF(AND(N3878="1521",MONTH(C3878)='BK-NL'!$M$11),"x","")</f>
        <v/>
      </c>
    </row>
    <row r="3879" spans="1:30" ht="16.5" customHeight="1">
      <c r="A3879" s="318" t="str">
        <f>IF(B3879&lt;&gt;"",IF(AND(B3879='IN-TC'!$S$4,OR(TH!N3879="1111",TH!O3879="1111")),TH!D3879,""),"")</f>
        <v/>
      </c>
      <c r="B3879" s="60" t="str">
        <f t="shared" si="418"/>
        <v/>
      </c>
      <c r="C3879" s="75"/>
      <c r="D3879" s="75"/>
      <c r="E3879" s="75"/>
      <c r="F3879" s="76"/>
      <c r="G3879" s="76"/>
      <c r="H3879" s="305"/>
      <c r="I3879" s="77"/>
      <c r="J3879" s="1279"/>
      <c r="K3879" s="1247"/>
      <c r="L3879" s="390"/>
      <c r="M3879" s="978"/>
      <c r="N3879" s="79"/>
      <c r="O3879" s="979"/>
      <c r="P3879" s="79" t="str">
        <f>IF(AND('331-CT'!$E$7=TH!H3879,OR(N3879="331",O3879="331")),"x","")</f>
        <v/>
      </c>
      <c r="Q3879" s="79" t="str">
        <f>IF(AND(B3879='111'!$L$11,OR($N3879=$Q$7,$O3879=$Q$7)),"x","")</f>
        <v/>
      </c>
      <c r="R3879" s="79" t="str">
        <f>IF(AND($N3879=$Q$7,$B3879&lt;'111'!$L$11),"x","")</f>
        <v/>
      </c>
      <c r="S3879" s="79" t="str">
        <f>IF(AND($O3879=$Q$7,$B3879&lt;'111'!$L$11),"x","")</f>
        <v/>
      </c>
      <c r="T3879" s="79" t="str">
        <f>IF(ISERROR(FIND('112'!$M$9,G3879,1)),"",IF((AND(FIND('112'!$M$9,G3879,1)&gt;=1,B3879='112'!$K$9,OR($N3879='112'!$I$6,$O3879='112'!$I$6))),"x",""))</f>
        <v/>
      </c>
      <c r="U3879" s="79" t="str">
        <f>IF(ISERROR(FIND('112'!$M$9,G3879,1)),"",IF((AND(LEFT(G3879,2)=LEFT('112'!$M$9,2),B3879&lt;'112'!$K$9,$N3879='112'!$I$6)),"x",""))</f>
        <v/>
      </c>
      <c r="V3879" s="79" t="str">
        <f>IF(ISERROR(FIND('112'!$M$9,G3879,1)),"",IF((AND(RIGHT(G3879,2)=RIGHT('112'!$M$9,2),B3879&lt;'112'!$K$9,$O3879='112'!$I$6)),"x",""))</f>
        <v/>
      </c>
      <c r="W3879" s="79" t="str">
        <f>IF(AND('341-CT'!$H$9=H3879,OR(LEFT(N3879,3)=$W$7,LEFT(O3879,3)=$W$7)),"x","")</f>
        <v/>
      </c>
      <c r="X3879" s="79" t="str">
        <f>IF(OR(TH!N3879=TH!$X$7,O3879=TH!$X$7),"x","")</f>
        <v/>
      </c>
      <c r="Y3879" s="79" t="str">
        <f>IF(AND(OR(N3879="131",O3879="131"),H3879='131-CT'!$H$9),"x","")</f>
        <v/>
      </c>
      <c r="Z3879" s="79"/>
      <c r="AA3879" s="79" t="str">
        <f>IF(AND(MONTH(E3879)='IN-NX'!$J$5,'IN-NX'!$D$7=D3879),"x","")</f>
        <v/>
      </c>
      <c r="AB3879" s="79" t="str">
        <f>IF(AND(OR(LEFT(TH!N3879,2)="15",LEFT(TH!O3879,2)="15"),LEFT(TH!O3879,3)&lt;&gt;"111",'152-CT'!$J$8=TH!F3879),"x","")</f>
        <v/>
      </c>
      <c r="AC3879" s="79" t="str">
        <f>IF(AND(OR(LEFT(TH!N3879,2)="15",LEFT(TH!O3879,2)="15"),TK!$E$7=TH!F3879),"x","")</f>
        <v/>
      </c>
      <c r="AD3879" s="79" t="str">
        <f>IF(AND(N3879="1521",MONTH(C3879)='BK-NL'!$M$11),"x","")</f>
        <v/>
      </c>
    </row>
    <row r="3880" spans="1:30" ht="16.5" customHeight="1">
      <c r="A3880" s="318" t="str">
        <f>IF(B3880&lt;&gt;"",IF(AND(B3880='IN-TC'!$S$4,OR(TH!N3880="1111",TH!O3880="1111")),TH!D3880,""),"")</f>
        <v/>
      </c>
      <c r="B3880" s="60" t="str">
        <f t="shared" si="418"/>
        <v/>
      </c>
      <c r="C3880" s="75"/>
      <c r="D3880" s="75"/>
      <c r="E3880" s="75"/>
      <c r="F3880" s="1278"/>
      <c r="G3880" s="76"/>
      <c r="H3880" s="305"/>
      <c r="I3880" s="77"/>
      <c r="J3880" s="1279"/>
      <c r="K3880" s="1247"/>
      <c r="L3880" s="390"/>
      <c r="M3880" s="78"/>
      <c r="N3880" s="79"/>
      <c r="O3880" s="79"/>
      <c r="P3880" s="79" t="str">
        <f>IF(AND('331-CT'!$E$7=TH!H3880,OR(N3880="331",O3880="331")),"x","")</f>
        <v/>
      </c>
      <c r="Q3880" s="79" t="str">
        <f>IF(AND(B3880='111'!$L$11,OR($N3880=$Q$7,$O3880=$Q$7)),"x","")</f>
        <v/>
      </c>
      <c r="R3880" s="79" t="str">
        <f>IF(AND($N3880=$Q$7,$B3880&lt;'111'!$L$11),"x","")</f>
        <v/>
      </c>
      <c r="S3880" s="79" t="str">
        <f>IF(AND($O3880=$Q$7,$B3880&lt;'111'!$L$11),"x","")</f>
        <v/>
      </c>
      <c r="T3880" s="79" t="str">
        <f>IF(ISERROR(FIND('112'!$M$9,G3880,1)),"",IF((AND(FIND('112'!$M$9,G3880,1)&gt;=1,B3880='112'!$K$9,OR($N3880='112'!$I$6,$O3880='112'!$I$6))),"x",""))</f>
        <v/>
      </c>
      <c r="U3880" s="79" t="str">
        <f>IF(ISERROR(FIND('112'!$M$9,G3880,1)),"",IF((AND(LEFT(G3880,2)=LEFT('112'!$M$9,2),B3880&lt;'112'!$K$9,$N3880='112'!$I$6)),"x",""))</f>
        <v/>
      </c>
      <c r="V3880" s="79" t="str">
        <f>IF(ISERROR(FIND('112'!$M$9,G3880,1)),"",IF((AND(RIGHT(G3880,2)=RIGHT('112'!$M$9,2),B3880&lt;'112'!$K$9,$O3880='112'!$I$6)),"x",""))</f>
        <v/>
      </c>
      <c r="W3880" s="79" t="str">
        <f>IF(AND('341-CT'!$H$9=H3880,OR(LEFT(N3880,3)=$W$7,LEFT(O3880,3)=$W$7)),"x","")</f>
        <v/>
      </c>
      <c r="X3880" s="79" t="str">
        <f>IF(OR(TH!N3880=TH!$X$7,O3880=TH!$X$7),"x","")</f>
        <v/>
      </c>
      <c r="Y3880" s="79" t="str">
        <f>IF(AND(OR(N3880="131",O3880="131"),H3880='131-CT'!$H$9),"x","")</f>
        <v/>
      </c>
      <c r="Z3880" s="79"/>
      <c r="AA3880" s="79" t="str">
        <f>IF(AND(MONTH(E3880)='IN-NX'!$J$5,'IN-NX'!$D$7=D3880),"x","")</f>
        <v/>
      </c>
      <c r="AB3880" s="79" t="str">
        <f>IF(AND(OR(LEFT(TH!N3880,2)="15",LEFT(TH!O3880,2)="15"),LEFT(TH!O3880,3)&lt;&gt;"111",'152-CT'!$J$8=TH!F3880),"x","")</f>
        <v/>
      </c>
      <c r="AC3880" s="79" t="str">
        <f>IF(AND(OR(LEFT(TH!N3880,2)="15",LEFT(TH!O3880,2)="15"),TK!$E$7=TH!F3880),"x","")</f>
        <v/>
      </c>
      <c r="AD3880" s="79" t="str">
        <f>IF(AND(N3880="1521",MONTH(C3880)='BK-NL'!$M$11),"x","")</f>
        <v/>
      </c>
    </row>
    <row r="3881" spans="1:30" ht="16.5" customHeight="1">
      <c r="A3881" s="318" t="str">
        <f>IF(B3881&lt;&gt;"",IF(AND(B3881='IN-TC'!$S$4,OR(TH!N3881="1111",TH!O3881="1111")),TH!D3881,""),"")</f>
        <v/>
      </c>
      <c r="B3881" s="60" t="str">
        <f t="shared" si="418"/>
        <v/>
      </c>
      <c r="C3881" s="75"/>
      <c r="D3881" s="75"/>
      <c r="E3881" s="75"/>
      <c r="F3881" s="76"/>
      <c r="G3881" s="76"/>
      <c r="H3881" s="77"/>
      <c r="I3881" s="77"/>
      <c r="J3881" s="1279"/>
      <c r="K3881" s="1247"/>
      <c r="L3881" s="390"/>
      <c r="M3881" s="978"/>
      <c r="N3881" s="79"/>
      <c r="O3881" s="979"/>
      <c r="P3881" s="79" t="str">
        <f>IF(AND('331-CT'!$E$7=TH!H3881,OR(N3881="331",O3881="331")),"x","")</f>
        <v/>
      </c>
      <c r="Q3881" s="79" t="str">
        <f>IF(AND(B3881='111'!$L$11,OR($N3881=$Q$7,$O3881=$Q$7)),"x","")</f>
        <v/>
      </c>
      <c r="R3881" s="79" t="str">
        <f>IF(AND($N3881=$Q$7,$B3881&lt;'111'!$L$11),"x","")</f>
        <v/>
      </c>
      <c r="S3881" s="79" t="str">
        <f>IF(AND($O3881=$Q$7,$B3881&lt;'111'!$L$11),"x","")</f>
        <v/>
      </c>
      <c r="T3881" s="79" t="str">
        <f>IF(ISERROR(FIND('112'!$M$9,G3881,1)),"",IF((AND(FIND('112'!$M$9,G3881,1)&gt;=1,B3881='112'!$K$9,OR($N3881='112'!$I$6,$O3881='112'!$I$6))),"x",""))</f>
        <v/>
      </c>
      <c r="U3881" s="79" t="str">
        <f>IF(ISERROR(FIND('112'!$M$9,G3881,1)),"",IF((AND(LEFT(G3881,2)=LEFT('112'!$M$9,2),B3881&lt;'112'!$K$9,$N3881='112'!$I$6)),"x",""))</f>
        <v/>
      </c>
      <c r="V3881" s="79" t="str">
        <f>IF(ISERROR(FIND('112'!$M$9,G3881,1)),"",IF((AND(RIGHT(G3881,2)=RIGHT('112'!$M$9,2),B3881&lt;'112'!$K$9,$O3881='112'!$I$6)),"x",""))</f>
        <v/>
      </c>
      <c r="W3881" s="79" t="str">
        <f>IF(AND('341-CT'!$H$9=H3881,OR(LEFT(N3881,3)=$W$7,LEFT(O3881,3)=$W$7)),"x","")</f>
        <v/>
      </c>
      <c r="X3881" s="79" t="str">
        <f>IF(OR(TH!N3881=TH!$X$7,O3881=TH!$X$7),"x","")</f>
        <v/>
      </c>
      <c r="Y3881" s="79" t="str">
        <f>IF(AND(OR(N3881="131",O3881="131"),H3881='131-CT'!$H$9),"x","")</f>
        <v/>
      </c>
      <c r="Z3881" s="79"/>
      <c r="AA3881" s="79" t="str">
        <f>IF(AND(MONTH(E3881)='IN-NX'!$J$5,'IN-NX'!$D$7=D3881),"x","")</f>
        <v/>
      </c>
      <c r="AB3881" s="79" t="str">
        <f>IF(AND(OR(LEFT(TH!N3881,2)="15",LEFT(TH!O3881,2)="15"),LEFT(TH!O3881,3)&lt;&gt;"111",'152-CT'!$J$8=TH!F3881),"x","")</f>
        <v/>
      </c>
      <c r="AC3881" s="79" t="str">
        <f>IF(AND(OR(LEFT(TH!N3881,2)="15",LEFT(TH!O3881,2)="15"),TK!$E$7=TH!F3881),"x","")</f>
        <v/>
      </c>
      <c r="AD3881" s="79" t="str">
        <f>IF(AND(N3881="1521",MONTH(C3881)='BK-NL'!$M$11),"x","")</f>
        <v/>
      </c>
    </row>
    <row r="3882" spans="1:30" ht="16.5" customHeight="1">
      <c r="A3882" s="318" t="str">
        <f>IF(B3882&lt;&gt;"",IF(AND(B3882='IN-TC'!$S$4,OR(TH!N3882="1111",TH!O3882="1111")),TH!D3882,""),"")</f>
        <v/>
      </c>
      <c r="B3882" s="60" t="str">
        <f t="shared" si="418"/>
        <v/>
      </c>
      <c r="C3882" s="75"/>
      <c r="D3882" s="75"/>
      <c r="E3882" s="75"/>
      <c r="F3882" s="76"/>
      <c r="G3882" s="76"/>
      <c r="H3882" s="77"/>
      <c r="I3882" s="77"/>
      <c r="J3882" s="1279"/>
      <c r="K3882" s="1247"/>
      <c r="L3882" s="390"/>
      <c r="M3882" s="978"/>
      <c r="N3882" s="79"/>
      <c r="O3882" s="979"/>
      <c r="P3882" s="79" t="str">
        <f>IF(AND('331-CT'!$E$7=TH!H3882,OR(N3882="331",O3882="331")),"x","")</f>
        <v/>
      </c>
      <c r="Q3882" s="79" t="str">
        <f>IF(AND(B3882='111'!$L$11,OR($N3882=$Q$7,$O3882=$Q$7)),"x","")</f>
        <v/>
      </c>
      <c r="R3882" s="79" t="str">
        <f>IF(AND($N3882=$Q$7,$B3882&lt;'111'!$L$11),"x","")</f>
        <v/>
      </c>
      <c r="S3882" s="79" t="str">
        <f>IF(AND($O3882=$Q$7,$B3882&lt;'111'!$L$11),"x","")</f>
        <v/>
      </c>
      <c r="T3882" s="79" t="str">
        <f>IF(ISERROR(FIND('112'!$M$9,G3882,1)),"",IF((AND(FIND('112'!$M$9,G3882,1)&gt;=1,B3882='112'!$K$9,OR($N3882='112'!$I$6,$O3882='112'!$I$6))),"x",""))</f>
        <v/>
      </c>
      <c r="U3882" s="79" t="str">
        <f>IF(ISERROR(FIND('112'!$M$9,G3882,1)),"",IF((AND(LEFT(G3882,2)=LEFT('112'!$M$9,2),B3882&lt;'112'!$K$9,$N3882='112'!$I$6)),"x",""))</f>
        <v/>
      </c>
      <c r="V3882" s="79" t="str">
        <f>IF(ISERROR(FIND('112'!$M$9,G3882,1)),"",IF((AND(RIGHT(G3882,2)=RIGHT('112'!$M$9,2),B3882&lt;'112'!$K$9,$O3882='112'!$I$6)),"x",""))</f>
        <v/>
      </c>
      <c r="W3882" s="79" t="str">
        <f>IF(AND('341-CT'!$H$9=H3882,OR(LEFT(N3882,3)=$W$7,LEFT(O3882,3)=$W$7)),"x","")</f>
        <v/>
      </c>
      <c r="X3882" s="79" t="str">
        <f>IF(OR(TH!N3882=TH!$X$7,O3882=TH!$X$7),"x","")</f>
        <v/>
      </c>
      <c r="Y3882" s="79" t="str">
        <f>IF(AND(OR(N3882="131",O3882="131"),H3882='131-CT'!$H$9),"x","")</f>
        <v/>
      </c>
      <c r="Z3882" s="79"/>
      <c r="AA3882" s="79" t="str">
        <f>IF(AND(MONTH(E3882)='IN-NX'!$J$5,'IN-NX'!$D$7=D3882),"x","")</f>
        <v/>
      </c>
      <c r="AB3882" s="79" t="str">
        <f>IF(AND(OR(LEFT(TH!N3882,2)="15",LEFT(TH!O3882,2)="15"),LEFT(TH!O3882,3)&lt;&gt;"111",'152-CT'!$J$8=TH!F3882),"x","")</f>
        <v/>
      </c>
      <c r="AC3882" s="79" t="str">
        <f>IF(AND(OR(LEFT(TH!N3882,2)="15",LEFT(TH!O3882,2)="15"),TK!$E$7=TH!F3882),"x","")</f>
        <v/>
      </c>
      <c r="AD3882" s="79" t="str">
        <f>IF(AND(N3882="1521",MONTH(C3882)='BK-NL'!$M$11),"x","")</f>
        <v/>
      </c>
    </row>
    <row r="3883" spans="1:30" ht="16.5" customHeight="1">
      <c r="A3883" s="318" t="str">
        <f>IF(B3883&lt;&gt;"",IF(AND(B3883='IN-TC'!$S$4,OR(TH!N3883="1111",TH!O3883="1111")),TH!D3883,""),"")</f>
        <v/>
      </c>
      <c r="B3883" s="60" t="str">
        <f t="shared" si="418"/>
        <v/>
      </c>
      <c r="C3883" s="75"/>
      <c r="D3883" s="75"/>
      <c r="E3883" s="75"/>
      <c r="F3883" s="1278"/>
      <c r="G3883" s="76"/>
      <c r="H3883" s="77"/>
      <c r="I3883" s="77"/>
      <c r="J3883" s="1279"/>
      <c r="K3883" s="1247"/>
      <c r="L3883" s="390"/>
      <c r="M3883" s="78"/>
      <c r="N3883" s="79"/>
      <c r="O3883" s="79"/>
      <c r="P3883" s="79" t="str">
        <f>IF(AND('331-CT'!$E$7=TH!H3883,OR(N3883="331",O3883="331")),"x","")</f>
        <v/>
      </c>
      <c r="Q3883" s="79" t="str">
        <f>IF(AND(B3883='111'!$L$11,OR($N3883=$Q$7,$O3883=$Q$7)),"x","")</f>
        <v/>
      </c>
      <c r="R3883" s="79" t="str">
        <f>IF(AND($N3883=$Q$7,$B3883&lt;'111'!$L$11),"x","")</f>
        <v/>
      </c>
      <c r="S3883" s="79" t="str">
        <f>IF(AND($O3883=$Q$7,$B3883&lt;'111'!$L$11),"x","")</f>
        <v/>
      </c>
      <c r="T3883" s="79" t="str">
        <f>IF(ISERROR(FIND('112'!$M$9,G3883,1)),"",IF((AND(FIND('112'!$M$9,G3883,1)&gt;=1,B3883='112'!$K$9,OR($N3883='112'!$I$6,$O3883='112'!$I$6))),"x",""))</f>
        <v/>
      </c>
      <c r="U3883" s="79" t="str">
        <f>IF(ISERROR(FIND('112'!$M$9,G3883,1)),"",IF((AND(LEFT(G3883,2)=LEFT('112'!$M$9,2),B3883&lt;'112'!$K$9,$N3883='112'!$I$6)),"x",""))</f>
        <v/>
      </c>
      <c r="V3883" s="79" t="str">
        <f>IF(ISERROR(FIND('112'!$M$9,G3883,1)),"",IF((AND(RIGHT(G3883,2)=RIGHT('112'!$M$9,2),B3883&lt;'112'!$K$9,$O3883='112'!$I$6)),"x",""))</f>
        <v/>
      </c>
      <c r="W3883" s="79" t="str">
        <f>IF(AND('341-CT'!$H$9=H3883,OR(LEFT(N3883,3)=$W$7,LEFT(O3883,3)=$W$7)),"x","")</f>
        <v/>
      </c>
      <c r="X3883" s="79" t="str">
        <f>IF(OR(TH!N3883=TH!$X$7,O3883=TH!$X$7),"x","")</f>
        <v/>
      </c>
      <c r="Y3883" s="79" t="str">
        <f>IF(AND(OR(N3883="131",O3883="131"),H3883='131-CT'!$H$9),"x","")</f>
        <v/>
      </c>
      <c r="Z3883" s="79"/>
      <c r="AA3883" s="79" t="str">
        <f>IF(AND(MONTH(E3883)='IN-NX'!$J$5,'IN-NX'!$D$7=D3883),"x","")</f>
        <v/>
      </c>
      <c r="AB3883" s="79" t="str">
        <f>IF(AND(OR(LEFT(TH!N3883,2)="15",LEFT(TH!O3883,2)="15"),LEFT(TH!O3883,3)&lt;&gt;"111",'152-CT'!$J$8=TH!F3883),"x","")</f>
        <v/>
      </c>
      <c r="AC3883" s="79" t="str">
        <f>IF(AND(OR(LEFT(TH!N3883,2)="15",LEFT(TH!O3883,2)="15"),TK!$E$7=TH!F3883),"x","")</f>
        <v/>
      </c>
      <c r="AD3883" s="79" t="str">
        <f>IF(AND(N3883="1521",MONTH(C3883)='BK-NL'!$M$11),"x","")</f>
        <v/>
      </c>
    </row>
    <row r="3884" spans="1:30" ht="16.5" customHeight="1">
      <c r="A3884" s="318" t="str">
        <f>IF(B3884&lt;&gt;"",IF(AND(B3884='IN-TC'!$S$4,OR(TH!N3884="1111",TH!O3884="1111")),TH!D3884,""),"")</f>
        <v/>
      </c>
      <c r="B3884" s="60" t="str">
        <f t="shared" si="418"/>
        <v/>
      </c>
      <c r="C3884" s="75"/>
      <c r="D3884" s="75"/>
      <c r="E3884" s="75"/>
      <c r="F3884" s="76"/>
      <c r="G3884" s="76"/>
      <c r="H3884" s="759"/>
      <c r="I3884" s="77"/>
      <c r="J3884" s="1279"/>
      <c r="K3884" s="1247"/>
      <c r="L3884" s="390"/>
      <c r="M3884" s="978"/>
      <c r="N3884" s="79"/>
      <c r="O3884" s="979"/>
      <c r="P3884" s="79" t="str">
        <f>IF(AND('331-CT'!$E$7=TH!H3884,OR(N3884="331",O3884="331")),"x","")</f>
        <v/>
      </c>
      <c r="Q3884" s="79" t="str">
        <f>IF(AND(B3884='111'!$L$11,OR($N3884=$Q$7,$O3884=$Q$7)),"x","")</f>
        <v/>
      </c>
      <c r="R3884" s="79" t="str">
        <f>IF(AND($N3884=$Q$7,$B3884&lt;'111'!$L$11),"x","")</f>
        <v/>
      </c>
      <c r="S3884" s="79" t="str">
        <f>IF(AND($O3884=$Q$7,$B3884&lt;'111'!$L$11),"x","")</f>
        <v/>
      </c>
      <c r="T3884" s="79" t="str">
        <f>IF(ISERROR(FIND('112'!$M$9,G3884,1)),"",IF((AND(FIND('112'!$M$9,G3884,1)&gt;=1,B3884='112'!$K$9,OR($N3884='112'!$I$6,$O3884='112'!$I$6))),"x",""))</f>
        <v/>
      </c>
      <c r="U3884" s="79" t="str">
        <f>IF(ISERROR(FIND('112'!$M$9,G3884,1)),"",IF((AND(LEFT(G3884,2)=LEFT('112'!$M$9,2),B3884&lt;'112'!$K$9,$N3884='112'!$I$6)),"x",""))</f>
        <v/>
      </c>
      <c r="V3884" s="79" t="str">
        <f>IF(ISERROR(FIND('112'!$M$9,G3884,1)),"",IF((AND(RIGHT(G3884,2)=RIGHT('112'!$M$9,2),B3884&lt;'112'!$K$9,$O3884='112'!$I$6)),"x",""))</f>
        <v/>
      </c>
      <c r="W3884" s="79" t="str">
        <f>IF(AND('341-CT'!$H$9=H3884,OR(LEFT(N3884,3)=$W$7,LEFT(O3884,3)=$W$7)),"x","")</f>
        <v/>
      </c>
      <c r="X3884" s="79" t="str">
        <f>IF(OR(TH!N3884=TH!$X$7,O3884=TH!$X$7),"x","")</f>
        <v/>
      </c>
      <c r="Y3884" s="79" t="str">
        <f>IF(AND(OR(N3884="131",O3884="131"),H3884='131-CT'!$H$9),"x","")</f>
        <v/>
      </c>
      <c r="Z3884" s="79"/>
      <c r="AA3884" s="79" t="str">
        <f>IF(AND(MONTH(E3884)='IN-NX'!$J$5,'IN-NX'!$D$7=D3884),"x","")</f>
        <v/>
      </c>
      <c r="AB3884" s="79" t="str">
        <f>IF(AND(OR(LEFT(TH!N3884,2)="15",LEFT(TH!O3884,2)="15"),LEFT(TH!O3884,3)&lt;&gt;"111",'152-CT'!$J$8=TH!F3884),"x","")</f>
        <v/>
      </c>
      <c r="AC3884" s="79" t="str">
        <f>IF(AND(OR(LEFT(TH!N3884,2)="15",LEFT(TH!O3884,2)="15"),TK!$E$7=TH!F3884),"x","")</f>
        <v/>
      </c>
      <c r="AD3884" s="79" t="str">
        <f>IF(AND(N3884="1521",MONTH(C3884)='BK-NL'!$M$11),"x","")</f>
        <v/>
      </c>
    </row>
    <row r="3885" spans="1:30" ht="16.5" customHeight="1">
      <c r="A3885" s="318" t="str">
        <f>IF(B3885&lt;&gt;"",IF(AND(B3885='IN-TC'!$S$4,OR(TH!N3885="1111",TH!O3885="1111")),TH!D3885,""),"")</f>
        <v/>
      </c>
      <c r="B3885" s="60" t="str">
        <f t="shared" si="418"/>
        <v/>
      </c>
      <c r="C3885" s="75"/>
      <c r="D3885" s="75"/>
      <c r="E3885" s="75"/>
      <c r="F3885" s="76"/>
      <c r="G3885" s="76"/>
      <c r="H3885" s="759"/>
      <c r="I3885" s="77"/>
      <c r="J3885" s="1279"/>
      <c r="K3885" s="1247"/>
      <c r="L3885" s="390"/>
      <c r="M3885" s="978"/>
      <c r="N3885" s="79"/>
      <c r="O3885" s="979"/>
      <c r="P3885" s="79" t="str">
        <f>IF(AND('331-CT'!$E$7=TH!H3885,OR(N3885="331",O3885="331")),"x","")</f>
        <v/>
      </c>
      <c r="Q3885" s="79" t="str">
        <f>IF(AND(B3885='111'!$L$11,OR($N3885=$Q$7,$O3885=$Q$7)),"x","")</f>
        <v/>
      </c>
      <c r="R3885" s="79" t="str">
        <f>IF(AND($N3885=$Q$7,$B3885&lt;'111'!$L$11),"x","")</f>
        <v/>
      </c>
      <c r="S3885" s="79" t="str">
        <f>IF(AND($O3885=$Q$7,$B3885&lt;'111'!$L$11),"x","")</f>
        <v/>
      </c>
      <c r="T3885" s="79" t="str">
        <f>IF(ISERROR(FIND('112'!$M$9,G3885,1)),"",IF((AND(FIND('112'!$M$9,G3885,1)&gt;=1,B3885='112'!$K$9,OR($N3885='112'!$I$6,$O3885='112'!$I$6))),"x",""))</f>
        <v/>
      </c>
      <c r="U3885" s="79" t="str">
        <f>IF(ISERROR(FIND('112'!$M$9,G3885,1)),"",IF((AND(LEFT(G3885,2)=LEFT('112'!$M$9,2),B3885&lt;'112'!$K$9,$N3885='112'!$I$6)),"x",""))</f>
        <v/>
      </c>
      <c r="V3885" s="79" t="str">
        <f>IF(ISERROR(FIND('112'!$M$9,G3885,1)),"",IF((AND(RIGHT(G3885,2)=RIGHT('112'!$M$9,2),B3885&lt;'112'!$K$9,$O3885='112'!$I$6)),"x",""))</f>
        <v/>
      </c>
      <c r="W3885" s="79" t="str">
        <f>IF(AND('341-CT'!$H$9=H3885,OR(LEFT(N3885,3)=$W$7,LEFT(O3885,3)=$W$7)),"x","")</f>
        <v/>
      </c>
      <c r="X3885" s="79" t="str">
        <f>IF(OR(TH!N3885=TH!$X$7,O3885=TH!$X$7),"x","")</f>
        <v/>
      </c>
      <c r="Y3885" s="79" t="str">
        <f>IF(AND(OR(N3885="131",O3885="131"),H3885='131-CT'!$H$9),"x","")</f>
        <v/>
      </c>
      <c r="Z3885" s="79"/>
      <c r="AA3885" s="79" t="str">
        <f>IF(AND(MONTH(E3885)='IN-NX'!$J$5,'IN-NX'!$D$7=D3885),"x","")</f>
        <v/>
      </c>
      <c r="AB3885" s="79" t="str">
        <f>IF(AND(OR(LEFT(TH!N3885,2)="15",LEFT(TH!O3885,2)="15"),LEFT(TH!O3885,3)&lt;&gt;"111",'152-CT'!$J$8=TH!F3885),"x","")</f>
        <v/>
      </c>
      <c r="AC3885" s="79" t="str">
        <f>IF(AND(OR(LEFT(TH!N3885,2)="15",LEFT(TH!O3885,2)="15"),TK!$E$7=TH!F3885),"x","")</f>
        <v/>
      </c>
      <c r="AD3885" s="79" t="str">
        <f>IF(AND(N3885="1521",MONTH(C3885)='BK-NL'!$M$11),"x","")</f>
        <v/>
      </c>
    </row>
    <row r="3886" spans="1:30" ht="16.5" customHeight="1">
      <c r="A3886" s="318" t="str">
        <f>IF(B3886&lt;&gt;"",IF(AND(B3886='IN-TC'!$S$4,OR(TH!N3886="1111",TH!O3886="1111")),TH!D3886,""),"")</f>
        <v/>
      </c>
      <c r="B3886" s="60" t="str">
        <f t="shared" si="418"/>
        <v/>
      </c>
      <c r="C3886" s="75"/>
      <c r="D3886" s="75"/>
      <c r="E3886" s="75"/>
      <c r="F3886" s="1278"/>
      <c r="G3886" s="76"/>
      <c r="H3886" s="759"/>
      <c r="I3886" s="77"/>
      <c r="J3886" s="1279"/>
      <c r="K3886" s="1247"/>
      <c r="L3886" s="390"/>
      <c r="M3886" s="78"/>
      <c r="N3886" s="79"/>
      <c r="O3886" s="979"/>
      <c r="P3886" s="79" t="str">
        <f>IF(AND('331-CT'!$E$7=TH!H3886,OR(N3886="331",O3886="331")),"x","")</f>
        <v/>
      </c>
      <c r="Q3886" s="79" t="str">
        <f>IF(AND(B3886='111'!$L$11,OR($N3886=$Q$7,$O3886=$Q$7)),"x","")</f>
        <v/>
      </c>
      <c r="R3886" s="79" t="str">
        <f>IF(AND($N3886=$Q$7,$B3886&lt;'111'!$L$11),"x","")</f>
        <v/>
      </c>
      <c r="S3886" s="79" t="str">
        <f>IF(AND($O3886=$Q$7,$B3886&lt;'111'!$L$11),"x","")</f>
        <v/>
      </c>
      <c r="T3886" s="79" t="str">
        <f>IF(ISERROR(FIND('112'!$M$9,G3886,1)),"",IF((AND(FIND('112'!$M$9,G3886,1)&gt;=1,B3886='112'!$K$9,OR($N3886='112'!$I$6,$O3886='112'!$I$6))),"x",""))</f>
        <v/>
      </c>
      <c r="U3886" s="79" t="str">
        <f>IF(ISERROR(FIND('112'!$M$9,G3886,1)),"",IF((AND(LEFT(G3886,2)=LEFT('112'!$M$9,2),B3886&lt;'112'!$K$9,$N3886='112'!$I$6)),"x",""))</f>
        <v/>
      </c>
      <c r="V3886" s="79" t="str">
        <f>IF(ISERROR(FIND('112'!$M$9,G3886,1)),"",IF((AND(RIGHT(G3886,2)=RIGHT('112'!$M$9,2),B3886&lt;'112'!$K$9,$O3886='112'!$I$6)),"x",""))</f>
        <v/>
      </c>
      <c r="W3886" s="79" t="str">
        <f>IF(AND('341-CT'!$H$9=H3886,OR(LEFT(N3886,3)=$W$7,LEFT(O3886,3)=$W$7)),"x","")</f>
        <v/>
      </c>
      <c r="X3886" s="79" t="str">
        <f>IF(OR(TH!N3886=TH!$X$7,O3886=TH!$X$7),"x","")</f>
        <v/>
      </c>
      <c r="Y3886" s="79" t="str">
        <f>IF(AND(OR(N3886="131",O3886="131"),H3886='131-CT'!$H$9),"x","")</f>
        <v/>
      </c>
      <c r="Z3886" s="79"/>
      <c r="AA3886" s="79" t="str">
        <f>IF(AND(MONTH(E3886)='IN-NX'!$J$5,'IN-NX'!$D$7=D3886),"x","")</f>
        <v/>
      </c>
      <c r="AB3886" s="79" t="str">
        <f>IF(AND(OR(LEFT(TH!N3886,2)="15",LEFT(TH!O3886,2)="15"),LEFT(TH!O3886,3)&lt;&gt;"111",'152-CT'!$J$8=TH!F3886),"x","")</f>
        <v/>
      </c>
      <c r="AC3886" s="79" t="str">
        <f>IF(AND(OR(LEFT(TH!N3886,2)="15",LEFT(TH!O3886,2)="15"),TK!$E$7=TH!F3886),"x","")</f>
        <v/>
      </c>
      <c r="AD3886" s="79" t="str">
        <f>IF(AND(N3886="1521",MONTH(C3886)='BK-NL'!$M$11),"x","")</f>
        <v/>
      </c>
    </row>
    <row r="3887" spans="1:30" ht="16.5" customHeight="1">
      <c r="A3887" s="318" t="str">
        <f>IF(B3887&lt;&gt;"",IF(AND(B3887='IN-TC'!$S$4,OR(TH!N3887="1111",TH!O3887="1111")),TH!D3887,""),"")</f>
        <v/>
      </c>
      <c r="B3887" s="60" t="str">
        <f t="shared" si="418"/>
        <v/>
      </c>
      <c r="C3887" s="75"/>
      <c r="D3887" s="75"/>
      <c r="E3887" s="75"/>
      <c r="F3887" s="76"/>
      <c r="G3887" s="76"/>
      <c r="H3887" s="759"/>
      <c r="I3887" s="77"/>
      <c r="J3887" s="1279"/>
      <c r="K3887" s="1247"/>
      <c r="L3887" s="390"/>
      <c r="M3887" s="978"/>
      <c r="N3887" s="79"/>
      <c r="O3887" s="979"/>
      <c r="P3887" s="79" t="str">
        <f>IF(AND('331-CT'!$E$7=TH!H3887,OR(N3887="331",O3887="331")),"x","")</f>
        <v/>
      </c>
      <c r="Q3887" s="79" t="str">
        <f>IF(AND(B3887='111'!$L$11,OR($N3887=$Q$7,$O3887=$Q$7)),"x","")</f>
        <v/>
      </c>
      <c r="R3887" s="79" t="str">
        <f>IF(AND($N3887=$Q$7,$B3887&lt;'111'!$L$11),"x","")</f>
        <v/>
      </c>
      <c r="S3887" s="79" t="str">
        <f>IF(AND($O3887=$Q$7,$B3887&lt;'111'!$L$11),"x","")</f>
        <v/>
      </c>
      <c r="T3887" s="79" t="str">
        <f>IF(ISERROR(FIND('112'!$M$9,G3887,1)),"",IF((AND(FIND('112'!$M$9,G3887,1)&gt;=1,B3887='112'!$K$9,OR($N3887='112'!$I$6,$O3887='112'!$I$6))),"x",""))</f>
        <v/>
      </c>
      <c r="U3887" s="79" t="str">
        <f>IF(ISERROR(FIND('112'!$M$9,G3887,1)),"",IF((AND(LEFT(G3887,2)=LEFT('112'!$M$9,2),B3887&lt;'112'!$K$9,$N3887='112'!$I$6)),"x",""))</f>
        <v/>
      </c>
      <c r="V3887" s="79" t="str">
        <f>IF(ISERROR(FIND('112'!$M$9,G3887,1)),"",IF((AND(RIGHT(G3887,2)=RIGHT('112'!$M$9,2),B3887&lt;'112'!$K$9,$O3887='112'!$I$6)),"x",""))</f>
        <v/>
      </c>
      <c r="W3887" s="79" t="str">
        <f>IF(AND('341-CT'!$H$9=H3887,OR(LEFT(N3887,3)=$W$7,LEFT(O3887,3)=$W$7)),"x","")</f>
        <v/>
      </c>
      <c r="X3887" s="79" t="str">
        <f>IF(OR(TH!N3887=TH!$X$7,O3887=TH!$X$7),"x","")</f>
        <v/>
      </c>
      <c r="Y3887" s="79" t="str">
        <f>IF(AND(OR(N3887="131",O3887="131"),H3887='131-CT'!$H$9),"x","")</f>
        <v/>
      </c>
      <c r="Z3887" s="79"/>
      <c r="AA3887" s="79" t="str">
        <f>IF(AND(MONTH(E3887)='IN-NX'!$J$5,'IN-NX'!$D$7=D3887),"x","")</f>
        <v/>
      </c>
      <c r="AB3887" s="79" t="str">
        <f>IF(AND(OR(LEFT(TH!N3887,2)="15",LEFT(TH!O3887,2)="15"),LEFT(TH!O3887,3)&lt;&gt;"111",'152-CT'!$J$8=TH!F3887),"x","")</f>
        <v/>
      </c>
      <c r="AC3887" s="79" t="str">
        <f>IF(AND(OR(LEFT(TH!N3887,2)="15",LEFT(TH!O3887,2)="15"),TK!$E$7=TH!F3887),"x","")</f>
        <v/>
      </c>
      <c r="AD3887" s="79" t="str">
        <f>IF(AND(N3887="1521",MONTH(C3887)='BK-NL'!$M$11),"x","")</f>
        <v/>
      </c>
    </row>
    <row r="3888" spans="1:30" ht="16.5" customHeight="1">
      <c r="A3888" s="318" t="str">
        <f>IF(B3888&lt;&gt;"",IF(AND(B3888='IN-TC'!$S$4,OR(TH!N3888="1111",TH!O3888="1111")),TH!D3888,""),"")</f>
        <v/>
      </c>
      <c r="B3888" s="60" t="str">
        <f t="shared" si="418"/>
        <v/>
      </c>
      <c r="C3888" s="75"/>
      <c r="D3888" s="75"/>
      <c r="E3888" s="75"/>
      <c r="F3888" s="76"/>
      <c r="G3888" s="76"/>
      <c r="H3888" s="759"/>
      <c r="I3888" s="77"/>
      <c r="J3888" s="1253"/>
      <c r="K3888" s="1247"/>
      <c r="L3888" s="390"/>
      <c r="M3888" s="978"/>
      <c r="N3888" s="79"/>
      <c r="O3888" s="979"/>
      <c r="P3888" s="79" t="str">
        <f>IF(AND('331-CT'!$E$7=TH!H3888,OR(N3888="331",O3888="331")),"x","")</f>
        <v/>
      </c>
      <c r="Q3888" s="79" t="str">
        <f>IF(AND(B3888='111'!$L$11,OR($N3888=$Q$7,$O3888=$Q$7)),"x","")</f>
        <v/>
      </c>
      <c r="R3888" s="79" t="str">
        <f>IF(AND($N3888=$Q$7,$B3888&lt;'111'!$L$11),"x","")</f>
        <v/>
      </c>
      <c r="S3888" s="79" t="str">
        <f>IF(AND($O3888=$Q$7,$B3888&lt;'111'!$L$11),"x","")</f>
        <v/>
      </c>
      <c r="T3888" s="79" t="str">
        <f>IF(ISERROR(FIND('112'!$M$9,G3888,1)),"",IF((AND(FIND('112'!$M$9,G3888,1)&gt;=1,B3888='112'!$K$9,OR($N3888='112'!$I$6,$O3888='112'!$I$6))),"x",""))</f>
        <v/>
      </c>
      <c r="U3888" s="79" t="str">
        <f>IF(ISERROR(FIND('112'!$M$9,G3888,1)),"",IF((AND(LEFT(G3888,2)=LEFT('112'!$M$9,2),B3888&lt;'112'!$K$9,$N3888='112'!$I$6)),"x",""))</f>
        <v/>
      </c>
      <c r="V3888" s="79" t="str">
        <f>IF(ISERROR(FIND('112'!$M$9,G3888,1)),"",IF((AND(RIGHT(G3888,2)=RIGHT('112'!$M$9,2),B3888&lt;'112'!$K$9,$O3888='112'!$I$6)),"x",""))</f>
        <v/>
      </c>
      <c r="W3888" s="79" t="str">
        <f>IF(AND('341-CT'!$H$9=H3888,OR(LEFT(N3888,3)=$W$7,LEFT(O3888,3)=$W$7)),"x","")</f>
        <v/>
      </c>
      <c r="X3888" s="79" t="str">
        <f>IF(OR(TH!N3888=TH!$X$7,O3888=TH!$X$7),"x","")</f>
        <v/>
      </c>
      <c r="Y3888" s="79" t="str">
        <f>IF(AND(OR(N3888="131",O3888="131"),H3888='131-CT'!$H$9),"x","")</f>
        <v/>
      </c>
      <c r="Z3888" s="79"/>
      <c r="AA3888" s="79" t="str">
        <f>IF(AND(MONTH(E3888)='IN-NX'!$J$5,'IN-NX'!$D$7=D3888),"x","")</f>
        <v/>
      </c>
      <c r="AB3888" s="79" t="str">
        <f>IF(AND(OR(LEFT(TH!N3888,2)="15",LEFT(TH!O3888,2)="15"),LEFT(TH!O3888,3)&lt;&gt;"111",'152-CT'!$J$8=TH!F3888),"x","")</f>
        <v/>
      </c>
      <c r="AC3888" s="79" t="str">
        <f>IF(AND(OR(LEFT(TH!N3888,2)="15",LEFT(TH!O3888,2)="15"),TK!$E$7=TH!F3888),"x","")</f>
        <v/>
      </c>
      <c r="AD3888" s="79" t="str">
        <f>IF(AND(N3888="1521",MONTH(C3888)='BK-NL'!$M$11),"x","")</f>
        <v/>
      </c>
    </row>
    <row r="3889" spans="1:30" ht="16.5" customHeight="1">
      <c r="A3889" s="318" t="str">
        <f>IF(B3889&lt;&gt;"",IF(AND(B3889='IN-TC'!$S$4,OR(TH!N3889="1111",TH!O3889="1111")),TH!D3889,""),"")</f>
        <v/>
      </c>
      <c r="B3889" s="60" t="str">
        <f t="shared" si="418"/>
        <v/>
      </c>
      <c r="C3889" s="75"/>
      <c r="D3889" s="75"/>
      <c r="E3889" s="75"/>
      <c r="F3889" s="76"/>
      <c r="G3889" s="76"/>
      <c r="H3889" s="759"/>
      <c r="I3889" s="77"/>
      <c r="J3889" s="1253"/>
      <c r="K3889" s="1247"/>
      <c r="L3889" s="390"/>
      <c r="M3889" s="978"/>
      <c r="N3889" s="79"/>
      <c r="O3889" s="979"/>
      <c r="P3889" s="79" t="str">
        <f>IF(AND('331-CT'!$E$7=TH!H3889,OR(N3889="331",O3889="331")),"x","")</f>
        <v/>
      </c>
      <c r="Q3889" s="79" t="str">
        <f>IF(AND(B3889='111'!$L$11,OR($N3889=$Q$7,$O3889=$Q$7)),"x","")</f>
        <v/>
      </c>
      <c r="R3889" s="79" t="str">
        <f>IF(AND($N3889=$Q$7,$B3889&lt;'111'!$L$11),"x","")</f>
        <v/>
      </c>
      <c r="S3889" s="79" t="str">
        <f>IF(AND($O3889=$Q$7,$B3889&lt;'111'!$L$11),"x","")</f>
        <v/>
      </c>
      <c r="T3889" s="79" t="str">
        <f>IF(ISERROR(FIND('112'!$M$9,G3889,1)),"",IF((AND(FIND('112'!$M$9,G3889,1)&gt;=1,B3889='112'!$K$9,OR($N3889='112'!$I$6,$O3889='112'!$I$6))),"x",""))</f>
        <v/>
      </c>
      <c r="U3889" s="79" t="str">
        <f>IF(ISERROR(FIND('112'!$M$9,G3889,1)),"",IF((AND(LEFT(G3889,2)=LEFT('112'!$M$9,2),B3889&lt;'112'!$K$9,$N3889='112'!$I$6)),"x",""))</f>
        <v/>
      </c>
      <c r="V3889" s="79" t="str">
        <f>IF(ISERROR(FIND('112'!$M$9,G3889,1)),"",IF((AND(RIGHT(G3889,2)=RIGHT('112'!$M$9,2),B3889&lt;'112'!$K$9,$O3889='112'!$I$6)),"x",""))</f>
        <v/>
      </c>
      <c r="W3889" s="79" t="str">
        <f>IF(AND('341-CT'!$H$9=H3889,OR(LEFT(N3889,3)=$W$7,LEFT(O3889,3)=$W$7)),"x","")</f>
        <v/>
      </c>
      <c r="X3889" s="79" t="str">
        <f>IF(OR(TH!N3889=TH!$X$7,O3889=TH!$X$7),"x","")</f>
        <v/>
      </c>
      <c r="Y3889" s="79" t="str">
        <f>IF(AND(OR(N3889="131",O3889="131"),H3889='131-CT'!$H$9),"x","")</f>
        <v/>
      </c>
      <c r="Z3889" s="79"/>
      <c r="AA3889" s="79" t="str">
        <f>IF(AND(MONTH(E3889)='IN-NX'!$J$5,'IN-NX'!$D$7=D3889),"x","")</f>
        <v/>
      </c>
      <c r="AB3889" s="79" t="str">
        <f>IF(AND(OR(LEFT(TH!N3889,2)="15",LEFT(TH!O3889,2)="15"),LEFT(TH!O3889,3)&lt;&gt;"111",'152-CT'!$J$8=TH!F3889),"x","")</f>
        <v/>
      </c>
      <c r="AC3889" s="79" t="str">
        <f>IF(AND(OR(LEFT(TH!N3889,2)="15",LEFT(TH!O3889,2)="15"),TK!$E$7=TH!F3889),"x","")</f>
        <v/>
      </c>
      <c r="AD3889" s="79" t="str">
        <f>IF(AND(N3889="1521",MONTH(C3889)='BK-NL'!$M$11),"x","")</f>
        <v/>
      </c>
    </row>
    <row r="3890" spans="1:30" ht="16.5" customHeight="1">
      <c r="A3890" s="318" t="str">
        <f>IF(B3890&lt;&gt;"",IF(AND(B3890='IN-TC'!$S$4,OR(TH!N3890="1111",TH!O3890="1111")),TH!D3890,""),"")</f>
        <v/>
      </c>
      <c r="B3890" s="60" t="str">
        <f t="shared" si="418"/>
        <v/>
      </c>
      <c r="C3890" s="75"/>
      <c r="D3890" s="75"/>
      <c r="E3890" s="75"/>
      <c r="F3890" s="76"/>
      <c r="G3890" s="76"/>
      <c r="H3890" s="759"/>
      <c r="I3890" s="77"/>
      <c r="J3890" s="1253"/>
      <c r="K3890" s="1247"/>
      <c r="L3890" s="390"/>
      <c r="M3890" s="978"/>
      <c r="N3890" s="79"/>
      <c r="O3890" s="979"/>
      <c r="P3890" s="79" t="str">
        <f>IF(AND('331-CT'!$E$7=TH!H3890,OR(N3890="331",O3890="331")),"x","")</f>
        <v/>
      </c>
      <c r="Q3890" s="79" t="str">
        <f>IF(AND(B3890='111'!$L$11,OR($N3890=$Q$7,$O3890=$Q$7)),"x","")</f>
        <v/>
      </c>
      <c r="R3890" s="79" t="str">
        <f>IF(AND($N3890=$Q$7,$B3890&lt;'111'!$L$11),"x","")</f>
        <v/>
      </c>
      <c r="S3890" s="79" t="str">
        <f>IF(AND($O3890=$Q$7,$B3890&lt;'111'!$L$11),"x","")</f>
        <v/>
      </c>
      <c r="T3890" s="79" t="str">
        <f>IF(ISERROR(FIND('112'!$M$9,G3890,1)),"",IF((AND(FIND('112'!$M$9,G3890,1)&gt;=1,B3890='112'!$K$9,OR($N3890='112'!$I$6,$O3890='112'!$I$6))),"x",""))</f>
        <v/>
      </c>
      <c r="U3890" s="79" t="str">
        <f>IF(ISERROR(FIND('112'!$M$9,G3890,1)),"",IF((AND(LEFT(G3890,2)=LEFT('112'!$M$9,2),B3890&lt;'112'!$K$9,$N3890='112'!$I$6)),"x",""))</f>
        <v/>
      </c>
      <c r="V3890" s="79" t="str">
        <f>IF(ISERROR(FIND('112'!$M$9,G3890,1)),"",IF((AND(RIGHT(G3890,2)=RIGHT('112'!$M$9,2),B3890&lt;'112'!$K$9,$O3890='112'!$I$6)),"x",""))</f>
        <v/>
      </c>
      <c r="W3890" s="79" t="str">
        <f>IF(AND('341-CT'!$H$9=H3890,OR(LEFT(N3890,3)=$W$7,LEFT(O3890,3)=$W$7)),"x","")</f>
        <v/>
      </c>
      <c r="X3890" s="79" t="str">
        <f>IF(OR(TH!N3890=TH!$X$7,O3890=TH!$X$7),"x","")</f>
        <v/>
      </c>
      <c r="Y3890" s="79" t="str">
        <f>IF(AND(OR(N3890="131",O3890="131"),H3890='131-CT'!$H$9),"x","")</f>
        <v/>
      </c>
      <c r="Z3890" s="79"/>
      <c r="AA3890" s="79" t="str">
        <f>IF(AND(MONTH(E3890)='IN-NX'!$J$5,'IN-NX'!$D$7=D3890),"x","")</f>
        <v/>
      </c>
      <c r="AB3890" s="79" t="str">
        <f>IF(AND(OR(LEFT(TH!N3890,2)="15",LEFT(TH!O3890,2)="15"),LEFT(TH!O3890,3)&lt;&gt;"111",'152-CT'!$J$8=TH!F3890),"x","")</f>
        <v/>
      </c>
      <c r="AC3890" s="79" t="str">
        <f>IF(AND(OR(LEFT(TH!N3890,2)="15",LEFT(TH!O3890,2)="15"),TK!$E$7=TH!F3890),"x","")</f>
        <v/>
      </c>
      <c r="AD3890" s="79" t="str">
        <f>IF(AND(N3890="1521",MONTH(C3890)='BK-NL'!$M$11),"x","")</f>
        <v/>
      </c>
    </row>
    <row r="3891" spans="1:30" ht="16.5" customHeight="1">
      <c r="A3891" s="318" t="str">
        <f>IF(B3891&lt;&gt;"",IF(AND(B3891='IN-TC'!$S$4,OR(TH!N3891="1111",TH!O3891="1111")),TH!D3891,""),"")</f>
        <v/>
      </c>
      <c r="B3891" s="60" t="str">
        <f t="shared" si="418"/>
        <v/>
      </c>
      <c r="C3891" s="75"/>
      <c r="D3891" s="75"/>
      <c r="E3891" s="75"/>
      <c r="F3891" s="76"/>
      <c r="G3891" s="76"/>
      <c r="H3891" s="759"/>
      <c r="I3891" s="77"/>
      <c r="J3891" s="1253"/>
      <c r="K3891" s="1247"/>
      <c r="L3891" s="390"/>
      <c r="M3891" s="978"/>
      <c r="N3891" s="79"/>
      <c r="O3891" s="979"/>
      <c r="P3891" s="79" t="str">
        <f>IF(AND('331-CT'!$E$7=TH!H3891,OR(N3891="331",O3891="331")),"x","")</f>
        <v/>
      </c>
      <c r="Q3891" s="79" t="str">
        <f>IF(AND(B3891='111'!$L$11,OR($N3891=$Q$7,$O3891=$Q$7)),"x","")</f>
        <v/>
      </c>
      <c r="R3891" s="79" t="str">
        <f>IF(AND($N3891=$Q$7,$B3891&lt;'111'!$L$11),"x","")</f>
        <v/>
      </c>
      <c r="S3891" s="79" t="str">
        <f>IF(AND($O3891=$Q$7,$B3891&lt;'111'!$L$11),"x","")</f>
        <v/>
      </c>
      <c r="T3891" s="79" t="str">
        <f>IF(ISERROR(FIND('112'!$M$9,G3891,1)),"",IF((AND(FIND('112'!$M$9,G3891,1)&gt;=1,B3891='112'!$K$9,OR($N3891='112'!$I$6,$O3891='112'!$I$6))),"x",""))</f>
        <v/>
      </c>
      <c r="U3891" s="79" t="str">
        <f>IF(ISERROR(FIND('112'!$M$9,G3891,1)),"",IF((AND(LEFT(G3891,2)=LEFT('112'!$M$9,2),B3891&lt;'112'!$K$9,$N3891='112'!$I$6)),"x",""))</f>
        <v/>
      </c>
      <c r="V3891" s="79" t="str">
        <f>IF(ISERROR(FIND('112'!$M$9,G3891,1)),"",IF((AND(RIGHT(G3891,2)=RIGHT('112'!$M$9,2),B3891&lt;'112'!$K$9,$O3891='112'!$I$6)),"x",""))</f>
        <v/>
      </c>
      <c r="W3891" s="79" t="str">
        <f>IF(AND('341-CT'!$H$9=H3891,OR(LEFT(N3891,3)=$W$7,LEFT(O3891,3)=$W$7)),"x","")</f>
        <v/>
      </c>
      <c r="X3891" s="79" t="str">
        <f>IF(OR(TH!N3891=TH!$X$7,O3891=TH!$X$7),"x","")</f>
        <v/>
      </c>
      <c r="Y3891" s="79" t="str">
        <f>IF(AND(OR(N3891="131",O3891="131"),H3891='131-CT'!$H$9),"x","")</f>
        <v/>
      </c>
      <c r="Z3891" s="79"/>
      <c r="AA3891" s="79" t="str">
        <f>IF(AND(MONTH(E3891)='IN-NX'!$J$5,'IN-NX'!$D$7=D3891),"x","")</f>
        <v/>
      </c>
      <c r="AB3891" s="79" t="str">
        <f>IF(AND(OR(LEFT(TH!N3891,2)="15",LEFT(TH!O3891,2)="15"),LEFT(TH!O3891,3)&lt;&gt;"111",'152-CT'!$J$8=TH!F3891),"x","")</f>
        <v/>
      </c>
      <c r="AC3891" s="79" t="str">
        <f>IF(AND(OR(LEFT(TH!N3891,2)="15",LEFT(TH!O3891,2)="15"),TK!$E$7=TH!F3891),"x","")</f>
        <v/>
      </c>
      <c r="AD3891" s="79" t="str">
        <f>IF(AND(N3891="1521",MONTH(C3891)='BK-NL'!$M$11),"x","")</f>
        <v/>
      </c>
    </row>
    <row r="3892" spans="1:30" ht="16.5" customHeight="1">
      <c r="A3892" s="318" t="str">
        <f>IF(B3892&lt;&gt;"",IF(AND(B3892='IN-TC'!$S$4,OR(TH!N3892="1111",TH!O3892="1111")),TH!D3892,""),"")</f>
        <v/>
      </c>
      <c r="B3892" s="60" t="str">
        <f t="shared" si="418"/>
        <v/>
      </c>
      <c r="C3892" s="75"/>
      <c r="D3892" s="75"/>
      <c r="E3892" s="75"/>
      <c r="F3892" s="76"/>
      <c r="G3892" s="76"/>
      <c r="H3892" s="759"/>
      <c r="I3892" s="77"/>
      <c r="J3892" s="1253"/>
      <c r="K3892" s="1247"/>
      <c r="L3892" s="390"/>
      <c r="M3892" s="978"/>
      <c r="N3892" s="79"/>
      <c r="O3892" s="979"/>
      <c r="P3892" s="79" t="str">
        <f>IF(AND('331-CT'!$E$7=TH!H3892,OR(N3892="331",O3892="331")),"x","")</f>
        <v/>
      </c>
      <c r="Q3892" s="79" t="str">
        <f>IF(AND(B3892='111'!$L$11,OR($N3892=$Q$7,$O3892=$Q$7)),"x","")</f>
        <v/>
      </c>
      <c r="R3892" s="79" t="str">
        <f>IF(AND($N3892=$Q$7,$B3892&lt;'111'!$L$11),"x","")</f>
        <v/>
      </c>
      <c r="S3892" s="79" t="str">
        <f>IF(AND($O3892=$Q$7,$B3892&lt;'111'!$L$11),"x","")</f>
        <v/>
      </c>
      <c r="T3892" s="79" t="str">
        <f>IF(ISERROR(FIND('112'!$M$9,G3892,1)),"",IF((AND(FIND('112'!$M$9,G3892,1)&gt;=1,B3892='112'!$K$9,OR($N3892='112'!$I$6,$O3892='112'!$I$6))),"x",""))</f>
        <v/>
      </c>
      <c r="U3892" s="79" t="str">
        <f>IF(ISERROR(FIND('112'!$M$9,G3892,1)),"",IF((AND(LEFT(G3892,2)=LEFT('112'!$M$9,2),B3892&lt;'112'!$K$9,$N3892='112'!$I$6)),"x",""))</f>
        <v/>
      </c>
      <c r="V3892" s="79" t="str">
        <f>IF(ISERROR(FIND('112'!$M$9,G3892,1)),"",IF((AND(RIGHT(G3892,2)=RIGHT('112'!$M$9,2),B3892&lt;'112'!$K$9,$O3892='112'!$I$6)),"x",""))</f>
        <v/>
      </c>
      <c r="W3892" s="79" t="str">
        <f>IF(AND('341-CT'!$H$9=H3892,OR(LEFT(N3892,3)=$W$7,LEFT(O3892,3)=$W$7)),"x","")</f>
        <v/>
      </c>
      <c r="X3892" s="79" t="str">
        <f>IF(OR(TH!N3892=TH!$X$7,O3892=TH!$X$7),"x","")</f>
        <v/>
      </c>
      <c r="Y3892" s="79" t="str">
        <f>IF(AND(OR(N3892="131",O3892="131"),H3892='131-CT'!$H$9),"x","")</f>
        <v/>
      </c>
      <c r="Z3892" s="79"/>
      <c r="AA3892" s="79" t="str">
        <f>IF(AND(MONTH(E3892)='IN-NX'!$J$5,'IN-NX'!$D$7=D3892),"x","")</f>
        <v/>
      </c>
      <c r="AB3892" s="79" t="str">
        <f>IF(AND(OR(LEFT(TH!N3892,2)="15",LEFT(TH!O3892,2)="15"),LEFT(TH!O3892,3)&lt;&gt;"111",'152-CT'!$J$8=TH!F3892),"x","")</f>
        <v/>
      </c>
      <c r="AC3892" s="79" t="str">
        <f>IF(AND(OR(LEFT(TH!N3892,2)="15",LEFT(TH!O3892,2)="15"),TK!$E$7=TH!F3892),"x","")</f>
        <v/>
      </c>
      <c r="AD3892" s="79" t="str">
        <f>IF(AND(N3892="1521",MONTH(C3892)='BK-NL'!$M$11),"x","")</f>
        <v/>
      </c>
    </row>
    <row r="3893" spans="1:30" ht="16.5" customHeight="1">
      <c r="A3893" s="318" t="str">
        <f>IF(B3893&lt;&gt;"",IF(AND(B3893='IN-TC'!$S$4,OR(TH!N3893="1111",TH!O3893="1111")),TH!D3893,""),"")</f>
        <v/>
      </c>
      <c r="B3893" s="60" t="str">
        <f t="shared" si="418"/>
        <v/>
      </c>
      <c r="C3893" s="75"/>
      <c r="D3893" s="75"/>
      <c r="E3893" s="75"/>
      <c r="F3893" s="76"/>
      <c r="G3893" s="76"/>
      <c r="H3893" s="759"/>
      <c r="I3893" s="77"/>
      <c r="J3893" s="1253"/>
      <c r="K3893" s="1247"/>
      <c r="L3893" s="390"/>
      <c r="M3893" s="978"/>
      <c r="N3893" s="79"/>
      <c r="O3893" s="979"/>
      <c r="P3893" s="79" t="str">
        <f>IF(AND('331-CT'!$E$7=TH!H3893,OR(N3893="331",O3893="331")),"x","")</f>
        <v/>
      </c>
      <c r="Q3893" s="79" t="str">
        <f>IF(AND(B3893='111'!$L$11,OR($N3893=$Q$7,$O3893=$Q$7)),"x","")</f>
        <v/>
      </c>
      <c r="R3893" s="79" t="str">
        <f>IF(AND($N3893=$Q$7,$B3893&lt;'111'!$L$11),"x","")</f>
        <v/>
      </c>
      <c r="S3893" s="79" t="str">
        <f>IF(AND($O3893=$Q$7,$B3893&lt;'111'!$L$11),"x","")</f>
        <v/>
      </c>
      <c r="T3893" s="79" t="str">
        <f>IF(ISERROR(FIND('112'!$M$9,G3893,1)),"",IF((AND(FIND('112'!$M$9,G3893,1)&gt;=1,B3893='112'!$K$9,OR($N3893='112'!$I$6,$O3893='112'!$I$6))),"x",""))</f>
        <v/>
      </c>
      <c r="U3893" s="79" t="str">
        <f>IF(ISERROR(FIND('112'!$M$9,G3893,1)),"",IF((AND(LEFT(G3893,2)=LEFT('112'!$M$9,2),B3893&lt;'112'!$K$9,$N3893='112'!$I$6)),"x",""))</f>
        <v/>
      </c>
      <c r="V3893" s="79" t="str">
        <f>IF(ISERROR(FIND('112'!$M$9,G3893,1)),"",IF((AND(RIGHT(G3893,2)=RIGHT('112'!$M$9,2),B3893&lt;'112'!$K$9,$O3893='112'!$I$6)),"x",""))</f>
        <v/>
      </c>
      <c r="W3893" s="79" t="str">
        <f>IF(AND('341-CT'!$H$9=H3893,OR(LEFT(N3893,3)=$W$7,LEFT(O3893,3)=$W$7)),"x","")</f>
        <v/>
      </c>
      <c r="X3893" s="79" t="str">
        <f>IF(OR(TH!N3893=TH!$X$7,O3893=TH!$X$7),"x","")</f>
        <v/>
      </c>
      <c r="Y3893" s="79" t="str">
        <f>IF(AND(OR(N3893="131",O3893="131"),H3893='131-CT'!$H$9),"x","")</f>
        <v/>
      </c>
      <c r="Z3893" s="79"/>
      <c r="AA3893" s="79" t="str">
        <f>IF(AND(MONTH(E3893)='IN-NX'!$J$5,'IN-NX'!$D$7=D3893),"x","")</f>
        <v/>
      </c>
      <c r="AB3893" s="79" t="str">
        <f>IF(AND(OR(LEFT(TH!N3893,2)="15",LEFT(TH!O3893,2)="15"),LEFT(TH!O3893,3)&lt;&gt;"111",'152-CT'!$J$8=TH!F3893),"x","")</f>
        <v/>
      </c>
      <c r="AC3893" s="79" t="str">
        <f>IF(AND(OR(LEFT(TH!N3893,2)="15",LEFT(TH!O3893,2)="15"),TK!$E$7=TH!F3893),"x","")</f>
        <v/>
      </c>
      <c r="AD3893" s="79" t="str">
        <f>IF(AND(N3893="1521",MONTH(C3893)='BK-NL'!$M$11),"x","")</f>
        <v/>
      </c>
    </row>
    <row r="3894" spans="1:30" ht="16.5" customHeight="1">
      <c r="A3894" s="318" t="str">
        <f>IF(B3894&lt;&gt;"",IF(AND(B3894='IN-TC'!$S$4,OR(TH!N3894="1111",TH!O3894="1111")),TH!D3894,""),"")</f>
        <v/>
      </c>
      <c r="B3894" s="60" t="str">
        <f t="shared" si="418"/>
        <v/>
      </c>
      <c r="C3894" s="75"/>
      <c r="D3894" s="75"/>
      <c r="E3894" s="75"/>
      <c r="F3894" s="76"/>
      <c r="G3894" s="76"/>
      <c r="H3894" s="759"/>
      <c r="I3894" s="77"/>
      <c r="J3894" s="1253"/>
      <c r="K3894" s="1247"/>
      <c r="L3894" s="390"/>
      <c r="M3894" s="978"/>
      <c r="N3894" s="79"/>
      <c r="O3894" s="979"/>
      <c r="P3894" s="79" t="str">
        <f>IF(AND('331-CT'!$E$7=TH!H3894,OR(N3894="331",O3894="331")),"x","")</f>
        <v/>
      </c>
      <c r="Q3894" s="79" t="str">
        <f>IF(AND(B3894='111'!$L$11,OR($N3894=$Q$7,$O3894=$Q$7)),"x","")</f>
        <v/>
      </c>
      <c r="R3894" s="79" t="str">
        <f>IF(AND($N3894=$Q$7,$B3894&lt;'111'!$L$11),"x","")</f>
        <v/>
      </c>
      <c r="S3894" s="79" t="str">
        <f>IF(AND($O3894=$Q$7,$B3894&lt;'111'!$L$11),"x","")</f>
        <v/>
      </c>
      <c r="T3894" s="79" t="str">
        <f>IF(ISERROR(FIND('112'!$M$9,G3894,1)),"",IF((AND(FIND('112'!$M$9,G3894,1)&gt;=1,B3894='112'!$K$9,OR($N3894='112'!$I$6,$O3894='112'!$I$6))),"x",""))</f>
        <v/>
      </c>
      <c r="U3894" s="79" t="str">
        <f>IF(ISERROR(FIND('112'!$M$9,G3894,1)),"",IF((AND(LEFT(G3894,2)=LEFT('112'!$M$9,2),B3894&lt;'112'!$K$9,$N3894='112'!$I$6)),"x",""))</f>
        <v/>
      </c>
      <c r="V3894" s="79" t="str">
        <f>IF(ISERROR(FIND('112'!$M$9,G3894,1)),"",IF((AND(RIGHT(G3894,2)=RIGHT('112'!$M$9,2),B3894&lt;'112'!$K$9,$O3894='112'!$I$6)),"x",""))</f>
        <v/>
      </c>
      <c r="W3894" s="79" t="str">
        <f>IF(AND('341-CT'!$H$9=H3894,OR(LEFT(N3894,3)=$W$7,LEFT(O3894,3)=$W$7)),"x","")</f>
        <v/>
      </c>
      <c r="X3894" s="79" t="str">
        <f>IF(OR(TH!N3894=TH!$X$7,O3894=TH!$X$7),"x","")</f>
        <v/>
      </c>
      <c r="Y3894" s="79" t="str">
        <f>IF(AND(OR(N3894="131",O3894="131"),H3894='131-CT'!$H$9),"x","")</f>
        <v/>
      </c>
      <c r="Z3894" s="79"/>
      <c r="AA3894" s="79" t="str">
        <f>IF(AND(MONTH(E3894)='IN-NX'!$J$5,'IN-NX'!$D$7=D3894),"x","")</f>
        <v/>
      </c>
      <c r="AB3894" s="79" t="str">
        <f>IF(AND(OR(LEFT(TH!N3894,2)="15",LEFT(TH!O3894,2)="15"),LEFT(TH!O3894,3)&lt;&gt;"111",'152-CT'!$J$8=TH!F3894),"x","")</f>
        <v/>
      </c>
      <c r="AC3894" s="79" t="str">
        <f>IF(AND(OR(LEFT(TH!N3894,2)="15",LEFT(TH!O3894,2)="15"),TK!$E$7=TH!F3894),"x","")</f>
        <v/>
      </c>
      <c r="AD3894" s="79" t="str">
        <f>IF(AND(N3894="1521",MONTH(C3894)='BK-NL'!$M$11),"x","")</f>
        <v/>
      </c>
    </row>
    <row r="3895" spans="1:30" ht="16.5" customHeight="1">
      <c r="A3895" s="318" t="str">
        <f>IF(B3895&lt;&gt;"",IF(AND(B3895='IN-TC'!$S$4,OR(TH!N3895="1111",TH!O3895="1111")),TH!D3895,""),"")</f>
        <v/>
      </c>
      <c r="B3895" s="60" t="str">
        <f t="shared" si="418"/>
        <v/>
      </c>
      <c r="C3895" s="75"/>
      <c r="D3895" s="75"/>
      <c r="E3895" s="75"/>
      <c r="F3895" s="76"/>
      <c r="G3895" s="76"/>
      <c r="H3895" s="759"/>
      <c r="I3895" s="77"/>
      <c r="J3895" s="1253"/>
      <c r="K3895" s="1247"/>
      <c r="L3895" s="390"/>
      <c r="M3895" s="978"/>
      <c r="N3895" s="79"/>
      <c r="O3895" s="979"/>
      <c r="P3895" s="79" t="str">
        <f>IF(AND('331-CT'!$E$7=TH!H3895,OR(N3895="331",O3895="331")),"x","")</f>
        <v/>
      </c>
      <c r="Q3895" s="79" t="str">
        <f>IF(AND(B3895='111'!$L$11,OR($N3895=$Q$7,$O3895=$Q$7)),"x","")</f>
        <v/>
      </c>
      <c r="R3895" s="79" t="str">
        <f>IF(AND($N3895=$Q$7,$B3895&lt;'111'!$L$11),"x","")</f>
        <v/>
      </c>
      <c r="S3895" s="79" t="str">
        <f>IF(AND($O3895=$Q$7,$B3895&lt;'111'!$L$11),"x","")</f>
        <v/>
      </c>
      <c r="T3895" s="79" t="str">
        <f>IF(ISERROR(FIND('112'!$M$9,G3895,1)),"",IF((AND(FIND('112'!$M$9,G3895,1)&gt;=1,B3895='112'!$K$9,OR($N3895='112'!$I$6,$O3895='112'!$I$6))),"x",""))</f>
        <v/>
      </c>
      <c r="U3895" s="79" t="str">
        <f>IF(ISERROR(FIND('112'!$M$9,G3895,1)),"",IF((AND(LEFT(G3895,2)=LEFT('112'!$M$9,2),B3895&lt;'112'!$K$9,$N3895='112'!$I$6)),"x",""))</f>
        <v/>
      </c>
      <c r="V3895" s="79" t="str">
        <f>IF(ISERROR(FIND('112'!$M$9,G3895,1)),"",IF((AND(RIGHT(G3895,2)=RIGHT('112'!$M$9,2),B3895&lt;'112'!$K$9,$O3895='112'!$I$6)),"x",""))</f>
        <v/>
      </c>
      <c r="W3895" s="79" t="str">
        <f>IF(AND('341-CT'!$H$9=H3895,OR(LEFT(N3895,3)=$W$7,LEFT(O3895,3)=$W$7)),"x","")</f>
        <v/>
      </c>
      <c r="X3895" s="79" t="str">
        <f>IF(OR(TH!N3895=TH!$X$7,O3895=TH!$X$7),"x","")</f>
        <v/>
      </c>
      <c r="Y3895" s="79" t="str">
        <f>IF(AND(OR(N3895="131",O3895="131"),H3895='131-CT'!$H$9),"x","")</f>
        <v/>
      </c>
      <c r="Z3895" s="79"/>
      <c r="AA3895" s="79" t="str">
        <f>IF(AND(MONTH(E3895)='IN-NX'!$J$5,'IN-NX'!$D$7=D3895),"x","")</f>
        <v/>
      </c>
      <c r="AB3895" s="79" t="str">
        <f>IF(AND(OR(LEFT(TH!N3895,2)="15",LEFT(TH!O3895,2)="15"),LEFT(TH!O3895,3)&lt;&gt;"111",'152-CT'!$J$8=TH!F3895),"x","")</f>
        <v/>
      </c>
      <c r="AC3895" s="79" t="str">
        <f>IF(AND(OR(LEFT(TH!N3895,2)="15",LEFT(TH!O3895,2)="15"),TK!$E$7=TH!F3895),"x","")</f>
        <v/>
      </c>
      <c r="AD3895" s="79" t="str">
        <f>IF(AND(N3895="1521",MONTH(C3895)='BK-NL'!$M$11),"x","")</f>
        <v/>
      </c>
    </row>
    <row r="3896" spans="1:30" ht="16.5" customHeight="1">
      <c r="A3896" s="318" t="str">
        <f>IF(B3896&lt;&gt;"",IF(AND(B3896='IN-TC'!$S$4,OR(TH!N3896="1111",TH!O3896="1111")),TH!D3896,""),"")</f>
        <v/>
      </c>
      <c r="B3896" s="60" t="str">
        <f t="shared" si="418"/>
        <v/>
      </c>
      <c r="C3896" s="75"/>
      <c r="D3896" s="75"/>
      <c r="E3896" s="75"/>
      <c r="F3896" s="76"/>
      <c r="G3896" s="76"/>
      <c r="H3896" s="759"/>
      <c r="I3896" s="77"/>
      <c r="J3896" s="1253"/>
      <c r="K3896" s="1247"/>
      <c r="L3896" s="390"/>
      <c r="M3896" s="978"/>
      <c r="N3896" s="79"/>
      <c r="O3896" s="979"/>
      <c r="P3896" s="79" t="str">
        <f>IF(AND('331-CT'!$E$7=TH!H3896,OR(N3896="331",O3896="331")),"x","")</f>
        <v/>
      </c>
      <c r="Q3896" s="79" t="str">
        <f>IF(AND(B3896='111'!$L$11,OR($N3896=$Q$7,$O3896=$Q$7)),"x","")</f>
        <v/>
      </c>
      <c r="R3896" s="79" t="str">
        <f>IF(AND($N3896=$Q$7,$B3896&lt;'111'!$L$11),"x","")</f>
        <v/>
      </c>
      <c r="S3896" s="79" t="str">
        <f>IF(AND($O3896=$Q$7,$B3896&lt;'111'!$L$11),"x","")</f>
        <v/>
      </c>
      <c r="T3896" s="79" t="str">
        <f>IF(ISERROR(FIND('112'!$M$9,G3896,1)),"",IF((AND(FIND('112'!$M$9,G3896,1)&gt;=1,B3896='112'!$K$9,OR($N3896='112'!$I$6,$O3896='112'!$I$6))),"x",""))</f>
        <v/>
      </c>
      <c r="U3896" s="79" t="str">
        <f>IF(ISERROR(FIND('112'!$M$9,G3896,1)),"",IF((AND(LEFT(G3896,2)=LEFT('112'!$M$9,2),B3896&lt;'112'!$K$9,$N3896='112'!$I$6)),"x",""))</f>
        <v/>
      </c>
      <c r="V3896" s="79" t="str">
        <f>IF(ISERROR(FIND('112'!$M$9,G3896,1)),"",IF((AND(RIGHT(G3896,2)=RIGHT('112'!$M$9,2),B3896&lt;'112'!$K$9,$O3896='112'!$I$6)),"x",""))</f>
        <v/>
      </c>
      <c r="W3896" s="79" t="str">
        <f>IF(AND('341-CT'!$H$9=H3896,OR(LEFT(N3896,3)=$W$7,LEFT(O3896,3)=$W$7)),"x","")</f>
        <v/>
      </c>
      <c r="X3896" s="79" t="str">
        <f>IF(OR(TH!N3896=TH!$X$7,O3896=TH!$X$7),"x","")</f>
        <v/>
      </c>
      <c r="Y3896" s="79" t="str">
        <f>IF(AND(OR(N3896="131",O3896="131"),H3896='131-CT'!$H$9),"x","")</f>
        <v/>
      </c>
      <c r="Z3896" s="79"/>
      <c r="AA3896" s="79" t="str">
        <f>IF(AND(MONTH(E3896)='IN-NX'!$J$5,'IN-NX'!$D$7=D3896),"x","")</f>
        <v/>
      </c>
      <c r="AB3896" s="79" t="str">
        <f>IF(AND(OR(LEFT(TH!N3896,2)="15",LEFT(TH!O3896,2)="15"),LEFT(TH!O3896,3)&lt;&gt;"111",'152-CT'!$J$8=TH!F3896),"x","")</f>
        <v/>
      </c>
      <c r="AC3896" s="79" t="str">
        <f>IF(AND(OR(LEFT(TH!N3896,2)="15",LEFT(TH!O3896,2)="15"),TK!$E$7=TH!F3896),"x","")</f>
        <v/>
      </c>
      <c r="AD3896" s="79" t="str">
        <f>IF(AND(N3896="1521",MONTH(C3896)='BK-NL'!$M$11),"x","")</f>
        <v/>
      </c>
    </row>
    <row r="3897" spans="1:30" ht="16.5" customHeight="1">
      <c r="A3897" s="318" t="str">
        <f>IF(B3897&lt;&gt;"",IF(AND(B3897='IN-TC'!$S$4,OR(TH!N3897="1111",TH!O3897="1111")),TH!D3897,""),"")</f>
        <v/>
      </c>
      <c r="B3897" s="60" t="str">
        <f t="shared" si="418"/>
        <v/>
      </c>
      <c r="C3897" s="75"/>
      <c r="D3897" s="75"/>
      <c r="E3897" s="75"/>
      <c r="F3897" s="76"/>
      <c r="G3897" s="76"/>
      <c r="H3897" s="759"/>
      <c r="I3897" s="77"/>
      <c r="J3897" s="1253"/>
      <c r="K3897" s="1247"/>
      <c r="L3897" s="390"/>
      <c r="M3897" s="978"/>
      <c r="N3897" s="79"/>
      <c r="O3897" s="979"/>
      <c r="P3897" s="79" t="str">
        <f>IF(AND('331-CT'!$E$7=TH!H3897,OR(N3897="331",O3897="331")),"x","")</f>
        <v/>
      </c>
      <c r="Q3897" s="79" t="str">
        <f>IF(AND(B3897='111'!$L$11,OR($N3897=$Q$7,$O3897=$Q$7)),"x","")</f>
        <v/>
      </c>
      <c r="R3897" s="79" t="str">
        <f>IF(AND($N3897=$Q$7,$B3897&lt;'111'!$L$11),"x","")</f>
        <v/>
      </c>
      <c r="S3897" s="79" t="str">
        <f>IF(AND($O3897=$Q$7,$B3897&lt;'111'!$L$11),"x","")</f>
        <v/>
      </c>
      <c r="T3897" s="79" t="str">
        <f>IF(ISERROR(FIND('112'!$M$9,G3897,1)),"",IF((AND(FIND('112'!$M$9,G3897,1)&gt;=1,B3897='112'!$K$9,OR($N3897='112'!$I$6,$O3897='112'!$I$6))),"x",""))</f>
        <v/>
      </c>
      <c r="U3897" s="79" t="str">
        <f>IF(ISERROR(FIND('112'!$M$9,G3897,1)),"",IF((AND(LEFT(G3897,2)=LEFT('112'!$M$9,2),B3897&lt;'112'!$K$9,$N3897='112'!$I$6)),"x",""))</f>
        <v/>
      </c>
      <c r="V3897" s="79" t="str">
        <f>IF(ISERROR(FIND('112'!$M$9,G3897,1)),"",IF((AND(RIGHT(G3897,2)=RIGHT('112'!$M$9,2),B3897&lt;'112'!$K$9,$O3897='112'!$I$6)),"x",""))</f>
        <v/>
      </c>
      <c r="W3897" s="79" t="str">
        <f>IF(AND('341-CT'!$H$9=H3897,OR(LEFT(N3897,3)=$W$7,LEFT(O3897,3)=$W$7)),"x","")</f>
        <v/>
      </c>
      <c r="X3897" s="79" t="str">
        <f>IF(OR(TH!N3897=TH!$X$7,O3897=TH!$X$7),"x","")</f>
        <v/>
      </c>
      <c r="Y3897" s="79" t="str">
        <f>IF(AND(OR(N3897="131",O3897="131"),H3897='131-CT'!$H$9),"x","")</f>
        <v/>
      </c>
      <c r="Z3897" s="79"/>
      <c r="AA3897" s="79" t="str">
        <f>IF(AND(MONTH(E3897)='IN-NX'!$J$5,'IN-NX'!$D$7=D3897),"x","")</f>
        <v/>
      </c>
      <c r="AB3897" s="79" t="str">
        <f>IF(AND(OR(LEFT(TH!N3897,2)="15",LEFT(TH!O3897,2)="15"),LEFT(TH!O3897,3)&lt;&gt;"111",'152-CT'!$J$8=TH!F3897),"x","")</f>
        <v/>
      </c>
      <c r="AC3897" s="79" t="str">
        <f>IF(AND(OR(LEFT(TH!N3897,2)="15",LEFT(TH!O3897,2)="15"),TK!$E$7=TH!F3897),"x","")</f>
        <v/>
      </c>
      <c r="AD3897" s="79" t="str">
        <f>IF(AND(N3897="1521",MONTH(C3897)='BK-NL'!$M$11),"x","")</f>
        <v/>
      </c>
    </row>
    <row r="3898" spans="1:30" ht="16.5" customHeight="1">
      <c r="A3898" s="318" t="str">
        <f>IF(B3898&lt;&gt;"",IF(AND(B3898='IN-TC'!$S$4,OR(TH!N3898="1111",TH!O3898="1111")),TH!D3898,""),"")</f>
        <v/>
      </c>
      <c r="B3898" s="60" t="str">
        <f t="shared" si="418"/>
        <v/>
      </c>
      <c r="C3898" s="75"/>
      <c r="D3898" s="75"/>
      <c r="E3898" s="75"/>
      <c r="F3898" s="76"/>
      <c r="G3898" s="76"/>
      <c r="H3898" s="1276"/>
      <c r="I3898" s="77"/>
      <c r="J3898" s="1253"/>
      <c r="K3898" s="1247"/>
      <c r="L3898" s="390"/>
      <c r="M3898" s="978"/>
      <c r="N3898" s="79"/>
      <c r="O3898" s="979"/>
      <c r="P3898" s="79" t="str">
        <f>IF(AND('331-CT'!$E$7=TH!H3898,OR(N3898="331",O3898="331")),"x","")</f>
        <v/>
      </c>
      <c r="Q3898" s="79" t="str">
        <f>IF(AND(B3898='111'!$L$11,OR($N3898=$Q$7,$O3898=$Q$7)),"x","")</f>
        <v/>
      </c>
      <c r="R3898" s="79" t="str">
        <f>IF(AND($N3898=$Q$7,$B3898&lt;'111'!$L$11),"x","")</f>
        <v/>
      </c>
      <c r="S3898" s="79" t="str">
        <f>IF(AND($O3898=$Q$7,$B3898&lt;'111'!$L$11),"x","")</f>
        <v/>
      </c>
      <c r="T3898" s="79" t="str">
        <f>IF(ISERROR(FIND('112'!$M$9,G3898,1)),"",IF((AND(FIND('112'!$M$9,G3898,1)&gt;=1,B3898='112'!$K$9,OR($N3898='112'!$I$6,$O3898='112'!$I$6))),"x",""))</f>
        <v/>
      </c>
      <c r="U3898" s="79" t="str">
        <f>IF(ISERROR(FIND('112'!$M$9,G3898,1)),"",IF((AND(LEFT(G3898,2)=LEFT('112'!$M$9,2),B3898&lt;'112'!$K$9,$N3898='112'!$I$6)),"x",""))</f>
        <v/>
      </c>
      <c r="V3898" s="79" t="str">
        <f>IF(ISERROR(FIND('112'!$M$9,G3898,1)),"",IF((AND(RIGHT(G3898,2)=RIGHT('112'!$M$9,2),B3898&lt;'112'!$K$9,$O3898='112'!$I$6)),"x",""))</f>
        <v/>
      </c>
      <c r="W3898" s="79" t="str">
        <f>IF(AND('341-CT'!$H$9=H3898,OR(LEFT(N3898,3)=$W$7,LEFT(O3898,3)=$W$7)),"x","")</f>
        <v/>
      </c>
      <c r="X3898" s="79" t="str">
        <f>IF(OR(TH!N3898=TH!$X$7,O3898=TH!$X$7),"x","")</f>
        <v/>
      </c>
      <c r="Y3898" s="79" t="str">
        <f>IF(AND(OR(N3898="131",O3898="131"),H3898='131-CT'!$H$9),"x","")</f>
        <v/>
      </c>
      <c r="Z3898" s="79"/>
      <c r="AA3898" s="79" t="str">
        <f>IF(AND(MONTH(E3898)='IN-NX'!$J$5,'IN-NX'!$D$7=D3898),"x","")</f>
        <v/>
      </c>
      <c r="AB3898" s="79" t="str">
        <f>IF(AND(OR(LEFT(TH!N3898,2)="15",LEFT(TH!O3898,2)="15"),LEFT(TH!O3898,3)&lt;&gt;"111",'152-CT'!$J$8=TH!F3898),"x","")</f>
        <v/>
      </c>
      <c r="AC3898" s="79" t="str">
        <f>IF(AND(OR(LEFT(TH!N3898,2)="15",LEFT(TH!O3898,2)="15"),TK!$E$7=TH!F3898),"x","")</f>
        <v/>
      </c>
      <c r="AD3898" s="79" t="str">
        <f>IF(AND(N3898="1521",MONTH(C3898)='BK-NL'!$M$11),"x","")</f>
        <v/>
      </c>
    </row>
    <row r="3899" spans="1:30" ht="16.5" customHeight="1">
      <c r="A3899" s="318" t="str">
        <f>IF(B3899&lt;&gt;"",IF(AND(B3899='IN-TC'!$S$4,OR(TH!N3899="1111",TH!O3899="1111")),TH!D3899,""),"")</f>
        <v/>
      </c>
      <c r="B3899" s="60" t="str">
        <f t="shared" si="418"/>
        <v/>
      </c>
      <c r="C3899" s="75"/>
      <c r="D3899" s="75"/>
      <c r="E3899" s="75"/>
      <c r="F3899" s="76"/>
      <c r="G3899" s="76"/>
      <c r="H3899" s="759"/>
      <c r="I3899" s="77"/>
      <c r="J3899" s="1253"/>
      <c r="K3899" s="1247"/>
      <c r="L3899" s="390"/>
      <c r="M3899" s="978"/>
      <c r="N3899" s="79"/>
      <c r="O3899" s="979"/>
      <c r="P3899" s="79" t="str">
        <f>IF(AND('331-CT'!$E$7=TH!H3899,OR(N3899="331",O3899="331")),"x","")</f>
        <v/>
      </c>
      <c r="Q3899" s="79" t="str">
        <f>IF(AND(B3899='111'!$L$11,OR($N3899=$Q$7,$O3899=$Q$7)),"x","")</f>
        <v/>
      </c>
      <c r="R3899" s="79" t="str">
        <f>IF(AND($N3899=$Q$7,$B3899&lt;'111'!$L$11),"x","")</f>
        <v/>
      </c>
      <c r="S3899" s="79" t="str">
        <f>IF(AND($O3899=$Q$7,$B3899&lt;'111'!$L$11),"x","")</f>
        <v/>
      </c>
      <c r="T3899" s="79" t="str">
        <f>IF(ISERROR(FIND('112'!$M$9,G3899,1)),"",IF((AND(FIND('112'!$M$9,G3899,1)&gt;=1,B3899='112'!$K$9,OR($N3899='112'!$I$6,$O3899='112'!$I$6))),"x",""))</f>
        <v/>
      </c>
      <c r="U3899" s="79" t="str">
        <f>IF(ISERROR(FIND('112'!$M$9,G3899,1)),"",IF((AND(LEFT(G3899,2)=LEFT('112'!$M$9,2),B3899&lt;'112'!$K$9,$N3899='112'!$I$6)),"x",""))</f>
        <v/>
      </c>
      <c r="V3899" s="79" t="str">
        <f>IF(ISERROR(FIND('112'!$M$9,G3899,1)),"",IF((AND(RIGHT(G3899,2)=RIGHT('112'!$M$9,2),B3899&lt;'112'!$K$9,$O3899='112'!$I$6)),"x",""))</f>
        <v/>
      </c>
      <c r="W3899" s="79" t="str">
        <f>IF(AND('341-CT'!$H$9=H3899,OR(LEFT(N3899,3)=$W$7,LEFT(O3899,3)=$W$7)),"x","")</f>
        <v/>
      </c>
      <c r="X3899" s="79" t="str">
        <f>IF(OR(TH!N3899=TH!$X$7,O3899=TH!$X$7),"x","")</f>
        <v/>
      </c>
      <c r="Y3899" s="79" t="str">
        <f>IF(AND(OR(N3899="131",O3899="131"),H3899='131-CT'!$H$9),"x","")</f>
        <v/>
      </c>
      <c r="Z3899" s="79"/>
      <c r="AA3899" s="79" t="str">
        <f>IF(AND(MONTH(E3899)='IN-NX'!$J$5,'IN-NX'!$D$7=D3899),"x","")</f>
        <v/>
      </c>
      <c r="AB3899" s="79" t="str">
        <f>IF(AND(OR(LEFT(TH!N3899,2)="15",LEFT(TH!O3899,2)="15"),LEFT(TH!O3899,3)&lt;&gt;"111",'152-CT'!$J$8=TH!F3899),"x","")</f>
        <v/>
      </c>
      <c r="AC3899" s="79" t="str">
        <f>IF(AND(OR(LEFT(TH!N3899,2)="15",LEFT(TH!O3899,2)="15"),TK!$E$7=TH!F3899),"x","")</f>
        <v/>
      </c>
      <c r="AD3899" s="79" t="str">
        <f>IF(AND(N3899="1521",MONTH(C3899)='BK-NL'!$M$11),"x","")</f>
        <v/>
      </c>
    </row>
    <row r="3900" spans="1:30" ht="16.5" customHeight="1">
      <c r="A3900" s="318" t="str">
        <f>IF(B3900&lt;&gt;"",IF(AND(B3900='IN-TC'!$S$4,OR(TH!N3900="1111",TH!O3900="1111")),TH!D3900,""),"")</f>
        <v/>
      </c>
      <c r="B3900" s="60" t="str">
        <f t="shared" si="418"/>
        <v/>
      </c>
      <c r="C3900" s="75"/>
      <c r="D3900" s="75"/>
      <c r="E3900" s="75"/>
      <c r="F3900" s="1280"/>
      <c r="G3900" s="76"/>
      <c r="H3900" s="77"/>
      <c r="I3900" s="77"/>
      <c r="J3900" s="1253"/>
      <c r="K3900" s="1247"/>
      <c r="L3900" s="390"/>
      <c r="M3900" s="978"/>
      <c r="N3900" s="79"/>
      <c r="O3900" s="979"/>
      <c r="P3900" s="79" t="str">
        <f>IF(AND('331-CT'!$E$7=TH!H3900,OR(N3900="331",O3900="331")),"x","")</f>
        <v/>
      </c>
      <c r="Q3900" s="79" t="str">
        <f>IF(AND(B3900='111'!$L$11,OR($N3900=$Q$7,$O3900=$Q$7)),"x","")</f>
        <v/>
      </c>
      <c r="R3900" s="79" t="str">
        <f>IF(AND($N3900=$Q$7,$B3900&lt;'111'!$L$11),"x","")</f>
        <v/>
      </c>
      <c r="S3900" s="79" t="str">
        <f>IF(AND($O3900=$Q$7,$B3900&lt;'111'!$L$11),"x","")</f>
        <v/>
      </c>
      <c r="T3900" s="79" t="str">
        <f>IF(ISERROR(FIND('112'!$M$9,G3900,1)),"",IF((AND(FIND('112'!$M$9,G3900,1)&gt;=1,B3900='112'!$K$9,OR($N3900='112'!$I$6,$O3900='112'!$I$6))),"x",""))</f>
        <v/>
      </c>
      <c r="U3900" s="79" t="str">
        <f>IF(ISERROR(FIND('112'!$M$9,G3900,1)),"",IF((AND(LEFT(G3900,2)=LEFT('112'!$M$9,2),B3900&lt;'112'!$K$9,$N3900='112'!$I$6)),"x",""))</f>
        <v/>
      </c>
      <c r="V3900" s="79" t="str">
        <f>IF(ISERROR(FIND('112'!$M$9,G3900,1)),"",IF((AND(RIGHT(G3900,2)=RIGHT('112'!$M$9,2),B3900&lt;'112'!$K$9,$O3900='112'!$I$6)),"x",""))</f>
        <v/>
      </c>
      <c r="W3900" s="79" t="str">
        <f>IF(AND('341-CT'!$H$9=H3900,OR(LEFT(N3900,3)=$W$7,LEFT(O3900,3)=$W$7)),"x","")</f>
        <v/>
      </c>
      <c r="X3900" s="79" t="str">
        <f>IF(OR(TH!N3900=TH!$X$7,O3900=TH!$X$7),"x","")</f>
        <v/>
      </c>
      <c r="Y3900" s="79" t="str">
        <f>IF(AND(OR(N3900="131",O3900="131"),H3900='131-CT'!$H$9),"x","")</f>
        <v/>
      </c>
      <c r="Z3900" s="79"/>
      <c r="AA3900" s="79" t="str">
        <f>IF(AND(MONTH(E3900)='IN-NX'!$J$5,'IN-NX'!$D$7=D3900),"x","")</f>
        <v/>
      </c>
      <c r="AB3900" s="79" t="str">
        <f>IF(AND(OR(LEFT(TH!N3900,2)="15",LEFT(TH!O3900,2)="15"),LEFT(TH!O3900,3)&lt;&gt;"111",'152-CT'!$J$8=TH!F3900),"x","")</f>
        <v/>
      </c>
      <c r="AC3900" s="79" t="str">
        <f>IF(AND(OR(LEFT(TH!N3900,2)="15",LEFT(TH!O3900,2)="15"),TK!$E$7=TH!F3900),"x","")</f>
        <v/>
      </c>
      <c r="AD3900" s="79" t="str">
        <f>IF(AND(N3900="1521",MONTH(C3900)='BK-NL'!$M$11),"x","")</f>
        <v/>
      </c>
    </row>
    <row r="3901" spans="1:30" ht="16.5" customHeight="1">
      <c r="A3901" s="318" t="str">
        <f>IF(B3901&lt;&gt;"",IF(AND(B3901='IN-TC'!$S$4,OR(TH!N3901="1111",TH!O3901="1111")),TH!D3901,""),"")</f>
        <v/>
      </c>
      <c r="B3901" s="60" t="str">
        <f t="shared" si="418"/>
        <v/>
      </c>
      <c r="C3901" s="75"/>
      <c r="D3901" s="75"/>
      <c r="E3901" s="75"/>
      <c r="F3901" s="1280"/>
      <c r="G3901" s="76"/>
      <c r="H3901" s="77"/>
      <c r="I3901" s="77"/>
      <c r="J3901" s="1253"/>
      <c r="K3901" s="1247"/>
      <c r="L3901" s="390"/>
      <c r="M3901" s="978"/>
      <c r="N3901" s="79"/>
      <c r="O3901" s="979"/>
      <c r="P3901" s="79" t="str">
        <f>IF(AND('331-CT'!$E$7=TH!H3901,OR(N3901="331",O3901="331")),"x","")</f>
        <v/>
      </c>
      <c r="Q3901" s="79" t="str">
        <f>IF(AND(B3901='111'!$L$11,OR($N3901=$Q$7,$O3901=$Q$7)),"x","")</f>
        <v/>
      </c>
      <c r="R3901" s="79" t="str">
        <f>IF(AND($N3901=$Q$7,$B3901&lt;'111'!$L$11),"x","")</f>
        <v/>
      </c>
      <c r="S3901" s="79" t="str">
        <f>IF(AND($O3901=$Q$7,$B3901&lt;'111'!$L$11),"x","")</f>
        <v/>
      </c>
      <c r="T3901" s="79" t="str">
        <f>IF(ISERROR(FIND('112'!$M$9,G3901,1)),"",IF((AND(FIND('112'!$M$9,G3901,1)&gt;=1,B3901='112'!$K$9,OR($N3901='112'!$I$6,$O3901='112'!$I$6))),"x",""))</f>
        <v/>
      </c>
      <c r="U3901" s="79" t="str">
        <f>IF(ISERROR(FIND('112'!$M$9,G3901,1)),"",IF((AND(LEFT(G3901,2)=LEFT('112'!$M$9,2),B3901&lt;'112'!$K$9,$N3901='112'!$I$6)),"x",""))</f>
        <v/>
      </c>
      <c r="V3901" s="79" t="str">
        <f>IF(ISERROR(FIND('112'!$M$9,G3901,1)),"",IF((AND(RIGHT(G3901,2)=RIGHT('112'!$M$9,2),B3901&lt;'112'!$K$9,$O3901='112'!$I$6)),"x",""))</f>
        <v/>
      </c>
      <c r="W3901" s="79" t="str">
        <f>IF(AND('341-CT'!$H$9=H3901,OR(LEFT(N3901,3)=$W$7,LEFT(O3901,3)=$W$7)),"x","")</f>
        <v/>
      </c>
      <c r="X3901" s="79" t="str">
        <f>IF(OR(TH!N3901=TH!$X$7,O3901=TH!$X$7),"x","")</f>
        <v/>
      </c>
      <c r="Y3901" s="79" t="str">
        <f>IF(AND(OR(N3901="131",O3901="131"),H3901='131-CT'!$H$9),"x","")</f>
        <v/>
      </c>
      <c r="Z3901" s="79"/>
      <c r="AA3901" s="79" t="str">
        <f>IF(AND(MONTH(E3901)='IN-NX'!$J$5,'IN-NX'!$D$7=D3901),"x","")</f>
        <v/>
      </c>
      <c r="AB3901" s="79" t="str">
        <f>IF(AND(OR(LEFT(TH!N3901,2)="15",LEFT(TH!O3901,2)="15"),LEFT(TH!O3901,3)&lt;&gt;"111",'152-CT'!$J$8=TH!F3901),"x","")</f>
        <v/>
      </c>
      <c r="AC3901" s="79" t="str">
        <f>IF(AND(OR(LEFT(TH!N3901,2)="15",LEFT(TH!O3901,2)="15"),TK!$E$7=TH!F3901),"x","")</f>
        <v/>
      </c>
      <c r="AD3901" s="79" t="str">
        <f>IF(AND(N3901="1521",MONTH(C3901)='BK-NL'!$M$11),"x","")</f>
        <v/>
      </c>
    </row>
    <row r="3902" spans="1:30" ht="16.5" customHeight="1">
      <c r="A3902" s="318" t="str">
        <f>IF(B3902&lt;&gt;"",IF(AND(B3902='IN-TC'!$S$4,OR(TH!N3902="1111",TH!O3902="1111")),TH!D3902,""),"")</f>
        <v/>
      </c>
      <c r="B3902" s="60" t="str">
        <f t="shared" si="418"/>
        <v/>
      </c>
      <c r="C3902" s="75"/>
      <c r="D3902" s="75"/>
      <c r="E3902" s="75"/>
      <c r="F3902" s="77"/>
      <c r="G3902" s="76"/>
      <c r="H3902" s="77"/>
      <c r="I3902" s="77"/>
      <c r="J3902" s="390"/>
      <c r="K3902" s="383"/>
      <c r="L3902" s="390"/>
      <c r="M3902" s="978"/>
      <c r="N3902" s="79"/>
      <c r="O3902" s="979"/>
      <c r="P3902" s="79" t="str">
        <f>IF(AND('331-CT'!$E$7=TH!H3902,OR(N3902="331",O3902="331")),"x","")</f>
        <v/>
      </c>
      <c r="Q3902" s="79" t="str">
        <f>IF(AND(B3902='111'!$L$11,OR($N3902=$Q$7,$O3902=$Q$7)),"x","")</f>
        <v/>
      </c>
      <c r="R3902" s="79" t="str">
        <f>IF(AND($N3902=$Q$7,$B3902&lt;'111'!$L$11),"x","")</f>
        <v/>
      </c>
      <c r="S3902" s="79" t="str">
        <f>IF(AND($O3902=$Q$7,$B3902&lt;'111'!$L$11),"x","")</f>
        <v/>
      </c>
      <c r="T3902" s="79" t="str">
        <f>IF(ISERROR(FIND('112'!$M$9,G3902,1)),"",IF((AND(FIND('112'!$M$9,G3902,1)&gt;=1,B3902='112'!$K$9,OR($N3902='112'!$I$6,$O3902='112'!$I$6))),"x",""))</f>
        <v/>
      </c>
      <c r="U3902" s="79" t="str">
        <f>IF(ISERROR(FIND('112'!$M$9,G3902,1)),"",IF((AND(LEFT(G3902,2)=LEFT('112'!$M$9,2),B3902&lt;'112'!$K$9,$N3902='112'!$I$6)),"x",""))</f>
        <v/>
      </c>
      <c r="V3902" s="79" t="str">
        <f>IF(ISERROR(FIND('112'!$M$9,G3902,1)),"",IF((AND(RIGHT(G3902,2)=RIGHT('112'!$M$9,2),B3902&lt;'112'!$K$9,$O3902='112'!$I$6)),"x",""))</f>
        <v/>
      </c>
      <c r="W3902" s="79" t="str">
        <f>IF(AND('341-CT'!$H$9=H3902,OR(LEFT(N3902,3)=$W$7,LEFT(O3902,3)=$W$7)),"x","")</f>
        <v/>
      </c>
      <c r="X3902" s="79" t="str">
        <f>IF(OR(TH!N3902=TH!$X$7,O3902=TH!$X$7),"x","")</f>
        <v/>
      </c>
      <c r="Y3902" s="79" t="str">
        <f>IF(AND(OR(N3902="131",O3902="131"),H3902='131-CT'!$H$9),"x","")</f>
        <v/>
      </c>
      <c r="Z3902" s="79"/>
      <c r="AA3902" s="79" t="str">
        <f>IF(AND(MONTH(E3902)='IN-NX'!$J$5,'IN-NX'!$D$7=D3902),"x","")</f>
        <v/>
      </c>
      <c r="AB3902" s="79" t="str">
        <f>IF(AND(OR(LEFT(TH!N3902,2)="15",LEFT(TH!O3902,2)="15"),LEFT(TH!O3902,3)&lt;&gt;"111",'152-CT'!$J$8=TH!F3902),"x","")</f>
        <v/>
      </c>
      <c r="AC3902" s="79" t="str">
        <f>IF(AND(OR(LEFT(TH!N3902,2)="15",LEFT(TH!O3902,2)="15"),TK!$E$7=TH!F3902),"x","")</f>
        <v/>
      </c>
      <c r="AD3902" s="79" t="str">
        <f>IF(AND(N3902="1521",MONTH(C3902)='BK-NL'!$M$11),"x","")</f>
        <v/>
      </c>
    </row>
    <row r="3903" spans="1:30" ht="16.5" customHeight="1">
      <c r="A3903" s="318" t="str">
        <f>IF(B3903&lt;&gt;"",IF(AND(B3903='IN-TC'!$S$4,OR(TH!N3903="1111",TH!O3903="1111")),TH!D3903,""),"")</f>
        <v/>
      </c>
      <c r="B3903" s="60" t="str">
        <f t="shared" si="418"/>
        <v/>
      </c>
      <c r="C3903" s="75"/>
      <c r="D3903" s="75"/>
      <c r="E3903" s="75"/>
      <c r="F3903" s="1280"/>
      <c r="G3903" s="76"/>
      <c r="H3903" s="77"/>
      <c r="I3903" s="77"/>
      <c r="J3903" s="1253"/>
      <c r="K3903" s="1247"/>
      <c r="L3903" s="390"/>
      <c r="M3903" s="978"/>
      <c r="N3903" s="79"/>
      <c r="O3903" s="79"/>
      <c r="P3903" s="79" t="str">
        <f>IF(AND('331-CT'!$E$7=TH!H3903,OR(N3903="331",O3903="331")),"x","")</f>
        <v/>
      </c>
      <c r="Q3903" s="79" t="str">
        <f>IF(AND(B3903='111'!$L$11,OR($N3903=$Q$7,$O3903=$Q$7)),"x","")</f>
        <v/>
      </c>
      <c r="R3903" s="79" t="str">
        <f>IF(AND($N3903=$Q$7,$B3903&lt;'111'!$L$11),"x","")</f>
        <v/>
      </c>
      <c r="S3903" s="79" t="str">
        <f>IF(AND($O3903=$Q$7,$B3903&lt;'111'!$L$11),"x","")</f>
        <v/>
      </c>
      <c r="T3903" s="79" t="str">
        <f>IF(ISERROR(FIND('112'!$M$9,G3903,1)),"",IF((AND(FIND('112'!$M$9,G3903,1)&gt;=1,B3903='112'!$K$9,OR($N3903='112'!$I$6,$O3903='112'!$I$6))),"x",""))</f>
        <v/>
      </c>
      <c r="U3903" s="79" t="str">
        <f>IF(ISERROR(FIND('112'!$M$9,G3903,1)),"",IF((AND(LEFT(G3903,2)=LEFT('112'!$M$9,2),B3903&lt;'112'!$K$9,$N3903='112'!$I$6)),"x",""))</f>
        <v/>
      </c>
      <c r="V3903" s="79" t="str">
        <f>IF(ISERROR(FIND('112'!$M$9,G3903,1)),"",IF((AND(RIGHT(G3903,2)=RIGHT('112'!$M$9,2),B3903&lt;'112'!$K$9,$O3903='112'!$I$6)),"x",""))</f>
        <v/>
      </c>
      <c r="W3903" s="79" t="str">
        <f>IF(AND('341-CT'!$H$9=H3903,OR(LEFT(N3903,3)=$W$7,LEFT(O3903,3)=$W$7)),"x","")</f>
        <v/>
      </c>
      <c r="X3903" s="79" t="str">
        <f>IF(OR(TH!N3903=TH!$X$7,O3903=TH!$X$7),"x","")</f>
        <v/>
      </c>
      <c r="Y3903" s="79" t="str">
        <f>IF(AND(OR(N3903="131",O3903="131"),H3903='131-CT'!$H$9),"x","")</f>
        <v/>
      </c>
      <c r="Z3903" s="79"/>
      <c r="AA3903" s="79" t="str">
        <f>IF(AND(MONTH(E3903)='IN-NX'!$J$5,'IN-NX'!$D$7=D3903),"x","")</f>
        <v/>
      </c>
      <c r="AB3903" s="79" t="str">
        <f>IF(AND(OR(LEFT(TH!N3903,2)="15",LEFT(TH!O3903,2)="15"),LEFT(TH!O3903,3)&lt;&gt;"111",'152-CT'!$J$8=TH!F3903),"x","")</f>
        <v/>
      </c>
      <c r="AC3903" s="79" t="str">
        <f>IF(AND(OR(LEFT(TH!N3903,2)="15",LEFT(TH!O3903,2)="15"),TK!$E$7=TH!F3903),"x","")</f>
        <v/>
      </c>
      <c r="AD3903" s="79" t="str">
        <f>IF(AND(N3903="1521",MONTH(C3903)='BK-NL'!$M$11),"x","")</f>
        <v/>
      </c>
    </row>
    <row r="3904" spans="1:30" ht="16.5" customHeight="1">
      <c r="A3904" s="318" t="str">
        <f>IF(B3904&lt;&gt;"",IF(AND(B3904='IN-TC'!$S$4,OR(TH!N3904="1111",TH!O3904="1111")),TH!D3904,""),"")</f>
        <v/>
      </c>
      <c r="B3904" s="60" t="str">
        <f t="shared" si="418"/>
        <v/>
      </c>
      <c r="C3904" s="75"/>
      <c r="D3904" s="75"/>
      <c r="E3904" s="75"/>
      <c r="F3904" s="1280"/>
      <c r="G3904" s="76"/>
      <c r="H3904" s="77"/>
      <c r="I3904" s="77"/>
      <c r="J3904" s="1253"/>
      <c r="K3904" s="1247"/>
      <c r="L3904" s="390"/>
      <c r="M3904" s="978"/>
      <c r="N3904" s="79"/>
      <c r="O3904" s="79"/>
      <c r="P3904" s="79" t="str">
        <f>IF(AND('331-CT'!$E$7=TH!H3904,OR(N3904="331",O3904="331")),"x","")</f>
        <v/>
      </c>
      <c r="Q3904" s="79" t="str">
        <f>IF(AND(B3904='111'!$L$11,OR($N3904=$Q$7,$O3904=$Q$7)),"x","")</f>
        <v/>
      </c>
      <c r="R3904" s="79" t="str">
        <f>IF(AND($N3904=$Q$7,$B3904&lt;'111'!$L$11),"x","")</f>
        <v/>
      </c>
      <c r="S3904" s="79" t="str">
        <f>IF(AND($O3904=$Q$7,$B3904&lt;'111'!$L$11),"x","")</f>
        <v/>
      </c>
      <c r="T3904" s="79" t="str">
        <f>IF(ISERROR(FIND('112'!$M$9,G3904,1)),"",IF((AND(FIND('112'!$M$9,G3904,1)&gt;=1,B3904='112'!$K$9,OR($N3904='112'!$I$6,$O3904='112'!$I$6))),"x",""))</f>
        <v/>
      </c>
      <c r="U3904" s="79" t="str">
        <f>IF(ISERROR(FIND('112'!$M$9,G3904,1)),"",IF((AND(LEFT(G3904,2)=LEFT('112'!$M$9,2),B3904&lt;'112'!$K$9,$N3904='112'!$I$6)),"x",""))</f>
        <v/>
      </c>
      <c r="V3904" s="79" t="str">
        <f>IF(ISERROR(FIND('112'!$M$9,G3904,1)),"",IF((AND(RIGHT(G3904,2)=RIGHT('112'!$M$9,2),B3904&lt;'112'!$K$9,$O3904='112'!$I$6)),"x",""))</f>
        <v/>
      </c>
      <c r="W3904" s="79" t="str">
        <f>IF(AND('341-CT'!$H$9=H3904,OR(LEFT(N3904,3)=$W$7,LEFT(O3904,3)=$W$7)),"x","")</f>
        <v/>
      </c>
      <c r="X3904" s="79" t="str">
        <f>IF(OR(TH!N3904=TH!$X$7,O3904=TH!$X$7),"x","")</f>
        <v/>
      </c>
      <c r="Y3904" s="79" t="str">
        <f>IF(AND(OR(N3904="131",O3904="131"),H3904='131-CT'!$H$9),"x","")</f>
        <v/>
      </c>
      <c r="Z3904" s="79"/>
      <c r="AA3904" s="79" t="str">
        <f>IF(AND(MONTH(E3904)='IN-NX'!$J$5,'IN-NX'!$D$7=D3904),"x","")</f>
        <v/>
      </c>
      <c r="AB3904" s="79" t="str">
        <f>IF(AND(OR(LEFT(TH!N3904,2)="15",LEFT(TH!O3904,2)="15"),LEFT(TH!O3904,3)&lt;&gt;"111",'152-CT'!$J$8=TH!F3904),"x","")</f>
        <v/>
      </c>
      <c r="AC3904" s="79" t="str">
        <f>IF(AND(OR(LEFT(TH!N3904,2)="15",LEFT(TH!O3904,2)="15"),TK!$E$7=TH!F3904),"x","")</f>
        <v/>
      </c>
      <c r="AD3904" s="79" t="str">
        <f>IF(AND(N3904="1521",MONTH(C3904)='BK-NL'!$M$11),"x","")</f>
        <v/>
      </c>
    </row>
    <row r="3905" spans="1:30" ht="16.5" customHeight="1">
      <c r="A3905" s="318" t="str">
        <f>IF(B3905&lt;&gt;"",IF(AND(B3905='IN-TC'!$S$4,OR(TH!N3905="1111",TH!O3905="1111")),TH!D3905,""),"")</f>
        <v/>
      </c>
      <c r="B3905" s="60" t="str">
        <f t="shared" ref="B3905" si="420">IF(C3905&lt;&gt;"",MONTH(C3905),"")</f>
        <v/>
      </c>
      <c r="C3905" s="75"/>
      <c r="D3905" s="75"/>
      <c r="E3905" s="75"/>
      <c r="F3905" s="1280"/>
      <c r="G3905" s="76"/>
      <c r="H3905" s="77"/>
      <c r="I3905" s="77"/>
      <c r="J3905" s="1253"/>
      <c r="K3905" s="1247"/>
      <c r="L3905" s="390"/>
      <c r="M3905" s="978"/>
      <c r="N3905" s="79"/>
      <c r="O3905" s="79"/>
      <c r="P3905" s="79" t="str">
        <f>IF(AND('331-CT'!$E$7=TH!H3905,OR(N3905="331",O3905="331")),"x","")</f>
        <v/>
      </c>
      <c r="Q3905" s="79" t="str">
        <f>IF(AND(B3905='111'!$L$11,OR($N3905=$Q$7,$O3905=$Q$7)),"x","")</f>
        <v/>
      </c>
      <c r="R3905" s="79" t="str">
        <f>IF(AND($N3905=$Q$7,$B3905&lt;'111'!$L$11),"x","")</f>
        <v/>
      </c>
      <c r="S3905" s="79" t="str">
        <f>IF(AND($O3905=$Q$7,$B3905&lt;'111'!$L$11),"x","")</f>
        <v/>
      </c>
      <c r="T3905" s="79" t="str">
        <f>IF(ISERROR(FIND('112'!$M$9,G3905,1)),"",IF((AND(FIND('112'!$M$9,G3905,1)&gt;=1,B3905='112'!$K$9,OR($N3905='112'!$I$6,$O3905='112'!$I$6))),"x",""))</f>
        <v/>
      </c>
      <c r="U3905" s="79" t="str">
        <f>IF(ISERROR(FIND('112'!$M$9,G3905,1)),"",IF((AND(LEFT(G3905,2)=LEFT('112'!$M$9,2),B3905&lt;'112'!$K$9,$N3905='112'!$I$6)),"x",""))</f>
        <v/>
      </c>
      <c r="V3905" s="79" t="str">
        <f>IF(ISERROR(FIND('112'!$M$9,G3905,1)),"",IF((AND(RIGHT(G3905,2)=RIGHT('112'!$M$9,2),B3905&lt;'112'!$K$9,$O3905='112'!$I$6)),"x",""))</f>
        <v/>
      </c>
      <c r="W3905" s="79" t="str">
        <f>IF(AND('341-CT'!$H$9=H3905,OR(LEFT(N3905,3)=$W$7,LEFT(O3905,3)=$W$7)),"x","")</f>
        <v/>
      </c>
      <c r="X3905" s="79" t="str">
        <f>IF(OR(TH!N3905=TH!$X$7,O3905=TH!$X$7),"x","")</f>
        <v/>
      </c>
      <c r="Y3905" s="79" t="str">
        <f>IF(AND(OR(N3905="131",O3905="131"),H3905='131-CT'!$H$9),"x","")</f>
        <v/>
      </c>
      <c r="Z3905" s="79"/>
      <c r="AA3905" s="79" t="str">
        <f>IF(AND(MONTH(E3905)='IN-NX'!$J$5,'IN-NX'!$D$7=D3905),"x","")</f>
        <v/>
      </c>
      <c r="AB3905" s="79" t="str">
        <f>IF(AND(OR(LEFT(TH!N3905,2)="15",LEFT(TH!O3905,2)="15"),LEFT(TH!O3905,3)&lt;&gt;"111",'152-CT'!$J$8=TH!F3905),"x","")</f>
        <v/>
      </c>
      <c r="AC3905" s="79" t="str">
        <f>IF(AND(OR(LEFT(TH!N3905,2)="15",LEFT(TH!O3905,2)="15"),TK!$E$7=TH!F3905),"x","")</f>
        <v/>
      </c>
      <c r="AD3905" s="79" t="str">
        <f>IF(AND(N3905="1521",MONTH(C3905)='BK-NL'!$M$11),"x","")</f>
        <v/>
      </c>
    </row>
    <row r="3906" spans="1:30" ht="16.5" customHeight="1">
      <c r="A3906" s="318" t="str">
        <f>IF(B3906&lt;&gt;"",IF(AND(B3906='IN-TC'!$S$4,OR(TH!N3906="1111",TH!O3906="1111")),TH!D3906,""),"")</f>
        <v/>
      </c>
      <c r="B3906" s="60" t="str">
        <f t="shared" si="418"/>
        <v/>
      </c>
      <c r="C3906" s="75"/>
      <c r="D3906" s="75"/>
      <c r="E3906" s="75"/>
      <c r="F3906" s="1280"/>
      <c r="G3906" s="76"/>
      <c r="H3906" s="77"/>
      <c r="I3906" s="77"/>
      <c r="J3906" s="1266"/>
      <c r="K3906" s="1247"/>
      <c r="L3906" s="390"/>
      <c r="M3906" s="978"/>
      <c r="N3906" s="79"/>
      <c r="O3906" s="979"/>
      <c r="P3906" s="79" t="str">
        <f>IF(AND('331-CT'!$E$7=TH!H3906,OR(N3906="331",O3906="331")),"x","")</f>
        <v/>
      </c>
      <c r="Q3906" s="79" t="str">
        <f>IF(AND(B3906='111'!$L$11,OR($N3906=$Q$7,$O3906=$Q$7)),"x","")</f>
        <v/>
      </c>
      <c r="R3906" s="79" t="str">
        <f>IF(AND($N3906=$Q$7,$B3906&lt;'111'!$L$11),"x","")</f>
        <v/>
      </c>
      <c r="S3906" s="79" t="str">
        <f>IF(AND($O3906=$Q$7,$B3906&lt;'111'!$L$11),"x","")</f>
        <v/>
      </c>
      <c r="T3906" s="79" t="str">
        <f>IF(ISERROR(FIND('112'!$M$9,G3906,1)),"",IF((AND(FIND('112'!$M$9,G3906,1)&gt;=1,B3906='112'!$K$9,OR($N3906='112'!$I$6,$O3906='112'!$I$6))),"x",""))</f>
        <v/>
      </c>
      <c r="U3906" s="79" t="str">
        <f>IF(ISERROR(FIND('112'!$M$9,G3906,1)),"",IF((AND(LEFT(G3906,2)=LEFT('112'!$M$9,2),B3906&lt;'112'!$K$9,$N3906='112'!$I$6)),"x",""))</f>
        <v/>
      </c>
      <c r="V3906" s="79" t="str">
        <f>IF(ISERROR(FIND('112'!$M$9,G3906,1)),"",IF((AND(RIGHT(G3906,2)=RIGHT('112'!$M$9,2),B3906&lt;'112'!$K$9,$O3906='112'!$I$6)),"x",""))</f>
        <v/>
      </c>
      <c r="W3906" s="79" t="str">
        <f>IF(AND('341-CT'!$H$9=H3906,OR(LEFT(N3906,3)=$W$7,LEFT(O3906,3)=$W$7)),"x","")</f>
        <v/>
      </c>
      <c r="X3906" s="79" t="str">
        <f>IF(OR(TH!N3906=TH!$X$7,O3906=TH!$X$7),"x","")</f>
        <v/>
      </c>
      <c r="Y3906" s="79" t="str">
        <f>IF(AND(OR(N3906="131",O3906="131"),H3906='131-CT'!$H$9),"x","")</f>
        <v/>
      </c>
      <c r="Z3906" s="79"/>
      <c r="AA3906" s="79" t="str">
        <f>IF(AND(MONTH(E3906)='IN-NX'!$J$5,'IN-NX'!$D$7=D3906),"x","")</f>
        <v/>
      </c>
      <c r="AB3906" s="79" t="str">
        <f>IF(AND(OR(LEFT(TH!N3906,2)="15",LEFT(TH!O3906,2)="15"),LEFT(TH!O3906,3)&lt;&gt;"111",'152-CT'!$J$8=TH!F3906),"x","")</f>
        <v/>
      </c>
      <c r="AC3906" s="79" t="str">
        <f>IF(AND(OR(LEFT(TH!N3906,2)="15",LEFT(TH!O3906,2)="15"),TK!$E$7=TH!F3906),"x","")</f>
        <v/>
      </c>
      <c r="AD3906" s="79" t="str">
        <f>IF(AND(N3906="1521",MONTH(C3906)='BK-NL'!$M$11),"x","")</f>
        <v/>
      </c>
    </row>
    <row r="3907" spans="1:30" ht="16.5" customHeight="1">
      <c r="A3907" s="318" t="str">
        <f>IF(B3907&lt;&gt;"",IF(AND(B3907='IN-TC'!$S$4,OR(TH!N3907="1111",TH!O3907="1111")),TH!D3907,""),"")</f>
        <v/>
      </c>
      <c r="B3907" s="60" t="str">
        <f t="shared" si="418"/>
        <v/>
      </c>
      <c r="C3907" s="75"/>
      <c r="D3907" s="75"/>
      <c r="E3907" s="75"/>
      <c r="F3907" s="1280"/>
      <c r="G3907" s="76"/>
      <c r="H3907" s="77"/>
      <c r="I3907" s="77"/>
      <c r="J3907" s="390"/>
      <c r="K3907" s="383"/>
      <c r="L3907" s="390"/>
      <c r="M3907" s="978"/>
      <c r="N3907" s="79"/>
      <c r="O3907" s="979"/>
      <c r="P3907" s="79" t="str">
        <f>IF(AND('331-CT'!$E$7=TH!H3907,OR(N3907="331",O3907="331")),"x","")</f>
        <v/>
      </c>
      <c r="Q3907" s="79" t="str">
        <f>IF(AND(B3907='111'!$L$11,OR($N3907=$Q$7,$O3907=$Q$7)),"x","")</f>
        <v/>
      </c>
      <c r="R3907" s="79" t="str">
        <f>IF(AND($N3907=$Q$7,$B3907&lt;'111'!$L$11),"x","")</f>
        <v/>
      </c>
      <c r="S3907" s="79" t="str">
        <f>IF(AND($O3907=$Q$7,$B3907&lt;'111'!$L$11),"x","")</f>
        <v/>
      </c>
      <c r="T3907" s="79" t="str">
        <f>IF(ISERROR(FIND('112'!$M$9,G3907,1)),"",IF((AND(FIND('112'!$M$9,G3907,1)&gt;=1,B3907='112'!$K$9,OR($N3907='112'!$I$6,$O3907='112'!$I$6))),"x",""))</f>
        <v/>
      </c>
      <c r="U3907" s="79" t="str">
        <f>IF(ISERROR(FIND('112'!$M$9,G3907,1)),"",IF((AND(LEFT(G3907,2)=LEFT('112'!$M$9,2),B3907&lt;'112'!$K$9,$N3907='112'!$I$6)),"x",""))</f>
        <v/>
      </c>
      <c r="V3907" s="79" t="str">
        <f>IF(ISERROR(FIND('112'!$M$9,G3907,1)),"",IF((AND(RIGHT(G3907,2)=RIGHT('112'!$M$9,2),B3907&lt;'112'!$K$9,$O3907='112'!$I$6)),"x",""))</f>
        <v/>
      </c>
      <c r="W3907" s="79" t="str">
        <f>IF(AND('341-CT'!$H$9=H3907,OR(LEFT(N3907,3)=$W$7,LEFT(O3907,3)=$W$7)),"x","")</f>
        <v/>
      </c>
      <c r="X3907" s="79" t="str">
        <f>IF(OR(TH!N3907=TH!$X$7,O3907=TH!$X$7),"x","")</f>
        <v/>
      </c>
      <c r="Y3907" s="79" t="str">
        <f>IF(AND(OR(N3907="131",O3907="131"),H3907='131-CT'!$H$9),"x","")</f>
        <v/>
      </c>
      <c r="Z3907" s="79"/>
      <c r="AA3907" s="79" t="str">
        <f>IF(AND(MONTH(E3907)='IN-NX'!$J$5,'IN-NX'!$D$7=D3907),"x","")</f>
        <v/>
      </c>
      <c r="AB3907" s="79" t="str">
        <f>IF(AND(OR(LEFT(TH!N3907,2)="15",LEFT(TH!O3907,2)="15"),LEFT(TH!O3907,3)&lt;&gt;"111",'152-CT'!$J$8=TH!F3907),"x","")</f>
        <v/>
      </c>
      <c r="AC3907" s="79" t="str">
        <f>IF(AND(OR(LEFT(TH!N3907,2)="15",LEFT(TH!O3907,2)="15"),TK!$E$7=TH!F3907),"x","")</f>
        <v/>
      </c>
      <c r="AD3907" s="79" t="str">
        <f>IF(AND(N3907="1521",MONTH(C3907)='BK-NL'!$M$11),"x","")</f>
        <v/>
      </c>
    </row>
    <row r="3908" spans="1:30" ht="16.5" customHeight="1">
      <c r="A3908" s="318" t="str">
        <f>IF(B3908&lt;&gt;"",IF(AND(B3908='IN-TC'!$S$4,OR(TH!N3908="1111",TH!O3908="1111")),TH!D3908,""),"")</f>
        <v/>
      </c>
      <c r="B3908" s="60" t="str">
        <f t="shared" si="418"/>
        <v/>
      </c>
      <c r="C3908" s="75"/>
      <c r="D3908" s="75"/>
      <c r="E3908" s="75"/>
      <c r="F3908" s="77"/>
      <c r="G3908" s="76"/>
      <c r="H3908" s="759"/>
      <c r="I3908" s="77"/>
      <c r="J3908" s="390"/>
      <c r="K3908" s="383"/>
      <c r="L3908" s="390"/>
      <c r="M3908" s="978"/>
      <c r="N3908" s="79"/>
      <c r="O3908" s="79"/>
      <c r="P3908" s="79" t="str">
        <f>IF(AND('331-CT'!$E$7=TH!H3908,OR(N3908="331",O3908="331")),"x","")</f>
        <v/>
      </c>
      <c r="Q3908" s="79" t="str">
        <f>IF(AND(B3908='111'!$L$11,OR($N3908=$Q$7,$O3908=$Q$7)),"x","")</f>
        <v/>
      </c>
      <c r="R3908" s="79" t="str">
        <f>IF(AND($N3908=$Q$7,$B3908&lt;'111'!$L$11),"x","")</f>
        <v/>
      </c>
      <c r="S3908" s="79" t="str">
        <f>IF(AND($O3908=$Q$7,$B3908&lt;'111'!$L$11),"x","")</f>
        <v/>
      </c>
      <c r="T3908" s="79" t="str">
        <f>IF(ISERROR(FIND('112'!$M$9,G3908,1)),"",IF((AND(FIND('112'!$M$9,G3908,1)&gt;=1,B3908='112'!$K$9,OR($N3908='112'!$I$6,$O3908='112'!$I$6))),"x",""))</f>
        <v/>
      </c>
      <c r="U3908" s="79" t="str">
        <f>IF(ISERROR(FIND('112'!$M$9,G3908,1)),"",IF((AND(LEFT(G3908,2)=LEFT('112'!$M$9,2),B3908&lt;'112'!$K$9,$N3908='112'!$I$6)),"x",""))</f>
        <v/>
      </c>
      <c r="V3908" s="79" t="str">
        <f>IF(ISERROR(FIND('112'!$M$9,G3908,1)),"",IF((AND(RIGHT(G3908,2)=RIGHT('112'!$M$9,2),B3908&lt;'112'!$K$9,$O3908='112'!$I$6)),"x",""))</f>
        <v/>
      </c>
      <c r="W3908" s="79" t="str">
        <f>IF(AND('341-CT'!$H$9=H3908,OR(LEFT(N3908,3)=$W$7,LEFT(O3908,3)=$W$7)),"x","")</f>
        <v/>
      </c>
      <c r="X3908" s="79" t="str">
        <f>IF(OR(TH!N3908=TH!$X$7,O3908=TH!$X$7),"x","")</f>
        <v/>
      </c>
      <c r="Y3908" s="79" t="str">
        <f>IF(AND(OR(N3908="131",O3908="131"),H3908='131-CT'!$H$9),"x","")</f>
        <v/>
      </c>
      <c r="Z3908" s="79"/>
      <c r="AA3908" s="79" t="str">
        <f>IF(AND(MONTH(E3908)='IN-NX'!$J$5,'IN-NX'!$D$7=D3908),"x","")</f>
        <v/>
      </c>
      <c r="AB3908" s="79" t="str">
        <f>IF(AND(OR(LEFT(TH!N3908,2)="15",LEFT(TH!O3908,2)="15"),LEFT(TH!O3908,3)&lt;&gt;"111",'152-CT'!$J$8=TH!F3908),"x","")</f>
        <v/>
      </c>
      <c r="AC3908" s="79" t="str">
        <f>IF(AND(OR(LEFT(TH!N3908,2)="15",LEFT(TH!O3908,2)="15"),TK!$E$7=TH!F3908),"x","")</f>
        <v/>
      </c>
      <c r="AD3908" s="79" t="str">
        <f>IF(AND(N3908="1521",MONTH(C3908)='BK-NL'!$M$11),"x","")</f>
        <v/>
      </c>
    </row>
    <row r="3909" spans="1:30" ht="16.5" customHeight="1">
      <c r="A3909" s="318" t="str">
        <f>IF(B3909&lt;&gt;"",IF(AND(B3909='IN-TC'!$S$4,OR(TH!N3909="1111",TH!O3909="1111")),TH!D3909,""),"")</f>
        <v/>
      </c>
      <c r="B3909" s="60" t="str">
        <f t="shared" si="418"/>
        <v/>
      </c>
      <c r="C3909" s="75"/>
      <c r="D3909" s="75"/>
      <c r="E3909" s="75"/>
      <c r="F3909" s="77"/>
      <c r="G3909" s="76"/>
      <c r="H3909" s="759"/>
      <c r="I3909" s="77"/>
      <c r="J3909" s="390"/>
      <c r="K3909" s="383"/>
      <c r="L3909" s="390"/>
      <c r="M3909" s="978"/>
      <c r="N3909" s="79"/>
      <c r="O3909" s="79"/>
      <c r="P3909" s="79" t="str">
        <f>IF(AND('331-CT'!$E$7=TH!H3909,OR(N3909="331",O3909="331")),"x","")</f>
        <v/>
      </c>
      <c r="Q3909" s="79" t="str">
        <f>IF(AND(B3909='111'!$L$11,OR($N3909=$Q$7,$O3909=$Q$7)),"x","")</f>
        <v/>
      </c>
      <c r="R3909" s="79" t="str">
        <f>IF(AND($N3909=$Q$7,$B3909&lt;'111'!$L$11),"x","")</f>
        <v/>
      </c>
      <c r="S3909" s="79" t="str">
        <f>IF(AND($O3909=$Q$7,$B3909&lt;'111'!$L$11),"x","")</f>
        <v/>
      </c>
      <c r="T3909" s="79" t="str">
        <f>IF(ISERROR(FIND('112'!$M$9,G3909,1)),"",IF((AND(FIND('112'!$M$9,G3909,1)&gt;=1,B3909='112'!$K$9,OR($N3909='112'!$I$6,$O3909='112'!$I$6))),"x",""))</f>
        <v/>
      </c>
      <c r="U3909" s="79" t="str">
        <f>IF(ISERROR(FIND('112'!$M$9,G3909,1)),"",IF((AND(LEFT(G3909,2)=LEFT('112'!$M$9,2),B3909&lt;'112'!$K$9,$N3909='112'!$I$6)),"x",""))</f>
        <v/>
      </c>
      <c r="V3909" s="79" t="str">
        <f>IF(ISERROR(FIND('112'!$M$9,G3909,1)),"",IF((AND(RIGHT(G3909,2)=RIGHT('112'!$M$9,2),B3909&lt;'112'!$K$9,$O3909='112'!$I$6)),"x",""))</f>
        <v/>
      </c>
      <c r="W3909" s="79" t="str">
        <f>IF(AND('341-CT'!$H$9=H3909,OR(LEFT(N3909,3)=$W$7,LEFT(O3909,3)=$W$7)),"x","")</f>
        <v/>
      </c>
      <c r="X3909" s="79" t="str">
        <f>IF(OR(TH!N3909=TH!$X$7,O3909=TH!$X$7),"x","")</f>
        <v/>
      </c>
      <c r="Y3909" s="79" t="str">
        <f>IF(AND(OR(N3909="131",O3909="131"),H3909='131-CT'!$H$9),"x","")</f>
        <v/>
      </c>
      <c r="Z3909" s="79"/>
      <c r="AA3909" s="79" t="str">
        <f>IF(AND(MONTH(E3909)='IN-NX'!$J$5,'IN-NX'!$D$7=D3909),"x","")</f>
        <v/>
      </c>
      <c r="AB3909" s="79" t="str">
        <f>IF(AND(OR(LEFT(TH!N3909,2)="15",LEFT(TH!O3909,2)="15"),LEFT(TH!O3909,3)&lt;&gt;"111",'152-CT'!$J$8=TH!F3909),"x","")</f>
        <v/>
      </c>
      <c r="AC3909" s="79" t="str">
        <f>IF(AND(OR(LEFT(TH!N3909,2)="15",LEFT(TH!O3909,2)="15"),TK!$E$7=TH!F3909),"x","")</f>
        <v/>
      </c>
      <c r="AD3909" s="79" t="str">
        <f>IF(AND(N3909="1521",MONTH(C3909)='BK-NL'!$M$11),"x","")</f>
        <v/>
      </c>
    </row>
    <row r="3910" spans="1:30" ht="16.5" customHeight="1">
      <c r="A3910" s="318" t="str">
        <f>IF(B3910&lt;&gt;"",IF(AND(B3910='IN-TC'!$S$4,OR(TH!N3910="1111",TH!O3910="1111")),TH!D3910,""),"")</f>
        <v/>
      </c>
      <c r="B3910" s="60" t="str">
        <f t="shared" si="418"/>
        <v/>
      </c>
      <c r="C3910" s="75"/>
      <c r="D3910" s="75"/>
      <c r="E3910" s="75"/>
      <c r="F3910" s="77"/>
      <c r="G3910" s="76"/>
      <c r="H3910" s="759"/>
      <c r="I3910" s="77"/>
      <c r="J3910" s="390"/>
      <c r="K3910" s="383"/>
      <c r="L3910" s="390"/>
      <c r="M3910" s="78"/>
      <c r="N3910" s="79"/>
      <c r="O3910" s="979"/>
      <c r="P3910" s="79" t="str">
        <f>IF(AND('331-CT'!$E$7=TH!H3910,OR(N3910="331",O3910="331")),"x","")</f>
        <v/>
      </c>
      <c r="Q3910" s="79" t="str">
        <f>IF(AND(B3910='111'!$L$11,OR($N3910=$Q$7,$O3910=$Q$7)),"x","")</f>
        <v/>
      </c>
      <c r="R3910" s="79" t="str">
        <f>IF(AND($N3910=$Q$7,$B3910&lt;'111'!$L$11),"x","")</f>
        <v/>
      </c>
      <c r="S3910" s="79" t="str">
        <f>IF(AND($O3910=$Q$7,$B3910&lt;'111'!$L$11),"x","")</f>
        <v/>
      </c>
      <c r="T3910" s="79" t="str">
        <f>IF(ISERROR(FIND('112'!$M$9,G3910,1)),"",IF((AND(FIND('112'!$M$9,G3910,1)&gt;=1,B3910='112'!$K$9,OR($N3910='112'!$I$6,$O3910='112'!$I$6))),"x",""))</f>
        <v/>
      </c>
      <c r="U3910" s="79" t="str">
        <f>IF(ISERROR(FIND('112'!$M$9,G3910,1)),"",IF((AND(LEFT(G3910,2)=LEFT('112'!$M$9,2),B3910&lt;'112'!$K$9,$N3910='112'!$I$6)),"x",""))</f>
        <v/>
      </c>
      <c r="V3910" s="79" t="str">
        <f>IF(ISERROR(FIND('112'!$M$9,G3910,1)),"",IF((AND(RIGHT(G3910,2)=RIGHT('112'!$M$9,2),B3910&lt;'112'!$K$9,$O3910='112'!$I$6)),"x",""))</f>
        <v/>
      </c>
      <c r="W3910" s="79" t="str">
        <f>IF(AND('341-CT'!$H$9=H3910,OR(LEFT(N3910,3)=$W$7,LEFT(O3910,3)=$W$7)),"x","")</f>
        <v/>
      </c>
      <c r="X3910" s="79" t="str">
        <f>IF(OR(TH!N3910=TH!$X$7,O3910=TH!$X$7),"x","")</f>
        <v/>
      </c>
      <c r="Y3910" s="79" t="str">
        <f>IF(AND(OR(N3910="131",O3910="131"),H3910='131-CT'!$H$9),"x","")</f>
        <v/>
      </c>
      <c r="Z3910" s="79"/>
      <c r="AA3910" s="79" t="str">
        <f>IF(AND(MONTH(E3910)='IN-NX'!$J$5,'IN-NX'!$D$7=D3910),"x","")</f>
        <v/>
      </c>
      <c r="AB3910" s="79" t="str">
        <f>IF(AND(OR(LEFT(TH!N3910,2)="15",LEFT(TH!O3910,2)="15"),LEFT(TH!O3910,3)&lt;&gt;"111",'152-CT'!$J$8=TH!F3910),"x","")</f>
        <v/>
      </c>
      <c r="AC3910" s="79" t="str">
        <f>IF(AND(OR(LEFT(TH!N3910,2)="15",LEFT(TH!O3910,2)="15"),TK!$E$7=TH!F3910),"x","")</f>
        <v/>
      </c>
      <c r="AD3910" s="79" t="str">
        <f>IF(AND(N3910="1521",MONTH(C3910)='BK-NL'!$M$11),"x","")</f>
        <v/>
      </c>
    </row>
    <row r="3911" spans="1:30" ht="16.5" customHeight="1">
      <c r="A3911" s="318" t="str">
        <f>IF(B3911&lt;&gt;"",IF(AND(B3911='IN-TC'!$S$4,OR(TH!N3911="1111",TH!O3911="1111")),TH!D3911,""),"")</f>
        <v/>
      </c>
      <c r="B3911" s="60" t="str">
        <f t="shared" si="418"/>
        <v/>
      </c>
      <c r="C3911" s="75"/>
      <c r="D3911" s="75"/>
      <c r="E3911" s="75"/>
      <c r="F3911" s="1280"/>
      <c r="G3911" s="76"/>
      <c r="H3911" s="77"/>
      <c r="I3911" s="77"/>
      <c r="J3911" s="1253"/>
      <c r="K3911" s="1247"/>
      <c r="L3911" s="390"/>
      <c r="M3911" s="978"/>
      <c r="N3911" s="79"/>
      <c r="O3911" s="79"/>
      <c r="P3911" s="79" t="str">
        <f>IF(AND('331-CT'!$E$7=TH!H3911,OR(N3911="331",O3911="331")),"x","")</f>
        <v/>
      </c>
      <c r="Q3911" s="79" t="str">
        <f>IF(AND(B3911='111'!$L$11,OR($N3911=$Q$7,$O3911=$Q$7)),"x","")</f>
        <v/>
      </c>
      <c r="R3911" s="79" t="str">
        <f>IF(AND($N3911=$Q$7,$B3911&lt;'111'!$L$11),"x","")</f>
        <v/>
      </c>
      <c r="S3911" s="79" t="str">
        <f>IF(AND($O3911=$Q$7,$B3911&lt;'111'!$L$11),"x","")</f>
        <v/>
      </c>
      <c r="T3911" s="79" t="str">
        <f>IF(ISERROR(FIND('112'!$M$9,G3911,1)),"",IF((AND(FIND('112'!$M$9,G3911,1)&gt;=1,B3911='112'!$K$9,OR($N3911='112'!$I$6,$O3911='112'!$I$6))),"x",""))</f>
        <v/>
      </c>
      <c r="U3911" s="79" t="str">
        <f>IF(ISERROR(FIND('112'!$M$9,G3911,1)),"",IF((AND(LEFT(G3911,2)=LEFT('112'!$M$9,2),B3911&lt;'112'!$K$9,$N3911='112'!$I$6)),"x",""))</f>
        <v/>
      </c>
      <c r="V3911" s="79" t="str">
        <f>IF(ISERROR(FIND('112'!$M$9,G3911,1)),"",IF((AND(RIGHT(G3911,2)=RIGHT('112'!$M$9,2),B3911&lt;'112'!$K$9,$O3911='112'!$I$6)),"x",""))</f>
        <v/>
      </c>
      <c r="W3911" s="79" t="str">
        <f>IF(AND('341-CT'!$H$9=H3911,OR(LEFT(N3911,3)=$W$7,LEFT(O3911,3)=$W$7)),"x","")</f>
        <v/>
      </c>
      <c r="X3911" s="79" t="str">
        <f>IF(OR(TH!N3911=TH!$X$7,O3911=TH!$X$7),"x","")</f>
        <v/>
      </c>
      <c r="Y3911" s="79" t="str">
        <f>IF(AND(OR(N3911="131",O3911="131"),H3911='131-CT'!$H$9),"x","")</f>
        <v/>
      </c>
      <c r="Z3911" s="79"/>
      <c r="AA3911" s="79" t="str">
        <f>IF(AND(MONTH(E3911)='IN-NX'!$J$5,'IN-NX'!$D$7=D3911),"x","")</f>
        <v/>
      </c>
      <c r="AB3911" s="79" t="str">
        <f>IF(AND(OR(LEFT(TH!N3911,2)="15",LEFT(TH!O3911,2)="15"),LEFT(TH!O3911,3)&lt;&gt;"111",'152-CT'!$J$8=TH!F3911),"x","")</f>
        <v/>
      </c>
      <c r="AC3911" s="79" t="str">
        <f>IF(AND(OR(LEFT(TH!N3911,2)="15",LEFT(TH!O3911,2)="15"),TK!$E$7=TH!F3911),"x","")</f>
        <v/>
      </c>
      <c r="AD3911" s="79" t="str">
        <f>IF(AND(N3911="1521",MONTH(C3911)='BK-NL'!$M$11),"x","")</f>
        <v/>
      </c>
    </row>
    <row r="3912" spans="1:30" ht="16.5" customHeight="1">
      <c r="A3912" s="318" t="str">
        <f>IF(B3912&lt;&gt;"",IF(AND(B3912='IN-TC'!$S$4,OR(TH!N3912="1111",TH!O3912="1111")),TH!D3912,""),"")</f>
        <v/>
      </c>
      <c r="B3912" s="60" t="str">
        <f t="shared" si="418"/>
        <v/>
      </c>
      <c r="C3912" s="75"/>
      <c r="D3912" s="75"/>
      <c r="E3912" s="75"/>
      <c r="F3912" s="1280"/>
      <c r="G3912" s="76"/>
      <c r="H3912" s="77"/>
      <c r="I3912" s="77"/>
      <c r="J3912" s="1253"/>
      <c r="K3912" s="1247"/>
      <c r="L3912" s="390"/>
      <c r="M3912" s="978"/>
      <c r="N3912" s="79"/>
      <c r="O3912" s="79"/>
      <c r="P3912" s="79" t="str">
        <f>IF(AND('331-CT'!$E$7=TH!H3912,OR(N3912="331",O3912="331")),"x","")</f>
        <v/>
      </c>
      <c r="Q3912" s="79" t="str">
        <f>IF(AND(B3912='111'!$L$11,OR($N3912=$Q$7,$O3912=$Q$7)),"x","")</f>
        <v/>
      </c>
      <c r="R3912" s="79" t="str">
        <f>IF(AND($N3912=$Q$7,$B3912&lt;'111'!$L$11),"x","")</f>
        <v/>
      </c>
      <c r="S3912" s="79" t="str">
        <f>IF(AND($O3912=$Q$7,$B3912&lt;'111'!$L$11),"x","")</f>
        <v/>
      </c>
      <c r="T3912" s="79" t="str">
        <f>IF(ISERROR(FIND('112'!$M$9,G3912,1)),"",IF((AND(FIND('112'!$M$9,G3912,1)&gt;=1,B3912='112'!$K$9,OR($N3912='112'!$I$6,$O3912='112'!$I$6))),"x",""))</f>
        <v/>
      </c>
      <c r="U3912" s="79" t="str">
        <f>IF(ISERROR(FIND('112'!$M$9,G3912,1)),"",IF((AND(LEFT(G3912,2)=LEFT('112'!$M$9,2),B3912&lt;'112'!$K$9,$N3912='112'!$I$6)),"x",""))</f>
        <v/>
      </c>
      <c r="V3912" s="79" t="str">
        <f>IF(ISERROR(FIND('112'!$M$9,G3912,1)),"",IF((AND(RIGHT(G3912,2)=RIGHT('112'!$M$9,2),B3912&lt;'112'!$K$9,$O3912='112'!$I$6)),"x",""))</f>
        <v/>
      </c>
      <c r="W3912" s="79" t="str">
        <f>IF(AND('341-CT'!$H$9=H3912,OR(LEFT(N3912,3)=$W$7,LEFT(O3912,3)=$W$7)),"x","")</f>
        <v/>
      </c>
      <c r="X3912" s="79" t="str">
        <f>IF(OR(TH!N3912=TH!$X$7,O3912=TH!$X$7),"x","")</f>
        <v/>
      </c>
      <c r="Y3912" s="79" t="str">
        <f>IF(AND(OR(N3912="131",O3912="131"),H3912='131-CT'!$H$9),"x","")</f>
        <v/>
      </c>
      <c r="Z3912" s="79"/>
      <c r="AA3912" s="79" t="str">
        <f>IF(AND(MONTH(E3912)='IN-NX'!$J$5,'IN-NX'!$D$7=D3912),"x","")</f>
        <v/>
      </c>
      <c r="AB3912" s="79" t="str">
        <f>IF(AND(OR(LEFT(TH!N3912,2)="15",LEFT(TH!O3912,2)="15"),LEFT(TH!O3912,3)&lt;&gt;"111",'152-CT'!$J$8=TH!F3912),"x","")</f>
        <v/>
      </c>
      <c r="AC3912" s="79" t="str">
        <f>IF(AND(OR(LEFT(TH!N3912,2)="15",LEFT(TH!O3912,2)="15"),TK!$E$7=TH!F3912),"x","")</f>
        <v/>
      </c>
      <c r="AD3912" s="79" t="str">
        <f>IF(AND(N3912="1521",MONTH(C3912)='BK-NL'!$M$11),"x","")</f>
        <v/>
      </c>
    </row>
    <row r="3913" spans="1:30" ht="16.5" customHeight="1">
      <c r="A3913" s="318" t="str">
        <f>IF(B3913&lt;&gt;"",IF(AND(B3913='IN-TC'!$S$4,OR(TH!N3913="1111",TH!O3913="1111")),TH!D3913,""),"")</f>
        <v/>
      </c>
      <c r="B3913" s="60" t="str">
        <f t="shared" ref="B3913" si="421">IF(C3913&lt;&gt;"",MONTH(C3913),"")</f>
        <v/>
      </c>
      <c r="C3913" s="75"/>
      <c r="D3913" s="75"/>
      <c r="E3913" s="75"/>
      <c r="F3913" s="1280"/>
      <c r="G3913" s="76"/>
      <c r="H3913" s="77"/>
      <c r="I3913" s="77"/>
      <c r="J3913" s="1253"/>
      <c r="K3913" s="1247"/>
      <c r="L3913" s="390"/>
      <c r="M3913" s="978"/>
      <c r="N3913" s="79"/>
      <c r="O3913" s="79"/>
      <c r="P3913" s="79" t="str">
        <f>IF(AND('331-CT'!$E$7=TH!H3913,OR(N3913="331",O3913="331")),"x","")</f>
        <v/>
      </c>
      <c r="Q3913" s="79" t="str">
        <f>IF(AND(B3913='111'!$L$11,OR($N3913=$Q$7,$O3913=$Q$7)),"x","")</f>
        <v/>
      </c>
      <c r="R3913" s="79" t="str">
        <f>IF(AND($N3913=$Q$7,$B3913&lt;'111'!$L$11),"x","")</f>
        <v/>
      </c>
      <c r="S3913" s="79" t="str">
        <f>IF(AND($O3913=$Q$7,$B3913&lt;'111'!$L$11),"x","")</f>
        <v/>
      </c>
      <c r="T3913" s="79" t="str">
        <f>IF(ISERROR(FIND('112'!$M$9,G3913,1)),"",IF((AND(FIND('112'!$M$9,G3913,1)&gt;=1,B3913='112'!$K$9,OR($N3913='112'!$I$6,$O3913='112'!$I$6))),"x",""))</f>
        <v/>
      </c>
      <c r="U3913" s="79" t="str">
        <f>IF(ISERROR(FIND('112'!$M$9,G3913,1)),"",IF((AND(LEFT(G3913,2)=LEFT('112'!$M$9,2),B3913&lt;'112'!$K$9,$N3913='112'!$I$6)),"x",""))</f>
        <v/>
      </c>
      <c r="V3913" s="79" t="str">
        <f>IF(ISERROR(FIND('112'!$M$9,G3913,1)),"",IF((AND(RIGHT(G3913,2)=RIGHT('112'!$M$9,2),B3913&lt;'112'!$K$9,$O3913='112'!$I$6)),"x",""))</f>
        <v/>
      </c>
      <c r="W3913" s="79" t="str">
        <f>IF(AND('341-CT'!$H$9=H3913,OR(LEFT(N3913,3)=$W$7,LEFT(O3913,3)=$W$7)),"x","")</f>
        <v/>
      </c>
      <c r="X3913" s="79" t="str">
        <f>IF(OR(TH!N3913=TH!$X$7,O3913=TH!$X$7),"x","")</f>
        <v/>
      </c>
      <c r="Y3913" s="79" t="str">
        <f>IF(AND(OR(N3913="131",O3913="131"),H3913='131-CT'!$H$9),"x","")</f>
        <v/>
      </c>
      <c r="Z3913" s="79"/>
      <c r="AA3913" s="79" t="str">
        <f>IF(AND(MONTH(E3913)='IN-NX'!$J$5,'IN-NX'!$D$7=D3913),"x","")</f>
        <v/>
      </c>
      <c r="AB3913" s="79" t="str">
        <f>IF(AND(OR(LEFT(TH!N3913,2)="15",LEFT(TH!O3913,2)="15"),LEFT(TH!O3913,3)&lt;&gt;"111",'152-CT'!$J$8=TH!F3913),"x","")</f>
        <v/>
      </c>
      <c r="AC3913" s="79" t="str">
        <f>IF(AND(OR(LEFT(TH!N3913,2)="15",LEFT(TH!O3913,2)="15"),TK!$E$7=TH!F3913),"x","")</f>
        <v/>
      </c>
      <c r="AD3913" s="79" t="str">
        <f>IF(AND(N3913="1521",MONTH(C3913)='BK-NL'!$M$11),"x","")</f>
        <v/>
      </c>
    </row>
    <row r="3914" spans="1:30" ht="16.5" customHeight="1">
      <c r="A3914" s="318" t="str">
        <f>IF(B3914&lt;&gt;"",IF(AND(B3914='IN-TC'!$S$4,OR(TH!N3914="1111",TH!O3914="1111")),TH!D3914,""),"")</f>
        <v/>
      </c>
      <c r="B3914" s="60" t="str">
        <f t="shared" si="418"/>
        <v/>
      </c>
      <c r="C3914" s="75"/>
      <c r="D3914" s="75"/>
      <c r="E3914" s="75"/>
      <c r="F3914" s="77"/>
      <c r="G3914" s="76"/>
      <c r="H3914" s="77"/>
      <c r="I3914" s="77"/>
      <c r="J3914" s="390"/>
      <c r="K3914" s="383"/>
      <c r="L3914" s="390"/>
      <c r="M3914" s="978"/>
      <c r="N3914" s="79"/>
      <c r="O3914" s="979"/>
      <c r="P3914" s="79" t="str">
        <f>IF(AND('331-CT'!$E$7=TH!H3914,OR(N3914="331",O3914="331")),"x","")</f>
        <v/>
      </c>
      <c r="Q3914" s="79" t="str">
        <f>IF(AND(B3914='111'!$L$11,OR($N3914=$Q$7,$O3914=$Q$7)),"x","")</f>
        <v/>
      </c>
      <c r="R3914" s="79" t="str">
        <f>IF(AND($N3914=$Q$7,$B3914&lt;'111'!$L$11),"x","")</f>
        <v/>
      </c>
      <c r="S3914" s="79" t="str">
        <f>IF(AND($O3914=$Q$7,$B3914&lt;'111'!$L$11),"x","")</f>
        <v/>
      </c>
      <c r="T3914" s="79" t="str">
        <f>IF(ISERROR(FIND('112'!$M$9,G3914,1)),"",IF((AND(FIND('112'!$M$9,G3914,1)&gt;=1,B3914='112'!$K$9,OR($N3914='112'!$I$6,$O3914='112'!$I$6))),"x",""))</f>
        <v/>
      </c>
      <c r="U3914" s="79" t="str">
        <f>IF(ISERROR(FIND('112'!$M$9,G3914,1)),"",IF((AND(LEFT(G3914,2)=LEFT('112'!$M$9,2),B3914&lt;'112'!$K$9,$N3914='112'!$I$6)),"x",""))</f>
        <v/>
      </c>
      <c r="V3914" s="79" t="str">
        <f>IF(ISERROR(FIND('112'!$M$9,G3914,1)),"",IF((AND(RIGHT(G3914,2)=RIGHT('112'!$M$9,2),B3914&lt;'112'!$K$9,$O3914='112'!$I$6)),"x",""))</f>
        <v/>
      </c>
      <c r="W3914" s="79" t="str">
        <f>IF(AND('341-CT'!$H$9=H3914,OR(LEFT(N3914,3)=$W$7,LEFT(O3914,3)=$W$7)),"x","")</f>
        <v/>
      </c>
      <c r="X3914" s="79" t="str">
        <f>IF(OR(TH!N3914=TH!$X$7,O3914=TH!$X$7),"x","")</f>
        <v/>
      </c>
      <c r="Y3914" s="79" t="str">
        <f>IF(AND(OR(N3914="131",O3914="131"),H3914='131-CT'!$H$9),"x","")</f>
        <v/>
      </c>
      <c r="Z3914" s="79"/>
      <c r="AA3914" s="79" t="str">
        <f>IF(AND(MONTH(E3914)='IN-NX'!$J$5,'IN-NX'!$D$7=D3914),"x","")</f>
        <v/>
      </c>
      <c r="AB3914" s="79" t="str">
        <f>IF(AND(OR(LEFT(TH!N3914,2)="15",LEFT(TH!O3914,2)="15"),LEFT(TH!O3914,3)&lt;&gt;"111",'152-CT'!$J$8=TH!F3914),"x","")</f>
        <v/>
      </c>
      <c r="AC3914" s="79" t="str">
        <f>IF(AND(OR(LEFT(TH!N3914,2)="15",LEFT(TH!O3914,2)="15"),TK!$E$7=TH!F3914),"x","")</f>
        <v/>
      </c>
      <c r="AD3914" s="79" t="str">
        <f>IF(AND(N3914="1521",MONTH(C3914)='BK-NL'!$M$11),"x","")</f>
        <v/>
      </c>
    </row>
    <row r="3915" spans="1:30" ht="16.5" customHeight="1">
      <c r="A3915" s="318" t="str">
        <f>IF(B3915&lt;&gt;"",IF(AND(B3915='IN-TC'!$S$4,OR(TH!N3915="1111",TH!O3915="1111")),TH!D3915,""),"")</f>
        <v/>
      </c>
      <c r="B3915" s="60" t="str">
        <f t="shared" si="418"/>
        <v/>
      </c>
      <c r="C3915" s="1263"/>
      <c r="D3915" s="75"/>
      <c r="E3915" s="75"/>
      <c r="F3915" s="76"/>
      <c r="G3915" s="76"/>
      <c r="H3915" s="77"/>
      <c r="I3915" s="77"/>
      <c r="J3915" s="1279"/>
      <c r="K3915" s="1247"/>
      <c r="L3915" s="1248"/>
      <c r="M3915" s="978"/>
      <c r="N3915" s="79"/>
      <c r="O3915" s="979"/>
      <c r="P3915" s="79" t="str">
        <f>IF(AND('331-CT'!$E$7=TH!H3915,OR(N3915="331",O3915="331")),"x","")</f>
        <v/>
      </c>
      <c r="Q3915" s="79" t="str">
        <f>IF(AND(B3915='111'!$L$11,OR($N3915=$Q$7,$O3915=$Q$7)),"x","")</f>
        <v/>
      </c>
      <c r="R3915" s="79" t="str">
        <f>IF(AND($N3915=$Q$7,$B3915&lt;'111'!$L$11),"x","")</f>
        <v/>
      </c>
      <c r="S3915" s="79" t="str">
        <f>IF(AND($O3915=$Q$7,$B3915&lt;'111'!$L$11),"x","")</f>
        <v/>
      </c>
      <c r="T3915" s="79" t="str">
        <f>IF(ISERROR(FIND('112'!$M$9,G3915,1)),"",IF((AND(FIND('112'!$M$9,G3915,1)&gt;=1,B3915='112'!$K$9,OR($N3915='112'!$I$6,$O3915='112'!$I$6))),"x",""))</f>
        <v/>
      </c>
      <c r="U3915" s="79" t="str">
        <f>IF(ISERROR(FIND('112'!$M$9,G3915,1)),"",IF((AND(LEFT(G3915,2)=LEFT('112'!$M$9,2),B3915&lt;'112'!$K$9,$N3915='112'!$I$6)),"x",""))</f>
        <v/>
      </c>
      <c r="V3915" s="79" t="str">
        <f>IF(ISERROR(FIND('112'!$M$9,G3915,1)),"",IF((AND(RIGHT(G3915,2)=RIGHT('112'!$M$9,2),B3915&lt;'112'!$K$9,$O3915='112'!$I$6)),"x",""))</f>
        <v/>
      </c>
      <c r="W3915" s="79" t="str">
        <f>IF(AND('341-CT'!$H$9=H3915,OR(LEFT(N3915,3)=$W$7,LEFT(O3915,3)=$W$7)),"x","")</f>
        <v/>
      </c>
      <c r="X3915" s="79" t="str">
        <f>IF(OR(TH!N3915=TH!$X$7,O3915=TH!$X$7),"x","")</f>
        <v/>
      </c>
      <c r="Y3915" s="79" t="str">
        <f>IF(AND(OR(N3915="131",O3915="131"),H3915='131-CT'!$H$9),"x","")</f>
        <v/>
      </c>
      <c r="Z3915" s="79"/>
      <c r="AA3915" s="79" t="str">
        <f>IF(AND(MONTH(E3915)='IN-NX'!$J$5,'IN-NX'!$D$7=D3915),"x","")</f>
        <v/>
      </c>
      <c r="AB3915" s="79" t="str">
        <f>IF(AND(OR(LEFT(TH!N3915,2)="15",LEFT(TH!O3915,2)="15"),LEFT(TH!O3915,3)&lt;&gt;"111",'152-CT'!$J$8=TH!F3915),"x","")</f>
        <v/>
      </c>
      <c r="AC3915" s="79" t="str">
        <f>IF(AND(OR(LEFT(TH!N3915,2)="15",LEFT(TH!O3915,2)="15"),TK!$E$7=TH!F3915),"x","")</f>
        <v/>
      </c>
      <c r="AD3915" s="79" t="str">
        <f>IF(AND(N3915="1521",MONTH(C3915)='BK-NL'!$M$11),"x","")</f>
        <v/>
      </c>
    </row>
    <row r="3916" spans="1:30" ht="16.5" customHeight="1">
      <c r="A3916" s="318" t="str">
        <f>IF(B3916&lt;&gt;"",IF(AND(B3916='IN-TC'!$S$4,OR(TH!N3916="1111",TH!O3916="1111")),TH!D3916,""),"")</f>
        <v/>
      </c>
      <c r="B3916" s="60" t="str">
        <f t="shared" si="418"/>
        <v/>
      </c>
      <c r="C3916" s="1263"/>
      <c r="D3916" s="75"/>
      <c r="E3916" s="75"/>
      <c r="F3916" s="76"/>
      <c r="G3916" s="76"/>
      <c r="H3916" s="1276"/>
      <c r="I3916" s="77"/>
      <c r="J3916" s="1279"/>
      <c r="K3916" s="1247"/>
      <c r="L3916" s="1248"/>
      <c r="M3916" s="978"/>
      <c r="N3916" s="79"/>
      <c r="O3916" s="979"/>
      <c r="P3916" s="79" t="str">
        <f>IF(AND('331-CT'!$E$7=TH!H3916,OR(N3916="331",O3916="331")),"x","")</f>
        <v/>
      </c>
      <c r="Q3916" s="79" t="str">
        <f>IF(AND(B3916='111'!$L$11,OR($N3916=$Q$7,$O3916=$Q$7)),"x","")</f>
        <v/>
      </c>
      <c r="R3916" s="79" t="str">
        <f>IF(AND($N3916=$Q$7,$B3916&lt;'111'!$L$11),"x","")</f>
        <v/>
      </c>
      <c r="S3916" s="79" t="str">
        <f>IF(AND($O3916=$Q$7,$B3916&lt;'111'!$L$11),"x","")</f>
        <v/>
      </c>
      <c r="T3916" s="79" t="str">
        <f>IF(ISERROR(FIND('112'!$M$9,G3916,1)),"",IF((AND(FIND('112'!$M$9,G3916,1)&gt;=1,B3916='112'!$K$9,OR($N3916='112'!$I$6,$O3916='112'!$I$6))),"x",""))</f>
        <v/>
      </c>
      <c r="U3916" s="79" t="str">
        <f>IF(ISERROR(FIND('112'!$M$9,G3916,1)),"",IF((AND(LEFT(G3916,2)=LEFT('112'!$M$9,2),B3916&lt;'112'!$K$9,$N3916='112'!$I$6)),"x",""))</f>
        <v/>
      </c>
      <c r="V3916" s="79" t="str">
        <f>IF(ISERROR(FIND('112'!$M$9,G3916,1)),"",IF((AND(RIGHT(G3916,2)=RIGHT('112'!$M$9,2),B3916&lt;'112'!$K$9,$O3916='112'!$I$6)),"x",""))</f>
        <v/>
      </c>
      <c r="W3916" s="79" t="str">
        <f>IF(AND('341-CT'!$H$9=H3916,OR(LEFT(N3916,3)=$W$7,LEFT(O3916,3)=$W$7)),"x","")</f>
        <v/>
      </c>
      <c r="X3916" s="79" t="str">
        <f>IF(OR(TH!N3916=TH!$X$7,O3916=TH!$X$7),"x","")</f>
        <v/>
      </c>
      <c r="Y3916" s="79" t="str">
        <f>IF(AND(OR(N3916="131",O3916="131"),H3916='131-CT'!$H$9),"x","")</f>
        <v/>
      </c>
      <c r="Z3916" s="79"/>
      <c r="AA3916" s="79" t="str">
        <f>IF(AND(MONTH(E3916)='IN-NX'!$J$5,'IN-NX'!$D$7=D3916),"x","")</f>
        <v/>
      </c>
      <c r="AB3916" s="79" t="str">
        <f>IF(AND(OR(LEFT(TH!N3916,2)="15",LEFT(TH!O3916,2)="15"),LEFT(TH!O3916,3)&lt;&gt;"111",'152-CT'!$J$8=TH!F3916),"x","")</f>
        <v/>
      </c>
      <c r="AC3916" s="79" t="str">
        <f>IF(AND(OR(LEFT(TH!N3916,2)="15",LEFT(TH!O3916,2)="15"),TK!$E$7=TH!F3916),"x","")</f>
        <v/>
      </c>
      <c r="AD3916" s="79" t="str">
        <f>IF(AND(N3916="1521",MONTH(C3916)='BK-NL'!$M$11),"x","")</f>
        <v/>
      </c>
    </row>
    <row r="3917" spans="1:30" ht="16.5" customHeight="1">
      <c r="A3917" s="318" t="str">
        <f>IF(B3917&lt;&gt;"",IF(AND(B3917='IN-TC'!$S$4,OR(TH!N3917="1111",TH!O3917="1111")),TH!D3917,""),"")</f>
        <v/>
      </c>
      <c r="B3917" s="60" t="str">
        <f t="shared" si="418"/>
        <v/>
      </c>
      <c r="C3917" s="1263"/>
      <c r="D3917" s="75"/>
      <c r="E3917" s="75"/>
      <c r="F3917" s="1278"/>
      <c r="G3917" s="76"/>
      <c r="H3917" s="1276"/>
      <c r="I3917" s="77"/>
      <c r="J3917" s="1279"/>
      <c r="K3917" s="1247"/>
      <c r="L3917" s="1248"/>
      <c r="M3917" s="78"/>
      <c r="N3917" s="79"/>
      <c r="O3917" s="79"/>
      <c r="P3917" s="79" t="str">
        <f>IF(AND('331-CT'!$E$7=TH!H3917,OR(N3917="331",O3917="331")),"x","")</f>
        <v/>
      </c>
      <c r="Q3917" s="79" t="str">
        <f>IF(AND(B3917='111'!$L$11,OR($N3917=$Q$7,$O3917=$Q$7)),"x","")</f>
        <v/>
      </c>
      <c r="R3917" s="79" t="str">
        <f>IF(AND($N3917=$Q$7,$B3917&lt;'111'!$L$11),"x","")</f>
        <v/>
      </c>
      <c r="S3917" s="79" t="str">
        <f>IF(AND($O3917=$Q$7,$B3917&lt;'111'!$L$11),"x","")</f>
        <v/>
      </c>
      <c r="T3917" s="79" t="str">
        <f>IF(ISERROR(FIND('112'!$M$9,G3917,1)),"",IF((AND(FIND('112'!$M$9,G3917,1)&gt;=1,B3917='112'!$K$9,OR($N3917='112'!$I$6,$O3917='112'!$I$6))),"x",""))</f>
        <v/>
      </c>
      <c r="U3917" s="79" t="str">
        <f>IF(ISERROR(FIND('112'!$M$9,G3917,1)),"",IF((AND(LEFT(G3917,2)=LEFT('112'!$M$9,2),B3917&lt;'112'!$K$9,$N3917='112'!$I$6)),"x",""))</f>
        <v/>
      </c>
      <c r="V3917" s="79" t="str">
        <f>IF(ISERROR(FIND('112'!$M$9,G3917,1)),"",IF((AND(RIGHT(G3917,2)=RIGHT('112'!$M$9,2),B3917&lt;'112'!$K$9,$O3917='112'!$I$6)),"x",""))</f>
        <v/>
      </c>
      <c r="W3917" s="79" t="str">
        <f>IF(AND('341-CT'!$H$9=H3917,OR(LEFT(N3917,3)=$W$7,LEFT(O3917,3)=$W$7)),"x","")</f>
        <v/>
      </c>
      <c r="X3917" s="79" t="str">
        <f>IF(OR(TH!N3917=TH!$X$7,O3917=TH!$X$7),"x","")</f>
        <v/>
      </c>
      <c r="Y3917" s="79" t="str">
        <f>IF(AND(OR(N3917="131",O3917="131"),H3917='131-CT'!$H$9),"x","")</f>
        <v/>
      </c>
      <c r="Z3917" s="79"/>
      <c r="AA3917" s="79" t="str">
        <f>IF(AND(MONTH(E3917)='IN-NX'!$J$5,'IN-NX'!$D$7=D3917),"x","")</f>
        <v/>
      </c>
      <c r="AB3917" s="79" t="str">
        <f>IF(AND(OR(LEFT(TH!N3917,2)="15",LEFT(TH!O3917,2)="15"),LEFT(TH!O3917,3)&lt;&gt;"111",'152-CT'!$J$8=TH!F3917),"x","")</f>
        <v/>
      </c>
      <c r="AC3917" s="79" t="str">
        <f>IF(AND(OR(LEFT(TH!N3917,2)="15",LEFT(TH!O3917,2)="15"),TK!$E$7=TH!F3917),"x","")</f>
        <v/>
      </c>
      <c r="AD3917" s="79" t="str">
        <f>IF(AND(N3917="1521",MONTH(C3917)='BK-NL'!$M$11),"x","")</f>
        <v/>
      </c>
    </row>
    <row r="3918" spans="1:30" ht="16.5" customHeight="1">
      <c r="A3918" s="318" t="str">
        <f>IF(B3918&lt;&gt;"",IF(AND(B3918='IN-TC'!$S$4,OR(TH!N3918="1111",TH!O3918="1111")),TH!D3918,""),"")</f>
        <v/>
      </c>
      <c r="B3918" s="60" t="str">
        <f t="shared" si="418"/>
        <v/>
      </c>
      <c r="C3918" s="75"/>
      <c r="D3918" s="75"/>
      <c r="E3918" s="75"/>
      <c r="F3918" s="1280"/>
      <c r="G3918" s="76"/>
      <c r="H3918" s="77"/>
      <c r="I3918" s="77"/>
      <c r="J3918" s="1253"/>
      <c r="K3918" s="1247"/>
      <c r="L3918" s="390"/>
      <c r="M3918" s="978"/>
      <c r="N3918" s="79"/>
      <c r="O3918" s="79"/>
      <c r="P3918" s="79" t="str">
        <f>IF(AND('331-CT'!$E$7=TH!H3918,OR(N3918="331",O3918="331")),"x","")</f>
        <v/>
      </c>
      <c r="Q3918" s="79" t="str">
        <f>IF(AND(B3918='111'!$L$11,OR($N3918=$Q$7,$O3918=$Q$7)),"x","")</f>
        <v/>
      </c>
      <c r="R3918" s="79" t="str">
        <f>IF(AND($N3918=$Q$7,$B3918&lt;'111'!$L$11),"x","")</f>
        <v/>
      </c>
      <c r="S3918" s="79" t="str">
        <f>IF(AND($O3918=$Q$7,$B3918&lt;'111'!$L$11),"x","")</f>
        <v/>
      </c>
      <c r="T3918" s="79" t="str">
        <f>IF(ISERROR(FIND('112'!$M$9,G3918,1)),"",IF((AND(FIND('112'!$M$9,G3918,1)&gt;=1,B3918='112'!$K$9,OR($N3918='112'!$I$6,$O3918='112'!$I$6))),"x",""))</f>
        <v/>
      </c>
      <c r="U3918" s="79" t="str">
        <f>IF(ISERROR(FIND('112'!$M$9,G3918,1)),"",IF((AND(LEFT(G3918,2)=LEFT('112'!$M$9,2),B3918&lt;'112'!$K$9,$N3918='112'!$I$6)),"x",""))</f>
        <v/>
      </c>
      <c r="V3918" s="79" t="str">
        <f>IF(ISERROR(FIND('112'!$M$9,G3918,1)),"",IF((AND(RIGHT(G3918,2)=RIGHT('112'!$M$9,2),B3918&lt;'112'!$K$9,$O3918='112'!$I$6)),"x",""))</f>
        <v/>
      </c>
      <c r="W3918" s="79" t="str">
        <f>IF(AND('341-CT'!$H$9=H3918,OR(LEFT(N3918,3)=$W$7,LEFT(O3918,3)=$W$7)),"x","")</f>
        <v/>
      </c>
      <c r="X3918" s="79" t="str">
        <f>IF(OR(TH!N3918=TH!$X$7,O3918=TH!$X$7),"x","")</f>
        <v/>
      </c>
      <c r="Y3918" s="79" t="str">
        <f>IF(AND(OR(N3918="131",O3918="131"),H3918='131-CT'!$H$9),"x","")</f>
        <v/>
      </c>
      <c r="Z3918" s="79"/>
      <c r="AA3918" s="79" t="str">
        <f>IF(AND(MONTH(E3918)='IN-NX'!$J$5,'IN-NX'!$D$7=D3918),"x","")</f>
        <v/>
      </c>
      <c r="AB3918" s="79" t="str">
        <f>IF(AND(OR(LEFT(TH!N3918,2)="15",LEFT(TH!O3918,2)="15"),LEFT(TH!O3918,3)&lt;&gt;"111",'152-CT'!$J$8=TH!F3918),"x","")</f>
        <v/>
      </c>
      <c r="AC3918" s="79" t="str">
        <f>IF(AND(OR(LEFT(TH!N3918,2)="15",LEFT(TH!O3918,2)="15"),TK!$E$7=TH!F3918),"x","")</f>
        <v/>
      </c>
      <c r="AD3918" s="79" t="str">
        <f>IF(AND(N3918="1521",MONTH(C3918)='BK-NL'!$M$11),"x","")</f>
        <v/>
      </c>
    </row>
    <row r="3919" spans="1:30" ht="16.5" customHeight="1">
      <c r="A3919" s="318" t="str">
        <f>IF(B3919&lt;&gt;"",IF(AND(B3919='IN-TC'!$S$4,OR(TH!N3919="1111",TH!O3919="1111")),TH!D3919,""),"")</f>
        <v/>
      </c>
      <c r="B3919" s="60" t="str">
        <f t="shared" si="418"/>
        <v/>
      </c>
      <c r="C3919" s="75"/>
      <c r="D3919" s="75"/>
      <c r="E3919" s="75"/>
      <c r="F3919" s="1280"/>
      <c r="G3919" s="76"/>
      <c r="H3919" s="77"/>
      <c r="I3919" s="77"/>
      <c r="J3919" s="1253"/>
      <c r="K3919" s="1247"/>
      <c r="L3919" s="390"/>
      <c r="M3919" s="978"/>
      <c r="N3919" s="79"/>
      <c r="O3919" s="79"/>
      <c r="P3919" s="79" t="str">
        <f>IF(AND('331-CT'!$E$7=TH!H3919,OR(N3919="331",O3919="331")),"x","")</f>
        <v/>
      </c>
      <c r="Q3919" s="79" t="str">
        <f>IF(AND(B3919='111'!$L$11,OR($N3919=$Q$7,$O3919=$Q$7)),"x","")</f>
        <v/>
      </c>
      <c r="R3919" s="79" t="str">
        <f>IF(AND($N3919=$Q$7,$B3919&lt;'111'!$L$11),"x","")</f>
        <v/>
      </c>
      <c r="S3919" s="79" t="str">
        <f>IF(AND($O3919=$Q$7,$B3919&lt;'111'!$L$11),"x","")</f>
        <v/>
      </c>
      <c r="T3919" s="79" t="str">
        <f>IF(ISERROR(FIND('112'!$M$9,G3919,1)),"",IF((AND(FIND('112'!$M$9,G3919,1)&gt;=1,B3919='112'!$K$9,OR($N3919='112'!$I$6,$O3919='112'!$I$6))),"x",""))</f>
        <v/>
      </c>
      <c r="U3919" s="79" t="str">
        <f>IF(ISERROR(FIND('112'!$M$9,G3919,1)),"",IF((AND(LEFT(G3919,2)=LEFT('112'!$M$9,2),B3919&lt;'112'!$K$9,$N3919='112'!$I$6)),"x",""))</f>
        <v/>
      </c>
      <c r="V3919" s="79" t="str">
        <f>IF(ISERROR(FIND('112'!$M$9,G3919,1)),"",IF((AND(RIGHT(G3919,2)=RIGHT('112'!$M$9,2),B3919&lt;'112'!$K$9,$O3919='112'!$I$6)),"x",""))</f>
        <v/>
      </c>
      <c r="W3919" s="79" t="str">
        <f>IF(AND('341-CT'!$H$9=H3919,OR(LEFT(N3919,3)=$W$7,LEFT(O3919,3)=$W$7)),"x","")</f>
        <v/>
      </c>
      <c r="X3919" s="79" t="str">
        <f>IF(OR(TH!N3919=TH!$X$7,O3919=TH!$X$7),"x","")</f>
        <v/>
      </c>
      <c r="Y3919" s="79" t="str">
        <f>IF(AND(OR(N3919="131",O3919="131"),H3919='131-CT'!$H$9),"x","")</f>
        <v/>
      </c>
      <c r="Z3919" s="79"/>
      <c r="AA3919" s="79" t="str">
        <f>IF(AND(MONTH(E3919)='IN-NX'!$J$5,'IN-NX'!$D$7=D3919),"x","")</f>
        <v/>
      </c>
      <c r="AB3919" s="79" t="str">
        <f>IF(AND(OR(LEFT(TH!N3919,2)="15",LEFT(TH!O3919,2)="15"),LEFT(TH!O3919,3)&lt;&gt;"111",'152-CT'!$J$8=TH!F3919),"x","")</f>
        <v/>
      </c>
      <c r="AC3919" s="79" t="str">
        <f>IF(AND(OR(LEFT(TH!N3919,2)="15",LEFT(TH!O3919,2)="15"),TK!$E$7=TH!F3919),"x","")</f>
        <v/>
      </c>
      <c r="AD3919" s="79" t="str">
        <f>IF(AND(N3919="1521",MONTH(C3919)='BK-NL'!$M$11),"x","")</f>
        <v/>
      </c>
    </row>
    <row r="3920" spans="1:30" ht="16.5" customHeight="1">
      <c r="A3920" s="318" t="str">
        <f>IF(B3920&lt;&gt;"",IF(AND(B3920='IN-TC'!$S$4,OR(TH!N3920="1111",TH!O3920="1111")),TH!D3920,""),"")</f>
        <v/>
      </c>
      <c r="B3920" s="60" t="str">
        <f t="shared" ref="B3920" si="422">IF(C3920&lt;&gt;"",MONTH(C3920),"")</f>
        <v/>
      </c>
      <c r="C3920" s="75"/>
      <c r="D3920" s="75"/>
      <c r="E3920" s="75"/>
      <c r="F3920" s="1280"/>
      <c r="G3920" s="76"/>
      <c r="H3920" s="77"/>
      <c r="I3920" s="77"/>
      <c r="J3920" s="1253"/>
      <c r="K3920" s="1247"/>
      <c r="L3920" s="390"/>
      <c r="M3920" s="978"/>
      <c r="N3920" s="79"/>
      <c r="O3920" s="79"/>
      <c r="P3920" s="79" t="str">
        <f>IF(AND('331-CT'!$E$7=TH!H3920,OR(N3920="331",O3920="331")),"x","")</f>
        <v/>
      </c>
      <c r="Q3920" s="79" t="str">
        <f>IF(AND(B3920='111'!$L$11,OR($N3920=$Q$7,$O3920=$Q$7)),"x","")</f>
        <v/>
      </c>
      <c r="R3920" s="79" t="str">
        <f>IF(AND($N3920=$Q$7,$B3920&lt;'111'!$L$11),"x","")</f>
        <v/>
      </c>
      <c r="S3920" s="79" t="str">
        <f>IF(AND($O3920=$Q$7,$B3920&lt;'111'!$L$11),"x","")</f>
        <v/>
      </c>
      <c r="T3920" s="79" t="str">
        <f>IF(ISERROR(FIND('112'!$M$9,G3920,1)),"",IF((AND(FIND('112'!$M$9,G3920,1)&gt;=1,B3920='112'!$K$9,OR($N3920='112'!$I$6,$O3920='112'!$I$6))),"x",""))</f>
        <v/>
      </c>
      <c r="U3920" s="79" t="str">
        <f>IF(ISERROR(FIND('112'!$M$9,G3920,1)),"",IF((AND(LEFT(G3920,2)=LEFT('112'!$M$9,2),B3920&lt;'112'!$K$9,$N3920='112'!$I$6)),"x",""))</f>
        <v/>
      </c>
      <c r="V3920" s="79" t="str">
        <f>IF(ISERROR(FIND('112'!$M$9,G3920,1)),"",IF((AND(RIGHT(G3920,2)=RIGHT('112'!$M$9,2),B3920&lt;'112'!$K$9,$O3920='112'!$I$6)),"x",""))</f>
        <v/>
      </c>
      <c r="W3920" s="79" t="str">
        <f>IF(AND('341-CT'!$H$9=H3920,OR(LEFT(N3920,3)=$W$7,LEFT(O3920,3)=$W$7)),"x","")</f>
        <v/>
      </c>
      <c r="X3920" s="79" t="str">
        <f>IF(OR(TH!N3920=TH!$X$7,O3920=TH!$X$7),"x","")</f>
        <v/>
      </c>
      <c r="Y3920" s="79" t="str">
        <f>IF(AND(OR(N3920="131",O3920="131"),H3920='131-CT'!$H$9),"x","")</f>
        <v/>
      </c>
      <c r="Z3920" s="79"/>
      <c r="AA3920" s="79" t="str">
        <f>IF(AND(MONTH(E3920)='IN-NX'!$J$5,'IN-NX'!$D$7=D3920),"x","")</f>
        <v/>
      </c>
      <c r="AB3920" s="79" t="str">
        <f>IF(AND(OR(LEFT(TH!N3920,2)="15",LEFT(TH!O3920,2)="15"),LEFT(TH!O3920,3)&lt;&gt;"111",'152-CT'!$J$8=TH!F3920),"x","")</f>
        <v/>
      </c>
      <c r="AC3920" s="79" t="str">
        <f>IF(AND(OR(LEFT(TH!N3920,2)="15",LEFT(TH!O3920,2)="15"),TK!$E$7=TH!F3920),"x","")</f>
        <v/>
      </c>
      <c r="AD3920" s="79" t="str">
        <f>IF(AND(N3920="1521",MONTH(C3920)='BK-NL'!$M$11),"x","")</f>
        <v/>
      </c>
    </row>
    <row r="3921" spans="1:30" ht="16.5" customHeight="1">
      <c r="A3921" s="318" t="str">
        <f>IF(B3921&lt;&gt;"",IF(AND(B3921='IN-TC'!$S$4,OR(TH!N3921="1111",TH!O3921="1111")),TH!D3921,""),"")</f>
        <v/>
      </c>
      <c r="B3921" s="60" t="str">
        <f t="shared" ref="B3921:B3989" si="423">IF(C3921&lt;&gt;"",MONTH(C3921),"")</f>
        <v/>
      </c>
      <c r="C3921" s="75"/>
      <c r="D3921" s="75"/>
      <c r="E3921" s="75"/>
      <c r="F3921" s="77"/>
      <c r="G3921" s="76"/>
      <c r="H3921" s="77"/>
      <c r="I3921" s="77"/>
      <c r="J3921" s="390"/>
      <c r="K3921" s="383"/>
      <c r="L3921" s="390"/>
      <c r="M3921" s="978"/>
      <c r="N3921" s="79"/>
      <c r="O3921" s="979"/>
      <c r="P3921" s="79" t="str">
        <f>IF(AND('331-CT'!$E$7=TH!H3921,OR(N3921="331",O3921="331")),"x","")</f>
        <v/>
      </c>
      <c r="Q3921" s="79" t="str">
        <f>IF(AND(B3921='111'!$L$11,OR($N3921=$Q$7,$O3921=$Q$7)),"x","")</f>
        <v/>
      </c>
      <c r="R3921" s="79" t="str">
        <f>IF(AND($N3921=$Q$7,$B3921&lt;'111'!$L$11),"x","")</f>
        <v/>
      </c>
      <c r="S3921" s="79" t="str">
        <f>IF(AND($O3921=$Q$7,$B3921&lt;'111'!$L$11),"x","")</f>
        <v/>
      </c>
      <c r="T3921" s="79" t="str">
        <f>IF(ISERROR(FIND('112'!$M$9,G3921,1)),"",IF((AND(FIND('112'!$M$9,G3921,1)&gt;=1,B3921='112'!$K$9,OR($N3921='112'!$I$6,$O3921='112'!$I$6))),"x",""))</f>
        <v/>
      </c>
      <c r="U3921" s="79" t="str">
        <f>IF(ISERROR(FIND('112'!$M$9,G3921,1)),"",IF((AND(LEFT(G3921,2)=LEFT('112'!$M$9,2),B3921&lt;'112'!$K$9,$N3921='112'!$I$6)),"x",""))</f>
        <v/>
      </c>
      <c r="V3921" s="79" t="str">
        <f>IF(ISERROR(FIND('112'!$M$9,G3921,1)),"",IF((AND(RIGHT(G3921,2)=RIGHT('112'!$M$9,2),B3921&lt;'112'!$K$9,$O3921='112'!$I$6)),"x",""))</f>
        <v/>
      </c>
      <c r="W3921" s="79" t="str">
        <f>IF(AND('341-CT'!$H$9=H3921,OR(LEFT(N3921,3)=$W$7,LEFT(O3921,3)=$W$7)),"x","")</f>
        <v/>
      </c>
      <c r="X3921" s="79" t="str">
        <f>IF(OR(TH!N3921=TH!$X$7,O3921=TH!$X$7),"x","")</f>
        <v/>
      </c>
      <c r="Y3921" s="79" t="str">
        <f>IF(AND(OR(N3921="131",O3921="131"),H3921='131-CT'!$H$9),"x","")</f>
        <v/>
      </c>
      <c r="Z3921" s="79"/>
      <c r="AA3921" s="79" t="str">
        <f>IF(AND(MONTH(E3921)='IN-NX'!$J$5,'IN-NX'!$D$7=D3921),"x","")</f>
        <v/>
      </c>
      <c r="AB3921" s="79" t="str">
        <f>IF(AND(OR(LEFT(TH!N3921,2)="15",LEFT(TH!O3921,2)="15"),LEFT(TH!O3921,3)&lt;&gt;"111",'152-CT'!$J$8=TH!F3921),"x","")</f>
        <v/>
      </c>
      <c r="AC3921" s="79" t="str">
        <f>IF(AND(OR(LEFT(TH!N3921,2)="15",LEFT(TH!O3921,2)="15"),TK!$E$7=TH!F3921),"x","")</f>
        <v/>
      </c>
      <c r="AD3921" s="79" t="str">
        <f>IF(AND(N3921="1521",MONTH(C3921)='BK-NL'!$M$11),"x","")</f>
        <v/>
      </c>
    </row>
    <row r="3922" spans="1:30" ht="16.5" customHeight="1">
      <c r="A3922" s="318" t="str">
        <f>IF(B3922&lt;&gt;"",IF(AND(B3922='IN-TC'!$S$4,OR(TH!N3922="1111",TH!O3922="1111")),TH!D3922,""),"")</f>
        <v/>
      </c>
      <c r="B3922" s="60" t="str">
        <f t="shared" si="423"/>
        <v/>
      </c>
      <c r="C3922" s="75"/>
      <c r="D3922" s="75"/>
      <c r="E3922" s="75"/>
      <c r="F3922" s="1280"/>
      <c r="G3922" s="76"/>
      <c r="H3922" s="77"/>
      <c r="I3922" s="77"/>
      <c r="J3922" s="1253"/>
      <c r="K3922" s="1247"/>
      <c r="L3922" s="390"/>
      <c r="M3922" s="978"/>
      <c r="N3922" s="79"/>
      <c r="O3922" s="79"/>
      <c r="P3922" s="79" t="str">
        <f>IF(AND('331-CT'!$E$7=TH!H3922,OR(N3922="331",O3922="331")),"x","")</f>
        <v/>
      </c>
      <c r="Q3922" s="79" t="str">
        <f>IF(AND(B3922='111'!$L$11,OR($N3922=$Q$7,$O3922=$Q$7)),"x","")</f>
        <v/>
      </c>
      <c r="R3922" s="79" t="str">
        <f>IF(AND($N3922=$Q$7,$B3922&lt;'111'!$L$11),"x","")</f>
        <v/>
      </c>
      <c r="S3922" s="79" t="str">
        <f>IF(AND($O3922=$Q$7,$B3922&lt;'111'!$L$11),"x","")</f>
        <v/>
      </c>
      <c r="T3922" s="79" t="str">
        <f>IF(ISERROR(FIND('112'!$M$9,G3922,1)),"",IF((AND(FIND('112'!$M$9,G3922,1)&gt;=1,B3922='112'!$K$9,OR($N3922='112'!$I$6,$O3922='112'!$I$6))),"x",""))</f>
        <v/>
      </c>
      <c r="U3922" s="79" t="str">
        <f>IF(ISERROR(FIND('112'!$M$9,G3922,1)),"",IF((AND(LEFT(G3922,2)=LEFT('112'!$M$9,2),B3922&lt;'112'!$K$9,$N3922='112'!$I$6)),"x",""))</f>
        <v/>
      </c>
      <c r="V3922" s="79" t="str">
        <f>IF(ISERROR(FIND('112'!$M$9,G3922,1)),"",IF((AND(RIGHT(G3922,2)=RIGHT('112'!$M$9,2),B3922&lt;'112'!$K$9,$O3922='112'!$I$6)),"x",""))</f>
        <v/>
      </c>
      <c r="W3922" s="79" t="str">
        <f>IF(AND('341-CT'!$H$9=H3922,OR(LEFT(N3922,3)=$W$7,LEFT(O3922,3)=$W$7)),"x","")</f>
        <v/>
      </c>
      <c r="X3922" s="79" t="str">
        <f>IF(OR(TH!N3922=TH!$X$7,O3922=TH!$X$7),"x","")</f>
        <v/>
      </c>
      <c r="Y3922" s="79" t="str">
        <f>IF(AND(OR(N3922="131",O3922="131"),H3922='131-CT'!$H$9),"x","")</f>
        <v/>
      </c>
      <c r="Z3922" s="79"/>
      <c r="AA3922" s="79" t="str">
        <f>IF(AND(MONTH(E3922)='IN-NX'!$J$5,'IN-NX'!$D$7=D3922),"x","")</f>
        <v/>
      </c>
      <c r="AB3922" s="79" t="str">
        <f>IF(AND(OR(LEFT(TH!N3922,2)="15",LEFT(TH!O3922,2)="15"),LEFT(TH!O3922,3)&lt;&gt;"111",'152-CT'!$J$8=TH!F3922),"x","")</f>
        <v/>
      </c>
      <c r="AC3922" s="79" t="str">
        <f>IF(AND(OR(LEFT(TH!N3922,2)="15",LEFT(TH!O3922,2)="15"),TK!$E$7=TH!F3922),"x","")</f>
        <v/>
      </c>
      <c r="AD3922" s="79" t="str">
        <f>IF(AND(N3922="1521",MONTH(C3922)='BK-NL'!$M$11),"x","")</f>
        <v/>
      </c>
    </row>
    <row r="3923" spans="1:30" ht="16.5" customHeight="1">
      <c r="A3923" s="318" t="str">
        <f>IF(B3923&lt;&gt;"",IF(AND(B3923='IN-TC'!$S$4,OR(TH!N3923="1111",TH!O3923="1111")),TH!D3923,""),"")</f>
        <v/>
      </c>
      <c r="B3923" s="60" t="str">
        <f t="shared" si="423"/>
        <v/>
      </c>
      <c r="C3923" s="75"/>
      <c r="D3923" s="75"/>
      <c r="E3923" s="75"/>
      <c r="F3923" s="1280"/>
      <c r="G3923" s="76"/>
      <c r="H3923" s="77"/>
      <c r="I3923" s="77"/>
      <c r="J3923" s="1253"/>
      <c r="K3923" s="1247"/>
      <c r="L3923" s="390"/>
      <c r="M3923" s="978"/>
      <c r="N3923" s="79"/>
      <c r="O3923" s="79"/>
      <c r="P3923" s="79" t="str">
        <f>IF(AND('331-CT'!$E$7=TH!H3923,OR(N3923="331",O3923="331")),"x","")</f>
        <v/>
      </c>
      <c r="Q3923" s="79" t="str">
        <f>IF(AND(B3923='111'!$L$11,OR($N3923=$Q$7,$O3923=$Q$7)),"x","")</f>
        <v/>
      </c>
      <c r="R3923" s="79" t="str">
        <f>IF(AND($N3923=$Q$7,$B3923&lt;'111'!$L$11),"x","")</f>
        <v/>
      </c>
      <c r="S3923" s="79" t="str">
        <f>IF(AND($O3923=$Q$7,$B3923&lt;'111'!$L$11),"x","")</f>
        <v/>
      </c>
      <c r="T3923" s="79" t="str">
        <f>IF(ISERROR(FIND('112'!$M$9,G3923,1)),"",IF((AND(FIND('112'!$M$9,G3923,1)&gt;=1,B3923='112'!$K$9,OR($N3923='112'!$I$6,$O3923='112'!$I$6))),"x",""))</f>
        <v/>
      </c>
      <c r="U3923" s="79" t="str">
        <f>IF(ISERROR(FIND('112'!$M$9,G3923,1)),"",IF((AND(LEFT(G3923,2)=LEFT('112'!$M$9,2),B3923&lt;'112'!$K$9,$N3923='112'!$I$6)),"x",""))</f>
        <v/>
      </c>
      <c r="V3923" s="79" t="str">
        <f>IF(ISERROR(FIND('112'!$M$9,G3923,1)),"",IF((AND(RIGHT(G3923,2)=RIGHT('112'!$M$9,2),B3923&lt;'112'!$K$9,$O3923='112'!$I$6)),"x",""))</f>
        <v/>
      </c>
      <c r="W3923" s="79" t="str">
        <f>IF(AND('341-CT'!$H$9=H3923,OR(LEFT(N3923,3)=$W$7,LEFT(O3923,3)=$W$7)),"x","")</f>
        <v/>
      </c>
      <c r="X3923" s="79" t="str">
        <f>IF(OR(TH!N3923=TH!$X$7,O3923=TH!$X$7),"x","")</f>
        <v/>
      </c>
      <c r="Y3923" s="79" t="str">
        <f>IF(AND(OR(N3923="131",O3923="131"),H3923='131-CT'!$H$9),"x","")</f>
        <v/>
      </c>
      <c r="Z3923" s="79"/>
      <c r="AA3923" s="79" t="str">
        <f>IF(AND(MONTH(E3923)='IN-NX'!$J$5,'IN-NX'!$D$7=D3923),"x","")</f>
        <v/>
      </c>
      <c r="AB3923" s="79" t="str">
        <f>IF(AND(OR(LEFT(TH!N3923,2)="15",LEFT(TH!O3923,2)="15"),LEFT(TH!O3923,3)&lt;&gt;"111",'152-CT'!$J$8=TH!F3923),"x","")</f>
        <v/>
      </c>
      <c r="AC3923" s="79" t="str">
        <f>IF(AND(OR(LEFT(TH!N3923,2)="15",LEFT(TH!O3923,2)="15"),TK!$E$7=TH!F3923),"x","")</f>
        <v/>
      </c>
      <c r="AD3923" s="79" t="str">
        <f>IF(AND(N3923="1521",MONTH(C3923)='BK-NL'!$M$11),"x","")</f>
        <v/>
      </c>
    </row>
    <row r="3924" spans="1:30" ht="16.5" customHeight="1">
      <c r="A3924" s="318" t="str">
        <f>IF(B3924&lt;&gt;"",IF(AND(B3924='IN-TC'!$S$4,OR(TH!N3924="1111",TH!O3924="1111")),TH!D3924,""),"")</f>
        <v/>
      </c>
      <c r="B3924" s="60" t="str">
        <f t="shared" ref="B3924" si="424">IF(C3924&lt;&gt;"",MONTH(C3924),"")</f>
        <v/>
      </c>
      <c r="C3924" s="75"/>
      <c r="D3924" s="75"/>
      <c r="E3924" s="75"/>
      <c r="F3924" s="1280"/>
      <c r="G3924" s="76"/>
      <c r="H3924" s="77"/>
      <c r="I3924" s="77"/>
      <c r="J3924" s="1253"/>
      <c r="K3924" s="1247"/>
      <c r="L3924" s="390"/>
      <c r="M3924" s="978"/>
      <c r="N3924" s="79"/>
      <c r="O3924" s="79"/>
      <c r="P3924" s="79" t="str">
        <f>IF(AND('331-CT'!$E$7=TH!H3924,OR(N3924="331",O3924="331")),"x","")</f>
        <v/>
      </c>
      <c r="Q3924" s="79" t="str">
        <f>IF(AND(B3924='111'!$L$11,OR($N3924=$Q$7,$O3924=$Q$7)),"x","")</f>
        <v/>
      </c>
      <c r="R3924" s="79" t="str">
        <f>IF(AND($N3924=$Q$7,$B3924&lt;'111'!$L$11),"x","")</f>
        <v/>
      </c>
      <c r="S3924" s="79" t="str">
        <f>IF(AND($O3924=$Q$7,$B3924&lt;'111'!$L$11),"x","")</f>
        <v/>
      </c>
      <c r="T3924" s="79" t="str">
        <f>IF(ISERROR(FIND('112'!$M$9,G3924,1)),"",IF((AND(FIND('112'!$M$9,G3924,1)&gt;=1,B3924='112'!$K$9,OR($N3924='112'!$I$6,$O3924='112'!$I$6))),"x",""))</f>
        <v/>
      </c>
      <c r="U3924" s="79" t="str">
        <f>IF(ISERROR(FIND('112'!$M$9,G3924,1)),"",IF((AND(LEFT(G3924,2)=LEFT('112'!$M$9,2),B3924&lt;'112'!$K$9,$N3924='112'!$I$6)),"x",""))</f>
        <v/>
      </c>
      <c r="V3924" s="79" t="str">
        <f>IF(ISERROR(FIND('112'!$M$9,G3924,1)),"",IF((AND(RIGHT(G3924,2)=RIGHT('112'!$M$9,2),B3924&lt;'112'!$K$9,$O3924='112'!$I$6)),"x",""))</f>
        <v/>
      </c>
      <c r="W3924" s="79" t="str">
        <f>IF(AND('341-CT'!$H$9=H3924,OR(LEFT(N3924,3)=$W$7,LEFT(O3924,3)=$W$7)),"x","")</f>
        <v/>
      </c>
      <c r="X3924" s="79" t="str">
        <f>IF(OR(TH!N3924=TH!$X$7,O3924=TH!$X$7),"x","")</f>
        <v/>
      </c>
      <c r="Y3924" s="79" t="str">
        <f>IF(AND(OR(N3924="131",O3924="131"),H3924='131-CT'!$H$9),"x","")</f>
        <v/>
      </c>
      <c r="Z3924" s="79"/>
      <c r="AA3924" s="79" t="str">
        <f>IF(AND(MONTH(E3924)='IN-NX'!$J$5,'IN-NX'!$D$7=D3924),"x","")</f>
        <v/>
      </c>
      <c r="AB3924" s="79" t="str">
        <f>IF(AND(OR(LEFT(TH!N3924,2)="15",LEFT(TH!O3924,2)="15"),LEFT(TH!O3924,3)&lt;&gt;"111",'152-CT'!$J$8=TH!F3924),"x","")</f>
        <v/>
      </c>
      <c r="AC3924" s="79" t="str">
        <f>IF(AND(OR(LEFT(TH!N3924,2)="15",LEFT(TH!O3924,2)="15"),TK!$E$7=TH!F3924),"x","")</f>
        <v/>
      </c>
      <c r="AD3924" s="79" t="str">
        <f>IF(AND(N3924="1521",MONTH(C3924)='BK-NL'!$M$11),"x","")</f>
        <v/>
      </c>
    </row>
    <row r="3925" spans="1:30" ht="16.5" customHeight="1">
      <c r="A3925" s="318" t="str">
        <f>IF(B3925&lt;&gt;"",IF(AND(B3925='IN-TC'!$S$4,OR(TH!N3925="1111",TH!O3925="1111")),TH!D3925,""),"")</f>
        <v/>
      </c>
      <c r="B3925" s="60" t="str">
        <f t="shared" si="423"/>
        <v/>
      </c>
      <c r="C3925" s="75"/>
      <c r="D3925" s="75"/>
      <c r="E3925" s="75"/>
      <c r="F3925" s="1280"/>
      <c r="G3925" s="76"/>
      <c r="H3925" s="77"/>
      <c r="I3925" s="77"/>
      <c r="J3925" s="1253"/>
      <c r="K3925" s="1247"/>
      <c r="L3925" s="390"/>
      <c r="M3925" s="978"/>
      <c r="N3925" s="79"/>
      <c r="O3925" s="79"/>
      <c r="P3925" s="79" t="str">
        <f>IF(AND('331-CT'!$E$7=TH!H3925,OR(N3925="331",O3925="331")),"x","")</f>
        <v/>
      </c>
      <c r="Q3925" s="79" t="str">
        <f>IF(AND(B3925='111'!$L$11,OR($N3925=$Q$7,$O3925=$Q$7)),"x","")</f>
        <v/>
      </c>
      <c r="R3925" s="79" t="str">
        <f>IF(AND($N3925=$Q$7,$B3925&lt;'111'!$L$11),"x","")</f>
        <v/>
      </c>
      <c r="S3925" s="79" t="str">
        <f>IF(AND($O3925=$Q$7,$B3925&lt;'111'!$L$11),"x","")</f>
        <v/>
      </c>
      <c r="T3925" s="79" t="str">
        <f>IF(ISERROR(FIND('112'!$M$9,G3925,1)),"",IF((AND(FIND('112'!$M$9,G3925,1)&gt;=1,B3925='112'!$K$9,OR($N3925='112'!$I$6,$O3925='112'!$I$6))),"x",""))</f>
        <v/>
      </c>
      <c r="U3925" s="79" t="str">
        <f>IF(ISERROR(FIND('112'!$M$9,G3925,1)),"",IF((AND(LEFT(G3925,2)=LEFT('112'!$M$9,2),B3925&lt;'112'!$K$9,$N3925='112'!$I$6)),"x",""))</f>
        <v/>
      </c>
      <c r="V3925" s="79" t="str">
        <f>IF(ISERROR(FIND('112'!$M$9,G3925,1)),"",IF((AND(RIGHT(G3925,2)=RIGHT('112'!$M$9,2),B3925&lt;'112'!$K$9,$O3925='112'!$I$6)),"x",""))</f>
        <v/>
      </c>
      <c r="W3925" s="79" t="str">
        <f>IF(AND('341-CT'!$H$9=H3925,OR(LEFT(N3925,3)=$W$7,LEFT(O3925,3)=$W$7)),"x","")</f>
        <v/>
      </c>
      <c r="X3925" s="79" t="str">
        <f>IF(OR(TH!N3925=TH!$X$7,O3925=TH!$X$7),"x","")</f>
        <v/>
      </c>
      <c r="Y3925" s="79" t="str">
        <f>IF(AND(OR(N3925="131",O3925="131"),H3925='131-CT'!$H$9),"x","")</f>
        <v/>
      </c>
      <c r="Z3925" s="79"/>
      <c r="AA3925" s="79" t="str">
        <f>IF(AND(MONTH(E3925)='IN-NX'!$J$5,'IN-NX'!$D$7=D3925),"x","")</f>
        <v/>
      </c>
      <c r="AB3925" s="79" t="str">
        <f>IF(AND(OR(LEFT(TH!N3925,2)="15",LEFT(TH!O3925,2)="15"),LEFT(TH!O3925,3)&lt;&gt;"111",'152-CT'!$J$8=TH!F3925),"x","")</f>
        <v/>
      </c>
      <c r="AC3925" s="79" t="str">
        <f>IF(AND(OR(LEFT(TH!N3925,2)="15",LEFT(TH!O3925,2)="15"),TK!$E$7=TH!F3925),"x","")</f>
        <v/>
      </c>
      <c r="AD3925" s="79" t="str">
        <f>IF(AND(N3925="1521",MONTH(C3925)='BK-NL'!$M$11),"x","")</f>
        <v/>
      </c>
    </row>
    <row r="3926" spans="1:30" ht="16.5" customHeight="1">
      <c r="A3926" s="318" t="str">
        <f>IF(B3926&lt;&gt;"",IF(AND(B3926='IN-TC'!$S$4,OR(TH!N3926="1111",TH!O3926="1111")),TH!D3926,""),"")</f>
        <v/>
      </c>
      <c r="B3926" s="60" t="str">
        <f t="shared" si="423"/>
        <v/>
      </c>
      <c r="C3926" s="75"/>
      <c r="D3926" s="75"/>
      <c r="E3926" s="75"/>
      <c r="F3926" s="1280"/>
      <c r="G3926" s="76"/>
      <c r="H3926" s="77"/>
      <c r="I3926" s="77"/>
      <c r="J3926" s="1253"/>
      <c r="K3926" s="1247"/>
      <c r="L3926" s="390"/>
      <c r="M3926" s="978"/>
      <c r="N3926" s="79"/>
      <c r="O3926" s="79"/>
      <c r="P3926" s="79" t="str">
        <f>IF(AND('331-CT'!$E$7=TH!H3926,OR(N3926="331",O3926="331")),"x","")</f>
        <v/>
      </c>
      <c r="Q3926" s="79" t="str">
        <f>IF(AND(B3926='111'!$L$11,OR($N3926=$Q$7,$O3926=$Q$7)),"x","")</f>
        <v/>
      </c>
      <c r="R3926" s="79" t="str">
        <f>IF(AND($N3926=$Q$7,$B3926&lt;'111'!$L$11),"x","")</f>
        <v/>
      </c>
      <c r="S3926" s="79" t="str">
        <f>IF(AND($O3926=$Q$7,$B3926&lt;'111'!$L$11),"x","")</f>
        <v/>
      </c>
      <c r="T3926" s="79" t="str">
        <f>IF(ISERROR(FIND('112'!$M$9,G3926,1)),"",IF((AND(FIND('112'!$M$9,G3926,1)&gt;=1,B3926='112'!$K$9,OR($N3926='112'!$I$6,$O3926='112'!$I$6))),"x",""))</f>
        <v/>
      </c>
      <c r="U3926" s="79" t="str">
        <f>IF(ISERROR(FIND('112'!$M$9,G3926,1)),"",IF((AND(LEFT(G3926,2)=LEFT('112'!$M$9,2),B3926&lt;'112'!$K$9,$N3926='112'!$I$6)),"x",""))</f>
        <v/>
      </c>
      <c r="V3926" s="79" t="str">
        <f>IF(ISERROR(FIND('112'!$M$9,G3926,1)),"",IF((AND(RIGHT(G3926,2)=RIGHT('112'!$M$9,2),B3926&lt;'112'!$K$9,$O3926='112'!$I$6)),"x",""))</f>
        <v/>
      </c>
      <c r="W3926" s="79" t="str">
        <f>IF(AND('341-CT'!$H$9=H3926,OR(LEFT(N3926,3)=$W$7,LEFT(O3926,3)=$W$7)),"x","")</f>
        <v/>
      </c>
      <c r="X3926" s="79" t="str">
        <f>IF(OR(TH!N3926=TH!$X$7,O3926=TH!$X$7),"x","")</f>
        <v/>
      </c>
      <c r="Y3926" s="79" t="str">
        <f>IF(AND(OR(N3926="131",O3926="131"),H3926='131-CT'!$H$9),"x","")</f>
        <v/>
      </c>
      <c r="Z3926" s="79"/>
      <c r="AA3926" s="79" t="str">
        <f>IF(AND(MONTH(E3926)='IN-NX'!$J$5,'IN-NX'!$D$7=D3926),"x","")</f>
        <v/>
      </c>
      <c r="AB3926" s="79" t="str">
        <f>IF(AND(OR(LEFT(TH!N3926,2)="15",LEFT(TH!O3926,2)="15"),LEFT(TH!O3926,3)&lt;&gt;"111",'152-CT'!$J$8=TH!F3926),"x","")</f>
        <v/>
      </c>
      <c r="AC3926" s="79" t="str">
        <f>IF(AND(OR(LEFT(TH!N3926,2)="15",LEFT(TH!O3926,2)="15"),TK!$E$7=TH!F3926),"x","")</f>
        <v/>
      </c>
      <c r="AD3926" s="79" t="str">
        <f>IF(AND(N3926="1521",MONTH(C3926)='BK-NL'!$M$11),"x","")</f>
        <v/>
      </c>
    </row>
    <row r="3927" spans="1:30" ht="16.5" customHeight="1">
      <c r="A3927" s="318" t="str">
        <f>IF(B3927&lt;&gt;"",IF(AND(B3927='IN-TC'!$S$4,OR(TH!N3927="1111",TH!O3927="1111")),TH!D3927,""),"")</f>
        <v/>
      </c>
      <c r="B3927" s="60" t="str">
        <f t="shared" ref="B3927" si="425">IF(C3927&lt;&gt;"",MONTH(C3927),"")</f>
        <v/>
      </c>
      <c r="C3927" s="75"/>
      <c r="D3927" s="75"/>
      <c r="E3927" s="75"/>
      <c r="F3927" s="1280"/>
      <c r="G3927" s="76"/>
      <c r="H3927" s="77"/>
      <c r="I3927" s="77"/>
      <c r="J3927" s="1253"/>
      <c r="K3927" s="1247"/>
      <c r="L3927" s="390"/>
      <c r="M3927" s="978"/>
      <c r="N3927" s="79"/>
      <c r="O3927" s="79"/>
      <c r="P3927" s="79" t="str">
        <f>IF(AND('331-CT'!$E$7=TH!H3927,OR(N3927="331",O3927="331")),"x","")</f>
        <v/>
      </c>
      <c r="Q3927" s="79" t="str">
        <f>IF(AND(B3927='111'!$L$11,OR($N3927=$Q$7,$O3927=$Q$7)),"x","")</f>
        <v/>
      </c>
      <c r="R3927" s="79" t="str">
        <f>IF(AND($N3927=$Q$7,$B3927&lt;'111'!$L$11),"x","")</f>
        <v/>
      </c>
      <c r="S3927" s="79" t="str">
        <f>IF(AND($O3927=$Q$7,$B3927&lt;'111'!$L$11),"x","")</f>
        <v/>
      </c>
      <c r="T3927" s="79" t="str">
        <f>IF(ISERROR(FIND('112'!$M$9,G3927,1)),"",IF((AND(FIND('112'!$M$9,G3927,1)&gt;=1,B3927='112'!$K$9,OR($N3927='112'!$I$6,$O3927='112'!$I$6))),"x",""))</f>
        <v/>
      </c>
      <c r="U3927" s="79" t="str">
        <f>IF(ISERROR(FIND('112'!$M$9,G3927,1)),"",IF((AND(LEFT(G3927,2)=LEFT('112'!$M$9,2),B3927&lt;'112'!$K$9,$N3927='112'!$I$6)),"x",""))</f>
        <v/>
      </c>
      <c r="V3927" s="79" t="str">
        <f>IF(ISERROR(FIND('112'!$M$9,G3927,1)),"",IF((AND(RIGHT(G3927,2)=RIGHT('112'!$M$9,2),B3927&lt;'112'!$K$9,$O3927='112'!$I$6)),"x",""))</f>
        <v/>
      </c>
      <c r="W3927" s="79" t="str">
        <f>IF(AND('341-CT'!$H$9=H3927,OR(LEFT(N3927,3)=$W$7,LEFT(O3927,3)=$W$7)),"x","")</f>
        <v/>
      </c>
      <c r="X3927" s="79" t="str">
        <f>IF(OR(TH!N3927=TH!$X$7,O3927=TH!$X$7),"x","")</f>
        <v/>
      </c>
      <c r="Y3927" s="79" t="str">
        <f>IF(AND(OR(N3927="131",O3927="131"),H3927='131-CT'!$H$9),"x","")</f>
        <v/>
      </c>
      <c r="Z3927" s="79"/>
      <c r="AA3927" s="79" t="str">
        <f>IF(AND(MONTH(E3927)='IN-NX'!$J$5,'IN-NX'!$D$7=D3927),"x","")</f>
        <v/>
      </c>
      <c r="AB3927" s="79" t="str">
        <f>IF(AND(OR(LEFT(TH!N3927,2)="15",LEFT(TH!O3927,2)="15"),LEFT(TH!O3927,3)&lt;&gt;"111",'152-CT'!$J$8=TH!F3927),"x","")</f>
        <v/>
      </c>
      <c r="AC3927" s="79" t="str">
        <f>IF(AND(OR(LEFT(TH!N3927,2)="15",LEFT(TH!O3927,2)="15"),TK!$E$7=TH!F3927),"x","")</f>
        <v/>
      </c>
      <c r="AD3927" s="79" t="str">
        <f>IF(AND(N3927="1521",MONTH(C3927)='BK-NL'!$M$11),"x","")</f>
        <v/>
      </c>
    </row>
    <row r="3928" spans="1:30" ht="16.5" customHeight="1">
      <c r="A3928" s="318" t="str">
        <f>IF(B3928&lt;&gt;"",IF(AND(B3928='IN-TC'!$S$4,OR(TH!N3928="1111",TH!O3928="1111")),TH!D3928,""),"")</f>
        <v/>
      </c>
      <c r="B3928" s="60" t="str">
        <f t="shared" si="423"/>
        <v/>
      </c>
      <c r="C3928" s="75"/>
      <c r="D3928" s="75"/>
      <c r="E3928" s="75"/>
      <c r="F3928" s="77"/>
      <c r="G3928" s="76"/>
      <c r="H3928" s="77"/>
      <c r="I3928" s="77"/>
      <c r="J3928" s="390"/>
      <c r="K3928" s="383"/>
      <c r="L3928" s="390"/>
      <c r="M3928" s="978"/>
      <c r="N3928" s="79"/>
      <c r="O3928" s="979"/>
      <c r="P3928" s="79" t="str">
        <f>IF(AND('331-CT'!$E$7=TH!H3928,OR(N3928="331",O3928="331")),"x","")</f>
        <v/>
      </c>
      <c r="Q3928" s="79" t="str">
        <f>IF(AND(B3928='111'!$L$11,OR($N3928=$Q$7,$O3928=$Q$7)),"x","")</f>
        <v/>
      </c>
      <c r="R3928" s="79" t="str">
        <f>IF(AND($N3928=$Q$7,$B3928&lt;'111'!$L$11),"x","")</f>
        <v/>
      </c>
      <c r="S3928" s="79" t="str">
        <f>IF(AND($O3928=$Q$7,$B3928&lt;'111'!$L$11),"x","")</f>
        <v/>
      </c>
      <c r="T3928" s="79" t="str">
        <f>IF(ISERROR(FIND('112'!$M$9,G3928,1)),"",IF((AND(FIND('112'!$M$9,G3928,1)&gt;=1,B3928='112'!$K$9,OR($N3928='112'!$I$6,$O3928='112'!$I$6))),"x",""))</f>
        <v/>
      </c>
      <c r="U3928" s="79" t="str">
        <f>IF(ISERROR(FIND('112'!$M$9,G3928,1)),"",IF((AND(LEFT(G3928,2)=LEFT('112'!$M$9,2),B3928&lt;'112'!$K$9,$N3928='112'!$I$6)),"x",""))</f>
        <v/>
      </c>
      <c r="V3928" s="79" t="str">
        <f>IF(ISERROR(FIND('112'!$M$9,G3928,1)),"",IF((AND(RIGHT(G3928,2)=RIGHT('112'!$M$9,2),B3928&lt;'112'!$K$9,$O3928='112'!$I$6)),"x",""))</f>
        <v/>
      </c>
      <c r="W3928" s="79" t="str">
        <f>IF(AND('341-CT'!$H$9=H3928,OR(LEFT(N3928,3)=$W$7,LEFT(O3928,3)=$W$7)),"x","")</f>
        <v/>
      </c>
      <c r="X3928" s="79" t="str">
        <f>IF(OR(TH!N3928=TH!$X$7,O3928=TH!$X$7),"x","")</f>
        <v/>
      </c>
      <c r="Y3928" s="79" t="str">
        <f>IF(AND(OR(N3928="131",O3928="131"),H3928='131-CT'!$H$9),"x","")</f>
        <v/>
      </c>
      <c r="Z3928" s="79"/>
      <c r="AA3928" s="79" t="str">
        <f>IF(AND(MONTH(E3928)='IN-NX'!$J$5,'IN-NX'!$D$7=D3928),"x","")</f>
        <v/>
      </c>
      <c r="AB3928" s="79" t="str">
        <f>IF(AND(OR(LEFT(TH!N3928,2)="15",LEFT(TH!O3928,2)="15"),LEFT(TH!O3928,3)&lt;&gt;"111",'152-CT'!$J$8=TH!F3928),"x","")</f>
        <v/>
      </c>
      <c r="AC3928" s="79" t="str">
        <f>IF(AND(OR(LEFT(TH!N3928,2)="15",LEFT(TH!O3928,2)="15"),TK!$E$7=TH!F3928),"x","")</f>
        <v/>
      </c>
      <c r="AD3928" s="79" t="str">
        <f>IF(AND(N3928="1521",MONTH(C3928)='BK-NL'!$M$11),"x","")</f>
        <v/>
      </c>
    </row>
    <row r="3929" spans="1:30" ht="16.5" customHeight="1">
      <c r="A3929" s="318" t="str">
        <f>IF(B3929&lt;&gt;"",IF(AND(B3929='IN-TC'!$S$4,OR(TH!N3929="1111",TH!O3929="1111")),TH!D3929,""),"")</f>
        <v/>
      </c>
      <c r="B3929" s="60" t="str">
        <f t="shared" si="423"/>
        <v/>
      </c>
      <c r="C3929" s="75"/>
      <c r="D3929" s="75"/>
      <c r="E3929" s="75"/>
      <c r="F3929" s="77"/>
      <c r="G3929" s="76"/>
      <c r="H3929" s="77"/>
      <c r="I3929" s="77"/>
      <c r="J3929" s="390"/>
      <c r="K3929" s="383"/>
      <c r="L3929" s="390"/>
      <c r="M3929" s="978"/>
      <c r="N3929" s="79"/>
      <c r="O3929" s="979"/>
      <c r="P3929" s="79" t="str">
        <f>IF(AND('331-CT'!$E$7=TH!H3929,OR(N3929="331",O3929="331")),"x","")</f>
        <v/>
      </c>
      <c r="Q3929" s="79" t="str">
        <f>IF(AND(B3929='111'!$L$11,OR($N3929=$Q$7,$O3929=$Q$7)),"x","")</f>
        <v/>
      </c>
      <c r="R3929" s="79" t="str">
        <f>IF(AND($N3929=$Q$7,$B3929&lt;'111'!$L$11),"x","")</f>
        <v/>
      </c>
      <c r="S3929" s="79" t="str">
        <f>IF(AND($O3929=$Q$7,$B3929&lt;'111'!$L$11),"x","")</f>
        <v/>
      </c>
      <c r="T3929" s="79" t="str">
        <f>IF(ISERROR(FIND('112'!$M$9,G3929,1)),"",IF((AND(FIND('112'!$M$9,G3929,1)&gt;=1,B3929='112'!$K$9,OR($N3929='112'!$I$6,$O3929='112'!$I$6))),"x",""))</f>
        <v/>
      </c>
      <c r="U3929" s="79" t="str">
        <f>IF(ISERROR(FIND('112'!$M$9,G3929,1)),"",IF((AND(LEFT(G3929,2)=LEFT('112'!$M$9,2),B3929&lt;'112'!$K$9,$N3929='112'!$I$6)),"x",""))</f>
        <v/>
      </c>
      <c r="V3929" s="79" t="str">
        <f>IF(ISERROR(FIND('112'!$M$9,G3929,1)),"",IF((AND(RIGHT(G3929,2)=RIGHT('112'!$M$9,2),B3929&lt;'112'!$K$9,$O3929='112'!$I$6)),"x",""))</f>
        <v/>
      </c>
      <c r="W3929" s="79" t="str">
        <f>IF(AND('341-CT'!$H$9=H3929,OR(LEFT(N3929,3)=$W$7,LEFT(O3929,3)=$W$7)),"x","")</f>
        <v/>
      </c>
      <c r="X3929" s="79" t="str">
        <f>IF(OR(TH!N3929=TH!$X$7,O3929=TH!$X$7),"x","")</f>
        <v/>
      </c>
      <c r="Y3929" s="79" t="str">
        <f>IF(AND(OR(N3929="131",O3929="131"),H3929='131-CT'!$H$9),"x","")</f>
        <v/>
      </c>
      <c r="Z3929" s="79"/>
      <c r="AA3929" s="79" t="str">
        <f>IF(AND(MONTH(E3929)='IN-NX'!$J$5,'IN-NX'!$D$7=D3929),"x","")</f>
        <v/>
      </c>
      <c r="AB3929" s="79" t="str">
        <f>IF(AND(OR(LEFT(TH!N3929,2)="15",LEFT(TH!O3929,2)="15"),LEFT(TH!O3929,3)&lt;&gt;"111",'152-CT'!$J$8=TH!F3929),"x","")</f>
        <v/>
      </c>
      <c r="AC3929" s="79" t="str">
        <f>IF(AND(OR(LEFT(TH!N3929,2)="15",LEFT(TH!O3929,2)="15"),TK!$E$7=TH!F3929),"x","")</f>
        <v/>
      </c>
      <c r="AD3929" s="79" t="str">
        <f>IF(AND(N3929="1521",MONTH(C3929)='BK-NL'!$M$11),"x","")</f>
        <v/>
      </c>
    </row>
    <row r="3930" spans="1:30" ht="16.5" customHeight="1">
      <c r="A3930" s="318" t="str">
        <f>IF(B3930&lt;&gt;"",IF(AND(B3930='IN-TC'!$S$4,OR(TH!N3930="1111",TH!O3930="1111")),TH!D3930,""),"")</f>
        <v/>
      </c>
      <c r="B3930" s="60" t="str">
        <f t="shared" si="423"/>
        <v/>
      </c>
      <c r="C3930" s="75"/>
      <c r="D3930" s="75"/>
      <c r="E3930" s="75"/>
      <c r="F3930" s="77"/>
      <c r="G3930" s="76"/>
      <c r="H3930" s="77"/>
      <c r="I3930" s="77"/>
      <c r="J3930" s="390"/>
      <c r="K3930" s="383"/>
      <c r="L3930" s="390"/>
      <c r="M3930" s="978"/>
      <c r="N3930" s="79"/>
      <c r="O3930" s="979"/>
      <c r="P3930" s="79" t="str">
        <f>IF(AND('331-CT'!$E$7=TH!H3930,OR(N3930="331",O3930="331")),"x","")</f>
        <v/>
      </c>
      <c r="Q3930" s="79" t="str">
        <f>IF(AND(B3930='111'!$L$11,OR($N3930=$Q$7,$O3930=$Q$7)),"x","")</f>
        <v/>
      </c>
      <c r="R3930" s="79" t="str">
        <f>IF(AND($N3930=$Q$7,$B3930&lt;'111'!$L$11),"x","")</f>
        <v/>
      </c>
      <c r="S3930" s="79" t="str">
        <f>IF(AND($O3930=$Q$7,$B3930&lt;'111'!$L$11),"x","")</f>
        <v/>
      </c>
      <c r="T3930" s="79" t="str">
        <f>IF(ISERROR(FIND('112'!$M$9,G3930,1)),"",IF((AND(FIND('112'!$M$9,G3930,1)&gt;=1,B3930='112'!$K$9,OR($N3930='112'!$I$6,$O3930='112'!$I$6))),"x",""))</f>
        <v/>
      </c>
      <c r="U3930" s="79" t="str">
        <f>IF(ISERROR(FIND('112'!$M$9,G3930,1)),"",IF((AND(LEFT(G3930,2)=LEFT('112'!$M$9,2),B3930&lt;'112'!$K$9,$N3930='112'!$I$6)),"x",""))</f>
        <v/>
      </c>
      <c r="V3930" s="79" t="str">
        <f>IF(ISERROR(FIND('112'!$M$9,G3930,1)),"",IF((AND(RIGHT(G3930,2)=RIGHT('112'!$M$9,2),B3930&lt;'112'!$K$9,$O3930='112'!$I$6)),"x",""))</f>
        <v/>
      </c>
      <c r="W3930" s="79" t="str">
        <f>IF(AND('341-CT'!$H$9=H3930,OR(LEFT(N3930,3)=$W$7,LEFT(O3930,3)=$W$7)),"x","")</f>
        <v/>
      </c>
      <c r="X3930" s="79" t="str">
        <f>IF(OR(TH!N3930=TH!$X$7,O3930=TH!$X$7),"x","")</f>
        <v/>
      </c>
      <c r="Y3930" s="79" t="str">
        <f>IF(AND(OR(N3930="131",O3930="131"),H3930='131-CT'!$H$9),"x","")</f>
        <v/>
      </c>
      <c r="Z3930" s="79"/>
      <c r="AA3930" s="79" t="str">
        <f>IF(AND(MONTH(E3930)='IN-NX'!$J$5,'IN-NX'!$D$7=D3930),"x","")</f>
        <v/>
      </c>
      <c r="AB3930" s="79" t="str">
        <f>IF(AND(OR(LEFT(TH!N3930,2)="15",LEFT(TH!O3930,2)="15"),LEFT(TH!O3930,3)&lt;&gt;"111",'152-CT'!$J$8=TH!F3930),"x","")</f>
        <v/>
      </c>
      <c r="AC3930" s="79" t="str">
        <f>IF(AND(OR(LEFT(TH!N3930,2)="15",LEFT(TH!O3930,2)="15"),TK!$E$7=TH!F3930),"x","")</f>
        <v/>
      </c>
      <c r="AD3930" s="79" t="str">
        <f>IF(AND(N3930="1521",MONTH(C3930)='BK-NL'!$M$11),"x","")</f>
        <v/>
      </c>
    </row>
    <row r="3931" spans="1:30" ht="16.5" customHeight="1">
      <c r="A3931" s="318" t="str">
        <f>IF(B3931&lt;&gt;"",IF(AND(B3931='IN-TC'!$S$4,OR(TH!N3931="1111",TH!O3931="1111")),TH!D3931,""),"")</f>
        <v/>
      </c>
      <c r="B3931" s="60" t="str">
        <f t="shared" si="423"/>
        <v/>
      </c>
      <c r="C3931" s="75"/>
      <c r="D3931" s="75"/>
      <c r="E3931" s="75"/>
      <c r="F3931" s="1280"/>
      <c r="G3931" s="76"/>
      <c r="H3931" s="77"/>
      <c r="I3931" s="77"/>
      <c r="J3931" s="1253"/>
      <c r="K3931" s="1247"/>
      <c r="L3931" s="390"/>
      <c r="M3931" s="978"/>
      <c r="N3931" s="79"/>
      <c r="O3931" s="79"/>
      <c r="P3931" s="79" t="str">
        <f>IF(AND('331-CT'!$E$7=TH!H3931,OR(N3931="331",O3931="331")),"x","")</f>
        <v/>
      </c>
      <c r="Q3931" s="79" t="str">
        <f>IF(AND(B3931='111'!$L$11,OR($N3931=$Q$7,$O3931=$Q$7)),"x","")</f>
        <v/>
      </c>
      <c r="R3931" s="79" t="str">
        <f>IF(AND($N3931=$Q$7,$B3931&lt;'111'!$L$11),"x","")</f>
        <v/>
      </c>
      <c r="S3931" s="79" t="str">
        <f>IF(AND($O3931=$Q$7,$B3931&lt;'111'!$L$11),"x","")</f>
        <v/>
      </c>
      <c r="T3931" s="79" t="str">
        <f>IF(ISERROR(FIND('112'!$M$9,G3931,1)),"",IF((AND(FIND('112'!$M$9,G3931,1)&gt;=1,B3931='112'!$K$9,OR($N3931='112'!$I$6,$O3931='112'!$I$6))),"x",""))</f>
        <v/>
      </c>
      <c r="U3931" s="79" t="str">
        <f>IF(ISERROR(FIND('112'!$M$9,G3931,1)),"",IF((AND(LEFT(G3931,2)=LEFT('112'!$M$9,2),B3931&lt;'112'!$K$9,$N3931='112'!$I$6)),"x",""))</f>
        <v/>
      </c>
      <c r="V3931" s="79" t="str">
        <f>IF(ISERROR(FIND('112'!$M$9,G3931,1)),"",IF((AND(RIGHT(G3931,2)=RIGHT('112'!$M$9,2),B3931&lt;'112'!$K$9,$O3931='112'!$I$6)),"x",""))</f>
        <v/>
      </c>
      <c r="W3931" s="79" t="str">
        <f>IF(AND('341-CT'!$H$9=H3931,OR(LEFT(N3931,3)=$W$7,LEFT(O3931,3)=$W$7)),"x","")</f>
        <v/>
      </c>
      <c r="X3931" s="79" t="str">
        <f>IF(OR(TH!N3931=TH!$X$7,O3931=TH!$X$7),"x","")</f>
        <v/>
      </c>
      <c r="Y3931" s="79" t="str">
        <f>IF(AND(OR(N3931="131",O3931="131"),H3931='131-CT'!$H$9),"x","")</f>
        <v/>
      </c>
      <c r="Z3931" s="79"/>
      <c r="AA3931" s="79" t="str">
        <f>IF(AND(MONTH(E3931)='IN-NX'!$J$5,'IN-NX'!$D$7=D3931),"x","")</f>
        <v/>
      </c>
      <c r="AB3931" s="79" t="str">
        <f>IF(AND(OR(LEFT(TH!N3931,2)="15",LEFT(TH!O3931,2)="15"),LEFT(TH!O3931,3)&lt;&gt;"111",'152-CT'!$J$8=TH!F3931),"x","")</f>
        <v/>
      </c>
      <c r="AC3931" s="79" t="str">
        <f>IF(AND(OR(LEFT(TH!N3931,2)="15",LEFT(TH!O3931,2)="15"),TK!$E$7=TH!F3931),"x","")</f>
        <v/>
      </c>
      <c r="AD3931" s="79" t="str">
        <f>IF(AND(N3931="1521",MONTH(C3931)='BK-NL'!$M$11),"x","")</f>
        <v/>
      </c>
    </row>
    <row r="3932" spans="1:30" ht="16.5" customHeight="1">
      <c r="A3932" s="318" t="str">
        <f>IF(B3932&lt;&gt;"",IF(AND(B3932='IN-TC'!$S$4,OR(TH!N3932="1111",TH!O3932="1111")),TH!D3932,""),"")</f>
        <v/>
      </c>
      <c r="B3932" s="60" t="str">
        <f t="shared" si="423"/>
        <v/>
      </c>
      <c r="C3932" s="75"/>
      <c r="D3932" s="75"/>
      <c r="E3932" s="75"/>
      <c r="F3932" s="1280"/>
      <c r="G3932" s="76"/>
      <c r="H3932" s="77"/>
      <c r="I3932" s="77"/>
      <c r="J3932" s="1253"/>
      <c r="K3932" s="1247"/>
      <c r="L3932" s="390"/>
      <c r="M3932" s="978"/>
      <c r="N3932" s="79"/>
      <c r="O3932" s="79"/>
      <c r="P3932" s="79" t="str">
        <f>IF(AND('331-CT'!$E$7=TH!H3932,OR(N3932="331",O3932="331")),"x","")</f>
        <v/>
      </c>
      <c r="Q3932" s="79" t="str">
        <f>IF(AND(B3932='111'!$L$11,OR($N3932=$Q$7,$O3932=$Q$7)),"x","")</f>
        <v/>
      </c>
      <c r="R3932" s="79" t="str">
        <f>IF(AND($N3932=$Q$7,$B3932&lt;'111'!$L$11),"x","")</f>
        <v/>
      </c>
      <c r="S3932" s="79" t="str">
        <f>IF(AND($O3932=$Q$7,$B3932&lt;'111'!$L$11),"x","")</f>
        <v/>
      </c>
      <c r="T3932" s="79" t="str">
        <f>IF(ISERROR(FIND('112'!$M$9,G3932,1)),"",IF((AND(FIND('112'!$M$9,G3932,1)&gt;=1,B3932='112'!$K$9,OR($N3932='112'!$I$6,$O3932='112'!$I$6))),"x",""))</f>
        <v/>
      </c>
      <c r="U3932" s="79" t="str">
        <f>IF(ISERROR(FIND('112'!$M$9,G3932,1)),"",IF((AND(LEFT(G3932,2)=LEFT('112'!$M$9,2),B3932&lt;'112'!$K$9,$N3932='112'!$I$6)),"x",""))</f>
        <v/>
      </c>
      <c r="V3932" s="79" t="str">
        <f>IF(ISERROR(FIND('112'!$M$9,G3932,1)),"",IF((AND(RIGHT(G3932,2)=RIGHT('112'!$M$9,2),B3932&lt;'112'!$K$9,$O3932='112'!$I$6)),"x",""))</f>
        <v/>
      </c>
      <c r="W3932" s="79" t="str">
        <f>IF(AND('341-CT'!$H$9=H3932,OR(LEFT(N3932,3)=$W$7,LEFT(O3932,3)=$W$7)),"x","")</f>
        <v/>
      </c>
      <c r="X3932" s="79" t="str">
        <f>IF(OR(TH!N3932=TH!$X$7,O3932=TH!$X$7),"x","")</f>
        <v/>
      </c>
      <c r="Y3932" s="79" t="str">
        <f>IF(AND(OR(N3932="131",O3932="131"),H3932='131-CT'!$H$9),"x","")</f>
        <v/>
      </c>
      <c r="Z3932" s="79"/>
      <c r="AA3932" s="79" t="str">
        <f>IF(AND(MONTH(E3932)='IN-NX'!$J$5,'IN-NX'!$D$7=D3932),"x","")</f>
        <v/>
      </c>
      <c r="AB3932" s="79" t="str">
        <f>IF(AND(OR(LEFT(TH!N3932,2)="15",LEFT(TH!O3932,2)="15"),LEFT(TH!O3932,3)&lt;&gt;"111",'152-CT'!$J$8=TH!F3932),"x","")</f>
        <v/>
      </c>
      <c r="AC3932" s="79" t="str">
        <f>IF(AND(OR(LEFT(TH!N3932,2)="15",LEFT(TH!O3932,2)="15"),TK!$E$7=TH!F3932),"x","")</f>
        <v/>
      </c>
      <c r="AD3932" s="79" t="str">
        <f>IF(AND(N3932="1521",MONTH(C3932)='BK-NL'!$M$11),"x","")</f>
        <v/>
      </c>
    </row>
    <row r="3933" spans="1:30" ht="16.5" customHeight="1">
      <c r="A3933" s="318" t="str">
        <f>IF(B3933&lt;&gt;"",IF(AND(B3933='IN-TC'!$S$4,OR(TH!N3933="1111",TH!O3933="1111")),TH!D3933,""),"")</f>
        <v/>
      </c>
      <c r="B3933" s="60" t="str">
        <f t="shared" ref="B3933" si="426">IF(C3933&lt;&gt;"",MONTH(C3933),"")</f>
        <v/>
      </c>
      <c r="C3933" s="75"/>
      <c r="D3933" s="75"/>
      <c r="E3933" s="75"/>
      <c r="F3933" s="1280"/>
      <c r="G3933" s="76"/>
      <c r="H3933" s="77"/>
      <c r="I3933" s="77"/>
      <c r="J3933" s="1253"/>
      <c r="K3933" s="1247"/>
      <c r="L3933" s="390"/>
      <c r="M3933" s="978"/>
      <c r="N3933" s="79"/>
      <c r="O3933" s="79"/>
      <c r="P3933" s="79" t="str">
        <f>IF(AND('331-CT'!$E$7=TH!H3933,OR(N3933="331",O3933="331")),"x","")</f>
        <v/>
      </c>
      <c r="Q3933" s="79" t="str">
        <f>IF(AND(B3933='111'!$L$11,OR($N3933=$Q$7,$O3933=$Q$7)),"x","")</f>
        <v/>
      </c>
      <c r="R3933" s="79" t="str">
        <f>IF(AND($N3933=$Q$7,$B3933&lt;'111'!$L$11),"x","")</f>
        <v/>
      </c>
      <c r="S3933" s="79" t="str">
        <f>IF(AND($O3933=$Q$7,$B3933&lt;'111'!$L$11),"x","")</f>
        <v/>
      </c>
      <c r="T3933" s="79" t="str">
        <f>IF(ISERROR(FIND('112'!$M$9,G3933,1)),"",IF((AND(FIND('112'!$M$9,G3933,1)&gt;=1,B3933='112'!$K$9,OR($N3933='112'!$I$6,$O3933='112'!$I$6))),"x",""))</f>
        <v/>
      </c>
      <c r="U3933" s="79" t="str">
        <f>IF(ISERROR(FIND('112'!$M$9,G3933,1)),"",IF((AND(LEFT(G3933,2)=LEFT('112'!$M$9,2),B3933&lt;'112'!$K$9,$N3933='112'!$I$6)),"x",""))</f>
        <v/>
      </c>
      <c r="V3933" s="79" t="str">
        <f>IF(ISERROR(FIND('112'!$M$9,G3933,1)),"",IF((AND(RIGHT(G3933,2)=RIGHT('112'!$M$9,2),B3933&lt;'112'!$K$9,$O3933='112'!$I$6)),"x",""))</f>
        <v/>
      </c>
      <c r="W3933" s="79" t="str">
        <f>IF(AND('341-CT'!$H$9=H3933,OR(LEFT(N3933,3)=$W$7,LEFT(O3933,3)=$W$7)),"x","")</f>
        <v/>
      </c>
      <c r="X3933" s="79" t="str">
        <f>IF(OR(TH!N3933=TH!$X$7,O3933=TH!$X$7),"x","")</f>
        <v/>
      </c>
      <c r="Y3933" s="79" t="str">
        <f>IF(AND(OR(N3933="131",O3933="131"),H3933='131-CT'!$H$9),"x","")</f>
        <v/>
      </c>
      <c r="Z3933" s="79"/>
      <c r="AA3933" s="79" t="str">
        <f>IF(AND(MONTH(E3933)='IN-NX'!$J$5,'IN-NX'!$D$7=D3933),"x","")</f>
        <v/>
      </c>
      <c r="AB3933" s="79" t="str">
        <f>IF(AND(OR(LEFT(TH!N3933,2)="15",LEFT(TH!O3933,2)="15"),LEFT(TH!O3933,3)&lt;&gt;"111",'152-CT'!$J$8=TH!F3933),"x","")</f>
        <v/>
      </c>
      <c r="AC3933" s="79" t="str">
        <f>IF(AND(OR(LEFT(TH!N3933,2)="15",LEFT(TH!O3933,2)="15"),TK!$E$7=TH!F3933),"x","")</f>
        <v/>
      </c>
      <c r="AD3933" s="79" t="str">
        <f>IF(AND(N3933="1521",MONTH(C3933)='BK-NL'!$M$11),"x","")</f>
        <v/>
      </c>
    </row>
    <row r="3934" spans="1:30" ht="16.5" customHeight="1">
      <c r="A3934" s="318" t="str">
        <f>IF(B3934&lt;&gt;"",IF(AND(B3934='IN-TC'!$S$4,OR(TH!N3934="1111",TH!O3934="1111")),TH!D3934,""),"")</f>
        <v/>
      </c>
      <c r="B3934" s="60" t="str">
        <f t="shared" si="423"/>
        <v/>
      </c>
      <c r="C3934" s="75"/>
      <c r="D3934" s="75"/>
      <c r="E3934" s="75"/>
      <c r="F3934" s="76"/>
      <c r="G3934" s="76"/>
      <c r="H3934" s="759"/>
      <c r="I3934" s="77"/>
      <c r="J3934" s="1279"/>
      <c r="K3934" s="1247"/>
      <c r="L3934" s="390"/>
      <c r="M3934" s="978"/>
      <c r="N3934" s="79"/>
      <c r="O3934" s="979"/>
      <c r="P3934" s="79" t="str">
        <f>IF(AND('331-CT'!$E$7=TH!H3934,OR(N3934="331",O3934="331")),"x","")</f>
        <v/>
      </c>
      <c r="Q3934" s="79" t="str">
        <f>IF(AND(B3934='111'!$L$11,OR($N3934=$Q$7,$O3934=$Q$7)),"x","")</f>
        <v/>
      </c>
      <c r="R3934" s="79" t="str">
        <f>IF(AND($N3934=$Q$7,$B3934&lt;'111'!$L$11),"x","")</f>
        <v/>
      </c>
      <c r="S3934" s="79" t="str">
        <f>IF(AND($O3934=$Q$7,$B3934&lt;'111'!$L$11),"x","")</f>
        <v/>
      </c>
      <c r="T3934" s="79" t="str">
        <f>IF(ISERROR(FIND('112'!$M$9,G3934,1)),"",IF((AND(FIND('112'!$M$9,G3934,1)&gt;=1,B3934='112'!$K$9,OR($N3934='112'!$I$6,$O3934='112'!$I$6))),"x",""))</f>
        <v/>
      </c>
      <c r="U3934" s="79" t="str">
        <f>IF(ISERROR(FIND('112'!$M$9,G3934,1)),"",IF((AND(LEFT(G3934,2)=LEFT('112'!$M$9,2),B3934&lt;'112'!$K$9,$N3934='112'!$I$6)),"x",""))</f>
        <v/>
      </c>
      <c r="V3934" s="79" t="str">
        <f>IF(ISERROR(FIND('112'!$M$9,G3934,1)),"",IF((AND(RIGHT(G3934,2)=RIGHT('112'!$M$9,2),B3934&lt;'112'!$K$9,$O3934='112'!$I$6)),"x",""))</f>
        <v/>
      </c>
      <c r="W3934" s="79" t="str">
        <f>IF(AND('341-CT'!$H$9=H3934,OR(LEFT(N3934,3)=$W$7,LEFT(O3934,3)=$W$7)),"x","")</f>
        <v/>
      </c>
      <c r="X3934" s="79" t="str">
        <f>IF(OR(TH!N3934=TH!$X$7,O3934=TH!$X$7),"x","")</f>
        <v/>
      </c>
      <c r="Y3934" s="79" t="str">
        <f>IF(AND(OR(N3934="131",O3934="131"),H3934='131-CT'!$H$9),"x","")</f>
        <v/>
      </c>
      <c r="Z3934" s="79"/>
      <c r="AA3934" s="79" t="str">
        <f>IF(AND(MONTH(E3934)='IN-NX'!$J$5,'IN-NX'!$D$7=D3934),"x","")</f>
        <v/>
      </c>
      <c r="AB3934" s="79" t="str">
        <f>IF(AND(OR(LEFT(TH!N3934,2)="15",LEFT(TH!O3934,2)="15"),LEFT(TH!O3934,3)&lt;&gt;"111",'152-CT'!$J$8=TH!F3934),"x","")</f>
        <v/>
      </c>
      <c r="AC3934" s="79" t="str">
        <f>IF(AND(OR(LEFT(TH!N3934,2)="15",LEFT(TH!O3934,2)="15"),TK!$E$7=TH!F3934),"x","")</f>
        <v/>
      </c>
      <c r="AD3934" s="79" t="str">
        <f>IF(AND(N3934="1521",MONTH(C3934)='BK-NL'!$M$11),"x","")</f>
        <v/>
      </c>
    </row>
    <row r="3935" spans="1:30" ht="16.5" customHeight="1">
      <c r="A3935" s="318" t="str">
        <f>IF(B3935&lt;&gt;"",IF(AND(B3935='IN-TC'!$S$4,OR(TH!N3935="1111",TH!O3935="1111")),TH!D3935,""),"")</f>
        <v/>
      </c>
      <c r="B3935" s="60" t="str">
        <f t="shared" si="423"/>
        <v/>
      </c>
      <c r="C3935" s="75"/>
      <c r="D3935" s="75"/>
      <c r="E3935" s="75"/>
      <c r="F3935" s="76"/>
      <c r="G3935" s="76"/>
      <c r="H3935" s="759"/>
      <c r="I3935" s="77"/>
      <c r="J3935" s="1253"/>
      <c r="K3935" s="1247"/>
      <c r="L3935" s="390"/>
      <c r="M3935" s="978"/>
      <c r="N3935" s="79"/>
      <c r="O3935" s="979"/>
      <c r="P3935" s="79" t="str">
        <f>IF(AND('331-CT'!$E$7=TH!H3935,OR(N3935="331",O3935="331")),"x","")</f>
        <v/>
      </c>
      <c r="Q3935" s="79" t="str">
        <f>IF(AND(B3935='111'!$L$11,OR($N3935=$Q$7,$O3935=$Q$7)),"x","")</f>
        <v/>
      </c>
      <c r="R3935" s="79" t="str">
        <f>IF(AND($N3935=$Q$7,$B3935&lt;'111'!$L$11),"x","")</f>
        <v/>
      </c>
      <c r="S3935" s="79" t="str">
        <f>IF(AND($O3935=$Q$7,$B3935&lt;'111'!$L$11),"x","")</f>
        <v/>
      </c>
      <c r="T3935" s="79" t="str">
        <f>IF(ISERROR(FIND('112'!$M$9,G3935,1)),"",IF((AND(FIND('112'!$M$9,G3935,1)&gt;=1,B3935='112'!$K$9,OR($N3935='112'!$I$6,$O3935='112'!$I$6))),"x",""))</f>
        <v/>
      </c>
      <c r="U3935" s="79" t="str">
        <f>IF(ISERROR(FIND('112'!$M$9,G3935,1)),"",IF((AND(LEFT(G3935,2)=LEFT('112'!$M$9,2),B3935&lt;'112'!$K$9,$N3935='112'!$I$6)),"x",""))</f>
        <v/>
      </c>
      <c r="V3935" s="79" t="str">
        <f>IF(ISERROR(FIND('112'!$M$9,G3935,1)),"",IF((AND(RIGHT(G3935,2)=RIGHT('112'!$M$9,2),B3935&lt;'112'!$K$9,$O3935='112'!$I$6)),"x",""))</f>
        <v/>
      </c>
      <c r="W3935" s="79" t="str">
        <f>IF(AND('341-CT'!$H$9=H3935,OR(LEFT(N3935,3)=$W$7,LEFT(O3935,3)=$W$7)),"x","")</f>
        <v/>
      </c>
      <c r="X3935" s="79" t="str">
        <f>IF(OR(TH!N3935=TH!$X$7,O3935=TH!$X$7),"x","")</f>
        <v/>
      </c>
      <c r="Y3935" s="79" t="str">
        <f>IF(AND(OR(N3935="131",O3935="131"),H3935='131-CT'!$H$9),"x","")</f>
        <v/>
      </c>
      <c r="Z3935" s="79"/>
      <c r="AA3935" s="79" t="str">
        <f>IF(AND(MONTH(E3935)='IN-NX'!$J$5,'IN-NX'!$D$7=D3935),"x","")</f>
        <v/>
      </c>
      <c r="AB3935" s="79" t="str">
        <f>IF(AND(OR(LEFT(TH!N3935,2)="15",LEFT(TH!O3935,2)="15"),LEFT(TH!O3935,3)&lt;&gt;"111",'152-CT'!$J$8=TH!F3935),"x","")</f>
        <v/>
      </c>
      <c r="AC3935" s="79" t="str">
        <f>IF(AND(OR(LEFT(TH!N3935,2)="15",LEFT(TH!O3935,2)="15"),TK!$E$7=TH!F3935),"x","")</f>
        <v/>
      </c>
      <c r="AD3935" s="79" t="str">
        <f>IF(AND(N3935="1521",MONTH(C3935)='BK-NL'!$M$11),"x","")</f>
        <v/>
      </c>
    </row>
    <row r="3936" spans="1:30" ht="16.5" customHeight="1">
      <c r="A3936" s="318" t="str">
        <f>IF(B3936&lt;&gt;"",IF(AND(B3936='IN-TC'!$S$4,OR(TH!N3936="1111",TH!O3936="1111")),TH!D3936,""),"")</f>
        <v/>
      </c>
      <c r="B3936" s="60" t="str">
        <f t="shared" si="423"/>
        <v/>
      </c>
      <c r="C3936" s="75"/>
      <c r="D3936" s="75"/>
      <c r="E3936" s="75"/>
      <c r="F3936" s="76"/>
      <c r="G3936" s="76"/>
      <c r="H3936" s="77"/>
      <c r="I3936" s="77"/>
      <c r="J3936" s="1253"/>
      <c r="K3936" s="1247"/>
      <c r="L3936" s="390"/>
      <c r="M3936" s="978"/>
      <c r="N3936" s="79"/>
      <c r="O3936" s="979"/>
      <c r="P3936" s="79" t="str">
        <f>IF(AND('331-CT'!$E$7=TH!H3936,OR(N3936="331",O3936="331")),"x","")</f>
        <v/>
      </c>
      <c r="Q3936" s="79" t="str">
        <f>IF(AND(B3936='111'!$L$11,OR($N3936=$Q$7,$O3936=$Q$7)),"x","")</f>
        <v/>
      </c>
      <c r="R3936" s="79" t="str">
        <f>IF(AND($N3936=$Q$7,$B3936&lt;'111'!$L$11),"x","")</f>
        <v/>
      </c>
      <c r="S3936" s="79" t="str">
        <f>IF(AND($O3936=$Q$7,$B3936&lt;'111'!$L$11),"x","")</f>
        <v/>
      </c>
      <c r="T3936" s="79" t="str">
        <f>IF(ISERROR(FIND('112'!$M$9,G3936,1)),"",IF((AND(FIND('112'!$M$9,G3936,1)&gt;=1,B3936='112'!$K$9,OR($N3936='112'!$I$6,$O3936='112'!$I$6))),"x",""))</f>
        <v/>
      </c>
      <c r="U3936" s="79" t="str">
        <f>IF(ISERROR(FIND('112'!$M$9,G3936,1)),"",IF((AND(LEFT(G3936,2)=LEFT('112'!$M$9,2),B3936&lt;'112'!$K$9,$N3936='112'!$I$6)),"x",""))</f>
        <v/>
      </c>
      <c r="V3936" s="79" t="str">
        <f>IF(ISERROR(FIND('112'!$M$9,G3936,1)),"",IF((AND(RIGHT(G3936,2)=RIGHT('112'!$M$9,2),B3936&lt;'112'!$K$9,$O3936='112'!$I$6)),"x",""))</f>
        <v/>
      </c>
      <c r="W3936" s="79" t="str">
        <f>IF(AND('341-CT'!$H$9=H3936,OR(LEFT(N3936,3)=$W$7,LEFT(O3936,3)=$W$7)),"x","")</f>
        <v/>
      </c>
      <c r="X3936" s="79" t="str">
        <f>IF(OR(TH!N3936=TH!$X$7,O3936=TH!$X$7),"x","")</f>
        <v/>
      </c>
      <c r="Y3936" s="79" t="str">
        <f>IF(AND(OR(N3936="131",O3936="131"),H3936='131-CT'!$H$9),"x","")</f>
        <v/>
      </c>
      <c r="Z3936" s="79"/>
      <c r="AA3936" s="79" t="str">
        <f>IF(AND(MONTH(E3936)='IN-NX'!$J$5,'IN-NX'!$D$7=D3936),"x","")</f>
        <v/>
      </c>
      <c r="AB3936" s="79" t="str">
        <f>IF(AND(OR(LEFT(TH!N3936,2)="15",LEFT(TH!O3936,2)="15"),LEFT(TH!O3936,3)&lt;&gt;"111",'152-CT'!$J$8=TH!F3936),"x","")</f>
        <v/>
      </c>
      <c r="AC3936" s="79" t="str">
        <f>IF(AND(OR(LEFT(TH!N3936,2)="15",LEFT(TH!O3936,2)="15"),TK!$E$7=TH!F3936),"x","")</f>
        <v/>
      </c>
      <c r="AD3936" s="79" t="str">
        <f>IF(AND(N3936="1521",MONTH(C3936)='BK-NL'!$M$11),"x","")</f>
        <v/>
      </c>
    </row>
    <row r="3937" spans="1:30" ht="16.5" customHeight="1">
      <c r="A3937" s="318" t="str">
        <f>IF(B3937&lt;&gt;"",IF(AND(B3937='IN-TC'!$S$4,OR(TH!N3937="1111",TH!O3937="1111")),TH!D3937,""),"")</f>
        <v/>
      </c>
      <c r="B3937" s="60" t="str">
        <f t="shared" si="423"/>
        <v/>
      </c>
      <c r="C3937" s="75"/>
      <c r="D3937" s="75"/>
      <c r="E3937" s="75"/>
      <c r="F3937" s="76"/>
      <c r="G3937" s="76"/>
      <c r="H3937" s="759"/>
      <c r="I3937" s="77"/>
      <c r="J3937" s="1253"/>
      <c r="K3937" s="1247"/>
      <c r="L3937" s="390"/>
      <c r="M3937" s="978"/>
      <c r="N3937" s="79"/>
      <c r="O3937" s="979"/>
      <c r="P3937" s="79" t="str">
        <f>IF(AND('331-CT'!$E$7=TH!H3937,OR(N3937="331",O3937="331")),"x","")</f>
        <v/>
      </c>
      <c r="Q3937" s="79" t="str">
        <f>IF(AND(B3937='111'!$L$11,OR($N3937=$Q$7,$O3937=$Q$7)),"x","")</f>
        <v/>
      </c>
      <c r="R3937" s="79" t="str">
        <f>IF(AND($N3937=$Q$7,$B3937&lt;'111'!$L$11),"x","")</f>
        <v/>
      </c>
      <c r="S3937" s="79" t="str">
        <f>IF(AND($O3937=$Q$7,$B3937&lt;'111'!$L$11),"x","")</f>
        <v/>
      </c>
      <c r="T3937" s="79" t="str">
        <f>IF(ISERROR(FIND('112'!$M$9,G3937,1)),"",IF((AND(FIND('112'!$M$9,G3937,1)&gt;=1,B3937='112'!$K$9,OR($N3937='112'!$I$6,$O3937='112'!$I$6))),"x",""))</f>
        <v/>
      </c>
      <c r="U3937" s="79" t="str">
        <f>IF(ISERROR(FIND('112'!$M$9,G3937,1)),"",IF((AND(LEFT(G3937,2)=LEFT('112'!$M$9,2),B3937&lt;'112'!$K$9,$N3937='112'!$I$6)),"x",""))</f>
        <v/>
      </c>
      <c r="V3937" s="79" t="str">
        <f>IF(ISERROR(FIND('112'!$M$9,G3937,1)),"",IF((AND(RIGHT(G3937,2)=RIGHT('112'!$M$9,2),B3937&lt;'112'!$K$9,$O3937='112'!$I$6)),"x",""))</f>
        <v/>
      </c>
      <c r="W3937" s="79" t="str">
        <f>IF(AND('341-CT'!$H$9=H3937,OR(LEFT(N3937,3)=$W$7,LEFT(O3937,3)=$W$7)),"x","")</f>
        <v/>
      </c>
      <c r="X3937" s="79" t="str">
        <f>IF(OR(TH!N3937=TH!$X$7,O3937=TH!$X$7),"x","")</f>
        <v/>
      </c>
      <c r="Y3937" s="79" t="str">
        <f>IF(AND(OR(N3937="131",O3937="131"),H3937='131-CT'!$H$9),"x","")</f>
        <v/>
      </c>
      <c r="Z3937" s="79"/>
      <c r="AA3937" s="79" t="str">
        <f>IF(AND(MONTH(E3937)='IN-NX'!$J$5,'IN-NX'!$D$7=D3937),"x","")</f>
        <v/>
      </c>
      <c r="AB3937" s="79" t="str">
        <f>IF(AND(OR(LEFT(TH!N3937,2)="15",LEFT(TH!O3937,2)="15"),LEFT(TH!O3937,3)&lt;&gt;"111",'152-CT'!$J$8=TH!F3937),"x","")</f>
        <v/>
      </c>
      <c r="AC3937" s="79" t="str">
        <f>IF(AND(OR(LEFT(TH!N3937,2)="15",LEFT(TH!O3937,2)="15"),TK!$E$7=TH!F3937),"x","")</f>
        <v/>
      </c>
      <c r="AD3937" s="79" t="str">
        <f>IF(AND(N3937="1521",MONTH(C3937)='BK-NL'!$M$11),"x","")</f>
        <v/>
      </c>
    </row>
    <row r="3938" spans="1:30" ht="16.5" customHeight="1">
      <c r="A3938" s="318" t="str">
        <f>IF(B3938&lt;&gt;"",IF(AND(B3938='IN-TC'!$S$4,OR(TH!N3938="1111",TH!O3938="1111")),TH!D3938,""),"")</f>
        <v/>
      </c>
      <c r="B3938" s="60" t="str">
        <f t="shared" si="423"/>
        <v/>
      </c>
      <c r="C3938" s="1273"/>
      <c r="D3938" s="75"/>
      <c r="E3938" s="75"/>
      <c r="F3938" s="76"/>
      <c r="G3938" s="76"/>
      <c r="H3938" s="759"/>
      <c r="I3938" s="77"/>
      <c r="J3938" s="1266"/>
      <c r="K3938" s="1247"/>
      <c r="L3938" s="390"/>
      <c r="M3938" s="978"/>
      <c r="N3938" s="79"/>
      <c r="O3938" s="979"/>
      <c r="P3938" s="79" t="str">
        <f>IF(AND('331-CT'!$E$7=TH!H3938,OR(N3938="331",O3938="331")),"x","")</f>
        <v/>
      </c>
      <c r="Q3938" s="79" t="str">
        <f>IF(AND(B3938='111'!$L$11,OR($N3938=$Q$7,$O3938=$Q$7)),"x","")</f>
        <v/>
      </c>
      <c r="R3938" s="79" t="str">
        <f>IF(AND($N3938=$Q$7,$B3938&lt;'111'!$L$11),"x","")</f>
        <v/>
      </c>
      <c r="S3938" s="79" t="str">
        <f>IF(AND($O3938=$Q$7,$B3938&lt;'111'!$L$11),"x","")</f>
        <v/>
      </c>
      <c r="T3938" s="79" t="str">
        <f>IF(ISERROR(FIND('112'!$M$9,G3938,1)),"",IF((AND(FIND('112'!$M$9,G3938,1)&gt;=1,B3938='112'!$K$9,OR($N3938='112'!$I$6,$O3938='112'!$I$6))),"x",""))</f>
        <v/>
      </c>
      <c r="U3938" s="79" t="str">
        <f>IF(ISERROR(FIND('112'!$M$9,G3938,1)),"",IF((AND(LEFT(G3938,2)=LEFT('112'!$M$9,2),B3938&lt;'112'!$K$9,$N3938='112'!$I$6)),"x",""))</f>
        <v/>
      </c>
      <c r="V3938" s="79" t="str">
        <f>IF(ISERROR(FIND('112'!$M$9,G3938,1)),"",IF((AND(RIGHT(G3938,2)=RIGHT('112'!$M$9,2),B3938&lt;'112'!$K$9,$O3938='112'!$I$6)),"x",""))</f>
        <v/>
      </c>
      <c r="W3938" s="79" t="str">
        <f>IF(AND('341-CT'!$H$9=H3938,OR(LEFT(N3938,3)=$W$7,LEFT(O3938,3)=$W$7)),"x","")</f>
        <v/>
      </c>
      <c r="X3938" s="79" t="str">
        <f>IF(OR(TH!N3938=TH!$X$7,O3938=TH!$X$7),"x","")</f>
        <v/>
      </c>
      <c r="Y3938" s="79" t="str">
        <f>IF(AND(OR(N3938="131",O3938="131"),H3938='131-CT'!$H$9),"x","")</f>
        <v/>
      </c>
      <c r="Z3938" s="79"/>
      <c r="AA3938" s="79" t="str">
        <f>IF(AND(MONTH(E3938)='IN-NX'!$J$5,'IN-NX'!$D$7=D3938),"x","")</f>
        <v/>
      </c>
      <c r="AB3938" s="79" t="str">
        <f>IF(AND(OR(LEFT(TH!N3938,2)="15",LEFT(TH!O3938,2)="15"),LEFT(TH!O3938,3)&lt;&gt;"111",'152-CT'!$J$8=TH!F3938),"x","")</f>
        <v/>
      </c>
      <c r="AC3938" s="79" t="str">
        <f>IF(AND(OR(LEFT(TH!N3938,2)="15",LEFT(TH!O3938,2)="15"),TK!$E$7=TH!F3938),"x","")</f>
        <v/>
      </c>
      <c r="AD3938" s="79" t="str">
        <f>IF(AND(N3938="1521",MONTH(C3938)='BK-NL'!$M$11),"x","")</f>
        <v/>
      </c>
    </row>
    <row r="3939" spans="1:30" ht="16.5" customHeight="1">
      <c r="A3939" s="318" t="str">
        <f>IF(B3939&lt;&gt;"",IF(AND(B3939='IN-TC'!$S$4,OR(TH!N3939="1111",TH!O3939="1111")),TH!D3939,""),"")</f>
        <v/>
      </c>
      <c r="B3939" s="60" t="str">
        <f t="shared" si="423"/>
        <v/>
      </c>
      <c r="C3939" s="1273"/>
      <c r="D3939" s="75"/>
      <c r="E3939" s="75"/>
      <c r="F3939" s="76"/>
      <c r="G3939" s="76"/>
      <c r="H3939" s="759"/>
      <c r="I3939" s="77"/>
      <c r="J3939" s="1266"/>
      <c r="K3939" s="1247"/>
      <c r="L3939" s="390"/>
      <c r="M3939" s="978"/>
      <c r="N3939" s="79"/>
      <c r="O3939" s="979"/>
      <c r="P3939" s="79" t="str">
        <f>IF(AND('331-CT'!$E$7=TH!H3939,OR(N3939="331",O3939="331")),"x","")</f>
        <v/>
      </c>
      <c r="Q3939" s="79" t="str">
        <f>IF(AND(B3939='111'!$L$11,OR($N3939=$Q$7,$O3939=$Q$7)),"x","")</f>
        <v/>
      </c>
      <c r="R3939" s="79" t="str">
        <f>IF(AND($N3939=$Q$7,$B3939&lt;'111'!$L$11),"x","")</f>
        <v/>
      </c>
      <c r="S3939" s="79" t="str">
        <f>IF(AND($O3939=$Q$7,$B3939&lt;'111'!$L$11),"x","")</f>
        <v/>
      </c>
      <c r="T3939" s="79" t="str">
        <f>IF(ISERROR(FIND('112'!$M$9,G3939,1)),"",IF((AND(FIND('112'!$M$9,G3939,1)&gt;=1,B3939='112'!$K$9,OR($N3939='112'!$I$6,$O3939='112'!$I$6))),"x",""))</f>
        <v/>
      </c>
      <c r="U3939" s="79" t="str">
        <f>IF(ISERROR(FIND('112'!$M$9,G3939,1)),"",IF((AND(LEFT(G3939,2)=LEFT('112'!$M$9,2),B3939&lt;'112'!$K$9,$N3939='112'!$I$6)),"x",""))</f>
        <v/>
      </c>
      <c r="V3939" s="79" t="str">
        <f>IF(ISERROR(FIND('112'!$M$9,G3939,1)),"",IF((AND(RIGHT(G3939,2)=RIGHT('112'!$M$9,2),B3939&lt;'112'!$K$9,$O3939='112'!$I$6)),"x",""))</f>
        <v/>
      </c>
      <c r="W3939" s="79" t="str">
        <f>IF(AND('341-CT'!$H$9=H3939,OR(LEFT(N3939,3)=$W$7,LEFT(O3939,3)=$W$7)),"x","")</f>
        <v/>
      </c>
      <c r="X3939" s="79" t="str">
        <f>IF(OR(TH!N3939=TH!$X$7,O3939=TH!$X$7),"x","")</f>
        <v/>
      </c>
      <c r="Y3939" s="79" t="str">
        <f>IF(AND(OR(N3939="131",O3939="131"),H3939='131-CT'!$H$9),"x","")</f>
        <v/>
      </c>
      <c r="Z3939" s="79"/>
      <c r="AA3939" s="79" t="str">
        <f>IF(AND(MONTH(E3939)='IN-NX'!$J$5,'IN-NX'!$D$7=D3939),"x","")</f>
        <v/>
      </c>
      <c r="AB3939" s="79" t="str">
        <f>IF(AND(OR(LEFT(TH!N3939,2)="15",LEFT(TH!O3939,2)="15"),LEFT(TH!O3939,3)&lt;&gt;"111",'152-CT'!$J$8=TH!F3939),"x","")</f>
        <v/>
      </c>
      <c r="AC3939" s="79" t="str">
        <f>IF(AND(OR(LEFT(TH!N3939,2)="15",LEFT(TH!O3939,2)="15"),TK!$E$7=TH!F3939),"x","")</f>
        <v/>
      </c>
      <c r="AD3939" s="79" t="str">
        <f>IF(AND(N3939="1521",MONTH(C3939)='BK-NL'!$M$11),"x","")</f>
        <v/>
      </c>
    </row>
    <row r="3940" spans="1:30" ht="16.5" customHeight="1">
      <c r="A3940" s="318" t="str">
        <f>IF(B3940&lt;&gt;"",IF(AND(B3940='IN-TC'!$S$4,OR(TH!N3940="1111",TH!O3940="1111")),TH!D3940,""),"")</f>
        <v/>
      </c>
      <c r="B3940" s="60" t="str">
        <f t="shared" si="423"/>
        <v/>
      </c>
      <c r="C3940" s="1273"/>
      <c r="D3940" s="75"/>
      <c r="E3940" s="75"/>
      <c r="F3940" s="76"/>
      <c r="G3940" s="76"/>
      <c r="H3940" s="759"/>
      <c r="I3940" s="77"/>
      <c r="J3940" s="1266"/>
      <c r="K3940" s="1247"/>
      <c r="L3940" s="390"/>
      <c r="M3940" s="978"/>
      <c r="N3940" s="79"/>
      <c r="O3940" s="979"/>
      <c r="P3940" s="79" t="str">
        <f>IF(AND('331-CT'!$E$7=TH!H3940,OR(N3940="331",O3940="331")),"x","")</f>
        <v/>
      </c>
      <c r="Q3940" s="79" t="str">
        <f>IF(AND(B3940='111'!$L$11,OR($N3940=$Q$7,$O3940=$Q$7)),"x","")</f>
        <v/>
      </c>
      <c r="R3940" s="79" t="str">
        <f>IF(AND($N3940=$Q$7,$B3940&lt;'111'!$L$11),"x","")</f>
        <v/>
      </c>
      <c r="S3940" s="79" t="str">
        <f>IF(AND($O3940=$Q$7,$B3940&lt;'111'!$L$11),"x","")</f>
        <v/>
      </c>
      <c r="T3940" s="79" t="str">
        <f>IF(ISERROR(FIND('112'!$M$9,G3940,1)),"",IF((AND(FIND('112'!$M$9,G3940,1)&gt;=1,B3940='112'!$K$9,OR($N3940='112'!$I$6,$O3940='112'!$I$6))),"x",""))</f>
        <v/>
      </c>
      <c r="U3940" s="79" t="str">
        <f>IF(ISERROR(FIND('112'!$M$9,G3940,1)),"",IF((AND(LEFT(G3940,2)=LEFT('112'!$M$9,2),B3940&lt;'112'!$K$9,$N3940='112'!$I$6)),"x",""))</f>
        <v/>
      </c>
      <c r="V3940" s="79" t="str">
        <f>IF(ISERROR(FIND('112'!$M$9,G3940,1)),"",IF((AND(RIGHT(G3940,2)=RIGHT('112'!$M$9,2),B3940&lt;'112'!$K$9,$O3940='112'!$I$6)),"x",""))</f>
        <v/>
      </c>
      <c r="W3940" s="79" t="str">
        <f>IF(AND('341-CT'!$H$9=H3940,OR(LEFT(N3940,3)=$W$7,LEFT(O3940,3)=$W$7)),"x","")</f>
        <v/>
      </c>
      <c r="X3940" s="79" t="str">
        <f>IF(OR(TH!N3940=TH!$X$7,O3940=TH!$X$7),"x","")</f>
        <v/>
      </c>
      <c r="Y3940" s="79" t="str">
        <f>IF(AND(OR(N3940="131",O3940="131"),H3940='131-CT'!$H$9),"x","")</f>
        <v/>
      </c>
      <c r="Z3940" s="79"/>
      <c r="AA3940" s="79" t="str">
        <f>IF(AND(MONTH(E3940)='IN-NX'!$J$5,'IN-NX'!$D$7=D3940),"x","")</f>
        <v/>
      </c>
      <c r="AB3940" s="79" t="str">
        <f>IF(AND(OR(LEFT(TH!N3940,2)="15",LEFT(TH!O3940,2)="15"),LEFT(TH!O3940,3)&lt;&gt;"111",'152-CT'!$J$8=TH!F3940),"x","")</f>
        <v/>
      </c>
      <c r="AC3940" s="79" t="str">
        <f>IF(AND(OR(LEFT(TH!N3940,2)="15",LEFT(TH!O3940,2)="15"),TK!$E$7=TH!F3940),"x","")</f>
        <v/>
      </c>
      <c r="AD3940" s="79" t="str">
        <f>IF(AND(N3940="1521",MONTH(C3940)='BK-NL'!$M$11),"x","")</f>
        <v/>
      </c>
    </row>
    <row r="3941" spans="1:30" ht="16.5" customHeight="1">
      <c r="A3941" s="318" t="str">
        <f>IF(B3941&lt;&gt;"",IF(AND(B3941='IN-TC'!$S$4,OR(TH!N3941="1111",TH!O3941="1111")),TH!D3941,""),"")</f>
        <v/>
      </c>
      <c r="B3941" s="60" t="str">
        <f t="shared" si="423"/>
        <v/>
      </c>
      <c r="C3941" s="75"/>
      <c r="D3941" s="75"/>
      <c r="E3941" s="75"/>
      <c r="F3941" s="76"/>
      <c r="G3941" s="76"/>
      <c r="H3941" s="759"/>
      <c r="I3941" s="77"/>
      <c r="J3941" s="1253"/>
      <c r="K3941" s="1247"/>
      <c r="L3941" s="390"/>
      <c r="M3941" s="978"/>
      <c r="N3941" s="79"/>
      <c r="O3941" s="979"/>
      <c r="P3941" s="79" t="str">
        <f>IF(AND('331-CT'!$E$7=TH!H3941,OR(N3941="331",O3941="331")),"x","")</f>
        <v/>
      </c>
      <c r="Q3941" s="79" t="str">
        <f>IF(AND(B3941='111'!$L$11,OR($N3941=$Q$7,$O3941=$Q$7)),"x","")</f>
        <v/>
      </c>
      <c r="R3941" s="79" t="str">
        <f>IF(AND($N3941=$Q$7,$B3941&lt;'111'!$L$11),"x","")</f>
        <v/>
      </c>
      <c r="S3941" s="79" t="str">
        <f>IF(AND($O3941=$Q$7,$B3941&lt;'111'!$L$11),"x","")</f>
        <v/>
      </c>
      <c r="T3941" s="79" t="str">
        <f>IF(ISERROR(FIND('112'!$M$9,G3941,1)),"",IF((AND(FIND('112'!$M$9,G3941,1)&gt;=1,B3941='112'!$K$9,OR($N3941='112'!$I$6,$O3941='112'!$I$6))),"x",""))</f>
        <v/>
      </c>
      <c r="U3941" s="79" t="str">
        <f>IF(ISERROR(FIND('112'!$M$9,G3941,1)),"",IF((AND(LEFT(G3941,2)=LEFT('112'!$M$9,2),B3941&lt;'112'!$K$9,$N3941='112'!$I$6)),"x",""))</f>
        <v/>
      </c>
      <c r="V3941" s="79" t="str">
        <f>IF(ISERROR(FIND('112'!$M$9,G3941,1)),"",IF((AND(RIGHT(G3941,2)=RIGHT('112'!$M$9,2),B3941&lt;'112'!$K$9,$O3941='112'!$I$6)),"x",""))</f>
        <v/>
      </c>
      <c r="W3941" s="79" t="str">
        <f>IF(AND('341-CT'!$H$9=H3941,OR(LEFT(N3941,3)=$W$7,LEFT(O3941,3)=$W$7)),"x","")</f>
        <v/>
      </c>
      <c r="X3941" s="79" t="str">
        <f>IF(OR(TH!N3941=TH!$X$7,O3941=TH!$X$7),"x","")</f>
        <v/>
      </c>
      <c r="Y3941" s="79" t="str">
        <f>IF(AND(OR(N3941="131",O3941="131"),H3941='131-CT'!$H$9),"x","")</f>
        <v/>
      </c>
      <c r="Z3941" s="79"/>
      <c r="AA3941" s="79" t="str">
        <f>IF(AND(MONTH(E3941)='IN-NX'!$J$5,'IN-NX'!$D$7=D3941),"x","")</f>
        <v/>
      </c>
      <c r="AB3941" s="79" t="str">
        <f>IF(AND(OR(LEFT(TH!N3941,2)="15",LEFT(TH!O3941,2)="15"),LEFT(TH!O3941,3)&lt;&gt;"111",'152-CT'!$J$8=TH!F3941),"x","")</f>
        <v/>
      </c>
      <c r="AC3941" s="79" t="str">
        <f>IF(AND(OR(LEFT(TH!N3941,2)="15",LEFT(TH!O3941,2)="15"),TK!$E$7=TH!F3941),"x","")</f>
        <v/>
      </c>
      <c r="AD3941" s="79" t="str">
        <f>IF(AND(N3941="1521",MONTH(C3941)='BK-NL'!$M$11),"x","")</f>
        <v/>
      </c>
    </row>
    <row r="3942" spans="1:30" ht="16.5" customHeight="1">
      <c r="A3942" s="318" t="str">
        <f>IF(B3942&lt;&gt;"",IF(AND(B3942='IN-TC'!$S$4,OR(TH!N3942="1111",TH!O3942="1111")),TH!D3942,""),"")</f>
        <v/>
      </c>
      <c r="B3942" s="60" t="str">
        <f t="shared" si="423"/>
        <v/>
      </c>
      <c r="C3942" s="75"/>
      <c r="D3942" s="75"/>
      <c r="E3942" s="75"/>
      <c r="F3942" s="76"/>
      <c r="G3942" s="76"/>
      <c r="H3942" s="759"/>
      <c r="I3942" s="77"/>
      <c r="J3942" s="1253"/>
      <c r="K3942" s="1247"/>
      <c r="L3942" s="390"/>
      <c r="M3942" s="978"/>
      <c r="N3942" s="79"/>
      <c r="O3942" s="979"/>
      <c r="P3942" s="79" t="str">
        <f>IF(AND('331-CT'!$E$7=TH!H3942,OR(N3942="331",O3942="331")),"x","")</f>
        <v/>
      </c>
      <c r="Q3942" s="79" t="str">
        <f>IF(AND(B3942='111'!$L$11,OR($N3942=$Q$7,$O3942=$Q$7)),"x","")</f>
        <v/>
      </c>
      <c r="R3942" s="79" t="str">
        <f>IF(AND($N3942=$Q$7,$B3942&lt;'111'!$L$11),"x","")</f>
        <v/>
      </c>
      <c r="S3942" s="79" t="str">
        <f>IF(AND($O3942=$Q$7,$B3942&lt;'111'!$L$11),"x","")</f>
        <v/>
      </c>
      <c r="T3942" s="79" t="str">
        <f>IF(ISERROR(FIND('112'!$M$9,G3942,1)),"",IF((AND(FIND('112'!$M$9,G3942,1)&gt;=1,B3942='112'!$K$9,OR($N3942='112'!$I$6,$O3942='112'!$I$6))),"x",""))</f>
        <v/>
      </c>
      <c r="U3942" s="79" t="str">
        <f>IF(ISERROR(FIND('112'!$M$9,G3942,1)),"",IF((AND(LEFT(G3942,2)=LEFT('112'!$M$9,2),B3942&lt;'112'!$K$9,$N3942='112'!$I$6)),"x",""))</f>
        <v/>
      </c>
      <c r="V3942" s="79" t="str">
        <f>IF(ISERROR(FIND('112'!$M$9,G3942,1)),"",IF((AND(RIGHT(G3942,2)=RIGHT('112'!$M$9,2),B3942&lt;'112'!$K$9,$O3942='112'!$I$6)),"x",""))</f>
        <v/>
      </c>
      <c r="W3942" s="79" t="str">
        <f>IF(AND('341-CT'!$H$9=H3942,OR(LEFT(N3942,3)=$W$7,LEFT(O3942,3)=$W$7)),"x","")</f>
        <v/>
      </c>
      <c r="X3942" s="79" t="str">
        <f>IF(OR(TH!N3942=TH!$X$7,O3942=TH!$X$7),"x","")</f>
        <v/>
      </c>
      <c r="Y3942" s="79" t="str">
        <f>IF(AND(OR(N3942="131",O3942="131"),H3942='131-CT'!$H$9),"x","")</f>
        <v/>
      </c>
      <c r="Z3942" s="79"/>
      <c r="AA3942" s="79" t="str">
        <f>IF(AND(MONTH(E3942)='IN-NX'!$J$5,'IN-NX'!$D$7=D3942),"x","")</f>
        <v/>
      </c>
      <c r="AB3942" s="79" t="str">
        <f>IF(AND(OR(LEFT(TH!N3942,2)="15",LEFT(TH!O3942,2)="15"),LEFT(TH!O3942,3)&lt;&gt;"111",'152-CT'!$J$8=TH!F3942),"x","")</f>
        <v/>
      </c>
      <c r="AC3942" s="79" t="str">
        <f>IF(AND(OR(LEFT(TH!N3942,2)="15",LEFT(TH!O3942,2)="15"),TK!$E$7=TH!F3942),"x","")</f>
        <v/>
      </c>
      <c r="AD3942" s="79" t="str">
        <f>IF(AND(N3942="1521",MONTH(C3942)='BK-NL'!$M$11),"x","")</f>
        <v/>
      </c>
    </row>
    <row r="3943" spans="1:30" ht="16.5" customHeight="1">
      <c r="A3943" s="318" t="str">
        <f>IF(B3943&lt;&gt;"",IF(AND(B3943='IN-TC'!$S$4,OR(TH!N3943="1111",TH!O3943="1111")),TH!D3943,""),"")</f>
        <v/>
      </c>
      <c r="B3943" s="60" t="str">
        <f t="shared" si="423"/>
        <v/>
      </c>
      <c r="C3943" s="75"/>
      <c r="D3943" s="75"/>
      <c r="E3943" s="75"/>
      <c r="F3943" s="76"/>
      <c r="G3943" s="76"/>
      <c r="H3943" s="759"/>
      <c r="I3943" s="77"/>
      <c r="J3943" s="1253"/>
      <c r="K3943" s="1247"/>
      <c r="L3943" s="390"/>
      <c r="M3943" s="978"/>
      <c r="N3943" s="79"/>
      <c r="O3943" s="979"/>
      <c r="P3943" s="79" t="str">
        <f>IF(AND('331-CT'!$E$7=TH!H3943,OR(N3943="331",O3943="331")),"x","")</f>
        <v/>
      </c>
      <c r="Q3943" s="79" t="str">
        <f>IF(AND(B3943='111'!$L$11,OR($N3943=$Q$7,$O3943=$Q$7)),"x","")</f>
        <v/>
      </c>
      <c r="R3943" s="79" t="str">
        <f>IF(AND($N3943=$Q$7,$B3943&lt;'111'!$L$11),"x","")</f>
        <v/>
      </c>
      <c r="S3943" s="79" t="str">
        <f>IF(AND($O3943=$Q$7,$B3943&lt;'111'!$L$11),"x","")</f>
        <v/>
      </c>
      <c r="T3943" s="79" t="str">
        <f>IF(ISERROR(FIND('112'!$M$9,G3943,1)),"",IF((AND(FIND('112'!$M$9,G3943,1)&gt;=1,B3943='112'!$K$9,OR($N3943='112'!$I$6,$O3943='112'!$I$6))),"x",""))</f>
        <v/>
      </c>
      <c r="U3943" s="79" t="str">
        <f>IF(ISERROR(FIND('112'!$M$9,G3943,1)),"",IF((AND(LEFT(G3943,2)=LEFT('112'!$M$9,2),B3943&lt;'112'!$K$9,$N3943='112'!$I$6)),"x",""))</f>
        <v/>
      </c>
      <c r="V3943" s="79" t="str">
        <f>IF(ISERROR(FIND('112'!$M$9,G3943,1)),"",IF((AND(RIGHT(G3943,2)=RIGHT('112'!$M$9,2),B3943&lt;'112'!$K$9,$O3943='112'!$I$6)),"x",""))</f>
        <v/>
      </c>
      <c r="W3943" s="79" t="str">
        <f>IF(AND('341-CT'!$H$9=H3943,OR(LEFT(N3943,3)=$W$7,LEFT(O3943,3)=$W$7)),"x","")</f>
        <v/>
      </c>
      <c r="X3943" s="79" t="str">
        <f>IF(OR(TH!N3943=TH!$X$7,O3943=TH!$X$7),"x","")</f>
        <v/>
      </c>
      <c r="Y3943" s="79" t="str">
        <f>IF(AND(OR(N3943="131",O3943="131"),H3943='131-CT'!$H$9),"x","")</f>
        <v/>
      </c>
      <c r="Z3943" s="79"/>
      <c r="AA3943" s="79" t="str">
        <f>IF(AND(MONTH(E3943)='IN-NX'!$J$5,'IN-NX'!$D$7=D3943),"x","")</f>
        <v/>
      </c>
      <c r="AB3943" s="79" t="str">
        <f>IF(AND(OR(LEFT(TH!N3943,2)="15",LEFT(TH!O3943,2)="15"),LEFT(TH!O3943,3)&lt;&gt;"111",'152-CT'!$J$8=TH!F3943),"x","")</f>
        <v/>
      </c>
      <c r="AC3943" s="79" t="str">
        <f>IF(AND(OR(LEFT(TH!N3943,2)="15",LEFT(TH!O3943,2)="15"),TK!$E$7=TH!F3943),"x","")</f>
        <v/>
      </c>
      <c r="AD3943" s="79" t="str">
        <f>IF(AND(N3943="1521",MONTH(C3943)='BK-NL'!$M$11),"x","")</f>
        <v/>
      </c>
    </row>
    <row r="3944" spans="1:30" ht="16.5" customHeight="1">
      <c r="A3944" s="318" t="str">
        <f>IF(B3944&lt;&gt;"",IF(AND(B3944='IN-TC'!$S$4,OR(TH!N3944="1111",TH!O3944="1111")),TH!D3944,""),"")</f>
        <v/>
      </c>
      <c r="B3944" s="60" t="str">
        <f t="shared" si="423"/>
        <v/>
      </c>
      <c r="C3944" s="75"/>
      <c r="D3944" s="75"/>
      <c r="E3944" s="75"/>
      <c r="F3944" s="76"/>
      <c r="G3944" s="76"/>
      <c r="H3944" s="759"/>
      <c r="I3944" s="77"/>
      <c r="J3944" s="1253"/>
      <c r="K3944" s="1247"/>
      <c r="L3944" s="390"/>
      <c r="M3944" s="978"/>
      <c r="N3944" s="79"/>
      <c r="O3944" s="979"/>
      <c r="P3944" s="79" t="str">
        <f>IF(AND('331-CT'!$E$7=TH!H3944,OR(N3944="331",O3944="331")),"x","")</f>
        <v/>
      </c>
      <c r="Q3944" s="79" t="str">
        <f>IF(AND(B3944='111'!$L$11,OR($N3944=$Q$7,$O3944=$Q$7)),"x","")</f>
        <v/>
      </c>
      <c r="R3944" s="79" t="str">
        <f>IF(AND($N3944=$Q$7,$B3944&lt;'111'!$L$11),"x","")</f>
        <v/>
      </c>
      <c r="S3944" s="79" t="str">
        <f>IF(AND($O3944=$Q$7,$B3944&lt;'111'!$L$11),"x","")</f>
        <v/>
      </c>
      <c r="T3944" s="79" t="str">
        <f>IF(ISERROR(FIND('112'!$M$9,G3944,1)),"",IF((AND(FIND('112'!$M$9,G3944,1)&gt;=1,B3944='112'!$K$9,OR($N3944='112'!$I$6,$O3944='112'!$I$6))),"x",""))</f>
        <v/>
      </c>
      <c r="U3944" s="79" t="str">
        <f>IF(ISERROR(FIND('112'!$M$9,G3944,1)),"",IF((AND(LEFT(G3944,2)=LEFT('112'!$M$9,2),B3944&lt;'112'!$K$9,$N3944='112'!$I$6)),"x",""))</f>
        <v/>
      </c>
      <c r="V3944" s="79" t="str">
        <f>IF(ISERROR(FIND('112'!$M$9,G3944,1)),"",IF((AND(RIGHT(G3944,2)=RIGHT('112'!$M$9,2),B3944&lt;'112'!$K$9,$O3944='112'!$I$6)),"x",""))</f>
        <v/>
      </c>
      <c r="W3944" s="79" t="str">
        <f>IF(AND('341-CT'!$H$9=H3944,OR(LEFT(N3944,3)=$W$7,LEFT(O3944,3)=$W$7)),"x","")</f>
        <v/>
      </c>
      <c r="X3944" s="79" t="str">
        <f>IF(OR(TH!N3944=TH!$X$7,O3944=TH!$X$7),"x","")</f>
        <v/>
      </c>
      <c r="Y3944" s="79" t="str">
        <f>IF(AND(OR(N3944="131",O3944="131"),H3944='131-CT'!$H$9),"x","")</f>
        <v/>
      </c>
      <c r="Z3944" s="79"/>
      <c r="AA3944" s="79" t="str">
        <f>IF(AND(MONTH(E3944)='IN-NX'!$J$5,'IN-NX'!$D$7=D3944),"x","")</f>
        <v/>
      </c>
      <c r="AB3944" s="79" t="str">
        <f>IF(AND(OR(LEFT(TH!N3944,2)="15",LEFT(TH!O3944,2)="15"),LEFT(TH!O3944,3)&lt;&gt;"111",'152-CT'!$J$8=TH!F3944),"x","")</f>
        <v/>
      </c>
      <c r="AC3944" s="79" t="str">
        <f>IF(AND(OR(LEFT(TH!N3944,2)="15",LEFT(TH!O3944,2)="15"),TK!$E$7=TH!F3944),"x","")</f>
        <v/>
      </c>
      <c r="AD3944" s="79" t="str">
        <f>IF(AND(N3944="1521",MONTH(C3944)='BK-NL'!$M$11),"x","")</f>
        <v/>
      </c>
    </row>
    <row r="3945" spans="1:30" ht="16.5" customHeight="1">
      <c r="A3945" s="318" t="str">
        <f>IF(B3945&lt;&gt;"",IF(AND(B3945='IN-TC'!$S$4,OR(TH!N3945="1111",TH!O3945="1111")),TH!D3945,""),"")</f>
        <v/>
      </c>
      <c r="B3945" s="60" t="str">
        <f t="shared" si="423"/>
        <v/>
      </c>
      <c r="C3945" s="75"/>
      <c r="D3945" s="75"/>
      <c r="E3945" s="75"/>
      <c r="F3945" s="76"/>
      <c r="G3945" s="76"/>
      <c r="H3945" s="759"/>
      <c r="I3945" s="77"/>
      <c r="J3945" s="1253"/>
      <c r="K3945" s="1247"/>
      <c r="L3945" s="390"/>
      <c r="M3945" s="978"/>
      <c r="N3945" s="79"/>
      <c r="O3945" s="979"/>
      <c r="P3945" s="79" t="str">
        <f>IF(AND('331-CT'!$E$7=TH!H3945,OR(N3945="331",O3945="331")),"x","")</f>
        <v/>
      </c>
      <c r="Q3945" s="79" t="str">
        <f>IF(AND(B3945='111'!$L$11,OR($N3945=$Q$7,$O3945=$Q$7)),"x","")</f>
        <v/>
      </c>
      <c r="R3945" s="79" t="str">
        <f>IF(AND($N3945=$Q$7,$B3945&lt;'111'!$L$11),"x","")</f>
        <v/>
      </c>
      <c r="S3945" s="79" t="str">
        <f>IF(AND($O3945=$Q$7,$B3945&lt;'111'!$L$11),"x","")</f>
        <v/>
      </c>
      <c r="T3945" s="79" t="str">
        <f>IF(ISERROR(FIND('112'!$M$9,G3945,1)),"",IF((AND(FIND('112'!$M$9,G3945,1)&gt;=1,B3945='112'!$K$9,OR($N3945='112'!$I$6,$O3945='112'!$I$6))),"x",""))</f>
        <v/>
      </c>
      <c r="U3945" s="79" t="str">
        <f>IF(ISERROR(FIND('112'!$M$9,G3945,1)),"",IF((AND(LEFT(G3945,2)=LEFT('112'!$M$9,2),B3945&lt;'112'!$K$9,$N3945='112'!$I$6)),"x",""))</f>
        <v/>
      </c>
      <c r="V3945" s="79" t="str">
        <f>IF(ISERROR(FIND('112'!$M$9,G3945,1)),"",IF((AND(RIGHT(G3945,2)=RIGHT('112'!$M$9,2),B3945&lt;'112'!$K$9,$O3945='112'!$I$6)),"x",""))</f>
        <v/>
      </c>
      <c r="W3945" s="79" t="str">
        <f>IF(AND('341-CT'!$H$9=H3945,OR(LEFT(N3945,3)=$W$7,LEFT(O3945,3)=$W$7)),"x","")</f>
        <v/>
      </c>
      <c r="X3945" s="79" t="str">
        <f>IF(OR(TH!N3945=TH!$X$7,O3945=TH!$X$7),"x","")</f>
        <v/>
      </c>
      <c r="Y3945" s="79" t="str">
        <f>IF(AND(OR(N3945="131",O3945="131"),H3945='131-CT'!$H$9),"x","")</f>
        <v/>
      </c>
      <c r="Z3945" s="79"/>
      <c r="AA3945" s="79" t="str">
        <f>IF(AND(MONTH(E3945)='IN-NX'!$J$5,'IN-NX'!$D$7=D3945),"x","")</f>
        <v/>
      </c>
      <c r="AB3945" s="79" t="str">
        <f>IF(AND(OR(LEFT(TH!N3945,2)="15",LEFT(TH!O3945,2)="15"),LEFT(TH!O3945,3)&lt;&gt;"111",'152-CT'!$J$8=TH!F3945),"x","")</f>
        <v/>
      </c>
      <c r="AC3945" s="79" t="str">
        <f>IF(AND(OR(LEFT(TH!N3945,2)="15",LEFT(TH!O3945,2)="15"),TK!$E$7=TH!F3945),"x","")</f>
        <v/>
      </c>
      <c r="AD3945" s="79" t="str">
        <f>IF(AND(N3945="1521",MONTH(C3945)='BK-NL'!$M$11),"x","")</f>
        <v/>
      </c>
    </row>
    <row r="3946" spans="1:30" ht="16.5" customHeight="1">
      <c r="A3946" s="318" t="str">
        <f>IF(B3946&lt;&gt;"",IF(AND(B3946='IN-TC'!$S$4,OR(TH!N3946="1111",TH!O3946="1111")),TH!D3946,""),"")</f>
        <v/>
      </c>
      <c r="B3946" s="60" t="str">
        <f t="shared" si="423"/>
        <v/>
      </c>
      <c r="C3946" s="75"/>
      <c r="D3946" s="75"/>
      <c r="E3946" s="75"/>
      <c r="F3946" s="76"/>
      <c r="G3946" s="76"/>
      <c r="H3946" s="759"/>
      <c r="I3946" s="77"/>
      <c r="J3946" s="1253"/>
      <c r="K3946" s="1247"/>
      <c r="L3946" s="390"/>
      <c r="M3946" s="978"/>
      <c r="N3946" s="79"/>
      <c r="O3946" s="979"/>
      <c r="P3946" s="79" t="str">
        <f>IF(AND('331-CT'!$E$7=TH!H3946,OR(N3946="331",O3946="331")),"x","")</f>
        <v/>
      </c>
      <c r="Q3946" s="79" t="str">
        <f>IF(AND(B3946='111'!$L$11,OR($N3946=$Q$7,$O3946=$Q$7)),"x","")</f>
        <v/>
      </c>
      <c r="R3946" s="79" t="str">
        <f>IF(AND($N3946=$Q$7,$B3946&lt;'111'!$L$11),"x","")</f>
        <v/>
      </c>
      <c r="S3946" s="79" t="str">
        <f>IF(AND($O3946=$Q$7,$B3946&lt;'111'!$L$11),"x","")</f>
        <v/>
      </c>
      <c r="T3946" s="79" t="str">
        <f>IF(ISERROR(FIND('112'!$M$9,G3946,1)),"",IF((AND(FIND('112'!$M$9,G3946,1)&gt;=1,B3946='112'!$K$9,OR($N3946='112'!$I$6,$O3946='112'!$I$6))),"x",""))</f>
        <v/>
      </c>
      <c r="U3946" s="79" t="str">
        <f>IF(ISERROR(FIND('112'!$M$9,G3946,1)),"",IF((AND(LEFT(G3946,2)=LEFT('112'!$M$9,2),B3946&lt;'112'!$K$9,$N3946='112'!$I$6)),"x",""))</f>
        <v/>
      </c>
      <c r="V3946" s="79" t="str">
        <f>IF(ISERROR(FIND('112'!$M$9,G3946,1)),"",IF((AND(RIGHT(G3946,2)=RIGHT('112'!$M$9,2),B3946&lt;'112'!$K$9,$O3946='112'!$I$6)),"x",""))</f>
        <v/>
      </c>
      <c r="W3946" s="79" t="str">
        <f>IF(AND('341-CT'!$H$9=H3946,OR(LEFT(N3946,3)=$W$7,LEFT(O3946,3)=$W$7)),"x","")</f>
        <v/>
      </c>
      <c r="X3946" s="79" t="str">
        <f>IF(OR(TH!N3946=TH!$X$7,O3946=TH!$X$7),"x","")</f>
        <v/>
      </c>
      <c r="Y3946" s="79" t="str">
        <f>IF(AND(OR(N3946="131",O3946="131"),H3946='131-CT'!$H$9),"x","")</f>
        <v/>
      </c>
      <c r="Z3946" s="79"/>
      <c r="AA3946" s="79" t="str">
        <f>IF(AND(MONTH(E3946)='IN-NX'!$J$5,'IN-NX'!$D$7=D3946),"x","")</f>
        <v/>
      </c>
      <c r="AB3946" s="79" t="str">
        <f>IF(AND(OR(LEFT(TH!N3946,2)="15",LEFT(TH!O3946,2)="15"),LEFT(TH!O3946,3)&lt;&gt;"111",'152-CT'!$J$8=TH!F3946),"x","")</f>
        <v/>
      </c>
      <c r="AC3946" s="79" t="str">
        <f>IF(AND(OR(LEFT(TH!N3946,2)="15",LEFT(TH!O3946,2)="15"),TK!$E$7=TH!F3946),"x","")</f>
        <v/>
      </c>
      <c r="AD3946" s="79" t="str">
        <f>IF(AND(N3946="1521",MONTH(C3946)='BK-NL'!$M$11),"x","")</f>
        <v/>
      </c>
    </row>
    <row r="3947" spans="1:30" ht="16.5" customHeight="1">
      <c r="A3947" s="318" t="str">
        <f>IF(B3947&lt;&gt;"",IF(AND(B3947='IN-TC'!$S$4,OR(TH!N3947="1111",TH!O3947="1111")),TH!D3947,""),"")</f>
        <v/>
      </c>
      <c r="B3947" s="60" t="str">
        <f t="shared" si="423"/>
        <v/>
      </c>
      <c r="C3947" s="75"/>
      <c r="D3947" s="75"/>
      <c r="E3947" s="75"/>
      <c r="F3947" s="76"/>
      <c r="G3947" s="76"/>
      <c r="H3947" s="1276"/>
      <c r="I3947" s="77"/>
      <c r="J3947" s="1253"/>
      <c r="K3947" s="1247"/>
      <c r="L3947" s="390"/>
      <c r="M3947" s="978"/>
      <c r="N3947" s="79"/>
      <c r="O3947" s="979"/>
      <c r="P3947" s="79" t="str">
        <f>IF(AND('331-CT'!$E$7=TH!H3947,OR(N3947="331",O3947="331")),"x","")</f>
        <v/>
      </c>
      <c r="Q3947" s="79" t="str">
        <f>IF(AND(B3947='111'!$L$11,OR($N3947=$Q$7,$O3947=$Q$7)),"x","")</f>
        <v/>
      </c>
      <c r="R3947" s="79" t="str">
        <f>IF(AND($N3947=$Q$7,$B3947&lt;'111'!$L$11),"x","")</f>
        <v/>
      </c>
      <c r="S3947" s="79" t="str">
        <f>IF(AND($O3947=$Q$7,$B3947&lt;'111'!$L$11),"x","")</f>
        <v/>
      </c>
      <c r="T3947" s="79" t="str">
        <f>IF(ISERROR(FIND('112'!$M$9,G3947,1)),"",IF((AND(FIND('112'!$M$9,G3947,1)&gt;=1,B3947='112'!$K$9,OR($N3947='112'!$I$6,$O3947='112'!$I$6))),"x",""))</f>
        <v/>
      </c>
      <c r="U3947" s="79" t="str">
        <f>IF(ISERROR(FIND('112'!$M$9,G3947,1)),"",IF((AND(LEFT(G3947,2)=LEFT('112'!$M$9,2),B3947&lt;'112'!$K$9,$N3947='112'!$I$6)),"x",""))</f>
        <v/>
      </c>
      <c r="V3947" s="79" t="str">
        <f>IF(ISERROR(FIND('112'!$M$9,G3947,1)),"",IF((AND(RIGHT(G3947,2)=RIGHT('112'!$M$9,2),B3947&lt;'112'!$K$9,$O3947='112'!$I$6)),"x",""))</f>
        <v/>
      </c>
      <c r="W3947" s="79" t="str">
        <f>IF(AND('341-CT'!$H$9=H3947,OR(LEFT(N3947,3)=$W$7,LEFT(O3947,3)=$W$7)),"x","")</f>
        <v/>
      </c>
      <c r="X3947" s="79" t="str">
        <f>IF(OR(TH!N3947=TH!$X$7,O3947=TH!$X$7),"x","")</f>
        <v/>
      </c>
      <c r="Y3947" s="79" t="str">
        <f>IF(AND(OR(N3947="131",O3947="131"),H3947='131-CT'!$H$9),"x","")</f>
        <v/>
      </c>
      <c r="Z3947" s="79"/>
      <c r="AA3947" s="79" t="str">
        <f>IF(AND(MONTH(E3947)='IN-NX'!$J$5,'IN-NX'!$D$7=D3947),"x","")</f>
        <v/>
      </c>
      <c r="AB3947" s="79" t="str">
        <f>IF(AND(OR(LEFT(TH!N3947,2)="15",LEFT(TH!O3947,2)="15"),LEFT(TH!O3947,3)&lt;&gt;"111",'152-CT'!$J$8=TH!F3947),"x","")</f>
        <v/>
      </c>
      <c r="AC3947" s="79" t="str">
        <f>IF(AND(OR(LEFT(TH!N3947,2)="15",LEFT(TH!O3947,2)="15"),TK!$E$7=TH!F3947),"x","")</f>
        <v/>
      </c>
      <c r="AD3947" s="79" t="str">
        <f>IF(AND(N3947="1521",MONTH(C3947)='BK-NL'!$M$11),"x","")</f>
        <v/>
      </c>
    </row>
    <row r="3948" spans="1:30" ht="16.5" customHeight="1">
      <c r="A3948" s="318" t="str">
        <f>IF(B3948&lt;&gt;"",IF(AND(B3948='IN-TC'!$S$4,OR(TH!N3948="1111",TH!O3948="1111")),TH!D3948,""),"")</f>
        <v/>
      </c>
      <c r="B3948" s="60" t="str">
        <f t="shared" si="423"/>
        <v/>
      </c>
      <c r="C3948" s="75"/>
      <c r="D3948" s="75"/>
      <c r="E3948" s="75"/>
      <c r="F3948" s="76"/>
      <c r="G3948" s="76"/>
      <c r="H3948" s="759"/>
      <c r="I3948" s="77"/>
      <c r="J3948" s="1266"/>
      <c r="K3948" s="1247"/>
      <c r="L3948" s="390"/>
      <c r="M3948" s="978"/>
      <c r="N3948" s="79"/>
      <c r="O3948" s="979"/>
      <c r="P3948" s="79" t="str">
        <f>IF(AND('331-CT'!$E$7=TH!H3948,OR(N3948="331",O3948="331")),"x","")</f>
        <v/>
      </c>
      <c r="Q3948" s="79" t="str">
        <f>IF(AND(B3948='111'!$L$11,OR($N3948=$Q$7,$O3948=$Q$7)),"x","")</f>
        <v/>
      </c>
      <c r="R3948" s="79" t="str">
        <f>IF(AND($N3948=$Q$7,$B3948&lt;'111'!$L$11),"x","")</f>
        <v/>
      </c>
      <c r="S3948" s="79" t="str">
        <f>IF(AND($O3948=$Q$7,$B3948&lt;'111'!$L$11),"x","")</f>
        <v/>
      </c>
      <c r="T3948" s="79" t="str">
        <f>IF(ISERROR(FIND('112'!$M$9,G3948,1)),"",IF((AND(FIND('112'!$M$9,G3948,1)&gt;=1,B3948='112'!$K$9,OR($N3948='112'!$I$6,$O3948='112'!$I$6))),"x",""))</f>
        <v/>
      </c>
      <c r="U3948" s="79" t="str">
        <f>IF(ISERROR(FIND('112'!$M$9,G3948,1)),"",IF((AND(LEFT(G3948,2)=LEFT('112'!$M$9,2),B3948&lt;'112'!$K$9,$N3948='112'!$I$6)),"x",""))</f>
        <v/>
      </c>
      <c r="V3948" s="79" t="str">
        <f>IF(ISERROR(FIND('112'!$M$9,G3948,1)),"",IF((AND(RIGHT(G3948,2)=RIGHT('112'!$M$9,2),B3948&lt;'112'!$K$9,$O3948='112'!$I$6)),"x",""))</f>
        <v/>
      </c>
      <c r="W3948" s="79" t="str">
        <f>IF(AND('341-CT'!$H$9=H3948,OR(LEFT(N3948,3)=$W$7,LEFT(O3948,3)=$W$7)),"x","")</f>
        <v/>
      </c>
      <c r="X3948" s="79" t="str">
        <f>IF(OR(TH!N3948=TH!$X$7,O3948=TH!$X$7),"x","")</f>
        <v/>
      </c>
      <c r="Y3948" s="79" t="str">
        <f>IF(AND(OR(N3948="131",O3948="131"),H3948='131-CT'!$H$9),"x","")</f>
        <v/>
      </c>
      <c r="Z3948" s="79"/>
      <c r="AA3948" s="79" t="str">
        <f>IF(AND(MONTH(E3948)='IN-NX'!$J$5,'IN-NX'!$D$7=D3948),"x","")</f>
        <v/>
      </c>
      <c r="AB3948" s="79" t="str">
        <f>IF(AND(OR(LEFT(TH!N3948,2)="15",LEFT(TH!O3948,2)="15"),LEFT(TH!O3948,3)&lt;&gt;"111",'152-CT'!$J$8=TH!F3948),"x","")</f>
        <v/>
      </c>
      <c r="AC3948" s="79" t="str">
        <f>IF(AND(OR(LEFT(TH!N3948,2)="15",LEFT(TH!O3948,2)="15"),TK!$E$7=TH!F3948),"x","")</f>
        <v/>
      </c>
      <c r="AD3948" s="79" t="str">
        <f>IF(AND(N3948="1521",MONTH(C3948)='BK-NL'!$M$11),"x","")</f>
        <v/>
      </c>
    </row>
    <row r="3949" spans="1:30" ht="16.5" customHeight="1">
      <c r="A3949" s="318" t="str">
        <f>IF(B3949&lt;&gt;"",IF(AND(B3949='IN-TC'!$S$4,OR(TH!N3949="1111",TH!O3949="1111")),TH!D3949,""),"")</f>
        <v/>
      </c>
      <c r="B3949" s="60" t="str">
        <f t="shared" si="423"/>
        <v/>
      </c>
      <c r="C3949" s="75"/>
      <c r="D3949" s="75"/>
      <c r="E3949" s="75"/>
      <c r="F3949" s="77"/>
      <c r="G3949" s="76"/>
      <c r="H3949" s="305"/>
      <c r="I3949" s="77"/>
      <c r="J3949" s="390"/>
      <c r="K3949" s="383"/>
      <c r="L3949" s="390"/>
      <c r="M3949" s="978"/>
      <c r="N3949" s="79"/>
      <c r="O3949" s="79"/>
      <c r="P3949" s="79" t="str">
        <f>IF(AND('331-CT'!$E$7=TH!H3949,OR(N3949="331",O3949="331")),"x","")</f>
        <v/>
      </c>
      <c r="Q3949" s="79" t="str">
        <f>IF(AND(B3949='111'!$L$11,OR($N3949=$Q$7,$O3949=$Q$7)),"x","")</f>
        <v/>
      </c>
      <c r="R3949" s="79" t="str">
        <f>IF(AND($N3949=$Q$7,$B3949&lt;'111'!$L$11),"x","")</f>
        <v/>
      </c>
      <c r="S3949" s="79" t="str">
        <f>IF(AND($O3949=$Q$7,$B3949&lt;'111'!$L$11),"x","")</f>
        <v/>
      </c>
      <c r="T3949" s="79" t="str">
        <f>IF(ISERROR(FIND('112'!$M$9,G3949,1)),"",IF((AND(FIND('112'!$M$9,G3949,1)&gt;=1,B3949='112'!$K$9,OR($N3949='112'!$I$6,$O3949='112'!$I$6))),"x",""))</f>
        <v/>
      </c>
      <c r="U3949" s="79" t="str">
        <f>IF(ISERROR(FIND('112'!$M$9,G3949,1)),"",IF((AND(LEFT(G3949,2)=LEFT('112'!$M$9,2),B3949&lt;'112'!$K$9,$N3949='112'!$I$6)),"x",""))</f>
        <v/>
      </c>
      <c r="V3949" s="79" t="str">
        <f>IF(ISERROR(FIND('112'!$M$9,G3949,1)),"",IF((AND(RIGHT(G3949,2)=RIGHT('112'!$M$9,2),B3949&lt;'112'!$K$9,$O3949='112'!$I$6)),"x",""))</f>
        <v/>
      </c>
      <c r="W3949" s="79" t="str">
        <f>IF(AND('341-CT'!$H$9=H3949,OR(LEFT(N3949,3)=$W$7,LEFT(O3949,3)=$W$7)),"x","")</f>
        <v/>
      </c>
      <c r="X3949" s="79" t="str">
        <f>IF(OR(TH!N3949=TH!$X$7,O3949=TH!$X$7),"x","")</f>
        <v/>
      </c>
      <c r="Y3949" s="79" t="str">
        <f>IF(AND(OR(N3949="131",O3949="131"),H3949='131-CT'!$H$9),"x","")</f>
        <v/>
      </c>
      <c r="Z3949" s="79"/>
      <c r="AA3949" s="79" t="str">
        <f>IF(AND(MONTH(E3949)='IN-NX'!$J$5,'IN-NX'!$D$7=D3949),"x","")</f>
        <v/>
      </c>
      <c r="AB3949" s="79" t="str">
        <f>IF(AND(OR(LEFT(TH!N3949,2)="15",LEFT(TH!O3949,2)="15"),LEFT(TH!O3949,3)&lt;&gt;"111",'152-CT'!$J$8=TH!F3949),"x","")</f>
        <v/>
      </c>
      <c r="AC3949" s="79" t="str">
        <f>IF(AND(OR(LEFT(TH!N3949,2)="15",LEFT(TH!O3949,2)="15"),TK!$E$7=TH!F3949),"x","")</f>
        <v/>
      </c>
      <c r="AD3949" s="79" t="str">
        <f>IF(AND(N3949="1521",MONTH(C3949)='BK-NL'!$M$11),"x","")</f>
        <v/>
      </c>
    </row>
    <row r="3950" spans="1:30" ht="16.5" customHeight="1">
      <c r="A3950" s="318" t="str">
        <f>IF(B3950&lt;&gt;"",IF(AND(B3950='IN-TC'!$S$4,OR(TH!N3950="1111",TH!O3950="1111")),TH!D3950,""),"")</f>
        <v/>
      </c>
      <c r="B3950" s="60" t="str">
        <f t="shared" si="423"/>
        <v/>
      </c>
      <c r="C3950" s="75"/>
      <c r="D3950" s="75"/>
      <c r="E3950" s="75"/>
      <c r="F3950" s="77"/>
      <c r="G3950" s="76"/>
      <c r="H3950" s="305"/>
      <c r="I3950" s="77"/>
      <c r="J3950" s="390"/>
      <c r="K3950" s="383"/>
      <c r="L3950" s="390"/>
      <c r="M3950" s="978"/>
      <c r="N3950" s="79"/>
      <c r="O3950" s="79"/>
      <c r="P3950" s="79" t="str">
        <f>IF(AND('331-CT'!$E$7=TH!H3950,OR(N3950="331",O3950="331")),"x","")</f>
        <v/>
      </c>
      <c r="Q3950" s="79" t="str">
        <f>IF(AND(B3950='111'!$L$11,OR($N3950=$Q$7,$O3950=$Q$7)),"x","")</f>
        <v/>
      </c>
      <c r="R3950" s="79" t="str">
        <f>IF(AND($N3950=$Q$7,$B3950&lt;'111'!$L$11),"x","")</f>
        <v/>
      </c>
      <c r="S3950" s="79" t="str">
        <f>IF(AND($O3950=$Q$7,$B3950&lt;'111'!$L$11),"x","")</f>
        <v/>
      </c>
      <c r="T3950" s="79" t="str">
        <f>IF(ISERROR(FIND('112'!$M$9,G3950,1)),"",IF((AND(FIND('112'!$M$9,G3950,1)&gt;=1,B3950='112'!$K$9,OR($N3950='112'!$I$6,$O3950='112'!$I$6))),"x",""))</f>
        <v/>
      </c>
      <c r="U3950" s="79" t="str">
        <f>IF(ISERROR(FIND('112'!$M$9,G3950,1)),"",IF((AND(LEFT(G3950,2)=LEFT('112'!$M$9,2),B3950&lt;'112'!$K$9,$N3950='112'!$I$6)),"x",""))</f>
        <v/>
      </c>
      <c r="V3950" s="79" t="str">
        <f>IF(ISERROR(FIND('112'!$M$9,G3950,1)),"",IF((AND(RIGHT(G3950,2)=RIGHT('112'!$M$9,2),B3950&lt;'112'!$K$9,$O3950='112'!$I$6)),"x",""))</f>
        <v/>
      </c>
      <c r="W3950" s="79" t="str">
        <f>IF(AND('341-CT'!$H$9=H3950,OR(LEFT(N3950,3)=$W$7,LEFT(O3950,3)=$W$7)),"x","")</f>
        <v/>
      </c>
      <c r="X3950" s="79" t="str">
        <f>IF(OR(TH!N3950=TH!$X$7,O3950=TH!$X$7),"x","")</f>
        <v/>
      </c>
      <c r="Y3950" s="79" t="str">
        <f>IF(AND(OR(N3950="131",O3950="131"),H3950='131-CT'!$H$9),"x","")</f>
        <v/>
      </c>
      <c r="Z3950" s="79"/>
      <c r="AA3950" s="79" t="str">
        <f>IF(AND(MONTH(E3950)='IN-NX'!$J$5,'IN-NX'!$D$7=D3950),"x","")</f>
        <v/>
      </c>
      <c r="AB3950" s="79" t="str">
        <f>IF(AND(OR(LEFT(TH!N3950,2)="15",LEFT(TH!O3950,2)="15"),LEFT(TH!O3950,3)&lt;&gt;"111",'152-CT'!$J$8=TH!F3950),"x","")</f>
        <v/>
      </c>
      <c r="AC3950" s="79" t="str">
        <f>IF(AND(OR(LEFT(TH!N3950,2)="15",LEFT(TH!O3950,2)="15"),TK!$E$7=TH!F3950),"x","")</f>
        <v/>
      </c>
      <c r="AD3950" s="79" t="str">
        <f>IF(AND(N3950="1521",MONTH(C3950)='BK-NL'!$M$11),"x","")</f>
        <v/>
      </c>
    </row>
    <row r="3951" spans="1:30" ht="16.5" customHeight="1">
      <c r="A3951" s="318" t="str">
        <f>IF(B3951&lt;&gt;"",IF(AND(B3951='IN-TC'!$S$4,OR(TH!N3951="1111",TH!O3951="1111")),TH!D3951,""),"")</f>
        <v/>
      </c>
      <c r="B3951" s="60" t="str">
        <f t="shared" si="423"/>
        <v/>
      </c>
      <c r="C3951" s="75"/>
      <c r="D3951" s="75"/>
      <c r="E3951" s="75"/>
      <c r="F3951" s="77"/>
      <c r="G3951" s="76"/>
      <c r="H3951" s="305"/>
      <c r="I3951" s="77"/>
      <c r="J3951" s="390"/>
      <c r="K3951" s="383"/>
      <c r="L3951" s="390"/>
      <c r="M3951" s="78"/>
      <c r="N3951" s="79"/>
      <c r="O3951" s="979"/>
      <c r="P3951" s="79" t="str">
        <f>IF(AND('331-CT'!$E$7=TH!H3951,OR(N3951="331",O3951="331")),"x","")</f>
        <v/>
      </c>
      <c r="Q3951" s="79" t="str">
        <f>IF(AND(B3951='111'!$L$11,OR($N3951=$Q$7,$O3951=$Q$7)),"x","")</f>
        <v/>
      </c>
      <c r="R3951" s="79" t="str">
        <f>IF(AND($N3951=$Q$7,$B3951&lt;'111'!$L$11),"x","")</f>
        <v/>
      </c>
      <c r="S3951" s="79" t="str">
        <f>IF(AND($O3951=$Q$7,$B3951&lt;'111'!$L$11),"x","")</f>
        <v/>
      </c>
      <c r="T3951" s="79" t="str">
        <f>IF(ISERROR(FIND('112'!$M$9,G3951,1)),"",IF((AND(FIND('112'!$M$9,G3951,1)&gt;=1,B3951='112'!$K$9,OR($N3951='112'!$I$6,$O3951='112'!$I$6))),"x",""))</f>
        <v/>
      </c>
      <c r="U3951" s="79" t="str">
        <f>IF(ISERROR(FIND('112'!$M$9,G3951,1)),"",IF((AND(LEFT(G3951,2)=LEFT('112'!$M$9,2),B3951&lt;'112'!$K$9,$N3951='112'!$I$6)),"x",""))</f>
        <v/>
      </c>
      <c r="V3951" s="79" t="str">
        <f>IF(ISERROR(FIND('112'!$M$9,G3951,1)),"",IF((AND(RIGHT(G3951,2)=RIGHT('112'!$M$9,2),B3951&lt;'112'!$K$9,$O3951='112'!$I$6)),"x",""))</f>
        <v/>
      </c>
      <c r="W3951" s="79" t="str">
        <f>IF(AND('341-CT'!$H$9=H3951,OR(LEFT(N3951,3)=$W$7,LEFT(O3951,3)=$W$7)),"x","")</f>
        <v/>
      </c>
      <c r="X3951" s="79" t="str">
        <f>IF(OR(TH!N3951=TH!$X$7,O3951=TH!$X$7),"x","")</f>
        <v/>
      </c>
      <c r="Y3951" s="79" t="str">
        <f>IF(AND(OR(N3951="131",O3951="131"),H3951='131-CT'!$H$9),"x","")</f>
        <v/>
      </c>
      <c r="Z3951" s="79"/>
      <c r="AA3951" s="79" t="str">
        <f>IF(AND(MONTH(E3951)='IN-NX'!$J$5,'IN-NX'!$D$7=D3951),"x","")</f>
        <v/>
      </c>
      <c r="AB3951" s="79" t="str">
        <f>IF(AND(OR(LEFT(TH!N3951,2)="15",LEFT(TH!O3951,2)="15"),LEFT(TH!O3951,3)&lt;&gt;"111",'152-CT'!$J$8=TH!F3951),"x","")</f>
        <v/>
      </c>
      <c r="AC3951" s="79" t="str">
        <f>IF(AND(OR(LEFT(TH!N3951,2)="15",LEFT(TH!O3951,2)="15"),TK!$E$7=TH!F3951),"x","")</f>
        <v/>
      </c>
      <c r="AD3951" s="79" t="str">
        <f>IF(AND(N3951="1521",MONTH(C3951)='BK-NL'!$M$11),"x","")</f>
        <v/>
      </c>
    </row>
    <row r="3952" spans="1:30" ht="16.5" customHeight="1">
      <c r="A3952" s="318" t="str">
        <f>IF(B3952&lt;&gt;"",IF(AND(B3952='IN-TC'!$S$4,OR(TH!N3952="1111",TH!O3952="1111")),TH!D3952,""),"")</f>
        <v/>
      </c>
      <c r="B3952" s="60" t="str">
        <f t="shared" si="423"/>
        <v/>
      </c>
      <c r="C3952" s="75"/>
      <c r="D3952" s="75"/>
      <c r="E3952" s="75"/>
      <c r="F3952" s="76"/>
      <c r="G3952" s="76"/>
      <c r="H3952" s="77"/>
      <c r="I3952" s="77"/>
      <c r="J3952" s="391"/>
      <c r="K3952" s="383"/>
      <c r="L3952" s="390"/>
      <c r="M3952" s="978"/>
      <c r="N3952" s="79"/>
      <c r="O3952" s="979"/>
      <c r="P3952" s="79" t="str">
        <f>IF(AND('331-CT'!$E$7=TH!H3952,OR(N3952="331",O3952="331")),"x","")</f>
        <v/>
      </c>
      <c r="Q3952" s="79" t="str">
        <f>IF(AND(B3952='111'!$L$11,OR($N3952=$Q$7,$O3952=$Q$7)),"x","")</f>
        <v/>
      </c>
      <c r="R3952" s="79" t="str">
        <f>IF(AND($N3952=$Q$7,$B3952&lt;'111'!$L$11),"x","")</f>
        <v/>
      </c>
      <c r="S3952" s="79" t="str">
        <f>IF(AND($O3952=$Q$7,$B3952&lt;'111'!$L$11),"x","")</f>
        <v/>
      </c>
      <c r="T3952" s="79" t="str">
        <f>IF(ISERROR(FIND('112'!$M$9,G3952,1)),"",IF((AND(FIND('112'!$M$9,G3952,1)&gt;=1,B3952='112'!$K$9,OR($N3952='112'!$I$6,$O3952='112'!$I$6))),"x",""))</f>
        <v/>
      </c>
      <c r="U3952" s="79" t="str">
        <f>IF(ISERROR(FIND('112'!$M$9,G3952,1)),"",IF((AND(LEFT(G3952,2)=LEFT('112'!$M$9,2),B3952&lt;'112'!$K$9,$N3952='112'!$I$6)),"x",""))</f>
        <v/>
      </c>
      <c r="V3952" s="79" t="str">
        <f>IF(ISERROR(FIND('112'!$M$9,G3952,1)),"",IF((AND(RIGHT(G3952,2)=RIGHT('112'!$M$9,2),B3952&lt;'112'!$K$9,$O3952='112'!$I$6)),"x",""))</f>
        <v/>
      </c>
      <c r="W3952" s="79" t="str">
        <f>IF(AND('341-CT'!$H$9=H3952,OR(LEFT(N3952,3)=$W$7,LEFT(O3952,3)=$W$7)),"x","")</f>
        <v/>
      </c>
      <c r="X3952" s="79" t="str">
        <f>IF(OR(TH!N3952=TH!$X$7,O3952=TH!$X$7),"x","")</f>
        <v/>
      </c>
      <c r="Y3952" s="79" t="str">
        <f>IF(AND(OR(N3952="131",O3952="131"),H3952='131-CT'!$H$9),"x","")</f>
        <v/>
      </c>
      <c r="Z3952" s="79"/>
      <c r="AA3952" s="79" t="str">
        <f>IF(AND(MONTH(E3952)='IN-NX'!$J$5,'IN-NX'!$D$7=D3952),"x","")</f>
        <v/>
      </c>
      <c r="AB3952" s="79" t="str">
        <f>IF(AND(OR(LEFT(TH!N3952,2)="15",LEFT(TH!O3952,2)="15"),LEFT(TH!O3952,3)&lt;&gt;"111",'152-CT'!$J$8=TH!F3952),"x","")</f>
        <v/>
      </c>
      <c r="AC3952" s="79" t="str">
        <f>IF(AND(OR(LEFT(TH!N3952,2)="15",LEFT(TH!O3952,2)="15"),TK!$E$7=TH!F3952),"x","")</f>
        <v/>
      </c>
      <c r="AD3952" s="79" t="str">
        <f>IF(AND(N3952="1521",MONTH(C3952)='BK-NL'!$M$11),"x","")</f>
        <v/>
      </c>
    </row>
    <row r="3953" spans="1:30" ht="16.5" customHeight="1">
      <c r="A3953" s="318" t="str">
        <f>IF(B3953&lt;&gt;"",IF(AND(B3953='IN-TC'!$S$4,OR(TH!N3953="1111",TH!O3953="1111")),TH!D3953,""),"")</f>
        <v/>
      </c>
      <c r="B3953" s="60" t="str">
        <f t="shared" si="423"/>
        <v/>
      </c>
      <c r="C3953" s="75"/>
      <c r="D3953" s="75"/>
      <c r="E3953" s="75"/>
      <c r="F3953" s="76"/>
      <c r="G3953" s="76"/>
      <c r="H3953" s="77"/>
      <c r="I3953" s="77"/>
      <c r="J3953" s="1279"/>
      <c r="K3953" s="1247"/>
      <c r="L3953" s="1248"/>
      <c r="M3953" s="978"/>
      <c r="N3953" s="79"/>
      <c r="O3953" s="979"/>
      <c r="P3953" s="79" t="str">
        <f>IF(AND('331-CT'!$E$7=TH!H3953,OR(N3953="331",O3953="331")),"x","")</f>
        <v/>
      </c>
      <c r="Q3953" s="79" t="str">
        <f>IF(AND(B3953='111'!$L$11,OR($N3953=$Q$7,$O3953=$Q$7)),"x","")</f>
        <v/>
      </c>
      <c r="R3953" s="79" t="str">
        <f>IF(AND($N3953=$Q$7,$B3953&lt;'111'!$L$11),"x","")</f>
        <v/>
      </c>
      <c r="S3953" s="79" t="str">
        <f>IF(AND($O3953=$Q$7,$B3953&lt;'111'!$L$11),"x","")</f>
        <v/>
      </c>
      <c r="T3953" s="79" t="str">
        <f>IF(ISERROR(FIND('112'!$M$9,G3953,1)),"",IF((AND(FIND('112'!$M$9,G3953,1)&gt;=1,B3953='112'!$K$9,OR($N3953='112'!$I$6,$O3953='112'!$I$6))),"x",""))</f>
        <v/>
      </c>
      <c r="U3953" s="79" t="str">
        <f>IF(ISERROR(FIND('112'!$M$9,G3953,1)),"",IF((AND(LEFT(G3953,2)=LEFT('112'!$M$9,2),B3953&lt;'112'!$K$9,$N3953='112'!$I$6)),"x",""))</f>
        <v/>
      </c>
      <c r="V3953" s="79" t="str">
        <f>IF(ISERROR(FIND('112'!$M$9,G3953,1)),"",IF((AND(RIGHT(G3953,2)=RIGHT('112'!$M$9,2),B3953&lt;'112'!$K$9,$O3953='112'!$I$6)),"x",""))</f>
        <v/>
      </c>
      <c r="W3953" s="79" t="str">
        <f>IF(AND('341-CT'!$H$9=H3953,OR(LEFT(N3953,3)=$W$7,LEFT(O3953,3)=$W$7)),"x","")</f>
        <v/>
      </c>
      <c r="X3953" s="79" t="str">
        <f>IF(OR(TH!N3953=TH!$X$7,O3953=TH!$X$7),"x","")</f>
        <v/>
      </c>
      <c r="Y3953" s="79" t="str">
        <f>IF(AND(OR(N3953="131",O3953="131"),H3953='131-CT'!$H$9),"x","")</f>
        <v/>
      </c>
      <c r="Z3953" s="79"/>
      <c r="AA3953" s="79" t="str">
        <f>IF(AND(MONTH(E3953)='IN-NX'!$J$5,'IN-NX'!$D$7=D3953),"x","")</f>
        <v/>
      </c>
      <c r="AB3953" s="79" t="str">
        <f>IF(AND(OR(LEFT(TH!N3953,2)="15",LEFT(TH!O3953,2)="15"),LEFT(TH!O3953,3)&lt;&gt;"111",'152-CT'!$J$8=TH!F3953),"x","")</f>
        <v/>
      </c>
      <c r="AC3953" s="79" t="str">
        <f>IF(AND(OR(LEFT(TH!N3953,2)="15",LEFT(TH!O3953,2)="15"),TK!$E$7=TH!F3953),"x","")</f>
        <v/>
      </c>
      <c r="AD3953" s="79" t="str">
        <f>IF(AND(N3953="1521",MONTH(C3953)='BK-NL'!$M$11),"x","")</f>
        <v/>
      </c>
    </row>
    <row r="3954" spans="1:30" ht="16.5" customHeight="1">
      <c r="A3954" s="318" t="str">
        <f>IF(B3954&lt;&gt;"",IF(AND(B3954='IN-TC'!$S$4,OR(TH!N3954="1111",TH!O3954="1111")),TH!D3954,""),"")</f>
        <v/>
      </c>
      <c r="B3954" s="60" t="str">
        <f t="shared" si="423"/>
        <v/>
      </c>
      <c r="C3954" s="75"/>
      <c r="D3954" s="75"/>
      <c r="E3954" s="75"/>
      <c r="F3954" s="76"/>
      <c r="G3954" s="76"/>
      <c r="H3954" s="77"/>
      <c r="I3954" s="77"/>
      <c r="J3954" s="1279"/>
      <c r="K3954" s="1247"/>
      <c r="L3954" s="1248"/>
      <c r="M3954" s="978"/>
      <c r="N3954" s="79"/>
      <c r="O3954" s="979"/>
      <c r="P3954" s="79" t="str">
        <f>IF(AND('331-CT'!$E$7=TH!H3954,OR(N3954="331",O3954="331")),"x","")</f>
        <v/>
      </c>
      <c r="Q3954" s="79" t="str">
        <f>IF(AND(B3954='111'!$L$11,OR($N3954=$Q$7,$O3954=$Q$7)),"x","")</f>
        <v/>
      </c>
      <c r="R3954" s="79" t="str">
        <f>IF(AND($N3954=$Q$7,$B3954&lt;'111'!$L$11),"x","")</f>
        <v/>
      </c>
      <c r="S3954" s="79" t="str">
        <f>IF(AND($O3954=$Q$7,$B3954&lt;'111'!$L$11),"x","")</f>
        <v/>
      </c>
      <c r="T3954" s="79" t="str">
        <f>IF(ISERROR(FIND('112'!$M$9,G3954,1)),"",IF((AND(FIND('112'!$M$9,G3954,1)&gt;=1,B3954='112'!$K$9,OR($N3954='112'!$I$6,$O3954='112'!$I$6))),"x",""))</f>
        <v/>
      </c>
      <c r="U3954" s="79" t="str">
        <f>IF(ISERROR(FIND('112'!$M$9,G3954,1)),"",IF((AND(LEFT(G3954,2)=LEFT('112'!$M$9,2),B3954&lt;'112'!$K$9,$N3954='112'!$I$6)),"x",""))</f>
        <v/>
      </c>
      <c r="V3954" s="79" t="str">
        <f>IF(ISERROR(FIND('112'!$M$9,G3954,1)),"",IF((AND(RIGHT(G3954,2)=RIGHT('112'!$M$9,2),B3954&lt;'112'!$K$9,$O3954='112'!$I$6)),"x",""))</f>
        <v/>
      </c>
      <c r="W3954" s="79" t="str">
        <f>IF(AND('341-CT'!$H$9=H3954,OR(LEFT(N3954,3)=$W$7,LEFT(O3954,3)=$W$7)),"x","")</f>
        <v/>
      </c>
      <c r="X3954" s="79" t="str">
        <f>IF(OR(TH!N3954=TH!$X$7,O3954=TH!$X$7),"x","")</f>
        <v/>
      </c>
      <c r="Y3954" s="79" t="str">
        <f>IF(AND(OR(N3954="131",O3954="131"),H3954='131-CT'!$H$9),"x","")</f>
        <v/>
      </c>
      <c r="Z3954" s="79"/>
      <c r="AA3954" s="79" t="str">
        <f>IF(AND(MONTH(E3954)='IN-NX'!$J$5,'IN-NX'!$D$7=D3954),"x","")</f>
        <v/>
      </c>
      <c r="AB3954" s="79" t="str">
        <f>IF(AND(OR(LEFT(TH!N3954,2)="15",LEFT(TH!O3954,2)="15"),LEFT(TH!O3954,3)&lt;&gt;"111",'152-CT'!$J$8=TH!F3954),"x","")</f>
        <v/>
      </c>
      <c r="AC3954" s="79" t="str">
        <f>IF(AND(OR(LEFT(TH!N3954,2)="15",LEFT(TH!O3954,2)="15"),TK!$E$7=TH!F3954),"x","")</f>
        <v/>
      </c>
      <c r="AD3954" s="79" t="str">
        <f>IF(AND(N3954="1521",MONTH(C3954)='BK-NL'!$M$11),"x","")</f>
        <v/>
      </c>
    </row>
    <row r="3955" spans="1:30" ht="16.5" customHeight="1">
      <c r="A3955" s="318" t="str">
        <f>IF(B3955&lt;&gt;"",IF(AND(B3955='IN-TC'!$S$4,OR(TH!N3955="1111",TH!O3955="1111")),TH!D3955,""),"")</f>
        <v/>
      </c>
      <c r="B3955" s="60" t="str">
        <f t="shared" si="423"/>
        <v/>
      </c>
      <c r="C3955" s="75"/>
      <c r="D3955" s="75"/>
      <c r="E3955" s="75"/>
      <c r="F3955" s="1278"/>
      <c r="G3955" s="76"/>
      <c r="H3955" s="77"/>
      <c r="I3955" s="77"/>
      <c r="J3955" s="1279"/>
      <c r="K3955" s="1247"/>
      <c r="L3955" s="1248"/>
      <c r="M3955" s="78"/>
      <c r="N3955" s="79"/>
      <c r="O3955" s="79"/>
      <c r="P3955" s="79" t="str">
        <f>IF(AND('331-CT'!$E$7=TH!H3955,OR(N3955="331",O3955="331")),"x","")</f>
        <v/>
      </c>
      <c r="Q3955" s="79" t="str">
        <f>IF(AND(B3955='111'!$L$11,OR($N3955=$Q$7,$O3955=$Q$7)),"x","")</f>
        <v/>
      </c>
      <c r="R3955" s="79" t="str">
        <f>IF(AND($N3955=$Q$7,$B3955&lt;'111'!$L$11),"x","")</f>
        <v/>
      </c>
      <c r="S3955" s="79" t="str">
        <f>IF(AND($O3955=$Q$7,$B3955&lt;'111'!$L$11),"x","")</f>
        <v/>
      </c>
      <c r="T3955" s="79" t="str">
        <f>IF(ISERROR(FIND('112'!$M$9,G3955,1)),"",IF((AND(FIND('112'!$M$9,G3955,1)&gt;=1,B3955='112'!$K$9,OR($N3955='112'!$I$6,$O3955='112'!$I$6))),"x",""))</f>
        <v/>
      </c>
      <c r="U3955" s="79" t="str">
        <f>IF(ISERROR(FIND('112'!$M$9,G3955,1)),"",IF((AND(LEFT(G3955,2)=LEFT('112'!$M$9,2),B3955&lt;'112'!$K$9,$N3955='112'!$I$6)),"x",""))</f>
        <v/>
      </c>
      <c r="V3955" s="79" t="str">
        <f>IF(ISERROR(FIND('112'!$M$9,G3955,1)),"",IF((AND(RIGHT(G3955,2)=RIGHT('112'!$M$9,2),B3955&lt;'112'!$K$9,$O3955='112'!$I$6)),"x",""))</f>
        <v/>
      </c>
      <c r="W3955" s="79" t="str">
        <f>IF(AND('341-CT'!$H$9=H3955,OR(LEFT(N3955,3)=$W$7,LEFT(O3955,3)=$W$7)),"x","")</f>
        <v/>
      </c>
      <c r="X3955" s="79" t="str">
        <f>IF(OR(TH!N3955=TH!$X$7,O3955=TH!$X$7),"x","")</f>
        <v/>
      </c>
      <c r="Y3955" s="79" t="str">
        <f>IF(AND(OR(N3955="131",O3955="131"),H3955='131-CT'!$H$9),"x","")</f>
        <v/>
      </c>
      <c r="Z3955" s="79"/>
      <c r="AA3955" s="79" t="str">
        <f>IF(AND(MONTH(E3955)='IN-NX'!$J$5,'IN-NX'!$D$7=D3955),"x","")</f>
        <v/>
      </c>
      <c r="AB3955" s="79" t="str">
        <f>IF(AND(OR(LEFT(TH!N3955,2)="15",LEFT(TH!O3955,2)="15"),LEFT(TH!O3955,3)&lt;&gt;"111",'152-CT'!$J$8=TH!F3955),"x","")</f>
        <v/>
      </c>
      <c r="AC3955" s="79" t="str">
        <f>IF(AND(OR(LEFT(TH!N3955,2)="15",LEFT(TH!O3955,2)="15"),TK!$E$7=TH!F3955),"x","")</f>
        <v/>
      </c>
      <c r="AD3955" s="79" t="str">
        <f>IF(AND(N3955="1521",MONTH(C3955)='BK-NL'!$M$11),"x","")</f>
        <v/>
      </c>
    </row>
    <row r="3956" spans="1:30" ht="16.5" customHeight="1">
      <c r="A3956" s="318" t="str">
        <f>IF(B3956&lt;&gt;"",IF(AND(B3956='IN-TC'!$S$4,OR(TH!N3956="1111",TH!O3956="1111")),TH!D3956,""),"")</f>
        <v/>
      </c>
      <c r="B3956" s="60" t="str">
        <f t="shared" si="423"/>
        <v/>
      </c>
      <c r="C3956" s="75"/>
      <c r="D3956" s="75"/>
      <c r="E3956" s="75"/>
      <c r="F3956" s="77"/>
      <c r="G3956" s="76"/>
      <c r="H3956" s="77"/>
      <c r="I3956" s="77"/>
      <c r="J3956" s="390"/>
      <c r="K3956" s="383"/>
      <c r="L3956" s="390"/>
      <c r="M3956" s="978"/>
      <c r="N3956" s="79"/>
      <c r="O3956" s="979"/>
      <c r="P3956" s="79" t="str">
        <f>IF(AND('331-CT'!$E$7=TH!H3956,OR(N3956="331",O3956="331")),"x","")</f>
        <v/>
      </c>
      <c r="Q3956" s="79" t="str">
        <f>IF(AND(B3956='111'!$L$11,OR($N3956=$Q$7,$O3956=$Q$7)),"x","")</f>
        <v/>
      </c>
      <c r="R3956" s="79" t="str">
        <f>IF(AND($N3956=$Q$7,$B3956&lt;'111'!$L$11),"x","")</f>
        <v/>
      </c>
      <c r="S3956" s="79" t="str">
        <f>IF(AND($O3956=$Q$7,$B3956&lt;'111'!$L$11),"x","")</f>
        <v/>
      </c>
      <c r="T3956" s="79" t="str">
        <f>IF(ISERROR(FIND('112'!$M$9,G3956,1)),"",IF((AND(FIND('112'!$M$9,G3956,1)&gt;=1,B3956='112'!$K$9,OR($N3956='112'!$I$6,$O3956='112'!$I$6))),"x",""))</f>
        <v/>
      </c>
      <c r="U3956" s="79" t="str">
        <f>IF(ISERROR(FIND('112'!$M$9,G3956,1)),"",IF((AND(LEFT(G3956,2)=LEFT('112'!$M$9,2),B3956&lt;'112'!$K$9,$N3956='112'!$I$6)),"x",""))</f>
        <v/>
      </c>
      <c r="V3956" s="79" t="str">
        <f>IF(ISERROR(FIND('112'!$M$9,G3956,1)),"",IF((AND(RIGHT(G3956,2)=RIGHT('112'!$M$9,2),B3956&lt;'112'!$K$9,$O3956='112'!$I$6)),"x",""))</f>
        <v/>
      </c>
      <c r="W3956" s="79" t="str">
        <f>IF(AND('341-CT'!$H$9=H3956,OR(LEFT(N3956,3)=$W$7,LEFT(O3956,3)=$W$7)),"x","")</f>
        <v/>
      </c>
      <c r="X3956" s="79" t="str">
        <f>IF(OR(TH!N3956=TH!$X$7,O3956=TH!$X$7),"x","")</f>
        <v/>
      </c>
      <c r="Y3956" s="79" t="str">
        <f>IF(AND(OR(N3956="131",O3956="131"),H3956='131-CT'!$H$9),"x","")</f>
        <v/>
      </c>
      <c r="Z3956" s="79"/>
      <c r="AA3956" s="79" t="str">
        <f>IF(AND(MONTH(E3956)='IN-NX'!$J$5,'IN-NX'!$D$7=D3956),"x","")</f>
        <v/>
      </c>
      <c r="AB3956" s="79" t="str">
        <f>IF(AND(OR(LEFT(TH!N3956,2)="15",LEFT(TH!O3956,2)="15"),LEFT(TH!O3956,3)&lt;&gt;"111",'152-CT'!$J$8=TH!F3956),"x","")</f>
        <v/>
      </c>
      <c r="AC3956" s="79" t="str">
        <f>IF(AND(OR(LEFT(TH!N3956,2)="15",LEFT(TH!O3956,2)="15"),TK!$E$7=TH!F3956),"x","")</f>
        <v/>
      </c>
      <c r="AD3956" s="79" t="str">
        <f>IF(AND(N3956="1521",MONTH(C3956)='BK-NL'!$M$11),"x","")</f>
        <v/>
      </c>
    </row>
    <row r="3957" spans="1:30" ht="16.5" customHeight="1">
      <c r="A3957" s="318" t="str">
        <f>IF(B3957&lt;&gt;"",IF(AND(B3957='IN-TC'!$S$4,OR(TH!N3957="1111",TH!O3957="1111")),TH!D3957,""),"")</f>
        <v/>
      </c>
      <c r="B3957" s="60" t="str">
        <f t="shared" si="423"/>
        <v/>
      </c>
      <c r="C3957" s="75"/>
      <c r="D3957" s="75"/>
      <c r="E3957" s="75"/>
      <c r="F3957" s="76"/>
      <c r="G3957" s="76"/>
      <c r="H3957" s="77"/>
      <c r="I3957" s="77"/>
      <c r="J3957" s="391"/>
      <c r="K3957" s="383"/>
      <c r="L3957" s="390"/>
      <c r="M3957" s="978"/>
      <c r="N3957" s="79"/>
      <c r="O3957" s="79"/>
      <c r="P3957" s="79" t="str">
        <f>IF(AND('331-CT'!$E$7=TH!H3957,OR(N3957="331",O3957="331")),"x","")</f>
        <v/>
      </c>
      <c r="Q3957" s="79" t="str">
        <f>IF(AND(B3957='111'!$L$11,OR($N3957=$Q$7,$O3957=$Q$7)),"x","")</f>
        <v/>
      </c>
      <c r="R3957" s="79" t="str">
        <f>IF(AND($N3957=$Q$7,$B3957&lt;'111'!$L$11),"x","")</f>
        <v/>
      </c>
      <c r="S3957" s="79" t="str">
        <f>IF(AND($O3957=$Q$7,$B3957&lt;'111'!$L$11),"x","")</f>
        <v/>
      </c>
      <c r="T3957" s="79" t="str">
        <f>IF(ISERROR(FIND('112'!$M$9,G3957,1)),"",IF((AND(FIND('112'!$M$9,G3957,1)&gt;=1,B3957='112'!$K$9,OR($N3957='112'!$I$6,$O3957='112'!$I$6))),"x",""))</f>
        <v/>
      </c>
      <c r="U3957" s="79" t="str">
        <f>IF(ISERROR(FIND('112'!$M$9,G3957,1)),"",IF((AND(LEFT(G3957,2)=LEFT('112'!$M$9,2),B3957&lt;'112'!$K$9,$N3957='112'!$I$6)),"x",""))</f>
        <v/>
      </c>
      <c r="V3957" s="79" t="str">
        <f>IF(ISERROR(FIND('112'!$M$9,G3957,1)),"",IF((AND(RIGHT(G3957,2)=RIGHT('112'!$M$9,2),B3957&lt;'112'!$K$9,$O3957='112'!$I$6)),"x",""))</f>
        <v/>
      </c>
      <c r="W3957" s="79" t="str">
        <f>IF(AND('341-CT'!$H$9=H3957,OR(LEFT(N3957,3)=$W$7,LEFT(O3957,3)=$W$7)),"x","")</f>
        <v/>
      </c>
      <c r="X3957" s="79" t="str">
        <f>IF(OR(TH!N3957=TH!$X$7,O3957=TH!$X$7),"x","")</f>
        <v/>
      </c>
      <c r="Y3957" s="79" t="str">
        <f>IF(AND(OR(N3957="131",O3957="131"),H3957='131-CT'!$H$9),"x","")</f>
        <v/>
      </c>
      <c r="Z3957" s="79"/>
      <c r="AA3957" s="79" t="str">
        <f>IF(AND(MONTH(E3957)='IN-NX'!$J$5,'IN-NX'!$D$7=D3957),"x","")</f>
        <v/>
      </c>
      <c r="AB3957" s="79" t="str">
        <f>IF(AND(OR(LEFT(TH!N3957,2)="15",LEFT(TH!O3957,2)="15"),LEFT(TH!O3957,3)&lt;&gt;"111",'152-CT'!$J$8=TH!F3957),"x","")</f>
        <v/>
      </c>
      <c r="AC3957" s="79" t="str">
        <f>IF(AND(OR(LEFT(TH!N3957,2)="15",LEFT(TH!O3957,2)="15"),TK!$E$7=TH!F3957),"x","")</f>
        <v/>
      </c>
      <c r="AD3957" s="79" t="str">
        <f>IF(AND(N3957="1521",MONTH(C3957)='BK-NL'!$M$11),"x","")</f>
        <v/>
      </c>
    </row>
    <row r="3958" spans="1:30" ht="16.5" customHeight="1">
      <c r="A3958" s="318" t="str">
        <f>IF(B3958&lt;&gt;"",IF(AND(B3958='IN-TC'!$S$4,OR(TH!N3958="1111",TH!O3958="1111")),TH!D3958,""),"")</f>
        <v/>
      </c>
      <c r="B3958" s="60" t="str">
        <f t="shared" si="423"/>
        <v/>
      </c>
      <c r="C3958" s="75"/>
      <c r="D3958" s="75"/>
      <c r="E3958" s="75"/>
      <c r="F3958" s="1280"/>
      <c r="G3958" s="76"/>
      <c r="H3958" s="77"/>
      <c r="I3958" s="77"/>
      <c r="J3958" s="1253"/>
      <c r="K3958" s="1247"/>
      <c r="L3958" s="390"/>
      <c r="M3958" s="978"/>
      <c r="N3958" s="79"/>
      <c r="O3958" s="79"/>
      <c r="P3958" s="79" t="str">
        <f>IF(AND('331-CT'!$E$7=TH!H3958,OR(N3958="331",O3958="331")),"x","")</f>
        <v/>
      </c>
      <c r="Q3958" s="79" t="str">
        <f>IF(AND(B3958='111'!$L$11,OR($N3958=$Q$7,$O3958=$Q$7)),"x","")</f>
        <v/>
      </c>
      <c r="R3958" s="79" t="str">
        <f>IF(AND($N3958=$Q$7,$B3958&lt;'111'!$L$11),"x","")</f>
        <v/>
      </c>
      <c r="S3958" s="79" t="str">
        <f>IF(AND($O3958=$Q$7,$B3958&lt;'111'!$L$11),"x","")</f>
        <v/>
      </c>
      <c r="T3958" s="79" t="str">
        <f>IF(ISERROR(FIND('112'!$M$9,G3958,1)),"",IF((AND(FIND('112'!$M$9,G3958,1)&gt;=1,B3958='112'!$K$9,OR($N3958='112'!$I$6,$O3958='112'!$I$6))),"x",""))</f>
        <v/>
      </c>
      <c r="U3958" s="79" t="str">
        <f>IF(ISERROR(FIND('112'!$M$9,G3958,1)),"",IF((AND(LEFT(G3958,2)=LEFT('112'!$M$9,2),B3958&lt;'112'!$K$9,$N3958='112'!$I$6)),"x",""))</f>
        <v/>
      </c>
      <c r="V3958" s="79" t="str">
        <f>IF(ISERROR(FIND('112'!$M$9,G3958,1)),"",IF((AND(RIGHT(G3958,2)=RIGHT('112'!$M$9,2),B3958&lt;'112'!$K$9,$O3958='112'!$I$6)),"x",""))</f>
        <v/>
      </c>
      <c r="W3958" s="79" t="str">
        <f>IF(AND('341-CT'!$H$9=H3958,OR(LEFT(N3958,3)=$W$7,LEFT(O3958,3)=$W$7)),"x","")</f>
        <v/>
      </c>
      <c r="X3958" s="79" t="str">
        <f>IF(OR(TH!N3958=TH!$X$7,O3958=TH!$X$7),"x","")</f>
        <v/>
      </c>
      <c r="Y3958" s="79" t="str">
        <f>IF(AND(OR(N3958="131",O3958="131"),H3958='131-CT'!$H$9),"x","")</f>
        <v/>
      </c>
      <c r="Z3958" s="79"/>
      <c r="AA3958" s="79" t="str">
        <f>IF(AND(MONTH(E3958)='IN-NX'!$J$5,'IN-NX'!$D$7=D3958),"x","")</f>
        <v/>
      </c>
      <c r="AB3958" s="79" t="str">
        <f>IF(AND(OR(LEFT(TH!N3958,2)="15",LEFT(TH!O3958,2)="15"),LEFT(TH!O3958,3)&lt;&gt;"111",'152-CT'!$J$8=TH!F3958),"x","")</f>
        <v/>
      </c>
      <c r="AC3958" s="79" t="str">
        <f>IF(AND(OR(LEFT(TH!N3958,2)="15",LEFT(TH!O3958,2)="15"),TK!$E$7=TH!F3958),"x","")</f>
        <v/>
      </c>
      <c r="AD3958" s="79" t="str">
        <f>IF(AND(N3958="1521",MONTH(C3958)='BK-NL'!$M$11),"x","")</f>
        <v/>
      </c>
    </row>
    <row r="3959" spans="1:30" ht="16.5" customHeight="1">
      <c r="A3959" s="318" t="str">
        <f>IF(B3959&lt;&gt;"",IF(AND(B3959='IN-TC'!$S$4,OR(TH!N3959="1111",TH!O3959="1111")),TH!D3959,""),"")</f>
        <v/>
      </c>
      <c r="B3959" s="60" t="str">
        <f t="shared" ref="B3959" si="427">IF(C3959&lt;&gt;"",MONTH(C3959),"")</f>
        <v/>
      </c>
      <c r="C3959" s="75"/>
      <c r="D3959" s="75"/>
      <c r="E3959" s="75"/>
      <c r="F3959" s="1280"/>
      <c r="G3959" s="76"/>
      <c r="H3959" s="77"/>
      <c r="I3959" s="77"/>
      <c r="J3959" s="1253"/>
      <c r="K3959" s="1247"/>
      <c r="L3959" s="390"/>
      <c r="M3959" s="978"/>
      <c r="N3959" s="79"/>
      <c r="O3959" s="79"/>
      <c r="P3959" s="79" t="str">
        <f>IF(AND('331-CT'!$E$7=TH!H3959,OR(N3959="331",O3959="331")),"x","")</f>
        <v/>
      </c>
      <c r="Q3959" s="79" t="str">
        <f>IF(AND(B3959='111'!$L$11,OR($N3959=$Q$7,$O3959=$Q$7)),"x","")</f>
        <v/>
      </c>
      <c r="R3959" s="79" t="str">
        <f>IF(AND($N3959=$Q$7,$B3959&lt;'111'!$L$11),"x","")</f>
        <v/>
      </c>
      <c r="S3959" s="79" t="str">
        <f>IF(AND($O3959=$Q$7,$B3959&lt;'111'!$L$11),"x","")</f>
        <v/>
      </c>
      <c r="T3959" s="79" t="str">
        <f>IF(ISERROR(FIND('112'!$M$9,G3959,1)),"",IF((AND(FIND('112'!$M$9,G3959,1)&gt;=1,B3959='112'!$K$9,OR($N3959='112'!$I$6,$O3959='112'!$I$6))),"x",""))</f>
        <v/>
      </c>
      <c r="U3959" s="79" t="str">
        <f>IF(ISERROR(FIND('112'!$M$9,G3959,1)),"",IF((AND(LEFT(G3959,2)=LEFT('112'!$M$9,2),B3959&lt;'112'!$K$9,$N3959='112'!$I$6)),"x",""))</f>
        <v/>
      </c>
      <c r="V3959" s="79" t="str">
        <f>IF(ISERROR(FIND('112'!$M$9,G3959,1)),"",IF((AND(RIGHT(G3959,2)=RIGHT('112'!$M$9,2),B3959&lt;'112'!$K$9,$O3959='112'!$I$6)),"x",""))</f>
        <v/>
      </c>
      <c r="W3959" s="79" t="str">
        <f>IF(AND('341-CT'!$H$9=H3959,OR(LEFT(N3959,3)=$W$7,LEFT(O3959,3)=$W$7)),"x","")</f>
        <v/>
      </c>
      <c r="X3959" s="79" t="str">
        <f>IF(OR(TH!N3959=TH!$X$7,O3959=TH!$X$7),"x","")</f>
        <v/>
      </c>
      <c r="Y3959" s="79" t="str">
        <f>IF(AND(OR(N3959="131",O3959="131"),H3959='131-CT'!$H$9),"x","")</f>
        <v/>
      </c>
      <c r="Z3959" s="79"/>
      <c r="AA3959" s="79" t="str">
        <f>IF(AND(MONTH(E3959)='IN-NX'!$J$5,'IN-NX'!$D$7=D3959),"x","")</f>
        <v/>
      </c>
      <c r="AB3959" s="79" t="str">
        <f>IF(AND(OR(LEFT(TH!N3959,2)="15",LEFT(TH!O3959,2)="15"),LEFT(TH!O3959,3)&lt;&gt;"111",'152-CT'!$J$8=TH!F3959),"x","")</f>
        <v/>
      </c>
      <c r="AC3959" s="79" t="str">
        <f>IF(AND(OR(LEFT(TH!N3959,2)="15",LEFT(TH!O3959,2)="15"),TK!$E$7=TH!F3959),"x","")</f>
        <v/>
      </c>
      <c r="AD3959" s="79" t="str">
        <f>IF(AND(N3959="1521",MONTH(C3959)='BK-NL'!$M$11),"x","")</f>
        <v/>
      </c>
    </row>
    <row r="3960" spans="1:30" ht="16.5" customHeight="1">
      <c r="A3960" s="318" t="str">
        <f>IF(B3960&lt;&gt;"",IF(AND(B3960='IN-TC'!$S$4,OR(TH!N3960="1111",TH!O3960="1111")),TH!D3960,""),"")</f>
        <v/>
      </c>
      <c r="B3960" s="60" t="str">
        <f t="shared" si="423"/>
        <v/>
      </c>
      <c r="C3960" s="75"/>
      <c r="D3960" s="75"/>
      <c r="E3960" s="75"/>
      <c r="F3960" s="76"/>
      <c r="G3960" s="76"/>
      <c r="H3960" s="77"/>
      <c r="I3960" s="77"/>
      <c r="J3960" s="391"/>
      <c r="K3960" s="383"/>
      <c r="L3960" s="390"/>
      <c r="M3960" s="978"/>
      <c r="N3960" s="79"/>
      <c r="O3960" s="979"/>
      <c r="P3960" s="79" t="str">
        <f>IF(AND('331-CT'!$E$7=TH!H3960,OR(N3960="331",O3960="331")),"x","")</f>
        <v/>
      </c>
      <c r="Q3960" s="79" t="str">
        <f>IF(AND(B3960='111'!$L$11,OR($N3960=$Q$7,$O3960=$Q$7)),"x","")</f>
        <v/>
      </c>
      <c r="R3960" s="79" t="str">
        <f>IF(AND($N3960=$Q$7,$B3960&lt;'111'!$L$11),"x","")</f>
        <v/>
      </c>
      <c r="S3960" s="79" t="str">
        <f>IF(AND($O3960=$Q$7,$B3960&lt;'111'!$L$11),"x","")</f>
        <v/>
      </c>
      <c r="T3960" s="79" t="str">
        <f>IF(ISERROR(FIND('112'!$M$9,G3960,1)),"",IF((AND(FIND('112'!$M$9,G3960,1)&gt;=1,B3960='112'!$K$9,OR($N3960='112'!$I$6,$O3960='112'!$I$6))),"x",""))</f>
        <v/>
      </c>
      <c r="U3960" s="79" t="str">
        <f>IF(ISERROR(FIND('112'!$M$9,G3960,1)),"",IF((AND(LEFT(G3960,2)=LEFT('112'!$M$9,2),B3960&lt;'112'!$K$9,$N3960='112'!$I$6)),"x",""))</f>
        <v/>
      </c>
      <c r="V3960" s="79" t="str">
        <f>IF(ISERROR(FIND('112'!$M$9,G3960,1)),"",IF((AND(RIGHT(G3960,2)=RIGHT('112'!$M$9,2),B3960&lt;'112'!$K$9,$O3960='112'!$I$6)),"x",""))</f>
        <v/>
      </c>
      <c r="W3960" s="79" t="str">
        <f>IF(AND('341-CT'!$H$9=H3960,OR(LEFT(N3960,3)=$W$7,LEFT(O3960,3)=$W$7)),"x","")</f>
        <v/>
      </c>
      <c r="X3960" s="79" t="str">
        <f>IF(OR(TH!N3960=TH!$X$7,O3960=TH!$X$7),"x","")</f>
        <v/>
      </c>
      <c r="Y3960" s="79" t="str">
        <f>IF(AND(OR(N3960="131",O3960="131"),H3960='131-CT'!$H$9),"x","")</f>
        <v/>
      </c>
      <c r="Z3960" s="79"/>
      <c r="AA3960" s="79" t="str">
        <f>IF(AND(MONTH(E3960)='IN-NX'!$J$5,'IN-NX'!$D$7=D3960),"x","")</f>
        <v/>
      </c>
      <c r="AB3960" s="79" t="str">
        <f>IF(AND(OR(LEFT(TH!N3960,2)="15",LEFT(TH!O3960,2)="15"),LEFT(TH!O3960,3)&lt;&gt;"111",'152-CT'!$J$8=TH!F3960),"x","")</f>
        <v/>
      </c>
      <c r="AC3960" s="79" t="str">
        <f>IF(AND(OR(LEFT(TH!N3960,2)="15",LEFT(TH!O3960,2)="15"),TK!$E$7=TH!F3960),"x","")</f>
        <v/>
      </c>
      <c r="AD3960" s="79" t="str">
        <f>IF(AND(N3960="1521",MONTH(C3960)='BK-NL'!$M$11),"x","")</f>
        <v/>
      </c>
    </row>
    <row r="3961" spans="1:30" ht="16.5" customHeight="1">
      <c r="A3961" s="318" t="str">
        <f>IF(B3961&lt;&gt;"",IF(AND(B3961='IN-TC'!$S$4,OR(TH!N3961="1111",TH!O3961="1111")),TH!D3961,""),"")</f>
        <v/>
      </c>
      <c r="B3961" s="60" t="str">
        <f t="shared" si="423"/>
        <v/>
      </c>
      <c r="C3961" s="75"/>
      <c r="D3961" s="75"/>
      <c r="E3961" s="75"/>
      <c r="F3961" s="76"/>
      <c r="G3961" s="76"/>
      <c r="H3961" s="77"/>
      <c r="I3961" s="77"/>
      <c r="J3961" s="391"/>
      <c r="K3961" s="383"/>
      <c r="L3961" s="390"/>
      <c r="M3961" s="978"/>
      <c r="N3961" s="79"/>
      <c r="O3961" s="979"/>
      <c r="P3961" s="79" t="str">
        <f>IF(AND('331-CT'!$E$7=TH!H3961,OR(N3961="331",O3961="331")),"x","")</f>
        <v/>
      </c>
      <c r="Q3961" s="79" t="str">
        <f>IF(AND(B3961='111'!$L$11,OR($N3961=$Q$7,$O3961=$Q$7)),"x","")</f>
        <v/>
      </c>
      <c r="R3961" s="79" t="str">
        <f>IF(AND($N3961=$Q$7,$B3961&lt;'111'!$L$11),"x","")</f>
        <v/>
      </c>
      <c r="S3961" s="79" t="str">
        <f>IF(AND($O3961=$Q$7,$B3961&lt;'111'!$L$11),"x","")</f>
        <v/>
      </c>
      <c r="T3961" s="79" t="str">
        <f>IF(ISERROR(FIND('112'!$M$9,G3961,1)),"",IF((AND(FIND('112'!$M$9,G3961,1)&gt;=1,B3961='112'!$K$9,OR($N3961='112'!$I$6,$O3961='112'!$I$6))),"x",""))</f>
        <v/>
      </c>
      <c r="U3961" s="79" t="str">
        <f>IF(ISERROR(FIND('112'!$M$9,G3961,1)),"",IF((AND(LEFT(G3961,2)=LEFT('112'!$M$9,2),B3961&lt;'112'!$K$9,$N3961='112'!$I$6)),"x",""))</f>
        <v/>
      </c>
      <c r="V3961" s="79" t="str">
        <f>IF(ISERROR(FIND('112'!$M$9,G3961,1)),"",IF((AND(RIGHT(G3961,2)=RIGHT('112'!$M$9,2),B3961&lt;'112'!$K$9,$O3961='112'!$I$6)),"x",""))</f>
        <v/>
      </c>
      <c r="W3961" s="79" t="str">
        <f>IF(AND('341-CT'!$H$9=H3961,OR(LEFT(N3961,3)=$W$7,LEFT(O3961,3)=$W$7)),"x","")</f>
        <v/>
      </c>
      <c r="X3961" s="79" t="str">
        <f>IF(OR(TH!N3961=TH!$X$7,O3961=TH!$X$7),"x","")</f>
        <v/>
      </c>
      <c r="Y3961" s="79" t="str">
        <f>IF(AND(OR(N3961="131",O3961="131"),H3961='131-CT'!$H$9),"x","")</f>
        <v/>
      </c>
      <c r="Z3961" s="79"/>
      <c r="AA3961" s="79" t="str">
        <f>IF(AND(MONTH(E3961)='IN-NX'!$J$5,'IN-NX'!$D$7=D3961),"x","")</f>
        <v/>
      </c>
      <c r="AB3961" s="79" t="str">
        <f>IF(AND(OR(LEFT(TH!N3961,2)="15",LEFT(TH!O3961,2)="15"),LEFT(TH!O3961,3)&lt;&gt;"111",'152-CT'!$J$8=TH!F3961),"x","")</f>
        <v/>
      </c>
      <c r="AC3961" s="79" t="str">
        <f>IF(AND(OR(LEFT(TH!N3961,2)="15",LEFT(TH!O3961,2)="15"),TK!$E$7=TH!F3961),"x","")</f>
        <v/>
      </c>
      <c r="AD3961" s="79" t="str">
        <f>IF(AND(N3961="1521",MONTH(C3961)='BK-NL'!$M$11),"x","")</f>
        <v/>
      </c>
    </row>
    <row r="3962" spans="1:30" ht="16.5" customHeight="1">
      <c r="A3962" s="318" t="str">
        <f>IF(B3962&lt;&gt;"",IF(AND(B3962='IN-TC'!$S$4,OR(TH!N3962="1111",TH!O3962="1111")),TH!D3962,""),"")</f>
        <v/>
      </c>
      <c r="B3962" s="60" t="str">
        <f t="shared" si="423"/>
        <v/>
      </c>
      <c r="C3962" s="75"/>
      <c r="D3962" s="75"/>
      <c r="E3962" s="75"/>
      <c r="F3962" s="76"/>
      <c r="G3962" s="76"/>
      <c r="H3962" s="759"/>
      <c r="I3962" s="77"/>
      <c r="J3962" s="391"/>
      <c r="K3962" s="383"/>
      <c r="L3962" s="390"/>
      <c r="M3962" s="978"/>
      <c r="N3962" s="79"/>
      <c r="O3962" s="79"/>
      <c r="P3962" s="79" t="str">
        <f>IF(AND('331-CT'!$E$7=TH!H3962,OR(N3962="331",O3962="331")),"x","")</f>
        <v/>
      </c>
      <c r="Q3962" s="79" t="str">
        <f>IF(AND(B3962='111'!$L$11,OR($N3962=$Q$7,$O3962=$Q$7)),"x","")</f>
        <v/>
      </c>
      <c r="R3962" s="79" t="str">
        <f>IF(AND($N3962=$Q$7,$B3962&lt;'111'!$L$11),"x","")</f>
        <v/>
      </c>
      <c r="S3962" s="79" t="str">
        <f>IF(AND($O3962=$Q$7,$B3962&lt;'111'!$L$11),"x","")</f>
        <v/>
      </c>
      <c r="T3962" s="79" t="str">
        <f>IF(ISERROR(FIND('112'!$M$9,G3962,1)),"",IF((AND(FIND('112'!$M$9,G3962,1)&gt;=1,B3962='112'!$K$9,OR($N3962='112'!$I$6,$O3962='112'!$I$6))),"x",""))</f>
        <v/>
      </c>
      <c r="U3962" s="79" t="str">
        <f>IF(ISERROR(FIND('112'!$M$9,G3962,1)),"",IF((AND(LEFT(G3962,2)=LEFT('112'!$M$9,2),B3962&lt;'112'!$K$9,$N3962='112'!$I$6)),"x",""))</f>
        <v/>
      </c>
      <c r="V3962" s="79" t="str">
        <f>IF(ISERROR(FIND('112'!$M$9,G3962,1)),"",IF((AND(RIGHT(G3962,2)=RIGHT('112'!$M$9,2),B3962&lt;'112'!$K$9,$O3962='112'!$I$6)),"x",""))</f>
        <v/>
      </c>
      <c r="W3962" s="79" t="str">
        <f>IF(AND('341-CT'!$H$9=H3962,OR(LEFT(N3962,3)=$W$7,LEFT(O3962,3)=$W$7)),"x","")</f>
        <v/>
      </c>
      <c r="X3962" s="79" t="str">
        <f>IF(OR(TH!N3962=TH!$X$7,O3962=TH!$X$7),"x","")</f>
        <v/>
      </c>
      <c r="Y3962" s="79" t="str">
        <f>IF(AND(OR(N3962="131",O3962="131"),H3962='131-CT'!$H$9),"x","")</f>
        <v/>
      </c>
      <c r="Z3962" s="79"/>
      <c r="AA3962" s="79" t="str">
        <f>IF(AND(MONTH(E3962)='IN-NX'!$J$5,'IN-NX'!$D$7=D3962),"x","")</f>
        <v/>
      </c>
      <c r="AB3962" s="79" t="str">
        <f>IF(AND(OR(LEFT(TH!N3962,2)="15",LEFT(TH!O3962,2)="15"),LEFT(TH!O3962,3)&lt;&gt;"111",'152-CT'!$J$8=TH!F3962),"x","")</f>
        <v/>
      </c>
      <c r="AC3962" s="79" t="str">
        <f>IF(AND(OR(LEFT(TH!N3962,2)="15",LEFT(TH!O3962,2)="15"),TK!$E$7=TH!F3962),"x","")</f>
        <v/>
      </c>
      <c r="AD3962" s="79" t="str">
        <f>IF(AND(N3962="1521",MONTH(C3962)='BK-NL'!$M$11),"x","")</f>
        <v/>
      </c>
    </row>
    <row r="3963" spans="1:30" ht="16.5" customHeight="1">
      <c r="A3963" s="318" t="str">
        <f>IF(B3963&lt;&gt;"",IF(AND(B3963='IN-TC'!$S$4,OR(TH!N3963="1111",TH!O3963="1111")),TH!D3963,""),"")</f>
        <v/>
      </c>
      <c r="B3963" s="60" t="str">
        <f t="shared" si="423"/>
        <v/>
      </c>
      <c r="C3963" s="75"/>
      <c r="D3963" s="75"/>
      <c r="E3963" s="75"/>
      <c r="F3963" s="76"/>
      <c r="G3963" s="76"/>
      <c r="H3963" s="759"/>
      <c r="I3963" s="77"/>
      <c r="J3963" s="391"/>
      <c r="K3963" s="383"/>
      <c r="L3963" s="390"/>
      <c r="M3963" s="978"/>
      <c r="N3963" s="79"/>
      <c r="O3963" s="79"/>
      <c r="P3963" s="79" t="str">
        <f>IF(AND('331-CT'!$E$7=TH!H3963,OR(N3963="331",O3963="331")),"x","")</f>
        <v/>
      </c>
      <c r="Q3963" s="79" t="str">
        <f>IF(AND(B3963='111'!$L$11,OR($N3963=$Q$7,$O3963=$Q$7)),"x","")</f>
        <v/>
      </c>
      <c r="R3963" s="79" t="str">
        <f>IF(AND($N3963=$Q$7,$B3963&lt;'111'!$L$11),"x","")</f>
        <v/>
      </c>
      <c r="S3963" s="79" t="str">
        <f>IF(AND($O3963=$Q$7,$B3963&lt;'111'!$L$11),"x","")</f>
        <v/>
      </c>
      <c r="T3963" s="79" t="str">
        <f>IF(ISERROR(FIND('112'!$M$9,G3963,1)),"",IF((AND(FIND('112'!$M$9,G3963,1)&gt;=1,B3963='112'!$K$9,OR($N3963='112'!$I$6,$O3963='112'!$I$6))),"x",""))</f>
        <v/>
      </c>
      <c r="U3963" s="79" t="str">
        <f>IF(ISERROR(FIND('112'!$M$9,G3963,1)),"",IF((AND(LEFT(G3963,2)=LEFT('112'!$M$9,2),B3963&lt;'112'!$K$9,$N3963='112'!$I$6)),"x",""))</f>
        <v/>
      </c>
      <c r="V3963" s="79" t="str">
        <f>IF(ISERROR(FIND('112'!$M$9,G3963,1)),"",IF((AND(RIGHT(G3963,2)=RIGHT('112'!$M$9,2),B3963&lt;'112'!$K$9,$O3963='112'!$I$6)),"x",""))</f>
        <v/>
      </c>
      <c r="W3963" s="79" t="str">
        <f>IF(AND('341-CT'!$H$9=H3963,OR(LEFT(N3963,3)=$W$7,LEFT(O3963,3)=$W$7)),"x","")</f>
        <v/>
      </c>
      <c r="X3963" s="79" t="str">
        <f>IF(OR(TH!N3963=TH!$X$7,O3963=TH!$X$7),"x","")</f>
        <v/>
      </c>
      <c r="Y3963" s="79" t="str">
        <f>IF(AND(OR(N3963="131",O3963="131"),H3963='131-CT'!$H$9),"x","")</f>
        <v/>
      </c>
      <c r="Z3963" s="79"/>
      <c r="AA3963" s="79" t="str">
        <f>IF(AND(MONTH(E3963)='IN-NX'!$J$5,'IN-NX'!$D$7=D3963),"x","")</f>
        <v/>
      </c>
      <c r="AB3963" s="79" t="str">
        <f>IF(AND(OR(LEFT(TH!N3963,2)="15",LEFT(TH!O3963,2)="15"),LEFT(TH!O3963,3)&lt;&gt;"111",'152-CT'!$J$8=TH!F3963),"x","")</f>
        <v/>
      </c>
      <c r="AC3963" s="79" t="str">
        <f>IF(AND(OR(LEFT(TH!N3963,2)="15",LEFT(TH!O3963,2)="15"),TK!$E$7=TH!F3963),"x","")</f>
        <v/>
      </c>
      <c r="AD3963" s="79" t="str">
        <f>IF(AND(N3963="1521",MONTH(C3963)='BK-NL'!$M$11),"x","")</f>
        <v/>
      </c>
    </row>
    <row r="3964" spans="1:30" ht="16.5" customHeight="1">
      <c r="A3964" s="318" t="str">
        <f>IF(B3964&lt;&gt;"",IF(AND(B3964='IN-TC'!$S$4,OR(TH!N3964="1111",TH!O3964="1111")),TH!D3964,""),"")</f>
        <v/>
      </c>
      <c r="B3964" s="60" t="str">
        <f t="shared" si="423"/>
        <v/>
      </c>
      <c r="C3964" s="75"/>
      <c r="D3964" s="75"/>
      <c r="E3964" s="75"/>
      <c r="F3964" s="76"/>
      <c r="G3964" s="76"/>
      <c r="H3964" s="759"/>
      <c r="I3964" s="77"/>
      <c r="J3964" s="391"/>
      <c r="K3964" s="383"/>
      <c r="L3964" s="390"/>
      <c r="M3964" s="78"/>
      <c r="N3964" s="79"/>
      <c r="O3964" s="79"/>
      <c r="P3964" s="79" t="str">
        <f>IF(AND('331-CT'!$E$7=TH!H3964,OR(N3964="331",O3964="331")),"x","")</f>
        <v/>
      </c>
      <c r="Q3964" s="79" t="str">
        <f>IF(AND(B3964='111'!$L$11,OR($N3964=$Q$7,$O3964=$Q$7)),"x","")</f>
        <v/>
      </c>
      <c r="R3964" s="79" t="str">
        <f>IF(AND($N3964=$Q$7,$B3964&lt;'111'!$L$11),"x","")</f>
        <v/>
      </c>
      <c r="S3964" s="79" t="str">
        <f>IF(AND($O3964=$Q$7,$B3964&lt;'111'!$L$11),"x","")</f>
        <v/>
      </c>
      <c r="T3964" s="79" t="str">
        <f>IF(ISERROR(FIND('112'!$M$9,G3964,1)),"",IF((AND(FIND('112'!$M$9,G3964,1)&gt;=1,B3964='112'!$K$9,OR($N3964='112'!$I$6,$O3964='112'!$I$6))),"x",""))</f>
        <v/>
      </c>
      <c r="U3964" s="79" t="str">
        <f>IF(ISERROR(FIND('112'!$M$9,G3964,1)),"",IF((AND(LEFT(G3964,2)=LEFT('112'!$M$9,2),B3964&lt;'112'!$K$9,$N3964='112'!$I$6)),"x",""))</f>
        <v/>
      </c>
      <c r="V3964" s="79" t="str">
        <f>IF(ISERROR(FIND('112'!$M$9,G3964,1)),"",IF((AND(RIGHT(G3964,2)=RIGHT('112'!$M$9,2),B3964&lt;'112'!$K$9,$O3964='112'!$I$6)),"x",""))</f>
        <v/>
      </c>
      <c r="W3964" s="79" t="str">
        <f>IF(AND('341-CT'!$H$9=H3964,OR(LEFT(N3964,3)=$W$7,LEFT(O3964,3)=$W$7)),"x","")</f>
        <v/>
      </c>
      <c r="X3964" s="79" t="str">
        <f>IF(OR(TH!N3964=TH!$X$7,O3964=TH!$X$7),"x","")</f>
        <v/>
      </c>
      <c r="Y3964" s="79" t="str">
        <f>IF(AND(OR(N3964="131",O3964="131"),H3964='131-CT'!$H$9),"x","")</f>
        <v/>
      </c>
      <c r="Z3964" s="79"/>
      <c r="AA3964" s="79" t="str">
        <f>IF(AND(MONTH(E3964)='IN-NX'!$J$5,'IN-NX'!$D$7=D3964),"x","")</f>
        <v/>
      </c>
      <c r="AB3964" s="79" t="str">
        <f>IF(AND(OR(LEFT(TH!N3964,2)="15",LEFT(TH!O3964,2)="15"),LEFT(TH!O3964,3)&lt;&gt;"111",'152-CT'!$J$8=TH!F3964),"x","")</f>
        <v/>
      </c>
      <c r="AC3964" s="79" t="str">
        <f>IF(AND(OR(LEFT(TH!N3964,2)="15",LEFT(TH!O3964,2)="15"),TK!$E$7=TH!F3964),"x","")</f>
        <v/>
      </c>
      <c r="AD3964" s="79" t="str">
        <f>IF(AND(N3964="1521",MONTH(C3964)='BK-NL'!$M$11),"x","")</f>
        <v/>
      </c>
    </row>
    <row r="3965" spans="1:30" ht="16.5" customHeight="1">
      <c r="A3965" s="318" t="str">
        <f>IF(B3965&lt;&gt;"",IF(AND(B3965='IN-TC'!$S$4,OR(TH!N3965="1111",TH!O3965="1111")),TH!D3965,""),"")</f>
        <v/>
      </c>
      <c r="B3965" s="60" t="str">
        <f t="shared" si="423"/>
        <v/>
      </c>
      <c r="C3965" s="75"/>
      <c r="D3965" s="75"/>
      <c r="E3965" s="75"/>
      <c r="F3965" s="76"/>
      <c r="G3965" s="76"/>
      <c r="H3965" s="77"/>
      <c r="I3965" s="77"/>
      <c r="J3965" s="391"/>
      <c r="K3965" s="383"/>
      <c r="L3965" s="390"/>
      <c r="M3965" s="978"/>
      <c r="N3965" s="79"/>
      <c r="O3965" s="979"/>
      <c r="P3965" s="79" t="str">
        <f>IF(AND('331-CT'!$E$7=TH!H3965,OR(N3965="331",O3965="331")),"x","")</f>
        <v/>
      </c>
      <c r="Q3965" s="79" t="str">
        <f>IF(AND(B3965='111'!$L$11,OR($N3965=$Q$7,$O3965=$Q$7)),"x","")</f>
        <v/>
      </c>
      <c r="R3965" s="79" t="str">
        <f>IF(AND($N3965=$Q$7,$B3965&lt;'111'!$L$11),"x","")</f>
        <v/>
      </c>
      <c r="S3965" s="79" t="str">
        <f>IF(AND($O3965=$Q$7,$B3965&lt;'111'!$L$11),"x","")</f>
        <v/>
      </c>
      <c r="T3965" s="79" t="str">
        <f>IF(ISERROR(FIND('112'!$M$9,G3965,1)),"",IF((AND(FIND('112'!$M$9,G3965,1)&gt;=1,B3965='112'!$K$9,OR($N3965='112'!$I$6,$O3965='112'!$I$6))),"x",""))</f>
        <v/>
      </c>
      <c r="U3965" s="79" t="str">
        <f>IF(ISERROR(FIND('112'!$M$9,G3965,1)),"",IF((AND(LEFT(G3965,2)=LEFT('112'!$M$9,2),B3965&lt;'112'!$K$9,$N3965='112'!$I$6)),"x",""))</f>
        <v/>
      </c>
      <c r="V3965" s="79" t="str">
        <f>IF(ISERROR(FIND('112'!$M$9,G3965,1)),"",IF((AND(RIGHT(G3965,2)=RIGHT('112'!$M$9,2),B3965&lt;'112'!$K$9,$O3965='112'!$I$6)),"x",""))</f>
        <v/>
      </c>
      <c r="W3965" s="79" t="str">
        <f>IF(AND('341-CT'!$H$9=H3965,OR(LEFT(N3965,3)=$W$7,LEFT(O3965,3)=$W$7)),"x","")</f>
        <v/>
      </c>
      <c r="X3965" s="79" t="str">
        <f>IF(OR(TH!N3965=TH!$X$7,O3965=TH!$X$7),"x","")</f>
        <v/>
      </c>
      <c r="Y3965" s="79" t="str">
        <f>IF(AND(OR(N3965="131",O3965="131"),H3965='131-CT'!$H$9),"x","")</f>
        <v/>
      </c>
      <c r="Z3965" s="79"/>
      <c r="AA3965" s="79" t="str">
        <f>IF(AND(MONTH(E3965)='IN-NX'!$J$5,'IN-NX'!$D$7=D3965),"x","")</f>
        <v/>
      </c>
      <c r="AB3965" s="79" t="str">
        <f>IF(AND(OR(LEFT(TH!N3965,2)="15",LEFT(TH!O3965,2)="15"),LEFT(TH!O3965,3)&lt;&gt;"111",'152-CT'!$J$8=TH!F3965),"x","")</f>
        <v/>
      </c>
      <c r="AC3965" s="79" t="str">
        <f>IF(AND(OR(LEFT(TH!N3965,2)="15",LEFT(TH!O3965,2)="15"),TK!$E$7=TH!F3965),"x","")</f>
        <v/>
      </c>
      <c r="AD3965" s="79" t="str">
        <f>IF(AND(N3965="1521",MONTH(C3965)='BK-NL'!$M$11),"x","")</f>
        <v/>
      </c>
    </row>
    <row r="3966" spans="1:30" ht="16.5" customHeight="1">
      <c r="A3966" s="318" t="str">
        <f>IF(B3966&lt;&gt;"",IF(AND(B3966='IN-TC'!$S$4,OR(TH!N3966="1111",TH!O3966="1111")),TH!D3966,""),"")</f>
        <v/>
      </c>
      <c r="B3966" s="60" t="str">
        <f t="shared" si="423"/>
        <v/>
      </c>
      <c r="C3966" s="75"/>
      <c r="D3966" s="75"/>
      <c r="E3966" s="75"/>
      <c r="F3966" s="76"/>
      <c r="G3966" s="76"/>
      <c r="H3966" s="77"/>
      <c r="I3966" s="77"/>
      <c r="J3966" s="391"/>
      <c r="K3966" s="383"/>
      <c r="L3966" s="390"/>
      <c r="M3966" s="978"/>
      <c r="N3966" s="79"/>
      <c r="O3966" s="979"/>
      <c r="P3966" s="79" t="str">
        <f>IF(AND('331-CT'!$E$7=TH!H3966,OR(N3966="331",O3966="331")),"x","")</f>
        <v/>
      </c>
      <c r="Q3966" s="79" t="str">
        <f>IF(AND(B3966='111'!$L$11,OR($N3966=$Q$7,$O3966=$Q$7)),"x","")</f>
        <v/>
      </c>
      <c r="R3966" s="79" t="str">
        <f>IF(AND($N3966=$Q$7,$B3966&lt;'111'!$L$11),"x","")</f>
        <v/>
      </c>
      <c r="S3966" s="79" t="str">
        <f>IF(AND($O3966=$Q$7,$B3966&lt;'111'!$L$11),"x","")</f>
        <v/>
      </c>
      <c r="T3966" s="79" t="str">
        <f>IF(ISERROR(FIND('112'!$M$9,G3966,1)),"",IF((AND(FIND('112'!$M$9,G3966,1)&gt;=1,B3966='112'!$K$9,OR($N3966='112'!$I$6,$O3966='112'!$I$6))),"x",""))</f>
        <v/>
      </c>
      <c r="U3966" s="79" t="str">
        <f>IF(ISERROR(FIND('112'!$M$9,G3966,1)),"",IF((AND(LEFT(G3966,2)=LEFT('112'!$M$9,2),B3966&lt;'112'!$K$9,$N3966='112'!$I$6)),"x",""))</f>
        <v/>
      </c>
      <c r="V3966" s="79" t="str">
        <f>IF(ISERROR(FIND('112'!$M$9,G3966,1)),"",IF((AND(RIGHT(G3966,2)=RIGHT('112'!$M$9,2),B3966&lt;'112'!$K$9,$O3966='112'!$I$6)),"x",""))</f>
        <v/>
      </c>
      <c r="W3966" s="79" t="str">
        <f>IF(AND('341-CT'!$H$9=H3966,OR(LEFT(N3966,3)=$W$7,LEFT(O3966,3)=$W$7)),"x","")</f>
        <v/>
      </c>
      <c r="X3966" s="79" t="str">
        <f>IF(OR(TH!N3966=TH!$X$7,O3966=TH!$X$7),"x","")</f>
        <v/>
      </c>
      <c r="Y3966" s="79" t="str">
        <f>IF(AND(OR(N3966="131",O3966="131"),H3966='131-CT'!$H$9),"x","")</f>
        <v/>
      </c>
      <c r="Z3966" s="79"/>
      <c r="AA3966" s="79" t="str">
        <f>IF(AND(MONTH(E3966)='IN-NX'!$J$5,'IN-NX'!$D$7=D3966),"x","")</f>
        <v/>
      </c>
      <c r="AB3966" s="79" t="str">
        <f>IF(AND(OR(LEFT(TH!N3966,2)="15",LEFT(TH!O3966,2)="15"),LEFT(TH!O3966,3)&lt;&gt;"111",'152-CT'!$J$8=TH!F3966),"x","")</f>
        <v/>
      </c>
      <c r="AC3966" s="79" t="str">
        <f>IF(AND(OR(LEFT(TH!N3966,2)="15",LEFT(TH!O3966,2)="15"),TK!$E$7=TH!F3966),"x","")</f>
        <v/>
      </c>
      <c r="AD3966" s="79" t="str">
        <f>IF(AND(N3966="1521",MONTH(C3966)='BK-NL'!$M$11),"x","")</f>
        <v/>
      </c>
    </row>
    <row r="3967" spans="1:30" ht="16.5" customHeight="1">
      <c r="A3967" s="318" t="str">
        <f>IF(B3967&lt;&gt;"",IF(AND(B3967='IN-TC'!$S$4,OR(TH!N3967="1111",TH!O3967="1111")),TH!D3967,""),"")</f>
        <v/>
      </c>
      <c r="B3967" s="60" t="str">
        <f t="shared" si="423"/>
        <v/>
      </c>
      <c r="C3967" s="75"/>
      <c r="D3967" s="75"/>
      <c r="E3967" s="75"/>
      <c r="F3967" s="76"/>
      <c r="G3967" s="76"/>
      <c r="H3967" s="77"/>
      <c r="I3967" s="77"/>
      <c r="J3967" s="391"/>
      <c r="K3967" s="383"/>
      <c r="L3967" s="390"/>
      <c r="M3967" s="78"/>
      <c r="N3967" s="79"/>
      <c r="O3967" s="979"/>
      <c r="P3967" s="79" t="str">
        <f>IF(AND('331-CT'!$E$7=TH!H3967,OR(N3967="331",O3967="331")),"x","")</f>
        <v/>
      </c>
      <c r="Q3967" s="79" t="str">
        <f>IF(AND(B3967='111'!$L$11,OR($N3967=$Q$7,$O3967=$Q$7)),"x","")</f>
        <v/>
      </c>
      <c r="R3967" s="79" t="str">
        <f>IF(AND($N3967=$Q$7,$B3967&lt;'111'!$L$11),"x","")</f>
        <v/>
      </c>
      <c r="S3967" s="79" t="str">
        <f>IF(AND($O3967=$Q$7,$B3967&lt;'111'!$L$11),"x","")</f>
        <v/>
      </c>
      <c r="T3967" s="79" t="str">
        <f>IF(ISERROR(FIND('112'!$M$9,G3967,1)),"",IF((AND(FIND('112'!$M$9,G3967,1)&gt;=1,B3967='112'!$K$9,OR($N3967='112'!$I$6,$O3967='112'!$I$6))),"x",""))</f>
        <v/>
      </c>
      <c r="U3967" s="79" t="str">
        <f>IF(ISERROR(FIND('112'!$M$9,G3967,1)),"",IF((AND(LEFT(G3967,2)=LEFT('112'!$M$9,2),B3967&lt;'112'!$K$9,$N3967='112'!$I$6)),"x",""))</f>
        <v/>
      </c>
      <c r="V3967" s="79" t="str">
        <f>IF(ISERROR(FIND('112'!$M$9,G3967,1)),"",IF((AND(RIGHT(G3967,2)=RIGHT('112'!$M$9,2),B3967&lt;'112'!$K$9,$O3967='112'!$I$6)),"x",""))</f>
        <v/>
      </c>
      <c r="W3967" s="79" t="str">
        <f>IF(AND('341-CT'!$H$9=H3967,OR(LEFT(N3967,3)=$W$7,LEFT(O3967,3)=$W$7)),"x","")</f>
        <v/>
      </c>
      <c r="X3967" s="79" t="str">
        <f>IF(OR(TH!N3967=TH!$X$7,O3967=TH!$X$7),"x","")</f>
        <v/>
      </c>
      <c r="Y3967" s="79" t="str">
        <f>IF(AND(OR(N3967="131",O3967="131"),H3967='131-CT'!$H$9),"x","")</f>
        <v/>
      </c>
      <c r="Z3967" s="79"/>
      <c r="AA3967" s="79" t="str">
        <f>IF(AND(MONTH(E3967)='IN-NX'!$J$5,'IN-NX'!$D$7=D3967),"x","")</f>
        <v/>
      </c>
      <c r="AB3967" s="79" t="str">
        <f>IF(AND(OR(LEFT(TH!N3967,2)="15",LEFT(TH!O3967,2)="15"),LEFT(TH!O3967,3)&lt;&gt;"111",'152-CT'!$J$8=TH!F3967),"x","")</f>
        <v/>
      </c>
      <c r="AC3967" s="79" t="str">
        <f>IF(AND(OR(LEFT(TH!N3967,2)="15",LEFT(TH!O3967,2)="15"),TK!$E$7=TH!F3967),"x","")</f>
        <v/>
      </c>
      <c r="AD3967" s="79" t="str">
        <f>IF(AND(N3967="1521",MONTH(C3967)='BK-NL'!$M$11),"x","")</f>
        <v/>
      </c>
    </row>
    <row r="3968" spans="1:30" ht="16.5" customHeight="1">
      <c r="A3968" s="318" t="str">
        <f>IF(B3968&lt;&gt;"",IF(AND(B3968='IN-TC'!$S$4,OR(TH!N3968="1111",TH!O3968="1111")),TH!D3968,""),"")</f>
        <v/>
      </c>
      <c r="B3968" s="60" t="str">
        <f t="shared" si="423"/>
        <v/>
      </c>
      <c r="C3968" s="75"/>
      <c r="D3968" s="75"/>
      <c r="E3968" s="75"/>
      <c r="F3968" s="76"/>
      <c r="G3968" s="76"/>
      <c r="H3968" s="77"/>
      <c r="I3968" s="77"/>
      <c r="J3968" s="391"/>
      <c r="K3968" s="383"/>
      <c r="L3968" s="390"/>
      <c r="M3968" s="978"/>
      <c r="N3968" s="79"/>
      <c r="O3968" s="979"/>
      <c r="P3968" s="79" t="str">
        <f>IF(AND('331-CT'!$E$7=TH!H3968,OR(N3968="331",O3968="331")),"x","")</f>
        <v/>
      </c>
      <c r="Q3968" s="79" t="str">
        <f>IF(AND(B3968='111'!$L$11,OR($N3968=$Q$7,$O3968=$Q$7)),"x","")</f>
        <v/>
      </c>
      <c r="R3968" s="79" t="str">
        <f>IF(AND($N3968=$Q$7,$B3968&lt;'111'!$L$11),"x","")</f>
        <v/>
      </c>
      <c r="S3968" s="79" t="str">
        <f>IF(AND($O3968=$Q$7,$B3968&lt;'111'!$L$11),"x","")</f>
        <v/>
      </c>
      <c r="T3968" s="79" t="str">
        <f>IF(ISERROR(FIND('112'!$M$9,G3968,1)),"",IF((AND(FIND('112'!$M$9,G3968,1)&gt;=1,B3968='112'!$K$9,OR($N3968='112'!$I$6,$O3968='112'!$I$6))),"x",""))</f>
        <v/>
      </c>
      <c r="U3968" s="79" t="str">
        <f>IF(ISERROR(FIND('112'!$M$9,G3968,1)),"",IF((AND(LEFT(G3968,2)=LEFT('112'!$M$9,2),B3968&lt;'112'!$K$9,$N3968='112'!$I$6)),"x",""))</f>
        <v/>
      </c>
      <c r="V3968" s="79" t="str">
        <f>IF(ISERROR(FIND('112'!$M$9,G3968,1)),"",IF((AND(RIGHT(G3968,2)=RIGHT('112'!$M$9,2),B3968&lt;'112'!$K$9,$O3968='112'!$I$6)),"x",""))</f>
        <v/>
      </c>
      <c r="W3968" s="79" t="str">
        <f>IF(AND('341-CT'!$H$9=H3968,OR(LEFT(N3968,3)=$W$7,LEFT(O3968,3)=$W$7)),"x","")</f>
        <v/>
      </c>
      <c r="X3968" s="79" t="str">
        <f>IF(OR(TH!N3968=TH!$X$7,O3968=TH!$X$7),"x","")</f>
        <v/>
      </c>
      <c r="Y3968" s="79" t="str">
        <f>IF(AND(OR(N3968="131",O3968="131"),H3968='131-CT'!$H$9),"x","")</f>
        <v/>
      </c>
      <c r="Z3968" s="79"/>
      <c r="AA3968" s="79" t="str">
        <f>IF(AND(MONTH(E3968)='IN-NX'!$J$5,'IN-NX'!$D$7=D3968),"x","")</f>
        <v/>
      </c>
      <c r="AB3968" s="79" t="str">
        <f>IF(AND(OR(LEFT(TH!N3968,2)="15",LEFT(TH!O3968,2)="15"),LEFT(TH!O3968,3)&lt;&gt;"111",'152-CT'!$J$8=TH!F3968),"x","")</f>
        <v/>
      </c>
      <c r="AC3968" s="79" t="str">
        <f>IF(AND(OR(LEFT(TH!N3968,2)="15",LEFT(TH!O3968,2)="15"),TK!$E$7=TH!F3968),"x","")</f>
        <v/>
      </c>
      <c r="AD3968" s="79" t="str">
        <f>IF(AND(N3968="1521",MONTH(C3968)='BK-NL'!$M$11),"x","")</f>
        <v/>
      </c>
    </row>
    <row r="3969" spans="1:30" ht="16.5" customHeight="1">
      <c r="A3969" s="318" t="str">
        <f>IF(B3969&lt;&gt;"",IF(AND(B3969='IN-TC'!$S$4,OR(TH!N3969="1111",TH!O3969="1111")),TH!D3969,""),"")</f>
        <v/>
      </c>
      <c r="B3969" s="60" t="str">
        <f t="shared" si="423"/>
        <v/>
      </c>
      <c r="C3969" s="75"/>
      <c r="D3969" s="75"/>
      <c r="E3969" s="75"/>
      <c r="F3969" s="76"/>
      <c r="G3969" s="76"/>
      <c r="H3969" s="759"/>
      <c r="I3969" s="77"/>
      <c r="J3969" s="391"/>
      <c r="K3969" s="383"/>
      <c r="L3969" s="390"/>
      <c r="M3969" s="978"/>
      <c r="N3969" s="79"/>
      <c r="O3969" s="79"/>
      <c r="P3969" s="79" t="str">
        <f>IF(AND('331-CT'!$E$7=TH!H3969,OR(N3969="331",O3969="331")),"x","")</f>
        <v/>
      </c>
      <c r="Q3969" s="79" t="str">
        <f>IF(AND(B3969='111'!$L$11,OR($N3969=$Q$7,$O3969=$Q$7)),"x","")</f>
        <v/>
      </c>
      <c r="R3969" s="79" t="str">
        <f>IF(AND($N3969=$Q$7,$B3969&lt;'111'!$L$11),"x","")</f>
        <v/>
      </c>
      <c r="S3969" s="79" t="str">
        <f>IF(AND($O3969=$Q$7,$B3969&lt;'111'!$L$11),"x","")</f>
        <v/>
      </c>
      <c r="T3969" s="79" t="str">
        <f>IF(ISERROR(FIND('112'!$M$9,G3969,1)),"",IF((AND(FIND('112'!$M$9,G3969,1)&gt;=1,B3969='112'!$K$9,OR($N3969='112'!$I$6,$O3969='112'!$I$6))),"x",""))</f>
        <v/>
      </c>
      <c r="U3969" s="79" t="str">
        <f>IF(ISERROR(FIND('112'!$M$9,G3969,1)),"",IF((AND(LEFT(G3969,2)=LEFT('112'!$M$9,2),B3969&lt;'112'!$K$9,$N3969='112'!$I$6)),"x",""))</f>
        <v/>
      </c>
      <c r="V3969" s="79" t="str">
        <f>IF(ISERROR(FIND('112'!$M$9,G3969,1)),"",IF((AND(RIGHT(G3969,2)=RIGHT('112'!$M$9,2),B3969&lt;'112'!$K$9,$O3969='112'!$I$6)),"x",""))</f>
        <v/>
      </c>
      <c r="W3969" s="79" t="str">
        <f>IF(AND('341-CT'!$H$9=H3969,OR(LEFT(N3969,3)=$W$7,LEFT(O3969,3)=$W$7)),"x","")</f>
        <v/>
      </c>
      <c r="X3969" s="79" t="str">
        <f>IF(OR(TH!N3969=TH!$X$7,O3969=TH!$X$7),"x","")</f>
        <v/>
      </c>
      <c r="Y3969" s="79" t="str">
        <f>IF(AND(OR(N3969="131",O3969="131"),H3969='131-CT'!$H$9),"x","")</f>
        <v/>
      </c>
      <c r="Z3969" s="79"/>
      <c r="AA3969" s="79" t="str">
        <f>IF(AND(MONTH(E3969)='IN-NX'!$J$5,'IN-NX'!$D$7=D3969),"x","")</f>
        <v/>
      </c>
      <c r="AB3969" s="79" t="str">
        <f>IF(AND(OR(LEFT(TH!N3969,2)="15",LEFT(TH!O3969,2)="15"),LEFT(TH!O3969,3)&lt;&gt;"111",'152-CT'!$J$8=TH!F3969),"x","")</f>
        <v/>
      </c>
      <c r="AC3969" s="79" t="str">
        <f>IF(AND(OR(LEFT(TH!N3969,2)="15",LEFT(TH!O3969,2)="15"),TK!$E$7=TH!F3969),"x","")</f>
        <v/>
      </c>
      <c r="AD3969" s="79" t="str">
        <f>IF(AND(N3969="1521",MONTH(C3969)='BK-NL'!$M$11),"x","")</f>
        <v/>
      </c>
    </row>
    <row r="3970" spans="1:30" ht="16.5" customHeight="1">
      <c r="A3970" s="318" t="str">
        <f>IF(B3970&lt;&gt;"",IF(AND(B3970='IN-TC'!$S$4,OR(TH!N3970="1111",TH!O3970="1111")),TH!D3970,""),"")</f>
        <v/>
      </c>
      <c r="B3970" s="60" t="str">
        <f t="shared" si="423"/>
        <v/>
      </c>
      <c r="C3970" s="75"/>
      <c r="D3970" s="75"/>
      <c r="E3970" s="75"/>
      <c r="F3970" s="76"/>
      <c r="G3970" s="76"/>
      <c r="H3970" s="759"/>
      <c r="I3970" s="77"/>
      <c r="J3970" s="391"/>
      <c r="K3970" s="383"/>
      <c r="L3970" s="390"/>
      <c r="M3970" s="978"/>
      <c r="N3970" s="79"/>
      <c r="O3970" s="79"/>
      <c r="P3970" s="79" t="str">
        <f>IF(AND('331-CT'!$E$7=TH!H3970,OR(N3970="331",O3970="331")),"x","")</f>
        <v/>
      </c>
      <c r="Q3970" s="79" t="str">
        <f>IF(AND(B3970='111'!$L$11,OR($N3970=$Q$7,$O3970=$Q$7)),"x","")</f>
        <v/>
      </c>
      <c r="R3970" s="79" t="str">
        <f>IF(AND($N3970=$Q$7,$B3970&lt;'111'!$L$11),"x","")</f>
        <v/>
      </c>
      <c r="S3970" s="79" t="str">
        <f>IF(AND($O3970=$Q$7,$B3970&lt;'111'!$L$11),"x","")</f>
        <v/>
      </c>
      <c r="T3970" s="79" t="str">
        <f>IF(ISERROR(FIND('112'!$M$9,G3970,1)),"",IF((AND(FIND('112'!$M$9,G3970,1)&gt;=1,B3970='112'!$K$9,OR($N3970='112'!$I$6,$O3970='112'!$I$6))),"x",""))</f>
        <v/>
      </c>
      <c r="U3970" s="79" t="str">
        <f>IF(ISERROR(FIND('112'!$M$9,G3970,1)),"",IF((AND(LEFT(G3970,2)=LEFT('112'!$M$9,2),B3970&lt;'112'!$K$9,$N3970='112'!$I$6)),"x",""))</f>
        <v/>
      </c>
      <c r="V3970" s="79" t="str">
        <f>IF(ISERROR(FIND('112'!$M$9,G3970,1)),"",IF((AND(RIGHT(G3970,2)=RIGHT('112'!$M$9,2),B3970&lt;'112'!$K$9,$O3970='112'!$I$6)),"x",""))</f>
        <v/>
      </c>
      <c r="W3970" s="79" t="str">
        <f>IF(AND('341-CT'!$H$9=H3970,OR(LEFT(N3970,3)=$W$7,LEFT(O3970,3)=$W$7)),"x","")</f>
        <v/>
      </c>
      <c r="X3970" s="79" t="str">
        <f>IF(OR(TH!N3970=TH!$X$7,O3970=TH!$X$7),"x","")</f>
        <v/>
      </c>
      <c r="Y3970" s="79" t="str">
        <f>IF(AND(OR(N3970="131",O3970="131"),H3970='131-CT'!$H$9),"x","")</f>
        <v/>
      </c>
      <c r="Z3970" s="79"/>
      <c r="AA3970" s="79" t="str">
        <f>IF(AND(MONTH(E3970)='IN-NX'!$J$5,'IN-NX'!$D$7=D3970),"x","")</f>
        <v/>
      </c>
      <c r="AB3970" s="79" t="str">
        <f>IF(AND(OR(LEFT(TH!N3970,2)="15",LEFT(TH!O3970,2)="15"),LEFT(TH!O3970,3)&lt;&gt;"111",'152-CT'!$J$8=TH!F3970),"x","")</f>
        <v/>
      </c>
      <c r="AC3970" s="79" t="str">
        <f>IF(AND(OR(LEFT(TH!N3970,2)="15",LEFT(TH!O3970,2)="15"),TK!$E$7=TH!F3970),"x","")</f>
        <v/>
      </c>
      <c r="AD3970" s="79" t="str">
        <f>IF(AND(N3970="1521",MONTH(C3970)='BK-NL'!$M$11),"x","")</f>
        <v/>
      </c>
    </row>
    <row r="3971" spans="1:30" ht="16.5" customHeight="1">
      <c r="A3971" s="318" t="str">
        <f>IF(B3971&lt;&gt;"",IF(AND(B3971='IN-TC'!$S$4,OR(TH!N3971="1111",TH!O3971="1111")),TH!D3971,""),"")</f>
        <v/>
      </c>
      <c r="B3971" s="60" t="str">
        <f t="shared" si="423"/>
        <v/>
      </c>
      <c r="C3971" s="75"/>
      <c r="D3971" s="75"/>
      <c r="E3971" s="75"/>
      <c r="F3971" s="76"/>
      <c r="G3971" s="76"/>
      <c r="H3971" s="759"/>
      <c r="I3971" s="77"/>
      <c r="J3971" s="391"/>
      <c r="K3971" s="383"/>
      <c r="L3971" s="390"/>
      <c r="M3971" s="78"/>
      <c r="N3971" s="79"/>
      <c r="O3971" s="79"/>
      <c r="P3971" s="79" t="str">
        <f>IF(AND('331-CT'!$E$7=TH!H3971,OR(N3971="331",O3971="331")),"x","")</f>
        <v/>
      </c>
      <c r="Q3971" s="79" t="str">
        <f>IF(AND(B3971='111'!$L$11,OR($N3971=$Q$7,$O3971=$Q$7)),"x","")</f>
        <v/>
      </c>
      <c r="R3971" s="79" t="str">
        <f>IF(AND($N3971=$Q$7,$B3971&lt;'111'!$L$11),"x","")</f>
        <v/>
      </c>
      <c r="S3971" s="79" t="str">
        <f>IF(AND($O3971=$Q$7,$B3971&lt;'111'!$L$11),"x","")</f>
        <v/>
      </c>
      <c r="T3971" s="79" t="str">
        <f>IF(ISERROR(FIND('112'!$M$9,G3971,1)),"",IF((AND(FIND('112'!$M$9,G3971,1)&gt;=1,B3971='112'!$K$9,OR($N3971='112'!$I$6,$O3971='112'!$I$6))),"x",""))</f>
        <v/>
      </c>
      <c r="U3971" s="79" t="str">
        <f>IF(ISERROR(FIND('112'!$M$9,G3971,1)),"",IF((AND(LEFT(G3971,2)=LEFT('112'!$M$9,2),B3971&lt;'112'!$K$9,$N3971='112'!$I$6)),"x",""))</f>
        <v/>
      </c>
      <c r="V3971" s="79" t="str">
        <f>IF(ISERROR(FIND('112'!$M$9,G3971,1)),"",IF((AND(RIGHT(G3971,2)=RIGHT('112'!$M$9,2),B3971&lt;'112'!$K$9,$O3971='112'!$I$6)),"x",""))</f>
        <v/>
      </c>
      <c r="W3971" s="79" t="str">
        <f>IF(AND('341-CT'!$H$9=H3971,OR(LEFT(N3971,3)=$W$7,LEFT(O3971,3)=$W$7)),"x","")</f>
        <v/>
      </c>
      <c r="X3971" s="79" t="str">
        <f>IF(OR(TH!N3971=TH!$X$7,O3971=TH!$X$7),"x","")</f>
        <v/>
      </c>
      <c r="Y3971" s="79" t="str">
        <f>IF(AND(OR(N3971="131",O3971="131"),H3971='131-CT'!$H$9),"x","")</f>
        <v/>
      </c>
      <c r="Z3971" s="79"/>
      <c r="AA3971" s="79" t="str">
        <f>IF(AND(MONTH(E3971)='IN-NX'!$J$5,'IN-NX'!$D$7=D3971),"x","")</f>
        <v/>
      </c>
      <c r="AB3971" s="79" t="str">
        <f>IF(AND(OR(LEFT(TH!N3971,2)="15",LEFT(TH!O3971,2)="15"),LEFT(TH!O3971,3)&lt;&gt;"111",'152-CT'!$J$8=TH!F3971),"x","")</f>
        <v/>
      </c>
      <c r="AC3971" s="79" t="str">
        <f>IF(AND(OR(LEFT(TH!N3971,2)="15",LEFT(TH!O3971,2)="15"),TK!$E$7=TH!F3971),"x","")</f>
        <v/>
      </c>
      <c r="AD3971" s="79" t="str">
        <f>IF(AND(N3971="1521",MONTH(C3971)='BK-NL'!$M$11),"x","")</f>
        <v/>
      </c>
    </row>
    <row r="3972" spans="1:30" ht="16.5" customHeight="1">
      <c r="A3972" s="318" t="str">
        <f>IF(B3972&lt;&gt;"",IF(AND(B3972='IN-TC'!$S$4,OR(TH!N3972="1111",TH!O3972="1111")),TH!D3972,""),"")</f>
        <v/>
      </c>
      <c r="B3972" s="60" t="str">
        <f t="shared" si="423"/>
        <v/>
      </c>
      <c r="C3972" s="75"/>
      <c r="D3972" s="75"/>
      <c r="E3972" s="75"/>
      <c r="F3972" s="76"/>
      <c r="G3972" s="76"/>
      <c r="H3972" s="77"/>
      <c r="I3972" s="77"/>
      <c r="J3972" s="391"/>
      <c r="K3972" s="383"/>
      <c r="L3972" s="390"/>
      <c r="M3972" s="978"/>
      <c r="N3972" s="79"/>
      <c r="O3972" s="979"/>
      <c r="P3972" s="79" t="str">
        <f>IF(AND('331-CT'!$E$7=TH!H3972,OR(N3972="331",O3972="331")),"x","")</f>
        <v/>
      </c>
      <c r="Q3972" s="79" t="str">
        <f>IF(AND(B3972='111'!$L$11,OR($N3972=$Q$7,$O3972=$Q$7)),"x","")</f>
        <v/>
      </c>
      <c r="R3972" s="79" t="str">
        <f>IF(AND($N3972=$Q$7,$B3972&lt;'111'!$L$11),"x","")</f>
        <v/>
      </c>
      <c r="S3972" s="79" t="str">
        <f>IF(AND($O3972=$Q$7,$B3972&lt;'111'!$L$11),"x","")</f>
        <v/>
      </c>
      <c r="T3972" s="79" t="str">
        <f>IF(ISERROR(FIND('112'!$M$9,G3972,1)),"",IF((AND(FIND('112'!$M$9,G3972,1)&gt;=1,B3972='112'!$K$9,OR($N3972='112'!$I$6,$O3972='112'!$I$6))),"x",""))</f>
        <v/>
      </c>
      <c r="U3972" s="79" t="str">
        <f>IF(ISERROR(FIND('112'!$M$9,G3972,1)),"",IF((AND(LEFT(G3972,2)=LEFT('112'!$M$9,2),B3972&lt;'112'!$K$9,$N3972='112'!$I$6)),"x",""))</f>
        <v/>
      </c>
      <c r="V3972" s="79" t="str">
        <f>IF(ISERROR(FIND('112'!$M$9,G3972,1)),"",IF((AND(RIGHT(G3972,2)=RIGHT('112'!$M$9,2),B3972&lt;'112'!$K$9,$O3972='112'!$I$6)),"x",""))</f>
        <v/>
      </c>
      <c r="W3972" s="79" t="str">
        <f>IF(AND('341-CT'!$H$9=H3972,OR(LEFT(N3972,3)=$W$7,LEFT(O3972,3)=$W$7)),"x","")</f>
        <v/>
      </c>
      <c r="X3972" s="79" t="str">
        <f>IF(OR(TH!N3972=TH!$X$7,O3972=TH!$X$7),"x","")</f>
        <v/>
      </c>
      <c r="Y3972" s="79" t="str">
        <f>IF(AND(OR(N3972="131",O3972="131"),H3972='131-CT'!$H$9),"x","")</f>
        <v/>
      </c>
      <c r="Z3972" s="79"/>
      <c r="AA3972" s="79" t="str">
        <f>IF(AND(MONTH(E3972)='IN-NX'!$J$5,'IN-NX'!$D$7=D3972),"x","")</f>
        <v/>
      </c>
      <c r="AB3972" s="79" t="str">
        <f>IF(AND(OR(LEFT(TH!N3972,2)="15",LEFT(TH!O3972,2)="15"),LEFT(TH!O3972,3)&lt;&gt;"111",'152-CT'!$J$8=TH!F3972),"x","")</f>
        <v/>
      </c>
      <c r="AC3972" s="79" t="str">
        <f>IF(AND(OR(LEFT(TH!N3972,2)="15",LEFT(TH!O3972,2)="15"),TK!$E$7=TH!F3972),"x","")</f>
        <v/>
      </c>
      <c r="AD3972" s="79" t="str">
        <f>IF(AND(N3972="1521",MONTH(C3972)='BK-NL'!$M$11),"x","")</f>
        <v/>
      </c>
    </row>
    <row r="3973" spans="1:30" ht="16.5" customHeight="1">
      <c r="A3973" s="318" t="str">
        <f>IF(B3973&lt;&gt;"",IF(AND(B3973='IN-TC'!$S$4,OR(TH!N3973="1111",TH!O3973="1111")),TH!D3973,""),"")</f>
        <v/>
      </c>
      <c r="B3973" s="60" t="str">
        <f t="shared" si="423"/>
        <v/>
      </c>
      <c r="C3973" s="75"/>
      <c r="D3973" s="75"/>
      <c r="E3973" s="75"/>
      <c r="F3973" s="76"/>
      <c r="G3973" s="76"/>
      <c r="H3973" s="77"/>
      <c r="I3973" s="77"/>
      <c r="J3973" s="391"/>
      <c r="K3973" s="383"/>
      <c r="L3973" s="390"/>
      <c r="M3973" s="978"/>
      <c r="N3973" s="79"/>
      <c r="O3973" s="979"/>
      <c r="P3973" s="79" t="str">
        <f>IF(AND('331-CT'!$E$7=TH!H3973,OR(N3973="331",O3973="331")),"x","")</f>
        <v/>
      </c>
      <c r="Q3973" s="79" t="str">
        <f>IF(AND(B3973='111'!$L$11,OR($N3973=$Q$7,$O3973=$Q$7)),"x","")</f>
        <v/>
      </c>
      <c r="R3973" s="79" t="str">
        <f>IF(AND($N3973=$Q$7,$B3973&lt;'111'!$L$11),"x","")</f>
        <v/>
      </c>
      <c r="S3973" s="79" t="str">
        <f>IF(AND($O3973=$Q$7,$B3973&lt;'111'!$L$11),"x","")</f>
        <v/>
      </c>
      <c r="T3973" s="79" t="str">
        <f>IF(ISERROR(FIND('112'!$M$9,G3973,1)),"",IF((AND(FIND('112'!$M$9,G3973,1)&gt;=1,B3973='112'!$K$9,OR($N3973='112'!$I$6,$O3973='112'!$I$6))),"x",""))</f>
        <v/>
      </c>
      <c r="U3973" s="79" t="str">
        <f>IF(ISERROR(FIND('112'!$M$9,G3973,1)),"",IF((AND(LEFT(G3973,2)=LEFT('112'!$M$9,2),B3973&lt;'112'!$K$9,$N3973='112'!$I$6)),"x",""))</f>
        <v/>
      </c>
      <c r="V3973" s="79" t="str">
        <f>IF(ISERROR(FIND('112'!$M$9,G3973,1)),"",IF((AND(RIGHT(G3973,2)=RIGHT('112'!$M$9,2),B3973&lt;'112'!$K$9,$O3973='112'!$I$6)),"x",""))</f>
        <v/>
      </c>
      <c r="W3973" s="79" t="str">
        <f>IF(AND('341-CT'!$H$9=H3973,OR(LEFT(N3973,3)=$W$7,LEFT(O3973,3)=$W$7)),"x","")</f>
        <v/>
      </c>
      <c r="X3973" s="79" t="str">
        <f>IF(OR(TH!N3973=TH!$X$7,O3973=TH!$X$7),"x","")</f>
        <v/>
      </c>
      <c r="Y3973" s="79" t="str">
        <f>IF(AND(OR(N3973="131",O3973="131"),H3973='131-CT'!$H$9),"x","")</f>
        <v/>
      </c>
      <c r="Z3973" s="79"/>
      <c r="AA3973" s="79" t="str">
        <f>IF(AND(MONTH(E3973)='IN-NX'!$J$5,'IN-NX'!$D$7=D3973),"x","")</f>
        <v/>
      </c>
      <c r="AB3973" s="79" t="str">
        <f>IF(AND(OR(LEFT(TH!N3973,2)="15",LEFT(TH!O3973,2)="15"),LEFT(TH!O3973,3)&lt;&gt;"111",'152-CT'!$J$8=TH!F3973),"x","")</f>
        <v/>
      </c>
      <c r="AC3973" s="79" t="str">
        <f>IF(AND(OR(LEFT(TH!N3973,2)="15",LEFT(TH!O3973,2)="15"),TK!$E$7=TH!F3973),"x","")</f>
        <v/>
      </c>
      <c r="AD3973" s="79" t="str">
        <f>IF(AND(N3973="1521",MONTH(C3973)='BK-NL'!$M$11),"x","")</f>
        <v/>
      </c>
    </row>
    <row r="3974" spans="1:30" ht="16.5" customHeight="1">
      <c r="A3974" s="318" t="str">
        <f>IF(B3974&lt;&gt;"",IF(AND(B3974='IN-TC'!$S$4,OR(TH!N3974="1111",TH!O3974="1111")),TH!D3974,""),"")</f>
        <v/>
      </c>
      <c r="B3974" s="60" t="str">
        <f t="shared" si="423"/>
        <v/>
      </c>
      <c r="C3974" s="75"/>
      <c r="D3974" s="75"/>
      <c r="E3974" s="75"/>
      <c r="F3974" s="76"/>
      <c r="G3974" s="76"/>
      <c r="H3974" s="77"/>
      <c r="I3974" s="77"/>
      <c r="J3974" s="391"/>
      <c r="K3974" s="383"/>
      <c r="L3974" s="390"/>
      <c r="M3974" s="78"/>
      <c r="N3974" s="79"/>
      <c r="O3974" s="979"/>
      <c r="P3974" s="79" t="str">
        <f>IF(AND('331-CT'!$E$7=TH!H3974,OR(N3974="331",O3974="331")),"x","")</f>
        <v/>
      </c>
      <c r="Q3974" s="79" t="str">
        <f>IF(AND(B3974='111'!$L$11,OR($N3974=$Q$7,$O3974=$Q$7)),"x","")</f>
        <v/>
      </c>
      <c r="R3974" s="79" t="str">
        <f>IF(AND($N3974=$Q$7,$B3974&lt;'111'!$L$11),"x","")</f>
        <v/>
      </c>
      <c r="S3974" s="79" t="str">
        <f>IF(AND($O3974=$Q$7,$B3974&lt;'111'!$L$11),"x","")</f>
        <v/>
      </c>
      <c r="T3974" s="79" t="str">
        <f>IF(ISERROR(FIND('112'!$M$9,G3974,1)),"",IF((AND(FIND('112'!$M$9,G3974,1)&gt;=1,B3974='112'!$K$9,OR($N3974='112'!$I$6,$O3974='112'!$I$6))),"x",""))</f>
        <v/>
      </c>
      <c r="U3974" s="79" t="str">
        <f>IF(ISERROR(FIND('112'!$M$9,G3974,1)),"",IF((AND(LEFT(G3974,2)=LEFT('112'!$M$9,2),B3974&lt;'112'!$K$9,$N3974='112'!$I$6)),"x",""))</f>
        <v/>
      </c>
      <c r="V3974" s="79" t="str">
        <f>IF(ISERROR(FIND('112'!$M$9,G3974,1)),"",IF((AND(RIGHT(G3974,2)=RIGHT('112'!$M$9,2),B3974&lt;'112'!$K$9,$O3974='112'!$I$6)),"x",""))</f>
        <v/>
      </c>
      <c r="W3974" s="79" t="str">
        <f>IF(AND('341-CT'!$H$9=H3974,OR(LEFT(N3974,3)=$W$7,LEFT(O3974,3)=$W$7)),"x","")</f>
        <v/>
      </c>
      <c r="X3974" s="79" t="str">
        <f>IF(OR(TH!N3974=TH!$X$7,O3974=TH!$X$7),"x","")</f>
        <v/>
      </c>
      <c r="Y3974" s="79" t="str">
        <f>IF(AND(OR(N3974="131",O3974="131"),H3974='131-CT'!$H$9),"x","")</f>
        <v/>
      </c>
      <c r="Z3974" s="79"/>
      <c r="AA3974" s="79" t="str">
        <f>IF(AND(MONTH(E3974)='IN-NX'!$J$5,'IN-NX'!$D$7=D3974),"x","")</f>
        <v/>
      </c>
      <c r="AB3974" s="79" t="str">
        <f>IF(AND(OR(LEFT(TH!N3974,2)="15",LEFT(TH!O3974,2)="15"),LEFT(TH!O3974,3)&lt;&gt;"111",'152-CT'!$J$8=TH!F3974),"x","")</f>
        <v/>
      </c>
      <c r="AC3974" s="79" t="str">
        <f>IF(AND(OR(LEFT(TH!N3974,2)="15",LEFT(TH!O3974,2)="15"),TK!$E$7=TH!F3974),"x","")</f>
        <v/>
      </c>
      <c r="AD3974" s="79" t="str">
        <f>IF(AND(N3974="1521",MONTH(C3974)='BK-NL'!$M$11),"x","")</f>
        <v/>
      </c>
    </row>
    <row r="3975" spans="1:30" ht="16.5" customHeight="1">
      <c r="A3975" s="318" t="str">
        <f>IF(B3975&lt;&gt;"",IF(AND(B3975='IN-TC'!$S$4,OR(TH!N3975="1111",TH!O3975="1111")),TH!D3975,""),"")</f>
        <v/>
      </c>
      <c r="B3975" s="60" t="str">
        <f t="shared" si="423"/>
        <v/>
      </c>
      <c r="C3975" s="75"/>
      <c r="D3975" s="75"/>
      <c r="E3975" s="75"/>
      <c r="F3975" s="76"/>
      <c r="G3975" s="76"/>
      <c r="H3975" s="77"/>
      <c r="I3975" s="77"/>
      <c r="J3975" s="391"/>
      <c r="K3975" s="383"/>
      <c r="L3975" s="390"/>
      <c r="M3975" s="978"/>
      <c r="N3975" s="79"/>
      <c r="O3975" s="79"/>
      <c r="P3975" s="79" t="str">
        <f>IF(AND('331-CT'!$E$7=TH!H3975,OR(N3975="331",O3975="331")),"x","")</f>
        <v/>
      </c>
      <c r="Q3975" s="79" t="str">
        <f>IF(AND(B3975='111'!$L$11,OR($N3975=$Q$7,$O3975=$Q$7)),"x","")</f>
        <v/>
      </c>
      <c r="R3975" s="79" t="str">
        <f>IF(AND($N3975=$Q$7,$B3975&lt;'111'!$L$11),"x","")</f>
        <v/>
      </c>
      <c r="S3975" s="79" t="str">
        <f>IF(AND($O3975=$Q$7,$B3975&lt;'111'!$L$11),"x","")</f>
        <v/>
      </c>
      <c r="T3975" s="79" t="str">
        <f>IF(ISERROR(FIND('112'!$M$9,G3975,1)),"",IF((AND(FIND('112'!$M$9,G3975,1)&gt;=1,B3975='112'!$K$9,OR($N3975='112'!$I$6,$O3975='112'!$I$6))),"x",""))</f>
        <v/>
      </c>
      <c r="U3975" s="79" t="str">
        <f>IF(ISERROR(FIND('112'!$M$9,G3975,1)),"",IF((AND(LEFT(G3975,2)=LEFT('112'!$M$9,2),B3975&lt;'112'!$K$9,$N3975='112'!$I$6)),"x",""))</f>
        <v/>
      </c>
      <c r="V3975" s="79" t="str">
        <f>IF(ISERROR(FIND('112'!$M$9,G3975,1)),"",IF((AND(RIGHT(G3975,2)=RIGHT('112'!$M$9,2),B3975&lt;'112'!$K$9,$O3975='112'!$I$6)),"x",""))</f>
        <v/>
      </c>
      <c r="W3975" s="79" t="str">
        <f>IF(AND('341-CT'!$H$9=H3975,OR(LEFT(N3975,3)=$W$7,LEFT(O3975,3)=$W$7)),"x","")</f>
        <v/>
      </c>
      <c r="X3975" s="79" t="str">
        <f>IF(OR(TH!N3975=TH!$X$7,O3975=TH!$X$7),"x","")</f>
        <v/>
      </c>
      <c r="Y3975" s="79" t="str">
        <f>IF(AND(OR(N3975="131",O3975="131"),H3975='131-CT'!$H$9),"x","")</f>
        <v/>
      </c>
      <c r="Z3975" s="79"/>
      <c r="AA3975" s="79" t="str">
        <f>IF(AND(MONTH(E3975)='IN-NX'!$J$5,'IN-NX'!$D$7=D3975),"x","")</f>
        <v/>
      </c>
      <c r="AB3975" s="79" t="str">
        <f>IF(AND(OR(LEFT(TH!N3975,2)="15",LEFT(TH!O3975,2)="15"),LEFT(TH!O3975,3)&lt;&gt;"111",'152-CT'!$J$8=TH!F3975),"x","")</f>
        <v/>
      </c>
      <c r="AC3975" s="79" t="str">
        <f>IF(AND(OR(LEFT(TH!N3975,2)="15",LEFT(TH!O3975,2)="15"),TK!$E$7=TH!F3975),"x","")</f>
        <v/>
      </c>
      <c r="AD3975" s="79" t="str">
        <f>IF(AND(N3975="1521",MONTH(C3975)='BK-NL'!$M$11),"x","")</f>
        <v/>
      </c>
    </row>
    <row r="3976" spans="1:30" ht="16.5" customHeight="1">
      <c r="A3976" s="318" t="str">
        <f>IF(B3976&lt;&gt;"",IF(AND(B3976='IN-TC'!$S$4,OR(TH!N3976="1111",TH!O3976="1111")),TH!D3976,""),"")</f>
        <v/>
      </c>
      <c r="B3976" s="60" t="str">
        <f t="shared" si="423"/>
        <v/>
      </c>
      <c r="C3976" s="75"/>
      <c r="D3976" s="75"/>
      <c r="E3976" s="75"/>
      <c r="F3976" s="1280"/>
      <c r="G3976" s="76"/>
      <c r="H3976" s="77"/>
      <c r="I3976" s="77"/>
      <c r="J3976" s="1253"/>
      <c r="K3976" s="1247"/>
      <c r="L3976" s="390"/>
      <c r="M3976" s="978"/>
      <c r="N3976" s="79"/>
      <c r="O3976" s="79"/>
      <c r="P3976" s="79" t="str">
        <f>IF(AND('331-CT'!$E$7=TH!H3976,OR(N3976="331",O3976="331")),"x","")</f>
        <v/>
      </c>
      <c r="Q3976" s="79" t="str">
        <f>IF(AND(B3976='111'!$L$11,OR($N3976=$Q$7,$O3976=$Q$7)),"x","")</f>
        <v/>
      </c>
      <c r="R3976" s="79" t="str">
        <f>IF(AND($N3976=$Q$7,$B3976&lt;'111'!$L$11),"x","")</f>
        <v/>
      </c>
      <c r="S3976" s="79" t="str">
        <f>IF(AND($O3976=$Q$7,$B3976&lt;'111'!$L$11),"x","")</f>
        <v/>
      </c>
      <c r="T3976" s="79" t="str">
        <f>IF(ISERROR(FIND('112'!$M$9,G3976,1)),"",IF((AND(FIND('112'!$M$9,G3976,1)&gt;=1,B3976='112'!$K$9,OR($N3976='112'!$I$6,$O3976='112'!$I$6))),"x",""))</f>
        <v/>
      </c>
      <c r="U3976" s="79" t="str">
        <f>IF(ISERROR(FIND('112'!$M$9,G3976,1)),"",IF((AND(LEFT(G3976,2)=LEFT('112'!$M$9,2),B3976&lt;'112'!$K$9,$N3976='112'!$I$6)),"x",""))</f>
        <v/>
      </c>
      <c r="V3976" s="79" t="str">
        <f>IF(ISERROR(FIND('112'!$M$9,G3976,1)),"",IF((AND(RIGHT(G3976,2)=RIGHT('112'!$M$9,2),B3976&lt;'112'!$K$9,$O3976='112'!$I$6)),"x",""))</f>
        <v/>
      </c>
      <c r="W3976" s="79" t="str">
        <f>IF(AND('341-CT'!$H$9=H3976,OR(LEFT(N3976,3)=$W$7,LEFT(O3976,3)=$W$7)),"x","")</f>
        <v/>
      </c>
      <c r="X3976" s="79" t="str">
        <f>IF(OR(TH!N3976=TH!$X$7,O3976=TH!$X$7),"x","")</f>
        <v/>
      </c>
      <c r="Y3976" s="79" t="str">
        <f>IF(AND(OR(N3976="131",O3976="131"),H3976='131-CT'!$H$9),"x","")</f>
        <v/>
      </c>
      <c r="Z3976" s="79"/>
      <c r="AA3976" s="79" t="str">
        <f>IF(AND(MONTH(E3976)='IN-NX'!$J$5,'IN-NX'!$D$7=D3976),"x","")</f>
        <v/>
      </c>
      <c r="AB3976" s="79" t="str">
        <f>IF(AND(OR(LEFT(TH!N3976,2)="15",LEFT(TH!O3976,2)="15"),LEFT(TH!O3976,3)&lt;&gt;"111",'152-CT'!$J$8=TH!F3976),"x","")</f>
        <v/>
      </c>
      <c r="AC3976" s="79" t="str">
        <f>IF(AND(OR(LEFT(TH!N3976,2)="15",LEFT(TH!O3976,2)="15"),TK!$E$7=TH!F3976),"x","")</f>
        <v/>
      </c>
      <c r="AD3976" s="79" t="str">
        <f>IF(AND(N3976="1521",MONTH(C3976)='BK-NL'!$M$11),"x","")</f>
        <v/>
      </c>
    </row>
    <row r="3977" spans="1:30" ht="16.5" customHeight="1">
      <c r="A3977" s="318" t="str">
        <f>IF(B3977&lt;&gt;"",IF(AND(B3977='IN-TC'!$S$4,OR(TH!N3977="1111",TH!O3977="1111")),TH!D3977,""),"")</f>
        <v/>
      </c>
      <c r="B3977" s="60" t="str">
        <f t="shared" ref="B3977" si="428">IF(C3977&lt;&gt;"",MONTH(C3977),"")</f>
        <v/>
      </c>
      <c r="C3977" s="75"/>
      <c r="D3977" s="75"/>
      <c r="E3977" s="75"/>
      <c r="F3977" s="1280"/>
      <c r="G3977" s="76"/>
      <c r="H3977" s="77"/>
      <c r="I3977" s="77"/>
      <c r="J3977" s="1253"/>
      <c r="K3977" s="1247"/>
      <c r="L3977" s="390"/>
      <c r="M3977" s="978"/>
      <c r="N3977" s="79"/>
      <c r="O3977" s="79"/>
      <c r="P3977" s="79" t="str">
        <f>IF(AND('331-CT'!$E$7=TH!H3977,OR(N3977="331",O3977="331")),"x","")</f>
        <v/>
      </c>
      <c r="Q3977" s="79" t="str">
        <f>IF(AND(B3977='111'!$L$11,OR($N3977=$Q$7,$O3977=$Q$7)),"x","")</f>
        <v/>
      </c>
      <c r="R3977" s="79" t="str">
        <f>IF(AND($N3977=$Q$7,$B3977&lt;'111'!$L$11),"x","")</f>
        <v/>
      </c>
      <c r="S3977" s="79" t="str">
        <f>IF(AND($O3977=$Q$7,$B3977&lt;'111'!$L$11),"x","")</f>
        <v/>
      </c>
      <c r="T3977" s="79" t="str">
        <f>IF(ISERROR(FIND('112'!$M$9,G3977,1)),"",IF((AND(FIND('112'!$M$9,G3977,1)&gt;=1,B3977='112'!$K$9,OR($N3977='112'!$I$6,$O3977='112'!$I$6))),"x",""))</f>
        <v/>
      </c>
      <c r="U3977" s="79" t="str">
        <f>IF(ISERROR(FIND('112'!$M$9,G3977,1)),"",IF((AND(LEFT(G3977,2)=LEFT('112'!$M$9,2),B3977&lt;'112'!$K$9,$N3977='112'!$I$6)),"x",""))</f>
        <v/>
      </c>
      <c r="V3977" s="79" t="str">
        <f>IF(ISERROR(FIND('112'!$M$9,G3977,1)),"",IF((AND(RIGHT(G3977,2)=RIGHT('112'!$M$9,2),B3977&lt;'112'!$K$9,$O3977='112'!$I$6)),"x",""))</f>
        <v/>
      </c>
      <c r="W3977" s="79" t="str">
        <f>IF(AND('341-CT'!$H$9=H3977,OR(LEFT(N3977,3)=$W$7,LEFT(O3977,3)=$W$7)),"x","")</f>
        <v/>
      </c>
      <c r="X3977" s="79" t="str">
        <f>IF(OR(TH!N3977=TH!$X$7,O3977=TH!$X$7),"x","")</f>
        <v/>
      </c>
      <c r="Y3977" s="79" t="str">
        <f>IF(AND(OR(N3977="131",O3977="131"),H3977='131-CT'!$H$9),"x","")</f>
        <v/>
      </c>
      <c r="Z3977" s="79"/>
      <c r="AA3977" s="79" t="str">
        <f>IF(AND(MONTH(E3977)='IN-NX'!$J$5,'IN-NX'!$D$7=D3977),"x","")</f>
        <v/>
      </c>
      <c r="AB3977" s="79" t="str">
        <f>IF(AND(OR(LEFT(TH!N3977,2)="15",LEFT(TH!O3977,2)="15"),LEFT(TH!O3977,3)&lt;&gt;"111",'152-CT'!$J$8=TH!F3977),"x","")</f>
        <v/>
      </c>
      <c r="AC3977" s="79" t="str">
        <f>IF(AND(OR(LEFT(TH!N3977,2)="15",LEFT(TH!O3977,2)="15"),TK!$E$7=TH!F3977),"x","")</f>
        <v/>
      </c>
      <c r="AD3977" s="79" t="str">
        <f>IF(AND(N3977="1521",MONTH(C3977)='BK-NL'!$M$11),"x","")</f>
        <v/>
      </c>
    </row>
    <row r="3978" spans="1:30" ht="16.5" customHeight="1">
      <c r="A3978" s="318" t="str">
        <f>IF(B3978&lt;&gt;"",IF(AND(B3978='IN-TC'!$S$4,OR(TH!N3978="1111",TH!O3978="1111")),TH!D3978,""),"")</f>
        <v/>
      </c>
      <c r="B3978" s="60" t="str">
        <f t="shared" si="423"/>
        <v/>
      </c>
      <c r="C3978" s="75"/>
      <c r="D3978" s="75"/>
      <c r="E3978" s="75"/>
      <c r="F3978" s="76"/>
      <c r="G3978" s="76"/>
      <c r="H3978" s="77"/>
      <c r="I3978" s="77"/>
      <c r="J3978" s="391"/>
      <c r="K3978" s="383"/>
      <c r="L3978" s="390"/>
      <c r="M3978" s="978"/>
      <c r="N3978" s="79"/>
      <c r="O3978" s="979"/>
      <c r="P3978" s="79" t="str">
        <f>IF(AND('331-CT'!$E$7=TH!H3978,OR(N3978="331",O3978="331")),"x","")</f>
        <v/>
      </c>
      <c r="Q3978" s="79" t="str">
        <f>IF(AND(B3978='111'!$L$11,OR($N3978=$Q$7,$O3978=$Q$7)),"x","")</f>
        <v/>
      </c>
      <c r="R3978" s="79" t="str">
        <f>IF(AND($N3978=$Q$7,$B3978&lt;'111'!$L$11),"x","")</f>
        <v/>
      </c>
      <c r="S3978" s="79" t="str">
        <f>IF(AND($O3978=$Q$7,$B3978&lt;'111'!$L$11),"x","")</f>
        <v/>
      </c>
      <c r="T3978" s="79" t="str">
        <f>IF(ISERROR(FIND('112'!$M$9,G3978,1)),"",IF((AND(FIND('112'!$M$9,G3978,1)&gt;=1,B3978='112'!$K$9,OR($N3978='112'!$I$6,$O3978='112'!$I$6))),"x",""))</f>
        <v/>
      </c>
      <c r="U3978" s="79" t="str">
        <f>IF(ISERROR(FIND('112'!$M$9,G3978,1)),"",IF((AND(LEFT(G3978,2)=LEFT('112'!$M$9,2),B3978&lt;'112'!$K$9,$N3978='112'!$I$6)),"x",""))</f>
        <v/>
      </c>
      <c r="V3978" s="79" t="str">
        <f>IF(ISERROR(FIND('112'!$M$9,G3978,1)),"",IF((AND(RIGHT(G3978,2)=RIGHT('112'!$M$9,2),B3978&lt;'112'!$K$9,$O3978='112'!$I$6)),"x",""))</f>
        <v/>
      </c>
      <c r="W3978" s="79" t="str">
        <f>IF(AND('341-CT'!$H$9=H3978,OR(LEFT(N3978,3)=$W$7,LEFT(O3978,3)=$W$7)),"x","")</f>
        <v/>
      </c>
      <c r="X3978" s="79" t="str">
        <f>IF(OR(TH!N3978=TH!$X$7,O3978=TH!$X$7),"x","")</f>
        <v/>
      </c>
      <c r="Y3978" s="79" t="str">
        <f>IF(AND(OR(N3978="131",O3978="131"),H3978='131-CT'!$H$9),"x","")</f>
        <v/>
      </c>
      <c r="Z3978" s="79"/>
      <c r="AA3978" s="79" t="str">
        <f>IF(AND(MONTH(E3978)='IN-NX'!$J$5,'IN-NX'!$D$7=D3978),"x","")</f>
        <v/>
      </c>
      <c r="AB3978" s="79" t="str">
        <f>IF(AND(OR(LEFT(TH!N3978,2)="15",LEFT(TH!O3978,2)="15"),LEFT(TH!O3978,3)&lt;&gt;"111",'152-CT'!$J$8=TH!F3978),"x","")</f>
        <v/>
      </c>
      <c r="AC3978" s="79" t="str">
        <f>IF(AND(OR(LEFT(TH!N3978,2)="15",LEFT(TH!O3978,2)="15"),TK!$E$7=TH!F3978),"x","")</f>
        <v/>
      </c>
      <c r="AD3978" s="79" t="str">
        <f>IF(AND(N3978="1521",MONTH(C3978)='BK-NL'!$M$11),"x","")</f>
        <v/>
      </c>
    </row>
    <row r="3979" spans="1:30" ht="16.5" customHeight="1">
      <c r="A3979" s="318" t="str">
        <f>IF(B3979&lt;&gt;"",IF(AND(B3979='IN-TC'!$S$4,OR(TH!N3979="1111",TH!O3979="1111")),TH!D3979,""),"")</f>
        <v/>
      </c>
      <c r="B3979" s="60" t="str">
        <f t="shared" si="423"/>
        <v/>
      </c>
      <c r="C3979" s="75"/>
      <c r="D3979" s="75"/>
      <c r="E3979" s="75"/>
      <c r="F3979" s="76"/>
      <c r="G3979" s="76"/>
      <c r="H3979" s="77"/>
      <c r="I3979" s="77"/>
      <c r="J3979" s="391"/>
      <c r="K3979" s="383"/>
      <c r="L3979" s="390"/>
      <c r="M3979" s="978"/>
      <c r="N3979" s="79"/>
      <c r="O3979" s="979"/>
      <c r="P3979" s="79" t="str">
        <f>IF(AND('331-CT'!$E$7=TH!H3979,OR(N3979="331",O3979="331")),"x","")</f>
        <v/>
      </c>
      <c r="Q3979" s="79" t="str">
        <f>IF(AND(B3979='111'!$L$11,OR($N3979=$Q$7,$O3979=$Q$7)),"x","")</f>
        <v/>
      </c>
      <c r="R3979" s="79" t="str">
        <f>IF(AND($N3979=$Q$7,$B3979&lt;'111'!$L$11),"x","")</f>
        <v/>
      </c>
      <c r="S3979" s="79" t="str">
        <f>IF(AND($O3979=$Q$7,$B3979&lt;'111'!$L$11),"x","")</f>
        <v/>
      </c>
      <c r="T3979" s="79" t="str">
        <f>IF(ISERROR(FIND('112'!$M$9,G3979,1)),"",IF((AND(FIND('112'!$M$9,G3979,1)&gt;=1,B3979='112'!$K$9,OR($N3979='112'!$I$6,$O3979='112'!$I$6))),"x",""))</f>
        <v/>
      </c>
      <c r="U3979" s="79" t="str">
        <f>IF(ISERROR(FIND('112'!$M$9,G3979,1)),"",IF((AND(LEFT(G3979,2)=LEFT('112'!$M$9,2),B3979&lt;'112'!$K$9,$N3979='112'!$I$6)),"x",""))</f>
        <v/>
      </c>
      <c r="V3979" s="79" t="str">
        <f>IF(ISERROR(FIND('112'!$M$9,G3979,1)),"",IF((AND(RIGHT(G3979,2)=RIGHT('112'!$M$9,2),B3979&lt;'112'!$K$9,$O3979='112'!$I$6)),"x",""))</f>
        <v/>
      </c>
      <c r="W3979" s="79" t="str">
        <f>IF(AND('341-CT'!$H$9=H3979,OR(LEFT(N3979,3)=$W$7,LEFT(O3979,3)=$W$7)),"x","")</f>
        <v/>
      </c>
      <c r="X3979" s="79" t="str">
        <f>IF(OR(TH!N3979=TH!$X$7,O3979=TH!$X$7),"x","")</f>
        <v/>
      </c>
      <c r="Y3979" s="79" t="str">
        <f>IF(AND(OR(N3979="131",O3979="131"),H3979='131-CT'!$H$9),"x","")</f>
        <v/>
      </c>
      <c r="Z3979" s="79"/>
      <c r="AA3979" s="79" t="str">
        <f>IF(AND(MONTH(E3979)='IN-NX'!$J$5,'IN-NX'!$D$7=D3979),"x","")</f>
        <v/>
      </c>
      <c r="AB3979" s="79" t="str">
        <f>IF(AND(OR(LEFT(TH!N3979,2)="15",LEFT(TH!O3979,2)="15"),LEFT(TH!O3979,3)&lt;&gt;"111",'152-CT'!$J$8=TH!F3979),"x","")</f>
        <v/>
      </c>
      <c r="AC3979" s="79" t="str">
        <f>IF(AND(OR(LEFT(TH!N3979,2)="15",LEFT(TH!O3979,2)="15"),TK!$E$7=TH!F3979),"x","")</f>
        <v/>
      </c>
      <c r="AD3979" s="79" t="str">
        <f>IF(AND(N3979="1521",MONTH(C3979)='BK-NL'!$M$11),"x","")</f>
        <v/>
      </c>
    </row>
    <row r="3980" spans="1:30" ht="16.5" customHeight="1">
      <c r="A3980" s="318" t="str">
        <f>IF(B3980&lt;&gt;"",IF(AND(B3980='IN-TC'!$S$4,OR(TH!N3980="1111",TH!O3980="1111")),TH!D3980,""),"")</f>
        <v/>
      </c>
      <c r="B3980" s="60" t="str">
        <f t="shared" si="423"/>
        <v/>
      </c>
      <c r="C3980" s="75"/>
      <c r="D3980" s="75"/>
      <c r="E3980" s="75"/>
      <c r="F3980" s="76"/>
      <c r="G3980" s="76"/>
      <c r="H3980" s="77"/>
      <c r="I3980" s="77"/>
      <c r="J3980" s="391"/>
      <c r="K3980" s="383"/>
      <c r="L3980" s="390"/>
      <c r="M3980" s="78"/>
      <c r="N3980" s="79"/>
      <c r="O3980" s="979"/>
      <c r="P3980" s="79" t="str">
        <f>IF(AND('331-CT'!$E$7=TH!H3980,OR(N3980="331",O3980="331")),"x","")</f>
        <v/>
      </c>
      <c r="Q3980" s="79" t="str">
        <f>IF(AND(B3980='111'!$L$11,OR($N3980=$Q$7,$O3980=$Q$7)),"x","")</f>
        <v/>
      </c>
      <c r="R3980" s="79" t="str">
        <f>IF(AND($N3980=$Q$7,$B3980&lt;'111'!$L$11),"x","")</f>
        <v/>
      </c>
      <c r="S3980" s="79" t="str">
        <f>IF(AND($O3980=$Q$7,$B3980&lt;'111'!$L$11),"x","")</f>
        <v/>
      </c>
      <c r="T3980" s="79" t="str">
        <f>IF(ISERROR(FIND('112'!$M$9,G3980,1)),"",IF((AND(FIND('112'!$M$9,G3980,1)&gt;=1,B3980='112'!$K$9,OR($N3980='112'!$I$6,$O3980='112'!$I$6))),"x",""))</f>
        <v/>
      </c>
      <c r="U3980" s="79" t="str">
        <f>IF(ISERROR(FIND('112'!$M$9,G3980,1)),"",IF((AND(LEFT(G3980,2)=LEFT('112'!$M$9,2),B3980&lt;'112'!$K$9,$N3980='112'!$I$6)),"x",""))</f>
        <v/>
      </c>
      <c r="V3980" s="79" t="str">
        <f>IF(ISERROR(FIND('112'!$M$9,G3980,1)),"",IF((AND(RIGHT(G3980,2)=RIGHT('112'!$M$9,2),B3980&lt;'112'!$K$9,$O3980='112'!$I$6)),"x",""))</f>
        <v/>
      </c>
      <c r="W3980" s="79" t="str">
        <f>IF(AND('341-CT'!$H$9=H3980,OR(LEFT(N3980,3)=$W$7,LEFT(O3980,3)=$W$7)),"x","")</f>
        <v/>
      </c>
      <c r="X3980" s="79" t="str">
        <f>IF(OR(TH!N3980=TH!$X$7,O3980=TH!$X$7),"x","")</f>
        <v/>
      </c>
      <c r="Y3980" s="79" t="str">
        <f>IF(AND(OR(N3980="131",O3980="131"),H3980='131-CT'!$H$9),"x","")</f>
        <v/>
      </c>
      <c r="Z3980" s="79"/>
      <c r="AA3980" s="79" t="str">
        <f>IF(AND(MONTH(E3980)='IN-NX'!$J$5,'IN-NX'!$D$7=D3980),"x","")</f>
        <v/>
      </c>
      <c r="AB3980" s="79" t="str">
        <f>IF(AND(OR(LEFT(TH!N3980,2)="15",LEFT(TH!O3980,2)="15"),LEFT(TH!O3980,3)&lt;&gt;"111",'152-CT'!$J$8=TH!F3980),"x","")</f>
        <v/>
      </c>
      <c r="AC3980" s="79" t="str">
        <f>IF(AND(OR(LEFT(TH!N3980,2)="15",LEFT(TH!O3980,2)="15"),TK!$E$7=TH!F3980),"x","")</f>
        <v/>
      </c>
      <c r="AD3980" s="79" t="str">
        <f>IF(AND(N3980="1521",MONTH(C3980)='BK-NL'!$M$11),"x","")</f>
        <v/>
      </c>
    </row>
    <row r="3981" spans="1:30" ht="16.5" customHeight="1">
      <c r="A3981" s="318" t="str">
        <f>IF(B3981&lt;&gt;"",IF(AND(B3981='IN-TC'!$S$4,OR(TH!N3981="1111",TH!O3981="1111")),TH!D3981,""),"")</f>
        <v/>
      </c>
      <c r="B3981" s="60" t="str">
        <f t="shared" si="423"/>
        <v/>
      </c>
      <c r="C3981" s="75"/>
      <c r="D3981" s="75"/>
      <c r="E3981" s="75"/>
      <c r="F3981" s="76"/>
      <c r="G3981" s="76"/>
      <c r="H3981" s="77"/>
      <c r="I3981" s="77"/>
      <c r="J3981" s="391"/>
      <c r="K3981" s="383"/>
      <c r="L3981" s="390"/>
      <c r="M3981" s="978"/>
      <c r="N3981" s="79"/>
      <c r="O3981" s="979"/>
      <c r="P3981" s="79" t="str">
        <f>IF(AND('331-CT'!$E$7=TH!H3981,OR(N3981="331",O3981="331")),"x","")</f>
        <v/>
      </c>
      <c r="Q3981" s="79" t="str">
        <f>IF(AND(B3981='111'!$L$11,OR($N3981=$Q$7,$O3981=$Q$7)),"x","")</f>
        <v/>
      </c>
      <c r="R3981" s="79" t="str">
        <f>IF(AND($N3981=$Q$7,$B3981&lt;'111'!$L$11),"x","")</f>
        <v/>
      </c>
      <c r="S3981" s="79" t="str">
        <f>IF(AND($O3981=$Q$7,$B3981&lt;'111'!$L$11),"x","")</f>
        <v/>
      </c>
      <c r="T3981" s="79" t="str">
        <f>IF(ISERROR(FIND('112'!$M$9,G3981,1)),"",IF((AND(FIND('112'!$M$9,G3981,1)&gt;=1,B3981='112'!$K$9,OR($N3981='112'!$I$6,$O3981='112'!$I$6))),"x",""))</f>
        <v/>
      </c>
      <c r="U3981" s="79" t="str">
        <f>IF(ISERROR(FIND('112'!$M$9,G3981,1)),"",IF((AND(LEFT(G3981,2)=LEFT('112'!$M$9,2),B3981&lt;'112'!$K$9,$N3981='112'!$I$6)),"x",""))</f>
        <v/>
      </c>
      <c r="V3981" s="79" t="str">
        <f>IF(ISERROR(FIND('112'!$M$9,G3981,1)),"",IF((AND(RIGHT(G3981,2)=RIGHT('112'!$M$9,2),B3981&lt;'112'!$K$9,$O3981='112'!$I$6)),"x",""))</f>
        <v/>
      </c>
      <c r="W3981" s="79" t="str">
        <f>IF(AND('341-CT'!$H$9=H3981,OR(LEFT(N3981,3)=$W$7,LEFT(O3981,3)=$W$7)),"x","")</f>
        <v/>
      </c>
      <c r="X3981" s="79" t="str">
        <f>IF(OR(TH!N3981=TH!$X$7,O3981=TH!$X$7),"x","")</f>
        <v/>
      </c>
      <c r="Y3981" s="79" t="str">
        <f>IF(AND(OR(N3981="131",O3981="131"),H3981='131-CT'!$H$9),"x","")</f>
        <v/>
      </c>
      <c r="Z3981" s="79"/>
      <c r="AA3981" s="79" t="str">
        <f>IF(AND(MONTH(E3981)='IN-NX'!$J$5,'IN-NX'!$D$7=D3981),"x","")</f>
        <v/>
      </c>
      <c r="AB3981" s="79" t="str">
        <f>IF(AND(OR(LEFT(TH!N3981,2)="15",LEFT(TH!O3981,2)="15"),LEFT(TH!O3981,3)&lt;&gt;"111",'152-CT'!$J$8=TH!F3981),"x","")</f>
        <v/>
      </c>
      <c r="AC3981" s="79" t="str">
        <f>IF(AND(OR(LEFT(TH!N3981,2)="15",LEFT(TH!O3981,2)="15"),TK!$E$7=TH!F3981),"x","")</f>
        <v/>
      </c>
      <c r="AD3981" s="79" t="str">
        <f>IF(AND(N3981="1521",MONTH(C3981)='BK-NL'!$M$11),"x","")</f>
        <v/>
      </c>
    </row>
    <row r="3982" spans="1:30" ht="16.5" customHeight="1">
      <c r="A3982" s="318" t="str">
        <f>IF(B3982&lt;&gt;"",IF(AND(B3982='IN-TC'!$S$4,OR(TH!N3982="1111",TH!O3982="1111")),TH!D3982,""),"")</f>
        <v/>
      </c>
      <c r="B3982" s="60" t="str">
        <f t="shared" si="423"/>
        <v/>
      </c>
      <c r="C3982" s="75"/>
      <c r="D3982" s="75"/>
      <c r="E3982" s="75"/>
      <c r="F3982" s="76"/>
      <c r="G3982" s="76"/>
      <c r="H3982" s="77"/>
      <c r="I3982" s="77"/>
      <c r="J3982" s="391"/>
      <c r="K3982" s="384"/>
      <c r="L3982" s="390"/>
      <c r="M3982" s="978"/>
      <c r="N3982" s="79"/>
      <c r="O3982" s="979"/>
      <c r="P3982" s="79" t="str">
        <f>IF(AND('331-CT'!$E$7=TH!H3982,OR(N3982="331",O3982="331")),"x","")</f>
        <v/>
      </c>
      <c r="Q3982" s="79" t="str">
        <f>IF(AND(B3982='111'!$L$11,OR($N3982=$Q$7,$O3982=$Q$7)),"x","")</f>
        <v/>
      </c>
      <c r="R3982" s="79" t="str">
        <f>IF(AND($N3982=$Q$7,$B3982&lt;'111'!$L$11),"x","")</f>
        <v/>
      </c>
      <c r="S3982" s="79" t="str">
        <f>IF(AND($O3982=$Q$7,$B3982&lt;'111'!$L$11),"x","")</f>
        <v/>
      </c>
      <c r="T3982" s="79" t="str">
        <f>IF(ISERROR(FIND('112'!$M$9,G3982,1)),"",IF((AND(FIND('112'!$M$9,G3982,1)&gt;=1,B3982='112'!$K$9,OR($N3982='112'!$I$6,$O3982='112'!$I$6))),"x",""))</f>
        <v/>
      </c>
      <c r="U3982" s="79" t="str">
        <f>IF(ISERROR(FIND('112'!$M$9,G3982,1)),"",IF((AND(LEFT(G3982,2)=LEFT('112'!$M$9,2),B3982&lt;'112'!$K$9,$N3982='112'!$I$6)),"x",""))</f>
        <v/>
      </c>
      <c r="V3982" s="79" t="str">
        <f>IF(ISERROR(FIND('112'!$M$9,G3982,1)),"",IF((AND(RIGHT(G3982,2)=RIGHT('112'!$M$9,2),B3982&lt;'112'!$K$9,$O3982='112'!$I$6)),"x",""))</f>
        <v/>
      </c>
      <c r="W3982" s="79" t="str">
        <f>IF(AND('341-CT'!$H$9=H3982,OR(LEFT(N3982,3)=$W$7,LEFT(O3982,3)=$W$7)),"x","")</f>
        <v/>
      </c>
      <c r="X3982" s="79" t="str">
        <f>IF(OR(TH!N3982=TH!$X$7,O3982=TH!$X$7),"x","")</f>
        <v/>
      </c>
      <c r="Y3982" s="79" t="str">
        <f>IF(AND(OR(N3982="131",O3982="131"),H3982='131-CT'!$H$9),"x","")</f>
        <v/>
      </c>
      <c r="Z3982" s="79"/>
      <c r="AA3982" s="79" t="str">
        <f>IF(AND(MONTH(E3982)='IN-NX'!$J$5,'IN-NX'!$D$7=D3982),"x","")</f>
        <v/>
      </c>
      <c r="AB3982" s="79" t="str">
        <f>IF(AND(OR(LEFT(TH!N3982,2)="15",LEFT(TH!O3982,2)="15"),LEFT(TH!O3982,3)&lt;&gt;"111",'152-CT'!$J$8=TH!F3982),"x","")</f>
        <v/>
      </c>
      <c r="AC3982" s="79" t="str">
        <f>IF(AND(OR(LEFT(TH!N3982,2)="15",LEFT(TH!O3982,2)="15"),TK!$E$7=TH!F3982),"x","")</f>
        <v/>
      </c>
      <c r="AD3982" s="79" t="str">
        <f>IF(AND(N3982="1521",MONTH(C3982)='BK-NL'!$M$11),"x","")</f>
        <v/>
      </c>
    </row>
    <row r="3983" spans="1:30" ht="16.5" customHeight="1">
      <c r="A3983" s="318" t="str">
        <f>IF(B3983&lt;&gt;"",IF(AND(B3983='IN-TC'!$S$4,OR(TH!N3983="1111",TH!O3983="1111")),TH!D3983,""),"")</f>
        <v/>
      </c>
      <c r="B3983" s="60" t="str">
        <f t="shared" si="423"/>
        <v/>
      </c>
      <c r="C3983" s="75"/>
      <c r="D3983" s="75"/>
      <c r="E3983" s="75"/>
      <c r="F3983" s="76"/>
      <c r="G3983" s="76"/>
      <c r="H3983" s="305"/>
      <c r="I3983" s="77"/>
      <c r="J3983" s="390"/>
      <c r="K3983" s="383"/>
      <c r="L3983" s="390"/>
      <c r="M3983" s="978"/>
      <c r="N3983" s="79"/>
      <c r="O3983" s="979"/>
      <c r="P3983" s="79" t="str">
        <f>IF(AND('331-CT'!$E$7=TH!H3983,OR(N3983="331",O3983="331")),"x","")</f>
        <v/>
      </c>
      <c r="Q3983" s="79" t="str">
        <f>IF(AND(B3983='111'!$L$11,OR($N3983=$Q$7,$O3983=$Q$7)),"x","")</f>
        <v/>
      </c>
      <c r="R3983" s="79" t="str">
        <f>IF(AND($N3983=$Q$7,$B3983&lt;'111'!$L$11),"x","")</f>
        <v/>
      </c>
      <c r="S3983" s="79" t="str">
        <f>IF(AND($O3983=$Q$7,$B3983&lt;'111'!$L$11),"x","")</f>
        <v/>
      </c>
      <c r="T3983" s="79" t="str">
        <f>IF(ISERROR(FIND('112'!$M$9,G3983,1)),"",IF((AND(FIND('112'!$M$9,G3983,1)&gt;=1,B3983='112'!$K$9,OR($N3983='112'!$I$6,$O3983='112'!$I$6))),"x",""))</f>
        <v/>
      </c>
      <c r="U3983" s="79" t="str">
        <f>IF(ISERROR(FIND('112'!$M$9,G3983,1)),"",IF((AND(LEFT(G3983,2)=LEFT('112'!$M$9,2),B3983&lt;'112'!$K$9,$N3983='112'!$I$6)),"x",""))</f>
        <v/>
      </c>
      <c r="V3983" s="79" t="str">
        <f>IF(ISERROR(FIND('112'!$M$9,G3983,1)),"",IF((AND(RIGHT(G3983,2)=RIGHT('112'!$M$9,2),B3983&lt;'112'!$K$9,$O3983='112'!$I$6)),"x",""))</f>
        <v/>
      </c>
      <c r="W3983" s="79" t="str">
        <f>IF(AND('341-CT'!$H$9=H3983,OR(LEFT(N3983,3)=$W$7,LEFT(O3983,3)=$W$7)),"x","")</f>
        <v/>
      </c>
      <c r="X3983" s="79" t="str">
        <f>IF(OR(TH!N3983=TH!$X$7,O3983=TH!$X$7),"x","")</f>
        <v/>
      </c>
      <c r="Y3983" s="79" t="str">
        <f>IF(AND(OR(N3983="131",O3983="131"),H3983='131-CT'!$H$9),"x","")</f>
        <v/>
      </c>
      <c r="Z3983" s="79"/>
      <c r="AA3983" s="79" t="str">
        <f>IF(AND(MONTH(E3983)='IN-NX'!$J$5,'IN-NX'!$D$7=D3983),"x","")</f>
        <v/>
      </c>
      <c r="AB3983" s="79" t="str">
        <f>IF(AND(OR(LEFT(TH!N3983,2)="15",LEFT(TH!O3983,2)="15"),LEFT(TH!O3983,3)&lt;&gt;"111",'152-CT'!$J$8=TH!F3983),"x","")</f>
        <v/>
      </c>
      <c r="AC3983" s="79" t="str">
        <f>IF(AND(OR(LEFT(TH!N3983,2)="15",LEFT(TH!O3983,2)="15"),TK!$E$7=TH!F3983),"x","")</f>
        <v/>
      </c>
      <c r="AD3983" s="79" t="str">
        <f>IF(AND(N3983="1521",MONTH(C3983)='BK-NL'!$M$11),"x","")</f>
        <v/>
      </c>
    </row>
    <row r="3984" spans="1:30" ht="16.5" customHeight="1">
      <c r="A3984" s="318" t="str">
        <f>IF(B3984&lt;&gt;"",IF(AND(B3984='IN-TC'!$S$4,OR(TH!N3984="1111",TH!O3984="1111")),TH!D3984,""),"")</f>
        <v/>
      </c>
      <c r="B3984" s="60" t="str">
        <f t="shared" si="423"/>
        <v/>
      </c>
      <c r="C3984" s="75"/>
      <c r="D3984" s="75"/>
      <c r="E3984" s="75"/>
      <c r="F3984" s="76"/>
      <c r="G3984" s="76"/>
      <c r="H3984" s="77"/>
      <c r="I3984" s="77"/>
      <c r="J3984" s="1248"/>
      <c r="K3984" s="1247"/>
      <c r="L3984" s="390"/>
      <c r="M3984" s="978"/>
      <c r="N3984" s="79"/>
      <c r="O3984" s="979"/>
      <c r="P3984" s="79" t="str">
        <f>IF(AND('331-CT'!$E$7=TH!H3984,OR(N3984="331",O3984="331")),"x","")</f>
        <v/>
      </c>
      <c r="Q3984" s="79" t="str">
        <f>IF(AND(B3984='111'!$L$11,OR($N3984=$Q$7,$O3984=$Q$7)),"x","")</f>
        <v/>
      </c>
      <c r="R3984" s="79" t="str">
        <f>IF(AND($N3984=$Q$7,$B3984&lt;'111'!$L$11),"x","")</f>
        <v/>
      </c>
      <c r="S3984" s="79" t="str">
        <f>IF(AND($O3984=$Q$7,$B3984&lt;'111'!$L$11),"x","")</f>
        <v/>
      </c>
      <c r="T3984" s="79" t="str">
        <f>IF(ISERROR(FIND('112'!$M$9,G3984,1)),"",IF((AND(FIND('112'!$M$9,G3984,1)&gt;=1,B3984='112'!$K$9,OR($N3984='112'!$I$6,$O3984='112'!$I$6))),"x",""))</f>
        <v/>
      </c>
      <c r="U3984" s="79" t="str">
        <f>IF(ISERROR(FIND('112'!$M$9,G3984,1)),"",IF((AND(LEFT(G3984,2)=LEFT('112'!$M$9,2),B3984&lt;'112'!$K$9,$N3984='112'!$I$6)),"x",""))</f>
        <v/>
      </c>
      <c r="V3984" s="79" t="str">
        <f>IF(ISERROR(FIND('112'!$M$9,G3984,1)),"",IF((AND(RIGHT(G3984,2)=RIGHT('112'!$M$9,2),B3984&lt;'112'!$K$9,$O3984='112'!$I$6)),"x",""))</f>
        <v/>
      </c>
      <c r="W3984" s="79" t="str">
        <f>IF(AND('341-CT'!$H$9=H3984,OR(LEFT(N3984,3)=$W$7,LEFT(O3984,3)=$W$7)),"x","")</f>
        <v/>
      </c>
      <c r="X3984" s="79" t="str">
        <f>IF(OR(TH!N3984=TH!$X$7,O3984=TH!$X$7),"x","")</f>
        <v/>
      </c>
      <c r="Y3984" s="79" t="str">
        <f>IF(AND(OR(N3984="131",O3984="131"),H3984='131-CT'!$H$9),"x","")</f>
        <v/>
      </c>
      <c r="Z3984" s="79"/>
      <c r="AA3984" s="79" t="str">
        <f>IF(AND(MONTH(E3984)='IN-NX'!$J$5,'IN-NX'!$D$7=D3984),"x","")</f>
        <v/>
      </c>
      <c r="AB3984" s="79" t="str">
        <f>IF(AND(OR(LEFT(TH!N3984,2)="15",LEFT(TH!O3984,2)="15"),LEFT(TH!O3984,3)&lt;&gt;"111",'152-CT'!$J$8=TH!F3984),"x","")</f>
        <v/>
      </c>
      <c r="AC3984" s="79" t="str">
        <f>IF(AND(OR(LEFT(TH!N3984,2)="15",LEFT(TH!O3984,2)="15"),TK!$E$7=TH!F3984),"x","")</f>
        <v/>
      </c>
      <c r="AD3984" s="79" t="str">
        <f>IF(AND(N3984="1521",MONTH(C3984)='BK-NL'!$M$11),"x","")</f>
        <v/>
      </c>
    </row>
    <row r="3985" spans="1:30" ht="16.5" customHeight="1">
      <c r="A3985" s="318" t="str">
        <f>IF(B3985&lt;&gt;"",IF(AND(B3985='IN-TC'!$S$4,OR(TH!N3985="1111",TH!O3985="1111")),TH!D3985,""),"")</f>
        <v/>
      </c>
      <c r="B3985" s="60" t="str">
        <f t="shared" si="423"/>
        <v/>
      </c>
      <c r="C3985" s="75"/>
      <c r="D3985" s="75"/>
      <c r="E3985" s="75"/>
      <c r="F3985" s="76"/>
      <c r="G3985" s="76"/>
      <c r="H3985" s="77"/>
      <c r="I3985" s="77"/>
      <c r="J3985" s="1248"/>
      <c r="K3985" s="1247"/>
      <c r="L3985" s="390"/>
      <c r="M3985" s="978"/>
      <c r="N3985" s="79"/>
      <c r="O3985" s="979"/>
      <c r="P3985" s="79" t="str">
        <f>IF(AND('331-CT'!$E$7=TH!H3985,OR(N3985="331",O3985="331")),"x","")</f>
        <v/>
      </c>
      <c r="Q3985" s="79" t="str">
        <f>IF(AND(B3985='111'!$L$11,OR($N3985=$Q$7,$O3985=$Q$7)),"x","")</f>
        <v/>
      </c>
      <c r="R3985" s="79" t="str">
        <f>IF(AND($N3985=$Q$7,$B3985&lt;'111'!$L$11),"x","")</f>
        <v/>
      </c>
      <c r="S3985" s="79" t="str">
        <f>IF(AND($O3985=$Q$7,$B3985&lt;'111'!$L$11),"x","")</f>
        <v/>
      </c>
      <c r="T3985" s="79" t="str">
        <f>IF(ISERROR(FIND('112'!$M$9,G3985,1)),"",IF((AND(FIND('112'!$M$9,G3985,1)&gt;=1,B3985='112'!$K$9,OR($N3985='112'!$I$6,$O3985='112'!$I$6))),"x",""))</f>
        <v/>
      </c>
      <c r="U3985" s="79" t="str">
        <f>IF(ISERROR(FIND('112'!$M$9,G3985,1)),"",IF((AND(LEFT(G3985,2)=LEFT('112'!$M$9,2),B3985&lt;'112'!$K$9,$N3985='112'!$I$6)),"x",""))</f>
        <v/>
      </c>
      <c r="V3985" s="79" t="str">
        <f>IF(ISERROR(FIND('112'!$M$9,G3985,1)),"",IF((AND(RIGHT(G3985,2)=RIGHT('112'!$M$9,2),B3985&lt;'112'!$K$9,$O3985='112'!$I$6)),"x",""))</f>
        <v/>
      </c>
      <c r="W3985" s="79" t="str">
        <f>IF(AND('341-CT'!$H$9=H3985,OR(LEFT(N3985,3)=$W$7,LEFT(O3985,3)=$W$7)),"x","")</f>
        <v/>
      </c>
      <c r="X3985" s="79" t="str">
        <f>IF(OR(TH!N3985=TH!$X$7,O3985=TH!$X$7),"x","")</f>
        <v/>
      </c>
      <c r="Y3985" s="79" t="str">
        <f>IF(AND(OR(N3985="131",O3985="131"),H3985='131-CT'!$H$9),"x","")</f>
        <v/>
      </c>
      <c r="Z3985" s="79"/>
      <c r="AA3985" s="79" t="str">
        <f>IF(AND(MONTH(E3985)='IN-NX'!$J$5,'IN-NX'!$D$7=D3985),"x","")</f>
        <v/>
      </c>
      <c r="AB3985" s="79" t="str">
        <f>IF(AND(OR(LEFT(TH!N3985,2)="15",LEFT(TH!O3985,2)="15"),LEFT(TH!O3985,3)&lt;&gt;"111",'152-CT'!$J$8=TH!F3985),"x","")</f>
        <v/>
      </c>
      <c r="AC3985" s="79" t="str">
        <f>IF(AND(OR(LEFT(TH!N3985,2)="15",LEFT(TH!O3985,2)="15"),TK!$E$7=TH!F3985),"x","")</f>
        <v/>
      </c>
      <c r="AD3985" s="79" t="str">
        <f>IF(AND(N3985="1521",MONTH(C3985)='BK-NL'!$M$11),"x","")</f>
        <v/>
      </c>
    </row>
    <row r="3986" spans="1:30" ht="16.5" customHeight="1">
      <c r="A3986" s="318" t="str">
        <f>IF(B3986&lt;&gt;"",IF(AND(B3986='IN-TC'!$S$4,OR(TH!N3986="1111",TH!O3986="1111")),TH!D3986,""),"")</f>
        <v/>
      </c>
      <c r="B3986" s="60" t="str">
        <f t="shared" si="423"/>
        <v/>
      </c>
      <c r="C3986" s="75"/>
      <c r="D3986" s="75"/>
      <c r="E3986" s="75"/>
      <c r="F3986" s="76"/>
      <c r="G3986" s="76"/>
      <c r="H3986" s="77"/>
      <c r="I3986" s="77"/>
      <c r="J3986" s="391"/>
      <c r="K3986" s="384"/>
      <c r="L3986" s="391"/>
      <c r="M3986" s="978"/>
      <c r="N3986" s="79"/>
      <c r="O3986" s="79"/>
      <c r="P3986" s="79" t="str">
        <f>IF(AND('331-CT'!$E$7=TH!H3986,OR(N3986="331",O3986="331")),"x","")</f>
        <v/>
      </c>
      <c r="Q3986" s="79" t="str">
        <f>IF(AND(B3986='111'!$L$11,OR($N3986=$Q$7,$O3986=$Q$7)),"x","")</f>
        <v/>
      </c>
      <c r="R3986" s="79" t="str">
        <f>IF(AND($N3986=$Q$7,$B3986&lt;'111'!$L$11),"x","")</f>
        <v/>
      </c>
      <c r="S3986" s="79" t="str">
        <f>IF(AND($O3986=$Q$7,$B3986&lt;'111'!$L$11),"x","")</f>
        <v/>
      </c>
      <c r="T3986" s="79" t="str">
        <f>IF(ISERROR(FIND('112'!$M$9,G3986,1)),"",IF((AND(FIND('112'!$M$9,G3986,1)&gt;=1,B3986='112'!$K$9,OR($N3986='112'!$I$6,$O3986='112'!$I$6))),"x",""))</f>
        <v/>
      </c>
      <c r="U3986" s="79" t="str">
        <f>IF(ISERROR(FIND('112'!$M$9,G3986,1)),"",IF((AND(LEFT(G3986,2)=LEFT('112'!$M$9,2),B3986&lt;'112'!$K$9,$N3986='112'!$I$6)),"x",""))</f>
        <v/>
      </c>
      <c r="V3986" s="79" t="str">
        <f>IF(ISERROR(FIND('112'!$M$9,G3986,1)),"",IF((AND(RIGHT(G3986,2)=RIGHT('112'!$M$9,2),B3986&lt;'112'!$K$9,$O3986='112'!$I$6)),"x",""))</f>
        <v/>
      </c>
      <c r="W3986" s="79" t="str">
        <f>IF(AND('341-CT'!$H$9=H3986,OR(LEFT(N3986,3)=$W$7,LEFT(O3986,3)=$W$7)),"x","")</f>
        <v/>
      </c>
      <c r="X3986" s="79" t="str">
        <f>IF(OR(TH!N3986=TH!$X$7,O3986=TH!$X$7),"x","")</f>
        <v/>
      </c>
      <c r="Y3986" s="79" t="str">
        <f>IF(AND(OR(N3986="131",O3986="131"),H3986='131-CT'!$H$9),"x","")</f>
        <v/>
      </c>
      <c r="Z3986" s="79"/>
      <c r="AA3986" s="79" t="str">
        <f>IF(AND(MONTH(E3986)='IN-NX'!$J$5,'IN-NX'!$D$7=D3986),"x","")</f>
        <v/>
      </c>
      <c r="AB3986" s="79" t="str">
        <f>IF(AND(OR(LEFT(TH!N3986,2)="15",LEFT(TH!O3986,2)="15"),LEFT(TH!O3986,3)&lt;&gt;"111",'152-CT'!$J$8=TH!F3986),"x","")</f>
        <v/>
      </c>
      <c r="AC3986" s="79" t="str">
        <f>IF(AND(OR(LEFT(TH!N3986,2)="15",LEFT(TH!O3986,2)="15"),TK!$E$7=TH!F3986),"x","")</f>
        <v/>
      </c>
      <c r="AD3986" s="79" t="str">
        <f>IF(AND(N3986="1521",MONTH(C3986)='BK-NL'!$M$11),"x","")</f>
        <v/>
      </c>
    </row>
    <row r="3987" spans="1:30" ht="16.5" customHeight="1">
      <c r="A3987" s="318" t="str">
        <f>IF(B3987&lt;&gt;"",IF(AND(B3987='IN-TC'!$S$4,OR(TH!N3987="1111",TH!O3987="1111")),TH!D3987,""),"")</f>
        <v/>
      </c>
      <c r="B3987" s="60" t="str">
        <f t="shared" si="423"/>
        <v/>
      </c>
      <c r="C3987" s="75"/>
      <c r="D3987" s="75"/>
      <c r="E3987" s="75"/>
      <c r="F3987" s="76"/>
      <c r="G3987" s="76"/>
      <c r="H3987" s="77"/>
      <c r="I3987" s="77"/>
      <c r="J3987" s="1248"/>
      <c r="K3987" s="1247"/>
      <c r="L3987" s="390"/>
      <c r="M3987" s="978"/>
      <c r="N3987" s="79"/>
      <c r="O3987" s="979"/>
      <c r="P3987" s="79" t="str">
        <f>IF(AND('331-CT'!$E$7=TH!H3987,OR(N3987="331",O3987="331")),"x","")</f>
        <v/>
      </c>
      <c r="Q3987" s="79" t="str">
        <f>IF(AND(B3987='111'!$L$11,OR($N3987=$Q$7,$O3987=$Q$7)),"x","")</f>
        <v/>
      </c>
      <c r="R3987" s="79" t="str">
        <f>IF(AND($N3987=$Q$7,$B3987&lt;'111'!$L$11),"x","")</f>
        <v/>
      </c>
      <c r="S3987" s="79" t="str">
        <f>IF(AND($O3987=$Q$7,$B3987&lt;'111'!$L$11),"x","")</f>
        <v/>
      </c>
      <c r="T3987" s="79" t="str">
        <f>IF(ISERROR(FIND('112'!$M$9,G3987,1)),"",IF((AND(FIND('112'!$M$9,G3987,1)&gt;=1,B3987='112'!$K$9,OR($N3987='112'!$I$6,$O3987='112'!$I$6))),"x",""))</f>
        <v/>
      </c>
      <c r="U3987" s="79" t="str">
        <f>IF(ISERROR(FIND('112'!$M$9,G3987,1)),"",IF((AND(LEFT(G3987,2)=LEFT('112'!$M$9,2),B3987&lt;'112'!$K$9,$N3987='112'!$I$6)),"x",""))</f>
        <v/>
      </c>
      <c r="V3987" s="79" t="str">
        <f>IF(ISERROR(FIND('112'!$M$9,G3987,1)),"",IF((AND(RIGHT(G3987,2)=RIGHT('112'!$M$9,2),B3987&lt;'112'!$K$9,$O3987='112'!$I$6)),"x",""))</f>
        <v/>
      </c>
      <c r="W3987" s="79" t="str">
        <f>IF(AND('341-CT'!$H$9=H3987,OR(LEFT(N3987,3)=$W$7,LEFT(O3987,3)=$W$7)),"x","")</f>
        <v/>
      </c>
      <c r="X3987" s="79" t="str">
        <f>IF(OR(TH!N3987=TH!$X$7,O3987=TH!$X$7),"x","")</f>
        <v/>
      </c>
      <c r="Y3987" s="79" t="str">
        <f>IF(AND(OR(N3987="131",O3987="131"),H3987='131-CT'!$H$9),"x","")</f>
        <v/>
      </c>
      <c r="Z3987" s="79"/>
      <c r="AA3987" s="79" t="str">
        <f>IF(AND(MONTH(E3987)='IN-NX'!$J$5,'IN-NX'!$D$7=D3987),"x","")</f>
        <v/>
      </c>
      <c r="AB3987" s="79" t="str">
        <f>IF(AND(OR(LEFT(TH!N3987,2)="15",LEFT(TH!O3987,2)="15"),LEFT(TH!O3987,3)&lt;&gt;"111",'152-CT'!$J$8=TH!F3987),"x","")</f>
        <v/>
      </c>
      <c r="AC3987" s="79" t="str">
        <f>IF(AND(OR(LEFT(TH!N3987,2)="15",LEFT(TH!O3987,2)="15"),TK!$E$7=TH!F3987),"x","")</f>
        <v/>
      </c>
      <c r="AD3987" s="79" t="str">
        <f>IF(AND(N3987="1521",MONTH(C3987)='BK-NL'!$M$11),"x","")</f>
        <v/>
      </c>
    </row>
    <row r="3988" spans="1:30" ht="16.5" customHeight="1">
      <c r="A3988" s="318" t="str">
        <f>IF(B3988&lt;&gt;"",IF(AND(B3988='IN-TC'!$S$4,OR(TH!N3988="1111",TH!O3988="1111")),TH!D3988,""),"")</f>
        <v/>
      </c>
      <c r="B3988" s="60" t="str">
        <f t="shared" si="423"/>
        <v/>
      </c>
      <c r="C3988" s="75"/>
      <c r="D3988" s="75"/>
      <c r="E3988" s="75"/>
      <c r="F3988" s="76"/>
      <c r="G3988" s="76"/>
      <c r="H3988" s="77"/>
      <c r="I3988" s="77"/>
      <c r="J3988" s="1248"/>
      <c r="K3988" s="1247"/>
      <c r="L3988" s="390"/>
      <c r="M3988" s="978"/>
      <c r="N3988" s="79"/>
      <c r="O3988" s="979"/>
      <c r="P3988" s="79" t="str">
        <f>IF(AND('331-CT'!$E$7=TH!H3988,OR(N3988="331",O3988="331")),"x","")</f>
        <v/>
      </c>
      <c r="Q3988" s="79" t="str">
        <f>IF(AND(B3988='111'!$L$11,OR($N3988=$Q$7,$O3988=$Q$7)),"x","")</f>
        <v/>
      </c>
      <c r="R3988" s="79" t="str">
        <f>IF(AND($N3988=$Q$7,$B3988&lt;'111'!$L$11),"x","")</f>
        <v/>
      </c>
      <c r="S3988" s="79" t="str">
        <f>IF(AND($O3988=$Q$7,$B3988&lt;'111'!$L$11),"x","")</f>
        <v/>
      </c>
      <c r="T3988" s="79" t="str">
        <f>IF(ISERROR(FIND('112'!$M$9,G3988,1)),"",IF((AND(FIND('112'!$M$9,G3988,1)&gt;=1,B3988='112'!$K$9,OR($N3988='112'!$I$6,$O3988='112'!$I$6))),"x",""))</f>
        <v/>
      </c>
      <c r="U3988" s="79" t="str">
        <f>IF(ISERROR(FIND('112'!$M$9,G3988,1)),"",IF((AND(LEFT(G3988,2)=LEFT('112'!$M$9,2),B3988&lt;'112'!$K$9,$N3988='112'!$I$6)),"x",""))</f>
        <v/>
      </c>
      <c r="V3988" s="79" t="str">
        <f>IF(ISERROR(FIND('112'!$M$9,G3988,1)),"",IF((AND(RIGHT(G3988,2)=RIGHT('112'!$M$9,2),B3988&lt;'112'!$K$9,$O3988='112'!$I$6)),"x",""))</f>
        <v/>
      </c>
      <c r="W3988" s="79" t="str">
        <f>IF(AND('341-CT'!$H$9=H3988,OR(LEFT(N3988,3)=$W$7,LEFT(O3988,3)=$W$7)),"x","")</f>
        <v/>
      </c>
      <c r="X3988" s="79" t="str">
        <f>IF(OR(TH!N3988=TH!$X$7,O3988=TH!$X$7),"x","")</f>
        <v/>
      </c>
      <c r="Y3988" s="79" t="str">
        <f>IF(AND(OR(N3988="131",O3988="131"),H3988='131-CT'!$H$9),"x","")</f>
        <v/>
      </c>
      <c r="Z3988" s="79"/>
      <c r="AA3988" s="79" t="str">
        <f>IF(AND(MONTH(E3988)='IN-NX'!$J$5,'IN-NX'!$D$7=D3988),"x","")</f>
        <v/>
      </c>
      <c r="AB3988" s="79" t="str">
        <f>IF(AND(OR(LEFT(TH!N3988,2)="15",LEFT(TH!O3988,2)="15"),LEFT(TH!O3988,3)&lt;&gt;"111",'152-CT'!$J$8=TH!F3988),"x","")</f>
        <v/>
      </c>
      <c r="AC3988" s="79" t="str">
        <f>IF(AND(OR(LEFT(TH!N3988,2)="15",LEFT(TH!O3988,2)="15"),TK!$E$7=TH!F3988),"x","")</f>
        <v/>
      </c>
      <c r="AD3988" s="79" t="str">
        <f>IF(AND(N3988="1521",MONTH(C3988)='BK-NL'!$M$11),"x","")</f>
        <v/>
      </c>
    </row>
    <row r="3989" spans="1:30" ht="16.5" customHeight="1">
      <c r="A3989" s="318" t="str">
        <f>IF(B3989&lt;&gt;"",IF(AND(B3989='IN-TC'!$S$4,OR(TH!N3989="1111",TH!O3989="1111")),TH!D3989,""),"")</f>
        <v/>
      </c>
      <c r="B3989" s="60" t="str">
        <f t="shared" si="423"/>
        <v/>
      </c>
      <c r="C3989" s="75"/>
      <c r="D3989" s="75"/>
      <c r="E3989" s="75"/>
      <c r="F3989" s="76"/>
      <c r="G3989" s="76"/>
      <c r="H3989" s="77"/>
      <c r="I3989" s="77"/>
      <c r="J3989" s="1248"/>
      <c r="K3989" s="1247"/>
      <c r="L3989" s="390"/>
      <c r="M3989" s="978"/>
      <c r="N3989" s="79"/>
      <c r="O3989" s="979"/>
      <c r="P3989" s="79" t="str">
        <f>IF(AND('331-CT'!$E$7=TH!H3989,OR(N3989="331",O3989="331")),"x","")</f>
        <v/>
      </c>
      <c r="Q3989" s="79" t="str">
        <f>IF(AND(B3989='111'!$L$11,OR($N3989=$Q$7,$O3989=$Q$7)),"x","")</f>
        <v/>
      </c>
      <c r="R3989" s="79" t="str">
        <f>IF(AND($N3989=$Q$7,$B3989&lt;'111'!$L$11),"x","")</f>
        <v/>
      </c>
      <c r="S3989" s="79" t="str">
        <f>IF(AND($O3989=$Q$7,$B3989&lt;'111'!$L$11),"x","")</f>
        <v/>
      </c>
      <c r="T3989" s="79" t="str">
        <f>IF(ISERROR(FIND('112'!$M$9,G3989,1)),"",IF((AND(FIND('112'!$M$9,G3989,1)&gt;=1,B3989='112'!$K$9,OR($N3989='112'!$I$6,$O3989='112'!$I$6))),"x",""))</f>
        <v/>
      </c>
      <c r="U3989" s="79" t="str">
        <f>IF(ISERROR(FIND('112'!$M$9,G3989,1)),"",IF((AND(LEFT(G3989,2)=LEFT('112'!$M$9,2),B3989&lt;'112'!$K$9,$N3989='112'!$I$6)),"x",""))</f>
        <v/>
      </c>
      <c r="V3989" s="79" t="str">
        <f>IF(ISERROR(FIND('112'!$M$9,G3989,1)),"",IF((AND(RIGHT(G3989,2)=RIGHT('112'!$M$9,2),B3989&lt;'112'!$K$9,$O3989='112'!$I$6)),"x",""))</f>
        <v/>
      </c>
      <c r="W3989" s="79" t="str">
        <f>IF(AND('341-CT'!$H$9=H3989,OR(LEFT(N3989,3)=$W$7,LEFT(O3989,3)=$W$7)),"x","")</f>
        <v/>
      </c>
      <c r="X3989" s="79" t="str">
        <f>IF(OR(TH!N3989=TH!$X$7,O3989=TH!$X$7),"x","")</f>
        <v/>
      </c>
      <c r="Y3989" s="79" t="str">
        <f>IF(AND(OR(N3989="131",O3989="131"),H3989='131-CT'!$H$9),"x","")</f>
        <v/>
      </c>
      <c r="Z3989" s="79"/>
      <c r="AA3989" s="79" t="str">
        <f>IF(AND(MONTH(E3989)='IN-NX'!$J$5,'IN-NX'!$D$7=D3989),"x","")</f>
        <v/>
      </c>
      <c r="AB3989" s="79" t="str">
        <f>IF(AND(OR(LEFT(TH!N3989,2)="15",LEFT(TH!O3989,2)="15"),LEFT(TH!O3989,3)&lt;&gt;"111",'152-CT'!$J$8=TH!F3989),"x","")</f>
        <v/>
      </c>
      <c r="AC3989" s="79" t="str">
        <f>IF(AND(OR(LEFT(TH!N3989,2)="15",LEFT(TH!O3989,2)="15"),TK!$E$7=TH!F3989),"x","")</f>
        <v/>
      </c>
      <c r="AD3989" s="79" t="str">
        <f>IF(AND(N3989="1521",MONTH(C3989)='BK-NL'!$M$11),"x","")</f>
        <v/>
      </c>
    </row>
    <row r="3990" spans="1:30" ht="16.5" customHeight="1">
      <c r="A3990" s="318" t="str">
        <f>IF(B3990&lt;&gt;"",IF(AND(B3990='IN-TC'!$S$4,OR(TH!N3990="1111",TH!O3990="1111")),TH!D3990,""),"")</f>
        <v/>
      </c>
      <c r="B3990" s="60" t="str">
        <f t="shared" ref="B3990:B4055" si="429">IF(C3990&lt;&gt;"",MONTH(C3990),"")</f>
        <v/>
      </c>
      <c r="C3990" s="75"/>
      <c r="D3990" s="75"/>
      <c r="E3990" s="75"/>
      <c r="F3990" s="76"/>
      <c r="G3990" s="76"/>
      <c r="H3990" s="77"/>
      <c r="I3990" s="77"/>
      <c r="J3990" s="1248"/>
      <c r="K3990" s="1247"/>
      <c r="L3990" s="390"/>
      <c r="M3990" s="978"/>
      <c r="N3990" s="79"/>
      <c r="O3990" s="979"/>
      <c r="P3990" s="79" t="str">
        <f>IF(AND('331-CT'!$E$7=TH!H3990,OR(N3990="331",O3990="331")),"x","")</f>
        <v/>
      </c>
      <c r="Q3990" s="79" t="str">
        <f>IF(AND(B3990='111'!$L$11,OR($N3990=$Q$7,$O3990=$Q$7)),"x","")</f>
        <v/>
      </c>
      <c r="R3990" s="79" t="str">
        <f>IF(AND($N3990=$Q$7,$B3990&lt;'111'!$L$11),"x","")</f>
        <v/>
      </c>
      <c r="S3990" s="79" t="str">
        <f>IF(AND($O3990=$Q$7,$B3990&lt;'111'!$L$11),"x","")</f>
        <v/>
      </c>
      <c r="T3990" s="79" t="str">
        <f>IF(ISERROR(FIND('112'!$M$9,G3990,1)),"",IF((AND(FIND('112'!$M$9,G3990,1)&gt;=1,B3990='112'!$K$9,OR($N3990='112'!$I$6,$O3990='112'!$I$6))),"x",""))</f>
        <v/>
      </c>
      <c r="U3990" s="79" t="str">
        <f>IF(ISERROR(FIND('112'!$M$9,G3990,1)),"",IF((AND(LEFT(G3990,2)=LEFT('112'!$M$9,2),B3990&lt;'112'!$K$9,$N3990='112'!$I$6)),"x",""))</f>
        <v/>
      </c>
      <c r="V3990" s="79" t="str">
        <f>IF(ISERROR(FIND('112'!$M$9,G3990,1)),"",IF((AND(RIGHT(G3990,2)=RIGHT('112'!$M$9,2),B3990&lt;'112'!$K$9,$O3990='112'!$I$6)),"x",""))</f>
        <v/>
      </c>
      <c r="W3990" s="79" t="str">
        <f>IF(AND('341-CT'!$H$9=H3990,OR(LEFT(N3990,3)=$W$7,LEFT(O3990,3)=$W$7)),"x","")</f>
        <v/>
      </c>
      <c r="X3990" s="79" t="str">
        <f>IF(OR(TH!N3990=TH!$X$7,O3990=TH!$X$7),"x","")</f>
        <v/>
      </c>
      <c r="Y3990" s="79" t="str">
        <f>IF(AND(OR(N3990="131",O3990="131"),H3990='131-CT'!$H$9),"x","")</f>
        <v/>
      </c>
      <c r="Z3990" s="79"/>
      <c r="AA3990" s="79" t="str">
        <f>IF(AND(MONTH(E3990)='IN-NX'!$J$5,'IN-NX'!$D$7=D3990),"x","")</f>
        <v/>
      </c>
      <c r="AB3990" s="79" t="str">
        <f>IF(AND(OR(LEFT(TH!N3990,2)="15",LEFT(TH!O3990,2)="15"),LEFT(TH!O3990,3)&lt;&gt;"111",'152-CT'!$J$8=TH!F3990),"x","")</f>
        <v/>
      </c>
      <c r="AC3990" s="79" t="str">
        <f>IF(AND(OR(LEFT(TH!N3990,2)="15",LEFT(TH!O3990,2)="15"),TK!$E$7=TH!F3990),"x","")</f>
        <v/>
      </c>
      <c r="AD3990" s="79" t="str">
        <f>IF(AND(N3990="1521",MONTH(C3990)='BK-NL'!$M$11),"x","")</f>
        <v/>
      </c>
    </row>
    <row r="3991" spans="1:30" ht="16.5" customHeight="1">
      <c r="A3991" s="318" t="str">
        <f>IF(B3991&lt;&gt;"",IF(AND(B3991='IN-TC'!$S$4,OR(TH!N3991="1111",TH!O3991="1111")),TH!D3991,""),"")</f>
        <v/>
      </c>
      <c r="B3991" s="60" t="str">
        <f t="shared" si="429"/>
        <v/>
      </c>
      <c r="C3991" s="75"/>
      <c r="D3991" s="75"/>
      <c r="E3991" s="75"/>
      <c r="F3991" s="76"/>
      <c r="G3991" s="76"/>
      <c r="H3991" s="77"/>
      <c r="I3991" s="77"/>
      <c r="J3991" s="1248"/>
      <c r="K3991" s="1247"/>
      <c r="L3991" s="390"/>
      <c r="M3991" s="978"/>
      <c r="N3991" s="79"/>
      <c r="O3991" s="979"/>
      <c r="P3991" s="79" t="str">
        <f>IF(AND('331-CT'!$E$7=TH!H3991,OR(N3991="331",O3991="331")),"x","")</f>
        <v/>
      </c>
      <c r="Q3991" s="79" t="str">
        <f>IF(AND(B3991='111'!$L$11,OR($N3991=$Q$7,$O3991=$Q$7)),"x","")</f>
        <v/>
      </c>
      <c r="R3991" s="79" t="str">
        <f>IF(AND($N3991=$Q$7,$B3991&lt;'111'!$L$11),"x","")</f>
        <v/>
      </c>
      <c r="S3991" s="79" t="str">
        <f>IF(AND($O3991=$Q$7,$B3991&lt;'111'!$L$11),"x","")</f>
        <v/>
      </c>
      <c r="T3991" s="79" t="str">
        <f>IF(ISERROR(FIND('112'!$M$9,G3991,1)),"",IF((AND(FIND('112'!$M$9,G3991,1)&gt;=1,B3991='112'!$K$9,OR($N3991='112'!$I$6,$O3991='112'!$I$6))),"x",""))</f>
        <v/>
      </c>
      <c r="U3991" s="79" t="str">
        <f>IF(ISERROR(FIND('112'!$M$9,G3991,1)),"",IF((AND(LEFT(G3991,2)=LEFT('112'!$M$9,2),B3991&lt;'112'!$K$9,$N3991='112'!$I$6)),"x",""))</f>
        <v/>
      </c>
      <c r="V3991" s="79" t="str">
        <f>IF(ISERROR(FIND('112'!$M$9,G3991,1)),"",IF((AND(RIGHT(G3991,2)=RIGHT('112'!$M$9,2),B3991&lt;'112'!$K$9,$O3991='112'!$I$6)),"x",""))</f>
        <v/>
      </c>
      <c r="W3991" s="79" t="str">
        <f>IF(AND('341-CT'!$H$9=H3991,OR(LEFT(N3991,3)=$W$7,LEFT(O3991,3)=$W$7)),"x","")</f>
        <v/>
      </c>
      <c r="X3991" s="79" t="str">
        <f>IF(OR(TH!N3991=TH!$X$7,O3991=TH!$X$7),"x","")</f>
        <v/>
      </c>
      <c r="Y3991" s="79" t="str">
        <f>IF(AND(OR(N3991="131",O3991="131"),H3991='131-CT'!$H$9),"x","")</f>
        <v/>
      </c>
      <c r="Z3991" s="79"/>
      <c r="AA3991" s="79" t="str">
        <f>IF(AND(MONTH(E3991)='IN-NX'!$J$5,'IN-NX'!$D$7=D3991),"x","")</f>
        <v/>
      </c>
      <c r="AB3991" s="79" t="str">
        <f>IF(AND(OR(LEFT(TH!N3991,2)="15",LEFT(TH!O3991,2)="15"),LEFT(TH!O3991,3)&lt;&gt;"111",'152-CT'!$J$8=TH!F3991),"x","")</f>
        <v/>
      </c>
      <c r="AC3991" s="79" t="str">
        <f>IF(AND(OR(LEFT(TH!N3991,2)="15",LEFT(TH!O3991,2)="15"),TK!$E$7=TH!F3991),"x","")</f>
        <v/>
      </c>
      <c r="AD3991" s="79" t="str">
        <f>IF(AND(N3991="1521",MONTH(C3991)='BK-NL'!$M$11),"x","")</f>
        <v/>
      </c>
    </row>
    <row r="3992" spans="1:30" ht="16.5" customHeight="1">
      <c r="A3992" s="318" t="str">
        <f>IF(B3992&lt;&gt;"",IF(AND(B3992='IN-TC'!$S$4,OR(TH!N3992="1111",TH!O3992="1111")),TH!D3992,""),"")</f>
        <v/>
      </c>
      <c r="B3992" s="60" t="str">
        <f t="shared" si="429"/>
        <v/>
      </c>
      <c r="C3992" s="75"/>
      <c r="D3992" s="75"/>
      <c r="E3992" s="75"/>
      <c r="F3992" s="76"/>
      <c r="G3992" s="76"/>
      <c r="H3992" s="77"/>
      <c r="I3992" s="77"/>
      <c r="J3992" s="1248"/>
      <c r="K3992" s="1247"/>
      <c r="L3992" s="390"/>
      <c r="M3992" s="978"/>
      <c r="N3992" s="79"/>
      <c r="O3992" s="979"/>
      <c r="P3992" s="79" t="str">
        <f>IF(AND('331-CT'!$E$7=TH!H3992,OR(N3992="331",O3992="331")),"x","")</f>
        <v/>
      </c>
      <c r="Q3992" s="79" t="str">
        <f>IF(AND(B3992='111'!$L$11,OR($N3992=$Q$7,$O3992=$Q$7)),"x","")</f>
        <v/>
      </c>
      <c r="R3992" s="79" t="str">
        <f>IF(AND($N3992=$Q$7,$B3992&lt;'111'!$L$11),"x","")</f>
        <v/>
      </c>
      <c r="S3992" s="79" t="str">
        <f>IF(AND($O3992=$Q$7,$B3992&lt;'111'!$L$11),"x","")</f>
        <v/>
      </c>
      <c r="T3992" s="79" t="str">
        <f>IF(ISERROR(FIND('112'!$M$9,G3992,1)),"",IF((AND(FIND('112'!$M$9,G3992,1)&gt;=1,B3992='112'!$K$9,OR($N3992='112'!$I$6,$O3992='112'!$I$6))),"x",""))</f>
        <v/>
      </c>
      <c r="U3992" s="79" t="str">
        <f>IF(ISERROR(FIND('112'!$M$9,G3992,1)),"",IF((AND(LEFT(G3992,2)=LEFT('112'!$M$9,2),B3992&lt;'112'!$K$9,$N3992='112'!$I$6)),"x",""))</f>
        <v/>
      </c>
      <c r="V3992" s="79" t="str">
        <f>IF(ISERROR(FIND('112'!$M$9,G3992,1)),"",IF((AND(RIGHT(G3992,2)=RIGHT('112'!$M$9,2),B3992&lt;'112'!$K$9,$O3992='112'!$I$6)),"x",""))</f>
        <v/>
      </c>
      <c r="W3992" s="79" t="str">
        <f>IF(AND('341-CT'!$H$9=H3992,OR(LEFT(N3992,3)=$W$7,LEFT(O3992,3)=$W$7)),"x","")</f>
        <v/>
      </c>
      <c r="X3992" s="79" t="str">
        <f>IF(OR(TH!N3992=TH!$X$7,O3992=TH!$X$7),"x","")</f>
        <v/>
      </c>
      <c r="Y3992" s="79" t="str">
        <f>IF(AND(OR(N3992="131",O3992="131"),H3992='131-CT'!$H$9),"x","")</f>
        <v/>
      </c>
      <c r="Z3992" s="79"/>
      <c r="AA3992" s="79" t="str">
        <f>IF(AND(MONTH(E3992)='IN-NX'!$J$5,'IN-NX'!$D$7=D3992),"x","")</f>
        <v/>
      </c>
      <c r="AB3992" s="79" t="str">
        <f>IF(AND(OR(LEFT(TH!N3992,2)="15",LEFT(TH!O3992,2)="15"),LEFT(TH!O3992,3)&lt;&gt;"111",'152-CT'!$J$8=TH!F3992),"x","")</f>
        <v/>
      </c>
      <c r="AC3992" s="79" t="str">
        <f>IF(AND(OR(LEFT(TH!N3992,2)="15",LEFT(TH!O3992,2)="15"),TK!$E$7=TH!F3992),"x","")</f>
        <v/>
      </c>
      <c r="AD3992" s="79" t="str">
        <f>IF(AND(N3992="1521",MONTH(C3992)='BK-NL'!$M$11),"x","")</f>
        <v/>
      </c>
    </row>
    <row r="3993" spans="1:30" ht="16.5" customHeight="1">
      <c r="A3993" s="318" t="str">
        <f>IF(B3993&lt;&gt;"",IF(AND(B3993='IN-TC'!$S$4,OR(TH!N3993="1111",TH!O3993="1111")),TH!D3993,""),"")</f>
        <v/>
      </c>
      <c r="B3993" s="60" t="str">
        <f t="shared" si="429"/>
        <v/>
      </c>
      <c r="C3993" s="75"/>
      <c r="D3993" s="75"/>
      <c r="E3993" s="75"/>
      <c r="F3993" s="76"/>
      <c r="G3993" s="76"/>
      <c r="H3993" s="77"/>
      <c r="I3993" s="77"/>
      <c r="J3993" s="1248"/>
      <c r="K3993" s="1247"/>
      <c r="L3993" s="390"/>
      <c r="M3993" s="978"/>
      <c r="N3993" s="79"/>
      <c r="O3993" s="979"/>
      <c r="P3993" s="79" t="str">
        <f>IF(AND('331-CT'!$E$7=TH!H3993,OR(N3993="331",O3993="331")),"x","")</f>
        <v/>
      </c>
      <c r="Q3993" s="79" t="str">
        <f>IF(AND(B3993='111'!$L$11,OR($N3993=$Q$7,$O3993=$Q$7)),"x","")</f>
        <v/>
      </c>
      <c r="R3993" s="79" t="str">
        <f>IF(AND($N3993=$Q$7,$B3993&lt;'111'!$L$11),"x","")</f>
        <v/>
      </c>
      <c r="S3993" s="79" t="str">
        <f>IF(AND($O3993=$Q$7,$B3993&lt;'111'!$L$11),"x","")</f>
        <v/>
      </c>
      <c r="T3993" s="79" t="str">
        <f>IF(ISERROR(FIND('112'!$M$9,G3993,1)),"",IF((AND(FIND('112'!$M$9,G3993,1)&gt;=1,B3993='112'!$K$9,OR($N3993='112'!$I$6,$O3993='112'!$I$6))),"x",""))</f>
        <v/>
      </c>
      <c r="U3993" s="79" t="str">
        <f>IF(ISERROR(FIND('112'!$M$9,G3993,1)),"",IF((AND(LEFT(G3993,2)=LEFT('112'!$M$9,2),B3993&lt;'112'!$K$9,$N3993='112'!$I$6)),"x",""))</f>
        <v/>
      </c>
      <c r="V3993" s="79" t="str">
        <f>IF(ISERROR(FIND('112'!$M$9,G3993,1)),"",IF((AND(RIGHT(G3993,2)=RIGHT('112'!$M$9,2),B3993&lt;'112'!$K$9,$O3993='112'!$I$6)),"x",""))</f>
        <v/>
      </c>
      <c r="W3993" s="79" t="str">
        <f>IF(AND('341-CT'!$H$9=H3993,OR(LEFT(N3993,3)=$W$7,LEFT(O3993,3)=$W$7)),"x","")</f>
        <v/>
      </c>
      <c r="X3993" s="79" t="str">
        <f>IF(OR(TH!N3993=TH!$X$7,O3993=TH!$X$7),"x","")</f>
        <v/>
      </c>
      <c r="Y3993" s="79" t="str">
        <f>IF(AND(OR(N3993="131",O3993="131"),H3993='131-CT'!$H$9),"x","")</f>
        <v/>
      </c>
      <c r="Z3993" s="79"/>
      <c r="AA3993" s="79" t="str">
        <f>IF(AND(MONTH(E3993)='IN-NX'!$J$5,'IN-NX'!$D$7=D3993),"x","")</f>
        <v/>
      </c>
      <c r="AB3993" s="79" t="str">
        <f>IF(AND(OR(LEFT(TH!N3993,2)="15",LEFT(TH!O3993,2)="15"),LEFT(TH!O3993,3)&lt;&gt;"111",'152-CT'!$J$8=TH!F3993),"x","")</f>
        <v/>
      </c>
      <c r="AC3993" s="79" t="str">
        <f>IF(AND(OR(LEFT(TH!N3993,2)="15",LEFT(TH!O3993,2)="15"),TK!$E$7=TH!F3993),"x","")</f>
        <v/>
      </c>
      <c r="AD3993" s="79" t="str">
        <f>IF(AND(N3993="1521",MONTH(C3993)='BK-NL'!$M$11),"x","")</f>
        <v/>
      </c>
    </row>
    <row r="3994" spans="1:30" ht="16.5" customHeight="1">
      <c r="A3994" s="318" t="str">
        <f>IF(B3994&lt;&gt;"",IF(AND(B3994='IN-TC'!$S$4,OR(TH!N3994="1111",TH!O3994="1111")),TH!D3994,""),"")</f>
        <v/>
      </c>
      <c r="B3994" s="60" t="str">
        <f t="shared" si="429"/>
        <v/>
      </c>
      <c r="C3994" s="75"/>
      <c r="D3994" s="75"/>
      <c r="E3994" s="75"/>
      <c r="F3994" s="76"/>
      <c r="G3994" s="76"/>
      <c r="H3994" s="77"/>
      <c r="I3994" s="77"/>
      <c r="J3994" s="1248"/>
      <c r="K3994" s="1247"/>
      <c r="L3994" s="390"/>
      <c r="M3994" s="978"/>
      <c r="N3994" s="79"/>
      <c r="O3994" s="979"/>
      <c r="P3994" s="79" t="str">
        <f>IF(AND('331-CT'!$E$7=TH!H3994,OR(N3994="331",O3994="331")),"x","")</f>
        <v/>
      </c>
      <c r="Q3994" s="79" t="str">
        <f>IF(AND(B3994='111'!$L$11,OR($N3994=$Q$7,$O3994=$Q$7)),"x","")</f>
        <v/>
      </c>
      <c r="R3994" s="79" t="str">
        <f>IF(AND($N3994=$Q$7,$B3994&lt;'111'!$L$11),"x","")</f>
        <v/>
      </c>
      <c r="S3994" s="79" t="str">
        <f>IF(AND($O3994=$Q$7,$B3994&lt;'111'!$L$11),"x","")</f>
        <v/>
      </c>
      <c r="T3994" s="79" t="str">
        <f>IF(ISERROR(FIND('112'!$M$9,G3994,1)),"",IF((AND(FIND('112'!$M$9,G3994,1)&gt;=1,B3994='112'!$K$9,OR($N3994='112'!$I$6,$O3994='112'!$I$6))),"x",""))</f>
        <v/>
      </c>
      <c r="U3994" s="79" t="str">
        <f>IF(ISERROR(FIND('112'!$M$9,G3994,1)),"",IF((AND(LEFT(G3994,2)=LEFT('112'!$M$9,2),B3994&lt;'112'!$K$9,$N3994='112'!$I$6)),"x",""))</f>
        <v/>
      </c>
      <c r="V3994" s="79" t="str">
        <f>IF(ISERROR(FIND('112'!$M$9,G3994,1)),"",IF((AND(RIGHT(G3994,2)=RIGHT('112'!$M$9,2),B3994&lt;'112'!$K$9,$O3994='112'!$I$6)),"x",""))</f>
        <v/>
      </c>
      <c r="W3994" s="79" t="str">
        <f>IF(AND('341-CT'!$H$9=H3994,OR(LEFT(N3994,3)=$W$7,LEFT(O3994,3)=$W$7)),"x","")</f>
        <v/>
      </c>
      <c r="X3994" s="79" t="str">
        <f>IF(OR(TH!N3994=TH!$X$7,O3994=TH!$X$7),"x","")</f>
        <v/>
      </c>
      <c r="Y3994" s="79" t="str">
        <f>IF(AND(OR(N3994="131",O3994="131"),H3994='131-CT'!$H$9),"x","")</f>
        <v/>
      </c>
      <c r="Z3994" s="79"/>
      <c r="AA3994" s="79" t="str">
        <f>IF(AND(MONTH(E3994)='IN-NX'!$J$5,'IN-NX'!$D$7=D3994),"x","")</f>
        <v/>
      </c>
      <c r="AB3994" s="79" t="str">
        <f>IF(AND(OR(LEFT(TH!N3994,2)="15",LEFT(TH!O3994,2)="15"),LEFT(TH!O3994,3)&lt;&gt;"111",'152-CT'!$J$8=TH!F3994),"x","")</f>
        <v/>
      </c>
      <c r="AC3994" s="79" t="str">
        <f>IF(AND(OR(LEFT(TH!N3994,2)="15",LEFT(TH!O3994,2)="15"),TK!$E$7=TH!F3994),"x","")</f>
        <v/>
      </c>
      <c r="AD3994" s="79" t="str">
        <f>IF(AND(N3994="1521",MONTH(C3994)='BK-NL'!$M$11),"x","")</f>
        <v/>
      </c>
    </row>
    <row r="3995" spans="1:30" ht="16.5" customHeight="1">
      <c r="A3995" s="318" t="str">
        <f>IF(B3995&lt;&gt;"",IF(AND(B3995='IN-TC'!$S$4,OR(TH!N3995="1111",TH!O3995="1111")),TH!D3995,""),"")</f>
        <v/>
      </c>
      <c r="B3995" s="60" t="str">
        <f t="shared" si="429"/>
        <v/>
      </c>
      <c r="C3995" s="75"/>
      <c r="D3995" s="75"/>
      <c r="E3995" s="75"/>
      <c r="F3995" s="76"/>
      <c r="G3995" s="76"/>
      <c r="H3995" s="77"/>
      <c r="I3995" s="77"/>
      <c r="J3995" s="1248"/>
      <c r="K3995" s="1247"/>
      <c r="L3995" s="390"/>
      <c r="M3995" s="978"/>
      <c r="N3995" s="79"/>
      <c r="O3995" s="979"/>
      <c r="P3995" s="79" t="str">
        <f>IF(AND('331-CT'!$E$7=TH!H3995,OR(N3995="331",O3995="331")),"x","")</f>
        <v/>
      </c>
      <c r="Q3995" s="79" t="str">
        <f>IF(AND(B3995='111'!$L$11,OR($N3995=$Q$7,$O3995=$Q$7)),"x","")</f>
        <v/>
      </c>
      <c r="R3995" s="79" t="str">
        <f>IF(AND($N3995=$Q$7,$B3995&lt;'111'!$L$11),"x","")</f>
        <v/>
      </c>
      <c r="S3995" s="79" t="str">
        <f>IF(AND($O3995=$Q$7,$B3995&lt;'111'!$L$11),"x","")</f>
        <v/>
      </c>
      <c r="T3995" s="79" t="str">
        <f>IF(ISERROR(FIND('112'!$M$9,G3995,1)),"",IF((AND(FIND('112'!$M$9,G3995,1)&gt;=1,B3995='112'!$K$9,OR($N3995='112'!$I$6,$O3995='112'!$I$6))),"x",""))</f>
        <v/>
      </c>
      <c r="U3995" s="79" t="str">
        <f>IF(ISERROR(FIND('112'!$M$9,G3995,1)),"",IF((AND(LEFT(G3995,2)=LEFT('112'!$M$9,2),B3995&lt;'112'!$K$9,$N3995='112'!$I$6)),"x",""))</f>
        <v/>
      </c>
      <c r="V3995" s="79" t="str">
        <f>IF(ISERROR(FIND('112'!$M$9,G3995,1)),"",IF((AND(RIGHT(G3995,2)=RIGHT('112'!$M$9,2),B3995&lt;'112'!$K$9,$O3995='112'!$I$6)),"x",""))</f>
        <v/>
      </c>
      <c r="W3995" s="79" t="str">
        <f>IF(AND('341-CT'!$H$9=H3995,OR(LEFT(N3995,3)=$W$7,LEFT(O3995,3)=$W$7)),"x","")</f>
        <v/>
      </c>
      <c r="X3995" s="79" t="str">
        <f>IF(OR(TH!N3995=TH!$X$7,O3995=TH!$X$7),"x","")</f>
        <v/>
      </c>
      <c r="Y3995" s="79" t="str">
        <f>IF(AND(OR(N3995="131",O3995="131"),H3995='131-CT'!$H$9),"x","")</f>
        <v/>
      </c>
      <c r="Z3995" s="79"/>
      <c r="AA3995" s="79" t="str">
        <f>IF(AND(MONTH(E3995)='IN-NX'!$J$5,'IN-NX'!$D$7=D3995),"x","")</f>
        <v/>
      </c>
      <c r="AB3995" s="79" t="str">
        <f>IF(AND(OR(LEFT(TH!N3995,2)="15",LEFT(TH!O3995,2)="15"),LEFT(TH!O3995,3)&lt;&gt;"111",'152-CT'!$J$8=TH!F3995),"x","")</f>
        <v/>
      </c>
      <c r="AC3995" s="79" t="str">
        <f>IF(AND(OR(LEFT(TH!N3995,2)="15",LEFT(TH!O3995,2)="15"),TK!$E$7=TH!F3995),"x","")</f>
        <v/>
      </c>
      <c r="AD3995" s="79" t="str">
        <f>IF(AND(N3995="1521",MONTH(C3995)='BK-NL'!$M$11),"x","")</f>
        <v/>
      </c>
    </row>
    <row r="3996" spans="1:30" ht="16.5" customHeight="1">
      <c r="A3996" s="318" t="str">
        <f>IF(B3996&lt;&gt;"",IF(AND(B3996='IN-TC'!$S$4,OR(TH!N3996="1111",TH!O3996="1111")),TH!D3996,""),"")</f>
        <v/>
      </c>
      <c r="B3996" s="60" t="str">
        <f t="shared" si="429"/>
        <v/>
      </c>
      <c r="C3996" s="75"/>
      <c r="D3996" s="75"/>
      <c r="E3996" s="75"/>
      <c r="F3996" s="76"/>
      <c r="G3996" s="76"/>
      <c r="H3996" s="77"/>
      <c r="I3996" s="77"/>
      <c r="J3996" s="1248"/>
      <c r="K3996" s="1247"/>
      <c r="L3996" s="390"/>
      <c r="M3996" s="978"/>
      <c r="N3996" s="79"/>
      <c r="O3996" s="979"/>
      <c r="P3996" s="79" t="str">
        <f>IF(AND('331-CT'!$E$7=TH!H3996,OR(N3996="331",O3996="331")),"x","")</f>
        <v/>
      </c>
      <c r="Q3996" s="79" t="str">
        <f>IF(AND(B3996='111'!$L$11,OR($N3996=$Q$7,$O3996=$Q$7)),"x","")</f>
        <v/>
      </c>
      <c r="R3996" s="79" t="str">
        <f>IF(AND($N3996=$Q$7,$B3996&lt;'111'!$L$11),"x","")</f>
        <v/>
      </c>
      <c r="S3996" s="79" t="str">
        <f>IF(AND($O3996=$Q$7,$B3996&lt;'111'!$L$11),"x","")</f>
        <v/>
      </c>
      <c r="T3996" s="79" t="str">
        <f>IF(ISERROR(FIND('112'!$M$9,G3996,1)),"",IF((AND(FIND('112'!$M$9,G3996,1)&gt;=1,B3996='112'!$K$9,OR($N3996='112'!$I$6,$O3996='112'!$I$6))),"x",""))</f>
        <v/>
      </c>
      <c r="U3996" s="79" t="str">
        <f>IF(ISERROR(FIND('112'!$M$9,G3996,1)),"",IF((AND(LEFT(G3996,2)=LEFT('112'!$M$9,2),B3996&lt;'112'!$K$9,$N3996='112'!$I$6)),"x",""))</f>
        <v/>
      </c>
      <c r="V3996" s="79" t="str">
        <f>IF(ISERROR(FIND('112'!$M$9,G3996,1)),"",IF((AND(RIGHT(G3996,2)=RIGHT('112'!$M$9,2),B3996&lt;'112'!$K$9,$O3996='112'!$I$6)),"x",""))</f>
        <v/>
      </c>
      <c r="W3996" s="79" t="str">
        <f>IF(AND('341-CT'!$H$9=H3996,OR(LEFT(N3996,3)=$W$7,LEFT(O3996,3)=$W$7)),"x","")</f>
        <v/>
      </c>
      <c r="X3996" s="79" t="str">
        <f>IF(OR(TH!N3996=TH!$X$7,O3996=TH!$X$7),"x","")</f>
        <v/>
      </c>
      <c r="Y3996" s="79" t="str">
        <f>IF(AND(OR(N3996="131",O3996="131"),H3996='131-CT'!$H$9),"x","")</f>
        <v/>
      </c>
      <c r="Z3996" s="79"/>
      <c r="AA3996" s="79" t="str">
        <f>IF(AND(MONTH(E3996)='IN-NX'!$J$5,'IN-NX'!$D$7=D3996),"x","")</f>
        <v/>
      </c>
      <c r="AB3996" s="79" t="str">
        <f>IF(AND(OR(LEFT(TH!N3996,2)="15",LEFT(TH!O3996,2)="15"),LEFT(TH!O3996,3)&lt;&gt;"111",'152-CT'!$J$8=TH!F3996),"x","")</f>
        <v/>
      </c>
      <c r="AC3996" s="79" t="str">
        <f>IF(AND(OR(LEFT(TH!N3996,2)="15",LEFT(TH!O3996,2)="15"),TK!$E$7=TH!F3996),"x","")</f>
        <v/>
      </c>
      <c r="AD3996" s="79" t="str">
        <f>IF(AND(N3996="1521",MONTH(C3996)='BK-NL'!$M$11),"x","")</f>
        <v/>
      </c>
    </row>
    <row r="3997" spans="1:30" ht="16.5" customHeight="1">
      <c r="A3997" s="318" t="str">
        <f>IF(B3997&lt;&gt;"",IF(AND(B3997='IN-TC'!$S$4,OR(TH!N3997="1111",TH!O3997="1111")),TH!D3997,""),"")</f>
        <v/>
      </c>
      <c r="B3997" s="60" t="str">
        <f t="shared" si="429"/>
        <v/>
      </c>
      <c r="C3997" s="75"/>
      <c r="D3997" s="75"/>
      <c r="E3997" s="75"/>
      <c r="F3997" s="76"/>
      <c r="G3997" s="76"/>
      <c r="H3997" s="77"/>
      <c r="I3997" s="77"/>
      <c r="J3997" s="1248"/>
      <c r="K3997" s="1247"/>
      <c r="L3997" s="390"/>
      <c r="M3997" s="978"/>
      <c r="N3997" s="79"/>
      <c r="O3997" s="979"/>
      <c r="P3997" s="79" t="str">
        <f>IF(AND('331-CT'!$E$7=TH!H3997,OR(N3997="331",O3997="331")),"x","")</f>
        <v/>
      </c>
      <c r="Q3997" s="79" t="str">
        <f>IF(AND(B3997='111'!$L$11,OR($N3997=$Q$7,$O3997=$Q$7)),"x","")</f>
        <v/>
      </c>
      <c r="R3997" s="79" t="str">
        <f>IF(AND($N3997=$Q$7,$B3997&lt;'111'!$L$11),"x","")</f>
        <v/>
      </c>
      <c r="S3997" s="79" t="str">
        <f>IF(AND($O3997=$Q$7,$B3997&lt;'111'!$L$11),"x","")</f>
        <v/>
      </c>
      <c r="T3997" s="79" t="str">
        <f>IF(ISERROR(FIND('112'!$M$9,G3997,1)),"",IF((AND(FIND('112'!$M$9,G3997,1)&gt;=1,B3997='112'!$K$9,OR($N3997='112'!$I$6,$O3997='112'!$I$6))),"x",""))</f>
        <v/>
      </c>
      <c r="U3997" s="79" t="str">
        <f>IF(ISERROR(FIND('112'!$M$9,G3997,1)),"",IF((AND(LEFT(G3997,2)=LEFT('112'!$M$9,2),B3997&lt;'112'!$K$9,$N3997='112'!$I$6)),"x",""))</f>
        <v/>
      </c>
      <c r="V3997" s="79" t="str">
        <f>IF(ISERROR(FIND('112'!$M$9,G3997,1)),"",IF((AND(RIGHT(G3997,2)=RIGHT('112'!$M$9,2),B3997&lt;'112'!$K$9,$O3997='112'!$I$6)),"x",""))</f>
        <v/>
      </c>
      <c r="W3997" s="79" t="str">
        <f>IF(AND('341-CT'!$H$9=H3997,OR(LEFT(N3997,3)=$W$7,LEFT(O3997,3)=$W$7)),"x","")</f>
        <v/>
      </c>
      <c r="X3997" s="79" t="str">
        <f>IF(OR(TH!N3997=TH!$X$7,O3997=TH!$X$7),"x","")</f>
        <v/>
      </c>
      <c r="Y3997" s="79" t="str">
        <f>IF(AND(OR(N3997="131",O3997="131"),H3997='131-CT'!$H$9),"x","")</f>
        <v/>
      </c>
      <c r="Z3997" s="79"/>
      <c r="AA3997" s="79" t="str">
        <f>IF(AND(MONTH(E3997)='IN-NX'!$J$5,'IN-NX'!$D$7=D3997),"x","")</f>
        <v/>
      </c>
      <c r="AB3997" s="79" t="str">
        <f>IF(AND(OR(LEFT(TH!N3997,2)="15",LEFT(TH!O3997,2)="15"),LEFT(TH!O3997,3)&lt;&gt;"111",'152-CT'!$J$8=TH!F3997),"x","")</f>
        <v/>
      </c>
      <c r="AC3997" s="79" t="str">
        <f>IF(AND(OR(LEFT(TH!N3997,2)="15",LEFT(TH!O3997,2)="15"),TK!$E$7=TH!F3997),"x","")</f>
        <v/>
      </c>
      <c r="AD3997" s="79" t="str">
        <f>IF(AND(N3997="1521",MONTH(C3997)='BK-NL'!$M$11),"x","")</f>
        <v/>
      </c>
    </row>
    <row r="3998" spans="1:30" ht="16.5" customHeight="1">
      <c r="A3998" s="318" t="str">
        <f>IF(B3998&lt;&gt;"",IF(AND(B3998='IN-TC'!$S$4,OR(TH!N3998="1111",TH!O3998="1111")),TH!D3998,""),"")</f>
        <v/>
      </c>
      <c r="B3998" s="60" t="str">
        <f t="shared" si="429"/>
        <v/>
      </c>
      <c r="C3998" s="75"/>
      <c r="D3998" s="75"/>
      <c r="E3998" s="75"/>
      <c r="F3998" s="76"/>
      <c r="G3998" s="76"/>
      <c r="H3998" s="77"/>
      <c r="I3998" s="77"/>
      <c r="J3998" s="1248"/>
      <c r="K3998" s="1247"/>
      <c r="L3998" s="390"/>
      <c r="M3998" s="978"/>
      <c r="N3998" s="79"/>
      <c r="O3998" s="979"/>
      <c r="P3998" s="79" t="str">
        <f>IF(AND('331-CT'!$E$7=TH!H3998,OR(N3998="331",O3998="331")),"x","")</f>
        <v/>
      </c>
      <c r="Q3998" s="79" t="str">
        <f>IF(AND(B3998='111'!$L$11,OR($N3998=$Q$7,$O3998=$Q$7)),"x","")</f>
        <v/>
      </c>
      <c r="R3998" s="79" t="str">
        <f>IF(AND($N3998=$Q$7,$B3998&lt;'111'!$L$11),"x","")</f>
        <v/>
      </c>
      <c r="S3998" s="79" t="str">
        <f>IF(AND($O3998=$Q$7,$B3998&lt;'111'!$L$11),"x","")</f>
        <v/>
      </c>
      <c r="T3998" s="79" t="str">
        <f>IF(ISERROR(FIND('112'!$M$9,G3998,1)),"",IF((AND(FIND('112'!$M$9,G3998,1)&gt;=1,B3998='112'!$K$9,OR($N3998='112'!$I$6,$O3998='112'!$I$6))),"x",""))</f>
        <v/>
      </c>
      <c r="U3998" s="79" t="str">
        <f>IF(ISERROR(FIND('112'!$M$9,G3998,1)),"",IF((AND(LEFT(G3998,2)=LEFT('112'!$M$9,2),B3998&lt;'112'!$K$9,$N3998='112'!$I$6)),"x",""))</f>
        <v/>
      </c>
      <c r="V3998" s="79" t="str">
        <f>IF(ISERROR(FIND('112'!$M$9,G3998,1)),"",IF((AND(RIGHT(G3998,2)=RIGHT('112'!$M$9,2),B3998&lt;'112'!$K$9,$O3998='112'!$I$6)),"x",""))</f>
        <v/>
      </c>
      <c r="W3998" s="79" t="str">
        <f>IF(AND('341-CT'!$H$9=H3998,OR(LEFT(N3998,3)=$W$7,LEFT(O3998,3)=$W$7)),"x","")</f>
        <v/>
      </c>
      <c r="X3998" s="79" t="str">
        <f>IF(OR(TH!N3998=TH!$X$7,O3998=TH!$X$7),"x","")</f>
        <v/>
      </c>
      <c r="Y3998" s="79" t="str">
        <f>IF(AND(OR(N3998="131",O3998="131"),H3998='131-CT'!$H$9),"x","")</f>
        <v/>
      </c>
      <c r="Z3998" s="79"/>
      <c r="AA3998" s="79" t="str">
        <f>IF(AND(MONTH(E3998)='IN-NX'!$J$5,'IN-NX'!$D$7=D3998),"x","")</f>
        <v/>
      </c>
      <c r="AB3998" s="79" t="str">
        <f>IF(AND(OR(LEFT(TH!N3998,2)="15",LEFT(TH!O3998,2)="15"),LEFT(TH!O3998,3)&lt;&gt;"111",'152-CT'!$J$8=TH!F3998),"x","")</f>
        <v/>
      </c>
      <c r="AC3998" s="79" t="str">
        <f>IF(AND(OR(LEFT(TH!N3998,2)="15",LEFT(TH!O3998,2)="15"),TK!$E$7=TH!F3998),"x","")</f>
        <v/>
      </c>
      <c r="AD3998" s="79" t="str">
        <f>IF(AND(N3998="1521",MONTH(C3998)='BK-NL'!$M$11),"x","")</f>
        <v/>
      </c>
    </row>
    <row r="3999" spans="1:30" ht="16.5" customHeight="1">
      <c r="A3999" s="318" t="str">
        <f>IF(B3999&lt;&gt;"",IF(AND(B3999='IN-TC'!$S$4,OR(TH!N3999="1111",TH!O3999="1111")),TH!D3999,""),"")</f>
        <v/>
      </c>
      <c r="B3999" s="60" t="str">
        <f t="shared" si="429"/>
        <v/>
      </c>
      <c r="C3999" s="75"/>
      <c r="D3999" s="75"/>
      <c r="E3999" s="75"/>
      <c r="F3999" s="76"/>
      <c r="G3999" s="76"/>
      <c r="H3999" s="77"/>
      <c r="I3999" s="77"/>
      <c r="J3999" s="391"/>
      <c r="K3999" s="383"/>
      <c r="L3999" s="390"/>
      <c r="M3999" s="978"/>
      <c r="N3999" s="79"/>
      <c r="O3999" s="79"/>
      <c r="P3999" s="79" t="str">
        <f>IF(AND('331-CT'!$E$7=TH!H3999,OR(N3999="331",O3999="331")),"x","")</f>
        <v/>
      </c>
      <c r="Q3999" s="79" t="str">
        <f>IF(AND(B3999='111'!$L$11,OR($N3999=$Q$7,$O3999=$Q$7)),"x","")</f>
        <v/>
      </c>
      <c r="R3999" s="79" t="str">
        <f>IF(AND($N3999=$Q$7,$B3999&lt;'111'!$L$11),"x","")</f>
        <v/>
      </c>
      <c r="S3999" s="79" t="str">
        <f>IF(AND($O3999=$Q$7,$B3999&lt;'111'!$L$11),"x","")</f>
        <v/>
      </c>
      <c r="T3999" s="79" t="str">
        <f>IF(ISERROR(FIND('112'!$M$9,G3999,1)),"",IF((AND(FIND('112'!$M$9,G3999,1)&gt;=1,B3999='112'!$K$9,OR($N3999='112'!$I$6,$O3999='112'!$I$6))),"x",""))</f>
        <v/>
      </c>
      <c r="U3999" s="79" t="str">
        <f>IF(ISERROR(FIND('112'!$M$9,G3999,1)),"",IF((AND(LEFT(G3999,2)=LEFT('112'!$M$9,2),B3999&lt;'112'!$K$9,$N3999='112'!$I$6)),"x",""))</f>
        <v/>
      </c>
      <c r="V3999" s="79" t="str">
        <f>IF(ISERROR(FIND('112'!$M$9,G3999,1)),"",IF((AND(RIGHT(G3999,2)=RIGHT('112'!$M$9,2),B3999&lt;'112'!$K$9,$O3999='112'!$I$6)),"x",""))</f>
        <v/>
      </c>
      <c r="W3999" s="79" t="str">
        <f>IF(AND('341-CT'!$H$9=H3999,OR(LEFT(N3999,3)=$W$7,LEFT(O3999,3)=$W$7)),"x","")</f>
        <v/>
      </c>
      <c r="X3999" s="79" t="str">
        <f>IF(OR(TH!N3999=TH!$X$7,O3999=TH!$X$7),"x","")</f>
        <v/>
      </c>
      <c r="Y3999" s="79" t="str">
        <f>IF(AND(OR(N3999="131",O3999="131"),H3999='131-CT'!$H$9),"x","")</f>
        <v/>
      </c>
      <c r="Z3999" s="79"/>
      <c r="AA3999" s="79" t="str">
        <f>IF(AND(MONTH(E3999)='IN-NX'!$J$5,'IN-NX'!$D$7=D3999),"x","")</f>
        <v/>
      </c>
      <c r="AB3999" s="79" t="str">
        <f>IF(AND(OR(LEFT(TH!N3999,2)="15",LEFT(TH!O3999,2)="15"),LEFT(TH!O3999,3)&lt;&gt;"111",'152-CT'!$J$8=TH!F3999),"x","")</f>
        <v/>
      </c>
      <c r="AC3999" s="79" t="str">
        <f>IF(AND(OR(LEFT(TH!N3999,2)="15",LEFT(TH!O3999,2)="15"),TK!$E$7=TH!F3999),"x","")</f>
        <v/>
      </c>
      <c r="AD3999" s="79" t="str">
        <f>IF(AND(N3999="1521",MONTH(C3999)='BK-NL'!$M$11),"x","")</f>
        <v/>
      </c>
    </row>
    <row r="4000" spans="1:30" ht="16.5" customHeight="1">
      <c r="A4000" s="318" t="str">
        <f>IF(B4000&lt;&gt;"",IF(AND(B4000='IN-TC'!$S$4,OR(TH!N4000="1111",TH!O4000="1111")),TH!D4000,""),"")</f>
        <v/>
      </c>
      <c r="B4000" s="60" t="str">
        <f t="shared" si="429"/>
        <v/>
      </c>
      <c r="C4000" s="75"/>
      <c r="D4000" s="75"/>
      <c r="E4000" s="75"/>
      <c r="F4000" s="76"/>
      <c r="G4000" s="76"/>
      <c r="H4000" s="77"/>
      <c r="I4000" s="77"/>
      <c r="J4000" s="391"/>
      <c r="K4000" s="383"/>
      <c r="L4000" s="390"/>
      <c r="M4000" s="978"/>
      <c r="N4000" s="79"/>
      <c r="O4000" s="79"/>
      <c r="P4000" s="79" t="str">
        <f>IF(AND('331-CT'!$E$7=TH!H4000,OR(N4000="331",O4000="331")),"x","")</f>
        <v/>
      </c>
      <c r="Q4000" s="79" t="str">
        <f>IF(AND(B4000='111'!$L$11,OR($N4000=$Q$7,$O4000=$Q$7)),"x","")</f>
        <v/>
      </c>
      <c r="R4000" s="79" t="str">
        <f>IF(AND($N4000=$Q$7,$B4000&lt;'111'!$L$11),"x","")</f>
        <v/>
      </c>
      <c r="S4000" s="79" t="str">
        <f>IF(AND($O4000=$Q$7,$B4000&lt;'111'!$L$11),"x","")</f>
        <v/>
      </c>
      <c r="T4000" s="79" t="str">
        <f>IF(ISERROR(FIND('112'!$M$9,G4000,1)),"",IF((AND(FIND('112'!$M$9,G4000,1)&gt;=1,B4000='112'!$K$9,OR($N4000='112'!$I$6,$O4000='112'!$I$6))),"x",""))</f>
        <v/>
      </c>
      <c r="U4000" s="79" t="str">
        <f>IF(ISERROR(FIND('112'!$M$9,G4000,1)),"",IF((AND(LEFT(G4000,2)=LEFT('112'!$M$9,2),B4000&lt;'112'!$K$9,$N4000='112'!$I$6)),"x",""))</f>
        <v/>
      </c>
      <c r="V4000" s="79" t="str">
        <f>IF(ISERROR(FIND('112'!$M$9,G4000,1)),"",IF((AND(RIGHT(G4000,2)=RIGHT('112'!$M$9,2),B4000&lt;'112'!$K$9,$O4000='112'!$I$6)),"x",""))</f>
        <v/>
      </c>
      <c r="W4000" s="79" t="str">
        <f>IF(AND('341-CT'!$H$9=H4000,OR(LEFT(N4000,3)=$W$7,LEFT(O4000,3)=$W$7)),"x","")</f>
        <v/>
      </c>
      <c r="X4000" s="79" t="str">
        <f>IF(OR(TH!N4000=TH!$X$7,O4000=TH!$X$7),"x","")</f>
        <v/>
      </c>
      <c r="Y4000" s="79" t="str">
        <f>IF(AND(OR(N4000="131",O4000="131"),H4000='131-CT'!$H$9),"x","")</f>
        <v/>
      </c>
      <c r="Z4000" s="79"/>
      <c r="AA4000" s="79" t="str">
        <f>IF(AND(MONTH(E4000)='IN-NX'!$J$5,'IN-NX'!$D$7=D4000),"x","")</f>
        <v/>
      </c>
      <c r="AB4000" s="79" t="str">
        <f>IF(AND(OR(LEFT(TH!N4000,2)="15",LEFT(TH!O4000,2)="15"),LEFT(TH!O4000,3)&lt;&gt;"111",'152-CT'!$J$8=TH!F4000),"x","")</f>
        <v/>
      </c>
      <c r="AC4000" s="79" t="str">
        <f>IF(AND(OR(LEFT(TH!N4000,2)="15",LEFT(TH!O4000,2)="15"),TK!$E$7=TH!F4000),"x","")</f>
        <v/>
      </c>
      <c r="AD4000" s="79" t="str">
        <f>IF(AND(N4000="1521",MONTH(C4000)='BK-NL'!$M$11),"x","")</f>
        <v/>
      </c>
    </row>
    <row r="4001" spans="1:30" ht="16.5" customHeight="1">
      <c r="A4001" s="318" t="str">
        <f>IF(B4001&lt;&gt;"",IF(AND(B4001='IN-TC'!$S$4,OR(TH!N4001="1111",TH!O4001="1111")),TH!D4001,""),"")</f>
        <v/>
      </c>
      <c r="B4001" s="60" t="str">
        <f t="shared" si="429"/>
        <v/>
      </c>
      <c r="C4001" s="75"/>
      <c r="D4001" s="75"/>
      <c r="E4001" s="75"/>
      <c r="F4001" s="76"/>
      <c r="G4001" s="76"/>
      <c r="H4001" s="77"/>
      <c r="I4001" s="77"/>
      <c r="J4001" s="391"/>
      <c r="K4001" s="383"/>
      <c r="L4001" s="390"/>
      <c r="M4001" s="78"/>
      <c r="N4001" s="79"/>
      <c r="O4001" s="979"/>
      <c r="P4001" s="79" t="str">
        <f>IF(AND('331-CT'!$E$7=TH!H4001,OR(N4001="331",O4001="331")),"x","")</f>
        <v/>
      </c>
      <c r="Q4001" s="79" t="str">
        <f>IF(AND(B4001='111'!$L$11,OR($N4001=$Q$7,$O4001=$Q$7)),"x","")</f>
        <v/>
      </c>
      <c r="R4001" s="79" t="str">
        <f>IF(AND($N4001=$Q$7,$B4001&lt;'111'!$L$11),"x","")</f>
        <v/>
      </c>
      <c r="S4001" s="79" t="str">
        <f>IF(AND($O4001=$Q$7,$B4001&lt;'111'!$L$11),"x","")</f>
        <v/>
      </c>
      <c r="T4001" s="79" t="str">
        <f>IF(ISERROR(FIND('112'!$M$9,G4001,1)),"",IF((AND(FIND('112'!$M$9,G4001,1)&gt;=1,B4001='112'!$K$9,OR($N4001='112'!$I$6,$O4001='112'!$I$6))),"x",""))</f>
        <v/>
      </c>
      <c r="U4001" s="79" t="str">
        <f>IF(ISERROR(FIND('112'!$M$9,G4001,1)),"",IF((AND(LEFT(G4001,2)=LEFT('112'!$M$9,2),B4001&lt;'112'!$K$9,$N4001='112'!$I$6)),"x",""))</f>
        <v/>
      </c>
      <c r="V4001" s="79" t="str">
        <f>IF(ISERROR(FIND('112'!$M$9,G4001,1)),"",IF((AND(RIGHT(G4001,2)=RIGHT('112'!$M$9,2),B4001&lt;'112'!$K$9,$O4001='112'!$I$6)),"x",""))</f>
        <v/>
      </c>
      <c r="W4001" s="79" t="str">
        <f>IF(AND('341-CT'!$H$9=H4001,OR(LEFT(N4001,3)=$W$7,LEFT(O4001,3)=$W$7)),"x","")</f>
        <v/>
      </c>
      <c r="X4001" s="79" t="str">
        <f>IF(OR(TH!N4001=TH!$X$7,O4001=TH!$X$7),"x","")</f>
        <v/>
      </c>
      <c r="Y4001" s="79" t="str">
        <f>IF(AND(OR(N4001="131",O4001="131"),H4001='131-CT'!$H$9),"x","")</f>
        <v/>
      </c>
      <c r="Z4001" s="79"/>
      <c r="AA4001" s="79" t="str">
        <f>IF(AND(MONTH(E4001)='IN-NX'!$J$5,'IN-NX'!$D$7=D4001),"x","")</f>
        <v/>
      </c>
      <c r="AB4001" s="79" t="str">
        <f>IF(AND(OR(LEFT(TH!N4001,2)="15",LEFT(TH!O4001,2)="15"),LEFT(TH!O4001,3)&lt;&gt;"111",'152-CT'!$J$8=TH!F4001),"x","")</f>
        <v/>
      </c>
      <c r="AC4001" s="79" t="str">
        <f>IF(AND(OR(LEFT(TH!N4001,2)="15",LEFT(TH!O4001,2)="15"),TK!$E$7=TH!F4001),"x","")</f>
        <v/>
      </c>
      <c r="AD4001" s="79" t="str">
        <f>IF(AND(N4001="1521",MONTH(C4001)='BK-NL'!$M$11),"x","")</f>
        <v/>
      </c>
    </row>
    <row r="4002" spans="1:30" ht="16.5" customHeight="1">
      <c r="A4002" s="318" t="str">
        <f>IF(B4002&lt;&gt;"",IF(AND(B4002='IN-TC'!$S$4,OR(TH!N4002="1111",TH!O4002="1111")),TH!D4002,""),"")</f>
        <v/>
      </c>
      <c r="B4002" s="60" t="str">
        <f t="shared" si="429"/>
        <v/>
      </c>
      <c r="C4002" s="75"/>
      <c r="D4002" s="75"/>
      <c r="E4002" s="75"/>
      <c r="F4002" s="76"/>
      <c r="G4002" s="76"/>
      <c r="H4002" s="77"/>
      <c r="I4002" s="77"/>
      <c r="J4002" s="391"/>
      <c r="K4002" s="383"/>
      <c r="L4002" s="390"/>
      <c r="M4002" s="978"/>
      <c r="N4002" s="79"/>
      <c r="O4002" s="979"/>
      <c r="P4002" s="79" t="str">
        <f>IF(AND('331-CT'!$E$7=TH!H4002,OR(N4002="331",O4002="331")),"x","")</f>
        <v/>
      </c>
      <c r="Q4002" s="79" t="str">
        <f>IF(AND(B4002='111'!$L$11,OR($N4002=$Q$7,$O4002=$Q$7)),"x","")</f>
        <v/>
      </c>
      <c r="R4002" s="79" t="str">
        <f>IF(AND($N4002=$Q$7,$B4002&lt;'111'!$L$11),"x","")</f>
        <v/>
      </c>
      <c r="S4002" s="79" t="str">
        <f>IF(AND($O4002=$Q$7,$B4002&lt;'111'!$L$11),"x","")</f>
        <v/>
      </c>
      <c r="T4002" s="79" t="str">
        <f>IF(ISERROR(FIND('112'!$M$9,G4002,1)),"",IF((AND(FIND('112'!$M$9,G4002,1)&gt;=1,B4002='112'!$K$9,OR($N4002='112'!$I$6,$O4002='112'!$I$6))),"x",""))</f>
        <v/>
      </c>
      <c r="U4002" s="79" t="str">
        <f>IF(ISERROR(FIND('112'!$M$9,G4002,1)),"",IF((AND(LEFT(G4002,2)=LEFT('112'!$M$9,2),B4002&lt;'112'!$K$9,$N4002='112'!$I$6)),"x",""))</f>
        <v/>
      </c>
      <c r="V4002" s="79" t="str">
        <f>IF(ISERROR(FIND('112'!$M$9,G4002,1)),"",IF((AND(RIGHT(G4002,2)=RIGHT('112'!$M$9,2),B4002&lt;'112'!$K$9,$O4002='112'!$I$6)),"x",""))</f>
        <v/>
      </c>
      <c r="W4002" s="79" t="str">
        <f>IF(AND('341-CT'!$H$9=H4002,OR(LEFT(N4002,3)=$W$7,LEFT(O4002,3)=$W$7)),"x","")</f>
        <v/>
      </c>
      <c r="X4002" s="79" t="str">
        <f>IF(OR(TH!N4002=TH!$X$7,O4002=TH!$X$7),"x","")</f>
        <v/>
      </c>
      <c r="Y4002" s="79" t="str">
        <f>IF(AND(OR(N4002="131",O4002="131"),H4002='131-CT'!$H$9),"x","")</f>
        <v/>
      </c>
      <c r="Z4002" s="79"/>
      <c r="AA4002" s="79" t="str">
        <f>IF(AND(MONTH(E4002)='IN-NX'!$J$5,'IN-NX'!$D$7=D4002),"x","")</f>
        <v/>
      </c>
      <c r="AB4002" s="79" t="str">
        <f>IF(AND(OR(LEFT(TH!N4002,2)="15",LEFT(TH!O4002,2)="15"),LEFT(TH!O4002,3)&lt;&gt;"111",'152-CT'!$J$8=TH!F4002),"x","")</f>
        <v/>
      </c>
      <c r="AC4002" s="79" t="str">
        <f>IF(AND(OR(LEFT(TH!N4002,2)="15",LEFT(TH!O4002,2)="15"),TK!$E$7=TH!F4002),"x","")</f>
        <v/>
      </c>
      <c r="AD4002" s="79" t="str">
        <f>IF(AND(N4002="1521",MONTH(C4002)='BK-NL'!$M$11),"x","")</f>
        <v/>
      </c>
    </row>
    <row r="4003" spans="1:30" ht="16.5" customHeight="1">
      <c r="A4003" s="318" t="str">
        <f>IF(B4003&lt;&gt;"",IF(AND(B4003='IN-TC'!$S$4,OR(TH!N4003="1111",TH!O4003="1111")),TH!D4003,""),"")</f>
        <v/>
      </c>
      <c r="B4003" s="60" t="str">
        <f t="shared" si="429"/>
        <v/>
      </c>
      <c r="C4003" s="75"/>
      <c r="D4003" s="75"/>
      <c r="E4003" s="75"/>
      <c r="F4003" s="76"/>
      <c r="G4003" s="76"/>
      <c r="H4003" s="77"/>
      <c r="I4003" s="77"/>
      <c r="J4003" s="391"/>
      <c r="K4003" s="383"/>
      <c r="L4003" s="390"/>
      <c r="M4003" s="978"/>
      <c r="N4003" s="79"/>
      <c r="O4003" s="979"/>
      <c r="P4003" s="79" t="str">
        <f>IF(AND('331-CT'!$E$7=TH!H4003,OR(N4003="331",O4003="331")),"x","")</f>
        <v/>
      </c>
      <c r="Q4003" s="79" t="str">
        <f>IF(AND(B4003='111'!$L$11,OR($N4003=$Q$7,$O4003=$Q$7)),"x","")</f>
        <v/>
      </c>
      <c r="R4003" s="79" t="str">
        <f>IF(AND($N4003=$Q$7,$B4003&lt;'111'!$L$11),"x","")</f>
        <v/>
      </c>
      <c r="S4003" s="79" t="str">
        <f>IF(AND($O4003=$Q$7,$B4003&lt;'111'!$L$11),"x","")</f>
        <v/>
      </c>
      <c r="T4003" s="79" t="str">
        <f>IF(ISERROR(FIND('112'!$M$9,G4003,1)),"",IF((AND(FIND('112'!$M$9,G4003,1)&gt;=1,B4003='112'!$K$9,OR($N4003='112'!$I$6,$O4003='112'!$I$6))),"x",""))</f>
        <v/>
      </c>
      <c r="U4003" s="79" t="str">
        <f>IF(ISERROR(FIND('112'!$M$9,G4003,1)),"",IF((AND(LEFT(G4003,2)=LEFT('112'!$M$9,2),B4003&lt;'112'!$K$9,$N4003='112'!$I$6)),"x",""))</f>
        <v/>
      </c>
      <c r="V4003" s="79" t="str">
        <f>IF(ISERROR(FIND('112'!$M$9,G4003,1)),"",IF((AND(RIGHT(G4003,2)=RIGHT('112'!$M$9,2),B4003&lt;'112'!$K$9,$O4003='112'!$I$6)),"x",""))</f>
        <v/>
      </c>
      <c r="W4003" s="79" t="str">
        <f>IF(AND('341-CT'!$H$9=H4003,OR(LEFT(N4003,3)=$W$7,LEFT(O4003,3)=$W$7)),"x","")</f>
        <v/>
      </c>
      <c r="X4003" s="79" t="str">
        <f>IF(OR(TH!N4003=TH!$X$7,O4003=TH!$X$7),"x","")</f>
        <v/>
      </c>
      <c r="Y4003" s="79" t="str">
        <f>IF(AND(OR(N4003="131",O4003="131"),H4003='131-CT'!$H$9),"x","")</f>
        <v/>
      </c>
      <c r="Z4003" s="79"/>
      <c r="AA4003" s="79" t="str">
        <f>IF(AND(MONTH(E4003)='IN-NX'!$J$5,'IN-NX'!$D$7=D4003),"x","")</f>
        <v/>
      </c>
      <c r="AB4003" s="79" t="str">
        <f>IF(AND(OR(LEFT(TH!N4003,2)="15",LEFT(TH!O4003,2)="15"),LEFT(TH!O4003,3)&lt;&gt;"111",'152-CT'!$J$8=TH!F4003),"x","")</f>
        <v/>
      </c>
      <c r="AC4003" s="79" t="str">
        <f>IF(AND(OR(LEFT(TH!N4003,2)="15",LEFT(TH!O4003,2)="15"),TK!$E$7=TH!F4003),"x","")</f>
        <v/>
      </c>
      <c r="AD4003" s="79" t="str">
        <f>IF(AND(N4003="1521",MONTH(C4003)='BK-NL'!$M$11),"x","")</f>
        <v/>
      </c>
    </row>
    <row r="4004" spans="1:30" ht="16.5" customHeight="1">
      <c r="A4004" s="318" t="str">
        <f>IF(B4004&lt;&gt;"",IF(AND(B4004='IN-TC'!$S$4,OR(TH!N4004="1111",TH!O4004="1111")),TH!D4004,""),"")</f>
        <v/>
      </c>
      <c r="B4004" s="60" t="str">
        <f t="shared" si="429"/>
        <v/>
      </c>
      <c r="C4004" s="75"/>
      <c r="D4004" s="75"/>
      <c r="E4004" s="75"/>
      <c r="F4004" s="76"/>
      <c r="G4004" s="76"/>
      <c r="H4004" s="77"/>
      <c r="I4004" s="77"/>
      <c r="J4004" s="391"/>
      <c r="K4004" s="383"/>
      <c r="L4004" s="390"/>
      <c r="M4004" s="978"/>
      <c r="N4004" s="79"/>
      <c r="O4004" s="979"/>
      <c r="P4004" s="79" t="str">
        <f>IF(AND('331-CT'!$E$7=TH!H4004,OR(N4004="331",O4004="331")),"x","")</f>
        <v/>
      </c>
      <c r="Q4004" s="79" t="str">
        <f>IF(AND(B4004='111'!$L$11,OR($N4004=$Q$7,$O4004=$Q$7)),"x","")</f>
        <v/>
      </c>
      <c r="R4004" s="79" t="str">
        <f>IF(AND($N4004=$Q$7,$B4004&lt;'111'!$L$11),"x","")</f>
        <v/>
      </c>
      <c r="S4004" s="79" t="str">
        <f>IF(AND($O4004=$Q$7,$B4004&lt;'111'!$L$11),"x","")</f>
        <v/>
      </c>
      <c r="T4004" s="79" t="str">
        <f>IF(ISERROR(FIND('112'!$M$9,G4004,1)),"",IF((AND(FIND('112'!$M$9,G4004,1)&gt;=1,B4004='112'!$K$9,OR($N4004='112'!$I$6,$O4004='112'!$I$6))),"x",""))</f>
        <v/>
      </c>
      <c r="U4004" s="79" t="str">
        <f>IF(ISERROR(FIND('112'!$M$9,G4004,1)),"",IF((AND(LEFT(G4004,2)=LEFT('112'!$M$9,2),B4004&lt;'112'!$K$9,$N4004='112'!$I$6)),"x",""))</f>
        <v/>
      </c>
      <c r="V4004" s="79" t="str">
        <f>IF(ISERROR(FIND('112'!$M$9,G4004,1)),"",IF((AND(RIGHT(G4004,2)=RIGHT('112'!$M$9,2),B4004&lt;'112'!$K$9,$O4004='112'!$I$6)),"x",""))</f>
        <v/>
      </c>
      <c r="W4004" s="79" t="str">
        <f>IF(AND('341-CT'!$H$9=H4004,OR(LEFT(N4004,3)=$W$7,LEFT(O4004,3)=$W$7)),"x","")</f>
        <v/>
      </c>
      <c r="X4004" s="79" t="str">
        <f>IF(OR(TH!N4004=TH!$X$7,O4004=TH!$X$7),"x","")</f>
        <v/>
      </c>
      <c r="Y4004" s="79" t="str">
        <f>IF(AND(OR(N4004="131",O4004="131"),H4004='131-CT'!$H$9),"x","")</f>
        <v/>
      </c>
      <c r="Z4004" s="79"/>
      <c r="AA4004" s="79" t="str">
        <f>IF(AND(MONTH(E4004)='IN-NX'!$J$5,'IN-NX'!$D$7=D4004),"x","")</f>
        <v/>
      </c>
      <c r="AB4004" s="79" t="str">
        <f>IF(AND(OR(LEFT(TH!N4004,2)="15",LEFT(TH!O4004,2)="15"),LEFT(TH!O4004,3)&lt;&gt;"111",'152-CT'!$J$8=TH!F4004),"x","")</f>
        <v/>
      </c>
      <c r="AC4004" s="79" t="str">
        <f>IF(AND(OR(LEFT(TH!N4004,2)="15",LEFT(TH!O4004,2)="15"),TK!$E$7=TH!F4004),"x","")</f>
        <v/>
      </c>
      <c r="AD4004" s="79" t="str">
        <f>IF(AND(N4004="1521",MONTH(C4004)='BK-NL'!$M$11),"x","")</f>
        <v/>
      </c>
    </row>
    <row r="4005" spans="1:30" ht="16.5" customHeight="1">
      <c r="A4005" s="318" t="str">
        <f>IF(B4005&lt;&gt;"",IF(AND(B4005='IN-TC'!$S$4,OR(TH!N4005="1111",TH!O4005="1111")),TH!D4005,""),"")</f>
        <v/>
      </c>
      <c r="B4005" s="60" t="str">
        <f t="shared" si="429"/>
        <v/>
      </c>
      <c r="C4005" s="75"/>
      <c r="D4005" s="75"/>
      <c r="E4005" s="75"/>
      <c r="F4005" s="76"/>
      <c r="G4005" s="76"/>
      <c r="H4005" s="77"/>
      <c r="I4005" s="77"/>
      <c r="J4005" s="391"/>
      <c r="K4005" s="383"/>
      <c r="L4005" s="390"/>
      <c r="M4005" s="978"/>
      <c r="N4005" s="79"/>
      <c r="O4005" s="979"/>
      <c r="P4005" s="79" t="str">
        <f>IF(AND('331-CT'!$E$7=TH!H4005,OR(N4005="331",O4005="331")),"x","")</f>
        <v/>
      </c>
      <c r="Q4005" s="79" t="str">
        <f>IF(AND(B4005='111'!$L$11,OR($N4005=$Q$7,$O4005=$Q$7)),"x","")</f>
        <v/>
      </c>
      <c r="R4005" s="79" t="str">
        <f>IF(AND($N4005=$Q$7,$B4005&lt;'111'!$L$11),"x","")</f>
        <v/>
      </c>
      <c r="S4005" s="79" t="str">
        <f>IF(AND($O4005=$Q$7,$B4005&lt;'111'!$L$11),"x","")</f>
        <v/>
      </c>
      <c r="T4005" s="79" t="str">
        <f>IF(ISERROR(FIND('112'!$M$9,G4005,1)),"",IF((AND(FIND('112'!$M$9,G4005,1)&gt;=1,B4005='112'!$K$9,OR($N4005='112'!$I$6,$O4005='112'!$I$6))),"x",""))</f>
        <v/>
      </c>
      <c r="U4005" s="79" t="str">
        <f>IF(ISERROR(FIND('112'!$M$9,G4005,1)),"",IF((AND(LEFT(G4005,2)=LEFT('112'!$M$9,2),B4005&lt;'112'!$K$9,$N4005='112'!$I$6)),"x",""))</f>
        <v/>
      </c>
      <c r="V4005" s="79" t="str">
        <f>IF(ISERROR(FIND('112'!$M$9,G4005,1)),"",IF((AND(RIGHT(G4005,2)=RIGHT('112'!$M$9,2),B4005&lt;'112'!$K$9,$O4005='112'!$I$6)),"x",""))</f>
        <v/>
      </c>
      <c r="W4005" s="79" t="str">
        <f>IF(AND('341-CT'!$H$9=H4005,OR(LEFT(N4005,3)=$W$7,LEFT(O4005,3)=$W$7)),"x","")</f>
        <v/>
      </c>
      <c r="X4005" s="79" t="str">
        <f>IF(OR(TH!N4005=TH!$X$7,O4005=TH!$X$7),"x","")</f>
        <v/>
      </c>
      <c r="Y4005" s="79" t="str">
        <f>IF(AND(OR(N4005="131",O4005="131"),H4005='131-CT'!$H$9),"x","")</f>
        <v/>
      </c>
      <c r="Z4005" s="79"/>
      <c r="AA4005" s="79" t="str">
        <f>IF(AND(MONTH(E4005)='IN-NX'!$J$5,'IN-NX'!$D$7=D4005),"x","")</f>
        <v/>
      </c>
      <c r="AB4005" s="79" t="str">
        <f>IF(AND(OR(LEFT(TH!N4005,2)="15",LEFT(TH!O4005,2)="15"),LEFT(TH!O4005,3)&lt;&gt;"111",'152-CT'!$J$8=TH!F4005),"x","")</f>
        <v/>
      </c>
      <c r="AC4005" s="79" t="str">
        <f>IF(AND(OR(LEFT(TH!N4005,2)="15",LEFT(TH!O4005,2)="15"),TK!$E$7=TH!F4005),"x","")</f>
        <v/>
      </c>
      <c r="AD4005" s="79" t="str">
        <f>IF(AND(N4005="1521",MONTH(C4005)='BK-NL'!$M$11),"x","")</f>
        <v/>
      </c>
    </row>
    <row r="4006" spans="1:30" ht="16.5" customHeight="1">
      <c r="A4006" s="318" t="str">
        <f>IF(B4006&lt;&gt;"",IF(AND(B4006='IN-TC'!$S$4,OR(TH!N4006="1111",TH!O4006="1111")),TH!D4006,""),"")</f>
        <v/>
      </c>
      <c r="B4006" s="60" t="str">
        <f t="shared" si="429"/>
        <v/>
      </c>
      <c r="C4006" s="75"/>
      <c r="D4006" s="75"/>
      <c r="E4006" s="75"/>
      <c r="F4006" s="76"/>
      <c r="G4006" s="76"/>
      <c r="H4006" s="77"/>
      <c r="I4006" s="77"/>
      <c r="J4006" s="391"/>
      <c r="K4006" s="383"/>
      <c r="L4006" s="390"/>
      <c r="M4006" s="978"/>
      <c r="N4006" s="79"/>
      <c r="O4006" s="979"/>
      <c r="P4006" s="79" t="str">
        <f>IF(AND('331-CT'!$E$7=TH!H4006,OR(N4006="331",O4006="331")),"x","")</f>
        <v/>
      </c>
      <c r="Q4006" s="79" t="str">
        <f>IF(AND(B4006='111'!$L$11,OR($N4006=$Q$7,$O4006=$Q$7)),"x","")</f>
        <v/>
      </c>
      <c r="R4006" s="79" t="str">
        <f>IF(AND($N4006=$Q$7,$B4006&lt;'111'!$L$11),"x","")</f>
        <v/>
      </c>
      <c r="S4006" s="79" t="str">
        <f>IF(AND($O4006=$Q$7,$B4006&lt;'111'!$L$11),"x","")</f>
        <v/>
      </c>
      <c r="T4006" s="79" t="str">
        <f>IF(ISERROR(FIND('112'!$M$9,G4006,1)),"",IF((AND(FIND('112'!$M$9,G4006,1)&gt;=1,B4006='112'!$K$9,OR($N4006='112'!$I$6,$O4006='112'!$I$6))),"x",""))</f>
        <v/>
      </c>
      <c r="U4006" s="79" t="str">
        <f>IF(ISERROR(FIND('112'!$M$9,G4006,1)),"",IF((AND(LEFT(G4006,2)=LEFT('112'!$M$9,2),B4006&lt;'112'!$K$9,$N4006='112'!$I$6)),"x",""))</f>
        <v/>
      </c>
      <c r="V4006" s="79" t="str">
        <f>IF(ISERROR(FIND('112'!$M$9,G4006,1)),"",IF((AND(RIGHT(G4006,2)=RIGHT('112'!$M$9,2),B4006&lt;'112'!$K$9,$O4006='112'!$I$6)),"x",""))</f>
        <v/>
      </c>
      <c r="W4006" s="79" t="str">
        <f>IF(AND('341-CT'!$H$9=H4006,OR(LEFT(N4006,3)=$W$7,LEFT(O4006,3)=$W$7)),"x","")</f>
        <v/>
      </c>
      <c r="X4006" s="79" t="str">
        <f>IF(OR(TH!N4006=TH!$X$7,O4006=TH!$X$7),"x","")</f>
        <v/>
      </c>
      <c r="Y4006" s="79" t="str">
        <f>IF(AND(OR(N4006="131",O4006="131"),H4006='131-CT'!$H$9),"x","")</f>
        <v/>
      </c>
      <c r="Z4006" s="79"/>
      <c r="AA4006" s="79" t="str">
        <f>IF(AND(MONTH(E4006)='IN-NX'!$J$5,'IN-NX'!$D$7=D4006),"x","")</f>
        <v/>
      </c>
      <c r="AB4006" s="79" t="str">
        <f>IF(AND(OR(LEFT(TH!N4006,2)="15",LEFT(TH!O4006,2)="15"),LEFT(TH!O4006,3)&lt;&gt;"111",'152-CT'!$J$8=TH!F4006),"x","")</f>
        <v/>
      </c>
      <c r="AC4006" s="79" t="str">
        <f>IF(AND(OR(LEFT(TH!N4006,2)="15",LEFT(TH!O4006,2)="15"),TK!$E$7=TH!F4006),"x","")</f>
        <v/>
      </c>
      <c r="AD4006" s="79" t="str">
        <f>IF(AND(N4006="1521",MONTH(C4006)='BK-NL'!$M$11),"x","")</f>
        <v/>
      </c>
    </row>
    <row r="4007" spans="1:30" ht="16.5" customHeight="1">
      <c r="A4007" s="318" t="str">
        <f>IF(B4007&lt;&gt;"",IF(AND(B4007='IN-TC'!$S$4,OR(TH!N4007="1111",TH!O4007="1111")),TH!D4007,""),"")</f>
        <v/>
      </c>
      <c r="B4007" s="60" t="str">
        <f t="shared" si="429"/>
        <v/>
      </c>
      <c r="C4007" s="75"/>
      <c r="D4007" s="75"/>
      <c r="E4007" s="75"/>
      <c r="F4007" s="76"/>
      <c r="G4007" s="76"/>
      <c r="H4007" s="77"/>
      <c r="I4007" s="77"/>
      <c r="J4007" s="391"/>
      <c r="K4007" s="384"/>
      <c r="L4007" s="391"/>
      <c r="M4007" s="978"/>
      <c r="N4007" s="79"/>
      <c r="O4007" s="79"/>
      <c r="P4007" s="79" t="str">
        <f>IF(AND('331-CT'!$E$7=TH!H4007,OR(N4007="331",O4007="331")),"x","")</f>
        <v/>
      </c>
      <c r="Q4007" s="79" t="str">
        <f>IF(AND(B4007='111'!$L$11,OR($N4007=$Q$7,$O4007=$Q$7)),"x","")</f>
        <v/>
      </c>
      <c r="R4007" s="79" t="str">
        <f>IF(AND($N4007=$Q$7,$B4007&lt;'111'!$L$11),"x","")</f>
        <v/>
      </c>
      <c r="S4007" s="79" t="str">
        <f>IF(AND($O4007=$Q$7,$B4007&lt;'111'!$L$11),"x","")</f>
        <v/>
      </c>
      <c r="T4007" s="79" t="str">
        <f>IF(ISERROR(FIND('112'!$M$9,G4007,1)),"",IF((AND(FIND('112'!$M$9,G4007,1)&gt;=1,B4007='112'!$K$9,OR($N4007='112'!$I$6,$O4007='112'!$I$6))),"x",""))</f>
        <v/>
      </c>
      <c r="U4007" s="79" t="str">
        <f>IF(ISERROR(FIND('112'!$M$9,G4007,1)),"",IF((AND(LEFT(G4007,2)=LEFT('112'!$M$9,2),B4007&lt;'112'!$K$9,$N4007='112'!$I$6)),"x",""))</f>
        <v/>
      </c>
      <c r="V4007" s="79" t="str">
        <f>IF(ISERROR(FIND('112'!$M$9,G4007,1)),"",IF((AND(RIGHT(G4007,2)=RIGHT('112'!$M$9,2),B4007&lt;'112'!$K$9,$O4007='112'!$I$6)),"x",""))</f>
        <v/>
      </c>
      <c r="W4007" s="79" t="str">
        <f>IF(AND('341-CT'!$H$9=H4007,OR(LEFT(N4007,3)=$W$7,LEFT(O4007,3)=$W$7)),"x","")</f>
        <v/>
      </c>
      <c r="X4007" s="79" t="str">
        <f>IF(OR(TH!N4007=TH!$X$7,O4007=TH!$X$7),"x","")</f>
        <v/>
      </c>
      <c r="Y4007" s="79" t="str">
        <f>IF(AND(OR(N4007="131",O4007="131"),H4007='131-CT'!$H$9),"x","")</f>
        <v/>
      </c>
      <c r="Z4007" s="79"/>
      <c r="AA4007" s="79" t="str">
        <f>IF(AND(MONTH(E4007)='IN-NX'!$J$5,'IN-NX'!$D$7=D4007),"x","")</f>
        <v/>
      </c>
      <c r="AB4007" s="79" t="str">
        <f>IF(AND(OR(LEFT(TH!N4007,2)="15",LEFT(TH!O4007,2)="15"),LEFT(TH!O4007,3)&lt;&gt;"111",'152-CT'!$J$8=TH!F4007),"x","")</f>
        <v/>
      </c>
      <c r="AC4007" s="79" t="str">
        <f>IF(AND(OR(LEFT(TH!N4007,2)="15",LEFT(TH!O4007,2)="15"),TK!$E$7=TH!F4007),"x","")</f>
        <v/>
      </c>
      <c r="AD4007" s="79" t="str">
        <f>IF(AND(N4007="1521",MONTH(C4007)='BK-NL'!$M$11),"x","")</f>
        <v/>
      </c>
    </row>
    <row r="4008" spans="1:30" ht="16.5" customHeight="1">
      <c r="A4008" s="318" t="str">
        <f>IF(B4008&lt;&gt;"",IF(AND(B4008='IN-TC'!$S$4,OR(TH!N4008="1111",TH!O4008="1111")),TH!D4008,""),"")</f>
        <v/>
      </c>
      <c r="B4008" s="60" t="str">
        <f t="shared" si="429"/>
        <v/>
      </c>
      <c r="C4008" s="75"/>
      <c r="D4008" s="75"/>
      <c r="E4008" s="75"/>
      <c r="F4008" s="76"/>
      <c r="G4008" s="76"/>
      <c r="H4008" s="77"/>
      <c r="I4008" s="77"/>
      <c r="J4008" s="391"/>
      <c r="K4008" s="383"/>
      <c r="L4008" s="391"/>
      <c r="M4008" s="978"/>
      <c r="N4008" s="79"/>
      <c r="O4008" s="979"/>
      <c r="P4008" s="79" t="str">
        <f>IF(AND('331-CT'!$E$7=TH!H4008,OR(N4008="331",O4008="331")),"x","")</f>
        <v/>
      </c>
      <c r="Q4008" s="79" t="str">
        <f>IF(AND(B4008='111'!$L$11,OR($N4008=$Q$7,$O4008=$Q$7)),"x","")</f>
        <v/>
      </c>
      <c r="R4008" s="79" t="str">
        <f>IF(AND($N4008=$Q$7,$B4008&lt;'111'!$L$11),"x","")</f>
        <v/>
      </c>
      <c r="S4008" s="79" t="str">
        <f>IF(AND($O4008=$Q$7,$B4008&lt;'111'!$L$11),"x","")</f>
        <v/>
      </c>
      <c r="T4008" s="79" t="str">
        <f>IF(ISERROR(FIND('112'!$M$9,G4008,1)),"",IF((AND(FIND('112'!$M$9,G4008,1)&gt;=1,B4008='112'!$K$9,OR($N4008='112'!$I$6,$O4008='112'!$I$6))),"x",""))</f>
        <v/>
      </c>
      <c r="U4008" s="79" t="str">
        <f>IF(ISERROR(FIND('112'!$M$9,G4008,1)),"",IF((AND(LEFT(G4008,2)=LEFT('112'!$M$9,2),B4008&lt;'112'!$K$9,$N4008='112'!$I$6)),"x",""))</f>
        <v/>
      </c>
      <c r="V4008" s="79" t="str">
        <f>IF(ISERROR(FIND('112'!$M$9,G4008,1)),"",IF((AND(RIGHT(G4008,2)=RIGHT('112'!$M$9,2),B4008&lt;'112'!$K$9,$O4008='112'!$I$6)),"x",""))</f>
        <v/>
      </c>
      <c r="W4008" s="79" t="str">
        <f>IF(AND('341-CT'!$H$9=H4008,OR(LEFT(N4008,3)=$W$7,LEFT(O4008,3)=$W$7)),"x","")</f>
        <v/>
      </c>
      <c r="X4008" s="79" t="str">
        <f>IF(OR(TH!N4008=TH!$X$7,O4008=TH!$X$7),"x","")</f>
        <v/>
      </c>
      <c r="Y4008" s="79" t="str">
        <f>IF(AND(OR(N4008="131",O4008="131"),H4008='131-CT'!$H$9),"x","")</f>
        <v/>
      </c>
      <c r="Z4008" s="79"/>
      <c r="AA4008" s="79" t="str">
        <f>IF(AND(MONTH(E4008)='IN-NX'!$J$5,'IN-NX'!$D$7=D4008),"x","")</f>
        <v/>
      </c>
      <c r="AB4008" s="79" t="str">
        <f>IF(AND(OR(LEFT(TH!N4008,2)="15",LEFT(TH!O4008,2)="15"),LEFT(TH!O4008,3)&lt;&gt;"111",'152-CT'!$J$8=TH!F4008),"x","")</f>
        <v/>
      </c>
      <c r="AC4008" s="79" t="str">
        <f>IF(AND(OR(LEFT(TH!N4008,2)="15",LEFT(TH!O4008,2)="15"),TK!$E$7=TH!F4008),"x","")</f>
        <v/>
      </c>
      <c r="AD4008" s="79" t="str">
        <f>IF(AND(N4008="1521",MONTH(C4008)='BK-NL'!$M$11),"x","")</f>
        <v/>
      </c>
    </row>
    <row r="4009" spans="1:30" ht="16.5" customHeight="1">
      <c r="A4009" s="318" t="str">
        <f>IF(B4009&lt;&gt;"",IF(AND(B4009='IN-TC'!$S$4,OR(TH!N4009="1111",TH!O4009="1111")),TH!D4009,""),"")</f>
        <v/>
      </c>
      <c r="B4009" s="60" t="str">
        <f t="shared" si="429"/>
        <v/>
      </c>
      <c r="C4009" s="75"/>
      <c r="D4009" s="75"/>
      <c r="E4009" s="75"/>
      <c r="F4009" s="76"/>
      <c r="G4009" s="76"/>
      <c r="H4009" s="305"/>
      <c r="I4009" s="77"/>
      <c r="J4009" s="391"/>
      <c r="K4009" s="383"/>
      <c r="L4009" s="390"/>
      <c r="M4009" s="978"/>
      <c r="N4009" s="79"/>
      <c r="O4009" s="79"/>
      <c r="P4009" s="79" t="str">
        <f>IF(AND('331-CT'!$E$7=TH!H4009,OR(N4009="331",O4009="331")),"x","")</f>
        <v/>
      </c>
      <c r="Q4009" s="79" t="str">
        <f>IF(AND(B4009='111'!$L$11,OR($N4009=$Q$7,$O4009=$Q$7)),"x","")</f>
        <v/>
      </c>
      <c r="R4009" s="79" t="str">
        <f>IF(AND($N4009=$Q$7,$B4009&lt;'111'!$L$11),"x","")</f>
        <v/>
      </c>
      <c r="S4009" s="79" t="str">
        <f>IF(AND($O4009=$Q$7,$B4009&lt;'111'!$L$11),"x","")</f>
        <v/>
      </c>
      <c r="T4009" s="79" t="str">
        <f>IF(ISERROR(FIND('112'!$M$9,G4009,1)),"",IF((AND(FIND('112'!$M$9,G4009,1)&gt;=1,B4009='112'!$K$9,OR($N4009='112'!$I$6,$O4009='112'!$I$6))),"x",""))</f>
        <v/>
      </c>
      <c r="U4009" s="79" t="str">
        <f>IF(ISERROR(FIND('112'!$M$9,G4009,1)),"",IF((AND(LEFT(G4009,2)=LEFT('112'!$M$9,2),B4009&lt;'112'!$K$9,$N4009='112'!$I$6)),"x",""))</f>
        <v/>
      </c>
      <c r="V4009" s="79" t="str">
        <f>IF(ISERROR(FIND('112'!$M$9,G4009,1)),"",IF((AND(RIGHT(G4009,2)=RIGHT('112'!$M$9,2),B4009&lt;'112'!$K$9,$O4009='112'!$I$6)),"x",""))</f>
        <v/>
      </c>
      <c r="W4009" s="79" t="str">
        <f>IF(AND('341-CT'!$H$9=H4009,OR(LEFT(N4009,3)=$W$7,LEFT(O4009,3)=$W$7)),"x","")</f>
        <v/>
      </c>
      <c r="X4009" s="79" t="str">
        <f>IF(OR(TH!N4009=TH!$X$7,O4009=TH!$X$7),"x","")</f>
        <v/>
      </c>
      <c r="Y4009" s="79" t="str">
        <f>IF(AND(OR(N4009="131",O4009="131"),H4009='131-CT'!$H$9),"x","")</f>
        <v/>
      </c>
      <c r="Z4009" s="79"/>
      <c r="AA4009" s="79" t="str">
        <f>IF(AND(MONTH(E4009)='IN-NX'!$J$5,'IN-NX'!$D$7=D4009),"x","")</f>
        <v/>
      </c>
      <c r="AB4009" s="79" t="str">
        <f>IF(AND(OR(LEFT(TH!N4009,2)="15",LEFT(TH!O4009,2)="15"),LEFT(TH!O4009,3)&lt;&gt;"111",'152-CT'!$J$8=TH!F4009),"x","")</f>
        <v/>
      </c>
      <c r="AC4009" s="79" t="str">
        <f>IF(AND(OR(LEFT(TH!N4009,2)="15",LEFT(TH!O4009,2)="15"),TK!$E$7=TH!F4009),"x","")</f>
        <v/>
      </c>
      <c r="AD4009" s="79" t="str">
        <f>IF(AND(N4009="1521",MONTH(C4009)='BK-NL'!$M$11),"x","")</f>
        <v/>
      </c>
    </row>
    <row r="4010" spans="1:30" ht="16.5" customHeight="1">
      <c r="A4010" s="318" t="str">
        <f>IF(B4010&lt;&gt;"",IF(AND(B4010='IN-TC'!$S$4,OR(TH!N4010="1111",TH!O4010="1111")),TH!D4010,""),"")</f>
        <v/>
      </c>
      <c r="B4010" s="60" t="str">
        <f t="shared" si="429"/>
        <v/>
      </c>
      <c r="C4010" s="75"/>
      <c r="D4010" s="75"/>
      <c r="E4010" s="75"/>
      <c r="F4010" s="76"/>
      <c r="G4010" s="76"/>
      <c r="H4010" s="305"/>
      <c r="I4010" s="77"/>
      <c r="J4010" s="391"/>
      <c r="K4010" s="383"/>
      <c r="L4010" s="390"/>
      <c r="M4010" s="978"/>
      <c r="N4010" s="79"/>
      <c r="O4010" s="79"/>
      <c r="P4010" s="79" t="str">
        <f>IF(AND('331-CT'!$E$7=TH!H4010,OR(N4010="331",O4010="331")),"x","")</f>
        <v/>
      </c>
      <c r="Q4010" s="79" t="str">
        <f>IF(AND(B4010='111'!$L$11,OR($N4010=$Q$7,$O4010=$Q$7)),"x","")</f>
        <v/>
      </c>
      <c r="R4010" s="79" t="str">
        <f>IF(AND($N4010=$Q$7,$B4010&lt;'111'!$L$11),"x","")</f>
        <v/>
      </c>
      <c r="S4010" s="79" t="str">
        <f>IF(AND($O4010=$Q$7,$B4010&lt;'111'!$L$11),"x","")</f>
        <v/>
      </c>
      <c r="T4010" s="79" t="str">
        <f>IF(ISERROR(FIND('112'!$M$9,G4010,1)),"",IF((AND(FIND('112'!$M$9,G4010,1)&gt;=1,B4010='112'!$K$9,OR($N4010='112'!$I$6,$O4010='112'!$I$6))),"x",""))</f>
        <v/>
      </c>
      <c r="U4010" s="79" t="str">
        <f>IF(ISERROR(FIND('112'!$M$9,G4010,1)),"",IF((AND(LEFT(G4010,2)=LEFT('112'!$M$9,2),B4010&lt;'112'!$K$9,$N4010='112'!$I$6)),"x",""))</f>
        <v/>
      </c>
      <c r="V4010" s="79" t="str">
        <f>IF(ISERROR(FIND('112'!$M$9,G4010,1)),"",IF((AND(RIGHT(G4010,2)=RIGHT('112'!$M$9,2),B4010&lt;'112'!$K$9,$O4010='112'!$I$6)),"x",""))</f>
        <v/>
      </c>
      <c r="W4010" s="79" t="str">
        <f>IF(AND('341-CT'!$H$9=H4010,OR(LEFT(N4010,3)=$W$7,LEFT(O4010,3)=$W$7)),"x","")</f>
        <v/>
      </c>
      <c r="X4010" s="79" t="str">
        <f>IF(OR(TH!N4010=TH!$X$7,O4010=TH!$X$7),"x","")</f>
        <v/>
      </c>
      <c r="Y4010" s="79" t="str">
        <f>IF(AND(OR(N4010="131",O4010="131"),H4010='131-CT'!$H$9),"x","")</f>
        <v/>
      </c>
      <c r="Z4010" s="79"/>
      <c r="AA4010" s="79" t="str">
        <f>IF(AND(MONTH(E4010)='IN-NX'!$J$5,'IN-NX'!$D$7=D4010),"x","")</f>
        <v/>
      </c>
      <c r="AB4010" s="79" t="str">
        <f>IF(AND(OR(LEFT(TH!N4010,2)="15",LEFT(TH!O4010,2)="15"),LEFT(TH!O4010,3)&lt;&gt;"111",'152-CT'!$J$8=TH!F4010),"x","")</f>
        <v/>
      </c>
      <c r="AC4010" s="79" t="str">
        <f>IF(AND(OR(LEFT(TH!N4010,2)="15",LEFT(TH!O4010,2)="15"),TK!$E$7=TH!F4010),"x","")</f>
        <v/>
      </c>
      <c r="AD4010" s="79" t="str">
        <f>IF(AND(N4010="1521",MONTH(C4010)='BK-NL'!$M$11),"x","")</f>
        <v/>
      </c>
    </row>
    <row r="4011" spans="1:30" ht="16.5" customHeight="1">
      <c r="A4011" s="318" t="str">
        <f>IF(B4011&lt;&gt;"",IF(AND(B4011='IN-TC'!$S$4,OR(TH!N4011="1111",TH!O4011="1111")),TH!D4011,""),"")</f>
        <v/>
      </c>
      <c r="B4011" s="60" t="str">
        <f t="shared" si="429"/>
        <v/>
      </c>
      <c r="C4011" s="75"/>
      <c r="D4011" s="75"/>
      <c r="E4011" s="75"/>
      <c r="F4011" s="76"/>
      <c r="G4011" s="76"/>
      <c r="H4011" s="305"/>
      <c r="I4011" s="77"/>
      <c r="J4011" s="391"/>
      <c r="K4011" s="383"/>
      <c r="L4011" s="390"/>
      <c r="M4011" s="78"/>
      <c r="N4011" s="79"/>
      <c r="O4011" s="979"/>
      <c r="P4011" s="79" t="str">
        <f>IF(AND('331-CT'!$E$7=TH!H4011,OR(N4011="331",O4011="331")),"x","")</f>
        <v/>
      </c>
      <c r="Q4011" s="79" t="str">
        <f>IF(AND(B4011='111'!$L$11,OR($N4011=$Q$7,$O4011=$Q$7)),"x","")</f>
        <v/>
      </c>
      <c r="R4011" s="79" t="str">
        <f>IF(AND($N4011=$Q$7,$B4011&lt;'111'!$L$11),"x","")</f>
        <v/>
      </c>
      <c r="S4011" s="79" t="str">
        <f>IF(AND($O4011=$Q$7,$B4011&lt;'111'!$L$11),"x","")</f>
        <v/>
      </c>
      <c r="T4011" s="79" t="str">
        <f>IF(ISERROR(FIND('112'!$M$9,G4011,1)),"",IF((AND(FIND('112'!$M$9,G4011,1)&gt;=1,B4011='112'!$K$9,OR($N4011='112'!$I$6,$O4011='112'!$I$6))),"x",""))</f>
        <v/>
      </c>
      <c r="U4011" s="79" t="str">
        <f>IF(ISERROR(FIND('112'!$M$9,G4011,1)),"",IF((AND(LEFT(G4011,2)=LEFT('112'!$M$9,2),B4011&lt;'112'!$K$9,$N4011='112'!$I$6)),"x",""))</f>
        <v/>
      </c>
      <c r="V4011" s="79" t="str">
        <f>IF(ISERROR(FIND('112'!$M$9,G4011,1)),"",IF((AND(RIGHT(G4011,2)=RIGHT('112'!$M$9,2),B4011&lt;'112'!$K$9,$O4011='112'!$I$6)),"x",""))</f>
        <v/>
      </c>
      <c r="W4011" s="79" t="str">
        <f>IF(AND('341-CT'!$H$9=H4011,OR(LEFT(N4011,3)=$W$7,LEFT(O4011,3)=$W$7)),"x","")</f>
        <v/>
      </c>
      <c r="X4011" s="79" t="str">
        <f>IF(OR(TH!N4011=TH!$X$7,O4011=TH!$X$7),"x","")</f>
        <v/>
      </c>
      <c r="Y4011" s="79" t="str">
        <f>IF(AND(OR(N4011="131",O4011="131"),H4011='131-CT'!$H$9),"x","")</f>
        <v/>
      </c>
      <c r="Z4011" s="79"/>
      <c r="AA4011" s="79" t="str">
        <f>IF(AND(MONTH(E4011)='IN-NX'!$J$5,'IN-NX'!$D$7=D4011),"x","")</f>
        <v/>
      </c>
      <c r="AB4011" s="79" t="str">
        <f>IF(AND(OR(LEFT(TH!N4011,2)="15",LEFT(TH!O4011,2)="15"),LEFT(TH!O4011,3)&lt;&gt;"111",'152-CT'!$J$8=TH!F4011),"x","")</f>
        <v/>
      </c>
      <c r="AC4011" s="79" t="str">
        <f>IF(AND(OR(LEFT(TH!N4011,2)="15",LEFT(TH!O4011,2)="15"),TK!$E$7=TH!F4011),"x","")</f>
        <v/>
      </c>
      <c r="AD4011" s="79" t="str">
        <f>IF(AND(N4011="1521",MONTH(C4011)='BK-NL'!$M$11),"x","")</f>
        <v/>
      </c>
    </row>
    <row r="4012" spans="1:30" ht="16.5" customHeight="1">
      <c r="A4012" s="318" t="str">
        <f>IF(B4012&lt;&gt;"",IF(AND(B4012='IN-TC'!$S$4,OR(TH!N4012="1111",TH!O4012="1111")),TH!D4012,""),"")</f>
        <v/>
      </c>
      <c r="B4012" s="60" t="str">
        <f t="shared" si="429"/>
        <v/>
      </c>
      <c r="C4012" s="75"/>
      <c r="D4012" s="75"/>
      <c r="E4012" s="75"/>
      <c r="F4012" s="77"/>
      <c r="G4012" s="76"/>
      <c r="H4012" s="77"/>
      <c r="I4012" s="77"/>
      <c r="J4012" s="390"/>
      <c r="K4012" s="383"/>
      <c r="L4012" s="390"/>
      <c r="M4012" s="978"/>
      <c r="N4012" s="79"/>
      <c r="O4012" s="979"/>
      <c r="P4012" s="79" t="str">
        <f>IF(AND('331-CT'!$E$7=TH!H4012,OR(N4012="331",O4012="331")),"x","")</f>
        <v/>
      </c>
      <c r="Q4012" s="79" t="str">
        <f>IF(AND(B4012='111'!$L$11,OR($N4012=$Q$7,$O4012=$Q$7)),"x","")</f>
        <v/>
      </c>
      <c r="R4012" s="79" t="str">
        <f>IF(AND($N4012=$Q$7,$B4012&lt;'111'!$L$11),"x","")</f>
        <v/>
      </c>
      <c r="S4012" s="79" t="str">
        <f>IF(AND($O4012=$Q$7,$B4012&lt;'111'!$L$11),"x","")</f>
        <v/>
      </c>
      <c r="T4012" s="79" t="str">
        <f>IF(ISERROR(FIND('112'!$M$9,G4012,1)),"",IF((AND(FIND('112'!$M$9,G4012,1)&gt;=1,B4012='112'!$K$9,OR($N4012='112'!$I$6,$O4012='112'!$I$6))),"x",""))</f>
        <v/>
      </c>
      <c r="U4012" s="79" t="str">
        <f>IF(ISERROR(FIND('112'!$M$9,G4012,1)),"",IF((AND(LEFT(G4012,2)=LEFT('112'!$M$9,2),B4012&lt;'112'!$K$9,$N4012='112'!$I$6)),"x",""))</f>
        <v/>
      </c>
      <c r="V4012" s="79" t="str">
        <f>IF(ISERROR(FIND('112'!$M$9,G4012,1)),"",IF((AND(RIGHT(G4012,2)=RIGHT('112'!$M$9,2),B4012&lt;'112'!$K$9,$O4012='112'!$I$6)),"x",""))</f>
        <v/>
      </c>
      <c r="W4012" s="79" t="str">
        <f>IF(AND('341-CT'!$H$9=H4012,OR(LEFT(N4012,3)=$W$7,LEFT(O4012,3)=$W$7)),"x","")</f>
        <v/>
      </c>
      <c r="X4012" s="79" t="str">
        <f>IF(OR(TH!N4012=TH!$X$7,O4012=TH!$X$7),"x","")</f>
        <v/>
      </c>
      <c r="Y4012" s="79" t="str">
        <f>IF(AND(OR(N4012="131",O4012="131"),H4012='131-CT'!$H$9),"x","")</f>
        <v/>
      </c>
      <c r="Z4012" s="79"/>
      <c r="AA4012" s="79" t="str">
        <f>IF(AND(MONTH(E4012)='IN-NX'!$J$5,'IN-NX'!$D$7=D4012),"x","")</f>
        <v/>
      </c>
      <c r="AB4012" s="79" t="str">
        <f>IF(AND(OR(LEFT(TH!N4012,2)="15",LEFT(TH!O4012,2)="15"),LEFT(TH!O4012,3)&lt;&gt;"111",'152-CT'!$J$8=TH!F4012),"x","")</f>
        <v/>
      </c>
      <c r="AC4012" s="79" t="str">
        <f>IF(AND(OR(LEFT(TH!N4012,2)="15",LEFT(TH!O4012,2)="15"),TK!$E$7=TH!F4012),"x","")</f>
        <v/>
      </c>
      <c r="AD4012" s="79" t="str">
        <f>IF(AND(N4012="1521",MONTH(C4012)='BK-NL'!$M$11),"x","")</f>
        <v/>
      </c>
    </row>
    <row r="4013" spans="1:30" ht="16.5" customHeight="1">
      <c r="A4013" s="318" t="str">
        <f>IF(B4013&lt;&gt;"",IF(AND(B4013='IN-TC'!$S$4,OR(TH!N4013="1111",TH!O4013="1111")),TH!D4013,""),"")</f>
        <v/>
      </c>
      <c r="B4013" s="60" t="str">
        <f t="shared" si="429"/>
        <v/>
      </c>
      <c r="C4013" s="75"/>
      <c r="D4013" s="75"/>
      <c r="E4013" s="75"/>
      <c r="F4013" s="77"/>
      <c r="G4013" s="76"/>
      <c r="H4013" s="77"/>
      <c r="I4013" s="77"/>
      <c r="J4013" s="390"/>
      <c r="K4013" s="383"/>
      <c r="L4013" s="390"/>
      <c r="M4013" s="978"/>
      <c r="N4013" s="79"/>
      <c r="O4013" s="979"/>
      <c r="P4013" s="79" t="str">
        <f>IF(AND('331-CT'!$E$7=TH!H4013,OR(N4013="331",O4013="331")),"x","")</f>
        <v/>
      </c>
      <c r="Q4013" s="79" t="str">
        <f>IF(AND(B4013='111'!$L$11,OR($N4013=$Q$7,$O4013=$Q$7)),"x","")</f>
        <v/>
      </c>
      <c r="R4013" s="79" t="str">
        <f>IF(AND($N4013=$Q$7,$B4013&lt;'111'!$L$11),"x","")</f>
        <v/>
      </c>
      <c r="S4013" s="79" t="str">
        <f>IF(AND($O4013=$Q$7,$B4013&lt;'111'!$L$11),"x","")</f>
        <v/>
      </c>
      <c r="T4013" s="79" t="str">
        <f>IF(ISERROR(FIND('112'!$M$9,G4013,1)),"",IF((AND(FIND('112'!$M$9,G4013,1)&gt;=1,B4013='112'!$K$9,OR($N4013='112'!$I$6,$O4013='112'!$I$6))),"x",""))</f>
        <v/>
      </c>
      <c r="U4013" s="79" t="str">
        <f>IF(ISERROR(FIND('112'!$M$9,G4013,1)),"",IF((AND(LEFT(G4013,2)=LEFT('112'!$M$9,2),B4013&lt;'112'!$K$9,$N4013='112'!$I$6)),"x",""))</f>
        <v/>
      </c>
      <c r="V4013" s="79" t="str">
        <f>IF(ISERROR(FIND('112'!$M$9,G4013,1)),"",IF((AND(RIGHT(G4013,2)=RIGHT('112'!$M$9,2),B4013&lt;'112'!$K$9,$O4013='112'!$I$6)),"x",""))</f>
        <v/>
      </c>
      <c r="W4013" s="79" t="str">
        <f>IF(AND('341-CT'!$H$9=H4013,OR(LEFT(N4013,3)=$W$7,LEFT(O4013,3)=$W$7)),"x","")</f>
        <v/>
      </c>
      <c r="X4013" s="79" t="str">
        <f>IF(OR(TH!N4013=TH!$X$7,O4013=TH!$X$7),"x","")</f>
        <v/>
      </c>
      <c r="Y4013" s="79" t="str">
        <f>IF(AND(OR(N4013="131",O4013="131"),H4013='131-CT'!$H$9),"x","")</f>
        <v/>
      </c>
      <c r="Z4013" s="79"/>
      <c r="AA4013" s="79" t="str">
        <f>IF(AND(MONTH(E4013)='IN-NX'!$J$5,'IN-NX'!$D$7=D4013),"x","")</f>
        <v/>
      </c>
      <c r="AB4013" s="79" t="str">
        <f>IF(AND(OR(LEFT(TH!N4013,2)="15",LEFT(TH!O4013,2)="15"),LEFT(TH!O4013,3)&lt;&gt;"111",'152-CT'!$J$8=TH!F4013),"x","")</f>
        <v/>
      </c>
      <c r="AC4013" s="79" t="str">
        <f>IF(AND(OR(LEFT(TH!N4013,2)="15",LEFT(TH!O4013,2)="15"),TK!$E$7=TH!F4013),"x","")</f>
        <v/>
      </c>
      <c r="AD4013" s="79" t="str">
        <f>IF(AND(N4013="1521",MONTH(C4013)='BK-NL'!$M$11),"x","")</f>
        <v/>
      </c>
    </row>
    <row r="4014" spans="1:30" ht="16.5" customHeight="1">
      <c r="A4014" s="318" t="str">
        <f>IF(B4014&lt;&gt;"",IF(AND(B4014='IN-TC'!$S$4,OR(TH!N4014="1111",TH!O4014="1111")),TH!D4014,""),"")</f>
        <v/>
      </c>
      <c r="B4014" s="60" t="str">
        <f t="shared" si="429"/>
        <v/>
      </c>
      <c r="C4014" s="75"/>
      <c r="D4014" s="75"/>
      <c r="E4014" s="75"/>
      <c r="F4014" s="77"/>
      <c r="G4014" s="76"/>
      <c r="H4014" s="77"/>
      <c r="I4014" s="77"/>
      <c r="J4014" s="390"/>
      <c r="K4014" s="383"/>
      <c r="L4014" s="390"/>
      <c r="M4014" s="978"/>
      <c r="N4014" s="79"/>
      <c r="O4014" s="979"/>
      <c r="P4014" s="79" t="str">
        <f>IF(AND('331-CT'!$E$7=TH!H4014,OR(N4014="331",O4014="331")),"x","")</f>
        <v/>
      </c>
      <c r="Q4014" s="79" t="str">
        <f>IF(AND(B4014='111'!$L$11,OR($N4014=$Q$7,$O4014=$Q$7)),"x","")</f>
        <v/>
      </c>
      <c r="R4014" s="79" t="str">
        <f>IF(AND($N4014=$Q$7,$B4014&lt;'111'!$L$11),"x","")</f>
        <v/>
      </c>
      <c r="S4014" s="79" t="str">
        <f>IF(AND($O4014=$Q$7,$B4014&lt;'111'!$L$11),"x","")</f>
        <v/>
      </c>
      <c r="T4014" s="79" t="str">
        <f>IF(ISERROR(FIND('112'!$M$9,G4014,1)),"",IF((AND(FIND('112'!$M$9,G4014,1)&gt;=1,B4014='112'!$K$9,OR($N4014='112'!$I$6,$O4014='112'!$I$6))),"x",""))</f>
        <v/>
      </c>
      <c r="U4014" s="79" t="str">
        <f>IF(ISERROR(FIND('112'!$M$9,G4014,1)),"",IF((AND(LEFT(G4014,2)=LEFT('112'!$M$9,2),B4014&lt;'112'!$K$9,$N4014='112'!$I$6)),"x",""))</f>
        <v/>
      </c>
      <c r="V4014" s="79" t="str">
        <f>IF(ISERROR(FIND('112'!$M$9,G4014,1)),"",IF((AND(RIGHT(G4014,2)=RIGHT('112'!$M$9,2),B4014&lt;'112'!$K$9,$O4014='112'!$I$6)),"x",""))</f>
        <v/>
      </c>
      <c r="W4014" s="79" t="str">
        <f>IF(AND('341-CT'!$H$9=H4014,OR(LEFT(N4014,3)=$W$7,LEFT(O4014,3)=$W$7)),"x","")</f>
        <v/>
      </c>
      <c r="X4014" s="79" t="str">
        <f>IF(OR(TH!N4014=TH!$X$7,O4014=TH!$X$7),"x","")</f>
        <v/>
      </c>
      <c r="Y4014" s="79" t="str">
        <f>IF(AND(OR(N4014="131",O4014="131"),H4014='131-CT'!$H$9),"x","")</f>
        <v/>
      </c>
      <c r="Z4014" s="79"/>
      <c r="AA4014" s="79" t="str">
        <f>IF(AND(MONTH(E4014)='IN-NX'!$J$5,'IN-NX'!$D$7=D4014),"x","")</f>
        <v/>
      </c>
      <c r="AB4014" s="79" t="str">
        <f>IF(AND(OR(LEFT(TH!N4014,2)="15",LEFT(TH!O4014,2)="15"),LEFT(TH!O4014,3)&lt;&gt;"111",'152-CT'!$J$8=TH!F4014),"x","")</f>
        <v/>
      </c>
      <c r="AC4014" s="79" t="str">
        <f>IF(AND(OR(LEFT(TH!N4014,2)="15",LEFT(TH!O4014,2)="15"),TK!$E$7=TH!F4014),"x","")</f>
        <v/>
      </c>
      <c r="AD4014" s="79" t="str">
        <f>IF(AND(N4014="1521",MONTH(C4014)='BK-NL'!$M$11),"x","")</f>
        <v/>
      </c>
    </row>
    <row r="4015" spans="1:30" ht="16.5" customHeight="1">
      <c r="A4015" s="318" t="str">
        <f>IF(B4015&lt;&gt;"",IF(AND(B4015='IN-TC'!$S$4,OR(TH!N4015="1111",TH!O4015="1111")),TH!D4015,""),"")</f>
        <v/>
      </c>
      <c r="B4015" s="60" t="str">
        <f t="shared" si="429"/>
        <v/>
      </c>
      <c r="C4015" s="75"/>
      <c r="D4015" s="75"/>
      <c r="E4015" s="75"/>
      <c r="F4015" s="77"/>
      <c r="G4015" s="76"/>
      <c r="H4015" s="77"/>
      <c r="I4015" s="77"/>
      <c r="J4015" s="390"/>
      <c r="K4015" s="383"/>
      <c r="L4015" s="390"/>
      <c r="M4015" s="978"/>
      <c r="N4015" s="79"/>
      <c r="O4015" s="979"/>
      <c r="P4015" s="79" t="str">
        <f>IF(AND('331-CT'!$E$7=TH!H4015,OR(N4015="331",O4015="331")),"x","")</f>
        <v/>
      </c>
      <c r="Q4015" s="79" t="str">
        <f>IF(AND(B4015='111'!$L$11,OR($N4015=$Q$7,$O4015=$Q$7)),"x","")</f>
        <v/>
      </c>
      <c r="R4015" s="79" t="str">
        <f>IF(AND($N4015=$Q$7,$B4015&lt;'111'!$L$11),"x","")</f>
        <v/>
      </c>
      <c r="S4015" s="79" t="str">
        <f>IF(AND($O4015=$Q$7,$B4015&lt;'111'!$L$11),"x","")</f>
        <v/>
      </c>
      <c r="T4015" s="79" t="str">
        <f>IF(ISERROR(FIND('112'!$M$9,G4015,1)),"",IF((AND(FIND('112'!$M$9,G4015,1)&gt;=1,B4015='112'!$K$9,OR($N4015='112'!$I$6,$O4015='112'!$I$6))),"x",""))</f>
        <v/>
      </c>
      <c r="U4015" s="79" t="str">
        <f>IF(ISERROR(FIND('112'!$M$9,G4015,1)),"",IF((AND(LEFT(G4015,2)=LEFT('112'!$M$9,2),B4015&lt;'112'!$K$9,$N4015='112'!$I$6)),"x",""))</f>
        <v/>
      </c>
      <c r="V4015" s="79" t="str">
        <f>IF(ISERROR(FIND('112'!$M$9,G4015,1)),"",IF((AND(RIGHT(G4015,2)=RIGHT('112'!$M$9,2),B4015&lt;'112'!$K$9,$O4015='112'!$I$6)),"x",""))</f>
        <v/>
      </c>
      <c r="W4015" s="79" t="str">
        <f>IF(AND('341-CT'!$H$9=H4015,OR(LEFT(N4015,3)=$W$7,LEFT(O4015,3)=$W$7)),"x","")</f>
        <v/>
      </c>
      <c r="X4015" s="79" t="str">
        <f>IF(OR(TH!N4015=TH!$X$7,O4015=TH!$X$7),"x","")</f>
        <v/>
      </c>
      <c r="Y4015" s="79" t="str">
        <f>IF(AND(OR(N4015="131",O4015="131"),H4015='131-CT'!$H$9),"x","")</f>
        <v/>
      </c>
      <c r="Z4015" s="79"/>
      <c r="AA4015" s="79" t="str">
        <f>IF(AND(MONTH(E4015)='IN-NX'!$J$5,'IN-NX'!$D$7=D4015),"x","")</f>
        <v/>
      </c>
      <c r="AB4015" s="79" t="str">
        <f>IF(AND(OR(LEFT(TH!N4015,2)="15",LEFT(TH!O4015,2)="15"),LEFT(TH!O4015,3)&lt;&gt;"111",'152-CT'!$J$8=TH!F4015),"x","")</f>
        <v/>
      </c>
      <c r="AC4015" s="79" t="str">
        <f>IF(AND(OR(LEFT(TH!N4015,2)="15",LEFT(TH!O4015,2)="15"),TK!$E$7=TH!F4015),"x","")</f>
        <v/>
      </c>
      <c r="AD4015" s="79" t="str">
        <f>IF(AND(N4015="1521",MONTH(C4015)='BK-NL'!$M$11),"x","")</f>
        <v/>
      </c>
    </row>
    <row r="4016" spans="1:30" ht="16.5" customHeight="1">
      <c r="A4016" s="318" t="str">
        <f>IF(B4016&lt;&gt;"",IF(AND(B4016='IN-TC'!$S$4,OR(TH!N4016="1111",TH!O4016="1111")),TH!D4016,""),"")</f>
        <v/>
      </c>
      <c r="B4016" s="60" t="str">
        <f t="shared" si="429"/>
        <v/>
      </c>
      <c r="C4016" s="75"/>
      <c r="D4016" s="75"/>
      <c r="E4016" s="75"/>
      <c r="F4016" s="76"/>
      <c r="G4016" s="76"/>
      <c r="H4016" s="77"/>
      <c r="I4016" s="77"/>
      <c r="J4016" s="391"/>
      <c r="K4016" s="1247"/>
      <c r="L4016" s="390"/>
      <c r="M4016" s="978"/>
      <c r="N4016" s="79"/>
      <c r="O4016" s="979"/>
      <c r="P4016" s="79" t="str">
        <f>IF(AND('331-CT'!$E$7=TH!H4016,OR(N4016="331",O4016="331")),"x","")</f>
        <v/>
      </c>
      <c r="Q4016" s="79" t="str">
        <f>IF(AND(B4016='111'!$L$11,OR($N4016=$Q$7,$O4016=$Q$7)),"x","")</f>
        <v/>
      </c>
      <c r="R4016" s="79" t="str">
        <f>IF(AND($N4016=$Q$7,$B4016&lt;'111'!$L$11),"x","")</f>
        <v/>
      </c>
      <c r="S4016" s="79" t="str">
        <f>IF(AND($O4016=$Q$7,$B4016&lt;'111'!$L$11),"x","")</f>
        <v/>
      </c>
      <c r="T4016" s="79" t="str">
        <f>IF(ISERROR(FIND('112'!$M$9,G4016,1)),"",IF((AND(FIND('112'!$M$9,G4016,1)&gt;=1,B4016='112'!$K$9,OR($N4016='112'!$I$6,$O4016='112'!$I$6))),"x",""))</f>
        <v/>
      </c>
      <c r="U4016" s="79" t="str">
        <f>IF(ISERROR(FIND('112'!$M$9,G4016,1)),"",IF((AND(LEFT(G4016,2)=LEFT('112'!$M$9,2),B4016&lt;'112'!$K$9,$N4016='112'!$I$6)),"x",""))</f>
        <v/>
      </c>
      <c r="V4016" s="79" t="str">
        <f>IF(ISERROR(FIND('112'!$M$9,G4016,1)),"",IF((AND(RIGHT(G4016,2)=RIGHT('112'!$M$9,2),B4016&lt;'112'!$K$9,$O4016='112'!$I$6)),"x",""))</f>
        <v/>
      </c>
      <c r="W4016" s="79" t="str">
        <f>IF(AND('341-CT'!$H$9=H4016,OR(LEFT(N4016,3)=$W$7,LEFT(O4016,3)=$W$7)),"x","")</f>
        <v/>
      </c>
      <c r="X4016" s="79" t="str">
        <f>IF(OR(TH!N4016=TH!$X$7,O4016=TH!$X$7),"x","")</f>
        <v/>
      </c>
      <c r="Y4016" s="79" t="str">
        <f>IF(AND(OR(N4016="131",O4016="131"),H4016='131-CT'!$H$9),"x","")</f>
        <v/>
      </c>
      <c r="Z4016" s="79"/>
      <c r="AA4016" s="79" t="str">
        <f>IF(AND(MONTH(E4016)='IN-NX'!$J$5,'IN-NX'!$D$7=D4016),"x","")</f>
        <v/>
      </c>
      <c r="AB4016" s="79" t="str">
        <f>IF(AND(OR(LEFT(TH!N4016,2)="15",LEFT(TH!O4016,2)="15"),LEFT(TH!O4016,3)&lt;&gt;"111",'152-CT'!$J$8=TH!F4016),"x","")</f>
        <v/>
      </c>
      <c r="AC4016" s="79" t="str">
        <f>IF(AND(OR(LEFT(TH!N4016,2)="15",LEFT(TH!O4016,2)="15"),TK!$E$7=TH!F4016),"x","")</f>
        <v/>
      </c>
      <c r="AD4016" s="79" t="str">
        <f>IF(AND(N4016="1521",MONTH(C4016)='BK-NL'!$M$11),"x","")</f>
        <v/>
      </c>
    </row>
    <row r="4017" spans="1:30" ht="16.5" customHeight="1">
      <c r="A4017" s="318" t="str">
        <f>IF(B4017&lt;&gt;"",IF(AND(B4017='IN-TC'!$S$4,OR(TH!N4017="1111",TH!O4017="1111")),TH!D4017,""),"")</f>
        <v/>
      </c>
      <c r="B4017" s="60" t="str">
        <f t="shared" si="429"/>
        <v/>
      </c>
      <c r="C4017" s="75"/>
      <c r="D4017" s="75"/>
      <c r="E4017" s="75"/>
      <c r="F4017" s="76"/>
      <c r="G4017" s="76"/>
      <c r="H4017" s="77"/>
      <c r="I4017" s="77"/>
      <c r="J4017" s="391"/>
      <c r="K4017" s="1247"/>
      <c r="L4017" s="390"/>
      <c r="M4017" s="978"/>
      <c r="N4017" s="79"/>
      <c r="O4017" s="979"/>
      <c r="P4017" s="79" t="str">
        <f>IF(AND('331-CT'!$E$7=TH!H4017,OR(N4017="331",O4017="331")),"x","")</f>
        <v/>
      </c>
      <c r="Q4017" s="79" t="str">
        <f>IF(AND(B4017='111'!$L$11,OR($N4017=$Q$7,$O4017=$Q$7)),"x","")</f>
        <v/>
      </c>
      <c r="R4017" s="79" t="str">
        <f>IF(AND($N4017=$Q$7,$B4017&lt;'111'!$L$11),"x","")</f>
        <v/>
      </c>
      <c r="S4017" s="79" t="str">
        <f>IF(AND($O4017=$Q$7,$B4017&lt;'111'!$L$11),"x","")</f>
        <v/>
      </c>
      <c r="T4017" s="79" t="str">
        <f>IF(ISERROR(FIND('112'!$M$9,G4017,1)),"",IF((AND(FIND('112'!$M$9,G4017,1)&gt;=1,B4017='112'!$K$9,OR($N4017='112'!$I$6,$O4017='112'!$I$6))),"x",""))</f>
        <v/>
      </c>
      <c r="U4017" s="79" t="str">
        <f>IF(ISERROR(FIND('112'!$M$9,G4017,1)),"",IF((AND(LEFT(G4017,2)=LEFT('112'!$M$9,2),B4017&lt;'112'!$K$9,$N4017='112'!$I$6)),"x",""))</f>
        <v/>
      </c>
      <c r="V4017" s="79" t="str">
        <f>IF(ISERROR(FIND('112'!$M$9,G4017,1)),"",IF((AND(RIGHT(G4017,2)=RIGHT('112'!$M$9,2),B4017&lt;'112'!$K$9,$O4017='112'!$I$6)),"x",""))</f>
        <v/>
      </c>
      <c r="W4017" s="79" t="str">
        <f>IF(AND('341-CT'!$H$9=H4017,OR(LEFT(N4017,3)=$W$7,LEFT(O4017,3)=$W$7)),"x","")</f>
        <v/>
      </c>
      <c r="X4017" s="79" t="str">
        <f>IF(OR(TH!N4017=TH!$X$7,O4017=TH!$X$7),"x","")</f>
        <v/>
      </c>
      <c r="Y4017" s="79" t="str">
        <f>IF(AND(OR(N4017="131",O4017="131"),H4017='131-CT'!$H$9),"x","")</f>
        <v/>
      </c>
      <c r="Z4017" s="79"/>
      <c r="AA4017" s="79" t="str">
        <f>IF(AND(MONTH(E4017)='IN-NX'!$J$5,'IN-NX'!$D$7=D4017),"x","")</f>
        <v/>
      </c>
      <c r="AB4017" s="79" t="str">
        <f>IF(AND(OR(LEFT(TH!N4017,2)="15",LEFT(TH!O4017,2)="15"),LEFT(TH!O4017,3)&lt;&gt;"111",'152-CT'!$J$8=TH!F4017),"x","")</f>
        <v/>
      </c>
      <c r="AC4017" s="79" t="str">
        <f>IF(AND(OR(LEFT(TH!N4017,2)="15",LEFT(TH!O4017,2)="15"),TK!$E$7=TH!F4017),"x","")</f>
        <v/>
      </c>
      <c r="AD4017" s="79" t="str">
        <f>IF(AND(N4017="1521",MONTH(C4017)='BK-NL'!$M$11),"x","")</f>
        <v/>
      </c>
    </row>
    <row r="4018" spans="1:30" ht="16.5" customHeight="1">
      <c r="A4018" s="318" t="str">
        <f>IF(B4018&lt;&gt;"",IF(AND(B4018='IN-TC'!$S$4,OR(TH!N4018="1111",TH!O4018="1111")),TH!D4018,""),"")</f>
        <v/>
      </c>
      <c r="B4018" s="60" t="str">
        <f t="shared" ref="B4018" si="430">IF(C4018&lt;&gt;"",MONTH(C4018),"")</f>
        <v/>
      </c>
      <c r="C4018" s="75"/>
      <c r="D4018" s="75"/>
      <c r="E4018" s="75"/>
      <c r="F4018" s="76"/>
      <c r="G4018" s="76"/>
      <c r="H4018" s="77"/>
      <c r="I4018" s="77"/>
      <c r="J4018" s="391"/>
      <c r="K4018" s="1247"/>
      <c r="L4018" s="390"/>
      <c r="M4018" s="978"/>
      <c r="N4018" s="79"/>
      <c r="O4018" s="979"/>
      <c r="P4018" s="79" t="str">
        <f>IF(AND('331-CT'!$E$7=TH!H4018,OR(N4018="331",O4018="331")),"x","")</f>
        <v/>
      </c>
      <c r="Q4018" s="79" t="str">
        <f>IF(AND(B4018='111'!$L$11,OR($N4018=$Q$7,$O4018=$Q$7)),"x","")</f>
        <v/>
      </c>
      <c r="R4018" s="79" t="str">
        <f>IF(AND($N4018=$Q$7,$B4018&lt;'111'!$L$11),"x","")</f>
        <v/>
      </c>
      <c r="S4018" s="79" t="str">
        <f>IF(AND($O4018=$Q$7,$B4018&lt;'111'!$L$11),"x","")</f>
        <v/>
      </c>
      <c r="T4018" s="79" t="str">
        <f>IF(ISERROR(FIND('112'!$M$9,G4018,1)),"",IF((AND(FIND('112'!$M$9,G4018,1)&gt;=1,B4018='112'!$K$9,OR($N4018='112'!$I$6,$O4018='112'!$I$6))),"x",""))</f>
        <v/>
      </c>
      <c r="U4018" s="79" t="str">
        <f>IF(ISERROR(FIND('112'!$M$9,G4018,1)),"",IF((AND(LEFT(G4018,2)=LEFT('112'!$M$9,2),B4018&lt;'112'!$K$9,$N4018='112'!$I$6)),"x",""))</f>
        <v/>
      </c>
      <c r="V4018" s="79" t="str">
        <f>IF(ISERROR(FIND('112'!$M$9,G4018,1)),"",IF((AND(RIGHT(G4018,2)=RIGHT('112'!$M$9,2),B4018&lt;'112'!$K$9,$O4018='112'!$I$6)),"x",""))</f>
        <v/>
      </c>
      <c r="W4018" s="79" t="str">
        <f>IF(AND('341-CT'!$H$9=H4018,OR(LEFT(N4018,3)=$W$7,LEFT(O4018,3)=$W$7)),"x","")</f>
        <v/>
      </c>
      <c r="X4018" s="79" t="str">
        <f>IF(OR(TH!N4018=TH!$X$7,O4018=TH!$X$7),"x","")</f>
        <v/>
      </c>
      <c r="Y4018" s="79" t="str">
        <f>IF(AND(OR(N4018="131",O4018="131"),H4018='131-CT'!$H$9),"x","")</f>
        <v/>
      </c>
      <c r="Z4018" s="79"/>
      <c r="AA4018" s="79" t="str">
        <f>IF(AND(MONTH(E4018)='IN-NX'!$J$5,'IN-NX'!$D$7=D4018),"x","")</f>
        <v/>
      </c>
      <c r="AB4018" s="79" t="str">
        <f>IF(AND(OR(LEFT(TH!N4018,2)="15",LEFT(TH!O4018,2)="15"),LEFT(TH!O4018,3)&lt;&gt;"111",'152-CT'!$J$8=TH!F4018),"x","")</f>
        <v/>
      </c>
      <c r="AC4018" s="79" t="str">
        <f>IF(AND(OR(LEFT(TH!N4018,2)="15",LEFT(TH!O4018,2)="15"),TK!$E$7=TH!F4018),"x","")</f>
        <v/>
      </c>
      <c r="AD4018" s="79" t="str">
        <f>IF(AND(N4018="1521",MONTH(C4018)='BK-NL'!$M$11),"x","")</f>
        <v/>
      </c>
    </row>
    <row r="4019" spans="1:30" ht="16.5" customHeight="1">
      <c r="A4019" s="318" t="str">
        <f>IF(B4019&lt;&gt;"",IF(AND(B4019='IN-TC'!$S$4,OR(TH!N4019="1111",TH!O4019="1111")),TH!D4019,""),"")</f>
        <v/>
      </c>
      <c r="B4019" s="60" t="str">
        <f t="shared" si="429"/>
        <v/>
      </c>
      <c r="C4019" s="75"/>
      <c r="D4019" s="75"/>
      <c r="E4019" s="75"/>
      <c r="F4019" s="76"/>
      <c r="G4019" s="76"/>
      <c r="H4019" s="77"/>
      <c r="I4019" s="77"/>
      <c r="J4019" s="391"/>
      <c r="K4019" s="383"/>
      <c r="L4019" s="390"/>
      <c r="M4019" s="978"/>
      <c r="N4019" s="79"/>
      <c r="O4019" s="979"/>
      <c r="P4019" s="79" t="str">
        <f>IF(AND('331-CT'!$E$7=TH!H4019,OR(N4019="331",O4019="331")),"x","")</f>
        <v/>
      </c>
      <c r="Q4019" s="79" t="str">
        <f>IF(AND(B4019='111'!$L$11,OR($N4019=$Q$7,$O4019=$Q$7)),"x","")</f>
        <v/>
      </c>
      <c r="R4019" s="79" t="str">
        <f>IF(AND($N4019=$Q$7,$B4019&lt;'111'!$L$11),"x","")</f>
        <v/>
      </c>
      <c r="S4019" s="79" t="str">
        <f>IF(AND($O4019=$Q$7,$B4019&lt;'111'!$L$11),"x","")</f>
        <v/>
      </c>
      <c r="T4019" s="79" t="str">
        <f>IF(ISERROR(FIND('112'!$M$9,G4019,1)),"",IF((AND(FIND('112'!$M$9,G4019,1)&gt;=1,B4019='112'!$K$9,OR($N4019='112'!$I$6,$O4019='112'!$I$6))),"x",""))</f>
        <v/>
      </c>
      <c r="U4019" s="79" t="str">
        <f>IF(ISERROR(FIND('112'!$M$9,G4019,1)),"",IF((AND(LEFT(G4019,2)=LEFT('112'!$M$9,2),B4019&lt;'112'!$K$9,$N4019='112'!$I$6)),"x",""))</f>
        <v/>
      </c>
      <c r="V4019" s="79" t="str">
        <f>IF(ISERROR(FIND('112'!$M$9,G4019,1)),"",IF((AND(RIGHT(G4019,2)=RIGHT('112'!$M$9,2),B4019&lt;'112'!$K$9,$O4019='112'!$I$6)),"x",""))</f>
        <v/>
      </c>
      <c r="W4019" s="79" t="str">
        <f>IF(AND('341-CT'!$H$9=H4019,OR(LEFT(N4019,3)=$W$7,LEFT(O4019,3)=$W$7)),"x","")</f>
        <v/>
      </c>
      <c r="X4019" s="79" t="str">
        <f>IF(OR(TH!N4019=TH!$X$7,O4019=TH!$X$7),"x","")</f>
        <v/>
      </c>
      <c r="Y4019" s="79" t="str">
        <f>IF(AND(OR(N4019="131",O4019="131"),H4019='131-CT'!$H$9),"x","")</f>
        <v/>
      </c>
      <c r="Z4019" s="79"/>
      <c r="AA4019" s="79" t="str">
        <f>IF(AND(MONTH(E4019)='IN-NX'!$J$5,'IN-NX'!$D$7=D4019),"x","")</f>
        <v/>
      </c>
      <c r="AB4019" s="79" t="str">
        <f>IF(AND(OR(LEFT(TH!N4019,2)="15",LEFT(TH!O4019,2)="15"),LEFT(TH!O4019,3)&lt;&gt;"111",'152-CT'!$J$8=TH!F4019),"x","")</f>
        <v/>
      </c>
      <c r="AC4019" s="79" t="str">
        <f>IF(AND(OR(LEFT(TH!N4019,2)="15",LEFT(TH!O4019,2)="15"),TK!$E$7=TH!F4019),"x","")</f>
        <v/>
      </c>
      <c r="AD4019" s="79" t="str">
        <f>IF(AND(N4019="1521",MONTH(C4019)='BK-NL'!$M$11),"x","")</f>
        <v/>
      </c>
    </row>
    <row r="4020" spans="1:30" ht="16.5" customHeight="1">
      <c r="A4020" s="318" t="str">
        <f>IF(B4020&lt;&gt;"",IF(AND(B4020='IN-TC'!$S$4,OR(TH!N4020="1111",TH!O4020="1111")),TH!D4020,""),"")</f>
        <v/>
      </c>
      <c r="B4020" s="60" t="str">
        <f t="shared" si="429"/>
        <v/>
      </c>
      <c r="C4020" s="75"/>
      <c r="D4020" s="75"/>
      <c r="E4020" s="75"/>
      <c r="F4020" s="76"/>
      <c r="G4020" s="76"/>
      <c r="H4020" s="77"/>
      <c r="I4020" s="77"/>
      <c r="J4020" s="391"/>
      <c r="K4020" s="383"/>
      <c r="L4020" s="390"/>
      <c r="M4020" s="978"/>
      <c r="N4020" s="79"/>
      <c r="O4020" s="979"/>
      <c r="P4020" s="79" t="str">
        <f>IF(AND('331-CT'!$E$7=TH!H4020,OR(N4020="331",O4020="331")),"x","")</f>
        <v/>
      </c>
      <c r="Q4020" s="79" t="str">
        <f>IF(AND(B4020='111'!$L$11,OR($N4020=$Q$7,$O4020=$Q$7)),"x","")</f>
        <v/>
      </c>
      <c r="R4020" s="79" t="str">
        <f>IF(AND($N4020=$Q$7,$B4020&lt;'111'!$L$11),"x","")</f>
        <v/>
      </c>
      <c r="S4020" s="79" t="str">
        <f>IF(AND($O4020=$Q$7,$B4020&lt;'111'!$L$11),"x","")</f>
        <v/>
      </c>
      <c r="T4020" s="79" t="str">
        <f>IF(ISERROR(FIND('112'!$M$9,G4020,1)),"",IF((AND(FIND('112'!$M$9,G4020,1)&gt;=1,B4020='112'!$K$9,OR($N4020='112'!$I$6,$O4020='112'!$I$6))),"x",""))</f>
        <v/>
      </c>
      <c r="U4020" s="79" t="str">
        <f>IF(ISERROR(FIND('112'!$M$9,G4020,1)),"",IF((AND(LEFT(G4020,2)=LEFT('112'!$M$9,2),B4020&lt;'112'!$K$9,$N4020='112'!$I$6)),"x",""))</f>
        <v/>
      </c>
      <c r="V4020" s="79" t="str">
        <f>IF(ISERROR(FIND('112'!$M$9,G4020,1)),"",IF((AND(RIGHT(G4020,2)=RIGHT('112'!$M$9,2),B4020&lt;'112'!$K$9,$O4020='112'!$I$6)),"x",""))</f>
        <v/>
      </c>
      <c r="W4020" s="79" t="str">
        <f>IF(AND('341-CT'!$H$9=H4020,OR(LEFT(N4020,3)=$W$7,LEFT(O4020,3)=$W$7)),"x","")</f>
        <v/>
      </c>
      <c r="X4020" s="79" t="str">
        <f>IF(OR(TH!N4020=TH!$X$7,O4020=TH!$X$7),"x","")</f>
        <v/>
      </c>
      <c r="Y4020" s="79" t="str">
        <f>IF(AND(OR(N4020="131",O4020="131"),H4020='131-CT'!$H$9),"x","")</f>
        <v/>
      </c>
      <c r="Z4020" s="79"/>
      <c r="AA4020" s="79" t="str">
        <f>IF(AND(MONTH(E4020)='IN-NX'!$J$5,'IN-NX'!$D$7=D4020),"x","")</f>
        <v/>
      </c>
      <c r="AB4020" s="79" t="str">
        <f>IF(AND(OR(LEFT(TH!N4020,2)="15",LEFT(TH!O4020,2)="15"),LEFT(TH!O4020,3)&lt;&gt;"111",'152-CT'!$J$8=TH!F4020),"x","")</f>
        <v/>
      </c>
      <c r="AC4020" s="79" t="str">
        <f>IF(AND(OR(LEFT(TH!N4020,2)="15",LEFT(TH!O4020,2)="15"),TK!$E$7=TH!F4020),"x","")</f>
        <v/>
      </c>
      <c r="AD4020" s="79" t="str">
        <f>IF(AND(N4020="1521",MONTH(C4020)='BK-NL'!$M$11),"x","")</f>
        <v/>
      </c>
    </row>
    <row r="4021" spans="1:30" ht="16.5" customHeight="1">
      <c r="A4021" s="318" t="str">
        <f>IF(B4021&lt;&gt;"",IF(AND(B4021='IN-TC'!$S$4,OR(TH!N4021="1111",TH!O4021="1111")),TH!D4021,""),"")</f>
        <v/>
      </c>
      <c r="B4021" s="60" t="str">
        <f t="shared" si="429"/>
        <v/>
      </c>
      <c r="C4021" s="75"/>
      <c r="D4021" s="75"/>
      <c r="E4021" s="75"/>
      <c r="F4021" s="76"/>
      <c r="G4021" s="76"/>
      <c r="H4021" s="305"/>
      <c r="I4021" s="77"/>
      <c r="J4021" s="391"/>
      <c r="K4021" s="383"/>
      <c r="L4021" s="390"/>
      <c r="M4021" s="978"/>
      <c r="N4021" s="79"/>
      <c r="O4021" s="79"/>
      <c r="P4021" s="79" t="str">
        <f>IF(AND('331-CT'!$E$7=TH!H4021,OR(N4021="331",O4021="331")),"x","")</f>
        <v/>
      </c>
      <c r="Q4021" s="79" t="str">
        <f>IF(AND(B4021='111'!$L$11,OR($N4021=$Q$7,$O4021=$Q$7)),"x","")</f>
        <v/>
      </c>
      <c r="R4021" s="79" t="str">
        <f>IF(AND($N4021=$Q$7,$B4021&lt;'111'!$L$11),"x","")</f>
        <v/>
      </c>
      <c r="S4021" s="79" t="str">
        <f>IF(AND($O4021=$Q$7,$B4021&lt;'111'!$L$11),"x","")</f>
        <v/>
      </c>
      <c r="T4021" s="79" t="str">
        <f>IF(ISERROR(FIND('112'!$M$9,G4021,1)),"",IF((AND(FIND('112'!$M$9,G4021,1)&gt;=1,B4021='112'!$K$9,OR($N4021='112'!$I$6,$O4021='112'!$I$6))),"x",""))</f>
        <v/>
      </c>
      <c r="U4021" s="79" t="str">
        <f>IF(ISERROR(FIND('112'!$M$9,G4021,1)),"",IF((AND(LEFT(G4021,2)=LEFT('112'!$M$9,2),B4021&lt;'112'!$K$9,$N4021='112'!$I$6)),"x",""))</f>
        <v/>
      </c>
      <c r="V4021" s="79" t="str">
        <f>IF(ISERROR(FIND('112'!$M$9,G4021,1)),"",IF((AND(RIGHT(G4021,2)=RIGHT('112'!$M$9,2),B4021&lt;'112'!$K$9,$O4021='112'!$I$6)),"x",""))</f>
        <v/>
      </c>
      <c r="W4021" s="79" t="str">
        <f>IF(AND('341-CT'!$H$9=H4021,OR(LEFT(N4021,3)=$W$7,LEFT(O4021,3)=$W$7)),"x","")</f>
        <v/>
      </c>
      <c r="X4021" s="79" t="str">
        <f>IF(OR(TH!N4021=TH!$X$7,O4021=TH!$X$7),"x","")</f>
        <v/>
      </c>
      <c r="Y4021" s="79" t="str">
        <f>IF(AND(OR(N4021="131",O4021="131"),H4021='131-CT'!$H$9),"x","")</f>
        <v/>
      </c>
      <c r="Z4021" s="79"/>
      <c r="AA4021" s="79" t="str">
        <f>IF(AND(MONTH(E4021)='IN-NX'!$J$5,'IN-NX'!$D$7=D4021),"x","")</f>
        <v/>
      </c>
      <c r="AB4021" s="79" t="str">
        <f>IF(AND(OR(LEFT(TH!N4021,2)="15",LEFT(TH!O4021,2)="15"),LEFT(TH!O4021,3)&lt;&gt;"111",'152-CT'!$J$8=TH!F4021),"x","")</f>
        <v/>
      </c>
      <c r="AC4021" s="79" t="str">
        <f>IF(AND(OR(LEFT(TH!N4021,2)="15",LEFT(TH!O4021,2)="15"),TK!$E$7=TH!F4021),"x","")</f>
        <v/>
      </c>
      <c r="AD4021" s="79" t="str">
        <f>IF(AND(N4021="1521",MONTH(C4021)='BK-NL'!$M$11),"x","")</f>
        <v/>
      </c>
    </row>
    <row r="4022" spans="1:30" ht="16.5" customHeight="1">
      <c r="A4022" s="318" t="str">
        <f>IF(B4022&lt;&gt;"",IF(AND(B4022='IN-TC'!$S$4,OR(TH!N4022="1111",TH!O4022="1111")),TH!D4022,""),"")</f>
        <v/>
      </c>
      <c r="B4022" s="60" t="str">
        <f t="shared" si="429"/>
        <v/>
      </c>
      <c r="C4022" s="75"/>
      <c r="D4022" s="75"/>
      <c r="E4022" s="75"/>
      <c r="F4022" s="76"/>
      <c r="G4022" s="76"/>
      <c r="H4022" s="305"/>
      <c r="I4022" s="77"/>
      <c r="J4022" s="391"/>
      <c r="K4022" s="383"/>
      <c r="L4022" s="390"/>
      <c r="M4022" s="978"/>
      <c r="N4022" s="79"/>
      <c r="O4022" s="79"/>
      <c r="P4022" s="79" t="str">
        <f>IF(AND('331-CT'!$E$7=TH!H4022,OR(N4022="331",O4022="331")),"x","")</f>
        <v/>
      </c>
      <c r="Q4022" s="79" t="str">
        <f>IF(AND(B4022='111'!$L$11,OR($N4022=$Q$7,$O4022=$Q$7)),"x","")</f>
        <v/>
      </c>
      <c r="R4022" s="79" t="str">
        <f>IF(AND($N4022=$Q$7,$B4022&lt;'111'!$L$11),"x","")</f>
        <v/>
      </c>
      <c r="S4022" s="79" t="str">
        <f>IF(AND($O4022=$Q$7,$B4022&lt;'111'!$L$11),"x","")</f>
        <v/>
      </c>
      <c r="T4022" s="79" t="str">
        <f>IF(ISERROR(FIND('112'!$M$9,G4022,1)),"",IF((AND(FIND('112'!$M$9,G4022,1)&gt;=1,B4022='112'!$K$9,OR($N4022='112'!$I$6,$O4022='112'!$I$6))),"x",""))</f>
        <v/>
      </c>
      <c r="U4022" s="79" t="str">
        <f>IF(ISERROR(FIND('112'!$M$9,G4022,1)),"",IF((AND(LEFT(G4022,2)=LEFT('112'!$M$9,2),B4022&lt;'112'!$K$9,$N4022='112'!$I$6)),"x",""))</f>
        <v/>
      </c>
      <c r="V4022" s="79" t="str">
        <f>IF(ISERROR(FIND('112'!$M$9,G4022,1)),"",IF((AND(RIGHT(G4022,2)=RIGHT('112'!$M$9,2),B4022&lt;'112'!$K$9,$O4022='112'!$I$6)),"x",""))</f>
        <v/>
      </c>
      <c r="W4022" s="79" t="str">
        <f>IF(AND('341-CT'!$H$9=H4022,OR(LEFT(N4022,3)=$W$7,LEFT(O4022,3)=$W$7)),"x","")</f>
        <v/>
      </c>
      <c r="X4022" s="79" t="str">
        <f>IF(OR(TH!N4022=TH!$X$7,O4022=TH!$X$7),"x","")</f>
        <v/>
      </c>
      <c r="Y4022" s="79" t="str">
        <f>IF(AND(OR(N4022="131",O4022="131"),H4022='131-CT'!$H$9),"x","")</f>
        <v/>
      </c>
      <c r="Z4022" s="79"/>
      <c r="AA4022" s="79" t="str">
        <f>IF(AND(MONTH(E4022)='IN-NX'!$J$5,'IN-NX'!$D$7=D4022),"x","")</f>
        <v/>
      </c>
      <c r="AB4022" s="79" t="str">
        <f>IF(AND(OR(LEFT(TH!N4022,2)="15",LEFT(TH!O4022,2)="15"),LEFT(TH!O4022,3)&lt;&gt;"111",'152-CT'!$J$8=TH!F4022),"x","")</f>
        <v/>
      </c>
      <c r="AC4022" s="79" t="str">
        <f>IF(AND(OR(LEFT(TH!N4022,2)="15",LEFT(TH!O4022,2)="15"),TK!$E$7=TH!F4022),"x","")</f>
        <v/>
      </c>
      <c r="AD4022" s="79" t="str">
        <f>IF(AND(N4022="1521",MONTH(C4022)='BK-NL'!$M$11),"x","")</f>
        <v/>
      </c>
    </row>
    <row r="4023" spans="1:30" ht="16.5" customHeight="1">
      <c r="A4023" s="318" t="str">
        <f>IF(B4023&lt;&gt;"",IF(AND(B4023='IN-TC'!$S$4,OR(TH!N4023="1111",TH!O4023="1111")),TH!D4023,""),"")</f>
        <v/>
      </c>
      <c r="B4023" s="60" t="str">
        <f t="shared" si="429"/>
        <v/>
      </c>
      <c r="C4023" s="75"/>
      <c r="D4023" s="75"/>
      <c r="E4023" s="75"/>
      <c r="F4023" s="76"/>
      <c r="G4023" s="76"/>
      <c r="H4023" s="305"/>
      <c r="I4023" s="77"/>
      <c r="J4023" s="391"/>
      <c r="K4023" s="383"/>
      <c r="L4023" s="390"/>
      <c r="M4023" s="78"/>
      <c r="N4023" s="79"/>
      <c r="O4023" s="979"/>
      <c r="P4023" s="79" t="str">
        <f>IF(AND('331-CT'!$E$7=TH!H4023,OR(N4023="331",O4023="331")),"x","")</f>
        <v/>
      </c>
      <c r="Q4023" s="79" t="str">
        <f>IF(AND(B4023='111'!$L$11,OR($N4023=$Q$7,$O4023=$Q$7)),"x","")</f>
        <v/>
      </c>
      <c r="R4023" s="79" t="str">
        <f>IF(AND($N4023=$Q$7,$B4023&lt;'111'!$L$11),"x","")</f>
        <v/>
      </c>
      <c r="S4023" s="79" t="str">
        <f>IF(AND($O4023=$Q$7,$B4023&lt;'111'!$L$11),"x","")</f>
        <v/>
      </c>
      <c r="T4023" s="79" t="str">
        <f>IF(ISERROR(FIND('112'!$M$9,G4023,1)),"",IF((AND(FIND('112'!$M$9,G4023,1)&gt;=1,B4023='112'!$K$9,OR($N4023='112'!$I$6,$O4023='112'!$I$6))),"x",""))</f>
        <v/>
      </c>
      <c r="U4023" s="79" t="str">
        <f>IF(ISERROR(FIND('112'!$M$9,G4023,1)),"",IF((AND(LEFT(G4023,2)=LEFT('112'!$M$9,2),B4023&lt;'112'!$K$9,$N4023='112'!$I$6)),"x",""))</f>
        <v/>
      </c>
      <c r="V4023" s="79" t="str">
        <f>IF(ISERROR(FIND('112'!$M$9,G4023,1)),"",IF((AND(RIGHT(G4023,2)=RIGHT('112'!$M$9,2),B4023&lt;'112'!$K$9,$O4023='112'!$I$6)),"x",""))</f>
        <v/>
      </c>
      <c r="W4023" s="79" t="str">
        <f>IF(AND('341-CT'!$H$9=H4023,OR(LEFT(N4023,3)=$W$7,LEFT(O4023,3)=$W$7)),"x","")</f>
        <v/>
      </c>
      <c r="X4023" s="79" t="str">
        <f>IF(OR(TH!N4023=TH!$X$7,O4023=TH!$X$7),"x","")</f>
        <v/>
      </c>
      <c r="Y4023" s="79" t="str">
        <f>IF(AND(OR(N4023="131",O4023="131"),H4023='131-CT'!$H$9),"x","")</f>
        <v/>
      </c>
      <c r="Z4023" s="79"/>
      <c r="AA4023" s="79" t="str">
        <f>IF(AND(MONTH(E4023)='IN-NX'!$J$5,'IN-NX'!$D$7=D4023),"x","")</f>
        <v/>
      </c>
      <c r="AB4023" s="79" t="str">
        <f>IF(AND(OR(LEFT(TH!N4023,2)="15",LEFT(TH!O4023,2)="15"),LEFT(TH!O4023,3)&lt;&gt;"111",'152-CT'!$J$8=TH!F4023),"x","")</f>
        <v/>
      </c>
      <c r="AC4023" s="79" t="str">
        <f>IF(AND(OR(LEFT(TH!N4023,2)="15",LEFT(TH!O4023,2)="15"),TK!$E$7=TH!F4023),"x","")</f>
        <v/>
      </c>
      <c r="AD4023" s="79" t="str">
        <f>IF(AND(N4023="1521",MONTH(C4023)='BK-NL'!$M$11),"x","")</f>
        <v/>
      </c>
    </row>
    <row r="4024" spans="1:30" ht="16.5" customHeight="1">
      <c r="A4024" s="318" t="str">
        <f>IF(B4024&lt;&gt;"",IF(AND(B4024='IN-TC'!$S$4,OR(TH!N4024="1111",TH!O4024="1111")),TH!D4024,""),"")</f>
        <v/>
      </c>
      <c r="B4024" s="60" t="str">
        <f t="shared" si="429"/>
        <v/>
      </c>
      <c r="C4024" s="75"/>
      <c r="D4024" s="75"/>
      <c r="E4024" s="75"/>
      <c r="F4024" s="76"/>
      <c r="G4024" s="76"/>
      <c r="H4024" s="1210"/>
      <c r="I4024" s="77"/>
      <c r="J4024" s="391"/>
      <c r="K4024" s="383"/>
      <c r="L4024" s="390"/>
      <c r="M4024" s="978"/>
      <c r="N4024" s="79"/>
      <c r="O4024" s="979"/>
      <c r="P4024" s="79" t="str">
        <f>IF(AND('331-CT'!$E$7=TH!H4024,OR(N4024="331",O4024="331")),"x","")</f>
        <v/>
      </c>
      <c r="Q4024" s="79" t="str">
        <f>IF(AND(B4024='111'!$L$11,OR($N4024=$Q$7,$O4024=$Q$7)),"x","")</f>
        <v/>
      </c>
      <c r="R4024" s="79" t="str">
        <f>IF(AND($N4024=$Q$7,$B4024&lt;'111'!$L$11),"x","")</f>
        <v/>
      </c>
      <c r="S4024" s="79" t="str">
        <f>IF(AND($O4024=$Q$7,$B4024&lt;'111'!$L$11),"x","")</f>
        <v/>
      </c>
      <c r="T4024" s="79" t="str">
        <f>IF(ISERROR(FIND('112'!$M$9,G4024,1)),"",IF((AND(FIND('112'!$M$9,G4024,1)&gt;=1,B4024='112'!$K$9,OR($N4024='112'!$I$6,$O4024='112'!$I$6))),"x",""))</f>
        <v/>
      </c>
      <c r="U4024" s="79" t="str">
        <f>IF(ISERROR(FIND('112'!$M$9,G4024,1)),"",IF((AND(LEFT(G4024,2)=LEFT('112'!$M$9,2),B4024&lt;'112'!$K$9,$N4024='112'!$I$6)),"x",""))</f>
        <v/>
      </c>
      <c r="V4024" s="79" t="str">
        <f>IF(ISERROR(FIND('112'!$M$9,G4024,1)),"",IF((AND(RIGHT(G4024,2)=RIGHT('112'!$M$9,2),B4024&lt;'112'!$K$9,$O4024='112'!$I$6)),"x",""))</f>
        <v/>
      </c>
      <c r="W4024" s="79" t="str">
        <f>IF(AND('341-CT'!$H$9=H4024,OR(LEFT(N4024,3)=$W$7,LEFT(O4024,3)=$W$7)),"x","")</f>
        <v/>
      </c>
      <c r="X4024" s="79" t="str">
        <f>IF(OR(TH!N4024=TH!$X$7,O4024=TH!$X$7),"x","")</f>
        <v/>
      </c>
      <c r="Y4024" s="79" t="str">
        <f>IF(AND(OR(N4024="131",O4024="131"),H4024='131-CT'!$H$9),"x","")</f>
        <v/>
      </c>
      <c r="Z4024" s="79"/>
      <c r="AA4024" s="79" t="str">
        <f>IF(AND(MONTH(E4024)='IN-NX'!$J$5,'IN-NX'!$D$7=D4024),"x","")</f>
        <v/>
      </c>
      <c r="AB4024" s="79" t="str">
        <f>IF(AND(OR(LEFT(TH!N4024,2)="15",LEFT(TH!O4024,2)="15"),LEFT(TH!O4024,3)&lt;&gt;"111",'152-CT'!$J$8=TH!F4024),"x","")</f>
        <v/>
      </c>
      <c r="AC4024" s="79" t="str">
        <f>IF(AND(OR(LEFT(TH!N4024,2)="15",LEFT(TH!O4024,2)="15"),TK!$E$7=TH!F4024),"x","")</f>
        <v/>
      </c>
      <c r="AD4024" s="79" t="str">
        <f>IF(AND(N4024="1521",MONTH(C4024)='BK-NL'!$M$11),"x","")</f>
        <v/>
      </c>
    </row>
    <row r="4025" spans="1:30" ht="16.5" customHeight="1">
      <c r="A4025" s="318" t="str">
        <f>IF(B4025&lt;&gt;"",IF(AND(B4025='IN-TC'!$S$4,OR(TH!N4025="1111",TH!O4025="1111")),TH!D4025,""),"")</f>
        <v/>
      </c>
      <c r="B4025" s="60" t="str">
        <f t="shared" si="429"/>
        <v/>
      </c>
      <c r="C4025" s="75"/>
      <c r="D4025" s="75"/>
      <c r="E4025" s="75"/>
      <c r="F4025" s="76"/>
      <c r="G4025" s="76"/>
      <c r="H4025" s="1210"/>
      <c r="I4025" s="77"/>
      <c r="J4025" s="391"/>
      <c r="K4025" s="383"/>
      <c r="L4025" s="390"/>
      <c r="M4025" s="78"/>
      <c r="N4025" s="79"/>
      <c r="O4025" s="79"/>
      <c r="P4025" s="79" t="str">
        <f>IF(AND('331-CT'!$E$7=TH!H4025,OR(N4025="331",O4025="331")),"x","")</f>
        <v/>
      </c>
      <c r="Q4025" s="79" t="str">
        <f>IF(AND(B4025='111'!$L$11,OR($N4025=$Q$7,$O4025=$Q$7)),"x","")</f>
        <v/>
      </c>
      <c r="R4025" s="79" t="str">
        <f>IF(AND($N4025=$Q$7,$B4025&lt;'111'!$L$11),"x","")</f>
        <v/>
      </c>
      <c r="S4025" s="79" t="str">
        <f>IF(AND($O4025=$Q$7,$B4025&lt;'111'!$L$11),"x","")</f>
        <v/>
      </c>
      <c r="T4025" s="79" t="str">
        <f>IF(ISERROR(FIND('112'!$M$9,G4025,1)),"",IF((AND(FIND('112'!$M$9,G4025,1)&gt;=1,B4025='112'!$K$9,OR($N4025='112'!$I$6,$O4025='112'!$I$6))),"x",""))</f>
        <v/>
      </c>
      <c r="U4025" s="79" t="str">
        <f>IF(ISERROR(FIND('112'!$M$9,G4025,1)),"",IF((AND(LEFT(G4025,2)=LEFT('112'!$M$9,2),B4025&lt;'112'!$K$9,$N4025='112'!$I$6)),"x",""))</f>
        <v/>
      </c>
      <c r="V4025" s="79" t="str">
        <f>IF(ISERROR(FIND('112'!$M$9,G4025,1)),"",IF((AND(RIGHT(G4025,2)=RIGHT('112'!$M$9,2),B4025&lt;'112'!$K$9,$O4025='112'!$I$6)),"x",""))</f>
        <v/>
      </c>
      <c r="W4025" s="79" t="str">
        <f>IF(AND('341-CT'!$H$9=H4025,OR(LEFT(N4025,3)=$W$7,LEFT(O4025,3)=$W$7)),"x","")</f>
        <v/>
      </c>
      <c r="X4025" s="79" t="str">
        <f>IF(OR(TH!N4025=TH!$X$7,O4025=TH!$X$7),"x","")</f>
        <v/>
      </c>
      <c r="Y4025" s="79" t="str">
        <f>IF(AND(OR(N4025="131",O4025="131"),H4025='131-CT'!$H$9),"x","")</f>
        <v/>
      </c>
      <c r="Z4025" s="79"/>
      <c r="AA4025" s="79" t="str">
        <f>IF(AND(MONTH(E4025)='IN-NX'!$J$5,'IN-NX'!$D$7=D4025),"x","")</f>
        <v/>
      </c>
      <c r="AB4025" s="79" t="str">
        <f>IF(AND(OR(LEFT(TH!N4025,2)="15",LEFT(TH!O4025,2)="15"),LEFT(TH!O4025,3)&lt;&gt;"111",'152-CT'!$J$8=TH!F4025),"x","")</f>
        <v/>
      </c>
      <c r="AC4025" s="79" t="str">
        <f>IF(AND(OR(LEFT(TH!N4025,2)="15",LEFT(TH!O4025,2)="15"),TK!$E$7=TH!F4025),"x","")</f>
        <v/>
      </c>
      <c r="AD4025" s="79" t="str">
        <f>IF(AND(N4025="1521",MONTH(C4025)='BK-NL'!$M$11),"x","")</f>
        <v/>
      </c>
    </row>
    <row r="4026" spans="1:30" ht="16.5" customHeight="1">
      <c r="A4026" s="318" t="str">
        <f>IF(B4026&lt;&gt;"",IF(AND(B4026='IN-TC'!$S$4,OR(TH!N4026="1111",TH!O4026="1111")),TH!D4026,""),"")</f>
        <v/>
      </c>
      <c r="B4026" s="60" t="str">
        <f t="shared" si="429"/>
        <v/>
      </c>
      <c r="C4026" s="75"/>
      <c r="D4026" s="75"/>
      <c r="E4026" s="75"/>
      <c r="F4026" s="76"/>
      <c r="G4026" s="76"/>
      <c r="H4026" s="77"/>
      <c r="I4026" s="77"/>
      <c r="J4026" s="391"/>
      <c r="K4026" s="383"/>
      <c r="L4026" s="390"/>
      <c r="M4026" s="978"/>
      <c r="N4026" s="79"/>
      <c r="O4026" s="979"/>
      <c r="P4026" s="79" t="str">
        <f>IF(AND('331-CT'!$E$7=TH!H4026,OR(N4026="331",O4026="331")),"x","")</f>
        <v/>
      </c>
      <c r="Q4026" s="79" t="str">
        <f>IF(AND(B4026='111'!$L$11,OR($N4026=$Q$7,$O4026=$Q$7)),"x","")</f>
        <v/>
      </c>
      <c r="R4026" s="79" t="str">
        <f>IF(AND($N4026=$Q$7,$B4026&lt;'111'!$L$11),"x","")</f>
        <v/>
      </c>
      <c r="S4026" s="79" t="str">
        <f>IF(AND($O4026=$Q$7,$B4026&lt;'111'!$L$11),"x","")</f>
        <v/>
      </c>
      <c r="T4026" s="79" t="str">
        <f>IF(ISERROR(FIND('112'!$M$9,G4026,1)),"",IF((AND(FIND('112'!$M$9,G4026,1)&gt;=1,B4026='112'!$K$9,OR($N4026='112'!$I$6,$O4026='112'!$I$6))),"x",""))</f>
        <v/>
      </c>
      <c r="U4026" s="79" t="str">
        <f>IF(ISERROR(FIND('112'!$M$9,G4026,1)),"",IF((AND(LEFT(G4026,2)=LEFT('112'!$M$9,2),B4026&lt;'112'!$K$9,$N4026='112'!$I$6)),"x",""))</f>
        <v/>
      </c>
      <c r="V4026" s="79" t="str">
        <f>IF(ISERROR(FIND('112'!$M$9,G4026,1)),"",IF((AND(RIGHT(G4026,2)=RIGHT('112'!$M$9,2),B4026&lt;'112'!$K$9,$O4026='112'!$I$6)),"x",""))</f>
        <v/>
      </c>
      <c r="W4026" s="79" t="str">
        <f>IF(AND('341-CT'!$H$9=H4026,OR(LEFT(N4026,3)=$W$7,LEFT(O4026,3)=$W$7)),"x","")</f>
        <v/>
      </c>
      <c r="X4026" s="79" t="str">
        <f>IF(OR(TH!N4026=TH!$X$7,O4026=TH!$X$7),"x","")</f>
        <v/>
      </c>
      <c r="Y4026" s="79" t="str">
        <f>IF(AND(OR(N4026="131",O4026="131"),H4026='131-CT'!$H$9),"x","")</f>
        <v/>
      </c>
      <c r="Z4026" s="79"/>
      <c r="AA4026" s="79" t="str">
        <f>IF(AND(MONTH(E4026)='IN-NX'!$J$5,'IN-NX'!$D$7=D4026),"x","")</f>
        <v/>
      </c>
      <c r="AB4026" s="79" t="str">
        <f>IF(AND(OR(LEFT(TH!N4026,2)="15",LEFT(TH!O4026,2)="15"),LEFT(TH!O4026,3)&lt;&gt;"111",'152-CT'!$J$8=TH!F4026),"x","")</f>
        <v/>
      </c>
      <c r="AC4026" s="79" t="str">
        <f>IF(AND(OR(LEFT(TH!N4026,2)="15",LEFT(TH!O4026,2)="15"),TK!$E$7=TH!F4026),"x","")</f>
        <v/>
      </c>
      <c r="AD4026" s="79" t="str">
        <f>IF(AND(N4026="1521",MONTH(C4026)='BK-NL'!$M$11),"x","")</f>
        <v/>
      </c>
    </row>
    <row r="4027" spans="1:30" ht="16.5" customHeight="1">
      <c r="A4027" s="318" t="str">
        <f>IF(B4027&lt;&gt;"",IF(AND(B4027='IN-TC'!$S$4,OR(TH!N4027="1111",TH!O4027="1111")),TH!D4027,""),"")</f>
        <v/>
      </c>
      <c r="B4027" s="60" t="str">
        <f t="shared" si="429"/>
        <v/>
      </c>
      <c r="C4027" s="75"/>
      <c r="D4027" s="75"/>
      <c r="E4027" s="75"/>
      <c r="F4027" s="975"/>
      <c r="G4027" s="76"/>
      <c r="H4027" s="77"/>
      <c r="I4027" s="77"/>
      <c r="J4027" s="391"/>
      <c r="K4027" s="383"/>
      <c r="L4027" s="390"/>
      <c r="M4027" s="978"/>
      <c r="N4027" s="79"/>
      <c r="O4027" s="79"/>
      <c r="P4027" s="79" t="str">
        <f>IF(AND('331-CT'!$E$7=TH!H4027,OR(N4027="331",O4027="331")),"x","")</f>
        <v/>
      </c>
      <c r="Q4027" s="79" t="str">
        <f>IF(AND(B4027='111'!$L$11,OR($N4027=$Q$7,$O4027=$Q$7)),"x","")</f>
        <v/>
      </c>
      <c r="R4027" s="79" t="str">
        <f>IF(AND($N4027=$Q$7,$B4027&lt;'111'!$L$11),"x","")</f>
        <v/>
      </c>
      <c r="S4027" s="79" t="str">
        <f>IF(AND($O4027=$Q$7,$B4027&lt;'111'!$L$11),"x","")</f>
        <v/>
      </c>
      <c r="T4027" s="79" t="str">
        <f>IF(ISERROR(FIND('112'!$M$9,G4027,1)),"",IF((AND(FIND('112'!$M$9,G4027,1)&gt;=1,B4027='112'!$K$9,OR($N4027='112'!$I$6,$O4027='112'!$I$6))),"x",""))</f>
        <v/>
      </c>
      <c r="U4027" s="79" t="str">
        <f>IF(ISERROR(FIND('112'!$M$9,G4027,1)),"",IF((AND(LEFT(G4027,2)=LEFT('112'!$M$9,2),B4027&lt;'112'!$K$9,$N4027='112'!$I$6)),"x",""))</f>
        <v/>
      </c>
      <c r="V4027" s="79" t="str">
        <f>IF(ISERROR(FIND('112'!$M$9,G4027,1)),"",IF((AND(RIGHT(G4027,2)=RIGHT('112'!$M$9,2),B4027&lt;'112'!$K$9,$O4027='112'!$I$6)),"x",""))</f>
        <v/>
      </c>
      <c r="W4027" s="79" t="str">
        <f>IF(AND('341-CT'!$H$9=H4027,OR(LEFT(N4027,3)=$W$7,LEFT(O4027,3)=$W$7)),"x","")</f>
        <v/>
      </c>
      <c r="X4027" s="79" t="str">
        <f>IF(OR(TH!N4027=TH!$X$7,O4027=TH!$X$7),"x","")</f>
        <v/>
      </c>
      <c r="Y4027" s="79" t="str">
        <f>IF(AND(OR(N4027="131",O4027="131"),H4027='131-CT'!$H$9),"x","")</f>
        <v/>
      </c>
      <c r="Z4027" s="79"/>
      <c r="AA4027" s="79" t="str">
        <f>IF(AND(MONTH(E4027)='IN-NX'!$J$5,'IN-NX'!$D$7=D4027),"x","")</f>
        <v/>
      </c>
      <c r="AB4027" s="79" t="str">
        <f>IF(AND(OR(LEFT(TH!N4027,2)="15",LEFT(TH!O4027,2)="15"),LEFT(TH!O4027,3)&lt;&gt;"111",'152-CT'!$J$8=TH!F4027),"x","")</f>
        <v/>
      </c>
      <c r="AC4027" s="79" t="str">
        <f>IF(AND(OR(LEFT(TH!N4027,2)="15",LEFT(TH!O4027,2)="15"),TK!$E$7=TH!F4027),"x","")</f>
        <v/>
      </c>
      <c r="AD4027" s="79" t="str">
        <f>IF(AND(N4027="1521",MONTH(C4027)='BK-NL'!$M$11),"x","")</f>
        <v/>
      </c>
    </row>
    <row r="4028" spans="1:30" ht="16.5" customHeight="1">
      <c r="A4028" s="318" t="str">
        <f>IF(B4028&lt;&gt;"",IF(AND(B4028='IN-TC'!$S$4,OR(TH!N4028="1111",TH!O4028="1111")),TH!D4028,""),"")</f>
        <v/>
      </c>
      <c r="B4028" s="60" t="str">
        <f t="shared" si="429"/>
        <v/>
      </c>
      <c r="C4028" s="75"/>
      <c r="D4028" s="75"/>
      <c r="E4028" s="75"/>
      <c r="F4028" s="76"/>
      <c r="G4028" s="76"/>
      <c r="H4028" s="77"/>
      <c r="I4028" s="77"/>
      <c r="J4028" s="391"/>
      <c r="K4028" s="383"/>
      <c r="L4028" s="390"/>
      <c r="M4028" s="978"/>
      <c r="N4028" s="79"/>
      <c r="O4028" s="979"/>
      <c r="P4028" s="79" t="str">
        <f>IF(AND('331-CT'!$E$7=TH!H4028,OR(N4028="331",O4028="331")),"x","")</f>
        <v/>
      </c>
      <c r="Q4028" s="79" t="str">
        <f>IF(AND(B4028='111'!$L$11,OR($N4028=$Q$7,$O4028=$Q$7)),"x","")</f>
        <v/>
      </c>
      <c r="R4028" s="79" t="str">
        <f>IF(AND($N4028=$Q$7,$B4028&lt;'111'!$L$11),"x","")</f>
        <v/>
      </c>
      <c r="S4028" s="79" t="str">
        <f>IF(AND($O4028=$Q$7,$B4028&lt;'111'!$L$11),"x","")</f>
        <v/>
      </c>
      <c r="T4028" s="79" t="str">
        <f>IF(ISERROR(FIND('112'!$M$9,G4028,1)),"",IF((AND(FIND('112'!$M$9,G4028,1)&gt;=1,B4028='112'!$K$9,OR($N4028='112'!$I$6,$O4028='112'!$I$6))),"x",""))</f>
        <v/>
      </c>
      <c r="U4028" s="79" t="str">
        <f>IF(ISERROR(FIND('112'!$M$9,G4028,1)),"",IF((AND(LEFT(G4028,2)=LEFT('112'!$M$9,2),B4028&lt;'112'!$K$9,$N4028='112'!$I$6)),"x",""))</f>
        <v/>
      </c>
      <c r="V4028" s="79" t="str">
        <f>IF(ISERROR(FIND('112'!$M$9,G4028,1)),"",IF((AND(RIGHT(G4028,2)=RIGHT('112'!$M$9,2),B4028&lt;'112'!$K$9,$O4028='112'!$I$6)),"x",""))</f>
        <v/>
      </c>
      <c r="W4028" s="79" t="str">
        <f>IF(AND('341-CT'!$H$9=H4028,OR(LEFT(N4028,3)=$W$7,LEFT(O4028,3)=$W$7)),"x","")</f>
        <v/>
      </c>
      <c r="X4028" s="79" t="str">
        <f>IF(OR(TH!N4028=TH!$X$7,O4028=TH!$X$7),"x","")</f>
        <v/>
      </c>
      <c r="Y4028" s="79" t="str">
        <f>IF(AND(OR(N4028="131",O4028="131"),H4028='131-CT'!$H$9),"x","")</f>
        <v/>
      </c>
      <c r="Z4028" s="79"/>
      <c r="AA4028" s="79" t="str">
        <f>IF(AND(MONTH(E4028)='IN-NX'!$J$5,'IN-NX'!$D$7=D4028),"x","")</f>
        <v/>
      </c>
      <c r="AB4028" s="79" t="str">
        <f>IF(AND(OR(LEFT(TH!N4028,2)="15",LEFT(TH!O4028,2)="15"),LEFT(TH!O4028,3)&lt;&gt;"111",'152-CT'!$J$8=TH!F4028),"x","")</f>
        <v/>
      </c>
      <c r="AC4028" s="79" t="str">
        <f>IF(AND(OR(LEFT(TH!N4028,2)="15",LEFT(TH!O4028,2)="15"),TK!$E$7=TH!F4028),"x","")</f>
        <v/>
      </c>
      <c r="AD4028" s="79" t="str">
        <f>IF(AND(N4028="1521",MONTH(C4028)='BK-NL'!$M$11),"x","")</f>
        <v/>
      </c>
    </row>
    <row r="4029" spans="1:30" ht="16.5" customHeight="1">
      <c r="A4029" s="318" t="str">
        <f>IF(B4029&lt;&gt;"",IF(AND(B4029='IN-TC'!$S$4,OR(TH!N4029="1111",TH!O4029="1111")),TH!D4029,""),"")</f>
        <v/>
      </c>
      <c r="B4029" s="60" t="str">
        <f t="shared" si="429"/>
        <v/>
      </c>
      <c r="C4029" s="75"/>
      <c r="D4029" s="75"/>
      <c r="E4029" s="75"/>
      <c r="F4029" s="76"/>
      <c r="G4029" s="76"/>
      <c r="H4029" s="77"/>
      <c r="I4029" s="77"/>
      <c r="J4029" s="391"/>
      <c r="K4029" s="383"/>
      <c r="L4029" s="390"/>
      <c r="M4029" s="978"/>
      <c r="N4029" s="79"/>
      <c r="O4029" s="979"/>
      <c r="P4029" s="79" t="str">
        <f>IF(AND('331-CT'!$E$7=TH!H4029,OR(N4029="331",O4029="331")),"x","")</f>
        <v/>
      </c>
      <c r="Q4029" s="79" t="str">
        <f>IF(AND(B4029='111'!$L$11,OR($N4029=$Q$7,$O4029=$Q$7)),"x","")</f>
        <v/>
      </c>
      <c r="R4029" s="79" t="str">
        <f>IF(AND($N4029=$Q$7,$B4029&lt;'111'!$L$11),"x","")</f>
        <v/>
      </c>
      <c r="S4029" s="79" t="str">
        <f>IF(AND($O4029=$Q$7,$B4029&lt;'111'!$L$11),"x","")</f>
        <v/>
      </c>
      <c r="T4029" s="79" t="str">
        <f>IF(ISERROR(FIND('112'!$M$9,G4029,1)),"",IF((AND(FIND('112'!$M$9,G4029,1)&gt;=1,B4029='112'!$K$9,OR($N4029='112'!$I$6,$O4029='112'!$I$6))),"x",""))</f>
        <v/>
      </c>
      <c r="U4029" s="79" t="str">
        <f>IF(ISERROR(FIND('112'!$M$9,G4029,1)),"",IF((AND(LEFT(G4029,2)=LEFT('112'!$M$9,2),B4029&lt;'112'!$K$9,$N4029='112'!$I$6)),"x",""))</f>
        <v/>
      </c>
      <c r="V4029" s="79" t="str">
        <f>IF(ISERROR(FIND('112'!$M$9,G4029,1)),"",IF((AND(RIGHT(G4029,2)=RIGHT('112'!$M$9,2),B4029&lt;'112'!$K$9,$O4029='112'!$I$6)),"x",""))</f>
        <v/>
      </c>
      <c r="W4029" s="79" t="str">
        <f>IF(AND('341-CT'!$H$9=H4029,OR(LEFT(N4029,3)=$W$7,LEFT(O4029,3)=$W$7)),"x","")</f>
        <v/>
      </c>
      <c r="X4029" s="79" t="str">
        <f>IF(OR(TH!N4029=TH!$X$7,O4029=TH!$X$7),"x","")</f>
        <v/>
      </c>
      <c r="Y4029" s="79" t="str">
        <f>IF(AND(OR(N4029="131",O4029="131"),H4029='131-CT'!$H$9),"x","")</f>
        <v/>
      </c>
      <c r="Z4029" s="79"/>
      <c r="AA4029" s="79" t="str">
        <f>IF(AND(MONTH(E4029)='IN-NX'!$J$5,'IN-NX'!$D$7=D4029),"x","")</f>
        <v/>
      </c>
      <c r="AB4029" s="79" t="str">
        <f>IF(AND(OR(LEFT(TH!N4029,2)="15",LEFT(TH!O4029,2)="15"),LEFT(TH!O4029,3)&lt;&gt;"111",'152-CT'!$J$8=TH!F4029),"x","")</f>
        <v/>
      </c>
      <c r="AC4029" s="79" t="str">
        <f>IF(AND(OR(LEFT(TH!N4029,2)="15",LEFT(TH!O4029,2)="15"),TK!$E$7=TH!F4029),"x","")</f>
        <v/>
      </c>
      <c r="AD4029" s="79" t="str">
        <f>IF(AND(N4029="1521",MONTH(C4029)='BK-NL'!$M$11),"x","")</f>
        <v/>
      </c>
    </row>
    <row r="4030" spans="1:30" ht="16.5" customHeight="1">
      <c r="A4030" s="318" t="str">
        <f>IF(B4030&lt;&gt;"",IF(AND(B4030='IN-TC'!$S$4,OR(TH!N4030="1111",TH!O4030="1111")),TH!D4030,""),"")</f>
        <v/>
      </c>
      <c r="B4030" s="60" t="str">
        <f t="shared" si="429"/>
        <v/>
      </c>
      <c r="C4030" s="75"/>
      <c r="D4030" s="75"/>
      <c r="E4030" s="75"/>
      <c r="F4030" s="76"/>
      <c r="G4030" s="76"/>
      <c r="H4030" s="77"/>
      <c r="I4030" s="77"/>
      <c r="J4030" s="391"/>
      <c r="K4030" s="383"/>
      <c r="L4030" s="390"/>
      <c r="M4030" s="978"/>
      <c r="N4030" s="79"/>
      <c r="O4030" s="979"/>
      <c r="P4030" s="79" t="str">
        <f>IF(AND('331-CT'!$E$7=TH!H4030,OR(N4030="331",O4030="331")),"x","")</f>
        <v/>
      </c>
      <c r="Q4030" s="79" t="str">
        <f>IF(AND(B4030='111'!$L$11,OR($N4030=$Q$7,$O4030=$Q$7)),"x","")</f>
        <v/>
      </c>
      <c r="R4030" s="79" t="str">
        <f>IF(AND($N4030=$Q$7,$B4030&lt;'111'!$L$11),"x","")</f>
        <v/>
      </c>
      <c r="S4030" s="79" t="str">
        <f>IF(AND($O4030=$Q$7,$B4030&lt;'111'!$L$11),"x","")</f>
        <v/>
      </c>
      <c r="T4030" s="79" t="str">
        <f>IF(ISERROR(FIND('112'!$M$9,G4030,1)),"",IF((AND(FIND('112'!$M$9,G4030,1)&gt;=1,B4030='112'!$K$9,OR($N4030='112'!$I$6,$O4030='112'!$I$6))),"x",""))</f>
        <v/>
      </c>
      <c r="U4030" s="79" t="str">
        <f>IF(ISERROR(FIND('112'!$M$9,G4030,1)),"",IF((AND(LEFT(G4030,2)=LEFT('112'!$M$9,2),B4030&lt;'112'!$K$9,$N4030='112'!$I$6)),"x",""))</f>
        <v/>
      </c>
      <c r="V4030" s="79" t="str">
        <f>IF(ISERROR(FIND('112'!$M$9,G4030,1)),"",IF((AND(RIGHT(G4030,2)=RIGHT('112'!$M$9,2),B4030&lt;'112'!$K$9,$O4030='112'!$I$6)),"x",""))</f>
        <v/>
      </c>
      <c r="W4030" s="79" t="str">
        <f>IF(AND('341-CT'!$H$9=H4030,OR(LEFT(N4030,3)=$W$7,LEFT(O4030,3)=$W$7)),"x","")</f>
        <v/>
      </c>
      <c r="X4030" s="79" t="str">
        <f>IF(OR(TH!N4030=TH!$X$7,O4030=TH!$X$7),"x","")</f>
        <v/>
      </c>
      <c r="Y4030" s="79" t="str">
        <f>IF(AND(OR(N4030="131",O4030="131"),H4030='131-CT'!$H$9),"x","")</f>
        <v/>
      </c>
      <c r="Z4030" s="79"/>
      <c r="AA4030" s="79" t="str">
        <f>IF(AND(MONTH(E4030)='IN-NX'!$J$5,'IN-NX'!$D$7=D4030),"x","")</f>
        <v/>
      </c>
      <c r="AB4030" s="79" t="str">
        <f>IF(AND(OR(LEFT(TH!N4030,2)="15",LEFT(TH!O4030,2)="15"),LEFT(TH!O4030,3)&lt;&gt;"111",'152-CT'!$J$8=TH!F4030),"x","")</f>
        <v/>
      </c>
      <c r="AC4030" s="79" t="str">
        <f>IF(AND(OR(LEFT(TH!N4030,2)="15",LEFT(TH!O4030,2)="15"),TK!$E$7=TH!F4030),"x","")</f>
        <v/>
      </c>
      <c r="AD4030" s="79" t="str">
        <f>IF(AND(N4030="1521",MONTH(C4030)='BK-NL'!$M$11),"x","")</f>
        <v/>
      </c>
    </row>
    <row r="4031" spans="1:30" ht="16.5" customHeight="1">
      <c r="A4031" s="318" t="str">
        <f>IF(B4031&lt;&gt;"",IF(AND(B4031='IN-TC'!$S$4,OR(TH!N4031="1111",TH!O4031="1111")),TH!D4031,""),"")</f>
        <v/>
      </c>
      <c r="B4031" s="60" t="str">
        <f t="shared" si="429"/>
        <v/>
      </c>
      <c r="C4031" s="75"/>
      <c r="D4031" s="75"/>
      <c r="E4031" s="75"/>
      <c r="F4031" s="76"/>
      <c r="G4031" s="76"/>
      <c r="H4031" s="77"/>
      <c r="I4031" s="77"/>
      <c r="J4031" s="391"/>
      <c r="K4031" s="383"/>
      <c r="L4031" s="390"/>
      <c r="M4031" s="978"/>
      <c r="N4031" s="79"/>
      <c r="O4031" s="979"/>
      <c r="P4031" s="79" t="str">
        <f>IF(AND('331-CT'!$E$7=TH!H4031,OR(N4031="331",O4031="331")),"x","")</f>
        <v/>
      </c>
      <c r="Q4031" s="79" t="str">
        <f>IF(AND(B4031='111'!$L$11,OR($N4031=$Q$7,$O4031=$Q$7)),"x","")</f>
        <v/>
      </c>
      <c r="R4031" s="79" t="str">
        <f>IF(AND($N4031=$Q$7,$B4031&lt;'111'!$L$11),"x","")</f>
        <v/>
      </c>
      <c r="S4031" s="79" t="str">
        <f>IF(AND($O4031=$Q$7,$B4031&lt;'111'!$L$11),"x","")</f>
        <v/>
      </c>
      <c r="T4031" s="79" t="str">
        <f>IF(ISERROR(FIND('112'!$M$9,G4031,1)),"",IF((AND(FIND('112'!$M$9,G4031,1)&gt;=1,B4031='112'!$K$9,OR($N4031='112'!$I$6,$O4031='112'!$I$6))),"x",""))</f>
        <v/>
      </c>
      <c r="U4031" s="79" t="str">
        <f>IF(ISERROR(FIND('112'!$M$9,G4031,1)),"",IF((AND(LEFT(G4031,2)=LEFT('112'!$M$9,2),B4031&lt;'112'!$K$9,$N4031='112'!$I$6)),"x",""))</f>
        <v/>
      </c>
      <c r="V4031" s="79" t="str">
        <f>IF(ISERROR(FIND('112'!$M$9,G4031,1)),"",IF((AND(RIGHT(G4031,2)=RIGHT('112'!$M$9,2),B4031&lt;'112'!$K$9,$O4031='112'!$I$6)),"x",""))</f>
        <v/>
      </c>
      <c r="W4031" s="79" t="str">
        <f>IF(AND('341-CT'!$H$9=H4031,OR(LEFT(N4031,3)=$W$7,LEFT(O4031,3)=$W$7)),"x","")</f>
        <v/>
      </c>
      <c r="X4031" s="79" t="str">
        <f>IF(OR(TH!N4031=TH!$X$7,O4031=TH!$X$7),"x","")</f>
        <v/>
      </c>
      <c r="Y4031" s="79" t="str">
        <f>IF(AND(OR(N4031="131",O4031="131"),H4031='131-CT'!$H$9),"x","")</f>
        <v/>
      </c>
      <c r="Z4031" s="79"/>
      <c r="AA4031" s="79" t="str">
        <f>IF(AND(MONTH(E4031)='IN-NX'!$J$5,'IN-NX'!$D$7=D4031),"x","")</f>
        <v/>
      </c>
      <c r="AB4031" s="79" t="str">
        <f>IF(AND(OR(LEFT(TH!N4031,2)="15",LEFT(TH!O4031,2)="15"),LEFT(TH!O4031,3)&lt;&gt;"111",'152-CT'!$J$8=TH!F4031),"x","")</f>
        <v/>
      </c>
      <c r="AC4031" s="79" t="str">
        <f>IF(AND(OR(LEFT(TH!N4031,2)="15",LEFT(TH!O4031,2)="15"),TK!$E$7=TH!F4031),"x","")</f>
        <v/>
      </c>
      <c r="AD4031" s="79" t="str">
        <f>IF(AND(N4031="1521",MONTH(C4031)='BK-NL'!$M$11),"x","")</f>
        <v/>
      </c>
    </row>
    <row r="4032" spans="1:30" ht="16.5" customHeight="1">
      <c r="A4032" s="318" t="str">
        <f>IF(B4032&lt;&gt;"",IF(AND(B4032='IN-TC'!$S$4,OR(TH!N4032="1111",TH!O4032="1111")),TH!D4032,""),"")</f>
        <v/>
      </c>
      <c r="B4032" s="60" t="str">
        <f t="shared" si="429"/>
        <v/>
      </c>
      <c r="C4032" s="75"/>
      <c r="D4032" s="75"/>
      <c r="E4032" s="75"/>
      <c r="F4032" s="76"/>
      <c r="G4032" s="76"/>
      <c r="H4032" s="77"/>
      <c r="I4032" s="77"/>
      <c r="J4032" s="391"/>
      <c r="K4032" s="383"/>
      <c r="L4032" s="390"/>
      <c r="M4032" s="978"/>
      <c r="N4032" s="79"/>
      <c r="O4032" s="79"/>
      <c r="P4032" s="79" t="str">
        <f>IF(AND('331-CT'!$E$7=TH!H4032,OR(N4032="331",O4032="331")),"x","")</f>
        <v/>
      </c>
      <c r="Q4032" s="79" t="str">
        <f>IF(AND(B4032='111'!$L$11,OR($N4032=$Q$7,$O4032=$Q$7)),"x","")</f>
        <v/>
      </c>
      <c r="R4032" s="79" t="str">
        <f>IF(AND($N4032=$Q$7,$B4032&lt;'111'!$L$11),"x","")</f>
        <v/>
      </c>
      <c r="S4032" s="79" t="str">
        <f>IF(AND($O4032=$Q$7,$B4032&lt;'111'!$L$11),"x","")</f>
        <v/>
      </c>
      <c r="T4032" s="79" t="str">
        <f>IF(ISERROR(FIND('112'!$M$9,G4032,1)),"",IF((AND(FIND('112'!$M$9,G4032,1)&gt;=1,B4032='112'!$K$9,OR($N4032='112'!$I$6,$O4032='112'!$I$6))),"x",""))</f>
        <v/>
      </c>
      <c r="U4032" s="79" t="str">
        <f>IF(ISERROR(FIND('112'!$M$9,G4032,1)),"",IF((AND(LEFT(G4032,2)=LEFT('112'!$M$9,2),B4032&lt;'112'!$K$9,$N4032='112'!$I$6)),"x",""))</f>
        <v/>
      </c>
      <c r="V4032" s="79" t="str">
        <f>IF(ISERROR(FIND('112'!$M$9,G4032,1)),"",IF((AND(RIGHT(G4032,2)=RIGHT('112'!$M$9,2),B4032&lt;'112'!$K$9,$O4032='112'!$I$6)),"x",""))</f>
        <v/>
      </c>
      <c r="W4032" s="79" t="str">
        <f>IF(AND('341-CT'!$H$9=H4032,OR(LEFT(N4032,3)=$W$7,LEFT(O4032,3)=$W$7)),"x","")</f>
        <v/>
      </c>
      <c r="X4032" s="79" t="str">
        <f>IF(OR(TH!N4032=TH!$X$7,O4032=TH!$X$7),"x","")</f>
        <v/>
      </c>
      <c r="Y4032" s="79" t="str">
        <f>IF(AND(OR(N4032="131",O4032="131"),H4032='131-CT'!$H$9),"x","")</f>
        <v/>
      </c>
      <c r="Z4032" s="79"/>
      <c r="AA4032" s="79" t="str">
        <f>IF(AND(MONTH(E4032)='IN-NX'!$J$5,'IN-NX'!$D$7=D4032),"x","")</f>
        <v/>
      </c>
      <c r="AB4032" s="79" t="str">
        <f>IF(AND(OR(LEFT(TH!N4032,2)="15",LEFT(TH!O4032,2)="15"),LEFT(TH!O4032,3)&lt;&gt;"111",'152-CT'!$J$8=TH!F4032),"x","")</f>
        <v/>
      </c>
      <c r="AC4032" s="79" t="str">
        <f>IF(AND(OR(LEFT(TH!N4032,2)="15",LEFT(TH!O4032,2)="15"),TK!$E$7=TH!F4032),"x","")</f>
        <v/>
      </c>
      <c r="AD4032" s="79" t="str">
        <f>IF(AND(N4032="1521",MONTH(C4032)='BK-NL'!$M$11),"x","")</f>
        <v/>
      </c>
    </row>
    <row r="4033" spans="1:30" ht="16.5" customHeight="1">
      <c r="A4033" s="318" t="str">
        <f>IF(B4033&lt;&gt;"",IF(AND(B4033='IN-TC'!$S$4,OR(TH!N4033="1111",TH!O4033="1111")),TH!D4033,""),"")</f>
        <v/>
      </c>
      <c r="B4033" s="60" t="str">
        <f t="shared" si="429"/>
        <v/>
      </c>
      <c r="C4033" s="75"/>
      <c r="D4033" s="75"/>
      <c r="E4033" s="75"/>
      <c r="F4033" s="76"/>
      <c r="G4033" s="76"/>
      <c r="H4033" s="77"/>
      <c r="I4033" s="77"/>
      <c r="J4033" s="391"/>
      <c r="K4033" s="383"/>
      <c r="L4033" s="390"/>
      <c r="M4033" s="978"/>
      <c r="N4033" s="79"/>
      <c r="O4033" s="79"/>
      <c r="P4033" s="79" t="str">
        <f>IF(AND('331-CT'!$E$7=TH!H4033,OR(N4033="331",O4033="331")),"x","")</f>
        <v/>
      </c>
      <c r="Q4033" s="79" t="str">
        <f>IF(AND(B4033='111'!$L$11,OR($N4033=$Q$7,$O4033=$Q$7)),"x","")</f>
        <v/>
      </c>
      <c r="R4033" s="79" t="str">
        <f>IF(AND($N4033=$Q$7,$B4033&lt;'111'!$L$11),"x","")</f>
        <v/>
      </c>
      <c r="S4033" s="79" t="str">
        <f>IF(AND($O4033=$Q$7,$B4033&lt;'111'!$L$11),"x","")</f>
        <v/>
      </c>
      <c r="T4033" s="79" t="str">
        <f>IF(ISERROR(FIND('112'!$M$9,G4033,1)),"",IF((AND(FIND('112'!$M$9,G4033,1)&gt;=1,B4033='112'!$K$9,OR($N4033='112'!$I$6,$O4033='112'!$I$6))),"x",""))</f>
        <v/>
      </c>
      <c r="U4033" s="79" t="str">
        <f>IF(ISERROR(FIND('112'!$M$9,G4033,1)),"",IF((AND(LEFT(G4033,2)=LEFT('112'!$M$9,2),B4033&lt;'112'!$K$9,$N4033='112'!$I$6)),"x",""))</f>
        <v/>
      </c>
      <c r="V4033" s="79" t="str">
        <f>IF(ISERROR(FIND('112'!$M$9,G4033,1)),"",IF((AND(RIGHT(G4033,2)=RIGHT('112'!$M$9,2),B4033&lt;'112'!$K$9,$O4033='112'!$I$6)),"x",""))</f>
        <v/>
      </c>
      <c r="W4033" s="79" t="str">
        <f>IF(AND('341-CT'!$H$9=H4033,OR(LEFT(N4033,3)=$W$7,LEFT(O4033,3)=$W$7)),"x","")</f>
        <v/>
      </c>
      <c r="X4033" s="79" t="str">
        <f>IF(OR(TH!N4033=TH!$X$7,O4033=TH!$X$7),"x","")</f>
        <v/>
      </c>
      <c r="Y4033" s="79" t="str">
        <f>IF(AND(OR(N4033="131",O4033="131"),H4033='131-CT'!$H$9),"x","")</f>
        <v/>
      </c>
      <c r="Z4033" s="79"/>
      <c r="AA4033" s="79" t="str">
        <f>IF(AND(MONTH(E4033)='IN-NX'!$J$5,'IN-NX'!$D$7=D4033),"x","")</f>
        <v/>
      </c>
      <c r="AB4033" s="79" t="str">
        <f>IF(AND(OR(LEFT(TH!N4033,2)="15",LEFT(TH!O4033,2)="15"),LEFT(TH!O4033,3)&lt;&gt;"111",'152-CT'!$J$8=TH!F4033),"x","")</f>
        <v/>
      </c>
      <c r="AC4033" s="79" t="str">
        <f>IF(AND(OR(LEFT(TH!N4033,2)="15",LEFT(TH!O4033,2)="15"),TK!$E$7=TH!F4033),"x","")</f>
        <v/>
      </c>
      <c r="AD4033" s="79" t="str">
        <f>IF(AND(N4033="1521",MONTH(C4033)='BK-NL'!$M$11),"x","")</f>
        <v/>
      </c>
    </row>
    <row r="4034" spans="1:30" ht="16.5" customHeight="1">
      <c r="A4034" s="318" t="str">
        <f>IF(B4034&lt;&gt;"",IF(AND(B4034='IN-TC'!$S$4,OR(TH!N4034="1111",TH!O4034="1111")),TH!D4034,""),"")</f>
        <v/>
      </c>
      <c r="B4034" s="60" t="str">
        <f t="shared" si="429"/>
        <v/>
      </c>
      <c r="C4034" s="75"/>
      <c r="D4034" s="75"/>
      <c r="E4034" s="75"/>
      <c r="F4034" s="76"/>
      <c r="G4034" s="76"/>
      <c r="H4034" s="77"/>
      <c r="I4034" s="77"/>
      <c r="J4034" s="391"/>
      <c r="K4034" s="383"/>
      <c r="L4034" s="390"/>
      <c r="M4034" s="78"/>
      <c r="N4034" s="79"/>
      <c r="O4034" s="979"/>
      <c r="P4034" s="79" t="str">
        <f>IF(AND('331-CT'!$E$7=TH!H4034,OR(N4034="331",O4034="331")),"x","")</f>
        <v/>
      </c>
      <c r="Q4034" s="79" t="str">
        <f>IF(AND(B4034='111'!$L$11,OR($N4034=$Q$7,$O4034=$Q$7)),"x","")</f>
        <v/>
      </c>
      <c r="R4034" s="79" t="str">
        <f>IF(AND($N4034=$Q$7,$B4034&lt;'111'!$L$11),"x","")</f>
        <v/>
      </c>
      <c r="S4034" s="79" t="str">
        <f>IF(AND($O4034=$Q$7,$B4034&lt;'111'!$L$11),"x","")</f>
        <v/>
      </c>
      <c r="T4034" s="79" t="str">
        <f>IF(ISERROR(FIND('112'!$M$9,G4034,1)),"",IF((AND(FIND('112'!$M$9,G4034,1)&gt;=1,B4034='112'!$K$9,OR($N4034='112'!$I$6,$O4034='112'!$I$6))),"x",""))</f>
        <v/>
      </c>
      <c r="U4034" s="79" t="str">
        <f>IF(ISERROR(FIND('112'!$M$9,G4034,1)),"",IF((AND(LEFT(G4034,2)=LEFT('112'!$M$9,2),B4034&lt;'112'!$K$9,$N4034='112'!$I$6)),"x",""))</f>
        <v/>
      </c>
      <c r="V4034" s="79" t="str">
        <f>IF(ISERROR(FIND('112'!$M$9,G4034,1)),"",IF((AND(RIGHT(G4034,2)=RIGHT('112'!$M$9,2),B4034&lt;'112'!$K$9,$O4034='112'!$I$6)),"x",""))</f>
        <v/>
      </c>
      <c r="W4034" s="79" t="str">
        <f>IF(AND('341-CT'!$H$9=H4034,OR(LEFT(N4034,3)=$W$7,LEFT(O4034,3)=$W$7)),"x","")</f>
        <v/>
      </c>
      <c r="X4034" s="79" t="str">
        <f>IF(OR(TH!N4034=TH!$X$7,O4034=TH!$X$7),"x","")</f>
        <v/>
      </c>
      <c r="Y4034" s="79" t="str">
        <f>IF(AND(OR(N4034="131",O4034="131"),H4034='131-CT'!$H$9),"x","")</f>
        <v/>
      </c>
      <c r="Z4034" s="79"/>
      <c r="AA4034" s="79" t="str">
        <f>IF(AND(MONTH(E4034)='IN-NX'!$J$5,'IN-NX'!$D$7=D4034),"x","")</f>
        <v/>
      </c>
      <c r="AB4034" s="79" t="str">
        <f>IF(AND(OR(LEFT(TH!N4034,2)="15",LEFT(TH!O4034,2)="15"),LEFT(TH!O4034,3)&lt;&gt;"111",'152-CT'!$J$8=TH!F4034),"x","")</f>
        <v/>
      </c>
      <c r="AC4034" s="79" t="str">
        <f>IF(AND(OR(LEFT(TH!N4034,2)="15",LEFT(TH!O4034,2)="15"),TK!$E$7=TH!F4034),"x","")</f>
        <v/>
      </c>
      <c r="AD4034" s="79" t="str">
        <f>IF(AND(N4034="1521",MONTH(C4034)='BK-NL'!$M$11),"x","")</f>
        <v/>
      </c>
    </row>
    <row r="4035" spans="1:30" ht="16.5" customHeight="1">
      <c r="A4035" s="318" t="str">
        <f>IF(B4035&lt;&gt;"",IF(AND(B4035='IN-TC'!$S$4,OR(TH!N4035="1111",TH!O4035="1111")),TH!D4035,""),"")</f>
        <v/>
      </c>
      <c r="B4035" s="60" t="str">
        <f t="shared" si="429"/>
        <v/>
      </c>
      <c r="C4035" s="75"/>
      <c r="D4035" s="75"/>
      <c r="E4035" s="75"/>
      <c r="F4035" s="77"/>
      <c r="G4035" s="76"/>
      <c r="H4035" s="77"/>
      <c r="I4035" s="77"/>
      <c r="J4035" s="390"/>
      <c r="K4035" s="383"/>
      <c r="L4035" s="390"/>
      <c r="M4035" s="978"/>
      <c r="N4035" s="79"/>
      <c r="O4035" s="979"/>
      <c r="P4035" s="79" t="str">
        <f>IF(AND('331-CT'!$E$7=TH!H4035,OR(N4035="331",O4035="331")),"x","")</f>
        <v/>
      </c>
      <c r="Q4035" s="79" t="str">
        <f>IF(AND(B4035='111'!$L$11,OR($N4035=$Q$7,$O4035=$Q$7)),"x","")</f>
        <v/>
      </c>
      <c r="R4035" s="79" t="str">
        <f>IF(AND($N4035=$Q$7,$B4035&lt;'111'!$L$11),"x","")</f>
        <v/>
      </c>
      <c r="S4035" s="79" t="str">
        <f>IF(AND($O4035=$Q$7,$B4035&lt;'111'!$L$11),"x","")</f>
        <v/>
      </c>
      <c r="T4035" s="79" t="str">
        <f>IF(ISERROR(FIND('112'!$M$9,G4035,1)),"",IF((AND(FIND('112'!$M$9,G4035,1)&gt;=1,B4035='112'!$K$9,OR($N4035='112'!$I$6,$O4035='112'!$I$6))),"x",""))</f>
        <v/>
      </c>
      <c r="U4035" s="79" t="str">
        <f>IF(ISERROR(FIND('112'!$M$9,G4035,1)),"",IF((AND(LEFT(G4035,2)=LEFT('112'!$M$9,2),B4035&lt;'112'!$K$9,$N4035='112'!$I$6)),"x",""))</f>
        <v/>
      </c>
      <c r="V4035" s="79" t="str">
        <f>IF(ISERROR(FIND('112'!$M$9,G4035,1)),"",IF((AND(RIGHT(G4035,2)=RIGHT('112'!$M$9,2),B4035&lt;'112'!$K$9,$O4035='112'!$I$6)),"x",""))</f>
        <v/>
      </c>
      <c r="W4035" s="79" t="str">
        <f>IF(AND('341-CT'!$H$9=H4035,OR(LEFT(N4035,3)=$W$7,LEFT(O4035,3)=$W$7)),"x","")</f>
        <v/>
      </c>
      <c r="X4035" s="79" t="str">
        <f>IF(OR(TH!N4035=TH!$X$7,O4035=TH!$X$7),"x","")</f>
        <v/>
      </c>
      <c r="Y4035" s="79" t="str">
        <f>IF(AND(OR(N4035="131",O4035="131"),H4035='131-CT'!$H$9),"x","")</f>
        <v/>
      </c>
      <c r="Z4035" s="79"/>
      <c r="AA4035" s="79" t="str">
        <f>IF(AND(MONTH(E4035)='IN-NX'!$J$5,'IN-NX'!$D$7=D4035),"x","")</f>
        <v/>
      </c>
      <c r="AB4035" s="79" t="str">
        <f>IF(AND(OR(LEFT(TH!N4035,2)="15",LEFT(TH!O4035,2)="15"),LEFT(TH!O4035,3)&lt;&gt;"111",'152-CT'!$J$8=TH!F4035),"x","")</f>
        <v/>
      </c>
      <c r="AC4035" s="79" t="str">
        <f>IF(AND(OR(LEFT(TH!N4035,2)="15",LEFT(TH!O4035,2)="15"),TK!$E$7=TH!F4035),"x","")</f>
        <v/>
      </c>
      <c r="AD4035" s="79" t="str">
        <f>IF(AND(N4035="1521",MONTH(C4035)='BK-NL'!$M$11),"x","")</f>
        <v/>
      </c>
    </row>
    <row r="4036" spans="1:30" ht="16.5" customHeight="1">
      <c r="A4036" s="318" t="str">
        <f>IF(B4036&lt;&gt;"",IF(AND(B4036='IN-TC'!$S$4,OR(TH!N4036="1111",TH!O4036="1111")),TH!D4036,""),"")</f>
        <v/>
      </c>
      <c r="B4036" s="60" t="str">
        <f t="shared" si="429"/>
        <v/>
      </c>
      <c r="C4036" s="75"/>
      <c r="D4036" s="75"/>
      <c r="E4036" s="75"/>
      <c r="F4036" s="77"/>
      <c r="G4036" s="76"/>
      <c r="H4036" s="77"/>
      <c r="I4036" s="77"/>
      <c r="J4036" s="390"/>
      <c r="K4036" s="383"/>
      <c r="L4036" s="390"/>
      <c r="M4036" s="978"/>
      <c r="N4036" s="79"/>
      <c r="O4036" s="979"/>
      <c r="P4036" s="79" t="str">
        <f>IF(AND('331-CT'!$E$7=TH!H4036,OR(N4036="331",O4036="331")),"x","")</f>
        <v/>
      </c>
      <c r="Q4036" s="79" t="str">
        <f>IF(AND(B4036='111'!$L$11,OR($N4036=$Q$7,$O4036=$Q$7)),"x","")</f>
        <v/>
      </c>
      <c r="R4036" s="79" t="str">
        <f>IF(AND($N4036=$Q$7,$B4036&lt;'111'!$L$11),"x","")</f>
        <v/>
      </c>
      <c r="S4036" s="79" t="str">
        <f>IF(AND($O4036=$Q$7,$B4036&lt;'111'!$L$11),"x","")</f>
        <v/>
      </c>
      <c r="T4036" s="79" t="str">
        <f>IF(ISERROR(FIND('112'!$M$9,G4036,1)),"",IF((AND(FIND('112'!$M$9,G4036,1)&gt;=1,B4036='112'!$K$9,OR($N4036='112'!$I$6,$O4036='112'!$I$6))),"x",""))</f>
        <v/>
      </c>
      <c r="U4036" s="79" t="str">
        <f>IF(ISERROR(FIND('112'!$M$9,G4036,1)),"",IF((AND(LEFT(G4036,2)=LEFT('112'!$M$9,2),B4036&lt;'112'!$K$9,$N4036='112'!$I$6)),"x",""))</f>
        <v/>
      </c>
      <c r="V4036" s="79" t="str">
        <f>IF(ISERROR(FIND('112'!$M$9,G4036,1)),"",IF((AND(RIGHT(G4036,2)=RIGHT('112'!$M$9,2),B4036&lt;'112'!$K$9,$O4036='112'!$I$6)),"x",""))</f>
        <v/>
      </c>
      <c r="W4036" s="79" t="str">
        <f>IF(AND('341-CT'!$H$9=H4036,OR(LEFT(N4036,3)=$W$7,LEFT(O4036,3)=$W$7)),"x","")</f>
        <v/>
      </c>
      <c r="X4036" s="79" t="str">
        <f>IF(OR(TH!N4036=TH!$X$7,O4036=TH!$X$7),"x","")</f>
        <v/>
      </c>
      <c r="Y4036" s="79" t="str">
        <f>IF(AND(OR(N4036="131",O4036="131"),H4036='131-CT'!$H$9),"x","")</f>
        <v/>
      </c>
      <c r="Z4036" s="79"/>
      <c r="AA4036" s="79" t="str">
        <f>IF(AND(MONTH(E4036)='IN-NX'!$J$5,'IN-NX'!$D$7=D4036),"x","")</f>
        <v/>
      </c>
      <c r="AB4036" s="79" t="str">
        <f>IF(AND(OR(LEFT(TH!N4036,2)="15",LEFT(TH!O4036,2)="15"),LEFT(TH!O4036,3)&lt;&gt;"111",'152-CT'!$J$8=TH!F4036),"x","")</f>
        <v/>
      </c>
      <c r="AC4036" s="79" t="str">
        <f>IF(AND(OR(LEFT(TH!N4036,2)="15",LEFT(TH!O4036,2)="15"),TK!$E$7=TH!F4036),"x","")</f>
        <v/>
      </c>
      <c r="AD4036" s="79" t="str">
        <f>IF(AND(N4036="1521",MONTH(C4036)='BK-NL'!$M$11),"x","")</f>
        <v/>
      </c>
    </row>
    <row r="4037" spans="1:30" ht="16.5" customHeight="1">
      <c r="A4037" s="318" t="str">
        <f>IF(B4037&lt;&gt;"",IF(AND(B4037='IN-TC'!$S$4,OR(TH!N4037="1111",TH!O4037="1111")),TH!D4037,""),"")</f>
        <v/>
      </c>
      <c r="B4037" s="60" t="str">
        <f t="shared" si="429"/>
        <v/>
      </c>
      <c r="C4037" s="75"/>
      <c r="D4037" s="75"/>
      <c r="E4037" s="75"/>
      <c r="F4037" s="77"/>
      <c r="G4037" s="76"/>
      <c r="H4037" s="77"/>
      <c r="I4037" s="77"/>
      <c r="J4037" s="390"/>
      <c r="K4037" s="383"/>
      <c r="L4037" s="390"/>
      <c r="M4037" s="978"/>
      <c r="N4037" s="79"/>
      <c r="O4037" s="979"/>
      <c r="P4037" s="79" t="str">
        <f>IF(AND('331-CT'!$E$7=TH!H4037,OR(N4037="331",O4037="331")),"x","")</f>
        <v/>
      </c>
      <c r="Q4037" s="79" t="str">
        <f>IF(AND(B4037='111'!$L$11,OR($N4037=$Q$7,$O4037=$Q$7)),"x","")</f>
        <v/>
      </c>
      <c r="R4037" s="79" t="str">
        <f>IF(AND($N4037=$Q$7,$B4037&lt;'111'!$L$11),"x","")</f>
        <v/>
      </c>
      <c r="S4037" s="79" t="str">
        <f>IF(AND($O4037=$Q$7,$B4037&lt;'111'!$L$11),"x","")</f>
        <v/>
      </c>
      <c r="T4037" s="79" t="str">
        <f>IF(ISERROR(FIND('112'!$M$9,G4037,1)),"",IF((AND(FIND('112'!$M$9,G4037,1)&gt;=1,B4037='112'!$K$9,OR($N4037='112'!$I$6,$O4037='112'!$I$6))),"x",""))</f>
        <v/>
      </c>
      <c r="U4037" s="79" t="str">
        <f>IF(ISERROR(FIND('112'!$M$9,G4037,1)),"",IF((AND(LEFT(G4037,2)=LEFT('112'!$M$9,2),B4037&lt;'112'!$K$9,$N4037='112'!$I$6)),"x",""))</f>
        <v/>
      </c>
      <c r="V4037" s="79" t="str">
        <f>IF(ISERROR(FIND('112'!$M$9,G4037,1)),"",IF((AND(RIGHT(G4037,2)=RIGHT('112'!$M$9,2),B4037&lt;'112'!$K$9,$O4037='112'!$I$6)),"x",""))</f>
        <v/>
      </c>
      <c r="W4037" s="79" t="str">
        <f>IF(AND('341-CT'!$H$9=H4037,OR(LEFT(N4037,3)=$W$7,LEFT(O4037,3)=$W$7)),"x","")</f>
        <v/>
      </c>
      <c r="X4037" s="79" t="str">
        <f>IF(OR(TH!N4037=TH!$X$7,O4037=TH!$X$7),"x","")</f>
        <v/>
      </c>
      <c r="Y4037" s="79" t="str">
        <f>IF(AND(OR(N4037="131",O4037="131"),H4037='131-CT'!$H$9),"x","")</f>
        <v/>
      </c>
      <c r="Z4037" s="79"/>
      <c r="AA4037" s="79" t="str">
        <f>IF(AND(MONTH(E4037)='IN-NX'!$J$5,'IN-NX'!$D$7=D4037),"x","")</f>
        <v/>
      </c>
      <c r="AB4037" s="79" t="str">
        <f>IF(AND(OR(LEFT(TH!N4037,2)="15",LEFT(TH!O4037,2)="15"),LEFT(TH!O4037,3)&lt;&gt;"111",'152-CT'!$J$8=TH!F4037),"x","")</f>
        <v/>
      </c>
      <c r="AC4037" s="79" t="str">
        <f>IF(AND(OR(LEFT(TH!N4037,2)="15",LEFT(TH!O4037,2)="15"),TK!$E$7=TH!F4037),"x","")</f>
        <v/>
      </c>
      <c r="AD4037" s="79" t="str">
        <f>IF(AND(N4037="1521",MONTH(C4037)='BK-NL'!$M$11),"x","")</f>
        <v/>
      </c>
    </row>
    <row r="4038" spans="1:30" ht="16.5" customHeight="1">
      <c r="A4038" s="318" t="str">
        <f>IF(B4038&lt;&gt;"",IF(AND(B4038='IN-TC'!$S$4,OR(TH!N4038="1111",TH!O4038="1111")),TH!D4038,""),"")</f>
        <v/>
      </c>
      <c r="B4038" s="60" t="str">
        <f t="shared" si="429"/>
        <v/>
      </c>
      <c r="C4038" s="75"/>
      <c r="D4038" s="75"/>
      <c r="E4038" s="75"/>
      <c r="F4038" s="77"/>
      <c r="G4038" s="76"/>
      <c r="H4038" s="77"/>
      <c r="I4038" s="77"/>
      <c r="J4038" s="390"/>
      <c r="K4038" s="383"/>
      <c r="L4038" s="390"/>
      <c r="M4038" s="978"/>
      <c r="N4038" s="79"/>
      <c r="O4038" s="979"/>
      <c r="P4038" s="79" t="str">
        <f>IF(AND('331-CT'!$E$7=TH!H4038,OR(N4038="331",O4038="331")),"x","")</f>
        <v/>
      </c>
      <c r="Q4038" s="79" t="str">
        <f>IF(AND(B4038='111'!$L$11,OR($N4038=$Q$7,$O4038=$Q$7)),"x","")</f>
        <v/>
      </c>
      <c r="R4038" s="79" t="str">
        <f>IF(AND($N4038=$Q$7,$B4038&lt;'111'!$L$11),"x","")</f>
        <v/>
      </c>
      <c r="S4038" s="79" t="str">
        <f>IF(AND($O4038=$Q$7,$B4038&lt;'111'!$L$11),"x","")</f>
        <v/>
      </c>
      <c r="T4038" s="79" t="str">
        <f>IF(ISERROR(FIND('112'!$M$9,G4038,1)),"",IF((AND(FIND('112'!$M$9,G4038,1)&gt;=1,B4038='112'!$K$9,OR($N4038='112'!$I$6,$O4038='112'!$I$6))),"x",""))</f>
        <v/>
      </c>
      <c r="U4038" s="79" t="str">
        <f>IF(ISERROR(FIND('112'!$M$9,G4038,1)),"",IF((AND(LEFT(G4038,2)=LEFT('112'!$M$9,2),B4038&lt;'112'!$K$9,$N4038='112'!$I$6)),"x",""))</f>
        <v/>
      </c>
      <c r="V4038" s="79" t="str">
        <f>IF(ISERROR(FIND('112'!$M$9,G4038,1)),"",IF((AND(RIGHT(G4038,2)=RIGHT('112'!$M$9,2),B4038&lt;'112'!$K$9,$O4038='112'!$I$6)),"x",""))</f>
        <v/>
      </c>
      <c r="W4038" s="79" t="str">
        <f>IF(AND('341-CT'!$H$9=H4038,OR(LEFT(N4038,3)=$W$7,LEFT(O4038,3)=$W$7)),"x","")</f>
        <v/>
      </c>
      <c r="X4038" s="79" t="str">
        <f>IF(OR(TH!N4038=TH!$X$7,O4038=TH!$X$7),"x","")</f>
        <v/>
      </c>
      <c r="Y4038" s="79" t="str">
        <f>IF(AND(OR(N4038="131",O4038="131"),H4038='131-CT'!$H$9),"x","")</f>
        <v/>
      </c>
      <c r="Z4038" s="79"/>
      <c r="AA4038" s="79" t="str">
        <f>IF(AND(MONTH(E4038)='IN-NX'!$J$5,'IN-NX'!$D$7=D4038),"x","")</f>
        <v/>
      </c>
      <c r="AB4038" s="79" t="str">
        <f>IF(AND(OR(LEFT(TH!N4038,2)="15",LEFT(TH!O4038,2)="15"),LEFT(TH!O4038,3)&lt;&gt;"111",'152-CT'!$J$8=TH!F4038),"x","")</f>
        <v/>
      </c>
      <c r="AC4038" s="79" t="str">
        <f>IF(AND(OR(LEFT(TH!N4038,2)="15",LEFT(TH!O4038,2)="15"),TK!$E$7=TH!F4038),"x","")</f>
        <v/>
      </c>
      <c r="AD4038" s="79" t="str">
        <f>IF(AND(N4038="1521",MONTH(C4038)='BK-NL'!$M$11),"x","")</f>
        <v/>
      </c>
    </row>
    <row r="4039" spans="1:30" ht="16.5" customHeight="1">
      <c r="A4039" s="318" t="str">
        <f>IF(B4039&lt;&gt;"",IF(AND(B4039='IN-TC'!$S$4,OR(TH!N4039="1111",TH!O4039="1111")),TH!D4039,""),"")</f>
        <v/>
      </c>
      <c r="B4039" s="60" t="str">
        <f t="shared" si="429"/>
        <v/>
      </c>
      <c r="C4039" s="75"/>
      <c r="D4039" s="75"/>
      <c r="E4039" s="75"/>
      <c r="F4039" s="76"/>
      <c r="G4039" s="76"/>
      <c r="H4039" s="77"/>
      <c r="I4039" s="77"/>
      <c r="J4039" s="391"/>
      <c r="K4039" s="1247"/>
      <c r="L4039" s="1248"/>
      <c r="M4039" s="978"/>
      <c r="N4039" s="79"/>
      <c r="O4039" s="979"/>
      <c r="P4039" s="79" t="str">
        <f>IF(AND('331-CT'!$E$7=TH!H4039,OR(N4039="331",O4039="331")),"x","")</f>
        <v/>
      </c>
      <c r="Q4039" s="79" t="str">
        <f>IF(AND(B4039='111'!$L$11,OR($N4039=$Q$7,$O4039=$Q$7)),"x","")</f>
        <v/>
      </c>
      <c r="R4039" s="79" t="str">
        <f>IF(AND($N4039=$Q$7,$B4039&lt;'111'!$L$11),"x","")</f>
        <v/>
      </c>
      <c r="S4039" s="79" t="str">
        <f>IF(AND($O4039=$Q$7,$B4039&lt;'111'!$L$11),"x","")</f>
        <v/>
      </c>
      <c r="T4039" s="79" t="str">
        <f>IF(ISERROR(FIND('112'!$M$9,G4039,1)),"",IF((AND(FIND('112'!$M$9,G4039,1)&gt;=1,B4039='112'!$K$9,OR($N4039='112'!$I$6,$O4039='112'!$I$6))),"x",""))</f>
        <v/>
      </c>
      <c r="U4039" s="79" t="str">
        <f>IF(ISERROR(FIND('112'!$M$9,G4039,1)),"",IF((AND(LEFT(G4039,2)=LEFT('112'!$M$9,2),B4039&lt;'112'!$K$9,$N4039='112'!$I$6)),"x",""))</f>
        <v/>
      </c>
      <c r="V4039" s="79" t="str">
        <f>IF(ISERROR(FIND('112'!$M$9,G4039,1)),"",IF((AND(RIGHT(G4039,2)=RIGHT('112'!$M$9,2),B4039&lt;'112'!$K$9,$O4039='112'!$I$6)),"x",""))</f>
        <v/>
      </c>
      <c r="W4039" s="79" t="str">
        <f>IF(AND('341-CT'!$H$9=H4039,OR(LEFT(N4039,3)=$W$7,LEFT(O4039,3)=$W$7)),"x","")</f>
        <v/>
      </c>
      <c r="X4039" s="79" t="str">
        <f>IF(OR(TH!N4039=TH!$X$7,O4039=TH!$X$7),"x","")</f>
        <v/>
      </c>
      <c r="Y4039" s="79" t="str">
        <f>IF(AND(OR(N4039="131",O4039="131"),H4039='131-CT'!$H$9),"x","")</f>
        <v/>
      </c>
      <c r="Z4039" s="79"/>
      <c r="AA4039" s="79" t="str">
        <f>IF(AND(MONTH(E4039)='IN-NX'!$J$5,'IN-NX'!$D$7=D4039),"x","")</f>
        <v/>
      </c>
      <c r="AB4039" s="79" t="str">
        <f>IF(AND(OR(LEFT(TH!N4039,2)="15",LEFT(TH!O4039,2)="15"),LEFT(TH!O4039,3)&lt;&gt;"111",'152-CT'!$J$8=TH!F4039),"x","")</f>
        <v/>
      </c>
      <c r="AC4039" s="79" t="str">
        <f>IF(AND(OR(LEFT(TH!N4039,2)="15",LEFT(TH!O4039,2)="15"),TK!$E$7=TH!F4039),"x","")</f>
        <v/>
      </c>
      <c r="AD4039" s="79" t="str">
        <f>IF(AND(N4039="1521",MONTH(C4039)='BK-NL'!$M$11),"x","")</f>
        <v/>
      </c>
    </row>
    <row r="4040" spans="1:30" ht="16.5" customHeight="1">
      <c r="A4040" s="318" t="str">
        <f>IF(B4040&lt;&gt;"",IF(AND(B4040='IN-TC'!$S$4,OR(TH!N4040="1111",TH!O4040="1111")),TH!D4040,""),"")</f>
        <v/>
      </c>
      <c r="B4040" s="60" t="str">
        <f t="shared" si="429"/>
        <v/>
      </c>
      <c r="C4040" s="75"/>
      <c r="D4040" s="75"/>
      <c r="E4040" s="75"/>
      <c r="F4040" s="76"/>
      <c r="G4040" s="76"/>
      <c r="H4040" s="77"/>
      <c r="I4040" s="77"/>
      <c r="J4040" s="391"/>
      <c r="K4040" s="1247"/>
      <c r="L4040" s="1248"/>
      <c r="M4040" s="978"/>
      <c r="N4040" s="79"/>
      <c r="O4040" s="979"/>
      <c r="P4040" s="79" t="str">
        <f>IF(AND('331-CT'!$E$7=TH!H4040,OR(N4040="331",O4040="331")),"x","")</f>
        <v/>
      </c>
      <c r="Q4040" s="79" t="str">
        <f>IF(AND(B4040='111'!$L$11,OR($N4040=$Q$7,$O4040=$Q$7)),"x","")</f>
        <v/>
      </c>
      <c r="R4040" s="79" t="str">
        <f>IF(AND($N4040=$Q$7,$B4040&lt;'111'!$L$11),"x","")</f>
        <v/>
      </c>
      <c r="S4040" s="79" t="str">
        <f>IF(AND($O4040=$Q$7,$B4040&lt;'111'!$L$11),"x","")</f>
        <v/>
      </c>
      <c r="T4040" s="79" t="str">
        <f>IF(ISERROR(FIND('112'!$M$9,G4040,1)),"",IF((AND(FIND('112'!$M$9,G4040,1)&gt;=1,B4040='112'!$K$9,OR($N4040='112'!$I$6,$O4040='112'!$I$6))),"x",""))</f>
        <v/>
      </c>
      <c r="U4040" s="79" t="str">
        <f>IF(ISERROR(FIND('112'!$M$9,G4040,1)),"",IF((AND(LEFT(G4040,2)=LEFT('112'!$M$9,2),B4040&lt;'112'!$K$9,$N4040='112'!$I$6)),"x",""))</f>
        <v/>
      </c>
      <c r="V4040" s="79" t="str">
        <f>IF(ISERROR(FIND('112'!$M$9,G4040,1)),"",IF((AND(RIGHT(G4040,2)=RIGHT('112'!$M$9,2),B4040&lt;'112'!$K$9,$O4040='112'!$I$6)),"x",""))</f>
        <v/>
      </c>
      <c r="W4040" s="79" t="str">
        <f>IF(AND('341-CT'!$H$9=H4040,OR(LEFT(N4040,3)=$W$7,LEFT(O4040,3)=$W$7)),"x","")</f>
        <v/>
      </c>
      <c r="X4040" s="79" t="str">
        <f>IF(OR(TH!N4040=TH!$X$7,O4040=TH!$X$7),"x","")</f>
        <v/>
      </c>
      <c r="Y4040" s="79" t="str">
        <f>IF(AND(OR(N4040="131",O4040="131"),H4040='131-CT'!$H$9),"x","")</f>
        <v/>
      </c>
      <c r="Z4040" s="79"/>
      <c r="AA4040" s="79" t="str">
        <f>IF(AND(MONTH(E4040)='IN-NX'!$J$5,'IN-NX'!$D$7=D4040),"x","")</f>
        <v/>
      </c>
      <c r="AB4040" s="79" t="str">
        <f>IF(AND(OR(LEFT(TH!N4040,2)="15",LEFT(TH!O4040,2)="15"),LEFT(TH!O4040,3)&lt;&gt;"111",'152-CT'!$J$8=TH!F4040),"x","")</f>
        <v/>
      </c>
      <c r="AC4040" s="79" t="str">
        <f>IF(AND(OR(LEFT(TH!N4040,2)="15",LEFT(TH!O4040,2)="15"),TK!$E$7=TH!F4040),"x","")</f>
        <v/>
      </c>
      <c r="AD4040" s="79" t="str">
        <f>IF(AND(N4040="1521",MONTH(C4040)='BK-NL'!$M$11),"x","")</f>
        <v/>
      </c>
    </row>
    <row r="4041" spans="1:30" ht="16.5" customHeight="1">
      <c r="A4041" s="318" t="str">
        <f>IF(B4041&lt;&gt;"",IF(AND(B4041='IN-TC'!$S$4,OR(TH!N4041="1111",TH!O4041="1111")),TH!D4041,""),"")</f>
        <v/>
      </c>
      <c r="B4041" s="60" t="str">
        <f t="shared" ref="B4041" si="431">IF(C4041&lt;&gt;"",MONTH(C4041),"")</f>
        <v/>
      </c>
      <c r="C4041" s="75"/>
      <c r="D4041" s="75"/>
      <c r="E4041" s="75"/>
      <c r="F4041" s="76"/>
      <c r="G4041" s="76"/>
      <c r="H4041" s="77"/>
      <c r="I4041" s="77"/>
      <c r="J4041" s="391"/>
      <c r="K4041" s="1247"/>
      <c r="L4041" s="1248"/>
      <c r="M4041" s="978"/>
      <c r="N4041" s="79"/>
      <c r="O4041" s="979"/>
      <c r="P4041" s="79" t="str">
        <f>IF(AND('331-CT'!$E$7=TH!H4041,OR(N4041="331",O4041="331")),"x","")</f>
        <v/>
      </c>
      <c r="Q4041" s="79" t="str">
        <f>IF(AND(B4041='111'!$L$11,OR($N4041=$Q$7,$O4041=$Q$7)),"x","")</f>
        <v/>
      </c>
      <c r="R4041" s="79" t="str">
        <f>IF(AND($N4041=$Q$7,$B4041&lt;'111'!$L$11),"x","")</f>
        <v/>
      </c>
      <c r="S4041" s="79" t="str">
        <f>IF(AND($O4041=$Q$7,$B4041&lt;'111'!$L$11),"x","")</f>
        <v/>
      </c>
      <c r="T4041" s="79" t="str">
        <f>IF(ISERROR(FIND('112'!$M$9,G4041,1)),"",IF((AND(FIND('112'!$M$9,G4041,1)&gt;=1,B4041='112'!$K$9,OR($N4041='112'!$I$6,$O4041='112'!$I$6))),"x",""))</f>
        <v/>
      </c>
      <c r="U4041" s="79" t="str">
        <f>IF(ISERROR(FIND('112'!$M$9,G4041,1)),"",IF((AND(LEFT(G4041,2)=LEFT('112'!$M$9,2),B4041&lt;'112'!$K$9,$N4041='112'!$I$6)),"x",""))</f>
        <v/>
      </c>
      <c r="V4041" s="79" t="str">
        <f>IF(ISERROR(FIND('112'!$M$9,G4041,1)),"",IF((AND(RIGHT(G4041,2)=RIGHT('112'!$M$9,2),B4041&lt;'112'!$K$9,$O4041='112'!$I$6)),"x",""))</f>
        <v/>
      </c>
      <c r="W4041" s="79" t="str">
        <f>IF(AND('341-CT'!$H$9=H4041,OR(LEFT(N4041,3)=$W$7,LEFT(O4041,3)=$W$7)),"x","")</f>
        <v/>
      </c>
      <c r="X4041" s="79" t="str">
        <f>IF(OR(TH!N4041=TH!$X$7,O4041=TH!$X$7),"x","")</f>
        <v/>
      </c>
      <c r="Y4041" s="79" t="str">
        <f>IF(AND(OR(N4041="131",O4041="131"),H4041='131-CT'!$H$9),"x","")</f>
        <v/>
      </c>
      <c r="Z4041" s="79"/>
      <c r="AA4041" s="79" t="str">
        <f>IF(AND(MONTH(E4041)='IN-NX'!$J$5,'IN-NX'!$D$7=D4041),"x","")</f>
        <v/>
      </c>
      <c r="AB4041" s="79" t="str">
        <f>IF(AND(OR(LEFT(TH!N4041,2)="15",LEFT(TH!O4041,2)="15"),LEFT(TH!O4041,3)&lt;&gt;"111",'152-CT'!$J$8=TH!F4041),"x","")</f>
        <v/>
      </c>
      <c r="AC4041" s="79" t="str">
        <f>IF(AND(OR(LEFT(TH!N4041,2)="15",LEFT(TH!O4041,2)="15"),TK!$E$7=TH!F4041),"x","")</f>
        <v/>
      </c>
      <c r="AD4041" s="79" t="str">
        <f>IF(AND(N4041="1521",MONTH(C4041)='BK-NL'!$M$11),"x","")</f>
        <v/>
      </c>
    </row>
    <row r="4042" spans="1:30" ht="16.5" customHeight="1">
      <c r="A4042" s="318" t="str">
        <f>IF(B4042&lt;&gt;"",IF(AND(B4042='IN-TC'!$S$4,OR(TH!N4042="1111",TH!O4042="1111")),TH!D4042,""),"")</f>
        <v/>
      </c>
      <c r="B4042" s="60" t="str">
        <f t="shared" si="429"/>
        <v/>
      </c>
      <c r="C4042" s="75"/>
      <c r="D4042" s="75"/>
      <c r="E4042" s="75"/>
      <c r="F4042" s="76"/>
      <c r="G4042" s="76"/>
      <c r="H4042" s="77"/>
      <c r="I4042" s="77"/>
      <c r="J4042" s="391"/>
      <c r="K4042" s="1247"/>
      <c r="L4042" s="1248"/>
      <c r="M4042" s="978"/>
      <c r="N4042" s="79"/>
      <c r="O4042" s="979"/>
      <c r="P4042" s="79" t="str">
        <f>IF(AND('331-CT'!$E$7=TH!H4042,OR(N4042="331",O4042="331")),"x","")</f>
        <v/>
      </c>
      <c r="Q4042" s="79" t="str">
        <f>IF(AND(B4042='111'!$L$11,OR($N4042=$Q$7,$O4042=$Q$7)),"x","")</f>
        <v/>
      </c>
      <c r="R4042" s="79" t="str">
        <f>IF(AND($N4042=$Q$7,$B4042&lt;'111'!$L$11),"x","")</f>
        <v/>
      </c>
      <c r="S4042" s="79" t="str">
        <f>IF(AND($O4042=$Q$7,$B4042&lt;'111'!$L$11),"x","")</f>
        <v/>
      </c>
      <c r="T4042" s="79" t="str">
        <f>IF(ISERROR(FIND('112'!$M$9,G4042,1)),"",IF((AND(FIND('112'!$M$9,G4042,1)&gt;=1,B4042='112'!$K$9,OR($N4042='112'!$I$6,$O4042='112'!$I$6))),"x",""))</f>
        <v/>
      </c>
      <c r="U4042" s="79" t="str">
        <f>IF(ISERROR(FIND('112'!$M$9,G4042,1)),"",IF((AND(LEFT(G4042,2)=LEFT('112'!$M$9,2),B4042&lt;'112'!$K$9,$N4042='112'!$I$6)),"x",""))</f>
        <v/>
      </c>
      <c r="V4042" s="79" t="str">
        <f>IF(ISERROR(FIND('112'!$M$9,G4042,1)),"",IF((AND(RIGHT(G4042,2)=RIGHT('112'!$M$9,2),B4042&lt;'112'!$K$9,$O4042='112'!$I$6)),"x",""))</f>
        <v/>
      </c>
      <c r="W4042" s="79" t="str">
        <f>IF(AND('341-CT'!$H$9=H4042,OR(LEFT(N4042,3)=$W$7,LEFT(O4042,3)=$W$7)),"x","")</f>
        <v/>
      </c>
      <c r="X4042" s="79" t="str">
        <f>IF(OR(TH!N4042=TH!$X$7,O4042=TH!$X$7),"x","")</f>
        <v/>
      </c>
      <c r="Y4042" s="79" t="str">
        <f>IF(AND(OR(N4042="131",O4042="131"),H4042='131-CT'!$H$9),"x","")</f>
        <v/>
      </c>
      <c r="Z4042" s="79"/>
      <c r="AA4042" s="79" t="str">
        <f>IF(AND(MONTH(E4042)='IN-NX'!$J$5,'IN-NX'!$D$7=D4042),"x","")</f>
        <v/>
      </c>
      <c r="AB4042" s="79" t="str">
        <f>IF(AND(OR(LEFT(TH!N4042,2)="15",LEFT(TH!O4042,2)="15"),LEFT(TH!O4042,3)&lt;&gt;"111",'152-CT'!$J$8=TH!F4042),"x","")</f>
        <v/>
      </c>
      <c r="AC4042" s="79" t="str">
        <f>IF(AND(OR(LEFT(TH!N4042,2)="15",LEFT(TH!O4042,2)="15"),TK!$E$7=TH!F4042),"x","")</f>
        <v/>
      </c>
      <c r="AD4042" s="79" t="str">
        <f>IF(AND(N4042="1521",MONTH(C4042)='BK-NL'!$M$11),"x","")</f>
        <v/>
      </c>
    </row>
    <row r="4043" spans="1:30" ht="16.5" customHeight="1">
      <c r="A4043" s="318" t="str">
        <f>IF(B4043&lt;&gt;"",IF(AND(B4043='IN-TC'!$S$4,OR(TH!N4043="1111",TH!O4043="1111")),TH!D4043,""),"")</f>
        <v/>
      </c>
      <c r="B4043" s="60" t="str">
        <f t="shared" si="429"/>
        <v/>
      </c>
      <c r="C4043" s="75"/>
      <c r="D4043" s="75"/>
      <c r="E4043" s="75"/>
      <c r="F4043" s="76"/>
      <c r="G4043" s="76"/>
      <c r="H4043" s="77"/>
      <c r="I4043" s="77"/>
      <c r="J4043" s="391"/>
      <c r="K4043" s="383"/>
      <c r="L4043" s="1248"/>
      <c r="M4043" s="978"/>
      <c r="N4043" s="79"/>
      <c r="O4043" s="979"/>
      <c r="P4043" s="79" t="str">
        <f>IF(AND('331-CT'!$E$7=TH!H4043,OR(N4043="331",O4043="331")),"x","")</f>
        <v/>
      </c>
      <c r="Q4043" s="79" t="str">
        <f>IF(AND(B4043='111'!$L$11,OR($N4043=$Q$7,$O4043=$Q$7)),"x","")</f>
        <v/>
      </c>
      <c r="R4043" s="79" t="str">
        <f>IF(AND($N4043=$Q$7,$B4043&lt;'111'!$L$11),"x","")</f>
        <v/>
      </c>
      <c r="S4043" s="79" t="str">
        <f>IF(AND($O4043=$Q$7,$B4043&lt;'111'!$L$11),"x","")</f>
        <v/>
      </c>
      <c r="T4043" s="79" t="str">
        <f>IF(ISERROR(FIND('112'!$M$9,G4043,1)),"",IF((AND(FIND('112'!$M$9,G4043,1)&gt;=1,B4043='112'!$K$9,OR($N4043='112'!$I$6,$O4043='112'!$I$6))),"x",""))</f>
        <v/>
      </c>
      <c r="U4043" s="79" t="str">
        <f>IF(ISERROR(FIND('112'!$M$9,G4043,1)),"",IF((AND(LEFT(G4043,2)=LEFT('112'!$M$9,2),B4043&lt;'112'!$K$9,$N4043='112'!$I$6)),"x",""))</f>
        <v/>
      </c>
      <c r="V4043" s="79" t="str">
        <f>IF(ISERROR(FIND('112'!$M$9,G4043,1)),"",IF((AND(RIGHT(G4043,2)=RIGHT('112'!$M$9,2),B4043&lt;'112'!$K$9,$O4043='112'!$I$6)),"x",""))</f>
        <v/>
      </c>
      <c r="W4043" s="79" t="str">
        <f>IF(AND('341-CT'!$H$9=H4043,OR(LEFT(N4043,3)=$W$7,LEFT(O4043,3)=$W$7)),"x","")</f>
        <v/>
      </c>
      <c r="X4043" s="79" t="str">
        <f>IF(OR(TH!N4043=TH!$X$7,O4043=TH!$X$7),"x","")</f>
        <v/>
      </c>
      <c r="Y4043" s="79" t="str">
        <f>IF(AND(OR(N4043="131",O4043="131"),H4043='131-CT'!$H$9),"x","")</f>
        <v/>
      </c>
      <c r="Z4043" s="79"/>
      <c r="AA4043" s="79" t="str">
        <f>IF(AND(MONTH(E4043)='IN-NX'!$J$5,'IN-NX'!$D$7=D4043),"x","")</f>
        <v/>
      </c>
      <c r="AB4043" s="79" t="str">
        <f>IF(AND(OR(LEFT(TH!N4043,2)="15",LEFT(TH!O4043,2)="15"),LEFT(TH!O4043,3)&lt;&gt;"111",'152-CT'!$J$8=TH!F4043),"x","")</f>
        <v/>
      </c>
      <c r="AC4043" s="79" t="str">
        <f>IF(AND(OR(LEFT(TH!N4043,2)="15",LEFT(TH!O4043,2)="15"),TK!$E$7=TH!F4043),"x","")</f>
        <v/>
      </c>
      <c r="AD4043" s="79" t="str">
        <f>IF(AND(N4043="1521",MONTH(C4043)='BK-NL'!$M$11),"x","")</f>
        <v/>
      </c>
    </row>
    <row r="4044" spans="1:30" ht="16.5" customHeight="1">
      <c r="A4044" s="318" t="str">
        <f>IF(B4044&lt;&gt;"",IF(AND(B4044='IN-TC'!$S$4,OR(TH!N4044="1111",TH!O4044="1111")),TH!D4044,""),"")</f>
        <v/>
      </c>
      <c r="B4044" s="60" t="str">
        <f t="shared" si="429"/>
        <v/>
      </c>
      <c r="C4044" s="75"/>
      <c r="D4044" s="75"/>
      <c r="E4044" s="75"/>
      <c r="F4044" s="76"/>
      <c r="G4044" s="76"/>
      <c r="H4044" s="77"/>
      <c r="I4044" s="77"/>
      <c r="J4044" s="391"/>
      <c r="K4044" s="383"/>
      <c r="L4044" s="390"/>
      <c r="M4044" s="78"/>
      <c r="N4044" s="79"/>
      <c r="O4044" s="979"/>
      <c r="P4044" s="79" t="str">
        <f>IF(AND('331-CT'!$E$7=TH!H4044,OR(N4044="331",O4044="331")),"x","")</f>
        <v/>
      </c>
      <c r="Q4044" s="79" t="str">
        <f>IF(AND(B4044='111'!$L$11,OR($N4044=$Q$7,$O4044=$Q$7)),"x","")</f>
        <v/>
      </c>
      <c r="R4044" s="79" t="str">
        <f>IF(AND($N4044=$Q$7,$B4044&lt;'111'!$L$11),"x","")</f>
        <v/>
      </c>
      <c r="S4044" s="79" t="str">
        <f>IF(AND($O4044=$Q$7,$B4044&lt;'111'!$L$11),"x","")</f>
        <v/>
      </c>
      <c r="T4044" s="79" t="str">
        <f>IF(ISERROR(FIND('112'!$M$9,G4044,1)),"",IF((AND(FIND('112'!$M$9,G4044,1)&gt;=1,B4044='112'!$K$9,OR($N4044='112'!$I$6,$O4044='112'!$I$6))),"x",""))</f>
        <v/>
      </c>
      <c r="U4044" s="79" t="str">
        <f>IF(ISERROR(FIND('112'!$M$9,G4044,1)),"",IF((AND(LEFT(G4044,2)=LEFT('112'!$M$9,2),B4044&lt;'112'!$K$9,$N4044='112'!$I$6)),"x",""))</f>
        <v/>
      </c>
      <c r="V4044" s="79" t="str">
        <f>IF(ISERROR(FIND('112'!$M$9,G4044,1)),"",IF((AND(RIGHT(G4044,2)=RIGHT('112'!$M$9,2),B4044&lt;'112'!$K$9,$O4044='112'!$I$6)),"x",""))</f>
        <v/>
      </c>
      <c r="W4044" s="79" t="str">
        <f>IF(AND('341-CT'!$H$9=H4044,OR(LEFT(N4044,3)=$W$7,LEFT(O4044,3)=$W$7)),"x","")</f>
        <v/>
      </c>
      <c r="X4044" s="79" t="str">
        <f>IF(OR(TH!N4044=TH!$X$7,O4044=TH!$X$7),"x","")</f>
        <v/>
      </c>
      <c r="Y4044" s="79" t="str">
        <f>IF(AND(OR(N4044="131",O4044="131"),H4044='131-CT'!$H$9),"x","")</f>
        <v/>
      </c>
      <c r="Z4044" s="79"/>
      <c r="AA4044" s="79" t="str">
        <f>IF(AND(MONTH(E4044)='IN-NX'!$J$5,'IN-NX'!$D$7=D4044),"x","")</f>
        <v/>
      </c>
      <c r="AB4044" s="79" t="str">
        <f>IF(AND(OR(LEFT(TH!N4044,2)="15",LEFT(TH!O4044,2)="15"),LEFT(TH!O4044,3)&lt;&gt;"111",'152-CT'!$J$8=TH!F4044),"x","")</f>
        <v/>
      </c>
      <c r="AC4044" s="79" t="str">
        <f>IF(AND(OR(LEFT(TH!N4044,2)="15",LEFT(TH!O4044,2)="15"),TK!$E$7=TH!F4044),"x","")</f>
        <v/>
      </c>
      <c r="AD4044" s="79" t="str">
        <f>IF(AND(N4044="1521",MONTH(C4044)='BK-NL'!$M$11),"x","")</f>
        <v/>
      </c>
    </row>
    <row r="4045" spans="1:30" ht="16.5" customHeight="1">
      <c r="A4045" s="318" t="str">
        <f>IF(B4045&lt;&gt;"",IF(AND(B4045='IN-TC'!$S$4,OR(TH!N4045="1111",TH!O4045="1111")),TH!D4045,""),"")</f>
        <v/>
      </c>
      <c r="B4045" s="60" t="str">
        <f t="shared" si="429"/>
        <v/>
      </c>
      <c r="C4045" s="75"/>
      <c r="D4045" s="75"/>
      <c r="E4045" s="75"/>
      <c r="F4045" s="76"/>
      <c r="G4045" s="76"/>
      <c r="H4045" s="77"/>
      <c r="I4045" s="77"/>
      <c r="J4045" s="391"/>
      <c r="K4045" s="1247"/>
      <c r="L4045" s="1248"/>
      <c r="M4045" s="978"/>
      <c r="N4045" s="79"/>
      <c r="O4045" s="79"/>
      <c r="P4045" s="79" t="str">
        <f>IF(AND('331-CT'!$E$7=TH!H4045,OR(N4045="331",O4045="331")),"x","")</f>
        <v/>
      </c>
      <c r="Q4045" s="79" t="str">
        <f>IF(AND(B4045='111'!$L$11,OR($N4045=$Q$7,$O4045=$Q$7)),"x","")</f>
        <v/>
      </c>
      <c r="R4045" s="79" t="str">
        <f>IF(AND($N4045=$Q$7,$B4045&lt;'111'!$L$11),"x","")</f>
        <v/>
      </c>
      <c r="S4045" s="79" t="str">
        <f>IF(AND($O4045=$Q$7,$B4045&lt;'111'!$L$11),"x","")</f>
        <v/>
      </c>
      <c r="T4045" s="79" t="str">
        <f>IF(ISERROR(FIND('112'!$M$9,G4045,1)),"",IF((AND(FIND('112'!$M$9,G4045,1)&gt;=1,B4045='112'!$K$9,OR($N4045='112'!$I$6,$O4045='112'!$I$6))),"x",""))</f>
        <v/>
      </c>
      <c r="U4045" s="79" t="str">
        <f>IF(ISERROR(FIND('112'!$M$9,G4045,1)),"",IF((AND(LEFT(G4045,2)=LEFT('112'!$M$9,2),B4045&lt;'112'!$K$9,$N4045='112'!$I$6)),"x",""))</f>
        <v/>
      </c>
      <c r="V4045" s="79" t="str">
        <f>IF(ISERROR(FIND('112'!$M$9,G4045,1)),"",IF((AND(RIGHT(G4045,2)=RIGHT('112'!$M$9,2),B4045&lt;'112'!$K$9,$O4045='112'!$I$6)),"x",""))</f>
        <v/>
      </c>
      <c r="W4045" s="79" t="str">
        <f>IF(AND('341-CT'!$H$9=H4045,OR(LEFT(N4045,3)=$W$7,LEFT(O4045,3)=$W$7)),"x","")</f>
        <v/>
      </c>
      <c r="X4045" s="79" t="str">
        <f>IF(OR(TH!N4045=TH!$X$7,O4045=TH!$X$7),"x","")</f>
        <v/>
      </c>
      <c r="Y4045" s="79" t="str">
        <f>IF(AND(OR(N4045="131",O4045="131"),H4045='131-CT'!$H$9),"x","")</f>
        <v/>
      </c>
      <c r="Z4045" s="79"/>
      <c r="AA4045" s="79" t="str">
        <f>IF(AND(MONTH(E4045)='IN-NX'!$J$5,'IN-NX'!$D$7=D4045),"x","")</f>
        <v/>
      </c>
      <c r="AB4045" s="79" t="str">
        <f>IF(AND(OR(LEFT(TH!N4045,2)="15",LEFT(TH!O4045,2)="15"),LEFT(TH!O4045,3)&lt;&gt;"111",'152-CT'!$J$8=TH!F4045),"x","")</f>
        <v/>
      </c>
      <c r="AC4045" s="79" t="str">
        <f>IF(AND(OR(LEFT(TH!N4045,2)="15",LEFT(TH!O4045,2)="15"),TK!$E$7=TH!F4045),"x","")</f>
        <v/>
      </c>
      <c r="AD4045" s="79" t="str">
        <f>IF(AND(N4045="1521",MONTH(C4045)='BK-NL'!$M$11),"x","")</f>
        <v/>
      </c>
    </row>
    <row r="4046" spans="1:30" ht="16.5" customHeight="1">
      <c r="A4046" s="318" t="str">
        <f>IF(B4046&lt;&gt;"",IF(AND(B4046='IN-TC'!$S$4,OR(TH!N4046="1111",TH!O4046="1111")),TH!D4046,""),"")</f>
        <v/>
      </c>
      <c r="B4046" s="60" t="str">
        <f t="shared" si="429"/>
        <v/>
      </c>
      <c r="C4046" s="75"/>
      <c r="D4046" s="75"/>
      <c r="E4046" s="75"/>
      <c r="F4046" s="76"/>
      <c r="G4046" s="76"/>
      <c r="H4046" s="77"/>
      <c r="I4046" s="77"/>
      <c r="J4046" s="391"/>
      <c r="K4046" s="1247"/>
      <c r="L4046" s="1248"/>
      <c r="M4046" s="978"/>
      <c r="N4046" s="79"/>
      <c r="O4046" s="79"/>
      <c r="P4046" s="79" t="str">
        <f>IF(AND('331-CT'!$E$7=TH!H4046,OR(N4046="331",O4046="331")),"x","")</f>
        <v/>
      </c>
      <c r="Q4046" s="79" t="str">
        <f>IF(AND(B4046='111'!$L$11,OR($N4046=$Q$7,$O4046=$Q$7)),"x","")</f>
        <v/>
      </c>
      <c r="R4046" s="79" t="str">
        <f>IF(AND($N4046=$Q$7,$B4046&lt;'111'!$L$11),"x","")</f>
        <v/>
      </c>
      <c r="S4046" s="79" t="str">
        <f>IF(AND($O4046=$Q$7,$B4046&lt;'111'!$L$11),"x","")</f>
        <v/>
      </c>
      <c r="T4046" s="79" t="str">
        <f>IF(ISERROR(FIND('112'!$M$9,G4046,1)),"",IF((AND(FIND('112'!$M$9,G4046,1)&gt;=1,B4046='112'!$K$9,OR($N4046='112'!$I$6,$O4046='112'!$I$6))),"x",""))</f>
        <v/>
      </c>
      <c r="U4046" s="79" t="str">
        <f>IF(ISERROR(FIND('112'!$M$9,G4046,1)),"",IF((AND(LEFT(G4046,2)=LEFT('112'!$M$9,2),B4046&lt;'112'!$K$9,$N4046='112'!$I$6)),"x",""))</f>
        <v/>
      </c>
      <c r="V4046" s="79" t="str">
        <f>IF(ISERROR(FIND('112'!$M$9,G4046,1)),"",IF((AND(RIGHT(G4046,2)=RIGHT('112'!$M$9,2),B4046&lt;'112'!$K$9,$O4046='112'!$I$6)),"x",""))</f>
        <v/>
      </c>
      <c r="W4046" s="79" t="str">
        <f>IF(AND('341-CT'!$H$9=H4046,OR(LEFT(N4046,3)=$W$7,LEFT(O4046,3)=$W$7)),"x","")</f>
        <v/>
      </c>
      <c r="X4046" s="79" t="str">
        <f>IF(OR(TH!N4046=TH!$X$7,O4046=TH!$X$7),"x","")</f>
        <v/>
      </c>
      <c r="Y4046" s="79" t="str">
        <f>IF(AND(OR(N4046="131",O4046="131"),H4046='131-CT'!$H$9),"x","")</f>
        <v/>
      </c>
      <c r="Z4046" s="79"/>
      <c r="AA4046" s="79" t="str">
        <f>IF(AND(MONTH(E4046)='IN-NX'!$J$5,'IN-NX'!$D$7=D4046),"x","")</f>
        <v/>
      </c>
      <c r="AB4046" s="79" t="str">
        <f>IF(AND(OR(LEFT(TH!N4046,2)="15",LEFT(TH!O4046,2)="15"),LEFT(TH!O4046,3)&lt;&gt;"111",'152-CT'!$J$8=TH!F4046),"x","")</f>
        <v/>
      </c>
      <c r="AC4046" s="79" t="str">
        <f>IF(AND(OR(LEFT(TH!N4046,2)="15",LEFT(TH!O4046,2)="15"),TK!$E$7=TH!F4046),"x","")</f>
        <v/>
      </c>
      <c r="AD4046" s="79" t="str">
        <f>IF(AND(N4046="1521",MONTH(C4046)='BK-NL'!$M$11),"x","")</f>
        <v/>
      </c>
    </row>
    <row r="4047" spans="1:30" ht="16.5" customHeight="1">
      <c r="A4047" s="318" t="str">
        <f>IF(B4047&lt;&gt;"",IF(AND(B4047='IN-TC'!$S$4,OR(TH!N4047="1111",TH!O4047="1111")),TH!D4047,""),"")</f>
        <v/>
      </c>
      <c r="B4047" s="60" t="str">
        <f t="shared" si="429"/>
        <v/>
      </c>
      <c r="C4047" s="75"/>
      <c r="D4047" s="75"/>
      <c r="E4047" s="75"/>
      <c r="F4047" s="76"/>
      <c r="G4047" s="76"/>
      <c r="H4047" s="77"/>
      <c r="I4047" s="77"/>
      <c r="J4047" s="391"/>
      <c r="K4047" s="1247"/>
      <c r="L4047" s="1248"/>
      <c r="M4047" s="78"/>
      <c r="N4047" s="79"/>
      <c r="O4047" s="979"/>
      <c r="P4047" s="79" t="str">
        <f>IF(AND('331-CT'!$E$7=TH!H4047,OR(N4047="331",O4047="331")),"x","")</f>
        <v/>
      </c>
      <c r="Q4047" s="79" t="str">
        <f>IF(AND(B4047='111'!$L$11,OR($N4047=$Q$7,$O4047=$Q$7)),"x","")</f>
        <v/>
      </c>
      <c r="R4047" s="79" t="str">
        <f>IF(AND($N4047=$Q$7,$B4047&lt;'111'!$L$11),"x","")</f>
        <v/>
      </c>
      <c r="S4047" s="79" t="str">
        <f>IF(AND($O4047=$Q$7,$B4047&lt;'111'!$L$11),"x","")</f>
        <v/>
      </c>
      <c r="T4047" s="79" t="str">
        <f>IF(ISERROR(FIND('112'!$M$9,G4047,1)),"",IF((AND(FIND('112'!$M$9,G4047,1)&gt;=1,B4047='112'!$K$9,OR($N4047='112'!$I$6,$O4047='112'!$I$6))),"x",""))</f>
        <v/>
      </c>
      <c r="U4047" s="79" t="str">
        <f>IF(ISERROR(FIND('112'!$M$9,G4047,1)),"",IF((AND(LEFT(G4047,2)=LEFT('112'!$M$9,2),B4047&lt;'112'!$K$9,$N4047='112'!$I$6)),"x",""))</f>
        <v/>
      </c>
      <c r="V4047" s="79" t="str">
        <f>IF(ISERROR(FIND('112'!$M$9,G4047,1)),"",IF((AND(RIGHT(G4047,2)=RIGHT('112'!$M$9,2),B4047&lt;'112'!$K$9,$O4047='112'!$I$6)),"x",""))</f>
        <v/>
      </c>
      <c r="W4047" s="79" t="str">
        <f>IF(AND('341-CT'!$H$9=H4047,OR(LEFT(N4047,3)=$W$7,LEFT(O4047,3)=$W$7)),"x","")</f>
        <v/>
      </c>
      <c r="X4047" s="79" t="str">
        <f>IF(OR(TH!N4047=TH!$X$7,O4047=TH!$X$7),"x","")</f>
        <v/>
      </c>
      <c r="Y4047" s="79" t="str">
        <f>IF(AND(OR(N4047="131",O4047="131"),H4047='131-CT'!$H$9),"x","")</f>
        <v/>
      </c>
      <c r="Z4047" s="79"/>
      <c r="AA4047" s="79" t="str">
        <f>IF(AND(MONTH(E4047)='IN-NX'!$J$5,'IN-NX'!$D$7=D4047),"x","")</f>
        <v/>
      </c>
      <c r="AB4047" s="79" t="str">
        <f>IF(AND(OR(LEFT(TH!N4047,2)="15",LEFT(TH!O4047,2)="15"),LEFT(TH!O4047,3)&lt;&gt;"111",'152-CT'!$J$8=TH!F4047),"x","")</f>
        <v/>
      </c>
      <c r="AC4047" s="79" t="str">
        <f>IF(AND(OR(LEFT(TH!N4047,2)="15",LEFT(TH!O4047,2)="15"),TK!$E$7=TH!F4047),"x","")</f>
        <v/>
      </c>
      <c r="AD4047" s="79" t="str">
        <f>IF(AND(N4047="1521",MONTH(C4047)='BK-NL'!$M$11),"x","")</f>
        <v/>
      </c>
    </row>
    <row r="4048" spans="1:30" ht="16.5" customHeight="1">
      <c r="A4048" s="318" t="str">
        <f>IF(B4048&lt;&gt;"",IF(AND(B4048='IN-TC'!$S$4,OR(TH!N4048="1111",TH!O4048="1111")),TH!D4048,""),"")</f>
        <v/>
      </c>
      <c r="B4048" s="60" t="str">
        <f t="shared" si="429"/>
        <v/>
      </c>
      <c r="C4048" s="75"/>
      <c r="D4048" s="75"/>
      <c r="E4048" s="75"/>
      <c r="F4048" s="76"/>
      <c r="G4048" s="76"/>
      <c r="H4048" s="77"/>
      <c r="I4048" s="77"/>
      <c r="J4048" s="391"/>
      <c r="K4048" s="383"/>
      <c r="L4048" s="1248"/>
      <c r="M4048" s="978"/>
      <c r="N4048" s="79"/>
      <c r="O4048" s="979"/>
      <c r="P4048" s="79" t="str">
        <f>IF(AND('331-CT'!$E$7=TH!H4048,OR(N4048="331",O4048="331")),"x","")</f>
        <v/>
      </c>
      <c r="Q4048" s="79" t="str">
        <f>IF(AND(B4048='111'!$L$11,OR($N4048=$Q$7,$O4048=$Q$7)),"x","")</f>
        <v/>
      </c>
      <c r="R4048" s="79" t="str">
        <f>IF(AND($N4048=$Q$7,$B4048&lt;'111'!$L$11),"x","")</f>
        <v/>
      </c>
      <c r="S4048" s="79" t="str">
        <f>IF(AND($O4048=$Q$7,$B4048&lt;'111'!$L$11),"x","")</f>
        <v/>
      </c>
      <c r="T4048" s="79" t="str">
        <f>IF(ISERROR(FIND('112'!$M$9,G4048,1)),"",IF((AND(FIND('112'!$M$9,G4048,1)&gt;=1,B4048='112'!$K$9,OR($N4048='112'!$I$6,$O4048='112'!$I$6))),"x",""))</f>
        <v/>
      </c>
      <c r="U4048" s="79" t="str">
        <f>IF(ISERROR(FIND('112'!$M$9,G4048,1)),"",IF((AND(LEFT(G4048,2)=LEFT('112'!$M$9,2),B4048&lt;'112'!$K$9,$N4048='112'!$I$6)),"x",""))</f>
        <v/>
      </c>
      <c r="V4048" s="79" t="str">
        <f>IF(ISERROR(FIND('112'!$M$9,G4048,1)),"",IF((AND(RIGHT(G4048,2)=RIGHT('112'!$M$9,2),B4048&lt;'112'!$K$9,$O4048='112'!$I$6)),"x",""))</f>
        <v/>
      </c>
      <c r="W4048" s="79" t="str">
        <f>IF(AND('341-CT'!$H$9=H4048,OR(LEFT(N4048,3)=$W$7,LEFT(O4048,3)=$W$7)),"x","")</f>
        <v/>
      </c>
      <c r="X4048" s="79" t="str">
        <f>IF(OR(TH!N4048=TH!$X$7,O4048=TH!$X$7),"x","")</f>
        <v/>
      </c>
      <c r="Y4048" s="79" t="str">
        <f>IF(AND(OR(N4048="131",O4048="131"),H4048='131-CT'!$H$9),"x","")</f>
        <v/>
      </c>
      <c r="Z4048" s="79"/>
      <c r="AA4048" s="79" t="str">
        <f>IF(AND(MONTH(E4048)='IN-NX'!$J$5,'IN-NX'!$D$7=D4048),"x","")</f>
        <v/>
      </c>
      <c r="AB4048" s="79" t="str">
        <f>IF(AND(OR(LEFT(TH!N4048,2)="15",LEFT(TH!O4048,2)="15"),LEFT(TH!O4048,3)&lt;&gt;"111",'152-CT'!$J$8=TH!F4048),"x","")</f>
        <v/>
      </c>
      <c r="AC4048" s="79" t="str">
        <f>IF(AND(OR(LEFT(TH!N4048,2)="15",LEFT(TH!O4048,2)="15"),TK!$E$7=TH!F4048),"x","")</f>
        <v/>
      </c>
      <c r="AD4048" s="79" t="str">
        <f>IF(AND(N4048="1521",MONTH(C4048)='BK-NL'!$M$11),"x","")</f>
        <v/>
      </c>
    </row>
    <row r="4049" spans="1:30" ht="16.5" customHeight="1">
      <c r="A4049" s="318" t="str">
        <f>IF(B4049&lt;&gt;"",IF(AND(B4049='IN-TC'!$S$4,OR(TH!N4049="1111",TH!O4049="1111")),TH!D4049,""),"")</f>
        <v/>
      </c>
      <c r="B4049" s="60" t="str">
        <f t="shared" si="429"/>
        <v/>
      </c>
      <c r="C4049" s="75"/>
      <c r="D4049" s="75"/>
      <c r="E4049" s="75"/>
      <c r="F4049" s="76"/>
      <c r="G4049" s="76"/>
      <c r="H4049" s="77"/>
      <c r="I4049" s="77"/>
      <c r="J4049" s="391"/>
      <c r="K4049" s="383"/>
      <c r="L4049" s="1248"/>
      <c r="M4049" s="978"/>
      <c r="N4049" s="79"/>
      <c r="O4049" s="979"/>
      <c r="P4049" s="79" t="str">
        <f>IF(AND('331-CT'!$E$7=TH!H4049,OR(N4049="331",O4049="331")),"x","")</f>
        <v/>
      </c>
      <c r="Q4049" s="79" t="str">
        <f>IF(AND(B4049='111'!$L$11,OR($N4049=$Q$7,$O4049=$Q$7)),"x","")</f>
        <v/>
      </c>
      <c r="R4049" s="79" t="str">
        <f>IF(AND($N4049=$Q$7,$B4049&lt;'111'!$L$11),"x","")</f>
        <v/>
      </c>
      <c r="S4049" s="79" t="str">
        <f>IF(AND($O4049=$Q$7,$B4049&lt;'111'!$L$11),"x","")</f>
        <v/>
      </c>
      <c r="T4049" s="79" t="str">
        <f>IF(ISERROR(FIND('112'!$M$9,G4049,1)),"",IF((AND(FIND('112'!$M$9,G4049,1)&gt;=1,B4049='112'!$K$9,OR($N4049='112'!$I$6,$O4049='112'!$I$6))),"x",""))</f>
        <v/>
      </c>
      <c r="U4049" s="79" t="str">
        <f>IF(ISERROR(FIND('112'!$M$9,G4049,1)),"",IF((AND(LEFT(G4049,2)=LEFT('112'!$M$9,2),B4049&lt;'112'!$K$9,$N4049='112'!$I$6)),"x",""))</f>
        <v/>
      </c>
      <c r="V4049" s="79" t="str">
        <f>IF(ISERROR(FIND('112'!$M$9,G4049,1)),"",IF((AND(RIGHT(G4049,2)=RIGHT('112'!$M$9,2),B4049&lt;'112'!$K$9,$O4049='112'!$I$6)),"x",""))</f>
        <v/>
      </c>
      <c r="W4049" s="79" t="str">
        <f>IF(AND('341-CT'!$H$9=H4049,OR(LEFT(N4049,3)=$W$7,LEFT(O4049,3)=$W$7)),"x","")</f>
        <v/>
      </c>
      <c r="X4049" s="79" t="str">
        <f>IF(OR(TH!N4049=TH!$X$7,O4049=TH!$X$7),"x","")</f>
        <v/>
      </c>
      <c r="Y4049" s="79" t="str">
        <f>IF(AND(OR(N4049="131",O4049="131"),H4049='131-CT'!$H$9),"x","")</f>
        <v/>
      </c>
      <c r="Z4049" s="79"/>
      <c r="AA4049" s="79" t="str">
        <f>IF(AND(MONTH(E4049)='IN-NX'!$J$5,'IN-NX'!$D$7=D4049),"x","")</f>
        <v/>
      </c>
      <c r="AB4049" s="79" t="str">
        <f>IF(AND(OR(LEFT(TH!N4049,2)="15",LEFT(TH!O4049,2)="15"),LEFT(TH!O4049,3)&lt;&gt;"111",'152-CT'!$J$8=TH!F4049),"x","")</f>
        <v/>
      </c>
      <c r="AC4049" s="79" t="str">
        <f>IF(AND(OR(LEFT(TH!N4049,2)="15",LEFT(TH!O4049,2)="15"),TK!$E$7=TH!F4049),"x","")</f>
        <v/>
      </c>
      <c r="AD4049" s="79" t="str">
        <f>IF(AND(N4049="1521",MONTH(C4049)='BK-NL'!$M$11),"x","")</f>
        <v/>
      </c>
    </row>
    <row r="4050" spans="1:30" ht="16.5" customHeight="1">
      <c r="A4050" s="318" t="str">
        <f>IF(B4050&lt;&gt;"",IF(AND(B4050='IN-TC'!$S$4,OR(TH!N4050="1111",TH!O4050="1111")),TH!D4050,""),"")</f>
        <v/>
      </c>
      <c r="B4050" s="60" t="str">
        <f t="shared" si="429"/>
        <v/>
      </c>
      <c r="C4050" s="75"/>
      <c r="D4050" s="75"/>
      <c r="E4050" s="75"/>
      <c r="F4050" s="76"/>
      <c r="G4050" s="76"/>
      <c r="H4050" s="77"/>
      <c r="I4050" s="77"/>
      <c r="J4050" s="391"/>
      <c r="K4050" s="383"/>
      <c r="L4050" s="1248"/>
      <c r="M4050" s="978"/>
      <c r="N4050" s="79"/>
      <c r="O4050" s="979"/>
      <c r="P4050" s="79" t="str">
        <f>IF(AND('331-CT'!$E$7=TH!H4050,OR(N4050="331",O4050="331")),"x","")</f>
        <v/>
      </c>
      <c r="Q4050" s="79" t="str">
        <f>IF(AND(B4050='111'!$L$11,OR($N4050=$Q$7,$O4050=$Q$7)),"x","")</f>
        <v/>
      </c>
      <c r="R4050" s="79" t="str">
        <f>IF(AND($N4050=$Q$7,$B4050&lt;'111'!$L$11),"x","")</f>
        <v/>
      </c>
      <c r="S4050" s="79" t="str">
        <f>IF(AND($O4050=$Q$7,$B4050&lt;'111'!$L$11),"x","")</f>
        <v/>
      </c>
      <c r="T4050" s="79" t="str">
        <f>IF(ISERROR(FIND('112'!$M$9,G4050,1)),"",IF((AND(FIND('112'!$M$9,G4050,1)&gt;=1,B4050='112'!$K$9,OR($N4050='112'!$I$6,$O4050='112'!$I$6))),"x",""))</f>
        <v/>
      </c>
      <c r="U4050" s="79" t="str">
        <f>IF(ISERROR(FIND('112'!$M$9,G4050,1)),"",IF((AND(LEFT(G4050,2)=LEFT('112'!$M$9,2),B4050&lt;'112'!$K$9,$N4050='112'!$I$6)),"x",""))</f>
        <v/>
      </c>
      <c r="V4050" s="79" t="str">
        <f>IF(ISERROR(FIND('112'!$M$9,G4050,1)),"",IF((AND(RIGHT(G4050,2)=RIGHT('112'!$M$9,2),B4050&lt;'112'!$K$9,$O4050='112'!$I$6)),"x",""))</f>
        <v/>
      </c>
      <c r="W4050" s="79" t="str">
        <f>IF(AND('341-CT'!$H$9=H4050,OR(LEFT(N4050,3)=$W$7,LEFT(O4050,3)=$W$7)),"x","")</f>
        <v/>
      </c>
      <c r="X4050" s="79" t="str">
        <f>IF(OR(TH!N4050=TH!$X$7,O4050=TH!$X$7),"x","")</f>
        <v/>
      </c>
      <c r="Y4050" s="79" t="str">
        <f>IF(AND(OR(N4050="131",O4050="131"),H4050='131-CT'!$H$9),"x","")</f>
        <v/>
      </c>
      <c r="Z4050" s="79"/>
      <c r="AA4050" s="79" t="str">
        <f>IF(AND(MONTH(E4050)='IN-NX'!$J$5,'IN-NX'!$D$7=D4050),"x","")</f>
        <v/>
      </c>
      <c r="AB4050" s="79" t="str">
        <f>IF(AND(OR(LEFT(TH!N4050,2)="15",LEFT(TH!O4050,2)="15"),LEFT(TH!O4050,3)&lt;&gt;"111",'152-CT'!$J$8=TH!F4050),"x","")</f>
        <v/>
      </c>
      <c r="AC4050" s="79" t="str">
        <f>IF(AND(OR(LEFT(TH!N4050,2)="15",LEFT(TH!O4050,2)="15"),TK!$E$7=TH!F4050),"x","")</f>
        <v/>
      </c>
      <c r="AD4050" s="79" t="str">
        <f>IF(AND(N4050="1521",MONTH(C4050)='BK-NL'!$M$11),"x","")</f>
        <v/>
      </c>
    </row>
    <row r="4051" spans="1:30" ht="16.5" customHeight="1">
      <c r="A4051" s="318" t="str">
        <f>IF(B4051&lt;&gt;"",IF(AND(B4051='IN-TC'!$S$4,OR(TH!N4051="1111",TH!O4051="1111")),TH!D4051,""),"")</f>
        <v/>
      </c>
      <c r="B4051" s="60" t="str">
        <f t="shared" si="429"/>
        <v/>
      </c>
      <c r="C4051" s="75"/>
      <c r="D4051" s="75"/>
      <c r="E4051" s="75"/>
      <c r="F4051" s="76"/>
      <c r="G4051" s="76"/>
      <c r="H4051" s="77"/>
      <c r="I4051" s="77"/>
      <c r="J4051" s="391"/>
      <c r="K4051" s="1247"/>
      <c r="L4051" s="1248"/>
      <c r="M4051" s="978"/>
      <c r="N4051" s="79"/>
      <c r="O4051" s="79"/>
      <c r="P4051" s="79" t="str">
        <f>IF(AND('331-CT'!$E$7=TH!H4051,OR(N4051="331",O4051="331")),"x","")</f>
        <v/>
      </c>
      <c r="Q4051" s="79" t="str">
        <f>IF(AND(B4051='111'!$L$11,OR($N4051=$Q$7,$O4051=$Q$7)),"x","")</f>
        <v/>
      </c>
      <c r="R4051" s="79" t="str">
        <f>IF(AND($N4051=$Q$7,$B4051&lt;'111'!$L$11),"x","")</f>
        <v/>
      </c>
      <c r="S4051" s="79" t="str">
        <f>IF(AND($O4051=$Q$7,$B4051&lt;'111'!$L$11),"x","")</f>
        <v/>
      </c>
      <c r="T4051" s="79" t="str">
        <f>IF(ISERROR(FIND('112'!$M$9,G4051,1)),"",IF((AND(FIND('112'!$M$9,G4051,1)&gt;=1,B4051='112'!$K$9,OR($N4051='112'!$I$6,$O4051='112'!$I$6))),"x",""))</f>
        <v/>
      </c>
      <c r="U4051" s="79" t="str">
        <f>IF(ISERROR(FIND('112'!$M$9,G4051,1)),"",IF((AND(LEFT(G4051,2)=LEFT('112'!$M$9,2),B4051&lt;'112'!$K$9,$N4051='112'!$I$6)),"x",""))</f>
        <v/>
      </c>
      <c r="V4051" s="79" t="str">
        <f>IF(ISERROR(FIND('112'!$M$9,G4051,1)),"",IF((AND(RIGHT(G4051,2)=RIGHT('112'!$M$9,2),B4051&lt;'112'!$K$9,$O4051='112'!$I$6)),"x",""))</f>
        <v/>
      </c>
      <c r="W4051" s="79" t="str">
        <f>IF(AND('341-CT'!$H$9=H4051,OR(LEFT(N4051,3)=$W$7,LEFT(O4051,3)=$W$7)),"x","")</f>
        <v/>
      </c>
      <c r="X4051" s="79" t="str">
        <f>IF(OR(TH!N4051=TH!$X$7,O4051=TH!$X$7),"x","")</f>
        <v/>
      </c>
      <c r="Y4051" s="79" t="str">
        <f>IF(AND(OR(N4051="131",O4051="131"),H4051='131-CT'!$H$9),"x","")</f>
        <v/>
      </c>
      <c r="Z4051" s="79"/>
      <c r="AA4051" s="79" t="str">
        <f>IF(AND(MONTH(E4051)='IN-NX'!$J$5,'IN-NX'!$D$7=D4051),"x","")</f>
        <v/>
      </c>
      <c r="AB4051" s="79" t="str">
        <f>IF(AND(OR(LEFT(TH!N4051,2)="15",LEFT(TH!O4051,2)="15"),LEFT(TH!O4051,3)&lt;&gt;"111",'152-CT'!$J$8=TH!F4051),"x","")</f>
        <v/>
      </c>
      <c r="AC4051" s="79" t="str">
        <f>IF(AND(OR(LEFT(TH!N4051,2)="15",LEFT(TH!O4051,2)="15"),TK!$E$7=TH!F4051),"x","")</f>
        <v/>
      </c>
      <c r="AD4051" s="79" t="str">
        <f>IF(AND(N4051="1521",MONTH(C4051)='BK-NL'!$M$11),"x","")</f>
        <v/>
      </c>
    </row>
    <row r="4052" spans="1:30" ht="16.5" customHeight="1">
      <c r="A4052" s="318" t="str">
        <f>IF(B4052&lt;&gt;"",IF(AND(B4052='IN-TC'!$S$4,OR(TH!N4052="1111",TH!O4052="1111")),TH!D4052,""),"")</f>
        <v/>
      </c>
      <c r="B4052" s="60" t="str">
        <f t="shared" si="429"/>
        <v/>
      </c>
      <c r="C4052" s="75"/>
      <c r="D4052" s="75"/>
      <c r="E4052" s="75"/>
      <c r="F4052" s="76"/>
      <c r="G4052" s="76"/>
      <c r="H4052" s="77"/>
      <c r="I4052" s="77"/>
      <c r="J4052" s="391"/>
      <c r="K4052" s="1247"/>
      <c r="L4052" s="1248"/>
      <c r="M4052" s="978"/>
      <c r="N4052" s="79"/>
      <c r="O4052" s="79"/>
      <c r="P4052" s="79" t="str">
        <f>IF(AND('331-CT'!$E$7=TH!H4052,OR(N4052="331",O4052="331")),"x","")</f>
        <v/>
      </c>
      <c r="Q4052" s="79" t="str">
        <f>IF(AND(B4052='111'!$L$11,OR($N4052=$Q$7,$O4052=$Q$7)),"x","")</f>
        <v/>
      </c>
      <c r="R4052" s="79" t="str">
        <f>IF(AND($N4052=$Q$7,$B4052&lt;'111'!$L$11),"x","")</f>
        <v/>
      </c>
      <c r="S4052" s="79" t="str">
        <f>IF(AND($O4052=$Q$7,$B4052&lt;'111'!$L$11),"x","")</f>
        <v/>
      </c>
      <c r="T4052" s="79" t="str">
        <f>IF(ISERROR(FIND('112'!$M$9,G4052,1)),"",IF((AND(FIND('112'!$M$9,G4052,1)&gt;=1,B4052='112'!$K$9,OR($N4052='112'!$I$6,$O4052='112'!$I$6))),"x",""))</f>
        <v/>
      </c>
      <c r="U4052" s="79" t="str">
        <f>IF(ISERROR(FIND('112'!$M$9,G4052,1)),"",IF((AND(LEFT(G4052,2)=LEFT('112'!$M$9,2),B4052&lt;'112'!$K$9,$N4052='112'!$I$6)),"x",""))</f>
        <v/>
      </c>
      <c r="V4052" s="79" t="str">
        <f>IF(ISERROR(FIND('112'!$M$9,G4052,1)),"",IF((AND(RIGHT(G4052,2)=RIGHT('112'!$M$9,2),B4052&lt;'112'!$K$9,$O4052='112'!$I$6)),"x",""))</f>
        <v/>
      </c>
      <c r="W4052" s="79" t="str">
        <f>IF(AND('341-CT'!$H$9=H4052,OR(LEFT(N4052,3)=$W$7,LEFT(O4052,3)=$W$7)),"x","")</f>
        <v/>
      </c>
      <c r="X4052" s="79" t="str">
        <f>IF(OR(TH!N4052=TH!$X$7,O4052=TH!$X$7),"x","")</f>
        <v/>
      </c>
      <c r="Y4052" s="79" t="str">
        <f>IF(AND(OR(N4052="131",O4052="131"),H4052='131-CT'!$H$9),"x","")</f>
        <v/>
      </c>
      <c r="Z4052" s="79"/>
      <c r="AA4052" s="79" t="str">
        <f>IF(AND(MONTH(E4052)='IN-NX'!$J$5,'IN-NX'!$D$7=D4052),"x","")</f>
        <v/>
      </c>
      <c r="AB4052" s="79" t="str">
        <f>IF(AND(OR(LEFT(TH!N4052,2)="15",LEFT(TH!O4052,2)="15"),LEFT(TH!O4052,3)&lt;&gt;"111",'152-CT'!$J$8=TH!F4052),"x","")</f>
        <v/>
      </c>
      <c r="AC4052" s="79" t="str">
        <f>IF(AND(OR(LEFT(TH!N4052,2)="15",LEFT(TH!O4052,2)="15"),TK!$E$7=TH!F4052),"x","")</f>
        <v/>
      </c>
      <c r="AD4052" s="79" t="str">
        <f>IF(AND(N4052="1521",MONTH(C4052)='BK-NL'!$M$11),"x","")</f>
        <v/>
      </c>
    </row>
    <row r="4053" spans="1:30" ht="16.5" customHeight="1">
      <c r="A4053" s="318" t="str">
        <f>IF(B4053&lt;&gt;"",IF(AND(B4053='IN-TC'!$S$4,OR(TH!N4053="1111",TH!O4053="1111")),TH!D4053,""),"")</f>
        <v/>
      </c>
      <c r="B4053" s="60" t="str">
        <f t="shared" si="429"/>
        <v/>
      </c>
      <c r="C4053" s="75"/>
      <c r="D4053" s="75"/>
      <c r="E4053" s="75"/>
      <c r="F4053" s="76"/>
      <c r="G4053" s="76"/>
      <c r="H4053" s="77"/>
      <c r="I4053" s="77"/>
      <c r="J4053" s="391"/>
      <c r="K4053" s="1247"/>
      <c r="L4053" s="1248"/>
      <c r="M4053" s="78"/>
      <c r="N4053" s="79"/>
      <c r="O4053" s="979"/>
      <c r="P4053" s="79" t="str">
        <f>IF(AND('331-CT'!$E$7=TH!H4053,OR(N4053="331",O4053="331")),"x","")</f>
        <v/>
      </c>
      <c r="Q4053" s="79" t="str">
        <f>IF(AND(B4053='111'!$L$11,OR($N4053=$Q$7,$O4053=$Q$7)),"x","")</f>
        <v/>
      </c>
      <c r="R4053" s="79" t="str">
        <f>IF(AND($N4053=$Q$7,$B4053&lt;'111'!$L$11),"x","")</f>
        <v/>
      </c>
      <c r="S4053" s="79" t="str">
        <f>IF(AND($O4053=$Q$7,$B4053&lt;'111'!$L$11),"x","")</f>
        <v/>
      </c>
      <c r="T4053" s="79" t="str">
        <f>IF(ISERROR(FIND('112'!$M$9,G4053,1)),"",IF((AND(FIND('112'!$M$9,G4053,1)&gt;=1,B4053='112'!$K$9,OR($N4053='112'!$I$6,$O4053='112'!$I$6))),"x",""))</f>
        <v/>
      </c>
      <c r="U4053" s="79" t="str">
        <f>IF(ISERROR(FIND('112'!$M$9,G4053,1)),"",IF((AND(LEFT(G4053,2)=LEFT('112'!$M$9,2),B4053&lt;'112'!$K$9,$N4053='112'!$I$6)),"x",""))</f>
        <v/>
      </c>
      <c r="V4053" s="79" t="str">
        <f>IF(ISERROR(FIND('112'!$M$9,G4053,1)),"",IF((AND(RIGHT(G4053,2)=RIGHT('112'!$M$9,2),B4053&lt;'112'!$K$9,$O4053='112'!$I$6)),"x",""))</f>
        <v/>
      </c>
      <c r="W4053" s="79" t="str">
        <f>IF(AND('341-CT'!$H$9=H4053,OR(LEFT(N4053,3)=$W$7,LEFT(O4053,3)=$W$7)),"x","")</f>
        <v/>
      </c>
      <c r="X4053" s="79" t="str">
        <f>IF(OR(TH!N4053=TH!$X$7,O4053=TH!$X$7),"x","")</f>
        <v/>
      </c>
      <c r="Y4053" s="79" t="str">
        <f>IF(AND(OR(N4053="131",O4053="131"),H4053='131-CT'!$H$9),"x","")</f>
        <v/>
      </c>
      <c r="Z4053" s="79"/>
      <c r="AA4053" s="79" t="str">
        <f>IF(AND(MONTH(E4053)='IN-NX'!$J$5,'IN-NX'!$D$7=D4053),"x","")</f>
        <v/>
      </c>
      <c r="AB4053" s="79" t="str">
        <f>IF(AND(OR(LEFT(TH!N4053,2)="15",LEFT(TH!O4053,2)="15"),LEFT(TH!O4053,3)&lt;&gt;"111",'152-CT'!$J$8=TH!F4053),"x","")</f>
        <v/>
      </c>
      <c r="AC4053" s="79" t="str">
        <f>IF(AND(OR(LEFT(TH!N4053,2)="15",LEFT(TH!O4053,2)="15"),TK!$E$7=TH!F4053),"x","")</f>
        <v/>
      </c>
      <c r="AD4053" s="79" t="str">
        <f>IF(AND(N4053="1521",MONTH(C4053)='BK-NL'!$M$11),"x","")</f>
        <v/>
      </c>
    </row>
    <row r="4054" spans="1:30" ht="16.5" customHeight="1">
      <c r="A4054" s="318" t="str">
        <f>IF(B4054&lt;&gt;"",IF(AND(B4054='IN-TC'!$S$4,OR(TH!N4054="1111",TH!O4054="1111")),TH!D4054,""),"")</f>
        <v/>
      </c>
      <c r="B4054" s="60" t="str">
        <f t="shared" si="429"/>
        <v/>
      </c>
      <c r="C4054" s="75"/>
      <c r="D4054" s="75"/>
      <c r="E4054" s="75"/>
      <c r="F4054" s="76"/>
      <c r="G4054" s="76"/>
      <c r="H4054" s="77"/>
      <c r="I4054" s="77"/>
      <c r="J4054" s="391"/>
      <c r="K4054" s="383"/>
      <c r="L4054" s="1248"/>
      <c r="M4054" s="978"/>
      <c r="N4054" s="79"/>
      <c r="O4054" s="979"/>
      <c r="P4054" s="79" t="str">
        <f>IF(AND('331-CT'!$E$7=TH!H4054,OR(N4054="331",O4054="331")),"x","")</f>
        <v/>
      </c>
      <c r="Q4054" s="79" t="str">
        <f>IF(AND(B4054='111'!$L$11,OR($N4054=$Q$7,$O4054=$Q$7)),"x","")</f>
        <v/>
      </c>
      <c r="R4054" s="79" t="str">
        <f>IF(AND($N4054=$Q$7,$B4054&lt;'111'!$L$11),"x","")</f>
        <v/>
      </c>
      <c r="S4054" s="79" t="str">
        <f>IF(AND($O4054=$Q$7,$B4054&lt;'111'!$L$11),"x","")</f>
        <v/>
      </c>
      <c r="T4054" s="79" t="str">
        <f>IF(ISERROR(FIND('112'!$M$9,G4054,1)),"",IF((AND(FIND('112'!$M$9,G4054,1)&gt;=1,B4054='112'!$K$9,OR($N4054='112'!$I$6,$O4054='112'!$I$6))),"x",""))</f>
        <v/>
      </c>
      <c r="U4054" s="79" t="str">
        <f>IF(ISERROR(FIND('112'!$M$9,G4054,1)),"",IF((AND(LEFT(G4054,2)=LEFT('112'!$M$9,2),B4054&lt;'112'!$K$9,$N4054='112'!$I$6)),"x",""))</f>
        <v/>
      </c>
      <c r="V4054" s="79" t="str">
        <f>IF(ISERROR(FIND('112'!$M$9,G4054,1)),"",IF((AND(RIGHT(G4054,2)=RIGHT('112'!$M$9,2),B4054&lt;'112'!$K$9,$O4054='112'!$I$6)),"x",""))</f>
        <v/>
      </c>
      <c r="W4054" s="79" t="str">
        <f>IF(AND('341-CT'!$H$9=H4054,OR(LEFT(N4054,3)=$W$7,LEFT(O4054,3)=$W$7)),"x","")</f>
        <v/>
      </c>
      <c r="X4054" s="79" t="str">
        <f>IF(OR(TH!N4054=TH!$X$7,O4054=TH!$X$7),"x","")</f>
        <v/>
      </c>
      <c r="Y4054" s="79" t="str">
        <f>IF(AND(OR(N4054="131",O4054="131"),H4054='131-CT'!$H$9),"x","")</f>
        <v/>
      </c>
      <c r="Z4054" s="79"/>
      <c r="AA4054" s="79" t="str">
        <f>IF(AND(MONTH(E4054)='IN-NX'!$J$5,'IN-NX'!$D$7=D4054),"x","")</f>
        <v/>
      </c>
      <c r="AB4054" s="79" t="str">
        <f>IF(AND(OR(LEFT(TH!N4054,2)="15",LEFT(TH!O4054,2)="15"),LEFT(TH!O4054,3)&lt;&gt;"111",'152-CT'!$J$8=TH!F4054),"x","")</f>
        <v/>
      </c>
      <c r="AC4054" s="79" t="str">
        <f>IF(AND(OR(LEFT(TH!N4054,2)="15",LEFT(TH!O4054,2)="15"),TK!$E$7=TH!F4054),"x","")</f>
        <v/>
      </c>
      <c r="AD4054" s="79" t="str">
        <f>IF(AND(N4054="1521",MONTH(C4054)='BK-NL'!$M$11),"x","")</f>
        <v/>
      </c>
    </row>
    <row r="4055" spans="1:30" ht="16.5" customHeight="1">
      <c r="A4055" s="318" t="str">
        <f>IF(B4055&lt;&gt;"",IF(AND(B4055='IN-TC'!$S$4,OR(TH!N4055="1111",TH!O4055="1111")),TH!D4055,""),"")</f>
        <v/>
      </c>
      <c r="B4055" s="60" t="str">
        <f t="shared" si="429"/>
        <v/>
      </c>
      <c r="C4055" s="75"/>
      <c r="D4055" s="75"/>
      <c r="E4055" s="75"/>
      <c r="F4055" s="76"/>
      <c r="G4055" s="76"/>
      <c r="H4055" s="77"/>
      <c r="I4055" s="77"/>
      <c r="J4055" s="391"/>
      <c r="K4055" s="383"/>
      <c r="L4055" s="1248"/>
      <c r="M4055" s="978"/>
      <c r="N4055" s="79"/>
      <c r="O4055" s="979"/>
      <c r="P4055" s="79" t="str">
        <f>IF(AND('331-CT'!$E$7=TH!H4055,OR(N4055="331",O4055="331")),"x","")</f>
        <v/>
      </c>
      <c r="Q4055" s="79" t="str">
        <f>IF(AND(B4055='111'!$L$11,OR($N4055=$Q$7,$O4055=$Q$7)),"x","")</f>
        <v/>
      </c>
      <c r="R4055" s="79" t="str">
        <f>IF(AND($N4055=$Q$7,$B4055&lt;'111'!$L$11),"x","")</f>
        <v/>
      </c>
      <c r="S4055" s="79" t="str">
        <f>IF(AND($O4055=$Q$7,$B4055&lt;'111'!$L$11),"x","")</f>
        <v/>
      </c>
      <c r="T4055" s="79" t="str">
        <f>IF(ISERROR(FIND('112'!$M$9,G4055,1)),"",IF((AND(FIND('112'!$M$9,G4055,1)&gt;=1,B4055='112'!$K$9,OR($N4055='112'!$I$6,$O4055='112'!$I$6))),"x",""))</f>
        <v/>
      </c>
      <c r="U4055" s="79" t="str">
        <f>IF(ISERROR(FIND('112'!$M$9,G4055,1)),"",IF((AND(LEFT(G4055,2)=LEFT('112'!$M$9,2),B4055&lt;'112'!$K$9,$N4055='112'!$I$6)),"x",""))</f>
        <v/>
      </c>
      <c r="V4055" s="79" t="str">
        <f>IF(ISERROR(FIND('112'!$M$9,G4055,1)),"",IF((AND(RIGHT(G4055,2)=RIGHT('112'!$M$9,2),B4055&lt;'112'!$K$9,$O4055='112'!$I$6)),"x",""))</f>
        <v/>
      </c>
      <c r="W4055" s="79" t="str">
        <f>IF(AND('341-CT'!$H$9=H4055,OR(LEFT(N4055,3)=$W$7,LEFT(O4055,3)=$W$7)),"x","")</f>
        <v/>
      </c>
      <c r="X4055" s="79" t="str">
        <f>IF(OR(TH!N4055=TH!$X$7,O4055=TH!$X$7),"x","")</f>
        <v/>
      </c>
      <c r="Y4055" s="79" t="str">
        <f>IF(AND(OR(N4055="131",O4055="131"),H4055='131-CT'!$H$9),"x","")</f>
        <v/>
      </c>
      <c r="Z4055" s="79"/>
      <c r="AA4055" s="79" t="str">
        <f>IF(AND(MONTH(E4055)='IN-NX'!$J$5,'IN-NX'!$D$7=D4055),"x","")</f>
        <v/>
      </c>
      <c r="AB4055" s="79" t="str">
        <f>IF(AND(OR(LEFT(TH!N4055,2)="15",LEFT(TH!O4055,2)="15"),LEFT(TH!O4055,3)&lt;&gt;"111",'152-CT'!$J$8=TH!F4055),"x","")</f>
        <v/>
      </c>
      <c r="AC4055" s="79" t="str">
        <f>IF(AND(OR(LEFT(TH!N4055,2)="15",LEFT(TH!O4055,2)="15"),TK!$E$7=TH!F4055),"x","")</f>
        <v/>
      </c>
      <c r="AD4055" s="79" t="str">
        <f>IF(AND(N4055="1521",MONTH(C4055)='BK-NL'!$M$11),"x","")</f>
        <v/>
      </c>
    </row>
    <row r="4056" spans="1:30" ht="16.5" customHeight="1">
      <c r="A4056" s="318" t="str">
        <f>IF(B4056&lt;&gt;"",IF(AND(B4056='IN-TC'!$S$4,OR(TH!N4056="1111",TH!O4056="1111")),TH!D4056,""),"")</f>
        <v/>
      </c>
      <c r="B4056" s="60" t="str">
        <f t="shared" ref="B4056:B4312" si="432">IF(C4056&lt;&gt;"",MONTH(C4056),"")</f>
        <v/>
      </c>
      <c r="C4056" s="75"/>
      <c r="D4056" s="75"/>
      <c r="E4056" s="75"/>
      <c r="F4056" s="76"/>
      <c r="G4056" s="76"/>
      <c r="H4056" s="77"/>
      <c r="I4056" s="77"/>
      <c r="J4056" s="391"/>
      <c r="K4056" s="383"/>
      <c r="L4056" s="1248"/>
      <c r="M4056" s="978"/>
      <c r="N4056" s="79"/>
      <c r="O4056" s="979"/>
      <c r="P4056" s="79" t="str">
        <f>IF(AND('331-CT'!$E$7=TH!H4056,OR(N4056="331",O4056="331")),"x","")</f>
        <v/>
      </c>
      <c r="Q4056" s="79" t="str">
        <f>IF(AND(B4056='111'!$L$11,OR($N4056=$Q$7,$O4056=$Q$7)),"x","")</f>
        <v/>
      </c>
      <c r="R4056" s="79" t="str">
        <f>IF(AND($N4056=$Q$7,$B4056&lt;'111'!$L$11),"x","")</f>
        <v/>
      </c>
      <c r="S4056" s="79" t="str">
        <f>IF(AND($O4056=$Q$7,$B4056&lt;'111'!$L$11),"x","")</f>
        <v/>
      </c>
      <c r="T4056" s="79" t="str">
        <f>IF(ISERROR(FIND('112'!$M$9,G4056,1)),"",IF((AND(FIND('112'!$M$9,G4056,1)&gt;=1,B4056='112'!$K$9,OR($N4056='112'!$I$6,$O4056='112'!$I$6))),"x",""))</f>
        <v/>
      </c>
      <c r="U4056" s="79" t="str">
        <f>IF(ISERROR(FIND('112'!$M$9,G4056,1)),"",IF((AND(LEFT(G4056,2)=LEFT('112'!$M$9,2),B4056&lt;'112'!$K$9,$N4056='112'!$I$6)),"x",""))</f>
        <v/>
      </c>
      <c r="V4056" s="79" t="str">
        <f>IF(ISERROR(FIND('112'!$M$9,G4056,1)),"",IF((AND(RIGHT(G4056,2)=RIGHT('112'!$M$9,2),B4056&lt;'112'!$K$9,$O4056='112'!$I$6)),"x",""))</f>
        <v/>
      </c>
      <c r="W4056" s="79" t="str">
        <f>IF(AND('341-CT'!$H$9=H4056,OR(LEFT(N4056,3)=$W$7,LEFT(O4056,3)=$W$7)),"x","")</f>
        <v/>
      </c>
      <c r="X4056" s="79" t="str">
        <f>IF(OR(TH!N4056=TH!$X$7,O4056=TH!$X$7),"x","")</f>
        <v/>
      </c>
      <c r="Y4056" s="79" t="str">
        <f>IF(AND(OR(N4056="131",O4056="131"),H4056='131-CT'!$H$9),"x","")</f>
        <v/>
      </c>
      <c r="Z4056" s="79"/>
      <c r="AA4056" s="79" t="str">
        <f>IF(AND(MONTH(E4056)='IN-NX'!$J$5,'IN-NX'!$D$7=D4056),"x","")</f>
        <v/>
      </c>
      <c r="AB4056" s="79" t="str">
        <f>IF(AND(OR(LEFT(TH!N4056,2)="15",LEFT(TH!O4056,2)="15"),LEFT(TH!O4056,3)&lt;&gt;"111",'152-CT'!$J$8=TH!F4056),"x","")</f>
        <v/>
      </c>
      <c r="AC4056" s="79" t="str">
        <f>IF(AND(OR(LEFT(TH!N4056,2)="15",LEFT(TH!O4056,2)="15"),TK!$E$7=TH!F4056),"x","")</f>
        <v/>
      </c>
      <c r="AD4056" s="79" t="str">
        <f>IF(AND(N4056="1521",MONTH(C4056)='BK-NL'!$M$11),"x","")</f>
        <v/>
      </c>
    </row>
    <row r="4057" spans="1:30" ht="16.5" customHeight="1">
      <c r="A4057" s="318" t="str">
        <f>IF(B4057&lt;&gt;"",IF(AND(B4057='IN-TC'!$S$4,OR(TH!N4057="1111",TH!O4057="1111")),TH!D4057,""),"")</f>
        <v/>
      </c>
      <c r="B4057" s="60" t="str">
        <f t="shared" si="432"/>
        <v/>
      </c>
      <c r="C4057" s="75"/>
      <c r="D4057" s="75"/>
      <c r="E4057" s="75"/>
      <c r="F4057" s="76"/>
      <c r="G4057" s="76"/>
      <c r="H4057" s="77"/>
      <c r="I4057" s="77"/>
      <c r="J4057" s="391"/>
      <c r="K4057" s="383"/>
      <c r="L4057" s="1248"/>
      <c r="M4057" s="978"/>
      <c r="N4057" s="79"/>
      <c r="O4057" s="979"/>
      <c r="P4057" s="79" t="str">
        <f>IF(AND('331-CT'!$E$7=TH!H4057,OR(N4057="331",O4057="331")),"x","")</f>
        <v/>
      </c>
      <c r="Q4057" s="79" t="str">
        <f>IF(AND(B4057='111'!$L$11,OR($N4057=$Q$7,$O4057=$Q$7)),"x","")</f>
        <v/>
      </c>
      <c r="R4057" s="79" t="str">
        <f>IF(AND($N4057=$Q$7,$B4057&lt;'111'!$L$11),"x","")</f>
        <v/>
      </c>
      <c r="S4057" s="79" t="str">
        <f>IF(AND($O4057=$Q$7,$B4057&lt;'111'!$L$11),"x","")</f>
        <v/>
      </c>
      <c r="T4057" s="79" t="str">
        <f>IF(ISERROR(FIND('112'!$M$9,G4057,1)),"",IF((AND(FIND('112'!$M$9,G4057,1)&gt;=1,B4057='112'!$K$9,OR($N4057='112'!$I$6,$O4057='112'!$I$6))),"x",""))</f>
        <v/>
      </c>
      <c r="U4057" s="79" t="str">
        <f>IF(ISERROR(FIND('112'!$M$9,G4057,1)),"",IF((AND(LEFT(G4057,2)=LEFT('112'!$M$9,2),B4057&lt;'112'!$K$9,$N4057='112'!$I$6)),"x",""))</f>
        <v/>
      </c>
      <c r="V4057" s="79" t="str">
        <f>IF(ISERROR(FIND('112'!$M$9,G4057,1)),"",IF((AND(RIGHT(G4057,2)=RIGHT('112'!$M$9,2),B4057&lt;'112'!$K$9,$O4057='112'!$I$6)),"x",""))</f>
        <v/>
      </c>
      <c r="W4057" s="79" t="str">
        <f>IF(AND('341-CT'!$H$9=H4057,OR(LEFT(N4057,3)=$W$7,LEFT(O4057,3)=$W$7)),"x","")</f>
        <v/>
      </c>
      <c r="X4057" s="79" t="str">
        <f>IF(OR(TH!N4057=TH!$X$7,O4057=TH!$X$7),"x","")</f>
        <v/>
      </c>
      <c r="Y4057" s="79" t="str">
        <f>IF(AND(OR(N4057="131",O4057="131"),H4057='131-CT'!$H$9),"x","")</f>
        <v/>
      </c>
      <c r="Z4057" s="79"/>
      <c r="AA4057" s="79" t="str">
        <f>IF(AND(MONTH(E4057)='IN-NX'!$J$5,'IN-NX'!$D$7=D4057),"x","")</f>
        <v/>
      </c>
      <c r="AB4057" s="79" t="str">
        <f>IF(AND(OR(LEFT(TH!N4057,2)="15",LEFT(TH!O4057,2)="15"),LEFT(TH!O4057,3)&lt;&gt;"111",'152-CT'!$J$8=TH!F4057),"x","")</f>
        <v/>
      </c>
      <c r="AC4057" s="79" t="str">
        <f>IF(AND(OR(LEFT(TH!N4057,2)="15",LEFT(TH!O4057,2)="15"),TK!$E$7=TH!F4057),"x","")</f>
        <v/>
      </c>
      <c r="AD4057" s="79" t="str">
        <f>IF(AND(N4057="1521",MONTH(C4057)='BK-NL'!$M$11),"x","")</f>
        <v/>
      </c>
    </row>
    <row r="4058" spans="1:30" ht="16.5" customHeight="1">
      <c r="A4058" s="318" t="str">
        <f>IF(B4058&lt;&gt;"",IF(AND(B4058='IN-TC'!$S$4,OR(TH!N4058="1111",TH!O4058="1111")),TH!D4058,""),"")</f>
        <v/>
      </c>
      <c r="B4058" s="60" t="str">
        <f t="shared" si="432"/>
        <v/>
      </c>
      <c r="C4058" s="75"/>
      <c r="D4058" s="75"/>
      <c r="E4058" s="75"/>
      <c r="F4058" s="76"/>
      <c r="G4058" s="76"/>
      <c r="H4058" s="77"/>
      <c r="I4058" s="77"/>
      <c r="J4058" s="391"/>
      <c r="K4058" s="383"/>
      <c r="L4058" s="1248"/>
      <c r="M4058" s="978"/>
      <c r="N4058" s="79"/>
      <c r="O4058" s="979"/>
      <c r="P4058" s="79" t="str">
        <f>IF(AND('331-CT'!$E$7=TH!H4058,OR(N4058="331",O4058="331")),"x","")</f>
        <v/>
      </c>
      <c r="Q4058" s="79" t="str">
        <f>IF(AND(B4058='111'!$L$11,OR($N4058=$Q$7,$O4058=$Q$7)),"x","")</f>
        <v/>
      </c>
      <c r="R4058" s="79" t="str">
        <f>IF(AND($N4058=$Q$7,$B4058&lt;'111'!$L$11),"x","")</f>
        <v/>
      </c>
      <c r="S4058" s="79" t="str">
        <f>IF(AND($O4058=$Q$7,$B4058&lt;'111'!$L$11),"x","")</f>
        <v/>
      </c>
      <c r="T4058" s="79" t="str">
        <f>IF(ISERROR(FIND('112'!$M$9,G4058,1)),"",IF((AND(FIND('112'!$M$9,G4058,1)&gt;=1,B4058='112'!$K$9,OR($N4058='112'!$I$6,$O4058='112'!$I$6))),"x",""))</f>
        <v/>
      </c>
      <c r="U4058" s="79" t="str">
        <f>IF(ISERROR(FIND('112'!$M$9,G4058,1)),"",IF((AND(LEFT(G4058,2)=LEFT('112'!$M$9,2),B4058&lt;'112'!$K$9,$N4058='112'!$I$6)),"x",""))</f>
        <v/>
      </c>
      <c r="V4058" s="79" t="str">
        <f>IF(ISERROR(FIND('112'!$M$9,G4058,1)),"",IF((AND(RIGHT(G4058,2)=RIGHT('112'!$M$9,2),B4058&lt;'112'!$K$9,$O4058='112'!$I$6)),"x",""))</f>
        <v/>
      </c>
      <c r="W4058" s="79" t="str">
        <f>IF(AND('341-CT'!$H$9=H4058,OR(LEFT(N4058,3)=$W$7,LEFT(O4058,3)=$W$7)),"x","")</f>
        <v/>
      </c>
      <c r="X4058" s="79" t="str">
        <f>IF(OR(TH!N4058=TH!$X$7,O4058=TH!$X$7),"x","")</f>
        <v/>
      </c>
      <c r="Y4058" s="79" t="str">
        <f>IF(AND(OR(N4058="131",O4058="131"),H4058='131-CT'!$H$9),"x","")</f>
        <v/>
      </c>
      <c r="Z4058" s="79"/>
      <c r="AA4058" s="79" t="str">
        <f>IF(AND(MONTH(E4058)='IN-NX'!$J$5,'IN-NX'!$D$7=D4058),"x","")</f>
        <v/>
      </c>
      <c r="AB4058" s="79" t="str">
        <f>IF(AND(OR(LEFT(TH!N4058,2)="15",LEFT(TH!O4058,2)="15"),LEFT(TH!O4058,3)&lt;&gt;"111",'152-CT'!$J$8=TH!F4058),"x","")</f>
        <v/>
      </c>
      <c r="AC4058" s="79" t="str">
        <f>IF(AND(OR(LEFT(TH!N4058,2)="15",LEFT(TH!O4058,2)="15"),TK!$E$7=TH!F4058),"x","")</f>
        <v/>
      </c>
      <c r="AD4058" s="79" t="str">
        <f>IF(AND(N4058="1521",MONTH(C4058)='BK-NL'!$M$11),"x","")</f>
        <v/>
      </c>
    </row>
    <row r="4059" spans="1:30" ht="16.5" customHeight="1">
      <c r="A4059" s="318" t="str">
        <f>IF(B4059&lt;&gt;"",IF(AND(B4059='IN-TC'!$S$4,OR(TH!N4059="1111",TH!O4059="1111")),TH!D4059,""),"")</f>
        <v/>
      </c>
      <c r="B4059" s="60" t="str">
        <f t="shared" si="432"/>
        <v/>
      </c>
      <c r="C4059" s="75"/>
      <c r="D4059" s="75"/>
      <c r="E4059" s="75"/>
      <c r="F4059" s="76"/>
      <c r="G4059" s="76"/>
      <c r="H4059" s="77"/>
      <c r="I4059" s="77"/>
      <c r="J4059" s="391"/>
      <c r="K4059" s="383"/>
      <c r="L4059" s="1248"/>
      <c r="M4059" s="978"/>
      <c r="N4059" s="79"/>
      <c r="O4059" s="979"/>
      <c r="P4059" s="79" t="str">
        <f>IF(AND('331-CT'!$E$7=TH!H4059,OR(N4059="331",O4059="331")),"x","")</f>
        <v/>
      </c>
      <c r="Q4059" s="79" t="str">
        <f>IF(AND(B4059='111'!$L$11,OR($N4059=$Q$7,$O4059=$Q$7)),"x","")</f>
        <v/>
      </c>
      <c r="R4059" s="79" t="str">
        <f>IF(AND($N4059=$Q$7,$B4059&lt;'111'!$L$11),"x","")</f>
        <v/>
      </c>
      <c r="S4059" s="79" t="str">
        <f>IF(AND($O4059=$Q$7,$B4059&lt;'111'!$L$11),"x","")</f>
        <v/>
      </c>
      <c r="T4059" s="79" t="str">
        <f>IF(ISERROR(FIND('112'!$M$9,G4059,1)),"",IF((AND(FIND('112'!$M$9,G4059,1)&gt;=1,B4059='112'!$K$9,OR($N4059='112'!$I$6,$O4059='112'!$I$6))),"x",""))</f>
        <v/>
      </c>
      <c r="U4059" s="79" t="str">
        <f>IF(ISERROR(FIND('112'!$M$9,G4059,1)),"",IF((AND(LEFT(G4059,2)=LEFT('112'!$M$9,2),B4059&lt;'112'!$K$9,$N4059='112'!$I$6)),"x",""))</f>
        <v/>
      </c>
      <c r="V4059" s="79" t="str">
        <f>IF(ISERROR(FIND('112'!$M$9,G4059,1)),"",IF((AND(RIGHT(G4059,2)=RIGHT('112'!$M$9,2),B4059&lt;'112'!$K$9,$O4059='112'!$I$6)),"x",""))</f>
        <v/>
      </c>
      <c r="W4059" s="79" t="str">
        <f>IF(AND('341-CT'!$H$9=H4059,OR(LEFT(N4059,3)=$W$7,LEFT(O4059,3)=$W$7)),"x","")</f>
        <v/>
      </c>
      <c r="X4059" s="79" t="str">
        <f>IF(OR(TH!N4059=TH!$X$7,O4059=TH!$X$7),"x","")</f>
        <v/>
      </c>
      <c r="Y4059" s="79" t="str">
        <f>IF(AND(OR(N4059="131",O4059="131"),H4059='131-CT'!$H$9),"x","")</f>
        <v/>
      </c>
      <c r="Z4059" s="79"/>
      <c r="AA4059" s="79" t="str">
        <f>IF(AND(MONTH(E4059)='IN-NX'!$J$5,'IN-NX'!$D$7=D4059),"x","")</f>
        <v/>
      </c>
      <c r="AB4059" s="79" t="str">
        <f>IF(AND(OR(LEFT(TH!N4059,2)="15",LEFT(TH!O4059,2)="15"),LEFT(TH!O4059,3)&lt;&gt;"111",'152-CT'!$J$8=TH!F4059),"x","")</f>
        <v/>
      </c>
      <c r="AC4059" s="79" t="str">
        <f>IF(AND(OR(LEFT(TH!N4059,2)="15",LEFT(TH!O4059,2)="15"),TK!$E$7=TH!F4059),"x","")</f>
        <v/>
      </c>
      <c r="AD4059" s="79" t="str">
        <f>IF(AND(N4059="1521",MONTH(C4059)='BK-NL'!$M$11),"x","")</f>
        <v/>
      </c>
    </row>
    <row r="4060" spans="1:30" ht="16.5" customHeight="1">
      <c r="A4060" s="318" t="str">
        <f>IF(B4060&lt;&gt;"",IF(AND(B4060='IN-TC'!$S$4,OR(TH!N4060="1111",TH!O4060="1111")),TH!D4060,""),"")</f>
        <v/>
      </c>
      <c r="B4060" s="60" t="str">
        <f t="shared" si="432"/>
        <v/>
      </c>
      <c r="C4060" s="75"/>
      <c r="D4060" s="75"/>
      <c r="E4060" s="75"/>
      <c r="F4060" s="76"/>
      <c r="G4060" s="76"/>
      <c r="H4060" s="77"/>
      <c r="I4060" s="77"/>
      <c r="J4060" s="391"/>
      <c r="K4060" s="383"/>
      <c r="L4060" s="1248"/>
      <c r="M4060" s="978"/>
      <c r="N4060" s="79"/>
      <c r="O4060" s="979"/>
      <c r="P4060" s="79" t="str">
        <f>IF(AND('331-CT'!$E$7=TH!H4060,OR(N4060="331",O4060="331")),"x","")</f>
        <v/>
      </c>
      <c r="Q4060" s="79" t="str">
        <f>IF(AND(B4060='111'!$L$11,OR($N4060=$Q$7,$O4060=$Q$7)),"x","")</f>
        <v/>
      </c>
      <c r="R4060" s="79" t="str">
        <f>IF(AND($N4060=$Q$7,$B4060&lt;'111'!$L$11),"x","")</f>
        <v/>
      </c>
      <c r="S4060" s="79" t="str">
        <f>IF(AND($O4060=$Q$7,$B4060&lt;'111'!$L$11),"x","")</f>
        <v/>
      </c>
      <c r="T4060" s="79" t="str">
        <f>IF(ISERROR(FIND('112'!$M$9,G4060,1)),"",IF((AND(FIND('112'!$M$9,G4060,1)&gt;=1,B4060='112'!$K$9,OR($N4060='112'!$I$6,$O4060='112'!$I$6))),"x",""))</f>
        <v/>
      </c>
      <c r="U4060" s="79" t="str">
        <f>IF(ISERROR(FIND('112'!$M$9,G4060,1)),"",IF((AND(LEFT(G4060,2)=LEFT('112'!$M$9,2),B4060&lt;'112'!$K$9,$N4060='112'!$I$6)),"x",""))</f>
        <v/>
      </c>
      <c r="V4060" s="79" t="str">
        <f>IF(ISERROR(FIND('112'!$M$9,G4060,1)),"",IF((AND(RIGHT(G4060,2)=RIGHT('112'!$M$9,2),B4060&lt;'112'!$K$9,$O4060='112'!$I$6)),"x",""))</f>
        <v/>
      </c>
      <c r="W4060" s="79" t="str">
        <f>IF(AND('341-CT'!$H$9=H4060,OR(LEFT(N4060,3)=$W$7,LEFT(O4060,3)=$W$7)),"x","")</f>
        <v/>
      </c>
      <c r="X4060" s="79" t="str">
        <f>IF(OR(TH!N4060=TH!$X$7,O4060=TH!$X$7),"x","")</f>
        <v/>
      </c>
      <c r="Y4060" s="79" t="str">
        <f>IF(AND(OR(N4060="131",O4060="131"),H4060='131-CT'!$H$9),"x","")</f>
        <v/>
      </c>
      <c r="Z4060" s="79"/>
      <c r="AA4060" s="79" t="str">
        <f>IF(AND(MONTH(E4060)='IN-NX'!$J$5,'IN-NX'!$D$7=D4060),"x","")</f>
        <v/>
      </c>
      <c r="AB4060" s="79" t="str">
        <f>IF(AND(OR(LEFT(TH!N4060,2)="15",LEFT(TH!O4060,2)="15"),LEFT(TH!O4060,3)&lt;&gt;"111",'152-CT'!$J$8=TH!F4060),"x","")</f>
        <v/>
      </c>
      <c r="AC4060" s="79" t="str">
        <f>IF(AND(OR(LEFT(TH!N4060,2)="15",LEFT(TH!O4060,2)="15"),TK!$E$7=TH!F4060),"x","")</f>
        <v/>
      </c>
      <c r="AD4060" s="79" t="str">
        <f>IF(AND(N4060="1521",MONTH(C4060)='BK-NL'!$M$11),"x","")</f>
        <v/>
      </c>
    </row>
    <row r="4061" spans="1:30" ht="16.5" customHeight="1">
      <c r="A4061" s="318" t="str">
        <f>IF(B4061&lt;&gt;"",IF(AND(B4061='IN-TC'!$S$4,OR(TH!N4061="1111",TH!O4061="1111")),TH!D4061,""),"")</f>
        <v/>
      </c>
      <c r="B4061" s="60" t="str">
        <f t="shared" si="432"/>
        <v/>
      </c>
      <c r="C4061" s="75"/>
      <c r="D4061" s="75"/>
      <c r="E4061" s="75"/>
      <c r="F4061" s="76"/>
      <c r="G4061" s="76"/>
      <c r="H4061" s="77"/>
      <c r="I4061" s="77"/>
      <c r="J4061" s="391"/>
      <c r="K4061" s="383"/>
      <c r="L4061" s="1248"/>
      <c r="M4061" s="978"/>
      <c r="N4061" s="79"/>
      <c r="O4061" s="979"/>
      <c r="P4061" s="79" t="str">
        <f>IF(AND('331-CT'!$E$7=TH!H4061,OR(N4061="331",O4061="331")),"x","")</f>
        <v/>
      </c>
      <c r="Q4061" s="79" t="str">
        <f>IF(AND(B4061='111'!$L$11,OR($N4061=$Q$7,$O4061=$Q$7)),"x","")</f>
        <v/>
      </c>
      <c r="R4061" s="79" t="str">
        <f>IF(AND($N4061=$Q$7,$B4061&lt;'111'!$L$11),"x","")</f>
        <v/>
      </c>
      <c r="S4061" s="79" t="str">
        <f>IF(AND($O4061=$Q$7,$B4061&lt;'111'!$L$11),"x","")</f>
        <v/>
      </c>
      <c r="T4061" s="79" t="str">
        <f>IF(ISERROR(FIND('112'!$M$9,G4061,1)),"",IF((AND(FIND('112'!$M$9,G4061,1)&gt;=1,B4061='112'!$K$9,OR($N4061='112'!$I$6,$O4061='112'!$I$6))),"x",""))</f>
        <v/>
      </c>
      <c r="U4061" s="79" t="str">
        <f>IF(ISERROR(FIND('112'!$M$9,G4061,1)),"",IF((AND(LEFT(G4061,2)=LEFT('112'!$M$9,2),B4061&lt;'112'!$K$9,$N4061='112'!$I$6)),"x",""))</f>
        <v/>
      </c>
      <c r="V4061" s="79" t="str">
        <f>IF(ISERROR(FIND('112'!$M$9,G4061,1)),"",IF((AND(RIGHT(G4061,2)=RIGHT('112'!$M$9,2),B4061&lt;'112'!$K$9,$O4061='112'!$I$6)),"x",""))</f>
        <v/>
      </c>
      <c r="W4061" s="79" t="str">
        <f>IF(AND('341-CT'!$H$9=H4061,OR(LEFT(N4061,3)=$W$7,LEFT(O4061,3)=$W$7)),"x","")</f>
        <v/>
      </c>
      <c r="X4061" s="79" t="str">
        <f>IF(OR(TH!N4061=TH!$X$7,O4061=TH!$X$7),"x","")</f>
        <v/>
      </c>
      <c r="Y4061" s="79" t="str">
        <f>IF(AND(OR(N4061="131",O4061="131"),H4061='131-CT'!$H$9),"x","")</f>
        <v/>
      </c>
      <c r="Z4061" s="79"/>
      <c r="AA4061" s="79" t="str">
        <f>IF(AND(MONTH(E4061)='IN-NX'!$J$5,'IN-NX'!$D$7=D4061),"x","")</f>
        <v/>
      </c>
      <c r="AB4061" s="79" t="str">
        <f>IF(AND(OR(LEFT(TH!N4061,2)="15",LEFT(TH!O4061,2)="15"),LEFT(TH!O4061,3)&lt;&gt;"111",'152-CT'!$J$8=TH!F4061),"x","")</f>
        <v/>
      </c>
      <c r="AC4061" s="79" t="str">
        <f>IF(AND(OR(LEFT(TH!N4061,2)="15",LEFT(TH!O4061,2)="15"),TK!$E$7=TH!F4061),"x","")</f>
        <v/>
      </c>
      <c r="AD4061" s="79" t="str">
        <f>IF(AND(N4061="1521",MONTH(C4061)='BK-NL'!$M$11),"x","")</f>
        <v/>
      </c>
    </row>
    <row r="4062" spans="1:30" ht="16.5" customHeight="1">
      <c r="A4062" s="318" t="str">
        <f>IF(B4062&lt;&gt;"",IF(AND(B4062='IN-TC'!$S$4,OR(TH!N4062="1111",TH!O4062="1111")),TH!D4062,""),"")</f>
        <v/>
      </c>
      <c r="B4062" s="60" t="str">
        <f t="shared" si="432"/>
        <v/>
      </c>
      <c r="C4062" s="75"/>
      <c r="D4062" s="75"/>
      <c r="E4062" s="75"/>
      <c r="F4062" s="76"/>
      <c r="G4062" s="76"/>
      <c r="H4062" s="77"/>
      <c r="I4062" s="77"/>
      <c r="J4062" s="391"/>
      <c r="K4062" s="383"/>
      <c r="L4062" s="1248"/>
      <c r="M4062" s="978"/>
      <c r="N4062" s="79"/>
      <c r="O4062" s="979"/>
      <c r="P4062" s="79" t="str">
        <f>IF(AND('331-CT'!$E$7=TH!H4062,OR(N4062="331",O4062="331")),"x","")</f>
        <v/>
      </c>
      <c r="Q4062" s="79" t="str">
        <f>IF(AND(B4062='111'!$L$11,OR($N4062=$Q$7,$O4062=$Q$7)),"x","")</f>
        <v/>
      </c>
      <c r="R4062" s="79" t="str">
        <f>IF(AND($N4062=$Q$7,$B4062&lt;'111'!$L$11),"x","")</f>
        <v/>
      </c>
      <c r="S4062" s="79" t="str">
        <f>IF(AND($O4062=$Q$7,$B4062&lt;'111'!$L$11),"x","")</f>
        <v/>
      </c>
      <c r="T4062" s="79" t="str">
        <f>IF(ISERROR(FIND('112'!$M$9,G4062,1)),"",IF((AND(FIND('112'!$M$9,G4062,1)&gt;=1,B4062='112'!$K$9,OR($N4062='112'!$I$6,$O4062='112'!$I$6))),"x",""))</f>
        <v/>
      </c>
      <c r="U4062" s="79" t="str">
        <f>IF(ISERROR(FIND('112'!$M$9,G4062,1)),"",IF((AND(LEFT(G4062,2)=LEFT('112'!$M$9,2),B4062&lt;'112'!$K$9,$N4062='112'!$I$6)),"x",""))</f>
        <v/>
      </c>
      <c r="V4062" s="79" t="str">
        <f>IF(ISERROR(FIND('112'!$M$9,G4062,1)),"",IF((AND(RIGHT(G4062,2)=RIGHT('112'!$M$9,2),B4062&lt;'112'!$K$9,$O4062='112'!$I$6)),"x",""))</f>
        <v/>
      </c>
      <c r="W4062" s="79" t="str">
        <f>IF(AND('341-CT'!$H$9=H4062,OR(LEFT(N4062,3)=$W$7,LEFT(O4062,3)=$W$7)),"x","")</f>
        <v/>
      </c>
      <c r="X4062" s="79" t="str">
        <f>IF(OR(TH!N4062=TH!$X$7,O4062=TH!$X$7),"x","")</f>
        <v/>
      </c>
      <c r="Y4062" s="79" t="str">
        <f>IF(AND(OR(N4062="131",O4062="131"),H4062='131-CT'!$H$9),"x","")</f>
        <v/>
      </c>
      <c r="Z4062" s="79"/>
      <c r="AA4062" s="79" t="str">
        <f>IF(AND(MONTH(E4062)='IN-NX'!$J$5,'IN-NX'!$D$7=D4062),"x","")</f>
        <v/>
      </c>
      <c r="AB4062" s="79" t="str">
        <f>IF(AND(OR(LEFT(TH!N4062,2)="15",LEFT(TH!O4062,2)="15"),LEFT(TH!O4062,3)&lt;&gt;"111",'152-CT'!$J$8=TH!F4062),"x","")</f>
        <v/>
      </c>
      <c r="AC4062" s="79" t="str">
        <f>IF(AND(OR(LEFT(TH!N4062,2)="15",LEFT(TH!O4062,2)="15"),TK!$E$7=TH!F4062),"x","")</f>
        <v/>
      </c>
      <c r="AD4062" s="79" t="str">
        <f>IF(AND(N4062="1521",MONTH(C4062)='BK-NL'!$M$11),"x","")</f>
        <v/>
      </c>
    </row>
    <row r="4063" spans="1:30" ht="16.5" customHeight="1">
      <c r="A4063" s="318" t="str">
        <f>IF(B4063&lt;&gt;"",IF(AND(B4063='IN-TC'!$S$4,OR(TH!N4063="1111",TH!O4063="1111")),TH!D4063,""),"")</f>
        <v/>
      </c>
      <c r="B4063" s="60" t="str">
        <f t="shared" si="432"/>
        <v/>
      </c>
      <c r="C4063" s="75"/>
      <c r="D4063" s="75"/>
      <c r="E4063" s="75"/>
      <c r="F4063" s="76"/>
      <c r="G4063" s="76"/>
      <c r="H4063" s="77"/>
      <c r="I4063" s="77"/>
      <c r="J4063" s="391"/>
      <c r="K4063" s="383"/>
      <c r="L4063" s="1248"/>
      <c r="M4063" s="978"/>
      <c r="N4063" s="79"/>
      <c r="O4063" s="979"/>
      <c r="P4063" s="79" t="str">
        <f>IF(AND('331-CT'!$E$7=TH!H4063,OR(N4063="331",O4063="331")),"x","")</f>
        <v/>
      </c>
      <c r="Q4063" s="79" t="str">
        <f>IF(AND(B4063='111'!$L$11,OR($N4063=$Q$7,$O4063=$Q$7)),"x","")</f>
        <v/>
      </c>
      <c r="R4063" s="79" t="str">
        <f>IF(AND($N4063=$Q$7,$B4063&lt;'111'!$L$11),"x","")</f>
        <v/>
      </c>
      <c r="S4063" s="79" t="str">
        <f>IF(AND($O4063=$Q$7,$B4063&lt;'111'!$L$11),"x","")</f>
        <v/>
      </c>
      <c r="T4063" s="79" t="str">
        <f>IF(ISERROR(FIND('112'!$M$9,G4063,1)),"",IF((AND(FIND('112'!$M$9,G4063,1)&gt;=1,B4063='112'!$K$9,OR($N4063='112'!$I$6,$O4063='112'!$I$6))),"x",""))</f>
        <v/>
      </c>
      <c r="U4063" s="79" t="str">
        <f>IF(ISERROR(FIND('112'!$M$9,G4063,1)),"",IF((AND(LEFT(G4063,2)=LEFT('112'!$M$9,2),B4063&lt;'112'!$K$9,$N4063='112'!$I$6)),"x",""))</f>
        <v/>
      </c>
      <c r="V4063" s="79" t="str">
        <f>IF(ISERROR(FIND('112'!$M$9,G4063,1)),"",IF((AND(RIGHT(G4063,2)=RIGHT('112'!$M$9,2),B4063&lt;'112'!$K$9,$O4063='112'!$I$6)),"x",""))</f>
        <v/>
      </c>
      <c r="W4063" s="79" t="str">
        <f>IF(AND('341-CT'!$H$9=H4063,OR(LEFT(N4063,3)=$W$7,LEFT(O4063,3)=$W$7)),"x","")</f>
        <v/>
      </c>
      <c r="X4063" s="79" t="str">
        <f>IF(OR(TH!N4063=TH!$X$7,O4063=TH!$X$7),"x","")</f>
        <v/>
      </c>
      <c r="Y4063" s="79" t="str">
        <f>IF(AND(OR(N4063="131",O4063="131"),H4063='131-CT'!$H$9),"x","")</f>
        <v/>
      </c>
      <c r="Z4063" s="79"/>
      <c r="AA4063" s="79" t="str">
        <f>IF(AND(MONTH(E4063)='IN-NX'!$J$5,'IN-NX'!$D$7=D4063),"x","")</f>
        <v/>
      </c>
      <c r="AB4063" s="79" t="str">
        <f>IF(AND(OR(LEFT(TH!N4063,2)="15",LEFT(TH!O4063,2)="15"),LEFT(TH!O4063,3)&lt;&gt;"111",'152-CT'!$J$8=TH!F4063),"x","")</f>
        <v/>
      </c>
      <c r="AC4063" s="79" t="str">
        <f>IF(AND(OR(LEFT(TH!N4063,2)="15",LEFT(TH!O4063,2)="15"),TK!$E$7=TH!F4063),"x","")</f>
        <v/>
      </c>
      <c r="AD4063" s="79" t="str">
        <f>IF(AND(N4063="1521",MONTH(C4063)='BK-NL'!$M$11),"x","")</f>
        <v/>
      </c>
    </row>
    <row r="4064" spans="1:30" ht="16.5" customHeight="1">
      <c r="A4064" s="318" t="str">
        <f>IF(B4064&lt;&gt;"",IF(AND(B4064='IN-TC'!$S$4,OR(TH!N4064="1111",TH!O4064="1111")),TH!D4064,""),"")</f>
        <v/>
      </c>
      <c r="B4064" s="60" t="str">
        <f t="shared" si="432"/>
        <v/>
      </c>
      <c r="C4064" s="75"/>
      <c r="D4064" s="75"/>
      <c r="E4064" s="75"/>
      <c r="F4064" s="76"/>
      <c r="G4064" s="76"/>
      <c r="H4064" s="77"/>
      <c r="I4064" s="77"/>
      <c r="J4064" s="391"/>
      <c r="K4064" s="383"/>
      <c r="L4064" s="1248"/>
      <c r="M4064" s="978"/>
      <c r="N4064" s="79"/>
      <c r="O4064" s="979"/>
      <c r="P4064" s="79" t="str">
        <f>IF(AND('331-CT'!$E$7=TH!H4064,OR(N4064="331",O4064="331")),"x","")</f>
        <v/>
      </c>
      <c r="Q4064" s="79" t="str">
        <f>IF(AND(B4064='111'!$L$11,OR($N4064=$Q$7,$O4064=$Q$7)),"x","")</f>
        <v/>
      </c>
      <c r="R4064" s="79" t="str">
        <f>IF(AND($N4064=$Q$7,$B4064&lt;'111'!$L$11),"x","")</f>
        <v/>
      </c>
      <c r="S4064" s="79" t="str">
        <f>IF(AND($O4064=$Q$7,$B4064&lt;'111'!$L$11),"x","")</f>
        <v/>
      </c>
      <c r="T4064" s="79" t="str">
        <f>IF(ISERROR(FIND('112'!$M$9,G4064,1)),"",IF((AND(FIND('112'!$M$9,G4064,1)&gt;=1,B4064='112'!$K$9,OR($N4064='112'!$I$6,$O4064='112'!$I$6))),"x",""))</f>
        <v/>
      </c>
      <c r="U4064" s="79" t="str">
        <f>IF(ISERROR(FIND('112'!$M$9,G4064,1)),"",IF((AND(LEFT(G4064,2)=LEFT('112'!$M$9,2),B4064&lt;'112'!$K$9,$N4064='112'!$I$6)),"x",""))</f>
        <v/>
      </c>
      <c r="V4064" s="79" t="str">
        <f>IF(ISERROR(FIND('112'!$M$9,G4064,1)),"",IF((AND(RIGHT(G4064,2)=RIGHT('112'!$M$9,2),B4064&lt;'112'!$K$9,$O4064='112'!$I$6)),"x",""))</f>
        <v/>
      </c>
      <c r="W4064" s="79" t="str">
        <f>IF(AND('341-CT'!$H$9=H4064,OR(LEFT(N4064,3)=$W$7,LEFT(O4064,3)=$W$7)),"x","")</f>
        <v/>
      </c>
      <c r="X4064" s="79" t="str">
        <f>IF(OR(TH!N4064=TH!$X$7,O4064=TH!$X$7),"x","")</f>
        <v/>
      </c>
      <c r="Y4064" s="79" t="str">
        <f>IF(AND(OR(N4064="131",O4064="131"),H4064='131-CT'!$H$9),"x","")</f>
        <v/>
      </c>
      <c r="Z4064" s="79"/>
      <c r="AA4064" s="79" t="str">
        <f>IF(AND(MONTH(E4064)='IN-NX'!$J$5,'IN-NX'!$D$7=D4064),"x","")</f>
        <v/>
      </c>
      <c r="AB4064" s="79" t="str">
        <f>IF(AND(OR(LEFT(TH!N4064,2)="15",LEFT(TH!O4064,2)="15"),LEFT(TH!O4064,3)&lt;&gt;"111",'152-CT'!$J$8=TH!F4064),"x","")</f>
        <v/>
      </c>
      <c r="AC4064" s="79" t="str">
        <f>IF(AND(OR(LEFT(TH!N4064,2)="15",LEFT(TH!O4064,2)="15"),TK!$E$7=TH!F4064),"x","")</f>
        <v/>
      </c>
      <c r="AD4064" s="79" t="str">
        <f>IF(AND(N4064="1521",MONTH(C4064)='BK-NL'!$M$11),"x","")</f>
        <v/>
      </c>
    </row>
    <row r="4065" spans="1:30" ht="16.5" customHeight="1">
      <c r="A4065" s="318" t="str">
        <f>IF(B4065&lt;&gt;"",IF(AND(B4065='IN-TC'!$S$4,OR(TH!N4065="1111",TH!O4065="1111")),TH!D4065,""),"")</f>
        <v/>
      </c>
      <c r="B4065" s="60" t="str">
        <f t="shared" si="432"/>
        <v/>
      </c>
      <c r="C4065" s="75"/>
      <c r="D4065" s="75"/>
      <c r="E4065" s="75"/>
      <c r="F4065" s="76"/>
      <c r="G4065" s="76"/>
      <c r="H4065" s="77"/>
      <c r="I4065" s="77"/>
      <c r="J4065" s="391"/>
      <c r="K4065" s="383"/>
      <c r="L4065" s="1248"/>
      <c r="M4065" s="978"/>
      <c r="N4065" s="79"/>
      <c r="O4065" s="979"/>
      <c r="P4065" s="79" t="str">
        <f>IF(AND('331-CT'!$E$7=TH!H4065,OR(N4065="331",O4065="331")),"x","")</f>
        <v/>
      </c>
      <c r="Q4065" s="79" t="str">
        <f>IF(AND(B4065='111'!$L$11,OR($N4065=$Q$7,$O4065=$Q$7)),"x","")</f>
        <v/>
      </c>
      <c r="R4065" s="79" t="str">
        <f>IF(AND($N4065=$Q$7,$B4065&lt;'111'!$L$11),"x","")</f>
        <v/>
      </c>
      <c r="S4065" s="79" t="str">
        <f>IF(AND($O4065=$Q$7,$B4065&lt;'111'!$L$11),"x","")</f>
        <v/>
      </c>
      <c r="T4065" s="79" t="str">
        <f>IF(ISERROR(FIND('112'!$M$9,G4065,1)),"",IF((AND(FIND('112'!$M$9,G4065,1)&gt;=1,B4065='112'!$K$9,OR($N4065='112'!$I$6,$O4065='112'!$I$6))),"x",""))</f>
        <v/>
      </c>
      <c r="U4065" s="79" t="str">
        <f>IF(ISERROR(FIND('112'!$M$9,G4065,1)),"",IF((AND(LEFT(G4065,2)=LEFT('112'!$M$9,2),B4065&lt;'112'!$K$9,$N4065='112'!$I$6)),"x",""))</f>
        <v/>
      </c>
      <c r="V4065" s="79" t="str">
        <f>IF(ISERROR(FIND('112'!$M$9,G4065,1)),"",IF((AND(RIGHT(G4065,2)=RIGHT('112'!$M$9,2),B4065&lt;'112'!$K$9,$O4065='112'!$I$6)),"x",""))</f>
        <v/>
      </c>
      <c r="W4065" s="79" t="str">
        <f>IF(AND('341-CT'!$H$9=H4065,OR(LEFT(N4065,3)=$W$7,LEFT(O4065,3)=$W$7)),"x","")</f>
        <v/>
      </c>
      <c r="X4065" s="79" t="str">
        <f>IF(OR(TH!N4065=TH!$X$7,O4065=TH!$X$7),"x","")</f>
        <v/>
      </c>
      <c r="Y4065" s="79" t="str">
        <f>IF(AND(OR(N4065="131",O4065="131"),H4065='131-CT'!$H$9),"x","")</f>
        <v/>
      </c>
      <c r="Z4065" s="79"/>
      <c r="AA4065" s="79" t="str">
        <f>IF(AND(MONTH(E4065)='IN-NX'!$J$5,'IN-NX'!$D$7=D4065),"x","")</f>
        <v/>
      </c>
      <c r="AB4065" s="79" t="str">
        <f>IF(AND(OR(LEFT(TH!N4065,2)="15",LEFT(TH!O4065,2)="15"),LEFT(TH!O4065,3)&lt;&gt;"111",'152-CT'!$J$8=TH!F4065),"x","")</f>
        <v/>
      </c>
      <c r="AC4065" s="79" t="str">
        <f>IF(AND(OR(LEFT(TH!N4065,2)="15",LEFT(TH!O4065,2)="15"),TK!$E$7=TH!F4065),"x","")</f>
        <v/>
      </c>
      <c r="AD4065" s="79" t="str">
        <f>IF(AND(N4065="1521",MONTH(C4065)='BK-NL'!$M$11),"x","")</f>
        <v/>
      </c>
    </row>
    <row r="4066" spans="1:30" ht="16.5" customHeight="1">
      <c r="A4066" s="318" t="str">
        <f>IF(B4066&lt;&gt;"",IF(AND(B4066='IN-TC'!$S$4,OR(TH!N4066="1111",TH!O4066="1111")),TH!D4066,""),"")</f>
        <v/>
      </c>
      <c r="B4066" s="60" t="str">
        <f t="shared" si="432"/>
        <v/>
      </c>
      <c r="C4066" s="75"/>
      <c r="D4066" s="75"/>
      <c r="E4066" s="75"/>
      <c r="F4066" s="76"/>
      <c r="G4066" s="76"/>
      <c r="H4066" s="77"/>
      <c r="I4066" s="77"/>
      <c r="J4066" s="391"/>
      <c r="K4066" s="383"/>
      <c r="L4066" s="1248"/>
      <c r="M4066" s="978"/>
      <c r="N4066" s="79"/>
      <c r="O4066" s="979"/>
      <c r="P4066" s="79" t="str">
        <f>IF(AND('331-CT'!$E$7=TH!H4066,OR(N4066="331",O4066="331")),"x","")</f>
        <v/>
      </c>
      <c r="Q4066" s="79" t="str">
        <f>IF(AND(B4066='111'!$L$11,OR($N4066=$Q$7,$O4066=$Q$7)),"x","")</f>
        <v/>
      </c>
      <c r="R4066" s="79" t="str">
        <f>IF(AND($N4066=$Q$7,$B4066&lt;'111'!$L$11),"x","")</f>
        <v/>
      </c>
      <c r="S4066" s="79" t="str">
        <f>IF(AND($O4066=$Q$7,$B4066&lt;'111'!$L$11),"x","")</f>
        <v/>
      </c>
      <c r="T4066" s="79" t="str">
        <f>IF(ISERROR(FIND('112'!$M$9,G4066,1)),"",IF((AND(FIND('112'!$M$9,G4066,1)&gt;=1,B4066='112'!$K$9,OR($N4066='112'!$I$6,$O4066='112'!$I$6))),"x",""))</f>
        <v/>
      </c>
      <c r="U4066" s="79" t="str">
        <f>IF(ISERROR(FIND('112'!$M$9,G4066,1)),"",IF((AND(LEFT(G4066,2)=LEFT('112'!$M$9,2),B4066&lt;'112'!$K$9,$N4066='112'!$I$6)),"x",""))</f>
        <v/>
      </c>
      <c r="V4066" s="79" t="str">
        <f>IF(ISERROR(FIND('112'!$M$9,G4066,1)),"",IF((AND(RIGHT(G4066,2)=RIGHT('112'!$M$9,2),B4066&lt;'112'!$K$9,$O4066='112'!$I$6)),"x",""))</f>
        <v/>
      </c>
      <c r="W4066" s="79" t="str">
        <f>IF(AND('341-CT'!$H$9=H4066,OR(LEFT(N4066,3)=$W$7,LEFT(O4066,3)=$W$7)),"x","")</f>
        <v/>
      </c>
      <c r="X4066" s="79" t="str">
        <f>IF(OR(TH!N4066=TH!$X$7,O4066=TH!$X$7),"x","")</f>
        <v/>
      </c>
      <c r="Y4066" s="79" t="str">
        <f>IF(AND(OR(N4066="131",O4066="131"),H4066='131-CT'!$H$9),"x","")</f>
        <v/>
      </c>
      <c r="Z4066" s="79"/>
      <c r="AA4066" s="79" t="str">
        <f>IF(AND(MONTH(E4066)='IN-NX'!$J$5,'IN-NX'!$D$7=D4066),"x","")</f>
        <v/>
      </c>
      <c r="AB4066" s="79" t="str">
        <f>IF(AND(OR(LEFT(TH!N4066,2)="15",LEFT(TH!O4066,2)="15"),LEFT(TH!O4066,3)&lt;&gt;"111",'152-CT'!$J$8=TH!F4066),"x","")</f>
        <v/>
      </c>
      <c r="AC4066" s="79" t="str">
        <f>IF(AND(OR(LEFT(TH!N4066,2)="15",LEFT(TH!O4066,2)="15"),TK!$E$7=TH!F4066),"x","")</f>
        <v/>
      </c>
      <c r="AD4066" s="79" t="str">
        <f>IF(AND(N4066="1521",MONTH(C4066)='BK-NL'!$M$11),"x","")</f>
        <v/>
      </c>
    </row>
    <row r="4067" spans="1:30" ht="16.5" customHeight="1">
      <c r="A4067" s="318" t="str">
        <f>IF(B4067&lt;&gt;"",IF(AND(B4067='IN-TC'!$S$4,OR(TH!N4067="1111",TH!O4067="1111")),TH!D4067,""),"")</f>
        <v/>
      </c>
      <c r="B4067" s="60" t="str">
        <f t="shared" si="432"/>
        <v/>
      </c>
      <c r="C4067" s="75"/>
      <c r="D4067" s="75"/>
      <c r="E4067" s="75"/>
      <c r="F4067" s="76"/>
      <c r="G4067" s="76"/>
      <c r="H4067" s="77"/>
      <c r="I4067" s="77"/>
      <c r="J4067" s="391"/>
      <c r="K4067" s="383"/>
      <c r="L4067" s="1248"/>
      <c r="M4067" s="978"/>
      <c r="N4067" s="79"/>
      <c r="O4067" s="979"/>
      <c r="P4067" s="79" t="str">
        <f>IF(AND('331-CT'!$E$7=TH!H4067,OR(N4067="331",O4067="331")),"x","")</f>
        <v/>
      </c>
      <c r="Q4067" s="79" t="str">
        <f>IF(AND(B4067='111'!$L$11,OR($N4067=$Q$7,$O4067=$Q$7)),"x","")</f>
        <v/>
      </c>
      <c r="R4067" s="79" t="str">
        <f>IF(AND($N4067=$Q$7,$B4067&lt;'111'!$L$11),"x","")</f>
        <v/>
      </c>
      <c r="S4067" s="79" t="str">
        <f>IF(AND($O4067=$Q$7,$B4067&lt;'111'!$L$11),"x","")</f>
        <v/>
      </c>
      <c r="T4067" s="79" t="str">
        <f>IF(ISERROR(FIND('112'!$M$9,G4067,1)),"",IF((AND(FIND('112'!$M$9,G4067,1)&gt;=1,B4067='112'!$K$9,OR($N4067='112'!$I$6,$O4067='112'!$I$6))),"x",""))</f>
        <v/>
      </c>
      <c r="U4067" s="79" t="str">
        <f>IF(ISERROR(FIND('112'!$M$9,G4067,1)),"",IF((AND(LEFT(G4067,2)=LEFT('112'!$M$9,2),B4067&lt;'112'!$K$9,$N4067='112'!$I$6)),"x",""))</f>
        <v/>
      </c>
      <c r="V4067" s="79" t="str">
        <f>IF(ISERROR(FIND('112'!$M$9,G4067,1)),"",IF((AND(RIGHT(G4067,2)=RIGHT('112'!$M$9,2),B4067&lt;'112'!$K$9,$O4067='112'!$I$6)),"x",""))</f>
        <v/>
      </c>
      <c r="W4067" s="79" t="str">
        <f>IF(AND('341-CT'!$H$9=H4067,OR(LEFT(N4067,3)=$W$7,LEFT(O4067,3)=$W$7)),"x","")</f>
        <v/>
      </c>
      <c r="X4067" s="79" t="str">
        <f>IF(OR(TH!N4067=TH!$X$7,O4067=TH!$X$7),"x","")</f>
        <v/>
      </c>
      <c r="Y4067" s="79" t="str">
        <f>IF(AND(OR(N4067="131",O4067="131"),H4067='131-CT'!$H$9),"x","")</f>
        <v/>
      </c>
      <c r="Z4067" s="79"/>
      <c r="AA4067" s="79" t="str">
        <f>IF(AND(MONTH(E4067)='IN-NX'!$J$5,'IN-NX'!$D$7=D4067),"x","")</f>
        <v/>
      </c>
      <c r="AB4067" s="79" t="str">
        <f>IF(AND(OR(LEFT(TH!N4067,2)="15",LEFT(TH!O4067,2)="15"),LEFT(TH!O4067,3)&lt;&gt;"111",'152-CT'!$J$8=TH!F4067),"x","")</f>
        <v/>
      </c>
      <c r="AC4067" s="79" t="str">
        <f>IF(AND(OR(LEFT(TH!N4067,2)="15",LEFT(TH!O4067,2)="15"),TK!$E$7=TH!F4067),"x","")</f>
        <v/>
      </c>
      <c r="AD4067" s="79" t="str">
        <f>IF(AND(N4067="1521",MONTH(C4067)='BK-NL'!$M$11),"x","")</f>
        <v/>
      </c>
    </row>
    <row r="4068" spans="1:30" ht="16.5" customHeight="1">
      <c r="A4068" s="318" t="str">
        <f>IF(B4068&lt;&gt;"",IF(AND(B4068='IN-TC'!$S$4,OR(TH!N4068="1111",TH!O4068="1111")),TH!D4068,""),"")</f>
        <v/>
      </c>
      <c r="B4068" s="60" t="str">
        <f t="shared" si="432"/>
        <v/>
      </c>
      <c r="C4068" s="75"/>
      <c r="D4068" s="75"/>
      <c r="E4068" s="75"/>
      <c r="F4068" s="76"/>
      <c r="G4068" s="76"/>
      <c r="H4068" s="77"/>
      <c r="I4068" s="77"/>
      <c r="J4068" s="391"/>
      <c r="K4068" s="383"/>
      <c r="L4068" s="1248"/>
      <c r="M4068" s="978"/>
      <c r="N4068" s="79"/>
      <c r="O4068" s="979"/>
      <c r="P4068" s="79" t="str">
        <f>IF(AND('331-CT'!$E$7=TH!H4068,OR(N4068="331",O4068="331")),"x","")</f>
        <v/>
      </c>
      <c r="Q4068" s="79" t="str">
        <f>IF(AND(B4068='111'!$L$11,OR($N4068=$Q$7,$O4068=$Q$7)),"x","")</f>
        <v/>
      </c>
      <c r="R4068" s="79" t="str">
        <f>IF(AND($N4068=$Q$7,$B4068&lt;'111'!$L$11),"x","")</f>
        <v/>
      </c>
      <c r="S4068" s="79" t="str">
        <f>IF(AND($O4068=$Q$7,$B4068&lt;'111'!$L$11),"x","")</f>
        <v/>
      </c>
      <c r="T4068" s="79" t="str">
        <f>IF(ISERROR(FIND('112'!$M$9,G4068,1)),"",IF((AND(FIND('112'!$M$9,G4068,1)&gt;=1,B4068='112'!$K$9,OR($N4068='112'!$I$6,$O4068='112'!$I$6))),"x",""))</f>
        <v/>
      </c>
      <c r="U4068" s="79" t="str">
        <f>IF(ISERROR(FIND('112'!$M$9,G4068,1)),"",IF((AND(LEFT(G4068,2)=LEFT('112'!$M$9,2),B4068&lt;'112'!$K$9,$N4068='112'!$I$6)),"x",""))</f>
        <v/>
      </c>
      <c r="V4068" s="79" t="str">
        <f>IF(ISERROR(FIND('112'!$M$9,G4068,1)),"",IF((AND(RIGHT(G4068,2)=RIGHT('112'!$M$9,2),B4068&lt;'112'!$K$9,$O4068='112'!$I$6)),"x",""))</f>
        <v/>
      </c>
      <c r="W4068" s="79" t="str">
        <f>IF(AND('341-CT'!$H$9=H4068,OR(LEFT(N4068,3)=$W$7,LEFT(O4068,3)=$W$7)),"x","")</f>
        <v/>
      </c>
      <c r="X4068" s="79" t="str">
        <f>IF(OR(TH!N4068=TH!$X$7,O4068=TH!$X$7),"x","")</f>
        <v/>
      </c>
      <c r="Y4068" s="79" t="str">
        <f>IF(AND(OR(N4068="131",O4068="131"),H4068='131-CT'!$H$9),"x","")</f>
        <v/>
      </c>
      <c r="Z4068" s="79"/>
      <c r="AA4068" s="79" t="str">
        <f>IF(AND(MONTH(E4068)='IN-NX'!$J$5,'IN-NX'!$D$7=D4068),"x","")</f>
        <v/>
      </c>
      <c r="AB4068" s="79" t="str">
        <f>IF(AND(OR(LEFT(TH!N4068,2)="15",LEFT(TH!O4068,2)="15"),LEFT(TH!O4068,3)&lt;&gt;"111",'152-CT'!$J$8=TH!F4068),"x","")</f>
        <v/>
      </c>
      <c r="AC4068" s="79" t="str">
        <f>IF(AND(OR(LEFT(TH!N4068,2)="15",LEFT(TH!O4068,2)="15"),TK!$E$7=TH!F4068),"x","")</f>
        <v/>
      </c>
      <c r="AD4068" s="79" t="str">
        <f>IF(AND(N4068="1521",MONTH(C4068)='BK-NL'!$M$11),"x","")</f>
        <v/>
      </c>
    </row>
    <row r="4069" spans="1:30" ht="16.5" customHeight="1">
      <c r="A4069" s="318" t="str">
        <f>IF(B4069&lt;&gt;"",IF(AND(B4069='IN-TC'!$S$4,OR(TH!N4069="1111",TH!O4069="1111")),TH!D4069,""),"")</f>
        <v/>
      </c>
      <c r="B4069" s="60" t="str">
        <f t="shared" si="432"/>
        <v/>
      </c>
      <c r="C4069" s="75"/>
      <c r="D4069" s="75"/>
      <c r="E4069" s="75"/>
      <c r="F4069" s="76"/>
      <c r="G4069" s="76"/>
      <c r="H4069" s="77"/>
      <c r="I4069" s="77"/>
      <c r="J4069" s="391"/>
      <c r="K4069" s="383"/>
      <c r="L4069" s="1248"/>
      <c r="M4069" s="978"/>
      <c r="N4069" s="79"/>
      <c r="O4069" s="979"/>
      <c r="P4069" s="79" t="str">
        <f>IF(AND('331-CT'!$E$7=TH!H4069,OR(N4069="331",O4069="331")),"x","")</f>
        <v/>
      </c>
      <c r="Q4069" s="79" t="str">
        <f>IF(AND(B4069='111'!$L$11,OR($N4069=$Q$7,$O4069=$Q$7)),"x","")</f>
        <v/>
      </c>
      <c r="R4069" s="79" t="str">
        <f>IF(AND($N4069=$Q$7,$B4069&lt;'111'!$L$11),"x","")</f>
        <v/>
      </c>
      <c r="S4069" s="79" t="str">
        <f>IF(AND($O4069=$Q$7,$B4069&lt;'111'!$L$11),"x","")</f>
        <v/>
      </c>
      <c r="T4069" s="79" t="str">
        <f>IF(ISERROR(FIND('112'!$M$9,G4069,1)),"",IF((AND(FIND('112'!$M$9,G4069,1)&gt;=1,B4069='112'!$K$9,OR($N4069='112'!$I$6,$O4069='112'!$I$6))),"x",""))</f>
        <v/>
      </c>
      <c r="U4069" s="79" t="str">
        <f>IF(ISERROR(FIND('112'!$M$9,G4069,1)),"",IF((AND(LEFT(G4069,2)=LEFT('112'!$M$9,2),B4069&lt;'112'!$K$9,$N4069='112'!$I$6)),"x",""))</f>
        <v/>
      </c>
      <c r="V4069" s="79" t="str">
        <f>IF(ISERROR(FIND('112'!$M$9,G4069,1)),"",IF((AND(RIGHT(G4069,2)=RIGHT('112'!$M$9,2),B4069&lt;'112'!$K$9,$O4069='112'!$I$6)),"x",""))</f>
        <v/>
      </c>
      <c r="W4069" s="79" t="str">
        <f>IF(AND('341-CT'!$H$9=H4069,OR(LEFT(N4069,3)=$W$7,LEFT(O4069,3)=$W$7)),"x","")</f>
        <v/>
      </c>
      <c r="X4069" s="79" t="str">
        <f>IF(OR(TH!N4069=TH!$X$7,O4069=TH!$X$7),"x","")</f>
        <v/>
      </c>
      <c r="Y4069" s="79" t="str">
        <f>IF(AND(OR(N4069="131",O4069="131"),H4069='131-CT'!$H$9),"x","")</f>
        <v/>
      </c>
      <c r="Z4069" s="79"/>
      <c r="AA4069" s="79" t="str">
        <f>IF(AND(MONTH(E4069)='IN-NX'!$J$5,'IN-NX'!$D$7=D4069),"x","")</f>
        <v/>
      </c>
      <c r="AB4069" s="79" t="str">
        <f>IF(AND(OR(LEFT(TH!N4069,2)="15",LEFT(TH!O4069,2)="15"),LEFT(TH!O4069,3)&lt;&gt;"111",'152-CT'!$J$8=TH!F4069),"x","")</f>
        <v/>
      </c>
      <c r="AC4069" s="79" t="str">
        <f>IF(AND(OR(LEFT(TH!N4069,2)="15",LEFT(TH!O4069,2)="15"),TK!$E$7=TH!F4069),"x","")</f>
        <v/>
      </c>
      <c r="AD4069" s="79" t="str">
        <f>IF(AND(N4069="1521",MONTH(C4069)='BK-NL'!$M$11),"x","")</f>
        <v/>
      </c>
    </row>
    <row r="4070" spans="1:30" ht="16.5" customHeight="1">
      <c r="A4070" s="318" t="str">
        <f>IF(B4070&lt;&gt;"",IF(AND(B4070='IN-TC'!$S$4,OR(TH!N4070="1111",TH!O4070="1111")),TH!D4070,""),"")</f>
        <v/>
      </c>
      <c r="B4070" s="60" t="str">
        <f t="shared" si="432"/>
        <v/>
      </c>
      <c r="C4070" s="75"/>
      <c r="D4070" s="75"/>
      <c r="E4070" s="75"/>
      <c r="F4070" s="76"/>
      <c r="G4070" s="76"/>
      <c r="H4070" s="77"/>
      <c r="I4070" s="77"/>
      <c r="J4070" s="391"/>
      <c r="K4070" s="383"/>
      <c r="L4070" s="1248"/>
      <c r="M4070" s="978"/>
      <c r="N4070" s="79"/>
      <c r="O4070" s="979"/>
      <c r="P4070" s="79" t="str">
        <f>IF(AND('331-CT'!$E$7=TH!H4070,OR(N4070="331",O4070="331")),"x","")</f>
        <v/>
      </c>
      <c r="Q4070" s="79" t="str">
        <f>IF(AND(B4070='111'!$L$11,OR($N4070=$Q$7,$O4070=$Q$7)),"x","")</f>
        <v/>
      </c>
      <c r="R4070" s="79" t="str">
        <f>IF(AND($N4070=$Q$7,$B4070&lt;'111'!$L$11),"x","")</f>
        <v/>
      </c>
      <c r="S4070" s="79" t="str">
        <f>IF(AND($O4070=$Q$7,$B4070&lt;'111'!$L$11),"x","")</f>
        <v/>
      </c>
      <c r="T4070" s="79" t="str">
        <f>IF(ISERROR(FIND('112'!$M$9,G4070,1)),"",IF((AND(FIND('112'!$M$9,G4070,1)&gt;=1,B4070='112'!$K$9,OR($N4070='112'!$I$6,$O4070='112'!$I$6))),"x",""))</f>
        <v/>
      </c>
      <c r="U4070" s="79" t="str">
        <f>IF(ISERROR(FIND('112'!$M$9,G4070,1)),"",IF((AND(LEFT(G4070,2)=LEFT('112'!$M$9,2),B4070&lt;'112'!$K$9,$N4070='112'!$I$6)),"x",""))</f>
        <v/>
      </c>
      <c r="V4070" s="79" t="str">
        <f>IF(ISERROR(FIND('112'!$M$9,G4070,1)),"",IF((AND(RIGHT(G4070,2)=RIGHT('112'!$M$9,2),B4070&lt;'112'!$K$9,$O4070='112'!$I$6)),"x",""))</f>
        <v/>
      </c>
      <c r="W4070" s="79" t="str">
        <f>IF(AND('341-CT'!$H$9=H4070,OR(LEFT(N4070,3)=$W$7,LEFT(O4070,3)=$W$7)),"x","")</f>
        <v/>
      </c>
      <c r="X4070" s="79" t="str">
        <f>IF(OR(TH!N4070=TH!$X$7,O4070=TH!$X$7),"x","")</f>
        <v/>
      </c>
      <c r="Y4070" s="79" t="str">
        <f>IF(AND(OR(N4070="131",O4070="131"),H4070='131-CT'!$H$9),"x","")</f>
        <v/>
      </c>
      <c r="Z4070" s="79"/>
      <c r="AA4070" s="79" t="str">
        <f>IF(AND(MONTH(E4070)='IN-NX'!$J$5,'IN-NX'!$D$7=D4070),"x","")</f>
        <v/>
      </c>
      <c r="AB4070" s="79" t="str">
        <f>IF(AND(OR(LEFT(TH!N4070,2)="15",LEFT(TH!O4070,2)="15"),LEFT(TH!O4070,3)&lt;&gt;"111",'152-CT'!$J$8=TH!F4070),"x","")</f>
        <v/>
      </c>
      <c r="AC4070" s="79" t="str">
        <f>IF(AND(OR(LEFT(TH!N4070,2)="15",LEFT(TH!O4070,2)="15"),TK!$E$7=TH!F4070),"x","")</f>
        <v/>
      </c>
      <c r="AD4070" s="79" t="str">
        <f>IF(AND(N4070="1521",MONTH(C4070)='BK-NL'!$M$11),"x","")</f>
        <v/>
      </c>
    </row>
    <row r="4071" spans="1:30" ht="16.5" customHeight="1">
      <c r="A4071" s="318" t="str">
        <f>IF(B4071&lt;&gt;"",IF(AND(B4071='IN-TC'!$S$4,OR(TH!N4071="1111",TH!O4071="1111")),TH!D4071,""),"")</f>
        <v/>
      </c>
      <c r="B4071" s="60" t="str">
        <f t="shared" si="432"/>
        <v/>
      </c>
      <c r="C4071" s="75"/>
      <c r="D4071" s="75"/>
      <c r="E4071" s="75"/>
      <c r="F4071" s="76"/>
      <c r="G4071" s="76"/>
      <c r="H4071" s="77"/>
      <c r="I4071" s="77"/>
      <c r="J4071" s="391"/>
      <c r="K4071" s="383"/>
      <c r="L4071" s="1248"/>
      <c r="M4071" s="978"/>
      <c r="N4071" s="79"/>
      <c r="O4071" s="79"/>
      <c r="P4071" s="79" t="str">
        <f>IF(AND('331-CT'!$E$7=TH!H4071,OR(N4071="331",O4071="331")),"x","")</f>
        <v/>
      </c>
      <c r="Q4071" s="79" t="str">
        <f>IF(AND(B4071='111'!$L$11,OR($N4071=$Q$7,$O4071=$Q$7)),"x","")</f>
        <v/>
      </c>
      <c r="R4071" s="79" t="str">
        <f>IF(AND($N4071=$Q$7,$B4071&lt;'111'!$L$11),"x","")</f>
        <v/>
      </c>
      <c r="S4071" s="79" t="str">
        <f>IF(AND($O4071=$Q$7,$B4071&lt;'111'!$L$11),"x","")</f>
        <v/>
      </c>
      <c r="T4071" s="79" t="str">
        <f>IF(ISERROR(FIND('112'!$M$9,G4071,1)),"",IF((AND(FIND('112'!$M$9,G4071,1)&gt;=1,B4071='112'!$K$9,OR($N4071='112'!$I$6,$O4071='112'!$I$6))),"x",""))</f>
        <v/>
      </c>
      <c r="U4071" s="79" t="str">
        <f>IF(ISERROR(FIND('112'!$M$9,G4071,1)),"",IF((AND(LEFT(G4071,2)=LEFT('112'!$M$9,2),B4071&lt;'112'!$K$9,$N4071='112'!$I$6)),"x",""))</f>
        <v/>
      </c>
      <c r="V4071" s="79" t="str">
        <f>IF(ISERROR(FIND('112'!$M$9,G4071,1)),"",IF((AND(RIGHT(G4071,2)=RIGHT('112'!$M$9,2),B4071&lt;'112'!$K$9,$O4071='112'!$I$6)),"x",""))</f>
        <v/>
      </c>
      <c r="W4071" s="79" t="str">
        <f>IF(AND('341-CT'!$H$9=H4071,OR(LEFT(N4071,3)=$W$7,LEFT(O4071,3)=$W$7)),"x","")</f>
        <v/>
      </c>
      <c r="X4071" s="79" t="str">
        <f>IF(OR(TH!N4071=TH!$X$7,O4071=TH!$X$7),"x","")</f>
        <v/>
      </c>
      <c r="Y4071" s="79" t="str">
        <f>IF(AND(OR(N4071="131",O4071="131"),H4071='131-CT'!$H$9),"x","")</f>
        <v/>
      </c>
      <c r="Z4071" s="79"/>
      <c r="AA4071" s="79" t="str">
        <f>IF(AND(MONTH(E4071)='IN-NX'!$J$5,'IN-NX'!$D$7=D4071),"x","")</f>
        <v/>
      </c>
      <c r="AB4071" s="79" t="str">
        <f>IF(AND(OR(LEFT(TH!N4071,2)="15",LEFT(TH!O4071,2)="15"),LEFT(TH!O4071,3)&lt;&gt;"111",'152-CT'!$J$8=TH!F4071),"x","")</f>
        <v/>
      </c>
      <c r="AC4071" s="79" t="str">
        <f>IF(AND(OR(LEFT(TH!N4071,2)="15",LEFT(TH!O4071,2)="15"),TK!$E$7=TH!F4071),"x","")</f>
        <v/>
      </c>
      <c r="AD4071" s="79" t="str">
        <f>IF(AND(N4071="1521",MONTH(C4071)='BK-NL'!$M$11),"x","")</f>
        <v/>
      </c>
    </row>
    <row r="4072" spans="1:30" ht="16.5" customHeight="1">
      <c r="A4072" s="318" t="str">
        <f>IF(B4072&lt;&gt;"",IF(AND(B4072='IN-TC'!$S$4,OR(TH!N4072="1111",TH!O4072="1111")),TH!D4072,""),"")</f>
        <v/>
      </c>
      <c r="B4072" s="60" t="str">
        <f t="shared" si="432"/>
        <v/>
      </c>
      <c r="C4072" s="75"/>
      <c r="D4072" s="75"/>
      <c r="E4072" s="75"/>
      <c r="F4072" s="76"/>
      <c r="G4072" s="76"/>
      <c r="H4072" s="77"/>
      <c r="I4072" s="77"/>
      <c r="J4072" s="391"/>
      <c r="K4072" s="383"/>
      <c r="L4072" s="1248"/>
      <c r="M4072" s="978"/>
      <c r="N4072" s="79"/>
      <c r="O4072" s="979"/>
      <c r="P4072" s="79" t="str">
        <f>IF(AND('331-CT'!$E$7=TH!H4072,OR(N4072="331",O4072="331")),"x","")</f>
        <v/>
      </c>
      <c r="Q4072" s="79" t="str">
        <f>IF(AND(B4072='111'!$L$11,OR($N4072=$Q$7,$O4072=$Q$7)),"x","")</f>
        <v/>
      </c>
      <c r="R4072" s="79" t="str">
        <f>IF(AND($N4072=$Q$7,$B4072&lt;'111'!$L$11),"x","")</f>
        <v/>
      </c>
      <c r="S4072" s="79" t="str">
        <f>IF(AND($O4072=$Q$7,$B4072&lt;'111'!$L$11),"x","")</f>
        <v/>
      </c>
      <c r="T4072" s="79" t="str">
        <f>IF(ISERROR(FIND('112'!$M$9,G4072,1)),"",IF((AND(FIND('112'!$M$9,G4072,1)&gt;=1,B4072='112'!$K$9,OR($N4072='112'!$I$6,$O4072='112'!$I$6))),"x",""))</f>
        <v/>
      </c>
      <c r="U4072" s="79" t="str">
        <f>IF(ISERROR(FIND('112'!$M$9,G4072,1)),"",IF((AND(LEFT(G4072,2)=LEFT('112'!$M$9,2),B4072&lt;'112'!$K$9,$N4072='112'!$I$6)),"x",""))</f>
        <v/>
      </c>
      <c r="V4072" s="79" t="str">
        <f>IF(ISERROR(FIND('112'!$M$9,G4072,1)),"",IF((AND(RIGHT(G4072,2)=RIGHT('112'!$M$9,2),B4072&lt;'112'!$K$9,$O4072='112'!$I$6)),"x",""))</f>
        <v/>
      </c>
      <c r="W4072" s="79" t="str">
        <f>IF(AND('341-CT'!$H$9=H4072,OR(LEFT(N4072,3)=$W$7,LEFT(O4072,3)=$W$7)),"x","")</f>
        <v/>
      </c>
      <c r="X4072" s="79" t="str">
        <f>IF(OR(TH!N4072=TH!$X$7,O4072=TH!$X$7),"x","")</f>
        <v/>
      </c>
      <c r="Y4072" s="79" t="str">
        <f>IF(AND(OR(N4072="131",O4072="131"),H4072='131-CT'!$H$9),"x","")</f>
        <v/>
      </c>
      <c r="Z4072" s="79"/>
      <c r="AA4072" s="79" t="str">
        <f>IF(AND(MONTH(E4072)='IN-NX'!$J$5,'IN-NX'!$D$7=D4072),"x","")</f>
        <v/>
      </c>
      <c r="AB4072" s="79" t="str">
        <f>IF(AND(OR(LEFT(TH!N4072,2)="15",LEFT(TH!O4072,2)="15"),LEFT(TH!O4072,3)&lt;&gt;"111",'152-CT'!$J$8=TH!F4072),"x","")</f>
        <v/>
      </c>
      <c r="AC4072" s="79" t="str">
        <f>IF(AND(OR(LEFT(TH!N4072,2)="15",LEFT(TH!O4072,2)="15"),TK!$E$7=TH!F4072),"x","")</f>
        <v/>
      </c>
      <c r="AD4072" s="79" t="str">
        <f>IF(AND(N4072="1521",MONTH(C4072)='BK-NL'!$M$11),"x","")</f>
        <v/>
      </c>
    </row>
    <row r="4073" spans="1:30" ht="16.5" customHeight="1">
      <c r="A4073" s="318" t="str">
        <f>IF(B4073&lt;&gt;"",IF(AND(B4073='IN-TC'!$S$4,OR(TH!N4073="1111",TH!O4073="1111")),TH!D4073,""),"")</f>
        <v/>
      </c>
      <c r="B4073" s="60" t="str">
        <f t="shared" si="432"/>
        <v/>
      </c>
      <c r="C4073" s="75"/>
      <c r="D4073" s="75"/>
      <c r="E4073" s="75"/>
      <c r="F4073" s="76"/>
      <c r="G4073" s="76"/>
      <c r="H4073" s="77"/>
      <c r="I4073" s="77"/>
      <c r="J4073" s="391"/>
      <c r="K4073" s="1247"/>
      <c r="L4073" s="1248"/>
      <c r="M4073" s="978"/>
      <c r="N4073" s="79"/>
      <c r="O4073" s="79"/>
      <c r="P4073" s="79" t="str">
        <f>IF(AND('331-CT'!$E$7=TH!H4073,OR(N4073="331",O4073="331")),"x","")</f>
        <v/>
      </c>
      <c r="Q4073" s="79" t="str">
        <f>IF(AND(B4073='111'!$L$11,OR($N4073=$Q$7,$O4073=$Q$7)),"x","")</f>
        <v/>
      </c>
      <c r="R4073" s="79" t="str">
        <f>IF(AND($N4073=$Q$7,$B4073&lt;'111'!$L$11),"x","")</f>
        <v/>
      </c>
      <c r="S4073" s="79" t="str">
        <f>IF(AND($O4073=$Q$7,$B4073&lt;'111'!$L$11),"x","")</f>
        <v/>
      </c>
      <c r="T4073" s="79" t="str">
        <f>IF(ISERROR(FIND('112'!$M$9,G4073,1)),"",IF((AND(FIND('112'!$M$9,G4073,1)&gt;=1,B4073='112'!$K$9,OR($N4073='112'!$I$6,$O4073='112'!$I$6))),"x",""))</f>
        <v/>
      </c>
      <c r="U4073" s="79" t="str">
        <f>IF(ISERROR(FIND('112'!$M$9,G4073,1)),"",IF((AND(LEFT(G4073,2)=LEFT('112'!$M$9,2),B4073&lt;'112'!$K$9,$N4073='112'!$I$6)),"x",""))</f>
        <v/>
      </c>
      <c r="V4073" s="79" t="str">
        <f>IF(ISERROR(FIND('112'!$M$9,G4073,1)),"",IF((AND(RIGHT(G4073,2)=RIGHT('112'!$M$9,2),B4073&lt;'112'!$K$9,$O4073='112'!$I$6)),"x",""))</f>
        <v/>
      </c>
      <c r="W4073" s="79" t="str">
        <f>IF(AND('341-CT'!$H$9=H4073,OR(LEFT(N4073,3)=$W$7,LEFT(O4073,3)=$W$7)),"x","")</f>
        <v/>
      </c>
      <c r="X4073" s="79" t="str">
        <f>IF(OR(TH!N4073=TH!$X$7,O4073=TH!$X$7),"x","")</f>
        <v/>
      </c>
      <c r="Y4073" s="79" t="str">
        <f>IF(AND(OR(N4073="131",O4073="131"),H4073='131-CT'!$H$9),"x","")</f>
        <v/>
      </c>
      <c r="Z4073" s="79"/>
      <c r="AA4073" s="79" t="str">
        <f>IF(AND(MONTH(E4073)='IN-NX'!$J$5,'IN-NX'!$D$7=D4073),"x","")</f>
        <v/>
      </c>
      <c r="AB4073" s="79" t="str">
        <f>IF(AND(OR(LEFT(TH!N4073,2)="15",LEFT(TH!O4073,2)="15"),LEFT(TH!O4073,3)&lt;&gt;"111",'152-CT'!$J$8=TH!F4073),"x","")</f>
        <v/>
      </c>
      <c r="AC4073" s="79" t="str">
        <f>IF(AND(OR(LEFT(TH!N4073,2)="15",LEFT(TH!O4073,2)="15"),TK!$E$7=TH!F4073),"x","")</f>
        <v/>
      </c>
      <c r="AD4073" s="79" t="str">
        <f>IF(AND(N4073="1521",MONTH(C4073)='BK-NL'!$M$11),"x","")</f>
        <v/>
      </c>
    </row>
    <row r="4074" spans="1:30" ht="16.5" customHeight="1">
      <c r="A4074" s="318" t="str">
        <f>IF(B4074&lt;&gt;"",IF(AND(B4074='IN-TC'!$S$4,OR(TH!N4074="1111",TH!O4074="1111")),TH!D4074,""),"")</f>
        <v/>
      </c>
      <c r="B4074" s="60" t="str">
        <f t="shared" si="432"/>
        <v/>
      </c>
      <c r="C4074" s="75"/>
      <c r="D4074" s="75"/>
      <c r="E4074" s="75"/>
      <c r="F4074" s="76"/>
      <c r="G4074" s="76"/>
      <c r="H4074" s="77"/>
      <c r="I4074" s="77"/>
      <c r="J4074" s="391"/>
      <c r="K4074" s="1247"/>
      <c r="L4074" s="1248"/>
      <c r="M4074" s="978"/>
      <c r="N4074" s="79"/>
      <c r="O4074" s="79"/>
      <c r="P4074" s="79" t="str">
        <f>IF(AND('331-CT'!$E$7=TH!H4074,OR(N4074="331",O4074="331")),"x","")</f>
        <v/>
      </c>
      <c r="Q4074" s="79" t="str">
        <f>IF(AND(B4074='111'!$L$11,OR($N4074=$Q$7,$O4074=$Q$7)),"x","")</f>
        <v/>
      </c>
      <c r="R4074" s="79" t="str">
        <f>IF(AND($N4074=$Q$7,$B4074&lt;'111'!$L$11),"x","")</f>
        <v/>
      </c>
      <c r="S4074" s="79" t="str">
        <f>IF(AND($O4074=$Q$7,$B4074&lt;'111'!$L$11),"x","")</f>
        <v/>
      </c>
      <c r="T4074" s="79" t="str">
        <f>IF(ISERROR(FIND('112'!$M$9,G4074,1)),"",IF((AND(FIND('112'!$M$9,G4074,1)&gt;=1,B4074='112'!$K$9,OR($N4074='112'!$I$6,$O4074='112'!$I$6))),"x",""))</f>
        <v/>
      </c>
      <c r="U4074" s="79" t="str">
        <f>IF(ISERROR(FIND('112'!$M$9,G4074,1)),"",IF((AND(LEFT(G4074,2)=LEFT('112'!$M$9,2),B4074&lt;'112'!$K$9,$N4074='112'!$I$6)),"x",""))</f>
        <v/>
      </c>
      <c r="V4074" s="79" t="str">
        <f>IF(ISERROR(FIND('112'!$M$9,G4074,1)),"",IF((AND(RIGHT(G4074,2)=RIGHT('112'!$M$9,2),B4074&lt;'112'!$K$9,$O4074='112'!$I$6)),"x",""))</f>
        <v/>
      </c>
      <c r="W4074" s="79" t="str">
        <f>IF(AND('341-CT'!$H$9=H4074,OR(LEFT(N4074,3)=$W$7,LEFT(O4074,3)=$W$7)),"x","")</f>
        <v/>
      </c>
      <c r="X4074" s="79" t="str">
        <f>IF(OR(TH!N4074=TH!$X$7,O4074=TH!$X$7),"x","")</f>
        <v/>
      </c>
      <c r="Y4074" s="79" t="str">
        <f>IF(AND(OR(N4074="131",O4074="131"),H4074='131-CT'!$H$9),"x","")</f>
        <v/>
      </c>
      <c r="Z4074" s="79"/>
      <c r="AA4074" s="79" t="str">
        <f>IF(AND(MONTH(E4074)='IN-NX'!$J$5,'IN-NX'!$D$7=D4074),"x","")</f>
        <v/>
      </c>
      <c r="AB4074" s="79" t="str">
        <f>IF(AND(OR(LEFT(TH!N4074,2)="15",LEFT(TH!O4074,2)="15"),LEFT(TH!O4074,3)&lt;&gt;"111",'152-CT'!$J$8=TH!F4074),"x","")</f>
        <v/>
      </c>
      <c r="AC4074" s="79" t="str">
        <f>IF(AND(OR(LEFT(TH!N4074,2)="15",LEFT(TH!O4074,2)="15"),TK!$E$7=TH!F4074),"x","")</f>
        <v/>
      </c>
      <c r="AD4074" s="79" t="str">
        <f>IF(AND(N4074="1521",MONTH(C4074)='BK-NL'!$M$11),"x","")</f>
        <v/>
      </c>
    </row>
    <row r="4075" spans="1:30" ht="16.5" customHeight="1">
      <c r="A4075" s="318" t="str">
        <f>IF(B4075&lt;&gt;"",IF(AND(B4075='IN-TC'!$S$4,OR(TH!N4075="1111",TH!O4075="1111")),TH!D4075,""),"")</f>
        <v/>
      </c>
      <c r="B4075" s="60" t="str">
        <f t="shared" si="432"/>
        <v/>
      </c>
      <c r="C4075" s="75"/>
      <c r="D4075" s="75"/>
      <c r="E4075" s="75"/>
      <c r="F4075" s="76"/>
      <c r="G4075" s="76"/>
      <c r="H4075" s="77"/>
      <c r="I4075" s="77"/>
      <c r="J4075" s="391"/>
      <c r="K4075" s="1247"/>
      <c r="L4075" s="1248"/>
      <c r="M4075" s="78"/>
      <c r="N4075" s="79"/>
      <c r="O4075" s="979"/>
      <c r="P4075" s="79" t="str">
        <f>IF(AND('331-CT'!$E$7=TH!H4075,OR(N4075="331",O4075="331")),"x","")</f>
        <v/>
      </c>
      <c r="Q4075" s="79" t="str">
        <f>IF(AND(B4075='111'!$L$11,OR($N4075=$Q$7,$O4075=$Q$7)),"x","")</f>
        <v/>
      </c>
      <c r="R4075" s="79" t="str">
        <f>IF(AND($N4075=$Q$7,$B4075&lt;'111'!$L$11),"x","")</f>
        <v/>
      </c>
      <c r="S4075" s="79" t="str">
        <f>IF(AND($O4075=$Q$7,$B4075&lt;'111'!$L$11),"x","")</f>
        <v/>
      </c>
      <c r="T4075" s="79" t="str">
        <f>IF(ISERROR(FIND('112'!$M$9,G4075,1)),"",IF((AND(FIND('112'!$M$9,G4075,1)&gt;=1,B4075='112'!$K$9,OR($N4075='112'!$I$6,$O4075='112'!$I$6))),"x",""))</f>
        <v/>
      </c>
      <c r="U4075" s="79" t="str">
        <f>IF(ISERROR(FIND('112'!$M$9,G4075,1)),"",IF((AND(LEFT(G4075,2)=LEFT('112'!$M$9,2),B4075&lt;'112'!$K$9,$N4075='112'!$I$6)),"x",""))</f>
        <v/>
      </c>
      <c r="V4075" s="79" t="str">
        <f>IF(ISERROR(FIND('112'!$M$9,G4075,1)),"",IF((AND(RIGHT(G4075,2)=RIGHT('112'!$M$9,2),B4075&lt;'112'!$K$9,$O4075='112'!$I$6)),"x",""))</f>
        <v/>
      </c>
      <c r="W4075" s="79" t="str">
        <f>IF(AND('341-CT'!$H$9=H4075,OR(LEFT(N4075,3)=$W$7,LEFT(O4075,3)=$W$7)),"x","")</f>
        <v/>
      </c>
      <c r="X4075" s="79" t="str">
        <f>IF(OR(TH!N4075=TH!$X$7,O4075=TH!$X$7),"x","")</f>
        <v/>
      </c>
      <c r="Y4075" s="79" t="str">
        <f>IF(AND(OR(N4075="131",O4075="131"),H4075='131-CT'!$H$9),"x","")</f>
        <v/>
      </c>
      <c r="Z4075" s="79"/>
      <c r="AA4075" s="79" t="str">
        <f>IF(AND(MONTH(E4075)='IN-NX'!$J$5,'IN-NX'!$D$7=D4075),"x","")</f>
        <v/>
      </c>
      <c r="AB4075" s="79" t="str">
        <f>IF(AND(OR(LEFT(TH!N4075,2)="15",LEFT(TH!O4075,2)="15"),LEFT(TH!O4075,3)&lt;&gt;"111",'152-CT'!$J$8=TH!F4075),"x","")</f>
        <v/>
      </c>
      <c r="AC4075" s="79" t="str">
        <f>IF(AND(OR(LEFT(TH!N4075,2)="15",LEFT(TH!O4075,2)="15"),TK!$E$7=TH!F4075),"x","")</f>
        <v/>
      </c>
      <c r="AD4075" s="79" t="str">
        <f>IF(AND(N4075="1521",MONTH(C4075)='BK-NL'!$M$11),"x","")</f>
        <v/>
      </c>
    </row>
    <row r="4076" spans="1:30" ht="16.5" customHeight="1">
      <c r="A4076" s="318" t="str">
        <f>IF(B4076&lt;&gt;"",IF(AND(B4076='IN-TC'!$S$4,OR(TH!N4076="1111",TH!O4076="1111")),TH!D4076,""),"")</f>
        <v/>
      </c>
      <c r="B4076" s="60" t="str">
        <f t="shared" si="432"/>
        <v/>
      </c>
      <c r="C4076" s="75"/>
      <c r="D4076" s="75"/>
      <c r="E4076" s="75"/>
      <c r="F4076" s="76"/>
      <c r="G4076" s="76"/>
      <c r="H4076" s="77"/>
      <c r="I4076" s="77"/>
      <c r="J4076" s="391"/>
      <c r="K4076" s="383"/>
      <c r="L4076" s="390"/>
      <c r="M4076" s="978"/>
      <c r="N4076" s="79"/>
      <c r="O4076" s="979"/>
      <c r="P4076" s="79" t="str">
        <f>IF(AND('331-CT'!$E$7=TH!H4076,OR(N4076="331",O4076="331")),"x","")</f>
        <v/>
      </c>
      <c r="Q4076" s="79" t="str">
        <f>IF(AND(B4076='111'!$L$11,OR($N4076=$Q$7,$O4076=$Q$7)),"x","")</f>
        <v/>
      </c>
      <c r="R4076" s="79" t="str">
        <f>IF(AND($N4076=$Q$7,$B4076&lt;'111'!$L$11),"x","")</f>
        <v/>
      </c>
      <c r="S4076" s="79" t="str">
        <f>IF(AND($O4076=$Q$7,$B4076&lt;'111'!$L$11),"x","")</f>
        <v/>
      </c>
      <c r="T4076" s="79" t="str">
        <f>IF(ISERROR(FIND('112'!$M$9,G4076,1)),"",IF((AND(FIND('112'!$M$9,G4076,1)&gt;=1,B4076='112'!$K$9,OR($N4076='112'!$I$6,$O4076='112'!$I$6))),"x",""))</f>
        <v/>
      </c>
      <c r="U4076" s="79" t="str">
        <f>IF(ISERROR(FIND('112'!$M$9,G4076,1)),"",IF((AND(LEFT(G4076,2)=LEFT('112'!$M$9,2),B4076&lt;'112'!$K$9,$N4076='112'!$I$6)),"x",""))</f>
        <v/>
      </c>
      <c r="V4076" s="79" t="str">
        <f>IF(ISERROR(FIND('112'!$M$9,G4076,1)),"",IF((AND(RIGHT(G4076,2)=RIGHT('112'!$M$9,2),B4076&lt;'112'!$K$9,$O4076='112'!$I$6)),"x",""))</f>
        <v/>
      </c>
      <c r="W4076" s="79" t="str">
        <f>IF(AND('341-CT'!$H$9=H4076,OR(LEFT(N4076,3)=$W$7,LEFT(O4076,3)=$W$7)),"x","")</f>
        <v/>
      </c>
      <c r="X4076" s="79" t="str">
        <f>IF(OR(TH!N4076=TH!$X$7,O4076=TH!$X$7),"x","")</f>
        <v/>
      </c>
      <c r="Y4076" s="79" t="str">
        <f>IF(AND(OR(N4076="131",O4076="131"),H4076='131-CT'!$H$9),"x","")</f>
        <v/>
      </c>
      <c r="Z4076" s="79"/>
      <c r="AA4076" s="79" t="str">
        <f>IF(AND(MONTH(E4076)='IN-NX'!$J$5,'IN-NX'!$D$7=D4076),"x","")</f>
        <v/>
      </c>
      <c r="AB4076" s="79" t="str">
        <f>IF(AND(OR(LEFT(TH!N4076,2)="15",LEFT(TH!O4076,2)="15"),LEFT(TH!O4076,3)&lt;&gt;"111",'152-CT'!$J$8=TH!F4076),"x","")</f>
        <v/>
      </c>
      <c r="AC4076" s="79" t="str">
        <f>IF(AND(OR(LEFT(TH!N4076,2)="15",LEFT(TH!O4076,2)="15"),TK!$E$7=TH!F4076),"x","")</f>
        <v/>
      </c>
      <c r="AD4076" s="79" t="str">
        <f>IF(AND(N4076="1521",MONTH(C4076)='BK-NL'!$M$11),"x","")</f>
        <v/>
      </c>
    </row>
    <row r="4077" spans="1:30" ht="16.5" customHeight="1">
      <c r="A4077" s="318" t="str">
        <f>IF(B4077&lt;&gt;"",IF(AND(B4077='IN-TC'!$S$4,OR(TH!N4077="1111",TH!O4077="1111")),TH!D4077,""),"")</f>
        <v/>
      </c>
      <c r="B4077" s="60" t="str">
        <f t="shared" si="432"/>
        <v/>
      </c>
      <c r="C4077" s="75"/>
      <c r="D4077" s="75"/>
      <c r="E4077" s="75"/>
      <c r="F4077" s="76"/>
      <c r="G4077" s="76"/>
      <c r="H4077" s="77"/>
      <c r="I4077" s="77"/>
      <c r="J4077" s="391"/>
      <c r="K4077" s="1247"/>
      <c r="L4077" s="1248"/>
      <c r="M4077" s="978"/>
      <c r="N4077" s="79"/>
      <c r="O4077" s="79"/>
      <c r="P4077" s="79" t="str">
        <f>IF(AND('331-CT'!$E$7=TH!H4077,OR(N4077="331",O4077="331")),"x","")</f>
        <v/>
      </c>
      <c r="Q4077" s="79" t="str">
        <f>IF(AND(B4077='111'!$L$11,OR($N4077=$Q$7,$O4077=$Q$7)),"x","")</f>
        <v/>
      </c>
      <c r="R4077" s="79" t="str">
        <f>IF(AND($N4077=$Q$7,$B4077&lt;'111'!$L$11),"x","")</f>
        <v/>
      </c>
      <c r="S4077" s="79" t="str">
        <f>IF(AND($O4077=$Q$7,$B4077&lt;'111'!$L$11),"x","")</f>
        <v/>
      </c>
      <c r="T4077" s="79" t="str">
        <f>IF(ISERROR(FIND('112'!$M$9,G4077,1)),"",IF((AND(FIND('112'!$M$9,G4077,1)&gt;=1,B4077='112'!$K$9,OR($N4077='112'!$I$6,$O4077='112'!$I$6))),"x",""))</f>
        <v/>
      </c>
      <c r="U4077" s="79" t="str">
        <f>IF(ISERROR(FIND('112'!$M$9,G4077,1)),"",IF((AND(LEFT(G4077,2)=LEFT('112'!$M$9,2),B4077&lt;'112'!$K$9,$N4077='112'!$I$6)),"x",""))</f>
        <v/>
      </c>
      <c r="V4077" s="79" t="str">
        <f>IF(ISERROR(FIND('112'!$M$9,G4077,1)),"",IF((AND(RIGHT(G4077,2)=RIGHT('112'!$M$9,2),B4077&lt;'112'!$K$9,$O4077='112'!$I$6)),"x",""))</f>
        <v/>
      </c>
      <c r="W4077" s="79" t="str">
        <f>IF(AND('341-CT'!$H$9=H4077,OR(LEFT(N4077,3)=$W$7,LEFT(O4077,3)=$W$7)),"x","")</f>
        <v/>
      </c>
      <c r="X4077" s="79" t="str">
        <f>IF(OR(TH!N4077=TH!$X$7,O4077=TH!$X$7),"x","")</f>
        <v/>
      </c>
      <c r="Y4077" s="79" t="str">
        <f>IF(AND(OR(N4077="131",O4077="131"),H4077='131-CT'!$H$9),"x","")</f>
        <v/>
      </c>
      <c r="Z4077" s="79"/>
      <c r="AA4077" s="79" t="str">
        <f>IF(AND(MONTH(E4077)='IN-NX'!$J$5,'IN-NX'!$D$7=D4077),"x","")</f>
        <v/>
      </c>
      <c r="AB4077" s="79" t="str">
        <f>IF(AND(OR(LEFT(TH!N4077,2)="15",LEFT(TH!O4077,2)="15"),LEFT(TH!O4077,3)&lt;&gt;"111",'152-CT'!$J$8=TH!F4077),"x","")</f>
        <v/>
      </c>
      <c r="AC4077" s="79" t="str">
        <f>IF(AND(OR(LEFT(TH!N4077,2)="15",LEFT(TH!O4077,2)="15"),TK!$E$7=TH!F4077),"x","")</f>
        <v/>
      </c>
      <c r="AD4077" s="79" t="str">
        <f>IF(AND(N4077="1521",MONTH(C4077)='BK-NL'!$M$11),"x","")</f>
        <v/>
      </c>
    </row>
    <row r="4078" spans="1:30" ht="16.5" customHeight="1">
      <c r="A4078" s="318" t="str">
        <f>IF(B4078&lt;&gt;"",IF(AND(B4078='IN-TC'!$S$4,OR(TH!N4078="1111",TH!O4078="1111")),TH!D4078,""),"")</f>
        <v/>
      </c>
      <c r="B4078" s="60" t="str">
        <f t="shared" si="432"/>
        <v/>
      </c>
      <c r="C4078" s="75"/>
      <c r="D4078" s="75"/>
      <c r="E4078" s="75"/>
      <c r="F4078" s="76"/>
      <c r="G4078" s="76"/>
      <c r="H4078" s="77"/>
      <c r="I4078" s="77"/>
      <c r="J4078" s="391"/>
      <c r="K4078" s="1247"/>
      <c r="L4078" s="1248"/>
      <c r="M4078" s="978"/>
      <c r="N4078" s="79"/>
      <c r="O4078" s="79"/>
      <c r="P4078" s="79" t="str">
        <f>IF(AND('331-CT'!$E$7=TH!H4078,OR(N4078="331",O4078="331")),"x","")</f>
        <v/>
      </c>
      <c r="Q4078" s="79" t="str">
        <f>IF(AND(B4078='111'!$L$11,OR($N4078=$Q$7,$O4078=$Q$7)),"x","")</f>
        <v/>
      </c>
      <c r="R4078" s="79" t="str">
        <f>IF(AND($N4078=$Q$7,$B4078&lt;'111'!$L$11),"x","")</f>
        <v/>
      </c>
      <c r="S4078" s="79" t="str">
        <f>IF(AND($O4078=$Q$7,$B4078&lt;'111'!$L$11),"x","")</f>
        <v/>
      </c>
      <c r="T4078" s="79" t="str">
        <f>IF(ISERROR(FIND('112'!$M$9,G4078,1)),"",IF((AND(FIND('112'!$M$9,G4078,1)&gt;=1,B4078='112'!$K$9,OR($N4078='112'!$I$6,$O4078='112'!$I$6))),"x",""))</f>
        <v/>
      </c>
      <c r="U4078" s="79" t="str">
        <f>IF(ISERROR(FIND('112'!$M$9,G4078,1)),"",IF((AND(LEFT(G4078,2)=LEFT('112'!$M$9,2),B4078&lt;'112'!$K$9,$N4078='112'!$I$6)),"x",""))</f>
        <v/>
      </c>
      <c r="V4078" s="79" t="str">
        <f>IF(ISERROR(FIND('112'!$M$9,G4078,1)),"",IF((AND(RIGHT(G4078,2)=RIGHT('112'!$M$9,2),B4078&lt;'112'!$K$9,$O4078='112'!$I$6)),"x",""))</f>
        <v/>
      </c>
      <c r="W4078" s="79" t="str">
        <f>IF(AND('341-CT'!$H$9=H4078,OR(LEFT(N4078,3)=$W$7,LEFT(O4078,3)=$W$7)),"x","")</f>
        <v/>
      </c>
      <c r="X4078" s="79" t="str">
        <f>IF(OR(TH!N4078=TH!$X$7,O4078=TH!$X$7),"x","")</f>
        <v/>
      </c>
      <c r="Y4078" s="79" t="str">
        <f>IF(AND(OR(N4078="131",O4078="131"),H4078='131-CT'!$H$9),"x","")</f>
        <v/>
      </c>
      <c r="Z4078" s="79"/>
      <c r="AA4078" s="79" t="str">
        <f>IF(AND(MONTH(E4078)='IN-NX'!$J$5,'IN-NX'!$D$7=D4078),"x","")</f>
        <v/>
      </c>
      <c r="AB4078" s="79" t="str">
        <f>IF(AND(OR(LEFT(TH!N4078,2)="15",LEFT(TH!O4078,2)="15"),LEFT(TH!O4078,3)&lt;&gt;"111",'152-CT'!$J$8=TH!F4078),"x","")</f>
        <v/>
      </c>
      <c r="AC4078" s="79" t="str">
        <f>IF(AND(OR(LEFT(TH!N4078,2)="15",LEFT(TH!O4078,2)="15"),TK!$E$7=TH!F4078),"x","")</f>
        <v/>
      </c>
      <c r="AD4078" s="79" t="str">
        <f>IF(AND(N4078="1521",MONTH(C4078)='BK-NL'!$M$11),"x","")</f>
        <v/>
      </c>
    </row>
    <row r="4079" spans="1:30" ht="16.5" customHeight="1">
      <c r="A4079" s="318" t="str">
        <f>IF(B4079&lt;&gt;"",IF(AND(B4079='IN-TC'!$S$4,OR(TH!N4079="1111",TH!O4079="1111")),TH!D4079,""),"")</f>
        <v/>
      </c>
      <c r="B4079" s="60" t="str">
        <f t="shared" ref="B4079" si="433">IF(C4079&lt;&gt;"",MONTH(C4079),"")</f>
        <v/>
      </c>
      <c r="C4079" s="75"/>
      <c r="D4079" s="75"/>
      <c r="E4079" s="75"/>
      <c r="F4079" s="76"/>
      <c r="G4079" s="76"/>
      <c r="H4079" s="77"/>
      <c r="I4079" s="77"/>
      <c r="J4079" s="391"/>
      <c r="K4079" s="1247"/>
      <c r="L4079" s="1248"/>
      <c r="M4079" s="978"/>
      <c r="N4079" s="79"/>
      <c r="O4079" s="79"/>
      <c r="P4079" s="79" t="str">
        <f>IF(AND('331-CT'!$E$7=TH!H4079,OR(N4079="331",O4079="331")),"x","")</f>
        <v/>
      </c>
      <c r="Q4079" s="79" t="str">
        <f>IF(AND(B4079='111'!$L$11,OR($N4079=$Q$7,$O4079=$Q$7)),"x","")</f>
        <v/>
      </c>
      <c r="R4079" s="79" t="str">
        <f>IF(AND($N4079=$Q$7,$B4079&lt;'111'!$L$11),"x","")</f>
        <v/>
      </c>
      <c r="S4079" s="79" t="str">
        <f>IF(AND($O4079=$Q$7,$B4079&lt;'111'!$L$11),"x","")</f>
        <v/>
      </c>
      <c r="T4079" s="79" t="str">
        <f>IF(ISERROR(FIND('112'!$M$9,G4079,1)),"",IF((AND(FIND('112'!$M$9,G4079,1)&gt;=1,B4079='112'!$K$9,OR($N4079='112'!$I$6,$O4079='112'!$I$6))),"x",""))</f>
        <v/>
      </c>
      <c r="U4079" s="79" t="str">
        <f>IF(ISERROR(FIND('112'!$M$9,G4079,1)),"",IF((AND(LEFT(G4079,2)=LEFT('112'!$M$9,2),B4079&lt;'112'!$K$9,$N4079='112'!$I$6)),"x",""))</f>
        <v/>
      </c>
      <c r="V4079" s="79" t="str">
        <f>IF(ISERROR(FIND('112'!$M$9,G4079,1)),"",IF((AND(RIGHT(G4079,2)=RIGHT('112'!$M$9,2),B4079&lt;'112'!$K$9,$O4079='112'!$I$6)),"x",""))</f>
        <v/>
      </c>
      <c r="W4079" s="79" t="str">
        <f>IF(AND('341-CT'!$H$9=H4079,OR(LEFT(N4079,3)=$W$7,LEFT(O4079,3)=$W$7)),"x","")</f>
        <v/>
      </c>
      <c r="X4079" s="79" t="str">
        <f>IF(OR(TH!N4079=TH!$X$7,O4079=TH!$X$7),"x","")</f>
        <v/>
      </c>
      <c r="Y4079" s="79" t="str">
        <f>IF(AND(OR(N4079="131",O4079="131"),H4079='131-CT'!$H$9),"x","")</f>
        <v/>
      </c>
      <c r="Z4079" s="79"/>
      <c r="AA4079" s="79" t="str">
        <f>IF(AND(MONTH(E4079)='IN-NX'!$J$5,'IN-NX'!$D$7=D4079),"x","")</f>
        <v/>
      </c>
      <c r="AB4079" s="79" t="str">
        <f>IF(AND(OR(LEFT(TH!N4079,2)="15",LEFT(TH!O4079,2)="15"),LEFT(TH!O4079,3)&lt;&gt;"111",'152-CT'!$J$8=TH!F4079),"x","")</f>
        <v/>
      </c>
      <c r="AC4079" s="79" t="str">
        <f>IF(AND(OR(LEFT(TH!N4079,2)="15",LEFT(TH!O4079,2)="15"),TK!$E$7=TH!F4079),"x","")</f>
        <v/>
      </c>
      <c r="AD4079" s="79" t="str">
        <f>IF(AND(N4079="1521",MONTH(C4079)='BK-NL'!$M$11),"x","")</f>
        <v/>
      </c>
    </row>
    <row r="4080" spans="1:30" ht="16.5" customHeight="1">
      <c r="A4080" s="318" t="str">
        <f>IF(B4080&lt;&gt;"",IF(AND(B4080='IN-TC'!$S$4,OR(TH!N4080="1111",TH!O4080="1111")),TH!D4080,""),"")</f>
        <v/>
      </c>
      <c r="B4080" s="60" t="str">
        <f t="shared" si="432"/>
        <v/>
      </c>
      <c r="C4080" s="75"/>
      <c r="D4080" s="75"/>
      <c r="E4080" s="75"/>
      <c r="F4080" s="76"/>
      <c r="G4080" s="76"/>
      <c r="H4080" s="77"/>
      <c r="I4080" s="77"/>
      <c r="J4080" s="391"/>
      <c r="K4080" s="1247"/>
      <c r="L4080" s="1248"/>
      <c r="M4080" s="978"/>
      <c r="N4080" s="79"/>
      <c r="O4080" s="79"/>
      <c r="P4080" s="79" t="str">
        <f>IF(AND('331-CT'!$E$7=TH!H4080,OR(N4080="331",O4080="331")),"x","")</f>
        <v/>
      </c>
      <c r="Q4080" s="79" t="str">
        <f>IF(AND(B4080='111'!$L$11,OR($N4080=$Q$7,$O4080=$Q$7)),"x","")</f>
        <v/>
      </c>
      <c r="R4080" s="79" t="str">
        <f>IF(AND($N4080=$Q$7,$B4080&lt;'111'!$L$11),"x","")</f>
        <v/>
      </c>
      <c r="S4080" s="79" t="str">
        <f>IF(AND($O4080=$Q$7,$B4080&lt;'111'!$L$11),"x","")</f>
        <v/>
      </c>
      <c r="T4080" s="79" t="str">
        <f>IF(ISERROR(FIND('112'!$M$9,G4080,1)),"",IF((AND(FIND('112'!$M$9,G4080,1)&gt;=1,B4080='112'!$K$9,OR($N4080='112'!$I$6,$O4080='112'!$I$6))),"x",""))</f>
        <v/>
      </c>
      <c r="U4080" s="79" t="str">
        <f>IF(ISERROR(FIND('112'!$M$9,G4080,1)),"",IF((AND(LEFT(G4080,2)=LEFT('112'!$M$9,2),B4080&lt;'112'!$K$9,$N4080='112'!$I$6)),"x",""))</f>
        <v/>
      </c>
      <c r="V4080" s="79" t="str">
        <f>IF(ISERROR(FIND('112'!$M$9,G4080,1)),"",IF((AND(RIGHT(G4080,2)=RIGHT('112'!$M$9,2),B4080&lt;'112'!$K$9,$O4080='112'!$I$6)),"x",""))</f>
        <v/>
      </c>
      <c r="W4080" s="79" t="str">
        <f>IF(AND('341-CT'!$H$9=H4080,OR(LEFT(N4080,3)=$W$7,LEFT(O4080,3)=$W$7)),"x","")</f>
        <v/>
      </c>
      <c r="X4080" s="79" t="str">
        <f>IF(OR(TH!N4080=TH!$X$7,O4080=TH!$X$7),"x","")</f>
        <v/>
      </c>
      <c r="Y4080" s="79" t="str">
        <f>IF(AND(OR(N4080="131",O4080="131"),H4080='131-CT'!$H$9),"x","")</f>
        <v/>
      </c>
      <c r="Z4080" s="79"/>
      <c r="AA4080" s="79" t="str">
        <f>IF(AND(MONTH(E4080)='IN-NX'!$J$5,'IN-NX'!$D$7=D4080),"x","")</f>
        <v/>
      </c>
      <c r="AB4080" s="79" t="str">
        <f>IF(AND(OR(LEFT(TH!N4080,2)="15",LEFT(TH!O4080,2)="15"),LEFT(TH!O4080,3)&lt;&gt;"111",'152-CT'!$J$8=TH!F4080),"x","")</f>
        <v/>
      </c>
      <c r="AC4080" s="79" t="str">
        <f>IF(AND(OR(LEFT(TH!N4080,2)="15",LEFT(TH!O4080,2)="15"),TK!$E$7=TH!F4080),"x","")</f>
        <v/>
      </c>
      <c r="AD4080" s="79" t="str">
        <f>IF(AND(N4080="1521",MONTH(C4080)='BK-NL'!$M$11),"x","")</f>
        <v/>
      </c>
    </row>
    <row r="4081" spans="1:30" ht="16.5" customHeight="1">
      <c r="A4081" s="318" t="str">
        <f>IF(B4081&lt;&gt;"",IF(AND(B4081='IN-TC'!$S$4,OR(TH!N4081="1111",TH!O4081="1111")),TH!D4081,""),"")</f>
        <v/>
      </c>
      <c r="B4081" s="60" t="str">
        <f t="shared" si="432"/>
        <v/>
      </c>
      <c r="C4081" s="75"/>
      <c r="D4081" s="75"/>
      <c r="E4081" s="75"/>
      <c r="F4081" s="76"/>
      <c r="G4081" s="76"/>
      <c r="H4081" s="77"/>
      <c r="I4081" s="77"/>
      <c r="J4081" s="391"/>
      <c r="K4081" s="1247"/>
      <c r="L4081" s="1248"/>
      <c r="M4081" s="978"/>
      <c r="N4081" s="79"/>
      <c r="O4081" s="79"/>
      <c r="P4081" s="79" t="str">
        <f>IF(AND('331-CT'!$E$7=TH!H4081,OR(N4081="331",O4081="331")),"x","")</f>
        <v/>
      </c>
      <c r="Q4081" s="79" t="str">
        <f>IF(AND(B4081='111'!$L$11,OR($N4081=$Q$7,$O4081=$Q$7)),"x","")</f>
        <v/>
      </c>
      <c r="R4081" s="79" t="str">
        <f>IF(AND($N4081=$Q$7,$B4081&lt;'111'!$L$11),"x","")</f>
        <v/>
      </c>
      <c r="S4081" s="79" t="str">
        <f>IF(AND($O4081=$Q$7,$B4081&lt;'111'!$L$11),"x","")</f>
        <v/>
      </c>
      <c r="T4081" s="79" t="str">
        <f>IF(ISERROR(FIND('112'!$M$9,G4081,1)),"",IF((AND(FIND('112'!$M$9,G4081,1)&gt;=1,B4081='112'!$K$9,OR($N4081='112'!$I$6,$O4081='112'!$I$6))),"x",""))</f>
        <v/>
      </c>
      <c r="U4081" s="79" t="str">
        <f>IF(ISERROR(FIND('112'!$M$9,G4081,1)),"",IF((AND(LEFT(G4081,2)=LEFT('112'!$M$9,2),B4081&lt;'112'!$K$9,$N4081='112'!$I$6)),"x",""))</f>
        <v/>
      </c>
      <c r="V4081" s="79" t="str">
        <f>IF(ISERROR(FIND('112'!$M$9,G4081,1)),"",IF((AND(RIGHT(G4081,2)=RIGHT('112'!$M$9,2),B4081&lt;'112'!$K$9,$O4081='112'!$I$6)),"x",""))</f>
        <v/>
      </c>
      <c r="W4081" s="79" t="str">
        <f>IF(AND('341-CT'!$H$9=H4081,OR(LEFT(N4081,3)=$W$7,LEFT(O4081,3)=$W$7)),"x","")</f>
        <v/>
      </c>
      <c r="X4081" s="79" t="str">
        <f>IF(OR(TH!N4081=TH!$X$7,O4081=TH!$X$7),"x","")</f>
        <v/>
      </c>
      <c r="Y4081" s="79" t="str">
        <f>IF(AND(OR(N4081="131",O4081="131"),H4081='131-CT'!$H$9),"x","")</f>
        <v/>
      </c>
      <c r="Z4081" s="79"/>
      <c r="AA4081" s="79" t="str">
        <f>IF(AND(MONTH(E4081)='IN-NX'!$J$5,'IN-NX'!$D$7=D4081),"x","")</f>
        <v/>
      </c>
      <c r="AB4081" s="79" t="str">
        <f>IF(AND(OR(LEFT(TH!N4081,2)="15",LEFT(TH!O4081,2)="15"),LEFT(TH!O4081,3)&lt;&gt;"111",'152-CT'!$J$8=TH!F4081),"x","")</f>
        <v/>
      </c>
      <c r="AC4081" s="79" t="str">
        <f>IF(AND(OR(LEFT(TH!N4081,2)="15",LEFT(TH!O4081,2)="15"),TK!$E$7=TH!F4081),"x","")</f>
        <v/>
      </c>
      <c r="AD4081" s="79" t="str">
        <f>IF(AND(N4081="1521",MONTH(C4081)='BK-NL'!$M$11),"x","")</f>
        <v/>
      </c>
    </row>
    <row r="4082" spans="1:30" ht="16.5" customHeight="1">
      <c r="A4082" s="318" t="str">
        <f>IF(B4082&lt;&gt;"",IF(AND(B4082='IN-TC'!$S$4,OR(TH!N4082="1111",TH!O4082="1111")),TH!D4082,""),"")</f>
        <v/>
      </c>
      <c r="B4082" s="60" t="str">
        <f t="shared" si="432"/>
        <v/>
      </c>
      <c r="C4082" s="75"/>
      <c r="D4082" s="75"/>
      <c r="E4082" s="75"/>
      <c r="F4082" s="76"/>
      <c r="G4082" s="76"/>
      <c r="H4082" s="77"/>
      <c r="I4082" s="77"/>
      <c r="J4082" s="391"/>
      <c r="K4082" s="1247"/>
      <c r="L4082" s="1248"/>
      <c r="M4082" s="78"/>
      <c r="N4082" s="79"/>
      <c r="O4082" s="979"/>
      <c r="P4082" s="79" t="str">
        <f>IF(AND('331-CT'!$E$7=TH!H4082,OR(N4082="331",O4082="331")),"x","")</f>
        <v/>
      </c>
      <c r="Q4082" s="79" t="str">
        <f>IF(AND(B4082='111'!$L$11,OR($N4082=$Q$7,$O4082=$Q$7)),"x","")</f>
        <v/>
      </c>
      <c r="R4082" s="79" t="str">
        <f>IF(AND($N4082=$Q$7,$B4082&lt;'111'!$L$11),"x","")</f>
        <v/>
      </c>
      <c r="S4082" s="79" t="str">
        <f>IF(AND($O4082=$Q$7,$B4082&lt;'111'!$L$11),"x","")</f>
        <v/>
      </c>
      <c r="T4082" s="79" t="str">
        <f>IF(ISERROR(FIND('112'!$M$9,G4082,1)),"",IF((AND(FIND('112'!$M$9,G4082,1)&gt;=1,B4082='112'!$K$9,OR($N4082='112'!$I$6,$O4082='112'!$I$6))),"x",""))</f>
        <v/>
      </c>
      <c r="U4082" s="79" t="str">
        <f>IF(ISERROR(FIND('112'!$M$9,G4082,1)),"",IF((AND(LEFT(G4082,2)=LEFT('112'!$M$9,2),B4082&lt;'112'!$K$9,$N4082='112'!$I$6)),"x",""))</f>
        <v/>
      </c>
      <c r="V4082" s="79" t="str">
        <f>IF(ISERROR(FIND('112'!$M$9,G4082,1)),"",IF((AND(RIGHT(G4082,2)=RIGHT('112'!$M$9,2),B4082&lt;'112'!$K$9,$O4082='112'!$I$6)),"x",""))</f>
        <v/>
      </c>
      <c r="W4082" s="79" t="str">
        <f>IF(AND('341-CT'!$H$9=H4082,OR(LEFT(N4082,3)=$W$7,LEFT(O4082,3)=$W$7)),"x","")</f>
        <v/>
      </c>
      <c r="X4082" s="79" t="str">
        <f>IF(OR(TH!N4082=TH!$X$7,O4082=TH!$X$7),"x","")</f>
        <v/>
      </c>
      <c r="Y4082" s="79" t="str">
        <f>IF(AND(OR(N4082="131",O4082="131"),H4082='131-CT'!$H$9),"x","")</f>
        <v/>
      </c>
      <c r="Z4082" s="79"/>
      <c r="AA4082" s="79" t="str">
        <f>IF(AND(MONTH(E4082)='IN-NX'!$J$5,'IN-NX'!$D$7=D4082),"x","")</f>
        <v/>
      </c>
      <c r="AB4082" s="79" t="str">
        <f>IF(AND(OR(LEFT(TH!N4082,2)="15",LEFT(TH!O4082,2)="15"),LEFT(TH!O4082,3)&lt;&gt;"111",'152-CT'!$J$8=TH!F4082),"x","")</f>
        <v/>
      </c>
      <c r="AC4082" s="79" t="str">
        <f>IF(AND(OR(LEFT(TH!N4082,2)="15",LEFT(TH!O4082,2)="15"),TK!$E$7=TH!F4082),"x","")</f>
        <v/>
      </c>
      <c r="AD4082" s="79" t="str">
        <f>IF(AND(N4082="1521",MONTH(C4082)='BK-NL'!$M$11),"x","")</f>
        <v/>
      </c>
    </row>
    <row r="4083" spans="1:30" ht="16.5" customHeight="1">
      <c r="A4083" s="318" t="str">
        <f>IF(B4083&lt;&gt;"",IF(AND(B4083='IN-TC'!$S$4,OR(TH!N4083="1111",TH!O4083="1111")),TH!D4083,""),"")</f>
        <v/>
      </c>
      <c r="B4083" s="60" t="str">
        <f t="shared" si="432"/>
        <v/>
      </c>
      <c r="C4083" s="75"/>
      <c r="D4083" s="75"/>
      <c r="E4083" s="75"/>
      <c r="F4083" s="76"/>
      <c r="G4083" s="76"/>
      <c r="H4083" s="85"/>
      <c r="I4083" s="77"/>
      <c r="J4083" s="391"/>
      <c r="K4083" s="383"/>
      <c r="L4083" s="1248"/>
      <c r="M4083" s="978"/>
      <c r="N4083" s="79"/>
      <c r="O4083" s="79"/>
      <c r="P4083" s="79" t="str">
        <f>IF(AND('331-CT'!$E$7=TH!H4083,OR(N4083="331",O4083="331")),"x","")</f>
        <v/>
      </c>
      <c r="Q4083" s="79" t="str">
        <f>IF(AND(B4083='111'!$L$11,OR($N4083=$Q$7,$O4083=$Q$7)),"x","")</f>
        <v/>
      </c>
      <c r="R4083" s="79" t="str">
        <f>IF(AND($N4083=$Q$7,$B4083&lt;'111'!$L$11),"x","")</f>
        <v/>
      </c>
      <c r="S4083" s="79" t="str">
        <f>IF(AND($O4083=$Q$7,$B4083&lt;'111'!$L$11),"x","")</f>
        <v/>
      </c>
      <c r="T4083" s="79" t="str">
        <f>IF(ISERROR(FIND('112'!$M$9,G4083,1)),"",IF((AND(FIND('112'!$M$9,G4083,1)&gt;=1,B4083='112'!$K$9,OR($N4083='112'!$I$6,$O4083='112'!$I$6))),"x",""))</f>
        <v/>
      </c>
      <c r="U4083" s="79" t="str">
        <f>IF(ISERROR(FIND('112'!$M$9,G4083,1)),"",IF((AND(LEFT(G4083,2)=LEFT('112'!$M$9,2),B4083&lt;'112'!$K$9,$N4083='112'!$I$6)),"x",""))</f>
        <v/>
      </c>
      <c r="V4083" s="79" t="str">
        <f>IF(ISERROR(FIND('112'!$M$9,G4083,1)),"",IF((AND(RIGHT(G4083,2)=RIGHT('112'!$M$9,2),B4083&lt;'112'!$K$9,$O4083='112'!$I$6)),"x",""))</f>
        <v/>
      </c>
      <c r="W4083" s="79" t="str">
        <f>IF(AND('341-CT'!$H$9=H4083,OR(LEFT(N4083,3)=$W$7,LEFT(O4083,3)=$W$7)),"x","")</f>
        <v/>
      </c>
      <c r="X4083" s="79" t="str">
        <f>IF(OR(TH!N4083=TH!$X$7,O4083=TH!$X$7),"x","")</f>
        <v/>
      </c>
      <c r="Y4083" s="79" t="str">
        <f>IF(AND(OR(N4083="131",O4083="131"),H4083='131-CT'!$H$9),"x","")</f>
        <v/>
      </c>
      <c r="Z4083" s="79"/>
      <c r="AA4083" s="79" t="str">
        <f>IF(AND(MONTH(E4083)='IN-NX'!$J$5,'IN-NX'!$D$7=D4083),"x","")</f>
        <v/>
      </c>
      <c r="AB4083" s="79" t="str">
        <f>IF(AND(OR(LEFT(TH!N4083,2)="15",LEFT(TH!O4083,2)="15"),LEFT(TH!O4083,3)&lt;&gt;"111",'152-CT'!$J$8=TH!F4083),"x","")</f>
        <v/>
      </c>
      <c r="AC4083" s="79" t="str">
        <f>IF(AND(OR(LEFT(TH!N4083,2)="15",LEFT(TH!O4083,2)="15"),TK!$E$7=TH!F4083),"x","")</f>
        <v/>
      </c>
      <c r="AD4083" s="79" t="str">
        <f>IF(AND(N4083="1521",MONTH(C4083)='BK-NL'!$M$11),"x","")</f>
        <v/>
      </c>
    </row>
    <row r="4084" spans="1:30" ht="16.5" customHeight="1">
      <c r="A4084" s="318" t="str">
        <f>IF(B4084&lt;&gt;"",IF(AND(B4084='IN-TC'!$S$4,OR(TH!N4084="1111",TH!O4084="1111")),TH!D4084,""),"")</f>
        <v/>
      </c>
      <c r="B4084" s="60" t="str">
        <f t="shared" si="432"/>
        <v/>
      </c>
      <c r="C4084" s="75"/>
      <c r="D4084" s="75"/>
      <c r="E4084" s="75"/>
      <c r="F4084" s="76"/>
      <c r="G4084" s="76"/>
      <c r="H4084" s="77"/>
      <c r="I4084" s="77"/>
      <c r="J4084" s="391"/>
      <c r="K4084" s="383"/>
      <c r="L4084" s="1248"/>
      <c r="M4084" s="978"/>
      <c r="N4084" s="79"/>
      <c r="O4084" s="979"/>
      <c r="P4084" s="79" t="str">
        <f>IF(AND('331-CT'!$E$7=TH!H4084,OR(N4084="331",O4084="331")),"x","")</f>
        <v/>
      </c>
      <c r="Q4084" s="79" t="str">
        <f>IF(AND(B4084='111'!$L$11,OR($N4084=$Q$7,$O4084=$Q$7)),"x","")</f>
        <v/>
      </c>
      <c r="R4084" s="79" t="str">
        <f>IF(AND($N4084=$Q$7,$B4084&lt;'111'!$L$11),"x","")</f>
        <v/>
      </c>
      <c r="S4084" s="79" t="str">
        <f>IF(AND($O4084=$Q$7,$B4084&lt;'111'!$L$11),"x","")</f>
        <v/>
      </c>
      <c r="T4084" s="79" t="str">
        <f>IF(ISERROR(FIND('112'!$M$9,G4084,1)),"",IF((AND(FIND('112'!$M$9,G4084,1)&gt;=1,B4084='112'!$K$9,OR($N4084='112'!$I$6,$O4084='112'!$I$6))),"x",""))</f>
        <v/>
      </c>
      <c r="U4084" s="79" t="str">
        <f>IF(ISERROR(FIND('112'!$M$9,G4084,1)),"",IF((AND(LEFT(G4084,2)=LEFT('112'!$M$9,2),B4084&lt;'112'!$K$9,$N4084='112'!$I$6)),"x",""))</f>
        <v/>
      </c>
      <c r="V4084" s="79" t="str">
        <f>IF(ISERROR(FIND('112'!$M$9,G4084,1)),"",IF((AND(RIGHT(G4084,2)=RIGHT('112'!$M$9,2),B4084&lt;'112'!$K$9,$O4084='112'!$I$6)),"x",""))</f>
        <v/>
      </c>
      <c r="W4084" s="79" t="str">
        <f>IF(AND('341-CT'!$H$9=H4084,OR(LEFT(N4084,3)=$W$7,LEFT(O4084,3)=$W$7)),"x","")</f>
        <v/>
      </c>
      <c r="X4084" s="79" t="str">
        <f>IF(OR(TH!N4084=TH!$X$7,O4084=TH!$X$7),"x","")</f>
        <v/>
      </c>
      <c r="Y4084" s="79" t="str">
        <f>IF(AND(OR(N4084="131",O4084="131"),H4084='131-CT'!$H$9),"x","")</f>
        <v/>
      </c>
      <c r="Z4084" s="79"/>
      <c r="AA4084" s="79" t="str">
        <f>IF(AND(MONTH(E4084)='IN-NX'!$J$5,'IN-NX'!$D$7=D4084),"x","")</f>
        <v/>
      </c>
      <c r="AB4084" s="79" t="str">
        <f>IF(AND(OR(LEFT(TH!N4084,2)="15",LEFT(TH!O4084,2)="15"),LEFT(TH!O4084,3)&lt;&gt;"111",'152-CT'!$J$8=TH!F4084),"x","")</f>
        <v/>
      </c>
      <c r="AC4084" s="79" t="str">
        <f>IF(AND(OR(LEFT(TH!N4084,2)="15",LEFT(TH!O4084,2)="15"),TK!$E$7=TH!F4084),"x","")</f>
        <v/>
      </c>
      <c r="AD4084" s="79" t="str">
        <f>IF(AND(N4084="1521",MONTH(C4084)='BK-NL'!$M$11),"x","")</f>
        <v/>
      </c>
    </row>
    <row r="4085" spans="1:30" ht="16.5" customHeight="1">
      <c r="A4085" s="318" t="str">
        <f>IF(B4085&lt;&gt;"",IF(AND(B4085='IN-TC'!$S$4,OR(TH!N4085="1111",TH!O4085="1111")),TH!D4085,""),"")</f>
        <v/>
      </c>
      <c r="B4085" s="60" t="str">
        <f t="shared" si="432"/>
        <v/>
      </c>
      <c r="C4085" s="75"/>
      <c r="D4085" s="75"/>
      <c r="E4085" s="75"/>
      <c r="F4085" s="76"/>
      <c r="G4085" s="76"/>
      <c r="H4085" s="77"/>
      <c r="I4085" s="77"/>
      <c r="J4085" s="391"/>
      <c r="K4085" s="383"/>
      <c r="L4085" s="1248"/>
      <c r="M4085" s="978"/>
      <c r="N4085" s="79"/>
      <c r="O4085" s="979"/>
      <c r="P4085" s="79" t="str">
        <f>IF(AND('331-CT'!$E$7=TH!H4085,OR(N4085="331",O4085="331")),"x","")</f>
        <v/>
      </c>
      <c r="Q4085" s="79" t="str">
        <f>IF(AND(B4085='111'!$L$11,OR($N4085=$Q$7,$O4085=$Q$7)),"x","")</f>
        <v/>
      </c>
      <c r="R4085" s="79" t="str">
        <f>IF(AND($N4085=$Q$7,$B4085&lt;'111'!$L$11),"x","")</f>
        <v/>
      </c>
      <c r="S4085" s="79" t="str">
        <f>IF(AND($O4085=$Q$7,$B4085&lt;'111'!$L$11),"x","")</f>
        <v/>
      </c>
      <c r="T4085" s="79" t="str">
        <f>IF(ISERROR(FIND('112'!$M$9,G4085,1)),"",IF((AND(FIND('112'!$M$9,G4085,1)&gt;=1,B4085='112'!$K$9,OR($N4085='112'!$I$6,$O4085='112'!$I$6))),"x",""))</f>
        <v/>
      </c>
      <c r="U4085" s="79" t="str">
        <f>IF(ISERROR(FIND('112'!$M$9,G4085,1)),"",IF((AND(LEFT(G4085,2)=LEFT('112'!$M$9,2),B4085&lt;'112'!$K$9,$N4085='112'!$I$6)),"x",""))</f>
        <v/>
      </c>
      <c r="V4085" s="79" t="str">
        <f>IF(ISERROR(FIND('112'!$M$9,G4085,1)),"",IF((AND(RIGHT(G4085,2)=RIGHT('112'!$M$9,2),B4085&lt;'112'!$K$9,$O4085='112'!$I$6)),"x",""))</f>
        <v/>
      </c>
      <c r="W4085" s="79" t="str">
        <f>IF(AND('341-CT'!$H$9=H4085,OR(LEFT(N4085,3)=$W$7,LEFT(O4085,3)=$W$7)),"x","")</f>
        <v/>
      </c>
      <c r="X4085" s="79" t="str">
        <f>IF(OR(TH!N4085=TH!$X$7,O4085=TH!$X$7),"x","")</f>
        <v/>
      </c>
      <c r="Y4085" s="79" t="str">
        <f>IF(AND(OR(N4085="131",O4085="131"),H4085='131-CT'!$H$9),"x","")</f>
        <v/>
      </c>
      <c r="Z4085" s="79"/>
      <c r="AA4085" s="79" t="str">
        <f>IF(AND(MONTH(E4085)='IN-NX'!$J$5,'IN-NX'!$D$7=D4085),"x","")</f>
        <v/>
      </c>
      <c r="AB4085" s="79" t="str">
        <f>IF(AND(OR(LEFT(TH!N4085,2)="15",LEFT(TH!O4085,2)="15"),LEFT(TH!O4085,3)&lt;&gt;"111",'152-CT'!$J$8=TH!F4085),"x","")</f>
        <v/>
      </c>
      <c r="AC4085" s="79" t="str">
        <f>IF(AND(OR(LEFT(TH!N4085,2)="15",LEFT(TH!O4085,2)="15"),TK!$E$7=TH!F4085),"x","")</f>
        <v/>
      </c>
      <c r="AD4085" s="79" t="str">
        <f>IF(AND(N4085="1521",MONTH(C4085)='BK-NL'!$M$11),"x","")</f>
        <v/>
      </c>
    </row>
    <row r="4086" spans="1:30" ht="16.5" customHeight="1">
      <c r="A4086" s="318" t="str">
        <f>IF(B4086&lt;&gt;"",IF(AND(B4086='IN-TC'!$S$4,OR(TH!N4086="1111",TH!O4086="1111")),TH!D4086,""),"")</f>
        <v/>
      </c>
      <c r="B4086" s="60" t="str">
        <f t="shared" ref="B4086" si="434">IF(C4086&lt;&gt;"",MONTH(C4086),"")</f>
        <v/>
      </c>
      <c r="C4086" s="75"/>
      <c r="D4086" s="75"/>
      <c r="E4086" s="75"/>
      <c r="F4086" s="76"/>
      <c r="G4086" s="76"/>
      <c r="H4086" s="77"/>
      <c r="I4086" s="77"/>
      <c r="J4086" s="391"/>
      <c r="K4086" s="383"/>
      <c r="L4086" s="1248"/>
      <c r="M4086" s="978"/>
      <c r="N4086" s="79"/>
      <c r="O4086" s="979"/>
      <c r="P4086" s="79" t="str">
        <f>IF(AND('331-CT'!$E$7=TH!H4086,OR(N4086="331",O4086="331")),"x","")</f>
        <v/>
      </c>
      <c r="Q4086" s="79" t="str">
        <f>IF(AND(B4086='111'!$L$11,OR($N4086=$Q$7,$O4086=$Q$7)),"x","")</f>
        <v/>
      </c>
      <c r="R4086" s="79" t="str">
        <f>IF(AND($N4086=$Q$7,$B4086&lt;'111'!$L$11),"x","")</f>
        <v/>
      </c>
      <c r="S4086" s="79" t="str">
        <f>IF(AND($O4086=$Q$7,$B4086&lt;'111'!$L$11),"x","")</f>
        <v/>
      </c>
      <c r="T4086" s="79" t="str">
        <f>IF(ISERROR(FIND('112'!$M$9,G4086,1)),"",IF((AND(FIND('112'!$M$9,G4086,1)&gt;=1,B4086='112'!$K$9,OR($N4086='112'!$I$6,$O4086='112'!$I$6))),"x",""))</f>
        <v/>
      </c>
      <c r="U4086" s="79" t="str">
        <f>IF(ISERROR(FIND('112'!$M$9,G4086,1)),"",IF((AND(LEFT(G4086,2)=LEFT('112'!$M$9,2),B4086&lt;'112'!$K$9,$N4086='112'!$I$6)),"x",""))</f>
        <v/>
      </c>
      <c r="V4086" s="79" t="str">
        <f>IF(ISERROR(FIND('112'!$M$9,G4086,1)),"",IF((AND(RIGHT(G4086,2)=RIGHT('112'!$M$9,2),B4086&lt;'112'!$K$9,$O4086='112'!$I$6)),"x",""))</f>
        <v/>
      </c>
      <c r="W4086" s="79" t="str">
        <f>IF(AND('341-CT'!$H$9=H4086,OR(LEFT(N4086,3)=$W$7,LEFT(O4086,3)=$W$7)),"x","")</f>
        <v/>
      </c>
      <c r="X4086" s="79" t="str">
        <f>IF(OR(TH!N4086=TH!$X$7,O4086=TH!$X$7),"x","")</f>
        <v/>
      </c>
      <c r="Y4086" s="79" t="str">
        <f>IF(AND(OR(N4086="131",O4086="131"),H4086='131-CT'!$H$9),"x","")</f>
        <v/>
      </c>
      <c r="Z4086" s="79"/>
      <c r="AA4086" s="79" t="str">
        <f>IF(AND(MONTH(E4086)='IN-NX'!$J$5,'IN-NX'!$D$7=D4086),"x","")</f>
        <v/>
      </c>
      <c r="AB4086" s="79" t="str">
        <f>IF(AND(OR(LEFT(TH!N4086,2)="15",LEFT(TH!O4086,2)="15"),LEFT(TH!O4086,3)&lt;&gt;"111",'152-CT'!$J$8=TH!F4086),"x","")</f>
        <v/>
      </c>
      <c r="AC4086" s="79" t="str">
        <f>IF(AND(OR(LEFT(TH!N4086,2)="15",LEFT(TH!O4086,2)="15"),TK!$E$7=TH!F4086),"x","")</f>
        <v/>
      </c>
      <c r="AD4086" s="79" t="str">
        <f>IF(AND(N4086="1521",MONTH(C4086)='BK-NL'!$M$11),"x","")</f>
        <v/>
      </c>
    </row>
    <row r="4087" spans="1:30" ht="16.5" customHeight="1">
      <c r="A4087" s="318" t="str">
        <f>IF(B4087&lt;&gt;"",IF(AND(B4087='IN-TC'!$S$4,OR(TH!N4087="1111",TH!O4087="1111")),TH!D4087,""),"")</f>
        <v/>
      </c>
      <c r="B4087" s="60" t="str">
        <f t="shared" si="432"/>
        <v/>
      </c>
      <c r="C4087" s="75"/>
      <c r="D4087" s="75"/>
      <c r="E4087" s="75"/>
      <c r="F4087" s="76"/>
      <c r="G4087" s="76"/>
      <c r="H4087" s="77"/>
      <c r="I4087" s="77"/>
      <c r="J4087" s="391"/>
      <c r="K4087" s="383"/>
      <c r="L4087" s="390"/>
      <c r="M4087" s="978"/>
      <c r="N4087" s="79"/>
      <c r="O4087" s="979"/>
      <c r="P4087" s="79" t="str">
        <f>IF(AND('331-CT'!$E$7=TH!H4087,OR(N4087="331",O4087="331")),"x","")</f>
        <v/>
      </c>
      <c r="Q4087" s="79" t="str">
        <f>IF(AND(B4087='111'!$L$11,OR($N4087=$Q$7,$O4087=$Q$7)),"x","")</f>
        <v/>
      </c>
      <c r="R4087" s="79" t="str">
        <f>IF(AND($N4087=$Q$7,$B4087&lt;'111'!$L$11),"x","")</f>
        <v/>
      </c>
      <c r="S4087" s="79" t="str">
        <f>IF(AND($O4087=$Q$7,$B4087&lt;'111'!$L$11),"x","")</f>
        <v/>
      </c>
      <c r="T4087" s="79" t="str">
        <f>IF(ISERROR(FIND('112'!$M$9,G4087,1)),"",IF((AND(FIND('112'!$M$9,G4087,1)&gt;=1,B4087='112'!$K$9,OR($N4087='112'!$I$6,$O4087='112'!$I$6))),"x",""))</f>
        <v/>
      </c>
      <c r="U4087" s="79" t="str">
        <f>IF(ISERROR(FIND('112'!$M$9,G4087,1)),"",IF((AND(LEFT(G4087,2)=LEFT('112'!$M$9,2),B4087&lt;'112'!$K$9,$N4087='112'!$I$6)),"x",""))</f>
        <v/>
      </c>
      <c r="V4087" s="79" t="str">
        <f>IF(ISERROR(FIND('112'!$M$9,G4087,1)),"",IF((AND(RIGHT(G4087,2)=RIGHT('112'!$M$9,2),B4087&lt;'112'!$K$9,$O4087='112'!$I$6)),"x",""))</f>
        <v/>
      </c>
      <c r="W4087" s="79" t="str">
        <f>IF(AND('341-CT'!$H$9=H4087,OR(LEFT(N4087,3)=$W$7,LEFT(O4087,3)=$W$7)),"x","")</f>
        <v/>
      </c>
      <c r="X4087" s="79" t="str">
        <f>IF(OR(TH!N4087=TH!$X$7,O4087=TH!$X$7),"x","")</f>
        <v/>
      </c>
      <c r="Y4087" s="79" t="str">
        <f>IF(AND(OR(N4087="131",O4087="131"),H4087='131-CT'!$H$9),"x","")</f>
        <v/>
      </c>
      <c r="Z4087" s="79"/>
      <c r="AA4087" s="79" t="str">
        <f>IF(AND(MONTH(E4087)='IN-NX'!$J$5,'IN-NX'!$D$7=D4087),"x","")</f>
        <v/>
      </c>
      <c r="AB4087" s="79" t="str">
        <f>IF(AND(OR(LEFT(TH!N4087,2)="15",LEFT(TH!O4087,2)="15"),LEFT(TH!O4087,3)&lt;&gt;"111",'152-CT'!$J$8=TH!F4087),"x","")</f>
        <v/>
      </c>
      <c r="AC4087" s="79" t="str">
        <f>IF(AND(OR(LEFT(TH!N4087,2)="15",LEFT(TH!O4087,2)="15"),TK!$E$7=TH!F4087),"x","")</f>
        <v/>
      </c>
      <c r="AD4087" s="79" t="str">
        <f>IF(AND(N4087="1521",MONTH(C4087)='BK-NL'!$M$11),"x","")</f>
        <v/>
      </c>
    </row>
    <row r="4088" spans="1:30" ht="16.5" customHeight="1">
      <c r="A4088" s="318" t="str">
        <f>IF(B4088&lt;&gt;"",IF(AND(B4088='IN-TC'!$S$4,OR(TH!N4088="1111",TH!O4088="1111")),TH!D4088,""),"")</f>
        <v/>
      </c>
      <c r="B4088" s="60" t="str">
        <f t="shared" si="432"/>
        <v/>
      </c>
      <c r="C4088" s="75"/>
      <c r="D4088" s="75"/>
      <c r="E4088" s="75"/>
      <c r="F4088" s="302"/>
      <c r="G4088" s="76"/>
      <c r="H4088" s="77"/>
      <c r="I4088" s="77"/>
      <c r="J4088" s="391"/>
      <c r="K4088" s="383"/>
      <c r="L4088" s="390"/>
      <c r="M4088" s="978"/>
      <c r="N4088" s="79"/>
      <c r="O4088" s="79"/>
      <c r="P4088" s="79" t="str">
        <f>IF(AND('331-CT'!$E$7=TH!H4088,OR(N4088="331",O4088="331")),"x","")</f>
        <v/>
      </c>
      <c r="Q4088" s="79" t="str">
        <f>IF(AND(B4088='111'!$L$11,OR($N4088=$Q$7,$O4088=$Q$7)),"x","")</f>
        <v/>
      </c>
      <c r="R4088" s="79" t="str">
        <f>IF(AND($N4088=$Q$7,$B4088&lt;'111'!$L$11),"x","")</f>
        <v/>
      </c>
      <c r="S4088" s="79" t="str">
        <f>IF(AND($O4088=$Q$7,$B4088&lt;'111'!$L$11),"x","")</f>
        <v/>
      </c>
      <c r="T4088" s="79" t="str">
        <f>IF(ISERROR(FIND('112'!$M$9,G4088,1)),"",IF((AND(FIND('112'!$M$9,G4088,1)&gt;=1,B4088='112'!$K$9,OR($N4088='112'!$I$6,$O4088='112'!$I$6))),"x",""))</f>
        <v/>
      </c>
      <c r="U4088" s="79" t="str">
        <f>IF(ISERROR(FIND('112'!$M$9,G4088,1)),"",IF((AND(LEFT(G4088,2)=LEFT('112'!$M$9,2),B4088&lt;'112'!$K$9,$N4088='112'!$I$6)),"x",""))</f>
        <v/>
      </c>
      <c r="V4088" s="79" t="str">
        <f>IF(ISERROR(FIND('112'!$M$9,G4088,1)),"",IF((AND(RIGHT(G4088,2)=RIGHT('112'!$M$9,2),B4088&lt;'112'!$K$9,$O4088='112'!$I$6)),"x",""))</f>
        <v/>
      </c>
      <c r="W4088" s="79" t="str">
        <f>IF(AND('341-CT'!$H$9=H4088,OR(LEFT(N4088,3)=$W$7,LEFT(O4088,3)=$W$7)),"x","")</f>
        <v/>
      </c>
      <c r="X4088" s="79" t="str">
        <f>IF(OR(TH!N4088=TH!$X$7,O4088=TH!$X$7),"x","")</f>
        <v/>
      </c>
      <c r="Y4088" s="79" t="str">
        <f>IF(AND(OR(N4088="131",O4088="131"),H4088='131-CT'!$H$9),"x","")</f>
        <v/>
      </c>
      <c r="Z4088" s="79"/>
      <c r="AA4088" s="79" t="str">
        <f>IF(AND(MONTH(E4088)='IN-NX'!$J$5,'IN-NX'!$D$7=D4088),"x","")</f>
        <v/>
      </c>
      <c r="AB4088" s="79" t="str">
        <f>IF(AND(OR(LEFT(TH!N4088,2)="15",LEFT(TH!O4088,2)="15"),LEFT(TH!O4088,3)&lt;&gt;"111",'152-CT'!$J$8=TH!F4088),"x","")</f>
        <v/>
      </c>
      <c r="AC4088" s="79" t="str">
        <f>IF(AND(OR(LEFT(TH!N4088,2)="15",LEFT(TH!O4088,2)="15"),TK!$E$7=TH!F4088),"x","")</f>
        <v/>
      </c>
      <c r="AD4088" s="79" t="str">
        <f>IF(AND(N4088="1521",MONTH(C4088)='BK-NL'!$M$11),"x","")</f>
        <v/>
      </c>
    </row>
    <row r="4089" spans="1:30" ht="16.5" customHeight="1">
      <c r="A4089" s="318" t="str">
        <f>IF(B4089&lt;&gt;"",IF(AND(B4089='IN-TC'!$S$4,OR(TH!N4089="1111",TH!O4089="1111")),TH!D4089,""),"")</f>
        <v/>
      </c>
      <c r="B4089" s="60" t="str">
        <f t="shared" si="432"/>
        <v/>
      </c>
      <c r="C4089" s="75"/>
      <c r="D4089" s="75"/>
      <c r="E4089" s="75"/>
      <c r="F4089" s="76"/>
      <c r="G4089" s="76"/>
      <c r="H4089" s="77"/>
      <c r="I4089" s="77"/>
      <c r="J4089" s="391"/>
      <c r="K4089" s="383"/>
      <c r="L4089" s="390"/>
      <c r="M4089" s="978"/>
      <c r="N4089" s="79"/>
      <c r="O4089" s="979"/>
      <c r="P4089" s="79" t="str">
        <f>IF(AND('331-CT'!$E$7=TH!H4089,OR(N4089="331",O4089="331")),"x","")</f>
        <v/>
      </c>
      <c r="Q4089" s="79" t="str">
        <f>IF(AND(B4089='111'!$L$11,OR($N4089=$Q$7,$O4089=$Q$7)),"x","")</f>
        <v/>
      </c>
      <c r="R4089" s="79" t="str">
        <f>IF(AND($N4089=$Q$7,$B4089&lt;'111'!$L$11),"x","")</f>
        <v/>
      </c>
      <c r="S4089" s="79" t="str">
        <f>IF(AND($O4089=$Q$7,$B4089&lt;'111'!$L$11),"x","")</f>
        <v/>
      </c>
      <c r="T4089" s="79" t="str">
        <f>IF(ISERROR(FIND('112'!$M$9,G4089,1)),"",IF((AND(FIND('112'!$M$9,G4089,1)&gt;=1,B4089='112'!$K$9,OR($N4089='112'!$I$6,$O4089='112'!$I$6))),"x",""))</f>
        <v/>
      </c>
      <c r="U4089" s="79" t="str">
        <f>IF(ISERROR(FIND('112'!$M$9,G4089,1)),"",IF((AND(LEFT(G4089,2)=LEFT('112'!$M$9,2),B4089&lt;'112'!$K$9,$N4089='112'!$I$6)),"x",""))</f>
        <v/>
      </c>
      <c r="V4089" s="79" t="str">
        <f>IF(ISERROR(FIND('112'!$M$9,G4089,1)),"",IF((AND(RIGHT(G4089,2)=RIGHT('112'!$M$9,2),B4089&lt;'112'!$K$9,$O4089='112'!$I$6)),"x",""))</f>
        <v/>
      </c>
      <c r="W4089" s="79" t="str">
        <f>IF(AND('341-CT'!$H$9=H4089,OR(LEFT(N4089,3)=$W$7,LEFT(O4089,3)=$W$7)),"x","")</f>
        <v/>
      </c>
      <c r="X4089" s="79" t="str">
        <f>IF(OR(TH!N4089=TH!$X$7,O4089=TH!$X$7),"x","")</f>
        <v/>
      </c>
      <c r="Y4089" s="79" t="str">
        <f>IF(AND(OR(N4089="131",O4089="131"),H4089='131-CT'!$H$9),"x","")</f>
        <v/>
      </c>
      <c r="Z4089" s="79"/>
      <c r="AA4089" s="79" t="str">
        <f>IF(AND(MONTH(E4089)='IN-NX'!$J$5,'IN-NX'!$D$7=D4089),"x","")</f>
        <v/>
      </c>
      <c r="AB4089" s="79" t="str">
        <f>IF(AND(OR(LEFT(TH!N4089,2)="15",LEFT(TH!O4089,2)="15"),LEFT(TH!O4089,3)&lt;&gt;"111",'152-CT'!$J$8=TH!F4089),"x","")</f>
        <v/>
      </c>
      <c r="AC4089" s="79" t="str">
        <f>IF(AND(OR(LEFT(TH!N4089,2)="15",LEFT(TH!O4089,2)="15"),TK!$E$7=TH!F4089),"x","")</f>
        <v/>
      </c>
      <c r="AD4089" s="79" t="str">
        <f>IF(AND(N4089="1521",MONTH(C4089)='BK-NL'!$M$11),"x","")</f>
        <v/>
      </c>
    </row>
    <row r="4090" spans="1:30" ht="16.5" customHeight="1">
      <c r="A4090" s="318" t="str">
        <f>IF(B4090&lt;&gt;"",IF(AND(B4090='IN-TC'!$S$4,OR(TH!N4090="1111",TH!O4090="1111")),TH!D4090,""),"")</f>
        <v/>
      </c>
      <c r="B4090" s="60" t="str">
        <f t="shared" si="432"/>
        <v/>
      </c>
      <c r="C4090" s="75"/>
      <c r="D4090" s="75"/>
      <c r="E4090" s="75"/>
      <c r="F4090" s="76"/>
      <c r="G4090" s="76"/>
      <c r="H4090" s="77"/>
      <c r="I4090" s="77"/>
      <c r="J4090" s="391"/>
      <c r="K4090" s="383"/>
      <c r="L4090" s="390"/>
      <c r="M4090" s="978"/>
      <c r="N4090" s="79"/>
      <c r="O4090" s="979"/>
      <c r="P4090" s="79" t="str">
        <f>IF(AND('331-CT'!$E$7=TH!H4090,OR(N4090="331",O4090="331")),"x","")</f>
        <v/>
      </c>
      <c r="Q4090" s="79" t="str">
        <f>IF(AND(B4090='111'!$L$11,OR($N4090=$Q$7,$O4090=$Q$7)),"x","")</f>
        <v/>
      </c>
      <c r="R4090" s="79" t="str">
        <f>IF(AND($N4090=$Q$7,$B4090&lt;'111'!$L$11),"x","")</f>
        <v/>
      </c>
      <c r="S4090" s="79" t="str">
        <f>IF(AND($O4090=$Q$7,$B4090&lt;'111'!$L$11),"x","")</f>
        <v/>
      </c>
      <c r="T4090" s="79" t="str">
        <f>IF(ISERROR(FIND('112'!$M$9,G4090,1)),"",IF((AND(FIND('112'!$M$9,G4090,1)&gt;=1,B4090='112'!$K$9,OR($N4090='112'!$I$6,$O4090='112'!$I$6))),"x",""))</f>
        <v/>
      </c>
      <c r="U4090" s="79" t="str">
        <f>IF(ISERROR(FIND('112'!$M$9,G4090,1)),"",IF((AND(LEFT(G4090,2)=LEFT('112'!$M$9,2),B4090&lt;'112'!$K$9,$N4090='112'!$I$6)),"x",""))</f>
        <v/>
      </c>
      <c r="V4090" s="79" t="str">
        <f>IF(ISERROR(FIND('112'!$M$9,G4090,1)),"",IF((AND(RIGHT(G4090,2)=RIGHT('112'!$M$9,2),B4090&lt;'112'!$K$9,$O4090='112'!$I$6)),"x",""))</f>
        <v/>
      </c>
      <c r="W4090" s="79" t="str">
        <f>IF(AND('341-CT'!$H$9=H4090,OR(LEFT(N4090,3)=$W$7,LEFT(O4090,3)=$W$7)),"x","")</f>
        <v/>
      </c>
      <c r="X4090" s="79" t="str">
        <f>IF(OR(TH!N4090=TH!$X$7,O4090=TH!$X$7),"x","")</f>
        <v/>
      </c>
      <c r="Y4090" s="79" t="str">
        <f>IF(AND(OR(N4090="131",O4090="131"),H4090='131-CT'!$H$9),"x","")</f>
        <v/>
      </c>
      <c r="Z4090" s="79"/>
      <c r="AA4090" s="79" t="str">
        <f>IF(AND(MONTH(E4090)='IN-NX'!$J$5,'IN-NX'!$D$7=D4090),"x","")</f>
        <v/>
      </c>
      <c r="AB4090" s="79" t="str">
        <f>IF(AND(OR(LEFT(TH!N4090,2)="15",LEFT(TH!O4090,2)="15"),LEFT(TH!O4090,3)&lt;&gt;"111",'152-CT'!$J$8=TH!F4090),"x","")</f>
        <v/>
      </c>
      <c r="AC4090" s="79" t="str">
        <f>IF(AND(OR(LEFT(TH!N4090,2)="15",LEFT(TH!O4090,2)="15"),TK!$E$7=TH!F4090),"x","")</f>
        <v/>
      </c>
      <c r="AD4090" s="79" t="str">
        <f>IF(AND(N4090="1521",MONTH(C4090)='BK-NL'!$M$11),"x","")</f>
        <v/>
      </c>
    </row>
    <row r="4091" spans="1:30" ht="16.5" customHeight="1">
      <c r="A4091" s="318" t="str">
        <f>IF(B4091&lt;&gt;"",IF(AND(B4091='IN-TC'!$S$4,OR(TH!N4091="1111",TH!O4091="1111")),TH!D4091,""),"")</f>
        <v/>
      </c>
      <c r="B4091" s="60" t="str">
        <f t="shared" si="432"/>
        <v/>
      </c>
      <c r="C4091" s="75"/>
      <c r="D4091" s="75"/>
      <c r="E4091" s="75"/>
      <c r="F4091" s="76"/>
      <c r="G4091" s="76"/>
      <c r="H4091" s="759"/>
      <c r="I4091" s="77"/>
      <c r="J4091" s="391"/>
      <c r="K4091" s="383"/>
      <c r="L4091" s="390"/>
      <c r="M4091" s="978"/>
      <c r="N4091" s="79"/>
      <c r="O4091" s="79"/>
      <c r="P4091" s="79" t="str">
        <f>IF(AND('331-CT'!$E$7=TH!H4091,OR(N4091="331",O4091="331")),"x","")</f>
        <v/>
      </c>
      <c r="Q4091" s="79" t="str">
        <f>IF(AND(B4091='111'!$L$11,OR($N4091=$Q$7,$O4091=$Q$7)),"x","")</f>
        <v/>
      </c>
      <c r="R4091" s="79" t="str">
        <f>IF(AND($N4091=$Q$7,$B4091&lt;'111'!$L$11),"x","")</f>
        <v/>
      </c>
      <c r="S4091" s="79" t="str">
        <f>IF(AND($O4091=$Q$7,$B4091&lt;'111'!$L$11),"x","")</f>
        <v/>
      </c>
      <c r="T4091" s="79" t="str">
        <f>IF(ISERROR(FIND('112'!$M$9,G4091,1)),"",IF((AND(FIND('112'!$M$9,G4091,1)&gt;=1,B4091='112'!$K$9,OR($N4091='112'!$I$6,$O4091='112'!$I$6))),"x",""))</f>
        <v/>
      </c>
      <c r="U4091" s="79" t="str">
        <f>IF(ISERROR(FIND('112'!$M$9,G4091,1)),"",IF((AND(LEFT(G4091,2)=LEFT('112'!$M$9,2),B4091&lt;'112'!$K$9,$N4091='112'!$I$6)),"x",""))</f>
        <v/>
      </c>
      <c r="V4091" s="79" t="str">
        <f>IF(ISERROR(FIND('112'!$M$9,G4091,1)),"",IF((AND(RIGHT(G4091,2)=RIGHT('112'!$M$9,2),B4091&lt;'112'!$K$9,$O4091='112'!$I$6)),"x",""))</f>
        <v/>
      </c>
      <c r="W4091" s="79" t="str">
        <f>IF(AND('341-CT'!$H$9=H4091,OR(LEFT(N4091,3)=$W$7,LEFT(O4091,3)=$W$7)),"x","")</f>
        <v/>
      </c>
      <c r="X4091" s="79" t="str">
        <f>IF(OR(TH!N4091=TH!$X$7,O4091=TH!$X$7),"x","")</f>
        <v/>
      </c>
      <c r="Y4091" s="79" t="str">
        <f>IF(AND(OR(N4091="131",O4091="131"),H4091='131-CT'!$H$9),"x","")</f>
        <v/>
      </c>
      <c r="Z4091" s="79"/>
      <c r="AA4091" s="79" t="str">
        <f>IF(AND(MONTH(E4091)='IN-NX'!$J$5,'IN-NX'!$D$7=D4091),"x","")</f>
        <v/>
      </c>
      <c r="AB4091" s="79" t="str">
        <f>IF(AND(OR(LEFT(TH!N4091,2)="15",LEFT(TH!O4091,2)="15"),LEFT(TH!O4091,3)&lt;&gt;"111",'152-CT'!$J$8=TH!F4091),"x","")</f>
        <v/>
      </c>
      <c r="AC4091" s="79" t="str">
        <f>IF(AND(OR(LEFT(TH!N4091,2)="15",LEFT(TH!O4091,2)="15"),TK!$E$7=TH!F4091),"x","")</f>
        <v/>
      </c>
      <c r="AD4091" s="79" t="str">
        <f>IF(AND(N4091="1521",MONTH(C4091)='BK-NL'!$M$11),"x","")</f>
        <v/>
      </c>
    </row>
    <row r="4092" spans="1:30" ht="16.5" customHeight="1">
      <c r="A4092" s="318" t="str">
        <f>IF(B4092&lt;&gt;"",IF(AND(B4092='IN-TC'!$S$4,OR(TH!N4092="1111",TH!O4092="1111")),TH!D4092,""),"")</f>
        <v/>
      </c>
      <c r="B4092" s="60" t="str">
        <f t="shared" ref="B4092" si="435">IF(C4092&lt;&gt;"",MONTH(C4092),"")</f>
        <v/>
      </c>
      <c r="C4092" s="75"/>
      <c r="D4092" s="75"/>
      <c r="E4092" s="75"/>
      <c r="F4092" s="76"/>
      <c r="G4092" s="76"/>
      <c r="H4092" s="759"/>
      <c r="I4092" s="77"/>
      <c r="J4092" s="391"/>
      <c r="K4092" s="383"/>
      <c r="L4092" s="390"/>
      <c r="M4092" s="978"/>
      <c r="N4092" s="79"/>
      <c r="O4092" s="79"/>
      <c r="P4092" s="79" t="str">
        <f>IF(AND('331-CT'!$E$7=TH!H4092,OR(N4092="331",O4092="331")),"x","")</f>
        <v/>
      </c>
      <c r="Q4092" s="79" t="str">
        <f>IF(AND(B4092='111'!$L$11,OR($N4092=$Q$7,$O4092=$Q$7)),"x","")</f>
        <v/>
      </c>
      <c r="R4092" s="79" t="str">
        <f>IF(AND($N4092=$Q$7,$B4092&lt;'111'!$L$11),"x","")</f>
        <v/>
      </c>
      <c r="S4092" s="79" t="str">
        <f>IF(AND($O4092=$Q$7,$B4092&lt;'111'!$L$11),"x","")</f>
        <v/>
      </c>
      <c r="T4092" s="79" t="str">
        <f>IF(ISERROR(FIND('112'!$M$9,G4092,1)),"",IF((AND(FIND('112'!$M$9,G4092,1)&gt;=1,B4092='112'!$K$9,OR($N4092='112'!$I$6,$O4092='112'!$I$6))),"x",""))</f>
        <v/>
      </c>
      <c r="U4092" s="79" t="str">
        <f>IF(ISERROR(FIND('112'!$M$9,G4092,1)),"",IF((AND(LEFT(G4092,2)=LEFT('112'!$M$9,2),B4092&lt;'112'!$K$9,$N4092='112'!$I$6)),"x",""))</f>
        <v/>
      </c>
      <c r="V4092" s="79" t="str">
        <f>IF(ISERROR(FIND('112'!$M$9,G4092,1)),"",IF((AND(RIGHT(G4092,2)=RIGHT('112'!$M$9,2),B4092&lt;'112'!$K$9,$O4092='112'!$I$6)),"x",""))</f>
        <v/>
      </c>
      <c r="W4092" s="79" t="str">
        <f>IF(AND('341-CT'!$H$9=H4092,OR(LEFT(N4092,3)=$W$7,LEFT(O4092,3)=$W$7)),"x","")</f>
        <v/>
      </c>
      <c r="X4092" s="79" t="str">
        <f>IF(OR(TH!N4092=TH!$X$7,O4092=TH!$X$7),"x","")</f>
        <v/>
      </c>
      <c r="Y4092" s="79" t="str">
        <f>IF(AND(OR(N4092="131",O4092="131"),H4092='131-CT'!$H$9),"x","")</f>
        <v/>
      </c>
      <c r="Z4092" s="79"/>
      <c r="AA4092" s="79" t="str">
        <f>IF(AND(MONTH(E4092)='IN-NX'!$J$5,'IN-NX'!$D$7=D4092),"x","")</f>
        <v/>
      </c>
      <c r="AB4092" s="79" t="str">
        <f>IF(AND(OR(LEFT(TH!N4092,2)="15",LEFT(TH!O4092,2)="15"),LEFT(TH!O4092,3)&lt;&gt;"111",'152-CT'!$J$8=TH!F4092),"x","")</f>
        <v/>
      </c>
      <c r="AC4092" s="79" t="str">
        <f>IF(AND(OR(LEFT(TH!N4092,2)="15",LEFT(TH!O4092,2)="15"),TK!$E$7=TH!F4092),"x","")</f>
        <v/>
      </c>
      <c r="AD4092" s="79" t="str">
        <f>IF(AND(N4092="1521",MONTH(C4092)='BK-NL'!$M$11),"x","")</f>
        <v/>
      </c>
    </row>
    <row r="4093" spans="1:30" ht="16.5" customHeight="1">
      <c r="A4093" s="318" t="str">
        <f>IF(B4093&lt;&gt;"",IF(AND(B4093='IN-TC'!$S$4,OR(TH!N4093="1111",TH!O4093="1111")),TH!D4093,""),"")</f>
        <v/>
      </c>
      <c r="B4093" s="60" t="str">
        <f t="shared" ref="B4093" si="436">IF(C4093&lt;&gt;"",MONTH(C4093),"")</f>
        <v/>
      </c>
      <c r="C4093" s="75"/>
      <c r="D4093" s="75"/>
      <c r="E4093" s="75"/>
      <c r="F4093" s="76"/>
      <c r="G4093" s="76"/>
      <c r="H4093" s="759"/>
      <c r="I4093" s="77"/>
      <c r="J4093" s="391"/>
      <c r="K4093" s="383"/>
      <c r="L4093" s="390"/>
      <c r="M4093" s="978"/>
      <c r="N4093" s="79"/>
      <c r="O4093" s="79"/>
      <c r="P4093" s="79" t="str">
        <f>IF(AND('331-CT'!$E$7=TH!H4093,OR(N4093="331",O4093="331")),"x","")</f>
        <v/>
      </c>
      <c r="Q4093" s="79" t="str">
        <f>IF(AND(B4093='111'!$L$11,OR($N4093=$Q$7,$O4093=$Q$7)),"x","")</f>
        <v/>
      </c>
      <c r="R4093" s="79" t="str">
        <f>IF(AND($N4093=$Q$7,$B4093&lt;'111'!$L$11),"x","")</f>
        <v/>
      </c>
      <c r="S4093" s="79" t="str">
        <f>IF(AND($O4093=$Q$7,$B4093&lt;'111'!$L$11),"x","")</f>
        <v/>
      </c>
      <c r="T4093" s="79" t="str">
        <f>IF(ISERROR(FIND('112'!$M$9,G4093,1)),"",IF((AND(FIND('112'!$M$9,G4093,1)&gt;=1,B4093='112'!$K$9,OR($N4093='112'!$I$6,$O4093='112'!$I$6))),"x",""))</f>
        <v/>
      </c>
      <c r="U4093" s="79" t="str">
        <f>IF(ISERROR(FIND('112'!$M$9,G4093,1)),"",IF((AND(LEFT(G4093,2)=LEFT('112'!$M$9,2),B4093&lt;'112'!$K$9,$N4093='112'!$I$6)),"x",""))</f>
        <v/>
      </c>
      <c r="V4093" s="79" t="str">
        <f>IF(ISERROR(FIND('112'!$M$9,G4093,1)),"",IF((AND(RIGHT(G4093,2)=RIGHT('112'!$M$9,2),B4093&lt;'112'!$K$9,$O4093='112'!$I$6)),"x",""))</f>
        <v/>
      </c>
      <c r="W4093" s="79" t="str">
        <f>IF(AND('341-CT'!$H$9=H4093,OR(LEFT(N4093,3)=$W$7,LEFT(O4093,3)=$W$7)),"x","")</f>
        <v/>
      </c>
      <c r="X4093" s="79" t="str">
        <f>IF(OR(TH!N4093=TH!$X$7,O4093=TH!$X$7),"x","")</f>
        <v/>
      </c>
      <c r="Y4093" s="79" t="str">
        <f>IF(AND(OR(N4093="131",O4093="131"),H4093='131-CT'!$H$9),"x","")</f>
        <v/>
      </c>
      <c r="Z4093" s="79"/>
      <c r="AA4093" s="79" t="str">
        <f>IF(AND(MONTH(E4093)='IN-NX'!$J$5,'IN-NX'!$D$7=D4093),"x","")</f>
        <v/>
      </c>
      <c r="AB4093" s="79" t="str">
        <f>IF(AND(OR(LEFT(TH!N4093,2)="15",LEFT(TH!O4093,2)="15"),LEFT(TH!O4093,3)&lt;&gt;"111",'152-CT'!$J$8=TH!F4093),"x","")</f>
        <v/>
      </c>
      <c r="AC4093" s="79" t="str">
        <f>IF(AND(OR(LEFT(TH!N4093,2)="15",LEFT(TH!O4093,2)="15"),TK!$E$7=TH!F4093),"x","")</f>
        <v/>
      </c>
      <c r="AD4093" s="79" t="str">
        <f>IF(AND(N4093="1521",MONTH(C4093)='BK-NL'!$M$11),"x","")</f>
        <v/>
      </c>
    </row>
    <row r="4094" spans="1:30" ht="16.5" customHeight="1">
      <c r="A4094" s="318" t="str">
        <f>IF(B4094&lt;&gt;"",IF(AND(B4094='IN-TC'!$S$4,OR(TH!N4094="1111",TH!O4094="1111")),TH!D4094,""),"")</f>
        <v/>
      </c>
      <c r="B4094" s="60" t="str">
        <f t="shared" si="432"/>
        <v/>
      </c>
      <c r="C4094" s="75"/>
      <c r="D4094" s="75"/>
      <c r="E4094" s="75"/>
      <c r="F4094" s="76"/>
      <c r="G4094" s="76"/>
      <c r="H4094" s="77"/>
      <c r="I4094" s="77"/>
      <c r="J4094" s="391"/>
      <c r="K4094" s="383"/>
      <c r="L4094" s="1248"/>
      <c r="M4094" s="978"/>
      <c r="N4094" s="79"/>
      <c r="O4094" s="979"/>
      <c r="P4094" s="79" t="str">
        <f>IF(AND('331-CT'!$E$7=TH!H4094,OR(N4094="331",O4094="331")),"x","")</f>
        <v/>
      </c>
      <c r="Q4094" s="79" t="str">
        <f>IF(AND(B4094='111'!$L$11,OR($N4094=$Q$7,$O4094=$Q$7)),"x","")</f>
        <v/>
      </c>
      <c r="R4094" s="79" t="str">
        <f>IF(AND($N4094=$Q$7,$B4094&lt;'111'!$L$11),"x","")</f>
        <v/>
      </c>
      <c r="S4094" s="79" t="str">
        <f>IF(AND($O4094=$Q$7,$B4094&lt;'111'!$L$11),"x","")</f>
        <v/>
      </c>
      <c r="T4094" s="79" t="str">
        <f>IF(ISERROR(FIND('112'!$M$9,G4094,1)),"",IF((AND(FIND('112'!$M$9,G4094,1)&gt;=1,B4094='112'!$K$9,OR($N4094='112'!$I$6,$O4094='112'!$I$6))),"x",""))</f>
        <v/>
      </c>
      <c r="U4094" s="79" t="str">
        <f>IF(ISERROR(FIND('112'!$M$9,G4094,1)),"",IF((AND(LEFT(G4094,2)=LEFT('112'!$M$9,2),B4094&lt;'112'!$K$9,$N4094='112'!$I$6)),"x",""))</f>
        <v/>
      </c>
      <c r="V4094" s="79" t="str">
        <f>IF(ISERROR(FIND('112'!$M$9,G4094,1)),"",IF((AND(RIGHT(G4094,2)=RIGHT('112'!$M$9,2),B4094&lt;'112'!$K$9,$O4094='112'!$I$6)),"x",""))</f>
        <v/>
      </c>
      <c r="W4094" s="79" t="str">
        <f>IF(AND('341-CT'!$H$9=H4094,OR(LEFT(N4094,3)=$W$7,LEFT(O4094,3)=$W$7)),"x","")</f>
        <v/>
      </c>
      <c r="X4094" s="79" t="str">
        <f>IF(OR(TH!N4094=TH!$X$7,O4094=TH!$X$7),"x","")</f>
        <v/>
      </c>
      <c r="Y4094" s="79" t="str">
        <f>IF(AND(OR(N4094="131",O4094="131"),H4094='131-CT'!$H$9),"x","")</f>
        <v/>
      </c>
      <c r="Z4094" s="79"/>
      <c r="AA4094" s="79" t="str">
        <f>IF(AND(MONTH(E4094)='IN-NX'!$J$5,'IN-NX'!$D$7=D4094),"x","")</f>
        <v/>
      </c>
      <c r="AB4094" s="79" t="str">
        <f>IF(AND(OR(LEFT(TH!N4094,2)="15",LEFT(TH!O4094,2)="15"),LEFT(TH!O4094,3)&lt;&gt;"111",'152-CT'!$J$8=TH!F4094),"x","")</f>
        <v/>
      </c>
      <c r="AC4094" s="79" t="str">
        <f>IF(AND(OR(LEFT(TH!N4094,2)="15",LEFT(TH!O4094,2)="15"),TK!$E$7=TH!F4094),"x","")</f>
        <v/>
      </c>
      <c r="AD4094" s="79" t="str">
        <f>IF(AND(N4094="1521",MONTH(C4094)='BK-NL'!$M$11),"x","")</f>
        <v/>
      </c>
    </row>
    <row r="4095" spans="1:30" ht="16.5" customHeight="1">
      <c r="A4095" s="318" t="str">
        <f>IF(B4095&lt;&gt;"",IF(AND(B4095='IN-TC'!$S$4,OR(TH!N4095="1111",TH!O4095="1111")),TH!D4095,""),"")</f>
        <v/>
      </c>
      <c r="B4095" s="60" t="str">
        <f t="shared" si="432"/>
        <v/>
      </c>
      <c r="C4095" s="75"/>
      <c r="D4095" s="75"/>
      <c r="E4095" s="75"/>
      <c r="F4095" s="76"/>
      <c r="G4095" s="76"/>
      <c r="H4095" s="77"/>
      <c r="I4095" s="77"/>
      <c r="J4095" s="391"/>
      <c r="K4095" s="383"/>
      <c r="L4095" s="1248"/>
      <c r="M4095" s="978"/>
      <c r="N4095" s="79"/>
      <c r="O4095" s="979"/>
      <c r="P4095" s="79" t="str">
        <f>IF(AND('331-CT'!$E$7=TH!H4095,OR(N4095="331",O4095="331")),"x","")</f>
        <v/>
      </c>
      <c r="Q4095" s="79" t="str">
        <f>IF(AND(B4095='111'!$L$11,OR($N4095=$Q$7,$O4095=$Q$7)),"x","")</f>
        <v/>
      </c>
      <c r="R4095" s="79" t="str">
        <f>IF(AND($N4095=$Q$7,$B4095&lt;'111'!$L$11),"x","")</f>
        <v/>
      </c>
      <c r="S4095" s="79" t="str">
        <f>IF(AND($O4095=$Q$7,$B4095&lt;'111'!$L$11),"x","")</f>
        <v/>
      </c>
      <c r="T4095" s="79" t="str">
        <f>IF(ISERROR(FIND('112'!$M$9,G4095,1)),"",IF((AND(FIND('112'!$M$9,G4095,1)&gt;=1,B4095='112'!$K$9,OR($N4095='112'!$I$6,$O4095='112'!$I$6))),"x",""))</f>
        <v/>
      </c>
      <c r="U4095" s="79" t="str">
        <f>IF(ISERROR(FIND('112'!$M$9,G4095,1)),"",IF((AND(LEFT(G4095,2)=LEFT('112'!$M$9,2),B4095&lt;'112'!$K$9,$N4095='112'!$I$6)),"x",""))</f>
        <v/>
      </c>
      <c r="V4095" s="79" t="str">
        <f>IF(ISERROR(FIND('112'!$M$9,G4095,1)),"",IF((AND(RIGHT(G4095,2)=RIGHT('112'!$M$9,2),B4095&lt;'112'!$K$9,$O4095='112'!$I$6)),"x",""))</f>
        <v/>
      </c>
      <c r="W4095" s="79" t="str">
        <f>IF(AND('341-CT'!$H$9=H4095,OR(LEFT(N4095,3)=$W$7,LEFT(O4095,3)=$W$7)),"x","")</f>
        <v/>
      </c>
      <c r="X4095" s="79" t="str">
        <f>IF(OR(TH!N4095=TH!$X$7,O4095=TH!$X$7),"x","")</f>
        <v/>
      </c>
      <c r="Y4095" s="79" t="str">
        <f>IF(AND(OR(N4095="131",O4095="131"),H4095='131-CT'!$H$9),"x","")</f>
        <v/>
      </c>
      <c r="Z4095" s="79"/>
      <c r="AA4095" s="79" t="str">
        <f>IF(AND(MONTH(E4095)='IN-NX'!$J$5,'IN-NX'!$D$7=D4095),"x","")</f>
        <v/>
      </c>
      <c r="AB4095" s="79" t="str">
        <f>IF(AND(OR(LEFT(TH!N4095,2)="15",LEFT(TH!O4095,2)="15"),LEFT(TH!O4095,3)&lt;&gt;"111",'152-CT'!$J$8=TH!F4095),"x","")</f>
        <v/>
      </c>
      <c r="AC4095" s="79" t="str">
        <f>IF(AND(OR(LEFT(TH!N4095,2)="15",LEFT(TH!O4095,2)="15"),TK!$E$7=TH!F4095),"x","")</f>
        <v/>
      </c>
      <c r="AD4095" s="79" t="str">
        <f>IF(AND(N4095="1521",MONTH(C4095)='BK-NL'!$M$11),"x","")</f>
        <v/>
      </c>
    </row>
    <row r="4096" spans="1:30" ht="16.5" customHeight="1">
      <c r="A4096" s="318" t="str">
        <f>IF(B4096&lt;&gt;"",IF(AND(B4096='IN-TC'!$S$4,OR(TH!N4096="1111",TH!O4096="1111")),TH!D4096,""),"")</f>
        <v/>
      </c>
      <c r="B4096" s="60" t="str">
        <f t="shared" ref="B4096" si="437">IF(C4096&lt;&gt;"",MONTH(C4096),"")</f>
        <v/>
      </c>
      <c r="C4096" s="75"/>
      <c r="D4096" s="75"/>
      <c r="E4096" s="75"/>
      <c r="F4096" s="76"/>
      <c r="G4096" s="76"/>
      <c r="H4096" s="77"/>
      <c r="I4096" s="77"/>
      <c r="J4096" s="391"/>
      <c r="K4096" s="383"/>
      <c r="L4096" s="1248"/>
      <c r="M4096" s="978"/>
      <c r="N4096" s="79"/>
      <c r="O4096" s="979"/>
      <c r="P4096" s="79" t="str">
        <f>IF(AND('331-CT'!$E$7=TH!H4096,OR(N4096="331",O4096="331")),"x","")</f>
        <v/>
      </c>
      <c r="Q4096" s="79" t="str">
        <f>IF(AND(B4096='111'!$L$11,OR($N4096=$Q$7,$O4096=$Q$7)),"x","")</f>
        <v/>
      </c>
      <c r="R4096" s="79" t="str">
        <f>IF(AND($N4096=$Q$7,$B4096&lt;'111'!$L$11),"x","")</f>
        <v/>
      </c>
      <c r="S4096" s="79" t="str">
        <f>IF(AND($O4096=$Q$7,$B4096&lt;'111'!$L$11),"x","")</f>
        <v/>
      </c>
      <c r="T4096" s="79" t="str">
        <f>IF(ISERROR(FIND('112'!$M$9,G4096,1)),"",IF((AND(FIND('112'!$M$9,G4096,1)&gt;=1,B4096='112'!$K$9,OR($N4096='112'!$I$6,$O4096='112'!$I$6))),"x",""))</f>
        <v/>
      </c>
      <c r="U4096" s="79" t="str">
        <f>IF(ISERROR(FIND('112'!$M$9,G4096,1)),"",IF((AND(LEFT(G4096,2)=LEFT('112'!$M$9,2),B4096&lt;'112'!$K$9,$N4096='112'!$I$6)),"x",""))</f>
        <v/>
      </c>
      <c r="V4096" s="79" t="str">
        <f>IF(ISERROR(FIND('112'!$M$9,G4096,1)),"",IF((AND(RIGHT(G4096,2)=RIGHT('112'!$M$9,2),B4096&lt;'112'!$K$9,$O4096='112'!$I$6)),"x",""))</f>
        <v/>
      </c>
      <c r="W4096" s="79" t="str">
        <f>IF(AND('341-CT'!$H$9=H4096,OR(LEFT(N4096,3)=$W$7,LEFT(O4096,3)=$W$7)),"x","")</f>
        <v/>
      </c>
      <c r="X4096" s="79" t="str">
        <f>IF(OR(TH!N4096=TH!$X$7,O4096=TH!$X$7),"x","")</f>
        <v/>
      </c>
      <c r="Y4096" s="79" t="str">
        <f>IF(AND(OR(N4096="131",O4096="131"),H4096='131-CT'!$H$9),"x","")</f>
        <v/>
      </c>
      <c r="Z4096" s="79"/>
      <c r="AA4096" s="79" t="str">
        <f>IF(AND(MONTH(E4096)='IN-NX'!$J$5,'IN-NX'!$D$7=D4096),"x","")</f>
        <v/>
      </c>
      <c r="AB4096" s="79" t="str">
        <f>IF(AND(OR(LEFT(TH!N4096,2)="15",LEFT(TH!O4096,2)="15"),LEFT(TH!O4096,3)&lt;&gt;"111",'152-CT'!$J$8=TH!F4096),"x","")</f>
        <v/>
      </c>
      <c r="AC4096" s="79" t="str">
        <f>IF(AND(OR(LEFT(TH!N4096,2)="15",LEFT(TH!O4096,2)="15"),TK!$E$7=TH!F4096),"x","")</f>
        <v/>
      </c>
      <c r="AD4096" s="79" t="str">
        <f>IF(AND(N4096="1521",MONTH(C4096)='BK-NL'!$M$11),"x","")</f>
        <v/>
      </c>
    </row>
    <row r="4097" spans="1:30" ht="16.5" customHeight="1">
      <c r="A4097" s="318" t="str">
        <f>IF(B4097&lt;&gt;"",IF(AND(B4097='IN-TC'!$S$4,OR(TH!N4097="1111",TH!O4097="1111")),TH!D4097,""),"")</f>
        <v/>
      </c>
      <c r="B4097" s="60" t="str">
        <f t="shared" si="432"/>
        <v/>
      </c>
      <c r="C4097" s="75"/>
      <c r="D4097" s="75"/>
      <c r="E4097" s="75"/>
      <c r="F4097" s="76"/>
      <c r="G4097" s="76"/>
      <c r="H4097" s="77"/>
      <c r="I4097" s="77"/>
      <c r="J4097" s="391"/>
      <c r="K4097" s="1247"/>
      <c r="L4097" s="1248"/>
      <c r="M4097" s="978"/>
      <c r="N4097" s="79"/>
      <c r="O4097" s="79"/>
      <c r="P4097" s="79" t="str">
        <f>IF(AND('331-CT'!$E$7=TH!H4097,OR(N4097="331",O4097="331")),"x","")</f>
        <v/>
      </c>
      <c r="Q4097" s="79" t="str">
        <f>IF(AND(B4097='111'!$L$11,OR($N4097=$Q$7,$O4097=$Q$7)),"x","")</f>
        <v/>
      </c>
      <c r="R4097" s="79" t="str">
        <f>IF(AND($N4097=$Q$7,$B4097&lt;'111'!$L$11),"x","")</f>
        <v/>
      </c>
      <c r="S4097" s="79" t="str">
        <f>IF(AND($O4097=$Q$7,$B4097&lt;'111'!$L$11),"x","")</f>
        <v/>
      </c>
      <c r="T4097" s="79" t="str">
        <f>IF(ISERROR(FIND('112'!$M$9,G4097,1)),"",IF((AND(FIND('112'!$M$9,G4097,1)&gt;=1,B4097='112'!$K$9,OR($N4097='112'!$I$6,$O4097='112'!$I$6))),"x",""))</f>
        <v/>
      </c>
      <c r="U4097" s="79" t="str">
        <f>IF(ISERROR(FIND('112'!$M$9,G4097,1)),"",IF((AND(LEFT(G4097,2)=LEFT('112'!$M$9,2),B4097&lt;'112'!$K$9,$N4097='112'!$I$6)),"x",""))</f>
        <v/>
      </c>
      <c r="V4097" s="79" t="str">
        <f>IF(ISERROR(FIND('112'!$M$9,G4097,1)),"",IF((AND(RIGHT(G4097,2)=RIGHT('112'!$M$9,2),B4097&lt;'112'!$K$9,$O4097='112'!$I$6)),"x",""))</f>
        <v/>
      </c>
      <c r="W4097" s="79" t="str">
        <f>IF(AND('341-CT'!$H$9=H4097,OR(LEFT(N4097,3)=$W$7,LEFT(O4097,3)=$W$7)),"x","")</f>
        <v/>
      </c>
      <c r="X4097" s="79" t="str">
        <f>IF(OR(TH!N4097=TH!$X$7,O4097=TH!$X$7),"x","")</f>
        <v/>
      </c>
      <c r="Y4097" s="79" t="str">
        <f>IF(AND(OR(N4097="131",O4097="131"),H4097='131-CT'!$H$9),"x","")</f>
        <v/>
      </c>
      <c r="Z4097" s="79"/>
      <c r="AA4097" s="79" t="str">
        <f>IF(AND(MONTH(E4097)='IN-NX'!$J$5,'IN-NX'!$D$7=D4097),"x","")</f>
        <v/>
      </c>
      <c r="AB4097" s="79" t="str">
        <f>IF(AND(OR(LEFT(TH!N4097,2)="15",LEFT(TH!O4097,2)="15"),LEFT(TH!O4097,3)&lt;&gt;"111",'152-CT'!$J$8=TH!F4097),"x","")</f>
        <v/>
      </c>
      <c r="AC4097" s="79" t="str">
        <f>IF(AND(OR(LEFT(TH!N4097,2)="15",LEFT(TH!O4097,2)="15"),TK!$E$7=TH!F4097),"x","")</f>
        <v/>
      </c>
      <c r="AD4097" s="79" t="str">
        <f>IF(AND(N4097="1521",MONTH(C4097)='BK-NL'!$M$11),"x","")</f>
        <v/>
      </c>
    </row>
    <row r="4098" spans="1:30" ht="16.5" customHeight="1">
      <c r="A4098" s="318" t="str">
        <f>IF(B4098&lt;&gt;"",IF(AND(B4098='IN-TC'!$S$4,OR(TH!N4098="1111",TH!O4098="1111")),TH!D4098,""),"")</f>
        <v/>
      </c>
      <c r="B4098" s="60" t="str">
        <f t="shared" si="432"/>
        <v/>
      </c>
      <c r="C4098" s="75"/>
      <c r="D4098" s="75"/>
      <c r="E4098" s="75"/>
      <c r="F4098" s="76"/>
      <c r="G4098" s="76"/>
      <c r="H4098" s="77"/>
      <c r="I4098" s="77"/>
      <c r="J4098" s="391"/>
      <c r="K4098" s="1247"/>
      <c r="L4098" s="1248"/>
      <c r="M4098" s="978"/>
      <c r="N4098" s="79"/>
      <c r="O4098" s="79"/>
      <c r="P4098" s="79" t="str">
        <f>IF(AND('331-CT'!$E$7=TH!H4098,OR(N4098="331",O4098="331")),"x","")</f>
        <v/>
      </c>
      <c r="Q4098" s="79" t="str">
        <f>IF(AND(B4098='111'!$L$11,OR($N4098=$Q$7,$O4098=$Q$7)),"x","")</f>
        <v/>
      </c>
      <c r="R4098" s="79" t="str">
        <f>IF(AND($N4098=$Q$7,$B4098&lt;'111'!$L$11),"x","")</f>
        <v/>
      </c>
      <c r="S4098" s="79" t="str">
        <f>IF(AND($O4098=$Q$7,$B4098&lt;'111'!$L$11),"x","")</f>
        <v/>
      </c>
      <c r="T4098" s="79" t="str">
        <f>IF(ISERROR(FIND('112'!$M$9,G4098,1)),"",IF((AND(FIND('112'!$M$9,G4098,1)&gt;=1,B4098='112'!$K$9,OR($N4098='112'!$I$6,$O4098='112'!$I$6))),"x",""))</f>
        <v/>
      </c>
      <c r="U4098" s="79" t="str">
        <f>IF(ISERROR(FIND('112'!$M$9,G4098,1)),"",IF((AND(LEFT(G4098,2)=LEFT('112'!$M$9,2),B4098&lt;'112'!$K$9,$N4098='112'!$I$6)),"x",""))</f>
        <v/>
      </c>
      <c r="V4098" s="79" t="str">
        <f>IF(ISERROR(FIND('112'!$M$9,G4098,1)),"",IF((AND(RIGHT(G4098,2)=RIGHT('112'!$M$9,2),B4098&lt;'112'!$K$9,$O4098='112'!$I$6)),"x",""))</f>
        <v/>
      </c>
      <c r="W4098" s="79" t="str">
        <f>IF(AND('341-CT'!$H$9=H4098,OR(LEFT(N4098,3)=$W$7,LEFT(O4098,3)=$W$7)),"x","")</f>
        <v/>
      </c>
      <c r="X4098" s="79" t="str">
        <f>IF(OR(TH!N4098=TH!$X$7,O4098=TH!$X$7),"x","")</f>
        <v/>
      </c>
      <c r="Y4098" s="79" t="str">
        <f>IF(AND(OR(N4098="131",O4098="131"),H4098='131-CT'!$H$9),"x","")</f>
        <v/>
      </c>
      <c r="Z4098" s="79"/>
      <c r="AA4098" s="79" t="str">
        <f>IF(AND(MONTH(E4098)='IN-NX'!$J$5,'IN-NX'!$D$7=D4098),"x","")</f>
        <v/>
      </c>
      <c r="AB4098" s="79" t="str">
        <f>IF(AND(OR(LEFT(TH!N4098,2)="15",LEFT(TH!O4098,2)="15"),LEFT(TH!O4098,3)&lt;&gt;"111",'152-CT'!$J$8=TH!F4098),"x","")</f>
        <v/>
      </c>
      <c r="AC4098" s="79" t="str">
        <f>IF(AND(OR(LEFT(TH!N4098,2)="15",LEFT(TH!O4098,2)="15"),TK!$E$7=TH!F4098),"x","")</f>
        <v/>
      </c>
      <c r="AD4098" s="79" t="str">
        <f>IF(AND(N4098="1521",MONTH(C4098)='BK-NL'!$M$11),"x","")</f>
        <v/>
      </c>
    </row>
    <row r="4099" spans="1:30" ht="16.5" customHeight="1">
      <c r="A4099" s="318" t="str">
        <f>IF(B4099&lt;&gt;"",IF(AND(B4099='[3]IN-TC'!$S$4,OR([3]TH!N3335="1111",[3]TH!O3335="1111")),[3]TH!D3335,""),"")</f>
        <v/>
      </c>
      <c r="B4099" s="60" t="str">
        <f t="shared" si="432"/>
        <v/>
      </c>
      <c r="C4099" s="974"/>
      <c r="D4099" s="974"/>
      <c r="E4099" s="974"/>
      <c r="F4099" s="76"/>
      <c r="G4099" s="975"/>
      <c r="H4099" s="305"/>
      <c r="I4099" s="1247"/>
      <c r="J4099" s="391"/>
      <c r="K4099" s="1247"/>
      <c r="L4099" s="1248"/>
      <c r="M4099" s="978"/>
      <c r="N4099" s="979"/>
      <c r="O4099" s="979"/>
      <c r="P4099" s="79" t="str">
        <f>IF(AND('331-CT'!$E$7=TH!H4099,OR(N4099="331",O4099="331")),"x","")</f>
        <v/>
      </c>
      <c r="Q4099" s="79" t="str">
        <f>IF(AND(B4099='111'!$L$11,OR($N4099=$Q$7,$O4099=$Q$7)),"x","")</f>
        <v/>
      </c>
      <c r="R4099" s="79" t="str">
        <f>IF(AND($N4099=$Q$7,$B4099&lt;'111'!$L$11),"x","")</f>
        <v/>
      </c>
      <c r="S4099" s="79" t="str">
        <f>IF(AND($O4099=$Q$7,$B4099&lt;'111'!$L$11),"x","")</f>
        <v/>
      </c>
      <c r="T4099" s="79" t="str">
        <f>IF(ISERROR(FIND('112'!$M$9,G4099,1)),"",IF((AND(FIND('112'!$M$9,G4099,1)&gt;=1,B4099='112'!$K$9,OR($N4099='112'!$I$6,$O4099='112'!$I$6))),"x",""))</f>
        <v/>
      </c>
      <c r="U4099" s="79" t="str">
        <f>IF(ISERROR(FIND('112'!$M$9,G4099,1)),"",IF((AND(LEFT(G4099,2)=LEFT('112'!$M$9,2),B4099&lt;'112'!$K$9,$N4099='112'!$I$6)),"x",""))</f>
        <v/>
      </c>
      <c r="V4099" s="79" t="str">
        <f>IF(ISERROR(FIND('112'!$M$9,G4099,1)),"",IF((AND(RIGHT(G4099,2)=RIGHT('112'!$M$9,2),B4099&lt;'112'!$K$9,$O4099='112'!$I$6)),"x",""))</f>
        <v/>
      </c>
      <c r="W4099" s="79" t="str">
        <f>IF(AND('341-CT'!$H$9=H4099,OR(LEFT(N4099,3)=$W$7,LEFT(O4099,3)=$W$7)),"x","")</f>
        <v/>
      </c>
      <c r="X4099" s="79" t="str">
        <f>IF(OR(TH!N4099=TH!$X$7,O4099=TH!$X$7),"x","")</f>
        <v/>
      </c>
      <c r="Y4099" s="79" t="str">
        <f>IF(AND(OR(N4099="131",O4099="131"),H4099='131-CT'!$H$9),"x","")</f>
        <v/>
      </c>
      <c r="Z4099" s="79"/>
      <c r="AA4099" s="79" t="str">
        <f>IF(AND(MONTH(E4099)='IN-NX'!$J$5,'IN-NX'!$D$7=D4099),"x","")</f>
        <v/>
      </c>
      <c r="AB4099" s="79" t="str">
        <f>IF(AND(OR(LEFT(TH!N4099,2)="15",LEFT(TH!O4099,2)="15"),LEFT(TH!O4099,3)&lt;&gt;"111",'152-CT'!$J$8=TH!F4099),"x","")</f>
        <v/>
      </c>
      <c r="AC4099" s="79" t="str">
        <f>IF(AND(OR(LEFT(TH!N4099,2)="15",LEFT(TH!O4099,2)="15"),TK!$E$7=TH!F4099),"x","")</f>
        <v/>
      </c>
      <c r="AD4099" s="79" t="str">
        <f>IF(AND(N4099="1521",MONTH(C4099)='BK-NL'!$M$11),"x","")</f>
        <v/>
      </c>
    </row>
    <row r="4100" spans="1:30" ht="16.5" customHeight="1">
      <c r="A4100" s="318" t="str">
        <f>IF(B4100&lt;&gt;"",IF(AND(B4100='[3]IN-TC'!$S$4,OR([3]TH!N3336="1111",[3]TH!O3336="1111")),[3]TH!D3336,""),"")</f>
        <v/>
      </c>
      <c r="B4100" s="60" t="str">
        <f t="shared" ref="B4100" si="438">IF(C4100&lt;&gt;"",MONTH(C4100),"")</f>
        <v/>
      </c>
      <c r="C4100" s="974"/>
      <c r="D4100" s="974"/>
      <c r="E4100" s="974"/>
      <c r="F4100" s="975"/>
      <c r="G4100" s="975"/>
      <c r="H4100" s="305"/>
      <c r="I4100" s="1247"/>
      <c r="J4100" s="391"/>
      <c r="K4100" s="1247"/>
      <c r="L4100" s="1248"/>
      <c r="M4100" s="78"/>
      <c r="N4100" s="979"/>
      <c r="O4100" s="979"/>
      <c r="P4100" s="79" t="str">
        <f>IF(AND('331-CT'!$E$7=TH!H4100,OR(N4100="331",O4100="331")),"x","")</f>
        <v/>
      </c>
      <c r="Q4100" s="79" t="str">
        <f>IF(AND(B4100='111'!$L$11,OR($N4100=$Q$7,$O4100=$Q$7)),"x","")</f>
        <v/>
      </c>
      <c r="R4100" s="79" t="str">
        <f>IF(AND($N4100=$Q$7,$B4100&lt;'111'!$L$11),"x","")</f>
        <v/>
      </c>
      <c r="S4100" s="79" t="str">
        <f>IF(AND($O4100=$Q$7,$B4100&lt;'111'!$L$11),"x","")</f>
        <v/>
      </c>
      <c r="T4100" s="79" t="str">
        <f>IF(ISERROR(FIND('112'!$M$9,G4100,1)),"",IF((AND(FIND('112'!$M$9,G4100,1)&gt;=1,B4100='112'!$K$9,OR($N4100='112'!$I$6,$O4100='112'!$I$6))),"x",""))</f>
        <v/>
      </c>
      <c r="U4100" s="79" t="str">
        <f>IF(ISERROR(FIND('112'!$M$9,G4100,1)),"",IF((AND(LEFT(G4100,2)=LEFT('112'!$M$9,2),B4100&lt;'112'!$K$9,$N4100='112'!$I$6)),"x",""))</f>
        <v/>
      </c>
      <c r="V4100" s="79" t="str">
        <f>IF(ISERROR(FIND('112'!$M$9,G4100,1)),"",IF((AND(RIGHT(G4100,2)=RIGHT('112'!$M$9,2),B4100&lt;'112'!$K$9,$O4100='112'!$I$6)),"x",""))</f>
        <v/>
      </c>
      <c r="W4100" s="79" t="str">
        <f>IF(AND('341-CT'!$H$9=H4100,OR(LEFT(N4100,3)=$W$7,LEFT(O4100,3)=$W$7)),"x","")</f>
        <v/>
      </c>
      <c r="X4100" s="79" t="str">
        <f>IF(OR(TH!N4100=TH!$X$7,O4100=TH!$X$7),"x","")</f>
        <v/>
      </c>
      <c r="Y4100" s="79" t="str">
        <f>IF(AND(OR(N4100="131",O4100="131"),H4100='131-CT'!$H$9),"x","")</f>
        <v/>
      </c>
      <c r="Z4100" s="79"/>
      <c r="AA4100" s="79" t="str">
        <f>IF(AND(MONTH(E4100)='IN-NX'!$J$5,'IN-NX'!$D$7=D4100),"x","")</f>
        <v/>
      </c>
      <c r="AB4100" s="79" t="str">
        <f>IF(AND(OR(LEFT(TH!N4100,2)="15",LEFT(TH!O4100,2)="15"),LEFT(TH!O4100,3)&lt;&gt;"111",'152-CT'!$J$8=TH!F4100),"x","")</f>
        <v/>
      </c>
      <c r="AC4100" s="79" t="str">
        <f>IF(AND(OR(LEFT(TH!N4100,2)="15",LEFT(TH!O4100,2)="15"),TK!$E$7=TH!F4100),"x","")</f>
        <v/>
      </c>
      <c r="AD4100" s="79" t="str">
        <f>IF(AND(N4100="1521",MONTH(C4100)='BK-NL'!$M$11),"x","")</f>
        <v/>
      </c>
    </row>
    <row r="4101" spans="1:30" ht="16.5" customHeight="1">
      <c r="A4101" s="318" t="str">
        <f>IF(B4101&lt;&gt;"",IF(AND(B4101='[3]IN-TC'!$S$4,OR([3]TH!N3336="1111",[3]TH!O3336="1111")),[3]TH!D3336,""),"")</f>
        <v/>
      </c>
      <c r="B4101" s="60" t="str">
        <f t="shared" si="432"/>
        <v/>
      </c>
      <c r="C4101" s="974"/>
      <c r="D4101" s="974"/>
      <c r="E4101" s="974"/>
      <c r="F4101" s="975"/>
      <c r="G4101" s="975"/>
      <c r="H4101" s="305"/>
      <c r="I4101" s="1247"/>
      <c r="J4101" s="391"/>
      <c r="K4101" s="1247"/>
      <c r="L4101" s="1248"/>
      <c r="M4101" s="78"/>
      <c r="N4101" s="979"/>
      <c r="O4101" s="979"/>
      <c r="P4101" s="79" t="str">
        <f>IF(AND('331-CT'!$E$7=TH!H4101,OR(N4101="331",O4101="331")),"x","")</f>
        <v/>
      </c>
      <c r="Q4101" s="79" t="str">
        <f>IF(AND(B4101='111'!$L$11,OR($N4101=$Q$7,$O4101=$Q$7)),"x","")</f>
        <v/>
      </c>
      <c r="R4101" s="79" t="str">
        <f>IF(AND($N4101=$Q$7,$B4101&lt;'111'!$L$11),"x","")</f>
        <v/>
      </c>
      <c r="S4101" s="79" t="str">
        <f>IF(AND($O4101=$Q$7,$B4101&lt;'111'!$L$11),"x","")</f>
        <v/>
      </c>
      <c r="T4101" s="79" t="str">
        <f>IF(ISERROR(FIND('112'!$M$9,G4101,1)),"",IF((AND(FIND('112'!$M$9,G4101,1)&gt;=1,B4101='112'!$K$9,OR($N4101='112'!$I$6,$O4101='112'!$I$6))),"x",""))</f>
        <v/>
      </c>
      <c r="U4101" s="79" t="str">
        <f>IF(ISERROR(FIND('112'!$M$9,G4101,1)),"",IF((AND(LEFT(G4101,2)=LEFT('112'!$M$9,2),B4101&lt;'112'!$K$9,$N4101='112'!$I$6)),"x",""))</f>
        <v/>
      </c>
      <c r="V4101" s="79" t="str">
        <f>IF(ISERROR(FIND('112'!$M$9,G4101,1)),"",IF((AND(RIGHT(G4101,2)=RIGHT('112'!$M$9,2),B4101&lt;'112'!$K$9,$O4101='112'!$I$6)),"x",""))</f>
        <v/>
      </c>
      <c r="W4101" s="79" t="str">
        <f>IF(AND('341-CT'!$H$9=H4101,OR(LEFT(N4101,3)=$W$7,LEFT(O4101,3)=$W$7)),"x","")</f>
        <v/>
      </c>
      <c r="X4101" s="79" t="str">
        <f>IF(OR(TH!N4101=TH!$X$7,O4101=TH!$X$7),"x","")</f>
        <v/>
      </c>
      <c r="Y4101" s="79" t="str">
        <f>IF(AND(OR(N4101="131",O4101="131"),H4101='131-CT'!$H$9),"x","")</f>
        <v/>
      </c>
      <c r="Z4101" s="79"/>
      <c r="AA4101" s="79" t="str">
        <f>IF(AND(MONTH(E4101)='IN-NX'!$J$5,'IN-NX'!$D$7=D4101),"x","")</f>
        <v/>
      </c>
      <c r="AB4101" s="79" t="str">
        <f>IF(AND(OR(LEFT(TH!N4101,2)="15",LEFT(TH!O4101,2)="15"),LEFT(TH!O4101,3)&lt;&gt;"111",'152-CT'!$J$8=TH!F4101),"x","")</f>
        <v/>
      </c>
      <c r="AC4101" s="79" t="str">
        <f>IF(AND(OR(LEFT(TH!N4101,2)="15",LEFT(TH!O4101,2)="15"),TK!$E$7=TH!F4101),"x","")</f>
        <v/>
      </c>
      <c r="AD4101" s="79" t="str">
        <f>IF(AND(N4101="1521",MONTH(C4101)='BK-NL'!$M$11),"x","")</f>
        <v/>
      </c>
    </row>
    <row r="4102" spans="1:30" ht="16.5" customHeight="1">
      <c r="A4102" s="318" t="str">
        <f>IF(B4102&lt;&gt;"",IF(AND(B4102='[3]IN-TC'!$S$4,OR([3]TH!N3337="1111",[3]TH!O3337="1111")),[3]TH!D3337,""),"")</f>
        <v/>
      </c>
      <c r="B4102" s="60" t="str">
        <f t="shared" si="432"/>
        <v/>
      </c>
      <c r="C4102" s="974"/>
      <c r="D4102" s="974"/>
      <c r="E4102" s="974"/>
      <c r="F4102" s="975"/>
      <c r="G4102" s="975"/>
      <c r="H4102" s="305"/>
      <c r="I4102" s="1247"/>
      <c r="J4102" s="391"/>
      <c r="K4102" s="1247"/>
      <c r="L4102" s="1248"/>
      <c r="M4102" s="78"/>
      <c r="N4102" s="979"/>
      <c r="O4102" s="979"/>
      <c r="P4102" s="79" t="str">
        <f>IF(AND('331-CT'!$E$7=TH!H4102,OR(N4102="331",O4102="331")),"x","")</f>
        <v/>
      </c>
      <c r="Q4102" s="79" t="str">
        <f>IF(AND(B4102='111'!$L$11,OR($N4102=$Q$7,$O4102=$Q$7)),"x","")</f>
        <v/>
      </c>
      <c r="R4102" s="79" t="str">
        <f>IF(AND($N4102=$Q$7,$B4102&lt;'111'!$L$11),"x","")</f>
        <v/>
      </c>
      <c r="S4102" s="79" t="str">
        <f>IF(AND($O4102=$Q$7,$B4102&lt;'111'!$L$11),"x","")</f>
        <v/>
      </c>
      <c r="T4102" s="79" t="str">
        <f>IF(ISERROR(FIND('112'!$M$9,G4102,1)),"",IF((AND(FIND('112'!$M$9,G4102,1)&gt;=1,B4102='112'!$K$9,OR($N4102='112'!$I$6,$O4102='112'!$I$6))),"x",""))</f>
        <v/>
      </c>
      <c r="U4102" s="79" t="str">
        <f>IF(ISERROR(FIND('112'!$M$9,G4102,1)),"",IF((AND(LEFT(G4102,2)=LEFT('112'!$M$9,2),B4102&lt;'112'!$K$9,$N4102='112'!$I$6)),"x",""))</f>
        <v/>
      </c>
      <c r="V4102" s="79" t="str">
        <f>IF(ISERROR(FIND('112'!$M$9,G4102,1)),"",IF((AND(RIGHT(G4102,2)=RIGHT('112'!$M$9,2),B4102&lt;'112'!$K$9,$O4102='112'!$I$6)),"x",""))</f>
        <v/>
      </c>
      <c r="W4102" s="79" t="str">
        <f>IF(AND('341-CT'!$H$9=H4102,OR(LEFT(N4102,3)=$W$7,LEFT(O4102,3)=$W$7)),"x","")</f>
        <v/>
      </c>
      <c r="X4102" s="79" t="str">
        <f>IF(OR(TH!N4102=TH!$X$7,O4102=TH!$X$7),"x","")</f>
        <v/>
      </c>
      <c r="Y4102" s="79" t="str">
        <f>IF(AND(OR(N4102="131",O4102="131"),H4102='131-CT'!$H$9),"x","")</f>
        <v/>
      </c>
      <c r="Z4102" s="79"/>
      <c r="AA4102" s="79" t="str">
        <f>IF(AND(MONTH(E4102)='IN-NX'!$J$5,'IN-NX'!$D$7=D4102),"x","")</f>
        <v/>
      </c>
      <c r="AB4102" s="79" t="str">
        <f>IF(AND(OR(LEFT(TH!N4102,2)="15",LEFT(TH!O4102,2)="15"),LEFT(TH!O4102,3)&lt;&gt;"111",'152-CT'!$J$8=TH!F4102),"x","")</f>
        <v/>
      </c>
      <c r="AC4102" s="79" t="str">
        <f>IF(AND(OR(LEFT(TH!N4102,2)="15",LEFT(TH!O4102,2)="15"),TK!$E$7=TH!F4102),"x","")</f>
        <v/>
      </c>
      <c r="AD4102" s="79" t="str">
        <f>IF(AND(N4102="1521",MONTH(C4102)='BK-NL'!$M$11),"x","")</f>
        <v/>
      </c>
    </row>
    <row r="4103" spans="1:30" ht="16.5" customHeight="1">
      <c r="A4103" s="318" t="str">
        <f>IF(B4103&lt;&gt;"",IF(AND(B4103='[3]IN-TC'!$S$4,OR([3]TH!N3338="1111",[3]TH!O3338="1111")),[3]TH!D3338,""),"")</f>
        <v/>
      </c>
      <c r="B4103" s="60" t="str">
        <f t="shared" ref="B4103" si="439">IF(C4103&lt;&gt;"",MONTH(C4103),"")</f>
        <v/>
      </c>
      <c r="C4103" s="974"/>
      <c r="D4103" s="974"/>
      <c r="E4103" s="974"/>
      <c r="F4103" s="975"/>
      <c r="G4103" s="975"/>
      <c r="H4103" s="305"/>
      <c r="I4103" s="1247"/>
      <c r="J4103" s="391"/>
      <c r="K4103" s="1247"/>
      <c r="L4103" s="1248"/>
      <c r="M4103" s="78"/>
      <c r="N4103" s="979"/>
      <c r="O4103" s="979"/>
      <c r="P4103" s="79" t="str">
        <f>IF(AND('331-CT'!$E$7=TH!H4103,OR(N4103="331",O4103="331")),"x","")</f>
        <v/>
      </c>
      <c r="Q4103" s="79" t="str">
        <f>IF(AND(B4103='111'!$L$11,OR($N4103=$Q$7,$O4103=$Q$7)),"x","")</f>
        <v/>
      </c>
      <c r="R4103" s="79" t="str">
        <f>IF(AND($N4103=$Q$7,$B4103&lt;'111'!$L$11),"x","")</f>
        <v/>
      </c>
      <c r="S4103" s="79" t="str">
        <f>IF(AND($O4103=$Q$7,$B4103&lt;'111'!$L$11),"x","")</f>
        <v/>
      </c>
      <c r="T4103" s="79" t="str">
        <f>IF(ISERROR(FIND('112'!$M$9,G4103,1)),"",IF((AND(FIND('112'!$M$9,G4103,1)&gt;=1,B4103='112'!$K$9,OR($N4103='112'!$I$6,$O4103='112'!$I$6))),"x",""))</f>
        <v/>
      </c>
      <c r="U4103" s="79" t="str">
        <f>IF(ISERROR(FIND('112'!$M$9,G4103,1)),"",IF((AND(LEFT(G4103,2)=LEFT('112'!$M$9,2),B4103&lt;'112'!$K$9,$N4103='112'!$I$6)),"x",""))</f>
        <v/>
      </c>
      <c r="V4103" s="79" t="str">
        <f>IF(ISERROR(FIND('112'!$M$9,G4103,1)),"",IF((AND(RIGHT(G4103,2)=RIGHT('112'!$M$9,2),B4103&lt;'112'!$K$9,$O4103='112'!$I$6)),"x",""))</f>
        <v/>
      </c>
      <c r="W4103" s="79" t="str">
        <f>IF(AND('341-CT'!$H$9=H4103,OR(LEFT(N4103,3)=$W$7,LEFT(O4103,3)=$W$7)),"x","")</f>
        <v/>
      </c>
      <c r="X4103" s="79" t="str">
        <f>IF(OR(TH!N4103=TH!$X$7,O4103=TH!$X$7),"x","")</f>
        <v/>
      </c>
      <c r="Y4103" s="79" t="str">
        <f>IF(AND(OR(N4103="131",O4103="131"),H4103='131-CT'!$H$9),"x","")</f>
        <v/>
      </c>
      <c r="Z4103" s="79"/>
      <c r="AA4103" s="79" t="str">
        <f>IF(AND(MONTH(E4103)='IN-NX'!$J$5,'IN-NX'!$D$7=D4103),"x","")</f>
        <v/>
      </c>
      <c r="AB4103" s="79" t="str">
        <f>IF(AND(OR(LEFT(TH!N4103,2)="15",LEFT(TH!O4103,2)="15"),LEFT(TH!O4103,3)&lt;&gt;"111",'152-CT'!$J$8=TH!F4103),"x","")</f>
        <v/>
      </c>
      <c r="AC4103" s="79" t="str">
        <f>IF(AND(OR(LEFT(TH!N4103,2)="15",LEFT(TH!O4103,2)="15"),TK!$E$7=TH!F4103),"x","")</f>
        <v/>
      </c>
      <c r="AD4103" s="79" t="str">
        <f>IF(AND(N4103="1521",MONTH(C4103)='BK-NL'!$M$11),"x","")</f>
        <v/>
      </c>
    </row>
    <row r="4104" spans="1:30" ht="16.5" customHeight="1">
      <c r="A4104" s="318" t="str">
        <f>IF(B4104&lt;&gt;"",IF(AND(B4104='[3]IN-TC'!$S$4,OR([3]TH!N3339="1111",[3]TH!O3339="1111")),[3]TH!D3339,""),"")</f>
        <v/>
      </c>
      <c r="B4104" s="60" t="str">
        <f t="shared" si="432"/>
        <v/>
      </c>
      <c r="C4104" s="974"/>
      <c r="D4104" s="974"/>
      <c r="E4104" s="974"/>
      <c r="F4104" s="975"/>
      <c r="G4104" s="975"/>
      <c r="H4104" s="305"/>
      <c r="I4104" s="1247"/>
      <c r="J4104" s="391"/>
      <c r="K4104" s="1247"/>
      <c r="L4104" s="1248"/>
      <c r="M4104" s="978"/>
      <c r="N4104" s="979"/>
      <c r="O4104" s="979"/>
      <c r="P4104" s="79" t="str">
        <f>IF(AND('331-CT'!$E$7=TH!H4104,OR(N4104="331",O4104="331")),"x","")</f>
        <v/>
      </c>
      <c r="Q4104" s="79" t="str">
        <f>IF(AND(B4104='111'!$L$11,OR($N4104=$Q$7,$O4104=$Q$7)),"x","")</f>
        <v/>
      </c>
      <c r="R4104" s="79" t="str">
        <f>IF(AND($N4104=$Q$7,$B4104&lt;'111'!$L$11),"x","")</f>
        <v/>
      </c>
      <c r="S4104" s="79" t="str">
        <f>IF(AND($O4104=$Q$7,$B4104&lt;'111'!$L$11),"x","")</f>
        <v/>
      </c>
      <c r="T4104" s="79" t="str">
        <f>IF(ISERROR(FIND('112'!$M$9,G4104,1)),"",IF((AND(FIND('112'!$M$9,G4104,1)&gt;=1,B4104='112'!$K$9,OR($N4104='112'!$I$6,$O4104='112'!$I$6))),"x",""))</f>
        <v/>
      </c>
      <c r="U4104" s="79" t="str">
        <f>IF(ISERROR(FIND('112'!$M$9,G4104,1)),"",IF((AND(LEFT(G4104,2)=LEFT('112'!$M$9,2),B4104&lt;'112'!$K$9,$N4104='112'!$I$6)),"x",""))</f>
        <v/>
      </c>
      <c r="V4104" s="79" t="str">
        <f>IF(ISERROR(FIND('112'!$M$9,G4104,1)),"",IF((AND(RIGHT(G4104,2)=RIGHT('112'!$M$9,2),B4104&lt;'112'!$K$9,$O4104='112'!$I$6)),"x",""))</f>
        <v/>
      </c>
      <c r="W4104" s="79" t="str">
        <f>IF(AND('341-CT'!$H$9=H4104,OR(LEFT(N4104,3)=$W$7,LEFT(O4104,3)=$W$7)),"x","")</f>
        <v/>
      </c>
      <c r="X4104" s="79" t="str">
        <f>IF(OR(TH!N4104=TH!$X$7,O4104=TH!$X$7),"x","")</f>
        <v/>
      </c>
      <c r="Y4104" s="79" t="str">
        <f>IF(AND(OR(N4104="131",O4104="131"),H4104='131-CT'!$H$9),"x","")</f>
        <v/>
      </c>
      <c r="Z4104" s="79"/>
      <c r="AA4104" s="79" t="str">
        <f>IF(AND(MONTH(E4104)='IN-NX'!$J$5,'IN-NX'!$D$7=D4104),"x","")</f>
        <v/>
      </c>
      <c r="AB4104" s="79" t="str">
        <f>IF(AND(OR(LEFT(TH!N4104,2)="15",LEFT(TH!O4104,2)="15"),LEFT(TH!O4104,3)&lt;&gt;"111",'152-CT'!$J$8=TH!F4104),"x","")</f>
        <v/>
      </c>
      <c r="AC4104" s="79" t="str">
        <f>IF(AND(OR(LEFT(TH!N4104,2)="15",LEFT(TH!O4104,2)="15"),TK!$E$7=TH!F4104),"x","")</f>
        <v/>
      </c>
      <c r="AD4104" s="79" t="str">
        <f>IF(AND(N4104="1521",MONTH(C4104)='BK-NL'!$M$11),"x","")</f>
        <v/>
      </c>
    </row>
    <row r="4105" spans="1:30" ht="16.5" customHeight="1">
      <c r="A4105" s="318" t="str">
        <f>IF(B4105&lt;&gt;"",IF(AND(B4105='[3]IN-TC'!$S$4,OR([3]TH!N3340="1111",[3]TH!O3340="1111")),[3]TH!D3340,""),"")</f>
        <v/>
      </c>
      <c r="B4105" s="60" t="str">
        <f t="shared" si="432"/>
        <v/>
      </c>
      <c r="C4105" s="974"/>
      <c r="D4105" s="974"/>
      <c r="E4105" s="974"/>
      <c r="F4105" s="975"/>
      <c r="G4105" s="975"/>
      <c r="H4105" s="305"/>
      <c r="I4105" s="1247"/>
      <c r="J4105" s="391"/>
      <c r="K4105" s="1247"/>
      <c r="L4105" s="1248"/>
      <c r="M4105" s="978"/>
      <c r="N4105" s="979"/>
      <c r="O4105" s="979"/>
      <c r="P4105" s="79" t="str">
        <f>IF(AND('331-CT'!$E$7=TH!H4105,OR(N4105="331",O4105="331")),"x","")</f>
        <v/>
      </c>
      <c r="Q4105" s="79" t="str">
        <f>IF(AND(B4105='111'!$L$11,OR($N4105=$Q$7,$O4105=$Q$7)),"x","")</f>
        <v/>
      </c>
      <c r="R4105" s="79" t="str">
        <f>IF(AND($N4105=$Q$7,$B4105&lt;'111'!$L$11),"x","")</f>
        <v/>
      </c>
      <c r="S4105" s="79" t="str">
        <f>IF(AND($O4105=$Q$7,$B4105&lt;'111'!$L$11),"x","")</f>
        <v/>
      </c>
      <c r="T4105" s="79" t="str">
        <f>IF(ISERROR(FIND('112'!$M$9,G4105,1)),"",IF((AND(FIND('112'!$M$9,G4105,1)&gt;=1,B4105='112'!$K$9,OR($N4105='112'!$I$6,$O4105='112'!$I$6))),"x",""))</f>
        <v/>
      </c>
      <c r="U4105" s="79" t="str">
        <f>IF(ISERROR(FIND('112'!$M$9,G4105,1)),"",IF((AND(LEFT(G4105,2)=LEFT('112'!$M$9,2),B4105&lt;'112'!$K$9,$N4105='112'!$I$6)),"x",""))</f>
        <v/>
      </c>
      <c r="V4105" s="79" t="str">
        <f>IF(ISERROR(FIND('112'!$M$9,G4105,1)),"",IF((AND(RIGHT(G4105,2)=RIGHT('112'!$M$9,2),B4105&lt;'112'!$K$9,$O4105='112'!$I$6)),"x",""))</f>
        <v/>
      </c>
      <c r="W4105" s="79" t="str">
        <f>IF(AND('341-CT'!$H$9=H4105,OR(LEFT(N4105,3)=$W$7,LEFT(O4105,3)=$W$7)),"x","")</f>
        <v/>
      </c>
      <c r="X4105" s="79" t="str">
        <f>IF(OR(TH!N4105=TH!$X$7,O4105=TH!$X$7),"x","")</f>
        <v/>
      </c>
      <c r="Y4105" s="79" t="str">
        <f>IF(AND(OR(N4105="131",O4105="131"),H4105='131-CT'!$H$9),"x","")</f>
        <v/>
      </c>
      <c r="Z4105" s="79"/>
      <c r="AA4105" s="79" t="str">
        <f>IF(AND(MONTH(E4105)='IN-NX'!$J$5,'IN-NX'!$D$7=D4105),"x","")</f>
        <v/>
      </c>
      <c r="AB4105" s="79" t="str">
        <f>IF(AND(OR(LEFT(TH!N4105,2)="15",LEFT(TH!O4105,2)="15"),LEFT(TH!O4105,3)&lt;&gt;"111",'152-CT'!$J$8=TH!F4105),"x","")</f>
        <v/>
      </c>
      <c r="AC4105" s="79" t="str">
        <f>IF(AND(OR(LEFT(TH!N4105,2)="15",LEFT(TH!O4105,2)="15"),TK!$E$7=TH!F4105),"x","")</f>
        <v/>
      </c>
      <c r="AD4105" s="79" t="str">
        <f>IF(AND(N4105="1521",MONTH(C4105)='BK-NL'!$M$11),"x","")</f>
        <v/>
      </c>
    </row>
    <row r="4106" spans="1:30" ht="16.5" customHeight="1">
      <c r="A4106" s="318" t="str">
        <f>IF(B4106&lt;&gt;"",IF(AND(B4106='[3]IN-TC'!$S$4,OR([3]TH!N3341="1111",[3]TH!O3341="1111")),[3]TH!D3341,""),"")</f>
        <v/>
      </c>
      <c r="B4106" s="60" t="str">
        <f t="shared" si="432"/>
        <v/>
      </c>
      <c r="C4106" s="974"/>
      <c r="D4106" s="974"/>
      <c r="E4106" s="974"/>
      <c r="F4106" s="975"/>
      <c r="G4106" s="975"/>
      <c r="H4106" s="305"/>
      <c r="I4106" s="1247"/>
      <c r="J4106" s="391"/>
      <c r="K4106" s="1247"/>
      <c r="L4106" s="1248"/>
      <c r="M4106" s="978"/>
      <c r="N4106" s="979"/>
      <c r="O4106" s="979"/>
      <c r="P4106" s="79" t="str">
        <f>IF(AND('331-CT'!$E$7=TH!H4106,OR(N4106="331",O4106="331")),"x","")</f>
        <v/>
      </c>
      <c r="Q4106" s="79" t="str">
        <f>IF(AND(B4106='111'!$L$11,OR($N4106=$Q$7,$O4106=$Q$7)),"x","")</f>
        <v/>
      </c>
      <c r="R4106" s="79" t="str">
        <f>IF(AND($N4106=$Q$7,$B4106&lt;'111'!$L$11),"x","")</f>
        <v/>
      </c>
      <c r="S4106" s="79" t="str">
        <f>IF(AND($O4106=$Q$7,$B4106&lt;'111'!$L$11),"x","")</f>
        <v/>
      </c>
      <c r="T4106" s="79" t="str">
        <f>IF(ISERROR(FIND('112'!$M$9,G4106,1)),"",IF((AND(FIND('112'!$M$9,G4106,1)&gt;=1,B4106='112'!$K$9,OR($N4106='112'!$I$6,$O4106='112'!$I$6))),"x",""))</f>
        <v/>
      </c>
      <c r="U4106" s="79" t="str">
        <f>IF(ISERROR(FIND('112'!$M$9,G4106,1)),"",IF((AND(LEFT(G4106,2)=LEFT('112'!$M$9,2),B4106&lt;'112'!$K$9,$N4106='112'!$I$6)),"x",""))</f>
        <v/>
      </c>
      <c r="V4106" s="79" t="str">
        <f>IF(ISERROR(FIND('112'!$M$9,G4106,1)),"",IF((AND(RIGHT(G4106,2)=RIGHT('112'!$M$9,2),B4106&lt;'112'!$K$9,$O4106='112'!$I$6)),"x",""))</f>
        <v/>
      </c>
      <c r="W4106" s="79" t="str">
        <f>IF(AND('341-CT'!$H$9=H4106,OR(LEFT(N4106,3)=$W$7,LEFT(O4106,3)=$W$7)),"x","")</f>
        <v/>
      </c>
      <c r="X4106" s="79" t="str">
        <f>IF(OR(TH!N4106=TH!$X$7,O4106=TH!$X$7),"x","")</f>
        <v/>
      </c>
      <c r="Y4106" s="79" t="str">
        <f>IF(AND(OR(N4106="131",O4106="131"),H4106='131-CT'!$H$9),"x","")</f>
        <v/>
      </c>
      <c r="Z4106" s="79"/>
      <c r="AA4106" s="79" t="str">
        <f>IF(AND(MONTH(E4106)='IN-NX'!$J$5,'IN-NX'!$D$7=D4106),"x","")</f>
        <v/>
      </c>
      <c r="AB4106" s="79" t="str">
        <f>IF(AND(OR(LEFT(TH!N4106,2)="15",LEFT(TH!O4106,2)="15"),LEFT(TH!O4106,3)&lt;&gt;"111",'152-CT'!$J$8=TH!F4106),"x","")</f>
        <v/>
      </c>
      <c r="AC4106" s="79" t="str">
        <f>IF(AND(OR(LEFT(TH!N4106,2)="15",LEFT(TH!O4106,2)="15"),TK!$E$7=TH!F4106),"x","")</f>
        <v/>
      </c>
      <c r="AD4106" s="79" t="str">
        <f>IF(AND(N4106="1521",MONTH(C4106)='BK-NL'!$M$11),"x","")</f>
        <v/>
      </c>
    </row>
    <row r="4107" spans="1:30" ht="16.5" customHeight="1">
      <c r="A4107" s="318" t="str">
        <f>IF(B4107&lt;&gt;"",IF(AND(B4107='[3]IN-TC'!$S$4,OR([3]TH!N3342="1111",[3]TH!O3342="1111")),[3]TH!D3342,""),"")</f>
        <v/>
      </c>
      <c r="B4107" s="60" t="str">
        <f t="shared" si="432"/>
        <v/>
      </c>
      <c r="C4107" s="974"/>
      <c r="D4107" s="974"/>
      <c r="E4107" s="974"/>
      <c r="F4107" s="76"/>
      <c r="G4107" s="975"/>
      <c r="H4107" s="305"/>
      <c r="I4107" s="1247"/>
      <c r="J4107" s="391"/>
      <c r="K4107" s="1247"/>
      <c r="L4107" s="1248"/>
      <c r="M4107" s="978"/>
      <c r="N4107" s="979"/>
      <c r="O4107" s="979"/>
      <c r="P4107" s="79" t="str">
        <f>IF(AND('331-CT'!$E$7=TH!H4107,OR(N4107="331",O4107="331")),"x","")</f>
        <v/>
      </c>
      <c r="Q4107" s="79" t="str">
        <f>IF(AND(B4107='111'!$L$11,OR($N4107=$Q$7,$O4107=$Q$7)),"x","")</f>
        <v/>
      </c>
      <c r="R4107" s="79" t="str">
        <f>IF(AND($N4107=$Q$7,$B4107&lt;'111'!$L$11),"x","")</f>
        <v/>
      </c>
      <c r="S4107" s="79" t="str">
        <f>IF(AND($O4107=$Q$7,$B4107&lt;'111'!$L$11),"x","")</f>
        <v/>
      </c>
      <c r="T4107" s="79" t="str">
        <f>IF(ISERROR(FIND('112'!$M$9,G4107,1)),"",IF((AND(FIND('112'!$M$9,G4107,1)&gt;=1,B4107='112'!$K$9,OR($N4107='112'!$I$6,$O4107='112'!$I$6))),"x",""))</f>
        <v/>
      </c>
      <c r="U4107" s="79" t="str">
        <f>IF(ISERROR(FIND('112'!$M$9,G4107,1)),"",IF((AND(LEFT(G4107,2)=LEFT('112'!$M$9,2),B4107&lt;'112'!$K$9,$N4107='112'!$I$6)),"x",""))</f>
        <v/>
      </c>
      <c r="V4107" s="79" t="str">
        <f>IF(ISERROR(FIND('112'!$M$9,G4107,1)),"",IF((AND(RIGHT(G4107,2)=RIGHT('112'!$M$9,2),B4107&lt;'112'!$K$9,$O4107='112'!$I$6)),"x",""))</f>
        <v/>
      </c>
      <c r="W4107" s="79" t="str">
        <f>IF(AND('341-CT'!$H$9=H4107,OR(LEFT(N4107,3)=$W$7,LEFT(O4107,3)=$W$7)),"x","")</f>
        <v/>
      </c>
      <c r="X4107" s="79" t="str">
        <f>IF(OR(TH!N4107=TH!$X$7,O4107=TH!$X$7),"x","")</f>
        <v/>
      </c>
      <c r="Y4107" s="79" t="str">
        <f>IF(AND(OR(N4107="131",O4107="131"),H4107='131-CT'!$H$9),"x","")</f>
        <v/>
      </c>
      <c r="Z4107" s="79"/>
      <c r="AA4107" s="79" t="str">
        <f>IF(AND(MONTH(E4107)='IN-NX'!$J$5,'IN-NX'!$D$7=D4107),"x","")</f>
        <v/>
      </c>
      <c r="AB4107" s="79" t="str">
        <f>IF(AND(OR(LEFT(TH!N4107,2)="15",LEFT(TH!O4107,2)="15"),LEFT(TH!O4107,3)&lt;&gt;"111",'152-CT'!$J$8=TH!F4107),"x","")</f>
        <v/>
      </c>
      <c r="AC4107" s="79" t="str">
        <f>IF(AND(OR(LEFT(TH!N4107,2)="15",LEFT(TH!O4107,2)="15"),TK!$E$7=TH!F4107),"x","")</f>
        <v/>
      </c>
      <c r="AD4107" s="79" t="str">
        <f>IF(AND(N4107="1521",MONTH(C4107)='BK-NL'!$M$11),"x","")</f>
        <v/>
      </c>
    </row>
    <row r="4108" spans="1:30" s="313" customFormat="1" ht="16.5" customHeight="1">
      <c r="A4108" s="318" t="str">
        <f>IF(B4108&lt;&gt;"",IF(AND(B4108='[3]IN-TC'!$S$4,OR([3]TH!N3343="1111",[3]TH!O3343="1111")),[3]TH!D3343,""),"")</f>
        <v/>
      </c>
      <c r="B4108" s="60" t="str">
        <f t="shared" si="432"/>
        <v/>
      </c>
      <c r="C4108" s="974"/>
      <c r="D4108" s="974"/>
      <c r="E4108" s="974"/>
      <c r="F4108" s="975"/>
      <c r="G4108" s="975"/>
      <c r="H4108" s="305"/>
      <c r="I4108" s="1247"/>
      <c r="J4108" s="391"/>
      <c r="K4108" s="1247"/>
      <c r="L4108" s="1248"/>
      <c r="M4108" s="978"/>
      <c r="N4108" s="979"/>
      <c r="O4108" s="979"/>
      <c r="P4108" s="79" t="str">
        <f>IF(AND('331-CT'!$E$7=TH!H4108,OR(N4108="331",O4108="331")),"x","")</f>
        <v/>
      </c>
      <c r="Q4108" s="79" t="str">
        <f>IF(AND(B4108='111'!$L$11,OR($N4108=$Q$7,$O4108=$Q$7)),"x","")</f>
        <v/>
      </c>
      <c r="R4108" s="79" t="str">
        <f>IF(AND($N4108=$Q$7,$B4108&lt;'111'!$L$11),"x","")</f>
        <v/>
      </c>
      <c r="S4108" s="79" t="str">
        <f>IF(AND($O4108=$Q$7,$B4108&lt;'111'!$L$11),"x","")</f>
        <v/>
      </c>
      <c r="T4108" s="79" t="str">
        <f>IF(ISERROR(FIND('112'!$M$9,G4108,1)),"",IF((AND(FIND('112'!$M$9,G4108,1)&gt;=1,B4108='112'!$K$9,OR($N4108='112'!$I$6,$O4108='112'!$I$6))),"x",""))</f>
        <v/>
      </c>
      <c r="U4108" s="79" t="str">
        <f>IF(ISERROR(FIND('112'!$M$9,G4108,1)),"",IF((AND(LEFT(G4108,2)=LEFT('112'!$M$9,2),B4108&lt;'112'!$K$9,$N4108='112'!$I$6)),"x",""))</f>
        <v/>
      </c>
      <c r="V4108" s="79" t="str">
        <f>IF(ISERROR(FIND('112'!$M$9,G4108,1)),"",IF((AND(RIGHT(G4108,2)=RIGHT('112'!$M$9,2),B4108&lt;'112'!$K$9,$O4108='112'!$I$6)),"x",""))</f>
        <v/>
      </c>
      <c r="W4108" s="79" t="str">
        <f>IF(AND('341-CT'!$H$9=H4108,OR(LEFT(N4108,3)=$W$7,LEFT(O4108,3)=$W$7)),"x","")</f>
        <v/>
      </c>
      <c r="X4108" s="79" t="str">
        <f>IF(OR(TH!N4108=TH!$X$7,O4108=TH!$X$7),"x","")</f>
        <v/>
      </c>
      <c r="Y4108" s="79" t="str">
        <f>IF(AND(OR(N4108="131",O4108="131"),H4108='131-CT'!$H$9),"x","")</f>
        <v/>
      </c>
      <c r="Z4108" s="79"/>
      <c r="AA4108" s="79" t="str">
        <f>IF(AND(MONTH(E4108)='IN-NX'!$J$5,'IN-NX'!$D$7=D4108),"x","")</f>
        <v/>
      </c>
      <c r="AB4108" s="79" t="str">
        <f>IF(AND(OR(LEFT(TH!N4108,2)="15",LEFT(TH!O4108,2)="15"),LEFT(TH!O4108,3)&lt;&gt;"111",'152-CT'!$J$8=TH!F4108),"x","")</f>
        <v/>
      </c>
      <c r="AC4108" s="79" t="str">
        <f>IF(AND(OR(LEFT(TH!N4108,2)="15",LEFT(TH!O4108,2)="15"),TK!$E$7=TH!F4108),"x","")</f>
        <v/>
      </c>
      <c r="AD4108" s="79" t="str">
        <f>IF(AND(N4108="1521",MONTH(C4108)='BK-NL'!$M$11),"x","")</f>
        <v/>
      </c>
    </row>
    <row r="4109" spans="1:30" s="313" customFormat="1" ht="16.5" customHeight="1">
      <c r="A4109" s="318"/>
      <c r="B4109" s="60" t="str">
        <f t="shared" ref="B4109:B4110" si="440">IF(C4109&lt;&gt;"",MONTH(C4109),"")</f>
        <v/>
      </c>
      <c r="C4109" s="974"/>
      <c r="D4109" s="974"/>
      <c r="E4109" s="974"/>
      <c r="F4109" s="975"/>
      <c r="G4109" s="975"/>
      <c r="H4109" s="305"/>
      <c r="I4109" s="1247"/>
      <c r="J4109" s="391"/>
      <c r="K4109" s="1247"/>
      <c r="L4109" s="1248"/>
      <c r="M4109" s="978"/>
      <c r="N4109" s="979"/>
      <c r="O4109" s="979"/>
      <c r="P4109" s="79" t="str">
        <f>IF(AND('331-CT'!$E$7=TH!H4109,OR(N4109="331",O4109="331")),"x","")</f>
        <v/>
      </c>
      <c r="Q4109" s="79" t="str">
        <f>IF(AND(B4109='111'!$L$11,OR($N4109=$Q$7,$O4109=$Q$7)),"x","")</f>
        <v/>
      </c>
      <c r="R4109" s="79" t="str">
        <f>IF(AND($N4109=$Q$7,$B4109&lt;'111'!$L$11),"x","")</f>
        <v/>
      </c>
      <c r="S4109" s="79" t="str">
        <f>IF(AND($O4109=$Q$7,$B4109&lt;'111'!$L$11),"x","")</f>
        <v/>
      </c>
      <c r="T4109" s="79" t="str">
        <f>IF(ISERROR(FIND('112'!$M$9,G4109,1)),"",IF((AND(FIND('112'!$M$9,G4109,1)&gt;=1,B4109='112'!$K$9,OR($N4109='112'!$I$6,$O4109='112'!$I$6))),"x",""))</f>
        <v/>
      </c>
      <c r="U4109" s="79" t="str">
        <f>IF(ISERROR(FIND('112'!$M$9,G4109,1)),"",IF((AND(LEFT(G4109,2)=LEFT('112'!$M$9,2),B4109&lt;'112'!$K$9,$N4109='112'!$I$6)),"x",""))</f>
        <v/>
      </c>
      <c r="V4109" s="79" t="str">
        <f>IF(ISERROR(FIND('112'!$M$9,G4109,1)),"",IF((AND(RIGHT(G4109,2)=RIGHT('112'!$M$9,2),B4109&lt;'112'!$K$9,$O4109='112'!$I$6)),"x",""))</f>
        <v/>
      </c>
      <c r="W4109" s="79" t="str">
        <f>IF(AND('341-CT'!$H$9=H4109,OR(LEFT(N4109,3)=$W$7,LEFT(O4109,3)=$W$7)),"x","")</f>
        <v/>
      </c>
      <c r="X4109" s="79" t="str">
        <f>IF(OR(TH!N4109=TH!$X$7,O4109=TH!$X$7),"x","")</f>
        <v/>
      </c>
      <c r="Y4109" s="79" t="str">
        <f>IF(AND(OR(N4109="131",O4109="131"),H4109='131-CT'!$H$9),"x","")</f>
        <v/>
      </c>
      <c r="Z4109" s="79"/>
      <c r="AA4109" s="79" t="str">
        <f>IF(AND(MONTH(E4109)='IN-NX'!$J$5,'IN-NX'!$D$7=D4109),"x","")</f>
        <v/>
      </c>
      <c r="AB4109" s="79" t="str">
        <f>IF(AND(OR(LEFT(TH!N4109,2)="15",LEFT(TH!O4109,2)="15"),LEFT(TH!O4109,3)&lt;&gt;"111",'152-CT'!$J$8=TH!F4109),"x","")</f>
        <v/>
      </c>
      <c r="AC4109" s="79" t="str">
        <f>IF(AND(OR(LEFT(TH!N4109,2)="15",LEFT(TH!O4109,2)="15"),TK!$E$7=TH!F4109),"x","")</f>
        <v/>
      </c>
      <c r="AD4109" s="79" t="str">
        <f>IF(AND(N4109="1521",MONTH(C4109)='BK-NL'!$M$11),"x","")</f>
        <v/>
      </c>
    </row>
    <row r="4110" spans="1:30" s="313" customFormat="1" ht="16.5" customHeight="1">
      <c r="A4110" s="318"/>
      <c r="B4110" s="60" t="str">
        <f t="shared" si="440"/>
        <v/>
      </c>
      <c r="C4110" s="974"/>
      <c r="D4110" s="974"/>
      <c r="E4110" s="974"/>
      <c r="F4110" s="975"/>
      <c r="G4110" s="975"/>
      <c r="H4110" s="305"/>
      <c r="I4110" s="1247"/>
      <c r="J4110" s="391"/>
      <c r="K4110" s="1247"/>
      <c r="L4110" s="1248"/>
      <c r="M4110" s="978"/>
      <c r="N4110" s="979"/>
      <c r="O4110" s="979"/>
      <c r="P4110" s="79" t="str">
        <f>IF(AND('331-CT'!$E$7=TH!H4110,OR(N4110="331",O4110="331")),"x","")</f>
        <v/>
      </c>
      <c r="Q4110" s="79" t="str">
        <f>IF(AND(B4110='111'!$L$11,OR($N4110=$Q$7,$O4110=$Q$7)),"x","")</f>
        <v/>
      </c>
      <c r="R4110" s="79" t="str">
        <f>IF(AND($N4110=$Q$7,$B4110&lt;'111'!$L$11),"x","")</f>
        <v/>
      </c>
      <c r="S4110" s="79" t="str">
        <f>IF(AND($O4110=$Q$7,$B4110&lt;'111'!$L$11),"x","")</f>
        <v/>
      </c>
      <c r="T4110" s="79" t="str">
        <f>IF(ISERROR(FIND('112'!$M$9,G4110,1)),"",IF((AND(FIND('112'!$M$9,G4110,1)&gt;=1,B4110='112'!$K$9,OR($N4110='112'!$I$6,$O4110='112'!$I$6))),"x",""))</f>
        <v/>
      </c>
      <c r="U4110" s="79" t="str">
        <f>IF(ISERROR(FIND('112'!$M$9,G4110,1)),"",IF((AND(LEFT(G4110,2)=LEFT('112'!$M$9,2),B4110&lt;'112'!$K$9,$N4110='112'!$I$6)),"x",""))</f>
        <v/>
      </c>
      <c r="V4110" s="79" t="str">
        <f>IF(ISERROR(FIND('112'!$M$9,G4110,1)),"",IF((AND(RIGHT(G4110,2)=RIGHT('112'!$M$9,2),B4110&lt;'112'!$K$9,$O4110='112'!$I$6)),"x",""))</f>
        <v/>
      </c>
      <c r="W4110" s="79" t="str">
        <f>IF(AND('341-CT'!$H$9=H4110,OR(LEFT(N4110,3)=$W$7,LEFT(O4110,3)=$W$7)),"x","")</f>
        <v/>
      </c>
      <c r="X4110" s="79" t="str">
        <f>IF(OR(TH!N4110=TH!$X$7,O4110=TH!$X$7),"x","")</f>
        <v/>
      </c>
      <c r="Y4110" s="79" t="str">
        <f>IF(AND(OR(N4110="131",O4110="131"),H4110='131-CT'!$H$9),"x","")</f>
        <v/>
      </c>
      <c r="Z4110" s="79"/>
      <c r="AA4110" s="79" t="str">
        <f>IF(AND(MONTH(E4110)='IN-NX'!$J$5,'IN-NX'!$D$7=D4110),"x","")</f>
        <v/>
      </c>
      <c r="AB4110" s="79" t="str">
        <f>IF(AND(OR(LEFT(TH!N4110,2)="15",LEFT(TH!O4110,2)="15"),LEFT(TH!O4110,3)&lt;&gt;"111",'152-CT'!$J$8=TH!F4110),"x","")</f>
        <v/>
      </c>
      <c r="AC4110" s="79" t="str">
        <f>IF(AND(OR(LEFT(TH!N4110,2)="15",LEFT(TH!O4110,2)="15"),TK!$E$7=TH!F4110),"x","")</f>
        <v/>
      </c>
      <c r="AD4110" s="79" t="str">
        <f>IF(AND(N4110="1521",MONTH(C4110)='BK-NL'!$M$11),"x","")</f>
        <v/>
      </c>
    </row>
    <row r="4111" spans="1:30" s="313" customFormat="1" ht="16.5" customHeight="1">
      <c r="A4111" s="318" t="str">
        <f>IF(B4111&lt;&gt;"",IF(AND(B4111='[3]IN-TC'!$S$4,OR([3]TH!N3344="1111",[3]TH!O3344="1111")),[3]TH!D3344,""),"")</f>
        <v/>
      </c>
      <c r="B4111" s="60" t="str">
        <f t="shared" si="432"/>
        <v/>
      </c>
      <c r="C4111" s="974"/>
      <c r="D4111" s="974"/>
      <c r="E4111" s="974"/>
      <c r="F4111" s="975"/>
      <c r="G4111" s="975"/>
      <c r="H4111" s="305"/>
      <c r="I4111" s="1247"/>
      <c r="J4111" s="391"/>
      <c r="K4111" s="1247"/>
      <c r="L4111" s="1248"/>
      <c r="M4111" s="978"/>
      <c r="N4111" s="979"/>
      <c r="O4111" s="979"/>
      <c r="P4111" s="79" t="str">
        <f>IF(AND('331-CT'!$E$7=TH!H4111,OR(N4111="331",O4111="331")),"x","")</f>
        <v/>
      </c>
      <c r="Q4111" s="79" t="str">
        <f>IF(AND(B4111='111'!$L$11,OR($N4111=$Q$7,$O4111=$Q$7)),"x","")</f>
        <v/>
      </c>
      <c r="R4111" s="79" t="str">
        <f>IF(AND($N4111=$Q$7,$B4111&lt;'111'!$L$11),"x","")</f>
        <v/>
      </c>
      <c r="S4111" s="79" t="str">
        <f>IF(AND($O4111=$Q$7,$B4111&lt;'111'!$L$11),"x","")</f>
        <v/>
      </c>
      <c r="T4111" s="79" t="str">
        <f>IF(ISERROR(FIND('112'!$M$9,G4111,1)),"",IF((AND(FIND('112'!$M$9,G4111,1)&gt;=1,B4111='112'!$K$9,OR($N4111='112'!$I$6,$O4111='112'!$I$6))),"x",""))</f>
        <v/>
      </c>
      <c r="U4111" s="79" t="str">
        <f>IF(ISERROR(FIND('112'!$M$9,G4111,1)),"",IF((AND(LEFT(G4111,2)=LEFT('112'!$M$9,2),B4111&lt;'112'!$K$9,$N4111='112'!$I$6)),"x",""))</f>
        <v/>
      </c>
      <c r="V4111" s="79" t="str">
        <f>IF(ISERROR(FIND('112'!$M$9,G4111,1)),"",IF((AND(RIGHT(G4111,2)=RIGHT('112'!$M$9,2),B4111&lt;'112'!$K$9,$O4111='112'!$I$6)),"x",""))</f>
        <v/>
      </c>
      <c r="W4111" s="79" t="str">
        <f>IF(AND('341-CT'!$H$9=H4111,OR(LEFT(N4111,3)=$W$7,LEFT(O4111,3)=$W$7)),"x","")</f>
        <v/>
      </c>
      <c r="X4111" s="79" t="str">
        <f>IF(OR(TH!N4111=TH!$X$7,O4111=TH!$X$7),"x","")</f>
        <v/>
      </c>
      <c r="Y4111" s="79" t="str">
        <f>IF(AND(OR(N4111="131",O4111="131"),H4111='131-CT'!$H$9),"x","")</f>
        <v/>
      </c>
      <c r="Z4111" s="79"/>
      <c r="AA4111" s="79" t="str">
        <f>IF(AND(MONTH(E4111)='IN-NX'!$J$5,'IN-NX'!$D$7=D4111),"x","")</f>
        <v/>
      </c>
      <c r="AB4111" s="79" t="str">
        <f>IF(AND(OR(LEFT(TH!N4111,2)="15",LEFT(TH!O4111,2)="15"),LEFT(TH!O4111,3)&lt;&gt;"111",'152-CT'!$J$8=TH!F4111),"x","")</f>
        <v/>
      </c>
      <c r="AC4111" s="79" t="str">
        <f>IF(AND(OR(LEFT(TH!N4111,2)="15",LEFT(TH!O4111,2)="15"),TK!$E$7=TH!F4111),"x","")</f>
        <v/>
      </c>
      <c r="AD4111" s="79" t="str">
        <f>IF(AND(N4111="1521",MONTH(C4111)='BK-NL'!$M$11),"x","")</f>
        <v/>
      </c>
    </row>
    <row r="4112" spans="1:30" s="313" customFormat="1" ht="16.5" customHeight="1">
      <c r="A4112" s="318"/>
      <c r="B4112" s="60" t="str">
        <f t="shared" si="432"/>
        <v/>
      </c>
      <c r="C4112" s="974"/>
      <c r="D4112" s="974"/>
      <c r="E4112" s="974"/>
      <c r="F4112" s="975"/>
      <c r="G4112" s="975"/>
      <c r="H4112" s="305"/>
      <c r="I4112" s="1247"/>
      <c r="J4112" s="391"/>
      <c r="K4112" s="1247"/>
      <c r="L4112" s="1248"/>
      <c r="M4112" s="978"/>
      <c r="N4112" s="979"/>
      <c r="O4112" s="979"/>
      <c r="P4112" s="79" t="str">
        <f>IF(AND('331-CT'!$E$7=TH!H4112,OR(N4112="331",O4112="331")),"x","")</f>
        <v/>
      </c>
      <c r="Q4112" s="79" t="str">
        <f>IF(AND(B4112='111'!$L$11,OR($N4112=$Q$7,$O4112=$Q$7)),"x","")</f>
        <v/>
      </c>
      <c r="R4112" s="79" t="str">
        <f>IF(AND($N4112=$Q$7,$B4112&lt;'111'!$L$11),"x","")</f>
        <v/>
      </c>
      <c r="S4112" s="79" t="str">
        <f>IF(AND($O4112=$Q$7,$B4112&lt;'111'!$L$11),"x","")</f>
        <v/>
      </c>
      <c r="T4112" s="79" t="str">
        <f>IF(ISERROR(FIND('112'!$M$9,G4112,1)),"",IF((AND(FIND('112'!$M$9,G4112,1)&gt;=1,B4112='112'!$K$9,OR($N4112='112'!$I$6,$O4112='112'!$I$6))),"x",""))</f>
        <v/>
      </c>
      <c r="U4112" s="79" t="str">
        <f>IF(ISERROR(FIND('112'!$M$9,G4112,1)),"",IF((AND(LEFT(G4112,2)=LEFT('112'!$M$9,2),B4112&lt;'112'!$K$9,$N4112='112'!$I$6)),"x",""))</f>
        <v/>
      </c>
      <c r="V4112" s="79" t="str">
        <f>IF(ISERROR(FIND('112'!$M$9,G4112,1)),"",IF((AND(RIGHT(G4112,2)=RIGHT('112'!$M$9,2),B4112&lt;'112'!$K$9,$O4112='112'!$I$6)),"x",""))</f>
        <v/>
      </c>
      <c r="W4112" s="79" t="str">
        <f>IF(AND('341-CT'!$H$9=H4112,OR(LEFT(N4112,3)=$W$7,LEFT(O4112,3)=$W$7)),"x","")</f>
        <v/>
      </c>
      <c r="X4112" s="79" t="str">
        <f>IF(OR(TH!N4112=TH!$X$7,O4112=TH!$X$7),"x","")</f>
        <v/>
      </c>
      <c r="Y4112" s="79" t="str">
        <f>IF(AND(OR(N4112="131",O4112="131"),H4112='131-CT'!$H$9),"x","")</f>
        <v/>
      </c>
      <c r="Z4112" s="79"/>
      <c r="AA4112" s="79" t="str">
        <f>IF(AND(MONTH(E4112)='IN-NX'!$J$5,'IN-NX'!$D$7=D4112),"x","")</f>
        <v/>
      </c>
      <c r="AB4112" s="79" t="str">
        <f>IF(AND(OR(LEFT(TH!N4112,2)="15",LEFT(TH!O4112,2)="15"),LEFT(TH!O4112,3)&lt;&gt;"111",'152-CT'!$J$8=TH!F4112),"x","")</f>
        <v/>
      </c>
      <c r="AC4112" s="79" t="str">
        <f>IF(AND(OR(LEFT(TH!N4112,2)="15",LEFT(TH!O4112,2)="15"),TK!$E$7=TH!F4112),"x","")</f>
        <v/>
      </c>
      <c r="AD4112" s="79" t="str">
        <f>IF(AND(N4112="1521",MONTH(C4112)='BK-NL'!$M$11),"x","")</f>
        <v/>
      </c>
    </row>
    <row r="4113" spans="1:30" s="313" customFormat="1" ht="16.5" customHeight="1">
      <c r="A4113" s="318"/>
      <c r="B4113" s="60" t="str">
        <f t="shared" si="432"/>
        <v/>
      </c>
      <c r="C4113" s="974"/>
      <c r="D4113" s="974"/>
      <c r="E4113" s="974"/>
      <c r="F4113" s="975"/>
      <c r="G4113" s="975"/>
      <c r="H4113" s="305"/>
      <c r="I4113" s="1247"/>
      <c r="J4113" s="391"/>
      <c r="K4113" s="1247"/>
      <c r="L4113" s="1248"/>
      <c r="M4113" s="978"/>
      <c r="N4113" s="979"/>
      <c r="O4113" s="979"/>
      <c r="P4113" s="79" t="str">
        <f>IF(AND('331-CT'!$E$7=TH!H4113,OR(N4113="331",O4113="331")),"x","")</f>
        <v/>
      </c>
      <c r="Q4113" s="79" t="str">
        <f>IF(AND(B4113='111'!$L$11,OR($N4113=$Q$7,$O4113=$Q$7)),"x","")</f>
        <v/>
      </c>
      <c r="R4113" s="79" t="str">
        <f>IF(AND($N4113=$Q$7,$B4113&lt;'111'!$L$11),"x","")</f>
        <v/>
      </c>
      <c r="S4113" s="79" t="str">
        <f>IF(AND($O4113=$Q$7,$B4113&lt;'111'!$L$11),"x","")</f>
        <v/>
      </c>
      <c r="T4113" s="79" t="str">
        <f>IF(ISERROR(FIND('112'!$M$9,G4113,1)),"",IF((AND(FIND('112'!$M$9,G4113,1)&gt;=1,B4113='112'!$K$9,OR($N4113='112'!$I$6,$O4113='112'!$I$6))),"x",""))</f>
        <v/>
      </c>
      <c r="U4113" s="79" t="str">
        <f>IF(ISERROR(FIND('112'!$M$9,G4113,1)),"",IF((AND(LEFT(G4113,2)=LEFT('112'!$M$9,2),B4113&lt;'112'!$K$9,$N4113='112'!$I$6)),"x",""))</f>
        <v/>
      </c>
      <c r="V4113" s="79" t="str">
        <f>IF(ISERROR(FIND('112'!$M$9,G4113,1)),"",IF((AND(RIGHT(G4113,2)=RIGHT('112'!$M$9,2),B4113&lt;'112'!$K$9,$O4113='112'!$I$6)),"x",""))</f>
        <v/>
      </c>
      <c r="W4113" s="79" t="str">
        <f>IF(AND('341-CT'!$H$9=H4113,OR(LEFT(N4113,3)=$W$7,LEFT(O4113,3)=$W$7)),"x","")</f>
        <v/>
      </c>
      <c r="X4113" s="79" t="str">
        <f>IF(OR(TH!N4113=TH!$X$7,O4113=TH!$X$7),"x","")</f>
        <v/>
      </c>
      <c r="Y4113" s="79" t="str">
        <f>IF(AND(OR(N4113="131",O4113="131"),H4113='131-CT'!$H$9),"x","")</f>
        <v/>
      </c>
      <c r="Z4113" s="79"/>
      <c r="AA4113" s="79" t="str">
        <f>IF(AND(MONTH(E4113)='IN-NX'!$J$5,'IN-NX'!$D$7=D4113),"x","")</f>
        <v/>
      </c>
      <c r="AB4113" s="79" t="str">
        <f>IF(AND(OR(LEFT(TH!N4113,2)="15",LEFT(TH!O4113,2)="15"),LEFT(TH!O4113,3)&lt;&gt;"111",'152-CT'!$J$8=TH!F4113),"x","")</f>
        <v/>
      </c>
      <c r="AC4113" s="79" t="str">
        <f>IF(AND(OR(LEFT(TH!N4113,2)="15",LEFT(TH!O4113,2)="15"),TK!$E$7=TH!F4113),"x","")</f>
        <v/>
      </c>
      <c r="AD4113" s="79" t="str">
        <f>IF(AND(N4113="1521",MONTH(C4113)='BK-NL'!$M$11),"x","")</f>
        <v/>
      </c>
    </row>
    <row r="4114" spans="1:30" ht="16.5" customHeight="1">
      <c r="A4114" s="318" t="str">
        <f>IF(B4114&lt;&gt;"",IF(AND(B4114='[3]IN-TC'!$S$4,OR([3]TH!N3347="1111",[3]TH!O3347="1111")),[3]TH!D3347,""),"")</f>
        <v/>
      </c>
      <c r="B4114" s="60" t="str">
        <f t="shared" si="432"/>
        <v/>
      </c>
      <c r="C4114" s="974"/>
      <c r="D4114" s="974"/>
      <c r="E4114" s="974"/>
      <c r="F4114" s="975"/>
      <c r="G4114" s="975"/>
      <c r="H4114" s="305"/>
      <c r="I4114" s="1247"/>
      <c r="J4114" s="391"/>
      <c r="K4114" s="1247"/>
      <c r="L4114" s="1248"/>
      <c r="M4114" s="978"/>
      <c r="N4114" s="979"/>
      <c r="O4114" s="979"/>
      <c r="P4114" s="79" t="str">
        <f>IF(AND('331-CT'!$E$7=TH!H4114,OR(N4114="331",O4114="331")),"x","")</f>
        <v/>
      </c>
      <c r="Q4114" s="79" t="str">
        <f>IF(AND(B4114='111'!$L$11,OR($N4114=$Q$7,$O4114=$Q$7)),"x","")</f>
        <v/>
      </c>
      <c r="R4114" s="79" t="str">
        <f>IF(AND($N4114=$Q$7,$B4114&lt;'111'!$L$11),"x","")</f>
        <v/>
      </c>
      <c r="S4114" s="79" t="str">
        <f>IF(AND($O4114=$Q$7,$B4114&lt;'111'!$L$11),"x","")</f>
        <v/>
      </c>
      <c r="T4114" s="79" t="str">
        <f>IF(ISERROR(FIND('112'!$M$9,G4114,1)),"",IF((AND(FIND('112'!$M$9,G4114,1)&gt;=1,B4114='112'!$K$9,OR($N4114='112'!$I$6,$O4114='112'!$I$6))),"x",""))</f>
        <v/>
      </c>
      <c r="U4114" s="79" t="str">
        <f>IF(ISERROR(FIND('112'!$M$9,G4114,1)),"",IF((AND(LEFT(G4114,2)=LEFT('112'!$M$9,2),B4114&lt;'112'!$K$9,$N4114='112'!$I$6)),"x",""))</f>
        <v/>
      </c>
      <c r="V4114" s="79" t="str">
        <f>IF(ISERROR(FIND('112'!$M$9,G4114,1)),"",IF((AND(RIGHT(G4114,2)=RIGHT('112'!$M$9,2),B4114&lt;'112'!$K$9,$O4114='112'!$I$6)),"x",""))</f>
        <v/>
      </c>
      <c r="W4114" s="79" t="str">
        <f>IF(AND('341-CT'!$H$9=H4114,OR(LEFT(N4114,3)=$W$7,LEFT(O4114,3)=$W$7)),"x","")</f>
        <v/>
      </c>
      <c r="X4114" s="79" t="str">
        <f>IF(OR(TH!N4114=TH!$X$7,O4114=TH!$X$7),"x","")</f>
        <v/>
      </c>
      <c r="Y4114" s="79" t="str">
        <f>IF(AND(OR(N4114="131",O4114="131"),H4114='131-CT'!$H$9),"x","")</f>
        <v/>
      </c>
      <c r="Z4114" s="79"/>
      <c r="AA4114" s="79" t="str">
        <f>IF(AND(MONTH(E4114)='IN-NX'!$J$5,'IN-NX'!$D$7=D4114),"x","")</f>
        <v/>
      </c>
      <c r="AB4114" s="79" t="str">
        <f>IF(AND(OR(LEFT(TH!N4114,2)="15",LEFT(TH!O4114,2)="15"),LEFT(TH!O4114,3)&lt;&gt;"111",'152-CT'!$J$8=TH!F4114),"x","")</f>
        <v/>
      </c>
      <c r="AC4114" s="79" t="str">
        <f>IF(AND(OR(LEFT(TH!N4114,2)="15",LEFT(TH!O4114,2)="15"),TK!$E$7=TH!F4114),"x","")</f>
        <v/>
      </c>
      <c r="AD4114" s="79" t="str">
        <f>IF(AND(N4114="1521",MONTH(C4114)='BK-NL'!$M$11),"x","")</f>
        <v/>
      </c>
    </row>
    <row r="4115" spans="1:30" ht="16.5" customHeight="1">
      <c r="A4115" s="318" t="str">
        <f>IF(B4115&lt;&gt;"",IF(AND(B4115='[3]IN-TC'!$S$4,OR([3]TH!N3348="1111",[3]TH!O3348="1111")),[3]TH!D3348,""),"")</f>
        <v/>
      </c>
      <c r="B4115" s="60" t="str">
        <f t="shared" si="432"/>
        <v/>
      </c>
      <c r="C4115" s="974"/>
      <c r="D4115" s="974"/>
      <c r="E4115" s="974"/>
      <c r="F4115" s="975"/>
      <c r="G4115" s="975"/>
      <c r="H4115" s="77"/>
      <c r="I4115" s="1247"/>
      <c r="J4115" s="391"/>
      <c r="K4115" s="1247"/>
      <c r="L4115" s="1248"/>
      <c r="M4115" s="78"/>
      <c r="N4115" s="979"/>
      <c r="O4115" s="979"/>
      <c r="P4115" s="79" t="str">
        <f>IF(AND('331-CT'!$E$7=TH!H4115,OR(N4115="331",O4115="331")),"x","")</f>
        <v/>
      </c>
      <c r="Q4115" s="79" t="str">
        <f>IF(AND(B4115='111'!$L$11,OR($N4115=$Q$7,$O4115=$Q$7)),"x","")</f>
        <v/>
      </c>
      <c r="R4115" s="79" t="str">
        <f>IF(AND($N4115=$Q$7,$B4115&lt;'111'!$L$11),"x","")</f>
        <v/>
      </c>
      <c r="S4115" s="79" t="str">
        <f>IF(AND($O4115=$Q$7,$B4115&lt;'111'!$L$11),"x","")</f>
        <v/>
      </c>
      <c r="T4115" s="79" t="str">
        <f>IF(ISERROR(FIND('112'!$M$9,G4115,1)),"",IF((AND(FIND('112'!$M$9,G4115,1)&gt;=1,B4115='112'!$K$9,OR($N4115='112'!$I$6,$O4115='112'!$I$6))),"x",""))</f>
        <v/>
      </c>
      <c r="U4115" s="79" t="str">
        <f>IF(ISERROR(FIND('112'!$M$9,G4115,1)),"",IF((AND(LEFT(G4115,2)=LEFT('112'!$M$9,2),B4115&lt;'112'!$K$9,$N4115='112'!$I$6)),"x",""))</f>
        <v/>
      </c>
      <c r="V4115" s="79" t="str">
        <f>IF(ISERROR(FIND('112'!$M$9,G4115,1)),"",IF((AND(RIGHT(G4115,2)=RIGHT('112'!$M$9,2),B4115&lt;'112'!$K$9,$O4115='112'!$I$6)),"x",""))</f>
        <v/>
      </c>
      <c r="W4115" s="79" t="str">
        <f>IF(AND('341-CT'!$H$9=H4115,OR(LEFT(N4115,3)=$W$7,LEFT(O4115,3)=$W$7)),"x","")</f>
        <v/>
      </c>
      <c r="X4115" s="79" t="str">
        <f>IF(OR(TH!N4115=TH!$X$7,O4115=TH!$X$7),"x","")</f>
        <v/>
      </c>
      <c r="Y4115" s="79" t="str">
        <f>IF(AND(OR(N4115="131",O4115="131"),H4115='131-CT'!$H$9),"x","")</f>
        <v/>
      </c>
      <c r="Z4115" s="79"/>
      <c r="AA4115" s="79" t="str">
        <f>IF(AND(MONTH(E4115)='IN-NX'!$J$5,'IN-NX'!$D$7=D4115),"x","")</f>
        <v/>
      </c>
      <c r="AB4115" s="79" t="str">
        <f>IF(AND(OR(LEFT(TH!N4115,2)="15",LEFT(TH!O4115,2)="15"),LEFT(TH!O4115,3)&lt;&gt;"111",'152-CT'!$J$8=TH!F4115),"x","")</f>
        <v/>
      </c>
      <c r="AC4115" s="79" t="str">
        <f>IF(AND(OR(LEFT(TH!N4115,2)="15",LEFT(TH!O4115,2)="15"),TK!$E$7=TH!F4115),"x","")</f>
        <v/>
      </c>
      <c r="AD4115" s="79" t="str">
        <f>IF(AND(N4115="1521",MONTH(C4115)='BK-NL'!$M$11),"x","")</f>
        <v/>
      </c>
    </row>
    <row r="4116" spans="1:30" ht="16.5" customHeight="1">
      <c r="A4116" s="318" t="str">
        <f>IF(B4116&lt;&gt;"",IF(AND(B4116='[3]IN-TC'!$S$4,OR([3]TH!N3349="1111",[3]TH!O3349="1111")),[3]TH!D3349,""),"")</f>
        <v/>
      </c>
      <c r="B4116" s="60" t="str">
        <f t="shared" si="432"/>
        <v/>
      </c>
      <c r="C4116" s="974"/>
      <c r="D4116" s="974"/>
      <c r="E4116" s="974"/>
      <c r="F4116" s="975"/>
      <c r="G4116" s="975"/>
      <c r="H4116" s="305"/>
      <c r="I4116" s="1247"/>
      <c r="J4116" s="391"/>
      <c r="K4116" s="1247"/>
      <c r="L4116" s="1248"/>
      <c r="M4116" s="978"/>
      <c r="N4116" s="979"/>
      <c r="O4116" s="979"/>
      <c r="P4116" s="79" t="str">
        <f>IF(AND('331-CT'!$E$7=TH!H4116,OR(N4116="331",O4116="331")),"x","")</f>
        <v/>
      </c>
      <c r="Q4116" s="79" t="str">
        <f>IF(AND(B4116='111'!$L$11,OR($N4116=$Q$7,$O4116=$Q$7)),"x","")</f>
        <v/>
      </c>
      <c r="R4116" s="79" t="str">
        <f>IF(AND($N4116=$Q$7,$B4116&lt;'111'!$L$11),"x","")</f>
        <v/>
      </c>
      <c r="S4116" s="79" t="str">
        <f>IF(AND($O4116=$Q$7,$B4116&lt;'111'!$L$11),"x","")</f>
        <v/>
      </c>
      <c r="T4116" s="79" t="str">
        <f>IF(ISERROR(FIND('112'!$M$9,G4116,1)),"",IF((AND(FIND('112'!$M$9,G4116,1)&gt;=1,B4116='112'!$K$9,OR($N4116='112'!$I$6,$O4116='112'!$I$6))),"x",""))</f>
        <v/>
      </c>
      <c r="U4116" s="79" t="str">
        <f>IF(ISERROR(FIND('112'!$M$9,G4116,1)),"",IF((AND(LEFT(G4116,2)=LEFT('112'!$M$9,2),B4116&lt;'112'!$K$9,$N4116='112'!$I$6)),"x",""))</f>
        <v/>
      </c>
      <c r="V4116" s="79" t="str">
        <f>IF(ISERROR(FIND('112'!$M$9,G4116,1)),"",IF((AND(RIGHT(G4116,2)=RIGHT('112'!$M$9,2),B4116&lt;'112'!$K$9,$O4116='112'!$I$6)),"x",""))</f>
        <v/>
      </c>
      <c r="W4116" s="79" t="str">
        <f>IF(AND('341-CT'!$H$9=H4116,OR(LEFT(N4116,3)=$W$7,LEFT(O4116,3)=$W$7)),"x","")</f>
        <v/>
      </c>
      <c r="X4116" s="79" t="str">
        <f>IF(OR(TH!N4116=TH!$X$7,O4116=TH!$X$7),"x","")</f>
        <v/>
      </c>
      <c r="Y4116" s="79" t="str">
        <f>IF(AND(OR(N4116="131",O4116="131"),H4116='131-CT'!$H$9),"x","")</f>
        <v/>
      </c>
      <c r="Z4116" s="79"/>
      <c r="AA4116" s="79" t="str">
        <f>IF(AND(MONTH(E4116)='IN-NX'!$J$5,'IN-NX'!$D$7=D4116),"x","")</f>
        <v/>
      </c>
      <c r="AB4116" s="79" t="str">
        <f>IF(AND(OR(LEFT(TH!N4116,2)="15",LEFT(TH!O4116,2)="15"),LEFT(TH!O4116,3)&lt;&gt;"111",'152-CT'!$J$8=TH!F4116),"x","")</f>
        <v/>
      </c>
      <c r="AC4116" s="79" t="str">
        <f>IF(AND(OR(LEFT(TH!N4116,2)="15",LEFT(TH!O4116,2)="15"),TK!$E$7=TH!F4116),"x","")</f>
        <v/>
      </c>
      <c r="AD4116" s="79" t="str">
        <f>IF(AND(N4116="1521",MONTH(C4116)='BK-NL'!$M$11),"x","")</f>
        <v/>
      </c>
    </row>
    <row r="4117" spans="1:30" ht="16.5" customHeight="1">
      <c r="A4117" s="318" t="str">
        <f>IF(B4117&lt;&gt;"",IF(AND(B4117='[3]IN-TC'!$S$4,OR([3]TH!N3350="1111",[3]TH!O3350="1111")),[3]TH!D3350,""),"")</f>
        <v/>
      </c>
      <c r="B4117" s="60" t="str">
        <f t="shared" si="432"/>
        <v/>
      </c>
      <c r="C4117" s="974"/>
      <c r="D4117" s="974"/>
      <c r="E4117" s="974"/>
      <c r="F4117" s="975"/>
      <c r="G4117" s="975"/>
      <c r="H4117" s="305"/>
      <c r="I4117" s="1247"/>
      <c r="J4117" s="391"/>
      <c r="K4117" s="1247"/>
      <c r="L4117" s="1248"/>
      <c r="M4117" s="978"/>
      <c r="N4117" s="979"/>
      <c r="O4117" s="979"/>
      <c r="P4117" s="79" t="str">
        <f>IF(AND('331-CT'!$E$7=TH!H4117,OR(N4117="331",O4117="331")),"x","")</f>
        <v/>
      </c>
      <c r="Q4117" s="79" t="str">
        <f>IF(AND(B4117='111'!$L$11,OR($N4117=$Q$7,$O4117=$Q$7)),"x","")</f>
        <v/>
      </c>
      <c r="R4117" s="79" t="str">
        <f>IF(AND($N4117=$Q$7,$B4117&lt;'111'!$L$11),"x","")</f>
        <v/>
      </c>
      <c r="S4117" s="79" t="str">
        <f>IF(AND($O4117=$Q$7,$B4117&lt;'111'!$L$11),"x","")</f>
        <v/>
      </c>
      <c r="T4117" s="79" t="str">
        <f>IF(ISERROR(FIND('112'!$M$9,G4117,1)),"",IF((AND(FIND('112'!$M$9,G4117,1)&gt;=1,B4117='112'!$K$9,OR($N4117='112'!$I$6,$O4117='112'!$I$6))),"x",""))</f>
        <v/>
      </c>
      <c r="U4117" s="79" t="str">
        <f>IF(ISERROR(FIND('112'!$M$9,G4117,1)),"",IF((AND(LEFT(G4117,2)=LEFT('112'!$M$9,2),B4117&lt;'112'!$K$9,$N4117='112'!$I$6)),"x",""))</f>
        <v/>
      </c>
      <c r="V4117" s="79" t="str">
        <f>IF(ISERROR(FIND('112'!$M$9,G4117,1)),"",IF((AND(RIGHT(G4117,2)=RIGHT('112'!$M$9,2),B4117&lt;'112'!$K$9,$O4117='112'!$I$6)),"x",""))</f>
        <v/>
      </c>
      <c r="W4117" s="79" t="str">
        <f>IF(AND('341-CT'!$H$9=H4117,OR(LEFT(N4117,3)=$W$7,LEFT(O4117,3)=$W$7)),"x","")</f>
        <v/>
      </c>
      <c r="X4117" s="79" t="str">
        <f>IF(OR(TH!N4117=TH!$X$7,O4117=TH!$X$7),"x","")</f>
        <v/>
      </c>
      <c r="Y4117" s="79" t="str">
        <f>IF(AND(OR(N4117="131",O4117="131"),H4117='131-CT'!$H$9),"x","")</f>
        <v/>
      </c>
      <c r="Z4117" s="79"/>
      <c r="AA4117" s="79" t="str">
        <f>IF(AND(MONTH(E4117)='IN-NX'!$J$5,'IN-NX'!$D$7=D4117),"x","")</f>
        <v/>
      </c>
      <c r="AB4117" s="79" t="str">
        <f>IF(AND(OR(LEFT(TH!N4117,2)="15",LEFT(TH!O4117,2)="15"),LEFT(TH!O4117,3)&lt;&gt;"111",'152-CT'!$J$8=TH!F4117),"x","")</f>
        <v/>
      </c>
      <c r="AC4117" s="79" t="str">
        <f>IF(AND(OR(LEFT(TH!N4117,2)="15",LEFT(TH!O4117,2)="15"),TK!$E$7=TH!F4117),"x","")</f>
        <v/>
      </c>
      <c r="AD4117" s="79" t="str">
        <f>IF(AND(N4117="1521",MONTH(C4117)='BK-NL'!$M$11),"x","")</f>
        <v/>
      </c>
    </row>
    <row r="4118" spans="1:30" ht="16.5" customHeight="1">
      <c r="A4118" s="318" t="str">
        <f>IF(B4118&lt;&gt;"",IF(AND(B4118='[3]IN-TC'!$S$4,OR([3]TH!N3351="1111",[3]TH!O3351="1111")),[3]TH!D3351,""),"")</f>
        <v/>
      </c>
      <c r="B4118" s="60" t="str">
        <f t="shared" si="432"/>
        <v/>
      </c>
      <c r="C4118" s="974"/>
      <c r="D4118" s="974"/>
      <c r="E4118" s="974"/>
      <c r="F4118" s="975"/>
      <c r="G4118" s="975"/>
      <c r="H4118" s="305"/>
      <c r="I4118" s="1247"/>
      <c r="J4118" s="391"/>
      <c r="K4118" s="1247"/>
      <c r="L4118" s="1248"/>
      <c r="M4118" s="978"/>
      <c r="N4118" s="979"/>
      <c r="O4118" s="979"/>
      <c r="P4118" s="79" t="str">
        <f>IF(AND('331-CT'!$E$7=TH!H4118,OR(N4118="331",O4118="331")),"x","")</f>
        <v/>
      </c>
      <c r="Q4118" s="79" t="str">
        <f>IF(AND(B4118='111'!$L$11,OR($N4118=$Q$7,$O4118=$Q$7)),"x","")</f>
        <v/>
      </c>
      <c r="R4118" s="79" t="str">
        <f>IF(AND($N4118=$Q$7,$B4118&lt;'111'!$L$11),"x","")</f>
        <v/>
      </c>
      <c r="S4118" s="79" t="str">
        <f>IF(AND($O4118=$Q$7,$B4118&lt;'111'!$L$11),"x","")</f>
        <v/>
      </c>
      <c r="T4118" s="79" t="str">
        <f>IF(ISERROR(FIND('112'!$M$9,G4118,1)),"",IF((AND(FIND('112'!$M$9,G4118,1)&gt;=1,B4118='112'!$K$9,OR($N4118='112'!$I$6,$O4118='112'!$I$6))),"x",""))</f>
        <v/>
      </c>
      <c r="U4118" s="79" t="str">
        <f>IF(ISERROR(FIND('112'!$M$9,G4118,1)),"",IF((AND(LEFT(G4118,2)=LEFT('112'!$M$9,2),B4118&lt;'112'!$K$9,$N4118='112'!$I$6)),"x",""))</f>
        <v/>
      </c>
      <c r="V4118" s="79" t="str">
        <f>IF(ISERROR(FIND('112'!$M$9,G4118,1)),"",IF((AND(RIGHT(G4118,2)=RIGHT('112'!$M$9,2),B4118&lt;'112'!$K$9,$O4118='112'!$I$6)),"x",""))</f>
        <v/>
      </c>
      <c r="W4118" s="79" t="str">
        <f>IF(AND('341-CT'!$H$9=H4118,OR(LEFT(N4118,3)=$W$7,LEFT(O4118,3)=$W$7)),"x","")</f>
        <v/>
      </c>
      <c r="X4118" s="79" t="str">
        <f>IF(OR(TH!N4118=TH!$X$7,O4118=TH!$X$7),"x","")</f>
        <v/>
      </c>
      <c r="Y4118" s="79" t="str">
        <f>IF(AND(OR(N4118="131",O4118="131"),H4118='131-CT'!$H$9),"x","")</f>
        <v/>
      </c>
      <c r="Z4118" s="79"/>
      <c r="AA4118" s="79" t="str">
        <f>IF(AND(MONTH(E4118)='IN-NX'!$J$5,'IN-NX'!$D$7=D4118),"x","")</f>
        <v/>
      </c>
      <c r="AB4118" s="79" t="str">
        <f>IF(AND(OR(LEFT(TH!N4118,2)="15",LEFT(TH!O4118,2)="15"),LEFT(TH!O4118,3)&lt;&gt;"111",'152-CT'!$J$8=TH!F4118),"x","")</f>
        <v/>
      </c>
      <c r="AC4118" s="79" t="str">
        <f>IF(AND(OR(LEFT(TH!N4118,2)="15",LEFT(TH!O4118,2)="15"),TK!$E$7=TH!F4118),"x","")</f>
        <v/>
      </c>
      <c r="AD4118" s="79" t="str">
        <f>IF(AND(N4118="1521",MONTH(C4118)='BK-NL'!$M$11),"x","")</f>
        <v/>
      </c>
    </row>
    <row r="4119" spans="1:30" ht="16.5" customHeight="1">
      <c r="A4119" s="318" t="str">
        <f>IF(B4119&lt;&gt;"",IF(AND(B4119='[3]IN-TC'!$S$4,OR([3]TH!N3352="1111",[3]TH!O3352="1111")),[3]TH!D3352,""),"")</f>
        <v/>
      </c>
      <c r="B4119" s="60" t="str">
        <f t="shared" si="432"/>
        <v/>
      </c>
      <c r="C4119" s="974"/>
      <c r="D4119" s="974"/>
      <c r="E4119" s="974"/>
      <c r="F4119" s="76"/>
      <c r="G4119" s="975"/>
      <c r="H4119" s="305"/>
      <c r="I4119" s="1247"/>
      <c r="J4119" s="391"/>
      <c r="K4119" s="1247"/>
      <c r="L4119" s="1248"/>
      <c r="M4119" s="978"/>
      <c r="N4119" s="979"/>
      <c r="O4119" s="979"/>
      <c r="P4119" s="79" t="str">
        <f>IF(AND('331-CT'!$E$7=TH!H4119,OR(N4119="331",O4119="331")),"x","")</f>
        <v/>
      </c>
      <c r="Q4119" s="79" t="str">
        <f>IF(AND(B4119='111'!$L$11,OR($N4119=$Q$7,$O4119=$Q$7)),"x","")</f>
        <v/>
      </c>
      <c r="R4119" s="79" t="str">
        <f>IF(AND($N4119=$Q$7,$B4119&lt;'111'!$L$11),"x","")</f>
        <v/>
      </c>
      <c r="S4119" s="79" t="str">
        <f>IF(AND($O4119=$Q$7,$B4119&lt;'111'!$L$11),"x","")</f>
        <v/>
      </c>
      <c r="T4119" s="79" t="str">
        <f>IF(ISERROR(FIND('112'!$M$9,G4119,1)),"",IF((AND(FIND('112'!$M$9,G4119,1)&gt;=1,B4119='112'!$K$9,OR($N4119='112'!$I$6,$O4119='112'!$I$6))),"x",""))</f>
        <v/>
      </c>
      <c r="U4119" s="79" t="str">
        <f>IF(ISERROR(FIND('112'!$M$9,G4119,1)),"",IF((AND(LEFT(G4119,2)=LEFT('112'!$M$9,2),B4119&lt;'112'!$K$9,$N4119='112'!$I$6)),"x",""))</f>
        <v/>
      </c>
      <c r="V4119" s="79" t="str">
        <f>IF(ISERROR(FIND('112'!$M$9,G4119,1)),"",IF((AND(RIGHT(G4119,2)=RIGHT('112'!$M$9,2),B4119&lt;'112'!$K$9,$O4119='112'!$I$6)),"x",""))</f>
        <v/>
      </c>
      <c r="W4119" s="79" t="str">
        <f>IF(AND('341-CT'!$H$9=H4119,OR(LEFT(N4119,3)=$W$7,LEFT(O4119,3)=$W$7)),"x","")</f>
        <v/>
      </c>
      <c r="X4119" s="79" t="str">
        <f>IF(OR(TH!N4119=TH!$X$7,O4119=TH!$X$7),"x","")</f>
        <v/>
      </c>
      <c r="Y4119" s="79" t="str">
        <f>IF(AND(OR(N4119="131",O4119="131"),H4119='131-CT'!$H$9),"x","")</f>
        <v/>
      </c>
      <c r="Z4119" s="79"/>
      <c r="AA4119" s="79" t="str">
        <f>IF(AND(MONTH(E4119)='IN-NX'!$J$5,'IN-NX'!$D$7=D4119),"x","")</f>
        <v/>
      </c>
      <c r="AB4119" s="79" t="str">
        <f>IF(AND(OR(LEFT(TH!N4119,2)="15",LEFT(TH!O4119,2)="15"),LEFT(TH!O4119,3)&lt;&gt;"111",'152-CT'!$J$8=TH!F4119),"x","")</f>
        <v/>
      </c>
      <c r="AC4119" s="79" t="str">
        <f>IF(AND(OR(LEFT(TH!N4119,2)="15",LEFT(TH!O4119,2)="15"),TK!$E$7=TH!F4119),"x","")</f>
        <v/>
      </c>
      <c r="AD4119" s="79" t="str">
        <f>IF(AND(N4119="1521",MONTH(C4119)='BK-NL'!$M$11),"x","")</f>
        <v/>
      </c>
    </row>
    <row r="4120" spans="1:30" ht="16.5" customHeight="1">
      <c r="A4120" s="318" t="str">
        <f>IF(B4120&lt;&gt;"",IF(AND(B4120='[3]IN-TC'!$S$4,OR([3]TH!N3353="1111",[3]TH!O3353="1111")),[3]TH!D3353,""),"")</f>
        <v/>
      </c>
      <c r="B4120" s="60" t="str">
        <f t="shared" si="432"/>
        <v/>
      </c>
      <c r="C4120" s="974"/>
      <c r="D4120" s="974"/>
      <c r="E4120" s="974"/>
      <c r="F4120" s="975"/>
      <c r="G4120" s="975"/>
      <c r="H4120" s="305"/>
      <c r="I4120" s="1247"/>
      <c r="J4120" s="391"/>
      <c r="K4120" s="1247"/>
      <c r="L4120" s="1248"/>
      <c r="M4120" s="78"/>
      <c r="N4120" s="979"/>
      <c r="O4120" s="979"/>
      <c r="P4120" s="79" t="str">
        <f>IF(AND('331-CT'!$E$7=TH!H4120,OR(N4120="331",O4120="331")),"x","")</f>
        <v/>
      </c>
      <c r="Q4120" s="79" t="str">
        <f>IF(AND(B4120='111'!$L$11,OR($N4120=$Q$7,$O4120=$Q$7)),"x","")</f>
        <v/>
      </c>
      <c r="R4120" s="79" t="str">
        <f>IF(AND($N4120=$Q$7,$B4120&lt;'111'!$L$11),"x","")</f>
        <v/>
      </c>
      <c r="S4120" s="79" t="str">
        <f>IF(AND($O4120=$Q$7,$B4120&lt;'111'!$L$11),"x","")</f>
        <v/>
      </c>
      <c r="T4120" s="79" t="str">
        <f>IF(ISERROR(FIND('112'!$M$9,G4120,1)),"",IF((AND(FIND('112'!$M$9,G4120,1)&gt;=1,B4120='112'!$K$9,OR($N4120='112'!$I$6,$O4120='112'!$I$6))),"x",""))</f>
        <v/>
      </c>
      <c r="U4120" s="79" t="str">
        <f>IF(ISERROR(FIND('112'!$M$9,G4120,1)),"",IF((AND(LEFT(G4120,2)=LEFT('112'!$M$9,2),B4120&lt;'112'!$K$9,$N4120='112'!$I$6)),"x",""))</f>
        <v/>
      </c>
      <c r="V4120" s="79" t="str">
        <f>IF(ISERROR(FIND('112'!$M$9,G4120,1)),"",IF((AND(RIGHT(G4120,2)=RIGHT('112'!$M$9,2),B4120&lt;'112'!$K$9,$O4120='112'!$I$6)),"x",""))</f>
        <v/>
      </c>
      <c r="W4120" s="79" t="str">
        <f>IF(AND('341-CT'!$H$9=H4120,OR(LEFT(N4120,3)=$W$7,LEFT(O4120,3)=$W$7)),"x","")</f>
        <v/>
      </c>
      <c r="X4120" s="79" t="str">
        <f>IF(OR(TH!N4120=TH!$X$7,O4120=TH!$X$7),"x","")</f>
        <v/>
      </c>
      <c r="Y4120" s="79" t="str">
        <f>IF(AND(OR(N4120="131",O4120="131"),H4120='131-CT'!$H$9),"x","")</f>
        <v/>
      </c>
      <c r="Z4120" s="79"/>
      <c r="AA4120" s="79" t="str">
        <f>IF(AND(MONTH(E4120)='IN-NX'!$J$5,'IN-NX'!$D$7=D4120),"x","")</f>
        <v/>
      </c>
      <c r="AB4120" s="79" t="str">
        <f>IF(AND(OR(LEFT(TH!N4120,2)="15",LEFT(TH!O4120,2)="15"),LEFT(TH!O4120,3)&lt;&gt;"111",'152-CT'!$J$8=TH!F4120),"x","")</f>
        <v/>
      </c>
      <c r="AC4120" s="79" t="str">
        <f>IF(AND(OR(LEFT(TH!N4120,2)="15",LEFT(TH!O4120,2)="15"),TK!$E$7=TH!F4120),"x","")</f>
        <v/>
      </c>
      <c r="AD4120" s="79" t="str">
        <f>IF(AND(N4120="1521",MONTH(C4120)='BK-NL'!$M$11),"x","")</f>
        <v/>
      </c>
    </row>
    <row r="4121" spans="1:30" ht="16.5" customHeight="1">
      <c r="A4121" s="318" t="str">
        <f>IF(B4121&lt;&gt;"",IF(AND(B4121='[3]IN-TC'!$S$4,OR([3]TH!N3354="1111",[3]TH!O3354="1111")),[3]TH!D3354,""),"")</f>
        <v/>
      </c>
      <c r="B4121" s="60" t="str">
        <f t="shared" si="432"/>
        <v/>
      </c>
      <c r="C4121" s="974"/>
      <c r="D4121" s="974"/>
      <c r="E4121" s="974"/>
      <c r="F4121" s="975"/>
      <c r="G4121" s="975"/>
      <c r="H4121" s="305"/>
      <c r="I4121" s="383"/>
      <c r="J4121" s="391"/>
      <c r="K4121" s="383"/>
      <c r="L4121" s="1248"/>
      <c r="M4121" s="978"/>
      <c r="N4121" s="979"/>
      <c r="O4121" s="979"/>
      <c r="P4121" s="79" t="str">
        <f>IF(AND('331-CT'!$E$7=TH!H4121,OR(N4121="331",O4121="331")),"x","")</f>
        <v/>
      </c>
      <c r="Q4121" s="79" t="str">
        <f>IF(AND(B4121='111'!$L$11,OR($N4121=$Q$7,$O4121=$Q$7)),"x","")</f>
        <v/>
      </c>
      <c r="R4121" s="79" t="str">
        <f>IF(AND($N4121=$Q$7,$B4121&lt;'111'!$L$11),"x","")</f>
        <v/>
      </c>
      <c r="S4121" s="79" t="str">
        <f>IF(AND($O4121=$Q$7,$B4121&lt;'111'!$L$11),"x","")</f>
        <v/>
      </c>
      <c r="T4121" s="79" t="str">
        <f>IF(ISERROR(FIND('112'!$M$9,G4121,1)),"",IF((AND(FIND('112'!$M$9,G4121,1)&gt;=1,B4121='112'!$K$9,OR($N4121='112'!$I$6,$O4121='112'!$I$6))),"x",""))</f>
        <v/>
      </c>
      <c r="U4121" s="79" t="str">
        <f>IF(ISERROR(FIND('112'!$M$9,G4121,1)),"",IF((AND(LEFT(G4121,2)=LEFT('112'!$M$9,2),B4121&lt;'112'!$K$9,$N4121='112'!$I$6)),"x",""))</f>
        <v/>
      </c>
      <c r="V4121" s="79" t="str">
        <f>IF(ISERROR(FIND('112'!$M$9,G4121,1)),"",IF((AND(RIGHT(G4121,2)=RIGHT('112'!$M$9,2),B4121&lt;'112'!$K$9,$O4121='112'!$I$6)),"x",""))</f>
        <v/>
      </c>
      <c r="W4121" s="79" t="str">
        <f>IF(AND('341-CT'!$H$9=H4121,OR(LEFT(N4121,3)=$W$7,LEFT(O4121,3)=$W$7)),"x","")</f>
        <v/>
      </c>
      <c r="X4121" s="79" t="str">
        <f>IF(OR(TH!N4121=TH!$X$7,O4121=TH!$X$7),"x","")</f>
        <v/>
      </c>
      <c r="Y4121" s="79" t="str">
        <f>IF(AND(OR(N4121="131",O4121="131"),H4121='131-CT'!$H$9),"x","")</f>
        <v/>
      </c>
      <c r="Z4121" s="79"/>
      <c r="AA4121" s="79" t="str">
        <f>IF(AND(MONTH(E4121)='IN-NX'!$J$5,'IN-NX'!$D$7=D4121),"x","")</f>
        <v/>
      </c>
      <c r="AB4121" s="79" t="str">
        <f>IF(AND(OR(LEFT(TH!N4121,2)="15",LEFT(TH!O4121,2)="15"),LEFT(TH!O4121,3)&lt;&gt;"111",'152-CT'!$J$8=TH!F4121),"x","")</f>
        <v/>
      </c>
      <c r="AC4121" s="79" t="str">
        <f>IF(AND(OR(LEFT(TH!N4121,2)="15",LEFT(TH!O4121,2)="15"),TK!$E$7=TH!F4121),"x","")</f>
        <v/>
      </c>
      <c r="AD4121" s="79" t="str">
        <f>IF(AND(N4121="1521",MONTH(C4121)='BK-NL'!$M$11),"x","")</f>
        <v/>
      </c>
    </row>
    <row r="4122" spans="1:30" ht="16.5" customHeight="1">
      <c r="A4122" s="318" t="str">
        <f>IF(B4122&lt;&gt;"",IF(AND(B4122='[3]IN-TC'!$S$4,OR([3]TH!N3355="1111",[3]TH!O3355="1111")),[3]TH!D3355,""),"")</f>
        <v/>
      </c>
      <c r="B4122" s="60" t="str">
        <f t="shared" si="432"/>
        <v/>
      </c>
      <c r="C4122" s="974"/>
      <c r="D4122" s="974"/>
      <c r="E4122" s="974"/>
      <c r="F4122" s="975"/>
      <c r="G4122" s="975"/>
      <c r="H4122" s="305"/>
      <c r="I4122" s="383"/>
      <c r="J4122" s="391"/>
      <c r="K4122" s="383"/>
      <c r="L4122" s="1248"/>
      <c r="M4122" s="978"/>
      <c r="N4122" s="979"/>
      <c r="O4122" s="979"/>
      <c r="P4122" s="79" t="str">
        <f>IF(AND('331-CT'!$E$7=TH!H4122,OR(N4122="331",O4122="331")),"x","")</f>
        <v/>
      </c>
      <c r="Q4122" s="79" t="str">
        <f>IF(AND(B4122='111'!$L$11,OR($N4122=$Q$7,$O4122=$Q$7)),"x","")</f>
        <v/>
      </c>
      <c r="R4122" s="79" t="str">
        <f>IF(AND($N4122=$Q$7,$B4122&lt;'111'!$L$11),"x","")</f>
        <v/>
      </c>
      <c r="S4122" s="79" t="str">
        <f>IF(AND($O4122=$Q$7,$B4122&lt;'111'!$L$11),"x","")</f>
        <v/>
      </c>
      <c r="T4122" s="79" t="str">
        <f>IF(ISERROR(FIND('112'!$M$9,G4122,1)),"",IF((AND(FIND('112'!$M$9,G4122,1)&gt;=1,B4122='112'!$K$9,OR($N4122='112'!$I$6,$O4122='112'!$I$6))),"x",""))</f>
        <v/>
      </c>
      <c r="U4122" s="79" t="str">
        <f>IF(ISERROR(FIND('112'!$M$9,G4122,1)),"",IF((AND(LEFT(G4122,2)=LEFT('112'!$M$9,2),B4122&lt;'112'!$K$9,$N4122='112'!$I$6)),"x",""))</f>
        <v/>
      </c>
      <c r="V4122" s="79" t="str">
        <f>IF(ISERROR(FIND('112'!$M$9,G4122,1)),"",IF((AND(RIGHT(G4122,2)=RIGHT('112'!$M$9,2),B4122&lt;'112'!$K$9,$O4122='112'!$I$6)),"x",""))</f>
        <v/>
      </c>
      <c r="W4122" s="79" t="str">
        <f>IF(AND('341-CT'!$H$9=H4122,OR(LEFT(N4122,3)=$W$7,LEFT(O4122,3)=$W$7)),"x","")</f>
        <v/>
      </c>
      <c r="X4122" s="79" t="str">
        <f>IF(OR(TH!N4122=TH!$X$7,O4122=TH!$X$7),"x","")</f>
        <v/>
      </c>
      <c r="Y4122" s="79" t="str">
        <f>IF(AND(OR(N4122="131",O4122="131"),H4122='131-CT'!$H$9),"x","")</f>
        <v/>
      </c>
      <c r="Z4122" s="79"/>
      <c r="AA4122" s="79" t="str">
        <f>IF(AND(MONTH(E4122)='IN-NX'!$J$5,'IN-NX'!$D$7=D4122),"x","")</f>
        <v/>
      </c>
      <c r="AB4122" s="79" t="str">
        <f>IF(AND(OR(LEFT(TH!N4122,2)="15",LEFT(TH!O4122,2)="15"),LEFT(TH!O4122,3)&lt;&gt;"111",'152-CT'!$J$8=TH!F4122),"x","")</f>
        <v/>
      </c>
      <c r="AC4122" s="79" t="str">
        <f>IF(AND(OR(LEFT(TH!N4122,2)="15",LEFT(TH!O4122,2)="15"),TK!$E$7=TH!F4122),"x","")</f>
        <v/>
      </c>
      <c r="AD4122" s="79" t="str">
        <f>IF(AND(N4122="1521",MONTH(C4122)='BK-NL'!$M$11),"x","")</f>
        <v/>
      </c>
    </row>
    <row r="4123" spans="1:30" ht="16.5" customHeight="1">
      <c r="A4123" s="318" t="str">
        <f>IF(B4123&lt;&gt;"",IF(AND(B4123='[3]IN-TC'!$S$4,OR([3]TH!N3356="1111",[3]TH!O3356="1111")),[3]TH!D3356,""),"")</f>
        <v/>
      </c>
      <c r="B4123" s="60" t="str">
        <f t="shared" si="432"/>
        <v/>
      </c>
      <c r="C4123" s="974"/>
      <c r="D4123" s="974"/>
      <c r="E4123" s="974"/>
      <c r="F4123" s="975"/>
      <c r="G4123" s="975"/>
      <c r="H4123" s="305"/>
      <c r="I4123" s="383"/>
      <c r="J4123" s="391"/>
      <c r="K4123" s="383"/>
      <c r="L4123" s="1248"/>
      <c r="M4123" s="978"/>
      <c r="N4123" s="979"/>
      <c r="O4123" s="979"/>
      <c r="P4123" s="79" t="str">
        <f>IF(AND('331-CT'!$E$7=TH!H4123,OR(N4123="331",O4123="331")),"x","")</f>
        <v/>
      </c>
      <c r="Q4123" s="79" t="str">
        <f>IF(AND(B4123='111'!$L$11,OR($N4123=$Q$7,$O4123=$Q$7)),"x","")</f>
        <v/>
      </c>
      <c r="R4123" s="79" t="str">
        <f>IF(AND($N4123=$Q$7,$B4123&lt;'111'!$L$11),"x","")</f>
        <v/>
      </c>
      <c r="S4123" s="79" t="str">
        <f>IF(AND($O4123=$Q$7,$B4123&lt;'111'!$L$11),"x","")</f>
        <v/>
      </c>
      <c r="T4123" s="79" t="str">
        <f>IF(ISERROR(FIND('112'!$M$9,G4123,1)),"",IF((AND(FIND('112'!$M$9,G4123,1)&gt;=1,B4123='112'!$K$9,OR($N4123='112'!$I$6,$O4123='112'!$I$6))),"x",""))</f>
        <v/>
      </c>
      <c r="U4123" s="79" t="str">
        <f>IF(ISERROR(FIND('112'!$M$9,G4123,1)),"",IF((AND(LEFT(G4123,2)=LEFT('112'!$M$9,2),B4123&lt;'112'!$K$9,$N4123='112'!$I$6)),"x",""))</f>
        <v/>
      </c>
      <c r="V4123" s="79" t="str">
        <f>IF(ISERROR(FIND('112'!$M$9,G4123,1)),"",IF((AND(RIGHT(G4123,2)=RIGHT('112'!$M$9,2),B4123&lt;'112'!$K$9,$O4123='112'!$I$6)),"x",""))</f>
        <v/>
      </c>
      <c r="W4123" s="79" t="str">
        <f>IF(AND('341-CT'!$H$9=H4123,OR(LEFT(N4123,3)=$W$7,LEFT(O4123,3)=$W$7)),"x","")</f>
        <v/>
      </c>
      <c r="X4123" s="79" t="str">
        <f>IF(OR(TH!N4123=TH!$X$7,O4123=TH!$X$7),"x","")</f>
        <v/>
      </c>
      <c r="Y4123" s="79" t="str">
        <f>IF(AND(OR(N4123="131",O4123="131"),H4123='131-CT'!$H$9),"x","")</f>
        <v/>
      </c>
      <c r="Z4123" s="79"/>
      <c r="AA4123" s="79" t="str">
        <f>IF(AND(MONTH(E4123)='IN-NX'!$J$5,'IN-NX'!$D$7=D4123),"x","")</f>
        <v/>
      </c>
      <c r="AB4123" s="79" t="str">
        <f>IF(AND(OR(LEFT(TH!N4123,2)="15",LEFT(TH!O4123,2)="15"),LEFT(TH!O4123,3)&lt;&gt;"111",'152-CT'!$J$8=TH!F4123),"x","")</f>
        <v/>
      </c>
      <c r="AC4123" s="79" t="str">
        <f>IF(AND(OR(LEFT(TH!N4123,2)="15",LEFT(TH!O4123,2)="15"),TK!$E$7=TH!F4123),"x","")</f>
        <v/>
      </c>
      <c r="AD4123" s="79" t="str">
        <f>IF(AND(N4123="1521",MONTH(C4123)='BK-NL'!$M$11),"x","")</f>
        <v/>
      </c>
    </row>
    <row r="4124" spans="1:30" ht="16.5" customHeight="1">
      <c r="A4124" s="318" t="str">
        <f>IF(B4124&lt;&gt;"",IF(AND(B4124='[3]IN-TC'!$S$4,OR([3]TH!N3357="1111",[3]TH!O3357="1111")),[3]TH!D3357,""),"")</f>
        <v/>
      </c>
      <c r="B4124" s="60" t="str">
        <f t="shared" si="432"/>
        <v/>
      </c>
      <c r="C4124" s="974"/>
      <c r="D4124" s="974"/>
      <c r="E4124" s="974"/>
      <c r="F4124" s="975"/>
      <c r="G4124" s="975"/>
      <c r="H4124" s="305"/>
      <c r="I4124" s="383"/>
      <c r="J4124" s="391"/>
      <c r="K4124" s="383"/>
      <c r="L4124" s="1248"/>
      <c r="M4124" s="978"/>
      <c r="N4124" s="979"/>
      <c r="O4124" s="979"/>
      <c r="P4124" s="79" t="str">
        <f>IF(AND('331-CT'!$E$7=TH!H4124,OR(N4124="331",O4124="331")),"x","")</f>
        <v/>
      </c>
      <c r="Q4124" s="79" t="str">
        <f>IF(AND(B4124='111'!$L$11,OR($N4124=$Q$7,$O4124=$Q$7)),"x","")</f>
        <v/>
      </c>
      <c r="R4124" s="79" t="str">
        <f>IF(AND($N4124=$Q$7,$B4124&lt;'111'!$L$11),"x","")</f>
        <v/>
      </c>
      <c r="S4124" s="79" t="str">
        <f>IF(AND($O4124=$Q$7,$B4124&lt;'111'!$L$11),"x","")</f>
        <v/>
      </c>
      <c r="T4124" s="79" t="str">
        <f>IF(ISERROR(FIND('112'!$M$9,G4124,1)),"",IF((AND(FIND('112'!$M$9,G4124,1)&gt;=1,B4124='112'!$K$9,OR($N4124='112'!$I$6,$O4124='112'!$I$6))),"x",""))</f>
        <v/>
      </c>
      <c r="U4124" s="79" t="str">
        <f>IF(ISERROR(FIND('112'!$M$9,G4124,1)),"",IF((AND(LEFT(G4124,2)=LEFT('112'!$M$9,2),B4124&lt;'112'!$K$9,$N4124='112'!$I$6)),"x",""))</f>
        <v/>
      </c>
      <c r="V4124" s="79" t="str">
        <f>IF(ISERROR(FIND('112'!$M$9,G4124,1)),"",IF((AND(RIGHT(G4124,2)=RIGHT('112'!$M$9,2),B4124&lt;'112'!$K$9,$O4124='112'!$I$6)),"x",""))</f>
        <v/>
      </c>
      <c r="W4124" s="79" t="str">
        <f>IF(AND('341-CT'!$H$9=H4124,OR(LEFT(N4124,3)=$W$7,LEFT(O4124,3)=$W$7)),"x","")</f>
        <v/>
      </c>
      <c r="X4124" s="79" t="str">
        <f>IF(OR(TH!N4124=TH!$X$7,O4124=TH!$X$7),"x","")</f>
        <v/>
      </c>
      <c r="Y4124" s="79" t="str">
        <f>IF(AND(OR(N4124="131",O4124="131"),H4124='131-CT'!$H$9),"x","")</f>
        <v/>
      </c>
      <c r="Z4124" s="79"/>
      <c r="AA4124" s="79" t="str">
        <f>IF(AND(MONTH(E4124)='IN-NX'!$J$5,'IN-NX'!$D$7=D4124),"x","")</f>
        <v/>
      </c>
      <c r="AB4124" s="79" t="str">
        <f>IF(AND(OR(LEFT(TH!N4124,2)="15",LEFT(TH!O4124,2)="15"),LEFT(TH!O4124,3)&lt;&gt;"111",'152-CT'!$J$8=TH!F4124),"x","")</f>
        <v/>
      </c>
      <c r="AC4124" s="79" t="str">
        <f>IF(AND(OR(LEFT(TH!N4124,2)="15",LEFT(TH!O4124,2)="15"),TK!$E$7=TH!F4124),"x","")</f>
        <v/>
      </c>
      <c r="AD4124" s="79" t="str">
        <f>IF(AND(N4124="1521",MONTH(C4124)='BK-NL'!$M$11),"x","")</f>
        <v/>
      </c>
    </row>
    <row r="4125" spans="1:30" ht="16.5" customHeight="1">
      <c r="A4125" s="318" t="str">
        <f>IF(B4125&lt;&gt;"",IF(AND(B4125='[3]IN-TC'!$S$4,OR([3]TH!N3358="1111",[3]TH!O3358="1111")),[3]TH!D3358,""),"")</f>
        <v/>
      </c>
      <c r="B4125" s="60" t="str">
        <f t="shared" si="432"/>
        <v/>
      </c>
      <c r="C4125" s="974"/>
      <c r="D4125" s="974"/>
      <c r="E4125" s="974"/>
      <c r="F4125" s="975"/>
      <c r="G4125" s="975"/>
      <c r="H4125" s="305"/>
      <c r="I4125" s="383"/>
      <c r="J4125" s="391"/>
      <c r="K4125" s="383"/>
      <c r="L4125" s="1248"/>
      <c r="M4125" s="978"/>
      <c r="N4125" s="979"/>
      <c r="O4125" s="979"/>
      <c r="P4125" s="79" t="str">
        <f>IF(AND('331-CT'!$E$7=TH!H4125,OR(N4125="331",O4125="331")),"x","")</f>
        <v/>
      </c>
      <c r="Q4125" s="79" t="str">
        <f>IF(AND(B4125='111'!$L$11,OR($N4125=$Q$7,$O4125=$Q$7)),"x","")</f>
        <v/>
      </c>
      <c r="R4125" s="79" t="str">
        <f>IF(AND($N4125=$Q$7,$B4125&lt;'111'!$L$11),"x","")</f>
        <v/>
      </c>
      <c r="S4125" s="79" t="str">
        <f>IF(AND($O4125=$Q$7,$B4125&lt;'111'!$L$11),"x","")</f>
        <v/>
      </c>
      <c r="T4125" s="79" t="str">
        <f>IF(ISERROR(FIND('112'!$M$9,G4125,1)),"",IF((AND(FIND('112'!$M$9,G4125,1)&gt;=1,B4125='112'!$K$9,OR($N4125='112'!$I$6,$O4125='112'!$I$6))),"x",""))</f>
        <v/>
      </c>
      <c r="U4125" s="79" t="str">
        <f>IF(ISERROR(FIND('112'!$M$9,G4125,1)),"",IF((AND(LEFT(G4125,2)=LEFT('112'!$M$9,2),B4125&lt;'112'!$K$9,$N4125='112'!$I$6)),"x",""))</f>
        <v/>
      </c>
      <c r="V4125" s="79" t="str">
        <f>IF(ISERROR(FIND('112'!$M$9,G4125,1)),"",IF((AND(RIGHT(G4125,2)=RIGHT('112'!$M$9,2),B4125&lt;'112'!$K$9,$O4125='112'!$I$6)),"x",""))</f>
        <v/>
      </c>
      <c r="W4125" s="79" t="str">
        <f>IF(AND('341-CT'!$H$9=H4125,OR(LEFT(N4125,3)=$W$7,LEFT(O4125,3)=$W$7)),"x","")</f>
        <v/>
      </c>
      <c r="X4125" s="79" t="str">
        <f>IF(OR(TH!N4125=TH!$X$7,O4125=TH!$X$7),"x","")</f>
        <v/>
      </c>
      <c r="Y4125" s="79" t="str">
        <f>IF(AND(OR(N4125="131",O4125="131"),H4125='131-CT'!$H$9),"x","")</f>
        <v/>
      </c>
      <c r="Z4125" s="79"/>
      <c r="AA4125" s="79" t="str">
        <f>IF(AND(MONTH(E4125)='IN-NX'!$J$5,'IN-NX'!$D$7=D4125),"x","")</f>
        <v/>
      </c>
      <c r="AB4125" s="79" t="str">
        <f>IF(AND(OR(LEFT(TH!N4125,2)="15",LEFT(TH!O4125,2)="15"),LEFT(TH!O4125,3)&lt;&gt;"111",'152-CT'!$J$8=TH!F4125),"x","")</f>
        <v/>
      </c>
      <c r="AC4125" s="79" t="str">
        <f>IF(AND(OR(LEFT(TH!N4125,2)="15",LEFT(TH!O4125,2)="15"),TK!$E$7=TH!F4125),"x","")</f>
        <v/>
      </c>
      <c r="AD4125" s="79" t="str">
        <f>IF(AND(N4125="1521",MONTH(C4125)='BK-NL'!$M$11),"x","")</f>
        <v/>
      </c>
    </row>
    <row r="4126" spans="1:30" ht="16.5" customHeight="1">
      <c r="A4126" s="318" t="str">
        <f>IF(B4126&lt;&gt;"",IF(AND(B4126='[3]IN-TC'!$S$4,OR([3]TH!N3359="1111",[3]TH!O3359="1111")),[3]TH!D3359,""),"")</f>
        <v/>
      </c>
      <c r="B4126" s="60" t="str">
        <f t="shared" si="432"/>
        <v/>
      </c>
      <c r="C4126" s="974"/>
      <c r="D4126" s="974"/>
      <c r="E4126" s="974"/>
      <c r="F4126" s="975"/>
      <c r="G4126" s="975"/>
      <c r="H4126" s="305"/>
      <c r="I4126" s="383"/>
      <c r="J4126" s="391"/>
      <c r="K4126" s="383"/>
      <c r="L4126" s="1248"/>
      <c r="M4126" s="978"/>
      <c r="N4126" s="979"/>
      <c r="O4126" s="979"/>
      <c r="P4126" s="79" t="str">
        <f>IF(AND('331-CT'!$E$7=TH!H4126,OR(N4126="331",O4126="331")),"x","")</f>
        <v/>
      </c>
      <c r="Q4126" s="79" t="str">
        <f>IF(AND(B4126='111'!$L$11,OR($N4126=$Q$7,$O4126=$Q$7)),"x","")</f>
        <v/>
      </c>
      <c r="R4126" s="79" t="str">
        <f>IF(AND($N4126=$Q$7,$B4126&lt;'111'!$L$11),"x","")</f>
        <v/>
      </c>
      <c r="S4126" s="79" t="str">
        <f>IF(AND($O4126=$Q$7,$B4126&lt;'111'!$L$11),"x","")</f>
        <v/>
      </c>
      <c r="T4126" s="79" t="str">
        <f>IF(ISERROR(FIND('112'!$M$9,G4126,1)),"",IF((AND(FIND('112'!$M$9,G4126,1)&gt;=1,B4126='112'!$K$9,OR($N4126='112'!$I$6,$O4126='112'!$I$6))),"x",""))</f>
        <v/>
      </c>
      <c r="U4126" s="79" t="str">
        <f>IF(ISERROR(FIND('112'!$M$9,G4126,1)),"",IF((AND(LEFT(G4126,2)=LEFT('112'!$M$9,2),B4126&lt;'112'!$K$9,$N4126='112'!$I$6)),"x",""))</f>
        <v/>
      </c>
      <c r="V4126" s="79" t="str">
        <f>IF(ISERROR(FIND('112'!$M$9,G4126,1)),"",IF((AND(RIGHT(G4126,2)=RIGHT('112'!$M$9,2),B4126&lt;'112'!$K$9,$O4126='112'!$I$6)),"x",""))</f>
        <v/>
      </c>
      <c r="W4126" s="79" t="str">
        <f>IF(AND('341-CT'!$H$9=H4126,OR(LEFT(N4126,3)=$W$7,LEFT(O4126,3)=$W$7)),"x","")</f>
        <v/>
      </c>
      <c r="X4126" s="79" t="str">
        <f>IF(OR(TH!N4126=TH!$X$7,O4126=TH!$X$7),"x","")</f>
        <v/>
      </c>
      <c r="Y4126" s="79" t="str">
        <f>IF(AND(OR(N4126="131",O4126="131"),H4126='131-CT'!$H$9),"x","")</f>
        <v/>
      </c>
      <c r="Z4126" s="79"/>
      <c r="AA4126" s="79" t="str">
        <f>IF(AND(MONTH(E4126)='IN-NX'!$J$5,'IN-NX'!$D$7=D4126),"x","")</f>
        <v/>
      </c>
      <c r="AB4126" s="79" t="str">
        <f>IF(AND(OR(LEFT(TH!N4126,2)="15",LEFT(TH!O4126,2)="15"),LEFT(TH!O4126,3)&lt;&gt;"111",'152-CT'!$J$8=TH!F4126),"x","")</f>
        <v/>
      </c>
      <c r="AC4126" s="79" t="str">
        <f>IF(AND(OR(LEFT(TH!N4126,2)="15",LEFT(TH!O4126,2)="15"),TK!$E$7=TH!F4126),"x","")</f>
        <v/>
      </c>
      <c r="AD4126" s="79" t="str">
        <f>IF(AND(N4126="1521",MONTH(C4126)='BK-NL'!$M$11),"x","")</f>
        <v/>
      </c>
    </row>
    <row r="4127" spans="1:30" ht="16.5" customHeight="1">
      <c r="A4127" s="318" t="str">
        <f>IF(B4127&lt;&gt;"",IF(AND(B4127='[3]IN-TC'!$S$4,OR([3]TH!N3360="1111",[3]TH!O3360="1111")),[3]TH!D3360,""),"")</f>
        <v/>
      </c>
      <c r="B4127" s="60" t="str">
        <f t="shared" si="432"/>
        <v/>
      </c>
      <c r="C4127" s="974"/>
      <c r="D4127" s="974"/>
      <c r="E4127" s="974"/>
      <c r="F4127" s="975"/>
      <c r="G4127" s="975"/>
      <c r="H4127" s="305"/>
      <c r="I4127" s="383"/>
      <c r="J4127" s="391"/>
      <c r="K4127" s="383"/>
      <c r="L4127" s="1248"/>
      <c r="M4127" s="978"/>
      <c r="N4127" s="979"/>
      <c r="O4127" s="979"/>
      <c r="P4127" s="79" t="str">
        <f>IF(AND('331-CT'!$E$7=TH!H4127,OR(N4127="331",O4127="331")),"x","")</f>
        <v/>
      </c>
      <c r="Q4127" s="79" t="str">
        <f>IF(AND(B4127='111'!$L$11,OR($N4127=$Q$7,$O4127=$Q$7)),"x","")</f>
        <v/>
      </c>
      <c r="R4127" s="79" t="str">
        <f>IF(AND($N4127=$Q$7,$B4127&lt;'111'!$L$11),"x","")</f>
        <v/>
      </c>
      <c r="S4127" s="79" t="str">
        <f>IF(AND($O4127=$Q$7,$B4127&lt;'111'!$L$11),"x","")</f>
        <v/>
      </c>
      <c r="T4127" s="79" t="str">
        <f>IF(ISERROR(FIND('112'!$M$9,G4127,1)),"",IF((AND(FIND('112'!$M$9,G4127,1)&gt;=1,B4127='112'!$K$9,OR($N4127='112'!$I$6,$O4127='112'!$I$6))),"x",""))</f>
        <v/>
      </c>
      <c r="U4127" s="79" t="str">
        <f>IF(ISERROR(FIND('112'!$M$9,G4127,1)),"",IF((AND(LEFT(G4127,2)=LEFT('112'!$M$9,2),B4127&lt;'112'!$K$9,$N4127='112'!$I$6)),"x",""))</f>
        <v/>
      </c>
      <c r="V4127" s="79" t="str">
        <f>IF(ISERROR(FIND('112'!$M$9,G4127,1)),"",IF((AND(RIGHT(G4127,2)=RIGHT('112'!$M$9,2),B4127&lt;'112'!$K$9,$O4127='112'!$I$6)),"x",""))</f>
        <v/>
      </c>
      <c r="W4127" s="79" t="str">
        <f>IF(AND('341-CT'!$H$9=H4127,OR(LEFT(N4127,3)=$W$7,LEFT(O4127,3)=$W$7)),"x","")</f>
        <v/>
      </c>
      <c r="X4127" s="79" t="str">
        <f>IF(OR(TH!N4127=TH!$X$7,O4127=TH!$X$7),"x","")</f>
        <v/>
      </c>
      <c r="Y4127" s="79" t="str">
        <f>IF(AND(OR(N4127="131",O4127="131"),H4127='131-CT'!$H$9),"x","")</f>
        <v/>
      </c>
      <c r="Z4127" s="79"/>
      <c r="AA4127" s="79" t="str">
        <f>IF(AND(MONTH(E4127)='IN-NX'!$J$5,'IN-NX'!$D$7=D4127),"x","")</f>
        <v/>
      </c>
      <c r="AB4127" s="79" t="str">
        <f>IF(AND(OR(LEFT(TH!N4127,2)="15",LEFT(TH!O4127,2)="15"),LEFT(TH!O4127,3)&lt;&gt;"111",'152-CT'!$J$8=TH!F4127),"x","")</f>
        <v/>
      </c>
      <c r="AC4127" s="79" t="str">
        <f>IF(AND(OR(LEFT(TH!N4127,2)="15",LEFT(TH!O4127,2)="15"),TK!$E$7=TH!F4127),"x","")</f>
        <v/>
      </c>
      <c r="AD4127" s="79" t="str">
        <f>IF(AND(N4127="1521",MONTH(C4127)='BK-NL'!$M$11),"x","")</f>
        <v/>
      </c>
    </row>
    <row r="4128" spans="1:30" ht="16.5" customHeight="1">
      <c r="A4128" s="318" t="str">
        <f>IF(B4128&lt;&gt;"",IF(AND(B4128='[3]IN-TC'!$S$4,OR([3]TH!N3361="1111",[3]TH!O3361="1111")),[3]TH!D3361,""),"")</f>
        <v/>
      </c>
      <c r="B4128" s="60" t="str">
        <f t="shared" si="432"/>
        <v/>
      </c>
      <c r="C4128" s="974"/>
      <c r="D4128" s="974"/>
      <c r="E4128" s="974"/>
      <c r="F4128" s="975"/>
      <c r="G4128" s="975"/>
      <c r="H4128" s="305"/>
      <c r="I4128" s="383"/>
      <c r="J4128" s="391"/>
      <c r="K4128" s="383"/>
      <c r="L4128" s="1248"/>
      <c r="M4128" s="978"/>
      <c r="N4128" s="979"/>
      <c r="O4128" s="979"/>
      <c r="P4128" s="79" t="str">
        <f>IF(AND('331-CT'!$E$7=TH!H4128,OR(N4128="331",O4128="331")),"x","")</f>
        <v/>
      </c>
      <c r="Q4128" s="79" t="str">
        <f>IF(AND(B4128='111'!$L$11,OR($N4128=$Q$7,$O4128=$Q$7)),"x","")</f>
        <v/>
      </c>
      <c r="R4128" s="79" t="str">
        <f>IF(AND($N4128=$Q$7,$B4128&lt;'111'!$L$11),"x","")</f>
        <v/>
      </c>
      <c r="S4128" s="79" t="str">
        <f>IF(AND($O4128=$Q$7,$B4128&lt;'111'!$L$11),"x","")</f>
        <v/>
      </c>
      <c r="T4128" s="79" t="str">
        <f>IF(ISERROR(FIND('112'!$M$9,G4128,1)),"",IF((AND(FIND('112'!$M$9,G4128,1)&gt;=1,B4128='112'!$K$9,OR($N4128='112'!$I$6,$O4128='112'!$I$6))),"x",""))</f>
        <v/>
      </c>
      <c r="U4128" s="79" t="str">
        <f>IF(ISERROR(FIND('112'!$M$9,G4128,1)),"",IF((AND(LEFT(G4128,2)=LEFT('112'!$M$9,2),B4128&lt;'112'!$K$9,$N4128='112'!$I$6)),"x",""))</f>
        <v/>
      </c>
      <c r="V4128" s="79" t="str">
        <f>IF(ISERROR(FIND('112'!$M$9,G4128,1)),"",IF((AND(RIGHT(G4128,2)=RIGHT('112'!$M$9,2),B4128&lt;'112'!$K$9,$O4128='112'!$I$6)),"x",""))</f>
        <v/>
      </c>
      <c r="W4128" s="79" t="str">
        <f>IF(AND('341-CT'!$H$9=H4128,OR(LEFT(N4128,3)=$W$7,LEFT(O4128,3)=$W$7)),"x","")</f>
        <v/>
      </c>
      <c r="X4128" s="79" t="str">
        <f>IF(OR(TH!N4128=TH!$X$7,O4128=TH!$X$7),"x","")</f>
        <v/>
      </c>
      <c r="Y4128" s="79" t="str">
        <f>IF(AND(OR(N4128="131",O4128="131"),H4128='131-CT'!$H$9),"x","")</f>
        <v/>
      </c>
      <c r="Z4128" s="79"/>
      <c r="AA4128" s="79" t="str">
        <f>IF(AND(MONTH(E4128)='IN-NX'!$J$5,'IN-NX'!$D$7=D4128),"x","")</f>
        <v/>
      </c>
      <c r="AB4128" s="79" t="str">
        <f>IF(AND(OR(LEFT(TH!N4128,2)="15",LEFT(TH!O4128,2)="15"),LEFT(TH!O4128,3)&lt;&gt;"111",'152-CT'!$J$8=TH!F4128),"x","")</f>
        <v/>
      </c>
      <c r="AC4128" s="79" t="str">
        <f>IF(AND(OR(LEFT(TH!N4128,2)="15",LEFT(TH!O4128,2)="15"),TK!$E$7=TH!F4128),"x","")</f>
        <v/>
      </c>
      <c r="AD4128" s="79" t="str">
        <f>IF(AND(N4128="1521",MONTH(C4128)='BK-NL'!$M$11),"x","")</f>
        <v/>
      </c>
    </row>
    <row r="4129" spans="1:30" ht="16.5" customHeight="1">
      <c r="A4129" s="318" t="str">
        <f>IF(B4129&lt;&gt;"",IF(AND(B4129='[3]IN-TC'!$S$4,OR([3]TH!N3362="1111",[3]TH!O3362="1111")),[3]TH!D3362,""),"")</f>
        <v/>
      </c>
      <c r="B4129" s="60" t="str">
        <f t="shared" si="432"/>
        <v/>
      </c>
      <c r="C4129" s="974"/>
      <c r="D4129" s="974"/>
      <c r="E4129" s="974"/>
      <c r="F4129" s="975"/>
      <c r="G4129" s="975"/>
      <c r="H4129" s="305"/>
      <c r="I4129" s="383"/>
      <c r="J4129" s="391"/>
      <c r="K4129" s="383"/>
      <c r="L4129" s="1248"/>
      <c r="M4129" s="978"/>
      <c r="N4129" s="979"/>
      <c r="O4129" s="979"/>
      <c r="P4129" s="79" t="str">
        <f>IF(AND('331-CT'!$E$7=TH!H4129,OR(N4129="331",O4129="331")),"x","")</f>
        <v/>
      </c>
      <c r="Q4129" s="79" t="str">
        <f>IF(AND(B4129='111'!$L$11,OR($N4129=$Q$7,$O4129=$Q$7)),"x","")</f>
        <v/>
      </c>
      <c r="R4129" s="79" t="str">
        <f>IF(AND($N4129=$Q$7,$B4129&lt;'111'!$L$11),"x","")</f>
        <v/>
      </c>
      <c r="S4129" s="79" t="str">
        <f>IF(AND($O4129=$Q$7,$B4129&lt;'111'!$L$11),"x","")</f>
        <v/>
      </c>
      <c r="T4129" s="79" t="str">
        <f>IF(ISERROR(FIND('112'!$M$9,G4129,1)),"",IF((AND(FIND('112'!$M$9,G4129,1)&gt;=1,B4129='112'!$K$9,OR($N4129='112'!$I$6,$O4129='112'!$I$6))),"x",""))</f>
        <v/>
      </c>
      <c r="U4129" s="79" t="str">
        <f>IF(ISERROR(FIND('112'!$M$9,G4129,1)),"",IF((AND(LEFT(G4129,2)=LEFT('112'!$M$9,2),B4129&lt;'112'!$K$9,$N4129='112'!$I$6)),"x",""))</f>
        <v/>
      </c>
      <c r="V4129" s="79" t="str">
        <f>IF(ISERROR(FIND('112'!$M$9,G4129,1)),"",IF((AND(RIGHT(G4129,2)=RIGHT('112'!$M$9,2),B4129&lt;'112'!$K$9,$O4129='112'!$I$6)),"x",""))</f>
        <v/>
      </c>
      <c r="W4129" s="79" t="str">
        <f>IF(AND('341-CT'!$H$9=H4129,OR(LEFT(N4129,3)=$W$7,LEFT(O4129,3)=$W$7)),"x","")</f>
        <v/>
      </c>
      <c r="X4129" s="79" t="str">
        <f>IF(OR(TH!N4129=TH!$X$7,O4129=TH!$X$7),"x","")</f>
        <v/>
      </c>
      <c r="Y4129" s="79" t="str">
        <f>IF(AND(OR(N4129="131",O4129="131"),H4129='131-CT'!$H$9),"x","")</f>
        <v/>
      </c>
      <c r="Z4129" s="79"/>
      <c r="AA4129" s="79" t="str">
        <f>IF(AND(MONTH(E4129)='IN-NX'!$J$5,'IN-NX'!$D$7=D4129),"x","")</f>
        <v/>
      </c>
      <c r="AB4129" s="79" t="str">
        <f>IF(AND(OR(LEFT(TH!N4129,2)="15",LEFT(TH!O4129,2)="15"),LEFT(TH!O4129,3)&lt;&gt;"111",'152-CT'!$J$8=TH!F4129),"x","")</f>
        <v/>
      </c>
      <c r="AC4129" s="79" t="str">
        <f>IF(AND(OR(LEFT(TH!N4129,2)="15",LEFT(TH!O4129,2)="15"),TK!$E$7=TH!F4129),"x","")</f>
        <v/>
      </c>
      <c r="AD4129" s="79" t="str">
        <f>IF(AND(N4129="1521",MONTH(C4129)='BK-NL'!$M$11),"x","")</f>
        <v/>
      </c>
    </row>
    <row r="4130" spans="1:30" ht="16.5" customHeight="1">
      <c r="A4130" s="318" t="str">
        <f>IF(B4130&lt;&gt;"",IF(AND(B4130='[3]IN-TC'!$S$4,OR([3]TH!N3363="1111",[3]TH!O3363="1111")),[3]TH!D3363,""),"")</f>
        <v/>
      </c>
      <c r="B4130" s="60" t="str">
        <f t="shared" si="432"/>
        <v/>
      </c>
      <c r="C4130" s="974"/>
      <c r="D4130" s="974"/>
      <c r="E4130" s="974"/>
      <c r="F4130" s="975"/>
      <c r="G4130" s="975"/>
      <c r="H4130" s="305"/>
      <c r="I4130" s="383"/>
      <c r="J4130" s="391"/>
      <c r="K4130" s="383"/>
      <c r="L4130" s="1248"/>
      <c r="M4130" s="978"/>
      <c r="N4130" s="979"/>
      <c r="O4130" s="979"/>
      <c r="P4130" s="79" t="str">
        <f>IF(AND('331-CT'!$E$7=TH!H4130,OR(N4130="331",O4130="331")),"x","")</f>
        <v/>
      </c>
      <c r="Q4130" s="79" t="str">
        <f>IF(AND(B4130='111'!$L$11,OR($N4130=$Q$7,$O4130=$Q$7)),"x","")</f>
        <v/>
      </c>
      <c r="R4130" s="79" t="str">
        <f>IF(AND($N4130=$Q$7,$B4130&lt;'111'!$L$11),"x","")</f>
        <v/>
      </c>
      <c r="S4130" s="79" t="str">
        <f>IF(AND($O4130=$Q$7,$B4130&lt;'111'!$L$11),"x","")</f>
        <v/>
      </c>
      <c r="T4130" s="79" t="str">
        <f>IF(ISERROR(FIND('112'!$M$9,G4130,1)),"",IF((AND(FIND('112'!$M$9,G4130,1)&gt;=1,B4130='112'!$K$9,OR($N4130='112'!$I$6,$O4130='112'!$I$6))),"x",""))</f>
        <v/>
      </c>
      <c r="U4130" s="79" t="str">
        <f>IF(ISERROR(FIND('112'!$M$9,G4130,1)),"",IF((AND(LEFT(G4130,2)=LEFT('112'!$M$9,2),B4130&lt;'112'!$K$9,$N4130='112'!$I$6)),"x",""))</f>
        <v/>
      </c>
      <c r="V4130" s="79" t="str">
        <f>IF(ISERROR(FIND('112'!$M$9,G4130,1)),"",IF((AND(RIGHT(G4130,2)=RIGHT('112'!$M$9,2),B4130&lt;'112'!$K$9,$O4130='112'!$I$6)),"x",""))</f>
        <v/>
      </c>
      <c r="W4130" s="79" t="str">
        <f>IF(AND('341-CT'!$H$9=H4130,OR(LEFT(N4130,3)=$W$7,LEFT(O4130,3)=$W$7)),"x","")</f>
        <v/>
      </c>
      <c r="X4130" s="79" t="str">
        <f>IF(OR(TH!N4130=TH!$X$7,O4130=TH!$X$7),"x","")</f>
        <v/>
      </c>
      <c r="Y4130" s="79" t="str">
        <f>IF(AND(OR(N4130="131",O4130="131"),H4130='131-CT'!$H$9),"x","")</f>
        <v/>
      </c>
      <c r="Z4130" s="79"/>
      <c r="AA4130" s="79" t="str">
        <f>IF(AND(MONTH(E4130)='IN-NX'!$J$5,'IN-NX'!$D$7=D4130),"x","")</f>
        <v/>
      </c>
      <c r="AB4130" s="79" t="str">
        <f>IF(AND(OR(LEFT(TH!N4130,2)="15",LEFT(TH!O4130,2)="15"),LEFT(TH!O4130,3)&lt;&gt;"111",'152-CT'!$J$8=TH!F4130),"x","")</f>
        <v/>
      </c>
      <c r="AC4130" s="79" t="str">
        <f>IF(AND(OR(LEFT(TH!N4130,2)="15",LEFT(TH!O4130,2)="15"),TK!$E$7=TH!F4130),"x","")</f>
        <v/>
      </c>
      <c r="AD4130" s="79" t="str">
        <f>IF(AND(N4130="1521",MONTH(C4130)='BK-NL'!$M$11),"x","")</f>
        <v/>
      </c>
    </row>
    <row r="4131" spans="1:30" ht="16.5" customHeight="1">
      <c r="A4131" s="318" t="str">
        <f>IF(B4131&lt;&gt;"",IF(AND(B4131='[3]IN-TC'!$S$4,OR([3]TH!N3364="1111",[3]TH!O3364="1111")),[3]TH!D3364,""),"")</f>
        <v/>
      </c>
      <c r="B4131" s="60" t="str">
        <f t="shared" si="432"/>
        <v/>
      </c>
      <c r="C4131" s="974"/>
      <c r="D4131" s="974"/>
      <c r="E4131" s="974"/>
      <c r="F4131" s="975"/>
      <c r="G4131" s="975"/>
      <c r="H4131" s="305"/>
      <c r="I4131" s="383"/>
      <c r="J4131" s="391"/>
      <c r="K4131" s="383"/>
      <c r="L4131" s="1248"/>
      <c r="M4131" s="978"/>
      <c r="N4131" s="979"/>
      <c r="O4131" s="979"/>
      <c r="P4131" s="79" t="str">
        <f>IF(AND('331-CT'!$E$7=TH!H4131,OR(N4131="331",O4131="331")),"x","")</f>
        <v/>
      </c>
      <c r="Q4131" s="79" t="str">
        <f>IF(AND(B4131='111'!$L$11,OR($N4131=$Q$7,$O4131=$Q$7)),"x","")</f>
        <v/>
      </c>
      <c r="R4131" s="79" t="str">
        <f>IF(AND($N4131=$Q$7,$B4131&lt;'111'!$L$11),"x","")</f>
        <v/>
      </c>
      <c r="S4131" s="79" t="str">
        <f>IF(AND($O4131=$Q$7,$B4131&lt;'111'!$L$11),"x","")</f>
        <v/>
      </c>
      <c r="T4131" s="79" t="str">
        <f>IF(ISERROR(FIND('112'!$M$9,G4131,1)),"",IF((AND(FIND('112'!$M$9,G4131,1)&gt;=1,B4131='112'!$K$9,OR($N4131='112'!$I$6,$O4131='112'!$I$6))),"x",""))</f>
        <v/>
      </c>
      <c r="U4131" s="79" t="str">
        <f>IF(ISERROR(FIND('112'!$M$9,G4131,1)),"",IF((AND(LEFT(G4131,2)=LEFT('112'!$M$9,2),B4131&lt;'112'!$K$9,$N4131='112'!$I$6)),"x",""))</f>
        <v/>
      </c>
      <c r="V4131" s="79" t="str">
        <f>IF(ISERROR(FIND('112'!$M$9,G4131,1)),"",IF((AND(RIGHT(G4131,2)=RIGHT('112'!$M$9,2),B4131&lt;'112'!$K$9,$O4131='112'!$I$6)),"x",""))</f>
        <v/>
      </c>
      <c r="W4131" s="79" t="str">
        <f>IF(AND('341-CT'!$H$9=H4131,OR(LEFT(N4131,3)=$W$7,LEFT(O4131,3)=$W$7)),"x","")</f>
        <v/>
      </c>
      <c r="X4131" s="79" t="str">
        <f>IF(OR(TH!N4131=TH!$X$7,O4131=TH!$X$7),"x","")</f>
        <v/>
      </c>
      <c r="Y4131" s="79" t="str">
        <f>IF(AND(OR(N4131="131",O4131="131"),H4131='131-CT'!$H$9),"x","")</f>
        <v/>
      </c>
      <c r="Z4131" s="79"/>
      <c r="AA4131" s="79" t="str">
        <f>IF(AND(MONTH(E4131)='IN-NX'!$J$5,'IN-NX'!$D$7=D4131),"x","")</f>
        <v/>
      </c>
      <c r="AB4131" s="79" t="str">
        <f>IF(AND(OR(LEFT(TH!N4131,2)="15",LEFT(TH!O4131,2)="15"),LEFT(TH!O4131,3)&lt;&gt;"111",'152-CT'!$J$8=TH!F4131),"x","")</f>
        <v/>
      </c>
      <c r="AC4131" s="79" t="str">
        <f>IF(AND(OR(LEFT(TH!N4131,2)="15",LEFT(TH!O4131,2)="15"),TK!$E$7=TH!F4131),"x","")</f>
        <v/>
      </c>
      <c r="AD4131" s="79" t="str">
        <f>IF(AND(N4131="1521",MONTH(C4131)='BK-NL'!$M$11),"x","")</f>
        <v/>
      </c>
    </row>
    <row r="4132" spans="1:30" ht="16.5" customHeight="1">
      <c r="A4132" s="318" t="str">
        <f>IF(B4132&lt;&gt;"",IF(AND(B4132='[3]IN-TC'!$S$4,OR([3]TH!N3365="1111",[3]TH!O3365="1111")),[3]TH!D3365,""),"")</f>
        <v/>
      </c>
      <c r="B4132" s="60" t="str">
        <f t="shared" si="432"/>
        <v/>
      </c>
      <c r="C4132" s="974"/>
      <c r="D4132" s="974"/>
      <c r="E4132" s="974"/>
      <c r="F4132" s="975"/>
      <c r="G4132" s="975"/>
      <c r="H4132" s="305"/>
      <c r="I4132" s="383"/>
      <c r="J4132" s="391"/>
      <c r="K4132" s="383"/>
      <c r="L4132" s="1248"/>
      <c r="M4132" s="978"/>
      <c r="N4132" s="979"/>
      <c r="O4132" s="979"/>
      <c r="P4132" s="79" t="str">
        <f>IF(AND('331-CT'!$E$7=TH!H4132,OR(N4132="331",O4132="331")),"x","")</f>
        <v/>
      </c>
      <c r="Q4132" s="79" t="str">
        <f>IF(AND(B4132='111'!$L$11,OR($N4132=$Q$7,$O4132=$Q$7)),"x","")</f>
        <v/>
      </c>
      <c r="R4132" s="79" t="str">
        <f>IF(AND($N4132=$Q$7,$B4132&lt;'111'!$L$11),"x","")</f>
        <v/>
      </c>
      <c r="S4132" s="79" t="str">
        <f>IF(AND($O4132=$Q$7,$B4132&lt;'111'!$L$11),"x","")</f>
        <v/>
      </c>
      <c r="T4132" s="79" t="str">
        <f>IF(ISERROR(FIND('112'!$M$9,G4132,1)),"",IF((AND(FIND('112'!$M$9,G4132,1)&gt;=1,B4132='112'!$K$9,OR($N4132='112'!$I$6,$O4132='112'!$I$6))),"x",""))</f>
        <v/>
      </c>
      <c r="U4132" s="79" t="str">
        <f>IF(ISERROR(FIND('112'!$M$9,G4132,1)),"",IF((AND(LEFT(G4132,2)=LEFT('112'!$M$9,2),B4132&lt;'112'!$K$9,$N4132='112'!$I$6)),"x",""))</f>
        <v/>
      </c>
      <c r="V4132" s="79" t="str">
        <f>IF(ISERROR(FIND('112'!$M$9,G4132,1)),"",IF((AND(RIGHT(G4132,2)=RIGHT('112'!$M$9,2),B4132&lt;'112'!$K$9,$O4132='112'!$I$6)),"x",""))</f>
        <v/>
      </c>
      <c r="W4132" s="79" t="str">
        <f>IF(AND('341-CT'!$H$9=H4132,OR(LEFT(N4132,3)=$W$7,LEFT(O4132,3)=$W$7)),"x","")</f>
        <v/>
      </c>
      <c r="X4132" s="79" t="str">
        <f>IF(OR(TH!N4132=TH!$X$7,O4132=TH!$X$7),"x","")</f>
        <v/>
      </c>
      <c r="Y4132" s="79" t="str">
        <f>IF(AND(OR(N4132="131",O4132="131"),H4132='131-CT'!$H$9),"x","")</f>
        <v/>
      </c>
      <c r="Z4132" s="79"/>
      <c r="AA4132" s="79" t="str">
        <f>IF(AND(MONTH(E4132)='IN-NX'!$J$5,'IN-NX'!$D$7=D4132),"x","")</f>
        <v/>
      </c>
      <c r="AB4132" s="79" t="str">
        <f>IF(AND(OR(LEFT(TH!N4132,2)="15",LEFT(TH!O4132,2)="15"),LEFT(TH!O4132,3)&lt;&gt;"111",'152-CT'!$J$8=TH!F4132),"x","")</f>
        <v/>
      </c>
      <c r="AC4132" s="79" t="str">
        <f>IF(AND(OR(LEFT(TH!N4132,2)="15",LEFT(TH!O4132,2)="15"),TK!$E$7=TH!F4132),"x","")</f>
        <v/>
      </c>
      <c r="AD4132" s="79" t="str">
        <f>IF(AND(N4132="1521",MONTH(C4132)='BK-NL'!$M$11),"x","")</f>
        <v/>
      </c>
    </row>
    <row r="4133" spans="1:30" ht="16.5" customHeight="1">
      <c r="A4133" s="318" t="str">
        <f>IF(B4133&lt;&gt;"",IF(AND(B4133='[3]IN-TC'!$S$4,OR([3]TH!N3366="1111",[3]TH!O3366="1111")),[3]TH!D3366,""),"")</f>
        <v/>
      </c>
      <c r="B4133" s="60" t="str">
        <f t="shared" si="432"/>
        <v/>
      </c>
      <c r="C4133" s="974"/>
      <c r="D4133" s="974"/>
      <c r="E4133" s="974"/>
      <c r="F4133" s="975"/>
      <c r="G4133" s="975"/>
      <c r="H4133" s="305"/>
      <c r="I4133" s="383"/>
      <c r="J4133" s="391"/>
      <c r="K4133" s="383"/>
      <c r="L4133" s="1248"/>
      <c r="M4133" s="978"/>
      <c r="N4133" s="979"/>
      <c r="O4133" s="979"/>
      <c r="P4133" s="79" t="str">
        <f>IF(AND('331-CT'!$E$7=TH!H4133,OR(N4133="331",O4133="331")),"x","")</f>
        <v/>
      </c>
      <c r="Q4133" s="79" t="str">
        <f>IF(AND(B4133='111'!$L$11,OR($N4133=$Q$7,$O4133=$Q$7)),"x","")</f>
        <v/>
      </c>
      <c r="R4133" s="79" t="str">
        <f>IF(AND($N4133=$Q$7,$B4133&lt;'111'!$L$11),"x","")</f>
        <v/>
      </c>
      <c r="S4133" s="79" t="str">
        <f>IF(AND($O4133=$Q$7,$B4133&lt;'111'!$L$11),"x","")</f>
        <v/>
      </c>
      <c r="T4133" s="79" t="str">
        <f>IF(ISERROR(FIND('112'!$M$9,G4133,1)),"",IF((AND(FIND('112'!$M$9,G4133,1)&gt;=1,B4133='112'!$K$9,OR($N4133='112'!$I$6,$O4133='112'!$I$6))),"x",""))</f>
        <v/>
      </c>
      <c r="U4133" s="79" t="str">
        <f>IF(ISERROR(FIND('112'!$M$9,G4133,1)),"",IF((AND(LEFT(G4133,2)=LEFT('112'!$M$9,2),B4133&lt;'112'!$K$9,$N4133='112'!$I$6)),"x",""))</f>
        <v/>
      </c>
      <c r="V4133" s="79" t="str">
        <f>IF(ISERROR(FIND('112'!$M$9,G4133,1)),"",IF((AND(RIGHT(G4133,2)=RIGHT('112'!$M$9,2),B4133&lt;'112'!$K$9,$O4133='112'!$I$6)),"x",""))</f>
        <v/>
      </c>
      <c r="W4133" s="79" t="str">
        <f>IF(AND('341-CT'!$H$9=H4133,OR(LEFT(N4133,3)=$W$7,LEFT(O4133,3)=$W$7)),"x","")</f>
        <v/>
      </c>
      <c r="X4133" s="79" t="str">
        <f>IF(OR(TH!N4133=TH!$X$7,O4133=TH!$X$7),"x","")</f>
        <v/>
      </c>
      <c r="Y4133" s="79" t="str">
        <f>IF(AND(OR(N4133="131",O4133="131"),H4133='131-CT'!$H$9),"x","")</f>
        <v/>
      </c>
      <c r="Z4133" s="79"/>
      <c r="AA4133" s="79" t="str">
        <f>IF(AND(MONTH(E4133)='IN-NX'!$J$5,'IN-NX'!$D$7=D4133),"x","")</f>
        <v/>
      </c>
      <c r="AB4133" s="79" t="str">
        <f>IF(AND(OR(LEFT(TH!N4133,2)="15",LEFT(TH!O4133,2)="15"),LEFT(TH!O4133,3)&lt;&gt;"111",'152-CT'!$J$8=TH!F4133),"x","")</f>
        <v/>
      </c>
      <c r="AC4133" s="79" t="str">
        <f>IF(AND(OR(LEFT(TH!N4133,2)="15",LEFT(TH!O4133,2)="15"),TK!$E$7=TH!F4133),"x","")</f>
        <v/>
      </c>
      <c r="AD4133" s="79" t="str">
        <f>IF(AND(N4133="1521",MONTH(C4133)='BK-NL'!$M$11),"x","")</f>
        <v/>
      </c>
    </row>
    <row r="4134" spans="1:30" ht="16.5" customHeight="1">
      <c r="A4134" s="318" t="str">
        <f>IF(B4134&lt;&gt;"",IF(AND(B4134='[3]IN-TC'!$S$4,OR([3]TH!N3367="1111",[3]TH!O3367="1111")),[3]TH!D3367,""),"")</f>
        <v/>
      </c>
      <c r="B4134" s="60" t="str">
        <f t="shared" si="432"/>
        <v/>
      </c>
      <c r="C4134" s="974"/>
      <c r="D4134" s="974"/>
      <c r="E4134" s="974"/>
      <c r="F4134" s="975"/>
      <c r="G4134" s="975"/>
      <c r="H4134" s="305"/>
      <c r="I4134" s="383"/>
      <c r="J4134" s="391"/>
      <c r="K4134" s="383"/>
      <c r="L4134" s="1248"/>
      <c r="M4134" s="978"/>
      <c r="N4134" s="979"/>
      <c r="O4134" s="979"/>
      <c r="P4134" s="79" t="str">
        <f>IF(AND('331-CT'!$E$7=TH!H4134,OR(N4134="331",O4134="331")),"x","")</f>
        <v/>
      </c>
      <c r="Q4134" s="79" t="str">
        <f>IF(AND(B4134='111'!$L$11,OR($N4134=$Q$7,$O4134=$Q$7)),"x","")</f>
        <v/>
      </c>
      <c r="R4134" s="79" t="str">
        <f>IF(AND($N4134=$Q$7,$B4134&lt;'111'!$L$11),"x","")</f>
        <v/>
      </c>
      <c r="S4134" s="79" t="str">
        <f>IF(AND($O4134=$Q$7,$B4134&lt;'111'!$L$11),"x","")</f>
        <v/>
      </c>
      <c r="T4134" s="79" t="str">
        <f>IF(ISERROR(FIND('112'!$M$9,G4134,1)),"",IF((AND(FIND('112'!$M$9,G4134,1)&gt;=1,B4134='112'!$K$9,OR($N4134='112'!$I$6,$O4134='112'!$I$6))),"x",""))</f>
        <v/>
      </c>
      <c r="U4134" s="79" t="str">
        <f>IF(ISERROR(FIND('112'!$M$9,G4134,1)),"",IF((AND(LEFT(G4134,2)=LEFT('112'!$M$9,2),B4134&lt;'112'!$K$9,$N4134='112'!$I$6)),"x",""))</f>
        <v/>
      </c>
      <c r="V4134" s="79" t="str">
        <f>IF(ISERROR(FIND('112'!$M$9,G4134,1)),"",IF((AND(RIGHT(G4134,2)=RIGHT('112'!$M$9,2),B4134&lt;'112'!$K$9,$O4134='112'!$I$6)),"x",""))</f>
        <v/>
      </c>
      <c r="W4134" s="79" t="str">
        <f>IF(AND('341-CT'!$H$9=H4134,OR(LEFT(N4134,3)=$W$7,LEFT(O4134,3)=$W$7)),"x","")</f>
        <v/>
      </c>
      <c r="X4134" s="79" t="str">
        <f>IF(OR(TH!N4134=TH!$X$7,O4134=TH!$X$7),"x","")</f>
        <v/>
      </c>
      <c r="Y4134" s="79" t="str">
        <f>IF(AND(OR(N4134="131",O4134="131"),H4134='131-CT'!$H$9),"x","")</f>
        <v/>
      </c>
      <c r="Z4134" s="79"/>
      <c r="AA4134" s="79" t="str">
        <f>IF(AND(MONTH(E4134)='IN-NX'!$J$5,'IN-NX'!$D$7=D4134),"x","")</f>
        <v/>
      </c>
      <c r="AB4134" s="79" t="str">
        <f>IF(AND(OR(LEFT(TH!N4134,2)="15",LEFT(TH!O4134,2)="15"),LEFT(TH!O4134,3)&lt;&gt;"111",'152-CT'!$J$8=TH!F4134),"x","")</f>
        <v/>
      </c>
      <c r="AC4134" s="79" t="str">
        <f>IF(AND(OR(LEFT(TH!N4134,2)="15",LEFT(TH!O4134,2)="15"),TK!$E$7=TH!F4134),"x","")</f>
        <v/>
      </c>
      <c r="AD4134" s="79" t="str">
        <f>IF(AND(N4134="1521",MONTH(C4134)='BK-NL'!$M$11),"x","")</f>
        <v/>
      </c>
    </row>
    <row r="4135" spans="1:30" ht="16.5" customHeight="1">
      <c r="A4135" s="318" t="str">
        <f>IF(B4135&lt;&gt;"",IF(AND(B4135='[3]IN-TC'!$S$4,OR([3]TH!N3368="1111",[3]TH!O3368="1111")),[3]TH!D3368,""),"")</f>
        <v/>
      </c>
      <c r="B4135" s="60" t="str">
        <f t="shared" si="432"/>
        <v/>
      </c>
      <c r="C4135" s="974"/>
      <c r="D4135" s="974"/>
      <c r="E4135" s="974"/>
      <c r="F4135" s="975"/>
      <c r="G4135" s="975"/>
      <c r="H4135" s="305"/>
      <c r="I4135" s="1247"/>
      <c r="J4135" s="391"/>
      <c r="K4135" s="1247"/>
      <c r="L4135" s="1248"/>
      <c r="M4135" s="78"/>
      <c r="N4135" s="979"/>
      <c r="O4135" s="979"/>
      <c r="P4135" s="79" t="str">
        <f>IF(AND('331-CT'!$E$7=TH!H4135,OR(N4135="331",O4135="331")),"x","")</f>
        <v/>
      </c>
      <c r="Q4135" s="79" t="str">
        <f>IF(AND(B4135='111'!$L$11,OR($N4135=$Q$7,$O4135=$Q$7)),"x","")</f>
        <v/>
      </c>
      <c r="R4135" s="79" t="str">
        <f>IF(AND($N4135=$Q$7,$B4135&lt;'111'!$L$11),"x","")</f>
        <v/>
      </c>
      <c r="S4135" s="79" t="str">
        <f>IF(AND($O4135=$Q$7,$B4135&lt;'111'!$L$11),"x","")</f>
        <v/>
      </c>
      <c r="T4135" s="79" t="str">
        <f>IF(ISERROR(FIND('112'!$M$9,G4135,1)),"",IF((AND(FIND('112'!$M$9,G4135,1)&gt;=1,B4135='112'!$K$9,OR($N4135='112'!$I$6,$O4135='112'!$I$6))),"x",""))</f>
        <v/>
      </c>
      <c r="U4135" s="79" t="str">
        <f>IF(ISERROR(FIND('112'!$M$9,G4135,1)),"",IF((AND(LEFT(G4135,2)=LEFT('112'!$M$9,2),B4135&lt;'112'!$K$9,$N4135='112'!$I$6)),"x",""))</f>
        <v/>
      </c>
      <c r="V4135" s="79" t="str">
        <f>IF(ISERROR(FIND('112'!$M$9,G4135,1)),"",IF((AND(RIGHT(G4135,2)=RIGHT('112'!$M$9,2),B4135&lt;'112'!$K$9,$O4135='112'!$I$6)),"x",""))</f>
        <v/>
      </c>
      <c r="W4135" s="79" t="str">
        <f>IF(AND('341-CT'!$H$9=H4135,OR(LEFT(N4135,3)=$W$7,LEFT(O4135,3)=$W$7)),"x","")</f>
        <v/>
      </c>
      <c r="X4135" s="79" t="str">
        <f>IF(OR(TH!N4135=TH!$X$7,O4135=TH!$X$7),"x","")</f>
        <v/>
      </c>
      <c r="Y4135" s="79" t="str">
        <f>IF(AND(OR(N4135="131",O4135="131"),H4135='131-CT'!$H$9),"x","")</f>
        <v/>
      </c>
      <c r="Z4135" s="79"/>
      <c r="AA4135" s="79" t="str">
        <f>IF(AND(MONTH(E4135)='IN-NX'!$J$5,'IN-NX'!$D$7=D4135),"x","")</f>
        <v/>
      </c>
      <c r="AB4135" s="79" t="str">
        <f>IF(AND(OR(LEFT(TH!N4135,2)="15",LEFT(TH!O4135,2)="15"),LEFT(TH!O4135,3)&lt;&gt;"111",'152-CT'!$J$8=TH!F4135),"x","")</f>
        <v/>
      </c>
      <c r="AC4135" s="79" t="str">
        <f>IF(AND(OR(LEFT(TH!N4135,2)="15",LEFT(TH!O4135,2)="15"),TK!$E$7=TH!F4135),"x","")</f>
        <v/>
      </c>
      <c r="AD4135" s="79" t="str">
        <f>IF(AND(N4135="1521",MONTH(C4135)='BK-NL'!$M$11),"x","")</f>
        <v/>
      </c>
    </row>
    <row r="4136" spans="1:30" ht="16.5" customHeight="1">
      <c r="A4136" s="318" t="str">
        <f>IF(B4136&lt;&gt;"",IF(AND(B4136='[3]IN-TC'!$S$4,OR([3]TH!N3369="1111",[3]TH!O3369="1111")),[3]TH!D3369,""),"")</f>
        <v/>
      </c>
      <c r="B4136" s="60" t="str">
        <f t="shared" si="432"/>
        <v/>
      </c>
      <c r="C4136" s="974"/>
      <c r="D4136" s="974"/>
      <c r="E4136" s="974"/>
      <c r="F4136" s="975"/>
      <c r="G4136" s="975"/>
      <c r="H4136" s="305"/>
      <c r="I4136" s="1247"/>
      <c r="J4136" s="391"/>
      <c r="K4136" s="1247"/>
      <c r="L4136" s="1248"/>
      <c r="M4136" s="78"/>
      <c r="N4136" s="979"/>
      <c r="O4136" s="979"/>
      <c r="P4136" s="79" t="str">
        <f>IF(AND('331-CT'!$E$7=TH!H4136,OR(N4136="331",O4136="331")),"x","")</f>
        <v/>
      </c>
      <c r="Q4136" s="79" t="str">
        <f>IF(AND(B4136='111'!$L$11,OR($N4136=$Q$7,$O4136=$Q$7)),"x","")</f>
        <v/>
      </c>
      <c r="R4136" s="79" t="str">
        <f>IF(AND($N4136=$Q$7,$B4136&lt;'111'!$L$11),"x","")</f>
        <v/>
      </c>
      <c r="S4136" s="79" t="str">
        <f>IF(AND($O4136=$Q$7,$B4136&lt;'111'!$L$11),"x","")</f>
        <v/>
      </c>
      <c r="T4136" s="79" t="str">
        <f>IF(ISERROR(FIND('112'!$M$9,G4136,1)),"",IF((AND(FIND('112'!$M$9,G4136,1)&gt;=1,B4136='112'!$K$9,OR($N4136='112'!$I$6,$O4136='112'!$I$6))),"x",""))</f>
        <v/>
      </c>
      <c r="U4136" s="79" t="str">
        <f>IF(ISERROR(FIND('112'!$M$9,G4136,1)),"",IF((AND(LEFT(G4136,2)=LEFT('112'!$M$9,2),B4136&lt;'112'!$K$9,$N4136='112'!$I$6)),"x",""))</f>
        <v/>
      </c>
      <c r="V4136" s="79" t="str">
        <f>IF(ISERROR(FIND('112'!$M$9,G4136,1)),"",IF((AND(RIGHT(G4136,2)=RIGHT('112'!$M$9,2),B4136&lt;'112'!$K$9,$O4136='112'!$I$6)),"x",""))</f>
        <v/>
      </c>
      <c r="W4136" s="79" t="str">
        <f>IF(AND('341-CT'!$H$9=H4136,OR(LEFT(N4136,3)=$W$7,LEFT(O4136,3)=$W$7)),"x","")</f>
        <v/>
      </c>
      <c r="X4136" s="79" t="str">
        <f>IF(OR(TH!N4136=TH!$X$7,O4136=TH!$X$7),"x","")</f>
        <v/>
      </c>
      <c r="Y4136" s="79" t="str">
        <f>IF(AND(OR(N4136="131",O4136="131"),H4136='131-CT'!$H$9),"x","")</f>
        <v/>
      </c>
      <c r="Z4136" s="79"/>
      <c r="AA4136" s="79" t="str">
        <f>IF(AND(MONTH(E4136)='IN-NX'!$J$5,'IN-NX'!$D$7=D4136),"x","")</f>
        <v/>
      </c>
      <c r="AB4136" s="79" t="str">
        <f>IF(AND(OR(LEFT(TH!N4136,2)="15",LEFT(TH!O4136,2)="15"),LEFT(TH!O4136,3)&lt;&gt;"111",'152-CT'!$J$8=TH!F4136),"x","")</f>
        <v/>
      </c>
      <c r="AC4136" s="79" t="str">
        <f>IF(AND(OR(LEFT(TH!N4136,2)="15",LEFT(TH!O4136,2)="15"),TK!$E$7=TH!F4136),"x","")</f>
        <v/>
      </c>
      <c r="AD4136" s="79" t="str">
        <f>IF(AND(N4136="1521",MONTH(C4136)='BK-NL'!$M$11),"x","")</f>
        <v/>
      </c>
    </row>
    <row r="4137" spans="1:30" ht="16.5" customHeight="1">
      <c r="A4137" s="318" t="str">
        <f>IF(B4137&lt;&gt;"",IF(AND(B4137='[3]IN-TC'!$S$4,OR([3]TH!N3370="1111",[3]TH!O3370="1111")),[3]TH!D3370,""),"")</f>
        <v/>
      </c>
      <c r="B4137" s="60" t="str">
        <f t="shared" ref="B4137" si="441">IF(C4137&lt;&gt;"",MONTH(C4137),"")</f>
        <v/>
      </c>
      <c r="C4137" s="974"/>
      <c r="D4137" s="974"/>
      <c r="E4137" s="974"/>
      <c r="F4137" s="975"/>
      <c r="G4137" s="975"/>
      <c r="H4137" s="305"/>
      <c r="I4137" s="1247"/>
      <c r="J4137" s="391"/>
      <c r="K4137" s="1247"/>
      <c r="L4137" s="1248"/>
      <c r="M4137" s="78"/>
      <c r="N4137" s="979"/>
      <c r="O4137" s="979"/>
      <c r="P4137" s="79" t="str">
        <f>IF(AND('331-CT'!$E$7=TH!H4137,OR(N4137="331",O4137="331")),"x","")</f>
        <v/>
      </c>
      <c r="Q4137" s="79" t="str">
        <f>IF(AND(B4137='111'!$L$11,OR($N4137=$Q$7,$O4137=$Q$7)),"x","")</f>
        <v/>
      </c>
      <c r="R4137" s="79" t="str">
        <f>IF(AND($N4137=$Q$7,$B4137&lt;'111'!$L$11),"x","")</f>
        <v/>
      </c>
      <c r="S4137" s="79" t="str">
        <f>IF(AND($O4137=$Q$7,$B4137&lt;'111'!$L$11),"x","")</f>
        <v/>
      </c>
      <c r="T4137" s="79" t="str">
        <f>IF(ISERROR(FIND('112'!$M$9,G4137,1)),"",IF((AND(FIND('112'!$M$9,G4137,1)&gt;=1,B4137='112'!$K$9,OR($N4137='112'!$I$6,$O4137='112'!$I$6))),"x",""))</f>
        <v/>
      </c>
      <c r="U4137" s="79" t="str">
        <f>IF(ISERROR(FIND('112'!$M$9,G4137,1)),"",IF((AND(LEFT(G4137,2)=LEFT('112'!$M$9,2),B4137&lt;'112'!$K$9,$N4137='112'!$I$6)),"x",""))</f>
        <v/>
      </c>
      <c r="V4137" s="79" t="str">
        <f>IF(ISERROR(FIND('112'!$M$9,G4137,1)),"",IF((AND(RIGHT(G4137,2)=RIGHT('112'!$M$9,2),B4137&lt;'112'!$K$9,$O4137='112'!$I$6)),"x",""))</f>
        <v/>
      </c>
      <c r="W4137" s="79" t="str">
        <f>IF(AND('341-CT'!$H$9=H4137,OR(LEFT(N4137,3)=$W$7,LEFT(O4137,3)=$W$7)),"x","")</f>
        <v/>
      </c>
      <c r="X4137" s="79" t="str">
        <f>IF(OR(TH!N4137=TH!$X$7,O4137=TH!$X$7),"x","")</f>
        <v/>
      </c>
      <c r="Y4137" s="79" t="str">
        <f>IF(AND(OR(N4137="131",O4137="131"),H4137='131-CT'!$H$9),"x","")</f>
        <v/>
      </c>
      <c r="Z4137" s="79"/>
      <c r="AA4137" s="79" t="str">
        <f>IF(AND(MONTH(E4137)='IN-NX'!$J$5,'IN-NX'!$D$7=D4137),"x","")</f>
        <v/>
      </c>
      <c r="AB4137" s="79" t="str">
        <f>IF(AND(OR(LEFT(TH!N4137,2)="15",LEFT(TH!O4137,2)="15"),LEFT(TH!O4137,3)&lt;&gt;"111",'152-CT'!$J$8=TH!F4137),"x","")</f>
        <v/>
      </c>
      <c r="AC4137" s="79" t="str">
        <f>IF(AND(OR(LEFT(TH!N4137,2)="15",LEFT(TH!O4137,2)="15"),TK!$E$7=TH!F4137),"x","")</f>
        <v/>
      </c>
      <c r="AD4137" s="79" t="str">
        <f>IF(AND(N4137="1521",MONTH(C4137)='BK-NL'!$M$11),"x","")</f>
        <v/>
      </c>
    </row>
    <row r="4138" spans="1:30" s="313" customFormat="1" ht="16.5" customHeight="1">
      <c r="A4138" s="318" t="str">
        <f>IF(B4138&lt;&gt;"",IF(AND(B4138='[3]IN-TC'!$S$4,OR([3]TH!N3371="1111",[3]TH!O3371="1111")),[3]TH!D3371,""),"")</f>
        <v/>
      </c>
      <c r="B4138" s="60" t="str">
        <f t="shared" si="432"/>
        <v/>
      </c>
      <c r="C4138" s="974"/>
      <c r="D4138" s="974"/>
      <c r="E4138" s="974"/>
      <c r="F4138" s="975"/>
      <c r="G4138" s="975"/>
      <c r="H4138" s="305"/>
      <c r="I4138" s="1247"/>
      <c r="J4138" s="391"/>
      <c r="K4138" s="1247"/>
      <c r="L4138" s="1248"/>
      <c r="M4138" s="978"/>
      <c r="N4138" s="979"/>
      <c r="O4138" s="979"/>
      <c r="P4138" s="79" t="str">
        <f>IF(AND('331-CT'!$E$7=TH!H4138,OR(N4138="331",O4138="331")),"x","")</f>
        <v/>
      </c>
      <c r="Q4138" s="79" t="str">
        <f>IF(AND(B4138='111'!$L$11,OR($N4138=$Q$7,$O4138=$Q$7)),"x","")</f>
        <v/>
      </c>
      <c r="R4138" s="79" t="str">
        <f>IF(AND($N4138=$Q$7,$B4138&lt;'111'!$L$11),"x","")</f>
        <v/>
      </c>
      <c r="S4138" s="79" t="str">
        <f>IF(AND($O4138=$Q$7,$B4138&lt;'111'!$L$11),"x","")</f>
        <v/>
      </c>
      <c r="T4138" s="79" t="str">
        <f>IF(ISERROR(FIND('112'!$M$9,G4138,1)),"",IF((AND(FIND('112'!$M$9,G4138,1)&gt;=1,B4138='112'!$K$9,OR($N4138='112'!$I$6,$O4138='112'!$I$6))),"x",""))</f>
        <v/>
      </c>
      <c r="U4138" s="79" t="str">
        <f>IF(ISERROR(FIND('112'!$M$9,G4138,1)),"",IF((AND(LEFT(G4138,2)=LEFT('112'!$M$9,2),B4138&lt;'112'!$K$9,$N4138='112'!$I$6)),"x",""))</f>
        <v/>
      </c>
      <c r="V4138" s="79" t="str">
        <f>IF(ISERROR(FIND('112'!$M$9,G4138,1)),"",IF((AND(RIGHT(G4138,2)=RIGHT('112'!$M$9,2),B4138&lt;'112'!$K$9,$O4138='112'!$I$6)),"x",""))</f>
        <v/>
      </c>
      <c r="W4138" s="79" t="str">
        <f>IF(AND('341-CT'!$H$9=H4138,OR(LEFT(N4138,3)=$W$7,LEFT(O4138,3)=$W$7)),"x","")</f>
        <v/>
      </c>
      <c r="X4138" s="79" t="str">
        <f>IF(OR(TH!N4138=TH!$X$7,O4138=TH!$X$7),"x","")</f>
        <v/>
      </c>
      <c r="Y4138" s="79" t="str">
        <f>IF(AND(OR(N4138="131",O4138="131"),H4138='131-CT'!$H$9),"x","")</f>
        <v/>
      </c>
      <c r="Z4138" s="79"/>
      <c r="AA4138" s="79" t="str">
        <f>IF(AND(MONTH(E4138)='IN-NX'!$J$5,'IN-NX'!$D$7=D4138),"x","")</f>
        <v/>
      </c>
      <c r="AB4138" s="79" t="str">
        <f>IF(AND(OR(LEFT(TH!N4138,2)="15",LEFT(TH!O4138,2)="15"),LEFT(TH!O4138,3)&lt;&gt;"111",'152-CT'!$J$8=TH!F4138),"x","")</f>
        <v/>
      </c>
      <c r="AC4138" s="79" t="str">
        <f>IF(AND(OR(LEFT(TH!N4138,2)="15",LEFT(TH!O4138,2)="15"),TK!$E$7=TH!F4138),"x","")</f>
        <v/>
      </c>
      <c r="AD4138" s="79" t="str">
        <f>IF(AND(N4138="1521",MONTH(C4138)='BK-NL'!$M$11),"x","")</f>
        <v/>
      </c>
    </row>
    <row r="4139" spans="1:30" s="313" customFormat="1" ht="16.5" customHeight="1">
      <c r="A4139" s="318" t="str">
        <f>IF(B4139&lt;&gt;"",IF(AND(B4139='[3]IN-TC'!$S$4,OR([3]TH!N3372="1111",[3]TH!O3372="1111")),[3]TH!D3372,""),"")</f>
        <v/>
      </c>
      <c r="B4139" s="60" t="str">
        <f t="shared" si="432"/>
        <v/>
      </c>
      <c r="C4139" s="974"/>
      <c r="D4139" s="974"/>
      <c r="E4139" s="974"/>
      <c r="F4139" s="975"/>
      <c r="G4139" s="975"/>
      <c r="H4139" s="305"/>
      <c r="I4139" s="1247"/>
      <c r="J4139" s="391"/>
      <c r="K4139" s="1247"/>
      <c r="L4139" s="1248"/>
      <c r="M4139" s="978"/>
      <c r="N4139" s="979"/>
      <c r="O4139" s="979"/>
      <c r="P4139" s="79" t="str">
        <f>IF(AND('331-CT'!$E$7=TH!H4139,OR(N4139="331",O4139="331")),"x","")</f>
        <v/>
      </c>
      <c r="Q4139" s="79" t="str">
        <f>IF(AND(B4139='111'!$L$11,OR($N4139=$Q$7,$O4139=$Q$7)),"x","")</f>
        <v/>
      </c>
      <c r="R4139" s="79" t="str">
        <f>IF(AND($N4139=$Q$7,$B4139&lt;'111'!$L$11),"x","")</f>
        <v/>
      </c>
      <c r="S4139" s="79" t="str">
        <f>IF(AND($O4139=$Q$7,$B4139&lt;'111'!$L$11),"x","")</f>
        <v/>
      </c>
      <c r="T4139" s="79" t="str">
        <f>IF(ISERROR(FIND('112'!$M$9,G4139,1)),"",IF((AND(FIND('112'!$M$9,G4139,1)&gt;=1,B4139='112'!$K$9,OR($N4139='112'!$I$6,$O4139='112'!$I$6))),"x",""))</f>
        <v/>
      </c>
      <c r="U4139" s="79" t="str">
        <f>IF(ISERROR(FIND('112'!$M$9,G4139,1)),"",IF((AND(LEFT(G4139,2)=LEFT('112'!$M$9,2),B4139&lt;'112'!$K$9,$N4139='112'!$I$6)),"x",""))</f>
        <v/>
      </c>
      <c r="V4139" s="79" t="str">
        <f>IF(ISERROR(FIND('112'!$M$9,G4139,1)),"",IF((AND(RIGHT(G4139,2)=RIGHT('112'!$M$9,2),B4139&lt;'112'!$K$9,$O4139='112'!$I$6)),"x",""))</f>
        <v/>
      </c>
      <c r="W4139" s="79" t="str">
        <f>IF(AND('341-CT'!$H$9=H4139,OR(LEFT(N4139,3)=$W$7,LEFT(O4139,3)=$W$7)),"x","")</f>
        <v/>
      </c>
      <c r="X4139" s="79" t="str">
        <f>IF(OR(TH!N4139=TH!$X$7,O4139=TH!$X$7),"x","")</f>
        <v/>
      </c>
      <c r="Y4139" s="79" t="str">
        <f>IF(AND(OR(N4139="131",O4139="131"),H4139='131-CT'!$H$9),"x","")</f>
        <v/>
      </c>
      <c r="Z4139" s="79"/>
      <c r="AA4139" s="79" t="str">
        <f>IF(AND(MONTH(E4139)='IN-NX'!$J$5,'IN-NX'!$D$7=D4139),"x","")</f>
        <v/>
      </c>
      <c r="AB4139" s="79" t="str">
        <f>IF(AND(OR(LEFT(TH!N4139,2)="15",LEFT(TH!O4139,2)="15"),LEFT(TH!O4139,3)&lt;&gt;"111",'152-CT'!$J$8=TH!F4139),"x","")</f>
        <v/>
      </c>
      <c r="AC4139" s="79" t="str">
        <f>IF(AND(OR(LEFT(TH!N4139,2)="15",LEFT(TH!O4139,2)="15"),TK!$E$7=TH!F4139),"x","")</f>
        <v/>
      </c>
      <c r="AD4139" s="79" t="str">
        <f>IF(AND(N4139="1521",MONTH(C4139)='BK-NL'!$M$11),"x","")</f>
        <v/>
      </c>
    </row>
    <row r="4140" spans="1:30" s="313" customFormat="1" ht="16.5" customHeight="1">
      <c r="A4140" s="318" t="str">
        <f>IF(B4140&lt;&gt;"",IF(AND(B4140='[3]IN-TC'!$S$4,OR([3]TH!N3373="1111",[3]TH!O3373="1111")),[3]TH!D3373,""),"")</f>
        <v/>
      </c>
      <c r="B4140" s="60" t="str">
        <f t="shared" si="432"/>
        <v/>
      </c>
      <c r="C4140" s="974"/>
      <c r="D4140" s="974"/>
      <c r="E4140" s="974"/>
      <c r="F4140" s="975"/>
      <c r="G4140" s="975"/>
      <c r="H4140" s="305"/>
      <c r="I4140" s="1247"/>
      <c r="J4140" s="391"/>
      <c r="K4140" s="1247"/>
      <c r="L4140" s="1248"/>
      <c r="M4140" s="978"/>
      <c r="N4140" s="979"/>
      <c r="O4140" s="979"/>
      <c r="P4140" s="79" t="str">
        <f>IF(AND('331-CT'!$E$7=TH!H4140,OR(N4140="331",O4140="331")),"x","")</f>
        <v/>
      </c>
      <c r="Q4140" s="79" t="str">
        <f>IF(AND(B4140='111'!$L$11,OR($N4140=$Q$7,$O4140=$Q$7)),"x","")</f>
        <v/>
      </c>
      <c r="R4140" s="79" t="str">
        <f>IF(AND($N4140=$Q$7,$B4140&lt;'111'!$L$11),"x","")</f>
        <v/>
      </c>
      <c r="S4140" s="79" t="str">
        <f>IF(AND($O4140=$Q$7,$B4140&lt;'111'!$L$11),"x","")</f>
        <v/>
      </c>
      <c r="T4140" s="79" t="str">
        <f>IF(ISERROR(FIND('112'!$M$9,G4140,1)),"",IF((AND(FIND('112'!$M$9,G4140,1)&gt;=1,B4140='112'!$K$9,OR($N4140='112'!$I$6,$O4140='112'!$I$6))),"x",""))</f>
        <v/>
      </c>
      <c r="U4140" s="79" t="str">
        <f>IF(ISERROR(FIND('112'!$M$9,G4140,1)),"",IF((AND(LEFT(G4140,2)=LEFT('112'!$M$9,2),B4140&lt;'112'!$K$9,$N4140='112'!$I$6)),"x",""))</f>
        <v/>
      </c>
      <c r="V4140" s="79" t="str">
        <f>IF(ISERROR(FIND('112'!$M$9,G4140,1)),"",IF((AND(RIGHT(G4140,2)=RIGHT('112'!$M$9,2),B4140&lt;'112'!$K$9,$O4140='112'!$I$6)),"x",""))</f>
        <v/>
      </c>
      <c r="W4140" s="79" t="str">
        <f>IF(AND('341-CT'!$H$9=H4140,OR(LEFT(N4140,3)=$W$7,LEFT(O4140,3)=$W$7)),"x","")</f>
        <v/>
      </c>
      <c r="X4140" s="79" t="str">
        <f>IF(OR(TH!N4140=TH!$X$7,O4140=TH!$X$7),"x","")</f>
        <v/>
      </c>
      <c r="Y4140" s="79" t="str">
        <f>IF(AND(OR(N4140="131",O4140="131"),H4140='131-CT'!$H$9),"x","")</f>
        <v/>
      </c>
      <c r="Z4140" s="79"/>
      <c r="AA4140" s="79" t="str">
        <f>IF(AND(MONTH(E4140)='IN-NX'!$J$5,'IN-NX'!$D$7=D4140),"x","")</f>
        <v/>
      </c>
      <c r="AB4140" s="79" t="str">
        <f>IF(AND(OR(LEFT(TH!N4140,2)="15",LEFT(TH!O4140,2)="15"),LEFT(TH!O4140,3)&lt;&gt;"111",'152-CT'!$J$8=TH!F4140),"x","")</f>
        <v/>
      </c>
      <c r="AC4140" s="79" t="str">
        <f>IF(AND(OR(LEFT(TH!N4140,2)="15",LEFT(TH!O4140,2)="15"),TK!$E$7=TH!F4140),"x","")</f>
        <v/>
      </c>
      <c r="AD4140" s="79" t="str">
        <f>IF(AND(N4140="1521",MONTH(C4140)='BK-NL'!$M$11),"x","")</f>
        <v/>
      </c>
    </row>
    <row r="4141" spans="1:30" s="313" customFormat="1" ht="16.5" customHeight="1">
      <c r="A4141" s="318" t="str">
        <f>IF(B4141&lt;&gt;"",IF(AND(B4141='[3]IN-TC'!$S$4,OR([3]TH!N3374="1111",[3]TH!O3374="1111")),[3]TH!D3374,""),"")</f>
        <v/>
      </c>
      <c r="B4141" s="60" t="str">
        <f t="shared" si="432"/>
        <v/>
      </c>
      <c r="C4141" s="974"/>
      <c r="D4141" s="974"/>
      <c r="E4141" s="974"/>
      <c r="F4141" s="975"/>
      <c r="G4141" s="975"/>
      <c r="H4141" s="305"/>
      <c r="I4141" s="1247"/>
      <c r="J4141" s="391"/>
      <c r="K4141" s="1247"/>
      <c r="L4141" s="1248"/>
      <c r="M4141" s="978"/>
      <c r="N4141" s="979"/>
      <c r="O4141" s="979"/>
      <c r="P4141" s="79" t="str">
        <f>IF(AND('331-CT'!$E$7=TH!H4141,OR(N4141="331",O4141="331")),"x","")</f>
        <v/>
      </c>
      <c r="Q4141" s="79" t="str">
        <f>IF(AND(B4141='111'!$L$11,OR($N4141=$Q$7,$O4141=$Q$7)),"x","")</f>
        <v/>
      </c>
      <c r="R4141" s="79" t="str">
        <f>IF(AND($N4141=$Q$7,$B4141&lt;'111'!$L$11),"x","")</f>
        <v/>
      </c>
      <c r="S4141" s="79" t="str">
        <f>IF(AND($O4141=$Q$7,$B4141&lt;'111'!$L$11),"x","")</f>
        <v/>
      </c>
      <c r="T4141" s="79" t="str">
        <f>IF(ISERROR(FIND('112'!$M$9,G4141,1)),"",IF((AND(FIND('112'!$M$9,G4141,1)&gt;=1,B4141='112'!$K$9,OR($N4141='112'!$I$6,$O4141='112'!$I$6))),"x",""))</f>
        <v/>
      </c>
      <c r="U4141" s="79" t="str">
        <f>IF(ISERROR(FIND('112'!$M$9,G4141,1)),"",IF((AND(LEFT(G4141,2)=LEFT('112'!$M$9,2),B4141&lt;'112'!$K$9,$N4141='112'!$I$6)),"x",""))</f>
        <v/>
      </c>
      <c r="V4141" s="79" t="str">
        <f>IF(ISERROR(FIND('112'!$M$9,G4141,1)),"",IF((AND(RIGHT(G4141,2)=RIGHT('112'!$M$9,2),B4141&lt;'112'!$K$9,$O4141='112'!$I$6)),"x",""))</f>
        <v/>
      </c>
      <c r="W4141" s="79" t="str">
        <f>IF(AND('341-CT'!$H$9=H4141,OR(LEFT(N4141,3)=$W$7,LEFT(O4141,3)=$W$7)),"x","")</f>
        <v/>
      </c>
      <c r="X4141" s="79" t="str">
        <f>IF(OR(TH!N4141=TH!$X$7,O4141=TH!$X$7),"x","")</f>
        <v/>
      </c>
      <c r="Y4141" s="79" t="str">
        <f>IF(AND(OR(N4141="131",O4141="131"),H4141='131-CT'!$H$9),"x","")</f>
        <v/>
      </c>
      <c r="Z4141" s="79"/>
      <c r="AA4141" s="79" t="str">
        <f>IF(AND(MONTH(E4141)='IN-NX'!$J$5,'IN-NX'!$D$7=D4141),"x","")</f>
        <v/>
      </c>
      <c r="AB4141" s="79" t="str">
        <f>IF(AND(OR(LEFT(TH!N4141,2)="15",LEFT(TH!O4141,2)="15"),LEFT(TH!O4141,3)&lt;&gt;"111",'152-CT'!$J$8=TH!F4141),"x","")</f>
        <v/>
      </c>
      <c r="AC4141" s="79" t="str">
        <f>IF(AND(OR(LEFT(TH!N4141,2)="15",LEFT(TH!O4141,2)="15"),TK!$E$7=TH!F4141),"x","")</f>
        <v/>
      </c>
      <c r="AD4141" s="79" t="str">
        <f>IF(AND(N4141="1521",MONTH(C4141)='BK-NL'!$M$11),"x","")</f>
        <v/>
      </c>
    </row>
    <row r="4142" spans="1:30" s="313" customFormat="1" ht="16.5" customHeight="1">
      <c r="A4142" s="318" t="str">
        <f>IF(B4142&lt;&gt;"",IF(AND(B4142='[3]IN-TC'!$S$4,OR([3]TH!N3375="1111",[3]TH!O3375="1111")),[3]TH!D3375,""),"")</f>
        <v/>
      </c>
      <c r="B4142" s="60" t="str">
        <f t="shared" si="432"/>
        <v/>
      </c>
      <c r="C4142" s="974"/>
      <c r="D4142" s="974"/>
      <c r="E4142" s="974"/>
      <c r="F4142" s="975"/>
      <c r="G4142" s="975"/>
      <c r="H4142" s="305"/>
      <c r="I4142" s="1247"/>
      <c r="J4142" s="391"/>
      <c r="K4142" s="1247"/>
      <c r="L4142" s="1248"/>
      <c r="M4142" s="978"/>
      <c r="N4142" s="979"/>
      <c r="O4142" s="979"/>
      <c r="P4142" s="79" t="str">
        <f>IF(AND('331-CT'!$E$7=TH!H4142,OR(N4142="331",O4142="331")),"x","")</f>
        <v/>
      </c>
      <c r="Q4142" s="79" t="str">
        <f>IF(AND(B4142='111'!$L$11,OR($N4142=$Q$7,$O4142=$Q$7)),"x","")</f>
        <v/>
      </c>
      <c r="R4142" s="79" t="str">
        <f>IF(AND($N4142=$Q$7,$B4142&lt;'111'!$L$11),"x","")</f>
        <v/>
      </c>
      <c r="S4142" s="79" t="str">
        <f>IF(AND($O4142=$Q$7,$B4142&lt;'111'!$L$11),"x","")</f>
        <v/>
      </c>
      <c r="T4142" s="79" t="str">
        <f>IF(ISERROR(FIND('112'!$M$9,G4142,1)),"",IF((AND(FIND('112'!$M$9,G4142,1)&gt;=1,B4142='112'!$K$9,OR($N4142='112'!$I$6,$O4142='112'!$I$6))),"x",""))</f>
        <v/>
      </c>
      <c r="U4142" s="79" t="str">
        <f>IF(ISERROR(FIND('112'!$M$9,G4142,1)),"",IF((AND(LEFT(G4142,2)=LEFT('112'!$M$9,2),B4142&lt;'112'!$K$9,$N4142='112'!$I$6)),"x",""))</f>
        <v/>
      </c>
      <c r="V4142" s="79" t="str">
        <f>IF(ISERROR(FIND('112'!$M$9,G4142,1)),"",IF((AND(RIGHT(G4142,2)=RIGHT('112'!$M$9,2),B4142&lt;'112'!$K$9,$O4142='112'!$I$6)),"x",""))</f>
        <v/>
      </c>
      <c r="W4142" s="79" t="str">
        <f>IF(AND('341-CT'!$H$9=H4142,OR(LEFT(N4142,3)=$W$7,LEFT(O4142,3)=$W$7)),"x","")</f>
        <v/>
      </c>
      <c r="X4142" s="79" t="str">
        <f>IF(OR(TH!N4142=TH!$X$7,O4142=TH!$X$7),"x","")</f>
        <v/>
      </c>
      <c r="Y4142" s="79" t="str">
        <f>IF(AND(OR(N4142="131",O4142="131"),H4142='131-CT'!$H$9),"x","")</f>
        <v/>
      </c>
      <c r="Z4142" s="79"/>
      <c r="AA4142" s="79" t="str">
        <f>IF(AND(MONTH(E4142)='IN-NX'!$J$5,'IN-NX'!$D$7=D4142),"x","")</f>
        <v/>
      </c>
      <c r="AB4142" s="79" t="str">
        <f>IF(AND(OR(LEFT(TH!N4142,2)="15",LEFT(TH!O4142,2)="15"),LEFT(TH!O4142,3)&lt;&gt;"111",'152-CT'!$J$8=TH!F4142),"x","")</f>
        <v/>
      </c>
      <c r="AC4142" s="79" t="str">
        <f>IF(AND(OR(LEFT(TH!N4142,2)="15",LEFT(TH!O4142,2)="15"),TK!$E$7=TH!F4142),"x","")</f>
        <v/>
      </c>
      <c r="AD4142" s="79" t="str">
        <f>IF(AND(N4142="1521",MONTH(C4142)='BK-NL'!$M$11),"x","")</f>
        <v/>
      </c>
    </row>
    <row r="4143" spans="1:30" s="313" customFormat="1" ht="16.5" customHeight="1">
      <c r="A4143" s="318" t="str">
        <f>IF(B4143&lt;&gt;"",IF(AND(B4143='[3]IN-TC'!$S$4,OR([3]TH!N3376="1111",[3]TH!O3376="1111")),[3]TH!D3376,""),"")</f>
        <v/>
      </c>
      <c r="B4143" s="60" t="str">
        <f t="shared" si="432"/>
        <v/>
      </c>
      <c r="C4143" s="974"/>
      <c r="D4143" s="974"/>
      <c r="E4143" s="974"/>
      <c r="F4143" s="975"/>
      <c r="G4143" s="975"/>
      <c r="H4143" s="305"/>
      <c r="I4143" s="1247"/>
      <c r="J4143" s="391"/>
      <c r="K4143" s="1247"/>
      <c r="L4143" s="1248"/>
      <c r="M4143" s="978"/>
      <c r="N4143" s="979"/>
      <c r="O4143" s="979"/>
      <c r="P4143" s="79" t="str">
        <f>IF(AND('331-CT'!$E$7=TH!H4143,OR(N4143="331",O4143="331")),"x","")</f>
        <v/>
      </c>
      <c r="Q4143" s="79" t="str">
        <f>IF(AND(B4143='111'!$L$11,OR($N4143=$Q$7,$O4143=$Q$7)),"x","")</f>
        <v/>
      </c>
      <c r="R4143" s="79" t="str">
        <f>IF(AND($N4143=$Q$7,$B4143&lt;'111'!$L$11),"x","")</f>
        <v/>
      </c>
      <c r="S4143" s="79" t="str">
        <f>IF(AND($O4143=$Q$7,$B4143&lt;'111'!$L$11),"x","")</f>
        <v/>
      </c>
      <c r="T4143" s="79" t="str">
        <f>IF(ISERROR(FIND('112'!$M$9,G4143,1)),"",IF((AND(FIND('112'!$M$9,G4143,1)&gt;=1,B4143='112'!$K$9,OR($N4143='112'!$I$6,$O4143='112'!$I$6))),"x",""))</f>
        <v/>
      </c>
      <c r="U4143" s="79" t="str">
        <f>IF(ISERROR(FIND('112'!$M$9,G4143,1)),"",IF((AND(LEFT(G4143,2)=LEFT('112'!$M$9,2),B4143&lt;'112'!$K$9,$N4143='112'!$I$6)),"x",""))</f>
        <v/>
      </c>
      <c r="V4143" s="79" t="str">
        <f>IF(ISERROR(FIND('112'!$M$9,G4143,1)),"",IF((AND(RIGHT(G4143,2)=RIGHT('112'!$M$9,2),B4143&lt;'112'!$K$9,$O4143='112'!$I$6)),"x",""))</f>
        <v/>
      </c>
      <c r="W4143" s="79" t="str">
        <f>IF(AND('341-CT'!$H$9=H4143,OR(LEFT(N4143,3)=$W$7,LEFT(O4143,3)=$W$7)),"x","")</f>
        <v/>
      </c>
      <c r="X4143" s="79" t="str">
        <f>IF(OR(TH!N4143=TH!$X$7,O4143=TH!$X$7),"x","")</f>
        <v/>
      </c>
      <c r="Y4143" s="79" t="str">
        <f>IF(AND(OR(N4143="131",O4143="131"),H4143='131-CT'!$H$9),"x","")</f>
        <v/>
      </c>
      <c r="Z4143" s="79"/>
      <c r="AA4143" s="79" t="str">
        <f>IF(AND(MONTH(E4143)='IN-NX'!$J$5,'IN-NX'!$D$7=D4143),"x","")</f>
        <v/>
      </c>
      <c r="AB4143" s="79" t="str">
        <f>IF(AND(OR(LEFT(TH!N4143,2)="15",LEFT(TH!O4143,2)="15"),LEFT(TH!O4143,3)&lt;&gt;"111",'152-CT'!$J$8=TH!F4143),"x","")</f>
        <v/>
      </c>
      <c r="AC4143" s="79" t="str">
        <f>IF(AND(OR(LEFT(TH!N4143,2)="15",LEFT(TH!O4143,2)="15"),TK!$E$7=TH!F4143),"x","")</f>
        <v/>
      </c>
      <c r="AD4143" s="79" t="str">
        <f>IF(AND(N4143="1521",MONTH(C4143)='BK-NL'!$M$11),"x","")</f>
        <v/>
      </c>
    </row>
    <row r="4144" spans="1:30" ht="16.5" customHeight="1">
      <c r="A4144" s="318" t="str">
        <f>IF(B4144&lt;&gt;"",IF(AND(B4144='[3]IN-TC'!$S$4,OR([3]TH!N3377="1111",[3]TH!O3377="1111")),[3]TH!D3377,""),"")</f>
        <v/>
      </c>
      <c r="B4144" s="60" t="str">
        <f t="shared" si="432"/>
        <v/>
      </c>
      <c r="C4144" s="974"/>
      <c r="D4144" s="974"/>
      <c r="E4144" s="974"/>
      <c r="F4144" s="975"/>
      <c r="G4144" s="975"/>
      <c r="H4144" s="305"/>
      <c r="I4144" s="1247"/>
      <c r="J4144" s="391"/>
      <c r="K4144" s="1247"/>
      <c r="L4144" s="1248"/>
      <c r="M4144" s="978"/>
      <c r="N4144" s="979"/>
      <c r="O4144" s="979"/>
      <c r="P4144" s="79" t="str">
        <f>IF(AND('331-CT'!$E$7=TH!H4144,OR(N4144="331",O4144="331")),"x","")</f>
        <v/>
      </c>
      <c r="Q4144" s="79" t="str">
        <f>IF(AND(B4144='111'!$L$11,OR($N4144=$Q$7,$O4144=$Q$7)),"x","")</f>
        <v/>
      </c>
      <c r="R4144" s="79" t="str">
        <f>IF(AND($N4144=$Q$7,$B4144&lt;'111'!$L$11),"x","")</f>
        <v/>
      </c>
      <c r="S4144" s="79" t="str">
        <f>IF(AND($O4144=$Q$7,$B4144&lt;'111'!$L$11),"x","")</f>
        <v/>
      </c>
      <c r="T4144" s="79" t="str">
        <f>IF(ISERROR(FIND('112'!$M$9,G4144,1)),"",IF((AND(FIND('112'!$M$9,G4144,1)&gt;=1,B4144='112'!$K$9,OR($N4144='112'!$I$6,$O4144='112'!$I$6))),"x",""))</f>
        <v/>
      </c>
      <c r="U4144" s="79" t="str">
        <f>IF(ISERROR(FIND('112'!$M$9,G4144,1)),"",IF((AND(LEFT(G4144,2)=LEFT('112'!$M$9,2),B4144&lt;'112'!$K$9,$N4144='112'!$I$6)),"x",""))</f>
        <v/>
      </c>
      <c r="V4144" s="79" t="str">
        <f>IF(ISERROR(FIND('112'!$M$9,G4144,1)),"",IF((AND(RIGHT(G4144,2)=RIGHT('112'!$M$9,2),B4144&lt;'112'!$K$9,$O4144='112'!$I$6)),"x",""))</f>
        <v/>
      </c>
      <c r="W4144" s="79" t="str">
        <f>IF(AND('341-CT'!$H$9=H4144,OR(LEFT(N4144,3)=$W$7,LEFT(O4144,3)=$W$7)),"x","")</f>
        <v/>
      </c>
      <c r="X4144" s="79" t="str">
        <f>IF(OR(TH!N4144=TH!$X$7,O4144=TH!$X$7),"x","")</f>
        <v/>
      </c>
      <c r="Y4144" s="79" t="str">
        <f>IF(AND(OR(N4144="131",O4144="131"),H4144='131-CT'!$H$9),"x","")</f>
        <v/>
      </c>
      <c r="Z4144" s="79"/>
      <c r="AA4144" s="79" t="str">
        <f>IF(AND(MONTH(E4144)='IN-NX'!$J$5,'IN-NX'!$D$7=D4144),"x","")</f>
        <v/>
      </c>
      <c r="AB4144" s="79" t="str">
        <f>IF(AND(OR(LEFT(TH!N4144,2)="15",LEFT(TH!O4144,2)="15"),LEFT(TH!O4144,3)&lt;&gt;"111",'152-CT'!$J$8=TH!F4144),"x","")</f>
        <v/>
      </c>
      <c r="AC4144" s="79" t="str">
        <f>IF(AND(OR(LEFT(TH!N4144,2)="15",LEFT(TH!O4144,2)="15"),TK!$E$7=TH!F4144),"x","")</f>
        <v/>
      </c>
      <c r="AD4144" s="79" t="str">
        <f>IF(AND(N4144="1521",MONTH(C4144)='BK-NL'!$M$11),"x","")</f>
        <v/>
      </c>
    </row>
    <row r="4145" spans="1:30" ht="16.5" customHeight="1">
      <c r="A4145" s="318" t="str">
        <f>IF(B4145&lt;&gt;"",IF(AND(B4145='[3]IN-TC'!$S$4,OR([3]TH!N3378="1111",[3]TH!O3378="1111")),[3]TH!D3378,""),"")</f>
        <v/>
      </c>
      <c r="B4145" s="60" t="str">
        <f t="shared" si="432"/>
        <v/>
      </c>
      <c r="C4145" s="974"/>
      <c r="D4145" s="974"/>
      <c r="E4145" s="974"/>
      <c r="F4145" s="76"/>
      <c r="G4145" s="975"/>
      <c r="H4145" s="305"/>
      <c r="I4145" s="1247"/>
      <c r="J4145" s="391"/>
      <c r="K4145" s="1247"/>
      <c r="L4145" s="1248"/>
      <c r="M4145" s="978"/>
      <c r="N4145" s="979"/>
      <c r="O4145" s="979"/>
      <c r="P4145" s="79" t="str">
        <f>IF(AND('331-CT'!$E$7=TH!H4145,OR(N4145="331",O4145="331")),"x","")</f>
        <v/>
      </c>
      <c r="Q4145" s="79" t="str">
        <f>IF(AND(B4145='111'!$L$11,OR($N4145=$Q$7,$O4145=$Q$7)),"x","")</f>
        <v/>
      </c>
      <c r="R4145" s="79" t="str">
        <f>IF(AND($N4145=$Q$7,$B4145&lt;'111'!$L$11),"x","")</f>
        <v/>
      </c>
      <c r="S4145" s="79" t="str">
        <f>IF(AND($O4145=$Q$7,$B4145&lt;'111'!$L$11),"x","")</f>
        <v/>
      </c>
      <c r="T4145" s="79" t="str">
        <f>IF(ISERROR(FIND('112'!$M$9,G4145,1)),"",IF((AND(FIND('112'!$M$9,G4145,1)&gt;=1,B4145='112'!$K$9,OR($N4145='112'!$I$6,$O4145='112'!$I$6))),"x",""))</f>
        <v/>
      </c>
      <c r="U4145" s="79" t="str">
        <f>IF(ISERROR(FIND('112'!$M$9,G4145,1)),"",IF((AND(LEFT(G4145,2)=LEFT('112'!$M$9,2),B4145&lt;'112'!$K$9,$N4145='112'!$I$6)),"x",""))</f>
        <v/>
      </c>
      <c r="V4145" s="79" t="str">
        <f>IF(ISERROR(FIND('112'!$M$9,G4145,1)),"",IF((AND(RIGHT(G4145,2)=RIGHT('112'!$M$9,2),B4145&lt;'112'!$K$9,$O4145='112'!$I$6)),"x",""))</f>
        <v/>
      </c>
      <c r="W4145" s="79" t="str">
        <f>IF(AND('341-CT'!$H$9=H4145,OR(LEFT(N4145,3)=$W$7,LEFT(O4145,3)=$W$7)),"x","")</f>
        <v/>
      </c>
      <c r="X4145" s="79" t="str">
        <f>IF(OR(TH!N4145=TH!$X$7,O4145=TH!$X$7),"x","")</f>
        <v/>
      </c>
      <c r="Y4145" s="79" t="str">
        <f>IF(AND(OR(N4145="131",O4145="131"),H4145='131-CT'!$H$9),"x","")</f>
        <v/>
      </c>
      <c r="Z4145" s="79"/>
      <c r="AA4145" s="79" t="str">
        <f>IF(AND(MONTH(E4145)='IN-NX'!$J$5,'IN-NX'!$D$7=D4145),"x","")</f>
        <v/>
      </c>
      <c r="AB4145" s="79" t="str">
        <f>IF(AND(OR(LEFT(TH!N4145,2)="15",LEFT(TH!O4145,2)="15"),LEFT(TH!O4145,3)&lt;&gt;"111",'152-CT'!$J$8=TH!F4145),"x","")</f>
        <v/>
      </c>
      <c r="AC4145" s="79" t="str">
        <f>IF(AND(OR(LEFT(TH!N4145,2)="15",LEFT(TH!O4145,2)="15"),TK!$E$7=TH!F4145),"x","")</f>
        <v/>
      </c>
      <c r="AD4145" s="79" t="str">
        <f>IF(AND(N4145="1521",MONTH(C4145)='BK-NL'!$M$11),"x","")</f>
        <v/>
      </c>
    </row>
    <row r="4146" spans="1:30" ht="16.5" customHeight="1">
      <c r="A4146" s="318" t="str">
        <f>IF(B4146&lt;&gt;"",IF(AND(B4146='[3]IN-TC'!$S$4,OR([3]TH!N3379="1111",[3]TH!O3379="1111")),[3]TH!D3379,""),"")</f>
        <v/>
      </c>
      <c r="B4146" s="60" t="str">
        <f t="shared" si="432"/>
        <v/>
      </c>
      <c r="C4146" s="974"/>
      <c r="D4146" s="974"/>
      <c r="E4146" s="974"/>
      <c r="F4146" s="975"/>
      <c r="G4146" s="975"/>
      <c r="H4146" s="1276"/>
      <c r="I4146" s="383"/>
      <c r="J4146" s="391"/>
      <c r="K4146" s="383"/>
      <c r="L4146" s="1248"/>
      <c r="M4146" s="978"/>
      <c r="N4146" s="979"/>
      <c r="O4146" s="979"/>
      <c r="P4146" s="79" t="str">
        <f>IF(AND('331-CT'!$E$7=TH!H4146,OR(N4146="331",O4146="331")),"x","")</f>
        <v/>
      </c>
      <c r="Q4146" s="79" t="str">
        <f>IF(AND(B4146='111'!$L$11,OR($N4146=$Q$7,$O4146=$Q$7)),"x","")</f>
        <v/>
      </c>
      <c r="R4146" s="79" t="str">
        <f>IF(AND($N4146=$Q$7,$B4146&lt;'111'!$L$11),"x","")</f>
        <v/>
      </c>
      <c r="S4146" s="79" t="str">
        <f>IF(AND($O4146=$Q$7,$B4146&lt;'111'!$L$11),"x","")</f>
        <v/>
      </c>
      <c r="T4146" s="79" t="str">
        <f>IF(ISERROR(FIND('112'!$M$9,G4146,1)),"",IF((AND(FIND('112'!$M$9,G4146,1)&gt;=1,B4146='112'!$K$9,OR($N4146='112'!$I$6,$O4146='112'!$I$6))),"x",""))</f>
        <v/>
      </c>
      <c r="U4146" s="79" t="str">
        <f>IF(ISERROR(FIND('112'!$M$9,G4146,1)),"",IF((AND(LEFT(G4146,2)=LEFT('112'!$M$9,2),B4146&lt;'112'!$K$9,$N4146='112'!$I$6)),"x",""))</f>
        <v/>
      </c>
      <c r="V4146" s="79" t="str">
        <f>IF(ISERROR(FIND('112'!$M$9,G4146,1)),"",IF((AND(RIGHT(G4146,2)=RIGHT('112'!$M$9,2),B4146&lt;'112'!$K$9,$O4146='112'!$I$6)),"x",""))</f>
        <v/>
      </c>
      <c r="W4146" s="79" t="str">
        <f>IF(AND('341-CT'!$H$9=H4146,OR(LEFT(N4146,3)=$W$7,LEFT(O4146,3)=$W$7)),"x","")</f>
        <v/>
      </c>
      <c r="X4146" s="79" t="str">
        <f>IF(OR(TH!N4146=TH!$X$7,O4146=TH!$X$7),"x","")</f>
        <v/>
      </c>
      <c r="Y4146" s="79" t="str">
        <f>IF(AND(OR(N4146="131",O4146="131"),H4146='131-CT'!$H$9),"x","")</f>
        <v/>
      </c>
      <c r="Z4146" s="79"/>
      <c r="AA4146" s="79" t="str">
        <f>IF(AND(MONTH(E4146)='IN-NX'!$J$5,'IN-NX'!$D$7=D4146),"x","")</f>
        <v/>
      </c>
      <c r="AB4146" s="79" t="str">
        <f>IF(AND(OR(LEFT(TH!N4146,2)="15",LEFT(TH!O4146,2)="15"),LEFT(TH!O4146,3)&lt;&gt;"111",'152-CT'!$J$8=TH!F4146),"x","")</f>
        <v/>
      </c>
      <c r="AC4146" s="79" t="str">
        <f>IF(AND(OR(LEFT(TH!N4146,2)="15",LEFT(TH!O4146,2)="15"),TK!$E$7=TH!F4146),"x","")</f>
        <v/>
      </c>
      <c r="AD4146" s="79" t="str">
        <f>IF(AND(N4146="1521",MONTH(C4146)='BK-NL'!$M$11),"x","")</f>
        <v/>
      </c>
    </row>
    <row r="4147" spans="1:30" ht="16.5" customHeight="1">
      <c r="A4147" s="318" t="str">
        <f>IF(B4147&lt;&gt;"",IF(AND(B4147='[3]IN-TC'!$S$4,OR([3]TH!N3380="1111",[3]TH!O3380="1111")),[3]TH!D3380,""),"")</f>
        <v/>
      </c>
      <c r="B4147" s="60" t="str">
        <f t="shared" si="432"/>
        <v/>
      </c>
      <c r="C4147" s="974"/>
      <c r="D4147" s="974"/>
      <c r="E4147" s="974"/>
      <c r="F4147" s="76"/>
      <c r="G4147" s="975"/>
      <c r="H4147" s="1276"/>
      <c r="I4147" s="383"/>
      <c r="J4147" s="391"/>
      <c r="K4147" s="383"/>
      <c r="L4147" s="1248"/>
      <c r="M4147" s="978"/>
      <c r="N4147" s="979"/>
      <c r="O4147" s="979"/>
      <c r="P4147" s="79" t="str">
        <f>IF(AND('331-CT'!$E$7=TH!H4147,OR(N4147="331",O4147="331")),"x","")</f>
        <v/>
      </c>
      <c r="Q4147" s="79" t="str">
        <f>IF(AND(B4147='111'!$L$11,OR($N4147=$Q$7,$O4147=$Q$7)),"x","")</f>
        <v/>
      </c>
      <c r="R4147" s="79" t="str">
        <f>IF(AND($N4147=$Q$7,$B4147&lt;'111'!$L$11),"x","")</f>
        <v/>
      </c>
      <c r="S4147" s="79" t="str">
        <f>IF(AND($O4147=$Q$7,$B4147&lt;'111'!$L$11),"x","")</f>
        <v/>
      </c>
      <c r="T4147" s="79" t="str">
        <f>IF(ISERROR(FIND('112'!$M$9,G4147,1)),"",IF((AND(FIND('112'!$M$9,G4147,1)&gt;=1,B4147='112'!$K$9,OR($N4147='112'!$I$6,$O4147='112'!$I$6))),"x",""))</f>
        <v/>
      </c>
      <c r="U4147" s="79" t="str">
        <f>IF(ISERROR(FIND('112'!$M$9,G4147,1)),"",IF((AND(LEFT(G4147,2)=LEFT('112'!$M$9,2),B4147&lt;'112'!$K$9,$N4147='112'!$I$6)),"x",""))</f>
        <v/>
      </c>
      <c r="V4147" s="79" t="str">
        <f>IF(ISERROR(FIND('112'!$M$9,G4147,1)),"",IF((AND(RIGHT(G4147,2)=RIGHT('112'!$M$9,2),B4147&lt;'112'!$K$9,$O4147='112'!$I$6)),"x",""))</f>
        <v/>
      </c>
      <c r="W4147" s="79" t="str">
        <f>IF(AND('341-CT'!$H$9=H4147,OR(LEFT(N4147,3)=$W$7,LEFT(O4147,3)=$W$7)),"x","")</f>
        <v/>
      </c>
      <c r="X4147" s="79" t="str">
        <f>IF(OR(TH!N4147=TH!$X$7,O4147=TH!$X$7),"x","")</f>
        <v/>
      </c>
      <c r="Y4147" s="79" t="str">
        <f>IF(AND(OR(N4147="131",O4147="131"),H4147='131-CT'!$H$9),"x","")</f>
        <v/>
      </c>
      <c r="Z4147" s="79"/>
      <c r="AA4147" s="79" t="str">
        <f>IF(AND(MONTH(E4147)='IN-NX'!$J$5,'IN-NX'!$D$7=D4147),"x","")</f>
        <v/>
      </c>
      <c r="AB4147" s="79" t="str">
        <f>IF(AND(OR(LEFT(TH!N4147,2)="15",LEFT(TH!O4147,2)="15"),LEFT(TH!O4147,3)&lt;&gt;"111",'152-CT'!$J$8=TH!F4147),"x","")</f>
        <v/>
      </c>
      <c r="AC4147" s="79" t="str">
        <f>IF(AND(OR(LEFT(TH!N4147,2)="15",LEFT(TH!O4147,2)="15"),TK!$E$7=TH!F4147),"x","")</f>
        <v/>
      </c>
      <c r="AD4147" s="79" t="str">
        <f>IF(AND(N4147="1521",MONTH(C4147)='BK-NL'!$M$11),"x","")</f>
        <v/>
      </c>
    </row>
    <row r="4148" spans="1:30" ht="16.5" customHeight="1">
      <c r="A4148" s="318" t="str">
        <f>IF(B4148&lt;&gt;"",IF(AND(B4148='[3]IN-TC'!$S$4,OR([3]TH!N3381="1111",[3]TH!O3381="1111")),[3]TH!D3381,""),"")</f>
        <v/>
      </c>
      <c r="B4148" s="60" t="str">
        <f t="shared" si="432"/>
        <v/>
      </c>
      <c r="C4148" s="974"/>
      <c r="D4148" s="974"/>
      <c r="E4148" s="974"/>
      <c r="F4148" s="975"/>
      <c r="G4148" s="975"/>
      <c r="H4148" s="1276"/>
      <c r="I4148" s="383"/>
      <c r="J4148" s="391"/>
      <c r="K4148" s="383"/>
      <c r="L4148" s="1248"/>
      <c r="M4148" s="78"/>
      <c r="N4148" s="979"/>
      <c r="O4148" s="979"/>
      <c r="P4148" s="79" t="str">
        <f>IF(AND('331-CT'!$E$7=TH!H4148,OR(N4148="331",O4148="331")),"x","")</f>
        <v/>
      </c>
      <c r="Q4148" s="79" t="str">
        <f>IF(AND(B4148='111'!$L$11,OR($N4148=$Q$7,$O4148=$Q$7)),"x","")</f>
        <v/>
      </c>
      <c r="R4148" s="79" t="str">
        <f>IF(AND($N4148=$Q$7,$B4148&lt;'111'!$L$11),"x","")</f>
        <v/>
      </c>
      <c r="S4148" s="79" t="str">
        <f>IF(AND($O4148=$Q$7,$B4148&lt;'111'!$L$11),"x","")</f>
        <v/>
      </c>
      <c r="T4148" s="79" t="str">
        <f>IF(ISERROR(FIND('112'!$M$9,G4148,1)),"",IF((AND(FIND('112'!$M$9,G4148,1)&gt;=1,B4148='112'!$K$9,OR($N4148='112'!$I$6,$O4148='112'!$I$6))),"x",""))</f>
        <v/>
      </c>
      <c r="U4148" s="79" t="str">
        <f>IF(ISERROR(FIND('112'!$M$9,G4148,1)),"",IF((AND(LEFT(G4148,2)=LEFT('112'!$M$9,2),B4148&lt;'112'!$K$9,$N4148='112'!$I$6)),"x",""))</f>
        <v/>
      </c>
      <c r="V4148" s="79" t="str">
        <f>IF(ISERROR(FIND('112'!$M$9,G4148,1)),"",IF((AND(RIGHT(G4148,2)=RIGHT('112'!$M$9,2),B4148&lt;'112'!$K$9,$O4148='112'!$I$6)),"x",""))</f>
        <v/>
      </c>
      <c r="W4148" s="79" t="str">
        <f>IF(AND('341-CT'!$H$9=H4148,OR(LEFT(N4148,3)=$W$7,LEFT(O4148,3)=$W$7)),"x","")</f>
        <v/>
      </c>
      <c r="X4148" s="79" t="str">
        <f>IF(OR(TH!N4148=TH!$X$7,O4148=TH!$X$7),"x","")</f>
        <v/>
      </c>
      <c r="Y4148" s="79" t="str">
        <f>IF(AND(OR(N4148="131",O4148="131"),H4148='131-CT'!$H$9),"x","")</f>
        <v/>
      </c>
      <c r="Z4148" s="79"/>
      <c r="AA4148" s="79" t="str">
        <f>IF(AND(MONTH(E4148)='IN-NX'!$J$5,'IN-NX'!$D$7=D4148),"x","")</f>
        <v/>
      </c>
      <c r="AB4148" s="79" t="str">
        <f>IF(AND(OR(LEFT(TH!N4148,2)="15",LEFT(TH!O4148,2)="15"),LEFT(TH!O4148,3)&lt;&gt;"111",'152-CT'!$J$8=TH!F4148),"x","")</f>
        <v/>
      </c>
      <c r="AC4148" s="79" t="str">
        <f>IF(AND(OR(LEFT(TH!N4148,2)="15",LEFT(TH!O4148,2)="15"),TK!$E$7=TH!F4148),"x","")</f>
        <v/>
      </c>
      <c r="AD4148" s="79" t="str">
        <f>IF(AND(N4148="1521",MONTH(C4148)='BK-NL'!$M$11),"x","")</f>
        <v/>
      </c>
    </row>
    <row r="4149" spans="1:30" ht="16.5" customHeight="1">
      <c r="A4149" s="318" t="str">
        <f>IF(B4149&lt;&gt;"",IF(AND(B4149='[3]IN-TC'!$S$4,OR([3]TH!N3382="1111",[3]TH!O3382="1111")),[3]TH!D3382,""),"")</f>
        <v/>
      </c>
      <c r="B4149" s="60" t="str">
        <f t="shared" si="432"/>
        <v/>
      </c>
      <c r="C4149" s="974"/>
      <c r="D4149" s="974"/>
      <c r="E4149" s="974"/>
      <c r="F4149" s="975"/>
      <c r="G4149" s="975"/>
      <c r="H4149" s="1276"/>
      <c r="I4149" s="383"/>
      <c r="J4149" s="391"/>
      <c r="K4149" s="383"/>
      <c r="L4149" s="1248"/>
      <c r="M4149" s="978"/>
      <c r="N4149" s="979"/>
      <c r="O4149" s="979"/>
      <c r="P4149" s="79" t="str">
        <f>IF(AND('331-CT'!$E$7=TH!H4149,OR(N4149="331",O4149="331")),"x","")</f>
        <v/>
      </c>
      <c r="Q4149" s="79" t="str">
        <f>IF(AND(B4149='111'!$L$11,OR($N4149=$Q$7,$O4149=$Q$7)),"x","")</f>
        <v/>
      </c>
      <c r="R4149" s="79" t="str">
        <f>IF(AND($N4149=$Q$7,$B4149&lt;'111'!$L$11),"x","")</f>
        <v/>
      </c>
      <c r="S4149" s="79" t="str">
        <f>IF(AND($O4149=$Q$7,$B4149&lt;'111'!$L$11),"x","")</f>
        <v/>
      </c>
      <c r="T4149" s="79" t="str">
        <f>IF(ISERROR(FIND('112'!$M$9,G4149,1)),"",IF((AND(FIND('112'!$M$9,G4149,1)&gt;=1,B4149='112'!$K$9,OR($N4149='112'!$I$6,$O4149='112'!$I$6))),"x",""))</f>
        <v/>
      </c>
      <c r="U4149" s="79" t="str">
        <f>IF(ISERROR(FIND('112'!$M$9,G4149,1)),"",IF((AND(LEFT(G4149,2)=LEFT('112'!$M$9,2),B4149&lt;'112'!$K$9,$N4149='112'!$I$6)),"x",""))</f>
        <v/>
      </c>
      <c r="V4149" s="79" t="str">
        <f>IF(ISERROR(FIND('112'!$M$9,G4149,1)),"",IF((AND(RIGHT(G4149,2)=RIGHT('112'!$M$9,2),B4149&lt;'112'!$K$9,$O4149='112'!$I$6)),"x",""))</f>
        <v/>
      </c>
      <c r="W4149" s="79" t="str">
        <f>IF(AND('341-CT'!$H$9=H4149,OR(LEFT(N4149,3)=$W$7,LEFT(O4149,3)=$W$7)),"x","")</f>
        <v/>
      </c>
      <c r="X4149" s="79" t="str">
        <f>IF(OR(TH!N4149=TH!$X$7,O4149=TH!$X$7),"x","")</f>
        <v/>
      </c>
      <c r="Y4149" s="79" t="str">
        <f>IF(AND(OR(N4149="131",O4149="131"),H4149='131-CT'!$H$9),"x","")</f>
        <v/>
      </c>
      <c r="Z4149" s="79"/>
      <c r="AA4149" s="79" t="str">
        <f>IF(AND(MONTH(E4149)='IN-NX'!$J$5,'IN-NX'!$D$7=D4149),"x","")</f>
        <v/>
      </c>
      <c r="AB4149" s="79" t="str">
        <f>IF(AND(OR(LEFT(TH!N4149,2)="15",LEFT(TH!O4149,2)="15"),LEFT(TH!O4149,3)&lt;&gt;"111",'152-CT'!$J$8=TH!F4149),"x","")</f>
        <v/>
      </c>
      <c r="AC4149" s="79" t="str">
        <f>IF(AND(OR(LEFT(TH!N4149,2)="15",LEFT(TH!O4149,2)="15"),TK!$E$7=TH!F4149),"x","")</f>
        <v/>
      </c>
      <c r="AD4149" s="79" t="str">
        <f>IF(AND(N4149="1521",MONTH(C4149)='BK-NL'!$M$11),"x","")</f>
        <v/>
      </c>
    </row>
    <row r="4150" spans="1:30" ht="16.5" customHeight="1">
      <c r="A4150" s="318" t="str">
        <f>IF(B4150&lt;&gt;"",IF(AND(B4150='[3]IN-TC'!$S$4,OR([3]TH!N3383="1111",[3]TH!O3383="1111")),[3]TH!D3383,""),"")</f>
        <v/>
      </c>
      <c r="B4150" s="60" t="str">
        <f t="shared" si="432"/>
        <v/>
      </c>
      <c r="C4150" s="974"/>
      <c r="D4150" s="974"/>
      <c r="E4150" s="974"/>
      <c r="F4150" s="76"/>
      <c r="G4150" s="975"/>
      <c r="H4150" s="1276"/>
      <c r="I4150" s="383"/>
      <c r="J4150" s="391"/>
      <c r="K4150" s="383"/>
      <c r="L4150" s="1248"/>
      <c r="M4150" s="978"/>
      <c r="N4150" s="979"/>
      <c r="O4150" s="979"/>
      <c r="P4150" s="79" t="str">
        <f>IF(AND('331-CT'!$E$7=TH!H4150,OR(N4150="331",O4150="331")),"x","")</f>
        <v/>
      </c>
      <c r="Q4150" s="79" t="str">
        <f>IF(AND(B4150='111'!$L$11,OR($N4150=$Q$7,$O4150=$Q$7)),"x","")</f>
        <v/>
      </c>
      <c r="R4150" s="79" t="str">
        <f>IF(AND($N4150=$Q$7,$B4150&lt;'111'!$L$11),"x","")</f>
        <v/>
      </c>
      <c r="S4150" s="79" t="str">
        <f>IF(AND($O4150=$Q$7,$B4150&lt;'111'!$L$11),"x","")</f>
        <v/>
      </c>
      <c r="T4150" s="79" t="str">
        <f>IF(ISERROR(FIND('112'!$M$9,G4150,1)),"",IF((AND(FIND('112'!$M$9,G4150,1)&gt;=1,B4150='112'!$K$9,OR($N4150='112'!$I$6,$O4150='112'!$I$6))),"x",""))</f>
        <v/>
      </c>
      <c r="U4150" s="79" t="str">
        <f>IF(ISERROR(FIND('112'!$M$9,G4150,1)),"",IF((AND(LEFT(G4150,2)=LEFT('112'!$M$9,2),B4150&lt;'112'!$K$9,$N4150='112'!$I$6)),"x",""))</f>
        <v/>
      </c>
      <c r="V4150" s="79" t="str">
        <f>IF(ISERROR(FIND('112'!$M$9,G4150,1)),"",IF((AND(RIGHT(G4150,2)=RIGHT('112'!$M$9,2),B4150&lt;'112'!$K$9,$O4150='112'!$I$6)),"x",""))</f>
        <v/>
      </c>
      <c r="W4150" s="79" t="str">
        <f>IF(AND('341-CT'!$H$9=H4150,OR(LEFT(N4150,3)=$W$7,LEFT(O4150,3)=$W$7)),"x","")</f>
        <v/>
      </c>
      <c r="X4150" s="79" t="str">
        <f>IF(OR(TH!N4150=TH!$X$7,O4150=TH!$X$7),"x","")</f>
        <v/>
      </c>
      <c r="Y4150" s="79" t="str">
        <f>IF(AND(OR(N4150="131",O4150="131"),H4150='131-CT'!$H$9),"x","")</f>
        <v/>
      </c>
      <c r="Z4150" s="79"/>
      <c r="AA4150" s="79" t="str">
        <f>IF(AND(MONTH(E4150)='IN-NX'!$J$5,'IN-NX'!$D$7=D4150),"x","")</f>
        <v/>
      </c>
      <c r="AB4150" s="79" t="str">
        <f>IF(AND(OR(LEFT(TH!N4150,2)="15",LEFT(TH!O4150,2)="15"),LEFT(TH!O4150,3)&lt;&gt;"111",'152-CT'!$J$8=TH!F4150),"x","")</f>
        <v/>
      </c>
      <c r="AC4150" s="79" t="str">
        <f>IF(AND(OR(LEFT(TH!N4150,2)="15",LEFT(TH!O4150,2)="15"),TK!$E$7=TH!F4150),"x","")</f>
        <v/>
      </c>
      <c r="AD4150" s="79" t="str">
        <f>IF(AND(N4150="1521",MONTH(C4150)='BK-NL'!$M$11),"x","")</f>
        <v/>
      </c>
    </row>
    <row r="4151" spans="1:30" ht="16.5" customHeight="1">
      <c r="A4151" s="318" t="str">
        <f>IF(B4151&lt;&gt;"",IF(AND(B4151='[3]IN-TC'!$S$4,OR([3]TH!N3384="1111",[3]TH!O3384="1111")),[3]TH!D3384,""),"")</f>
        <v/>
      </c>
      <c r="B4151" s="60" t="str">
        <f t="shared" si="432"/>
        <v/>
      </c>
      <c r="C4151" s="974"/>
      <c r="D4151" s="974"/>
      <c r="E4151" s="974"/>
      <c r="F4151" s="975"/>
      <c r="G4151" s="975"/>
      <c r="H4151" s="1276"/>
      <c r="I4151" s="383"/>
      <c r="J4151" s="391"/>
      <c r="K4151" s="383"/>
      <c r="L4151" s="1248"/>
      <c r="M4151" s="78"/>
      <c r="N4151" s="979"/>
      <c r="O4151" s="979"/>
      <c r="P4151" s="79" t="str">
        <f>IF(AND('331-CT'!$E$7=TH!H4151,OR(N4151="331",O4151="331")),"x","")</f>
        <v/>
      </c>
      <c r="Q4151" s="79" t="str">
        <f>IF(AND(B4151='111'!$L$11,OR($N4151=$Q$7,$O4151=$Q$7)),"x","")</f>
        <v/>
      </c>
      <c r="R4151" s="79" t="str">
        <f>IF(AND($N4151=$Q$7,$B4151&lt;'111'!$L$11),"x","")</f>
        <v/>
      </c>
      <c r="S4151" s="79" t="str">
        <f>IF(AND($O4151=$Q$7,$B4151&lt;'111'!$L$11),"x","")</f>
        <v/>
      </c>
      <c r="T4151" s="79" t="str">
        <f>IF(ISERROR(FIND('112'!$M$9,G4151,1)),"",IF((AND(FIND('112'!$M$9,G4151,1)&gt;=1,B4151='112'!$K$9,OR($N4151='112'!$I$6,$O4151='112'!$I$6))),"x",""))</f>
        <v/>
      </c>
      <c r="U4151" s="79" t="str">
        <f>IF(ISERROR(FIND('112'!$M$9,G4151,1)),"",IF((AND(LEFT(G4151,2)=LEFT('112'!$M$9,2),B4151&lt;'112'!$K$9,$N4151='112'!$I$6)),"x",""))</f>
        <v/>
      </c>
      <c r="V4151" s="79" t="str">
        <f>IF(ISERROR(FIND('112'!$M$9,G4151,1)),"",IF((AND(RIGHT(G4151,2)=RIGHT('112'!$M$9,2),B4151&lt;'112'!$K$9,$O4151='112'!$I$6)),"x",""))</f>
        <v/>
      </c>
      <c r="W4151" s="79" t="str">
        <f>IF(AND('341-CT'!$H$9=H4151,OR(LEFT(N4151,3)=$W$7,LEFT(O4151,3)=$W$7)),"x","")</f>
        <v/>
      </c>
      <c r="X4151" s="79" t="str">
        <f>IF(OR(TH!N4151=TH!$X$7,O4151=TH!$X$7),"x","")</f>
        <v/>
      </c>
      <c r="Y4151" s="79" t="str">
        <f>IF(AND(OR(N4151="131",O4151="131"),H4151='131-CT'!$H$9),"x","")</f>
        <v/>
      </c>
      <c r="Z4151" s="79"/>
      <c r="AA4151" s="79" t="str">
        <f>IF(AND(MONTH(E4151)='IN-NX'!$J$5,'IN-NX'!$D$7=D4151),"x","")</f>
        <v/>
      </c>
      <c r="AB4151" s="79" t="str">
        <f>IF(AND(OR(LEFT(TH!N4151,2)="15",LEFT(TH!O4151,2)="15"),LEFT(TH!O4151,3)&lt;&gt;"111",'152-CT'!$J$8=TH!F4151),"x","")</f>
        <v/>
      </c>
      <c r="AC4151" s="79" t="str">
        <f>IF(AND(OR(LEFT(TH!N4151,2)="15",LEFT(TH!O4151,2)="15"),TK!$E$7=TH!F4151),"x","")</f>
        <v/>
      </c>
      <c r="AD4151" s="79" t="str">
        <f>IF(AND(N4151="1521",MONTH(C4151)='BK-NL'!$M$11),"x","")</f>
        <v/>
      </c>
    </row>
    <row r="4152" spans="1:30" ht="16.5" customHeight="1">
      <c r="A4152" s="318" t="str">
        <f>IF(B4152&lt;&gt;"",IF(AND(B4152='[3]IN-TC'!$S$4,OR([3]TH!N3385="1111",[3]TH!O3385="1111")),[3]TH!D3385,""),"")</f>
        <v/>
      </c>
      <c r="B4152" s="60" t="str">
        <f t="shared" si="432"/>
        <v/>
      </c>
      <c r="C4152" s="974"/>
      <c r="D4152" s="974"/>
      <c r="E4152" s="974"/>
      <c r="F4152" s="975"/>
      <c r="G4152" s="975"/>
      <c r="H4152" s="1276"/>
      <c r="I4152" s="383"/>
      <c r="J4152" s="391"/>
      <c r="K4152" s="383"/>
      <c r="L4152" s="1248"/>
      <c r="M4152" s="978"/>
      <c r="N4152" s="979"/>
      <c r="O4152" s="979"/>
      <c r="P4152" s="79" t="str">
        <f>IF(AND('331-CT'!$E$7=TH!H4152,OR(N4152="331",O4152="331")),"x","")</f>
        <v/>
      </c>
      <c r="Q4152" s="79" t="str">
        <f>IF(AND(B4152='111'!$L$11,OR($N4152=$Q$7,$O4152=$Q$7)),"x","")</f>
        <v/>
      </c>
      <c r="R4152" s="79" t="str">
        <f>IF(AND($N4152=$Q$7,$B4152&lt;'111'!$L$11),"x","")</f>
        <v/>
      </c>
      <c r="S4152" s="79" t="str">
        <f>IF(AND($O4152=$Q$7,$B4152&lt;'111'!$L$11),"x","")</f>
        <v/>
      </c>
      <c r="T4152" s="79" t="str">
        <f>IF(ISERROR(FIND('112'!$M$9,G4152,1)),"",IF((AND(FIND('112'!$M$9,G4152,1)&gt;=1,B4152='112'!$K$9,OR($N4152='112'!$I$6,$O4152='112'!$I$6))),"x",""))</f>
        <v/>
      </c>
      <c r="U4152" s="79" t="str">
        <f>IF(ISERROR(FIND('112'!$M$9,G4152,1)),"",IF((AND(LEFT(G4152,2)=LEFT('112'!$M$9,2),B4152&lt;'112'!$K$9,$N4152='112'!$I$6)),"x",""))</f>
        <v/>
      </c>
      <c r="V4152" s="79" t="str">
        <f>IF(ISERROR(FIND('112'!$M$9,G4152,1)),"",IF((AND(RIGHT(G4152,2)=RIGHT('112'!$M$9,2),B4152&lt;'112'!$K$9,$O4152='112'!$I$6)),"x",""))</f>
        <v/>
      </c>
      <c r="W4152" s="79" t="str">
        <f>IF(AND('341-CT'!$H$9=H4152,OR(LEFT(N4152,3)=$W$7,LEFT(O4152,3)=$W$7)),"x","")</f>
        <v/>
      </c>
      <c r="X4152" s="79" t="str">
        <f>IF(OR(TH!N4152=TH!$X$7,O4152=TH!$X$7),"x","")</f>
        <v/>
      </c>
      <c r="Y4152" s="79" t="str">
        <f>IF(AND(OR(N4152="131",O4152="131"),H4152='131-CT'!$H$9),"x","")</f>
        <v/>
      </c>
      <c r="Z4152" s="79"/>
      <c r="AA4152" s="79" t="str">
        <f>IF(AND(MONTH(E4152)='IN-NX'!$J$5,'IN-NX'!$D$7=D4152),"x","")</f>
        <v/>
      </c>
      <c r="AB4152" s="79" t="str">
        <f>IF(AND(OR(LEFT(TH!N4152,2)="15",LEFT(TH!O4152,2)="15"),LEFT(TH!O4152,3)&lt;&gt;"111",'152-CT'!$J$8=TH!F4152),"x","")</f>
        <v/>
      </c>
      <c r="AC4152" s="79" t="str">
        <f>IF(AND(OR(LEFT(TH!N4152,2)="15",LEFT(TH!O4152,2)="15"),TK!$E$7=TH!F4152),"x","")</f>
        <v/>
      </c>
      <c r="AD4152" s="79" t="str">
        <f>IF(AND(N4152="1521",MONTH(C4152)='BK-NL'!$M$11),"x","")</f>
        <v/>
      </c>
    </row>
    <row r="4153" spans="1:30" ht="16.5" customHeight="1">
      <c r="A4153" s="318" t="str">
        <f>IF(B4153&lt;&gt;"",IF(AND(B4153='[3]IN-TC'!$S$4,OR([3]TH!N3386="1111",[3]TH!O3386="1111")),[3]TH!D3386,""),"")</f>
        <v/>
      </c>
      <c r="B4153" s="60" t="str">
        <f t="shared" si="432"/>
        <v/>
      </c>
      <c r="C4153" s="974"/>
      <c r="D4153" s="974"/>
      <c r="E4153" s="974"/>
      <c r="F4153" s="76"/>
      <c r="G4153" s="975"/>
      <c r="H4153" s="1276"/>
      <c r="I4153" s="383"/>
      <c r="J4153" s="391"/>
      <c r="K4153" s="383"/>
      <c r="L4153" s="1248"/>
      <c r="M4153" s="978"/>
      <c r="N4153" s="979"/>
      <c r="O4153" s="979"/>
      <c r="P4153" s="79" t="str">
        <f>IF(AND('331-CT'!$E$7=TH!H4153,OR(N4153="331",O4153="331")),"x","")</f>
        <v/>
      </c>
      <c r="Q4153" s="79" t="str">
        <f>IF(AND(B4153='111'!$L$11,OR($N4153=$Q$7,$O4153=$Q$7)),"x","")</f>
        <v/>
      </c>
      <c r="R4153" s="79" t="str">
        <f>IF(AND($N4153=$Q$7,$B4153&lt;'111'!$L$11),"x","")</f>
        <v/>
      </c>
      <c r="S4153" s="79" t="str">
        <f>IF(AND($O4153=$Q$7,$B4153&lt;'111'!$L$11),"x","")</f>
        <v/>
      </c>
      <c r="T4153" s="79" t="str">
        <f>IF(ISERROR(FIND('112'!$M$9,G4153,1)),"",IF((AND(FIND('112'!$M$9,G4153,1)&gt;=1,B4153='112'!$K$9,OR($N4153='112'!$I$6,$O4153='112'!$I$6))),"x",""))</f>
        <v/>
      </c>
      <c r="U4153" s="79" t="str">
        <f>IF(ISERROR(FIND('112'!$M$9,G4153,1)),"",IF((AND(LEFT(G4153,2)=LEFT('112'!$M$9,2),B4153&lt;'112'!$K$9,$N4153='112'!$I$6)),"x",""))</f>
        <v/>
      </c>
      <c r="V4153" s="79" t="str">
        <f>IF(ISERROR(FIND('112'!$M$9,G4153,1)),"",IF((AND(RIGHT(G4153,2)=RIGHT('112'!$M$9,2),B4153&lt;'112'!$K$9,$O4153='112'!$I$6)),"x",""))</f>
        <v/>
      </c>
      <c r="W4153" s="79" t="str">
        <f>IF(AND('341-CT'!$H$9=H4153,OR(LEFT(N4153,3)=$W$7,LEFT(O4153,3)=$W$7)),"x","")</f>
        <v/>
      </c>
      <c r="X4153" s="79" t="str">
        <f>IF(OR(TH!N4153=TH!$X$7,O4153=TH!$X$7),"x","")</f>
        <v/>
      </c>
      <c r="Y4153" s="79" t="str">
        <f>IF(AND(OR(N4153="131",O4153="131"),H4153='131-CT'!$H$9),"x","")</f>
        <v/>
      </c>
      <c r="Z4153" s="79"/>
      <c r="AA4153" s="79" t="str">
        <f>IF(AND(MONTH(E4153)='IN-NX'!$J$5,'IN-NX'!$D$7=D4153),"x","")</f>
        <v/>
      </c>
      <c r="AB4153" s="79" t="str">
        <f>IF(AND(OR(LEFT(TH!N4153,2)="15",LEFT(TH!O4153,2)="15"),LEFT(TH!O4153,3)&lt;&gt;"111",'152-CT'!$J$8=TH!F4153),"x","")</f>
        <v/>
      </c>
      <c r="AC4153" s="79" t="str">
        <f>IF(AND(OR(LEFT(TH!N4153,2)="15",LEFT(TH!O4153,2)="15"),TK!$E$7=TH!F4153),"x","")</f>
        <v/>
      </c>
      <c r="AD4153" s="79" t="str">
        <f>IF(AND(N4153="1521",MONTH(C4153)='BK-NL'!$M$11),"x","")</f>
        <v/>
      </c>
    </row>
    <row r="4154" spans="1:30" ht="16.5" customHeight="1">
      <c r="A4154" s="318" t="str">
        <f>IF(B4154&lt;&gt;"",IF(AND(B4154='[3]IN-TC'!$S$4,OR([3]TH!N3387="1111",[3]TH!O3387="1111")),[3]TH!D3387,""),"")</f>
        <v/>
      </c>
      <c r="B4154" s="60" t="str">
        <f t="shared" si="432"/>
        <v/>
      </c>
      <c r="C4154" s="974"/>
      <c r="D4154" s="974"/>
      <c r="E4154" s="974"/>
      <c r="F4154" s="975"/>
      <c r="G4154" s="975"/>
      <c r="H4154" s="1276"/>
      <c r="I4154" s="383"/>
      <c r="J4154" s="391"/>
      <c r="K4154" s="383"/>
      <c r="L4154" s="1248"/>
      <c r="M4154" s="978"/>
      <c r="N4154" s="979"/>
      <c r="O4154" s="979"/>
      <c r="P4154" s="79" t="str">
        <f>IF(AND('331-CT'!$E$7=TH!H4154,OR(N4154="331",O4154="331")),"x","")</f>
        <v/>
      </c>
      <c r="Q4154" s="79" t="str">
        <f>IF(AND(B4154='111'!$L$11,OR($N4154=$Q$7,$O4154=$Q$7)),"x","")</f>
        <v/>
      </c>
      <c r="R4154" s="79" t="str">
        <f>IF(AND($N4154=$Q$7,$B4154&lt;'111'!$L$11),"x","")</f>
        <v/>
      </c>
      <c r="S4154" s="79" t="str">
        <f>IF(AND($O4154=$Q$7,$B4154&lt;'111'!$L$11),"x","")</f>
        <v/>
      </c>
      <c r="T4154" s="79" t="str">
        <f>IF(ISERROR(FIND('112'!$M$9,G4154,1)),"",IF((AND(FIND('112'!$M$9,G4154,1)&gt;=1,B4154='112'!$K$9,OR($N4154='112'!$I$6,$O4154='112'!$I$6))),"x",""))</f>
        <v/>
      </c>
      <c r="U4154" s="79" t="str">
        <f>IF(ISERROR(FIND('112'!$M$9,G4154,1)),"",IF((AND(LEFT(G4154,2)=LEFT('112'!$M$9,2),B4154&lt;'112'!$K$9,$N4154='112'!$I$6)),"x",""))</f>
        <v/>
      </c>
      <c r="V4154" s="79" t="str">
        <f>IF(ISERROR(FIND('112'!$M$9,G4154,1)),"",IF((AND(RIGHT(G4154,2)=RIGHT('112'!$M$9,2),B4154&lt;'112'!$K$9,$O4154='112'!$I$6)),"x",""))</f>
        <v/>
      </c>
      <c r="W4154" s="79" t="str">
        <f>IF(AND('341-CT'!$H$9=H4154,OR(LEFT(N4154,3)=$W$7,LEFT(O4154,3)=$W$7)),"x","")</f>
        <v/>
      </c>
      <c r="X4154" s="79" t="str">
        <f>IF(OR(TH!N4154=TH!$X$7,O4154=TH!$X$7),"x","")</f>
        <v/>
      </c>
      <c r="Y4154" s="79" t="str">
        <f>IF(AND(OR(N4154="131",O4154="131"),H4154='131-CT'!$H$9),"x","")</f>
        <v/>
      </c>
      <c r="Z4154" s="79"/>
      <c r="AA4154" s="79" t="str">
        <f>IF(AND(MONTH(E4154)='IN-NX'!$J$5,'IN-NX'!$D$7=D4154),"x","")</f>
        <v/>
      </c>
      <c r="AB4154" s="79" t="str">
        <f>IF(AND(OR(LEFT(TH!N4154,2)="15",LEFT(TH!O4154,2)="15"),LEFT(TH!O4154,3)&lt;&gt;"111",'152-CT'!$J$8=TH!F4154),"x","")</f>
        <v/>
      </c>
      <c r="AC4154" s="79" t="str">
        <f>IF(AND(OR(LEFT(TH!N4154,2)="15",LEFT(TH!O4154,2)="15"),TK!$E$7=TH!F4154),"x","")</f>
        <v/>
      </c>
      <c r="AD4154" s="79" t="str">
        <f>IF(AND(N4154="1521",MONTH(C4154)='BK-NL'!$M$11),"x","")</f>
        <v/>
      </c>
    </row>
    <row r="4155" spans="1:30" ht="16.5" customHeight="1">
      <c r="A4155" s="318" t="str">
        <f>IF(B4155&lt;&gt;"",IF(AND(B4155='[3]IN-TC'!$S$4,OR([3]TH!N3388="1111",[3]TH!O3388="1111")),[3]TH!D3388,""),"")</f>
        <v/>
      </c>
      <c r="B4155" s="60" t="str">
        <f t="shared" si="432"/>
        <v/>
      </c>
      <c r="C4155" s="974"/>
      <c r="D4155" s="974"/>
      <c r="E4155" s="974"/>
      <c r="F4155" s="975"/>
      <c r="G4155" s="975"/>
      <c r="H4155" s="759"/>
      <c r="I4155" s="1247"/>
      <c r="J4155" s="391"/>
      <c r="K4155" s="1247"/>
      <c r="L4155" s="1248"/>
      <c r="M4155" s="978"/>
      <c r="N4155" s="979"/>
      <c r="O4155" s="979"/>
      <c r="P4155" s="79" t="str">
        <f>IF(AND('331-CT'!$E$7=TH!H4155,OR(N4155="331",O4155="331")),"x","")</f>
        <v/>
      </c>
      <c r="Q4155" s="79" t="str">
        <f>IF(AND(B4155='111'!$L$11,OR($N4155=$Q$7,$O4155=$Q$7)),"x","")</f>
        <v/>
      </c>
      <c r="R4155" s="79" t="str">
        <f>IF(AND($N4155=$Q$7,$B4155&lt;'111'!$L$11),"x","")</f>
        <v/>
      </c>
      <c r="S4155" s="79" t="str">
        <f>IF(AND($O4155=$Q$7,$B4155&lt;'111'!$L$11),"x","")</f>
        <v/>
      </c>
      <c r="T4155" s="79" t="str">
        <f>IF(ISERROR(FIND('112'!$M$9,G4155,1)),"",IF((AND(FIND('112'!$M$9,G4155,1)&gt;=1,B4155='112'!$K$9,OR($N4155='112'!$I$6,$O4155='112'!$I$6))),"x",""))</f>
        <v/>
      </c>
      <c r="U4155" s="79" t="str">
        <f>IF(ISERROR(FIND('112'!$M$9,G4155,1)),"",IF((AND(LEFT(G4155,2)=LEFT('112'!$M$9,2),B4155&lt;'112'!$K$9,$N4155='112'!$I$6)),"x",""))</f>
        <v/>
      </c>
      <c r="V4155" s="79" t="str">
        <f>IF(ISERROR(FIND('112'!$M$9,G4155,1)),"",IF((AND(RIGHT(G4155,2)=RIGHT('112'!$M$9,2),B4155&lt;'112'!$K$9,$O4155='112'!$I$6)),"x",""))</f>
        <v/>
      </c>
      <c r="W4155" s="79" t="str">
        <f>IF(AND('341-CT'!$H$9=H4155,OR(LEFT(N4155,3)=$W$7,LEFT(O4155,3)=$W$7)),"x","")</f>
        <v/>
      </c>
      <c r="X4155" s="79" t="str">
        <f>IF(OR(TH!N4155=TH!$X$7,O4155=TH!$X$7),"x","")</f>
        <v/>
      </c>
      <c r="Y4155" s="79" t="str">
        <f>IF(AND(OR(N4155="131",O4155="131"),H4155='131-CT'!$H$9),"x","")</f>
        <v/>
      </c>
      <c r="Z4155" s="79"/>
      <c r="AA4155" s="79" t="str">
        <f>IF(AND(MONTH(E4155)='IN-NX'!$J$5,'IN-NX'!$D$7=D4155),"x","")</f>
        <v/>
      </c>
      <c r="AB4155" s="79" t="str">
        <f>IF(AND(OR(LEFT(TH!N4155,2)="15",LEFT(TH!O4155,2)="15"),LEFT(TH!O4155,3)&lt;&gt;"111",'152-CT'!$J$8=TH!F4155),"x","")</f>
        <v/>
      </c>
      <c r="AC4155" s="79" t="str">
        <f>IF(AND(OR(LEFT(TH!N4155,2)="15",LEFT(TH!O4155,2)="15"),TK!$E$7=TH!F4155),"x","")</f>
        <v/>
      </c>
      <c r="AD4155" s="79" t="str">
        <f>IF(AND(N4155="1521",MONTH(C4155)='BK-NL'!$M$11),"x","")</f>
        <v/>
      </c>
    </row>
    <row r="4156" spans="1:30" ht="16.5" customHeight="1">
      <c r="A4156" s="318" t="str">
        <f>IF(B4156&lt;&gt;"",IF(AND(B4156='[3]IN-TC'!$S$4,OR([3]TH!N3389="1111",[3]TH!O3389="1111")),[3]TH!D3389,""),"")</f>
        <v/>
      </c>
      <c r="B4156" s="60" t="str">
        <f t="shared" si="432"/>
        <v/>
      </c>
      <c r="C4156" s="974"/>
      <c r="D4156" s="974"/>
      <c r="E4156" s="974"/>
      <c r="F4156" s="975"/>
      <c r="G4156" s="975"/>
      <c r="H4156" s="759"/>
      <c r="I4156" s="1247"/>
      <c r="J4156" s="391"/>
      <c r="K4156" s="1247"/>
      <c r="L4156" s="1248"/>
      <c r="M4156" s="78"/>
      <c r="N4156" s="979"/>
      <c r="O4156" s="979"/>
      <c r="P4156" s="79" t="str">
        <f>IF(AND('331-CT'!$E$7=TH!H4156,OR(N4156="331",O4156="331")),"x","")</f>
        <v/>
      </c>
      <c r="Q4156" s="79" t="str">
        <f>IF(AND(B4156='111'!$L$11,OR($N4156=$Q$7,$O4156=$Q$7)),"x","")</f>
        <v/>
      </c>
      <c r="R4156" s="79" t="str">
        <f>IF(AND($N4156=$Q$7,$B4156&lt;'111'!$L$11),"x","")</f>
        <v/>
      </c>
      <c r="S4156" s="79" t="str">
        <f>IF(AND($O4156=$Q$7,$B4156&lt;'111'!$L$11),"x","")</f>
        <v/>
      </c>
      <c r="T4156" s="79" t="str">
        <f>IF(ISERROR(FIND('112'!$M$9,G4156,1)),"",IF((AND(FIND('112'!$M$9,G4156,1)&gt;=1,B4156='112'!$K$9,OR($N4156='112'!$I$6,$O4156='112'!$I$6))),"x",""))</f>
        <v/>
      </c>
      <c r="U4156" s="79" t="str">
        <f>IF(ISERROR(FIND('112'!$M$9,G4156,1)),"",IF((AND(LEFT(G4156,2)=LEFT('112'!$M$9,2),B4156&lt;'112'!$K$9,$N4156='112'!$I$6)),"x",""))</f>
        <v/>
      </c>
      <c r="V4156" s="79" t="str">
        <f>IF(ISERROR(FIND('112'!$M$9,G4156,1)),"",IF((AND(RIGHT(G4156,2)=RIGHT('112'!$M$9,2),B4156&lt;'112'!$K$9,$O4156='112'!$I$6)),"x",""))</f>
        <v/>
      </c>
      <c r="W4156" s="79" t="str">
        <f>IF(AND('341-CT'!$H$9=H4156,OR(LEFT(N4156,3)=$W$7,LEFT(O4156,3)=$W$7)),"x","")</f>
        <v/>
      </c>
      <c r="X4156" s="79" t="str">
        <f>IF(OR(TH!N4156=TH!$X$7,O4156=TH!$X$7),"x","")</f>
        <v/>
      </c>
      <c r="Y4156" s="79" t="str">
        <f>IF(AND(OR(N4156="131",O4156="131"),H4156='131-CT'!$H$9),"x","")</f>
        <v/>
      </c>
      <c r="Z4156" s="79"/>
      <c r="AA4156" s="79" t="str">
        <f>IF(AND(MONTH(E4156)='IN-NX'!$J$5,'IN-NX'!$D$7=D4156),"x","")</f>
        <v/>
      </c>
      <c r="AB4156" s="79" t="str">
        <f>IF(AND(OR(LEFT(TH!N4156,2)="15",LEFT(TH!O4156,2)="15"),LEFT(TH!O4156,3)&lt;&gt;"111",'152-CT'!$J$8=TH!F4156),"x","")</f>
        <v/>
      </c>
      <c r="AC4156" s="79" t="str">
        <f>IF(AND(OR(LEFT(TH!N4156,2)="15",LEFT(TH!O4156,2)="15"),TK!$E$7=TH!F4156),"x","")</f>
        <v/>
      </c>
      <c r="AD4156" s="79" t="str">
        <f>IF(AND(N4156="1521",MONTH(C4156)='BK-NL'!$M$11),"x","")</f>
        <v/>
      </c>
    </row>
    <row r="4157" spans="1:30" ht="16.5" customHeight="1">
      <c r="A4157" s="318" t="str">
        <f>IF(B4157&lt;&gt;"",IF(AND(B4157='[3]IN-TC'!$S$4,OR([3]TH!N3390="1111",[3]TH!O3390="1111")),[3]TH!D3390,""),"")</f>
        <v/>
      </c>
      <c r="B4157" s="60" t="str">
        <f t="shared" si="432"/>
        <v/>
      </c>
      <c r="C4157" s="974"/>
      <c r="D4157" s="974"/>
      <c r="E4157" s="974"/>
      <c r="F4157" s="975"/>
      <c r="G4157" s="975"/>
      <c r="H4157" s="759"/>
      <c r="I4157" s="1247"/>
      <c r="J4157" s="391"/>
      <c r="K4157" s="1247"/>
      <c r="L4157" s="1248"/>
      <c r="M4157" s="78"/>
      <c r="N4157" s="979"/>
      <c r="O4157" s="979"/>
      <c r="P4157" s="79" t="str">
        <f>IF(AND('331-CT'!$E$7=TH!H4157,OR(N4157="331",O4157="331")),"x","")</f>
        <v/>
      </c>
      <c r="Q4157" s="79" t="str">
        <f>IF(AND(B4157='111'!$L$11,OR($N4157=$Q$7,$O4157=$Q$7)),"x","")</f>
        <v/>
      </c>
      <c r="R4157" s="79" t="str">
        <f>IF(AND($N4157=$Q$7,$B4157&lt;'111'!$L$11),"x","")</f>
        <v/>
      </c>
      <c r="S4157" s="79" t="str">
        <f>IF(AND($O4157=$Q$7,$B4157&lt;'111'!$L$11),"x","")</f>
        <v/>
      </c>
      <c r="T4157" s="79" t="str">
        <f>IF(ISERROR(FIND('112'!$M$9,G4157,1)),"",IF((AND(FIND('112'!$M$9,G4157,1)&gt;=1,B4157='112'!$K$9,OR($N4157='112'!$I$6,$O4157='112'!$I$6))),"x",""))</f>
        <v/>
      </c>
      <c r="U4157" s="79" t="str">
        <f>IF(ISERROR(FIND('112'!$M$9,G4157,1)),"",IF((AND(LEFT(G4157,2)=LEFT('112'!$M$9,2),B4157&lt;'112'!$K$9,$N4157='112'!$I$6)),"x",""))</f>
        <v/>
      </c>
      <c r="V4157" s="79" t="str">
        <f>IF(ISERROR(FIND('112'!$M$9,G4157,1)),"",IF((AND(RIGHT(G4157,2)=RIGHT('112'!$M$9,2),B4157&lt;'112'!$K$9,$O4157='112'!$I$6)),"x",""))</f>
        <v/>
      </c>
      <c r="W4157" s="79" t="str">
        <f>IF(AND('341-CT'!$H$9=H4157,OR(LEFT(N4157,3)=$W$7,LEFT(O4157,3)=$W$7)),"x","")</f>
        <v/>
      </c>
      <c r="X4157" s="79" t="str">
        <f>IF(OR(TH!N4157=TH!$X$7,O4157=TH!$X$7),"x","")</f>
        <v/>
      </c>
      <c r="Y4157" s="79" t="str">
        <f>IF(AND(OR(N4157="131",O4157="131"),H4157='131-CT'!$H$9),"x","")</f>
        <v/>
      </c>
      <c r="Z4157" s="79"/>
      <c r="AA4157" s="79" t="str">
        <f>IF(AND(MONTH(E4157)='IN-NX'!$J$5,'IN-NX'!$D$7=D4157),"x","")</f>
        <v/>
      </c>
      <c r="AB4157" s="79" t="str">
        <f>IF(AND(OR(LEFT(TH!N4157,2)="15",LEFT(TH!O4157,2)="15"),LEFT(TH!O4157,3)&lt;&gt;"111",'152-CT'!$J$8=TH!F4157),"x","")</f>
        <v/>
      </c>
      <c r="AC4157" s="79" t="str">
        <f>IF(AND(OR(LEFT(TH!N4157,2)="15",LEFT(TH!O4157,2)="15"),TK!$E$7=TH!F4157),"x","")</f>
        <v/>
      </c>
      <c r="AD4157" s="79" t="str">
        <f>IF(AND(N4157="1521",MONTH(C4157)='BK-NL'!$M$11),"x","")</f>
        <v/>
      </c>
    </row>
    <row r="4158" spans="1:30" ht="16.5" customHeight="1">
      <c r="A4158" s="318" t="str">
        <f>IF(B4158&lt;&gt;"",IF(AND(B4158='[3]IN-TC'!$S$4,OR([3]TH!N3391="1111",[3]TH!O3391="1111")),[3]TH!D3391,""),"")</f>
        <v/>
      </c>
      <c r="B4158" s="60" t="str">
        <f t="shared" si="432"/>
        <v/>
      </c>
      <c r="C4158" s="974"/>
      <c r="D4158" s="974"/>
      <c r="E4158" s="974"/>
      <c r="F4158" s="975"/>
      <c r="G4158" s="975"/>
      <c r="H4158" s="759"/>
      <c r="I4158" s="1247"/>
      <c r="J4158" s="391"/>
      <c r="K4158" s="1247"/>
      <c r="L4158" s="1248"/>
      <c r="M4158" s="978"/>
      <c r="N4158" s="979"/>
      <c r="O4158" s="979"/>
      <c r="P4158" s="79" t="str">
        <f>IF(AND('331-CT'!$E$7=TH!H4158,OR(N4158="331",O4158="331")),"x","")</f>
        <v/>
      </c>
      <c r="Q4158" s="79" t="str">
        <f>IF(AND(B4158='111'!$L$11,OR($N4158=$Q$7,$O4158=$Q$7)),"x","")</f>
        <v/>
      </c>
      <c r="R4158" s="79" t="str">
        <f>IF(AND($N4158=$Q$7,$B4158&lt;'111'!$L$11),"x","")</f>
        <v/>
      </c>
      <c r="S4158" s="79" t="str">
        <f>IF(AND($O4158=$Q$7,$B4158&lt;'111'!$L$11),"x","")</f>
        <v/>
      </c>
      <c r="T4158" s="79" t="str">
        <f>IF(ISERROR(FIND('112'!$M$9,G4158,1)),"",IF((AND(FIND('112'!$M$9,G4158,1)&gt;=1,B4158='112'!$K$9,OR($N4158='112'!$I$6,$O4158='112'!$I$6))),"x",""))</f>
        <v/>
      </c>
      <c r="U4158" s="79" t="str">
        <f>IF(ISERROR(FIND('112'!$M$9,G4158,1)),"",IF((AND(LEFT(G4158,2)=LEFT('112'!$M$9,2),B4158&lt;'112'!$K$9,$N4158='112'!$I$6)),"x",""))</f>
        <v/>
      </c>
      <c r="V4158" s="79" t="str">
        <f>IF(ISERROR(FIND('112'!$M$9,G4158,1)),"",IF((AND(RIGHT(G4158,2)=RIGHT('112'!$M$9,2),B4158&lt;'112'!$K$9,$O4158='112'!$I$6)),"x",""))</f>
        <v/>
      </c>
      <c r="W4158" s="79" t="str">
        <f>IF(AND('341-CT'!$H$9=H4158,OR(LEFT(N4158,3)=$W$7,LEFT(O4158,3)=$W$7)),"x","")</f>
        <v/>
      </c>
      <c r="X4158" s="79" t="str">
        <f>IF(OR(TH!N4158=TH!$X$7,O4158=TH!$X$7),"x","")</f>
        <v/>
      </c>
      <c r="Y4158" s="79" t="str">
        <f>IF(AND(OR(N4158="131",O4158="131"),H4158='131-CT'!$H$9),"x","")</f>
        <v/>
      </c>
      <c r="Z4158" s="79"/>
      <c r="AA4158" s="79" t="str">
        <f>IF(AND(MONTH(E4158)='IN-NX'!$J$5,'IN-NX'!$D$7=D4158),"x","")</f>
        <v/>
      </c>
      <c r="AB4158" s="79" t="str">
        <f>IF(AND(OR(LEFT(TH!N4158,2)="15",LEFT(TH!O4158,2)="15"),LEFT(TH!O4158,3)&lt;&gt;"111",'152-CT'!$J$8=TH!F4158),"x","")</f>
        <v/>
      </c>
      <c r="AC4158" s="79" t="str">
        <f>IF(AND(OR(LEFT(TH!N4158,2)="15",LEFT(TH!O4158,2)="15"),TK!$E$7=TH!F4158),"x","")</f>
        <v/>
      </c>
      <c r="AD4158" s="79" t="str">
        <f>IF(AND(N4158="1521",MONTH(C4158)='BK-NL'!$M$11),"x","")</f>
        <v/>
      </c>
    </row>
    <row r="4159" spans="1:30" ht="16.5" customHeight="1">
      <c r="A4159" s="318" t="str">
        <f>IF(B4159&lt;&gt;"",IF(AND(B4159='[3]IN-TC'!$S$4,OR([3]TH!N3392="1111",[3]TH!O3392="1111")),[3]TH!D3392,""),"")</f>
        <v/>
      </c>
      <c r="B4159" s="60" t="str">
        <f t="shared" ref="B4159:B4160" si="442">IF(C4159&lt;&gt;"",MONTH(C4159),"")</f>
        <v/>
      </c>
      <c r="C4159" s="974"/>
      <c r="D4159" s="974"/>
      <c r="E4159" s="974"/>
      <c r="F4159" s="975"/>
      <c r="G4159" s="975"/>
      <c r="H4159" s="759"/>
      <c r="I4159" s="1247"/>
      <c r="J4159" s="391"/>
      <c r="K4159" s="1247"/>
      <c r="L4159" s="1248"/>
      <c r="M4159" s="978"/>
      <c r="N4159" s="979"/>
      <c r="O4159" s="979"/>
      <c r="P4159" s="79" t="str">
        <f>IF(AND('331-CT'!$E$7=TH!H4159,OR(N4159="331",O4159="331")),"x","")</f>
        <v/>
      </c>
      <c r="Q4159" s="79" t="str">
        <f>IF(AND(B4159='111'!$L$11,OR($N4159=$Q$7,$O4159=$Q$7)),"x","")</f>
        <v/>
      </c>
      <c r="R4159" s="79" t="str">
        <f>IF(AND($N4159=$Q$7,$B4159&lt;'111'!$L$11),"x","")</f>
        <v/>
      </c>
      <c r="S4159" s="79" t="str">
        <f>IF(AND($O4159=$Q$7,$B4159&lt;'111'!$L$11),"x","")</f>
        <v/>
      </c>
      <c r="T4159" s="79" t="str">
        <f>IF(ISERROR(FIND('112'!$M$9,G4159,1)),"",IF((AND(FIND('112'!$M$9,G4159,1)&gt;=1,B4159='112'!$K$9,OR($N4159='112'!$I$6,$O4159='112'!$I$6))),"x",""))</f>
        <v/>
      </c>
      <c r="U4159" s="79" t="str">
        <f>IF(ISERROR(FIND('112'!$M$9,G4159,1)),"",IF((AND(LEFT(G4159,2)=LEFT('112'!$M$9,2),B4159&lt;'112'!$K$9,$N4159='112'!$I$6)),"x",""))</f>
        <v/>
      </c>
      <c r="V4159" s="79" t="str">
        <f>IF(ISERROR(FIND('112'!$M$9,G4159,1)),"",IF((AND(RIGHT(G4159,2)=RIGHT('112'!$M$9,2),B4159&lt;'112'!$K$9,$O4159='112'!$I$6)),"x",""))</f>
        <v/>
      </c>
      <c r="W4159" s="79" t="str">
        <f>IF(AND('341-CT'!$H$9=H4159,OR(LEFT(N4159,3)=$W$7,LEFT(O4159,3)=$W$7)),"x","")</f>
        <v/>
      </c>
      <c r="X4159" s="79" t="str">
        <f>IF(OR(TH!N4159=TH!$X$7,O4159=TH!$X$7),"x","")</f>
        <v/>
      </c>
      <c r="Y4159" s="79" t="str">
        <f>IF(AND(OR(N4159="131",O4159="131"),H4159='131-CT'!$H$9),"x","")</f>
        <v/>
      </c>
      <c r="Z4159" s="79"/>
      <c r="AA4159" s="79" t="str">
        <f>IF(AND(MONTH(E4159)='IN-NX'!$J$5,'IN-NX'!$D$7=D4159),"x","")</f>
        <v/>
      </c>
      <c r="AB4159" s="79" t="str">
        <f>IF(AND(OR(LEFT(TH!N4159,2)="15",LEFT(TH!O4159,2)="15"),LEFT(TH!O4159,3)&lt;&gt;"111",'152-CT'!$J$8=TH!F4159),"x","")</f>
        <v/>
      </c>
      <c r="AC4159" s="79" t="str">
        <f>IF(AND(OR(LEFT(TH!N4159,2)="15",LEFT(TH!O4159,2)="15"),TK!$E$7=TH!F4159),"x","")</f>
        <v/>
      </c>
      <c r="AD4159" s="79" t="str">
        <f>IF(AND(N4159="1521",MONTH(C4159)='BK-NL'!$M$11),"x","")</f>
        <v/>
      </c>
    </row>
    <row r="4160" spans="1:30" ht="16.5" customHeight="1">
      <c r="A4160" s="318" t="str">
        <f>IF(B4160&lt;&gt;"",IF(AND(B4160='[3]IN-TC'!$S$4,OR([3]TH!N3393="1111",[3]TH!O3393="1111")),[3]TH!D3393,""),"")</f>
        <v/>
      </c>
      <c r="B4160" s="60" t="str">
        <f t="shared" si="442"/>
        <v/>
      </c>
      <c r="C4160" s="974"/>
      <c r="D4160" s="974"/>
      <c r="E4160" s="974"/>
      <c r="F4160" s="975"/>
      <c r="G4160" s="975"/>
      <c r="H4160" s="759"/>
      <c r="I4160" s="1247"/>
      <c r="J4160" s="391"/>
      <c r="K4160" s="1247"/>
      <c r="L4160" s="1248"/>
      <c r="M4160" s="978"/>
      <c r="N4160" s="979"/>
      <c r="O4160" s="979"/>
      <c r="P4160" s="79" t="str">
        <f>IF(AND('331-CT'!$E$7=TH!H4160,OR(N4160="331",O4160="331")),"x","")</f>
        <v/>
      </c>
      <c r="Q4160" s="79" t="str">
        <f>IF(AND(B4160='111'!$L$11,OR($N4160=$Q$7,$O4160=$Q$7)),"x","")</f>
        <v/>
      </c>
      <c r="R4160" s="79" t="str">
        <f>IF(AND($N4160=$Q$7,$B4160&lt;'111'!$L$11),"x","")</f>
        <v/>
      </c>
      <c r="S4160" s="79" t="str">
        <f>IF(AND($O4160=$Q$7,$B4160&lt;'111'!$L$11),"x","")</f>
        <v/>
      </c>
      <c r="T4160" s="79" t="str">
        <f>IF(ISERROR(FIND('112'!$M$9,G4160,1)),"",IF((AND(FIND('112'!$M$9,G4160,1)&gt;=1,B4160='112'!$K$9,OR($N4160='112'!$I$6,$O4160='112'!$I$6))),"x",""))</f>
        <v/>
      </c>
      <c r="U4160" s="79" t="str">
        <f>IF(ISERROR(FIND('112'!$M$9,G4160,1)),"",IF((AND(LEFT(G4160,2)=LEFT('112'!$M$9,2),B4160&lt;'112'!$K$9,$N4160='112'!$I$6)),"x",""))</f>
        <v/>
      </c>
      <c r="V4160" s="79" t="str">
        <f>IF(ISERROR(FIND('112'!$M$9,G4160,1)),"",IF((AND(RIGHT(G4160,2)=RIGHT('112'!$M$9,2),B4160&lt;'112'!$K$9,$O4160='112'!$I$6)),"x",""))</f>
        <v/>
      </c>
      <c r="W4160" s="79" t="str">
        <f>IF(AND('341-CT'!$H$9=H4160,OR(LEFT(N4160,3)=$W$7,LEFT(O4160,3)=$W$7)),"x","")</f>
        <v/>
      </c>
      <c r="X4160" s="79" t="str">
        <f>IF(OR(TH!N4160=TH!$X$7,O4160=TH!$X$7),"x","")</f>
        <v/>
      </c>
      <c r="Y4160" s="79" t="str">
        <f>IF(AND(OR(N4160="131",O4160="131"),H4160='131-CT'!$H$9),"x","")</f>
        <v/>
      </c>
      <c r="Z4160" s="79"/>
      <c r="AA4160" s="79" t="str">
        <f>IF(AND(MONTH(E4160)='IN-NX'!$J$5,'IN-NX'!$D$7=D4160),"x","")</f>
        <v/>
      </c>
      <c r="AB4160" s="79" t="str">
        <f>IF(AND(OR(LEFT(TH!N4160,2)="15",LEFT(TH!O4160,2)="15"),LEFT(TH!O4160,3)&lt;&gt;"111",'152-CT'!$J$8=TH!F4160),"x","")</f>
        <v/>
      </c>
      <c r="AC4160" s="79" t="str">
        <f>IF(AND(OR(LEFT(TH!N4160,2)="15",LEFT(TH!O4160,2)="15"),TK!$E$7=TH!F4160),"x","")</f>
        <v/>
      </c>
      <c r="AD4160" s="79" t="str">
        <f>IF(AND(N4160="1521",MONTH(C4160)='BK-NL'!$M$11),"x","")</f>
        <v/>
      </c>
    </row>
    <row r="4161" spans="1:30" ht="16.5" customHeight="1">
      <c r="A4161" s="318" t="str">
        <f>IF(B4161&lt;&gt;"",IF(AND(B4161='[3]IN-TC'!$S$4,OR([3]TH!N3394="1111",[3]TH!O3394="1111")),[3]TH!D3394,""),"")</f>
        <v/>
      </c>
      <c r="B4161" s="60" t="str">
        <f t="shared" si="432"/>
        <v/>
      </c>
      <c r="C4161" s="974"/>
      <c r="D4161" s="974"/>
      <c r="E4161" s="974"/>
      <c r="F4161" s="975"/>
      <c r="G4161" s="975"/>
      <c r="H4161" s="759"/>
      <c r="I4161" s="1247"/>
      <c r="J4161" s="391"/>
      <c r="K4161" s="1247"/>
      <c r="L4161" s="1248"/>
      <c r="M4161" s="978"/>
      <c r="N4161" s="979"/>
      <c r="O4161" s="979"/>
      <c r="P4161" s="79" t="str">
        <f>IF(AND('331-CT'!$E$7=TH!H4161,OR(N4161="331",O4161="331")),"x","")</f>
        <v/>
      </c>
      <c r="Q4161" s="79" t="str">
        <f>IF(AND(B4161='111'!$L$11,OR($N4161=$Q$7,$O4161=$Q$7)),"x","")</f>
        <v/>
      </c>
      <c r="R4161" s="79" t="str">
        <f>IF(AND($N4161=$Q$7,$B4161&lt;'111'!$L$11),"x","")</f>
        <v/>
      </c>
      <c r="S4161" s="79" t="str">
        <f>IF(AND($O4161=$Q$7,$B4161&lt;'111'!$L$11),"x","")</f>
        <v/>
      </c>
      <c r="T4161" s="79" t="str">
        <f>IF(ISERROR(FIND('112'!$M$9,G4161,1)),"",IF((AND(FIND('112'!$M$9,G4161,1)&gt;=1,B4161='112'!$K$9,OR($N4161='112'!$I$6,$O4161='112'!$I$6))),"x",""))</f>
        <v/>
      </c>
      <c r="U4161" s="79" t="str">
        <f>IF(ISERROR(FIND('112'!$M$9,G4161,1)),"",IF((AND(LEFT(G4161,2)=LEFT('112'!$M$9,2),B4161&lt;'112'!$K$9,$N4161='112'!$I$6)),"x",""))</f>
        <v/>
      </c>
      <c r="V4161" s="79" t="str">
        <f>IF(ISERROR(FIND('112'!$M$9,G4161,1)),"",IF((AND(RIGHT(G4161,2)=RIGHT('112'!$M$9,2),B4161&lt;'112'!$K$9,$O4161='112'!$I$6)),"x",""))</f>
        <v/>
      </c>
      <c r="W4161" s="79" t="str">
        <f>IF(AND('341-CT'!$H$9=H4161,OR(LEFT(N4161,3)=$W$7,LEFT(O4161,3)=$W$7)),"x","")</f>
        <v/>
      </c>
      <c r="X4161" s="79" t="str">
        <f>IF(OR(TH!N4161=TH!$X$7,O4161=TH!$X$7),"x","")</f>
        <v/>
      </c>
      <c r="Y4161" s="79" t="str">
        <f>IF(AND(OR(N4161="131",O4161="131"),H4161='131-CT'!$H$9),"x","")</f>
        <v/>
      </c>
      <c r="Z4161" s="79"/>
      <c r="AA4161" s="79" t="str">
        <f>IF(AND(MONTH(E4161)='IN-NX'!$J$5,'IN-NX'!$D$7=D4161),"x","")</f>
        <v/>
      </c>
      <c r="AB4161" s="79" t="str">
        <f>IF(AND(OR(LEFT(TH!N4161,2)="15",LEFT(TH!O4161,2)="15"),LEFT(TH!O4161,3)&lt;&gt;"111",'152-CT'!$J$8=TH!F4161),"x","")</f>
        <v/>
      </c>
      <c r="AC4161" s="79" t="str">
        <f>IF(AND(OR(LEFT(TH!N4161,2)="15",LEFT(TH!O4161,2)="15"),TK!$E$7=TH!F4161),"x","")</f>
        <v/>
      </c>
      <c r="AD4161" s="79" t="str">
        <f>IF(AND(N4161="1521",MONTH(C4161)='BK-NL'!$M$11),"x","")</f>
        <v/>
      </c>
    </row>
    <row r="4162" spans="1:30" ht="16.5" customHeight="1">
      <c r="A4162" s="318" t="str">
        <f>IF(B4162&lt;&gt;"",IF(AND(B4162='[3]IN-TC'!$S$4,OR([3]TH!N3395="1111",[3]TH!O3395="1111")),[3]TH!D3395,""),"")</f>
        <v/>
      </c>
      <c r="B4162" s="60" t="str">
        <f t="shared" si="432"/>
        <v/>
      </c>
      <c r="C4162" s="974"/>
      <c r="D4162" s="974"/>
      <c r="E4162" s="974"/>
      <c r="F4162" s="975"/>
      <c r="G4162" s="975"/>
      <c r="H4162" s="759"/>
      <c r="I4162" s="1247"/>
      <c r="J4162" s="391"/>
      <c r="K4162" s="1247"/>
      <c r="L4162" s="1248"/>
      <c r="M4162" s="978"/>
      <c r="N4162" s="979"/>
      <c r="O4162" s="979"/>
      <c r="P4162" s="79" t="str">
        <f>IF(AND('331-CT'!$E$7=TH!H4162,OR(N4162="331",O4162="331")),"x","")</f>
        <v/>
      </c>
      <c r="Q4162" s="79" t="str">
        <f>IF(AND(B4162='111'!$L$11,OR($N4162=$Q$7,$O4162=$Q$7)),"x","")</f>
        <v/>
      </c>
      <c r="R4162" s="79" t="str">
        <f>IF(AND($N4162=$Q$7,$B4162&lt;'111'!$L$11),"x","")</f>
        <v/>
      </c>
      <c r="S4162" s="79" t="str">
        <f>IF(AND($O4162=$Q$7,$B4162&lt;'111'!$L$11),"x","")</f>
        <v/>
      </c>
      <c r="T4162" s="79" t="str">
        <f>IF(ISERROR(FIND('112'!$M$9,G4162,1)),"",IF((AND(FIND('112'!$M$9,G4162,1)&gt;=1,B4162='112'!$K$9,OR($N4162='112'!$I$6,$O4162='112'!$I$6))),"x",""))</f>
        <v/>
      </c>
      <c r="U4162" s="79" t="str">
        <f>IF(ISERROR(FIND('112'!$M$9,G4162,1)),"",IF((AND(LEFT(G4162,2)=LEFT('112'!$M$9,2),B4162&lt;'112'!$K$9,$N4162='112'!$I$6)),"x",""))</f>
        <v/>
      </c>
      <c r="V4162" s="79" t="str">
        <f>IF(ISERROR(FIND('112'!$M$9,G4162,1)),"",IF((AND(RIGHT(G4162,2)=RIGHT('112'!$M$9,2),B4162&lt;'112'!$K$9,$O4162='112'!$I$6)),"x",""))</f>
        <v/>
      </c>
      <c r="W4162" s="79" t="str">
        <f>IF(AND('341-CT'!$H$9=H4162,OR(LEFT(N4162,3)=$W$7,LEFT(O4162,3)=$W$7)),"x","")</f>
        <v/>
      </c>
      <c r="X4162" s="79" t="str">
        <f>IF(OR(TH!N4162=TH!$X$7,O4162=TH!$X$7),"x","")</f>
        <v/>
      </c>
      <c r="Y4162" s="79" t="str">
        <f>IF(AND(OR(N4162="131",O4162="131"),H4162='131-CT'!$H$9),"x","")</f>
        <v/>
      </c>
      <c r="Z4162" s="79"/>
      <c r="AA4162" s="79" t="str">
        <f>IF(AND(MONTH(E4162)='IN-NX'!$J$5,'IN-NX'!$D$7=D4162),"x","")</f>
        <v/>
      </c>
      <c r="AB4162" s="79" t="str">
        <f>IF(AND(OR(LEFT(TH!N4162,2)="15",LEFT(TH!O4162,2)="15"),LEFT(TH!O4162,3)&lt;&gt;"111",'152-CT'!$J$8=TH!F4162),"x","")</f>
        <v/>
      </c>
      <c r="AC4162" s="79" t="str">
        <f>IF(AND(OR(LEFT(TH!N4162,2)="15",LEFT(TH!O4162,2)="15"),TK!$E$7=TH!F4162),"x","")</f>
        <v/>
      </c>
      <c r="AD4162" s="79" t="str">
        <f>IF(AND(N4162="1521",MONTH(C4162)='BK-NL'!$M$11),"x","")</f>
        <v/>
      </c>
    </row>
    <row r="4163" spans="1:30" ht="16.5" customHeight="1">
      <c r="A4163" s="318" t="str">
        <f>IF(B4163&lt;&gt;"",IF(AND(B4163='[3]IN-TC'!$S$4,OR([3]TH!N3396="1111",[3]TH!O3396="1111")),[3]TH!D3396,""),"")</f>
        <v/>
      </c>
      <c r="B4163" s="60" t="str">
        <f t="shared" si="432"/>
        <v/>
      </c>
      <c r="C4163" s="974"/>
      <c r="D4163" s="974"/>
      <c r="E4163" s="974"/>
      <c r="F4163" s="975"/>
      <c r="G4163" s="975"/>
      <c r="H4163" s="759"/>
      <c r="I4163" s="1247"/>
      <c r="J4163" s="391"/>
      <c r="K4163" s="1247"/>
      <c r="L4163" s="1248"/>
      <c r="M4163" s="978"/>
      <c r="N4163" s="979"/>
      <c r="O4163" s="979"/>
      <c r="P4163" s="79" t="str">
        <f>IF(AND('331-CT'!$E$7=TH!H4163,OR(N4163="331",O4163="331")),"x","")</f>
        <v/>
      </c>
      <c r="Q4163" s="79" t="str">
        <f>IF(AND(B4163='111'!$L$11,OR($N4163=$Q$7,$O4163=$Q$7)),"x","")</f>
        <v/>
      </c>
      <c r="R4163" s="79" t="str">
        <f>IF(AND($N4163=$Q$7,$B4163&lt;'111'!$L$11),"x","")</f>
        <v/>
      </c>
      <c r="S4163" s="79" t="str">
        <f>IF(AND($O4163=$Q$7,$B4163&lt;'111'!$L$11),"x","")</f>
        <v/>
      </c>
      <c r="T4163" s="79" t="str">
        <f>IF(ISERROR(FIND('112'!$M$9,G4163,1)),"",IF((AND(FIND('112'!$M$9,G4163,1)&gt;=1,B4163='112'!$K$9,OR($N4163='112'!$I$6,$O4163='112'!$I$6))),"x",""))</f>
        <v/>
      </c>
      <c r="U4163" s="79" t="str">
        <f>IF(ISERROR(FIND('112'!$M$9,G4163,1)),"",IF((AND(LEFT(G4163,2)=LEFT('112'!$M$9,2),B4163&lt;'112'!$K$9,$N4163='112'!$I$6)),"x",""))</f>
        <v/>
      </c>
      <c r="V4163" s="79" t="str">
        <f>IF(ISERROR(FIND('112'!$M$9,G4163,1)),"",IF((AND(RIGHT(G4163,2)=RIGHT('112'!$M$9,2),B4163&lt;'112'!$K$9,$O4163='112'!$I$6)),"x",""))</f>
        <v/>
      </c>
      <c r="W4163" s="79" t="str">
        <f>IF(AND('341-CT'!$H$9=H4163,OR(LEFT(N4163,3)=$W$7,LEFT(O4163,3)=$W$7)),"x","")</f>
        <v/>
      </c>
      <c r="X4163" s="79" t="str">
        <f>IF(OR(TH!N4163=TH!$X$7,O4163=TH!$X$7),"x","")</f>
        <v/>
      </c>
      <c r="Y4163" s="79" t="str">
        <f>IF(AND(OR(N4163="131",O4163="131"),H4163='131-CT'!$H$9),"x","")</f>
        <v/>
      </c>
      <c r="Z4163" s="79"/>
      <c r="AA4163" s="79" t="str">
        <f>IF(AND(MONTH(E4163)='IN-NX'!$J$5,'IN-NX'!$D$7=D4163),"x","")</f>
        <v/>
      </c>
      <c r="AB4163" s="79" t="str">
        <f>IF(AND(OR(LEFT(TH!N4163,2)="15",LEFT(TH!O4163,2)="15"),LEFT(TH!O4163,3)&lt;&gt;"111",'152-CT'!$J$8=TH!F4163),"x","")</f>
        <v/>
      </c>
      <c r="AC4163" s="79" t="str">
        <f>IF(AND(OR(LEFT(TH!N4163,2)="15",LEFT(TH!O4163,2)="15"),TK!$E$7=TH!F4163),"x","")</f>
        <v/>
      </c>
      <c r="AD4163" s="79" t="str">
        <f>IF(AND(N4163="1521",MONTH(C4163)='BK-NL'!$M$11),"x","")</f>
        <v/>
      </c>
    </row>
    <row r="4164" spans="1:30" ht="16.5" customHeight="1">
      <c r="A4164" s="318" t="str">
        <f>IF(B4164&lt;&gt;"",IF(AND(B4164='[3]IN-TC'!$S$4,OR([3]TH!N3397="1111",[3]TH!O3397="1111")),[3]TH!D3397,""),"")</f>
        <v/>
      </c>
      <c r="B4164" s="60" t="str">
        <f t="shared" si="432"/>
        <v/>
      </c>
      <c r="C4164" s="974"/>
      <c r="D4164" s="974"/>
      <c r="E4164" s="974"/>
      <c r="F4164" s="975"/>
      <c r="G4164" s="975"/>
      <c r="H4164" s="759"/>
      <c r="I4164" s="1247"/>
      <c r="J4164" s="391"/>
      <c r="K4164" s="1247"/>
      <c r="L4164" s="1248"/>
      <c r="M4164" s="978"/>
      <c r="N4164" s="979"/>
      <c r="O4164" s="979"/>
      <c r="P4164" s="79" t="str">
        <f>IF(AND('331-CT'!$E$7=TH!H4164,OR(N4164="331",O4164="331")),"x","")</f>
        <v/>
      </c>
      <c r="Q4164" s="79" t="str">
        <f>IF(AND(B4164='111'!$L$11,OR($N4164=$Q$7,$O4164=$Q$7)),"x","")</f>
        <v/>
      </c>
      <c r="R4164" s="79" t="str">
        <f>IF(AND($N4164=$Q$7,$B4164&lt;'111'!$L$11),"x","")</f>
        <v/>
      </c>
      <c r="S4164" s="79" t="str">
        <f>IF(AND($O4164=$Q$7,$B4164&lt;'111'!$L$11),"x","")</f>
        <v/>
      </c>
      <c r="T4164" s="79" t="str">
        <f>IF(ISERROR(FIND('112'!$M$9,G4164,1)),"",IF((AND(FIND('112'!$M$9,G4164,1)&gt;=1,B4164='112'!$K$9,OR($N4164='112'!$I$6,$O4164='112'!$I$6))),"x",""))</f>
        <v/>
      </c>
      <c r="U4164" s="79" t="str">
        <f>IF(ISERROR(FIND('112'!$M$9,G4164,1)),"",IF((AND(LEFT(G4164,2)=LEFT('112'!$M$9,2),B4164&lt;'112'!$K$9,$N4164='112'!$I$6)),"x",""))</f>
        <v/>
      </c>
      <c r="V4164" s="79" t="str">
        <f>IF(ISERROR(FIND('112'!$M$9,G4164,1)),"",IF((AND(RIGHT(G4164,2)=RIGHT('112'!$M$9,2),B4164&lt;'112'!$K$9,$O4164='112'!$I$6)),"x",""))</f>
        <v/>
      </c>
      <c r="W4164" s="79" t="str">
        <f>IF(AND('341-CT'!$H$9=H4164,OR(LEFT(N4164,3)=$W$7,LEFT(O4164,3)=$W$7)),"x","")</f>
        <v/>
      </c>
      <c r="X4164" s="79" t="str">
        <f>IF(OR(TH!N4164=TH!$X$7,O4164=TH!$X$7),"x","")</f>
        <v/>
      </c>
      <c r="Y4164" s="79" t="str">
        <f>IF(AND(OR(N4164="131",O4164="131"),H4164='131-CT'!$H$9),"x","")</f>
        <v/>
      </c>
      <c r="Z4164" s="79"/>
      <c r="AA4164" s="79" t="str">
        <f>IF(AND(MONTH(E4164)='IN-NX'!$J$5,'IN-NX'!$D$7=D4164),"x","")</f>
        <v/>
      </c>
      <c r="AB4164" s="79" t="str">
        <f>IF(AND(OR(LEFT(TH!N4164,2)="15",LEFT(TH!O4164,2)="15"),LEFT(TH!O4164,3)&lt;&gt;"111",'152-CT'!$J$8=TH!F4164),"x","")</f>
        <v/>
      </c>
      <c r="AC4164" s="79" t="str">
        <f>IF(AND(OR(LEFT(TH!N4164,2)="15",LEFT(TH!O4164,2)="15"),TK!$E$7=TH!F4164),"x","")</f>
        <v/>
      </c>
      <c r="AD4164" s="79" t="str">
        <f>IF(AND(N4164="1521",MONTH(C4164)='BK-NL'!$M$11),"x","")</f>
        <v/>
      </c>
    </row>
    <row r="4165" spans="1:30" ht="16.5" customHeight="1">
      <c r="A4165" s="318" t="str">
        <f>IF(B4165&lt;&gt;"",IF(AND(B4165='[3]IN-TC'!$S$4,OR([3]TH!N3398="1111",[3]TH!O3398="1111")),[3]TH!D3398,""),"")</f>
        <v/>
      </c>
      <c r="B4165" s="60" t="str">
        <f t="shared" ref="B4165" si="443">IF(C4165&lt;&gt;"",MONTH(C4165),"")</f>
        <v/>
      </c>
      <c r="C4165" s="974"/>
      <c r="D4165" s="974"/>
      <c r="E4165" s="974"/>
      <c r="F4165" s="975"/>
      <c r="G4165" s="975"/>
      <c r="H4165" s="759"/>
      <c r="I4165" s="1247"/>
      <c r="J4165" s="391"/>
      <c r="K4165" s="1247"/>
      <c r="L4165" s="1248"/>
      <c r="M4165" s="978"/>
      <c r="N4165" s="979"/>
      <c r="O4165" s="979"/>
      <c r="P4165" s="79" t="str">
        <f>IF(AND('331-CT'!$E$7=TH!H4165,OR(N4165="331",O4165="331")),"x","")</f>
        <v/>
      </c>
      <c r="Q4165" s="79" t="str">
        <f>IF(AND(B4165='111'!$L$11,OR($N4165=$Q$7,$O4165=$Q$7)),"x","")</f>
        <v/>
      </c>
      <c r="R4165" s="79" t="str">
        <f>IF(AND($N4165=$Q$7,$B4165&lt;'111'!$L$11),"x","")</f>
        <v/>
      </c>
      <c r="S4165" s="79" t="str">
        <f>IF(AND($O4165=$Q$7,$B4165&lt;'111'!$L$11),"x","")</f>
        <v/>
      </c>
      <c r="T4165" s="79" t="str">
        <f>IF(ISERROR(FIND('112'!$M$9,G4165,1)),"",IF((AND(FIND('112'!$M$9,G4165,1)&gt;=1,B4165='112'!$K$9,OR($N4165='112'!$I$6,$O4165='112'!$I$6))),"x",""))</f>
        <v/>
      </c>
      <c r="U4165" s="79" t="str">
        <f>IF(ISERROR(FIND('112'!$M$9,G4165,1)),"",IF((AND(LEFT(G4165,2)=LEFT('112'!$M$9,2),B4165&lt;'112'!$K$9,$N4165='112'!$I$6)),"x",""))</f>
        <v/>
      </c>
      <c r="V4165" s="79" t="str">
        <f>IF(ISERROR(FIND('112'!$M$9,G4165,1)),"",IF((AND(RIGHT(G4165,2)=RIGHT('112'!$M$9,2),B4165&lt;'112'!$K$9,$O4165='112'!$I$6)),"x",""))</f>
        <v/>
      </c>
      <c r="W4165" s="79" t="str">
        <f>IF(AND('341-CT'!$H$9=H4165,OR(LEFT(N4165,3)=$W$7,LEFT(O4165,3)=$W$7)),"x","")</f>
        <v/>
      </c>
      <c r="X4165" s="79" t="str">
        <f>IF(OR(TH!N4165=TH!$X$7,O4165=TH!$X$7),"x","")</f>
        <v/>
      </c>
      <c r="Y4165" s="79" t="str">
        <f>IF(AND(OR(N4165="131",O4165="131"),H4165='131-CT'!$H$9),"x","")</f>
        <v/>
      </c>
      <c r="Z4165" s="79"/>
      <c r="AA4165" s="79" t="str">
        <f>IF(AND(MONTH(E4165)='IN-NX'!$J$5,'IN-NX'!$D$7=D4165),"x","")</f>
        <v/>
      </c>
      <c r="AB4165" s="79" t="str">
        <f>IF(AND(OR(LEFT(TH!N4165,2)="15",LEFT(TH!O4165,2)="15"),LEFT(TH!O4165,3)&lt;&gt;"111",'152-CT'!$J$8=TH!F4165),"x","")</f>
        <v/>
      </c>
      <c r="AC4165" s="79" t="str">
        <f>IF(AND(OR(LEFT(TH!N4165,2)="15",LEFT(TH!O4165,2)="15"),TK!$E$7=TH!F4165),"x","")</f>
        <v/>
      </c>
      <c r="AD4165" s="79" t="str">
        <f>IF(AND(N4165="1521",MONTH(C4165)='BK-NL'!$M$11),"x","")</f>
        <v/>
      </c>
    </row>
    <row r="4166" spans="1:30" ht="16.5" customHeight="1">
      <c r="A4166" s="318" t="str">
        <f>IF(B4166&lt;&gt;"",IF(AND(B4166='[3]IN-TC'!$S$4,OR([3]TH!N3399="1111",[3]TH!O3399="1111")),[3]TH!D3399,""),"")</f>
        <v/>
      </c>
      <c r="B4166" s="60" t="str">
        <f t="shared" si="432"/>
        <v/>
      </c>
      <c r="C4166" s="974"/>
      <c r="D4166" s="974"/>
      <c r="E4166" s="974"/>
      <c r="F4166" s="975"/>
      <c r="G4166" s="975"/>
      <c r="H4166" s="759"/>
      <c r="I4166" s="1247"/>
      <c r="J4166" s="391"/>
      <c r="K4166" s="1247"/>
      <c r="L4166" s="1248"/>
      <c r="M4166" s="978"/>
      <c r="N4166" s="979"/>
      <c r="O4166" s="979"/>
      <c r="P4166" s="79" t="str">
        <f>IF(AND('331-CT'!$E$7=TH!H4166,OR(N4166="331",O4166="331")),"x","")</f>
        <v/>
      </c>
      <c r="Q4166" s="79" t="str">
        <f>IF(AND(B4166='111'!$L$11,OR($N4166=$Q$7,$O4166=$Q$7)),"x","")</f>
        <v/>
      </c>
      <c r="R4166" s="79" t="str">
        <f>IF(AND($N4166=$Q$7,$B4166&lt;'111'!$L$11),"x","")</f>
        <v/>
      </c>
      <c r="S4166" s="79" t="str">
        <f>IF(AND($O4166=$Q$7,$B4166&lt;'111'!$L$11),"x","")</f>
        <v/>
      </c>
      <c r="T4166" s="79" t="str">
        <f>IF(ISERROR(FIND('112'!$M$9,G4166,1)),"",IF((AND(FIND('112'!$M$9,G4166,1)&gt;=1,B4166='112'!$K$9,OR($N4166='112'!$I$6,$O4166='112'!$I$6))),"x",""))</f>
        <v/>
      </c>
      <c r="U4166" s="79" t="str">
        <f>IF(ISERROR(FIND('112'!$M$9,G4166,1)),"",IF((AND(LEFT(G4166,2)=LEFT('112'!$M$9,2),B4166&lt;'112'!$K$9,$N4166='112'!$I$6)),"x",""))</f>
        <v/>
      </c>
      <c r="V4166" s="79" t="str">
        <f>IF(ISERROR(FIND('112'!$M$9,G4166,1)),"",IF((AND(RIGHT(G4166,2)=RIGHT('112'!$M$9,2),B4166&lt;'112'!$K$9,$O4166='112'!$I$6)),"x",""))</f>
        <v/>
      </c>
      <c r="W4166" s="79" t="str">
        <f>IF(AND('341-CT'!$H$9=H4166,OR(LEFT(N4166,3)=$W$7,LEFT(O4166,3)=$W$7)),"x","")</f>
        <v/>
      </c>
      <c r="X4166" s="79" t="str">
        <f>IF(OR(TH!N4166=TH!$X$7,O4166=TH!$X$7),"x","")</f>
        <v/>
      </c>
      <c r="Y4166" s="79" t="str">
        <f>IF(AND(OR(N4166="131",O4166="131"),H4166='131-CT'!$H$9),"x","")</f>
        <v/>
      </c>
      <c r="Z4166" s="79"/>
      <c r="AA4166" s="79" t="str">
        <f>IF(AND(MONTH(E4166)='IN-NX'!$J$5,'IN-NX'!$D$7=D4166),"x","")</f>
        <v/>
      </c>
      <c r="AB4166" s="79" t="str">
        <f>IF(AND(OR(LEFT(TH!N4166,2)="15",LEFT(TH!O4166,2)="15"),LEFT(TH!O4166,3)&lt;&gt;"111",'152-CT'!$J$8=TH!F4166),"x","")</f>
        <v/>
      </c>
      <c r="AC4166" s="79" t="str">
        <f>IF(AND(OR(LEFT(TH!N4166,2)="15",LEFT(TH!O4166,2)="15"),TK!$E$7=TH!F4166),"x","")</f>
        <v/>
      </c>
      <c r="AD4166" s="79" t="str">
        <f>IF(AND(N4166="1521",MONTH(C4166)='BK-NL'!$M$11),"x","")</f>
        <v/>
      </c>
    </row>
    <row r="4167" spans="1:30" ht="16.5" customHeight="1">
      <c r="A4167" s="318" t="str">
        <f>IF(B4167&lt;&gt;"",IF(AND(B4167='[3]IN-TC'!$S$4,OR([3]TH!N3400="1111",[3]TH!O3400="1111")),[3]TH!D3400,""),"")</f>
        <v/>
      </c>
      <c r="B4167" s="60" t="str">
        <f t="shared" si="432"/>
        <v/>
      </c>
      <c r="C4167" s="974"/>
      <c r="D4167" s="974"/>
      <c r="E4167" s="974"/>
      <c r="F4167" s="975"/>
      <c r="G4167" s="975"/>
      <c r="H4167" s="759"/>
      <c r="I4167" s="1247"/>
      <c r="J4167" s="391"/>
      <c r="K4167" s="1247"/>
      <c r="L4167" s="1248"/>
      <c r="M4167" s="78"/>
      <c r="N4167" s="979"/>
      <c r="O4167" s="979"/>
      <c r="P4167" s="79" t="str">
        <f>IF(AND('331-CT'!$E$7=TH!H4167,OR(N4167="331",O4167="331")),"x","")</f>
        <v/>
      </c>
      <c r="Q4167" s="79" t="str">
        <f>IF(AND(B4167='111'!$L$11,OR($N4167=$Q$7,$O4167=$Q$7)),"x","")</f>
        <v/>
      </c>
      <c r="R4167" s="79" t="str">
        <f>IF(AND($N4167=$Q$7,$B4167&lt;'111'!$L$11),"x","")</f>
        <v/>
      </c>
      <c r="S4167" s="79" t="str">
        <f>IF(AND($O4167=$Q$7,$B4167&lt;'111'!$L$11),"x","")</f>
        <v/>
      </c>
      <c r="T4167" s="79" t="str">
        <f>IF(ISERROR(FIND('112'!$M$9,G4167,1)),"",IF((AND(FIND('112'!$M$9,G4167,1)&gt;=1,B4167='112'!$K$9,OR($N4167='112'!$I$6,$O4167='112'!$I$6))),"x",""))</f>
        <v/>
      </c>
      <c r="U4167" s="79" t="str">
        <f>IF(ISERROR(FIND('112'!$M$9,G4167,1)),"",IF((AND(LEFT(G4167,2)=LEFT('112'!$M$9,2),B4167&lt;'112'!$K$9,$N4167='112'!$I$6)),"x",""))</f>
        <v/>
      </c>
      <c r="V4167" s="79" t="str">
        <f>IF(ISERROR(FIND('112'!$M$9,G4167,1)),"",IF((AND(RIGHT(G4167,2)=RIGHT('112'!$M$9,2),B4167&lt;'112'!$K$9,$O4167='112'!$I$6)),"x",""))</f>
        <v/>
      </c>
      <c r="W4167" s="79" t="str">
        <f>IF(AND('341-CT'!$H$9=H4167,OR(LEFT(N4167,3)=$W$7,LEFT(O4167,3)=$W$7)),"x","")</f>
        <v/>
      </c>
      <c r="X4167" s="79" t="str">
        <f>IF(OR(TH!N4167=TH!$X$7,O4167=TH!$X$7),"x","")</f>
        <v/>
      </c>
      <c r="Y4167" s="79" t="str">
        <f>IF(AND(OR(N4167="131",O4167="131"),H4167='131-CT'!$H$9),"x","")</f>
        <v/>
      </c>
      <c r="Z4167" s="79"/>
      <c r="AA4167" s="79" t="str">
        <f>IF(AND(MONTH(E4167)='IN-NX'!$J$5,'IN-NX'!$D$7=D4167),"x","")</f>
        <v/>
      </c>
      <c r="AB4167" s="79" t="str">
        <f>IF(AND(OR(LEFT(TH!N4167,2)="15",LEFT(TH!O4167,2)="15"),LEFT(TH!O4167,3)&lt;&gt;"111",'152-CT'!$J$8=TH!F4167),"x","")</f>
        <v/>
      </c>
      <c r="AC4167" s="79" t="str">
        <f>IF(AND(OR(LEFT(TH!N4167,2)="15",LEFT(TH!O4167,2)="15"),TK!$E$7=TH!F4167),"x","")</f>
        <v/>
      </c>
      <c r="AD4167" s="79" t="str">
        <f>IF(AND(N4167="1521",MONTH(C4167)='BK-NL'!$M$11),"x","")</f>
        <v/>
      </c>
    </row>
    <row r="4168" spans="1:30" ht="16.5" customHeight="1">
      <c r="A4168" s="318" t="str">
        <f>IF(B4168&lt;&gt;"",IF(AND(B4168='[3]IN-TC'!$S$4,OR([3]TH!N3401="1111",[3]TH!O3401="1111")),[3]TH!D3401,""),"")</f>
        <v/>
      </c>
      <c r="B4168" s="60" t="str">
        <f t="shared" si="432"/>
        <v/>
      </c>
      <c r="C4168" s="974"/>
      <c r="D4168" s="974"/>
      <c r="E4168" s="974"/>
      <c r="F4168" s="975"/>
      <c r="G4168" s="975"/>
      <c r="H4168" s="759"/>
      <c r="I4168" s="1247"/>
      <c r="J4168" s="391"/>
      <c r="K4168" s="1247"/>
      <c r="L4168" s="1248"/>
      <c r="M4168" s="78"/>
      <c r="N4168" s="979"/>
      <c r="O4168" s="979"/>
      <c r="P4168" s="79" t="str">
        <f>IF(AND('331-CT'!$E$7=TH!H4168,OR(N4168="331",O4168="331")),"x","")</f>
        <v/>
      </c>
      <c r="Q4168" s="79" t="str">
        <f>IF(AND(B4168='111'!$L$11,OR($N4168=$Q$7,$O4168=$Q$7)),"x","")</f>
        <v/>
      </c>
      <c r="R4168" s="79" t="str">
        <f>IF(AND($N4168=$Q$7,$B4168&lt;'111'!$L$11),"x","")</f>
        <v/>
      </c>
      <c r="S4168" s="79" t="str">
        <f>IF(AND($O4168=$Q$7,$B4168&lt;'111'!$L$11),"x","")</f>
        <v/>
      </c>
      <c r="T4168" s="79" t="str">
        <f>IF(ISERROR(FIND('112'!$M$9,G4168,1)),"",IF((AND(FIND('112'!$M$9,G4168,1)&gt;=1,B4168='112'!$K$9,OR($N4168='112'!$I$6,$O4168='112'!$I$6))),"x",""))</f>
        <v/>
      </c>
      <c r="U4168" s="79" t="str">
        <f>IF(ISERROR(FIND('112'!$M$9,G4168,1)),"",IF((AND(LEFT(G4168,2)=LEFT('112'!$M$9,2),B4168&lt;'112'!$K$9,$N4168='112'!$I$6)),"x",""))</f>
        <v/>
      </c>
      <c r="V4168" s="79" t="str">
        <f>IF(ISERROR(FIND('112'!$M$9,G4168,1)),"",IF((AND(RIGHT(G4168,2)=RIGHT('112'!$M$9,2),B4168&lt;'112'!$K$9,$O4168='112'!$I$6)),"x",""))</f>
        <v/>
      </c>
      <c r="W4168" s="79" t="str">
        <f>IF(AND('341-CT'!$H$9=H4168,OR(LEFT(N4168,3)=$W$7,LEFT(O4168,3)=$W$7)),"x","")</f>
        <v/>
      </c>
      <c r="X4168" s="79" t="str">
        <f>IF(OR(TH!N4168=TH!$X$7,O4168=TH!$X$7),"x","")</f>
        <v/>
      </c>
      <c r="Y4168" s="79" t="str">
        <f>IF(AND(OR(N4168="131",O4168="131"),H4168='131-CT'!$H$9),"x","")</f>
        <v/>
      </c>
      <c r="Z4168" s="79"/>
      <c r="AA4168" s="79" t="str">
        <f>IF(AND(MONTH(E4168)='IN-NX'!$J$5,'IN-NX'!$D$7=D4168),"x","")</f>
        <v/>
      </c>
      <c r="AB4168" s="79" t="str">
        <f>IF(AND(OR(LEFT(TH!N4168,2)="15",LEFT(TH!O4168,2)="15"),LEFT(TH!O4168,3)&lt;&gt;"111",'152-CT'!$J$8=TH!F4168),"x","")</f>
        <v/>
      </c>
      <c r="AC4168" s="79" t="str">
        <f>IF(AND(OR(LEFT(TH!N4168,2)="15",LEFT(TH!O4168,2)="15"),TK!$E$7=TH!F4168),"x","")</f>
        <v/>
      </c>
      <c r="AD4168" s="79" t="str">
        <f>IF(AND(N4168="1521",MONTH(C4168)='BK-NL'!$M$11),"x","")</f>
        <v/>
      </c>
    </row>
    <row r="4169" spans="1:30" ht="16.5" customHeight="1">
      <c r="A4169" s="318" t="str">
        <f>IF(B4169&lt;&gt;"",IF(AND(B4169='[3]IN-TC'!$S$4,OR([3]TH!N3402="1111",[3]TH!O3402="1111")),[3]TH!D3402,""),"")</f>
        <v/>
      </c>
      <c r="B4169" s="60" t="str">
        <f t="shared" si="432"/>
        <v/>
      </c>
      <c r="C4169" s="974"/>
      <c r="D4169" s="974"/>
      <c r="E4169" s="974"/>
      <c r="F4169" s="76"/>
      <c r="G4169" s="975"/>
      <c r="H4169" s="305"/>
      <c r="I4169" s="1247"/>
      <c r="J4169" s="391"/>
      <c r="K4169" s="1247"/>
      <c r="L4169" s="1248"/>
      <c r="M4169" s="978"/>
      <c r="N4169" s="979"/>
      <c r="O4169" s="979"/>
      <c r="P4169" s="79" t="str">
        <f>IF(AND('331-CT'!$E$7=TH!H4169,OR(N4169="331",O4169="331")),"x","")</f>
        <v/>
      </c>
      <c r="Q4169" s="79" t="str">
        <f>IF(AND(B4169='111'!$L$11,OR($N4169=$Q$7,$O4169=$Q$7)),"x","")</f>
        <v/>
      </c>
      <c r="R4169" s="79" t="str">
        <f>IF(AND($N4169=$Q$7,$B4169&lt;'111'!$L$11),"x","")</f>
        <v/>
      </c>
      <c r="S4169" s="79" t="str">
        <f>IF(AND($O4169=$Q$7,$B4169&lt;'111'!$L$11),"x","")</f>
        <v/>
      </c>
      <c r="T4169" s="79" t="str">
        <f>IF(ISERROR(FIND('112'!$M$9,G4169,1)),"",IF((AND(FIND('112'!$M$9,G4169,1)&gt;=1,B4169='112'!$K$9,OR($N4169='112'!$I$6,$O4169='112'!$I$6))),"x",""))</f>
        <v/>
      </c>
      <c r="U4169" s="79" t="str">
        <f>IF(ISERROR(FIND('112'!$M$9,G4169,1)),"",IF((AND(LEFT(G4169,2)=LEFT('112'!$M$9,2),B4169&lt;'112'!$K$9,$N4169='112'!$I$6)),"x",""))</f>
        <v/>
      </c>
      <c r="V4169" s="79" t="str">
        <f>IF(ISERROR(FIND('112'!$M$9,G4169,1)),"",IF((AND(RIGHT(G4169,2)=RIGHT('112'!$M$9,2),B4169&lt;'112'!$K$9,$O4169='112'!$I$6)),"x",""))</f>
        <v/>
      </c>
      <c r="W4169" s="79" t="str">
        <f>IF(AND('341-CT'!$H$9=H4169,OR(LEFT(N4169,3)=$W$7,LEFT(O4169,3)=$W$7)),"x","")</f>
        <v/>
      </c>
      <c r="X4169" s="79" t="str">
        <f>IF(OR(TH!N4169=TH!$X$7,O4169=TH!$X$7),"x","")</f>
        <v/>
      </c>
      <c r="Y4169" s="79" t="str">
        <f>IF(AND(OR(N4169="131",O4169="131"),H4169='131-CT'!$H$9),"x","")</f>
        <v/>
      </c>
      <c r="Z4169" s="79"/>
      <c r="AA4169" s="79" t="str">
        <f>IF(AND(MONTH(E4169)='IN-NX'!$J$5,'IN-NX'!$D$7=D4169),"x","")</f>
        <v/>
      </c>
      <c r="AB4169" s="79" t="str">
        <f>IF(AND(OR(LEFT(TH!N4169,2)="15",LEFT(TH!O4169,2)="15"),LEFT(TH!O4169,3)&lt;&gt;"111",'152-CT'!$J$8=TH!F4169),"x","")</f>
        <v/>
      </c>
      <c r="AC4169" s="79" t="str">
        <f>IF(AND(OR(LEFT(TH!N4169,2)="15",LEFT(TH!O4169,2)="15"),TK!$E$7=TH!F4169),"x","")</f>
        <v/>
      </c>
      <c r="AD4169" s="79" t="str">
        <f>IF(AND(N4169="1521",MONTH(C4169)='BK-NL'!$M$11),"x","")</f>
        <v/>
      </c>
    </row>
    <row r="4170" spans="1:30" ht="16.5" customHeight="1">
      <c r="A4170" s="318" t="str">
        <f>IF(B4170&lt;&gt;"",IF(AND(B4170='[3]IN-TC'!$S$4,OR([3]TH!N3403="1111",[3]TH!O3403="1111")),[3]TH!D3403,""),"")</f>
        <v/>
      </c>
      <c r="B4170" s="60" t="str">
        <f t="shared" si="432"/>
        <v/>
      </c>
      <c r="C4170" s="974"/>
      <c r="D4170" s="974"/>
      <c r="E4170" s="974"/>
      <c r="F4170" s="975"/>
      <c r="G4170" s="975"/>
      <c r="H4170" s="305"/>
      <c r="I4170" s="1247"/>
      <c r="J4170" s="391"/>
      <c r="K4170" s="1247"/>
      <c r="L4170" s="1248"/>
      <c r="M4170" s="978"/>
      <c r="N4170" s="979"/>
      <c r="O4170" s="979"/>
      <c r="P4170" s="79" t="str">
        <f>IF(AND('331-CT'!$E$7=TH!H4170,OR(N4170="331",O4170="331")),"x","")</f>
        <v/>
      </c>
      <c r="Q4170" s="79" t="str">
        <f>IF(AND(B4170='111'!$L$11,OR($N4170=$Q$7,$O4170=$Q$7)),"x","")</f>
        <v/>
      </c>
      <c r="R4170" s="79" t="str">
        <f>IF(AND($N4170=$Q$7,$B4170&lt;'111'!$L$11),"x","")</f>
        <v/>
      </c>
      <c r="S4170" s="79" t="str">
        <f>IF(AND($O4170=$Q$7,$B4170&lt;'111'!$L$11),"x","")</f>
        <v/>
      </c>
      <c r="T4170" s="79" t="str">
        <f>IF(ISERROR(FIND('112'!$M$9,G4170,1)),"",IF((AND(FIND('112'!$M$9,G4170,1)&gt;=1,B4170='112'!$K$9,OR($N4170='112'!$I$6,$O4170='112'!$I$6))),"x",""))</f>
        <v/>
      </c>
      <c r="U4170" s="79" t="str">
        <f>IF(ISERROR(FIND('112'!$M$9,G4170,1)),"",IF((AND(LEFT(G4170,2)=LEFT('112'!$M$9,2),B4170&lt;'112'!$K$9,$N4170='112'!$I$6)),"x",""))</f>
        <v/>
      </c>
      <c r="V4170" s="79" t="str">
        <f>IF(ISERROR(FIND('112'!$M$9,G4170,1)),"",IF((AND(RIGHT(G4170,2)=RIGHT('112'!$M$9,2),B4170&lt;'112'!$K$9,$O4170='112'!$I$6)),"x",""))</f>
        <v/>
      </c>
      <c r="W4170" s="79" t="str">
        <f>IF(AND('341-CT'!$H$9=H4170,OR(LEFT(N4170,3)=$W$7,LEFT(O4170,3)=$W$7)),"x","")</f>
        <v/>
      </c>
      <c r="X4170" s="79" t="str">
        <f>IF(OR(TH!N4170=TH!$X$7,O4170=TH!$X$7),"x","")</f>
        <v/>
      </c>
      <c r="Y4170" s="79" t="str">
        <f>IF(AND(OR(N4170="131",O4170="131"),H4170='131-CT'!$H$9),"x","")</f>
        <v/>
      </c>
      <c r="Z4170" s="79"/>
      <c r="AA4170" s="79" t="str">
        <f>IF(AND(MONTH(E4170)='IN-NX'!$J$5,'IN-NX'!$D$7=D4170),"x","")</f>
        <v/>
      </c>
      <c r="AB4170" s="79" t="str">
        <f>IF(AND(OR(LEFT(TH!N4170,2)="15",LEFT(TH!O4170,2)="15"),LEFT(TH!O4170,3)&lt;&gt;"111",'152-CT'!$J$8=TH!F4170),"x","")</f>
        <v/>
      </c>
      <c r="AC4170" s="79" t="str">
        <f>IF(AND(OR(LEFT(TH!N4170,2)="15",LEFT(TH!O4170,2)="15"),TK!$E$7=TH!F4170),"x","")</f>
        <v/>
      </c>
      <c r="AD4170" s="79" t="str">
        <f>IF(AND(N4170="1521",MONTH(C4170)='BK-NL'!$M$11),"x","")</f>
        <v/>
      </c>
    </row>
    <row r="4171" spans="1:30" ht="16.5" customHeight="1">
      <c r="A4171" s="318" t="str">
        <f>IF(B4171&lt;&gt;"",IF(AND(B4171='[3]IN-TC'!$S$4,OR([3]TH!N3404="1111",[3]TH!O3404="1111")),[3]TH!D3404,""),"")</f>
        <v/>
      </c>
      <c r="B4171" s="60" t="str">
        <f t="shared" si="432"/>
        <v/>
      </c>
      <c r="C4171" s="974"/>
      <c r="D4171" s="974"/>
      <c r="E4171" s="974"/>
      <c r="F4171" s="975"/>
      <c r="G4171" s="975"/>
      <c r="H4171" s="305"/>
      <c r="I4171" s="1247"/>
      <c r="J4171" s="391"/>
      <c r="K4171" s="1247"/>
      <c r="L4171" s="1248"/>
      <c r="M4171" s="78"/>
      <c r="N4171" s="979"/>
      <c r="O4171" s="979"/>
      <c r="P4171" s="79" t="str">
        <f>IF(AND('331-CT'!$E$7=TH!H4171,OR(N4171="331",O4171="331")),"x","")</f>
        <v/>
      </c>
      <c r="Q4171" s="79" t="str">
        <f>IF(AND(B4171='111'!$L$11,OR($N4171=$Q$7,$O4171=$Q$7)),"x","")</f>
        <v/>
      </c>
      <c r="R4171" s="79" t="str">
        <f>IF(AND($N4171=$Q$7,$B4171&lt;'111'!$L$11),"x","")</f>
        <v/>
      </c>
      <c r="S4171" s="79" t="str">
        <f>IF(AND($O4171=$Q$7,$B4171&lt;'111'!$L$11),"x","")</f>
        <v/>
      </c>
      <c r="T4171" s="79" t="str">
        <f>IF(ISERROR(FIND('112'!$M$9,G4171,1)),"",IF((AND(FIND('112'!$M$9,G4171,1)&gt;=1,B4171='112'!$K$9,OR($N4171='112'!$I$6,$O4171='112'!$I$6))),"x",""))</f>
        <v/>
      </c>
      <c r="U4171" s="79" t="str">
        <f>IF(ISERROR(FIND('112'!$M$9,G4171,1)),"",IF((AND(LEFT(G4171,2)=LEFT('112'!$M$9,2),B4171&lt;'112'!$K$9,$N4171='112'!$I$6)),"x",""))</f>
        <v/>
      </c>
      <c r="V4171" s="79" t="str">
        <f>IF(ISERROR(FIND('112'!$M$9,G4171,1)),"",IF((AND(RIGHT(G4171,2)=RIGHT('112'!$M$9,2),B4171&lt;'112'!$K$9,$O4171='112'!$I$6)),"x",""))</f>
        <v/>
      </c>
      <c r="W4171" s="79" t="str">
        <f>IF(AND('341-CT'!$H$9=H4171,OR(LEFT(N4171,3)=$W$7,LEFT(O4171,3)=$W$7)),"x","")</f>
        <v/>
      </c>
      <c r="X4171" s="79" t="str">
        <f>IF(OR(TH!N4171=TH!$X$7,O4171=TH!$X$7),"x","")</f>
        <v/>
      </c>
      <c r="Y4171" s="79" t="str">
        <f>IF(AND(OR(N4171="131",O4171="131"),H4171='131-CT'!$H$9),"x","")</f>
        <v/>
      </c>
      <c r="Z4171" s="79"/>
      <c r="AA4171" s="79" t="str">
        <f>IF(AND(MONTH(E4171)='IN-NX'!$J$5,'IN-NX'!$D$7=D4171),"x","")</f>
        <v/>
      </c>
      <c r="AB4171" s="79" t="str">
        <f>IF(AND(OR(LEFT(TH!N4171,2)="15",LEFT(TH!O4171,2)="15"),LEFT(TH!O4171,3)&lt;&gt;"111",'152-CT'!$J$8=TH!F4171),"x","")</f>
        <v/>
      </c>
      <c r="AC4171" s="79" t="str">
        <f>IF(AND(OR(LEFT(TH!N4171,2)="15",LEFT(TH!O4171,2)="15"),TK!$E$7=TH!F4171),"x","")</f>
        <v/>
      </c>
      <c r="AD4171" s="79" t="str">
        <f>IF(AND(N4171="1521",MONTH(C4171)='BK-NL'!$M$11),"x","")</f>
        <v/>
      </c>
    </row>
    <row r="4172" spans="1:30" ht="16.5" customHeight="1">
      <c r="A4172" s="318" t="str">
        <f>IF(B4172&lt;&gt;"",IF(AND(B4172='[3]IN-TC'!$S$4,OR([3]TH!N3405="1111",[3]TH!O3405="1111")),[3]TH!D3405,""),"")</f>
        <v/>
      </c>
      <c r="B4172" s="60" t="str">
        <f t="shared" si="432"/>
        <v/>
      </c>
      <c r="C4172" s="974"/>
      <c r="D4172" s="974"/>
      <c r="E4172" s="974"/>
      <c r="F4172" s="76"/>
      <c r="G4172" s="975"/>
      <c r="H4172" s="305"/>
      <c r="I4172" s="1247"/>
      <c r="J4172" s="391"/>
      <c r="K4172" s="1247"/>
      <c r="L4172" s="1248"/>
      <c r="M4172" s="978"/>
      <c r="N4172" s="979"/>
      <c r="O4172" s="979"/>
      <c r="P4172" s="79" t="str">
        <f>IF(AND('331-CT'!$E$7=TH!H4172,OR(N4172="331",O4172="331")),"x","")</f>
        <v/>
      </c>
      <c r="Q4172" s="79" t="str">
        <f>IF(AND(B4172='111'!$L$11,OR($N4172=$Q$7,$O4172=$Q$7)),"x","")</f>
        <v/>
      </c>
      <c r="R4172" s="79" t="str">
        <f>IF(AND($N4172=$Q$7,$B4172&lt;'111'!$L$11),"x","")</f>
        <v/>
      </c>
      <c r="S4172" s="79" t="str">
        <f>IF(AND($O4172=$Q$7,$B4172&lt;'111'!$L$11),"x","")</f>
        <v/>
      </c>
      <c r="T4172" s="79" t="str">
        <f>IF(ISERROR(FIND('112'!$M$9,G4172,1)),"",IF((AND(FIND('112'!$M$9,G4172,1)&gt;=1,B4172='112'!$K$9,OR($N4172='112'!$I$6,$O4172='112'!$I$6))),"x",""))</f>
        <v/>
      </c>
      <c r="U4172" s="79" t="str">
        <f>IF(ISERROR(FIND('112'!$M$9,G4172,1)),"",IF((AND(LEFT(G4172,2)=LEFT('112'!$M$9,2),B4172&lt;'112'!$K$9,$N4172='112'!$I$6)),"x",""))</f>
        <v/>
      </c>
      <c r="V4172" s="79" t="str">
        <f>IF(ISERROR(FIND('112'!$M$9,G4172,1)),"",IF((AND(RIGHT(G4172,2)=RIGHT('112'!$M$9,2),B4172&lt;'112'!$K$9,$O4172='112'!$I$6)),"x",""))</f>
        <v/>
      </c>
      <c r="W4172" s="79" t="str">
        <f>IF(AND('341-CT'!$H$9=H4172,OR(LEFT(N4172,3)=$W$7,LEFT(O4172,3)=$W$7)),"x","")</f>
        <v/>
      </c>
      <c r="X4172" s="79" t="str">
        <f>IF(OR(TH!N4172=TH!$X$7,O4172=TH!$X$7),"x","")</f>
        <v/>
      </c>
      <c r="Y4172" s="79" t="str">
        <f>IF(AND(OR(N4172="131",O4172="131"),H4172='131-CT'!$H$9),"x","")</f>
        <v/>
      </c>
      <c r="Z4172" s="79"/>
      <c r="AA4172" s="79" t="str">
        <f>IF(AND(MONTH(E4172)='IN-NX'!$J$5,'IN-NX'!$D$7=D4172),"x","")</f>
        <v/>
      </c>
      <c r="AB4172" s="79" t="str">
        <f>IF(AND(OR(LEFT(TH!N4172,2)="15",LEFT(TH!O4172,2)="15"),LEFT(TH!O4172,3)&lt;&gt;"111",'152-CT'!$J$8=TH!F4172),"x","")</f>
        <v/>
      </c>
      <c r="AC4172" s="79" t="str">
        <f>IF(AND(OR(LEFT(TH!N4172,2)="15",LEFT(TH!O4172,2)="15"),TK!$E$7=TH!F4172),"x","")</f>
        <v/>
      </c>
      <c r="AD4172" s="79" t="str">
        <f>IF(AND(N4172="1521",MONTH(C4172)='BK-NL'!$M$11),"x","")</f>
        <v/>
      </c>
    </row>
    <row r="4173" spans="1:30" ht="16.5" customHeight="1">
      <c r="A4173" s="318" t="str">
        <f>IF(B4173&lt;&gt;"",IF(AND(B4173='[3]IN-TC'!$S$4,OR([3]TH!N3406="1111",[3]TH!O3406="1111")),[3]TH!D3406,""),"")</f>
        <v/>
      </c>
      <c r="B4173" s="60" t="str">
        <f t="shared" si="432"/>
        <v/>
      </c>
      <c r="C4173" s="974"/>
      <c r="D4173" s="974"/>
      <c r="E4173" s="974"/>
      <c r="F4173" s="975"/>
      <c r="G4173" s="975"/>
      <c r="H4173" s="305"/>
      <c r="I4173" s="1247"/>
      <c r="J4173" s="391"/>
      <c r="K4173" s="1247"/>
      <c r="L4173" s="1248"/>
      <c r="M4173" s="978"/>
      <c r="N4173" s="979"/>
      <c r="O4173" s="979"/>
      <c r="P4173" s="79" t="str">
        <f>IF(AND('331-CT'!$E$7=TH!H4173,OR(N4173="331",O4173="331")),"x","")</f>
        <v/>
      </c>
      <c r="Q4173" s="79" t="str">
        <f>IF(AND(B4173='111'!$L$11,OR($N4173=$Q$7,$O4173=$Q$7)),"x","")</f>
        <v/>
      </c>
      <c r="R4173" s="79" t="str">
        <f>IF(AND($N4173=$Q$7,$B4173&lt;'111'!$L$11),"x","")</f>
        <v/>
      </c>
      <c r="S4173" s="79" t="str">
        <f>IF(AND($O4173=$Q$7,$B4173&lt;'111'!$L$11),"x","")</f>
        <v/>
      </c>
      <c r="T4173" s="79" t="str">
        <f>IF(ISERROR(FIND('112'!$M$9,G4173,1)),"",IF((AND(FIND('112'!$M$9,G4173,1)&gt;=1,B4173='112'!$K$9,OR($N4173='112'!$I$6,$O4173='112'!$I$6))),"x",""))</f>
        <v/>
      </c>
      <c r="U4173" s="79" t="str">
        <f>IF(ISERROR(FIND('112'!$M$9,G4173,1)),"",IF((AND(LEFT(G4173,2)=LEFT('112'!$M$9,2),B4173&lt;'112'!$K$9,$N4173='112'!$I$6)),"x",""))</f>
        <v/>
      </c>
      <c r="V4173" s="79" t="str">
        <f>IF(ISERROR(FIND('112'!$M$9,G4173,1)),"",IF((AND(RIGHT(G4173,2)=RIGHT('112'!$M$9,2),B4173&lt;'112'!$K$9,$O4173='112'!$I$6)),"x",""))</f>
        <v/>
      </c>
      <c r="W4173" s="79" t="str">
        <f>IF(AND('341-CT'!$H$9=H4173,OR(LEFT(N4173,3)=$W$7,LEFT(O4173,3)=$W$7)),"x","")</f>
        <v/>
      </c>
      <c r="X4173" s="79" t="str">
        <f>IF(OR(TH!N4173=TH!$X$7,O4173=TH!$X$7),"x","")</f>
        <v/>
      </c>
      <c r="Y4173" s="79" t="str">
        <f>IF(AND(OR(N4173="131",O4173="131"),H4173='131-CT'!$H$9),"x","")</f>
        <v/>
      </c>
      <c r="Z4173" s="79"/>
      <c r="AA4173" s="79" t="str">
        <f>IF(AND(MONTH(E4173)='IN-NX'!$J$5,'IN-NX'!$D$7=D4173),"x","")</f>
        <v/>
      </c>
      <c r="AB4173" s="79" t="str">
        <f>IF(AND(OR(LEFT(TH!N4173,2)="15",LEFT(TH!O4173,2)="15"),LEFT(TH!O4173,3)&lt;&gt;"111",'152-CT'!$J$8=TH!F4173),"x","")</f>
        <v/>
      </c>
      <c r="AC4173" s="79" t="str">
        <f>IF(AND(OR(LEFT(TH!N4173,2)="15",LEFT(TH!O4173,2)="15"),TK!$E$7=TH!F4173),"x","")</f>
        <v/>
      </c>
      <c r="AD4173" s="79" t="str">
        <f>IF(AND(N4173="1521",MONTH(C4173)='BK-NL'!$M$11),"x","")</f>
        <v/>
      </c>
    </row>
    <row r="4174" spans="1:30" ht="16.5" customHeight="1">
      <c r="A4174" s="318" t="str">
        <f>IF(B4174&lt;&gt;"",IF(AND(B4174='[3]IN-TC'!$S$4,OR([3]TH!N3407="1111",[3]TH!O3407="1111")),[3]TH!D3407,""),"")</f>
        <v/>
      </c>
      <c r="B4174" s="60" t="str">
        <f t="shared" si="432"/>
        <v/>
      </c>
      <c r="C4174" s="974"/>
      <c r="D4174" s="974"/>
      <c r="E4174" s="974"/>
      <c r="F4174" s="975"/>
      <c r="G4174" s="975"/>
      <c r="H4174" s="305"/>
      <c r="I4174" s="1247"/>
      <c r="J4174" s="391"/>
      <c r="K4174" s="1247"/>
      <c r="L4174" s="1248"/>
      <c r="M4174" s="78"/>
      <c r="N4174" s="979"/>
      <c r="O4174" s="979"/>
      <c r="P4174" s="79" t="str">
        <f>IF(AND('331-CT'!$E$7=TH!H4174,OR(N4174="331",O4174="331")),"x","")</f>
        <v/>
      </c>
      <c r="Q4174" s="79" t="str">
        <f>IF(AND(B4174='111'!$L$11,OR($N4174=$Q$7,$O4174=$Q$7)),"x","")</f>
        <v/>
      </c>
      <c r="R4174" s="79" t="str">
        <f>IF(AND($N4174=$Q$7,$B4174&lt;'111'!$L$11),"x","")</f>
        <v/>
      </c>
      <c r="S4174" s="79" t="str">
        <f>IF(AND($O4174=$Q$7,$B4174&lt;'111'!$L$11),"x","")</f>
        <v/>
      </c>
      <c r="T4174" s="79" t="str">
        <f>IF(ISERROR(FIND('112'!$M$9,G4174,1)),"",IF((AND(FIND('112'!$M$9,G4174,1)&gt;=1,B4174='112'!$K$9,OR($N4174='112'!$I$6,$O4174='112'!$I$6))),"x",""))</f>
        <v/>
      </c>
      <c r="U4174" s="79" t="str">
        <f>IF(ISERROR(FIND('112'!$M$9,G4174,1)),"",IF((AND(LEFT(G4174,2)=LEFT('112'!$M$9,2),B4174&lt;'112'!$K$9,$N4174='112'!$I$6)),"x",""))</f>
        <v/>
      </c>
      <c r="V4174" s="79" t="str">
        <f>IF(ISERROR(FIND('112'!$M$9,G4174,1)),"",IF((AND(RIGHT(G4174,2)=RIGHT('112'!$M$9,2),B4174&lt;'112'!$K$9,$O4174='112'!$I$6)),"x",""))</f>
        <v/>
      </c>
      <c r="W4174" s="79" t="str">
        <f>IF(AND('341-CT'!$H$9=H4174,OR(LEFT(N4174,3)=$W$7,LEFT(O4174,3)=$W$7)),"x","")</f>
        <v/>
      </c>
      <c r="X4174" s="79" t="str">
        <f>IF(OR(TH!N4174=TH!$X$7,O4174=TH!$X$7),"x","")</f>
        <v/>
      </c>
      <c r="Y4174" s="79" t="str">
        <f>IF(AND(OR(N4174="131",O4174="131"),H4174='131-CT'!$H$9),"x","")</f>
        <v/>
      </c>
      <c r="Z4174" s="79"/>
      <c r="AA4174" s="79" t="str">
        <f>IF(AND(MONTH(E4174)='IN-NX'!$J$5,'IN-NX'!$D$7=D4174),"x","")</f>
        <v/>
      </c>
      <c r="AB4174" s="79" t="str">
        <f>IF(AND(OR(LEFT(TH!N4174,2)="15",LEFT(TH!O4174,2)="15"),LEFT(TH!O4174,3)&lt;&gt;"111",'152-CT'!$J$8=TH!F4174),"x","")</f>
        <v/>
      </c>
      <c r="AC4174" s="79" t="str">
        <f>IF(AND(OR(LEFT(TH!N4174,2)="15",LEFT(TH!O4174,2)="15"),TK!$E$7=TH!F4174),"x","")</f>
        <v/>
      </c>
      <c r="AD4174" s="79" t="str">
        <f>IF(AND(N4174="1521",MONTH(C4174)='BK-NL'!$M$11),"x","")</f>
        <v/>
      </c>
    </row>
    <row r="4175" spans="1:30" ht="16.5" customHeight="1">
      <c r="A4175" s="318" t="str">
        <f>IF(B4175&lt;&gt;"",IF(AND(B4175='[3]IN-TC'!$S$4,OR([3]TH!N3408="1111",[3]TH!O3408="1111")),[3]TH!D3408,""),"")</f>
        <v/>
      </c>
      <c r="B4175" s="60" t="str">
        <f t="shared" si="432"/>
        <v/>
      </c>
      <c r="C4175" s="974"/>
      <c r="D4175" s="974"/>
      <c r="E4175" s="974"/>
      <c r="F4175" s="975"/>
      <c r="G4175" s="975"/>
      <c r="H4175" s="759"/>
      <c r="I4175" s="1247"/>
      <c r="J4175" s="391"/>
      <c r="K4175" s="1247"/>
      <c r="L4175" s="1248"/>
      <c r="M4175" s="978"/>
      <c r="N4175" s="979"/>
      <c r="O4175" s="979"/>
      <c r="P4175" s="79" t="str">
        <f>IF(AND('331-CT'!$E$7=TH!H4175,OR(N4175="331",O4175="331")),"x","")</f>
        <v/>
      </c>
      <c r="Q4175" s="79" t="str">
        <f>IF(AND(B4175='111'!$L$11,OR($N4175=$Q$7,$O4175=$Q$7)),"x","")</f>
        <v/>
      </c>
      <c r="R4175" s="79" t="str">
        <f>IF(AND($N4175=$Q$7,$B4175&lt;'111'!$L$11),"x","")</f>
        <v/>
      </c>
      <c r="S4175" s="79" t="str">
        <f>IF(AND($O4175=$Q$7,$B4175&lt;'111'!$L$11),"x","")</f>
        <v/>
      </c>
      <c r="T4175" s="79" t="str">
        <f>IF(ISERROR(FIND('112'!$M$9,G4175,1)),"",IF((AND(FIND('112'!$M$9,G4175,1)&gt;=1,B4175='112'!$K$9,OR($N4175='112'!$I$6,$O4175='112'!$I$6))),"x",""))</f>
        <v/>
      </c>
      <c r="U4175" s="79" t="str">
        <f>IF(ISERROR(FIND('112'!$M$9,G4175,1)),"",IF((AND(LEFT(G4175,2)=LEFT('112'!$M$9,2),B4175&lt;'112'!$K$9,$N4175='112'!$I$6)),"x",""))</f>
        <v/>
      </c>
      <c r="V4175" s="79" t="str">
        <f>IF(ISERROR(FIND('112'!$M$9,G4175,1)),"",IF((AND(RIGHT(G4175,2)=RIGHT('112'!$M$9,2),B4175&lt;'112'!$K$9,$O4175='112'!$I$6)),"x",""))</f>
        <v/>
      </c>
      <c r="W4175" s="79" t="str">
        <f>IF(AND('341-CT'!$H$9=H4175,OR(LEFT(N4175,3)=$W$7,LEFT(O4175,3)=$W$7)),"x","")</f>
        <v/>
      </c>
      <c r="X4175" s="79" t="str">
        <f>IF(OR(TH!N4175=TH!$X$7,O4175=TH!$X$7),"x","")</f>
        <v/>
      </c>
      <c r="Y4175" s="79" t="str">
        <f>IF(AND(OR(N4175="131",O4175="131"),H4175='131-CT'!$H$9),"x","")</f>
        <v/>
      </c>
      <c r="Z4175" s="79"/>
      <c r="AA4175" s="79" t="str">
        <f>IF(AND(MONTH(E4175)='IN-NX'!$J$5,'IN-NX'!$D$7=D4175),"x","")</f>
        <v/>
      </c>
      <c r="AB4175" s="79" t="str">
        <f>IF(AND(OR(LEFT(TH!N4175,2)="15",LEFT(TH!O4175,2)="15"),LEFT(TH!O4175,3)&lt;&gt;"111",'152-CT'!$J$8=TH!F4175),"x","")</f>
        <v/>
      </c>
      <c r="AC4175" s="79" t="str">
        <f>IF(AND(OR(LEFT(TH!N4175,2)="15",LEFT(TH!O4175,2)="15"),TK!$E$7=TH!F4175),"x","")</f>
        <v/>
      </c>
      <c r="AD4175" s="79" t="str">
        <f>IF(AND(N4175="1521",MONTH(C4175)='BK-NL'!$M$11),"x","")</f>
        <v/>
      </c>
    </row>
    <row r="4176" spans="1:30" ht="16.5" customHeight="1">
      <c r="A4176" s="318" t="str">
        <f>IF(B4176&lt;&gt;"",IF(AND(B4176='[3]IN-TC'!$S$4,OR([3]TH!N3409="1111",[3]TH!O3409="1111")),[3]TH!D3409,""),"")</f>
        <v/>
      </c>
      <c r="B4176" s="60" t="str">
        <f t="shared" si="432"/>
        <v/>
      </c>
      <c r="C4176" s="974"/>
      <c r="D4176" s="974"/>
      <c r="E4176" s="974"/>
      <c r="F4176" s="975"/>
      <c r="G4176" s="975"/>
      <c r="H4176" s="759"/>
      <c r="I4176" s="1247"/>
      <c r="J4176" s="391"/>
      <c r="K4176" s="1247"/>
      <c r="L4176" s="1248"/>
      <c r="M4176" s="78"/>
      <c r="N4176" s="979"/>
      <c r="O4176" s="979"/>
      <c r="P4176" s="79" t="str">
        <f>IF(AND('331-CT'!$E$7=TH!H4176,OR(N4176="331",O4176="331")),"x","")</f>
        <v/>
      </c>
      <c r="Q4176" s="79" t="str">
        <f>IF(AND(B4176='111'!$L$11,OR($N4176=$Q$7,$O4176=$Q$7)),"x","")</f>
        <v/>
      </c>
      <c r="R4176" s="79" t="str">
        <f>IF(AND($N4176=$Q$7,$B4176&lt;'111'!$L$11),"x","")</f>
        <v/>
      </c>
      <c r="S4176" s="79" t="str">
        <f>IF(AND($O4176=$Q$7,$B4176&lt;'111'!$L$11),"x","")</f>
        <v/>
      </c>
      <c r="T4176" s="79" t="str">
        <f>IF(ISERROR(FIND('112'!$M$9,G4176,1)),"",IF((AND(FIND('112'!$M$9,G4176,1)&gt;=1,B4176='112'!$K$9,OR($N4176='112'!$I$6,$O4176='112'!$I$6))),"x",""))</f>
        <v/>
      </c>
      <c r="U4176" s="79" t="str">
        <f>IF(ISERROR(FIND('112'!$M$9,G4176,1)),"",IF((AND(LEFT(G4176,2)=LEFT('112'!$M$9,2),B4176&lt;'112'!$K$9,$N4176='112'!$I$6)),"x",""))</f>
        <v/>
      </c>
      <c r="V4176" s="79" t="str">
        <f>IF(ISERROR(FIND('112'!$M$9,G4176,1)),"",IF((AND(RIGHT(G4176,2)=RIGHT('112'!$M$9,2),B4176&lt;'112'!$K$9,$O4176='112'!$I$6)),"x",""))</f>
        <v/>
      </c>
      <c r="W4176" s="79" t="str">
        <f>IF(AND('341-CT'!$H$9=H4176,OR(LEFT(N4176,3)=$W$7,LEFT(O4176,3)=$W$7)),"x","")</f>
        <v/>
      </c>
      <c r="X4176" s="79" t="str">
        <f>IF(OR(TH!N4176=TH!$X$7,O4176=TH!$X$7),"x","")</f>
        <v/>
      </c>
      <c r="Y4176" s="79" t="str">
        <f>IF(AND(OR(N4176="131",O4176="131"),H4176='131-CT'!$H$9),"x","")</f>
        <v/>
      </c>
      <c r="Z4176" s="79"/>
      <c r="AA4176" s="79" t="str">
        <f>IF(AND(MONTH(E4176)='IN-NX'!$J$5,'IN-NX'!$D$7=D4176),"x","")</f>
        <v/>
      </c>
      <c r="AB4176" s="79" t="str">
        <f>IF(AND(OR(LEFT(TH!N4176,2)="15",LEFT(TH!O4176,2)="15"),LEFT(TH!O4176,3)&lt;&gt;"111",'152-CT'!$J$8=TH!F4176),"x","")</f>
        <v/>
      </c>
      <c r="AC4176" s="79" t="str">
        <f>IF(AND(OR(LEFT(TH!N4176,2)="15",LEFT(TH!O4176,2)="15"),TK!$E$7=TH!F4176),"x","")</f>
        <v/>
      </c>
      <c r="AD4176" s="79" t="str">
        <f>IF(AND(N4176="1521",MONTH(C4176)='BK-NL'!$M$11),"x","")</f>
        <v/>
      </c>
    </row>
    <row r="4177" spans="1:30" ht="16.5" customHeight="1">
      <c r="A4177" s="318" t="str">
        <f>IF(B4177&lt;&gt;"",IF(AND(B4177='[3]IN-TC'!$S$4,OR([3]TH!N3410="1111",[3]TH!O3410="1111")),[3]TH!D3410,""),"")</f>
        <v/>
      </c>
      <c r="B4177" s="60" t="str">
        <f t="shared" si="432"/>
        <v/>
      </c>
      <c r="C4177" s="974"/>
      <c r="D4177" s="974"/>
      <c r="E4177" s="974"/>
      <c r="F4177" s="975"/>
      <c r="G4177" s="975"/>
      <c r="H4177" s="759"/>
      <c r="I4177" s="1247"/>
      <c r="J4177" s="391"/>
      <c r="K4177" s="1247"/>
      <c r="L4177" s="1248"/>
      <c r="M4177" s="78"/>
      <c r="N4177" s="979"/>
      <c r="O4177" s="979"/>
      <c r="P4177" s="79" t="str">
        <f>IF(AND('331-CT'!$E$7=TH!H4177,OR(N4177="331",O4177="331")),"x","")</f>
        <v/>
      </c>
      <c r="Q4177" s="79" t="str">
        <f>IF(AND(B4177='111'!$L$11,OR($N4177=$Q$7,$O4177=$Q$7)),"x","")</f>
        <v/>
      </c>
      <c r="R4177" s="79" t="str">
        <f>IF(AND($N4177=$Q$7,$B4177&lt;'111'!$L$11),"x","")</f>
        <v/>
      </c>
      <c r="S4177" s="79" t="str">
        <f>IF(AND($O4177=$Q$7,$B4177&lt;'111'!$L$11),"x","")</f>
        <v/>
      </c>
      <c r="T4177" s="79" t="str">
        <f>IF(ISERROR(FIND('112'!$M$9,G4177,1)),"",IF((AND(FIND('112'!$M$9,G4177,1)&gt;=1,B4177='112'!$K$9,OR($N4177='112'!$I$6,$O4177='112'!$I$6))),"x",""))</f>
        <v/>
      </c>
      <c r="U4177" s="79" t="str">
        <f>IF(ISERROR(FIND('112'!$M$9,G4177,1)),"",IF((AND(LEFT(G4177,2)=LEFT('112'!$M$9,2),B4177&lt;'112'!$K$9,$N4177='112'!$I$6)),"x",""))</f>
        <v/>
      </c>
      <c r="V4177" s="79" t="str">
        <f>IF(ISERROR(FIND('112'!$M$9,G4177,1)),"",IF((AND(RIGHT(G4177,2)=RIGHT('112'!$M$9,2),B4177&lt;'112'!$K$9,$O4177='112'!$I$6)),"x",""))</f>
        <v/>
      </c>
      <c r="W4177" s="79" t="str">
        <f>IF(AND('341-CT'!$H$9=H4177,OR(LEFT(N4177,3)=$W$7,LEFT(O4177,3)=$W$7)),"x","")</f>
        <v/>
      </c>
      <c r="X4177" s="79" t="str">
        <f>IF(OR(TH!N4177=TH!$X$7,O4177=TH!$X$7),"x","")</f>
        <v/>
      </c>
      <c r="Y4177" s="79" t="str">
        <f>IF(AND(OR(N4177="131",O4177="131"),H4177='131-CT'!$H$9),"x","")</f>
        <v/>
      </c>
      <c r="Z4177" s="79"/>
      <c r="AA4177" s="79" t="str">
        <f>IF(AND(MONTH(E4177)='IN-NX'!$J$5,'IN-NX'!$D$7=D4177),"x","")</f>
        <v/>
      </c>
      <c r="AB4177" s="79" t="str">
        <f>IF(AND(OR(LEFT(TH!N4177,2)="15",LEFT(TH!O4177,2)="15"),LEFT(TH!O4177,3)&lt;&gt;"111",'152-CT'!$J$8=TH!F4177),"x","")</f>
        <v/>
      </c>
      <c r="AC4177" s="79" t="str">
        <f>IF(AND(OR(LEFT(TH!N4177,2)="15",LEFT(TH!O4177,2)="15"),TK!$E$7=TH!F4177),"x","")</f>
        <v/>
      </c>
      <c r="AD4177" s="79" t="str">
        <f>IF(AND(N4177="1521",MONTH(C4177)='BK-NL'!$M$11),"x","")</f>
        <v/>
      </c>
    </row>
    <row r="4178" spans="1:30" ht="16.5" customHeight="1">
      <c r="A4178" s="318" t="str">
        <f>IF(B4178&lt;&gt;"",IF(AND(B4178='[3]IN-TC'!$S$4,OR([3]TH!N3411="1111",[3]TH!O3411="1111")),[3]TH!D3411,""),"")</f>
        <v/>
      </c>
      <c r="B4178" s="60" t="str">
        <f t="shared" si="432"/>
        <v/>
      </c>
      <c r="C4178" s="974"/>
      <c r="D4178" s="974"/>
      <c r="E4178" s="974"/>
      <c r="F4178" s="76"/>
      <c r="G4178" s="975"/>
      <c r="H4178" s="305"/>
      <c r="I4178" s="1247"/>
      <c r="J4178" s="391"/>
      <c r="K4178" s="1247"/>
      <c r="L4178" s="1248"/>
      <c r="M4178" s="978"/>
      <c r="N4178" s="979"/>
      <c r="O4178" s="979"/>
      <c r="P4178" s="79" t="str">
        <f>IF(AND('331-CT'!$E$7=TH!H4178,OR(N4178="331",O4178="331")),"x","")</f>
        <v/>
      </c>
      <c r="Q4178" s="79" t="str">
        <f>IF(AND(B4178='111'!$L$11,OR($N4178=$Q$7,$O4178=$Q$7)),"x","")</f>
        <v/>
      </c>
      <c r="R4178" s="79" t="str">
        <f>IF(AND($N4178=$Q$7,$B4178&lt;'111'!$L$11),"x","")</f>
        <v/>
      </c>
      <c r="S4178" s="79" t="str">
        <f>IF(AND($O4178=$Q$7,$B4178&lt;'111'!$L$11),"x","")</f>
        <v/>
      </c>
      <c r="T4178" s="79" t="str">
        <f>IF(ISERROR(FIND('112'!$M$9,G4178,1)),"",IF((AND(FIND('112'!$M$9,G4178,1)&gt;=1,B4178='112'!$K$9,OR($N4178='112'!$I$6,$O4178='112'!$I$6))),"x",""))</f>
        <v/>
      </c>
      <c r="U4178" s="79" t="str">
        <f>IF(ISERROR(FIND('112'!$M$9,G4178,1)),"",IF((AND(LEFT(G4178,2)=LEFT('112'!$M$9,2),B4178&lt;'112'!$K$9,$N4178='112'!$I$6)),"x",""))</f>
        <v/>
      </c>
      <c r="V4178" s="79" t="str">
        <f>IF(ISERROR(FIND('112'!$M$9,G4178,1)),"",IF((AND(RIGHT(G4178,2)=RIGHT('112'!$M$9,2),B4178&lt;'112'!$K$9,$O4178='112'!$I$6)),"x",""))</f>
        <v/>
      </c>
      <c r="W4178" s="79" t="str">
        <f>IF(AND('341-CT'!$H$9=H4178,OR(LEFT(N4178,3)=$W$7,LEFT(O4178,3)=$W$7)),"x","")</f>
        <v/>
      </c>
      <c r="X4178" s="79" t="str">
        <f>IF(OR(TH!N4178=TH!$X$7,O4178=TH!$X$7),"x","")</f>
        <v/>
      </c>
      <c r="Y4178" s="79" t="str">
        <f>IF(AND(OR(N4178="131",O4178="131"),H4178='131-CT'!$H$9),"x","")</f>
        <v/>
      </c>
      <c r="Z4178" s="79"/>
      <c r="AA4178" s="79" t="str">
        <f>IF(AND(MONTH(E4178)='IN-NX'!$J$5,'IN-NX'!$D$7=D4178),"x","")</f>
        <v/>
      </c>
      <c r="AB4178" s="79" t="str">
        <f>IF(AND(OR(LEFT(TH!N4178,2)="15",LEFT(TH!O4178,2)="15"),LEFT(TH!O4178,3)&lt;&gt;"111",'152-CT'!$J$8=TH!F4178),"x","")</f>
        <v/>
      </c>
      <c r="AC4178" s="79" t="str">
        <f>IF(AND(OR(LEFT(TH!N4178,2)="15",LEFT(TH!O4178,2)="15"),TK!$E$7=TH!F4178),"x","")</f>
        <v/>
      </c>
      <c r="AD4178" s="79" t="str">
        <f>IF(AND(N4178="1521",MONTH(C4178)='BK-NL'!$M$11),"x","")</f>
        <v/>
      </c>
    </row>
    <row r="4179" spans="1:30" ht="16.5" customHeight="1">
      <c r="A4179" s="318" t="str">
        <f>IF(B4179&lt;&gt;"",IF(AND(B4179='[3]IN-TC'!$S$4,OR([3]TH!N3412="1111",[3]TH!O3412="1111")),[3]TH!D3412,""),"")</f>
        <v/>
      </c>
      <c r="B4179" s="60" t="str">
        <f t="shared" si="432"/>
        <v/>
      </c>
      <c r="C4179" s="974"/>
      <c r="D4179" s="974"/>
      <c r="E4179" s="974"/>
      <c r="F4179" s="975"/>
      <c r="G4179" s="975"/>
      <c r="H4179" s="305"/>
      <c r="I4179" s="1247"/>
      <c r="J4179" s="391"/>
      <c r="K4179" s="1247"/>
      <c r="L4179" s="1248"/>
      <c r="M4179" s="978"/>
      <c r="N4179" s="979"/>
      <c r="O4179" s="979"/>
      <c r="P4179" s="79" t="str">
        <f>IF(AND('331-CT'!$E$7=TH!H4179,OR(N4179="331",O4179="331")),"x","")</f>
        <v/>
      </c>
      <c r="Q4179" s="79" t="str">
        <f>IF(AND(B4179='111'!$L$11,OR($N4179=$Q$7,$O4179=$Q$7)),"x","")</f>
        <v/>
      </c>
      <c r="R4179" s="79" t="str">
        <f>IF(AND($N4179=$Q$7,$B4179&lt;'111'!$L$11),"x","")</f>
        <v/>
      </c>
      <c r="S4179" s="79" t="str">
        <f>IF(AND($O4179=$Q$7,$B4179&lt;'111'!$L$11),"x","")</f>
        <v/>
      </c>
      <c r="T4179" s="79" t="str">
        <f>IF(ISERROR(FIND('112'!$M$9,G4179,1)),"",IF((AND(FIND('112'!$M$9,G4179,1)&gt;=1,B4179='112'!$K$9,OR($N4179='112'!$I$6,$O4179='112'!$I$6))),"x",""))</f>
        <v/>
      </c>
      <c r="U4179" s="79" t="str">
        <f>IF(ISERROR(FIND('112'!$M$9,G4179,1)),"",IF((AND(LEFT(G4179,2)=LEFT('112'!$M$9,2),B4179&lt;'112'!$K$9,$N4179='112'!$I$6)),"x",""))</f>
        <v/>
      </c>
      <c r="V4179" s="79" t="str">
        <f>IF(ISERROR(FIND('112'!$M$9,G4179,1)),"",IF((AND(RIGHT(G4179,2)=RIGHT('112'!$M$9,2),B4179&lt;'112'!$K$9,$O4179='112'!$I$6)),"x",""))</f>
        <v/>
      </c>
      <c r="W4179" s="79" t="str">
        <f>IF(AND('341-CT'!$H$9=H4179,OR(LEFT(N4179,3)=$W$7,LEFT(O4179,3)=$W$7)),"x","")</f>
        <v/>
      </c>
      <c r="X4179" s="79" t="str">
        <f>IF(OR(TH!N4179=TH!$X$7,O4179=TH!$X$7),"x","")</f>
        <v/>
      </c>
      <c r="Y4179" s="79" t="str">
        <f>IF(AND(OR(N4179="131",O4179="131"),H4179='131-CT'!$H$9),"x","")</f>
        <v/>
      </c>
      <c r="Z4179" s="79"/>
      <c r="AA4179" s="79" t="str">
        <f>IF(AND(MONTH(E4179)='IN-NX'!$J$5,'IN-NX'!$D$7=D4179),"x","")</f>
        <v/>
      </c>
      <c r="AB4179" s="79" t="str">
        <f>IF(AND(OR(LEFT(TH!N4179,2)="15",LEFT(TH!O4179,2)="15"),LEFT(TH!O4179,3)&lt;&gt;"111",'152-CT'!$J$8=TH!F4179),"x","")</f>
        <v/>
      </c>
      <c r="AC4179" s="79" t="str">
        <f>IF(AND(OR(LEFT(TH!N4179,2)="15",LEFT(TH!O4179,2)="15"),TK!$E$7=TH!F4179),"x","")</f>
        <v/>
      </c>
      <c r="AD4179" s="79" t="str">
        <f>IF(AND(N4179="1521",MONTH(C4179)='BK-NL'!$M$11),"x","")</f>
        <v/>
      </c>
    </row>
    <row r="4180" spans="1:30" ht="16.5" customHeight="1">
      <c r="A4180" s="318" t="str">
        <f>IF(B4180&lt;&gt;"",IF(AND(B4180='[3]IN-TC'!$S$4,OR([3]TH!N3413="1111",[3]TH!O3413="1111")),[3]TH!D3413,""),"")</f>
        <v/>
      </c>
      <c r="B4180" s="60" t="str">
        <f t="shared" si="432"/>
        <v/>
      </c>
      <c r="C4180" s="974"/>
      <c r="D4180" s="974"/>
      <c r="E4180" s="974"/>
      <c r="F4180" s="975"/>
      <c r="G4180" s="975"/>
      <c r="H4180" s="305"/>
      <c r="I4180" s="1247"/>
      <c r="J4180" s="391"/>
      <c r="K4180" s="1247"/>
      <c r="L4180" s="1248"/>
      <c r="M4180" s="78"/>
      <c r="N4180" s="979"/>
      <c r="O4180" s="979"/>
      <c r="P4180" s="79" t="str">
        <f>IF(AND('331-CT'!$E$7=TH!H4180,OR(N4180="331",O4180="331")),"x","")</f>
        <v/>
      </c>
      <c r="Q4180" s="79" t="str">
        <f>IF(AND(B4180='111'!$L$11,OR($N4180=$Q$7,$O4180=$Q$7)),"x","")</f>
        <v/>
      </c>
      <c r="R4180" s="79" t="str">
        <f>IF(AND($N4180=$Q$7,$B4180&lt;'111'!$L$11),"x","")</f>
        <v/>
      </c>
      <c r="S4180" s="79" t="str">
        <f>IF(AND($O4180=$Q$7,$B4180&lt;'111'!$L$11),"x","")</f>
        <v/>
      </c>
      <c r="T4180" s="79" t="str">
        <f>IF(ISERROR(FIND('112'!$M$9,G4180,1)),"",IF((AND(FIND('112'!$M$9,G4180,1)&gt;=1,B4180='112'!$K$9,OR($N4180='112'!$I$6,$O4180='112'!$I$6))),"x",""))</f>
        <v/>
      </c>
      <c r="U4180" s="79" t="str">
        <f>IF(ISERROR(FIND('112'!$M$9,G4180,1)),"",IF((AND(LEFT(G4180,2)=LEFT('112'!$M$9,2),B4180&lt;'112'!$K$9,$N4180='112'!$I$6)),"x",""))</f>
        <v/>
      </c>
      <c r="V4180" s="79" t="str">
        <f>IF(ISERROR(FIND('112'!$M$9,G4180,1)),"",IF((AND(RIGHT(G4180,2)=RIGHT('112'!$M$9,2),B4180&lt;'112'!$K$9,$O4180='112'!$I$6)),"x",""))</f>
        <v/>
      </c>
      <c r="W4180" s="79" t="str">
        <f>IF(AND('341-CT'!$H$9=H4180,OR(LEFT(N4180,3)=$W$7,LEFT(O4180,3)=$W$7)),"x","")</f>
        <v/>
      </c>
      <c r="X4180" s="79" t="str">
        <f>IF(OR(TH!N4180=TH!$X$7,O4180=TH!$X$7),"x","")</f>
        <v/>
      </c>
      <c r="Y4180" s="79" t="str">
        <f>IF(AND(OR(N4180="131",O4180="131"),H4180='131-CT'!$H$9),"x","")</f>
        <v/>
      </c>
      <c r="Z4180" s="79"/>
      <c r="AA4180" s="79" t="str">
        <f>IF(AND(MONTH(E4180)='IN-NX'!$J$5,'IN-NX'!$D$7=D4180),"x","")</f>
        <v/>
      </c>
      <c r="AB4180" s="79" t="str">
        <f>IF(AND(OR(LEFT(TH!N4180,2)="15",LEFT(TH!O4180,2)="15"),LEFT(TH!O4180,3)&lt;&gt;"111",'152-CT'!$J$8=TH!F4180),"x","")</f>
        <v/>
      </c>
      <c r="AC4180" s="79" t="str">
        <f>IF(AND(OR(LEFT(TH!N4180,2)="15",LEFT(TH!O4180,2)="15"),TK!$E$7=TH!F4180),"x","")</f>
        <v/>
      </c>
      <c r="AD4180" s="79" t="str">
        <f>IF(AND(N4180="1521",MONTH(C4180)='BK-NL'!$M$11),"x","")</f>
        <v/>
      </c>
    </row>
    <row r="4181" spans="1:30" ht="16.5" customHeight="1">
      <c r="A4181" s="318" t="str">
        <f>IF(B4181&lt;&gt;"",IF(AND(B4181='[3]IN-TC'!$S$4,OR([3]TH!N3414="1111",[3]TH!O3414="1111")),[3]TH!D3414,""),"")</f>
        <v/>
      </c>
      <c r="B4181" s="60" t="str">
        <f t="shared" si="432"/>
        <v/>
      </c>
      <c r="C4181" s="974"/>
      <c r="D4181" s="974"/>
      <c r="E4181" s="974"/>
      <c r="F4181" s="975"/>
      <c r="G4181" s="975"/>
      <c r="H4181" s="759"/>
      <c r="I4181" s="1247"/>
      <c r="J4181" s="391"/>
      <c r="K4181" s="1247"/>
      <c r="L4181" s="1248"/>
      <c r="M4181" s="978"/>
      <c r="N4181" s="979"/>
      <c r="O4181" s="979"/>
      <c r="P4181" s="79" t="str">
        <f>IF(AND('331-CT'!$E$7=TH!H4181,OR(N4181="331",O4181="331")),"x","")</f>
        <v/>
      </c>
      <c r="Q4181" s="79" t="str">
        <f>IF(AND(B4181='111'!$L$11,OR($N4181=$Q$7,$O4181=$Q$7)),"x","")</f>
        <v/>
      </c>
      <c r="R4181" s="79" t="str">
        <f>IF(AND($N4181=$Q$7,$B4181&lt;'111'!$L$11),"x","")</f>
        <v/>
      </c>
      <c r="S4181" s="79" t="str">
        <f>IF(AND($O4181=$Q$7,$B4181&lt;'111'!$L$11),"x","")</f>
        <v/>
      </c>
      <c r="T4181" s="79" t="str">
        <f>IF(ISERROR(FIND('112'!$M$9,G4181,1)),"",IF((AND(FIND('112'!$M$9,G4181,1)&gt;=1,B4181='112'!$K$9,OR($N4181='112'!$I$6,$O4181='112'!$I$6))),"x",""))</f>
        <v/>
      </c>
      <c r="U4181" s="79" t="str">
        <f>IF(ISERROR(FIND('112'!$M$9,G4181,1)),"",IF((AND(LEFT(G4181,2)=LEFT('112'!$M$9,2),B4181&lt;'112'!$K$9,$N4181='112'!$I$6)),"x",""))</f>
        <v/>
      </c>
      <c r="V4181" s="79" t="str">
        <f>IF(ISERROR(FIND('112'!$M$9,G4181,1)),"",IF((AND(RIGHT(G4181,2)=RIGHT('112'!$M$9,2),B4181&lt;'112'!$K$9,$O4181='112'!$I$6)),"x",""))</f>
        <v/>
      </c>
      <c r="W4181" s="79" t="str">
        <f>IF(AND('341-CT'!$H$9=H4181,OR(LEFT(N4181,3)=$W$7,LEFT(O4181,3)=$W$7)),"x","")</f>
        <v/>
      </c>
      <c r="X4181" s="79" t="str">
        <f>IF(OR(TH!N4181=TH!$X$7,O4181=TH!$X$7),"x","")</f>
        <v/>
      </c>
      <c r="Y4181" s="79" t="str">
        <f>IF(AND(OR(N4181="131",O4181="131"),H4181='131-CT'!$H$9),"x","")</f>
        <v/>
      </c>
      <c r="Z4181" s="79"/>
      <c r="AA4181" s="79" t="str">
        <f>IF(AND(MONTH(E4181)='IN-NX'!$J$5,'IN-NX'!$D$7=D4181),"x","")</f>
        <v/>
      </c>
      <c r="AB4181" s="79" t="str">
        <f>IF(AND(OR(LEFT(TH!N4181,2)="15",LEFT(TH!O4181,2)="15"),LEFT(TH!O4181,3)&lt;&gt;"111",'152-CT'!$J$8=TH!F4181),"x","")</f>
        <v/>
      </c>
      <c r="AC4181" s="79" t="str">
        <f>IF(AND(OR(LEFT(TH!N4181,2)="15",LEFT(TH!O4181,2)="15"),TK!$E$7=TH!F4181),"x","")</f>
        <v/>
      </c>
      <c r="AD4181" s="79" t="str">
        <f>IF(AND(N4181="1521",MONTH(C4181)='BK-NL'!$M$11),"x","")</f>
        <v/>
      </c>
    </row>
    <row r="4182" spans="1:30" ht="16.5" customHeight="1">
      <c r="A4182" s="318" t="str">
        <f>IF(B4182&lt;&gt;"",IF(AND(B4182='[3]IN-TC'!$S$4,OR([3]TH!N3415="1111",[3]TH!O3415="1111")),[3]TH!D3415,""),"")</f>
        <v/>
      </c>
      <c r="B4182" s="60" t="str">
        <f t="shared" ref="B4182:B4183" si="444">IF(C4182&lt;&gt;"",MONTH(C4182),"")</f>
        <v/>
      </c>
      <c r="C4182" s="974"/>
      <c r="D4182" s="974"/>
      <c r="E4182" s="974"/>
      <c r="F4182" s="975"/>
      <c r="G4182" s="975"/>
      <c r="H4182" s="759"/>
      <c r="I4182" s="1247"/>
      <c r="J4182" s="391"/>
      <c r="K4182" s="1247"/>
      <c r="L4182" s="1248"/>
      <c r="M4182" s="978"/>
      <c r="N4182" s="979"/>
      <c r="O4182" s="979"/>
      <c r="P4182" s="79" t="str">
        <f>IF(AND('331-CT'!$E$7=TH!H4182,OR(N4182="331",O4182="331")),"x","")</f>
        <v/>
      </c>
      <c r="Q4182" s="79" t="str">
        <f>IF(AND(B4182='111'!$L$11,OR($N4182=$Q$7,$O4182=$Q$7)),"x","")</f>
        <v/>
      </c>
      <c r="R4182" s="79" t="str">
        <f>IF(AND($N4182=$Q$7,$B4182&lt;'111'!$L$11),"x","")</f>
        <v/>
      </c>
      <c r="S4182" s="79" t="str">
        <f>IF(AND($O4182=$Q$7,$B4182&lt;'111'!$L$11),"x","")</f>
        <v/>
      </c>
      <c r="T4182" s="79" t="str">
        <f>IF(ISERROR(FIND('112'!$M$9,G4182,1)),"",IF((AND(FIND('112'!$M$9,G4182,1)&gt;=1,B4182='112'!$K$9,OR($N4182='112'!$I$6,$O4182='112'!$I$6))),"x",""))</f>
        <v/>
      </c>
      <c r="U4182" s="79" t="str">
        <f>IF(ISERROR(FIND('112'!$M$9,G4182,1)),"",IF((AND(LEFT(G4182,2)=LEFT('112'!$M$9,2),B4182&lt;'112'!$K$9,$N4182='112'!$I$6)),"x",""))</f>
        <v/>
      </c>
      <c r="V4182" s="79" t="str">
        <f>IF(ISERROR(FIND('112'!$M$9,G4182,1)),"",IF((AND(RIGHT(G4182,2)=RIGHT('112'!$M$9,2),B4182&lt;'112'!$K$9,$O4182='112'!$I$6)),"x",""))</f>
        <v/>
      </c>
      <c r="W4182" s="79" t="str">
        <f>IF(AND('341-CT'!$H$9=H4182,OR(LEFT(N4182,3)=$W$7,LEFT(O4182,3)=$W$7)),"x","")</f>
        <v/>
      </c>
      <c r="X4182" s="79" t="str">
        <f>IF(OR(TH!N4182=TH!$X$7,O4182=TH!$X$7),"x","")</f>
        <v/>
      </c>
      <c r="Y4182" s="79" t="str">
        <f>IF(AND(OR(N4182="131",O4182="131"),H4182='131-CT'!$H$9),"x","")</f>
        <v/>
      </c>
      <c r="Z4182" s="79"/>
      <c r="AA4182" s="79" t="str">
        <f>IF(AND(MONTH(E4182)='IN-NX'!$J$5,'IN-NX'!$D$7=D4182),"x","")</f>
        <v/>
      </c>
      <c r="AB4182" s="79" t="str">
        <f>IF(AND(OR(LEFT(TH!N4182,2)="15",LEFT(TH!O4182,2)="15"),LEFT(TH!O4182,3)&lt;&gt;"111",'152-CT'!$J$8=TH!F4182),"x","")</f>
        <v/>
      </c>
      <c r="AC4182" s="79" t="str">
        <f>IF(AND(OR(LEFT(TH!N4182,2)="15",LEFT(TH!O4182,2)="15"),TK!$E$7=TH!F4182),"x","")</f>
        <v/>
      </c>
      <c r="AD4182" s="79" t="str">
        <f>IF(AND(N4182="1521",MONTH(C4182)='BK-NL'!$M$11),"x","")</f>
        <v/>
      </c>
    </row>
    <row r="4183" spans="1:30" ht="16.5" customHeight="1">
      <c r="A4183" s="318" t="str">
        <f>IF(B4183&lt;&gt;"",IF(AND(B4183='[3]IN-TC'!$S$4,OR([3]TH!N3416="1111",[3]TH!O3416="1111")),[3]TH!D3416,""),"")</f>
        <v/>
      </c>
      <c r="B4183" s="60" t="str">
        <f t="shared" si="444"/>
        <v/>
      </c>
      <c r="C4183" s="974"/>
      <c r="D4183" s="974"/>
      <c r="E4183" s="974"/>
      <c r="F4183" s="975"/>
      <c r="G4183" s="975"/>
      <c r="H4183" s="759"/>
      <c r="I4183" s="1247"/>
      <c r="J4183" s="391"/>
      <c r="K4183" s="1247"/>
      <c r="L4183" s="1248"/>
      <c r="M4183" s="978"/>
      <c r="N4183" s="979"/>
      <c r="O4183" s="979"/>
      <c r="P4183" s="79" t="str">
        <f>IF(AND('331-CT'!$E$7=TH!H4183,OR(N4183="331",O4183="331")),"x","")</f>
        <v/>
      </c>
      <c r="Q4183" s="79" t="str">
        <f>IF(AND(B4183='111'!$L$11,OR($N4183=$Q$7,$O4183=$Q$7)),"x","")</f>
        <v/>
      </c>
      <c r="R4183" s="79" t="str">
        <f>IF(AND($N4183=$Q$7,$B4183&lt;'111'!$L$11),"x","")</f>
        <v/>
      </c>
      <c r="S4183" s="79" t="str">
        <f>IF(AND($O4183=$Q$7,$B4183&lt;'111'!$L$11),"x","")</f>
        <v/>
      </c>
      <c r="T4183" s="79" t="str">
        <f>IF(ISERROR(FIND('112'!$M$9,G4183,1)),"",IF((AND(FIND('112'!$M$9,G4183,1)&gt;=1,B4183='112'!$K$9,OR($N4183='112'!$I$6,$O4183='112'!$I$6))),"x",""))</f>
        <v/>
      </c>
      <c r="U4183" s="79" t="str">
        <f>IF(ISERROR(FIND('112'!$M$9,G4183,1)),"",IF((AND(LEFT(G4183,2)=LEFT('112'!$M$9,2),B4183&lt;'112'!$K$9,$N4183='112'!$I$6)),"x",""))</f>
        <v/>
      </c>
      <c r="V4183" s="79" t="str">
        <f>IF(ISERROR(FIND('112'!$M$9,G4183,1)),"",IF((AND(RIGHT(G4183,2)=RIGHT('112'!$M$9,2),B4183&lt;'112'!$K$9,$O4183='112'!$I$6)),"x",""))</f>
        <v/>
      </c>
      <c r="W4183" s="79" t="str">
        <f>IF(AND('341-CT'!$H$9=H4183,OR(LEFT(N4183,3)=$W$7,LEFT(O4183,3)=$W$7)),"x","")</f>
        <v/>
      </c>
      <c r="X4183" s="79" t="str">
        <f>IF(OR(TH!N4183=TH!$X$7,O4183=TH!$X$7),"x","")</f>
        <v/>
      </c>
      <c r="Y4183" s="79" t="str">
        <f>IF(AND(OR(N4183="131",O4183="131"),H4183='131-CT'!$H$9),"x","")</f>
        <v/>
      </c>
      <c r="Z4183" s="79"/>
      <c r="AA4183" s="79" t="str">
        <f>IF(AND(MONTH(E4183)='IN-NX'!$J$5,'IN-NX'!$D$7=D4183),"x","")</f>
        <v/>
      </c>
      <c r="AB4183" s="79" t="str">
        <f>IF(AND(OR(LEFT(TH!N4183,2)="15",LEFT(TH!O4183,2)="15"),LEFT(TH!O4183,3)&lt;&gt;"111",'152-CT'!$J$8=TH!F4183),"x","")</f>
        <v/>
      </c>
      <c r="AC4183" s="79" t="str">
        <f>IF(AND(OR(LEFT(TH!N4183,2)="15",LEFT(TH!O4183,2)="15"),TK!$E$7=TH!F4183),"x","")</f>
        <v/>
      </c>
      <c r="AD4183" s="79" t="str">
        <f>IF(AND(N4183="1521",MONTH(C4183)='BK-NL'!$M$11),"x","")</f>
        <v/>
      </c>
    </row>
    <row r="4184" spans="1:30" ht="16.5" customHeight="1">
      <c r="A4184" s="318" t="str">
        <f>IF(B4184&lt;&gt;"",IF(AND(B4184='[3]IN-TC'!$S$4,OR([3]TH!N3417="1111",[3]TH!O3417="1111")),[3]TH!D3417,""),"")</f>
        <v/>
      </c>
      <c r="B4184" s="60" t="str">
        <f t="shared" si="432"/>
        <v/>
      </c>
      <c r="C4184" s="974"/>
      <c r="D4184" s="974"/>
      <c r="E4184" s="974"/>
      <c r="F4184" s="975"/>
      <c r="G4184" s="975"/>
      <c r="H4184" s="759"/>
      <c r="I4184" s="1247"/>
      <c r="J4184" s="391"/>
      <c r="K4184" s="1247"/>
      <c r="L4184" s="1248"/>
      <c r="M4184" s="978"/>
      <c r="N4184" s="979"/>
      <c r="O4184" s="979"/>
      <c r="P4184" s="79" t="str">
        <f>IF(AND('331-CT'!$E$7=TH!H4184,OR(N4184="331",O4184="331")),"x","")</f>
        <v/>
      </c>
      <c r="Q4184" s="79" t="str">
        <f>IF(AND(B4184='111'!$L$11,OR($N4184=$Q$7,$O4184=$Q$7)),"x","")</f>
        <v/>
      </c>
      <c r="R4184" s="79" t="str">
        <f>IF(AND($N4184=$Q$7,$B4184&lt;'111'!$L$11),"x","")</f>
        <v/>
      </c>
      <c r="S4184" s="79" t="str">
        <f>IF(AND($O4184=$Q$7,$B4184&lt;'111'!$L$11),"x","")</f>
        <v/>
      </c>
      <c r="T4184" s="79" t="str">
        <f>IF(ISERROR(FIND('112'!$M$9,G4184,1)),"",IF((AND(FIND('112'!$M$9,G4184,1)&gt;=1,B4184='112'!$K$9,OR($N4184='112'!$I$6,$O4184='112'!$I$6))),"x",""))</f>
        <v/>
      </c>
      <c r="U4184" s="79" t="str">
        <f>IF(ISERROR(FIND('112'!$M$9,G4184,1)),"",IF((AND(LEFT(G4184,2)=LEFT('112'!$M$9,2),B4184&lt;'112'!$K$9,$N4184='112'!$I$6)),"x",""))</f>
        <v/>
      </c>
      <c r="V4184" s="79" t="str">
        <f>IF(ISERROR(FIND('112'!$M$9,G4184,1)),"",IF((AND(RIGHT(G4184,2)=RIGHT('112'!$M$9,2),B4184&lt;'112'!$K$9,$O4184='112'!$I$6)),"x",""))</f>
        <v/>
      </c>
      <c r="W4184" s="79" t="str">
        <f>IF(AND('341-CT'!$H$9=H4184,OR(LEFT(N4184,3)=$W$7,LEFT(O4184,3)=$W$7)),"x","")</f>
        <v/>
      </c>
      <c r="X4184" s="79" t="str">
        <f>IF(OR(TH!N4184=TH!$X$7,O4184=TH!$X$7),"x","")</f>
        <v/>
      </c>
      <c r="Y4184" s="79" t="str">
        <f>IF(AND(OR(N4184="131",O4184="131"),H4184='131-CT'!$H$9),"x","")</f>
        <v/>
      </c>
      <c r="Z4184" s="79"/>
      <c r="AA4184" s="79" t="str">
        <f>IF(AND(MONTH(E4184)='IN-NX'!$J$5,'IN-NX'!$D$7=D4184),"x","")</f>
        <v/>
      </c>
      <c r="AB4184" s="79" t="str">
        <f>IF(AND(OR(LEFT(TH!N4184,2)="15",LEFT(TH!O4184,2)="15"),LEFT(TH!O4184,3)&lt;&gt;"111",'152-CT'!$J$8=TH!F4184),"x","")</f>
        <v/>
      </c>
      <c r="AC4184" s="79" t="str">
        <f>IF(AND(OR(LEFT(TH!N4184,2)="15",LEFT(TH!O4184,2)="15"),TK!$E$7=TH!F4184),"x","")</f>
        <v/>
      </c>
      <c r="AD4184" s="79" t="str">
        <f>IF(AND(N4184="1521",MONTH(C4184)='BK-NL'!$M$11),"x","")</f>
        <v/>
      </c>
    </row>
    <row r="4185" spans="1:30" ht="16.5" customHeight="1">
      <c r="A4185" s="318" t="str">
        <f>IF(B4185&lt;&gt;"",IF(AND(B4185='[3]IN-TC'!$S$4,OR([3]TH!N3418="1111",[3]TH!O3418="1111")),[3]TH!D3418,""),"")</f>
        <v/>
      </c>
      <c r="B4185" s="60" t="str">
        <f t="shared" si="432"/>
        <v/>
      </c>
      <c r="C4185" s="974"/>
      <c r="D4185" s="974"/>
      <c r="E4185" s="974"/>
      <c r="F4185" s="975"/>
      <c r="G4185" s="975"/>
      <c r="H4185" s="759"/>
      <c r="I4185" s="1247"/>
      <c r="J4185" s="391"/>
      <c r="K4185" s="1247"/>
      <c r="L4185" s="1248"/>
      <c r="M4185" s="978"/>
      <c r="N4185" s="979"/>
      <c r="O4185" s="979"/>
      <c r="P4185" s="79" t="str">
        <f>IF(AND('331-CT'!$E$7=TH!H4185,OR(N4185="331",O4185="331")),"x","")</f>
        <v/>
      </c>
      <c r="Q4185" s="79" t="str">
        <f>IF(AND(B4185='111'!$L$11,OR($N4185=$Q$7,$O4185=$Q$7)),"x","")</f>
        <v/>
      </c>
      <c r="R4185" s="79" t="str">
        <f>IF(AND($N4185=$Q$7,$B4185&lt;'111'!$L$11),"x","")</f>
        <v/>
      </c>
      <c r="S4185" s="79" t="str">
        <f>IF(AND($O4185=$Q$7,$B4185&lt;'111'!$L$11),"x","")</f>
        <v/>
      </c>
      <c r="T4185" s="79" t="str">
        <f>IF(ISERROR(FIND('112'!$M$9,G4185,1)),"",IF((AND(FIND('112'!$M$9,G4185,1)&gt;=1,B4185='112'!$K$9,OR($N4185='112'!$I$6,$O4185='112'!$I$6))),"x",""))</f>
        <v/>
      </c>
      <c r="U4185" s="79" t="str">
        <f>IF(ISERROR(FIND('112'!$M$9,G4185,1)),"",IF((AND(LEFT(G4185,2)=LEFT('112'!$M$9,2),B4185&lt;'112'!$K$9,$N4185='112'!$I$6)),"x",""))</f>
        <v/>
      </c>
      <c r="V4185" s="79" t="str">
        <f>IF(ISERROR(FIND('112'!$M$9,G4185,1)),"",IF((AND(RIGHT(G4185,2)=RIGHT('112'!$M$9,2),B4185&lt;'112'!$K$9,$O4185='112'!$I$6)),"x",""))</f>
        <v/>
      </c>
      <c r="W4185" s="79" t="str">
        <f>IF(AND('341-CT'!$H$9=H4185,OR(LEFT(N4185,3)=$W$7,LEFT(O4185,3)=$W$7)),"x","")</f>
        <v/>
      </c>
      <c r="X4185" s="79" t="str">
        <f>IF(OR(TH!N4185=TH!$X$7,O4185=TH!$X$7),"x","")</f>
        <v/>
      </c>
      <c r="Y4185" s="79" t="str">
        <f>IF(AND(OR(N4185="131",O4185="131"),H4185='131-CT'!$H$9),"x","")</f>
        <v/>
      </c>
      <c r="Z4185" s="79"/>
      <c r="AA4185" s="79" t="str">
        <f>IF(AND(MONTH(E4185)='IN-NX'!$J$5,'IN-NX'!$D$7=D4185),"x","")</f>
        <v/>
      </c>
      <c r="AB4185" s="79" t="str">
        <f>IF(AND(OR(LEFT(TH!N4185,2)="15",LEFT(TH!O4185,2)="15"),LEFT(TH!O4185,3)&lt;&gt;"111",'152-CT'!$J$8=TH!F4185),"x","")</f>
        <v/>
      </c>
      <c r="AC4185" s="79" t="str">
        <f>IF(AND(OR(LEFT(TH!N4185,2)="15",LEFT(TH!O4185,2)="15"),TK!$E$7=TH!F4185),"x","")</f>
        <v/>
      </c>
      <c r="AD4185" s="79" t="str">
        <f>IF(AND(N4185="1521",MONTH(C4185)='BK-NL'!$M$11),"x","")</f>
        <v/>
      </c>
    </row>
    <row r="4186" spans="1:30" ht="16.5" customHeight="1">
      <c r="A4186" s="318" t="str">
        <f>IF(B4186&lt;&gt;"",IF(AND(B4186='[3]IN-TC'!$S$4,OR([3]TH!N3419="1111",[3]TH!O3419="1111")),[3]TH!D3419,""),"")</f>
        <v/>
      </c>
      <c r="B4186" s="60" t="str">
        <f t="shared" si="432"/>
        <v/>
      </c>
      <c r="C4186" s="974"/>
      <c r="D4186" s="974"/>
      <c r="E4186" s="974"/>
      <c r="F4186" s="975"/>
      <c r="G4186" s="975"/>
      <c r="H4186" s="759"/>
      <c r="I4186" s="1247"/>
      <c r="J4186" s="391"/>
      <c r="K4186" s="1247"/>
      <c r="L4186" s="1248"/>
      <c r="M4186" s="978"/>
      <c r="N4186" s="979"/>
      <c r="O4186" s="979"/>
      <c r="P4186" s="79" t="str">
        <f>IF(AND('331-CT'!$E$7=TH!H4186,OR(N4186="331",O4186="331")),"x","")</f>
        <v/>
      </c>
      <c r="Q4186" s="79" t="str">
        <f>IF(AND(B4186='111'!$L$11,OR($N4186=$Q$7,$O4186=$Q$7)),"x","")</f>
        <v/>
      </c>
      <c r="R4186" s="79" t="str">
        <f>IF(AND($N4186=$Q$7,$B4186&lt;'111'!$L$11),"x","")</f>
        <v/>
      </c>
      <c r="S4186" s="79" t="str">
        <f>IF(AND($O4186=$Q$7,$B4186&lt;'111'!$L$11),"x","")</f>
        <v/>
      </c>
      <c r="T4186" s="79" t="str">
        <f>IF(ISERROR(FIND('112'!$M$9,G4186,1)),"",IF((AND(FIND('112'!$M$9,G4186,1)&gt;=1,B4186='112'!$K$9,OR($N4186='112'!$I$6,$O4186='112'!$I$6))),"x",""))</f>
        <v/>
      </c>
      <c r="U4186" s="79" t="str">
        <f>IF(ISERROR(FIND('112'!$M$9,G4186,1)),"",IF((AND(LEFT(G4186,2)=LEFT('112'!$M$9,2),B4186&lt;'112'!$K$9,$N4186='112'!$I$6)),"x",""))</f>
        <v/>
      </c>
      <c r="V4186" s="79" t="str">
        <f>IF(ISERROR(FIND('112'!$M$9,G4186,1)),"",IF((AND(RIGHT(G4186,2)=RIGHT('112'!$M$9,2),B4186&lt;'112'!$K$9,$O4186='112'!$I$6)),"x",""))</f>
        <v/>
      </c>
      <c r="W4186" s="79" t="str">
        <f>IF(AND('341-CT'!$H$9=H4186,OR(LEFT(N4186,3)=$W$7,LEFT(O4186,3)=$W$7)),"x","")</f>
        <v/>
      </c>
      <c r="X4186" s="79" t="str">
        <f>IF(OR(TH!N4186=TH!$X$7,O4186=TH!$X$7),"x","")</f>
        <v/>
      </c>
      <c r="Y4186" s="79" t="str">
        <f>IF(AND(OR(N4186="131",O4186="131"),H4186='131-CT'!$H$9),"x","")</f>
        <v/>
      </c>
      <c r="Z4186" s="79"/>
      <c r="AA4186" s="79" t="str">
        <f>IF(AND(MONTH(E4186)='IN-NX'!$J$5,'IN-NX'!$D$7=D4186),"x","")</f>
        <v/>
      </c>
      <c r="AB4186" s="79" t="str">
        <f>IF(AND(OR(LEFT(TH!N4186,2)="15",LEFT(TH!O4186,2)="15"),LEFT(TH!O4186,3)&lt;&gt;"111",'152-CT'!$J$8=TH!F4186),"x","")</f>
        <v/>
      </c>
      <c r="AC4186" s="79" t="str">
        <f>IF(AND(OR(LEFT(TH!N4186,2)="15",LEFT(TH!O4186,2)="15"),TK!$E$7=TH!F4186),"x","")</f>
        <v/>
      </c>
      <c r="AD4186" s="79" t="str">
        <f>IF(AND(N4186="1521",MONTH(C4186)='BK-NL'!$M$11),"x","")</f>
        <v/>
      </c>
    </row>
    <row r="4187" spans="1:30" ht="16.5" customHeight="1">
      <c r="A4187" s="318" t="str">
        <f>IF(B4187&lt;&gt;"",IF(AND(B4187='[3]IN-TC'!$S$4,OR([3]TH!N3420="1111",[3]TH!O3420="1111")),[3]TH!D3420,""),"")</f>
        <v/>
      </c>
      <c r="B4187" s="60" t="str">
        <f t="shared" si="432"/>
        <v/>
      </c>
      <c r="C4187" s="974"/>
      <c r="D4187" s="974"/>
      <c r="E4187" s="974"/>
      <c r="F4187" s="76"/>
      <c r="G4187" s="975"/>
      <c r="H4187" s="305"/>
      <c r="I4187" s="1247"/>
      <c r="J4187" s="391"/>
      <c r="K4187" s="1247"/>
      <c r="L4187" s="1248"/>
      <c r="M4187" s="978"/>
      <c r="N4187" s="979"/>
      <c r="O4187" s="979"/>
      <c r="P4187" s="79" t="str">
        <f>IF(AND('331-CT'!$E$7=TH!H4187,OR(N4187="331",O4187="331")),"x","")</f>
        <v/>
      </c>
      <c r="Q4187" s="79" t="str">
        <f>IF(AND(B4187='111'!$L$11,OR($N4187=$Q$7,$O4187=$Q$7)),"x","")</f>
        <v/>
      </c>
      <c r="R4187" s="79" t="str">
        <f>IF(AND($N4187=$Q$7,$B4187&lt;'111'!$L$11),"x","")</f>
        <v/>
      </c>
      <c r="S4187" s="79" t="str">
        <f>IF(AND($O4187=$Q$7,$B4187&lt;'111'!$L$11),"x","")</f>
        <v/>
      </c>
      <c r="T4187" s="79" t="str">
        <f>IF(ISERROR(FIND('112'!$M$9,G4187,1)),"",IF((AND(FIND('112'!$M$9,G4187,1)&gt;=1,B4187='112'!$K$9,OR($N4187='112'!$I$6,$O4187='112'!$I$6))),"x",""))</f>
        <v/>
      </c>
      <c r="U4187" s="79" t="str">
        <f>IF(ISERROR(FIND('112'!$M$9,G4187,1)),"",IF((AND(LEFT(G4187,2)=LEFT('112'!$M$9,2),B4187&lt;'112'!$K$9,$N4187='112'!$I$6)),"x",""))</f>
        <v/>
      </c>
      <c r="V4187" s="79" t="str">
        <f>IF(ISERROR(FIND('112'!$M$9,G4187,1)),"",IF((AND(RIGHT(G4187,2)=RIGHT('112'!$M$9,2),B4187&lt;'112'!$K$9,$O4187='112'!$I$6)),"x",""))</f>
        <v/>
      </c>
      <c r="W4187" s="79" t="str">
        <f>IF(AND('341-CT'!$H$9=H4187,OR(LEFT(N4187,3)=$W$7,LEFT(O4187,3)=$W$7)),"x","")</f>
        <v/>
      </c>
      <c r="X4187" s="79" t="str">
        <f>IF(OR(TH!N4187=TH!$X$7,O4187=TH!$X$7),"x","")</f>
        <v/>
      </c>
      <c r="Y4187" s="79" t="str">
        <f>IF(AND(OR(N4187="131",O4187="131"),H4187='131-CT'!$H$9),"x","")</f>
        <v/>
      </c>
      <c r="Z4187" s="79"/>
      <c r="AA4187" s="79" t="str">
        <f>IF(AND(MONTH(E4187)='IN-NX'!$J$5,'IN-NX'!$D$7=D4187),"x","")</f>
        <v/>
      </c>
      <c r="AB4187" s="79" t="str">
        <f>IF(AND(OR(LEFT(TH!N4187,2)="15",LEFT(TH!O4187,2)="15"),LEFT(TH!O4187,3)&lt;&gt;"111",'152-CT'!$J$8=TH!F4187),"x","")</f>
        <v/>
      </c>
      <c r="AC4187" s="79" t="str">
        <f>IF(AND(OR(LEFT(TH!N4187,2)="15",LEFT(TH!O4187,2)="15"),TK!$E$7=TH!F4187),"x","")</f>
        <v/>
      </c>
      <c r="AD4187" s="79" t="str">
        <f>IF(AND(N4187="1521",MONTH(C4187)='BK-NL'!$M$11),"x","")</f>
        <v/>
      </c>
    </row>
    <row r="4188" spans="1:30" ht="16.5" customHeight="1">
      <c r="A4188" s="318" t="str">
        <f>IF(B4188&lt;&gt;"",IF(AND(B4188='[3]IN-TC'!$S$4,OR([3]TH!N3421="1111",[3]TH!O3421="1111")),[3]TH!D3421,""),"")</f>
        <v/>
      </c>
      <c r="B4188" s="60" t="str">
        <f t="shared" si="432"/>
        <v/>
      </c>
      <c r="C4188" s="974"/>
      <c r="D4188" s="974"/>
      <c r="E4188" s="974"/>
      <c r="F4188" s="975"/>
      <c r="G4188" s="76"/>
      <c r="H4188" s="305"/>
      <c r="I4188" s="1247"/>
      <c r="J4188" s="391"/>
      <c r="K4188" s="1247"/>
      <c r="L4188" s="1248"/>
      <c r="M4188" s="978"/>
      <c r="N4188" s="979"/>
      <c r="O4188" s="979"/>
      <c r="P4188" s="79" t="str">
        <f>IF(AND('331-CT'!$E$7=TH!H4188,OR(N4188="331",O4188="331")),"x","")</f>
        <v/>
      </c>
      <c r="Q4188" s="79" t="str">
        <f>IF(AND(B4188='111'!$L$11,OR($N4188=$Q$7,$O4188=$Q$7)),"x","")</f>
        <v/>
      </c>
      <c r="R4188" s="79" t="str">
        <f>IF(AND($N4188=$Q$7,$B4188&lt;'111'!$L$11),"x","")</f>
        <v/>
      </c>
      <c r="S4188" s="79" t="str">
        <f>IF(AND($O4188=$Q$7,$B4188&lt;'111'!$L$11),"x","")</f>
        <v/>
      </c>
      <c r="T4188" s="79" t="str">
        <f>IF(ISERROR(FIND('112'!$M$9,G4188,1)),"",IF((AND(FIND('112'!$M$9,G4188,1)&gt;=1,B4188='112'!$K$9,OR($N4188='112'!$I$6,$O4188='112'!$I$6))),"x",""))</f>
        <v/>
      </c>
      <c r="U4188" s="79" t="str">
        <f>IF(ISERROR(FIND('112'!$M$9,G4188,1)),"",IF((AND(LEFT(G4188,2)=LEFT('112'!$M$9,2),B4188&lt;'112'!$K$9,$N4188='112'!$I$6)),"x",""))</f>
        <v/>
      </c>
      <c r="V4188" s="79" t="str">
        <f>IF(ISERROR(FIND('112'!$M$9,G4188,1)),"",IF((AND(RIGHT(G4188,2)=RIGHT('112'!$M$9,2),B4188&lt;'112'!$K$9,$O4188='112'!$I$6)),"x",""))</f>
        <v/>
      </c>
      <c r="W4188" s="79" t="str">
        <f>IF(AND('341-CT'!$H$9=H4188,OR(LEFT(N4188,3)=$W$7,LEFT(O4188,3)=$W$7)),"x","")</f>
        <v/>
      </c>
      <c r="X4188" s="79" t="str">
        <f>IF(OR(TH!N4188=TH!$X$7,O4188=TH!$X$7),"x","")</f>
        <v/>
      </c>
      <c r="Y4188" s="79" t="str">
        <f>IF(AND(OR(N4188="131",O4188="131"),H4188='131-CT'!$H$9),"x","")</f>
        <v/>
      </c>
      <c r="Z4188" s="79"/>
      <c r="AA4188" s="79" t="str">
        <f>IF(AND(MONTH(E4188)='IN-NX'!$J$5,'IN-NX'!$D$7=D4188),"x","")</f>
        <v/>
      </c>
      <c r="AB4188" s="79" t="str">
        <f>IF(AND(OR(LEFT(TH!N4188,2)="15",LEFT(TH!O4188,2)="15"),LEFT(TH!O4188,3)&lt;&gt;"111",'152-CT'!$J$8=TH!F4188),"x","")</f>
        <v/>
      </c>
      <c r="AC4188" s="79" t="str">
        <f>IF(AND(OR(LEFT(TH!N4188,2)="15",LEFT(TH!O4188,2)="15"),TK!$E$7=TH!F4188),"x","")</f>
        <v/>
      </c>
      <c r="AD4188" s="79" t="str">
        <f>IF(AND(N4188="1521",MONTH(C4188)='BK-NL'!$M$11),"x","")</f>
        <v/>
      </c>
    </row>
    <row r="4189" spans="1:30" ht="16.5" customHeight="1">
      <c r="A4189" s="318" t="str">
        <f>IF(B4189&lt;&gt;"",IF(AND(B4189='[3]IN-TC'!$S$4,OR([3]TH!N3422="1111",[3]TH!O3422="1111")),[3]TH!D3422,""),"")</f>
        <v/>
      </c>
      <c r="B4189" s="60" t="str">
        <f t="shared" si="432"/>
        <v/>
      </c>
      <c r="C4189" s="974"/>
      <c r="D4189" s="974"/>
      <c r="E4189" s="974"/>
      <c r="F4189" s="975"/>
      <c r="G4189" s="975"/>
      <c r="H4189" s="305"/>
      <c r="I4189" s="1247"/>
      <c r="J4189" s="391"/>
      <c r="K4189" s="1247"/>
      <c r="L4189" s="1248"/>
      <c r="M4189" s="978"/>
      <c r="N4189" s="979"/>
      <c r="O4189" s="979"/>
      <c r="P4189" s="79" t="str">
        <f>IF(AND('331-CT'!$E$7=TH!H4189,OR(N4189="331",O4189="331")),"x","")</f>
        <v/>
      </c>
      <c r="Q4189" s="79" t="str">
        <f>IF(AND(B4189='111'!$L$11,OR($N4189=$Q$7,$O4189=$Q$7)),"x","")</f>
        <v/>
      </c>
      <c r="R4189" s="79" t="str">
        <f>IF(AND($N4189=$Q$7,$B4189&lt;'111'!$L$11),"x","")</f>
        <v/>
      </c>
      <c r="S4189" s="79" t="str">
        <f>IF(AND($O4189=$Q$7,$B4189&lt;'111'!$L$11),"x","")</f>
        <v/>
      </c>
      <c r="T4189" s="79" t="str">
        <f>IF(ISERROR(FIND('112'!$M$9,G4189,1)),"",IF((AND(FIND('112'!$M$9,G4189,1)&gt;=1,B4189='112'!$K$9,OR($N4189='112'!$I$6,$O4189='112'!$I$6))),"x",""))</f>
        <v/>
      </c>
      <c r="U4189" s="79" t="str">
        <f>IF(ISERROR(FIND('112'!$M$9,G4189,1)),"",IF((AND(LEFT(G4189,2)=LEFT('112'!$M$9,2),B4189&lt;'112'!$K$9,$N4189='112'!$I$6)),"x",""))</f>
        <v/>
      </c>
      <c r="V4189" s="79" t="str">
        <f>IF(ISERROR(FIND('112'!$M$9,G4189,1)),"",IF((AND(RIGHT(G4189,2)=RIGHT('112'!$M$9,2),B4189&lt;'112'!$K$9,$O4189='112'!$I$6)),"x",""))</f>
        <v/>
      </c>
      <c r="W4189" s="79" t="str">
        <f>IF(AND('341-CT'!$H$9=H4189,OR(LEFT(N4189,3)=$W$7,LEFT(O4189,3)=$W$7)),"x","")</f>
        <v/>
      </c>
      <c r="X4189" s="79" t="str">
        <f>IF(OR(TH!N4189=TH!$X$7,O4189=TH!$X$7),"x","")</f>
        <v/>
      </c>
      <c r="Y4189" s="79" t="str">
        <f>IF(AND(OR(N4189="131",O4189="131"),H4189='131-CT'!$H$9),"x","")</f>
        <v/>
      </c>
      <c r="Z4189" s="79"/>
      <c r="AA4189" s="79" t="str">
        <f>IF(AND(MONTH(E4189)='IN-NX'!$J$5,'IN-NX'!$D$7=D4189),"x","")</f>
        <v/>
      </c>
      <c r="AB4189" s="79" t="str">
        <f>IF(AND(OR(LEFT(TH!N4189,2)="15",LEFT(TH!O4189,2)="15"),LEFT(TH!O4189,3)&lt;&gt;"111",'152-CT'!$J$8=TH!F4189),"x","")</f>
        <v/>
      </c>
      <c r="AC4189" s="79" t="str">
        <f>IF(AND(OR(LEFT(TH!N4189,2)="15",LEFT(TH!O4189,2)="15"),TK!$E$7=TH!F4189),"x","")</f>
        <v/>
      </c>
      <c r="AD4189" s="79" t="str">
        <f>IF(AND(N4189="1521",MONTH(C4189)='BK-NL'!$M$11),"x","")</f>
        <v/>
      </c>
    </row>
    <row r="4190" spans="1:30" ht="16.5" customHeight="1">
      <c r="A4190" s="318" t="str">
        <f>IF(B4190&lt;&gt;"",IF(AND(B4190='[3]IN-TC'!$S$4,OR([3]TH!N3423="1111",[3]TH!O3423="1111")),[3]TH!D3423,""),"")</f>
        <v/>
      </c>
      <c r="B4190" s="60" t="str">
        <f t="shared" si="432"/>
        <v/>
      </c>
      <c r="C4190" s="974"/>
      <c r="D4190" s="974"/>
      <c r="E4190" s="974"/>
      <c r="F4190" s="975"/>
      <c r="G4190" s="975"/>
      <c r="H4190" s="305"/>
      <c r="I4190" s="1247"/>
      <c r="J4190" s="391"/>
      <c r="K4190" s="1247"/>
      <c r="L4190" s="1248"/>
      <c r="M4190" s="978"/>
      <c r="N4190" s="979"/>
      <c r="O4190" s="979"/>
      <c r="P4190" s="79" t="str">
        <f>IF(AND('331-CT'!$E$7=TH!H4190,OR(N4190="331",O4190="331")),"x","")</f>
        <v/>
      </c>
      <c r="Q4190" s="79" t="str">
        <f>IF(AND(B4190='111'!$L$11,OR($N4190=$Q$7,$O4190=$Q$7)),"x","")</f>
        <v/>
      </c>
      <c r="R4190" s="79" t="str">
        <f>IF(AND($N4190=$Q$7,$B4190&lt;'111'!$L$11),"x","")</f>
        <v/>
      </c>
      <c r="S4190" s="79" t="str">
        <f>IF(AND($O4190=$Q$7,$B4190&lt;'111'!$L$11),"x","")</f>
        <v/>
      </c>
      <c r="T4190" s="79" t="str">
        <f>IF(ISERROR(FIND('112'!$M$9,G4190,1)),"",IF((AND(FIND('112'!$M$9,G4190,1)&gt;=1,B4190='112'!$K$9,OR($N4190='112'!$I$6,$O4190='112'!$I$6))),"x",""))</f>
        <v/>
      </c>
      <c r="U4190" s="79" t="str">
        <f>IF(ISERROR(FIND('112'!$M$9,G4190,1)),"",IF((AND(LEFT(G4190,2)=LEFT('112'!$M$9,2),B4190&lt;'112'!$K$9,$N4190='112'!$I$6)),"x",""))</f>
        <v/>
      </c>
      <c r="V4190" s="79" t="str">
        <f>IF(ISERROR(FIND('112'!$M$9,G4190,1)),"",IF((AND(RIGHT(G4190,2)=RIGHT('112'!$M$9,2),B4190&lt;'112'!$K$9,$O4190='112'!$I$6)),"x",""))</f>
        <v/>
      </c>
      <c r="W4190" s="79" t="str">
        <f>IF(AND('341-CT'!$H$9=H4190,OR(LEFT(N4190,3)=$W$7,LEFT(O4190,3)=$W$7)),"x","")</f>
        <v/>
      </c>
      <c r="X4190" s="79" t="str">
        <f>IF(OR(TH!N4190=TH!$X$7,O4190=TH!$X$7),"x","")</f>
        <v/>
      </c>
      <c r="Y4190" s="79" t="str">
        <f>IF(AND(OR(N4190="131",O4190="131"),H4190='131-CT'!$H$9),"x","")</f>
        <v/>
      </c>
      <c r="Z4190" s="79"/>
      <c r="AA4190" s="79" t="str">
        <f>IF(AND(MONTH(E4190)='IN-NX'!$J$5,'IN-NX'!$D$7=D4190),"x","")</f>
        <v/>
      </c>
      <c r="AB4190" s="79" t="str">
        <f>IF(AND(OR(LEFT(TH!N4190,2)="15",LEFT(TH!O4190,2)="15"),LEFT(TH!O4190,3)&lt;&gt;"111",'152-CT'!$J$8=TH!F4190),"x","")</f>
        <v/>
      </c>
      <c r="AC4190" s="79" t="str">
        <f>IF(AND(OR(LEFT(TH!N4190,2)="15",LEFT(TH!O4190,2)="15"),TK!$E$7=TH!F4190),"x","")</f>
        <v/>
      </c>
      <c r="AD4190" s="79" t="str">
        <f>IF(AND(N4190="1521",MONTH(C4190)='BK-NL'!$M$11),"x","")</f>
        <v/>
      </c>
    </row>
    <row r="4191" spans="1:30" ht="16.5" customHeight="1">
      <c r="A4191" s="318" t="str">
        <f>IF(B4191&lt;&gt;"",IF(AND(B4191='[3]IN-TC'!$S$4,OR([3]TH!N3424="1111",[3]TH!O3424="1111")),[3]TH!D3424,""),"")</f>
        <v/>
      </c>
      <c r="B4191" s="60" t="str">
        <f t="shared" si="432"/>
        <v/>
      </c>
      <c r="C4191" s="974"/>
      <c r="D4191" s="974"/>
      <c r="E4191" s="974"/>
      <c r="F4191" s="76"/>
      <c r="G4191" s="975"/>
      <c r="H4191" s="305"/>
      <c r="I4191" s="1247"/>
      <c r="J4191" s="391"/>
      <c r="K4191" s="1247"/>
      <c r="L4191" s="1248"/>
      <c r="M4191" s="978"/>
      <c r="N4191" s="979"/>
      <c r="O4191" s="979"/>
      <c r="P4191" s="79" t="str">
        <f>IF(AND('331-CT'!$E$7=TH!H4191,OR(N4191="331",O4191="331")),"x","")</f>
        <v/>
      </c>
      <c r="Q4191" s="79" t="str">
        <f>IF(AND(B4191='111'!$L$11,OR($N4191=$Q$7,$O4191=$Q$7)),"x","")</f>
        <v/>
      </c>
      <c r="R4191" s="79" t="str">
        <f>IF(AND($N4191=$Q$7,$B4191&lt;'111'!$L$11),"x","")</f>
        <v/>
      </c>
      <c r="S4191" s="79" t="str">
        <f>IF(AND($O4191=$Q$7,$B4191&lt;'111'!$L$11),"x","")</f>
        <v/>
      </c>
      <c r="T4191" s="79" t="str">
        <f>IF(ISERROR(FIND('112'!$M$9,G4191,1)),"",IF((AND(FIND('112'!$M$9,G4191,1)&gt;=1,B4191='112'!$K$9,OR($N4191='112'!$I$6,$O4191='112'!$I$6))),"x",""))</f>
        <v/>
      </c>
      <c r="U4191" s="79" t="str">
        <f>IF(ISERROR(FIND('112'!$M$9,G4191,1)),"",IF((AND(LEFT(G4191,2)=LEFT('112'!$M$9,2),B4191&lt;'112'!$K$9,$N4191='112'!$I$6)),"x",""))</f>
        <v/>
      </c>
      <c r="V4191" s="79" t="str">
        <f>IF(ISERROR(FIND('112'!$M$9,G4191,1)),"",IF((AND(RIGHT(G4191,2)=RIGHT('112'!$M$9,2),B4191&lt;'112'!$K$9,$O4191='112'!$I$6)),"x",""))</f>
        <v/>
      </c>
      <c r="W4191" s="79" t="str">
        <f>IF(AND('341-CT'!$H$9=H4191,OR(LEFT(N4191,3)=$W$7,LEFT(O4191,3)=$W$7)),"x","")</f>
        <v/>
      </c>
      <c r="X4191" s="79" t="str">
        <f>IF(OR(TH!N4191=TH!$X$7,O4191=TH!$X$7),"x","")</f>
        <v/>
      </c>
      <c r="Y4191" s="79" t="str">
        <f>IF(AND(OR(N4191="131",O4191="131"),H4191='131-CT'!$H$9),"x","")</f>
        <v/>
      </c>
      <c r="Z4191" s="79"/>
      <c r="AA4191" s="79" t="str">
        <f>IF(AND(MONTH(E4191)='IN-NX'!$J$5,'IN-NX'!$D$7=D4191),"x","")</f>
        <v/>
      </c>
      <c r="AB4191" s="79" t="str">
        <f>IF(AND(OR(LEFT(TH!N4191,2)="15",LEFT(TH!O4191,2)="15"),LEFT(TH!O4191,3)&lt;&gt;"111",'152-CT'!$J$8=TH!F4191),"x","")</f>
        <v/>
      </c>
      <c r="AC4191" s="79" t="str">
        <f>IF(AND(OR(LEFT(TH!N4191,2)="15",LEFT(TH!O4191,2)="15"),TK!$E$7=TH!F4191),"x","")</f>
        <v/>
      </c>
      <c r="AD4191" s="79" t="str">
        <f>IF(AND(N4191="1521",MONTH(C4191)='BK-NL'!$M$11),"x","")</f>
        <v/>
      </c>
    </row>
    <row r="4192" spans="1:30" ht="16.5" customHeight="1">
      <c r="A4192" s="318" t="str">
        <f>IF(B4192&lt;&gt;"",IF(AND(B4192='[3]IN-TC'!$S$4,OR([3]TH!N3425="1111",[3]TH!O3425="1111")),[3]TH!D3425,""),"")</f>
        <v/>
      </c>
      <c r="B4192" s="60" t="str">
        <f t="shared" si="432"/>
        <v/>
      </c>
      <c r="C4192" s="974"/>
      <c r="D4192" s="974"/>
      <c r="E4192" s="974"/>
      <c r="F4192" s="975"/>
      <c r="G4192" s="975"/>
      <c r="H4192" s="305"/>
      <c r="I4192" s="1247"/>
      <c r="J4192" s="391"/>
      <c r="K4192" s="1247"/>
      <c r="L4192" s="1248"/>
      <c r="M4192" s="78"/>
      <c r="N4192" s="979"/>
      <c r="O4192" s="979"/>
      <c r="P4192" s="79" t="str">
        <f>IF(AND('331-CT'!$E$7=TH!H4192,OR(N4192="331",O4192="331")),"x","")</f>
        <v/>
      </c>
      <c r="Q4192" s="79" t="str">
        <f>IF(AND(B4192='111'!$L$11,OR($N4192=$Q$7,$O4192=$Q$7)),"x","")</f>
        <v/>
      </c>
      <c r="R4192" s="79" t="str">
        <f>IF(AND($N4192=$Q$7,$B4192&lt;'111'!$L$11),"x","")</f>
        <v/>
      </c>
      <c r="S4192" s="79" t="str">
        <f>IF(AND($O4192=$Q$7,$B4192&lt;'111'!$L$11),"x","")</f>
        <v/>
      </c>
      <c r="T4192" s="79" t="str">
        <f>IF(ISERROR(FIND('112'!$M$9,G4192,1)),"",IF((AND(FIND('112'!$M$9,G4192,1)&gt;=1,B4192='112'!$K$9,OR($N4192='112'!$I$6,$O4192='112'!$I$6))),"x",""))</f>
        <v/>
      </c>
      <c r="U4192" s="79" t="str">
        <f>IF(ISERROR(FIND('112'!$M$9,G4192,1)),"",IF((AND(LEFT(G4192,2)=LEFT('112'!$M$9,2),B4192&lt;'112'!$K$9,$N4192='112'!$I$6)),"x",""))</f>
        <v/>
      </c>
      <c r="V4192" s="79" t="str">
        <f>IF(ISERROR(FIND('112'!$M$9,G4192,1)),"",IF((AND(RIGHT(G4192,2)=RIGHT('112'!$M$9,2),B4192&lt;'112'!$K$9,$O4192='112'!$I$6)),"x",""))</f>
        <v/>
      </c>
      <c r="W4192" s="79" t="str">
        <f>IF(AND('341-CT'!$H$9=H4192,OR(LEFT(N4192,3)=$W$7,LEFT(O4192,3)=$W$7)),"x","")</f>
        <v/>
      </c>
      <c r="X4192" s="79" t="str">
        <f>IF(OR(TH!N4192=TH!$X$7,O4192=TH!$X$7),"x","")</f>
        <v/>
      </c>
      <c r="Y4192" s="79" t="str">
        <f>IF(AND(OR(N4192="131",O4192="131"),H4192='131-CT'!$H$9),"x","")</f>
        <v/>
      </c>
      <c r="Z4192" s="79"/>
      <c r="AA4192" s="79" t="str">
        <f>IF(AND(MONTH(E4192)='IN-NX'!$J$5,'IN-NX'!$D$7=D4192),"x","")</f>
        <v/>
      </c>
      <c r="AB4192" s="79" t="str">
        <f>IF(AND(OR(LEFT(TH!N4192,2)="15",LEFT(TH!O4192,2)="15"),LEFT(TH!O4192,3)&lt;&gt;"111",'152-CT'!$J$8=TH!F4192),"x","")</f>
        <v/>
      </c>
      <c r="AC4192" s="79" t="str">
        <f>IF(AND(OR(LEFT(TH!N4192,2)="15",LEFT(TH!O4192,2)="15"),TK!$E$7=TH!F4192),"x","")</f>
        <v/>
      </c>
      <c r="AD4192" s="79" t="str">
        <f>IF(AND(N4192="1521",MONTH(C4192)='BK-NL'!$M$11),"x","")</f>
        <v/>
      </c>
    </row>
    <row r="4193" spans="1:30" ht="16.5" customHeight="1">
      <c r="A4193" s="318" t="str">
        <f>IF(B4193&lt;&gt;"",IF(AND(B4193='[3]IN-TC'!$S$4,OR([3]TH!N3426="1111",[3]TH!O3426="1111")),[3]TH!D3426,""),"")</f>
        <v/>
      </c>
      <c r="B4193" s="60" t="str">
        <f t="shared" ref="B4193:B4198" si="445">IF(C4193&lt;&gt;"",MONTH(C4193),"")</f>
        <v/>
      </c>
      <c r="C4193" s="974"/>
      <c r="D4193" s="974"/>
      <c r="E4193" s="974"/>
      <c r="F4193" s="975"/>
      <c r="G4193" s="975"/>
      <c r="H4193" s="759"/>
      <c r="I4193" s="1247"/>
      <c r="J4193" s="391"/>
      <c r="K4193" s="1247"/>
      <c r="L4193" s="1248"/>
      <c r="M4193" s="978"/>
      <c r="N4193" s="979"/>
      <c r="O4193" s="979"/>
      <c r="P4193" s="79" t="str">
        <f>IF(AND('331-CT'!$E$7=TH!H4193,OR(N4193="331",O4193="331")),"x","")</f>
        <v/>
      </c>
      <c r="Q4193" s="79" t="str">
        <f>IF(AND(B4193='111'!$L$11,OR($N4193=$Q$7,$O4193=$Q$7)),"x","")</f>
        <v/>
      </c>
      <c r="R4193" s="79" t="str">
        <f>IF(AND($N4193=$Q$7,$B4193&lt;'111'!$L$11),"x","")</f>
        <v/>
      </c>
      <c r="S4193" s="79" t="str">
        <f>IF(AND($O4193=$Q$7,$B4193&lt;'111'!$L$11),"x","")</f>
        <v/>
      </c>
      <c r="T4193" s="79" t="str">
        <f>IF(ISERROR(FIND('112'!$M$9,G4193,1)),"",IF((AND(FIND('112'!$M$9,G4193,1)&gt;=1,B4193='112'!$K$9,OR($N4193='112'!$I$6,$O4193='112'!$I$6))),"x",""))</f>
        <v/>
      </c>
      <c r="U4193" s="79" t="str">
        <f>IF(ISERROR(FIND('112'!$M$9,G4193,1)),"",IF((AND(LEFT(G4193,2)=LEFT('112'!$M$9,2),B4193&lt;'112'!$K$9,$N4193='112'!$I$6)),"x",""))</f>
        <v/>
      </c>
      <c r="V4193" s="79" t="str">
        <f>IF(ISERROR(FIND('112'!$M$9,G4193,1)),"",IF((AND(RIGHT(G4193,2)=RIGHT('112'!$M$9,2),B4193&lt;'112'!$K$9,$O4193='112'!$I$6)),"x",""))</f>
        <v/>
      </c>
      <c r="W4193" s="79" t="str">
        <f>IF(AND('341-CT'!$H$9=H4193,OR(LEFT(N4193,3)=$W$7,LEFT(O4193,3)=$W$7)),"x","")</f>
        <v/>
      </c>
      <c r="X4193" s="79" t="str">
        <f>IF(OR(TH!N4193=TH!$X$7,O4193=TH!$X$7),"x","")</f>
        <v/>
      </c>
      <c r="Y4193" s="79" t="str">
        <f>IF(AND(OR(N4193="131",O4193="131"),H4193='131-CT'!$H$9),"x","")</f>
        <v/>
      </c>
      <c r="Z4193" s="79"/>
      <c r="AA4193" s="79" t="str">
        <f>IF(AND(MONTH(E4193)='IN-NX'!$J$5,'IN-NX'!$D$7=D4193),"x","")</f>
        <v/>
      </c>
      <c r="AB4193" s="79" t="str">
        <f>IF(AND(OR(LEFT(TH!N4193,2)="15",LEFT(TH!O4193,2)="15"),LEFT(TH!O4193,3)&lt;&gt;"111",'152-CT'!$J$8=TH!F4193),"x","")</f>
        <v/>
      </c>
      <c r="AC4193" s="79" t="str">
        <f>IF(AND(OR(LEFT(TH!N4193,2)="15",LEFT(TH!O4193,2)="15"),TK!$E$7=TH!F4193),"x","")</f>
        <v/>
      </c>
      <c r="AD4193" s="79" t="str">
        <f>IF(AND(N4193="1521",MONTH(C4193)='BK-NL'!$M$11),"x","")</f>
        <v/>
      </c>
    </row>
    <row r="4194" spans="1:30" ht="16.5" customHeight="1">
      <c r="A4194" s="318" t="str">
        <f>IF(B4194&lt;&gt;"",IF(AND(B4194='[3]IN-TC'!$S$4,OR([3]TH!N3427="1111",[3]TH!O3427="1111")),[3]TH!D3427,""),"")</f>
        <v/>
      </c>
      <c r="B4194" s="60" t="str">
        <f t="shared" ref="B4194:B4195" si="446">IF(C4194&lt;&gt;"",MONTH(C4194),"")</f>
        <v/>
      </c>
      <c r="C4194" s="974"/>
      <c r="D4194" s="974"/>
      <c r="E4194" s="974"/>
      <c r="F4194" s="975"/>
      <c r="G4194" s="975"/>
      <c r="H4194" s="759"/>
      <c r="I4194" s="1247"/>
      <c r="J4194" s="391"/>
      <c r="K4194" s="1247"/>
      <c r="L4194" s="1248"/>
      <c r="M4194" s="978"/>
      <c r="N4194" s="979"/>
      <c r="O4194" s="979"/>
      <c r="P4194" s="79" t="str">
        <f>IF(AND('331-CT'!$E$7=TH!H4194,OR(N4194="331",O4194="331")),"x","")</f>
        <v/>
      </c>
      <c r="Q4194" s="79" t="str">
        <f>IF(AND(B4194='111'!$L$11,OR($N4194=$Q$7,$O4194=$Q$7)),"x","")</f>
        <v/>
      </c>
      <c r="R4194" s="79" t="str">
        <f>IF(AND($N4194=$Q$7,$B4194&lt;'111'!$L$11),"x","")</f>
        <v/>
      </c>
      <c r="S4194" s="79" t="str">
        <f>IF(AND($O4194=$Q$7,$B4194&lt;'111'!$L$11),"x","")</f>
        <v/>
      </c>
      <c r="T4194" s="79" t="str">
        <f>IF(ISERROR(FIND('112'!$M$9,G4194,1)),"",IF((AND(FIND('112'!$M$9,G4194,1)&gt;=1,B4194='112'!$K$9,OR($N4194='112'!$I$6,$O4194='112'!$I$6))),"x",""))</f>
        <v/>
      </c>
      <c r="U4194" s="79" t="str">
        <f>IF(ISERROR(FIND('112'!$M$9,G4194,1)),"",IF((AND(LEFT(G4194,2)=LEFT('112'!$M$9,2),B4194&lt;'112'!$K$9,$N4194='112'!$I$6)),"x",""))</f>
        <v/>
      </c>
      <c r="V4194" s="79" t="str">
        <f>IF(ISERROR(FIND('112'!$M$9,G4194,1)),"",IF((AND(RIGHT(G4194,2)=RIGHT('112'!$M$9,2),B4194&lt;'112'!$K$9,$O4194='112'!$I$6)),"x",""))</f>
        <v/>
      </c>
      <c r="W4194" s="79" t="str">
        <f>IF(AND('341-CT'!$H$9=H4194,OR(LEFT(N4194,3)=$W$7,LEFT(O4194,3)=$W$7)),"x","")</f>
        <v/>
      </c>
      <c r="X4194" s="79" t="str">
        <f>IF(OR(TH!N4194=TH!$X$7,O4194=TH!$X$7),"x","")</f>
        <v/>
      </c>
      <c r="Y4194" s="79" t="str">
        <f>IF(AND(OR(N4194="131",O4194="131"),H4194='131-CT'!$H$9),"x","")</f>
        <v/>
      </c>
      <c r="Z4194" s="79"/>
      <c r="AA4194" s="79" t="str">
        <f>IF(AND(MONTH(E4194)='IN-NX'!$J$5,'IN-NX'!$D$7=D4194),"x","")</f>
        <v/>
      </c>
      <c r="AB4194" s="79" t="str">
        <f>IF(AND(OR(LEFT(TH!N4194,2)="15",LEFT(TH!O4194,2)="15"),LEFT(TH!O4194,3)&lt;&gt;"111",'152-CT'!$J$8=TH!F4194),"x","")</f>
        <v/>
      </c>
      <c r="AC4194" s="79" t="str">
        <f>IF(AND(OR(LEFT(TH!N4194,2)="15",LEFT(TH!O4194,2)="15"),TK!$E$7=TH!F4194),"x","")</f>
        <v/>
      </c>
      <c r="AD4194" s="79" t="str">
        <f>IF(AND(N4194="1521",MONTH(C4194)='BK-NL'!$M$11),"x","")</f>
        <v/>
      </c>
    </row>
    <row r="4195" spans="1:30" ht="16.5" customHeight="1">
      <c r="A4195" s="318" t="str">
        <f>IF(B4195&lt;&gt;"",IF(AND(B4195='[3]IN-TC'!$S$4,OR([3]TH!N3428="1111",[3]TH!O3428="1111")),[3]TH!D3428,""),"")</f>
        <v/>
      </c>
      <c r="B4195" s="60" t="str">
        <f t="shared" si="446"/>
        <v/>
      </c>
      <c r="C4195" s="974"/>
      <c r="D4195" s="974"/>
      <c r="E4195" s="974"/>
      <c r="F4195" s="975"/>
      <c r="G4195" s="975"/>
      <c r="H4195" s="759"/>
      <c r="I4195" s="1247"/>
      <c r="J4195" s="391"/>
      <c r="K4195" s="1247"/>
      <c r="L4195" s="1248"/>
      <c r="M4195" s="978"/>
      <c r="N4195" s="979"/>
      <c r="O4195" s="979"/>
      <c r="P4195" s="79" t="str">
        <f>IF(AND('331-CT'!$E$7=TH!H4195,OR(N4195="331",O4195="331")),"x","")</f>
        <v/>
      </c>
      <c r="Q4195" s="79" t="str">
        <f>IF(AND(B4195='111'!$L$11,OR($N4195=$Q$7,$O4195=$Q$7)),"x","")</f>
        <v/>
      </c>
      <c r="R4195" s="79" t="str">
        <f>IF(AND($N4195=$Q$7,$B4195&lt;'111'!$L$11),"x","")</f>
        <v/>
      </c>
      <c r="S4195" s="79" t="str">
        <f>IF(AND($O4195=$Q$7,$B4195&lt;'111'!$L$11),"x","")</f>
        <v/>
      </c>
      <c r="T4195" s="79" t="str">
        <f>IF(ISERROR(FIND('112'!$M$9,G4195,1)),"",IF((AND(FIND('112'!$M$9,G4195,1)&gt;=1,B4195='112'!$K$9,OR($N4195='112'!$I$6,$O4195='112'!$I$6))),"x",""))</f>
        <v/>
      </c>
      <c r="U4195" s="79" t="str">
        <f>IF(ISERROR(FIND('112'!$M$9,G4195,1)),"",IF((AND(LEFT(G4195,2)=LEFT('112'!$M$9,2),B4195&lt;'112'!$K$9,$N4195='112'!$I$6)),"x",""))</f>
        <v/>
      </c>
      <c r="V4195" s="79" t="str">
        <f>IF(ISERROR(FIND('112'!$M$9,G4195,1)),"",IF((AND(RIGHT(G4195,2)=RIGHT('112'!$M$9,2),B4195&lt;'112'!$K$9,$O4195='112'!$I$6)),"x",""))</f>
        <v/>
      </c>
      <c r="W4195" s="79" t="str">
        <f>IF(AND('341-CT'!$H$9=H4195,OR(LEFT(N4195,3)=$W$7,LEFT(O4195,3)=$W$7)),"x","")</f>
        <v/>
      </c>
      <c r="X4195" s="79" t="str">
        <f>IF(OR(TH!N4195=TH!$X$7,O4195=TH!$X$7),"x","")</f>
        <v/>
      </c>
      <c r="Y4195" s="79" t="str">
        <f>IF(AND(OR(N4195="131",O4195="131"),H4195='131-CT'!$H$9),"x","")</f>
        <v/>
      </c>
      <c r="Z4195" s="79"/>
      <c r="AA4195" s="79" t="str">
        <f>IF(AND(MONTH(E4195)='IN-NX'!$J$5,'IN-NX'!$D$7=D4195),"x","")</f>
        <v/>
      </c>
      <c r="AB4195" s="79" t="str">
        <f>IF(AND(OR(LEFT(TH!N4195,2)="15",LEFT(TH!O4195,2)="15"),LEFT(TH!O4195,3)&lt;&gt;"111",'152-CT'!$J$8=TH!F4195),"x","")</f>
        <v/>
      </c>
      <c r="AC4195" s="79" t="str">
        <f>IF(AND(OR(LEFT(TH!N4195,2)="15",LEFT(TH!O4195,2)="15"),TK!$E$7=TH!F4195),"x","")</f>
        <v/>
      </c>
      <c r="AD4195" s="79" t="str">
        <f>IF(AND(N4195="1521",MONTH(C4195)='BK-NL'!$M$11),"x","")</f>
        <v/>
      </c>
    </row>
    <row r="4196" spans="1:30" ht="16.5" customHeight="1">
      <c r="A4196" s="318" t="str">
        <f>IF(B4196&lt;&gt;"",IF(AND(B4196='[3]IN-TC'!$S$4,OR([3]TH!N3429="1111",[3]TH!O3429="1111")),[3]TH!D3429,""),"")</f>
        <v/>
      </c>
      <c r="B4196" s="60" t="str">
        <f t="shared" si="445"/>
        <v/>
      </c>
      <c r="C4196" s="974"/>
      <c r="D4196" s="974"/>
      <c r="E4196" s="974"/>
      <c r="F4196" s="975"/>
      <c r="G4196" s="975"/>
      <c r="H4196" s="759"/>
      <c r="I4196" s="1247"/>
      <c r="J4196" s="391"/>
      <c r="K4196" s="1247"/>
      <c r="L4196" s="1248"/>
      <c r="M4196" s="978"/>
      <c r="N4196" s="979"/>
      <c r="O4196" s="979"/>
      <c r="P4196" s="79" t="str">
        <f>IF(AND('331-CT'!$E$7=TH!H4196,OR(N4196="331",O4196="331")),"x","")</f>
        <v/>
      </c>
      <c r="Q4196" s="79" t="str">
        <f>IF(AND(B4196='111'!$L$11,OR($N4196=$Q$7,$O4196=$Q$7)),"x","")</f>
        <v/>
      </c>
      <c r="R4196" s="79" t="str">
        <f>IF(AND($N4196=$Q$7,$B4196&lt;'111'!$L$11),"x","")</f>
        <v/>
      </c>
      <c r="S4196" s="79" t="str">
        <f>IF(AND($O4196=$Q$7,$B4196&lt;'111'!$L$11),"x","")</f>
        <v/>
      </c>
      <c r="T4196" s="79" t="str">
        <f>IF(ISERROR(FIND('112'!$M$9,G4196,1)),"",IF((AND(FIND('112'!$M$9,G4196,1)&gt;=1,B4196='112'!$K$9,OR($N4196='112'!$I$6,$O4196='112'!$I$6))),"x",""))</f>
        <v/>
      </c>
      <c r="U4196" s="79" t="str">
        <f>IF(ISERROR(FIND('112'!$M$9,G4196,1)),"",IF((AND(LEFT(G4196,2)=LEFT('112'!$M$9,2),B4196&lt;'112'!$K$9,$N4196='112'!$I$6)),"x",""))</f>
        <v/>
      </c>
      <c r="V4196" s="79" t="str">
        <f>IF(ISERROR(FIND('112'!$M$9,G4196,1)),"",IF((AND(RIGHT(G4196,2)=RIGHT('112'!$M$9,2),B4196&lt;'112'!$K$9,$O4196='112'!$I$6)),"x",""))</f>
        <v/>
      </c>
      <c r="W4196" s="79" t="str">
        <f>IF(AND('341-CT'!$H$9=H4196,OR(LEFT(N4196,3)=$W$7,LEFT(O4196,3)=$W$7)),"x","")</f>
        <v/>
      </c>
      <c r="X4196" s="79" t="str">
        <f>IF(OR(TH!N4196=TH!$X$7,O4196=TH!$X$7),"x","")</f>
        <v/>
      </c>
      <c r="Y4196" s="79" t="str">
        <f>IF(AND(OR(N4196="131",O4196="131"),H4196='131-CT'!$H$9),"x","")</f>
        <v/>
      </c>
      <c r="Z4196" s="79"/>
      <c r="AA4196" s="79" t="str">
        <f>IF(AND(MONTH(E4196)='IN-NX'!$J$5,'IN-NX'!$D$7=D4196),"x","")</f>
        <v/>
      </c>
      <c r="AB4196" s="79" t="str">
        <f>IF(AND(OR(LEFT(TH!N4196,2)="15",LEFT(TH!O4196,2)="15"),LEFT(TH!O4196,3)&lt;&gt;"111",'152-CT'!$J$8=TH!F4196),"x","")</f>
        <v/>
      </c>
      <c r="AC4196" s="79" t="str">
        <f>IF(AND(OR(LEFT(TH!N4196,2)="15",LEFT(TH!O4196,2)="15"),TK!$E$7=TH!F4196),"x","")</f>
        <v/>
      </c>
      <c r="AD4196" s="79" t="str">
        <f>IF(AND(N4196="1521",MONTH(C4196)='BK-NL'!$M$11),"x","")</f>
        <v/>
      </c>
    </row>
    <row r="4197" spans="1:30" ht="16.5" customHeight="1">
      <c r="A4197" s="318" t="str">
        <f>IF(B4197&lt;&gt;"",IF(AND(B4197='[3]IN-TC'!$S$4,OR([3]TH!N3430="1111",[3]TH!O3430="1111")),[3]TH!D3430,""),"")</f>
        <v/>
      </c>
      <c r="B4197" s="60" t="str">
        <f t="shared" si="445"/>
        <v/>
      </c>
      <c r="C4197" s="974"/>
      <c r="D4197" s="974"/>
      <c r="E4197" s="974"/>
      <c r="F4197" s="975"/>
      <c r="G4197" s="975"/>
      <c r="H4197" s="759"/>
      <c r="I4197" s="1247"/>
      <c r="J4197" s="391"/>
      <c r="K4197" s="1247"/>
      <c r="L4197" s="1248"/>
      <c r="M4197" s="978"/>
      <c r="N4197" s="979"/>
      <c r="O4197" s="979"/>
      <c r="P4197" s="79" t="str">
        <f>IF(AND('331-CT'!$E$7=TH!H4197,OR(N4197="331",O4197="331")),"x","")</f>
        <v/>
      </c>
      <c r="Q4197" s="79" t="str">
        <f>IF(AND(B4197='111'!$L$11,OR($N4197=$Q$7,$O4197=$Q$7)),"x","")</f>
        <v/>
      </c>
      <c r="R4197" s="79" t="str">
        <f>IF(AND($N4197=$Q$7,$B4197&lt;'111'!$L$11),"x","")</f>
        <v/>
      </c>
      <c r="S4197" s="79" t="str">
        <f>IF(AND($O4197=$Q$7,$B4197&lt;'111'!$L$11),"x","")</f>
        <v/>
      </c>
      <c r="T4197" s="79" t="str">
        <f>IF(ISERROR(FIND('112'!$M$9,G4197,1)),"",IF((AND(FIND('112'!$M$9,G4197,1)&gt;=1,B4197='112'!$K$9,OR($N4197='112'!$I$6,$O4197='112'!$I$6))),"x",""))</f>
        <v/>
      </c>
      <c r="U4197" s="79" t="str">
        <f>IF(ISERROR(FIND('112'!$M$9,G4197,1)),"",IF((AND(LEFT(G4197,2)=LEFT('112'!$M$9,2),B4197&lt;'112'!$K$9,$N4197='112'!$I$6)),"x",""))</f>
        <v/>
      </c>
      <c r="V4197" s="79" t="str">
        <f>IF(ISERROR(FIND('112'!$M$9,G4197,1)),"",IF((AND(RIGHT(G4197,2)=RIGHT('112'!$M$9,2),B4197&lt;'112'!$K$9,$O4197='112'!$I$6)),"x",""))</f>
        <v/>
      </c>
      <c r="W4197" s="79" t="str">
        <f>IF(AND('341-CT'!$H$9=H4197,OR(LEFT(N4197,3)=$W$7,LEFT(O4197,3)=$W$7)),"x","")</f>
        <v/>
      </c>
      <c r="X4197" s="79" t="str">
        <f>IF(OR(TH!N4197=TH!$X$7,O4197=TH!$X$7),"x","")</f>
        <v/>
      </c>
      <c r="Y4197" s="79" t="str">
        <f>IF(AND(OR(N4197="131",O4197="131"),H4197='131-CT'!$H$9),"x","")</f>
        <v/>
      </c>
      <c r="Z4197" s="79"/>
      <c r="AA4197" s="79" t="str">
        <f>IF(AND(MONTH(E4197)='IN-NX'!$J$5,'IN-NX'!$D$7=D4197),"x","")</f>
        <v/>
      </c>
      <c r="AB4197" s="79" t="str">
        <f>IF(AND(OR(LEFT(TH!N4197,2)="15",LEFT(TH!O4197,2)="15"),LEFT(TH!O4197,3)&lt;&gt;"111",'152-CT'!$J$8=TH!F4197),"x","")</f>
        <v/>
      </c>
      <c r="AC4197" s="79" t="str">
        <f>IF(AND(OR(LEFT(TH!N4197,2)="15",LEFT(TH!O4197,2)="15"),TK!$E$7=TH!F4197),"x","")</f>
        <v/>
      </c>
      <c r="AD4197" s="79" t="str">
        <f>IF(AND(N4197="1521",MONTH(C4197)='BK-NL'!$M$11),"x","")</f>
        <v/>
      </c>
    </row>
    <row r="4198" spans="1:30" ht="16.5" customHeight="1">
      <c r="A4198" s="318" t="str">
        <f>IF(B4198&lt;&gt;"",IF(AND(B4198='[3]IN-TC'!$S$4,OR([3]TH!N3431="1111",[3]TH!O3431="1111")),[3]TH!D3431,""),"")</f>
        <v/>
      </c>
      <c r="B4198" s="60" t="str">
        <f t="shared" si="445"/>
        <v/>
      </c>
      <c r="C4198" s="974"/>
      <c r="D4198" s="974"/>
      <c r="E4198" s="974"/>
      <c r="F4198" s="975"/>
      <c r="G4198" s="975"/>
      <c r="H4198" s="759"/>
      <c r="I4198" s="1247"/>
      <c r="J4198" s="391"/>
      <c r="K4198" s="1247"/>
      <c r="L4198" s="1248"/>
      <c r="M4198" s="978"/>
      <c r="N4198" s="979"/>
      <c r="O4198" s="979"/>
      <c r="P4198" s="79" t="str">
        <f>IF(AND('331-CT'!$E$7=TH!H4198,OR(N4198="331",O4198="331")),"x","")</f>
        <v/>
      </c>
      <c r="Q4198" s="79" t="str">
        <f>IF(AND(B4198='111'!$L$11,OR($N4198=$Q$7,$O4198=$Q$7)),"x","")</f>
        <v/>
      </c>
      <c r="R4198" s="79" t="str">
        <f>IF(AND($N4198=$Q$7,$B4198&lt;'111'!$L$11),"x","")</f>
        <v/>
      </c>
      <c r="S4198" s="79" t="str">
        <f>IF(AND($O4198=$Q$7,$B4198&lt;'111'!$L$11),"x","")</f>
        <v/>
      </c>
      <c r="T4198" s="79" t="str">
        <f>IF(ISERROR(FIND('112'!$M$9,G4198,1)),"",IF((AND(FIND('112'!$M$9,G4198,1)&gt;=1,B4198='112'!$K$9,OR($N4198='112'!$I$6,$O4198='112'!$I$6))),"x",""))</f>
        <v/>
      </c>
      <c r="U4198" s="79" t="str">
        <f>IF(ISERROR(FIND('112'!$M$9,G4198,1)),"",IF((AND(LEFT(G4198,2)=LEFT('112'!$M$9,2),B4198&lt;'112'!$K$9,$N4198='112'!$I$6)),"x",""))</f>
        <v/>
      </c>
      <c r="V4198" s="79" t="str">
        <f>IF(ISERROR(FIND('112'!$M$9,G4198,1)),"",IF((AND(RIGHT(G4198,2)=RIGHT('112'!$M$9,2),B4198&lt;'112'!$K$9,$O4198='112'!$I$6)),"x",""))</f>
        <v/>
      </c>
      <c r="W4198" s="79" t="str">
        <f>IF(AND('341-CT'!$H$9=H4198,OR(LEFT(N4198,3)=$W$7,LEFT(O4198,3)=$W$7)),"x","")</f>
        <v/>
      </c>
      <c r="X4198" s="79" t="str">
        <f>IF(OR(TH!N4198=TH!$X$7,O4198=TH!$X$7),"x","")</f>
        <v/>
      </c>
      <c r="Y4198" s="79" t="str">
        <f>IF(AND(OR(N4198="131",O4198="131"),H4198='131-CT'!$H$9),"x","")</f>
        <v/>
      </c>
      <c r="Z4198" s="79"/>
      <c r="AA4198" s="79" t="str">
        <f>IF(AND(MONTH(E4198)='IN-NX'!$J$5,'IN-NX'!$D$7=D4198),"x","")</f>
        <v/>
      </c>
      <c r="AB4198" s="79" t="str">
        <f>IF(AND(OR(LEFT(TH!N4198,2)="15",LEFT(TH!O4198,2)="15"),LEFT(TH!O4198,3)&lt;&gt;"111",'152-CT'!$J$8=TH!F4198),"x","")</f>
        <v/>
      </c>
      <c r="AC4198" s="79" t="str">
        <f>IF(AND(OR(LEFT(TH!N4198,2)="15",LEFT(TH!O4198,2)="15"),TK!$E$7=TH!F4198),"x","")</f>
        <v/>
      </c>
      <c r="AD4198" s="79" t="str">
        <f>IF(AND(N4198="1521",MONTH(C4198)='BK-NL'!$M$11),"x","")</f>
        <v/>
      </c>
    </row>
    <row r="4199" spans="1:30" ht="16.5" customHeight="1">
      <c r="A4199" s="318" t="str">
        <f>IF(B4199&lt;&gt;"",IF(AND(B4199='[3]IN-TC'!$S$4,OR([3]TH!N3432="1111",[3]TH!O3432="1111")),[3]TH!D3432,""),"")</f>
        <v/>
      </c>
      <c r="B4199" s="60" t="str">
        <f t="shared" ref="B4199" si="447">IF(C4199&lt;&gt;"",MONTH(C4199),"")</f>
        <v/>
      </c>
      <c r="C4199" s="974"/>
      <c r="D4199" s="974"/>
      <c r="E4199" s="974"/>
      <c r="F4199" s="975"/>
      <c r="G4199" s="975"/>
      <c r="H4199" s="759"/>
      <c r="I4199" s="1247"/>
      <c r="J4199" s="391"/>
      <c r="K4199" s="1247"/>
      <c r="L4199" s="1248"/>
      <c r="M4199" s="978"/>
      <c r="N4199" s="979"/>
      <c r="O4199" s="979"/>
      <c r="P4199" s="79" t="str">
        <f>IF(AND('331-CT'!$E$7=TH!H4199,OR(N4199="331",O4199="331")),"x","")</f>
        <v/>
      </c>
      <c r="Q4199" s="79" t="str">
        <f>IF(AND(B4199='111'!$L$11,OR($N4199=$Q$7,$O4199=$Q$7)),"x","")</f>
        <v/>
      </c>
      <c r="R4199" s="79" t="str">
        <f>IF(AND($N4199=$Q$7,$B4199&lt;'111'!$L$11),"x","")</f>
        <v/>
      </c>
      <c r="S4199" s="79" t="str">
        <f>IF(AND($O4199=$Q$7,$B4199&lt;'111'!$L$11),"x","")</f>
        <v/>
      </c>
      <c r="T4199" s="79" t="str">
        <f>IF(ISERROR(FIND('112'!$M$9,G4199,1)),"",IF((AND(FIND('112'!$M$9,G4199,1)&gt;=1,B4199='112'!$K$9,OR($N4199='112'!$I$6,$O4199='112'!$I$6))),"x",""))</f>
        <v/>
      </c>
      <c r="U4199" s="79" t="str">
        <f>IF(ISERROR(FIND('112'!$M$9,G4199,1)),"",IF((AND(LEFT(G4199,2)=LEFT('112'!$M$9,2),B4199&lt;'112'!$K$9,$N4199='112'!$I$6)),"x",""))</f>
        <v/>
      </c>
      <c r="V4199" s="79" t="str">
        <f>IF(ISERROR(FIND('112'!$M$9,G4199,1)),"",IF((AND(RIGHT(G4199,2)=RIGHT('112'!$M$9,2),B4199&lt;'112'!$K$9,$O4199='112'!$I$6)),"x",""))</f>
        <v/>
      </c>
      <c r="W4199" s="79" t="str">
        <f>IF(AND('341-CT'!$H$9=H4199,OR(LEFT(N4199,3)=$W$7,LEFT(O4199,3)=$W$7)),"x","")</f>
        <v/>
      </c>
      <c r="X4199" s="79" t="str">
        <f>IF(OR(TH!N4199=TH!$X$7,O4199=TH!$X$7),"x","")</f>
        <v/>
      </c>
      <c r="Y4199" s="79" t="str">
        <f>IF(AND(OR(N4199="131",O4199="131"),H4199='131-CT'!$H$9),"x","")</f>
        <v/>
      </c>
      <c r="Z4199" s="79"/>
      <c r="AA4199" s="79" t="str">
        <f>IF(AND(MONTH(E4199)='IN-NX'!$J$5,'IN-NX'!$D$7=D4199),"x","")</f>
        <v/>
      </c>
      <c r="AB4199" s="79" t="str">
        <f>IF(AND(OR(LEFT(TH!N4199,2)="15",LEFT(TH!O4199,2)="15"),LEFT(TH!O4199,3)&lt;&gt;"111",'152-CT'!$J$8=TH!F4199),"x","")</f>
        <v/>
      </c>
      <c r="AC4199" s="79" t="str">
        <f>IF(AND(OR(LEFT(TH!N4199,2)="15",LEFT(TH!O4199,2)="15"),TK!$E$7=TH!F4199),"x","")</f>
        <v/>
      </c>
      <c r="AD4199" s="79" t="str">
        <f>IF(AND(N4199="1521",MONTH(C4199)='BK-NL'!$M$11),"x","")</f>
        <v/>
      </c>
    </row>
    <row r="4200" spans="1:30" ht="16.5" customHeight="1">
      <c r="A4200" s="318" t="str">
        <f>IF(B4200&lt;&gt;"",IF(AND(B4200='[3]IN-TC'!$S$4,OR([3]TH!N3433="1111",[3]TH!O3433="1111")),[3]TH!D3433,""),"")</f>
        <v/>
      </c>
      <c r="B4200" s="60" t="str">
        <f t="shared" ref="B4200" si="448">IF(C4200&lt;&gt;"",MONTH(C4200),"")</f>
        <v/>
      </c>
      <c r="C4200" s="974"/>
      <c r="D4200" s="974"/>
      <c r="E4200" s="974"/>
      <c r="F4200" s="975"/>
      <c r="G4200" s="975"/>
      <c r="H4200" s="759"/>
      <c r="I4200" s="1247"/>
      <c r="J4200" s="391"/>
      <c r="K4200" s="1247"/>
      <c r="L4200" s="1248"/>
      <c r="M4200" s="78"/>
      <c r="N4200" s="979"/>
      <c r="O4200" s="979"/>
      <c r="P4200" s="79" t="str">
        <f>IF(AND('331-CT'!$E$7=TH!H4200,OR(N4200="331",O4200="331")),"x","")</f>
        <v/>
      </c>
      <c r="Q4200" s="79" t="str">
        <f>IF(AND(B4200='111'!$L$11,OR($N4200=$Q$7,$O4200=$Q$7)),"x","")</f>
        <v/>
      </c>
      <c r="R4200" s="79" t="str">
        <f>IF(AND($N4200=$Q$7,$B4200&lt;'111'!$L$11),"x","")</f>
        <v/>
      </c>
      <c r="S4200" s="79" t="str">
        <f>IF(AND($O4200=$Q$7,$B4200&lt;'111'!$L$11),"x","")</f>
        <v/>
      </c>
      <c r="T4200" s="79" t="str">
        <f>IF(ISERROR(FIND('112'!$M$9,G4200,1)),"",IF((AND(FIND('112'!$M$9,G4200,1)&gt;=1,B4200='112'!$K$9,OR($N4200='112'!$I$6,$O4200='112'!$I$6))),"x",""))</f>
        <v/>
      </c>
      <c r="U4200" s="79" t="str">
        <f>IF(ISERROR(FIND('112'!$M$9,G4200,1)),"",IF((AND(LEFT(G4200,2)=LEFT('112'!$M$9,2),B4200&lt;'112'!$K$9,$N4200='112'!$I$6)),"x",""))</f>
        <v/>
      </c>
      <c r="V4200" s="79" t="str">
        <f>IF(ISERROR(FIND('112'!$M$9,G4200,1)),"",IF((AND(RIGHT(G4200,2)=RIGHT('112'!$M$9,2),B4200&lt;'112'!$K$9,$O4200='112'!$I$6)),"x",""))</f>
        <v/>
      </c>
      <c r="W4200" s="79" t="str">
        <f>IF(AND('341-CT'!$H$9=H4200,OR(LEFT(N4200,3)=$W$7,LEFT(O4200,3)=$W$7)),"x","")</f>
        <v/>
      </c>
      <c r="X4200" s="79" t="str">
        <f>IF(OR(TH!N4200=TH!$X$7,O4200=TH!$X$7),"x","")</f>
        <v/>
      </c>
      <c r="Y4200" s="79" t="str">
        <f>IF(AND(OR(N4200="131",O4200="131"),H4200='131-CT'!$H$9),"x","")</f>
        <v/>
      </c>
      <c r="Z4200" s="79"/>
      <c r="AA4200" s="79" t="str">
        <f>IF(AND(MONTH(E4200)='IN-NX'!$J$5,'IN-NX'!$D$7=D4200),"x","")</f>
        <v/>
      </c>
      <c r="AB4200" s="79" t="str">
        <f>IF(AND(OR(LEFT(TH!N4200,2)="15",LEFT(TH!O4200,2)="15"),LEFT(TH!O4200,3)&lt;&gt;"111",'152-CT'!$J$8=TH!F4200),"x","")</f>
        <v/>
      </c>
      <c r="AC4200" s="79" t="str">
        <f>IF(AND(OR(LEFT(TH!N4200,2)="15",LEFT(TH!O4200,2)="15"),TK!$E$7=TH!F4200),"x","")</f>
        <v/>
      </c>
      <c r="AD4200" s="79" t="str">
        <f>IF(AND(N4200="1521",MONTH(C4200)='BK-NL'!$M$11),"x","")</f>
        <v/>
      </c>
    </row>
    <row r="4201" spans="1:30" ht="16.5" customHeight="1">
      <c r="A4201" s="318" t="str">
        <f>IF(B4201&lt;&gt;"",IF(AND(B4201='[3]IN-TC'!$S$4,OR([3]TH!N3434="1111",[3]TH!O3434="1111")),[3]TH!D3434,""),"")</f>
        <v/>
      </c>
      <c r="B4201" s="60" t="str">
        <f t="shared" ref="B4201" si="449">IF(C4201&lt;&gt;"",MONTH(C4201),"")</f>
        <v/>
      </c>
      <c r="C4201" s="974"/>
      <c r="D4201" s="974"/>
      <c r="E4201" s="974"/>
      <c r="F4201" s="975"/>
      <c r="G4201" s="975"/>
      <c r="H4201" s="759"/>
      <c r="I4201" s="1247"/>
      <c r="J4201" s="391"/>
      <c r="K4201" s="1247"/>
      <c r="L4201" s="1248"/>
      <c r="M4201" s="78"/>
      <c r="N4201" s="979"/>
      <c r="O4201" s="979"/>
      <c r="P4201" s="79" t="str">
        <f>IF(AND('331-CT'!$E$7=TH!H4201,OR(N4201="331",O4201="331")),"x","")</f>
        <v/>
      </c>
      <c r="Q4201" s="79" t="str">
        <f>IF(AND(B4201='111'!$L$11,OR($N4201=$Q$7,$O4201=$Q$7)),"x","")</f>
        <v/>
      </c>
      <c r="R4201" s="79" t="str">
        <f>IF(AND($N4201=$Q$7,$B4201&lt;'111'!$L$11),"x","")</f>
        <v/>
      </c>
      <c r="S4201" s="79" t="str">
        <f>IF(AND($O4201=$Q$7,$B4201&lt;'111'!$L$11),"x","")</f>
        <v/>
      </c>
      <c r="T4201" s="79" t="str">
        <f>IF(ISERROR(FIND('112'!$M$9,G4201,1)),"",IF((AND(FIND('112'!$M$9,G4201,1)&gt;=1,B4201='112'!$K$9,OR($N4201='112'!$I$6,$O4201='112'!$I$6))),"x",""))</f>
        <v/>
      </c>
      <c r="U4201" s="79" t="str">
        <f>IF(ISERROR(FIND('112'!$M$9,G4201,1)),"",IF((AND(LEFT(G4201,2)=LEFT('112'!$M$9,2),B4201&lt;'112'!$K$9,$N4201='112'!$I$6)),"x",""))</f>
        <v/>
      </c>
      <c r="V4201" s="79" t="str">
        <f>IF(ISERROR(FIND('112'!$M$9,G4201,1)),"",IF((AND(RIGHT(G4201,2)=RIGHT('112'!$M$9,2),B4201&lt;'112'!$K$9,$O4201='112'!$I$6)),"x",""))</f>
        <v/>
      </c>
      <c r="W4201" s="79" t="str">
        <f>IF(AND('341-CT'!$H$9=H4201,OR(LEFT(N4201,3)=$W$7,LEFT(O4201,3)=$W$7)),"x","")</f>
        <v/>
      </c>
      <c r="X4201" s="79" t="str">
        <f>IF(OR(TH!N4201=TH!$X$7,O4201=TH!$X$7),"x","")</f>
        <v/>
      </c>
      <c r="Y4201" s="79" t="str">
        <f>IF(AND(OR(N4201="131",O4201="131"),H4201='131-CT'!$H$9),"x","")</f>
        <v/>
      </c>
      <c r="Z4201" s="79"/>
      <c r="AA4201" s="79" t="str">
        <f>IF(AND(MONTH(E4201)='IN-NX'!$J$5,'IN-NX'!$D$7=D4201),"x","")</f>
        <v/>
      </c>
      <c r="AB4201" s="79" t="str">
        <f>IF(AND(OR(LEFT(TH!N4201,2)="15",LEFT(TH!O4201,2)="15"),LEFT(TH!O4201,3)&lt;&gt;"111",'152-CT'!$J$8=TH!F4201),"x","")</f>
        <v/>
      </c>
      <c r="AC4201" s="79" t="str">
        <f>IF(AND(OR(LEFT(TH!N4201,2)="15",LEFT(TH!O4201,2)="15"),TK!$E$7=TH!F4201),"x","")</f>
        <v/>
      </c>
      <c r="AD4201" s="79" t="str">
        <f>IF(AND(N4201="1521",MONTH(C4201)='BK-NL'!$M$11),"x","")</f>
        <v/>
      </c>
    </row>
    <row r="4202" spans="1:30" ht="16.5" customHeight="1">
      <c r="A4202" s="318" t="str">
        <f>IF(B4202&lt;&gt;"",IF(AND(B4202='[3]IN-TC'!$S$4,OR([3]TH!N3435="1111",[3]TH!O3435="1111")),[3]TH!D3435,""),"")</f>
        <v/>
      </c>
      <c r="B4202" s="60" t="str">
        <f t="shared" ref="B4202:B4203" si="450">IF(C4202&lt;&gt;"",MONTH(C4202),"")</f>
        <v/>
      </c>
      <c r="C4202" s="974"/>
      <c r="D4202" s="974"/>
      <c r="E4202" s="974"/>
      <c r="F4202" s="975"/>
      <c r="G4202" s="975"/>
      <c r="H4202" s="759"/>
      <c r="I4202" s="1247"/>
      <c r="J4202" s="391"/>
      <c r="K4202" s="1247"/>
      <c r="L4202" s="1248"/>
      <c r="M4202" s="978"/>
      <c r="N4202" s="979"/>
      <c r="O4202" s="979"/>
      <c r="P4202" s="79" t="str">
        <f>IF(AND('331-CT'!$E$7=TH!H4202,OR(N4202="331",O4202="331")),"x","")</f>
        <v/>
      </c>
      <c r="Q4202" s="79" t="str">
        <f>IF(AND(B4202='111'!$L$11,OR($N4202=$Q$7,$O4202=$Q$7)),"x","")</f>
        <v/>
      </c>
      <c r="R4202" s="79" t="str">
        <f>IF(AND($N4202=$Q$7,$B4202&lt;'111'!$L$11),"x","")</f>
        <v/>
      </c>
      <c r="S4202" s="79" t="str">
        <f>IF(AND($O4202=$Q$7,$B4202&lt;'111'!$L$11),"x","")</f>
        <v/>
      </c>
      <c r="T4202" s="79" t="str">
        <f>IF(ISERROR(FIND('112'!$M$9,G4202,1)),"",IF((AND(FIND('112'!$M$9,G4202,1)&gt;=1,B4202='112'!$K$9,OR($N4202='112'!$I$6,$O4202='112'!$I$6))),"x",""))</f>
        <v/>
      </c>
      <c r="U4202" s="79" t="str">
        <f>IF(ISERROR(FIND('112'!$M$9,G4202,1)),"",IF((AND(LEFT(G4202,2)=LEFT('112'!$M$9,2),B4202&lt;'112'!$K$9,$N4202='112'!$I$6)),"x",""))</f>
        <v/>
      </c>
      <c r="V4202" s="79" t="str">
        <f>IF(ISERROR(FIND('112'!$M$9,G4202,1)),"",IF((AND(RIGHT(G4202,2)=RIGHT('112'!$M$9,2),B4202&lt;'112'!$K$9,$O4202='112'!$I$6)),"x",""))</f>
        <v/>
      </c>
      <c r="W4202" s="79" t="str">
        <f>IF(AND('341-CT'!$H$9=H4202,OR(LEFT(N4202,3)=$W$7,LEFT(O4202,3)=$W$7)),"x","")</f>
        <v/>
      </c>
      <c r="X4202" s="79" t="str">
        <f>IF(OR(TH!N4202=TH!$X$7,O4202=TH!$X$7),"x","")</f>
        <v/>
      </c>
      <c r="Y4202" s="79" t="str">
        <f>IF(AND(OR(N4202="131",O4202="131"),H4202='131-CT'!$H$9),"x","")</f>
        <v/>
      </c>
      <c r="Z4202" s="79"/>
      <c r="AA4202" s="79" t="str">
        <f>IF(AND(MONTH(E4202)='IN-NX'!$J$5,'IN-NX'!$D$7=D4202),"x","")</f>
        <v/>
      </c>
      <c r="AB4202" s="79" t="str">
        <f>IF(AND(OR(LEFT(TH!N4202,2)="15",LEFT(TH!O4202,2)="15"),LEFT(TH!O4202,3)&lt;&gt;"111",'152-CT'!$J$8=TH!F4202),"x","")</f>
        <v/>
      </c>
      <c r="AC4202" s="79" t="str">
        <f>IF(AND(OR(LEFT(TH!N4202,2)="15",LEFT(TH!O4202,2)="15"),TK!$E$7=TH!F4202),"x","")</f>
        <v/>
      </c>
      <c r="AD4202" s="79" t="str">
        <f>IF(AND(N4202="1521",MONTH(C4202)='BK-NL'!$M$11),"x","")</f>
        <v/>
      </c>
    </row>
    <row r="4203" spans="1:30" ht="16.5" customHeight="1">
      <c r="A4203" s="318" t="str">
        <f>IF(B4203&lt;&gt;"",IF(AND(B4203='[3]IN-TC'!$S$4,OR([3]TH!N3436="1111",[3]TH!O3436="1111")),[3]TH!D3436,""),"")</f>
        <v/>
      </c>
      <c r="B4203" s="60" t="str">
        <f t="shared" si="450"/>
        <v/>
      </c>
      <c r="C4203" s="974"/>
      <c r="D4203" s="974"/>
      <c r="E4203" s="974"/>
      <c r="F4203" s="76"/>
      <c r="G4203" s="975"/>
      <c r="H4203" s="759"/>
      <c r="I4203" s="387"/>
      <c r="J4203" s="395"/>
      <c r="K4203" s="1247"/>
      <c r="L4203" s="1248"/>
      <c r="M4203" s="978"/>
      <c r="N4203" s="979"/>
      <c r="O4203" s="979"/>
      <c r="P4203" s="79" t="str">
        <f>IF(AND('331-CT'!$E$7=TH!H4203,OR(N4203="331",O4203="331")),"x","")</f>
        <v/>
      </c>
      <c r="Q4203" s="79" t="str">
        <f>IF(AND(B4203='111'!$L$11,OR($N4203=$Q$7,$O4203=$Q$7)),"x","")</f>
        <v/>
      </c>
      <c r="R4203" s="79" t="str">
        <f>IF(AND($N4203=$Q$7,$B4203&lt;'111'!$L$11),"x","")</f>
        <v/>
      </c>
      <c r="S4203" s="79" t="str">
        <f>IF(AND($O4203=$Q$7,$B4203&lt;'111'!$L$11),"x","")</f>
        <v/>
      </c>
      <c r="T4203" s="79" t="str">
        <f>IF(ISERROR(FIND('112'!$M$9,G4203,1)),"",IF((AND(FIND('112'!$M$9,G4203,1)&gt;=1,B4203='112'!$K$9,OR($N4203='112'!$I$6,$O4203='112'!$I$6))),"x",""))</f>
        <v/>
      </c>
      <c r="U4203" s="79" t="str">
        <f>IF(ISERROR(FIND('112'!$M$9,G4203,1)),"",IF((AND(LEFT(G4203,2)=LEFT('112'!$M$9,2),B4203&lt;'112'!$K$9,$N4203='112'!$I$6)),"x",""))</f>
        <v/>
      </c>
      <c r="V4203" s="79" t="str">
        <f>IF(ISERROR(FIND('112'!$M$9,G4203,1)),"",IF((AND(RIGHT(G4203,2)=RIGHT('112'!$M$9,2),B4203&lt;'112'!$K$9,$O4203='112'!$I$6)),"x",""))</f>
        <v/>
      </c>
      <c r="W4203" s="79" t="str">
        <f>IF(AND('341-CT'!$H$9=H4203,OR(LEFT(N4203,3)=$W$7,LEFT(O4203,3)=$W$7)),"x","")</f>
        <v/>
      </c>
      <c r="X4203" s="79" t="str">
        <f>IF(OR(TH!N4203=TH!$X$7,O4203=TH!$X$7),"x","")</f>
        <v/>
      </c>
      <c r="Y4203" s="79" t="str">
        <f>IF(AND(OR(N4203="131",O4203="131"),H4203='131-CT'!$H$9),"x","")</f>
        <v/>
      </c>
      <c r="Z4203" s="79"/>
      <c r="AA4203" s="79" t="str">
        <f>IF(AND(MONTH(E4203)='IN-NX'!$J$5,'IN-NX'!$D$7=D4203),"x","")</f>
        <v/>
      </c>
      <c r="AB4203" s="79" t="str">
        <f>IF(AND(OR(LEFT(TH!N4203,2)="15",LEFT(TH!O4203,2)="15"),LEFT(TH!O4203,3)&lt;&gt;"111",'152-CT'!$J$8=TH!F4203),"x","")</f>
        <v/>
      </c>
      <c r="AC4203" s="79" t="str">
        <f>IF(AND(OR(LEFT(TH!N4203,2)="15",LEFT(TH!O4203,2)="15"),TK!$E$7=TH!F4203),"x","")</f>
        <v/>
      </c>
      <c r="AD4203" s="79" t="str">
        <f>IF(AND(N4203="1521",MONTH(C4203)='BK-NL'!$M$11),"x","")</f>
        <v/>
      </c>
    </row>
    <row r="4204" spans="1:30" ht="16.5" customHeight="1">
      <c r="A4204" s="318" t="str">
        <f>IF(B4204&lt;&gt;"",IF(AND(B4204='[3]IN-TC'!$S$4,OR([3]TH!N3437="1111",[3]TH!O3437="1111")),[3]TH!D3437,""),"")</f>
        <v/>
      </c>
      <c r="B4204" s="60" t="str">
        <f t="shared" ref="B4204:B4226" si="451">IF(C4204&lt;&gt;"",MONTH(C4204),"")</f>
        <v/>
      </c>
      <c r="C4204" s="974"/>
      <c r="D4204" s="974"/>
      <c r="E4204" s="974"/>
      <c r="F4204" s="975"/>
      <c r="G4204" s="975"/>
      <c r="H4204" s="759"/>
      <c r="I4204" s="387"/>
      <c r="J4204" s="395"/>
      <c r="K4204" s="1247"/>
      <c r="L4204" s="1248"/>
      <c r="M4204" s="78"/>
      <c r="N4204" s="979"/>
      <c r="O4204" s="979"/>
      <c r="P4204" s="79" t="str">
        <f>IF(AND('331-CT'!$E$7=TH!H4204,OR(N4204="331",O4204="331")),"x","")</f>
        <v/>
      </c>
      <c r="Q4204" s="79" t="str">
        <f>IF(AND(B4204='111'!$L$11,OR($N4204=$Q$7,$O4204=$Q$7)),"x","")</f>
        <v/>
      </c>
      <c r="R4204" s="79" t="str">
        <f>IF(AND($N4204=$Q$7,$B4204&lt;'111'!$L$11),"x","")</f>
        <v/>
      </c>
      <c r="S4204" s="79" t="str">
        <f>IF(AND($O4204=$Q$7,$B4204&lt;'111'!$L$11),"x","")</f>
        <v/>
      </c>
      <c r="T4204" s="79" t="str">
        <f>IF(ISERROR(FIND('112'!$M$9,G4204,1)),"",IF((AND(FIND('112'!$M$9,G4204,1)&gt;=1,B4204='112'!$K$9,OR($N4204='112'!$I$6,$O4204='112'!$I$6))),"x",""))</f>
        <v/>
      </c>
      <c r="U4204" s="79" t="str">
        <f>IF(ISERROR(FIND('112'!$M$9,G4204,1)),"",IF((AND(LEFT(G4204,2)=LEFT('112'!$M$9,2),B4204&lt;'112'!$K$9,$N4204='112'!$I$6)),"x",""))</f>
        <v/>
      </c>
      <c r="V4204" s="79" t="str">
        <f>IF(ISERROR(FIND('112'!$M$9,G4204,1)),"",IF((AND(RIGHT(G4204,2)=RIGHT('112'!$M$9,2),B4204&lt;'112'!$K$9,$O4204='112'!$I$6)),"x",""))</f>
        <v/>
      </c>
      <c r="W4204" s="79" t="str">
        <f>IF(AND('341-CT'!$H$9=H4204,OR(LEFT(N4204,3)=$W$7,LEFT(O4204,3)=$W$7)),"x","")</f>
        <v/>
      </c>
      <c r="X4204" s="79" t="str">
        <f>IF(OR(TH!N4204=TH!$X$7,O4204=TH!$X$7),"x","")</f>
        <v/>
      </c>
      <c r="Y4204" s="79" t="str">
        <f>IF(AND(OR(N4204="131",O4204="131"),H4204='131-CT'!$H$9),"x","")</f>
        <v/>
      </c>
      <c r="Z4204" s="79"/>
      <c r="AA4204" s="79" t="str">
        <f>IF(AND(MONTH(E4204)='IN-NX'!$J$5,'IN-NX'!$D$7=D4204),"x","")</f>
        <v/>
      </c>
      <c r="AB4204" s="79" t="str">
        <f>IF(AND(OR(LEFT(TH!N4204,2)="15",LEFT(TH!O4204,2)="15"),LEFT(TH!O4204,3)&lt;&gt;"111",'152-CT'!$J$8=TH!F4204),"x","")</f>
        <v/>
      </c>
      <c r="AC4204" s="79" t="str">
        <f>IF(AND(OR(LEFT(TH!N4204,2)="15",LEFT(TH!O4204,2)="15"),TK!$E$7=TH!F4204),"x","")</f>
        <v/>
      </c>
      <c r="AD4204" s="79" t="str">
        <f>IF(AND(N4204="1521",MONTH(C4204)='BK-NL'!$M$11),"x","")</f>
        <v/>
      </c>
    </row>
    <row r="4205" spans="1:30" s="1304" customFormat="1" ht="16.5" customHeight="1">
      <c r="A4205" s="318" t="str">
        <f>IF(B4205&lt;&gt;"",IF(AND(B4205='[3]IN-TC'!$S$4,OR([3]TH!N3438="1111",[3]TH!O3438="1111")),[3]TH!D3438,""),"")</f>
        <v/>
      </c>
      <c r="B4205" s="60" t="str">
        <f t="shared" si="451"/>
        <v/>
      </c>
      <c r="C4205" s="974"/>
      <c r="D4205" s="974"/>
      <c r="E4205" s="974"/>
      <c r="F4205" s="975"/>
      <c r="G4205" s="975"/>
      <c r="H4205" s="759"/>
      <c r="I4205" s="1247"/>
      <c r="J4205" s="391"/>
      <c r="K4205" s="1247"/>
      <c r="L4205" s="1248"/>
      <c r="M4205" s="78"/>
      <c r="N4205" s="979"/>
      <c r="O4205" s="979"/>
      <c r="P4205" s="79" t="str">
        <f>IF(AND('331-CT'!$E$7=TH!H4205,OR(N4205="331",O4205="331")),"x","")</f>
        <v/>
      </c>
      <c r="Q4205" s="79" t="str">
        <f>IF(AND(B4205='111'!$L$11,OR($N4205=$Q$7,$O4205=$Q$7)),"x","")</f>
        <v/>
      </c>
      <c r="R4205" s="79" t="str">
        <f>IF(AND($N4205=$Q$7,$B4205&lt;'111'!$L$11),"x","")</f>
        <v/>
      </c>
      <c r="S4205" s="79" t="str">
        <f>IF(AND($O4205=$Q$7,$B4205&lt;'111'!$L$11),"x","")</f>
        <v/>
      </c>
      <c r="T4205" s="79" t="str">
        <f>IF(ISERROR(FIND('112'!$M$9,G4205,1)),"",IF((AND(FIND('112'!$M$9,G4205,1)&gt;=1,B4205='112'!$K$9,OR($N4205='112'!$I$6,$O4205='112'!$I$6))),"x",""))</f>
        <v/>
      </c>
      <c r="U4205" s="79" t="str">
        <f>IF(ISERROR(FIND('112'!$M$9,G4205,1)),"",IF((AND(LEFT(G4205,2)=LEFT('112'!$M$9,2),B4205&lt;'112'!$K$9,$N4205='112'!$I$6)),"x",""))</f>
        <v/>
      </c>
      <c r="V4205" s="79" t="str">
        <f>IF(ISERROR(FIND('112'!$M$9,G4205,1)),"",IF((AND(RIGHT(G4205,2)=RIGHT('112'!$M$9,2),B4205&lt;'112'!$K$9,$O4205='112'!$I$6)),"x",""))</f>
        <v/>
      </c>
      <c r="W4205" s="79" t="str">
        <f>IF(AND('341-CT'!$H$9=H4205,OR(LEFT(N4205,3)=$W$7,LEFT(O4205,3)=$W$7)),"x","")</f>
        <v/>
      </c>
      <c r="X4205" s="79" t="str">
        <f>IF(OR(TH!N4205=TH!$X$7,O4205=TH!$X$7),"x","")</f>
        <v/>
      </c>
      <c r="Y4205" s="79" t="str">
        <f>IF(AND(OR(N4205="131",O4205="131"),H4205='131-CT'!$H$9),"x","")</f>
        <v/>
      </c>
      <c r="Z4205" s="79"/>
      <c r="AA4205" s="79" t="str">
        <f>IF(AND(MONTH(E4205)='IN-NX'!$J$5,'IN-NX'!$D$7=D4205),"x","")</f>
        <v/>
      </c>
      <c r="AB4205" s="79" t="str">
        <f>IF(AND(OR(LEFT(TH!N4205,2)="15",LEFT(TH!O4205,2)="15"),LEFT(TH!O4205,3)&lt;&gt;"111",'152-CT'!$J$8=TH!F4205),"x","")</f>
        <v/>
      </c>
      <c r="AC4205" s="79" t="str">
        <f>IF(AND(OR(LEFT(TH!N4205,2)="15",LEFT(TH!O4205,2)="15"),TK!$E$7=TH!F4205),"x","")</f>
        <v/>
      </c>
      <c r="AD4205" s="79" t="str">
        <f>IF(AND(N4205="1521",MONTH(C4205)='BK-NL'!$M$11),"x","")</f>
        <v/>
      </c>
    </row>
    <row r="4206" spans="1:30" s="1304" customFormat="1" ht="16.5" customHeight="1">
      <c r="A4206" s="318" t="str">
        <f>IF(B4206&lt;&gt;"",IF(AND(B4206='[3]IN-TC'!$S$4,OR([3]TH!N3439="1111",[3]TH!O3439="1111")),[3]TH!D3439,""),"")</f>
        <v/>
      </c>
      <c r="B4206" s="60" t="str">
        <f t="shared" ref="B4206" si="452">IF(C4206&lt;&gt;"",MONTH(C4206),"")</f>
        <v/>
      </c>
      <c r="C4206" s="974"/>
      <c r="D4206" s="974"/>
      <c r="E4206" s="974"/>
      <c r="F4206" s="975"/>
      <c r="G4206" s="975"/>
      <c r="H4206" s="759"/>
      <c r="I4206" s="1247"/>
      <c r="J4206" s="391"/>
      <c r="K4206" s="1247"/>
      <c r="L4206" s="1248"/>
      <c r="M4206" s="78"/>
      <c r="N4206" s="979"/>
      <c r="O4206" s="979"/>
      <c r="P4206" s="79" t="str">
        <f>IF(AND('331-CT'!$E$7=TH!H4206,OR(N4206="331",O4206="331")),"x","")</f>
        <v/>
      </c>
      <c r="Q4206" s="79" t="str">
        <f>IF(AND(B4206='111'!$L$11,OR($N4206=$Q$7,$O4206=$Q$7)),"x","")</f>
        <v/>
      </c>
      <c r="R4206" s="79" t="str">
        <f>IF(AND($N4206=$Q$7,$B4206&lt;'111'!$L$11),"x","")</f>
        <v/>
      </c>
      <c r="S4206" s="79" t="str">
        <f>IF(AND($O4206=$Q$7,$B4206&lt;'111'!$L$11),"x","")</f>
        <v/>
      </c>
      <c r="T4206" s="79" t="str">
        <f>IF(ISERROR(FIND('112'!$M$9,G4206,1)),"",IF((AND(FIND('112'!$M$9,G4206,1)&gt;=1,B4206='112'!$K$9,OR($N4206='112'!$I$6,$O4206='112'!$I$6))),"x",""))</f>
        <v/>
      </c>
      <c r="U4206" s="79" t="str">
        <f>IF(ISERROR(FIND('112'!$M$9,G4206,1)),"",IF((AND(LEFT(G4206,2)=LEFT('112'!$M$9,2),B4206&lt;'112'!$K$9,$N4206='112'!$I$6)),"x",""))</f>
        <v/>
      </c>
      <c r="V4206" s="79" t="str">
        <f>IF(ISERROR(FIND('112'!$M$9,G4206,1)),"",IF((AND(RIGHT(G4206,2)=RIGHT('112'!$M$9,2),B4206&lt;'112'!$K$9,$O4206='112'!$I$6)),"x",""))</f>
        <v/>
      </c>
      <c r="W4206" s="79" t="str">
        <f>IF(AND('341-CT'!$H$9=H4206,OR(LEFT(N4206,3)=$W$7,LEFT(O4206,3)=$W$7)),"x","")</f>
        <v/>
      </c>
      <c r="X4206" s="79" t="str">
        <f>IF(OR(TH!N4206=TH!$X$7,O4206=TH!$X$7),"x","")</f>
        <v/>
      </c>
      <c r="Y4206" s="79" t="str">
        <f>IF(AND(OR(N4206="131",O4206="131"),H4206='131-CT'!$H$9),"x","")</f>
        <v/>
      </c>
      <c r="Z4206" s="79"/>
      <c r="AA4206" s="79" t="str">
        <f>IF(AND(MONTH(E4206)='IN-NX'!$J$5,'IN-NX'!$D$7=D4206),"x","")</f>
        <v/>
      </c>
      <c r="AB4206" s="79" t="str">
        <f>IF(AND(OR(LEFT(TH!N4206,2)="15",LEFT(TH!O4206,2)="15"),LEFT(TH!O4206,3)&lt;&gt;"111",'152-CT'!$J$8=TH!F4206),"x","")</f>
        <v/>
      </c>
      <c r="AC4206" s="79" t="str">
        <f>IF(AND(OR(LEFT(TH!N4206,2)="15",LEFT(TH!O4206,2)="15"),TK!$E$7=TH!F4206),"x","")</f>
        <v/>
      </c>
      <c r="AD4206" s="79" t="str">
        <f>IF(AND(N4206="1521",MONTH(C4206)='BK-NL'!$M$11),"x","")</f>
        <v/>
      </c>
    </row>
    <row r="4207" spans="1:30" s="1304" customFormat="1" ht="16.5" customHeight="1">
      <c r="A4207" s="318" t="str">
        <f>IF(B4207&lt;&gt;"",IF(AND(B4207='[3]IN-TC'!$S$4,OR([3]TH!N3440="1111",[3]TH!O3440="1111")),[3]TH!D3440,""),"")</f>
        <v/>
      </c>
      <c r="B4207" s="60" t="str">
        <f t="shared" ref="B4207" si="453">IF(C4207&lt;&gt;"",MONTH(C4207),"")</f>
        <v/>
      </c>
      <c r="C4207" s="974"/>
      <c r="D4207" s="974"/>
      <c r="E4207" s="974"/>
      <c r="F4207" s="975"/>
      <c r="G4207" s="975"/>
      <c r="H4207" s="759"/>
      <c r="I4207" s="1247"/>
      <c r="J4207" s="391"/>
      <c r="K4207" s="1247"/>
      <c r="L4207" s="1248"/>
      <c r="M4207" s="78"/>
      <c r="N4207" s="979"/>
      <c r="O4207" s="979"/>
      <c r="P4207" s="79" t="str">
        <f>IF(AND('331-CT'!$E$7=TH!H4207,OR(N4207="331",O4207="331")),"x","")</f>
        <v/>
      </c>
      <c r="Q4207" s="79" t="str">
        <f>IF(AND(B4207='111'!$L$11,OR($N4207=$Q$7,$O4207=$Q$7)),"x","")</f>
        <v/>
      </c>
      <c r="R4207" s="79" t="str">
        <f>IF(AND($N4207=$Q$7,$B4207&lt;'111'!$L$11),"x","")</f>
        <v/>
      </c>
      <c r="S4207" s="79" t="str">
        <f>IF(AND($O4207=$Q$7,$B4207&lt;'111'!$L$11),"x","")</f>
        <v/>
      </c>
      <c r="T4207" s="79" t="str">
        <f>IF(ISERROR(FIND('112'!$M$9,G4207,1)),"",IF((AND(FIND('112'!$M$9,G4207,1)&gt;=1,B4207='112'!$K$9,OR($N4207='112'!$I$6,$O4207='112'!$I$6))),"x",""))</f>
        <v/>
      </c>
      <c r="U4207" s="79" t="str">
        <f>IF(ISERROR(FIND('112'!$M$9,G4207,1)),"",IF((AND(LEFT(G4207,2)=LEFT('112'!$M$9,2),B4207&lt;'112'!$K$9,$N4207='112'!$I$6)),"x",""))</f>
        <v/>
      </c>
      <c r="V4207" s="79" t="str">
        <f>IF(ISERROR(FIND('112'!$M$9,G4207,1)),"",IF((AND(RIGHT(G4207,2)=RIGHT('112'!$M$9,2),B4207&lt;'112'!$K$9,$O4207='112'!$I$6)),"x",""))</f>
        <v/>
      </c>
      <c r="W4207" s="79" t="str">
        <f>IF(AND('341-CT'!$H$9=H4207,OR(LEFT(N4207,3)=$W$7,LEFT(O4207,3)=$W$7)),"x","")</f>
        <v/>
      </c>
      <c r="X4207" s="79" t="str">
        <f>IF(OR(TH!N4207=TH!$X$7,O4207=TH!$X$7),"x","")</f>
        <v/>
      </c>
      <c r="Y4207" s="79" t="str">
        <f>IF(AND(OR(N4207="131",O4207="131"),H4207='131-CT'!$H$9),"x","")</f>
        <v/>
      </c>
      <c r="Z4207" s="79"/>
      <c r="AA4207" s="79" t="str">
        <f>IF(AND(MONTH(E4207)='IN-NX'!$J$5,'IN-NX'!$D$7=D4207),"x","")</f>
        <v/>
      </c>
      <c r="AB4207" s="79" t="str">
        <f>IF(AND(OR(LEFT(TH!N4207,2)="15",LEFT(TH!O4207,2)="15"),LEFT(TH!O4207,3)&lt;&gt;"111",'152-CT'!$J$8=TH!F4207),"x","")</f>
        <v/>
      </c>
      <c r="AC4207" s="79" t="str">
        <f>IF(AND(OR(LEFT(TH!N4207,2)="15",LEFT(TH!O4207,2)="15"),TK!$E$7=TH!F4207),"x","")</f>
        <v/>
      </c>
      <c r="AD4207" s="79" t="str">
        <f>IF(AND(N4207="1521",MONTH(C4207)='BK-NL'!$M$11),"x","")</f>
        <v/>
      </c>
    </row>
    <row r="4208" spans="1:30" s="1304" customFormat="1" ht="16.5" customHeight="1">
      <c r="A4208" s="318" t="str">
        <f>IF(B4208&lt;&gt;"",IF(AND(B4208='[3]IN-TC'!$S$4,OR([3]TH!N3441="1111",[3]TH!O3441="1111")),[3]TH!D3441,""),"")</f>
        <v/>
      </c>
      <c r="B4208" s="60" t="str">
        <f t="shared" si="451"/>
        <v/>
      </c>
      <c r="C4208" s="974"/>
      <c r="D4208" s="974"/>
      <c r="E4208" s="974"/>
      <c r="F4208" s="975"/>
      <c r="G4208" s="975"/>
      <c r="H4208" s="759"/>
      <c r="I4208" s="1247"/>
      <c r="J4208" s="391"/>
      <c r="K4208" s="1247"/>
      <c r="L4208" s="1248"/>
      <c r="M4208" s="78"/>
      <c r="N4208" s="979"/>
      <c r="O4208" s="979"/>
      <c r="P4208" s="79" t="str">
        <f>IF(AND('331-CT'!$E$7=TH!H4208,OR(N4208="331",O4208="331")),"x","")</f>
        <v/>
      </c>
      <c r="Q4208" s="79" t="str">
        <f>IF(AND(B4208='111'!$L$11,OR($N4208=$Q$7,$O4208=$Q$7)),"x","")</f>
        <v/>
      </c>
      <c r="R4208" s="79" t="str">
        <f>IF(AND($N4208=$Q$7,$B4208&lt;'111'!$L$11),"x","")</f>
        <v/>
      </c>
      <c r="S4208" s="79" t="str">
        <f>IF(AND($O4208=$Q$7,$B4208&lt;'111'!$L$11),"x","")</f>
        <v/>
      </c>
      <c r="T4208" s="79" t="str">
        <f>IF(ISERROR(FIND('112'!$M$9,G4208,1)),"",IF((AND(FIND('112'!$M$9,G4208,1)&gt;=1,B4208='112'!$K$9,OR($N4208='112'!$I$6,$O4208='112'!$I$6))),"x",""))</f>
        <v/>
      </c>
      <c r="U4208" s="79" t="str">
        <f>IF(ISERROR(FIND('112'!$M$9,G4208,1)),"",IF((AND(LEFT(G4208,2)=LEFT('112'!$M$9,2),B4208&lt;'112'!$K$9,$N4208='112'!$I$6)),"x",""))</f>
        <v/>
      </c>
      <c r="V4208" s="79" t="str">
        <f>IF(ISERROR(FIND('112'!$M$9,G4208,1)),"",IF((AND(RIGHT(G4208,2)=RIGHT('112'!$M$9,2),B4208&lt;'112'!$K$9,$O4208='112'!$I$6)),"x",""))</f>
        <v/>
      </c>
      <c r="W4208" s="79" t="str">
        <f>IF(AND('341-CT'!$H$9=H4208,OR(LEFT(N4208,3)=$W$7,LEFT(O4208,3)=$W$7)),"x","")</f>
        <v/>
      </c>
      <c r="X4208" s="79" t="str">
        <f>IF(OR(TH!N4208=TH!$X$7,O4208=TH!$X$7),"x","")</f>
        <v/>
      </c>
      <c r="Y4208" s="79" t="str">
        <f>IF(AND(OR(N4208="131",O4208="131"),H4208='131-CT'!$H$9),"x","")</f>
        <v/>
      </c>
      <c r="Z4208" s="79"/>
      <c r="AA4208" s="79" t="str">
        <f>IF(AND(MONTH(E4208)='IN-NX'!$J$5,'IN-NX'!$D$7=D4208),"x","")</f>
        <v/>
      </c>
      <c r="AB4208" s="79" t="str">
        <f>IF(AND(OR(LEFT(TH!N4208,2)="15",LEFT(TH!O4208,2)="15"),LEFT(TH!O4208,3)&lt;&gt;"111",'152-CT'!$J$8=TH!F4208),"x","")</f>
        <v/>
      </c>
      <c r="AC4208" s="79" t="str">
        <f>IF(AND(OR(LEFT(TH!N4208,2)="15",LEFT(TH!O4208,2)="15"),TK!$E$7=TH!F4208),"x","")</f>
        <v/>
      </c>
      <c r="AD4208" s="79" t="str">
        <f>IF(AND(N4208="1521",MONTH(C4208)='BK-NL'!$M$11),"x","")</f>
        <v/>
      </c>
    </row>
    <row r="4209" spans="1:30" s="1304" customFormat="1" ht="16.5" customHeight="1">
      <c r="A4209" s="318" t="str">
        <f>IF(B4209&lt;&gt;"",IF(AND(B4209='[3]IN-TC'!$S$4,OR([3]TH!N3442="1111",[3]TH!O3442="1111")),[3]TH!D3442,""),"")</f>
        <v/>
      </c>
      <c r="B4209" s="60" t="str">
        <f t="shared" si="451"/>
        <v/>
      </c>
      <c r="C4209" s="974"/>
      <c r="D4209" s="974"/>
      <c r="E4209" s="974"/>
      <c r="F4209" s="975"/>
      <c r="G4209" s="975"/>
      <c r="H4209" s="759"/>
      <c r="I4209" s="1247"/>
      <c r="J4209" s="391"/>
      <c r="K4209" s="1247"/>
      <c r="L4209" s="1248"/>
      <c r="M4209" s="78"/>
      <c r="N4209" s="979"/>
      <c r="O4209" s="979"/>
      <c r="P4209" s="79" t="str">
        <f>IF(AND('331-CT'!$E$7=TH!H4209,OR(N4209="331",O4209="331")),"x","")</f>
        <v/>
      </c>
      <c r="Q4209" s="79" t="str">
        <f>IF(AND(B4209='111'!$L$11,OR($N4209=$Q$7,$O4209=$Q$7)),"x","")</f>
        <v/>
      </c>
      <c r="R4209" s="79" t="str">
        <f>IF(AND($N4209=$Q$7,$B4209&lt;'111'!$L$11),"x","")</f>
        <v/>
      </c>
      <c r="S4209" s="79" t="str">
        <f>IF(AND($O4209=$Q$7,$B4209&lt;'111'!$L$11),"x","")</f>
        <v/>
      </c>
      <c r="T4209" s="79" t="str">
        <f>IF(ISERROR(FIND('112'!$M$9,G4209,1)),"",IF((AND(FIND('112'!$M$9,G4209,1)&gt;=1,B4209='112'!$K$9,OR($N4209='112'!$I$6,$O4209='112'!$I$6))),"x",""))</f>
        <v/>
      </c>
      <c r="U4209" s="79" t="str">
        <f>IF(ISERROR(FIND('112'!$M$9,G4209,1)),"",IF((AND(LEFT(G4209,2)=LEFT('112'!$M$9,2),B4209&lt;'112'!$K$9,$N4209='112'!$I$6)),"x",""))</f>
        <v/>
      </c>
      <c r="V4209" s="79" t="str">
        <f>IF(ISERROR(FIND('112'!$M$9,G4209,1)),"",IF((AND(RIGHT(G4209,2)=RIGHT('112'!$M$9,2),B4209&lt;'112'!$K$9,$O4209='112'!$I$6)),"x",""))</f>
        <v/>
      </c>
      <c r="W4209" s="79" t="str">
        <f>IF(AND('341-CT'!$H$9=H4209,OR(LEFT(N4209,3)=$W$7,LEFT(O4209,3)=$W$7)),"x","")</f>
        <v/>
      </c>
      <c r="X4209" s="79" t="str">
        <f>IF(OR(TH!N4209=TH!$X$7,O4209=TH!$X$7),"x","")</f>
        <v/>
      </c>
      <c r="Y4209" s="79" t="str">
        <f>IF(AND(OR(N4209="131",O4209="131"),H4209='131-CT'!$H$9),"x","")</f>
        <v/>
      </c>
      <c r="Z4209" s="79"/>
      <c r="AA4209" s="79" t="str">
        <f>IF(AND(MONTH(E4209)='IN-NX'!$J$5,'IN-NX'!$D$7=D4209),"x","")</f>
        <v/>
      </c>
      <c r="AB4209" s="79" t="str">
        <f>IF(AND(OR(LEFT(TH!N4209,2)="15",LEFT(TH!O4209,2)="15"),LEFT(TH!O4209,3)&lt;&gt;"111",'152-CT'!$J$8=TH!F4209),"x","")</f>
        <v/>
      </c>
      <c r="AC4209" s="79" t="str">
        <f>IF(AND(OR(LEFT(TH!N4209,2)="15",LEFT(TH!O4209,2)="15"),TK!$E$7=TH!F4209),"x","")</f>
        <v/>
      </c>
      <c r="AD4209" s="79" t="str">
        <f>IF(AND(N4209="1521",MONTH(C4209)='BK-NL'!$M$11),"x","")</f>
        <v/>
      </c>
    </row>
    <row r="4210" spans="1:30" s="1304" customFormat="1" ht="16.5" customHeight="1">
      <c r="A4210" s="318" t="str">
        <f>IF(B4210&lt;&gt;"",IF(AND(B4210='[3]IN-TC'!$S$4,OR([3]TH!N3443="1111",[3]TH!O3443="1111")),[3]TH!D3443,""),"")</f>
        <v/>
      </c>
      <c r="B4210" s="60" t="str">
        <f t="shared" si="451"/>
        <v/>
      </c>
      <c r="C4210" s="974"/>
      <c r="D4210" s="974"/>
      <c r="E4210" s="974"/>
      <c r="F4210" s="975"/>
      <c r="G4210" s="975"/>
      <c r="H4210" s="759"/>
      <c r="I4210" s="1247"/>
      <c r="J4210" s="391"/>
      <c r="K4210" s="1247"/>
      <c r="L4210" s="1248"/>
      <c r="M4210" s="78"/>
      <c r="N4210" s="979"/>
      <c r="O4210" s="979"/>
      <c r="P4210" s="79" t="str">
        <f>IF(AND('331-CT'!$E$7=TH!H4210,OR(N4210="331",O4210="331")),"x","")</f>
        <v/>
      </c>
      <c r="Q4210" s="79" t="str">
        <f>IF(AND(B4210='111'!$L$11,OR($N4210=$Q$7,$O4210=$Q$7)),"x","")</f>
        <v/>
      </c>
      <c r="R4210" s="79" t="str">
        <f>IF(AND($N4210=$Q$7,$B4210&lt;'111'!$L$11),"x","")</f>
        <v/>
      </c>
      <c r="S4210" s="79" t="str">
        <f>IF(AND($O4210=$Q$7,$B4210&lt;'111'!$L$11),"x","")</f>
        <v/>
      </c>
      <c r="T4210" s="79" t="str">
        <f>IF(ISERROR(FIND('112'!$M$9,G4210,1)),"",IF((AND(FIND('112'!$M$9,G4210,1)&gt;=1,B4210='112'!$K$9,OR($N4210='112'!$I$6,$O4210='112'!$I$6))),"x",""))</f>
        <v/>
      </c>
      <c r="U4210" s="79" t="str">
        <f>IF(ISERROR(FIND('112'!$M$9,G4210,1)),"",IF((AND(LEFT(G4210,2)=LEFT('112'!$M$9,2),B4210&lt;'112'!$K$9,$N4210='112'!$I$6)),"x",""))</f>
        <v/>
      </c>
      <c r="V4210" s="79" t="str">
        <f>IF(ISERROR(FIND('112'!$M$9,G4210,1)),"",IF((AND(RIGHT(G4210,2)=RIGHT('112'!$M$9,2),B4210&lt;'112'!$K$9,$O4210='112'!$I$6)),"x",""))</f>
        <v/>
      </c>
      <c r="W4210" s="79" t="str">
        <f>IF(AND('341-CT'!$H$9=H4210,OR(LEFT(N4210,3)=$W$7,LEFT(O4210,3)=$W$7)),"x","")</f>
        <v/>
      </c>
      <c r="X4210" s="79" t="str">
        <f>IF(OR(TH!N4210=TH!$X$7,O4210=TH!$X$7),"x","")</f>
        <v/>
      </c>
      <c r="Y4210" s="79" t="str">
        <f>IF(AND(OR(N4210="131",O4210="131"),H4210='131-CT'!$H$9),"x","")</f>
        <v/>
      </c>
      <c r="Z4210" s="79"/>
      <c r="AA4210" s="79" t="str">
        <f>IF(AND(MONTH(E4210)='IN-NX'!$J$5,'IN-NX'!$D$7=D4210),"x","")</f>
        <v/>
      </c>
      <c r="AB4210" s="79" t="str">
        <f>IF(AND(OR(LEFT(TH!N4210,2)="15",LEFT(TH!O4210,2)="15"),LEFT(TH!O4210,3)&lt;&gt;"111",'152-CT'!$J$8=TH!F4210),"x","")</f>
        <v/>
      </c>
      <c r="AC4210" s="79" t="str">
        <f>IF(AND(OR(LEFT(TH!N4210,2)="15",LEFT(TH!O4210,2)="15"),TK!$E$7=TH!F4210),"x","")</f>
        <v/>
      </c>
      <c r="AD4210" s="79" t="str">
        <f>IF(AND(N4210="1521",MONTH(C4210)='BK-NL'!$M$11),"x","")</f>
        <v/>
      </c>
    </row>
    <row r="4211" spans="1:30" s="1304" customFormat="1" ht="16.5" customHeight="1">
      <c r="A4211" s="318" t="str">
        <f>IF(B4211&lt;&gt;"",IF(AND(B4211='[3]IN-TC'!$S$4,OR([3]TH!N3444="1111",[3]TH!O3444="1111")),[3]TH!D3444,""),"")</f>
        <v/>
      </c>
      <c r="B4211" s="60" t="str">
        <f t="shared" si="451"/>
        <v/>
      </c>
      <c r="C4211" s="974"/>
      <c r="D4211" s="974"/>
      <c r="E4211" s="974"/>
      <c r="F4211" s="975"/>
      <c r="G4211" s="975"/>
      <c r="H4211" s="759"/>
      <c r="I4211" s="1247"/>
      <c r="J4211" s="391"/>
      <c r="K4211" s="1247"/>
      <c r="L4211" s="1248"/>
      <c r="M4211" s="78"/>
      <c r="N4211" s="979"/>
      <c r="O4211" s="979"/>
      <c r="P4211" s="79" t="str">
        <f>IF(AND('331-CT'!$E$7=TH!H4211,OR(N4211="331",O4211="331")),"x","")</f>
        <v/>
      </c>
      <c r="Q4211" s="79" t="str">
        <f>IF(AND(B4211='111'!$L$11,OR($N4211=$Q$7,$O4211=$Q$7)),"x","")</f>
        <v/>
      </c>
      <c r="R4211" s="79" t="str">
        <f>IF(AND($N4211=$Q$7,$B4211&lt;'111'!$L$11),"x","")</f>
        <v/>
      </c>
      <c r="S4211" s="79" t="str">
        <f>IF(AND($O4211=$Q$7,$B4211&lt;'111'!$L$11),"x","")</f>
        <v/>
      </c>
      <c r="T4211" s="79" t="str">
        <f>IF(ISERROR(FIND('112'!$M$9,G4211,1)),"",IF((AND(FIND('112'!$M$9,G4211,1)&gt;=1,B4211='112'!$K$9,OR($N4211='112'!$I$6,$O4211='112'!$I$6))),"x",""))</f>
        <v/>
      </c>
      <c r="U4211" s="79" t="str">
        <f>IF(ISERROR(FIND('112'!$M$9,G4211,1)),"",IF((AND(LEFT(G4211,2)=LEFT('112'!$M$9,2),B4211&lt;'112'!$K$9,$N4211='112'!$I$6)),"x",""))</f>
        <v/>
      </c>
      <c r="V4211" s="79" t="str">
        <f>IF(ISERROR(FIND('112'!$M$9,G4211,1)),"",IF((AND(RIGHT(G4211,2)=RIGHT('112'!$M$9,2),B4211&lt;'112'!$K$9,$O4211='112'!$I$6)),"x",""))</f>
        <v/>
      </c>
      <c r="W4211" s="79" t="str">
        <f>IF(AND('341-CT'!$H$9=H4211,OR(LEFT(N4211,3)=$W$7,LEFT(O4211,3)=$W$7)),"x","")</f>
        <v/>
      </c>
      <c r="X4211" s="79" t="str">
        <f>IF(OR(TH!N4211=TH!$X$7,O4211=TH!$X$7),"x","")</f>
        <v/>
      </c>
      <c r="Y4211" s="79" t="str">
        <f>IF(AND(OR(N4211="131",O4211="131"),H4211='131-CT'!$H$9),"x","")</f>
        <v/>
      </c>
      <c r="Z4211" s="79"/>
      <c r="AA4211" s="79" t="str">
        <f>IF(AND(MONTH(E4211)='IN-NX'!$J$5,'IN-NX'!$D$7=D4211),"x","")</f>
        <v/>
      </c>
      <c r="AB4211" s="79" t="str">
        <f>IF(AND(OR(LEFT(TH!N4211,2)="15",LEFT(TH!O4211,2)="15"),LEFT(TH!O4211,3)&lt;&gt;"111",'152-CT'!$J$8=TH!F4211),"x","")</f>
        <v/>
      </c>
      <c r="AC4211" s="79" t="str">
        <f>IF(AND(OR(LEFT(TH!N4211,2)="15",LEFT(TH!O4211,2)="15"),TK!$E$7=TH!F4211),"x","")</f>
        <v/>
      </c>
      <c r="AD4211" s="79" t="str">
        <f>IF(AND(N4211="1521",MONTH(C4211)='BK-NL'!$M$11),"x","")</f>
        <v/>
      </c>
    </row>
    <row r="4212" spans="1:30" s="1304" customFormat="1" ht="16.5" customHeight="1">
      <c r="A4212" s="318" t="str">
        <f>IF(B4212&lt;&gt;"",IF(AND(B4212='[3]IN-TC'!$S$4,OR([3]TH!N3445="1111",[3]TH!O3445="1111")),[3]TH!D3445,""),"")</f>
        <v/>
      </c>
      <c r="B4212" s="60" t="str">
        <f t="shared" si="451"/>
        <v/>
      </c>
      <c r="C4212" s="974"/>
      <c r="D4212" s="974"/>
      <c r="E4212" s="974"/>
      <c r="F4212" s="975"/>
      <c r="G4212" s="975"/>
      <c r="H4212" s="759"/>
      <c r="I4212" s="1247"/>
      <c r="J4212" s="391"/>
      <c r="K4212" s="1247"/>
      <c r="L4212" s="1248"/>
      <c r="M4212" s="78"/>
      <c r="N4212" s="979"/>
      <c r="O4212" s="979"/>
      <c r="P4212" s="79" t="str">
        <f>IF(AND('331-CT'!$E$7=TH!H4212,OR(N4212="331",O4212="331")),"x","")</f>
        <v/>
      </c>
      <c r="Q4212" s="79" t="str">
        <f>IF(AND(B4212='111'!$L$11,OR($N4212=$Q$7,$O4212=$Q$7)),"x","")</f>
        <v/>
      </c>
      <c r="R4212" s="79" t="str">
        <f>IF(AND($N4212=$Q$7,$B4212&lt;'111'!$L$11),"x","")</f>
        <v/>
      </c>
      <c r="S4212" s="79" t="str">
        <f>IF(AND($O4212=$Q$7,$B4212&lt;'111'!$L$11),"x","")</f>
        <v/>
      </c>
      <c r="T4212" s="79" t="str">
        <f>IF(ISERROR(FIND('112'!$M$9,G4212,1)),"",IF((AND(FIND('112'!$M$9,G4212,1)&gt;=1,B4212='112'!$K$9,OR($N4212='112'!$I$6,$O4212='112'!$I$6))),"x",""))</f>
        <v/>
      </c>
      <c r="U4212" s="79" t="str">
        <f>IF(ISERROR(FIND('112'!$M$9,G4212,1)),"",IF((AND(LEFT(G4212,2)=LEFT('112'!$M$9,2),B4212&lt;'112'!$K$9,$N4212='112'!$I$6)),"x",""))</f>
        <v/>
      </c>
      <c r="V4212" s="79" t="str">
        <f>IF(ISERROR(FIND('112'!$M$9,G4212,1)),"",IF((AND(RIGHT(G4212,2)=RIGHT('112'!$M$9,2),B4212&lt;'112'!$K$9,$O4212='112'!$I$6)),"x",""))</f>
        <v/>
      </c>
      <c r="W4212" s="79" t="str">
        <f>IF(AND('341-CT'!$H$9=H4212,OR(LEFT(N4212,3)=$W$7,LEFT(O4212,3)=$W$7)),"x","")</f>
        <v/>
      </c>
      <c r="X4212" s="79" t="str">
        <f>IF(OR(TH!N4212=TH!$X$7,O4212=TH!$X$7),"x","")</f>
        <v/>
      </c>
      <c r="Y4212" s="79" t="str">
        <f>IF(AND(OR(N4212="131",O4212="131"),H4212='131-CT'!$H$9),"x","")</f>
        <v/>
      </c>
      <c r="Z4212" s="79"/>
      <c r="AA4212" s="79" t="str">
        <f>IF(AND(MONTH(E4212)='IN-NX'!$J$5,'IN-NX'!$D$7=D4212),"x","")</f>
        <v/>
      </c>
      <c r="AB4212" s="79" t="str">
        <f>IF(AND(OR(LEFT(TH!N4212,2)="15",LEFT(TH!O4212,2)="15"),LEFT(TH!O4212,3)&lt;&gt;"111",'152-CT'!$J$8=TH!F4212),"x","")</f>
        <v/>
      </c>
      <c r="AC4212" s="79" t="str">
        <f>IF(AND(OR(LEFT(TH!N4212,2)="15",LEFT(TH!O4212,2)="15"),TK!$E$7=TH!F4212),"x","")</f>
        <v/>
      </c>
      <c r="AD4212" s="79" t="str">
        <f>IF(AND(N4212="1521",MONTH(C4212)='BK-NL'!$M$11),"x","")</f>
        <v/>
      </c>
    </row>
    <row r="4213" spans="1:30" s="1304" customFormat="1" ht="16.5" customHeight="1">
      <c r="A4213" s="318" t="str">
        <f>IF(B4213&lt;&gt;"",IF(AND(B4213='[3]IN-TC'!$S$4,OR([3]TH!N3446="1111",[3]TH!O3446="1111")),[3]TH!D3446,""),"")</f>
        <v/>
      </c>
      <c r="B4213" s="60" t="str">
        <f t="shared" si="451"/>
        <v/>
      </c>
      <c r="C4213" s="974"/>
      <c r="D4213" s="974"/>
      <c r="E4213" s="974"/>
      <c r="F4213" s="975"/>
      <c r="G4213" s="975"/>
      <c r="H4213" s="759"/>
      <c r="I4213" s="1247"/>
      <c r="J4213" s="391"/>
      <c r="K4213" s="1247"/>
      <c r="L4213" s="1248"/>
      <c r="M4213" s="78"/>
      <c r="N4213" s="979"/>
      <c r="O4213" s="979"/>
      <c r="P4213" s="79" t="str">
        <f>IF(AND('331-CT'!$E$7=TH!H4213,OR(N4213="331",O4213="331")),"x","")</f>
        <v/>
      </c>
      <c r="Q4213" s="79" t="str">
        <f>IF(AND(B4213='111'!$L$11,OR($N4213=$Q$7,$O4213=$Q$7)),"x","")</f>
        <v/>
      </c>
      <c r="R4213" s="79" t="str">
        <f>IF(AND($N4213=$Q$7,$B4213&lt;'111'!$L$11),"x","")</f>
        <v/>
      </c>
      <c r="S4213" s="79" t="str">
        <f>IF(AND($O4213=$Q$7,$B4213&lt;'111'!$L$11),"x","")</f>
        <v/>
      </c>
      <c r="T4213" s="79" t="str">
        <f>IF(ISERROR(FIND('112'!$M$9,G4213,1)),"",IF((AND(FIND('112'!$M$9,G4213,1)&gt;=1,B4213='112'!$K$9,OR($N4213='112'!$I$6,$O4213='112'!$I$6))),"x",""))</f>
        <v/>
      </c>
      <c r="U4213" s="79" t="str">
        <f>IF(ISERROR(FIND('112'!$M$9,G4213,1)),"",IF((AND(LEFT(G4213,2)=LEFT('112'!$M$9,2),B4213&lt;'112'!$K$9,$N4213='112'!$I$6)),"x",""))</f>
        <v/>
      </c>
      <c r="V4213" s="79" t="str">
        <f>IF(ISERROR(FIND('112'!$M$9,G4213,1)),"",IF((AND(RIGHT(G4213,2)=RIGHT('112'!$M$9,2),B4213&lt;'112'!$K$9,$O4213='112'!$I$6)),"x",""))</f>
        <v/>
      </c>
      <c r="W4213" s="79" t="str">
        <f>IF(AND('341-CT'!$H$9=H4213,OR(LEFT(N4213,3)=$W$7,LEFT(O4213,3)=$W$7)),"x","")</f>
        <v/>
      </c>
      <c r="X4213" s="79" t="str">
        <f>IF(OR(TH!N4213=TH!$X$7,O4213=TH!$X$7),"x","")</f>
        <v/>
      </c>
      <c r="Y4213" s="79" t="str">
        <f>IF(AND(OR(N4213="131",O4213="131"),H4213='131-CT'!$H$9),"x","")</f>
        <v/>
      </c>
      <c r="Z4213" s="79"/>
      <c r="AA4213" s="79" t="str">
        <f>IF(AND(MONTH(E4213)='IN-NX'!$J$5,'IN-NX'!$D$7=D4213),"x","")</f>
        <v/>
      </c>
      <c r="AB4213" s="79" t="str">
        <f>IF(AND(OR(LEFT(TH!N4213,2)="15",LEFT(TH!O4213,2)="15"),LEFT(TH!O4213,3)&lt;&gt;"111",'152-CT'!$J$8=TH!F4213),"x","")</f>
        <v/>
      </c>
      <c r="AC4213" s="79" t="str">
        <f>IF(AND(OR(LEFT(TH!N4213,2)="15",LEFT(TH!O4213,2)="15"),TK!$E$7=TH!F4213),"x","")</f>
        <v/>
      </c>
      <c r="AD4213" s="79" t="str">
        <f>IF(AND(N4213="1521",MONTH(C4213)='BK-NL'!$M$11),"x","")</f>
        <v/>
      </c>
    </row>
    <row r="4214" spans="1:30" s="1304" customFormat="1" ht="16.5" customHeight="1">
      <c r="A4214" s="318" t="str">
        <f>IF(B4214&lt;&gt;"",IF(AND(B4214='[3]IN-TC'!$S$4,OR([3]TH!N3447="1111",[3]TH!O3447="1111")),[3]TH!D3447,""),"")</f>
        <v/>
      </c>
      <c r="B4214" s="60" t="str">
        <f t="shared" si="451"/>
        <v/>
      </c>
      <c r="C4214" s="974"/>
      <c r="D4214" s="974"/>
      <c r="E4214" s="974"/>
      <c r="F4214" s="975"/>
      <c r="G4214" s="975"/>
      <c r="H4214" s="759"/>
      <c r="I4214" s="1247"/>
      <c r="J4214" s="391"/>
      <c r="K4214" s="1247"/>
      <c r="L4214" s="1248"/>
      <c r="M4214" s="78"/>
      <c r="N4214" s="979"/>
      <c r="O4214" s="979"/>
      <c r="P4214" s="79" t="str">
        <f>IF(AND('331-CT'!$E$7=TH!H4214,OR(N4214="331",O4214="331")),"x","")</f>
        <v/>
      </c>
      <c r="Q4214" s="79" t="str">
        <f>IF(AND(B4214='111'!$L$11,OR($N4214=$Q$7,$O4214=$Q$7)),"x","")</f>
        <v/>
      </c>
      <c r="R4214" s="79" t="str">
        <f>IF(AND($N4214=$Q$7,$B4214&lt;'111'!$L$11),"x","")</f>
        <v/>
      </c>
      <c r="S4214" s="79" t="str">
        <f>IF(AND($O4214=$Q$7,$B4214&lt;'111'!$L$11),"x","")</f>
        <v/>
      </c>
      <c r="T4214" s="79" t="str">
        <f>IF(ISERROR(FIND('112'!$M$9,G4214,1)),"",IF((AND(FIND('112'!$M$9,G4214,1)&gt;=1,B4214='112'!$K$9,OR($N4214='112'!$I$6,$O4214='112'!$I$6))),"x",""))</f>
        <v/>
      </c>
      <c r="U4214" s="79" t="str">
        <f>IF(ISERROR(FIND('112'!$M$9,G4214,1)),"",IF((AND(LEFT(G4214,2)=LEFT('112'!$M$9,2),B4214&lt;'112'!$K$9,$N4214='112'!$I$6)),"x",""))</f>
        <v/>
      </c>
      <c r="V4214" s="79" t="str">
        <f>IF(ISERROR(FIND('112'!$M$9,G4214,1)),"",IF((AND(RIGHT(G4214,2)=RIGHT('112'!$M$9,2),B4214&lt;'112'!$K$9,$O4214='112'!$I$6)),"x",""))</f>
        <v/>
      </c>
      <c r="W4214" s="79" t="str">
        <f>IF(AND('341-CT'!$H$9=H4214,OR(LEFT(N4214,3)=$W$7,LEFT(O4214,3)=$W$7)),"x","")</f>
        <v/>
      </c>
      <c r="X4214" s="79" t="str">
        <f>IF(OR(TH!N4214=TH!$X$7,O4214=TH!$X$7),"x","")</f>
        <v/>
      </c>
      <c r="Y4214" s="79" t="str">
        <f>IF(AND(OR(N4214="131",O4214="131"),H4214='131-CT'!$H$9),"x","")</f>
        <v/>
      </c>
      <c r="Z4214" s="79"/>
      <c r="AA4214" s="79" t="str">
        <f>IF(AND(MONTH(E4214)='IN-NX'!$J$5,'IN-NX'!$D$7=D4214),"x","")</f>
        <v/>
      </c>
      <c r="AB4214" s="79" t="str">
        <f>IF(AND(OR(LEFT(TH!N4214,2)="15",LEFT(TH!O4214,2)="15"),LEFT(TH!O4214,3)&lt;&gt;"111",'152-CT'!$J$8=TH!F4214),"x","")</f>
        <v/>
      </c>
      <c r="AC4214" s="79" t="str">
        <f>IF(AND(OR(LEFT(TH!N4214,2)="15",LEFT(TH!O4214,2)="15"),TK!$E$7=TH!F4214),"x","")</f>
        <v/>
      </c>
      <c r="AD4214" s="79" t="str">
        <f>IF(AND(N4214="1521",MONTH(C4214)='BK-NL'!$M$11),"x","")</f>
        <v/>
      </c>
    </row>
    <row r="4215" spans="1:30" s="1304" customFormat="1" ht="16.5" customHeight="1">
      <c r="A4215" s="318" t="str">
        <f>IF(B4215&lt;&gt;"",IF(AND(B4215='[3]IN-TC'!$S$4,OR([3]TH!N3448="1111",[3]TH!O3448="1111")),[3]TH!D3448,""),"")</f>
        <v/>
      </c>
      <c r="B4215" s="60" t="str">
        <f t="shared" si="451"/>
        <v/>
      </c>
      <c r="C4215" s="974"/>
      <c r="D4215" s="974"/>
      <c r="E4215" s="974"/>
      <c r="F4215" s="975"/>
      <c r="G4215" s="975"/>
      <c r="H4215" s="759"/>
      <c r="I4215" s="1247"/>
      <c r="J4215" s="391"/>
      <c r="K4215" s="1247"/>
      <c r="L4215" s="1248"/>
      <c r="M4215" s="78"/>
      <c r="N4215" s="979"/>
      <c r="O4215" s="979"/>
      <c r="P4215" s="79" t="str">
        <f>IF(AND('331-CT'!$E$7=TH!H4215,OR(N4215="331",O4215="331")),"x","")</f>
        <v/>
      </c>
      <c r="Q4215" s="79" t="str">
        <f>IF(AND(B4215='111'!$L$11,OR($N4215=$Q$7,$O4215=$Q$7)),"x","")</f>
        <v/>
      </c>
      <c r="R4215" s="79" t="str">
        <f>IF(AND($N4215=$Q$7,$B4215&lt;'111'!$L$11),"x","")</f>
        <v/>
      </c>
      <c r="S4215" s="79" t="str">
        <f>IF(AND($O4215=$Q$7,$B4215&lt;'111'!$L$11),"x","")</f>
        <v/>
      </c>
      <c r="T4215" s="79" t="str">
        <f>IF(ISERROR(FIND('112'!$M$9,G4215,1)),"",IF((AND(FIND('112'!$M$9,G4215,1)&gt;=1,B4215='112'!$K$9,OR($N4215='112'!$I$6,$O4215='112'!$I$6))),"x",""))</f>
        <v/>
      </c>
      <c r="U4215" s="79" t="str">
        <f>IF(ISERROR(FIND('112'!$M$9,G4215,1)),"",IF((AND(LEFT(G4215,2)=LEFT('112'!$M$9,2),B4215&lt;'112'!$K$9,$N4215='112'!$I$6)),"x",""))</f>
        <v/>
      </c>
      <c r="V4215" s="79" t="str">
        <f>IF(ISERROR(FIND('112'!$M$9,G4215,1)),"",IF((AND(RIGHT(G4215,2)=RIGHT('112'!$M$9,2),B4215&lt;'112'!$K$9,$O4215='112'!$I$6)),"x",""))</f>
        <v/>
      </c>
      <c r="W4215" s="79" t="str">
        <f>IF(AND('341-CT'!$H$9=H4215,OR(LEFT(N4215,3)=$W$7,LEFT(O4215,3)=$W$7)),"x","")</f>
        <v/>
      </c>
      <c r="X4215" s="79" t="str">
        <f>IF(OR(TH!N4215=TH!$X$7,O4215=TH!$X$7),"x","")</f>
        <v/>
      </c>
      <c r="Y4215" s="79" t="str">
        <f>IF(AND(OR(N4215="131",O4215="131"),H4215='131-CT'!$H$9),"x","")</f>
        <v/>
      </c>
      <c r="Z4215" s="79"/>
      <c r="AA4215" s="79" t="str">
        <f>IF(AND(MONTH(E4215)='IN-NX'!$J$5,'IN-NX'!$D$7=D4215),"x","")</f>
        <v/>
      </c>
      <c r="AB4215" s="79" t="str">
        <f>IF(AND(OR(LEFT(TH!N4215,2)="15",LEFT(TH!O4215,2)="15"),LEFT(TH!O4215,3)&lt;&gt;"111",'152-CT'!$J$8=TH!F4215),"x","")</f>
        <v/>
      </c>
      <c r="AC4215" s="79" t="str">
        <f>IF(AND(OR(LEFT(TH!N4215,2)="15",LEFT(TH!O4215,2)="15"),TK!$E$7=TH!F4215),"x","")</f>
        <v/>
      </c>
      <c r="AD4215" s="79" t="str">
        <f>IF(AND(N4215="1521",MONTH(C4215)='BK-NL'!$M$11),"x","")</f>
        <v/>
      </c>
    </row>
    <row r="4216" spans="1:30" s="1304" customFormat="1" ht="16.5" customHeight="1">
      <c r="A4216" s="318" t="str">
        <f>IF(B4216&lt;&gt;"",IF(AND(B4216='[3]IN-TC'!$S$4,OR([3]TH!N3449="1111",[3]TH!O3449="1111")),[3]TH!D3449,""),"")</f>
        <v/>
      </c>
      <c r="B4216" s="60" t="str">
        <f t="shared" si="451"/>
        <v/>
      </c>
      <c r="C4216" s="974"/>
      <c r="D4216" s="974"/>
      <c r="E4216" s="974"/>
      <c r="F4216" s="975"/>
      <c r="G4216" s="975"/>
      <c r="H4216" s="759"/>
      <c r="I4216" s="1247"/>
      <c r="J4216" s="391"/>
      <c r="K4216" s="1247"/>
      <c r="L4216" s="1248"/>
      <c r="M4216" s="78"/>
      <c r="N4216" s="979"/>
      <c r="O4216" s="979"/>
      <c r="P4216" s="79" t="str">
        <f>IF(AND('331-CT'!$E$7=TH!H4216,OR(N4216="331",O4216="331")),"x","")</f>
        <v/>
      </c>
      <c r="Q4216" s="79" t="str">
        <f>IF(AND(B4216='111'!$L$11,OR($N4216=$Q$7,$O4216=$Q$7)),"x","")</f>
        <v/>
      </c>
      <c r="R4216" s="79" t="str">
        <f>IF(AND($N4216=$Q$7,$B4216&lt;'111'!$L$11),"x","")</f>
        <v/>
      </c>
      <c r="S4216" s="79" t="str">
        <f>IF(AND($O4216=$Q$7,$B4216&lt;'111'!$L$11),"x","")</f>
        <v/>
      </c>
      <c r="T4216" s="79" t="str">
        <f>IF(ISERROR(FIND('112'!$M$9,G4216,1)),"",IF((AND(FIND('112'!$M$9,G4216,1)&gt;=1,B4216='112'!$K$9,OR($N4216='112'!$I$6,$O4216='112'!$I$6))),"x",""))</f>
        <v/>
      </c>
      <c r="U4216" s="79" t="str">
        <f>IF(ISERROR(FIND('112'!$M$9,G4216,1)),"",IF((AND(LEFT(G4216,2)=LEFT('112'!$M$9,2),B4216&lt;'112'!$K$9,$N4216='112'!$I$6)),"x",""))</f>
        <v/>
      </c>
      <c r="V4216" s="79" t="str">
        <f>IF(ISERROR(FIND('112'!$M$9,G4216,1)),"",IF((AND(RIGHT(G4216,2)=RIGHT('112'!$M$9,2),B4216&lt;'112'!$K$9,$O4216='112'!$I$6)),"x",""))</f>
        <v/>
      </c>
      <c r="W4216" s="79" t="str">
        <f>IF(AND('341-CT'!$H$9=H4216,OR(LEFT(N4216,3)=$W$7,LEFT(O4216,3)=$W$7)),"x","")</f>
        <v/>
      </c>
      <c r="X4216" s="79" t="str">
        <f>IF(OR(TH!N4216=TH!$X$7,O4216=TH!$X$7),"x","")</f>
        <v/>
      </c>
      <c r="Y4216" s="79" t="str">
        <f>IF(AND(OR(N4216="131",O4216="131"),H4216='131-CT'!$H$9),"x","")</f>
        <v/>
      </c>
      <c r="Z4216" s="79"/>
      <c r="AA4216" s="79" t="str">
        <f>IF(AND(MONTH(E4216)='IN-NX'!$J$5,'IN-NX'!$D$7=D4216),"x","")</f>
        <v/>
      </c>
      <c r="AB4216" s="79" t="str">
        <f>IF(AND(OR(LEFT(TH!N4216,2)="15",LEFT(TH!O4216,2)="15"),LEFT(TH!O4216,3)&lt;&gt;"111",'152-CT'!$J$8=TH!F4216),"x","")</f>
        <v/>
      </c>
      <c r="AC4216" s="79" t="str">
        <f>IF(AND(OR(LEFT(TH!N4216,2)="15",LEFT(TH!O4216,2)="15"),TK!$E$7=TH!F4216),"x","")</f>
        <v/>
      </c>
      <c r="AD4216" s="79" t="str">
        <f>IF(AND(N4216="1521",MONTH(C4216)='BK-NL'!$M$11),"x","")</f>
        <v/>
      </c>
    </row>
    <row r="4217" spans="1:30" s="1304" customFormat="1" ht="16.5" customHeight="1">
      <c r="A4217" s="318" t="str">
        <f>IF(B4217&lt;&gt;"",IF(AND(B4217='[3]IN-TC'!$S$4,OR([3]TH!N3450="1111",[3]TH!O3450="1111")),[3]TH!D3450,""),"")</f>
        <v/>
      </c>
      <c r="B4217" s="60" t="str">
        <f t="shared" si="451"/>
        <v/>
      </c>
      <c r="C4217" s="974"/>
      <c r="D4217" s="974"/>
      <c r="E4217" s="974"/>
      <c r="F4217" s="975"/>
      <c r="G4217" s="975"/>
      <c r="H4217" s="759"/>
      <c r="I4217" s="1247"/>
      <c r="J4217" s="391"/>
      <c r="K4217" s="1247"/>
      <c r="L4217" s="1248"/>
      <c r="M4217" s="78"/>
      <c r="N4217" s="979"/>
      <c r="O4217" s="979"/>
      <c r="P4217" s="79" t="str">
        <f>IF(AND('331-CT'!$E$7=TH!H4217,OR(N4217="331",O4217="331")),"x","")</f>
        <v/>
      </c>
      <c r="Q4217" s="79" t="str">
        <f>IF(AND(B4217='111'!$L$11,OR($N4217=$Q$7,$O4217=$Q$7)),"x","")</f>
        <v/>
      </c>
      <c r="R4217" s="79" t="str">
        <f>IF(AND($N4217=$Q$7,$B4217&lt;'111'!$L$11),"x","")</f>
        <v/>
      </c>
      <c r="S4217" s="79" t="str">
        <f>IF(AND($O4217=$Q$7,$B4217&lt;'111'!$L$11),"x","")</f>
        <v/>
      </c>
      <c r="T4217" s="79" t="str">
        <f>IF(ISERROR(FIND('112'!$M$9,G4217,1)),"",IF((AND(FIND('112'!$M$9,G4217,1)&gt;=1,B4217='112'!$K$9,OR($N4217='112'!$I$6,$O4217='112'!$I$6))),"x",""))</f>
        <v/>
      </c>
      <c r="U4217" s="79" t="str">
        <f>IF(ISERROR(FIND('112'!$M$9,G4217,1)),"",IF((AND(LEFT(G4217,2)=LEFT('112'!$M$9,2),B4217&lt;'112'!$K$9,$N4217='112'!$I$6)),"x",""))</f>
        <v/>
      </c>
      <c r="V4217" s="79" t="str">
        <f>IF(ISERROR(FIND('112'!$M$9,G4217,1)),"",IF((AND(RIGHT(G4217,2)=RIGHT('112'!$M$9,2),B4217&lt;'112'!$K$9,$O4217='112'!$I$6)),"x",""))</f>
        <v/>
      </c>
      <c r="W4217" s="79" t="str">
        <f>IF(AND('341-CT'!$H$9=H4217,OR(LEFT(N4217,3)=$W$7,LEFT(O4217,3)=$W$7)),"x","")</f>
        <v/>
      </c>
      <c r="X4217" s="79" t="str">
        <f>IF(OR(TH!N4217=TH!$X$7,O4217=TH!$X$7),"x","")</f>
        <v/>
      </c>
      <c r="Y4217" s="79" t="str">
        <f>IF(AND(OR(N4217="131",O4217="131"),H4217='131-CT'!$H$9),"x","")</f>
        <v/>
      </c>
      <c r="Z4217" s="79"/>
      <c r="AA4217" s="79" t="str">
        <f>IF(AND(MONTH(E4217)='IN-NX'!$J$5,'IN-NX'!$D$7=D4217),"x","")</f>
        <v/>
      </c>
      <c r="AB4217" s="79" t="str">
        <f>IF(AND(OR(LEFT(TH!N4217,2)="15",LEFT(TH!O4217,2)="15"),LEFT(TH!O4217,3)&lt;&gt;"111",'152-CT'!$J$8=TH!F4217),"x","")</f>
        <v/>
      </c>
      <c r="AC4217" s="79" t="str">
        <f>IF(AND(OR(LEFT(TH!N4217,2)="15",LEFT(TH!O4217,2)="15"),TK!$E$7=TH!F4217),"x","")</f>
        <v/>
      </c>
      <c r="AD4217" s="79" t="str">
        <f>IF(AND(N4217="1521",MONTH(C4217)='BK-NL'!$M$11),"x","")</f>
        <v/>
      </c>
    </row>
    <row r="4218" spans="1:30" s="1304" customFormat="1" ht="16.5" customHeight="1">
      <c r="A4218" s="318" t="str">
        <f>IF(B4218&lt;&gt;"",IF(AND(B4218='[3]IN-TC'!$S$4,OR([3]TH!N3451="1111",[3]TH!O3451="1111")),[3]TH!D3451,""),"")</f>
        <v/>
      </c>
      <c r="B4218" s="60" t="str">
        <f t="shared" si="451"/>
        <v/>
      </c>
      <c r="C4218" s="974"/>
      <c r="D4218" s="974"/>
      <c r="E4218" s="974"/>
      <c r="F4218" s="975"/>
      <c r="G4218" s="975"/>
      <c r="H4218" s="759"/>
      <c r="I4218" s="1247"/>
      <c r="J4218" s="391"/>
      <c r="K4218" s="1247"/>
      <c r="L4218" s="1248"/>
      <c r="M4218" s="78"/>
      <c r="N4218" s="979"/>
      <c r="O4218" s="979"/>
      <c r="P4218" s="79" t="str">
        <f>IF(AND('331-CT'!$E$7=TH!H4218,OR(N4218="331",O4218="331")),"x","")</f>
        <v/>
      </c>
      <c r="Q4218" s="79" t="str">
        <f>IF(AND(B4218='111'!$L$11,OR($N4218=$Q$7,$O4218=$Q$7)),"x","")</f>
        <v/>
      </c>
      <c r="R4218" s="79" t="str">
        <f>IF(AND($N4218=$Q$7,$B4218&lt;'111'!$L$11),"x","")</f>
        <v/>
      </c>
      <c r="S4218" s="79" t="str">
        <f>IF(AND($O4218=$Q$7,$B4218&lt;'111'!$L$11),"x","")</f>
        <v/>
      </c>
      <c r="T4218" s="79" t="str">
        <f>IF(ISERROR(FIND('112'!$M$9,G4218,1)),"",IF((AND(FIND('112'!$M$9,G4218,1)&gt;=1,B4218='112'!$K$9,OR($N4218='112'!$I$6,$O4218='112'!$I$6))),"x",""))</f>
        <v/>
      </c>
      <c r="U4218" s="79" t="str">
        <f>IF(ISERROR(FIND('112'!$M$9,G4218,1)),"",IF((AND(LEFT(G4218,2)=LEFT('112'!$M$9,2),B4218&lt;'112'!$K$9,$N4218='112'!$I$6)),"x",""))</f>
        <v/>
      </c>
      <c r="V4218" s="79" t="str">
        <f>IF(ISERROR(FIND('112'!$M$9,G4218,1)),"",IF((AND(RIGHT(G4218,2)=RIGHT('112'!$M$9,2),B4218&lt;'112'!$K$9,$O4218='112'!$I$6)),"x",""))</f>
        <v/>
      </c>
      <c r="W4218" s="79" t="str">
        <f>IF(AND('341-CT'!$H$9=H4218,OR(LEFT(N4218,3)=$W$7,LEFT(O4218,3)=$W$7)),"x","")</f>
        <v/>
      </c>
      <c r="X4218" s="79" t="str">
        <f>IF(OR(TH!N4218=TH!$X$7,O4218=TH!$X$7),"x","")</f>
        <v/>
      </c>
      <c r="Y4218" s="79" t="str">
        <f>IF(AND(OR(N4218="131",O4218="131"),H4218='131-CT'!$H$9),"x","")</f>
        <v/>
      </c>
      <c r="Z4218" s="79"/>
      <c r="AA4218" s="79" t="str">
        <f>IF(AND(MONTH(E4218)='IN-NX'!$J$5,'IN-NX'!$D$7=D4218),"x","")</f>
        <v/>
      </c>
      <c r="AB4218" s="79" t="str">
        <f>IF(AND(OR(LEFT(TH!N4218,2)="15",LEFT(TH!O4218,2)="15"),LEFT(TH!O4218,3)&lt;&gt;"111",'152-CT'!$J$8=TH!F4218),"x","")</f>
        <v/>
      </c>
      <c r="AC4218" s="79" t="str">
        <f>IF(AND(OR(LEFT(TH!N4218,2)="15",LEFT(TH!O4218,2)="15"),TK!$E$7=TH!F4218),"x","")</f>
        <v/>
      </c>
      <c r="AD4218" s="79" t="str">
        <f>IF(AND(N4218="1521",MONTH(C4218)='BK-NL'!$M$11),"x","")</f>
        <v/>
      </c>
    </row>
    <row r="4219" spans="1:30" s="1304" customFormat="1" ht="16.5" customHeight="1">
      <c r="A4219" s="318" t="str">
        <f>IF(B4219&lt;&gt;"",IF(AND(B4219='[3]IN-TC'!$S$4,OR([3]TH!N3452="1111",[3]TH!O3452="1111")),[3]TH!D3452,""),"")</f>
        <v/>
      </c>
      <c r="B4219" s="60" t="str">
        <f t="shared" si="451"/>
        <v/>
      </c>
      <c r="C4219" s="974"/>
      <c r="D4219" s="974"/>
      <c r="E4219" s="974"/>
      <c r="F4219" s="975"/>
      <c r="G4219" s="975"/>
      <c r="H4219" s="759"/>
      <c r="I4219" s="1247"/>
      <c r="J4219" s="391"/>
      <c r="K4219" s="1247"/>
      <c r="L4219" s="1248"/>
      <c r="M4219" s="78"/>
      <c r="N4219" s="979"/>
      <c r="O4219" s="979"/>
      <c r="P4219" s="79" t="str">
        <f>IF(AND('331-CT'!$E$7=TH!H4219,OR(N4219="331",O4219="331")),"x","")</f>
        <v/>
      </c>
      <c r="Q4219" s="79" t="str">
        <f>IF(AND(B4219='111'!$L$11,OR($N4219=$Q$7,$O4219=$Q$7)),"x","")</f>
        <v/>
      </c>
      <c r="R4219" s="79" t="str">
        <f>IF(AND($N4219=$Q$7,$B4219&lt;'111'!$L$11),"x","")</f>
        <v/>
      </c>
      <c r="S4219" s="79" t="str">
        <f>IF(AND($O4219=$Q$7,$B4219&lt;'111'!$L$11),"x","")</f>
        <v/>
      </c>
      <c r="T4219" s="79" t="str">
        <f>IF(ISERROR(FIND('112'!$M$9,G4219,1)),"",IF((AND(FIND('112'!$M$9,G4219,1)&gt;=1,B4219='112'!$K$9,OR($N4219='112'!$I$6,$O4219='112'!$I$6))),"x",""))</f>
        <v/>
      </c>
      <c r="U4219" s="79" t="str">
        <f>IF(ISERROR(FIND('112'!$M$9,G4219,1)),"",IF((AND(LEFT(G4219,2)=LEFT('112'!$M$9,2),B4219&lt;'112'!$K$9,$N4219='112'!$I$6)),"x",""))</f>
        <v/>
      </c>
      <c r="V4219" s="79" t="str">
        <f>IF(ISERROR(FIND('112'!$M$9,G4219,1)),"",IF((AND(RIGHT(G4219,2)=RIGHT('112'!$M$9,2),B4219&lt;'112'!$K$9,$O4219='112'!$I$6)),"x",""))</f>
        <v/>
      </c>
      <c r="W4219" s="79" t="str">
        <f>IF(AND('341-CT'!$H$9=H4219,OR(LEFT(N4219,3)=$W$7,LEFT(O4219,3)=$W$7)),"x","")</f>
        <v/>
      </c>
      <c r="X4219" s="79" t="str">
        <f>IF(OR(TH!N4219=TH!$X$7,O4219=TH!$X$7),"x","")</f>
        <v/>
      </c>
      <c r="Y4219" s="79" t="str">
        <f>IF(AND(OR(N4219="131",O4219="131"),H4219='131-CT'!$H$9),"x","")</f>
        <v/>
      </c>
      <c r="Z4219" s="79"/>
      <c r="AA4219" s="79" t="str">
        <f>IF(AND(MONTH(E4219)='IN-NX'!$J$5,'IN-NX'!$D$7=D4219),"x","")</f>
        <v/>
      </c>
      <c r="AB4219" s="79" t="str">
        <f>IF(AND(OR(LEFT(TH!N4219,2)="15",LEFT(TH!O4219,2)="15"),LEFT(TH!O4219,3)&lt;&gt;"111",'152-CT'!$J$8=TH!F4219),"x","")</f>
        <v/>
      </c>
      <c r="AC4219" s="79" t="str">
        <f>IF(AND(OR(LEFT(TH!N4219,2)="15",LEFT(TH!O4219,2)="15"),TK!$E$7=TH!F4219),"x","")</f>
        <v/>
      </c>
      <c r="AD4219" s="79" t="str">
        <f>IF(AND(N4219="1521",MONTH(C4219)='BK-NL'!$M$11),"x","")</f>
        <v/>
      </c>
    </row>
    <row r="4220" spans="1:30" s="1304" customFormat="1" ht="16.5" customHeight="1">
      <c r="A4220" s="318" t="str">
        <f>IF(B4220&lt;&gt;"",IF(AND(B4220='[3]IN-TC'!$S$4,OR([3]TH!N3453="1111",[3]TH!O3453="1111")),[3]TH!D3453,""),"")</f>
        <v/>
      </c>
      <c r="B4220" s="60" t="str">
        <f t="shared" si="451"/>
        <v/>
      </c>
      <c r="C4220" s="974"/>
      <c r="D4220" s="974"/>
      <c r="E4220" s="974"/>
      <c r="F4220" s="975"/>
      <c r="G4220" s="975"/>
      <c r="H4220" s="759"/>
      <c r="I4220" s="1247"/>
      <c r="J4220" s="391"/>
      <c r="K4220" s="1247"/>
      <c r="L4220" s="1248"/>
      <c r="M4220" s="78"/>
      <c r="N4220" s="979"/>
      <c r="O4220" s="979"/>
      <c r="P4220" s="79" t="str">
        <f>IF(AND('331-CT'!$E$7=TH!H4220,OR(N4220="331",O4220="331")),"x","")</f>
        <v/>
      </c>
      <c r="Q4220" s="79" t="str">
        <f>IF(AND(B4220='111'!$L$11,OR($N4220=$Q$7,$O4220=$Q$7)),"x","")</f>
        <v/>
      </c>
      <c r="R4220" s="79" t="str">
        <f>IF(AND($N4220=$Q$7,$B4220&lt;'111'!$L$11),"x","")</f>
        <v/>
      </c>
      <c r="S4220" s="79" t="str">
        <f>IF(AND($O4220=$Q$7,$B4220&lt;'111'!$L$11),"x","")</f>
        <v/>
      </c>
      <c r="T4220" s="79" t="str">
        <f>IF(ISERROR(FIND('112'!$M$9,G4220,1)),"",IF((AND(FIND('112'!$M$9,G4220,1)&gt;=1,B4220='112'!$K$9,OR($N4220='112'!$I$6,$O4220='112'!$I$6))),"x",""))</f>
        <v/>
      </c>
      <c r="U4220" s="79" t="str">
        <f>IF(ISERROR(FIND('112'!$M$9,G4220,1)),"",IF((AND(LEFT(G4220,2)=LEFT('112'!$M$9,2),B4220&lt;'112'!$K$9,$N4220='112'!$I$6)),"x",""))</f>
        <v/>
      </c>
      <c r="V4220" s="79" t="str">
        <f>IF(ISERROR(FIND('112'!$M$9,G4220,1)),"",IF((AND(RIGHT(G4220,2)=RIGHT('112'!$M$9,2),B4220&lt;'112'!$K$9,$O4220='112'!$I$6)),"x",""))</f>
        <v/>
      </c>
      <c r="W4220" s="79" t="str">
        <f>IF(AND('341-CT'!$H$9=H4220,OR(LEFT(N4220,3)=$W$7,LEFT(O4220,3)=$W$7)),"x","")</f>
        <v/>
      </c>
      <c r="X4220" s="79" t="str">
        <f>IF(OR(TH!N4220=TH!$X$7,O4220=TH!$X$7),"x","")</f>
        <v/>
      </c>
      <c r="Y4220" s="79" t="str">
        <f>IF(AND(OR(N4220="131",O4220="131"),H4220='131-CT'!$H$9),"x","")</f>
        <v/>
      </c>
      <c r="Z4220" s="79"/>
      <c r="AA4220" s="79" t="str">
        <f>IF(AND(MONTH(E4220)='IN-NX'!$J$5,'IN-NX'!$D$7=D4220),"x","")</f>
        <v/>
      </c>
      <c r="AB4220" s="79" t="str">
        <f>IF(AND(OR(LEFT(TH!N4220,2)="15",LEFT(TH!O4220,2)="15"),LEFT(TH!O4220,3)&lt;&gt;"111",'152-CT'!$J$8=TH!F4220),"x","")</f>
        <v/>
      </c>
      <c r="AC4220" s="79" t="str">
        <f>IF(AND(OR(LEFT(TH!N4220,2)="15",LEFT(TH!O4220,2)="15"),TK!$E$7=TH!F4220),"x","")</f>
        <v/>
      </c>
      <c r="AD4220" s="79" t="str">
        <f>IF(AND(N4220="1521",MONTH(C4220)='BK-NL'!$M$11),"x","")</f>
        <v/>
      </c>
    </row>
    <row r="4221" spans="1:30" s="1304" customFormat="1" ht="16.5" customHeight="1">
      <c r="A4221" s="318" t="str">
        <f>IF(B4221&lt;&gt;"",IF(AND(B4221='[3]IN-TC'!$S$4,OR([3]TH!N3454="1111",[3]TH!O3454="1111")),[3]TH!D3454,""),"")</f>
        <v/>
      </c>
      <c r="B4221" s="60" t="str">
        <f t="shared" si="451"/>
        <v/>
      </c>
      <c r="C4221" s="974"/>
      <c r="D4221" s="974"/>
      <c r="E4221" s="974"/>
      <c r="F4221" s="975"/>
      <c r="G4221" s="975"/>
      <c r="H4221" s="759"/>
      <c r="I4221" s="1247"/>
      <c r="J4221" s="391"/>
      <c r="K4221" s="1247"/>
      <c r="L4221" s="1248"/>
      <c r="M4221" s="78"/>
      <c r="N4221" s="979"/>
      <c r="O4221" s="979"/>
      <c r="P4221" s="79" t="str">
        <f>IF(AND('331-CT'!$E$7=TH!H4221,OR(N4221="331",O4221="331")),"x","")</f>
        <v/>
      </c>
      <c r="Q4221" s="79" t="str">
        <f>IF(AND(B4221='111'!$L$11,OR($N4221=$Q$7,$O4221=$Q$7)),"x","")</f>
        <v/>
      </c>
      <c r="R4221" s="79" t="str">
        <f>IF(AND($N4221=$Q$7,$B4221&lt;'111'!$L$11),"x","")</f>
        <v/>
      </c>
      <c r="S4221" s="79" t="str">
        <f>IF(AND($O4221=$Q$7,$B4221&lt;'111'!$L$11),"x","")</f>
        <v/>
      </c>
      <c r="T4221" s="79" t="str">
        <f>IF(ISERROR(FIND('112'!$M$9,G4221,1)),"",IF((AND(FIND('112'!$M$9,G4221,1)&gt;=1,B4221='112'!$K$9,OR($N4221='112'!$I$6,$O4221='112'!$I$6))),"x",""))</f>
        <v/>
      </c>
      <c r="U4221" s="79" t="str">
        <f>IF(ISERROR(FIND('112'!$M$9,G4221,1)),"",IF((AND(LEFT(G4221,2)=LEFT('112'!$M$9,2),B4221&lt;'112'!$K$9,$N4221='112'!$I$6)),"x",""))</f>
        <v/>
      </c>
      <c r="V4221" s="79" t="str">
        <f>IF(ISERROR(FIND('112'!$M$9,G4221,1)),"",IF((AND(RIGHT(G4221,2)=RIGHT('112'!$M$9,2),B4221&lt;'112'!$K$9,$O4221='112'!$I$6)),"x",""))</f>
        <v/>
      </c>
      <c r="W4221" s="79" t="str">
        <f>IF(AND('341-CT'!$H$9=H4221,OR(LEFT(N4221,3)=$W$7,LEFT(O4221,3)=$W$7)),"x","")</f>
        <v/>
      </c>
      <c r="X4221" s="79" t="str">
        <f>IF(OR(TH!N4221=TH!$X$7,O4221=TH!$X$7),"x","")</f>
        <v/>
      </c>
      <c r="Y4221" s="79" t="str">
        <f>IF(AND(OR(N4221="131",O4221="131"),H4221='131-CT'!$H$9),"x","")</f>
        <v/>
      </c>
      <c r="Z4221" s="79"/>
      <c r="AA4221" s="79" t="str">
        <f>IF(AND(MONTH(E4221)='IN-NX'!$J$5,'IN-NX'!$D$7=D4221),"x","")</f>
        <v/>
      </c>
      <c r="AB4221" s="79" t="str">
        <f>IF(AND(OR(LEFT(TH!N4221,2)="15",LEFT(TH!O4221,2)="15"),LEFT(TH!O4221,3)&lt;&gt;"111",'152-CT'!$J$8=TH!F4221),"x","")</f>
        <v/>
      </c>
      <c r="AC4221" s="79" t="str">
        <f>IF(AND(OR(LEFT(TH!N4221,2)="15",LEFT(TH!O4221,2)="15"),TK!$E$7=TH!F4221),"x","")</f>
        <v/>
      </c>
      <c r="AD4221" s="79" t="str">
        <f>IF(AND(N4221="1521",MONTH(C4221)='BK-NL'!$M$11),"x","")</f>
        <v/>
      </c>
    </row>
    <row r="4222" spans="1:30" ht="16.5" customHeight="1">
      <c r="A4222" s="318" t="str">
        <f>IF(B4222&lt;&gt;"",IF(AND(B4222='[3]IN-TC'!$S$4,OR([3]TH!N3455="1111",[3]TH!O3455="1111")),[3]TH!D3455,""),"")</f>
        <v/>
      </c>
      <c r="B4222" s="60" t="str">
        <f t="shared" si="451"/>
        <v/>
      </c>
      <c r="C4222" s="974"/>
      <c r="D4222" s="974"/>
      <c r="E4222" s="974"/>
      <c r="F4222" s="76"/>
      <c r="G4222" s="975"/>
      <c r="H4222" s="759"/>
      <c r="I4222" s="387"/>
      <c r="J4222" s="395"/>
      <c r="K4222" s="1247"/>
      <c r="L4222" s="1248"/>
      <c r="M4222" s="78"/>
      <c r="N4222" s="979"/>
      <c r="O4222" s="979"/>
      <c r="P4222" s="79" t="str">
        <f>IF(AND('331-CT'!$E$7=TH!H4222,OR(N4222="331",O4222="331")),"x","")</f>
        <v/>
      </c>
      <c r="Q4222" s="79" t="str">
        <f>IF(AND(B4222='111'!$L$11,OR($N4222=$Q$7,$O4222=$Q$7)),"x","")</f>
        <v/>
      </c>
      <c r="R4222" s="79" t="str">
        <f>IF(AND($N4222=$Q$7,$B4222&lt;'111'!$L$11),"x","")</f>
        <v/>
      </c>
      <c r="S4222" s="79" t="str">
        <f>IF(AND($O4222=$Q$7,$B4222&lt;'111'!$L$11),"x","")</f>
        <v/>
      </c>
      <c r="T4222" s="79" t="str">
        <f>IF(ISERROR(FIND('112'!$M$9,G4222,1)),"",IF((AND(FIND('112'!$M$9,G4222,1)&gt;=1,B4222='112'!$K$9,OR($N4222='112'!$I$6,$O4222='112'!$I$6))),"x",""))</f>
        <v/>
      </c>
      <c r="U4222" s="79" t="str">
        <f>IF(ISERROR(FIND('112'!$M$9,G4222,1)),"",IF((AND(LEFT(G4222,2)=LEFT('112'!$M$9,2),B4222&lt;'112'!$K$9,$N4222='112'!$I$6)),"x",""))</f>
        <v/>
      </c>
      <c r="V4222" s="79" t="str">
        <f>IF(ISERROR(FIND('112'!$M$9,G4222,1)),"",IF((AND(RIGHT(G4222,2)=RIGHT('112'!$M$9,2),B4222&lt;'112'!$K$9,$O4222='112'!$I$6)),"x",""))</f>
        <v/>
      </c>
      <c r="W4222" s="79" t="str">
        <f>IF(AND('341-CT'!$H$9=H4222,OR(LEFT(N4222,3)=$W$7,LEFT(O4222,3)=$W$7)),"x","")</f>
        <v/>
      </c>
      <c r="X4222" s="79" t="str">
        <f>IF(OR(TH!N4222=TH!$X$7,O4222=TH!$X$7),"x","")</f>
        <v/>
      </c>
      <c r="Y4222" s="79" t="str">
        <f>IF(AND(OR(N4222="131",O4222="131"),H4222='131-CT'!$H$9),"x","")</f>
        <v/>
      </c>
      <c r="Z4222" s="79"/>
      <c r="AA4222" s="79" t="str">
        <f>IF(AND(MONTH(E4222)='IN-NX'!$J$5,'IN-NX'!$D$7=D4222),"x","")</f>
        <v/>
      </c>
      <c r="AB4222" s="79" t="str">
        <f>IF(AND(OR(LEFT(TH!N4222,2)="15",LEFT(TH!O4222,2)="15"),LEFT(TH!O4222,3)&lt;&gt;"111",'152-CT'!$J$8=TH!F4222),"x","")</f>
        <v/>
      </c>
      <c r="AC4222" s="79" t="str">
        <f>IF(AND(OR(LEFT(TH!N4222,2)="15",LEFT(TH!O4222,2)="15"),TK!$E$7=TH!F4222),"x","")</f>
        <v/>
      </c>
      <c r="AD4222" s="79" t="str">
        <f>IF(AND(N4222="1521",MONTH(C4222)='BK-NL'!$M$11),"x","")</f>
        <v/>
      </c>
    </row>
    <row r="4223" spans="1:30" ht="16.5" customHeight="1">
      <c r="A4223" s="318" t="str">
        <f>IF(B4223&lt;&gt;"",IF(AND(B4223='[3]IN-TC'!$S$4,OR([3]TH!N3456="1111",[3]TH!O3456="1111")),[3]TH!D3456,""),"")</f>
        <v/>
      </c>
      <c r="B4223" s="60" t="str">
        <f t="shared" si="451"/>
        <v/>
      </c>
      <c r="C4223" s="974"/>
      <c r="D4223" s="974"/>
      <c r="E4223" s="974"/>
      <c r="F4223" s="76"/>
      <c r="G4223" s="975"/>
      <c r="H4223" s="759"/>
      <c r="I4223" s="387"/>
      <c r="J4223" s="395"/>
      <c r="K4223" s="1247"/>
      <c r="L4223" s="1248"/>
      <c r="M4223" s="78"/>
      <c r="N4223" s="979"/>
      <c r="O4223" s="979"/>
      <c r="P4223" s="79" t="str">
        <f>IF(AND('331-CT'!$E$7=TH!H4223,OR(N4223="331",O4223="331")),"x","")</f>
        <v/>
      </c>
      <c r="Q4223" s="79" t="str">
        <f>IF(AND(B4223='111'!$L$11,OR($N4223=$Q$7,$O4223=$Q$7)),"x","")</f>
        <v/>
      </c>
      <c r="R4223" s="79" t="str">
        <f>IF(AND($N4223=$Q$7,$B4223&lt;'111'!$L$11),"x","")</f>
        <v/>
      </c>
      <c r="S4223" s="79" t="str">
        <f>IF(AND($O4223=$Q$7,$B4223&lt;'111'!$L$11),"x","")</f>
        <v/>
      </c>
      <c r="T4223" s="79" t="str">
        <f>IF(ISERROR(FIND('112'!$M$9,G4223,1)),"",IF((AND(FIND('112'!$M$9,G4223,1)&gt;=1,B4223='112'!$K$9,OR($N4223='112'!$I$6,$O4223='112'!$I$6))),"x",""))</f>
        <v/>
      </c>
      <c r="U4223" s="79" t="str">
        <f>IF(ISERROR(FIND('112'!$M$9,G4223,1)),"",IF((AND(LEFT(G4223,2)=LEFT('112'!$M$9,2),B4223&lt;'112'!$K$9,$N4223='112'!$I$6)),"x",""))</f>
        <v/>
      </c>
      <c r="V4223" s="79" t="str">
        <f>IF(ISERROR(FIND('112'!$M$9,G4223,1)),"",IF((AND(RIGHT(G4223,2)=RIGHT('112'!$M$9,2),B4223&lt;'112'!$K$9,$O4223='112'!$I$6)),"x",""))</f>
        <v/>
      </c>
      <c r="W4223" s="79" t="str">
        <f>IF(AND('341-CT'!$H$9=H4223,OR(LEFT(N4223,3)=$W$7,LEFT(O4223,3)=$W$7)),"x","")</f>
        <v/>
      </c>
      <c r="X4223" s="79" t="str">
        <f>IF(OR(TH!N4223=TH!$X$7,O4223=TH!$X$7),"x","")</f>
        <v/>
      </c>
      <c r="Y4223" s="79" t="str">
        <f>IF(AND(OR(N4223="131",O4223="131"),H4223='131-CT'!$H$9),"x","")</f>
        <v/>
      </c>
      <c r="Z4223" s="79"/>
      <c r="AA4223" s="79" t="str">
        <f>IF(AND(MONTH(E4223)='IN-NX'!$J$5,'IN-NX'!$D$7=D4223),"x","")</f>
        <v/>
      </c>
      <c r="AB4223" s="79" t="str">
        <f>IF(AND(OR(LEFT(TH!N4223,2)="15",LEFT(TH!O4223,2)="15"),LEFT(TH!O4223,3)&lt;&gt;"111",'152-CT'!$J$8=TH!F4223),"x","")</f>
        <v/>
      </c>
      <c r="AC4223" s="79" t="str">
        <f>IF(AND(OR(LEFT(TH!N4223,2)="15",LEFT(TH!O4223,2)="15"),TK!$E$7=TH!F4223),"x","")</f>
        <v/>
      </c>
      <c r="AD4223" s="79" t="str">
        <f>IF(AND(N4223="1521",MONTH(C4223)='BK-NL'!$M$11),"x","")</f>
        <v/>
      </c>
    </row>
    <row r="4224" spans="1:30" ht="16.5" customHeight="1">
      <c r="A4224" s="318" t="str">
        <f>IF(B4224&lt;&gt;"",IF(AND(B4224='[3]IN-TC'!$S$4,OR([3]TH!N3457="1111",[3]TH!O3457="1111")),[3]TH!D3457,""),"")</f>
        <v/>
      </c>
      <c r="B4224" s="60" t="str">
        <f t="shared" si="451"/>
        <v/>
      </c>
      <c r="C4224" s="974"/>
      <c r="D4224" s="974"/>
      <c r="E4224" s="974"/>
      <c r="F4224" s="76"/>
      <c r="G4224" s="975"/>
      <c r="H4224" s="759"/>
      <c r="I4224" s="387"/>
      <c r="J4224" s="395"/>
      <c r="K4224" s="1247"/>
      <c r="L4224" s="1248"/>
      <c r="M4224" s="78"/>
      <c r="N4224" s="979"/>
      <c r="O4224" s="979"/>
      <c r="P4224" s="79" t="str">
        <f>IF(AND('331-CT'!$E$7=TH!H4224,OR(N4224="331",O4224="331")),"x","")</f>
        <v/>
      </c>
      <c r="Q4224" s="79" t="str">
        <f>IF(AND(B4224='111'!$L$11,OR($N4224=$Q$7,$O4224=$Q$7)),"x","")</f>
        <v/>
      </c>
      <c r="R4224" s="79" t="str">
        <f>IF(AND($N4224=$Q$7,$B4224&lt;'111'!$L$11),"x","")</f>
        <v/>
      </c>
      <c r="S4224" s="79" t="str">
        <f>IF(AND($O4224=$Q$7,$B4224&lt;'111'!$L$11),"x","")</f>
        <v/>
      </c>
      <c r="T4224" s="79" t="str">
        <f>IF(ISERROR(FIND('112'!$M$9,G4224,1)),"",IF((AND(FIND('112'!$M$9,G4224,1)&gt;=1,B4224='112'!$K$9,OR($N4224='112'!$I$6,$O4224='112'!$I$6))),"x",""))</f>
        <v/>
      </c>
      <c r="U4224" s="79" t="str">
        <f>IF(ISERROR(FIND('112'!$M$9,G4224,1)),"",IF((AND(LEFT(G4224,2)=LEFT('112'!$M$9,2),B4224&lt;'112'!$K$9,$N4224='112'!$I$6)),"x",""))</f>
        <v/>
      </c>
      <c r="V4224" s="79" t="str">
        <f>IF(ISERROR(FIND('112'!$M$9,G4224,1)),"",IF((AND(RIGHT(G4224,2)=RIGHT('112'!$M$9,2),B4224&lt;'112'!$K$9,$O4224='112'!$I$6)),"x",""))</f>
        <v/>
      </c>
      <c r="W4224" s="79" t="str">
        <f>IF(AND('341-CT'!$H$9=H4224,OR(LEFT(N4224,3)=$W$7,LEFT(O4224,3)=$W$7)),"x","")</f>
        <v/>
      </c>
      <c r="X4224" s="79" t="str">
        <f>IF(OR(TH!N4224=TH!$X$7,O4224=TH!$X$7),"x","")</f>
        <v/>
      </c>
      <c r="Y4224" s="79" t="str">
        <f>IF(AND(OR(N4224="131",O4224="131"),H4224='131-CT'!$H$9),"x","")</f>
        <v/>
      </c>
      <c r="Z4224" s="79"/>
      <c r="AA4224" s="79" t="str">
        <f>IF(AND(MONTH(E4224)='IN-NX'!$J$5,'IN-NX'!$D$7=D4224),"x","")</f>
        <v/>
      </c>
      <c r="AB4224" s="79" t="str">
        <f>IF(AND(OR(LEFT(TH!N4224,2)="15",LEFT(TH!O4224,2)="15"),LEFT(TH!O4224,3)&lt;&gt;"111",'152-CT'!$J$8=TH!F4224),"x","")</f>
        <v/>
      </c>
      <c r="AC4224" s="79" t="str">
        <f>IF(AND(OR(LEFT(TH!N4224,2)="15",LEFT(TH!O4224,2)="15"),TK!$E$7=TH!F4224),"x","")</f>
        <v/>
      </c>
      <c r="AD4224" s="79" t="str">
        <f>IF(AND(N4224="1521",MONTH(C4224)='BK-NL'!$M$11),"x","")</f>
        <v/>
      </c>
    </row>
    <row r="4225" spans="1:30" s="1304" customFormat="1" ht="16.5" customHeight="1">
      <c r="A4225" s="318" t="str">
        <f>IF(B4225&lt;&gt;"",IF(AND(B4225='[3]IN-TC'!$S$4,OR([3]TH!N3458="1111",[3]TH!O3458="1111")),[3]TH!D3458,""),"")</f>
        <v/>
      </c>
      <c r="B4225" s="60" t="str">
        <f t="shared" si="451"/>
        <v/>
      </c>
      <c r="C4225" s="974"/>
      <c r="D4225" s="974"/>
      <c r="E4225" s="974"/>
      <c r="F4225" s="975"/>
      <c r="G4225" s="975"/>
      <c r="H4225" s="759"/>
      <c r="I4225" s="1247"/>
      <c r="J4225" s="391"/>
      <c r="K4225" s="1247"/>
      <c r="L4225" s="1248"/>
      <c r="M4225" s="78"/>
      <c r="N4225" s="979"/>
      <c r="O4225" s="979"/>
      <c r="P4225" s="79" t="str">
        <f>IF(AND('331-CT'!$E$7=TH!H4225,OR(N4225="331",O4225="331")),"x","")</f>
        <v/>
      </c>
      <c r="Q4225" s="79" t="str">
        <f>IF(AND(B4225='111'!$L$11,OR($N4225=$Q$7,$O4225=$Q$7)),"x","")</f>
        <v/>
      </c>
      <c r="R4225" s="79" t="str">
        <f>IF(AND($N4225=$Q$7,$B4225&lt;'111'!$L$11),"x","")</f>
        <v/>
      </c>
      <c r="S4225" s="79" t="str">
        <f>IF(AND($O4225=$Q$7,$B4225&lt;'111'!$L$11),"x","")</f>
        <v/>
      </c>
      <c r="T4225" s="79" t="str">
        <f>IF(ISERROR(FIND('112'!$M$9,G4225,1)),"",IF((AND(FIND('112'!$M$9,G4225,1)&gt;=1,B4225='112'!$K$9,OR($N4225='112'!$I$6,$O4225='112'!$I$6))),"x",""))</f>
        <v/>
      </c>
      <c r="U4225" s="79" t="str">
        <f>IF(ISERROR(FIND('112'!$M$9,G4225,1)),"",IF((AND(LEFT(G4225,2)=LEFT('112'!$M$9,2),B4225&lt;'112'!$K$9,$N4225='112'!$I$6)),"x",""))</f>
        <v/>
      </c>
      <c r="V4225" s="79" t="str">
        <f>IF(ISERROR(FIND('112'!$M$9,G4225,1)),"",IF((AND(RIGHT(G4225,2)=RIGHT('112'!$M$9,2),B4225&lt;'112'!$K$9,$O4225='112'!$I$6)),"x",""))</f>
        <v/>
      </c>
      <c r="W4225" s="79" t="str">
        <f>IF(AND('341-CT'!$H$9=H4225,OR(LEFT(N4225,3)=$W$7,LEFT(O4225,3)=$W$7)),"x","")</f>
        <v/>
      </c>
      <c r="X4225" s="79" t="str">
        <f>IF(OR(TH!N4225=TH!$X$7,O4225=TH!$X$7),"x","")</f>
        <v/>
      </c>
      <c r="Y4225" s="79" t="str">
        <f>IF(AND(OR(N4225="131",O4225="131"),H4225='131-CT'!$H$9),"x","")</f>
        <v/>
      </c>
      <c r="Z4225" s="79"/>
      <c r="AA4225" s="79" t="str">
        <f>IF(AND(MONTH(E4225)='IN-NX'!$J$5,'IN-NX'!$D$7=D4225),"x","")</f>
        <v/>
      </c>
      <c r="AB4225" s="79" t="str">
        <f>IF(AND(OR(LEFT(TH!N4225,2)="15",LEFT(TH!O4225,2)="15"),LEFT(TH!O4225,3)&lt;&gt;"111",'152-CT'!$J$8=TH!F4225),"x","")</f>
        <v/>
      </c>
      <c r="AC4225" s="79" t="str">
        <f>IF(AND(OR(LEFT(TH!N4225,2)="15",LEFT(TH!O4225,2)="15"),TK!$E$7=TH!F4225),"x","")</f>
        <v/>
      </c>
      <c r="AD4225" s="79" t="str">
        <f>IF(AND(N4225="1521",MONTH(C4225)='BK-NL'!$M$11),"x","")</f>
        <v/>
      </c>
    </row>
    <row r="4226" spans="1:30" s="1304" customFormat="1" ht="16.5" customHeight="1">
      <c r="A4226" s="318" t="str">
        <f>IF(B4226&lt;&gt;"",IF(AND(B4226='[3]IN-TC'!$S$4,OR([3]TH!N3459="1111",[3]TH!O3459="1111")),[3]TH!D3459,""),"")</f>
        <v/>
      </c>
      <c r="B4226" s="60" t="str">
        <f t="shared" si="451"/>
        <v/>
      </c>
      <c r="C4226" s="974"/>
      <c r="D4226" s="974"/>
      <c r="E4226" s="974"/>
      <c r="F4226" s="975"/>
      <c r="G4226" s="975"/>
      <c r="H4226" s="759"/>
      <c r="I4226" s="1247"/>
      <c r="J4226" s="391"/>
      <c r="K4226" s="1247"/>
      <c r="L4226" s="1248"/>
      <c r="M4226" s="78"/>
      <c r="N4226" s="979"/>
      <c r="O4226" s="979"/>
      <c r="P4226" s="79" t="str">
        <f>IF(AND('331-CT'!$E$7=TH!H4226,OR(N4226="331",O4226="331")),"x","")</f>
        <v/>
      </c>
      <c r="Q4226" s="79" t="str">
        <f>IF(AND(B4226='111'!$L$11,OR($N4226=$Q$7,$O4226=$Q$7)),"x","")</f>
        <v/>
      </c>
      <c r="R4226" s="79" t="str">
        <f>IF(AND($N4226=$Q$7,$B4226&lt;'111'!$L$11),"x","")</f>
        <v/>
      </c>
      <c r="S4226" s="79" t="str">
        <f>IF(AND($O4226=$Q$7,$B4226&lt;'111'!$L$11),"x","")</f>
        <v/>
      </c>
      <c r="T4226" s="79" t="str">
        <f>IF(ISERROR(FIND('112'!$M$9,G4226,1)),"",IF((AND(FIND('112'!$M$9,G4226,1)&gt;=1,B4226='112'!$K$9,OR($N4226='112'!$I$6,$O4226='112'!$I$6))),"x",""))</f>
        <v/>
      </c>
      <c r="U4226" s="79" t="str">
        <f>IF(ISERROR(FIND('112'!$M$9,G4226,1)),"",IF((AND(LEFT(G4226,2)=LEFT('112'!$M$9,2),B4226&lt;'112'!$K$9,$N4226='112'!$I$6)),"x",""))</f>
        <v/>
      </c>
      <c r="V4226" s="79" t="str">
        <f>IF(ISERROR(FIND('112'!$M$9,G4226,1)),"",IF((AND(RIGHT(G4226,2)=RIGHT('112'!$M$9,2),B4226&lt;'112'!$K$9,$O4226='112'!$I$6)),"x",""))</f>
        <v/>
      </c>
      <c r="W4226" s="79" t="str">
        <f>IF(AND('341-CT'!$H$9=H4226,OR(LEFT(N4226,3)=$W$7,LEFT(O4226,3)=$W$7)),"x","")</f>
        <v/>
      </c>
      <c r="X4226" s="79" t="str">
        <f>IF(OR(TH!N4226=TH!$X$7,O4226=TH!$X$7),"x","")</f>
        <v/>
      </c>
      <c r="Y4226" s="79" t="str">
        <f>IF(AND(OR(N4226="131",O4226="131"),H4226='131-CT'!$H$9),"x","")</f>
        <v/>
      </c>
      <c r="Z4226" s="79"/>
      <c r="AA4226" s="79" t="str">
        <f>IF(AND(MONTH(E4226)='IN-NX'!$J$5,'IN-NX'!$D$7=D4226),"x","")</f>
        <v/>
      </c>
      <c r="AB4226" s="79" t="str">
        <f>IF(AND(OR(LEFT(TH!N4226,2)="15",LEFT(TH!O4226,2)="15"),LEFT(TH!O4226,3)&lt;&gt;"111",'152-CT'!$J$8=TH!F4226),"x","")</f>
        <v/>
      </c>
      <c r="AC4226" s="79" t="str">
        <f>IF(AND(OR(LEFT(TH!N4226,2)="15",LEFT(TH!O4226,2)="15"),TK!$E$7=TH!F4226),"x","")</f>
        <v/>
      </c>
      <c r="AD4226" s="79" t="str">
        <f>IF(AND(N4226="1521",MONTH(C4226)='BK-NL'!$M$11),"x","")</f>
        <v/>
      </c>
    </row>
    <row r="4227" spans="1:30" s="1304" customFormat="1" ht="16.5" customHeight="1">
      <c r="A4227" s="318" t="str">
        <f>IF(B4227&lt;&gt;"",IF(AND(B4227='[3]IN-TC'!$S$4,OR([3]TH!N3460="1111",[3]TH!O3460="1111")),[3]TH!D3460,""),"")</f>
        <v/>
      </c>
      <c r="B4227" s="60" t="str">
        <f t="shared" ref="B4227:B4245" si="454">IF(C4227&lt;&gt;"",MONTH(C4227),"")</f>
        <v/>
      </c>
      <c r="C4227" s="974"/>
      <c r="D4227" s="974"/>
      <c r="E4227" s="974"/>
      <c r="F4227" s="975"/>
      <c r="G4227" s="975"/>
      <c r="H4227" s="759"/>
      <c r="I4227" s="1247"/>
      <c r="J4227" s="391"/>
      <c r="K4227" s="1247"/>
      <c r="L4227" s="1248"/>
      <c r="M4227" s="78"/>
      <c r="N4227" s="979"/>
      <c r="O4227" s="979"/>
      <c r="P4227" s="79" t="str">
        <f>IF(AND('331-CT'!$E$7=TH!H4227,OR(N4227="331",O4227="331")),"x","")</f>
        <v/>
      </c>
      <c r="Q4227" s="79" t="str">
        <f>IF(AND(B4227='111'!$L$11,OR($N4227=$Q$7,$O4227=$Q$7)),"x","")</f>
        <v/>
      </c>
      <c r="R4227" s="79" t="str">
        <f>IF(AND($N4227=$Q$7,$B4227&lt;'111'!$L$11),"x","")</f>
        <v/>
      </c>
      <c r="S4227" s="79" t="str">
        <f>IF(AND($O4227=$Q$7,$B4227&lt;'111'!$L$11),"x","")</f>
        <v/>
      </c>
      <c r="T4227" s="79" t="str">
        <f>IF(ISERROR(FIND('112'!$M$9,G4227,1)),"",IF((AND(FIND('112'!$M$9,G4227,1)&gt;=1,B4227='112'!$K$9,OR($N4227='112'!$I$6,$O4227='112'!$I$6))),"x",""))</f>
        <v/>
      </c>
      <c r="U4227" s="79" t="str">
        <f>IF(ISERROR(FIND('112'!$M$9,G4227,1)),"",IF((AND(LEFT(G4227,2)=LEFT('112'!$M$9,2),B4227&lt;'112'!$K$9,$N4227='112'!$I$6)),"x",""))</f>
        <v/>
      </c>
      <c r="V4227" s="79" t="str">
        <f>IF(ISERROR(FIND('112'!$M$9,G4227,1)),"",IF((AND(RIGHT(G4227,2)=RIGHT('112'!$M$9,2),B4227&lt;'112'!$K$9,$O4227='112'!$I$6)),"x",""))</f>
        <v/>
      </c>
      <c r="W4227" s="79" t="str">
        <f>IF(AND('341-CT'!$H$9=H4227,OR(LEFT(N4227,3)=$W$7,LEFT(O4227,3)=$W$7)),"x","")</f>
        <v/>
      </c>
      <c r="X4227" s="79" t="str">
        <f>IF(OR(TH!N4227=TH!$X$7,O4227=TH!$X$7),"x","")</f>
        <v/>
      </c>
      <c r="Y4227" s="79" t="str">
        <f>IF(AND(OR(N4227="131",O4227="131"),H4227='131-CT'!$H$9),"x","")</f>
        <v/>
      </c>
      <c r="Z4227" s="79"/>
      <c r="AA4227" s="79" t="str">
        <f>IF(AND(MONTH(E4227)='IN-NX'!$J$5,'IN-NX'!$D$7=D4227),"x","")</f>
        <v/>
      </c>
      <c r="AB4227" s="79" t="str">
        <f>IF(AND(OR(LEFT(TH!N4227,2)="15",LEFT(TH!O4227,2)="15"),LEFT(TH!O4227,3)&lt;&gt;"111",'152-CT'!$J$8=TH!F4227),"x","")</f>
        <v/>
      </c>
      <c r="AC4227" s="79" t="str">
        <f>IF(AND(OR(LEFT(TH!N4227,2)="15",LEFT(TH!O4227,2)="15"),TK!$E$7=TH!F4227),"x","")</f>
        <v/>
      </c>
      <c r="AD4227" s="79" t="str">
        <f>IF(AND(N4227="1521",MONTH(C4227)='BK-NL'!$M$11),"x","")</f>
        <v/>
      </c>
    </row>
    <row r="4228" spans="1:30" s="1304" customFormat="1" ht="16.5" customHeight="1">
      <c r="A4228" s="318" t="str">
        <f>IF(B4228&lt;&gt;"",IF(AND(B4228='[3]IN-TC'!$S$4,OR([3]TH!N3461="1111",[3]TH!O3461="1111")),[3]TH!D3461,""),"")</f>
        <v/>
      </c>
      <c r="B4228" s="60" t="str">
        <f t="shared" si="454"/>
        <v/>
      </c>
      <c r="C4228" s="974"/>
      <c r="D4228" s="974"/>
      <c r="E4228" s="974"/>
      <c r="F4228" s="76"/>
      <c r="G4228" s="975"/>
      <c r="H4228" s="759"/>
      <c r="I4228" s="1247"/>
      <c r="J4228" s="391"/>
      <c r="K4228" s="1247"/>
      <c r="L4228" s="1248"/>
      <c r="M4228" s="78"/>
      <c r="N4228" s="979"/>
      <c r="O4228" s="979"/>
      <c r="P4228" s="79" t="str">
        <f>IF(AND('331-CT'!$E$7=TH!H4228,OR(N4228="331",O4228="331")),"x","")</f>
        <v/>
      </c>
      <c r="Q4228" s="79" t="str">
        <f>IF(AND(B4228='111'!$L$11,OR($N4228=$Q$7,$O4228=$Q$7)),"x","")</f>
        <v/>
      </c>
      <c r="R4228" s="79" t="str">
        <f>IF(AND($N4228=$Q$7,$B4228&lt;'111'!$L$11),"x","")</f>
        <v/>
      </c>
      <c r="S4228" s="79" t="str">
        <f>IF(AND($O4228=$Q$7,$B4228&lt;'111'!$L$11),"x","")</f>
        <v/>
      </c>
      <c r="T4228" s="79" t="str">
        <f>IF(ISERROR(FIND('112'!$M$9,G4228,1)),"",IF((AND(FIND('112'!$M$9,G4228,1)&gt;=1,B4228='112'!$K$9,OR($N4228='112'!$I$6,$O4228='112'!$I$6))),"x",""))</f>
        <v/>
      </c>
      <c r="U4228" s="79" t="str">
        <f>IF(ISERROR(FIND('112'!$M$9,G4228,1)),"",IF((AND(LEFT(G4228,2)=LEFT('112'!$M$9,2),B4228&lt;'112'!$K$9,$N4228='112'!$I$6)),"x",""))</f>
        <v/>
      </c>
      <c r="V4228" s="79" t="str">
        <f>IF(ISERROR(FIND('112'!$M$9,G4228,1)),"",IF((AND(RIGHT(G4228,2)=RIGHT('112'!$M$9,2),B4228&lt;'112'!$K$9,$O4228='112'!$I$6)),"x",""))</f>
        <v/>
      </c>
      <c r="W4228" s="79" t="str">
        <f>IF(AND('341-CT'!$H$9=H4228,OR(LEFT(N4228,3)=$W$7,LEFT(O4228,3)=$W$7)),"x","")</f>
        <v/>
      </c>
      <c r="X4228" s="79" t="str">
        <f>IF(OR(TH!N4228=TH!$X$7,O4228=TH!$X$7),"x","")</f>
        <v/>
      </c>
      <c r="Y4228" s="79" t="str">
        <f>IF(AND(OR(N4228="131",O4228="131"),H4228='131-CT'!$H$9),"x","")</f>
        <v/>
      </c>
      <c r="Z4228" s="79"/>
      <c r="AA4228" s="79" t="str">
        <f>IF(AND(MONTH(E4228)='IN-NX'!$J$5,'IN-NX'!$D$7=D4228),"x","")</f>
        <v/>
      </c>
      <c r="AB4228" s="79" t="str">
        <f>IF(AND(OR(LEFT(TH!N4228,2)="15",LEFT(TH!O4228,2)="15"),LEFT(TH!O4228,3)&lt;&gt;"111",'152-CT'!$J$8=TH!F4228),"x","")</f>
        <v/>
      </c>
      <c r="AC4228" s="79" t="str">
        <f>IF(AND(OR(LEFT(TH!N4228,2)="15",LEFT(TH!O4228,2)="15"),TK!$E$7=TH!F4228),"x","")</f>
        <v/>
      </c>
      <c r="AD4228" s="79" t="str">
        <f>IF(AND(N4228="1521",MONTH(C4228)='BK-NL'!$M$11),"x","")</f>
        <v/>
      </c>
    </row>
    <row r="4229" spans="1:30" s="1304" customFormat="1" ht="16.5" customHeight="1">
      <c r="A4229" s="318" t="str">
        <f>IF(B4229&lt;&gt;"",IF(AND(B4229='[3]IN-TC'!$S$4,OR([3]TH!N3462="1111",[3]TH!O3462="1111")),[3]TH!D3462,""),"")</f>
        <v/>
      </c>
      <c r="B4229" s="60" t="str">
        <f t="shared" si="454"/>
        <v/>
      </c>
      <c r="C4229" s="974"/>
      <c r="D4229" s="974"/>
      <c r="E4229" s="974"/>
      <c r="F4229" s="76"/>
      <c r="G4229" s="975"/>
      <c r="H4229" s="759"/>
      <c r="I4229" s="1247"/>
      <c r="J4229" s="391"/>
      <c r="K4229" s="1247"/>
      <c r="L4229" s="1248"/>
      <c r="M4229" s="78"/>
      <c r="N4229" s="979"/>
      <c r="O4229" s="979"/>
      <c r="P4229" s="79" t="str">
        <f>IF(AND('331-CT'!$E$7=TH!H4229,OR(N4229="331",O4229="331")),"x","")</f>
        <v/>
      </c>
      <c r="Q4229" s="79" t="str">
        <f>IF(AND(B4229='111'!$L$11,OR($N4229=$Q$7,$O4229=$Q$7)),"x","")</f>
        <v/>
      </c>
      <c r="R4229" s="79" t="str">
        <f>IF(AND($N4229=$Q$7,$B4229&lt;'111'!$L$11),"x","")</f>
        <v/>
      </c>
      <c r="S4229" s="79" t="str">
        <f>IF(AND($O4229=$Q$7,$B4229&lt;'111'!$L$11),"x","")</f>
        <v/>
      </c>
      <c r="T4229" s="79" t="str">
        <f>IF(ISERROR(FIND('112'!$M$9,G4229,1)),"",IF((AND(FIND('112'!$M$9,G4229,1)&gt;=1,B4229='112'!$K$9,OR($N4229='112'!$I$6,$O4229='112'!$I$6))),"x",""))</f>
        <v/>
      </c>
      <c r="U4229" s="79" t="str">
        <f>IF(ISERROR(FIND('112'!$M$9,G4229,1)),"",IF((AND(LEFT(G4229,2)=LEFT('112'!$M$9,2),B4229&lt;'112'!$K$9,$N4229='112'!$I$6)),"x",""))</f>
        <v/>
      </c>
      <c r="V4229" s="79" t="str">
        <f>IF(ISERROR(FIND('112'!$M$9,G4229,1)),"",IF((AND(RIGHT(G4229,2)=RIGHT('112'!$M$9,2),B4229&lt;'112'!$K$9,$O4229='112'!$I$6)),"x",""))</f>
        <v/>
      </c>
      <c r="W4229" s="79" t="str">
        <f>IF(AND('341-CT'!$H$9=H4229,OR(LEFT(N4229,3)=$W$7,LEFT(O4229,3)=$W$7)),"x","")</f>
        <v/>
      </c>
      <c r="X4229" s="79" t="str">
        <f>IF(OR(TH!N4229=TH!$X$7,O4229=TH!$X$7),"x","")</f>
        <v/>
      </c>
      <c r="Y4229" s="79" t="str">
        <f>IF(AND(OR(N4229="131",O4229="131"),H4229='131-CT'!$H$9),"x","")</f>
        <v/>
      </c>
      <c r="Z4229" s="79"/>
      <c r="AA4229" s="79" t="str">
        <f>IF(AND(MONTH(E4229)='IN-NX'!$J$5,'IN-NX'!$D$7=D4229),"x","")</f>
        <v/>
      </c>
      <c r="AB4229" s="79" t="str">
        <f>IF(AND(OR(LEFT(TH!N4229,2)="15",LEFT(TH!O4229,2)="15"),LEFT(TH!O4229,3)&lt;&gt;"111",'152-CT'!$J$8=TH!F4229),"x","")</f>
        <v/>
      </c>
      <c r="AC4229" s="79" t="str">
        <f>IF(AND(OR(LEFT(TH!N4229,2)="15",LEFT(TH!O4229,2)="15"),TK!$E$7=TH!F4229),"x","")</f>
        <v/>
      </c>
      <c r="AD4229" s="79" t="str">
        <f>IF(AND(N4229="1521",MONTH(C4229)='BK-NL'!$M$11),"x","")</f>
        <v/>
      </c>
    </row>
    <row r="4230" spans="1:30" s="1304" customFormat="1" ht="16.5" customHeight="1">
      <c r="A4230" s="318" t="str">
        <f>IF(B4230&lt;&gt;"",IF(AND(B4230='[3]IN-TC'!$S$4,OR([3]TH!N3463="1111",[3]TH!O3463="1111")),[3]TH!D3463,""),"")</f>
        <v/>
      </c>
      <c r="B4230" s="60" t="str">
        <f t="shared" si="454"/>
        <v/>
      </c>
      <c r="C4230" s="974"/>
      <c r="D4230" s="974"/>
      <c r="E4230" s="974"/>
      <c r="F4230" s="975"/>
      <c r="G4230" s="975"/>
      <c r="H4230" s="759"/>
      <c r="I4230" s="1247"/>
      <c r="J4230" s="391"/>
      <c r="K4230" s="1247"/>
      <c r="L4230" s="1248"/>
      <c r="M4230" s="78"/>
      <c r="N4230" s="979"/>
      <c r="O4230" s="979"/>
      <c r="P4230" s="79" t="str">
        <f>IF(AND('331-CT'!$E$7=TH!H4230,OR(N4230="331",O4230="331")),"x","")</f>
        <v/>
      </c>
      <c r="Q4230" s="79" t="str">
        <f>IF(AND(B4230='111'!$L$11,OR($N4230=$Q$7,$O4230=$Q$7)),"x","")</f>
        <v/>
      </c>
      <c r="R4230" s="79" t="str">
        <f>IF(AND($N4230=$Q$7,$B4230&lt;'111'!$L$11),"x","")</f>
        <v/>
      </c>
      <c r="S4230" s="79" t="str">
        <f>IF(AND($O4230=$Q$7,$B4230&lt;'111'!$L$11),"x","")</f>
        <v/>
      </c>
      <c r="T4230" s="79" t="str">
        <f>IF(ISERROR(FIND('112'!$M$9,G4230,1)),"",IF((AND(FIND('112'!$M$9,G4230,1)&gt;=1,B4230='112'!$K$9,OR($N4230='112'!$I$6,$O4230='112'!$I$6))),"x",""))</f>
        <v/>
      </c>
      <c r="U4230" s="79" t="str">
        <f>IF(ISERROR(FIND('112'!$M$9,G4230,1)),"",IF((AND(LEFT(G4230,2)=LEFT('112'!$M$9,2),B4230&lt;'112'!$K$9,$N4230='112'!$I$6)),"x",""))</f>
        <v/>
      </c>
      <c r="V4230" s="79" t="str">
        <f>IF(ISERROR(FIND('112'!$M$9,G4230,1)),"",IF((AND(RIGHT(G4230,2)=RIGHT('112'!$M$9,2),B4230&lt;'112'!$K$9,$O4230='112'!$I$6)),"x",""))</f>
        <v/>
      </c>
      <c r="W4230" s="79" t="str">
        <f>IF(AND('341-CT'!$H$9=H4230,OR(LEFT(N4230,3)=$W$7,LEFT(O4230,3)=$W$7)),"x","")</f>
        <v/>
      </c>
      <c r="X4230" s="79" t="str">
        <f>IF(OR(TH!N4230=TH!$X$7,O4230=TH!$X$7),"x","")</f>
        <v/>
      </c>
      <c r="Y4230" s="79" t="str">
        <f>IF(AND(OR(N4230="131",O4230="131"),H4230='131-CT'!$H$9),"x","")</f>
        <v/>
      </c>
      <c r="Z4230" s="79"/>
      <c r="AA4230" s="79" t="str">
        <f>IF(AND(MONTH(E4230)='IN-NX'!$J$5,'IN-NX'!$D$7=D4230),"x","")</f>
        <v/>
      </c>
      <c r="AB4230" s="79" t="str">
        <f>IF(AND(OR(LEFT(TH!N4230,2)="15",LEFT(TH!O4230,2)="15"),LEFT(TH!O4230,3)&lt;&gt;"111",'152-CT'!$J$8=TH!F4230),"x","")</f>
        <v/>
      </c>
      <c r="AC4230" s="79" t="str">
        <f>IF(AND(OR(LEFT(TH!N4230,2)="15",LEFT(TH!O4230,2)="15"),TK!$E$7=TH!F4230),"x","")</f>
        <v/>
      </c>
      <c r="AD4230" s="79" t="str">
        <f>IF(AND(N4230="1521",MONTH(C4230)='BK-NL'!$M$11),"x","")</f>
        <v/>
      </c>
    </row>
    <row r="4231" spans="1:30" s="1304" customFormat="1" ht="16.5" customHeight="1">
      <c r="A4231" s="318" t="str">
        <f>IF(B4231&lt;&gt;"",IF(AND(B4231='[3]IN-TC'!$S$4,OR([3]TH!N3464="1111",[3]TH!O3464="1111")),[3]TH!D3464,""),"")</f>
        <v/>
      </c>
      <c r="B4231" s="60" t="str">
        <f t="shared" si="454"/>
        <v/>
      </c>
      <c r="C4231" s="974"/>
      <c r="D4231" s="974"/>
      <c r="E4231" s="974"/>
      <c r="F4231" s="975"/>
      <c r="G4231" s="975"/>
      <c r="H4231" s="759"/>
      <c r="I4231" s="1247"/>
      <c r="J4231" s="391"/>
      <c r="K4231" s="1247"/>
      <c r="L4231" s="1248"/>
      <c r="M4231" s="78"/>
      <c r="N4231" s="979"/>
      <c r="O4231" s="979"/>
      <c r="P4231" s="79" t="str">
        <f>IF(AND('331-CT'!$E$7=TH!H4231,OR(N4231="331",O4231="331")),"x","")</f>
        <v/>
      </c>
      <c r="Q4231" s="79" t="str">
        <f>IF(AND(B4231='111'!$L$11,OR($N4231=$Q$7,$O4231=$Q$7)),"x","")</f>
        <v/>
      </c>
      <c r="R4231" s="79" t="str">
        <f>IF(AND($N4231=$Q$7,$B4231&lt;'111'!$L$11),"x","")</f>
        <v/>
      </c>
      <c r="S4231" s="79" t="str">
        <f>IF(AND($O4231=$Q$7,$B4231&lt;'111'!$L$11),"x","")</f>
        <v/>
      </c>
      <c r="T4231" s="79" t="str">
        <f>IF(ISERROR(FIND('112'!$M$9,G4231,1)),"",IF((AND(FIND('112'!$M$9,G4231,1)&gt;=1,B4231='112'!$K$9,OR($N4231='112'!$I$6,$O4231='112'!$I$6))),"x",""))</f>
        <v/>
      </c>
      <c r="U4231" s="79" t="str">
        <f>IF(ISERROR(FIND('112'!$M$9,G4231,1)),"",IF((AND(LEFT(G4231,2)=LEFT('112'!$M$9,2),B4231&lt;'112'!$K$9,$N4231='112'!$I$6)),"x",""))</f>
        <v/>
      </c>
      <c r="V4231" s="79" t="str">
        <f>IF(ISERROR(FIND('112'!$M$9,G4231,1)),"",IF((AND(RIGHT(G4231,2)=RIGHT('112'!$M$9,2),B4231&lt;'112'!$K$9,$O4231='112'!$I$6)),"x",""))</f>
        <v/>
      </c>
      <c r="W4231" s="79" t="str">
        <f>IF(AND('341-CT'!$H$9=H4231,OR(LEFT(N4231,3)=$W$7,LEFT(O4231,3)=$W$7)),"x","")</f>
        <v/>
      </c>
      <c r="X4231" s="79" t="str">
        <f>IF(OR(TH!N4231=TH!$X$7,O4231=TH!$X$7),"x","")</f>
        <v/>
      </c>
      <c r="Y4231" s="79" t="str">
        <f>IF(AND(OR(N4231="131",O4231="131"),H4231='131-CT'!$H$9),"x","")</f>
        <v/>
      </c>
      <c r="Z4231" s="79"/>
      <c r="AA4231" s="79" t="str">
        <f>IF(AND(MONTH(E4231)='IN-NX'!$J$5,'IN-NX'!$D$7=D4231),"x","")</f>
        <v/>
      </c>
      <c r="AB4231" s="79" t="str">
        <f>IF(AND(OR(LEFT(TH!N4231,2)="15",LEFT(TH!O4231,2)="15"),LEFT(TH!O4231,3)&lt;&gt;"111",'152-CT'!$J$8=TH!F4231),"x","")</f>
        <v/>
      </c>
      <c r="AC4231" s="79" t="str">
        <f>IF(AND(OR(LEFT(TH!N4231,2)="15",LEFT(TH!O4231,2)="15"),TK!$E$7=TH!F4231),"x","")</f>
        <v/>
      </c>
      <c r="AD4231" s="79" t="str">
        <f>IF(AND(N4231="1521",MONTH(C4231)='BK-NL'!$M$11),"x","")</f>
        <v/>
      </c>
    </row>
    <row r="4232" spans="1:30" s="1304" customFormat="1" ht="16.5" customHeight="1">
      <c r="A4232" s="318" t="str">
        <f>IF(B4232&lt;&gt;"",IF(AND(B4232='[3]IN-TC'!$S$4,OR([3]TH!N3465="1111",[3]TH!O3465="1111")),[3]TH!D3465,""),"")</f>
        <v/>
      </c>
      <c r="B4232" s="60" t="str">
        <f t="shared" si="454"/>
        <v/>
      </c>
      <c r="C4232" s="974"/>
      <c r="D4232" s="974"/>
      <c r="E4232" s="974"/>
      <c r="F4232" s="975"/>
      <c r="G4232" s="975"/>
      <c r="H4232" s="759"/>
      <c r="I4232" s="1247"/>
      <c r="J4232" s="391"/>
      <c r="K4232" s="1247"/>
      <c r="L4232" s="1248"/>
      <c r="M4232" s="78"/>
      <c r="N4232" s="979"/>
      <c r="O4232" s="979"/>
      <c r="P4232" s="79" t="str">
        <f>IF(AND('331-CT'!$E$7=TH!H4232,OR(N4232="331",O4232="331")),"x","")</f>
        <v/>
      </c>
      <c r="Q4232" s="79" t="str">
        <f>IF(AND(B4232='111'!$L$11,OR($N4232=$Q$7,$O4232=$Q$7)),"x","")</f>
        <v/>
      </c>
      <c r="R4232" s="79" t="str">
        <f>IF(AND($N4232=$Q$7,$B4232&lt;'111'!$L$11),"x","")</f>
        <v/>
      </c>
      <c r="S4232" s="79" t="str">
        <f>IF(AND($O4232=$Q$7,$B4232&lt;'111'!$L$11),"x","")</f>
        <v/>
      </c>
      <c r="T4232" s="79" t="str">
        <f>IF(ISERROR(FIND('112'!$M$9,G4232,1)),"",IF((AND(FIND('112'!$M$9,G4232,1)&gt;=1,B4232='112'!$K$9,OR($N4232='112'!$I$6,$O4232='112'!$I$6))),"x",""))</f>
        <v/>
      </c>
      <c r="U4232" s="79" t="str">
        <f>IF(ISERROR(FIND('112'!$M$9,G4232,1)),"",IF((AND(LEFT(G4232,2)=LEFT('112'!$M$9,2),B4232&lt;'112'!$K$9,$N4232='112'!$I$6)),"x",""))</f>
        <v/>
      </c>
      <c r="V4232" s="79" t="str">
        <f>IF(ISERROR(FIND('112'!$M$9,G4232,1)),"",IF((AND(RIGHT(G4232,2)=RIGHT('112'!$M$9,2),B4232&lt;'112'!$K$9,$O4232='112'!$I$6)),"x",""))</f>
        <v/>
      </c>
      <c r="W4232" s="79" t="str">
        <f>IF(AND('341-CT'!$H$9=H4232,OR(LEFT(N4232,3)=$W$7,LEFT(O4232,3)=$W$7)),"x","")</f>
        <v/>
      </c>
      <c r="X4232" s="79" t="str">
        <f>IF(OR(TH!N4232=TH!$X$7,O4232=TH!$X$7),"x","")</f>
        <v/>
      </c>
      <c r="Y4232" s="79" t="str">
        <f>IF(AND(OR(N4232="131",O4232="131"),H4232='131-CT'!$H$9),"x","")</f>
        <v/>
      </c>
      <c r="Z4232" s="79"/>
      <c r="AA4232" s="79" t="str">
        <f>IF(AND(MONTH(E4232)='IN-NX'!$J$5,'IN-NX'!$D$7=D4232),"x","")</f>
        <v/>
      </c>
      <c r="AB4232" s="79" t="str">
        <f>IF(AND(OR(LEFT(TH!N4232,2)="15",LEFT(TH!O4232,2)="15"),LEFT(TH!O4232,3)&lt;&gt;"111",'152-CT'!$J$8=TH!F4232),"x","")</f>
        <v/>
      </c>
      <c r="AC4232" s="79" t="str">
        <f>IF(AND(OR(LEFT(TH!N4232,2)="15",LEFT(TH!O4232,2)="15"),TK!$E$7=TH!F4232),"x","")</f>
        <v/>
      </c>
      <c r="AD4232" s="79" t="str">
        <f>IF(AND(N4232="1521",MONTH(C4232)='BK-NL'!$M$11),"x","")</f>
        <v/>
      </c>
    </row>
    <row r="4233" spans="1:30" s="1304" customFormat="1" ht="16.5" customHeight="1">
      <c r="A4233" s="318" t="str">
        <f>IF(B4233&lt;&gt;"",IF(AND(B4233='[3]IN-TC'!$S$4,OR([3]TH!N3466="1111",[3]TH!O3466="1111")),[3]TH!D3466,""),"")</f>
        <v/>
      </c>
      <c r="B4233" s="60" t="str">
        <f t="shared" ref="B4233" si="455">IF(C4233&lt;&gt;"",MONTH(C4233),"")</f>
        <v/>
      </c>
      <c r="C4233" s="974"/>
      <c r="D4233" s="974"/>
      <c r="E4233" s="974"/>
      <c r="F4233" s="975"/>
      <c r="G4233" s="975"/>
      <c r="H4233" s="759"/>
      <c r="I4233" s="1247"/>
      <c r="J4233" s="391"/>
      <c r="K4233" s="1247"/>
      <c r="L4233" s="1248"/>
      <c r="M4233" s="78"/>
      <c r="N4233" s="979"/>
      <c r="O4233" s="979"/>
      <c r="P4233" s="79" t="str">
        <f>IF(AND('331-CT'!$E$7=TH!H4233,OR(N4233="331",O4233="331")),"x","")</f>
        <v/>
      </c>
      <c r="Q4233" s="79" t="str">
        <f>IF(AND(B4233='111'!$L$11,OR($N4233=$Q$7,$O4233=$Q$7)),"x","")</f>
        <v/>
      </c>
      <c r="R4233" s="79" t="str">
        <f>IF(AND($N4233=$Q$7,$B4233&lt;'111'!$L$11),"x","")</f>
        <v/>
      </c>
      <c r="S4233" s="79" t="str">
        <f>IF(AND($O4233=$Q$7,$B4233&lt;'111'!$L$11),"x","")</f>
        <v/>
      </c>
      <c r="T4233" s="79" t="str">
        <f>IF(ISERROR(FIND('112'!$M$9,G4233,1)),"",IF((AND(FIND('112'!$M$9,G4233,1)&gt;=1,B4233='112'!$K$9,OR($N4233='112'!$I$6,$O4233='112'!$I$6))),"x",""))</f>
        <v/>
      </c>
      <c r="U4233" s="79" t="str">
        <f>IF(ISERROR(FIND('112'!$M$9,G4233,1)),"",IF((AND(LEFT(G4233,2)=LEFT('112'!$M$9,2),B4233&lt;'112'!$K$9,$N4233='112'!$I$6)),"x",""))</f>
        <v/>
      </c>
      <c r="V4233" s="79" t="str">
        <f>IF(ISERROR(FIND('112'!$M$9,G4233,1)),"",IF((AND(RIGHT(G4233,2)=RIGHT('112'!$M$9,2),B4233&lt;'112'!$K$9,$O4233='112'!$I$6)),"x",""))</f>
        <v/>
      </c>
      <c r="W4233" s="79" t="str">
        <f>IF(AND('341-CT'!$H$9=H4233,OR(LEFT(N4233,3)=$W$7,LEFT(O4233,3)=$W$7)),"x","")</f>
        <v/>
      </c>
      <c r="X4233" s="79" t="str">
        <f>IF(OR(TH!N4233=TH!$X$7,O4233=TH!$X$7),"x","")</f>
        <v/>
      </c>
      <c r="Y4233" s="79" t="str">
        <f>IF(AND(OR(N4233="131",O4233="131"),H4233='131-CT'!$H$9),"x","")</f>
        <v/>
      </c>
      <c r="Z4233" s="79"/>
      <c r="AA4233" s="79" t="str">
        <f>IF(AND(MONTH(E4233)='IN-NX'!$J$5,'IN-NX'!$D$7=D4233),"x","")</f>
        <v/>
      </c>
      <c r="AB4233" s="79" t="str">
        <f>IF(AND(OR(LEFT(TH!N4233,2)="15",LEFT(TH!O4233,2)="15"),LEFT(TH!O4233,3)&lt;&gt;"111",'152-CT'!$J$8=TH!F4233),"x","")</f>
        <v/>
      </c>
      <c r="AC4233" s="79" t="str">
        <f>IF(AND(OR(LEFT(TH!N4233,2)="15",LEFT(TH!O4233,2)="15"),TK!$E$7=TH!F4233),"x","")</f>
        <v/>
      </c>
      <c r="AD4233" s="79" t="str">
        <f>IF(AND(N4233="1521",MONTH(C4233)='BK-NL'!$M$11),"x","")</f>
        <v/>
      </c>
    </row>
    <row r="4234" spans="1:30" s="1304" customFormat="1" ht="16.5" customHeight="1">
      <c r="A4234" s="318" t="str">
        <f>IF(B4234&lt;&gt;"",IF(AND(B4234='[3]IN-TC'!$S$4,OR([3]TH!N3467="1111",[3]TH!O3467="1111")),[3]TH!D3467,""),"")</f>
        <v/>
      </c>
      <c r="B4234" s="60" t="str">
        <f t="shared" si="454"/>
        <v/>
      </c>
      <c r="C4234" s="974"/>
      <c r="D4234" s="974"/>
      <c r="E4234" s="974"/>
      <c r="F4234" s="76"/>
      <c r="G4234" s="975"/>
      <c r="H4234" s="77"/>
      <c r="I4234" s="1247"/>
      <c r="J4234" s="391"/>
      <c r="K4234" s="1247"/>
      <c r="L4234" s="1248"/>
      <c r="M4234" s="78"/>
      <c r="N4234" s="979"/>
      <c r="O4234" s="979"/>
      <c r="P4234" s="79" t="str">
        <f>IF(AND('331-CT'!$E$7=TH!H4234,OR(N4234="331",O4234="331")),"x","")</f>
        <v/>
      </c>
      <c r="Q4234" s="79" t="str">
        <f>IF(AND(B4234='111'!$L$11,OR($N4234=$Q$7,$O4234=$Q$7)),"x","")</f>
        <v/>
      </c>
      <c r="R4234" s="79" t="str">
        <f>IF(AND($N4234=$Q$7,$B4234&lt;'111'!$L$11),"x","")</f>
        <v/>
      </c>
      <c r="S4234" s="79" t="str">
        <f>IF(AND($O4234=$Q$7,$B4234&lt;'111'!$L$11),"x","")</f>
        <v/>
      </c>
      <c r="T4234" s="79" t="str">
        <f>IF(ISERROR(FIND('112'!$M$9,G4234,1)),"",IF((AND(FIND('112'!$M$9,G4234,1)&gt;=1,B4234='112'!$K$9,OR($N4234='112'!$I$6,$O4234='112'!$I$6))),"x",""))</f>
        <v/>
      </c>
      <c r="U4234" s="79" t="str">
        <f>IF(ISERROR(FIND('112'!$M$9,G4234,1)),"",IF((AND(LEFT(G4234,2)=LEFT('112'!$M$9,2),B4234&lt;'112'!$K$9,$N4234='112'!$I$6)),"x",""))</f>
        <v/>
      </c>
      <c r="V4234" s="79" t="str">
        <f>IF(ISERROR(FIND('112'!$M$9,G4234,1)),"",IF((AND(RIGHT(G4234,2)=RIGHT('112'!$M$9,2),B4234&lt;'112'!$K$9,$O4234='112'!$I$6)),"x",""))</f>
        <v/>
      </c>
      <c r="W4234" s="79" t="str">
        <f>IF(AND('341-CT'!$H$9=H4234,OR(LEFT(N4234,3)=$W$7,LEFT(O4234,3)=$W$7)),"x","")</f>
        <v/>
      </c>
      <c r="X4234" s="79" t="str">
        <f>IF(OR(TH!N4234=TH!$X$7,O4234=TH!$X$7),"x","")</f>
        <v/>
      </c>
      <c r="Y4234" s="79" t="str">
        <f>IF(AND(OR(N4234="131",O4234="131"),H4234='131-CT'!$H$9),"x","")</f>
        <v/>
      </c>
      <c r="Z4234" s="79"/>
      <c r="AA4234" s="79" t="str">
        <f>IF(AND(MONTH(E4234)='IN-NX'!$J$5,'IN-NX'!$D$7=D4234),"x","")</f>
        <v/>
      </c>
      <c r="AB4234" s="79" t="str">
        <f>IF(AND(OR(LEFT(TH!N4234,2)="15",LEFT(TH!O4234,2)="15"),LEFT(TH!O4234,3)&lt;&gt;"111",'152-CT'!$J$8=TH!F4234),"x","")</f>
        <v/>
      </c>
      <c r="AC4234" s="79" t="str">
        <f>IF(AND(OR(LEFT(TH!N4234,2)="15",LEFT(TH!O4234,2)="15"),TK!$E$7=TH!F4234),"x","")</f>
        <v/>
      </c>
      <c r="AD4234" s="79" t="str">
        <f>IF(AND(N4234="1521",MONTH(C4234)='BK-NL'!$M$11),"x","")</f>
        <v/>
      </c>
    </row>
    <row r="4235" spans="1:30" s="1304" customFormat="1" ht="16.5" customHeight="1">
      <c r="A4235" s="318" t="str">
        <f>IF(B4235&lt;&gt;"",IF(AND(B4235='[3]IN-TC'!$S$4,OR([3]TH!N3468="1111",[3]TH!O3468="1111")),[3]TH!D3468,""),"")</f>
        <v/>
      </c>
      <c r="B4235" s="60" t="str">
        <f t="shared" si="454"/>
        <v/>
      </c>
      <c r="C4235" s="974"/>
      <c r="D4235" s="974"/>
      <c r="E4235" s="974"/>
      <c r="F4235" s="76"/>
      <c r="G4235" s="975"/>
      <c r="H4235" s="77"/>
      <c r="I4235" s="1247"/>
      <c r="J4235" s="391"/>
      <c r="K4235" s="1247"/>
      <c r="L4235" s="1248"/>
      <c r="M4235" s="78"/>
      <c r="N4235" s="979"/>
      <c r="O4235" s="979"/>
      <c r="P4235" s="79" t="str">
        <f>IF(AND('331-CT'!$E$7=TH!H4235,OR(N4235="331",O4235="331")),"x","")</f>
        <v/>
      </c>
      <c r="Q4235" s="79" t="str">
        <f>IF(AND(B4235='111'!$L$11,OR($N4235=$Q$7,$O4235=$Q$7)),"x","")</f>
        <v/>
      </c>
      <c r="R4235" s="79" t="str">
        <f>IF(AND($N4235=$Q$7,$B4235&lt;'111'!$L$11),"x","")</f>
        <v/>
      </c>
      <c r="S4235" s="79" t="str">
        <f>IF(AND($O4235=$Q$7,$B4235&lt;'111'!$L$11),"x","")</f>
        <v/>
      </c>
      <c r="T4235" s="79" t="str">
        <f>IF(ISERROR(FIND('112'!$M$9,G4235,1)),"",IF((AND(FIND('112'!$M$9,G4235,1)&gt;=1,B4235='112'!$K$9,OR($N4235='112'!$I$6,$O4235='112'!$I$6))),"x",""))</f>
        <v/>
      </c>
      <c r="U4235" s="79" t="str">
        <f>IF(ISERROR(FIND('112'!$M$9,G4235,1)),"",IF((AND(LEFT(G4235,2)=LEFT('112'!$M$9,2),B4235&lt;'112'!$K$9,$N4235='112'!$I$6)),"x",""))</f>
        <v/>
      </c>
      <c r="V4235" s="79" t="str">
        <f>IF(ISERROR(FIND('112'!$M$9,G4235,1)),"",IF((AND(RIGHT(G4235,2)=RIGHT('112'!$M$9,2),B4235&lt;'112'!$K$9,$O4235='112'!$I$6)),"x",""))</f>
        <v/>
      </c>
      <c r="W4235" s="79" t="str">
        <f>IF(AND('341-CT'!$H$9=H4235,OR(LEFT(N4235,3)=$W$7,LEFT(O4235,3)=$W$7)),"x","")</f>
        <v/>
      </c>
      <c r="X4235" s="79" t="str">
        <f>IF(OR(TH!N4235=TH!$X$7,O4235=TH!$X$7),"x","")</f>
        <v/>
      </c>
      <c r="Y4235" s="79" t="str">
        <f>IF(AND(OR(N4235="131",O4235="131"),H4235='131-CT'!$H$9),"x","")</f>
        <v/>
      </c>
      <c r="Z4235" s="79"/>
      <c r="AA4235" s="79" t="str">
        <f>IF(AND(MONTH(E4235)='IN-NX'!$J$5,'IN-NX'!$D$7=D4235),"x","")</f>
        <v/>
      </c>
      <c r="AB4235" s="79" t="str">
        <f>IF(AND(OR(LEFT(TH!N4235,2)="15",LEFT(TH!O4235,2)="15"),LEFT(TH!O4235,3)&lt;&gt;"111",'152-CT'!$J$8=TH!F4235),"x","")</f>
        <v/>
      </c>
      <c r="AC4235" s="79" t="str">
        <f>IF(AND(OR(LEFT(TH!N4235,2)="15",LEFT(TH!O4235,2)="15"),TK!$E$7=TH!F4235),"x","")</f>
        <v/>
      </c>
      <c r="AD4235" s="79" t="str">
        <f>IF(AND(N4235="1521",MONTH(C4235)='BK-NL'!$M$11),"x","")</f>
        <v/>
      </c>
    </row>
    <row r="4236" spans="1:30" s="1304" customFormat="1" ht="16.5" customHeight="1">
      <c r="A4236" s="318" t="str">
        <f>IF(B4236&lt;&gt;"",IF(AND(B4236='[3]IN-TC'!$S$4,OR([3]TH!N3469="1111",[3]TH!O3469="1111")),[3]TH!D3469,""),"")</f>
        <v/>
      </c>
      <c r="B4236" s="60" t="str">
        <f t="shared" si="454"/>
        <v/>
      </c>
      <c r="C4236" s="974"/>
      <c r="D4236" s="974"/>
      <c r="E4236" s="974"/>
      <c r="F4236" s="975"/>
      <c r="G4236" s="975"/>
      <c r="H4236" s="77"/>
      <c r="I4236" s="1247"/>
      <c r="J4236" s="391"/>
      <c r="K4236" s="1247"/>
      <c r="L4236" s="1248"/>
      <c r="M4236" s="78"/>
      <c r="N4236" s="979"/>
      <c r="O4236" s="979"/>
      <c r="P4236" s="79" t="str">
        <f>IF(AND('331-CT'!$E$7=TH!H4236,OR(N4236="331",O4236="331")),"x","")</f>
        <v/>
      </c>
      <c r="Q4236" s="79" t="str">
        <f>IF(AND(B4236='111'!$L$11,OR($N4236=$Q$7,$O4236=$Q$7)),"x","")</f>
        <v/>
      </c>
      <c r="R4236" s="79" t="str">
        <f>IF(AND($N4236=$Q$7,$B4236&lt;'111'!$L$11),"x","")</f>
        <v/>
      </c>
      <c r="S4236" s="79" t="str">
        <f>IF(AND($O4236=$Q$7,$B4236&lt;'111'!$L$11),"x","")</f>
        <v/>
      </c>
      <c r="T4236" s="79" t="str">
        <f>IF(ISERROR(FIND('112'!$M$9,G4236,1)),"",IF((AND(FIND('112'!$M$9,G4236,1)&gt;=1,B4236='112'!$K$9,OR($N4236='112'!$I$6,$O4236='112'!$I$6))),"x",""))</f>
        <v/>
      </c>
      <c r="U4236" s="79" t="str">
        <f>IF(ISERROR(FIND('112'!$M$9,G4236,1)),"",IF((AND(LEFT(G4236,2)=LEFT('112'!$M$9,2),B4236&lt;'112'!$K$9,$N4236='112'!$I$6)),"x",""))</f>
        <v/>
      </c>
      <c r="V4236" s="79" t="str">
        <f>IF(ISERROR(FIND('112'!$M$9,G4236,1)),"",IF((AND(RIGHT(G4236,2)=RIGHT('112'!$M$9,2),B4236&lt;'112'!$K$9,$O4236='112'!$I$6)),"x",""))</f>
        <v/>
      </c>
      <c r="W4236" s="79" t="str">
        <f>IF(AND('341-CT'!$H$9=H4236,OR(LEFT(N4236,3)=$W$7,LEFT(O4236,3)=$W$7)),"x","")</f>
        <v/>
      </c>
      <c r="X4236" s="79" t="str">
        <f>IF(OR(TH!N4236=TH!$X$7,O4236=TH!$X$7),"x","")</f>
        <v/>
      </c>
      <c r="Y4236" s="79" t="str">
        <f>IF(AND(OR(N4236="131",O4236="131"),H4236='131-CT'!$H$9),"x","")</f>
        <v/>
      </c>
      <c r="Z4236" s="79"/>
      <c r="AA4236" s="79" t="str">
        <f>IF(AND(MONTH(E4236)='IN-NX'!$J$5,'IN-NX'!$D$7=D4236),"x","")</f>
        <v/>
      </c>
      <c r="AB4236" s="79" t="str">
        <f>IF(AND(OR(LEFT(TH!N4236,2)="15",LEFT(TH!O4236,2)="15"),LEFT(TH!O4236,3)&lt;&gt;"111",'152-CT'!$J$8=TH!F4236),"x","")</f>
        <v/>
      </c>
      <c r="AC4236" s="79" t="str">
        <f>IF(AND(OR(LEFT(TH!N4236,2)="15",LEFT(TH!O4236,2)="15"),TK!$E$7=TH!F4236),"x","")</f>
        <v/>
      </c>
      <c r="AD4236" s="79" t="str">
        <f>IF(AND(N4236="1521",MONTH(C4236)='BK-NL'!$M$11),"x","")</f>
        <v/>
      </c>
    </row>
    <row r="4237" spans="1:30" s="1304" customFormat="1" ht="16.5" customHeight="1">
      <c r="A4237" s="318" t="str">
        <f>IF(B4237&lt;&gt;"",IF(AND(B4237='[3]IN-TC'!$S$4,OR([3]TH!N3470="1111",[3]TH!O3470="1111")),[3]TH!D3470,""),"")</f>
        <v/>
      </c>
      <c r="B4237" s="60" t="str">
        <f t="shared" si="454"/>
        <v/>
      </c>
      <c r="C4237" s="974"/>
      <c r="D4237" s="974"/>
      <c r="E4237" s="974"/>
      <c r="F4237" s="975"/>
      <c r="G4237" s="975"/>
      <c r="H4237" s="759"/>
      <c r="I4237" s="1247"/>
      <c r="J4237" s="391"/>
      <c r="K4237" s="1247"/>
      <c r="L4237" s="1248"/>
      <c r="M4237" s="78"/>
      <c r="N4237" s="979"/>
      <c r="O4237" s="979"/>
      <c r="P4237" s="79" t="str">
        <f>IF(AND('331-CT'!$E$7=TH!H4237,OR(N4237="331",O4237="331")),"x","")</f>
        <v/>
      </c>
      <c r="Q4237" s="79" t="str">
        <f>IF(AND(B4237='111'!$L$11,OR($N4237=$Q$7,$O4237=$Q$7)),"x","")</f>
        <v/>
      </c>
      <c r="R4237" s="79" t="str">
        <f>IF(AND($N4237=$Q$7,$B4237&lt;'111'!$L$11),"x","")</f>
        <v/>
      </c>
      <c r="S4237" s="79" t="str">
        <f>IF(AND($O4237=$Q$7,$B4237&lt;'111'!$L$11),"x","")</f>
        <v/>
      </c>
      <c r="T4237" s="79" t="str">
        <f>IF(ISERROR(FIND('112'!$M$9,G4237,1)),"",IF((AND(FIND('112'!$M$9,G4237,1)&gt;=1,B4237='112'!$K$9,OR($N4237='112'!$I$6,$O4237='112'!$I$6))),"x",""))</f>
        <v/>
      </c>
      <c r="U4237" s="79" t="str">
        <f>IF(ISERROR(FIND('112'!$M$9,G4237,1)),"",IF((AND(LEFT(G4237,2)=LEFT('112'!$M$9,2),B4237&lt;'112'!$K$9,$N4237='112'!$I$6)),"x",""))</f>
        <v/>
      </c>
      <c r="V4237" s="79" t="str">
        <f>IF(ISERROR(FIND('112'!$M$9,G4237,1)),"",IF((AND(RIGHT(G4237,2)=RIGHT('112'!$M$9,2),B4237&lt;'112'!$K$9,$O4237='112'!$I$6)),"x",""))</f>
        <v/>
      </c>
      <c r="W4237" s="79" t="str">
        <f>IF(AND('341-CT'!$H$9=H4237,OR(LEFT(N4237,3)=$W$7,LEFT(O4237,3)=$W$7)),"x","")</f>
        <v/>
      </c>
      <c r="X4237" s="79" t="str">
        <f>IF(OR(TH!N4237=TH!$X$7,O4237=TH!$X$7),"x","")</f>
        <v/>
      </c>
      <c r="Y4237" s="79" t="str">
        <f>IF(AND(OR(N4237="131",O4237="131"),H4237='131-CT'!$H$9),"x","")</f>
        <v/>
      </c>
      <c r="Z4237" s="79"/>
      <c r="AA4237" s="79" t="str">
        <f>IF(AND(MONTH(E4237)='IN-NX'!$J$5,'IN-NX'!$D$7=D4237),"x","")</f>
        <v/>
      </c>
      <c r="AB4237" s="79" t="str">
        <f>IF(AND(OR(LEFT(TH!N4237,2)="15",LEFT(TH!O4237,2)="15"),LEFT(TH!O4237,3)&lt;&gt;"111",'152-CT'!$J$8=TH!F4237),"x","")</f>
        <v/>
      </c>
      <c r="AC4237" s="79" t="str">
        <f>IF(AND(OR(LEFT(TH!N4237,2)="15",LEFT(TH!O4237,2)="15"),TK!$E$7=TH!F4237),"x","")</f>
        <v/>
      </c>
      <c r="AD4237" s="79" t="str">
        <f>IF(AND(N4237="1521",MONTH(C4237)='BK-NL'!$M$11),"x","")</f>
        <v/>
      </c>
    </row>
    <row r="4238" spans="1:30" s="1304" customFormat="1" ht="16.5" customHeight="1">
      <c r="A4238" s="318" t="str">
        <f>IF(B4238&lt;&gt;"",IF(AND(B4238='[3]IN-TC'!$S$4,OR([3]TH!N3471="1111",[3]TH!O3471="1111")),[3]TH!D3471,""),"")</f>
        <v/>
      </c>
      <c r="B4238" s="60" t="str">
        <f t="shared" ref="B4238" si="456">IF(C4238&lt;&gt;"",MONTH(C4238),"")</f>
        <v/>
      </c>
      <c r="C4238" s="974"/>
      <c r="D4238" s="974"/>
      <c r="E4238" s="974"/>
      <c r="F4238" s="975"/>
      <c r="G4238" s="975"/>
      <c r="H4238" s="759"/>
      <c r="I4238" s="1247"/>
      <c r="J4238" s="391"/>
      <c r="K4238" s="1247"/>
      <c r="L4238" s="1248"/>
      <c r="M4238" s="78"/>
      <c r="N4238" s="979"/>
      <c r="O4238" s="979"/>
      <c r="P4238" s="79" t="str">
        <f>IF(AND('331-CT'!$E$7=TH!H4238,OR(N4238="331",O4238="331")),"x","")</f>
        <v/>
      </c>
      <c r="Q4238" s="79" t="str">
        <f>IF(AND(B4238='111'!$L$11,OR($N4238=$Q$7,$O4238=$Q$7)),"x","")</f>
        <v/>
      </c>
      <c r="R4238" s="79" t="str">
        <f>IF(AND($N4238=$Q$7,$B4238&lt;'111'!$L$11),"x","")</f>
        <v/>
      </c>
      <c r="S4238" s="79" t="str">
        <f>IF(AND($O4238=$Q$7,$B4238&lt;'111'!$L$11),"x","")</f>
        <v/>
      </c>
      <c r="T4238" s="79" t="str">
        <f>IF(ISERROR(FIND('112'!$M$9,G4238,1)),"",IF((AND(FIND('112'!$M$9,G4238,1)&gt;=1,B4238='112'!$K$9,OR($N4238='112'!$I$6,$O4238='112'!$I$6))),"x",""))</f>
        <v/>
      </c>
      <c r="U4238" s="79" t="str">
        <f>IF(ISERROR(FIND('112'!$M$9,G4238,1)),"",IF((AND(LEFT(G4238,2)=LEFT('112'!$M$9,2),B4238&lt;'112'!$K$9,$N4238='112'!$I$6)),"x",""))</f>
        <v/>
      </c>
      <c r="V4238" s="79" t="str">
        <f>IF(ISERROR(FIND('112'!$M$9,G4238,1)),"",IF((AND(RIGHT(G4238,2)=RIGHT('112'!$M$9,2),B4238&lt;'112'!$K$9,$O4238='112'!$I$6)),"x",""))</f>
        <v/>
      </c>
      <c r="W4238" s="79" t="str">
        <f>IF(AND('341-CT'!$H$9=H4238,OR(LEFT(N4238,3)=$W$7,LEFT(O4238,3)=$W$7)),"x","")</f>
        <v/>
      </c>
      <c r="X4238" s="79" t="str">
        <f>IF(OR(TH!N4238=TH!$X$7,O4238=TH!$X$7),"x","")</f>
        <v/>
      </c>
      <c r="Y4238" s="79" t="str">
        <f>IF(AND(OR(N4238="131",O4238="131"),H4238='131-CT'!$H$9),"x","")</f>
        <v/>
      </c>
      <c r="Z4238" s="79"/>
      <c r="AA4238" s="79" t="str">
        <f>IF(AND(MONTH(E4238)='IN-NX'!$J$5,'IN-NX'!$D$7=D4238),"x","")</f>
        <v/>
      </c>
      <c r="AB4238" s="79" t="str">
        <f>IF(AND(OR(LEFT(TH!N4238,2)="15",LEFT(TH!O4238,2)="15"),LEFT(TH!O4238,3)&lt;&gt;"111",'152-CT'!$J$8=TH!F4238),"x","")</f>
        <v/>
      </c>
      <c r="AC4238" s="79" t="str">
        <f>IF(AND(OR(LEFT(TH!N4238,2)="15",LEFT(TH!O4238,2)="15"),TK!$E$7=TH!F4238),"x","")</f>
        <v/>
      </c>
      <c r="AD4238" s="79" t="str">
        <f>IF(AND(N4238="1521",MONTH(C4238)='BK-NL'!$M$11),"x","")</f>
        <v/>
      </c>
    </row>
    <row r="4239" spans="1:30" s="1304" customFormat="1" ht="16.5" customHeight="1">
      <c r="A4239" s="318" t="str">
        <f>IF(B4239&lt;&gt;"",IF(AND(B4239='[3]IN-TC'!$S$4,OR([3]TH!N3472="1111",[3]TH!O3472="1111")),[3]TH!D3472,""),"")</f>
        <v/>
      </c>
      <c r="B4239" s="60" t="str">
        <f t="shared" ref="B4239" si="457">IF(C4239&lt;&gt;"",MONTH(C4239),"")</f>
        <v/>
      </c>
      <c r="C4239" s="974"/>
      <c r="D4239" s="974"/>
      <c r="E4239" s="974"/>
      <c r="F4239" s="975"/>
      <c r="G4239" s="975"/>
      <c r="H4239" s="759"/>
      <c r="I4239" s="1247"/>
      <c r="J4239" s="391"/>
      <c r="K4239" s="1247"/>
      <c r="L4239" s="1248"/>
      <c r="M4239" s="78"/>
      <c r="N4239" s="979"/>
      <c r="O4239" s="979"/>
      <c r="P4239" s="79" t="str">
        <f>IF(AND('331-CT'!$E$7=TH!H4239,OR(N4239="331",O4239="331")),"x","")</f>
        <v/>
      </c>
      <c r="Q4239" s="79" t="str">
        <f>IF(AND(B4239='111'!$L$11,OR($N4239=$Q$7,$O4239=$Q$7)),"x","")</f>
        <v/>
      </c>
      <c r="R4239" s="79" t="str">
        <f>IF(AND($N4239=$Q$7,$B4239&lt;'111'!$L$11),"x","")</f>
        <v/>
      </c>
      <c r="S4239" s="79" t="str">
        <f>IF(AND($O4239=$Q$7,$B4239&lt;'111'!$L$11),"x","")</f>
        <v/>
      </c>
      <c r="T4239" s="79" t="str">
        <f>IF(ISERROR(FIND('112'!$M$9,G4239,1)),"",IF((AND(FIND('112'!$M$9,G4239,1)&gt;=1,B4239='112'!$K$9,OR($N4239='112'!$I$6,$O4239='112'!$I$6))),"x",""))</f>
        <v/>
      </c>
      <c r="U4239" s="79" t="str">
        <f>IF(ISERROR(FIND('112'!$M$9,G4239,1)),"",IF((AND(LEFT(G4239,2)=LEFT('112'!$M$9,2),B4239&lt;'112'!$K$9,$N4239='112'!$I$6)),"x",""))</f>
        <v/>
      </c>
      <c r="V4239" s="79" t="str">
        <f>IF(ISERROR(FIND('112'!$M$9,G4239,1)),"",IF((AND(RIGHT(G4239,2)=RIGHT('112'!$M$9,2),B4239&lt;'112'!$K$9,$O4239='112'!$I$6)),"x",""))</f>
        <v/>
      </c>
      <c r="W4239" s="79" t="str">
        <f>IF(AND('341-CT'!$H$9=H4239,OR(LEFT(N4239,3)=$W$7,LEFT(O4239,3)=$W$7)),"x","")</f>
        <v/>
      </c>
      <c r="X4239" s="79" t="str">
        <f>IF(OR(TH!N4239=TH!$X$7,O4239=TH!$X$7),"x","")</f>
        <v/>
      </c>
      <c r="Y4239" s="79" t="str">
        <f>IF(AND(OR(N4239="131",O4239="131"),H4239='131-CT'!$H$9),"x","")</f>
        <v/>
      </c>
      <c r="Z4239" s="79"/>
      <c r="AA4239" s="79" t="str">
        <f>IF(AND(MONTH(E4239)='IN-NX'!$J$5,'IN-NX'!$D$7=D4239),"x","")</f>
        <v/>
      </c>
      <c r="AB4239" s="79" t="str">
        <f>IF(AND(OR(LEFT(TH!N4239,2)="15",LEFT(TH!O4239,2)="15"),LEFT(TH!O4239,3)&lt;&gt;"111",'152-CT'!$J$8=TH!F4239),"x","")</f>
        <v/>
      </c>
      <c r="AC4239" s="79" t="str">
        <f>IF(AND(OR(LEFT(TH!N4239,2)="15",LEFT(TH!O4239,2)="15"),TK!$E$7=TH!F4239),"x","")</f>
        <v/>
      </c>
      <c r="AD4239" s="79" t="str">
        <f>IF(AND(N4239="1521",MONTH(C4239)='BK-NL'!$M$11),"x","")</f>
        <v/>
      </c>
    </row>
    <row r="4240" spans="1:30" s="1304" customFormat="1" ht="16.5" customHeight="1">
      <c r="A4240" s="318" t="str">
        <f>IF(B4240&lt;&gt;"",IF(AND(B4240='[3]IN-TC'!$S$4,OR([3]TH!N3473="1111",[3]TH!O3473="1111")),[3]TH!D3473,""),"")</f>
        <v/>
      </c>
      <c r="B4240" s="60" t="str">
        <f t="shared" si="454"/>
        <v/>
      </c>
      <c r="C4240" s="974"/>
      <c r="D4240" s="974"/>
      <c r="E4240" s="974"/>
      <c r="F4240" s="975"/>
      <c r="G4240" s="975"/>
      <c r="H4240" s="77"/>
      <c r="I4240" s="1247"/>
      <c r="J4240" s="391"/>
      <c r="K4240" s="1247"/>
      <c r="L4240" s="1248"/>
      <c r="M4240" s="78"/>
      <c r="N4240" s="979"/>
      <c r="O4240" s="979"/>
      <c r="P4240" s="79" t="str">
        <f>IF(AND('331-CT'!$E$7=TH!H4240,OR(N4240="331",O4240="331")),"x","")</f>
        <v/>
      </c>
      <c r="Q4240" s="79" t="str">
        <f>IF(AND(B4240='111'!$L$11,OR($N4240=$Q$7,$O4240=$Q$7)),"x","")</f>
        <v/>
      </c>
      <c r="R4240" s="79" t="str">
        <f>IF(AND($N4240=$Q$7,$B4240&lt;'111'!$L$11),"x","")</f>
        <v/>
      </c>
      <c r="S4240" s="79" t="str">
        <f>IF(AND($O4240=$Q$7,$B4240&lt;'111'!$L$11),"x","")</f>
        <v/>
      </c>
      <c r="T4240" s="79" t="str">
        <f>IF(ISERROR(FIND('112'!$M$9,G4240,1)),"",IF((AND(FIND('112'!$M$9,G4240,1)&gt;=1,B4240='112'!$K$9,OR($N4240='112'!$I$6,$O4240='112'!$I$6))),"x",""))</f>
        <v/>
      </c>
      <c r="U4240" s="79" t="str">
        <f>IF(ISERROR(FIND('112'!$M$9,G4240,1)),"",IF((AND(LEFT(G4240,2)=LEFT('112'!$M$9,2),B4240&lt;'112'!$K$9,$N4240='112'!$I$6)),"x",""))</f>
        <v/>
      </c>
      <c r="V4240" s="79" t="str">
        <f>IF(ISERROR(FIND('112'!$M$9,G4240,1)),"",IF((AND(RIGHT(G4240,2)=RIGHT('112'!$M$9,2),B4240&lt;'112'!$K$9,$O4240='112'!$I$6)),"x",""))</f>
        <v/>
      </c>
      <c r="W4240" s="79" t="str">
        <f>IF(AND('341-CT'!$H$9=H4240,OR(LEFT(N4240,3)=$W$7,LEFT(O4240,3)=$W$7)),"x","")</f>
        <v/>
      </c>
      <c r="X4240" s="79" t="str">
        <f>IF(OR(TH!N4240=TH!$X$7,O4240=TH!$X$7),"x","")</f>
        <v/>
      </c>
      <c r="Y4240" s="79" t="str">
        <f>IF(AND(OR(N4240="131",O4240="131"),H4240='131-CT'!$H$9),"x","")</f>
        <v/>
      </c>
      <c r="Z4240" s="79"/>
      <c r="AA4240" s="79" t="str">
        <f>IF(AND(MONTH(E4240)='IN-NX'!$J$5,'IN-NX'!$D$7=D4240),"x","")</f>
        <v/>
      </c>
      <c r="AB4240" s="79" t="str">
        <f>IF(AND(OR(LEFT(TH!N4240,2)="15",LEFT(TH!O4240,2)="15"),LEFT(TH!O4240,3)&lt;&gt;"111",'152-CT'!$J$8=TH!F4240),"x","")</f>
        <v/>
      </c>
      <c r="AC4240" s="79" t="str">
        <f>IF(AND(OR(LEFT(TH!N4240,2)="15",LEFT(TH!O4240,2)="15"),TK!$E$7=TH!F4240),"x","")</f>
        <v/>
      </c>
      <c r="AD4240" s="79" t="str">
        <f>IF(AND(N4240="1521",MONTH(C4240)='BK-NL'!$M$11),"x","")</f>
        <v/>
      </c>
    </row>
    <row r="4241" spans="1:30" s="1304" customFormat="1" ht="16.5" customHeight="1">
      <c r="A4241" s="318" t="str">
        <f>IF(B4241&lt;&gt;"",IF(AND(B4241='[3]IN-TC'!$S$4,OR([3]TH!N3474="1111",[3]TH!O3474="1111")),[3]TH!D3474,""),"")</f>
        <v/>
      </c>
      <c r="B4241" s="60" t="str">
        <f t="shared" si="454"/>
        <v/>
      </c>
      <c r="C4241" s="974"/>
      <c r="D4241" s="974"/>
      <c r="E4241" s="974"/>
      <c r="F4241" s="975"/>
      <c r="G4241" s="975"/>
      <c r="H4241" s="77"/>
      <c r="I4241" s="1247"/>
      <c r="J4241" s="391"/>
      <c r="K4241" s="1247"/>
      <c r="L4241" s="1248"/>
      <c r="M4241" s="78"/>
      <c r="N4241" s="979"/>
      <c r="O4241" s="979"/>
      <c r="P4241" s="79" t="str">
        <f>IF(AND('331-CT'!$E$7=TH!H4241,OR(N4241="331",O4241="331")),"x","")</f>
        <v/>
      </c>
      <c r="Q4241" s="79" t="str">
        <f>IF(AND(B4241='111'!$L$11,OR($N4241=$Q$7,$O4241=$Q$7)),"x","")</f>
        <v/>
      </c>
      <c r="R4241" s="79" t="str">
        <f>IF(AND($N4241=$Q$7,$B4241&lt;'111'!$L$11),"x","")</f>
        <v/>
      </c>
      <c r="S4241" s="79" t="str">
        <f>IF(AND($O4241=$Q$7,$B4241&lt;'111'!$L$11),"x","")</f>
        <v/>
      </c>
      <c r="T4241" s="79" t="str">
        <f>IF(ISERROR(FIND('112'!$M$9,G4241,1)),"",IF((AND(FIND('112'!$M$9,G4241,1)&gt;=1,B4241='112'!$K$9,OR($N4241='112'!$I$6,$O4241='112'!$I$6))),"x",""))</f>
        <v/>
      </c>
      <c r="U4241" s="79" t="str">
        <f>IF(ISERROR(FIND('112'!$M$9,G4241,1)),"",IF((AND(LEFT(G4241,2)=LEFT('112'!$M$9,2),B4241&lt;'112'!$K$9,$N4241='112'!$I$6)),"x",""))</f>
        <v/>
      </c>
      <c r="V4241" s="79" t="str">
        <f>IF(ISERROR(FIND('112'!$M$9,G4241,1)),"",IF((AND(RIGHT(G4241,2)=RIGHT('112'!$M$9,2),B4241&lt;'112'!$K$9,$O4241='112'!$I$6)),"x",""))</f>
        <v/>
      </c>
      <c r="W4241" s="79" t="str">
        <f>IF(AND('341-CT'!$H$9=H4241,OR(LEFT(N4241,3)=$W$7,LEFT(O4241,3)=$W$7)),"x","")</f>
        <v/>
      </c>
      <c r="X4241" s="79" t="str">
        <f>IF(OR(TH!N4241=TH!$X$7,O4241=TH!$X$7),"x","")</f>
        <v/>
      </c>
      <c r="Y4241" s="79" t="str">
        <f>IF(AND(OR(N4241="131",O4241="131"),H4241='131-CT'!$H$9),"x","")</f>
        <v/>
      </c>
      <c r="Z4241" s="79"/>
      <c r="AA4241" s="79" t="str">
        <f>IF(AND(MONTH(E4241)='IN-NX'!$J$5,'IN-NX'!$D$7=D4241),"x","")</f>
        <v/>
      </c>
      <c r="AB4241" s="79" t="str">
        <f>IF(AND(OR(LEFT(TH!N4241,2)="15",LEFT(TH!O4241,2)="15"),LEFT(TH!O4241,3)&lt;&gt;"111",'152-CT'!$J$8=TH!F4241),"x","")</f>
        <v/>
      </c>
      <c r="AC4241" s="79" t="str">
        <f>IF(AND(OR(LEFT(TH!N4241,2)="15",LEFT(TH!O4241,2)="15"),TK!$E$7=TH!F4241),"x","")</f>
        <v/>
      </c>
      <c r="AD4241" s="79" t="str">
        <f>IF(AND(N4241="1521",MONTH(C4241)='BK-NL'!$M$11),"x","")</f>
        <v/>
      </c>
    </row>
    <row r="4242" spans="1:30" s="1304" customFormat="1" ht="16.5" customHeight="1">
      <c r="A4242" s="318" t="str">
        <f>IF(B4242&lt;&gt;"",IF(AND(B4242='[3]IN-TC'!$S$4,OR([3]TH!N3475="1111",[3]TH!O3475="1111")),[3]TH!D3475,""),"")</f>
        <v/>
      </c>
      <c r="B4242" s="60" t="str">
        <f t="shared" ref="B4242" si="458">IF(C4242&lt;&gt;"",MONTH(C4242),"")</f>
        <v/>
      </c>
      <c r="C4242" s="974"/>
      <c r="D4242" s="974"/>
      <c r="E4242" s="974"/>
      <c r="F4242" s="975"/>
      <c r="G4242" s="975"/>
      <c r="H4242" s="77"/>
      <c r="I4242" s="1247"/>
      <c r="J4242" s="391"/>
      <c r="K4242" s="1247"/>
      <c r="L4242" s="1248"/>
      <c r="M4242" s="78"/>
      <c r="N4242" s="979"/>
      <c r="O4242" s="979"/>
      <c r="P4242" s="79" t="str">
        <f>IF(AND('331-CT'!$E$7=TH!H4242,OR(N4242="331",O4242="331")),"x","")</f>
        <v/>
      </c>
      <c r="Q4242" s="79" t="str">
        <f>IF(AND(B4242='111'!$L$11,OR($N4242=$Q$7,$O4242=$Q$7)),"x","")</f>
        <v/>
      </c>
      <c r="R4242" s="79" t="str">
        <f>IF(AND($N4242=$Q$7,$B4242&lt;'111'!$L$11),"x","")</f>
        <v/>
      </c>
      <c r="S4242" s="79" t="str">
        <f>IF(AND($O4242=$Q$7,$B4242&lt;'111'!$L$11),"x","")</f>
        <v/>
      </c>
      <c r="T4242" s="79" t="str">
        <f>IF(ISERROR(FIND('112'!$M$9,G4242,1)),"",IF((AND(FIND('112'!$M$9,G4242,1)&gt;=1,B4242='112'!$K$9,OR($N4242='112'!$I$6,$O4242='112'!$I$6))),"x",""))</f>
        <v/>
      </c>
      <c r="U4242" s="79" t="str">
        <f>IF(ISERROR(FIND('112'!$M$9,G4242,1)),"",IF((AND(LEFT(G4242,2)=LEFT('112'!$M$9,2),B4242&lt;'112'!$K$9,$N4242='112'!$I$6)),"x",""))</f>
        <v/>
      </c>
      <c r="V4242" s="79" t="str">
        <f>IF(ISERROR(FIND('112'!$M$9,G4242,1)),"",IF((AND(RIGHT(G4242,2)=RIGHT('112'!$M$9,2),B4242&lt;'112'!$K$9,$O4242='112'!$I$6)),"x",""))</f>
        <v/>
      </c>
      <c r="W4242" s="79" t="str">
        <f>IF(AND('341-CT'!$H$9=H4242,OR(LEFT(N4242,3)=$W$7,LEFT(O4242,3)=$W$7)),"x","")</f>
        <v/>
      </c>
      <c r="X4242" s="79" t="str">
        <f>IF(OR(TH!N4242=TH!$X$7,O4242=TH!$X$7),"x","")</f>
        <v/>
      </c>
      <c r="Y4242" s="79" t="str">
        <f>IF(AND(OR(N4242="131",O4242="131"),H4242='131-CT'!$H$9),"x","")</f>
        <v/>
      </c>
      <c r="Z4242" s="79"/>
      <c r="AA4242" s="79" t="str">
        <f>IF(AND(MONTH(E4242)='IN-NX'!$J$5,'IN-NX'!$D$7=D4242),"x","")</f>
        <v/>
      </c>
      <c r="AB4242" s="79" t="str">
        <f>IF(AND(OR(LEFT(TH!N4242,2)="15",LEFT(TH!O4242,2)="15"),LEFT(TH!O4242,3)&lt;&gt;"111",'152-CT'!$J$8=TH!F4242),"x","")</f>
        <v/>
      </c>
      <c r="AC4242" s="79" t="str">
        <f>IF(AND(OR(LEFT(TH!N4242,2)="15",LEFT(TH!O4242,2)="15"),TK!$E$7=TH!F4242),"x","")</f>
        <v/>
      </c>
      <c r="AD4242" s="79" t="str">
        <f>IF(AND(N4242="1521",MONTH(C4242)='BK-NL'!$M$11),"x","")</f>
        <v/>
      </c>
    </row>
    <row r="4243" spans="1:30" s="1304" customFormat="1" ht="16.5" customHeight="1">
      <c r="A4243" s="318" t="str">
        <f>IF(B4243&lt;&gt;"",IF(AND(B4243='[3]IN-TC'!$S$4,OR([3]TH!N3476="1111",[3]TH!O3476="1111")),[3]TH!D3476,""),"")</f>
        <v/>
      </c>
      <c r="B4243" s="60" t="str">
        <f t="shared" si="454"/>
        <v/>
      </c>
      <c r="C4243" s="974"/>
      <c r="D4243" s="974"/>
      <c r="E4243" s="974"/>
      <c r="F4243" s="975"/>
      <c r="G4243" s="975"/>
      <c r="H4243" s="759"/>
      <c r="I4243" s="1247"/>
      <c r="J4243" s="391"/>
      <c r="K4243" s="1247"/>
      <c r="L4243" s="1248"/>
      <c r="M4243" s="78"/>
      <c r="N4243" s="979"/>
      <c r="O4243" s="979"/>
      <c r="P4243" s="79" t="str">
        <f>IF(AND('331-CT'!$E$7=TH!H4243,OR(N4243="331",O4243="331")),"x","")</f>
        <v/>
      </c>
      <c r="Q4243" s="79" t="str">
        <f>IF(AND(B4243='111'!$L$11,OR($N4243=$Q$7,$O4243=$Q$7)),"x","")</f>
        <v/>
      </c>
      <c r="R4243" s="79" t="str">
        <f>IF(AND($N4243=$Q$7,$B4243&lt;'111'!$L$11),"x","")</f>
        <v/>
      </c>
      <c r="S4243" s="79" t="str">
        <f>IF(AND($O4243=$Q$7,$B4243&lt;'111'!$L$11),"x","")</f>
        <v/>
      </c>
      <c r="T4243" s="79" t="str">
        <f>IF(ISERROR(FIND('112'!$M$9,G4243,1)),"",IF((AND(FIND('112'!$M$9,G4243,1)&gt;=1,B4243='112'!$K$9,OR($N4243='112'!$I$6,$O4243='112'!$I$6))),"x",""))</f>
        <v/>
      </c>
      <c r="U4243" s="79" t="str">
        <f>IF(ISERROR(FIND('112'!$M$9,G4243,1)),"",IF((AND(LEFT(G4243,2)=LEFT('112'!$M$9,2),B4243&lt;'112'!$K$9,$N4243='112'!$I$6)),"x",""))</f>
        <v/>
      </c>
      <c r="V4243" s="79" t="str">
        <f>IF(ISERROR(FIND('112'!$M$9,G4243,1)),"",IF((AND(RIGHT(G4243,2)=RIGHT('112'!$M$9,2),B4243&lt;'112'!$K$9,$O4243='112'!$I$6)),"x",""))</f>
        <v/>
      </c>
      <c r="W4243" s="79" t="str">
        <f>IF(AND('341-CT'!$H$9=H4243,OR(LEFT(N4243,3)=$W$7,LEFT(O4243,3)=$W$7)),"x","")</f>
        <v/>
      </c>
      <c r="X4243" s="79" t="str">
        <f>IF(OR(TH!N4243=TH!$X$7,O4243=TH!$X$7),"x","")</f>
        <v/>
      </c>
      <c r="Y4243" s="79" t="str">
        <f>IF(AND(OR(N4243="131",O4243="131"),H4243='131-CT'!$H$9),"x","")</f>
        <v/>
      </c>
      <c r="Z4243" s="79"/>
      <c r="AA4243" s="79" t="str">
        <f>IF(AND(MONTH(E4243)='IN-NX'!$J$5,'IN-NX'!$D$7=D4243),"x","")</f>
        <v/>
      </c>
      <c r="AB4243" s="79" t="str">
        <f>IF(AND(OR(LEFT(TH!N4243,2)="15",LEFT(TH!O4243,2)="15"),LEFT(TH!O4243,3)&lt;&gt;"111",'152-CT'!$J$8=TH!F4243),"x","")</f>
        <v/>
      </c>
      <c r="AC4243" s="79" t="str">
        <f>IF(AND(OR(LEFT(TH!N4243,2)="15",LEFT(TH!O4243,2)="15"),TK!$E$7=TH!F4243),"x","")</f>
        <v/>
      </c>
      <c r="AD4243" s="79" t="str">
        <f>IF(AND(N4243="1521",MONTH(C4243)='BK-NL'!$M$11),"x","")</f>
        <v/>
      </c>
    </row>
    <row r="4244" spans="1:30" s="1304" customFormat="1" ht="16.5" customHeight="1">
      <c r="A4244" s="318" t="str">
        <f>IF(B4244&lt;&gt;"",IF(AND(B4244='[3]IN-TC'!$S$4,OR([3]TH!N3477="1111",[3]TH!O3477="1111")),[3]TH!D3477,""),"")</f>
        <v/>
      </c>
      <c r="B4244" s="60" t="str">
        <f t="shared" si="454"/>
        <v/>
      </c>
      <c r="C4244" s="974"/>
      <c r="D4244" s="974"/>
      <c r="E4244" s="974"/>
      <c r="F4244" s="975"/>
      <c r="G4244" s="975"/>
      <c r="H4244" s="77"/>
      <c r="I4244" s="1247"/>
      <c r="J4244" s="391"/>
      <c r="K4244" s="1247"/>
      <c r="L4244" s="1248"/>
      <c r="M4244" s="78"/>
      <c r="N4244" s="979"/>
      <c r="O4244" s="979"/>
      <c r="P4244" s="79" t="str">
        <f>IF(AND('331-CT'!$E$7=TH!H4244,OR(N4244="331",O4244="331")),"x","")</f>
        <v/>
      </c>
      <c r="Q4244" s="79" t="str">
        <f>IF(AND(B4244='111'!$L$11,OR($N4244=$Q$7,$O4244=$Q$7)),"x","")</f>
        <v/>
      </c>
      <c r="R4244" s="79" t="str">
        <f>IF(AND($N4244=$Q$7,$B4244&lt;'111'!$L$11),"x","")</f>
        <v/>
      </c>
      <c r="S4244" s="79" t="str">
        <f>IF(AND($O4244=$Q$7,$B4244&lt;'111'!$L$11),"x","")</f>
        <v/>
      </c>
      <c r="T4244" s="79" t="str">
        <f>IF(ISERROR(FIND('112'!$M$9,G4244,1)),"",IF((AND(FIND('112'!$M$9,G4244,1)&gt;=1,B4244='112'!$K$9,OR($N4244='112'!$I$6,$O4244='112'!$I$6))),"x",""))</f>
        <v/>
      </c>
      <c r="U4244" s="79" t="str">
        <f>IF(ISERROR(FIND('112'!$M$9,G4244,1)),"",IF((AND(LEFT(G4244,2)=LEFT('112'!$M$9,2),B4244&lt;'112'!$K$9,$N4244='112'!$I$6)),"x",""))</f>
        <v/>
      </c>
      <c r="V4244" s="79" t="str">
        <f>IF(ISERROR(FIND('112'!$M$9,G4244,1)),"",IF((AND(RIGHT(G4244,2)=RIGHT('112'!$M$9,2),B4244&lt;'112'!$K$9,$O4244='112'!$I$6)),"x",""))</f>
        <v/>
      </c>
      <c r="W4244" s="79" t="str">
        <f>IF(AND('341-CT'!$H$9=H4244,OR(LEFT(N4244,3)=$W$7,LEFT(O4244,3)=$W$7)),"x","")</f>
        <v/>
      </c>
      <c r="X4244" s="79" t="str">
        <f>IF(OR(TH!N4244=TH!$X$7,O4244=TH!$X$7),"x","")</f>
        <v/>
      </c>
      <c r="Y4244" s="79" t="str">
        <f>IF(AND(OR(N4244="131",O4244="131"),H4244='131-CT'!$H$9),"x","")</f>
        <v/>
      </c>
      <c r="Z4244" s="79"/>
      <c r="AA4244" s="79" t="str">
        <f>IF(AND(MONTH(E4244)='IN-NX'!$J$5,'IN-NX'!$D$7=D4244),"x","")</f>
        <v/>
      </c>
      <c r="AB4244" s="79" t="str">
        <f>IF(AND(OR(LEFT(TH!N4244,2)="15",LEFT(TH!O4244,2)="15"),LEFT(TH!O4244,3)&lt;&gt;"111",'152-CT'!$J$8=TH!F4244),"x","")</f>
        <v/>
      </c>
      <c r="AC4244" s="79" t="str">
        <f>IF(AND(OR(LEFT(TH!N4244,2)="15",LEFT(TH!O4244,2)="15"),TK!$E$7=TH!F4244),"x","")</f>
        <v/>
      </c>
      <c r="AD4244" s="79" t="str">
        <f>IF(AND(N4244="1521",MONTH(C4244)='BK-NL'!$M$11),"x","")</f>
        <v/>
      </c>
    </row>
    <row r="4245" spans="1:30" s="1304" customFormat="1" ht="16.5" customHeight="1">
      <c r="A4245" s="318" t="str">
        <f>IF(B4245&lt;&gt;"",IF(AND(B4245='[3]IN-TC'!$S$4,OR([3]TH!N3478="1111",[3]TH!O3478="1111")),[3]TH!D3478,""),"")</f>
        <v/>
      </c>
      <c r="B4245" s="60" t="str">
        <f t="shared" si="454"/>
        <v/>
      </c>
      <c r="C4245" s="974"/>
      <c r="D4245" s="974"/>
      <c r="E4245" s="974"/>
      <c r="F4245" s="975"/>
      <c r="G4245" s="975"/>
      <c r="H4245" s="77"/>
      <c r="I4245" s="1247"/>
      <c r="J4245" s="391"/>
      <c r="K4245" s="1247"/>
      <c r="L4245" s="1248"/>
      <c r="M4245" s="78"/>
      <c r="N4245" s="979"/>
      <c r="O4245" s="979"/>
      <c r="P4245" s="79" t="str">
        <f>IF(AND('331-CT'!$E$7=TH!H4245,OR(N4245="331",O4245="331")),"x","")</f>
        <v/>
      </c>
      <c r="Q4245" s="79" t="str">
        <f>IF(AND(B4245='111'!$L$11,OR($N4245=$Q$7,$O4245=$Q$7)),"x","")</f>
        <v/>
      </c>
      <c r="R4245" s="79" t="str">
        <f>IF(AND($N4245=$Q$7,$B4245&lt;'111'!$L$11),"x","")</f>
        <v/>
      </c>
      <c r="S4245" s="79" t="str">
        <f>IF(AND($O4245=$Q$7,$B4245&lt;'111'!$L$11),"x","")</f>
        <v/>
      </c>
      <c r="T4245" s="79" t="str">
        <f>IF(ISERROR(FIND('112'!$M$9,G4245,1)),"",IF((AND(FIND('112'!$M$9,G4245,1)&gt;=1,B4245='112'!$K$9,OR($N4245='112'!$I$6,$O4245='112'!$I$6))),"x",""))</f>
        <v/>
      </c>
      <c r="U4245" s="79" t="str">
        <f>IF(ISERROR(FIND('112'!$M$9,G4245,1)),"",IF((AND(LEFT(G4245,2)=LEFT('112'!$M$9,2),B4245&lt;'112'!$K$9,$N4245='112'!$I$6)),"x",""))</f>
        <v/>
      </c>
      <c r="V4245" s="79" t="str">
        <f>IF(ISERROR(FIND('112'!$M$9,G4245,1)),"",IF((AND(RIGHT(G4245,2)=RIGHT('112'!$M$9,2),B4245&lt;'112'!$K$9,$O4245='112'!$I$6)),"x",""))</f>
        <v/>
      </c>
      <c r="W4245" s="79" t="str">
        <f>IF(AND('341-CT'!$H$9=H4245,OR(LEFT(N4245,3)=$W$7,LEFT(O4245,3)=$W$7)),"x","")</f>
        <v/>
      </c>
      <c r="X4245" s="79" t="str">
        <f>IF(OR(TH!N4245=TH!$X$7,O4245=TH!$X$7),"x","")</f>
        <v/>
      </c>
      <c r="Y4245" s="79" t="str">
        <f>IF(AND(OR(N4245="131",O4245="131"),H4245='131-CT'!$H$9),"x","")</f>
        <v/>
      </c>
      <c r="Z4245" s="79"/>
      <c r="AA4245" s="79" t="str">
        <f>IF(AND(MONTH(E4245)='IN-NX'!$J$5,'IN-NX'!$D$7=D4245),"x","")</f>
        <v/>
      </c>
      <c r="AB4245" s="79" t="str">
        <f>IF(AND(OR(LEFT(TH!N4245,2)="15",LEFT(TH!O4245,2)="15"),LEFT(TH!O4245,3)&lt;&gt;"111",'152-CT'!$J$8=TH!F4245),"x","")</f>
        <v/>
      </c>
      <c r="AC4245" s="79" t="str">
        <f>IF(AND(OR(LEFT(TH!N4245,2)="15",LEFT(TH!O4245,2)="15"),TK!$E$7=TH!F4245),"x","")</f>
        <v/>
      </c>
      <c r="AD4245" s="79" t="str">
        <f>IF(AND(N4245="1521",MONTH(C4245)='BK-NL'!$M$11),"x","")</f>
        <v/>
      </c>
    </row>
    <row r="4246" spans="1:30" s="1304" customFormat="1" ht="16.5" customHeight="1">
      <c r="A4246" s="318" t="str">
        <f>IF(B4246&lt;&gt;"",IF(AND(B4246='[3]IN-TC'!$S$4,OR([3]TH!N3479="1111",[3]TH!O3479="1111")),[3]TH!D3479,""),"")</f>
        <v/>
      </c>
      <c r="B4246" s="60" t="str">
        <f t="shared" ref="B4246:B4252" si="459">IF(C4246&lt;&gt;"",MONTH(C4246),"")</f>
        <v/>
      </c>
      <c r="C4246" s="974"/>
      <c r="D4246" s="974"/>
      <c r="E4246" s="974"/>
      <c r="F4246" s="975"/>
      <c r="G4246" s="975"/>
      <c r="H4246" s="77"/>
      <c r="I4246" s="1247"/>
      <c r="J4246" s="391"/>
      <c r="K4246" s="1247"/>
      <c r="L4246" s="1248"/>
      <c r="M4246" s="78"/>
      <c r="N4246" s="979"/>
      <c r="O4246" s="979"/>
      <c r="P4246" s="79" t="str">
        <f>IF(AND('331-CT'!$E$7=TH!H4246,OR(N4246="331",O4246="331")),"x","")</f>
        <v/>
      </c>
      <c r="Q4246" s="79" t="str">
        <f>IF(AND(B4246='111'!$L$11,OR($N4246=$Q$7,$O4246=$Q$7)),"x","")</f>
        <v/>
      </c>
      <c r="R4246" s="79" t="str">
        <f>IF(AND($N4246=$Q$7,$B4246&lt;'111'!$L$11),"x","")</f>
        <v/>
      </c>
      <c r="S4246" s="79" t="str">
        <f>IF(AND($O4246=$Q$7,$B4246&lt;'111'!$L$11),"x","")</f>
        <v/>
      </c>
      <c r="T4246" s="79" t="str">
        <f>IF(ISERROR(FIND('112'!$M$9,G4246,1)),"",IF((AND(FIND('112'!$M$9,G4246,1)&gt;=1,B4246='112'!$K$9,OR($N4246='112'!$I$6,$O4246='112'!$I$6))),"x",""))</f>
        <v/>
      </c>
      <c r="U4246" s="79" t="str">
        <f>IF(ISERROR(FIND('112'!$M$9,G4246,1)),"",IF((AND(LEFT(G4246,2)=LEFT('112'!$M$9,2),B4246&lt;'112'!$K$9,$N4246='112'!$I$6)),"x",""))</f>
        <v/>
      </c>
      <c r="V4246" s="79" t="str">
        <f>IF(ISERROR(FIND('112'!$M$9,G4246,1)),"",IF((AND(RIGHT(G4246,2)=RIGHT('112'!$M$9,2),B4246&lt;'112'!$K$9,$O4246='112'!$I$6)),"x",""))</f>
        <v/>
      </c>
      <c r="W4246" s="79" t="str">
        <f>IF(AND('341-CT'!$H$9=H4246,OR(LEFT(N4246,3)=$W$7,LEFT(O4246,3)=$W$7)),"x","")</f>
        <v/>
      </c>
      <c r="X4246" s="79" t="str">
        <f>IF(OR(TH!N4246=TH!$X$7,O4246=TH!$X$7),"x","")</f>
        <v/>
      </c>
      <c r="Y4246" s="79" t="str">
        <f>IF(AND(OR(N4246="131",O4246="131"),H4246='131-CT'!$H$9),"x","")</f>
        <v/>
      </c>
      <c r="Z4246" s="79"/>
      <c r="AA4246" s="79" t="str">
        <f>IF(AND(MONTH(E4246)='IN-NX'!$J$5,'IN-NX'!$D$7=D4246),"x","")</f>
        <v/>
      </c>
      <c r="AB4246" s="79" t="str">
        <f>IF(AND(OR(LEFT(TH!N4246,2)="15",LEFT(TH!O4246,2)="15"),LEFT(TH!O4246,3)&lt;&gt;"111",'152-CT'!$J$8=TH!F4246),"x","")</f>
        <v/>
      </c>
      <c r="AC4246" s="79" t="str">
        <f>IF(AND(OR(LEFT(TH!N4246,2)="15",LEFT(TH!O4246,2)="15"),TK!$E$7=TH!F4246),"x","")</f>
        <v/>
      </c>
      <c r="AD4246" s="79" t="str">
        <f>IF(AND(N4246="1521",MONTH(C4246)='BK-NL'!$M$11),"x","")</f>
        <v/>
      </c>
    </row>
    <row r="4247" spans="1:30" s="1304" customFormat="1" ht="16.5" customHeight="1">
      <c r="A4247" s="318" t="str">
        <f>IF(B4247&lt;&gt;"",IF(AND(B4247='[3]IN-TC'!$S$4,OR([3]TH!N3480="1111",[3]TH!O3480="1111")),[3]TH!D3480,""),"")</f>
        <v/>
      </c>
      <c r="B4247" s="60" t="str">
        <f t="shared" si="459"/>
        <v/>
      </c>
      <c r="C4247" s="974"/>
      <c r="D4247" s="974"/>
      <c r="E4247" s="974"/>
      <c r="F4247" s="975"/>
      <c r="G4247" s="975"/>
      <c r="H4247" s="759"/>
      <c r="I4247" s="1247"/>
      <c r="J4247" s="391"/>
      <c r="K4247" s="1247"/>
      <c r="L4247" s="1248"/>
      <c r="M4247" s="78"/>
      <c r="N4247" s="979"/>
      <c r="O4247" s="979"/>
      <c r="P4247" s="79" t="str">
        <f>IF(AND('331-CT'!$E$7=TH!H4247,OR(N4247="331",O4247="331")),"x","")</f>
        <v/>
      </c>
      <c r="Q4247" s="79" t="str">
        <f>IF(AND(B4247='111'!$L$11,OR($N4247=$Q$7,$O4247=$Q$7)),"x","")</f>
        <v/>
      </c>
      <c r="R4247" s="79" t="str">
        <f>IF(AND($N4247=$Q$7,$B4247&lt;'111'!$L$11),"x","")</f>
        <v/>
      </c>
      <c r="S4247" s="79" t="str">
        <f>IF(AND($O4247=$Q$7,$B4247&lt;'111'!$L$11),"x","")</f>
        <v/>
      </c>
      <c r="T4247" s="79" t="str">
        <f>IF(ISERROR(FIND('112'!$M$9,G4247,1)),"",IF((AND(FIND('112'!$M$9,G4247,1)&gt;=1,B4247='112'!$K$9,OR($N4247='112'!$I$6,$O4247='112'!$I$6))),"x",""))</f>
        <v/>
      </c>
      <c r="U4247" s="79" t="str">
        <f>IF(ISERROR(FIND('112'!$M$9,G4247,1)),"",IF((AND(LEFT(G4247,2)=LEFT('112'!$M$9,2),B4247&lt;'112'!$K$9,$N4247='112'!$I$6)),"x",""))</f>
        <v/>
      </c>
      <c r="V4247" s="79" t="str">
        <f>IF(ISERROR(FIND('112'!$M$9,G4247,1)),"",IF((AND(RIGHT(G4247,2)=RIGHT('112'!$M$9,2),B4247&lt;'112'!$K$9,$O4247='112'!$I$6)),"x",""))</f>
        <v/>
      </c>
      <c r="W4247" s="79" t="str">
        <f>IF(AND('341-CT'!$H$9=H4247,OR(LEFT(N4247,3)=$W$7,LEFT(O4247,3)=$W$7)),"x","")</f>
        <v/>
      </c>
      <c r="X4247" s="79" t="str">
        <f>IF(OR(TH!N4247=TH!$X$7,O4247=TH!$X$7),"x","")</f>
        <v/>
      </c>
      <c r="Y4247" s="79" t="str">
        <f>IF(AND(OR(N4247="131",O4247="131"),H4247='131-CT'!$H$9),"x","")</f>
        <v/>
      </c>
      <c r="Z4247" s="79"/>
      <c r="AA4247" s="79" t="str">
        <f>IF(AND(MONTH(E4247)='IN-NX'!$J$5,'IN-NX'!$D$7=D4247),"x","")</f>
        <v/>
      </c>
      <c r="AB4247" s="79" t="str">
        <f>IF(AND(OR(LEFT(TH!N4247,2)="15",LEFT(TH!O4247,2)="15"),LEFT(TH!O4247,3)&lt;&gt;"111",'152-CT'!$J$8=TH!F4247),"x","")</f>
        <v/>
      </c>
      <c r="AC4247" s="79" t="str">
        <f>IF(AND(OR(LEFT(TH!N4247,2)="15",LEFT(TH!O4247,2)="15"),TK!$E$7=TH!F4247),"x","")</f>
        <v/>
      </c>
      <c r="AD4247" s="79" t="str">
        <f>IF(AND(N4247="1521",MONTH(C4247)='BK-NL'!$M$11),"x","")</f>
        <v/>
      </c>
    </row>
    <row r="4248" spans="1:30" s="1304" customFormat="1" ht="16.5" customHeight="1">
      <c r="A4248" s="318" t="str">
        <f>IF(B4248&lt;&gt;"",IF(AND(B4248='[3]IN-TC'!$S$4,OR([3]TH!N3481="1111",[3]TH!O3481="1111")),[3]TH!D3481,""),"")</f>
        <v/>
      </c>
      <c r="B4248" s="60" t="str">
        <f t="shared" si="459"/>
        <v/>
      </c>
      <c r="C4248" s="974"/>
      <c r="D4248" s="974"/>
      <c r="E4248" s="974"/>
      <c r="F4248" s="975"/>
      <c r="G4248" s="975"/>
      <c r="H4248" s="759"/>
      <c r="I4248" s="1247"/>
      <c r="J4248" s="391"/>
      <c r="K4248" s="1247"/>
      <c r="L4248" s="1248"/>
      <c r="M4248" s="78"/>
      <c r="N4248" s="979"/>
      <c r="O4248" s="979"/>
      <c r="P4248" s="79" t="str">
        <f>IF(AND('331-CT'!$E$7=TH!H4248,OR(N4248="331",O4248="331")),"x","")</f>
        <v/>
      </c>
      <c r="Q4248" s="79" t="str">
        <f>IF(AND(B4248='111'!$L$11,OR($N4248=$Q$7,$O4248=$Q$7)),"x","")</f>
        <v/>
      </c>
      <c r="R4248" s="79" t="str">
        <f>IF(AND($N4248=$Q$7,$B4248&lt;'111'!$L$11),"x","")</f>
        <v/>
      </c>
      <c r="S4248" s="79" t="str">
        <f>IF(AND($O4248=$Q$7,$B4248&lt;'111'!$L$11),"x","")</f>
        <v/>
      </c>
      <c r="T4248" s="79" t="str">
        <f>IF(ISERROR(FIND('112'!$M$9,G4248,1)),"",IF((AND(FIND('112'!$M$9,G4248,1)&gt;=1,B4248='112'!$K$9,OR($N4248='112'!$I$6,$O4248='112'!$I$6))),"x",""))</f>
        <v/>
      </c>
      <c r="U4248" s="79" t="str">
        <f>IF(ISERROR(FIND('112'!$M$9,G4248,1)),"",IF((AND(LEFT(G4248,2)=LEFT('112'!$M$9,2),B4248&lt;'112'!$K$9,$N4248='112'!$I$6)),"x",""))</f>
        <v/>
      </c>
      <c r="V4248" s="79" t="str">
        <f>IF(ISERROR(FIND('112'!$M$9,G4248,1)),"",IF((AND(RIGHT(G4248,2)=RIGHT('112'!$M$9,2),B4248&lt;'112'!$K$9,$O4248='112'!$I$6)),"x",""))</f>
        <v/>
      </c>
      <c r="W4248" s="79" t="str">
        <f>IF(AND('341-CT'!$H$9=H4248,OR(LEFT(N4248,3)=$W$7,LEFT(O4248,3)=$W$7)),"x","")</f>
        <v/>
      </c>
      <c r="X4248" s="79" t="str">
        <f>IF(OR(TH!N4248=TH!$X$7,O4248=TH!$X$7),"x","")</f>
        <v/>
      </c>
      <c r="Y4248" s="79" t="str">
        <f>IF(AND(OR(N4248="131",O4248="131"),H4248='131-CT'!$H$9),"x","")</f>
        <v/>
      </c>
      <c r="Z4248" s="79"/>
      <c r="AA4248" s="79" t="str">
        <f>IF(AND(MONTH(E4248)='IN-NX'!$J$5,'IN-NX'!$D$7=D4248),"x","")</f>
        <v/>
      </c>
      <c r="AB4248" s="79" t="str">
        <f>IF(AND(OR(LEFT(TH!N4248,2)="15",LEFT(TH!O4248,2)="15"),LEFT(TH!O4248,3)&lt;&gt;"111",'152-CT'!$J$8=TH!F4248),"x","")</f>
        <v/>
      </c>
      <c r="AC4248" s="79" t="str">
        <f>IF(AND(OR(LEFT(TH!N4248,2)="15",LEFT(TH!O4248,2)="15"),TK!$E$7=TH!F4248),"x","")</f>
        <v/>
      </c>
      <c r="AD4248" s="79" t="str">
        <f>IF(AND(N4248="1521",MONTH(C4248)='BK-NL'!$M$11),"x","")</f>
        <v/>
      </c>
    </row>
    <row r="4249" spans="1:30" s="1304" customFormat="1" ht="16.5" customHeight="1">
      <c r="A4249" s="318" t="str">
        <f>IF(B4249&lt;&gt;"",IF(AND(B4249='[3]IN-TC'!$S$4,OR([3]TH!N3482="1111",[3]TH!O3482="1111")),[3]TH!D3482,""),"")</f>
        <v/>
      </c>
      <c r="B4249" s="60" t="str">
        <f t="shared" si="459"/>
        <v/>
      </c>
      <c r="C4249" s="974"/>
      <c r="D4249" s="974"/>
      <c r="E4249" s="974"/>
      <c r="F4249" s="975"/>
      <c r="G4249" s="975"/>
      <c r="H4249" s="759"/>
      <c r="I4249" s="1247"/>
      <c r="J4249" s="391"/>
      <c r="K4249" s="1247"/>
      <c r="L4249" s="1248"/>
      <c r="M4249" s="78"/>
      <c r="N4249" s="979"/>
      <c r="O4249" s="979"/>
      <c r="P4249" s="79" t="str">
        <f>IF(AND('331-CT'!$E$7=TH!H4249,OR(N4249="331",O4249="331")),"x","")</f>
        <v/>
      </c>
      <c r="Q4249" s="79" t="str">
        <f>IF(AND(B4249='111'!$L$11,OR($N4249=$Q$7,$O4249=$Q$7)),"x","")</f>
        <v/>
      </c>
      <c r="R4249" s="79" t="str">
        <f>IF(AND($N4249=$Q$7,$B4249&lt;'111'!$L$11),"x","")</f>
        <v/>
      </c>
      <c r="S4249" s="79" t="str">
        <f>IF(AND($O4249=$Q$7,$B4249&lt;'111'!$L$11),"x","")</f>
        <v/>
      </c>
      <c r="T4249" s="79" t="str">
        <f>IF(ISERROR(FIND('112'!$M$9,G4249,1)),"",IF((AND(FIND('112'!$M$9,G4249,1)&gt;=1,B4249='112'!$K$9,OR($N4249='112'!$I$6,$O4249='112'!$I$6))),"x",""))</f>
        <v/>
      </c>
      <c r="U4249" s="79" t="str">
        <f>IF(ISERROR(FIND('112'!$M$9,G4249,1)),"",IF((AND(LEFT(G4249,2)=LEFT('112'!$M$9,2),B4249&lt;'112'!$K$9,$N4249='112'!$I$6)),"x",""))</f>
        <v/>
      </c>
      <c r="V4249" s="79" t="str">
        <f>IF(ISERROR(FIND('112'!$M$9,G4249,1)),"",IF((AND(RIGHT(G4249,2)=RIGHT('112'!$M$9,2),B4249&lt;'112'!$K$9,$O4249='112'!$I$6)),"x",""))</f>
        <v/>
      </c>
      <c r="W4249" s="79" t="str">
        <f>IF(AND('341-CT'!$H$9=H4249,OR(LEFT(N4249,3)=$W$7,LEFT(O4249,3)=$W$7)),"x","")</f>
        <v/>
      </c>
      <c r="X4249" s="79" t="str">
        <f>IF(OR(TH!N4249=TH!$X$7,O4249=TH!$X$7),"x","")</f>
        <v/>
      </c>
      <c r="Y4249" s="79" t="str">
        <f>IF(AND(OR(N4249="131",O4249="131"),H4249='131-CT'!$H$9),"x","")</f>
        <v/>
      </c>
      <c r="Z4249" s="79"/>
      <c r="AA4249" s="79" t="str">
        <f>IF(AND(MONTH(E4249)='IN-NX'!$J$5,'IN-NX'!$D$7=D4249),"x","")</f>
        <v/>
      </c>
      <c r="AB4249" s="79" t="str">
        <f>IF(AND(OR(LEFT(TH!N4249,2)="15",LEFT(TH!O4249,2)="15"),LEFT(TH!O4249,3)&lt;&gt;"111",'152-CT'!$J$8=TH!F4249),"x","")</f>
        <v/>
      </c>
      <c r="AC4249" s="79" t="str">
        <f>IF(AND(OR(LEFT(TH!N4249,2)="15",LEFT(TH!O4249,2)="15"),TK!$E$7=TH!F4249),"x","")</f>
        <v/>
      </c>
      <c r="AD4249" s="79" t="str">
        <f>IF(AND(N4249="1521",MONTH(C4249)='BK-NL'!$M$11),"x","")</f>
        <v/>
      </c>
    </row>
    <row r="4250" spans="1:30" s="1304" customFormat="1" ht="16.5" customHeight="1">
      <c r="A4250" s="318" t="str">
        <f>IF(B4250&lt;&gt;"",IF(AND(B4250='[3]IN-TC'!$S$4,OR([3]TH!N3483="1111",[3]TH!O3483="1111")),[3]TH!D3483,""),"")</f>
        <v/>
      </c>
      <c r="B4250" s="60" t="str">
        <f t="shared" ref="B4250:B4251" si="460">IF(C4250&lt;&gt;"",MONTH(C4250),"")</f>
        <v/>
      </c>
      <c r="C4250" s="974"/>
      <c r="D4250" s="974"/>
      <c r="E4250" s="974"/>
      <c r="F4250" s="975"/>
      <c r="G4250" s="975"/>
      <c r="H4250" s="759"/>
      <c r="I4250" s="1247"/>
      <c r="J4250" s="391"/>
      <c r="K4250" s="1247"/>
      <c r="L4250" s="1248"/>
      <c r="M4250" s="78"/>
      <c r="N4250" s="979"/>
      <c r="O4250" s="979"/>
      <c r="P4250" s="79" t="str">
        <f>IF(AND('331-CT'!$E$7=TH!H4250,OR(N4250="331",O4250="331")),"x","")</f>
        <v/>
      </c>
      <c r="Q4250" s="79" t="str">
        <f>IF(AND(B4250='111'!$L$11,OR($N4250=$Q$7,$O4250=$Q$7)),"x","")</f>
        <v/>
      </c>
      <c r="R4250" s="79" t="str">
        <f>IF(AND($N4250=$Q$7,$B4250&lt;'111'!$L$11),"x","")</f>
        <v/>
      </c>
      <c r="S4250" s="79" t="str">
        <f>IF(AND($O4250=$Q$7,$B4250&lt;'111'!$L$11),"x","")</f>
        <v/>
      </c>
      <c r="T4250" s="79" t="str">
        <f>IF(ISERROR(FIND('112'!$M$9,G4250,1)),"",IF((AND(FIND('112'!$M$9,G4250,1)&gt;=1,B4250='112'!$K$9,OR($N4250='112'!$I$6,$O4250='112'!$I$6))),"x",""))</f>
        <v/>
      </c>
      <c r="U4250" s="79" t="str">
        <f>IF(ISERROR(FIND('112'!$M$9,G4250,1)),"",IF((AND(LEFT(G4250,2)=LEFT('112'!$M$9,2),B4250&lt;'112'!$K$9,$N4250='112'!$I$6)),"x",""))</f>
        <v/>
      </c>
      <c r="V4250" s="79" t="str">
        <f>IF(ISERROR(FIND('112'!$M$9,G4250,1)),"",IF((AND(RIGHT(G4250,2)=RIGHT('112'!$M$9,2),B4250&lt;'112'!$K$9,$O4250='112'!$I$6)),"x",""))</f>
        <v/>
      </c>
      <c r="W4250" s="79" t="str">
        <f>IF(AND('341-CT'!$H$9=H4250,OR(LEFT(N4250,3)=$W$7,LEFT(O4250,3)=$W$7)),"x","")</f>
        <v/>
      </c>
      <c r="X4250" s="79" t="str">
        <f>IF(OR(TH!N4250=TH!$X$7,O4250=TH!$X$7),"x","")</f>
        <v/>
      </c>
      <c r="Y4250" s="79" t="str">
        <f>IF(AND(OR(N4250="131",O4250="131"),H4250='131-CT'!$H$9),"x","")</f>
        <v/>
      </c>
      <c r="Z4250" s="79"/>
      <c r="AA4250" s="79" t="str">
        <f>IF(AND(MONTH(E4250)='IN-NX'!$J$5,'IN-NX'!$D$7=D4250),"x","")</f>
        <v/>
      </c>
      <c r="AB4250" s="79" t="str">
        <f>IF(AND(OR(LEFT(TH!N4250,2)="15",LEFT(TH!O4250,2)="15"),LEFT(TH!O4250,3)&lt;&gt;"111",'152-CT'!$J$8=TH!F4250),"x","")</f>
        <v/>
      </c>
      <c r="AC4250" s="79" t="str">
        <f>IF(AND(OR(LEFT(TH!N4250,2)="15",LEFT(TH!O4250,2)="15"),TK!$E$7=TH!F4250),"x","")</f>
        <v/>
      </c>
      <c r="AD4250" s="79" t="str">
        <f>IF(AND(N4250="1521",MONTH(C4250)='BK-NL'!$M$11),"x","")</f>
        <v/>
      </c>
    </row>
    <row r="4251" spans="1:30" s="1304" customFormat="1" ht="16.5" customHeight="1">
      <c r="A4251" s="318" t="str">
        <f>IF(B4251&lt;&gt;"",IF(AND(B4251='[3]IN-TC'!$S$4,OR([3]TH!N3484="1111",[3]TH!O3484="1111")),[3]TH!D3484,""),"")</f>
        <v/>
      </c>
      <c r="B4251" s="60" t="str">
        <f t="shared" si="460"/>
        <v/>
      </c>
      <c r="C4251" s="974"/>
      <c r="D4251" s="974"/>
      <c r="E4251" s="974"/>
      <c r="F4251" s="975"/>
      <c r="G4251" s="975"/>
      <c r="H4251" s="759"/>
      <c r="I4251" s="1247"/>
      <c r="J4251" s="391"/>
      <c r="K4251" s="1247"/>
      <c r="L4251" s="1248"/>
      <c r="M4251" s="78"/>
      <c r="N4251" s="979"/>
      <c r="O4251" s="979"/>
      <c r="P4251" s="79" t="str">
        <f>IF(AND('331-CT'!$E$7=TH!H4251,OR(N4251="331",O4251="331")),"x","")</f>
        <v/>
      </c>
      <c r="Q4251" s="79" t="str">
        <f>IF(AND(B4251='111'!$L$11,OR($N4251=$Q$7,$O4251=$Q$7)),"x","")</f>
        <v/>
      </c>
      <c r="R4251" s="79" t="str">
        <f>IF(AND($N4251=$Q$7,$B4251&lt;'111'!$L$11),"x","")</f>
        <v/>
      </c>
      <c r="S4251" s="79" t="str">
        <f>IF(AND($O4251=$Q$7,$B4251&lt;'111'!$L$11),"x","")</f>
        <v/>
      </c>
      <c r="T4251" s="79" t="str">
        <f>IF(ISERROR(FIND('112'!$M$9,G4251,1)),"",IF((AND(FIND('112'!$M$9,G4251,1)&gt;=1,B4251='112'!$K$9,OR($N4251='112'!$I$6,$O4251='112'!$I$6))),"x",""))</f>
        <v/>
      </c>
      <c r="U4251" s="79" t="str">
        <f>IF(ISERROR(FIND('112'!$M$9,G4251,1)),"",IF((AND(LEFT(G4251,2)=LEFT('112'!$M$9,2),B4251&lt;'112'!$K$9,$N4251='112'!$I$6)),"x",""))</f>
        <v/>
      </c>
      <c r="V4251" s="79" t="str">
        <f>IF(ISERROR(FIND('112'!$M$9,G4251,1)),"",IF((AND(RIGHT(G4251,2)=RIGHT('112'!$M$9,2),B4251&lt;'112'!$K$9,$O4251='112'!$I$6)),"x",""))</f>
        <v/>
      </c>
      <c r="W4251" s="79" t="str">
        <f>IF(AND('341-CT'!$H$9=H4251,OR(LEFT(N4251,3)=$W$7,LEFT(O4251,3)=$W$7)),"x","")</f>
        <v/>
      </c>
      <c r="X4251" s="79" t="str">
        <f>IF(OR(TH!N4251=TH!$X$7,O4251=TH!$X$7),"x","")</f>
        <v/>
      </c>
      <c r="Y4251" s="79" t="str">
        <f>IF(AND(OR(N4251="131",O4251="131"),H4251='131-CT'!$H$9),"x","")</f>
        <v/>
      </c>
      <c r="Z4251" s="79"/>
      <c r="AA4251" s="79" t="str">
        <f>IF(AND(MONTH(E4251)='IN-NX'!$J$5,'IN-NX'!$D$7=D4251),"x","")</f>
        <v/>
      </c>
      <c r="AB4251" s="79" t="str">
        <f>IF(AND(OR(LEFT(TH!N4251,2)="15",LEFT(TH!O4251,2)="15"),LEFT(TH!O4251,3)&lt;&gt;"111",'152-CT'!$J$8=TH!F4251),"x","")</f>
        <v/>
      </c>
      <c r="AC4251" s="79" t="str">
        <f>IF(AND(OR(LEFT(TH!N4251,2)="15",LEFT(TH!O4251,2)="15"),TK!$E$7=TH!F4251),"x","")</f>
        <v/>
      </c>
      <c r="AD4251" s="79" t="str">
        <f>IF(AND(N4251="1521",MONTH(C4251)='BK-NL'!$M$11),"x","")</f>
        <v/>
      </c>
    </row>
    <row r="4252" spans="1:30" s="1304" customFormat="1" ht="16.5" customHeight="1">
      <c r="A4252" s="318" t="str">
        <f>IF(B4252&lt;&gt;"",IF(AND(B4252='[3]IN-TC'!$S$4,OR([3]TH!N3485="1111",[3]TH!O3485="1111")),[3]TH!D3485,""),"")</f>
        <v/>
      </c>
      <c r="B4252" s="60" t="str">
        <f t="shared" si="459"/>
        <v/>
      </c>
      <c r="C4252" s="974"/>
      <c r="D4252" s="974"/>
      <c r="E4252" s="974"/>
      <c r="F4252" s="975"/>
      <c r="G4252" s="975"/>
      <c r="H4252" s="77"/>
      <c r="I4252" s="1247"/>
      <c r="J4252" s="391"/>
      <c r="K4252" s="1247"/>
      <c r="L4252" s="1248"/>
      <c r="M4252" s="78"/>
      <c r="N4252" s="979"/>
      <c r="O4252" s="979"/>
      <c r="P4252" s="79" t="str">
        <f>IF(AND('331-CT'!$E$7=TH!H4252,OR(N4252="331",O4252="331")),"x","")</f>
        <v/>
      </c>
      <c r="Q4252" s="79" t="str">
        <f>IF(AND(B4252='111'!$L$11,OR($N4252=$Q$7,$O4252=$Q$7)),"x","")</f>
        <v/>
      </c>
      <c r="R4252" s="79" t="str">
        <f>IF(AND($N4252=$Q$7,$B4252&lt;'111'!$L$11),"x","")</f>
        <v/>
      </c>
      <c r="S4252" s="79" t="str">
        <f>IF(AND($O4252=$Q$7,$B4252&lt;'111'!$L$11),"x","")</f>
        <v/>
      </c>
      <c r="T4252" s="79" t="str">
        <f>IF(ISERROR(FIND('112'!$M$9,G4252,1)),"",IF((AND(FIND('112'!$M$9,G4252,1)&gt;=1,B4252='112'!$K$9,OR($N4252='112'!$I$6,$O4252='112'!$I$6))),"x",""))</f>
        <v/>
      </c>
      <c r="U4252" s="79" t="str">
        <f>IF(ISERROR(FIND('112'!$M$9,G4252,1)),"",IF((AND(LEFT(G4252,2)=LEFT('112'!$M$9,2),B4252&lt;'112'!$K$9,$N4252='112'!$I$6)),"x",""))</f>
        <v/>
      </c>
      <c r="V4252" s="79" t="str">
        <f>IF(ISERROR(FIND('112'!$M$9,G4252,1)),"",IF((AND(RIGHT(G4252,2)=RIGHT('112'!$M$9,2),B4252&lt;'112'!$K$9,$O4252='112'!$I$6)),"x",""))</f>
        <v/>
      </c>
      <c r="W4252" s="79" t="str">
        <f>IF(AND('341-CT'!$H$9=H4252,OR(LEFT(N4252,3)=$W$7,LEFT(O4252,3)=$W$7)),"x","")</f>
        <v/>
      </c>
      <c r="X4252" s="79" t="str">
        <f>IF(OR(TH!N4252=TH!$X$7,O4252=TH!$X$7),"x","")</f>
        <v/>
      </c>
      <c r="Y4252" s="79" t="str">
        <f>IF(AND(OR(N4252="131",O4252="131"),H4252='131-CT'!$H$9),"x","")</f>
        <v/>
      </c>
      <c r="Z4252" s="79"/>
      <c r="AA4252" s="79" t="str">
        <f>IF(AND(MONTH(E4252)='IN-NX'!$J$5,'IN-NX'!$D$7=D4252),"x","")</f>
        <v/>
      </c>
      <c r="AB4252" s="79" t="str">
        <f>IF(AND(OR(LEFT(TH!N4252,2)="15",LEFT(TH!O4252,2)="15"),LEFT(TH!O4252,3)&lt;&gt;"111",'152-CT'!$J$8=TH!F4252),"x","")</f>
        <v/>
      </c>
      <c r="AC4252" s="79" t="str">
        <f>IF(AND(OR(LEFT(TH!N4252,2)="15",LEFT(TH!O4252,2)="15"),TK!$E$7=TH!F4252),"x","")</f>
        <v/>
      </c>
      <c r="AD4252" s="79" t="str">
        <f>IF(AND(N4252="1521",MONTH(C4252)='BK-NL'!$M$11),"x","")</f>
        <v/>
      </c>
    </row>
    <row r="4253" spans="1:30" s="1304" customFormat="1" ht="16.5" customHeight="1">
      <c r="A4253" s="318" t="str">
        <f>IF(B4253&lt;&gt;"",IF(AND(B4253='[3]IN-TC'!$S$4,OR([3]TH!N3486="1111",[3]TH!O3486="1111")),[3]TH!D3486,""),"")</f>
        <v/>
      </c>
      <c r="B4253" s="60" t="str">
        <f t="shared" ref="B4253:B4256" si="461">IF(C4253&lt;&gt;"",MONTH(C4253),"")</f>
        <v/>
      </c>
      <c r="C4253" s="974"/>
      <c r="D4253" s="974"/>
      <c r="E4253" s="974"/>
      <c r="F4253" s="975"/>
      <c r="G4253" s="975"/>
      <c r="H4253" s="77"/>
      <c r="I4253" s="1247"/>
      <c r="J4253" s="391"/>
      <c r="K4253" s="1247"/>
      <c r="L4253" s="1248"/>
      <c r="M4253" s="78"/>
      <c r="N4253" s="979"/>
      <c r="O4253" s="979"/>
      <c r="P4253" s="79" t="str">
        <f>IF(AND('331-CT'!$E$7=TH!H4253,OR(N4253="331",O4253="331")),"x","")</f>
        <v/>
      </c>
      <c r="Q4253" s="79" t="str">
        <f>IF(AND(B4253='111'!$L$11,OR($N4253=$Q$7,$O4253=$Q$7)),"x","")</f>
        <v/>
      </c>
      <c r="R4253" s="79" t="str">
        <f>IF(AND($N4253=$Q$7,$B4253&lt;'111'!$L$11),"x","")</f>
        <v/>
      </c>
      <c r="S4253" s="79" t="str">
        <f>IF(AND($O4253=$Q$7,$B4253&lt;'111'!$L$11),"x","")</f>
        <v/>
      </c>
      <c r="T4253" s="79" t="str">
        <f>IF(ISERROR(FIND('112'!$M$9,G4253,1)),"",IF((AND(FIND('112'!$M$9,G4253,1)&gt;=1,B4253='112'!$K$9,OR($N4253='112'!$I$6,$O4253='112'!$I$6))),"x",""))</f>
        <v/>
      </c>
      <c r="U4253" s="79" t="str">
        <f>IF(ISERROR(FIND('112'!$M$9,G4253,1)),"",IF((AND(LEFT(G4253,2)=LEFT('112'!$M$9,2),B4253&lt;'112'!$K$9,$N4253='112'!$I$6)),"x",""))</f>
        <v/>
      </c>
      <c r="V4253" s="79" t="str">
        <f>IF(ISERROR(FIND('112'!$M$9,G4253,1)),"",IF((AND(RIGHT(G4253,2)=RIGHT('112'!$M$9,2),B4253&lt;'112'!$K$9,$O4253='112'!$I$6)),"x",""))</f>
        <v/>
      </c>
      <c r="W4253" s="79" t="str">
        <f>IF(AND('341-CT'!$H$9=H4253,OR(LEFT(N4253,3)=$W$7,LEFT(O4253,3)=$W$7)),"x","")</f>
        <v/>
      </c>
      <c r="X4253" s="79" t="str">
        <f>IF(OR(TH!N4253=TH!$X$7,O4253=TH!$X$7),"x","")</f>
        <v/>
      </c>
      <c r="Y4253" s="79" t="str">
        <f>IF(AND(OR(N4253="131",O4253="131"),H4253='131-CT'!$H$9),"x","")</f>
        <v/>
      </c>
      <c r="Z4253" s="79"/>
      <c r="AA4253" s="79" t="str">
        <f>IF(AND(MONTH(E4253)='IN-NX'!$J$5,'IN-NX'!$D$7=D4253),"x","")</f>
        <v/>
      </c>
      <c r="AB4253" s="79" t="str">
        <f>IF(AND(OR(LEFT(TH!N4253,2)="15",LEFT(TH!O4253,2)="15"),LEFT(TH!O4253,3)&lt;&gt;"111",'152-CT'!$J$8=TH!F4253),"x","")</f>
        <v/>
      </c>
      <c r="AC4253" s="79" t="str">
        <f>IF(AND(OR(LEFT(TH!N4253,2)="15",LEFT(TH!O4253,2)="15"),TK!$E$7=TH!F4253),"x","")</f>
        <v/>
      </c>
      <c r="AD4253" s="79" t="str">
        <f>IF(AND(N4253="1521",MONTH(C4253)='BK-NL'!$M$11),"x","")</f>
        <v/>
      </c>
    </row>
    <row r="4254" spans="1:30" s="1304" customFormat="1" ht="16.5" customHeight="1">
      <c r="A4254" s="318" t="str">
        <f>IF(B4254&lt;&gt;"",IF(AND(B4254='[3]IN-TC'!$S$4,OR([3]TH!N3487="1111",[3]TH!O3487="1111")),[3]TH!D3487,""),"")</f>
        <v/>
      </c>
      <c r="B4254" s="60" t="str">
        <f t="shared" ref="B4254" si="462">IF(C4254&lt;&gt;"",MONTH(C4254),"")</f>
        <v/>
      </c>
      <c r="C4254" s="974"/>
      <c r="D4254" s="974"/>
      <c r="E4254" s="974"/>
      <c r="F4254" s="975"/>
      <c r="G4254" s="975"/>
      <c r="H4254" s="77"/>
      <c r="I4254" s="1247"/>
      <c r="J4254" s="391"/>
      <c r="K4254" s="1247"/>
      <c r="L4254" s="1248"/>
      <c r="M4254" s="78"/>
      <c r="N4254" s="979"/>
      <c r="O4254" s="979"/>
      <c r="P4254" s="79" t="str">
        <f>IF(AND('331-CT'!$E$7=TH!H4254,OR(N4254="331",O4254="331")),"x","")</f>
        <v/>
      </c>
      <c r="Q4254" s="79" t="str">
        <f>IF(AND(B4254='111'!$L$11,OR($N4254=$Q$7,$O4254=$Q$7)),"x","")</f>
        <v/>
      </c>
      <c r="R4254" s="79" t="str">
        <f>IF(AND($N4254=$Q$7,$B4254&lt;'111'!$L$11),"x","")</f>
        <v/>
      </c>
      <c r="S4254" s="79" t="str">
        <f>IF(AND($O4254=$Q$7,$B4254&lt;'111'!$L$11),"x","")</f>
        <v/>
      </c>
      <c r="T4254" s="79" t="str">
        <f>IF(ISERROR(FIND('112'!$M$9,G4254,1)),"",IF((AND(FIND('112'!$M$9,G4254,1)&gt;=1,B4254='112'!$K$9,OR($N4254='112'!$I$6,$O4254='112'!$I$6))),"x",""))</f>
        <v/>
      </c>
      <c r="U4254" s="79" t="str">
        <f>IF(ISERROR(FIND('112'!$M$9,G4254,1)),"",IF((AND(LEFT(G4254,2)=LEFT('112'!$M$9,2),B4254&lt;'112'!$K$9,$N4254='112'!$I$6)),"x",""))</f>
        <v/>
      </c>
      <c r="V4254" s="79" t="str">
        <f>IF(ISERROR(FIND('112'!$M$9,G4254,1)),"",IF((AND(RIGHT(G4254,2)=RIGHT('112'!$M$9,2),B4254&lt;'112'!$K$9,$O4254='112'!$I$6)),"x",""))</f>
        <v/>
      </c>
      <c r="W4254" s="79" t="str">
        <f>IF(AND('341-CT'!$H$9=H4254,OR(LEFT(N4254,3)=$W$7,LEFT(O4254,3)=$W$7)),"x","")</f>
        <v/>
      </c>
      <c r="X4254" s="79" t="str">
        <f>IF(OR(TH!N4254=TH!$X$7,O4254=TH!$X$7),"x","")</f>
        <v/>
      </c>
      <c r="Y4254" s="79" t="str">
        <f>IF(AND(OR(N4254="131",O4254="131"),H4254='131-CT'!$H$9),"x","")</f>
        <v/>
      </c>
      <c r="Z4254" s="79"/>
      <c r="AA4254" s="79" t="str">
        <f>IF(AND(MONTH(E4254)='IN-NX'!$J$5,'IN-NX'!$D$7=D4254),"x","")</f>
        <v/>
      </c>
      <c r="AB4254" s="79" t="str">
        <f>IF(AND(OR(LEFT(TH!N4254,2)="15",LEFT(TH!O4254,2)="15"),LEFT(TH!O4254,3)&lt;&gt;"111",'152-CT'!$J$8=TH!F4254),"x","")</f>
        <v/>
      </c>
      <c r="AC4254" s="79" t="str">
        <f>IF(AND(OR(LEFT(TH!N4254,2)="15",LEFT(TH!O4254,2)="15"),TK!$E$7=TH!F4254),"x","")</f>
        <v/>
      </c>
      <c r="AD4254" s="79" t="str">
        <f>IF(AND(N4254="1521",MONTH(C4254)='BK-NL'!$M$11),"x","")</f>
        <v/>
      </c>
    </row>
    <row r="4255" spans="1:30" s="1304" customFormat="1" ht="16.5" customHeight="1">
      <c r="A4255" s="318" t="str">
        <f>IF(B4255&lt;&gt;"",IF(AND(B4255='[3]IN-TC'!$S$4,OR([3]TH!N3487="1111",[3]TH!O3487="1111")),[3]TH!D3487,""),"")</f>
        <v/>
      </c>
      <c r="B4255" s="60" t="str">
        <f t="shared" si="461"/>
        <v/>
      </c>
      <c r="C4255" s="974"/>
      <c r="D4255" s="974"/>
      <c r="E4255" s="974"/>
      <c r="F4255" s="975"/>
      <c r="G4255" s="975"/>
      <c r="H4255" s="759"/>
      <c r="I4255" s="1247"/>
      <c r="J4255" s="391"/>
      <c r="K4255" s="1247"/>
      <c r="L4255" s="1248"/>
      <c r="M4255" s="78"/>
      <c r="N4255" s="979"/>
      <c r="O4255" s="979"/>
      <c r="P4255" s="79" t="str">
        <f>IF(AND('331-CT'!$E$7=TH!H4255,OR(N4255="331",O4255="331")),"x","")</f>
        <v/>
      </c>
      <c r="Q4255" s="79" t="str">
        <f>IF(AND(B4255='111'!$L$11,OR($N4255=$Q$7,$O4255=$Q$7)),"x","")</f>
        <v/>
      </c>
      <c r="R4255" s="79" t="str">
        <f>IF(AND($N4255=$Q$7,$B4255&lt;'111'!$L$11),"x","")</f>
        <v/>
      </c>
      <c r="S4255" s="79" t="str">
        <f>IF(AND($O4255=$Q$7,$B4255&lt;'111'!$L$11),"x","")</f>
        <v/>
      </c>
      <c r="T4255" s="79" t="str">
        <f>IF(ISERROR(FIND('112'!$M$9,G4255,1)),"",IF((AND(FIND('112'!$M$9,G4255,1)&gt;=1,B4255='112'!$K$9,OR($N4255='112'!$I$6,$O4255='112'!$I$6))),"x",""))</f>
        <v/>
      </c>
      <c r="U4255" s="79" t="str">
        <f>IF(ISERROR(FIND('112'!$M$9,G4255,1)),"",IF((AND(LEFT(G4255,2)=LEFT('112'!$M$9,2),B4255&lt;'112'!$K$9,$N4255='112'!$I$6)),"x",""))</f>
        <v/>
      </c>
      <c r="V4255" s="79" t="str">
        <f>IF(ISERROR(FIND('112'!$M$9,G4255,1)),"",IF((AND(RIGHT(G4255,2)=RIGHT('112'!$M$9,2),B4255&lt;'112'!$K$9,$O4255='112'!$I$6)),"x",""))</f>
        <v/>
      </c>
      <c r="W4255" s="79" t="str">
        <f>IF(AND('341-CT'!$H$9=H4255,OR(LEFT(N4255,3)=$W$7,LEFT(O4255,3)=$W$7)),"x","")</f>
        <v/>
      </c>
      <c r="X4255" s="79" t="str">
        <f>IF(OR(TH!N4255=TH!$X$7,O4255=TH!$X$7),"x","")</f>
        <v/>
      </c>
      <c r="Y4255" s="79" t="str">
        <f>IF(AND(OR(N4255="131",O4255="131"),H4255='131-CT'!$H$9),"x","")</f>
        <v/>
      </c>
      <c r="Z4255" s="79"/>
      <c r="AA4255" s="79" t="str">
        <f>IF(AND(MONTH(E4255)='IN-NX'!$J$5,'IN-NX'!$D$7=D4255),"x","")</f>
        <v/>
      </c>
      <c r="AB4255" s="79" t="str">
        <f>IF(AND(OR(LEFT(TH!N4255,2)="15",LEFT(TH!O4255,2)="15"),LEFT(TH!O4255,3)&lt;&gt;"111",'152-CT'!$J$8=TH!F4255),"x","")</f>
        <v/>
      </c>
      <c r="AC4255" s="79" t="str">
        <f>IF(AND(OR(LEFT(TH!N4255,2)="15",LEFT(TH!O4255,2)="15"),TK!$E$7=TH!F4255),"x","")</f>
        <v/>
      </c>
      <c r="AD4255" s="79" t="str">
        <f>IF(AND(N4255="1521",MONTH(C4255)='BK-NL'!$M$11),"x","")</f>
        <v/>
      </c>
    </row>
    <row r="4256" spans="1:30" s="1304" customFormat="1" ht="16.5" customHeight="1">
      <c r="A4256" s="318" t="str">
        <f>IF(B4256&lt;&gt;"",IF(AND(B4256='[3]IN-TC'!$S$4,OR([3]TH!N3488="1111",[3]TH!O3488="1111")),[3]TH!D3488,""),"")</f>
        <v/>
      </c>
      <c r="B4256" s="60" t="str">
        <f t="shared" si="461"/>
        <v/>
      </c>
      <c r="C4256" s="974"/>
      <c r="D4256" s="974"/>
      <c r="E4256" s="974"/>
      <c r="F4256" s="975"/>
      <c r="G4256" s="975"/>
      <c r="H4256" s="77"/>
      <c r="I4256" s="1247"/>
      <c r="J4256" s="391"/>
      <c r="K4256" s="1247"/>
      <c r="L4256" s="1248"/>
      <c r="M4256" s="78"/>
      <c r="N4256" s="979"/>
      <c r="O4256" s="979"/>
      <c r="P4256" s="79" t="str">
        <f>IF(AND('331-CT'!$E$7=TH!H4256,OR(N4256="331",O4256="331")),"x","")</f>
        <v/>
      </c>
      <c r="Q4256" s="79" t="str">
        <f>IF(AND(B4256='111'!$L$11,OR($N4256=$Q$7,$O4256=$Q$7)),"x","")</f>
        <v/>
      </c>
      <c r="R4256" s="79" t="str">
        <f>IF(AND($N4256=$Q$7,$B4256&lt;'111'!$L$11),"x","")</f>
        <v/>
      </c>
      <c r="S4256" s="79" t="str">
        <f>IF(AND($O4256=$Q$7,$B4256&lt;'111'!$L$11),"x","")</f>
        <v/>
      </c>
      <c r="T4256" s="79" t="str">
        <f>IF(ISERROR(FIND('112'!$M$9,G4256,1)),"",IF((AND(FIND('112'!$M$9,G4256,1)&gt;=1,B4256='112'!$K$9,OR($N4256='112'!$I$6,$O4256='112'!$I$6))),"x",""))</f>
        <v/>
      </c>
      <c r="U4256" s="79" t="str">
        <f>IF(ISERROR(FIND('112'!$M$9,G4256,1)),"",IF((AND(LEFT(G4256,2)=LEFT('112'!$M$9,2),B4256&lt;'112'!$K$9,$N4256='112'!$I$6)),"x",""))</f>
        <v/>
      </c>
      <c r="V4256" s="79" t="str">
        <f>IF(ISERROR(FIND('112'!$M$9,G4256,1)),"",IF((AND(RIGHT(G4256,2)=RIGHT('112'!$M$9,2),B4256&lt;'112'!$K$9,$O4256='112'!$I$6)),"x",""))</f>
        <v/>
      </c>
      <c r="W4256" s="79" t="str">
        <f>IF(AND('341-CT'!$H$9=H4256,OR(LEFT(N4256,3)=$W$7,LEFT(O4256,3)=$W$7)),"x","")</f>
        <v/>
      </c>
      <c r="X4256" s="79" t="str">
        <f>IF(OR(TH!N4256=TH!$X$7,O4256=TH!$X$7),"x","")</f>
        <v/>
      </c>
      <c r="Y4256" s="79" t="str">
        <f>IF(AND(OR(N4256="131",O4256="131"),H4256='131-CT'!$H$9),"x","")</f>
        <v/>
      </c>
      <c r="Z4256" s="79"/>
      <c r="AA4256" s="79" t="str">
        <f>IF(AND(MONTH(E4256)='IN-NX'!$J$5,'IN-NX'!$D$7=D4256),"x","")</f>
        <v/>
      </c>
      <c r="AB4256" s="79" t="str">
        <f>IF(AND(OR(LEFT(TH!N4256,2)="15",LEFT(TH!O4256,2)="15"),LEFT(TH!O4256,3)&lt;&gt;"111",'152-CT'!$J$8=TH!F4256),"x","")</f>
        <v/>
      </c>
      <c r="AC4256" s="79" t="str">
        <f>IF(AND(OR(LEFT(TH!N4256,2)="15",LEFT(TH!O4256,2)="15"),TK!$E$7=TH!F4256),"x","")</f>
        <v/>
      </c>
      <c r="AD4256" s="79" t="str">
        <f>IF(AND(N4256="1521",MONTH(C4256)='BK-NL'!$M$11),"x","")</f>
        <v/>
      </c>
    </row>
    <row r="4257" spans="1:30" s="1304" customFormat="1" ht="16.5" customHeight="1">
      <c r="A4257" s="318" t="str">
        <f>IF(B4257&lt;&gt;"",IF(AND(B4257='[3]IN-TC'!$S$4,OR([3]TH!N3489="1111",[3]TH!O3489="1111")),[3]TH!D3489,""),"")</f>
        <v/>
      </c>
      <c r="B4257" s="60" t="str">
        <f t="shared" ref="B4257" si="463">IF(C4257&lt;&gt;"",MONTH(C4257),"")</f>
        <v/>
      </c>
      <c r="C4257" s="974"/>
      <c r="D4257" s="974"/>
      <c r="E4257" s="974"/>
      <c r="F4257" s="975"/>
      <c r="G4257" s="975"/>
      <c r="H4257" s="77"/>
      <c r="I4257" s="1247"/>
      <c r="J4257" s="391"/>
      <c r="K4257" s="1247"/>
      <c r="L4257" s="1248"/>
      <c r="M4257" s="78"/>
      <c r="N4257" s="979"/>
      <c r="O4257" s="979"/>
      <c r="P4257" s="79" t="str">
        <f>IF(AND('331-CT'!$E$7=TH!H4257,OR(N4257="331",O4257="331")),"x","")</f>
        <v/>
      </c>
      <c r="Q4257" s="79" t="str">
        <f>IF(AND(B4257='111'!$L$11,OR($N4257=$Q$7,$O4257=$Q$7)),"x","")</f>
        <v/>
      </c>
      <c r="R4257" s="79" t="str">
        <f>IF(AND($N4257=$Q$7,$B4257&lt;'111'!$L$11),"x","")</f>
        <v/>
      </c>
      <c r="S4257" s="79" t="str">
        <f>IF(AND($O4257=$Q$7,$B4257&lt;'111'!$L$11),"x","")</f>
        <v/>
      </c>
      <c r="T4257" s="79" t="str">
        <f>IF(ISERROR(FIND('112'!$M$9,G4257,1)),"",IF((AND(FIND('112'!$M$9,G4257,1)&gt;=1,B4257='112'!$K$9,OR($N4257='112'!$I$6,$O4257='112'!$I$6))),"x",""))</f>
        <v/>
      </c>
      <c r="U4257" s="79" t="str">
        <f>IF(ISERROR(FIND('112'!$M$9,G4257,1)),"",IF((AND(LEFT(G4257,2)=LEFT('112'!$M$9,2),B4257&lt;'112'!$K$9,$N4257='112'!$I$6)),"x",""))</f>
        <v/>
      </c>
      <c r="V4257" s="79" t="str">
        <f>IF(ISERROR(FIND('112'!$M$9,G4257,1)),"",IF((AND(RIGHT(G4257,2)=RIGHT('112'!$M$9,2),B4257&lt;'112'!$K$9,$O4257='112'!$I$6)),"x",""))</f>
        <v/>
      </c>
      <c r="W4257" s="79" t="str">
        <f>IF(AND('341-CT'!$H$9=H4257,OR(LEFT(N4257,3)=$W$7,LEFT(O4257,3)=$W$7)),"x","")</f>
        <v/>
      </c>
      <c r="X4257" s="79" t="str">
        <f>IF(OR(TH!N4257=TH!$X$7,O4257=TH!$X$7),"x","")</f>
        <v/>
      </c>
      <c r="Y4257" s="79" t="str">
        <f>IF(AND(OR(N4257="131",O4257="131"),H4257='131-CT'!$H$9),"x","")</f>
        <v/>
      </c>
      <c r="Z4257" s="79"/>
      <c r="AA4257" s="79" t="str">
        <f>IF(AND(MONTH(E4257)='IN-NX'!$J$5,'IN-NX'!$D$7=D4257),"x","")</f>
        <v/>
      </c>
      <c r="AB4257" s="79" t="str">
        <f>IF(AND(OR(LEFT(TH!N4257,2)="15",LEFT(TH!O4257,2)="15"),LEFT(TH!O4257,3)&lt;&gt;"111",'152-CT'!$J$8=TH!F4257),"x","")</f>
        <v/>
      </c>
      <c r="AC4257" s="79" t="str">
        <f>IF(AND(OR(LEFT(TH!N4257,2)="15",LEFT(TH!O4257,2)="15"),TK!$E$7=TH!F4257),"x","")</f>
        <v/>
      </c>
      <c r="AD4257" s="79" t="str">
        <f>IF(AND(N4257="1521",MONTH(C4257)='BK-NL'!$M$11),"x","")</f>
        <v/>
      </c>
    </row>
    <row r="4258" spans="1:30" s="1304" customFormat="1" ht="16.5" customHeight="1">
      <c r="A4258" s="318" t="str">
        <f>IF(B4258&lt;&gt;"",IF(AND(B4258='[3]IN-TC'!$S$4,OR([3]TH!N3490="1111",[3]TH!O3490="1111")),[3]TH!D3490,""),"")</f>
        <v/>
      </c>
      <c r="B4258" s="60" t="str">
        <f t="shared" ref="B4258" si="464">IF(C4258&lt;&gt;"",MONTH(C4258),"")</f>
        <v/>
      </c>
      <c r="C4258" s="974"/>
      <c r="D4258" s="974"/>
      <c r="E4258" s="974"/>
      <c r="F4258" s="975"/>
      <c r="G4258" s="975"/>
      <c r="H4258" s="77"/>
      <c r="I4258" s="1247"/>
      <c r="J4258" s="391"/>
      <c r="K4258" s="1247"/>
      <c r="L4258" s="1248"/>
      <c r="M4258" s="78"/>
      <c r="N4258" s="979"/>
      <c r="O4258" s="979"/>
      <c r="P4258" s="79" t="str">
        <f>IF(AND('331-CT'!$E$7=TH!H4258,OR(N4258="331",O4258="331")),"x","")</f>
        <v/>
      </c>
      <c r="Q4258" s="79" t="str">
        <f>IF(AND(B4258='111'!$L$11,OR($N4258=$Q$7,$O4258=$Q$7)),"x","")</f>
        <v/>
      </c>
      <c r="R4258" s="79" t="str">
        <f>IF(AND($N4258=$Q$7,$B4258&lt;'111'!$L$11),"x","")</f>
        <v/>
      </c>
      <c r="S4258" s="79" t="str">
        <f>IF(AND($O4258=$Q$7,$B4258&lt;'111'!$L$11),"x","")</f>
        <v/>
      </c>
      <c r="T4258" s="79" t="str">
        <f>IF(ISERROR(FIND('112'!$M$9,G4258,1)),"",IF((AND(FIND('112'!$M$9,G4258,1)&gt;=1,B4258='112'!$K$9,OR($N4258='112'!$I$6,$O4258='112'!$I$6))),"x",""))</f>
        <v/>
      </c>
      <c r="U4258" s="79" t="str">
        <f>IF(ISERROR(FIND('112'!$M$9,G4258,1)),"",IF((AND(LEFT(G4258,2)=LEFT('112'!$M$9,2),B4258&lt;'112'!$K$9,$N4258='112'!$I$6)),"x",""))</f>
        <v/>
      </c>
      <c r="V4258" s="79" t="str">
        <f>IF(ISERROR(FIND('112'!$M$9,G4258,1)),"",IF((AND(RIGHT(G4258,2)=RIGHT('112'!$M$9,2),B4258&lt;'112'!$K$9,$O4258='112'!$I$6)),"x",""))</f>
        <v/>
      </c>
      <c r="W4258" s="79" t="str">
        <f>IF(AND('341-CT'!$H$9=H4258,OR(LEFT(N4258,3)=$W$7,LEFT(O4258,3)=$W$7)),"x","")</f>
        <v/>
      </c>
      <c r="X4258" s="79" t="str">
        <f>IF(OR(TH!N4258=TH!$X$7,O4258=TH!$X$7),"x","")</f>
        <v/>
      </c>
      <c r="Y4258" s="79" t="str">
        <f>IF(AND(OR(N4258="131",O4258="131"),H4258='131-CT'!$H$9),"x","")</f>
        <v/>
      </c>
      <c r="Z4258" s="79"/>
      <c r="AA4258" s="79" t="str">
        <f>IF(AND(MONTH(E4258)='IN-NX'!$J$5,'IN-NX'!$D$7=D4258),"x","")</f>
        <v/>
      </c>
      <c r="AB4258" s="79" t="str">
        <f>IF(AND(OR(LEFT(TH!N4258,2)="15",LEFT(TH!O4258,2)="15"),LEFT(TH!O4258,3)&lt;&gt;"111",'152-CT'!$J$8=TH!F4258),"x","")</f>
        <v/>
      </c>
      <c r="AC4258" s="79" t="str">
        <f>IF(AND(OR(LEFT(TH!N4258,2)="15",LEFT(TH!O4258,2)="15"),TK!$E$7=TH!F4258),"x","")</f>
        <v/>
      </c>
      <c r="AD4258" s="79" t="str">
        <f>IF(AND(N4258="1521",MONTH(C4258)='BK-NL'!$M$11),"x","")</f>
        <v/>
      </c>
    </row>
    <row r="4259" spans="1:30" s="1304" customFormat="1" ht="16.5" customHeight="1">
      <c r="A4259" s="318" t="str">
        <f>IF(B4259&lt;&gt;"",IF(AND(B4259='[3]IN-TC'!$S$4,OR([3]TH!N3491="1111",[3]TH!O3491="1111")),[3]TH!D3491,""),"")</f>
        <v/>
      </c>
      <c r="B4259" s="60" t="str">
        <f t="shared" ref="B4259:B4271" si="465">IF(C4259&lt;&gt;"",MONTH(C4259),"")</f>
        <v/>
      </c>
      <c r="C4259" s="974"/>
      <c r="D4259" s="974"/>
      <c r="E4259" s="974"/>
      <c r="F4259" s="975"/>
      <c r="G4259" s="975"/>
      <c r="H4259" s="759"/>
      <c r="I4259" s="1247"/>
      <c r="J4259" s="391"/>
      <c r="K4259" s="1247"/>
      <c r="L4259" s="1248"/>
      <c r="M4259" s="78"/>
      <c r="N4259" s="979"/>
      <c r="O4259" s="979"/>
      <c r="P4259" s="79" t="str">
        <f>IF(AND('331-CT'!$E$7=TH!H4259,OR(N4259="331",O4259="331")),"x","")</f>
        <v/>
      </c>
      <c r="Q4259" s="79" t="str">
        <f>IF(AND(B4259='111'!$L$11,OR($N4259=$Q$7,$O4259=$Q$7)),"x","")</f>
        <v/>
      </c>
      <c r="R4259" s="79" t="str">
        <f>IF(AND($N4259=$Q$7,$B4259&lt;'111'!$L$11),"x","")</f>
        <v/>
      </c>
      <c r="S4259" s="79" t="str">
        <f>IF(AND($O4259=$Q$7,$B4259&lt;'111'!$L$11),"x","")</f>
        <v/>
      </c>
      <c r="T4259" s="79" t="str">
        <f>IF(ISERROR(FIND('112'!$M$9,G4259,1)),"",IF((AND(FIND('112'!$M$9,G4259,1)&gt;=1,B4259='112'!$K$9,OR($N4259='112'!$I$6,$O4259='112'!$I$6))),"x",""))</f>
        <v/>
      </c>
      <c r="U4259" s="79" t="str">
        <f>IF(ISERROR(FIND('112'!$M$9,G4259,1)),"",IF((AND(LEFT(G4259,2)=LEFT('112'!$M$9,2),B4259&lt;'112'!$K$9,$N4259='112'!$I$6)),"x",""))</f>
        <v/>
      </c>
      <c r="V4259" s="79" t="str">
        <f>IF(ISERROR(FIND('112'!$M$9,G4259,1)),"",IF((AND(RIGHT(G4259,2)=RIGHT('112'!$M$9,2),B4259&lt;'112'!$K$9,$O4259='112'!$I$6)),"x",""))</f>
        <v/>
      </c>
      <c r="W4259" s="79" t="str">
        <f>IF(AND('341-CT'!$H$9=H4259,OR(LEFT(N4259,3)=$W$7,LEFT(O4259,3)=$W$7)),"x","")</f>
        <v/>
      </c>
      <c r="X4259" s="79" t="str">
        <f>IF(OR(TH!N4259=TH!$X$7,O4259=TH!$X$7),"x","")</f>
        <v/>
      </c>
      <c r="Y4259" s="79" t="str">
        <f>IF(AND(OR(N4259="131",O4259="131"),H4259='131-CT'!$H$9),"x","")</f>
        <v/>
      </c>
      <c r="Z4259" s="79"/>
      <c r="AA4259" s="79" t="str">
        <f>IF(AND(MONTH(E4259)='IN-NX'!$J$5,'IN-NX'!$D$7=D4259),"x","")</f>
        <v/>
      </c>
      <c r="AB4259" s="79" t="str">
        <f>IF(AND(OR(LEFT(TH!N4259,2)="15",LEFT(TH!O4259,2)="15"),LEFT(TH!O4259,3)&lt;&gt;"111",'152-CT'!$J$8=TH!F4259),"x","")</f>
        <v/>
      </c>
      <c r="AC4259" s="79" t="str">
        <f>IF(AND(OR(LEFT(TH!N4259,2)="15",LEFT(TH!O4259,2)="15"),TK!$E$7=TH!F4259),"x","")</f>
        <v/>
      </c>
      <c r="AD4259" s="79" t="str">
        <f>IF(AND(N4259="1521",MONTH(C4259)='BK-NL'!$M$11),"x","")</f>
        <v/>
      </c>
    </row>
    <row r="4260" spans="1:30" s="1304" customFormat="1" ht="16.5" customHeight="1">
      <c r="A4260" s="318" t="str">
        <f>IF(B4260&lt;&gt;"",IF(AND(B4260='[3]IN-TC'!$S$4,OR([3]TH!N3492="1111",[3]TH!O3492="1111")),[3]TH!D3492,""),"")</f>
        <v/>
      </c>
      <c r="B4260" s="60" t="str">
        <f t="shared" si="465"/>
        <v/>
      </c>
      <c r="C4260" s="974"/>
      <c r="D4260" s="974"/>
      <c r="E4260" s="974"/>
      <c r="F4260" s="975"/>
      <c r="G4260" s="975"/>
      <c r="H4260" s="759"/>
      <c r="I4260" s="1247"/>
      <c r="J4260" s="391"/>
      <c r="K4260" s="1247"/>
      <c r="L4260" s="1248"/>
      <c r="M4260" s="78"/>
      <c r="N4260" s="979"/>
      <c r="O4260" s="979"/>
      <c r="P4260" s="79" t="str">
        <f>IF(AND('331-CT'!$E$7=TH!H4260,OR(N4260="331",O4260="331")),"x","")</f>
        <v/>
      </c>
      <c r="Q4260" s="79" t="str">
        <f>IF(AND(B4260='111'!$L$11,OR($N4260=$Q$7,$O4260=$Q$7)),"x","")</f>
        <v/>
      </c>
      <c r="R4260" s="79" t="str">
        <f>IF(AND($N4260=$Q$7,$B4260&lt;'111'!$L$11),"x","")</f>
        <v/>
      </c>
      <c r="S4260" s="79" t="str">
        <f>IF(AND($O4260=$Q$7,$B4260&lt;'111'!$L$11),"x","")</f>
        <v/>
      </c>
      <c r="T4260" s="79" t="str">
        <f>IF(ISERROR(FIND('112'!$M$9,G4260,1)),"",IF((AND(FIND('112'!$M$9,G4260,1)&gt;=1,B4260='112'!$K$9,OR($N4260='112'!$I$6,$O4260='112'!$I$6))),"x",""))</f>
        <v/>
      </c>
      <c r="U4260" s="79" t="str">
        <f>IF(ISERROR(FIND('112'!$M$9,G4260,1)),"",IF((AND(LEFT(G4260,2)=LEFT('112'!$M$9,2),B4260&lt;'112'!$K$9,$N4260='112'!$I$6)),"x",""))</f>
        <v/>
      </c>
      <c r="V4260" s="79" t="str">
        <f>IF(ISERROR(FIND('112'!$M$9,G4260,1)),"",IF((AND(RIGHT(G4260,2)=RIGHT('112'!$M$9,2),B4260&lt;'112'!$K$9,$O4260='112'!$I$6)),"x",""))</f>
        <v/>
      </c>
      <c r="W4260" s="79" t="str">
        <f>IF(AND('341-CT'!$H$9=H4260,OR(LEFT(N4260,3)=$W$7,LEFT(O4260,3)=$W$7)),"x","")</f>
        <v/>
      </c>
      <c r="X4260" s="79" t="str">
        <f>IF(OR(TH!N4260=TH!$X$7,O4260=TH!$X$7),"x","")</f>
        <v/>
      </c>
      <c r="Y4260" s="79" t="str">
        <f>IF(AND(OR(N4260="131",O4260="131"),H4260='131-CT'!$H$9),"x","")</f>
        <v/>
      </c>
      <c r="Z4260" s="79"/>
      <c r="AA4260" s="79" t="str">
        <f>IF(AND(MONTH(E4260)='IN-NX'!$J$5,'IN-NX'!$D$7=D4260),"x","")</f>
        <v/>
      </c>
      <c r="AB4260" s="79" t="str">
        <f>IF(AND(OR(LEFT(TH!N4260,2)="15",LEFT(TH!O4260,2)="15"),LEFT(TH!O4260,3)&lt;&gt;"111",'152-CT'!$J$8=TH!F4260),"x","")</f>
        <v/>
      </c>
      <c r="AC4260" s="79" t="str">
        <f>IF(AND(OR(LEFT(TH!N4260,2)="15",LEFT(TH!O4260,2)="15"),TK!$E$7=TH!F4260),"x","")</f>
        <v/>
      </c>
      <c r="AD4260" s="79" t="str">
        <f>IF(AND(N4260="1521",MONTH(C4260)='BK-NL'!$M$11),"x","")</f>
        <v/>
      </c>
    </row>
    <row r="4261" spans="1:30" s="1304" customFormat="1" ht="16.5" customHeight="1">
      <c r="A4261" s="318" t="str">
        <f>IF(B4261&lt;&gt;"",IF(AND(B4261='[3]IN-TC'!$S$4,OR([3]TH!N3493="1111",[3]TH!O3493="1111")),[3]TH!D3493,""),"")</f>
        <v/>
      </c>
      <c r="B4261" s="60" t="str">
        <f t="shared" si="465"/>
        <v/>
      </c>
      <c r="C4261" s="974"/>
      <c r="D4261" s="974"/>
      <c r="E4261" s="974"/>
      <c r="F4261" s="975"/>
      <c r="G4261" s="975"/>
      <c r="H4261" s="1309"/>
      <c r="I4261" s="1247"/>
      <c r="J4261" s="391"/>
      <c r="K4261" s="1247"/>
      <c r="L4261" s="1248"/>
      <c r="M4261" s="78"/>
      <c r="N4261" s="979"/>
      <c r="O4261" s="979"/>
      <c r="P4261" s="79" t="str">
        <f>IF(AND('331-CT'!$E$7=TH!H4261,OR(N4261="331",O4261="331")),"x","")</f>
        <v/>
      </c>
      <c r="Q4261" s="79" t="str">
        <f>IF(AND(B4261='111'!$L$11,OR($N4261=$Q$7,$O4261=$Q$7)),"x","")</f>
        <v/>
      </c>
      <c r="R4261" s="79" t="str">
        <f>IF(AND($N4261=$Q$7,$B4261&lt;'111'!$L$11),"x","")</f>
        <v/>
      </c>
      <c r="S4261" s="79" t="str">
        <f>IF(AND($O4261=$Q$7,$B4261&lt;'111'!$L$11),"x","")</f>
        <v/>
      </c>
      <c r="T4261" s="79" t="str">
        <f>IF(ISERROR(FIND('112'!$M$9,G4261,1)),"",IF((AND(FIND('112'!$M$9,G4261,1)&gt;=1,B4261='112'!$K$9,OR($N4261='112'!$I$6,$O4261='112'!$I$6))),"x",""))</f>
        <v/>
      </c>
      <c r="U4261" s="79" t="str">
        <f>IF(ISERROR(FIND('112'!$M$9,G4261,1)),"",IF((AND(LEFT(G4261,2)=LEFT('112'!$M$9,2),B4261&lt;'112'!$K$9,$N4261='112'!$I$6)),"x",""))</f>
        <v/>
      </c>
      <c r="V4261" s="79" t="str">
        <f>IF(ISERROR(FIND('112'!$M$9,G4261,1)),"",IF((AND(RIGHT(G4261,2)=RIGHT('112'!$M$9,2),B4261&lt;'112'!$K$9,$O4261='112'!$I$6)),"x",""))</f>
        <v/>
      </c>
      <c r="W4261" s="79" t="str">
        <f>IF(AND('341-CT'!$H$9=H4261,OR(LEFT(N4261,3)=$W$7,LEFT(O4261,3)=$W$7)),"x","")</f>
        <v/>
      </c>
      <c r="X4261" s="79" t="str">
        <f>IF(OR(TH!N4261=TH!$X$7,O4261=TH!$X$7),"x","")</f>
        <v/>
      </c>
      <c r="Y4261" s="79" t="str">
        <f>IF(AND(OR(N4261="131",O4261="131"),H4261='131-CT'!$H$9),"x","")</f>
        <v/>
      </c>
      <c r="Z4261" s="79"/>
      <c r="AA4261" s="79" t="str">
        <f>IF(AND(MONTH(E4261)='IN-NX'!$J$5,'IN-NX'!$D$7=D4261),"x","")</f>
        <v/>
      </c>
      <c r="AB4261" s="79" t="str">
        <f>IF(AND(OR(LEFT(TH!N4261,2)="15",LEFT(TH!O4261,2)="15"),LEFT(TH!O4261,3)&lt;&gt;"111",'152-CT'!$J$8=TH!F4261),"x","")</f>
        <v/>
      </c>
      <c r="AC4261" s="79" t="str">
        <f>IF(AND(OR(LEFT(TH!N4261,2)="15",LEFT(TH!O4261,2)="15"),TK!$E$7=TH!F4261),"x","")</f>
        <v/>
      </c>
      <c r="AD4261" s="79" t="str">
        <f>IF(AND(N4261="1521",MONTH(C4261)='BK-NL'!$M$11),"x","")</f>
        <v/>
      </c>
    </row>
    <row r="4262" spans="1:30" s="1304" customFormat="1" ht="16.5" customHeight="1">
      <c r="A4262" s="318" t="str">
        <f>IF(B4262&lt;&gt;"",IF(AND(B4262='[3]IN-TC'!$S$4,OR([3]TH!N3494="1111",[3]TH!O3494="1111")),[3]TH!D3494,""),"")</f>
        <v/>
      </c>
      <c r="B4262" s="60" t="str">
        <f t="shared" si="465"/>
        <v/>
      </c>
      <c r="C4262" s="974"/>
      <c r="D4262" s="974"/>
      <c r="E4262" s="974"/>
      <c r="F4262" s="975"/>
      <c r="G4262" s="975"/>
      <c r="H4262" s="1309"/>
      <c r="I4262" s="1247"/>
      <c r="J4262" s="391"/>
      <c r="K4262" s="1247"/>
      <c r="L4262" s="1248"/>
      <c r="M4262" s="78"/>
      <c r="N4262" s="979"/>
      <c r="O4262" s="979"/>
      <c r="P4262" s="79" t="str">
        <f>IF(AND('331-CT'!$E$7=TH!H4262,OR(N4262="331",O4262="331")),"x","")</f>
        <v/>
      </c>
      <c r="Q4262" s="79" t="str">
        <f>IF(AND(B4262='111'!$L$11,OR($N4262=$Q$7,$O4262=$Q$7)),"x","")</f>
        <v/>
      </c>
      <c r="R4262" s="79" t="str">
        <f>IF(AND($N4262=$Q$7,$B4262&lt;'111'!$L$11),"x","")</f>
        <v/>
      </c>
      <c r="S4262" s="79" t="str">
        <f>IF(AND($O4262=$Q$7,$B4262&lt;'111'!$L$11),"x","")</f>
        <v/>
      </c>
      <c r="T4262" s="79" t="str">
        <f>IF(ISERROR(FIND('112'!$M$9,G4262,1)),"",IF((AND(FIND('112'!$M$9,G4262,1)&gt;=1,B4262='112'!$K$9,OR($N4262='112'!$I$6,$O4262='112'!$I$6))),"x",""))</f>
        <v/>
      </c>
      <c r="U4262" s="79" t="str">
        <f>IF(ISERROR(FIND('112'!$M$9,G4262,1)),"",IF((AND(LEFT(G4262,2)=LEFT('112'!$M$9,2),B4262&lt;'112'!$K$9,$N4262='112'!$I$6)),"x",""))</f>
        <v/>
      </c>
      <c r="V4262" s="79" t="str">
        <f>IF(ISERROR(FIND('112'!$M$9,G4262,1)),"",IF((AND(RIGHT(G4262,2)=RIGHT('112'!$M$9,2),B4262&lt;'112'!$K$9,$O4262='112'!$I$6)),"x",""))</f>
        <v/>
      </c>
      <c r="W4262" s="79" t="str">
        <f>IF(AND('341-CT'!$H$9=H4262,OR(LEFT(N4262,3)=$W$7,LEFT(O4262,3)=$W$7)),"x","")</f>
        <v/>
      </c>
      <c r="X4262" s="79" t="str">
        <f>IF(OR(TH!N4262=TH!$X$7,O4262=TH!$X$7),"x","")</f>
        <v/>
      </c>
      <c r="Y4262" s="79" t="str">
        <f>IF(AND(OR(N4262="131",O4262="131"),H4262='131-CT'!$H$9),"x","")</f>
        <v/>
      </c>
      <c r="Z4262" s="79"/>
      <c r="AA4262" s="79" t="str">
        <f>IF(AND(MONTH(E4262)='IN-NX'!$J$5,'IN-NX'!$D$7=D4262),"x","")</f>
        <v/>
      </c>
      <c r="AB4262" s="79" t="str">
        <f>IF(AND(OR(LEFT(TH!N4262,2)="15",LEFT(TH!O4262,2)="15"),LEFT(TH!O4262,3)&lt;&gt;"111",'152-CT'!$J$8=TH!F4262),"x","")</f>
        <v/>
      </c>
      <c r="AC4262" s="79" t="str">
        <f>IF(AND(OR(LEFT(TH!N4262,2)="15",LEFT(TH!O4262,2)="15"),TK!$E$7=TH!F4262),"x","")</f>
        <v/>
      </c>
      <c r="AD4262" s="79" t="str">
        <f>IF(AND(N4262="1521",MONTH(C4262)='BK-NL'!$M$11),"x","")</f>
        <v/>
      </c>
    </row>
    <row r="4263" spans="1:30" s="1304" customFormat="1" ht="16.5" customHeight="1">
      <c r="A4263" s="318" t="str">
        <f>IF(B4263&lt;&gt;"",IF(AND(B4263='[3]IN-TC'!$S$4,OR([3]TH!N3495="1111",[3]TH!O3495="1111")),[3]TH!D3495,""),"")</f>
        <v/>
      </c>
      <c r="B4263" s="60" t="str">
        <f t="shared" si="465"/>
        <v/>
      </c>
      <c r="C4263" s="974"/>
      <c r="D4263" s="974"/>
      <c r="E4263" s="974"/>
      <c r="F4263" s="975"/>
      <c r="G4263" s="975"/>
      <c r="H4263" s="1309"/>
      <c r="I4263" s="1247"/>
      <c r="J4263" s="391"/>
      <c r="K4263" s="1247"/>
      <c r="L4263" s="1248"/>
      <c r="M4263" s="78"/>
      <c r="N4263" s="979"/>
      <c r="O4263" s="979"/>
      <c r="P4263" s="79" t="str">
        <f>IF(AND('331-CT'!$E$7=TH!H4263,OR(N4263="331",O4263="331")),"x","")</f>
        <v/>
      </c>
      <c r="Q4263" s="79" t="str">
        <f>IF(AND(B4263='111'!$L$11,OR($N4263=$Q$7,$O4263=$Q$7)),"x","")</f>
        <v/>
      </c>
      <c r="R4263" s="79" t="str">
        <f>IF(AND($N4263=$Q$7,$B4263&lt;'111'!$L$11),"x","")</f>
        <v/>
      </c>
      <c r="S4263" s="79" t="str">
        <f>IF(AND($O4263=$Q$7,$B4263&lt;'111'!$L$11),"x","")</f>
        <v/>
      </c>
      <c r="T4263" s="79" t="str">
        <f>IF(ISERROR(FIND('112'!$M$9,G4263,1)),"",IF((AND(FIND('112'!$M$9,G4263,1)&gt;=1,B4263='112'!$K$9,OR($N4263='112'!$I$6,$O4263='112'!$I$6))),"x",""))</f>
        <v/>
      </c>
      <c r="U4263" s="79" t="str">
        <f>IF(ISERROR(FIND('112'!$M$9,G4263,1)),"",IF((AND(LEFT(G4263,2)=LEFT('112'!$M$9,2),B4263&lt;'112'!$K$9,$N4263='112'!$I$6)),"x",""))</f>
        <v/>
      </c>
      <c r="V4263" s="79" t="str">
        <f>IF(ISERROR(FIND('112'!$M$9,G4263,1)),"",IF((AND(RIGHT(G4263,2)=RIGHT('112'!$M$9,2),B4263&lt;'112'!$K$9,$O4263='112'!$I$6)),"x",""))</f>
        <v/>
      </c>
      <c r="W4263" s="79" t="str">
        <f>IF(AND('341-CT'!$H$9=H4263,OR(LEFT(N4263,3)=$W$7,LEFT(O4263,3)=$W$7)),"x","")</f>
        <v/>
      </c>
      <c r="X4263" s="79" t="str">
        <f>IF(OR(TH!N4263=TH!$X$7,O4263=TH!$X$7),"x","")</f>
        <v/>
      </c>
      <c r="Y4263" s="79" t="str">
        <f>IF(AND(OR(N4263="131",O4263="131"),H4263='131-CT'!$H$9),"x","")</f>
        <v/>
      </c>
      <c r="Z4263" s="79"/>
      <c r="AA4263" s="79" t="str">
        <f>IF(AND(MONTH(E4263)='IN-NX'!$J$5,'IN-NX'!$D$7=D4263),"x","")</f>
        <v/>
      </c>
      <c r="AB4263" s="79" t="str">
        <f>IF(AND(OR(LEFT(TH!N4263,2)="15",LEFT(TH!O4263,2)="15"),LEFT(TH!O4263,3)&lt;&gt;"111",'152-CT'!$J$8=TH!F4263),"x","")</f>
        <v/>
      </c>
      <c r="AC4263" s="79" t="str">
        <f>IF(AND(OR(LEFT(TH!N4263,2)="15",LEFT(TH!O4263,2)="15"),TK!$E$7=TH!F4263),"x","")</f>
        <v/>
      </c>
      <c r="AD4263" s="79" t="str">
        <f>IF(AND(N4263="1521",MONTH(C4263)='BK-NL'!$M$11),"x","")</f>
        <v/>
      </c>
    </row>
    <row r="4264" spans="1:30" s="1304" customFormat="1" ht="16.5" customHeight="1">
      <c r="A4264" s="318" t="str">
        <f>IF(B4264&lt;&gt;"",IF(AND(B4264='[3]IN-TC'!$S$4,OR([3]TH!N3496="1111",[3]TH!O3496="1111")),[3]TH!D3496,""),"")</f>
        <v/>
      </c>
      <c r="B4264" s="60" t="str">
        <f t="shared" si="465"/>
        <v/>
      </c>
      <c r="C4264" s="974"/>
      <c r="D4264" s="974"/>
      <c r="E4264" s="974"/>
      <c r="F4264" s="975"/>
      <c r="G4264" s="975"/>
      <c r="H4264" s="1309"/>
      <c r="I4264" s="1247"/>
      <c r="J4264" s="391"/>
      <c r="K4264" s="1247"/>
      <c r="L4264" s="1248"/>
      <c r="M4264" s="78"/>
      <c r="N4264" s="979"/>
      <c r="O4264" s="979"/>
      <c r="P4264" s="79" t="str">
        <f>IF(AND('331-CT'!$E$7=TH!H4264,OR(N4264="331",O4264="331")),"x","")</f>
        <v/>
      </c>
      <c r="Q4264" s="79" t="str">
        <f>IF(AND(B4264='111'!$L$11,OR($N4264=$Q$7,$O4264=$Q$7)),"x","")</f>
        <v/>
      </c>
      <c r="R4264" s="79" t="str">
        <f>IF(AND($N4264=$Q$7,$B4264&lt;'111'!$L$11),"x","")</f>
        <v/>
      </c>
      <c r="S4264" s="79" t="str">
        <f>IF(AND($O4264=$Q$7,$B4264&lt;'111'!$L$11),"x","")</f>
        <v/>
      </c>
      <c r="T4264" s="79" t="str">
        <f>IF(ISERROR(FIND('112'!$M$9,G4264,1)),"",IF((AND(FIND('112'!$M$9,G4264,1)&gt;=1,B4264='112'!$K$9,OR($N4264='112'!$I$6,$O4264='112'!$I$6))),"x",""))</f>
        <v/>
      </c>
      <c r="U4264" s="79" t="str">
        <f>IF(ISERROR(FIND('112'!$M$9,G4264,1)),"",IF((AND(LEFT(G4264,2)=LEFT('112'!$M$9,2),B4264&lt;'112'!$K$9,$N4264='112'!$I$6)),"x",""))</f>
        <v/>
      </c>
      <c r="V4264" s="79" t="str">
        <f>IF(ISERROR(FIND('112'!$M$9,G4264,1)),"",IF((AND(RIGHT(G4264,2)=RIGHT('112'!$M$9,2),B4264&lt;'112'!$K$9,$O4264='112'!$I$6)),"x",""))</f>
        <v/>
      </c>
      <c r="W4264" s="79" t="str">
        <f>IF(AND('341-CT'!$H$9=H4264,OR(LEFT(N4264,3)=$W$7,LEFT(O4264,3)=$W$7)),"x","")</f>
        <v/>
      </c>
      <c r="X4264" s="79" t="str">
        <f>IF(OR(TH!N4264=TH!$X$7,O4264=TH!$X$7),"x","")</f>
        <v/>
      </c>
      <c r="Y4264" s="79" t="str">
        <f>IF(AND(OR(N4264="131",O4264="131"),H4264='131-CT'!$H$9),"x","")</f>
        <v/>
      </c>
      <c r="Z4264" s="79"/>
      <c r="AA4264" s="79" t="str">
        <f>IF(AND(MONTH(E4264)='IN-NX'!$J$5,'IN-NX'!$D$7=D4264),"x","")</f>
        <v/>
      </c>
      <c r="AB4264" s="79" t="str">
        <f>IF(AND(OR(LEFT(TH!N4264,2)="15",LEFT(TH!O4264,2)="15"),LEFT(TH!O4264,3)&lt;&gt;"111",'152-CT'!$J$8=TH!F4264),"x","")</f>
        <v/>
      </c>
      <c r="AC4264" s="79" t="str">
        <f>IF(AND(OR(LEFT(TH!N4264,2)="15",LEFT(TH!O4264,2)="15"),TK!$E$7=TH!F4264),"x","")</f>
        <v/>
      </c>
      <c r="AD4264" s="79" t="str">
        <f>IF(AND(N4264="1521",MONTH(C4264)='BK-NL'!$M$11),"x","")</f>
        <v/>
      </c>
    </row>
    <row r="4265" spans="1:30" s="1304" customFormat="1" ht="16.5" customHeight="1">
      <c r="A4265" s="318" t="str">
        <f>IF(B4265&lt;&gt;"",IF(AND(B4265='[3]IN-TC'!$S$4,OR([3]TH!N3497="1111",[3]TH!O3497="1111")),[3]TH!D3497,""),"")</f>
        <v/>
      </c>
      <c r="B4265" s="60" t="str">
        <f t="shared" si="465"/>
        <v/>
      </c>
      <c r="C4265" s="974"/>
      <c r="D4265" s="974"/>
      <c r="E4265" s="974"/>
      <c r="F4265" s="975"/>
      <c r="G4265" s="975"/>
      <c r="H4265" s="1309"/>
      <c r="I4265" s="1247"/>
      <c r="J4265" s="391"/>
      <c r="K4265" s="1247"/>
      <c r="L4265" s="1248"/>
      <c r="M4265" s="78"/>
      <c r="N4265" s="979"/>
      <c r="O4265" s="979"/>
      <c r="P4265" s="79" t="str">
        <f>IF(AND('331-CT'!$E$7=TH!H4265,OR(N4265="331",O4265="331")),"x","")</f>
        <v/>
      </c>
      <c r="Q4265" s="79" t="str">
        <f>IF(AND(B4265='111'!$L$11,OR($N4265=$Q$7,$O4265=$Q$7)),"x","")</f>
        <v/>
      </c>
      <c r="R4265" s="79" t="str">
        <f>IF(AND($N4265=$Q$7,$B4265&lt;'111'!$L$11),"x","")</f>
        <v/>
      </c>
      <c r="S4265" s="79" t="str">
        <f>IF(AND($O4265=$Q$7,$B4265&lt;'111'!$L$11),"x","")</f>
        <v/>
      </c>
      <c r="T4265" s="79" t="str">
        <f>IF(ISERROR(FIND('112'!$M$9,G4265,1)),"",IF((AND(FIND('112'!$M$9,G4265,1)&gt;=1,B4265='112'!$K$9,OR($N4265='112'!$I$6,$O4265='112'!$I$6))),"x",""))</f>
        <v/>
      </c>
      <c r="U4265" s="79" t="str">
        <f>IF(ISERROR(FIND('112'!$M$9,G4265,1)),"",IF((AND(LEFT(G4265,2)=LEFT('112'!$M$9,2),B4265&lt;'112'!$K$9,$N4265='112'!$I$6)),"x",""))</f>
        <v/>
      </c>
      <c r="V4265" s="79" t="str">
        <f>IF(ISERROR(FIND('112'!$M$9,G4265,1)),"",IF((AND(RIGHT(G4265,2)=RIGHT('112'!$M$9,2),B4265&lt;'112'!$K$9,$O4265='112'!$I$6)),"x",""))</f>
        <v/>
      </c>
      <c r="W4265" s="79" t="str">
        <f>IF(AND('341-CT'!$H$9=H4265,OR(LEFT(N4265,3)=$W$7,LEFT(O4265,3)=$W$7)),"x","")</f>
        <v/>
      </c>
      <c r="X4265" s="79" t="str">
        <f>IF(OR(TH!N4265=TH!$X$7,O4265=TH!$X$7),"x","")</f>
        <v/>
      </c>
      <c r="Y4265" s="79" t="str">
        <f>IF(AND(OR(N4265="131",O4265="131"),H4265='131-CT'!$H$9),"x","")</f>
        <v/>
      </c>
      <c r="Z4265" s="79"/>
      <c r="AA4265" s="79" t="str">
        <f>IF(AND(MONTH(E4265)='IN-NX'!$J$5,'IN-NX'!$D$7=D4265),"x","")</f>
        <v/>
      </c>
      <c r="AB4265" s="79" t="str">
        <f>IF(AND(OR(LEFT(TH!N4265,2)="15",LEFT(TH!O4265,2)="15"),LEFT(TH!O4265,3)&lt;&gt;"111",'152-CT'!$J$8=TH!F4265),"x","")</f>
        <v/>
      </c>
      <c r="AC4265" s="79" t="str">
        <f>IF(AND(OR(LEFT(TH!N4265,2)="15",LEFT(TH!O4265,2)="15"),TK!$E$7=TH!F4265),"x","")</f>
        <v/>
      </c>
      <c r="AD4265" s="79" t="str">
        <f>IF(AND(N4265="1521",MONTH(C4265)='BK-NL'!$M$11),"x","")</f>
        <v/>
      </c>
    </row>
    <row r="4266" spans="1:30" s="1304" customFormat="1" ht="16.5" customHeight="1">
      <c r="A4266" s="318" t="str">
        <f>IF(B4266&lt;&gt;"",IF(AND(B4266='[3]IN-TC'!$S$4,OR([3]TH!N3498="1111",[3]TH!O3498="1111")),[3]TH!D3498,""),"")</f>
        <v/>
      </c>
      <c r="B4266" s="60" t="str">
        <f t="shared" si="465"/>
        <v/>
      </c>
      <c r="C4266" s="974"/>
      <c r="D4266" s="974"/>
      <c r="E4266" s="974"/>
      <c r="F4266" s="975"/>
      <c r="G4266" s="975"/>
      <c r="H4266" s="1309"/>
      <c r="I4266" s="1247"/>
      <c r="J4266" s="391"/>
      <c r="K4266" s="1247"/>
      <c r="L4266" s="1248"/>
      <c r="M4266" s="78"/>
      <c r="N4266" s="979"/>
      <c r="O4266" s="979"/>
      <c r="P4266" s="79" t="str">
        <f>IF(AND('331-CT'!$E$7=TH!H4266,OR(N4266="331",O4266="331")),"x","")</f>
        <v/>
      </c>
      <c r="Q4266" s="79" t="str">
        <f>IF(AND(B4266='111'!$L$11,OR($N4266=$Q$7,$O4266=$Q$7)),"x","")</f>
        <v/>
      </c>
      <c r="R4266" s="79" t="str">
        <f>IF(AND($N4266=$Q$7,$B4266&lt;'111'!$L$11),"x","")</f>
        <v/>
      </c>
      <c r="S4266" s="79" t="str">
        <f>IF(AND($O4266=$Q$7,$B4266&lt;'111'!$L$11),"x","")</f>
        <v/>
      </c>
      <c r="T4266" s="79" t="str">
        <f>IF(ISERROR(FIND('112'!$M$9,G4266,1)),"",IF((AND(FIND('112'!$M$9,G4266,1)&gt;=1,B4266='112'!$K$9,OR($N4266='112'!$I$6,$O4266='112'!$I$6))),"x",""))</f>
        <v/>
      </c>
      <c r="U4266" s="79" t="str">
        <f>IF(ISERROR(FIND('112'!$M$9,G4266,1)),"",IF((AND(LEFT(G4266,2)=LEFT('112'!$M$9,2),B4266&lt;'112'!$K$9,$N4266='112'!$I$6)),"x",""))</f>
        <v/>
      </c>
      <c r="V4266" s="79" t="str">
        <f>IF(ISERROR(FIND('112'!$M$9,G4266,1)),"",IF((AND(RIGHT(G4266,2)=RIGHT('112'!$M$9,2),B4266&lt;'112'!$K$9,$O4266='112'!$I$6)),"x",""))</f>
        <v/>
      </c>
      <c r="W4266" s="79" t="str">
        <f>IF(AND('341-CT'!$H$9=H4266,OR(LEFT(N4266,3)=$W$7,LEFT(O4266,3)=$W$7)),"x","")</f>
        <v/>
      </c>
      <c r="X4266" s="79" t="str">
        <f>IF(OR(TH!N4266=TH!$X$7,O4266=TH!$X$7),"x","")</f>
        <v/>
      </c>
      <c r="Y4266" s="79" t="str">
        <f>IF(AND(OR(N4266="131",O4266="131"),H4266='131-CT'!$H$9),"x","")</f>
        <v/>
      </c>
      <c r="Z4266" s="79"/>
      <c r="AA4266" s="79" t="str">
        <f>IF(AND(MONTH(E4266)='IN-NX'!$J$5,'IN-NX'!$D$7=D4266),"x","")</f>
        <v/>
      </c>
      <c r="AB4266" s="79" t="str">
        <f>IF(AND(OR(LEFT(TH!N4266,2)="15",LEFT(TH!O4266,2)="15"),LEFT(TH!O4266,3)&lt;&gt;"111",'152-CT'!$J$8=TH!F4266),"x","")</f>
        <v/>
      </c>
      <c r="AC4266" s="79" t="str">
        <f>IF(AND(OR(LEFT(TH!N4266,2)="15",LEFT(TH!O4266,2)="15"),TK!$E$7=TH!F4266),"x","")</f>
        <v/>
      </c>
      <c r="AD4266" s="79" t="str">
        <f>IF(AND(N4266="1521",MONTH(C4266)='BK-NL'!$M$11),"x","")</f>
        <v/>
      </c>
    </row>
    <row r="4267" spans="1:30" s="1304" customFormat="1" ht="16.5" customHeight="1">
      <c r="A4267" s="318" t="str">
        <f>IF(B4267&lt;&gt;"",IF(AND(B4267='[3]IN-TC'!$S$4,OR([3]TH!N3499="1111",[3]TH!O3499="1111")),[3]TH!D3499,""),"")</f>
        <v/>
      </c>
      <c r="B4267" s="60" t="str">
        <f t="shared" si="465"/>
        <v/>
      </c>
      <c r="C4267" s="974"/>
      <c r="D4267" s="974"/>
      <c r="E4267" s="974"/>
      <c r="F4267" s="975"/>
      <c r="G4267" s="975"/>
      <c r="H4267" s="1309"/>
      <c r="I4267" s="1247"/>
      <c r="J4267" s="391"/>
      <c r="K4267" s="1247"/>
      <c r="L4267" s="1248"/>
      <c r="M4267" s="78"/>
      <c r="N4267" s="979"/>
      <c r="O4267" s="979"/>
      <c r="P4267" s="79" t="str">
        <f>IF(AND('331-CT'!$E$7=TH!H4267,OR(N4267="331",O4267="331")),"x","")</f>
        <v/>
      </c>
      <c r="Q4267" s="79" t="str">
        <f>IF(AND(B4267='111'!$L$11,OR($N4267=$Q$7,$O4267=$Q$7)),"x","")</f>
        <v/>
      </c>
      <c r="R4267" s="79" t="str">
        <f>IF(AND($N4267=$Q$7,$B4267&lt;'111'!$L$11),"x","")</f>
        <v/>
      </c>
      <c r="S4267" s="79" t="str">
        <f>IF(AND($O4267=$Q$7,$B4267&lt;'111'!$L$11),"x","")</f>
        <v/>
      </c>
      <c r="T4267" s="79" t="str">
        <f>IF(ISERROR(FIND('112'!$M$9,G4267,1)),"",IF((AND(FIND('112'!$M$9,G4267,1)&gt;=1,B4267='112'!$K$9,OR($N4267='112'!$I$6,$O4267='112'!$I$6))),"x",""))</f>
        <v/>
      </c>
      <c r="U4267" s="79" t="str">
        <f>IF(ISERROR(FIND('112'!$M$9,G4267,1)),"",IF((AND(LEFT(G4267,2)=LEFT('112'!$M$9,2),B4267&lt;'112'!$K$9,$N4267='112'!$I$6)),"x",""))</f>
        <v/>
      </c>
      <c r="V4267" s="79" t="str">
        <f>IF(ISERROR(FIND('112'!$M$9,G4267,1)),"",IF((AND(RIGHT(G4267,2)=RIGHT('112'!$M$9,2),B4267&lt;'112'!$K$9,$O4267='112'!$I$6)),"x",""))</f>
        <v/>
      </c>
      <c r="W4267" s="79" t="str">
        <f>IF(AND('341-CT'!$H$9=H4267,OR(LEFT(N4267,3)=$W$7,LEFT(O4267,3)=$W$7)),"x","")</f>
        <v/>
      </c>
      <c r="X4267" s="79" t="str">
        <f>IF(OR(TH!N4267=TH!$X$7,O4267=TH!$X$7),"x","")</f>
        <v/>
      </c>
      <c r="Y4267" s="79" t="str">
        <f>IF(AND(OR(N4267="131",O4267="131"),H4267='131-CT'!$H$9),"x","")</f>
        <v/>
      </c>
      <c r="Z4267" s="79"/>
      <c r="AA4267" s="79" t="str">
        <f>IF(AND(MONTH(E4267)='IN-NX'!$J$5,'IN-NX'!$D$7=D4267),"x","")</f>
        <v/>
      </c>
      <c r="AB4267" s="79" t="str">
        <f>IF(AND(OR(LEFT(TH!N4267,2)="15",LEFT(TH!O4267,2)="15"),LEFT(TH!O4267,3)&lt;&gt;"111",'152-CT'!$J$8=TH!F4267),"x","")</f>
        <v/>
      </c>
      <c r="AC4267" s="79" t="str">
        <f>IF(AND(OR(LEFT(TH!N4267,2)="15",LEFT(TH!O4267,2)="15"),TK!$E$7=TH!F4267),"x","")</f>
        <v/>
      </c>
      <c r="AD4267" s="79" t="str">
        <f>IF(AND(N4267="1521",MONTH(C4267)='BK-NL'!$M$11),"x","")</f>
        <v/>
      </c>
    </row>
    <row r="4268" spans="1:30" s="1304" customFormat="1" ht="16.5" customHeight="1">
      <c r="A4268" s="318" t="str">
        <f>IF(B4268&lt;&gt;"",IF(AND(B4268='[3]IN-TC'!$S$4,OR([3]TH!N3500="1111",[3]TH!O3500="1111")),[3]TH!D3500,""),"")</f>
        <v/>
      </c>
      <c r="B4268" s="60" t="str">
        <f t="shared" si="465"/>
        <v/>
      </c>
      <c r="C4268" s="974"/>
      <c r="D4268" s="974"/>
      <c r="E4268" s="974"/>
      <c r="F4268" s="975"/>
      <c r="G4268" s="975"/>
      <c r="H4268" s="1309"/>
      <c r="I4268" s="1247"/>
      <c r="J4268" s="391"/>
      <c r="K4268" s="1247"/>
      <c r="L4268" s="1248"/>
      <c r="M4268" s="78"/>
      <c r="N4268" s="979"/>
      <c r="O4268" s="979"/>
      <c r="P4268" s="79" t="str">
        <f>IF(AND('331-CT'!$E$7=TH!H4268,OR(N4268="331",O4268="331")),"x","")</f>
        <v/>
      </c>
      <c r="Q4268" s="79" t="str">
        <f>IF(AND(B4268='111'!$L$11,OR($N4268=$Q$7,$O4268=$Q$7)),"x","")</f>
        <v/>
      </c>
      <c r="R4268" s="79" t="str">
        <f>IF(AND($N4268=$Q$7,$B4268&lt;'111'!$L$11),"x","")</f>
        <v/>
      </c>
      <c r="S4268" s="79" t="str">
        <f>IF(AND($O4268=$Q$7,$B4268&lt;'111'!$L$11),"x","")</f>
        <v/>
      </c>
      <c r="T4268" s="79" t="str">
        <f>IF(ISERROR(FIND('112'!$M$9,G4268,1)),"",IF((AND(FIND('112'!$M$9,G4268,1)&gt;=1,B4268='112'!$K$9,OR($N4268='112'!$I$6,$O4268='112'!$I$6))),"x",""))</f>
        <v/>
      </c>
      <c r="U4268" s="79" t="str">
        <f>IF(ISERROR(FIND('112'!$M$9,G4268,1)),"",IF((AND(LEFT(G4268,2)=LEFT('112'!$M$9,2),B4268&lt;'112'!$K$9,$N4268='112'!$I$6)),"x",""))</f>
        <v/>
      </c>
      <c r="V4268" s="79" t="str">
        <f>IF(ISERROR(FIND('112'!$M$9,G4268,1)),"",IF((AND(RIGHT(G4268,2)=RIGHT('112'!$M$9,2),B4268&lt;'112'!$K$9,$O4268='112'!$I$6)),"x",""))</f>
        <v/>
      </c>
      <c r="W4268" s="79" t="str">
        <f>IF(AND('341-CT'!$H$9=H4268,OR(LEFT(N4268,3)=$W$7,LEFT(O4268,3)=$W$7)),"x","")</f>
        <v/>
      </c>
      <c r="X4268" s="79" t="str">
        <f>IF(OR(TH!N4268=TH!$X$7,O4268=TH!$X$7),"x","")</f>
        <v/>
      </c>
      <c r="Y4268" s="79" t="str">
        <f>IF(AND(OR(N4268="131",O4268="131"),H4268='131-CT'!$H$9),"x","")</f>
        <v/>
      </c>
      <c r="Z4268" s="79"/>
      <c r="AA4268" s="79" t="str">
        <f>IF(AND(MONTH(E4268)='IN-NX'!$J$5,'IN-NX'!$D$7=D4268),"x","")</f>
        <v/>
      </c>
      <c r="AB4268" s="79" t="str">
        <f>IF(AND(OR(LEFT(TH!N4268,2)="15",LEFT(TH!O4268,2)="15"),LEFT(TH!O4268,3)&lt;&gt;"111",'152-CT'!$J$8=TH!F4268),"x","")</f>
        <v/>
      </c>
      <c r="AC4268" s="79" t="str">
        <f>IF(AND(OR(LEFT(TH!N4268,2)="15",LEFT(TH!O4268,2)="15"),TK!$E$7=TH!F4268),"x","")</f>
        <v/>
      </c>
      <c r="AD4268" s="79" t="str">
        <f>IF(AND(N4268="1521",MONTH(C4268)='BK-NL'!$M$11),"x","")</f>
        <v/>
      </c>
    </row>
    <row r="4269" spans="1:30" s="1304" customFormat="1" ht="16.5" customHeight="1">
      <c r="A4269" s="318" t="str">
        <f>IF(B4269&lt;&gt;"",IF(AND(B4269='[3]IN-TC'!$S$4,OR([3]TH!N3501="1111",[3]TH!O3501="1111")),[3]TH!D3501,""),"")</f>
        <v/>
      </c>
      <c r="B4269" s="60" t="str">
        <f t="shared" si="465"/>
        <v/>
      </c>
      <c r="C4269" s="974"/>
      <c r="D4269" s="974"/>
      <c r="E4269" s="974"/>
      <c r="F4269" s="975"/>
      <c r="G4269" s="975"/>
      <c r="H4269" s="1309"/>
      <c r="I4269" s="1247"/>
      <c r="J4269" s="391"/>
      <c r="K4269" s="1247"/>
      <c r="L4269" s="1248"/>
      <c r="M4269" s="78"/>
      <c r="N4269" s="979"/>
      <c r="O4269" s="979"/>
      <c r="P4269" s="79" t="str">
        <f>IF(AND('331-CT'!$E$7=TH!H4269,OR(N4269="331",O4269="331")),"x","")</f>
        <v/>
      </c>
      <c r="Q4269" s="79" t="str">
        <f>IF(AND(B4269='111'!$L$11,OR($N4269=$Q$7,$O4269=$Q$7)),"x","")</f>
        <v/>
      </c>
      <c r="R4269" s="79" t="str">
        <f>IF(AND($N4269=$Q$7,$B4269&lt;'111'!$L$11),"x","")</f>
        <v/>
      </c>
      <c r="S4269" s="79" t="str">
        <f>IF(AND($O4269=$Q$7,$B4269&lt;'111'!$L$11),"x","")</f>
        <v/>
      </c>
      <c r="T4269" s="79" t="str">
        <f>IF(ISERROR(FIND('112'!$M$9,G4269,1)),"",IF((AND(FIND('112'!$M$9,G4269,1)&gt;=1,B4269='112'!$K$9,OR($N4269='112'!$I$6,$O4269='112'!$I$6))),"x",""))</f>
        <v/>
      </c>
      <c r="U4269" s="79" t="str">
        <f>IF(ISERROR(FIND('112'!$M$9,G4269,1)),"",IF((AND(LEFT(G4269,2)=LEFT('112'!$M$9,2),B4269&lt;'112'!$K$9,$N4269='112'!$I$6)),"x",""))</f>
        <v/>
      </c>
      <c r="V4269" s="79" t="str">
        <f>IF(ISERROR(FIND('112'!$M$9,G4269,1)),"",IF((AND(RIGHT(G4269,2)=RIGHT('112'!$M$9,2),B4269&lt;'112'!$K$9,$O4269='112'!$I$6)),"x",""))</f>
        <v/>
      </c>
      <c r="W4269" s="79" t="str">
        <f>IF(AND('341-CT'!$H$9=H4269,OR(LEFT(N4269,3)=$W$7,LEFT(O4269,3)=$W$7)),"x","")</f>
        <v/>
      </c>
      <c r="X4269" s="79" t="str">
        <f>IF(OR(TH!N4269=TH!$X$7,O4269=TH!$X$7),"x","")</f>
        <v/>
      </c>
      <c r="Y4269" s="79" t="str">
        <f>IF(AND(OR(N4269="131",O4269="131"),H4269='131-CT'!$H$9),"x","")</f>
        <v/>
      </c>
      <c r="Z4269" s="79"/>
      <c r="AA4269" s="79" t="str">
        <f>IF(AND(MONTH(E4269)='IN-NX'!$J$5,'IN-NX'!$D$7=D4269),"x","")</f>
        <v/>
      </c>
      <c r="AB4269" s="79" t="str">
        <f>IF(AND(OR(LEFT(TH!N4269,2)="15",LEFT(TH!O4269,2)="15"),LEFT(TH!O4269,3)&lt;&gt;"111",'152-CT'!$J$8=TH!F4269),"x","")</f>
        <v/>
      </c>
      <c r="AC4269" s="79" t="str">
        <f>IF(AND(OR(LEFT(TH!N4269,2)="15",LEFT(TH!O4269,2)="15"),TK!$E$7=TH!F4269),"x","")</f>
        <v/>
      </c>
      <c r="AD4269" s="79" t="str">
        <f>IF(AND(N4269="1521",MONTH(C4269)='BK-NL'!$M$11),"x","")</f>
        <v/>
      </c>
    </row>
    <row r="4270" spans="1:30" s="1304" customFormat="1" ht="16.5" customHeight="1">
      <c r="A4270" s="318" t="str">
        <f>IF(B4270&lt;&gt;"",IF(AND(B4270='[3]IN-TC'!$S$4,OR([3]TH!N3502="1111",[3]TH!O3502="1111")),[3]TH!D3502,""),"")</f>
        <v/>
      </c>
      <c r="B4270" s="60" t="str">
        <f t="shared" si="465"/>
        <v/>
      </c>
      <c r="C4270" s="974"/>
      <c r="D4270" s="974"/>
      <c r="E4270" s="974"/>
      <c r="F4270" s="975"/>
      <c r="G4270" s="975"/>
      <c r="H4270" s="759"/>
      <c r="I4270" s="1247"/>
      <c r="J4270" s="391"/>
      <c r="K4270" s="1247"/>
      <c r="L4270" s="1248"/>
      <c r="M4270" s="78"/>
      <c r="N4270" s="979"/>
      <c r="O4270" s="979"/>
      <c r="P4270" s="79" t="str">
        <f>IF(AND('331-CT'!$E$7=TH!H4270,OR(N4270="331",O4270="331")),"x","")</f>
        <v/>
      </c>
      <c r="Q4270" s="79" t="str">
        <f>IF(AND(B4270='111'!$L$11,OR($N4270=$Q$7,$O4270=$Q$7)),"x","")</f>
        <v/>
      </c>
      <c r="R4270" s="79" t="str">
        <f>IF(AND($N4270=$Q$7,$B4270&lt;'111'!$L$11),"x","")</f>
        <v/>
      </c>
      <c r="S4270" s="79" t="str">
        <f>IF(AND($O4270=$Q$7,$B4270&lt;'111'!$L$11),"x","")</f>
        <v/>
      </c>
      <c r="T4270" s="79" t="str">
        <f>IF(ISERROR(FIND('112'!$M$9,G4270,1)),"",IF((AND(FIND('112'!$M$9,G4270,1)&gt;=1,B4270='112'!$K$9,OR($N4270='112'!$I$6,$O4270='112'!$I$6))),"x",""))</f>
        <v/>
      </c>
      <c r="U4270" s="79" t="str">
        <f>IF(ISERROR(FIND('112'!$M$9,G4270,1)),"",IF((AND(LEFT(G4270,2)=LEFT('112'!$M$9,2),B4270&lt;'112'!$K$9,$N4270='112'!$I$6)),"x",""))</f>
        <v/>
      </c>
      <c r="V4270" s="79" t="str">
        <f>IF(ISERROR(FIND('112'!$M$9,G4270,1)),"",IF((AND(RIGHT(G4270,2)=RIGHT('112'!$M$9,2),B4270&lt;'112'!$K$9,$O4270='112'!$I$6)),"x",""))</f>
        <v/>
      </c>
      <c r="W4270" s="79" t="str">
        <f>IF(AND('341-CT'!$H$9=H4270,OR(LEFT(N4270,3)=$W$7,LEFT(O4270,3)=$W$7)),"x","")</f>
        <v/>
      </c>
      <c r="X4270" s="79" t="str">
        <f>IF(OR(TH!N4270=TH!$X$7,O4270=TH!$X$7),"x","")</f>
        <v/>
      </c>
      <c r="Y4270" s="79" t="str">
        <f>IF(AND(OR(N4270="131",O4270="131"),H4270='131-CT'!$H$9),"x","")</f>
        <v/>
      </c>
      <c r="Z4270" s="79"/>
      <c r="AA4270" s="79" t="str">
        <f>IF(AND(MONTH(E4270)='IN-NX'!$J$5,'IN-NX'!$D$7=D4270),"x","")</f>
        <v/>
      </c>
      <c r="AB4270" s="79" t="str">
        <f>IF(AND(OR(LEFT(TH!N4270,2)="15",LEFT(TH!O4270,2)="15"),LEFT(TH!O4270,3)&lt;&gt;"111",'152-CT'!$J$8=TH!F4270),"x","")</f>
        <v/>
      </c>
      <c r="AC4270" s="79" t="str">
        <f>IF(AND(OR(LEFT(TH!N4270,2)="15",LEFT(TH!O4270,2)="15"),TK!$E$7=TH!F4270),"x","")</f>
        <v/>
      </c>
      <c r="AD4270" s="79" t="str">
        <f>IF(AND(N4270="1521",MONTH(C4270)='BK-NL'!$M$11),"x","")</f>
        <v/>
      </c>
    </row>
    <row r="4271" spans="1:30" s="1304" customFormat="1" ht="16.5" customHeight="1">
      <c r="A4271" s="318" t="str">
        <f>IF(B4271&lt;&gt;"",IF(AND(B4271='[3]IN-TC'!$S$4,OR([3]TH!N3503="1111",[3]TH!O3503="1111")),[3]TH!D3503,""),"")</f>
        <v/>
      </c>
      <c r="B4271" s="60" t="str">
        <f t="shared" si="465"/>
        <v/>
      </c>
      <c r="C4271" s="974"/>
      <c r="D4271" s="974"/>
      <c r="E4271" s="974"/>
      <c r="F4271" s="975"/>
      <c r="G4271" s="975"/>
      <c r="H4271" s="1309"/>
      <c r="I4271" s="1247"/>
      <c r="J4271" s="391"/>
      <c r="K4271" s="1247"/>
      <c r="L4271" s="1248"/>
      <c r="M4271" s="78"/>
      <c r="N4271" s="979"/>
      <c r="O4271" s="979"/>
      <c r="P4271" s="79" t="str">
        <f>IF(AND('331-CT'!$E$7=TH!H4271,OR(N4271="331",O4271="331")),"x","")</f>
        <v/>
      </c>
      <c r="Q4271" s="79" t="str">
        <f>IF(AND(B4271='111'!$L$11,OR($N4271=$Q$7,$O4271=$Q$7)),"x","")</f>
        <v/>
      </c>
      <c r="R4271" s="79" t="str">
        <f>IF(AND($N4271=$Q$7,$B4271&lt;'111'!$L$11),"x","")</f>
        <v/>
      </c>
      <c r="S4271" s="79" t="str">
        <f>IF(AND($O4271=$Q$7,$B4271&lt;'111'!$L$11),"x","")</f>
        <v/>
      </c>
      <c r="T4271" s="79" t="str">
        <f>IF(ISERROR(FIND('112'!$M$9,G4271,1)),"",IF((AND(FIND('112'!$M$9,G4271,1)&gt;=1,B4271='112'!$K$9,OR($N4271='112'!$I$6,$O4271='112'!$I$6))),"x",""))</f>
        <v/>
      </c>
      <c r="U4271" s="79" t="str">
        <f>IF(ISERROR(FIND('112'!$M$9,G4271,1)),"",IF((AND(LEFT(G4271,2)=LEFT('112'!$M$9,2),B4271&lt;'112'!$K$9,$N4271='112'!$I$6)),"x",""))</f>
        <v/>
      </c>
      <c r="V4271" s="79" t="str">
        <f>IF(ISERROR(FIND('112'!$M$9,G4271,1)),"",IF((AND(RIGHT(G4271,2)=RIGHT('112'!$M$9,2),B4271&lt;'112'!$K$9,$O4271='112'!$I$6)),"x",""))</f>
        <v/>
      </c>
      <c r="W4271" s="79" t="str">
        <f>IF(AND('341-CT'!$H$9=H4271,OR(LEFT(N4271,3)=$W$7,LEFT(O4271,3)=$W$7)),"x","")</f>
        <v/>
      </c>
      <c r="X4271" s="79" t="str">
        <f>IF(OR(TH!N4271=TH!$X$7,O4271=TH!$X$7),"x","")</f>
        <v/>
      </c>
      <c r="Y4271" s="79" t="str">
        <f>IF(AND(OR(N4271="131",O4271="131"),H4271='131-CT'!$H$9),"x","")</f>
        <v/>
      </c>
      <c r="Z4271" s="79"/>
      <c r="AA4271" s="79" t="str">
        <f>IF(AND(MONTH(E4271)='IN-NX'!$J$5,'IN-NX'!$D$7=D4271),"x","")</f>
        <v/>
      </c>
      <c r="AB4271" s="79" t="str">
        <f>IF(AND(OR(LEFT(TH!N4271,2)="15",LEFT(TH!O4271,2)="15"),LEFT(TH!O4271,3)&lt;&gt;"111",'152-CT'!$J$8=TH!F4271),"x","")</f>
        <v/>
      </c>
      <c r="AC4271" s="79" t="str">
        <f>IF(AND(OR(LEFT(TH!N4271,2)="15",LEFT(TH!O4271,2)="15"),TK!$E$7=TH!F4271),"x","")</f>
        <v/>
      </c>
      <c r="AD4271" s="79" t="str">
        <f>IF(AND(N4271="1521",MONTH(C4271)='BK-NL'!$M$11),"x","")</f>
        <v/>
      </c>
    </row>
    <row r="4272" spans="1:30" s="1304" customFormat="1" ht="16.5" customHeight="1">
      <c r="A4272" s="318" t="str">
        <f>IF(B4272&lt;&gt;"",IF(AND(B4272='[3]IN-TC'!$S$4,OR([3]TH!N3504="1111",[3]TH!O3504="1111")),[3]TH!D3504,""),"")</f>
        <v/>
      </c>
      <c r="B4272" s="60" t="str">
        <f t="shared" ref="B4272:B4287" si="466">IF(C4272&lt;&gt;"",MONTH(C4272),"")</f>
        <v/>
      </c>
      <c r="C4272" s="974"/>
      <c r="D4272" s="974"/>
      <c r="E4272" s="974"/>
      <c r="F4272" s="975"/>
      <c r="G4272" s="975"/>
      <c r="H4272" s="1309"/>
      <c r="I4272" s="1247"/>
      <c r="J4272" s="391"/>
      <c r="K4272" s="1247"/>
      <c r="L4272" s="1248"/>
      <c r="M4272" s="78"/>
      <c r="N4272" s="979"/>
      <c r="O4272" s="979"/>
      <c r="P4272" s="79" t="str">
        <f>IF(AND('331-CT'!$E$7=TH!H4272,OR(N4272="331",O4272="331")),"x","")</f>
        <v/>
      </c>
      <c r="Q4272" s="79" t="str">
        <f>IF(AND(B4272='111'!$L$11,OR($N4272=$Q$7,$O4272=$Q$7)),"x","")</f>
        <v/>
      </c>
      <c r="R4272" s="79" t="str">
        <f>IF(AND($N4272=$Q$7,$B4272&lt;'111'!$L$11),"x","")</f>
        <v/>
      </c>
      <c r="S4272" s="79" t="str">
        <f>IF(AND($O4272=$Q$7,$B4272&lt;'111'!$L$11),"x","")</f>
        <v/>
      </c>
      <c r="T4272" s="79" t="str">
        <f>IF(ISERROR(FIND('112'!$M$9,G4272,1)),"",IF((AND(FIND('112'!$M$9,G4272,1)&gt;=1,B4272='112'!$K$9,OR($N4272='112'!$I$6,$O4272='112'!$I$6))),"x",""))</f>
        <v/>
      </c>
      <c r="U4272" s="79" t="str">
        <f>IF(ISERROR(FIND('112'!$M$9,G4272,1)),"",IF((AND(LEFT(G4272,2)=LEFT('112'!$M$9,2),B4272&lt;'112'!$K$9,$N4272='112'!$I$6)),"x",""))</f>
        <v/>
      </c>
      <c r="V4272" s="79" t="str">
        <f>IF(ISERROR(FIND('112'!$M$9,G4272,1)),"",IF((AND(RIGHT(G4272,2)=RIGHT('112'!$M$9,2),B4272&lt;'112'!$K$9,$O4272='112'!$I$6)),"x",""))</f>
        <v/>
      </c>
      <c r="W4272" s="79" t="str">
        <f>IF(AND('341-CT'!$H$9=H4272,OR(LEFT(N4272,3)=$W$7,LEFT(O4272,3)=$W$7)),"x","")</f>
        <v/>
      </c>
      <c r="X4272" s="79" t="str">
        <f>IF(OR(TH!N4272=TH!$X$7,O4272=TH!$X$7),"x","")</f>
        <v/>
      </c>
      <c r="Y4272" s="79" t="str">
        <f>IF(AND(OR(N4272="131",O4272="131"),H4272='131-CT'!$H$9),"x","")</f>
        <v/>
      </c>
      <c r="Z4272" s="79"/>
      <c r="AA4272" s="79" t="str">
        <f>IF(AND(MONTH(E4272)='IN-NX'!$J$5,'IN-NX'!$D$7=D4272),"x","")</f>
        <v/>
      </c>
      <c r="AB4272" s="79" t="str">
        <f>IF(AND(OR(LEFT(TH!N4272,2)="15",LEFT(TH!O4272,2)="15"),LEFT(TH!O4272,3)&lt;&gt;"111",'152-CT'!$J$8=TH!F4272),"x","")</f>
        <v/>
      </c>
      <c r="AC4272" s="79" t="str">
        <f>IF(AND(OR(LEFT(TH!N4272,2)="15",LEFT(TH!O4272,2)="15"),TK!$E$7=TH!F4272),"x","")</f>
        <v/>
      </c>
      <c r="AD4272" s="79" t="str">
        <f>IF(AND(N4272="1521",MONTH(C4272)='BK-NL'!$M$11),"x","")</f>
        <v/>
      </c>
    </row>
    <row r="4273" spans="1:30" s="1304" customFormat="1" ht="16.5" customHeight="1">
      <c r="A4273" s="318" t="str">
        <f>IF(B4273&lt;&gt;"",IF(AND(B4273='[3]IN-TC'!$S$4,OR([3]TH!N3505="1111",[3]TH!O3505="1111")),[3]TH!D3505,""),"")</f>
        <v/>
      </c>
      <c r="B4273" s="60" t="str">
        <f t="shared" si="466"/>
        <v/>
      </c>
      <c r="C4273" s="974"/>
      <c r="D4273" s="974"/>
      <c r="E4273" s="974"/>
      <c r="F4273" s="975"/>
      <c r="G4273" s="975"/>
      <c r="H4273" s="759"/>
      <c r="I4273" s="1247"/>
      <c r="J4273" s="391"/>
      <c r="K4273" s="1247"/>
      <c r="L4273" s="1248"/>
      <c r="M4273" s="78"/>
      <c r="N4273" s="979"/>
      <c r="O4273" s="979"/>
      <c r="P4273" s="79" t="str">
        <f>IF(AND('331-CT'!$E$7=TH!H4273,OR(N4273="331",O4273="331")),"x","")</f>
        <v/>
      </c>
      <c r="Q4273" s="79" t="str">
        <f>IF(AND(B4273='111'!$L$11,OR($N4273=$Q$7,$O4273=$Q$7)),"x","")</f>
        <v/>
      </c>
      <c r="R4273" s="79" t="str">
        <f>IF(AND($N4273=$Q$7,$B4273&lt;'111'!$L$11),"x","")</f>
        <v/>
      </c>
      <c r="S4273" s="79" t="str">
        <f>IF(AND($O4273=$Q$7,$B4273&lt;'111'!$L$11),"x","")</f>
        <v/>
      </c>
      <c r="T4273" s="79" t="str">
        <f>IF(ISERROR(FIND('112'!$M$9,G4273,1)),"",IF((AND(FIND('112'!$M$9,G4273,1)&gt;=1,B4273='112'!$K$9,OR($N4273='112'!$I$6,$O4273='112'!$I$6))),"x",""))</f>
        <v/>
      </c>
      <c r="U4273" s="79" t="str">
        <f>IF(ISERROR(FIND('112'!$M$9,G4273,1)),"",IF((AND(LEFT(G4273,2)=LEFT('112'!$M$9,2),B4273&lt;'112'!$K$9,$N4273='112'!$I$6)),"x",""))</f>
        <v/>
      </c>
      <c r="V4273" s="79" t="str">
        <f>IF(ISERROR(FIND('112'!$M$9,G4273,1)),"",IF((AND(RIGHT(G4273,2)=RIGHT('112'!$M$9,2),B4273&lt;'112'!$K$9,$O4273='112'!$I$6)),"x",""))</f>
        <v/>
      </c>
      <c r="W4273" s="79" t="str">
        <f>IF(AND('341-CT'!$H$9=H4273,OR(LEFT(N4273,3)=$W$7,LEFT(O4273,3)=$W$7)),"x","")</f>
        <v/>
      </c>
      <c r="X4273" s="79" t="str">
        <f>IF(OR(TH!N4273=TH!$X$7,O4273=TH!$X$7),"x","")</f>
        <v/>
      </c>
      <c r="Y4273" s="79" t="str">
        <f>IF(AND(OR(N4273="131",O4273="131"),H4273='131-CT'!$H$9),"x","")</f>
        <v/>
      </c>
      <c r="Z4273" s="79"/>
      <c r="AA4273" s="79" t="str">
        <f>IF(AND(MONTH(E4273)='IN-NX'!$J$5,'IN-NX'!$D$7=D4273),"x","")</f>
        <v/>
      </c>
      <c r="AB4273" s="79" t="str">
        <f>IF(AND(OR(LEFT(TH!N4273,2)="15",LEFT(TH!O4273,2)="15"),LEFT(TH!O4273,3)&lt;&gt;"111",'152-CT'!$J$8=TH!F4273),"x","")</f>
        <v/>
      </c>
      <c r="AC4273" s="79" t="str">
        <f>IF(AND(OR(LEFT(TH!N4273,2)="15",LEFT(TH!O4273,2)="15"),TK!$E$7=TH!F4273),"x","")</f>
        <v/>
      </c>
      <c r="AD4273" s="79" t="str">
        <f>IF(AND(N4273="1521",MONTH(C4273)='BK-NL'!$M$11),"x","")</f>
        <v/>
      </c>
    </row>
    <row r="4274" spans="1:30" s="1304" customFormat="1" ht="16.5" customHeight="1">
      <c r="A4274" s="318" t="str">
        <f>IF(B4274&lt;&gt;"",IF(AND(B4274='[3]IN-TC'!$S$4,OR([3]TH!N3506="1111",[3]TH!O3506="1111")),[3]TH!D3506,""),"")</f>
        <v/>
      </c>
      <c r="B4274" s="60" t="str">
        <f t="shared" ref="B4274" si="467">IF(C4274&lt;&gt;"",MONTH(C4274),"")</f>
        <v/>
      </c>
      <c r="C4274" s="974"/>
      <c r="D4274" s="974"/>
      <c r="E4274" s="974"/>
      <c r="F4274" s="975"/>
      <c r="G4274" s="975"/>
      <c r="H4274" s="759"/>
      <c r="I4274" s="1247"/>
      <c r="J4274" s="391"/>
      <c r="K4274" s="1247"/>
      <c r="L4274" s="1248"/>
      <c r="M4274" s="78"/>
      <c r="N4274" s="979"/>
      <c r="O4274" s="979"/>
      <c r="P4274" s="79" t="str">
        <f>IF(AND('331-CT'!$E$7=TH!H4274,OR(N4274="331",O4274="331")),"x","")</f>
        <v/>
      </c>
      <c r="Q4274" s="79" t="str">
        <f>IF(AND(B4274='111'!$L$11,OR($N4274=$Q$7,$O4274=$Q$7)),"x","")</f>
        <v/>
      </c>
      <c r="R4274" s="79" t="str">
        <f>IF(AND($N4274=$Q$7,$B4274&lt;'111'!$L$11),"x","")</f>
        <v/>
      </c>
      <c r="S4274" s="79" t="str">
        <f>IF(AND($O4274=$Q$7,$B4274&lt;'111'!$L$11),"x","")</f>
        <v/>
      </c>
      <c r="T4274" s="79" t="str">
        <f>IF(ISERROR(FIND('112'!$M$9,G4274,1)),"",IF((AND(FIND('112'!$M$9,G4274,1)&gt;=1,B4274='112'!$K$9,OR($N4274='112'!$I$6,$O4274='112'!$I$6))),"x",""))</f>
        <v/>
      </c>
      <c r="U4274" s="79" t="str">
        <f>IF(ISERROR(FIND('112'!$M$9,G4274,1)),"",IF((AND(LEFT(G4274,2)=LEFT('112'!$M$9,2),B4274&lt;'112'!$K$9,$N4274='112'!$I$6)),"x",""))</f>
        <v/>
      </c>
      <c r="V4274" s="79" t="str">
        <f>IF(ISERROR(FIND('112'!$M$9,G4274,1)),"",IF((AND(RIGHT(G4274,2)=RIGHT('112'!$M$9,2),B4274&lt;'112'!$K$9,$O4274='112'!$I$6)),"x",""))</f>
        <v/>
      </c>
      <c r="W4274" s="79" t="str">
        <f>IF(AND('341-CT'!$H$9=H4274,OR(LEFT(N4274,3)=$W$7,LEFT(O4274,3)=$W$7)),"x","")</f>
        <v/>
      </c>
      <c r="X4274" s="79" t="str">
        <f>IF(OR(TH!N4274=TH!$X$7,O4274=TH!$X$7),"x","")</f>
        <v/>
      </c>
      <c r="Y4274" s="79" t="str">
        <f>IF(AND(OR(N4274="131",O4274="131"),H4274='131-CT'!$H$9),"x","")</f>
        <v/>
      </c>
      <c r="Z4274" s="79"/>
      <c r="AA4274" s="79" t="str">
        <f>IF(AND(MONTH(E4274)='IN-NX'!$J$5,'IN-NX'!$D$7=D4274),"x","")</f>
        <v/>
      </c>
      <c r="AB4274" s="79" t="str">
        <f>IF(AND(OR(LEFT(TH!N4274,2)="15",LEFT(TH!O4274,2)="15"),LEFT(TH!O4274,3)&lt;&gt;"111",'152-CT'!$J$8=TH!F4274),"x","")</f>
        <v/>
      </c>
      <c r="AC4274" s="79" t="str">
        <f>IF(AND(OR(LEFT(TH!N4274,2)="15",LEFT(TH!O4274,2)="15"),TK!$E$7=TH!F4274),"x","")</f>
        <v/>
      </c>
      <c r="AD4274" s="79" t="str">
        <f>IF(AND(N4274="1521",MONTH(C4274)='BK-NL'!$M$11),"x","")</f>
        <v/>
      </c>
    </row>
    <row r="4275" spans="1:30" s="1304" customFormat="1" ht="16.5" customHeight="1">
      <c r="A4275" s="318" t="str">
        <f>IF(B4275&lt;&gt;"",IF(AND(B4275='[3]IN-TC'!$S$4,OR([3]TH!N3507="1111",[3]TH!O3507="1111")),[3]TH!D3507,""),"")</f>
        <v/>
      </c>
      <c r="B4275" s="60" t="str">
        <f t="shared" ref="B4275" si="468">IF(C4275&lt;&gt;"",MONTH(C4275),"")</f>
        <v/>
      </c>
      <c r="C4275" s="974"/>
      <c r="D4275" s="974"/>
      <c r="E4275" s="974"/>
      <c r="F4275" s="975"/>
      <c r="G4275" s="975"/>
      <c r="H4275" s="759"/>
      <c r="I4275" s="1247"/>
      <c r="J4275" s="391"/>
      <c r="K4275" s="1247"/>
      <c r="L4275" s="1248"/>
      <c r="M4275" s="78"/>
      <c r="N4275" s="979"/>
      <c r="O4275" s="979"/>
      <c r="P4275" s="79" t="str">
        <f>IF(AND('331-CT'!$E$7=TH!H4275,OR(N4275="331",O4275="331")),"x","")</f>
        <v/>
      </c>
      <c r="Q4275" s="79" t="str">
        <f>IF(AND(B4275='111'!$L$11,OR($N4275=$Q$7,$O4275=$Q$7)),"x","")</f>
        <v/>
      </c>
      <c r="R4275" s="79" t="str">
        <f>IF(AND($N4275=$Q$7,$B4275&lt;'111'!$L$11),"x","")</f>
        <v/>
      </c>
      <c r="S4275" s="79" t="str">
        <f>IF(AND($O4275=$Q$7,$B4275&lt;'111'!$L$11),"x","")</f>
        <v/>
      </c>
      <c r="T4275" s="79" t="str">
        <f>IF(ISERROR(FIND('112'!$M$9,G4275,1)),"",IF((AND(FIND('112'!$M$9,G4275,1)&gt;=1,B4275='112'!$K$9,OR($N4275='112'!$I$6,$O4275='112'!$I$6))),"x",""))</f>
        <v/>
      </c>
      <c r="U4275" s="79" t="str">
        <f>IF(ISERROR(FIND('112'!$M$9,G4275,1)),"",IF((AND(LEFT(G4275,2)=LEFT('112'!$M$9,2),B4275&lt;'112'!$K$9,$N4275='112'!$I$6)),"x",""))</f>
        <v/>
      </c>
      <c r="V4275" s="79" t="str">
        <f>IF(ISERROR(FIND('112'!$M$9,G4275,1)),"",IF((AND(RIGHT(G4275,2)=RIGHT('112'!$M$9,2),B4275&lt;'112'!$K$9,$O4275='112'!$I$6)),"x",""))</f>
        <v/>
      </c>
      <c r="W4275" s="79" t="str">
        <f>IF(AND('341-CT'!$H$9=H4275,OR(LEFT(N4275,3)=$W$7,LEFT(O4275,3)=$W$7)),"x","")</f>
        <v/>
      </c>
      <c r="X4275" s="79" t="str">
        <f>IF(OR(TH!N4275=TH!$X$7,O4275=TH!$X$7),"x","")</f>
        <v/>
      </c>
      <c r="Y4275" s="79" t="str">
        <f>IF(AND(OR(N4275="131",O4275="131"),H4275='131-CT'!$H$9),"x","")</f>
        <v/>
      </c>
      <c r="Z4275" s="79"/>
      <c r="AA4275" s="79" t="str">
        <f>IF(AND(MONTH(E4275)='IN-NX'!$J$5,'IN-NX'!$D$7=D4275),"x","")</f>
        <v/>
      </c>
      <c r="AB4275" s="79" t="str">
        <f>IF(AND(OR(LEFT(TH!N4275,2)="15",LEFT(TH!O4275,2)="15"),LEFT(TH!O4275,3)&lt;&gt;"111",'152-CT'!$J$8=TH!F4275),"x","")</f>
        <v/>
      </c>
      <c r="AC4275" s="79" t="str">
        <f>IF(AND(OR(LEFT(TH!N4275,2)="15",LEFT(TH!O4275,2)="15"),TK!$E$7=TH!F4275),"x","")</f>
        <v/>
      </c>
      <c r="AD4275" s="79" t="str">
        <f>IF(AND(N4275="1521",MONTH(C4275)='BK-NL'!$M$11),"x","")</f>
        <v/>
      </c>
    </row>
    <row r="4276" spans="1:30" s="1304" customFormat="1" ht="16.5" customHeight="1">
      <c r="A4276" s="318" t="str">
        <f>IF(B4276&lt;&gt;"",IF(AND(B4276='[3]IN-TC'!$S$4,OR([3]TH!N3508="1111",[3]TH!O3508="1111")),[3]TH!D3508,""),"")</f>
        <v/>
      </c>
      <c r="B4276" s="60" t="str">
        <f t="shared" ref="B4276:B4277" si="469">IF(C4276&lt;&gt;"",MONTH(C4276),"")</f>
        <v/>
      </c>
      <c r="C4276" s="974"/>
      <c r="D4276" s="974"/>
      <c r="E4276" s="974"/>
      <c r="F4276" s="975"/>
      <c r="G4276" s="975"/>
      <c r="H4276" s="759"/>
      <c r="I4276" s="1247"/>
      <c r="J4276" s="391"/>
      <c r="K4276" s="1247"/>
      <c r="L4276" s="1248"/>
      <c r="M4276" s="78"/>
      <c r="N4276" s="979"/>
      <c r="O4276" s="979"/>
      <c r="P4276" s="79" t="str">
        <f>IF(AND('331-CT'!$E$7=TH!H4276,OR(N4276="331",O4276="331")),"x","")</f>
        <v/>
      </c>
      <c r="Q4276" s="79" t="str">
        <f>IF(AND(B4276='111'!$L$11,OR($N4276=$Q$7,$O4276=$Q$7)),"x","")</f>
        <v/>
      </c>
      <c r="R4276" s="79" t="str">
        <f>IF(AND($N4276=$Q$7,$B4276&lt;'111'!$L$11),"x","")</f>
        <v/>
      </c>
      <c r="S4276" s="79" t="str">
        <f>IF(AND($O4276=$Q$7,$B4276&lt;'111'!$L$11),"x","")</f>
        <v/>
      </c>
      <c r="T4276" s="79" t="str">
        <f>IF(ISERROR(FIND('112'!$M$9,G4276,1)),"",IF((AND(FIND('112'!$M$9,G4276,1)&gt;=1,B4276='112'!$K$9,OR($N4276='112'!$I$6,$O4276='112'!$I$6))),"x",""))</f>
        <v/>
      </c>
      <c r="U4276" s="79" t="str">
        <f>IF(ISERROR(FIND('112'!$M$9,G4276,1)),"",IF((AND(LEFT(G4276,2)=LEFT('112'!$M$9,2),B4276&lt;'112'!$K$9,$N4276='112'!$I$6)),"x",""))</f>
        <v/>
      </c>
      <c r="V4276" s="79" t="str">
        <f>IF(ISERROR(FIND('112'!$M$9,G4276,1)),"",IF((AND(RIGHT(G4276,2)=RIGHT('112'!$M$9,2),B4276&lt;'112'!$K$9,$O4276='112'!$I$6)),"x",""))</f>
        <v/>
      </c>
      <c r="W4276" s="79" t="str">
        <f>IF(AND('341-CT'!$H$9=H4276,OR(LEFT(N4276,3)=$W$7,LEFT(O4276,3)=$W$7)),"x","")</f>
        <v/>
      </c>
      <c r="X4276" s="79" t="str">
        <f>IF(OR(TH!N4276=TH!$X$7,O4276=TH!$X$7),"x","")</f>
        <v/>
      </c>
      <c r="Y4276" s="79" t="str">
        <f>IF(AND(OR(N4276="131",O4276="131"),H4276='131-CT'!$H$9),"x","")</f>
        <v/>
      </c>
      <c r="Z4276" s="79"/>
      <c r="AA4276" s="79" t="str">
        <f>IF(AND(MONTH(E4276)='IN-NX'!$J$5,'IN-NX'!$D$7=D4276),"x","")</f>
        <v/>
      </c>
      <c r="AB4276" s="79" t="str">
        <f>IF(AND(OR(LEFT(TH!N4276,2)="15",LEFT(TH!O4276,2)="15"),LEFT(TH!O4276,3)&lt;&gt;"111",'152-CT'!$J$8=TH!F4276),"x","")</f>
        <v/>
      </c>
      <c r="AC4276" s="79" t="str">
        <f>IF(AND(OR(LEFT(TH!N4276,2)="15",LEFT(TH!O4276,2)="15"),TK!$E$7=TH!F4276),"x","")</f>
        <v/>
      </c>
      <c r="AD4276" s="79" t="str">
        <f>IF(AND(N4276="1521",MONTH(C4276)='BK-NL'!$M$11),"x","")</f>
        <v/>
      </c>
    </row>
    <row r="4277" spans="1:30" s="1304" customFormat="1" ht="16.5" customHeight="1">
      <c r="A4277" s="318" t="str">
        <f>IF(B4277&lt;&gt;"",IF(AND(B4277='[3]IN-TC'!$S$4,OR([3]TH!N3509="1111",[3]TH!O3509="1111")),[3]TH!D3509,""),"")</f>
        <v/>
      </c>
      <c r="B4277" s="60" t="str">
        <f t="shared" si="469"/>
        <v/>
      </c>
      <c r="C4277" s="974"/>
      <c r="D4277" s="974"/>
      <c r="E4277" s="974"/>
      <c r="F4277" s="975"/>
      <c r="G4277" s="975"/>
      <c r="H4277" s="759"/>
      <c r="I4277" s="1247"/>
      <c r="J4277" s="391"/>
      <c r="K4277" s="1247"/>
      <c r="L4277" s="1248"/>
      <c r="M4277" s="78"/>
      <c r="N4277" s="979"/>
      <c r="O4277" s="979"/>
      <c r="P4277" s="79" t="str">
        <f>IF(AND('331-CT'!$E$7=TH!H4277,OR(N4277="331",O4277="331")),"x","")</f>
        <v/>
      </c>
      <c r="Q4277" s="79" t="str">
        <f>IF(AND(B4277='111'!$L$11,OR($N4277=$Q$7,$O4277=$Q$7)),"x","")</f>
        <v/>
      </c>
      <c r="R4277" s="79" t="str">
        <f>IF(AND($N4277=$Q$7,$B4277&lt;'111'!$L$11),"x","")</f>
        <v/>
      </c>
      <c r="S4277" s="79" t="str">
        <f>IF(AND($O4277=$Q$7,$B4277&lt;'111'!$L$11),"x","")</f>
        <v/>
      </c>
      <c r="T4277" s="79" t="str">
        <f>IF(ISERROR(FIND('112'!$M$9,G4277,1)),"",IF((AND(FIND('112'!$M$9,G4277,1)&gt;=1,B4277='112'!$K$9,OR($N4277='112'!$I$6,$O4277='112'!$I$6))),"x",""))</f>
        <v/>
      </c>
      <c r="U4277" s="79" t="str">
        <f>IF(ISERROR(FIND('112'!$M$9,G4277,1)),"",IF((AND(LEFT(G4277,2)=LEFT('112'!$M$9,2),B4277&lt;'112'!$K$9,$N4277='112'!$I$6)),"x",""))</f>
        <v/>
      </c>
      <c r="V4277" s="79" t="str">
        <f>IF(ISERROR(FIND('112'!$M$9,G4277,1)),"",IF((AND(RIGHT(G4277,2)=RIGHT('112'!$M$9,2),B4277&lt;'112'!$K$9,$O4277='112'!$I$6)),"x",""))</f>
        <v/>
      </c>
      <c r="W4277" s="79" t="str">
        <f>IF(AND('341-CT'!$H$9=H4277,OR(LEFT(N4277,3)=$W$7,LEFT(O4277,3)=$W$7)),"x","")</f>
        <v/>
      </c>
      <c r="X4277" s="79" t="str">
        <f>IF(OR(TH!N4277=TH!$X$7,O4277=TH!$X$7),"x","")</f>
        <v/>
      </c>
      <c r="Y4277" s="79" t="str">
        <f>IF(AND(OR(N4277="131",O4277="131"),H4277='131-CT'!$H$9),"x","")</f>
        <v/>
      </c>
      <c r="Z4277" s="79"/>
      <c r="AA4277" s="79" t="str">
        <f>IF(AND(MONTH(E4277)='IN-NX'!$J$5,'IN-NX'!$D$7=D4277),"x","")</f>
        <v/>
      </c>
      <c r="AB4277" s="79" t="str">
        <f>IF(AND(OR(LEFT(TH!N4277,2)="15",LEFT(TH!O4277,2)="15"),LEFT(TH!O4277,3)&lt;&gt;"111",'152-CT'!$J$8=TH!F4277),"x","")</f>
        <v/>
      </c>
      <c r="AC4277" s="79" t="str">
        <f>IF(AND(OR(LEFT(TH!N4277,2)="15",LEFT(TH!O4277,2)="15"),TK!$E$7=TH!F4277),"x","")</f>
        <v/>
      </c>
      <c r="AD4277" s="79" t="str">
        <f>IF(AND(N4277="1521",MONTH(C4277)='BK-NL'!$M$11),"x","")</f>
        <v/>
      </c>
    </row>
    <row r="4278" spans="1:30" s="1304" customFormat="1" ht="16.5" customHeight="1">
      <c r="A4278" s="318" t="str">
        <f>IF(B4278&lt;&gt;"",IF(AND(B4278='[3]IN-TC'!$S$4,OR([3]TH!N3510="1111",[3]TH!O3510="1111")),[3]TH!D3510,""),"")</f>
        <v/>
      </c>
      <c r="B4278" s="60" t="str">
        <f t="shared" si="466"/>
        <v/>
      </c>
      <c r="C4278" s="974"/>
      <c r="D4278" s="974"/>
      <c r="E4278" s="974"/>
      <c r="F4278" s="975"/>
      <c r="G4278" s="975"/>
      <c r="H4278" s="759"/>
      <c r="I4278" s="1247"/>
      <c r="J4278" s="391"/>
      <c r="K4278" s="1247"/>
      <c r="L4278" s="1248"/>
      <c r="M4278" s="78"/>
      <c r="N4278" s="979"/>
      <c r="O4278" s="979"/>
      <c r="P4278" s="79" t="str">
        <f>IF(AND('331-CT'!$E$7=TH!H4278,OR(N4278="331",O4278="331")),"x","")</f>
        <v/>
      </c>
      <c r="Q4278" s="79" t="str">
        <f>IF(AND(B4278='111'!$L$11,OR($N4278=$Q$7,$O4278=$Q$7)),"x","")</f>
        <v/>
      </c>
      <c r="R4278" s="79" t="str">
        <f>IF(AND($N4278=$Q$7,$B4278&lt;'111'!$L$11),"x","")</f>
        <v/>
      </c>
      <c r="S4278" s="79" t="str">
        <f>IF(AND($O4278=$Q$7,$B4278&lt;'111'!$L$11),"x","")</f>
        <v/>
      </c>
      <c r="T4278" s="79" t="str">
        <f>IF(ISERROR(FIND('112'!$M$9,G4278,1)),"",IF((AND(FIND('112'!$M$9,G4278,1)&gt;=1,B4278='112'!$K$9,OR($N4278='112'!$I$6,$O4278='112'!$I$6))),"x",""))</f>
        <v/>
      </c>
      <c r="U4278" s="79" t="str">
        <f>IF(ISERROR(FIND('112'!$M$9,G4278,1)),"",IF((AND(LEFT(G4278,2)=LEFT('112'!$M$9,2),B4278&lt;'112'!$K$9,$N4278='112'!$I$6)),"x",""))</f>
        <v/>
      </c>
      <c r="V4278" s="79" t="str">
        <f>IF(ISERROR(FIND('112'!$M$9,G4278,1)),"",IF((AND(RIGHT(G4278,2)=RIGHT('112'!$M$9,2),B4278&lt;'112'!$K$9,$O4278='112'!$I$6)),"x",""))</f>
        <v/>
      </c>
      <c r="W4278" s="79" t="str">
        <f>IF(AND('341-CT'!$H$9=H4278,OR(LEFT(N4278,3)=$W$7,LEFT(O4278,3)=$W$7)),"x","")</f>
        <v/>
      </c>
      <c r="X4278" s="79" t="str">
        <f>IF(OR(TH!N4278=TH!$X$7,O4278=TH!$X$7),"x","")</f>
        <v/>
      </c>
      <c r="Y4278" s="79" t="str">
        <f>IF(AND(OR(N4278="131",O4278="131"),H4278='131-CT'!$H$9),"x","")</f>
        <v/>
      </c>
      <c r="Z4278" s="79"/>
      <c r="AA4278" s="79" t="str">
        <f>IF(AND(MONTH(E4278)='IN-NX'!$J$5,'IN-NX'!$D$7=D4278),"x","")</f>
        <v/>
      </c>
      <c r="AB4278" s="79" t="str">
        <f>IF(AND(OR(LEFT(TH!N4278,2)="15",LEFT(TH!O4278,2)="15"),LEFT(TH!O4278,3)&lt;&gt;"111",'152-CT'!$J$8=TH!F4278),"x","")</f>
        <v/>
      </c>
      <c r="AC4278" s="79" t="str">
        <f>IF(AND(OR(LEFT(TH!N4278,2)="15",LEFT(TH!O4278,2)="15"),TK!$E$7=TH!F4278),"x","")</f>
        <v/>
      </c>
      <c r="AD4278" s="79" t="str">
        <f>IF(AND(N4278="1521",MONTH(C4278)='BK-NL'!$M$11),"x","")</f>
        <v/>
      </c>
    </row>
    <row r="4279" spans="1:30" s="1304" customFormat="1" ht="16.5" customHeight="1">
      <c r="A4279" s="318" t="str">
        <f>IF(B4279&lt;&gt;"",IF(AND(B4279='[3]IN-TC'!$S$4,OR([3]TH!N3511="1111",[3]TH!O3511="1111")),[3]TH!D3511,""),"")</f>
        <v/>
      </c>
      <c r="B4279" s="60" t="str">
        <f t="shared" si="466"/>
        <v/>
      </c>
      <c r="C4279" s="974"/>
      <c r="D4279" s="974"/>
      <c r="E4279" s="974"/>
      <c r="F4279" s="975"/>
      <c r="G4279" s="975"/>
      <c r="H4279" s="759"/>
      <c r="I4279" s="1247"/>
      <c r="J4279" s="391"/>
      <c r="K4279" s="1247"/>
      <c r="L4279" s="1248"/>
      <c r="M4279" s="78"/>
      <c r="N4279" s="979"/>
      <c r="O4279" s="979"/>
      <c r="P4279" s="79" t="str">
        <f>IF(AND('331-CT'!$E$7=TH!H4279,OR(N4279="331",O4279="331")),"x","")</f>
        <v/>
      </c>
      <c r="Q4279" s="79" t="str">
        <f>IF(AND(B4279='111'!$L$11,OR($N4279=$Q$7,$O4279=$Q$7)),"x","")</f>
        <v/>
      </c>
      <c r="R4279" s="79" t="str">
        <f>IF(AND($N4279=$Q$7,$B4279&lt;'111'!$L$11),"x","")</f>
        <v/>
      </c>
      <c r="S4279" s="79" t="str">
        <f>IF(AND($O4279=$Q$7,$B4279&lt;'111'!$L$11),"x","")</f>
        <v/>
      </c>
      <c r="T4279" s="79" t="str">
        <f>IF(ISERROR(FIND('112'!$M$9,G4279,1)),"",IF((AND(FIND('112'!$M$9,G4279,1)&gt;=1,B4279='112'!$K$9,OR($N4279='112'!$I$6,$O4279='112'!$I$6))),"x",""))</f>
        <v/>
      </c>
      <c r="U4279" s="79" t="str">
        <f>IF(ISERROR(FIND('112'!$M$9,G4279,1)),"",IF((AND(LEFT(G4279,2)=LEFT('112'!$M$9,2),B4279&lt;'112'!$K$9,$N4279='112'!$I$6)),"x",""))</f>
        <v/>
      </c>
      <c r="V4279" s="79" t="str">
        <f>IF(ISERROR(FIND('112'!$M$9,G4279,1)),"",IF((AND(RIGHT(G4279,2)=RIGHT('112'!$M$9,2),B4279&lt;'112'!$K$9,$O4279='112'!$I$6)),"x",""))</f>
        <v/>
      </c>
      <c r="W4279" s="79" t="str">
        <f>IF(AND('341-CT'!$H$9=H4279,OR(LEFT(N4279,3)=$W$7,LEFT(O4279,3)=$W$7)),"x","")</f>
        <v/>
      </c>
      <c r="X4279" s="79" t="str">
        <f>IF(OR(TH!N4279=TH!$X$7,O4279=TH!$X$7),"x","")</f>
        <v/>
      </c>
      <c r="Y4279" s="79" t="str">
        <f>IF(AND(OR(N4279="131",O4279="131"),H4279='131-CT'!$H$9),"x","")</f>
        <v/>
      </c>
      <c r="Z4279" s="79"/>
      <c r="AA4279" s="79" t="str">
        <f>IF(AND(MONTH(E4279)='IN-NX'!$J$5,'IN-NX'!$D$7=D4279),"x","")</f>
        <v/>
      </c>
      <c r="AB4279" s="79" t="str">
        <f>IF(AND(OR(LEFT(TH!N4279,2)="15",LEFT(TH!O4279,2)="15"),LEFT(TH!O4279,3)&lt;&gt;"111",'152-CT'!$J$8=TH!F4279),"x","")</f>
        <v/>
      </c>
      <c r="AC4279" s="79" t="str">
        <f>IF(AND(OR(LEFT(TH!N4279,2)="15",LEFT(TH!O4279,2)="15"),TK!$E$7=TH!F4279),"x","")</f>
        <v/>
      </c>
      <c r="AD4279" s="79" t="str">
        <f>IF(AND(N4279="1521",MONTH(C4279)='BK-NL'!$M$11),"x","")</f>
        <v/>
      </c>
    </row>
    <row r="4280" spans="1:30" s="1304" customFormat="1" ht="16.5" customHeight="1">
      <c r="A4280" s="318" t="str">
        <f>IF(B4280&lt;&gt;"",IF(AND(B4280='[3]IN-TC'!$S$4,OR([3]TH!N3511="1111",[3]TH!O3511="1111")),[3]TH!D3511,""),"")</f>
        <v/>
      </c>
      <c r="B4280" s="60" t="str">
        <f t="shared" si="466"/>
        <v/>
      </c>
      <c r="C4280" s="974"/>
      <c r="D4280" s="974"/>
      <c r="E4280" s="974"/>
      <c r="F4280" s="975"/>
      <c r="G4280" s="975"/>
      <c r="H4280" s="759"/>
      <c r="I4280" s="1247"/>
      <c r="J4280" s="391"/>
      <c r="K4280" s="1247"/>
      <c r="L4280" s="1248"/>
      <c r="M4280" s="78"/>
      <c r="N4280" s="979"/>
      <c r="O4280" s="979"/>
      <c r="P4280" s="79" t="str">
        <f>IF(AND('331-CT'!$E$7=TH!H4280,OR(N4280="331",O4280="331")),"x","")</f>
        <v/>
      </c>
      <c r="Q4280" s="79" t="str">
        <f>IF(AND(B4280='111'!$L$11,OR($N4280=$Q$7,$O4280=$Q$7)),"x","")</f>
        <v/>
      </c>
      <c r="R4280" s="79" t="str">
        <f>IF(AND($N4280=$Q$7,$B4280&lt;'111'!$L$11),"x","")</f>
        <v/>
      </c>
      <c r="S4280" s="79" t="str">
        <f>IF(AND($O4280=$Q$7,$B4280&lt;'111'!$L$11),"x","")</f>
        <v/>
      </c>
      <c r="T4280" s="79" t="str">
        <f>IF(ISERROR(FIND('112'!$M$9,G4280,1)),"",IF((AND(FIND('112'!$M$9,G4280,1)&gt;=1,B4280='112'!$K$9,OR($N4280='112'!$I$6,$O4280='112'!$I$6))),"x",""))</f>
        <v/>
      </c>
      <c r="U4280" s="79" t="str">
        <f>IF(ISERROR(FIND('112'!$M$9,G4280,1)),"",IF((AND(LEFT(G4280,2)=LEFT('112'!$M$9,2),B4280&lt;'112'!$K$9,$N4280='112'!$I$6)),"x",""))</f>
        <v/>
      </c>
      <c r="V4280" s="79" t="str">
        <f>IF(ISERROR(FIND('112'!$M$9,G4280,1)),"",IF((AND(RIGHT(G4280,2)=RIGHT('112'!$M$9,2),B4280&lt;'112'!$K$9,$O4280='112'!$I$6)),"x",""))</f>
        <v/>
      </c>
      <c r="W4280" s="79" t="str">
        <f>IF(AND('341-CT'!$H$9=H4280,OR(LEFT(N4280,3)=$W$7,LEFT(O4280,3)=$W$7)),"x","")</f>
        <v/>
      </c>
      <c r="X4280" s="79" t="str">
        <f>IF(OR(TH!N4280=TH!$X$7,O4280=TH!$X$7),"x","")</f>
        <v/>
      </c>
      <c r="Y4280" s="79" t="str">
        <f>IF(AND(OR(N4280="131",O4280="131"),H4280='131-CT'!$H$9),"x","")</f>
        <v/>
      </c>
      <c r="Z4280" s="79"/>
      <c r="AA4280" s="79" t="str">
        <f>IF(AND(MONTH(E4280)='IN-NX'!$J$5,'IN-NX'!$D$7=D4280),"x","")</f>
        <v/>
      </c>
      <c r="AB4280" s="79" t="str">
        <f>IF(AND(OR(LEFT(TH!N4280,2)="15",LEFT(TH!O4280,2)="15"),LEFT(TH!O4280,3)&lt;&gt;"111",'152-CT'!$J$8=TH!F4280),"x","")</f>
        <v/>
      </c>
      <c r="AC4280" s="79" t="str">
        <f>IF(AND(OR(LEFT(TH!N4280,2)="15",LEFT(TH!O4280,2)="15"),TK!$E$7=TH!F4280),"x","")</f>
        <v/>
      </c>
      <c r="AD4280" s="79" t="str">
        <f>IF(AND(N4280="1521",MONTH(C4280)='BK-NL'!$M$11),"x","")</f>
        <v/>
      </c>
    </row>
    <row r="4281" spans="1:30" s="1304" customFormat="1" ht="16.5" customHeight="1">
      <c r="A4281" s="318" t="str">
        <f>IF(B4281&lt;&gt;"",IF(AND(B4281='[3]IN-TC'!$S$4,OR([3]TH!N3512="1111",[3]TH!O3512="1111")),[3]TH!D3512,""),"")</f>
        <v/>
      </c>
      <c r="B4281" s="60" t="str">
        <f t="shared" si="466"/>
        <v/>
      </c>
      <c r="C4281" s="974"/>
      <c r="D4281" s="974"/>
      <c r="E4281" s="974"/>
      <c r="F4281" s="975"/>
      <c r="G4281" s="975"/>
      <c r="H4281" s="759"/>
      <c r="I4281" s="1247"/>
      <c r="J4281" s="391"/>
      <c r="K4281" s="1247"/>
      <c r="L4281" s="1248"/>
      <c r="M4281" s="78"/>
      <c r="N4281" s="979"/>
      <c r="O4281" s="979"/>
      <c r="P4281" s="79" t="str">
        <f>IF(AND('331-CT'!$E$7=TH!H4281,OR(N4281="331",O4281="331")),"x","")</f>
        <v/>
      </c>
      <c r="Q4281" s="79" t="str">
        <f>IF(AND(B4281='111'!$L$11,OR($N4281=$Q$7,$O4281=$Q$7)),"x","")</f>
        <v/>
      </c>
      <c r="R4281" s="79" t="str">
        <f>IF(AND($N4281=$Q$7,$B4281&lt;'111'!$L$11),"x","")</f>
        <v/>
      </c>
      <c r="S4281" s="79" t="str">
        <f>IF(AND($O4281=$Q$7,$B4281&lt;'111'!$L$11),"x","")</f>
        <v/>
      </c>
      <c r="T4281" s="79" t="str">
        <f>IF(ISERROR(FIND('112'!$M$9,G4281,1)),"",IF((AND(FIND('112'!$M$9,G4281,1)&gt;=1,B4281='112'!$K$9,OR($N4281='112'!$I$6,$O4281='112'!$I$6))),"x",""))</f>
        <v/>
      </c>
      <c r="U4281" s="79" t="str">
        <f>IF(ISERROR(FIND('112'!$M$9,G4281,1)),"",IF((AND(LEFT(G4281,2)=LEFT('112'!$M$9,2),B4281&lt;'112'!$K$9,$N4281='112'!$I$6)),"x",""))</f>
        <v/>
      </c>
      <c r="V4281" s="79" t="str">
        <f>IF(ISERROR(FIND('112'!$M$9,G4281,1)),"",IF((AND(RIGHT(G4281,2)=RIGHT('112'!$M$9,2),B4281&lt;'112'!$K$9,$O4281='112'!$I$6)),"x",""))</f>
        <v/>
      </c>
      <c r="W4281" s="79" t="str">
        <f>IF(AND('341-CT'!$H$9=H4281,OR(LEFT(N4281,3)=$W$7,LEFT(O4281,3)=$W$7)),"x","")</f>
        <v/>
      </c>
      <c r="X4281" s="79" t="str">
        <f>IF(OR(TH!N4281=TH!$X$7,O4281=TH!$X$7),"x","")</f>
        <v/>
      </c>
      <c r="Y4281" s="79" t="str">
        <f>IF(AND(OR(N4281="131",O4281="131"),H4281='131-CT'!$H$9),"x","")</f>
        <v/>
      </c>
      <c r="Z4281" s="79"/>
      <c r="AA4281" s="79" t="str">
        <f>IF(AND(MONTH(E4281)='IN-NX'!$J$5,'IN-NX'!$D$7=D4281),"x","")</f>
        <v/>
      </c>
      <c r="AB4281" s="79" t="str">
        <f>IF(AND(OR(LEFT(TH!N4281,2)="15",LEFT(TH!O4281,2)="15"),LEFT(TH!O4281,3)&lt;&gt;"111",'152-CT'!$J$8=TH!F4281),"x","")</f>
        <v/>
      </c>
      <c r="AC4281" s="79" t="str">
        <f>IF(AND(OR(LEFT(TH!N4281,2)="15",LEFT(TH!O4281,2)="15"),TK!$E$7=TH!F4281),"x","")</f>
        <v/>
      </c>
      <c r="AD4281" s="79" t="str">
        <f>IF(AND(N4281="1521",MONTH(C4281)='BK-NL'!$M$11),"x","")</f>
        <v/>
      </c>
    </row>
    <row r="4282" spans="1:30" s="1304" customFormat="1" ht="16.5" customHeight="1">
      <c r="A4282" s="318" t="str">
        <f>IF(B4282&lt;&gt;"",IF(AND(B4282='[3]IN-TC'!$S$4,OR([3]TH!N3513="1111",[3]TH!O3513="1111")),[3]TH!D3513,""),"")</f>
        <v/>
      </c>
      <c r="B4282" s="60" t="str">
        <f t="shared" si="466"/>
        <v/>
      </c>
      <c r="C4282" s="974"/>
      <c r="D4282" s="974"/>
      <c r="E4282" s="974"/>
      <c r="F4282" s="975"/>
      <c r="G4282" s="975"/>
      <c r="H4282" s="759"/>
      <c r="I4282" s="1247"/>
      <c r="J4282" s="391"/>
      <c r="K4282" s="1247"/>
      <c r="L4282" s="1248"/>
      <c r="M4282" s="78"/>
      <c r="N4282" s="979"/>
      <c r="O4282" s="979"/>
      <c r="P4282" s="79" t="str">
        <f>IF(AND('331-CT'!$E$7=TH!H4282,OR(N4282="331",O4282="331")),"x","")</f>
        <v/>
      </c>
      <c r="Q4282" s="79" t="str">
        <f>IF(AND(B4282='111'!$L$11,OR($N4282=$Q$7,$O4282=$Q$7)),"x","")</f>
        <v/>
      </c>
      <c r="R4282" s="79" t="str">
        <f>IF(AND($N4282=$Q$7,$B4282&lt;'111'!$L$11),"x","")</f>
        <v/>
      </c>
      <c r="S4282" s="79" t="str">
        <f>IF(AND($O4282=$Q$7,$B4282&lt;'111'!$L$11),"x","")</f>
        <v/>
      </c>
      <c r="T4282" s="79" t="str">
        <f>IF(ISERROR(FIND('112'!$M$9,G4282,1)),"",IF((AND(FIND('112'!$M$9,G4282,1)&gt;=1,B4282='112'!$K$9,OR($N4282='112'!$I$6,$O4282='112'!$I$6))),"x",""))</f>
        <v/>
      </c>
      <c r="U4282" s="79" t="str">
        <f>IF(ISERROR(FIND('112'!$M$9,G4282,1)),"",IF((AND(LEFT(G4282,2)=LEFT('112'!$M$9,2),B4282&lt;'112'!$K$9,$N4282='112'!$I$6)),"x",""))</f>
        <v/>
      </c>
      <c r="V4282" s="79" t="str">
        <f>IF(ISERROR(FIND('112'!$M$9,G4282,1)),"",IF((AND(RIGHT(G4282,2)=RIGHT('112'!$M$9,2),B4282&lt;'112'!$K$9,$O4282='112'!$I$6)),"x",""))</f>
        <v/>
      </c>
      <c r="W4282" s="79" t="str">
        <f>IF(AND('341-CT'!$H$9=H4282,OR(LEFT(N4282,3)=$W$7,LEFT(O4282,3)=$W$7)),"x","")</f>
        <v/>
      </c>
      <c r="X4282" s="79" t="str">
        <f>IF(OR(TH!N4282=TH!$X$7,O4282=TH!$X$7),"x","")</f>
        <v/>
      </c>
      <c r="Y4282" s="79" t="str">
        <f>IF(AND(OR(N4282="131",O4282="131"),H4282='131-CT'!$H$9),"x","")</f>
        <v/>
      </c>
      <c r="Z4282" s="79"/>
      <c r="AA4282" s="79" t="str">
        <f>IF(AND(MONTH(E4282)='IN-NX'!$J$5,'IN-NX'!$D$7=D4282),"x","")</f>
        <v/>
      </c>
      <c r="AB4282" s="79" t="str">
        <f>IF(AND(OR(LEFT(TH!N4282,2)="15",LEFT(TH!O4282,2)="15"),LEFT(TH!O4282,3)&lt;&gt;"111",'152-CT'!$J$8=TH!F4282),"x","")</f>
        <v/>
      </c>
      <c r="AC4282" s="79" t="str">
        <f>IF(AND(OR(LEFT(TH!N4282,2)="15",LEFT(TH!O4282,2)="15"),TK!$E$7=TH!F4282),"x","")</f>
        <v/>
      </c>
      <c r="AD4282" s="79" t="str">
        <f>IF(AND(N4282="1521",MONTH(C4282)='BK-NL'!$M$11),"x","")</f>
        <v/>
      </c>
    </row>
    <row r="4283" spans="1:30" s="1304" customFormat="1" ht="16.5" customHeight="1">
      <c r="A4283" s="318" t="str">
        <f>IF(B4283&lt;&gt;"",IF(AND(B4283='[3]IN-TC'!$S$4,OR([3]TH!N3514="1111",[3]TH!O3514="1111")),[3]TH!D3514,""),"")</f>
        <v/>
      </c>
      <c r="B4283" s="60" t="str">
        <f t="shared" ref="B4283" si="470">IF(C4283&lt;&gt;"",MONTH(C4283),"")</f>
        <v/>
      </c>
      <c r="C4283" s="974"/>
      <c r="D4283" s="974"/>
      <c r="E4283" s="974"/>
      <c r="F4283" s="975"/>
      <c r="G4283" s="975"/>
      <c r="H4283" s="759"/>
      <c r="I4283" s="1247"/>
      <c r="J4283" s="391"/>
      <c r="K4283" s="1247"/>
      <c r="L4283" s="1248"/>
      <c r="M4283" s="78"/>
      <c r="N4283" s="979"/>
      <c r="O4283" s="979"/>
      <c r="P4283" s="79" t="str">
        <f>IF(AND('331-CT'!$E$7=TH!H4283,OR(N4283="331",O4283="331")),"x","")</f>
        <v/>
      </c>
      <c r="Q4283" s="79" t="str">
        <f>IF(AND(B4283='111'!$L$11,OR($N4283=$Q$7,$O4283=$Q$7)),"x","")</f>
        <v/>
      </c>
      <c r="R4283" s="79" t="str">
        <f>IF(AND($N4283=$Q$7,$B4283&lt;'111'!$L$11),"x","")</f>
        <v/>
      </c>
      <c r="S4283" s="79" t="str">
        <f>IF(AND($O4283=$Q$7,$B4283&lt;'111'!$L$11),"x","")</f>
        <v/>
      </c>
      <c r="T4283" s="79" t="str">
        <f>IF(ISERROR(FIND('112'!$M$9,G4283,1)),"",IF((AND(FIND('112'!$M$9,G4283,1)&gt;=1,B4283='112'!$K$9,OR($N4283='112'!$I$6,$O4283='112'!$I$6))),"x",""))</f>
        <v/>
      </c>
      <c r="U4283" s="79" t="str">
        <f>IF(ISERROR(FIND('112'!$M$9,G4283,1)),"",IF((AND(LEFT(G4283,2)=LEFT('112'!$M$9,2),B4283&lt;'112'!$K$9,$N4283='112'!$I$6)),"x",""))</f>
        <v/>
      </c>
      <c r="V4283" s="79" t="str">
        <f>IF(ISERROR(FIND('112'!$M$9,G4283,1)),"",IF((AND(RIGHT(G4283,2)=RIGHT('112'!$M$9,2),B4283&lt;'112'!$K$9,$O4283='112'!$I$6)),"x",""))</f>
        <v/>
      </c>
      <c r="W4283" s="79" t="str">
        <f>IF(AND('341-CT'!$H$9=H4283,OR(LEFT(N4283,3)=$W$7,LEFT(O4283,3)=$W$7)),"x","")</f>
        <v/>
      </c>
      <c r="X4283" s="79" t="str">
        <f>IF(OR(TH!N4283=TH!$X$7,O4283=TH!$X$7),"x","")</f>
        <v/>
      </c>
      <c r="Y4283" s="79" t="str">
        <f>IF(AND(OR(N4283="131",O4283="131"),H4283='131-CT'!$H$9),"x","")</f>
        <v/>
      </c>
      <c r="Z4283" s="79"/>
      <c r="AA4283" s="79" t="str">
        <f>IF(AND(MONTH(E4283)='IN-NX'!$J$5,'IN-NX'!$D$7=D4283),"x","")</f>
        <v/>
      </c>
      <c r="AB4283" s="79" t="str">
        <f>IF(AND(OR(LEFT(TH!N4283,2)="15",LEFT(TH!O4283,2)="15"),LEFT(TH!O4283,3)&lt;&gt;"111",'152-CT'!$J$8=TH!F4283),"x","")</f>
        <v/>
      </c>
      <c r="AC4283" s="79" t="str">
        <f>IF(AND(OR(LEFT(TH!N4283,2)="15",LEFT(TH!O4283,2)="15"),TK!$E$7=TH!F4283),"x","")</f>
        <v/>
      </c>
      <c r="AD4283" s="79" t="str">
        <f>IF(AND(N4283="1521",MONTH(C4283)='BK-NL'!$M$11),"x","")</f>
        <v/>
      </c>
    </row>
    <row r="4284" spans="1:30" s="1304" customFormat="1" ht="16.5" customHeight="1">
      <c r="A4284" s="318" t="str">
        <f>IF(B4284&lt;&gt;"",IF(AND(B4284='[3]IN-TC'!$S$4,OR([3]TH!N3515="1111",[3]TH!O3515="1111")),[3]TH!D3515,""),"")</f>
        <v/>
      </c>
      <c r="B4284" s="60" t="str">
        <f t="shared" si="466"/>
        <v/>
      </c>
      <c r="C4284" s="974"/>
      <c r="D4284" s="974"/>
      <c r="E4284" s="974"/>
      <c r="F4284" s="975"/>
      <c r="G4284" s="975"/>
      <c r="H4284" s="759"/>
      <c r="I4284" s="1247"/>
      <c r="J4284" s="391"/>
      <c r="K4284" s="1247"/>
      <c r="L4284" s="1248"/>
      <c r="M4284" s="78"/>
      <c r="N4284" s="979"/>
      <c r="O4284" s="979"/>
      <c r="P4284" s="79" t="str">
        <f>IF(AND('331-CT'!$E$7=TH!H4284,OR(N4284="331",O4284="331")),"x","")</f>
        <v/>
      </c>
      <c r="Q4284" s="79" t="str">
        <f>IF(AND(B4284='111'!$L$11,OR($N4284=$Q$7,$O4284=$Q$7)),"x","")</f>
        <v/>
      </c>
      <c r="R4284" s="79" t="str">
        <f>IF(AND($N4284=$Q$7,$B4284&lt;'111'!$L$11),"x","")</f>
        <v/>
      </c>
      <c r="S4284" s="79" t="str">
        <f>IF(AND($O4284=$Q$7,$B4284&lt;'111'!$L$11),"x","")</f>
        <v/>
      </c>
      <c r="T4284" s="79" t="str">
        <f>IF(ISERROR(FIND('112'!$M$9,G4284,1)),"",IF((AND(FIND('112'!$M$9,G4284,1)&gt;=1,B4284='112'!$K$9,OR($N4284='112'!$I$6,$O4284='112'!$I$6))),"x",""))</f>
        <v/>
      </c>
      <c r="U4284" s="79" t="str">
        <f>IF(ISERROR(FIND('112'!$M$9,G4284,1)),"",IF((AND(LEFT(G4284,2)=LEFT('112'!$M$9,2),B4284&lt;'112'!$K$9,$N4284='112'!$I$6)),"x",""))</f>
        <v/>
      </c>
      <c r="V4284" s="79" t="str">
        <f>IF(ISERROR(FIND('112'!$M$9,G4284,1)),"",IF((AND(RIGHT(G4284,2)=RIGHT('112'!$M$9,2),B4284&lt;'112'!$K$9,$O4284='112'!$I$6)),"x",""))</f>
        <v/>
      </c>
      <c r="W4284" s="79" t="str">
        <f>IF(AND('341-CT'!$H$9=H4284,OR(LEFT(N4284,3)=$W$7,LEFT(O4284,3)=$W$7)),"x","")</f>
        <v/>
      </c>
      <c r="X4284" s="79" t="str">
        <f>IF(OR(TH!N4284=TH!$X$7,O4284=TH!$X$7),"x","")</f>
        <v/>
      </c>
      <c r="Y4284" s="79" t="str">
        <f>IF(AND(OR(N4284="131",O4284="131"),H4284='131-CT'!$H$9),"x","")</f>
        <v/>
      </c>
      <c r="Z4284" s="79"/>
      <c r="AA4284" s="79" t="str">
        <f>IF(AND(MONTH(E4284)='IN-NX'!$J$5,'IN-NX'!$D$7=D4284),"x","")</f>
        <v/>
      </c>
      <c r="AB4284" s="79" t="str">
        <f>IF(AND(OR(LEFT(TH!N4284,2)="15",LEFT(TH!O4284,2)="15"),LEFT(TH!O4284,3)&lt;&gt;"111",'152-CT'!$J$8=TH!F4284),"x","")</f>
        <v/>
      </c>
      <c r="AC4284" s="79" t="str">
        <f>IF(AND(OR(LEFT(TH!N4284,2)="15",LEFT(TH!O4284,2)="15"),TK!$E$7=TH!F4284),"x","")</f>
        <v/>
      </c>
      <c r="AD4284" s="79" t="str">
        <f>IF(AND(N4284="1521",MONTH(C4284)='BK-NL'!$M$11),"x","")</f>
        <v/>
      </c>
    </row>
    <row r="4285" spans="1:30" s="1304" customFormat="1" ht="16.5" customHeight="1">
      <c r="A4285" s="318" t="str">
        <f>IF(B4285&lt;&gt;"",IF(AND(B4285='[3]IN-TC'!$S$4,OR([3]TH!N3516="1111",[3]TH!O3516="1111")),[3]TH!D3516,""),"")</f>
        <v/>
      </c>
      <c r="B4285" s="60" t="str">
        <f t="shared" si="466"/>
        <v/>
      </c>
      <c r="C4285" s="974"/>
      <c r="D4285" s="974"/>
      <c r="E4285" s="974"/>
      <c r="F4285" s="975"/>
      <c r="G4285" s="975"/>
      <c r="H4285" s="759"/>
      <c r="I4285" s="1247"/>
      <c r="J4285" s="391"/>
      <c r="K4285" s="1247"/>
      <c r="L4285" s="1248"/>
      <c r="M4285" s="78"/>
      <c r="N4285" s="979"/>
      <c r="O4285" s="979"/>
      <c r="P4285" s="79" t="str">
        <f>IF(AND('331-CT'!$E$7=TH!H4285,OR(N4285="331",O4285="331")),"x","")</f>
        <v/>
      </c>
      <c r="Q4285" s="79" t="str">
        <f>IF(AND(B4285='111'!$L$11,OR($N4285=$Q$7,$O4285=$Q$7)),"x","")</f>
        <v/>
      </c>
      <c r="R4285" s="79" t="str">
        <f>IF(AND($N4285=$Q$7,$B4285&lt;'111'!$L$11),"x","")</f>
        <v/>
      </c>
      <c r="S4285" s="79" t="str">
        <f>IF(AND($O4285=$Q$7,$B4285&lt;'111'!$L$11),"x","")</f>
        <v/>
      </c>
      <c r="T4285" s="79" t="str">
        <f>IF(ISERROR(FIND('112'!$M$9,G4285,1)),"",IF((AND(FIND('112'!$M$9,G4285,1)&gt;=1,B4285='112'!$K$9,OR($N4285='112'!$I$6,$O4285='112'!$I$6))),"x",""))</f>
        <v/>
      </c>
      <c r="U4285" s="79" t="str">
        <f>IF(ISERROR(FIND('112'!$M$9,G4285,1)),"",IF((AND(LEFT(G4285,2)=LEFT('112'!$M$9,2),B4285&lt;'112'!$K$9,$N4285='112'!$I$6)),"x",""))</f>
        <v/>
      </c>
      <c r="V4285" s="79" t="str">
        <f>IF(ISERROR(FIND('112'!$M$9,G4285,1)),"",IF((AND(RIGHT(G4285,2)=RIGHT('112'!$M$9,2),B4285&lt;'112'!$K$9,$O4285='112'!$I$6)),"x",""))</f>
        <v/>
      </c>
      <c r="W4285" s="79" t="str">
        <f>IF(AND('341-CT'!$H$9=H4285,OR(LEFT(N4285,3)=$W$7,LEFT(O4285,3)=$W$7)),"x","")</f>
        <v/>
      </c>
      <c r="X4285" s="79" t="str">
        <f>IF(OR(TH!N4285=TH!$X$7,O4285=TH!$X$7),"x","")</f>
        <v/>
      </c>
      <c r="Y4285" s="79" t="str">
        <f>IF(AND(OR(N4285="131",O4285="131"),H4285='131-CT'!$H$9),"x","")</f>
        <v/>
      </c>
      <c r="Z4285" s="79"/>
      <c r="AA4285" s="79" t="str">
        <f>IF(AND(MONTH(E4285)='IN-NX'!$J$5,'IN-NX'!$D$7=D4285),"x","")</f>
        <v/>
      </c>
      <c r="AB4285" s="79" t="str">
        <f>IF(AND(OR(LEFT(TH!N4285,2)="15",LEFT(TH!O4285,2)="15"),LEFT(TH!O4285,3)&lt;&gt;"111",'152-CT'!$J$8=TH!F4285),"x","")</f>
        <v/>
      </c>
      <c r="AC4285" s="79" t="str">
        <f>IF(AND(OR(LEFT(TH!N4285,2)="15",LEFT(TH!O4285,2)="15"),TK!$E$7=TH!F4285),"x","")</f>
        <v/>
      </c>
      <c r="AD4285" s="79" t="str">
        <f>IF(AND(N4285="1521",MONTH(C4285)='BK-NL'!$M$11),"x","")</f>
        <v/>
      </c>
    </row>
    <row r="4286" spans="1:30" s="1304" customFormat="1" ht="16.5" customHeight="1">
      <c r="A4286" s="318" t="str">
        <f>IF(B4286&lt;&gt;"",IF(AND(B4286='[3]IN-TC'!$S$4,OR([3]TH!N3517="1111",[3]TH!O3517="1111")),[3]TH!D3517,""),"")</f>
        <v/>
      </c>
      <c r="B4286" s="60" t="str">
        <f t="shared" si="466"/>
        <v/>
      </c>
      <c r="C4286" s="974"/>
      <c r="D4286" s="974"/>
      <c r="E4286" s="974"/>
      <c r="F4286" s="975"/>
      <c r="G4286" s="975"/>
      <c r="H4286" s="759"/>
      <c r="I4286" s="1247"/>
      <c r="J4286" s="391"/>
      <c r="K4286" s="1247"/>
      <c r="L4286" s="1248"/>
      <c r="M4286" s="78"/>
      <c r="N4286" s="979"/>
      <c r="O4286" s="979"/>
      <c r="P4286" s="79" t="str">
        <f>IF(AND('331-CT'!$E$7=TH!H4286,OR(N4286="331",O4286="331")),"x","")</f>
        <v/>
      </c>
      <c r="Q4286" s="79" t="str">
        <f>IF(AND(B4286='111'!$L$11,OR($N4286=$Q$7,$O4286=$Q$7)),"x","")</f>
        <v/>
      </c>
      <c r="R4286" s="79" t="str">
        <f>IF(AND($N4286=$Q$7,$B4286&lt;'111'!$L$11),"x","")</f>
        <v/>
      </c>
      <c r="S4286" s="79" t="str">
        <f>IF(AND($O4286=$Q$7,$B4286&lt;'111'!$L$11),"x","")</f>
        <v/>
      </c>
      <c r="T4286" s="79" t="str">
        <f>IF(ISERROR(FIND('112'!$M$9,G4286,1)),"",IF((AND(FIND('112'!$M$9,G4286,1)&gt;=1,B4286='112'!$K$9,OR($N4286='112'!$I$6,$O4286='112'!$I$6))),"x",""))</f>
        <v/>
      </c>
      <c r="U4286" s="79" t="str">
        <f>IF(ISERROR(FIND('112'!$M$9,G4286,1)),"",IF((AND(LEFT(G4286,2)=LEFT('112'!$M$9,2),B4286&lt;'112'!$K$9,$N4286='112'!$I$6)),"x",""))</f>
        <v/>
      </c>
      <c r="V4286" s="79" t="str">
        <f>IF(ISERROR(FIND('112'!$M$9,G4286,1)),"",IF((AND(RIGHT(G4286,2)=RIGHT('112'!$M$9,2),B4286&lt;'112'!$K$9,$O4286='112'!$I$6)),"x",""))</f>
        <v/>
      </c>
      <c r="W4286" s="79" t="str">
        <f>IF(AND('341-CT'!$H$9=H4286,OR(LEFT(N4286,3)=$W$7,LEFT(O4286,3)=$W$7)),"x","")</f>
        <v/>
      </c>
      <c r="X4286" s="79" t="str">
        <f>IF(OR(TH!N4286=TH!$X$7,O4286=TH!$X$7),"x","")</f>
        <v/>
      </c>
      <c r="Y4286" s="79" t="str">
        <f>IF(AND(OR(N4286="131",O4286="131"),H4286='131-CT'!$H$9),"x","")</f>
        <v/>
      </c>
      <c r="Z4286" s="79"/>
      <c r="AA4286" s="79" t="str">
        <f>IF(AND(MONTH(E4286)='IN-NX'!$J$5,'IN-NX'!$D$7=D4286),"x","")</f>
        <v/>
      </c>
      <c r="AB4286" s="79" t="str">
        <f>IF(AND(OR(LEFT(TH!N4286,2)="15",LEFT(TH!O4286,2)="15"),LEFT(TH!O4286,3)&lt;&gt;"111",'152-CT'!$J$8=TH!F4286),"x","")</f>
        <v/>
      </c>
      <c r="AC4286" s="79" t="str">
        <f>IF(AND(OR(LEFT(TH!N4286,2)="15",LEFT(TH!O4286,2)="15"),TK!$E$7=TH!F4286),"x","")</f>
        <v/>
      </c>
      <c r="AD4286" s="79" t="str">
        <f>IF(AND(N4286="1521",MONTH(C4286)='BK-NL'!$M$11),"x","")</f>
        <v/>
      </c>
    </row>
    <row r="4287" spans="1:30" s="1304" customFormat="1" ht="16.5" customHeight="1">
      <c r="A4287" s="318" t="str">
        <f>IF(B4287&lt;&gt;"",IF(AND(B4287='[3]IN-TC'!$S$4,OR([3]TH!N3518="1111",[3]TH!O3518="1111")),[3]TH!D3518,""),"")</f>
        <v/>
      </c>
      <c r="B4287" s="60" t="str">
        <f t="shared" si="466"/>
        <v/>
      </c>
      <c r="C4287" s="974"/>
      <c r="D4287" s="974"/>
      <c r="E4287" s="974"/>
      <c r="F4287" s="975"/>
      <c r="G4287" s="975"/>
      <c r="H4287" s="759"/>
      <c r="I4287" s="1247"/>
      <c r="J4287" s="391"/>
      <c r="K4287" s="1247"/>
      <c r="L4287" s="1248"/>
      <c r="M4287" s="78"/>
      <c r="N4287" s="979"/>
      <c r="O4287" s="979"/>
      <c r="P4287" s="79" t="str">
        <f>IF(AND('331-CT'!$E$7=TH!H4287,OR(N4287="331",O4287="331")),"x","")</f>
        <v/>
      </c>
      <c r="Q4287" s="79" t="str">
        <f>IF(AND(B4287='111'!$L$11,OR($N4287=$Q$7,$O4287=$Q$7)),"x","")</f>
        <v/>
      </c>
      <c r="R4287" s="79" t="str">
        <f>IF(AND($N4287=$Q$7,$B4287&lt;'111'!$L$11),"x","")</f>
        <v/>
      </c>
      <c r="S4287" s="79" t="str">
        <f>IF(AND($O4287=$Q$7,$B4287&lt;'111'!$L$11),"x","")</f>
        <v/>
      </c>
      <c r="T4287" s="79" t="str">
        <f>IF(ISERROR(FIND('112'!$M$9,G4287,1)),"",IF((AND(FIND('112'!$M$9,G4287,1)&gt;=1,B4287='112'!$K$9,OR($N4287='112'!$I$6,$O4287='112'!$I$6))),"x",""))</f>
        <v/>
      </c>
      <c r="U4287" s="79" t="str">
        <f>IF(ISERROR(FIND('112'!$M$9,G4287,1)),"",IF((AND(LEFT(G4287,2)=LEFT('112'!$M$9,2),B4287&lt;'112'!$K$9,$N4287='112'!$I$6)),"x",""))</f>
        <v/>
      </c>
      <c r="V4287" s="79" t="str">
        <f>IF(ISERROR(FIND('112'!$M$9,G4287,1)),"",IF((AND(RIGHT(G4287,2)=RIGHT('112'!$M$9,2),B4287&lt;'112'!$K$9,$O4287='112'!$I$6)),"x",""))</f>
        <v/>
      </c>
      <c r="W4287" s="79" t="str">
        <f>IF(AND('341-CT'!$H$9=H4287,OR(LEFT(N4287,3)=$W$7,LEFT(O4287,3)=$W$7)),"x","")</f>
        <v/>
      </c>
      <c r="X4287" s="79" t="str">
        <f>IF(OR(TH!N4287=TH!$X$7,O4287=TH!$X$7),"x","")</f>
        <v/>
      </c>
      <c r="Y4287" s="79" t="str">
        <f>IF(AND(OR(N4287="131",O4287="131"),H4287='131-CT'!$H$9),"x","")</f>
        <v/>
      </c>
      <c r="Z4287" s="79"/>
      <c r="AA4287" s="79" t="str">
        <f>IF(AND(MONTH(E4287)='IN-NX'!$J$5,'IN-NX'!$D$7=D4287),"x","")</f>
        <v/>
      </c>
      <c r="AB4287" s="79" t="str">
        <f>IF(AND(OR(LEFT(TH!N4287,2)="15",LEFT(TH!O4287,2)="15"),LEFT(TH!O4287,3)&lt;&gt;"111",'152-CT'!$J$8=TH!F4287),"x","")</f>
        <v/>
      </c>
      <c r="AC4287" s="79" t="str">
        <f>IF(AND(OR(LEFT(TH!N4287,2)="15",LEFT(TH!O4287,2)="15"),TK!$E$7=TH!F4287),"x","")</f>
        <v/>
      </c>
      <c r="AD4287" s="79" t="str">
        <f>IF(AND(N4287="1521",MONTH(C4287)='BK-NL'!$M$11),"x","")</f>
        <v/>
      </c>
    </row>
    <row r="4288" spans="1:30" ht="16.5" customHeight="1">
      <c r="A4288" s="318" t="str">
        <f>IF(B4288&lt;&gt;"",IF(AND(B4288='[3]IN-TC'!$S$4,OR([3]TH!N3519="1111",[3]TH!O3519="1111")),[3]TH!D3519,""),"")</f>
        <v/>
      </c>
      <c r="B4288" s="60" t="str">
        <f t="shared" si="432"/>
        <v/>
      </c>
      <c r="C4288" s="301"/>
      <c r="D4288" s="301"/>
      <c r="E4288" s="301"/>
      <c r="F4288" s="1160"/>
      <c r="G4288" s="988"/>
      <c r="H4288" s="303"/>
      <c r="I4288" s="77"/>
      <c r="J4288" s="969"/>
      <c r="K4288" s="385"/>
      <c r="L4288" s="392"/>
      <c r="M4288" s="970"/>
      <c r="N4288" s="304"/>
      <c r="O4288" s="304"/>
      <c r="P4288" s="79" t="str">
        <f>IF(AND('331-CT'!$E$7=TH!H4288,OR(N4288="331",O4288="331")),"x","")</f>
        <v/>
      </c>
      <c r="Q4288" s="79" t="str">
        <f>IF(AND(B4288='111'!$L$11,OR($N4288=$Q$7,$O4288=$Q$7)),"x","")</f>
        <v/>
      </c>
      <c r="R4288" s="79" t="str">
        <f>IF(AND($N4288=$Q$7,$B4288&lt;'111'!$L$11),"x","")</f>
        <v/>
      </c>
      <c r="S4288" s="79" t="str">
        <f>IF(AND($O4288=$Q$7,$B4288&lt;'111'!$L$11),"x","")</f>
        <v/>
      </c>
      <c r="T4288" s="79" t="str">
        <f>IF(ISERROR(FIND('112'!$M$9,G4288,1)),"",IF((AND(FIND('112'!$M$9,G4288,1)&gt;=1,B4288='112'!$K$9,OR($N4288='112'!$I$6,$O4288='112'!$I$6))),"x",""))</f>
        <v/>
      </c>
      <c r="U4288" s="79" t="str">
        <f>IF(ISERROR(FIND('112'!$M$9,G4288,1)),"",IF((AND(LEFT(G4288,2)=LEFT('112'!$M$9,2),B4288&lt;'112'!$K$9,$N4288='112'!$I$6)),"x",""))</f>
        <v/>
      </c>
      <c r="V4288" s="79" t="str">
        <f>IF(ISERROR(FIND('112'!$M$9,G4288,1)),"",IF((AND(RIGHT(G4288,2)=RIGHT('112'!$M$9,2),B4288&lt;'112'!$K$9,$O4288='112'!$I$6)),"x",""))</f>
        <v/>
      </c>
      <c r="W4288" s="79" t="str">
        <f>IF(AND('341-CT'!$H$9=H4288,OR(LEFT(N4288,3)=$W$7,LEFT(O4288,3)=$W$7)),"x","")</f>
        <v/>
      </c>
      <c r="X4288" s="79" t="str">
        <f>IF(OR(TH!N4288=TH!$X$7,O4288=TH!$X$7),"x","")</f>
        <v/>
      </c>
      <c r="Y4288" s="79" t="str">
        <f>IF(AND(OR(N4288="131",O4288="131"),H4288='131-CT'!$H$9),"x","")</f>
        <v/>
      </c>
      <c r="Z4288" s="79"/>
      <c r="AA4288" s="79" t="str">
        <f>IF(AND(MONTH(E4288)='IN-NX'!$J$5,'IN-NX'!$D$7=D4288),"x","")</f>
        <v/>
      </c>
      <c r="AB4288" s="79" t="str">
        <f>IF(AND(OR(LEFT(TH!N4288,2)="15",LEFT(TH!O4288,2)="15"),LEFT(TH!O4288,3)&lt;&gt;"111",'152-CT'!$J$8=TH!F4288),"x","")</f>
        <v/>
      </c>
      <c r="AC4288" s="79" t="str">
        <f>IF(AND(OR(LEFT(TH!N4288,2)="15",LEFT(TH!O4288,2)="15"),TK!$E$7=TH!F4288),"x","")</f>
        <v/>
      </c>
      <c r="AD4288" s="79" t="str">
        <f>IF(AND(N4288="1521",MONTH(C4288)='BK-NL'!$M$11),"x","")</f>
        <v/>
      </c>
    </row>
    <row r="4289" spans="1:30" ht="16.5" customHeight="1">
      <c r="A4289" s="318" t="str">
        <f>IF(B4289&lt;&gt;"",IF(AND(B4289='[3]IN-TC'!$S$4,OR([3]TH!N3520="1111",[3]TH!O3520="1111")),[3]TH!D3520,""),"")</f>
        <v/>
      </c>
      <c r="B4289" s="60" t="str">
        <f t="shared" si="432"/>
        <v/>
      </c>
      <c r="C4289" s="301"/>
      <c r="D4289" s="301"/>
      <c r="E4289" s="301"/>
      <c r="F4289" s="302"/>
      <c r="G4289" s="988"/>
      <c r="H4289" s="69"/>
      <c r="I4289" s="77"/>
      <c r="J4289" s="969"/>
      <c r="K4289" s="385"/>
      <c r="L4289" s="392"/>
      <c r="M4289" s="970"/>
      <c r="N4289" s="304"/>
      <c r="O4289" s="304"/>
      <c r="P4289" s="79" t="str">
        <f>IF(AND('331-CT'!$E$7=TH!H4289,OR(N4289="331",O4289="331")),"x","")</f>
        <v/>
      </c>
      <c r="Q4289" s="79" t="str">
        <f>IF(AND(B4289='111'!$L$11,OR($N4289=$Q$7,$O4289=$Q$7)),"x","")</f>
        <v/>
      </c>
      <c r="R4289" s="79" t="str">
        <f>IF(AND($N4289=$Q$7,$B4289&lt;'111'!$L$11),"x","")</f>
        <v/>
      </c>
      <c r="S4289" s="79" t="str">
        <f>IF(AND($O4289=$Q$7,$B4289&lt;'111'!$L$11),"x","")</f>
        <v/>
      </c>
      <c r="T4289" s="79" t="str">
        <f>IF(ISERROR(FIND('112'!$M$9,G4289,1)),"",IF((AND(FIND('112'!$M$9,G4289,1)&gt;=1,B4289='112'!$K$9,OR($N4289='112'!$I$6,$O4289='112'!$I$6))),"x",""))</f>
        <v/>
      </c>
      <c r="U4289" s="79" t="str">
        <f>IF(ISERROR(FIND('112'!$M$9,G4289,1)),"",IF((AND(LEFT(G4289,2)=LEFT('112'!$M$9,2),B4289&lt;'112'!$K$9,$N4289='112'!$I$6)),"x",""))</f>
        <v/>
      </c>
      <c r="V4289" s="79" t="str">
        <f>IF(ISERROR(FIND('112'!$M$9,G4289,1)),"",IF((AND(RIGHT(G4289,2)=RIGHT('112'!$M$9,2),B4289&lt;'112'!$K$9,$O4289='112'!$I$6)),"x",""))</f>
        <v/>
      </c>
      <c r="W4289" s="79" t="str">
        <f>IF(AND('341-CT'!$H$9=H4289,OR(LEFT(N4289,3)=$W$7,LEFT(O4289,3)=$W$7)),"x","")</f>
        <v/>
      </c>
      <c r="X4289" s="79" t="str">
        <f>IF(OR(TH!N4289=TH!$X$7,O4289=TH!$X$7),"x","")</f>
        <v/>
      </c>
      <c r="Y4289" s="79" t="str">
        <f>IF(AND(OR(N4289="131",O4289="131"),H4289='131-CT'!$H$9),"x","")</f>
        <v/>
      </c>
      <c r="Z4289" s="79"/>
      <c r="AA4289" s="79" t="str">
        <f>IF(AND(MONTH(E4289)='IN-NX'!$J$5,'IN-NX'!$D$7=D4289),"x","")</f>
        <v/>
      </c>
      <c r="AB4289" s="79" t="str">
        <f>IF(AND(OR(LEFT(TH!N4289,2)="15",LEFT(TH!O4289,2)="15"),LEFT(TH!O4289,3)&lt;&gt;"111",'152-CT'!$J$8=TH!F4289),"x","")</f>
        <v/>
      </c>
      <c r="AC4289" s="79" t="str">
        <f>IF(AND(OR(LEFT(TH!N4289,2)="15",LEFT(TH!O4289,2)="15"),TK!$E$7=TH!F4289),"x","")</f>
        <v/>
      </c>
      <c r="AD4289" s="79" t="str">
        <f>IF(AND(N4289="1521",MONTH(C4289)='BK-NL'!$M$11),"x","")</f>
        <v/>
      </c>
    </row>
    <row r="4290" spans="1:30" ht="16.5" customHeight="1">
      <c r="A4290" s="318" t="str">
        <f>IF(B4290&lt;&gt;"",IF(AND(B4290='[3]IN-TC'!$S$4,OR([3]TH!N3521="1111",[3]TH!O3521="1111")),[3]TH!D3521,""),"")</f>
        <v/>
      </c>
      <c r="B4290" s="60" t="str">
        <f t="shared" si="432"/>
        <v/>
      </c>
      <c r="C4290" s="301"/>
      <c r="D4290" s="301"/>
      <c r="E4290" s="301"/>
      <c r="F4290" s="302"/>
      <c r="G4290" s="988"/>
      <c r="H4290" s="69"/>
      <c r="I4290" s="77"/>
      <c r="J4290" s="969"/>
      <c r="K4290" s="385"/>
      <c r="L4290" s="392"/>
      <c r="M4290" s="970"/>
      <c r="N4290" s="304"/>
      <c r="O4290" s="304"/>
      <c r="P4290" s="79" t="str">
        <f>IF(AND('331-CT'!$E$7=TH!H4290,OR(N4290="331",O4290="331")),"x","")</f>
        <v/>
      </c>
      <c r="Q4290" s="79" t="str">
        <f>IF(AND(B4290='111'!$L$11,OR($N4290=$Q$7,$O4290=$Q$7)),"x","")</f>
        <v/>
      </c>
      <c r="R4290" s="79" t="str">
        <f>IF(AND($N4290=$Q$7,$B4290&lt;'111'!$L$11),"x","")</f>
        <v/>
      </c>
      <c r="S4290" s="79" t="str">
        <f>IF(AND($O4290=$Q$7,$B4290&lt;'111'!$L$11),"x","")</f>
        <v/>
      </c>
      <c r="T4290" s="79" t="str">
        <f>IF(ISERROR(FIND('112'!$M$9,G4290,1)),"",IF((AND(FIND('112'!$M$9,G4290,1)&gt;=1,B4290='112'!$K$9,OR($N4290='112'!$I$6,$O4290='112'!$I$6))),"x",""))</f>
        <v/>
      </c>
      <c r="U4290" s="79" t="str">
        <f>IF(ISERROR(FIND('112'!$M$9,G4290,1)),"",IF((AND(LEFT(G4290,2)=LEFT('112'!$M$9,2),B4290&lt;'112'!$K$9,$N4290='112'!$I$6)),"x",""))</f>
        <v/>
      </c>
      <c r="V4290" s="79" t="str">
        <f>IF(ISERROR(FIND('112'!$M$9,G4290,1)),"",IF((AND(RIGHT(G4290,2)=RIGHT('112'!$M$9,2),B4290&lt;'112'!$K$9,$O4290='112'!$I$6)),"x",""))</f>
        <v/>
      </c>
      <c r="W4290" s="79" t="str">
        <f>IF(AND('341-CT'!$H$9=H4290,OR(LEFT(N4290,3)=$W$7,LEFT(O4290,3)=$W$7)),"x","")</f>
        <v/>
      </c>
      <c r="X4290" s="79" t="str">
        <f>IF(OR(TH!N4290=TH!$X$7,O4290=TH!$X$7),"x","")</f>
        <v/>
      </c>
      <c r="Y4290" s="79" t="str">
        <f>IF(AND(OR(N4290="131",O4290="131"),H4290='131-CT'!$H$9),"x","")</f>
        <v/>
      </c>
      <c r="Z4290" s="79"/>
      <c r="AA4290" s="79" t="str">
        <f>IF(AND(MONTH(E4290)='IN-NX'!$J$5,'IN-NX'!$D$7=D4290),"x","")</f>
        <v/>
      </c>
      <c r="AB4290" s="79" t="str">
        <f>IF(AND(OR(LEFT(TH!N4290,2)="15",LEFT(TH!O4290,2)="15"),LEFT(TH!O4290,3)&lt;&gt;"111",'152-CT'!$J$8=TH!F4290),"x","")</f>
        <v/>
      </c>
      <c r="AC4290" s="79" t="str">
        <f>IF(AND(OR(LEFT(TH!N4290,2)="15",LEFT(TH!O4290,2)="15"),TK!$E$7=TH!F4290),"x","")</f>
        <v/>
      </c>
      <c r="AD4290" s="79" t="str">
        <f>IF(AND(N4290="1521",MONTH(C4290)='BK-NL'!$M$11),"x","")</f>
        <v/>
      </c>
    </row>
    <row r="4291" spans="1:30" ht="16.5" customHeight="1">
      <c r="A4291" s="318" t="str">
        <f>IF(B4291&lt;&gt;"",IF(AND(B4291='[3]IN-TC'!$S$4,OR([3]TH!N3522="1111",[3]TH!O3522="1111")),[3]TH!D3522,""),"")</f>
        <v/>
      </c>
      <c r="B4291" s="60" t="str">
        <f t="shared" si="432"/>
        <v/>
      </c>
      <c r="C4291" s="301"/>
      <c r="D4291" s="301"/>
      <c r="E4291" s="301"/>
      <c r="F4291" s="302"/>
      <c r="G4291" s="988"/>
      <c r="H4291" s="69"/>
      <c r="I4291" s="77"/>
      <c r="J4291" s="969"/>
      <c r="K4291" s="385"/>
      <c r="L4291" s="392"/>
      <c r="M4291" s="970"/>
      <c r="N4291" s="304"/>
      <c r="O4291" s="304"/>
      <c r="P4291" s="79" t="str">
        <f>IF(AND('331-CT'!$E$7=TH!H4291,OR(N4291="331",O4291="331")),"x","")</f>
        <v/>
      </c>
      <c r="Q4291" s="79" t="str">
        <f>IF(AND(B4291='111'!$L$11,OR($N4291=$Q$7,$O4291=$Q$7)),"x","")</f>
        <v/>
      </c>
      <c r="R4291" s="79" t="str">
        <f>IF(AND($N4291=$Q$7,$B4291&lt;'111'!$L$11),"x","")</f>
        <v/>
      </c>
      <c r="S4291" s="79" t="str">
        <f>IF(AND($O4291=$Q$7,$B4291&lt;'111'!$L$11),"x","")</f>
        <v/>
      </c>
      <c r="T4291" s="79" t="str">
        <f>IF(ISERROR(FIND('112'!$M$9,G4291,1)),"",IF((AND(FIND('112'!$M$9,G4291,1)&gt;=1,B4291='112'!$K$9,OR($N4291='112'!$I$6,$O4291='112'!$I$6))),"x",""))</f>
        <v/>
      </c>
      <c r="U4291" s="79" t="str">
        <f>IF(ISERROR(FIND('112'!$M$9,G4291,1)),"",IF((AND(LEFT(G4291,2)=LEFT('112'!$M$9,2),B4291&lt;'112'!$K$9,$N4291='112'!$I$6)),"x",""))</f>
        <v/>
      </c>
      <c r="V4291" s="79" t="str">
        <f>IF(ISERROR(FIND('112'!$M$9,G4291,1)),"",IF((AND(RIGHT(G4291,2)=RIGHT('112'!$M$9,2),B4291&lt;'112'!$K$9,$O4291='112'!$I$6)),"x",""))</f>
        <v/>
      </c>
      <c r="W4291" s="79" t="str">
        <f>IF(AND('341-CT'!$H$9=H4291,OR(LEFT(N4291,3)=$W$7,LEFT(O4291,3)=$W$7)),"x","")</f>
        <v/>
      </c>
      <c r="X4291" s="79" t="str">
        <f>IF(OR(TH!N4291=TH!$X$7,O4291=TH!$X$7),"x","")</f>
        <v/>
      </c>
      <c r="Y4291" s="79" t="str">
        <f>IF(AND(OR(N4291="131",O4291="131"),H4291='131-CT'!$H$9),"x","")</f>
        <v/>
      </c>
      <c r="Z4291" s="79"/>
      <c r="AA4291" s="79" t="str">
        <f>IF(AND(MONTH(E4291)='IN-NX'!$J$5,'IN-NX'!$D$7=D4291),"x","")</f>
        <v/>
      </c>
      <c r="AB4291" s="79" t="str">
        <f>IF(AND(OR(LEFT(TH!N4291,2)="15",LEFT(TH!O4291,2)="15"),LEFT(TH!O4291,3)&lt;&gt;"111",'152-CT'!$J$8=TH!F4291),"x","")</f>
        <v/>
      </c>
      <c r="AC4291" s="79" t="str">
        <f>IF(AND(OR(LEFT(TH!N4291,2)="15",LEFT(TH!O4291,2)="15"),TK!$E$7=TH!F4291),"x","")</f>
        <v/>
      </c>
      <c r="AD4291" s="79" t="str">
        <f>IF(AND(N4291="1521",MONTH(C4291)='BK-NL'!$M$11),"x","")</f>
        <v/>
      </c>
    </row>
    <row r="4292" spans="1:30" ht="16.5" customHeight="1">
      <c r="A4292" s="318" t="str">
        <f>IF(B4292&lt;&gt;"",IF(AND(B4292='[3]IN-TC'!$S$4,OR([3]TH!N3523="1111",[3]TH!O3523="1111")),[3]TH!D3523,""),"")</f>
        <v/>
      </c>
      <c r="B4292" s="60" t="str">
        <f t="shared" si="432"/>
        <v/>
      </c>
      <c r="C4292" s="301"/>
      <c r="D4292" s="301"/>
      <c r="E4292" s="301"/>
      <c r="F4292" s="302"/>
      <c r="G4292" s="988"/>
      <c r="H4292" s="69"/>
      <c r="I4292" s="77"/>
      <c r="J4292" s="969"/>
      <c r="K4292" s="385"/>
      <c r="L4292" s="392"/>
      <c r="M4292" s="970"/>
      <c r="N4292" s="304"/>
      <c r="O4292" s="304"/>
      <c r="P4292" s="79" t="str">
        <f>IF(AND('331-CT'!$E$7=TH!H4292,OR(N4292="331",O4292="331")),"x","")</f>
        <v/>
      </c>
      <c r="Q4292" s="79" t="str">
        <f>IF(AND(B4292='111'!$L$11,OR($N4292=$Q$7,$O4292=$Q$7)),"x","")</f>
        <v/>
      </c>
      <c r="R4292" s="79" t="str">
        <f>IF(AND($N4292=$Q$7,$B4292&lt;'111'!$L$11),"x","")</f>
        <v/>
      </c>
      <c r="S4292" s="79" t="str">
        <f>IF(AND($O4292=$Q$7,$B4292&lt;'111'!$L$11),"x","")</f>
        <v/>
      </c>
      <c r="T4292" s="79" t="str">
        <f>IF(ISERROR(FIND('112'!$M$9,G4292,1)),"",IF((AND(FIND('112'!$M$9,G4292,1)&gt;=1,B4292='112'!$K$9,OR($N4292='112'!$I$6,$O4292='112'!$I$6))),"x",""))</f>
        <v/>
      </c>
      <c r="U4292" s="79" t="str">
        <f>IF(ISERROR(FIND('112'!$M$9,G4292,1)),"",IF((AND(LEFT(G4292,2)=LEFT('112'!$M$9,2),B4292&lt;'112'!$K$9,$N4292='112'!$I$6)),"x",""))</f>
        <v/>
      </c>
      <c r="V4292" s="79" t="str">
        <f>IF(ISERROR(FIND('112'!$M$9,G4292,1)),"",IF((AND(RIGHT(G4292,2)=RIGHT('112'!$M$9,2),B4292&lt;'112'!$K$9,$O4292='112'!$I$6)),"x",""))</f>
        <v/>
      </c>
      <c r="W4292" s="79" t="str">
        <f>IF(AND('341-CT'!$H$9=H4292,OR(LEFT(N4292,3)=$W$7,LEFT(O4292,3)=$W$7)),"x","")</f>
        <v/>
      </c>
      <c r="X4292" s="79" t="str">
        <f>IF(OR(TH!N4292=TH!$X$7,O4292=TH!$X$7),"x","")</f>
        <v/>
      </c>
      <c r="Y4292" s="79" t="str">
        <f>IF(AND(OR(N4292="131",O4292="131"),H4292='131-CT'!$H$9),"x","")</f>
        <v/>
      </c>
      <c r="Z4292" s="79"/>
      <c r="AA4292" s="79" t="str">
        <f>IF(AND(MONTH(E4292)='IN-NX'!$J$5,'IN-NX'!$D$7=D4292),"x","")</f>
        <v/>
      </c>
      <c r="AB4292" s="79" t="str">
        <f>IF(AND(OR(LEFT(TH!N4292,2)="15",LEFT(TH!O4292,2)="15"),LEFT(TH!O4292,3)&lt;&gt;"111",'152-CT'!$J$8=TH!F4292),"x","")</f>
        <v/>
      </c>
      <c r="AC4292" s="79" t="str">
        <f>IF(AND(OR(LEFT(TH!N4292,2)="15",LEFT(TH!O4292,2)="15"),TK!$E$7=TH!F4292),"x","")</f>
        <v/>
      </c>
      <c r="AD4292" s="79" t="str">
        <f>IF(AND(N4292="1521",MONTH(C4292)='BK-NL'!$M$11),"x","")</f>
        <v/>
      </c>
    </row>
    <row r="4293" spans="1:30" ht="16.5" customHeight="1">
      <c r="A4293" s="318" t="str">
        <f>IF(B4293&lt;&gt;"",IF(AND(B4293='[3]IN-TC'!$S$4,OR([3]TH!N3524="1111",[3]TH!O3524="1111")),[3]TH!D3524,""),"")</f>
        <v/>
      </c>
      <c r="B4293" s="60" t="str">
        <f t="shared" si="432"/>
        <v/>
      </c>
      <c r="C4293" s="301"/>
      <c r="D4293" s="301"/>
      <c r="E4293" s="301"/>
      <c r="F4293" s="302"/>
      <c r="G4293" s="988"/>
      <c r="H4293" s="69"/>
      <c r="I4293" s="77"/>
      <c r="J4293" s="969"/>
      <c r="K4293" s="385"/>
      <c r="L4293" s="392"/>
      <c r="M4293" s="970"/>
      <c r="N4293" s="304"/>
      <c r="O4293" s="304"/>
      <c r="P4293" s="79" t="str">
        <f>IF(AND('331-CT'!$E$7=TH!H4293,OR(N4293="331",O4293="331")),"x","")</f>
        <v/>
      </c>
      <c r="Q4293" s="79" t="str">
        <f>IF(AND(B4293='111'!$L$11,OR($N4293=$Q$7,$O4293=$Q$7)),"x","")</f>
        <v/>
      </c>
      <c r="R4293" s="79" t="str">
        <f>IF(AND($N4293=$Q$7,$B4293&lt;'111'!$L$11),"x","")</f>
        <v/>
      </c>
      <c r="S4293" s="79" t="str">
        <f>IF(AND($O4293=$Q$7,$B4293&lt;'111'!$L$11),"x","")</f>
        <v/>
      </c>
      <c r="T4293" s="79" t="str">
        <f>IF(ISERROR(FIND('112'!$M$9,G4293,1)),"",IF((AND(FIND('112'!$M$9,G4293,1)&gt;=1,B4293='112'!$K$9,OR($N4293='112'!$I$6,$O4293='112'!$I$6))),"x",""))</f>
        <v/>
      </c>
      <c r="U4293" s="79" t="str">
        <f>IF(ISERROR(FIND('112'!$M$9,G4293,1)),"",IF((AND(LEFT(G4293,2)=LEFT('112'!$M$9,2),B4293&lt;'112'!$K$9,$N4293='112'!$I$6)),"x",""))</f>
        <v/>
      </c>
      <c r="V4293" s="79" t="str">
        <f>IF(ISERROR(FIND('112'!$M$9,G4293,1)),"",IF((AND(RIGHT(G4293,2)=RIGHT('112'!$M$9,2),B4293&lt;'112'!$K$9,$O4293='112'!$I$6)),"x",""))</f>
        <v/>
      </c>
      <c r="W4293" s="79" t="str">
        <f>IF(AND('341-CT'!$H$9=H4293,OR(LEFT(N4293,3)=$W$7,LEFT(O4293,3)=$W$7)),"x","")</f>
        <v/>
      </c>
      <c r="X4293" s="79" t="str">
        <f>IF(OR(TH!N4293=TH!$X$7,O4293=TH!$X$7),"x","")</f>
        <v/>
      </c>
      <c r="Y4293" s="79" t="str">
        <f>IF(AND(OR(N4293="131",O4293="131"),H4293='131-CT'!$H$9),"x","")</f>
        <v/>
      </c>
      <c r="Z4293" s="79"/>
      <c r="AA4293" s="79" t="str">
        <f>IF(AND(MONTH(E4293)='IN-NX'!$J$5,'IN-NX'!$D$7=D4293),"x","")</f>
        <v/>
      </c>
      <c r="AB4293" s="79" t="str">
        <f>IF(AND(OR(LEFT(TH!N4293,2)="15",LEFT(TH!O4293,2)="15"),LEFT(TH!O4293,3)&lt;&gt;"111",'152-CT'!$J$8=TH!F4293),"x","")</f>
        <v/>
      </c>
      <c r="AC4293" s="79" t="str">
        <f>IF(AND(OR(LEFT(TH!N4293,2)="15",LEFT(TH!O4293,2)="15"),TK!$E$7=TH!F4293),"x","")</f>
        <v/>
      </c>
      <c r="AD4293" s="79" t="str">
        <f>IF(AND(N4293="1521",MONTH(C4293)='BK-NL'!$M$11),"x","")</f>
        <v/>
      </c>
    </row>
    <row r="4294" spans="1:30" ht="16.5" customHeight="1">
      <c r="A4294" s="318" t="str">
        <f>IF(B4294&lt;&gt;"",IF(AND(B4294='[3]IN-TC'!$S$4,OR([3]TH!N3525="1111",[3]TH!O3525="1111")),[3]TH!D3525,""),"")</f>
        <v/>
      </c>
      <c r="B4294" s="60" t="str">
        <f t="shared" si="432"/>
        <v/>
      </c>
      <c r="C4294" s="301"/>
      <c r="D4294" s="301"/>
      <c r="E4294" s="301"/>
      <c r="F4294" s="302"/>
      <c r="G4294" s="988"/>
      <c r="H4294" s="69"/>
      <c r="I4294" s="77"/>
      <c r="J4294" s="969"/>
      <c r="K4294" s="385"/>
      <c r="L4294" s="392"/>
      <c r="M4294" s="970"/>
      <c r="N4294" s="304"/>
      <c r="O4294" s="304"/>
      <c r="P4294" s="79" t="str">
        <f>IF(AND('331-CT'!$E$7=TH!H4294,OR(N4294="331",O4294="331")),"x","")</f>
        <v/>
      </c>
      <c r="Q4294" s="79" t="str">
        <f>IF(AND(B4294='111'!$L$11,OR($N4294=$Q$7,$O4294=$Q$7)),"x","")</f>
        <v/>
      </c>
      <c r="R4294" s="79" t="str">
        <f>IF(AND($N4294=$Q$7,$B4294&lt;'111'!$L$11),"x","")</f>
        <v/>
      </c>
      <c r="S4294" s="79" t="str">
        <f>IF(AND($O4294=$Q$7,$B4294&lt;'111'!$L$11),"x","")</f>
        <v/>
      </c>
      <c r="T4294" s="79" t="str">
        <f>IF(ISERROR(FIND('112'!$M$9,G4294,1)),"",IF((AND(FIND('112'!$M$9,G4294,1)&gt;=1,B4294='112'!$K$9,OR($N4294='112'!$I$6,$O4294='112'!$I$6))),"x",""))</f>
        <v/>
      </c>
      <c r="U4294" s="79" t="str">
        <f>IF(ISERROR(FIND('112'!$M$9,G4294,1)),"",IF((AND(LEFT(G4294,2)=LEFT('112'!$M$9,2),B4294&lt;'112'!$K$9,$N4294='112'!$I$6)),"x",""))</f>
        <v/>
      </c>
      <c r="V4294" s="79" t="str">
        <f>IF(ISERROR(FIND('112'!$M$9,G4294,1)),"",IF((AND(RIGHT(G4294,2)=RIGHT('112'!$M$9,2),B4294&lt;'112'!$K$9,$O4294='112'!$I$6)),"x",""))</f>
        <v/>
      </c>
      <c r="W4294" s="79" t="str">
        <f>IF(AND('341-CT'!$H$9=H4294,OR(LEFT(N4294,3)=$W$7,LEFT(O4294,3)=$W$7)),"x","")</f>
        <v/>
      </c>
      <c r="X4294" s="79" t="str">
        <f>IF(OR(TH!N4294=TH!$X$7,O4294=TH!$X$7),"x","")</f>
        <v/>
      </c>
      <c r="Y4294" s="79" t="str">
        <f>IF(AND(OR(N4294="131",O4294="131"),H4294='131-CT'!$H$9),"x","")</f>
        <v/>
      </c>
      <c r="Z4294" s="79"/>
      <c r="AA4294" s="79" t="str">
        <f>IF(AND(MONTH(E4294)='IN-NX'!$J$5,'IN-NX'!$D$7=D4294),"x","")</f>
        <v/>
      </c>
      <c r="AB4294" s="79" t="str">
        <f>IF(AND(OR(LEFT(TH!N4294,2)="15",LEFT(TH!O4294,2)="15"),LEFT(TH!O4294,3)&lt;&gt;"111",'152-CT'!$J$8=TH!F4294),"x","")</f>
        <v/>
      </c>
      <c r="AC4294" s="79" t="str">
        <f>IF(AND(OR(LEFT(TH!N4294,2)="15",LEFT(TH!O4294,2)="15"),TK!$E$7=TH!F4294),"x","")</f>
        <v/>
      </c>
      <c r="AD4294" s="79" t="str">
        <f>IF(AND(N4294="1521",MONTH(C4294)='BK-NL'!$M$11),"x","")</f>
        <v/>
      </c>
    </row>
    <row r="4295" spans="1:30" ht="16.5" customHeight="1">
      <c r="A4295" s="318" t="str">
        <f>IF(B4295&lt;&gt;"",IF(AND(B4295='[3]IN-TC'!$S$4,OR([3]TH!N3526="1111",[3]TH!O3526="1111")),[3]TH!D3526,""),"")</f>
        <v/>
      </c>
      <c r="B4295" s="60" t="str">
        <f t="shared" si="432"/>
        <v/>
      </c>
      <c r="C4295" s="301"/>
      <c r="D4295" s="301"/>
      <c r="E4295" s="301"/>
      <c r="F4295" s="302"/>
      <c r="G4295" s="988"/>
      <c r="H4295" s="69"/>
      <c r="I4295" s="77"/>
      <c r="J4295" s="969"/>
      <c r="K4295" s="385"/>
      <c r="L4295" s="392"/>
      <c r="M4295" s="970"/>
      <c r="N4295" s="304"/>
      <c r="O4295" s="304"/>
      <c r="P4295" s="79" t="str">
        <f>IF(AND('331-CT'!$E$7=TH!H4295,OR(N4295="331",O4295="331")),"x","")</f>
        <v/>
      </c>
      <c r="Q4295" s="79" t="str">
        <f>IF(AND(B4295='111'!$L$11,OR($N4295=$Q$7,$O4295=$Q$7)),"x","")</f>
        <v/>
      </c>
      <c r="R4295" s="79" t="str">
        <f>IF(AND($N4295=$Q$7,$B4295&lt;'111'!$L$11),"x","")</f>
        <v/>
      </c>
      <c r="S4295" s="79" t="str">
        <f>IF(AND($O4295=$Q$7,$B4295&lt;'111'!$L$11),"x","")</f>
        <v/>
      </c>
      <c r="T4295" s="79" t="str">
        <f>IF(ISERROR(FIND('112'!$M$9,G4295,1)),"",IF((AND(FIND('112'!$M$9,G4295,1)&gt;=1,B4295='112'!$K$9,OR($N4295='112'!$I$6,$O4295='112'!$I$6))),"x",""))</f>
        <v/>
      </c>
      <c r="U4295" s="79" t="str">
        <f>IF(ISERROR(FIND('112'!$M$9,G4295,1)),"",IF((AND(LEFT(G4295,2)=LEFT('112'!$M$9,2),B4295&lt;'112'!$K$9,$N4295='112'!$I$6)),"x",""))</f>
        <v/>
      </c>
      <c r="V4295" s="79" t="str">
        <f>IF(ISERROR(FIND('112'!$M$9,G4295,1)),"",IF((AND(RIGHT(G4295,2)=RIGHT('112'!$M$9,2),B4295&lt;'112'!$K$9,$O4295='112'!$I$6)),"x",""))</f>
        <v/>
      </c>
      <c r="W4295" s="79" t="str">
        <f>IF(AND('341-CT'!$H$9=H4295,OR(LEFT(N4295,3)=$W$7,LEFT(O4295,3)=$W$7)),"x","")</f>
        <v/>
      </c>
      <c r="X4295" s="79" t="str">
        <f>IF(OR(TH!N4295=TH!$X$7,O4295=TH!$X$7),"x","")</f>
        <v/>
      </c>
      <c r="Y4295" s="79" t="str">
        <f>IF(AND(OR(N4295="131",O4295="131"),H4295='131-CT'!$H$9),"x","")</f>
        <v/>
      </c>
      <c r="Z4295" s="79"/>
      <c r="AA4295" s="79" t="str">
        <f>IF(AND(MONTH(E4295)='IN-NX'!$J$5,'IN-NX'!$D$7=D4295),"x","")</f>
        <v/>
      </c>
      <c r="AB4295" s="79" t="str">
        <f>IF(AND(OR(LEFT(TH!N4295,2)="15",LEFT(TH!O4295,2)="15"),LEFT(TH!O4295,3)&lt;&gt;"111",'152-CT'!$J$8=TH!F4295),"x","")</f>
        <v/>
      </c>
      <c r="AC4295" s="79" t="str">
        <f>IF(AND(OR(LEFT(TH!N4295,2)="15",LEFT(TH!O4295,2)="15"),TK!$E$7=TH!F4295),"x","")</f>
        <v/>
      </c>
      <c r="AD4295" s="79" t="str">
        <f>IF(AND(N4295="1521",MONTH(C4295)='BK-NL'!$M$11),"x","")</f>
        <v/>
      </c>
    </row>
    <row r="4296" spans="1:30" ht="16.5" customHeight="1">
      <c r="A4296" s="318" t="str">
        <f>IF(B4296&lt;&gt;"",IF(AND(B4296='[3]IN-TC'!$S$4,OR([3]TH!N3527="1111",[3]TH!O3527="1111")),[3]TH!D3527,""),"")</f>
        <v/>
      </c>
      <c r="B4296" s="60" t="str">
        <f t="shared" si="432"/>
        <v/>
      </c>
      <c r="C4296" s="301"/>
      <c r="D4296" s="301"/>
      <c r="E4296" s="301"/>
      <c r="F4296" s="302"/>
      <c r="G4296" s="988"/>
      <c r="H4296" s="1012"/>
      <c r="I4296" s="77"/>
      <c r="J4296" s="969"/>
      <c r="K4296" s="385"/>
      <c r="L4296" s="392"/>
      <c r="M4296" s="970"/>
      <c r="N4296" s="304"/>
      <c r="O4296" s="304"/>
      <c r="P4296" s="79" t="str">
        <f>IF(AND('331-CT'!$E$7=TH!H4296,OR(N4296="331",O4296="331")),"x","")</f>
        <v/>
      </c>
      <c r="Q4296" s="79" t="str">
        <f>IF(AND(B4296='111'!$L$11,OR($N4296=$Q$7,$O4296=$Q$7)),"x","")</f>
        <v/>
      </c>
      <c r="R4296" s="79" t="str">
        <f>IF(AND($N4296=$Q$7,$B4296&lt;'111'!$L$11),"x","")</f>
        <v/>
      </c>
      <c r="S4296" s="79" t="str">
        <f>IF(AND($O4296=$Q$7,$B4296&lt;'111'!$L$11),"x","")</f>
        <v/>
      </c>
      <c r="T4296" s="79" t="str">
        <f>IF(ISERROR(FIND('112'!$M$9,G4296,1)),"",IF((AND(FIND('112'!$M$9,G4296,1)&gt;=1,B4296='112'!$K$9,OR($N4296='112'!$I$6,$O4296='112'!$I$6))),"x",""))</f>
        <v/>
      </c>
      <c r="U4296" s="79" t="str">
        <f>IF(ISERROR(FIND('112'!$M$9,G4296,1)),"",IF((AND(LEFT(G4296,2)=LEFT('112'!$M$9,2),B4296&lt;'112'!$K$9,$N4296='112'!$I$6)),"x",""))</f>
        <v/>
      </c>
      <c r="V4296" s="79" t="str">
        <f>IF(ISERROR(FIND('112'!$M$9,G4296,1)),"",IF((AND(RIGHT(G4296,2)=RIGHT('112'!$M$9,2),B4296&lt;'112'!$K$9,$O4296='112'!$I$6)),"x",""))</f>
        <v/>
      </c>
      <c r="W4296" s="79" t="str">
        <f>IF(AND('341-CT'!$H$9=H4296,OR(LEFT(N4296,3)=$W$7,LEFT(O4296,3)=$W$7)),"x","")</f>
        <v/>
      </c>
      <c r="X4296" s="79" t="str">
        <f>IF(OR(TH!N4296=TH!$X$7,O4296=TH!$X$7),"x","")</f>
        <v/>
      </c>
      <c r="Y4296" s="79" t="str">
        <f>IF(AND(OR(N4296="131",O4296="131"),H4296='131-CT'!$H$9),"x","")</f>
        <v/>
      </c>
      <c r="Z4296" s="79"/>
      <c r="AA4296" s="79" t="str">
        <f>IF(AND(MONTH(E4296)='IN-NX'!$J$5,'IN-NX'!$D$7=D4296),"x","")</f>
        <v/>
      </c>
      <c r="AB4296" s="79" t="str">
        <f>IF(AND(OR(LEFT(TH!N4296,2)="15",LEFT(TH!O4296,2)="15"),LEFT(TH!O4296,3)&lt;&gt;"111",'152-CT'!$J$8=TH!F4296),"x","")</f>
        <v/>
      </c>
      <c r="AC4296" s="79" t="str">
        <f>IF(AND(OR(LEFT(TH!N4296,2)="15",LEFT(TH!O4296,2)="15"),TK!$E$7=TH!F4296),"x","")</f>
        <v/>
      </c>
      <c r="AD4296" s="79" t="str">
        <f>IF(AND(N4296="1521",MONTH(C4296)='BK-NL'!$M$11),"x","")</f>
        <v/>
      </c>
    </row>
    <row r="4297" spans="1:30" ht="16.5" customHeight="1">
      <c r="A4297" s="318" t="str">
        <f>IF(B4297&lt;&gt;"",IF(AND(B4297='[3]IN-TC'!$S$4,OR([3]TH!N3528="1111",[3]TH!O3528="1111")),[3]TH!D3528,""),"")</f>
        <v/>
      </c>
      <c r="B4297" s="60" t="str">
        <f t="shared" si="432"/>
        <v/>
      </c>
      <c r="C4297" s="301"/>
      <c r="D4297" s="301"/>
      <c r="E4297" s="301"/>
      <c r="F4297" s="302"/>
      <c r="G4297" s="988"/>
      <c r="H4297" s="69"/>
      <c r="I4297" s="77"/>
      <c r="J4297" s="969"/>
      <c r="K4297" s="385"/>
      <c r="L4297" s="392"/>
      <c r="M4297" s="970"/>
      <c r="N4297" s="304"/>
      <c r="O4297" s="304"/>
      <c r="P4297" s="79" t="str">
        <f>IF(AND('331-CT'!$E$7=TH!H4297,OR(N4297="331",O4297="331")),"x","")</f>
        <v/>
      </c>
      <c r="Q4297" s="79" t="str">
        <f>IF(AND(B4297='111'!$L$11,OR($N4297=$Q$7,$O4297=$Q$7)),"x","")</f>
        <v/>
      </c>
      <c r="R4297" s="79" t="str">
        <f>IF(AND($N4297=$Q$7,$B4297&lt;'111'!$L$11),"x","")</f>
        <v/>
      </c>
      <c r="S4297" s="79" t="str">
        <f>IF(AND($O4297=$Q$7,$B4297&lt;'111'!$L$11),"x","")</f>
        <v/>
      </c>
      <c r="T4297" s="79" t="str">
        <f>IF(ISERROR(FIND('112'!$M$9,G4297,1)),"",IF((AND(FIND('112'!$M$9,G4297,1)&gt;=1,B4297='112'!$K$9,OR($N4297='112'!$I$6,$O4297='112'!$I$6))),"x",""))</f>
        <v/>
      </c>
      <c r="U4297" s="79" t="str">
        <f>IF(ISERROR(FIND('112'!$M$9,G4297,1)),"",IF((AND(LEFT(G4297,2)=LEFT('112'!$M$9,2),B4297&lt;'112'!$K$9,$N4297='112'!$I$6)),"x",""))</f>
        <v/>
      </c>
      <c r="V4297" s="79" t="str">
        <f>IF(ISERROR(FIND('112'!$M$9,G4297,1)),"",IF((AND(RIGHT(G4297,2)=RIGHT('112'!$M$9,2),B4297&lt;'112'!$K$9,$O4297='112'!$I$6)),"x",""))</f>
        <v/>
      </c>
      <c r="W4297" s="79" t="str">
        <f>IF(AND('341-CT'!$H$9=H4297,OR(LEFT(N4297,3)=$W$7,LEFT(O4297,3)=$W$7)),"x","")</f>
        <v/>
      </c>
      <c r="X4297" s="79" t="str">
        <f>IF(OR(TH!N4297=TH!$X$7,O4297=TH!$X$7),"x","")</f>
        <v/>
      </c>
      <c r="Y4297" s="79" t="str">
        <f>IF(AND(OR(N4297="131",O4297="131"),H4297='131-CT'!$H$9),"x","")</f>
        <v/>
      </c>
      <c r="Z4297" s="79"/>
      <c r="AA4297" s="79" t="str">
        <f>IF(AND(MONTH(E4297)='IN-NX'!$J$5,'IN-NX'!$D$7=D4297),"x","")</f>
        <v/>
      </c>
      <c r="AB4297" s="79" t="str">
        <f>IF(AND(OR(LEFT(TH!N4297,2)="15",LEFT(TH!O4297,2)="15"),LEFT(TH!O4297,3)&lt;&gt;"111",'152-CT'!$J$8=TH!F4297),"x","")</f>
        <v/>
      </c>
      <c r="AC4297" s="79" t="str">
        <f>IF(AND(OR(LEFT(TH!N4297,2)="15",LEFT(TH!O4297,2)="15"),TK!$E$7=TH!F4297),"x","")</f>
        <v/>
      </c>
      <c r="AD4297" s="79" t="str">
        <f>IF(AND(N4297="1521",MONTH(C4297)='BK-NL'!$M$11),"x","")</f>
        <v/>
      </c>
    </row>
    <row r="4298" spans="1:30" ht="16.5" customHeight="1">
      <c r="A4298" s="318" t="str">
        <f>IF(B4298&lt;&gt;"",IF(AND(B4298='[3]IN-TC'!$S$4,OR([3]TH!N3529="1111",[3]TH!O3529="1111")),[3]TH!D3529,""),"")</f>
        <v/>
      </c>
      <c r="B4298" s="60" t="str">
        <f t="shared" si="432"/>
        <v/>
      </c>
      <c r="C4298" s="301"/>
      <c r="D4298" s="301"/>
      <c r="E4298" s="301"/>
      <c r="F4298" s="302"/>
      <c r="G4298" s="988"/>
      <c r="H4298" s="69"/>
      <c r="I4298" s="77"/>
      <c r="J4298" s="969"/>
      <c r="K4298" s="385"/>
      <c r="L4298" s="392"/>
      <c r="M4298" s="970"/>
      <c r="N4298" s="304"/>
      <c r="O4298" s="304"/>
      <c r="P4298" s="79" t="str">
        <f>IF(AND('331-CT'!$E$7=TH!H4298,OR(N4298="331",O4298="331")),"x","")</f>
        <v/>
      </c>
      <c r="Q4298" s="79" t="str">
        <f>IF(AND(B4298='111'!$L$11,OR($N4298=$Q$7,$O4298=$Q$7)),"x","")</f>
        <v/>
      </c>
      <c r="R4298" s="79" t="str">
        <f>IF(AND($N4298=$Q$7,$B4298&lt;'111'!$L$11),"x","")</f>
        <v/>
      </c>
      <c r="S4298" s="79" t="str">
        <f>IF(AND($O4298=$Q$7,$B4298&lt;'111'!$L$11),"x","")</f>
        <v/>
      </c>
      <c r="T4298" s="79" t="str">
        <f>IF(ISERROR(FIND('112'!$M$9,G4298,1)),"",IF((AND(FIND('112'!$M$9,G4298,1)&gt;=1,B4298='112'!$K$9,OR($N4298='112'!$I$6,$O4298='112'!$I$6))),"x",""))</f>
        <v/>
      </c>
      <c r="U4298" s="79" t="str">
        <f>IF(ISERROR(FIND('112'!$M$9,G4298,1)),"",IF((AND(LEFT(G4298,2)=LEFT('112'!$M$9,2),B4298&lt;'112'!$K$9,$N4298='112'!$I$6)),"x",""))</f>
        <v/>
      </c>
      <c r="V4298" s="79" t="str">
        <f>IF(ISERROR(FIND('112'!$M$9,G4298,1)),"",IF((AND(RIGHT(G4298,2)=RIGHT('112'!$M$9,2),B4298&lt;'112'!$K$9,$O4298='112'!$I$6)),"x",""))</f>
        <v/>
      </c>
      <c r="W4298" s="79" t="str">
        <f>IF(AND('341-CT'!$H$9=H4298,OR(LEFT(N4298,3)=$W$7,LEFT(O4298,3)=$W$7)),"x","")</f>
        <v/>
      </c>
      <c r="X4298" s="79" t="str">
        <f>IF(OR(TH!N4298=TH!$X$7,O4298=TH!$X$7),"x","")</f>
        <v/>
      </c>
      <c r="Y4298" s="79" t="str">
        <f>IF(AND(OR(N4298="131",O4298="131"),H4298='131-CT'!$H$9),"x","")</f>
        <v/>
      </c>
      <c r="Z4298" s="79"/>
      <c r="AA4298" s="79" t="str">
        <f>IF(AND(MONTH(E4298)='IN-NX'!$J$5,'IN-NX'!$D$7=D4298),"x","")</f>
        <v/>
      </c>
      <c r="AB4298" s="79" t="str">
        <f>IF(AND(OR(LEFT(TH!N4298,2)="15",LEFT(TH!O4298,2)="15"),LEFT(TH!O4298,3)&lt;&gt;"111",'152-CT'!$J$8=TH!F4298),"x","")</f>
        <v/>
      </c>
      <c r="AC4298" s="79" t="str">
        <f>IF(AND(OR(LEFT(TH!N4298,2)="15",LEFT(TH!O4298,2)="15"),TK!$E$7=TH!F4298),"x","")</f>
        <v/>
      </c>
      <c r="AD4298" s="79" t="str">
        <f>IF(AND(N4298="1521",MONTH(C4298)='BK-NL'!$M$11),"x","")</f>
        <v/>
      </c>
    </row>
    <row r="4299" spans="1:30" ht="16.5" customHeight="1">
      <c r="A4299" s="318" t="str">
        <f>IF(B4299&lt;&gt;"",IF(AND(B4299='[3]IN-TC'!$S$4,OR([3]TH!N3530="1111",[3]TH!O3530="1111")),[3]TH!D3530,""),"")</f>
        <v/>
      </c>
      <c r="B4299" s="60" t="str">
        <f t="shared" si="432"/>
        <v/>
      </c>
      <c r="C4299" s="301"/>
      <c r="D4299" s="301"/>
      <c r="E4299" s="301"/>
      <c r="F4299" s="302"/>
      <c r="G4299" s="988"/>
      <c r="H4299" s="69"/>
      <c r="I4299" s="77"/>
      <c r="J4299" s="969"/>
      <c r="K4299" s="385"/>
      <c r="L4299" s="392"/>
      <c r="M4299" s="970"/>
      <c r="N4299" s="304"/>
      <c r="O4299" s="304"/>
      <c r="P4299" s="79" t="str">
        <f>IF(AND('331-CT'!$E$7=TH!H4299,OR(N4299="331",O4299="331")),"x","")</f>
        <v/>
      </c>
      <c r="Q4299" s="79" t="str">
        <f>IF(AND(B4299='111'!$L$11,OR($N4299=$Q$7,$O4299=$Q$7)),"x","")</f>
        <v/>
      </c>
      <c r="R4299" s="79" t="str">
        <f>IF(AND($N4299=$Q$7,$B4299&lt;'111'!$L$11),"x","")</f>
        <v/>
      </c>
      <c r="S4299" s="79" t="str">
        <f>IF(AND($O4299=$Q$7,$B4299&lt;'111'!$L$11),"x","")</f>
        <v/>
      </c>
      <c r="T4299" s="79" t="str">
        <f>IF(ISERROR(FIND('112'!$M$9,G4299,1)),"",IF((AND(FIND('112'!$M$9,G4299,1)&gt;=1,B4299='112'!$K$9,OR($N4299='112'!$I$6,$O4299='112'!$I$6))),"x",""))</f>
        <v/>
      </c>
      <c r="U4299" s="79" t="str">
        <f>IF(ISERROR(FIND('112'!$M$9,G4299,1)),"",IF((AND(LEFT(G4299,2)=LEFT('112'!$M$9,2),B4299&lt;'112'!$K$9,$N4299='112'!$I$6)),"x",""))</f>
        <v/>
      </c>
      <c r="V4299" s="79" t="str">
        <f>IF(ISERROR(FIND('112'!$M$9,G4299,1)),"",IF((AND(RIGHT(G4299,2)=RIGHT('112'!$M$9,2),B4299&lt;'112'!$K$9,$O4299='112'!$I$6)),"x",""))</f>
        <v/>
      </c>
      <c r="W4299" s="79" t="str">
        <f>IF(AND('341-CT'!$H$9=H4299,OR(LEFT(N4299,3)=$W$7,LEFT(O4299,3)=$W$7)),"x","")</f>
        <v/>
      </c>
      <c r="X4299" s="79" t="str">
        <f>IF(OR(TH!N4299=TH!$X$7,O4299=TH!$X$7),"x","")</f>
        <v/>
      </c>
      <c r="Y4299" s="79" t="str">
        <f>IF(AND(OR(N4299="131",O4299="131"),H4299='131-CT'!$H$9),"x","")</f>
        <v/>
      </c>
      <c r="Z4299" s="79"/>
      <c r="AA4299" s="79" t="str">
        <f>IF(AND(MONTH(E4299)='IN-NX'!$J$5,'IN-NX'!$D$7=D4299),"x","")</f>
        <v/>
      </c>
      <c r="AB4299" s="79" t="str">
        <f>IF(AND(OR(LEFT(TH!N4299,2)="15",LEFT(TH!O4299,2)="15"),LEFT(TH!O4299,3)&lt;&gt;"111",'152-CT'!$J$8=TH!F4299),"x","")</f>
        <v/>
      </c>
      <c r="AC4299" s="79" t="str">
        <f>IF(AND(OR(LEFT(TH!N4299,2)="15",LEFT(TH!O4299,2)="15"),TK!$E$7=TH!F4299),"x","")</f>
        <v/>
      </c>
      <c r="AD4299" s="79" t="str">
        <f>IF(AND(N4299="1521",MONTH(C4299)='BK-NL'!$M$11),"x","")</f>
        <v/>
      </c>
    </row>
    <row r="4300" spans="1:30" ht="16.5" customHeight="1">
      <c r="A4300" s="318" t="str">
        <f>IF(B4300&lt;&gt;"",IF(AND(B4300='[3]IN-TC'!$S$4,OR([3]TH!N3531="1111",[3]TH!O3531="1111")),[3]TH!D3531,""),"")</f>
        <v/>
      </c>
      <c r="B4300" s="60" t="str">
        <f t="shared" si="432"/>
        <v/>
      </c>
      <c r="C4300" s="61"/>
      <c r="D4300" s="301"/>
      <c r="E4300" s="301"/>
      <c r="F4300" s="64"/>
      <c r="G4300" s="64"/>
      <c r="H4300" s="69"/>
      <c r="I4300" s="77"/>
      <c r="J4300" s="969"/>
      <c r="K4300" s="385"/>
      <c r="L4300" s="392"/>
      <c r="M4300" s="970"/>
      <c r="N4300" s="304"/>
      <c r="O4300" s="304"/>
      <c r="P4300" s="79" t="str">
        <f>IF(AND('331-CT'!$E$7=TH!H4300,OR(N4300="331",O4300="331")),"x","")</f>
        <v/>
      </c>
      <c r="Q4300" s="79" t="str">
        <f>IF(AND(B4300='111'!$L$11,OR($N4300=$Q$7,$O4300=$Q$7)),"x","")</f>
        <v/>
      </c>
      <c r="R4300" s="79" t="str">
        <f>IF(AND($N4300=$Q$7,$B4300&lt;'111'!$L$11),"x","")</f>
        <v/>
      </c>
      <c r="S4300" s="79" t="str">
        <f>IF(AND($O4300=$Q$7,$B4300&lt;'111'!$L$11),"x","")</f>
        <v/>
      </c>
      <c r="T4300" s="79" t="str">
        <f>IF(ISERROR(FIND('112'!$M$9,G4300,1)),"",IF((AND(FIND('112'!$M$9,G4300,1)&gt;=1,B4300='112'!$K$9,OR($N4300='112'!$I$6,$O4300='112'!$I$6))),"x",""))</f>
        <v/>
      </c>
      <c r="U4300" s="79" t="str">
        <f>IF(ISERROR(FIND('112'!$M$9,G4300,1)),"",IF((AND(LEFT(G4300,2)=LEFT('112'!$M$9,2),B4300&lt;'112'!$K$9,$N4300='112'!$I$6)),"x",""))</f>
        <v/>
      </c>
      <c r="V4300" s="79" t="str">
        <f>IF(ISERROR(FIND('112'!$M$9,G4300,1)),"",IF((AND(RIGHT(G4300,2)=RIGHT('112'!$M$9,2),B4300&lt;'112'!$K$9,$O4300='112'!$I$6)),"x",""))</f>
        <v/>
      </c>
      <c r="W4300" s="79" t="str">
        <f>IF(AND('341-CT'!$H$9=H4300,OR(LEFT(N4300,3)=$W$7,LEFT(O4300,3)=$W$7)),"x","")</f>
        <v/>
      </c>
      <c r="X4300" s="79" t="str">
        <f>IF(OR(TH!N4300=TH!$X$7,O4300=TH!$X$7),"x","")</f>
        <v/>
      </c>
      <c r="Y4300" s="79" t="str">
        <f>IF(AND(OR(N4300="131",O4300="131"),H4300='131-CT'!$H$9),"x","")</f>
        <v/>
      </c>
      <c r="Z4300" s="79"/>
      <c r="AA4300" s="79" t="str">
        <f>IF(AND(MONTH(E4300)='IN-NX'!$J$5,'IN-NX'!$D$7=D4300),"x","")</f>
        <v/>
      </c>
      <c r="AB4300" s="79" t="str">
        <f>IF(AND(OR(LEFT(TH!N4300,2)="15",LEFT(TH!O4300,2)="15"),LEFT(TH!O4300,3)&lt;&gt;"111",'152-CT'!$J$8=TH!F4300),"x","")</f>
        <v/>
      </c>
      <c r="AC4300" s="79" t="str">
        <f>IF(AND(OR(LEFT(TH!N4300,2)="15",LEFT(TH!O4300,2)="15"),TK!$E$7=TH!F4300),"x","")</f>
        <v/>
      </c>
      <c r="AD4300" s="79" t="str">
        <f>IF(AND(N4300="1521",MONTH(C4300)='BK-NL'!$M$11),"x","")</f>
        <v/>
      </c>
    </row>
    <row r="4301" spans="1:30" ht="16.5" customHeight="1">
      <c r="A4301" s="318" t="str">
        <f>IF(B4301&lt;&gt;"",IF(AND(B4301='[3]IN-TC'!$S$4,OR([3]TH!N3532="1111",[3]TH!O3532="1111")),[3]TH!D3532,""),"")</f>
        <v/>
      </c>
      <c r="B4301" s="60" t="str">
        <f t="shared" si="432"/>
        <v/>
      </c>
      <c r="C4301" s="61"/>
      <c r="D4301" s="301"/>
      <c r="E4301" s="301"/>
      <c r="F4301" s="302"/>
      <c r="G4301" s="988"/>
      <c r="H4301" s="69"/>
      <c r="I4301" s="77"/>
      <c r="J4301" s="969"/>
      <c r="K4301" s="385"/>
      <c r="L4301" s="392"/>
      <c r="M4301" s="970"/>
      <c r="N4301" s="304"/>
      <c r="O4301" s="304"/>
      <c r="P4301" s="79" t="str">
        <f>IF(AND('331-CT'!$E$7=TH!H4301,OR(N4301="331",O4301="331")),"x","")</f>
        <v/>
      </c>
      <c r="Q4301" s="79" t="str">
        <f>IF(AND(B4301='111'!$L$11,OR($N4301=$Q$7,$O4301=$Q$7)),"x","")</f>
        <v/>
      </c>
      <c r="R4301" s="79" t="str">
        <f>IF(AND($N4301=$Q$7,$B4301&lt;'111'!$L$11),"x","")</f>
        <v/>
      </c>
      <c r="S4301" s="79" t="str">
        <f>IF(AND($O4301=$Q$7,$B4301&lt;'111'!$L$11),"x","")</f>
        <v/>
      </c>
      <c r="T4301" s="79" t="str">
        <f>IF(ISERROR(FIND('112'!$M$9,G4301,1)),"",IF((AND(FIND('112'!$M$9,G4301,1)&gt;=1,B4301='112'!$K$9,OR($N4301='112'!$I$6,$O4301='112'!$I$6))),"x",""))</f>
        <v/>
      </c>
      <c r="U4301" s="79" t="str">
        <f>IF(ISERROR(FIND('112'!$M$9,G4301,1)),"",IF((AND(LEFT(G4301,2)=LEFT('112'!$M$9,2),B4301&lt;'112'!$K$9,$N4301='112'!$I$6)),"x",""))</f>
        <v/>
      </c>
      <c r="V4301" s="79" t="str">
        <f>IF(ISERROR(FIND('112'!$M$9,G4301,1)),"",IF((AND(RIGHT(G4301,2)=RIGHT('112'!$M$9,2),B4301&lt;'112'!$K$9,$O4301='112'!$I$6)),"x",""))</f>
        <v/>
      </c>
      <c r="W4301" s="79" t="str">
        <f>IF(AND('341-CT'!$H$9=H4301,OR(LEFT(N4301,3)=$W$7,LEFT(O4301,3)=$W$7)),"x","")</f>
        <v/>
      </c>
      <c r="X4301" s="79" t="str">
        <f>IF(OR(TH!N4301=TH!$X$7,O4301=TH!$X$7),"x","")</f>
        <v/>
      </c>
      <c r="Y4301" s="79" t="str">
        <f>IF(AND(OR(N4301="131",O4301="131"),H4301='131-CT'!$H$9),"x","")</f>
        <v/>
      </c>
      <c r="Z4301" s="79"/>
      <c r="AA4301" s="79" t="str">
        <f>IF(AND(MONTH(E4301)='IN-NX'!$J$5,'IN-NX'!$D$7=D4301),"x","")</f>
        <v/>
      </c>
      <c r="AB4301" s="79" t="str">
        <f>IF(AND(OR(LEFT(TH!N4301,2)="15",LEFT(TH!O4301,2)="15"),LEFT(TH!O4301,3)&lt;&gt;"111",'152-CT'!$J$8=TH!F4301),"x","")</f>
        <v/>
      </c>
      <c r="AC4301" s="79" t="str">
        <f>IF(AND(OR(LEFT(TH!N4301,2)="15",LEFT(TH!O4301,2)="15"),TK!$E$7=TH!F4301),"x","")</f>
        <v/>
      </c>
      <c r="AD4301" s="79" t="str">
        <f>IF(AND(N4301="1521",MONTH(C4301)='BK-NL'!$M$11),"x","")</f>
        <v/>
      </c>
    </row>
    <row r="4302" spans="1:30" ht="16.5" customHeight="1">
      <c r="A4302" s="318" t="str">
        <f>IF(B4302&lt;&gt;"",IF(AND(B4302='[3]IN-TC'!$S$4,OR([3]TH!N3533="1111",[3]TH!O3533="1111")),[3]TH!D3533,""),"")</f>
        <v/>
      </c>
      <c r="B4302" s="60" t="str">
        <f t="shared" si="432"/>
        <v/>
      </c>
      <c r="C4302" s="61"/>
      <c r="D4302" s="301"/>
      <c r="E4302" s="301"/>
      <c r="F4302" s="302"/>
      <c r="G4302" s="988"/>
      <c r="H4302" s="69"/>
      <c r="I4302" s="77"/>
      <c r="J4302" s="969"/>
      <c r="K4302" s="385"/>
      <c r="L4302" s="392"/>
      <c r="M4302" s="970"/>
      <c r="N4302" s="304"/>
      <c r="O4302" s="304"/>
      <c r="P4302" s="79" t="str">
        <f>IF(AND('331-CT'!$E$7=TH!H4302,OR(N4302="331",O4302="331")),"x","")</f>
        <v/>
      </c>
      <c r="Q4302" s="79" t="str">
        <f>IF(AND(B4302='111'!$L$11,OR($N4302=$Q$7,$O4302=$Q$7)),"x","")</f>
        <v/>
      </c>
      <c r="R4302" s="79" t="str">
        <f>IF(AND($N4302=$Q$7,$B4302&lt;'111'!$L$11),"x","")</f>
        <v/>
      </c>
      <c r="S4302" s="79" t="str">
        <f>IF(AND($O4302=$Q$7,$B4302&lt;'111'!$L$11),"x","")</f>
        <v/>
      </c>
      <c r="T4302" s="79" t="str">
        <f>IF(ISERROR(FIND('112'!$M$9,G4302,1)),"",IF((AND(FIND('112'!$M$9,G4302,1)&gt;=1,B4302='112'!$K$9,OR($N4302='112'!$I$6,$O4302='112'!$I$6))),"x",""))</f>
        <v/>
      </c>
      <c r="U4302" s="79" t="str">
        <f>IF(ISERROR(FIND('112'!$M$9,G4302,1)),"",IF((AND(LEFT(G4302,2)=LEFT('112'!$M$9,2),B4302&lt;'112'!$K$9,$N4302='112'!$I$6)),"x",""))</f>
        <v/>
      </c>
      <c r="V4302" s="79" t="str">
        <f>IF(ISERROR(FIND('112'!$M$9,G4302,1)),"",IF((AND(RIGHT(G4302,2)=RIGHT('112'!$M$9,2),B4302&lt;'112'!$K$9,$O4302='112'!$I$6)),"x",""))</f>
        <v/>
      </c>
      <c r="W4302" s="79" t="str">
        <f>IF(AND('341-CT'!$H$9=H4302,OR(LEFT(N4302,3)=$W$7,LEFT(O4302,3)=$W$7)),"x","")</f>
        <v/>
      </c>
      <c r="X4302" s="79" t="str">
        <f>IF(OR(TH!N4302=TH!$X$7,O4302=TH!$X$7),"x","")</f>
        <v/>
      </c>
      <c r="Y4302" s="79" t="str">
        <f>IF(AND(OR(N4302="131",O4302="131"),H4302='131-CT'!$H$9),"x","")</f>
        <v/>
      </c>
      <c r="Z4302" s="79"/>
      <c r="AA4302" s="79" t="str">
        <f>IF(AND(MONTH(E4302)='IN-NX'!$J$5,'IN-NX'!$D$7=D4302),"x","")</f>
        <v/>
      </c>
      <c r="AB4302" s="79" t="str">
        <f>IF(AND(OR(LEFT(TH!N4302,2)="15",LEFT(TH!O4302,2)="15"),LEFT(TH!O4302,3)&lt;&gt;"111",'152-CT'!$J$8=TH!F4302),"x","")</f>
        <v/>
      </c>
      <c r="AC4302" s="79" t="str">
        <f>IF(AND(OR(LEFT(TH!N4302,2)="15",LEFT(TH!O4302,2)="15"),TK!$E$7=TH!F4302),"x","")</f>
        <v/>
      </c>
      <c r="AD4302" s="79" t="str">
        <f>IF(AND(N4302="1521",MONTH(C4302)='BK-NL'!$M$11),"x","")</f>
        <v/>
      </c>
    </row>
    <row r="4303" spans="1:30" ht="16.5" customHeight="1">
      <c r="A4303" s="318" t="str">
        <f>IF(B4303&lt;&gt;"",IF(AND(B4303='[3]IN-TC'!$S$4,OR([3]TH!N3534="1111",[3]TH!O3534="1111")),[3]TH!D3534,""),"")</f>
        <v/>
      </c>
      <c r="B4303" s="60" t="str">
        <f t="shared" si="432"/>
        <v/>
      </c>
      <c r="C4303" s="301"/>
      <c r="D4303" s="301"/>
      <c r="E4303" s="301"/>
      <c r="F4303" s="302"/>
      <c r="G4303" s="988"/>
      <c r="H4303" s="1012"/>
      <c r="I4303" s="77"/>
      <c r="J4303" s="969"/>
      <c r="K4303" s="385"/>
      <c r="L4303" s="392"/>
      <c r="M4303" s="970"/>
      <c r="N4303" s="304"/>
      <c r="O4303" s="304"/>
      <c r="P4303" s="79" t="str">
        <f>IF(AND('331-CT'!$E$7=TH!H4303,OR(N4303="331",O4303="331")),"x","")</f>
        <v/>
      </c>
      <c r="Q4303" s="79" t="str">
        <f>IF(AND(B4303='111'!$L$11,OR($N4303=$Q$7,$O4303=$Q$7)),"x","")</f>
        <v/>
      </c>
      <c r="R4303" s="79" t="str">
        <f>IF(AND($N4303=$Q$7,$B4303&lt;'111'!$L$11),"x","")</f>
        <v/>
      </c>
      <c r="S4303" s="79" t="str">
        <f>IF(AND($O4303=$Q$7,$B4303&lt;'111'!$L$11),"x","")</f>
        <v/>
      </c>
      <c r="T4303" s="79" t="str">
        <f>IF(ISERROR(FIND('112'!$M$9,G4303,1)),"",IF((AND(FIND('112'!$M$9,G4303,1)&gt;=1,B4303='112'!$K$9,OR($N4303='112'!$I$6,$O4303='112'!$I$6))),"x",""))</f>
        <v/>
      </c>
      <c r="U4303" s="79" t="str">
        <f>IF(ISERROR(FIND('112'!$M$9,G4303,1)),"",IF((AND(LEFT(G4303,2)=LEFT('112'!$M$9,2),B4303&lt;'112'!$K$9,$N4303='112'!$I$6)),"x",""))</f>
        <v/>
      </c>
      <c r="V4303" s="79" t="str">
        <f>IF(ISERROR(FIND('112'!$M$9,G4303,1)),"",IF((AND(RIGHT(G4303,2)=RIGHT('112'!$M$9,2),B4303&lt;'112'!$K$9,$O4303='112'!$I$6)),"x",""))</f>
        <v/>
      </c>
      <c r="W4303" s="79" t="str">
        <f>IF(AND('341-CT'!$H$9=H4303,OR(LEFT(N4303,3)=$W$7,LEFT(O4303,3)=$W$7)),"x","")</f>
        <v/>
      </c>
      <c r="X4303" s="79" t="str">
        <f>IF(OR(TH!N4303=TH!$X$7,O4303=TH!$X$7),"x","")</f>
        <v/>
      </c>
      <c r="Y4303" s="79" t="str">
        <f>IF(AND(OR(N4303="131",O4303="131"),H4303='131-CT'!$H$9),"x","")</f>
        <v/>
      </c>
      <c r="Z4303" s="79"/>
      <c r="AA4303" s="79" t="str">
        <f>IF(AND(MONTH(E4303)='IN-NX'!$J$5,'IN-NX'!$D$7=D4303),"x","")</f>
        <v/>
      </c>
      <c r="AB4303" s="79" t="str">
        <f>IF(AND(OR(LEFT(TH!N4303,2)="15",LEFT(TH!O4303,2)="15"),LEFT(TH!O4303,3)&lt;&gt;"111",'152-CT'!$J$8=TH!F4303),"x","")</f>
        <v/>
      </c>
      <c r="AC4303" s="79" t="str">
        <f>IF(AND(OR(LEFT(TH!N4303,2)="15",LEFT(TH!O4303,2)="15"),TK!$E$7=TH!F4303),"x","")</f>
        <v/>
      </c>
      <c r="AD4303" s="79" t="str">
        <f>IF(AND(N4303="1521",MONTH(C4303)='BK-NL'!$M$11),"x","")</f>
        <v/>
      </c>
    </row>
    <row r="4304" spans="1:30" ht="16.5" customHeight="1">
      <c r="A4304" s="318" t="str">
        <f>IF(B4304&lt;&gt;"",IF(AND(B4304='[3]IN-TC'!$S$4,OR([3]TH!N3535="1111",[3]TH!O3535="1111")),[3]TH!D3535,""),"")</f>
        <v/>
      </c>
      <c r="B4304" s="60" t="str">
        <f t="shared" si="432"/>
        <v/>
      </c>
      <c r="C4304" s="301"/>
      <c r="D4304" s="301"/>
      <c r="E4304" s="301"/>
      <c r="F4304" s="302"/>
      <c r="G4304" s="988"/>
      <c r="H4304" s="69"/>
      <c r="I4304" s="77"/>
      <c r="J4304" s="969"/>
      <c r="K4304" s="385"/>
      <c r="L4304" s="392"/>
      <c r="M4304" s="970"/>
      <c r="N4304" s="304"/>
      <c r="O4304" s="304"/>
      <c r="P4304" s="79" t="str">
        <f>IF(AND('331-CT'!$E$7=TH!H4304,OR(N4304="331",O4304="331")),"x","")</f>
        <v/>
      </c>
      <c r="Q4304" s="79" t="str">
        <f>IF(AND(B4304='111'!$L$11,OR($N4304=$Q$7,$O4304=$Q$7)),"x","")</f>
        <v/>
      </c>
      <c r="R4304" s="79" t="str">
        <f>IF(AND($N4304=$Q$7,$B4304&lt;'111'!$L$11),"x","")</f>
        <v/>
      </c>
      <c r="S4304" s="79" t="str">
        <f>IF(AND($O4304=$Q$7,$B4304&lt;'111'!$L$11),"x","")</f>
        <v/>
      </c>
      <c r="T4304" s="79" t="str">
        <f>IF(ISERROR(FIND('112'!$M$9,G4304,1)),"",IF((AND(FIND('112'!$M$9,G4304,1)&gt;=1,B4304='112'!$K$9,OR($N4304='112'!$I$6,$O4304='112'!$I$6))),"x",""))</f>
        <v/>
      </c>
      <c r="U4304" s="79" t="str">
        <f>IF(ISERROR(FIND('112'!$M$9,G4304,1)),"",IF((AND(LEFT(G4304,2)=LEFT('112'!$M$9,2),B4304&lt;'112'!$K$9,$N4304='112'!$I$6)),"x",""))</f>
        <v/>
      </c>
      <c r="V4304" s="79" t="str">
        <f>IF(ISERROR(FIND('112'!$M$9,G4304,1)),"",IF((AND(RIGHT(G4304,2)=RIGHT('112'!$M$9,2),B4304&lt;'112'!$K$9,$O4304='112'!$I$6)),"x",""))</f>
        <v/>
      </c>
      <c r="W4304" s="79" t="str">
        <f>IF(AND('341-CT'!$H$9=H4304,OR(LEFT(N4304,3)=$W$7,LEFT(O4304,3)=$W$7)),"x","")</f>
        <v/>
      </c>
      <c r="X4304" s="79" t="str">
        <f>IF(OR(TH!N4304=TH!$X$7,O4304=TH!$X$7),"x","")</f>
        <v/>
      </c>
      <c r="Y4304" s="79" t="str">
        <f>IF(AND(OR(N4304="131",O4304="131"),H4304='131-CT'!$H$9),"x","")</f>
        <v/>
      </c>
      <c r="Z4304" s="79"/>
      <c r="AA4304" s="79" t="str">
        <f>IF(AND(MONTH(E4304)='IN-NX'!$J$5,'IN-NX'!$D$7=D4304),"x","")</f>
        <v/>
      </c>
      <c r="AB4304" s="79" t="str">
        <f>IF(AND(OR(LEFT(TH!N4304,2)="15",LEFT(TH!O4304,2)="15"),LEFT(TH!O4304,3)&lt;&gt;"111",'152-CT'!$J$8=TH!F4304),"x","")</f>
        <v/>
      </c>
      <c r="AC4304" s="79" t="str">
        <f>IF(AND(OR(LEFT(TH!N4304,2)="15",LEFT(TH!O4304,2)="15"),TK!$E$7=TH!F4304),"x","")</f>
        <v/>
      </c>
      <c r="AD4304" s="79" t="str">
        <f>IF(AND(N4304="1521",MONTH(C4304)='BK-NL'!$M$11),"x","")</f>
        <v/>
      </c>
    </row>
    <row r="4305" spans="1:30" ht="16.5" customHeight="1">
      <c r="A4305" s="318" t="str">
        <f>IF(B4305&lt;&gt;"",IF(AND(B4305='[3]IN-TC'!$S$4,OR([3]TH!N3536="1111",[3]TH!O3536="1111")),[3]TH!D3536,""),"")</f>
        <v/>
      </c>
      <c r="B4305" s="60" t="str">
        <f t="shared" si="432"/>
        <v/>
      </c>
      <c r="C4305" s="301"/>
      <c r="D4305" s="301"/>
      <c r="E4305" s="301"/>
      <c r="F4305" s="302"/>
      <c r="G4305" s="988"/>
      <c r="H4305" s="69"/>
      <c r="I4305" s="77"/>
      <c r="J4305" s="969"/>
      <c r="K4305" s="385"/>
      <c r="L4305" s="392"/>
      <c r="M4305" s="970"/>
      <c r="N4305" s="304"/>
      <c r="O4305" s="304"/>
      <c r="P4305" s="79" t="str">
        <f>IF(AND('331-CT'!$E$7=TH!H4305,OR(N4305="331",O4305="331")),"x","")</f>
        <v/>
      </c>
      <c r="Q4305" s="79" t="str">
        <f>IF(AND(B4305='111'!$L$11,OR($N4305=$Q$7,$O4305=$Q$7)),"x","")</f>
        <v/>
      </c>
      <c r="R4305" s="79" t="str">
        <f>IF(AND($N4305=$Q$7,$B4305&lt;'111'!$L$11),"x","")</f>
        <v/>
      </c>
      <c r="S4305" s="79" t="str">
        <f>IF(AND($O4305=$Q$7,$B4305&lt;'111'!$L$11),"x","")</f>
        <v/>
      </c>
      <c r="T4305" s="79" t="str">
        <f>IF(ISERROR(FIND('112'!$M$9,G4305,1)),"",IF((AND(FIND('112'!$M$9,G4305,1)&gt;=1,B4305='112'!$K$9,OR($N4305='112'!$I$6,$O4305='112'!$I$6))),"x",""))</f>
        <v/>
      </c>
      <c r="U4305" s="79" t="str">
        <f>IF(ISERROR(FIND('112'!$M$9,G4305,1)),"",IF((AND(LEFT(G4305,2)=LEFT('112'!$M$9,2),B4305&lt;'112'!$K$9,$N4305='112'!$I$6)),"x",""))</f>
        <v/>
      </c>
      <c r="V4305" s="79" t="str">
        <f>IF(ISERROR(FIND('112'!$M$9,G4305,1)),"",IF((AND(RIGHT(G4305,2)=RIGHT('112'!$M$9,2),B4305&lt;'112'!$K$9,$O4305='112'!$I$6)),"x",""))</f>
        <v/>
      </c>
      <c r="W4305" s="79" t="str">
        <f>IF(AND('341-CT'!$H$9=H4305,OR(LEFT(N4305,3)=$W$7,LEFT(O4305,3)=$W$7)),"x","")</f>
        <v/>
      </c>
      <c r="X4305" s="79" t="str">
        <f>IF(OR(TH!N4305=TH!$X$7,O4305=TH!$X$7),"x","")</f>
        <v/>
      </c>
      <c r="Y4305" s="79" t="str">
        <f>IF(AND(OR(N4305="131",O4305="131"),H4305='131-CT'!$H$9),"x","")</f>
        <v/>
      </c>
      <c r="Z4305" s="79"/>
      <c r="AA4305" s="79" t="str">
        <f>IF(AND(MONTH(E4305)='IN-NX'!$J$5,'IN-NX'!$D$7=D4305),"x","")</f>
        <v/>
      </c>
      <c r="AB4305" s="79" t="str">
        <f>IF(AND(OR(LEFT(TH!N4305,2)="15",LEFT(TH!O4305,2)="15"),LEFT(TH!O4305,3)&lt;&gt;"111",'152-CT'!$J$8=TH!F4305),"x","")</f>
        <v/>
      </c>
      <c r="AC4305" s="79" t="str">
        <f>IF(AND(OR(LEFT(TH!N4305,2)="15",LEFT(TH!O4305,2)="15"),TK!$E$7=TH!F4305),"x","")</f>
        <v/>
      </c>
      <c r="AD4305" s="79" t="str">
        <f>IF(AND(N4305="1521",MONTH(C4305)='BK-NL'!$M$11),"x","")</f>
        <v/>
      </c>
    </row>
    <row r="4306" spans="1:30" ht="16.5" customHeight="1">
      <c r="A4306" s="318" t="str">
        <f>IF(B4306&lt;&gt;"",IF(AND(B4306='[3]IN-TC'!$S$4,OR([3]TH!N3537="1111",[3]TH!O3537="1111")),[3]TH!D3537,""),"")</f>
        <v/>
      </c>
      <c r="B4306" s="60" t="str">
        <f t="shared" si="432"/>
        <v/>
      </c>
      <c r="C4306" s="301"/>
      <c r="D4306" s="301"/>
      <c r="E4306" s="301"/>
      <c r="F4306" s="302"/>
      <c r="G4306" s="988"/>
      <c r="H4306" s="69"/>
      <c r="I4306" s="77"/>
      <c r="J4306" s="969"/>
      <c r="K4306" s="385"/>
      <c r="L4306" s="392"/>
      <c r="M4306" s="970"/>
      <c r="N4306" s="304"/>
      <c r="O4306" s="304"/>
      <c r="P4306" s="79" t="str">
        <f>IF(AND('331-CT'!$E$7=TH!H4306,OR(N4306="331",O4306="331")),"x","")</f>
        <v/>
      </c>
      <c r="Q4306" s="79" t="str">
        <f>IF(AND(B4306='111'!$L$11,OR($N4306=$Q$7,$O4306=$Q$7)),"x","")</f>
        <v/>
      </c>
      <c r="R4306" s="79" t="str">
        <f>IF(AND($N4306=$Q$7,$B4306&lt;'111'!$L$11),"x","")</f>
        <v/>
      </c>
      <c r="S4306" s="79" t="str">
        <f>IF(AND($O4306=$Q$7,$B4306&lt;'111'!$L$11),"x","")</f>
        <v/>
      </c>
      <c r="T4306" s="79" t="str">
        <f>IF(ISERROR(FIND('112'!$M$9,G4306,1)),"",IF((AND(FIND('112'!$M$9,G4306,1)&gt;=1,B4306='112'!$K$9,OR($N4306='112'!$I$6,$O4306='112'!$I$6))),"x",""))</f>
        <v/>
      </c>
      <c r="U4306" s="79" t="str">
        <f>IF(ISERROR(FIND('112'!$M$9,G4306,1)),"",IF((AND(LEFT(G4306,2)=LEFT('112'!$M$9,2),B4306&lt;'112'!$K$9,$N4306='112'!$I$6)),"x",""))</f>
        <v/>
      </c>
      <c r="V4306" s="79" t="str">
        <f>IF(ISERROR(FIND('112'!$M$9,G4306,1)),"",IF((AND(RIGHT(G4306,2)=RIGHT('112'!$M$9,2),B4306&lt;'112'!$K$9,$O4306='112'!$I$6)),"x",""))</f>
        <v/>
      </c>
      <c r="W4306" s="79" t="str">
        <f>IF(AND('341-CT'!$H$9=H4306,OR(LEFT(N4306,3)=$W$7,LEFT(O4306,3)=$W$7)),"x","")</f>
        <v/>
      </c>
      <c r="X4306" s="79" t="str">
        <f>IF(OR(TH!N4306=TH!$X$7,O4306=TH!$X$7),"x","")</f>
        <v/>
      </c>
      <c r="Y4306" s="79" t="str">
        <f>IF(AND(OR(N4306="131",O4306="131"),H4306='131-CT'!$H$9),"x","")</f>
        <v/>
      </c>
      <c r="Z4306" s="79"/>
      <c r="AA4306" s="79" t="str">
        <f>IF(AND(MONTH(E4306)='IN-NX'!$J$5,'IN-NX'!$D$7=D4306),"x","")</f>
        <v/>
      </c>
      <c r="AB4306" s="79" t="str">
        <f>IF(AND(OR(LEFT(TH!N4306,2)="15",LEFT(TH!O4306,2)="15"),LEFT(TH!O4306,3)&lt;&gt;"111",'152-CT'!$J$8=TH!F4306),"x","")</f>
        <v/>
      </c>
      <c r="AC4306" s="79" t="str">
        <f>IF(AND(OR(LEFT(TH!N4306,2)="15",LEFT(TH!O4306,2)="15"),TK!$E$7=TH!F4306),"x","")</f>
        <v/>
      </c>
      <c r="AD4306" s="79" t="str">
        <f>IF(AND(N4306="1521",MONTH(C4306)='BK-NL'!$M$11),"x","")</f>
        <v/>
      </c>
    </row>
    <row r="4307" spans="1:30" ht="16.5" customHeight="1">
      <c r="A4307" s="318" t="str">
        <f>IF(B4307&lt;&gt;"",IF(AND(B4307='[3]IN-TC'!$S$4,OR([3]TH!N3538="1111",[3]TH!O3538="1111")),[3]TH!D3538,""),"")</f>
        <v/>
      </c>
      <c r="B4307" s="60" t="str">
        <f t="shared" si="432"/>
        <v/>
      </c>
      <c r="C4307" s="301"/>
      <c r="D4307" s="301"/>
      <c r="E4307" s="301"/>
      <c r="F4307" s="302"/>
      <c r="G4307" s="988"/>
      <c r="H4307" s="1012"/>
      <c r="I4307" s="77"/>
      <c r="J4307" s="969"/>
      <c r="K4307" s="385"/>
      <c r="L4307" s="392"/>
      <c r="M4307" s="970"/>
      <c r="N4307" s="304"/>
      <c r="O4307" s="304"/>
      <c r="P4307" s="79" t="str">
        <f>IF(AND('331-CT'!$E$7=TH!H4307,OR(N4307="331",O4307="331")),"x","")</f>
        <v/>
      </c>
      <c r="Q4307" s="79" t="str">
        <f>IF(AND(B4307='111'!$L$11,OR($N4307=$Q$7,$O4307=$Q$7)),"x","")</f>
        <v/>
      </c>
      <c r="R4307" s="79" t="str">
        <f>IF(AND($N4307=$Q$7,$B4307&lt;'111'!$L$11),"x","")</f>
        <v/>
      </c>
      <c r="S4307" s="79" t="str">
        <f>IF(AND($O4307=$Q$7,$B4307&lt;'111'!$L$11),"x","")</f>
        <v/>
      </c>
      <c r="T4307" s="79" t="str">
        <f>IF(ISERROR(FIND('112'!$M$9,G4307,1)),"",IF((AND(FIND('112'!$M$9,G4307,1)&gt;=1,B4307='112'!$K$9,OR($N4307='112'!$I$6,$O4307='112'!$I$6))),"x",""))</f>
        <v/>
      </c>
      <c r="U4307" s="79" t="str">
        <f>IF(ISERROR(FIND('112'!$M$9,G4307,1)),"",IF((AND(LEFT(G4307,2)=LEFT('112'!$M$9,2),B4307&lt;'112'!$K$9,$N4307='112'!$I$6)),"x",""))</f>
        <v/>
      </c>
      <c r="V4307" s="79" t="str">
        <f>IF(ISERROR(FIND('112'!$M$9,G4307,1)),"",IF((AND(RIGHT(G4307,2)=RIGHT('112'!$M$9,2),B4307&lt;'112'!$K$9,$O4307='112'!$I$6)),"x",""))</f>
        <v/>
      </c>
      <c r="W4307" s="79" t="str">
        <f>IF(AND('341-CT'!$H$9=H4307,OR(LEFT(N4307,3)=$W$7,LEFT(O4307,3)=$W$7)),"x","")</f>
        <v/>
      </c>
      <c r="X4307" s="79" t="str">
        <f>IF(OR(TH!N4307=TH!$X$7,O4307=TH!$X$7),"x","")</f>
        <v/>
      </c>
      <c r="Y4307" s="79" t="str">
        <f>IF(AND(OR(N4307="131",O4307="131"),H4307='131-CT'!$H$9),"x","")</f>
        <v/>
      </c>
      <c r="Z4307" s="79"/>
      <c r="AA4307" s="79" t="str">
        <f>IF(AND(MONTH(E4307)='IN-NX'!$J$5,'IN-NX'!$D$7=D4307),"x","")</f>
        <v/>
      </c>
      <c r="AB4307" s="79" t="str">
        <f>IF(AND(OR(LEFT(TH!N4307,2)="15",LEFT(TH!O4307,2)="15"),LEFT(TH!O4307,3)&lt;&gt;"111",'152-CT'!$J$8=TH!F4307),"x","")</f>
        <v/>
      </c>
      <c r="AC4307" s="79" t="str">
        <f>IF(AND(OR(LEFT(TH!N4307,2)="15",LEFT(TH!O4307,2)="15"),TK!$E$7=TH!F4307),"x","")</f>
        <v/>
      </c>
      <c r="AD4307" s="79" t="str">
        <f>IF(AND(N4307="1521",MONTH(C4307)='BK-NL'!$M$11),"x","")</f>
        <v/>
      </c>
    </row>
    <row r="4308" spans="1:30" ht="16.5" customHeight="1">
      <c r="A4308" s="318" t="str">
        <f>IF(B4308&lt;&gt;"",IF(AND(B4308='[3]IN-TC'!$S$4,OR([3]TH!N3539="1111",[3]TH!O3539="1111")),[3]TH!D3539,""),"")</f>
        <v/>
      </c>
      <c r="B4308" s="60" t="str">
        <f t="shared" si="432"/>
        <v/>
      </c>
      <c r="C4308" s="61"/>
      <c r="D4308" s="301"/>
      <c r="E4308" s="301"/>
      <c r="F4308" s="64"/>
      <c r="G4308" s="64"/>
      <c r="H4308" s="69"/>
      <c r="I4308" s="77"/>
      <c r="J4308" s="969"/>
      <c r="K4308" s="385"/>
      <c r="L4308" s="392"/>
      <c r="M4308" s="970"/>
      <c r="N4308" s="304"/>
      <c r="O4308" s="304"/>
      <c r="P4308" s="79" t="str">
        <f>IF(AND('331-CT'!$E$7=TH!H4308,OR(N4308="331",O4308="331")),"x","")</f>
        <v/>
      </c>
      <c r="Q4308" s="79" t="str">
        <f>IF(AND(B4308='111'!$L$11,OR($N4308=$Q$7,$O4308=$Q$7)),"x","")</f>
        <v/>
      </c>
      <c r="R4308" s="79" t="str">
        <f>IF(AND($N4308=$Q$7,$B4308&lt;'111'!$L$11),"x","")</f>
        <v/>
      </c>
      <c r="S4308" s="79" t="str">
        <f>IF(AND($O4308=$Q$7,$B4308&lt;'111'!$L$11),"x","")</f>
        <v/>
      </c>
      <c r="T4308" s="79" t="str">
        <f>IF(ISERROR(FIND('112'!$M$9,G4308,1)),"",IF((AND(FIND('112'!$M$9,G4308,1)&gt;=1,B4308='112'!$K$9,OR($N4308='112'!$I$6,$O4308='112'!$I$6))),"x",""))</f>
        <v/>
      </c>
      <c r="U4308" s="79" t="str">
        <f>IF(ISERROR(FIND('112'!$M$9,G4308,1)),"",IF((AND(LEFT(G4308,2)=LEFT('112'!$M$9,2),B4308&lt;'112'!$K$9,$N4308='112'!$I$6)),"x",""))</f>
        <v/>
      </c>
      <c r="V4308" s="79" t="str">
        <f>IF(ISERROR(FIND('112'!$M$9,G4308,1)),"",IF((AND(RIGHT(G4308,2)=RIGHT('112'!$M$9,2),B4308&lt;'112'!$K$9,$O4308='112'!$I$6)),"x",""))</f>
        <v/>
      </c>
      <c r="W4308" s="79" t="str">
        <f>IF(AND('341-CT'!$H$9=H4308,OR(LEFT(N4308,3)=$W$7,LEFT(O4308,3)=$W$7)),"x","")</f>
        <v/>
      </c>
      <c r="X4308" s="79" t="str">
        <f>IF(OR(TH!N4308=TH!$X$7,O4308=TH!$X$7),"x","")</f>
        <v/>
      </c>
      <c r="Y4308" s="79" t="str">
        <f>IF(AND(OR(N4308="131",O4308="131"),H4308='131-CT'!$H$9),"x","")</f>
        <v/>
      </c>
      <c r="Z4308" s="79"/>
      <c r="AA4308" s="79" t="str">
        <f>IF(AND(MONTH(E4308)='IN-NX'!$J$5,'IN-NX'!$D$7=D4308),"x","")</f>
        <v/>
      </c>
      <c r="AB4308" s="79" t="str">
        <f>IF(AND(OR(LEFT(TH!N4308,2)="15",LEFT(TH!O4308,2)="15"),LEFT(TH!O4308,3)&lt;&gt;"111",'152-CT'!$J$8=TH!F4308),"x","")</f>
        <v/>
      </c>
      <c r="AC4308" s="79" t="str">
        <f>IF(AND(OR(LEFT(TH!N4308,2)="15",LEFT(TH!O4308,2)="15"),TK!$E$7=TH!F4308),"x","")</f>
        <v/>
      </c>
      <c r="AD4308" s="79" t="str">
        <f>IF(AND(N4308="1521",MONTH(C4308)='BK-NL'!$M$11),"x","")</f>
        <v/>
      </c>
    </row>
    <row r="4309" spans="1:30" ht="16.5" customHeight="1">
      <c r="A4309" s="318" t="str">
        <f>IF(B4309&lt;&gt;"",IF(AND(B4309='[3]IN-TC'!$S$4,OR([3]TH!N3540="1111",[3]TH!O3540="1111")),[3]TH!D3540,""),"")</f>
        <v/>
      </c>
      <c r="B4309" s="60" t="str">
        <f t="shared" si="432"/>
        <v/>
      </c>
      <c r="C4309" s="61"/>
      <c r="D4309" s="301"/>
      <c r="E4309" s="301"/>
      <c r="F4309" s="302"/>
      <c r="G4309" s="988"/>
      <c r="H4309" s="69"/>
      <c r="I4309" s="77"/>
      <c r="J4309" s="969"/>
      <c r="K4309" s="385"/>
      <c r="L4309" s="392"/>
      <c r="M4309" s="970"/>
      <c r="N4309" s="304"/>
      <c r="O4309" s="304"/>
      <c r="P4309" s="79" t="str">
        <f>IF(AND('331-CT'!$E$7=TH!H4309,OR(N4309="331",O4309="331")),"x","")</f>
        <v/>
      </c>
      <c r="Q4309" s="79" t="str">
        <f>IF(AND(B4309='111'!$L$11,OR($N4309=$Q$7,$O4309=$Q$7)),"x","")</f>
        <v/>
      </c>
      <c r="R4309" s="79" t="str">
        <f>IF(AND($N4309=$Q$7,$B4309&lt;'111'!$L$11),"x","")</f>
        <v/>
      </c>
      <c r="S4309" s="79" t="str">
        <f>IF(AND($O4309=$Q$7,$B4309&lt;'111'!$L$11),"x","")</f>
        <v/>
      </c>
      <c r="T4309" s="79" t="str">
        <f>IF(ISERROR(FIND('112'!$M$9,G4309,1)),"",IF((AND(FIND('112'!$M$9,G4309,1)&gt;=1,B4309='112'!$K$9,OR($N4309='112'!$I$6,$O4309='112'!$I$6))),"x",""))</f>
        <v/>
      </c>
      <c r="U4309" s="79" t="str">
        <f>IF(ISERROR(FIND('112'!$M$9,G4309,1)),"",IF((AND(LEFT(G4309,2)=LEFT('112'!$M$9,2),B4309&lt;'112'!$K$9,$N4309='112'!$I$6)),"x",""))</f>
        <v/>
      </c>
      <c r="V4309" s="79" t="str">
        <f>IF(ISERROR(FIND('112'!$M$9,G4309,1)),"",IF((AND(RIGHT(G4309,2)=RIGHT('112'!$M$9,2),B4309&lt;'112'!$K$9,$O4309='112'!$I$6)),"x",""))</f>
        <v/>
      </c>
      <c r="W4309" s="79" t="str">
        <f>IF(AND('341-CT'!$H$9=H4309,OR(LEFT(N4309,3)=$W$7,LEFT(O4309,3)=$W$7)),"x","")</f>
        <v/>
      </c>
      <c r="X4309" s="79" t="str">
        <f>IF(OR(TH!N4309=TH!$X$7,O4309=TH!$X$7),"x","")</f>
        <v/>
      </c>
      <c r="Y4309" s="79" t="str">
        <f>IF(AND(OR(N4309="131",O4309="131"),H4309='131-CT'!$H$9),"x","")</f>
        <v/>
      </c>
      <c r="Z4309" s="79"/>
      <c r="AA4309" s="79" t="str">
        <f>IF(AND(MONTH(E4309)='IN-NX'!$J$5,'IN-NX'!$D$7=D4309),"x","")</f>
        <v/>
      </c>
      <c r="AB4309" s="79" t="str">
        <f>IF(AND(OR(LEFT(TH!N4309,2)="15",LEFT(TH!O4309,2)="15"),LEFT(TH!O4309,3)&lt;&gt;"111",'152-CT'!$J$8=TH!F4309),"x","")</f>
        <v/>
      </c>
      <c r="AC4309" s="79" t="str">
        <f>IF(AND(OR(LEFT(TH!N4309,2)="15",LEFT(TH!O4309,2)="15"),TK!$E$7=TH!F4309),"x","")</f>
        <v/>
      </c>
      <c r="AD4309" s="79" t="str">
        <f>IF(AND(N4309="1521",MONTH(C4309)='BK-NL'!$M$11),"x","")</f>
        <v/>
      </c>
    </row>
    <row r="4310" spans="1:30" ht="16.5" customHeight="1">
      <c r="A4310" s="318" t="str">
        <f>IF(B4310&lt;&gt;"",IF(AND(B4310='[3]IN-TC'!$S$4,OR([3]TH!N3541="1111",[3]TH!O3541="1111")),[3]TH!D3541,""),"")</f>
        <v/>
      </c>
      <c r="B4310" s="60" t="str">
        <f t="shared" si="432"/>
        <v/>
      </c>
      <c r="C4310" s="301"/>
      <c r="D4310" s="301"/>
      <c r="E4310" s="301"/>
      <c r="F4310" s="302"/>
      <c r="G4310" s="988"/>
      <c r="H4310" s="69"/>
      <c r="I4310" s="77"/>
      <c r="J4310" s="969"/>
      <c r="K4310" s="385"/>
      <c r="L4310" s="392"/>
      <c r="M4310" s="970"/>
      <c r="N4310" s="304"/>
      <c r="O4310" s="304"/>
      <c r="P4310" s="79" t="str">
        <f>IF(AND('331-CT'!$E$7=TH!H4310,OR(N4310="331",O4310="331")),"x","")</f>
        <v/>
      </c>
      <c r="Q4310" s="79" t="str">
        <f>IF(AND(B4310='111'!$L$11,OR($N4310=$Q$7,$O4310=$Q$7)),"x","")</f>
        <v/>
      </c>
      <c r="R4310" s="79" t="str">
        <f>IF(AND($N4310=$Q$7,$B4310&lt;'111'!$L$11),"x","")</f>
        <v/>
      </c>
      <c r="S4310" s="79" t="str">
        <f>IF(AND($O4310=$Q$7,$B4310&lt;'111'!$L$11),"x","")</f>
        <v/>
      </c>
      <c r="T4310" s="79" t="str">
        <f>IF(ISERROR(FIND('112'!$M$9,G4310,1)),"",IF((AND(FIND('112'!$M$9,G4310,1)&gt;=1,B4310='112'!$K$9,OR($N4310='112'!$I$6,$O4310='112'!$I$6))),"x",""))</f>
        <v/>
      </c>
      <c r="U4310" s="79" t="str">
        <f>IF(ISERROR(FIND('112'!$M$9,G4310,1)),"",IF((AND(LEFT(G4310,2)=LEFT('112'!$M$9,2),B4310&lt;'112'!$K$9,$N4310='112'!$I$6)),"x",""))</f>
        <v/>
      </c>
      <c r="V4310" s="79" t="str">
        <f>IF(ISERROR(FIND('112'!$M$9,G4310,1)),"",IF((AND(RIGHT(G4310,2)=RIGHT('112'!$M$9,2),B4310&lt;'112'!$K$9,$O4310='112'!$I$6)),"x",""))</f>
        <v/>
      </c>
      <c r="W4310" s="79" t="str">
        <f>IF(AND('341-CT'!$H$9=H4310,OR(LEFT(N4310,3)=$W$7,LEFT(O4310,3)=$W$7)),"x","")</f>
        <v/>
      </c>
      <c r="X4310" s="79" t="str">
        <f>IF(OR(TH!N4310=TH!$X$7,O4310=TH!$X$7),"x","")</f>
        <v/>
      </c>
      <c r="Y4310" s="79" t="str">
        <f>IF(AND(OR(N4310="131",O4310="131"),H4310='131-CT'!$H$9),"x","")</f>
        <v/>
      </c>
      <c r="Z4310" s="79"/>
      <c r="AA4310" s="79" t="str">
        <f>IF(AND(MONTH(E4310)='IN-NX'!$J$5,'IN-NX'!$D$7=D4310),"x","")</f>
        <v/>
      </c>
      <c r="AB4310" s="79" t="str">
        <f>IF(AND(OR(LEFT(TH!N4310,2)="15",LEFT(TH!O4310,2)="15"),LEFT(TH!O4310,3)&lt;&gt;"111",'152-CT'!$J$8=TH!F4310),"x","")</f>
        <v/>
      </c>
      <c r="AC4310" s="79" t="str">
        <f>IF(AND(OR(LEFT(TH!N4310,2)="15",LEFT(TH!O4310,2)="15"),TK!$E$7=TH!F4310),"x","")</f>
        <v/>
      </c>
      <c r="AD4310" s="79" t="str">
        <f>IF(AND(N4310="1521",MONTH(C4310)='BK-NL'!$M$11),"x","")</f>
        <v/>
      </c>
    </row>
    <row r="4311" spans="1:30" ht="16.5" customHeight="1">
      <c r="A4311" s="318" t="str">
        <f>IF(B4311&lt;&gt;"",IF(AND(B4311='[3]IN-TC'!$S$4,OR([3]TH!N3542="1111",[3]TH!O3542="1111")),[3]TH!D3542,""),"")</f>
        <v/>
      </c>
      <c r="B4311" s="60" t="str">
        <f t="shared" si="432"/>
        <v/>
      </c>
      <c r="C4311" s="61"/>
      <c r="D4311" s="301"/>
      <c r="E4311" s="301"/>
      <c r="F4311" s="302"/>
      <c r="G4311" s="988"/>
      <c r="H4311" s="69"/>
      <c r="I4311" s="77"/>
      <c r="J4311" s="969"/>
      <c r="K4311" s="385"/>
      <c r="L4311" s="392"/>
      <c r="M4311" s="970"/>
      <c r="N4311" s="304"/>
      <c r="O4311" s="304"/>
      <c r="P4311" s="79" t="str">
        <f>IF(AND('331-CT'!$E$7=TH!H4311,OR(N4311="331",O4311="331")),"x","")</f>
        <v/>
      </c>
      <c r="Q4311" s="79" t="str">
        <f>IF(AND(B4311='111'!$L$11,OR($N4311=$Q$7,$O4311=$Q$7)),"x","")</f>
        <v/>
      </c>
      <c r="R4311" s="79" t="str">
        <f>IF(AND($N4311=$Q$7,$B4311&lt;'111'!$L$11),"x","")</f>
        <v/>
      </c>
      <c r="S4311" s="79" t="str">
        <f>IF(AND($O4311=$Q$7,$B4311&lt;'111'!$L$11),"x","")</f>
        <v/>
      </c>
      <c r="T4311" s="79" t="str">
        <f>IF(ISERROR(FIND('112'!$M$9,G4311,1)),"",IF((AND(FIND('112'!$M$9,G4311,1)&gt;=1,B4311='112'!$K$9,OR($N4311='112'!$I$6,$O4311='112'!$I$6))),"x",""))</f>
        <v/>
      </c>
      <c r="U4311" s="79" t="str">
        <f>IF(ISERROR(FIND('112'!$M$9,G4311,1)),"",IF((AND(LEFT(G4311,2)=LEFT('112'!$M$9,2),B4311&lt;'112'!$K$9,$N4311='112'!$I$6)),"x",""))</f>
        <v/>
      </c>
      <c r="V4311" s="79" t="str">
        <f>IF(ISERROR(FIND('112'!$M$9,G4311,1)),"",IF((AND(RIGHT(G4311,2)=RIGHT('112'!$M$9,2),B4311&lt;'112'!$K$9,$O4311='112'!$I$6)),"x",""))</f>
        <v/>
      </c>
      <c r="W4311" s="79" t="str">
        <f>IF(AND('341-CT'!$H$9=H4311,OR(LEFT(N4311,3)=$W$7,LEFT(O4311,3)=$W$7)),"x","")</f>
        <v/>
      </c>
      <c r="X4311" s="79" t="str">
        <f>IF(OR(TH!N4311=TH!$X$7,O4311=TH!$X$7),"x","")</f>
        <v/>
      </c>
      <c r="Y4311" s="79" t="str">
        <f>IF(AND(OR(N4311="131",O4311="131"),H4311='131-CT'!$H$9),"x","")</f>
        <v/>
      </c>
      <c r="Z4311" s="79"/>
      <c r="AA4311" s="79" t="str">
        <f>IF(AND(MONTH(E4311)='IN-NX'!$J$5,'IN-NX'!$D$7=D4311),"x","")</f>
        <v/>
      </c>
      <c r="AB4311" s="79" t="str">
        <f>IF(AND(OR(LEFT(TH!N4311,2)="15",LEFT(TH!O4311,2)="15"),LEFT(TH!O4311,3)&lt;&gt;"111",'152-CT'!$J$8=TH!F4311),"x","")</f>
        <v/>
      </c>
      <c r="AC4311" s="79" t="str">
        <f>IF(AND(OR(LEFT(TH!N4311,2)="15",LEFT(TH!O4311,2)="15"),TK!$E$7=TH!F4311),"x","")</f>
        <v/>
      </c>
      <c r="AD4311" s="79" t="str">
        <f>IF(AND(N4311="1521",MONTH(C4311)='BK-NL'!$M$11),"x","")</f>
        <v/>
      </c>
    </row>
    <row r="4312" spans="1:30" ht="16.5" customHeight="1">
      <c r="A4312" s="318" t="str">
        <f>IF(B4312&lt;&gt;"",IF(AND(B4312='[3]IN-TC'!$S$4,OR([3]TH!N3543="1111",[3]TH!O3543="1111")),[3]TH!D3543,""),"")</f>
        <v/>
      </c>
      <c r="B4312" s="60" t="str">
        <f t="shared" si="432"/>
        <v/>
      </c>
      <c r="C4312" s="301"/>
      <c r="D4312" s="301"/>
      <c r="E4312" s="301"/>
      <c r="F4312" s="302"/>
      <c r="G4312" s="988"/>
      <c r="H4312" s="1012"/>
      <c r="I4312" s="77"/>
      <c r="J4312" s="969"/>
      <c r="K4312" s="385"/>
      <c r="L4312" s="392"/>
      <c r="M4312" s="970"/>
      <c r="N4312" s="304"/>
      <c r="O4312" s="304"/>
      <c r="P4312" s="79" t="str">
        <f>IF(AND('331-CT'!$E$7=TH!H4312,OR(N4312="331",O4312="331")),"x","")</f>
        <v/>
      </c>
      <c r="Q4312" s="79" t="str">
        <f>IF(AND(B4312='111'!$L$11,OR($N4312=$Q$7,$O4312=$Q$7)),"x","")</f>
        <v/>
      </c>
      <c r="R4312" s="79" t="str">
        <f>IF(AND($N4312=$Q$7,$B4312&lt;'111'!$L$11),"x","")</f>
        <v/>
      </c>
      <c r="S4312" s="79" t="str">
        <f>IF(AND($O4312=$Q$7,$B4312&lt;'111'!$L$11),"x","")</f>
        <v/>
      </c>
      <c r="T4312" s="79" t="str">
        <f>IF(ISERROR(FIND('112'!$M$9,G4312,1)),"",IF((AND(FIND('112'!$M$9,G4312,1)&gt;=1,B4312='112'!$K$9,OR($N4312='112'!$I$6,$O4312='112'!$I$6))),"x",""))</f>
        <v/>
      </c>
      <c r="U4312" s="79" t="str">
        <f>IF(ISERROR(FIND('112'!$M$9,G4312,1)),"",IF((AND(LEFT(G4312,2)=LEFT('112'!$M$9,2),B4312&lt;'112'!$K$9,$N4312='112'!$I$6)),"x",""))</f>
        <v/>
      </c>
      <c r="V4312" s="79" t="str">
        <f>IF(ISERROR(FIND('112'!$M$9,G4312,1)),"",IF((AND(RIGHT(G4312,2)=RIGHT('112'!$M$9,2),B4312&lt;'112'!$K$9,$O4312='112'!$I$6)),"x",""))</f>
        <v/>
      </c>
      <c r="W4312" s="79" t="str">
        <f>IF(AND('341-CT'!$H$9=H4312,OR(LEFT(N4312,3)=$W$7,LEFT(O4312,3)=$W$7)),"x","")</f>
        <v/>
      </c>
      <c r="X4312" s="79" t="str">
        <f>IF(OR(TH!N4312=TH!$X$7,O4312=TH!$X$7),"x","")</f>
        <v/>
      </c>
      <c r="Y4312" s="79" t="str">
        <f>IF(AND(OR(N4312="131",O4312="131"),H4312='131-CT'!$H$9),"x","")</f>
        <v/>
      </c>
      <c r="Z4312" s="79"/>
      <c r="AA4312" s="79" t="str">
        <f>IF(AND(MONTH(E4312)='IN-NX'!$J$5,'IN-NX'!$D$7=D4312),"x","")</f>
        <v/>
      </c>
      <c r="AB4312" s="79" t="str">
        <f>IF(AND(OR(LEFT(TH!N4312,2)="15",LEFT(TH!O4312,2)="15"),LEFT(TH!O4312,3)&lt;&gt;"111",'152-CT'!$J$8=TH!F4312),"x","")</f>
        <v/>
      </c>
      <c r="AC4312" s="79" t="str">
        <f>IF(AND(OR(LEFT(TH!N4312,2)="15",LEFT(TH!O4312,2)="15"),TK!$E$7=TH!F4312),"x","")</f>
        <v/>
      </c>
      <c r="AD4312" s="79" t="str">
        <f>IF(AND(N4312="1521",MONTH(C4312)='BK-NL'!$M$11),"x","")</f>
        <v/>
      </c>
    </row>
    <row r="4313" spans="1:30" ht="16.5" customHeight="1">
      <c r="A4313" s="318" t="str">
        <f>IF(B4313&lt;&gt;"",IF(AND(B4313='[3]IN-TC'!$S$4,OR([3]TH!N3544="1111",[3]TH!O3544="1111")),[3]TH!D3544,""),"")</f>
        <v/>
      </c>
      <c r="B4313" s="60" t="str">
        <f t="shared" ref="B4313:B4376" si="471">IF(C4313&lt;&gt;"",MONTH(C4313),"")</f>
        <v/>
      </c>
      <c r="C4313" s="301"/>
      <c r="D4313" s="301"/>
      <c r="E4313" s="301"/>
      <c r="F4313" s="302"/>
      <c r="G4313" s="988"/>
      <c r="H4313" s="1012"/>
      <c r="I4313" s="77"/>
      <c r="J4313" s="969"/>
      <c r="K4313" s="385"/>
      <c r="L4313" s="392"/>
      <c r="M4313" s="970"/>
      <c r="N4313" s="304"/>
      <c r="O4313" s="304"/>
      <c r="P4313" s="79" t="str">
        <f>IF(AND('331-CT'!$E$7=TH!H4313,OR(N4313="331",O4313="331")),"x","")</f>
        <v/>
      </c>
      <c r="Q4313" s="79" t="str">
        <f>IF(AND(B4313='111'!$L$11,OR($N4313=$Q$7,$O4313=$Q$7)),"x","")</f>
        <v/>
      </c>
      <c r="R4313" s="79" t="str">
        <f>IF(AND($N4313=$Q$7,$B4313&lt;'111'!$L$11),"x","")</f>
        <v/>
      </c>
      <c r="S4313" s="79" t="str">
        <f>IF(AND($O4313=$Q$7,$B4313&lt;'111'!$L$11),"x","")</f>
        <v/>
      </c>
      <c r="T4313" s="79" t="str">
        <f>IF(ISERROR(FIND('112'!$M$9,G4313,1)),"",IF((AND(FIND('112'!$M$9,G4313,1)&gt;=1,B4313='112'!$K$9,OR($N4313='112'!$I$6,$O4313='112'!$I$6))),"x",""))</f>
        <v/>
      </c>
      <c r="U4313" s="79" t="str">
        <f>IF(ISERROR(FIND('112'!$M$9,G4313,1)),"",IF((AND(LEFT(G4313,2)=LEFT('112'!$M$9,2),B4313&lt;'112'!$K$9,$N4313='112'!$I$6)),"x",""))</f>
        <v/>
      </c>
      <c r="V4313" s="79" t="str">
        <f>IF(ISERROR(FIND('112'!$M$9,G4313,1)),"",IF((AND(RIGHT(G4313,2)=RIGHT('112'!$M$9,2),B4313&lt;'112'!$K$9,$O4313='112'!$I$6)),"x",""))</f>
        <v/>
      </c>
      <c r="W4313" s="79" t="str">
        <f>IF(AND('341-CT'!$H$9=H4313,OR(LEFT(N4313,3)=$W$7,LEFT(O4313,3)=$W$7)),"x","")</f>
        <v/>
      </c>
      <c r="X4313" s="79" t="str">
        <f>IF(OR(TH!N4313=TH!$X$7,O4313=TH!$X$7),"x","")</f>
        <v/>
      </c>
      <c r="Y4313" s="79" t="str">
        <f>IF(AND(OR(N4313="131",O4313="131"),H4313='131-CT'!$H$9),"x","")</f>
        <v/>
      </c>
      <c r="Z4313" s="79"/>
      <c r="AA4313" s="79" t="str">
        <f>IF(AND(MONTH(E4313)='IN-NX'!$J$5,'IN-NX'!$D$7=D4313),"x","")</f>
        <v/>
      </c>
      <c r="AB4313" s="79" t="str">
        <f>IF(AND(OR(LEFT(TH!N4313,2)="15",LEFT(TH!O4313,2)="15"),LEFT(TH!O4313,3)&lt;&gt;"111",'152-CT'!$J$8=TH!F4313),"x","")</f>
        <v/>
      </c>
      <c r="AC4313" s="79" t="str">
        <f>IF(AND(OR(LEFT(TH!N4313,2)="15",LEFT(TH!O4313,2)="15"),TK!$E$7=TH!F4313),"x","")</f>
        <v/>
      </c>
      <c r="AD4313" s="79" t="str">
        <f>IF(AND(N4313="1521",MONTH(C4313)='BK-NL'!$M$11),"x","")</f>
        <v/>
      </c>
    </row>
    <row r="4314" spans="1:30" ht="16.5" customHeight="1">
      <c r="A4314" s="318" t="str">
        <f>IF(B4314&lt;&gt;"",IF(AND(B4314='[3]IN-TC'!$S$4,OR([3]TH!N3545="1111",[3]TH!O3545="1111")),[3]TH!D3545,""),"")</f>
        <v/>
      </c>
      <c r="B4314" s="60" t="str">
        <f t="shared" si="471"/>
        <v/>
      </c>
      <c r="C4314" s="61"/>
      <c r="D4314" s="301"/>
      <c r="E4314" s="301"/>
      <c r="F4314" s="64"/>
      <c r="G4314" s="64"/>
      <c r="H4314" s="321"/>
      <c r="I4314" s="77"/>
      <c r="J4314" s="969"/>
      <c r="K4314" s="385"/>
      <c r="L4314" s="392"/>
      <c r="M4314" s="970"/>
      <c r="N4314" s="304"/>
      <c r="O4314" s="304"/>
      <c r="P4314" s="79" t="str">
        <f>IF(AND('331-CT'!$E$7=TH!H4314,OR(N4314="331",O4314="331")),"x","")</f>
        <v/>
      </c>
      <c r="Q4314" s="79" t="str">
        <f>IF(AND(B4314='111'!$L$11,OR($N4314=$Q$7,$O4314=$Q$7)),"x","")</f>
        <v/>
      </c>
      <c r="R4314" s="79" t="str">
        <f>IF(AND($N4314=$Q$7,$B4314&lt;'111'!$L$11),"x","")</f>
        <v/>
      </c>
      <c r="S4314" s="79" t="str">
        <f>IF(AND($O4314=$Q$7,$B4314&lt;'111'!$L$11),"x","")</f>
        <v/>
      </c>
      <c r="T4314" s="79" t="str">
        <f>IF(ISERROR(FIND('112'!$M$9,G4314,1)),"",IF((AND(FIND('112'!$M$9,G4314,1)&gt;=1,B4314='112'!$K$9,OR($N4314='112'!$I$6,$O4314='112'!$I$6))),"x",""))</f>
        <v/>
      </c>
      <c r="U4314" s="79" t="str">
        <f>IF(ISERROR(FIND('112'!$M$9,G4314,1)),"",IF((AND(LEFT(G4314,2)=LEFT('112'!$M$9,2),B4314&lt;'112'!$K$9,$N4314='112'!$I$6)),"x",""))</f>
        <v/>
      </c>
      <c r="V4314" s="79" t="str">
        <f>IF(ISERROR(FIND('112'!$M$9,G4314,1)),"",IF((AND(RIGHT(G4314,2)=RIGHT('112'!$M$9,2),B4314&lt;'112'!$K$9,$O4314='112'!$I$6)),"x",""))</f>
        <v/>
      </c>
      <c r="W4314" s="79" t="str">
        <f>IF(AND('341-CT'!$H$9=H4314,OR(LEFT(N4314,3)=$W$7,LEFT(O4314,3)=$W$7)),"x","")</f>
        <v/>
      </c>
      <c r="X4314" s="79" t="str">
        <f>IF(OR(TH!N4314=TH!$X$7,O4314=TH!$X$7),"x","")</f>
        <v/>
      </c>
      <c r="Y4314" s="79" t="str">
        <f>IF(AND(OR(N4314="131",O4314="131"),H4314='131-CT'!$H$9),"x","")</f>
        <v/>
      </c>
      <c r="Z4314" s="79"/>
      <c r="AA4314" s="79" t="str">
        <f>IF(AND(MONTH(E4314)='IN-NX'!$J$5,'IN-NX'!$D$7=D4314),"x","")</f>
        <v/>
      </c>
      <c r="AB4314" s="79" t="str">
        <f>IF(AND(OR(LEFT(TH!N4314,2)="15",LEFT(TH!O4314,2)="15"),LEFT(TH!O4314,3)&lt;&gt;"111",'152-CT'!$J$8=TH!F4314),"x","")</f>
        <v/>
      </c>
      <c r="AC4314" s="79" t="str">
        <f>IF(AND(OR(LEFT(TH!N4314,2)="15",LEFT(TH!O4314,2)="15"),TK!$E$7=TH!F4314),"x","")</f>
        <v/>
      </c>
      <c r="AD4314" s="79" t="str">
        <f>IF(AND(N4314="1521",MONTH(C4314)='BK-NL'!$M$11),"x","")</f>
        <v/>
      </c>
    </row>
    <row r="4315" spans="1:30" ht="16.5" customHeight="1">
      <c r="A4315" s="318" t="str">
        <f>IF(B4315&lt;&gt;"",IF(AND(B4315='[3]IN-TC'!$S$4,OR([3]TH!N3546="1111",[3]TH!O3546="1111")),[3]TH!D3546,""),"")</f>
        <v/>
      </c>
      <c r="B4315" s="60" t="str">
        <f t="shared" si="471"/>
        <v/>
      </c>
      <c r="C4315" s="61"/>
      <c r="D4315" s="301"/>
      <c r="E4315" s="301"/>
      <c r="F4315" s="64"/>
      <c r="G4315" s="64"/>
      <c r="H4315" s="69"/>
      <c r="I4315" s="77"/>
      <c r="J4315" s="969"/>
      <c r="K4315" s="385"/>
      <c r="L4315" s="392"/>
      <c r="M4315" s="970"/>
      <c r="N4315" s="304"/>
      <c r="O4315" s="304"/>
      <c r="P4315" s="79" t="str">
        <f>IF(AND('331-CT'!$E$7=TH!H4315,OR(N4315="331",O4315="331")),"x","")</f>
        <v/>
      </c>
      <c r="Q4315" s="79" t="str">
        <f>IF(AND(B4315='111'!$L$11,OR($N4315=$Q$7,$O4315=$Q$7)),"x","")</f>
        <v/>
      </c>
      <c r="R4315" s="79" t="str">
        <f>IF(AND($N4315=$Q$7,$B4315&lt;'111'!$L$11),"x","")</f>
        <v/>
      </c>
      <c r="S4315" s="79" t="str">
        <f>IF(AND($O4315=$Q$7,$B4315&lt;'111'!$L$11),"x","")</f>
        <v/>
      </c>
      <c r="T4315" s="79" t="str">
        <f>IF(ISERROR(FIND('112'!$M$9,G4315,1)),"",IF((AND(FIND('112'!$M$9,G4315,1)&gt;=1,B4315='112'!$K$9,OR($N4315='112'!$I$6,$O4315='112'!$I$6))),"x",""))</f>
        <v/>
      </c>
      <c r="U4315" s="79" t="str">
        <f>IF(ISERROR(FIND('112'!$M$9,G4315,1)),"",IF((AND(LEFT(G4315,2)=LEFT('112'!$M$9,2),B4315&lt;'112'!$K$9,$N4315='112'!$I$6)),"x",""))</f>
        <v/>
      </c>
      <c r="V4315" s="79" t="str">
        <f>IF(ISERROR(FIND('112'!$M$9,G4315,1)),"",IF((AND(RIGHT(G4315,2)=RIGHT('112'!$M$9,2),B4315&lt;'112'!$K$9,$O4315='112'!$I$6)),"x",""))</f>
        <v/>
      </c>
      <c r="W4315" s="79" t="str">
        <f>IF(AND('341-CT'!$H$9=H4315,OR(LEFT(N4315,3)=$W$7,LEFT(O4315,3)=$W$7)),"x","")</f>
        <v/>
      </c>
      <c r="X4315" s="79" t="str">
        <f>IF(OR(TH!N4315=TH!$X$7,O4315=TH!$X$7),"x","")</f>
        <v/>
      </c>
      <c r="Y4315" s="79" t="str">
        <f>IF(AND(OR(N4315="131",O4315="131"),H4315='131-CT'!$H$9),"x","")</f>
        <v/>
      </c>
      <c r="Z4315" s="79"/>
      <c r="AA4315" s="79" t="str">
        <f>IF(AND(MONTH(E4315)='IN-NX'!$J$5,'IN-NX'!$D$7=D4315),"x","")</f>
        <v/>
      </c>
      <c r="AB4315" s="79" t="str">
        <f>IF(AND(OR(LEFT(TH!N4315,2)="15",LEFT(TH!O4315,2)="15"),LEFT(TH!O4315,3)&lt;&gt;"111",'152-CT'!$J$8=TH!F4315),"x","")</f>
        <v/>
      </c>
      <c r="AC4315" s="79" t="str">
        <f>IF(AND(OR(LEFT(TH!N4315,2)="15",LEFT(TH!O4315,2)="15"),TK!$E$7=TH!F4315),"x","")</f>
        <v/>
      </c>
      <c r="AD4315" s="79" t="str">
        <f>IF(AND(N4315="1521",MONTH(C4315)='BK-NL'!$M$11),"x","")</f>
        <v/>
      </c>
    </row>
    <row r="4316" spans="1:30" ht="16.5" customHeight="1">
      <c r="A4316" s="318" t="str">
        <f>IF(B4316&lt;&gt;"",IF(AND(B4316='[3]IN-TC'!$S$4,OR([3]TH!N3547="1111",[3]TH!O3547="1111")),[3]TH!D3547,""),"")</f>
        <v/>
      </c>
      <c r="B4316" s="60" t="str">
        <f t="shared" si="471"/>
        <v/>
      </c>
      <c r="C4316" s="61"/>
      <c r="D4316" s="301"/>
      <c r="E4316" s="301"/>
      <c r="F4316" s="64"/>
      <c r="G4316" s="64"/>
      <c r="H4316" s="69"/>
      <c r="I4316" s="77"/>
      <c r="J4316" s="969"/>
      <c r="K4316" s="385"/>
      <c r="L4316" s="392"/>
      <c r="M4316" s="970"/>
      <c r="N4316" s="304"/>
      <c r="O4316" s="304"/>
      <c r="P4316" s="79" t="str">
        <f>IF(AND('331-CT'!$E$7=TH!H4316,OR(N4316="331",O4316="331")),"x","")</f>
        <v/>
      </c>
      <c r="Q4316" s="79" t="str">
        <f>IF(AND(B4316='111'!$L$11,OR($N4316=$Q$7,$O4316=$Q$7)),"x","")</f>
        <v/>
      </c>
      <c r="R4316" s="79" t="str">
        <f>IF(AND($N4316=$Q$7,$B4316&lt;'111'!$L$11),"x","")</f>
        <v/>
      </c>
      <c r="S4316" s="79" t="str">
        <f>IF(AND($O4316=$Q$7,$B4316&lt;'111'!$L$11),"x","")</f>
        <v/>
      </c>
      <c r="T4316" s="79" t="str">
        <f>IF(ISERROR(FIND('112'!$M$9,G4316,1)),"",IF((AND(FIND('112'!$M$9,G4316,1)&gt;=1,B4316='112'!$K$9,OR($N4316='112'!$I$6,$O4316='112'!$I$6))),"x",""))</f>
        <v/>
      </c>
      <c r="U4316" s="79" t="str">
        <f>IF(ISERROR(FIND('112'!$M$9,G4316,1)),"",IF((AND(LEFT(G4316,2)=LEFT('112'!$M$9,2),B4316&lt;'112'!$K$9,$N4316='112'!$I$6)),"x",""))</f>
        <v/>
      </c>
      <c r="V4316" s="79" t="str">
        <f>IF(ISERROR(FIND('112'!$M$9,G4316,1)),"",IF((AND(RIGHT(G4316,2)=RIGHT('112'!$M$9,2),B4316&lt;'112'!$K$9,$O4316='112'!$I$6)),"x",""))</f>
        <v/>
      </c>
      <c r="W4316" s="79" t="str">
        <f>IF(AND('341-CT'!$H$9=H4316,OR(LEFT(N4316,3)=$W$7,LEFT(O4316,3)=$W$7)),"x","")</f>
        <v/>
      </c>
      <c r="X4316" s="79" t="str">
        <f>IF(OR(TH!N4316=TH!$X$7,O4316=TH!$X$7),"x","")</f>
        <v/>
      </c>
      <c r="Y4316" s="79" t="str">
        <f>IF(AND(OR(N4316="131",O4316="131"),H4316='131-CT'!$H$9),"x","")</f>
        <v/>
      </c>
      <c r="Z4316" s="79"/>
      <c r="AA4316" s="79" t="str">
        <f>IF(AND(MONTH(E4316)='IN-NX'!$J$5,'IN-NX'!$D$7=D4316),"x","")</f>
        <v/>
      </c>
      <c r="AB4316" s="79" t="str">
        <f>IF(AND(OR(LEFT(TH!N4316,2)="15",LEFT(TH!O4316,2)="15"),LEFT(TH!O4316,3)&lt;&gt;"111",'152-CT'!$J$8=TH!F4316),"x","")</f>
        <v/>
      </c>
      <c r="AC4316" s="79" t="str">
        <f>IF(AND(OR(LEFT(TH!N4316,2)="15",LEFT(TH!O4316,2)="15"),TK!$E$7=TH!F4316),"x","")</f>
        <v/>
      </c>
      <c r="AD4316" s="79" t="str">
        <f>IF(AND(N4316="1521",MONTH(C4316)='BK-NL'!$M$11),"x","")</f>
        <v/>
      </c>
    </row>
    <row r="4317" spans="1:30" ht="16.5" customHeight="1">
      <c r="A4317" s="318" t="str">
        <f>IF(B4317&lt;&gt;"",IF(AND(B4317='[3]IN-TC'!$S$4,OR([3]TH!N3548="1111",[3]TH!O3548="1111")),[3]TH!D3548,""),"")</f>
        <v/>
      </c>
      <c r="B4317" s="60" t="str">
        <f t="shared" si="471"/>
        <v/>
      </c>
      <c r="C4317" s="61"/>
      <c r="D4317" s="301"/>
      <c r="E4317" s="301"/>
      <c r="F4317" s="64"/>
      <c r="G4317" s="64"/>
      <c r="H4317" s="321"/>
      <c r="I4317" s="77"/>
      <c r="J4317" s="969"/>
      <c r="K4317" s="385"/>
      <c r="L4317" s="392"/>
      <c r="M4317" s="970"/>
      <c r="N4317" s="304"/>
      <c r="O4317" s="304"/>
      <c r="P4317" s="79" t="str">
        <f>IF(AND('331-CT'!$E$7=TH!H4317,OR(N4317="331",O4317="331")),"x","")</f>
        <v/>
      </c>
      <c r="Q4317" s="79" t="str">
        <f>IF(AND(B4317='111'!$L$11,OR($N4317=$Q$7,$O4317=$Q$7)),"x","")</f>
        <v/>
      </c>
      <c r="R4317" s="79" t="str">
        <f>IF(AND($N4317=$Q$7,$B4317&lt;'111'!$L$11),"x","")</f>
        <v/>
      </c>
      <c r="S4317" s="79" t="str">
        <f>IF(AND($O4317=$Q$7,$B4317&lt;'111'!$L$11),"x","")</f>
        <v/>
      </c>
      <c r="T4317" s="79" t="str">
        <f>IF(ISERROR(FIND('112'!$M$9,G4317,1)),"",IF((AND(FIND('112'!$M$9,G4317,1)&gt;=1,B4317='112'!$K$9,OR($N4317='112'!$I$6,$O4317='112'!$I$6))),"x",""))</f>
        <v/>
      </c>
      <c r="U4317" s="79" t="str">
        <f>IF(ISERROR(FIND('112'!$M$9,G4317,1)),"",IF((AND(LEFT(G4317,2)=LEFT('112'!$M$9,2),B4317&lt;'112'!$K$9,$N4317='112'!$I$6)),"x",""))</f>
        <v/>
      </c>
      <c r="V4317" s="79" t="str">
        <f>IF(ISERROR(FIND('112'!$M$9,G4317,1)),"",IF((AND(RIGHT(G4317,2)=RIGHT('112'!$M$9,2),B4317&lt;'112'!$K$9,$O4317='112'!$I$6)),"x",""))</f>
        <v/>
      </c>
      <c r="W4317" s="79" t="str">
        <f>IF(AND('341-CT'!$H$9=H4317,OR(LEFT(N4317,3)=$W$7,LEFT(O4317,3)=$W$7)),"x","")</f>
        <v/>
      </c>
      <c r="X4317" s="79" t="str">
        <f>IF(OR(TH!N4317=TH!$X$7,O4317=TH!$X$7),"x","")</f>
        <v/>
      </c>
      <c r="Y4317" s="79" t="str">
        <f>IF(AND(OR(N4317="131",O4317="131"),H4317='131-CT'!$H$9),"x","")</f>
        <v/>
      </c>
      <c r="Z4317" s="79"/>
      <c r="AA4317" s="79" t="str">
        <f>IF(AND(MONTH(E4317)='IN-NX'!$J$5,'IN-NX'!$D$7=D4317),"x","")</f>
        <v/>
      </c>
      <c r="AB4317" s="79" t="str">
        <f>IF(AND(OR(LEFT(TH!N4317,2)="15",LEFT(TH!O4317,2)="15"),LEFT(TH!O4317,3)&lt;&gt;"111",'152-CT'!$J$8=TH!F4317),"x","")</f>
        <v/>
      </c>
      <c r="AC4317" s="79" t="str">
        <f>IF(AND(OR(LEFT(TH!N4317,2)="15",LEFT(TH!O4317,2)="15"),TK!$E$7=TH!F4317),"x","")</f>
        <v/>
      </c>
      <c r="AD4317" s="79" t="str">
        <f>IF(AND(N4317="1521",MONTH(C4317)='BK-NL'!$M$11),"x","")</f>
        <v/>
      </c>
    </row>
    <row r="4318" spans="1:30" ht="16.5" customHeight="1">
      <c r="A4318" s="318" t="str">
        <f>IF(B4318&lt;&gt;"",IF(AND(B4318='[3]IN-TC'!$S$4,OR([3]TH!N3549="1111",[3]TH!O3549="1111")),[3]TH!D3549,""),"")</f>
        <v/>
      </c>
      <c r="B4318" s="60" t="str">
        <f t="shared" si="471"/>
        <v/>
      </c>
      <c r="C4318" s="61"/>
      <c r="D4318" s="301"/>
      <c r="E4318" s="301"/>
      <c r="F4318" s="64"/>
      <c r="G4318" s="64"/>
      <c r="H4318" s="69"/>
      <c r="I4318" s="77"/>
      <c r="J4318" s="969"/>
      <c r="K4318" s="385"/>
      <c r="L4318" s="392"/>
      <c r="M4318" s="970"/>
      <c r="N4318" s="304"/>
      <c r="O4318" s="304"/>
      <c r="P4318" s="79" t="str">
        <f>IF(AND('331-CT'!$E$7=TH!H4318,OR(N4318="331",O4318="331")),"x","")</f>
        <v/>
      </c>
      <c r="Q4318" s="79" t="str">
        <f>IF(AND(B4318='111'!$L$11,OR($N4318=$Q$7,$O4318=$Q$7)),"x","")</f>
        <v/>
      </c>
      <c r="R4318" s="79" t="str">
        <f>IF(AND($N4318=$Q$7,$B4318&lt;'111'!$L$11),"x","")</f>
        <v/>
      </c>
      <c r="S4318" s="79" t="str">
        <f>IF(AND($O4318=$Q$7,$B4318&lt;'111'!$L$11),"x","")</f>
        <v/>
      </c>
      <c r="T4318" s="79" t="str">
        <f>IF(ISERROR(FIND('112'!$M$9,G4318,1)),"",IF((AND(FIND('112'!$M$9,G4318,1)&gt;=1,B4318='112'!$K$9,OR($N4318='112'!$I$6,$O4318='112'!$I$6))),"x",""))</f>
        <v/>
      </c>
      <c r="U4318" s="79" t="str">
        <f>IF(ISERROR(FIND('112'!$M$9,G4318,1)),"",IF((AND(LEFT(G4318,2)=LEFT('112'!$M$9,2),B4318&lt;'112'!$K$9,$N4318='112'!$I$6)),"x",""))</f>
        <v/>
      </c>
      <c r="V4318" s="79" t="str">
        <f>IF(ISERROR(FIND('112'!$M$9,G4318,1)),"",IF((AND(RIGHT(G4318,2)=RIGHT('112'!$M$9,2),B4318&lt;'112'!$K$9,$O4318='112'!$I$6)),"x",""))</f>
        <v/>
      </c>
      <c r="W4318" s="79" t="str">
        <f>IF(AND('341-CT'!$H$9=H4318,OR(LEFT(N4318,3)=$W$7,LEFT(O4318,3)=$W$7)),"x","")</f>
        <v/>
      </c>
      <c r="X4318" s="79" t="str">
        <f>IF(OR(TH!N4318=TH!$X$7,O4318=TH!$X$7),"x","")</f>
        <v/>
      </c>
      <c r="Y4318" s="79" t="str">
        <f>IF(AND(OR(N4318="131",O4318="131"),H4318='131-CT'!$H$9),"x","")</f>
        <v/>
      </c>
      <c r="Z4318" s="79"/>
      <c r="AA4318" s="79" t="str">
        <f>IF(AND(MONTH(E4318)='IN-NX'!$J$5,'IN-NX'!$D$7=D4318),"x","")</f>
        <v/>
      </c>
      <c r="AB4318" s="79" t="str">
        <f>IF(AND(OR(LEFT(TH!N4318,2)="15",LEFT(TH!O4318,2)="15"),LEFT(TH!O4318,3)&lt;&gt;"111",'152-CT'!$J$8=TH!F4318),"x","")</f>
        <v/>
      </c>
      <c r="AC4318" s="79" t="str">
        <f>IF(AND(OR(LEFT(TH!N4318,2)="15",LEFT(TH!O4318,2)="15"),TK!$E$7=TH!F4318),"x","")</f>
        <v/>
      </c>
      <c r="AD4318" s="79" t="str">
        <f>IF(AND(N4318="1521",MONTH(C4318)='BK-NL'!$M$11),"x","")</f>
        <v/>
      </c>
    </row>
    <row r="4319" spans="1:30" ht="16.5" customHeight="1">
      <c r="A4319" s="318" t="str">
        <f>IF(B4319&lt;&gt;"",IF(AND(B4319='[3]IN-TC'!$S$4,OR([3]TH!N3550="1111",[3]TH!O3550="1111")),[3]TH!D3550,""),"")</f>
        <v/>
      </c>
      <c r="B4319" s="60" t="str">
        <f t="shared" si="471"/>
        <v/>
      </c>
      <c r="C4319" s="61"/>
      <c r="D4319" s="301"/>
      <c r="E4319" s="301"/>
      <c r="F4319" s="64"/>
      <c r="G4319" s="64"/>
      <c r="H4319" s="69"/>
      <c r="I4319" s="77"/>
      <c r="J4319" s="969"/>
      <c r="K4319" s="385"/>
      <c r="L4319" s="392"/>
      <c r="M4319" s="970"/>
      <c r="N4319" s="304"/>
      <c r="O4319" s="304"/>
      <c r="P4319" s="79" t="str">
        <f>IF(AND('331-CT'!$E$7=TH!H4319,OR(N4319="331",O4319="331")),"x","")</f>
        <v/>
      </c>
      <c r="Q4319" s="79" t="str">
        <f>IF(AND(B4319='111'!$L$11,OR($N4319=$Q$7,$O4319=$Q$7)),"x","")</f>
        <v/>
      </c>
      <c r="R4319" s="79" t="str">
        <f>IF(AND($N4319=$Q$7,$B4319&lt;'111'!$L$11),"x","")</f>
        <v/>
      </c>
      <c r="S4319" s="79" t="str">
        <f>IF(AND($O4319=$Q$7,$B4319&lt;'111'!$L$11),"x","")</f>
        <v/>
      </c>
      <c r="T4319" s="79" t="str">
        <f>IF(ISERROR(FIND('112'!$M$9,G4319,1)),"",IF((AND(FIND('112'!$M$9,G4319,1)&gt;=1,B4319='112'!$K$9,OR($N4319='112'!$I$6,$O4319='112'!$I$6))),"x",""))</f>
        <v/>
      </c>
      <c r="U4319" s="79" t="str">
        <f>IF(ISERROR(FIND('112'!$M$9,G4319,1)),"",IF((AND(LEFT(G4319,2)=LEFT('112'!$M$9,2),B4319&lt;'112'!$K$9,$N4319='112'!$I$6)),"x",""))</f>
        <v/>
      </c>
      <c r="V4319" s="79" t="str">
        <f>IF(ISERROR(FIND('112'!$M$9,G4319,1)),"",IF((AND(RIGHT(G4319,2)=RIGHT('112'!$M$9,2),B4319&lt;'112'!$K$9,$O4319='112'!$I$6)),"x",""))</f>
        <v/>
      </c>
      <c r="W4319" s="79" t="str">
        <f>IF(AND('341-CT'!$H$9=H4319,OR(LEFT(N4319,3)=$W$7,LEFT(O4319,3)=$W$7)),"x","")</f>
        <v/>
      </c>
      <c r="X4319" s="79" t="str">
        <f>IF(OR(TH!N4319=TH!$X$7,O4319=TH!$X$7),"x","")</f>
        <v/>
      </c>
      <c r="Y4319" s="79" t="str">
        <f>IF(AND(OR(N4319="131",O4319="131"),H4319='131-CT'!$H$9),"x","")</f>
        <v/>
      </c>
      <c r="Z4319" s="79"/>
      <c r="AA4319" s="79" t="str">
        <f>IF(AND(MONTH(E4319)='IN-NX'!$J$5,'IN-NX'!$D$7=D4319),"x","")</f>
        <v/>
      </c>
      <c r="AB4319" s="79" t="str">
        <f>IF(AND(OR(LEFT(TH!N4319,2)="15",LEFT(TH!O4319,2)="15"),LEFT(TH!O4319,3)&lt;&gt;"111",'152-CT'!$J$8=TH!F4319),"x","")</f>
        <v/>
      </c>
      <c r="AC4319" s="79" t="str">
        <f>IF(AND(OR(LEFT(TH!N4319,2)="15",LEFT(TH!O4319,2)="15"),TK!$E$7=TH!F4319),"x","")</f>
        <v/>
      </c>
      <c r="AD4319" s="79" t="str">
        <f>IF(AND(N4319="1521",MONTH(C4319)='BK-NL'!$M$11),"x","")</f>
        <v/>
      </c>
    </row>
    <row r="4320" spans="1:30" ht="16.5" customHeight="1">
      <c r="A4320" s="318" t="str">
        <f>IF(B4320&lt;&gt;"",IF(AND(B4320='[3]IN-TC'!$S$4,OR([3]TH!N3551="1111",[3]TH!O3551="1111")),[3]TH!D3551,""),"")</f>
        <v/>
      </c>
      <c r="B4320" s="60" t="str">
        <f t="shared" si="471"/>
        <v/>
      </c>
      <c r="C4320" s="61"/>
      <c r="D4320" s="301"/>
      <c r="E4320" s="301"/>
      <c r="F4320" s="64"/>
      <c r="G4320" s="64"/>
      <c r="H4320" s="321"/>
      <c r="I4320" s="77"/>
      <c r="J4320" s="969"/>
      <c r="K4320" s="385"/>
      <c r="L4320" s="392"/>
      <c r="M4320" s="970"/>
      <c r="N4320" s="304"/>
      <c r="O4320" s="304"/>
      <c r="P4320" s="79" t="str">
        <f>IF(AND('331-CT'!$E$7=TH!H4320,OR(N4320="331",O4320="331")),"x","")</f>
        <v/>
      </c>
      <c r="Q4320" s="79" t="str">
        <f>IF(AND(B4320='111'!$L$11,OR($N4320=$Q$7,$O4320=$Q$7)),"x","")</f>
        <v/>
      </c>
      <c r="R4320" s="79" t="str">
        <f>IF(AND($N4320=$Q$7,$B4320&lt;'111'!$L$11),"x","")</f>
        <v/>
      </c>
      <c r="S4320" s="79" t="str">
        <f>IF(AND($O4320=$Q$7,$B4320&lt;'111'!$L$11),"x","")</f>
        <v/>
      </c>
      <c r="T4320" s="79" t="str">
        <f>IF(ISERROR(FIND('112'!$M$9,G4320,1)),"",IF((AND(FIND('112'!$M$9,G4320,1)&gt;=1,B4320='112'!$K$9,OR($N4320='112'!$I$6,$O4320='112'!$I$6))),"x",""))</f>
        <v/>
      </c>
      <c r="U4320" s="79" t="str">
        <f>IF(ISERROR(FIND('112'!$M$9,G4320,1)),"",IF((AND(LEFT(G4320,2)=LEFT('112'!$M$9,2),B4320&lt;'112'!$K$9,$N4320='112'!$I$6)),"x",""))</f>
        <v/>
      </c>
      <c r="V4320" s="79" t="str">
        <f>IF(ISERROR(FIND('112'!$M$9,G4320,1)),"",IF((AND(RIGHT(G4320,2)=RIGHT('112'!$M$9,2),B4320&lt;'112'!$K$9,$O4320='112'!$I$6)),"x",""))</f>
        <v/>
      </c>
      <c r="W4320" s="79" t="str">
        <f>IF(AND('341-CT'!$H$9=H4320,OR(LEFT(N4320,3)=$W$7,LEFT(O4320,3)=$W$7)),"x","")</f>
        <v/>
      </c>
      <c r="X4320" s="79" t="str">
        <f>IF(OR(TH!N4320=TH!$X$7,O4320=TH!$X$7),"x","")</f>
        <v/>
      </c>
      <c r="Y4320" s="79" t="str">
        <f>IF(AND(OR(N4320="131",O4320="131"),H4320='131-CT'!$H$9),"x","")</f>
        <v/>
      </c>
      <c r="Z4320" s="79"/>
      <c r="AA4320" s="79" t="str">
        <f>IF(AND(MONTH(E4320)='IN-NX'!$J$5,'IN-NX'!$D$7=D4320),"x","")</f>
        <v/>
      </c>
      <c r="AB4320" s="79" t="str">
        <f>IF(AND(OR(LEFT(TH!N4320,2)="15",LEFT(TH!O4320,2)="15"),LEFT(TH!O4320,3)&lt;&gt;"111",'152-CT'!$J$8=TH!F4320),"x","")</f>
        <v/>
      </c>
      <c r="AC4320" s="79" t="str">
        <f>IF(AND(OR(LEFT(TH!N4320,2)="15",LEFT(TH!O4320,2)="15"),TK!$E$7=TH!F4320),"x","")</f>
        <v/>
      </c>
      <c r="AD4320" s="79" t="str">
        <f>IF(AND(N4320="1521",MONTH(C4320)='BK-NL'!$M$11),"x","")</f>
        <v/>
      </c>
    </row>
    <row r="4321" spans="1:30" ht="16.5" customHeight="1">
      <c r="A4321" s="318" t="str">
        <f>IF(B4321&lt;&gt;"",IF(AND(B4321='[3]IN-TC'!$S$4,OR([3]TH!N3552="1111",[3]TH!O3552="1111")),[3]TH!D3552,""),"")</f>
        <v/>
      </c>
      <c r="B4321" s="60" t="str">
        <f t="shared" si="471"/>
        <v/>
      </c>
      <c r="C4321" s="61"/>
      <c r="D4321" s="301"/>
      <c r="E4321" s="301"/>
      <c r="F4321" s="64"/>
      <c r="G4321" s="64"/>
      <c r="H4321" s="69"/>
      <c r="I4321" s="77"/>
      <c r="J4321" s="969"/>
      <c r="K4321" s="385"/>
      <c r="L4321" s="392"/>
      <c r="M4321" s="970"/>
      <c r="N4321" s="304"/>
      <c r="O4321" s="304"/>
      <c r="P4321" s="79" t="str">
        <f>IF(AND('331-CT'!$E$7=TH!H4321,OR(N4321="331",O4321="331")),"x","")</f>
        <v/>
      </c>
      <c r="Q4321" s="79" t="str">
        <f>IF(AND(B4321='111'!$L$11,OR($N4321=$Q$7,$O4321=$Q$7)),"x","")</f>
        <v/>
      </c>
      <c r="R4321" s="79" t="str">
        <f>IF(AND($N4321=$Q$7,$B4321&lt;'111'!$L$11),"x","")</f>
        <v/>
      </c>
      <c r="S4321" s="79" t="str">
        <f>IF(AND($O4321=$Q$7,$B4321&lt;'111'!$L$11),"x","")</f>
        <v/>
      </c>
      <c r="T4321" s="79" t="str">
        <f>IF(ISERROR(FIND('112'!$M$9,G4321,1)),"",IF((AND(FIND('112'!$M$9,G4321,1)&gt;=1,B4321='112'!$K$9,OR($N4321='112'!$I$6,$O4321='112'!$I$6))),"x",""))</f>
        <v/>
      </c>
      <c r="U4321" s="79" t="str">
        <f>IF(ISERROR(FIND('112'!$M$9,G4321,1)),"",IF((AND(LEFT(G4321,2)=LEFT('112'!$M$9,2),B4321&lt;'112'!$K$9,$N4321='112'!$I$6)),"x",""))</f>
        <v/>
      </c>
      <c r="V4321" s="79" t="str">
        <f>IF(ISERROR(FIND('112'!$M$9,G4321,1)),"",IF((AND(RIGHT(G4321,2)=RIGHT('112'!$M$9,2),B4321&lt;'112'!$K$9,$O4321='112'!$I$6)),"x",""))</f>
        <v/>
      </c>
      <c r="W4321" s="79" t="str">
        <f>IF(AND('341-CT'!$H$9=H4321,OR(LEFT(N4321,3)=$W$7,LEFT(O4321,3)=$W$7)),"x","")</f>
        <v/>
      </c>
      <c r="X4321" s="79" t="str">
        <f>IF(OR(TH!N4321=TH!$X$7,O4321=TH!$X$7),"x","")</f>
        <v/>
      </c>
      <c r="Y4321" s="79" t="str">
        <f>IF(AND(OR(N4321="131",O4321="131"),H4321='131-CT'!$H$9),"x","")</f>
        <v/>
      </c>
      <c r="Z4321" s="79"/>
      <c r="AA4321" s="79" t="str">
        <f>IF(AND(MONTH(E4321)='IN-NX'!$J$5,'IN-NX'!$D$7=D4321),"x","")</f>
        <v/>
      </c>
      <c r="AB4321" s="79" t="str">
        <f>IF(AND(OR(LEFT(TH!N4321,2)="15",LEFT(TH!O4321,2)="15"),LEFT(TH!O4321,3)&lt;&gt;"111",'152-CT'!$J$8=TH!F4321),"x","")</f>
        <v/>
      </c>
      <c r="AC4321" s="79" t="str">
        <f>IF(AND(OR(LEFT(TH!N4321,2)="15",LEFT(TH!O4321,2)="15"),TK!$E$7=TH!F4321),"x","")</f>
        <v/>
      </c>
      <c r="AD4321" s="79" t="str">
        <f>IF(AND(N4321="1521",MONTH(C4321)='BK-NL'!$M$11),"x","")</f>
        <v/>
      </c>
    </row>
    <row r="4322" spans="1:30" ht="16.5" customHeight="1">
      <c r="A4322" s="318" t="str">
        <f>IF(B4322&lt;&gt;"",IF(AND(B4322='[3]IN-TC'!$S$4,OR([3]TH!N3553="1111",[3]TH!O3553="1111")),[3]TH!D3553,""),"")</f>
        <v/>
      </c>
      <c r="B4322" s="60" t="str">
        <f t="shared" si="471"/>
        <v/>
      </c>
      <c r="C4322" s="61"/>
      <c r="D4322" s="301"/>
      <c r="E4322" s="301"/>
      <c r="F4322" s="64"/>
      <c r="G4322" s="64"/>
      <c r="H4322" s="69"/>
      <c r="I4322" s="77"/>
      <c r="J4322" s="969"/>
      <c r="K4322" s="385"/>
      <c r="L4322" s="392"/>
      <c r="M4322" s="970"/>
      <c r="N4322" s="304"/>
      <c r="O4322" s="304"/>
      <c r="P4322" s="79" t="str">
        <f>IF(AND('331-CT'!$E$7=TH!H4322,OR(N4322="331",O4322="331")),"x","")</f>
        <v/>
      </c>
      <c r="Q4322" s="79" t="str">
        <f>IF(AND(B4322='111'!$L$11,OR($N4322=$Q$7,$O4322=$Q$7)),"x","")</f>
        <v/>
      </c>
      <c r="R4322" s="79" t="str">
        <f>IF(AND($N4322=$Q$7,$B4322&lt;'111'!$L$11),"x","")</f>
        <v/>
      </c>
      <c r="S4322" s="79" t="str">
        <f>IF(AND($O4322=$Q$7,$B4322&lt;'111'!$L$11),"x","")</f>
        <v/>
      </c>
      <c r="T4322" s="79" t="str">
        <f>IF(ISERROR(FIND('112'!$M$9,G4322,1)),"",IF((AND(FIND('112'!$M$9,G4322,1)&gt;=1,B4322='112'!$K$9,OR($N4322='112'!$I$6,$O4322='112'!$I$6))),"x",""))</f>
        <v/>
      </c>
      <c r="U4322" s="79" t="str">
        <f>IF(ISERROR(FIND('112'!$M$9,G4322,1)),"",IF((AND(LEFT(G4322,2)=LEFT('112'!$M$9,2),B4322&lt;'112'!$K$9,$N4322='112'!$I$6)),"x",""))</f>
        <v/>
      </c>
      <c r="V4322" s="79" t="str">
        <f>IF(ISERROR(FIND('112'!$M$9,G4322,1)),"",IF((AND(RIGHT(G4322,2)=RIGHT('112'!$M$9,2),B4322&lt;'112'!$K$9,$O4322='112'!$I$6)),"x",""))</f>
        <v/>
      </c>
      <c r="W4322" s="79" t="str">
        <f>IF(AND('341-CT'!$H$9=H4322,OR(LEFT(N4322,3)=$W$7,LEFT(O4322,3)=$W$7)),"x","")</f>
        <v/>
      </c>
      <c r="X4322" s="79" t="str">
        <f>IF(OR(TH!N4322=TH!$X$7,O4322=TH!$X$7),"x","")</f>
        <v/>
      </c>
      <c r="Y4322" s="79" t="str">
        <f>IF(AND(OR(N4322="131",O4322="131"),H4322='131-CT'!$H$9),"x","")</f>
        <v/>
      </c>
      <c r="Z4322" s="79"/>
      <c r="AA4322" s="79" t="str">
        <f>IF(AND(MONTH(E4322)='IN-NX'!$J$5,'IN-NX'!$D$7=D4322),"x","")</f>
        <v/>
      </c>
      <c r="AB4322" s="79" t="str">
        <f>IF(AND(OR(LEFT(TH!N4322,2)="15",LEFT(TH!O4322,2)="15"),LEFT(TH!O4322,3)&lt;&gt;"111",'152-CT'!$J$8=TH!F4322),"x","")</f>
        <v/>
      </c>
      <c r="AC4322" s="79" t="str">
        <f>IF(AND(OR(LEFT(TH!N4322,2)="15",LEFT(TH!O4322,2)="15"),TK!$E$7=TH!F4322),"x","")</f>
        <v/>
      </c>
      <c r="AD4322" s="79" t="str">
        <f>IF(AND(N4322="1521",MONTH(C4322)='BK-NL'!$M$11),"x","")</f>
        <v/>
      </c>
    </row>
    <row r="4323" spans="1:30" ht="16.5" customHeight="1">
      <c r="A4323" s="318" t="str">
        <f>IF(B4323&lt;&gt;"",IF(AND(B4323='[3]IN-TC'!$S$4,OR([3]TH!N3554="1111",[3]TH!O3554="1111")),[3]TH!D3554,""),"")</f>
        <v/>
      </c>
      <c r="B4323" s="60" t="str">
        <f t="shared" si="471"/>
        <v/>
      </c>
      <c r="C4323" s="61"/>
      <c r="D4323" s="301"/>
      <c r="E4323" s="301"/>
      <c r="F4323" s="302"/>
      <c r="G4323" s="64"/>
      <c r="H4323" s="1012"/>
      <c r="I4323" s="77"/>
      <c r="J4323" s="969"/>
      <c r="K4323" s="385"/>
      <c r="L4323" s="392"/>
      <c r="M4323" s="970"/>
      <c r="N4323" s="304"/>
      <c r="O4323" s="304"/>
      <c r="P4323" s="79" t="str">
        <f>IF(AND('331-CT'!$E$7=TH!H4323,OR(N4323="331",O4323="331")),"x","")</f>
        <v/>
      </c>
      <c r="Q4323" s="79" t="str">
        <f>IF(AND(B4323='111'!$L$11,OR($N4323=$Q$7,$O4323=$Q$7)),"x","")</f>
        <v/>
      </c>
      <c r="R4323" s="79" t="str">
        <f>IF(AND($N4323=$Q$7,$B4323&lt;'111'!$L$11),"x","")</f>
        <v/>
      </c>
      <c r="S4323" s="79" t="str">
        <f>IF(AND($O4323=$Q$7,$B4323&lt;'111'!$L$11),"x","")</f>
        <v/>
      </c>
      <c r="T4323" s="79" t="str">
        <f>IF(ISERROR(FIND('112'!$M$9,G4323,1)),"",IF((AND(FIND('112'!$M$9,G4323,1)&gt;=1,B4323='112'!$K$9,OR($N4323='112'!$I$6,$O4323='112'!$I$6))),"x",""))</f>
        <v/>
      </c>
      <c r="U4323" s="79" t="str">
        <f>IF(ISERROR(FIND('112'!$M$9,G4323,1)),"",IF((AND(LEFT(G4323,2)=LEFT('112'!$M$9,2),B4323&lt;'112'!$K$9,$N4323='112'!$I$6)),"x",""))</f>
        <v/>
      </c>
      <c r="V4323" s="79" t="str">
        <f>IF(ISERROR(FIND('112'!$M$9,G4323,1)),"",IF((AND(RIGHT(G4323,2)=RIGHT('112'!$M$9,2),B4323&lt;'112'!$K$9,$O4323='112'!$I$6)),"x",""))</f>
        <v/>
      </c>
      <c r="W4323" s="79" t="str">
        <f>IF(AND('341-CT'!$H$9=H4323,OR(LEFT(N4323,3)=$W$7,LEFT(O4323,3)=$W$7)),"x","")</f>
        <v/>
      </c>
      <c r="X4323" s="79" t="str">
        <f>IF(OR(TH!N4323=TH!$X$7,O4323=TH!$X$7),"x","")</f>
        <v/>
      </c>
      <c r="Y4323" s="79" t="str">
        <f>IF(AND(OR(N4323="131",O4323="131"),H4323='131-CT'!$H$9),"x","")</f>
        <v/>
      </c>
      <c r="Z4323" s="79"/>
      <c r="AA4323" s="79" t="str">
        <f>IF(AND(MONTH(E4323)='IN-NX'!$J$5,'IN-NX'!$D$7=D4323),"x","")</f>
        <v/>
      </c>
      <c r="AB4323" s="79" t="str">
        <f>IF(AND(OR(LEFT(TH!N4323,2)="15",LEFT(TH!O4323,2)="15"),LEFT(TH!O4323,3)&lt;&gt;"111",'152-CT'!$J$8=TH!F4323),"x","")</f>
        <v/>
      </c>
      <c r="AC4323" s="79" t="str">
        <f>IF(AND(OR(LEFT(TH!N4323,2)="15",LEFT(TH!O4323,2)="15"),TK!$E$7=TH!F4323),"x","")</f>
        <v/>
      </c>
      <c r="AD4323" s="79" t="str">
        <f>IF(AND(N4323="1521",MONTH(C4323)='BK-NL'!$M$11),"x","")</f>
        <v/>
      </c>
    </row>
    <row r="4324" spans="1:30" ht="16.5" customHeight="1">
      <c r="A4324" s="318" t="str">
        <f>IF(B4324&lt;&gt;"",IF(AND(B4324='[3]IN-TC'!$S$4,OR([3]TH!N3555="1111",[3]TH!O3555="1111")),[3]TH!D3555,""),"")</f>
        <v/>
      </c>
      <c r="B4324" s="60" t="str">
        <f t="shared" si="471"/>
        <v/>
      </c>
      <c r="C4324" s="61"/>
      <c r="D4324" s="301"/>
      <c r="E4324" s="301"/>
      <c r="F4324" s="64"/>
      <c r="G4324" s="64"/>
      <c r="H4324" s="321"/>
      <c r="I4324" s="385"/>
      <c r="J4324" s="969"/>
      <c r="K4324" s="385"/>
      <c r="L4324" s="392"/>
      <c r="M4324" s="970"/>
      <c r="N4324" s="304"/>
      <c r="O4324" s="304"/>
      <c r="P4324" s="79" t="str">
        <f>IF(AND('331-CT'!$E$7=TH!H4324,OR(N4324="331",O4324="331")),"x","")</f>
        <v/>
      </c>
      <c r="Q4324" s="79" t="str">
        <f>IF(AND(B4324='111'!$L$11,OR($N4324=$Q$7,$O4324=$Q$7)),"x","")</f>
        <v/>
      </c>
      <c r="R4324" s="79" t="str">
        <f>IF(AND($N4324=$Q$7,$B4324&lt;'111'!$L$11),"x","")</f>
        <v/>
      </c>
      <c r="S4324" s="79" t="str">
        <f>IF(AND($O4324=$Q$7,$B4324&lt;'111'!$L$11),"x","")</f>
        <v/>
      </c>
      <c r="T4324" s="79" t="str">
        <f>IF(ISERROR(FIND('112'!$M$9,G4324,1)),"",IF((AND(FIND('112'!$M$9,G4324,1)&gt;=1,B4324='112'!$K$9,OR($N4324='112'!$I$6,$O4324='112'!$I$6))),"x",""))</f>
        <v/>
      </c>
      <c r="U4324" s="79" t="str">
        <f>IF(ISERROR(FIND('112'!$M$9,G4324,1)),"",IF((AND(LEFT(G4324,2)=LEFT('112'!$M$9,2),B4324&lt;'112'!$K$9,$N4324='112'!$I$6)),"x",""))</f>
        <v/>
      </c>
      <c r="V4324" s="79" t="str">
        <f>IF(ISERROR(FIND('112'!$M$9,G4324,1)),"",IF((AND(RIGHT(G4324,2)=RIGHT('112'!$M$9,2),B4324&lt;'112'!$K$9,$O4324='112'!$I$6)),"x",""))</f>
        <v/>
      </c>
      <c r="W4324" s="79" t="str">
        <f>IF(AND('341-CT'!$H$9=H4324,OR(LEFT(N4324,3)=$W$7,LEFT(O4324,3)=$W$7)),"x","")</f>
        <v/>
      </c>
      <c r="X4324" s="79" t="str">
        <f>IF(OR(TH!N4324=TH!$X$7,O4324=TH!$X$7),"x","")</f>
        <v/>
      </c>
      <c r="Y4324" s="79" t="str">
        <f>IF(AND(OR(N4324="131",O4324="131"),H4324='131-CT'!$H$9),"x","")</f>
        <v/>
      </c>
      <c r="Z4324" s="79"/>
      <c r="AA4324" s="79" t="str">
        <f>IF(AND(MONTH(E4324)='IN-NX'!$J$5,'IN-NX'!$D$7=D4324),"x","")</f>
        <v/>
      </c>
      <c r="AB4324" s="79" t="str">
        <f>IF(AND(OR(LEFT(TH!N4324,2)="15",LEFT(TH!O4324,2)="15"),LEFT(TH!O4324,3)&lt;&gt;"111",'152-CT'!$J$8=TH!F4324),"x","")</f>
        <v/>
      </c>
      <c r="AC4324" s="79" t="str">
        <f>IF(AND(OR(LEFT(TH!N4324,2)="15",LEFT(TH!O4324,2)="15"),TK!$E$7=TH!F4324),"x","")</f>
        <v/>
      </c>
      <c r="AD4324" s="79" t="str">
        <f>IF(AND(N4324="1521",MONTH(C4324)='BK-NL'!$M$11),"x","")</f>
        <v/>
      </c>
    </row>
    <row r="4325" spans="1:30" ht="16.5" customHeight="1">
      <c r="A4325" s="318" t="str">
        <f>IF(B4325&lt;&gt;"",IF(AND(B4325='[3]IN-TC'!$S$4,OR([3]TH!N3556="1111",[3]TH!O3556="1111")),[3]TH!D3556,""),"")</f>
        <v/>
      </c>
      <c r="B4325" s="60" t="str">
        <f t="shared" si="471"/>
        <v/>
      </c>
      <c r="C4325" s="61"/>
      <c r="D4325" s="301"/>
      <c r="E4325" s="301"/>
      <c r="F4325" s="64"/>
      <c r="G4325" s="64"/>
      <c r="H4325" s="69"/>
      <c r="I4325" s="385"/>
      <c r="J4325" s="969"/>
      <c r="K4325" s="385"/>
      <c r="L4325" s="392"/>
      <c r="M4325" s="970"/>
      <c r="N4325" s="304"/>
      <c r="O4325" s="304"/>
      <c r="P4325" s="79" t="str">
        <f>IF(AND('331-CT'!$E$7=TH!H4325,OR(N4325="331",O4325="331")),"x","")</f>
        <v/>
      </c>
      <c r="Q4325" s="79" t="str">
        <f>IF(AND(B4325='111'!$L$11,OR($N4325=$Q$7,$O4325=$Q$7)),"x","")</f>
        <v/>
      </c>
      <c r="R4325" s="79" t="str">
        <f>IF(AND($N4325=$Q$7,$B4325&lt;'111'!$L$11),"x","")</f>
        <v/>
      </c>
      <c r="S4325" s="79" t="str">
        <f>IF(AND($O4325=$Q$7,$B4325&lt;'111'!$L$11),"x","")</f>
        <v/>
      </c>
      <c r="T4325" s="79" t="str">
        <f>IF(ISERROR(FIND('112'!$M$9,G4325,1)),"",IF((AND(FIND('112'!$M$9,G4325,1)&gt;=1,B4325='112'!$K$9,OR($N4325='112'!$I$6,$O4325='112'!$I$6))),"x",""))</f>
        <v/>
      </c>
      <c r="U4325" s="79" t="str">
        <f>IF(ISERROR(FIND('112'!$M$9,G4325,1)),"",IF((AND(LEFT(G4325,2)=LEFT('112'!$M$9,2),B4325&lt;'112'!$K$9,$N4325='112'!$I$6)),"x",""))</f>
        <v/>
      </c>
      <c r="V4325" s="79" t="str">
        <f>IF(ISERROR(FIND('112'!$M$9,G4325,1)),"",IF((AND(RIGHT(G4325,2)=RIGHT('112'!$M$9,2),B4325&lt;'112'!$K$9,$O4325='112'!$I$6)),"x",""))</f>
        <v/>
      </c>
      <c r="W4325" s="79" t="str">
        <f>IF(AND('341-CT'!$H$9=H4325,OR(LEFT(N4325,3)=$W$7,LEFT(O4325,3)=$W$7)),"x","")</f>
        <v/>
      </c>
      <c r="X4325" s="79" t="str">
        <f>IF(OR(TH!N4325=TH!$X$7,O4325=TH!$X$7),"x","")</f>
        <v/>
      </c>
      <c r="Y4325" s="79" t="str">
        <f>IF(AND(OR(N4325="131",O4325="131"),H4325='131-CT'!$H$9),"x","")</f>
        <v/>
      </c>
      <c r="Z4325" s="79"/>
      <c r="AA4325" s="79" t="str">
        <f>IF(AND(MONTH(E4325)='IN-NX'!$J$5,'IN-NX'!$D$7=D4325),"x","")</f>
        <v/>
      </c>
      <c r="AB4325" s="79" t="str">
        <f>IF(AND(OR(LEFT(TH!N4325,2)="15",LEFT(TH!O4325,2)="15"),LEFT(TH!O4325,3)&lt;&gt;"111",'152-CT'!$J$8=TH!F4325),"x","")</f>
        <v/>
      </c>
      <c r="AC4325" s="79" t="str">
        <f>IF(AND(OR(LEFT(TH!N4325,2)="15",LEFT(TH!O4325,2)="15"),TK!$E$7=TH!F4325),"x","")</f>
        <v/>
      </c>
      <c r="AD4325" s="79" t="str">
        <f>IF(AND(N4325="1521",MONTH(C4325)='BK-NL'!$M$11),"x","")</f>
        <v/>
      </c>
    </row>
    <row r="4326" spans="1:30" ht="16.5" customHeight="1">
      <c r="A4326" s="318" t="str">
        <f>IF(B4326&lt;&gt;"",IF(AND(B4326='[3]IN-TC'!$S$4,OR([3]TH!N3557="1111",[3]TH!O3557="1111")),[3]TH!D3557,""),"")</f>
        <v/>
      </c>
      <c r="B4326" s="60" t="str">
        <f t="shared" si="471"/>
        <v/>
      </c>
      <c r="C4326" s="61"/>
      <c r="D4326" s="301"/>
      <c r="E4326" s="301"/>
      <c r="F4326" s="64"/>
      <c r="G4326" s="64"/>
      <c r="H4326" s="69"/>
      <c r="I4326" s="385"/>
      <c r="J4326" s="969"/>
      <c r="K4326" s="385"/>
      <c r="L4326" s="392"/>
      <c r="M4326" s="970"/>
      <c r="N4326" s="304"/>
      <c r="O4326" s="304"/>
      <c r="P4326" s="79" t="str">
        <f>IF(AND('331-CT'!$E$7=TH!H4326,OR(N4326="331",O4326="331")),"x","")</f>
        <v/>
      </c>
      <c r="Q4326" s="79" t="str">
        <f>IF(AND(B4326='111'!$L$11,OR($N4326=$Q$7,$O4326=$Q$7)),"x","")</f>
        <v/>
      </c>
      <c r="R4326" s="79" t="str">
        <f>IF(AND($N4326=$Q$7,$B4326&lt;'111'!$L$11),"x","")</f>
        <v/>
      </c>
      <c r="S4326" s="79" t="str">
        <f>IF(AND($O4326=$Q$7,$B4326&lt;'111'!$L$11),"x","")</f>
        <v/>
      </c>
      <c r="T4326" s="79" t="str">
        <f>IF(ISERROR(FIND('112'!$M$9,G4326,1)),"",IF((AND(FIND('112'!$M$9,G4326,1)&gt;=1,B4326='112'!$K$9,OR($N4326='112'!$I$6,$O4326='112'!$I$6))),"x",""))</f>
        <v/>
      </c>
      <c r="U4326" s="79" t="str">
        <f>IF(ISERROR(FIND('112'!$M$9,G4326,1)),"",IF((AND(LEFT(G4326,2)=LEFT('112'!$M$9,2),B4326&lt;'112'!$K$9,$N4326='112'!$I$6)),"x",""))</f>
        <v/>
      </c>
      <c r="V4326" s="79" t="str">
        <f>IF(ISERROR(FIND('112'!$M$9,G4326,1)),"",IF((AND(RIGHT(G4326,2)=RIGHT('112'!$M$9,2),B4326&lt;'112'!$K$9,$O4326='112'!$I$6)),"x",""))</f>
        <v/>
      </c>
      <c r="W4326" s="79" t="str">
        <f>IF(AND('341-CT'!$H$9=H4326,OR(LEFT(N4326,3)=$W$7,LEFT(O4326,3)=$W$7)),"x","")</f>
        <v/>
      </c>
      <c r="X4326" s="79" t="str">
        <f>IF(OR(TH!N4326=TH!$X$7,O4326=TH!$X$7),"x","")</f>
        <v/>
      </c>
      <c r="Y4326" s="79" t="str">
        <f>IF(AND(OR(N4326="131",O4326="131"),H4326='131-CT'!$H$9),"x","")</f>
        <v/>
      </c>
      <c r="Z4326" s="79"/>
      <c r="AA4326" s="79" t="str">
        <f>IF(AND(MONTH(E4326)='IN-NX'!$J$5,'IN-NX'!$D$7=D4326),"x","")</f>
        <v/>
      </c>
      <c r="AB4326" s="79" t="str">
        <f>IF(AND(OR(LEFT(TH!N4326,2)="15",LEFT(TH!O4326,2)="15"),LEFT(TH!O4326,3)&lt;&gt;"111",'152-CT'!$J$8=TH!F4326),"x","")</f>
        <v/>
      </c>
      <c r="AC4326" s="79" t="str">
        <f>IF(AND(OR(LEFT(TH!N4326,2)="15",LEFT(TH!O4326,2)="15"),TK!$E$7=TH!F4326),"x","")</f>
        <v/>
      </c>
      <c r="AD4326" s="79" t="str">
        <f>IF(AND(N4326="1521",MONTH(C4326)='BK-NL'!$M$11),"x","")</f>
        <v/>
      </c>
    </row>
    <row r="4327" spans="1:30" ht="16.5" customHeight="1">
      <c r="A4327" s="318" t="str">
        <f>IF(B4327&lt;&gt;"",IF(AND(B4327='[3]IN-TC'!$S$4,OR([3]TH!N3558="1111",[3]TH!O3558="1111")),[3]TH!D3558,""),"")</f>
        <v/>
      </c>
      <c r="B4327" s="60" t="str">
        <f t="shared" si="471"/>
        <v/>
      </c>
      <c r="C4327" s="61"/>
      <c r="D4327" s="301"/>
      <c r="E4327" s="301"/>
      <c r="F4327" s="64"/>
      <c r="G4327" s="64"/>
      <c r="H4327" s="69"/>
      <c r="I4327" s="385"/>
      <c r="J4327" s="969"/>
      <c r="K4327" s="385"/>
      <c r="L4327" s="392"/>
      <c r="M4327" s="970"/>
      <c r="N4327" s="304"/>
      <c r="O4327" s="304"/>
      <c r="P4327" s="79" t="str">
        <f>IF(AND('331-CT'!$E$7=TH!H4327,OR(N4327="331",O4327="331")),"x","")</f>
        <v/>
      </c>
      <c r="Q4327" s="79" t="str">
        <f>IF(AND(B4327='111'!$L$11,OR($N4327=$Q$7,$O4327=$Q$7)),"x","")</f>
        <v/>
      </c>
      <c r="R4327" s="79" t="str">
        <f>IF(AND($N4327=$Q$7,$B4327&lt;'111'!$L$11),"x","")</f>
        <v/>
      </c>
      <c r="S4327" s="79" t="str">
        <f>IF(AND($O4327=$Q$7,$B4327&lt;'111'!$L$11),"x","")</f>
        <v/>
      </c>
      <c r="T4327" s="79" t="str">
        <f>IF(ISERROR(FIND('112'!$M$9,G4327,1)),"",IF((AND(FIND('112'!$M$9,G4327,1)&gt;=1,B4327='112'!$K$9,OR($N4327='112'!$I$6,$O4327='112'!$I$6))),"x",""))</f>
        <v/>
      </c>
      <c r="U4327" s="79" t="str">
        <f>IF(ISERROR(FIND('112'!$M$9,G4327,1)),"",IF((AND(LEFT(G4327,2)=LEFT('112'!$M$9,2),B4327&lt;'112'!$K$9,$N4327='112'!$I$6)),"x",""))</f>
        <v/>
      </c>
      <c r="V4327" s="79" t="str">
        <f>IF(ISERROR(FIND('112'!$M$9,G4327,1)),"",IF((AND(RIGHT(G4327,2)=RIGHT('112'!$M$9,2),B4327&lt;'112'!$K$9,$O4327='112'!$I$6)),"x",""))</f>
        <v/>
      </c>
      <c r="W4327" s="79" t="str">
        <f>IF(AND('341-CT'!$H$9=H4327,OR(LEFT(N4327,3)=$W$7,LEFT(O4327,3)=$W$7)),"x","")</f>
        <v/>
      </c>
      <c r="X4327" s="79" t="str">
        <f>IF(OR(TH!N4327=TH!$X$7,O4327=TH!$X$7),"x","")</f>
        <v/>
      </c>
      <c r="Y4327" s="79" t="str">
        <f>IF(AND(OR(N4327="131",O4327="131"),H4327='131-CT'!$H$9),"x","")</f>
        <v/>
      </c>
      <c r="Z4327" s="79"/>
      <c r="AA4327" s="79" t="str">
        <f>IF(AND(MONTH(E4327)='IN-NX'!$J$5,'IN-NX'!$D$7=D4327),"x","")</f>
        <v/>
      </c>
      <c r="AB4327" s="79" t="str">
        <f>IF(AND(OR(LEFT(TH!N4327,2)="15",LEFT(TH!O4327,2)="15"),LEFT(TH!O4327,3)&lt;&gt;"111",'152-CT'!$J$8=TH!F4327),"x","")</f>
        <v/>
      </c>
      <c r="AC4327" s="79" t="str">
        <f>IF(AND(OR(LEFT(TH!N4327,2)="15",LEFT(TH!O4327,2)="15"),TK!$E$7=TH!F4327),"x","")</f>
        <v/>
      </c>
      <c r="AD4327" s="79" t="str">
        <f>IF(AND(N4327="1521",MONTH(C4327)='BK-NL'!$M$11),"x","")</f>
        <v/>
      </c>
    </row>
    <row r="4328" spans="1:30" ht="16.5" customHeight="1">
      <c r="A4328" s="318" t="str">
        <f>IF(B4328&lt;&gt;"",IF(AND(B4328='[3]IN-TC'!$S$4,OR([3]TH!N3559="1111",[3]TH!O3559="1111")),[3]TH!D3559,""),"")</f>
        <v/>
      </c>
      <c r="B4328" s="60" t="str">
        <f t="shared" si="471"/>
        <v/>
      </c>
      <c r="C4328" s="61"/>
      <c r="D4328" s="301"/>
      <c r="E4328" s="301"/>
      <c r="F4328" s="64"/>
      <c r="G4328" s="64"/>
      <c r="H4328" s="69"/>
      <c r="I4328" s="385"/>
      <c r="J4328" s="969"/>
      <c r="K4328" s="385"/>
      <c r="L4328" s="392"/>
      <c r="M4328" s="970"/>
      <c r="N4328" s="304"/>
      <c r="O4328" s="304"/>
      <c r="P4328" s="79" t="str">
        <f>IF(AND('331-CT'!$E$7=TH!H4328,OR(N4328="331",O4328="331")),"x","")</f>
        <v/>
      </c>
      <c r="Q4328" s="79" t="str">
        <f>IF(AND(B4328='111'!$L$11,OR($N4328=$Q$7,$O4328=$Q$7)),"x","")</f>
        <v/>
      </c>
      <c r="R4328" s="79" t="str">
        <f>IF(AND($N4328=$Q$7,$B4328&lt;'111'!$L$11),"x","")</f>
        <v/>
      </c>
      <c r="S4328" s="79" t="str">
        <f>IF(AND($O4328=$Q$7,$B4328&lt;'111'!$L$11),"x","")</f>
        <v/>
      </c>
      <c r="T4328" s="79" t="str">
        <f>IF(ISERROR(FIND('112'!$M$9,G4328,1)),"",IF((AND(FIND('112'!$M$9,G4328,1)&gt;=1,B4328='112'!$K$9,OR($N4328='112'!$I$6,$O4328='112'!$I$6))),"x",""))</f>
        <v/>
      </c>
      <c r="U4328" s="79" t="str">
        <f>IF(ISERROR(FIND('112'!$M$9,G4328,1)),"",IF((AND(LEFT(G4328,2)=LEFT('112'!$M$9,2),B4328&lt;'112'!$K$9,$N4328='112'!$I$6)),"x",""))</f>
        <v/>
      </c>
      <c r="V4328" s="79" t="str">
        <f>IF(ISERROR(FIND('112'!$M$9,G4328,1)),"",IF((AND(RIGHT(G4328,2)=RIGHT('112'!$M$9,2),B4328&lt;'112'!$K$9,$O4328='112'!$I$6)),"x",""))</f>
        <v/>
      </c>
      <c r="W4328" s="79" t="str">
        <f>IF(AND('341-CT'!$H$9=H4328,OR(LEFT(N4328,3)=$W$7,LEFT(O4328,3)=$W$7)),"x","")</f>
        <v/>
      </c>
      <c r="X4328" s="79" t="str">
        <f>IF(OR(TH!N4328=TH!$X$7,O4328=TH!$X$7),"x","")</f>
        <v/>
      </c>
      <c r="Y4328" s="79" t="str">
        <f>IF(AND(OR(N4328="131",O4328="131"),H4328='131-CT'!$H$9),"x","")</f>
        <v/>
      </c>
      <c r="Z4328" s="79"/>
      <c r="AA4328" s="79" t="str">
        <f>IF(AND(MONTH(E4328)='IN-NX'!$J$5,'IN-NX'!$D$7=D4328),"x","")</f>
        <v/>
      </c>
      <c r="AB4328" s="79" t="str">
        <f>IF(AND(OR(LEFT(TH!N4328,2)="15",LEFT(TH!O4328,2)="15"),LEFT(TH!O4328,3)&lt;&gt;"111",'152-CT'!$J$8=TH!F4328),"x","")</f>
        <v/>
      </c>
      <c r="AC4328" s="79" t="str">
        <f>IF(AND(OR(LEFT(TH!N4328,2)="15",LEFT(TH!O4328,2)="15"),TK!$E$7=TH!F4328),"x","")</f>
        <v/>
      </c>
      <c r="AD4328" s="79" t="str">
        <f>IF(AND(N4328="1521",MONTH(C4328)='BK-NL'!$M$11),"x","")</f>
        <v/>
      </c>
    </row>
    <row r="4329" spans="1:30" ht="16.5" customHeight="1">
      <c r="A4329" s="318" t="str">
        <f>IF(B4329&lt;&gt;"",IF(AND(B4329='[3]IN-TC'!$S$4,OR([3]TH!N3560="1111",[3]TH!O3560="1111")),[3]TH!D3560,""),"")</f>
        <v/>
      </c>
      <c r="B4329" s="60" t="str">
        <f t="shared" si="471"/>
        <v/>
      </c>
      <c r="C4329" s="61"/>
      <c r="D4329" s="301"/>
      <c r="E4329" s="301"/>
      <c r="F4329" s="64"/>
      <c r="G4329" s="64"/>
      <c r="H4329" s="69"/>
      <c r="I4329" s="385"/>
      <c r="J4329" s="969"/>
      <c r="K4329" s="385"/>
      <c r="L4329" s="392"/>
      <c r="M4329" s="970"/>
      <c r="N4329" s="304"/>
      <c r="O4329" s="304"/>
      <c r="P4329" s="79" t="str">
        <f>IF(AND('331-CT'!$E$7=TH!H4329,OR(N4329="331",O4329="331")),"x","")</f>
        <v/>
      </c>
      <c r="Q4329" s="79" t="str">
        <f>IF(AND(B4329='111'!$L$11,OR($N4329=$Q$7,$O4329=$Q$7)),"x","")</f>
        <v/>
      </c>
      <c r="R4329" s="79" t="str">
        <f>IF(AND($N4329=$Q$7,$B4329&lt;'111'!$L$11),"x","")</f>
        <v/>
      </c>
      <c r="S4329" s="79" t="str">
        <f>IF(AND($O4329=$Q$7,$B4329&lt;'111'!$L$11),"x","")</f>
        <v/>
      </c>
      <c r="T4329" s="79" t="str">
        <f>IF(ISERROR(FIND('112'!$M$9,G4329,1)),"",IF((AND(FIND('112'!$M$9,G4329,1)&gt;=1,B4329='112'!$K$9,OR($N4329='112'!$I$6,$O4329='112'!$I$6))),"x",""))</f>
        <v/>
      </c>
      <c r="U4329" s="79" t="str">
        <f>IF(ISERROR(FIND('112'!$M$9,G4329,1)),"",IF((AND(LEFT(G4329,2)=LEFT('112'!$M$9,2),B4329&lt;'112'!$K$9,$N4329='112'!$I$6)),"x",""))</f>
        <v/>
      </c>
      <c r="V4329" s="79" t="str">
        <f>IF(ISERROR(FIND('112'!$M$9,G4329,1)),"",IF((AND(RIGHT(G4329,2)=RIGHT('112'!$M$9,2),B4329&lt;'112'!$K$9,$O4329='112'!$I$6)),"x",""))</f>
        <v/>
      </c>
      <c r="W4329" s="79" t="str">
        <f>IF(AND('341-CT'!$H$9=H4329,OR(LEFT(N4329,3)=$W$7,LEFT(O4329,3)=$W$7)),"x","")</f>
        <v/>
      </c>
      <c r="X4329" s="79" t="str">
        <f>IF(OR(TH!N4329=TH!$X$7,O4329=TH!$X$7),"x","")</f>
        <v/>
      </c>
      <c r="Y4329" s="79" t="str">
        <f>IF(AND(OR(N4329="131",O4329="131"),H4329='131-CT'!$H$9),"x","")</f>
        <v/>
      </c>
      <c r="Z4329" s="79"/>
      <c r="AA4329" s="79" t="str">
        <f>IF(AND(MONTH(E4329)='IN-NX'!$J$5,'IN-NX'!$D$7=D4329),"x","")</f>
        <v/>
      </c>
      <c r="AB4329" s="79" t="str">
        <f>IF(AND(OR(LEFT(TH!N4329,2)="15",LEFT(TH!O4329,2)="15"),LEFT(TH!O4329,3)&lt;&gt;"111",'152-CT'!$J$8=TH!F4329),"x","")</f>
        <v/>
      </c>
      <c r="AC4329" s="79" t="str">
        <f>IF(AND(OR(LEFT(TH!N4329,2)="15",LEFT(TH!O4329,2)="15"),TK!$E$7=TH!F4329),"x","")</f>
        <v/>
      </c>
      <c r="AD4329" s="79" t="str">
        <f>IF(AND(N4329="1521",MONTH(C4329)='BK-NL'!$M$11),"x","")</f>
        <v/>
      </c>
    </row>
    <row r="4330" spans="1:30" ht="16.5" customHeight="1">
      <c r="A4330" s="318" t="str">
        <f>IF(B4330&lt;&gt;"",IF(AND(B4330='[3]IN-TC'!$S$4,OR([3]TH!N3561="1111",[3]TH!O3561="1111")),[3]TH!D3561,""),"")</f>
        <v/>
      </c>
      <c r="B4330" s="60" t="str">
        <f t="shared" si="471"/>
        <v/>
      </c>
      <c r="C4330" s="61"/>
      <c r="D4330" s="301"/>
      <c r="E4330" s="301"/>
      <c r="F4330" s="64"/>
      <c r="G4330" s="64"/>
      <c r="H4330" s="69"/>
      <c r="I4330" s="385"/>
      <c r="J4330" s="969"/>
      <c r="K4330" s="385"/>
      <c r="L4330" s="392"/>
      <c r="M4330" s="970"/>
      <c r="N4330" s="304"/>
      <c r="O4330" s="304"/>
      <c r="P4330" s="79" t="str">
        <f>IF(AND('331-CT'!$E$7=TH!H4330,OR(N4330="331",O4330="331")),"x","")</f>
        <v/>
      </c>
      <c r="Q4330" s="79" t="str">
        <f>IF(AND(B4330='111'!$L$11,OR($N4330=$Q$7,$O4330=$Q$7)),"x","")</f>
        <v/>
      </c>
      <c r="R4330" s="79" t="str">
        <f>IF(AND($N4330=$Q$7,$B4330&lt;'111'!$L$11),"x","")</f>
        <v/>
      </c>
      <c r="S4330" s="79" t="str">
        <f>IF(AND($O4330=$Q$7,$B4330&lt;'111'!$L$11),"x","")</f>
        <v/>
      </c>
      <c r="T4330" s="79" t="str">
        <f>IF(ISERROR(FIND('112'!$M$9,G4330,1)),"",IF((AND(FIND('112'!$M$9,G4330,1)&gt;=1,B4330='112'!$K$9,OR($N4330='112'!$I$6,$O4330='112'!$I$6))),"x",""))</f>
        <v/>
      </c>
      <c r="U4330" s="79" t="str">
        <f>IF(ISERROR(FIND('112'!$M$9,G4330,1)),"",IF((AND(LEFT(G4330,2)=LEFT('112'!$M$9,2),B4330&lt;'112'!$K$9,$N4330='112'!$I$6)),"x",""))</f>
        <v/>
      </c>
      <c r="V4330" s="79" t="str">
        <f>IF(ISERROR(FIND('112'!$M$9,G4330,1)),"",IF((AND(RIGHT(G4330,2)=RIGHT('112'!$M$9,2),B4330&lt;'112'!$K$9,$O4330='112'!$I$6)),"x",""))</f>
        <v/>
      </c>
      <c r="W4330" s="79" t="str">
        <f>IF(AND('341-CT'!$H$9=H4330,OR(LEFT(N4330,3)=$W$7,LEFT(O4330,3)=$W$7)),"x","")</f>
        <v/>
      </c>
      <c r="X4330" s="79" t="str">
        <f>IF(OR(TH!N4330=TH!$X$7,O4330=TH!$X$7),"x","")</f>
        <v/>
      </c>
      <c r="Y4330" s="79" t="str">
        <f>IF(AND(OR(N4330="131",O4330="131"),H4330='131-CT'!$H$9),"x","")</f>
        <v/>
      </c>
      <c r="Z4330" s="79"/>
      <c r="AA4330" s="79" t="str">
        <f>IF(AND(MONTH(E4330)='IN-NX'!$J$5,'IN-NX'!$D$7=D4330),"x","")</f>
        <v/>
      </c>
      <c r="AB4330" s="79" t="str">
        <f>IF(AND(OR(LEFT(TH!N4330,2)="15",LEFT(TH!O4330,2)="15"),LEFT(TH!O4330,3)&lt;&gt;"111",'152-CT'!$J$8=TH!F4330),"x","")</f>
        <v/>
      </c>
      <c r="AC4330" s="79" t="str">
        <f>IF(AND(OR(LEFT(TH!N4330,2)="15",LEFT(TH!O4330,2)="15"),TK!$E$7=TH!F4330),"x","")</f>
        <v/>
      </c>
      <c r="AD4330" s="79" t="str">
        <f>IF(AND(N4330="1521",MONTH(C4330)='BK-NL'!$M$11),"x","")</f>
        <v/>
      </c>
    </row>
    <row r="4331" spans="1:30" ht="16.5" customHeight="1">
      <c r="A4331" s="318" t="str">
        <f>IF(B4331&lt;&gt;"",IF(AND(B4331='[3]IN-TC'!$S$4,OR([3]TH!N3562="1111",[3]TH!O3562="1111")),[3]TH!D3562,""),"")</f>
        <v/>
      </c>
      <c r="B4331" s="60" t="str">
        <f t="shared" si="471"/>
        <v/>
      </c>
      <c r="C4331" s="61"/>
      <c r="D4331" s="301"/>
      <c r="E4331" s="301"/>
      <c r="F4331" s="302"/>
      <c r="G4331" s="988"/>
      <c r="H4331" s="69"/>
      <c r="I4331" s="385"/>
      <c r="J4331" s="969"/>
      <c r="K4331" s="385"/>
      <c r="L4331" s="392"/>
      <c r="M4331" s="970"/>
      <c r="N4331" s="304"/>
      <c r="O4331" s="304"/>
      <c r="P4331" s="79" t="str">
        <f>IF(AND('331-CT'!$E$7=TH!H4331,OR(N4331="331",O4331="331")),"x","")</f>
        <v/>
      </c>
      <c r="Q4331" s="79" t="str">
        <f>IF(AND(B4331='111'!$L$11,OR($N4331=$Q$7,$O4331=$Q$7)),"x","")</f>
        <v/>
      </c>
      <c r="R4331" s="79" t="str">
        <f>IF(AND($N4331=$Q$7,$B4331&lt;'111'!$L$11),"x","")</f>
        <v/>
      </c>
      <c r="S4331" s="79" t="str">
        <f>IF(AND($O4331=$Q$7,$B4331&lt;'111'!$L$11),"x","")</f>
        <v/>
      </c>
      <c r="T4331" s="79" t="str">
        <f>IF(ISERROR(FIND('112'!$M$9,G4331,1)),"",IF((AND(FIND('112'!$M$9,G4331,1)&gt;=1,B4331='112'!$K$9,OR($N4331='112'!$I$6,$O4331='112'!$I$6))),"x",""))</f>
        <v/>
      </c>
      <c r="U4331" s="79" t="str">
        <f>IF(ISERROR(FIND('112'!$M$9,G4331,1)),"",IF((AND(LEFT(G4331,2)=LEFT('112'!$M$9,2),B4331&lt;'112'!$K$9,$N4331='112'!$I$6)),"x",""))</f>
        <v/>
      </c>
      <c r="V4331" s="79" t="str">
        <f>IF(ISERROR(FIND('112'!$M$9,G4331,1)),"",IF((AND(RIGHT(G4331,2)=RIGHT('112'!$M$9,2),B4331&lt;'112'!$K$9,$O4331='112'!$I$6)),"x",""))</f>
        <v/>
      </c>
      <c r="W4331" s="79" t="str">
        <f>IF(AND('341-CT'!$H$9=H4331,OR(LEFT(N4331,3)=$W$7,LEFT(O4331,3)=$W$7)),"x","")</f>
        <v/>
      </c>
      <c r="X4331" s="79" t="str">
        <f>IF(OR(TH!N4331=TH!$X$7,O4331=TH!$X$7),"x","")</f>
        <v/>
      </c>
      <c r="Y4331" s="79" t="str">
        <f>IF(AND(OR(N4331="131",O4331="131"),H4331='131-CT'!$H$9),"x","")</f>
        <v/>
      </c>
      <c r="Z4331" s="79"/>
      <c r="AA4331" s="79" t="str">
        <f>IF(AND(MONTH(E4331)='IN-NX'!$J$5,'IN-NX'!$D$7=D4331),"x","")</f>
        <v/>
      </c>
      <c r="AB4331" s="79" t="str">
        <f>IF(AND(OR(LEFT(TH!N4331,2)="15",LEFT(TH!O4331,2)="15"),LEFT(TH!O4331,3)&lt;&gt;"111",'152-CT'!$J$8=TH!F4331),"x","")</f>
        <v/>
      </c>
      <c r="AC4331" s="79" t="str">
        <f>IF(AND(OR(LEFT(TH!N4331,2)="15",LEFT(TH!O4331,2)="15"),TK!$E$7=TH!F4331),"x","")</f>
        <v/>
      </c>
      <c r="AD4331" s="79" t="str">
        <f>IF(AND(N4331="1521",MONTH(C4331)='BK-NL'!$M$11),"x","")</f>
        <v/>
      </c>
    </row>
    <row r="4332" spans="1:30" ht="16.5" customHeight="1">
      <c r="A4332" s="318" t="str">
        <f>IF(B4332&lt;&gt;"",IF(AND(B4332='[3]IN-TC'!$S$4,OR([3]TH!N3563="1111",[3]TH!O3563="1111")),[3]TH!D3563,""),"")</f>
        <v/>
      </c>
      <c r="B4332" s="60" t="str">
        <f t="shared" si="471"/>
        <v/>
      </c>
      <c r="C4332" s="61"/>
      <c r="D4332" s="301"/>
      <c r="E4332" s="301"/>
      <c r="F4332" s="302"/>
      <c r="G4332" s="988"/>
      <c r="H4332" s="69"/>
      <c r="I4332" s="385"/>
      <c r="J4332" s="969"/>
      <c r="K4332" s="385"/>
      <c r="L4332" s="392"/>
      <c r="M4332" s="970"/>
      <c r="N4332" s="304"/>
      <c r="O4332" s="304"/>
      <c r="P4332" s="79" t="str">
        <f>IF(AND('331-CT'!$E$7=TH!H4332,OR(N4332="331",O4332="331")),"x","")</f>
        <v/>
      </c>
      <c r="Q4332" s="79" t="str">
        <f>IF(AND(B4332='111'!$L$11,OR($N4332=$Q$7,$O4332=$Q$7)),"x","")</f>
        <v/>
      </c>
      <c r="R4332" s="79" t="str">
        <f>IF(AND($N4332=$Q$7,$B4332&lt;'111'!$L$11),"x","")</f>
        <v/>
      </c>
      <c r="S4332" s="79" t="str">
        <f>IF(AND($O4332=$Q$7,$B4332&lt;'111'!$L$11),"x","")</f>
        <v/>
      </c>
      <c r="T4332" s="79" t="str">
        <f>IF(ISERROR(FIND('112'!$M$9,G4332,1)),"",IF((AND(FIND('112'!$M$9,G4332,1)&gt;=1,B4332='112'!$K$9,OR($N4332='112'!$I$6,$O4332='112'!$I$6))),"x",""))</f>
        <v/>
      </c>
      <c r="U4332" s="79" t="str">
        <f>IF(ISERROR(FIND('112'!$M$9,G4332,1)),"",IF((AND(LEFT(G4332,2)=LEFT('112'!$M$9,2),B4332&lt;'112'!$K$9,$N4332='112'!$I$6)),"x",""))</f>
        <v/>
      </c>
      <c r="V4332" s="79" t="str">
        <f>IF(ISERROR(FIND('112'!$M$9,G4332,1)),"",IF((AND(RIGHT(G4332,2)=RIGHT('112'!$M$9,2),B4332&lt;'112'!$K$9,$O4332='112'!$I$6)),"x",""))</f>
        <v/>
      </c>
      <c r="W4332" s="79" t="str">
        <f>IF(AND('341-CT'!$H$9=H4332,OR(LEFT(N4332,3)=$W$7,LEFT(O4332,3)=$W$7)),"x","")</f>
        <v/>
      </c>
      <c r="X4332" s="79" t="str">
        <f>IF(OR(TH!N4332=TH!$X$7,O4332=TH!$X$7),"x","")</f>
        <v/>
      </c>
      <c r="Y4332" s="79" t="str">
        <f>IF(AND(OR(N4332="131",O4332="131"),H4332='131-CT'!$H$9),"x","")</f>
        <v/>
      </c>
      <c r="Z4332" s="79"/>
      <c r="AA4332" s="79" t="str">
        <f>IF(AND(MONTH(E4332)='IN-NX'!$J$5,'IN-NX'!$D$7=D4332),"x","")</f>
        <v/>
      </c>
      <c r="AB4332" s="79" t="str">
        <f>IF(AND(OR(LEFT(TH!N4332,2)="15",LEFT(TH!O4332,2)="15"),LEFT(TH!O4332,3)&lt;&gt;"111",'152-CT'!$J$8=TH!F4332),"x","")</f>
        <v/>
      </c>
      <c r="AC4332" s="79" t="str">
        <f>IF(AND(OR(LEFT(TH!N4332,2)="15",LEFT(TH!O4332,2)="15"),TK!$E$7=TH!F4332),"x","")</f>
        <v/>
      </c>
      <c r="AD4332" s="79" t="str">
        <f>IF(AND(N4332="1521",MONTH(C4332)='BK-NL'!$M$11),"x","")</f>
        <v/>
      </c>
    </row>
    <row r="4333" spans="1:30" ht="16.5" customHeight="1">
      <c r="A4333" s="318" t="str">
        <f>IF(B4333&lt;&gt;"",IF(AND(B4333='[3]IN-TC'!$S$4,OR([3]TH!N3564="1111",[3]TH!O3564="1111")),[3]TH!D3564,""),"")</f>
        <v/>
      </c>
      <c r="B4333" s="60" t="str">
        <f t="shared" si="471"/>
        <v/>
      </c>
      <c r="C4333" s="301"/>
      <c r="D4333" s="301"/>
      <c r="E4333" s="301"/>
      <c r="F4333" s="302"/>
      <c r="G4333" s="988"/>
      <c r="H4333" s="69"/>
      <c r="I4333" s="385"/>
      <c r="J4333" s="969"/>
      <c r="K4333" s="385"/>
      <c r="L4333" s="392"/>
      <c r="M4333" s="970"/>
      <c r="N4333" s="304"/>
      <c r="O4333" s="304"/>
      <c r="P4333" s="79" t="str">
        <f>IF(AND('331-CT'!$E$7=TH!H4333,OR(N4333="331",O4333="331")),"x","")</f>
        <v/>
      </c>
      <c r="Q4333" s="79" t="str">
        <f>IF(AND(B4333='111'!$L$11,OR($N4333=$Q$7,$O4333=$Q$7)),"x","")</f>
        <v/>
      </c>
      <c r="R4333" s="79" t="str">
        <f>IF(AND($N4333=$Q$7,$B4333&lt;'111'!$L$11),"x","")</f>
        <v/>
      </c>
      <c r="S4333" s="79" t="str">
        <f>IF(AND($O4333=$Q$7,$B4333&lt;'111'!$L$11),"x","")</f>
        <v/>
      </c>
      <c r="T4333" s="79" t="str">
        <f>IF(ISERROR(FIND('112'!$M$9,G4333,1)),"",IF((AND(FIND('112'!$M$9,G4333,1)&gt;=1,B4333='112'!$K$9,OR($N4333='112'!$I$6,$O4333='112'!$I$6))),"x",""))</f>
        <v/>
      </c>
      <c r="U4333" s="79" t="str">
        <f>IF(ISERROR(FIND('112'!$M$9,G4333,1)),"",IF((AND(LEFT(G4333,2)=LEFT('112'!$M$9,2),B4333&lt;'112'!$K$9,$N4333='112'!$I$6)),"x",""))</f>
        <v/>
      </c>
      <c r="V4333" s="79" t="str">
        <f>IF(ISERROR(FIND('112'!$M$9,G4333,1)),"",IF((AND(RIGHT(G4333,2)=RIGHT('112'!$M$9,2),B4333&lt;'112'!$K$9,$O4333='112'!$I$6)),"x",""))</f>
        <v/>
      </c>
      <c r="W4333" s="79" t="str">
        <f>IF(AND('341-CT'!$H$9=H4333,OR(LEFT(N4333,3)=$W$7,LEFT(O4333,3)=$W$7)),"x","")</f>
        <v/>
      </c>
      <c r="X4333" s="79" t="str">
        <f>IF(OR(TH!N4333=TH!$X$7,O4333=TH!$X$7),"x","")</f>
        <v/>
      </c>
      <c r="Y4333" s="79" t="str">
        <f>IF(AND(OR(N4333="131",O4333="131"),H4333='131-CT'!$H$9),"x","")</f>
        <v/>
      </c>
      <c r="Z4333" s="79"/>
      <c r="AA4333" s="79" t="str">
        <f>IF(AND(MONTH(E4333)='IN-NX'!$J$5,'IN-NX'!$D$7=D4333),"x","")</f>
        <v/>
      </c>
      <c r="AB4333" s="79" t="str">
        <f>IF(AND(OR(LEFT(TH!N4333,2)="15",LEFT(TH!O4333,2)="15"),LEFT(TH!O4333,3)&lt;&gt;"111",'152-CT'!$J$8=TH!F4333),"x","")</f>
        <v/>
      </c>
      <c r="AC4333" s="79" t="str">
        <f>IF(AND(OR(LEFT(TH!N4333,2)="15",LEFT(TH!O4333,2)="15"),TK!$E$7=TH!F4333),"x","")</f>
        <v/>
      </c>
      <c r="AD4333" s="79" t="str">
        <f>IF(AND(N4333="1521",MONTH(C4333)='BK-NL'!$M$11),"x","")</f>
        <v/>
      </c>
    </row>
    <row r="4334" spans="1:30" ht="16.5" customHeight="1">
      <c r="A4334" s="318" t="str">
        <f>IF(B4334&lt;&gt;"",IF(AND(B4334='[3]IN-TC'!$S$4,OR([3]TH!N3565="1111",[3]TH!O3565="1111")),[3]TH!D3565,""),"")</f>
        <v/>
      </c>
      <c r="B4334" s="60" t="str">
        <f t="shared" si="471"/>
        <v/>
      </c>
      <c r="C4334" s="301"/>
      <c r="D4334" s="301"/>
      <c r="E4334" s="301"/>
      <c r="F4334" s="302"/>
      <c r="G4334" s="988"/>
      <c r="H4334" s="69"/>
      <c r="I4334" s="385"/>
      <c r="J4334" s="969"/>
      <c r="K4334" s="385"/>
      <c r="L4334" s="392"/>
      <c r="M4334" s="970"/>
      <c r="N4334" s="304"/>
      <c r="O4334" s="304"/>
      <c r="P4334" s="79" t="str">
        <f>IF(AND('331-CT'!$E$7=TH!H4334,OR(N4334="331",O4334="331")),"x","")</f>
        <v/>
      </c>
      <c r="Q4334" s="79" t="str">
        <f>IF(AND(B4334='111'!$L$11,OR($N4334=$Q$7,$O4334=$Q$7)),"x","")</f>
        <v/>
      </c>
      <c r="R4334" s="79" t="str">
        <f>IF(AND($N4334=$Q$7,$B4334&lt;'111'!$L$11),"x","")</f>
        <v/>
      </c>
      <c r="S4334" s="79" t="str">
        <f>IF(AND($O4334=$Q$7,$B4334&lt;'111'!$L$11),"x","")</f>
        <v/>
      </c>
      <c r="T4334" s="79" t="str">
        <f>IF(ISERROR(FIND('112'!$M$9,G4334,1)),"",IF((AND(FIND('112'!$M$9,G4334,1)&gt;=1,B4334='112'!$K$9,OR($N4334='112'!$I$6,$O4334='112'!$I$6))),"x",""))</f>
        <v/>
      </c>
      <c r="U4334" s="79" t="str">
        <f>IF(ISERROR(FIND('112'!$M$9,G4334,1)),"",IF((AND(LEFT(G4334,2)=LEFT('112'!$M$9,2),B4334&lt;'112'!$K$9,$N4334='112'!$I$6)),"x",""))</f>
        <v/>
      </c>
      <c r="V4334" s="79" t="str">
        <f>IF(ISERROR(FIND('112'!$M$9,G4334,1)),"",IF((AND(RIGHT(G4334,2)=RIGHT('112'!$M$9,2),B4334&lt;'112'!$K$9,$O4334='112'!$I$6)),"x",""))</f>
        <v/>
      </c>
      <c r="W4334" s="79" t="str">
        <f>IF(AND('341-CT'!$H$9=H4334,OR(LEFT(N4334,3)=$W$7,LEFT(O4334,3)=$W$7)),"x","")</f>
        <v/>
      </c>
      <c r="X4334" s="79" t="str">
        <f>IF(OR(TH!N4334=TH!$X$7,O4334=TH!$X$7),"x","")</f>
        <v/>
      </c>
      <c r="Y4334" s="79" t="str">
        <f>IF(AND(OR(N4334="131",O4334="131"),H4334='131-CT'!$H$9),"x","")</f>
        <v/>
      </c>
      <c r="Z4334" s="79"/>
      <c r="AA4334" s="79" t="str">
        <f>IF(AND(MONTH(E4334)='IN-NX'!$J$5,'IN-NX'!$D$7=D4334),"x","")</f>
        <v/>
      </c>
      <c r="AB4334" s="79" t="str">
        <f>IF(AND(OR(LEFT(TH!N4334,2)="15",LEFT(TH!O4334,2)="15"),LEFT(TH!O4334,3)&lt;&gt;"111",'152-CT'!$J$8=TH!F4334),"x","")</f>
        <v/>
      </c>
      <c r="AC4334" s="79" t="str">
        <f>IF(AND(OR(LEFT(TH!N4334,2)="15",LEFT(TH!O4334,2)="15"),TK!$E$7=TH!F4334),"x","")</f>
        <v/>
      </c>
      <c r="AD4334" s="79" t="str">
        <f>IF(AND(N4334="1521",MONTH(C4334)='BK-NL'!$M$11),"x","")</f>
        <v/>
      </c>
    </row>
    <row r="4335" spans="1:30" ht="16.5" customHeight="1">
      <c r="A4335" s="318" t="str">
        <f>IF(B4335&lt;&gt;"",IF(AND(B4335='[3]IN-TC'!$S$4,OR([3]TH!N3566="1111",[3]TH!O3566="1111")),[3]TH!D3566,""),"")</f>
        <v/>
      </c>
      <c r="B4335" s="60" t="str">
        <f t="shared" si="471"/>
        <v/>
      </c>
      <c r="C4335" s="61"/>
      <c r="D4335" s="301"/>
      <c r="E4335" s="301"/>
      <c r="F4335" s="64"/>
      <c r="G4335" s="988"/>
      <c r="H4335" s="69"/>
      <c r="I4335" s="385"/>
      <c r="J4335" s="969"/>
      <c r="K4335" s="385"/>
      <c r="L4335" s="392"/>
      <c r="M4335" s="970"/>
      <c r="N4335" s="304"/>
      <c r="O4335" s="304"/>
      <c r="P4335" s="79" t="str">
        <f>IF(AND('331-CT'!$E$7=TH!H4335,OR(N4335="331",O4335="331")),"x","")</f>
        <v/>
      </c>
      <c r="Q4335" s="79" t="str">
        <f>IF(AND(B4335='111'!$L$11,OR($N4335=$Q$7,$O4335=$Q$7)),"x","")</f>
        <v/>
      </c>
      <c r="R4335" s="79" t="str">
        <f>IF(AND($N4335=$Q$7,$B4335&lt;'111'!$L$11),"x","")</f>
        <v/>
      </c>
      <c r="S4335" s="79" t="str">
        <f>IF(AND($O4335=$Q$7,$B4335&lt;'111'!$L$11),"x","")</f>
        <v/>
      </c>
      <c r="T4335" s="79" t="str">
        <f>IF(ISERROR(FIND('112'!$M$9,G4335,1)),"",IF((AND(FIND('112'!$M$9,G4335,1)&gt;=1,B4335='112'!$K$9,OR($N4335='112'!$I$6,$O4335='112'!$I$6))),"x",""))</f>
        <v/>
      </c>
      <c r="U4335" s="79" t="str">
        <f>IF(ISERROR(FIND('112'!$M$9,G4335,1)),"",IF((AND(LEFT(G4335,2)=LEFT('112'!$M$9,2),B4335&lt;'112'!$K$9,$N4335='112'!$I$6)),"x",""))</f>
        <v/>
      </c>
      <c r="V4335" s="79" t="str">
        <f>IF(ISERROR(FIND('112'!$M$9,G4335,1)),"",IF((AND(RIGHT(G4335,2)=RIGHT('112'!$M$9,2),B4335&lt;'112'!$K$9,$O4335='112'!$I$6)),"x",""))</f>
        <v/>
      </c>
      <c r="W4335" s="79" t="str">
        <f>IF(AND('341-CT'!$H$9=H4335,OR(LEFT(N4335,3)=$W$7,LEFT(O4335,3)=$W$7)),"x","")</f>
        <v/>
      </c>
      <c r="X4335" s="79" t="str">
        <f>IF(OR(TH!N4335=TH!$X$7,O4335=TH!$X$7),"x","")</f>
        <v/>
      </c>
      <c r="Y4335" s="79" t="str">
        <f>IF(AND(OR(N4335="131",O4335="131"),H4335='131-CT'!$H$9),"x","")</f>
        <v/>
      </c>
      <c r="Z4335" s="79"/>
      <c r="AA4335" s="79" t="str">
        <f>IF(AND(MONTH(E4335)='IN-NX'!$J$5,'IN-NX'!$D$7=D4335),"x","")</f>
        <v/>
      </c>
      <c r="AB4335" s="79" t="str">
        <f>IF(AND(OR(LEFT(TH!N4335,2)="15",LEFT(TH!O4335,2)="15"),LEFT(TH!O4335,3)&lt;&gt;"111",'152-CT'!$J$8=TH!F4335),"x","")</f>
        <v/>
      </c>
      <c r="AC4335" s="79" t="str">
        <f>IF(AND(OR(LEFT(TH!N4335,2)="15",LEFT(TH!O4335,2)="15"),TK!$E$7=TH!F4335),"x","")</f>
        <v/>
      </c>
      <c r="AD4335" s="79" t="str">
        <f>IF(AND(N4335="1521",MONTH(C4335)='BK-NL'!$M$11),"x","")</f>
        <v/>
      </c>
    </row>
    <row r="4336" spans="1:30" ht="16.5" customHeight="1">
      <c r="A4336" s="318" t="str">
        <f>IF(B4336&lt;&gt;"",IF(AND(B4336='[3]IN-TC'!$S$4,OR([3]TH!N3567="1111",[3]TH!O3567="1111")),[3]TH!D3567,""),"")</f>
        <v/>
      </c>
      <c r="B4336" s="60" t="str">
        <f t="shared" si="471"/>
        <v/>
      </c>
      <c r="C4336" s="61"/>
      <c r="D4336" s="301"/>
      <c r="E4336" s="301"/>
      <c r="F4336" s="64"/>
      <c r="G4336" s="988"/>
      <c r="H4336" s="69"/>
      <c r="I4336" s="385"/>
      <c r="J4336" s="969"/>
      <c r="K4336" s="385"/>
      <c r="L4336" s="392"/>
      <c r="M4336" s="970"/>
      <c r="N4336" s="304"/>
      <c r="O4336" s="304"/>
      <c r="P4336" s="79" t="str">
        <f>IF(AND('331-CT'!$E$7=TH!H4336,OR(N4336="331",O4336="331")),"x","")</f>
        <v/>
      </c>
      <c r="Q4336" s="79" t="str">
        <f>IF(AND(B4336='111'!$L$11,OR($N4336=$Q$7,$O4336=$Q$7)),"x","")</f>
        <v/>
      </c>
      <c r="R4336" s="79" t="str">
        <f>IF(AND($N4336=$Q$7,$B4336&lt;'111'!$L$11),"x","")</f>
        <v/>
      </c>
      <c r="S4336" s="79" t="str">
        <f>IF(AND($O4336=$Q$7,$B4336&lt;'111'!$L$11),"x","")</f>
        <v/>
      </c>
      <c r="T4336" s="79" t="str">
        <f>IF(ISERROR(FIND('112'!$M$9,G4336,1)),"",IF((AND(FIND('112'!$M$9,G4336,1)&gt;=1,B4336='112'!$K$9,OR($N4336='112'!$I$6,$O4336='112'!$I$6))),"x",""))</f>
        <v/>
      </c>
      <c r="U4336" s="79" t="str">
        <f>IF(ISERROR(FIND('112'!$M$9,G4336,1)),"",IF((AND(LEFT(G4336,2)=LEFT('112'!$M$9,2),B4336&lt;'112'!$K$9,$N4336='112'!$I$6)),"x",""))</f>
        <v/>
      </c>
      <c r="V4336" s="79" t="str">
        <f>IF(ISERROR(FIND('112'!$M$9,G4336,1)),"",IF((AND(RIGHT(G4336,2)=RIGHT('112'!$M$9,2),B4336&lt;'112'!$K$9,$O4336='112'!$I$6)),"x",""))</f>
        <v/>
      </c>
      <c r="W4336" s="79" t="str">
        <f>IF(AND('341-CT'!$H$9=H4336,OR(LEFT(N4336,3)=$W$7,LEFT(O4336,3)=$W$7)),"x","")</f>
        <v/>
      </c>
      <c r="X4336" s="79" t="str">
        <f>IF(OR(TH!N4336=TH!$X$7,O4336=TH!$X$7),"x","")</f>
        <v/>
      </c>
      <c r="Y4336" s="79" t="str">
        <f>IF(AND(OR(N4336="131",O4336="131"),H4336='131-CT'!$H$9),"x","")</f>
        <v/>
      </c>
      <c r="Z4336" s="79"/>
      <c r="AA4336" s="79" t="str">
        <f>IF(AND(MONTH(E4336)='IN-NX'!$J$5,'IN-NX'!$D$7=D4336),"x","")</f>
        <v/>
      </c>
      <c r="AB4336" s="79" t="str">
        <f>IF(AND(OR(LEFT(TH!N4336,2)="15",LEFT(TH!O4336,2)="15"),LEFT(TH!O4336,3)&lt;&gt;"111",'152-CT'!$J$8=TH!F4336),"x","")</f>
        <v/>
      </c>
      <c r="AC4336" s="79" t="str">
        <f>IF(AND(OR(LEFT(TH!N4336,2)="15",LEFT(TH!O4336,2)="15"),TK!$E$7=TH!F4336),"x","")</f>
        <v/>
      </c>
      <c r="AD4336" s="79" t="str">
        <f>IF(AND(N4336="1521",MONTH(C4336)='BK-NL'!$M$11),"x","")</f>
        <v/>
      </c>
    </row>
    <row r="4337" spans="1:30" ht="16.5" customHeight="1">
      <c r="A4337" s="318" t="str">
        <f>IF(B4337&lt;&gt;"",IF(AND(B4337='[3]IN-TC'!$S$4,OR([3]TH!N3568="1111",[3]TH!O3568="1111")),[3]TH!D3568,""),"")</f>
        <v/>
      </c>
      <c r="B4337" s="60" t="str">
        <f t="shared" si="471"/>
        <v/>
      </c>
      <c r="C4337" s="61"/>
      <c r="D4337" s="301"/>
      <c r="E4337" s="301"/>
      <c r="F4337" s="64"/>
      <c r="G4337" s="988"/>
      <c r="H4337" s="69"/>
      <c r="I4337" s="385"/>
      <c r="J4337" s="969"/>
      <c r="K4337" s="385"/>
      <c r="L4337" s="392"/>
      <c r="M4337" s="970"/>
      <c r="N4337" s="304"/>
      <c r="O4337" s="304"/>
      <c r="P4337" s="79" t="str">
        <f>IF(AND('331-CT'!$E$7=TH!H4337,OR(N4337="331",O4337="331")),"x","")</f>
        <v/>
      </c>
      <c r="Q4337" s="79" t="str">
        <f>IF(AND(B4337='111'!$L$11,OR($N4337=$Q$7,$O4337=$Q$7)),"x","")</f>
        <v/>
      </c>
      <c r="R4337" s="79" t="str">
        <f>IF(AND($N4337=$Q$7,$B4337&lt;'111'!$L$11),"x","")</f>
        <v/>
      </c>
      <c r="S4337" s="79" t="str">
        <f>IF(AND($O4337=$Q$7,$B4337&lt;'111'!$L$11),"x","")</f>
        <v/>
      </c>
      <c r="T4337" s="79" t="str">
        <f>IF(ISERROR(FIND('112'!$M$9,G4337,1)),"",IF((AND(FIND('112'!$M$9,G4337,1)&gt;=1,B4337='112'!$K$9,OR($N4337='112'!$I$6,$O4337='112'!$I$6))),"x",""))</f>
        <v/>
      </c>
      <c r="U4337" s="79" t="str">
        <f>IF(ISERROR(FIND('112'!$M$9,G4337,1)),"",IF((AND(LEFT(G4337,2)=LEFT('112'!$M$9,2),B4337&lt;'112'!$K$9,$N4337='112'!$I$6)),"x",""))</f>
        <v/>
      </c>
      <c r="V4337" s="79" t="str">
        <f>IF(ISERROR(FIND('112'!$M$9,G4337,1)),"",IF((AND(RIGHT(G4337,2)=RIGHT('112'!$M$9,2),B4337&lt;'112'!$K$9,$O4337='112'!$I$6)),"x",""))</f>
        <v/>
      </c>
      <c r="W4337" s="79" t="str">
        <f>IF(AND('341-CT'!$H$9=H4337,OR(LEFT(N4337,3)=$W$7,LEFT(O4337,3)=$W$7)),"x","")</f>
        <v/>
      </c>
      <c r="X4337" s="79" t="str">
        <f>IF(OR(TH!N4337=TH!$X$7,O4337=TH!$X$7),"x","")</f>
        <v/>
      </c>
      <c r="Y4337" s="79" t="str">
        <f>IF(AND(OR(N4337="131",O4337="131"),H4337='131-CT'!$H$9),"x","")</f>
        <v/>
      </c>
      <c r="Z4337" s="79"/>
      <c r="AA4337" s="79" t="str">
        <f>IF(AND(MONTH(E4337)='IN-NX'!$J$5,'IN-NX'!$D$7=D4337),"x","")</f>
        <v/>
      </c>
      <c r="AB4337" s="79" t="str">
        <f>IF(AND(OR(LEFT(TH!N4337,2)="15",LEFT(TH!O4337,2)="15"),LEFT(TH!O4337,3)&lt;&gt;"111",'152-CT'!$J$8=TH!F4337),"x","")</f>
        <v/>
      </c>
      <c r="AC4337" s="79" t="str">
        <f>IF(AND(OR(LEFT(TH!N4337,2)="15",LEFT(TH!O4337,2)="15"),TK!$E$7=TH!F4337),"x","")</f>
        <v/>
      </c>
      <c r="AD4337" s="79" t="str">
        <f>IF(AND(N4337="1521",MONTH(C4337)='BK-NL'!$M$11),"x","")</f>
        <v/>
      </c>
    </row>
    <row r="4338" spans="1:30" ht="16.5" customHeight="1">
      <c r="A4338" s="318" t="str">
        <f>IF(B4338&lt;&gt;"",IF(AND(B4338='[3]IN-TC'!$S$4,OR([3]TH!N3569="1111",[3]TH!O3569="1111")),[3]TH!D3569,""),"")</f>
        <v/>
      </c>
      <c r="B4338" s="60" t="str">
        <f t="shared" si="471"/>
        <v/>
      </c>
      <c r="C4338" s="301"/>
      <c r="D4338" s="301"/>
      <c r="E4338" s="301"/>
      <c r="F4338" s="302"/>
      <c r="G4338" s="988"/>
      <c r="H4338" s="1012"/>
      <c r="I4338" s="385"/>
      <c r="J4338" s="969"/>
      <c r="K4338" s="385"/>
      <c r="L4338" s="392"/>
      <c r="M4338" s="970"/>
      <c r="N4338" s="304"/>
      <c r="O4338" s="304"/>
      <c r="P4338" s="79" t="str">
        <f>IF(AND('331-CT'!$E$7=TH!H4338,OR(N4338="331",O4338="331")),"x","")</f>
        <v/>
      </c>
      <c r="Q4338" s="79" t="str">
        <f>IF(AND(B4338='111'!$L$11,OR($N4338=$Q$7,$O4338=$Q$7)),"x","")</f>
        <v/>
      </c>
      <c r="R4338" s="79" t="str">
        <f>IF(AND($N4338=$Q$7,$B4338&lt;'111'!$L$11),"x","")</f>
        <v/>
      </c>
      <c r="S4338" s="79" t="str">
        <f>IF(AND($O4338=$Q$7,$B4338&lt;'111'!$L$11),"x","")</f>
        <v/>
      </c>
      <c r="T4338" s="79" t="str">
        <f>IF(ISERROR(FIND('112'!$M$9,G4338,1)),"",IF((AND(FIND('112'!$M$9,G4338,1)&gt;=1,B4338='112'!$K$9,OR($N4338='112'!$I$6,$O4338='112'!$I$6))),"x",""))</f>
        <v/>
      </c>
      <c r="U4338" s="79" t="str">
        <f>IF(ISERROR(FIND('112'!$M$9,G4338,1)),"",IF((AND(LEFT(G4338,2)=LEFT('112'!$M$9,2),B4338&lt;'112'!$K$9,$N4338='112'!$I$6)),"x",""))</f>
        <v/>
      </c>
      <c r="V4338" s="79" t="str">
        <f>IF(ISERROR(FIND('112'!$M$9,G4338,1)),"",IF((AND(RIGHT(G4338,2)=RIGHT('112'!$M$9,2),B4338&lt;'112'!$K$9,$O4338='112'!$I$6)),"x",""))</f>
        <v/>
      </c>
      <c r="W4338" s="79" t="str">
        <f>IF(AND('341-CT'!$H$9=H4338,OR(LEFT(N4338,3)=$W$7,LEFT(O4338,3)=$W$7)),"x","")</f>
        <v/>
      </c>
      <c r="X4338" s="79" t="str">
        <f>IF(OR(TH!N4338=TH!$X$7,O4338=TH!$X$7),"x","")</f>
        <v/>
      </c>
      <c r="Y4338" s="79" t="str">
        <f>IF(AND(OR(N4338="131",O4338="131"),H4338='131-CT'!$H$9),"x","")</f>
        <v/>
      </c>
      <c r="Z4338" s="79"/>
      <c r="AA4338" s="79" t="str">
        <f>IF(AND(MONTH(E4338)='IN-NX'!$J$5,'IN-NX'!$D$7=D4338),"x","")</f>
        <v/>
      </c>
      <c r="AB4338" s="79" t="str">
        <f>IF(AND(OR(LEFT(TH!N4338,2)="15",LEFT(TH!O4338,2)="15"),LEFT(TH!O4338,3)&lt;&gt;"111",'152-CT'!$J$8=TH!F4338),"x","")</f>
        <v/>
      </c>
      <c r="AC4338" s="79" t="str">
        <f>IF(AND(OR(LEFT(TH!N4338,2)="15",LEFT(TH!O4338,2)="15"),TK!$E$7=TH!F4338),"x","")</f>
        <v/>
      </c>
      <c r="AD4338" s="79" t="str">
        <f>IF(AND(N4338="1521",MONTH(C4338)='BK-NL'!$M$11),"x","")</f>
        <v/>
      </c>
    </row>
    <row r="4339" spans="1:30" ht="16.5" customHeight="1">
      <c r="A4339" s="318" t="str">
        <f>IF(B4339&lt;&gt;"",IF(AND(B4339='[3]IN-TC'!$S$4,OR([3]TH!N3570="1111",[3]TH!O3570="1111")),[3]TH!D3570,""),"")</f>
        <v/>
      </c>
      <c r="B4339" s="60" t="str">
        <f t="shared" si="471"/>
        <v/>
      </c>
      <c r="C4339" s="61"/>
      <c r="D4339" s="61"/>
      <c r="E4339" s="301"/>
      <c r="F4339" s="64"/>
      <c r="G4339" s="64"/>
      <c r="H4339" s="321"/>
      <c r="I4339" s="385"/>
      <c r="J4339" s="392"/>
      <c r="K4339" s="385"/>
      <c r="L4339" s="392"/>
      <c r="M4339" s="62"/>
      <c r="N4339" s="971"/>
      <c r="O4339" s="63"/>
      <c r="P4339" s="79" t="str">
        <f>IF(AND('331-CT'!$E$7=TH!H4339,OR(N4339="331",O4339="331")),"x","")</f>
        <v/>
      </c>
      <c r="Q4339" s="79" t="str">
        <f>IF(AND(B4339='111'!$L$11,OR($N4339=$Q$7,$O4339=$Q$7)),"x","")</f>
        <v/>
      </c>
      <c r="R4339" s="79" t="str">
        <f>IF(AND($N4339=$Q$7,$B4339&lt;'111'!$L$11),"x","")</f>
        <v/>
      </c>
      <c r="S4339" s="79" t="str">
        <f>IF(AND($O4339=$Q$7,$B4339&lt;'111'!$L$11),"x","")</f>
        <v/>
      </c>
      <c r="T4339" s="79" t="str">
        <f>IF(ISERROR(FIND('112'!$M$9,G4339,1)),"",IF((AND(FIND('112'!$M$9,G4339,1)&gt;=1,B4339='112'!$K$9,OR($N4339='112'!$I$6,$O4339='112'!$I$6))),"x",""))</f>
        <v/>
      </c>
      <c r="U4339" s="79" t="str">
        <f>IF(ISERROR(FIND('112'!$M$9,G4339,1)),"",IF((AND(LEFT(G4339,2)=LEFT('112'!$M$9,2),B4339&lt;'112'!$K$9,$N4339='112'!$I$6)),"x",""))</f>
        <v/>
      </c>
      <c r="V4339" s="79" t="str">
        <f>IF(ISERROR(FIND('112'!$M$9,G4339,1)),"",IF((AND(RIGHT(G4339,2)=RIGHT('112'!$M$9,2),B4339&lt;'112'!$K$9,$O4339='112'!$I$6)),"x",""))</f>
        <v/>
      </c>
      <c r="W4339" s="79" t="str">
        <f>IF(AND('341-CT'!$H$9=H4339,OR(LEFT(N4339,3)=$W$7,LEFT(O4339,3)=$W$7)),"x","")</f>
        <v/>
      </c>
      <c r="X4339" s="79" t="str">
        <f>IF(OR(TH!N4339=TH!$X$7,O4339=TH!$X$7),"x","")</f>
        <v/>
      </c>
      <c r="Y4339" s="79" t="str">
        <f>IF(AND(OR(N4339="131",O4339="131"),H4339='131-CT'!$H$9),"x","")</f>
        <v/>
      </c>
      <c r="Z4339" s="79"/>
      <c r="AA4339" s="79" t="str">
        <f>IF(AND(MONTH(E4339)='IN-NX'!$J$5,'IN-NX'!$D$7=D4339),"x","")</f>
        <v/>
      </c>
      <c r="AB4339" s="79" t="str">
        <f>IF(AND(OR(LEFT(TH!N4339,2)="15",LEFT(TH!O4339,2)="15"),LEFT(TH!O4339,3)&lt;&gt;"111",'152-CT'!$J$8=TH!F4339),"x","")</f>
        <v/>
      </c>
      <c r="AC4339" s="79" t="str">
        <f>IF(AND(OR(LEFT(TH!N4339,2)="15",LEFT(TH!O4339,2)="15"),TK!$E$7=TH!F4339),"x","")</f>
        <v/>
      </c>
      <c r="AD4339" s="79" t="str">
        <f>IF(AND(N4339="1521",MONTH(C4339)='BK-NL'!$M$11),"x","")</f>
        <v/>
      </c>
    </row>
    <row r="4340" spans="1:30" ht="16.5" customHeight="1">
      <c r="A4340" s="318" t="str">
        <f>IF(B4340&lt;&gt;"",IF(AND(B4340='[3]IN-TC'!$S$4,OR([3]TH!N3571="1111",[3]TH!O3571="1111")),[3]TH!D3571,""),"")</f>
        <v/>
      </c>
      <c r="B4340" s="60" t="str">
        <f t="shared" si="471"/>
        <v/>
      </c>
      <c r="C4340" s="61"/>
      <c r="D4340" s="61"/>
      <c r="E4340" s="301"/>
      <c r="F4340" s="64"/>
      <c r="G4340" s="64"/>
      <c r="H4340" s="321"/>
      <c r="I4340" s="385"/>
      <c r="J4340" s="392"/>
      <c r="K4340" s="385"/>
      <c r="L4340" s="392"/>
      <c r="M4340" s="62"/>
      <c r="N4340" s="971"/>
      <c r="O4340" s="63"/>
      <c r="P4340" s="79" t="str">
        <f>IF(AND('331-CT'!$E$7=TH!H4340,OR(N4340="331",O4340="331")),"x","")</f>
        <v/>
      </c>
      <c r="Q4340" s="79" t="str">
        <f>IF(AND(B4340='111'!$L$11,OR($N4340=$Q$7,$O4340=$Q$7)),"x","")</f>
        <v/>
      </c>
      <c r="R4340" s="79" t="str">
        <f>IF(AND($N4340=$Q$7,$B4340&lt;'111'!$L$11),"x","")</f>
        <v/>
      </c>
      <c r="S4340" s="79" t="str">
        <f>IF(AND($O4340=$Q$7,$B4340&lt;'111'!$L$11),"x","")</f>
        <v/>
      </c>
      <c r="T4340" s="79" t="str">
        <f>IF(ISERROR(FIND('112'!$M$9,G4340,1)),"",IF((AND(FIND('112'!$M$9,G4340,1)&gt;=1,B4340='112'!$K$9,OR($N4340='112'!$I$6,$O4340='112'!$I$6))),"x",""))</f>
        <v/>
      </c>
      <c r="U4340" s="79" t="str">
        <f>IF(ISERROR(FIND('112'!$M$9,G4340,1)),"",IF((AND(LEFT(G4340,2)=LEFT('112'!$M$9,2),B4340&lt;'112'!$K$9,$N4340='112'!$I$6)),"x",""))</f>
        <v/>
      </c>
      <c r="V4340" s="79" t="str">
        <f>IF(ISERROR(FIND('112'!$M$9,G4340,1)),"",IF((AND(RIGHT(G4340,2)=RIGHT('112'!$M$9,2),B4340&lt;'112'!$K$9,$O4340='112'!$I$6)),"x",""))</f>
        <v/>
      </c>
      <c r="W4340" s="79" t="str">
        <f>IF(AND('341-CT'!$H$9=H4340,OR(LEFT(N4340,3)=$W$7,LEFT(O4340,3)=$W$7)),"x","")</f>
        <v/>
      </c>
      <c r="X4340" s="79" t="str">
        <f>IF(OR(TH!N4340=TH!$X$7,O4340=TH!$X$7),"x","")</f>
        <v/>
      </c>
      <c r="Y4340" s="79" t="str">
        <f>IF(AND(OR(N4340="131",O4340="131"),H4340='131-CT'!$H$9),"x","")</f>
        <v/>
      </c>
      <c r="Z4340" s="79"/>
      <c r="AA4340" s="79" t="str">
        <f>IF(AND(MONTH(E4340)='IN-NX'!$J$5,'IN-NX'!$D$7=D4340),"x","")</f>
        <v/>
      </c>
      <c r="AB4340" s="79" t="str">
        <f>IF(AND(OR(LEFT(TH!N4340,2)="15",LEFT(TH!O4340,2)="15"),LEFT(TH!O4340,3)&lt;&gt;"111",'152-CT'!$J$8=TH!F4340),"x","")</f>
        <v/>
      </c>
      <c r="AC4340" s="79" t="str">
        <f>IF(AND(OR(LEFT(TH!N4340,2)="15",LEFT(TH!O4340,2)="15"),TK!$E$7=TH!F4340),"x","")</f>
        <v/>
      </c>
      <c r="AD4340" s="79" t="str">
        <f>IF(AND(N4340="1521",MONTH(C4340)='BK-NL'!$M$11),"x","")</f>
        <v/>
      </c>
    </row>
    <row r="4341" spans="1:30" ht="16.5" customHeight="1">
      <c r="A4341" s="318" t="str">
        <f>IF(B4341&lt;&gt;"",IF(AND(B4341='[3]IN-TC'!$S$4,OR([3]TH!N3572="1111",[3]TH!O3572="1111")),[3]TH!D3572,""),"")</f>
        <v/>
      </c>
      <c r="B4341" s="60" t="str">
        <f t="shared" si="471"/>
        <v/>
      </c>
      <c r="C4341" s="61"/>
      <c r="D4341" s="61"/>
      <c r="E4341" s="301"/>
      <c r="F4341" s="64"/>
      <c r="G4341" s="64"/>
      <c r="H4341" s="321"/>
      <c r="I4341" s="385"/>
      <c r="J4341" s="392"/>
      <c r="K4341" s="385"/>
      <c r="L4341" s="392"/>
      <c r="M4341" s="62"/>
      <c r="N4341" s="971"/>
      <c r="O4341" s="63"/>
      <c r="P4341" s="79" t="str">
        <f>IF(AND('331-CT'!$E$7=TH!H4341,OR(N4341="331",O4341="331")),"x","")</f>
        <v/>
      </c>
      <c r="Q4341" s="79" t="str">
        <f>IF(AND(B4341='111'!$L$11,OR($N4341=$Q$7,$O4341=$Q$7)),"x","")</f>
        <v/>
      </c>
      <c r="R4341" s="79" t="str">
        <f>IF(AND($N4341=$Q$7,$B4341&lt;'111'!$L$11),"x","")</f>
        <v/>
      </c>
      <c r="S4341" s="79" t="str">
        <f>IF(AND($O4341=$Q$7,$B4341&lt;'111'!$L$11),"x","")</f>
        <v/>
      </c>
      <c r="T4341" s="79" t="str">
        <f>IF(ISERROR(FIND('112'!$M$9,G4341,1)),"",IF((AND(FIND('112'!$M$9,G4341,1)&gt;=1,B4341='112'!$K$9,OR($N4341='112'!$I$6,$O4341='112'!$I$6))),"x",""))</f>
        <v/>
      </c>
      <c r="U4341" s="79" t="str">
        <f>IF(ISERROR(FIND('112'!$M$9,G4341,1)),"",IF((AND(LEFT(G4341,2)=LEFT('112'!$M$9,2),B4341&lt;'112'!$K$9,$N4341='112'!$I$6)),"x",""))</f>
        <v/>
      </c>
      <c r="V4341" s="79" t="str">
        <f>IF(ISERROR(FIND('112'!$M$9,G4341,1)),"",IF((AND(RIGHT(G4341,2)=RIGHT('112'!$M$9,2),B4341&lt;'112'!$K$9,$O4341='112'!$I$6)),"x",""))</f>
        <v/>
      </c>
      <c r="W4341" s="79" t="str">
        <f>IF(AND('341-CT'!$H$9=H4341,OR(LEFT(N4341,3)=$W$7,LEFT(O4341,3)=$W$7)),"x","")</f>
        <v/>
      </c>
      <c r="X4341" s="79" t="str">
        <f>IF(OR(TH!N4341=TH!$X$7,O4341=TH!$X$7),"x","")</f>
        <v/>
      </c>
      <c r="Y4341" s="79" t="str">
        <f>IF(AND(OR(N4341="131",O4341="131"),H4341='131-CT'!$H$9),"x","")</f>
        <v/>
      </c>
      <c r="Z4341" s="79"/>
      <c r="AA4341" s="79" t="str">
        <f>IF(AND(MONTH(E4341)='IN-NX'!$J$5,'IN-NX'!$D$7=D4341),"x","")</f>
        <v/>
      </c>
      <c r="AB4341" s="79" t="str">
        <f>IF(AND(OR(LEFT(TH!N4341,2)="15",LEFT(TH!O4341,2)="15"),LEFT(TH!O4341,3)&lt;&gt;"111",'152-CT'!$J$8=TH!F4341),"x","")</f>
        <v/>
      </c>
      <c r="AC4341" s="79" t="str">
        <f>IF(AND(OR(LEFT(TH!N4341,2)="15",LEFT(TH!O4341,2)="15"),TK!$E$7=TH!F4341),"x","")</f>
        <v/>
      </c>
      <c r="AD4341" s="79" t="str">
        <f>IF(AND(N4341="1521",MONTH(C4341)='BK-NL'!$M$11),"x","")</f>
        <v/>
      </c>
    </row>
    <row r="4342" spans="1:30" ht="16.5" customHeight="1">
      <c r="A4342" s="318" t="str">
        <f>IF(B4342&lt;&gt;"",IF(AND(B4342='[3]IN-TC'!$S$4,OR([3]TH!N3573="1111",[3]TH!O3573="1111")),[3]TH!D3573,""),"")</f>
        <v/>
      </c>
      <c r="B4342" s="60" t="str">
        <f t="shared" si="471"/>
        <v/>
      </c>
      <c r="C4342" s="61"/>
      <c r="D4342" s="61"/>
      <c r="E4342" s="301"/>
      <c r="F4342" s="64"/>
      <c r="G4342" s="64"/>
      <c r="H4342" s="321"/>
      <c r="I4342" s="385"/>
      <c r="J4342" s="392"/>
      <c r="K4342" s="385"/>
      <c r="L4342" s="392"/>
      <c r="M4342" s="62"/>
      <c r="N4342" s="971"/>
      <c r="O4342" s="63"/>
      <c r="P4342" s="79" t="str">
        <f>IF(AND('331-CT'!$E$7=TH!H4342,OR(N4342="331",O4342="331")),"x","")</f>
        <v/>
      </c>
      <c r="Q4342" s="79" t="str">
        <f>IF(AND(B4342='111'!$L$11,OR($N4342=$Q$7,$O4342=$Q$7)),"x","")</f>
        <v/>
      </c>
      <c r="R4342" s="79" t="str">
        <f>IF(AND($N4342=$Q$7,$B4342&lt;'111'!$L$11),"x","")</f>
        <v/>
      </c>
      <c r="S4342" s="79" t="str">
        <f>IF(AND($O4342=$Q$7,$B4342&lt;'111'!$L$11),"x","")</f>
        <v/>
      </c>
      <c r="T4342" s="79" t="str">
        <f>IF(ISERROR(FIND('112'!$M$9,G4342,1)),"",IF((AND(FIND('112'!$M$9,G4342,1)&gt;=1,B4342='112'!$K$9,OR($N4342='112'!$I$6,$O4342='112'!$I$6))),"x",""))</f>
        <v/>
      </c>
      <c r="U4342" s="79" t="str">
        <f>IF(ISERROR(FIND('112'!$M$9,G4342,1)),"",IF((AND(LEFT(G4342,2)=LEFT('112'!$M$9,2),B4342&lt;'112'!$K$9,$N4342='112'!$I$6)),"x",""))</f>
        <v/>
      </c>
      <c r="V4342" s="79" t="str">
        <f>IF(ISERROR(FIND('112'!$M$9,G4342,1)),"",IF((AND(RIGHT(G4342,2)=RIGHT('112'!$M$9,2),B4342&lt;'112'!$K$9,$O4342='112'!$I$6)),"x",""))</f>
        <v/>
      </c>
      <c r="W4342" s="79" t="str">
        <f>IF(AND('341-CT'!$H$9=H4342,OR(LEFT(N4342,3)=$W$7,LEFT(O4342,3)=$W$7)),"x","")</f>
        <v/>
      </c>
      <c r="X4342" s="79" t="str">
        <f>IF(OR(TH!N4342=TH!$X$7,O4342=TH!$X$7),"x","")</f>
        <v/>
      </c>
      <c r="Y4342" s="79" t="str">
        <f>IF(AND(OR(N4342="131",O4342="131"),H4342='131-CT'!$H$9),"x","")</f>
        <v/>
      </c>
      <c r="Z4342" s="79"/>
      <c r="AA4342" s="79" t="str">
        <f>IF(AND(MONTH(E4342)='IN-NX'!$J$5,'IN-NX'!$D$7=D4342),"x","")</f>
        <v/>
      </c>
      <c r="AB4342" s="79" t="str">
        <f>IF(AND(OR(LEFT(TH!N4342,2)="15",LEFT(TH!O4342,2)="15"),LEFT(TH!O4342,3)&lt;&gt;"111",'152-CT'!$J$8=TH!F4342),"x","")</f>
        <v/>
      </c>
      <c r="AC4342" s="79" t="str">
        <f>IF(AND(OR(LEFT(TH!N4342,2)="15",LEFT(TH!O4342,2)="15"),TK!$E$7=TH!F4342),"x","")</f>
        <v/>
      </c>
      <c r="AD4342" s="79" t="str">
        <f>IF(AND(N4342="1521",MONTH(C4342)='BK-NL'!$M$11),"x","")</f>
        <v/>
      </c>
    </row>
    <row r="4343" spans="1:30" ht="16.5" customHeight="1">
      <c r="A4343" s="318" t="str">
        <f>IF(B4343&lt;&gt;"",IF(AND(B4343='[3]IN-TC'!$S$4,OR([3]TH!N3574="1111",[3]TH!O3574="1111")),[3]TH!D3574,""),"")</f>
        <v/>
      </c>
      <c r="B4343" s="60" t="str">
        <f t="shared" si="471"/>
        <v/>
      </c>
      <c r="C4343" s="61"/>
      <c r="D4343" s="61"/>
      <c r="E4343" s="301"/>
      <c r="F4343" s="64"/>
      <c r="G4343" s="64"/>
      <c r="H4343" s="321"/>
      <c r="I4343" s="385"/>
      <c r="J4343" s="392"/>
      <c r="K4343" s="385"/>
      <c r="L4343" s="392"/>
      <c r="M4343" s="62"/>
      <c r="N4343" s="971"/>
      <c r="O4343" s="63"/>
      <c r="P4343" s="79" t="str">
        <f>IF(AND('331-CT'!$E$7=TH!H4343,OR(N4343="331",O4343="331")),"x","")</f>
        <v/>
      </c>
      <c r="Q4343" s="79" t="str">
        <f>IF(AND(B4343='111'!$L$11,OR($N4343=$Q$7,$O4343=$Q$7)),"x","")</f>
        <v/>
      </c>
      <c r="R4343" s="79" t="str">
        <f>IF(AND($N4343=$Q$7,$B4343&lt;'111'!$L$11),"x","")</f>
        <v/>
      </c>
      <c r="S4343" s="79" t="str">
        <f>IF(AND($O4343=$Q$7,$B4343&lt;'111'!$L$11),"x","")</f>
        <v/>
      </c>
      <c r="T4343" s="79" t="str">
        <f>IF(ISERROR(FIND('112'!$M$9,G4343,1)),"",IF((AND(FIND('112'!$M$9,G4343,1)&gt;=1,B4343='112'!$K$9,OR($N4343='112'!$I$6,$O4343='112'!$I$6))),"x",""))</f>
        <v/>
      </c>
      <c r="U4343" s="79" t="str">
        <f>IF(ISERROR(FIND('112'!$M$9,G4343,1)),"",IF((AND(LEFT(G4343,2)=LEFT('112'!$M$9,2),B4343&lt;'112'!$K$9,$N4343='112'!$I$6)),"x",""))</f>
        <v/>
      </c>
      <c r="V4343" s="79" t="str">
        <f>IF(ISERROR(FIND('112'!$M$9,G4343,1)),"",IF((AND(RIGHT(G4343,2)=RIGHT('112'!$M$9,2),B4343&lt;'112'!$K$9,$O4343='112'!$I$6)),"x",""))</f>
        <v/>
      </c>
      <c r="W4343" s="79" t="str">
        <f>IF(AND('341-CT'!$H$9=H4343,OR(LEFT(N4343,3)=$W$7,LEFT(O4343,3)=$W$7)),"x","")</f>
        <v/>
      </c>
      <c r="X4343" s="79" t="str">
        <f>IF(OR(TH!N4343=TH!$X$7,O4343=TH!$X$7),"x","")</f>
        <v/>
      </c>
      <c r="Y4343" s="79" t="str">
        <f>IF(AND(OR(N4343="131",O4343="131"),H4343='131-CT'!$H$9),"x","")</f>
        <v/>
      </c>
      <c r="Z4343" s="79"/>
      <c r="AA4343" s="79" t="str">
        <f>IF(AND(MONTH(E4343)='IN-NX'!$J$5,'IN-NX'!$D$7=D4343),"x","")</f>
        <v/>
      </c>
      <c r="AB4343" s="79" t="str">
        <f>IF(AND(OR(LEFT(TH!N4343,2)="15",LEFT(TH!O4343,2)="15"),LEFT(TH!O4343,3)&lt;&gt;"111",'152-CT'!$J$8=TH!F4343),"x","")</f>
        <v/>
      </c>
      <c r="AC4343" s="79" t="str">
        <f>IF(AND(OR(LEFT(TH!N4343,2)="15",LEFT(TH!O4343,2)="15"),TK!$E$7=TH!F4343),"x","")</f>
        <v/>
      </c>
      <c r="AD4343" s="79" t="str">
        <f>IF(AND(N4343="1521",MONTH(C4343)='BK-NL'!$M$11),"x","")</f>
        <v/>
      </c>
    </row>
    <row r="4344" spans="1:30" ht="16.5" customHeight="1">
      <c r="A4344" s="318" t="str">
        <f>IF(B4344&lt;&gt;"",IF(AND(B4344='[3]IN-TC'!$S$4,OR([3]TH!N3575="1111",[3]TH!O3575="1111")),[3]TH!D3575,""),"")</f>
        <v/>
      </c>
      <c r="B4344" s="60" t="str">
        <f t="shared" si="471"/>
        <v/>
      </c>
      <c r="C4344" s="61"/>
      <c r="D4344" s="61"/>
      <c r="E4344" s="301"/>
      <c r="F4344" s="64"/>
      <c r="G4344" s="64"/>
      <c r="H4344" s="321"/>
      <c r="I4344" s="385"/>
      <c r="J4344" s="392"/>
      <c r="K4344" s="385"/>
      <c r="L4344" s="392"/>
      <c r="M4344" s="62"/>
      <c r="N4344" s="971"/>
      <c r="O4344" s="63"/>
      <c r="P4344" s="79" t="str">
        <f>IF(AND('331-CT'!$E$7=TH!H4344,OR(N4344="331",O4344="331")),"x","")</f>
        <v/>
      </c>
      <c r="Q4344" s="79" t="str">
        <f>IF(AND(B4344='111'!$L$11,OR($N4344=$Q$7,$O4344=$Q$7)),"x","")</f>
        <v/>
      </c>
      <c r="R4344" s="79" t="str">
        <f>IF(AND($N4344=$Q$7,$B4344&lt;'111'!$L$11),"x","")</f>
        <v/>
      </c>
      <c r="S4344" s="79" t="str">
        <f>IF(AND($O4344=$Q$7,$B4344&lt;'111'!$L$11),"x","")</f>
        <v/>
      </c>
      <c r="T4344" s="79" t="str">
        <f>IF(ISERROR(FIND('112'!$M$9,G4344,1)),"",IF((AND(FIND('112'!$M$9,G4344,1)&gt;=1,B4344='112'!$K$9,OR($N4344='112'!$I$6,$O4344='112'!$I$6))),"x",""))</f>
        <v/>
      </c>
      <c r="U4344" s="79" t="str">
        <f>IF(ISERROR(FIND('112'!$M$9,G4344,1)),"",IF((AND(LEFT(G4344,2)=LEFT('112'!$M$9,2),B4344&lt;'112'!$K$9,$N4344='112'!$I$6)),"x",""))</f>
        <v/>
      </c>
      <c r="V4344" s="79" t="str">
        <f>IF(ISERROR(FIND('112'!$M$9,G4344,1)),"",IF((AND(RIGHT(G4344,2)=RIGHT('112'!$M$9,2),B4344&lt;'112'!$K$9,$O4344='112'!$I$6)),"x",""))</f>
        <v/>
      </c>
      <c r="W4344" s="79" t="str">
        <f>IF(AND('341-CT'!$H$9=H4344,OR(LEFT(N4344,3)=$W$7,LEFT(O4344,3)=$W$7)),"x","")</f>
        <v/>
      </c>
      <c r="X4344" s="79" t="str">
        <f>IF(OR(TH!N4344=TH!$X$7,O4344=TH!$X$7),"x","")</f>
        <v/>
      </c>
      <c r="Y4344" s="79" t="str">
        <f>IF(AND(OR(N4344="131",O4344="131"),H4344='131-CT'!$H$9),"x","")</f>
        <v/>
      </c>
      <c r="Z4344" s="79"/>
      <c r="AA4344" s="79" t="str">
        <f>IF(AND(MONTH(E4344)='IN-NX'!$J$5,'IN-NX'!$D$7=D4344),"x","")</f>
        <v/>
      </c>
      <c r="AB4344" s="79" t="str">
        <f>IF(AND(OR(LEFT(TH!N4344,2)="15",LEFT(TH!O4344,2)="15"),LEFT(TH!O4344,3)&lt;&gt;"111",'152-CT'!$J$8=TH!F4344),"x","")</f>
        <v/>
      </c>
      <c r="AC4344" s="79" t="str">
        <f>IF(AND(OR(LEFT(TH!N4344,2)="15",LEFT(TH!O4344,2)="15"),TK!$E$7=TH!F4344),"x","")</f>
        <v/>
      </c>
      <c r="AD4344" s="79" t="str">
        <f>IF(AND(N4344="1521",MONTH(C4344)='BK-NL'!$M$11),"x","")</f>
        <v/>
      </c>
    </row>
    <row r="4345" spans="1:30" ht="16.5" customHeight="1">
      <c r="A4345" s="318" t="str">
        <f>IF(B4345&lt;&gt;"",IF(AND(B4345='[3]IN-TC'!$S$4,OR([3]TH!N3576="1111",[3]TH!O3576="1111")),[3]TH!D3576,""),"")</f>
        <v/>
      </c>
      <c r="B4345" s="60" t="str">
        <f t="shared" si="471"/>
        <v/>
      </c>
      <c r="C4345" s="61"/>
      <c r="D4345" s="61"/>
      <c r="E4345" s="301"/>
      <c r="F4345" s="64"/>
      <c r="G4345" s="64"/>
      <c r="H4345" s="321"/>
      <c r="I4345" s="385"/>
      <c r="J4345" s="392"/>
      <c r="K4345" s="385"/>
      <c r="L4345" s="392"/>
      <c r="M4345" s="62"/>
      <c r="N4345" s="971"/>
      <c r="O4345" s="63"/>
      <c r="P4345" s="79" t="str">
        <f>IF(AND('331-CT'!$E$7=TH!H4345,OR(N4345="331",O4345="331")),"x","")</f>
        <v/>
      </c>
      <c r="Q4345" s="79" t="str">
        <f>IF(AND(B4345='111'!$L$11,OR($N4345=$Q$7,$O4345=$Q$7)),"x","")</f>
        <v/>
      </c>
      <c r="R4345" s="79" t="str">
        <f>IF(AND($N4345=$Q$7,$B4345&lt;'111'!$L$11),"x","")</f>
        <v/>
      </c>
      <c r="S4345" s="79" t="str">
        <f>IF(AND($O4345=$Q$7,$B4345&lt;'111'!$L$11),"x","")</f>
        <v/>
      </c>
      <c r="T4345" s="79" t="str">
        <f>IF(ISERROR(FIND('112'!$M$9,G4345,1)),"",IF((AND(FIND('112'!$M$9,G4345,1)&gt;=1,B4345='112'!$K$9,OR($N4345='112'!$I$6,$O4345='112'!$I$6))),"x",""))</f>
        <v/>
      </c>
      <c r="U4345" s="79" t="str">
        <f>IF(ISERROR(FIND('112'!$M$9,G4345,1)),"",IF((AND(LEFT(G4345,2)=LEFT('112'!$M$9,2),B4345&lt;'112'!$K$9,$N4345='112'!$I$6)),"x",""))</f>
        <v/>
      </c>
      <c r="V4345" s="79" t="str">
        <f>IF(ISERROR(FIND('112'!$M$9,G4345,1)),"",IF((AND(RIGHT(G4345,2)=RIGHT('112'!$M$9,2),B4345&lt;'112'!$K$9,$O4345='112'!$I$6)),"x",""))</f>
        <v/>
      </c>
      <c r="W4345" s="79" t="str">
        <f>IF(AND('341-CT'!$H$9=H4345,OR(LEFT(N4345,3)=$W$7,LEFT(O4345,3)=$W$7)),"x","")</f>
        <v/>
      </c>
      <c r="X4345" s="79" t="str">
        <f>IF(OR(TH!N4345=TH!$X$7,O4345=TH!$X$7),"x","")</f>
        <v/>
      </c>
      <c r="Y4345" s="79" t="str">
        <f>IF(AND(OR(N4345="131",O4345="131"),H4345='131-CT'!$H$9),"x","")</f>
        <v/>
      </c>
      <c r="Z4345" s="79"/>
      <c r="AA4345" s="79" t="str">
        <f>IF(AND(MONTH(E4345)='IN-NX'!$J$5,'IN-NX'!$D$7=D4345),"x","")</f>
        <v/>
      </c>
      <c r="AB4345" s="79" t="str">
        <f>IF(AND(OR(LEFT(TH!N4345,2)="15",LEFT(TH!O4345,2)="15"),LEFT(TH!O4345,3)&lt;&gt;"111",'152-CT'!$J$8=TH!F4345),"x","")</f>
        <v/>
      </c>
      <c r="AC4345" s="79" t="str">
        <f>IF(AND(OR(LEFT(TH!N4345,2)="15",LEFT(TH!O4345,2)="15"),TK!$E$7=TH!F4345),"x","")</f>
        <v/>
      </c>
      <c r="AD4345" s="79" t="str">
        <f>IF(AND(N4345="1521",MONTH(C4345)='BK-NL'!$M$11),"x","")</f>
        <v/>
      </c>
    </row>
    <row r="4346" spans="1:30" ht="16.5" customHeight="1">
      <c r="A4346" s="318" t="str">
        <f>IF(B4346&lt;&gt;"",IF(AND(B4346='[3]IN-TC'!$S$4,OR([3]TH!N3577="1111",[3]TH!O3577="1111")),[3]TH!D3577,""),"")</f>
        <v/>
      </c>
      <c r="B4346" s="60" t="str">
        <f t="shared" si="471"/>
        <v/>
      </c>
      <c r="C4346" s="61"/>
      <c r="D4346" s="61"/>
      <c r="E4346" s="301"/>
      <c r="F4346" s="64"/>
      <c r="G4346" s="64"/>
      <c r="H4346" s="321"/>
      <c r="I4346" s="385"/>
      <c r="J4346" s="392"/>
      <c r="K4346" s="385"/>
      <c r="L4346" s="392"/>
      <c r="M4346" s="62"/>
      <c r="N4346" s="971"/>
      <c r="O4346" s="63"/>
      <c r="P4346" s="79" t="str">
        <f>IF(AND('331-CT'!$E$7=TH!H4346,OR(N4346="331",O4346="331")),"x","")</f>
        <v/>
      </c>
      <c r="Q4346" s="79" t="str">
        <f>IF(AND(B4346='111'!$L$11,OR($N4346=$Q$7,$O4346=$Q$7)),"x","")</f>
        <v/>
      </c>
      <c r="R4346" s="79" t="str">
        <f>IF(AND($N4346=$Q$7,$B4346&lt;'111'!$L$11),"x","")</f>
        <v/>
      </c>
      <c r="S4346" s="79" t="str">
        <f>IF(AND($O4346=$Q$7,$B4346&lt;'111'!$L$11),"x","")</f>
        <v/>
      </c>
      <c r="T4346" s="79" t="str">
        <f>IF(ISERROR(FIND('112'!$M$9,G4346,1)),"",IF((AND(FIND('112'!$M$9,G4346,1)&gt;=1,B4346='112'!$K$9,OR($N4346='112'!$I$6,$O4346='112'!$I$6))),"x",""))</f>
        <v/>
      </c>
      <c r="U4346" s="79" t="str">
        <f>IF(ISERROR(FIND('112'!$M$9,G4346,1)),"",IF((AND(LEFT(G4346,2)=LEFT('112'!$M$9,2),B4346&lt;'112'!$K$9,$N4346='112'!$I$6)),"x",""))</f>
        <v/>
      </c>
      <c r="V4346" s="79" t="str">
        <f>IF(ISERROR(FIND('112'!$M$9,G4346,1)),"",IF((AND(RIGHT(G4346,2)=RIGHT('112'!$M$9,2),B4346&lt;'112'!$K$9,$O4346='112'!$I$6)),"x",""))</f>
        <v/>
      </c>
      <c r="W4346" s="79" t="str">
        <f>IF(AND('341-CT'!$H$9=H4346,OR(LEFT(N4346,3)=$W$7,LEFT(O4346,3)=$W$7)),"x","")</f>
        <v/>
      </c>
      <c r="X4346" s="79" t="str">
        <f>IF(OR(TH!N4346=TH!$X$7,O4346=TH!$X$7),"x","")</f>
        <v/>
      </c>
      <c r="Y4346" s="79" t="str">
        <f>IF(AND(OR(N4346="131",O4346="131"),H4346='131-CT'!$H$9),"x","")</f>
        <v/>
      </c>
      <c r="Z4346" s="79"/>
      <c r="AA4346" s="79" t="str">
        <f>IF(AND(MONTH(E4346)='IN-NX'!$J$5,'IN-NX'!$D$7=D4346),"x","")</f>
        <v/>
      </c>
      <c r="AB4346" s="79" t="str">
        <f>IF(AND(OR(LEFT(TH!N4346,2)="15",LEFT(TH!O4346,2)="15"),LEFT(TH!O4346,3)&lt;&gt;"111",'152-CT'!$J$8=TH!F4346),"x","")</f>
        <v/>
      </c>
      <c r="AC4346" s="79" t="str">
        <f>IF(AND(OR(LEFT(TH!N4346,2)="15",LEFT(TH!O4346,2)="15"),TK!$E$7=TH!F4346),"x","")</f>
        <v/>
      </c>
      <c r="AD4346" s="79" t="str">
        <f>IF(AND(N4346="1521",MONTH(C4346)='BK-NL'!$M$11),"x","")</f>
        <v/>
      </c>
    </row>
    <row r="4347" spans="1:30" ht="16.5" customHeight="1">
      <c r="A4347" s="318" t="str">
        <f>IF(B4347&lt;&gt;"",IF(AND(B4347='[3]IN-TC'!$S$4,OR([3]TH!N3578="1111",[3]TH!O3578="1111")),[3]TH!D3578,""),"")</f>
        <v/>
      </c>
      <c r="B4347" s="60" t="str">
        <f t="shared" si="471"/>
        <v/>
      </c>
      <c r="C4347" s="61"/>
      <c r="D4347" s="61"/>
      <c r="E4347" s="301"/>
      <c r="F4347" s="64"/>
      <c r="G4347" s="64"/>
      <c r="H4347" s="321"/>
      <c r="I4347" s="385"/>
      <c r="J4347" s="392"/>
      <c r="K4347" s="385"/>
      <c r="L4347" s="392"/>
      <c r="M4347" s="62"/>
      <c r="N4347" s="971"/>
      <c r="O4347" s="63"/>
      <c r="P4347" s="79" t="str">
        <f>IF(AND('331-CT'!$E$7=TH!H4347,OR(N4347="331",O4347="331")),"x","")</f>
        <v/>
      </c>
      <c r="Q4347" s="79" t="str">
        <f>IF(AND(B4347='111'!$L$11,OR($N4347=$Q$7,$O4347=$Q$7)),"x","")</f>
        <v/>
      </c>
      <c r="R4347" s="79" t="str">
        <f>IF(AND($N4347=$Q$7,$B4347&lt;'111'!$L$11),"x","")</f>
        <v/>
      </c>
      <c r="S4347" s="79" t="str">
        <f>IF(AND($O4347=$Q$7,$B4347&lt;'111'!$L$11),"x","")</f>
        <v/>
      </c>
      <c r="T4347" s="79" t="str">
        <f>IF(ISERROR(FIND('112'!$M$9,G4347,1)),"",IF((AND(FIND('112'!$M$9,G4347,1)&gt;=1,B4347='112'!$K$9,OR($N4347='112'!$I$6,$O4347='112'!$I$6))),"x",""))</f>
        <v/>
      </c>
      <c r="U4347" s="79" t="str">
        <f>IF(ISERROR(FIND('112'!$M$9,G4347,1)),"",IF((AND(LEFT(G4347,2)=LEFT('112'!$M$9,2),B4347&lt;'112'!$K$9,$N4347='112'!$I$6)),"x",""))</f>
        <v/>
      </c>
      <c r="V4347" s="79" t="str">
        <f>IF(ISERROR(FIND('112'!$M$9,G4347,1)),"",IF((AND(RIGHT(G4347,2)=RIGHT('112'!$M$9,2),B4347&lt;'112'!$K$9,$O4347='112'!$I$6)),"x",""))</f>
        <v/>
      </c>
      <c r="W4347" s="79" t="str">
        <f>IF(AND('341-CT'!$H$9=H4347,OR(LEFT(N4347,3)=$W$7,LEFT(O4347,3)=$W$7)),"x","")</f>
        <v/>
      </c>
      <c r="X4347" s="79" t="str">
        <f>IF(OR(TH!N4347=TH!$X$7,O4347=TH!$X$7),"x","")</f>
        <v/>
      </c>
      <c r="Y4347" s="79" t="str">
        <f>IF(AND(OR(N4347="131",O4347="131"),H4347='131-CT'!$H$9),"x","")</f>
        <v/>
      </c>
      <c r="Z4347" s="79"/>
      <c r="AA4347" s="79" t="str">
        <f>IF(AND(MONTH(E4347)='IN-NX'!$J$5,'IN-NX'!$D$7=D4347),"x","")</f>
        <v/>
      </c>
      <c r="AB4347" s="79" t="str">
        <f>IF(AND(OR(LEFT(TH!N4347,2)="15",LEFT(TH!O4347,2)="15"),LEFT(TH!O4347,3)&lt;&gt;"111",'152-CT'!$J$8=TH!F4347),"x","")</f>
        <v/>
      </c>
      <c r="AC4347" s="79" t="str">
        <f>IF(AND(OR(LEFT(TH!N4347,2)="15",LEFT(TH!O4347,2)="15"),TK!$E$7=TH!F4347),"x","")</f>
        <v/>
      </c>
      <c r="AD4347" s="79" t="str">
        <f>IF(AND(N4347="1521",MONTH(C4347)='BK-NL'!$M$11),"x","")</f>
        <v/>
      </c>
    </row>
    <row r="4348" spans="1:30" ht="16.5" customHeight="1">
      <c r="A4348" s="318" t="str">
        <f>IF(B4348&lt;&gt;"",IF(AND(B4348='[3]IN-TC'!$S$4,OR([3]TH!N3579="1111",[3]TH!O3579="1111")),[3]TH!D3579,""),"")</f>
        <v/>
      </c>
      <c r="B4348" s="60" t="str">
        <f t="shared" si="471"/>
        <v/>
      </c>
      <c r="C4348" s="61"/>
      <c r="D4348" s="61"/>
      <c r="E4348" s="301"/>
      <c r="F4348" s="64"/>
      <c r="G4348" s="64"/>
      <c r="H4348" s="321"/>
      <c r="I4348" s="385"/>
      <c r="J4348" s="392"/>
      <c r="K4348" s="385"/>
      <c r="L4348" s="392"/>
      <c r="M4348" s="62"/>
      <c r="N4348" s="971"/>
      <c r="O4348" s="63"/>
      <c r="P4348" s="79" t="str">
        <f>IF(AND('331-CT'!$E$7=TH!H4348,OR(N4348="331",O4348="331")),"x","")</f>
        <v/>
      </c>
      <c r="Q4348" s="79" t="str">
        <f>IF(AND(B4348='111'!$L$11,OR($N4348=$Q$7,$O4348=$Q$7)),"x","")</f>
        <v/>
      </c>
      <c r="R4348" s="79" t="str">
        <f>IF(AND($N4348=$Q$7,$B4348&lt;'111'!$L$11),"x","")</f>
        <v/>
      </c>
      <c r="S4348" s="79" t="str">
        <f>IF(AND($O4348=$Q$7,$B4348&lt;'111'!$L$11),"x","")</f>
        <v/>
      </c>
      <c r="T4348" s="79" t="str">
        <f>IF(ISERROR(FIND('112'!$M$9,G4348,1)),"",IF((AND(FIND('112'!$M$9,G4348,1)&gt;=1,B4348='112'!$K$9,OR($N4348='112'!$I$6,$O4348='112'!$I$6))),"x",""))</f>
        <v/>
      </c>
      <c r="U4348" s="79" t="str">
        <f>IF(ISERROR(FIND('112'!$M$9,G4348,1)),"",IF((AND(LEFT(G4348,2)=LEFT('112'!$M$9,2),B4348&lt;'112'!$K$9,$N4348='112'!$I$6)),"x",""))</f>
        <v/>
      </c>
      <c r="V4348" s="79" t="str">
        <f>IF(ISERROR(FIND('112'!$M$9,G4348,1)),"",IF((AND(RIGHT(G4348,2)=RIGHT('112'!$M$9,2),B4348&lt;'112'!$K$9,$O4348='112'!$I$6)),"x",""))</f>
        <v/>
      </c>
      <c r="W4348" s="79" t="str">
        <f>IF(AND('341-CT'!$H$9=H4348,OR(LEFT(N4348,3)=$W$7,LEFT(O4348,3)=$W$7)),"x","")</f>
        <v/>
      </c>
      <c r="X4348" s="79" t="str">
        <f>IF(OR(TH!N4348=TH!$X$7,O4348=TH!$X$7),"x","")</f>
        <v/>
      </c>
      <c r="Y4348" s="79" t="str">
        <f>IF(AND(OR(N4348="131",O4348="131"),H4348='131-CT'!$H$9),"x","")</f>
        <v/>
      </c>
      <c r="Z4348" s="79"/>
      <c r="AA4348" s="79" t="str">
        <f>IF(AND(MONTH(E4348)='IN-NX'!$J$5,'IN-NX'!$D$7=D4348),"x","")</f>
        <v/>
      </c>
      <c r="AB4348" s="79" t="str">
        <f>IF(AND(OR(LEFT(TH!N4348,2)="15",LEFT(TH!O4348,2)="15"),LEFT(TH!O4348,3)&lt;&gt;"111",'152-CT'!$J$8=TH!F4348),"x","")</f>
        <v/>
      </c>
      <c r="AC4348" s="79" t="str">
        <f>IF(AND(OR(LEFT(TH!N4348,2)="15",LEFT(TH!O4348,2)="15"),TK!$E$7=TH!F4348),"x","")</f>
        <v/>
      </c>
      <c r="AD4348" s="79" t="str">
        <f>IF(AND(N4348="1521",MONTH(C4348)='BK-NL'!$M$11),"x","")</f>
        <v/>
      </c>
    </row>
    <row r="4349" spans="1:30" ht="16.5" customHeight="1">
      <c r="A4349" s="318" t="str">
        <f>IF(B4349&lt;&gt;"",IF(AND(B4349='[3]IN-TC'!$S$4,OR([3]TH!N3580="1111",[3]TH!O3580="1111")),[3]TH!D3580,""),"")</f>
        <v/>
      </c>
      <c r="B4349" s="60" t="str">
        <f t="shared" si="471"/>
        <v/>
      </c>
      <c r="C4349" s="61"/>
      <c r="D4349" s="61"/>
      <c r="E4349" s="301"/>
      <c r="F4349" s="64"/>
      <c r="G4349" s="64"/>
      <c r="H4349" s="321"/>
      <c r="I4349" s="385"/>
      <c r="J4349" s="392"/>
      <c r="K4349" s="385"/>
      <c r="L4349" s="392"/>
      <c r="M4349" s="62"/>
      <c r="N4349" s="971"/>
      <c r="O4349" s="63"/>
      <c r="P4349" s="79" t="str">
        <f>IF(AND('331-CT'!$E$7=TH!H4349,OR(N4349="331",O4349="331")),"x","")</f>
        <v/>
      </c>
      <c r="Q4349" s="79" t="str">
        <f>IF(AND(B4349='111'!$L$11,OR($N4349=$Q$7,$O4349=$Q$7)),"x","")</f>
        <v/>
      </c>
      <c r="R4349" s="79" t="str">
        <f>IF(AND($N4349=$Q$7,$B4349&lt;'111'!$L$11),"x","")</f>
        <v/>
      </c>
      <c r="S4349" s="79" t="str">
        <f>IF(AND($O4349=$Q$7,$B4349&lt;'111'!$L$11),"x","")</f>
        <v/>
      </c>
      <c r="T4349" s="79" t="str">
        <f>IF(ISERROR(FIND('112'!$M$9,G4349,1)),"",IF((AND(FIND('112'!$M$9,G4349,1)&gt;=1,B4349='112'!$K$9,OR($N4349='112'!$I$6,$O4349='112'!$I$6))),"x",""))</f>
        <v/>
      </c>
      <c r="U4349" s="79" t="str">
        <f>IF(ISERROR(FIND('112'!$M$9,G4349,1)),"",IF((AND(LEFT(G4349,2)=LEFT('112'!$M$9,2),B4349&lt;'112'!$K$9,$N4349='112'!$I$6)),"x",""))</f>
        <v/>
      </c>
      <c r="V4349" s="79" t="str">
        <f>IF(ISERROR(FIND('112'!$M$9,G4349,1)),"",IF((AND(RIGHT(G4349,2)=RIGHT('112'!$M$9,2),B4349&lt;'112'!$K$9,$O4349='112'!$I$6)),"x",""))</f>
        <v/>
      </c>
      <c r="W4349" s="79" t="str">
        <f>IF(AND('341-CT'!$H$9=H4349,OR(LEFT(N4349,3)=$W$7,LEFT(O4349,3)=$W$7)),"x","")</f>
        <v/>
      </c>
      <c r="X4349" s="79" t="str">
        <f>IF(OR(TH!N4349=TH!$X$7,O4349=TH!$X$7),"x","")</f>
        <v/>
      </c>
      <c r="Y4349" s="79" t="str">
        <f>IF(AND(OR(N4349="131",O4349="131"),H4349='131-CT'!$H$9),"x","")</f>
        <v/>
      </c>
      <c r="Z4349" s="79"/>
      <c r="AA4349" s="79" t="str">
        <f>IF(AND(MONTH(E4349)='IN-NX'!$J$5,'IN-NX'!$D$7=D4349),"x","")</f>
        <v/>
      </c>
      <c r="AB4349" s="79" t="str">
        <f>IF(AND(OR(LEFT(TH!N4349,2)="15",LEFT(TH!O4349,2)="15"),LEFT(TH!O4349,3)&lt;&gt;"111",'152-CT'!$J$8=TH!F4349),"x","")</f>
        <v/>
      </c>
      <c r="AC4349" s="79" t="str">
        <f>IF(AND(OR(LEFT(TH!N4349,2)="15",LEFT(TH!O4349,2)="15"),TK!$E$7=TH!F4349),"x","")</f>
        <v/>
      </c>
      <c r="AD4349" s="79" t="str">
        <f>IF(AND(N4349="1521",MONTH(C4349)='BK-NL'!$M$11),"x","")</f>
        <v/>
      </c>
    </row>
    <row r="4350" spans="1:30" ht="16.5" customHeight="1">
      <c r="A4350" s="318" t="str">
        <f>IF(B4350&lt;&gt;"",IF(AND(B4350='[3]IN-TC'!$S$4,OR([3]TH!N3581="1111",[3]TH!O3581="1111")),[3]TH!D3581,""),"")</f>
        <v/>
      </c>
      <c r="B4350" s="60" t="str">
        <f t="shared" si="471"/>
        <v/>
      </c>
      <c r="C4350" s="61"/>
      <c r="D4350" s="61"/>
      <c r="E4350" s="301"/>
      <c r="F4350" s="64"/>
      <c r="G4350" s="64"/>
      <c r="H4350" s="321"/>
      <c r="I4350" s="385"/>
      <c r="J4350" s="392"/>
      <c r="K4350" s="385"/>
      <c r="L4350" s="392"/>
      <c r="M4350" s="62"/>
      <c r="N4350" s="971"/>
      <c r="O4350" s="63"/>
      <c r="P4350" s="79" t="str">
        <f>IF(AND('331-CT'!$E$7=TH!H4350,OR(N4350="331",O4350="331")),"x","")</f>
        <v/>
      </c>
      <c r="Q4350" s="79" t="str">
        <f>IF(AND(B4350='111'!$L$11,OR($N4350=$Q$7,$O4350=$Q$7)),"x","")</f>
        <v/>
      </c>
      <c r="R4350" s="79" t="str">
        <f>IF(AND($N4350=$Q$7,$B4350&lt;'111'!$L$11),"x","")</f>
        <v/>
      </c>
      <c r="S4350" s="79" t="str">
        <f>IF(AND($O4350=$Q$7,$B4350&lt;'111'!$L$11),"x","")</f>
        <v/>
      </c>
      <c r="T4350" s="79" t="str">
        <f>IF(ISERROR(FIND('112'!$M$9,G4350,1)),"",IF((AND(FIND('112'!$M$9,G4350,1)&gt;=1,B4350='112'!$K$9,OR($N4350='112'!$I$6,$O4350='112'!$I$6))),"x",""))</f>
        <v/>
      </c>
      <c r="U4350" s="79" t="str">
        <f>IF(ISERROR(FIND('112'!$M$9,G4350,1)),"",IF((AND(LEFT(G4350,2)=LEFT('112'!$M$9,2),B4350&lt;'112'!$K$9,$N4350='112'!$I$6)),"x",""))</f>
        <v/>
      </c>
      <c r="V4350" s="79" t="str">
        <f>IF(ISERROR(FIND('112'!$M$9,G4350,1)),"",IF((AND(RIGHT(G4350,2)=RIGHT('112'!$M$9,2),B4350&lt;'112'!$K$9,$O4350='112'!$I$6)),"x",""))</f>
        <v/>
      </c>
      <c r="W4350" s="79" t="str">
        <f>IF(AND('341-CT'!$H$9=H4350,OR(LEFT(N4350,3)=$W$7,LEFT(O4350,3)=$W$7)),"x","")</f>
        <v/>
      </c>
      <c r="X4350" s="79" t="str">
        <f>IF(OR(TH!N4350=TH!$X$7,O4350=TH!$X$7),"x","")</f>
        <v/>
      </c>
      <c r="Y4350" s="79" t="str">
        <f>IF(AND(OR(N4350="131",O4350="131"),H4350='131-CT'!$H$9),"x","")</f>
        <v/>
      </c>
      <c r="Z4350" s="79"/>
      <c r="AA4350" s="79" t="str">
        <f>IF(AND(MONTH(E4350)='IN-NX'!$J$5,'IN-NX'!$D$7=D4350),"x","")</f>
        <v/>
      </c>
      <c r="AB4350" s="79" t="str">
        <f>IF(AND(OR(LEFT(TH!N4350,2)="15",LEFT(TH!O4350,2)="15"),LEFT(TH!O4350,3)&lt;&gt;"111",'152-CT'!$J$8=TH!F4350),"x","")</f>
        <v/>
      </c>
      <c r="AC4350" s="79" t="str">
        <f>IF(AND(OR(LEFT(TH!N4350,2)="15",LEFT(TH!O4350,2)="15"),TK!$E$7=TH!F4350),"x","")</f>
        <v/>
      </c>
      <c r="AD4350" s="79" t="str">
        <f>IF(AND(N4350="1521",MONTH(C4350)='BK-NL'!$M$11),"x","")</f>
        <v/>
      </c>
    </row>
    <row r="4351" spans="1:30" ht="16.5" customHeight="1">
      <c r="A4351" s="318" t="str">
        <f>IF(B4351&lt;&gt;"",IF(AND(B4351='[3]IN-TC'!$S$4,OR([3]TH!N3582="1111",[3]TH!O3582="1111")),[3]TH!D3582,""),"")</f>
        <v/>
      </c>
      <c r="B4351" s="60" t="str">
        <f t="shared" si="471"/>
        <v/>
      </c>
      <c r="C4351" s="61"/>
      <c r="D4351" s="61"/>
      <c r="E4351" s="301"/>
      <c r="F4351" s="64"/>
      <c r="G4351" s="64"/>
      <c r="H4351" s="321"/>
      <c r="I4351" s="385"/>
      <c r="J4351" s="392"/>
      <c r="K4351" s="385"/>
      <c r="L4351" s="392"/>
      <c r="M4351" s="62"/>
      <c r="N4351" s="971"/>
      <c r="O4351" s="63"/>
      <c r="P4351" s="79" t="str">
        <f>IF(AND('331-CT'!$E$7=TH!H4351,OR(N4351="331",O4351="331")),"x","")</f>
        <v/>
      </c>
      <c r="Q4351" s="79" t="str">
        <f>IF(AND(B4351='111'!$L$11,OR($N4351=$Q$7,$O4351=$Q$7)),"x","")</f>
        <v/>
      </c>
      <c r="R4351" s="79" t="str">
        <f>IF(AND($N4351=$Q$7,$B4351&lt;'111'!$L$11),"x","")</f>
        <v/>
      </c>
      <c r="S4351" s="79" t="str">
        <f>IF(AND($O4351=$Q$7,$B4351&lt;'111'!$L$11),"x","")</f>
        <v/>
      </c>
      <c r="T4351" s="79" t="str">
        <f>IF(ISERROR(FIND('112'!$M$9,G4351,1)),"",IF((AND(FIND('112'!$M$9,G4351,1)&gt;=1,B4351='112'!$K$9,OR($N4351='112'!$I$6,$O4351='112'!$I$6))),"x",""))</f>
        <v/>
      </c>
      <c r="U4351" s="79" t="str">
        <f>IF(ISERROR(FIND('112'!$M$9,G4351,1)),"",IF((AND(LEFT(G4351,2)=LEFT('112'!$M$9,2),B4351&lt;'112'!$K$9,$N4351='112'!$I$6)),"x",""))</f>
        <v/>
      </c>
      <c r="V4351" s="79" t="str">
        <f>IF(ISERROR(FIND('112'!$M$9,G4351,1)),"",IF((AND(RIGHT(G4351,2)=RIGHT('112'!$M$9,2),B4351&lt;'112'!$K$9,$O4351='112'!$I$6)),"x",""))</f>
        <v/>
      </c>
      <c r="W4351" s="79" t="str">
        <f>IF(AND('341-CT'!$H$9=H4351,OR(LEFT(N4351,3)=$W$7,LEFT(O4351,3)=$W$7)),"x","")</f>
        <v/>
      </c>
      <c r="X4351" s="79" t="str">
        <f>IF(OR(TH!N4351=TH!$X$7,O4351=TH!$X$7),"x","")</f>
        <v/>
      </c>
      <c r="Y4351" s="79" t="str">
        <f>IF(AND(OR(N4351="131",O4351="131"),H4351='131-CT'!$H$9),"x","")</f>
        <v/>
      </c>
      <c r="Z4351" s="79"/>
      <c r="AA4351" s="79" t="str">
        <f>IF(AND(MONTH(E4351)='IN-NX'!$J$5,'IN-NX'!$D$7=D4351),"x","")</f>
        <v/>
      </c>
      <c r="AB4351" s="79" t="str">
        <f>IF(AND(OR(LEFT(TH!N4351,2)="15",LEFT(TH!O4351,2)="15"),LEFT(TH!O4351,3)&lt;&gt;"111",'152-CT'!$J$8=TH!F4351),"x","")</f>
        <v/>
      </c>
      <c r="AC4351" s="79" t="str">
        <f>IF(AND(OR(LEFT(TH!N4351,2)="15",LEFT(TH!O4351,2)="15"),TK!$E$7=TH!F4351),"x","")</f>
        <v/>
      </c>
      <c r="AD4351" s="79" t="str">
        <f>IF(AND(N4351="1521",MONTH(C4351)='BK-NL'!$M$11),"x","")</f>
        <v/>
      </c>
    </row>
    <row r="4352" spans="1:30" ht="16.5" customHeight="1">
      <c r="A4352" s="318" t="str">
        <f>IF(B4352&lt;&gt;"",IF(AND(B4352='[3]IN-TC'!$S$4,OR([3]TH!N3583="1111",[3]TH!O3583="1111")),[3]TH!D3583,""),"")</f>
        <v/>
      </c>
      <c r="B4352" s="60" t="str">
        <f t="shared" si="471"/>
        <v/>
      </c>
      <c r="C4352" s="61"/>
      <c r="D4352" s="61"/>
      <c r="E4352" s="301"/>
      <c r="F4352" s="64"/>
      <c r="G4352" s="64"/>
      <c r="H4352" s="321"/>
      <c r="I4352" s="385"/>
      <c r="J4352" s="392"/>
      <c r="K4352" s="385"/>
      <c r="L4352" s="392"/>
      <c r="M4352" s="62"/>
      <c r="N4352" s="971"/>
      <c r="O4352" s="63"/>
      <c r="P4352" s="79" t="str">
        <f>IF(AND('331-CT'!$E$7=TH!H4352,OR(N4352="331",O4352="331")),"x","")</f>
        <v/>
      </c>
      <c r="Q4352" s="79" t="str">
        <f>IF(AND(B4352='111'!$L$11,OR($N4352=$Q$7,$O4352=$Q$7)),"x","")</f>
        <v/>
      </c>
      <c r="R4352" s="79" t="str">
        <f>IF(AND($N4352=$Q$7,$B4352&lt;'111'!$L$11),"x","")</f>
        <v/>
      </c>
      <c r="S4352" s="79" t="str">
        <f>IF(AND($O4352=$Q$7,$B4352&lt;'111'!$L$11),"x","")</f>
        <v/>
      </c>
      <c r="T4352" s="79" t="str">
        <f>IF(ISERROR(FIND('112'!$M$9,G4352,1)),"",IF((AND(FIND('112'!$M$9,G4352,1)&gt;=1,B4352='112'!$K$9,OR($N4352='112'!$I$6,$O4352='112'!$I$6))),"x",""))</f>
        <v/>
      </c>
      <c r="U4352" s="79" t="str">
        <f>IF(ISERROR(FIND('112'!$M$9,G4352,1)),"",IF((AND(LEFT(G4352,2)=LEFT('112'!$M$9,2),B4352&lt;'112'!$K$9,$N4352='112'!$I$6)),"x",""))</f>
        <v/>
      </c>
      <c r="V4352" s="79" t="str">
        <f>IF(ISERROR(FIND('112'!$M$9,G4352,1)),"",IF((AND(RIGHT(G4352,2)=RIGHT('112'!$M$9,2),B4352&lt;'112'!$K$9,$O4352='112'!$I$6)),"x",""))</f>
        <v/>
      </c>
      <c r="W4352" s="79" t="str">
        <f>IF(AND('341-CT'!$H$9=H4352,OR(LEFT(N4352,3)=$W$7,LEFT(O4352,3)=$W$7)),"x","")</f>
        <v/>
      </c>
      <c r="X4352" s="79" t="str">
        <f>IF(OR(TH!N4352=TH!$X$7,O4352=TH!$X$7),"x","")</f>
        <v/>
      </c>
      <c r="Y4352" s="79" t="str">
        <f>IF(AND(OR(N4352="131",O4352="131"),H4352='131-CT'!$H$9),"x","")</f>
        <v/>
      </c>
      <c r="Z4352" s="79"/>
      <c r="AA4352" s="79" t="str">
        <f>IF(AND(MONTH(E4352)='IN-NX'!$J$5,'IN-NX'!$D$7=D4352),"x","")</f>
        <v/>
      </c>
      <c r="AB4352" s="79" t="str">
        <f>IF(AND(OR(LEFT(TH!N4352,2)="15",LEFT(TH!O4352,2)="15"),LEFT(TH!O4352,3)&lt;&gt;"111",'152-CT'!$J$8=TH!F4352),"x","")</f>
        <v/>
      </c>
      <c r="AC4352" s="79" t="str">
        <f>IF(AND(OR(LEFT(TH!N4352,2)="15",LEFT(TH!O4352,2)="15"),TK!$E$7=TH!F4352),"x","")</f>
        <v/>
      </c>
      <c r="AD4352" s="79" t="str">
        <f>IF(AND(N4352="1521",MONTH(C4352)='BK-NL'!$M$11),"x","")</f>
        <v/>
      </c>
    </row>
    <row r="4353" spans="1:30" ht="16.5" customHeight="1">
      <c r="A4353" s="318" t="str">
        <f>IF(B4353&lt;&gt;"",IF(AND(B4353='[3]IN-TC'!$S$4,OR([3]TH!N3584="1111",[3]TH!O3584="1111")),[3]TH!D3584,""),"")</f>
        <v/>
      </c>
      <c r="B4353" s="60" t="str">
        <f t="shared" si="471"/>
        <v/>
      </c>
      <c r="C4353" s="61"/>
      <c r="D4353" s="61"/>
      <c r="E4353" s="301"/>
      <c r="F4353" s="64"/>
      <c r="G4353" s="64"/>
      <c r="H4353" s="321"/>
      <c r="I4353" s="385"/>
      <c r="J4353" s="392"/>
      <c r="K4353" s="385"/>
      <c r="L4353" s="392"/>
      <c r="M4353" s="62"/>
      <c r="N4353" s="971"/>
      <c r="O4353" s="63"/>
      <c r="P4353" s="79" t="str">
        <f>IF(AND('331-CT'!$E$7=TH!H4353,OR(N4353="331",O4353="331")),"x","")</f>
        <v/>
      </c>
      <c r="Q4353" s="79" t="str">
        <f>IF(AND(B4353='111'!$L$11,OR($N4353=$Q$7,$O4353=$Q$7)),"x","")</f>
        <v/>
      </c>
      <c r="R4353" s="79" t="str">
        <f>IF(AND($N4353=$Q$7,$B4353&lt;'111'!$L$11),"x","")</f>
        <v/>
      </c>
      <c r="S4353" s="79" t="str">
        <f>IF(AND($O4353=$Q$7,$B4353&lt;'111'!$L$11),"x","")</f>
        <v/>
      </c>
      <c r="T4353" s="79" t="str">
        <f>IF(ISERROR(FIND('112'!$M$9,G4353,1)),"",IF((AND(FIND('112'!$M$9,G4353,1)&gt;=1,B4353='112'!$K$9,OR($N4353='112'!$I$6,$O4353='112'!$I$6))),"x",""))</f>
        <v/>
      </c>
      <c r="U4353" s="79" t="str">
        <f>IF(ISERROR(FIND('112'!$M$9,G4353,1)),"",IF((AND(LEFT(G4353,2)=LEFT('112'!$M$9,2),B4353&lt;'112'!$K$9,$N4353='112'!$I$6)),"x",""))</f>
        <v/>
      </c>
      <c r="V4353" s="79" t="str">
        <f>IF(ISERROR(FIND('112'!$M$9,G4353,1)),"",IF((AND(RIGHT(G4353,2)=RIGHT('112'!$M$9,2),B4353&lt;'112'!$K$9,$O4353='112'!$I$6)),"x",""))</f>
        <v/>
      </c>
      <c r="W4353" s="79" t="str">
        <f>IF(AND('341-CT'!$H$9=H4353,OR(LEFT(N4353,3)=$W$7,LEFT(O4353,3)=$W$7)),"x","")</f>
        <v/>
      </c>
      <c r="X4353" s="79" t="str">
        <f>IF(OR(TH!N4353=TH!$X$7,O4353=TH!$X$7),"x","")</f>
        <v/>
      </c>
      <c r="Y4353" s="79" t="str">
        <f>IF(AND(OR(N4353="131",O4353="131"),H4353='131-CT'!$H$9),"x","")</f>
        <v/>
      </c>
      <c r="Z4353" s="79"/>
      <c r="AA4353" s="79" t="str">
        <f>IF(AND(MONTH(E4353)='IN-NX'!$J$5,'IN-NX'!$D$7=D4353),"x","")</f>
        <v/>
      </c>
      <c r="AB4353" s="79" t="str">
        <f>IF(AND(OR(LEFT(TH!N4353,2)="15",LEFT(TH!O4353,2)="15"),LEFT(TH!O4353,3)&lt;&gt;"111",'152-CT'!$J$8=TH!F4353),"x","")</f>
        <v/>
      </c>
      <c r="AC4353" s="79" t="str">
        <f>IF(AND(OR(LEFT(TH!N4353,2)="15",LEFT(TH!O4353,2)="15"),TK!$E$7=TH!F4353),"x","")</f>
        <v/>
      </c>
      <c r="AD4353" s="79" t="str">
        <f>IF(AND(N4353="1521",MONTH(C4353)='BK-NL'!$M$11),"x","")</f>
        <v/>
      </c>
    </row>
    <row r="4354" spans="1:30" ht="16.5" customHeight="1">
      <c r="A4354" s="318" t="str">
        <f>IF(B4354&lt;&gt;"",IF(AND(B4354='[3]IN-TC'!$S$4,OR([3]TH!N3585="1111",[3]TH!O3585="1111")),[3]TH!D3585,""),"")</f>
        <v/>
      </c>
      <c r="B4354" s="60" t="str">
        <f t="shared" si="471"/>
        <v/>
      </c>
      <c r="C4354" s="61"/>
      <c r="D4354" s="61"/>
      <c r="E4354" s="301"/>
      <c r="F4354" s="64"/>
      <c r="G4354" s="64"/>
      <c r="H4354" s="321"/>
      <c r="I4354" s="385"/>
      <c r="J4354" s="392"/>
      <c r="K4354" s="385"/>
      <c r="L4354" s="392"/>
      <c r="M4354" s="62"/>
      <c r="N4354" s="971"/>
      <c r="O4354" s="63"/>
      <c r="P4354" s="79" t="str">
        <f>IF(AND('331-CT'!$E$7=TH!H4354,OR(N4354="331",O4354="331")),"x","")</f>
        <v/>
      </c>
      <c r="Q4354" s="79" t="str">
        <f>IF(AND(B4354='111'!$L$11,OR($N4354=$Q$7,$O4354=$Q$7)),"x","")</f>
        <v/>
      </c>
      <c r="R4354" s="79" t="str">
        <f>IF(AND($N4354=$Q$7,$B4354&lt;'111'!$L$11),"x","")</f>
        <v/>
      </c>
      <c r="S4354" s="79" t="str">
        <f>IF(AND($O4354=$Q$7,$B4354&lt;'111'!$L$11),"x","")</f>
        <v/>
      </c>
      <c r="T4354" s="79" t="str">
        <f>IF(ISERROR(FIND('112'!$M$9,G4354,1)),"",IF((AND(FIND('112'!$M$9,G4354,1)&gt;=1,B4354='112'!$K$9,OR($N4354='112'!$I$6,$O4354='112'!$I$6))),"x",""))</f>
        <v/>
      </c>
      <c r="U4354" s="79" t="str">
        <f>IF(ISERROR(FIND('112'!$M$9,G4354,1)),"",IF((AND(LEFT(G4354,2)=LEFT('112'!$M$9,2),B4354&lt;'112'!$K$9,$N4354='112'!$I$6)),"x",""))</f>
        <v/>
      </c>
      <c r="V4354" s="79" t="str">
        <f>IF(ISERROR(FIND('112'!$M$9,G4354,1)),"",IF((AND(RIGHT(G4354,2)=RIGHT('112'!$M$9,2),B4354&lt;'112'!$K$9,$O4354='112'!$I$6)),"x",""))</f>
        <v/>
      </c>
      <c r="W4354" s="79" t="str">
        <f>IF(AND('341-CT'!$H$9=H4354,OR(LEFT(N4354,3)=$W$7,LEFT(O4354,3)=$W$7)),"x","")</f>
        <v/>
      </c>
      <c r="X4354" s="79" t="str">
        <f>IF(OR(TH!N4354=TH!$X$7,O4354=TH!$X$7),"x","")</f>
        <v/>
      </c>
      <c r="Y4354" s="79" t="str">
        <f>IF(AND(OR(N4354="131",O4354="131"),H4354='131-CT'!$H$9),"x","")</f>
        <v/>
      </c>
      <c r="Z4354" s="79"/>
      <c r="AA4354" s="79" t="str">
        <f>IF(AND(MONTH(E4354)='IN-NX'!$J$5,'IN-NX'!$D$7=D4354),"x","")</f>
        <v/>
      </c>
      <c r="AB4354" s="79" t="str">
        <f>IF(AND(OR(LEFT(TH!N4354,2)="15",LEFT(TH!O4354,2)="15"),LEFT(TH!O4354,3)&lt;&gt;"111",'152-CT'!$J$8=TH!F4354),"x","")</f>
        <v/>
      </c>
      <c r="AC4354" s="79" t="str">
        <f>IF(AND(OR(LEFT(TH!N4354,2)="15",LEFT(TH!O4354,2)="15"),TK!$E$7=TH!F4354),"x","")</f>
        <v/>
      </c>
      <c r="AD4354" s="79" t="str">
        <f>IF(AND(N4354="1521",MONTH(C4354)='BK-NL'!$M$11),"x","")</f>
        <v/>
      </c>
    </row>
    <row r="4355" spans="1:30" ht="16.5" customHeight="1">
      <c r="A4355" s="318" t="str">
        <f>IF(B4355&lt;&gt;"",IF(AND(B4355='[3]IN-TC'!$S$4,OR([3]TH!N3586="1111",[3]TH!O3586="1111")),[3]TH!D3586,""),"")</f>
        <v/>
      </c>
      <c r="B4355" s="60" t="str">
        <f t="shared" si="471"/>
        <v/>
      </c>
      <c r="C4355" s="61"/>
      <c r="D4355" s="61"/>
      <c r="E4355" s="301"/>
      <c r="F4355" s="64"/>
      <c r="G4355" s="64"/>
      <c r="H4355" s="321"/>
      <c r="I4355" s="385"/>
      <c r="J4355" s="392"/>
      <c r="K4355" s="385"/>
      <c r="L4355" s="392"/>
      <c r="M4355" s="62"/>
      <c r="N4355" s="971"/>
      <c r="O4355" s="63"/>
      <c r="P4355" s="79" t="str">
        <f>IF(AND('331-CT'!$E$7=TH!H4355,OR(N4355="331",O4355="331")),"x","")</f>
        <v/>
      </c>
      <c r="Q4355" s="79" t="str">
        <f>IF(AND(B4355='111'!$L$11,OR($N4355=$Q$7,$O4355=$Q$7)),"x","")</f>
        <v/>
      </c>
      <c r="R4355" s="79" t="str">
        <f>IF(AND($N4355=$Q$7,$B4355&lt;'111'!$L$11),"x","")</f>
        <v/>
      </c>
      <c r="S4355" s="79" t="str">
        <f>IF(AND($O4355=$Q$7,$B4355&lt;'111'!$L$11),"x","")</f>
        <v/>
      </c>
      <c r="T4355" s="79" t="str">
        <f>IF(ISERROR(FIND('112'!$M$9,G4355,1)),"",IF((AND(FIND('112'!$M$9,G4355,1)&gt;=1,B4355='112'!$K$9,OR($N4355='112'!$I$6,$O4355='112'!$I$6))),"x",""))</f>
        <v/>
      </c>
      <c r="U4355" s="79" t="str">
        <f>IF(ISERROR(FIND('112'!$M$9,G4355,1)),"",IF((AND(LEFT(G4355,2)=LEFT('112'!$M$9,2),B4355&lt;'112'!$K$9,$N4355='112'!$I$6)),"x",""))</f>
        <v/>
      </c>
      <c r="V4355" s="79" t="str">
        <f>IF(ISERROR(FIND('112'!$M$9,G4355,1)),"",IF((AND(RIGHT(G4355,2)=RIGHT('112'!$M$9,2),B4355&lt;'112'!$K$9,$O4355='112'!$I$6)),"x",""))</f>
        <v/>
      </c>
      <c r="W4355" s="79" t="str">
        <f>IF(AND('341-CT'!$H$9=H4355,OR(LEFT(N4355,3)=$W$7,LEFT(O4355,3)=$W$7)),"x","")</f>
        <v/>
      </c>
      <c r="X4355" s="79" t="str">
        <f>IF(OR(TH!N4355=TH!$X$7,O4355=TH!$X$7),"x","")</f>
        <v/>
      </c>
      <c r="Y4355" s="79" t="str">
        <f>IF(AND(OR(N4355="131",O4355="131"),H4355='131-CT'!$H$9),"x","")</f>
        <v/>
      </c>
      <c r="Z4355" s="79"/>
      <c r="AA4355" s="79" t="str">
        <f>IF(AND(MONTH(E4355)='IN-NX'!$J$5,'IN-NX'!$D$7=D4355),"x","")</f>
        <v/>
      </c>
      <c r="AB4355" s="79" t="str">
        <f>IF(AND(OR(LEFT(TH!N4355,2)="15",LEFT(TH!O4355,2)="15"),LEFT(TH!O4355,3)&lt;&gt;"111",'152-CT'!$J$8=TH!F4355),"x","")</f>
        <v/>
      </c>
      <c r="AC4355" s="79" t="str">
        <f>IF(AND(OR(LEFT(TH!N4355,2)="15",LEFT(TH!O4355,2)="15"),TK!$E$7=TH!F4355),"x","")</f>
        <v/>
      </c>
      <c r="AD4355" s="79" t="str">
        <f>IF(AND(N4355="1521",MONTH(C4355)='BK-NL'!$M$11),"x","")</f>
        <v/>
      </c>
    </row>
    <row r="4356" spans="1:30" ht="16.5" customHeight="1">
      <c r="A4356" s="318" t="str">
        <f>IF(B4356&lt;&gt;"",IF(AND(B4356='[3]IN-TC'!$S$4,OR([3]TH!N3587="1111",[3]TH!O3587="1111")),[3]TH!D3587,""),"")</f>
        <v/>
      </c>
      <c r="B4356" s="60" t="str">
        <f t="shared" si="471"/>
        <v/>
      </c>
      <c r="C4356" s="61"/>
      <c r="D4356" s="61"/>
      <c r="E4356" s="301"/>
      <c r="F4356" s="64"/>
      <c r="G4356" s="64"/>
      <c r="H4356" s="321"/>
      <c r="I4356" s="385"/>
      <c r="J4356" s="392"/>
      <c r="K4356" s="385"/>
      <c r="L4356" s="392"/>
      <c r="M4356" s="62"/>
      <c r="N4356" s="971"/>
      <c r="O4356" s="63"/>
      <c r="P4356" s="79" t="str">
        <f>IF(AND('331-CT'!$E$7=TH!H4356,OR(N4356="331",O4356="331")),"x","")</f>
        <v/>
      </c>
      <c r="Q4356" s="79" t="str">
        <f>IF(AND(B4356='111'!$L$11,OR($N4356=$Q$7,$O4356=$Q$7)),"x","")</f>
        <v/>
      </c>
      <c r="R4356" s="79" t="str">
        <f>IF(AND($N4356=$Q$7,$B4356&lt;'111'!$L$11),"x","")</f>
        <v/>
      </c>
      <c r="S4356" s="79" t="str">
        <f>IF(AND($O4356=$Q$7,$B4356&lt;'111'!$L$11),"x","")</f>
        <v/>
      </c>
      <c r="T4356" s="79" t="str">
        <f>IF(ISERROR(FIND('112'!$M$9,G4356,1)),"",IF((AND(FIND('112'!$M$9,G4356,1)&gt;=1,B4356='112'!$K$9,OR($N4356='112'!$I$6,$O4356='112'!$I$6))),"x",""))</f>
        <v/>
      </c>
      <c r="U4356" s="79" t="str">
        <f>IF(ISERROR(FIND('112'!$M$9,G4356,1)),"",IF((AND(LEFT(G4356,2)=LEFT('112'!$M$9,2),B4356&lt;'112'!$K$9,$N4356='112'!$I$6)),"x",""))</f>
        <v/>
      </c>
      <c r="V4356" s="79" t="str">
        <f>IF(ISERROR(FIND('112'!$M$9,G4356,1)),"",IF((AND(RIGHT(G4356,2)=RIGHT('112'!$M$9,2),B4356&lt;'112'!$K$9,$O4356='112'!$I$6)),"x",""))</f>
        <v/>
      </c>
      <c r="W4356" s="79" t="str">
        <f>IF(AND('341-CT'!$H$9=H4356,OR(LEFT(N4356,3)=$W$7,LEFT(O4356,3)=$W$7)),"x","")</f>
        <v/>
      </c>
      <c r="X4356" s="79" t="str">
        <f>IF(OR(TH!N4356=TH!$X$7,O4356=TH!$X$7),"x","")</f>
        <v/>
      </c>
      <c r="Y4356" s="79" t="str">
        <f>IF(AND(OR(N4356="131",O4356="131"),H4356='131-CT'!$H$9),"x","")</f>
        <v/>
      </c>
      <c r="Z4356" s="79"/>
      <c r="AA4356" s="79" t="str">
        <f>IF(AND(MONTH(E4356)='IN-NX'!$J$5,'IN-NX'!$D$7=D4356),"x","")</f>
        <v/>
      </c>
      <c r="AB4356" s="79" t="str">
        <f>IF(AND(OR(LEFT(TH!N4356,2)="15",LEFT(TH!O4356,2)="15"),LEFT(TH!O4356,3)&lt;&gt;"111",'152-CT'!$J$8=TH!F4356),"x","")</f>
        <v/>
      </c>
      <c r="AC4356" s="79" t="str">
        <f>IF(AND(OR(LEFT(TH!N4356,2)="15",LEFT(TH!O4356,2)="15"),TK!$E$7=TH!F4356),"x","")</f>
        <v/>
      </c>
      <c r="AD4356" s="79" t="str">
        <f>IF(AND(N4356="1521",MONTH(C4356)='BK-NL'!$M$11),"x","")</f>
        <v/>
      </c>
    </row>
    <row r="4357" spans="1:30" ht="16.5" customHeight="1">
      <c r="A4357" s="318" t="str">
        <f>IF(B4357&lt;&gt;"",IF(AND(B4357='[3]IN-TC'!$S$4,OR([3]TH!N3588="1111",[3]TH!O3588="1111")),[3]TH!D3588,""),"")</f>
        <v/>
      </c>
      <c r="B4357" s="60" t="str">
        <f t="shared" si="471"/>
        <v/>
      </c>
      <c r="C4357" s="61"/>
      <c r="D4357" s="61"/>
      <c r="E4357" s="61"/>
      <c r="F4357" s="64"/>
      <c r="G4357" s="64"/>
      <c r="H4357" s="321"/>
      <c r="I4357" s="385"/>
      <c r="J4357" s="392"/>
      <c r="K4357" s="385"/>
      <c r="L4357" s="392"/>
      <c r="M4357" s="62"/>
      <c r="N4357" s="971"/>
      <c r="O4357" s="63"/>
      <c r="P4357" s="79" t="str">
        <f>IF(AND('331-CT'!$E$7=TH!H4357,OR(N4357="331",O4357="331")),"x","")</f>
        <v/>
      </c>
      <c r="Q4357" s="79" t="str">
        <f>IF(AND(B4357='111'!$L$11,OR($N4357=$Q$7,$O4357=$Q$7)),"x","")</f>
        <v/>
      </c>
      <c r="R4357" s="79" t="str">
        <f>IF(AND($N4357=$Q$7,$B4357&lt;'111'!$L$11),"x","")</f>
        <v/>
      </c>
      <c r="S4357" s="79" t="str">
        <f>IF(AND($O4357=$Q$7,$B4357&lt;'111'!$L$11),"x","")</f>
        <v/>
      </c>
      <c r="T4357" s="79" t="str">
        <f>IF(ISERROR(FIND('112'!$M$9,G4357,1)),"",IF((AND(FIND('112'!$M$9,G4357,1)&gt;=1,B4357='112'!$K$9,OR($N4357='112'!$I$6,$O4357='112'!$I$6))),"x",""))</f>
        <v/>
      </c>
      <c r="U4357" s="79" t="str">
        <f>IF(ISERROR(FIND('112'!$M$9,G4357,1)),"",IF((AND(LEFT(G4357,2)=LEFT('112'!$M$9,2),B4357&lt;'112'!$K$9,$N4357='112'!$I$6)),"x",""))</f>
        <v/>
      </c>
      <c r="V4357" s="79" t="str">
        <f>IF(ISERROR(FIND('112'!$M$9,G4357,1)),"",IF((AND(RIGHT(G4357,2)=RIGHT('112'!$M$9,2),B4357&lt;'112'!$K$9,$O4357='112'!$I$6)),"x",""))</f>
        <v/>
      </c>
      <c r="W4357" s="79" t="str">
        <f>IF(AND('341-CT'!$H$9=H4357,OR(LEFT(N4357,3)=$W$7,LEFT(O4357,3)=$W$7)),"x","")</f>
        <v/>
      </c>
      <c r="X4357" s="79" t="str">
        <f>IF(OR(TH!N4357=TH!$X$7,O4357=TH!$X$7),"x","")</f>
        <v/>
      </c>
      <c r="Y4357" s="79" t="str">
        <f>IF(AND(OR(N4357="131",O4357="131"),H4357='131-CT'!$H$9),"x","")</f>
        <v/>
      </c>
      <c r="Z4357" s="79"/>
      <c r="AA4357" s="79" t="str">
        <f>IF(AND(MONTH(E4357)='IN-NX'!$J$5,'IN-NX'!$D$7=D4357),"x","")</f>
        <v/>
      </c>
      <c r="AB4357" s="79" t="str">
        <f>IF(AND(OR(LEFT(TH!N4357,2)="15",LEFT(TH!O4357,2)="15"),LEFT(TH!O4357,3)&lt;&gt;"111",'152-CT'!$J$8=TH!F4357),"x","")</f>
        <v/>
      </c>
      <c r="AC4357" s="79" t="str">
        <f>IF(AND(OR(LEFT(TH!N4357,2)="15",LEFT(TH!O4357,2)="15"),TK!$E$7=TH!F4357),"x","")</f>
        <v/>
      </c>
      <c r="AD4357" s="79" t="str">
        <f>IF(AND(N4357="1521",MONTH(C4357)='BK-NL'!$M$11),"x","")</f>
        <v/>
      </c>
    </row>
    <row r="4358" spans="1:30" ht="16.5" customHeight="1">
      <c r="A4358" s="318" t="str">
        <f>IF(B4358&lt;&gt;"",IF(AND(B4358='[3]IN-TC'!$S$4,OR([3]TH!N3589="1111",[3]TH!O3589="1111")),[3]TH!D3589,""),"")</f>
        <v/>
      </c>
      <c r="B4358" s="60" t="str">
        <f t="shared" si="471"/>
        <v/>
      </c>
      <c r="C4358" s="61"/>
      <c r="D4358" s="61"/>
      <c r="E4358" s="301"/>
      <c r="F4358" s="64"/>
      <c r="G4358" s="64"/>
      <c r="H4358" s="321"/>
      <c r="I4358" s="385"/>
      <c r="J4358" s="392"/>
      <c r="K4358" s="385"/>
      <c r="L4358" s="392"/>
      <c r="M4358" s="62"/>
      <c r="N4358" s="971"/>
      <c r="O4358" s="63"/>
      <c r="P4358" s="79" t="str">
        <f>IF(AND('331-CT'!$E$7=TH!H4358,OR(N4358="331",O4358="331")),"x","")</f>
        <v/>
      </c>
      <c r="Q4358" s="79" t="str">
        <f>IF(AND(B4358='111'!$L$11,OR($N4358=$Q$7,$O4358=$Q$7)),"x","")</f>
        <v/>
      </c>
      <c r="R4358" s="79" t="str">
        <f>IF(AND($N4358=$Q$7,$B4358&lt;'111'!$L$11),"x","")</f>
        <v/>
      </c>
      <c r="S4358" s="79" t="str">
        <f>IF(AND($O4358=$Q$7,$B4358&lt;'111'!$L$11),"x","")</f>
        <v/>
      </c>
      <c r="T4358" s="79" t="str">
        <f>IF(ISERROR(FIND('112'!$M$9,G4358,1)),"",IF((AND(FIND('112'!$M$9,G4358,1)&gt;=1,B4358='112'!$K$9,OR($N4358='112'!$I$6,$O4358='112'!$I$6))),"x",""))</f>
        <v/>
      </c>
      <c r="U4358" s="79" t="str">
        <f>IF(ISERROR(FIND('112'!$M$9,G4358,1)),"",IF((AND(LEFT(G4358,2)=LEFT('112'!$M$9,2),B4358&lt;'112'!$K$9,$N4358='112'!$I$6)),"x",""))</f>
        <v/>
      </c>
      <c r="V4358" s="79" t="str">
        <f>IF(ISERROR(FIND('112'!$M$9,G4358,1)),"",IF((AND(RIGHT(G4358,2)=RIGHT('112'!$M$9,2),B4358&lt;'112'!$K$9,$O4358='112'!$I$6)),"x",""))</f>
        <v/>
      </c>
      <c r="W4358" s="79" t="str">
        <f>IF(AND('341-CT'!$H$9=H4358,OR(LEFT(N4358,3)=$W$7,LEFT(O4358,3)=$W$7)),"x","")</f>
        <v/>
      </c>
      <c r="X4358" s="79" t="str">
        <f>IF(OR(TH!N4358=TH!$X$7,O4358=TH!$X$7),"x","")</f>
        <v/>
      </c>
      <c r="Y4358" s="79" t="str">
        <f>IF(AND(OR(N4358="131",O4358="131"),H4358='131-CT'!$H$9),"x","")</f>
        <v/>
      </c>
      <c r="Z4358" s="79"/>
      <c r="AA4358" s="79" t="str">
        <f>IF(AND(MONTH(E4358)='IN-NX'!$J$5,'IN-NX'!$D$7=D4358),"x","")</f>
        <v/>
      </c>
      <c r="AB4358" s="79" t="str">
        <f>IF(AND(OR(LEFT(TH!N4358,2)="15",LEFT(TH!O4358,2)="15"),LEFT(TH!O4358,3)&lt;&gt;"111",'152-CT'!$J$8=TH!F4358),"x","")</f>
        <v/>
      </c>
      <c r="AC4358" s="79" t="str">
        <f>IF(AND(OR(LEFT(TH!N4358,2)="15",LEFT(TH!O4358,2)="15"),TK!$E$7=TH!F4358),"x","")</f>
        <v/>
      </c>
      <c r="AD4358" s="79" t="str">
        <f>IF(AND(N4358="1521",MONTH(C4358)='BK-NL'!$M$11),"x","")</f>
        <v/>
      </c>
    </row>
    <row r="4359" spans="1:30" ht="16.5" customHeight="1">
      <c r="A4359" s="318" t="str">
        <f>IF(B4359&lt;&gt;"",IF(AND(B4359='[3]IN-TC'!$S$4,OR([3]TH!N3590="1111",[3]TH!O3590="1111")),[3]TH!D3590,""),"")</f>
        <v/>
      </c>
      <c r="B4359" s="60" t="str">
        <f t="shared" si="471"/>
        <v/>
      </c>
      <c r="C4359" s="61"/>
      <c r="D4359" s="61"/>
      <c r="E4359" s="301"/>
      <c r="F4359" s="64"/>
      <c r="G4359" s="64"/>
      <c r="H4359" s="321"/>
      <c r="I4359" s="385"/>
      <c r="J4359" s="392"/>
      <c r="K4359" s="385"/>
      <c r="L4359" s="392"/>
      <c r="M4359" s="62"/>
      <c r="N4359" s="971"/>
      <c r="O4359" s="63"/>
      <c r="P4359" s="79" t="str">
        <f>IF(AND('331-CT'!$E$7=TH!H4359,OR(N4359="331",O4359="331")),"x","")</f>
        <v/>
      </c>
      <c r="Q4359" s="79" t="str">
        <f>IF(AND(B4359='111'!$L$11,OR($N4359=$Q$7,$O4359=$Q$7)),"x","")</f>
        <v/>
      </c>
      <c r="R4359" s="79" t="str">
        <f>IF(AND($N4359=$Q$7,$B4359&lt;'111'!$L$11),"x","")</f>
        <v/>
      </c>
      <c r="S4359" s="79" t="str">
        <f>IF(AND($O4359=$Q$7,$B4359&lt;'111'!$L$11),"x","")</f>
        <v/>
      </c>
      <c r="T4359" s="79" t="str">
        <f>IF(ISERROR(FIND('112'!$M$9,G4359,1)),"",IF((AND(FIND('112'!$M$9,G4359,1)&gt;=1,B4359='112'!$K$9,OR($N4359='112'!$I$6,$O4359='112'!$I$6))),"x",""))</f>
        <v/>
      </c>
      <c r="U4359" s="79" t="str">
        <f>IF(ISERROR(FIND('112'!$M$9,G4359,1)),"",IF((AND(LEFT(G4359,2)=LEFT('112'!$M$9,2),B4359&lt;'112'!$K$9,$N4359='112'!$I$6)),"x",""))</f>
        <v/>
      </c>
      <c r="V4359" s="79" t="str">
        <f>IF(ISERROR(FIND('112'!$M$9,G4359,1)),"",IF((AND(RIGHT(G4359,2)=RIGHT('112'!$M$9,2),B4359&lt;'112'!$K$9,$O4359='112'!$I$6)),"x",""))</f>
        <v/>
      </c>
      <c r="W4359" s="79" t="str">
        <f>IF(AND('341-CT'!$H$9=H4359,OR(LEFT(N4359,3)=$W$7,LEFT(O4359,3)=$W$7)),"x","")</f>
        <v/>
      </c>
      <c r="X4359" s="79" t="str">
        <f>IF(OR(TH!N4359=TH!$X$7,O4359=TH!$X$7),"x","")</f>
        <v/>
      </c>
      <c r="Y4359" s="79" t="str">
        <f>IF(AND(OR(N4359="131",O4359="131"),H4359='131-CT'!$H$9),"x","")</f>
        <v/>
      </c>
      <c r="Z4359" s="79"/>
      <c r="AA4359" s="79" t="str">
        <f>IF(AND(MONTH(E4359)='IN-NX'!$J$5,'IN-NX'!$D$7=D4359),"x","")</f>
        <v/>
      </c>
      <c r="AB4359" s="79" t="str">
        <f>IF(AND(OR(LEFT(TH!N4359,2)="15",LEFT(TH!O4359,2)="15"),LEFT(TH!O4359,3)&lt;&gt;"111",'152-CT'!$J$8=TH!F4359),"x","")</f>
        <v/>
      </c>
      <c r="AC4359" s="79" t="str">
        <f>IF(AND(OR(LEFT(TH!N4359,2)="15",LEFT(TH!O4359,2)="15"),TK!$E$7=TH!F4359),"x","")</f>
        <v/>
      </c>
      <c r="AD4359" s="79" t="str">
        <f>IF(AND(N4359="1521",MONTH(C4359)='BK-NL'!$M$11),"x","")</f>
        <v/>
      </c>
    </row>
    <row r="4360" spans="1:30" ht="16.5" customHeight="1">
      <c r="A4360" s="318" t="str">
        <f>IF(B4360&lt;&gt;"",IF(AND(B4360='[3]IN-TC'!$S$4,OR([3]TH!N3591="1111",[3]TH!O3591="1111")),[3]TH!D3591,""),"")</f>
        <v/>
      </c>
      <c r="B4360" s="60" t="str">
        <f t="shared" si="471"/>
        <v/>
      </c>
      <c r="C4360" s="61"/>
      <c r="D4360" s="61"/>
      <c r="E4360" s="61"/>
      <c r="F4360" s="302"/>
      <c r="G4360" s="64"/>
      <c r="H4360" s="321"/>
      <c r="I4360" s="385"/>
      <c r="J4360" s="392"/>
      <c r="K4360" s="385"/>
      <c r="L4360" s="392"/>
      <c r="M4360" s="970"/>
      <c r="N4360" s="63"/>
      <c r="O4360" s="63"/>
      <c r="P4360" s="79" t="str">
        <f>IF(AND('331-CT'!$E$7=TH!H4360,OR(N4360="331",O4360="331")),"x","")</f>
        <v/>
      </c>
      <c r="Q4360" s="79" t="str">
        <f>IF(AND(B4360='111'!$L$11,OR($N4360=$Q$7,$O4360=$Q$7)),"x","")</f>
        <v/>
      </c>
      <c r="R4360" s="79" t="str">
        <f>IF(AND($N4360=$Q$7,$B4360&lt;'111'!$L$11),"x","")</f>
        <v/>
      </c>
      <c r="S4360" s="79" t="str">
        <f>IF(AND($O4360=$Q$7,$B4360&lt;'111'!$L$11),"x","")</f>
        <v/>
      </c>
      <c r="T4360" s="79" t="str">
        <f>IF(ISERROR(FIND('112'!$M$9,G4360,1)),"",IF((AND(FIND('112'!$M$9,G4360,1)&gt;=1,B4360='112'!$K$9,OR($N4360='112'!$I$6,$O4360='112'!$I$6))),"x",""))</f>
        <v/>
      </c>
      <c r="U4360" s="79" t="str">
        <f>IF(ISERROR(FIND('112'!$M$9,G4360,1)),"",IF((AND(LEFT(G4360,2)=LEFT('112'!$M$9,2),B4360&lt;'112'!$K$9,$N4360='112'!$I$6)),"x",""))</f>
        <v/>
      </c>
      <c r="V4360" s="79" t="str">
        <f>IF(ISERROR(FIND('112'!$M$9,G4360,1)),"",IF((AND(RIGHT(G4360,2)=RIGHT('112'!$M$9,2),B4360&lt;'112'!$K$9,$O4360='112'!$I$6)),"x",""))</f>
        <v/>
      </c>
      <c r="W4360" s="79" t="str">
        <f>IF(AND('341-CT'!$H$9=H4360,OR(LEFT(N4360,3)=$W$7,LEFT(O4360,3)=$W$7)),"x","")</f>
        <v/>
      </c>
      <c r="X4360" s="79" t="str">
        <f>IF(OR(TH!N4360=TH!$X$7,O4360=TH!$X$7),"x","")</f>
        <v/>
      </c>
      <c r="Y4360" s="79" t="str">
        <f>IF(AND(OR(N4360="131",O4360="131"),H4360='131-CT'!$H$9),"x","")</f>
        <v/>
      </c>
      <c r="Z4360" s="79"/>
      <c r="AA4360" s="79" t="str">
        <f>IF(AND(MONTH(E4360)='IN-NX'!$J$5,'IN-NX'!$D$7=D4360),"x","")</f>
        <v/>
      </c>
      <c r="AB4360" s="79" t="str">
        <f>IF(AND(OR(LEFT(TH!N4360,2)="15",LEFT(TH!O4360,2)="15"),LEFT(TH!O4360,3)&lt;&gt;"111",'152-CT'!$J$8=TH!F4360),"x","")</f>
        <v/>
      </c>
      <c r="AC4360" s="79" t="str">
        <f>IF(AND(OR(LEFT(TH!N4360,2)="15",LEFT(TH!O4360,2)="15"),TK!$E$7=TH!F4360),"x","")</f>
        <v/>
      </c>
      <c r="AD4360" s="79" t="str">
        <f>IF(AND(N4360="1521",MONTH(C4360)='BK-NL'!$M$11),"x","")</f>
        <v/>
      </c>
    </row>
    <row r="4361" spans="1:30" ht="16.5" customHeight="1">
      <c r="A4361" s="318" t="str">
        <f>IF(B4361&lt;&gt;"",IF(AND(B4361='[3]IN-TC'!$S$4,OR([3]TH!N3592="1111",[3]TH!O3592="1111")),[3]TH!D3592,""),"")</f>
        <v/>
      </c>
      <c r="B4361" s="60" t="str">
        <f t="shared" si="471"/>
        <v/>
      </c>
      <c r="C4361" s="301"/>
      <c r="D4361" s="301"/>
      <c r="E4361" s="301"/>
      <c r="F4361" s="302"/>
      <c r="G4361" s="988"/>
      <c r="H4361" s="69"/>
      <c r="I4361" s="385"/>
      <c r="J4361" s="969"/>
      <c r="K4361" s="385"/>
      <c r="L4361" s="392"/>
      <c r="M4361" s="970"/>
      <c r="N4361" s="304"/>
      <c r="O4361" s="304"/>
      <c r="P4361" s="79" t="str">
        <f>IF(AND('331-CT'!$E$7=TH!H4361,OR(N4361="331",O4361="331")),"x","")</f>
        <v/>
      </c>
      <c r="Q4361" s="79" t="str">
        <f>IF(AND(B4361='111'!$L$11,OR($N4361=$Q$7,$O4361=$Q$7)),"x","")</f>
        <v/>
      </c>
      <c r="R4361" s="79" t="str">
        <f>IF(AND($N4361=$Q$7,$B4361&lt;'111'!$L$11),"x","")</f>
        <v/>
      </c>
      <c r="S4361" s="79" t="str">
        <f>IF(AND($O4361=$Q$7,$B4361&lt;'111'!$L$11),"x","")</f>
        <v/>
      </c>
      <c r="T4361" s="79" t="str">
        <f>IF(ISERROR(FIND('112'!$M$9,G4361,1)),"",IF((AND(FIND('112'!$M$9,G4361,1)&gt;=1,B4361='112'!$K$9,OR($N4361='112'!$I$6,$O4361='112'!$I$6))),"x",""))</f>
        <v/>
      </c>
      <c r="U4361" s="79" t="str">
        <f>IF(ISERROR(FIND('112'!$M$9,G4361,1)),"",IF((AND(LEFT(G4361,2)=LEFT('112'!$M$9,2),B4361&lt;'112'!$K$9,$N4361='112'!$I$6)),"x",""))</f>
        <v/>
      </c>
      <c r="V4361" s="79" t="str">
        <f>IF(ISERROR(FIND('112'!$M$9,G4361,1)),"",IF((AND(RIGHT(G4361,2)=RIGHT('112'!$M$9,2),B4361&lt;'112'!$K$9,$O4361='112'!$I$6)),"x",""))</f>
        <v/>
      </c>
      <c r="W4361" s="79" t="str">
        <f>IF(AND('341-CT'!$H$9=H4361,OR(LEFT(N4361,3)=$W$7,LEFT(O4361,3)=$W$7)),"x","")</f>
        <v/>
      </c>
      <c r="X4361" s="79" t="str">
        <f>IF(OR(TH!N4361=TH!$X$7,O4361=TH!$X$7),"x","")</f>
        <v/>
      </c>
      <c r="Y4361" s="79" t="str">
        <f>IF(AND(OR(N4361="131",O4361="131"),H4361='131-CT'!$H$9),"x","")</f>
        <v/>
      </c>
      <c r="Z4361" s="79"/>
      <c r="AA4361" s="79" t="str">
        <f>IF(AND(MONTH(E4361)='IN-NX'!$J$5,'IN-NX'!$D$7=D4361),"x","")</f>
        <v/>
      </c>
      <c r="AB4361" s="79" t="str">
        <f>IF(AND(OR(LEFT(TH!N4361,2)="15",LEFT(TH!O4361,2)="15"),LEFT(TH!O4361,3)&lt;&gt;"111",'152-CT'!$J$8=TH!F4361),"x","")</f>
        <v/>
      </c>
      <c r="AC4361" s="79" t="str">
        <f>IF(AND(OR(LEFT(TH!N4361,2)="15",LEFT(TH!O4361,2)="15"),TK!$E$7=TH!F4361),"x","")</f>
        <v/>
      </c>
      <c r="AD4361" s="79" t="str">
        <f>IF(AND(N4361="1521",MONTH(C4361)='BK-NL'!$M$11),"x","")</f>
        <v/>
      </c>
    </row>
    <row r="4362" spans="1:30" ht="16.5" customHeight="1">
      <c r="A4362" s="318" t="str">
        <f>IF(B4362&lt;&gt;"",IF(AND(B4362='[3]IN-TC'!$S$4,OR([3]TH!N3593="1111",[3]TH!O3593="1111")),[3]TH!D3593,""),"")</f>
        <v/>
      </c>
      <c r="B4362" s="60" t="str">
        <f t="shared" si="471"/>
        <v/>
      </c>
      <c r="C4362" s="61"/>
      <c r="D4362" s="61"/>
      <c r="E4362" s="61"/>
      <c r="F4362" s="64"/>
      <c r="G4362" s="64"/>
      <c r="H4362" s="321"/>
      <c r="I4362" s="385"/>
      <c r="J4362" s="392"/>
      <c r="K4362" s="385"/>
      <c r="L4362" s="392"/>
      <c r="M4362" s="62"/>
      <c r="N4362" s="971"/>
      <c r="O4362" s="63"/>
      <c r="P4362" s="79" t="str">
        <f>IF(AND('331-CT'!$E$7=TH!H4362,OR(N4362="331",O4362="331")),"x","")</f>
        <v/>
      </c>
      <c r="Q4362" s="79" t="str">
        <f>IF(AND(B4362='111'!$L$11,OR($N4362=$Q$7,$O4362=$Q$7)),"x","")</f>
        <v/>
      </c>
      <c r="R4362" s="79" t="str">
        <f>IF(AND($N4362=$Q$7,$B4362&lt;'111'!$L$11),"x","")</f>
        <v/>
      </c>
      <c r="S4362" s="79" t="str">
        <f>IF(AND($O4362=$Q$7,$B4362&lt;'111'!$L$11),"x","")</f>
        <v/>
      </c>
      <c r="T4362" s="79" t="str">
        <f>IF(ISERROR(FIND('112'!$M$9,G4362,1)),"",IF((AND(FIND('112'!$M$9,G4362,1)&gt;=1,B4362='112'!$K$9,OR($N4362='112'!$I$6,$O4362='112'!$I$6))),"x",""))</f>
        <v/>
      </c>
      <c r="U4362" s="79" t="str">
        <f>IF(ISERROR(FIND('112'!$M$9,G4362,1)),"",IF((AND(LEFT(G4362,2)=LEFT('112'!$M$9,2),B4362&lt;'112'!$K$9,$N4362='112'!$I$6)),"x",""))</f>
        <v/>
      </c>
      <c r="V4362" s="79" t="str">
        <f>IF(ISERROR(FIND('112'!$M$9,G4362,1)),"",IF((AND(RIGHT(G4362,2)=RIGHT('112'!$M$9,2),B4362&lt;'112'!$K$9,$O4362='112'!$I$6)),"x",""))</f>
        <v/>
      </c>
      <c r="W4362" s="79" t="str">
        <f>IF(AND('341-CT'!$H$9=H4362,OR(LEFT(N4362,3)=$W$7,LEFT(O4362,3)=$W$7)),"x","")</f>
        <v/>
      </c>
      <c r="X4362" s="79" t="str">
        <f>IF(OR(TH!N4362=TH!$X$7,O4362=TH!$X$7),"x","")</f>
        <v/>
      </c>
      <c r="Y4362" s="79" t="str">
        <f>IF(AND(OR(N4362="131",O4362="131"),H4362='131-CT'!$H$9),"x","")</f>
        <v/>
      </c>
      <c r="Z4362" s="79"/>
      <c r="AA4362" s="79" t="str">
        <f>IF(AND(MONTH(E4362)='IN-NX'!$J$5,'IN-NX'!$D$7=D4362),"x","")</f>
        <v/>
      </c>
      <c r="AB4362" s="79" t="str">
        <f>IF(AND(OR(LEFT(TH!N4362,2)="15",LEFT(TH!O4362,2)="15"),LEFT(TH!O4362,3)&lt;&gt;"111",'152-CT'!$J$8=TH!F4362),"x","")</f>
        <v/>
      </c>
      <c r="AC4362" s="79" t="str">
        <f>IF(AND(OR(LEFT(TH!N4362,2)="15",LEFT(TH!O4362,2)="15"),TK!$E$7=TH!F4362),"x","")</f>
        <v/>
      </c>
      <c r="AD4362" s="79" t="str">
        <f>IF(AND(N4362="1521",MONTH(C4362)='BK-NL'!$M$11),"x","")</f>
        <v/>
      </c>
    </row>
    <row r="4363" spans="1:30" ht="16.5" customHeight="1">
      <c r="A4363" s="318" t="str">
        <f>IF(B4363&lt;&gt;"",IF(AND(B4363='[3]IN-TC'!$S$4,OR([3]TH!N3594="1111",[3]TH!O3594="1111")),[3]TH!D3594,""),"")</f>
        <v/>
      </c>
      <c r="B4363" s="60" t="str">
        <f t="shared" si="471"/>
        <v/>
      </c>
      <c r="C4363" s="61"/>
      <c r="D4363" s="61"/>
      <c r="E4363" s="61"/>
      <c r="F4363" s="64"/>
      <c r="G4363" s="64"/>
      <c r="H4363" s="321"/>
      <c r="I4363" s="385"/>
      <c r="J4363" s="392"/>
      <c r="K4363" s="385"/>
      <c r="L4363" s="392"/>
      <c r="M4363" s="62"/>
      <c r="N4363" s="971"/>
      <c r="O4363" s="63"/>
      <c r="P4363" s="79" t="str">
        <f>IF(AND('331-CT'!$E$7=TH!H4363,OR(N4363="331",O4363="331")),"x","")</f>
        <v/>
      </c>
      <c r="Q4363" s="79" t="str">
        <f>IF(AND(B4363='111'!$L$11,OR($N4363=$Q$7,$O4363=$Q$7)),"x","")</f>
        <v/>
      </c>
      <c r="R4363" s="79" t="str">
        <f>IF(AND($N4363=$Q$7,$B4363&lt;'111'!$L$11),"x","")</f>
        <v/>
      </c>
      <c r="S4363" s="79" t="str">
        <f>IF(AND($O4363=$Q$7,$B4363&lt;'111'!$L$11),"x","")</f>
        <v/>
      </c>
      <c r="T4363" s="79" t="str">
        <f>IF(ISERROR(FIND('112'!$M$9,G4363,1)),"",IF((AND(FIND('112'!$M$9,G4363,1)&gt;=1,B4363='112'!$K$9,OR($N4363='112'!$I$6,$O4363='112'!$I$6))),"x",""))</f>
        <v/>
      </c>
      <c r="U4363" s="79" t="str">
        <f>IF(ISERROR(FIND('112'!$M$9,G4363,1)),"",IF((AND(LEFT(G4363,2)=LEFT('112'!$M$9,2),B4363&lt;'112'!$K$9,$N4363='112'!$I$6)),"x",""))</f>
        <v/>
      </c>
      <c r="V4363" s="79" t="str">
        <f>IF(ISERROR(FIND('112'!$M$9,G4363,1)),"",IF((AND(RIGHT(G4363,2)=RIGHT('112'!$M$9,2),B4363&lt;'112'!$K$9,$O4363='112'!$I$6)),"x",""))</f>
        <v/>
      </c>
      <c r="W4363" s="79" t="str">
        <f>IF(AND('341-CT'!$H$9=H4363,OR(LEFT(N4363,3)=$W$7,LEFT(O4363,3)=$W$7)),"x","")</f>
        <v/>
      </c>
      <c r="X4363" s="79" t="str">
        <f>IF(OR(TH!N4363=TH!$X$7,O4363=TH!$X$7),"x","")</f>
        <v/>
      </c>
      <c r="Y4363" s="79" t="str">
        <f>IF(AND(OR(N4363="131",O4363="131"),H4363='131-CT'!$H$9),"x","")</f>
        <v/>
      </c>
      <c r="Z4363" s="79"/>
      <c r="AA4363" s="79" t="str">
        <f>IF(AND(MONTH(E4363)='IN-NX'!$J$5,'IN-NX'!$D$7=D4363),"x","")</f>
        <v/>
      </c>
      <c r="AB4363" s="79" t="str">
        <f>IF(AND(OR(LEFT(TH!N4363,2)="15",LEFT(TH!O4363,2)="15"),LEFT(TH!O4363,3)&lt;&gt;"111",'152-CT'!$J$8=TH!F4363),"x","")</f>
        <v/>
      </c>
      <c r="AC4363" s="79" t="str">
        <f>IF(AND(OR(LEFT(TH!N4363,2)="15",LEFT(TH!O4363,2)="15"),TK!$E$7=TH!F4363),"x","")</f>
        <v/>
      </c>
      <c r="AD4363" s="79" t="str">
        <f>IF(AND(N4363="1521",MONTH(C4363)='BK-NL'!$M$11),"x","")</f>
        <v/>
      </c>
    </row>
    <row r="4364" spans="1:30" ht="16.5" customHeight="1">
      <c r="A4364" s="318" t="str">
        <f>IF(B4364&lt;&gt;"",IF(AND(B4364='[3]IN-TC'!$S$4,OR([3]TH!N3595="1111",[3]TH!O3595="1111")),[3]TH!D3595,""),"")</f>
        <v/>
      </c>
      <c r="B4364" s="60" t="str">
        <f t="shared" si="471"/>
        <v/>
      </c>
      <c r="C4364" s="61"/>
      <c r="D4364" s="61"/>
      <c r="E4364" s="301"/>
      <c r="F4364" s="64"/>
      <c r="G4364" s="64"/>
      <c r="H4364" s="321"/>
      <c r="I4364" s="385"/>
      <c r="J4364" s="392"/>
      <c r="K4364" s="385"/>
      <c r="L4364" s="392"/>
      <c r="M4364" s="62"/>
      <c r="N4364" s="971"/>
      <c r="O4364" s="63"/>
      <c r="P4364" s="79" t="str">
        <f>IF(AND('331-CT'!$E$7=TH!H4364,OR(N4364="331",O4364="331")),"x","")</f>
        <v/>
      </c>
      <c r="Q4364" s="79" t="str">
        <f>IF(AND(B4364='111'!$L$11,OR($N4364=$Q$7,$O4364=$Q$7)),"x","")</f>
        <v/>
      </c>
      <c r="R4364" s="79" t="str">
        <f>IF(AND($N4364=$Q$7,$B4364&lt;'111'!$L$11),"x","")</f>
        <v/>
      </c>
      <c r="S4364" s="79" t="str">
        <f>IF(AND($O4364=$Q$7,$B4364&lt;'111'!$L$11),"x","")</f>
        <v/>
      </c>
      <c r="T4364" s="79" t="str">
        <f>IF(ISERROR(FIND('112'!$M$9,G4364,1)),"",IF((AND(FIND('112'!$M$9,G4364,1)&gt;=1,B4364='112'!$K$9,OR($N4364='112'!$I$6,$O4364='112'!$I$6))),"x",""))</f>
        <v/>
      </c>
      <c r="U4364" s="79" t="str">
        <f>IF(ISERROR(FIND('112'!$M$9,G4364,1)),"",IF((AND(LEFT(G4364,2)=LEFT('112'!$M$9,2),B4364&lt;'112'!$K$9,$N4364='112'!$I$6)),"x",""))</f>
        <v/>
      </c>
      <c r="V4364" s="79" t="str">
        <f>IF(ISERROR(FIND('112'!$M$9,G4364,1)),"",IF((AND(RIGHT(G4364,2)=RIGHT('112'!$M$9,2),B4364&lt;'112'!$K$9,$O4364='112'!$I$6)),"x",""))</f>
        <v/>
      </c>
      <c r="W4364" s="79" t="str">
        <f>IF(AND('341-CT'!$H$9=H4364,OR(LEFT(N4364,3)=$W$7,LEFT(O4364,3)=$W$7)),"x","")</f>
        <v/>
      </c>
      <c r="X4364" s="79" t="str">
        <f>IF(OR(TH!N4364=TH!$X$7,O4364=TH!$X$7),"x","")</f>
        <v/>
      </c>
      <c r="Y4364" s="79" t="str">
        <f>IF(AND(OR(N4364="131",O4364="131"),H4364='131-CT'!$H$9),"x","")</f>
        <v/>
      </c>
      <c r="Z4364" s="79"/>
      <c r="AA4364" s="79" t="str">
        <f>IF(AND(MONTH(E4364)='IN-NX'!$J$5,'IN-NX'!$D$7=D4364),"x","")</f>
        <v/>
      </c>
      <c r="AB4364" s="79" t="str">
        <f>IF(AND(OR(LEFT(TH!N4364,2)="15",LEFT(TH!O4364,2)="15"),LEFT(TH!O4364,3)&lt;&gt;"111",'152-CT'!$J$8=TH!F4364),"x","")</f>
        <v/>
      </c>
      <c r="AC4364" s="79" t="str">
        <f>IF(AND(OR(LEFT(TH!N4364,2)="15",LEFT(TH!O4364,2)="15"),TK!$E$7=TH!F4364),"x","")</f>
        <v/>
      </c>
      <c r="AD4364" s="79" t="str">
        <f>IF(AND(N4364="1521",MONTH(C4364)='BK-NL'!$M$11),"x","")</f>
        <v/>
      </c>
    </row>
    <row r="4365" spans="1:30" ht="16.5" customHeight="1">
      <c r="A4365" s="318" t="str">
        <f>IF(B4365&lt;&gt;"",IF(AND(B4365='[3]IN-TC'!$S$4,OR([3]TH!N3596="1111",[3]TH!O3596="1111")),[3]TH!D3596,""),"")</f>
        <v/>
      </c>
      <c r="B4365" s="60" t="str">
        <f t="shared" si="471"/>
        <v/>
      </c>
      <c r="C4365" s="61"/>
      <c r="D4365" s="61"/>
      <c r="E4365" s="301"/>
      <c r="F4365" s="64"/>
      <c r="G4365" s="64"/>
      <c r="H4365" s="321"/>
      <c r="I4365" s="385"/>
      <c r="J4365" s="392"/>
      <c r="K4365" s="385"/>
      <c r="L4365" s="392"/>
      <c r="M4365" s="62"/>
      <c r="N4365" s="971"/>
      <c r="O4365" s="63"/>
      <c r="P4365" s="79" t="str">
        <f>IF(AND('331-CT'!$E$7=TH!H4365,OR(N4365="331",O4365="331")),"x","")</f>
        <v/>
      </c>
      <c r="Q4365" s="79" t="str">
        <f>IF(AND(B4365='111'!$L$11,OR($N4365=$Q$7,$O4365=$Q$7)),"x","")</f>
        <v/>
      </c>
      <c r="R4365" s="79" t="str">
        <f>IF(AND($N4365=$Q$7,$B4365&lt;'111'!$L$11),"x","")</f>
        <v/>
      </c>
      <c r="S4365" s="79" t="str">
        <f>IF(AND($O4365=$Q$7,$B4365&lt;'111'!$L$11),"x","")</f>
        <v/>
      </c>
      <c r="T4365" s="79" t="str">
        <f>IF(ISERROR(FIND('112'!$M$9,G4365,1)),"",IF((AND(FIND('112'!$M$9,G4365,1)&gt;=1,B4365='112'!$K$9,OR($N4365='112'!$I$6,$O4365='112'!$I$6))),"x",""))</f>
        <v/>
      </c>
      <c r="U4365" s="79" t="str">
        <f>IF(ISERROR(FIND('112'!$M$9,G4365,1)),"",IF((AND(LEFT(G4365,2)=LEFT('112'!$M$9,2),B4365&lt;'112'!$K$9,$N4365='112'!$I$6)),"x",""))</f>
        <v/>
      </c>
      <c r="V4365" s="79" t="str">
        <f>IF(ISERROR(FIND('112'!$M$9,G4365,1)),"",IF((AND(RIGHT(G4365,2)=RIGHT('112'!$M$9,2),B4365&lt;'112'!$K$9,$O4365='112'!$I$6)),"x",""))</f>
        <v/>
      </c>
      <c r="W4365" s="79" t="str">
        <f>IF(AND('341-CT'!$H$9=H4365,OR(LEFT(N4365,3)=$W$7,LEFT(O4365,3)=$W$7)),"x","")</f>
        <v/>
      </c>
      <c r="X4365" s="79" t="str">
        <f>IF(OR(TH!N4365=TH!$X$7,O4365=TH!$X$7),"x","")</f>
        <v/>
      </c>
      <c r="Y4365" s="79" t="str">
        <f>IF(AND(OR(N4365="131",O4365="131"),H4365='131-CT'!$H$9),"x","")</f>
        <v/>
      </c>
      <c r="Z4365" s="79"/>
      <c r="AA4365" s="79" t="str">
        <f>IF(AND(MONTH(E4365)='IN-NX'!$J$5,'IN-NX'!$D$7=D4365),"x","")</f>
        <v/>
      </c>
      <c r="AB4365" s="79" t="str">
        <f>IF(AND(OR(LEFT(TH!N4365,2)="15",LEFT(TH!O4365,2)="15"),LEFT(TH!O4365,3)&lt;&gt;"111",'152-CT'!$J$8=TH!F4365),"x","")</f>
        <v/>
      </c>
      <c r="AC4365" s="79" t="str">
        <f>IF(AND(OR(LEFT(TH!N4365,2)="15",LEFT(TH!O4365,2)="15"),TK!$E$7=TH!F4365),"x","")</f>
        <v/>
      </c>
      <c r="AD4365" s="79" t="str">
        <f>IF(AND(N4365="1521",MONTH(C4365)='BK-NL'!$M$11),"x","")</f>
        <v/>
      </c>
    </row>
    <row r="4366" spans="1:30" ht="16.5" customHeight="1">
      <c r="A4366" s="318" t="str">
        <f>IF(B4366&lt;&gt;"",IF(AND(B4366='[3]IN-TC'!$S$4,OR([3]TH!N3597="1111",[3]TH!O3597="1111")),[3]TH!D3597,""),"")</f>
        <v/>
      </c>
      <c r="B4366" s="60" t="str">
        <f t="shared" si="471"/>
        <v/>
      </c>
      <c r="C4366" s="61"/>
      <c r="D4366" s="61"/>
      <c r="E4366" s="61"/>
      <c r="F4366" s="64"/>
      <c r="G4366" s="64"/>
      <c r="H4366" s="321"/>
      <c r="I4366" s="385"/>
      <c r="J4366" s="392"/>
      <c r="K4366" s="385"/>
      <c r="L4366" s="392"/>
      <c r="M4366" s="62"/>
      <c r="N4366" s="971"/>
      <c r="O4366" s="63"/>
      <c r="P4366" s="79" t="str">
        <f>IF(AND('331-CT'!$E$7=TH!H4366,OR(N4366="331",O4366="331")),"x","")</f>
        <v/>
      </c>
      <c r="Q4366" s="79" t="str">
        <f>IF(AND(B4366='111'!$L$11,OR($N4366=$Q$7,$O4366=$Q$7)),"x","")</f>
        <v/>
      </c>
      <c r="R4366" s="79" t="str">
        <f>IF(AND($N4366=$Q$7,$B4366&lt;'111'!$L$11),"x","")</f>
        <v/>
      </c>
      <c r="S4366" s="79" t="str">
        <f>IF(AND($O4366=$Q$7,$B4366&lt;'111'!$L$11),"x","")</f>
        <v/>
      </c>
      <c r="T4366" s="79" t="str">
        <f>IF(ISERROR(FIND('112'!$M$9,G4366,1)),"",IF((AND(FIND('112'!$M$9,G4366,1)&gt;=1,B4366='112'!$K$9,OR($N4366='112'!$I$6,$O4366='112'!$I$6))),"x",""))</f>
        <v/>
      </c>
      <c r="U4366" s="79" t="str">
        <f>IF(ISERROR(FIND('112'!$M$9,G4366,1)),"",IF((AND(LEFT(G4366,2)=LEFT('112'!$M$9,2),B4366&lt;'112'!$K$9,$N4366='112'!$I$6)),"x",""))</f>
        <v/>
      </c>
      <c r="V4366" s="79" t="str">
        <f>IF(ISERROR(FIND('112'!$M$9,G4366,1)),"",IF((AND(RIGHT(G4366,2)=RIGHT('112'!$M$9,2),B4366&lt;'112'!$K$9,$O4366='112'!$I$6)),"x",""))</f>
        <v/>
      </c>
      <c r="W4366" s="79" t="str">
        <f>IF(AND('341-CT'!$H$9=H4366,OR(LEFT(N4366,3)=$W$7,LEFT(O4366,3)=$W$7)),"x","")</f>
        <v/>
      </c>
      <c r="X4366" s="79" t="str">
        <f>IF(OR(TH!N4366=TH!$X$7,O4366=TH!$X$7),"x","")</f>
        <v/>
      </c>
      <c r="Y4366" s="79" t="str">
        <f>IF(AND(OR(N4366="131",O4366="131"),H4366='131-CT'!$H$9),"x","")</f>
        <v/>
      </c>
      <c r="Z4366" s="79"/>
      <c r="AA4366" s="79" t="str">
        <f>IF(AND(MONTH(E4366)='IN-NX'!$J$5,'IN-NX'!$D$7=D4366),"x","")</f>
        <v/>
      </c>
      <c r="AB4366" s="79" t="str">
        <f>IF(AND(OR(LEFT(TH!N4366,2)="15",LEFT(TH!O4366,2)="15"),LEFT(TH!O4366,3)&lt;&gt;"111",'152-CT'!$J$8=TH!F4366),"x","")</f>
        <v/>
      </c>
      <c r="AC4366" s="79" t="str">
        <f>IF(AND(OR(LEFT(TH!N4366,2)="15",LEFT(TH!O4366,2)="15"),TK!$E$7=TH!F4366),"x","")</f>
        <v/>
      </c>
      <c r="AD4366" s="79" t="str">
        <f>IF(AND(N4366="1521",MONTH(C4366)='BK-NL'!$M$11),"x","")</f>
        <v/>
      </c>
    </row>
    <row r="4367" spans="1:30" ht="16.5" customHeight="1">
      <c r="A4367" s="318" t="str">
        <f>IF(B4367&lt;&gt;"",IF(AND(B4367='[3]IN-TC'!$S$4,OR([3]TH!N3598="1111",[3]TH!O3598="1111")),[3]TH!D3598,""),"")</f>
        <v/>
      </c>
      <c r="B4367" s="60" t="str">
        <f t="shared" si="471"/>
        <v/>
      </c>
      <c r="C4367" s="301"/>
      <c r="D4367" s="301"/>
      <c r="E4367" s="301"/>
      <c r="F4367" s="302"/>
      <c r="G4367" s="988"/>
      <c r="H4367" s="69"/>
      <c r="I4367" s="385"/>
      <c r="J4367" s="969"/>
      <c r="K4367" s="385"/>
      <c r="L4367" s="392"/>
      <c r="M4367" s="970"/>
      <c r="N4367" s="304"/>
      <c r="O4367" s="304"/>
      <c r="P4367" s="79" t="str">
        <f>IF(AND('331-CT'!$E$7=TH!H4367,OR(N4367="331",O4367="331")),"x","")</f>
        <v/>
      </c>
      <c r="Q4367" s="79" t="str">
        <f>IF(AND(B4367='111'!$L$11,OR($N4367=$Q$7,$O4367=$Q$7)),"x","")</f>
        <v/>
      </c>
      <c r="R4367" s="79" t="str">
        <f>IF(AND($N4367=$Q$7,$B4367&lt;'111'!$L$11),"x","")</f>
        <v/>
      </c>
      <c r="S4367" s="79" t="str">
        <f>IF(AND($O4367=$Q$7,$B4367&lt;'111'!$L$11),"x","")</f>
        <v/>
      </c>
      <c r="T4367" s="79" t="str">
        <f>IF(ISERROR(FIND('112'!$M$9,G4367,1)),"",IF((AND(FIND('112'!$M$9,G4367,1)&gt;=1,B4367='112'!$K$9,OR($N4367='112'!$I$6,$O4367='112'!$I$6))),"x",""))</f>
        <v/>
      </c>
      <c r="U4367" s="79" t="str">
        <f>IF(ISERROR(FIND('112'!$M$9,G4367,1)),"",IF((AND(LEFT(G4367,2)=LEFT('112'!$M$9,2),B4367&lt;'112'!$K$9,$N4367='112'!$I$6)),"x",""))</f>
        <v/>
      </c>
      <c r="V4367" s="79" t="str">
        <f>IF(ISERROR(FIND('112'!$M$9,G4367,1)),"",IF((AND(RIGHT(G4367,2)=RIGHT('112'!$M$9,2),B4367&lt;'112'!$K$9,$O4367='112'!$I$6)),"x",""))</f>
        <v/>
      </c>
      <c r="W4367" s="79" t="str">
        <f>IF(AND('341-CT'!$H$9=H4367,OR(LEFT(N4367,3)=$W$7,LEFT(O4367,3)=$W$7)),"x","")</f>
        <v/>
      </c>
      <c r="X4367" s="79" t="str">
        <f>IF(OR(TH!N4367=TH!$X$7,O4367=TH!$X$7),"x","")</f>
        <v/>
      </c>
      <c r="Y4367" s="79" t="str">
        <f>IF(AND(OR(N4367="131",O4367="131"),H4367='131-CT'!$H$9),"x","")</f>
        <v/>
      </c>
      <c r="Z4367" s="79"/>
      <c r="AA4367" s="79" t="str">
        <f>IF(AND(MONTH(E4367)='IN-NX'!$J$5,'IN-NX'!$D$7=D4367),"x","")</f>
        <v/>
      </c>
      <c r="AB4367" s="79" t="str">
        <f>IF(AND(OR(LEFT(TH!N4367,2)="15",LEFT(TH!O4367,2)="15"),LEFT(TH!O4367,3)&lt;&gt;"111",'152-CT'!$J$8=TH!F4367),"x","")</f>
        <v/>
      </c>
      <c r="AC4367" s="79" t="str">
        <f>IF(AND(OR(LEFT(TH!N4367,2)="15",LEFT(TH!O4367,2)="15"),TK!$E$7=TH!F4367),"x","")</f>
        <v/>
      </c>
      <c r="AD4367" s="79" t="str">
        <f>IF(AND(N4367="1521",MONTH(C4367)='BK-NL'!$M$11),"x","")</f>
        <v/>
      </c>
    </row>
    <row r="4368" spans="1:30" s="1101" customFormat="1" ht="16.5" customHeight="1">
      <c r="A4368" s="318" t="str">
        <f>IF(B4368&lt;&gt;"",IF(AND(B4368='[3]IN-TC'!$S$4,OR([3]TH!N3599="1111",[3]TH!O3599="1111")),[3]TH!D3599,""),"")</f>
        <v/>
      </c>
      <c r="B4368" s="60" t="str">
        <f t="shared" si="471"/>
        <v/>
      </c>
      <c r="C4368" s="61"/>
      <c r="D4368" s="61"/>
      <c r="E4368" s="61"/>
      <c r="F4368" s="302"/>
      <c r="G4368" s="64"/>
      <c r="H4368" s="321"/>
      <c r="I4368" s="385"/>
      <c r="J4368" s="392"/>
      <c r="K4368" s="385"/>
      <c r="L4368" s="392"/>
      <c r="M4368" s="970"/>
      <c r="N4368" s="63"/>
      <c r="O4368" s="63"/>
      <c r="P4368" s="79" t="str">
        <f>IF(AND('331-CT'!$E$7=TH!H4368,OR(N4368="331",O4368="331")),"x","")</f>
        <v/>
      </c>
      <c r="Q4368" s="79" t="str">
        <f>IF(AND(B4368='111'!$L$11,OR($N4368=$Q$7,$O4368=$Q$7)),"x","")</f>
        <v/>
      </c>
      <c r="R4368" s="79" t="str">
        <f>IF(AND($N4368=$Q$7,$B4368&lt;'111'!$L$11),"x","")</f>
        <v/>
      </c>
      <c r="S4368" s="79" t="str">
        <f>IF(AND($O4368=$Q$7,$B4368&lt;'111'!$L$11),"x","")</f>
        <v/>
      </c>
      <c r="T4368" s="79" t="str">
        <f>IF(ISERROR(FIND('112'!$M$9,G4368,1)),"",IF((AND(FIND('112'!$M$9,G4368,1)&gt;=1,B4368='112'!$K$9,OR($N4368='112'!$I$6,$O4368='112'!$I$6))),"x",""))</f>
        <v/>
      </c>
      <c r="U4368" s="79" t="str">
        <f>IF(ISERROR(FIND('112'!$M$9,G4368,1)),"",IF((AND(LEFT(G4368,2)=LEFT('112'!$M$9,2),B4368&lt;'112'!$K$9,$N4368='112'!$I$6)),"x",""))</f>
        <v/>
      </c>
      <c r="V4368" s="79" t="str">
        <f>IF(ISERROR(FIND('112'!$M$9,G4368,1)),"",IF((AND(RIGHT(G4368,2)=RIGHT('112'!$M$9,2),B4368&lt;'112'!$K$9,$O4368='112'!$I$6)),"x",""))</f>
        <v/>
      </c>
      <c r="W4368" s="79" t="str">
        <f>IF(AND('341-CT'!$H$9=H4368,OR(LEFT(N4368,3)=$W$7,LEFT(O4368,3)=$W$7)),"x","")</f>
        <v/>
      </c>
      <c r="X4368" s="79" t="str">
        <f>IF(OR(TH!N4368=TH!$X$7,O4368=TH!$X$7),"x","")</f>
        <v/>
      </c>
      <c r="Y4368" s="79" t="str">
        <f>IF(AND(OR(N4368="131",O4368="131"),H4368='131-CT'!$H$9),"x","")</f>
        <v/>
      </c>
      <c r="Z4368" s="79"/>
      <c r="AA4368" s="79" t="str">
        <f>IF(AND(MONTH(E4368)='IN-NX'!$J$5,'IN-NX'!$D$7=D4368),"x","")</f>
        <v/>
      </c>
      <c r="AB4368" s="79" t="str">
        <f>IF(AND(OR(LEFT(TH!N4368,2)="15",LEFT(TH!O4368,2)="15"),LEFT(TH!O4368,3)&lt;&gt;"111",'152-CT'!$J$8=TH!F4368),"x","")</f>
        <v/>
      </c>
      <c r="AC4368" s="79" t="str">
        <f>IF(AND(OR(LEFT(TH!N4368,2)="15",LEFT(TH!O4368,2)="15"),TK!$E$7=TH!F4368),"x","")</f>
        <v/>
      </c>
      <c r="AD4368" s="79" t="str">
        <f>IF(AND(N4368="1521",MONTH(C4368)='BK-NL'!$M$11),"x","")</f>
        <v/>
      </c>
    </row>
    <row r="4369" spans="1:30" ht="16.5" customHeight="1">
      <c r="A4369" s="318" t="str">
        <f>IF(B4369&lt;&gt;"",IF(AND(B4369='[3]IN-TC'!$S$4,OR([3]TH!N3600="1111",[3]TH!O3600="1111")),[3]TH!D3600,""),"")</f>
        <v/>
      </c>
      <c r="B4369" s="60" t="str">
        <f t="shared" si="471"/>
        <v/>
      </c>
      <c r="C4369" s="301"/>
      <c r="D4369" s="301"/>
      <c r="E4369" s="301"/>
      <c r="F4369" s="302"/>
      <c r="G4369" s="988"/>
      <c r="H4369" s="69"/>
      <c r="I4369" s="385"/>
      <c r="J4369" s="969"/>
      <c r="K4369" s="385"/>
      <c r="L4369" s="392"/>
      <c r="M4369" s="970"/>
      <c r="N4369" s="304"/>
      <c r="O4369" s="304"/>
      <c r="P4369" s="79" t="str">
        <f>IF(AND('331-CT'!$E$7=TH!H4369,OR(N4369="331",O4369="331")),"x","")</f>
        <v/>
      </c>
      <c r="Q4369" s="79" t="str">
        <f>IF(AND(B4369='111'!$L$11,OR($N4369=$Q$7,$O4369=$Q$7)),"x","")</f>
        <v/>
      </c>
      <c r="R4369" s="79" t="str">
        <f>IF(AND($N4369=$Q$7,$B4369&lt;'111'!$L$11),"x","")</f>
        <v/>
      </c>
      <c r="S4369" s="79" t="str">
        <f>IF(AND($O4369=$Q$7,$B4369&lt;'111'!$L$11),"x","")</f>
        <v/>
      </c>
      <c r="T4369" s="79" t="str">
        <f>IF(ISERROR(FIND('112'!$M$9,G4369,1)),"",IF((AND(FIND('112'!$M$9,G4369,1)&gt;=1,B4369='112'!$K$9,OR($N4369='112'!$I$6,$O4369='112'!$I$6))),"x",""))</f>
        <v/>
      </c>
      <c r="U4369" s="79" t="str">
        <f>IF(ISERROR(FIND('112'!$M$9,G4369,1)),"",IF((AND(LEFT(G4369,2)=LEFT('112'!$M$9,2),B4369&lt;'112'!$K$9,$N4369='112'!$I$6)),"x",""))</f>
        <v/>
      </c>
      <c r="V4369" s="79" t="str">
        <f>IF(ISERROR(FIND('112'!$M$9,G4369,1)),"",IF((AND(RIGHT(G4369,2)=RIGHT('112'!$M$9,2),B4369&lt;'112'!$K$9,$O4369='112'!$I$6)),"x",""))</f>
        <v/>
      </c>
      <c r="W4369" s="79" t="str">
        <f>IF(AND('341-CT'!$H$9=H4369,OR(LEFT(N4369,3)=$W$7,LEFT(O4369,3)=$W$7)),"x","")</f>
        <v/>
      </c>
      <c r="X4369" s="79" t="str">
        <f>IF(OR(TH!N4369=TH!$X$7,O4369=TH!$X$7),"x","")</f>
        <v/>
      </c>
      <c r="Y4369" s="79" t="str">
        <f>IF(AND(OR(N4369="131",O4369="131"),H4369='131-CT'!$H$9),"x","")</f>
        <v/>
      </c>
      <c r="Z4369" s="79"/>
      <c r="AA4369" s="79" t="str">
        <f>IF(AND(MONTH(E4369)='IN-NX'!$J$5,'IN-NX'!$D$7=D4369),"x","")</f>
        <v/>
      </c>
      <c r="AB4369" s="79" t="str">
        <f>IF(AND(OR(LEFT(TH!N4369,2)="15",LEFT(TH!O4369,2)="15"),LEFT(TH!O4369,3)&lt;&gt;"111",'152-CT'!$J$8=TH!F4369),"x","")</f>
        <v/>
      </c>
      <c r="AC4369" s="79" t="str">
        <f>IF(AND(OR(LEFT(TH!N4369,2)="15",LEFT(TH!O4369,2)="15"),TK!$E$7=TH!F4369),"x","")</f>
        <v/>
      </c>
      <c r="AD4369" s="79" t="str">
        <f>IF(AND(N4369="1521",MONTH(C4369)='BK-NL'!$M$11),"x","")</f>
        <v/>
      </c>
    </row>
    <row r="4370" spans="1:30" ht="16.5" customHeight="1">
      <c r="A4370" s="318" t="str">
        <f>IF(B4370&lt;&gt;"",IF(AND(B4370='[3]IN-TC'!$S$4,OR([3]TH!N3601="1111",[3]TH!O3601="1111")),[3]TH!D3601,""),"")</f>
        <v/>
      </c>
      <c r="B4370" s="60" t="str">
        <f t="shared" si="471"/>
        <v/>
      </c>
      <c r="C4370" s="61"/>
      <c r="D4370" s="61"/>
      <c r="E4370" s="61"/>
      <c r="F4370" s="64"/>
      <c r="G4370" s="64"/>
      <c r="H4370" s="321"/>
      <c r="I4370" s="385"/>
      <c r="J4370" s="392"/>
      <c r="K4370" s="385"/>
      <c r="L4370" s="392"/>
      <c r="M4370" s="62"/>
      <c r="N4370" s="63"/>
      <c r="O4370" s="63"/>
      <c r="P4370" s="79" t="str">
        <f>IF(AND('331-CT'!$E$7=TH!H4370,OR(N4370="331",O4370="331")),"x","")</f>
        <v/>
      </c>
      <c r="Q4370" s="79" t="str">
        <f>IF(AND(B4370='111'!$L$11,OR($N4370=$Q$7,$O4370=$Q$7)),"x","")</f>
        <v/>
      </c>
      <c r="R4370" s="79" t="str">
        <f>IF(AND($N4370=$Q$7,$B4370&lt;'111'!$L$11),"x","")</f>
        <v/>
      </c>
      <c r="S4370" s="79" t="str">
        <f>IF(AND($O4370=$Q$7,$B4370&lt;'111'!$L$11),"x","")</f>
        <v/>
      </c>
      <c r="T4370" s="79" t="str">
        <f>IF(ISERROR(FIND('112'!$M$9,G4370,1)),"",IF((AND(FIND('112'!$M$9,G4370,1)&gt;=1,B4370='112'!$K$9,OR($N4370='112'!$I$6,$O4370='112'!$I$6))),"x",""))</f>
        <v/>
      </c>
      <c r="U4370" s="79" t="str">
        <f>IF(ISERROR(FIND('112'!$M$9,G4370,1)),"",IF((AND(LEFT(G4370,2)=LEFT('112'!$M$9,2),B4370&lt;'112'!$K$9,$N4370='112'!$I$6)),"x",""))</f>
        <v/>
      </c>
      <c r="V4370" s="79" t="str">
        <f>IF(ISERROR(FIND('112'!$M$9,G4370,1)),"",IF((AND(RIGHT(G4370,2)=RIGHT('112'!$M$9,2),B4370&lt;'112'!$K$9,$O4370='112'!$I$6)),"x",""))</f>
        <v/>
      </c>
      <c r="W4370" s="79" t="str">
        <f>IF(AND('341-CT'!$H$9=H4370,OR(LEFT(N4370,3)=$W$7,LEFT(O4370,3)=$W$7)),"x","")</f>
        <v/>
      </c>
      <c r="X4370" s="79" t="str">
        <f>IF(OR(TH!N4370=TH!$X$7,O4370=TH!$X$7),"x","")</f>
        <v/>
      </c>
      <c r="Y4370" s="79" t="str">
        <f>IF(AND(OR(N4370="131",O4370="131"),H4370='131-CT'!$H$9),"x","")</f>
        <v/>
      </c>
      <c r="Z4370" s="79"/>
      <c r="AA4370" s="79" t="str">
        <f>IF(AND(MONTH(E4370)='IN-NX'!$J$5,'IN-NX'!$D$7=D4370),"x","")</f>
        <v/>
      </c>
      <c r="AB4370" s="79" t="str">
        <f>IF(AND(OR(LEFT(TH!N4370,2)="15",LEFT(TH!O4370,2)="15"),LEFT(TH!O4370,3)&lt;&gt;"111",'152-CT'!$J$8=TH!F4370),"x","")</f>
        <v/>
      </c>
      <c r="AC4370" s="79" t="str">
        <f>IF(AND(OR(LEFT(TH!N4370,2)="15",LEFT(TH!O4370,2)="15"),TK!$E$7=TH!F4370),"x","")</f>
        <v/>
      </c>
      <c r="AD4370" s="79" t="str">
        <f>IF(AND(N4370="1521",MONTH(C4370)='BK-NL'!$M$11),"x","")</f>
        <v/>
      </c>
    </row>
    <row r="4371" spans="1:30" ht="16.5" customHeight="1">
      <c r="A4371" s="318" t="str">
        <f>IF(B4371&lt;&gt;"",IF(AND(B4371='[3]IN-TC'!$S$4,OR([3]TH!N3602="1111",[3]TH!O3602="1111")),[3]TH!D3602,""),"")</f>
        <v/>
      </c>
      <c r="B4371" s="60" t="str">
        <f t="shared" si="471"/>
        <v/>
      </c>
      <c r="C4371" s="61"/>
      <c r="D4371" s="61"/>
      <c r="E4371" s="61"/>
      <c r="F4371" s="64"/>
      <c r="G4371" s="64"/>
      <c r="H4371" s="321"/>
      <c r="I4371" s="385"/>
      <c r="J4371" s="392"/>
      <c r="K4371" s="385"/>
      <c r="L4371" s="392"/>
      <c r="M4371" s="62"/>
      <c r="N4371" s="63"/>
      <c r="O4371" s="63"/>
      <c r="P4371" s="79" t="str">
        <f>IF(AND('331-CT'!$E$7=TH!H4371,OR(N4371="331",O4371="331")),"x","")</f>
        <v/>
      </c>
      <c r="Q4371" s="79" t="str">
        <f>IF(AND(B4371='111'!$L$11,OR($N4371=$Q$7,$O4371=$Q$7)),"x","")</f>
        <v/>
      </c>
      <c r="R4371" s="79" t="str">
        <f>IF(AND($N4371=$Q$7,$B4371&lt;'111'!$L$11),"x","")</f>
        <v/>
      </c>
      <c r="S4371" s="79" t="str">
        <f>IF(AND($O4371=$Q$7,$B4371&lt;'111'!$L$11),"x","")</f>
        <v/>
      </c>
      <c r="T4371" s="79" t="str">
        <f>IF(ISERROR(FIND('112'!$M$9,G4371,1)),"",IF((AND(FIND('112'!$M$9,G4371,1)&gt;=1,B4371='112'!$K$9,OR($N4371='112'!$I$6,$O4371='112'!$I$6))),"x",""))</f>
        <v/>
      </c>
      <c r="U4371" s="79" t="str">
        <f>IF(ISERROR(FIND('112'!$M$9,G4371,1)),"",IF((AND(LEFT(G4371,2)=LEFT('112'!$M$9,2),B4371&lt;'112'!$K$9,$N4371='112'!$I$6)),"x",""))</f>
        <v/>
      </c>
      <c r="V4371" s="79" t="str">
        <f>IF(ISERROR(FIND('112'!$M$9,G4371,1)),"",IF((AND(RIGHT(G4371,2)=RIGHT('112'!$M$9,2),B4371&lt;'112'!$K$9,$O4371='112'!$I$6)),"x",""))</f>
        <v/>
      </c>
      <c r="W4371" s="79" t="str">
        <f>IF(AND('341-CT'!$H$9=H4371,OR(LEFT(N4371,3)=$W$7,LEFT(O4371,3)=$W$7)),"x","")</f>
        <v/>
      </c>
      <c r="X4371" s="79" t="str">
        <f>IF(OR(TH!N4371=TH!$X$7,O4371=TH!$X$7),"x","")</f>
        <v/>
      </c>
      <c r="Y4371" s="79" t="str">
        <f>IF(AND(OR(N4371="131",O4371="131"),H4371='131-CT'!$H$9),"x","")</f>
        <v/>
      </c>
      <c r="Z4371" s="79"/>
      <c r="AA4371" s="79" t="str">
        <f>IF(AND(MONTH(E4371)='IN-NX'!$J$5,'IN-NX'!$D$7=D4371),"x","")</f>
        <v/>
      </c>
      <c r="AB4371" s="79" t="str">
        <f>IF(AND(OR(LEFT(TH!N4371,2)="15",LEFT(TH!O4371,2)="15"),LEFT(TH!O4371,3)&lt;&gt;"111",'152-CT'!$J$8=TH!F4371),"x","")</f>
        <v/>
      </c>
      <c r="AC4371" s="79" t="str">
        <f>IF(AND(OR(LEFT(TH!N4371,2)="15",LEFT(TH!O4371,2)="15"),TK!$E$7=TH!F4371),"x","")</f>
        <v/>
      </c>
      <c r="AD4371" s="79" t="str">
        <f>IF(AND(N4371="1521",MONTH(C4371)='BK-NL'!$M$11),"x","")</f>
        <v/>
      </c>
    </row>
    <row r="4372" spans="1:30" ht="16.5" customHeight="1">
      <c r="A4372" s="318" t="str">
        <f>IF(B4372&lt;&gt;"",IF(AND(B4372='[3]IN-TC'!$S$4,OR([3]TH!N3603="1111",[3]TH!O3603="1111")),[3]TH!D3603,""),"")</f>
        <v/>
      </c>
      <c r="B4372" s="60" t="str">
        <f t="shared" si="471"/>
        <v/>
      </c>
      <c r="C4372" s="61"/>
      <c r="D4372" s="61"/>
      <c r="E4372" s="61"/>
      <c r="F4372" s="64"/>
      <c r="G4372" s="64"/>
      <c r="H4372" s="321"/>
      <c r="I4372" s="385"/>
      <c r="J4372" s="392"/>
      <c r="K4372" s="385"/>
      <c r="L4372" s="392"/>
      <c r="M4372" s="62"/>
      <c r="N4372" s="63"/>
      <c r="O4372" s="304"/>
      <c r="P4372" s="79" t="str">
        <f>IF(AND('331-CT'!$E$7=TH!H4372,OR(N4372="331",O4372="331")),"x","")</f>
        <v/>
      </c>
      <c r="Q4372" s="79" t="str">
        <f>IF(AND(B4372='111'!$L$11,OR($N4372=$Q$7,$O4372=$Q$7)),"x","")</f>
        <v/>
      </c>
      <c r="R4372" s="79" t="str">
        <f>IF(AND($N4372=$Q$7,$B4372&lt;'111'!$L$11),"x","")</f>
        <v/>
      </c>
      <c r="S4372" s="79" t="str">
        <f>IF(AND($O4372=$Q$7,$B4372&lt;'111'!$L$11),"x","")</f>
        <v/>
      </c>
      <c r="T4372" s="79" t="str">
        <f>IF(ISERROR(FIND('112'!$M$9,G4372,1)),"",IF((AND(FIND('112'!$M$9,G4372,1)&gt;=1,B4372='112'!$K$9,OR($N4372='112'!$I$6,$O4372='112'!$I$6))),"x",""))</f>
        <v/>
      </c>
      <c r="U4372" s="79" t="str">
        <f>IF(ISERROR(FIND('112'!$M$9,G4372,1)),"",IF((AND(LEFT(G4372,2)=LEFT('112'!$M$9,2),B4372&lt;'112'!$K$9,$N4372='112'!$I$6)),"x",""))</f>
        <v/>
      </c>
      <c r="V4372" s="79" t="str">
        <f>IF(ISERROR(FIND('112'!$M$9,G4372,1)),"",IF((AND(RIGHT(G4372,2)=RIGHT('112'!$M$9,2),B4372&lt;'112'!$K$9,$O4372='112'!$I$6)),"x",""))</f>
        <v/>
      </c>
      <c r="W4372" s="79" t="str">
        <f>IF(AND('341-CT'!$H$9=H4372,OR(LEFT(N4372,3)=$W$7,LEFT(O4372,3)=$W$7)),"x","")</f>
        <v/>
      </c>
      <c r="X4372" s="79" t="str">
        <f>IF(OR(TH!N4372=TH!$X$7,O4372=TH!$X$7),"x","")</f>
        <v/>
      </c>
      <c r="Y4372" s="79" t="str">
        <f>IF(AND(OR(N4372="131",O4372="131"),H4372='131-CT'!$H$9),"x","")</f>
        <v/>
      </c>
      <c r="Z4372" s="79"/>
      <c r="AA4372" s="79" t="str">
        <f>IF(AND(MONTH(E4372)='IN-NX'!$J$5,'IN-NX'!$D$7=D4372),"x","")</f>
        <v/>
      </c>
      <c r="AB4372" s="79" t="str">
        <f>IF(AND(OR(LEFT(TH!N4372,2)="15",LEFT(TH!O4372,2)="15"),LEFT(TH!O4372,3)&lt;&gt;"111",'152-CT'!$J$8=TH!F4372),"x","")</f>
        <v/>
      </c>
      <c r="AC4372" s="79" t="str">
        <f>IF(AND(OR(LEFT(TH!N4372,2)="15",LEFT(TH!O4372,2)="15"),TK!$E$7=TH!F4372),"x","")</f>
        <v/>
      </c>
      <c r="AD4372" s="79" t="str">
        <f>IF(AND(N4372="1521",MONTH(C4372)='BK-NL'!$M$11),"x","")</f>
        <v/>
      </c>
    </row>
    <row r="4373" spans="1:30" ht="16.5" customHeight="1">
      <c r="A4373" s="318" t="str">
        <f>IF(B4373&lt;&gt;"",IF(AND(B4373='[3]IN-TC'!$S$4,OR([3]TH!N3604="1111",[3]TH!O3604="1111")),[3]TH!D3604,""),"")</f>
        <v/>
      </c>
      <c r="B4373" s="60" t="str">
        <f t="shared" si="471"/>
        <v/>
      </c>
      <c r="C4373" s="61"/>
      <c r="D4373" s="61"/>
      <c r="E4373" s="61"/>
      <c r="F4373" s="64"/>
      <c r="G4373" s="64"/>
      <c r="H4373" s="321"/>
      <c r="I4373" s="385"/>
      <c r="J4373" s="392"/>
      <c r="K4373" s="385"/>
      <c r="L4373" s="392"/>
      <c r="M4373" s="62"/>
      <c r="N4373" s="63"/>
      <c r="O4373" s="63"/>
      <c r="P4373" s="79" t="str">
        <f>IF(AND('331-CT'!$E$7=TH!H4373,OR(N4373="331",O4373="331")),"x","")</f>
        <v/>
      </c>
      <c r="Q4373" s="79" t="str">
        <f>IF(AND(B4373='111'!$L$11,OR($N4373=$Q$7,$O4373=$Q$7)),"x","")</f>
        <v/>
      </c>
      <c r="R4373" s="79" t="str">
        <f>IF(AND($N4373=$Q$7,$B4373&lt;'111'!$L$11),"x","")</f>
        <v/>
      </c>
      <c r="S4373" s="79" t="str">
        <f>IF(AND($O4373=$Q$7,$B4373&lt;'111'!$L$11),"x","")</f>
        <v/>
      </c>
      <c r="T4373" s="79" t="str">
        <f>IF(ISERROR(FIND('112'!$M$9,G4373,1)),"",IF((AND(FIND('112'!$M$9,G4373,1)&gt;=1,B4373='112'!$K$9,OR($N4373='112'!$I$6,$O4373='112'!$I$6))),"x",""))</f>
        <v/>
      </c>
      <c r="U4373" s="79" t="str">
        <f>IF(ISERROR(FIND('112'!$M$9,G4373,1)),"",IF((AND(LEFT(G4373,2)=LEFT('112'!$M$9,2),B4373&lt;'112'!$K$9,$N4373='112'!$I$6)),"x",""))</f>
        <v/>
      </c>
      <c r="V4373" s="79" t="str">
        <f>IF(ISERROR(FIND('112'!$M$9,G4373,1)),"",IF((AND(RIGHT(G4373,2)=RIGHT('112'!$M$9,2),B4373&lt;'112'!$K$9,$O4373='112'!$I$6)),"x",""))</f>
        <v/>
      </c>
      <c r="W4373" s="79" t="str">
        <f>IF(AND('341-CT'!$H$9=H4373,OR(LEFT(N4373,3)=$W$7,LEFT(O4373,3)=$W$7)),"x","")</f>
        <v/>
      </c>
      <c r="X4373" s="79" t="str">
        <f>IF(OR(TH!N4373=TH!$X$7,O4373=TH!$X$7),"x","")</f>
        <v/>
      </c>
      <c r="Y4373" s="79" t="str">
        <f>IF(AND(OR(N4373="131",O4373="131"),H4373='131-CT'!$H$9),"x","")</f>
        <v/>
      </c>
      <c r="Z4373" s="79"/>
      <c r="AA4373" s="79" t="str">
        <f>IF(AND(MONTH(E4373)='IN-NX'!$J$5,'IN-NX'!$D$7=D4373),"x","")</f>
        <v/>
      </c>
      <c r="AB4373" s="79" t="str">
        <f>IF(AND(OR(LEFT(TH!N4373,2)="15",LEFT(TH!O4373,2)="15"),LEFT(TH!O4373,3)&lt;&gt;"111",'152-CT'!$J$8=TH!F4373),"x","")</f>
        <v/>
      </c>
      <c r="AC4373" s="79" t="str">
        <f>IF(AND(OR(LEFT(TH!N4373,2)="15",LEFT(TH!O4373,2)="15"),TK!$E$7=TH!F4373),"x","")</f>
        <v/>
      </c>
      <c r="AD4373" s="79" t="str">
        <f>IF(AND(N4373="1521",MONTH(C4373)='BK-NL'!$M$11),"x","")</f>
        <v/>
      </c>
    </row>
    <row r="4374" spans="1:30" ht="16.5" customHeight="1">
      <c r="A4374" s="318" t="str">
        <f>IF(B4374&lt;&gt;"",IF(AND(B4374='[3]IN-TC'!$S$4,OR([3]TH!N3605="1111",[3]TH!O3605="1111")),[3]TH!D3605,""),"")</f>
        <v/>
      </c>
      <c r="B4374" s="60" t="str">
        <f t="shared" si="471"/>
        <v/>
      </c>
      <c r="C4374" s="61"/>
      <c r="D4374" s="61"/>
      <c r="E4374" s="61"/>
      <c r="F4374" s="302"/>
      <c r="G4374" s="64"/>
      <c r="H4374" s="321"/>
      <c r="I4374" s="385"/>
      <c r="J4374" s="392"/>
      <c r="K4374" s="385"/>
      <c r="L4374" s="392"/>
      <c r="M4374" s="62"/>
      <c r="N4374" s="63"/>
      <c r="O4374" s="63"/>
      <c r="P4374" s="79" t="str">
        <f>IF(AND('331-CT'!$E$7=TH!H4374,OR(N4374="331",O4374="331")),"x","")</f>
        <v/>
      </c>
      <c r="Q4374" s="79" t="str">
        <f>IF(AND(B4374='111'!$L$11,OR($N4374=$Q$7,$O4374=$Q$7)),"x","")</f>
        <v/>
      </c>
      <c r="R4374" s="79" t="str">
        <f>IF(AND($N4374=$Q$7,$B4374&lt;'111'!$L$11),"x","")</f>
        <v/>
      </c>
      <c r="S4374" s="79" t="str">
        <f>IF(AND($O4374=$Q$7,$B4374&lt;'111'!$L$11),"x","")</f>
        <v/>
      </c>
      <c r="T4374" s="79" t="str">
        <f>IF(ISERROR(FIND('112'!$M$9,G4374,1)),"",IF((AND(FIND('112'!$M$9,G4374,1)&gt;=1,B4374='112'!$K$9,OR($N4374='112'!$I$6,$O4374='112'!$I$6))),"x",""))</f>
        <v/>
      </c>
      <c r="U4374" s="79" t="str">
        <f>IF(ISERROR(FIND('112'!$M$9,G4374,1)),"",IF((AND(LEFT(G4374,2)=LEFT('112'!$M$9,2),B4374&lt;'112'!$K$9,$N4374='112'!$I$6)),"x",""))</f>
        <v/>
      </c>
      <c r="V4374" s="79" t="str">
        <f>IF(ISERROR(FIND('112'!$M$9,G4374,1)),"",IF((AND(RIGHT(G4374,2)=RIGHT('112'!$M$9,2),B4374&lt;'112'!$K$9,$O4374='112'!$I$6)),"x",""))</f>
        <v/>
      </c>
      <c r="W4374" s="79" t="str">
        <f>IF(AND('341-CT'!$H$9=H4374,OR(LEFT(N4374,3)=$W$7,LEFT(O4374,3)=$W$7)),"x","")</f>
        <v/>
      </c>
      <c r="X4374" s="79" t="str">
        <f>IF(OR(TH!N4374=TH!$X$7,O4374=TH!$X$7),"x","")</f>
        <v/>
      </c>
      <c r="Y4374" s="79" t="str">
        <f>IF(AND(OR(N4374="131",O4374="131"),H4374='131-CT'!$H$9),"x","")</f>
        <v/>
      </c>
      <c r="Z4374" s="79"/>
      <c r="AA4374" s="79" t="str">
        <f>IF(AND(MONTH(E4374)='IN-NX'!$J$5,'IN-NX'!$D$7=D4374),"x","")</f>
        <v/>
      </c>
      <c r="AB4374" s="79" t="str">
        <f>IF(AND(OR(LEFT(TH!N4374,2)="15",LEFT(TH!O4374,2)="15"),LEFT(TH!O4374,3)&lt;&gt;"111",'152-CT'!$J$8=TH!F4374),"x","")</f>
        <v/>
      </c>
      <c r="AC4374" s="79" t="str">
        <f>IF(AND(OR(LEFT(TH!N4374,2)="15",LEFT(TH!O4374,2)="15"),TK!$E$7=TH!F4374),"x","")</f>
        <v/>
      </c>
      <c r="AD4374" s="79" t="str">
        <f>IF(AND(N4374="1521",MONTH(C4374)='BK-NL'!$M$11),"x","")</f>
        <v/>
      </c>
    </row>
    <row r="4375" spans="1:30" ht="16.5" customHeight="1">
      <c r="A4375" s="318" t="str">
        <f>IF(B4375&lt;&gt;"",IF(AND(B4375='[3]IN-TC'!$S$4,OR([3]TH!N3606="1111",[3]TH!O3606="1111")),[3]TH!D3606,""),"")</f>
        <v/>
      </c>
      <c r="B4375" s="60" t="str">
        <f t="shared" si="471"/>
        <v/>
      </c>
      <c r="C4375" s="301"/>
      <c r="D4375" s="301"/>
      <c r="E4375" s="301"/>
      <c r="F4375" s="302"/>
      <c r="G4375" s="988"/>
      <c r="H4375" s="69"/>
      <c r="I4375" s="385"/>
      <c r="J4375" s="969"/>
      <c r="K4375" s="385"/>
      <c r="L4375" s="392"/>
      <c r="M4375" s="970"/>
      <c r="N4375" s="304"/>
      <c r="O4375" s="304"/>
      <c r="P4375" s="79" t="str">
        <f>IF(AND('331-CT'!$E$7=TH!H4375,OR(N4375="331",O4375="331")),"x","")</f>
        <v/>
      </c>
      <c r="Q4375" s="79" t="str">
        <f>IF(AND(B4375='111'!$L$11,OR($N4375=$Q$7,$O4375=$Q$7)),"x","")</f>
        <v/>
      </c>
      <c r="R4375" s="79" t="str">
        <f>IF(AND($N4375=$Q$7,$B4375&lt;'111'!$L$11),"x","")</f>
        <v/>
      </c>
      <c r="S4375" s="79" t="str">
        <f>IF(AND($O4375=$Q$7,$B4375&lt;'111'!$L$11),"x","")</f>
        <v/>
      </c>
      <c r="T4375" s="79" t="str">
        <f>IF(ISERROR(FIND('112'!$M$9,G4375,1)),"",IF((AND(FIND('112'!$M$9,G4375,1)&gt;=1,B4375='112'!$K$9,OR($N4375='112'!$I$6,$O4375='112'!$I$6))),"x",""))</f>
        <v/>
      </c>
      <c r="U4375" s="79" t="str">
        <f>IF(ISERROR(FIND('112'!$M$9,G4375,1)),"",IF((AND(LEFT(G4375,2)=LEFT('112'!$M$9,2),B4375&lt;'112'!$K$9,$N4375='112'!$I$6)),"x",""))</f>
        <v/>
      </c>
      <c r="V4375" s="79" t="str">
        <f>IF(ISERROR(FIND('112'!$M$9,G4375,1)),"",IF((AND(RIGHT(G4375,2)=RIGHT('112'!$M$9,2),B4375&lt;'112'!$K$9,$O4375='112'!$I$6)),"x",""))</f>
        <v/>
      </c>
      <c r="W4375" s="79" t="str">
        <f>IF(AND('341-CT'!$H$9=H4375,OR(LEFT(N4375,3)=$W$7,LEFT(O4375,3)=$W$7)),"x","")</f>
        <v/>
      </c>
      <c r="X4375" s="79" t="str">
        <f>IF(OR(TH!N4375=TH!$X$7,O4375=TH!$X$7),"x","")</f>
        <v/>
      </c>
      <c r="Y4375" s="79" t="str">
        <f>IF(AND(OR(N4375="131",O4375="131"),H4375='131-CT'!$H$9),"x","")</f>
        <v/>
      </c>
      <c r="Z4375" s="79"/>
      <c r="AA4375" s="79" t="str">
        <f>IF(AND(MONTH(E4375)='IN-NX'!$J$5,'IN-NX'!$D$7=D4375),"x","")</f>
        <v/>
      </c>
      <c r="AB4375" s="79" t="str">
        <f>IF(AND(OR(LEFT(TH!N4375,2)="15",LEFT(TH!O4375,2)="15"),LEFT(TH!O4375,3)&lt;&gt;"111",'152-CT'!$J$8=TH!F4375),"x","")</f>
        <v/>
      </c>
      <c r="AC4375" s="79" t="str">
        <f>IF(AND(OR(LEFT(TH!N4375,2)="15",LEFT(TH!O4375,2)="15"),TK!$E$7=TH!F4375),"x","")</f>
        <v/>
      </c>
      <c r="AD4375" s="79" t="str">
        <f>IF(AND(N4375="1521",MONTH(C4375)='BK-NL'!$M$11),"x","")</f>
        <v/>
      </c>
    </row>
    <row r="4376" spans="1:30" ht="16.5" customHeight="1">
      <c r="A4376" s="318" t="str">
        <f>IF(B4376&lt;&gt;"",IF(AND(B4376='[3]IN-TC'!$S$4,OR([3]TH!N3607="1111",[3]TH!O3607="1111")),[3]TH!D3607,""),"")</f>
        <v/>
      </c>
      <c r="B4376" s="60" t="str">
        <f t="shared" si="471"/>
        <v/>
      </c>
      <c r="C4376" s="61"/>
      <c r="D4376" s="61"/>
      <c r="E4376" s="61"/>
      <c r="F4376" s="64"/>
      <c r="G4376" s="64"/>
      <c r="H4376" s="321"/>
      <c r="I4376" s="385"/>
      <c r="J4376" s="392"/>
      <c r="K4376" s="385"/>
      <c r="L4376" s="392"/>
      <c r="M4376" s="62"/>
      <c r="N4376" s="63"/>
      <c r="O4376" s="63"/>
      <c r="P4376" s="79" t="str">
        <f>IF(AND('331-CT'!$E$7=TH!H4376,OR(N4376="331",O4376="331")),"x","")</f>
        <v/>
      </c>
      <c r="Q4376" s="79" t="str">
        <f>IF(AND(B4376='111'!$L$11,OR($N4376=$Q$7,$O4376=$Q$7)),"x","")</f>
        <v/>
      </c>
      <c r="R4376" s="79" t="str">
        <f>IF(AND($N4376=$Q$7,$B4376&lt;'111'!$L$11),"x","")</f>
        <v/>
      </c>
      <c r="S4376" s="79" t="str">
        <f>IF(AND($O4376=$Q$7,$B4376&lt;'111'!$L$11),"x","")</f>
        <v/>
      </c>
      <c r="T4376" s="79" t="str">
        <f>IF(ISERROR(FIND('112'!$M$9,G4376,1)),"",IF((AND(FIND('112'!$M$9,G4376,1)&gt;=1,B4376='112'!$K$9,OR($N4376='112'!$I$6,$O4376='112'!$I$6))),"x",""))</f>
        <v/>
      </c>
      <c r="U4376" s="79" t="str">
        <f>IF(ISERROR(FIND('112'!$M$9,G4376,1)),"",IF((AND(LEFT(G4376,2)=LEFT('112'!$M$9,2),B4376&lt;'112'!$K$9,$N4376='112'!$I$6)),"x",""))</f>
        <v/>
      </c>
      <c r="V4376" s="79" t="str">
        <f>IF(ISERROR(FIND('112'!$M$9,G4376,1)),"",IF((AND(RIGHT(G4376,2)=RIGHT('112'!$M$9,2),B4376&lt;'112'!$K$9,$O4376='112'!$I$6)),"x",""))</f>
        <v/>
      </c>
      <c r="W4376" s="79" t="str">
        <f>IF(AND('341-CT'!$H$9=H4376,OR(LEFT(N4376,3)=$W$7,LEFT(O4376,3)=$W$7)),"x","")</f>
        <v/>
      </c>
      <c r="X4376" s="79" t="str">
        <f>IF(OR(TH!N4376=TH!$X$7,O4376=TH!$X$7),"x","")</f>
        <v/>
      </c>
      <c r="Y4376" s="79" t="str">
        <f>IF(AND(OR(N4376="131",O4376="131"),H4376='131-CT'!$H$9),"x","")</f>
        <v/>
      </c>
      <c r="Z4376" s="79"/>
      <c r="AA4376" s="79" t="str">
        <f>IF(AND(MONTH(E4376)='IN-NX'!$J$5,'IN-NX'!$D$7=D4376),"x","")</f>
        <v/>
      </c>
      <c r="AB4376" s="79" t="str">
        <f>IF(AND(OR(LEFT(TH!N4376,2)="15",LEFT(TH!O4376,2)="15"),LEFT(TH!O4376,3)&lt;&gt;"111",'152-CT'!$J$8=TH!F4376),"x","")</f>
        <v/>
      </c>
      <c r="AC4376" s="79" t="str">
        <f>IF(AND(OR(LEFT(TH!N4376,2)="15",LEFT(TH!O4376,2)="15"),TK!$E$7=TH!F4376),"x","")</f>
        <v/>
      </c>
      <c r="AD4376" s="79" t="str">
        <f>IF(AND(N4376="1521",MONTH(C4376)='BK-NL'!$M$11),"x","")</f>
        <v/>
      </c>
    </row>
    <row r="4377" spans="1:30" ht="16.5" customHeight="1">
      <c r="A4377" s="318" t="str">
        <f>IF(B4377&lt;&gt;"",IF(AND(B4377='[3]IN-TC'!$S$4,OR([3]TH!N3608="1111",[3]TH!O3608="1111")),[3]TH!D3608,""),"")</f>
        <v/>
      </c>
      <c r="B4377" s="60" t="str">
        <f t="shared" ref="B4377:B4440" si="472">IF(C4377&lt;&gt;"",MONTH(C4377),"")</f>
        <v/>
      </c>
      <c r="C4377" s="61"/>
      <c r="D4377" s="61"/>
      <c r="E4377" s="61"/>
      <c r="F4377" s="302"/>
      <c r="G4377" s="64"/>
      <c r="H4377" s="69"/>
      <c r="I4377" s="385"/>
      <c r="J4377" s="392"/>
      <c r="K4377" s="385"/>
      <c r="L4377" s="392"/>
      <c r="M4377" s="62"/>
      <c r="N4377" s="63"/>
      <c r="O4377" s="63"/>
      <c r="P4377" s="79" t="str">
        <f>IF(AND('331-CT'!$E$7=TH!H4377,OR(N4377="331",O4377="331")),"x","")</f>
        <v/>
      </c>
      <c r="Q4377" s="79" t="str">
        <f>IF(AND(B4377='111'!$L$11,OR($N4377=$Q$7,$O4377=$Q$7)),"x","")</f>
        <v/>
      </c>
      <c r="R4377" s="79" t="str">
        <f>IF(AND($N4377=$Q$7,$B4377&lt;'111'!$L$11),"x","")</f>
        <v/>
      </c>
      <c r="S4377" s="79" t="str">
        <f>IF(AND($O4377=$Q$7,$B4377&lt;'111'!$L$11),"x","")</f>
        <v/>
      </c>
      <c r="T4377" s="79" t="str">
        <f>IF(ISERROR(FIND('112'!$M$9,G4377,1)),"",IF((AND(FIND('112'!$M$9,G4377,1)&gt;=1,B4377='112'!$K$9,OR($N4377='112'!$I$6,$O4377='112'!$I$6))),"x",""))</f>
        <v/>
      </c>
      <c r="U4377" s="79" t="str">
        <f>IF(ISERROR(FIND('112'!$M$9,G4377,1)),"",IF((AND(LEFT(G4377,2)=LEFT('112'!$M$9,2),B4377&lt;'112'!$K$9,$N4377='112'!$I$6)),"x",""))</f>
        <v/>
      </c>
      <c r="V4377" s="79" t="str">
        <f>IF(ISERROR(FIND('112'!$M$9,G4377,1)),"",IF((AND(RIGHT(G4377,2)=RIGHT('112'!$M$9,2),B4377&lt;'112'!$K$9,$O4377='112'!$I$6)),"x",""))</f>
        <v/>
      </c>
      <c r="W4377" s="79" t="str">
        <f>IF(AND('341-CT'!$H$9=H4377,OR(LEFT(N4377,3)=$W$7,LEFT(O4377,3)=$W$7)),"x","")</f>
        <v/>
      </c>
      <c r="X4377" s="79" t="str">
        <f>IF(OR(TH!N4377=TH!$X$7,O4377=TH!$X$7),"x","")</f>
        <v/>
      </c>
      <c r="Y4377" s="79" t="str">
        <f>IF(AND(OR(N4377="131",O4377="131"),H4377='131-CT'!$H$9),"x","")</f>
        <v/>
      </c>
      <c r="Z4377" s="79"/>
      <c r="AA4377" s="79" t="str">
        <f>IF(AND(MONTH(E4377)='IN-NX'!$J$5,'IN-NX'!$D$7=D4377),"x","")</f>
        <v/>
      </c>
      <c r="AB4377" s="79" t="str">
        <f>IF(AND(OR(LEFT(TH!N4377,2)="15",LEFT(TH!O4377,2)="15"),LEFT(TH!O4377,3)&lt;&gt;"111",'152-CT'!$J$8=TH!F4377),"x","")</f>
        <v/>
      </c>
      <c r="AC4377" s="79" t="str">
        <f>IF(AND(OR(LEFT(TH!N4377,2)="15",LEFT(TH!O4377,2)="15"),TK!$E$7=TH!F4377),"x","")</f>
        <v/>
      </c>
      <c r="AD4377" s="79" t="str">
        <f>IF(AND(N4377="1521",MONTH(C4377)='BK-NL'!$M$11),"x","")</f>
        <v/>
      </c>
    </row>
    <row r="4378" spans="1:30" ht="16.5" customHeight="1">
      <c r="A4378" s="318" t="str">
        <f>IF(B4378&lt;&gt;"",IF(AND(B4378='[3]IN-TC'!$S$4,OR([3]TH!N3609="1111",[3]TH!O3609="1111")),[3]TH!D3609,""),"")</f>
        <v/>
      </c>
      <c r="B4378" s="60" t="str">
        <f t="shared" si="472"/>
        <v/>
      </c>
      <c r="C4378" s="61"/>
      <c r="D4378" s="61"/>
      <c r="E4378" s="61"/>
      <c r="F4378" s="64"/>
      <c r="G4378" s="64"/>
      <c r="H4378" s="321"/>
      <c r="I4378" s="385"/>
      <c r="J4378" s="392"/>
      <c r="K4378" s="385"/>
      <c r="L4378" s="392"/>
      <c r="M4378" s="62"/>
      <c r="N4378" s="63"/>
      <c r="O4378" s="63"/>
      <c r="P4378" s="79" t="str">
        <f>IF(AND('331-CT'!$E$7=TH!H4378,OR(N4378="331",O4378="331")),"x","")</f>
        <v/>
      </c>
      <c r="Q4378" s="79" t="str">
        <f>IF(AND(B4378='111'!$L$11,OR($N4378=$Q$7,$O4378=$Q$7)),"x","")</f>
        <v/>
      </c>
      <c r="R4378" s="79" t="str">
        <f>IF(AND($N4378=$Q$7,$B4378&lt;'111'!$L$11),"x","")</f>
        <v/>
      </c>
      <c r="S4378" s="79" t="str">
        <f>IF(AND($O4378=$Q$7,$B4378&lt;'111'!$L$11),"x","")</f>
        <v/>
      </c>
      <c r="T4378" s="79" t="str">
        <f>IF(ISERROR(FIND('112'!$M$9,G4378,1)),"",IF((AND(FIND('112'!$M$9,G4378,1)&gt;=1,B4378='112'!$K$9,OR($N4378='112'!$I$6,$O4378='112'!$I$6))),"x",""))</f>
        <v/>
      </c>
      <c r="U4378" s="79" t="str">
        <f>IF(ISERROR(FIND('112'!$M$9,G4378,1)),"",IF((AND(LEFT(G4378,2)=LEFT('112'!$M$9,2),B4378&lt;'112'!$K$9,$N4378='112'!$I$6)),"x",""))</f>
        <v/>
      </c>
      <c r="V4378" s="79" t="str">
        <f>IF(ISERROR(FIND('112'!$M$9,G4378,1)),"",IF((AND(RIGHT(G4378,2)=RIGHT('112'!$M$9,2),B4378&lt;'112'!$K$9,$O4378='112'!$I$6)),"x",""))</f>
        <v/>
      </c>
      <c r="W4378" s="79" t="str">
        <f>IF(AND('341-CT'!$H$9=H4378,OR(LEFT(N4378,3)=$W$7,LEFT(O4378,3)=$W$7)),"x","")</f>
        <v/>
      </c>
      <c r="X4378" s="79" t="str">
        <f>IF(OR(TH!N4378=TH!$X$7,O4378=TH!$X$7),"x","")</f>
        <v/>
      </c>
      <c r="Y4378" s="79" t="str">
        <f>IF(AND(OR(N4378="131",O4378="131"),H4378='131-CT'!$H$9),"x","")</f>
        <v/>
      </c>
      <c r="Z4378" s="79"/>
      <c r="AA4378" s="79" t="str">
        <f>IF(AND(MONTH(E4378)='IN-NX'!$J$5,'IN-NX'!$D$7=D4378),"x","")</f>
        <v/>
      </c>
      <c r="AB4378" s="79" t="str">
        <f>IF(AND(OR(LEFT(TH!N4378,2)="15",LEFT(TH!O4378,2)="15"),LEFT(TH!O4378,3)&lt;&gt;"111",'152-CT'!$J$8=TH!F4378),"x","")</f>
        <v/>
      </c>
      <c r="AC4378" s="79" t="str">
        <f>IF(AND(OR(LEFT(TH!N4378,2)="15",LEFT(TH!O4378,2)="15"),TK!$E$7=TH!F4378),"x","")</f>
        <v/>
      </c>
      <c r="AD4378" s="79" t="str">
        <f>IF(AND(N4378="1521",MONTH(C4378)='BK-NL'!$M$11),"x","")</f>
        <v/>
      </c>
    </row>
    <row r="4379" spans="1:30" ht="16.5" customHeight="1">
      <c r="A4379" s="318" t="str">
        <f>IF(B4379&lt;&gt;"",IF(AND(B4379='[3]IN-TC'!$S$4,OR([3]TH!N3610="1111",[3]TH!O3610="1111")),[3]TH!D3610,""),"")</f>
        <v/>
      </c>
      <c r="B4379" s="60" t="str">
        <f t="shared" si="472"/>
        <v/>
      </c>
      <c r="C4379" s="61"/>
      <c r="D4379" s="301"/>
      <c r="E4379" s="301"/>
      <c r="F4379" s="64"/>
      <c r="G4379" s="64"/>
      <c r="H4379" s="321"/>
      <c r="I4379" s="385"/>
      <c r="J4379" s="969"/>
      <c r="K4379" s="385"/>
      <c r="L4379" s="392"/>
      <c r="M4379" s="970"/>
      <c r="N4379" s="304"/>
      <c r="O4379" s="304"/>
      <c r="P4379" s="79" t="str">
        <f>IF(AND('331-CT'!$E$7=TH!H4379,OR(N4379="331",O4379="331")),"x","")</f>
        <v/>
      </c>
      <c r="Q4379" s="79" t="str">
        <f>IF(AND(B4379='111'!$L$11,OR($N4379=$Q$7,$O4379=$Q$7)),"x","")</f>
        <v/>
      </c>
      <c r="R4379" s="79" t="str">
        <f>IF(AND($N4379=$Q$7,$B4379&lt;'111'!$L$11),"x","")</f>
        <v/>
      </c>
      <c r="S4379" s="79" t="str">
        <f>IF(AND($O4379=$Q$7,$B4379&lt;'111'!$L$11),"x","")</f>
        <v/>
      </c>
      <c r="T4379" s="79" t="str">
        <f>IF(ISERROR(FIND('112'!$M$9,G4379,1)),"",IF((AND(FIND('112'!$M$9,G4379,1)&gt;=1,B4379='112'!$K$9,OR($N4379='112'!$I$6,$O4379='112'!$I$6))),"x",""))</f>
        <v/>
      </c>
      <c r="U4379" s="79" t="str">
        <f>IF(ISERROR(FIND('112'!$M$9,G4379,1)),"",IF((AND(LEFT(G4379,2)=LEFT('112'!$M$9,2),B4379&lt;'112'!$K$9,$N4379='112'!$I$6)),"x",""))</f>
        <v/>
      </c>
      <c r="V4379" s="79" t="str">
        <f>IF(ISERROR(FIND('112'!$M$9,G4379,1)),"",IF((AND(RIGHT(G4379,2)=RIGHT('112'!$M$9,2),B4379&lt;'112'!$K$9,$O4379='112'!$I$6)),"x",""))</f>
        <v/>
      </c>
      <c r="W4379" s="79" t="str">
        <f>IF(AND('341-CT'!$H$9=H4379,OR(LEFT(N4379,3)=$W$7,LEFT(O4379,3)=$W$7)),"x","")</f>
        <v/>
      </c>
      <c r="X4379" s="79" t="str">
        <f>IF(OR(TH!N4379=TH!$X$7,O4379=TH!$X$7),"x","")</f>
        <v/>
      </c>
      <c r="Y4379" s="79" t="str">
        <f>IF(AND(OR(N4379="131",O4379="131"),H4379='131-CT'!$H$9),"x","")</f>
        <v/>
      </c>
      <c r="Z4379" s="79"/>
      <c r="AA4379" s="79" t="str">
        <f>IF(AND(MONTH(E4379)='IN-NX'!$J$5,'IN-NX'!$D$7=D4379),"x","")</f>
        <v/>
      </c>
      <c r="AB4379" s="79" t="str">
        <f>IF(AND(OR(LEFT(TH!N4379,2)="15",LEFT(TH!O4379,2)="15"),LEFT(TH!O4379,3)&lt;&gt;"111",'152-CT'!$J$8=TH!F4379),"x","")</f>
        <v/>
      </c>
      <c r="AC4379" s="79" t="str">
        <f>IF(AND(OR(LEFT(TH!N4379,2)="15",LEFT(TH!O4379,2)="15"),TK!$E$7=TH!F4379),"x","")</f>
        <v/>
      </c>
      <c r="AD4379" s="79" t="str">
        <f>IF(AND(N4379="1521",MONTH(C4379)='BK-NL'!$M$11),"x","")</f>
        <v/>
      </c>
    </row>
    <row r="4380" spans="1:30" ht="16.5" customHeight="1">
      <c r="A4380" s="318" t="str">
        <f>IF(B4380&lt;&gt;"",IF(AND(B4380='[3]IN-TC'!$S$4,OR([3]TH!N3611="1111",[3]TH!O3611="1111")),[3]TH!D3611,""),"")</f>
        <v/>
      </c>
      <c r="B4380" s="60" t="str">
        <f t="shared" si="472"/>
        <v/>
      </c>
      <c r="C4380" s="61"/>
      <c r="D4380" s="301"/>
      <c r="E4380" s="301"/>
      <c r="F4380" s="64"/>
      <c r="G4380" s="64"/>
      <c r="H4380" s="321"/>
      <c r="I4380" s="385"/>
      <c r="J4380" s="969"/>
      <c r="K4380" s="385"/>
      <c r="L4380" s="392"/>
      <c r="M4380" s="970"/>
      <c r="N4380" s="304"/>
      <c r="O4380" s="304"/>
      <c r="P4380" s="79" t="str">
        <f>IF(AND('331-CT'!$E$7=TH!H4380,OR(N4380="331",O4380="331")),"x","")</f>
        <v/>
      </c>
      <c r="Q4380" s="79" t="str">
        <f>IF(AND(B4380='111'!$L$11,OR($N4380=$Q$7,$O4380=$Q$7)),"x","")</f>
        <v/>
      </c>
      <c r="R4380" s="79" t="str">
        <f>IF(AND($N4380=$Q$7,$B4380&lt;'111'!$L$11),"x","")</f>
        <v/>
      </c>
      <c r="S4380" s="79" t="str">
        <f>IF(AND($O4380=$Q$7,$B4380&lt;'111'!$L$11),"x","")</f>
        <v/>
      </c>
      <c r="T4380" s="79" t="str">
        <f>IF(ISERROR(FIND('112'!$M$9,G4380,1)),"",IF((AND(FIND('112'!$M$9,G4380,1)&gt;=1,B4380='112'!$K$9,OR($N4380='112'!$I$6,$O4380='112'!$I$6))),"x",""))</f>
        <v/>
      </c>
      <c r="U4380" s="79" t="str">
        <f>IF(ISERROR(FIND('112'!$M$9,G4380,1)),"",IF((AND(LEFT(G4380,2)=LEFT('112'!$M$9,2),B4380&lt;'112'!$K$9,$N4380='112'!$I$6)),"x",""))</f>
        <v/>
      </c>
      <c r="V4380" s="79" t="str">
        <f>IF(ISERROR(FIND('112'!$M$9,G4380,1)),"",IF((AND(RIGHT(G4380,2)=RIGHT('112'!$M$9,2),B4380&lt;'112'!$K$9,$O4380='112'!$I$6)),"x",""))</f>
        <v/>
      </c>
      <c r="W4380" s="79" t="str">
        <f>IF(AND('341-CT'!$H$9=H4380,OR(LEFT(N4380,3)=$W$7,LEFT(O4380,3)=$W$7)),"x","")</f>
        <v/>
      </c>
      <c r="X4380" s="79" t="str">
        <f>IF(OR(TH!N4380=TH!$X$7,O4380=TH!$X$7),"x","")</f>
        <v/>
      </c>
      <c r="Y4380" s="79" t="str">
        <f>IF(AND(OR(N4380="131",O4380="131"),H4380='131-CT'!$H$9),"x","")</f>
        <v/>
      </c>
      <c r="Z4380" s="79"/>
      <c r="AA4380" s="79" t="str">
        <f>IF(AND(MONTH(E4380)='IN-NX'!$J$5,'IN-NX'!$D$7=D4380),"x","")</f>
        <v/>
      </c>
      <c r="AB4380" s="79" t="str">
        <f>IF(AND(OR(LEFT(TH!N4380,2)="15",LEFT(TH!O4380,2)="15"),LEFT(TH!O4380,3)&lt;&gt;"111",'152-CT'!$J$8=TH!F4380),"x","")</f>
        <v/>
      </c>
      <c r="AC4380" s="79" t="str">
        <f>IF(AND(OR(LEFT(TH!N4380,2)="15",LEFT(TH!O4380,2)="15"),TK!$E$7=TH!F4380),"x","")</f>
        <v/>
      </c>
      <c r="AD4380" s="79" t="str">
        <f>IF(AND(N4380="1521",MONTH(C4380)='BK-NL'!$M$11),"x","")</f>
        <v/>
      </c>
    </row>
    <row r="4381" spans="1:30" ht="16.5" customHeight="1">
      <c r="A4381" s="318" t="str">
        <f>IF(B4381&lt;&gt;"",IF(AND(B4381='[3]IN-TC'!$S$4,OR([3]TH!N3612="1111",[3]TH!O3612="1111")),[3]TH!D3612,""),"")</f>
        <v/>
      </c>
      <c r="B4381" s="60" t="str">
        <f t="shared" si="472"/>
        <v/>
      </c>
      <c r="C4381" s="61"/>
      <c r="D4381" s="301"/>
      <c r="E4381" s="301"/>
      <c r="F4381" s="64"/>
      <c r="G4381" s="64"/>
      <c r="H4381" s="321"/>
      <c r="I4381" s="385"/>
      <c r="J4381" s="969"/>
      <c r="K4381" s="385"/>
      <c r="L4381" s="392"/>
      <c r="M4381" s="970"/>
      <c r="N4381" s="304"/>
      <c r="O4381" s="304"/>
      <c r="P4381" s="79" t="str">
        <f>IF(AND('331-CT'!$E$7=TH!H4381,OR(N4381="331",O4381="331")),"x","")</f>
        <v/>
      </c>
      <c r="Q4381" s="79" t="str">
        <f>IF(AND(B4381='111'!$L$11,OR($N4381=$Q$7,$O4381=$Q$7)),"x","")</f>
        <v/>
      </c>
      <c r="R4381" s="79" t="str">
        <f>IF(AND($N4381=$Q$7,$B4381&lt;'111'!$L$11),"x","")</f>
        <v/>
      </c>
      <c r="S4381" s="79" t="str">
        <f>IF(AND($O4381=$Q$7,$B4381&lt;'111'!$L$11),"x","")</f>
        <v/>
      </c>
      <c r="T4381" s="79" t="str">
        <f>IF(ISERROR(FIND('112'!$M$9,G4381,1)),"",IF((AND(FIND('112'!$M$9,G4381,1)&gt;=1,B4381='112'!$K$9,OR($N4381='112'!$I$6,$O4381='112'!$I$6))),"x",""))</f>
        <v/>
      </c>
      <c r="U4381" s="79" t="str">
        <f>IF(ISERROR(FIND('112'!$M$9,G4381,1)),"",IF((AND(LEFT(G4381,2)=LEFT('112'!$M$9,2),B4381&lt;'112'!$K$9,$N4381='112'!$I$6)),"x",""))</f>
        <v/>
      </c>
      <c r="V4381" s="79" t="str">
        <f>IF(ISERROR(FIND('112'!$M$9,G4381,1)),"",IF((AND(RIGHT(G4381,2)=RIGHT('112'!$M$9,2),B4381&lt;'112'!$K$9,$O4381='112'!$I$6)),"x",""))</f>
        <v/>
      </c>
      <c r="W4381" s="79" t="str">
        <f>IF(AND('341-CT'!$H$9=H4381,OR(LEFT(N4381,3)=$W$7,LEFT(O4381,3)=$W$7)),"x","")</f>
        <v/>
      </c>
      <c r="X4381" s="79" t="str">
        <f>IF(OR(TH!N4381=TH!$X$7,O4381=TH!$X$7),"x","")</f>
        <v/>
      </c>
      <c r="Y4381" s="79" t="str">
        <f>IF(AND(OR(N4381="131",O4381="131"),H4381='131-CT'!$H$9),"x","")</f>
        <v/>
      </c>
      <c r="Z4381" s="79"/>
      <c r="AA4381" s="79" t="str">
        <f>IF(AND(MONTH(E4381)='IN-NX'!$J$5,'IN-NX'!$D$7=D4381),"x","")</f>
        <v/>
      </c>
      <c r="AB4381" s="79" t="str">
        <f>IF(AND(OR(LEFT(TH!N4381,2)="15",LEFT(TH!O4381,2)="15"),LEFT(TH!O4381,3)&lt;&gt;"111",'152-CT'!$J$8=TH!F4381),"x","")</f>
        <v/>
      </c>
      <c r="AC4381" s="79" t="str">
        <f>IF(AND(OR(LEFT(TH!N4381,2)="15",LEFT(TH!O4381,2)="15"),TK!$E$7=TH!F4381),"x","")</f>
        <v/>
      </c>
      <c r="AD4381" s="79" t="str">
        <f>IF(AND(N4381="1521",MONTH(C4381)='BK-NL'!$M$11),"x","")</f>
        <v/>
      </c>
    </row>
    <row r="4382" spans="1:30" ht="16.5" customHeight="1">
      <c r="A4382" s="318" t="str">
        <f>IF(B4382&lt;&gt;"",IF(AND(B4382='[3]IN-TC'!$S$4,OR([3]TH!N3613="1111",[3]TH!O3613="1111")),[3]TH!D3613,""),"")</f>
        <v/>
      </c>
      <c r="B4382" s="60" t="str">
        <f t="shared" si="472"/>
        <v/>
      </c>
      <c r="C4382" s="61"/>
      <c r="D4382" s="301"/>
      <c r="E4382" s="301"/>
      <c r="F4382" s="64"/>
      <c r="G4382" s="64"/>
      <c r="H4382" s="321"/>
      <c r="I4382" s="385"/>
      <c r="J4382" s="969"/>
      <c r="K4382" s="385"/>
      <c r="L4382" s="392"/>
      <c r="M4382" s="970"/>
      <c r="N4382" s="304"/>
      <c r="O4382" s="304"/>
      <c r="P4382" s="79" t="str">
        <f>IF(AND('331-CT'!$E$7=TH!H4382,OR(N4382="331",O4382="331")),"x","")</f>
        <v/>
      </c>
      <c r="Q4382" s="79" t="str">
        <f>IF(AND(B4382='111'!$L$11,OR($N4382=$Q$7,$O4382=$Q$7)),"x","")</f>
        <v/>
      </c>
      <c r="R4382" s="79" t="str">
        <f>IF(AND($N4382=$Q$7,$B4382&lt;'111'!$L$11),"x","")</f>
        <v/>
      </c>
      <c r="S4382" s="79" t="str">
        <f>IF(AND($O4382=$Q$7,$B4382&lt;'111'!$L$11),"x","")</f>
        <v/>
      </c>
      <c r="T4382" s="79" t="str">
        <f>IF(ISERROR(FIND('112'!$M$9,G4382,1)),"",IF((AND(FIND('112'!$M$9,G4382,1)&gt;=1,B4382='112'!$K$9,OR($N4382='112'!$I$6,$O4382='112'!$I$6))),"x",""))</f>
        <v/>
      </c>
      <c r="U4382" s="79" t="str">
        <f>IF(ISERROR(FIND('112'!$M$9,G4382,1)),"",IF((AND(LEFT(G4382,2)=LEFT('112'!$M$9,2),B4382&lt;'112'!$K$9,$N4382='112'!$I$6)),"x",""))</f>
        <v/>
      </c>
      <c r="V4382" s="79" t="str">
        <f>IF(ISERROR(FIND('112'!$M$9,G4382,1)),"",IF((AND(RIGHT(G4382,2)=RIGHT('112'!$M$9,2),B4382&lt;'112'!$K$9,$O4382='112'!$I$6)),"x",""))</f>
        <v/>
      </c>
      <c r="W4382" s="79" t="str">
        <f>IF(AND('341-CT'!$H$9=H4382,OR(LEFT(N4382,3)=$W$7,LEFT(O4382,3)=$W$7)),"x","")</f>
        <v/>
      </c>
      <c r="X4382" s="79" t="str">
        <f>IF(OR(TH!N4382=TH!$X$7,O4382=TH!$X$7),"x","")</f>
        <v/>
      </c>
      <c r="Y4382" s="79" t="str">
        <f>IF(AND(OR(N4382="131",O4382="131"),H4382='131-CT'!$H$9),"x","")</f>
        <v/>
      </c>
      <c r="Z4382" s="79"/>
      <c r="AA4382" s="79" t="str">
        <f>IF(AND(MONTH(E4382)='IN-NX'!$J$5,'IN-NX'!$D$7=D4382),"x","")</f>
        <v/>
      </c>
      <c r="AB4382" s="79" t="str">
        <f>IF(AND(OR(LEFT(TH!N4382,2)="15",LEFT(TH!O4382,2)="15"),LEFT(TH!O4382,3)&lt;&gt;"111",'152-CT'!$J$8=TH!F4382),"x","")</f>
        <v/>
      </c>
      <c r="AC4382" s="79" t="str">
        <f>IF(AND(OR(LEFT(TH!N4382,2)="15",LEFT(TH!O4382,2)="15"),TK!$E$7=TH!F4382),"x","")</f>
        <v/>
      </c>
      <c r="AD4382" s="79" t="str">
        <f>IF(AND(N4382="1521",MONTH(C4382)='BK-NL'!$M$11),"x","")</f>
        <v/>
      </c>
    </row>
    <row r="4383" spans="1:30" ht="16.5" customHeight="1">
      <c r="A4383" s="318" t="str">
        <f>IF(B4383&lt;&gt;"",IF(AND(B4383='[3]IN-TC'!$S$4,OR([3]TH!N3614="1111",[3]TH!O3614="1111")),[3]TH!D3614,""),"")</f>
        <v/>
      </c>
      <c r="B4383" s="60" t="str">
        <f t="shared" si="472"/>
        <v/>
      </c>
      <c r="C4383" s="61"/>
      <c r="D4383" s="301"/>
      <c r="E4383" s="301"/>
      <c r="F4383" s="64"/>
      <c r="G4383" s="64"/>
      <c r="H4383" s="321"/>
      <c r="I4383" s="385"/>
      <c r="J4383" s="969"/>
      <c r="K4383" s="385"/>
      <c r="L4383" s="392"/>
      <c r="M4383" s="970"/>
      <c r="N4383" s="304"/>
      <c r="O4383" s="304"/>
      <c r="P4383" s="79" t="str">
        <f>IF(AND('331-CT'!$E$7=TH!H4383,OR(N4383="331",O4383="331")),"x","")</f>
        <v/>
      </c>
      <c r="Q4383" s="79" t="str">
        <f>IF(AND(B4383='111'!$L$11,OR($N4383=$Q$7,$O4383=$Q$7)),"x","")</f>
        <v/>
      </c>
      <c r="R4383" s="79" t="str">
        <f>IF(AND($N4383=$Q$7,$B4383&lt;'111'!$L$11),"x","")</f>
        <v/>
      </c>
      <c r="S4383" s="79" t="str">
        <f>IF(AND($O4383=$Q$7,$B4383&lt;'111'!$L$11),"x","")</f>
        <v/>
      </c>
      <c r="T4383" s="79" t="str">
        <f>IF(ISERROR(FIND('112'!$M$9,G4383,1)),"",IF((AND(FIND('112'!$M$9,G4383,1)&gt;=1,B4383='112'!$K$9,OR($N4383='112'!$I$6,$O4383='112'!$I$6))),"x",""))</f>
        <v/>
      </c>
      <c r="U4383" s="79" t="str">
        <f>IF(ISERROR(FIND('112'!$M$9,G4383,1)),"",IF((AND(LEFT(G4383,2)=LEFT('112'!$M$9,2),B4383&lt;'112'!$K$9,$N4383='112'!$I$6)),"x",""))</f>
        <v/>
      </c>
      <c r="V4383" s="79" t="str">
        <f>IF(ISERROR(FIND('112'!$M$9,G4383,1)),"",IF((AND(RIGHT(G4383,2)=RIGHT('112'!$M$9,2),B4383&lt;'112'!$K$9,$O4383='112'!$I$6)),"x",""))</f>
        <v/>
      </c>
      <c r="W4383" s="79" t="str">
        <f>IF(AND('341-CT'!$H$9=H4383,OR(LEFT(N4383,3)=$W$7,LEFT(O4383,3)=$W$7)),"x","")</f>
        <v/>
      </c>
      <c r="X4383" s="79" t="str">
        <f>IF(OR(TH!N4383=TH!$X$7,O4383=TH!$X$7),"x","")</f>
        <v/>
      </c>
      <c r="Y4383" s="79" t="str">
        <f>IF(AND(OR(N4383="131",O4383="131"),H4383='131-CT'!$H$9),"x","")</f>
        <v/>
      </c>
      <c r="Z4383" s="79"/>
      <c r="AA4383" s="79" t="str">
        <f>IF(AND(MONTH(E4383)='IN-NX'!$J$5,'IN-NX'!$D$7=D4383),"x","")</f>
        <v/>
      </c>
      <c r="AB4383" s="79" t="str">
        <f>IF(AND(OR(LEFT(TH!N4383,2)="15",LEFT(TH!O4383,2)="15"),LEFT(TH!O4383,3)&lt;&gt;"111",'152-CT'!$J$8=TH!F4383),"x","")</f>
        <v/>
      </c>
      <c r="AC4383" s="79" t="str">
        <f>IF(AND(OR(LEFT(TH!N4383,2)="15",LEFT(TH!O4383,2)="15"),TK!$E$7=TH!F4383),"x","")</f>
        <v/>
      </c>
      <c r="AD4383" s="79" t="str">
        <f>IF(AND(N4383="1521",MONTH(C4383)='BK-NL'!$M$11),"x","")</f>
        <v/>
      </c>
    </row>
    <row r="4384" spans="1:30" ht="16.5" customHeight="1">
      <c r="A4384" s="318" t="str">
        <f>IF(B4384&lt;&gt;"",IF(AND(B4384='[3]IN-TC'!$S$4,OR([3]TH!N3615="1111",[3]TH!O3615="1111")),[3]TH!D3615,""),"")</f>
        <v/>
      </c>
      <c r="B4384" s="60" t="str">
        <f t="shared" si="472"/>
        <v/>
      </c>
      <c r="C4384" s="61"/>
      <c r="D4384" s="301"/>
      <c r="E4384" s="301"/>
      <c r="F4384" s="64"/>
      <c r="G4384" s="64"/>
      <c r="H4384" s="321"/>
      <c r="I4384" s="385"/>
      <c r="J4384" s="969"/>
      <c r="K4384" s="385"/>
      <c r="L4384" s="392"/>
      <c r="M4384" s="970"/>
      <c r="N4384" s="304"/>
      <c r="O4384" s="304"/>
      <c r="P4384" s="79" t="str">
        <f>IF(AND('331-CT'!$E$7=TH!H4384,OR(N4384="331",O4384="331")),"x","")</f>
        <v/>
      </c>
      <c r="Q4384" s="79" t="str">
        <f>IF(AND(B4384='111'!$L$11,OR($N4384=$Q$7,$O4384=$Q$7)),"x","")</f>
        <v/>
      </c>
      <c r="R4384" s="79" t="str">
        <f>IF(AND($N4384=$Q$7,$B4384&lt;'111'!$L$11),"x","")</f>
        <v/>
      </c>
      <c r="S4384" s="79" t="str">
        <f>IF(AND($O4384=$Q$7,$B4384&lt;'111'!$L$11),"x","")</f>
        <v/>
      </c>
      <c r="T4384" s="79" t="str">
        <f>IF(ISERROR(FIND('112'!$M$9,G4384,1)),"",IF((AND(FIND('112'!$M$9,G4384,1)&gt;=1,B4384='112'!$K$9,OR($N4384='112'!$I$6,$O4384='112'!$I$6))),"x",""))</f>
        <v/>
      </c>
      <c r="U4384" s="79" t="str">
        <f>IF(ISERROR(FIND('112'!$M$9,G4384,1)),"",IF((AND(LEFT(G4384,2)=LEFT('112'!$M$9,2),B4384&lt;'112'!$K$9,$N4384='112'!$I$6)),"x",""))</f>
        <v/>
      </c>
      <c r="V4384" s="79" t="str">
        <f>IF(ISERROR(FIND('112'!$M$9,G4384,1)),"",IF((AND(RIGHT(G4384,2)=RIGHT('112'!$M$9,2),B4384&lt;'112'!$K$9,$O4384='112'!$I$6)),"x",""))</f>
        <v/>
      </c>
      <c r="W4384" s="79" t="str">
        <f>IF(AND('341-CT'!$H$9=H4384,OR(LEFT(N4384,3)=$W$7,LEFT(O4384,3)=$W$7)),"x","")</f>
        <v/>
      </c>
      <c r="X4384" s="79" t="str">
        <f>IF(OR(TH!N4384=TH!$X$7,O4384=TH!$X$7),"x","")</f>
        <v/>
      </c>
      <c r="Y4384" s="79" t="str">
        <f>IF(AND(OR(N4384="131",O4384="131"),H4384='131-CT'!$H$9),"x","")</f>
        <v/>
      </c>
      <c r="Z4384" s="79"/>
      <c r="AA4384" s="79" t="str">
        <f>IF(AND(MONTH(E4384)='IN-NX'!$J$5,'IN-NX'!$D$7=D4384),"x","")</f>
        <v/>
      </c>
      <c r="AB4384" s="79" t="str">
        <f>IF(AND(OR(LEFT(TH!N4384,2)="15",LEFT(TH!O4384,2)="15"),LEFT(TH!O4384,3)&lt;&gt;"111",'152-CT'!$J$8=TH!F4384),"x","")</f>
        <v/>
      </c>
      <c r="AC4384" s="79" t="str">
        <f>IF(AND(OR(LEFT(TH!N4384,2)="15",LEFT(TH!O4384,2)="15"),TK!$E$7=TH!F4384),"x","")</f>
        <v/>
      </c>
      <c r="AD4384" s="79" t="str">
        <f>IF(AND(N4384="1521",MONTH(C4384)='BK-NL'!$M$11),"x","")</f>
        <v/>
      </c>
    </row>
    <row r="4385" spans="1:30" ht="16.5" customHeight="1">
      <c r="A4385" s="318" t="str">
        <f>IF(B4385&lt;&gt;"",IF(AND(B4385='[3]IN-TC'!$S$4,OR([3]TH!N3616="1111",[3]TH!O3616="1111")),[3]TH!D3616,""),"")</f>
        <v/>
      </c>
      <c r="B4385" s="60" t="str">
        <f t="shared" si="472"/>
        <v/>
      </c>
      <c r="C4385" s="301"/>
      <c r="D4385" s="301"/>
      <c r="E4385" s="301"/>
      <c r="F4385" s="302"/>
      <c r="G4385" s="988"/>
      <c r="H4385" s="69"/>
      <c r="I4385" s="385"/>
      <c r="J4385" s="969"/>
      <c r="K4385" s="385"/>
      <c r="L4385" s="392"/>
      <c r="M4385" s="970"/>
      <c r="N4385" s="304"/>
      <c r="O4385" s="304"/>
      <c r="P4385" s="79" t="str">
        <f>IF(AND('331-CT'!$E$7=TH!H4385,OR(N4385="331",O4385="331")),"x","")</f>
        <v/>
      </c>
      <c r="Q4385" s="79" t="str">
        <f>IF(AND(B4385='111'!$L$11,OR($N4385=$Q$7,$O4385=$Q$7)),"x","")</f>
        <v/>
      </c>
      <c r="R4385" s="79" t="str">
        <f>IF(AND($N4385=$Q$7,$B4385&lt;'111'!$L$11),"x","")</f>
        <v/>
      </c>
      <c r="S4385" s="79" t="str">
        <f>IF(AND($O4385=$Q$7,$B4385&lt;'111'!$L$11),"x","")</f>
        <v/>
      </c>
      <c r="T4385" s="79" t="str">
        <f>IF(ISERROR(FIND('112'!$M$9,G4385,1)),"",IF((AND(FIND('112'!$M$9,G4385,1)&gt;=1,B4385='112'!$K$9,OR($N4385='112'!$I$6,$O4385='112'!$I$6))),"x",""))</f>
        <v/>
      </c>
      <c r="U4385" s="79" t="str">
        <f>IF(ISERROR(FIND('112'!$M$9,G4385,1)),"",IF((AND(LEFT(G4385,2)=LEFT('112'!$M$9,2),B4385&lt;'112'!$K$9,$N4385='112'!$I$6)),"x",""))</f>
        <v/>
      </c>
      <c r="V4385" s="79" t="str">
        <f>IF(ISERROR(FIND('112'!$M$9,G4385,1)),"",IF((AND(RIGHT(G4385,2)=RIGHT('112'!$M$9,2),B4385&lt;'112'!$K$9,$O4385='112'!$I$6)),"x",""))</f>
        <v/>
      </c>
      <c r="W4385" s="79" t="str">
        <f>IF(AND('341-CT'!$H$9=H4385,OR(LEFT(N4385,3)=$W$7,LEFT(O4385,3)=$W$7)),"x","")</f>
        <v/>
      </c>
      <c r="X4385" s="79" t="str">
        <f>IF(OR(TH!N4385=TH!$X$7,O4385=TH!$X$7),"x","")</f>
        <v/>
      </c>
      <c r="Y4385" s="79" t="str">
        <f>IF(AND(OR(N4385="131",O4385="131"),H4385='131-CT'!$H$9),"x","")</f>
        <v/>
      </c>
      <c r="Z4385" s="79"/>
      <c r="AA4385" s="79" t="str">
        <f>IF(AND(MONTH(E4385)='IN-NX'!$J$5,'IN-NX'!$D$7=D4385),"x","")</f>
        <v/>
      </c>
      <c r="AB4385" s="79" t="str">
        <f>IF(AND(OR(LEFT(TH!N4385,2)="15",LEFT(TH!O4385,2)="15"),LEFT(TH!O4385,3)&lt;&gt;"111",'152-CT'!$J$8=TH!F4385),"x","")</f>
        <v/>
      </c>
      <c r="AC4385" s="79" t="str">
        <f>IF(AND(OR(LEFT(TH!N4385,2)="15",LEFT(TH!O4385,2)="15"),TK!$E$7=TH!F4385),"x","")</f>
        <v/>
      </c>
      <c r="AD4385" s="79" t="str">
        <f>IF(AND(N4385="1521",MONTH(C4385)='BK-NL'!$M$11),"x","")</f>
        <v/>
      </c>
    </row>
    <row r="4386" spans="1:30" ht="16.5" customHeight="1">
      <c r="A4386" s="318" t="str">
        <f>IF(B4386&lt;&gt;"",IF(AND(B4386='[3]IN-TC'!$S$4,OR([3]TH!N3617="1111",[3]TH!O3617="1111")),[3]TH!D3617,""),"")</f>
        <v/>
      </c>
      <c r="B4386" s="60" t="str">
        <f t="shared" si="472"/>
        <v/>
      </c>
      <c r="C4386" s="61"/>
      <c r="D4386" s="61"/>
      <c r="E4386" s="61"/>
      <c r="F4386" s="64"/>
      <c r="G4386" s="64"/>
      <c r="H4386" s="321"/>
      <c r="I4386" s="385"/>
      <c r="J4386" s="392"/>
      <c r="K4386" s="385"/>
      <c r="L4386" s="392"/>
      <c r="M4386" s="62"/>
      <c r="N4386" s="971"/>
      <c r="O4386" s="63"/>
      <c r="P4386" s="79" t="str">
        <f>IF(AND('331-CT'!$E$7=TH!H4386,OR(N4386="331",O4386="331")),"x","")</f>
        <v/>
      </c>
      <c r="Q4386" s="79" t="str">
        <f>IF(AND(B4386='111'!$L$11,OR($N4386=$Q$7,$O4386=$Q$7)),"x","")</f>
        <v/>
      </c>
      <c r="R4386" s="79" t="str">
        <f>IF(AND($N4386=$Q$7,$B4386&lt;'111'!$L$11),"x","")</f>
        <v/>
      </c>
      <c r="S4386" s="79" t="str">
        <f>IF(AND($O4386=$Q$7,$B4386&lt;'111'!$L$11),"x","")</f>
        <v/>
      </c>
      <c r="T4386" s="79" t="str">
        <f>IF(ISERROR(FIND('112'!$M$9,G4386,1)),"",IF((AND(FIND('112'!$M$9,G4386,1)&gt;=1,B4386='112'!$K$9,OR($N4386='112'!$I$6,$O4386='112'!$I$6))),"x",""))</f>
        <v/>
      </c>
      <c r="U4386" s="79" t="str">
        <f>IF(ISERROR(FIND('112'!$M$9,G4386,1)),"",IF((AND(LEFT(G4386,2)=LEFT('112'!$M$9,2),B4386&lt;'112'!$K$9,$N4386='112'!$I$6)),"x",""))</f>
        <v/>
      </c>
      <c r="V4386" s="79" t="str">
        <f>IF(ISERROR(FIND('112'!$M$9,G4386,1)),"",IF((AND(RIGHT(G4386,2)=RIGHT('112'!$M$9,2),B4386&lt;'112'!$K$9,$O4386='112'!$I$6)),"x",""))</f>
        <v/>
      </c>
      <c r="W4386" s="79" t="str">
        <f>IF(AND('341-CT'!$H$9=H4386,OR(LEFT(N4386,3)=$W$7,LEFT(O4386,3)=$W$7)),"x","")</f>
        <v/>
      </c>
      <c r="X4386" s="79" t="str">
        <f>IF(OR(TH!N4386=TH!$X$7,O4386=TH!$X$7),"x","")</f>
        <v/>
      </c>
      <c r="Y4386" s="79" t="str">
        <f>IF(AND(OR(N4386="131",O4386="131"),H4386='131-CT'!$H$9),"x","")</f>
        <v/>
      </c>
      <c r="Z4386" s="79"/>
      <c r="AA4386" s="79" t="str">
        <f>IF(AND(MONTH(E4386)='IN-NX'!$J$5,'IN-NX'!$D$7=D4386),"x","")</f>
        <v/>
      </c>
      <c r="AB4386" s="79" t="str">
        <f>IF(AND(OR(LEFT(TH!N4386,2)="15",LEFT(TH!O4386,2)="15"),LEFT(TH!O4386,3)&lt;&gt;"111",'152-CT'!$J$8=TH!F4386),"x","")</f>
        <v/>
      </c>
      <c r="AC4386" s="79" t="str">
        <f>IF(AND(OR(LEFT(TH!N4386,2)="15",LEFT(TH!O4386,2)="15"),TK!$E$7=TH!F4386),"x","")</f>
        <v/>
      </c>
      <c r="AD4386" s="79" t="str">
        <f>IF(AND(N4386="1521",MONTH(C4386)='BK-NL'!$M$11),"x","")</f>
        <v/>
      </c>
    </row>
    <row r="4387" spans="1:30" ht="16.5" customHeight="1">
      <c r="A4387" s="318" t="str">
        <f>IF(B4387&lt;&gt;"",IF(AND(B4387='[3]IN-TC'!$S$4,OR([3]TH!N3618="1111",[3]TH!O3618="1111")),[3]TH!D3618,""),"")</f>
        <v/>
      </c>
      <c r="B4387" s="60" t="str">
        <f t="shared" si="472"/>
        <v/>
      </c>
      <c r="C4387" s="301"/>
      <c r="D4387" s="301"/>
      <c r="E4387" s="301"/>
      <c r="F4387" s="302"/>
      <c r="G4387" s="988"/>
      <c r="H4387" s="69"/>
      <c r="I4387" s="385"/>
      <c r="J4387" s="969"/>
      <c r="K4387" s="385"/>
      <c r="L4387" s="392"/>
      <c r="M4387" s="970"/>
      <c r="N4387" s="304"/>
      <c r="O4387" s="304"/>
      <c r="P4387" s="79" t="str">
        <f>IF(AND('331-CT'!$E$7=TH!H4387,OR(N4387="331",O4387="331")),"x","")</f>
        <v/>
      </c>
      <c r="Q4387" s="79" t="str">
        <f>IF(AND(B4387='111'!$L$11,OR($N4387=$Q$7,$O4387=$Q$7)),"x","")</f>
        <v/>
      </c>
      <c r="R4387" s="79" t="str">
        <f>IF(AND($N4387=$Q$7,$B4387&lt;'111'!$L$11),"x","")</f>
        <v/>
      </c>
      <c r="S4387" s="79" t="str">
        <f>IF(AND($O4387=$Q$7,$B4387&lt;'111'!$L$11),"x","")</f>
        <v/>
      </c>
      <c r="T4387" s="79" t="str">
        <f>IF(ISERROR(FIND('112'!$M$9,G4387,1)),"",IF((AND(FIND('112'!$M$9,G4387,1)&gt;=1,B4387='112'!$K$9,OR($N4387='112'!$I$6,$O4387='112'!$I$6))),"x",""))</f>
        <v/>
      </c>
      <c r="U4387" s="79" t="str">
        <f>IF(ISERROR(FIND('112'!$M$9,G4387,1)),"",IF((AND(LEFT(G4387,2)=LEFT('112'!$M$9,2),B4387&lt;'112'!$K$9,$N4387='112'!$I$6)),"x",""))</f>
        <v/>
      </c>
      <c r="V4387" s="79" t="str">
        <f>IF(ISERROR(FIND('112'!$M$9,G4387,1)),"",IF((AND(RIGHT(G4387,2)=RIGHT('112'!$M$9,2),B4387&lt;'112'!$K$9,$O4387='112'!$I$6)),"x",""))</f>
        <v/>
      </c>
      <c r="W4387" s="79" t="str">
        <f>IF(AND('341-CT'!$H$9=H4387,OR(LEFT(N4387,3)=$W$7,LEFT(O4387,3)=$W$7)),"x","")</f>
        <v/>
      </c>
      <c r="X4387" s="79" t="str">
        <f>IF(OR(TH!N4387=TH!$X$7,O4387=TH!$X$7),"x","")</f>
        <v/>
      </c>
      <c r="Y4387" s="79" t="str">
        <f>IF(AND(OR(N4387="131",O4387="131"),H4387='131-CT'!$H$9),"x","")</f>
        <v/>
      </c>
      <c r="Z4387" s="79"/>
      <c r="AA4387" s="79" t="str">
        <f>IF(AND(MONTH(E4387)='IN-NX'!$J$5,'IN-NX'!$D$7=D4387),"x","")</f>
        <v/>
      </c>
      <c r="AB4387" s="79" t="str">
        <f>IF(AND(OR(LEFT(TH!N4387,2)="15",LEFT(TH!O4387,2)="15"),LEFT(TH!O4387,3)&lt;&gt;"111",'152-CT'!$J$8=TH!F4387),"x","")</f>
        <v/>
      </c>
      <c r="AC4387" s="79" t="str">
        <f>IF(AND(OR(LEFT(TH!N4387,2)="15",LEFT(TH!O4387,2)="15"),TK!$E$7=TH!F4387),"x","")</f>
        <v/>
      </c>
      <c r="AD4387" s="79" t="str">
        <f>IF(AND(N4387="1521",MONTH(C4387)='BK-NL'!$M$11),"x","")</f>
        <v/>
      </c>
    </row>
    <row r="4388" spans="1:30" ht="16.5" customHeight="1">
      <c r="A4388" s="318" t="str">
        <f>IF(B4388&lt;&gt;"",IF(AND(B4388='[3]IN-TC'!$S$4,OR([3]TH!N3619="1111",[3]TH!O3619="1111")),[3]TH!D3619,""),"")</f>
        <v/>
      </c>
      <c r="B4388" s="60" t="str">
        <f t="shared" si="472"/>
        <v/>
      </c>
      <c r="C4388" s="61"/>
      <c r="D4388" s="61"/>
      <c r="E4388" s="61"/>
      <c r="F4388" s="64"/>
      <c r="G4388" s="64"/>
      <c r="H4388" s="321"/>
      <c r="I4388" s="385"/>
      <c r="J4388" s="392"/>
      <c r="K4388" s="385"/>
      <c r="L4388" s="392"/>
      <c r="M4388" s="62"/>
      <c r="N4388" s="63"/>
      <c r="O4388" s="63"/>
      <c r="P4388" s="79" t="str">
        <f>IF(AND('331-CT'!$E$7=TH!H4388,OR(N4388="331",O4388="331")),"x","")</f>
        <v/>
      </c>
      <c r="Q4388" s="79" t="str">
        <f>IF(AND(B4388='111'!$L$11,OR($N4388=$Q$7,$O4388=$Q$7)),"x","")</f>
        <v/>
      </c>
      <c r="R4388" s="79" t="str">
        <f>IF(AND($N4388=$Q$7,$B4388&lt;'111'!$L$11),"x","")</f>
        <v/>
      </c>
      <c r="S4388" s="79" t="str">
        <f>IF(AND($O4388=$Q$7,$B4388&lt;'111'!$L$11),"x","")</f>
        <v/>
      </c>
      <c r="T4388" s="79" t="str">
        <f>IF(ISERROR(FIND('112'!$M$9,G4388,1)),"",IF((AND(FIND('112'!$M$9,G4388,1)&gt;=1,B4388='112'!$K$9,OR($N4388='112'!$I$6,$O4388='112'!$I$6))),"x",""))</f>
        <v/>
      </c>
      <c r="U4388" s="79" t="str">
        <f>IF(ISERROR(FIND('112'!$M$9,G4388,1)),"",IF((AND(LEFT(G4388,2)=LEFT('112'!$M$9,2),B4388&lt;'112'!$K$9,$N4388='112'!$I$6)),"x",""))</f>
        <v/>
      </c>
      <c r="V4388" s="79" t="str">
        <f>IF(ISERROR(FIND('112'!$M$9,G4388,1)),"",IF((AND(RIGHT(G4388,2)=RIGHT('112'!$M$9,2),B4388&lt;'112'!$K$9,$O4388='112'!$I$6)),"x",""))</f>
        <v/>
      </c>
      <c r="W4388" s="79" t="str">
        <f>IF(AND('341-CT'!$H$9=H4388,OR(LEFT(N4388,3)=$W$7,LEFT(O4388,3)=$W$7)),"x","")</f>
        <v/>
      </c>
      <c r="X4388" s="79" t="str">
        <f>IF(OR(TH!N4388=TH!$X$7,O4388=TH!$X$7),"x","")</f>
        <v/>
      </c>
      <c r="Y4388" s="79" t="str">
        <f>IF(AND(OR(N4388="131",O4388="131"),H4388='131-CT'!$H$9),"x","")</f>
        <v/>
      </c>
      <c r="Z4388" s="79"/>
      <c r="AA4388" s="79" t="str">
        <f>IF(AND(MONTH(E4388)='IN-NX'!$J$5,'IN-NX'!$D$7=D4388),"x","")</f>
        <v/>
      </c>
      <c r="AB4388" s="79" t="str">
        <f>IF(AND(OR(LEFT(TH!N4388,2)="15",LEFT(TH!O4388,2)="15"),LEFT(TH!O4388,3)&lt;&gt;"111",'152-CT'!$J$8=TH!F4388),"x","")</f>
        <v/>
      </c>
      <c r="AC4388" s="79" t="str">
        <f>IF(AND(OR(LEFT(TH!N4388,2)="15",LEFT(TH!O4388,2)="15"),TK!$E$7=TH!F4388),"x","")</f>
        <v/>
      </c>
      <c r="AD4388" s="79" t="str">
        <f>IF(AND(N4388="1521",MONTH(C4388)='BK-NL'!$M$11),"x","")</f>
        <v/>
      </c>
    </row>
    <row r="4389" spans="1:30" ht="16.5" customHeight="1">
      <c r="A4389" s="318" t="str">
        <f>IF(B4389&lt;&gt;"",IF(AND(B4389='[3]IN-TC'!$S$4,OR([3]TH!N3620="1111",[3]TH!O3620="1111")),[3]TH!D3620,""),"")</f>
        <v/>
      </c>
      <c r="B4389" s="60" t="str">
        <f t="shared" si="472"/>
        <v/>
      </c>
      <c r="C4389" s="61"/>
      <c r="D4389" s="61"/>
      <c r="E4389" s="61"/>
      <c r="F4389" s="64"/>
      <c r="G4389" s="64"/>
      <c r="H4389" s="321"/>
      <c r="I4389" s="385"/>
      <c r="J4389" s="392"/>
      <c r="K4389" s="385"/>
      <c r="L4389" s="392"/>
      <c r="M4389" s="62"/>
      <c r="N4389" s="63"/>
      <c r="O4389" s="63"/>
      <c r="P4389" s="79" t="str">
        <f>IF(AND('331-CT'!$E$7=TH!H4389,OR(N4389="331",O4389="331")),"x","")</f>
        <v/>
      </c>
      <c r="Q4389" s="79" t="str">
        <f>IF(AND(B4389='111'!$L$11,OR($N4389=$Q$7,$O4389=$Q$7)),"x","")</f>
        <v/>
      </c>
      <c r="R4389" s="79" t="str">
        <f>IF(AND($N4389=$Q$7,$B4389&lt;'111'!$L$11),"x","")</f>
        <v/>
      </c>
      <c r="S4389" s="79" t="str">
        <f>IF(AND($O4389=$Q$7,$B4389&lt;'111'!$L$11),"x","")</f>
        <v/>
      </c>
      <c r="T4389" s="79" t="str">
        <f>IF(ISERROR(FIND('112'!$M$9,G4389,1)),"",IF((AND(FIND('112'!$M$9,G4389,1)&gt;=1,B4389='112'!$K$9,OR($N4389='112'!$I$6,$O4389='112'!$I$6))),"x",""))</f>
        <v/>
      </c>
      <c r="U4389" s="79" t="str">
        <f>IF(ISERROR(FIND('112'!$M$9,G4389,1)),"",IF((AND(LEFT(G4389,2)=LEFT('112'!$M$9,2),B4389&lt;'112'!$K$9,$N4389='112'!$I$6)),"x",""))</f>
        <v/>
      </c>
      <c r="V4389" s="79" t="str">
        <f>IF(ISERROR(FIND('112'!$M$9,G4389,1)),"",IF((AND(RIGHT(G4389,2)=RIGHT('112'!$M$9,2),B4389&lt;'112'!$K$9,$O4389='112'!$I$6)),"x",""))</f>
        <v/>
      </c>
      <c r="W4389" s="79" t="str">
        <f>IF(AND('341-CT'!$H$9=H4389,OR(LEFT(N4389,3)=$W$7,LEFT(O4389,3)=$W$7)),"x","")</f>
        <v/>
      </c>
      <c r="X4389" s="79" t="str">
        <f>IF(OR(TH!N4389=TH!$X$7,O4389=TH!$X$7),"x","")</f>
        <v/>
      </c>
      <c r="Y4389" s="79" t="str">
        <f>IF(AND(OR(N4389="131",O4389="131"),H4389='131-CT'!$H$9),"x","")</f>
        <v/>
      </c>
      <c r="Z4389" s="79"/>
      <c r="AA4389" s="79" t="str">
        <f>IF(AND(MONTH(E4389)='IN-NX'!$J$5,'IN-NX'!$D$7=D4389),"x","")</f>
        <v/>
      </c>
      <c r="AB4389" s="79" t="str">
        <f>IF(AND(OR(LEFT(TH!N4389,2)="15",LEFT(TH!O4389,2)="15"),LEFT(TH!O4389,3)&lt;&gt;"111",'152-CT'!$J$8=TH!F4389),"x","")</f>
        <v/>
      </c>
      <c r="AC4389" s="79" t="str">
        <f>IF(AND(OR(LEFT(TH!N4389,2)="15",LEFT(TH!O4389,2)="15"),TK!$E$7=TH!F4389),"x","")</f>
        <v/>
      </c>
      <c r="AD4389" s="79" t="str">
        <f>IF(AND(N4389="1521",MONTH(C4389)='BK-NL'!$M$11),"x","")</f>
        <v/>
      </c>
    </row>
    <row r="4390" spans="1:30" ht="16.5" customHeight="1">
      <c r="A4390" s="318" t="str">
        <f>IF(B4390&lt;&gt;"",IF(AND(B4390='[3]IN-TC'!$S$4,OR([3]TH!N3621="1111",[3]TH!O3621="1111")),[3]TH!D3621,""),"")</f>
        <v/>
      </c>
      <c r="B4390" s="60" t="str">
        <f t="shared" si="472"/>
        <v/>
      </c>
      <c r="C4390" s="61"/>
      <c r="D4390" s="61"/>
      <c r="E4390" s="61"/>
      <c r="F4390" s="64"/>
      <c r="G4390" s="64"/>
      <c r="H4390" s="321"/>
      <c r="I4390" s="385"/>
      <c r="J4390" s="392"/>
      <c r="K4390" s="385"/>
      <c r="L4390" s="392"/>
      <c r="M4390" s="62"/>
      <c r="N4390" s="63"/>
      <c r="O4390" s="63"/>
      <c r="P4390" s="79" t="str">
        <f>IF(AND('331-CT'!$E$7=TH!H4390,OR(N4390="331",O4390="331")),"x","")</f>
        <v/>
      </c>
      <c r="Q4390" s="79" t="str">
        <f>IF(AND(B4390='111'!$L$11,OR($N4390=$Q$7,$O4390=$Q$7)),"x","")</f>
        <v/>
      </c>
      <c r="R4390" s="79" t="str">
        <f>IF(AND($N4390=$Q$7,$B4390&lt;'111'!$L$11),"x","")</f>
        <v/>
      </c>
      <c r="S4390" s="79" t="str">
        <f>IF(AND($O4390=$Q$7,$B4390&lt;'111'!$L$11),"x","")</f>
        <v/>
      </c>
      <c r="T4390" s="79" t="str">
        <f>IF(ISERROR(FIND('112'!$M$9,G4390,1)),"",IF((AND(FIND('112'!$M$9,G4390,1)&gt;=1,B4390='112'!$K$9,OR($N4390='112'!$I$6,$O4390='112'!$I$6))),"x",""))</f>
        <v/>
      </c>
      <c r="U4390" s="79" t="str">
        <f>IF(ISERROR(FIND('112'!$M$9,G4390,1)),"",IF((AND(LEFT(G4390,2)=LEFT('112'!$M$9,2),B4390&lt;'112'!$K$9,$N4390='112'!$I$6)),"x",""))</f>
        <v/>
      </c>
      <c r="V4390" s="79" t="str">
        <f>IF(ISERROR(FIND('112'!$M$9,G4390,1)),"",IF((AND(RIGHT(G4390,2)=RIGHT('112'!$M$9,2),B4390&lt;'112'!$K$9,$O4390='112'!$I$6)),"x",""))</f>
        <v/>
      </c>
      <c r="W4390" s="79" t="str">
        <f>IF(AND('341-CT'!$H$9=H4390,OR(LEFT(N4390,3)=$W$7,LEFT(O4390,3)=$W$7)),"x","")</f>
        <v/>
      </c>
      <c r="X4390" s="79" t="str">
        <f>IF(OR(TH!N4390=TH!$X$7,O4390=TH!$X$7),"x","")</f>
        <v/>
      </c>
      <c r="Y4390" s="79" t="str">
        <f>IF(AND(OR(N4390="131",O4390="131"),H4390='131-CT'!$H$9),"x","")</f>
        <v/>
      </c>
      <c r="Z4390" s="79"/>
      <c r="AA4390" s="79" t="str">
        <f>IF(AND(MONTH(E4390)='IN-NX'!$J$5,'IN-NX'!$D$7=D4390),"x","")</f>
        <v/>
      </c>
      <c r="AB4390" s="79" t="str">
        <f>IF(AND(OR(LEFT(TH!N4390,2)="15",LEFT(TH!O4390,2)="15"),LEFT(TH!O4390,3)&lt;&gt;"111",'152-CT'!$J$8=TH!F4390),"x","")</f>
        <v/>
      </c>
      <c r="AC4390" s="79" t="str">
        <f>IF(AND(OR(LEFT(TH!N4390,2)="15",LEFT(TH!O4390,2)="15"),TK!$E$7=TH!F4390),"x","")</f>
        <v/>
      </c>
      <c r="AD4390" s="79" t="str">
        <f>IF(AND(N4390="1521",MONTH(C4390)='BK-NL'!$M$11),"x","")</f>
        <v/>
      </c>
    </row>
    <row r="4391" spans="1:30" ht="16.5" customHeight="1">
      <c r="A4391" s="318" t="str">
        <f>IF(B4391&lt;&gt;"",IF(AND(B4391='[3]IN-TC'!$S$4,OR([3]TH!N3622="1111",[3]TH!O3622="1111")),[3]TH!D3622,""),"")</f>
        <v/>
      </c>
      <c r="B4391" s="60" t="str">
        <f t="shared" si="472"/>
        <v/>
      </c>
      <c r="C4391" s="61"/>
      <c r="D4391" s="61"/>
      <c r="E4391" s="61"/>
      <c r="F4391" s="64"/>
      <c r="G4391" s="64"/>
      <c r="H4391" s="321"/>
      <c r="I4391" s="385"/>
      <c r="J4391" s="392"/>
      <c r="K4391" s="385"/>
      <c r="L4391" s="392"/>
      <c r="M4391" s="62"/>
      <c r="N4391" s="63"/>
      <c r="O4391" s="63"/>
      <c r="P4391" s="79" t="str">
        <f>IF(AND('331-CT'!$E$7=TH!H4391,OR(N4391="331",O4391="331")),"x","")</f>
        <v/>
      </c>
      <c r="Q4391" s="79" t="str">
        <f>IF(AND(B4391='111'!$L$11,OR($N4391=$Q$7,$O4391=$Q$7)),"x","")</f>
        <v/>
      </c>
      <c r="R4391" s="79" t="str">
        <f>IF(AND($N4391=$Q$7,$B4391&lt;'111'!$L$11),"x","")</f>
        <v/>
      </c>
      <c r="S4391" s="79" t="str">
        <f>IF(AND($O4391=$Q$7,$B4391&lt;'111'!$L$11),"x","")</f>
        <v/>
      </c>
      <c r="T4391" s="79" t="str">
        <f>IF(ISERROR(FIND('112'!$M$9,G4391,1)),"",IF((AND(FIND('112'!$M$9,G4391,1)&gt;=1,B4391='112'!$K$9,OR($N4391='112'!$I$6,$O4391='112'!$I$6))),"x",""))</f>
        <v/>
      </c>
      <c r="U4391" s="79" t="str">
        <f>IF(ISERROR(FIND('112'!$M$9,G4391,1)),"",IF((AND(LEFT(G4391,2)=LEFT('112'!$M$9,2),B4391&lt;'112'!$K$9,$N4391='112'!$I$6)),"x",""))</f>
        <v/>
      </c>
      <c r="V4391" s="79" t="str">
        <f>IF(ISERROR(FIND('112'!$M$9,G4391,1)),"",IF((AND(RIGHT(G4391,2)=RIGHT('112'!$M$9,2),B4391&lt;'112'!$K$9,$O4391='112'!$I$6)),"x",""))</f>
        <v/>
      </c>
      <c r="W4391" s="79" t="str">
        <f>IF(AND('341-CT'!$H$9=H4391,OR(LEFT(N4391,3)=$W$7,LEFT(O4391,3)=$W$7)),"x","")</f>
        <v/>
      </c>
      <c r="X4391" s="79" t="str">
        <f>IF(OR(TH!N4391=TH!$X$7,O4391=TH!$X$7),"x","")</f>
        <v/>
      </c>
      <c r="Y4391" s="79" t="str">
        <f>IF(AND(OR(N4391="131",O4391="131"),H4391='131-CT'!$H$9),"x","")</f>
        <v/>
      </c>
      <c r="Z4391" s="79"/>
      <c r="AA4391" s="79" t="str">
        <f>IF(AND(MONTH(E4391)='IN-NX'!$J$5,'IN-NX'!$D$7=D4391),"x","")</f>
        <v/>
      </c>
      <c r="AB4391" s="79" t="str">
        <f>IF(AND(OR(LEFT(TH!N4391,2)="15",LEFT(TH!O4391,2)="15"),LEFT(TH!O4391,3)&lt;&gt;"111",'152-CT'!$J$8=TH!F4391),"x","")</f>
        <v/>
      </c>
      <c r="AC4391" s="79" t="str">
        <f>IF(AND(OR(LEFT(TH!N4391,2)="15",LEFT(TH!O4391,2)="15"),TK!$E$7=TH!F4391),"x","")</f>
        <v/>
      </c>
      <c r="AD4391" s="79" t="str">
        <f>IF(AND(N4391="1521",MONTH(C4391)='BK-NL'!$M$11),"x","")</f>
        <v/>
      </c>
    </row>
    <row r="4392" spans="1:30" ht="16.5" customHeight="1">
      <c r="A4392" s="318" t="str">
        <f>IF(B4392&lt;&gt;"",IF(AND(B4392='[3]IN-TC'!$S$4,OR([3]TH!N3623="1111",[3]TH!O3623="1111")),[3]TH!D3623,""),"")</f>
        <v/>
      </c>
      <c r="B4392" s="60" t="str">
        <f t="shared" si="472"/>
        <v/>
      </c>
      <c r="C4392" s="61"/>
      <c r="D4392" s="61"/>
      <c r="E4392" s="61"/>
      <c r="F4392" s="64"/>
      <c r="G4392" s="64"/>
      <c r="H4392" s="321"/>
      <c r="I4392" s="385"/>
      <c r="J4392" s="392"/>
      <c r="K4392" s="385"/>
      <c r="L4392" s="392"/>
      <c r="M4392" s="62"/>
      <c r="N4392" s="63"/>
      <c r="O4392" s="63"/>
      <c r="P4392" s="79" t="str">
        <f>IF(AND('331-CT'!$E$7=TH!H4392,OR(N4392="331",O4392="331")),"x","")</f>
        <v/>
      </c>
      <c r="Q4392" s="79" t="str">
        <f>IF(AND(B4392='111'!$L$11,OR($N4392=$Q$7,$O4392=$Q$7)),"x","")</f>
        <v/>
      </c>
      <c r="R4392" s="79" t="str">
        <f>IF(AND($N4392=$Q$7,$B4392&lt;'111'!$L$11),"x","")</f>
        <v/>
      </c>
      <c r="S4392" s="79" t="str">
        <f>IF(AND($O4392=$Q$7,$B4392&lt;'111'!$L$11),"x","")</f>
        <v/>
      </c>
      <c r="T4392" s="79" t="str">
        <f>IF(ISERROR(FIND('112'!$M$9,G4392,1)),"",IF((AND(FIND('112'!$M$9,G4392,1)&gt;=1,B4392='112'!$K$9,OR($N4392='112'!$I$6,$O4392='112'!$I$6))),"x",""))</f>
        <v/>
      </c>
      <c r="U4392" s="79" t="str">
        <f>IF(ISERROR(FIND('112'!$M$9,G4392,1)),"",IF((AND(LEFT(G4392,2)=LEFT('112'!$M$9,2),B4392&lt;'112'!$K$9,$N4392='112'!$I$6)),"x",""))</f>
        <v/>
      </c>
      <c r="V4392" s="79" t="str">
        <f>IF(ISERROR(FIND('112'!$M$9,G4392,1)),"",IF((AND(RIGHT(G4392,2)=RIGHT('112'!$M$9,2),B4392&lt;'112'!$K$9,$O4392='112'!$I$6)),"x",""))</f>
        <v/>
      </c>
      <c r="W4392" s="79" t="str">
        <f>IF(AND('341-CT'!$H$9=H4392,OR(LEFT(N4392,3)=$W$7,LEFT(O4392,3)=$W$7)),"x","")</f>
        <v/>
      </c>
      <c r="X4392" s="79" t="str">
        <f>IF(OR(TH!N4392=TH!$X$7,O4392=TH!$X$7),"x","")</f>
        <v/>
      </c>
      <c r="Y4392" s="79" t="str">
        <f>IF(AND(OR(N4392="131",O4392="131"),H4392='131-CT'!$H$9),"x","")</f>
        <v/>
      </c>
      <c r="Z4392" s="79"/>
      <c r="AA4392" s="79" t="str">
        <f>IF(AND(MONTH(E4392)='IN-NX'!$J$5,'IN-NX'!$D$7=D4392),"x","")</f>
        <v/>
      </c>
      <c r="AB4392" s="79" t="str">
        <f>IF(AND(OR(LEFT(TH!N4392,2)="15",LEFT(TH!O4392,2)="15"),LEFT(TH!O4392,3)&lt;&gt;"111",'152-CT'!$J$8=TH!F4392),"x","")</f>
        <v/>
      </c>
      <c r="AC4392" s="79" t="str">
        <f>IF(AND(OR(LEFT(TH!N4392,2)="15",LEFT(TH!O4392,2)="15"),TK!$E$7=TH!F4392),"x","")</f>
        <v/>
      </c>
      <c r="AD4392" s="79" t="str">
        <f>IF(AND(N4392="1521",MONTH(C4392)='BK-NL'!$M$11),"x","")</f>
        <v/>
      </c>
    </row>
    <row r="4393" spans="1:30" ht="16.5" customHeight="1">
      <c r="A4393" s="318" t="str">
        <f>IF(B4393&lt;&gt;"",IF(AND(B4393='[3]IN-TC'!$S$4,OR([3]TH!N3624="1111",[3]TH!O3624="1111")),[3]TH!D3624,""),"")</f>
        <v/>
      </c>
      <c r="B4393" s="60" t="str">
        <f t="shared" si="472"/>
        <v/>
      </c>
      <c r="C4393" s="61"/>
      <c r="D4393" s="61"/>
      <c r="E4393" s="61"/>
      <c r="F4393" s="64"/>
      <c r="G4393" s="64"/>
      <c r="H4393" s="321"/>
      <c r="I4393" s="385"/>
      <c r="J4393" s="392"/>
      <c r="K4393" s="385"/>
      <c r="L4393" s="392"/>
      <c r="M4393" s="62"/>
      <c r="N4393" s="63"/>
      <c r="O4393" s="63"/>
      <c r="P4393" s="79" t="str">
        <f>IF(AND('331-CT'!$E$7=TH!H4393,OR(N4393="331",O4393="331")),"x","")</f>
        <v/>
      </c>
      <c r="Q4393" s="79" t="str">
        <f>IF(AND(B4393='111'!$L$11,OR($N4393=$Q$7,$O4393=$Q$7)),"x","")</f>
        <v/>
      </c>
      <c r="R4393" s="79" t="str">
        <f>IF(AND($N4393=$Q$7,$B4393&lt;'111'!$L$11),"x","")</f>
        <v/>
      </c>
      <c r="S4393" s="79" t="str">
        <f>IF(AND($O4393=$Q$7,$B4393&lt;'111'!$L$11),"x","")</f>
        <v/>
      </c>
      <c r="T4393" s="79" t="str">
        <f>IF(ISERROR(FIND('112'!$M$9,G4393,1)),"",IF((AND(FIND('112'!$M$9,G4393,1)&gt;=1,B4393='112'!$K$9,OR($N4393='112'!$I$6,$O4393='112'!$I$6))),"x",""))</f>
        <v/>
      </c>
      <c r="U4393" s="79" t="str">
        <f>IF(ISERROR(FIND('112'!$M$9,G4393,1)),"",IF((AND(LEFT(G4393,2)=LEFT('112'!$M$9,2),B4393&lt;'112'!$K$9,$N4393='112'!$I$6)),"x",""))</f>
        <v/>
      </c>
      <c r="V4393" s="79" t="str">
        <f>IF(ISERROR(FIND('112'!$M$9,G4393,1)),"",IF((AND(RIGHT(G4393,2)=RIGHT('112'!$M$9,2),B4393&lt;'112'!$K$9,$O4393='112'!$I$6)),"x",""))</f>
        <v/>
      </c>
      <c r="W4393" s="79" t="str">
        <f>IF(AND('341-CT'!$H$9=H4393,OR(LEFT(N4393,3)=$W$7,LEFT(O4393,3)=$W$7)),"x","")</f>
        <v/>
      </c>
      <c r="X4393" s="79" t="str">
        <f>IF(OR(TH!N4393=TH!$X$7,O4393=TH!$X$7),"x","")</f>
        <v/>
      </c>
      <c r="Y4393" s="79" t="str">
        <f>IF(AND(OR(N4393="131",O4393="131"),H4393='131-CT'!$H$9),"x","")</f>
        <v/>
      </c>
      <c r="Z4393" s="79"/>
      <c r="AA4393" s="79" t="str">
        <f>IF(AND(MONTH(E4393)='IN-NX'!$J$5,'IN-NX'!$D$7=D4393),"x","")</f>
        <v/>
      </c>
      <c r="AB4393" s="79" t="str">
        <f>IF(AND(OR(LEFT(TH!N4393,2)="15",LEFT(TH!O4393,2)="15"),LEFT(TH!O4393,3)&lt;&gt;"111",'152-CT'!$J$8=TH!F4393),"x","")</f>
        <v/>
      </c>
      <c r="AC4393" s="79" t="str">
        <f>IF(AND(OR(LEFT(TH!N4393,2)="15",LEFT(TH!O4393,2)="15"),TK!$E$7=TH!F4393),"x","")</f>
        <v/>
      </c>
      <c r="AD4393" s="79" t="str">
        <f>IF(AND(N4393="1521",MONTH(C4393)='BK-NL'!$M$11),"x","")</f>
        <v/>
      </c>
    </row>
    <row r="4394" spans="1:30" ht="16.5" customHeight="1">
      <c r="A4394" s="318" t="str">
        <f>IF(B4394&lt;&gt;"",IF(AND(B4394='[3]IN-TC'!$S$4,OR([3]TH!N3625="1111",[3]TH!O3625="1111")),[3]TH!D3625,""),"")</f>
        <v/>
      </c>
      <c r="B4394" s="60" t="str">
        <f t="shared" si="472"/>
        <v/>
      </c>
      <c r="C4394" s="61"/>
      <c r="D4394" s="61"/>
      <c r="E4394" s="61"/>
      <c r="F4394" s="64"/>
      <c r="G4394" s="64"/>
      <c r="H4394" s="321"/>
      <c r="I4394" s="385"/>
      <c r="J4394" s="392"/>
      <c r="K4394" s="385"/>
      <c r="L4394" s="392"/>
      <c r="M4394" s="62"/>
      <c r="N4394" s="63"/>
      <c r="O4394" s="63"/>
      <c r="P4394" s="79" t="str">
        <f>IF(AND('331-CT'!$E$7=TH!H4394,OR(N4394="331",O4394="331")),"x","")</f>
        <v/>
      </c>
      <c r="Q4394" s="79" t="str">
        <f>IF(AND(B4394='111'!$L$11,OR($N4394=$Q$7,$O4394=$Q$7)),"x","")</f>
        <v/>
      </c>
      <c r="R4394" s="79" t="str">
        <f>IF(AND($N4394=$Q$7,$B4394&lt;'111'!$L$11),"x","")</f>
        <v/>
      </c>
      <c r="S4394" s="79" t="str">
        <f>IF(AND($O4394=$Q$7,$B4394&lt;'111'!$L$11),"x","")</f>
        <v/>
      </c>
      <c r="T4394" s="79" t="str">
        <f>IF(ISERROR(FIND('112'!$M$9,G4394,1)),"",IF((AND(FIND('112'!$M$9,G4394,1)&gt;=1,B4394='112'!$K$9,OR($N4394='112'!$I$6,$O4394='112'!$I$6))),"x",""))</f>
        <v/>
      </c>
      <c r="U4394" s="79" t="str">
        <f>IF(ISERROR(FIND('112'!$M$9,G4394,1)),"",IF((AND(LEFT(G4394,2)=LEFT('112'!$M$9,2),B4394&lt;'112'!$K$9,$N4394='112'!$I$6)),"x",""))</f>
        <v/>
      </c>
      <c r="V4394" s="79" t="str">
        <f>IF(ISERROR(FIND('112'!$M$9,G4394,1)),"",IF((AND(RIGHT(G4394,2)=RIGHT('112'!$M$9,2),B4394&lt;'112'!$K$9,$O4394='112'!$I$6)),"x",""))</f>
        <v/>
      </c>
      <c r="W4394" s="79" t="str">
        <f>IF(AND('341-CT'!$H$9=H4394,OR(LEFT(N4394,3)=$W$7,LEFT(O4394,3)=$W$7)),"x","")</f>
        <v/>
      </c>
      <c r="X4394" s="79" t="str">
        <f>IF(OR(TH!N4394=TH!$X$7,O4394=TH!$X$7),"x","")</f>
        <v/>
      </c>
      <c r="Y4394" s="79" t="str">
        <f>IF(AND(OR(N4394="131",O4394="131"),H4394='131-CT'!$H$9),"x","")</f>
        <v/>
      </c>
      <c r="Z4394" s="79"/>
      <c r="AA4394" s="79" t="str">
        <f>IF(AND(MONTH(E4394)='IN-NX'!$J$5,'IN-NX'!$D$7=D4394),"x","")</f>
        <v/>
      </c>
      <c r="AB4394" s="79" t="str">
        <f>IF(AND(OR(LEFT(TH!N4394,2)="15",LEFT(TH!O4394,2)="15"),LEFT(TH!O4394,3)&lt;&gt;"111",'152-CT'!$J$8=TH!F4394),"x","")</f>
        <v/>
      </c>
      <c r="AC4394" s="79" t="str">
        <f>IF(AND(OR(LEFT(TH!N4394,2)="15",LEFT(TH!O4394,2)="15"),TK!$E$7=TH!F4394),"x","")</f>
        <v/>
      </c>
      <c r="AD4394" s="79" t="str">
        <f>IF(AND(N4394="1521",MONTH(C4394)='BK-NL'!$M$11),"x","")</f>
        <v/>
      </c>
    </row>
    <row r="4395" spans="1:30" ht="16.5" customHeight="1">
      <c r="A4395" s="318" t="str">
        <f>IF(B4395&lt;&gt;"",IF(AND(B4395='[3]IN-TC'!$S$4,OR([3]TH!N3626="1111",[3]TH!O3626="1111")),[3]TH!D3626,""),"")</f>
        <v/>
      </c>
      <c r="B4395" s="60" t="str">
        <f t="shared" si="472"/>
        <v/>
      </c>
      <c r="C4395" s="61"/>
      <c r="D4395" s="61"/>
      <c r="E4395" s="61"/>
      <c r="F4395" s="64"/>
      <c r="G4395" s="64"/>
      <c r="H4395" s="321"/>
      <c r="I4395" s="385"/>
      <c r="J4395" s="392"/>
      <c r="K4395" s="385"/>
      <c r="L4395" s="392"/>
      <c r="M4395" s="62"/>
      <c r="N4395" s="63"/>
      <c r="O4395" s="63"/>
      <c r="P4395" s="79" t="str">
        <f>IF(AND('331-CT'!$E$7=TH!H4395,OR(N4395="331",O4395="331")),"x","")</f>
        <v/>
      </c>
      <c r="Q4395" s="79" t="str">
        <f>IF(AND(B4395='111'!$L$11,OR($N4395=$Q$7,$O4395=$Q$7)),"x","")</f>
        <v/>
      </c>
      <c r="R4395" s="79" t="str">
        <f>IF(AND($N4395=$Q$7,$B4395&lt;'111'!$L$11),"x","")</f>
        <v/>
      </c>
      <c r="S4395" s="79" t="str">
        <f>IF(AND($O4395=$Q$7,$B4395&lt;'111'!$L$11),"x","")</f>
        <v/>
      </c>
      <c r="T4395" s="79" t="str">
        <f>IF(ISERROR(FIND('112'!$M$9,G4395,1)),"",IF((AND(FIND('112'!$M$9,G4395,1)&gt;=1,B4395='112'!$K$9,OR($N4395='112'!$I$6,$O4395='112'!$I$6))),"x",""))</f>
        <v/>
      </c>
      <c r="U4395" s="79" t="str">
        <f>IF(ISERROR(FIND('112'!$M$9,G4395,1)),"",IF((AND(LEFT(G4395,2)=LEFT('112'!$M$9,2),B4395&lt;'112'!$K$9,$N4395='112'!$I$6)),"x",""))</f>
        <v/>
      </c>
      <c r="V4395" s="79" t="str">
        <f>IF(ISERROR(FIND('112'!$M$9,G4395,1)),"",IF((AND(RIGHT(G4395,2)=RIGHT('112'!$M$9,2),B4395&lt;'112'!$K$9,$O4395='112'!$I$6)),"x",""))</f>
        <v/>
      </c>
      <c r="W4395" s="79" t="str">
        <f>IF(AND('341-CT'!$H$9=H4395,OR(LEFT(N4395,3)=$W$7,LEFT(O4395,3)=$W$7)),"x","")</f>
        <v/>
      </c>
      <c r="X4395" s="79" t="str">
        <f>IF(OR(TH!N4395=TH!$X$7,O4395=TH!$X$7),"x","")</f>
        <v/>
      </c>
      <c r="Y4395" s="79" t="str">
        <f>IF(AND(OR(N4395="131",O4395="131"),H4395='131-CT'!$H$9),"x","")</f>
        <v/>
      </c>
      <c r="Z4395" s="79"/>
      <c r="AA4395" s="79" t="str">
        <f>IF(AND(MONTH(E4395)='IN-NX'!$J$5,'IN-NX'!$D$7=D4395),"x","")</f>
        <v/>
      </c>
      <c r="AB4395" s="79" t="str">
        <f>IF(AND(OR(LEFT(TH!N4395,2)="15",LEFT(TH!O4395,2)="15"),LEFT(TH!O4395,3)&lt;&gt;"111",'152-CT'!$J$8=TH!F4395),"x","")</f>
        <v/>
      </c>
      <c r="AC4395" s="79" t="str">
        <f>IF(AND(OR(LEFT(TH!N4395,2)="15",LEFT(TH!O4395,2)="15"),TK!$E$7=TH!F4395),"x","")</f>
        <v/>
      </c>
      <c r="AD4395" s="79" t="str">
        <f>IF(AND(N4395="1521",MONTH(C4395)='BK-NL'!$M$11),"x","")</f>
        <v/>
      </c>
    </row>
    <row r="4396" spans="1:30" ht="16.5" customHeight="1">
      <c r="A4396" s="318" t="str">
        <f>IF(B4396&lt;&gt;"",IF(AND(B4396='[3]IN-TC'!$S$4,OR([3]TH!N3627="1111",[3]TH!O3627="1111")),[3]TH!D3627,""),"")</f>
        <v/>
      </c>
      <c r="B4396" s="60" t="str">
        <f t="shared" si="472"/>
        <v/>
      </c>
      <c r="C4396" s="301"/>
      <c r="D4396" s="301"/>
      <c r="E4396" s="301"/>
      <c r="F4396" s="302"/>
      <c r="G4396" s="988"/>
      <c r="H4396" s="69"/>
      <c r="I4396" s="385"/>
      <c r="J4396" s="969"/>
      <c r="K4396" s="385"/>
      <c r="L4396" s="392"/>
      <c r="M4396" s="970"/>
      <c r="N4396" s="304"/>
      <c r="O4396" s="304"/>
      <c r="P4396" s="79" t="str">
        <f>IF(AND('331-CT'!$E$7=TH!H4396,OR(N4396="331",O4396="331")),"x","")</f>
        <v/>
      </c>
      <c r="Q4396" s="79" t="str">
        <f>IF(AND(B4396='111'!$L$11,OR($N4396=$Q$7,$O4396=$Q$7)),"x","")</f>
        <v/>
      </c>
      <c r="R4396" s="79" t="str">
        <f>IF(AND($N4396=$Q$7,$B4396&lt;'111'!$L$11),"x","")</f>
        <v/>
      </c>
      <c r="S4396" s="79" t="str">
        <f>IF(AND($O4396=$Q$7,$B4396&lt;'111'!$L$11),"x","")</f>
        <v/>
      </c>
      <c r="T4396" s="79" t="str">
        <f>IF(ISERROR(FIND('112'!$M$9,G4396,1)),"",IF((AND(FIND('112'!$M$9,G4396,1)&gt;=1,B4396='112'!$K$9,OR($N4396='112'!$I$6,$O4396='112'!$I$6))),"x",""))</f>
        <v/>
      </c>
      <c r="U4396" s="79" t="str">
        <f>IF(ISERROR(FIND('112'!$M$9,G4396,1)),"",IF((AND(LEFT(G4396,2)=LEFT('112'!$M$9,2),B4396&lt;'112'!$K$9,$N4396='112'!$I$6)),"x",""))</f>
        <v/>
      </c>
      <c r="V4396" s="79" t="str">
        <f>IF(ISERROR(FIND('112'!$M$9,G4396,1)),"",IF((AND(RIGHT(G4396,2)=RIGHT('112'!$M$9,2),B4396&lt;'112'!$K$9,$O4396='112'!$I$6)),"x",""))</f>
        <v/>
      </c>
      <c r="W4396" s="79" t="str">
        <f>IF(AND('341-CT'!$H$9=H4396,OR(LEFT(N4396,3)=$W$7,LEFT(O4396,3)=$W$7)),"x","")</f>
        <v/>
      </c>
      <c r="X4396" s="79" t="str">
        <f>IF(OR(TH!N4396=TH!$X$7,O4396=TH!$X$7),"x","")</f>
        <v/>
      </c>
      <c r="Y4396" s="79" t="str">
        <f>IF(AND(OR(N4396="131",O4396="131"),H4396='131-CT'!$H$9),"x","")</f>
        <v/>
      </c>
      <c r="Z4396" s="79"/>
      <c r="AA4396" s="79" t="str">
        <f>IF(AND(MONTH(E4396)='IN-NX'!$J$5,'IN-NX'!$D$7=D4396),"x","")</f>
        <v/>
      </c>
      <c r="AB4396" s="79" t="str">
        <f>IF(AND(OR(LEFT(TH!N4396,2)="15",LEFT(TH!O4396,2)="15"),LEFT(TH!O4396,3)&lt;&gt;"111",'152-CT'!$J$8=TH!F4396),"x","")</f>
        <v/>
      </c>
      <c r="AC4396" s="79" t="str">
        <f>IF(AND(OR(LEFT(TH!N4396,2)="15",LEFT(TH!O4396,2)="15"),TK!$E$7=TH!F4396),"x","")</f>
        <v/>
      </c>
      <c r="AD4396" s="79" t="str">
        <f>IF(AND(N4396="1521",MONTH(C4396)='BK-NL'!$M$11),"x","")</f>
        <v/>
      </c>
    </row>
    <row r="4397" spans="1:30" ht="16.5" customHeight="1">
      <c r="A4397" s="318" t="str">
        <f>IF(B4397&lt;&gt;"",IF(AND(B4397='[3]IN-TC'!$S$4,OR([3]TH!N3628="1111",[3]TH!O3628="1111")),[3]TH!D3628,""),"")</f>
        <v/>
      </c>
      <c r="B4397" s="60" t="str">
        <f t="shared" si="472"/>
        <v/>
      </c>
      <c r="C4397" s="61"/>
      <c r="D4397" s="301"/>
      <c r="E4397" s="61"/>
      <c r="F4397" s="64"/>
      <c r="G4397" s="64"/>
      <c r="H4397" s="321"/>
      <c r="I4397" s="385"/>
      <c r="J4397" s="392"/>
      <c r="K4397" s="385"/>
      <c r="L4397" s="392"/>
      <c r="M4397" s="62"/>
      <c r="N4397" s="63"/>
      <c r="O4397" s="63"/>
      <c r="P4397" s="79" t="str">
        <f>IF(AND('331-CT'!$E$7=TH!H4397,OR(N4397="331",O4397="331")),"x","")</f>
        <v/>
      </c>
      <c r="Q4397" s="79" t="str">
        <f>IF(AND(B4397='111'!$L$11,OR($N4397=$Q$7,$O4397=$Q$7)),"x","")</f>
        <v/>
      </c>
      <c r="R4397" s="79" t="str">
        <f>IF(AND($N4397=$Q$7,$B4397&lt;'111'!$L$11),"x","")</f>
        <v/>
      </c>
      <c r="S4397" s="79" t="str">
        <f>IF(AND($O4397=$Q$7,$B4397&lt;'111'!$L$11),"x","")</f>
        <v/>
      </c>
      <c r="T4397" s="79" t="str">
        <f>IF(ISERROR(FIND('112'!$M$9,G4397,1)),"",IF((AND(FIND('112'!$M$9,G4397,1)&gt;=1,B4397='112'!$K$9,OR($N4397='112'!$I$6,$O4397='112'!$I$6))),"x",""))</f>
        <v/>
      </c>
      <c r="U4397" s="79" t="str">
        <f>IF(ISERROR(FIND('112'!$M$9,G4397,1)),"",IF((AND(LEFT(G4397,2)=LEFT('112'!$M$9,2),B4397&lt;'112'!$K$9,$N4397='112'!$I$6)),"x",""))</f>
        <v/>
      </c>
      <c r="V4397" s="79" t="str">
        <f>IF(ISERROR(FIND('112'!$M$9,G4397,1)),"",IF((AND(RIGHT(G4397,2)=RIGHT('112'!$M$9,2),B4397&lt;'112'!$K$9,$O4397='112'!$I$6)),"x",""))</f>
        <v/>
      </c>
      <c r="W4397" s="79" t="str">
        <f>IF(AND('341-CT'!$H$9=H4397,OR(LEFT(N4397,3)=$W$7,LEFT(O4397,3)=$W$7)),"x","")</f>
        <v/>
      </c>
      <c r="X4397" s="79" t="str">
        <f>IF(OR(TH!N4397=TH!$X$7,O4397=TH!$X$7),"x","")</f>
        <v/>
      </c>
      <c r="Y4397" s="79" t="str">
        <f>IF(AND(OR(N4397="131",O4397="131"),H4397='131-CT'!$H$9),"x","")</f>
        <v/>
      </c>
      <c r="Z4397" s="79"/>
      <c r="AA4397" s="79" t="str">
        <f>IF(AND(MONTH(E4397)='IN-NX'!$J$5,'IN-NX'!$D$7=D4397),"x","")</f>
        <v/>
      </c>
      <c r="AB4397" s="79" t="str">
        <f>IF(AND(OR(LEFT(TH!N4397,2)="15",LEFT(TH!O4397,2)="15"),LEFT(TH!O4397,3)&lt;&gt;"111",'152-CT'!$J$8=TH!F4397),"x","")</f>
        <v/>
      </c>
      <c r="AC4397" s="79" t="str">
        <f>IF(AND(OR(LEFT(TH!N4397,2)="15",LEFT(TH!O4397,2)="15"),TK!$E$7=TH!F4397),"x","")</f>
        <v/>
      </c>
      <c r="AD4397" s="79" t="str">
        <f>IF(AND(N4397="1521",MONTH(C4397)='BK-NL'!$M$11),"x","")</f>
        <v/>
      </c>
    </row>
    <row r="4398" spans="1:30" ht="16.5" customHeight="1">
      <c r="A4398" s="318" t="str">
        <f>IF(B4398&lt;&gt;"",IF(AND(B4398='[3]IN-TC'!$S$4,OR([3]TH!N3629="1111",[3]TH!O3629="1111")),[3]TH!D3629,""),"")</f>
        <v/>
      </c>
      <c r="B4398" s="60" t="str">
        <f t="shared" si="472"/>
        <v/>
      </c>
      <c r="C4398" s="61"/>
      <c r="D4398" s="301"/>
      <c r="E4398" s="301"/>
      <c r="F4398" s="64"/>
      <c r="G4398" s="64"/>
      <c r="H4398" s="321"/>
      <c r="I4398" s="385"/>
      <c r="J4398" s="969"/>
      <c r="K4398" s="385"/>
      <c r="L4398" s="392"/>
      <c r="M4398" s="970"/>
      <c r="N4398" s="304"/>
      <c r="O4398" s="304"/>
      <c r="P4398" s="79" t="str">
        <f>IF(AND('331-CT'!$E$7=TH!H4398,OR(N4398="331",O4398="331")),"x","")</f>
        <v/>
      </c>
      <c r="Q4398" s="79" t="str">
        <f>IF(AND(B4398='111'!$L$11,OR($N4398=$Q$7,$O4398=$Q$7)),"x","")</f>
        <v/>
      </c>
      <c r="R4398" s="79" t="str">
        <f>IF(AND($N4398=$Q$7,$B4398&lt;'111'!$L$11),"x","")</f>
        <v/>
      </c>
      <c r="S4398" s="79" t="str">
        <f>IF(AND($O4398=$Q$7,$B4398&lt;'111'!$L$11),"x","")</f>
        <v/>
      </c>
      <c r="T4398" s="79" t="str">
        <f>IF(ISERROR(FIND('112'!$M$9,G4398,1)),"",IF((AND(FIND('112'!$M$9,G4398,1)&gt;=1,B4398='112'!$K$9,OR($N4398='112'!$I$6,$O4398='112'!$I$6))),"x",""))</f>
        <v/>
      </c>
      <c r="U4398" s="79" t="str">
        <f>IF(ISERROR(FIND('112'!$M$9,G4398,1)),"",IF((AND(LEFT(G4398,2)=LEFT('112'!$M$9,2),B4398&lt;'112'!$K$9,$N4398='112'!$I$6)),"x",""))</f>
        <v/>
      </c>
      <c r="V4398" s="79" t="str">
        <f>IF(ISERROR(FIND('112'!$M$9,G4398,1)),"",IF((AND(RIGHT(G4398,2)=RIGHT('112'!$M$9,2),B4398&lt;'112'!$K$9,$O4398='112'!$I$6)),"x",""))</f>
        <v/>
      </c>
      <c r="W4398" s="79" t="str">
        <f>IF(AND('341-CT'!$H$9=H4398,OR(LEFT(N4398,3)=$W$7,LEFT(O4398,3)=$W$7)),"x","")</f>
        <v/>
      </c>
      <c r="X4398" s="79" t="str">
        <f>IF(OR(TH!N4398=TH!$X$7,O4398=TH!$X$7),"x","")</f>
        <v/>
      </c>
      <c r="Y4398" s="79" t="str">
        <f>IF(AND(OR(N4398="131",O4398="131"),H4398='131-CT'!$H$9),"x","")</f>
        <v/>
      </c>
      <c r="Z4398" s="79"/>
      <c r="AA4398" s="79" t="str">
        <f>IF(AND(MONTH(E4398)='IN-NX'!$J$5,'IN-NX'!$D$7=D4398),"x","")</f>
        <v/>
      </c>
      <c r="AB4398" s="79" t="str">
        <f>IF(AND(OR(LEFT(TH!N4398,2)="15",LEFT(TH!O4398,2)="15"),LEFT(TH!O4398,3)&lt;&gt;"111",'152-CT'!$J$8=TH!F4398),"x","")</f>
        <v/>
      </c>
      <c r="AC4398" s="79" t="str">
        <f>IF(AND(OR(LEFT(TH!N4398,2)="15",LEFT(TH!O4398,2)="15"),TK!$E$7=TH!F4398),"x","")</f>
        <v/>
      </c>
      <c r="AD4398" s="79" t="str">
        <f>IF(AND(N4398="1521",MONTH(C4398)='BK-NL'!$M$11),"x","")</f>
        <v/>
      </c>
    </row>
    <row r="4399" spans="1:30" ht="16.5" customHeight="1">
      <c r="A4399" s="318" t="str">
        <f>IF(B4399&lt;&gt;"",IF(AND(B4399='[3]IN-TC'!$S$4,OR([3]TH!N3630="1111",[3]TH!O3630="1111")),[3]TH!D3630,""),"")</f>
        <v/>
      </c>
      <c r="B4399" s="60" t="str">
        <f t="shared" si="472"/>
        <v/>
      </c>
      <c r="C4399" s="61"/>
      <c r="D4399" s="301"/>
      <c r="E4399" s="301"/>
      <c r="F4399" s="64"/>
      <c r="G4399" s="64"/>
      <c r="H4399" s="321"/>
      <c r="I4399" s="385"/>
      <c r="J4399" s="969"/>
      <c r="K4399" s="385"/>
      <c r="L4399" s="392"/>
      <c r="M4399" s="970"/>
      <c r="N4399" s="304"/>
      <c r="O4399" s="304"/>
      <c r="P4399" s="79" t="str">
        <f>IF(AND('331-CT'!$E$7=TH!H4399,OR(N4399="331",O4399="331")),"x","")</f>
        <v/>
      </c>
      <c r="Q4399" s="79" t="str">
        <f>IF(AND(B4399='111'!$L$11,OR($N4399=$Q$7,$O4399=$Q$7)),"x","")</f>
        <v/>
      </c>
      <c r="R4399" s="79" t="str">
        <f>IF(AND($N4399=$Q$7,$B4399&lt;'111'!$L$11),"x","")</f>
        <v/>
      </c>
      <c r="S4399" s="79" t="str">
        <f>IF(AND($O4399=$Q$7,$B4399&lt;'111'!$L$11),"x","")</f>
        <v/>
      </c>
      <c r="T4399" s="79" t="str">
        <f>IF(ISERROR(FIND('112'!$M$9,G4399,1)),"",IF((AND(FIND('112'!$M$9,G4399,1)&gt;=1,B4399='112'!$K$9,OR($N4399='112'!$I$6,$O4399='112'!$I$6))),"x",""))</f>
        <v/>
      </c>
      <c r="U4399" s="79" t="str">
        <f>IF(ISERROR(FIND('112'!$M$9,G4399,1)),"",IF((AND(LEFT(G4399,2)=LEFT('112'!$M$9,2),B4399&lt;'112'!$K$9,$N4399='112'!$I$6)),"x",""))</f>
        <v/>
      </c>
      <c r="V4399" s="79" t="str">
        <f>IF(ISERROR(FIND('112'!$M$9,G4399,1)),"",IF((AND(RIGHT(G4399,2)=RIGHT('112'!$M$9,2),B4399&lt;'112'!$K$9,$O4399='112'!$I$6)),"x",""))</f>
        <v/>
      </c>
      <c r="W4399" s="79" t="str">
        <f>IF(AND('341-CT'!$H$9=H4399,OR(LEFT(N4399,3)=$W$7,LEFT(O4399,3)=$W$7)),"x","")</f>
        <v/>
      </c>
      <c r="X4399" s="79" t="str">
        <f>IF(OR(TH!N4399=TH!$X$7,O4399=TH!$X$7),"x","")</f>
        <v/>
      </c>
      <c r="Y4399" s="79" t="str">
        <f>IF(AND(OR(N4399="131",O4399="131"),H4399='131-CT'!$H$9),"x","")</f>
        <v/>
      </c>
      <c r="Z4399" s="79"/>
      <c r="AA4399" s="79" t="str">
        <f>IF(AND(MONTH(E4399)='IN-NX'!$J$5,'IN-NX'!$D$7=D4399),"x","")</f>
        <v/>
      </c>
      <c r="AB4399" s="79" t="str">
        <f>IF(AND(OR(LEFT(TH!N4399,2)="15",LEFT(TH!O4399,2)="15"),LEFT(TH!O4399,3)&lt;&gt;"111",'152-CT'!$J$8=TH!F4399),"x","")</f>
        <v/>
      </c>
      <c r="AC4399" s="79" t="str">
        <f>IF(AND(OR(LEFT(TH!N4399,2)="15",LEFT(TH!O4399,2)="15"),TK!$E$7=TH!F4399),"x","")</f>
        <v/>
      </c>
      <c r="AD4399" s="79" t="str">
        <f>IF(AND(N4399="1521",MONTH(C4399)='BK-NL'!$M$11),"x","")</f>
        <v/>
      </c>
    </row>
    <row r="4400" spans="1:30" ht="16.5" customHeight="1">
      <c r="A4400" s="318" t="str">
        <f>IF(B4400&lt;&gt;"",IF(AND(B4400='[3]IN-TC'!$S$4,OR([3]TH!N3631="1111",[3]TH!O3631="1111")),[3]TH!D3631,""),"")</f>
        <v/>
      </c>
      <c r="B4400" s="60" t="str">
        <f t="shared" si="472"/>
        <v/>
      </c>
      <c r="C4400" s="61"/>
      <c r="D4400" s="301"/>
      <c r="E4400" s="301"/>
      <c r="F4400" s="64"/>
      <c r="G4400" s="64"/>
      <c r="H4400" s="321"/>
      <c r="I4400" s="385"/>
      <c r="J4400" s="969"/>
      <c r="K4400" s="385"/>
      <c r="L4400" s="392"/>
      <c r="M4400" s="970"/>
      <c r="N4400" s="304"/>
      <c r="O4400" s="304"/>
      <c r="P4400" s="79" t="str">
        <f>IF(AND('331-CT'!$E$7=TH!H4400,OR(N4400="331",O4400="331")),"x","")</f>
        <v/>
      </c>
      <c r="Q4400" s="79" t="str">
        <f>IF(AND(B4400='111'!$L$11,OR($N4400=$Q$7,$O4400=$Q$7)),"x","")</f>
        <v/>
      </c>
      <c r="R4400" s="79" t="str">
        <f>IF(AND($N4400=$Q$7,$B4400&lt;'111'!$L$11),"x","")</f>
        <v/>
      </c>
      <c r="S4400" s="79" t="str">
        <f>IF(AND($O4400=$Q$7,$B4400&lt;'111'!$L$11),"x","")</f>
        <v/>
      </c>
      <c r="T4400" s="79" t="str">
        <f>IF(ISERROR(FIND('112'!$M$9,G4400,1)),"",IF((AND(FIND('112'!$M$9,G4400,1)&gt;=1,B4400='112'!$K$9,OR($N4400='112'!$I$6,$O4400='112'!$I$6))),"x",""))</f>
        <v/>
      </c>
      <c r="U4400" s="79" t="str">
        <f>IF(ISERROR(FIND('112'!$M$9,G4400,1)),"",IF((AND(LEFT(G4400,2)=LEFT('112'!$M$9,2),B4400&lt;'112'!$K$9,$N4400='112'!$I$6)),"x",""))</f>
        <v/>
      </c>
      <c r="V4400" s="79" t="str">
        <f>IF(ISERROR(FIND('112'!$M$9,G4400,1)),"",IF((AND(RIGHT(G4400,2)=RIGHT('112'!$M$9,2),B4400&lt;'112'!$K$9,$O4400='112'!$I$6)),"x",""))</f>
        <v/>
      </c>
      <c r="W4400" s="79" t="str">
        <f>IF(AND('341-CT'!$H$9=H4400,OR(LEFT(N4400,3)=$W$7,LEFT(O4400,3)=$W$7)),"x","")</f>
        <v/>
      </c>
      <c r="X4400" s="79" t="str">
        <f>IF(OR(TH!N4400=TH!$X$7,O4400=TH!$X$7),"x","")</f>
        <v/>
      </c>
      <c r="Y4400" s="79" t="str">
        <f>IF(AND(OR(N4400="131",O4400="131"),H4400='131-CT'!$H$9),"x","")</f>
        <v/>
      </c>
      <c r="Z4400" s="79"/>
      <c r="AA4400" s="79" t="str">
        <f>IF(AND(MONTH(E4400)='IN-NX'!$J$5,'IN-NX'!$D$7=D4400),"x","")</f>
        <v/>
      </c>
      <c r="AB4400" s="79" t="str">
        <f>IF(AND(OR(LEFT(TH!N4400,2)="15",LEFT(TH!O4400,2)="15"),LEFT(TH!O4400,3)&lt;&gt;"111",'152-CT'!$J$8=TH!F4400),"x","")</f>
        <v/>
      </c>
      <c r="AC4400" s="79" t="str">
        <f>IF(AND(OR(LEFT(TH!N4400,2)="15",LEFT(TH!O4400,2)="15"),TK!$E$7=TH!F4400),"x","")</f>
        <v/>
      </c>
      <c r="AD4400" s="79" t="str">
        <f>IF(AND(N4400="1521",MONTH(C4400)='BK-NL'!$M$11),"x","")</f>
        <v/>
      </c>
    </row>
    <row r="4401" spans="1:30" ht="16.5" customHeight="1">
      <c r="A4401" s="318" t="str">
        <f>IF(B4401&lt;&gt;"",IF(AND(B4401='[3]IN-TC'!$S$4,OR([3]TH!N3632="1111",[3]TH!O3632="1111")),[3]TH!D3632,""),"")</f>
        <v/>
      </c>
      <c r="B4401" s="60" t="str">
        <f t="shared" si="472"/>
        <v/>
      </c>
      <c r="C4401" s="61"/>
      <c r="D4401" s="61"/>
      <c r="E4401" s="61"/>
      <c r="F4401" s="64"/>
      <c r="G4401" s="64"/>
      <c r="H4401" s="321"/>
      <c r="I4401" s="385"/>
      <c r="J4401" s="392"/>
      <c r="K4401" s="385"/>
      <c r="L4401" s="392"/>
      <c r="M4401" s="62"/>
      <c r="N4401" s="63"/>
      <c r="O4401" s="63"/>
      <c r="P4401" s="79" t="str">
        <f>IF(AND('331-CT'!$E$7=TH!H4401,OR(N4401="331",O4401="331")),"x","")</f>
        <v/>
      </c>
      <c r="Q4401" s="79" t="str">
        <f>IF(AND(B4401='111'!$L$11,OR($N4401=$Q$7,$O4401=$Q$7)),"x","")</f>
        <v/>
      </c>
      <c r="R4401" s="79" t="str">
        <f>IF(AND($N4401=$Q$7,$B4401&lt;'111'!$L$11),"x","")</f>
        <v/>
      </c>
      <c r="S4401" s="79" t="str">
        <f>IF(AND($O4401=$Q$7,$B4401&lt;'111'!$L$11),"x","")</f>
        <v/>
      </c>
      <c r="T4401" s="79" t="str">
        <f>IF(ISERROR(FIND('112'!$M$9,G4401,1)),"",IF((AND(FIND('112'!$M$9,G4401,1)&gt;=1,B4401='112'!$K$9,OR($N4401='112'!$I$6,$O4401='112'!$I$6))),"x",""))</f>
        <v/>
      </c>
      <c r="U4401" s="79" t="str">
        <f>IF(ISERROR(FIND('112'!$M$9,G4401,1)),"",IF((AND(LEFT(G4401,2)=LEFT('112'!$M$9,2),B4401&lt;'112'!$K$9,$N4401='112'!$I$6)),"x",""))</f>
        <v/>
      </c>
      <c r="V4401" s="79" t="str">
        <f>IF(ISERROR(FIND('112'!$M$9,G4401,1)),"",IF((AND(RIGHT(G4401,2)=RIGHT('112'!$M$9,2),B4401&lt;'112'!$K$9,$O4401='112'!$I$6)),"x",""))</f>
        <v/>
      </c>
      <c r="W4401" s="79" t="str">
        <f>IF(AND('341-CT'!$H$9=H4401,OR(LEFT(N4401,3)=$W$7,LEFT(O4401,3)=$W$7)),"x","")</f>
        <v/>
      </c>
      <c r="X4401" s="79" t="str">
        <f>IF(OR(TH!N4401=TH!$X$7,O4401=TH!$X$7),"x","")</f>
        <v/>
      </c>
      <c r="Y4401" s="79" t="str">
        <f>IF(AND(OR(N4401="131",O4401="131"),H4401='131-CT'!$H$9),"x","")</f>
        <v/>
      </c>
      <c r="Z4401" s="79"/>
      <c r="AA4401" s="79" t="str">
        <f>IF(AND(MONTH(E4401)='IN-NX'!$J$5,'IN-NX'!$D$7=D4401),"x","")</f>
        <v/>
      </c>
      <c r="AB4401" s="79" t="str">
        <f>IF(AND(OR(LEFT(TH!N4401,2)="15",LEFT(TH!O4401,2)="15"),LEFT(TH!O4401,3)&lt;&gt;"111",'152-CT'!$J$8=TH!F4401),"x","")</f>
        <v/>
      </c>
      <c r="AC4401" s="79" t="str">
        <f>IF(AND(OR(LEFT(TH!N4401,2)="15",LEFT(TH!O4401,2)="15"),TK!$E$7=TH!F4401),"x","")</f>
        <v/>
      </c>
      <c r="AD4401" s="79" t="str">
        <f>IF(AND(N4401="1521",MONTH(C4401)='BK-NL'!$M$11),"x","")</f>
        <v/>
      </c>
    </row>
    <row r="4402" spans="1:30" ht="16.5" customHeight="1">
      <c r="A4402" s="318" t="str">
        <f>IF(B4402&lt;&gt;"",IF(AND(B4402='[3]IN-TC'!$S$4,OR([3]TH!N3633="1111",[3]TH!O3633="1111")),[3]TH!D3633,""),"")</f>
        <v/>
      </c>
      <c r="B4402" s="60" t="str">
        <f t="shared" si="472"/>
        <v/>
      </c>
      <c r="C4402" s="61"/>
      <c r="D4402" s="61"/>
      <c r="E4402" s="61"/>
      <c r="F4402" s="64"/>
      <c r="G4402" s="64"/>
      <c r="H4402" s="321"/>
      <c r="I4402" s="385"/>
      <c r="J4402" s="392"/>
      <c r="K4402" s="385"/>
      <c r="L4402" s="392"/>
      <c r="M4402" s="62"/>
      <c r="N4402" s="63"/>
      <c r="O4402" s="63"/>
      <c r="P4402" s="79" t="str">
        <f>IF(AND('331-CT'!$E$7=TH!H4402,OR(N4402="331",O4402="331")),"x","")</f>
        <v/>
      </c>
      <c r="Q4402" s="79" t="str">
        <f>IF(AND(B4402='111'!$L$11,OR($N4402=$Q$7,$O4402=$Q$7)),"x","")</f>
        <v/>
      </c>
      <c r="R4402" s="79" t="str">
        <f>IF(AND($N4402=$Q$7,$B4402&lt;'111'!$L$11),"x","")</f>
        <v/>
      </c>
      <c r="S4402" s="79" t="str">
        <f>IF(AND($O4402=$Q$7,$B4402&lt;'111'!$L$11),"x","")</f>
        <v/>
      </c>
      <c r="T4402" s="79" t="str">
        <f>IF(ISERROR(FIND('112'!$M$9,G4402,1)),"",IF((AND(FIND('112'!$M$9,G4402,1)&gt;=1,B4402='112'!$K$9,OR($N4402='112'!$I$6,$O4402='112'!$I$6))),"x",""))</f>
        <v/>
      </c>
      <c r="U4402" s="79" t="str">
        <f>IF(ISERROR(FIND('112'!$M$9,G4402,1)),"",IF((AND(LEFT(G4402,2)=LEFT('112'!$M$9,2),B4402&lt;'112'!$K$9,$N4402='112'!$I$6)),"x",""))</f>
        <v/>
      </c>
      <c r="V4402" s="79" t="str">
        <f>IF(ISERROR(FIND('112'!$M$9,G4402,1)),"",IF((AND(RIGHT(G4402,2)=RIGHT('112'!$M$9,2),B4402&lt;'112'!$K$9,$O4402='112'!$I$6)),"x",""))</f>
        <v/>
      </c>
      <c r="W4402" s="79" t="str">
        <f>IF(AND('341-CT'!$H$9=H4402,OR(LEFT(N4402,3)=$W$7,LEFT(O4402,3)=$W$7)),"x","")</f>
        <v/>
      </c>
      <c r="X4402" s="79" t="str">
        <f>IF(OR(TH!N4402=TH!$X$7,O4402=TH!$X$7),"x","")</f>
        <v/>
      </c>
      <c r="Y4402" s="79" t="str">
        <f>IF(AND(OR(N4402="131",O4402="131"),H4402='131-CT'!$H$9),"x","")</f>
        <v/>
      </c>
      <c r="Z4402" s="79"/>
      <c r="AA4402" s="79" t="str">
        <f>IF(AND(MONTH(E4402)='IN-NX'!$J$5,'IN-NX'!$D$7=D4402),"x","")</f>
        <v/>
      </c>
      <c r="AB4402" s="79" t="str">
        <f>IF(AND(OR(LEFT(TH!N4402,2)="15",LEFT(TH!O4402,2)="15"),LEFT(TH!O4402,3)&lt;&gt;"111",'152-CT'!$J$8=TH!F4402),"x","")</f>
        <v/>
      </c>
      <c r="AC4402" s="79" t="str">
        <f>IF(AND(OR(LEFT(TH!N4402,2)="15",LEFT(TH!O4402,2)="15"),TK!$E$7=TH!F4402),"x","")</f>
        <v/>
      </c>
      <c r="AD4402" s="79" t="str">
        <f>IF(AND(N4402="1521",MONTH(C4402)='BK-NL'!$M$11),"x","")</f>
        <v/>
      </c>
    </row>
    <row r="4403" spans="1:30" ht="16.5" customHeight="1">
      <c r="A4403" s="318" t="str">
        <f>IF(B4403&lt;&gt;"",IF(AND(B4403='[3]IN-TC'!$S$4,OR([3]TH!N3634="1111",[3]TH!O3634="1111")),[3]TH!D3634,""),"")</f>
        <v/>
      </c>
      <c r="B4403" s="60" t="str">
        <f t="shared" si="472"/>
        <v/>
      </c>
      <c r="C4403" s="61"/>
      <c r="D4403" s="61"/>
      <c r="E4403" s="61"/>
      <c r="F4403" s="64"/>
      <c r="G4403" s="64"/>
      <c r="H4403" s="321"/>
      <c r="I4403" s="385"/>
      <c r="J4403" s="392"/>
      <c r="K4403" s="385"/>
      <c r="L4403" s="392"/>
      <c r="M4403" s="62"/>
      <c r="N4403" s="971"/>
      <c r="O4403" s="304"/>
      <c r="P4403" s="79" t="str">
        <f>IF(AND('331-CT'!$E$7=TH!H4403,OR(N4403="331",O4403="331")),"x","")</f>
        <v/>
      </c>
      <c r="Q4403" s="79" t="str">
        <f>IF(AND(B4403='111'!$L$11,OR($N4403=$Q$7,$O4403=$Q$7)),"x","")</f>
        <v/>
      </c>
      <c r="R4403" s="79" t="str">
        <f>IF(AND($N4403=$Q$7,$B4403&lt;'111'!$L$11),"x","")</f>
        <v/>
      </c>
      <c r="S4403" s="79" t="str">
        <f>IF(AND($O4403=$Q$7,$B4403&lt;'111'!$L$11),"x","")</f>
        <v/>
      </c>
      <c r="T4403" s="79" t="str">
        <f>IF(ISERROR(FIND('112'!$M$9,G4403,1)),"",IF((AND(FIND('112'!$M$9,G4403,1)&gt;=1,B4403='112'!$K$9,OR($N4403='112'!$I$6,$O4403='112'!$I$6))),"x",""))</f>
        <v/>
      </c>
      <c r="U4403" s="79" t="str">
        <f>IF(ISERROR(FIND('112'!$M$9,G4403,1)),"",IF((AND(LEFT(G4403,2)=LEFT('112'!$M$9,2),B4403&lt;'112'!$K$9,$N4403='112'!$I$6)),"x",""))</f>
        <v/>
      </c>
      <c r="V4403" s="79" t="str">
        <f>IF(ISERROR(FIND('112'!$M$9,G4403,1)),"",IF((AND(RIGHT(G4403,2)=RIGHT('112'!$M$9,2),B4403&lt;'112'!$K$9,$O4403='112'!$I$6)),"x",""))</f>
        <v/>
      </c>
      <c r="W4403" s="79" t="str">
        <f>IF(AND('341-CT'!$H$9=H4403,OR(LEFT(N4403,3)=$W$7,LEFT(O4403,3)=$W$7)),"x","")</f>
        <v/>
      </c>
      <c r="X4403" s="79" t="str">
        <f>IF(OR(TH!N4403=TH!$X$7,O4403=TH!$X$7),"x","")</f>
        <v/>
      </c>
      <c r="Y4403" s="79" t="str">
        <f>IF(AND(OR(N4403="131",O4403="131"),H4403='131-CT'!$H$9),"x","")</f>
        <v/>
      </c>
      <c r="Z4403" s="79"/>
      <c r="AA4403" s="79" t="str">
        <f>IF(AND(MONTH(E4403)='IN-NX'!$J$5,'IN-NX'!$D$7=D4403),"x","")</f>
        <v/>
      </c>
      <c r="AB4403" s="79" t="str">
        <f>IF(AND(OR(LEFT(TH!N4403,2)="15",LEFT(TH!O4403,2)="15"),LEFT(TH!O4403,3)&lt;&gt;"111",'152-CT'!$J$8=TH!F4403),"x","")</f>
        <v/>
      </c>
      <c r="AC4403" s="79" t="str">
        <f>IF(AND(OR(LEFT(TH!N4403,2)="15",LEFT(TH!O4403,2)="15"),TK!$E$7=TH!F4403),"x","")</f>
        <v/>
      </c>
      <c r="AD4403" s="79" t="str">
        <f>IF(AND(N4403="1521",MONTH(C4403)='BK-NL'!$M$11),"x","")</f>
        <v/>
      </c>
    </row>
    <row r="4404" spans="1:30" ht="16.5" customHeight="1">
      <c r="A4404" s="318" t="str">
        <f>IF(B4404&lt;&gt;"",IF(AND(B4404='[3]IN-TC'!$S$4,OR([3]TH!N3635="1111",[3]TH!O3635="1111")),[3]TH!D3635,""),"")</f>
        <v/>
      </c>
      <c r="B4404" s="60" t="str">
        <f t="shared" si="472"/>
        <v/>
      </c>
      <c r="C4404" s="61"/>
      <c r="D4404" s="301"/>
      <c r="E4404" s="61"/>
      <c r="F4404" s="64"/>
      <c r="G4404" s="64"/>
      <c r="H4404" s="321"/>
      <c r="I4404" s="385"/>
      <c r="J4404" s="392"/>
      <c r="K4404" s="385"/>
      <c r="L4404" s="392"/>
      <c r="M4404" s="62"/>
      <c r="N4404" s="63"/>
      <c r="O4404" s="63"/>
      <c r="P4404" s="79" t="str">
        <f>IF(AND('331-CT'!$E$7=TH!H4404,OR(N4404="331",O4404="331")),"x","")</f>
        <v/>
      </c>
      <c r="Q4404" s="79" t="str">
        <f>IF(AND(B4404='111'!$L$11,OR($N4404=$Q$7,$O4404=$Q$7)),"x","")</f>
        <v/>
      </c>
      <c r="R4404" s="79" t="str">
        <f>IF(AND($N4404=$Q$7,$B4404&lt;'111'!$L$11),"x","")</f>
        <v/>
      </c>
      <c r="S4404" s="79" t="str">
        <f>IF(AND($O4404=$Q$7,$B4404&lt;'111'!$L$11),"x","")</f>
        <v/>
      </c>
      <c r="T4404" s="79" t="str">
        <f>IF(ISERROR(FIND('112'!$M$9,G4404,1)),"",IF((AND(FIND('112'!$M$9,G4404,1)&gt;=1,B4404='112'!$K$9,OR($N4404='112'!$I$6,$O4404='112'!$I$6))),"x",""))</f>
        <v/>
      </c>
      <c r="U4404" s="79" t="str">
        <f>IF(ISERROR(FIND('112'!$M$9,G4404,1)),"",IF((AND(LEFT(G4404,2)=LEFT('112'!$M$9,2),B4404&lt;'112'!$K$9,$N4404='112'!$I$6)),"x",""))</f>
        <v/>
      </c>
      <c r="V4404" s="79" t="str">
        <f>IF(ISERROR(FIND('112'!$M$9,G4404,1)),"",IF((AND(RIGHT(G4404,2)=RIGHT('112'!$M$9,2),B4404&lt;'112'!$K$9,$O4404='112'!$I$6)),"x",""))</f>
        <v/>
      </c>
      <c r="W4404" s="79" t="str">
        <f>IF(AND('341-CT'!$H$9=H4404,OR(LEFT(N4404,3)=$W$7,LEFT(O4404,3)=$W$7)),"x","")</f>
        <v/>
      </c>
      <c r="X4404" s="79" t="str">
        <f>IF(OR(TH!N4404=TH!$X$7,O4404=TH!$X$7),"x","")</f>
        <v/>
      </c>
      <c r="Y4404" s="79" t="str">
        <f>IF(AND(OR(N4404="131",O4404="131"),H4404='131-CT'!$H$9),"x","")</f>
        <v/>
      </c>
      <c r="Z4404" s="79"/>
      <c r="AA4404" s="79" t="str">
        <f>IF(AND(MONTH(E4404)='IN-NX'!$J$5,'IN-NX'!$D$7=D4404),"x","")</f>
        <v/>
      </c>
      <c r="AB4404" s="79" t="str">
        <f>IF(AND(OR(LEFT(TH!N4404,2)="15",LEFT(TH!O4404,2)="15"),LEFT(TH!O4404,3)&lt;&gt;"111",'152-CT'!$J$8=TH!F4404),"x","")</f>
        <v/>
      </c>
      <c r="AC4404" s="79" t="str">
        <f>IF(AND(OR(LEFT(TH!N4404,2)="15",LEFT(TH!O4404,2)="15"),TK!$E$7=TH!F4404),"x","")</f>
        <v/>
      </c>
      <c r="AD4404" s="79" t="str">
        <f>IF(AND(N4404="1521",MONTH(C4404)='BK-NL'!$M$11),"x","")</f>
        <v/>
      </c>
    </row>
    <row r="4405" spans="1:30" ht="16.5" customHeight="1">
      <c r="A4405" s="318" t="str">
        <f>IF(B4405&lt;&gt;"",IF(AND(B4405='[3]IN-TC'!$S$4,OR([3]TH!N3636="1111",[3]TH!O3636="1111")),[3]TH!D3636,""),"")</f>
        <v/>
      </c>
      <c r="B4405" s="60" t="str">
        <f t="shared" si="472"/>
        <v/>
      </c>
      <c r="C4405" s="61"/>
      <c r="D4405" s="61"/>
      <c r="E4405" s="61"/>
      <c r="F4405" s="64"/>
      <c r="G4405" s="64"/>
      <c r="H4405" s="321"/>
      <c r="I4405" s="385"/>
      <c r="J4405" s="392"/>
      <c r="K4405" s="385"/>
      <c r="L4405" s="392"/>
      <c r="M4405" s="62"/>
      <c r="N4405" s="63"/>
      <c r="O4405" s="63"/>
      <c r="P4405" s="79" t="str">
        <f>IF(AND('331-CT'!$E$7=TH!H4405,OR(N4405="331",O4405="331")),"x","")</f>
        <v/>
      </c>
      <c r="Q4405" s="79" t="str">
        <f>IF(AND(B4405='111'!$L$11,OR($N4405=$Q$7,$O4405=$Q$7)),"x","")</f>
        <v/>
      </c>
      <c r="R4405" s="79" t="str">
        <f>IF(AND($N4405=$Q$7,$B4405&lt;'111'!$L$11),"x","")</f>
        <v/>
      </c>
      <c r="S4405" s="79" t="str">
        <f>IF(AND($O4405=$Q$7,$B4405&lt;'111'!$L$11),"x","")</f>
        <v/>
      </c>
      <c r="T4405" s="79" t="str">
        <f>IF(ISERROR(FIND('112'!$M$9,G4405,1)),"",IF((AND(FIND('112'!$M$9,G4405,1)&gt;=1,B4405='112'!$K$9,OR($N4405='112'!$I$6,$O4405='112'!$I$6))),"x",""))</f>
        <v/>
      </c>
      <c r="U4405" s="79" t="str">
        <f>IF(ISERROR(FIND('112'!$M$9,G4405,1)),"",IF((AND(LEFT(G4405,2)=LEFT('112'!$M$9,2),B4405&lt;'112'!$K$9,$N4405='112'!$I$6)),"x",""))</f>
        <v/>
      </c>
      <c r="V4405" s="79" t="str">
        <f>IF(ISERROR(FIND('112'!$M$9,G4405,1)),"",IF((AND(RIGHT(G4405,2)=RIGHT('112'!$M$9,2),B4405&lt;'112'!$K$9,$O4405='112'!$I$6)),"x",""))</f>
        <v/>
      </c>
      <c r="W4405" s="79" t="str">
        <f>IF(AND('341-CT'!$H$9=H4405,OR(LEFT(N4405,3)=$W$7,LEFT(O4405,3)=$W$7)),"x","")</f>
        <v/>
      </c>
      <c r="X4405" s="79" t="str">
        <f>IF(OR(TH!N4405=TH!$X$7,O4405=TH!$X$7),"x","")</f>
        <v/>
      </c>
      <c r="Y4405" s="79" t="str">
        <f>IF(AND(OR(N4405="131",O4405="131"),H4405='131-CT'!$H$9),"x","")</f>
        <v/>
      </c>
      <c r="Z4405" s="79"/>
      <c r="AA4405" s="79" t="str">
        <f>IF(AND(MONTH(E4405)='IN-NX'!$J$5,'IN-NX'!$D$7=D4405),"x","")</f>
        <v/>
      </c>
      <c r="AB4405" s="79" t="str">
        <f>IF(AND(OR(LEFT(TH!N4405,2)="15",LEFT(TH!O4405,2)="15"),LEFT(TH!O4405,3)&lt;&gt;"111",'152-CT'!$J$8=TH!F4405),"x","")</f>
        <v/>
      </c>
      <c r="AC4405" s="79" t="str">
        <f>IF(AND(OR(LEFT(TH!N4405,2)="15",LEFT(TH!O4405,2)="15"),TK!$E$7=TH!F4405),"x","")</f>
        <v/>
      </c>
      <c r="AD4405" s="79" t="str">
        <f>IF(AND(N4405="1521",MONTH(C4405)='BK-NL'!$M$11),"x","")</f>
        <v/>
      </c>
    </row>
    <row r="4406" spans="1:30" ht="16.5" customHeight="1">
      <c r="A4406" s="318" t="str">
        <f>IF(B4406&lt;&gt;"",IF(AND(B4406='[3]IN-TC'!$S$4,OR([3]TH!N3637="1111",[3]TH!O3637="1111")),[3]TH!D3637,""),"")</f>
        <v/>
      </c>
      <c r="B4406" s="60" t="str">
        <f t="shared" si="472"/>
        <v/>
      </c>
      <c r="C4406" s="61"/>
      <c r="D4406" s="61"/>
      <c r="E4406" s="61"/>
      <c r="F4406" s="64"/>
      <c r="G4406" s="64"/>
      <c r="H4406" s="321"/>
      <c r="I4406" s="385"/>
      <c r="J4406" s="392"/>
      <c r="K4406" s="385"/>
      <c r="L4406" s="392"/>
      <c r="M4406" s="62"/>
      <c r="N4406" s="971"/>
      <c r="O4406" s="63"/>
      <c r="P4406" s="79" t="str">
        <f>IF(AND('331-CT'!$E$7=TH!H4406,OR(N4406="331",O4406="331")),"x","")</f>
        <v/>
      </c>
      <c r="Q4406" s="79" t="str">
        <f>IF(AND(B4406='111'!$L$11,OR($N4406=$Q$7,$O4406=$Q$7)),"x","")</f>
        <v/>
      </c>
      <c r="R4406" s="79" t="str">
        <f>IF(AND($N4406=$Q$7,$B4406&lt;'111'!$L$11),"x","")</f>
        <v/>
      </c>
      <c r="S4406" s="79" t="str">
        <f>IF(AND($O4406=$Q$7,$B4406&lt;'111'!$L$11),"x","")</f>
        <v/>
      </c>
      <c r="T4406" s="79" t="str">
        <f>IF(ISERROR(FIND('112'!$M$9,G4406,1)),"",IF((AND(FIND('112'!$M$9,G4406,1)&gt;=1,B4406='112'!$K$9,OR($N4406='112'!$I$6,$O4406='112'!$I$6))),"x",""))</f>
        <v/>
      </c>
      <c r="U4406" s="79" t="str">
        <f>IF(ISERROR(FIND('112'!$M$9,G4406,1)),"",IF((AND(LEFT(G4406,2)=LEFT('112'!$M$9,2),B4406&lt;'112'!$K$9,$N4406='112'!$I$6)),"x",""))</f>
        <v/>
      </c>
      <c r="V4406" s="79" t="str">
        <f>IF(ISERROR(FIND('112'!$M$9,G4406,1)),"",IF((AND(RIGHT(G4406,2)=RIGHT('112'!$M$9,2),B4406&lt;'112'!$K$9,$O4406='112'!$I$6)),"x",""))</f>
        <v/>
      </c>
      <c r="W4406" s="79" t="str">
        <f>IF(AND('341-CT'!$H$9=H4406,OR(LEFT(N4406,3)=$W$7,LEFT(O4406,3)=$W$7)),"x","")</f>
        <v/>
      </c>
      <c r="X4406" s="79" t="str">
        <f>IF(OR(TH!N4406=TH!$X$7,O4406=TH!$X$7),"x","")</f>
        <v/>
      </c>
      <c r="Y4406" s="79" t="str">
        <f>IF(AND(OR(N4406="131",O4406="131"),H4406='131-CT'!$H$9),"x","")</f>
        <v/>
      </c>
      <c r="Z4406" s="79"/>
      <c r="AA4406" s="79" t="str">
        <f>IF(AND(MONTH(E4406)='IN-NX'!$J$5,'IN-NX'!$D$7=D4406),"x","")</f>
        <v/>
      </c>
      <c r="AB4406" s="79" t="str">
        <f>IF(AND(OR(LEFT(TH!N4406,2)="15",LEFT(TH!O4406,2)="15"),LEFT(TH!O4406,3)&lt;&gt;"111",'152-CT'!$J$8=TH!F4406),"x","")</f>
        <v/>
      </c>
      <c r="AC4406" s="79" t="str">
        <f>IF(AND(OR(LEFT(TH!N4406,2)="15",LEFT(TH!O4406,2)="15"),TK!$E$7=TH!F4406),"x","")</f>
        <v/>
      </c>
      <c r="AD4406" s="79" t="str">
        <f>IF(AND(N4406="1521",MONTH(C4406)='BK-NL'!$M$11),"x","")</f>
        <v/>
      </c>
    </row>
    <row r="4407" spans="1:30" ht="16.5" customHeight="1">
      <c r="A4407" s="318" t="str">
        <f>IF(B4407&lt;&gt;"",IF(AND(B4407='[3]IN-TC'!$S$4,OR([3]TH!N3638="1111",[3]TH!O3638="1111")),[3]TH!D3638,""),"")</f>
        <v/>
      </c>
      <c r="B4407" s="60" t="str">
        <f t="shared" si="472"/>
        <v/>
      </c>
      <c r="C4407" s="301"/>
      <c r="D4407" s="301"/>
      <c r="E4407" s="301"/>
      <c r="F4407" s="302"/>
      <c r="G4407" s="988"/>
      <c r="H4407" s="69"/>
      <c r="I4407" s="385"/>
      <c r="J4407" s="969"/>
      <c r="K4407" s="385"/>
      <c r="L4407" s="392"/>
      <c r="M4407" s="970"/>
      <c r="N4407" s="304"/>
      <c r="O4407" s="304"/>
      <c r="P4407" s="79" t="str">
        <f>IF(AND('331-CT'!$E$7=TH!H4407,OR(N4407="331",O4407="331")),"x","")</f>
        <v/>
      </c>
      <c r="Q4407" s="79" t="str">
        <f>IF(AND(B4407='111'!$L$11,OR($N4407=$Q$7,$O4407=$Q$7)),"x","")</f>
        <v/>
      </c>
      <c r="R4407" s="79" t="str">
        <f>IF(AND($N4407=$Q$7,$B4407&lt;'111'!$L$11),"x","")</f>
        <v/>
      </c>
      <c r="S4407" s="79" t="str">
        <f>IF(AND($O4407=$Q$7,$B4407&lt;'111'!$L$11),"x","")</f>
        <v/>
      </c>
      <c r="T4407" s="79" t="str">
        <f>IF(ISERROR(FIND('112'!$M$9,G4407,1)),"",IF((AND(FIND('112'!$M$9,G4407,1)&gt;=1,B4407='112'!$K$9,OR($N4407='112'!$I$6,$O4407='112'!$I$6))),"x",""))</f>
        <v/>
      </c>
      <c r="U4407" s="79" t="str">
        <f>IF(ISERROR(FIND('112'!$M$9,G4407,1)),"",IF((AND(LEFT(G4407,2)=LEFT('112'!$M$9,2),B4407&lt;'112'!$K$9,$N4407='112'!$I$6)),"x",""))</f>
        <v/>
      </c>
      <c r="V4407" s="79" t="str">
        <f>IF(ISERROR(FIND('112'!$M$9,G4407,1)),"",IF((AND(RIGHT(G4407,2)=RIGHT('112'!$M$9,2),B4407&lt;'112'!$K$9,$O4407='112'!$I$6)),"x",""))</f>
        <v/>
      </c>
      <c r="W4407" s="79" t="str">
        <f>IF(AND('341-CT'!$H$9=H4407,OR(LEFT(N4407,3)=$W$7,LEFT(O4407,3)=$W$7)),"x","")</f>
        <v/>
      </c>
      <c r="X4407" s="79" t="str">
        <f>IF(OR(TH!N4407=TH!$X$7,O4407=TH!$X$7),"x","")</f>
        <v/>
      </c>
      <c r="Y4407" s="79" t="str">
        <f>IF(AND(OR(N4407="131",O4407="131"),H4407='131-CT'!$H$9),"x","")</f>
        <v/>
      </c>
      <c r="Z4407" s="79"/>
      <c r="AA4407" s="79" t="str">
        <f>IF(AND(MONTH(E4407)='IN-NX'!$J$5,'IN-NX'!$D$7=D4407),"x","")</f>
        <v/>
      </c>
      <c r="AB4407" s="79" t="str">
        <f>IF(AND(OR(LEFT(TH!N4407,2)="15",LEFT(TH!O4407,2)="15"),LEFT(TH!O4407,3)&lt;&gt;"111",'152-CT'!$J$8=TH!F4407),"x","")</f>
        <v/>
      </c>
      <c r="AC4407" s="79" t="str">
        <f>IF(AND(OR(LEFT(TH!N4407,2)="15",LEFT(TH!O4407,2)="15"),TK!$E$7=TH!F4407),"x","")</f>
        <v/>
      </c>
      <c r="AD4407" s="79" t="str">
        <f>IF(AND(N4407="1521",MONTH(C4407)='BK-NL'!$M$11),"x","")</f>
        <v/>
      </c>
    </row>
    <row r="4408" spans="1:30" ht="16.5" customHeight="1">
      <c r="A4408" s="318" t="str">
        <f>IF(B4408&lt;&gt;"",IF(AND(B4408='[3]IN-TC'!$S$4,OR([3]TH!N3639="1111",[3]TH!O3639="1111")),[3]TH!D3639,""),"")</f>
        <v/>
      </c>
      <c r="B4408" s="60" t="str">
        <f t="shared" si="472"/>
        <v/>
      </c>
      <c r="C4408" s="61"/>
      <c r="D4408" s="61"/>
      <c r="E4408" s="61"/>
      <c r="F4408" s="64"/>
      <c r="G4408" s="64"/>
      <c r="H4408" s="321"/>
      <c r="I4408" s="385"/>
      <c r="J4408" s="392"/>
      <c r="K4408" s="385"/>
      <c r="L4408" s="392"/>
      <c r="M4408" s="62"/>
      <c r="N4408" s="63"/>
      <c r="O4408" s="304"/>
      <c r="P4408" s="79" t="str">
        <f>IF(AND('331-CT'!$E$7=TH!H4408,OR(N4408="331",O4408="331")),"x","")</f>
        <v/>
      </c>
      <c r="Q4408" s="79" t="str">
        <f>IF(AND(B4408='111'!$L$11,OR($N4408=$Q$7,$O4408=$Q$7)),"x","")</f>
        <v/>
      </c>
      <c r="R4408" s="79" t="str">
        <f>IF(AND($N4408=$Q$7,$B4408&lt;'111'!$L$11),"x","")</f>
        <v/>
      </c>
      <c r="S4408" s="79" t="str">
        <f>IF(AND($O4408=$Q$7,$B4408&lt;'111'!$L$11),"x","")</f>
        <v/>
      </c>
      <c r="T4408" s="79" t="str">
        <f>IF(ISERROR(FIND('112'!$M$9,G4408,1)),"",IF((AND(FIND('112'!$M$9,G4408,1)&gt;=1,B4408='112'!$K$9,OR($N4408='112'!$I$6,$O4408='112'!$I$6))),"x",""))</f>
        <v/>
      </c>
      <c r="U4408" s="79" t="str">
        <f>IF(ISERROR(FIND('112'!$M$9,G4408,1)),"",IF((AND(LEFT(G4408,2)=LEFT('112'!$M$9,2),B4408&lt;'112'!$K$9,$N4408='112'!$I$6)),"x",""))</f>
        <v/>
      </c>
      <c r="V4408" s="79" t="str">
        <f>IF(ISERROR(FIND('112'!$M$9,G4408,1)),"",IF((AND(RIGHT(G4408,2)=RIGHT('112'!$M$9,2),B4408&lt;'112'!$K$9,$O4408='112'!$I$6)),"x",""))</f>
        <v/>
      </c>
      <c r="W4408" s="79" t="str">
        <f>IF(AND('341-CT'!$H$9=H4408,OR(LEFT(N4408,3)=$W$7,LEFT(O4408,3)=$W$7)),"x","")</f>
        <v/>
      </c>
      <c r="X4408" s="79" t="str">
        <f>IF(OR(TH!N4408=TH!$X$7,O4408=TH!$X$7),"x","")</f>
        <v/>
      </c>
      <c r="Y4408" s="79" t="str">
        <f>IF(AND(OR(N4408="131",O4408="131"),H4408='131-CT'!$H$9),"x","")</f>
        <v/>
      </c>
      <c r="Z4408" s="79"/>
      <c r="AA4408" s="79" t="str">
        <f>IF(AND(MONTH(E4408)='IN-NX'!$J$5,'IN-NX'!$D$7=D4408),"x","")</f>
        <v/>
      </c>
      <c r="AB4408" s="79" t="str">
        <f>IF(AND(OR(LEFT(TH!N4408,2)="15",LEFT(TH!O4408,2)="15"),LEFT(TH!O4408,3)&lt;&gt;"111",'152-CT'!$J$8=TH!F4408),"x","")</f>
        <v/>
      </c>
      <c r="AC4408" s="79" t="str">
        <f>IF(AND(OR(LEFT(TH!N4408,2)="15",LEFT(TH!O4408,2)="15"),TK!$E$7=TH!F4408),"x","")</f>
        <v/>
      </c>
      <c r="AD4408" s="79" t="str">
        <f>IF(AND(N4408="1521",MONTH(C4408)='BK-NL'!$M$11),"x","")</f>
        <v/>
      </c>
    </row>
    <row r="4409" spans="1:30" ht="16.5" customHeight="1">
      <c r="A4409" s="318" t="str">
        <f>IF(B4409&lt;&gt;"",IF(AND(B4409='[3]IN-TC'!$S$4,OR([3]TH!N3640="1111",[3]TH!O3640="1111")),[3]TH!D3640,""),"")</f>
        <v/>
      </c>
      <c r="B4409" s="60" t="str">
        <f t="shared" si="472"/>
        <v/>
      </c>
      <c r="C4409" s="61"/>
      <c r="D4409" s="61"/>
      <c r="E4409" s="61"/>
      <c r="F4409" s="64"/>
      <c r="G4409" s="64"/>
      <c r="H4409" s="321"/>
      <c r="I4409" s="385"/>
      <c r="J4409" s="392"/>
      <c r="K4409" s="385"/>
      <c r="L4409" s="392"/>
      <c r="M4409" s="62"/>
      <c r="N4409" s="63"/>
      <c r="O4409" s="63"/>
      <c r="P4409" s="79" t="str">
        <f>IF(AND('331-CT'!$E$7=TH!H4409,OR(N4409="331",O4409="331")),"x","")</f>
        <v/>
      </c>
      <c r="Q4409" s="79" t="str">
        <f>IF(AND(B4409='111'!$L$11,OR($N4409=$Q$7,$O4409=$Q$7)),"x","")</f>
        <v/>
      </c>
      <c r="R4409" s="79" t="str">
        <f>IF(AND($N4409=$Q$7,$B4409&lt;'111'!$L$11),"x","")</f>
        <v/>
      </c>
      <c r="S4409" s="79" t="str">
        <f>IF(AND($O4409=$Q$7,$B4409&lt;'111'!$L$11),"x","")</f>
        <v/>
      </c>
      <c r="T4409" s="79" t="str">
        <f>IF(ISERROR(FIND('112'!$M$9,G4409,1)),"",IF((AND(FIND('112'!$M$9,G4409,1)&gt;=1,B4409='112'!$K$9,OR($N4409='112'!$I$6,$O4409='112'!$I$6))),"x",""))</f>
        <v/>
      </c>
      <c r="U4409" s="79" t="str">
        <f>IF(ISERROR(FIND('112'!$M$9,G4409,1)),"",IF((AND(LEFT(G4409,2)=LEFT('112'!$M$9,2),B4409&lt;'112'!$K$9,$N4409='112'!$I$6)),"x",""))</f>
        <v/>
      </c>
      <c r="V4409" s="79" t="str">
        <f>IF(ISERROR(FIND('112'!$M$9,G4409,1)),"",IF((AND(RIGHT(G4409,2)=RIGHT('112'!$M$9,2),B4409&lt;'112'!$K$9,$O4409='112'!$I$6)),"x",""))</f>
        <v/>
      </c>
      <c r="W4409" s="79" t="str">
        <f>IF(AND('341-CT'!$H$9=H4409,OR(LEFT(N4409,3)=$W$7,LEFT(O4409,3)=$W$7)),"x","")</f>
        <v/>
      </c>
      <c r="X4409" s="79" t="str">
        <f>IF(OR(TH!N4409=TH!$X$7,O4409=TH!$X$7),"x","")</f>
        <v/>
      </c>
      <c r="Y4409" s="79" t="str">
        <f>IF(AND(OR(N4409="131",O4409="131"),H4409='131-CT'!$H$9),"x","")</f>
        <v/>
      </c>
      <c r="Z4409" s="79"/>
      <c r="AA4409" s="79" t="str">
        <f>IF(AND(MONTH(E4409)='IN-NX'!$J$5,'IN-NX'!$D$7=D4409),"x","")</f>
        <v/>
      </c>
      <c r="AB4409" s="79" t="str">
        <f>IF(AND(OR(LEFT(TH!N4409,2)="15",LEFT(TH!O4409,2)="15"),LEFT(TH!O4409,3)&lt;&gt;"111",'152-CT'!$J$8=TH!F4409),"x","")</f>
        <v/>
      </c>
      <c r="AC4409" s="79" t="str">
        <f>IF(AND(OR(LEFT(TH!N4409,2)="15",LEFT(TH!O4409,2)="15"),TK!$E$7=TH!F4409),"x","")</f>
        <v/>
      </c>
      <c r="AD4409" s="79" t="str">
        <f>IF(AND(N4409="1521",MONTH(C4409)='BK-NL'!$M$11),"x","")</f>
        <v/>
      </c>
    </row>
    <row r="4410" spans="1:30" ht="16.5" customHeight="1">
      <c r="A4410" s="318" t="str">
        <f>IF(B4410&lt;&gt;"",IF(AND(B4410='[3]IN-TC'!$S$4,OR([3]TH!N3641="1111",[3]TH!O3641="1111")),[3]TH!D3641,""),"")</f>
        <v/>
      </c>
      <c r="B4410" s="60" t="str">
        <f t="shared" si="472"/>
        <v/>
      </c>
      <c r="C4410" s="61"/>
      <c r="D4410" s="61"/>
      <c r="E4410" s="61"/>
      <c r="F4410" s="64"/>
      <c r="G4410" s="64"/>
      <c r="H4410" s="321"/>
      <c r="I4410" s="385"/>
      <c r="J4410" s="392"/>
      <c r="K4410" s="385"/>
      <c r="L4410" s="392"/>
      <c r="M4410" s="62"/>
      <c r="N4410" s="63"/>
      <c r="O4410" s="63"/>
      <c r="P4410" s="79" t="str">
        <f>IF(AND('331-CT'!$E$7=TH!H4410,OR(N4410="331",O4410="331")),"x","")</f>
        <v/>
      </c>
      <c r="Q4410" s="79" t="str">
        <f>IF(AND(B4410='111'!$L$11,OR($N4410=$Q$7,$O4410=$Q$7)),"x","")</f>
        <v/>
      </c>
      <c r="R4410" s="79" t="str">
        <f>IF(AND($N4410=$Q$7,$B4410&lt;'111'!$L$11),"x","")</f>
        <v/>
      </c>
      <c r="S4410" s="79" t="str">
        <f>IF(AND($O4410=$Q$7,$B4410&lt;'111'!$L$11),"x","")</f>
        <v/>
      </c>
      <c r="T4410" s="79" t="str">
        <f>IF(ISERROR(FIND('112'!$M$9,G4410,1)),"",IF((AND(FIND('112'!$M$9,G4410,1)&gt;=1,B4410='112'!$K$9,OR($N4410='112'!$I$6,$O4410='112'!$I$6))),"x",""))</f>
        <v/>
      </c>
      <c r="U4410" s="79" t="str">
        <f>IF(ISERROR(FIND('112'!$M$9,G4410,1)),"",IF((AND(LEFT(G4410,2)=LEFT('112'!$M$9,2),B4410&lt;'112'!$K$9,$N4410='112'!$I$6)),"x",""))</f>
        <v/>
      </c>
      <c r="V4410" s="79" t="str">
        <f>IF(ISERROR(FIND('112'!$M$9,G4410,1)),"",IF((AND(RIGHT(G4410,2)=RIGHT('112'!$M$9,2),B4410&lt;'112'!$K$9,$O4410='112'!$I$6)),"x",""))</f>
        <v/>
      </c>
      <c r="W4410" s="79" t="str">
        <f>IF(AND('341-CT'!$H$9=H4410,OR(LEFT(N4410,3)=$W$7,LEFT(O4410,3)=$W$7)),"x","")</f>
        <v/>
      </c>
      <c r="X4410" s="79" t="str">
        <f>IF(OR(TH!N4410=TH!$X$7,O4410=TH!$X$7),"x","")</f>
        <v/>
      </c>
      <c r="Y4410" s="79" t="str">
        <f>IF(AND(OR(N4410="131",O4410="131"),H4410='131-CT'!$H$9),"x","")</f>
        <v/>
      </c>
      <c r="Z4410" s="79"/>
      <c r="AA4410" s="79" t="str">
        <f>IF(AND(MONTH(E4410)='IN-NX'!$J$5,'IN-NX'!$D$7=D4410),"x","")</f>
        <v/>
      </c>
      <c r="AB4410" s="79" t="str">
        <f>IF(AND(OR(LEFT(TH!N4410,2)="15",LEFT(TH!O4410,2)="15"),LEFT(TH!O4410,3)&lt;&gt;"111",'152-CT'!$J$8=TH!F4410),"x","")</f>
        <v/>
      </c>
      <c r="AC4410" s="79" t="str">
        <f>IF(AND(OR(LEFT(TH!N4410,2)="15",LEFT(TH!O4410,2)="15"),TK!$E$7=TH!F4410),"x","")</f>
        <v/>
      </c>
      <c r="AD4410" s="79" t="str">
        <f>IF(AND(N4410="1521",MONTH(C4410)='BK-NL'!$M$11),"x","")</f>
        <v/>
      </c>
    </row>
    <row r="4411" spans="1:30" ht="16.5" customHeight="1">
      <c r="A4411" s="318" t="str">
        <f>IF(B4411&lt;&gt;"",IF(AND(B4411='[3]IN-TC'!$S$4,OR([3]TH!N3642="1111",[3]TH!O3642="1111")),[3]TH!D3642,""),"")</f>
        <v/>
      </c>
      <c r="B4411" s="60" t="str">
        <f t="shared" si="472"/>
        <v/>
      </c>
      <c r="C4411" s="61"/>
      <c r="D4411" s="61"/>
      <c r="E4411" s="61"/>
      <c r="F4411" s="64"/>
      <c r="G4411" s="64"/>
      <c r="H4411" s="321"/>
      <c r="I4411" s="385"/>
      <c r="J4411" s="392"/>
      <c r="K4411" s="385"/>
      <c r="L4411" s="392"/>
      <c r="M4411" s="62"/>
      <c r="N4411" s="63"/>
      <c r="O4411" s="63"/>
      <c r="P4411" s="79" t="str">
        <f>IF(AND('331-CT'!$E$7=TH!H4411,OR(N4411="331",O4411="331")),"x","")</f>
        <v/>
      </c>
      <c r="Q4411" s="79" t="str">
        <f>IF(AND(B4411='111'!$L$11,OR($N4411=$Q$7,$O4411=$Q$7)),"x","")</f>
        <v/>
      </c>
      <c r="R4411" s="79" t="str">
        <f>IF(AND($N4411=$Q$7,$B4411&lt;'111'!$L$11),"x","")</f>
        <v/>
      </c>
      <c r="S4411" s="79" t="str">
        <f>IF(AND($O4411=$Q$7,$B4411&lt;'111'!$L$11),"x","")</f>
        <v/>
      </c>
      <c r="T4411" s="79" t="str">
        <f>IF(ISERROR(FIND('112'!$M$9,G4411,1)),"",IF((AND(FIND('112'!$M$9,G4411,1)&gt;=1,B4411='112'!$K$9,OR($N4411='112'!$I$6,$O4411='112'!$I$6))),"x",""))</f>
        <v/>
      </c>
      <c r="U4411" s="79" t="str">
        <f>IF(ISERROR(FIND('112'!$M$9,G4411,1)),"",IF((AND(LEFT(G4411,2)=LEFT('112'!$M$9,2),B4411&lt;'112'!$K$9,$N4411='112'!$I$6)),"x",""))</f>
        <v/>
      </c>
      <c r="V4411" s="79" t="str">
        <f>IF(ISERROR(FIND('112'!$M$9,G4411,1)),"",IF((AND(RIGHT(G4411,2)=RIGHT('112'!$M$9,2),B4411&lt;'112'!$K$9,$O4411='112'!$I$6)),"x",""))</f>
        <v/>
      </c>
      <c r="W4411" s="79" t="str">
        <f>IF(AND('341-CT'!$H$9=H4411,OR(LEFT(N4411,3)=$W$7,LEFT(O4411,3)=$W$7)),"x","")</f>
        <v/>
      </c>
      <c r="X4411" s="79" t="str">
        <f>IF(OR(TH!N4411=TH!$X$7,O4411=TH!$X$7),"x","")</f>
        <v/>
      </c>
      <c r="Y4411" s="79" t="str">
        <f>IF(AND(OR(N4411="131",O4411="131"),H4411='131-CT'!$H$9),"x","")</f>
        <v/>
      </c>
      <c r="Z4411" s="79"/>
      <c r="AA4411" s="79" t="str">
        <f>IF(AND(MONTH(E4411)='IN-NX'!$J$5,'IN-NX'!$D$7=D4411),"x","")</f>
        <v/>
      </c>
      <c r="AB4411" s="79" t="str">
        <f>IF(AND(OR(LEFT(TH!N4411,2)="15",LEFT(TH!O4411,2)="15"),LEFT(TH!O4411,3)&lt;&gt;"111",'152-CT'!$J$8=TH!F4411),"x","")</f>
        <v/>
      </c>
      <c r="AC4411" s="79" t="str">
        <f>IF(AND(OR(LEFT(TH!N4411,2)="15",LEFT(TH!O4411,2)="15"),TK!$E$7=TH!F4411),"x","")</f>
        <v/>
      </c>
      <c r="AD4411" s="79" t="str">
        <f>IF(AND(N4411="1521",MONTH(C4411)='BK-NL'!$M$11),"x","")</f>
        <v/>
      </c>
    </row>
    <row r="4412" spans="1:30" ht="16.5" customHeight="1">
      <c r="A4412" s="318" t="str">
        <f>IF(B4412&lt;&gt;"",IF(AND(B4412='[3]IN-TC'!$S$4,OR([3]TH!N3643="1111",[3]TH!O3643="1111")),[3]TH!D3643,""),"")</f>
        <v/>
      </c>
      <c r="B4412" s="60" t="str">
        <f t="shared" si="472"/>
        <v/>
      </c>
      <c r="C4412" s="61"/>
      <c r="D4412" s="61"/>
      <c r="E4412" s="61"/>
      <c r="F4412" s="302"/>
      <c r="G4412" s="64"/>
      <c r="H4412" s="1012"/>
      <c r="I4412" s="385"/>
      <c r="J4412" s="392"/>
      <c r="K4412" s="385"/>
      <c r="L4412" s="392"/>
      <c r="M4412" s="62"/>
      <c r="N4412" s="63"/>
      <c r="O4412" s="63"/>
      <c r="P4412" s="79" t="str">
        <f>IF(AND('331-CT'!$E$7=TH!H4412,OR(N4412="331",O4412="331")),"x","")</f>
        <v/>
      </c>
      <c r="Q4412" s="79" t="str">
        <f>IF(AND(B4412='111'!$L$11,OR($N4412=$Q$7,$O4412=$Q$7)),"x","")</f>
        <v/>
      </c>
      <c r="R4412" s="79" t="str">
        <f>IF(AND($N4412=$Q$7,$B4412&lt;'111'!$L$11),"x","")</f>
        <v/>
      </c>
      <c r="S4412" s="79" t="str">
        <f>IF(AND($O4412=$Q$7,$B4412&lt;'111'!$L$11),"x","")</f>
        <v/>
      </c>
      <c r="T4412" s="79" t="str">
        <f>IF(ISERROR(FIND('112'!$M$9,G4412,1)),"",IF((AND(FIND('112'!$M$9,G4412,1)&gt;=1,B4412='112'!$K$9,OR($N4412='112'!$I$6,$O4412='112'!$I$6))),"x",""))</f>
        <v/>
      </c>
      <c r="U4412" s="79" t="str">
        <f>IF(ISERROR(FIND('112'!$M$9,G4412,1)),"",IF((AND(LEFT(G4412,2)=LEFT('112'!$M$9,2),B4412&lt;'112'!$K$9,$N4412='112'!$I$6)),"x",""))</f>
        <v/>
      </c>
      <c r="V4412" s="79" t="str">
        <f>IF(ISERROR(FIND('112'!$M$9,G4412,1)),"",IF((AND(RIGHT(G4412,2)=RIGHT('112'!$M$9,2),B4412&lt;'112'!$K$9,$O4412='112'!$I$6)),"x",""))</f>
        <v/>
      </c>
      <c r="W4412" s="79" t="str">
        <f>IF(AND('341-CT'!$H$9=H4412,OR(LEFT(N4412,3)=$W$7,LEFT(O4412,3)=$W$7)),"x","")</f>
        <v/>
      </c>
      <c r="X4412" s="79" t="str">
        <f>IF(OR(TH!N4412=TH!$X$7,O4412=TH!$X$7),"x","")</f>
        <v/>
      </c>
      <c r="Y4412" s="79" t="str">
        <f>IF(AND(OR(N4412="131",O4412="131"),H4412='131-CT'!$H$9),"x","")</f>
        <v/>
      </c>
      <c r="Z4412" s="79"/>
      <c r="AA4412" s="79" t="str">
        <f>IF(AND(MONTH(E4412)='IN-NX'!$J$5,'IN-NX'!$D$7=D4412),"x","")</f>
        <v/>
      </c>
      <c r="AB4412" s="79" t="str">
        <f>IF(AND(OR(LEFT(TH!N4412,2)="15",LEFT(TH!O4412,2)="15"),LEFT(TH!O4412,3)&lt;&gt;"111",'152-CT'!$J$8=TH!F4412),"x","")</f>
        <v/>
      </c>
      <c r="AC4412" s="79" t="str">
        <f>IF(AND(OR(LEFT(TH!N4412,2)="15",LEFT(TH!O4412,2)="15"),TK!$E$7=TH!F4412),"x","")</f>
        <v/>
      </c>
      <c r="AD4412" s="79" t="str">
        <f>IF(AND(N4412="1521",MONTH(C4412)='BK-NL'!$M$11),"x","")</f>
        <v/>
      </c>
    </row>
    <row r="4413" spans="1:30" ht="16.5" customHeight="1">
      <c r="A4413" s="318" t="str">
        <f>IF(B4413&lt;&gt;"",IF(AND(B4413='[3]IN-TC'!$S$4,OR([3]TH!N3644="1111",[3]TH!O3644="1111")),[3]TH!D3644,""),"")</f>
        <v/>
      </c>
      <c r="B4413" s="60" t="str">
        <f t="shared" si="472"/>
        <v/>
      </c>
      <c r="C4413" s="61"/>
      <c r="D4413" s="61"/>
      <c r="E4413" s="61"/>
      <c r="F4413" s="64"/>
      <c r="G4413" s="64"/>
      <c r="H4413" s="321"/>
      <c r="I4413" s="385"/>
      <c r="J4413" s="392"/>
      <c r="K4413" s="385"/>
      <c r="L4413" s="392"/>
      <c r="M4413" s="62"/>
      <c r="N4413" s="63"/>
      <c r="O4413" s="304"/>
      <c r="P4413" s="79" t="str">
        <f>IF(AND('331-CT'!$E$7=TH!H4413,OR(N4413="331",O4413="331")),"x","")</f>
        <v/>
      </c>
      <c r="Q4413" s="79" t="str">
        <f>IF(AND(B4413='111'!$L$11,OR($N4413=$Q$7,$O4413=$Q$7)),"x","")</f>
        <v/>
      </c>
      <c r="R4413" s="79" t="str">
        <f>IF(AND($N4413=$Q$7,$B4413&lt;'111'!$L$11),"x","")</f>
        <v/>
      </c>
      <c r="S4413" s="79" t="str">
        <f>IF(AND($O4413=$Q$7,$B4413&lt;'111'!$L$11),"x","")</f>
        <v/>
      </c>
      <c r="T4413" s="79" t="str">
        <f>IF(ISERROR(FIND('112'!$M$9,G4413,1)),"",IF((AND(FIND('112'!$M$9,G4413,1)&gt;=1,B4413='112'!$K$9,OR($N4413='112'!$I$6,$O4413='112'!$I$6))),"x",""))</f>
        <v/>
      </c>
      <c r="U4413" s="79" t="str">
        <f>IF(ISERROR(FIND('112'!$M$9,G4413,1)),"",IF((AND(LEFT(G4413,2)=LEFT('112'!$M$9,2),B4413&lt;'112'!$K$9,$N4413='112'!$I$6)),"x",""))</f>
        <v/>
      </c>
      <c r="V4413" s="79" t="str">
        <f>IF(ISERROR(FIND('112'!$M$9,G4413,1)),"",IF((AND(RIGHT(G4413,2)=RIGHT('112'!$M$9,2),B4413&lt;'112'!$K$9,$O4413='112'!$I$6)),"x",""))</f>
        <v/>
      </c>
      <c r="W4413" s="79" t="str">
        <f>IF(AND('341-CT'!$H$9=H4413,OR(LEFT(N4413,3)=$W$7,LEFT(O4413,3)=$W$7)),"x","")</f>
        <v/>
      </c>
      <c r="X4413" s="79" t="str">
        <f>IF(OR(TH!N4413=TH!$X$7,O4413=TH!$X$7),"x","")</f>
        <v/>
      </c>
      <c r="Y4413" s="79" t="str">
        <f>IF(AND(OR(N4413="131",O4413="131"),H4413='131-CT'!$H$9),"x","")</f>
        <v/>
      </c>
      <c r="Z4413" s="79"/>
      <c r="AA4413" s="79" t="str">
        <f>IF(AND(MONTH(E4413)='IN-NX'!$J$5,'IN-NX'!$D$7=D4413),"x","")</f>
        <v/>
      </c>
      <c r="AB4413" s="79" t="str">
        <f>IF(AND(OR(LEFT(TH!N4413,2)="15",LEFT(TH!O4413,2)="15"),LEFT(TH!O4413,3)&lt;&gt;"111",'152-CT'!$J$8=TH!F4413),"x","")</f>
        <v/>
      </c>
      <c r="AC4413" s="79" t="str">
        <f>IF(AND(OR(LEFT(TH!N4413,2)="15",LEFT(TH!O4413,2)="15"),TK!$E$7=TH!F4413),"x","")</f>
        <v/>
      </c>
      <c r="AD4413" s="79" t="str">
        <f>IF(AND(N4413="1521",MONTH(C4413)='BK-NL'!$M$11),"x","")</f>
        <v/>
      </c>
    </row>
    <row r="4414" spans="1:30" ht="16.5" customHeight="1">
      <c r="A4414" s="318" t="str">
        <f>IF(B4414&lt;&gt;"",IF(AND(B4414='[3]IN-TC'!$S$4,OR([3]TH!N3645="1111",[3]TH!O3645="1111")),[3]TH!D3645,""),"")</f>
        <v/>
      </c>
      <c r="B4414" s="60" t="str">
        <f t="shared" si="472"/>
        <v/>
      </c>
      <c r="C4414" s="61"/>
      <c r="D4414" s="301"/>
      <c r="E4414" s="301"/>
      <c r="F4414" s="64"/>
      <c r="G4414" s="64"/>
      <c r="H4414" s="321"/>
      <c r="I4414" s="385"/>
      <c r="J4414" s="392"/>
      <c r="K4414" s="385"/>
      <c r="L4414" s="392"/>
      <c r="M4414" s="62"/>
      <c r="N4414" s="63"/>
      <c r="O4414" s="304"/>
      <c r="P4414" s="79" t="str">
        <f>IF(AND('331-CT'!$E$7=TH!H4414,OR(N4414="331",O4414="331")),"x","")</f>
        <v/>
      </c>
      <c r="Q4414" s="79" t="str">
        <f>IF(AND(B4414='111'!$L$11,OR($N4414=$Q$7,$O4414=$Q$7)),"x","")</f>
        <v/>
      </c>
      <c r="R4414" s="79" t="str">
        <f>IF(AND($N4414=$Q$7,$B4414&lt;'111'!$L$11),"x","")</f>
        <v/>
      </c>
      <c r="S4414" s="79" t="str">
        <f>IF(AND($O4414=$Q$7,$B4414&lt;'111'!$L$11),"x","")</f>
        <v/>
      </c>
      <c r="T4414" s="79" t="str">
        <f>IF(ISERROR(FIND('112'!$M$9,G4414,1)),"",IF((AND(FIND('112'!$M$9,G4414,1)&gt;=1,B4414='112'!$K$9,OR($N4414='112'!$I$6,$O4414='112'!$I$6))),"x",""))</f>
        <v/>
      </c>
      <c r="U4414" s="79" t="str">
        <f>IF(ISERROR(FIND('112'!$M$9,G4414,1)),"",IF((AND(LEFT(G4414,2)=LEFT('112'!$M$9,2),B4414&lt;'112'!$K$9,$N4414='112'!$I$6)),"x",""))</f>
        <v/>
      </c>
      <c r="V4414" s="79" t="str">
        <f>IF(ISERROR(FIND('112'!$M$9,G4414,1)),"",IF((AND(RIGHT(G4414,2)=RIGHT('112'!$M$9,2),B4414&lt;'112'!$K$9,$O4414='112'!$I$6)),"x",""))</f>
        <v/>
      </c>
      <c r="W4414" s="79" t="str">
        <f>IF(AND('341-CT'!$H$9=H4414,OR(LEFT(N4414,3)=$W$7,LEFT(O4414,3)=$W$7)),"x","")</f>
        <v/>
      </c>
      <c r="X4414" s="79" t="str">
        <f>IF(OR(TH!N4414=TH!$X$7,O4414=TH!$X$7),"x","")</f>
        <v/>
      </c>
      <c r="Y4414" s="79" t="str">
        <f>IF(AND(OR(N4414="131",O4414="131"),H4414='131-CT'!$H$9),"x","")</f>
        <v/>
      </c>
      <c r="Z4414" s="79"/>
      <c r="AA4414" s="79" t="str">
        <f>IF(AND(MONTH(E4414)='IN-NX'!$J$5,'IN-NX'!$D$7=D4414),"x","")</f>
        <v/>
      </c>
      <c r="AB4414" s="79" t="str">
        <f>IF(AND(OR(LEFT(TH!N4414,2)="15",LEFT(TH!O4414,2)="15"),LEFT(TH!O4414,3)&lt;&gt;"111",'152-CT'!$J$8=TH!F4414),"x","")</f>
        <v/>
      </c>
      <c r="AC4414" s="79" t="str">
        <f>IF(AND(OR(LEFT(TH!N4414,2)="15",LEFT(TH!O4414,2)="15"),TK!$E$7=TH!F4414),"x","")</f>
        <v/>
      </c>
      <c r="AD4414" s="79" t="str">
        <f>IF(AND(N4414="1521",MONTH(C4414)='BK-NL'!$M$11),"x","")</f>
        <v/>
      </c>
    </row>
    <row r="4415" spans="1:30" ht="16.5" customHeight="1">
      <c r="A4415" s="318" t="str">
        <f>IF(B4415&lt;&gt;"",IF(AND(B4415='[3]IN-TC'!$S$4,OR([3]TH!N3646="1111",[3]TH!O3646="1111")),[3]TH!D3646,""),"")</f>
        <v/>
      </c>
      <c r="B4415" s="60" t="str">
        <f t="shared" si="472"/>
        <v/>
      </c>
      <c r="C4415" s="301"/>
      <c r="D4415" s="301"/>
      <c r="E4415" s="301"/>
      <c r="F4415" s="302"/>
      <c r="G4415" s="988"/>
      <c r="H4415" s="69"/>
      <c r="I4415" s="385"/>
      <c r="J4415" s="969"/>
      <c r="K4415" s="385"/>
      <c r="L4415" s="392"/>
      <c r="M4415" s="970"/>
      <c r="N4415" s="304"/>
      <c r="O4415" s="304"/>
      <c r="P4415" s="79" t="str">
        <f>IF(AND('331-CT'!$E$7=TH!H4415,OR(N4415="331",O4415="331")),"x","")</f>
        <v/>
      </c>
      <c r="Q4415" s="79" t="str">
        <f>IF(AND(B4415='111'!$L$11,OR($N4415=$Q$7,$O4415=$Q$7)),"x","")</f>
        <v/>
      </c>
      <c r="R4415" s="79" t="str">
        <f>IF(AND($N4415=$Q$7,$B4415&lt;'111'!$L$11),"x","")</f>
        <v/>
      </c>
      <c r="S4415" s="79" t="str">
        <f>IF(AND($O4415=$Q$7,$B4415&lt;'111'!$L$11),"x","")</f>
        <v/>
      </c>
      <c r="T4415" s="79" t="str">
        <f>IF(ISERROR(FIND('112'!$M$9,G4415,1)),"",IF((AND(FIND('112'!$M$9,G4415,1)&gt;=1,B4415='112'!$K$9,OR($N4415='112'!$I$6,$O4415='112'!$I$6))),"x",""))</f>
        <v/>
      </c>
      <c r="U4415" s="79" t="str">
        <f>IF(ISERROR(FIND('112'!$M$9,G4415,1)),"",IF((AND(LEFT(G4415,2)=LEFT('112'!$M$9,2),B4415&lt;'112'!$K$9,$N4415='112'!$I$6)),"x",""))</f>
        <v/>
      </c>
      <c r="V4415" s="79" t="str">
        <f>IF(ISERROR(FIND('112'!$M$9,G4415,1)),"",IF((AND(RIGHT(G4415,2)=RIGHT('112'!$M$9,2),B4415&lt;'112'!$K$9,$O4415='112'!$I$6)),"x",""))</f>
        <v/>
      </c>
      <c r="W4415" s="79" t="str">
        <f>IF(AND('341-CT'!$H$9=H4415,OR(LEFT(N4415,3)=$W$7,LEFT(O4415,3)=$W$7)),"x","")</f>
        <v/>
      </c>
      <c r="X4415" s="79" t="str">
        <f>IF(OR(TH!N4415=TH!$X$7,O4415=TH!$X$7),"x","")</f>
        <v/>
      </c>
      <c r="Y4415" s="79" t="str">
        <f>IF(AND(OR(N4415="131",O4415="131"),H4415='131-CT'!$H$9),"x","")</f>
        <v/>
      </c>
      <c r="Z4415" s="79"/>
      <c r="AA4415" s="79" t="str">
        <f>IF(AND(MONTH(E4415)='IN-NX'!$J$5,'IN-NX'!$D$7=D4415),"x","")</f>
        <v/>
      </c>
      <c r="AB4415" s="79" t="str">
        <f>IF(AND(OR(LEFT(TH!N4415,2)="15",LEFT(TH!O4415,2)="15"),LEFT(TH!O4415,3)&lt;&gt;"111",'152-CT'!$J$8=TH!F4415),"x","")</f>
        <v/>
      </c>
      <c r="AC4415" s="79" t="str">
        <f>IF(AND(OR(LEFT(TH!N4415,2)="15",LEFT(TH!O4415,2)="15"),TK!$E$7=TH!F4415),"x","")</f>
        <v/>
      </c>
      <c r="AD4415" s="79" t="str">
        <f>IF(AND(N4415="1521",MONTH(C4415)='BK-NL'!$M$11),"x","")</f>
        <v/>
      </c>
    </row>
    <row r="4416" spans="1:30" ht="16.5" customHeight="1">
      <c r="A4416" s="318" t="str">
        <f>IF(B4416&lt;&gt;"",IF(AND(B4416='[3]IN-TC'!$S$4,OR([3]TH!N3647="1111",[3]TH!O3647="1111")),[3]TH!D3647,""),"")</f>
        <v/>
      </c>
      <c r="B4416" s="60" t="str">
        <f t="shared" si="472"/>
        <v/>
      </c>
      <c r="C4416" s="61"/>
      <c r="D4416" s="61"/>
      <c r="E4416" s="61"/>
      <c r="F4416" s="64"/>
      <c r="G4416" s="64"/>
      <c r="H4416" s="321"/>
      <c r="I4416" s="385"/>
      <c r="J4416" s="392"/>
      <c r="K4416" s="385"/>
      <c r="L4416" s="392"/>
      <c r="M4416" s="62"/>
      <c r="N4416" s="63"/>
      <c r="O4416" s="63"/>
      <c r="P4416" s="79" t="str">
        <f>IF(AND('331-CT'!$E$7=TH!H4416,OR(N4416="331",O4416="331")),"x","")</f>
        <v/>
      </c>
      <c r="Q4416" s="79" t="str">
        <f>IF(AND(B4416='111'!$L$11,OR($N4416=$Q$7,$O4416=$Q$7)),"x","")</f>
        <v/>
      </c>
      <c r="R4416" s="79" t="str">
        <f>IF(AND($N4416=$Q$7,$B4416&lt;'111'!$L$11),"x","")</f>
        <v/>
      </c>
      <c r="S4416" s="79" t="str">
        <f>IF(AND($O4416=$Q$7,$B4416&lt;'111'!$L$11),"x","")</f>
        <v/>
      </c>
      <c r="T4416" s="79" t="str">
        <f>IF(ISERROR(FIND('112'!$M$9,G4416,1)),"",IF((AND(FIND('112'!$M$9,G4416,1)&gt;=1,B4416='112'!$K$9,OR($N4416='112'!$I$6,$O4416='112'!$I$6))),"x",""))</f>
        <v/>
      </c>
      <c r="U4416" s="79" t="str">
        <f>IF(ISERROR(FIND('112'!$M$9,G4416,1)),"",IF((AND(LEFT(G4416,2)=LEFT('112'!$M$9,2),B4416&lt;'112'!$K$9,$N4416='112'!$I$6)),"x",""))</f>
        <v/>
      </c>
      <c r="V4416" s="79" t="str">
        <f>IF(ISERROR(FIND('112'!$M$9,G4416,1)),"",IF((AND(RIGHT(G4416,2)=RIGHT('112'!$M$9,2),B4416&lt;'112'!$K$9,$O4416='112'!$I$6)),"x",""))</f>
        <v/>
      </c>
      <c r="W4416" s="79" t="str">
        <f>IF(AND('341-CT'!$H$9=H4416,OR(LEFT(N4416,3)=$W$7,LEFT(O4416,3)=$W$7)),"x","")</f>
        <v/>
      </c>
      <c r="X4416" s="79" t="str">
        <f>IF(OR(TH!N4416=TH!$X$7,O4416=TH!$X$7),"x","")</f>
        <v/>
      </c>
      <c r="Y4416" s="79" t="str">
        <f>IF(AND(OR(N4416="131",O4416="131"),H4416='131-CT'!$H$9),"x","")</f>
        <v/>
      </c>
      <c r="Z4416" s="79"/>
      <c r="AA4416" s="79" t="str">
        <f>IF(AND(MONTH(E4416)='IN-NX'!$J$5,'IN-NX'!$D$7=D4416),"x","")</f>
        <v/>
      </c>
      <c r="AB4416" s="79" t="str">
        <f>IF(AND(OR(LEFT(TH!N4416,2)="15",LEFT(TH!O4416,2)="15"),LEFT(TH!O4416,3)&lt;&gt;"111",'152-CT'!$J$8=TH!F4416),"x","")</f>
        <v/>
      </c>
      <c r="AC4416" s="79" t="str">
        <f>IF(AND(OR(LEFT(TH!N4416,2)="15",LEFT(TH!O4416,2)="15"),TK!$E$7=TH!F4416),"x","")</f>
        <v/>
      </c>
      <c r="AD4416" s="79" t="str">
        <f>IF(AND(N4416="1521",MONTH(C4416)='BK-NL'!$M$11),"x","")</f>
        <v/>
      </c>
    </row>
    <row r="4417" spans="1:30" ht="16.5" customHeight="1">
      <c r="A4417" s="318" t="str">
        <f>IF(B4417&lt;&gt;"",IF(AND(B4417='[3]IN-TC'!$S$4,OR([3]TH!N3648="1111",[3]TH!O3648="1111")),[3]TH!D3648,""),"")</f>
        <v/>
      </c>
      <c r="B4417" s="60" t="str">
        <f t="shared" si="472"/>
        <v/>
      </c>
      <c r="C4417" s="61"/>
      <c r="D4417" s="61"/>
      <c r="E4417" s="61"/>
      <c r="F4417" s="64"/>
      <c r="G4417" s="64"/>
      <c r="H4417" s="321"/>
      <c r="I4417" s="385"/>
      <c r="J4417" s="392"/>
      <c r="K4417" s="385"/>
      <c r="L4417" s="392"/>
      <c r="M4417" s="62"/>
      <c r="N4417" s="63"/>
      <c r="O4417" s="63"/>
      <c r="P4417" s="79" t="str">
        <f>IF(AND('331-CT'!$E$7=TH!H4417,OR(N4417="331",O4417="331")),"x","")</f>
        <v/>
      </c>
      <c r="Q4417" s="79" t="str">
        <f>IF(AND(B4417='111'!$L$11,OR($N4417=$Q$7,$O4417=$Q$7)),"x","")</f>
        <v/>
      </c>
      <c r="R4417" s="79" t="str">
        <f>IF(AND($N4417=$Q$7,$B4417&lt;'111'!$L$11),"x","")</f>
        <v/>
      </c>
      <c r="S4417" s="79" t="str">
        <f>IF(AND($O4417=$Q$7,$B4417&lt;'111'!$L$11),"x","")</f>
        <v/>
      </c>
      <c r="T4417" s="79" t="str">
        <f>IF(ISERROR(FIND('112'!$M$9,G4417,1)),"",IF((AND(FIND('112'!$M$9,G4417,1)&gt;=1,B4417='112'!$K$9,OR($N4417='112'!$I$6,$O4417='112'!$I$6))),"x",""))</f>
        <v/>
      </c>
      <c r="U4417" s="79" t="str">
        <f>IF(ISERROR(FIND('112'!$M$9,G4417,1)),"",IF((AND(LEFT(G4417,2)=LEFT('112'!$M$9,2),B4417&lt;'112'!$K$9,$N4417='112'!$I$6)),"x",""))</f>
        <v/>
      </c>
      <c r="V4417" s="79" t="str">
        <f>IF(ISERROR(FIND('112'!$M$9,G4417,1)),"",IF((AND(RIGHT(G4417,2)=RIGHT('112'!$M$9,2),B4417&lt;'112'!$K$9,$O4417='112'!$I$6)),"x",""))</f>
        <v/>
      </c>
      <c r="W4417" s="79" t="str">
        <f>IF(AND('341-CT'!$H$9=H4417,OR(LEFT(N4417,3)=$W$7,LEFT(O4417,3)=$W$7)),"x","")</f>
        <v/>
      </c>
      <c r="X4417" s="79" t="str">
        <f>IF(OR(TH!N4417=TH!$X$7,O4417=TH!$X$7),"x","")</f>
        <v/>
      </c>
      <c r="Y4417" s="79" t="str">
        <f>IF(AND(OR(N4417="131",O4417="131"),H4417='131-CT'!$H$9),"x","")</f>
        <v/>
      </c>
      <c r="Z4417" s="79"/>
      <c r="AA4417" s="79" t="str">
        <f>IF(AND(MONTH(E4417)='IN-NX'!$J$5,'IN-NX'!$D$7=D4417),"x","")</f>
        <v/>
      </c>
      <c r="AB4417" s="79" t="str">
        <f>IF(AND(OR(LEFT(TH!N4417,2)="15",LEFT(TH!O4417,2)="15"),LEFT(TH!O4417,3)&lt;&gt;"111",'152-CT'!$J$8=TH!F4417),"x","")</f>
        <v/>
      </c>
      <c r="AC4417" s="79" t="str">
        <f>IF(AND(OR(LEFT(TH!N4417,2)="15",LEFT(TH!O4417,2)="15"),TK!$E$7=TH!F4417),"x","")</f>
        <v/>
      </c>
      <c r="AD4417" s="79" t="str">
        <f>IF(AND(N4417="1521",MONTH(C4417)='BK-NL'!$M$11),"x","")</f>
        <v/>
      </c>
    </row>
    <row r="4418" spans="1:30" ht="16.5" customHeight="1">
      <c r="A4418" s="318" t="str">
        <f>IF(B4418&lt;&gt;"",IF(AND(B4418='[3]IN-TC'!$S$4,OR([3]TH!N3649="1111",[3]TH!O3649="1111")),[3]TH!D3649,""),"")</f>
        <v/>
      </c>
      <c r="B4418" s="60" t="str">
        <f t="shared" si="472"/>
        <v/>
      </c>
      <c r="C4418" s="61"/>
      <c r="D4418" s="61"/>
      <c r="E4418" s="61"/>
      <c r="F4418" s="64"/>
      <c r="G4418" s="64"/>
      <c r="H4418" s="321"/>
      <c r="I4418" s="385"/>
      <c r="J4418" s="392"/>
      <c r="K4418" s="385"/>
      <c r="L4418" s="392"/>
      <c r="M4418" s="62"/>
      <c r="N4418" s="63"/>
      <c r="O4418" s="63"/>
      <c r="P4418" s="79" t="str">
        <f>IF(AND('331-CT'!$E$7=TH!H4418,OR(N4418="331",O4418="331")),"x","")</f>
        <v/>
      </c>
      <c r="Q4418" s="79" t="str">
        <f>IF(AND(B4418='111'!$L$11,OR($N4418=$Q$7,$O4418=$Q$7)),"x","")</f>
        <v/>
      </c>
      <c r="R4418" s="79" t="str">
        <f>IF(AND($N4418=$Q$7,$B4418&lt;'111'!$L$11),"x","")</f>
        <v/>
      </c>
      <c r="S4418" s="79" t="str">
        <f>IF(AND($O4418=$Q$7,$B4418&lt;'111'!$L$11),"x","")</f>
        <v/>
      </c>
      <c r="T4418" s="79" t="str">
        <f>IF(ISERROR(FIND('112'!$M$9,G4418,1)),"",IF((AND(FIND('112'!$M$9,G4418,1)&gt;=1,B4418='112'!$K$9,OR($N4418='112'!$I$6,$O4418='112'!$I$6))),"x",""))</f>
        <v/>
      </c>
      <c r="U4418" s="79" t="str">
        <f>IF(ISERROR(FIND('112'!$M$9,G4418,1)),"",IF((AND(LEFT(G4418,2)=LEFT('112'!$M$9,2),B4418&lt;'112'!$K$9,$N4418='112'!$I$6)),"x",""))</f>
        <v/>
      </c>
      <c r="V4418" s="79" t="str">
        <f>IF(ISERROR(FIND('112'!$M$9,G4418,1)),"",IF((AND(RIGHT(G4418,2)=RIGHT('112'!$M$9,2),B4418&lt;'112'!$K$9,$O4418='112'!$I$6)),"x",""))</f>
        <v/>
      </c>
      <c r="W4418" s="79" t="str">
        <f>IF(AND('341-CT'!$H$9=H4418,OR(LEFT(N4418,3)=$W$7,LEFT(O4418,3)=$W$7)),"x","")</f>
        <v/>
      </c>
      <c r="X4418" s="79" t="str">
        <f>IF(OR(TH!N4418=TH!$X$7,O4418=TH!$X$7),"x","")</f>
        <v/>
      </c>
      <c r="Y4418" s="79" t="str">
        <f>IF(AND(OR(N4418="131",O4418="131"),H4418='131-CT'!$H$9),"x","")</f>
        <v/>
      </c>
      <c r="Z4418" s="79"/>
      <c r="AA4418" s="79" t="str">
        <f>IF(AND(MONTH(E4418)='IN-NX'!$J$5,'IN-NX'!$D$7=D4418),"x","")</f>
        <v/>
      </c>
      <c r="AB4418" s="79" t="str">
        <f>IF(AND(OR(LEFT(TH!N4418,2)="15",LEFT(TH!O4418,2)="15"),LEFT(TH!O4418,3)&lt;&gt;"111",'152-CT'!$J$8=TH!F4418),"x","")</f>
        <v/>
      </c>
      <c r="AC4418" s="79" t="str">
        <f>IF(AND(OR(LEFT(TH!N4418,2)="15",LEFT(TH!O4418,2)="15"),TK!$E$7=TH!F4418),"x","")</f>
        <v/>
      </c>
      <c r="AD4418" s="79" t="str">
        <f>IF(AND(N4418="1521",MONTH(C4418)='BK-NL'!$M$11),"x","")</f>
        <v/>
      </c>
    </row>
    <row r="4419" spans="1:30" ht="16.5" customHeight="1">
      <c r="A4419" s="318" t="str">
        <f>IF(B4419&lt;&gt;"",IF(AND(B4419='[3]IN-TC'!$S$4,OR([3]TH!N3650="1111",[3]TH!O3650="1111")),[3]TH!D3650,""),"")</f>
        <v/>
      </c>
      <c r="B4419" s="60" t="str">
        <f t="shared" si="472"/>
        <v/>
      </c>
      <c r="C4419" s="61"/>
      <c r="D4419" s="61"/>
      <c r="E4419" s="61"/>
      <c r="F4419" s="64"/>
      <c r="G4419" s="64"/>
      <c r="H4419" s="69"/>
      <c r="I4419" s="385"/>
      <c r="J4419" s="392"/>
      <c r="K4419" s="385"/>
      <c r="L4419" s="392"/>
      <c r="M4419" s="62"/>
      <c r="N4419" s="63"/>
      <c r="O4419" s="63"/>
      <c r="P4419" s="79" t="str">
        <f>IF(AND('331-CT'!$E$7=TH!H4419,OR(N4419="331",O4419="331")),"x","")</f>
        <v/>
      </c>
      <c r="Q4419" s="79" t="str">
        <f>IF(AND(B4419='111'!$L$11,OR($N4419=$Q$7,$O4419=$Q$7)),"x","")</f>
        <v/>
      </c>
      <c r="R4419" s="79" t="str">
        <f>IF(AND($N4419=$Q$7,$B4419&lt;'111'!$L$11),"x","")</f>
        <v/>
      </c>
      <c r="S4419" s="79" t="str">
        <f>IF(AND($O4419=$Q$7,$B4419&lt;'111'!$L$11),"x","")</f>
        <v/>
      </c>
      <c r="T4419" s="79" t="str">
        <f>IF(ISERROR(FIND('112'!$M$9,G4419,1)),"",IF((AND(FIND('112'!$M$9,G4419,1)&gt;=1,B4419='112'!$K$9,OR($N4419='112'!$I$6,$O4419='112'!$I$6))),"x",""))</f>
        <v/>
      </c>
      <c r="U4419" s="79" t="str">
        <f>IF(ISERROR(FIND('112'!$M$9,G4419,1)),"",IF((AND(LEFT(G4419,2)=LEFT('112'!$M$9,2),B4419&lt;'112'!$K$9,$N4419='112'!$I$6)),"x",""))</f>
        <v/>
      </c>
      <c r="V4419" s="79" t="str">
        <f>IF(ISERROR(FIND('112'!$M$9,G4419,1)),"",IF((AND(RIGHT(G4419,2)=RIGHT('112'!$M$9,2),B4419&lt;'112'!$K$9,$O4419='112'!$I$6)),"x",""))</f>
        <v/>
      </c>
      <c r="W4419" s="79" t="str">
        <f>IF(AND('341-CT'!$H$9=H4419,OR(LEFT(N4419,3)=$W$7,LEFT(O4419,3)=$W$7)),"x","")</f>
        <v/>
      </c>
      <c r="X4419" s="79" t="str">
        <f>IF(OR(TH!N4419=TH!$X$7,O4419=TH!$X$7),"x","")</f>
        <v/>
      </c>
      <c r="Y4419" s="79" t="str">
        <f>IF(AND(OR(N4419="131",O4419="131"),H4419='131-CT'!$H$9),"x","")</f>
        <v/>
      </c>
      <c r="Z4419" s="79"/>
      <c r="AA4419" s="79" t="str">
        <f>IF(AND(MONTH(E4419)='IN-NX'!$J$5,'IN-NX'!$D$7=D4419),"x","")</f>
        <v/>
      </c>
      <c r="AB4419" s="79" t="str">
        <f>IF(AND(OR(LEFT(TH!N4419,2)="15",LEFT(TH!O4419,2)="15"),LEFT(TH!O4419,3)&lt;&gt;"111",'152-CT'!$J$8=TH!F4419),"x","")</f>
        <v/>
      </c>
      <c r="AC4419" s="79" t="str">
        <f>IF(AND(OR(LEFT(TH!N4419,2)="15",LEFT(TH!O4419,2)="15"),TK!$E$7=TH!F4419),"x","")</f>
        <v/>
      </c>
      <c r="AD4419" s="79" t="str">
        <f>IF(AND(N4419="1521",MONTH(C4419)='BK-NL'!$M$11),"x","")</f>
        <v/>
      </c>
    </row>
    <row r="4420" spans="1:30" ht="16.5" customHeight="1">
      <c r="A4420" s="318" t="str">
        <f>IF(B4420&lt;&gt;"",IF(AND(B4420='[3]IN-TC'!$S$4,OR([3]TH!N3651="1111",[3]TH!O3651="1111")),[3]TH!D3651,""),"")</f>
        <v/>
      </c>
      <c r="B4420" s="60" t="str">
        <f t="shared" si="472"/>
        <v/>
      </c>
      <c r="C4420" s="61"/>
      <c r="D4420" s="61"/>
      <c r="E4420" s="61"/>
      <c r="F4420" s="64"/>
      <c r="G4420" s="64"/>
      <c r="H4420" s="321"/>
      <c r="I4420" s="385"/>
      <c r="J4420" s="392"/>
      <c r="K4420" s="385"/>
      <c r="L4420" s="392"/>
      <c r="M4420" s="62"/>
      <c r="N4420" s="63"/>
      <c r="O4420" s="63"/>
      <c r="P4420" s="79" t="str">
        <f>IF(AND('331-CT'!$E$7=TH!H4420,OR(N4420="331",O4420="331")),"x","")</f>
        <v/>
      </c>
      <c r="Q4420" s="79" t="str">
        <f>IF(AND(B4420='111'!$L$11,OR($N4420=$Q$7,$O4420=$Q$7)),"x","")</f>
        <v/>
      </c>
      <c r="R4420" s="79" t="str">
        <f>IF(AND($N4420=$Q$7,$B4420&lt;'111'!$L$11),"x","")</f>
        <v/>
      </c>
      <c r="S4420" s="79" t="str">
        <f>IF(AND($O4420=$Q$7,$B4420&lt;'111'!$L$11),"x","")</f>
        <v/>
      </c>
      <c r="T4420" s="79" t="str">
        <f>IF(ISERROR(FIND('112'!$M$9,G4420,1)),"",IF((AND(FIND('112'!$M$9,G4420,1)&gt;=1,B4420='112'!$K$9,OR($N4420='112'!$I$6,$O4420='112'!$I$6))),"x",""))</f>
        <v/>
      </c>
      <c r="U4420" s="79" t="str">
        <f>IF(ISERROR(FIND('112'!$M$9,G4420,1)),"",IF((AND(LEFT(G4420,2)=LEFT('112'!$M$9,2),B4420&lt;'112'!$K$9,$N4420='112'!$I$6)),"x",""))</f>
        <v/>
      </c>
      <c r="V4420" s="79" t="str">
        <f>IF(ISERROR(FIND('112'!$M$9,G4420,1)),"",IF((AND(RIGHT(G4420,2)=RIGHT('112'!$M$9,2),B4420&lt;'112'!$K$9,$O4420='112'!$I$6)),"x",""))</f>
        <v/>
      </c>
      <c r="W4420" s="79" t="str">
        <f>IF(AND('341-CT'!$H$9=H4420,OR(LEFT(N4420,3)=$W$7,LEFT(O4420,3)=$W$7)),"x","")</f>
        <v/>
      </c>
      <c r="X4420" s="79" t="str">
        <f>IF(OR(TH!N4420=TH!$X$7,O4420=TH!$X$7),"x","")</f>
        <v/>
      </c>
      <c r="Y4420" s="79" t="str">
        <f>IF(AND(OR(N4420="131",O4420="131"),H4420='131-CT'!$H$9),"x","")</f>
        <v/>
      </c>
      <c r="Z4420" s="79"/>
      <c r="AA4420" s="79" t="str">
        <f>IF(AND(MONTH(E4420)='IN-NX'!$J$5,'IN-NX'!$D$7=D4420),"x","")</f>
        <v/>
      </c>
      <c r="AB4420" s="79" t="str">
        <f>IF(AND(OR(LEFT(TH!N4420,2)="15",LEFT(TH!O4420,2)="15"),LEFT(TH!O4420,3)&lt;&gt;"111",'152-CT'!$J$8=TH!F4420),"x","")</f>
        <v/>
      </c>
      <c r="AC4420" s="79" t="str">
        <f>IF(AND(OR(LEFT(TH!N4420,2)="15",LEFT(TH!O4420,2)="15"),TK!$E$7=TH!F4420),"x","")</f>
        <v/>
      </c>
      <c r="AD4420" s="79" t="str">
        <f>IF(AND(N4420="1521",MONTH(C4420)='BK-NL'!$M$11),"x","")</f>
        <v/>
      </c>
    </row>
    <row r="4421" spans="1:30" ht="16.5" customHeight="1">
      <c r="A4421" s="318" t="str">
        <f>IF(B4421&lt;&gt;"",IF(AND(B4421='[3]IN-TC'!$S$4,OR([3]TH!N3652="1111",[3]TH!O3652="1111")),[3]TH!D3652,""),"")</f>
        <v/>
      </c>
      <c r="B4421" s="60" t="str">
        <f t="shared" si="472"/>
        <v/>
      </c>
      <c r="C4421" s="61"/>
      <c r="D4421" s="61"/>
      <c r="E4421" s="61"/>
      <c r="F4421" s="64"/>
      <c r="G4421" s="64"/>
      <c r="H4421" s="321"/>
      <c r="I4421" s="385"/>
      <c r="J4421" s="392"/>
      <c r="K4421" s="385"/>
      <c r="L4421" s="392"/>
      <c r="M4421" s="62"/>
      <c r="N4421" s="63"/>
      <c r="O4421" s="63"/>
      <c r="P4421" s="79" t="str">
        <f>IF(AND('331-CT'!$E$7=TH!H4421,OR(N4421="331",O4421="331")),"x","")</f>
        <v/>
      </c>
      <c r="Q4421" s="79" t="str">
        <f>IF(AND(B4421='111'!$L$11,OR($N4421=$Q$7,$O4421=$Q$7)),"x","")</f>
        <v/>
      </c>
      <c r="R4421" s="79" t="str">
        <f>IF(AND($N4421=$Q$7,$B4421&lt;'111'!$L$11),"x","")</f>
        <v/>
      </c>
      <c r="S4421" s="79" t="str">
        <f>IF(AND($O4421=$Q$7,$B4421&lt;'111'!$L$11),"x","")</f>
        <v/>
      </c>
      <c r="T4421" s="79" t="str">
        <f>IF(ISERROR(FIND('112'!$M$9,G4421,1)),"",IF((AND(FIND('112'!$M$9,G4421,1)&gt;=1,B4421='112'!$K$9,OR($N4421='112'!$I$6,$O4421='112'!$I$6))),"x",""))</f>
        <v/>
      </c>
      <c r="U4421" s="79" t="str">
        <f>IF(ISERROR(FIND('112'!$M$9,G4421,1)),"",IF((AND(LEFT(G4421,2)=LEFT('112'!$M$9,2),B4421&lt;'112'!$K$9,$N4421='112'!$I$6)),"x",""))</f>
        <v/>
      </c>
      <c r="V4421" s="79" t="str">
        <f>IF(ISERROR(FIND('112'!$M$9,G4421,1)),"",IF((AND(RIGHT(G4421,2)=RIGHT('112'!$M$9,2),B4421&lt;'112'!$K$9,$O4421='112'!$I$6)),"x",""))</f>
        <v/>
      </c>
      <c r="W4421" s="79" t="str">
        <f>IF(AND('341-CT'!$H$9=H4421,OR(LEFT(N4421,3)=$W$7,LEFT(O4421,3)=$W$7)),"x","")</f>
        <v/>
      </c>
      <c r="X4421" s="79" t="str">
        <f>IF(OR(TH!N4421=TH!$X$7,O4421=TH!$X$7),"x","")</f>
        <v/>
      </c>
      <c r="Y4421" s="79" t="str">
        <f>IF(AND(OR(N4421="131",O4421="131"),H4421='131-CT'!$H$9),"x","")</f>
        <v/>
      </c>
      <c r="Z4421" s="79"/>
      <c r="AA4421" s="79" t="str">
        <f>IF(AND(MONTH(E4421)='IN-NX'!$J$5,'IN-NX'!$D$7=D4421),"x","")</f>
        <v/>
      </c>
      <c r="AB4421" s="79" t="str">
        <f>IF(AND(OR(LEFT(TH!N4421,2)="15",LEFT(TH!O4421,2)="15"),LEFT(TH!O4421,3)&lt;&gt;"111",'152-CT'!$J$8=TH!F4421),"x","")</f>
        <v/>
      </c>
      <c r="AC4421" s="79" t="str">
        <f>IF(AND(OR(LEFT(TH!N4421,2)="15",LEFT(TH!O4421,2)="15"),TK!$E$7=TH!F4421),"x","")</f>
        <v/>
      </c>
      <c r="AD4421" s="79" t="str">
        <f>IF(AND(N4421="1521",MONTH(C4421)='BK-NL'!$M$11),"x","")</f>
        <v/>
      </c>
    </row>
    <row r="4422" spans="1:30" ht="16.5" customHeight="1">
      <c r="A4422" s="318" t="str">
        <f>IF(B4422&lt;&gt;"",IF(AND(B4422='[3]IN-TC'!$S$4,OR([3]TH!N3653="1111",[3]TH!O3653="1111")),[3]TH!D3653,""),"")</f>
        <v/>
      </c>
      <c r="B4422" s="60" t="str">
        <f t="shared" si="472"/>
        <v/>
      </c>
      <c r="C4422" s="61"/>
      <c r="D4422" s="61"/>
      <c r="E4422" s="61"/>
      <c r="F4422" s="64"/>
      <c r="G4422" s="64"/>
      <c r="H4422" s="69"/>
      <c r="I4422" s="385"/>
      <c r="J4422" s="392"/>
      <c r="K4422" s="385"/>
      <c r="L4422" s="392"/>
      <c r="M4422" s="62"/>
      <c r="N4422" s="63"/>
      <c r="O4422" s="63"/>
      <c r="P4422" s="79" t="str">
        <f>IF(AND('331-CT'!$E$7=TH!H4422,OR(N4422="331",O4422="331")),"x","")</f>
        <v/>
      </c>
      <c r="Q4422" s="79" t="str">
        <f>IF(AND(B4422='111'!$L$11,OR($N4422=$Q$7,$O4422=$Q$7)),"x","")</f>
        <v/>
      </c>
      <c r="R4422" s="79" t="str">
        <f>IF(AND($N4422=$Q$7,$B4422&lt;'111'!$L$11),"x","")</f>
        <v/>
      </c>
      <c r="S4422" s="79" t="str">
        <f>IF(AND($O4422=$Q$7,$B4422&lt;'111'!$L$11),"x","")</f>
        <v/>
      </c>
      <c r="T4422" s="79" t="str">
        <f>IF(ISERROR(FIND('112'!$M$9,G4422,1)),"",IF((AND(FIND('112'!$M$9,G4422,1)&gt;=1,B4422='112'!$K$9,OR($N4422='112'!$I$6,$O4422='112'!$I$6))),"x",""))</f>
        <v/>
      </c>
      <c r="U4422" s="79" t="str">
        <f>IF(ISERROR(FIND('112'!$M$9,G4422,1)),"",IF((AND(LEFT(G4422,2)=LEFT('112'!$M$9,2),B4422&lt;'112'!$K$9,$N4422='112'!$I$6)),"x",""))</f>
        <v/>
      </c>
      <c r="V4422" s="79" t="str">
        <f>IF(ISERROR(FIND('112'!$M$9,G4422,1)),"",IF((AND(RIGHT(G4422,2)=RIGHT('112'!$M$9,2),B4422&lt;'112'!$K$9,$O4422='112'!$I$6)),"x",""))</f>
        <v/>
      </c>
      <c r="W4422" s="79" t="str">
        <f>IF(AND('341-CT'!$H$9=H4422,OR(LEFT(N4422,3)=$W$7,LEFT(O4422,3)=$W$7)),"x","")</f>
        <v/>
      </c>
      <c r="X4422" s="79" t="str">
        <f>IF(OR(TH!N4422=TH!$X$7,O4422=TH!$X$7),"x","")</f>
        <v/>
      </c>
      <c r="Y4422" s="79" t="str">
        <f>IF(AND(OR(N4422="131",O4422="131"),H4422='131-CT'!$H$9),"x","")</f>
        <v/>
      </c>
      <c r="Z4422" s="79"/>
      <c r="AA4422" s="79" t="str">
        <f>IF(AND(MONTH(E4422)='IN-NX'!$J$5,'IN-NX'!$D$7=D4422),"x","")</f>
        <v/>
      </c>
      <c r="AB4422" s="79" t="str">
        <f>IF(AND(OR(LEFT(TH!N4422,2)="15",LEFT(TH!O4422,2)="15"),LEFT(TH!O4422,3)&lt;&gt;"111",'152-CT'!$J$8=TH!F4422),"x","")</f>
        <v/>
      </c>
      <c r="AC4422" s="79" t="str">
        <f>IF(AND(OR(LEFT(TH!N4422,2)="15",LEFT(TH!O4422,2)="15"),TK!$E$7=TH!F4422),"x","")</f>
        <v/>
      </c>
      <c r="AD4422" s="79" t="str">
        <f>IF(AND(N4422="1521",MONTH(C4422)='BK-NL'!$M$11),"x","")</f>
        <v/>
      </c>
    </row>
    <row r="4423" spans="1:30" ht="16.5" customHeight="1">
      <c r="A4423" s="318" t="str">
        <f>IF(B4423&lt;&gt;"",IF(AND(B4423='[3]IN-TC'!$S$4,OR([3]TH!N3654="1111",[3]TH!O3654="1111")),[3]TH!D3654,""),"")</f>
        <v/>
      </c>
      <c r="B4423" s="60" t="str">
        <f t="shared" si="472"/>
        <v/>
      </c>
      <c r="C4423" s="61"/>
      <c r="D4423" s="61"/>
      <c r="E4423" s="61"/>
      <c r="F4423" s="64"/>
      <c r="G4423" s="64"/>
      <c r="H4423" s="321"/>
      <c r="I4423" s="385"/>
      <c r="J4423" s="392"/>
      <c r="K4423" s="385"/>
      <c r="L4423" s="392"/>
      <c r="M4423" s="62"/>
      <c r="N4423" s="63"/>
      <c r="O4423" s="63"/>
      <c r="P4423" s="79" t="str">
        <f>IF(AND('331-CT'!$E$7=TH!H4423,OR(N4423="331",O4423="331")),"x","")</f>
        <v/>
      </c>
      <c r="Q4423" s="79" t="str">
        <f>IF(AND(B4423='111'!$L$11,OR($N4423=$Q$7,$O4423=$Q$7)),"x","")</f>
        <v/>
      </c>
      <c r="R4423" s="79" t="str">
        <f>IF(AND($N4423=$Q$7,$B4423&lt;'111'!$L$11),"x","")</f>
        <v/>
      </c>
      <c r="S4423" s="79" t="str">
        <f>IF(AND($O4423=$Q$7,$B4423&lt;'111'!$L$11),"x","")</f>
        <v/>
      </c>
      <c r="T4423" s="79" t="str">
        <f>IF(ISERROR(FIND('112'!$M$9,G4423,1)),"",IF((AND(FIND('112'!$M$9,G4423,1)&gt;=1,B4423='112'!$K$9,OR($N4423='112'!$I$6,$O4423='112'!$I$6))),"x",""))</f>
        <v/>
      </c>
      <c r="U4423" s="79" t="str">
        <f>IF(ISERROR(FIND('112'!$M$9,G4423,1)),"",IF((AND(LEFT(G4423,2)=LEFT('112'!$M$9,2),B4423&lt;'112'!$K$9,$N4423='112'!$I$6)),"x",""))</f>
        <v/>
      </c>
      <c r="V4423" s="79" t="str">
        <f>IF(ISERROR(FIND('112'!$M$9,G4423,1)),"",IF((AND(RIGHT(G4423,2)=RIGHT('112'!$M$9,2),B4423&lt;'112'!$K$9,$O4423='112'!$I$6)),"x",""))</f>
        <v/>
      </c>
      <c r="W4423" s="79" t="str">
        <f>IF(AND('341-CT'!$H$9=H4423,OR(LEFT(N4423,3)=$W$7,LEFT(O4423,3)=$W$7)),"x","")</f>
        <v/>
      </c>
      <c r="X4423" s="79" t="str">
        <f>IF(OR(TH!N4423=TH!$X$7,O4423=TH!$X$7),"x","")</f>
        <v/>
      </c>
      <c r="Y4423" s="79" t="str">
        <f>IF(AND(OR(N4423="131",O4423="131"),H4423='131-CT'!$H$9),"x","")</f>
        <v/>
      </c>
      <c r="Z4423" s="79"/>
      <c r="AA4423" s="79" t="str">
        <f>IF(AND(MONTH(E4423)='IN-NX'!$J$5,'IN-NX'!$D$7=D4423),"x","")</f>
        <v/>
      </c>
      <c r="AB4423" s="79" t="str">
        <f>IF(AND(OR(LEFT(TH!N4423,2)="15",LEFT(TH!O4423,2)="15"),LEFT(TH!O4423,3)&lt;&gt;"111",'152-CT'!$J$8=TH!F4423),"x","")</f>
        <v/>
      </c>
      <c r="AC4423" s="79" t="str">
        <f>IF(AND(OR(LEFT(TH!N4423,2)="15",LEFT(TH!O4423,2)="15"),TK!$E$7=TH!F4423),"x","")</f>
        <v/>
      </c>
      <c r="AD4423" s="79" t="str">
        <f>IF(AND(N4423="1521",MONTH(C4423)='BK-NL'!$M$11),"x","")</f>
        <v/>
      </c>
    </row>
    <row r="4424" spans="1:30" ht="16.5" customHeight="1">
      <c r="A4424" s="318" t="str">
        <f>IF(B4424&lt;&gt;"",IF(AND(B4424='[3]IN-TC'!$S$4,OR([3]TH!N3655="1111",[3]TH!O3655="1111")),[3]TH!D3655,""),"")</f>
        <v/>
      </c>
      <c r="B4424" s="60" t="str">
        <f t="shared" si="472"/>
        <v/>
      </c>
      <c r="C4424" s="61"/>
      <c r="D4424" s="61"/>
      <c r="E4424" s="61"/>
      <c r="F4424" s="64"/>
      <c r="G4424" s="64"/>
      <c r="H4424" s="321"/>
      <c r="I4424" s="385"/>
      <c r="J4424" s="392"/>
      <c r="K4424" s="385"/>
      <c r="L4424" s="392"/>
      <c r="M4424" s="62"/>
      <c r="N4424" s="63"/>
      <c r="O4424" s="63"/>
      <c r="P4424" s="79" t="str">
        <f>IF(AND('331-CT'!$E$7=TH!H4424,OR(N4424="331",O4424="331")),"x","")</f>
        <v/>
      </c>
      <c r="Q4424" s="79" t="str">
        <f>IF(AND(B4424='111'!$L$11,OR($N4424=$Q$7,$O4424=$Q$7)),"x","")</f>
        <v/>
      </c>
      <c r="R4424" s="79" t="str">
        <f>IF(AND($N4424=$Q$7,$B4424&lt;'111'!$L$11),"x","")</f>
        <v/>
      </c>
      <c r="S4424" s="79" t="str">
        <f>IF(AND($O4424=$Q$7,$B4424&lt;'111'!$L$11),"x","")</f>
        <v/>
      </c>
      <c r="T4424" s="79" t="str">
        <f>IF(ISERROR(FIND('112'!$M$9,G4424,1)),"",IF((AND(FIND('112'!$M$9,G4424,1)&gt;=1,B4424='112'!$K$9,OR($N4424='112'!$I$6,$O4424='112'!$I$6))),"x",""))</f>
        <v/>
      </c>
      <c r="U4424" s="79" t="str">
        <f>IF(ISERROR(FIND('112'!$M$9,G4424,1)),"",IF((AND(LEFT(G4424,2)=LEFT('112'!$M$9,2),B4424&lt;'112'!$K$9,$N4424='112'!$I$6)),"x",""))</f>
        <v/>
      </c>
      <c r="V4424" s="79" t="str">
        <f>IF(ISERROR(FIND('112'!$M$9,G4424,1)),"",IF((AND(RIGHT(G4424,2)=RIGHT('112'!$M$9,2),B4424&lt;'112'!$K$9,$O4424='112'!$I$6)),"x",""))</f>
        <v/>
      </c>
      <c r="W4424" s="79" t="str">
        <f>IF(AND('341-CT'!$H$9=H4424,OR(LEFT(N4424,3)=$W$7,LEFT(O4424,3)=$W$7)),"x","")</f>
        <v/>
      </c>
      <c r="X4424" s="79" t="str">
        <f>IF(OR(TH!N4424=TH!$X$7,O4424=TH!$X$7),"x","")</f>
        <v/>
      </c>
      <c r="Y4424" s="79" t="str">
        <f>IF(AND(OR(N4424="131",O4424="131"),H4424='131-CT'!$H$9),"x","")</f>
        <v/>
      </c>
      <c r="Z4424" s="79"/>
      <c r="AA4424" s="79" t="str">
        <f>IF(AND(MONTH(E4424)='IN-NX'!$J$5,'IN-NX'!$D$7=D4424),"x","")</f>
        <v/>
      </c>
      <c r="AB4424" s="79" t="str">
        <f>IF(AND(OR(LEFT(TH!N4424,2)="15",LEFT(TH!O4424,2)="15"),LEFT(TH!O4424,3)&lt;&gt;"111",'152-CT'!$J$8=TH!F4424),"x","")</f>
        <v/>
      </c>
      <c r="AC4424" s="79" t="str">
        <f>IF(AND(OR(LEFT(TH!N4424,2)="15",LEFT(TH!O4424,2)="15"),TK!$E$7=TH!F4424),"x","")</f>
        <v/>
      </c>
      <c r="AD4424" s="79" t="str">
        <f>IF(AND(N4424="1521",MONTH(C4424)='BK-NL'!$M$11),"x","")</f>
        <v/>
      </c>
    </row>
    <row r="4425" spans="1:30" ht="16.5" customHeight="1">
      <c r="A4425" s="318" t="str">
        <f>IF(B4425&lt;&gt;"",IF(AND(B4425='[3]IN-TC'!$S$4,OR([3]TH!N3656="1111",[3]TH!O3656="1111")),[3]TH!D3656,""),"")</f>
        <v/>
      </c>
      <c r="B4425" s="60" t="str">
        <f t="shared" si="472"/>
        <v/>
      </c>
      <c r="C4425" s="61"/>
      <c r="D4425" s="61"/>
      <c r="E4425" s="61"/>
      <c r="F4425" s="64"/>
      <c r="G4425" s="64"/>
      <c r="H4425" s="303"/>
      <c r="I4425" s="385"/>
      <c r="J4425" s="392"/>
      <c r="K4425" s="385"/>
      <c r="L4425" s="392"/>
      <c r="M4425" s="62"/>
      <c r="N4425" s="63"/>
      <c r="O4425" s="63"/>
      <c r="P4425" s="79" t="str">
        <f>IF(AND('331-CT'!$E$7=TH!H4425,OR(N4425="331",O4425="331")),"x","")</f>
        <v/>
      </c>
      <c r="Q4425" s="79" t="str">
        <f>IF(AND(B4425='111'!$L$11,OR($N4425=$Q$7,$O4425=$Q$7)),"x","")</f>
        <v/>
      </c>
      <c r="R4425" s="79" t="str">
        <f>IF(AND($N4425=$Q$7,$B4425&lt;'111'!$L$11),"x","")</f>
        <v/>
      </c>
      <c r="S4425" s="79" t="str">
        <f>IF(AND($O4425=$Q$7,$B4425&lt;'111'!$L$11),"x","")</f>
        <v/>
      </c>
      <c r="T4425" s="79" t="str">
        <f>IF(ISERROR(FIND('112'!$M$9,G4425,1)),"",IF((AND(FIND('112'!$M$9,G4425,1)&gt;=1,B4425='112'!$K$9,OR($N4425='112'!$I$6,$O4425='112'!$I$6))),"x",""))</f>
        <v/>
      </c>
      <c r="U4425" s="79" t="str">
        <f>IF(ISERROR(FIND('112'!$M$9,G4425,1)),"",IF((AND(LEFT(G4425,2)=LEFT('112'!$M$9,2),B4425&lt;'112'!$K$9,$N4425='112'!$I$6)),"x",""))</f>
        <v/>
      </c>
      <c r="V4425" s="79" t="str">
        <f>IF(ISERROR(FIND('112'!$M$9,G4425,1)),"",IF((AND(RIGHT(G4425,2)=RIGHT('112'!$M$9,2),B4425&lt;'112'!$K$9,$O4425='112'!$I$6)),"x",""))</f>
        <v/>
      </c>
      <c r="W4425" s="79" t="str">
        <f>IF(AND('341-CT'!$H$9=H4425,OR(LEFT(N4425,3)=$W$7,LEFT(O4425,3)=$W$7)),"x","")</f>
        <v/>
      </c>
      <c r="X4425" s="79" t="str">
        <f>IF(OR(TH!N4425=TH!$X$7,O4425=TH!$X$7),"x","")</f>
        <v/>
      </c>
      <c r="Y4425" s="79" t="str">
        <f>IF(AND(OR(N4425="131",O4425="131"),H4425='131-CT'!$H$9),"x","")</f>
        <v/>
      </c>
      <c r="Z4425" s="79"/>
      <c r="AA4425" s="79" t="str">
        <f>IF(AND(MONTH(E4425)='IN-NX'!$J$5,'IN-NX'!$D$7=D4425),"x","")</f>
        <v/>
      </c>
      <c r="AB4425" s="79" t="str">
        <f>IF(AND(OR(LEFT(TH!N4425,2)="15",LEFT(TH!O4425,2)="15"),LEFT(TH!O4425,3)&lt;&gt;"111",'152-CT'!$J$8=TH!F4425),"x","")</f>
        <v/>
      </c>
      <c r="AC4425" s="79" t="str">
        <f>IF(AND(OR(LEFT(TH!N4425,2)="15",LEFT(TH!O4425,2)="15"),TK!$E$7=TH!F4425),"x","")</f>
        <v/>
      </c>
      <c r="AD4425" s="79" t="str">
        <f>IF(AND(N4425="1521",MONTH(C4425)='BK-NL'!$M$11),"x","")</f>
        <v/>
      </c>
    </row>
    <row r="4426" spans="1:30" ht="16.5" customHeight="1">
      <c r="A4426" s="318" t="str">
        <f>IF(B4426&lt;&gt;"",IF(AND(B4426='[3]IN-TC'!$S$4,OR([3]TH!N3657="1111",[3]TH!O3657="1111")),[3]TH!D3657,""),"")</f>
        <v/>
      </c>
      <c r="B4426" s="60" t="str">
        <f t="shared" si="472"/>
        <v/>
      </c>
      <c r="C4426" s="61"/>
      <c r="D4426" s="61"/>
      <c r="E4426" s="61"/>
      <c r="F4426" s="64"/>
      <c r="G4426" s="64"/>
      <c r="H4426" s="321"/>
      <c r="I4426" s="385"/>
      <c r="J4426" s="392"/>
      <c r="K4426" s="385"/>
      <c r="L4426" s="392"/>
      <c r="M4426" s="62"/>
      <c r="N4426" s="63"/>
      <c r="O4426" s="63"/>
      <c r="P4426" s="79" t="str">
        <f>IF(AND('331-CT'!$E$7=TH!H4426,OR(N4426="331",O4426="331")),"x","")</f>
        <v/>
      </c>
      <c r="Q4426" s="79" t="str">
        <f>IF(AND(B4426='111'!$L$11,OR($N4426=$Q$7,$O4426=$Q$7)),"x","")</f>
        <v/>
      </c>
      <c r="R4426" s="79" t="str">
        <f>IF(AND($N4426=$Q$7,$B4426&lt;'111'!$L$11),"x","")</f>
        <v/>
      </c>
      <c r="S4426" s="79" t="str">
        <f>IF(AND($O4426=$Q$7,$B4426&lt;'111'!$L$11),"x","")</f>
        <v/>
      </c>
      <c r="T4426" s="79" t="str">
        <f>IF(ISERROR(FIND('112'!$M$9,G4426,1)),"",IF((AND(FIND('112'!$M$9,G4426,1)&gt;=1,B4426='112'!$K$9,OR($N4426='112'!$I$6,$O4426='112'!$I$6))),"x",""))</f>
        <v/>
      </c>
      <c r="U4426" s="79" t="str">
        <f>IF(ISERROR(FIND('112'!$M$9,G4426,1)),"",IF((AND(LEFT(G4426,2)=LEFT('112'!$M$9,2),B4426&lt;'112'!$K$9,$N4426='112'!$I$6)),"x",""))</f>
        <v/>
      </c>
      <c r="V4426" s="79" t="str">
        <f>IF(ISERROR(FIND('112'!$M$9,G4426,1)),"",IF((AND(RIGHT(G4426,2)=RIGHT('112'!$M$9,2),B4426&lt;'112'!$K$9,$O4426='112'!$I$6)),"x",""))</f>
        <v/>
      </c>
      <c r="W4426" s="79" t="str">
        <f>IF(AND('341-CT'!$H$9=H4426,OR(LEFT(N4426,3)=$W$7,LEFT(O4426,3)=$W$7)),"x","")</f>
        <v/>
      </c>
      <c r="X4426" s="79" t="str">
        <f>IF(OR(TH!N4426=TH!$X$7,O4426=TH!$X$7),"x","")</f>
        <v/>
      </c>
      <c r="Y4426" s="79" t="str">
        <f>IF(AND(OR(N4426="131",O4426="131"),H4426='131-CT'!$H$9),"x","")</f>
        <v/>
      </c>
      <c r="Z4426" s="79"/>
      <c r="AA4426" s="79" t="str">
        <f>IF(AND(MONTH(E4426)='IN-NX'!$J$5,'IN-NX'!$D$7=D4426),"x","")</f>
        <v/>
      </c>
      <c r="AB4426" s="79" t="str">
        <f>IF(AND(OR(LEFT(TH!N4426,2)="15",LEFT(TH!O4426,2)="15"),LEFT(TH!O4426,3)&lt;&gt;"111",'152-CT'!$J$8=TH!F4426),"x","")</f>
        <v/>
      </c>
      <c r="AC4426" s="79" t="str">
        <f>IF(AND(OR(LEFT(TH!N4426,2)="15",LEFT(TH!O4426,2)="15"),TK!$E$7=TH!F4426),"x","")</f>
        <v/>
      </c>
      <c r="AD4426" s="79" t="str">
        <f>IF(AND(N4426="1521",MONTH(C4426)='BK-NL'!$M$11),"x","")</f>
        <v/>
      </c>
    </row>
    <row r="4427" spans="1:30" ht="16.5" customHeight="1">
      <c r="A4427" s="318" t="str">
        <f>IF(B4427&lt;&gt;"",IF(AND(B4427='[3]IN-TC'!$S$4,OR([3]TH!N3658="1111",[3]TH!O3658="1111")),[3]TH!D3658,""),"")</f>
        <v/>
      </c>
      <c r="B4427" s="60" t="str">
        <f t="shared" si="472"/>
        <v/>
      </c>
      <c r="C4427" s="61"/>
      <c r="D4427" s="61"/>
      <c r="E4427" s="61"/>
      <c r="F4427" s="64"/>
      <c r="G4427" s="64"/>
      <c r="H4427" s="321"/>
      <c r="I4427" s="385"/>
      <c r="J4427" s="392"/>
      <c r="K4427" s="385"/>
      <c r="L4427" s="392"/>
      <c r="M4427" s="62"/>
      <c r="N4427" s="63"/>
      <c r="O4427" s="63"/>
      <c r="P4427" s="79" t="str">
        <f>IF(AND('331-CT'!$E$7=TH!H4427,OR(N4427="331",O4427="331")),"x","")</f>
        <v/>
      </c>
      <c r="Q4427" s="79" t="str">
        <f>IF(AND(B4427='111'!$L$11,OR($N4427=$Q$7,$O4427=$Q$7)),"x","")</f>
        <v/>
      </c>
      <c r="R4427" s="79" t="str">
        <f>IF(AND($N4427=$Q$7,$B4427&lt;'111'!$L$11),"x","")</f>
        <v/>
      </c>
      <c r="S4427" s="79" t="str">
        <f>IF(AND($O4427=$Q$7,$B4427&lt;'111'!$L$11),"x","")</f>
        <v/>
      </c>
      <c r="T4427" s="79" t="str">
        <f>IF(ISERROR(FIND('112'!$M$9,G4427,1)),"",IF((AND(FIND('112'!$M$9,G4427,1)&gt;=1,B4427='112'!$K$9,OR($N4427='112'!$I$6,$O4427='112'!$I$6))),"x",""))</f>
        <v/>
      </c>
      <c r="U4427" s="79" t="str">
        <f>IF(ISERROR(FIND('112'!$M$9,G4427,1)),"",IF((AND(LEFT(G4427,2)=LEFT('112'!$M$9,2),B4427&lt;'112'!$K$9,$N4427='112'!$I$6)),"x",""))</f>
        <v/>
      </c>
      <c r="V4427" s="79" t="str">
        <f>IF(ISERROR(FIND('112'!$M$9,G4427,1)),"",IF((AND(RIGHT(G4427,2)=RIGHT('112'!$M$9,2),B4427&lt;'112'!$K$9,$O4427='112'!$I$6)),"x",""))</f>
        <v/>
      </c>
      <c r="W4427" s="79" t="str">
        <f>IF(AND('341-CT'!$H$9=H4427,OR(LEFT(N4427,3)=$W$7,LEFT(O4427,3)=$W$7)),"x","")</f>
        <v/>
      </c>
      <c r="X4427" s="79" t="str">
        <f>IF(OR(TH!N4427=TH!$X$7,O4427=TH!$X$7),"x","")</f>
        <v/>
      </c>
      <c r="Y4427" s="79" t="str">
        <f>IF(AND(OR(N4427="131",O4427="131"),H4427='131-CT'!$H$9),"x","")</f>
        <v/>
      </c>
      <c r="Z4427" s="79"/>
      <c r="AA4427" s="79" t="str">
        <f>IF(AND(MONTH(E4427)='IN-NX'!$J$5,'IN-NX'!$D$7=D4427),"x","")</f>
        <v/>
      </c>
      <c r="AB4427" s="79" t="str">
        <f>IF(AND(OR(LEFT(TH!N4427,2)="15",LEFT(TH!O4427,2)="15"),LEFT(TH!O4427,3)&lt;&gt;"111",'152-CT'!$J$8=TH!F4427),"x","")</f>
        <v/>
      </c>
      <c r="AC4427" s="79" t="str">
        <f>IF(AND(OR(LEFT(TH!N4427,2)="15",LEFT(TH!O4427,2)="15"),TK!$E$7=TH!F4427),"x","")</f>
        <v/>
      </c>
      <c r="AD4427" s="79" t="str">
        <f>IF(AND(N4427="1521",MONTH(C4427)='BK-NL'!$M$11),"x","")</f>
        <v/>
      </c>
    </row>
    <row r="4428" spans="1:30" ht="16.5" customHeight="1">
      <c r="A4428" s="318" t="str">
        <f>IF(B4428&lt;&gt;"",IF(AND(B4428='[3]IN-TC'!$S$4,OR([3]TH!N3659="1111",[3]TH!O3659="1111")),[3]TH!D3659,""),"")</f>
        <v/>
      </c>
      <c r="B4428" s="60" t="str">
        <f t="shared" si="472"/>
        <v/>
      </c>
      <c r="C4428" s="61"/>
      <c r="D4428" s="61"/>
      <c r="E4428" s="61"/>
      <c r="F4428" s="64"/>
      <c r="G4428" s="64"/>
      <c r="H4428" s="72"/>
      <c r="I4428" s="385"/>
      <c r="J4428" s="392"/>
      <c r="K4428" s="385"/>
      <c r="L4428" s="392"/>
      <c r="M4428" s="62"/>
      <c r="N4428" s="63"/>
      <c r="O4428" s="63"/>
      <c r="P4428" s="79" t="str">
        <f>IF(AND('331-CT'!$E$7=TH!H4428,OR(N4428="331",O4428="331")),"x","")</f>
        <v/>
      </c>
      <c r="Q4428" s="79" t="str">
        <f>IF(AND(B4428='111'!$L$11,OR($N4428=$Q$7,$O4428=$Q$7)),"x","")</f>
        <v/>
      </c>
      <c r="R4428" s="79" t="str">
        <f>IF(AND($N4428=$Q$7,$B4428&lt;'111'!$L$11),"x","")</f>
        <v/>
      </c>
      <c r="S4428" s="79" t="str">
        <f>IF(AND($O4428=$Q$7,$B4428&lt;'111'!$L$11),"x","")</f>
        <v/>
      </c>
      <c r="T4428" s="79" t="str">
        <f>IF(ISERROR(FIND('112'!$M$9,G4428,1)),"",IF((AND(FIND('112'!$M$9,G4428,1)&gt;=1,B4428='112'!$K$9,OR($N4428='112'!$I$6,$O4428='112'!$I$6))),"x",""))</f>
        <v/>
      </c>
      <c r="U4428" s="79" t="str">
        <f>IF(ISERROR(FIND('112'!$M$9,G4428,1)),"",IF((AND(LEFT(G4428,2)=LEFT('112'!$M$9,2),B4428&lt;'112'!$K$9,$N4428='112'!$I$6)),"x",""))</f>
        <v/>
      </c>
      <c r="V4428" s="79" t="str">
        <f>IF(ISERROR(FIND('112'!$M$9,G4428,1)),"",IF((AND(RIGHT(G4428,2)=RIGHT('112'!$M$9,2),B4428&lt;'112'!$K$9,$O4428='112'!$I$6)),"x",""))</f>
        <v/>
      </c>
      <c r="W4428" s="79" t="str">
        <f>IF(AND('341-CT'!$H$9=H4428,OR(LEFT(N4428,3)=$W$7,LEFT(O4428,3)=$W$7)),"x","")</f>
        <v/>
      </c>
      <c r="X4428" s="79" t="str">
        <f>IF(OR(TH!N4428=TH!$X$7,O4428=TH!$X$7),"x","")</f>
        <v/>
      </c>
      <c r="Y4428" s="79" t="str">
        <f>IF(AND(OR(N4428="131",O4428="131"),H4428='131-CT'!$H$9),"x","")</f>
        <v/>
      </c>
      <c r="Z4428" s="79"/>
      <c r="AA4428" s="79" t="str">
        <f>IF(AND(MONTH(E4428)='IN-NX'!$J$5,'IN-NX'!$D$7=D4428),"x","")</f>
        <v/>
      </c>
      <c r="AB4428" s="79" t="str">
        <f>IF(AND(OR(LEFT(TH!N4428,2)="15",LEFT(TH!O4428,2)="15"),LEFT(TH!O4428,3)&lt;&gt;"111",'152-CT'!$J$8=TH!F4428),"x","")</f>
        <v/>
      </c>
      <c r="AC4428" s="79" t="str">
        <f>IF(AND(OR(LEFT(TH!N4428,2)="15",LEFT(TH!O4428,2)="15"),TK!$E$7=TH!F4428),"x","")</f>
        <v/>
      </c>
      <c r="AD4428" s="79" t="str">
        <f>IF(AND(N4428="1521",MONTH(C4428)='BK-NL'!$M$11),"x","")</f>
        <v/>
      </c>
    </row>
    <row r="4429" spans="1:30" ht="16.5" customHeight="1">
      <c r="A4429" s="318" t="str">
        <f>IF(B4429&lt;&gt;"",IF(AND(B4429='[3]IN-TC'!$S$4,OR([3]TH!N3660="1111",[3]TH!O3660="1111")),[3]TH!D3660,""),"")</f>
        <v/>
      </c>
      <c r="B4429" s="60" t="str">
        <f t="shared" si="472"/>
        <v/>
      </c>
      <c r="C4429" s="61"/>
      <c r="D4429" s="61"/>
      <c r="E4429" s="61"/>
      <c r="F4429" s="64"/>
      <c r="G4429" s="64"/>
      <c r="H4429" s="321"/>
      <c r="I4429" s="385"/>
      <c r="J4429" s="392"/>
      <c r="K4429" s="385"/>
      <c r="L4429" s="392"/>
      <c r="M4429" s="62"/>
      <c r="N4429" s="63"/>
      <c r="O4429" s="63"/>
      <c r="P4429" s="79" t="str">
        <f>IF(AND('331-CT'!$E$7=TH!H4429,OR(N4429="331",O4429="331")),"x","")</f>
        <v/>
      </c>
      <c r="Q4429" s="79" t="str">
        <f>IF(AND(B4429='111'!$L$11,OR($N4429=$Q$7,$O4429=$Q$7)),"x","")</f>
        <v/>
      </c>
      <c r="R4429" s="79" t="str">
        <f>IF(AND($N4429=$Q$7,$B4429&lt;'111'!$L$11),"x","")</f>
        <v/>
      </c>
      <c r="S4429" s="79" t="str">
        <f>IF(AND($O4429=$Q$7,$B4429&lt;'111'!$L$11),"x","")</f>
        <v/>
      </c>
      <c r="T4429" s="79" t="str">
        <f>IF(ISERROR(FIND('112'!$M$9,G4429,1)),"",IF((AND(FIND('112'!$M$9,G4429,1)&gt;=1,B4429='112'!$K$9,OR($N4429='112'!$I$6,$O4429='112'!$I$6))),"x",""))</f>
        <v/>
      </c>
      <c r="U4429" s="79" t="str">
        <f>IF(ISERROR(FIND('112'!$M$9,G4429,1)),"",IF((AND(LEFT(G4429,2)=LEFT('112'!$M$9,2),B4429&lt;'112'!$K$9,$N4429='112'!$I$6)),"x",""))</f>
        <v/>
      </c>
      <c r="V4429" s="79" t="str">
        <f>IF(ISERROR(FIND('112'!$M$9,G4429,1)),"",IF((AND(RIGHT(G4429,2)=RIGHT('112'!$M$9,2),B4429&lt;'112'!$K$9,$O4429='112'!$I$6)),"x",""))</f>
        <v/>
      </c>
      <c r="W4429" s="79" t="str">
        <f>IF(AND('341-CT'!$H$9=H4429,OR(LEFT(N4429,3)=$W$7,LEFT(O4429,3)=$W$7)),"x","")</f>
        <v/>
      </c>
      <c r="X4429" s="79" t="str">
        <f>IF(OR(TH!N4429=TH!$X$7,O4429=TH!$X$7),"x","")</f>
        <v/>
      </c>
      <c r="Y4429" s="79" t="str">
        <f>IF(AND(OR(N4429="131",O4429="131"),H4429='131-CT'!$H$9),"x","")</f>
        <v/>
      </c>
      <c r="Z4429" s="79"/>
      <c r="AA4429" s="79" t="str">
        <f>IF(AND(MONTH(E4429)='IN-NX'!$J$5,'IN-NX'!$D$7=D4429),"x","")</f>
        <v/>
      </c>
      <c r="AB4429" s="79" t="str">
        <f>IF(AND(OR(LEFT(TH!N4429,2)="15",LEFT(TH!O4429,2)="15"),LEFT(TH!O4429,3)&lt;&gt;"111",'152-CT'!$J$8=TH!F4429),"x","")</f>
        <v/>
      </c>
      <c r="AC4429" s="79" t="str">
        <f>IF(AND(OR(LEFT(TH!N4429,2)="15",LEFT(TH!O4429,2)="15"),TK!$E$7=TH!F4429),"x","")</f>
        <v/>
      </c>
      <c r="AD4429" s="79" t="str">
        <f>IF(AND(N4429="1521",MONTH(C4429)='BK-NL'!$M$11),"x","")</f>
        <v/>
      </c>
    </row>
    <row r="4430" spans="1:30" ht="16.5" customHeight="1">
      <c r="A4430" s="318" t="str">
        <f>IF(B4430&lt;&gt;"",IF(AND(B4430='[3]IN-TC'!$S$4,OR([3]TH!N3661="1111",[3]TH!O3661="1111")),[3]TH!D3661,""),"")</f>
        <v/>
      </c>
      <c r="B4430" s="60" t="str">
        <f t="shared" si="472"/>
        <v/>
      </c>
      <c r="C4430" s="61"/>
      <c r="D4430" s="61"/>
      <c r="E4430" s="61"/>
      <c r="F4430" s="64"/>
      <c r="G4430" s="64"/>
      <c r="H4430" s="321"/>
      <c r="I4430" s="385"/>
      <c r="J4430" s="392"/>
      <c r="K4430" s="385"/>
      <c r="L4430" s="392"/>
      <c r="M4430" s="62"/>
      <c r="N4430" s="63"/>
      <c r="O4430" s="63"/>
      <c r="P4430" s="79" t="str">
        <f>IF(AND('331-CT'!$E$7=TH!H4430,OR(N4430="331",O4430="331")),"x","")</f>
        <v/>
      </c>
      <c r="Q4430" s="79" t="str">
        <f>IF(AND(B4430='111'!$L$11,OR($N4430=$Q$7,$O4430=$Q$7)),"x","")</f>
        <v/>
      </c>
      <c r="R4430" s="79" t="str">
        <f>IF(AND($N4430=$Q$7,$B4430&lt;'111'!$L$11),"x","")</f>
        <v/>
      </c>
      <c r="S4430" s="79" t="str">
        <f>IF(AND($O4430=$Q$7,$B4430&lt;'111'!$L$11),"x","")</f>
        <v/>
      </c>
      <c r="T4430" s="79" t="str">
        <f>IF(ISERROR(FIND('112'!$M$9,G4430,1)),"",IF((AND(FIND('112'!$M$9,G4430,1)&gt;=1,B4430='112'!$K$9,OR($N4430='112'!$I$6,$O4430='112'!$I$6))),"x",""))</f>
        <v/>
      </c>
      <c r="U4430" s="79" t="str">
        <f>IF(ISERROR(FIND('112'!$M$9,G4430,1)),"",IF((AND(LEFT(G4430,2)=LEFT('112'!$M$9,2),B4430&lt;'112'!$K$9,$N4430='112'!$I$6)),"x",""))</f>
        <v/>
      </c>
      <c r="V4430" s="79" t="str">
        <f>IF(ISERROR(FIND('112'!$M$9,G4430,1)),"",IF((AND(RIGHT(G4430,2)=RIGHT('112'!$M$9,2),B4430&lt;'112'!$K$9,$O4430='112'!$I$6)),"x",""))</f>
        <v/>
      </c>
      <c r="W4430" s="79" t="str">
        <f>IF(AND('341-CT'!$H$9=H4430,OR(LEFT(N4430,3)=$W$7,LEFT(O4430,3)=$W$7)),"x","")</f>
        <v/>
      </c>
      <c r="X4430" s="79" t="str">
        <f>IF(OR(TH!N4430=TH!$X$7,O4430=TH!$X$7),"x","")</f>
        <v/>
      </c>
      <c r="Y4430" s="79" t="str">
        <f>IF(AND(OR(N4430="131",O4430="131"),H4430='131-CT'!$H$9),"x","")</f>
        <v/>
      </c>
      <c r="Z4430" s="79"/>
      <c r="AA4430" s="79" t="str">
        <f>IF(AND(MONTH(E4430)='IN-NX'!$J$5,'IN-NX'!$D$7=D4430),"x","")</f>
        <v/>
      </c>
      <c r="AB4430" s="79" t="str">
        <f>IF(AND(OR(LEFT(TH!N4430,2)="15",LEFT(TH!O4430,2)="15"),LEFT(TH!O4430,3)&lt;&gt;"111",'152-CT'!$J$8=TH!F4430),"x","")</f>
        <v/>
      </c>
      <c r="AC4430" s="79" t="str">
        <f>IF(AND(OR(LEFT(TH!N4430,2)="15",LEFT(TH!O4430,2)="15"),TK!$E$7=TH!F4430),"x","")</f>
        <v/>
      </c>
      <c r="AD4430" s="79" t="str">
        <f>IF(AND(N4430="1521",MONTH(C4430)='BK-NL'!$M$11),"x","")</f>
        <v/>
      </c>
    </row>
    <row r="4431" spans="1:30" ht="16.5" customHeight="1">
      <c r="A4431" s="318" t="str">
        <f>IF(B4431&lt;&gt;"",IF(AND(B4431='[3]IN-TC'!$S$4,OR([3]TH!N3662="1111",[3]TH!O3662="1111")),[3]TH!D3662,""),"")</f>
        <v/>
      </c>
      <c r="B4431" s="60" t="str">
        <f t="shared" si="472"/>
        <v/>
      </c>
      <c r="C4431" s="61"/>
      <c r="D4431" s="61"/>
      <c r="E4431" s="61"/>
      <c r="F4431" s="64"/>
      <c r="G4431" s="64"/>
      <c r="H4431" s="321"/>
      <c r="I4431" s="385"/>
      <c r="J4431" s="392"/>
      <c r="K4431" s="385"/>
      <c r="L4431" s="392"/>
      <c r="M4431" s="62"/>
      <c r="N4431" s="63"/>
      <c r="O4431" s="63"/>
      <c r="P4431" s="79" t="str">
        <f>IF(AND('331-CT'!$E$7=TH!H4431,OR(N4431="331",O4431="331")),"x","")</f>
        <v/>
      </c>
      <c r="Q4431" s="79" t="str">
        <f>IF(AND(B4431='111'!$L$11,OR($N4431=$Q$7,$O4431=$Q$7)),"x","")</f>
        <v/>
      </c>
      <c r="R4431" s="79" t="str">
        <f>IF(AND($N4431=$Q$7,$B4431&lt;'111'!$L$11),"x","")</f>
        <v/>
      </c>
      <c r="S4431" s="79" t="str">
        <f>IF(AND($O4431=$Q$7,$B4431&lt;'111'!$L$11),"x","")</f>
        <v/>
      </c>
      <c r="T4431" s="79" t="str">
        <f>IF(ISERROR(FIND('112'!$M$9,G4431,1)),"",IF((AND(FIND('112'!$M$9,G4431,1)&gt;=1,B4431='112'!$K$9,OR($N4431='112'!$I$6,$O4431='112'!$I$6))),"x",""))</f>
        <v/>
      </c>
      <c r="U4431" s="79" t="str">
        <f>IF(ISERROR(FIND('112'!$M$9,G4431,1)),"",IF((AND(LEFT(G4431,2)=LEFT('112'!$M$9,2),B4431&lt;'112'!$K$9,$N4431='112'!$I$6)),"x",""))</f>
        <v/>
      </c>
      <c r="V4431" s="79" t="str">
        <f>IF(ISERROR(FIND('112'!$M$9,G4431,1)),"",IF((AND(RIGHT(G4431,2)=RIGHT('112'!$M$9,2),B4431&lt;'112'!$K$9,$O4431='112'!$I$6)),"x",""))</f>
        <v/>
      </c>
      <c r="W4431" s="79" t="str">
        <f>IF(AND('341-CT'!$H$9=H4431,OR(LEFT(N4431,3)=$W$7,LEFT(O4431,3)=$W$7)),"x","")</f>
        <v/>
      </c>
      <c r="X4431" s="79" t="str">
        <f>IF(OR(TH!N4431=TH!$X$7,O4431=TH!$X$7),"x","")</f>
        <v/>
      </c>
      <c r="Y4431" s="79" t="str">
        <f>IF(AND(OR(N4431="131",O4431="131"),H4431='131-CT'!$H$9),"x","")</f>
        <v/>
      </c>
      <c r="Z4431" s="79"/>
      <c r="AA4431" s="79" t="str">
        <f>IF(AND(MONTH(E4431)='IN-NX'!$J$5,'IN-NX'!$D$7=D4431),"x","")</f>
        <v/>
      </c>
      <c r="AB4431" s="79" t="str">
        <f>IF(AND(OR(LEFT(TH!N4431,2)="15",LEFT(TH!O4431,2)="15"),LEFT(TH!O4431,3)&lt;&gt;"111",'152-CT'!$J$8=TH!F4431),"x","")</f>
        <v/>
      </c>
      <c r="AC4431" s="79" t="str">
        <f>IF(AND(OR(LEFT(TH!N4431,2)="15",LEFT(TH!O4431,2)="15"),TK!$E$7=TH!F4431),"x","")</f>
        <v/>
      </c>
      <c r="AD4431" s="79" t="str">
        <f>IF(AND(N4431="1521",MONTH(C4431)='BK-NL'!$M$11),"x","")</f>
        <v/>
      </c>
    </row>
    <row r="4432" spans="1:30" ht="16.5" customHeight="1">
      <c r="A4432" s="318" t="str">
        <f>IF(B4432&lt;&gt;"",IF(AND(B4432='[3]IN-TC'!$S$4,OR([3]TH!N3663="1111",[3]TH!O3663="1111")),[3]TH!D3663,""),"")</f>
        <v/>
      </c>
      <c r="B4432" s="60" t="str">
        <f t="shared" si="472"/>
        <v/>
      </c>
      <c r="C4432" s="61"/>
      <c r="D4432" s="61"/>
      <c r="E4432" s="61"/>
      <c r="F4432" s="64"/>
      <c r="G4432" s="64"/>
      <c r="H4432" s="321"/>
      <c r="I4432" s="385"/>
      <c r="J4432" s="392"/>
      <c r="K4432" s="385"/>
      <c r="L4432" s="392"/>
      <c r="M4432" s="62"/>
      <c r="N4432" s="63"/>
      <c r="O4432" s="63"/>
      <c r="P4432" s="79" t="str">
        <f>IF(AND('331-CT'!$E$7=TH!H4432,OR(N4432="331",O4432="331")),"x","")</f>
        <v/>
      </c>
      <c r="Q4432" s="79" t="str">
        <f>IF(AND(B4432='111'!$L$11,OR($N4432=$Q$7,$O4432=$Q$7)),"x","")</f>
        <v/>
      </c>
      <c r="R4432" s="79" t="str">
        <f>IF(AND($N4432=$Q$7,$B4432&lt;'111'!$L$11),"x","")</f>
        <v/>
      </c>
      <c r="S4432" s="79" t="str">
        <f>IF(AND($O4432=$Q$7,$B4432&lt;'111'!$L$11),"x","")</f>
        <v/>
      </c>
      <c r="T4432" s="79" t="str">
        <f>IF(ISERROR(FIND('112'!$M$9,G4432,1)),"",IF((AND(FIND('112'!$M$9,G4432,1)&gt;=1,B4432='112'!$K$9,OR($N4432='112'!$I$6,$O4432='112'!$I$6))),"x",""))</f>
        <v/>
      </c>
      <c r="U4432" s="79" t="str">
        <f>IF(ISERROR(FIND('112'!$M$9,G4432,1)),"",IF((AND(LEFT(G4432,2)=LEFT('112'!$M$9,2),B4432&lt;'112'!$K$9,$N4432='112'!$I$6)),"x",""))</f>
        <v/>
      </c>
      <c r="V4432" s="79" t="str">
        <f>IF(ISERROR(FIND('112'!$M$9,G4432,1)),"",IF((AND(RIGHT(G4432,2)=RIGHT('112'!$M$9,2),B4432&lt;'112'!$K$9,$O4432='112'!$I$6)),"x",""))</f>
        <v/>
      </c>
      <c r="W4432" s="79" t="str">
        <f>IF(AND('341-CT'!$H$9=H4432,OR(LEFT(N4432,3)=$W$7,LEFT(O4432,3)=$W$7)),"x","")</f>
        <v/>
      </c>
      <c r="X4432" s="79" t="str">
        <f>IF(OR(TH!N4432=TH!$X$7,O4432=TH!$X$7),"x","")</f>
        <v/>
      </c>
      <c r="Y4432" s="79" t="str">
        <f>IF(AND(OR(N4432="131",O4432="131"),H4432='131-CT'!$H$9),"x","")</f>
        <v/>
      </c>
      <c r="Z4432" s="79"/>
      <c r="AA4432" s="79" t="str">
        <f>IF(AND(MONTH(E4432)='IN-NX'!$J$5,'IN-NX'!$D$7=D4432),"x","")</f>
        <v/>
      </c>
      <c r="AB4432" s="79" t="str">
        <f>IF(AND(OR(LEFT(TH!N4432,2)="15",LEFT(TH!O4432,2)="15"),LEFT(TH!O4432,3)&lt;&gt;"111",'152-CT'!$J$8=TH!F4432),"x","")</f>
        <v/>
      </c>
      <c r="AC4432" s="79" t="str">
        <f>IF(AND(OR(LEFT(TH!N4432,2)="15",LEFT(TH!O4432,2)="15"),TK!$E$7=TH!F4432),"x","")</f>
        <v/>
      </c>
      <c r="AD4432" s="79" t="str">
        <f>IF(AND(N4432="1521",MONTH(C4432)='BK-NL'!$M$11),"x","")</f>
        <v/>
      </c>
    </row>
    <row r="4433" spans="1:30" ht="16.5" customHeight="1">
      <c r="A4433" s="318" t="str">
        <f>IF(B4433&lt;&gt;"",IF(AND(B4433='[3]IN-TC'!$S$4,OR([3]TH!N3664="1111",[3]TH!O3664="1111")),[3]TH!D3664,""),"")</f>
        <v/>
      </c>
      <c r="B4433" s="60" t="str">
        <f t="shared" si="472"/>
        <v/>
      </c>
      <c r="C4433" s="61"/>
      <c r="D4433" s="61"/>
      <c r="E4433" s="61"/>
      <c r="F4433" s="64"/>
      <c r="G4433" s="64"/>
      <c r="H4433" s="321"/>
      <c r="I4433" s="385"/>
      <c r="J4433" s="392"/>
      <c r="K4433" s="385"/>
      <c r="L4433" s="392"/>
      <c r="M4433" s="62"/>
      <c r="N4433" s="63"/>
      <c r="O4433" s="63"/>
      <c r="P4433" s="79" t="str">
        <f>IF(AND('331-CT'!$E$7=TH!H4433,OR(N4433="331",O4433="331")),"x","")</f>
        <v/>
      </c>
      <c r="Q4433" s="79" t="str">
        <f>IF(AND(B4433='111'!$L$11,OR($N4433=$Q$7,$O4433=$Q$7)),"x","")</f>
        <v/>
      </c>
      <c r="R4433" s="79" t="str">
        <f>IF(AND($N4433=$Q$7,$B4433&lt;'111'!$L$11),"x","")</f>
        <v/>
      </c>
      <c r="S4433" s="79" t="str">
        <f>IF(AND($O4433=$Q$7,$B4433&lt;'111'!$L$11),"x","")</f>
        <v/>
      </c>
      <c r="T4433" s="79" t="str">
        <f>IF(ISERROR(FIND('112'!$M$9,G4433,1)),"",IF((AND(FIND('112'!$M$9,G4433,1)&gt;=1,B4433='112'!$K$9,OR($N4433='112'!$I$6,$O4433='112'!$I$6))),"x",""))</f>
        <v/>
      </c>
      <c r="U4433" s="79" t="str">
        <f>IF(ISERROR(FIND('112'!$M$9,G4433,1)),"",IF((AND(LEFT(G4433,2)=LEFT('112'!$M$9,2),B4433&lt;'112'!$K$9,$N4433='112'!$I$6)),"x",""))</f>
        <v/>
      </c>
      <c r="V4433" s="79" t="str">
        <f>IF(ISERROR(FIND('112'!$M$9,G4433,1)),"",IF((AND(RIGHT(G4433,2)=RIGHT('112'!$M$9,2),B4433&lt;'112'!$K$9,$O4433='112'!$I$6)),"x",""))</f>
        <v/>
      </c>
      <c r="W4433" s="79" t="str">
        <f>IF(AND('341-CT'!$H$9=H4433,OR(LEFT(N4433,3)=$W$7,LEFT(O4433,3)=$W$7)),"x","")</f>
        <v/>
      </c>
      <c r="X4433" s="79" t="str">
        <f>IF(OR(TH!N4433=TH!$X$7,O4433=TH!$X$7),"x","")</f>
        <v/>
      </c>
      <c r="Y4433" s="79" t="str">
        <f>IF(AND(OR(N4433="131",O4433="131"),H4433='131-CT'!$H$9),"x","")</f>
        <v/>
      </c>
      <c r="Z4433" s="79"/>
      <c r="AA4433" s="79" t="str">
        <f>IF(AND(MONTH(E4433)='IN-NX'!$J$5,'IN-NX'!$D$7=D4433),"x","")</f>
        <v/>
      </c>
      <c r="AB4433" s="79" t="str">
        <f>IF(AND(OR(LEFT(TH!N4433,2)="15",LEFT(TH!O4433,2)="15"),LEFT(TH!O4433,3)&lt;&gt;"111",'152-CT'!$J$8=TH!F4433),"x","")</f>
        <v/>
      </c>
      <c r="AC4433" s="79" t="str">
        <f>IF(AND(OR(LEFT(TH!N4433,2)="15",LEFT(TH!O4433,2)="15"),TK!$E$7=TH!F4433),"x","")</f>
        <v/>
      </c>
      <c r="AD4433" s="79" t="str">
        <f>IF(AND(N4433="1521",MONTH(C4433)='BK-NL'!$M$11),"x","")</f>
        <v/>
      </c>
    </row>
    <row r="4434" spans="1:30" ht="16.5" customHeight="1">
      <c r="A4434" s="318" t="str">
        <f>IF(B4434&lt;&gt;"",IF(AND(B4434='[3]IN-TC'!$S$4,OR([3]TH!N3665="1111",[3]TH!O3665="1111")),[3]TH!D3665,""),"")</f>
        <v/>
      </c>
      <c r="B4434" s="60" t="str">
        <f t="shared" si="472"/>
        <v/>
      </c>
      <c r="C4434" s="61"/>
      <c r="D4434" s="61"/>
      <c r="E4434" s="61"/>
      <c r="F4434" s="64"/>
      <c r="G4434" s="64"/>
      <c r="H4434" s="321"/>
      <c r="I4434" s="385"/>
      <c r="J4434" s="392"/>
      <c r="K4434" s="385"/>
      <c r="L4434" s="392"/>
      <c r="M4434" s="62"/>
      <c r="N4434" s="63"/>
      <c r="O4434" s="63"/>
      <c r="P4434" s="79" t="str">
        <f>IF(AND('331-CT'!$E$7=TH!H4434,OR(N4434="331",O4434="331")),"x","")</f>
        <v/>
      </c>
      <c r="Q4434" s="79" t="str">
        <f>IF(AND(B4434='111'!$L$11,OR($N4434=$Q$7,$O4434=$Q$7)),"x","")</f>
        <v/>
      </c>
      <c r="R4434" s="79" t="str">
        <f>IF(AND($N4434=$Q$7,$B4434&lt;'111'!$L$11),"x","")</f>
        <v/>
      </c>
      <c r="S4434" s="79" t="str">
        <f>IF(AND($O4434=$Q$7,$B4434&lt;'111'!$L$11),"x","")</f>
        <v/>
      </c>
      <c r="T4434" s="79" t="str">
        <f>IF(ISERROR(FIND('112'!$M$9,G4434,1)),"",IF((AND(FIND('112'!$M$9,G4434,1)&gt;=1,B4434='112'!$K$9,OR($N4434='112'!$I$6,$O4434='112'!$I$6))),"x",""))</f>
        <v/>
      </c>
      <c r="U4434" s="79" t="str">
        <f>IF(ISERROR(FIND('112'!$M$9,G4434,1)),"",IF((AND(LEFT(G4434,2)=LEFT('112'!$M$9,2),B4434&lt;'112'!$K$9,$N4434='112'!$I$6)),"x",""))</f>
        <v/>
      </c>
      <c r="V4434" s="79" t="str">
        <f>IF(ISERROR(FIND('112'!$M$9,G4434,1)),"",IF((AND(RIGHT(G4434,2)=RIGHT('112'!$M$9,2),B4434&lt;'112'!$K$9,$O4434='112'!$I$6)),"x",""))</f>
        <v/>
      </c>
      <c r="W4434" s="79" t="str">
        <f>IF(AND('341-CT'!$H$9=H4434,OR(LEFT(N4434,3)=$W$7,LEFT(O4434,3)=$W$7)),"x","")</f>
        <v/>
      </c>
      <c r="X4434" s="79" t="str">
        <f>IF(OR(TH!N4434=TH!$X$7,O4434=TH!$X$7),"x","")</f>
        <v/>
      </c>
      <c r="Y4434" s="79" t="str">
        <f>IF(AND(OR(N4434="131",O4434="131"),H4434='131-CT'!$H$9),"x","")</f>
        <v/>
      </c>
      <c r="Z4434" s="79"/>
      <c r="AA4434" s="79" t="str">
        <f>IF(AND(MONTH(E4434)='IN-NX'!$J$5,'IN-NX'!$D$7=D4434),"x","")</f>
        <v/>
      </c>
      <c r="AB4434" s="79" t="str">
        <f>IF(AND(OR(LEFT(TH!N4434,2)="15",LEFT(TH!O4434,2)="15"),LEFT(TH!O4434,3)&lt;&gt;"111",'152-CT'!$J$8=TH!F4434),"x","")</f>
        <v/>
      </c>
      <c r="AC4434" s="79" t="str">
        <f>IF(AND(OR(LEFT(TH!N4434,2)="15",LEFT(TH!O4434,2)="15"),TK!$E$7=TH!F4434),"x","")</f>
        <v/>
      </c>
      <c r="AD4434" s="79" t="str">
        <f>IF(AND(N4434="1521",MONTH(C4434)='BK-NL'!$M$11),"x","")</f>
        <v/>
      </c>
    </row>
    <row r="4435" spans="1:30" ht="16.5" customHeight="1">
      <c r="A4435" s="318" t="str">
        <f>IF(B4435&lt;&gt;"",IF(AND(B4435='[3]IN-TC'!$S$4,OR([3]TH!N3666="1111",[3]TH!O3666="1111")),[3]TH!D3666,""),"")</f>
        <v/>
      </c>
      <c r="B4435" s="60" t="str">
        <f t="shared" si="472"/>
        <v/>
      </c>
      <c r="C4435" s="61"/>
      <c r="D4435" s="61"/>
      <c r="E4435" s="61"/>
      <c r="F4435" s="64"/>
      <c r="G4435" s="64"/>
      <c r="H4435" s="321"/>
      <c r="I4435" s="385"/>
      <c r="J4435" s="392"/>
      <c r="K4435" s="385"/>
      <c r="L4435" s="392"/>
      <c r="M4435" s="62"/>
      <c r="N4435" s="63"/>
      <c r="O4435" s="63"/>
      <c r="P4435" s="79" t="str">
        <f>IF(AND('331-CT'!$E$7=TH!H4435,OR(N4435="331",O4435="331")),"x","")</f>
        <v/>
      </c>
      <c r="Q4435" s="79" t="str">
        <f>IF(AND(B4435='111'!$L$11,OR($N4435=$Q$7,$O4435=$Q$7)),"x","")</f>
        <v/>
      </c>
      <c r="R4435" s="79" t="str">
        <f>IF(AND($N4435=$Q$7,$B4435&lt;'111'!$L$11),"x","")</f>
        <v/>
      </c>
      <c r="S4435" s="79" t="str">
        <f>IF(AND($O4435=$Q$7,$B4435&lt;'111'!$L$11),"x","")</f>
        <v/>
      </c>
      <c r="T4435" s="79" t="str">
        <f>IF(ISERROR(FIND('112'!$M$9,G4435,1)),"",IF((AND(FIND('112'!$M$9,G4435,1)&gt;=1,B4435='112'!$K$9,OR($N4435='112'!$I$6,$O4435='112'!$I$6))),"x",""))</f>
        <v/>
      </c>
      <c r="U4435" s="79" t="str">
        <f>IF(ISERROR(FIND('112'!$M$9,G4435,1)),"",IF((AND(LEFT(G4435,2)=LEFT('112'!$M$9,2),B4435&lt;'112'!$K$9,$N4435='112'!$I$6)),"x",""))</f>
        <v/>
      </c>
      <c r="V4435" s="79" t="str">
        <f>IF(ISERROR(FIND('112'!$M$9,G4435,1)),"",IF((AND(RIGHT(G4435,2)=RIGHT('112'!$M$9,2),B4435&lt;'112'!$K$9,$O4435='112'!$I$6)),"x",""))</f>
        <v/>
      </c>
      <c r="W4435" s="79" t="str">
        <f>IF(AND('341-CT'!$H$9=H4435,OR(LEFT(N4435,3)=$W$7,LEFT(O4435,3)=$W$7)),"x","")</f>
        <v/>
      </c>
      <c r="X4435" s="79" t="str">
        <f>IF(OR(TH!N4435=TH!$X$7,O4435=TH!$X$7),"x","")</f>
        <v/>
      </c>
      <c r="Y4435" s="79" t="str">
        <f>IF(AND(OR(N4435="131",O4435="131"),H4435='131-CT'!$H$9),"x","")</f>
        <v/>
      </c>
      <c r="Z4435" s="79"/>
      <c r="AA4435" s="79" t="str">
        <f>IF(AND(MONTH(E4435)='IN-NX'!$J$5,'IN-NX'!$D$7=D4435),"x","")</f>
        <v/>
      </c>
      <c r="AB4435" s="79" t="str">
        <f>IF(AND(OR(LEFT(TH!N4435,2)="15",LEFT(TH!O4435,2)="15"),LEFT(TH!O4435,3)&lt;&gt;"111",'152-CT'!$J$8=TH!F4435),"x","")</f>
        <v/>
      </c>
      <c r="AC4435" s="79" t="str">
        <f>IF(AND(OR(LEFT(TH!N4435,2)="15",LEFT(TH!O4435,2)="15"),TK!$E$7=TH!F4435),"x","")</f>
        <v/>
      </c>
      <c r="AD4435" s="79" t="str">
        <f>IF(AND(N4435="1521",MONTH(C4435)='BK-NL'!$M$11),"x","")</f>
        <v/>
      </c>
    </row>
    <row r="4436" spans="1:30" ht="16.5" customHeight="1">
      <c r="A4436" s="318" t="str">
        <f>IF(B4436&lt;&gt;"",IF(AND(B4436='[3]IN-TC'!$S$4,OR([3]TH!N3667="1111",[3]TH!O3667="1111")),[3]TH!D3667,""),"")</f>
        <v/>
      </c>
      <c r="B4436" s="60" t="str">
        <f t="shared" si="472"/>
        <v/>
      </c>
      <c r="C4436" s="61"/>
      <c r="D4436" s="61"/>
      <c r="E4436" s="61"/>
      <c r="F4436" s="69"/>
      <c r="G4436" s="64"/>
      <c r="H4436" s="69"/>
      <c r="I4436" s="385"/>
      <c r="J4436" s="392"/>
      <c r="K4436" s="385"/>
      <c r="L4436" s="392"/>
      <c r="M4436" s="62"/>
      <c r="N4436" s="63"/>
      <c r="O4436" s="63"/>
      <c r="P4436" s="79" t="str">
        <f>IF(AND('331-CT'!$E$7=TH!H4436,OR(N4436="331",O4436="331")),"x","")</f>
        <v/>
      </c>
      <c r="Q4436" s="79" t="str">
        <f>IF(AND(B4436='111'!$L$11,OR($N4436=$Q$7,$O4436=$Q$7)),"x","")</f>
        <v/>
      </c>
      <c r="R4436" s="79" t="str">
        <f>IF(AND($N4436=$Q$7,$B4436&lt;'111'!$L$11),"x","")</f>
        <v/>
      </c>
      <c r="S4436" s="79" t="str">
        <f>IF(AND($O4436=$Q$7,$B4436&lt;'111'!$L$11),"x","")</f>
        <v/>
      </c>
      <c r="T4436" s="79" t="str">
        <f>IF(ISERROR(FIND('112'!$M$9,G4436,1)),"",IF((AND(FIND('112'!$M$9,G4436,1)&gt;=1,B4436='112'!$K$9,OR($N4436='112'!$I$6,$O4436='112'!$I$6))),"x",""))</f>
        <v/>
      </c>
      <c r="U4436" s="79" t="str">
        <f>IF(ISERROR(FIND('112'!$M$9,G4436,1)),"",IF((AND(LEFT(G4436,2)=LEFT('112'!$M$9,2),B4436&lt;'112'!$K$9,$N4436='112'!$I$6)),"x",""))</f>
        <v/>
      </c>
      <c r="V4436" s="79" t="str">
        <f>IF(ISERROR(FIND('112'!$M$9,G4436,1)),"",IF((AND(RIGHT(G4436,2)=RIGHT('112'!$M$9,2),B4436&lt;'112'!$K$9,$O4436='112'!$I$6)),"x",""))</f>
        <v/>
      </c>
      <c r="W4436" s="79" t="str">
        <f>IF(AND('341-CT'!$H$9=H4436,OR(LEFT(N4436,3)=$W$7,LEFT(O4436,3)=$W$7)),"x","")</f>
        <v/>
      </c>
      <c r="X4436" s="79" t="str">
        <f>IF(OR(TH!N4436=TH!$X$7,O4436=TH!$X$7),"x","")</f>
        <v/>
      </c>
      <c r="Y4436" s="79" t="str">
        <f>IF(AND(OR(N4436="131",O4436="131"),H4436='131-CT'!$H$9),"x","")</f>
        <v/>
      </c>
      <c r="Z4436" s="79"/>
      <c r="AA4436" s="79" t="str">
        <f>IF(AND(MONTH(E4436)='IN-NX'!$J$5,'IN-NX'!$D$7=D4436),"x","")</f>
        <v/>
      </c>
      <c r="AB4436" s="79" t="str">
        <f>IF(AND(OR(LEFT(TH!N4436,2)="15",LEFT(TH!O4436,2)="15"),LEFT(TH!O4436,3)&lt;&gt;"111",'152-CT'!$J$8=TH!F4436),"x","")</f>
        <v/>
      </c>
      <c r="AC4436" s="79" t="str">
        <f>IF(AND(OR(LEFT(TH!N4436,2)="15",LEFT(TH!O4436,2)="15"),TK!$E$7=TH!F4436),"x","")</f>
        <v/>
      </c>
      <c r="AD4436" s="79" t="str">
        <f>IF(AND(N4436="1521",MONTH(C4436)='BK-NL'!$M$11),"x","")</f>
        <v/>
      </c>
    </row>
    <row r="4437" spans="1:30" ht="16.5" customHeight="1">
      <c r="A4437" s="318" t="str">
        <f>IF(B4437&lt;&gt;"",IF(AND(B4437='[3]IN-TC'!$S$4,OR([3]TH!N3668="1111",[3]TH!O3668="1111")),[3]TH!D3668,""),"")</f>
        <v/>
      </c>
      <c r="B4437" s="60" t="str">
        <f t="shared" si="472"/>
        <v/>
      </c>
      <c r="C4437" s="61"/>
      <c r="D4437" s="61"/>
      <c r="E4437" s="61"/>
      <c r="F4437" s="69"/>
      <c r="G4437" s="64"/>
      <c r="H4437" s="321"/>
      <c r="I4437" s="385"/>
      <c r="J4437" s="392"/>
      <c r="K4437" s="385"/>
      <c r="L4437" s="392"/>
      <c r="M4437" s="62"/>
      <c r="N4437" s="63"/>
      <c r="O4437" s="63"/>
      <c r="P4437" s="79" t="str">
        <f>IF(AND('331-CT'!$E$7=TH!H4437,OR(N4437="331",O4437="331")),"x","")</f>
        <v/>
      </c>
      <c r="Q4437" s="79" t="str">
        <f>IF(AND(B4437='111'!$L$11,OR($N4437=$Q$7,$O4437=$Q$7)),"x","")</f>
        <v/>
      </c>
      <c r="R4437" s="79" t="str">
        <f>IF(AND($N4437=$Q$7,$B4437&lt;'111'!$L$11),"x","")</f>
        <v/>
      </c>
      <c r="S4437" s="79" t="str">
        <f>IF(AND($O4437=$Q$7,$B4437&lt;'111'!$L$11),"x","")</f>
        <v/>
      </c>
      <c r="T4437" s="79" t="str">
        <f>IF(ISERROR(FIND('112'!$M$9,G4437,1)),"",IF((AND(FIND('112'!$M$9,G4437,1)&gt;=1,B4437='112'!$K$9,OR($N4437='112'!$I$6,$O4437='112'!$I$6))),"x",""))</f>
        <v/>
      </c>
      <c r="U4437" s="79" t="str">
        <f>IF(ISERROR(FIND('112'!$M$9,G4437,1)),"",IF((AND(LEFT(G4437,2)=LEFT('112'!$M$9,2),B4437&lt;'112'!$K$9,$N4437='112'!$I$6)),"x",""))</f>
        <v/>
      </c>
      <c r="V4437" s="79" t="str">
        <f>IF(ISERROR(FIND('112'!$M$9,G4437,1)),"",IF((AND(RIGHT(G4437,2)=RIGHT('112'!$M$9,2),B4437&lt;'112'!$K$9,$O4437='112'!$I$6)),"x",""))</f>
        <v/>
      </c>
      <c r="W4437" s="79" t="str">
        <f>IF(AND('341-CT'!$H$9=H4437,OR(LEFT(N4437,3)=$W$7,LEFT(O4437,3)=$W$7)),"x","")</f>
        <v/>
      </c>
      <c r="X4437" s="79" t="str">
        <f>IF(OR(TH!N4437=TH!$X$7,O4437=TH!$X$7),"x","")</f>
        <v/>
      </c>
      <c r="Y4437" s="79" t="str">
        <f>IF(AND(OR(N4437="131",O4437="131"),H4437='131-CT'!$H$9),"x","")</f>
        <v/>
      </c>
      <c r="Z4437" s="79"/>
      <c r="AA4437" s="79" t="str">
        <f>IF(AND(MONTH(E4437)='IN-NX'!$J$5,'IN-NX'!$D$7=D4437),"x","")</f>
        <v/>
      </c>
      <c r="AB4437" s="79" t="str">
        <f>IF(AND(OR(LEFT(TH!N4437,2)="15",LEFT(TH!O4437,2)="15"),LEFT(TH!O4437,3)&lt;&gt;"111",'152-CT'!$J$8=TH!F4437),"x","")</f>
        <v/>
      </c>
      <c r="AC4437" s="79" t="str">
        <f>IF(AND(OR(LEFT(TH!N4437,2)="15",LEFT(TH!O4437,2)="15"),TK!$E$7=TH!F4437),"x","")</f>
        <v/>
      </c>
      <c r="AD4437" s="79" t="str">
        <f>IF(AND(N4437="1521",MONTH(C4437)='BK-NL'!$M$11),"x","")</f>
        <v/>
      </c>
    </row>
    <row r="4438" spans="1:30" ht="16.5" customHeight="1">
      <c r="A4438" s="318" t="str">
        <f>IF(B4438&lt;&gt;"",IF(AND(B4438='[3]IN-TC'!$S$4,OR([3]TH!N3669="1111",[3]TH!O3669="1111")),[3]TH!D3669,""),"")</f>
        <v/>
      </c>
      <c r="B4438" s="60" t="str">
        <f t="shared" si="472"/>
        <v/>
      </c>
      <c r="C4438" s="61"/>
      <c r="D4438" s="61"/>
      <c r="E4438" s="61"/>
      <c r="F4438" s="69"/>
      <c r="G4438" s="64"/>
      <c r="H4438" s="321"/>
      <c r="I4438" s="385"/>
      <c r="J4438" s="392"/>
      <c r="K4438" s="385"/>
      <c r="L4438" s="392"/>
      <c r="M4438" s="62"/>
      <c r="N4438" s="63"/>
      <c r="O4438" s="63"/>
      <c r="P4438" s="79" t="str">
        <f>IF(AND('331-CT'!$E$7=TH!H4438,OR(N4438="331",O4438="331")),"x","")</f>
        <v/>
      </c>
      <c r="Q4438" s="79" t="str">
        <f>IF(AND(B4438='111'!$L$11,OR($N4438=$Q$7,$O4438=$Q$7)),"x","")</f>
        <v/>
      </c>
      <c r="R4438" s="79" t="str">
        <f>IF(AND($N4438=$Q$7,$B4438&lt;'111'!$L$11),"x","")</f>
        <v/>
      </c>
      <c r="S4438" s="79" t="str">
        <f>IF(AND($O4438=$Q$7,$B4438&lt;'111'!$L$11),"x","")</f>
        <v/>
      </c>
      <c r="T4438" s="79" t="str">
        <f>IF(ISERROR(FIND('112'!$M$9,G4438,1)),"",IF((AND(FIND('112'!$M$9,G4438,1)&gt;=1,B4438='112'!$K$9,OR($N4438='112'!$I$6,$O4438='112'!$I$6))),"x",""))</f>
        <v/>
      </c>
      <c r="U4438" s="79" t="str">
        <f>IF(ISERROR(FIND('112'!$M$9,G4438,1)),"",IF((AND(LEFT(G4438,2)=LEFT('112'!$M$9,2),B4438&lt;'112'!$K$9,$N4438='112'!$I$6)),"x",""))</f>
        <v/>
      </c>
      <c r="V4438" s="79" t="str">
        <f>IF(ISERROR(FIND('112'!$M$9,G4438,1)),"",IF((AND(RIGHT(G4438,2)=RIGHT('112'!$M$9,2),B4438&lt;'112'!$K$9,$O4438='112'!$I$6)),"x",""))</f>
        <v/>
      </c>
      <c r="W4438" s="79" t="str">
        <f>IF(AND('341-CT'!$H$9=H4438,OR(LEFT(N4438,3)=$W$7,LEFT(O4438,3)=$W$7)),"x","")</f>
        <v/>
      </c>
      <c r="X4438" s="79" t="str">
        <f>IF(OR(TH!N4438=TH!$X$7,O4438=TH!$X$7),"x","")</f>
        <v/>
      </c>
      <c r="Y4438" s="79" t="str">
        <f>IF(AND(OR(N4438="131",O4438="131"),H4438='131-CT'!$H$9),"x","")</f>
        <v/>
      </c>
      <c r="Z4438" s="79"/>
      <c r="AA4438" s="79" t="str">
        <f>IF(AND(MONTH(E4438)='IN-NX'!$J$5,'IN-NX'!$D$7=D4438),"x","")</f>
        <v/>
      </c>
      <c r="AB4438" s="79" t="str">
        <f>IF(AND(OR(LEFT(TH!N4438,2)="15",LEFT(TH!O4438,2)="15"),LEFT(TH!O4438,3)&lt;&gt;"111",'152-CT'!$J$8=TH!F4438),"x","")</f>
        <v/>
      </c>
      <c r="AC4438" s="79" t="str">
        <f>IF(AND(OR(LEFT(TH!N4438,2)="15",LEFT(TH!O4438,2)="15"),TK!$E$7=TH!F4438),"x","")</f>
        <v/>
      </c>
      <c r="AD4438" s="79" t="str">
        <f>IF(AND(N4438="1521",MONTH(C4438)='BK-NL'!$M$11),"x","")</f>
        <v/>
      </c>
    </row>
    <row r="4439" spans="1:30" ht="16.5" customHeight="1">
      <c r="A4439" s="318" t="str">
        <f>IF(B4439&lt;&gt;"",IF(AND(B4439='[3]IN-TC'!$S$4,OR([3]TH!N3670="1111",[3]TH!O3670="1111")),[3]TH!D3670,""),"")</f>
        <v/>
      </c>
      <c r="B4439" s="60" t="str">
        <f t="shared" si="472"/>
        <v/>
      </c>
      <c r="C4439" s="61"/>
      <c r="D4439" s="61"/>
      <c r="E4439" s="61"/>
      <c r="F4439" s="69"/>
      <c r="G4439" s="64"/>
      <c r="H4439" s="321"/>
      <c r="I4439" s="385"/>
      <c r="J4439" s="392"/>
      <c r="K4439" s="385"/>
      <c r="L4439" s="392"/>
      <c r="M4439" s="62"/>
      <c r="N4439" s="63"/>
      <c r="O4439" s="63"/>
      <c r="P4439" s="79" t="str">
        <f>IF(AND('331-CT'!$E$7=TH!H4439,OR(N4439="331",O4439="331")),"x","")</f>
        <v/>
      </c>
      <c r="Q4439" s="79" t="str">
        <f>IF(AND(B4439='111'!$L$11,OR($N4439=$Q$7,$O4439=$Q$7)),"x","")</f>
        <v/>
      </c>
      <c r="R4439" s="79" t="str">
        <f>IF(AND($N4439=$Q$7,$B4439&lt;'111'!$L$11),"x","")</f>
        <v/>
      </c>
      <c r="S4439" s="79" t="str">
        <f>IF(AND($O4439=$Q$7,$B4439&lt;'111'!$L$11),"x","")</f>
        <v/>
      </c>
      <c r="T4439" s="79" t="str">
        <f>IF(ISERROR(FIND('112'!$M$9,G4439,1)),"",IF((AND(FIND('112'!$M$9,G4439,1)&gt;=1,B4439='112'!$K$9,OR($N4439='112'!$I$6,$O4439='112'!$I$6))),"x",""))</f>
        <v/>
      </c>
      <c r="U4439" s="79" t="str">
        <f>IF(ISERROR(FIND('112'!$M$9,G4439,1)),"",IF((AND(LEFT(G4439,2)=LEFT('112'!$M$9,2),B4439&lt;'112'!$K$9,$N4439='112'!$I$6)),"x",""))</f>
        <v/>
      </c>
      <c r="V4439" s="79" t="str">
        <f>IF(ISERROR(FIND('112'!$M$9,G4439,1)),"",IF((AND(RIGHT(G4439,2)=RIGHT('112'!$M$9,2),B4439&lt;'112'!$K$9,$O4439='112'!$I$6)),"x",""))</f>
        <v/>
      </c>
      <c r="W4439" s="79" t="str">
        <f>IF(AND('341-CT'!$H$9=H4439,OR(LEFT(N4439,3)=$W$7,LEFT(O4439,3)=$W$7)),"x","")</f>
        <v/>
      </c>
      <c r="X4439" s="79" t="str">
        <f>IF(OR(TH!N4439=TH!$X$7,O4439=TH!$X$7),"x","")</f>
        <v/>
      </c>
      <c r="Y4439" s="79" t="str">
        <f>IF(AND(OR(N4439="131",O4439="131"),H4439='131-CT'!$H$9),"x","")</f>
        <v/>
      </c>
      <c r="Z4439" s="79"/>
      <c r="AA4439" s="79" t="str">
        <f>IF(AND(MONTH(E4439)='IN-NX'!$J$5,'IN-NX'!$D$7=D4439),"x","")</f>
        <v/>
      </c>
      <c r="AB4439" s="79" t="str">
        <f>IF(AND(OR(LEFT(TH!N4439,2)="15",LEFT(TH!O4439,2)="15"),LEFT(TH!O4439,3)&lt;&gt;"111",'152-CT'!$J$8=TH!F4439),"x","")</f>
        <v/>
      </c>
      <c r="AC4439" s="79" t="str">
        <f>IF(AND(OR(LEFT(TH!N4439,2)="15",LEFT(TH!O4439,2)="15"),TK!$E$7=TH!F4439),"x","")</f>
        <v/>
      </c>
      <c r="AD4439" s="79" t="str">
        <f>IF(AND(N4439="1521",MONTH(C4439)='BK-NL'!$M$11),"x","")</f>
        <v/>
      </c>
    </row>
    <row r="4440" spans="1:30" ht="16.5" customHeight="1">
      <c r="A4440" s="318" t="str">
        <f>IF(B4440&lt;&gt;"",IF(AND(B4440='[3]IN-TC'!$S$4,OR([3]TH!N3671="1111",[3]TH!O3671="1111")),[3]TH!D3671,""),"")</f>
        <v/>
      </c>
      <c r="B4440" s="60" t="str">
        <f t="shared" si="472"/>
        <v/>
      </c>
      <c r="C4440" s="301"/>
      <c r="D4440" s="301"/>
      <c r="E4440" s="301"/>
      <c r="F4440" s="69"/>
      <c r="G4440" s="988"/>
      <c r="H4440" s="69"/>
      <c r="I4440" s="385"/>
      <c r="J4440" s="969"/>
      <c r="K4440" s="385"/>
      <c r="L4440" s="392"/>
      <c r="M4440" s="970"/>
      <c r="N4440" s="304"/>
      <c r="O4440" s="304"/>
      <c r="P4440" s="79" t="str">
        <f>IF(AND('331-CT'!$E$7=TH!H4440,OR(N4440="331",O4440="331")),"x","")</f>
        <v/>
      </c>
      <c r="Q4440" s="79" t="str">
        <f>IF(AND(B4440='111'!$L$11,OR($N4440=$Q$7,$O4440=$Q$7)),"x","")</f>
        <v/>
      </c>
      <c r="R4440" s="79" t="str">
        <f>IF(AND($N4440=$Q$7,$B4440&lt;'111'!$L$11),"x","")</f>
        <v/>
      </c>
      <c r="S4440" s="79" t="str">
        <f>IF(AND($O4440=$Q$7,$B4440&lt;'111'!$L$11),"x","")</f>
        <v/>
      </c>
      <c r="T4440" s="79" t="str">
        <f>IF(ISERROR(FIND('112'!$M$9,G4440,1)),"",IF((AND(FIND('112'!$M$9,G4440,1)&gt;=1,B4440='112'!$K$9,OR($N4440='112'!$I$6,$O4440='112'!$I$6))),"x",""))</f>
        <v/>
      </c>
      <c r="U4440" s="79" t="str">
        <f>IF(ISERROR(FIND('112'!$M$9,G4440,1)),"",IF((AND(LEFT(G4440,2)=LEFT('112'!$M$9,2),B4440&lt;'112'!$K$9,$N4440='112'!$I$6)),"x",""))</f>
        <v/>
      </c>
      <c r="V4440" s="79" t="str">
        <f>IF(ISERROR(FIND('112'!$M$9,G4440,1)),"",IF((AND(RIGHT(G4440,2)=RIGHT('112'!$M$9,2),B4440&lt;'112'!$K$9,$O4440='112'!$I$6)),"x",""))</f>
        <v/>
      </c>
      <c r="W4440" s="79" t="str">
        <f>IF(AND('341-CT'!$H$9=H4440,OR(LEFT(N4440,3)=$W$7,LEFT(O4440,3)=$W$7)),"x","")</f>
        <v/>
      </c>
      <c r="X4440" s="79" t="str">
        <f>IF(OR(TH!N4440=TH!$X$7,O4440=TH!$X$7),"x","")</f>
        <v/>
      </c>
      <c r="Y4440" s="79" t="str">
        <f>IF(AND(OR(N4440="131",O4440="131"),H4440='131-CT'!$H$9),"x","")</f>
        <v/>
      </c>
      <c r="Z4440" s="79"/>
      <c r="AA4440" s="79" t="str">
        <f>IF(AND(MONTH(E4440)='IN-NX'!$J$5,'IN-NX'!$D$7=D4440),"x","")</f>
        <v/>
      </c>
      <c r="AB4440" s="79" t="str">
        <f>IF(AND(OR(LEFT(TH!N4440,2)="15",LEFT(TH!O4440,2)="15"),LEFT(TH!O4440,3)&lt;&gt;"111",'152-CT'!$J$8=TH!F4440),"x","")</f>
        <v/>
      </c>
      <c r="AC4440" s="79" t="str">
        <f>IF(AND(OR(LEFT(TH!N4440,2)="15",LEFT(TH!O4440,2)="15"),TK!$E$7=TH!F4440),"x","")</f>
        <v/>
      </c>
      <c r="AD4440" s="79" t="str">
        <f>IF(AND(N4440="1521",MONTH(C4440)='BK-NL'!$M$11),"x","")</f>
        <v/>
      </c>
    </row>
    <row r="4441" spans="1:30" s="1101" customFormat="1" ht="16.5" customHeight="1">
      <c r="A4441" s="318" t="str">
        <f>IF(B4441&lt;&gt;"",IF(AND(B4441='[3]IN-TC'!$S$4,OR([3]TH!N3672="1111",[3]TH!O3672="1111")),[3]TH!D3672,""),"")</f>
        <v/>
      </c>
      <c r="B4441" s="60" t="str">
        <f>IF(C4441&lt;&gt;"",MONTH(C4441),"")</f>
        <v/>
      </c>
      <c r="C4441" s="61"/>
      <c r="D4441" s="61"/>
      <c r="E4441" s="61"/>
      <c r="F4441" s="69"/>
      <c r="G4441" s="64"/>
      <c r="H4441" s="1012"/>
      <c r="I4441" s="385"/>
      <c r="J4441" s="392"/>
      <c r="K4441" s="385"/>
      <c r="L4441" s="392"/>
      <c r="M4441" s="970"/>
      <c r="N4441" s="63"/>
      <c r="O4441" s="63"/>
      <c r="P4441" s="79" t="str">
        <f>IF(AND('331-CT'!$E$7=TH!H4441,OR(N4441="331",O4441="331")),"x","")</f>
        <v/>
      </c>
      <c r="Q4441" s="79" t="str">
        <f>IF(AND(B4441='111'!$L$11,OR($N4441=$Q$7,$O4441=$Q$7)),"x","")</f>
        <v/>
      </c>
      <c r="R4441" s="79" t="str">
        <f>IF(AND($N4441=$Q$7,$B4441&lt;'111'!$L$11),"x","")</f>
        <v/>
      </c>
      <c r="S4441" s="79" t="str">
        <f>IF(AND($O4441=$Q$7,$B4441&lt;'111'!$L$11),"x","")</f>
        <v/>
      </c>
      <c r="T4441" s="79" t="str">
        <f>IF(ISERROR(FIND('112'!$M$9,G4441,1)),"",IF((AND(FIND('112'!$M$9,G4441,1)&gt;=1,B4441='112'!$K$9,OR($N4441='112'!$I$6,$O4441='112'!$I$6))),"x",""))</f>
        <v/>
      </c>
      <c r="U4441" s="79" t="str">
        <f>IF(ISERROR(FIND('112'!$M$9,G4441,1)),"",IF((AND(LEFT(G4441,2)=LEFT('112'!$M$9,2),B4441&lt;'112'!$K$9,$N4441='112'!$I$6)),"x",""))</f>
        <v/>
      </c>
      <c r="V4441" s="79" t="str">
        <f>IF(ISERROR(FIND('112'!$M$9,G4441,1)),"",IF((AND(RIGHT(G4441,2)=RIGHT('112'!$M$9,2),B4441&lt;'112'!$K$9,$O4441='112'!$I$6)),"x",""))</f>
        <v/>
      </c>
      <c r="W4441" s="79" t="str">
        <f>IF(AND('341-CT'!$H$9=H4441,OR(LEFT(N4441,3)=$W$7,LEFT(O4441,3)=$W$7)),"x","")</f>
        <v/>
      </c>
      <c r="X4441" s="79" t="str">
        <f>IF(OR(TH!N4441=TH!$X$7,O4441=TH!$X$7),"x","")</f>
        <v/>
      </c>
      <c r="Y4441" s="79" t="str">
        <f>IF(AND(OR(N4441="131",O4441="131"),H4441='131-CT'!$H$9),"x","")</f>
        <v/>
      </c>
      <c r="Z4441" s="79"/>
      <c r="AA4441" s="79" t="str">
        <f>IF(AND(MONTH(E4441)='IN-NX'!$J$5,'IN-NX'!$D$7=D4441),"x","")</f>
        <v/>
      </c>
      <c r="AB4441" s="79" t="str">
        <f>IF(AND(OR(LEFT(TH!N4441,2)="15",LEFT(TH!O4441,2)="15"),LEFT(TH!O4441,3)&lt;&gt;"111",'152-CT'!$J$8=TH!F4441),"x","")</f>
        <v/>
      </c>
      <c r="AC4441" s="79" t="str">
        <f>IF(AND(OR(LEFT(TH!N4441,2)="15",LEFT(TH!O4441,2)="15"),TK!$E$7=TH!F4441),"x","")</f>
        <v/>
      </c>
      <c r="AD4441" s="79" t="str">
        <f>IF(AND(N4441="1521",MONTH(C4441)='BK-NL'!$M$11),"x","")</f>
        <v/>
      </c>
    </row>
    <row r="4442" spans="1:30" ht="16.5" customHeight="1">
      <c r="A4442" s="318" t="str">
        <f>IF(B4442&lt;&gt;"",IF(AND(B4442='[3]IN-TC'!$S$4,OR([3]TH!N3673="1111",[3]TH!O3673="1111")),[3]TH!D3673,""),"")</f>
        <v/>
      </c>
      <c r="B4442" s="60" t="str">
        <f t="shared" ref="B4442:B4505" si="473">IF(C4442&lt;&gt;"",MONTH(C4442),"")</f>
        <v/>
      </c>
      <c r="C4442" s="61"/>
      <c r="D4442" s="61"/>
      <c r="E4442" s="61"/>
      <c r="F4442" s="69"/>
      <c r="G4442" s="64"/>
      <c r="H4442" s="69"/>
      <c r="I4442" s="385"/>
      <c r="J4442" s="392"/>
      <c r="K4442" s="385"/>
      <c r="L4442" s="392"/>
      <c r="M4442" s="62"/>
      <c r="N4442" s="63"/>
      <c r="O4442" s="63"/>
      <c r="P4442" s="79" t="str">
        <f>IF(AND('331-CT'!$E$7=TH!H4442,OR(N4442="331",O4442="331")),"x","")</f>
        <v/>
      </c>
      <c r="Q4442" s="79" t="str">
        <f>IF(AND(B4442='111'!$L$11,OR($N4442=$Q$7,$O4442=$Q$7)),"x","")</f>
        <v/>
      </c>
      <c r="R4442" s="79" t="str">
        <f>IF(AND($N4442=$Q$7,$B4442&lt;'111'!$L$11),"x","")</f>
        <v/>
      </c>
      <c r="S4442" s="79" t="str">
        <f>IF(AND($O4442=$Q$7,$B4442&lt;'111'!$L$11),"x","")</f>
        <v/>
      </c>
      <c r="T4442" s="79" t="str">
        <f>IF(ISERROR(FIND('112'!$M$9,G4442,1)),"",IF((AND(FIND('112'!$M$9,G4442,1)&gt;=1,B4442='112'!$K$9,OR($N4442='112'!$I$6,$O4442='112'!$I$6))),"x",""))</f>
        <v/>
      </c>
      <c r="U4442" s="79" t="str">
        <f>IF(ISERROR(FIND('112'!$M$9,G4442,1)),"",IF((AND(LEFT(G4442,2)=LEFT('112'!$M$9,2),B4442&lt;'112'!$K$9,$N4442='112'!$I$6)),"x",""))</f>
        <v/>
      </c>
      <c r="V4442" s="79" t="str">
        <f>IF(ISERROR(FIND('112'!$M$9,G4442,1)),"",IF((AND(RIGHT(G4442,2)=RIGHT('112'!$M$9,2),B4442&lt;'112'!$K$9,$O4442='112'!$I$6)),"x",""))</f>
        <v/>
      </c>
      <c r="W4442" s="79" t="str">
        <f>IF(AND('341-CT'!$H$9=H4442,OR(LEFT(N4442,3)=$W$7,LEFT(O4442,3)=$W$7)),"x","")</f>
        <v/>
      </c>
      <c r="X4442" s="79" t="str">
        <f>IF(OR(TH!N4442=TH!$X$7,O4442=TH!$X$7),"x","")</f>
        <v/>
      </c>
      <c r="Y4442" s="79" t="str">
        <f>IF(AND(OR(N4442="131",O4442="131"),H4442='131-CT'!$H$9),"x","")</f>
        <v/>
      </c>
      <c r="Z4442" s="79"/>
      <c r="AA4442" s="79" t="str">
        <f>IF(AND(MONTH(E4442)='IN-NX'!$J$5,'IN-NX'!$D$7=D4442),"x","")</f>
        <v/>
      </c>
      <c r="AB4442" s="79" t="str">
        <f>IF(AND(OR(LEFT(TH!N4442,2)="15",LEFT(TH!O4442,2)="15"),LEFT(TH!O4442,3)&lt;&gt;"111",'152-CT'!$J$8=TH!F4442),"x","")</f>
        <v/>
      </c>
      <c r="AC4442" s="79" t="str">
        <f>IF(AND(OR(LEFT(TH!N4442,2)="15",LEFT(TH!O4442,2)="15"),TK!$E$7=TH!F4442),"x","")</f>
        <v/>
      </c>
      <c r="AD4442" s="79" t="str">
        <f>IF(AND(N4442="1521",MONTH(C4442)='BK-NL'!$M$11),"x","")</f>
        <v/>
      </c>
    </row>
    <row r="4443" spans="1:30" ht="16.5" customHeight="1">
      <c r="A4443" s="318" t="str">
        <f>IF(B4443&lt;&gt;"",IF(AND(B4443='[3]IN-TC'!$S$4,OR([3]TH!N3674="1111",[3]TH!O3674="1111")),[3]TH!D3674,""),"")</f>
        <v/>
      </c>
      <c r="B4443" s="60" t="str">
        <f t="shared" si="473"/>
        <v/>
      </c>
      <c r="C4443" s="61"/>
      <c r="D4443" s="61"/>
      <c r="E4443" s="61"/>
      <c r="F4443" s="69"/>
      <c r="G4443" s="64"/>
      <c r="H4443" s="321"/>
      <c r="I4443" s="385"/>
      <c r="J4443" s="392"/>
      <c r="K4443" s="385"/>
      <c r="L4443" s="392"/>
      <c r="M4443" s="62"/>
      <c r="N4443" s="63"/>
      <c r="O4443" s="63"/>
      <c r="P4443" s="79" t="str">
        <f>IF(AND('331-CT'!$E$7=TH!H4443,OR(N4443="331",O4443="331")),"x","")</f>
        <v/>
      </c>
      <c r="Q4443" s="79" t="str">
        <f>IF(AND(B4443='111'!$L$11,OR($N4443=$Q$7,$O4443=$Q$7)),"x","")</f>
        <v/>
      </c>
      <c r="R4443" s="79" t="str">
        <f>IF(AND($N4443=$Q$7,$B4443&lt;'111'!$L$11),"x","")</f>
        <v/>
      </c>
      <c r="S4443" s="79" t="str">
        <f>IF(AND($O4443=$Q$7,$B4443&lt;'111'!$L$11),"x","")</f>
        <v/>
      </c>
      <c r="T4443" s="79" t="str">
        <f>IF(ISERROR(FIND('112'!$M$9,G4443,1)),"",IF((AND(FIND('112'!$M$9,G4443,1)&gt;=1,B4443='112'!$K$9,OR($N4443='112'!$I$6,$O4443='112'!$I$6))),"x",""))</f>
        <v/>
      </c>
      <c r="U4443" s="79" t="str">
        <f>IF(ISERROR(FIND('112'!$M$9,G4443,1)),"",IF((AND(LEFT(G4443,2)=LEFT('112'!$M$9,2),B4443&lt;'112'!$K$9,$N4443='112'!$I$6)),"x",""))</f>
        <v/>
      </c>
      <c r="V4443" s="79" t="str">
        <f>IF(ISERROR(FIND('112'!$M$9,G4443,1)),"",IF((AND(RIGHT(G4443,2)=RIGHT('112'!$M$9,2),B4443&lt;'112'!$K$9,$O4443='112'!$I$6)),"x",""))</f>
        <v/>
      </c>
      <c r="W4443" s="79" t="str">
        <f>IF(AND('341-CT'!$H$9=H4443,OR(LEFT(N4443,3)=$W$7,LEFT(O4443,3)=$W$7)),"x","")</f>
        <v/>
      </c>
      <c r="X4443" s="79" t="str">
        <f>IF(OR(TH!N4443=TH!$X$7,O4443=TH!$X$7),"x","")</f>
        <v/>
      </c>
      <c r="Y4443" s="79" t="str">
        <f>IF(AND(OR(N4443="131",O4443="131"),H4443='131-CT'!$H$9),"x","")</f>
        <v/>
      </c>
      <c r="Z4443" s="79"/>
      <c r="AA4443" s="79" t="str">
        <f>IF(AND(MONTH(E4443)='IN-NX'!$J$5,'IN-NX'!$D$7=D4443),"x","")</f>
        <v/>
      </c>
      <c r="AB4443" s="79" t="str">
        <f>IF(AND(OR(LEFT(TH!N4443,2)="15",LEFT(TH!O4443,2)="15"),LEFT(TH!O4443,3)&lt;&gt;"111",'152-CT'!$J$8=TH!F4443),"x","")</f>
        <v/>
      </c>
      <c r="AC4443" s="79" t="str">
        <f>IF(AND(OR(LEFT(TH!N4443,2)="15",LEFT(TH!O4443,2)="15"),TK!$E$7=TH!F4443),"x","")</f>
        <v/>
      </c>
      <c r="AD4443" s="79" t="str">
        <f>IF(AND(N4443="1521",MONTH(C4443)='BK-NL'!$M$11),"x","")</f>
        <v/>
      </c>
    </row>
    <row r="4444" spans="1:30" ht="16.5" customHeight="1">
      <c r="A4444" s="318" t="str">
        <f>IF(B4444&lt;&gt;"",IF(AND(B4444='[3]IN-TC'!$S$4,OR([3]TH!N3675="1111",[3]TH!O3675="1111")),[3]TH!D3675,""),"")</f>
        <v/>
      </c>
      <c r="B4444" s="60" t="str">
        <f t="shared" si="473"/>
        <v/>
      </c>
      <c r="C4444" s="61"/>
      <c r="D4444" s="61"/>
      <c r="E4444" s="61"/>
      <c r="F4444" s="69"/>
      <c r="G4444" s="64"/>
      <c r="H4444" s="321"/>
      <c r="I4444" s="385"/>
      <c r="J4444" s="392"/>
      <c r="K4444" s="385"/>
      <c r="L4444" s="392"/>
      <c r="M4444" s="62"/>
      <c r="N4444" s="63"/>
      <c r="O4444" s="63"/>
      <c r="P4444" s="79" t="str">
        <f>IF(AND('331-CT'!$E$7=TH!H4444,OR(N4444="331",O4444="331")),"x","")</f>
        <v/>
      </c>
      <c r="Q4444" s="79" t="str">
        <f>IF(AND(B4444='111'!$L$11,OR($N4444=$Q$7,$O4444=$Q$7)),"x","")</f>
        <v/>
      </c>
      <c r="R4444" s="79" t="str">
        <f>IF(AND($N4444=$Q$7,$B4444&lt;'111'!$L$11),"x","")</f>
        <v/>
      </c>
      <c r="S4444" s="79" t="str">
        <f>IF(AND($O4444=$Q$7,$B4444&lt;'111'!$L$11),"x","")</f>
        <v/>
      </c>
      <c r="T4444" s="79" t="str">
        <f>IF(ISERROR(FIND('112'!$M$9,G4444,1)),"",IF((AND(FIND('112'!$M$9,G4444,1)&gt;=1,B4444='112'!$K$9,OR($N4444='112'!$I$6,$O4444='112'!$I$6))),"x",""))</f>
        <v/>
      </c>
      <c r="U4444" s="79" t="str">
        <f>IF(ISERROR(FIND('112'!$M$9,G4444,1)),"",IF((AND(LEFT(G4444,2)=LEFT('112'!$M$9,2),B4444&lt;'112'!$K$9,$N4444='112'!$I$6)),"x",""))</f>
        <v/>
      </c>
      <c r="V4444" s="79" t="str">
        <f>IF(ISERROR(FIND('112'!$M$9,G4444,1)),"",IF((AND(RIGHT(G4444,2)=RIGHT('112'!$M$9,2),B4444&lt;'112'!$K$9,$O4444='112'!$I$6)),"x",""))</f>
        <v/>
      </c>
      <c r="W4444" s="79" t="str">
        <f>IF(AND('341-CT'!$H$9=H4444,OR(LEFT(N4444,3)=$W$7,LEFT(O4444,3)=$W$7)),"x","")</f>
        <v/>
      </c>
      <c r="X4444" s="79" t="str">
        <f>IF(OR(TH!N4444=TH!$X$7,O4444=TH!$X$7),"x","")</f>
        <v/>
      </c>
      <c r="Y4444" s="79" t="str">
        <f>IF(AND(OR(N4444="131",O4444="131"),H4444='131-CT'!$H$9),"x","")</f>
        <v/>
      </c>
      <c r="Z4444" s="79"/>
      <c r="AA4444" s="79" t="str">
        <f>IF(AND(MONTH(E4444)='IN-NX'!$J$5,'IN-NX'!$D$7=D4444),"x","")</f>
        <v/>
      </c>
      <c r="AB4444" s="79" t="str">
        <f>IF(AND(OR(LEFT(TH!N4444,2)="15",LEFT(TH!O4444,2)="15"),LEFT(TH!O4444,3)&lt;&gt;"111",'152-CT'!$J$8=TH!F4444),"x","")</f>
        <v/>
      </c>
      <c r="AC4444" s="79" t="str">
        <f>IF(AND(OR(LEFT(TH!N4444,2)="15",LEFT(TH!O4444,2)="15"),TK!$E$7=TH!F4444),"x","")</f>
        <v/>
      </c>
      <c r="AD4444" s="79" t="str">
        <f>IF(AND(N4444="1521",MONTH(C4444)='BK-NL'!$M$11),"x","")</f>
        <v/>
      </c>
    </row>
    <row r="4445" spans="1:30" ht="16.5" customHeight="1">
      <c r="A4445" s="318" t="str">
        <f>IF(B4445&lt;&gt;"",IF(AND(B4445='[3]IN-TC'!$S$4,OR([3]TH!N3676="1111",[3]TH!O3676="1111")),[3]TH!D3676,""),"")</f>
        <v/>
      </c>
      <c r="B4445" s="60" t="str">
        <f t="shared" si="473"/>
        <v/>
      </c>
      <c r="C4445" s="61"/>
      <c r="D4445" s="61"/>
      <c r="E4445" s="61"/>
      <c r="F4445" s="69"/>
      <c r="G4445" s="64"/>
      <c r="H4445" s="321"/>
      <c r="I4445" s="385"/>
      <c r="J4445" s="392"/>
      <c r="K4445" s="385"/>
      <c r="L4445" s="392"/>
      <c r="M4445" s="62"/>
      <c r="N4445" s="63"/>
      <c r="O4445" s="63"/>
      <c r="P4445" s="79" t="str">
        <f>IF(AND('331-CT'!$E$7=TH!H4445,OR(N4445="331",O4445="331")),"x","")</f>
        <v/>
      </c>
      <c r="Q4445" s="79" t="str">
        <f>IF(AND(B4445='111'!$L$11,OR($N4445=$Q$7,$O4445=$Q$7)),"x","")</f>
        <v/>
      </c>
      <c r="R4445" s="79" t="str">
        <f>IF(AND($N4445=$Q$7,$B4445&lt;'111'!$L$11),"x","")</f>
        <v/>
      </c>
      <c r="S4445" s="79" t="str">
        <f>IF(AND($O4445=$Q$7,$B4445&lt;'111'!$L$11),"x","")</f>
        <v/>
      </c>
      <c r="T4445" s="79" t="str">
        <f>IF(ISERROR(FIND('112'!$M$9,G4445,1)),"",IF((AND(FIND('112'!$M$9,G4445,1)&gt;=1,B4445='112'!$K$9,OR($N4445='112'!$I$6,$O4445='112'!$I$6))),"x",""))</f>
        <v/>
      </c>
      <c r="U4445" s="79" t="str">
        <f>IF(ISERROR(FIND('112'!$M$9,G4445,1)),"",IF((AND(LEFT(G4445,2)=LEFT('112'!$M$9,2),B4445&lt;'112'!$K$9,$N4445='112'!$I$6)),"x",""))</f>
        <v/>
      </c>
      <c r="V4445" s="79" t="str">
        <f>IF(ISERROR(FIND('112'!$M$9,G4445,1)),"",IF((AND(RIGHT(G4445,2)=RIGHT('112'!$M$9,2),B4445&lt;'112'!$K$9,$O4445='112'!$I$6)),"x",""))</f>
        <v/>
      </c>
      <c r="W4445" s="79" t="str">
        <f>IF(AND('341-CT'!$H$9=H4445,OR(LEFT(N4445,3)=$W$7,LEFT(O4445,3)=$W$7)),"x","")</f>
        <v/>
      </c>
      <c r="X4445" s="79" t="str">
        <f>IF(OR(TH!N4445=TH!$X$7,O4445=TH!$X$7),"x","")</f>
        <v/>
      </c>
      <c r="Y4445" s="79" t="str">
        <f>IF(AND(OR(N4445="131",O4445="131"),H4445='131-CT'!$H$9),"x","")</f>
        <v/>
      </c>
      <c r="Z4445" s="79"/>
      <c r="AA4445" s="79" t="str">
        <f>IF(AND(MONTH(E4445)='IN-NX'!$J$5,'IN-NX'!$D$7=D4445),"x","")</f>
        <v/>
      </c>
      <c r="AB4445" s="79" t="str">
        <f>IF(AND(OR(LEFT(TH!N4445,2)="15",LEFT(TH!O4445,2)="15"),LEFT(TH!O4445,3)&lt;&gt;"111",'152-CT'!$J$8=TH!F4445),"x","")</f>
        <v/>
      </c>
      <c r="AC4445" s="79" t="str">
        <f>IF(AND(OR(LEFT(TH!N4445,2)="15",LEFT(TH!O4445,2)="15"),TK!$E$7=TH!F4445),"x","")</f>
        <v/>
      </c>
      <c r="AD4445" s="79" t="str">
        <f>IF(AND(N4445="1521",MONTH(C4445)='BK-NL'!$M$11),"x","")</f>
        <v/>
      </c>
    </row>
    <row r="4446" spans="1:30" ht="16.5" customHeight="1">
      <c r="A4446" s="318" t="str">
        <f>IF(B4446&lt;&gt;"",IF(AND(B4446='[3]IN-TC'!$S$4,OR([3]TH!N3677="1111",[3]TH!O3677="1111")),[3]TH!D3677,""),"")</f>
        <v/>
      </c>
      <c r="B4446" s="60" t="str">
        <f t="shared" si="473"/>
        <v/>
      </c>
      <c r="C4446" s="61"/>
      <c r="D4446" s="301"/>
      <c r="E4446" s="301"/>
      <c r="F4446" s="69"/>
      <c r="G4446" s="64"/>
      <c r="H4446" s="321"/>
      <c r="I4446" s="385"/>
      <c r="J4446" s="392"/>
      <c r="K4446" s="385"/>
      <c r="L4446" s="392"/>
      <c r="M4446" s="62"/>
      <c r="N4446" s="63"/>
      <c r="O4446" s="304"/>
      <c r="P4446" s="79" t="str">
        <f>IF(AND('331-CT'!$E$7=TH!H4446,OR(N4446="331",O4446="331")),"x","")</f>
        <v/>
      </c>
      <c r="Q4446" s="79" t="str">
        <f>IF(AND(B4446='111'!$L$11,OR($N4446=$Q$7,$O4446=$Q$7)),"x","")</f>
        <v/>
      </c>
      <c r="R4446" s="79" t="str">
        <f>IF(AND($N4446=$Q$7,$B4446&lt;'111'!$L$11),"x","")</f>
        <v/>
      </c>
      <c r="S4446" s="79" t="str">
        <f>IF(AND($O4446=$Q$7,$B4446&lt;'111'!$L$11),"x","")</f>
        <v/>
      </c>
      <c r="T4446" s="79" t="str">
        <f>IF(ISERROR(FIND('112'!$M$9,G4446,1)),"",IF((AND(FIND('112'!$M$9,G4446,1)&gt;=1,B4446='112'!$K$9,OR($N4446='112'!$I$6,$O4446='112'!$I$6))),"x",""))</f>
        <v/>
      </c>
      <c r="U4446" s="79" t="str">
        <f>IF(ISERROR(FIND('112'!$M$9,G4446,1)),"",IF((AND(LEFT(G4446,2)=LEFT('112'!$M$9,2),B4446&lt;'112'!$K$9,$N4446='112'!$I$6)),"x",""))</f>
        <v/>
      </c>
      <c r="V4446" s="79" t="str">
        <f>IF(ISERROR(FIND('112'!$M$9,G4446,1)),"",IF((AND(RIGHT(G4446,2)=RIGHT('112'!$M$9,2),B4446&lt;'112'!$K$9,$O4446='112'!$I$6)),"x",""))</f>
        <v/>
      </c>
      <c r="W4446" s="79" t="str">
        <f>IF(AND('341-CT'!$H$9=H4446,OR(LEFT(N4446,3)=$W$7,LEFT(O4446,3)=$W$7)),"x","")</f>
        <v/>
      </c>
      <c r="X4446" s="79" t="str">
        <f>IF(OR(TH!N4446=TH!$X$7,O4446=TH!$X$7),"x","")</f>
        <v/>
      </c>
      <c r="Y4446" s="79" t="str">
        <f>IF(AND(OR(N4446="131",O4446="131"),H4446='131-CT'!$H$9),"x","")</f>
        <v/>
      </c>
      <c r="Z4446" s="79"/>
      <c r="AA4446" s="79" t="str">
        <f>IF(AND(MONTH(E4446)='IN-NX'!$J$5,'IN-NX'!$D$7=D4446),"x","")</f>
        <v/>
      </c>
      <c r="AB4446" s="79" t="str">
        <f>IF(AND(OR(LEFT(TH!N4446,2)="15",LEFT(TH!O4446,2)="15"),LEFT(TH!O4446,3)&lt;&gt;"111",'152-CT'!$J$8=TH!F4446),"x","")</f>
        <v/>
      </c>
      <c r="AC4446" s="79" t="str">
        <f>IF(AND(OR(LEFT(TH!N4446,2)="15",LEFT(TH!O4446,2)="15"),TK!$E$7=TH!F4446),"x","")</f>
        <v/>
      </c>
      <c r="AD4446" s="79" t="str">
        <f>IF(AND(N4446="1521",MONTH(C4446)='BK-NL'!$M$11),"x","")</f>
        <v/>
      </c>
    </row>
    <row r="4447" spans="1:30" ht="16.5" customHeight="1">
      <c r="A4447" s="318" t="str">
        <f>IF(B4447&lt;&gt;"",IF(AND(B4447='[3]IN-TC'!$S$4,OR([3]TH!N3678="1111",[3]TH!O3678="1111")),[3]TH!D3678,""),"")</f>
        <v/>
      </c>
      <c r="B4447" s="60" t="str">
        <f t="shared" si="473"/>
        <v/>
      </c>
      <c r="C4447" s="301"/>
      <c r="D4447" s="301"/>
      <c r="E4447" s="301"/>
      <c r="F4447" s="69"/>
      <c r="G4447" s="988"/>
      <c r="H4447" s="69"/>
      <c r="I4447" s="385"/>
      <c r="J4447" s="969"/>
      <c r="K4447" s="385"/>
      <c r="L4447" s="392"/>
      <c r="M4447" s="970"/>
      <c r="N4447" s="304"/>
      <c r="O4447" s="304"/>
      <c r="P4447" s="79" t="str">
        <f>IF(AND('331-CT'!$E$7=TH!H4447,OR(N4447="331",O4447="331")),"x","")</f>
        <v/>
      </c>
      <c r="Q4447" s="79" t="str">
        <f>IF(AND(B4447='111'!$L$11,OR($N4447=$Q$7,$O4447=$Q$7)),"x","")</f>
        <v/>
      </c>
      <c r="R4447" s="79" t="str">
        <f>IF(AND($N4447=$Q$7,$B4447&lt;'111'!$L$11),"x","")</f>
        <v/>
      </c>
      <c r="S4447" s="79" t="str">
        <f>IF(AND($O4447=$Q$7,$B4447&lt;'111'!$L$11),"x","")</f>
        <v/>
      </c>
      <c r="T4447" s="79" t="str">
        <f>IF(ISERROR(FIND('112'!$M$9,G4447,1)),"",IF((AND(FIND('112'!$M$9,G4447,1)&gt;=1,B4447='112'!$K$9,OR($N4447='112'!$I$6,$O4447='112'!$I$6))),"x",""))</f>
        <v/>
      </c>
      <c r="U4447" s="79" t="str">
        <f>IF(ISERROR(FIND('112'!$M$9,G4447,1)),"",IF((AND(LEFT(G4447,2)=LEFT('112'!$M$9,2),B4447&lt;'112'!$K$9,$N4447='112'!$I$6)),"x",""))</f>
        <v/>
      </c>
      <c r="V4447" s="79" t="str">
        <f>IF(ISERROR(FIND('112'!$M$9,G4447,1)),"",IF((AND(RIGHT(G4447,2)=RIGHT('112'!$M$9,2),B4447&lt;'112'!$K$9,$O4447='112'!$I$6)),"x",""))</f>
        <v/>
      </c>
      <c r="W4447" s="79" t="str">
        <f>IF(AND('341-CT'!$H$9=H4447,OR(LEFT(N4447,3)=$W$7,LEFT(O4447,3)=$W$7)),"x","")</f>
        <v/>
      </c>
      <c r="X4447" s="79" t="str">
        <f>IF(OR(TH!N4447=TH!$X$7,O4447=TH!$X$7),"x","")</f>
        <v/>
      </c>
      <c r="Y4447" s="79" t="str">
        <f>IF(AND(OR(N4447="131",O4447="131"),H4447='131-CT'!$H$9),"x","")</f>
        <v/>
      </c>
      <c r="Z4447" s="79"/>
      <c r="AA4447" s="79" t="str">
        <f>IF(AND(MONTH(E4447)='IN-NX'!$J$5,'IN-NX'!$D$7=D4447),"x","")</f>
        <v/>
      </c>
      <c r="AB4447" s="79" t="str">
        <f>IF(AND(OR(LEFT(TH!N4447,2)="15",LEFT(TH!O4447,2)="15"),LEFT(TH!O4447,3)&lt;&gt;"111",'152-CT'!$J$8=TH!F4447),"x","")</f>
        <v/>
      </c>
      <c r="AC4447" s="79" t="str">
        <f>IF(AND(OR(LEFT(TH!N4447,2)="15",LEFT(TH!O4447,2)="15"),TK!$E$7=TH!F4447),"x","")</f>
        <v/>
      </c>
      <c r="AD4447" s="79" t="str">
        <f>IF(AND(N4447="1521",MONTH(C4447)='BK-NL'!$M$11),"x","")</f>
        <v/>
      </c>
    </row>
    <row r="4448" spans="1:30" ht="16.5" customHeight="1">
      <c r="A4448" s="318" t="str">
        <f>IF(B4448&lt;&gt;"",IF(AND(B4448='[3]IN-TC'!$S$4,OR([3]TH!N3679="1111",[3]TH!O3679="1111")),[3]TH!D3679,""),"")</f>
        <v/>
      </c>
      <c r="B4448" s="60" t="str">
        <f t="shared" si="473"/>
        <v/>
      </c>
      <c r="C4448" s="301"/>
      <c r="D4448" s="301"/>
      <c r="E4448" s="301"/>
      <c r="F4448" s="69"/>
      <c r="G4448" s="988"/>
      <c r="H4448" s="69"/>
      <c r="I4448" s="385"/>
      <c r="J4448" s="969"/>
      <c r="K4448" s="385"/>
      <c r="L4448" s="392"/>
      <c r="M4448" s="970"/>
      <c r="N4448" s="304"/>
      <c r="O4448" s="304"/>
      <c r="P4448" s="79" t="str">
        <f>IF(AND('331-CT'!$E$7=TH!H4448,OR(N4448="331",O4448="331")),"x","")</f>
        <v/>
      </c>
      <c r="Q4448" s="79" t="str">
        <f>IF(AND(B4448='111'!$L$11,OR($N4448=$Q$7,$O4448=$Q$7)),"x","")</f>
        <v/>
      </c>
      <c r="R4448" s="79" t="str">
        <f>IF(AND($N4448=$Q$7,$B4448&lt;'111'!$L$11),"x","")</f>
        <v/>
      </c>
      <c r="S4448" s="79" t="str">
        <f>IF(AND($O4448=$Q$7,$B4448&lt;'111'!$L$11),"x","")</f>
        <v/>
      </c>
      <c r="T4448" s="79" t="str">
        <f>IF(ISERROR(FIND('112'!$M$9,G4448,1)),"",IF((AND(FIND('112'!$M$9,G4448,1)&gt;=1,B4448='112'!$K$9,OR($N4448='112'!$I$6,$O4448='112'!$I$6))),"x",""))</f>
        <v/>
      </c>
      <c r="U4448" s="79" t="str">
        <f>IF(ISERROR(FIND('112'!$M$9,G4448,1)),"",IF((AND(LEFT(G4448,2)=LEFT('112'!$M$9,2),B4448&lt;'112'!$K$9,$N4448='112'!$I$6)),"x",""))</f>
        <v/>
      </c>
      <c r="V4448" s="79" t="str">
        <f>IF(ISERROR(FIND('112'!$M$9,G4448,1)),"",IF((AND(RIGHT(G4448,2)=RIGHT('112'!$M$9,2),B4448&lt;'112'!$K$9,$O4448='112'!$I$6)),"x",""))</f>
        <v/>
      </c>
      <c r="W4448" s="79" t="str">
        <f>IF(AND('341-CT'!$H$9=H4448,OR(LEFT(N4448,3)=$W$7,LEFT(O4448,3)=$W$7)),"x","")</f>
        <v/>
      </c>
      <c r="X4448" s="79" t="str">
        <f>IF(OR(TH!N4448=TH!$X$7,O4448=TH!$X$7),"x","")</f>
        <v/>
      </c>
      <c r="Y4448" s="79" t="str">
        <f>IF(AND(OR(N4448="131",O4448="131"),H4448='131-CT'!$H$9),"x","")</f>
        <v/>
      </c>
      <c r="Z4448" s="79"/>
      <c r="AA4448" s="79" t="str">
        <f>IF(AND(MONTH(E4448)='IN-NX'!$J$5,'IN-NX'!$D$7=D4448),"x","")</f>
        <v/>
      </c>
      <c r="AB4448" s="79" t="str">
        <f>IF(AND(OR(LEFT(TH!N4448,2)="15",LEFT(TH!O4448,2)="15"),LEFT(TH!O4448,3)&lt;&gt;"111",'152-CT'!$J$8=TH!F4448),"x","")</f>
        <v/>
      </c>
      <c r="AC4448" s="79" t="str">
        <f>IF(AND(OR(LEFT(TH!N4448,2)="15",LEFT(TH!O4448,2)="15"),TK!$E$7=TH!F4448),"x","")</f>
        <v/>
      </c>
      <c r="AD4448" s="79" t="str">
        <f>IF(AND(N4448="1521",MONTH(C4448)='BK-NL'!$M$11),"x","")</f>
        <v/>
      </c>
    </row>
    <row r="4449" spans="1:30" ht="16.5" customHeight="1">
      <c r="A4449" s="318" t="str">
        <f>IF(B4449&lt;&gt;"",IF(AND(B4449='[3]IN-TC'!$S$4,OR([3]TH!N3680="1111",[3]TH!O3680="1111")),[3]TH!D3680,""),"")</f>
        <v/>
      </c>
      <c r="B4449" s="60" t="str">
        <f t="shared" si="473"/>
        <v/>
      </c>
      <c r="C4449" s="61"/>
      <c r="D4449" s="61"/>
      <c r="E4449" s="61"/>
      <c r="F4449" s="69"/>
      <c r="G4449" s="64"/>
      <c r="H4449" s="321"/>
      <c r="I4449" s="385"/>
      <c r="J4449" s="392"/>
      <c r="K4449" s="385"/>
      <c r="L4449" s="392"/>
      <c r="M4449" s="62"/>
      <c r="N4449" s="63"/>
      <c r="O4449" s="63"/>
      <c r="P4449" s="79" t="str">
        <f>IF(AND('331-CT'!$E$7=TH!H4449,OR(N4449="331",O4449="331")),"x","")</f>
        <v/>
      </c>
      <c r="Q4449" s="79" t="str">
        <f>IF(AND(B4449='111'!$L$11,OR($N4449=$Q$7,$O4449=$Q$7)),"x","")</f>
        <v/>
      </c>
      <c r="R4449" s="79" t="str">
        <f>IF(AND($N4449=$Q$7,$B4449&lt;'111'!$L$11),"x","")</f>
        <v/>
      </c>
      <c r="S4449" s="79" t="str">
        <f>IF(AND($O4449=$Q$7,$B4449&lt;'111'!$L$11),"x","")</f>
        <v/>
      </c>
      <c r="T4449" s="79" t="str">
        <f>IF(ISERROR(FIND('112'!$M$9,G4449,1)),"",IF((AND(FIND('112'!$M$9,G4449,1)&gt;=1,B4449='112'!$K$9,OR($N4449='112'!$I$6,$O4449='112'!$I$6))),"x",""))</f>
        <v/>
      </c>
      <c r="U4449" s="79" t="str">
        <f>IF(ISERROR(FIND('112'!$M$9,G4449,1)),"",IF((AND(LEFT(G4449,2)=LEFT('112'!$M$9,2),B4449&lt;'112'!$K$9,$N4449='112'!$I$6)),"x",""))</f>
        <v/>
      </c>
      <c r="V4449" s="79" t="str">
        <f>IF(ISERROR(FIND('112'!$M$9,G4449,1)),"",IF((AND(RIGHT(G4449,2)=RIGHT('112'!$M$9,2),B4449&lt;'112'!$K$9,$O4449='112'!$I$6)),"x",""))</f>
        <v/>
      </c>
      <c r="W4449" s="79" t="str">
        <f>IF(AND('341-CT'!$H$9=H4449,OR(LEFT(N4449,3)=$W$7,LEFT(O4449,3)=$W$7)),"x","")</f>
        <v/>
      </c>
      <c r="X4449" s="79" t="str">
        <f>IF(OR(TH!N4449=TH!$X$7,O4449=TH!$X$7),"x","")</f>
        <v/>
      </c>
      <c r="Y4449" s="79" t="str">
        <f>IF(AND(OR(N4449="131",O4449="131"),H4449='131-CT'!$H$9),"x","")</f>
        <v/>
      </c>
      <c r="Z4449" s="79"/>
      <c r="AA4449" s="79" t="str">
        <f>IF(AND(MONTH(E4449)='IN-NX'!$J$5,'IN-NX'!$D$7=D4449),"x","")</f>
        <v/>
      </c>
      <c r="AB4449" s="79" t="str">
        <f>IF(AND(OR(LEFT(TH!N4449,2)="15",LEFT(TH!O4449,2)="15"),LEFT(TH!O4449,3)&lt;&gt;"111",'152-CT'!$J$8=TH!F4449),"x","")</f>
        <v/>
      </c>
      <c r="AC4449" s="79" t="str">
        <f>IF(AND(OR(LEFT(TH!N4449,2)="15",LEFT(TH!O4449,2)="15"),TK!$E$7=TH!F4449),"x","")</f>
        <v/>
      </c>
      <c r="AD4449" s="79" t="str">
        <f>IF(AND(N4449="1521",MONTH(C4449)='BK-NL'!$M$11),"x","")</f>
        <v/>
      </c>
    </row>
    <row r="4450" spans="1:30" ht="16.5" customHeight="1">
      <c r="A4450" s="318" t="str">
        <f>IF(B4450&lt;&gt;"",IF(AND(B4450='[3]IN-TC'!$S$4,OR([3]TH!N3681="1111",[3]TH!O3681="1111")),[3]TH!D3681,""),"")</f>
        <v/>
      </c>
      <c r="B4450" s="60" t="str">
        <f t="shared" si="473"/>
        <v/>
      </c>
      <c r="C4450" s="61"/>
      <c r="D4450" s="61"/>
      <c r="E4450" s="61"/>
      <c r="F4450" s="69"/>
      <c r="G4450" s="64"/>
      <c r="H4450" s="321"/>
      <c r="I4450" s="385"/>
      <c r="J4450" s="392"/>
      <c r="K4450" s="385"/>
      <c r="L4450" s="392"/>
      <c r="M4450" s="62"/>
      <c r="N4450" s="63"/>
      <c r="O4450" s="63"/>
      <c r="P4450" s="79" t="str">
        <f>IF(AND('331-CT'!$E$7=TH!H4450,OR(N4450="331",O4450="331")),"x","")</f>
        <v/>
      </c>
      <c r="Q4450" s="79" t="str">
        <f>IF(AND(B4450='111'!$L$11,OR($N4450=$Q$7,$O4450=$Q$7)),"x","")</f>
        <v/>
      </c>
      <c r="R4450" s="79" t="str">
        <f>IF(AND($N4450=$Q$7,$B4450&lt;'111'!$L$11),"x","")</f>
        <v/>
      </c>
      <c r="S4450" s="79" t="str">
        <f>IF(AND($O4450=$Q$7,$B4450&lt;'111'!$L$11),"x","")</f>
        <v/>
      </c>
      <c r="T4450" s="79" t="str">
        <f>IF(ISERROR(FIND('112'!$M$9,G4450,1)),"",IF((AND(FIND('112'!$M$9,G4450,1)&gt;=1,B4450='112'!$K$9,OR($N4450='112'!$I$6,$O4450='112'!$I$6))),"x",""))</f>
        <v/>
      </c>
      <c r="U4450" s="79" t="str">
        <f>IF(ISERROR(FIND('112'!$M$9,G4450,1)),"",IF((AND(LEFT(G4450,2)=LEFT('112'!$M$9,2),B4450&lt;'112'!$K$9,$N4450='112'!$I$6)),"x",""))</f>
        <v/>
      </c>
      <c r="V4450" s="79" t="str">
        <f>IF(ISERROR(FIND('112'!$M$9,G4450,1)),"",IF((AND(RIGHT(G4450,2)=RIGHT('112'!$M$9,2),B4450&lt;'112'!$K$9,$O4450='112'!$I$6)),"x",""))</f>
        <v/>
      </c>
      <c r="W4450" s="79" t="str">
        <f>IF(AND('341-CT'!$H$9=H4450,OR(LEFT(N4450,3)=$W$7,LEFT(O4450,3)=$W$7)),"x","")</f>
        <v/>
      </c>
      <c r="X4450" s="79" t="str">
        <f>IF(OR(TH!N4450=TH!$X$7,O4450=TH!$X$7),"x","")</f>
        <v/>
      </c>
      <c r="Y4450" s="79" t="str">
        <f>IF(AND(OR(N4450="131",O4450="131"),H4450='131-CT'!$H$9),"x","")</f>
        <v/>
      </c>
      <c r="Z4450" s="79"/>
      <c r="AA4450" s="79" t="str">
        <f>IF(AND(MONTH(E4450)='IN-NX'!$J$5,'IN-NX'!$D$7=D4450),"x","")</f>
        <v/>
      </c>
      <c r="AB4450" s="79" t="str">
        <f>IF(AND(OR(LEFT(TH!N4450,2)="15",LEFT(TH!O4450,2)="15"),LEFT(TH!O4450,3)&lt;&gt;"111",'152-CT'!$J$8=TH!F4450),"x","")</f>
        <v/>
      </c>
      <c r="AC4450" s="79" t="str">
        <f>IF(AND(OR(LEFT(TH!N4450,2)="15",LEFT(TH!O4450,2)="15"),TK!$E$7=TH!F4450),"x","")</f>
        <v/>
      </c>
      <c r="AD4450" s="79" t="str">
        <f>IF(AND(N4450="1521",MONTH(C4450)='BK-NL'!$M$11),"x","")</f>
        <v/>
      </c>
    </row>
    <row r="4451" spans="1:30" ht="16.5" customHeight="1">
      <c r="A4451" s="318" t="str">
        <f>IF(B4451&lt;&gt;"",IF(AND(B4451='[3]IN-TC'!$S$4,OR([3]TH!N3682="1111",[3]TH!O3682="1111")),[3]TH!D3682,""),"")</f>
        <v/>
      </c>
      <c r="B4451" s="60" t="str">
        <f t="shared" si="473"/>
        <v/>
      </c>
      <c r="C4451" s="61"/>
      <c r="D4451" s="61"/>
      <c r="E4451" s="61"/>
      <c r="F4451" s="69"/>
      <c r="G4451" s="64"/>
      <c r="H4451" s="321"/>
      <c r="I4451" s="385"/>
      <c r="J4451" s="392"/>
      <c r="K4451" s="385"/>
      <c r="L4451" s="392"/>
      <c r="M4451" s="62"/>
      <c r="N4451" s="63"/>
      <c r="O4451" s="63"/>
      <c r="P4451" s="79" t="str">
        <f>IF(AND('331-CT'!$E$7=TH!H4451,OR(N4451="331",O4451="331")),"x","")</f>
        <v/>
      </c>
      <c r="Q4451" s="79" t="str">
        <f>IF(AND(B4451='111'!$L$11,OR($N4451=$Q$7,$O4451=$Q$7)),"x","")</f>
        <v/>
      </c>
      <c r="R4451" s="79" t="str">
        <f>IF(AND($N4451=$Q$7,$B4451&lt;'111'!$L$11),"x","")</f>
        <v/>
      </c>
      <c r="S4451" s="79" t="str">
        <f>IF(AND($O4451=$Q$7,$B4451&lt;'111'!$L$11),"x","")</f>
        <v/>
      </c>
      <c r="T4451" s="79" t="str">
        <f>IF(ISERROR(FIND('112'!$M$9,G4451,1)),"",IF((AND(FIND('112'!$M$9,G4451,1)&gt;=1,B4451='112'!$K$9,OR($N4451='112'!$I$6,$O4451='112'!$I$6))),"x",""))</f>
        <v/>
      </c>
      <c r="U4451" s="79" t="str">
        <f>IF(ISERROR(FIND('112'!$M$9,G4451,1)),"",IF((AND(LEFT(G4451,2)=LEFT('112'!$M$9,2),B4451&lt;'112'!$K$9,$N4451='112'!$I$6)),"x",""))</f>
        <v/>
      </c>
      <c r="V4451" s="79" t="str">
        <f>IF(ISERROR(FIND('112'!$M$9,G4451,1)),"",IF((AND(RIGHT(G4451,2)=RIGHT('112'!$M$9,2),B4451&lt;'112'!$K$9,$O4451='112'!$I$6)),"x",""))</f>
        <v/>
      </c>
      <c r="W4451" s="79" t="str">
        <f>IF(AND('341-CT'!$H$9=H4451,OR(LEFT(N4451,3)=$W$7,LEFT(O4451,3)=$W$7)),"x","")</f>
        <v/>
      </c>
      <c r="X4451" s="79" t="str">
        <f>IF(OR(TH!N4451=TH!$X$7,O4451=TH!$X$7),"x","")</f>
        <v/>
      </c>
      <c r="Y4451" s="79" t="str">
        <f>IF(AND(OR(N4451="131",O4451="131"),H4451='131-CT'!$H$9),"x","")</f>
        <v/>
      </c>
      <c r="Z4451" s="79"/>
      <c r="AA4451" s="79" t="str">
        <f>IF(AND(MONTH(E4451)='IN-NX'!$J$5,'IN-NX'!$D$7=D4451),"x","")</f>
        <v/>
      </c>
      <c r="AB4451" s="79" t="str">
        <f>IF(AND(OR(LEFT(TH!N4451,2)="15",LEFT(TH!O4451,2)="15"),LEFT(TH!O4451,3)&lt;&gt;"111",'152-CT'!$J$8=TH!F4451),"x","")</f>
        <v/>
      </c>
      <c r="AC4451" s="79" t="str">
        <f>IF(AND(OR(LEFT(TH!N4451,2)="15",LEFT(TH!O4451,2)="15"),TK!$E$7=TH!F4451),"x","")</f>
        <v/>
      </c>
      <c r="AD4451" s="79" t="str">
        <f>IF(AND(N4451="1521",MONTH(C4451)='BK-NL'!$M$11),"x","")</f>
        <v/>
      </c>
    </row>
    <row r="4452" spans="1:30" ht="16.5" customHeight="1">
      <c r="A4452" s="318" t="str">
        <f>IF(B4452&lt;&gt;"",IF(AND(B4452='[3]IN-TC'!$S$4,OR([3]TH!N3683="1111",[3]TH!O3683="1111")),[3]TH!D3683,""),"")</f>
        <v/>
      </c>
      <c r="B4452" s="60" t="str">
        <f t="shared" si="473"/>
        <v/>
      </c>
      <c r="C4452" s="61"/>
      <c r="D4452" s="61"/>
      <c r="E4452" s="61"/>
      <c r="F4452" s="69"/>
      <c r="G4452" s="64"/>
      <c r="H4452" s="321"/>
      <c r="I4452" s="385"/>
      <c r="J4452" s="392"/>
      <c r="K4452" s="385"/>
      <c r="L4452" s="392"/>
      <c r="M4452" s="62"/>
      <c r="N4452" s="63"/>
      <c r="O4452" s="63"/>
      <c r="P4452" s="79" t="str">
        <f>IF(AND('331-CT'!$E$7=TH!H4452,OR(N4452="331",O4452="331")),"x","")</f>
        <v/>
      </c>
      <c r="Q4452" s="79" t="str">
        <f>IF(AND(B4452='111'!$L$11,OR($N4452=$Q$7,$O4452=$Q$7)),"x","")</f>
        <v/>
      </c>
      <c r="R4452" s="79" t="str">
        <f>IF(AND($N4452=$Q$7,$B4452&lt;'111'!$L$11),"x","")</f>
        <v/>
      </c>
      <c r="S4452" s="79" t="str">
        <f>IF(AND($O4452=$Q$7,$B4452&lt;'111'!$L$11),"x","")</f>
        <v/>
      </c>
      <c r="T4452" s="79" t="str">
        <f>IF(ISERROR(FIND('112'!$M$9,G4452,1)),"",IF((AND(FIND('112'!$M$9,G4452,1)&gt;=1,B4452='112'!$K$9,OR($N4452='112'!$I$6,$O4452='112'!$I$6))),"x",""))</f>
        <v/>
      </c>
      <c r="U4452" s="79" t="str">
        <f>IF(ISERROR(FIND('112'!$M$9,G4452,1)),"",IF((AND(LEFT(G4452,2)=LEFT('112'!$M$9,2),B4452&lt;'112'!$K$9,$N4452='112'!$I$6)),"x",""))</f>
        <v/>
      </c>
      <c r="V4452" s="79" t="str">
        <f>IF(ISERROR(FIND('112'!$M$9,G4452,1)),"",IF((AND(RIGHT(G4452,2)=RIGHT('112'!$M$9,2),B4452&lt;'112'!$K$9,$O4452='112'!$I$6)),"x",""))</f>
        <v/>
      </c>
      <c r="W4452" s="79" t="str">
        <f>IF(AND('341-CT'!$H$9=H4452,OR(LEFT(N4452,3)=$W$7,LEFT(O4452,3)=$W$7)),"x","")</f>
        <v/>
      </c>
      <c r="X4452" s="79" t="str">
        <f>IF(OR(TH!N4452=TH!$X$7,O4452=TH!$X$7),"x","")</f>
        <v/>
      </c>
      <c r="Y4452" s="79" t="str">
        <f>IF(AND(OR(N4452="131",O4452="131"),H4452='131-CT'!$H$9),"x","")</f>
        <v/>
      </c>
      <c r="Z4452" s="79"/>
      <c r="AA4452" s="79" t="str">
        <f>IF(AND(MONTH(E4452)='IN-NX'!$J$5,'IN-NX'!$D$7=D4452),"x","")</f>
        <v/>
      </c>
      <c r="AB4452" s="79" t="str">
        <f>IF(AND(OR(LEFT(TH!N4452,2)="15",LEFT(TH!O4452,2)="15"),LEFT(TH!O4452,3)&lt;&gt;"111",'152-CT'!$J$8=TH!F4452),"x","")</f>
        <v/>
      </c>
      <c r="AC4452" s="79" t="str">
        <f>IF(AND(OR(LEFT(TH!N4452,2)="15",LEFT(TH!O4452,2)="15"),TK!$E$7=TH!F4452),"x","")</f>
        <v/>
      </c>
      <c r="AD4452" s="79" t="str">
        <f>IF(AND(N4452="1521",MONTH(C4452)='BK-NL'!$M$11),"x","")</f>
        <v/>
      </c>
    </row>
    <row r="4453" spans="1:30" ht="16.5" customHeight="1">
      <c r="A4453" s="318" t="str">
        <f>IF(B4453&lt;&gt;"",IF(AND(B4453='[3]IN-TC'!$S$4,OR([3]TH!N3684="1111",[3]TH!O3684="1111")),[3]TH!D3684,""),"")</f>
        <v/>
      </c>
      <c r="B4453" s="60" t="str">
        <f t="shared" si="473"/>
        <v/>
      </c>
      <c r="C4453" s="61"/>
      <c r="D4453" s="61"/>
      <c r="E4453" s="61"/>
      <c r="F4453" s="69"/>
      <c r="G4453" s="64"/>
      <c r="H4453" s="1012"/>
      <c r="I4453" s="385"/>
      <c r="J4453" s="392"/>
      <c r="K4453" s="385"/>
      <c r="L4453" s="392"/>
      <c r="M4453" s="62"/>
      <c r="N4453" s="63"/>
      <c r="O4453" s="63"/>
      <c r="P4453" s="79" t="str">
        <f>IF(AND('331-CT'!$E$7=TH!H4453,OR(N4453="331",O4453="331")),"x","")</f>
        <v/>
      </c>
      <c r="Q4453" s="79" t="str">
        <f>IF(AND(B4453='111'!$L$11,OR($N4453=$Q$7,$O4453=$Q$7)),"x","")</f>
        <v/>
      </c>
      <c r="R4453" s="79" t="str">
        <f>IF(AND($N4453=$Q$7,$B4453&lt;'111'!$L$11),"x","")</f>
        <v/>
      </c>
      <c r="S4453" s="79" t="str">
        <f>IF(AND($O4453=$Q$7,$B4453&lt;'111'!$L$11),"x","")</f>
        <v/>
      </c>
      <c r="T4453" s="79" t="str">
        <f>IF(ISERROR(FIND('112'!$M$9,G4453,1)),"",IF((AND(FIND('112'!$M$9,G4453,1)&gt;=1,B4453='112'!$K$9,OR($N4453='112'!$I$6,$O4453='112'!$I$6))),"x",""))</f>
        <v/>
      </c>
      <c r="U4453" s="79" t="str">
        <f>IF(ISERROR(FIND('112'!$M$9,G4453,1)),"",IF((AND(LEFT(G4453,2)=LEFT('112'!$M$9,2),B4453&lt;'112'!$K$9,$N4453='112'!$I$6)),"x",""))</f>
        <v/>
      </c>
      <c r="V4453" s="79" t="str">
        <f>IF(ISERROR(FIND('112'!$M$9,G4453,1)),"",IF((AND(RIGHT(G4453,2)=RIGHT('112'!$M$9,2),B4453&lt;'112'!$K$9,$O4453='112'!$I$6)),"x",""))</f>
        <v/>
      </c>
      <c r="W4453" s="79" t="str">
        <f>IF(AND('341-CT'!$H$9=H4453,OR(LEFT(N4453,3)=$W$7,LEFT(O4453,3)=$W$7)),"x","")</f>
        <v/>
      </c>
      <c r="X4453" s="79" t="str">
        <f>IF(OR(TH!N4453=TH!$X$7,O4453=TH!$X$7),"x","")</f>
        <v/>
      </c>
      <c r="Y4453" s="79" t="str">
        <f>IF(AND(OR(N4453="131",O4453="131"),H4453='131-CT'!$H$9),"x","")</f>
        <v/>
      </c>
      <c r="Z4453" s="79"/>
      <c r="AA4453" s="79" t="str">
        <f>IF(AND(MONTH(E4453)='IN-NX'!$J$5,'IN-NX'!$D$7=D4453),"x","")</f>
        <v/>
      </c>
      <c r="AB4453" s="79" t="str">
        <f>IF(AND(OR(LEFT(TH!N4453,2)="15",LEFT(TH!O4453,2)="15"),LEFT(TH!O4453,3)&lt;&gt;"111",'152-CT'!$J$8=TH!F4453),"x","")</f>
        <v/>
      </c>
      <c r="AC4453" s="79" t="str">
        <f>IF(AND(OR(LEFT(TH!N4453,2)="15",LEFT(TH!O4453,2)="15"),TK!$E$7=TH!F4453),"x","")</f>
        <v/>
      </c>
      <c r="AD4453" s="79" t="str">
        <f>IF(AND(N4453="1521",MONTH(C4453)='BK-NL'!$M$11),"x","")</f>
        <v/>
      </c>
    </row>
    <row r="4454" spans="1:30" ht="16.5" customHeight="1">
      <c r="A4454" s="318" t="str">
        <f>IF(B4454&lt;&gt;"",IF(AND(B4454='[3]IN-TC'!$S$4,OR([3]TH!N3685="1111",[3]TH!O3685="1111")),[3]TH!D3685,""),"")</f>
        <v/>
      </c>
      <c r="B4454" s="60" t="str">
        <f t="shared" si="473"/>
        <v/>
      </c>
      <c r="C4454" s="61"/>
      <c r="D4454" s="61"/>
      <c r="E4454" s="61"/>
      <c r="F4454" s="69"/>
      <c r="G4454" s="64"/>
      <c r="H4454" s="321"/>
      <c r="I4454" s="385"/>
      <c r="J4454" s="392"/>
      <c r="K4454" s="385"/>
      <c r="L4454" s="392"/>
      <c r="M4454" s="62"/>
      <c r="N4454" s="63"/>
      <c r="O4454" s="63"/>
      <c r="P4454" s="79" t="str">
        <f>IF(AND('331-CT'!$E$7=TH!H4454,OR(N4454="331",O4454="331")),"x","")</f>
        <v/>
      </c>
      <c r="Q4454" s="79" t="str">
        <f>IF(AND(B4454='111'!$L$11,OR($N4454=$Q$7,$O4454=$Q$7)),"x","")</f>
        <v/>
      </c>
      <c r="R4454" s="79" t="str">
        <f>IF(AND($N4454=$Q$7,$B4454&lt;'111'!$L$11),"x","")</f>
        <v/>
      </c>
      <c r="S4454" s="79" t="str">
        <f>IF(AND($O4454=$Q$7,$B4454&lt;'111'!$L$11),"x","")</f>
        <v/>
      </c>
      <c r="T4454" s="79" t="str">
        <f>IF(ISERROR(FIND('112'!$M$9,G4454,1)),"",IF((AND(FIND('112'!$M$9,G4454,1)&gt;=1,B4454='112'!$K$9,OR($N4454='112'!$I$6,$O4454='112'!$I$6))),"x",""))</f>
        <v/>
      </c>
      <c r="U4454" s="79" t="str">
        <f>IF(ISERROR(FIND('112'!$M$9,G4454,1)),"",IF((AND(LEFT(G4454,2)=LEFT('112'!$M$9,2),B4454&lt;'112'!$K$9,$N4454='112'!$I$6)),"x",""))</f>
        <v/>
      </c>
      <c r="V4454" s="79" t="str">
        <f>IF(ISERROR(FIND('112'!$M$9,G4454,1)),"",IF((AND(RIGHT(G4454,2)=RIGHT('112'!$M$9,2),B4454&lt;'112'!$K$9,$O4454='112'!$I$6)),"x",""))</f>
        <v/>
      </c>
      <c r="W4454" s="79" t="str">
        <f>IF(AND('341-CT'!$H$9=H4454,OR(LEFT(N4454,3)=$W$7,LEFT(O4454,3)=$W$7)),"x","")</f>
        <v/>
      </c>
      <c r="X4454" s="79" t="str">
        <f>IF(OR(TH!N4454=TH!$X$7,O4454=TH!$X$7),"x","")</f>
        <v/>
      </c>
      <c r="Y4454" s="79" t="str">
        <f>IF(AND(OR(N4454="131",O4454="131"),H4454='131-CT'!$H$9),"x","")</f>
        <v/>
      </c>
      <c r="Z4454" s="79"/>
      <c r="AA4454" s="79" t="str">
        <f>IF(AND(MONTH(E4454)='IN-NX'!$J$5,'IN-NX'!$D$7=D4454),"x","")</f>
        <v/>
      </c>
      <c r="AB4454" s="79" t="str">
        <f>IF(AND(OR(LEFT(TH!N4454,2)="15",LEFT(TH!O4454,2)="15"),LEFT(TH!O4454,3)&lt;&gt;"111",'152-CT'!$J$8=TH!F4454),"x","")</f>
        <v/>
      </c>
      <c r="AC4454" s="79" t="str">
        <f>IF(AND(OR(LEFT(TH!N4454,2)="15",LEFT(TH!O4454,2)="15"),TK!$E$7=TH!F4454),"x","")</f>
        <v/>
      </c>
      <c r="AD4454" s="79" t="str">
        <f>IF(AND(N4454="1521",MONTH(C4454)='BK-NL'!$M$11),"x","")</f>
        <v/>
      </c>
    </row>
    <row r="4455" spans="1:30" ht="16.5" customHeight="1">
      <c r="A4455" s="318" t="str">
        <f>IF(B4455&lt;&gt;"",IF(AND(B4455='[3]IN-TC'!$S$4,OR([3]TH!N3686="1111",[3]TH!O3686="1111")),[3]TH!D3686,""),"")</f>
        <v/>
      </c>
      <c r="B4455" s="60" t="str">
        <f t="shared" si="473"/>
        <v/>
      </c>
      <c r="C4455" s="61"/>
      <c r="D4455" s="61"/>
      <c r="E4455" s="61"/>
      <c r="F4455" s="69"/>
      <c r="G4455" s="64"/>
      <c r="H4455" s="321"/>
      <c r="I4455" s="385"/>
      <c r="J4455" s="392"/>
      <c r="K4455" s="385"/>
      <c r="L4455" s="392"/>
      <c r="M4455" s="62"/>
      <c r="N4455" s="63"/>
      <c r="O4455" s="63"/>
      <c r="P4455" s="79" t="str">
        <f>IF(AND('331-CT'!$E$7=TH!H4455,OR(N4455="331",O4455="331")),"x","")</f>
        <v/>
      </c>
      <c r="Q4455" s="79" t="str">
        <f>IF(AND(B4455='111'!$L$11,OR($N4455=$Q$7,$O4455=$Q$7)),"x","")</f>
        <v/>
      </c>
      <c r="R4455" s="79" t="str">
        <f>IF(AND($N4455=$Q$7,$B4455&lt;'111'!$L$11),"x","")</f>
        <v/>
      </c>
      <c r="S4455" s="79" t="str">
        <f>IF(AND($O4455=$Q$7,$B4455&lt;'111'!$L$11),"x","")</f>
        <v/>
      </c>
      <c r="T4455" s="79" t="str">
        <f>IF(ISERROR(FIND('112'!$M$9,G4455,1)),"",IF((AND(FIND('112'!$M$9,G4455,1)&gt;=1,B4455='112'!$K$9,OR($N4455='112'!$I$6,$O4455='112'!$I$6))),"x",""))</f>
        <v/>
      </c>
      <c r="U4455" s="79" t="str">
        <f>IF(ISERROR(FIND('112'!$M$9,G4455,1)),"",IF((AND(LEFT(G4455,2)=LEFT('112'!$M$9,2),B4455&lt;'112'!$K$9,$N4455='112'!$I$6)),"x",""))</f>
        <v/>
      </c>
      <c r="V4455" s="79" t="str">
        <f>IF(ISERROR(FIND('112'!$M$9,G4455,1)),"",IF((AND(RIGHT(G4455,2)=RIGHT('112'!$M$9,2),B4455&lt;'112'!$K$9,$O4455='112'!$I$6)),"x",""))</f>
        <v/>
      </c>
      <c r="W4455" s="79" t="str">
        <f>IF(AND('341-CT'!$H$9=H4455,OR(LEFT(N4455,3)=$W$7,LEFT(O4455,3)=$W$7)),"x","")</f>
        <v/>
      </c>
      <c r="X4455" s="79" t="str">
        <f>IF(OR(TH!N4455=TH!$X$7,O4455=TH!$X$7),"x","")</f>
        <v/>
      </c>
      <c r="Y4455" s="79" t="str">
        <f>IF(AND(OR(N4455="131",O4455="131"),H4455='131-CT'!$H$9),"x","")</f>
        <v/>
      </c>
      <c r="Z4455" s="79"/>
      <c r="AA4455" s="79" t="str">
        <f>IF(AND(MONTH(E4455)='IN-NX'!$J$5,'IN-NX'!$D$7=D4455),"x","")</f>
        <v/>
      </c>
      <c r="AB4455" s="79" t="str">
        <f>IF(AND(OR(LEFT(TH!N4455,2)="15",LEFT(TH!O4455,2)="15"),LEFT(TH!O4455,3)&lt;&gt;"111",'152-CT'!$J$8=TH!F4455),"x","")</f>
        <v/>
      </c>
      <c r="AC4455" s="79" t="str">
        <f>IF(AND(OR(LEFT(TH!N4455,2)="15",LEFT(TH!O4455,2)="15"),TK!$E$7=TH!F4455),"x","")</f>
        <v/>
      </c>
      <c r="AD4455" s="79" t="str">
        <f>IF(AND(N4455="1521",MONTH(C4455)='BK-NL'!$M$11),"x","")</f>
        <v/>
      </c>
    </row>
    <row r="4456" spans="1:30" ht="16.5" customHeight="1">
      <c r="A4456" s="318" t="str">
        <f>IF(B4456&lt;&gt;"",IF(AND(B4456='[3]IN-TC'!$S$4,OR([3]TH!N3687="1111",[3]TH!O3687="1111")),[3]TH!D3687,""),"")</f>
        <v/>
      </c>
      <c r="B4456" s="60" t="str">
        <f t="shared" si="473"/>
        <v/>
      </c>
      <c r="C4456" s="61"/>
      <c r="D4456" s="61"/>
      <c r="E4456" s="61"/>
      <c r="F4456" s="69"/>
      <c r="G4456" s="64"/>
      <c r="H4456" s="69"/>
      <c r="I4456" s="385"/>
      <c r="J4456" s="392"/>
      <c r="K4456" s="385"/>
      <c r="L4456" s="392"/>
      <c r="M4456" s="62"/>
      <c r="N4456" s="63"/>
      <c r="O4456" s="63"/>
      <c r="P4456" s="79" t="str">
        <f>IF(AND('331-CT'!$E$7=TH!H4456,OR(N4456="331",O4456="331")),"x","")</f>
        <v/>
      </c>
      <c r="Q4456" s="79" t="str">
        <f>IF(AND(B4456='111'!$L$11,OR($N4456=$Q$7,$O4456=$Q$7)),"x","")</f>
        <v/>
      </c>
      <c r="R4456" s="79" t="str">
        <f>IF(AND($N4456=$Q$7,$B4456&lt;'111'!$L$11),"x","")</f>
        <v/>
      </c>
      <c r="S4456" s="79" t="str">
        <f>IF(AND($O4456=$Q$7,$B4456&lt;'111'!$L$11),"x","")</f>
        <v/>
      </c>
      <c r="T4456" s="79" t="str">
        <f>IF(ISERROR(FIND('112'!$M$9,G4456,1)),"",IF((AND(FIND('112'!$M$9,G4456,1)&gt;=1,B4456='112'!$K$9,OR($N4456='112'!$I$6,$O4456='112'!$I$6))),"x",""))</f>
        <v/>
      </c>
      <c r="U4456" s="79" t="str">
        <f>IF(ISERROR(FIND('112'!$M$9,G4456,1)),"",IF((AND(LEFT(G4456,2)=LEFT('112'!$M$9,2),B4456&lt;'112'!$K$9,$N4456='112'!$I$6)),"x",""))</f>
        <v/>
      </c>
      <c r="V4456" s="79" t="str">
        <f>IF(ISERROR(FIND('112'!$M$9,G4456,1)),"",IF((AND(RIGHT(G4456,2)=RIGHT('112'!$M$9,2),B4456&lt;'112'!$K$9,$O4456='112'!$I$6)),"x",""))</f>
        <v/>
      </c>
      <c r="W4456" s="79" t="str">
        <f>IF(AND('341-CT'!$H$9=H4456,OR(LEFT(N4456,3)=$W$7,LEFT(O4456,3)=$W$7)),"x","")</f>
        <v/>
      </c>
      <c r="X4456" s="79" t="str">
        <f>IF(OR(TH!N4456=TH!$X$7,O4456=TH!$X$7),"x","")</f>
        <v/>
      </c>
      <c r="Y4456" s="79" t="str">
        <f>IF(AND(OR(N4456="131",O4456="131"),H4456='131-CT'!$H$9),"x","")</f>
        <v/>
      </c>
      <c r="Z4456" s="79"/>
      <c r="AA4456" s="79" t="str">
        <f>IF(AND(MONTH(E4456)='IN-NX'!$J$5,'IN-NX'!$D$7=D4456),"x","")</f>
        <v/>
      </c>
      <c r="AB4456" s="79" t="str">
        <f>IF(AND(OR(LEFT(TH!N4456,2)="15",LEFT(TH!O4456,2)="15"),LEFT(TH!O4456,3)&lt;&gt;"111",'152-CT'!$J$8=TH!F4456),"x","")</f>
        <v/>
      </c>
      <c r="AC4456" s="79" t="str">
        <f>IF(AND(OR(LEFT(TH!N4456,2)="15",LEFT(TH!O4456,2)="15"),TK!$E$7=TH!F4456),"x","")</f>
        <v/>
      </c>
      <c r="AD4456" s="79" t="str">
        <f>IF(AND(N4456="1521",MONTH(C4456)='BK-NL'!$M$11),"x","")</f>
        <v/>
      </c>
    </row>
    <row r="4457" spans="1:30" ht="16.5" customHeight="1">
      <c r="A4457" s="318" t="str">
        <f>IF(B4457&lt;&gt;"",IF(AND(B4457='[3]IN-TC'!$S$4,OR([3]TH!N3688="1111",[3]TH!O3688="1111")),[3]TH!D3688,""),"")</f>
        <v/>
      </c>
      <c r="B4457" s="60" t="str">
        <f t="shared" si="473"/>
        <v/>
      </c>
      <c r="C4457" s="61"/>
      <c r="D4457" s="61"/>
      <c r="E4457" s="61"/>
      <c r="F4457" s="69"/>
      <c r="G4457" s="64"/>
      <c r="H4457" s="321"/>
      <c r="I4457" s="385"/>
      <c r="J4457" s="392"/>
      <c r="K4457" s="385"/>
      <c r="L4457" s="392"/>
      <c r="M4457" s="62"/>
      <c r="N4457" s="63"/>
      <c r="O4457" s="63"/>
      <c r="P4457" s="79" t="str">
        <f>IF(AND('331-CT'!$E$7=TH!H4457,OR(N4457="331",O4457="331")),"x","")</f>
        <v/>
      </c>
      <c r="Q4457" s="79" t="str">
        <f>IF(AND(B4457='111'!$L$11,OR($N4457=$Q$7,$O4457=$Q$7)),"x","")</f>
        <v/>
      </c>
      <c r="R4457" s="79" t="str">
        <f>IF(AND($N4457=$Q$7,$B4457&lt;'111'!$L$11),"x","")</f>
        <v/>
      </c>
      <c r="S4457" s="79" t="str">
        <f>IF(AND($O4457=$Q$7,$B4457&lt;'111'!$L$11),"x","")</f>
        <v/>
      </c>
      <c r="T4457" s="79" t="str">
        <f>IF(ISERROR(FIND('112'!$M$9,G4457,1)),"",IF((AND(FIND('112'!$M$9,G4457,1)&gt;=1,B4457='112'!$K$9,OR($N4457='112'!$I$6,$O4457='112'!$I$6))),"x",""))</f>
        <v/>
      </c>
      <c r="U4457" s="79" t="str">
        <f>IF(ISERROR(FIND('112'!$M$9,G4457,1)),"",IF((AND(LEFT(G4457,2)=LEFT('112'!$M$9,2),B4457&lt;'112'!$K$9,$N4457='112'!$I$6)),"x",""))</f>
        <v/>
      </c>
      <c r="V4457" s="79" t="str">
        <f>IF(ISERROR(FIND('112'!$M$9,G4457,1)),"",IF((AND(RIGHT(G4457,2)=RIGHT('112'!$M$9,2),B4457&lt;'112'!$K$9,$O4457='112'!$I$6)),"x",""))</f>
        <v/>
      </c>
      <c r="W4457" s="79" t="str">
        <f>IF(AND('341-CT'!$H$9=H4457,OR(LEFT(N4457,3)=$W$7,LEFT(O4457,3)=$W$7)),"x","")</f>
        <v/>
      </c>
      <c r="X4457" s="79" t="str">
        <f>IF(OR(TH!N4457=TH!$X$7,O4457=TH!$X$7),"x","")</f>
        <v/>
      </c>
      <c r="Y4457" s="79" t="str">
        <f>IF(AND(OR(N4457="131",O4457="131"),H4457='131-CT'!$H$9),"x","")</f>
        <v/>
      </c>
      <c r="Z4457" s="79"/>
      <c r="AA4457" s="79" t="str">
        <f>IF(AND(MONTH(E4457)='IN-NX'!$J$5,'IN-NX'!$D$7=D4457),"x","")</f>
        <v/>
      </c>
      <c r="AB4457" s="79" t="str">
        <f>IF(AND(OR(LEFT(TH!N4457,2)="15",LEFT(TH!O4457,2)="15"),LEFT(TH!O4457,3)&lt;&gt;"111",'152-CT'!$J$8=TH!F4457),"x","")</f>
        <v/>
      </c>
      <c r="AC4457" s="79" t="str">
        <f>IF(AND(OR(LEFT(TH!N4457,2)="15",LEFT(TH!O4457,2)="15"),TK!$E$7=TH!F4457),"x","")</f>
        <v/>
      </c>
      <c r="AD4457" s="79" t="str">
        <f>IF(AND(N4457="1521",MONTH(C4457)='BK-NL'!$M$11),"x","")</f>
        <v/>
      </c>
    </row>
    <row r="4458" spans="1:30" ht="16.5" customHeight="1">
      <c r="A4458" s="318" t="str">
        <f>IF(B4458&lt;&gt;"",IF(AND(B4458='[3]IN-TC'!$S$4,OR([3]TH!N3689="1111",[3]TH!O3689="1111")),[3]TH!D3689,""),"")</f>
        <v/>
      </c>
      <c r="B4458" s="60" t="str">
        <f t="shared" si="473"/>
        <v/>
      </c>
      <c r="C4458" s="61"/>
      <c r="D4458" s="61"/>
      <c r="E4458" s="61"/>
      <c r="F4458" s="69"/>
      <c r="G4458" s="64"/>
      <c r="H4458" s="321"/>
      <c r="I4458" s="385"/>
      <c r="J4458" s="392"/>
      <c r="K4458" s="385"/>
      <c r="L4458" s="392"/>
      <c r="M4458" s="62"/>
      <c r="N4458" s="63"/>
      <c r="O4458" s="63"/>
      <c r="P4458" s="79" t="str">
        <f>IF(AND('331-CT'!$E$7=TH!H4458,OR(N4458="331",O4458="331")),"x","")</f>
        <v/>
      </c>
      <c r="Q4458" s="79" t="str">
        <f>IF(AND(B4458='111'!$L$11,OR($N4458=$Q$7,$O4458=$Q$7)),"x","")</f>
        <v/>
      </c>
      <c r="R4458" s="79" t="str">
        <f>IF(AND($N4458=$Q$7,$B4458&lt;'111'!$L$11),"x","")</f>
        <v/>
      </c>
      <c r="S4458" s="79" t="str">
        <f>IF(AND($O4458=$Q$7,$B4458&lt;'111'!$L$11),"x","")</f>
        <v/>
      </c>
      <c r="T4458" s="79" t="str">
        <f>IF(ISERROR(FIND('112'!$M$9,G4458,1)),"",IF((AND(FIND('112'!$M$9,G4458,1)&gt;=1,B4458='112'!$K$9,OR($N4458='112'!$I$6,$O4458='112'!$I$6))),"x",""))</f>
        <v/>
      </c>
      <c r="U4458" s="79" t="str">
        <f>IF(ISERROR(FIND('112'!$M$9,G4458,1)),"",IF((AND(LEFT(G4458,2)=LEFT('112'!$M$9,2),B4458&lt;'112'!$K$9,$N4458='112'!$I$6)),"x",""))</f>
        <v/>
      </c>
      <c r="V4458" s="79" t="str">
        <f>IF(ISERROR(FIND('112'!$M$9,G4458,1)),"",IF((AND(RIGHT(G4458,2)=RIGHT('112'!$M$9,2),B4458&lt;'112'!$K$9,$O4458='112'!$I$6)),"x",""))</f>
        <v/>
      </c>
      <c r="W4458" s="79" t="str">
        <f>IF(AND('341-CT'!$H$9=H4458,OR(LEFT(N4458,3)=$W$7,LEFT(O4458,3)=$W$7)),"x","")</f>
        <v/>
      </c>
      <c r="X4458" s="79" t="str">
        <f>IF(OR(TH!N4458=TH!$X$7,O4458=TH!$X$7),"x","")</f>
        <v/>
      </c>
      <c r="Y4458" s="79" t="str">
        <f>IF(AND(OR(N4458="131",O4458="131"),H4458='131-CT'!$H$9),"x","")</f>
        <v/>
      </c>
      <c r="Z4458" s="79"/>
      <c r="AA4458" s="79" t="str">
        <f>IF(AND(MONTH(E4458)='IN-NX'!$J$5,'IN-NX'!$D$7=D4458),"x","")</f>
        <v/>
      </c>
      <c r="AB4458" s="79" t="str">
        <f>IF(AND(OR(LEFT(TH!N4458,2)="15",LEFT(TH!O4458,2)="15"),LEFT(TH!O4458,3)&lt;&gt;"111",'152-CT'!$J$8=TH!F4458),"x","")</f>
        <v/>
      </c>
      <c r="AC4458" s="79" t="str">
        <f>IF(AND(OR(LEFT(TH!N4458,2)="15",LEFT(TH!O4458,2)="15"),TK!$E$7=TH!F4458),"x","")</f>
        <v/>
      </c>
      <c r="AD4458" s="79" t="str">
        <f>IF(AND(N4458="1521",MONTH(C4458)='BK-NL'!$M$11),"x","")</f>
        <v/>
      </c>
    </row>
    <row r="4459" spans="1:30" ht="16.5" customHeight="1">
      <c r="A4459" s="318" t="str">
        <f>IF(B4459&lt;&gt;"",IF(AND(B4459='[3]IN-TC'!$S$4,OR([3]TH!N3690="1111",[3]TH!O3690="1111")),[3]TH!D3690,""),"")</f>
        <v/>
      </c>
      <c r="B4459" s="60" t="str">
        <f t="shared" si="473"/>
        <v/>
      </c>
      <c r="C4459" s="61"/>
      <c r="D4459" s="61"/>
      <c r="E4459" s="61"/>
      <c r="F4459" s="69"/>
      <c r="G4459" s="64"/>
      <c r="H4459" s="69"/>
      <c r="I4459" s="385"/>
      <c r="J4459" s="392"/>
      <c r="K4459" s="385"/>
      <c r="L4459" s="392"/>
      <c r="M4459" s="62"/>
      <c r="N4459" s="63"/>
      <c r="O4459" s="63"/>
      <c r="P4459" s="79" t="str">
        <f>IF(AND('331-CT'!$E$7=TH!H4459,OR(N4459="331",O4459="331")),"x","")</f>
        <v/>
      </c>
      <c r="Q4459" s="79" t="str">
        <f>IF(AND(B4459='111'!$L$11,OR($N4459=$Q$7,$O4459=$Q$7)),"x","")</f>
        <v/>
      </c>
      <c r="R4459" s="79" t="str">
        <f>IF(AND($N4459=$Q$7,$B4459&lt;'111'!$L$11),"x","")</f>
        <v/>
      </c>
      <c r="S4459" s="79" t="str">
        <f>IF(AND($O4459=$Q$7,$B4459&lt;'111'!$L$11),"x","")</f>
        <v/>
      </c>
      <c r="T4459" s="79" t="str">
        <f>IF(ISERROR(FIND('112'!$M$9,G4459,1)),"",IF((AND(FIND('112'!$M$9,G4459,1)&gt;=1,B4459='112'!$K$9,OR($N4459='112'!$I$6,$O4459='112'!$I$6))),"x",""))</f>
        <v/>
      </c>
      <c r="U4459" s="79" t="str">
        <f>IF(ISERROR(FIND('112'!$M$9,G4459,1)),"",IF((AND(LEFT(G4459,2)=LEFT('112'!$M$9,2),B4459&lt;'112'!$K$9,$N4459='112'!$I$6)),"x",""))</f>
        <v/>
      </c>
      <c r="V4459" s="79" t="str">
        <f>IF(ISERROR(FIND('112'!$M$9,G4459,1)),"",IF((AND(RIGHT(G4459,2)=RIGHT('112'!$M$9,2),B4459&lt;'112'!$K$9,$O4459='112'!$I$6)),"x",""))</f>
        <v/>
      </c>
      <c r="W4459" s="79" t="str">
        <f>IF(AND('341-CT'!$H$9=H4459,OR(LEFT(N4459,3)=$W$7,LEFT(O4459,3)=$W$7)),"x","")</f>
        <v/>
      </c>
      <c r="X4459" s="79" t="str">
        <f>IF(OR(TH!N4459=TH!$X$7,O4459=TH!$X$7),"x","")</f>
        <v/>
      </c>
      <c r="Y4459" s="79" t="str">
        <f>IF(AND(OR(N4459="131",O4459="131"),H4459='131-CT'!$H$9),"x","")</f>
        <v/>
      </c>
      <c r="Z4459" s="79"/>
      <c r="AA4459" s="79" t="str">
        <f>IF(AND(MONTH(E4459)='IN-NX'!$J$5,'IN-NX'!$D$7=D4459),"x","")</f>
        <v/>
      </c>
      <c r="AB4459" s="79" t="str">
        <f>IF(AND(OR(LEFT(TH!N4459,2)="15",LEFT(TH!O4459,2)="15"),LEFT(TH!O4459,3)&lt;&gt;"111",'152-CT'!$J$8=TH!F4459),"x","")</f>
        <v/>
      </c>
      <c r="AC4459" s="79" t="str">
        <f>IF(AND(OR(LEFT(TH!N4459,2)="15",LEFT(TH!O4459,2)="15"),TK!$E$7=TH!F4459),"x","")</f>
        <v/>
      </c>
      <c r="AD4459" s="79" t="str">
        <f>IF(AND(N4459="1521",MONTH(C4459)='BK-NL'!$M$11),"x","")</f>
        <v/>
      </c>
    </row>
    <row r="4460" spans="1:30" ht="16.5" customHeight="1">
      <c r="A4460" s="318" t="str">
        <f>IF(B4460&lt;&gt;"",IF(AND(B4460='[3]IN-TC'!$S$4,OR([3]TH!N3691="1111",[3]TH!O3691="1111")),[3]TH!D3691,""),"")</f>
        <v/>
      </c>
      <c r="B4460" s="60" t="str">
        <f t="shared" si="473"/>
        <v/>
      </c>
      <c r="C4460" s="61"/>
      <c r="D4460" s="61"/>
      <c r="E4460" s="61"/>
      <c r="F4460" s="64"/>
      <c r="G4460" s="64"/>
      <c r="H4460" s="321"/>
      <c r="I4460" s="385"/>
      <c r="J4460" s="392"/>
      <c r="K4460" s="385"/>
      <c r="L4460" s="392"/>
      <c r="M4460" s="62"/>
      <c r="N4460" s="63"/>
      <c r="O4460" s="63"/>
      <c r="P4460" s="79" t="str">
        <f>IF(AND('331-CT'!$E$7=TH!H4460,OR(N4460="331",O4460="331")),"x","")</f>
        <v/>
      </c>
      <c r="Q4460" s="79" t="str">
        <f>IF(AND(B4460='111'!$L$11,OR($N4460=$Q$7,$O4460=$Q$7)),"x","")</f>
        <v/>
      </c>
      <c r="R4460" s="79" t="str">
        <f>IF(AND($N4460=$Q$7,$B4460&lt;'111'!$L$11),"x","")</f>
        <v/>
      </c>
      <c r="S4460" s="79" t="str">
        <f>IF(AND($O4460=$Q$7,$B4460&lt;'111'!$L$11),"x","")</f>
        <v/>
      </c>
      <c r="T4460" s="79" t="str">
        <f>IF(ISERROR(FIND('112'!$M$9,G4460,1)),"",IF((AND(FIND('112'!$M$9,G4460,1)&gt;=1,B4460='112'!$K$9,OR($N4460='112'!$I$6,$O4460='112'!$I$6))),"x",""))</f>
        <v/>
      </c>
      <c r="U4460" s="79" t="str">
        <f>IF(ISERROR(FIND('112'!$M$9,G4460,1)),"",IF((AND(LEFT(G4460,2)=LEFT('112'!$M$9,2),B4460&lt;'112'!$K$9,$N4460='112'!$I$6)),"x",""))</f>
        <v/>
      </c>
      <c r="V4460" s="79" t="str">
        <f>IF(ISERROR(FIND('112'!$M$9,G4460,1)),"",IF((AND(RIGHT(G4460,2)=RIGHT('112'!$M$9,2),B4460&lt;'112'!$K$9,$O4460='112'!$I$6)),"x",""))</f>
        <v/>
      </c>
      <c r="W4460" s="79" t="str">
        <f>IF(AND('341-CT'!$H$9=H4460,OR(LEFT(N4460,3)=$W$7,LEFT(O4460,3)=$W$7)),"x","")</f>
        <v/>
      </c>
      <c r="X4460" s="79" t="str">
        <f>IF(OR(TH!N4460=TH!$X$7,O4460=TH!$X$7),"x","")</f>
        <v/>
      </c>
      <c r="Y4460" s="79" t="str">
        <f>IF(AND(OR(N4460="131",O4460="131"),H4460='131-CT'!$H$9),"x","")</f>
        <v/>
      </c>
      <c r="Z4460" s="79"/>
      <c r="AA4460" s="79" t="str">
        <f>IF(AND(MONTH(E4460)='IN-NX'!$J$5,'IN-NX'!$D$7=D4460),"x","")</f>
        <v/>
      </c>
      <c r="AB4460" s="79" t="str">
        <f>IF(AND(OR(LEFT(TH!N4460,2)="15",LEFT(TH!O4460,2)="15"),LEFT(TH!O4460,3)&lt;&gt;"111",'152-CT'!$J$8=TH!F4460),"x","")</f>
        <v/>
      </c>
      <c r="AC4460" s="79" t="str">
        <f>IF(AND(OR(LEFT(TH!N4460,2)="15",LEFT(TH!O4460,2)="15"),TK!$E$7=TH!F4460),"x","")</f>
        <v/>
      </c>
      <c r="AD4460" s="79" t="str">
        <f>IF(AND(N4460="1521",MONTH(C4460)='BK-NL'!$M$11),"x","")</f>
        <v/>
      </c>
    </row>
    <row r="4461" spans="1:30" ht="16.5" customHeight="1">
      <c r="A4461" s="318" t="str">
        <f>IF(B4461&lt;&gt;"",IF(AND(B4461='[3]IN-TC'!$S$4,OR([3]TH!N3692="1111",[3]TH!O3692="1111")),[3]TH!D3692,""),"")</f>
        <v/>
      </c>
      <c r="B4461" s="60" t="str">
        <f t="shared" si="473"/>
        <v/>
      </c>
      <c r="C4461" s="61"/>
      <c r="D4461" s="61"/>
      <c r="E4461" s="61"/>
      <c r="F4461" s="64"/>
      <c r="G4461" s="64"/>
      <c r="H4461" s="321"/>
      <c r="I4461" s="385"/>
      <c r="J4461" s="392"/>
      <c r="K4461" s="385"/>
      <c r="L4461" s="392"/>
      <c r="M4461" s="62"/>
      <c r="N4461" s="63"/>
      <c r="O4461" s="63"/>
      <c r="P4461" s="79" t="str">
        <f>IF(AND('331-CT'!$E$7=TH!H4461,OR(N4461="331",O4461="331")),"x","")</f>
        <v/>
      </c>
      <c r="Q4461" s="79" t="str">
        <f>IF(AND(B4461='111'!$L$11,OR($N4461=$Q$7,$O4461=$Q$7)),"x","")</f>
        <v/>
      </c>
      <c r="R4461" s="79" t="str">
        <f>IF(AND($N4461=$Q$7,$B4461&lt;'111'!$L$11),"x","")</f>
        <v/>
      </c>
      <c r="S4461" s="79" t="str">
        <f>IF(AND($O4461=$Q$7,$B4461&lt;'111'!$L$11),"x","")</f>
        <v/>
      </c>
      <c r="T4461" s="79" t="str">
        <f>IF(ISERROR(FIND('112'!$M$9,G4461,1)),"",IF((AND(FIND('112'!$M$9,G4461,1)&gt;=1,B4461='112'!$K$9,OR($N4461='112'!$I$6,$O4461='112'!$I$6))),"x",""))</f>
        <v/>
      </c>
      <c r="U4461" s="79" t="str">
        <f>IF(ISERROR(FIND('112'!$M$9,G4461,1)),"",IF((AND(LEFT(G4461,2)=LEFT('112'!$M$9,2),B4461&lt;'112'!$K$9,$N4461='112'!$I$6)),"x",""))</f>
        <v/>
      </c>
      <c r="V4461" s="79" t="str">
        <f>IF(ISERROR(FIND('112'!$M$9,G4461,1)),"",IF((AND(RIGHT(G4461,2)=RIGHT('112'!$M$9,2),B4461&lt;'112'!$K$9,$O4461='112'!$I$6)),"x",""))</f>
        <v/>
      </c>
      <c r="W4461" s="79" t="str">
        <f>IF(AND('341-CT'!$H$9=H4461,OR(LEFT(N4461,3)=$W$7,LEFT(O4461,3)=$W$7)),"x","")</f>
        <v/>
      </c>
      <c r="X4461" s="79" t="str">
        <f>IF(OR(TH!N4461=TH!$X$7,O4461=TH!$X$7),"x","")</f>
        <v/>
      </c>
      <c r="Y4461" s="79" t="str">
        <f>IF(AND(OR(N4461="131",O4461="131"),H4461='131-CT'!$H$9),"x","")</f>
        <v/>
      </c>
      <c r="Z4461" s="79"/>
      <c r="AA4461" s="79" t="str">
        <f>IF(AND(MONTH(E4461)='IN-NX'!$J$5,'IN-NX'!$D$7=D4461),"x","")</f>
        <v/>
      </c>
      <c r="AB4461" s="79" t="str">
        <f>IF(AND(OR(LEFT(TH!N4461,2)="15",LEFT(TH!O4461,2)="15"),LEFT(TH!O4461,3)&lt;&gt;"111",'152-CT'!$J$8=TH!F4461),"x","")</f>
        <v/>
      </c>
      <c r="AC4461" s="79" t="str">
        <f>IF(AND(OR(LEFT(TH!N4461,2)="15",LEFT(TH!O4461,2)="15"),TK!$E$7=TH!F4461),"x","")</f>
        <v/>
      </c>
      <c r="AD4461" s="79" t="str">
        <f>IF(AND(N4461="1521",MONTH(C4461)='BK-NL'!$M$11),"x","")</f>
        <v/>
      </c>
    </row>
    <row r="4462" spans="1:30" ht="16.5" customHeight="1">
      <c r="A4462" s="318" t="str">
        <f>IF(B4462&lt;&gt;"",IF(AND(B4462='[3]IN-TC'!$S$4,OR([3]TH!N3693="1111",[3]TH!O3693="1111")),[3]TH!D3693,""),"")</f>
        <v/>
      </c>
      <c r="B4462" s="60" t="str">
        <f t="shared" si="473"/>
        <v/>
      </c>
      <c r="C4462" s="61"/>
      <c r="D4462" s="61"/>
      <c r="E4462" s="61"/>
      <c r="F4462" s="64"/>
      <c r="G4462" s="64"/>
      <c r="H4462" s="303"/>
      <c r="I4462" s="385"/>
      <c r="J4462" s="392"/>
      <c r="K4462" s="385"/>
      <c r="L4462" s="392"/>
      <c r="M4462" s="62"/>
      <c r="N4462" s="63"/>
      <c r="O4462" s="63"/>
      <c r="P4462" s="79" t="str">
        <f>IF(AND('331-CT'!$E$7=TH!H4462,OR(N4462="331",O4462="331")),"x","")</f>
        <v/>
      </c>
      <c r="Q4462" s="79" t="str">
        <f>IF(AND(B4462='111'!$L$11,OR($N4462=$Q$7,$O4462=$Q$7)),"x","")</f>
        <v/>
      </c>
      <c r="R4462" s="79" t="str">
        <f>IF(AND($N4462=$Q$7,$B4462&lt;'111'!$L$11),"x","")</f>
        <v/>
      </c>
      <c r="S4462" s="79" t="str">
        <f>IF(AND($O4462=$Q$7,$B4462&lt;'111'!$L$11),"x","")</f>
        <v/>
      </c>
      <c r="T4462" s="79" t="str">
        <f>IF(ISERROR(FIND('112'!$M$9,G4462,1)),"",IF((AND(FIND('112'!$M$9,G4462,1)&gt;=1,B4462='112'!$K$9,OR($N4462='112'!$I$6,$O4462='112'!$I$6))),"x",""))</f>
        <v/>
      </c>
      <c r="U4462" s="79" t="str">
        <f>IF(ISERROR(FIND('112'!$M$9,G4462,1)),"",IF((AND(LEFT(G4462,2)=LEFT('112'!$M$9,2),B4462&lt;'112'!$K$9,$N4462='112'!$I$6)),"x",""))</f>
        <v/>
      </c>
      <c r="V4462" s="79" t="str">
        <f>IF(ISERROR(FIND('112'!$M$9,G4462,1)),"",IF((AND(RIGHT(G4462,2)=RIGHT('112'!$M$9,2),B4462&lt;'112'!$K$9,$O4462='112'!$I$6)),"x",""))</f>
        <v/>
      </c>
      <c r="W4462" s="79" t="str">
        <f>IF(AND('341-CT'!$H$9=H4462,OR(LEFT(N4462,3)=$W$7,LEFT(O4462,3)=$W$7)),"x","")</f>
        <v/>
      </c>
      <c r="X4462" s="79" t="str">
        <f>IF(OR(TH!N4462=TH!$X$7,O4462=TH!$X$7),"x","")</f>
        <v/>
      </c>
      <c r="Y4462" s="79" t="str">
        <f>IF(AND(OR(N4462="131",O4462="131"),H4462='131-CT'!$H$9),"x","")</f>
        <v/>
      </c>
      <c r="Z4462" s="79"/>
      <c r="AA4462" s="79" t="str">
        <f>IF(AND(MONTH(E4462)='IN-NX'!$J$5,'IN-NX'!$D$7=D4462),"x","")</f>
        <v/>
      </c>
      <c r="AB4462" s="79" t="str">
        <f>IF(AND(OR(LEFT(TH!N4462,2)="15",LEFT(TH!O4462,2)="15"),LEFT(TH!O4462,3)&lt;&gt;"111",'152-CT'!$J$8=TH!F4462),"x","")</f>
        <v/>
      </c>
      <c r="AC4462" s="79" t="str">
        <f>IF(AND(OR(LEFT(TH!N4462,2)="15",LEFT(TH!O4462,2)="15"),TK!$E$7=TH!F4462),"x","")</f>
        <v/>
      </c>
      <c r="AD4462" s="79" t="str">
        <f>IF(AND(N4462="1521",MONTH(C4462)='BK-NL'!$M$11),"x","")</f>
        <v/>
      </c>
    </row>
    <row r="4463" spans="1:30" ht="16.5" customHeight="1">
      <c r="A4463" s="318" t="str">
        <f>IF(B4463&lt;&gt;"",IF(AND(B4463='[3]IN-TC'!$S$4,OR([3]TH!N3694="1111",[3]TH!O3694="1111")),[3]TH!D3694,""),"")</f>
        <v/>
      </c>
      <c r="B4463" s="60" t="str">
        <f t="shared" si="473"/>
        <v/>
      </c>
      <c r="C4463" s="61"/>
      <c r="D4463" s="61"/>
      <c r="E4463" s="61"/>
      <c r="F4463" s="64"/>
      <c r="G4463" s="64"/>
      <c r="H4463" s="321"/>
      <c r="I4463" s="385"/>
      <c r="J4463" s="392"/>
      <c r="K4463" s="385"/>
      <c r="L4463" s="392"/>
      <c r="M4463" s="62"/>
      <c r="N4463" s="63"/>
      <c r="O4463" s="63"/>
      <c r="P4463" s="79" t="str">
        <f>IF(AND('331-CT'!$E$7=TH!H4463,OR(N4463="331",O4463="331")),"x","")</f>
        <v/>
      </c>
      <c r="Q4463" s="79" t="str">
        <f>IF(AND(B4463='111'!$L$11,OR($N4463=$Q$7,$O4463=$Q$7)),"x","")</f>
        <v/>
      </c>
      <c r="R4463" s="79" t="str">
        <f>IF(AND($N4463=$Q$7,$B4463&lt;'111'!$L$11),"x","")</f>
        <v/>
      </c>
      <c r="S4463" s="79" t="str">
        <f>IF(AND($O4463=$Q$7,$B4463&lt;'111'!$L$11),"x","")</f>
        <v/>
      </c>
      <c r="T4463" s="79" t="str">
        <f>IF(ISERROR(FIND('112'!$M$9,G4463,1)),"",IF((AND(FIND('112'!$M$9,G4463,1)&gt;=1,B4463='112'!$K$9,OR($N4463='112'!$I$6,$O4463='112'!$I$6))),"x",""))</f>
        <v/>
      </c>
      <c r="U4463" s="79" t="str">
        <f>IF(ISERROR(FIND('112'!$M$9,G4463,1)),"",IF((AND(LEFT(G4463,2)=LEFT('112'!$M$9,2),B4463&lt;'112'!$K$9,$N4463='112'!$I$6)),"x",""))</f>
        <v/>
      </c>
      <c r="V4463" s="79" t="str">
        <f>IF(ISERROR(FIND('112'!$M$9,G4463,1)),"",IF((AND(RIGHT(G4463,2)=RIGHT('112'!$M$9,2),B4463&lt;'112'!$K$9,$O4463='112'!$I$6)),"x",""))</f>
        <v/>
      </c>
      <c r="W4463" s="79" t="str">
        <f>IF(AND('341-CT'!$H$9=H4463,OR(LEFT(N4463,3)=$W$7,LEFT(O4463,3)=$W$7)),"x","")</f>
        <v/>
      </c>
      <c r="X4463" s="79" t="str">
        <f>IF(OR(TH!N4463=TH!$X$7,O4463=TH!$X$7),"x","")</f>
        <v/>
      </c>
      <c r="Y4463" s="79" t="str">
        <f>IF(AND(OR(N4463="131",O4463="131"),H4463='131-CT'!$H$9),"x","")</f>
        <v/>
      </c>
      <c r="Z4463" s="79"/>
      <c r="AA4463" s="79" t="str">
        <f>IF(AND(MONTH(E4463)='IN-NX'!$J$5,'IN-NX'!$D$7=D4463),"x","")</f>
        <v/>
      </c>
      <c r="AB4463" s="79" t="str">
        <f>IF(AND(OR(LEFT(TH!N4463,2)="15",LEFT(TH!O4463,2)="15"),LEFT(TH!O4463,3)&lt;&gt;"111",'152-CT'!$J$8=TH!F4463),"x","")</f>
        <v/>
      </c>
      <c r="AC4463" s="79" t="str">
        <f>IF(AND(OR(LEFT(TH!N4463,2)="15",LEFT(TH!O4463,2)="15"),TK!$E$7=TH!F4463),"x","")</f>
        <v/>
      </c>
      <c r="AD4463" s="79" t="str">
        <f>IF(AND(N4463="1521",MONTH(C4463)='BK-NL'!$M$11),"x","")</f>
        <v/>
      </c>
    </row>
    <row r="4464" spans="1:30" ht="16.5" customHeight="1">
      <c r="A4464" s="318" t="str">
        <f>IF(B4464&lt;&gt;"",IF(AND(B4464='[3]IN-TC'!$S$4,OR([3]TH!N3695="1111",[3]TH!O3695="1111")),[3]TH!D3695,""),"")</f>
        <v/>
      </c>
      <c r="B4464" s="60" t="str">
        <f t="shared" si="473"/>
        <v/>
      </c>
      <c r="C4464" s="61"/>
      <c r="D4464" s="61"/>
      <c r="E4464" s="61"/>
      <c r="F4464" s="64"/>
      <c r="G4464" s="64"/>
      <c r="H4464" s="321"/>
      <c r="I4464" s="385"/>
      <c r="J4464" s="392"/>
      <c r="K4464" s="385"/>
      <c r="L4464" s="392"/>
      <c r="M4464" s="62"/>
      <c r="N4464" s="63"/>
      <c r="O4464" s="63"/>
      <c r="P4464" s="79" t="str">
        <f>IF(AND('331-CT'!$E$7=TH!H4464,OR(N4464="331",O4464="331")),"x","")</f>
        <v/>
      </c>
      <c r="Q4464" s="79" t="str">
        <f>IF(AND(B4464='111'!$L$11,OR($N4464=$Q$7,$O4464=$Q$7)),"x","")</f>
        <v/>
      </c>
      <c r="R4464" s="79" t="str">
        <f>IF(AND($N4464=$Q$7,$B4464&lt;'111'!$L$11),"x","")</f>
        <v/>
      </c>
      <c r="S4464" s="79" t="str">
        <f>IF(AND($O4464=$Q$7,$B4464&lt;'111'!$L$11),"x","")</f>
        <v/>
      </c>
      <c r="T4464" s="79" t="str">
        <f>IF(ISERROR(FIND('112'!$M$9,G4464,1)),"",IF((AND(FIND('112'!$M$9,G4464,1)&gt;=1,B4464='112'!$K$9,OR($N4464='112'!$I$6,$O4464='112'!$I$6))),"x",""))</f>
        <v/>
      </c>
      <c r="U4464" s="79" t="str">
        <f>IF(ISERROR(FIND('112'!$M$9,G4464,1)),"",IF((AND(LEFT(G4464,2)=LEFT('112'!$M$9,2),B4464&lt;'112'!$K$9,$N4464='112'!$I$6)),"x",""))</f>
        <v/>
      </c>
      <c r="V4464" s="79" t="str">
        <f>IF(ISERROR(FIND('112'!$M$9,G4464,1)),"",IF((AND(RIGHT(G4464,2)=RIGHT('112'!$M$9,2),B4464&lt;'112'!$K$9,$O4464='112'!$I$6)),"x",""))</f>
        <v/>
      </c>
      <c r="W4464" s="79" t="str">
        <f>IF(AND('341-CT'!$H$9=H4464,OR(LEFT(N4464,3)=$W$7,LEFT(O4464,3)=$W$7)),"x","")</f>
        <v/>
      </c>
      <c r="X4464" s="79" t="str">
        <f>IF(OR(TH!N4464=TH!$X$7,O4464=TH!$X$7),"x","")</f>
        <v/>
      </c>
      <c r="Y4464" s="79" t="str">
        <f>IF(AND(OR(N4464="131",O4464="131"),H4464='131-CT'!$H$9),"x","")</f>
        <v/>
      </c>
      <c r="Z4464" s="79"/>
      <c r="AA4464" s="79" t="str">
        <f>IF(AND(MONTH(E4464)='IN-NX'!$J$5,'IN-NX'!$D$7=D4464),"x","")</f>
        <v/>
      </c>
      <c r="AB4464" s="79" t="str">
        <f>IF(AND(OR(LEFT(TH!N4464,2)="15",LEFT(TH!O4464,2)="15"),LEFT(TH!O4464,3)&lt;&gt;"111",'152-CT'!$J$8=TH!F4464),"x","")</f>
        <v/>
      </c>
      <c r="AC4464" s="79" t="str">
        <f>IF(AND(OR(LEFT(TH!N4464,2)="15",LEFT(TH!O4464,2)="15"),TK!$E$7=TH!F4464),"x","")</f>
        <v/>
      </c>
      <c r="AD4464" s="79" t="str">
        <f>IF(AND(N4464="1521",MONTH(C4464)='BK-NL'!$M$11),"x","")</f>
        <v/>
      </c>
    </row>
    <row r="4465" spans="1:30" ht="16.5" customHeight="1">
      <c r="A4465" s="318" t="str">
        <f>IF(B4465&lt;&gt;"",IF(AND(B4465='[3]IN-TC'!$S$4,OR([3]TH!N3696="1111",[3]TH!O3696="1111")),[3]TH!D3696,""),"")</f>
        <v/>
      </c>
      <c r="B4465" s="60" t="str">
        <f t="shared" si="473"/>
        <v/>
      </c>
      <c r="C4465" s="301"/>
      <c r="D4465" s="301"/>
      <c r="E4465" s="301"/>
      <c r="F4465" s="302"/>
      <c r="G4465" s="988"/>
      <c r="H4465" s="69"/>
      <c r="I4465" s="385"/>
      <c r="J4465" s="969"/>
      <c r="K4465" s="385"/>
      <c r="L4465" s="392"/>
      <c r="M4465" s="970"/>
      <c r="N4465" s="304"/>
      <c r="O4465" s="304"/>
      <c r="P4465" s="79" t="str">
        <f>IF(AND('331-CT'!$E$7=TH!H4465,OR(N4465="331",O4465="331")),"x","")</f>
        <v/>
      </c>
      <c r="Q4465" s="79" t="str">
        <f>IF(AND(B4465='111'!$L$11,OR($N4465=$Q$7,$O4465=$Q$7)),"x","")</f>
        <v/>
      </c>
      <c r="R4465" s="79" t="str">
        <f>IF(AND($N4465=$Q$7,$B4465&lt;'111'!$L$11),"x","")</f>
        <v/>
      </c>
      <c r="S4465" s="79" t="str">
        <f>IF(AND($O4465=$Q$7,$B4465&lt;'111'!$L$11),"x","")</f>
        <v/>
      </c>
      <c r="T4465" s="79" t="str">
        <f>IF(ISERROR(FIND('112'!$M$9,G4465,1)),"",IF((AND(FIND('112'!$M$9,G4465,1)&gt;=1,B4465='112'!$K$9,OR($N4465='112'!$I$6,$O4465='112'!$I$6))),"x",""))</f>
        <v/>
      </c>
      <c r="U4465" s="79" t="str">
        <f>IF(ISERROR(FIND('112'!$M$9,G4465,1)),"",IF((AND(LEFT(G4465,2)=LEFT('112'!$M$9,2),B4465&lt;'112'!$K$9,$N4465='112'!$I$6)),"x",""))</f>
        <v/>
      </c>
      <c r="V4465" s="79" t="str">
        <f>IF(ISERROR(FIND('112'!$M$9,G4465,1)),"",IF((AND(RIGHT(G4465,2)=RIGHT('112'!$M$9,2),B4465&lt;'112'!$K$9,$O4465='112'!$I$6)),"x",""))</f>
        <v/>
      </c>
      <c r="W4465" s="79" t="str">
        <f>IF(AND('341-CT'!$H$9=H4465,OR(LEFT(N4465,3)=$W$7,LEFT(O4465,3)=$W$7)),"x","")</f>
        <v/>
      </c>
      <c r="X4465" s="79" t="str">
        <f>IF(OR(TH!N4465=TH!$X$7,O4465=TH!$X$7),"x","")</f>
        <v/>
      </c>
      <c r="Y4465" s="79" t="str">
        <f>IF(AND(OR(N4465="131",O4465="131"),H4465='131-CT'!$H$9),"x","")</f>
        <v/>
      </c>
      <c r="Z4465" s="79"/>
      <c r="AA4465" s="79" t="str">
        <f>IF(AND(MONTH(E4465)='IN-NX'!$J$5,'IN-NX'!$D$7=D4465),"x","")</f>
        <v/>
      </c>
      <c r="AB4465" s="79" t="str">
        <f>IF(AND(OR(LEFT(TH!N4465,2)="15",LEFT(TH!O4465,2)="15"),LEFT(TH!O4465,3)&lt;&gt;"111",'152-CT'!$J$8=TH!F4465),"x","")</f>
        <v/>
      </c>
      <c r="AC4465" s="79" t="str">
        <f>IF(AND(OR(LEFT(TH!N4465,2)="15",LEFT(TH!O4465,2)="15"),TK!$E$7=TH!F4465),"x","")</f>
        <v/>
      </c>
      <c r="AD4465" s="79" t="str">
        <f>IF(AND(N4465="1521",MONTH(C4465)='BK-NL'!$M$11),"x","")</f>
        <v/>
      </c>
    </row>
    <row r="4466" spans="1:30" ht="16.5" customHeight="1">
      <c r="A4466" s="318" t="str">
        <f>IF(B4466&lt;&gt;"",IF(AND(B4466='[3]IN-TC'!$S$4,OR([3]TH!N3697="1111",[3]TH!O3697="1111")),[3]TH!D3697,""),"")</f>
        <v/>
      </c>
      <c r="B4466" s="60" t="str">
        <f t="shared" si="473"/>
        <v/>
      </c>
      <c r="C4466" s="61"/>
      <c r="D4466" s="61"/>
      <c r="E4466" s="61"/>
      <c r="F4466" s="64"/>
      <c r="G4466" s="64"/>
      <c r="H4466" s="321"/>
      <c r="I4466" s="385"/>
      <c r="J4466" s="392"/>
      <c r="K4466" s="385"/>
      <c r="L4466" s="392"/>
      <c r="M4466" s="62"/>
      <c r="N4466" s="63"/>
      <c r="O4466" s="63"/>
      <c r="P4466" s="79" t="str">
        <f>IF(AND('331-CT'!$E$7=TH!H4466,OR(N4466="331",O4466="331")),"x","")</f>
        <v/>
      </c>
      <c r="Q4466" s="79" t="str">
        <f>IF(AND(B4466='111'!$L$11,OR($N4466=$Q$7,$O4466=$Q$7)),"x","")</f>
        <v/>
      </c>
      <c r="R4466" s="79" t="str">
        <f>IF(AND($N4466=$Q$7,$B4466&lt;'111'!$L$11),"x","")</f>
        <v/>
      </c>
      <c r="S4466" s="79" t="str">
        <f>IF(AND($O4466=$Q$7,$B4466&lt;'111'!$L$11),"x","")</f>
        <v/>
      </c>
      <c r="T4466" s="79" t="str">
        <f>IF(ISERROR(FIND('112'!$M$9,G4466,1)),"",IF((AND(FIND('112'!$M$9,G4466,1)&gt;=1,B4466='112'!$K$9,OR($N4466='112'!$I$6,$O4466='112'!$I$6))),"x",""))</f>
        <v/>
      </c>
      <c r="U4466" s="79" t="str">
        <f>IF(ISERROR(FIND('112'!$M$9,G4466,1)),"",IF((AND(LEFT(G4466,2)=LEFT('112'!$M$9,2),B4466&lt;'112'!$K$9,$N4466='112'!$I$6)),"x",""))</f>
        <v/>
      </c>
      <c r="V4466" s="79" t="str">
        <f>IF(ISERROR(FIND('112'!$M$9,G4466,1)),"",IF((AND(RIGHT(G4466,2)=RIGHT('112'!$M$9,2),B4466&lt;'112'!$K$9,$O4466='112'!$I$6)),"x",""))</f>
        <v/>
      </c>
      <c r="W4466" s="79" t="str">
        <f>IF(AND('341-CT'!$H$9=H4466,OR(LEFT(N4466,3)=$W$7,LEFT(O4466,3)=$W$7)),"x","")</f>
        <v/>
      </c>
      <c r="X4466" s="79" t="str">
        <f>IF(OR(TH!N4466=TH!$X$7,O4466=TH!$X$7),"x","")</f>
        <v/>
      </c>
      <c r="Y4466" s="79" t="str">
        <f>IF(AND(OR(N4466="131",O4466="131"),H4466='131-CT'!$H$9),"x","")</f>
        <v/>
      </c>
      <c r="Z4466" s="79"/>
      <c r="AA4466" s="79" t="str">
        <f>IF(AND(MONTH(E4466)='IN-NX'!$J$5,'IN-NX'!$D$7=D4466),"x","")</f>
        <v/>
      </c>
      <c r="AB4466" s="79" t="str">
        <f>IF(AND(OR(LEFT(TH!N4466,2)="15",LEFT(TH!O4466,2)="15"),LEFT(TH!O4466,3)&lt;&gt;"111",'152-CT'!$J$8=TH!F4466),"x","")</f>
        <v/>
      </c>
      <c r="AC4466" s="79" t="str">
        <f>IF(AND(OR(LEFT(TH!N4466,2)="15",LEFT(TH!O4466,2)="15"),TK!$E$7=TH!F4466),"x","")</f>
        <v/>
      </c>
      <c r="AD4466" s="79" t="str">
        <f>IF(AND(N4466="1521",MONTH(C4466)='BK-NL'!$M$11),"x","")</f>
        <v/>
      </c>
    </row>
    <row r="4467" spans="1:30" ht="16.5" customHeight="1">
      <c r="A4467" s="318" t="str">
        <f>IF(B4467&lt;&gt;"",IF(AND(B4467='[3]IN-TC'!$S$4,OR([3]TH!N3698="1111",[3]TH!O3698="1111")),[3]TH!D3698,""),"")</f>
        <v/>
      </c>
      <c r="B4467" s="60" t="str">
        <f t="shared" si="473"/>
        <v/>
      </c>
      <c r="C4467" s="61"/>
      <c r="D4467" s="61"/>
      <c r="E4467" s="61"/>
      <c r="F4467" s="64"/>
      <c r="G4467" s="64"/>
      <c r="H4467" s="321"/>
      <c r="I4467" s="385"/>
      <c r="J4467" s="392"/>
      <c r="K4467" s="385"/>
      <c r="L4467" s="392"/>
      <c r="M4467" s="62"/>
      <c r="N4467" s="63"/>
      <c r="O4467" s="63"/>
      <c r="P4467" s="79" t="str">
        <f>IF(AND('331-CT'!$E$7=TH!H4467,OR(N4467="331",O4467="331")),"x","")</f>
        <v/>
      </c>
      <c r="Q4467" s="79" t="str">
        <f>IF(AND(B4467='111'!$L$11,OR($N4467=$Q$7,$O4467=$Q$7)),"x","")</f>
        <v/>
      </c>
      <c r="R4467" s="79" t="str">
        <f>IF(AND($N4467=$Q$7,$B4467&lt;'111'!$L$11),"x","")</f>
        <v/>
      </c>
      <c r="S4467" s="79" t="str">
        <f>IF(AND($O4467=$Q$7,$B4467&lt;'111'!$L$11),"x","")</f>
        <v/>
      </c>
      <c r="T4467" s="79" t="str">
        <f>IF(ISERROR(FIND('112'!$M$9,G4467,1)),"",IF((AND(FIND('112'!$M$9,G4467,1)&gt;=1,B4467='112'!$K$9,OR($N4467='112'!$I$6,$O4467='112'!$I$6))),"x",""))</f>
        <v/>
      </c>
      <c r="U4467" s="79" t="str">
        <f>IF(ISERROR(FIND('112'!$M$9,G4467,1)),"",IF((AND(LEFT(G4467,2)=LEFT('112'!$M$9,2),B4467&lt;'112'!$K$9,$N4467='112'!$I$6)),"x",""))</f>
        <v/>
      </c>
      <c r="V4467" s="79" t="str">
        <f>IF(ISERROR(FIND('112'!$M$9,G4467,1)),"",IF((AND(RIGHT(G4467,2)=RIGHT('112'!$M$9,2),B4467&lt;'112'!$K$9,$O4467='112'!$I$6)),"x",""))</f>
        <v/>
      </c>
      <c r="W4467" s="79" t="str">
        <f>IF(AND('341-CT'!$H$9=H4467,OR(LEFT(N4467,3)=$W$7,LEFT(O4467,3)=$W$7)),"x","")</f>
        <v/>
      </c>
      <c r="X4467" s="79" t="str">
        <f>IF(OR(TH!N4467=TH!$X$7,O4467=TH!$X$7),"x","")</f>
        <v/>
      </c>
      <c r="Y4467" s="79" t="str">
        <f>IF(AND(OR(N4467="131",O4467="131"),H4467='131-CT'!$H$9),"x","")</f>
        <v/>
      </c>
      <c r="Z4467" s="79"/>
      <c r="AA4467" s="79" t="str">
        <f>IF(AND(MONTH(E4467)='IN-NX'!$J$5,'IN-NX'!$D$7=D4467),"x","")</f>
        <v/>
      </c>
      <c r="AB4467" s="79" t="str">
        <f>IF(AND(OR(LEFT(TH!N4467,2)="15",LEFT(TH!O4467,2)="15"),LEFT(TH!O4467,3)&lt;&gt;"111",'152-CT'!$J$8=TH!F4467),"x","")</f>
        <v/>
      </c>
      <c r="AC4467" s="79" t="str">
        <f>IF(AND(OR(LEFT(TH!N4467,2)="15",LEFT(TH!O4467,2)="15"),TK!$E$7=TH!F4467),"x","")</f>
        <v/>
      </c>
      <c r="AD4467" s="79" t="str">
        <f>IF(AND(N4467="1521",MONTH(C4467)='BK-NL'!$M$11),"x","")</f>
        <v/>
      </c>
    </row>
    <row r="4468" spans="1:30" ht="16.5" customHeight="1">
      <c r="A4468" s="318" t="str">
        <f>IF(B4468&lt;&gt;"",IF(AND(B4468='[3]IN-TC'!$S$4,OR([3]TH!N3699="1111",[3]TH!O3699="1111")),[3]TH!D3699,""),"")</f>
        <v/>
      </c>
      <c r="B4468" s="60" t="str">
        <f t="shared" si="473"/>
        <v/>
      </c>
      <c r="C4468" s="61"/>
      <c r="D4468" s="61"/>
      <c r="E4468" s="61"/>
      <c r="F4468" s="64"/>
      <c r="G4468" s="64"/>
      <c r="H4468" s="321"/>
      <c r="I4468" s="385"/>
      <c r="J4468" s="392"/>
      <c r="K4468" s="385"/>
      <c r="L4468" s="392"/>
      <c r="M4468" s="62"/>
      <c r="N4468" s="63"/>
      <c r="O4468" s="304"/>
      <c r="P4468" s="79" t="str">
        <f>IF(AND('331-CT'!$E$7=TH!H4468,OR(N4468="331",O4468="331")),"x","")</f>
        <v/>
      </c>
      <c r="Q4468" s="79" t="str">
        <f>IF(AND(B4468='111'!$L$11,OR($N4468=$Q$7,$O4468=$Q$7)),"x","")</f>
        <v/>
      </c>
      <c r="R4468" s="79" t="str">
        <f>IF(AND($N4468=$Q$7,$B4468&lt;'111'!$L$11),"x","")</f>
        <v/>
      </c>
      <c r="S4468" s="79" t="str">
        <f>IF(AND($O4468=$Q$7,$B4468&lt;'111'!$L$11),"x","")</f>
        <v/>
      </c>
      <c r="T4468" s="79" t="str">
        <f>IF(ISERROR(FIND('112'!$M$9,G4468,1)),"",IF((AND(FIND('112'!$M$9,G4468,1)&gt;=1,B4468='112'!$K$9,OR($N4468='112'!$I$6,$O4468='112'!$I$6))),"x",""))</f>
        <v/>
      </c>
      <c r="U4468" s="79" t="str">
        <f>IF(ISERROR(FIND('112'!$M$9,G4468,1)),"",IF((AND(LEFT(G4468,2)=LEFT('112'!$M$9,2),B4468&lt;'112'!$K$9,$N4468='112'!$I$6)),"x",""))</f>
        <v/>
      </c>
      <c r="V4468" s="79" t="str">
        <f>IF(ISERROR(FIND('112'!$M$9,G4468,1)),"",IF((AND(RIGHT(G4468,2)=RIGHT('112'!$M$9,2),B4468&lt;'112'!$K$9,$O4468='112'!$I$6)),"x",""))</f>
        <v/>
      </c>
      <c r="W4468" s="79" t="str">
        <f>IF(AND('341-CT'!$H$9=H4468,OR(LEFT(N4468,3)=$W$7,LEFT(O4468,3)=$W$7)),"x","")</f>
        <v/>
      </c>
      <c r="X4468" s="79" t="str">
        <f>IF(OR(TH!N4468=TH!$X$7,O4468=TH!$X$7),"x","")</f>
        <v/>
      </c>
      <c r="Y4468" s="79" t="str">
        <f>IF(AND(OR(N4468="131",O4468="131"),H4468='131-CT'!$H$9),"x","")</f>
        <v/>
      </c>
      <c r="Z4468" s="79"/>
      <c r="AA4468" s="79" t="str">
        <f>IF(AND(MONTH(E4468)='IN-NX'!$J$5,'IN-NX'!$D$7=D4468),"x","")</f>
        <v/>
      </c>
      <c r="AB4468" s="79" t="str">
        <f>IF(AND(OR(LEFT(TH!N4468,2)="15",LEFT(TH!O4468,2)="15"),LEFT(TH!O4468,3)&lt;&gt;"111",'152-CT'!$J$8=TH!F4468),"x","")</f>
        <v/>
      </c>
      <c r="AC4468" s="79" t="str">
        <f>IF(AND(OR(LEFT(TH!N4468,2)="15",LEFT(TH!O4468,2)="15"),TK!$E$7=TH!F4468),"x","")</f>
        <v/>
      </c>
      <c r="AD4468" s="79" t="str">
        <f>IF(AND(N4468="1521",MONTH(C4468)='BK-NL'!$M$11),"x","")</f>
        <v/>
      </c>
    </row>
    <row r="4469" spans="1:30" ht="16.5" customHeight="1">
      <c r="A4469" s="318" t="str">
        <f>IF(B4469&lt;&gt;"",IF(AND(B4469='[3]IN-TC'!$S$4,OR([3]TH!N3700="1111",[3]TH!O3700="1111")),[3]TH!D3700,""),"")</f>
        <v/>
      </c>
      <c r="B4469" s="60" t="str">
        <f t="shared" si="473"/>
        <v/>
      </c>
      <c r="C4469" s="301"/>
      <c r="D4469" s="301"/>
      <c r="E4469" s="301"/>
      <c r="F4469" s="302"/>
      <c r="G4469" s="988"/>
      <c r="H4469" s="69"/>
      <c r="I4469" s="385"/>
      <c r="J4469" s="969"/>
      <c r="K4469" s="385"/>
      <c r="L4469" s="392"/>
      <c r="M4469" s="970"/>
      <c r="N4469" s="304"/>
      <c r="O4469" s="304"/>
      <c r="P4469" s="79" t="str">
        <f>IF(AND('331-CT'!$E$7=TH!H4469,OR(N4469="331",O4469="331")),"x","")</f>
        <v/>
      </c>
      <c r="Q4469" s="79" t="str">
        <f>IF(AND(B4469='111'!$L$11,OR($N4469=$Q$7,$O4469=$Q$7)),"x","")</f>
        <v/>
      </c>
      <c r="R4469" s="79" t="str">
        <f>IF(AND($N4469=$Q$7,$B4469&lt;'111'!$L$11),"x","")</f>
        <v/>
      </c>
      <c r="S4469" s="79" t="str">
        <f>IF(AND($O4469=$Q$7,$B4469&lt;'111'!$L$11),"x","")</f>
        <v/>
      </c>
      <c r="T4469" s="79" t="str">
        <f>IF(ISERROR(FIND('112'!$M$9,G4469,1)),"",IF((AND(FIND('112'!$M$9,G4469,1)&gt;=1,B4469='112'!$K$9,OR($N4469='112'!$I$6,$O4469='112'!$I$6))),"x",""))</f>
        <v/>
      </c>
      <c r="U4469" s="79" t="str">
        <f>IF(ISERROR(FIND('112'!$M$9,G4469,1)),"",IF((AND(LEFT(G4469,2)=LEFT('112'!$M$9,2),B4469&lt;'112'!$K$9,$N4469='112'!$I$6)),"x",""))</f>
        <v/>
      </c>
      <c r="V4469" s="79" t="str">
        <f>IF(ISERROR(FIND('112'!$M$9,G4469,1)),"",IF((AND(RIGHT(G4469,2)=RIGHT('112'!$M$9,2),B4469&lt;'112'!$K$9,$O4469='112'!$I$6)),"x",""))</f>
        <v/>
      </c>
      <c r="W4469" s="79" t="str">
        <f>IF(AND('341-CT'!$H$9=H4469,OR(LEFT(N4469,3)=$W$7,LEFT(O4469,3)=$W$7)),"x","")</f>
        <v/>
      </c>
      <c r="X4469" s="79" t="str">
        <f>IF(OR(TH!N4469=TH!$X$7,O4469=TH!$X$7),"x","")</f>
        <v/>
      </c>
      <c r="Y4469" s="79" t="str">
        <f>IF(AND(OR(N4469="131",O4469="131"),H4469='131-CT'!$H$9),"x","")</f>
        <v/>
      </c>
      <c r="Z4469" s="79"/>
      <c r="AA4469" s="79" t="str">
        <f>IF(AND(MONTH(E4469)='IN-NX'!$J$5,'IN-NX'!$D$7=D4469),"x","")</f>
        <v/>
      </c>
      <c r="AB4469" s="79" t="str">
        <f>IF(AND(OR(LEFT(TH!N4469,2)="15",LEFT(TH!O4469,2)="15"),LEFT(TH!O4469,3)&lt;&gt;"111",'152-CT'!$J$8=TH!F4469),"x","")</f>
        <v/>
      </c>
      <c r="AC4469" s="79" t="str">
        <f>IF(AND(OR(LEFT(TH!N4469,2)="15",LEFT(TH!O4469,2)="15"),TK!$E$7=TH!F4469),"x","")</f>
        <v/>
      </c>
      <c r="AD4469" s="79" t="str">
        <f>IF(AND(N4469="1521",MONTH(C4469)='BK-NL'!$M$11),"x","")</f>
        <v/>
      </c>
    </row>
    <row r="4470" spans="1:30" ht="16.5" customHeight="1">
      <c r="A4470" s="318" t="str">
        <f>IF(B4470&lt;&gt;"",IF(AND(B4470='[3]IN-TC'!$S$4,OR([3]TH!N3701="1111",[3]TH!O3701="1111")),[3]TH!D3701,""),"")</f>
        <v/>
      </c>
      <c r="B4470" s="60" t="str">
        <f t="shared" si="473"/>
        <v/>
      </c>
      <c r="C4470" s="61"/>
      <c r="D4470" s="301"/>
      <c r="E4470" s="301"/>
      <c r="F4470" s="64"/>
      <c r="G4470" s="64"/>
      <c r="H4470" s="321"/>
      <c r="I4470" s="385"/>
      <c r="J4470" s="392"/>
      <c r="K4470" s="385"/>
      <c r="L4470" s="392"/>
      <c r="M4470" s="62"/>
      <c r="N4470" s="63"/>
      <c r="O4470" s="304"/>
      <c r="P4470" s="79" t="str">
        <f>IF(AND('331-CT'!$E$7=TH!H4470,OR(N4470="331",O4470="331")),"x","")</f>
        <v/>
      </c>
      <c r="Q4470" s="79" t="str">
        <f>IF(AND(B4470='111'!$L$11,OR($N4470=$Q$7,$O4470=$Q$7)),"x","")</f>
        <v/>
      </c>
      <c r="R4470" s="79" t="str">
        <f>IF(AND($N4470=$Q$7,$B4470&lt;'111'!$L$11),"x","")</f>
        <v/>
      </c>
      <c r="S4470" s="79" t="str">
        <f>IF(AND($O4470=$Q$7,$B4470&lt;'111'!$L$11),"x","")</f>
        <v/>
      </c>
      <c r="T4470" s="79" t="str">
        <f>IF(ISERROR(FIND('112'!$M$9,G4470,1)),"",IF((AND(FIND('112'!$M$9,G4470,1)&gt;=1,B4470='112'!$K$9,OR($N4470='112'!$I$6,$O4470='112'!$I$6))),"x",""))</f>
        <v/>
      </c>
      <c r="U4470" s="79" t="str">
        <f>IF(ISERROR(FIND('112'!$M$9,G4470,1)),"",IF((AND(LEFT(G4470,2)=LEFT('112'!$M$9,2),B4470&lt;'112'!$K$9,$N4470='112'!$I$6)),"x",""))</f>
        <v/>
      </c>
      <c r="V4470" s="79" t="str">
        <f>IF(ISERROR(FIND('112'!$M$9,G4470,1)),"",IF((AND(RIGHT(G4470,2)=RIGHT('112'!$M$9,2),B4470&lt;'112'!$K$9,$O4470='112'!$I$6)),"x",""))</f>
        <v/>
      </c>
      <c r="W4470" s="79" t="str">
        <f>IF(AND('341-CT'!$H$9=H4470,OR(LEFT(N4470,3)=$W$7,LEFT(O4470,3)=$W$7)),"x","")</f>
        <v/>
      </c>
      <c r="X4470" s="79" t="str">
        <f>IF(OR(TH!N4470=TH!$X$7,O4470=TH!$X$7),"x","")</f>
        <v/>
      </c>
      <c r="Y4470" s="79" t="str">
        <f>IF(AND(OR(N4470="131",O4470="131"),H4470='131-CT'!$H$9),"x","")</f>
        <v/>
      </c>
      <c r="Z4470" s="79"/>
      <c r="AA4470" s="79" t="str">
        <f>IF(AND(MONTH(E4470)='IN-NX'!$J$5,'IN-NX'!$D$7=D4470),"x","")</f>
        <v/>
      </c>
      <c r="AB4470" s="79" t="str">
        <f>IF(AND(OR(LEFT(TH!N4470,2)="15",LEFT(TH!O4470,2)="15"),LEFT(TH!O4470,3)&lt;&gt;"111",'152-CT'!$J$8=TH!F4470),"x","")</f>
        <v/>
      </c>
      <c r="AC4470" s="79" t="str">
        <f>IF(AND(OR(LEFT(TH!N4470,2)="15",LEFT(TH!O4470,2)="15"),TK!$E$7=TH!F4470),"x","")</f>
        <v/>
      </c>
      <c r="AD4470" s="79" t="str">
        <f>IF(AND(N4470="1521",MONTH(C4470)='BK-NL'!$M$11),"x","")</f>
        <v/>
      </c>
    </row>
    <row r="4471" spans="1:30" ht="16.5" customHeight="1">
      <c r="A4471" s="318" t="str">
        <f>IF(B4471&lt;&gt;"",IF(AND(B4471='[3]IN-TC'!$S$4,OR([3]TH!N3702="1111",[3]TH!O3702="1111")),[3]TH!D3702,""),"")</f>
        <v/>
      </c>
      <c r="B4471" s="60" t="str">
        <f t="shared" si="473"/>
        <v/>
      </c>
      <c r="C4471" s="301"/>
      <c r="D4471" s="301"/>
      <c r="E4471" s="301"/>
      <c r="F4471" s="302"/>
      <c r="G4471" s="988"/>
      <c r="H4471" s="69"/>
      <c r="I4471" s="385"/>
      <c r="J4471" s="969"/>
      <c r="K4471" s="385"/>
      <c r="L4471" s="392"/>
      <c r="M4471" s="970"/>
      <c r="N4471" s="304"/>
      <c r="O4471" s="304"/>
      <c r="P4471" s="79" t="str">
        <f>IF(AND('331-CT'!$E$7=TH!H4471,OR(N4471="331",O4471="331")),"x","")</f>
        <v/>
      </c>
      <c r="Q4471" s="79" t="str">
        <f>IF(AND(B4471='111'!$L$11,OR($N4471=$Q$7,$O4471=$Q$7)),"x","")</f>
        <v/>
      </c>
      <c r="R4471" s="79" t="str">
        <f>IF(AND($N4471=$Q$7,$B4471&lt;'111'!$L$11),"x","")</f>
        <v/>
      </c>
      <c r="S4471" s="79" t="str">
        <f>IF(AND($O4471=$Q$7,$B4471&lt;'111'!$L$11),"x","")</f>
        <v/>
      </c>
      <c r="T4471" s="79" t="str">
        <f>IF(ISERROR(FIND('112'!$M$9,G4471,1)),"",IF((AND(FIND('112'!$M$9,G4471,1)&gt;=1,B4471='112'!$K$9,OR($N4471='112'!$I$6,$O4471='112'!$I$6))),"x",""))</f>
        <v/>
      </c>
      <c r="U4471" s="79" t="str">
        <f>IF(ISERROR(FIND('112'!$M$9,G4471,1)),"",IF((AND(LEFT(G4471,2)=LEFT('112'!$M$9,2),B4471&lt;'112'!$K$9,$N4471='112'!$I$6)),"x",""))</f>
        <v/>
      </c>
      <c r="V4471" s="79" t="str">
        <f>IF(ISERROR(FIND('112'!$M$9,G4471,1)),"",IF((AND(RIGHT(G4471,2)=RIGHT('112'!$M$9,2),B4471&lt;'112'!$K$9,$O4471='112'!$I$6)),"x",""))</f>
        <v/>
      </c>
      <c r="W4471" s="79" t="str">
        <f>IF(AND('341-CT'!$H$9=H4471,OR(LEFT(N4471,3)=$W$7,LEFT(O4471,3)=$W$7)),"x","")</f>
        <v/>
      </c>
      <c r="X4471" s="79" t="str">
        <f>IF(OR(TH!N4471=TH!$X$7,O4471=TH!$X$7),"x","")</f>
        <v/>
      </c>
      <c r="Y4471" s="79" t="str">
        <f>IF(AND(OR(N4471="131",O4471="131"),H4471='131-CT'!$H$9),"x","")</f>
        <v/>
      </c>
      <c r="Z4471" s="79"/>
      <c r="AA4471" s="79" t="str">
        <f>IF(AND(MONTH(E4471)='IN-NX'!$J$5,'IN-NX'!$D$7=D4471),"x","")</f>
        <v/>
      </c>
      <c r="AB4471" s="79" t="str">
        <f>IF(AND(OR(LEFT(TH!N4471,2)="15",LEFT(TH!O4471,2)="15"),LEFT(TH!O4471,3)&lt;&gt;"111",'152-CT'!$J$8=TH!F4471),"x","")</f>
        <v/>
      </c>
      <c r="AC4471" s="79" t="str">
        <f>IF(AND(OR(LEFT(TH!N4471,2)="15",LEFT(TH!O4471,2)="15"),TK!$E$7=TH!F4471),"x","")</f>
        <v/>
      </c>
      <c r="AD4471" s="79" t="str">
        <f>IF(AND(N4471="1521",MONTH(C4471)='BK-NL'!$M$11),"x","")</f>
        <v/>
      </c>
    </row>
    <row r="4472" spans="1:30" ht="16.5" customHeight="1">
      <c r="A4472" s="318" t="str">
        <f>IF(B4472&lt;&gt;"",IF(AND(B4472='[3]IN-TC'!$S$4,OR([3]TH!N3703="1111",[3]TH!O3703="1111")),[3]TH!D3703,""),"")</f>
        <v/>
      </c>
      <c r="B4472" s="60" t="str">
        <f t="shared" si="473"/>
        <v/>
      </c>
      <c r="C4472" s="61"/>
      <c r="D4472" s="61"/>
      <c r="E4472" s="61"/>
      <c r="F4472" s="64"/>
      <c r="G4472" s="64"/>
      <c r="H4472" s="69"/>
      <c r="I4472" s="385"/>
      <c r="J4472" s="392"/>
      <c r="K4472" s="385"/>
      <c r="L4472" s="392"/>
      <c r="M4472" s="62"/>
      <c r="N4472" s="63"/>
      <c r="O4472" s="63"/>
      <c r="P4472" s="79" t="str">
        <f>IF(AND('331-CT'!$E$7=TH!H4472,OR(N4472="331",O4472="331")),"x","")</f>
        <v/>
      </c>
      <c r="Q4472" s="79" t="str">
        <f>IF(AND(B4472='111'!$L$11,OR($N4472=$Q$7,$O4472=$Q$7)),"x","")</f>
        <v/>
      </c>
      <c r="R4472" s="79" t="str">
        <f>IF(AND($N4472=$Q$7,$B4472&lt;'111'!$L$11),"x","")</f>
        <v/>
      </c>
      <c r="S4472" s="79" t="str">
        <f>IF(AND($O4472=$Q$7,$B4472&lt;'111'!$L$11),"x","")</f>
        <v/>
      </c>
      <c r="T4472" s="79" t="str">
        <f>IF(ISERROR(FIND('112'!$M$9,G4472,1)),"",IF((AND(FIND('112'!$M$9,G4472,1)&gt;=1,B4472='112'!$K$9,OR($N4472='112'!$I$6,$O4472='112'!$I$6))),"x",""))</f>
        <v/>
      </c>
      <c r="U4472" s="79" t="str">
        <f>IF(ISERROR(FIND('112'!$M$9,G4472,1)),"",IF((AND(LEFT(G4472,2)=LEFT('112'!$M$9,2),B4472&lt;'112'!$K$9,$N4472='112'!$I$6)),"x",""))</f>
        <v/>
      </c>
      <c r="V4472" s="79" t="str">
        <f>IF(ISERROR(FIND('112'!$M$9,G4472,1)),"",IF((AND(RIGHT(G4472,2)=RIGHT('112'!$M$9,2),B4472&lt;'112'!$K$9,$O4472='112'!$I$6)),"x",""))</f>
        <v/>
      </c>
      <c r="W4472" s="79" t="str">
        <f>IF(AND('341-CT'!$H$9=H4472,OR(LEFT(N4472,3)=$W$7,LEFT(O4472,3)=$W$7)),"x","")</f>
        <v/>
      </c>
      <c r="X4472" s="79" t="str">
        <f>IF(OR(TH!N4472=TH!$X$7,O4472=TH!$X$7),"x","")</f>
        <v/>
      </c>
      <c r="Y4472" s="79" t="str">
        <f>IF(AND(OR(N4472="131",O4472="131"),H4472='131-CT'!$H$9),"x","")</f>
        <v/>
      </c>
      <c r="Z4472" s="79"/>
      <c r="AA4472" s="79" t="str">
        <f>IF(AND(MONTH(E4472)='IN-NX'!$J$5,'IN-NX'!$D$7=D4472),"x","")</f>
        <v/>
      </c>
      <c r="AB4472" s="79" t="str">
        <f>IF(AND(OR(LEFT(TH!N4472,2)="15",LEFT(TH!O4472,2)="15"),LEFT(TH!O4472,3)&lt;&gt;"111",'152-CT'!$J$8=TH!F4472),"x","")</f>
        <v/>
      </c>
      <c r="AC4472" s="79" t="str">
        <f>IF(AND(OR(LEFT(TH!N4472,2)="15",LEFT(TH!O4472,2)="15"),TK!$E$7=TH!F4472),"x","")</f>
        <v/>
      </c>
      <c r="AD4472" s="79" t="str">
        <f>IF(AND(N4472="1521",MONTH(C4472)='BK-NL'!$M$11),"x","")</f>
        <v/>
      </c>
    </row>
    <row r="4473" spans="1:30" ht="16.5" customHeight="1">
      <c r="A4473" s="318" t="str">
        <f>IF(B4473&lt;&gt;"",IF(AND(B4473='[3]IN-TC'!$S$4,OR([3]TH!N3704="1111",[3]TH!O3704="1111")),[3]TH!D3704,""),"")</f>
        <v/>
      </c>
      <c r="B4473" s="60" t="str">
        <f t="shared" si="473"/>
        <v/>
      </c>
      <c r="C4473" s="61"/>
      <c r="D4473" s="61"/>
      <c r="E4473" s="61"/>
      <c r="F4473" s="64"/>
      <c r="G4473" s="64"/>
      <c r="H4473" s="321"/>
      <c r="I4473" s="385"/>
      <c r="J4473" s="392"/>
      <c r="K4473" s="385"/>
      <c r="L4473" s="392"/>
      <c r="M4473" s="62"/>
      <c r="N4473" s="63"/>
      <c r="O4473" s="63"/>
      <c r="P4473" s="79" t="str">
        <f>IF(AND('331-CT'!$E$7=TH!H4473,OR(N4473="331",O4473="331")),"x","")</f>
        <v/>
      </c>
      <c r="Q4473" s="79" t="str">
        <f>IF(AND(B4473='111'!$L$11,OR($N4473=$Q$7,$O4473=$Q$7)),"x","")</f>
        <v/>
      </c>
      <c r="R4473" s="79" t="str">
        <f>IF(AND($N4473=$Q$7,$B4473&lt;'111'!$L$11),"x","")</f>
        <v/>
      </c>
      <c r="S4473" s="79" t="str">
        <f>IF(AND($O4473=$Q$7,$B4473&lt;'111'!$L$11),"x","")</f>
        <v/>
      </c>
      <c r="T4473" s="79" t="str">
        <f>IF(ISERROR(FIND('112'!$M$9,G4473,1)),"",IF((AND(FIND('112'!$M$9,G4473,1)&gt;=1,B4473='112'!$K$9,OR($N4473='112'!$I$6,$O4473='112'!$I$6))),"x",""))</f>
        <v/>
      </c>
      <c r="U4473" s="79" t="str">
        <f>IF(ISERROR(FIND('112'!$M$9,G4473,1)),"",IF((AND(LEFT(G4473,2)=LEFT('112'!$M$9,2),B4473&lt;'112'!$K$9,$N4473='112'!$I$6)),"x",""))</f>
        <v/>
      </c>
      <c r="V4473" s="79" t="str">
        <f>IF(ISERROR(FIND('112'!$M$9,G4473,1)),"",IF((AND(RIGHT(G4473,2)=RIGHT('112'!$M$9,2),B4473&lt;'112'!$K$9,$O4473='112'!$I$6)),"x",""))</f>
        <v/>
      </c>
      <c r="W4473" s="79" t="str">
        <f>IF(AND('341-CT'!$H$9=H4473,OR(LEFT(N4473,3)=$W$7,LEFT(O4473,3)=$W$7)),"x","")</f>
        <v/>
      </c>
      <c r="X4473" s="79" t="str">
        <f>IF(OR(TH!N4473=TH!$X$7,O4473=TH!$X$7),"x","")</f>
        <v/>
      </c>
      <c r="Y4473" s="79" t="str">
        <f>IF(AND(OR(N4473="131",O4473="131"),H4473='131-CT'!$H$9),"x","")</f>
        <v/>
      </c>
      <c r="Z4473" s="79"/>
      <c r="AA4473" s="79" t="str">
        <f>IF(AND(MONTH(E4473)='IN-NX'!$J$5,'IN-NX'!$D$7=D4473),"x","")</f>
        <v/>
      </c>
      <c r="AB4473" s="79" t="str">
        <f>IF(AND(OR(LEFT(TH!N4473,2)="15",LEFT(TH!O4473,2)="15"),LEFT(TH!O4473,3)&lt;&gt;"111",'152-CT'!$J$8=TH!F4473),"x","")</f>
        <v/>
      </c>
      <c r="AC4473" s="79" t="str">
        <f>IF(AND(OR(LEFT(TH!N4473,2)="15",LEFT(TH!O4473,2)="15"),TK!$E$7=TH!F4473),"x","")</f>
        <v/>
      </c>
      <c r="AD4473" s="79" t="str">
        <f>IF(AND(N4473="1521",MONTH(C4473)='BK-NL'!$M$11),"x","")</f>
        <v/>
      </c>
    </row>
    <row r="4474" spans="1:30" ht="16.5" customHeight="1">
      <c r="A4474" s="318" t="str">
        <f>IF(B4474&lt;&gt;"",IF(AND(B4474='[3]IN-TC'!$S$4,OR([3]TH!N3705="1111",[3]TH!O3705="1111")),[3]TH!D3705,""),"")</f>
        <v/>
      </c>
      <c r="B4474" s="60" t="str">
        <f t="shared" si="473"/>
        <v/>
      </c>
      <c r="C4474" s="61"/>
      <c r="D4474" s="61"/>
      <c r="E4474" s="61"/>
      <c r="F4474" s="64"/>
      <c r="G4474" s="64"/>
      <c r="H4474" s="321"/>
      <c r="I4474" s="385"/>
      <c r="J4474" s="392"/>
      <c r="K4474" s="385"/>
      <c r="L4474" s="392"/>
      <c r="M4474" s="62"/>
      <c r="N4474" s="63"/>
      <c r="O4474" s="63"/>
      <c r="P4474" s="79" t="str">
        <f>IF(AND('331-CT'!$E$7=TH!H4474,OR(N4474="331",O4474="331")),"x","")</f>
        <v/>
      </c>
      <c r="Q4474" s="79" t="str">
        <f>IF(AND(B4474='111'!$L$11,OR($N4474=$Q$7,$O4474=$Q$7)),"x","")</f>
        <v/>
      </c>
      <c r="R4474" s="79" t="str">
        <f>IF(AND($N4474=$Q$7,$B4474&lt;'111'!$L$11),"x","")</f>
        <v/>
      </c>
      <c r="S4474" s="79" t="str">
        <f>IF(AND($O4474=$Q$7,$B4474&lt;'111'!$L$11),"x","")</f>
        <v/>
      </c>
      <c r="T4474" s="79" t="str">
        <f>IF(ISERROR(FIND('112'!$M$9,G4474,1)),"",IF((AND(FIND('112'!$M$9,G4474,1)&gt;=1,B4474='112'!$K$9,OR($N4474='112'!$I$6,$O4474='112'!$I$6))),"x",""))</f>
        <v/>
      </c>
      <c r="U4474" s="79" t="str">
        <f>IF(ISERROR(FIND('112'!$M$9,G4474,1)),"",IF((AND(LEFT(G4474,2)=LEFT('112'!$M$9,2),B4474&lt;'112'!$K$9,$N4474='112'!$I$6)),"x",""))</f>
        <v/>
      </c>
      <c r="V4474" s="79" t="str">
        <f>IF(ISERROR(FIND('112'!$M$9,G4474,1)),"",IF((AND(RIGHT(G4474,2)=RIGHT('112'!$M$9,2),B4474&lt;'112'!$K$9,$O4474='112'!$I$6)),"x",""))</f>
        <v/>
      </c>
      <c r="W4474" s="79" t="str">
        <f>IF(AND('341-CT'!$H$9=H4474,OR(LEFT(N4474,3)=$W$7,LEFT(O4474,3)=$W$7)),"x","")</f>
        <v/>
      </c>
      <c r="X4474" s="79" t="str">
        <f>IF(OR(TH!N4474=TH!$X$7,O4474=TH!$X$7),"x","")</f>
        <v/>
      </c>
      <c r="Y4474" s="79" t="str">
        <f>IF(AND(OR(N4474="131",O4474="131"),H4474='131-CT'!$H$9),"x","")</f>
        <v/>
      </c>
      <c r="Z4474" s="79"/>
      <c r="AA4474" s="79" t="str">
        <f>IF(AND(MONTH(E4474)='IN-NX'!$J$5,'IN-NX'!$D$7=D4474),"x","")</f>
        <v/>
      </c>
      <c r="AB4474" s="79" t="str">
        <f>IF(AND(OR(LEFT(TH!N4474,2)="15",LEFT(TH!O4474,2)="15"),LEFT(TH!O4474,3)&lt;&gt;"111",'152-CT'!$J$8=TH!F4474),"x","")</f>
        <v/>
      </c>
      <c r="AC4474" s="79" t="str">
        <f>IF(AND(OR(LEFT(TH!N4474,2)="15",LEFT(TH!O4474,2)="15"),TK!$E$7=TH!F4474),"x","")</f>
        <v/>
      </c>
      <c r="AD4474" s="79" t="str">
        <f>IF(AND(N4474="1521",MONTH(C4474)='BK-NL'!$M$11),"x","")</f>
        <v/>
      </c>
    </row>
    <row r="4475" spans="1:30" ht="16.5" customHeight="1">
      <c r="A4475" s="318" t="str">
        <f>IF(B4475&lt;&gt;"",IF(AND(B4475='[3]IN-TC'!$S$4,OR([3]TH!N3706="1111",[3]TH!O3706="1111")),[3]TH!D3706,""),"")</f>
        <v/>
      </c>
      <c r="B4475" s="60" t="str">
        <f t="shared" si="473"/>
        <v/>
      </c>
      <c r="C4475" s="61"/>
      <c r="D4475" s="61"/>
      <c r="E4475" s="61"/>
      <c r="F4475" s="302"/>
      <c r="G4475" s="64"/>
      <c r="H4475" s="321"/>
      <c r="I4475" s="385"/>
      <c r="J4475" s="392"/>
      <c r="K4475" s="385"/>
      <c r="L4475" s="392"/>
      <c r="M4475" s="62"/>
      <c r="N4475" s="63"/>
      <c r="O4475" s="63"/>
      <c r="P4475" s="79" t="str">
        <f>IF(AND('331-CT'!$E$7=TH!H4475,OR(N4475="331",O4475="331")),"x","")</f>
        <v/>
      </c>
      <c r="Q4475" s="79" t="str">
        <f>IF(AND(B4475='111'!$L$11,OR($N4475=$Q$7,$O4475=$Q$7)),"x","")</f>
        <v/>
      </c>
      <c r="R4475" s="79" t="str">
        <f>IF(AND($N4475=$Q$7,$B4475&lt;'111'!$L$11),"x","")</f>
        <v/>
      </c>
      <c r="S4475" s="79" t="str">
        <f>IF(AND($O4475=$Q$7,$B4475&lt;'111'!$L$11),"x","")</f>
        <v/>
      </c>
      <c r="T4475" s="79" t="str">
        <f>IF(ISERROR(FIND('112'!$M$9,G4475,1)),"",IF((AND(FIND('112'!$M$9,G4475,1)&gt;=1,B4475='112'!$K$9,OR($N4475='112'!$I$6,$O4475='112'!$I$6))),"x",""))</f>
        <v/>
      </c>
      <c r="U4475" s="79" t="str">
        <f>IF(ISERROR(FIND('112'!$M$9,G4475,1)),"",IF((AND(LEFT(G4475,2)=LEFT('112'!$M$9,2),B4475&lt;'112'!$K$9,$N4475='112'!$I$6)),"x",""))</f>
        <v/>
      </c>
      <c r="V4475" s="79" t="str">
        <f>IF(ISERROR(FIND('112'!$M$9,G4475,1)),"",IF((AND(RIGHT(G4475,2)=RIGHT('112'!$M$9,2),B4475&lt;'112'!$K$9,$O4475='112'!$I$6)),"x",""))</f>
        <v/>
      </c>
      <c r="W4475" s="79" t="str">
        <f>IF(AND('341-CT'!$H$9=H4475,OR(LEFT(N4475,3)=$W$7,LEFT(O4475,3)=$W$7)),"x","")</f>
        <v/>
      </c>
      <c r="X4475" s="79" t="str">
        <f>IF(OR(TH!N4475=TH!$X$7,O4475=TH!$X$7),"x","")</f>
        <v/>
      </c>
      <c r="Y4475" s="79" t="str">
        <f>IF(AND(OR(N4475="131",O4475="131"),H4475='131-CT'!$H$9),"x","")</f>
        <v/>
      </c>
      <c r="Z4475" s="79"/>
      <c r="AA4475" s="79" t="str">
        <f>IF(AND(MONTH(E4475)='IN-NX'!$J$5,'IN-NX'!$D$7=D4475),"x","")</f>
        <v/>
      </c>
      <c r="AB4475" s="79" t="str">
        <f>IF(AND(OR(LEFT(TH!N4475,2)="15",LEFT(TH!O4475,2)="15"),LEFT(TH!O4475,3)&lt;&gt;"111",'152-CT'!$J$8=TH!F4475),"x","")</f>
        <v/>
      </c>
      <c r="AC4475" s="79" t="str">
        <f>IF(AND(OR(LEFT(TH!N4475,2)="15",LEFT(TH!O4475,2)="15"),TK!$E$7=TH!F4475),"x","")</f>
        <v/>
      </c>
      <c r="AD4475" s="79" t="str">
        <f>IF(AND(N4475="1521",MONTH(C4475)='BK-NL'!$M$11),"x","")</f>
        <v/>
      </c>
    </row>
    <row r="4476" spans="1:30" ht="16.5" customHeight="1">
      <c r="A4476" s="318" t="str">
        <f>IF(B4476&lt;&gt;"",IF(AND(B4476='[3]IN-TC'!$S$4,OR([3]TH!N3707="1111",[3]TH!O3707="1111")),[3]TH!D3707,""),"")</f>
        <v/>
      </c>
      <c r="B4476" s="60" t="str">
        <f t="shared" si="473"/>
        <v/>
      </c>
      <c r="C4476" s="61"/>
      <c r="D4476" s="61"/>
      <c r="E4476" s="61"/>
      <c r="F4476" s="302"/>
      <c r="G4476" s="64"/>
      <c r="H4476" s="303"/>
      <c r="I4476" s="385"/>
      <c r="J4476" s="392"/>
      <c r="K4476" s="385"/>
      <c r="L4476" s="392"/>
      <c r="M4476" s="62"/>
      <c r="N4476" s="63"/>
      <c r="O4476" s="63"/>
      <c r="P4476" s="79" t="str">
        <f>IF(AND('331-CT'!$E$7=TH!H4476,OR(N4476="331",O4476="331")),"x","")</f>
        <v/>
      </c>
      <c r="Q4476" s="79" t="str">
        <f>IF(AND(B4476='111'!$L$11,OR($N4476=$Q$7,$O4476=$Q$7)),"x","")</f>
        <v/>
      </c>
      <c r="R4476" s="79" t="str">
        <f>IF(AND($N4476=$Q$7,$B4476&lt;'111'!$L$11),"x","")</f>
        <v/>
      </c>
      <c r="S4476" s="79" t="str">
        <f>IF(AND($O4476=$Q$7,$B4476&lt;'111'!$L$11),"x","")</f>
        <v/>
      </c>
      <c r="T4476" s="79" t="str">
        <f>IF(ISERROR(FIND('112'!$M$9,G4476,1)),"",IF((AND(FIND('112'!$M$9,G4476,1)&gt;=1,B4476='112'!$K$9,OR($N4476='112'!$I$6,$O4476='112'!$I$6))),"x",""))</f>
        <v/>
      </c>
      <c r="U4476" s="79" t="str">
        <f>IF(ISERROR(FIND('112'!$M$9,G4476,1)),"",IF((AND(LEFT(G4476,2)=LEFT('112'!$M$9,2),B4476&lt;'112'!$K$9,$N4476='112'!$I$6)),"x",""))</f>
        <v/>
      </c>
      <c r="V4476" s="79" t="str">
        <f>IF(ISERROR(FIND('112'!$M$9,G4476,1)),"",IF((AND(RIGHT(G4476,2)=RIGHT('112'!$M$9,2),B4476&lt;'112'!$K$9,$O4476='112'!$I$6)),"x",""))</f>
        <v/>
      </c>
      <c r="W4476" s="79" t="str">
        <f>IF(AND('341-CT'!$H$9=H4476,OR(LEFT(N4476,3)=$W$7,LEFT(O4476,3)=$W$7)),"x","")</f>
        <v/>
      </c>
      <c r="X4476" s="79" t="str">
        <f>IF(OR(TH!N4476=TH!$X$7,O4476=TH!$X$7),"x","")</f>
        <v/>
      </c>
      <c r="Y4476" s="79" t="str">
        <f>IF(AND(OR(N4476="131",O4476="131"),H4476='131-CT'!$H$9),"x","")</f>
        <v/>
      </c>
      <c r="Z4476" s="79"/>
      <c r="AA4476" s="79" t="str">
        <f>IF(AND(MONTH(E4476)='IN-NX'!$J$5,'IN-NX'!$D$7=D4476),"x","")</f>
        <v/>
      </c>
      <c r="AB4476" s="79" t="str">
        <f>IF(AND(OR(LEFT(TH!N4476,2)="15",LEFT(TH!O4476,2)="15"),LEFT(TH!O4476,3)&lt;&gt;"111",'152-CT'!$J$8=TH!F4476),"x","")</f>
        <v/>
      </c>
      <c r="AC4476" s="79" t="str">
        <f>IF(AND(OR(LEFT(TH!N4476,2)="15",LEFT(TH!O4476,2)="15"),TK!$E$7=TH!F4476),"x","")</f>
        <v/>
      </c>
      <c r="AD4476" s="79" t="str">
        <f>IF(AND(N4476="1521",MONTH(C4476)='BK-NL'!$M$11),"x","")</f>
        <v/>
      </c>
    </row>
    <row r="4477" spans="1:30" ht="16.5" customHeight="1">
      <c r="A4477" s="318" t="str">
        <f>IF(B4477&lt;&gt;"",IF(AND(B4477='[3]IN-TC'!$S$4,OR([3]TH!N3708="1111",[3]TH!O3708="1111")),[3]TH!D3708,""),"")</f>
        <v/>
      </c>
      <c r="B4477" s="60" t="str">
        <f t="shared" si="473"/>
        <v/>
      </c>
      <c r="C4477" s="61"/>
      <c r="D4477" s="61"/>
      <c r="E4477" s="61"/>
      <c r="F4477" s="64"/>
      <c r="G4477" s="64"/>
      <c r="H4477" s="321"/>
      <c r="I4477" s="385"/>
      <c r="J4477" s="392"/>
      <c r="K4477" s="385"/>
      <c r="L4477" s="392"/>
      <c r="M4477" s="62"/>
      <c r="N4477" s="63"/>
      <c r="O4477" s="63"/>
      <c r="P4477" s="79" t="str">
        <f>IF(AND('331-CT'!$E$7=TH!H4477,OR(N4477="331",O4477="331")),"x","")</f>
        <v/>
      </c>
      <c r="Q4477" s="79" t="str">
        <f>IF(AND(B4477='111'!$L$11,OR($N4477=$Q$7,$O4477=$Q$7)),"x","")</f>
        <v/>
      </c>
      <c r="R4477" s="79" t="str">
        <f>IF(AND($N4477=$Q$7,$B4477&lt;'111'!$L$11),"x","")</f>
        <v/>
      </c>
      <c r="S4477" s="79" t="str">
        <f>IF(AND($O4477=$Q$7,$B4477&lt;'111'!$L$11),"x","")</f>
        <v/>
      </c>
      <c r="T4477" s="79" t="str">
        <f>IF(ISERROR(FIND('112'!$M$9,G4477,1)),"",IF((AND(FIND('112'!$M$9,G4477,1)&gt;=1,B4477='112'!$K$9,OR($N4477='112'!$I$6,$O4477='112'!$I$6))),"x",""))</f>
        <v/>
      </c>
      <c r="U4477" s="79" t="str">
        <f>IF(ISERROR(FIND('112'!$M$9,G4477,1)),"",IF((AND(LEFT(G4477,2)=LEFT('112'!$M$9,2),B4477&lt;'112'!$K$9,$N4477='112'!$I$6)),"x",""))</f>
        <v/>
      </c>
      <c r="V4477" s="79" t="str">
        <f>IF(ISERROR(FIND('112'!$M$9,G4477,1)),"",IF((AND(RIGHT(G4477,2)=RIGHT('112'!$M$9,2),B4477&lt;'112'!$K$9,$O4477='112'!$I$6)),"x",""))</f>
        <v/>
      </c>
      <c r="W4477" s="79" t="str">
        <f>IF(AND('341-CT'!$H$9=H4477,OR(LEFT(N4477,3)=$W$7,LEFT(O4477,3)=$W$7)),"x","")</f>
        <v/>
      </c>
      <c r="X4477" s="79" t="str">
        <f>IF(OR(TH!N4477=TH!$X$7,O4477=TH!$X$7),"x","")</f>
        <v/>
      </c>
      <c r="Y4477" s="79" t="str">
        <f>IF(AND(OR(N4477="131",O4477="131"),H4477='131-CT'!$H$9),"x","")</f>
        <v/>
      </c>
      <c r="Z4477" s="79"/>
      <c r="AA4477" s="79" t="str">
        <f>IF(AND(MONTH(E4477)='IN-NX'!$J$5,'IN-NX'!$D$7=D4477),"x","")</f>
        <v/>
      </c>
      <c r="AB4477" s="79" t="str">
        <f>IF(AND(OR(LEFT(TH!N4477,2)="15",LEFT(TH!O4477,2)="15"),LEFT(TH!O4477,3)&lt;&gt;"111",'152-CT'!$J$8=TH!F4477),"x","")</f>
        <v/>
      </c>
      <c r="AC4477" s="79" t="str">
        <f>IF(AND(OR(LEFT(TH!N4477,2)="15",LEFT(TH!O4477,2)="15"),TK!$E$7=TH!F4477),"x","")</f>
        <v/>
      </c>
      <c r="AD4477" s="79" t="str">
        <f>IF(AND(N4477="1521",MONTH(C4477)='BK-NL'!$M$11),"x","")</f>
        <v/>
      </c>
    </row>
    <row r="4478" spans="1:30" ht="16.5" customHeight="1">
      <c r="A4478" s="318" t="str">
        <f>IF(B4478&lt;&gt;"",IF(AND(B4478='[3]IN-TC'!$S$4,OR([3]TH!N3709="1111",[3]TH!O3709="1111")),[3]TH!D3709,""),"")</f>
        <v/>
      </c>
      <c r="B4478" s="60" t="str">
        <f t="shared" si="473"/>
        <v/>
      </c>
      <c r="C4478" s="61"/>
      <c r="D4478" s="61"/>
      <c r="E4478" s="61"/>
      <c r="F4478" s="64"/>
      <c r="G4478" s="64"/>
      <c r="H4478" s="321"/>
      <c r="I4478" s="385"/>
      <c r="J4478" s="392"/>
      <c r="K4478" s="385"/>
      <c r="L4478" s="392"/>
      <c r="M4478" s="62"/>
      <c r="N4478" s="63"/>
      <c r="O4478" s="63"/>
      <c r="P4478" s="79" t="str">
        <f>IF(AND('331-CT'!$E$7=TH!H4478,OR(N4478="331",O4478="331")),"x","")</f>
        <v/>
      </c>
      <c r="Q4478" s="79" t="str">
        <f>IF(AND(B4478='111'!$L$11,OR($N4478=$Q$7,$O4478=$Q$7)),"x","")</f>
        <v/>
      </c>
      <c r="R4478" s="79" t="str">
        <f>IF(AND($N4478=$Q$7,$B4478&lt;'111'!$L$11),"x","")</f>
        <v/>
      </c>
      <c r="S4478" s="79" t="str">
        <f>IF(AND($O4478=$Q$7,$B4478&lt;'111'!$L$11),"x","")</f>
        <v/>
      </c>
      <c r="T4478" s="79" t="str">
        <f>IF(ISERROR(FIND('112'!$M$9,G4478,1)),"",IF((AND(FIND('112'!$M$9,G4478,1)&gt;=1,B4478='112'!$K$9,OR($N4478='112'!$I$6,$O4478='112'!$I$6))),"x",""))</f>
        <v/>
      </c>
      <c r="U4478" s="79" t="str">
        <f>IF(ISERROR(FIND('112'!$M$9,G4478,1)),"",IF((AND(LEFT(G4478,2)=LEFT('112'!$M$9,2),B4478&lt;'112'!$K$9,$N4478='112'!$I$6)),"x",""))</f>
        <v/>
      </c>
      <c r="V4478" s="79" t="str">
        <f>IF(ISERROR(FIND('112'!$M$9,G4478,1)),"",IF((AND(RIGHT(G4478,2)=RIGHT('112'!$M$9,2),B4478&lt;'112'!$K$9,$O4478='112'!$I$6)),"x",""))</f>
        <v/>
      </c>
      <c r="W4478" s="79" t="str">
        <f>IF(AND('341-CT'!$H$9=H4478,OR(LEFT(N4478,3)=$W$7,LEFT(O4478,3)=$W$7)),"x","")</f>
        <v/>
      </c>
      <c r="X4478" s="79" t="str">
        <f>IF(OR(TH!N4478=TH!$X$7,O4478=TH!$X$7),"x","")</f>
        <v/>
      </c>
      <c r="Y4478" s="79" t="str">
        <f>IF(AND(OR(N4478="131",O4478="131"),H4478='131-CT'!$H$9),"x","")</f>
        <v/>
      </c>
      <c r="Z4478" s="79"/>
      <c r="AA4478" s="79" t="str">
        <f>IF(AND(MONTH(E4478)='IN-NX'!$J$5,'IN-NX'!$D$7=D4478),"x","")</f>
        <v/>
      </c>
      <c r="AB4478" s="79" t="str">
        <f>IF(AND(OR(LEFT(TH!N4478,2)="15",LEFT(TH!O4478,2)="15"),LEFT(TH!O4478,3)&lt;&gt;"111",'152-CT'!$J$8=TH!F4478),"x","")</f>
        <v/>
      </c>
      <c r="AC4478" s="79" t="str">
        <f>IF(AND(OR(LEFT(TH!N4478,2)="15",LEFT(TH!O4478,2)="15"),TK!$E$7=TH!F4478),"x","")</f>
        <v/>
      </c>
      <c r="AD4478" s="79" t="str">
        <f>IF(AND(N4478="1521",MONTH(C4478)='BK-NL'!$M$11),"x","")</f>
        <v/>
      </c>
    </row>
    <row r="4479" spans="1:30" ht="16.5" customHeight="1">
      <c r="A4479" s="318" t="str">
        <f>IF(B4479&lt;&gt;"",IF(AND(B4479='[3]IN-TC'!$S$4,OR([3]TH!N3710="1111",[3]TH!O3710="1111")),[3]TH!D3710,""),"")</f>
        <v/>
      </c>
      <c r="B4479" s="60" t="str">
        <f t="shared" si="473"/>
        <v/>
      </c>
      <c r="C4479" s="61"/>
      <c r="D4479" s="301"/>
      <c r="E4479" s="301"/>
      <c r="F4479" s="64"/>
      <c r="G4479" s="64"/>
      <c r="H4479" s="321"/>
      <c r="I4479" s="385"/>
      <c r="J4479" s="392"/>
      <c r="K4479" s="385"/>
      <c r="L4479" s="392"/>
      <c r="M4479" s="62"/>
      <c r="N4479" s="63"/>
      <c r="O4479" s="304"/>
      <c r="P4479" s="79" t="str">
        <f>IF(AND('331-CT'!$E$7=TH!H4479,OR(N4479="331",O4479="331")),"x","")</f>
        <v/>
      </c>
      <c r="Q4479" s="79" t="str">
        <f>IF(AND(B4479='111'!$L$11,OR($N4479=$Q$7,$O4479=$Q$7)),"x","")</f>
        <v/>
      </c>
      <c r="R4479" s="79" t="str">
        <f>IF(AND($N4479=$Q$7,$B4479&lt;'111'!$L$11),"x","")</f>
        <v/>
      </c>
      <c r="S4479" s="79" t="str">
        <f>IF(AND($O4479=$Q$7,$B4479&lt;'111'!$L$11),"x","")</f>
        <v/>
      </c>
      <c r="T4479" s="79" t="str">
        <f>IF(ISERROR(FIND('112'!$M$9,G4479,1)),"",IF((AND(FIND('112'!$M$9,G4479,1)&gt;=1,B4479='112'!$K$9,OR($N4479='112'!$I$6,$O4479='112'!$I$6))),"x",""))</f>
        <v/>
      </c>
      <c r="U4479" s="79" t="str">
        <f>IF(ISERROR(FIND('112'!$M$9,G4479,1)),"",IF((AND(LEFT(G4479,2)=LEFT('112'!$M$9,2),B4479&lt;'112'!$K$9,$N4479='112'!$I$6)),"x",""))</f>
        <v/>
      </c>
      <c r="V4479" s="79" t="str">
        <f>IF(ISERROR(FIND('112'!$M$9,G4479,1)),"",IF((AND(RIGHT(G4479,2)=RIGHT('112'!$M$9,2),B4479&lt;'112'!$K$9,$O4479='112'!$I$6)),"x",""))</f>
        <v/>
      </c>
      <c r="W4479" s="79" t="str">
        <f>IF(AND('341-CT'!$H$9=H4479,OR(LEFT(N4479,3)=$W$7,LEFT(O4479,3)=$W$7)),"x","")</f>
        <v/>
      </c>
      <c r="X4479" s="79" t="str">
        <f>IF(OR(TH!N4479=TH!$X$7,O4479=TH!$X$7),"x","")</f>
        <v/>
      </c>
      <c r="Y4479" s="79" t="str">
        <f>IF(AND(OR(N4479="131",O4479="131"),H4479='131-CT'!$H$9),"x","")</f>
        <v/>
      </c>
      <c r="Z4479" s="79"/>
      <c r="AA4479" s="79" t="str">
        <f>IF(AND(MONTH(E4479)='IN-NX'!$J$5,'IN-NX'!$D$7=D4479),"x","")</f>
        <v/>
      </c>
      <c r="AB4479" s="79" t="str">
        <f>IF(AND(OR(LEFT(TH!N4479,2)="15",LEFT(TH!O4479,2)="15"),LEFT(TH!O4479,3)&lt;&gt;"111",'152-CT'!$J$8=TH!F4479),"x","")</f>
        <v/>
      </c>
      <c r="AC4479" s="79" t="str">
        <f>IF(AND(OR(LEFT(TH!N4479,2)="15",LEFT(TH!O4479,2)="15"),TK!$E$7=TH!F4479),"x","")</f>
        <v/>
      </c>
      <c r="AD4479" s="79" t="str">
        <f>IF(AND(N4479="1521",MONTH(C4479)='BK-NL'!$M$11),"x","")</f>
        <v/>
      </c>
    </row>
    <row r="4480" spans="1:30" ht="16.5" customHeight="1">
      <c r="A4480" s="318" t="str">
        <f>IF(B4480&lt;&gt;"",IF(AND(B4480='[3]IN-TC'!$S$4,OR([3]TH!N3711="1111",[3]TH!O3711="1111")),[3]TH!D3711,""),"")</f>
        <v/>
      </c>
      <c r="B4480" s="60" t="str">
        <f t="shared" si="473"/>
        <v/>
      </c>
      <c r="C4480" s="301"/>
      <c r="D4480" s="301"/>
      <c r="E4480" s="301"/>
      <c r="F4480" s="302"/>
      <c r="G4480" s="988"/>
      <c r="H4480" s="69"/>
      <c r="I4480" s="385"/>
      <c r="J4480" s="969"/>
      <c r="K4480" s="385"/>
      <c r="L4480" s="392"/>
      <c r="M4480" s="970"/>
      <c r="N4480" s="304"/>
      <c r="O4480" s="304"/>
      <c r="P4480" s="79" t="str">
        <f>IF(AND('331-CT'!$E$7=TH!H4480,OR(N4480="331",O4480="331")),"x","")</f>
        <v/>
      </c>
      <c r="Q4480" s="79" t="str">
        <f>IF(AND(B4480='111'!$L$11,OR($N4480=$Q$7,$O4480=$Q$7)),"x","")</f>
        <v/>
      </c>
      <c r="R4480" s="79" t="str">
        <f>IF(AND($N4480=$Q$7,$B4480&lt;'111'!$L$11),"x","")</f>
        <v/>
      </c>
      <c r="S4480" s="79" t="str">
        <f>IF(AND($O4480=$Q$7,$B4480&lt;'111'!$L$11),"x","")</f>
        <v/>
      </c>
      <c r="T4480" s="79" t="str">
        <f>IF(ISERROR(FIND('112'!$M$9,G4480,1)),"",IF((AND(FIND('112'!$M$9,G4480,1)&gt;=1,B4480='112'!$K$9,OR($N4480='112'!$I$6,$O4480='112'!$I$6))),"x",""))</f>
        <v/>
      </c>
      <c r="U4480" s="79" t="str">
        <f>IF(ISERROR(FIND('112'!$M$9,G4480,1)),"",IF((AND(LEFT(G4480,2)=LEFT('112'!$M$9,2),B4480&lt;'112'!$K$9,$N4480='112'!$I$6)),"x",""))</f>
        <v/>
      </c>
      <c r="V4480" s="79" t="str">
        <f>IF(ISERROR(FIND('112'!$M$9,G4480,1)),"",IF((AND(RIGHT(G4480,2)=RIGHT('112'!$M$9,2),B4480&lt;'112'!$K$9,$O4480='112'!$I$6)),"x",""))</f>
        <v/>
      </c>
      <c r="W4480" s="79" t="str">
        <f>IF(AND('341-CT'!$H$9=H4480,OR(LEFT(N4480,3)=$W$7,LEFT(O4480,3)=$W$7)),"x","")</f>
        <v/>
      </c>
      <c r="X4480" s="79" t="str">
        <f>IF(OR(TH!N4480=TH!$X$7,O4480=TH!$X$7),"x","")</f>
        <v/>
      </c>
      <c r="Y4480" s="79" t="str">
        <f>IF(AND(OR(N4480="131",O4480="131"),H4480='131-CT'!$H$9),"x","")</f>
        <v/>
      </c>
      <c r="Z4480" s="79"/>
      <c r="AA4480" s="79" t="str">
        <f>IF(AND(MONTH(E4480)='IN-NX'!$J$5,'IN-NX'!$D$7=D4480),"x","")</f>
        <v/>
      </c>
      <c r="AB4480" s="79" t="str">
        <f>IF(AND(OR(LEFT(TH!N4480,2)="15",LEFT(TH!O4480,2)="15"),LEFT(TH!O4480,3)&lt;&gt;"111",'152-CT'!$J$8=TH!F4480),"x","")</f>
        <v/>
      </c>
      <c r="AC4480" s="79" t="str">
        <f>IF(AND(OR(LEFT(TH!N4480,2)="15",LEFT(TH!O4480,2)="15"),TK!$E$7=TH!F4480),"x","")</f>
        <v/>
      </c>
      <c r="AD4480" s="79" t="str">
        <f>IF(AND(N4480="1521",MONTH(C4480)='BK-NL'!$M$11),"x","")</f>
        <v/>
      </c>
    </row>
    <row r="4481" spans="1:30" ht="16.5" customHeight="1">
      <c r="A4481" s="318" t="str">
        <f>IF(B4481&lt;&gt;"",IF(AND(B4481='[3]IN-TC'!$S$4,OR([3]TH!N3712="1111",[3]TH!O3712="1111")),[3]TH!D3712,""),"")</f>
        <v/>
      </c>
      <c r="B4481" s="60" t="str">
        <f t="shared" si="473"/>
        <v/>
      </c>
      <c r="C4481" s="301"/>
      <c r="D4481" s="301"/>
      <c r="E4481" s="301"/>
      <c r="F4481" s="302"/>
      <c r="G4481" s="988"/>
      <c r="H4481" s="69"/>
      <c r="I4481" s="385"/>
      <c r="J4481" s="969"/>
      <c r="K4481" s="385"/>
      <c r="L4481" s="392"/>
      <c r="M4481" s="970"/>
      <c r="N4481" s="304"/>
      <c r="O4481" s="304"/>
      <c r="P4481" s="79" t="str">
        <f>IF(AND('331-CT'!$E$7=TH!H4481,OR(N4481="331",O4481="331")),"x","")</f>
        <v/>
      </c>
      <c r="Q4481" s="79" t="str">
        <f>IF(AND(B4481='111'!$L$11,OR($N4481=$Q$7,$O4481=$Q$7)),"x","")</f>
        <v/>
      </c>
      <c r="R4481" s="79" t="str">
        <f>IF(AND($N4481=$Q$7,$B4481&lt;'111'!$L$11),"x","")</f>
        <v/>
      </c>
      <c r="S4481" s="79" t="str">
        <f>IF(AND($O4481=$Q$7,$B4481&lt;'111'!$L$11),"x","")</f>
        <v/>
      </c>
      <c r="T4481" s="79" t="str">
        <f>IF(ISERROR(FIND('112'!$M$9,G4481,1)),"",IF((AND(FIND('112'!$M$9,G4481,1)&gt;=1,B4481='112'!$K$9,OR($N4481='112'!$I$6,$O4481='112'!$I$6))),"x",""))</f>
        <v/>
      </c>
      <c r="U4481" s="79" t="str">
        <f>IF(ISERROR(FIND('112'!$M$9,G4481,1)),"",IF((AND(LEFT(G4481,2)=LEFT('112'!$M$9,2),B4481&lt;'112'!$K$9,$N4481='112'!$I$6)),"x",""))</f>
        <v/>
      </c>
      <c r="V4481" s="79" t="str">
        <f>IF(ISERROR(FIND('112'!$M$9,G4481,1)),"",IF((AND(RIGHT(G4481,2)=RIGHT('112'!$M$9,2),B4481&lt;'112'!$K$9,$O4481='112'!$I$6)),"x",""))</f>
        <v/>
      </c>
      <c r="W4481" s="79" t="str">
        <f>IF(AND('341-CT'!$H$9=H4481,OR(LEFT(N4481,3)=$W$7,LEFT(O4481,3)=$W$7)),"x","")</f>
        <v/>
      </c>
      <c r="X4481" s="79" t="str">
        <f>IF(OR(TH!N4481=TH!$X$7,O4481=TH!$X$7),"x","")</f>
        <v/>
      </c>
      <c r="Y4481" s="79" t="str">
        <f>IF(AND(OR(N4481="131",O4481="131"),H4481='131-CT'!$H$9),"x","")</f>
        <v/>
      </c>
      <c r="Z4481" s="79"/>
      <c r="AA4481" s="79" t="str">
        <f>IF(AND(MONTH(E4481)='IN-NX'!$J$5,'IN-NX'!$D$7=D4481),"x","")</f>
        <v/>
      </c>
      <c r="AB4481" s="79" t="str">
        <f>IF(AND(OR(LEFT(TH!N4481,2)="15",LEFT(TH!O4481,2)="15"),LEFT(TH!O4481,3)&lt;&gt;"111",'152-CT'!$J$8=TH!F4481),"x","")</f>
        <v/>
      </c>
      <c r="AC4481" s="79" t="str">
        <f>IF(AND(OR(LEFT(TH!N4481,2)="15",LEFT(TH!O4481,2)="15"),TK!$E$7=TH!F4481),"x","")</f>
        <v/>
      </c>
      <c r="AD4481" s="79" t="str">
        <f>IF(AND(N4481="1521",MONTH(C4481)='BK-NL'!$M$11),"x","")</f>
        <v/>
      </c>
    </row>
    <row r="4482" spans="1:30" ht="16.5" customHeight="1">
      <c r="A4482" s="318" t="str">
        <f>IF(B4482&lt;&gt;"",IF(AND(B4482='[3]IN-TC'!$S$4,OR([3]TH!N3713="1111",[3]TH!O3713="1111")),[3]TH!D3713,""),"")</f>
        <v/>
      </c>
      <c r="B4482" s="60" t="str">
        <f t="shared" si="473"/>
        <v/>
      </c>
      <c r="C4482" s="61"/>
      <c r="D4482" s="61"/>
      <c r="E4482" s="61"/>
      <c r="F4482" s="64"/>
      <c r="G4482" s="64"/>
      <c r="H4482" s="321"/>
      <c r="I4482" s="385"/>
      <c r="J4482" s="392"/>
      <c r="K4482" s="385"/>
      <c r="L4482" s="392"/>
      <c r="M4482" s="62"/>
      <c r="N4482" s="63"/>
      <c r="O4482" s="63"/>
      <c r="P4482" s="79" t="str">
        <f>IF(AND('331-CT'!$E$7=TH!H4482,OR(N4482="331",O4482="331")),"x","")</f>
        <v/>
      </c>
      <c r="Q4482" s="79" t="str">
        <f>IF(AND(B4482='111'!$L$11,OR($N4482=$Q$7,$O4482=$Q$7)),"x","")</f>
        <v/>
      </c>
      <c r="R4482" s="79" t="str">
        <f>IF(AND($N4482=$Q$7,$B4482&lt;'111'!$L$11),"x","")</f>
        <v/>
      </c>
      <c r="S4482" s="79" t="str">
        <f>IF(AND($O4482=$Q$7,$B4482&lt;'111'!$L$11),"x","")</f>
        <v/>
      </c>
      <c r="T4482" s="79" t="str">
        <f>IF(ISERROR(FIND('112'!$M$9,G4482,1)),"",IF((AND(FIND('112'!$M$9,G4482,1)&gt;=1,B4482='112'!$K$9,OR($N4482='112'!$I$6,$O4482='112'!$I$6))),"x",""))</f>
        <v/>
      </c>
      <c r="U4482" s="79" t="str">
        <f>IF(ISERROR(FIND('112'!$M$9,G4482,1)),"",IF((AND(LEFT(G4482,2)=LEFT('112'!$M$9,2),B4482&lt;'112'!$K$9,$N4482='112'!$I$6)),"x",""))</f>
        <v/>
      </c>
      <c r="V4482" s="79" t="str">
        <f>IF(ISERROR(FIND('112'!$M$9,G4482,1)),"",IF((AND(RIGHT(G4482,2)=RIGHT('112'!$M$9,2),B4482&lt;'112'!$K$9,$O4482='112'!$I$6)),"x",""))</f>
        <v/>
      </c>
      <c r="W4482" s="79" t="str">
        <f>IF(AND('341-CT'!$H$9=H4482,OR(LEFT(N4482,3)=$W$7,LEFT(O4482,3)=$W$7)),"x","")</f>
        <v/>
      </c>
      <c r="X4482" s="79" t="str">
        <f>IF(OR(TH!N4482=TH!$X$7,O4482=TH!$X$7),"x","")</f>
        <v/>
      </c>
      <c r="Y4482" s="79" t="str">
        <f>IF(AND(OR(N4482="131",O4482="131"),H4482='131-CT'!$H$9),"x","")</f>
        <v/>
      </c>
      <c r="Z4482" s="79"/>
      <c r="AA4482" s="79" t="str">
        <f>IF(AND(MONTH(E4482)='IN-NX'!$J$5,'IN-NX'!$D$7=D4482),"x","")</f>
        <v/>
      </c>
      <c r="AB4482" s="79" t="str">
        <f>IF(AND(OR(LEFT(TH!N4482,2)="15",LEFT(TH!O4482,2)="15"),LEFT(TH!O4482,3)&lt;&gt;"111",'152-CT'!$J$8=TH!F4482),"x","")</f>
        <v/>
      </c>
      <c r="AC4482" s="79" t="str">
        <f>IF(AND(OR(LEFT(TH!N4482,2)="15",LEFT(TH!O4482,2)="15"),TK!$E$7=TH!F4482),"x","")</f>
        <v/>
      </c>
      <c r="AD4482" s="79" t="str">
        <f>IF(AND(N4482="1521",MONTH(C4482)='BK-NL'!$M$11),"x","")</f>
        <v/>
      </c>
    </row>
    <row r="4483" spans="1:30" ht="16.5" customHeight="1">
      <c r="A4483" s="318" t="str">
        <f>IF(B4483&lt;&gt;"",IF(AND(B4483='[3]IN-TC'!$S$4,OR([3]TH!N3714="1111",[3]TH!O3714="1111")),[3]TH!D3714,""),"")</f>
        <v/>
      </c>
      <c r="B4483" s="60" t="str">
        <f t="shared" si="473"/>
        <v/>
      </c>
      <c r="C4483" s="61"/>
      <c r="D4483" s="61"/>
      <c r="E4483" s="61"/>
      <c r="F4483" s="64"/>
      <c r="G4483" s="64"/>
      <c r="H4483" s="321"/>
      <c r="I4483" s="385"/>
      <c r="J4483" s="392"/>
      <c r="K4483" s="385"/>
      <c r="L4483" s="392"/>
      <c r="M4483" s="62"/>
      <c r="N4483" s="63"/>
      <c r="O4483" s="63"/>
      <c r="P4483" s="79" t="str">
        <f>IF(AND('331-CT'!$E$7=TH!H4483,OR(N4483="331",O4483="331")),"x","")</f>
        <v/>
      </c>
      <c r="Q4483" s="79" t="str">
        <f>IF(AND(B4483='111'!$L$11,OR($N4483=$Q$7,$O4483=$Q$7)),"x","")</f>
        <v/>
      </c>
      <c r="R4483" s="79" t="str">
        <f>IF(AND($N4483=$Q$7,$B4483&lt;'111'!$L$11),"x","")</f>
        <v/>
      </c>
      <c r="S4483" s="79" t="str">
        <f>IF(AND($O4483=$Q$7,$B4483&lt;'111'!$L$11),"x","")</f>
        <v/>
      </c>
      <c r="T4483" s="79" t="str">
        <f>IF(ISERROR(FIND('112'!$M$9,G4483,1)),"",IF((AND(FIND('112'!$M$9,G4483,1)&gt;=1,B4483='112'!$K$9,OR($N4483='112'!$I$6,$O4483='112'!$I$6))),"x",""))</f>
        <v/>
      </c>
      <c r="U4483" s="79" t="str">
        <f>IF(ISERROR(FIND('112'!$M$9,G4483,1)),"",IF((AND(LEFT(G4483,2)=LEFT('112'!$M$9,2),B4483&lt;'112'!$K$9,$N4483='112'!$I$6)),"x",""))</f>
        <v/>
      </c>
      <c r="V4483" s="79" t="str">
        <f>IF(ISERROR(FIND('112'!$M$9,G4483,1)),"",IF((AND(RIGHT(G4483,2)=RIGHT('112'!$M$9,2),B4483&lt;'112'!$K$9,$O4483='112'!$I$6)),"x",""))</f>
        <v/>
      </c>
      <c r="W4483" s="79" t="str">
        <f>IF(AND('341-CT'!$H$9=H4483,OR(LEFT(N4483,3)=$W$7,LEFT(O4483,3)=$W$7)),"x","")</f>
        <v/>
      </c>
      <c r="X4483" s="79" t="str">
        <f>IF(OR(TH!N4483=TH!$X$7,O4483=TH!$X$7),"x","")</f>
        <v/>
      </c>
      <c r="Y4483" s="79" t="str">
        <f>IF(AND(OR(N4483="131",O4483="131"),H4483='131-CT'!$H$9),"x","")</f>
        <v/>
      </c>
      <c r="Z4483" s="79"/>
      <c r="AA4483" s="79" t="str">
        <f>IF(AND(MONTH(E4483)='IN-NX'!$J$5,'IN-NX'!$D$7=D4483),"x","")</f>
        <v/>
      </c>
      <c r="AB4483" s="79" t="str">
        <f>IF(AND(OR(LEFT(TH!N4483,2)="15",LEFT(TH!O4483,2)="15"),LEFT(TH!O4483,3)&lt;&gt;"111",'152-CT'!$J$8=TH!F4483),"x","")</f>
        <v/>
      </c>
      <c r="AC4483" s="79" t="str">
        <f>IF(AND(OR(LEFT(TH!N4483,2)="15",LEFT(TH!O4483,2)="15"),TK!$E$7=TH!F4483),"x","")</f>
        <v/>
      </c>
      <c r="AD4483" s="79" t="str">
        <f>IF(AND(N4483="1521",MONTH(C4483)='BK-NL'!$M$11),"x","")</f>
        <v/>
      </c>
    </row>
    <row r="4484" spans="1:30" ht="16.5" customHeight="1">
      <c r="A4484" s="318" t="str">
        <f>IF(B4484&lt;&gt;"",IF(AND(B4484='[3]IN-TC'!$S$4,OR([3]TH!N3715="1111",[3]TH!O3715="1111")),[3]TH!D3715,""),"")</f>
        <v/>
      </c>
      <c r="B4484" s="60" t="str">
        <f t="shared" si="473"/>
        <v/>
      </c>
      <c r="C4484" s="61"/>
      <c r="D4484" s="61"/>
      <c r="E4484" s="61"/>
      <c r="F4484" s="302"/>
      <c r="G4484" s="64"/>
      <c r="H4484" s="1012"/>
      <c r="I4484" s="385"/>
      <c r="J4484" s="392"/>
      <c r="K4484" s="385"/>
      <c r="L4484" s="392"/>
      <c r="M4484" s="62"/>
      <c r="N4484" s="63"/>
      <c r="O4484" s="63"/>
      <c r="P4484" s="79" t="str">
        <f>IF(AND('331-CT'!$E$7=TH!H4484,OR(N4484="331",O4484="331")),"x","")</f>
        <v/>
      </c>
      <c r="Q4484" s="79" t="str">
        <f>IF(AND(B4484='111'!$L$11,OR($N4484=$Q$7,$O4484=$Q$7)),"x","")</f>
        <v/>
      </c>
      <c r="R4484" s="79" t="str">
        <f>IF(AND($N4484=$Q$7,$B4484&lt;'111'!$L$11),"x","")</f>
        <v/>
      </c>
      <c r="S4484" s="79" t="str">
        <f>IF(AND($O4484=$Q$7,$B4484&lt;'111'!$L$11),"x","")</f>
        <v/>
      </c>
      <c r="T4484" s="79" t="str">
        <f>IF(ISERROR(FIND('112'!$M$9,G4484,1)),"",IF((AND(FIND('112'!$M$9,G4484,1)&gt;=1,B4484='112'!$K$9,OR($N4484='112'!$I$6,$O4484='112'!$I$6))),"x",""))</f>
        <v/>
      </c>
      <c r="U4484" s="79" t="str">
        <f>IF(ISERROR(FIND('112'!$M$9,G4484,1)),"",IF((AND(LEFT(G4484,2)=LEFT('112'!$M$9,2),B4484&lt;'112'!$K$9,$N4484='112'!$I$6)),"x",""))</f>
        <v/>
      </c>
      <c r="V4484" s="79" t="str">
        <f>IF(ISERROR(FIND('112'!$M$9,G4484,1)),"",IF((AND(RIGHT(G4484,2)=RIGHT('112'!$M$9,2),B4484&lt;'112'!$K$9,$O4484='112'!$I$6)),"x",""))</f>
        <v/>
      </c>
      <c r="W4484" s="79" t="str">
        <f>IF(AND('341-CT'!$H$9=H4484,OR(LEFT(N4484,3)=$W$7,LEFT(O4484,3)=$W$7)),"x","")</f>
        <v/>
      </c>
      <c r="X4484" s="79" t="str">
        <f>IF(OR(TH!N4484=TH!$X$7,O4484=TH!$X$7),"x","")</f>
        <v/>
      </c>
      <c r="Y4484" s="79" t="str">
        <f>IF(AND(OR(N4484="131",O4484="131"),H4484='131-CT'!$H$9),"x","")</f>
        <v/>
      </c>
      <c r="Z4484" s="79"/>
      <c r="AA4484" s="79" t="str">
        <f>IF(AND(MONTH(E4484)='IN-NX'!$J$5,'IN-NX'!$D$7=D4484),"x","")</f>
        <v/>
      </c>
      <c r="AB4484" s="79" t="str">
        <f>IF(AND(OR(LEFT(TH!N4484,2)="15",LEFT(TH!O4484,2)="15"),LEFT(TH!O4484,3)&lt;&gt;"111",'152-CT'!$J$8=TH!F4484),"x","")</f>
        <v/>
      </c>
      <c r="AC4484" s="79" t="str">
        <f>IF(AND(OR(LEFT(TH!N4484,2)="15",LEFT(TH!O4484,2)="15"),TK!$E$7=TH!F4484),"x","")</f>
        <v/>
      </c>
      <c r="AD4484" s="79" t="str">
        <f>IF(AND(N4484="1521",MONTH(C4484)='BK-NL'!$M$11),"x","")</f>
        <v/>
      </c>
    </row>
    <row r="4485" spans="1:30" ht="16.5" customHeight="1">
      <c r="A4485" s="318" t="str">
        <f>IF(B4485&lt;&gt;"",IF(AND(B4485='[3]IN-TC'!$S$4,OR([3]TH!N3716="1111",[3]TH!O3716="1111")),[3]TH!D3716,""),"")</f>
        <v/>
      </c>
      <c r="B4485" s="60" t="str">
        <f t="shared" si="473"/>
        <v/>
      </c>
      <c r="C4485" s="61"/>
      <c r="D4485" s="61"/>
      <c r="E4485" s="61"/>
      <c r="F4485" s="64"/>
      <c r="G4485" s="64"/>
      <c r="H4485" s="303"/>
      <c r="I4485" s="385"/>
      <c r="J4485" s="392"/>
      <c r="K4485" s="385"/>
      <c r="L4485" s="392"/>
      <c r="M4485" s="62"/>
      <c r="N4485" s="63"/>
      <c r="O4485" s="63"/>
      <c r="P4485" s="79" t="str">
        <f>IF(AND('331-CT'!$E$7=TH!H4485,OR(N4485="331",O4485="331")),"x","")</f>
        <v/>
      </c>
      <c r="Q4485" s="79" t="str">
        <f>IF(AND(B4485='111'!$L$11,OR($N4485=$Q$7,$O4485=$Q$7)),"x","")</f>
        <v/>
      </c>
      <c r="R4485" s="79" t="str">
        <f>IF(AND($N4485=$Q$7,$B4485&lt;'111'!$L$11),"x","")</f>
        <v/>
      </c>
      <c r="S4485" s="79" t="str">
        <f>IF(AND($O4485=$Q$7,$B4485&lt;'111'!$L$11),"x","")</f>
        <v/>
      </c>
      <c r="T4485" s="79" t="str">
        <f>IF(ISERROR(FIND('112'!$M$9,G4485,1)),"",IF((AND(FIND('112'!$M$9,G4485,1)&gt;=1,B4485='112'!$K$9,OR($N4485='112'!$I$6,$O4485='112'!$I$6))),"x",""))</f>
        <v/>
      </c>
      <c r="U4485" s="79" t="str">
        <f>IF(ISERROR(FIND('112'!$M$9,G4485,1)),"",IF((AND(LEFT(G4485,2)=LEFT('112'!$M$9,2),B4485&lt;'112'!$K$9,$N4485='112'!$I$6)),"x",""))</f>
        <v/>
      </c>
      <c r="V4485" s="79" t="str">
        <f>IF(ISERROR(FIND('112'!$M$9,G4485,1)),"",IF((AND(RIGHT(G4485,2)=RIGHT('112'!$M$9,2),B4485&lt;'112'!$K$9,$O4485='112'!$I$6)),"x",""))</f>
        <v/>
      </c>
      <c r="W4485" s="79" t="str">
        <f>IF(AND('341-CT'!$H$9=H4485,OR(LEFT(N4485,3)=$W$7,LEFT(O4485,3)=$W$7)),"x","")</f>
        <v/>
      </c>
      <c r="X4485" s="79" t="str">
        <f>IF(OR(TH!N4485=TH!$X$7,O4485=TH!$X$7),"x","")</f>
        <v/>
      </c>
      <c r="Y4485" s="79" t="str">
        <f>IF(AND(OR(N4485="131",O4485="131"),H4485='131-CT'!$H$9),"x","")</f>
        <v/>
      </c>
      <c r="Z4485" s="79"/>
      <c r="AA4485" s="79" t="str">
        <f>IF(AND(MONTH(E4485)='IN-NX'!$J$5,'IN-NX'!$D$7=D4485),"x","")</f>
        <v/>
      </c>
      <c r="AB4485" s="79" t="str">
        <f>IF(AND(OR(LEFT(TH!N4485,2)="15",LEFT(TH!O4485,2)="15"),LEFT(TH!O4485,3)&lt;&gt;"111",'152-CT'!$J$8=TH!F4485),"x","")</f>
        <v/>
      </c>
      <c r="AC4485" s="79" t="str">
        <f>IF(AND(OR(LEFT(TH!N4485,2)="15",LEFT(TH!O4485,2)="15"),TK!$E$7=TH!F4485),"x","")</f>
        <v/>
      </c>
      <c r="AD4485" s="79" t="str">
        <f>IF(AND(N4485="1521",MONTH(C4485)='BK-NL'!$M$11),"x","")</f>
        <v/>
      </c>
    </row>
    <row r="4486" spans="1:30" ht="16.5" customHeight="1">
      <c r="A4486" s="318" t="str">
        <f>IF(B4486&lt;&gt;"",IF(AND(B4486='[3]IN-TC'!$S$4,OR([3]TH!N3717="1111",[3]TH!O3717="1111")),[3]TH!D3717,""),"")</f>
        <v/>
      </c>
      <c r="B4486" s="60" t="str">
        <f t="shared" si="473"/>
        <v/>
      </c>
      <c r="C4486" s="61"/>
      <c r="D4486" s="61"/>
      <c r="E4486" s="61"/>
      <c r="F4486" s="64"/>
      <c r="G4486" s="64"/>
      <c r="H4486" s="321"/>
      <c r="I4486" s="385"/>
      <c r="J4486" s="392"/>
      <c r="K4486" s="385"/>
      <c r="L4486" s="392"/>
      <c r="M4486" s="62"/>
      <c r="N4486" s="63"/>
      <c r="O4486" s="63"/>
      <c r="P4486" s="79" t="str">
        <f>IF(AND('331-CT'!$E$7=TH!H4486,OR(N4486="331",O4486="331")),"x","")</f>
        <v/>
      </c>
      <c r="Q4486" s="79" t="str">
        <f>IF(AND(B4486='111'!$L$11,OR($N4486=$Q$7,$O4486=$Q$7)),"x","")</f>
        <v/>
      </c>
      <c r="R4486" s="79" t="str">
        <f>IF(AND($N4486=$Q$7,$B4486&lt;'111'!$L$11),"x","")</f>
        <v/>
      </c>
      <c r="S4486" s="79" t="str">
        <f>IF(AND($O4486=$Q$7,$B4486&lt;'111'!$L$11),"x","")</f>
        <v/>
      </c>
      <c r="T4486" s="79" t="str">
        <f>IF(ISERROR(FIND('112'!$M$9,G4486,1)),"",IF((AND(FIND('112'!$M$9,G4486,1)&gt;=1,B4486='112'!$K$9,OR($N4486='112'!$I$6,$O4486='112'!$I$6))),"x",""))</f>
        <v/>
      </c>
      <c r="U4486" s="79" t="str">
        <f>IF(ISERROR(FIND('112'!$M$9,G4486,1)),"",IF((AND(LEFT(G4486,2)=LEFT('112'!$M$9,2),B4486&lt;'112'!$K$9,$N4486='112'!$I$6)),"x",""))</f>
        <v/>
      </c>
      <c r="V4486" s="79" t="str">
        <f>IF(ISERROR(FIND('112'!$M$9,G4486,1)),"",IF((AND(RIGHT(G4486,2)=RIGHT('112'!$M$9,2),B4486&lt;'112'!$K$9,$O4486='112'!$I$6)),"x",""))</f>
        <v/>
      </c>
      <c r="W4486" s="79" t="str">
        <f>IF(AND('341-CT'!$H$9=H4486,OR(LEFT(N4486,3)=$W$7,LEFT(O4486,3)=$W$7)),"x","")</f>
        <v/>
      </c>
      <c r="X4486" s="79" t="str">
        <f>IF(OR(TH!N4486=TH!$X$7,O4486=TH!$X$7),"x","")</f>
        <v/>
      </c>
      <c r="Y4486" s="79" t="str">
        <f>IF(AND(OR(N4486="131",O4486="131"),H4486='131-CT'!$H$9),"x","")</f>
        <v/>
      </c>
      <c r="Z4486" s="79"/>
      <c r="AA4486" s="79" t="str">
        <f>IF(AND(MONTH(E4486)='IN-NX'!$J$5,'IN-NX'!$D$7=D4486),"x","")</f>
        <v/>
      </c>
      <c r="AB4486" s="79" t="str">
        <f>IF(AND(OR(LEFT(TH!N4486,2)="15",LEFT(TH!O4486,2)="15"),LEFT(TH!O4486,3)&lt;&gt;"111",'152-CT'!$J$8=TH!F4486),"x","")</f>
        <v/>
      </c>
      <c r="AC4486" s="79" t="str">
        <f>IF(AND(OR(LEFT(TH!N4486,2)="15",LEFT(TH!O4486,2)="15"),TK!$E$7=TH!F4486),"x","")</f>
        <v/>
      </c>
      <c r="AD4486" s="79" t="str">
        <f>IF(AND(N4486="1521",MONTH(C4486)='BK-NL'!$M$11),"x","")</f>
        <v/>
      </c>
    </row>
    <row r="4487" spans="1:30" ht="16.5" customHeight="1">
      <c r="A4487" s="318" t="str">
        <f>IF(B4487&lt;&gt;"",IF(AND(B4487='[3]IN-TC'!$S$4,OR([3]TH!N3718="1111",[3]TH!O3718="1111")),[3]TH!D3718,""),"")</f>
        <v/>
      </c>
      <c r="B4487" s="60" t="str">
        <f t="shared" si="473"/>
        <v/>
      </c>
      <c r="C4487" s="61"/>
      <c r="D4487" s="61"/>
      <c r="E4487" s="61"/>
      <c r="F4487" s="64"/>
      <c r="G4487" s="64"/>
      <c r="H4487" s="321"/>
      <c r="I4487" s="385"/>
      <c r="J4487" s="392"/>
      <c r="K4487" s="385"/>
      <c r="L4487" s="392"/>
      <c r="M4487" s="62"/>
      <c r="N4487" s="63"/>
      <c r="O4487" s="63"/>
      <c r="P4487" s="79" t="str">
        <f>IF(AND('331-CT'!$E$7=TH!H4487,OR(N4487="331",O4487="331")),"x","")</f>
        <v/>
      </c>
      <c r="Q4487" s="79" t="str">
        <f>IF(AND(B4487='111'!$L$11,OR($N4487=$Q$7,$O4487=$Q$7)),"x","")</f>
        <v/>
      </c>
      <c r="R4487" s="79" t="str">
        <f>IF(AND($N4487=$Q$7,$B4487&lt;'111'!$L$11),"x","")</f>
        <v/>
      </c>
      <c r="S4487" s="79" t="str">
        <f>IF(AND($O4487=$Q$7,$B4487&lt;'111'!$L$11),"x","")</f>
        <v/>
      </c>
      <c r="T4487" s="79" t="str">
        <f>IF(ISERROR(FIND('112'!$M$9,G4487,1)),"",IF((AND(FIND('112'!$M$9,G4487,1)&gt;=1,B4487='112'!$K$9,OR($N4487='112'!$I$6,$O4487='112'!$I$6))),"x",""))</f>
        <v/>
      </c>
      <c r="U4487" s="79" t="str">
        <f>IF(ISERROR(FIND('112'!$M$9,G4487,1)),"",IF((AND(LEFT(G4487,2)=LEFT('112'!$M$9,2),B4487&lt;'112'!$K$9,$N4487='112'!$I$6)),"x",""))</f>
        <v/>
      </c>
      <c r="V4487" s="79" t="str">
        <f>IF(ISERROR(FIND('112'!$M$9,G4487,1)),"",IF((AND(RIGHT(G4487,2)=RIGHT('112'!$M$9,2),B4487&lt;'112'!$K$9,$O4487='112'!$I$6)),"x",""))</f>
        <v/>
      </c>
      <c r="W4487" s="79" t="str">
        <f>IF(AND('341-CT'!$H$9=H4487,OR(LEFT(N4487,3)=$W$7,LEFT(O4487,3)=$W$7)),"x","")</f>
        <v/>
      </c>
      <c r="X4487" s="79" t="str">
        <f>IF(OR(TH!N4487=TH!$X$7,O4487=TH!$X$7),"x","")</f>
        <v/>
      </c>
      <c r="Y4487" s="79" t="str">
        <f>IF(AND(OR(N4487="131",O4487="131"),H4487='131-CT'!$H$9),"x","")</f>
        <v/>
      </c>
      <c r="Z4487" s="79"/>
      <c r="AA4487" s="79" t="str">
        <f>IF(AND(MONTH(E4487)='IN-NX'!$J$5,'IN-NX'!$D$7=D4487),"x","")</f>
        <v/>
      </c>
      <c r="AB4487" s="79" t="str">
        <f>IF(AND(OR(LEFT(TH!N4487,2)="15",LEFT(TH!O4487,2)="15"),LEFT(TH!O4487,3)&lt;&gt;"111",'152-CT'!$J$8=TH!F4487),"x","")</f>
        <v/>
      </c>
      <c r="AC4487" s="79" t="str">
        <f>IF(AND(OR(LEFT(TH!N4487,2)="15",LEFT(TH!O4487,2)="15"),TK!$E$7=TH!F4487),"x","")</f>
        <v/>
      </c>
      <c r="AD4487" s="79" t="str">
        <f>IF(AND(N4487="1521",MONTH(C4487)='BK-NL'!$M$11),"x","")</f>
        <v/>
      </c>
    </row>
    <row r="4488" spans="1:30" ht="16.5" customHeight="1">
      <c r="A4488" s="318" t="str">
        <f>IF(B4488&lt;&gt;"",IF(AND(B4488='[3]IN-TC'!$S$4,OR([3]TH!N3719="1111",[3]TH!O3719="1111")),[3]TH!D3719,""),"")</f>
        <v/>
      </c>
      <c r="B4488" s="60" t="str">
        <f t="shared" si="473"/>
        <v/>
      </c>
      <c r="C4488" s="61"/>
      <c r="D4488" s="61"/>
      <c r="E4488" s="61"/>
      <c r="F4488" s="64"/>
      <c r="G4488" s="64"/>
      <c r="H4488" s="321"/>
      <c r="I4488" s="385"/>
      <c r="J4488" s="392"/>
      <c r="K4488" s="385"/>
      <c r="L4488" s="392"/>
      <c r="M4488" s="62"/>
      <c r="N4488" s="63"/>
      <c r="O4488" s="63"/>
      <c r="P4488" s="79" t="str">
        <f>IF(AND('331-CT'!$E$7=TH!H4488,OR(N4488="331",O4488="331")),"x","")</f>
        <v/>
      </c>
      <c r="Q4488" s="79" t="str">
        <f>IF(AND(B4488='111'!$L$11,OR($N4488=$Q$7,$O4488=$Q$7)),"x","")</f>
        <v/>
      </c>
      <c r="R4488" s="79" t="str">
        <f>IF(AND($N4488=$Q$7,$B4488&lt;'111'!$L$11),"x","")</f>
        <v/>
      </c>
      <c r="S4488" s="79" t="str">
        <f>IF(AND($O4488=$Q$7,$B4488&lt;'111'!$L$11),"x","")</f>
        <v/>
      </c>
      <c r="T4488" s="79" t="str">
        <f>IF(ISERROR(FIND('112'!$M$9,G4488,1)),"",IF((AND(FIND('112'!$M$9,G4488,1)&gt;=1,B4488='112'!$K$9,OR($N4488='112'!$I$6,$O4488='112'!$I$6))),"x",""))</f>
        <v/>
      </c>
      <c r="U4488" s="79" t="str">
        <f>IF(ISERROR(FIND('112'!$M$9,G4488,1)),"",IF((AND(LEFT(G4488,2)=LEFT('112'!$M$9,2),B4488&lt;'112'!$K$9,$N4488='112'!$I$6)),"x",""))</f>
        <v/>
      </c>
      <c r="V4488" s="79" t="str">
        <f>IF(ISERROR(FIND('112'!$M$9,G4488,1)),"",IF((AND(RIGHT(G4488,2)=RIGHT('112'!$M$9,2),B4488&lt;'112'!$K$9,$O4488='112'!$I$6)),"x",""))</f>
        <v/>
      </c>
      <c r="W4488" s="79" t="str">
        <f>IF(AND('341-CT'!$H$9=H4488,OR(LEFT(N4488,3)=$W$7,LEFT(O4488,3)=$W$7)),"x","")</f>
        <v/>
      </c>
      <c r="X4488" s="79" t="str">
        <f>IF(OR(TH!N4488=TH!$X$7,O4488=TH!$X$7),"x","")</f>
        <v/>
      </c>
      <c r="Y4488" s="79" t="str">
        <f>IF(AND(OR(N4488="131",O4488="131"),H4488='131-CT'!$H$9),"x","")</f>
        <v/>
      </c>
      <c r="Z4488" s="79"/>
      <c r="AA4488" s="79" t="str">
        <f>IF(AND(MONTH(E4488)='IN-NX'!$J$5,'IN-NX'!$D$7=D4488),"x","")</f>
        <v/>
      </c>
      <c r="AB4488" s="79" t="str">
        <f>IF(AND(OR(LEFT(TH!N4488,2)="15",LEFT(TH!O4488,2)="15"),LEFT(TH!O4488,3)&lt;&gt;"111",'152-CT'!$J$8=TH!F4488),"x","")</f>
        <v/>
      </c>
      <c r="AC4488" s="79" t="str">
        <f>IF(AND(OR(LEFT(TH!N4488,2)="15",LEFT(TH!O4488,2)="15"),TK!$E$7=TH!F4488),"x","")</f>
        <v/>
      </c>
      <c r="AD4488" s="79" t="str">
        <f>IF(AND(N4488="1521",MONTH(C4488)='BK-NL'!$M$11),"x","")</f>
        <v/>
      </c>
    </row>
    <row r="4489" spans="1:30" ht="16.5" customHeight="1">
      <c r="A4489" s="318" t="str">
        <f>IF(B4489&lt;&gt;"",IF(AND(B4489='[3]IN-TC'!$S$4,OR([3]TH!N3720="1111",[3]TH!O3720="1111")),[3]TH!D3720,""),"")</f>
        <v/>
      </c>
      <c r="B4489" s="60" t="str">
        <f t="shared" si="473"/>
        <v/>
      </c>
      <c r="C4489" s="61"/>
      <c r="D4489" s="61"/>
      <c r="E4489" s="61"/>
      <c r="F4489" s="64"/>
      <c r="G4489" s="64"/>
      <c r="H4489" s="321"/>
      <c r="I4489" s="385"/>
      <c r="J4489" s="392"/>
      <c r="K4489" s="385"/>
      <c r="L4489" s="392"/>
      <c r="M4489" s="62"/>
      <c r="N4489" s="63"/>
      <c r="O4489" s="63"/>
      <c r="P4489" s="79" t="str">
        <f>IF(AND('331-CT'!$E$7=TH!H4489,OR(N4489="331",O4489="331")),"x","")</f>
        <v/>
      </c>
      <c r="Q4489" s="79" t="str">
        <f>IF(AND(B4489='111'!$L$11,OR($N4489=$Q$7,$O4489=$Q$7)),"x","")</f>
        <v/>
      </c>
      <c r="R4489" s="79" t="str">
        <f>IF(AND($N4489=$Q$7,$B4489&lt;'111'!$L$11),"x","")</f>
        <v/>
      </c>
      <c r="S4489" s="79" t="str">
        <f>IF(AND($O4489=$Q$7,$B4489&lt;'111'!$L$11),"x","")</f>
        <v/>
      </c>
      <c r="T4489" s="79" t="str">
        <f>IF(ISERROR(FIND('112'!$M$9,G4489,1)),"",IF((AND(FIND('112'!$M$9,G4489,1)&gt;=1,B4489='112'!$K$9,OR($N4489='112'!$I$6,$O4489='112'!$I$6))),"x",""))</f>
        <v/>
      </c>
      <c r="U4489" s="79" t="str">
        <f>IF(ISERROR(FIND('112'!$M$9,G4489,1)),"",IF((AND(LEFT(G4489,2)=LEFT('112'!$M$9,2),B4489&lt;'112'!$K$9,$N4489='112'!$I$6)),"x",""))</f>
        <v/>
      </c>
      <c r="V4489" s="79" t="str">
        <f>IF(ISERROR(FIND('112'!$M$9,G4489,1)),"",IF((AND(RIGHT(G4489,2)=RIGHT('112'!$M$9,2),B4489&lt;'112'!$K$9,$O4489='112'!$I$6)),"x",""))</f>
        <v/>
      </c>
      <c r="W4489" s="79" t="str">
        <f>IF(AND('341-CT'!$H$9=H4489,OR(LEFT(N4489,3)=$W$7,LEFT(O4489,3)=$W$7)),"x","")</f>
        <v/>
      </c>
      <c r="X4489" s="79" t="str">
        <f>IF(OR(TH!N4489=TH!$X$7,O4489=TH!$X$7),"x","")</f>
        <v/>
      </c>
      <c r="Y4489" s="79" t="str">
        <f>IF(AND(OR(N4489="131",O4489="131"),H4489='131-CT'!$H$9),"x","")</f>
        <v/>
      </c>
      <c r="Z4489" s="79"/>
      <c r="AA4489" s="79" t="str">
        <f>IF(AND(MONTH(E4489)='IN-NX'!$J$5,'IN-NX'!$D$7=D4489),"x","")</f>
        <v/>
      </c>
      <c r="AB4489" s="79" t="str">
        <f>IF(AND(OR(LEFT(TH!N4489,2)="15",LEFT(TH!O4489,2)="15"),LEFT(TH!O4489,3)&lt;&gt;"111",'152-CT'!$J$8=TH!F4489),"x","")</f>
        <v/>
      </c>
      <c r="AC4489" s="79" t="str">
        <f>IF(AND(OR(LEFT(TH!N4489,2)="15",LEFT(TH!O4489,2)="15"),TK!$E$7=TH!F4489),"x","")</f>
        <v/>
      </c>
      <c r="AD4489" s="79" t="str">
        <f>IF(AND(N4489="1521",MONTH(C4489)='BK-NL'!$M$11),"x","")</f>
        <v/>
      </c>
    </row>
    <row r="4490" spans="1:30" ht="16.5" customHeight="1">
      <c r="A4490" s="318" t="str">
        <f>IF(B4490&lt;&gt;"",IF(AND(B4490='[3]IN-TC'!$S$4,OR([3]TH!N3721="1111",[3]TH!O3721="1111")),[3]TH!D3721,""),"")</f>
        <v/>
      </c>
      <c r="B4490" s="60" t="str">
        <f t="shared" si="473"/>
        <v/>
      </c>
      <c r="C4490" s="61"/>
      <c r="D4490" s="61"/>
      <c r="E4490" s="61"/>
      <c r="F4490" s="64"/>
      <c r="G4490" s="64"/>
      <c r="H4490" s="321"/>
      <c r="I4490" s="385"/>
      <c r="J4490" s="392"/>
      <c r="K4490" s="385"/>
      <c r="L4490" s="392"/>
      <c r="M4490" s="62"/>
      <c r="N4490" s="63"/>
      <c r="O4490" s="63"/>
      <c r="P4490" s="79" t="str">
        <f>IF(AND('331-CT'!$E$7=TH!H4490,OR(N4490="331",O4490="331")),"x","")</f>
        <v/>
      </c>
      <c r="Q4490" s="79" t="str">
        <f>IF(AND(B4490='111'!$L$11,OR($N4490=$Q$7,$O4490=$Q$7)),"x","")</f>
        <v/>
      </c>
      <c r="R4490" s="79" t="str">
        <f>IF(AND($N4490=$Q$7,$B4490&lt;'111'!$L$11),"x","")</f>
        <v/>
      </c>
      <c r="S4490" s="79" t="str">
        <f>IF(AND($O4490=$Q$7,$B4490&lt;'111'!$L$11),"x","")</f>
        <v/>
      </c>
      <c r="T4490" s="79" t="str">
        <f>IF(ISERROR(FIND('112'!$M$9,G4490,1)),"",IF((AND(FIND('112'!$M$9,G4490,1)&gt;=1,B4490='112'!$K$9,OR($N4490='112'!$I$6,$O4490='112'!$I$6))),"x",""))</f>
        <v/>
      </c>
      <c r="U4490" s="79" t="str">
        <f>IF(ISERROR(FIND('112'!$M$9,G4490,1)),"",IF((AND(LEFT(G4490,2)=LEFT('112'!$M$9,2),B4490&lt;'112'!$K$9,$N4490='112'!$I$6)),"x",""))</f>
        <v/>
      </c>
      <c r="V4490" s="79" t="str">
        <f>IF(ISERROR(FIND('112'!$M$9,G4490,1)),"",IF((AND(RIGHT(G4490,2)=RIGHT('112'!$M$9,2),B4490&lt;'112'!$K$9,$O4490='112'!$I$6)),"x",""))</f>
        <v/>
      </c>
      <c r="W4490" s="79" t="str">
        <f>IF(AND('341-CT'!$H$9=H4490,OR(LEFT(N4490,3)=$W$7,LEFT(O4490,3)=$W$7)),"x","")</f>
        <v/>
      </c>
      <c r="X4490" s="79" t="str">
        <f>IF(OR(TH!N4490=TH!$X$7,O4490=TH!$X$7),"x","")</f>
        <v/>
      </c>
      <c r="Y4490" s="79" t="str">
        <f>IF(AND(OR(N4490="131",O4490="131"),H4490='131-CT'!$H$9),"x","")</f>
        <v/>
      </c>
      <c r="Z4490" s="79"/>
      <c r="AA4490" s="79" t="str">
        <f>IF(AND(MONTH(E4490)='IN-NX'!$J$5,'IN-NX'!$D$7=D4490),"x","")</f>
        <v/>
      </c>
      <c r="AB4490" s="79" t="str">
        <f>IF(AND(OR(LEFT(TH!N4490,2)="15",LEFT(TH!O4490,2)="15"),LEFT(TH!O4490,3)&lt;&gt;"111",'152-CT'!$J$8=TH!F4490),"x","")</f>
        <v/>
      </c>
      <c r="AC4490" s="79" t="str">
        <f>IF(AND(OR(LEFT(TH!N4490,2)="15",LEFT(TH!O4490,2)="15"),TK!$E$7=TH!F4490),"x","")</f>
        <v/>
      </c>
      <c r="AD4490" s="79" t="str">
        <f>IF(AND(N4490="1521",MONTH(C4490)='BK-NL'!$M$11),"x","")</f>
        <v/>
      </c>
    </row>
    <row r="4491" spans="1:30" ht="16.5" customHeight="1">
      <c r="A4491" s="318" t="str">
        <f>IF(B4491&lt;&gt;"",IF(AND(B4491='[3]IN-TC'!$S$4,OR([3]TH!N3722="1111",[3]TH!O3722="1111")),[3]TH!D3722,""),"")</f>
        <v/>
      </c>
      <c r="B4491" s="60" t="str">
        <f t="shared" si="473"/>
        <v/>
      </c>
      <c r="C4491" s="61"/>
      <c r="D4491" s="61"/>
      <c r="E4491" s="61"/>
      <c r="F4491" s="64"/>
      <c r="G4491" s="64"/>
      <c r="H4491" s="321"/>
      <c r="I4491" s="385"/>
      <c r="J4491" s="392"/>
      <c r="K4491" s="385"/>
      <c r="L4491" s="392"/>
      <c r="M4491" s="62"/>
      <c r="N4491" s="63"/>
      <c r="O4491" s="63"/>
      <c r="P4491" s="79" t="str">
        <f>IF(AND('331-CT'!$E$7=TH!H4491,OR(N4491="331",O4491="331")),"x","")</f>
        <v/>
      </c>
      <c r="Q4491" s="79" t="str">
        <f>IF(AND(B4491='111'!$L$11,OR($N4491=$Q$7,$O4491=$Q$7)),"x","")</f>
        <v/>
      </c>
      <c r="R4491" s="79" t="str">
        <f>IF(AND($N4491=$Q$7,$B4491&lt;'111'!$L$11),"x","")</f>
        <v/>
      </c>
      <c r="S4491" s="79" t="str">
        <f>IF(AND($O4491=$Q$7,$B4491&lt;'111'!$L$11),"x","")</f>
        <v/>
      </c>
      <c r="T4491" s="79" t="str">
        <f>IF(ISERROR(FIND('112'!$M$9,G4491,1)),"",IF((AND(FIND('112'!$M$9,G4491,1)&gt;=1,B4491='112'!$K$9,OR($N4491='112'!$I$6,$O4491='112'!$I$6))),"x",""))</f>
        <v/>
      </c>
      <c r="U4491" s="79" t="str">
        <f>IF(ISERROR(FIND('112'!$M$9,G4491,1)),"",IF((AND(LEFT(G4491,2)=LEFT('112'!$M$9,2),B4491&lt;'112'!$K$9,$N4491='112'!$I$6)),"x",""))</f>
        <v/>
      </c>
      <c r="V4491" s="79" t="str">
        <f>IF(ISERROR(FIND('112'!$M$9,G4491,1)),"",IF((AND(RIGHT(G4491,2)=RIGHT('112'!$M$9,2),B4491&lt;'112'!$K$9,$O4491='112'!$I$6)),"x",""))</f>
        <v/>
      </c>
      <c r="W4491" s="79" t="str">
        <f>IF(AND('341-CT'!$H$9=H4491,OR(LEFT(N4491,3)=$W$7,LEFT(O4491,3)=$W$7)),"x","")</f>
        <v/>
      </c>
      <c r="X4491" s="79" t="str">
        <f>IF(OR(TH!N4491=TH!$X$7,O4491=TH!$X$7),"x","")</f>
        <v/>
      </c>
      <c r="Y4491" s="79" t="str">
        <f>IF(AND(OR(N4491="131",O4491="131"),H4491='131-CT'!$H$9),"x","")</f>
        <v/>
      </c>
      <c r="Z4491" s="79"/>
      <c r="AA4491" s="79" t="str">
        <f>IF(AND(MONTH(E4491)='IN-NX'!$J$5,'IN-NX'!$D$7=D4491),"x","")</f>
        <v/>
      </c>
      <c r="AB4491" s="79" t="str">
        <f>IF(AND(OR(LEFT(TH!N4491,2)="15",LEFT(TH!O4491,2)="15"),LEFT(TH!O4491,3)&lt;&gt;"111",'152-CT'!$J$8=TH!F4491),"x","")</f>
        <v/>
      </c>
      <c r="AC4491" s="79" t="str">
        <f>IF(AND(OR(LEFT(TH!N4491,2)="15",LEFT(TH!O4491,2)="15"),TK!$E$7=TH!F4491),"x","")</f>
        <v/>
      </c>
      <c r="AD4491" s="79" t="str">
        <f>IF(AND(N4491="1521",MONTH(C4491)='BK-NL'!$M$11),"x","")</f>
        <v/>
      </c>
    </row>
    <row r="4492" spans="1:30" ht="16.5" customHeight="1">
      <c r="A4492" s="318" t="str">
        <f>IF(B4492&lt;&gt;"",IF(AND(B4492='[3]IN-TC'!$S$4,OR([3]TH!N3723="1111",[3]TH!O3723="1111")),[3]TH!D3723,""),"")</f>
        <v/>
      </c>
      <c r="B4492" s="60" t="str">
        <f t="shared" si="473"/>
        <v/>
      </c>
      <c r="C4492" s="61"/>
      <c r="D4492" s="61"/>
      <c r="E4492" s="61"/>
      <c r="F4492" s="64"/>
      <c r="G4492" s="64"/>
      <c r="H4492" s="321"/>
      <c r="I4492" s="385"/>
      <c r="J4492" s="392"/>
      <c r="K4492" s="385"/>
      <c r="L4492" s="392"/>
      <c r="M4492" s="62"/>
      <c r="N4492" s="63"/>
      <c r="O4492" s="63"/>
      <c r="P4492" s="79" t="str">
        <f>IF(AND('331-CT'!$E$7=TH!H4492,OR(N4492="331",O4492="331")),"x","")</f>
        <v/>
      </c>
      <c r="Q4492" s="79" t="str">
        <f>IF(AND(B4492='111'!$L$11,OR($N4492=$Q$7,$O4492=$Q$7)),"x","")</f>
        <v/>
      </c>
      <c r="R4492" s="79" t="str">
        <f>IF(AND($N4492=$Q$7,$B4492&lt;'111'!$L$11),"x","")</f>
        <v/>
      </c>
      <c r="S4492" s="79" t="str">
        <f>IF(AND($O4492=$Q$7,$B4492&lt;'111'!$L$11),"x","")</f>
        <v/>
      </c>
      <c r="T4492" s="79" t="str">
        <f>IF(ISERROR(FIND('112'!$M$9,G4492,1)),"",IF((AND(FIND('112'!$M$9,G4492,1)&gt;=1,B4492='112'!$K$9,OR($N4492='112'!$I$6,$O4492='112'!$I$6))),"x",""))</f>
        <v/>
      </c>
      <c r="U4492" s="79" t="str">
        <f>IF(ISERROR(FIND('112'!$M$9,G4492,1)),"",IF((AND(LEFT(G4492,2)=LEFT('112'!$M$9,2),B4492&lt;'112'!$K$9,$N4492='112'!$I$6)),"x",""))</f>
        <v/>
      </c>
      <c r="V4492" s="79" t="str">
        <f>IF(ISERROR(FIND('112'!$M$9,G4492,1)),"",IF((AND(RIGHT(G4492,2)=RIGHT('112'!$M$9,2),B4492&lt;'112'!$K$9,$O4492='112'!$I$6)),"x",""))</f>
        <v/>
      </c>
      <c r="W4492" s="79" t="str">
        <f>IF(AND('341-CT'!$H$9=H4492,OR(LEFT(N4492,3)=$W$7,LEFT(O4492,3)=$W$7)),"x","")</f>
        <v/>
      </c>
      <c r="X4492" s="79" t="str">
        <f>IF(OR(TH!N4492=TH!$X$7,O4492=TH!$X$7),"x","")</f>
        <v/>
      </c>
      <c r="Y4492" s="79" t="str">
        <f>IF(AND(OR(N4492="131",O4492="131"),H4492='131-CT'!$H$9),"x","")</f>
        <v/>
      </c>
      <c r="Z4492" s="79"/>
      <c r="AA4492" s="79" t="str">
        <f>IF(AND(MONTH(E4492)='IN-NX'!$J$5,'IN-NX'!$D$7=D4492),"x","")</f>
        <v/>
      </c>
      <c r="AB4492" s="79" t="str">
        <f>IF(AND(OR(LEFT(TH!N4492,2)="15",LEFT(TH!O4492,2)="15"),LEFT(TH!O4492,3)&lt;&gt;"111",'152-CT'!$J$8=TH!F4492),"x","")</f>
        <v/>
      </c>
      <c r="AC4492" s="79" t="str">
        <f>IF(AND(OR(LEFT(TH!N4492,2)="15",LEFT(TH!O4492,2)="15"),TK!$E$7=TH!F4492),"x","")</f>
        <v/>
      </c>
      <c r="AD4492" s="79" t="str">
        <f>IF(AND(N4492="1521",MONTH(C4492)='BK-NL'!$M$11),"x","")</f>
        <v/>
      </c>
    </row>
    <row r="4493" spans="1:30" ht="16.5" customHeight="1">
      <c r="A4493" s="318" t="str">
        <f>IF(B4493&lt;&gt;"",IF(AND(B4493='[3]IN-TC'!$S$4,OR([3]TH!N3724="1111",[3]TH!O3724="1111")),[3]TH!D3724,""),"")</f>
        <v/>
      </c>
      <c r="B4493" s="60" t="str">
        <f t="shared" si="473"/>
        <v/>
      </c>
      <c r="C4493" s="61"/>
      <c r="D4493" s="61"/>
      <c r="E4493" s="61"/>
      <c r="F4493" s="64"/>
      <c r="G4493" s="64"/>
      <c r="H4493" s="321"/>
      <c r="I4493" s="385"/>
      <c r="J4493" s="392"/>
      <c r="K4493" s="385"/>
      <c r="L4493" s="392"/>
      <c r="M4493" s="62"/>
      <c r="N4493" s="63"/>
      <c r="O4493" s="63"/>
      <c r="P4493" s="79" t="str">
        <f>IF(AND('331-CT'!$E$7=TH!H4493,OR(N4493="331",O4493="331")),"x","")</f>
        <v/>
      </c>
      <c r="Q4493" s="79" t="str">
        <f>IF(AND(B4493='111'!$L$11,OR($N4493=$Q$7,$O4493=$Q$7)),"x","")</f>
        <v/>
      </c>
      <c r="R4493" s="79" t="str">
        <f>IF(AND($N4493=$Q$7,$B4493&lt;'111'!$L$11),"x","")</f>
        <v/>
      </c>
      <c r="S4493" s="79" t="str">
        <f>IF(AND($O4493=$Q$7,$B4493&lt;'111'!$L$11),"x","")</f>
        <v/>
      </c>
      <c r="T4493" s="79" t="str">
        <f>IF(ISERROR(FIND('112'!$M$9,G4493,1)),"",IF((AND(FIND('112'!$M$9,G4493,1)&gt;=1,B4493='112'!$K$9,OR($N4493='112'!$I$6,$O4493='112'!$I$6))),"x",""))</f>
        <v/>
      </c>
      <c r="U4493" s="79" t="str">
        <f>IF(ISERROR(FIND('112'!$M$9,G4493,1)),"",IF((AND(LEFT(G4493,2)=LEFT('112'!$M$9,2),B4493&lt;'112'!$K$9,$N4493='112'!$I$6)),"x",""))</f>
        <v/>
      </c>
      <c r="V4493" s="79" t="str">
        <f>IF(ISERROR(FIND('112'!$M$9,G4493,1)),"",IF((AND(RIGHT(G4493,2)=RIGHT('112'!$M$9,2),B4493&lt;'112'!$K$9,$O4493='112'!$I$6)),"x",""))</f>
        <v/>
      </c>
      <c r="W4493" s="79" t="str">
        <f>IF(AND('341-CT'!$H$9=H4493,OR(LEFT(N4493,3)=$W$7,LEFT(O4493,3)=$W$7)),"x","")</f>
        <v/>
      </c>
      <c r="X4493" s="79" t="str">
        <f>IF(OR(TH!N4493=TH!$X$7,O4493=TH!$X$7),"x","")</f>
        <v/>
      </c>
      <c r="Y4493" s="79" t="str">
        <f>IF(AND(OR(N4493="131",O4493="131"),H4493='131-CT'!$H$9),"x","")</f>
        <v/>
      </c>
      <c r="Z4493" s="79"/>
      <c r="AA4493" s="79" t="str">
        <f>IF(AND(MONTH(E4493)='IN-NX'!$J$5,'IN-NX'!$D$7=D4493),"x","")</f>
        <v/>
      </c>
      <c r="AB4493" s="79" t="str">
        <f>IF(AND(OR(LEFT(TH!N4493,2)="15",LEFT(TH!O4493,2)="15"),LEFT(TH!O4493,3)&lt;&gt;"111",'152-CT'!$J$8=TH!F4493),"x","")</f>
        <v/>
      </c>
      <c r="AC4493" s="79" t="str">
        <f>IF(AND(OR(LEFT(TH!N4493,2)="15",LEFT(TH!O4493,2)="15"),TK!$E$7=TH!F4493),"x","")</f>
        <v/>
      </c>
      <c r="AD4493" s="79" t="str">
        <f>IF(AND(N4493="1521",MONTH(C4493)='BK-NL'!$M$11),"x","")</f>
        <v/>
      </c>
    </row>
    <row r="4494" spans="1:30" ht="16.5" customHeight="1">
      <c r="A4494" s="318" t="str">
        <f>IF(B4494&lt;&gt;"",IF(AND(B4494='[3]IN-TC'!$S$4,OR([3]TH!N3725="1111",[3]TH!O3725="1111")),[3]TH!D3725,""),"")</f>
        <v/>
      </c>
      <c r="B4494" s="60" t="str">
        <f t="shared" si="473"/>
        <v/>
      </c>
      <c r="C4494" s="61"/>
      <c r="D4494" s="61"/>
      <c r="E4494" s="61"/>
      <c r="F4494" s="64"/>
      <c r="G4494" s="64"/>
      <c r="H4494" s="303"/>
      <c r="I4494" s="385"/>
      <c r="J4494" s="392"/>
      <c r="K4494" s="385"/>
      <c r="L4494" s="392"/>
      <c r="M4494" s="62"/>
      <c r="N4494" s="63"/>
      <c r="O4494" s="63"/>
      <c r="P4494" s="79" t="str">
        <f>IF(AND('331-CT'!$E$7=TH!H4494,OR(N4494="331",O4494="331")),"x","")</f>
        <v/>
      </c>
      <c r="Q4494" s="79" t="str">
        <f>IF(AND(B4494='111'!$L$11,OR($N4494=$Q$7,$O4494=$Q$7)),"x","")</f>
        <v/>
      </c>
      <c r="R4494" s="79" t="str">
        <f>IF(AND($N4494=$Q$7,$B4494&lt;'111'!$L$11),"x","")</f>
        <v/>
      </c>
      <c r="S4494" s="79" t="str">
        <f>IF(AND($O4494=$Q$7,$B4494&lt;'111'!$L$11),"x","")</f>
        <v/>
      </c>
      <c r="T4494" s="79" t="str">
        <f>IF(ISERROR(FIND('112'!$M$9,G4494,1)),"",IF((AND(FIND('112'!$M$9,G4494,1)&gt;=1,B4494='112'!$K$9,OR($N4494='112'!$I$6,$O4494='112'!$I$6))),"x",""))</f>
        <v/>
      </c>
      <c r="U4494" s="79" t="str">
        <f>IF(ISERROR(FIND('112'!$M$9,G4494,1)),"",IF((AND(LEFT(G4494,2)=LEFT('112'!$M$9,2),B4494&lt;'112'!$K$9,$N4494='112'!$I$6)),"x",""))</f>
        <v/>
      </c>
      <c r="V4494" s="79" t="str">
        <f>IF(ISERROR(FIND('112'!$M$9,G4494,1)),"",IF((AND(RIGHT(G4494,2)=RIGHT('112'!$M$9,2),B4494&lt;'112'!$K$9,$O4494='112'!$I$6)),"x",""))</f>
        <v/>
      </c>
      <c r="W4494" s="79" t="str">
        <f>IF(AND('341-CT'!$H$9=H4494,OR(LEFT(N4494,3)=$W$7,LEFT(O4494,3)=$W$7)),"x","")</f>
        <v/>
      </c>
      <c r="X4494" s="79" t="str">
        <f>IF(OR(TH!N4494=TH!$X$7,O4494=TH!$X$7),"x","")</f>
        <v/>
      </c>
      <c r="Y4494" s="79" t="str">
        <f>IF(AND(OR(N4494="131",O4494="131"),H4494='131-CT'!$H$9),"x","")</f>
        <v/>
      </c>
      <c r="Z4494" s="79"/>
      <c r="AA4494" s="79" t="str">
        <f>IF(AND(MONTH(E4494)='IN-NX'!$J$5,'IN-NX'!$D$7=D4494),"x","")</f>
        <v/>
      </c>
      <c r="AB4494" s="79" t="str">
        <f>IF(AND(OR(LEFT(TH!N4494,2)="15",LEFT(TH!O4494,2)="15"),LEFT(TH!O4494,3)&lt;&gt;"111",'152-CT'!$J$8=TH!F4494),"x","")</f>
        <v/>
      </c>
      <c r="AC4494" s="79" t="str">
        <f>IF(AND(OR(LEFT(TH!N4494,2)="15",LEFT(TH!O4494,2)="15"),TK!$E$7=TH!F4494),"x","")</f>
        <v/>
      </c>
      <c r="AD4494" s="79" t="str">
        <f>IF(AND(N4494="1521",MONTH(C4494)='BK-NL'!$M$11),"x","")</f>
        <v/>
      </c>
    </row>
    <row r="4495" spans="1:30" ht="16.5" customHeight="1">
      <c r="A4495" s="318" t="str">
        <f>IF(B4495&lt;&gt;"",IF(AND(B4495='[3]IN-TC'!$S$4,OR([3]TH!N3726="1111",[3]TH!O3726="1111")),[3]TH!D3726,""),"")</f>
        <v/>
      </c>
      <c r="B4495" s="60" t="str">
        <f t="shared" si="473"/>
        <v/>
      </c>
      <c r="C4495" s="61"/>
      <c r="D4495" s="61"/>
      <c r="E4495" s="61"/>
      <c r="F4495" s="64"/>
      <c r="G4495" s="64"/>
      <c r="H4495" s="321"/>
      <c r="I4495" s="385"/>
      <c r="J4495" s="392"/>
      <c r="K4495" s="385"/>
      <c r="L4495" s="392"/>
      <c r="M4495" s="62"/>
      <c r="N4495" s="63"/>
      <c r="O4495" s="63"/>
      <c r="P4495" s="79" t="str">
        <f>IF(AND('331-CT'!$E$7=TH!H4495,OR(N4495="331",O4495="331")),"x","")</f>
        <v/>
      </c>
      <c r="Q4495" s="79" t="str">
        <f>IF(AND(B4495='111'!$L$11,OR($N4495=$Q$7,$O4495=$Q$7)),"x","")</f>
        <v/>
      </c>
      <c r="R4495" s="79" t="str">
        <f>IF(AND($N4495=$Q$7,$B4495&lt;'111'!$L$11),"x","")</f>
        <v/>
      </c>
      <c r="S4495" s="79" t="str">
        <f>IF(AND($O4495=$Q$7,$B4495&lt;'111'!$L$11),"x","")</f>
        <v/>
      </c>
      <c r="T4495" s="79" t="str">
        <f>IF(ISERROR(FIND('112'!$M$9,G4495,1)),"",IF((AND(FIND('112'!$M$9,G4495,1)&gt;=1,B4495='112'!$K$9,OR($N4495='112'!$I$6,$O4495='112'!$I$6))),"x",""))</f>
        <v/>
      </c>
      <c r="U4495" s="79" t="str">
        <f>IF(ISERROR(FIND('112'!$M$9,G4495,1)),"",IF((AND(LEFT(G4495,2)=LEFT('112'!$M$9,2),B4495&lt;'112'!$K$9,$N4495='112'!$I$6)),"x",""))</f>
        <v/>
      </c>
      <c r="V4495" s="79" t="str">
        <f>IF(ISERROR(FIND('112'!$M$9,G4495,1)),"",IF((AND(RIGHT(G4495,2)=RIGHT('112'!$M$9,2),B4495&lt;'112'!$K$9,$O4495='112'!$I$6)),"x",""))</f>
        <v/>
      </c>
      <c r="W4495" s="79" t="str">
        <f>IF(AND('341-CT'!$H$9=H4495,OR(LEFT(N4495,3)=$W$7,LEFT(O4495,3)=$W$7)),"x","")</f>
        <v/>
      </c>
      <c r="X4495" s="79" t="str">
        <f>IF(OR(TH!N4495=TH!$X$7,O4495=TH!$X$7),"x","")</f>
        <v/>
      </c>
      <c r="Y4495" s="79" t="str">
        <f>IF(AND(OR(N4495="131",O4495="131"),H4495='131-CT'!$H$9),"x","")</f>
        <v/>
      </c>
      <c r="Z4495" s="79"/>
      <c r="AA4495" s="79" t="str">
        <f>IF(AND(MONTH(E4495)='IN-NX'!$J$5,'IN-NX'!$D$7=D4495),"x","")</f>
        <v/>
      </c>
      <c r="AB4495" s="79" t="str">
        <f>IF(AND(OR(LEFT(TH!N4495,2)="15",LEFT(TH!O4495,2)="15"),LEFT(TH!O4495,3)&lt;&gt;"111",'152-CT'!$J$8=TH!F4495),"x","")</f>
        <v/>
      </c>
      <c r="AC4495" s="79" t="str">
        <f>IF(AND(OR(LEFT(TH!N4495,2)="15",LEFT(TH!O4495,2)="15"),TK!$E$7=TH!F4495),"x","")</f>
        <v/>
      </c>
      <c r="AD4495" s="79" t="str">
        <f>IF(AND(N4495="1521",MONTH(C4495)='BK-NL'!$M$11),"x","")</f>
        <v/>
      </c>
    </row>
    <row r="4496" spans="1:30" ht="16.5" customHeight="1">
      <c r="A4496" s="318" t="str">
        <f>IF(B4496&lt;&gt;"",IF(AND(B4496='[3]IN-TC'!$S$4,OR([3]TH!N3727="1111",[3]TH!O3727="1111")),[3]TH!D3727,""),"")</f>
        <v/>
      </c>
      <c r="B4496" s="60" t="str">
        <f t="shared" si="473"/>
        <v/>
      </c>
      <c r="C4496" s="61"/>
      <c r="D4496" s="61"/>
      <c r="E4496" s="61"/>
      <c r="F4496" s="64"/>
      <c r="G4496" s="64"/>
      <c r="H4496" s="321"/>
      <c r="I4496" s="385"/>
      <c r="J4496" s="392"/>
      <c r="K4496" s="385"/>
      <c r="L4496" s="392"/>
      <c r="M4496" s="62"/>
      <c r="N4496" s="63"/>
      <c r="O4496" s="63"/>
      <c r="P4496" s="79" t="str">
        <f>IF(AND('331-CT'!$E$7=TH!H4496,OR(N4496="331",O4496="331")),"x","")</f>
        <v/>
      </c>
      <c r="Q4496" s="79" t="str">
        <f>IF(AND(B4496='111'!$L$11,OR($N4496=$Q$7,$O4496=$Q$7)),"x","")</f>
        <v/>
      </c>
      <c r="R4496" s="79" t="str">
        <f>IF(AND($N4496=$Q$7,$B4496&lt;'111'!$L$11),"x","")</f>
        <v/>
      </c>
      <c r="S4496" s="79" t="str">
        <f>IF(AND($O4496=$Q$7,$B4496&lt;'111'!$L$11),"x","")</f>
        <v/>
      </c>
      <c r="T4496" s="79" t="str">
        <f>IF(ISERROR(FIND('112'!$M$9,G4496,1)),"",IF((AND(FIND('112'!$M$9,G4496,1)&gt;=1,B4496='112'!$K$9,OR($N4496='112'!$I$6,$O4496='112'!$I$6))),"x",""))</f>
        <v/>
      </c>
      <c r="U4496" s="79" t="str">
        <f>IF(ISERROR(FIND('112'!$M$9,G4496,1)),"",IF((AND(LEFT(G4496,2)=LEFT('112'!$M$9,2),B4496&lt;'112'!$K$9,$N4496='112'!$I$6)),"x",""))</f>
        <v/>
      </c>
      <c r="V4496" s="79" t="str">
        <f>IF(ISERROR(FIND('112'!$M$9,G4496,1)),"",IF((AND(RIGHT(G4496,2)=RIGHT('112'!$M$9,2),B4496&lt;'112'!$K$9,$O4496='112'!$I$6)),"x",""))</f>
        <v/>
      </c>
      <c r="W4496" s="79" t="str">
        <f>IF(AND('341-CT'!$H$9=H4496,OR(LEFT(N4496,3)=$W$7,LEFT(O4496,3)=$W$7)),"x","")</f>
        <v/>
      </c>
      <c r="X4496" s="79" t="str">
        <f>IF(OR(TH!N4496=TH!$X$7,O4496=TH!$X$7),"x","")</f>
        <v/>
      </c>
      <c r="Y4496" s="79" t="str">
        <f>IF(AND(OR(N4496="131",O4496="131"),H4496='131-CT'!$H$9),"x","")</f>
        <v/>
      </c>
      <c r="Z4496" s="79"/>
      <c r="AA4496" s="79" t="str">
        <f>IF(AND(MONTH(E4496)='IN-NX'!$J$5,'IN-NX'!$D$7=D4496),"x","")</f>
        <v/>
      </c>
      <c r="AB4496" s="79" t="str">
        <f>IF(AND(OR(LEFT(TH!N4496,2)="15",LEFT(TH!O4496,2)="15"),LEFT(TH!O4496,3)&lt;&gt;"111",'152-CT'!$J$8=TH!F4496),"x","")</f>
        <v/>
      </c>
      <c r="AC4496" s="79" t="str">
        <f>IF(AND(OR(LEFT(TH!N4496,2)="15",LEFT(TH!O4496,2)="15"),TK!$E$7=TH!F4496),"x","")</f>
        <v/>
      </c>
      <c r="AD4496" s="79" t="str">
        <f>IF(AND(N4496="1521",MONTH(C4496)='BK-NL'!$M$11),"x","")</f>
        <v/>
      </c>
    </row>
    <row r="4497" spans="1:30" ht="16.5" customHeight="1">
      <c r="A4497" s="318" t="str">
        <f>IF(B4497&lt;&gt;"",IF(AND(B4497='[3]IN-TC'!$S$4,OR([3]TH!N3728="1111",[3]TH!O3728="1111")),[3]TH!D3728,""),"")</f>
        <v/>
      </c>
      <c r="B4497" s="60" t="str">
        <f t="shared" si="473"/>
        <v/>
      </c>
      <c r="C4497" s="61"/>
      <c r="D4497" s="61"/>
      <c r="E4497" s="61"/>
      <c r="F4497" s="64"/>
      <c r="G4497" s="64"/>
      <c r="H4497" s="321"/>
      <c r="I4497" s="385"/>
      <c r="J4497" s="392"/>
      <c r="K4497" s="385"/>
      <c r="L4497" s="392"/>
      <c r="M4497" s="62"/>
      <c r="N4497" s="63"/>
      <c r="O4497" s="63"/>
      <c r="P4497" s="79" t="str">
        <f>IF(AND('331-CT'!$E$7=TH!H4497,OR(N4497="331",O4497="331")),"x","")</f>
        <v/>
      </c>
      <c r="Q4497" s="79" t="str">
        <f>IF(AND(B4497='111'!$L$11,OR($N4497=$Q$7,$O4497=$Q$7)),"x","")</f>
        <v/>
      </c>
      <c r="R4497" s="79" t="str">
        <f>IF(AND($N4497=$Q$7,$B4497&lt;'111'!$L$11),"x","")</f>
        <v/>
      </c>
      <c r="S4497" s="79" t="str">
        <f>IF(AND($O4497=$Q$7,$B4497&lt;'111'!$L$11),"x","")</f>
        <v/>
      </c>
      <c r="T4497" s="79" t="str">
        <f>IF(ISERROR(FIND('112'!$M$9,G4497,1)),"",IF((AND(FIND('112'!$M$9,G4497,1)&gt;=1,B4497='112'!$K$9,OR($N4497='112'!$I$6,$O4497='112'!$I$6))),"x",""))</f>
        <v/>
      </c>
      <c r="U4497" s="79" t="str">
        <f>IF(ISERROR(FIND('112'!$M$9,G4497,1)),"",IF((AND(LEFT(G4497,2)=LEFT('112'!$M$9,2),B4497&lt;'112'!$K$9,$N4497='112'!$I$6)),"x",""))</f>
        <v/>
      </c>
      <c r="V4497" s="79" t="str">
        <f>IF(ISERROR(FIND('112'!$M$9,G4497,1)),"",IF((AND(RIGHT(G4497,2)=RIGHT('112'!$M$9,2),B4497&lt;'112'!$K$9,$O4497='112'!$I$6)),"x",""))</f>
        <v/>
      </c>
      <c r="W4497" s="79" t="str">
        <f>IF(AND('341-CT'!$H$9=H4497,OR(LEFT(N4497,3)=$W$7,LEFT(O4497,3)=$W$7)),"x","")</f>
        <v/>
      </c>
      <c r="X4497" s="79" t="str">
        <f>IF(OR(TH!N4497=TH!$X$7,O4497=TH!$X$7),"x","")</f>
        <v/>
      </c>
      <c r="Y4497" s="79" t="str">
        <f>IF(AND(OR(N4497="131",O4497="131"),H4497='131-CT'!$H$9),"x","")</f>
        <v/>
      </c>
      <c r="Z4497" s="79"/>
      <c r="AA4497" s="79" t="str">
        <f>IF(AND(MONTH(E4497)='IN-NX'!$J$5,'IN-NX'!$D$7=D4497),"x","")</f>
        <v/>
      </c>
      <c r="AB4497" s="79" t="str">
        <f>IF(AND(OR(LEFT(TH!N4497,2)="15",LEFT(TH!O4497,2)="15"),LEFT(TH!O4497,3)&lt;&gt;"111",'152-CT'!$J$8=TH!F4497),"x","")</f>
        <v/>
      </c>
      <c r="AC4497" s="79" t="str">
        <f>IF(AND(OR(LEFT(TH!N4497,2)="15",LEFT(TH!O4497,2)="15"),TK!$E$7=TH!F4497),"x","")</f>
        <v/>
      </c>
      <c r="AD4497" s="79" t="str">
        <f>IF(AND(N4497="1521",MONTH(C4497)='BK-NL'!$M$11),"x","")</f>
        <v/>
      </c>
    </row>
    <row r="4498" spans="1:30" ht="16.5" customHeight="1">
      <c r="A4498" s="318" t="str">
        <f>IF(B4498&lt;&gt;"",IF(AND(B4498='[3]IN-TC'!$S$4,OR([3]TH!N3729="1111",[3]TH!O3729="1111")),[3]TH!D3729,""),"")</f>
        <v/>
      </c>
      <c r="B4498" s="60" t="str">
        <f t="shared" si="473"/>
        <v/>
      </c>
      <c r="C4498" s="61"/>
      <c r="D4498" s="61"/>
      <c r="E4498" s="61"/>
      <c r="F4498" s="64"/>
      <c r="G4498" s="64"/>
      <c r="H4498" s="321"/>
      <c r="I4498" s="385"/>
      <c r="J4498" s="392"/>
      <c r="K4498" s="385"/>
      <c r="L4498" s="392"/>
      <c r="M4498" s="62"/>
      <c r="N4498" s="63"/>
      <c r="O4498" s="63"/>
      <c r="P4498" s="79" t="str">
        <f>IF(AND('331-CT'!$E$7=TH!H4498,OR(N4498="331",O4498="331")),"x","")</f>
        <v/>
      </c>
      <c r="Q4498" s="79" t="str">
        <f>IF(AND(B4498='111'!$L$11,OR($N4498=$Q$7,$O4498=$Q$7)),"x","")</f>
        <v/>
      </c>
      <c r="R4498" s="79" t="str">
        <f>IF(AND($N4498=$Q$7,$B4498&lt;'111'!$L$11),"x","")</f>
        <v/>
      </c>
      <c r="S4498" s="79" t="str">
        <f>IF(AND($O4498=$Q$7,$B4498&lt;'111'!$L$11),"x","")</f>
        <v/>
      </c>
      <c r="T4498" s="79" t="str">
        <f>IF(ISERROR(FIND('112'!$M$9,G4498,1)),"",IF((AND(FIND('112'!$M$9,G4498,1)&gt;=1,B4498='112'!$K$9,OR($N4498='112'!$I$6,$O4498='112'!$I$6))),"x",""))</f>
        <v/>
      </c>
      <c r="U4498" s="79" t="str">
        <f>IF(ISERROR(FIND('112'!$M$9,G4498,1)),"",IF((AND(LEFT(G4498,2)=LEFT('112'!$M$9,2),B4498&lt;'112'!$K$9,$N4498='112'!$I$6)),"x",""))</f>
        <v/>
      </c>
      <c r="V4498" s="79" t="str">
        <f>IF(ISERROR(FIND('112'!$M$9,G4498,1)),"",IF((AND(RIGHT(G4498,2)=RIGHT('112'!$M$9,2),B4498&lt;'112'!$K$9,$O4498='112'!$I$6)),"x",""))</f>
        <v/>
      </c>
      <c r="W4498" s="79" t="str">
        <f>IF(AND('341-CT'!$H$9=H4498,OR(LEFT(N4498,3)=$W$7,LEFT(O4498,3)=$W$7)),"x","")</f>
        <v/>
      </c>
      <c r="X4498" s="79" t="str">
        <f>IF(OR(TH!N4498=TH!$X$7,O4498=TH!$X$7),"x","")</f>
        <v/>
      </c>
      <c r="Y4498" s="79" t="str">
        <f>IF(AND(OR(N4498="131",O4498="131"),H4498='131-CT'!$H$9),"x","")</f>
        <v/>
      </c>
      <c r="Z4498" s="79"/>
      <c r="AA4498" s="79" t="str">
        <f>IF(AND(MONTH(E4498)='IN-NX'!$J$5,'IN-NX'!$D$7=D4498),"x","")</f>
        <v/>
      </c>
      <c r="AB4498" s="79" t="str">
        <f>IF(AND(OR(LEFT(TH!N4498,2)="15",LEFT(TH!O4498,2)="15"),LEFT(TH!O4498,3)&lt;&gt;"111",'152-CT'!$J$8=TH!F4498),"x","")</f>
        <v/>
      </c>
      <c r="AC4498" s="79" t="str">
        <f>IF(AND(OR(LEFT(TH!N4498,2)="15",LEFT(TH!O4498,2)="15"),TK!$E$7=TH!F4498),"x","")</f>
        <v/>
      </c>
      <c r="AD4498" s="79" t="str">
        <f>IF(AND(N4498="1521",MONTH(C4498)='BK-NL'!$M$11),"x","")</f>
        <v/>
      </c>
    </row>
    <row r="4499" spans="1:30" ht="16.5" customHeight="1">
      <c r="A4499" s="318" t="str">
        <f>IF(B4499&lt;&gt;"",IF(AND(B4499='[3]IN-TC'!$S$4,OR([3]TH!N3730="1111",[3]TH!O3730="1111")),[3]TH!D3730,""),"")</f>
        <v/>
      </c>
      <c r="B4499" s="60" t="str">
        <f t="shared" si="473"/>
        <v/>
      </c>
      <c r="C4499" s="61"/>
      <c r="D4499" s="61"/>
      <c r="E4499" s="61"/>
      <c r="F4499" s="64"/>
      <c r="G4499" s="64"/>
      <c r="H4499" s="321"/>
      <c r="I4499" s="385"/>
      <c r="J4499" s="392"/>
      <c r="K4499" s="385"/>
      <c r="L4499" s="392"/>
      <c r="M4499" s="62"/>
      <c r="N4499" s="63"/>
      <c r="O4499" s="63"/>
      <c r="P4499" s="79" t="str">
        <f>IF(AND('331-CT'!$E$7=TH!H4499,OR(N4499="331",O4499="331")),"x","")</f>
        <v/>
      </c>
      <c r="Q4499" s="79" t="str">
        <f>IF(AND(B4499='111'!$L$11,OR($N4499=$Q$7,$O4499=$Q$7)),"x","")</f>
        <v/>
      </c>
      <c r="R4499" s="79" t="str">
        <f>IF(AND($N4499=$Q$7,$B4499&lt;'111'!$L$11),"x","")</f>
        <v/>
      </c>
      <c r="S4499" s="79" t="str">
        <f>IF(AND($O4499=$Q$7,$B4499&lt;'111'!$L$11),"x","")</f>
        <v/>
      </c>
      <c r="T4499" s="79" t="str">
        <f>IF(ISERROR(FIND('112'!$M$9,G4499,1)),"",IF((AND(FIND('112'!$M$9,G4499,1)&gt;=1,B4499='112'!$K$9,OR($N4499='112'!$I$6,$O4499='112'!$I$6))),"x",""))</f>
        <v/>
      </c>
      <c r="U4499" s="79" t="str">
        <f>IF(ISERROR(FIND('112'!$M$9,G4499,1)),"",IF((AND(LEFT(G4499,2)=LEFT('112'!$M$9,2),B4499&lt;'112'!$K$9,$N4499='112'!$I$6)),"x",""))</f>
        <v/>
      </c>
      <c r="V4499" s="79" t="str">
        <f>IF(ISERROR(FIND('112'!$M$9,G4499,1)),"",IF((AND(RIGHT(G4499,2)=RIGHT('112'!$M$9,2),B4499&lt;'112'!$K$9,$O4499='112'!$I$6)),"x",""))</f>
        <v/>
      </c>
      <c r="W4499" s="79" t="str">
        <f>IF(AND('341-CT'!$H$9=H4499,OR(LEFT(N4499,3)=$W$7,LEFT(O4499,3)=$W$7)),"x","")</f>
        <v/>
      </c>
      <c r="X4499" s="79" t="str">
        <f>IF(OR(TH!N4499=TH!$X$7,O4499=TH!$X$7),"x","")</f>
        <v/>
      </c>
      <c r="Y4499" s="79" t="str">
        <f>IF(AND(OR(N4499="131",O4499="131"),H4499='131-CT'!$H$9),"x","")</f>
        <v/>
      </c>
      <c r="Z4499" s="79"/>
      <c r="AA4499" s="79" t="str">
        <f>IF(AND(MONTH(E4499)='IN-NX'!$J$5,'IN-NX'!$D$7=D4499),"x","")</f>
        <v/>
      </c>
      <c r="AB4499" s="79" t="str">
        <f>IF(AND(OR(LEFT(TH!N4499,2)="15",LEFT(TH!O4499,2)="15"),LEFT(TH!O4499,3)&lt;&gt;"111",'152-CT'!$J$8=TH!F4499),"x","")</f>
        <v/>
      </c>
      <c r="AC4499" s="79" t="str">
        <f>IF(AND(OR(LEFT(TH!N4499,2)="15",LEFT(TH!O4499,2)="15"),TK!$E$7=TH!F4499),"x","")</f>
        <v/>
      </c>
      <c r="AD4499" s="79" t="str">
        <f>IF(AND(N4499="1521",MONTH(C4499)='BK-NL'!$M$11),"x","")</f>
        <v/>
      </c>
    </row>
    <row r="4500" spans="1:30" ht="16.5" customHeight="1">
      <c r="A4500" s="318" t="str">
        <f>IF(B4500&lt;&gt;"",IF(AND(B4500='[3]IN-TC'!$S$4,OR([3]TH!N3731="1111",[3]TH!O3731="1111")),[3]TH!D3731,""),"")</f>
        <v/>
      </c>
      <c r="B4500" s="60" t="str">
        <f t="shared" si="473"/>
        <v/>
      </c>
      <c r="C4500" s="61"/>
      <c r="D4500" s="61"/>
      <c r="E4500" s="61"/>
      <c r="F4500" s="64"/>
      <c r="G4500" s="64"/>
      <c r="H4500" s="321"/>
      <c r="I4500" s="385"/>
      <c r="J4500" s="392"/>
      <c r="K4500" s="385"/>
      <c r="L4500" s="392"/>
      <c r="M4500" s="62"/>
      <c r="N4500" s="63"/>
      <c r="O4500" s="63"/>
      <c r="P4500" s="79" t="str">
        <f>IF(AND('331-CT'!$E$7=TH!H4500,OR(N4500="331",O4500="331")),"x","")</f>
        <v/>
      </c>
      <c r="Q4500" s="79" t="str">
        <f>IF(AND(B4500='111'!$L$11,OR($N4500=$Q$7,$O4500=$Q$7)),"x","")</f>
        <v/>
      </c>
      <c r="R4500" s="79" t="str">
        <f>IF(AND($N4500=$Q$7,$B4500&lt;'111'!$L$11),"x","")</f>
        <v/>
      </c>
      <c r="S4500" s="79" t="str">
        <f>IF(AND($O4500=$Q$7,$B4500&lt;'111'!$L$11),"x","")</f>
        <v/>
      </c>
      <c r="T4500" s="79" t="str">
        <f>IF(ISERROR(FIND('112'!$M$9,G4500,1)),"",IF((AND(FIND('112'!$M$9,G4500,1)&gt;=1,B4500='112'!$K$9,OR($N4500='112'!$I$6,$O4500='112'!$I$6))),"x",""))</f>
        <v/>
      </c>
      <c r="U4500" s="79" t="str">
        <f>IF(ISERROR(FIND('112'!$M$9,G4500,1)),"",IF((AND(LEFT(G4500,2)=LEFT('112'!$M$9,2),B4500&lt;'112'!$K$9,$N4500='112'!$I$6)),"x",""))</f>
        <v/>
      </c>
      <c r="V4500" s="79" t="str">
        <f>IF(ISERROR(FIND('112'!$M$9,G4500,1)),"",IF((AND(RIGHT(G4500,2)=RIGHT('112'!$M$9,2),B4500&lt;'112'!$K$9,$O4500='112'!$I$6)),"x",""))</f>
        <v/>
      </c>
      <c r="W4500" s="79" t="str">
        <f>IF(AND('341-CT'!$H$9=H4500,OR(LEFT(N4500,3)=$W$7,LEFT(O4500,3)=$W$7)),"x","")</f>
        <v/>
      </c>
      <c r="X4500" s="79" t="str">
        <f>IF(OR(TH!N4500=TH!$X$7,O4500=TH!$X$7),"x","")</f>
        <v/>
      </c>
      <c r="Y4500" s="79" t="str">
        <f>IF(AND(OR(N4500="131",O4500="131"),H4500='131-CT'!$H$9),"x","")</f>
        <v/>
      </c>
      <c r="Z4500" s="79"/>
      <c r="AA4500" s="79" t="str">
        <f>IF(AND(MONTH(E4500)='IN-NX'!$J$5,'IN-NX'!$D$7=D4500),"x","")</f>
        <v/>
      </c>
      <c r="AB4500" s="79" t="str">
        <f>IF(AND(OR(LEFT(TH!N4500,2)="15",LEFT(TH!O4500,2)="15"),LEFT(TH!O4500,3)&lt;&gt;"111",'152-CT'!$J$8=TH!F4500),"x","")</f>
        <v/>
      </c>
      <c r="AC4500" s="79" t="str">
        <f>IF(AND(OR(LEFT(TH!N4500,2)="15",LEFT(TH!O4500,2)="15"),TK!$E$7=TH!F4500),"x","")</f>
        <v/>
      </c>
      <c r="AD4500" s="79" t="str">
        <f>IF(AND(N4500="1521",MONTH(C4500)='BK-NL'!$M$11),"x","")</f>
        <v/>
      </c>
    </row>
    <row r="4501" spans="1:30" ht="16.5" customHeight="1">
      <c r="A4501" s="318" t="str">
        <f>IF(B4501&lt;&gt;"",IF(AND(B4501='[3]IN-TC'!$S$4,OR([3]TH!N3732="1111",[3]TH!O3732="1111")),[3]TH!D3732,""),"")</f>
        <v/>
      </c>
      <c r="B4501" s="60" t="str">
        <f t="shared" si="473"/>
        <v/>
      </c>
      <c r="C4501" s="61"/>
      <c r="D4501" s="61"/>
      <c r="E4501" s="61"/>
      <c r="F4501" s="64"/>
      <c r="G4501" s="64"/>
      <c r="H4501" s="321"/>
      <c r="I4501" s="385"/>
      <c r="J4501" s="392"/>
      <c r="K4501" s="385"/>
      <c r="L4501" s="392"/>
      <c r="M4501" s="62"/>
      <c r="N4501" s="63"/>
      <c r="O4501" s="63"/>
      <c r="P4501" s="79" t="str">
        <f>IF(AND('331-CT'!$E$7=TH!H4501,OR(N4501="331",O4501="331")),"x","")</f>
        <v/>
      </c>
      <c r="Q4501" s="79" t="str">
        <f>IF(AND(B4501='111'!$L$11,OR($N4501=$Q$7,$O4501=$Q$7)),"x","")</f>
        <v/>
      </c>
      <c r="R4501" s="79" t="str">
        <f>IF(AND($N4501=$Q$7,$B4501&lt;'111'!$L$11),"x","")</f>
        <v/>
      </c>
      <c r="S4501" s="79" t="str">
        <f>IF(AND($O4501=$Q$7,$B4501&lt;'111'!$L$11),"x","")</f>
        <v/>
      </c>
      <c r="T4501" s="79" t="str">
        <f>IF(ISERROR(FIND('112'!$M$9,G4501,1)),"",IF((AND(FIND('112'!$M$9,G4501,1)&gt;=1,B4501='112'!$K$9,OR($N4501='112'!$I$6,$O4501='112'!$I$6))),"x",""))</f>
        <v/>
      </c>
      <c r="U4501" s="79" t="str">
        <f>IF(ISERROR(FIND('112'!$M$9,G4501,1)),"",IF((AND(LEFT(G4501,2)=LEFT('112'!$M$9,2),B4501&lt;'112'!$K$9,$N4501='112'!$I$6)),"x",""))</f>
        <v/>
      </c>
      <c r="V4501" s="79" t="str">
        <f>IF(ISERROR(FIND('112'!$M$9,G4501,1)),"",IF((AND(RIGHT(G4501,2)=RIGHT('112'!$M$9,2),B4501&lt;'112'!$K$9,$O4501='112'!$I$6)),"x",""))</f>
        <v/>
      </c>
      <c r="W4501" s="79" t="str">
        <f>IF(AND('341-CT'!$H$9=H4501,OR(LEFT(N4501,3)=$W$7,LEFT(O4501,3)=$W$7)),"x","")</f>
        <v/>
      </c>
      <c r="X4501" s="79" t="str">
        <f>IF(OR(TH!N4501=TH!$X$7,O4501=TH!$X$7),"x","")</f>
        <v/>
      </c>
      <c r="Y4501" s="79" t="str">
        <f>IF(AND(OR(N4501="131",O4501="131"),H4501='131-CT'!$H$9),"x","")</f>
        <v/>
      </c>
      <c r="Z4501" s="79"/>
      <c r="AA4501" s="79" t="str">
        <f>IF(AND(MONTH(E4501)='IN-NX'!$J$5,'IN-NX'!$D$7=D4501),"x","")</f>
        <v/>
      </c>
      <c r="AB4501" s="79" t="str">
        <f>IF(AND(OR(LEFT(TH!N4501,2)="15",LEFT(TH!O4501,2)="15"),LEFT(TH!O4501,3)&lt;&gt;"111",'152-CT'!$J$8=TH!F4501),"x","")</f>
        <v/>
      </c>
      <c r="AC4501" s="79" t="str">
        <f>IF(AND(OR(LEFT(TH!N4501,2)="15",LEFT(TH!O4501,2)="15"),TK!$E$7=TH!F4501),"x","")</f>
        <v/>
      </c>
      <c r="AD4501" s="79" t="str">
        <f>IF(AND(N4501="1521",MONTH(C4501)='BK-NL'!$M$11),"x","")</f>
        <v/>
      </c>
    </row>
    <row r="4502" spans="1:30" ht="16.5" customHeight="1">
      <c r="A4502" s="318" t="str">
        <f>IF(B4502&lt;&gt;"",IF(AND(B4502='[3]IN-TC'!$S$4,OR([3]TH!N3733="1111",[3]TH!O3733="1111")),[3]TH!D3733,""),"")</f>
        <v/>
      </c>
      <c r="B4502" s="60" t="str">
        <f t="shared" si="473"/>
        <v/>
      </c>
      <c r="C4502" s="61"/>
      <c r="D4502" s="61"/>
      <c r="E4502" s="61"/>
      <c r="F4502" s="64"/>
      <c r="G4502" s="64"/>
      <c r="H4502" s="321"/>
      <c r="I4502" s="385"/>
      <c r="J4502" s="392"/>
      <c r="K4502" s="385"/>
      <c r="L4502" s="392"/>
      <c r="M4502" s="62"/>
      <c r="N4502" s="63"/>
      <c r="O4502" s="63"/>
      <c r="P4502" s="79" t="str">
        <f>IF(AND('331-CT'!$E$7=TH!H4502,OR(N4502="331",O4502="331")),"x","")</f>
        <v/>
      </c>
      <c r="Q4502" s="79" t="str">
        <f>IF(AND(B4502='111'!$L$11,OR($N4502=$Q$7,$O4502=$Q$7)),"x","")</f>
        <v/>
      </c>
      <c r="R4502" s="79" t="str">
        <f>IF(AND($N4502=$Q$7,$B4502&lt;'111'!$L$11),"x","")</f>
        <v/>
      </c>
      <c r="S4502" s="79" t="str">
        <f>IF(AND($O4502=$Q$7,$B4502&lt;'111'!$L$11),"x","")</f>
        <v/>
      </c>
      <c r="T4502" s="79" t="str">
        <f>IF(ISERROR(FIND('112'!$M$9,G4502,1)),"",IF((AND(FIND('112'!$M$9,G4502,1)&gt;=1,B4502='112'!$K$9,OR($N4502='112'!$I$6,$O4502='112'!$I$6))),"x",""))</f>
        <v/>
      </c>
      <c r="U4502" s="79" t="str">
        <f>IF(ISERROR(FIND('112'!$M$9,G4502,1)),"",IF((AND(LEFT(G4502,2)=LEFT('112'!$M$9,2),B4502&lt;'112'!$K$9,$N4502='112'!$I$6)),"x",""))</f>
        <v/>
      </c>
      <c r="V4502" s="79" t="str">
        <f>IF(ISERROR(FIND('112'!$M$9,G4502,1)),"",IF((AND(RIGHT(G4502,2)=RIGHT('112'!$M$9,2),B4502&lt;'112'!$K$9,$O4502='112'!$I$6)),"x",""))</f>
        <v/>
      </c>
      <c r="W4502" s="79" t="str">
        <f>IF(AND('341-CT'!$H$9=H4502,OR(LEFT(N4502,3)=$W$7,LEFT(O4502,3)=$W$7)),"x","")</f>
        <v/>
      </c>
      <c r="X4502" s="79" t="str">
        <f>IF(OR(TH!N4502=TH!$X$7,O4502=TH!$X$7),"x","")</f>
        <v/>
      </c>
      <c r="Y4502" s="79" t="str">
        <f>IF(AND(OR(N4502="131",O4502="131"),H4502='131-CT'!$H$9),"x","")</f>
        <v/>
      </c>
      <c r="Z4502" s="79"/>
      <c r="AA4502" s="79" t="str">
        <f>IF(AND(MONTH(E4502)='IN-NX'!$J$5,'IN-NX'!$D$7=D4502),"x","")</f>
        <v/>
      </c>
      <c r="AB4502" s="79" t="str">
        <f>IF(AND(OR(LEFT(TH!N4502,2)="15",LEFT(TH!O4502,2)="15"),LEFT(TH!O4502,3)&lt;&gt;"111",'152-CT'!$J$8=TH!F4502),"x","")</f>
        <v/>
      </c>
      <c r="AC4502" s="79" t="str">
        <f>IF(AND(OR(LEFT(TH!N4502,2)="15",LEFT(TH!O4502,2)="15"),TK!$E$7=TH!F4502),"x","")</f>
        <v/>
      </c>
      <c r="AD4502" s="79" t="str">
        <f>IF(AND(N4502="1521",MONTH(C4502)='BK-NL'!$M$11),"x","")</f>
        <v/>
      </c>
    </row>
    <row r="4503" spans="1:30" ht="16.5" customHeight="1">
      <c r="A4503" s="318" t="str">
        <f>IF(B4503&lt;&gt;"",IF(AND(B4503='[3]IN-TC'!$S$4,OR([3]TH!N3734="1111",[3]TH!O3734="1111")),[3]TH!D3734,""),"")</f>
        <v/>
      </c>
      <c r="B4503" s="60" t="str">
        <f t="shared" si="473"/>
        <v/>
      </c>
      <c r="C4503" s="61"/>
      <c r="D4503" s="61"/>
      <c r="E4503" s="61"/>
      <c r="F4503" s="64"/>
      <c r="G4503" s="64"/>
      <c r="H4503" s="321"/>
      <c r="I4503" s="385"/>
      <c r="J4503" s="392"/>
      <c r="K4503" s="385"/>
      <c r="L4503" s="392"/>
      <c r="M4503" s="62"/>
      <c r="N4503" s="63"/>
      <c r="O4503" s="63"/>
      <c r="P4503" s="79" t="str">
        <f>IF(AND('331-CT'!$E$7=TH!H4503,OR(N4503="331",O4503="331")),"x","")</f>
        <v/>
      </c>
      <c r="Q4503" s="79" t="str">
        <f>IF(AND(B4503='111'!$L$11,OR($N4503=$Q$7,$O4503=$Q$7)),"x","")</f>
        <v/>
      </c>
      <c r="R4503" s="79" t="str">
        <f>IF(AND($N4503=$Q$7,$B4503&lt;'111'!$L$11),"x","")</f>
        <v/>
      </c>
      <c r="S4503" s="79" t="str">
        <f>IF(AND($O4503=$Q$7,$B4503&lt;'111'!$L$11),"x","")</f>
        <v/>
      </c>
      <c r="T4503" s="79" t="str">
        <f>IF(ISERROR(FIND('112'!$M$9,G4503,1)),"",IF((AND(FIND('112'!$M$9,G4503,1)&gt;=1,B4503='112'!$K$9,OR($N4503='112'!$I$6,$O4503='112'!$I$6))),"x",""))</f>
        <v/>
      </c>
      <c r="U4503" s="79" t="str">
        <f>IF(ISERROR(FIND('112'!$M$9,G4503,1)),"",IF((AND(LEFT(G4503,2)=LEFT('112'!$M$9,2),B4503&lt;'112'!$K$9,$N4503='112'!$I$6)),"x",""))</f>
        <v/>
      </c>
      <c r="V4503" s="79" t="str">
        <f>IF(ISERROR(FIND('112'!$M$9,G4503,1)),"",IF((AND(RIGHT(G4503,2)=RIGHT('112'!$M$9,2),B4503&lt;'112'!$K$9,$O4503='112'!$I$6)),"x",""))</f>
        <v/>
      </c>
      <c r="W4503" s="79" t="str">
        <f>IF(AND('341-CT'!$H$9=H4503,OR(LEFT(N4503,3)=$W$7,LEFT(O4503,3)=$W$7)),"x","")</f>
        <v/>
      </c>
      <c r="X4503" s="79" t="str">
        <f>IF(OR(TH!N4503=TH!$X$7,O4503=TH!$X$7),"x","")</f>
        <v/>
      </c>
      <c r="Y4503" s="79" t="str">
        <f>IF(AND(OR(N4503="131",O4503="131"),H4503='131-CT'!$H$9),"x","")</f>
        <v/>
      </c>
      <c r="Z4503" s="79"/>
      <c r="AA4503" s="79" t="str">
        <f>IF(AND(MONTH(E4503)='IN-NX'!$J$5,'IN-NX'!$D$7=D4503),"x","")</f>
        <v/>
      </c>
      <c r="AB4503" s="79" t="str">
        <f>IF(AND(OR(LEFT(TH!N4503,2)="15",LEFT(TH!O4503,2)="15"),LEFT(TH!O4503,3)&lt;&gt;"111",'152-CT'!$J$8=TH!F4503),"x","")</f>
        <v/>
      </c>
      <c r="AC4503" s="79" t="str">
        <f>IF(AND(OR(LEFT(TH!N4503,2)="15",LEFT(TH!O4503,2)="15"),TK!$E$7=TH!F4503),"x","")</f>
        <v/>
      </c>
      <c r="AD4503" s="79" t="str">
        <f>IF(AND(N4503="1521",MONTH(C4503)='BK-NL'!$M$11),"x","")</f>
        <v/>
      </c>
    </row>
    <row r="4504" spans="1:30" ht="16.5" customHeight="1">
      <c r="A4504" s="318" t="str">
        <f>IF(B4504&lt;&gt;"",IF(AND(B4504='[3]IN-TC'!$S$4,OR([3]TH!N3735="1111",[3]TH!O3735="1111")),[3]TH!D3735,""),"")</f>
        <v/>
      </c>
      <c r="B4504" s="60" t="str">
        <f t="shared" si="473"/>
        <v/>
      </c>
      <c r="C4504" s="61"/>
      <c r="D4504" s="61"/>
      <c r="E4504" s="61"/>
      <c r="F4504" s="64"/>
      <c r="G4504" s="64"/>
      <c r="H4504" s="321"/>
      <c r="I4504" s="385"/>
      <c r="J4504" s="392"/>
      <c r="K4504" s="385"/>
      <c r="L4504" s="392"/>
      <c r="M4504" s="62"/>
      <c r="N4504" s="63"/>
      <c r="O4504" s="63"/>
      <c r="P4504" s="79" t="str">
        <f>IF(AND('331-CT'!$E$7=TH!H4504,OR(N4504="331",O4504="331")),"x","")</f>
        <v/>
      </c>
      <c r="Q4504" s="79" t="str">
        <f>IF(AND(B4504='111'!$L$11,OR($N4504=$Q$7,$O4504=$Q$7)),"x","")</f>
        <v/>
      </c>
      <c r="R4504" s="79" t="str">
        <f>IF(AND($N4504=$Q$7,$B4504&lt;'111'!$L$11),"x","")</f>
        <v/>
      </c>
      <c r="S4504" s="79" t="str">
        <f>IF(AND($O4504=$Q$7,$B4504&lt;'111'!$L$11),"x","")</f>
        <v/>
      </c>
      <c r="T4504" s="79" t="str">
        <f>IF(ISERROR(FIND('112'!$M$9,G4504,1)),"",IF((AND(FIND('112'!$M$9,G4504,1)&gt;=1,B4504='112'!$K$9,OR($N4504='112'!$I$6,$O4504='112'!$I$6))),"x",""))</f>
        <v/>
      </c>
      <c r="U4504" s="79" t="str">
        <f>IF(ISERROR(FIND('112'!$M$9,G4504,1)),"",IF((AND(LEFT(G4504,2)=LEFT('112'!$M$9,2),B4504&lt;'112'!$K$9,$N4504='112'!$I$6)),"x",""))</f>
        <v/>
      </c>
      <c r="V4504" s="79" t="str">
        <f>IF(ISERROR(FIND('112'!$M$9,G4504,1)),"",IF((AND(RIGHT(G4504,2)=RIGHT('112'!$M$9,2),B4504&lt;'112'!$K$9,$O4504='112'!$I$6)),"x",""))</f>
        <v/>
      </c>
      <c r="W4504" s="79" t="str">
        <f>IF(AND('341-CT'!$H$9=H4504,OR(LEFT(N4504,3)=$W$7,LEFT(O4504,3)=$W$7)),"x","")</f>
        <v/>
      </c>
      <c r="X4504" s="79" t="str">
        <f>IF(OR(TH!N4504=TH!$X$7,O4504=TH!$X$7),"x","")</f>
        <v/>
      </c>
      <c r="Y4504" s="79" t="str">
        <f>IF(AND(OR(N4504="131",O4504="131"),H4504='131-CT'!$H$9),"x","")</f>
        <v/>
      </c>
      <c r="Z4504" s="79"/>
      <c r="AA4504" s="79" t="str">
        <f>IF(AND(MONTH(E4504)='IN-NX'!$J$5,'IN-NX'!$D$7=D4504),"x","")</f>
        <v/>
      </c>
      <c r="AB4504" s="79" t="str">
        <f>IF(AND(OR(LEFT(TH!N4504,2)="15",LEFT(TH!O4504,2)="15"),LEFT(TH!O4504,3)&lt;&gt;"111",'152-CT'!$J$8=TH!F4504),"x","")</f>
        <v/>
      </c>
      <c r="AC4504" s="79" t="str">
        <f>IF(AND(OR(LEFT(TH!N4504,2)="15",LEFT(TH!O4504,2)="15"),TK!$E$7=TH!F4504),"x","")</f>
        <v/>
      </c>
      <c r="AD4504" s="79" t="str">
        <f>IF(AND(N4504="1521",MONTH(C4504)='BK-NL'!$M$11),"x","")</f>
        <v/>
      </c>
    </row>
    <row r="4505" spans="1:30" ht="16.5" customHeight="1">
      <c r="A4505" s="318" t="str">
        <f>IF(B4505&lt;&gt;"",IF(AND(B4505='[3]IN-TC'!$S$4,OR([3]TH!N3736="1111",[3]TH!O3736="1111")),[3]TH!D3736,""),"")</f>
        <v/>
      </c>
      <c r="B4505" s="60" t="str">
        <f t="shared" si="473"/>
        <v/>
      </c>
      <c r="C4505" s="61"/>
      <c r="D4505" s="61"/>
      <c r="E4505" s="61"/>
      <c r="F4505" s="64"/>
      <c r="G4505" s="64"/>
      <c r="H4505" s="321"/>
      <c r="I4505" s="385"/>
      <c r="J4505" s="392"/>
      <c r="K4505" s="385"/>
      <c r="L4505" s="392"/>
      <c r="M4505" s="62"/>
      <c r="N4505" s="63"/>
      <c r="O4505" s="63"/>
      <c r="P4505" s="79" t="str">
        <f>IF(AND('331-CT'!$E$7=TH!H4505,OR(N4505="331",O4505="331")),"x","")</f>
        <v/>
      </c>
      <c r="Q4505" s="79" t="str">
        <f>IF(AND(B4505='111'!$L$11,OR($N4505=$Q$7,$O4505=$Q$7)),"x","")</f>
        <v/>
      </c>
      <c r="R4505" s="79" t="str">
        <f>IF(AND($N4505=$Q$7,$B4505&lt;'111'!$L$11),"x","")</f>
        <v/>
      </c>
      <c r="S4505" s="79" t="str">
        <f>IF(AND($O4505=$Q$7,$B4505&lt;'111'!$L$11),"x","")</f>
        <v/>
      </c>
      <c r="T4505" s="79" t="str">
        <f>IF(ISERROR(FIND('112'!$M$9,G4505,1)),"",IF((AND(FIND('112'!$M$9,G4505,1)&gt;=1,B4505='112'!$K$9,OR($N4505='112'!$I$6,$O4505='112'!$I$6))),"x",""))</f>
        <v/>
      </c>
      <c r="U4505" s="79" t="str">
        <f>IF(ISERROR(FIND('112'!$M$9,G4505,1)),"",IF((AND(LEFT(G4505,2)=LEFT('112'!$M$9,2),B4505&lt;'112'!$K$9,$N4505='112'!$I$6)),"x",""))</f>
        <v/>
      </c>
      <c r="V4505" s="79" t="str">
        <f>IF(ISERROR(FIND('112'!$M$9,G4505,1)),"",IF((AND(RIGHT(G4505,2)=RIGHT('112'!$M$9,2),B4505&lt;'112'!$K$9,$O4505='112'!$I$6)),"x",""))</f>
        <v/>
      </c>
      <c r="W4505" s="79" t="str">
        <f>IF(AND('341-CT'!$H$9=H4505,OR(LEFT(N4505,3)=$W$7,LEFT(O4505,3)=$W$7)),"x","")</f>
        <v/>
      </c>
      <c r="X4505" s="79" t="str">
        <f>IF(OR(TH!N4505=TH!$X$7,O4505=TH!$X$7),"x","")</f>
        <v/>
      </c>
      <c r="Y4505" s="79" t="str">
        <f>IF(AND(OR(N4505="131",O4505="131"),H4505='131-CT'!$H$9),"x","")</f>
        <v/>
      </c>
      <c r="Z4505" s="79"/>
      <c r="AA4505" s="79" t="str">
        <f>IF(AND(MONTH(E4505)='IN-NX'!$J$5,'IN-NX'!$D$7=D4505),"x","")</f>
        <v/>
      </c>
      <c r="AB4505" s="79" t="str">
        <f>IF(AND(OR(LEFT(TH!N4505,2)="15",LEFT(TH!O4505,2)="15"),LEFT(TH!O4505,3)&lt;&gt;"111",'152-CT'!$J$8=TH!F4505),"x","")</f>
        <v/>
      </c>
      <c r="AC4505" s="79" t="str">
        <f>IF(AND(OR(LEFT(TH!N4505,2)="15",LEFT(TH!O4505,2)="15"),TK!$E$7=TH!F4505),"x","")</f>
        <v/>
      </c>
      <c r="AD4505" s="79" t="str">
        <f>IF(AND(N4505="1521",MONTH(C4505)='BK-NL'!$M$11),"x","")</f>
        <v/>
      </c>
    </row>
    <row r="4506" spans="1:30" ht="16.5" customHeight="1">
      <c r="A4506" s="318" t="str">
        <f>IF(B4506&lt;&gt;"",IF(AND(B4506='[3]IN-TC'!$S$4,OR([3]TH!N3737="1111",[3]TH!O3737="1111")),[3]TH!D3737,""),"")</f>
        <v/>
      </c>
      <c r="B4506" s="60" t="str">
        <f t="shared" ref="B4506:B4570" si="474">IF(C4506&lt;&gt;"",MONTH(C4506),"")</f>
        <v/>
      </c>
      <c r="C4506" s="301"/>
      <c r="D4506" s="301"/>
      <c r="E4506" s="301"/>
      <c r="F4506" s="69"/>
      <c r="G4506" s="302"/>
      <c r="H4506" s="303"/>
      <c r="I4506" s="385"/>
      <c r="J4506" s="392"/>
      <c r="K4506" s="385"/>
      <c r="L4506" s="392"/>
      <c r="M4506" s="62"/>
      <c r="N4506" s="304"/>
      <c r="O4506" s="63"/>
      <c r="P4506" s="79" t="str">
        <f>IF(AND('331-CT'!$E$7=TH!H4506,OR(N4506="331",O4506="331")),"x","")</f>
        <v/>
      </c>
      <c r="Q4506" s="79" t="str">
        <f>IF(AND(B4506='111'!$L$11,OR($N4506=$Q$7,$O4506=$Q$7)),"x","")</f>
        <v/>
      </c>
      <c r="R4506" s="79" t="str">
        <f>IF(AND($N4506=$Q$7,$B4506&lt;'111'!$L$11),"x","")</f>
        <v/>
      </c>
      <c r="S4506" s="79" t="str">
        <f>IF(AND($O4506=$Q$7,$B4506&lt;'111'!$L$11),"x","")</f>
        <v/>
      </c>
      <c r="T4506" s="79" t="str">
        <f>IF(ISERROR(FIND('112'!$M$9,G4506,1)),"",IF((AND(FIND('112'!$M$9,G4506,1)&gt;=1,B4506='112'!$K$9,OR($N4506='112'!$I$6,$O4506='112'!$I$6))),"x",""))</f>
        <v/>
      </c>
      <c r="U4506" s="79" t="str">
        <f>IF(ISERROR(FIND('112'!$M$9,G4506,1)),"",IF((AND(LEFT(G4506,2)=LEFT('112'!$M$9,2),B4506&lt;'112'!$K$9,$N4506='112'!$I$6)),"x",""))</f>
        <v/>
      </c>
      <c r="V4506" s="79" t="str">
        <f>IF(ISERROR(FIND('112'!$M$9,G4506,1)),"",IF((AND(RIGHT(G4506,2)=RIGHT('112'!$M$9,2),B4506&lt;'112'!$K$9,$O4506='112'!$I$6)),"x",""))</f>
        <v/>
      </c>
      <c r="W4506" s="79" t="str">
        <f>IF(AND('341-CT'!$H$9=H4506,OR(LEFT(N4506,3)=$W$7,LEFT(O4506,3)=$W$7)),"x","")</f>
        <v/>
      </c>
      <c r="X4506" s="79" t="str">
        <f>IF(OR(TH!N4506=TH!$X$7,O4506=TH!$X$7),"x","")</f>
        <v/>
      </c>
      <c r="Y4506" s="79" t="str">
        <f>IF(AND(OR(N4506="131",O4506="131"),H4506='131-CT'!$H$9),"x","")</f>
        <v/>
      </c>
      <c r="Z4506" s="79"/>
      <c r="AA4506" s="79" t="str">
        <f>IF(AND(MONTH(E4506)='IN-NX'!$J$5,'IN-NX'!$D$7=D4506),"x","")</f>
        <v/>
      </c>
      <c r="AB4506" s="79" t="str">
        <f>IF(AND(OR(LEFT(TH!N4506,2)="15",LEFT(TH!O4506,2)="15"),LEFT(TH!O4506,3)&lt;&gt;"111",'152-CT'!$J$8=TH!F4506),"x","")</f>
        <v/>
      </c>
      <c r="AC4506" s="79" t="str">
        <f>IF(AND(OR(LEFT(TH!N4506,2)="15",LEFT(TH!O4506,2)="15"),TK!$E$7=TH!F4506),"x","")</f>
        <v/>
      </c>
      <c r="AD4506" s="79" t="str">
        <f>IF(AND(N4506="1521",MONTH(C4506)='BK-NL'!$M$11),"x","")</f>
        <v/>
      </c>
    </row>
    <row r="4507" spans="1:30" ht="16.5" customHeight="1">
      <c r="A4507" s="318" t="str">
        <f>IF(B4507&lt;&gt;"",IF(AND(B4507='[3]IN-TC'!$S$4,OR([3]TH!N3738="1111",[3]TH!O3738="1111")),[3]TH!D3738,""),"")</f>
        <v/>
      </c>
      <c r="B4507" s="60" t="str">
        <f t="shared" si="474"/>
        <v/>
      </c>
      <c r="C4507" s="301"/>
      <c r="D4507" s="301"/>
      <c r="E4507" s="301"/>
      <c r="F4507" s="69"/>
      <c r="G4507" s="302"/>
      <c r="H4507" s="303"/>
      <c r="I4507" s="385"/>
      <c r="J4507" s="392"/>
      <c r="K4507" s="385"/>
      <c r="L4507" s="392"/>
      <c r="M4507" s="62"/>
      <c r="N4507" s="304"/>
      <c r="O4507" s="63"/>
      <c r="P4507" s="79" t="str">
        <f>IF(AND('331-CT'!$E$7=TH!H4507,OR(N4507="331",O4507="331")),"x","")</f>
        <v/>
      </c>
      <c r="Q4507" s="79" t="str">
        <f>IF(AND(B4507='111'!$L$11,OR($N4507=$Q$7,$O4507=$Q$7)),"x","")</f>
        <v/>
      </c>
      <c r="R4507" s="79" t="str">
        <f>IF(AND($N4507=$Q$7,$B4507&lt;'111'!$L$11),"x","")</f>
        <v/>
      </c>
      <c r="S4507" s="79" t="str">
        <f>IF(AND($O4507=$Q$7,$B4507&lt;'111'!$L$11),"x","")</f>
        <v/>
      </c>
      <c r="T4507" s="79" t="str">
        <f>IF(ISERROR(FIND('112'!$M$9,G4507,1)),"",IF((AND(FIND('112'!$M$9,G4507,1)&gt;=1,B4507='112'!$K$9,OR($N4507='112'!$I$6,$O4507='112'!$I$6))),"x",""))</f>
        <v/>
      </c>
      <c r="U4507" s="79" t="str">
        <f>IF(ISERROR(FIND('112'!$M$9,G4507,1)),"",IF((AND(LEFT(G4507,2)=LEFT('112'!$M$9,2),B4507&lt;'112'!$K$9,$N4507='112'!$I$6)),"x",""))</f>
        <v/>
      </c>
      <c r="V4507" s="79" t="str">
        <f>IF(ISERROR(FIND('112'!$M$9,G4507,1)),"",IF((AND(RIGHT(G4507,2)=RIGHT('112'!$M$9,2),B4507&lt;'112'!$K$9,$O4507='112'!$I$6)),"x",""))</f>
        <v/>
      </c>
      <c r="W4507" s="79" t="str">
        <f>IF(AND('341-CT'!$H$9=H4507,OR(LEFT(N4507,3)=$W$7,LEFT(O4507,3)=$W$7)),"x","")</f>
        <v/>
      </c>
      <c r="X4507" s="79" t="str">
        <f>IF(OR(TH!N4507=TH!$X$7,O4507=TH!$X$7),"x","")</f>
        <v/>
      </c>
      <c r="Y4507" s="79" t="str">
        <f>IF(AND(OR(N4507="131",O4507="131"),H4507='131-CT'!$H$9),"x","")</f>
        <v/>
      </c>
      <c r="Z4507" s="79"/>
      <c r="AA4507" s="79" t="str">
        <f>IF(AND(MONTH(E4507)='IN-NX'!$J$5,'IN-NX'!$D$7=D4507),"x","")</f>
        <v/>
      </c>
      <c r="AB4507" s="79" t="str">
        <f>IF(AND(OR(LEFT(TH!N4507,2)="15",LEFT(TH!O4507,2)="15"),LEFT(TH!O4507,3)&lt;&gt;"111",'152-CT'!$J$8=TH!F4507),"x","")</f>
        <v/>
      </c>
      <c r="AC4507" s="79" t="str">
        <f>IF(AND(OR(LEFT(TH!N4507,2)="15",LEFT(TH!O4507,2)="15"),TK!$E$7=TH!F4507),"x","")</f>
        <v/>
      </c>
      <c r="AD4507" s="79" t="str">
        <f>IF(AND(N4507="1521",MONTH(C4507)='BK-NL'!$M$11),"x","")</f>
        <v/>
      </c>
    </row>
    <row r="4508" spans="1:30" ht="16.5" customHeight="1">
      <c r="A4508" s="318" t="str">
        <f>IF(B4508&lt;&gt;"",IF(AND(B4508='[3]IN-TC'!$S$4,OR([3]TH!N3739="1111",[3]TH!O3739="1111")),[3]TH!D3739,""),"")</f>
        <v/>
      </c>
      <c r="B4508" s="60" t="str">
        <f t="shared" si="474"/>
        <v/>
      </c>
      <c r="C4508" s="301"/>
      <c r="D4508" s="301"/>
      <c r="E4508" s="301"/>
      <c r="F4508" s="69"/>
      <c r="G4508" s="302"/>
      <c r="H4508" s="303"/>
      <c r="I4508" s="385"/>
      <c r="J4508" s="392"/>
      <c r="K4508" s="385"/>
      <c r="L4508" s="392"/>
      <c r="M4508" s="62"/>
      <c r="N4508" s="304"/>
      <c r="O4508" s="63"/>
      <c r="P4508" s="79" t="str">
        <f>IF(AND('331-CT'!$E$7=TH!H4508,OR(N4508="331",O4508="331")),"x","")</f>
        <v/>
      </c>
      <c r="Q4508" s="79" t="str">
        <f>IF(AND(B4508='111'!$L$11,OR($N4508=$Q$7,$O4508=$Q$7)),"x","")</f>
        <v/>
      </c>
      <c r="R4508" s="79" t="str">
        <f>IF(AND($N4508=$Q$7,$B4508&lt;'111'!$L$11),"x","")</f>
        <v/>
      </c>
      <c r="S4508" s="79" t="str">
        <f>IF(AND($O4508=$Q$7,$B4508&lt;'111'!$L$11),"x","")</f>
        <v/>
      </c>
      <c r="T4508" s="79" t="str">
        <f>IF(ISERROR(FIND('112'!$M$9,G4508,1)),"",IF((AND(FIND('112'!$M$9,G4508,1)&gt;=1,B4508='112'!$K$9,OR($N4508='112'!$I$6,$O4508='112'!$I$6))),"x",""))</f>
        <v/>
      </c>
      <c r="U4508" s="79" t="str">
        <f>IF(ISERROR(FIND('112'!$M$9,G4508,1)),"",IF((AND(LEFT(G4508,2)=LEFT('112'!$M$9,2),B4508&lt;'112'!$K$9,$N4508='112'!$I$6)),"x",""))</f>
        <v/>
      </c>
      <c r="V4508" s="79" t="str">
        <f>IF(ISERROR(FIND('112'!$M$9,G4508,1)),"",IF((AND(RIGHT(G4508,2)=RIGHT('112'!$M$9,2),B4508&lt;'112'!$K$9,$O4508='112'!$I$6)),"x",""))</f>
        <v/>
      </c>
      <c r="W4508" s="79" t="str">
        <f>IF(AND('341-CT'!$H$9=H4508,OR(LEFT(N4508,3)=$W$7,LEFT(O4508,3)=$W$7)),"x","")</f>
        <v/>
      </c>
      <c r="X4508" s="79" t="str">
        <f>IF(OR(TH!N4508=TH!$X$7,O4508=TH!$X$7),"x","")</f>
        <v/>
      </c>
      <c r="Y4508" s="79" t="str">
        <f>IF(AND(OR(N4508="131",O4508="131"),H4508='131-CT'!$H$9),"x","")</f>
        <v/>
      </c>
      <c r="Z4508" s="79"/>
      <c r="AA4508" s="79" t="str">
        <f>IF(AND(MONTH(E4508)='IN-NX'!$J$5,'IN-NX'!$D$7=D4508),"x","")</f>
        <v/>
      </c>
      <c r="AB4508" s="79" t="str">
        <f>IF(AND(OR(LEFT(TH!N4508,2)="15",LEFT(TH!O4508,2)="15"),LEFT(TH!O4508,3)&lt;&gt;"111",'152-CT'!$J$8=TH!F4508),"x","")</f>
        <v/>
      </c>
      <c r="AC4508" s="79" t="str">
        <f>IF(AND(OR(LEFT(TH!N4508,2)="15",LEFT(TH!O4508,2)="15"),TK!$E$7=TH!F4508),"x","")</f>
        <v/>
      </c>
      <c r="AD4508" s="79" t="str">
        <f>IF(AND(N4508="1521",MONTH(C4508)='BK-NL'!$M$11),"x","")</f>
        <v/>
      </c>
    </row>
    <row r="4509" spans="1:30" ht="16.5" customHeight="1">
      <c r="A4509" s="318" t="str">
        <f>IF(B4509&lt;&gt;"",IF(AND(B4509='[3]IN-TC'!$S$4,OR([3]TH!N3740="1111",[3]TH!O3740="1111")),[3]TH!D3740,""),"")</f>
        <v/>
      </c>
      <c r="B4509" s="60" t="str">
        <f t="shared" si="474"/>
        <v/>
      </c>
      <c r="C4509" s="301"/>
      <c r="D4509" s="301"/>
      <c r="E4509" s="301"/>
      <c r="F4509" s="69"/>
      <c r="G4509" s="302"/>
      <c r="H4509" s="303"/>
      <c r="I4509" s="385"/>
      <c r="J4509" s="392"/>
      <c r="K4509" s="385"/>
      <c r="L4509" s="392"/>
      <c r="M4509" s="62"/>
      <c r="N4509" s="304"/>
      <c r="O4509" s="63"/>
      <c r="P4509" s="79" t="str">
        <f>IF(AND('331-CT'!$E$7=TH!H4509,OR(N4509="331",O4509="331")),"x","")</f>
        <v/>
      </c>
      <c r="Q4509" s="79" t="str">
        <f>IF(AND(B4509='111'!$L$11,OR($N4509=$Q$7,$O4509=$Q$7)),"x","")</f>
        <v/>
      </c>
      <c r="R4509" s="79" t="str">
        <f>IF(AND($N4509=$Q$7,$B4509&lt;'111'!$L$11),"x","")</f>
        <v/>
      </c>
      <c r="S4509" s="79" t="str">
        <f>IF(AND($O4509=$Q$7,$B4509&lt;'111'!$L$11),"x","")</f>
        <v/>
      </c>
      <c r="T4509" s="79" t="str">
        <f>IF(ISERROR(FIND('112'!$M$9,G4509,1)),"",IF((AND(FIND('112'!$M$9,G4509,1)&gt;=1,B4509='112'!$K$9,OR($N4509='112'!$I$6,$O4509='112'!$I$6))),"x",""))</f>
        <v/>
      </c>
      <c r="U4509" s="79" t="str">
        <f>IF(ISERROR(FIND('112'!$M$9,G4509,1)),"",IF((AND(LEFT(G4509,2)=LEFT('112'!$M$9,2),B4509&lt;'112'!$K$9,$N4509='112'!$I$6)),"x",""))</f>
        <v/>
      </c>
      <c r="V4509" s="79" t="str">
        <f>IF(ISERROR(FIND('112'!$M$9,G4509,1)),"",IF((AND(RIGHT(G4509,2)=RIGHT('112'!$M$9,2),B4509&lt;'112'!$K$9,$O4509='112'!$I$6)),"x",""))</f>
        <v/>
      </c>
      <c r="W4509" s="79" t="str">
        <f>IF(AND('341-CT'!$H$9=H4509,OR(LEFT(N4509,3)=$W$7,LEFT(O4509,3)=$W$7)),"x","")</f>
        <v/>
      </c>
      <c r="X4509" s="79" t="str">
        <f>IF(OR(TH!N4509=TH!$X$7,O4509=TH!$X$7),"x","")</f>
        <v/>
      </c>
      <c r="Y4509" s="79" t="str">
        <f>IF(AND(OR(N4509="131",O4509="131"),H4509='131-CT'!$H$9),"x","")</f>
        <v/>
      </c>
      <c r="Z4509" s="79"/>
      <c r="AA4509" s="79" t="str">
        <f>IF(AND(MONTH(E4509)='IN-NX'!$J$5,'IN-NX'!$D$7=D4509),"x","")</f>
        <v/>
      </c>
      <c r="AB4509" s="79" t="str">
        <f>IF(AND(OR(LEFT(TH!N4509,2)="15",LEFT(TH!O4509,2)="15"),LEFT(TH!O4509,3)&lt;&gt;"111",'152-CT'!$J$8=TH!F4509),"x","")</f>
        <v/>
      </c>
      <c r="AC4509" s="79" t="str">
        <f>IF(AND(OR(LEFT(TH!N4509,2)="15",LEFT(TH!O4509,2)="15"),TK!$E$7=TH!F4509),"x","")</f>
        <v/>
      </c>
      <c r="AD4509" s="79" t="str">
        <f>IF(AND(N4509="1521",MONTH(C4509)='BK-NL'!$M$11),"x","")</f>
        <v/>
      </c>
    </row>
    <row r="4510" spans="1:30" ht="16.5" customHeight="1">
      <c r="A4510" s="318" t="str">
        <f>IF(B4510&lt;&gt;"",IF(AND(B4510='[3]IN-TC'!$S$4,OR([3]TH!N3741="1111",[3]TH!O3741="1111")),[3]TH!D3741,""),"")</f>
        <v/>
      </c>
      <c r="B4510" s="60" t="str">
        <f t="shared" si="474"/>
        <v/>
      </c>
      <c r="C4510" s="301"/>
      <c r="D4510" s="301"/>
      <c r="E4510" s="301"/>
      <c r="F4510" s="69"/>
      <c r="G4510" s="302"/>
      <c r="H4510" s="303"/>
      <c r="I4510" s="385"/>
      <c r="J4510" s="392"/>
      <c r="K4510" s="385"/>
      <c r="L4510" s="392"/>
      <c r="M4510" s="62"/>
      <c r="N4510" s="304"/>
      <c r="O4510" s="63"/>
      <c r="P4510" s="79" t="str">
        <f>IF(AND('331-CT'!$E$7=TH!H4510,OR(N4510="331",O4510="331")),"x","")</f>
        <v/>
      </c>
      <c r="Q4510" s="79" t="str">
        <f>IF(AND(B4510='111'!$L$11,OR($N4510=$Q$7,$O4510=$Q$7)),"x","")</f>
        <v/>
      </c>
      <c r="R4510" s="79" t="str">
        <f>IF(AND($N4510=$Q$7,$B4510&lt;'111'!$L$11),"x","")</f>
        <v/>
      </c>
      <c r="S4510" s="79" t="str">
        <f>IF(AND($O4510=$Q$7,$B4510&lt;'111'!$L$11),"x","")</f>
        <v/>
      </c>
      <c r="T4510" s="79" t="str">
        <f>IF(ISERROR(FIND('112'!$M$9,G4510,1)),"",IF((AND(FIND('112'!$M$9,G4510,1)&gt;=1,B4510='112'!$K$9,OR($N4510='112'!$I$6,$O4510='112'!$I$6))),"x",""))</f>
        <v/>
      </c>
      <c r="U4510" s="79" t="str">
        <f>IF(ISERROR(FIND('112'!$M$9,G4510,1)),"",IF((AND(LEFT(G4510,2)=LEFT('112'!$M$9,2),B4510&lt;'112'!$K$9,$N4510='112'!$I$6)),"x",""))</f>
        <v/>
      </c>
      <c r="V4510" s="79" t="str">
        <f>IF(ISERROR(FIND('112'!$M$9,G4510,1)),"",IF((AND(RIGHT(G4510,2)=RIGHT('112'!$M$9,2),B4510&lt;'112'!$K$9,$O4510='112'!$I$6)),"x",""))</f>
        <v/>
      </c>
      <c r="W4510" s="79" t="str">
        <f>IF(AND('341-CT'!$H$9=H4510,OR(LEFT(N4510,3)=$W$7,LEFT(O4510,3)=$W$7)),"x","")</f>
        <v/>
      </c>
      <c r="X4510" s="79" t="str">
        <f>IF(OR(TH!N4510=TH!$X$7,O4510=TH!$X$7),"x","")</f>
        <v/>
      </c>
      <c r="Y4510" s="79" t="str">
        <f>IF(AND(OR(N4510="131",O4510="131"),H4510='131-CT'!$H$9),"x","")</f>
        <v/>
      </c>
      <c r="Z4510" s="79"/>
      <c r="AA4510" s="79" t="str">
        <f>IF(AND(MONTH(E4510)='IN-NX'!$J$5,'IN-NX'!$D$7=D4510),"x","")</f>
        <v/>
      </c>
      <c r="AB4510" s="79" t="str">
        <f>IF(AND(OR(LEFT(TH!N4510,2)="15",LEFT(TH!O4510,2)="15"),LEFT(TH!O4510,3)&lt;&gt;"111",'152-CT'!$J$8=TH!F4510),"x","")</f>
        <v/>
      </c>
      <c r="AC4510" s="79" t="str">
        <f>IF(AND(OR(LEFT(TH!N4510,2)="15",LEFT(TH!O4510,2)="15"),TK!$E$7=TH!F4510),"x","")</f>
        <v/>
      </c>
      <c r="AD4510" s="79" t="str">
        <f>IF(AND(N4510="1521",MONTH(C4510)='BK-NL'!$M$11),"x","")</f>
        <v/>
      </c>
    </row>
    <row r="4511" spans="1:30" ht="16.5" customHeight="1">
      <c r="A4511" s="318" t="str">
        <f>IF(B4511&lt;&gt;"",IF(AND(B4511='[3]IN-TC'!$S$4,OR([3]TH!N3742="1111",[3]TH!O3742="1111")),[3]TH!D3742,""),"")</f>
        <v/>
      </c>
      <c r="B4511" s="60" t="str">
        <f t="shared" si="474"/>
        <v/>
      </c>
      <c r="C4511" s="61"/>
      <c r="D4511" s="301"/>
      <c r="E4511" s="61"/>
      <c r="F4511" s="947"/>
      <c r="G4511" s="302"/>
      <c r="H4511" s="69"/>
      <c r="I4511" s="385"/>
      <c r="J4511" s="392"/>
      <c r="K4511" s="385"/>
      <c r="L4511" s="392"/>
      <c r="M4511" s="62"/>
      <c r="N4511" s="63"/>
      <c r="O4511" s="63"/>
      <c r="P4511" s="79" t="str">
        <f>IF(AND('331-CT'!$E$7=TH!H4511,OR(N4511="331",O4511="331")),"x","")</f>
        <v/>
      </c>
      <c r="Q4511" s="79" t="str">
        <f>IF(AND(B4511='111'!$L$11,OR($N4511=$Q$7,$O4511=$Q$7)),"x","")</f>
        <v/>
      </c>
      <c r="R4511" s="79" t="str">
        <f>IF(AND($N4511=$Q$7,$B4511&lt;'111'!$L$11),"x","")</f>
        <v/>
      </c>
      <c r="S4511" s="79" t="str">
        <f>IF(AND($O4511=$Q$7,$B4511&lt;'111'!$L$11),"x","")</f>
        <v/>
      </c>
      <c r="T4511" s="79" t="str">
        <f>IF(ISERROR(FIND('112'!$M$9,G4511,1)),"",IF((AND(FIND('112'!$M$9,G4511,1)&gt;=1,B4511='112'!$K$9,OR($N4511='112'!$I$6,$O4511='112'!$I$6))),"x",""))</f>
        <v/>
      </c>
      <c r="U4511" s="79" t="str">
        <f>IF(ISERROR(FIND('112'!$M$9,G4511,1)),"",IF((AND(LEFT(G4511,2)=LEFT('112'!$M$9,2),B4511&lt;'112'!$K$9,$N4511='112'!$I$6)),"x",""))</f>
        <v/>
      </c>
      <c r="V4511" s="79" t="str">
        <f>IF(ISERROR(FIND('112'!$M$9,G4511,1)),"",IF((AND(RIGHT(G4511,2)=RIGHT('112'!$M$9,2),B4511&lt;'112'!$K$9,$O4511='112'!$I$6)),"x",""))</f>
        <v/>
      </c>
      <c r="W4511" s="79" t="str">
        <f>IF(AND('341-CT'!$H$9=H4511,OR(LEFT(N4511,3)=$W$7,LEFT(O4511,3)=$W$7)),"x","")</f>
        <v/>
      </c>
      <c r="X4511" s="79" t="str">
        <f>IF(OR(TH!N4511=TH!$X$7,O4511=TH!$X$7),"x","")</f>
        <v/>
      </c>
      <c r="Y4511" s="79" t="str">
        <f>IF(AND(OR(N4511="131",O4511="131"),H4511='131-CT'!$H$9),"x","")</f>
        <v/>
      </c>
      <c r="Z4511" s="79"/>
      <c r="AA4511" s="79" t="str">
        <f>IF(AND(MONTH(E4511)='IN-NX'!$J$5,'IN-NX'!$D$7=D4511),"x","")</f>
        <v/>
      </c>
      <c r="AB4511" s="79" t="str">
        <f>IF(AND(OR(LEFT(TH!N4511,2)="15",LEFT(TH!O4511,2)="15"),LEFT(TH!O4511,3)&lt;&gt;"111",'152-CT'!$J$8=TH!F4511),"x","")</f>
        <v/>
      </c>
      <c r="AC4511" s="79" t="str">
        <f>IF(AND(OR(LEFT(TH!N4511,2)="15",LEFT(TH!O4511,2)="15"),TK!$E$7=TH!F4511),"x","")</f>
        <v/>
      </c>
      <c r="AD4511" s="79" t="str">
        <f>IF(AND(N4511="1521",MONTH(C4511)='BK-NL'!$M$11),"x","")</f>
        <v/>
      </c>
    </row>
    <row r="4512" spans="1:30" ht="16.5" customHeight="1">
      <c r="A4512" s="318" t="str">
        <f>IF(B4512&lt;&gt;"",IF(AND(B4512='[3]IN-TC'!$S$4,OR([3]TH!N3743="1111",[3]TH!O3743="1111")),[3]TH!D3743,""),"")</f>
        <v/>
      </c>
      <c r="B4512" s="60" t="str">
        <f t="shared" si="474"/>
        <v/>
      </c>
      <c r="C4512" s="301"/>
      <c r="D4512" s="301"/>
      <c r="E4512" s="301"/>
      <c r="F4512" s="69"/>
      <c r="G4512" s="302"/>
      <c r="H4512" s="303"/>
      <c r="I4512" s="385"/>
      <c r="J4512" s="392"/>
      <c r="K4512" s="385"/>
      <c r="L4512" s="392"/>
      <c r="M4512" s="62"/>
      <c r="N4512" s="304"/>
      <c r="O4512" s="63"/>
      <c r="P4512" s="79" t="str">
        <f>IF(AND('331-CT'!$E$7=TH!H4512,OR(N4512="331",O4512="331")),"x","")</f>
        <v/>
      </c>
      <c r="Q4512" s="79" t="str">
        <f>IF(AND(B4512='111'!$L$11,OR($N4512=$Q$7,$O4512=$Q$7)),"x","")</f>
        <v/>
      </c>
      <c r="R4512" s="79" t="str">
        <f>IF(AND($N4512=$Q$7,$B4512&lt;'111'!$L$11),"x","")</f>
        <v/>
      </c>
      <c r="S4512" s="79" t="str">
        <f>IF(AND($O4512=$Q$7,$B4512&lt;'111'!$L$11),"x","")</f>
        <v/>
      </c>
      <c r="T4512" s="79" t="str">
        <f>IF(ISERROR(FIND('112'!$M$9,G4512,1)),"",IF((AND(FIND('112'!$M$9,G4512,1)&gt;=1,B4512='112'!$K$9,OR($N4512='112'!$I$6,$O4512='112'!$I$6))),"x",""))</f>
        <v/>
      </c>
      <c r="U4512" s="79" t="str">
        <f>IF(ISERROR(FIND('112'!$M$9,G4512,1)),"",IF((AND(LEFT(G4512,2)=LEFT('112'!$M$9,2),B4512&lt;'112'!$K$9,$N4512='112'!$I$6)),"x",""))</f>
        <v/>
      </c>
      <c r="V4512" s="79" t="str">
        <f>IF(ISERROR(FIND('112'!$M$9,G4512,1)),"",IF((AND(RIGHT(G4512,2)=RIGHT('112'!$M$9,2),B4512&lt;'112'!$K$9,$O4512='112'!$I$6)),"x",""))</f>
        <v/>
      </c>
      <c r="W4512" s="79" t="str">
        <f>IF(AND('341-CT'!$H$9=H4512,OR(LEFT(N4512,3)=$W$7,LEFT(O4512,3)=$W$7)),"x","")</f>
        <v/>
      </c>
      <c r="X4512" s="79" t="str">
        <f>IF(OR(TH!N4512=TH!$X$7,O4512=TH!$X$7),"x","")</f>
        <v/>
      </c>
      <c r="Y4512" s="79" t="str">
        <f>IF(AND(OR(N4512="131",O4512="131"),H4512='131-CT'!$H$9),"x","")</f>
        <v/>
      </c>
      <c r="Z4512" s="79"/>
      <c r="AA4512" s="79" t="str">
        <f>IF(AND(MONTH(E4512)='IN-NX'!$J$5,'IN-NX'!$D$7=D4512),"x","")</f>
        <v/>
      </c>
      <c r="AB4512" s="79" t="str">
        <f>IF(AND(OR(LEFT(TH!N4512,2)="15",LEFT(TH!O4512,2)="15"),LEFT(TH!O4512,3)&lt;&gt;"111",'152-CT'!$J$8=TH!F4512),"x","")</f>
        <v/>
      </c>
      <c r="AC4512" s="79" t="str">
        <f>IF(AND(OR(LEFT(TH!N4512,2)="15",LEFT(TH!O4512,2)="15"),TK!$E$7=TH!F4512),"x","")</f>
        <v/>
      </c>
      <c r="AD4512" s="79" t="str">
        <f>IF(AND(N4512="1521",MONTH(C4512)='BK-NL'!$M$11),"x","")</f>
        <v/>
      </c>
    </row>
    <row r="4513" spans="1:30" ht="16.5" customHeight="1">
      <c r="A4513" s="318" t="str">
        <f>IF(B4513&lt;&gt;"",IF(AND(B4513='[3]IN-TC'!$S$4,OR([3]TH!N3744="1111",[3]TH!O3744="1111")),[3]TH!D3744,""),"")</f>
        <v/>
      </c>
      <c r="B4513" s="60" t="str">
        <f t="shared" si="474"/>
        <v/>
      </c>
      <c r="C4513" s="301"/>
      <c r="D4513" s="301"/>
      <c r="E4513" s="301"/>
      <c r="F4513" s="69"/>
      <c r="G4513" s="302"/>
      <c r="H4513" s="303"/>
      <c r="I4513" s="385"/>
      <c r="J4513" s="392"/>
      <c r="K4513" s="385"/>
      <c r="L4513" s="392"/>
      <c r="M4513" s="62"/>
      <c r="N4513" s="304"/>
      <c r="O4513" s="63"/>
      <c r="P4513" s="79" t="str">
        <f>IF(AND('331-CT'!$E$7=TH!H4513,OR(N4513="331",O4513="331")),"x","")</f>
        <v/>
      </c>
      <c r="Q4513" s="79" t="str">
        <f>IF(AND(B4513='111'!$L$11,OR($N4513=$Q$7,$O4513=$Q$7)),"x","")</f>
        <v/>
      </c>
      <c r="R4513" s="79" t="str">
        <f>IF(AND($N4513=$Q$7,$B4513&lt;'111'!$L$11),"x","")</f>
        <v/>
      </c>
      <c r="S4513" s="79" t="str">
        <f>IF(AND($O4513=$Q$7,$B4513&lt;'111'!$L$11),"x","")</f>
        <v/>
      </c>
      <c r="T4513" s="79" t="str">
        <f>IF(ISERROR(FIND('112'!$M$9,G4513,1)),"",IF((AND(FIND('112'!$M$9,G4513,1)&gt;=1,B4513='112'!$K$9,OR($N4513='112'!$I$6,$O4513='112'!$I$6))),"x",""))</f>
        <v/>
      </c>
      <c r="U4513" s="79" t="str">
        <f>IF(ISERROR(FIND('112'!$M$9,G4513,1)),"",IF((AND(LEFT(G4513,2)=LEFT('112'!$M$9,2),B4513&lt;'112'!$K$9,$N4513='112'!$I$6)),"x",""))</f>
        <v/>
      </c>
      <c r="V4513" s="79" t="str">
        <f>IF(ISERROR(FIND('112'!$M$9,G4513,1)),"",IF((AND(RIGHT(G4513,2)=RIGHT('112'!$M$9,2),B4513&lt;'112'!$K$9,$O4513='112'!$I$6)),"x",""))</f>
        <v/>
      </c>
      <c r="W4513" s="79" t="str">
        <f>IF(AND('341-CT'!$H$9=H4513,OR(LEFT(N4513,3)=$W$7,LEFT(O4513,3)=$W$7)),"x","")</f>
        <v/>
      </c>
      <c r="X4513" s="79" t="str">
        <f>IF(OR(TH!N4513=TH!$X$7,O4513=TH!$X$7),"x","")</f>
        <v/>
      </c>
      <c r="Y4513" s="79" t="str">
        <f>IF(AND(OR(N4513="131",O4513="131"),H4513='131-CT'!$H$9),"x","")</f>
        <v/>
      </c>
      <c r="Z4513" s="79"/>
      <c r="AA4513" s="79" t="str">
        <f>IF(AND(MONTH(E4513)='IN-NX'!$J$5,'IN-NX'!$D$7=D4513),"x","")</f>
        <v/>
      </c>
      <c r="AB4513" s="79" t="str">
        <f>IF(AND(OR(LEFT(TH!N4513,2)="15",LEFT(TH!O4513,2)="15"),LEFT(TH!O4513,3)&lt;&gt;"111",'152-CT'!$J$8=TH!F4513),"x","")</f>
        <v/>
      </c>
      <c r="AC4513" s="79" t="str">
        <f>IF(AND(OR(LEFT(TH!N4513,2)="15",LEFT(TH!O4513,2)="15"),TK!$E$7=TH!F4513),"x","")</f>
        <v/>
      </c>
      <c r="AD4513" s="79" t="str">
        <f>IF(AND(N4513="1521",MONTH(C4513)='BK-NL'!$M$11),"x","")</f>
        <v/>
      </c>
    </row>
    <row r="4514" spans="1:30" ht="16.5" customHeight="1">
      <c r="A4514" s="318" t="str">
        <f>IF(B4514&lt;&gt;"",IF(AND(B4514='[3]IN-TC'!$S$4,OR([3]TH!N3745="1111",[3]TH!O3745="1111")),[3]TH!D3745,""),"")</f>
        <v/>
      </c>
      <c r="B4514" s="60" t="str">
        <f t="shared" si="474"/>
        <v/>
      </c>
      <c r="C4514" s="301"/>
      <c r="D4514" s="301"/>
      <c r="E4514" s="301"/>
      <c r="F4514" s="69"/>
      <c r="G4514" s="302"/>
      <c r="H4514" s="303"/>
      <c r="I4514" s="385"/>
      <c r="J4514" s="392"/>
      <c r="K4514" s="385"/>
      <c r="L4514" s="392"/>
      <c r="M4514" s="62"/>
      <c r="N4514" s="304"/>
      <c r="O4514" s="63"/>
      <c r="P4514" s="79" t="str">
        <f>IF(AND('331-CT'!$E$7=TH!H4514,OR(N4514="331",O4514="331")),"x","")</f>
        <v/>
      </c>
      <c r="Q4514" s="79" t="str">
        <f>IF(AND(B4514='111'!$L$11,OR($N4514=$Q$7,$O4514=$Q$7)),"x","")</f>
        <v/>
      </c>
      <c r="R4514" s="79" t="str">
        <f>IF(AND($N4514=$Q$7,$B4514&lt;'111'!$L$11),"x","")</f>
        <v/>
      </c>
      <c r="S4514" s="79" t="str">
        <f>IF(AND($O4514=$Q$7,$B4514&lt;'111'!$L$11),"x","")</f>
        <v/>
      </c>
      <c r="T4514" s="79" t="str">
        <f>IF(ISERROR(FIND('112'!$M$9,G4514,1)),"",IF((AND(FIND('112'!$M$9,G4514,1)&gt;=1,B4514='112'!$K$9,OR($N4514='112'!$I$6,$O4514='112'!$I$6))),"x",""))</f>
        <v/>
      </c>
      <c r="U4514" s="79" t="str">
        <f>IF(ISERROR(FIND('112'!$M$9,G4514,1)),"",IF((AND(LEFT(G4514,2)=LEFT('112'!$M$9,2),B4514&lt;'112'!$K$9,$N4514='112'!$I$6)),"x",""))</f>
        <v/>
      </c>
      <c r="V4514" s="79" t="str">
        <f>IF(ISERROR(FIND('112'!$M$9,G4514,1)),"",IF((AND(RIGHT(G4514,2)=RIGHT('112'!$M$9,2),B4514&lt;'112'!$K$9,$O4514='112'!$I$6)),"x",""))</f>
        <v/>
      </c>
      <c r="W4514" s="79" t="str">
        <f>IF(AND('341-CT'!$H$9=H4514,OR(LEFT(N4514,3)=$W$7,LEFT(O4514,3)=$W$7)),"x","")</f>
        <v/>
      </c>
      <c r="X4514" s="79" t="str">
        <f>IF(OR(TH!N4514=TH!$X$7,O4514=TH!$X$7),"x","")</f>
        <v/>
      </c>
      <c r="Y4514" s="79" t="str">
        <f>IF(AND(OR(N4514="131",O4514="131"),H4514='131-CT'!$H$9),"x","")</f>
        <v/>
      </c>
      <c r="Z4514" s="79"/>
      <c r="AA4514" s="79" t="str">
        <f>IF(AND(MONTH(E4514)='IN-NX'!$J$5,'IN-NX'!$D$7=D4514),"x","")</f>
        <v/>
      </c>
      <c r="AB4514" s="79" t="str">
        <f>IF(AND(OR(LEFT(TH!N4514,2)="15",LEFT(TH!O4514,2)="15"),LEFT(TH!O4514,3)&lt;&gt;"111",'152-CT'!$J$8=TH!F4514),"x","")</f>
        <v/>
      </c>
      <c r="AC4514" s="79" t="str">
        <f>IF(AND(OR(LEFT(TH!N4514,2)="15",LEFT(TH!O4514,2)="15"),TK!$E$7=TH!F4514),"x","")</f>
        <v/>
      </c>
      <c r="AD4514" s="79" t="str">
        <f>IF(AND(N4514="1521",MONTH(C4514)='BK-NL'!$M$11),"x","")</f>
        <v/>
      </c>
    </row>
    <row r="4515" spans="1:30" ht="16.5" customHeight="1">
      <c r="A4515" s="318" t="str">
        <f>IF(B4515&lt;&gt;"",IF(AND(B4515='[3]IN-TC'!$S$4,OR([3]TH!N3746="1111",[3]TH!O3746="1111")),[3]TH!D3746,""),"")</f>
        <v/>
      </c>
      <c r="B4515" s="60" t="str">
        <f t="shared" si="474"/>
        <v/>
      </c>
      <c r="C4515" s="61"/>
      <c r="D4515" s="61"/>
      <c r="E4515" s="61"/>
      <c r="F4515" s="302"/>
      <c r="G4515" s="302"/>
      <c r="H4515" s="303"/>
      <c r="I4515" s="385"/>
      <c r="J4515" s="392"/>
      <c r="K4515" s="385"/>
      <c r="L4515" s="392"/>
      <c r="M4515" s="62"/>
      <c r="N4515" s="63"/>
      <c r="O4515" s="63"/>
      <c r="P4515" s="79" t="str">
        <f>IF(AND('331-CT'!$E$7=TH!H4515,OR(N4515="331",O4515="331")),"x","")</f>
        <v/>
      </c>
      <c r="Q4515" s="79" t="str">
        <f>IF(AND(B4515='111'!$L$11,OR($N4515=$Q$7,$O4515=$Q$7)),"x","")</f>
        <v/>
      </c>
      <c r="R4515" s="79" t="str">
        <f>IF(AND($N4515=$Q$7,$B4515&lt;'111'!$L$11),"x","")</f>
        <v/>
      </c>
      <c r="S4515" s="79" t="str">
        <f>IF(AND($O4515=$Q$7,$B4515&lt;'111'!$L$11),"x","")</f>
        <v/>
      </c>
      <c r="T4515" s="79" t="str">
        <f>IF(ISERROR(FIND('112'!$M$9,G4515,1)),"",IF((AND(FIND('112'!$M$9,G4515,1)&gt;=1,B4515='112'!$K$9,OR($N4515='112'!$I$6,$O4515='112'!$I$6))),"x",""))</f>
        <v/>
      </c>
      <c r="U4515" s="79" t="str">
        <f>IF(ISERROR(FIND('112'!$M$9,G4515,1)),"",IF((AND(LEFT(G4515,2)=LEFT('112'!$M$9,2),B4515&lt;'112'!$K$9,$N4515='112'!$I$6)),"x",""))</f>
        <v/>
      </c>
      <c r="V4515" s="79" t="str">
        <f>IF(ISERROR(FIND('112'!$M$9,G4515,1)),"",IF((AND(RIGHT(G4515,2)=RIGHT('112'!$M$9,2),B4515&lt;'112'!$K$9,$O4515='112'!$I$6)),"x",""))</f>
        <v/>
      </c>
      <c r="W4515" s="79" t="str">
        <f>IF(AND('341-CT'!$H$9=H4515,OR(LEFT(N4515,3)=$W$7,LEFT(O4515,3)=$W$7)),"x","")</f>
        <v/>
      </c>
      <c r="X4515" s="79" t="str">
        <f>IF(OR(TH!N4515=TH!$X$7,O4515=TH!$X$7),"x","")</f>
        <v/>
      </c>
      <c r="Y4515" s="79" t="str">
        <f>IF(AND(OR(N4515="131",O4515="131"),H4515='131-CT'!$H$9),"x","")</f>
        <v/>
      </c>
      <c r="Z4515" s="79"/>
      <c r="AA4515" s="79" t="str">
        <f>IF(AND(MONTH(E4515)='IN-NX'!$J$5,'IN-NX'!$D$7=D4515),"x","")</f>
        <v/>
      </c>
      <c r="AB4515" s="79" t="str">
        <f>IF(AND(OR(LEFT(TH!N4515,2)="15",LEFT(TH!O4515,2)="15"),LEFT(TH!O4515,3)&lt;&gt;"111",'152-CT'!$J$8=TH!F4515),"x","")</f>
        <v/>
      </c>
      <c r="AC4515" s="79" t="str">
        <f>IF(AND(OR(LEFT(TH!N4515,2)="15",LEFT(TH!O4515,2)="15"),TK!$E$7=TH!F4515),"x","")</f>
        <v/>
      </c>
      <c r="AD4515" s="79" t="str">
        <f>IF(AND(N4515="1521",MONTH(C4515)='BK-NL'!$M$11),"x","")</f>
        <v/>
      </c>
    </row>
    <row r="4516" spans="1:30" ht="16.5" customHeight="1">
      <c r="A4516" s="318" t="str">
        <f>IF(B4516&lt;&gt;"",IF(AND(B4516='[3]IN-TC'!$S$4,OR([3]TH!N3747="1111",[3]TH!O3747="1111")),[3]TH!D3747,""),"")</f>
        <v/>
      </c>
      <c r="B4516" s="60" t="str">
        <f t="shared" si="474"/>
        <v/>
      </c>
      <c r="C4516" s="301"/>
      <c r="D4516" s="301"/>
      <c r="E4516" s="301"/>
      <c r="F4516" s="302"/>
      <c r="G4516" s="988"/>
      <c r="H4516" s="69"/>
      <c r="I4516" s="385"/>
      <c r="J4516" s="969"/>
      <c r="K4516" s="385"/>
      <c r="L4516" s="392"/>
      <c r="M4516" s="970"/>
      <c r="N4516" s="304"/>
      <c r="O4516" s="304"/>
      <c r="P4516" s="79" t="str">
        <f>IF(AND('331-CT'!$E$7=TH!H4516,OR(N4516="331",O4516="331")),"x","")</f>
        <v/>
      </c>
      <c r="Q4516" s="79" t="str">
        <f>IF(AND(B4516='111'!$L$11,OR($N4516=$Q$7,$O4516=$Q$7)),"x","")</f>
        <v/>
      </c>
      <c r="R4516" s="79" t="str">
        <f>IF(AND($N4516=$Q$7,$B4516&lt;'111'!$L$11),"x","")</f>
        <v/>
      </c>
      <c r="S4516" s="79" t="str">
        <f>IF(AND($O4516=$Q$7,$B4516&lt;'111'!$L$11),"x","")</f>
        <v/>
      </c>
      <c r="T4516" s="79" t="str">
        <f>IF(ISERROR(FIND('112'!$M$9,G4516,1)),"",IF((AND(FIND('112'!$M$9,G4516,1)&gt;=1,B4516='112'!$K$9,OR($N4516='112'!$I$6,$O4516='112'!$I$6))),"x",""))</f>
        <v/>
      </c>
      <c r="U4516" s="79" t="str">
        <f>IF(ISERROR(FIND('112'!$M$9,G4516,1)),"",IF((AND(LEFT(G4516,2)=LEFT('112'!$M$9,2),B4516&lt;'112'!$K$9,$N4516='112'!$I$6)),"x",""))</f>
        <v/>
      </c>
      <c r="V4516" s="79" t="str">
        <f>IF(ISERROR(FIND('112'!$M$9,G4516,1)),"",IF((AND(RIGHT(G4516,2)=RIGHT('112'!$M$9,2),B4516&lt;'112'!$K$9,$O4516='112'!$I$6)),"x",""))</f>
        <v/>
      </c>
      <c r="W4516" s="79" t="str">
        <f>IF(AND('341-CT'!$H$9=H4516,OR(LEFT(N4516,3)=$W$7,LEFT(O4516,3)=$W$7)),"x","")</f>
        <v/>
      </c>
      <c r="X4516" s="79" t="str">
        <f>IF(OR(TH!N4516=TH!$X$7,O4516=TH!$X$7),"x","")</f>
        <v/>
      </c>
      <c r="Y4516" s="79" t="str">
        <f>IF(AND(OR(N4516="131",O4516="131"),H4516='131-CT'!$H$9),"x","")</f>
        <v/>
      </c>
      <c r="Z4516" s="79"/>
      <c r="AA4516" s="79" t="str">
        <f>IF(AND(MONTH(E4516)='IN-NX'!$J$5,'IN-NX'!$D$7=D4516),"x","")</f>
        <v/>
      </c>
      <c r="AB4516" s="79" t="str">
        <f>IF(AND(OR(LEFT(TH!N4516,2)="15",LEFT(TH!O4516,2)="15"),LEFT(TH!O4516,3)&lt;&gt;"111",'152-CT'!$J$8=TH!F4516),"x","")</f>
        <v/>
      </c>
      <c r="AC4516" s="79" t="str">
        <f>IF(AND(OR(LEFT(TH!N4516,2)="15",LEFT(TH!O4516,2)="15"),TK!$E$7=TH!F4516),"x","")</f>
        <v/>
      </c>
      <c r="AD4516" s="79" t="str">
        <f>IF(AND(N4516="1521",MONTH(C4516)='BK-NL'!$M$11),"x","")</f>
        <v/>
      </c>
    </row>
    <row r="4517" spans="1:30" ht="16.5" customHeight="1">
      <c r="A4517" s="318" t="str">
        <f>IF(B4517&lt;&gt;"",IF(AND(B4517='[3]IN-TC'!$S$4,OR([3]TH!N3748="1111",[3]TH!O3748="1111")),[3]TH!D3748,""),"")</f>
        <v/>
      </c>
      <c r="B4517" s="60" t="str">
        <f t="shared" si="474"/>
        <v/>
      </c>
      <c r="C4517" s="301"/>
      <c r="D4517" s="301"/>
      <c r="E4517" s="301"/>
      <c r="F4517" s="69"/>
      <c r="G4517" s="302"/>
      <c r="H4517" s="303"/>
      <c r="I4517" s="385"/>
      <c r="J4517" s="392"/>
      <c r="K4517" s="385"/>
      <c r="L4517" s="392"/>
      <c r="M4517" s="62"/>
      <c r="N4517" s="304"/>
      <c r="O4517" s="63"/>
      <c r="P4517" s="79" t="str">
        <f>IF(AND('331-CT'!$E$7=TH!H4517,OR(N4517="331",O4517="331")),"x","")</f>
        <v/>
      </c>
      <c r="Q4517" s="79" t="str">
        <f>IF(AND(B4517='111'!$L$11,OR($N4517=$Q$7,$O4517=$Q$7)),"x","")</f>
        <v/>
      </c>
      <c r="R4517" s="79" t="str">
        <f>IF(AND($N4517=$Q$7,$B4517&lt;'111'!$L$11),"x","")</f>
        <v/>
      </c>
      <c r="S4517" s="79" t="str">
        <f>IF(AND($O4517=$Q$7,$B4517&lt;'111'!$L$11),"x","")</f>
        <v/>
      </c>
      <c r="T4517" s="79" t="str">
        <f>IF(ISERROR(FIND('112'!$M$9,G4517,1)),"",IF((AND(FIND('112'!$M$9,G4517,1)&gt;=1,B4517='112'!$K$9,OR($N4517='112'!$I$6,$O4517='112'!$I$6))),"x",""))</f>
        <v/>
      </c>
      <c r="U4517" s="79" t="str">
        <f>IF(ISERROR(FIND('112'!$M$9,G4517,1)),"",IF((AND(LEFT(G4517,2)=LEFT('112'!$M$9,2),B4517&lt;'112'!$K$9,$N4517='112'!$I$6)),"x",""))</f>
        <v/>
      </c>
      <c r="V4517" s="79" t="str">
        <f>IF(ISERROR(FIND('112'!$M$9,G4517,1)),"",IF((AND(RIGHT(G4517,2)=RIGHT('112'!$M$9,2),B4517&lt;'112'!$K$9,$O4517='112'!$I$6)),"x",""))</f>
        <v/>
      </c>
      <c r="W4517" s="79" t="str">
        <f>IF(AND('341-CT'!$H$9=H4517,OR(LEFT(N4517,3)=$W$7,LEFT(O4517,3)=$W$7)),"x","")</f>
        <v/>
      </c>
      <c r="X4517" s="79" t="str">
        <f>IF(OR(TH!N4517=TH!$X$7,O4517=TH!$X$7),"x","")</f>
        <v/>
      </c>
      <c r="Y4517" s="79" t="str">
        <f>IF(AND(OR(N4517="131",O4517="131"),H4517='131-CT'!$H$9),"x","")</f>
        <v/>
      </c>
      <c r="Z4517" s="79"/>
      <c r="AA4517" s="79" t="str">
        <f>IF(AND(MONTH(E4517)='IN-NX'!$J$5,'IN-NX'!$D$7=D4517),"x","")</f>
        <v/>
      </c>
      <c r="AB4517" s="79" t="str">
        <f>IF(AND(OR(LEFT(TH!N4517,2)="15",LEFT(TH!O4517,2)="15"),LEFT(TH!O4517,3)&lt;&gt;"111",'152-CT'!$J$8=TH!F4517),"x","")</f>
        <v/>
      </c>
      <c r="AC4517" s="79" t="str">
        <f>IF(AND(OR(LEFT(TH!N4517,2)="15",LEFT(TH!O4517,2)="15"),TK!$E$7=TH!F4517),"x","")</f>
        <v/>
      </c>
      <c r="AD4517" s="79" t="str">
        <f>IF(AND(N4517="1521",MONTH(C4517)='BK-NL'!$M$11),"x","")</f>
        <v/>
      </c>
    </row>
    <row r="4518" spans="1:30" s="1101" customFormat="1" ht="16.5" customHeight="1">
      <c r="A4518" s="318" t="str">
        <f>IF(B4518&lt;&gt;"",IF(AND(B4518='[3]IN-TC'!$S$4,OR([3]TH!N3749="1111",[3]TH!O3749="1111")),[3]TH!D3749,""),"")</f>
        <v/>
      </c>
      <c r="B4518" s="60" t="str">
        <f t="shared" si="474"/>
        <v/>
      </c>
      <c r="C4518" s="61"/>
      <c r="D4518" s="301"/>
      <c r="E4518" s="61"/>
      <c r="F4518" s="947"/>
      <c r="G4518" s="302"/>
      <c r="H4518" s="69"/>
      <c r="I4518" s="385"/>
      <c r="J4518" s="392"/>
      <c r="K4518" s="385"/>
      <c r="L4518" s="392"/>
      <c r="M4518" s="62"/>
      <c r="N4518" s="63"/>
      <c r="O4518" s="63"/>
      <c r="P4518" s="79" t="str">
        <f>IF(AND('331-CT'!$E$7=TH!H4518,OR(N4518="331",O4518="331")),"x","")</f>
        <v/>
      </c>
      <c r="Q4518" s="79" t="str">
        <f>IF(AND(B4518='111'!$L$11,OR($N4518=$Q$7,$O4518=$Q$7)),"x","")</f>
        <v/>
      </c>
      <c r="R4518" s="79" t="str">
        <f>IF(AND($N4518=$Q$7,$B4518&lt;'111'!$L$11),"x","")</f>
        <v/>
      </c>
      <c r="S4518" s="79" t="str">
        <f>IF(AND($O4518=$Q$7,$B4518&lt;'111'!$L$11),"x","")</f>
        <v/>
      </c>
      <c r="T4518" s="79" t="str">
        <f>IF(ISERROR(FIND('112'!$M$9,G4518,1)),"",IF((AND(FIND('112'!$M$9,G4518,1)&gt;=1,B4518='112'!$K$9,OR($N4518='112'!$I$6,$O4518='112'!$I$6))),"x",""))</f>
        <v/>
      </c>
      <c r="U4518" s="79" t="str">
        <f>IF(ISERROR(FIND('112'!$M$9,G4518,1)),"",IF((AND(LEFT(G4518,2)=LEFT('112'!$M$9,2),B4518&lt;'112'!$K$9,$N4518='112'!$I$6)),"x",""))</f>
        <v/>
      </c>
      <c r="V4518" s="79" t="str">
        <f>IF(ISERROR(FIND('112'!$M$9,G4518,1)),"",IF((AND(RIGHT(G4518,2)=RIGHT('112'!$M$9,2),B4518&lt;'112'!$K$9,$O4518='112'!$I$6)),"x",""))</f>
        <v/>
      </c>
      <c r="W4518" s="79" t="str">
        <f>IF(AND('341-CT'!$H$9=H4518,OR(LEFT(N4518,3)=$W$7,LEFT(O4518,3)=$W$7)),"x","")</f>
        <v/>
      </c>
      <c r="X4518" s="79" t="str">
        <f>IF(OR(TH!N4518=TH!$X$7,O4518=TH!$X$7),"x","")</f>
        <v/>
      </c>
      <c r="Y4518" s="79" t="str">
        <f>IF(AND(OR(N4518="131",O4518="131"),H4518='131-CT'!$H$9),"x","")</f>
        <v/>
      </c>
      <c r="Z4518" s="79"/>
      <c r="AA4518" s="79" t="str">
        <f>IF(AND(MONTH(E4518)='IN-NX'!$J$5,'IN-NX'!$D$7=D4518),"x","")</f>
        <v/>
      </c>
      <c r="AB4518" s="79" t="str">
        <f>IF(AND(OR(LEFT(TH!N4518,2)="15",LEFT(TH!O4518,2)="15"),LEFT(TH!O4518,3)&lt;&gt;"111",'152-CT'!$J$8=TH!F4518),"x","")</f>
        <v/>
      </c>
      <c r="AC4518" s="79" t="str">
        <f>IF(AND(OR(LEFT(TH!N4518,2)="15",LEFT(TH!O4518,2)="15"),TK!$E$7=TH!F4518),"x","")</f>
        <v/>
      </c>
      <c r="AD4518" s="79" t="str">
        <f>IF(AND(N4518="1521",MONTH(C4518)='BK-NL'!$M$11),"x","")</f>
        <v/>
      </c>
    </row>
    <row r="4519" spans="1:30" ht="16.5" customHeight="1">
      <c r="A4519" s="318" t="str">
        <f>IF(B4519&lt;&gt;"",IF(AND(B4519='[3]IN-TC'!$S$4,OR([3]TH!N3750="1111",[3]TH!O3750="1111")),[3]TH!D3750,""),"")</f>
        <v/>
      </c>
      <c r="B4519" s="60" t="str">
        <f t="shared" si="474"/>
        <v/>
      </c>
      <c r="C4519" s="301"/>
      <c r="D4519" s="301"/>
      <c r="E4519" s="301"/>
      <c r="F4519" s="69"/>
      <c r="G4519" s="302"/>
      <c r="H4519" s="303"/>
      <c r="I4519" s="385"/>
      <c r="J4519" s="392"/>
      <c r="K4519" s="385"/>
      <c r="L4519" s="392"/>
      <c r="M4519" s="62"/>
      <c r="N4519" s="304"/>
      <c r="O4519" s="63"/>
      <c r="P4519" s="79" t="str">
        <f>IF(AND('331-CT'!$E$7=TH!H4519,OR(N4519="331",O4519="331")),"x","")</f>
        <v/>
      </c>
      <c r="Q4519" s="79" t="str">
        <f>IF(AND(B4519='111'!$L$11,OR($N4519=$Q$7,$O4519=$Q$7)),"x","")</f>
        <v/>
      </c>
      <c r="R4519" s="79" t="str">
        <f>IF(AND($N4519=$Q$7,$B4519&lt;'111'!$L$11),"x","")</f>
        <v/>
      </c>
      <c r="S4519" s="79" t="str">
        <f>IF(AND($O4519=$Q$7,$B4519&lt;'111'!$L$11),"x","")</f>
        <v/>
      </c>
      <c r="T4519" s="79" t="str">
        <f>IF(ISERROR(FIND('112'!$M$9,G4519,1)),"",IF((AND(FIND('112'!$M$9,G4519,1)&gt;=1,B4519='112'!$K$9,OR($N4519='112'!$I$6,$O4519='112'!$I$6))),"x",""))</f>
        <v/>
      </c>
      <c r="U4519" s="79" t="str">
        <f>IF(ISERROR(FIND('112'!$M$9,G4519,1)),"",IF((AND(LEFT(G4519,2)=LEFT('112'!$M$9,2),B4519&lt;'112'!$K$9,$N4519='112'!$I$6)),"x",""))</f>
        <v/>
      </c>
      <c r="V4519" s="79" t="str">
        <f>IF(ISERROR(FIND('112'!$M$9,G4519,1)),"",IF((AND(RIGHT(G4519,2)=RIGHT('112'!$M$9,2),B4519&lt;'112'!$K$9,$O4519='112'!$I$6)),"x",""))</f>
        <v/>
      </c>
      <c r="W4519" s="79" t="str">
        <f>IF(AND('341-CT'!$H$9=H4519,OR(LEFT(N4519,3)=$W$7,LEFT(O4519,3)=$W$7)),"x","")</f>
        <v/>
      </c>
      <c r="X4519" s="79" t="str">
        <f>IF(OR(TH!N4519=TH!$X$7,O4519=TH!$X$7),"x","")</f>
        <v/>
      </c>
      <c r="Y4519" s="79" t="str">
        <f>IF(AND(OR(N4519="131",O4519="131"),H4519='131-CT'!$H$9),"x","")</f>
        <v/>
      </c>
      <c r="Z4519" s="79"/>
      <c r="AA4519" s="79" t="str">
        <f>IF(AND(MONTH(E4519)='IN-NX'!$J$5,'IN-NX'!$D$7=D4519),"x","")</f>
        <v/>
      </c>
      <c r="AB4519" s="79" t="str">
        <f>IF(AND(OR(LEFT(TH!N4519,2)="15",LEFT(TH!O4519,2)="15"),LEFT(TH!O4519,3)&lt;&gt;"111",'152-CT'!$J$8=TH!F4519),"x","")</f>
        <v/>
      </c>
      <c r="AC4519" s="79" t="str">
        <f>IF(AND(OR(LEFT(TH!N4519,2)="15",LEFT(TH!O4519,2)="15"),TK!$E$7=TH!F4519),"x","")</f>
        <v/>
      </c>
      <c r="AD4519" s="79" t="str">
        <f>IF(AND(N4519="1521",MONTH(C4519)='BK-NL'!$M$11),"x","")</f>
        <v/>
      </c>
    </row>
    <row r="4520" spans="1:30" s="1101" customFormat="1" ht="16.5" customHeight="1">
      <c r="A4520" s="318" t="str">
        <f>IF(B4520&lt;&gt;"",IF(AND(B4520='[3]IN-TC'!$S$4,OR([3]TH!N3751="1111",[3]TH!O3751="1111")),[3]TH!D3751,""),"")</f>
        <v/>
      </c>
      <c r="B4520" s="60" t="str">
        <f>IF(C4520&lt;&gt;"",MONTH(C4520),"")</f>
        <v/>
      </c>
      <c r="C4520" s="61"/>
      <c r="D4520" s="61"/>
      <c r="E4520" s="61"/>
      <c r="F4520" s="302"/>
      <c r="G4520" s="302"/>
      <c r="H4520" s="303"/>
      <c r="I4520" s="385"/>
      <c r="J4520" s="392"/>
      <c r="K4520" s="385"/>
      <c r="L4520" s="392"/>
      <c r="M4520" s="970"/>
      <c r="N4520" s="63"/>
      <c r="O4520" s="63"/>
      <c r="P4520" s="79" t="str">
        <f>IF(AND('331-CT'!$E$7=TH!H4520,OR(N4520="331",O4520="331")),"x","")</f>
        <v/>
      </c>
      <c r="Q4520" s="79" t="str">
        <f>IF(AND(B4520='111'!$L$11,OR($N4520=$Q$7,$O4520=$Q$7)),"x","")</f>
        <v/>
      </c>
      <c r="R4520" s="79" t="str">
        <f>IF(AND($N4520=$Q$7,$B4520&lt;'111'!$L$11),"x","")</f>
        <v/>
      </c>
      <c r="S4520" s="79" t="str">
        <f>IF(AND($O4520=$Q$7,$B4520&lt;'111'!$L$11),"x","")</f>
        <v/>
      </c>
      <c r="T4520" s="79" t="str">
        <f>IF(ISERROR(FIND('112'!$M$9,G4520,1)),"",IF((AND(FIND('112'!$M$9,G4520,1)&gt;=1,B4520='112'!$K$9,OR($N4520='112'!$I$6,$O4520='112'!$I$6))),"x",""))</f>
        <v/>
      </c>
      <c r="U4520" s="79" t="str">
        <f>IF(ISERROR(FIND('112'!$M$9,G4520,1)),"",IF((AND(LEFT(G4520,2)=LEFT('112'!$M$9,2),B4520&lt;'112'!$K$9,$N4520='112'!$I$6)),"x",""))</f>
        <v/>
      </c>
      <c r="V4520" s="79" t="str">
        <f>IF(ISERROR(FIND('112'!$M$9,G4520,1)),"",IF((AND(RIGHT(G4520,2)=RIGHT('112'!$M$9,2),B4520&lt;'112'!$K$9,$O4520='112'!$I$6)),"x",""))</f>
        <v/>
      </c>
      <c r="W4520" s="79" t="str">
        <f>IF(AND('341-CT'!$H$9=H4520,OR(LEFT(N4520,3)=$W$7,LEFT(O4520,3)=$W$7)),"x","")</f>
        <v/>
      </c>
      <c r="X4520" s="79" t="str">
        <f>IF(OR(TH!N4520=TH!$X$7,O4520=TH!$X$7),"x","")</f>
        <v/>
      </c>
      <c r="Y4520" s="79" t="str">
        <f>IF(AND(OR(N4520="131",O4520="131"),H4520='131-CT'!$H$9),"x","")</f>
        <v/>
      </c>
      <c r="Z4520" s="79"/>
      <c r="AA4520" s="79" t="str">
        <f>IF(AND(MONTH(E4520)='IN-NX'!$J$5,'IN-NX'!$D$7=D4520),"x","")</f>
        <v/>
      </c>
      <c r="AB4520" s="79" t="str">
        <f>IF(AND(OR(LEFT(TH!N4520,2)="15",LEFT(TH!O4520,2)="15"),LEFT(TH!O4520,3)&lt;&gt;"111",'152-CT'!$J$8=TH!F4520),"x","")</f>
        <v/>
      </c>
      <c r="AC4520" s="79" t="str">
        <f>IF(AND(OR(LEFT(TH!N4520,2)="15",LEFT(TH!O4520,2)="15"),TK!$E$7=TH!F4520),"x","")</f>
        <v/>
      </c>
      <c r="AD4520" s="79" t="str">
        <f>IF(AND(N4520="1521",MONTH(C4520)='BK-NL'!$M$11),"x","")</f>
        <v/>
      </c>
    </row>
    <row r="4521" spans="1:30" s="1101" customFormat="1" ht="16.5" customHeight="1">
      <c r="A4521" s="318" t="str">
        <f>IF(B4521&lt;&gt;"",IF(AND(B4521='[3]IN-TC'!$S$4,OR([3]TH!N3752="1111",[3]TH!O3752="1111")),[3]TH!D3752,""),"")</f>
        <v/>
      </c>
      <c r="B4521" s="60" t="str">
        <f t="shared" si="474"/>
        <v/>
      </c>
      <c r="C4521" s="301"/>
      <c r="D4521" s="301"/>
      <c r="E4521" s="301"/>
      <c r="F4521" s="302"/>
      <c r="G4521" s="988"/>
      <c r="H4521" s="69"/>
      <c r="I4521" s="385"/>
      <c r="J4521" s="969"/>
      <c r="K4521" s="385"/>
      <c r="L4521" s="392"/>
      <c r="M4521" s="970"/>
      <c r="N4521" s="304"/>
      <c r="O4521" s="304"/>
      <c r="P4521" s="79" t="str">
        <f>IF(AND('331-CT'!$E$7=TH!H4521,OR(N4521="331",O4521="331")),"x","")</f>
        <v/>
      </c>
      <c r="Q4521" s="79" t="str">
        <f>IF(AND(B4521='111'!$L$11,OR($N4521=$Q$7,$O4521=$Q$7)),"x","")</f>
        <v/>
      </c>
      <c r="R4521" s="79" t="str">
        <f>IF(AND($N4521=$Q$7,$B4521&lt;'111'!$L$11),"x","")</f>
        <v/>
      </c>
      <c r="S4521" s="79" t="str">
        <f>IF(AND($O4521=$Q$7,$B4521&lt;'111'!$L$11),"x","")</f>
        <v/>
      </c>
      <c r="T4521" s="79" t="str">
        <f>IF(ISERROR(FIND('112'!$M$9,G4521,1)),"",IF((AND(FIND('112'!$M$9,G4521,1)&gt;=1,B4521='112'!$K$9,OR($N4521='112'!$I$6,$O4521='112'!$I$6))),"x",""))</f>
        <v/>
      </c>
      <c r="U4521" s="79" t="str">
        <f>IF(ISERROR(FIND('112'!$M$9,G4521,1)),"",IF((AND(LEFT(G4521,2)=LEFT('112'!$M$9,2),B4521&lt;'112'!$K$9,$N4521='112'!$I$6)),"x",""))</f>
        <v/>
      </c>
      <c r="V4521" s="79" t="str">
        <f>IF(ISERROR(FIND('112'!$M$9,G4521,1)),"",IF((AND(RIGHT(G4521,2)=RIGHT('112'!$M$9,2),B4521&lt;'112'!$K$9,$O4521='112'!$I$6)),"x",""))</f>
        <v/>
      </c>
      <c r="W4521" s="79" t="str">
        <f>IF(AND('341-CT'!$H$9=H4521,OR(LEFT(N4521,3)=$W$7,LEFT(O4521,3)=$W$7)),"x","")</f>
        <v/>
      </c>
      <c r="X4521" s="79" t="str">
        <f>IF(OR(TH!N4521=TH!$X$7,O4521=TH!$X$7),"x","")</f>
        <v/>
      </c>
      <c r="Y4521" s="79" t="str">
        <f>IF(AND(OR(N4521="131",O4521="131"),H4521='131-CT'!$H$9),"x","")</f>
        <v/>
      </c>
      <c r="Z4521" s="79"/>
      <c r="AA4521" s="79" t="str">
        <f>IF(AND(MONTH(E4521)='IN-NX'!$J$5,'IN-NX'!$D$7=D4521),"x","")</f>
        <v/>
      </c>
      <c r="AB4521" s="79" t="str">
        <f>IF(AND(OR(LEFT(TH!N4521,2)="15",LEFT(TH!O4521,2)="15"),LEFT(TH!O4521,3)&lt;&gt;"111",'152-CT'!$J$8=TH!F4521),"x","")</f>
        <v/>
      </c>
      <c r="AC4521" s="79" t="str">
        <f>IF(AND(OR(LEFT(TH!N4521,2)="15",LEFT(TH!O4521,2)="15"),TK!$E$7=TH!F4521),"x","")</f>
        <v/>
      </c>
      <c r="AD4521" s="79" t="str">
        <f>IF(AND(N4521="1521",MONTH(C4521)='BK-NL'!$M$11),"x","")</f>
        <v/>
      </c>
    </row>
    <row r="4522" spans="1:30" ht="16.5" customHeight="1">
      <c r="A4522" s="318" t="str">
        <f>IF(B4522&lt;&gt;"",IF(AND(B4522='[3]IN-TC'!$S$4,OR([3]TH!N3753="1111",[3]TH!O3753="1111")),[3]TH!D3753,""),"")</f>
        <v/>
      </c>
      <c r="B4522" s="60" t="str">
        <f t="shared" si="474"/>
        <v/>
      </c>
      <c r="C4522" s="301"/>
      <c r="D4522" s="301"/>
      <c r="E4522" s="301"/>
      <c r="F4522" s="69"/>
      <c r="G4522" s="302"/>
      <c r="H4522" s="303"/>
      <c r="I4522" s="385"/>
      <c r="J4522" s="392"/>
      <c r="K4522" s="385"/>
      <c r="L4522" s="392"/>
      <c r="M4522" s="62"/>
      <c r="N4522" s="304"/>
      <c r="O4522" s="63"/>
      <c r="P4522" s="79" t="str">
        <f>IF(AND('331-CT'!$E$7=TH!H4522,OR(N4522="331",O4522="331")),"x","")</f>
        <v/>
      </c>
      <c r="Q4522" s="79" t="str">
        <f>IF(AND(B4522='111'!$L$11,OR($N4522=$Q$7,$O4522=$Q$7)),"x","")</f>
        <v/>
      </c>
      <c r="R4522" s="79" t="str">
        <f>IF(AND($N4522=$Q$7,$B4522&lt;'111'!$L$11),"x","")</f>
        <v/>
      </c>
      <c r="S4522" s="79" t="str">
        <f>IF(AND($O4522=$Q$7,$B4522&lt;'111'!$L$11),"x","")</f>
        <v/>
      </c>
      <c r="T4522" s="79" t="str">
        <f>IF(ISERROR(FIND('112'!$M$9,G4522,1)),"",IF((AND(FIND('112'!$M$9,G4522,1)&gt;=1,B4522='112'!$K$9,OR($N4522='112'!$I$6,$O4522='112'!$I$6))),"x",""))</f>
        <v/>
      </c>
      <c r="U4522" s="79" t="str">
        <f>IF(ISERROR(FIND('112'!$M$9,G4522,1)),"",IF((AND(LEFT(G4522,2)=LEFT('112'!$M$9,2),B4522&lt;'112'!$K$9,$N4522='112'!$I$6)),"x",""))</f>
        <v/>
      </c>
      <c r="V4522" s="79" t="str">
        <f>IF(ISERROR(FIND('112'!$M$9,G4522,1)),"",IF((AND(RIGHT(G4522,2)=RIGHT('112'!$M$9,2),B4522&lt;'112'!$K$9,$O4522='112'!$I$6)),"x",""))</f>
        <v/>
      </c>
      <c r="W4522" s="79" t="str">
        <f>IF(AND('341-CT'!$H$9=H4522,OR(LEFT(N4522,3)=$W$7,LEFT(O4522,3)=$W$7)),"x","")</f>
        <v/>
      </c>
      <c r="X4522" s="79" t="str">
        <f>IF(OR(TH!N4522=TH!$X$7,O4522=TH!$X$7),"x","")</f>
        <v/>
      </c>
      <c r="Y4522" s="79" t="str">
        <f>IF(AND(OR(N4522="131",O4522="131"),H4522='131-CT'!$H$9),"x","")</f>
        <v/>
      </c>
      <c r="Z4522" s="79"/>
      <c r="AA4522" s="79" t="str">
        <f>IF(AND(MONTH(E4522)='IN-NX'!$J$5,'IN-NX'!$D$7=D4522),"x","")</f>
        <v/>
      </c>
      <c r="AB4522" s="79" t="str">
        <f>IF(AND(OR(LEFT(TH!N4522,2)="15",LEFT(TH!O4522,2)="15"),LEFT(TH!O4522,3)&lt;&gt;"111",'152-CT'!$J$8=TH!F4522),"x","")</f>
        <v/>
      </c>
      <c r="AC4522" s="79" t="str">
        <f>IF(AND(OR(LEFT(TH!N4522,2)="15",LEFT(TH!O4522,2)="15"),TK!$E$7=TH!F4522),"x","")</f>
        <v/>
      </c>
      <c r="AD4522" s="79" t="str">
        <f>IF(AND(N4522="1521",MONTH(C4522)='BK-NL'!$M$11),"x","")</f>
        <v/>
      </c>
    </row>
    <row r="4523" spans="1:30" ht="16.5" customHeight="1">
      <c r="A4523" s="318" t="str">
        <f>IF(B4523&lt;&gt;"",IF(AND(B4523='[3]IN-TC'!$S$4,OR([3]TH!N3754="1111",[3]TH!O3754="1111")),[3]TH!D3754,""),"")</f>
        <v/>
      </c>
      <c r="B4523" s="60" t="str">
        <f t="shared" si="474"/>
        <v/>
      </c>
      <c r="C4523" s="301"/>
      <c r="D4523" s="301"/>
      <c r="E4523" s="301"/>
      <c r="F4523" s="69"/>
      <c r="G4523" s="302"/>
      <c r="H4523" s="303"/>
      <c r="I4523" s="385"/>
      <c r="J4523" s="392"/>
      <c r="K4523" s="385"/>
      <c r="L4523" s="392"/>
      <c r="M4523" s="62"/>
      <c r="N4523" s="304"/>
      <c r="O4523" s="63"/>
      <c r="P4523" s="79" t="str">
        <f>IF(AND('331-CT'!$E$7=TH!H4523,OR(N4523="331",O4523="331")),"x","")</f>
        <v/>
      </c>
      <c r="Q4523" s="79" t="str">
        <f>IF(AND(B4523='111'!$L$11,OR($N4523=$Q$7,$O4523=$Q$7)),"x","")</f>
        <v/>
      </c>
      <c r="R4523" s="79" t="str">
        <f>IF(AND($N4523=$Q$7,$B4523&lt;'111'!$L$11),"x","")</f>
        <v/>
      </c>
      <c r="S4523" s="79" t="str">
        <f>IF(AND($O4523=$Q$7,$B4523&lt;'111'!$L$11),"x","")</f>
        <v/>
      </c>
      <c r="T4523" s="79" t="str">
        <f>IF(ISERROR(FIND('112'!$M$9,G4523,1)),"",IF((AND(FIND('112'!$M$9,G4523,1)&gt;=1,B4523='112'!$K$9,OR($N4523='112'!$I$6,$O4523='112'!$I$6))),"x",""))</f>
        <v/>
      </c>
      <c r="U4523" s="79" t="str">
        <f>IF(ISERROR(FIND('112'!$M$9,G4523,1)),"",IF((AND(LEFT(G4523,2)=LEFT('112'!$M$9,2),B4523&lt;'112'!$K$9,$N4523='112'!$I$6)),"x",""))</f>
        <v/>
      </c>
      <c r="V4523" s="79" t="str">
        <f>IF(ISERROR(FIND('112'!$M$9,G4523,1)),"",IF((AND(RIGHT(G4523,2)=RIGHT('112'!$M$9,2),B4523&lt;'112'!$K$9,$O4523='112'!$I$6)),"x",""))</f>
        <v/>
      </c>
      <c r="W4523" s="79" t="str">
        <f>IF(AND('341-CT'!$H$9=H4523,OR(LEFT(N4523,3)=$W$7,LEFT(O4523,3)=$W$7)),"x","")</f>
        <v/>
      </c>
      <c r="X4523" s="79" t="str">
        <f>IF(OR(TH!N4523=TH!$X$7,O4523=TH!$X$7),"x","")</f>
        <v/>
      </c>
      <c r="Y4523" s="79" t="str">
        <f>IF(AND(OR(N4523="131",O4523="131"),H4523='131-CT'!$H$9),"x","")</f>
        <v/>
      </c>
      <c r="Z4523" s="79"/>
      <c r="AA4523" s="79" t="str">
        <f>IF(AND(MONTH(E4523)='IN-NX'!$J$5,'IN-NX'!$D$7=D4523),"x","")</f>
        <v/>
      </c>
      <c r="AB4523" s="79" t="str">
        <f>IF(AND(OR(LEFT(TH!N4523,2)="15",LEFT(TH!O4523,2)="15"),LEFT(TH!O4523,3)&lt;&gt;"111",'152-CT'!$J$8=TH!F4523),"x","")</f>
        <v/>
      </c>
      <c r="AC4523" s="79" t="str">
        <f>IF(AND(OR(LEFT(TH!N4523,2)="15",LEFT(TH!O4523,2)="15"),TK!$E$7=TH!F4523),"x","")</f>
        <v/>
      </c>
      <c r="AD4523" s="79" t="str">
        <f>IF(AND(N4523="1521",MONTH(C4523)='BK-NL'!$M$11),"x","")</f>
        <v/>
      </c>
    </row>
    <row r="4524" spans="1:30" ht="16.5" customHeight="1">
      <c r="A4524" s="318" t="str">
        <f>IF(B4524&lt;&gt;"",IF(AND(B4524='[3]IN-TC'!$S$4,OR([3]TH!N3755="1111",[3]TH!O3755="1111")),[3]TH!D3755,""),"")</f>
        <v/>
      </c>
      <c r="B4524" s="60" t="str">
        <f t="shared" si="474"/>
        <v/>
      </c>
      <c r="C4524" s="301"/>
      <c r="D4524" s="301"/>
      <c r="E4524" s="301"/>
      <c r="F4524" s="302"/>
      <c r="G4524" s="988"/>
      <c r="H4524" s="69"/>
      <c r="I4524" s="385"/>
      <c r="J4524" s="969"/>
      <c r="K4524" s="385"/>
      <c r="L4524" s="392"/>
      <c r="M4524" s="970"/>
      <c r="N4524" s="304"/>
      <c r="O4524" s="304"/>
      <c r="P4524" s="79" t="str">
        <f>IF(AND('331-CT'!$E$7=TH!H4524,OR(N4524="331",O4524="331")),"x","")</f>
        <v/>
      </c>
      <c r="Q4524" s="79" t="str">
        <f>IF(AND(B4524='111'!$L$11,OR($N4524=$Q$7,$O4524=$Q$7)),"x","")</f>
        <v/>
      </c>
      <c r="R4524" s="79" t="str">
        <f>IF(AND($N4524=$Q$7,$B4524&lt;'111'!$L$11),"x","")</f>
        <v/>
      </c>
      <c r="S4524" s="79" t="str">
        <f>IF(AND($O4524=$Q$7,$B4524&lt;'111'!$L$11),"x","")</f>
        <v/>
      </c>
      <c r="T4524" s="79" t="str">
        <f>IF(ISERROR(FIND('112'!$M$9,G4524,1)),"",IF((AND(FIND('112'!$M$9,G4524,1)&gt;=1,B4524='112'!$K$9,OR($N4524='112'!$I$6,$O4524='112'!$I$6))),"x",""))</f>
        <v/>
      </c>
      <c r="U4524" s="79" t="str">
        <f>IF(ISERROR(FIND('112'!$M$9,G4524,1)),"",IF((AND(LEFT(G4524,2)=LEFT('112'!$M$9,2),B4524&lt;'112'!$K$9,$N4524='112'!$I$6)),"x",""))</f>
        <v/>
      </c>
      <c r="V4524" s="79" t="str">
        <f>IF(ISERROR(FIND('112'!$M$9,G4524,1)),"",IF((AND(RIGHT(G4524,2)=RIGHT('112'!$M$9,2),B4524&lt;'112'!$K$9,$O4524='112'!$I$6)),"x",""))</f>
        <v/>
      </c>
      <c r="W4524" s="79" t="str">
        <f>IF(AND('341-CT'!$H$9=H4524,OR(LEFT(N4524,3)=$W$7,LEFT(O4524,3)=$W$7)),"x","")</f>
        <v/>
      </c>
      <c r="X4524" s="79" t="str">
        <f>IF(OR(TH!N4524=TH!$X$7,O4524=TH!$X$7),"x","")</f>
        <v/>
      </c>
      <c r="Y4524" s="79" t="str">
        <f>IF(AND(OR(N4524="131",O4524="131"),H4524='131-CT'!$H$9),"x","")</f>
        <v/>
      </c>
      <c r="Z4524" s="79"/>
      <c r="AA4524" s="79" t="str">
        <f>IF(AND(MONTH(E4524)='IN-NX'!$J$5,'IN-NX'!$D$7=D4524),"x","")</f>
        <v/>
      </c>
      <c r="AB4524" s="79" t="str">
        <f>IF(AND(OR(LEFT(TH!N4524,2)="15",LEFT(TH!O4524,2)="15"),LEFT(TH!O4524,3)&lt;&gt;"111",'152-CT'!$J$8=TH!F4524),"x","")</f>
        <v/>
      </c>
      <c r="AC4524" s="79" t="str">
        <f>IF(AND(OR(LEFT(TH!N4524,2)="15",LEFT(TH!O4524,2)="15"),TK!$E$7=TH!F4524),"x","")</f>
        <v/>
      </c>
      <c r="AD4524" s="79" t="str">
        <f>IF(AND(N4524="1521",MONTH(C4524)='BK-NL'!$M$11),"x","")</f>
        <v/>
      </c>
    </row>
    <row r="4525" spans="1:30" ht="16.5" customHeight="1">
      <c r="A4525" s="318" t="str">
        <f>IF(B4525&lt;&gt;"",IF(AND(B4525='[3]IN-TC'!$S$4,OR([3]TH!N3756="1111",[3]TH!O3756="1111")),[3]TH!D3756,""),"")</f>
        <v/>
      </c>
      <c r="B4525" s="60" t="str">
        <f t="shared" si="474"/>
        <v/>
      </c>
      <c r="C4525" s="301"/>
      <c r="D4525" s="301"/>
      <c r="E4525" s="301"/>
      <c r="F4525" s="69"/>
      <c r="G4525" s="302"/>
      <c r="H4525" s="303"/>
      <c r="I4525" s="385"/>
      <c r="J4525" s="392"/>
      <c r="K4525" s="385"/>
      <c r="L4525" s="392"/>
      <c r="M4525" s="62"/>
      <c r="N4525" s="304"/>
      <c r="O4525" s="63"/>
      <c r="P4525" s="79" t="str">
        <f>IF(AND('331-CT'!$E$7=TH!H4525,OR(N4525="331",O4525="331")),"x","")</f>
        <v/>
      </c>
      <c r="Q4525" s="79" t="str">
        <f>IF(AND(B4525='111'!$L$11,OR($N4525=$Q$7,$O4525=$Q$7)),"x","")</f>
        <v/>
      </c>
      <c r="R4525" s="79" t="str">
        <f>IF(AND($N4525=$Q$7,$B4525&lt;'111'!$L$11),"x","")</f>
        <v/>
      </c>
      <c r="S4525" s="79" t="str">
        <f>IF(AND($O4525=$Q$7,$B4525&lt;'111'!$L$11),"x","")</f>
        <v/>
      </c>
      <c r="T4525" s="79" t="str">
        <f>IF(ISERROR(FIND('112'!$M$9,G4525,1)),"",IF((AND(FIND('112'!$M$9,G4525,1)&gt;=1,B4525='112'!$K$9,OR($N4525='112'!$I$6,$O4525='112'!$I$6))),"x",""))</f>
        <v/>
      </c>
      <c r="U4525" s="79" t="str">
        <f>IF(ISERROR(FIND('112'!$M$9,G4525,1)),"",IF((AND(LEFT(G4525,2)=LEFT('112'!$M$9,2),B4525&lt;'112'!$K$9,$N4525='112'!$I$6)),"x",""))</f>
        <v/>
      </c>
      <c r="V4525" s="79" t="str">
        <f>IF(ISERROR(FIND('112'!$M$9,G4525,1)),"",IF((AND(RIGHT(G4525,2)=RIGHT('112'!$M$9,2),B4525&lt;'112'!$K$9,$O4525='112'!$I$6)),"x",""))</f>
        <v/>
      </c>
      <c r="W4525" s="79" t="str">
        <f>IF(AND('341-CT'!$H$9=H4525,OR(LEFT(N4525,3)=$W$7,LEFT(O4525,3)=$W$7)),"x","")</f>
        <v/>
      </c>
      <c r="X4525" s="79" t="str">
        <f>IF(OR(TH!N4525=TH!$X$7,O4525=TH!$X$7),"x","")</f>
        <v/>
      </c>
      <c r="Y4525" s="79" t="str">
        <f>IF(AND(OR(N4525="131",O4525="131"),H4525='131-CT'!$H$9),"x","")</f>
        <v/>
      </c>
      <c r="Z4525" s="79"/>
      <c r="AA4525" s="79" t="str">
        <f>IF(AND(MONTH(E4525)='IN-NX'!$J$5,'IN-NX'!$D$7=D4525),"x","")</f>
        <v/>
      </c>
      <c r="AB4525" s="79" t="str">
        <f>IF(AND(OR(LEFT(TH!N4525,2)="15",LEFT(TH!O4525,2)="15"),LEFT(TH!O4525,3)&lt;&gt;"111",'152-CT'!$J$8=TH!F4525),"x","")</f>
        <v/>
      </c>
      <c r="AC4525" s="79" t="str">
        <f>IF(AND(OR(LEFT(TH!N4525,2)="15",LEFT(TH!O4525,2)="15"),TK!$E$7=TH!F4525),"x","")</f>
        <v/>
      </c>
      <c r="AD4525" s="79" t="str">
        <f>IF(AND(N4525="1521",MONTH(C4525)='BK-NL'!$M$11),"x","")</f>
        <v/>
      </c>
    </row>
    <row r="4526" spans="1:30" ht="16.5" customHeight="1">
      <c r="A4526" s="318" t="str">
        <f>IF(B4526&lt;&gt;"",IF(AND(B4526='[3]IN-TC'!$S$4,OR([3]TH!N3757="1111",[3]TH!O3757="1111")),[3]TH!D3757,""),"")</f>
        <v/>
      </c>
      <c r="B4526" s="60" t="str">
        <f t="shared" si="474"/>
        <v/>
      </c>
      <c r="C4526" s="61"/>
      <c r="D4526" s="61"/>
      <c r="E4526" s="61"/>
      <c r="F4526" s="302"/>
      <c r="G4526" s="302"/>
      <c r="H4526" s="1012"/>
      <c r="I4526" s="385"/>
      <c r="J4526" s="392"/>
      <c r="K4526" s="385"/>
      <c r="L4526" s="392"/>
      <c r="M4526" s="62"/>
      <c r="N4526" s="63"/>
      <c r="O4526" s="63"/>
      <c r="P4526" s="79" t="str">
        <f>IF(AND('331-CT'!$E$7=TH!H4526,OR(N4526="331",O4526="331")),"x","")</f>
        <v/>
      </c>
      <c r="Q4526" s="79" t="str">
        <f>IF(AND(B4526='111'!$L$11,OR($N4526=$Q$7,$O4526=$Q$7)),"x","")</f>
        <v/>
      </c>
      <c r="R4526" s="79" t="str">
        <f>IF(AND($N4526=$Q$7,$B4526&lt;'111'!$L$11),"x","")</f>
        <v/>
      </c>
      <c r="S4526" s="79" t="str">
        <f>IF(AND($O4526=$Q$7,$B4526&lt;'111'!$L$11),"x","")</f>
        <v/>
      </c>
      <c r="T4526" s="79" t="str">
        <f>IF(ISERROR(FIND('112'!$M$9,G4526,1)),"",IF((AND(FIND('112'!$M$9,G4526,1)&gt;=1,B4526='112'!$K$9,OR($N4526='112'!$I$6,$O4526='112'!$I$6))),"x",""))</f>
        <v/>
      </c>
      <c r="U4526" s="79" t="str">
        <f>IF(ISERROR(FIND('112'!$M$9,G4526,1)),"",IF((AND(LEFT(G4526,2)=LEFT('112'!$M$9,2),B4526&lt;'112'!$K$9,$N4526='112'!$I$6)),"x",""))</f>
        <v/>
      </c>
      <c r="V4526" s="79" t="str">
        <f>IF(ISERROR(FIND('112'!$M$9,G4526,1)),"",IF((AND(RIGHT(G4526,2)=RIGHT('112'!$M$9,2),B4526&lt;'112'!$K$9,$O4526='112'!$I$6)),"x",""))</f>
        <v/>
      </c>
      <c r="W4526" s="79" t="str">
        <f>IF(AND('341-CT'!$H$9=H4526,OR(LEFT(N4526,3)=$W$7,LEFT(O4526,3)=$W$7)),"x","")</f>
        <v/>
      </c>
      <c r="X4526" s="79" t="str">
        <f>IF(OR(TH!N4526=TH!$X$7,O4526=TH!$X$7),"x","")</f>
        <v/>
      </c>
      <c r="Y4526" s="79" t="str">
        <f>IF(AND(OR(N4526="131",O4526="131"),H4526='131-CT'!$H$9),"x","")</f>
        <v/>
      </c>
      <c r="Z4526" s="79"/>
      <c r="AA4526" s="79" t="str">
        <f>IF(AND(MONTH(E4526)='IN-NX'!$J$5,'IN-NX'!$D$7=D4526),"x","")</f>
        <v/>
      </c>
      <c r="AB4526" s="79" t="str">
        <f>IF(AND(OR(LEFT(TH!N4526,2)="15",LEFT(TH!O4526,2)="15"),LEFT(TH!O4526,3)&lt;&gt;"111",'152-CT'!$J$8=TH!F4526),"x","")</f>
        <v/>
      </c>
      <c r="AC4526" s="79" t="str">
        <f>IF(AND(OR(LEFT(TH!N4526,2)="15",LEFT(TH!O4526,2)="15"),TK!$E$7=TH!F4526),"x","")</f>
        <v/>
      </c>
      <c r="AD4526" s="79" t="str">
        <f>IF(AND(N4526="1521",MONTH(C4526)='BK-NL'!$M$11),"x","")</f>
        <v/>
      </c>
    </row>
    <row r="4527" spans="1:30" ht="16.5" customHeight="1">
      <c r="A4527" s="318" t="str">
        <f>IF(B4527&lt;&gt;"",IF(AND(B4527='[3]IN-TC'!$S$4,OR([3]TH!N3758="1111",[3]TH!O3758="1111")),[3]TH!D3758,""),"")</f>
        <v/>
      </c>
      <c r="B4527" s="60" t="str">
        <f t="shared" si="474"/>
        <v/>
      </c>
      <c r="C4527" s="61"/>
      <c r="D4527" s="61"/>
      <c r="E4527" s="61"/>
      <c r="F4527" s="302"/>
      <c r="G4527" s="302"/>
      <c r="H4527" s="303"/>
      <c r="I4527" s="385"/>
      <c r="J4527" s="392"/>
      <c r="K4527" s="385"/>
      <c r="L4527" s="392"/>
      <c r="M4527" s="62"/>
      <c r="N4527" s="63"/>
      <c r="O4527" s="63"/>
      <c r="P4527" s="79" t="str">
        <f>IF(AND('331-CT'!$E$7=TH!H4527,OR(N4527="331",O4527="331")),"x","")</f>
        <v/>
      </c>
      <c r="Q4527" s="79" t="str">
        <f>IF(AND(B4527='111'!$L$11,OR($N4527=$Q$7,$O4527=$Q$7)),"x","")</f>
        <v/>
      </c>
      <c r="R4527" s="79" t="str">
        <f>IF(AND($N4527=$Q$7,$B4527&lt;'111'!$L$11),"x","")</f>
        <v/>
      </c>
      <c r="S4527" s="79" t="str">
        <f>IF(AND($O4527=$Q$7,$B4527&lt;'111'!$L$11),"x","")</f>
        <v/>
      </c>
      <c r="T4527" s="79" t="str">
        <f>IF(ISERROR(FIND('112'!$M$9,G4527,1)),"",IF((AND(FIND('112'!$M$9,G4527,1)&gt;=1,B4527='112'!$K$9,OR($N4527='112'!$I$6,$O4527='112'!$I$6))),"x",""))</f>
        <v/>
      </c>
      <c r="U4527" s="79" t="str">
        <f>IF(ISERROR(FIND('112'!$M$9,G4527,1)),"",IF((AND(LEFT(G4527,2)=LEFT('112'!$M$9,2),B4527&lt;'112'!$K$9,$N4527='112'!$I$6)),"x",""))</f>
        <v/>
      </c>
      <c r="V4527" s="79" t="str">
        <f>IF(ISERROR(FIND('112'!$M$9,G4527,1)),"",IF((AND(RIGHT(G4527,2)=RIGHT('112'!$M$9,2),B4527&lt;'112'!$K$9,$O4527='112'!$I$6)),"x",""))</f>
        <v/>
      </c>
      <c r="W4527" s="79" t="str">
        <f>IF(AND('341-CT'!$H$9=H4527,OR(LEFT(N4527,3)=$W$7,LEFT(O4527,3)=$W$7)),"x","")</f>
        <v/>
      </c>
      <c r="X4527" s="79" t="str">
        <f>IF(OR(TH!N4527=TH!$X$7,O4527=TH!$X$7),"x","")</f>
        <v/>
      </c>
      <c r="Y4527" s="79" t="str">
        <f>IF(AND(OR(N4527="131",O4527="131"),H4527='131-CT'!$H$9),"x","")</f>
        <v/>
      </c>
      <c r="Z4527" s="79"/>
      <c r="AA4527" s="79" t="str">
        <f>IF(AND(MONTH(E4527)='IN-NX'!$J$5,'IN-NX'!$D$7=D4527),"x","")</f>
        <v/>
      </c>
      <c r="AB4527" s="79" t="str">
        <f>IF(AND(OR(LEFT(TH!N4527,2)="15",LEFT(TH!O4527,2)="15"),LEFT(TH!O4527,3)&lt;&gt;"111",'152-CT'!$J$8=TH!F4527),"x","")</f>
        <v/>
      </c>
      <c r="AC4527" s="79" t="str">
        <f>IF(AND(OR(LEFT(TH!N4527,2)="15",LEFT(TH!O4527,2)="15"),TK!$E$7=TH!F4527),"x","")</f>
        <v/>
      </c>
      <c r="AD4527" s="79" t="str">
        <f>IF(AND(N4527="1521",MONTH(C4527)='BK-NL'!$M$11),"x","")</f>
        <v/>
      </c>
    </row>
    <row r="4528" spans="1:30" s="1101" customFormat="1" ht="16.5" customHeight="1">
      <c r="A4528" s="318" t="str">
        <f>IF(B4528&lt;&gt;"",IF(AND(B4528='[3]IN-TC'!$S$4,OR([3]TH!N3759="1111",[3]TH!O3759="1111")),[3]TH!D3759,""),"")</f>
        <v/>
      </c>
      <c r="B4528" s="60" t="str">
        <f t="shared" si="474"/>
        <v/>
      </c>
      <c r="C4528" s="61"/>
      <c r="D4528" s="301"/>
      <c r="E4528" s="61"/>
      <c r="F4528" s="947"/>
      <c r="G4528" s="302"/>
      <c r="H4528" s="69"/>
      <c r="I4528" s="385"/>
      <c r="J4528" s="392"/>
      <c r="K4528" s="385"/>
      <c r="L4528" s="392"/>
      <c r="M4528" s="62"/>
      <c r="N4528" s="63"/>
      <c r="O4528" s="63"/>
      <c r="P4528" s="79" t="str">
        <f>IF(AND('331-CT'!$E$7=TH!H4528,OR(N4528="331",O4528="331")),"x","")</f>
        <v/>
      </c>
      <c r="Q4528" s="79" t="str">
        <f>IF(AND(B4528='111'!$L$11,OR($N4528=$Q$7,$O4528=$Q$7)),"x","")</f>
        <v/>
      </c>
      <c r="R4528" s="79" t="str">
        <f>IF(AND($N4528=$Q$7,$B4528&lt;'111'!$L$11),"x","")</f>
        <v/>
      </c>
      <c r="S4528" s="79" t="str">
        <f>IF(AND($O4528=$Q$7,$B4528&lt;'111'!$L$11),"x","")</f>
        <v/>
      </c>
      <c r="T4528" s="79" t="str">
        <f>IF(ISERROR(FIND('112'!$M$9,G4528,1)),"",IF((AND(FIND('112'!$M$9,G4528,1)&gt;=1,B4528='112'!$K$9,OR($N4528='112'!$I$6,$O4528='112'!$I$6))),"x",""))</f>
        <v/>
      </c>
      <c r="U4528" s="79" t="str">
        <f>IF(ISERROR(FIND('112'!$M$9,G4528,1)),"",IF((AND(LEFT(G4528,2)=LEFT('112'!$M$9,2),B4528&lt;'112'!$K$9,$N4528='112'!$I$6)),"x",""))</f>
        <v/>
      </c>
      <c r="V4528" s="79" t="str">
        <f>IF(ISERROR(FIND('112'!$M$9,G4528,1)),"",IF((AND(RIGHT(G4528,2)=RIGHT('112'!$M$9,2),B4528&lt;'112'!$K$9,$O4528='112'!$I$6)),"x",""))</f>
        <v/>
      </c>
      <c r="W4528" s="79" t="str">
        <f>IF(AND('341-CT'!$H$9=H4528,OR(LEFT(N4528,3)=$W$7,LEFT(O4528,3)=$W$7)),"x","")</f>
        <v/>
      </c>
      <c r="X4528" s="79" t="str">
        <f>IF(OR(TH!N4528=TH!$X$7,O4528=TH!$X$7),"x","")</f>
        <v/>
      </c>
      <c r="Y4528" s="79" t="str">
        <f>IF(AND(OR(N4528="131",O4528="131"),H4528='131-CT'!$H$9),"x","")</f>
        <v/>
      </c>
      <c r="Z4528" s="79"/>
      <c r="AA4528" s="79" t="str">
        <f>IF(AND(MONTH(E4528)='IN-NX'!$J$5,'IN-NX'!$D$7=D4528),"x","")</f>
        <v/>
      </c>
      <c r="AB4528" s="79" t="str">
        <f>IF(AND(OR(LEFT(TH!N4528,2)="15",LEFT(TH!O4528,2)="15"),LEFT(TH!O4528,3)&lt;&gt;"111",'152-CT'!$J$8=TH!F4528),"x","")</f>
        <v/>
      </c>
      <c r="AC4528" s="79" t="str">
        <f>IF(AND(OR(LEFT(TH!N4528,2)="15",LEFT(TH!O4528,2)="15"),TK!$E$7=TH!F4528),"x","")</f>
        <v/>
      </c>
      <c r="AD4528" s="79" t="str">
        <f>IF(AND(N4528="1521",MONTH(C4528)='BK-NL'!$M$11),"x","")</f>
        <v/>
      </c>
    </row>
    <row r="4529" spans="1:30" ht="16.5" customHeight="1">
      <c r="A4529" s="318" t="str">
        <f>IF(B4529&lt;&gt;"",IF(AND(B4529='[3]IN-TC'!$S$4,OR([3]TH!N3760="1111",[3]TH!O3760="1111")),[3]TH!D3760,""),"")</f>
        <v/>
      </c>
      <c r="B4529" s="60" t="str">
        <f t="shared" si="474"/>
        <v/>
      </c>
      <c r="C4529" s="301"/>
      <c r="D4529" s="301"/>
      <c r="E4529" s="301"/>
      <c r="F4529" s="69"/>
      <c r="G4529" s="302"/>
      <c r="H4529" s="303"/>
      <c r="I4529" s="385"/>
      <c r="J4529" s="392"/>
      <c r="K4529" s="385"/>
      <c r="L4529" s="392"/>
      <c r="M4529" s="62"/>
      <c r="N4529" s="304"/>
      <c r="O4529" s="63"/>
      <c r="P4529" s="79" t="str">
        <f>IF(AND('331-CT'!$E$7=TH!H4529,OR(N4529="331",O4529="331")),"x","")</f>
        <v/>
      </c>
      <c r="Q4529" s="79" t="str">
        <f>IF(AND(B4529='111'!$L$11,OR($N4529=$Q$7,$O4529=$Q$7)),"x","")</f>
        <v/>
      </c>
      <c r="R4529" s="79" t="str">
        <f>IF(AND($N4529=$Q$7,$B4529&lt;'111'!$L$11),"x","")</f>
        <v/>
      </c>
      <c r="S4529" s="79" t="str">
        <f>IF(AND($O4529=$Q$7,$B4529&lt;'111'!$L$11),"x","")</f>
        <v/>
      </c>
      <c r="T4529" s="79" t="str">
        <f>IF(ISERROR(FIND('112'!$M$9,G4529,1)),"",IF((AND(FIND('112'!$M$9,G4529,1)&gt;=1,B4529='112'!$K$9,OR($N4529='112'!$I$6,$O4529='112'!$I$6))),"x",""))</f>
        <v/>
      </c>
      <c r="U4529" s="79" t="str">
        <f>IF(ISERROR(FIND('112'!$M$9,G4529,1)),"",IF((AND(LEFT(G4529,2)=LEFT('112'!$M$9,2),B4529&lt;'112'!$K$9,$N4529='112'!$I$6)),"x",""))</f>
        <v/>
      </c>
      <c r="V4529" s="79" t="str">
        <f>IF(ISERROR(FIND('112'!$M$9,G4529,1)),"",IF((AND(RIGHT(G4529,2)=RIGHT('112'!$M$9,2),B4529&lt;'112'!$K$9,$O4529='112'!$I$6)),"x",""))</f>
        <v/>
      </c>
      <c r="W4529" s="79" t="str">
        <f>IF(AND('341-CT'!$H$9=H4529,OR(LEFT(N4529,3)=$W$7,LEFT(O4529,3)=$W$7)),"x","")</f>
        <v/>
      </c>
      <c r="X4529" s="79" t="str">
        <f>IF(OR(TH!N4529=TH!$X$7,O4529=TH!$X$7),"x","")</f>
        <v/>
      </c>
      <c r="Y4529" s="79" t="str">
        <f>IF(AND(OR(N4529="131",O4529="131"),H4529='131-CT'!$H$9),"x","")</f>
        <v/>
      </c>
      <c r="Z4529" s="79"/>
      <c r="AA4529" s="79" t="str">
        <f>IF(AND(MONTH(E4529)='IN-NX'!$J$5,'IN-NX'!$D$7=D4529),"x","")</f>
        <v/>
      </c>
      <c r="AB4529" s="79" t="str">
        <f>IF(AND(OR(LEFT(TH!N4529,2)="15",LEFT(TH!O4529,2)="15"),LEFT(TH!O4529,3)&lt;&gt;"111",'152-CT'!$J$8=TH!F4529),"x","")</f>
        <v/>
      </c>
      <c r="AC4529" s="79" t="str">
        <f>IF(AND(OR(LEFT(TH!N4529,2)="15",LEFT(TH!O4529,2)="15"),TK!$E$7=TH!F4529),"x","")</f>
        <v/>
      </c>
      <c r="AD4529" s="79" t="str">
        <f>IF(AND(N4529="1521",MONTH(C4529)='BK-NL'!$M$11),"x","")</f>
        <v/>
      </c>
    </row>
    <row r="4530" spans="1:30" ht="16.5" customHeight="1">
      <c r="A4530" s="318" t="str">
        <f>IF(B4530&lt;&gt;"",IF(AND(B4530='[3]IN-TC'!$S$4,OR([3]TH!N3761="1111",[3]TH!O3761="1111")),[3]TH!D3761,""),"")</f>
        <v/>
      </c>
      <c r="B4530" s="60" t="str">
        <f t="shared" si="474"/>
        <v/>
      </c>
      <c r="C4530" s="301"/>
      <c r="D4530" s="301"/>
      <c r="E4530" s="301"/>
      <c r="F4530" s="69"/>
      <c r="G4530" s="302"/>
      <c r="H4530" s="303"/>
      <c r="I4530" s="385"/>
      <c r="J4530" s="392"/>
      <c r="K4530" s="385"/>
      <c r="L4530" s="392"/>
      <c r="M4530" s="62"/>
      <c r="N4530" s="304"/>
      <c r="O4530" s="63"/>
      <c r="P4530" s="79" t="str">
        <f>IF(AND('331-CT'!$E$7=TH!H4530,OR(N4530="331",O4530="331")),"x","")</f>
        <v/>
      </c>
      <c r="Q4530" s="79" t="str">
        <f>IF(AND(B4530='111'!$L$11,OR($N4530=$Q$7,$O4530=$Q$7)),"x","")</f>
        <v/>
      </c>
      <c r="R4530" s="79" t="str">
        <f>IF(AND($N4530=$Q$7,$B4530&lt;'111'!$L$11),"x","")</f>
        <v/>
      </c>
      <c r="S4530" s="79" t="str">
        <f>IF(AND($O4530=$Q$7,$B4530&lt;'111'!$L$11),"x","")</f>
        <v/>
      </c>
      <c r="T4530" s="79" t="str">
        <f>IF(ISERROR(FIND('112'!$M$9,G4530,1)),"",IF((AND(FIND('112'!$M$9,G4530,1)&gt;=1,B4530='112'!$K$9,OR($N4530='112'!$I$6,$O4530='112'!$I$6))),"x",""))</f>
        <v/>
      </c>
      <c r="U4530" s="79" t="str">
        <f>IF(ISERROR(FIND('112'!$M$9,G4530,1)),"",IF((AND(LEFT(G4530,2)=LEFT('112'!$M$9,2),B4530&lt;'112'!$K$9,$N4530='112'!$I$6)),"x",""))</f>
        <v/>
      </c>
      <c r="V4530" s="79" t="str">
        <f>IF(ISERROR(FIND('112'!$M$9,G4530,1)),"",IF((AND(RIGHT(G4530,2)=RIGHT('112'!$M$9,2),B4530&lt;'112'!$K$9,$O4530='112'!$I$6)),"x",""))</f>
        <v/>
      </c>
      <c r="W4530" s="79" t="str">
        <f>IF(AND('341-CT'!$H$9=H4530,OR(LEFT(N4530,3)=$W$7,LEFT(O4530,3)=$W$7)),"x","")</f>
        <v/>
      </c>
      <c r="X4530" s="79" t="str">
        <f>IF(OR(TH!N4530=TH!$X$7,O4530=TH!$X$7),"x","")</f>
        <v/>
      </c>
      <c r="Y4530" s="79" t="str">
        <f>IF(AND(OR(N4530="131",O4530="131"),H4530='131-CT'!$H$9),"x","")</f>
        <v/>
      </c>
      <c r="Z4530" s="79"/>
      <c r="AA4530" s="79" t="str">
        <f>IF(AND(MONTH(E4530)='IN-NX'!$J$5,'IN-NX'!$D$7=D4530),"x","")</f>
        <v/>
      </c>
      <c r="AB4530" s="79" t="str">
        <f>IF(AND(OR(LEFT(TH!N4530,2)="15",LEFT(TH!O4530,2)="15"),LEFT(TH!O4530,3)&lt;&gt;"111",'152-CT'!$J$8=TH!F4530),"x","")</f>
        <v/>
      </c>
      <c r="AC4530" s="79" t="str">
        <f>IF(AND(OR(LEFT(TH!N4530,2)="15",LEFT(TH!O4530,2)="15"),TK!$E$7=TH!F4530),"x","")</f>
        <v/>
      </c>
      <c r="AD4530" s="79" t="str">
        <f>IF(AND(N4530="1521",MONTH(C4530)='BK-NL'!$M$11),"x","")</f>
        <v/>
      </c>
    </row>
    <row r="4531" spans="1:30" ht="16.5" customHeight="1">
      <c r="A4531" s="318" t="str">
        <f>IF(B4531&lt;&gt;"",IF(AND(B4531='[3]IN-TC'!$S$4,OR([3]TH!N3762="1111",[3]TH!O3762="1111")),[3]TH!D3762,""),"")</f>
        <v/>
      </c>
      <c r="B4531" s="60" t="str">
        <f t="shared" si="474"/>
        <v/>
      </c>
      <c r="C4531" s="301"/>
      <c r="D4531" s="301"/>
      <c r="E4531" s="301"/>
      <c r="F4531" s="69"/>
      <c r="G4531" s="302"/>
      <c r="H4531" s="303"/>
      <c r="I4531" s="385"/>
      <c r="J4531" s="392"/>
      <c r="K4531" s="385"/>
      <c r="L4531" s="392"/>
      <c r="M4531" s="62"/>
      <c r="N4531" s="304"/>
      <c r="O4531" s="63"/>
      <c r="P4531" s="79" t="str">
        <f>IF(AND('331-CT'!$E$7=TH!H4531,OR(N4531="331",O4531="331")),"x","")</f>
        <v/>
      </c>
      <c r="Q4531" s="79" t="str">
        <f>IF(AND(B4531='111'!$L$11,OR($N4531=$Q$7,$O4531=$Q$7)),"x","")</f>
        <v/>
      </c>
      <c r="R4531" s="79" t="str">
        <f>IF(AND($N4531=$Q$7,$B4531&lt;'111'!$L$11),"x","")</f>
        <v/>
      </c>
      <c r="S4531" s="79" t="str">
        <f>IF(AND($O4531=$Q$7,$B4531&lt;'111'!$L$11),"x","")</f>
        <v/>
      </c>
      <c r="T4531" s="79" t="str">
        <f>IF(ISERROR(FIND('112'!$M$9,G4531,1)),"",IF((AND(FIND('112'!$M$9,G4531,1)&gt;=1,B4531='112'!$K$9,OR($N4531='112'!$I$6,$O4531='112'!$I$6))),"x",""))</f>
        <v/>
      </c>
      <c r="U4531" s="79" t="str">
        <f>IF(ISERROR(FIND('112'!$M$9,G4531,1)),"",IF((AND(LEFT(G4531,2)=LEFT('112'!$M$9,2),B4531&lt;'112'!$K$9,$N4531='112'!$I$6)),"x",""))</f>
        <v/>
      </c>
      <c r="V4531" s="79" t="str">
        <f>IF(ISERROR(FIND('112'!$M$9,G4531,1)),"",IF((AND(RIGHT(G4531,2)=RIGHT('112'!$M$9,2),B4531&lt;'112'!$K$9,$O4531='112'!$I$6)),"x",""))</f>
        <v/>
      </c>
      <c r="W4531" s="79" t="str">
        <f>IF(AND('341-CT'!$H$9=H4531,OR(LEFT(N4531,3)=$W$7,LEFT(O4531,3)=$W$7)),"x","")</f>
        <v/>
      </c>
      <c r="X4531" s="79" t="str">
        <f>IF(OR(TH!N4531=TH!$X$7,O4531=TH!$X$7),"x","")</f>
        <v/>
      </c>
      <c r="Y4531" s="79" t="str">
        <f>IF(AND(OR(N4531="131",O4531="131"),H4531='131-CT'!$H$9),"x","")</f>
        <v/>
      </c>
      <c r="Z4531" s="79"/>
      <c r="AA4531" s="79" t="str">
        <f>IF(AND(MONTH(E4531)='IN-NX'!$J$5,'IN-NX'!$D$7=D4531),"x","")</f>
        <v/>
      </c>
      <c r="AB4531" s="79" t="str">
        <f>IF(AND(OR(LEFT(TH!N4531,2)="15",LEFT(TH!O4531,2)="15"),LEFT(TH!O4531,3)&lt;&gt;"111",'152-CT'!$J$8=TH!F4531),"x","")</f>
        <v/>
      </c>
      <c r="AC4531" s="79" t="str">
        <f>IF(AND(OR(LEFT(TH!N4531,2)="15",LEFT(TH!O4531,2)="15"),TK!$E$7=TH!F4531),"x","")</f>
        <v/>
      </c>
      <c r="AD4531" s="79" t="str">
        <f>IF(AND(N4531="1521",MONTH(C4531)='BK-NL'!$M$11),"x","")</f>
        <v/>
      </c>
    </row>
    <row r="4532" spans="1:30" ht="16.5" customHeight="1">
      <c r="A4532" s="318" t="str">
        <f>IF(B4532&lt;&gt;"",IF(AND(B4532='[3]IN-TC'!$S$4,OR([3]TH!N3763="1111",[3]TH!O3763="1111")),[3]TH!D3763,""),"")</f>
        <v/>
      </c>
      <c r="B4532" s="60" t="str">
        <f t="shared" si="474"/>
        <v/>
      </c>
      <c r="C4532" s="301"/>
      <c r="D4532" s="301"/>
      <c r="E4532" s="301"/>
      <c r="F4532" s="69"/>
      <c r="G4532" s="302"/>
      <c r="H4532" s="303"/>
      <c r="I4532" s="385"/>
      <c r="J4532" s="392"/>
      <c r="K4532" s="385"/>
      <c r="L4532" s="392"/>
      <c r="M4532" s="62"/>
      <c r="N4532" s="304"/>
      <c r="O4532" s="63"/>
      <c r="P4532" s="79" t="str">
        <f>IF(AND('331-CT'!$E$7=TH!H4532,OR(N4532="331",O4532="331")),"x","")</f>
        <v/>
      </c>
      <c r="Q4532" s="79" t="str">
        <f>IF(AND(B4532='111'!$L$11,OR($N4532=$Q$7,$O4532=$Q$7)),"x","")</f>
        <v/>
      </c>
      <c r="R4532" s="79" t="str">
        <f>IF(AND($N4532=$Q$7,$B4532&lt;'111'!$L$11),"x","")</f>
        <v/>
      </c>
      <c r="S4532" s="79" t="str">
        <f>IF(AND($O4532=$Q$7,$B4532&lt;'111'!$L$11),"x","")</f>
        <v/>
      </c>
      <c r="T4532" s="79" t="str">
        <f>IF(ISERROR(FIND('112'!$M$9,G4532,1)),"",IF((AND(FIND('112'!$M$9,G4532,1)&gt;=1,B4532='112'!$K$9,OR($N4532='112'!$I$6,$O4532='112'!$I$6))),"x",""))</f>
        <v/>
      </c>
      <c r="U4532" s="79" t="str">
        <f>IF(ISERROR(FIND('112'!$M$9,G4532,1)),"",IF((AND(LEFT(G4532,2)=LEFT('112'!$M$9,2),B4532&lt;'112'!$K$9,$N4532='112'!$I$6)),"x",""))</f>
        <v/>
      </c>
      <c r="V4532" s="79" t="str">
        <f>IF(ISERROR(FIND('112'!$M$9,G4532,1)),"",IF((AND(RIGHT(G4532,2)=RIGHT('112'!$M$9,2),B4532&lt;'112'!$K$9,$O4532='112'!$I$6)),"x",""))</f>
        <v/>
      </c>
      <c r="W4532" s="79" t="str">
        <f>IF(AND('341-CT'!$H$9=H4532,OR(LEFT(N4532,3)=$W$7,LEFT(O4532,3)=$W$7)),"x","")</f>
        <v/>
      </c>
      <c r="X4532" s="79" t="str">
        <f>IF(OR(TH!N4532=TH!$X$7,O4532=TH!$X$7),"x","")</f>
        <v/>
      </c>
      <c r="Y4532" s="79" t="str">
        <f>IF(AND(OR(N4532="131",O4532="131"),H4532='131-CT'!$H$9),"x","")</f>
        <v/>
      </c>
      <c r="Z4532" s="79"/>
      <c r="AA4532" s="79" t="str">
        <f>IF(AND(MONTH(E4532)='IN-NX'!$J$5,'IN-NX'!$D$7=D4532),"x","")</f>
        <v/>
      </c>
      <c r="AB4532" s="79" t="str">
        <f>IF(AND(OR(LEFT(TH!N4532,2)="15",LEFT(TH!O4532,2)="15"),LEFT(TH!O4532,3)&lt;&gt;"111",'152-CT'!$J$8=TH!F4532),"x","")</f>
        <v/>
      </c>
      <c r="AC4532" s="79" t="str">
        <f>IF(AND(OR(LEFT(TH!N4532,2)="15",LEFT(TH!O4532,2)="15"),TK!$E$7=TH!F4532),"x","")</f>
        <v/>
      </c>
      <c r="AD4532" s="79" t="str">
        <f>IF(AND(N4532="1521",MONTH(C4532)='BK-NL'!$M$11),"x","")</f>
        <v/>
      </c>
    </row>
    <row r="4533" spans="1:30" ht="16.5" customHeight="1">
      <c r="A4533" s="318" t="str">
        <f>IF(B4533&lt;&gt;"",IF(AND(B4533='[3]IN-TC'!$S$4,OR([3]TH!N3764="1111",[3]TH!O3764="1111")),[3]TH!D3764,""),"")</f>
        <v/>
      </c>
      <c r="B4533" s="60" t="str">
        <f t="shared" si="474"/>
        <v/>
      </c>
      <c r="C4533" s="301"/>
      <c r="D4533" s="301"/>
      <c r="E4533" s="301"/>
      <c r="F4533" s="69"/>
      <c r="G4533" s="302"/>
      <c r="H4533" s="303"/>
      <c r="I4533" s="385"/>
      <c r="J4533" s="392"/>
      <c r="K4533" s="385"/>
      <c r="L4533" s="392"/>
      <c r="M4533" s="62"/>
      <c r="N4533" s="304"/>
      <c r="O4533" s="63"/>
      <c r="P4533" s="79" t="str">
        <f>IF(AND('331-CT'!$E$7=TH!H4533,OR(N4533="331",O4533="331")),"x","")</f>
        <v/>
      </c>
      <c r="Q4533" s="79" t="str">
        <f>IF(AND(B4533='111'!$L$11,OR($N4533=$Q$7,$O4533=$Q$7)),"x","")</f>
        <v/>
      </c>
      <c r="R4533" s="79" t="str">
        <f>IF(AND($N4533=$Q$7,$B4533&lt;'111'!$L$11),"x","")</f>
        <v/>
      </c>
      <c r="S4533" s="79" t="str">
        <f>IF(AND($O4533=$Q$7,$B4533&lt;'111'!$L$11),"x","")</f>
        <v/>
      </c>
      <c r="T4533" s="79" t="str">
        <f>IF(ISERROR(FIND('112'!$M$9,G4533,1)),"",IF((AND(FIND('112'!$M$9,G4533,1)&gt;=1,B4533='112'!$K$9,OR($N4533='112'!$I$6,$O4533='112'!$I$6))),"x",""))</f>
        <v/>
      </c>
      <c r="U4533" s="79" t="str">
        <f>IF(ISERROR(FIND('112'!$M$9,G4533,1)),"",IF((AND(LEFT(G4533,2)=LEFT('112'!$M$9,2),B4533&lt;'112'!$K$9,$N4533='112'!$I$6)),"x",""))</f>
        <v/>
      </c>
      <c r="V4533" s="79" t="str">
        <f>IF(ISERROR(FIND('112'!$M$9,G4533,1)),"",IF((AND(RIGHT(G4533,2)=RIGHT('112'!$M$9,2),B4533&lt;'112'!$K$9,$O4533='112'!$I$6)),"x",""))</f>
        <v/>
      </c>
      <c r="W4533" s="79" t="str">
        <f>IF(AND('341-CT'!$H$9=H4533,OR(LEFT(N4533,3)=$W$7,LEFT(O4533,3)=$W$7)),"x","")</f>
        <v/>
      </c>
      <c r="X4533" s="79" t="str">
        <f>IF(OR(TH!N4533=TH!$X$7,O4533=TH!$X$7),"x","")</f>
        <v/>
      </c>
      <c r="Y4533" s="79" t="str">
        <f>IF(AND(OR(N4533="131",O4533="131"),H4533='131-CT'!$H$9),"x","")</f>
        <v/>
      </c>
      <c r="Z4533" s="79"/>
      <c r="AA4533" s="79" t="str">
        <f>IF(AND(MONTH(E4533)='IN-NX'!$J$5,'IN-NX'!$D$7=D4533),"x","")</f>
        <v/>
      </c>
      <c r="AB4533" s="79" t="str">
        <f>IF(AND(OR(LEFT(TH!N4533,2)="15",LEFT(TH!O4533,2)="15"),LEFT(TH!O4533,3)&lt;&gt;"111",'152-CT'!$J$8=TH!F4533),"x","")</f>
        <v/>
      </c>
      <c r="AC4533" s="79" t="str">
        <f>IF(AND(OR(LEFT(TH!N4533,2)="15",LEFT(TH!O4533,2)="15"),TK!$E$7=TH!F4533),"x","")</f>
        <v/>
      </c>
      <c r="AD4533" s="79" t="str">
        <f>IF(AND(N4533="1521",MONTH(C4533)='BK-NL'!$M$11),"x","")</f>
        <v/>
      </c>
    </row>
    <row r="4534" spans="1:30" ht="16.5" customHeight="1">
      <c r="A4534" s="318" t="str">
        <f>IF(B4534&lt;&gt;"",IF(AND(B4534='[3]IN-TC'!$S$4,OR([3]TH!N3765="1111",[3]TH!O3765="1111")),[3]TH!D3765,""),"")</f>
        <v/>
      </c>
      <c r="B4534" s="60" t="str">
        <f t="shared" si="474"/>
        <v/>
      </c>
      <c r="C4534" s="61"/>
      <c r="D4534" s="61"/>
      <c r="E4534" s="61"/>
      <c r="F4534" s="64"/>
      <c r="G4534" s="302"/>
      <c r="H4534" s="303"/>
      <c r="I4534" s="385"/>
      <c r="J4534" s="392"/>
      <c r="K4534" s="385"/>
      <c r="L4534" s="392"/>
      <c r="M4534" s="62"/>
      <c r="N4534" s="63"/>
      <c r="O4534" s="63"/>
      <c r="P4534" s="79" t="str">
        <f>IF(AND('331-CT'!$E$7=TH!H4534,OR(N4534="331",O4534="331")),"x","")</f>
        <v/>
      </c>
      <c r="Q4534" s="79" t="str">
        <f>IF(AND(B4534='111'!$L$11,OR($N4534=$Q$7,$O4534=$Q$7)),"x","")</f>
        <v/>
      </c>
      <c r="R4534" s="79" t="str">
        <f>IF(AND($N4534=$Q$7,$B4534&lt;'111'!$L$11),"x","")</f>
        <v/>
      </c>
      <c r="S4534" s="79" t="str">
        <f>IF(AND($O4534=$Q$7,$B4534&lt;'111'!$L$11),"x","")</f>
        <v/>
      </c>
      <c r="T4534" s="79" t="str">
        <f>IF(ISERROR(FIND('112'!$M$9,G4534,1)),"",IF((AND(FIND('112'!$M$9,G4534,1)&gt;=1,B4534='112'!$K$9,OR($N4534='112'!$I$6,$O4534='112'!$I$6))),"x",""))</f>
        <v/>
      </c>
      <c r="U4534" s="79" t="str">
        <f>IF(ISERROR(FIND('112'!$M$9,G4534,1)),"",IF((AND(LEFT(G4534,2)=LEFT('112'!$M$9,2),B4534&lt;'112'!$K$9,$N4534='112'!$I$6)),"x",""))</f>
        <v/>
      </c>
      <c r="V4534" s="79" t="str">
        <f>IF(ISERROR(FIND('112'!$M$9,G4534,1)),"",IF((AND(RIGHT(G4534,2)=RIGHT('112'!$M$9,2),B4534&lt;'112'!$K$9,$O4534='112'!$I$6)),"x",""))</f>
        <v/>
      </c>
      <c r="W4534" s="79" t="str">
        <f>IF(AND('341-CT'!$H$9=H4534,OR(LEFT(N4534,3)=$W$7,LEFT(O4534,3)=$W$7)),"x","")</f>
        <v/>
      </c>
      <c r="X4534" s="79" t="str">
        <f>IF(OR(TH!N4534=TH!$X$7,O4534=TH!$X$7),"x","")</f>
        <v/>
      </c>
      <c r="Y4534" s="79" t="str">
        <f>IF(AND(OR(N4534="131",O4534="131"),H4534='131-CT'!$H$9),"x","")</f>
        <v/>
      </c>
      <c r="Z4534" s="79"/>
      <c r="AA4534" s="79" t="str">
        <f>IF(AND(MONTH(E4534)='IN-NX'!$J$5,'IN-NX'!$D$7=D4534),"x","")</f>
        <v/>
      </c>
      <c r="AB4534" s="79" t="str">
        <f>IF(AND(OR(LEFT(TH!N4534,2)="15",LEFT(TH!O4534,2)="15"),LEFT(TH!O4534,3)&lt;&gt;"111",'152-CT'!$J$8=TH!F4534),"x","")</f>
        <v/>
      </c>
      <c r="AC4534" s="79" t="str">
        <f>IF(AND(OR(LEFT(TH!N4534,2)="15",LEFT(TH!O4534,2)="15"),TK!$E$7=TH!F4534),"x","")</f>
        <v/>
      </c>
      <c r="AD4534" s="79" t="str">
        <f>IF(AND(N4534="1521",MONTH(C4534)='BK-NL'!$M$11),"x","")</f>
        <v/>
      </c>
    </row>
    <row r="4535" spans="1:30" ht="16.5" customHeight="1">
      <c r="A4535" s="318" t="str">
        <f>IF(B4535&lt;&gt;"",IF(AND(B4535='[3]IN-TC'!$S$4,OR([3]TH!N3766="1111",[3]TH!O3766="1111")),[3]TH!D3766,""),"")</f>
        <v/>
      </c>
      <c r="B4535" s="60" t="str">
        <f t="shared" si="474"/>
        <v/>
      </c>
      <c r="C4535" s="301"/>
      <c r="D4535" s="301"/>
      <c r="E4535" s="301"/>
      <c r="F4535" s="302"/>
      <c r="G4535" s="988"/>
      <c r="H4535" s="69"/>
      <c r="I4535" s="385"/>
      <c r="J4535" s="969"/>
      <c r="K4535" s="385"/>
      <c r="L4535" s="392"/>
      <c r="M4535" s="970"/>
      <c r="N4535" s="304"/>
      <c r="O4535" s="304"/>
      <c r="P4535" s="79" t="str">
        <f>IF(AND('331-CT'!$E$7=TH!H4535,OR(N4535="331",O4535="331")),"x","")</f>
        <v/>
      </c>
      <c r="Q4535" s="79" t="str">
        <f>IF(AND(B4535='111'!$L$11,OR($N4535=$Q$7,$O4535=$Q$7)),"x","")</f>
        <v/>
      </c>
      <c r="R4535" s="79" t="str">
        <f>IF(AND($N4535=$Q$7,$B4535&lt;'111'!$L$11),"x","")</f>
        <v/>
      </c>
      <c r="S4535" s="79" t="str">
        <f>IF(AND($O4535=$Q$7,$B4535&lt;'111'!$L$11),"x","")</f>
        <v/>
      </c>
      <c r="T4535" s="79" t="str">
        <f>IF(ISERROR(FIND('112'!$M$9,G4535,1)),"",IF((AND(FIND('112'!$M$9,G4535,1)&gt;=1,B4535='112'!$K$9,OR($N4535='112'!$I$6,$O4535='112'!$I$6))),"x",""))</f>
        <v/>
      </c>
      <c r="U4535" s="79" t="str">
        <f>IF(ISERROR(FIND('112'!$M$9,G4535,1)),"",IF((AND(LEFT(G4535,2)=LEFT('112'!$M$9,2),B4535&lt;'112'!$K$9,$N4535='112'!$I$6)),"x",""))</f>
        <v/>
      </c>
      <c r="V4535" s="79" t="str">
        <f>IF(ISERROR(FIND('112'!$M$9,G4535,1)),"",IF((AND(RIGHT(G4535,2)=RIGHT('112'!$M$9,2),B4535&lt;'112'!$K$9,$O4535='112'!$I$6)),"x",""))</f>
        <v/>
      </c>
      <c r="W4535" s="79" t="str">
        <f>IF(AND('341-CT'!$H$9=H4535,OR(LEFT(N4535,3)=$W$7,LEFT(O4535,3)=$W$7)),"x","")</f>
        <v/>
      </c>
      <c r="X4535" s="79" t="str">
        <f>IF(OR(TH!N4535=TH!$X$7,O4535=TH!$X$7),"x","")</f>
        <v/>
      </c>
      <c r="Y4535" s="79" t="str">
        <f>IF(AND(OR(N4535="131",O4535="131"),H4535='131-CT'!$H$9),"x","")</f>
        <v/>
      </c>
      <c r="Z4535" s="79"/>
      <c r="AA4535" s="79" t="str">
        <f>IF(AND(MONTH(E4535)='IN-NX'!$J$5,'IN-NX'!$D$7=D4535),"x","")</f>
        <v/>
      </c>
      <c r="AB4535" s="79" t="str">
        <f>IF(AND(OR(LEFT(TH!N4535,2)="15",LEFT(TH!O4535,2)="15"),LEFT(TH!O4535,3)&lt;&gt;"111",'152-CT'!$J$8=TH!F4535),"x","")</f>
        <v/>
      </c>
      <c r="AC4535" s="79" t="str">
        <f>IF(AND(OR(LEFT(TH!N4535,2)="15",LEFT(TH!O4535,2)="15"),TK!$E$7=TH!F4535),"x","")</f>
        <v/>
      </c>
      <c r="AD4535" s="79" t="str">
        <f>IF(AND(N4535="1521",MONTH(C4535)='BK-NL'!$M$11),"x","")</f>
        <v/>
      </c>
    </row>
    <row r="4536" spans="1:30" ht="16.5" customHeight="1">
      <c r="A4536" s="318" t="str">
        <f>IF(B4536&lt;&gt;"",IF(AND(B4536='[3]IN-TC'!$S$4,OR([3]TH!N3767="1111",[3]TH!O3767="1111")),[3]TH!D3767,""),"")</f>
        <v/>
      </c>
      <c r="B4536" s="60" t="str">
        <f t="shared" si="474"/>
        <v/>
      </c>
      <c r="C4536" s="301"/>
      <c r="D4536" s="301"/>
      <c r="E4536" s="301"/>
      <c r="F4536" s="69"/>
      <c r="G4536" s="302"/>
      <c r="H4536" s="321"/>
      <c r="I4536" s="385"/>
      <c r="J4536" s="392"/>
      <c r="K4536" s="385"/>
      <c r="L4536" s="392"/>
      <c r="M4536" s="62"/>
      <c r="N4536" s="304"/>
      <c r="O4536" s="63"/>
      <c r="P4536" s="79" t="str">
        <f>IF(AND('331-CT'!$E$7=TH!H4536,OR(N4536="331",O4536="331")),"x","")</f>
        <v/>
      </c>
      <c r="Q4536" s="79" t="str">
        <f>IF(AND(B4536='111'!$L$11,OR($N4536=$Q$7,$O4536=$Q$7)),"x","")</f>
        <v/>
      </c>
      <c r="R4536" s="79" t="str">
        <f>IF(AND($N4536=$Q$7,$B4536&lt;'111'!$L$11),"x","")</f>
        <v/>
      </c>
      <c r="S4536" s="79" t="str">
        <f>IF(AND($O4536=$Q$7,$B4536&lt;'111'!$L$11),"x","")</f>
        <v/>
      </c>
      <c r="T4536" s="79" t="str">
        <f>IF(ISERROR(FIND('112'!$M$9,G4536,1)),"",IF((AND(FIND('112'!$M$9,G4536,1)&gt;=1,B4536='112'!$K$9,OR($N4536='112'!$I$6,$O4536='112'!$I$6))),"x",""))</f>
        <v/>
      </c>
      <c r="U4536" s="79" t="str">
        <f>IF(ISERROR(FIND('112'!$M$9,G4536,1)),"",IF((AND(LEFT(G4536,2)=LEFT('112'!$M$9,2),B4536&lt;'112'!$K$9,$N4536='112'!$I$6)),"x",""))</f>
        <v/>
      </c>
      <c r="V4536" s="79" t="str">
        <f>IF(ISERROR(FIND('112'!$M$9,G4536,1)),"",IF((AND(RIGHT(G4536,2)=RIGHT('112'!$M$9,2),B4536&lt;'112'!$K$9,$O4536='112'!$I$6)),"x",""))</f>
        <v/>
      </c>
      <c r="W4536" s="79" t="str">
        <f>IF(AND('341-CT'!$H$9=H4536,OR(LEFT(N4536,3)=$W$7,LEFT(O4536,3)=$W$7)),"x","")</f>
        <v/>
      </c>
      <c r="X4536" s="79" t="str">
        <f>IF(OR(TH!N4536=TH!$X$7,O4536=TH!$X$7),"x","")</f>
        <v/>
      </c>
      <c r="Y4536" s="79" t="str">
        <f>IF(AND(OR(N4536="131",O4536="131"),H4536='131-CT'!$H$9),"x","")</f>
        <v/>
      </c>
      <c r="Z4536" s="79"/>
      <c r="AA4536" s="79" t="str">
        <f>IF(AND(MONTH(E4536)='IN-NX'!$J$5,'IN-NX'!$D$7=D4536),"x","")</f>
        <v/>
      </c>
      <c r="AB4536" s="79" t="str">
        <f>IF(AND(OR(LEFT(TH!N4536,2)="15",LEFT(TH!O4536,2)="15"),LEFT(TH!O4536,3)&lt;&gt;"111",'152-CT'!$J$8=TH!F4536),"x","")</f>
        <v/>
      </c>
      <c r="AC4536" s="79" t="str">
        <f>IF(AND(OR(LEFT(TH!N4536,2)="15",LEFT(TH!O4536,2)="15"),TK!$E$7=TH!F4536),"x","")</f>
        <v/>
      </c>
      <c r="AD4536" s="79" t="str">
        <f>IF(AND(N4536="1521",MONTH(C4536)='BK-NL'!$M$11),"x","")</f>
        <v/>
      </c>
    </row>
    <row r="4537" spans="1:30" ht="16.5" customHeight="1">
      <c r="A4537" s="318" t="str">
        <f>IF(B4537&lt;&gt;"",IF(AND(B4537='[3]IN-TC'!$S$4,OR([3]TH!N3768="1111",[3]TH!O3768="1111")),[3]TH!D3768,""),"")</f>
        <v/>
      </c>
      <c r="B4537" s="60" t="str">
        <f t="shared" si="474"/>
        <v/>
      </c>
      <c r="C4537" s="301"/>
      <c r="D4537" s="301"/>
      <c r="E4537" s="301"/>
      <c r="F4537" s="69"/>
      <c r="G4537" s="302"/>
      <c r="H4537" s="303"/>
      <c r="I4537" s="385"/>
      <c r="J4537" s="392"/>
      <c r="K4537" s="385"/>
      <c r="L4537" s="392"/>
      <c r="M4537" s="62"/>
      <c r="N4537" s="304"/>
      <c r="O4537" s="63"/>
      <c r="P4537" s="79" t="str">
        <f>IF(AND('331-CT'!$E$7=TH!H4537,OR(N4537="331",O4537="331")),"x","")</f>
        <v/>
      </c>
      <c r="Q4537" s="79" t="str">
        <f>IF(AND(B4537='111'!$L$11,OR($N4537=$Q$7,$O4537=$Q$7)),"x","")</f>
        <v/>
      </c>
      <c r="R4537" s="79" t="str">
        <f>IF(AND($N4537=$Q$7,$B4537&lt;'111'!$L$11),"x","")</f>
        <v/>
      </c>
      <c r="S4537" s="79" t="str">
        <f>IF(AND($O4537=$Q$7,$B4537&lt;'111'!$L$11),"x","")</f>
        <v/>
      </c>
      <c r="T4537" s="79" t="str">
        <f>IF(ISERROR(FIND('112'!$M$9,G4537,1)),"",IF((AND(FIND('112'!$M$9,G4537,1)&gt;=1,B4537='112'!$K$9,OR($N4537='112'!$I$6,$O4537='112'!$I$6))),"x",""))</f>
        <v/>
      </c>
      <c r="U4537" s="79" t="str">
        <f>IF(ISERROR(FIND('112'!$M$9,G4537,1)),"",IF((AND(LEFT(G4537,2)=LEFT('112'!$M$9,2),B4537&lt;'112'!$K$9,$N4537='112'!$I$6)),"x",""))</f>
        <v/>
      </c>
      <c r="V4537" s="79" t="str">
        <f>IF(ISERROR(FIND('112'!$M$9,G4537,1)),"",IF((AND(RIGHT(G4537,2)=RIGHT('112'!$M$9,2),B4537&lt;'112'!$K$9,$O4537='112'!$I$6)),"x",""))</f>
        <v/>
      </c>
      <c r="W4537" s="79" t="str">
        <f>IF(AND('341-CT'!$H$9=H4537,OR(LEFT(N4537,3)=$W$7,LEFT(O4537,3)=$W$7)),"x","")</f>
        <v/>
      </c>
      <c r="X4537" s="79" t="str">
        <f>IF(OR(TH!N4537=TH!$X$7,O4537=TH!$X$7),"x","")</f>
        <v/>
      </c>
      <c r="Y4537" s="79" t="str">
        <f>IF(AND(OR(N4537="131",O4537="131"),H4537='131-CT'!$H$9),"x","")</f>
        <v/>
      </c>
      <c r="Z4537" s="79"/>
      <c r="AA4537" s="79" t="str">
        <f>IF(AND(MONTH(E4537)='IN-NX'!$J$5,'IN-NX'!$D$7=D4537),"x","")</f>
        <v/>
      </c>
      <c r="AB4537" s="79" t="str">
        <f>IF(AND(OR(LEFT(TH!N4537,2)="15",LEFT(TH!O4537,2)="15"),LEFT(TH!O4537,3)&lt;&gt;"111",'152-CT'!$J$8=TH!F4537),"x","")</f>
        <v/>
      </c>
      <c r="AC4537" s="79" t="str">
        <f>IF(AND(OR(LEFT(TH!N4537,2)="15",LEFT(TH!O4537,2)="15"),TK!$E$7=TH!F4537),"x","")</f>
        <v/>
      </c>
      <c r="AD4537" s="79" t="str">
        <f>IF(AND(N4537="1521",MONTH(C4537)='BK-NL'!$M$11),"x","")</f>
        <v/>
      </c>
    </row>
    <row r="4538" spans="1:30" ht="16.5" customHeight="1">
      <c r="A4538" s="318" t="str">
        <f>IF(B4538&lt;&gt;"",IF(AND(B4538='[3]IN-TC'!$S$4,OR([3]TH!N3769="1111",[3]TH!O3769="1111")),[3]TH!D3769,""),"")</f>
        <v/>
      </c>
      <c r="B4538" s="60" t="str">
        <f t="shared" si="474"/>
        <v/>
      </c>
      <c r="C4538" s="301"/>
      <c r="D4538" s="301"/>
      <c r="E4538" s="301"/>
      <c r="F4538" s="69"/>
      <c r="G4538" s="302"/>
      <c r="H4538" s="303"/>
      <c r="I4538" s="385"/>
      <c r="J4538" s="392"/>
      <c r="K4538" s="385"/>
      <c r="L4538" s="392"/>
      <c r="M4538" s="62"/>
      <c r="N4538" s="304"/>
      <c r="O4538" s="63"/>
      <c r="P4538" s="79" t="str">
        <f>IF(AND('331-CT'!$E$7=TH!H4538,OR(N4538="331",O4538="331")),"x","")</f>
        <v/>
      </c>
      <c r="Q4538" s="79" t="str">
        <f>IF(AND(B4538='111'!$L$11,OR($N4538=$Q$7,$O4538=$Q$7)),"x","")</f>
        <v/>
      </c>
      <c r="R4538" s="79" t="str">
        <f>IF(AND($N4538=$Q$7,$B4538&lt;'111'!$L$11),"x","")</f>
        <v/>
      </c>
      <c r="S4538" s="79" t="str">
        <f>IF(AND($O4538=$Q$7,$B4538&lt;'111'!$L$11),"x","")</f>
        <v/>
      </c>
      <c r="T4538" s="79" t="str">
        <f>IF(ISERROR(FIND('112'!$M$9,G4538,1)),"",IF((AND(FIND('112'!$M$9,G4538,1)&gt;=1,B4538='112'!$K$9,OR($N4538='112'!$I$6,$O4538='112'!$I$6))),"x",""))</f>
        <v/>
      </c>
      <c r="U4538" s="79" t="str">
        <f>IF(ISERROR(FIND('112'!$M$9,G4538,1)),"",IF((AND(LEFT(G4538,2)=LEFT('112'!$M$9,2),B4538&lt;'112'!$K$9,$N4538='112'!$I$6)),"x",""))</f>
        <v/>
      </c>
      <c r="V4538" s="79" t="str">
        <f>IF(ISERROR(FIND('112'!$M$9,G4538,1)),"",IF((AND(RIGHT(G4538,2)=RIGHT('112'!$M$9,2),B4538&lt;'112'!$K$9,$O4538='112'!$I$6)),"x",""))</f>
        <v/>
      </c>
      <c r="W4538" s="79" t="str">
        <f>IF(AND('341-CT'!$H$9=H4538,OR(LEFT(N4538,3)=$W$7,LEFT(O4538,3)=$W$7)),"x","")</f>
        <v/>
      </c>
      <c r="X4538" s="79" t="str">
        <f>IF(OR(TH!N4538=TH!$X$7,O4538=TH!$X$7),"x","")</f>
        <v/>
      </c>
      <c r="Y4538" s="79" t="str">
        <f>IF(AND(OR(N4538="131",O4538="131"),H4538='131-CT'!$H$9),"x","")</f>
        <v/>
      </c>
      <c r="Z4538" s="79"/>
      <c r="AA4538" s="79" t="str">
        <f>IF(AND(MONTH(E4538)='IN-NX'!$J$5,'IN-NX'!$D$7=D4538),"x","")</f>
        <v/>
      </c>
      <c r="AB4538" s="79" t="str">
        <f>IF(AND(OR(LEFT(TH!N4538,2)="15",LEFT(TH!O4538,2)="15"),LEFT(TH!O4538,3)&lt;&gt;"111",'152-CT'!$J$8=TH!F4538),"x","")</f>
        <v/>
      </c>
      <c r="AC4538" s="79" t="str">
        <f>IF(AND(OR(LEFT(TH!N4538,2)="15",LEFT(TH!O4538,2)="15"),TK!$E$7=TH!F4538),"x","")</f>
        <v/>
      </c>
      <c r="AD4538" s="79" t="str">
        <f>IF(AND(N4538="1521",MONTH(C4538)='BK-NL'!$M$11),"x","")</f>
        <v/>
      </c>
    </row>
    <row r="4539" spans="1:30" ht="16.5" customHeight="1">
      <c r="A4539" s="318" t="str">
        <f>IF(B4539&lt;&gt;"",IF(AND(B4539='[3]IN-TC'!$S$4,OR([3]TH!N3770="1111",[3]TH!O3770="1111")),[3]TH!D3770,""),"")</f>
        <v/>
      </c>
      <c r="B4539" s="60" t="str">
        <f t="shared" si="474"/>
        <v/>
      </c>
      <c r="C4539" s="301"/>
      <c r="D4539" s="301"/>
      <c r="E4539" s="301"/>
      <c r="F4539" s="69"/>
      <c r="G4539" s="302"/>
      <c r="H4539" s="321"/>
      <c r="I4539" s="385"/>
      <c r="J4539" s="392"/>
      <c r="K4539" s="385"/>
      <c r="L4539" s="392"/>
      <c r="M4539" s="62"/>
      <c r="N4539" s="304"/>
      <c r="O4539" s="63"/>
      <c r="P4539" s="79" t="str">
        <f>IF(AND('331-CT'!$E$7=TH!H4539,OR(N4539="331",O4539="331")),"x","")</f>
        <v/>
      </c>
      <c r="Q4539" s="79" t="str">
        <f>IF(AND(B4539='111'!$L$11,OR($N4539=$Q$7,$O4539=$Q$7)),"x","")</f>
        <v/>
      </c>
      <c r="R4539" s="79" t="str">
        <f>IF(AND($N4539=$Q$7,$B4539&lt;'111'!$L$11),"x","")</f>
        <v/>
      </c>
      <c r="S4539" s="79" t="str">
        <f>IF(AND($O4539=$Q$7,$B4539&lt;'111'!$L$11),"x","")</f>
        <v/>
      </c>
      <c r="T4539" s="79" t="str">
        <f>IF(ISERROR(FIND('112'!$M$9,G4539,1)),"",IF((AND(FIND('112'!$M$9,G4539,1)&gt;=1,B4539='112'!$K$9,OR($N4539='112'!$I$6,$O4539='112'!$I$6))),"x",""))</f>
        <v/>
      </c>
      <c r="U4539" s="79" t="str">
        <f>IF(ISERROR(FIND('112'!$M$9,G4539,1)),"",IF((AND(LEFT(G4539,2)=LEFT('112'!$M$9,2),B4539&lt;'112'!$K$9,$N4539='112'!$I$6)),"x",""))</f>
        <v/>
      </c>
      <c r="V4539" s="79" t="str">
        <f>IF(ISERROR(FIND('112'!$M$9,G4539,1)),"",IF((AND(RIGHT(G4539,2)=RIGHT('112'!$M$9,2),B4539&lt;'112'!$K$9,$O4539='112'!$I$6)),"x",""))</f>
        <v/>
      </c>
      <c r="W4539" s="79" t="str">
        <f>IF(AND('341-CT'!$H$9=H4539,OR(LEFT(N4539,3)=$W$7,LEFT(O4539,3)=$W$7)),"x","")</f>
        <v/>
      </c>
      <c r="X4539" s="79" t="str">
        <f>IF(OR(TH!N4539=TH!$X$7,O4539=TH!$X$7),"x","")</f>
        <v/>
      </c>
      <c r="Y4539" s="79" t="str">
        <f>IF(AND(OR(N4539="131",O4539="131"),H4539='131-CT'!$H$9),"x","")</f>
        <v/>
      </c>
      <c r="Z4539" s="79"/>
      <c r="AA4539" s="79" t="str">
        <f>IF(AND(MONTH(E4539)='IN-NX'!$J$5,'IN-NX'!$D$7=D4539),"x","")</f>
        <v/>
      </c>
      <c r="AB4539" s="79" t="str">
        <f>IF(AND(OR(LEFT(TH!N4539,2)="15",LEFT(TH!O4539,2)="15"),LEFT(TH!O4539,3)&lt;&gt;"111",'152-CT'!$J$8=TH!F4539),"x","")</f>
        <v/>
      </c>
      <c r="AC4539" s="79" t="str">
        <f>IF(AND(OR(LEFT(TH!N4539,2)="15",LEFT(TH!O4539,2)="15"),TK!$E$7=TH!F4539),"x","")</f>
        <v/>
      </c>
      <c r="AD4539" s="79" t="str">
        <f>IF(AND(N4539="1521",MONTH(C4539)='BK-NL'!$M$11),"x","")</f>
        <v/>
      </c>
    </row>
    <row r="4540" spans="1:30" ht="16.5" customHeight="1">
      <c r="A4540" s="318" t="str">
        <f>IF(B4540&lt;&gt;"",IF(AND(B4540='[3]IN-TC'!$S$4,OR([3]TH!N3771="1111",[3]TH!O3771="1111")),[3]TH!D3771,""),"")</f>
        <v/>
      </c>
      <c r="B4540" s="60" t="str">
        <f t="shared" si="474"/>
        <v/>
      </c>
      <c r="C4540" s="301"/>
      <c r="D4540" s="301"/>
      <c r="E4540" s="301"/>
      <c r="F4540" s="69"/>
      <c r="G4540" s="302"/>
      <c r="H4540" s="303"/>
      <c r="I4540" s="385"/>
      <c r="J4540" s="392"/>
      <c r="K4540" s="385"/>
      <c r="L4540" s="392"/>
      <c r="M4540" s="62"/>
      <c r="N4540" s="304"/>
      <c r="O4540" s="63"/>
      <c r="P4540" s="79" t="str">
        <f>IF(AND('331-CT'!$E$7=TH!H4540,OR(N4540="331",O4540="331")),"x","")</f>
        <v/>
      </c>
      <c r="Q4540" s="79" t="str">
        <f>IF(AND(B4540='111'!$L$11,OR($N4540=$Q$7,$O4540=$Q$7)),"x","")</f>
        <v/>
      </c>
      <c r="R4540" s="79" t="str">
        <f>IF(AND($N4540=$Q$7,$B4540&lt;'111'!$L$11),"x","")</f>
        <v/>
      </c>
      <c r="S4540" s="79" t="str">
        <f>IF(AND($O4540=$Q$7,$B4540&lt;'111'!$L$11),"x","")</f>
        <v/>
      </c>
      <c r="T4540" s="79" t="str">
        <f>IF(ISERROR(FIND('112'!$M$9,G4540,1)),"",IF((AND(FIND('112'!$M$9,G4540,1)&gt;=1,B4540='112'!$K$9,OR($N4540='112'!$I$6,$O4540='112'!$I$6))),"x",""))</f>
        <v/>
      </c>
      <c r="U4540" s="79" t="str">
        <f>IF(ISERROR(FIND('112'!$M$9,G4540,1)),"",IF((AND(LEFT(G4540,2)=LEFT('112'!$M$9,2),B4540&lt;'112'!$K$9,$N4540='112'!$I$6)),"x",""))</f>
        <v/>
      </c>
      <c r="V4540" s="79" t="str">
        <f>IF(ISERROR(FIND('112'!$M$9,G4540,1)),"",IF((AND(RIGHT(G4540,2)=RIGHT('112'!$M$9,2),B4540&lt;'112'!$K$9,$O4540='112'!$I$6)),"x",""))</f>
        <v/>
      </c>
      <c r="W4540" s="79" t="str">
        <f>IF(AND('341-CT'!$H$9=H4540,OR(LEFT(N4540,3)=$W$7,LEFT(O4540,3)=$W$7)),"x","")</f>
        <v/>
      </c>
      <c r="X4540" s="79" t="str">
        <f>IF(OR(TH!N4540=TH!$X$7,O4540=TH!$X$7),"x","")</f>
        <v/>
      </c>
      <c r="Y4540" s="79" t="str">
        <f>IF(AND(OR(N4540="131",O4540="131"),H4540='131-CT'!$H$9),"x","")</f>
        <v/>
      </c>
      <c r="Z4540" s="79"/>
      <c r="AA4540" s="79" t="str">
        <f>IF(AND(MONTH(E4540)='IN-NX'!$J$5,'IN-NX'!$D$7=D4540),"x","")</f>
        <v/>
      </c>
      <c r="AB4540" s="79" t="str">
        <f>IF(AND(OR(LEFT(TH!N4540,2)="15",LEFT(TH!O4540,2)="15"),LEFT(TH!O4540,3)&lt;&gt;"111",'152-CT'!$J$8=TH!F4540),"x","")</f>
        <v/>
      </c>
      <c r="AC4540" s="79" t="str">
        <f>IF(AND(OR(LEFT(TH!N4540,2)="15",LEFT(TH!O4540,2)="15"),TK!$E$7=TH!F4540),"x","")</f>
        <v/>
      </c>
      <c r="AD4540" s="79" t="str">
        <f>IF(AND(N4540="1521",MONTH(C4540)='BK-NL'!$M$11),"x","")</f>
        <v/>
      </c>
    </row>
    <row r="4541" spans="1:30" ht="16.5" customHeight="1">
      <c r="A4541" s="318" t="str">
        <f>IF(B4541&lt;&gt;"",IF(AND(B4541='[3]IN-TC'!$S$4,OR([3]TH!N3772="1111",[3]TH!O3772="1111")),[3]TH!D3772,""),"")</f>
        <v/>
      </c>
      <c r="B4541" s="60" t="str">
        <f t="shared" si="474"/>
        <v/>
      </c>
      <c r="C4541" s="301"/>
      <c r="D4541" s="301"/>
      <c r="E4541" s="301"/>
      <c r="F4541" s="69"/>
      <c r="G4541" s="302"/>
      <c r="H4541" s="303"/>
      <c r="I4541" s="385"/>
      <c r="J4541" s="392"/>
      <c r="K4541" s="385"/>
      <c r="L4541" s="392"/>
      <c r="M4541" s="62"/>
      <c r="N4541" s="304"/>
      <c r="O4541" s="63"/>
      <c r="P4541" s="79" t="str">
        <f>IF(AND('331-CT'!$E$7=TH!H4541,OR(N4541="331",O4541="331")),"x","")</f>
        <v/>
      </c>
      <c r="Q4541" s="79" t="str">
        <f>IF(AND(B4541='111'!$L$11,OR($N4541=$Q$7,$O4541=$Q$7)),"x","")</f>
        <v/>
      </c>
      <c r="R4541" s="79" t="str">
        <f>IF(AND($N4541=$Q$7,$B4541&lt;'111'!$L$11),"x","")</f>
        <v/>
      </c>
      <c r="S4541" s="79" t="str">
        <f>IF(AND($O4541=$Q$7,$B4541&lt;'111'!$L$11),"x","")</f>
        <v/>
      </c>
      <c r="T4541" s="79" t="str">
        <f>IF(ISERROR(FIND('112'!$M$9,G4541,1)),"",IF((AND(FIND('112'!$M$9,G4541,1)&gt;=1,B4541='112'!$K$9,OR($N4541='112'!$I$6,$O4541='112'!$I$6))),"x",""))</f>
        <v/>
      </c>
      <c r="U4541" s="79" t="str">
        <f>IF(ISERROR(FIND('112'!$M$9,G4541,1)),"",IF((AND(LEFT(G4541,2)=LEFT('112'!$M$9,2),B4541&lt;'112'!$K$9,$N4541='112'!$I$6)),"x",""))</f>
        <v/>
      </c>
      <c r="V4541" s="79" t="str">
        <f>IF(ISERROR(FIND('112'!$M$9,G4541,1)),"",IF((AND(RIGHT(G4541,2)=RIGHT('112'!$M$9,2),B4541&lt;'112'!$K$9,$O4541='112'!$I$6)),"x",""))</f>
        <v/>
      </c>
      <c r="W4541" s="79" t="str">
        <f>IF(AND('341-CT'!$H$9=H4541,OR(LEFT(N4541,3)=$W$7,LEFT(O4541,3)=$W$7)),"x","")</f>
        <v/>
      </c>
      <c r="X4541" s="79" t="str">
        <f>IF(OR(TH!N4541=TH!$X$7,O4541=TH!$X$7),"x","")</f>
        <v/>
      </c>
      <c r="Y4541" s="79" t="str">
        <f>IF(AND(OR(N4541="131",O4541="131"),H4541='131-CT'!$H$9),"x","")</f>
        <v/>
      </c>
      <c r="Z4541" s="79"/>
      <c r="AA4541" s="79" t="str">
        <f>IF(AND(MONTH(E4541)='IN-NX'!$J$5,'IN-NX'!$D$7=D4541),"x","")</f>
        <v/>
      </c>
      <c r="AB4541" s="79" t="str">
        <f>IF(AND(OR(LEFT(TH!N4541,2)="15",LEFT(TH!O4541,2)="15"),LEFT(TH!O4541,3)&lt;&gt;"111",'152-CT'!$J$8=TH!F4541),"x","")</f>
        <v/>
      </c>
      <c r="AC4541" s="79" t="str">
        <f>IF(AND(OR(LEFT(TH!N4541,2)="15",LEFT(TH!O4541,2)="15"),TK!$E$7=TH!F4541),"x","")</f>
        <v/>
      </c>
      <c r="AD4541" s="79" t="str">
        <f>IF(AND(N4541="1521",MONTH(C4541)='BK-NL'!$M$11),"x","")</f>
        <v/>
      </c>
    </row>
    <row r="4542" spans="1:30" ht="16.5" customHeight="1">
      <c r="A4542" s="318" t="str">
        <f>IF(B4542&lt;&gt;"",IF(AND(B4542='[3]IN-TC'!$S$4,OR([3]TH!N3773="1111",[3]TH!O3773="1111")),[3]TH!D3773,""),"")</f>
        <v/>
      </c>
      <c r="B4542" s="60" t="str">
        <f t="shared" si="474"/>
        <v/>
      </c>
      <c r="C4542" s="301"/>
      <c r="D4542" s="301"/>
      <c r="E4542" s="301"/>
      <c r="F4542" s="69"/>
      <c r="G4542" s="302"/>
      <c r="H4542" s="321"/>
      <c r="I4542" s="385"/>
      <c r="J4542" s="392"/>
      <c r="K4542" s="385"/>
      <c r="L4542" s="392"/>
      <c r="M4542" s="62"/>
      <c r="N4542" s="304"/>
      <c r="O4542" s="63"/>
      <c r="P4542" s="79" t="str">
        <f>IF(AND('331-CT'!$E$7=TH!H4542,OR(N4542="331",O4542="331")),"x","")</f>
        <v/>
      </c>
      <c r="Q4542" s="79" t="str">
        <f>IF(AND(B4542='111'!$L$11,OR($N4542=$Q$7,$O4542=$Q$7)),"x","")</f>
        <v/>
      </c>
      <c r="R4542" s="79" t="str">
        <f>IF(AND($N4542=$Q$7,$B4542&lt;'111'!$L$11),"x","")</f>
        <v/>
      </c>
      <c r="S4542" s="79" t="str">
        <f>IF(AND($O4542=$Q$7,$B4542&lt;'111'!$L$11),"x","")</f>
        <v/>
      </c>
      <c r="T4542" s="79" t="str">
        <f>IF(ISERROR(FIND('112'!$M$9,G4542,1)),"",IF((AND(FIND('112'!$M$9,G4542,1)&gt;=1,B4542='112'!$K$9,OR($N4542='112'!$I$6,$O4542='112'!$I$6))),"x",""))</f>
        <v/>
      </c>
      <c r="U4542" s="79" t="str">
        <f>IF(ISERROR(FIND('112'!$M$9,G4542,1)),"",IF((AND(LEFT(G4542,2)=LEFT('112'!$M$9,2),B4542&lt;'112'!$K$9,$N4542='112'!$I$6)),"x",""))</f>
        <v/>
      </c>
      <c r="V4542" s="79" t="str">
        <f>IF(ISERROR(FIND('112'!$M$9,G4542,1)),"",IF((AND(RIGHT(G4542,2)=RIGHT('112'!$M$9,2),B4542&lt;'112'!$K$9,$O4542='112'!$I$6)),"x",""))</f>
        <v/>
      </c>
      <c r="W4542" s="79" t="str">
        <f>IF(AND('341-CT'!$H$9=H4542,OR(LEFT(N4542,3)=$W$7,LEFT(O4542,3)=$W$7)),"x","")</f>
        <v/>
      </c>
      <c r="X4542" s="79" t="str">
        <f>IF(OR(TH!N4542=TH!$X$7,O4542=TH!$X$7),"x","")</f>
        <v/>
      </c>
      <c r="Y4542" s="79" t="str">
        <f>IF(AND(OR(N4542="131",O4542="131"),H4542='131-CT'!$H$9),"x","")</f>
        <v/>
      </c>
      <c r="Z4542" s="79"/>
      <c r="AA4542" s="79" t="str">
        <f>IF(AND(MONTH(E4542)='IN-NX'!$J$5,'IN-NX'!$D$7=D4542),"x","")</f>
        <v/>
      </c>
      <c r="AB4542" s="79" t="str">
        <f>IF(AND(OR(LEFT(TH!N4542,2)="15",LEFT(TH!O4542,2)="15"),LEFT(TH!O4542,3)&lt;&gt;"111",'152-CT'!$J$8=TH!F4542),"x","")</f>
        <v/>
      </c>
      <c r="AC4542" s="79" t="str">
        <f>IF(AND(OR(LEFT(TH!N4542,2)="15",LEFT(TH!O4542,2)="15"),TK!$E$7=TH!F4542),"x","")</f>
        <v/>
      </c>
      <c r="AD4542" s="79" t="str">
        <f>IF(AND(N4542="1521",MONTH(C4542)='BK-NL'!$M$11),"x","")</f>
        <v/>
      </c>
    </row>
    <row r="4543" spans="1:30" ht="16.5" customHeight="1">
      <c r="A4543" s="318" t="str">
        <f>IF(B4543&lt;&gt;"",IF(AND(B4543='[3]IN-TC'!$S$4,OR([3]TH!N3774="1111",[3]TH!O3774="1111")),[3]TH!D3774,""),"")</f>
        <v/>
      </c>
      <c r="B4543" s="60" t="str">
        <f t="shared" si="474"/>
        <v/>
      </c>
      <c r="C4543" s="301"/>
      <c r="D4543" s="301"/>
      <c r="E4543" s="301"/>
      <c r="F4543" s="69"/>
      <c r="G4543" s="302"/>
      <c r="H4543" s="303"/>
      <c r="I4543" s="385"/>
      <c r="J4543" s="392"/>
      <c r="K4543" s="385"/>
      <c r="L4543" s="392"/>
      <c r="M4543" s="62"/>
      <c r="N4543" s="304"/>
      <c r="O4543" s="63"/>
      <c r="P4543" s="79" t="str">
        <f>IF(AND('331-CT'!$E$7=TH!H4543,OR(N4543="331",O4543="331")),"x","")</f>
        <v/>
      </c>
      <c r="Q4543" s="79" t="str">
        <f>IF(AND(B4543='111'!$L$11,OR($N4543=$Q$7,$O4543=$Q$7)),"x","")</f>
        <v/>
      </c>
      <c r="R4543" s="79" t="str">
        <f>IF(AND($N4543=$Q$7,$B4543&lt;'111'!$L$11),"x","")</f>
        <v/>
      </c>
      <c r="S4543" s="79" t="str">
        <f>IF(AND($O4543=$Q$7,$B4543&lt;'111'!$L$11),"x","")</f>
        <v/>
      </c>
      <c r="T4543" s="79" t="str">
        <f>IF(ISERROR(FIND('112'!$M$9,G4543,1)),"",IF((AND(FIND('112'!$M$9,G4543,1)&gt;=1,B4543='112'!$K$9,OR($N4543='112'!$I$6,$O4543='112'!$I$6))),"x",""))</f>
        <v/>
      </c>
      <c r="U4543" s="79" t="str">
        <f>IF(ISERROR(FIND('112'!$M$9,G4543,1)),"",IF((AND(LEFT(G4543,2)=LEFT('112'!$M$9,2),B4543&lt;'112'!$K$9,$N4543='112'!$I$6)),"x",""))</f>
        <v/>
      </c>
      <c r="V4543" s="79" t="str">
        <f>IF(ISERROR(FIND('112'!$M$9,G4543,1)),"",IF((AND(RIGHT(G4543,2)=RIGHT('112'!$M$9,2),B4543&lt;'112'!$K$9,$O4543='112'!$I$6)),"x",""))</f>
        <v/>
      </c>
      <c r="W4543" s="79" t="str">
        <f>IF(AND('341-CT'!$H$9=H4543,OR(LEFT(N4543,3)=$W$7,LEFT(O4543,3)=$W$7)),"x","")</f>
        <v/>
      </c>
      <c r="X4543" s="79" t="str">
        <f>IF(OR(TH!N4543=TH!$X$7,O4543=TH!$X$7),"x","")</f>
        <v/>
      </c>
      <c r="Y4543" s="79" t="str">
        <f>IF(AND(OR(N4543="131",O4543="131"),H4543='131-CT'!$H$9),"x","")</f>
        <v/>
      </c>
      <c r="Z4543" s="79"/>
      <c r="AA4543" s="79" t="str">
        <f>IF(AND(MONTH(E4543)='IN-NX'!$J$5,'IN-NX'!$D$7=D4543),"x","")</f>
        <v/>
      </c>
      <c r="AB4543" s="79" t="str">
        <f>IF(AND(OR(LEFT(TH!N4543,2)="15",LEFT(TH!O4543,2)="15"),LEFT(TH!O4543,3)&lt;&gt;"111",'152-CT'!$J$8=TH!F4543),"x","")</f>
        <v/>
      </c>
      <c r="AC4543" s="79" t="str">
        <f>IF(AND(OR(LEFT(TH!N4543,2)="15",LEFT(TH!O4543,2)="15"),TK!$E$7=TH!F4543),"x","")</f>
        <v/>
      </c>
      <c r="AD4543" s="79" t="str">
        <f>IF(AND(N4543="1521",MONTH(C4543)='BK-NL'!$M$11),"x","")</f>
        <v/>
      </c>
    </row>
    <row r="4544" spans="1:30" ht="16.5" customHeight="1">
      <c r="A4544" s="318" t="str">
        <f>IF(B4544&lt;&gt;"",IF(AND(B4544='[3]IN-TC'!$S$4,OR([3]TH!N3775="1111",[3]TH!O3775="1111")),[3]TH!D3775,""),"")</f>
        <v/>
      </c>
      <c r="B4544" s="60" t="str">
        <f t="shared" si="474"/>
        <v/>
      </c>
      <c r="C4544" s="301"/>
      <c r="D4544" s="301"/>
      <c r="E4544" s="301"/>
      <c r="F4544" s="69"/>
      <c r="G4544" s="302"/>
      <c r="H4544" s="303"/>
      <c r="I4544" s="385"/>
      <c r="J4544" s="392"/>
      <c r="K4544" s="385"/>
      <c r="L4544" s="392"/>
      <c r="M4544" s="62"/>
      <c r="N4544" s="304"/>
      <c r="O4544" s="63"/>
      <c r="P4544" s="79" t="str">
        <f>IF(AND('331-CT'!$E$7=TH!H4544,OR(N4544="331",O4544="331")),"x","")</f>
        <v/>
      </c>
      <c r="Q4544" s="79" t="str">
        <f>IF(AND(B4544='111'!$L$11,OR($N4544=$Q$7,$O4544=$Q$7)),"x","")</f>
        <v/>
      </c>
      <c r="R4544" s="79" t="str">
        <f>IF(AND($N4544=$Q$7,$B4544&lt;'111'!$L$11),"x","")</f>
        <v/>
      </c>
      <c r="S4544" s="79" t="str">
        <f>IF(AND($O4544=$Q$7,$B4544&lt;'111'!$L$11),"x","")</f>
        <v/>
      </c>
      <c r="T4544" s="79" t="str">
        <f>IF(ISERROR(FIND('112'!$M$9,G4544,1)),"",IF((AND(FIND('112'!$M$9,G4544,1)&gt;=1,B4544='112'!$K$9,OR($N4544='112'!$I$6,$O4544='112'!$I$6))),"x",""))</f>
        <v/>
      </c>
      <c r="U4544" s="79" t="str">
        <f>IF(ISERROR(FIND('112'!$M$9,G4544,1)),"",IF((AND(LEFT(G4544,2)=LEFT('112'!$M$9,2),B4544&lt;'112'!$K$9,$N4544='112'!$I$6)),"x",""))</f>
        <v/>
      </c>
      <c r="V4544" s="79" t="str">
        <f>IF(ISERROR(FIND('112'!$M$9,G4544,1)),"",IF((AND(RIGHT(G4544,2)=RIGHT('112'!$M$9,2),B4544&lt;'112'!$K$9,$O4544='112'!$I$6)),"x",""))</f>
        <v/>
      </c>
      <c r="W4544" s="79" t="str">
        <f>IF(AND('341-CT'!$H$9=H4544,OR(LEFT(N4544,3)=$W$7,LEFT(O4544,3)=$W$7)),"x","")</f>
        <v/>
      </c>
      <c r="X4544" s="79" t="str">
        <f>IF(OR(TH!N4544=TH!$X$7,O4544=TH!$X$7),"x","")</f>
        <v/>
      </c>
      <c r="Y4544" s="79" t="str">
        <f>IF(AND(OR(N4544="131",O4544="131"),H4544='131-CT'!$H$9),"x","")</f>
        <v/>
      </c>
      <c r="Z4544" s="79"/>
      <c r="AA4544" s="79" t="str">
        <f>IF(AND(MONTH(E4544)='IN-NX'!$J$5,'IN-NX'!$D$7=D4544),"x","")</f>
        <v/>
      </c>
      <c r="AB4544" s="79" t="str">
        <f>IF(AND(OR(LEFT(TH!N4544,2)="15",LEFT(TH!O4544,2)="15"),LEFT(TH!O4544,3)&lt;&gt;"111",'152-CT'!$J$8=TH!F4544),"x","")</f>
        <v/>
      </c>
      <c r="AC4544" s="79" t="str">
        <f>IF(AND(OR(LEFT(TH!N4544,2)="15",LEFT(TH!O4544,2)="15"),TK!$E$7=TH!F4544),"x","")</f>
        <v/>
      </c>
      <c r="AD4544" s="79" t="str">
        <f>IF(AND(N4544="1521",MONTH(C4544)='BK-NL'!$M$11),"x","")</f>
        <v/>
      </c>
    </row>
    <row r="4545" spans="1:30" ht="16.5" customHeight="1">
      <c r="A4545" s="318" t="str">
        <f>IF(B4545&lt;&gt;"",IF(AND(B4545='[3]IN-TC'!$S$4,OR([3]TH!N3776="1111",[3]TH!O3776="1111")),[3]TH!D3776,""),"")</f>
        <v/>
      </c>
      <c r="B4545" s="60" t="str">
        <f t="shared" si="474"/>
        <v/>
      </c>
      <c r="C4545" s="301"/>
      <c r="D4545" s="301"/>
      <c r="E4545" s="301"/>
      <c r="F4545" s="69"/>
      <c r="G4545" s="302"/>
      <c r="H4545" s="303"/>
      <c r="I4545" s="385"/>
      <c r="J4545" s="392"/>
      <c r="K4545" s="385"/>
      <c r="L4545" s="392"/>
      <c r="M4545" s="62"/>
      <c r="N4545" s="304"/>
      <c r="O4545" s="63"/>
      <c r="P4545" s="79" t="str">
        <f>IF(AND('331-CT'!$E$7=TH!H4545,OR(N4545="331",O4545="331")),"x","")</f>
        <v/>
      </c>
      <c r="Q4545" s="79" t="str">
        <f>IF(AND(B4545='111'!$L$11,OR($N4545=$Q$7,$O4545=$Q$7)),"x","")</f>
        <v/>
      </c>
      <c r="R4545" s="79" t="str">
        <f>IF(AND($N4545=$Q$7,$B4545&lt;'111'!$L$11),"x","")</f>
        <v/>
      </c>
      <c r="S4545" s="79" t="str">
        <f>IF(AND($O4545=$Q$7,$B4545&lt;'111'!$L$11),"x","")</f>
        <v/>
      </c>
      <c r="T4545" s="79" t="str">
        <f>IF(ISERROR(FIND('112'!$M$9,G4545,1)),"",IF((AND(FIND('112'!$M$9,G4545,1)&gt;=1,B4545='112'!$K$9,OR($N4545='112'!$I$6,$O4545='112'!$I$6))),"x",""))</f>
        <v/>
      </c>
      <c r="U4545" s="79" t="str">
        <f>IF(ISERROR(FIND('112'!$M$9,G4545,1)),"",IF((AND(LEFT(G4545,2)=LEFT('112'!$M$9,2),B4545&lt;'112'!$K$9,$N4545='112'!$I$6)),"x",""))</f>
        <v/>
      </c>
      <c r="V4545" s="79" t="str">
        <f>IF(ISERROR(FIND('112'!$M$9,G4545,1)),"",IF((AND(RIGHT(G4545,2)=RIGHT('112'!$M$9,2),B4545&lt;'112'!$K$9,$O4545='112'!$I$6)),"x",""))</f>
        <v/>
      </c>
      <c r="W4545" s="79" t="str">
        <f>IF(AND('341-CT'!$H$9=H4545,OR(LEFT(N4545,3)=$W$7,LEFT(O4545,3)=$W$7)),"x","")</f>
        <v/>
      </c>
      <c r="X4545" s="79" t="str">
        <f>IF(OR(TH!N4545=TH!$X$7,O4545=TH!$X$7),"x","")</f>
        <v/>
      </c>
      <c r="Y4545" s="79" t="str">
        <f>IF(AND(OR(N4545="131",O4545="131"),H4545='131-CT'!$H$9),"x","")</f>
        <v/>
      </c>
      <c r="Z4545" s="79"/>
      <c r="AA4545" s="79" t="str">
        <f>IF(AND(MONTH(E4545)='IN-NX'!$J$5,'IN-NX'!$D$7=D4545),"x","")</f>
        <v/>
      </c>
      <c r="AB4545" s="79" t="str">
        <f>IF(AND(OR(LEFT(TH!N4545,2)="15",LEFT(TH!O4545,2)="15"),LEFT(TH!O4545,3)&lt;&gt;"111",'152-CT'!$J$8=TH!F4545),"x","")</f>
        <v/>
      </c>
      <c r="AC4545" s="79" t="str">
        <f>IF(AND(OR(LEFT(TH!N4545,2)="15",LEFT(TH!O4545,2)="15"),TK!$E$7=TH!F4545),"x","")</f>
        <v/>
      </c>
      <c r="AD4545" s="79" t="str">
        <f>IF(AND(N4545="1521",MONTH(C4545)='BK-NL'!$M$11),"x","")</f>
        <v/>
      </c>
    </row>
    <row r="4546" spans="1:30" ht="16.5" customHeight="1">
      <c r="A4546" s="318" t="str">
        <f>IF(B4546&lt;&gt;"",IF(AND(B4546='[3]IN-TC'!$S$4,OR([3]TH!N3777="1111",[3]TH!O3777="1111")),[3]TH!D3777,""),"")</f>
        <v/>
      </c>
      <c r="B4546" s="60" t="str">
        <f t="shared" si="474"/>
        <v/>
      </c>
      <c r="C4546" s="301"/>
      <c r="D4546" s="301"/>
      <c r="E4546" s="301"/>
      <c r="F4546" s="69"/>
      <c r="G4546" s="302"/>
      <c r="H4546" s="303"/>
      <c r="I4546" s="385"/>
      <c r="J4546" s="392"/>
      <c r="K4546" s="385"/>
      <c r="L4546" s="392"/>
      <c r="M4546" s="62"/>
      <c r="N4546" s="304"/>
      <c r="O4546" s="63"/>
      <c r="P4546" s="79" t="str">
        <f>IF(AND('331-CT'!$E$7=TH!H4546,OR(N4546="331",O4546="331")),"x","")</f>
        <v/>
      </c>
      <c r="Q4546" s="79" t="str">
        <f>IF(AND(B4546='111'!$L$11,OR($N4546=$Q$7,$O4546=$Q$7)),"x","")</f>
        <v/>
      </c>
      <c r="R4546" s="79" t="str">
        <f>IF(AND($N4546=$Q$7,$B4546&lt;'111'!$L$11),"x","")</f>
        <v/>
      </c>
      <c r="S4546" s="79" t="str">
        <f>IF(AND($O4546=$Q$7,$B4546&lt;'111'!$L$11),"x","")</f>
        <v/>
      </c>
      <c r="T4546" s="79" t="str">
        <f>IF(ISERROR(FIND('112'!$M$9,G4546,1)),"",IF((AND(FIND('112'!$M$9,G4546,1)&gt;=1,B4546='112'!$K$9,OR($N4546='112'!$I$6,$O4546='112'!$I$6))),"x",""))</f>
        <v/>
      </c>
      <c r="U4546" s="79" t="str">
        <f>IF(ISERROR(FIND('112'!$M$9,G4546,1)),"",IF((AND(LEFT(G4546,2)=LEFT('112'!$M$9,2),B4546&lt;'112'!$K$9,$N4546='112'!$I$6)),"x",""))</f>
        <v/>
      </c>
      <c r="V4546" s="79" t="str">
        <f>IF(ISERROR(FIND('112'!$M$9,G4546,1)),"",IF((AND(RIGHT(G4546,2)=RIGHT('112'!$M$9,2),B4546&lt;'112'!$K$9,$O4546='112'!$I$6)),"x",""))</f>
        <v/>
      </c>
      <c r="W4546" s="79" t="str">
        <f>IF(AND('341-CT'!$H$9=H4546,OR(LEFT(N4546,3)=$W$7,LEFT(O4546,3)=$W$7)),"x","")</f>
        <v/>
      </c>
      <c r="X4546" s="79" t="str">
        <f>IF(OR(TH!N4546=TH!$X$7,O4546=TH!$X$7),"x","")</f>
        <v/>
      </c>
      <c r="Y4546" s="79" t="str">
        <f>IF(AND(OR(N4546="131",O4546="131"),H4546='131-CT'!$H$9),"x","")</f>
        <v/>
      </c>
      <c r="Z4546" s="79"/>
      <c r="AA4546" s="79" t="str">
        <f>IF(AND(MONTH(E4546)='IN-NX'!$J$5,'IN-NX'!$D$7=D4546),"x","")</f>
        <v/>
      </c>
      <c r="AB4546" s="79" t="str">
        <f>IF(AND(OR(LEFT(TH!N4546,2)="15",LEFT(TH!O4546,2)="15"),LEFT(TH!O4546,3)&lt;&gt;"111",'152-CT'!$J$8=TH!F4546),"x","")</f>
        <v/>
      </c>
      <c r="AC4546" s="79" t="str">
        <f>IF(AND(OR(LEFT(TH!N4546,2)="15",LEFT(TH!O4546,2)="15"),TK!$E$7=TH!F4546),"x","")</f>
        <v/>
      </c>
      <c r="AD4546" s="79" t="str">
        <f>IF(AND(N4546="1521",MONTH(C4546)='BK-NL'!$M$11),"x","")</f>
        <v/>
      </c>
    </row>
    <row r="4547" spans="1:30" ht="16.5" customHeight="1">
      <c r="A4547" s="318" t="str">
        <f>IF(B4547&lt;&gt;"",IF(AND(B4547='[3]IN-TC'!$S$4,OR([3]TH!N3778="1111",[3]TH!O3778="1111")),[3]TH!D3778,""),"")</f>
        <v/>
      </c>
      <c r="B4547" s="60" t="str">
        <f t="shared" si="474"/>
        <v/>
      </c>
      <c r="C4547" s="301"/>
      <c r="D4547" s="301"/>
      <c r="E4547" s="301"/>
      <c r="F4547" s="69"/>
      <c r="G4547" s="302"/>
      <c r="H4547" s="303"/>
      <c r="I4547" s="385"/>
      <c r="J4547" s="392"/>
      <c r="K4547" s="385"/>
      <c r="L4547" s="392"/>
      <c r="M4547" s="62"/>
      <c r="N4547" s="304"/>
      <c r="O4547" s="63"/>
      <c r="P4547" s="79" t="str">
        <f>IF(AND('331-CT'!$E$7=TH!H4547,OR(N4547="331",O4547="331")),"x","")</f>
        <v/>
      </c>
      <c r="Q4547" s="79" t="str">
        <f>IF(AND(B4547='111'!$L$11,OR($N4547=$Q$7,$O4547=$Q$7)),"x","")</f>
        <v/>
      </c>
      <c r="R4547" s="79" t="str">
        <f>IF(AND($N4547=$Q$7,$B4547&lt;'111'!$L$11),"x","")</f>
        <v/>
      </c>
      <c r="S4547" s="79" t="str">
        <f>IF(AND($O4547=$Q$7,$B4547&lt;'111'!$L$11),"x","")</f>
        <v/>
      </c>
      <c r="T4547" s="79" t="str">
        <f>IF(ISERROR(FIND('112'!$M$9,G4547,1)),"",IF((AND(FIND('112'!$M$9,G4547,1)&gt;=1,B4547='112'!$K$9,OR($N4547='112'!$I$6,$O4547='112'!$I$6))),"x",""))</f>
        <v/>
      </c>
      <c r="U4547" s="79" t="str">
        <f>IF(ISERROR(FIND('112'!$M$9,G4547,1)),"",IF((AND(LEFT(G4547,2)=LEFT('112'!$M$9,2),B4547&lt;'112'!$K$9,$N4547='112'!$I$6)),"x",""))</f>
        <v/>
      </c>
      <c r="V4547" s="79" t="str">
        <f>IF(ISERROR(FIND('112'!$M$9,G4547,1)),"",IF((AND(RIGHT(G4547,2)=RIGHT('112'!$M$9,2),B4547&lt;'112'!$K$9,$O4547='112'!$I$6)),"x",""))</f>
        <v/>
      </c>
      <c r="W4547" s="79" t="str">
        <f>IF(AND('341-CT'!$H$9=H4547,OR(LEFT(N4547,3)=$W$7,LEFT(O4547,3)=$W$7)),"x","")</f>
        <v/>
      </c>
      <c r="X4547" s="79" t="str">
        <f>IF(OR(TH!N4547=TH!$X$7,O4547=TH!$X$7),"x","")</f>
        <v/>
      </c>
      <c r="Y4547" s="79" t="str">
        <f>IF(AND(OR(N4547="131",O4547="131"),H4547='131-CT'!$H$9),"x","")</f>
        <v/>
      </c>
      <c r="Z4547" s="79"/>
      <c r="AA4547" s="79" t="str">
        <f>IF(AND(MONTH(E4547)='IN-NX'!$J$5,'IN-NX'!$D$7=D4547),"x","")</f>
        <v/>
      </c>
      <c r="AB4547" s="79" t="str">
        <f>IF(AND(OR(LEFT(TH!N4547,2)="15",LEFT(TH!O4547,2)="15"),LEFT(TH!O4547,3)&lt;&gt;"111",'152-CT'!$J$8=TH!F4547),"x","")</f>
        <v/>
      </c>
      <c r="AC4547" s="79" t="str">
        <f>IF(AND(OR(LEFT(TH!N4547,2)="15",LEFT(TH!O4547,2)="15"),TK!$E$7=TH!F4547),"x","")</f>
        <v/>
      </c>
      <c r="AD4547" s="79" t="str">
        <f>IF(AND(N4547="1521",MONTH(C4547)='BK-NL'!$M$11),"x","")</f>
        <v/>
      </c>
    </row>
    <row r="4548" spans="1:30" ht="16.5" customHeight="1">
      <c r="A4548" s="318" t="str">
        <f>IF(B4548&lt;&gt;"",IF(AND(B4548='[3]IN-TC'!$S$4,OR([3]TH!N3779="1111",[3]TH!O3779="1111")),[3]TH!D3779,""),"")</f>
        <v/>
      </c>
      <c r="B4548" s="60" t="str">
        <f t="shared" si="474"/>
        <v/>
      </c>
      <c r="C4548" s="301"/>
      <c r="D4548" s="301"/>
      <c r="E4548" s="301"/>
      <c r="F4548" s="69"/>
      <c r="G4548" s="988"/>
      <c r="H4548" s="303"/>
      <c r="I4548" s="385"/>
      <c r="J4548" s="969"/>
      <c r="K4548" s="385"/>
      <c r="L4548" s="392"/>
      <c r="M4548" s="970"/>
      <c r="N4548" s="304"/>
      <c r="O4548" s="304"/>
      <c r="P4548" s="79" t="str">
        <f>IF(AND('331-CT'!$E$7=TH!H4548,OR(N4548="331",O4548="331")),"x","")</f>
        <v/>
      </c>
      <c r="Q4548" s="79" t="str">
        <f>IF(AND(B4548='111'!$L$11,OR($N4548=$Q$7,$O4548=$Q$7)),"x","")</f>
        <v/>
      </c>
      <c r="R4548" s="79" t="str">
        <f>IF(AND($N4548=$Q$7,$B4548&lt;'111'!$L$11),"x","")</f>
        <v/>
      </c>
      <c r="S4548" s="79" t="str">
        <f>IF(AND($O4548=$Q$7,$B4548&lt;'111'!$L$11),"x","")</f>
        <v/>
      </c>
      <c r="T4548" s="79" t="str">
        <f>IF(ISERROR(FIND('112'!$M$9,G4548,1)),"",IF((AND(FIND('112'!$M$9,G4548,1)&gt;=1,B4548='112'!$K$9,OR($N4548='112'!$I$6,$O4548='112'!$I$6))),"x",""))</f>
        <v/>
      </c>
      <c r="U4548" s="79" t="str">
        <f>IF(ISERROR(FIND('112'!$M$9,G4548,1)),"",IF((AND(LEFT(G4548,2)=LEFT('112'!$M$9,2),B4548&lt;'112'!$K$9,$N4548='112'!$I$6)),"x",""))</f>
        <v/>
      </c>
      <c r="V4548" s="79" t="str">
        <f>IF(ISERROR(FIND('112'!$M$9,G4548,1)),"",IF((AND(RIGHT(G4548,2)=RIGHT('112'!$M$9,2),B4548&lt;'112'!$K$9,$O4548='112'!$I$6)),"x",""))</f>
        <v/>
      </c>
      <c r="W4548" s="79" t="str">
        <f>IF(AND('341-CT'!$H$9=H4548,OR(LEFT(N4548,3)=$W$7,LEFT(O4548,3)=$W$7)),"x","")</f>
        <v/>
      </c>
      <c r="X4548" s="79" t="str">
        <f>IF(OR(TH!N4548=TH!$X$7,O4548=TH!$X$7),"x","")</f>
        <v/>
      </c>
      <c r="Y4548" s="79" t="str">
        <f>IF(AND(OR(N4548="131",O4548="131"),H4548='131-CT'!$H$9),"x","")</f>
        <v/>
      </c>
      <c r="Z4548" s="79"/>
      <c r="AA4548" s="79" t="str">
        <f>IF(AND(MONTH(E4548)='IN-NX'!$J$5,'IN-NX'!$D$7=D4548),"x","")</f>
        <v/>
      </c>
      <c r="AB4548" s="79" t="str">
        <f>IF(AND(OR(LEFT(TH!N4548,2)="15",LEFT(TH!O4548,2)="15"),LEFT(TH!O4548,3)&lt;&gt;"111",'152-CT'!$J$8=TH!F4548),"x","")</f>
        <v/>
      </c>
      <c r="AC4548" s="79" t="str">
        <f>IF(AND(OR(LEFT(TH!N4548,2)="15",LEFT(TH!O4548,2)="15"),TK!$E$7=TH!F4548),"x","")</f>
        <v/>
      </c>
      <c r="AD4548" s="79" t="str">
        <f>IF(AND(N4548="1521",MONTH(C4548)='BK-NL'!$M$11),"x","")</f>
        <v/>
      </c>
    </row>
    <row r="4549" spans="1:30" ht="16.5" customHeight="1">
      <c r="A4549" s="318" t="str">
        <f>IF(B4549&lt;&gt;"",IF(AND(B4549='[3]IN-TC'!$S$4,OR([3]TH!N3780="1111",[3]TH!O3780="1111")),[3]TH!D3780,""),"")</f>
        <v/>
      </c>
      <c r="B4549" s="60" t="str">
        <f t="shared" si="474"/>
        <v/>
      </c>
      <c r="C4549" s="301"/>
      <c r="D4549" s="301"/>
      <c r="E4549" s="301"/>
      <c r="F4549" s="69"/>
      <c r="G4549" s="302"/>
      <c r="H4549" s="303"/>
      <c r="I4549" s="385"/>
      <c r="J4549" s="392"/>
      <c r="K4549" s="385"/>
      <c r="L4549" s="392"/>
      <c r="M4549" s="62"/>
      <c r="N4549" s="304"/>
      <c r="O4549" s="63"/>
      <c r="P4549" s="79" t="str">
        <f>IF(AND('331-CT'!$E$7=TH!H4549,OR(N4549="331",O4549="331")),"x","")</f>
        <v/>
      </c>
      <c r="Q4549" s="79" t="str">
        <f>IF(AND(B4549='111'!$L$11,OR($N4549=$Q$7,$O4549=$Q$7)),"x","")</f>
        <v/>
      </c>
      <c r="R4549" s="79" t="str">
        <f>IF(AND($N4549=$Q$7,$B4549&lt;'111'!$L$11),"x","")</f>
        <v/>
      </c>
      <c r="S4549" s="79" t="str">
        <f>IF(AND($O4549=$Q$7,$B4549&lt;'111'!$L$11),"x","")</f>
        <v/>
      </c>
      <c r="T4549" s="79" t="str">
        <f>IF(ISERROR(FIND('112'!$M$9,G4549,1)),"",IF((AND(FIND('112'!$M$9,G4549,1)&gt;=1,B4549='112'!$K$9,OR($N4549='112'!$I$6,$O4549='112'!$I$6))),"x",""))</f>
        <v/>
      </c>
      <c r="U4549" s="79" t="str">
        <f>IF(ISERROR(FIND('112'!$M$9,G4549,1)),"",IF((AND(LEFT(G4549,2)=LEFT('112'!$M$9,2),B4549&lt;'112'!$K$9,$N4549='112'!$I$6)),"x",""))</f>
        <v/>
      </c>
      <c r="V4549" s="79" t="str">
        <f>IF(ISERROR(FIND('112'!$M$9,G4549,1)),"",IF((AND(RIGHT(G4549,2)=RIGHT('112'!$M$9,2),B4549&lt;'112'!$K$9,$O4549='112'!$I$6)),"x",""))</f>
        <v/>
      </c>
      <c r="W4549" s="79" t="str">
        <f>IF(AND('341-CT'!$H$9=H4549,OR(LEFT(N4549,3)=$W$7,LEFT(O4549,3)=$W$7)),"x","")</f>
        <v/>
      </c>
      <c r="X4549" s="79" t="str">
        <f>IF(OR(TH!N4549=TH!$X$7,O4549=TH!$X$7),"x","")</f>
        <v/>
      </c>
      <c r="Y4549" s="79" t="str">
        <f>IF(AND(OR(N4549="131",O4549="131"),H4549='131-CT'!$H$9),"x","")</f>
        <v/>
      </c>
      <c r="Z4549" s="79"/>
      <c r="AA4549" s="79" t="str">
        <f>IF(AND(MONTH(E4549)='IN-NX'!$J$5,'IN-NX'!$D$7=D4549),"x","")</f>
        <v/>
      </c>
      <c r="AB4549" s="79" t="str">
        <f>IF(AND(OR(LEFT(TH!N4549,2)="15",LEFT(TH!O4549,2)="15"),LEFT(TH!O4549,3)&lt;&gt;"111",'152-CT'!$J$8=TH!F4549),"x","")</f>
        <v/>
      </c>
      <c r="AC4549" s="79" t="str">
        <f>IF(AND(OR(LEFT(TH!N4549,2)="15",LEFT(TH!O4549,2)="15"),TK!$E$7=TH!F4549),"x","")</f>
        <v/>
      </c>
      <c r="AD4549" s="79" t="str">
        <f>IF(AND(N4549="1521",MONTH(C4549)='BK-NL'!$M$11),"x","")</f>
        <v/>
      </c>
    </row>
    <row r="4550" spans="1:30" ht="16.5" customHeight="1">
      <c r="A4550" s="318" t="str">
        <f>IF(B4550&lt;&gt;"",IF(AND(B4550='[3]IN-TC'!$S$4,OR([3]TH!N3781="1111",[3]TH!O3781="1111")),[3]TH!D3781,""),"")</f>
        <v/>
      </c>
      <c r="B4550" s="60" t="str">
        <f t="shared" si="474"/>
        <v/>
      </c>
      <c r="C4550" s="301"/>
      <c r="D4550" s="301"/>
      <c r="E4550" s="301"/>
      <c r="F4550" s="69"/>
      <c r="G4550" s="302"/>
      <c r="H4550" s="303"/>
      <c r="I4550" s="385"/>
      <c r="J4550" s="392"/>
      <c r="K4550" s="385"/>
      <c r="L4550" s="392"/>
      <c r="M4550" s="62"/>
      <c r="N4550" s="304"/>
      <c r="O4550" s="63"/>
      <c r="P4550" s="79" t="str">
        <f>IF(AND('331-CT'!$E$7=TH!H4550,OR(N4550="331",O4550="331")),"x","")</f>
        <v/>
      </c>
      <c r="Q4550" s="79" t="str">
        <f>IF(AND(B4550='111'!$L$11,OR($N4550=$Q$7,$O4550=$Q$7)),"x","")</f>
        <v/>
      </c>
      <c r="R4550" s="79" t="str">
        <f>IF(AND($N4550=$Q$7,$B4550&lt;'111'!$L$11),"x","")</f>
        <v/>
      </c>
      <c r="S4550" s="79" t="str">
        <f>IF(AND($O4550=$Q$7,$B4550&lt;'111'!$L$11),"x","")</f>
        <v/>
      </c>
      <c r="T4550" s="79" t="str">
        <f>IF(ISERROR(FIND('112'!$M$9,G4550,1)),"",IF((AND(FIND('112'!$M$9,G4550,1)&gt;=1,B4550='112'!$K$9,OR($N4550='112'!$I$6,$O4550='112'!$I$6))),"x",""))</f>
        <v/>
      </c>
      <c r="U4550" s="79" t="str">
        <f>IF(ISERROR(FIND('112'!$M$9,G4550,1)),"",IF((AND(LEFT(G4550,2)=LEFT('112'!$M$9,2),B4550&lt;'112'!$K$9,$N4550='112'!$I$6)),"x",""))</f>
        <v/>
      </c>
      <c r="V4550" s="79" t="str">
        <f>IF(ISERROR(FIND('112'!$M$9,G4550,1)),"",IF((AND(RIGHT(G4550,2)=RIGHT('112'!$M$9,2),B4550&lt;'112'!$K$9,$O4550='112'!$I$6)),"x",""))</f>
        <v/>
      </c>
      <c r="W4550" s="79" t="str">
        <f>IF(AND('341-CT'!$H$9=H4550,OR(LEFT(N4550,3)=$W$7,LEFT(O4550,3)=$W$7)),"x","")</f>
        <v/>
      </c>
      <c r="X4550" s="79" t="str">
        <f>IF(OR(TH!N4550=TH!$X$7,O4550=TH!$X$7),"x","")</f>
        <v/>
      </c>
      <c r="Y4550" s="79" t="str">
        <f>IF(AND(OR(N4550="131",O4550="131"),H4550='131-CT'!$H$9),"x","")</f>
        <v/>
      </c>
      <c r="Z4550" s="79"/>
      <c r="AA4550" s="79" t="str">
        <f>IF(AND(MONTH(E4550)='IN-NX'!$J$5,'IN-NX'!$D$7=D4550),"x","")</f>
        <v/>
      </c>
      <c r="AB4550" s="79" t="str">
        <f>IF(AND(OR(LEFT(TH!N4550,2)="15",LEFT(TH!O4550,2)="15"),LEFT(TH!O4550,3)&lt;&gt;"111",'152-CT'!$J$8=TH!F4550),"x","")</f>
        <v/>
      </c>
      <c r="AC4550" s="79" t="str">
        <f>IF(AND(OR(LEFT(TH!N4550,2)="15",LEFT(TH!O4550,2)="15"),TK!$E$7=TH!F4550),"x","")</f>
        <v/>
      </c>
      <c r="AD4550" s="79" t="str">
        <f>IF(AND(N4550="1521",MONTH(C4550)='BK-NL'!$M$11),"x","")</f>
        <v/>
      </c>
    </row>
    <row r="4551" spans="1:30" ht="16.5" customHeight="1">
      <c r="A4551" s="318" t="str">
        <f>IF(B4551&lt;&gt;"",IF(AND(B4551='[3]IN-TC'!$S$4,OR([3]TH!N3782="1111",[3]TH!O3782="1111")),[3]TH!D3782,""),"")</f>
        <v/>
      </c>
      <c r="B4551" s="60" t="str">
        <f t="shared" si="474"/>
        <v/>
      </c>
      <c r="C4551" s="301"/>
      <c r="D4551" s="301"/>
      <c r="E4551" s="301"/>
      <c r="F4551" s="69"/>
      <c r="G4551" s="302"/>
      <c r="H4551" s="303"/>
      <c r="I4551" s="385"/>
      <c r="J4551" s="392"/>
      <c r="K4551" s="385"/>
      <c r="L4551" s="392"/>
      <c r="M4551" s="62"/>
      <c r="N4551" s="304"/>
      <c r="O4551" s="63"/>
      <c r="P4551" s="79" t="str">
        <f>IF(AND('331-CT'!$E$7=TH!H4551,OR(N4551="331",O4551="331")),"x","")</f>
        <v/>
      </c>
      <c r="Q4551" s="79" t="str">
        <f>IF(AND(B4551='111'!$L$11,OR($N4551=$Q$7,$O4551=$Q$7)),"x","")</f>
        <v/>
      </c>
      <c r="R4551" s="79" t="str">
        <f>IF(AND($N4551=$Q$7,$B4551&lt;'111'!$L$11),"x","")</f>
        <v/>
      </c>
      <c r="S4551" s="79" t="str">
        <f>IF(AND($O4551=$Q$7,$B4551&lt;'111'!$L$11),"x","")</f>
        <v/>
      </c>
      <c r="T4551" s="79" t="str">
        <f>IF(ISERROR(FIND('112'!$M$9,G4551,1)),"",IF((AND(FIND('112'!$M$9,G4551,1)&gt;=1,B4551='112'!$K$9,OR($N4551='112'!$I$6,$O4551='112'!$I$6))),"x",""))</f>
        <v/>
      </c>
      <c r="U4551" s="79" t="str">
        <f>IF(ISERROR(FIND('112'!$M$9,G4551,1)),"",IF((AND(LEFT(G4551,2)=LEFT('112'!$M$9,2),B4551&lt;'112'!$K$9,$N4551='112'!$I$6)),"x",""))</f>
        <v/>
      </c>
      <c r="V4551" s="79" t="str">
        <f>IF(ISERROR(FIND('112'!$M$9,G4551,1)),"",IF((AND(RIGHT(G4551,2)=RIGHT('112'!$M$9,2),B4551&lt;'112'!$K$9,$O4551='112'!$I$6)),"x",""))</f>
        <v/>
      </c>
      <c r="W4551" s="79" t="str">
        <f>IF(AND('341-CT'!$H$9=H4551,OR(LEFT(N4551,3)=$W$7,LEFT(O4551,3)=$W$7)),"x","")</f>
        <v/>
      </c>
      <c r="X4551" s="79" t="str">
        <f>IF(OR(TH!N4551=TH!$X$7,O4551=TH!$X$7),"x","")</f>
        <v/>
      </c>
      <c r="Y4551" s="79" t="str">
        <f>IF(AND(OR(N4551="131",O4551="131"),H4551='131-CT'!$H$9),"x","")</f>
        <v/>
      </c>
      <c r="Z4551" s="79"/>
      <c r="AA4551" s="79" t="str">
        <f>IF(AND(MONTH(E4551)='IN-NX'!$J$5,'IN-NX'!$D$7=D4551),"x","")</f>
        <v/>
      </c>
      <c r="AB4551" s="79" t="str">
        <f>IF(AND(OR(LEFT(TH!N4551,2)="15",LEFT(TH!O4551,2)="15"),LEFT(TH!O4551,3)&lt;&gt;"111",'152-CT'!$J$8=TH!F4551),"x","")</f>
        <v/>
      </c>
      <c r="AC4551" s="79" t="str">
        <f>IF(AND(OR(LEFT(TH!N4551,2)="15",LEFT(TH!O4551,2)="15"),TK!$E$7=TH!F4551),"x","")</f>
        <v/>
      </c>
      <c r="AD4551" s="79" t="str">
        <f>IF(AND(N4551="1521",MONTH(C4551)='BK-NL'!$M$11),"x","")</f>
        <v/>
      </c>
    </row>
    <row r="4552" spans="1:30" ht="16.5" customHeight="1">
      <c r="A4552" s="318" t="str">
        <f>IF(B4552&lt;&gt;"",IF(AND(B4552='[3]IN-TC'!$S$4,OR([3]TH!N3783="1111",[3]TH!O3783="1111")),[3]TH!D3783,""),"")</f>
        <v/>
      </c>
      <c r="B4552" s="60" t="str">
        <f t="shared" si="474"/>
        <v/>
      </c>
      <c r="C4552" s="301"/>
      <c r="D4552" s="301"/>
      <c r="E4552" s="301"/>
      <c r="F4552" s="69"/>
      <c r="G4552" s="302"/>
      <c r="H4552" s="303"/>
      <c r="I4552" s="385"/>
      <c r="J4552" s="392"/>
      <c r="K4552" s="385"/>
      <c r="L4552" s="392"/>
      <c r="M4552" s="62"/>
      <c r="N4552" s="304"/>
      <c r="O4552" s="63"/>
      <c r="P4552" s="79" t="str">
        <f>IF(AND('331-CT'!$E$7=TH!H4552,OR(N4552="331",O4552="331")),"x","")</f>
        <v/>
      </c>
      <c r="Q4552" s="79" t="str">
        <f>IF(AND(B4552='111'!$L$11,OR($N4552=$Q$7,$O4552=$Q$7)),"x","")</f>
        <v/>
      </c>
      <c r="R4552" s="79" t="str">
        <f>IF(AND($N4552=$Q$7,$B4552&lt;'111'!$L$11),"x","")</f>
        <v/>
      </c>
      <c r="S4552" s="79" t="str">
        <f>IF(AND($O4552=$Q$7,$B4552&lt;'111'!$L$11),"x","")</f>
        <v/>
      </c>
      <c r="T4552" s="79" t="str">
        <f>IF(ISERROR(FIND('112'!$M$9,G4552,1)),"",IF((AND(FIND('112'!$M$9,G4552,1)&gt;=1,B4552='112'!$K$9,OR($N4552='112'!$I$6,$O4552='112'!$I$6))),"x",""))</f>
        <v/>
      </c>
      <c r="U4552" s="79" t="str">
        <f>IF(ISERROR(FIND('112'!$M$9,G4552,1)),"",IF((AND(LEFT(G4552,2)=LEFT('112'!$M$9,2),B4552&lt;'112'!$K$9,$N4552='112'!$I$6)),"x",""))</f>
        <v/>
      </c>
      <c r="V4552" s="79" t="str">
        <f>IF(ISERROR(FIND('112'!$M$9,G4552,1)),"",IF((AND(RIGHT(G4552,2)=RIGHT('112'!$M$9,2),B4552&lt;'112'!$K$9,$O4552='112'!$I$6)),"x",""))</f>
        <v/>
      </c>
      <c r="W4552" s="79" t="str">
        <f>IF(AND('341-CT'!$H$9=H4552,OR(LEFT(N4552,3)=$W$7,LEFT(O4552,3)=$W$7)),"x","")</f>
        <v/>
      </c>
      <c r="X4552" s="79" t="str">
        <f>IF(OR(TH!N4552=TH!$X$7,O4552=TH!$X$7),"x","")</f>
        <v/>
      </c>
      <c r="Y4552" s="79" t="str">
        <f>IF(AND(OR(N4552="131",O4552="131"),H4552='131-CT'!$H$9),"x","")</f>
        <v/>
      </c>
      <c r="Z4552" s="79"/>
      <c r="AA4552" s="79" t="str">
        <f>IF(AND(MONTH(E4552)='IN-NX'!$J$5,'IN-NX'!$D$7=D4552),"x","")</f>
        <v/>
      </c>
      <c r="AB4552" s="79" t="str">
        <f>IF(AND(OR(LEFT(TH!N4552,2)="15",LEFT(TH!O4552,2)="15"),LEFT(TH!O4552,3)&lt;&gt;"111",'152-CT'!$J$8=TH!F4552),"x","")</f>
        <v/>
      </c>
      <c r="AC4552" s="79" t="str">
        <f>IF(AND(OR(LEFT(TH!N4552,2)="15",LEFT(TH!O4552,2)="15"),TK!$E$7=TH!F4552),"x","")</f>
        <v/>
      </c>
      <c r="AD4552" s="79" t="str">
        <f>IF(AND(N4552="1521",MONTH(C4552)='BK-NL'!$M$11),"x","")</f>
        <v/>
      </c>
    </row>
    <row r="4553" spans="1:30" ht="16.5" customHeight="1">
      <c r="A4553" s="318" t="str">
        <f>IF(B4553&lt;&gt;"",IF(AND(B4553='[3]IN-TC'!$S$4,OR([3]TH!N3784="1111",[3]TH!O3784="1111")),[3]TH!D3784,""),"")</f>
        <v/>
      </c>
      <c r="B4553" s="60" t="str">
        <f t="shared" si="474"/>
        <v/>
      </c>
      <c r="C4553" s="301"/>
      <c r="D4553" s="301"/>
      <c r="E4553" s="301"/>
      <c r="F4553" s="69"/>
      <c r="G4553" s="302"/>
      <c r="H4553" s="303"/>
      <c r="I4553" s="385"/>
      <c r="J4553" s="392"/>
      <c r="K4553" s="385"/>
      <c r="L4553" s="392"/>
      <c r="M4553" s="62"/>
      <c r="N4553" s="304"/>
      <c r="O4553" s="63"/>
      <c r="P4553" s="79" t="str">
        <f>IF(AND('331-CT'!$E$7=TH!H4553,OR(N4553="331",O4553="331")),"x","")</f>
        <v/>
      </c>
      <c r="Q4553" s="79" t="str">
        <f>IF(AND(B4553='111'!$L$11,OR($N4553=$Q$7,$O4553=$Q$7)),"x","")</f>
        <v/>
      </c>
      <c r="R4553" s="79" t="str">
        <f>IF(AND($N4553=$Q$7,$B4553&lt;'111'!$L$11),"x","")</f>
        <v/>
      </c>
      <c r="S4553" s="79" t="str">
        <f>IF(AND($O4553=$Q$7,$B4553&lt;'111'!$L$11),"x","")</f>
        <v/>
      </c>
      <c r="T4553" s="79" t="str">
        <f>IF(ISERROR(FIND('112'!$M$9,G4553,1)),"",IF((AND(FIND('112'!$M$9,G4553,1)&gt;=1,B4553='112'!$K$9,OR($N4553='112'!$I$6,$O4553='112'!$I$6))),"x",""))</f>
        <v/>
      </c>
      <c r="U4553" s="79" t="str">
        <f>IF(ISERROR(FIND('112'!$M$9,G4553,1)),"",IF((AND(LEFT(G4553,2)=LEFT('112'!$M$9,2),B4553&lt;'112'!$K$9,$N4553='112'!$I$6)),"x",""))</f>
        <v/>
      </c>
      <c r="V4553" s="79" t="str">
        <f>IF(ISERROR(FIND('112'!$M$9,G4553,1)),"",IF((AND(RIGHT(G4553,2)=RIGHT('112'!$M$9,2),B4553&lt;'112'!$K$9,$O4553='112'!$I$6)),"x",""))</f>
        <v/>
      </c>
      <c r="W4553" s="79" t="str">
        <f>IF(AND('341-CT'!$H$9=H4553,OR(LEFT(N4553,3)=$W$7,LEFT(O4553,3)=$W$7)),"x","")</f>
        <v/>
      </c>
      <c r="X4553" s="79" t="str">
        <f>IF(OR(TH!N4553=TH!$X$7,O4553=TH!$X$7),"x","")</f>
        <v/>
      </c>
      <c r="Y4553" s="79" t="str">
        <f>IF(AND(OR(N4553="131",O4553="131"),H4553='131-CT'!$H$9),"x","")</f>
        <v/>
      </c>
      <c r="Z4553" s="79"/>
      <c r="AA4553" s="79" t="str">
        <f>IF(AND(MONTH(E4553)='IN-NX'!$J$5,'IN-NX'!$D$7=D4553),"x","")</f>
        <v/>
      </c>
      <c r="AB4553" s="79" t="str">
        <f>IF(AND(OR(LEFT(TH!N4553,2)="15",LEFT(TH!O4553,2)="15"),LEFT(TH!O4553,3)&lt;&gt;"111",'152-CT'!$J$8=TH!F4553),"x","")</f>
        <v/>
      </c>
      <c r="AC4553" s="79" t="str">
        <f>IF(AND(OR(LEFT(TH!N4553,2)="15",LEFT(TH!O4553,2)="15"),TK!$E$7=TH!F4553),"x","")</f>
        <v/>
      </c>
      <c r="AD4553" s="79" t="str">
        <f>IF(AND(N4553="1521",MONTH(C4553)='BK-NL'!$M$11),"x","")</f>
        <v/>
      </c>
    </row>
    <row r="4554" spans="1:30" ht="16.5" customHeight="1">
      <c r="A4554" s="318" t="str">
        <f>IF(B4554&lt;&gt;"",IF(AND(B4554='[3]IN-TC'!$S$4,OR([3]TH!N3785="1111",[3]TH!O3785="1111")),[3]TH!D3785,""),"")</f>
        <v/>
      </c>
      <c r="B4554" s="60" t="str">
        <f t="shared" si="474"/>
        <v/>
      </c>
      <c r="C4554" s="61"/>
      <c r="D4554" s="301"/>
      <c r="E4554" s="61"/>
      <c r="F4554" s="64"/>
      <c r="G4554" s="302"/>
      <c r="H4554" s="303"/>
      <c r="I4554" s="387"/>
      <c r="J4554" s="394"/>
      <c r="K4554" s="387"/>
      <c r="L4554" s="394"/>
      <c r="M4554" s="62"/>
      <c r="N4554" s="63"/>
      <c r="O4554" s="304"/>
      <c r="P4554" s="79" t="str">
        <f>IF(AND('331-CT'!$E$7=TH!H4554,OR(N4554="331",O4554="331")),"x","")</f>
        <v/>
      </c>
      <c r="Q4554" s="79" t="str">
        <f>IF(AND(B4554='111'!$L$11,OR($N4554=$Q$7,$O4554=$Q$7)),"x","")</f>
        <v/>
      </c>
      <c r="R4554" s="79" t="str">
        <f>IF(AND($N4554=$Q$7,$B4554&lt;'111'!$L$11),"x","")</f>
        <v/>
      </c>
      <c r="S4554" s="79" t="str">
        <f>IF(AND($O4554=$Q$7,$B4554&lt;'111'!$L$11),"x","")</f>
        <v/>
      </c>
      <c r="T4554" s="79" t="str">
        <f>IF(ISERROR(FIND('112'!$M$9,G4554,1)),"",IF((AND(FIND('112'!$M$9,G4554,1)&gt;=1,B4554='112'!$K$9,OR($N4554='112'!$I$6,$O4554='112'!$I$6))),"x",""))</f>
        <v/>
      </c>
      <c r="U4554" s="79" t="str">
        <f>IF(ISERROR(FIND('112'!$M$9,G4554,1)),"",IF((AND(LEFT(G4554,2)=LEFT('112'!$M$9,2),B4554&lt;'112'!$K$9,$N4554='112'!$I$6)),"x",""))</f>
        <v/>
      </c>
      <c r="V4554" s="79" t="str">
        <f>IF(ISERROR(FIND('112'!$M$9,G4554,1)),"",IF((AND(RIGHT(G4554,2)=RIGHT('112'!$M$9,2),B4554&lt;'112'!$K$9,$O4554='112'!$I$6)),"x",""))</f>
        <v/>
      </c>
      <c r="W4554" s="79" t="str">
        <f>IF(AND('341-CT'!$H$9=H4554,OR(LEFT(N4554,3)=$W$7,LEFT(O4554,3)=$W$7)),"x","")</f>
        <v/>
      </c>
      <c r="X4554" s="79" t="str">
        <f>IF(OR(TH!N4554=TH!$X$7,O4554=TH!$X$7),"x","")</f>
        <v/>
      </c>
      <c r="Y4554" s="79" t="str">
        <f>IF(AND(OR(N4554="131",O4554="131"),H4554='131-CT'!$H$9),"x","")</f>
        <v/>
      </c>
      <c r="Z4554" s="79"/>
      <c r="AA4554" s="79" t="str">
        <f>IF(AND(MONTH(E4554)='IN-NX'!$J$5,'IN-NX'!$D$7=D4554),"x","")</f>
        <v/>
      </c>
      <c r="AB4554" s="79" t="str">
        <f>IF(AND(OR(LEFT(TH!N4554,2)="15",LEFT(TH!O4554,2)="15"),LEFT(TH!O4554,3)&lt;&gt;"111",'152-CT'!$J$8=TH!F4554),"x","")</f>
        <v/>
      </c>
      <c r="AC4554" s="79" t="str">
        <f>IF(AND(OR(LEFT(TH!N4554,2)="15",LEFT(TH!O4554,2)="15"),TK!$E$7=TH!F4554),"x","")</f>
        <v/>
      </c>
      <c r="AD4554" s="79" t="str">
        <f>IF(AND(N4554="1521",MONTH(C4554)='BK-NL'!$M$11),"x","")</f>
        <v/>
      </c>
    </row>
    <row r="4555" spans="1:30" ht="16.5" customHeight="1">
      <c r="A4555" s="318" t="str">
        <f>IF(B4555&lt;&gt;"",IF(AND(B4555='[3]IN-TC'!$S$4,OR([3]TH!N3786="1111",[3]TH!O3786="1111")),[3]TH!D3786,""),"")</f>
        <v/>
      </c>
      <c r="B4555" s="60" t="str">
        <f t="shared" si="474"/>
        <v/>
      </c>
      <c r="C4555" s="301"/>
      <c r="D4555" s="301"/>
      <c r="E4555" s="301"/>
      <c r="F4555" s="302"/>
      <c r="G4555" s="988"/>
      <c r="H4555" s="69"/>
      <c r="I4555" s="385"/>
      <c r="J4555" s="969"/>
      <c r="K4555" s="385"/>
      <c r="L4555" s="392"/>
      <c r="M4555" s="970"/>
      <c r="N4555" s="304"/>
      <c r="O4555" s="304"/>
      <c r="P4555" s="79" t="str">
        <f>IF(AND('331-CT'!$E$7=TH!H4555,OR(N4555="331",O4555="331")),"x","")</f>
        <v/>
      </c>
      <c r="Q4555" s="79" t="str">
        <f>IF(AND(B4555='111'!$L$11,OR($N4555=$Q$7,$O4555=$Q$7)),"x","")</f>
        <v/>
      </c>
      <c r="R4555" s="79" t="str">
        <f>IF(AND($N4555=$Q$7,$B4555&lt;'111'!$L$11),"x","")</f>
        <v/>
      </c>
      <c r="S4555" s="79" t="str">
        <f>IF(AND($O4555=$Q$7,$B4555&lt;'111'!$L$11),"x","")</f>
        <v/>
      </c>
      <c r="T4555" s="79" t="str">
        <f>IF(ISERROR(FIND('112'!$M$9,G4555,1)),"",IF((AND(FIND('112'!$M$9,G4555,1)&gt;=1,B4555='112'!$K$9,OR($N4555='112'!$I$6,$O4555='112'!$I$6))),"x",""))</f>
        <v/>
      </c>
      <c r="U4555" s="79" t="str">
        <f>IF(ISERROR(FIND('112'!$M$9,G4555,1)),"",IF((AND(LEFT(G4555,2)=LEFT('112'!$M$9,2),B4555&lt;'112'!$K$9,$N4555='112'!$I$6)),"x",""))</f>
        <v/>
      </c>
      <c r="V4555" s="79" t="str">
        <f>IF(ISERROR(FIND('112'!$M$9,G4555,1)),"",IF((AND(RIGHT(G4555,2)=RIGHT('112'!$M$9,2),B4555&lt;'112'!$K$9,$O4555='112'!$I$6)),"x",""))</f>
        <v/>
      </c>
      <c r="W4555" s="79" t="str">
        <f>IF(AND('341-CT'!$H$9=H4555,OR(LEFT(N4555,3)=$W$7,LEFT(O4555,3)=$W$7)),"x","")</f>
        <v/>
      </c>
      <c r="X4555" s="79" t="str">
        <f>IF(OR(TH!N4555=TH!$X$7,O4555=TH!$X$7),"x","")</f>
        <v/>
      </c>
      <c r="Y4555" s="79" t="str">
        <f>IF(AND(OR(N4555="131",O4555="131"),H4555='131-CT'!$H$9),"x","")</f>
        <v/>
      </c>
      <c r="Z4555" s="79"/>
      <c r="AA4555" s="79" t="str">
        <f>IF(AND(MONTH(E4555)='IN-NX'!$J$5,'IN-NX'!$D$7=D4555),"x","")</f>
        <v/>
      </c>
      <c r="AB4555" s="79" t="str">
        <f>IF(AND(OR(LEFT(TH!N4555,2)="15",LEFT(TH!O4555,2)="15"),LEFT(TH!O4555,3)&lt;&gt;"111",'152-CT'!$J$8=TH!F4555),"x","")</f>
        <v/>
      </c>
      <c r="AC4555" s="79" t="str">
        <f>IF(AND(OR(LEFT(TH!N4555,2)="15",LEFT(TH!O4555,2)="15"),TK!$E$7=TH!F4555),"x","")</f>
        <v/>
      </c>
      <c r="AD4555" s="79" t="str">
        <f>IF(AND(N4555="1521",MONTH(C4555)='BK-NL'!$M$11),"x","")</f>
        <v/>
      </c>
    </row>
    <row r="4556" spans="1:30" ht="16.5" customHeight="1">
      <c r="A4556" s="318" t="str">
        <f>IF(B4556&lt;&gt;"",IF(AND(B4556='[3]IN-TC'!$S$4,OR([3]TH!N3787="1111",[3]TH!O3787="1111")),[3]TH!D3787,""),"")</f>
        <v/>
      </c>
      <c r="B4556" s="60" t="str">
        <f t="shared" si="474"/>
        <v/>
      </c>
      <c r="C4556" s="61"/>
      <c r="D4556" s="61"/>
      <c r="E4556" s="61"/>
      <c r="F4556" s="302"/>
      <c r="G4556" s="302"/>
      <c r="H4556" s="303"/>
      <c r="I4556" s="385"/>
      <c r="J4556" s="392"/>
      <c r="K4556" s="385"/>
      <c r="L4556" s="392"/>
      <c r="M4556" s="62"/>
      <c r="N4556" s="63"/>
      <c r="O4556" s="63"/>
      <c r="P4556" s="79" t="str">
        <f>IF(AND('331-CT'!$E$7=TH!H4556,OR(N4556="331",O4556="331")),"x","")</f>
        <v/>
      </c>
      <c r="Q4556" s="79" t="str">
        <f>IF(AND(B4556='111'!$L$11,OR($N4556=$Q$7,$O4556=$Q$7)),"x","")</f>
        <v/>
      </c>
      <c r="R4556" s="79" t="str">
        <f>IF(AND($N4556=$Q$7,$B4556&lt;'111'!$L$11),"x","")</f>
        <v/>
      </c>
      <c r="S4556" s="79" t="str">
        <f>IF(AND($O4556=$Q$7,$B4556&lt;'111'!$L$11),"x","")</f>
        <v/>
      </c>
      <c r="T4556" s="79" t="str">
        <f>IF(ISERROR(FIND('112'!$M$9,G4556,1)),"",IF((AND(FIND('112'!$M$9,G4556,1)&gt;=1,B4556='112'!$K$9,OR($N4556='112'!$I$6,$O4556='112'!$I$6))),"x",""))</f>
        <v/>
      </c>
      <c r="U4556" s="79" t="str">
        <f>IF(ISERROR(FIND('112'!$M$9,G4556,1)),"",IF((AND(LEFT(G4556,2)=LEFT('112'!$M$9,2),B4556&lt;'112'!$K$9,$N4556='112'!$I$6)),"x",""))</f>
        <v/>
      </c>
      <c r="V4556" s="79" t="str">
        <f>IF(ISERROR(FIND('112'!$M$9,G4556,1)),"",IF((AND(RIGHT(G4556,2)=RIGHT('112'!$M$9,2),B4556&lt;'112'!$K$9,$O4556='112'!$I$6)),"x",""))</f>
        <v/>
      </c>
      <c r="W4556" s="79" t="str">
        <f>IF(AND('341-CT'!$H$9=H4556,OR(LEFT(N4556,3)=$W$7,LEFT(O4556,3)=$W$7)),"x","")</f>
        <v/>
      </c>
      <c r="X4556" s="79" t="str">
        <f>IF(OR(TH!N4556=TH!$X$7,O4556=TH!$X$7),"x","")</f>
        <v/>
      </c>
      <c r="Y4556" s="79" t="str">
        <f>IF(AND(OR(N4556="131",O4556="131"),H4556='131-CT'!$H$9),"x","")</f>
        <v/>
      </c>
      <c r="Z4556" s="79"/>
      <c r="AA4556" s="79" t="str">
        <f>IF(AND(MONTH(E4556)='IN-NX'!$J$5,'IN-NX'!$D$7=D4556),"x","")</f>
        <v/>
      </c>
      <c r="AB4556" s="79" t="str">
        <f>IF(AND(OR(LEFT(TH!N4556,2)="15",LEFT(TH!O4556,2)="15"),LEFT(TH!O4556,3)&lt;&gt;"111",'152-CT'!$J$8=TH!F4556),"x","")</f>
        <v/>
      </c>
      <c r="AC4556" s="79" t="str">
        <f>IF(AND(OR(LEFT(TH!N4556,2)="15",LEFT(TH!O4556,2)="15"),TK!$E$7=TH!F4556),"x","")</f>
        <v/>
      </c>
      <c r="AD4556" s="79" t="str">
        <f>IF(AND(N4556="1521",MONTH(C4556)='BK-NL'!$M$11),"x","")</f>
        <v/>
      </c>
    </row>
    <row r="4557" spans="1:30" ht="16.5" customHeight="1">
      <c r="A4557" s="318" t="str">
        <f>IF(B4557&lt;&gt;"",IF(AND(B4557='[3]IN-TC'!$S$4,OR([3]TH!N3788="1111",[3]TH!O3788="1111")),[3]TH!D3788,""),"")</f>
        <v/>
      </c>
      <c r="B4557" s="60" t="str">
        <f t="shared" si="474"/>
        <v/>
      </c>
      <c r="C4557" s="301"/>
      <c r="D4557" s="301"/>
      <c r="E4557" s="301"/>
      <c r="F4557" s="69"/>
      <c r="G4557" s="302"/>
      <c r="H4557" s="303"/>
      <c r="I4557" s="385"/>
      <c r="J4557" s="392"/>
      <c r="K4557" s="385"/>
      <c r="L4557" s="392"/>
      <c r="M4557" s="62"/>
      <c r="N4557" s="304"/>
      <c r="O4557" s="63"/>
      <c r="P4557" s="79" t="str">
        <f>IF(AND('331-CT'!$E$7=TH!H4557,OR(N4557="331",O4557="331")),"x","")</f>
        <v/>
      </c>
      <c r="Q4557" s="79" t="str">
        <f>IF(AND(B4557='111'!$L$11,OR($N4557=$Q$7,$O4557=$Q$7)),"x","")</f>
        <v/>
      </c>
      <c r="R4557" s="79" t="str">
        <f>IF(AND($N4557=$Q$7,$B4557&lt;'111'!$L$11),"x","")</f>
        <v/>
      </c>
      <c r="S4557" s="79" t="str">
        <f>IF(AND($O4557=$Q$7,$B4557&lt;'111'!$L$11),"x","")</f>
        <v/>
      </c>
      <c r="T4557" s="79" t="str">
        <f>IF(ISERROR(FIND('112'!$M$9,G4557,1)),"",IF((AND(FIND('112'!$M$9,G4557,1)&gt;=1,B4557='112'!$K$9,OR($N4557='112'!$I$6,$O4557='112'!$I$6))),"x",""))</f>
        <v/>
      </c>
      <c r="U4557" s="79" t="str">
        <f>IF(ISERROR(FIND('112'!$M$9,G4557,1)),"",IF((AND(LEFT(G4557,2)=LEFT('112'!$M$9,2),B4557&lt;'112'!$K$9,$N4557='112'!$I$6)),"x",""))</f>
        <v/>
      </c>
      <c r="V4557" s="79" t="str">
        <f>IF(ISERROR(FIND('112'!$M$9,G4557,1)),"",IF((AND(RIGHT(G4557,2)=RIGHT('112'!$M$9,2),B4557&lt;'112'!$K$9,$O4557='112'!$I$6)),"x",""))</f>
        <v/>
      </c>
      <c r="W4557" s="79" t="str">
        <f>IF(AND('341-CT'!$H$9=H4557,OR(LEFT(N4557,3)=$W$7,LEFT(O4557,3)=$W$7)),"x","")</f>
        <v/>
      </c>
      <c r="X4557" s="79" t="str">
        <f>IF(OR(TH!N4557=TH!$X$7,O4557=TH!$X$7),"x","")</f>
        <v/>
      </c>
      <c r="Y4557" s="79" t="str">
        <f>IF(AND(OR(N4557="131",O4557="131"),H4557='131-CT'!$H$9),"x","")</f>
        <v/>
      </c>
      <c r="Z4557" s="79"/>
      <c r="AA4557" s="79" t="str">
        <f>IF(AND(MONTH(E4557)='IN-NX'!$J$5,'IN-NX'!$D$7=D4557),"x","")</f>
        <v/>
      </c>
      <c r="AB4557" s="79" t="str">
        <f>IF(AND(OR(LEFT(TH!N4557,2)="15",LEFT(TH!O4557,2)="15"),LEFT(TH!O4557,3)&lt;&gt;"111",'152-CT'!$J$8=TH!F4557),"x","")</f>
        <v/>
      </c>
      <c r="AC4557" s="79" t="str">
        <f>IF(AND(OR(LEFT(TH!N4557,2)="15",LEFT(TH!O4557,2)="15"),TK!$E$7=TH!F4557),"x","")</f>
        <v/>
      </c>
      <c r="AD4557" s="79" t="str">
        <f>IF(AND(N4557="1521",MONTH(C4557)='BK-NL'!$M$11),"x","")</f>
        <v/>
      </c>
    </row>
    <row r="4558" spans="1:30" ht="16.5" customHeight="1">
      <c r="A4558" s="318" t="str">
        <f>IF(B4558&lt;&gt;"",IF(AND(B4558='[3]IN-TC'!$S$4,OR([3]TH!N3789="1111",[3]TH!O3789="1111")),[3]TH!D3789,""),"")</f>
        <v/>
      </c>
      <c r="B4558" s="60" t="str">
        <f t="shared" si="474"/>
        <v/>
      </c>
      <c r="C4558" s="301"/>
      <c r="D4558" s="301"/>
      <c r="E4558" s="301"/>
      <c r="F4558" s="69"/>
      <c r="G4558" s="302"/>
      <c r="H4558" s="303"/>
      <c r="I4558" s="385"/>
      <c r="J4558" s="392"/>
      <c r="K4558" s="385"/>
      <c r="L4558" s="392"/>
      <c r="M4558" s="62"/>
      <c r="N4558" s="304"/>
      <c r="O4558" s="63"/>
      <c r="P4558" s="79" t="str">
        <f>IF(AND('331-CT'!$E$7=TH!H4558,OR(N4558="331",O4558="331")),"x","")</f>
        <v/>
      </c>
      <c r="Q4558" s="79" t="str">
        <f>IF(AND(B4558='111'!$L$11,OR($N4558=$Q$7,$O4558=$Q$7)),"x","")</f>
        <v/>
      </c>
      <c r="R4558" s="79" t="str">
        <f>IF(AND($N4558=$Q$7,$B4558&lt;'111'!$L$11),"x","")</f>
        <v/>
      </c>
      <c r="S4558" s="79" t="str">
        <f>IF(AND($O4558=$Q$7,$B4558&lt;'111'!$L$11),"x","")</f>
        <v/>
      </c>
      <c r="T4558" s="79" t="str">
        <f>IF(ISERROR(FIND('112'!$M$9,G4558,1)),"",IF((AND(FIND('112'!$M$9,G4558,1)&gt;=1,B4558='112'!$K$9,OR($N4558='112'!$I$6,$O4558='112'!$I$6))),"x",""))</f>
        <v/>
      </c>
      <c r="U4558" s="79" t="str">
        <f>IF(ISERROR(FIND('112'!$M$9,G4558,1)),"",IF((AND(LEFT(G4558,2)=LEFT('112'!$M$9,2),B4558&lt;'112'!$K$9,$N4558='112'!$I$6)),"x",""))</f>
        <v/>
      </c>
      <c r="V4558" s="79" t="str">
        <f>IF(ISERROR(FIND('112'!$M$9,G4558,1)),"",IF((AND(RIGHT(G4558,2)=RIGHT('112'!$M$9,2),B4558&lt;'112'!$K$9,$O4558='112'!$I$6)),"x",""))</f>
        <v/>
      </c>
      <c r="W4558" s="79" t="str">
        <f>IF(AND('341-CT'!$H$9=H4558,OR(LEFT(N4558,3)=$W$7,LEFT(O4558,3)=$W$7)),"x","")</f>
        <v/>
      </c>
      <c r="X4558" s="79" t="str">
        <f>IF(OR(TH!N4558=TH!$X$7,O4558=TH!$X$7),"x","")</f>
        <v/>
      </c>
      <c r="Y4558" s="79" t="str">
        <f>IF(AND(OR(N4558="131",O4558="131"),H4558='131-CT'!$H$9),"x","")</f>
        <v/>
      </c>
      <c r="Z4558" s="79"/>
      <c r="AA4558" s="79" t="str">
        <f>IF(AND(MONTH(E4558)='IN-NX'!$J$5,'IN-NX'!$D$7=D4558),"x","")</f>
        <v/>
      </c>
      <c r="AB4558" s="79" t="str">
        <f>IF(AND(OR(LEFT(TH!N4558,2)="15",LEFT(TH!O4558,2)="15"),LEFT(TH!O4558,3)&lt;&gt;"111",'152-CT'!$J$8=TH!F4558),"x","")</f>
        <v/>
      </c>
      <c r="AC4558" s="79" t="str">
        <f>IF(AND(OR(LEFT(TH!N4558,2)="15",LEFT(TH!O4558,2)="15"),TK!$E$7=TH!F4558),"x","")</f>
        <v/>
      </c>
      <c r="AD4558" s="79" t="str">
        <f>IF(AND(N4558="1521",MONTH(C4558)='BK-NL'!$M$11),"x","")</f>
        <v/>
      </c>
    </row>
    <row r="4559" spans="1:30" ht="16.5" customHeight="1">
      <c r="A4559" s="318" t="str">
        <f>IF(B4559&lt;&gt;"",IF(AND(B4559='[3]IN-TC'!$S$4,OR([3]TH!N3790="1111",[3]TH!O3790="1111")),[3]TH!D3790,""),"")</f>
        <v/>
      </c>
      <c r="B4559" s="60" t="str">
        <f t="shared" si="474"/>
        <v/>
      </c>
      <c r="C4559" s="301"/>
      <c r="D4559" s="301"/>
      <c r="E4559" s="301"/>
      <c r="F4559" s="69"/>
      <c r="G4559" s="302"/>
      <c r="H4559" s="303"/>
      <c r="I4559" s="385"/>
      <c r="J4559" s="392"/>
      <c r="K4559" s="385"/>
      <c r="L4559" s="392"/>
      <c r="M4559" s="62"/>
      <c r="N4559" s="304"/>
      <c r="O4559" s="63"/>
      <c r="P4559" s="79" t="str">
        <f>IF(AND('331-CT'!$E$7=TH!H4559,OR(N4559="331",O4559="331")),"x","")</f>
        <v/>
      </c>
      <c r="Q4559" s="79" t="str">
        <f>IF(AND(B4559='111'!$L$11,OR($N4559=$Q$7,$O4559=$Q$7)),"x","")</f>
        <v/>
      </c>
      <c r="R4559" s="79" t="str">
        <f>IF(AND($N4559=$Q$7,$B4559&lt;'111'!$L$11),"x","")</f>
        <v/>
      </c>
      <c r="S4559" s="79" t="str">
        <f>IF(AND($O4559=$Q$7,$B4559&lt;'111'!$L$11),"x","")</f>
        <v/>
      </c>
      <c r="T4559" s="79" t="str">
        <f>IF(ISERROR(FIND('112'!$M$9,G4559,1)),"",IF((AND(FIND('112'!$M$9,G4559,1)&gt;=1,B4559='112'!$K$9,OR($N4559='112'!$I$6,$O4559='112'!$I$6))),"x",""))</f>
        <v/>
      </c>
      <c r="U4559" s="79" t="str">
        <f>IF(ISERROR(FIND('112'!$M$9,G4559,1)),"",IF((AND(LEFT(G4559,2)=LEFT('112'!$M$9,2),B4559&lt;'112'!$K$9,$N4559='112'!$I$6)),"x",""))</f>
        <v/>
      </c>
      <c r="V4559" s="79" t="str">
        <f>IF(ISERROR(FIND('112'!$M$9,G4559,1)),"",IF((AND(RIGHT(G4559,2)=RIGHT('112'!$M$9,2),B4559&lt;'112'!$K$9,$O4559='112'!$I$6)),"x",""))</f>
        <v/>
      </c>
      <c r="W4559" s="79" t="str">
        <f>IF(AND('341-CT'!$H$9=H4559,OR(LEFT(N4559,3)=$W$7,LEFT(O4559,3)=$W$7)),"x","")</f>
        <v/>
      </c>
      <c r="X4559" s="79" t="str">
        <f>IF(OR(TH!N4559=TH!$X$7,O4559=TH!$X$7),"x","")</f>
        <v/>
      </c>
      <c r="Y4559" s="79" t="str">
        <f>IF(AND(OR(N4559="131",O4559="131"),H4559='131-CT'!$H$9),"x","")</f>
        <v/>
      </c>
      <c r="Z4559" s="79"/>
      <c r="AA4559" s="79" t="str">
        <f>IF(AND(MONTH(E4559)='IN-NX'!$J$5,'IN-NX'!$D$7=D4559),"x","")</f>
        <v/>
      </c>
      <c r="AB4559" s="79" t="str">
        <f>IF(AND(OR(LEFT(TH!N4559,2)="15",LEFT(TH!O4559,2)="15"),LEFT(TH!O4559,3)&lt;&gt;"111",'152-CT'!$J$8=TH!F4559),"x","")</f>
        <v/>
      </c>
      <c r="AC4559" s="79" t="str">
        <f>IF(AND(OR(LEFT(TH!N4559,2)="15",LEFT(TH!O4559,2)="15"),TK!$E$7=TH!F4559),"x","")</f>
        <v/>
      </c>
      <c r="AD4559" s="79" t="str">
        <f>IF(AND(N4559="1521",MONTH(C4559)='BK-NL'!$M$11),"x","")</f>
        <v/>
      </c>
    </row>
    <row r="4560" spans="1:30" ht="16.5" customHeight="1">
      <c r="A4560" s="318" t="str">
        <f>IF(B4560&lt;&gt;"",IF(AND(B4560='[3]IN-TC'!$S$4,OR([3]TH!N3791="1111",[3]TH!O3791="1111")),[3]TH!D3791,""),"")</f>
        <v/>
      </c>
      <c r="B4560" s="60" t="str">
        <f t="shared" si="474"/>
        <v/>
      </c>
      <c r="C4560" s="301"/>
      <c r="D4560" s="301"/>
      <c r="E4560" s="301"/>
      <c r="F4560" s="69"/>
      <c r="G4560" s="302"/>
      <c r="H4560" s="303"/>
      <c r="I4560" s="385"/>
      <c r="J4560" s="392"/>
      <c r="K4560" s="385"/>
      <c r="L4560" s="392"/>
      <c r="M4560" s="62"/>
      <c r="N4560" s="304"/>
      <c r="O4560" s="63"/>
      <c r="P4560" s="79" t="str">
        <f>IF(AND('331-CT'!$E$7=TH!H4560,OR(N4560="331",O4560="331")),"x","")</f>
        <v/>
      </c>
      <c r="Q4560" s="79" t="str">
        <f>IF(AND(B4560='111'!$L$11,OR($N4560=$Q$7,$O4560=$Q$7)),"x","")</f>
        <v/>
      </c>
      <c r="R4560" s="79" t="str">
        <f>IF(AND($N4560=$Q$7,$B4560&lt;'111'!$L$11),"x","")</f>
        <v/>
      </c>
      <c r="S4560" s="79" t="str">
        <f>IF(AND($O4560=$Q$7,$B4560&lt;'111'!$L$11),"x","")</f>
        <v/>
      </c>
      <c r="T4560" s="79" t="str">
        <f>IF(ISERROR(FIND('112'!$M$9,G4560,1)),"",IF((AND(FIND('112'!$M$9,G4560,1)&gt;=1,B4560='112'!$K$9,OR($N4560='112'!$I$6,$O4560='112'!$I$6))),"x",""))</f>
        <v/>
      </c>
      <c r="U4560" s="79" t="str">
        <f>IF(ISERROR(FIND('112'!$M$9,G4560,1)),"",IF((AND(LEFT(G4560,2)=LEFT('112'!$M$9,2),B4560&lt;'112'!$K$9,$N4560='112'!$I$6)),"x",""))</f>
        <v/>
      </c>
      <c r="V4560" s="79" t="str">
        <f>IF(ISERROR(FIND('112'!$M$9,G4560,1)),"",IF((AND(RIGHT(G4560,2)=RIGHT('112'!$M$9,2),B4560&lt;'112'!$K$9,$O4560='112'!$I$6)),"x",""))</f>
        <v/>
      </c>
      <c r="W4560" s="79" t="str">
        <f>IF(AND('341-CT'!$H$9=H4560,OR(LEFT(N4560,3)=$W$7,LEFT(O4560,3)=$W$7)),"x","")</f>
        <v/>
      </c>
      <c r="X4560" s="79" t="str">
        <f>IF(OR(TH!N4560=TH!$X$7,O4560=TH!$X$7),"x","")</f>
        <v/>
      </c>
      <c r="Y4560" s="79" t="str">
        <f>IF(AND(OR(N4560="131",O4560="131"),H4560='131-CT'!$H$9),"x","")</f>
        <v/>
      </c>
      <c r="Z4560" s="79"/>
      <c r="AA4560" s="79" t="str">
        <f>IF(AND(MONTH(E4560)='IN-NX'!$J$5,'IN-NX'!$D$7=D4560),"x","")</f>
        <v/>
      </c>
      <c r="AB4560" s="79" t="str">
        <f>IF(AND(OR(LEFT(TH!N4560,2)="15",LEFT(TH!O4560,2)="15"),LEFT(TH!O4560,3)&lt;&gt;"111",'152-CT'!$J$8=TH!F4560),"x","")</f>
        <v/>
      </c>
      <c r="AC4560" s="79" t="str">
        <f>IF(AND(OR(LEFT(TH!N4560,2)="15",LEFT(TH!O4560,2)="15"),TK!$E$7=TH!F4560),"x","")</f>
        <v/>
      </c>
      <c r="AD4560" s="79" t="str">
        <f>IF(AND(N4560="1521",MONTH(C4560)='BK-NL'!$M$11),"x","")</f>
        <v/>
      </c>
    </row>
    <row r="4561" spans="1:30" ht="16.5" customHeight="1">
      <c r="A4561" s="318" t="str">
        <f>IF(B4561&lt;&gt;"",IF(AND(B4561='[3]IN-TC'!$S$4,OR([3]TH!N3792="1111",[3]TH!O3792="1111")),[3]TH!D3792,""),"")</f>
        <v/>
      </c>
      <c r="B4561" s="60" t="str">
        <f t="shared" si="474"/>
        <v/>
      </c>
      <c r="C4561" s="301"/>
      <c r="D4561" s="301"/>
      <c r="E4561" s="301"/>
      <c r="F4561" s="69"/>
      <c r="G4561" s="302"/>
      <c r="H4561" s="303"/>
      <c r="I4561" s="385"/>
      <c r="J4561" s="392"/>
      <c r="K4561" s="385"/>
      <c r="L4561" s="392"/>
      <c r="M4561" s="62"/>
      <c r="N4561" s="304"/>
      <c r="O4561" s="63"/>
      <c r="P4561" s="79" t="str">
        <f>IF(AND('331-CT'!$E$7=TH!H4561,OR(N4561="331",O4561="331")),"x","")</f>
        <v/>
      </c>
      <c r="Q4561" s="79" t="str">
        <f>IF(AND(B4561='111'!$L$11,OR($N4561=$Q$7,$O4561=$Q$7)),"x","")</f>
        <v/>
      </c>
      <c r="R4561" s="79" t="str">
        <f>IF(AND($N4561=$Q$7,$B4561&lt;'111'!$L$11),"x","")</f>
        <v/>
      </c>
      <c r="S4561" s="79" t="str">
        <f>IF(AND($O4561=$Q$7,$B4561&lt;'111'!$L$11),"x","")</f>
        <v/>
      </c>
      <c r="T4561" s="79" t="str">
        <f>IF(ISERROR(FIND('112'!$M$9,G4561,1)),"",IF((AND(FIND('112'!$M$9,G4561,1)&gt;=1,B4561='112'!$K$9,OR($N4561='112'!$I$6,$O4561='112'!$I$6))),"x",""))</f>
        <v/>
      </c>
      <c r="U4561" s="79" t="str">
        <f>IF(ISERROR(FIND('112'!$M$9,G4561,1)),"",IF((AND(LEFT(G4561,2)=LEFT('112'!$M$9,2),B4561&lt;'112'!$K$9,$N4561='112'!$I$6)),"x",""))</f>
        <v/>
      </c>
      <c r="V4561" s="79" t="str">
        <f>IF(ISERROR(FIND('112'!$M$9,G4561,1)),"",IF((AND(RIGHT(G4561,2)=RIGHT('112'!$M$9,2),B4561&lt;'112'!$K$9,$O4561='112'!$I$6)),"x",""))</f>
        <v/>
      </c>
      <c r="W4561" s="79" t="str">
        <f>IF(AND('341-CT'!$H$9=H4561,OR(LEFT(N4561,3)=$W$7,LEFT(O4561,3)=$W$7)),"x","")</f>
        <v/>
      </c>
      <c r="X4561" s="79" t="str">
        <f>IF(OR(TH!N4561=TH!$X$7,O4561=TH!$X$7),"x","")</f>
        <v/>
      </c>
      <c r="Y4561" s="79" t="str">
        <f>IF(AND(OR(N4561="131",O4561="131"),H4561='131-CT'!$H$9),"x","")</f>
        <v/>
      </c>
      <c r="Z4561" s="79"/>
      <c r="AA4561" s="79" t="str">
        <f>IF(AND(MONTH(E4561)='IN-NX'!$J$5,'IN-NX'!$D$7=D4561),"x","")</f>
        <v/>
      </c>
      <c r="AB4561" s="79" t="str">
        <f>IF(AND(OR(LEFT(TH!N4561,2)="15",LEFT(TH!O4561,2)="15"),LEFT(TH!O4561,3)&lt;&gt;"111",'152-CT'!$J$8=TH!F4561),"x","")</f>
        <v/>
      </c>
      <c r="AC4561" s="79" t="str">
        <f>IF(AND(OR(LEFT(TH!N4561,2)="15",LEFT(TH!O4561,2)="15"),TK!$E$7=TH!F4561),"x","")</f>
        <v/>
      </c>
      <c r="AD4561" s="79" t="str">
        <f>IF(AND(N4561="1521",MONTH(C4561)='BK-NL'!$M$11),"x","")</f>
        <v/>
      </c>
    </row>
    <row r="4562" spans="1:30" ht="16.5" customHeight="1">
      <c r="A4562" s="318" t="str">
        <f>IF(B4562&lt;&gt;"",IF(AND(B4562='[3]IN-TC'!$S$4,OR([3]TH!N3793="1111",[3]TH!O3793="1111")),[3]TH!D3793,""),"")</f>
        <v/>
      </c>
      <c r="B4562" s="60" t="str">
        <f t="shared" si="474"/>
        <v/>
      </c>
      <c r="C4562" s="301"/>
      <c r="D4562" s="301"/>
      <c r="E4562" s="301"/>
      <c r="F4562" s="69"/>
      <c r="G4562" s="302"/>
      <c r="H4562" s="303"/>
      <c r="I4562" s="385"/>
      <c r="J4562" s="392"/>
      <c r="K4562" s="385"/>
      <c r="L4562" s="392"/>
      <c r="M4562" s="62"/>
      <c r="N4562" s="304"/>
      <c r="O4562" s="63"/>
      <c r="P4562" s="79" t="str">
        <f>IF(AND('331-CT'!$E$7=TH!H4562,OR(N4562="331",O4562="331")),"x","")</f>
        <v/>
      </c>
      <c r="Q4562" s="79" t="str">
        <f>IF(AND(B4562='111'!$L$11,OR($N4562=$Q$7,$O4562=$Q$7)),"x","")</f>
        <v/>
      </c>
      <c r="R4562" s="79" t="str">
        <f>IF(AND($N4562=$Q$7,$B4562&lt;'111'!$L$11),"x","")</f>
        <v/>
      </c>
      <c r="S4562" s="79" t="str">
        <f>IF(AND($O4562=$Q$7,$B4562&lt;'111'!$L$11),"x","")</f>
        <v/>
      </c>
      <c r="T4562" s="79" t="str">
        <f>IF(ISERROR(FIND('112'!$M$9,G4562,1)),"",IF((AND(FIND('112'!$M$9,G4562,1)&gt;=1,B4562='112'!$K$9,OR($N4562='112'!$I$6,$O4562='112'!$I$6))),"x",""))</f>
        <v/>
      </c>
      <c r="U4562" s="79" t="str">
        <f>IF(ISERROR(FIND('112'!$M$9,G4562,1)),"",IF((AND(LEFT(G4562,2)=LEFT('112'!$M$9,2),B4562&lt;'112'!$K$9,$N4562='112'!$I$6)),"x",""))</f>
        <v/>
      </c>
      <c r="V4562" s="79" t="str">
        <f>IF(ISERROR(FIND('112'!$M$9,G4562,1)),"",IF((AND(RIGHT(G4562,2)=RIGHT('112'!$M$9,2),B4562&lt;'112'!$K$9,$O4562='112'!$I$6)),"x",""))</f>
        <v/>
      </c>
      <c r="W4562" s="79" t="str">
        <f>IF(AND('341-CT'!$H$9=H4562,OR(LEFT(N4562,3)=$W$7,LEFT(O4562,3)=$W$7)),"x","")</f>
        <v/>
      </c>
      <c r="X4562" s="79" t="str">
        <f>IF(OR(TH!N4562=TH!$X$7,O4562=TH!$X$7),"x","")</f>
        <v/>
      </c>
      <c r="Y4562" s="79" t="str">
        <f>IF(AND(OR(N4562="131",O4562="131"),H4562='131-CT'!$H$9),"x","")</f>
        <v/>
      </c>
      <c r="Z4562" s="79"/>
      <c r="AA4562" s="79" t="str">
        <f>IF(AND(MONTH(E4562)='IN-NX'!$J$5,'IN-NX'!$D$7=D4562),"x","")</f>
        <v/>
      </c>
      <c r="AB4562" s="79" t="str">
        <f>IF(AND(OR(LEFT(TH!N4562,2)="15",LEFT(TH!O4562,2)="15"),LEFT(TH!O4562,3)&lt;&gt;"111",'152-CT'!$J$8=TH!F4562),"x","")</f>
        <v/>
      </c>
      <c r="AC4562" s="79" t="str">
        <f>IF(AND(OR(LEFT(TH!N4562,2)="15",LEFT(TH!O4562,2)="15"),TK!$E$7=TH!F4562),"x","")</f>
        <v/>
      </c>
      <c r="AD4562" s="79" t="str">
        <f>IF(AND(N4562="1521",MONTH(C4562)='BK-NL'!$M$11),"x","")</f>
        <v/>
      </c>
    </row>
    <row r="4563" spans="1:30" ht="16.5" customHeight="1">
      <c r="A4563" s="318" t="str">
        <f>IF(B4563&lt;&gt;"",IF(AND(B4563='[3]IN-TC'!$S$4,OR([3]TH!N3794="1111",[3]TH!O3794="1111")),[3]TH!D3794,""),"")</f>
        <v/>
      </c>
      <c r="B4563" s="60" t="str">
        <f t="shared" si="474"/>
        <v/>
      </c>
      <c r="C4563" s="61"/>
      <c r="D4563" s="61"/>
      <c r="E4563" s="301"/>
      <c r="F4563" s="64"/>
      <c r="G4563" s="64"/>
      <c r="H4563" s="303"/>
      <c r="I4563" s="385"/>
      <c r="J4563" s="392"/>
      <c r="K4563" s="385"/>
      <c r="L4563" s="392"/>
      <c r="M4563" s="62"/>
      <c r="N4563" s="63"/>
      <c r="O4563" s="63"/>
      <c r="P4563" s="79" t="str">
        <f>IF(AND('331-CT'!$E$7=TH!H4563,OR(N4563="331",O4563="331")),"x","")</f>
        <v/>
      </c>
      <c r="Q4563" s="79" t="str">
        <f>IF(AND(B4563='111'!$L$11,OR($N4563=$Q$7,$O4563=$Q$7)),"x","")</f>
        <v/>
      </c>
      <c r="R4563" s="79" t="str">
        <f>IF(AND($N4563=$Q$7,$B4563&lt;'111'!$L$11),"x","")</f>
        <v/>
      </c>
      <c r="S4563" s="79" t="str">
        <f>IF(AND($O4563=$Q$7,$B4563&lt;'111'!$L$11),"x","")</f>
        <v/>
      </c>
      <c r="T4563" s="79" t="str">
        <f>IF(ISERROR(FIND('112'!$M$9,G4563,1)),"",IF((AND(FIND('112'!$M$9,G4563,1)&gt;=1,B4563='112'!$K$9,OR($N4563='112'!$I$6,$O4563='112'!$I$6))),"x",""))</f>
        <v/>
      </c>
      <c r="U4563" s="79" t="str">
        <f>IF(ISERROR(FIND('112'!$M$9,G4563,1)),"",IF((AND(LEFT(G4563,2)=LEFT('112'!$M$9,2),B4563&lt;'112'!$K$9,$N4563='112'!$I$6)),"x",""))</f>
        <v/>
      </c>
      <c r="V4563" s="79" t="str">
        <f>IF(ISERROR(FIND('112'!$M$9,G4563,1)),"",IF((AND(RIGHT(G4563,2)=RIGHT('112'!$M$9,2),B4563&lt;'112'!$K$9,$O4563='112'!$I$6)),"x",""))</f>
        <v/>
      </c>
      <c r="W4563" s="79" t="str">
        <f>IF(AND('341-CT'!$H$9=H4563,OR(LEFT(N4563,3)=$W$7,LEFT(O4563,3)=$W$7)),"x","")</f>
        <v/>
      </c>
      <c r="X4563" s="79" t="str">
        <f>IF(OR(TH!N4563=TH!$X$7,O4563=TH!$X$7),"x","")</f>
        <v/>
      </c>
      <c r="Y4563" s="79" t="str">
        <f>IF(AND(OR(N4563="131",O4563="131"),H4563='131-CT'!$H$9),"x","")</f>
        <v/>
      </c>
      <c r="Z4563" s="79"/>
      <c r="AA4563" s="79" t="str">
        <f>IF(AND(MONTH(E4563)='IN-NX'!$J$5,'IN-NX'!$D$7=D4563),"x","")</f>
        <v/>
      </c>
      <c r="AB4563" s="79" t="str">
        <f>IF(AND(OR(LEFT(TH!N4563,2)="15",LEFT(TH!O4563,2)="15"),LEFT(TH!O4563,3)&lt;&gt;"111",'152-CT'!$J$8=TH!F4563),"x","")</f>
        <v/>
      </c>
      <c r="AC4563" s="79" t="str">
        <f>IF(AND(OR(LEFT(TH!N4563,2)="15",LEFT(TH!O4563,2)="15"),TK!$E$7=TH!F4563),"x","")</f>
        <v/>
      </c>
      <c r="AD4563" s="79" t="str">
        <f>IF(AND(N4563="1521",MONTH(C4563)='BK-NL'!$M$11),"x","")</f>
        <v/>
      </c>
    </row>
    <row r="4564" spans="1:30" ht="16.5" customHeight="1">
      <c r="A4564" s="318" t="str">
        <f>IF(B4564&lt;&gt;"",IF(AND(B4564='[3]IN-TC'!$S$4,OR([3]TH!N3795="1111",[3]TH!O3795="1111")),[3]TH!D3795,""),"")</f>
        <v/>
      </c>
      <c r="B4564" s="60" t="str">
        <f t="shared" si="474"/>
        <v/>
      </c>
      <c r="C4564" s="301"/>
      <c r="D4564" s="301"/>
      <c r="E4564" s="301"/>
      <c r="F4564" s="69"/>
      <c r="G4564" s="302"/>
      <c r="H4564" s="303"/>
      <c r="I4564" s="385"/>
      <c r="J4564" s="392"/>
      <c r="K4564" s="385"/>
      <c r="L4564" s="392"/>
      <c r="M4564" s="62"/>
      <c r="N4564" s="304"/>
      <c r="O4564" s="63"/>
      <c r="P4564" s="79" t="str">
        <f>IF(AND('331-CT'!$E$7=TH!H4564,OR(N4564="331",O4564="331")),"x","")</f>
        <v/>
      </c>
      <c r="Q4564" s="79" t="str">
        <f>IF(AND(B4564='111'!$L$11,OR($N4564=$Q$7,$O4564=$Q$7)),"x","")</f>
        <v/>
      </c>
      <c r="R4564" s="79" t="str">
        <f>IF(AND($N4564=$Q$7,$B4564&lt;'111'!$L$11),"x","")</f>
        <v/>
      </c>
      <c r="S4564" s="79" t="str">
        <f>IF(AND($O4564=$Q$7,$B4564&lt;'111'!$L$11),"x","")</f>
        <v/>
      </c>
      <c r="T4564" s="79" t="str">
        <f>IF(ISERROR(FIND('112'!$M$9,G4564,1)),"",IF((AND(FIND('112'!$M$9,G4564,1)&gt;=1,B4564='112'!$K$9,OR($N4564='112'!$I$6,$O4564='112'!$I$6))),"x",""))</f>
        <v/>
      </c>
      <c r="U4564" s="79" t="str">
        <f>IF(ISERROR(FIND('112'!$M$9,G4564,1)),"",IF((AND(LEFT(G4564,2)=LEFT('112'!$M$9,2),B4564&lt;'112'!$K$9,$N4564='112'!$I$6)),"x",""))</f>
        <v/>
      </c>
      <c r="V4564" s="79" t="str">
        <f>IF(ISERROR(FIND('112'!$M$9,G4564,1)),"",IF((AND(RIGHT(G4564,2)=RIGHT('112'!$M$9,2),B4564&lt;'112'!$K$9,$O4564='112'!$I$6)),"x",""))</f>
        <v/>
      </c>
      <c r="W4564" s="79" t="str">
        <f>IF(AND('341-CT'!$H$9=H4564,OR(LEFT(N4564,3)=$W$7,LEFT(O4564,3)=$W$7)),"x","")</f>
        <v/>
      </c>
      <c r="X4564" s="79" t="str">
        <f>IF(OR(TH!N4564=TH!$X$7,O4564=TH!$X$7),"x","")</f>
        <v/>
      </c>
      <c r="Y4564" s="79" t="str">
        <f>IF(AND(OR(N4564="131",O4564="131"),H4564='131-CT'!$H$9),"x","")</f>
        <v/>
      </c>
      <c r="Z4564" s="79"/>
      <c r="AA4564" s="79" t="str">
        <f>IF(AND(MONTH(E4564)='IN-NX'!$J$5,'IN-NX'!$D$7=D4564),"x","")</f>
        <v/>
      </c>
      <c r="AB4564" s="79" t="str">
        <f>IF(AND(OR(LEFT(TH!N4564,2)="15",LEFT(TH!O4564,2)="15"),LEFT(TH!O4564,3)&lt;&gt;"111",'152-CT'!$J$8=TH!F4564),"x","")</f>
        <v/>
      </c>
      <c r="AC4564" s="79" t="str">
        <f>IF(AND(OR(LEFT(TH!N4564,2)="15",LEFT(TH!O4564,2)="15"),TK!$E$7=TH!F4564),"x","")</f>
        <v/>
      </c>
      <c r="AD4564" s="79" t="str">
        <f>IF(AND(N4564="1521",MONTH(C4564)='BK-NL'!$M$11),"x","")</f>
        <v/>
      </c>
    </row>
    <row r="4565" spans="1:30" ht="16.5" customHeight="1">
      <c r="A4565" s="318" t="str">
        <f>IF(B4565&lt;&gt;"",IF(AND(B4565='[3]IN-TC'!$S$4,OR([3]TH!N3796="1111",[3]TH!O3796="1111")),[3]TH!D3796,""),"")</f>
        <v/>
      </c>
      <c r="B4565" s="60" t="str">
        <f t="shared" si="474"/>
        <v/>
      </c>
      <c r="C4565" s="301"/>
      <c r="D4565" s="301"/>
      <c r="E4565" s="301"/>
      <c r="F4565" s="69"/>
      <c r="G4565" s="302"/>
      <c r="H4565" s="303"/>
      <c r="I4565" s="385"/>
      <c r="J4565" s="392"/>
      <c r="K4565" s="385"/>
      <c r="L4565" s="392"/>
      <c r="M4565" s="62"/>
      <c r="N4565" s="304"/>
      <c r="O4565" s="63"/>
      <c r="P4565" s="79" t="str">
        <f>IF(AND('331-CT'!$E$7=TH!H4565,OR(N4565="331",O4565="331")),"x","")</f>
        <v/>
      </c>
      <c r="Q4565" s="79" t="str">
        <f>IF(AND(B4565='111'!$L$11,OR($N4565=$Q$7,$O4565=$Q$7)),"x","")</f>
        <v/>
      </c>
      <c r="R4565" s="79" t="str">
        <f>IF(AND($N4565=$Q$7,$B4565&lt;'111'!$L$11),"x","")</f>
        <v/>
      </c>
      <c r="S4565" s="79" t="str">
        <f>IF(AND($O4565=$Q$7,$B4565&lt;'111'!$L$11),"x","")</f>
        <v/>
      </c>
      <c r="T4565" s="79" t="str">
        <f>IF(ISERROR(FIND('112'!$M$9,G4565,1)),"",IF((AND(FIND('112'!$M$9,G4565,1)&gt;=1,B4565='112'!$K$9,OR($N4565='112'!$I$6,$O4565='112'!$I$6))),"x",""))</f>
        <v/>
      </c>
      <c r="U4565" s="79" t="str">
        <f>IF(ISERROR(FIND('112'!$M$9,G4565,1)),"",IF((AND(LEFT(G4565,2)=LEFT('112'!$M$9,2),B4565&lt;'112'!$K$9,$N4565='112'!$I$6)),"x",""))</f>
        <v/>
      </c>
      <c r="V4565" s="79" t="str">
        <f>IF(ISERROR(FIND('112'!$M$9,G4565,1)),"",IF((AND(RIGHT(G4565,2)=RIGHT('112'!$M$9,2),B4565&lt;'112'!$K$9,$O4565='112'!$I$6)),"x",""))</f>
        <v/>
      </c>
      <c r="W4565" s="79" t="str">
        <f>IF(AND('341-CT'!$H$9=H4565,OR(LEFT(N4565,3)=$W$7,LEFT(O4565,3)=$W$7)),"x","")</f>
        <v/>
      </c>
      <c r="X4565" s="79" t="str">
        <f>IF(OR(TH!N4565=TH!$X$7,O4565=TH!$X$7),"x","")</f>
        <v/>
      </c>
      <c r="Y4565" s="79" t="str">
        <f>IF(AND(OR(N4565="131",O4565="131"),H4565='131-CT'!$H$9),"x","")</f>
        <v/>
      </c>
      <c r="Z4565" s="79"/>
      <c r="AA4565" s="79" t="str">
        <f>IF(AND(MONTH(E4565)='IN-NX'!$J$5,'IN-NX'!$D$7=D4565),"x","")</f>
        <v/>
      </c>
      <c r="AB4565" s="79" t="str">
        <f>IF(AND(OR(LEFT(TH!N4565,2)="15",LEFT(TH!O4565,2)="15"),LEFT(TH!O4565,3)&lt;&gt;"111",'152-CT'!$J$8=TH!F4565),"x","")</f>
        <v/>
      </c>
      <c r="AC4565" s="79" t="str">
        <f>IF(AND(OR(LEFT(TH!N4565,2)="15",LEFT(TH!O4565,2)="15"),TK!$E$7=TH!F4565),"x","")</f>
        <v/>
      </c>
      <c r="AD4565" s="79" t="str">
        <f>IF(AND(N4565="1521",MONTH(C4565)='BK-NL'!$M$11),"x","")</f>
        <v/>
      </c>
    </row>
    <row r="4566" spans="1:30" ht="16.5" customHeight="1">
      <c r="A4566" s="318" t="str">
        <f>IF(B4566&lt;&gt;"",IF(AND(B4566='[3]IN-TC'!$S$4,OR([3]TH!N3797="1111",[3]TH!O3797="1111")),[3]TH!D3797,""),"")</f>
        <v/>
      </c>
      <c r="B4566" s="60" t="str">
        <f t="shared" si="474"/>
        <v/>
      </c>
      <c r="C4566" s="301"/>
      <c r="D4566" s="301"/>
      <c r="E4566" s="301"/>
      <c r="F4566" s="69"/>
      <c r="G4566" s="302"/>
      <c r="H4566" s="303"/>
      <c r="I4566" s="385"/>
      <c r="J4566" s="392"/>
      <c r="K4566" s="385"/>
      <c r="L4566" s="392"/>
      <c r="M4566" s="62"/>
      <c r="N4566" s="304"/>
      <c r="O4566" s="63"/>
      <c r="P4566" s="79" t="str">
        <f>IF(AND('331-CT'!$E$7=TH!H4566,OR(N4566="331",O4566="331")),"x","")</f>
        <v/>
      </c>
      <c r="Q4566" s="79" t="str">
        <f>IF(AND(B4566='111'!$L$11,OR($N4566=$Q$7,$O4566=$Q$7)),"x","")</f>
        <v/>
      </c>
      <c r="R4566" s="79" t="str">
        <f>IF(AND($N4566=$Q$7,$B4566&lt;'111'!$L$11),"x","")</f>
        <v/>
      </c>
      <c r="S4566" s="79" t="str">
        <f>IF(AND($O4566=$Q$7,$B4566&lt;'111'!$L$11),"x","")</f>
        <v/>
      </c>
      <c r="T4566" s="79" t="str">
        <f>IF(ISERROR(FIND('112'!$M$9,G4566,1)),"",IF((AND(FIND('112'!$M$9,G4566,1)&gt;=1,B4566='112'!$K$9,OR($N4566='112'!$I$6,$O4566='112'!$I$6))),"x",""))</f>
        <v/>
      </c>
      <c r="U4566" s="79" t="str">
        <f>IF(ISERROR(FIND('112'!$M$9,G4566,1)),"",IF((AND(LEFT(G4566,2)=LEFT('112'!$M$9,2),B4566&lt;'112'!$K$9,$N4566='112'!$I$6)),"x",""))</f>
        <v/>
      </c>
      <c r="V4566" s="79" t="str">
        <f>IF(ISERROR(FIND('112'!$M$9,G4566,1)),"",IF((AND(RIGHT(G4566,2)=RIGHT('112'!$M$9,2),B4566&lt;'112'!$K$9,$O4566='112'!$I$6)),"x",""))</f>
        <v/>
      </c>
      <c r="W4566" s="79" t="str">
        <f>IF(AND('341-CT'!$H$9=H4566,OR(LEFT(N4566,3)=$W$7,LEFT(O4566,3)=$W$7)),"x","")</f>
        <v/>
      </c>
      <c r="X4566" s="79" t="str">
        <f>IF(OR(TH!N4566=TH!$X$7,O4566=TH!$X$7),"x","")</f>
        <v/>
      </c>
      <c r="Y4566" s="79" t="str">
        <f>IF(AND(OR(N4566="131",O4566="131"),H4566='131-CT'!$H$9),"x","")</f>
        <v/>
      </c>
      <c r="Z4566" s="79"/>
      <c r="AA4566" s="79" t="str">
        <f>IF(AND(MONTH(E4566)='IN-NX'!$J$5,'IN-NX'!$D$7=D4566),"x","")</f>
        <v/>
      </c>
      <c r="AB4566" s="79" t="str">
        <f>IF(AND(OR(LEFT(TH!N4566,2)="15",LEFT(TH!O4566,2)="15"),LEFT(TH!O4566,3)&lt;&gt;"111",'152-CT'!$J$8=TH!F4566),"x","")</f>
        <v/>
      </c>
      <c r="AC4566" s="79" t="str">
        <f>IF(AND(OR(LEFT(TH!N4566,2)="15",LEFT(TH!O4566,2)="15"),TK!$E$7=TH!F4566),"x","")</f>
        <v/>
      </c>
      <c r="AD4566" s="79" t="str">
        <f>IF(AND(N4566="1521",MONTH(C4566)='BK-NL'!$M$11),"x","")</f>
        <v/>
      </c>
    </row>
    <row r="4567" spans="1:30" ht="16.5" customHeight="1">
      <c r="A4567" s="318" t="str">
        <f>IF(B4567&lt;&gt;"",IF(AND(B4567='[3]IN-TC'!$S$4,OR([3]TH!N3798="1111",[3]TH!O3798="1111")),[3]TH!D3798,""),"")</f>
        <v/>
      </c>
      <c r="B4567" s="60" t="str">
        <f t="shared" si="474"/>
        <v/>
      </c>
      <c r="C4567" s="301"/>
      <c r="D4567" s="301"/>
      <c r="E4567" s="301"/>
      <c r="F4567" s="69"/>
      <c r="G4567" s="302"/>
      <c r="H4567" s="303"/>
      <c r="I4567" s="385"/>
      <c r="J4567" s="392"/>
      <c r="K4567" s="385"/>
      <c r="L4567" s="392"/>
      <c r="M4567" s="62"/>
      <c r="N4567" s="304"/>
      <c r="O4567" s="63"/>
      <c r="P4567" s="79" t="str">
        <f>IF(AND('331-CT'!$E$7=TH!H4567,OR(N4567="331",O4567="331")),"x","")</f>
        <v/>
      </c>
      <c r="Q4567" s="79" t="str">
        <f>IF(AND(B4567='111'!$L$11,OR($N4567=$Q$7,$O4567=$Q$7)),"x","")</f>
        <v/>
      </c>
      <c r="R4567" s="79" t="str">
        <f>IF(AND($N4567=$Q$7,$B4567&lt;'111'!$L$11),"x","")</f>
        <v/>
      </c>
      <c r="S4567" s="79" t="str">
        <f>IF(AND($O4567=$Q$7,$B4567&lt;'111'!$L$11),"x","")</f>
        <v/>
      </c>
      <c r="T4567" s="79" t="str">
        <f>IF(ISERROR(FIND('112'!$M$9,G4567,1)),"",IF((AND(FIND('112'!$M$9,G4567,1)&gt;=1,B4567='112'!$K$9,OR($N4567='112'!$I$6,$O4567='112'!$I$6))),"x",""))</f>
        <v/>
      </c>
      <c r="U4567" s="79" t="str">
        <f>IF(ISERROR(FIND('112'!$M$9,G4567,1)),"",IF((AND(LEFT(G4567,2)=LEFT('112'!$M$9,2),B4567&lt;'112'!$K$9,$N4567='112'!$I$6)),"x",""))</f>
        <v/>
      </c>
      <c r="V4567" s="79" t="str">
        <f>IF(ISERROR(FIND('112'!$M$9,G4567,1)),"",IF((AND(RIGHT(G4567,2)=RIGHT('112'!$M$9,2),B4567&lt;'112'!$K$9,$O4567='112'!$I$6)),"x",""))</f>
        <v/>
      </c>
      <c r="W4567" s="79" t="str">
        <f>IF(AND('341-CT'!$H$9=H4567,OR(LEFT(N4567,3)=$W$7,LEFT(O4567,3)=$W$7)),"x","")</f>
        <v/>
      </c>
      <c r="X4567" s="79" t="str">
        <f>IF(OR(TH!N4567=TH!$X$7,O4567=TH!$X$7),"x","")</f>
        <v/>
      </c>
      <c r="Y4567" s="79" t="str">
        <f>IF(AND(OR(N4567="131",O4567="131"),H4567='131-CT'!$H$9),"x","")</f>
        <v/>
      </c>
      <c r="Z4567" s="79"/>
      <c r="AA4567" s="79" t="str">
        <f>IF(AND(MONTH(E4567)='IN-NX'!$J$5,'IN-NX'!$D$7=D4567),"x","")</f>
        <v/>
      </c>
      <c r="AB4567" s="79" t="str">
        <f>IF(AND(OR(LEFT(TH!N4567,2)="15",LEFT(TH!O4567,2)="15"),LEFT(TH!O4567,3)&lt;&gt;"111",'152-CT'!$J$8=TH!F4567),"x","")</f>
        <v/>
      </c>
      <c r="AC4567" s="79" t="str">
        <f>IF(AND(OR(LEFT(TH!N4567,2)="15",LEFT(TH!O4567,2)="15"),TK!$E$7=TH!F4567),"x","")</f>
        <v/>
      </c>
      <c r="AD4567" s="79" t="str">
        <f>IF(AND(N4567="1521",MONTH(C4567)='BK-NL'!$M$11),"x","")</f>
        <v/>
      </c>
    </row>
    <row r="4568" spans="1:30" ht="16.5" customHeight="1">
      <c r="A4568" s="318" t="str">
        <f>IF(B4568&lt;&gt;"",IF(AND(B4568='[3]IN-TC'!$S$4,OR([3]TH!N3799="1111",[3]TH!O3799="1111")),[3]TH!D3799,""),"")</f>
        <v/>
      </c>
      <c r="B4568" s="60" t="str">
        <f t="shared" si="474"/>
        <v/>
      </c>
      <c r="C4568" s="301"/>
      <c r="D4568" s="301"/>
      <c r="E4568" s="301"/>
      <c r="F4568" s="302"/>
      <c r="G4568" s="988"/>
      <c r="H4568" s="69"/>
      <c r="I4568" s="385"/>
      <c r="J4568" s="969"/>
      <c r="K4568" s="385"/>
      <c r="L4568" s="392"/>
      <c r="M4568" s="970"/>
      <c r="N4568" s="304"/>
      <c r="O4568" s="304"/>
      <c r="P4568" s="79" t="str">
        <f>IF(AND('331-CT'!$E$7=TH!H4568,OR(N4568="331",O4568="331")),"x","")</f>
        <v/>
      </c>
      <c r="Q4568" s="79" t="str">
        <f>IF(AND(B4568='111'!$L$11,OR($N4568=$Q$7,$O4568=$Q$7)),"x","")</f>
        <v/>
      </c>
      <c r="R4568" s="79" t="str">
        <f>IF(AND($N4568=$Q$7,$B4568&lt;'111'!$L$11),"x","")</f>
        <v/>
      </c>
      <c r="S4568" s="79" t="str">
        <f>IF(AND($O4568=$Q$7,$B4568&lt;'111'!$L$11),"x","")</f>
        <v/>
      </c>
      <c r="T4568" s="79" t="str">
        <f>IF(ISERROR(FIND('112'!$M$9,G4568,1)),"",IF((AND(FIND('112'!$M$9,G4568,1)&gt;=1,B4568='112'!$K$9,OR($N4568='112'!$I$6,$O4568='112'!$I$6))),"x",""))</f>
        <v/>
      </c>
      <c r="U4568" s="79" t="str">
        <f>IF(ISERROR(FIND('112'!$M$9,G4568,1)),"",IF((AND(LEFT(G4568,2)=LEFT('112'!$M$9,2),B4568&lt;'112'!$K$9,$N4568='112'!$I$6)),"x",""))</f>
        <v/>
      </c>
      <c r="V4568" s="79" t="str">
        <f>IF(ISERROR(FIND('112'!$M$9,G4568,1)),"",IF((AND(RIGHT(G4568,2)=RIGHT('112'!$M$9,2),B4568&lt;'112'!$K$9,$O4568='112'!$I$6)),"x",""))</f>
        <v/>
      </c>
      <c r="W4568" s="79" t="str">
        <f>IF(AND('341-CT'!$H$9=H4568,OR(LEFT(N4568,3)=$W$7,LEFT(O4568,3)=$W$7)),"x","")</f>
        <v/>
      </c>
      <c r="X4568" s="79" t="str">
        <f>IF(OR(TH!N4568=TH!$X$7,O4568=TH!$X$7),"x","")</f>
        <v/>
      </c>
      <c r="Y4568" s="79" t="str">
        <f>IF(AND(OR(N4568="131",O4568="131"),H4568='131-CT'!$H$9),"x","")</f>
        <v/>
      </c>
      <c r="Z4568" s="79"/>
      <c r="AA4568" s="79" t="str">
        <f>IF(AND(MONTH(E4568)='IN-NX'!$J$5,'IN-NX'!$D$7=D4568),"x","")</f>
        <v/>
      </c>
      <c r="AB4568" s="79" t="str">
        <f>IF(AND(OR(LEFT(TH!N4568,2)="15",LEFT(TH!O4568,2)="15"),LEFT(TH!O4568,3)&lt;&gt;"111",'152-CT'!$J$8=TH!F4568),"x","")</f>
        <v/>
      </c>
      <c r="AC4568" s="79" t="str">
        <f>IF(AND(OR(LEFT(TH!N4568,2)="15",LEFT(TH!O4568,2)="15"),TK!$E$7=TH!F4568),"x","")</f>
        <v/>
      </c>
      <c r="AD4568" s="79" t="str">
        <f>IF(AND(N4568="1521",MONTH(C4568)='BK-NL'!$M$11),"x","")</f>
        <v/>
      </c>
    </row>
    <row r="4569" spans="1:30" ht="16.5" customHeight="1">
      <c r="A4569" s="318" t="str">
        <f>IF(B4569&lt;&gt;"",IF(AND(B4569='[3]IN-TC'!$S$4,OR([3]TH!N3800="1111",[3]TH!O3800="1111")),[3]TH!D3800,""),"")</f>
        <v/>
      </c>
      <c r="B4569" s="60" t="str">
        <f t="shared" si="474"/>
        <v/>
      </c>
      <c r="C4569" s="301"/>
      <c r="D4569" s="301"/>
      <c r="E4569" s="301"/>
      <c r="F4569" s="302"/>
      <c r="G4569" s="988"/>
      <c r="H4569" s="69"/>
      <c r="I4569" s="385"/>
      <c r="J4569" s="969"/>
      <c r="K4569" s="385"/>
      <c r="L4569" s="392"/>
      <c r="M4569" s="970"/>
      <c r="N4569" s="304"/>
      <c r="O4569" s="304"/>
      <c r="P4569" s="79" t="str">
        <f>IF(AND('331-CT'!$E$7=TH!H4569,OR(N4569="331",O4569="331")),"x","")</f>
        <v/>
      </c>
      <c r="Q4569" s="79" t="str">
        <f>IF(AND(B4569='111'!$L$11,OR($N4569=$Q$7,$O4569=$Q$7)),"x","")</f>
        <v/>
      </c>
      <c r="R4569" s="79" t="str">
        <f>IF(AND($N4569=$Q$7,$B4569&lt;'111'!$L$11),"x","")</f>
        <v/>
      </c>
      <c r="S4569" s="79" t="str">
        <f>IF(AND($O4569=$Q$7,$B4569&lt;'111'!$L$11),"x","")</f>
        <v/>
      </c>
      <c r="T4569" s="79" t="str">
        <f>IF(ISERROR(FIND('112'!$M$9,G4569,1)),"",IF((AND(FIND('112'!$M$9,G4569,1)&gt;=1,B4569='112'!$K$9,OR($N4569='112'!$I$6,$O4569='112'!$I$6))),"x",""))</f>
        <v/>
      </c>
      <c r="U4569" s="79" t="str">
        <f>IF(ISERROR(FIND('112'!$M$9,G4569,1)),"",IF((AND(LEFT(G4569,2)=LEFT('112'!$M$9,2),B4569&lt;'112'!$K$9,$N4569='112'!$I$6)),"x",""))</f>
        <v/>
      </c>
      <c r="V4569" s="79" t="str">
        <f>IF(ISERROR(FIND('112'!$M$9,G4569,1)),"",IF((AND(RIGHT(G4569,2)=RIGHT('112'!$M$9,2),B4569&lt;'112'!$K$9,$O4569='112'!$I$6)),"x",""))</f>
        <v/>
      </c>
      <c r="W4569" s="79" t="str">
        <f>IF(AND('341-CT'!$H$9=H4569,OR(LEFT(N4569,3)=$W$7,LEFT(O4569,3)=$W$7)),"x","")</f>
        <v/>
      </c>
      <c r="X4569" s="79" t="str">
        <f>IF(OR(TH!N4569=TH!$X$7,O4569=TH!$X$7),"x","")</f>
        <v/>
      </c>
      <c r="Y4569" s="79" t="str">
        <f>IF(AND(OR(N4569="131",O4569="131"),H4569='131-CT'!$H$9),"x","")</f>
        <v/>
      </c>
      <c r="Z4569" s="79"/>
      <c r="AA4569" s="79" t="str">
        <f>IF(AND(MONTH(E4569)='IN-NX'!$J$5,'IN-NX'!$D$7=D4569),"x","")</f>
        <v/>
      </c>
      <c r="AB4569" s="79" t="str">
        <f>IF(AND(OR(LEFT(TH!N4569,2)="15",LEFT(TH!O4569,2)="15"),LEFT(TH!O4569,3)&lt;&gt;"111",'152-CT'!$J$8=TH!F4569),"x","")</f>
        <v/>
      </c>
      <c r="AC4569" s="79" t="str">
        <f>IF(AND(OR(LEFT(TH!N4569,2)="15",LEFT(TH!O4569,2)="15"),TK!$E$7=TH!F4569),"x","")</f>
        <v/>
      </c>
      <c r="AD4569" s="79" t="str">
        <f>IF(AND(N4569="1521",MONTH(C4569)='BK-NL'!$M$11),"x","")</f>
        <v/>
      </c>
    </row>
    <row r="4570" spans="1:30" ht="16.5" customHeight="1">
      <c r="A4570" s="318" t="str">
        <f>IF(B4570&lt;&gt;"",IF(AND(B4570='[3]IN-TC'!$S$4,OR([3]TH!N3801="1111",[3]TH!O3801="1111")),[3]TH!D3801,""),"")</f>
        <v/>
      </c>
      <c r="B4570" s="60" t="str">
        <f t="shared" si="474"/>
        <v/>
      </c>
      <c r="C4570" s="301"/>
      <c r="D4570" s="301"/>
      <c r="E4570" s="301"/>
      <c r="F4570" s="69"/>
      <c r="G4570" s="302"/>
      <c r="H4570" s="303"/>
      <c r="I4570" s="385"/>
      <c r="J4570" s="392"/>
      <c r="K4570" s="385"/>
      <c r="L4570" s="392"/>
      <c r="M4570" s="62"/>
      <c r="N4570" s="304"/>
      <c r="O4570" s="63"/>
      <c r="P4570" s="79" t="str">
        <f>IF(AND('331-CT'!$E$7=TH!H4570,OR(N4570="331",O4570="331")),"x","")</f>
        <v/>
      </c>
      <c r="Q4570" s="79" t="str">
        <f>IF(AND(B4570='111'!$L$11,OR($N4570=$Q$7,$O4570=$Q$7)),"x","")</f>
        <v/>
      </c>
      <c r="R4570" s="79" t="str">
        <f>IF(AND($N4570=$Q$7,$B4570&lt;'111'!$L$11),"x","")</f>
        <v/>
      </c>
      <c r="S4570" s="79" t="str">
        <f>IF(AND($O4570=$Q$7,$B4570&lt;'111'!$L$11),"x","")</f>
        <v/>
      </c>
      <c r="T4570" s="79" t="str">
        <f>IF(ISERROR(FIND('112'!$M$9,G4570,1)),"",IF((AND(FIND('112'!$M$9,G4570,1)&gt;=1,B4570='112'!$K$9,OR($N4570='112'!$I$6,$O4570='112'!$I$6))),"x",""))</f>
        <v/>
      </c>
      <c r="U4570" s="79" t="str">
        <f>IF(ISERROR(FIND('112'!$M$9,G4570,1)),"",IF((AND(LEFT(G4570,2)=LEFT('112'!$M$9,2),B4570&lt;'112'!$K$9,$N4570='112'!$I$6)),"x",""))</f>
        <v/>
      </c>
      <c r="V4570" s="79" t="str">
        <f>IF(ISERROR(FIND('112'!$M$9,G4570,1)),"",IF((AND(RIGHT(G4570,2)=RIGHT('112'!$M$9,2),B4570&lt;'112'!$K$9,$O4570='112'!$I$6)),"x",""))</f>
        <v/>
      </c>
      <c r="W4570" s="79" t="str">
        <f>IF(AND('341-CT'!$H$9=H4570,OR(LEFT(N4570,3)=$W$7,LEFT(O4570,3)=$W$7)),"x","")</f>
        <v/>
      </c>
      <c r="X4570" s="79" t="str">
        <f>IF(OR(TH!N4570=TH!$X$7,O4570=TH!$X$7),"x","")</f>
        <v/>
      </c>
      <c r="Y4570" s="79" t="str">
        <f>IF(AND(OR(N4570="131",O4570="131"),H4570='131-CT'!$H$9),"x","")</f>
        <v/>
      </c>
      <c r="Z4570" s="79"/>
      <c r="AA4570" s="79" t="str">
        <f>IF(AND(MONTH(E4570)='IN-NX'!$J$5,'IN-NX'!$D$7=D4570),"x","")</f>
        <v/>
      </c>
      <c r="AB4570" s="79" t="str">
        <f>IF(AND(OR(LEFT(TH!N4570,2)="15",LEFT(TH!O4570,2)="15"),LEFT(TH!O4570,3)&lt;&gt;"111",'152-CT'!$J$8=TH!F4570),"x","")</f>
        <v/>
      </c>
      <c r="AC4570" s="79" t="str">
        <f>IF(AND(OR(LEFT(TH!N4570,2)="15",LEFT(TH!O4570,2)="15"),TK!$E$7=TH!F4570),"x","")</f>
        <v/>
      </c>
      <c r="AD4570" s="79" t="str">
        <f>IF(AND(N4570="1521",MONTH(C4570)='BK-NL'!$M$11),"x","")</f>
        <v/>
      </c>
    </row>
    <row r="4571" spans="1:30" ht="16.5" customHeight="1">
      <c r="A4571" s="318" t="str">
        <f>IF(B4571&lt;&gt;"",IF(AND(B4571='[3]IN-TC'!$S$4,OR([3]TH!N3802="1111",[3]TH!O3802="1111")),[3]TH!D3802,""),"")</f>
        <v/>
      </c>
      <c r="B4571" s="60" t="str">
        <f t="shared" ref="B4571:B4635" si="475">IF(C4571&lt;&gt;"",MONTH(C4571),"")</f>
        <v/>
      </c>
      <c r="C4571" s="1249"/>
      <c r="D4571" s="61"/>
      <c r="E4571" s="61"/>
      <c r="F4571" s="947"/>
      <c r="G4571" s="64"/>
      <c r="H4571" s="69"/>
      <c r="I4571" s="1193"/>
      <c r="J4571" s="948"/>
      <c r="K4571" s="387"/>
      <c r="L4571" s="394"/>
      <c r="M4571" s="62"/>
      <c r="N4571" s="63"/>
      <c r="O4571" s="63"/>
      <c r="P4571" s="79" t="str">
        <f>IF(AND('331-CT'!$E$7=TH!H4571,OR(N4571="331",O4571="331")),"x","")</f>
        <v/>
      </c>
      <c r="Q4571" s="79" t="str">
        <f>IF(AND(B4571='111'!$L$11,OR($N4571=$Q$7,$O4571=$Q$7)),"x","")</f>
        <v/>
      </c>
      <c r="R4571" s="79" t="str">
        <f>IF(AND($N4571=$Q$7,$B4571&lt;'111'!$L$11),"x","")</f>
        <v/>
      </c>
      <c r="S4571" s="79" t="str">
        <f>IF(AND($O4571=$Q$7,$B4571&lt;'111'!$L$11),"x","")</f>
        <v/>
      </c>
      <c r="T4571" s="79" t="str">
        <f>IF(ISERROR(FIND('112'!$M$9,G4571,1)),"",IF((AND(FIND('112'!$M$9,G4571,1)&gt;=1,B4571='112'!$K$9,OR($N4571='112'!$I$6,$O4571='112'!$I$6))),"x",""))</f>
        <v/>
      </c>
      <c r="U4571" s="79" t="str">
        <f>IF(ISERROR(FIND('112'!$M$9,G4571,1)),"",IF((AND(LEFT(G4571,2)=LEFT('112'!$M$9,2),B4571&lt;'112'!$K$9,$N4571='112'!$I$6)),"x",""))</f>
        <v/>
      </c>
      <c r="V4571" s="79" t="str">
        <f>IF(ISERROR(FIND('112'!$M$9,G4571,1)),"",IF((AND(RIGHT(G4571,2)=RIGHT('112'!$M$9,2),B4571&lt;'112'!$K$9,$O4571='112'!$I$6)),"x",""))</f>
        <v/>
      </c>
      <c r="W4571" s="79" t="str">
        <f>IF(AND('341-CT'!$H$9=H4571,OR(LEFT(N4571,3)=$W$7,LEFT(O4571,3)=$W$7)),"x","")</f>
        <v/>
      </c>
      <c r="X4571" s="79" t="str">
        <f>IF(OR(TH!N4571=TH!$X$7,O4571=TH!$X$7),"x","")</f>
        <v/>
      </c>
      <c r="Y4571" s="79" t="str">
        <f>IF(AND(OR(N4571="131",O4571="131"),H4571='131-CT'!$H$9),"x","")</f>
        <v/>
      </c>
      <c r="Z4571" s="79"/>
      <c r="AA4571" s="79" t="str">
        <f>IF(AND(MONTH(E4571)='IN-NX'!$J$5,'IN-NX'!$D$7=D4571),"x","")</f>
        <v/>
      </c>
      <c r="AB4571" s="79" t="str">
        <f>IF(AND(OR(LEFT(TH!N4571,2)="15",LEFT(TH!O4571,2)="15"),LEFT(TH!O4571,3)&lt;&gt;"111",'152-CT'!$J$8=TH!F4571),"x","")</f>
        <v/>
      </c>
      <c r="AC4571" s="79" t="str">
        <f>IF(AND(OR(LEFT(TH!N4571,2)="15",LEFT(TH!O4571,2)="15"),TK!$E$7=TH!F4571),"x","")</f>
        <v/>
      </c>
      <c r="AD4571" s="79" t="str">
        <f>IF(AND(N4571="1521",MONTH(C4571)='BK-NL'!$M$11),"x","")</f>
        <v/>
      </c>
    </row>
    <row r="4572" spans="1:30" ht="16.5" customHeight="1">
      <c r="A4572" s="318" t="str">
        <f>IF(B4572&lt;&gt;"",IF(AND(B4572='[3]IN-TC'!$S$4,OR([3]TH!N3803="1111",[3]TH!O3803="1111")),[3]TH!D3803,""),"")</f>
        <v/>
      </c>
      <c r="B4572" s="60" t="str">
        <f t="shared" si="475"/>
        <v/>
      </c>
      <c r="C4572" s="1249"/>
      <c r="D4572" s="61"/>
      <c r="E4572" s="61"/>
      <c r="F4572" s="947"/>
      <c r="G4572" s="64"/>
      <c r="H4572" s="69"/>
      <c r="I4572" s="1193"/>
      <c r="J4572" s="948"/>
      <c r="K4572" s="387"/>
      <c r="L4572" s="394"/>
      <c r="M4572" s="62"/>
      <c r="N4572" s="63"/>
      <c r="O4572" s="63"/>
      <c r="P4572" s="79" t="str">
        <f>IF(AND('331-CT'!$E$7=TH!H4572,OR(N4572="331",O4572="331")),"x","")</f>
        <v/>
      </c>
      <c r="Q4572" s="79" t="str">
        <f>IF(AND(B4572='111'!$L$11,OR($N4572=$Q$7,$O4572=$Q$7)),"x","")</f>
        <v/>
      </c>
      <c r="R4572" s="79" t="str">
        <f>IF(AND($N4572=$Q$7,$B4572&lt;'111'!$L$11),"x","")</f>
        <v/>
      </c>
      <c r="S4572" s="79" t="str">
        <f>IF(AND($O4572=$Q$7,$B4572&lt;'111'!$L$11),"x","")</f>
        <v/>
      </c>
      <c r="T4572" s="79" t="str">
        <f>IF(ISERROR(FIND('112'!$M$9,G4572,1)),"",IF((AND(FIND('112'!$M$9,G4572,1)&gt;=1,B4572='112'!$K$9,OR($N4572='112'!$I$6,$O4572='112'!$I$6))),"x",""))</f>
        <v/>
      </c>
      <c r="U4572" s="79" t="str">
        <f>IF(ISERROR(FIND('112'!$M$9,G4572,1)),"",IF((AND(LEFT(G4572,2)=LEFT('112'!$M$9,2),B4572&lt;'112'!$K$9,$N4572='112'!$I$6)),"x",""))</f>
        <v/>
      </c>
      <c r="V4572" s="79" t="str">
        <f>IF(ISERROR(FIND('112'!$M$9,G4572,1)),"",IF((AND(RIGHT(G4572,2)=RIGHT('112'!$M$9,2),B4572&lt;'112'!$K$9,$O4572='112'!$I$6)),"x",""))</f>
        <v/>
      </c>
      <c r="W4572" s="79" t="str">
        <f>IF(AND('341-CT'!$H$9=H4572,OR(LEFT(N4572,3)=$W$7,LEFT(O4572,3)=$W$7)),"x","")</f>
        <v/>
      </c>
      <c r="X4572" s="79" t="str">
        <f>IF(OR(TH!N4572=TH!$X$7,O4572=TH!$X$7),"x","")</f>
        <v/>
      </c>
      <c r="Y4572" s="79" t="str">
        <f>IF(AND(OR(N4572="131",O4572="131"),H4572='131-CT'!$H$9),"x","")</f>
        <v/>
      </c>
      <c r="Z4572" s="79"/>
      <c r="AA4572" s="79" t="str">
        <f>IF(AND(MONTH(E4572)='IN-NX'!$J$5,'IN-NX'!$D$7=D4572),"x","")</f>
        <v/>
      </c>
      <c r="AB4572" s="79" t="str">
        <f>IF(AND(OR(LEFT(TH!N4572,2)="15",LEFT(TH!O4572,2)="15"),LEFT(TH!O4572,3)&lt;&gt;"111",'152-CT'!$J$8=TH!F4572),"x","")</f>
        <v/>
      </c>
      <c r="AC4572" s="79" t="str">
        <f>IF(AND(OR(LEFT(TH!N4572,2)="15",LEFT(TH!O4572,2)="15"),TK!$E$7=TH!F4572),"x","")</f>
        <v/>
      </c>
      <c r="AD4572" s="79" t="str">
        <f>IF(AND(N4572="1521",MONTH(C4572)='BK-NL'!$M$11),"x","")</f>
        <v/>
      </c>
    </row>
    <row r="4573" spans="1:30" ht="16.5" customHeight="1">
      <c r="A4573" s="318" t="str">
        <f>IF(B4573&lt;&gt;"",IF(AND(B4573='[3]IN-TC'!$S$4,OR([3]TH!N3804="1111",[3]TH!O3804="1111")),[3]TH!D3804,""),"")</f>
        <v/>
      </c>
      <c r="B4573" s="60" t="str">
        <f t="shared" si="475"/>
        <v/>
      </c>
      <c r="C4573" s="1249"/>
      <c r="D4573" s="61"/>
      <c r="E4573" s="61"/>
      <c r="F4573" s="947"/>
      <c r="G4573" s="64"/>
      <c r="H4573" s="69"/>
      <c r="I4573" s="1193"/>
      <c r="J4573" s="948"/>
      <c r="K4573" s="387"/>
      <c r="L4573" s="394"/>
      <c r="M4573" s="62"/>
      <c r="N4573" s="63"/>
      <c r="O4573" s="63"/>
      <c r="P4573" s="79" t="str">
        <f>IF(AND('331-CT'!$E$7=TH!H4573,OR(N4573="331",O4573="331")),"x","")</f>
        <v/>
      </c>
      <c r="Q4573" s="79" t="str">
        <f>IF(AND(B4573='111'!$L$11,OR($N4573=$Q$7,$O4573=$Q$7)),"x","")</f>
        <v/>
      </c>
      <c r="R4573" s="79" t="str">
        <f>IF(AND($N4573=$Q$7,$B4573&lt;'111'!$L$11),"x","")</f>
        <v/>
      </c>
      <c r="S4573" s="79" t="str">
        <f>IF(AND($O4573=$Q$7,$B4573&lt;'111'!$L$11),"x","")</f>
        <v/>
      </c>
      <c r="T4573" s="79" t="str">
        <f>IF(ISERROR(FIND('112'!$M$9,G4573,1)),"",IF((AND(FIND('112'!$M$9,G4573,1)&gt;=1,B4573='112'!$K$9,OR($N4573='112'!$I$6,$O4573='112'!$I$6))),"x",""))</f>
        <v/>
      </c>
      <c r="U4573" s="79" t="str">
        <f>IF(ISERROR(FIND('112'!$M$9,G4573,1)),"",IF((AND(LEFT(G4573,2)=LEFT('112'!$M$9,2),B4573&lt;'112'!$K$9,$N4573='112'!$I$6)),"x",""))</f>
        <v/>
      </c>
      <c r="V4573" s="79" t="str">
        <f>IF(ISERROR(FIND('112'!$M$9,G4573,1)),"",IF((AND(RIGHT(G4573,2)=RIGHT('112'!$M$9,2),B4573&lt;'112'!$K$9,$O4573='112'!$I$6)),"x",""))</f>
        <v/>
      </c>
      <c r="W4573" s="79" t="str">
        <f>IF(AND('341-CT'!$H$9=H4573,OR(LEFT(N4573,3)=$W$7,LEFT(O4573,3)=$W$7)),"x","")</f>
        <v/>
      </c>
      <c r="X4573" s="79" t="str">
        <f>IF(OR(TH!N4573=TH!$X$7,O4573=TH!$X$7),"x","")</f>
        <v/>
      </c>
      <c r="Y4573" s="79" t="str">
        <f>IF(AND(OR(N4573="131",O4573="131"),H4573='131-CT'!$H$9),"x","")</f>
        <v/>
      </c>
      <c r="Z4573" s="79"/>
      <c r="AA4573" s="79" t="str">
        <f>IF(AND(MONTH(E4573)='IN-NX'!$J$5,'IN-NX'!$D$7=D4573),"x","")</f>
        <v/>
      </c>
      <c r="AB4573" s="79" t="str">
        <f>IF(AND(OR(LEFT(TH!N4573,2)="15",LEFT(TH!O4573,2)="15"),LEFT(TH!O4573,3)&lt;&gt;"111",'152-CT'!$J$8=TH!F4573),"x","")</f>
        <v/>
      </c>
      <c r="AC4573" s="79" t="str">
        <f>IF(AND(OR(LEFT(TH!N4573,2)="15",LEFT(TH!O4573,2)="15"),TK!$E$7=TH!F4573),"x","")</f>
        <v/>
      </c>
      <c r="AD4573" s="79" t="str">
        <f>IF(AND(N4573="1521",MONTH(C4573)='BK-NL'!$M$11),"x","")</f>
        <v/>
      </c>
    </row>
    <row r="4574" spans="1:30" ht="16.5" customHeight="1">
      <c r="A4574" s="318" t="str">
        <f>IF(B4574&lt;&gt;"",IF(AND(B4574='[3]IN-TC'!$S$4,OR([3]TH!N3805="1111",[3]TH!O3805="1111")),[3]TH!D3805,""),"")</f>
        <v/>
      </c>
      <c r="B4574" s="60" t="str">
        <f t="shared" si="475"/>
        <v/>
      </c>
      <c r="C4574" s="1249"/>
      <c r="D4574" s="61"/>
      <c r="E4574" s="61"/>
      <c r="F4574" s="947"/>
      <c r="G4574" s="64"/>
      <c r="H4574" s="69"/>
      <c r="I4574" s="1193"/>
      <c r="J4574" s="948"/>
      <c r="K4574" s="387"/>
      <c r="L4574" s="394"/>
      <c r="M4574" s="62"/>
      <c r="N4574" s="63"/>
      <c r="O4574" s="63"/>
      <c r="P4574" s="79" t="str">
        <f>IF(AND('331-CT'!$E$7=TH!H4574,OR(N4574="331",O4574="331")),"x","")</f>
        <v/>
      </c>
      <c r="Q4574" s="79" t="str">
        <f>IF(AND(B4574='111'!$L$11,OR($N4574=$Q$7,$O4574=$Q$7)),"x","")</f>
        <v/>
      </c>
      <c r="R4574" s="79" t="str">
        <f>IF(AND($N4574=$Q$7,$B4574&lt;'111'!$L$11),"x","")</f>
        <v/>
      </c>
      <c r="S4574" s="79" t="str">
        <f>IF(AND($O4574=$Q$7,$B4574&lt;'111'!$L$11),"x","")</f>
        <v/>
      </c>
      <c r="T4574" s="79" t="str">
        <f>IF(ISERROR(FIND('112'!$M$9,G4574,1)),"",IF((AND(FIND('112'!$M$9,G4574,1)&gt;=1,B4574='112'!$K$9,OR($N4574='112'!$I$6,$O4574='112'!$I$6))),"x",""))</f>
        <v/>
      </c>
      <c r="U4574" s="79" t="str">
        <f>IF(ISERROR(FIND('112'!$M$9,G4574,1)),"",IF((AND(LEFT(G4574,2)=LEFT('112'!$M$9,2),B4574&lt;'112'!$K$9,$N4574='112'!$I$6)),"x",""))</f>
        <v/>
      </c>
      <c r="V4574" s="79" t="str">
        <f>IF(ISERROR(FIND('112'!$M$9,G4574,1)),"",IF((AND(RIGHT(G4574,2)=RIGHT('112'!$M$9,2),B4574&lt;'112'!$K$9,$O4574='112'!$I$6)),"x",""))</f>
        <v/>
      </c>
      <c r="W4574" s="79" t="str">
        <f>IF(AND('341-CT'!$H$9=H4574,OR(LEFT(N4574,3)=$W$7,LEFT(O4574,3)=$W$7)),"x","")</f>
        <v/>
      </c>
      <c r="X4574" s="79" t="str">
        <f>IF(OR(TH!N4574=TH!$X$7,O4574=TH!$X$7),"x","")</f>
        <v/>
      </c>
      <c r="Y4574" s="79" t="str">
        <f>IF(AND(OR(N4574="131",O4574="131"),H4574='131-CT'!$H$9),"x","")</f>
        <v/>
      </c>
      <c r="Z4574" s="79"/>
      <c r="AA4574" s="79" t="str">
        <f>IF(AND(MONTH(E4574)='IN-NX'!$J$5,'IN-NX'!$D$7=D4574),"x","")</f>
        <v/>
      </c>
      <c r="AB4574" s="79" t="str">
        <f>IF(AND(OR(LEFT(TH!N4574,2)="15",LEFT(TH!O4574,2)="15"),LEFT(TH!O4574,3)&lt;&gt;"111",'152-CT'!$J$8=TH!F4574),"x","")</f>
        <v/>
      </c>
      <c r="AC4574" s="79" t="str">
        <f>IF(AND(OR(LEFT(TH!N4574,2)="15",LEFT(TH!O4574,2)="15"),TK!$E$7=TH!F4574),"x","")</f>
        <v/>
      </c>
      <c r="AD4574" s="79" t="str">
        <f>IF(AND(N4574="1521",MONTH(C4574)='BK-NL'!$M$11),"x","")</f>
        <v/>
      </c>
    </row>
    <row r="4575" spans="1:30" ht="16.5" customHeight="1">
      <c r="A4575" s="318" t="str">
        <f>IF(B4575&lt;&gt;"",IF(AND(B4575='[3]IN-TC'!$S$4,OR([3]TH!N3806="1111",[3]TH!O3806="1111")),[3]TH!D3806,""),"")</f>
        <v/>
      </c>
      <c r="B4575" s="60" t="str">
        <f t="shared" si="475"/>
        <v/>
      </c>
      <c r="C4575" s="61"/>
      <c r="D4575" s="61"/>
      <c r="E4575" s="61"/>
      <c r="F4575" s="69"/>
      <c r="G4575" s="64"/>
      <c r="H4575" s="69"/>
      <c r="I4575" s="385"/>
      <c r="J4575" s="392"/>
      <c r="K4575" s="385"/>
      <c r="L4575" s="392"/>
      <c r="M4575" s="62"/>
      <c r="N4575" s="63"/>
      <c r="O4575" s="63"/>
      <c r="P4575" s="79" t="str">
        <f>IF(AND('331-CT'!$E$7=TH!H4575,OR(N4575="331",O4575="331")),"x","")</f>
        <v/>
      </c>
      <c r="Q4575" s="79" t="str">
        <f>IF(AND(B4575='111'!$L$11,OR($N4575=$Q$7,$O4575=$Q$7)),"x","")</f>
        <v/>
      </c>
      <c r="R4575" s="79" t="str">
        <f>IF(AND($N4575=$Q$7,$B4575&lt;'111'!$L$11),"x","")</f>
        <v/>
      </c>
      <c r="S4575" s="79" t="str">
        <f>IF(AND($O4575=$Q$7,$B4575&lt;'111'!$L$11),"x","")</f>
        <v/>
      </c>
      <c r="T4575" s="79" t="str">
        <f>IF(ISERROR(FIND('112'!$M$9,G4575,1)),"",IF((AND(FIND('112'!$M$9,G4575,1)&gt;=1,B4575='112'!$K$9,OR($N4575='112'!$I$6,$O4575='112'!$I$6))),"x",""))</f>
        <v/>
      </c>
      <c r="U4575" s="79" t="str">
        <f>IF(ISERROR(FIND('112'!$M$9,G4575,1)),"",IF((AND(LEFT(G4575,2)=LEFT('112'!$M$9,2),B4575&lt;'112'!$K$9,$N4575='112'!$I$6)),"x",""))</f>
        <v/>
      </c>
      <c r="V4575" s="79" t="str">
        <f>IF(ISERROR(FIND('112'!$M$9,G4575,1)),"",IF((AND(RIGHT(G4575,2)=RIGHT('112'!$M$9,2),B4575&lt;'112'!$K$9,$O4575='112'!$I$6)),"x",""))</f>
        <v/>
      </c>
      <c r="W4575" s="79" t="str">
        <f>IF(AND('341-CT'!$H$9=H4575,OR(LEFT(N4575,3)=$W$7,LEFT(O4575,3)=$W$7)),"x","")</f>
        <v/>
      </c>
      <c r="X4575" s="79" t="str">
        <f>IF(OR(TH!N4575=TH!$X$7,O4575=TH!$X$7),"x","")</f>
        <v/>
      </c>
      <c r="Y4575" s="79" t="str">
        <f>IF(AND(OR(N4575="131",O4575="131"),H4575='131-CT'!$H$9),"x","")</f>
        <v/>
      </c>
      <c r="Z4575" s="79"/>
      <c r="AA4575" s="79" t="str">
        <f>IF(AND(MONTH(E4575)='IN-NX'!$J$5,'IN-NX'!$D$7=D4575),"x","")</f>
        <v/>
      </c>
      <c r="AB4575" s="79" t="str">
        <f>IF(AND(OR(LEFT(TH!N4575,2)="15",LEFT(TH!O4575,2)="15"),LEFT(TH!O4575,3)&lt;&gt;"111",'152-CT'!$J$8=TH!F4575),"x","")</f>
        <v/>
      </c>
      <c r="AC4575" s="79" t="str">
        <f>IF(AND(OR(LEFT(TH!N4575,2)="15",LEFT(TH!O4575,2)="15"),TK!$E$7=TH!F4575),"x","")</f>
        <v/>
      </c>
      <c r="AD4575" s="79" t="str">
        <f>IF(AND(N4575="1521",MONTH(C4575)='BK-NL'!$M$11),"x","")</f>
        <v/>
      </c>
    </row>
    <row r="4576" spans="1:30" ht="16.5" customHeight="1">
      <c r="A4576" s="318" t="str">
        <f>IF(B4576&lt;&gt;"",IF(AND(B4576='[3]IN-TC'!$S$4,OR([3]TH!N3807="1111",[3]TH!O3807="1111")),[3]TH!D3807,""),"")</f>
        <v/>
      </c>
      <c r="B4576" s="60" t="str">
        <f t="shared" si="475"/>
        <v/>
      </c>
      <c r="C4576" s="61"/>
      <c r="D4576" s="61"/>
      <c r="E4576" s="61"/>
      <c r="F4576" s="69"/>
      <c r="G4576" s="64"/>
      <c r="H4576" s="69"/>
      <c r="I4576" s="387"/>
      <c r="J4576" s="394"/>
      <c r="K4576" s="387"/>
      <c r="L4576" s="394"/>
      <c r="M4576" s="62"/>
      <c r="N4576" s="63"/>
      <c r="O4576" s="63"/>
      <c r="P4576" s="79" t="str">
        <f>IF(AND('331-CT'!$E$7=TH!H4576,OR(N4576="331",O4576="331")),"x","")</f>
        <v/>
      </c>
      <c r="Q4576" s="79" t="str">
        <f>IF(AND(B4576='111'!$L$11,OR($N4576=$Q$7,$O4576=$Q$7)),"x","")</f>
        <v/>
      </c>
      <c r="R4576" s="79" t="str">
        <f>IF(AND($N4576=$Q$7,$B4576&lt;'111'!$L$11),"x","")</f>
        <v/>
      </c>
      <c r="S4576" s="79" t="str">
        <f>IF(AND($O4576=$Q$7,$B4576&lt;'111'!$L$11),"x","")</f>
        <v/>
      </c>
      <c r="T4576" s="79" t="str">
        <f>IF(ISERROR(FIND('112'!$M$9,G4576,1)),"",IF((AND(FIND('112'!$M$9,G4576,1)&gt;=1,B4576='112'!$K$9,OR($N4576='112'!$I$6,$O4576='112'!$I$6))),"x",""))</f>
        <v/>
      </c>
      <c r="U4576" s="79" t="str">
        <f>IF(ISERROR(FIND('112'!$M$9,G4576,1)),"",IF((AND(LEFT(G4576,2)=LEFT('112'!$M$9,2),B4576&lt;'112'!$K$9,$N4576='112'!$I$6)),"x",""))</f>
        <v/>
      </c>
      <c r="V4576" s="79" t="str">
        <f>IF(ISERROR(FIND('112'!$M$9,G4576,1)),"",IF((AND(RIGHT(G4576,2)=RIGHT('112'!$M$9,2),B4576&lt;'112'!$K$9,$O4576='112'!$I$6)),"x",""))</f>
        <v/>
      </c>
      <c r="W4576" s="79" t="str">
        <f>IF(AND('341-CT'!$H$9=H4576,OR(LEFT(N4576,3)=$W$7,LEFT(O4576,3)=$W$7)),"x","")</f>
        <v/>
      </c>
      <c r="X4576" s="79" t="str">
        <f>IF(OR(TH!N4576=TH!$X$7,O4576=TH!$X$7),"x","")</f>
        <v/>
      </c>
      <c r="Y4576" s="79" t="str">
        <f>IF(AND(OR(N4576="131",O4576="131"),H4576='131-CT'!$H$9),"x","")</f>
        <v/>
      </c>
      <c r="Z4576" s="79"/>
      <c r="AA4576" s="79" t="str">
        <f>IF(AND(MONTH(E4576)='IN-NX'!$J$5,'IN-NX'!$D$7=D4576),"x","")</f>
        <v/>
      </c>
      <c r="AB4576" s="79" t="str">
        <f>IF(AND(OR(LEFT(TH!N4576,2)="15",LEFT(TH!O4576,2)="15"),LEFT(TH!O4576,3)&lt;&gt;"111",'152-CT'!$J$8=TH!F4576),"x","")</f>
        <v/>
      </c>
      <c r="AC4576" s="79" t="str">
        <f>IF(AND(OR(LEFT(TH!N4576,2)="15",LEFT(TH!O4576,2)="15"),TK!$E$7=TH!F4576),"x","")</f>
        <v/>
      </c>
      <c r="AD4576" s="79" t="str">
        <f>IF(AND(N4576="1521",MONTH(C4576)='BK-NL'!$M$11),"x","")</f>
        <v/>
      </c>
    </row>
    <row r="4577" spans="1:30" ht="16.5" customHeight="1">
      <c r="A4577" s="318" t="str">
        <f>IF(B4577&lt;&gt;"",IF(AND(B4577='[3]IN-TC'!$S$4,OR([3]TH!N3808="1111",[3]TH!O3808="1111")),[3]TH!D3808,""),"")</f>
        <v/>
      </c>
      <c r="B4577" s="60" t="str">
        <f t="shared" si="475"/>
        <v/>
      </c>
      <c r="C4577" s="61"/>
      <c r="D4577" s="61"/>
      <c r="E4577" s="61"/>
      <c r="F4577" s="69"/>
      <c r="G4577" s="64"/>
      <c r="H4577" s="69"/>
      <c r="I4577" s="387"/>
      <c r="J4577" s="394"/>
      <c r="K4577" s="387"/>
      <c r="L4577" s="394"/>
      <c r="M4577" s="62"/>
      <c r="N4577" s="63"/>
      <c r="O4577" s="63"/>
      <c r="P4577" s="79" t="str">
        <f>IF(AND('331-CT'!$E$7=TH!H4577,OR(N4577="331",O4577="331")),"x","")</f>
        <v/>
      </c>
      <c r="Q4577" s="79" t="str">
        <f>IF(AND(B4577='111'!$L$11,OR($N4577=$Q$7,$O4577=$Q$7)),"x","")</f>
        <v/>
      </c>
      <c r="R4577" s="79" t="str">
        <f>IF(AND($N4577=$Q$7,$B4577&lt;'111'!$L$11),"x","")</f>
        <v/>
      </c>
      <c r="S4577" s="79" t="str">
        <f>IF(AND($O4577=$Q$7,$B4577&lt;'111'!$L$11),"x","")</f>
        <v/>
      </c>
      <c r="T4577" s="79" t="str">
        <f>IF(ISERROR(FIND('112'!$M$9,G4577,1)),"",IF((AND(FIND('112'!$M$9,G4577,1)&gt;=1,B4577='112'!$K$9,OR($N4577='112'!$I$6,$O4577='112'!$I$6))),"x",""))</f>
        <v/>
      </c>
      <c r="U4577" s="79" t="str">
        <f>IF(ISERROR(FIND('112'!$M$9,G4577,1)),"",IF((AND(LEFT(G4577,2)=LEFT('112'!$M$9,2),B4577&lt;'112'!$K$9,$N4577='112'!$I$6)),"x",""))</f>
        <v/>
      </c>
      <c r="V4577" s="79" t="str">
        <f>IF(ISERROR(FIND('112'!$M$9,G4577,1)),"",IF((AND(RIGHT(G4577,2)=RIGHT('112'!$M$9,2),B4577&lt;'112'!$K$9,$O4577='112'!$I$6)),"x",""))</f>
        <v/>
      </c>
      <c r="W4577" s="79" t="str">
        <f>IF(AND('341-CT'!$H$9=H4577,OR(LEFT(N4577,3)=$W$7,LEFT(O4577,3)=$W$7)),"x","")</f>
        <v/>
      </c>
      <c r="X4577" s="79" t="str">
        <f>IF(OR(TH!N4577=TH!$X$7,O4577=TH!$X$7),"x","")</f>
        <v/>
      </c>
      <c r="Y4577" s="79" t="str">
        <f>IF(AND(OR(N4577="131",O4577="131"),H4577='131-CT'!$H$9),"x","")</f>
        <v/>
      </c>
      <c r="Z4577" s="79"/>
      <c r="AA4577" s="79" t="str">
        <f>IF(AND(MONTH(E4577)='IN-NX'!$J$5,'IN-NX'!$D$7=D4577),"x","")</f>
        <v/>
      </c>
      <c r="AB4577" s="79" t="str">
        <f>IF(AND(OR(LEFT(TH!N4577,2)="15",LEFT(TH!O4577,2)="15"),LEFT(TH!O4577,3)&lt;&gt;"111",'152-CT'!$J$8=TH!F4577),"x","")</f>
        <v/>
      </c>
      <c r="AC4577" s="79" t="str">
        <f>IF(AND(OR(LEFT(TH!N4577,2)="15",LEFT(TH!O4577,2)="15"),TK!$E$7=TH!F4577),"x","")</f>
        <v/>
      </c>
      <c r="AD4577" s="79" t="str">
        <f>IF(AND(N4577="1521",MONTH(C4577)='BK-NL'!$M$11),"x","")</f>
        <v/>
      </c>
    </row>
    <row r="4578" spans="1:30" ht="16.5" customHeight="1">
      <c r="A4578" s="318" t="str">
        <f>IF(B4578&lt;&gt;"",IF(AND(B4578='[3]IN-TC'!$S$4,OR([3]TH!N3809="1111",[3]TH!O3809="1111")),[3]TH!D3809,""),"")</f>
        <v/>
      </c>
      <c r="B4578" s="60" t="str">
        <f t="shared" si="475"/>
        <v/>
      </c>
      <c r="C4578" s="61"/>
      <c r="D4578" s="61"/>
      <c r="E4578" s="61"/>
      <c r="F4578" s="302"/>
      <c r="G4578" s="64"/>
      <c r="H4578" s="69"/>
      <c r="I4578" s="385"/>
      <c r="J4578" s="392"/>
      <c r="K4578" s="385"/>
      <c r="L4578" s="392"/>
      <c r="M4578" s="62"/>
      <c r="N4578" s="63"/>
      <c r="O4578" s="63"/>
      <c r="P4578" s="79" t="str">
        <f>IF(AND('331-CT'!$E$7=TH!H4578,OR(N4578="331",O4578="331")),"x","")</f>
        <v/>
      </c>
      <c r="Q4578" s="79" t="str">
        <f>IF(AND(B4578='111'!$L$11,OR($N4578=$Q$7,$O4578=$Q$7)),"x","")</f>
        <v/>
      </c>
      <c r="R4578" s="79" t="str">
        <f>IF(AND($N4578=$Q$7,$B4578&lt;'111'!$L$11),"x","")</f>
        <v/>
      </c>
      <c r="S4578" s="79" t="str">
        <f>IF(AND($O4578=$Q$7,$B4578&lt;'111'!$L$11),"x","")</f>
        <v/>
      </c>
      <c r="T4578" s="79" t="str">
        <f>IF(ISERROR(FIND('112'!$M$9,G4578,1)),"",IF((AND(FIND('112'!$M$9,G4578,1)&gt;=1,B4578='112'!$K$9,OR($N4578='112'!$I$6,$O4578='112'!$I$6))),"x",""))</f>
        <v/>
      </c>
      <c r="U4578" s="79" t="str">
        <f>IF(ISERROR(FIND('112'!$M$9,G4578,1)),"",IF((AND(LEFT(G4578,2)=LEFT('112'!$M$9,2),B4578&lt;'112'!$K$9,$N4578='112'!$I$6)),"x",""))</f>
        <v/>
      </c>
      <c r="V4578" s="79" t="str">
        <f>IF(ISERROR(FIND('112'!$M$9,G4578,1)),"",IF((AND(RIGHT(G4578,2)=RIGHT('112'!$M$9,2),B4578&lt;'112'!$K$9,$O4578='112'!$I$6)),"x",""))</f>
        <v/>
      </c>
      <c r="W4578" s="79" t="str">
        <f>IF(AND('341-CT'!$H$9=H4578,OR(LEFT(N4578,3)=$W$7,LEFT(O4578,3)=$W$7)),"x","")</f>
        <v/>
      </c>
      <c r="X4578" s="79" t="str">
        <f>IF(OR(TH!N4578=TH!$X$7,O4578=TH!$X$7),"x","")</f>
        <v/>
      </c>
      <c r="Y4578" s="79" t="str">
        <f>IF(AND(OR(N4578="131",O4578="131"),H4578='131-CT'!$H$9),"x","")</f>
        <v/>
      </c>
      <c r="Z4578" s="79"/>
      <c r="AA4578" s="79" t="str">
        <f>IF(AND(MONTH(E4578)='IN-NX'!$J$5,'IN-NX'!$D$7=D4578),"x","")</f>
        <v/>
      </c>
      <c r="AB4578" s="79" t="str">
        <f>IF(AND(OR(LEFT(TH!N4578,2)="15",LEFT(TH!O4578,2)="15"),LEFT(TH!O4578,3)&lt;&gt;"111",'152-CT'!$J$8=TH!F4578),"x","")</f>
        <v/>
      </c>
      <c r="AC4578" s="79" t="str">
        <f>IF(AND(OR(LEFT(TH!N4578,2)="15",LEFT(TH!O4578,2)="15"),TK!$E$7=TH!F4578),"x","")</f>
        <v/>
      </c>
      <c r="AD4578" s="79" t="str">
        <f>IF(AND(N4578="1521",MONTH(C4578)='BK-NL'!$M$11),"x","")</f>
        <v/>
      </c>
    </row>
    <row r="4579" spans="1:30" ht="16.5" customHeight="1">
      <c r="A4579" s="318" t="str">
        <f>IF(B4579&lt;&gt;"",IF(AND(B4579='[3]IN-TC'!$S$4,OR([3]TH!N3810="1111",[3]TH!O3810="1111")),[3]TH!D3810,""),"")</f>
        <v/>
      </c>
      <c r="B4579" s="60" t="str">
        <f t="shared" si="475"/>
        <v/>
      </c>
      <c r="C4579" s="301"/>
      <c r="D4579" s="301"/>
      <c r="E4579" s="301"/>
      <c r="F4579" s="302"/>
      <c r="G4579" s="988"/>
      <c r="H4579" s="69"/>
      <c r="I4579" s="385"/>
      <c r="J4579" s="969"/>
      <c r="K4579" s="385"/>
      <c r="L4579" s="392"/>
      <c r="M4579" s="970"/>
      <c r="N4579" s="304"/>
      <c r="O4579" s="304"/>
      <c r="P4579" s="79" t="str">
        <f>IF(AND('331-CT'!$E$7=TH!H4579,OR(N4579="331",O4579="331")),"x","")</f>
        <v/>
      </c>
      <c r="Q4579" s="79" t="str">
        <f>IF(AND(B4579='111'!$L$11,OR($N4579=$Q$7,$O4579=$Q$7)),"x","")</f>
        <v/>
      </c>
      <c r="R4579" s="79" t="str">
        <f>IF(AND($N4579=$Q$7,$B4579&lt;'111'!$L$11),"x","")</f>
        <v/>
      </c>
      <c r="S4579" s="79" t="str">
        <f>IF(AND($O4579=$Q$7,$B4579&lt;'111'!$L$11),"x","")</f>
        <v/>
      </c>
      <c r="T4579" s="79" t="str">
        <f>IF(ISERROR(FIND('112'!$M$9,G4579,1)),"",IF((AND(FIND('112'!$M$9,G4579,1)&gt;=1,B4579='112'!$K$9,OR($N4579='112'!$I$6,$O4579='112'!$I$6))),"x",""))</f>
        <v/>
      </c>
      <c r="U4579" s="79" t="str">
        <f>IF(ISERROR(FIND('112'!$M$9,G4579,1)),"",IF((AND(LEFT(G4579,2)=LEFT('112'!$M$9,2),B4579&lt;'112'!$K$9,$N4579='112'!$I$6)),"x",""))</f>
        <v/>
      </c>
      <c r="V4579" s="79" t="str">
        <f>IF(ISERROR(FIND('112'!$M$9,G4579,1)),"",IF((AND(RIGHT(G4579,2)=RIGHT('112'!$M$9,2),B4579&lt;'112'!$K$9,$O4579='112'!$I$6)),"x",""))</f>
        <v/>
      </c>
      <c r="W4579" s="79" t="str">
        <f>IF(AND('341-CT'!$H$9=H4579,OR(LEFT(N4579,3)=$W$7,LEFT(O4579,3)=$W$7)),"x","")</f>
        <v/>
      </c>
      <c r="X4579" s="79" t="str">
        <f>IF(OR(TH!N4579=TH!$X$7,O4579=TH!$X$7),"x","")</f>
        <v/>
      </c>
      <c r="Y4579" s="79" t="str">
        <f>IF(AND(OR(N4579="131",O4579="131"),H4579='131-CT'!$H$9),"x","")</f>
        <v/>
      </c>
      <c r="Z4579" s="79"/>
      <c r="AA4579" s="79" t="str">
        <f>IF(AND(MONTH(E4579)='IN-NX'!$J$5,'IN-NX'!$D$7=D4579),"x","")</f>
        <v/>
      </c>
      <c r="AB4579" s="79" t="str">
        <f>IF(AND(OR(LEFT(TH!N4579,2)="15",LEFT(TH!O4579,2)="15"),LEFT(TH!O4579,3)&lt;&gt;"111",'152-CT'!$J$8=TH!F4579),"x","")</f>
        <v/>
      </c>
      <c r="AC4579" s="79" t="str">
        <f>IF(AND(OR(LEFT(TH!N4579,2)="15",LEFT(TH!O4579,2)="15"),TK!$E$7=TH!F4579),"x","")</f>
        <v/>
      </c>
      <c r="AD4579" s="79" t="str">
        <f>IF(AND(N4579="1521",MONTH(C4579)='BK-NL'!$M$11),"x","")</f>
        <v/>
      </c>
    </row>
    <row r="4580" spans="1:30" ht="16.5" customHeight="1">
      <c r="A4580" s="318" t="str">
        <f>IF(B4580&lt;&gt;"",IF(AND(B4580='[3]IN-TC'!$S$4,OR([3]TH!N3811="1111",[3]TH!O3811="1111")),[3]TH!D3811,""),"")</f>
        <v/>
      </c>
      <c r="B4580" s="60" t="str">
        <f t="shared" si="475"/>
        <v/>
      </c>
      <c r="C4580" s="1249"/>
      <c r="D4580" s="61"/>
      <c r="E4580" s="61"/>
      <c r="F4580" s="947"/>
      <c r="G4580" s="64"/>
      <c r="H4580" s="69"/>
      <c r="I4580" s="1193"/>
      <c r="J4580" s="948"/>
      <c r="K4580" s="387"/>
      <c r="L4580" s="394"/>
      <c r="M4580" s="62"/>
      <c r="N4580" s="63"/>
      <c r="O4580" s="63"/>
      <c r="P4580" s="79" t="str">
        <f>IF(AND('331-CT'!$E$7=TH!H4580,OR(N4580="331",O4580="331")),"x","")</f>
        <v/>
      </c>
      <c r="Q4580" s="79" t="str">
        <f>IF(AND(B4580='111'!$L$11,OR($N4580=$Q$7,$O4580=$Q$7)),"x","")</f>
        <v/>
      </c>
      <c r="R4580" s="79" t="str">
        <f>IF(AND($N4580=$Q$7,$B4580&lt;'111'!$L$11),"x","")</f>
        <v/>
      </c>
      <c r="S4580" s="79" t="str">
        <f>IF(AND($O4580=$Q$7,$B4580&lt;'111'!$L$11),"x","")</f>
        <v/>
      </c>
      <c r="T4580" s="79" t="str">
        <f>IF(ISERROR(FIND('112'!$M$9,G4580,1)),"",IF((AND(FIND('112'!$M$9,G4580,1)&gt;=1,B4580='112'!$K$9,OR($N4580='112'!$I$6,$O4580='112'!$I$6))),"x",""))</f>
        <v/>
      </c>
      <c r="U4580" s="79" t="str">
        <f>IF(ISERROR(FIND('112'!$M$9,G4580,1)),"",IF((AND(LEFT(G4580,2)=LEFT('112'!$M$9,2),B4580&lt;'112'!$K$9,$N4580='112'!$I$6)),"x",""))</f>
        <v/>
      </c>
      <c r="V4580" s="79" t="str">
        <f>IF(ISERROR(FIND('112'!$M$9,G4580,1)),"",IF((AND(RIGHT(G4580,2)=RIGHT('112'!$M$9,2),B4580&lt;'112'!$K$9,$O4580='112'!$I$6)),"x",""))</f>
        <v/>
      </c>
      <c r="W4580" s="79" t="str">
        <f>IF(AND('341-CT'!$H$9=H4580,OR(LEFT(N4580,3)=$W$7,LEFT(O4580,3)=$W$7)),"x","")</f>
        <v/>
      </c>
      <c r="X4580" s="79" t="str">
        <f>IF(OR(TH!N4580=TH!$X$7,O4580=TH!$X$7),"x","")</f>
        <v/>
      </c>
      <c r="Y4580" s="79" t="str">
        <f>IF(AND(OR(N4580="131",O4580="131"),H4580='131-CT'!$H$9),"x","")</f>
        <v/>
      </c>
      <c r="Z4580" s="79"/>
      <c r="AA4580" s="79" t="str">
        <f>IF(AND(MONTH(E4580)='IN-NX'!$J$5,'IN-NX'!$D$7=D4580),"x","")</f>
        <v/>
      </c>
      <c r="AB4580" s="79" t="str">
        <f>IF(AND(OR(LEFT(TH!N4580,2)="15",LEFT(TH!O4580,2)="15"),LEFT(TH!O4580,3)&lt;&gt;"111",'152-CT'!$J$8=TH!F4580),"x","")</f>
        <v/>
      </c>
      <c r="AC4580" s="79" t="str">
        <f>IF(AND(OR(LEFT(TH!N4580,2)="15",LEFT(TH!O4580,2)="15"),TK!$E$7=TH!F4580),"x","")</f>
        <v/>
      </c>
      <c r="AD4580" s="79" t="str">
        <f>IF(AND(N4580="1521",MONTH(C4580)='BK-NL'!$M$11),"x","")</f>
        <v/>
      </c>
    </row>
    <row r="4581" spans="1:30" ht="16.5" customHeight="1">
      <c r="A4581" s="318" t="str">
        <f>IF(B4581&lt;&gt;"",IF(AND(B4581='[3]IN-TC'!$S$4,OR([3]TH!N3812="1111",[3]TH!O3812="1111")),[3]TH!D3812,""),"")</f>
        <v/>
      </c>
      <c r="B4581" s="60" t="str">
        <f t="shared" si="475"/>
        <v/>
      </c>
      <c r="C4581" s="1249"/>
      <c r="D4581" s="61"/>
      <c r="E4581" s="61"/>
      <c r="F4581" s="938"/>
      <c r="G4581" s="64"/>
      <c r="H4581" s="69"/>
      <c r="I4581" s="1193"/>
      <c r="J4581" s="948"/>
      <c r="K4581" s="387"/>
      <c r="L4581" s="394"/>
      <c r="M4581" s="62"/>
      <c r="N4581" s="63"/>
      <c r="O4581" s="63"/>
      <c r="P4581" s="79" t="str">
        <f>IF(AND('331-CT'!$E$7=TH!H4581,OR(N4581="331",O4581="331")),"x","")</f>
        <v/>
      </c>
      <c r="Q4581" s="79" t="str">
        <f>IF(AND(B4581='111'!$L$11,OR($N4581=$Q$7,$O4581=$Q$7)),"x","")</f>
        <v/>
      </c>
      <c r="R4581" s="79" t="str">
        <f>IF(AND($N4581=$Q$7,$B4581&lt;'111'!$L$11),"x","")</f>
        <v/>
      </c>
      <c r="S4581" s="79" t="str">
        <f>IF(AND($O4581=$Q$7,$B4581&lt;'111'!$L$11),"x","")</f>
        <v/>
      </c>
      <c r="T4581" s="79" t="str">
        <f>IF(ISERROR(FIND('112'!$M$9,G4581,1)),"",IF((AND(FIND('112'!$M$9,G4581,1)&gt;=1,B4581='112'!$K$9,OR($N4581='112'!$I$6,$O4581='112'!$I$6))),"x",""))</f>
        <v/>
      </c>
      <c r="U4581" s="79" t="str">
        <f>IF(ISERROR(FIND('112'!$M$9,G4581,1)),"",IF((AND(LEFT(G4581,2)=LEFT('112'!$M$9,2),B4581&lt;'112'!$K$9,$N4581='112'!$I$6)),"x",""))</f>
        <v/>
      </c>
      <c r="V4581" s="79" t="str">
        <f>IF(ISERROR(FIND('112'!$M$9,G4581,1)),"",IF((AND(RIGHT(G4581,2)=RIGHT('112'!$M$9,2),B4581&lt;'112'!$K$9,$O4581='112'!$I$6)),"x",""))</f>
        <v/>
      </c>
      <c r="W4581" s="79" t="str">
        <f>IF(AND('341-CT'!$H$9=H4581,OR(LEFT(N4581,3)=$W$7,LEFT(O4581,3)=$W$7)),"x","")</f>
        <v/>
      </c>
      <c r="X4581" s="79" t="str">
        <f>IF(OR(TH!N4581=TH!$X$7,O4581=TH!$X$7),"x","")</f>
        <v/>
      </c>
      <c r="Y4581" s="79" t="str">
        <f>IF(AND(OR(N4581="131",O4581="131"),H4581='131-CT'!$H$9),"x","")</f>
        <v/>
      </c>
      <c r="Z4581" s="79"/>
      <c r="AA4581" s="79" t="str">
        <f>IF(AND(MONTH(E4581)='IN-NX'!$J$5,'IN-NX'!$D$7=D4581),"x","")</f>
        <v/>
      </c>
      <c r="AB4581" s="79" t="str">
        <f>IF(AND(OR(LEFT(TH!N4581,2)="15",LEFT(TH!O4581,2)="15"),LEFT(TH!O4581,3)&lt;&gt;"111",'152-CT'!$J$8=TH!F4581),"x","")</f>
        <v/>
      </c>
      <c r="AC4581" s="79" t="str">
        <f>IF(AND(OR(LEFT(TH!N4581,2)="15",LEFT(TH!O4581,2)="15"),TK!$E$7=TH!F4581),"x","")</f>
        <v/>
      </c>
      <c r="AD4581" s="79" t="str">
        <f>IF(AND(N4581="1521",MONTH(C4581)='BK-NL'!$M$11),"x","")</f>
        <v/>
      </c>
    </row>
    <row r="4582" spans="1:30" ht="16.5" customHeight="1">
      <c r="A4582" s="318" t="str">
        <f>IF(B4582&lt;&gt;"",IF(AND(B4582='[3]IN-TC'!$S$4,OR([3]TH!N3813="1111",[3]TH!O3813="1111")),[3]TH!D3813,""),"")</f>
        <v/>
      </c>
      <c r="B4582" s="60" t="str">
        <f t="shared" si="475"/>
        <v/>
      </c>
      <c r="C4582" s="1249"/>
      <c r="D4582" s="301"/>
      <c r="E4582" s="61"/>
      <c r="F4582" s="947"/>
      <c r="G4582" s="64"/>
      <c r="H4582" s="69"/>
      <c r="I4582" s="1193"/>
      <c r="J4582" s="948"/>
      <c r="K4582" s="387"/>
      <c r="L4582" s="394"/>
      <c r="M4582" s="62"/>
      <c r="N4582" s="63"/>
      <c r="O4582" s="63"/>
      <c r="P4582" s="79" t="str">
        <f>IF(AND('331-CT'!$E$7=TH!H4582,OR(N4582="331",O4582="331")),"x","")</f>
        <v/>
      </c>
      <c r="Q4582" s="79" t="str">
        <f>IF(AND(B4582='111'!$L$11,OR($N4582=$Q$7,$O4582=$Q$7)),"x","")</f>
        <v/>
      </c>
      <c r="R4582" s="79" t="str">
        <f>IF(AND($N4582=$Q$7,$B4582&lt;'111'!$L$11),"x","")</f>
        <v/>
      </c>
      <c r="S4582" s="79" t="str">
        <f>IF(AND($O4582=$Q$7,$B4582&lt;'111'!$L$11),"x","")</f>
        <v/>
      </c>
      <c r="T4582" s="79" t="str">
        <f>IF(ISERROR(FIND('112'!$M$9,G4582,1)),"",IF((AND(FIND('112'!$M$9,G4582,1)&gt;=1,B4582='112'!$K$9,OR($N4582='112'!$I$6,$O4582='112'!$I$6))),"x",""))</f>
        <v/>
      </c>
      <c r="U4582" s="79" t="str">
        <f>IF(ISERROR(FIND('112'!$M$9,G4582,1)),"",IF((AND(LEFT(G4582,2)=LEFT('112'!$M$9,2),B4582&lt;'112'!$K$9,$N4582='112'!$I$6)),"x",""))</f>
        <v/>
      </c>
      <c r="V4582" s="79" t="str">
        <f>IF(ISERROR(FIND('112'!$M$9,G4582,1)),"",IF((AND(RIGHT(G4582,2)=RIGHT('112'!$M$9,2),B4582&lt;'112'!$K$9,$O4582='112'!$I$6)),"x",""))</f>
        <v/>
      </c>
      <c r="W4582" s="79" t="str">
        <f>IF(AND('341-CT'!$H$9=H4582,OR(LEFT(N4582,3)=$W$7,LEFT(O4582,3)=$W$7)),"x","")</f>
        <v/>
      </c>
      <c r="X4582" s="79" t="str">
        <f>IF(OR(TH!N4582=TH!$X$7,O4582=TH!$X$7),"x","")</f>
        <v/>
      </c>
      <c r="Y4582" s="79" t="str">
        <f>IF(AND(OR(N4582="131",O4582="131"),H4582='131-CT'!$H$9),"x","")</f>
        <v/>
      </c>
      <c r="Z4582" s="79"/>
      <c r="AA4582" s="79" t="str">
        <f>IF(AND(MONTH(E4582)='IN-NX'!$J$5,'IN-NX'!$D$7=D4582),"x","")</f>
        <v/>
      </c>
      <c r="AB4582" s="79" t="str">
        <f>IF(AND(OR(LEFT(TH!N4582,2)="15",LEFT(TH!O4582,2)="15"),LEFT(TH!O4582,3)&lt;&gt;"111",'152-CT'!$J$8=TH!F4582),"x","")</f>
        <v/>
      </c>
      <c r="AC4582" s="79" t="str">
        <f>IF(AND(OR(LEFT(TH!N4582,2)="15",LEFT(TH!O4582,2)="15"),TK!$E$7=TH!F4582),"x","")</f>
        <v/>
      </c>
      <c r="AD4582" s="79" t="str">
        <f>IF(AND(N4582="1521",MONTH(C4582)='BK-NL'!$M$11),"x","")</f>
        <v/>
      </c>
    </row>
    <row r="4583" spans="1:30" ht="16.5" customHeight="1">
      <c r="A4583" s="318" t="str">
        <f>IF(B4583&lt;&gt;"",IF(AND(B4583='[3]IN-TC'!$S$4,OR([3]TH!N3814="1111",[3]TH!O3814="1111")),[3]TH!D3814,""),"")</f>
        <v/>
      </c>
      <c r="B4583" s="60" t="str">
        <f t="shared" si="475"/>
        <v/>
      </c>
      <c r="C4583" s="1249"/>
      <c r="D4583" s="61"/>
      <c r="E4583" s="61"/>
      <c r="F4583" s="302"/>
      <c r="G4583" s="64"/>
      <c r="H4583" s="69"/>
      <c r="I4583" s="1193"/>
      <c r="J4583" s="948"/>
      <c r="K4583" s="387"/>
      <c r="L4583" s="394"/>
      <c r="M4583" s="62"/>
      <c r="N4583" s="63"/>
      <c r="O4583" s="63"/>
      <c r="P4583" s="79" t="str">
        <f>IF(AND('331-CT'!$E$7=TH!H4583,OR(N4583="331",O4583="331")),"x","")</f>
        <v/>
      </c>
      <c r="Q4583" s="79" t="str">
        <f>IF(AND(B4583='111'!$L$11,OR($N4583=$Q$7,$O4583=$Q$7)),"x","")</f>
        <v/>
      </c>
      <c r="R4583" s="79" t="str">
        <f>IF(AND($N4583=$Q$7,$B4583&lt;'111'!$L$11),"x","")</f>
        <v/>
      </c>
      <c r="S4583" s="79" t="str">
        <f>IF(AND($O4583=$Q$7,$B4583&lt;'111'!$L$11),"x","")</f>
        <v/>
      </c>
      <c r="T4583" s="79" t="str">
        <f>IF(ISERROR(FIND('112'!$M$9,G4583,1)),"",IF((AND(FIND('112'!$M$9,G4583,1)&gt;=1,B4583='112'!$K$9,OR($N4583='112'!$I$6,$O4583='112'!$I$6))),"x",""))</f>
        <v/>
      </c>
      <c r="U4583" s="79" t="str">
        <f>IF(ISERROR(FIND('112'!$M$9,G4583,1)),"",IF((AND(LEFT(G4583,2)=LEFT('112'!$M$9,2),B4583&lt;'112'!$K$9,$N4583='112'!$I$6)),"x",""))</f>
        <v/>
      </c>
      <c r="V4583" s="79" t="str">
        <f>IF(ISERROR(FIND('112'!$M$9,G4583,1)),"",IF((AND(RIGHT(G4583,2)=RIGHT('112'!$M$9,2),B4583&lt;'112'!$K$9,$O4583='112'!$I$6)),"x",""))</f>
        <v/>
      </c>
      <c r="W4583" s="79" t="str">
        <f>IF(AND('341-CT'!$H$9=H4583,OR(LEFT(N4583,3)=$W$7,LEFT(O4583,3)=$W$7)),"x","")</f>
        <v/>
      </c>
      <c r="X4583" s="79" t="str">
        <f>IF(OR(TH!N4583=TH!$X$7,O4583=TH!$X$7),"x","")</f>
        <v/>
      </c>
      <c r="Y4583" s="79" t="str">
        <f>IF(AND(OR(N4583="131",O4583="131"),H4583='131-CT'!$H$9),"x","")</f>
        <v/>
      </c>
      <c r="Z4583" s="79"/>
      <c r="AA4583" s="79" t="str">
        <f>IF(AND(MONTH(E4583)='IN-NX'!$J$5,'IN-NX'!$D$7=D4583),"x","")</f>
        <v/>
      </c>
      <c r="AB4583" s="79" t="str">
        <f>IF(AND(OR(LEFT(TH!N4583,2)="15",LEFT(TH!O4583,2)="15"),LEFT(TH!O4583,3)&lt;&gt;"111",'152-CT'!$J$8=TH!F4583),"x","")</f>
        <v/>
      </c>
      <c r="AC4583" s="79" t="str">
        <f>IF(AND(OR(LEFT(TH!N4583,2)="15",LEFT(TH!O4583,2)="15"),TK!$E$7=TH!F4583),"x","")</f>
        <v/>
      </c>
      <c r="AD4583" s="79" t="str">
        <f>IF(AND(N4583="1521",MONTH(C4583)='BK-NL'!$M$11),"x","")</f>
        <v/>
      </c>
    </row>
    <row r="4584" spans="1:30" ht="16.5" customHeight="1">
      <c r="A4584" s="318" t="str">
        <f>IF(B4584&lt;&gt;"",IF(AND(B4584='[3]IN-TC'!$S$4,OR([3]TH!N3815="1111",[3]TH!O3815="1111")),[3]TH!D3815,""),"")</f>
        <v/>
      </c>
      <c r="B4584" s="60" t="str">
        <f t="shared" si="475"/>
        <v/>
      </c>
      <c r="C4584" s="1249"/>
      <c r="D4584" s="61"/>
      <c r="E4584" s="61"/>
      <c r="F4584" s="302"/>
      <c r="G4584" s="64"/>
      <c r="H4584" s="69"/>
      <c r="I4584" s="1193"/>
      <c r="J4584" s="948"/>
      <c r="K4584" s="387"/>
      <c r="L4584" s="394"/>
      <c r="M4584" s="62"/>
      <c r="N4584" s="63"/>
      <c r="O4584" s="63"/>
      <c r="P4584" s="79" t="str">
        <f>IF(AND('331-CT'!$E$7=TH!H4584,OR(N4584="331",O4584="331")),"x","")</f>
        <v/>
      </c>
      <c r="Q4584" s="79" t="str">
        <f>IF(AND(B4584='111'!$L$11,OR($N4584=$Q$7,$O4584=$Q$7)),"x","")</f>
        <v/>
      </c>
      <c r="R4584" s="79" t="str">
        <f>IF(AND($N4584=$Q$7,$B4584&lt;'111'!$L$11),"x","")</f>
        <v/>
      </c>
      <c r="S4584" s="79" t="str">
        <f>IF(AND($O4584=$Q$7,$B4584&lt;'111'!$L$11),"x","")</f>
        <v/>
      </c>
      <c r="T4584" s="79" t="str">
        <f>IF(ISERROR(FIND('112'!$M$9,G4584,1)),"",IF((AND(FIND('112'!$M$9,G4584,1)&gt;=1,B4584='112'!$K$9,OR($N4584='112'!$I$6,$O4584='112'!$I$6))),"x",""))</f>
        <v/>
      </c>
      <c r="U4584" s="79" t="str">
        <f>IF(ISERROR(FIND('112'!$M$9,G4584,1)),"",IF((AND(LEFT(G4584,2)=LEFT('112'!$M$9,2),B4584&lt;'112'!$K$9,$N4584='112'!$I$6)),"x",""))</f>
        <v/>
      </c>
      <c r="V4584" s="79" t="str">
        <f>IF(ISERROR(FIND('112'!$M$9,G4584,1)),"",IF((AND(RIGHT(G4584,2)=RIGHT('112'!$M$9,2),B4584&lt;'112'!$K$9,$O4584='112'!$I$6)),"x",""))</f>
        <v/>
      </c>
      <c r="W4584" s="79" t="str">
        <f>IF(AND('341-CT'!$H$9=H4584,OR(LEFT(N4584,3)=$W$7,LEFT(O4584,3)=$W$7)),"x","")</f>
        <v/>
      </c>
      <c r="X4584" s="79" t="str">
        <f>IF(OR(TH!N4584=TH!$X$7,O4584=TH!$X$7),"x","")</f>
        <v/>
      </c>
      <c r="Y4584" s="79" t="str">
        <f>IF(AND(OR(N4584="131",O4584="131"),H4584='131-CT'!$H$9),"x","")</f>
        <v/>
      </c>
      <c r="Z4584" s="79"/>
      <c r="AA4584" s="79" t="str">
        <f>IF(AND(MONTH(E4584)='IN-NX'!$J$5,'IN-NX'!$D$7=D4584),"x","")</f>
        <v/>
      </c>
      <c r="AB4584" s="79" t="str">
        <f>IF(AND(OR(LEFT(TH!N4584,2)="15",LEFT(TH!O4584,2)="15"),LEFT(TH!O4584,3)&lt;&gt;"111",'152-CT'!$J$8=TH!F4584),"x","")</f>
        <v/>
      </c>
      <c r="AC4584" s="79" t="str">
        <f>IF(AND(OR(LEFT(TH!N4584,2)="15",LEFT(TH!O4584,2)="15"),TK!$E$7=TH!F4584),"x","")</f>
        <v/>
      </c>
      <c r="AD4584" s="79" t="str">
        <f>IF(AND(N4584="1521",MONTH(C4584)='BK-NL'!$M$11),"x","")</f>
        <v/>
      </c>
    </row>
    <row r="4585" spans="1:30" ht="16.5" customHeight="1">
      <c r="A4585" s="318" t="str">
        <f>IF(B4585&lt;&gt;"",IF(AND(B4585='[3]IN-TC'!$S$4,OR([3]TH!N3816="1111",[3]TH!O3816="1111")),[3]TH!D3816,""),"")</f>
        <v/>
      </c>
      <c r="B4585" s="60" t="str">
        <f t="shared" si="475"/>
        <v/>
      </c>
      <c r="C4585" s="946"/>
      <c r="D4585" s="61"/>
      <c r="E4585" s="61"/>
      <c r="F4585" s="947"/>
      <c r="G4585" s="64"/>
      <c r="H4585" s="69"/>
      <c r="I4585" s="1194"/>
      <c r="J4585" s="945"/>
      <c r="K4585" s="387"/>
      <c r="L4585" s="394"/>
      <c r="M4585" s="62"/>
      <c r="N4585" s="63"/>
      <c r="O4585" s="63"/>
      <c r="P4585" s="79" t="str">
        <f>IF(AND('331-CT'!$E$7=TH!H4585,OR(N4585="331",O4585="331")),"x","")</f>
        <v/>
      </c>
      <c r="Q4585" s="79" t="str">
        <f>IF(AND(B4585='111'!$L$11,OR($N4585=$Q$7,$O4585=$Q$7)),"x","")</f>
        <v/>
      </c>
      <c r="R4585" s="79" t="str">
        <f>IF(AND($N4585=$Q$7,$B4585&lt;'111'!$L$11),"x","")</f>
        <v/>
      </c>
      <c r="S4585" s="79" t="str">
        <f>IF(AND($O4585=$Q$7,$B4585&lt;'111'!$L$11),"x","")</f>
        <v/>
      </c>
      <c r="T4585" s="79" t="str">
        <f>IF(ISERROR(FIND('112'!$M$9,G4585,1)),"",IF((AND(FIND('112'!$M$9,G4585,1)&gt;=1,B4585='112'!$K$9,OR($N4585='112'!$I$6,$O4585='112'!$I$6))),"x",""))</f>
        <v/>
      </c>
      <c r="U4585" s="79" t="str">
        <f>IF(ISERROR(FIND('112'!$M$9,G4585,1)),"",IF((AND(LEFT(G4585,2)=LEFT('112'!$M$9,2),B4585&lt;'112'!$K$9,$N4585='112'!$I$6)),"x",""))</f>
        <v/>
      </c>
      <c r="V4585" s="79" t="str">
        <f>IF(ISERROR(FIND('112'!$M$9,G4585,1)),"",IF((AND(RIGHT(G4585,2)=RIGHT('112'!$M$9,2),B4585&lt;'112'!$K$9,$O4585='112'!$I$6)),"x",""))</f>
        <v/>
      </c>
      <c r="W4585" s="79" t="str">
        <f>IF(AND('341-CT'!$H$9=H4585,OR(LEFT(N4585,3)=$W$7,LEFT(O4585,3)=$W$7)),"x","")</f>
        <v/>
      </c>
      <c r="X4585" s="79" t="str">
        <f>IF(OR(TH!N4585=TH!$X$7,O4585=TH!$X$7),"x","")</f>
        <v/>
      </c>
      <c r="Y4585" s="79" t="str">
        <f>IF(AND(OR(N4585="131",O4585="131"),H4585='131-CT'!$H$9),"x","")</f>
        <v/>
      </c>
      <c r="Z4585" s="79"/>
      <c r="AA4585" s="79" t="str">
        <f>IF(AND(MONTH(E4585)='IN-NX'!$J$5,'IN-NX'!$D$7=D4585),"x","")</f>
        <v/>
      </c>
      <c r="AB4585" s="79" t="str">
        <f>IF(AND(OR(LEFT(TH!N4585,2)="15",LEFT(TH!O4585,2)="15"),LEFT(TH!O4585,3)&lt;&gt;"111",'152-CT'!$J$8=TH!F4585),"x","")</f>
        <v/>
      </c>
      <c r="AC4585" s="79" t="str">
        <f>IF(AND(OR(LEFT(TH!N4585,2)="15",LEFT(TH!O4585,2)="15"),TK!$E$7=TH!F4585),"x","")</f>
        <v/>
      </c>
      <c r="AD4585" s="79" t="str">
        <f>IF(AND(N4585="1521",MONTH(C4585)='BK-NL'!$M$11),"x","")</f>
        <v/>
      </c>
    </row>
    <row r="4586" spans="1:30" ht="16.5" customHeight="1">
      <c r="A4586" s="318" t="str">
        <f>IF(B4586&lt;&gt;"",IF(AND(B4586='[3]IN-TC'!$S$4,OR([3]TH!N3817="1111",[3]TH!O3817="1111")),[3]TH!D3817,""),"")</f>
        <v/>
      </c>
      <c r="B4586" s="60" t="str">
        <f t="shared" si="475"/>
        <v/>
      </c>
      <c r="C4586" s="946"/>
      <c r="D4586" s="61"/>
      <c r="E4586" s="61"/>
      <c r="F4586" s="69"/>
      <c r="G4586" s="64"/>
      <c r="H4586" s="69"/>
      <c r="I4586" s="387"/>
      <c r="J4586" s="394"/>
      <c r="K4586" s="387"/>
      <c r="L4586" s="394"/>
      <c r="M4586" s="62"/>
      <c r="N4586" s="63"/>
      <c r="O4586" s="63"/>
      <c r="P4586" s="79" t="str">
        <f>IF(AND('331-CT'!$E$7=TH!H4586,OR(N4586="331",O4586="331")),"x","")</f>
        <v/>
      </c>
      <c r="Q4586" s="79" t="str">
        <f>IF(AND(B4586='111'!$L$11,OR($N4586=$Q$7,$O4586=$Q$7)),"x","")</f>
        <v/>
      </c>
      <c r="R4586" s="79" t="str">
        <f>IF(AND($N4586=$Q$7,$B4586&lt;'111'!$L$11),"x","")</f>
        <v/>
      </c>
      <c r="S4586" s="79" t="str">
        <f>IF(AND($O4586=$Q$7,$B4586&lt;'111'!$L$11),"x","")</f>
        <v/>
      </c>
      <c r="T4586" s="79" t="str">
        <f>IF(ISERROR(FIND('112'!$M$9,G4586,1)),"",IF((AND(FIND('112'!$M$9,G4586,1)&gt;=1,B4586='112'!$K$9,OR($N4586='112'!$I$6,$O4586='112'!$I$6))),"x",""))</f>
        <v/>
      </c>
      <c r="U4586" s="79" t="str">
        <f>IF(ISERROR(FIND('112'!$M$9,G4586,1)),"",IF((AND(LEFT(G4586,2)=LEFT('112'!$M$9,2),B4586&lt;'112'!$K$9,$N4586='112'!$I$6)),"x",""))</f>
        <v/>
      </c>
      <c r="V4586" s="79" t="str">
        <f>IF(ISERROR(FIND('112'!$M$9,G4586,1)),"",IF((AND(RIGHT(G4586,2)=RIGHT('112'!$M$9,2),B4586&lt;'112'!$K$9,$O4586='112'!$I$6)),"x",""))</f>
        <v/>
      </c>
      <c r="W4586" s="79" t="str">
        <f>IF(AND('341-CT'!$H$9=H4586,OR(LEFT(N4586,3)=$W$7,LEFT(O4586,3)=$W$7)),"x","")</f>
        <v/>
      </c>
      <c r="X4586" s="79" t="str">
        <f>IF(OR(TH!N4586=TH!$X$7,O4586=TH!$X$7),"x","")</f>
        <v/>
      </c>
      <c r="Y4586" s="79" t="str">
        <f>IF(AND(OR(N4586="131",O4586="131"),H4586='131-CT'!$H$9),"x","")</f>
        <v/>
      </c>
      <c r="Z4586" s="79"/>
      <c r="AA4586" s="79" t="str">
        <f>IF(AND(MONTH(E4586)='IN-NX'!$J$5,'IN-NX'!$D$7=D4586),"x","")</f>
        <v/>
      </c>
      <c r="AB4586" s="79" t="str">
        <f>IF(AND(OR(LEFT(TH!N4586,2)="15",LEFT(TH!O4586,2)="15"),LEFT(TH!O4586,3)&lt;&gt;"111",'152-CT'!$J$8=TH!F4586),"x","")</f>
        <v/>
      </c>
      <c r="AC4586" s="79" t="str">
        <f>IF(AND(OR(LEFT(TH!N4586,2)="15",LEFT(TH!O4586,2)="15"),TK!$E$7=TH!F4586),"x","")</f>
        <v/>
      </c>
      <c r="AD4586" s="79" t="str">
        <f>IF(AND(N4586="1521",MONTH(C4586)='BK-NL'!$M$11),"x","")</f>
        <v/>
      </c>
    </row>
    <row r="4587" spans="1:30" ht="16.5" customHeight="1">
      <c r="A4587" s="318" t="str">
        <f>IF(B4587&lt;&gt;"",IF(AND(B4587='[3]IN-TC'!$S$4,OR([3]TH!N3818="1111",[3]TH!O3818="1111")),[3]TH!D3818,""),"")</f>
        <v/>
      </c>
      <c r="B4587" s="60" t="str">
        <f t="shared" si="475"/>
        <v/>
      </c>
      <c r="C4587" s="946"/>
      <c r="D4587" s="61"/>
      <c r="E4587" s="61"/>
      <c r="F4587" s="69"/>
      <c r="G4587" s="64"/>
      <c r="H4587" s="69"/>
      <c r="I4587" s="1156"/>
      <c r="J4587" s="1035"/>
      <c r="K4587" s="387"/>
      <c r="L4587" s="394"/>
      <c r="M4587" s="62"/>
      <c r="N4587" s="63"/>
      <c r="O4587" s="63"/>
      <c r="P4587" s="79" t="str">
        <f>IF(AND('331-CT'!$E$7=TH!H4587,OR(N4587="331",O4587="331")),"x","")</f>
        <v/>
      </c>
      <c r="Q4587" s="79" t="str">
        <f>IF(AND(B4587='111'!$L$11,OR($N4587=$Q$7,$O4587=$Q$7)),"x","")</f>
        <v/>
      </c>
      <c r="R4587" s="79" t="str">
        <f>IF(AND($N4587=$Q$7,$B4587&lt;'111'!$L$11),"x","")</f>
        <v/>
      </c>
      <c r="S4587" s="79" t="str">
        <f>IF(AND($O4587=$Q$7,$B4587&lt;'111'!$L$11),"x","")</f>
        <v/>
      </c>
      <c r="T4587" s="79" t="str">
        <f>IF(ISERROR(FIND('112'!$M$9,G4587,1)),"",IF((AND(FIND('112'!$M$9,G4587,1)&gt;=1,B4587='112'!$K$9,OR($N4587='112'!$I$6,$O4587='112'!$I$6))),"x",""))</f>
        <v/>
      </c>
      <c r="U4587" s="79" t="str">
        <f>IF(ISERROR(FIND('112'!$M$9,G4587,1)),"",IF((AND(LEFT(G4587,2)=LEFT('112'!$M$9,2),B4587&lt;'112'!$K$9,$N4587='112'!$I$6)),"x",""))</f>
        <v/>
      </c>
      <c r="V4587" s="79" t="str">
        <f>IF(ISERROR(FIND('112'!$M$9,G4587,1)),"",IF((AND(RIGHT(G4587,2)=RIGHT('112'!$M$9,2),B4587&lt;'112'!$K$9,$O4587='112'!$I$6)),"x",""))</f>
        <v/>
      </c>
      <c r="W4587" s="79" t="str">
        <f>IF(AND('341-CT'!$H$9=H4587,OR(LEFT(N4587,3)=$W$7,LEFT(O4587,3)=$W$7)),"x","")</f>
        <v/>
      </c>
      <c r="X4587" s="79" t="str">
        <f>IF(OR(TH!N4587=TH!$X$7,O4587=TH!$X$7),"x","")</f>
        <v/>
      </c>
      <c r="Y4587" s="79" t="str">
        <f>IF(AND(OR(N4587="131",O4587="131"),H4587='131-CT'!$H$9),"x","")</f>
        <v/>
      </c>
      <c r="Z4587" s="79"/>
      <c r="AA4587" s="79" t="str">
        <f>IF(AND(MONTH(E4587)='IN-NX'!$J$5,'IN-NX'!$D$7=D4587),"x","")</f>
        <v/>
      </c>
      <c r="AB4587" s="79" t="str">
        <f>IF(AND(OR(LEFT(TH!N4587,2)="15",LEFT(TH!O4587,2)="15"),LEFT(TH!O4587,3)&lt;&gt;"111",'152-CT'!$J$8=TH!F4587),"x","")</f>
        <v/>
      </c>
      <c r="AC4587" s="79" t="str">
        <f>IF(AND(OR(LEFT(TH!N4587,2)="15",LEFT(TH!O4587,2)="15"),TK!$E$7=TH!F4587),"x","")</f>
        <v/>
      </c>
      <c r="AD4587" s="79" t="str">
        <f>IF(AND(N4587="1521",MONTH(C4587)='BK-NL'!$M$11),"x","")</f>
        <v/>
      </c>
    </row>
    <row r="4588" spans="1:30" ht="16.5" customHeight="1">
      <c r="A4588" s="318" t="str">
        <f>IF(B4588&lt;&gt;"",IF(AND(B4588='[3]IN-TC'!$S$4,OR([3]TH!N3819="1111",[3]TH!O3819="1111")),[3]TH!D3819,""),"")</f>
        <v/>
      </c>
      <c r="B4588" s="60" t="str">
        <f t="shared" si="475"/>
        <v/>
      </c>
      <c r="C4588" s="1249"/>
      <c r="D4588" s="61"/>
      <c r="E4588" s="61"/>
      <c r="F4588" s="69"/>
      <c r="G4588" s="64"/>
      <c r="H4588" s="69"/>
      <c r="I4588" s="387"/>
      <c r="J4588" s="394"/>
      <c r="K4588" s="387"/>
      <c r="L4588" s="394"/>
      <c r="M4588" s="62"/>
      <c r="N4588" s="63"/>
      <c r="O4588" s="63"/>
      <c r="P4588" s="79" t="str">
        <f>IF(AND('331-CT'!$E$7=TH!H4588,OR(N4588="331",O4588="331")),"x","")</f>
        <v/>
      </c>
      <c r="Q4588" s="79" t="str">
        <f>IF(AND(B4588='111'!$L$11,OR($N4588=$Q$7,$O4588=$Q$7)),"x","")</f>
        <v/>
      </c>
      <c r="R4588" s="79" t="str">
        <f>IF(AND($N4588=$Q$7,$B4588&lt;'111'!$L$11),"x","")</f>
        <v/>
      </c>
      <c r="S4588" s="79" t="str">
        <f>IF(AND($O4588=$Q$7,$B4588&lt;'111'!$L$11),"x","")</f>
        <v/>
      </c>
      <c r="T4588" s="79" t="str">
        <f>IF(ISERROR(FIND('112'!$M$9,G4588,1)),"",IF((AND(FIND('112'!$M$9,G4588,1)&gt;=1,B4588='112'!$K$9,OR($N4588='112'!$I$6,$O4588='112'!$I$6))),"x",""))</f>
        <v/>
      </c>
      <c r="U4588" s="79" t="str">
        <f>IF(ISERROR(FIND('112'!$M$9,G4588,1)),"",IF((AND(LEFT(G4588,2)=LEFT('112'!$M$9,2),B4588&lt;'112'!$K$9,$N4588='112'!$I$6)),"x",""))</f>
        <v/>
      </c>
      <c r="V4588" s="79" t="str">
        <f>IF(ISERROR(FIND('112'!$M$9,G4588,1)),"",IF((AND(RIGHT(G4588,2)=RIGHT('112'!$M$9,2),B4588&lt;'112'!$K$9,$O4588='112'!$I$6)),"x",""))</f>
        <v/>
      </c>
      <c r="W4588" s="79" t="str">
        <f>IF(AND('341-CT'!$H$9=H4588,OR(LEFT(N4588,3)=$W$7,LEFT(O4588,3)=$W$7)),"x","")</f>
        <v/>
      </c>
      <c r="X4588" s="79" t="str">
        <f>IF(OR(TH!N4588=TH!$X$7,O4588=TH!$X$7),"x","")</f>
        <v/>
      </c>
      <c r="Y4588" s="79" t="str">
        <f>IF(AND(OR(N4588="131",O4588="131"),H4588='131-CT'!$H$9),"x","")</f>
        <v/>
      </c>
      <c r="Z4588" s="79"/>
      <c r="AA4588" s="79" t="str">
        <f>IF(AND(MONTH(E4588)='IN-NX'!$J$5,'IN-NX'!$D$7=D4588),"x","")</f>
        <v/>
      </c>
      <c r="AB4588" s="79" t="str">
        <f>IF(AND(OR(LEFT(TH!N4588,2)="15",LEFT(TH!O4588,2)="15"),LEFT(TH!O4588,3)&lt;&gt;"111",'152-CT'!$J$8=TH!F4588),"x","")</f>
        <v/>
      </c>
      <c r="AC4588" s="79" t="str">
        <f>IF(AND(OR(LEFT(TH!N4588,2)="15",LEFT(TH!O4588,2)="15"),TK!$E$7=TH!F4588),"x","")</f>
        <v/>
      </c>
      <c r="AD4588" s="79" t="str">
        <f>IF(AND(N4588="1521",MONTH(C4588)='BK-NL'!$M$11),"x","")</f>
        <v/>
      </c>
    </row>
    <row r="4589" spans="1:30" ht="16.5" customHeight="1">
      <c r="A4589" s="318" t="str">
        <f>IF(B4589&lt;&gt;"",IF(AND(B4589='[3]IN-TC'!$S$4,OR([3]TH!N3820="1111",[3]TH!O3820="1111")),[3]TH!D3820,""),"")</f>
        <v/>
      </c>
      <c r="B4589" s="60" t="str">
        <f t="shared" si="475"/>
        <v/>
      </c>
      <c r="C4589" s="1249"/>
      <c r="D4589" s="61"/>
      <c r="E4589" s="61"/>
      <c r="F4589" s="947"/>
      <c r="G4589" s="64"/>
      <c r="H4589" s="69"/>
      <c r="I4589" s="1193"/>
      <c r="J4589" s="948"/>
      <c r="K4589" s="387"/>
      <c r="L4589" s="394"/>
      <c r="M4589" s="62"/>
      <c r="N4589" s="63"/>
      <c r="O4589" s="63"/>
      <c r="P4589" s="79" t="str">
        <f>IF(AND('331-CT'!$E$7=TH!H4589,OR(N4589="331",O4589="331")),"x","")</f>
        <v/>
      </c>
      <c r="Q4589" s="79" t="str">
        <f>IF(AND(B4589='111'!$L$11,OR($N4589=$Q$7,$O4589=$Q$7)),"x","")</f>
        <v/>
      </c>
      <c r="R4589" s="79" t="str">
        <f>IF(AND($N4589=$Q$7,$B4589&lt;'111'!$L$11),"x","")</f>
        <v/>
      </c>
      <c r="S4589" s="79" t="str">
        <f>IF(AND($O4589=$Q$7,$B4589&lt;'111'!$L$11),"x","")</f>
        <v/>
      </c>
      <c r="T4589" s="79" t="str">
        <f>IF(ISERROR(FIND('112'!$M$9,G4589,1)),"",IF((AND(FIND('112'!$M$9,G4589,1)&gt;=1,B4589='112'!$K$9,OR($N4589='112'!$I$6,$O4589='112'!$I$6))),"x",""))</f>
        <v/>
      </c>
      <c r="U4589" s="79" t="str">
        <f>IF(ISERROR(FIND('112'!$M$9,G4589,1)),"",IF((AND(LEFT(G4589,2)=LEFT('112'!$M$9,2),B4589&lt;'112'!$K$9,$N4589='112'!$I$6)),"x",""))</f>
        <v/>
      </c>
      <c r="V4589" s="79" t="str">
        <f>IF(ISERROR(FIND('112'!$M$9,G4589,1)),"",IF((AND(RIGHT(G4589,2)=RIGHT('112'!$M$9,2),B4589&lt;'112'!$K$9,$O4589='112'!$I$6)),"x",""))</f>
        <v/>
      </c>
      <c r="W4589" s="79" t="str">
        <f>IF(AND('341-CT'!$H$9=H4589,OR(LEFT(N4589,3)=$W$7,LEFT(O4589,3)=$W$7)),"x","")</f>
        <v/>
      </c>
      <c r="X4589" s="79" t="str">
        <f>IF(OR(TH!N4589=TH!$X$7,O4589=TH!$X$7),"x","")</f>
        <v/>
      </c>
      <c r="Y4589" s="79" t="str">
        <f>IF(AND(OR(N4589="131",O4589="131"),H4589='131-CT'!$H$9),"x","")</f>
        <v/>
      </c>
      <c r="Z4589" s="79"/>
      <c r="AA4589" s="79" t="str">
        <f>IF(AND(MONTH(E4589)='IN-NX'!$J$5,'IN-NX'!$D$7=D4589),"x","")</f>
        <v/>
      </c>
      <c r="AB4589" s="79" t="str">
        <f>IF(AND(OR(LEFT(TH!N4589,2)="15",LEFT(TH!O4589,2)="15"),LEFT(TH!O4589,3)&lt;&gt;"111",'152-CT'!$J$8=TH!F4589),"x","")</f>
        <v/>
      </c>
      <c r="AC4589" s="79" t="str">
        <f>IF(AND(OR(LEFT(TH!N4589,2)="15",LEFT(TH!O4589,2)="15"),TK!$E$7=TH!F4589),"x","")</f>
        <v/>
      </c>
      <c r="AD4589" s="79" t="str">
        <f>IF(AND(N4589="1521",MONTH(C4589)='BK-NL'!$M$11),"x","")</f>
        <v/>
      </c>
    </row>
    <row r="4590" spans="1:30" ht="16.5" customHeight="1">
      <c r="A4590" s="318" t="str">
        <f>IF(B4590&lt;&gt;"",IF(AND(B4590='[3]IN-TC'!$S$4,OR([3]TH!N3821="1111",[3]TH!O3821="1111")),[3]TH!D3821,""),"")</f>
        <v/>
      </c>
      <c r="B4590" s="60" t="str">
        <f t="shared" si="475"/>
        <v/>
      </c>
      <c r="C4590" s="1249"/>
      <c r="D4590" s="61"/>
      <c r="E4590" s="61"/>
      <c r="F4590" s="947"/>
      <c r="G4590" s="64"/>
      <c r="H4590" s="69"/>
      <c r="I4590" s="1193"/>
      <c r="J4590" s="948"/>
      <c r="K4590" s="387"/>
      <c r="L4590" s="394"/>
      <c r="M4590" s="62"/>
      <c r="N4590" s="63"/>
      <c r="O4590" s="63"/>
      <c r="P4590" s="79" t="str">
        <f>IF(AND('331-CT'!$E$7=TH!H4590,OR(N4590="331",O4590="331")),"x","")</f>
        <v/>
      </c>
      <c r="Q4590" s="79" t="str">
        <f>IF(AND(B4590='111'!$L$11,OR($N4590=$Q$7,$O4590=$Q$7)),"x","")</f>
        <v/>
      </c>
      <c r="R4590" s="79" t="str">
        <f>IF(AND($N4590=$Q$7,$B4590&lt;'111'!$L$11),"x","")</f>
        <v/>
      </c>
      <c r="S4590" s="79" t="str">
        <f>IF(AND($O4590=$Q$7,$B4590&lt;'111'!$L$11),"x","")</f>
        <v/>
      </c>
      <c r="T4590" s="79" t="str">
        <f>IF(ISERROR(FIND('112'!$M$9,G4590,1)),"",IF((AND(FIND('112'!$M$9,G4590,1)&gt;=1,B4590='112'!$K$9,OR($N4590='112'!$I$6,$O4590='112'!$I$6))),"x",""))</f>
        <v/>
      </c>
      <c r="U4590" s="79" t="str">
        <f>IF(ISERROR(FIND('112'!$M$9,G4590,1)),"",IF((AND(LEFT(G4590,2)=LEFT('112'!$M$9,2),B4590&lt;'112'!$K$9,$N4590='112'!$I$6)),"x",""))</f>
        <v/>
      </c>
      <c r="V4590" s="79" t="str">
        <f>IF(ISERROR(FIND('112'!$M$9,G4590,1)),"",IF((AND(RIGHT(G4590,2)=RIGHT('112'!$M$9,2),B4590&lt;'112'!$K$9,$O4590='112'!$I$6)),"x",""))</f>
        <v/>
      </c>
      <c r="W4590" s="79" t="str">
        <f>IF(AND('341-CT'!$H$9=H4590,OR(LEFT(N4590,3)=$W$7,LEFT(O4590,3)=$W$7)),"x","")</f>
        <v/>
      </c>
      <c r="X4590" s="79" t="str">
        <f>IF(OR(TH!N4590=TH!$X$7,O4590=TH!$X$7),"x","")</f>
        <v/>
      </c>
      <c r="Y4590" s="79" t="str">
        <f>IF(AND(OR(N4590="131",O4590="131"),H4590='131-CT'!$H$9),"x","")</f>
        <v/>
      </c>
      <c r="Z4590" s="79"/>
      <c r="AA4590" s="79" t="str">
        <f>IF(AND(MONTH(E4590)='IN-NX'!$J$5,'IN-NX'!$D$7=D4590),"x","")</f>
        <v/>
      </c>
      <c r="AB4590" s="79" t="str">
        <f>IF(AND(OR(LEFT(TH!N4590,2)="15",LEFT(TH!O4590,2)="15"),LEFT(TH!O4590,3)&lt;&gt;"111",'152-CT'!$J$8=TH!F4590),"x","")</f>
        <v/>
      </c>
      <c r="AC4590" s="79" t="str">
        <f>IF(AND(OR(LEFT(TH!N4590,2)="15",LEFT(TH!O4590,2)="15"),TK!$E$7=TH!F4590),"x","")</f>
        <v/>
      </c>
      <c r="AD4590" s="79" t="str">
        <f>IF(AND(N4590="1521",MONTH(C4590)='BK-NL'!$M$11),"x","")</f>
        <v/>
      </c>
    </row>
    <row r="4591" spans="1:30" ht="16.5" customHeight="1">
      <c r="A4591" s="318" t="str">
        <f>IF(B4591&lt;&gt;"",IF(AND(B4591='[3]IN-TC'!$S$4,OR([3]TH!N3822="1111",[3]TH!O3822="1111")),[3]TH!D3822,""),"")</f>
        <v/>
      </c>
      <c r="B4591" s="60" t="str">
        <f t="shared" si="475"/>
        <v/>
      </c>
      <c r="C4591" s="1249"/>
      <c r="D4591" s="61"/>
      <c r="E4591" s="61"/>
      <c r="F4591" s="947"/>
      <c r="G4591" s="64"/>
      <c r="H4591" s="69"/>
      <c r="I4591" s="1193"/>
      <c r="J4591" s="948"/>
      <c r="K4591" s="387"/>
      <c r="L4591" s="394"/>
      <c r="M4591" s="62"/>
      <c r="N4591" s="63"/>
      <c r="O4591" s="63"/>
      <c r="P4591" s="79" t="str">
        <f>IF(AND('331-CT'!$E$7=TH!H4591,OR(N4591="331",O4591="331")),"x","")</f>
        <v/>
      </c>
      <c r="Q4591" s="79" t="str">
        <f>IF(AND(B4591='111'!$L$11,OR($N4591=$Q$7,$O4591=$Q$7)),"x","")</f>
        <v/>
      </c>
      <c r="R4591" s="79" t="str">
        <f>IF(AND($N4591=$Q$7,$B4591&lt;'111'!$L$11),"x","")</f>
        <v/>
      </c>
      <c r="S4591" s="79" t="str">
        <f>IF(AND($O4591=$Q$7,$B4591&lt;'111'!$L$11),"x","")</f>
        <v/>
      </c>
      <c r="T4591" s="79" t="str">
        <f>IF(ISERROR(FIND('112'!$M$9,G4591,1)),"",IF((AND(FIND('112'!$M$9,G4591,1)&gt;=1,B4591='112'!$K$9,OR($N4591='112'!$I$6,$O4591='112'!$I$6))),"x",""))</f>
        <v/>
      </c>
      <c r="U4591" s="79" t="str">
        <f>IF(ISERROR(FIND('112'!$M$9,G4591,1)),"",IF((AND(LEFT(G4591,2)=LEFT('112'!$M$9,2),B4591&lt;'112'!$K$9,$N4591='112'!$I$6)),"x",""))</f>
        <v/>
      </c>
      <c r="V4591" s="79" t="str">
        <f>IF(ISERROR(FIND('112'!$M$9,G4591,1)),"",IF((AND(RIGHT(G4591,2)=RIGHT('112'!$M$9,2),B4591&lt;'112'!$K$9,$O4591='112'!$I$6)),"x",""))</f>
        <v/>
      </c>
      <c r="W4591" s="79" t="str">
        <f>IF(AND('341-CT'!$H$9=H4591,OR(LEFT(N4591,3)=$W$7,LEFT(O4591,3)=$W$7)),"x","")</f>
        <v/>
      </c>
      <c r="X4591" s="79" t="str">
        <f>IF(OR(TH!N4591=TH!$X$7,O4591=TH!$X$7),"x","")</f>
        <v/>
      </c>
      <c r="Y4591" s="79" t="str">
        <f>IF(AND(OR(N4591="131",O4591="131"),H4591='131-CT'!$H$9),"x","")</f>
        <v/>
      </c>
      <c r="Z4591" s="79"/>
      <c r="AA4591" s="79" t="str">
        <f>IF(AND(MONTH(E4591)='IN-NX'!$J$5,'IN-NX'!$D$7=D4591),"x","")</f>
        <v/>
      </c>
      <c r="AB4591" s="79" t="str">
        <f>IF(AND(OR(LEFT(TH!N4591,2)="15",LEFT(TH!O4591,2)="15"),LEFT(TH!O4591,3)&lt;&gt;"111",'152-CT'!$J$8=TH!F4591),"x","")</f>
        <v/>
      </c>
      <c r="AC4591" s="79" t="str">
        <f>IF(AND(OR(LEFT(TH!N4591,2)="15",LEFT(TH!O4591,2)="15"),TK!$E$7=TH!F4591),"x","")</f>
        <v/>
      </c>
      <c r="AD4591" s="79" t="str">
        <f>IF(AND(N4591="1521",MONTH(C4591)='BK-NL'!$M$11),"x","")</f>
        <v/>
      </c>
    </row>
    <row r="4592" spans="1:30" ht="16.5" customHeight="1">
      <c r="A4592" s="318" t="str">
        <f>IF(B4592&lt;&gt;"",IF(AND(B4592='[3]IN-TC'!$S$4,OR([3]TH!N3823="1111",[3]TH!O3823="1111")),[3]TH!D3823,""),"")</f>
        <v/>
      </c>
      <c r="B4592" s="60" t="str">
        <f t="shared" si="475"/>
        <v/>
      </c>
      <c r="C4592" s="1257"/>
      <c r="D4592" s="61"/>
      <c r="E4592" s="61"/>
      <c r="F4592" s="69"/>
      <c r="G4592" s="64"/>
      <c r="H4592" s="69"/>
      <c r="I4592" s="1255"/>
      <c r="J4592" s="1261"/>
      <c r="K4592" s="385"/>
      <c r="L4592" s="392"/>
      <c r="M4592" s="62"/>
      <c r="N4592" s="63"/>
      <c r="O4592" s="63"/>
      <c r="P4592" s="79" t="str">
        <f>IF(AND('331-CT'!$E$7=TH!H4592,OR(N4592="331",O4592="331")),"x","")</f>
        <v/>
      </c>
      <c r="Q4592" s="79" t="str">
        <f>IF(AND(B4592='111'!$L$11,OR($N4592=$Q$7,$O4592=$Q$7)),"x","")</f>
        <v/>
      </c>
      <c r="R4592" s="79" t="str">
        <f>IF(AND($N4592=$Q$7,$B4592&lt;'111'!$L$11),"x","")</f>
        <v/>
      </c>
      <c r="S4592" s="79" t="str">
        <f>IF(AND($O4592=$Q$7,$B4592&lt;'111'!$L$11),"x","")</f>
        <v/>
      </c>
      <c r="T4592" s="79" t="str">
        <f>IF(ISERROR(FIND('112'!$M$9,G4592,1)),"",IF((AND(FIND('112'!$M$9,G4592,1)&gt;=1,B4592='112'!$K$9,OR($N4592='112'!$I$6,$O4592='112'!$I$6))),"x",""))</f>
        <v/>
      </c>
      <c r="U4592" s="79" t="str">
        <f>IF(ISERROR(FIND('112'!$M$9,G4592,1)),"",IF((AND(LEFT(G4592,2)=LEFT('112'!$M$9,2),B4592&lt;'112'!$K$9,$N4592='112'!$I$6)),"x",""))</f>
        <v/>
      </c>
      <c r="V4592" s="79" t="str">
        <f>IF(ISERROR(FIND('112'!$M$9,G4592,1)),"",IF((AND(RIGHT(G4592,2)=RIGHT('112'!$M$9,2),B4592&lt;'112'!$K$9,$O4592='112'!$I$6)),"x",""))</f>
        <v/>
      </c>
      <c r="W4592" s="79" t="str">
        <f>IF(AND('341-CT'!$H$9=H4592,OR(LEFT(N4592,3)=$W$7,LEFT(O4592,3)=$W$7)),"x","")</f>
        <v/>
      </c>
      <c r="X4592" s="79" t="str">
        <f>IF(OR(TH!N4592=TH!$X$7,O4592=TH!$X$7),"x","")</f>
        <v/>
      </c>
      <c r="Y4592" s="79" t="str">
        <f>IF(AND(OR(N4592="131",O4592="131"),H4592='131-CT'!$H$9),"x","")</f>
        <v/>
      </c>
      <c r="Z4592" s="79"/>
      <c r="AA4592" s="79" t="str">
        <f>IF(AND(MONTH(E4592)='IN-NX'!$J$5,'IN-NX'!$D$7=D4592),"x","")</f>
        <v/>
      </c>
      <c r="AB4592" s="79" t="str">
        <f>IF(AND(OR(LEFT(TH!N4592,2)="15",LEFT(TH!O4592,2)="15"),LEFT(TH!O4592,3)&lt;&gt;"111",'152-CT'!$J$8=TH!F4592),"x","")</f>
        <v/>
      </c>
      <c r="AC4592" s="79" t="str">
        <f>IF(AND(OR(LEFT(TH!N4592,2)="15",LEFT(TH!O4592,2)="15"),TK!$E$7=TH!F4592),"x","")</f>
        <v/>
      </c>
      <c r="AD4592" s="79" t="str">
        <f>IF(AND(N4592="1521",MONTH(C4592)='BK-NL'!$M$11),"x","")</f>
        <v/>
      </c>
    </row>
    <row r="4593" spans="1:30" ht="16.5" customHeight="1">
      <c r="A4593" s="318" t="str">
        <f>IF(B4593&lt;&gt;"",IF(AND(B4593='[3]IN-TC'!$S$4,OR([3]TH!N3824="1111",[3]TH!O3824="1111")),[3]TH!D3824,""),"")</f>
        <v/>
      </c>
      <c r="B4593" s="60" t="str">
        <f t="shared" si="475"/>
        <v/>
      </c>
      <c r="C4593" s="1257"/>
      <c r="D4593" s="61"/>
      <c r="E4593" s="61"/>
      <c r="F4593" s="69"/>
      <c r="G4593" s="64"/>
      <c r="H4593" s="69"/>
      <c r="I4593" s="387"/>
      <c r="J4593" s="394"/>
      <c r="K4593" s="387"/>
      <c r="L4593" s="394"/>
      <c r="M4593" s="62"/>
      <c r="N4593" s="63"/>
      <c r="O4593" s="63"/>
      <c r="P4593" s="79" t="str">
        <f>IF(AND('331-CT'!$E$7=TH!H4593,OR(N4593="331",O4593="331")),"x","")</f>
        <v/>
      </c>
      <c r="Q4593" s="79" t="str">
        <f>IF(AND(B4593='111'!$L$11,OR($N4593=$Q$7,$O4593=$Q$7)),"x","")</f>
        <v/>
      </c>
      <c r="R4593" s="79" t="str">
        <f>IF(AND($N4593=$Q$7,$B4593&lt;'111'!$L$11),"x","")</f>
        <v/>
      </c>
      <c r="S4593" s="79" t="str">
        <f>IF(AND($O4593=$Q$7,$B4593&lt;'111'!$L$11),"x","")</f>
        <v/>
      </c>
      <c r="T4593" s="79" t="str">
        <f>IF(ISERROR(FIND('112'!$M$9,G4593,1)),"",IF((AND(FIND('112'!$M$9,G4593,1)&gt;=1,B4593='112'!$K$9,OR($N4593='112'!$I$6,$O4593='112'!$I$6))),"x",""))</f>
        <v/>
      </c>
      <c r="U4593" s="79" t="str">
        <f>IF(ISERROR(FIND('112'!$M$9,G4593,1)),"",IF((AND(LEFT(G4593,2)=LEFT('112'!$M$9,2),B4593&lt;'112'!$K$9,$N4593='112'!$I$6)),"x",""))</f>
        <v/>
      </c>
      <c r="V4593" s="79" t="str">
        <f>IF(ISERROR(FIND('112'!$M$9,G4593,1)),"",IF((AND(RIGHT(G4593,2)=RIGHT('112'!$M$9,2),B4593&lt;'112'!$K$9,$O4593='112'!$I$6)),"x",""))</f>
        <v/>
      </c>
      <c r="W4593" s="79" t="str">
        <f>IF(AND('341-CT'!$H$9=H4593,OR(LEFT(N4593,3)=$W$7,LEFT(O4593,3)=$W$7)),"x","")</f>
        <v/>
      </c>
      <c r="X4593" s="79" t="str">
        <f>IF(OR(TH!N4593=TH!$X$7,O4593=TH!$X$7),"x","")</f>
        <v/>
      </c>
      <c r="Y4593" s="79" t="str">
        <f>IF(AND(OR(N4593="131",O4593="131"),H4593='131-CT'!$H$9),"x","")</f>
        <v/>
      </c>
      <c r="Z4593" s="79"/>
      <c r="AA4593" s="79" t="str">
        <f>IF(AND(MONTH(E4593)='IN-NX'!$J$5,'IN-NX'!$D$7=D4593),"x","")</f>
        <v/>
      </c>
      <c r="AB4593" s="79" t="str">
        <f>IF(AND(OR(LEFT(TH!N4593,2)="15",LEFT(TH!O4593,2)="15"),LEFT(TH!O4593,3)&lt;&gt;"111",'152-CT'!$J$8=TH!F4593),"x","")</f>
        <v/>
      </c>
      <c r="AC4593" s="79" t="str">
        <f>IF(AND(OR(LEFT(TH!N4593,2)="15",LEFT(TH!O4593,2)="15"),TK!$E$7=TH!F4593),"x","")</f>
        <v/>
      </c>
      <c r="AD4593" s="79" t="str">
        <f>IF(AND(N4593="1521",MONTH(C4593)='BK-NL'!$M$11),"x","")</f>
        <v/>
      </c>
    </row>
    <row r="4594" spans="1:30" ht="16.5" customHeight="1">
      <c r="A4594" s="318" t="str">
        <f>IF(B4594&lt;&gt;"",IF(AND(B4594='[3]IN-TC'!$S$4,OR([3]TH!N3825="1111",[3]TH!O3825="1111")),[3]TH!D3825,""),"")</f>
        <v/>
      </c>
      <c r="B4594" s="60" t="str">
        <f t="shared" si="475"/>
        <v/>
      </c>
      <c r="C4594" s="1257"/>
      <c r="D4594" s="61"/>
      <c r="E4594" s="61"/>
      <c r="F4594" s="69"/>
      <c r="G4594" s="64"/>
      <c r="H4594" s="69"/>
      <c r="I4594" s="387"/>
      <c r="J4594" s="394"/>
      <c r="K4594" s="387"/>
      <c r="L4594" s="394"/>
      <c r="M4594" s="62"/>
      <c r="N4594" s="63"/>
      <c r="O4594" s="63"/>
      <c r="P4594" s="79" t="str">
        <f>IF(AND('331-CT'!$E$7=TH!H4594,OR(N4594="331",O4594="331")),"x","")</f>
        <v/>
      </c>
      <c r="Q4594" s="79" t="str">
        <f>IF(AND(B4594='111'!$L$11,OR($N4594=$Q$7,$O4594=$Q$7)),"x","")</f>
        <v/>
      </c>
      <c r="R4594" s="79" t="str">
        <f>IF(AND($N4594=$Q$7,$B4594&lt;'111'!$L$11),"x","")</f>
        <v/>
      </c>
      <c r="S4594" s="79" t="str">
        <f>IF(AND($O4594=$Q$7,$B4594&lt;'111'!$L$11),"x","")</f>
        <v/>
      </c>
      <c r="T4594" s="79" t="str">
        <f>IF(ISERROR(FIND('112'!$M$9,G4594,1)),"",IF((AND(FIND('112'!$M$9,G4594,1)&gt;=1,B4594='112'!$K$9,OR($N4594='112'!$I$6,$O4594='112'!$I$6))),"x",""))</f>
        <v/>
      </c>
      <c r="U4594" s="79" t="str">
        <f>IF(ISERROR(FIND('112'!$M$9,G4594,1)),"",IF((AND(LEFT(G4594,2)=LEFT('112'!$M$9,2),B4594&lt;'112'!$K$9,$N4594='112'!$I$6)),"x",""))</f>
        <v/>
      </c>
      <c r="V4594" s="79" t="str">
        <f>IF(ISERROR(FIND('112'!$M$9,G4594,1)),"",IF((AND(RIGHT(G4594,2)=RIGHT('112'!$M$9,2),B4594&lt;'112'!$K$9,$O4594='112'!$I$6)),"x",""))</f>
        <v/>
      </c>
      <c r="W4594" s="79" t="str">
        <f>IF(AND('341-CT'!$H$9=H4594,OR(LEFT(N4594,3)=$W$7,LEFT(O4594,3)=$W$7)),"x","")</f>
        <v/>
      </c>
      <c r="X4594" s="79" t="str">
        <f>IF(OR(TH!N4594=TH!$X$7,O4594=TH!$X$7),"x","")</f>
        <v/>
      </c>
      <c r="Y4594" s="79" t="str">
        <f>IF(AND(OR(N4594="131",O4594="131"),H4594='131-CT'!$H$9),"x","")</f>
        <v/>
      </c>
      <c r="Z4594" s="79"/>
      <c r="AA4594" s="79" t="str">
        <f>IF(AND(MONTH(E4594)='IN-NX'!$J$5,'IN-NX'!$D$7=D4594),"x","")</f>
        <v/>
      </c>
      <c r="AB4594" s="79" t="str">
        <f>IF(AND(OR(LEFT(TH!N4594,2)="15",LEFT(TH!O4594,2)="15"),LEFT(TH!O4594,3)&lt;&gt;"111",'152-CT'!$J$8=TH!F4594),"x","")</f>
        <v/>
      </c>
      <c r="AC4594" s="79" t="str">
        <f>IF(AND(OR(LEFT(TH!N4594,2)="15",LEFT(TH!O4594,2)="15"),TK!$E$7=TH!F4594),"x","")</f>
        <v/>
      </c>
      <c r="AD4594" s="79" t="str">
        <f>IF(AND(N4594="1521",MONTH(C4594)='BK-NL'!$M$11),"x","")</f>
        <v/>
      </c>
    </row>
    <row r="4595" spans="1:30" ht="16.5" customHeight="1">
      <c r="A4595" s="318" t="str">
        <f>IF(B4595&lt;&gt;"",IF(AND(B4595='[3]IN-TC'!$S$4,OR([3]TH!N3826="1111",[3]TH!O3826="1111")),[3]TH!D3826,""),"")</f>
        <v/>
      </c>
      <c r="B4595" s="60" t="str">
        <f t="shared" si="475"/>
        <v/>
      </c>
      <c r="C4595" s="61"/>
      <c r="D4595" s="61"/>
      <c r="E4595" s="61"/>
      <c r="F4595" s="69"/>
      <c r="G4595" s="64"/>
      <c r="H4595" s="69"/>
      <c r="I4595" s="385"/>
      <c r="J4595" s="392"/>
      <c r="K4595" s="385"/>
      <c r="L4595" s="392"/>
      <c r="M4595" s="62"/>
      <c r="N4595" s="63"/>
      <c r="O4595" s="304"/>
      <c r="P4595" s="79" t="str">
        <f>IF(AND('331-CT'!$E$7=TH!H4595,OR(N4595="331",O4595="331")),"x","")</f>
        <v/>
      </c>
      <c r="Q4595" s="79" t="str">
        <f>IF(AND(B4595='111'!$L$11,OR($N4595=$Q$7,$O4595=$Q$7)),"x","")</f>
        <v/>
      </c>
      <c r="R4595" s="79" t="str">
        <f>IF(AND($N4595=$Q$7,$B4595&lt;'111'!$L$11),"x","")</f>
        <v/>
      </c>
      <c r="S4595" s="79" t="str">
        <f>IF(AND($O4595=$Q$7,$B4595&lt;'111'!$L$11),"x","")</f>
        <v/>
      </c>
      <c r="T4595" s="79" t="str">
        <f>IF(ISERROR(FIND('112'!$M$9,G4595,1)),"",IF((AND(FIND('112'!$M$9,G4595,1)&gt;=1,B4595='112'!$K$9,OR($N4595='112'!$I$6,$O4595='112'!$I$6))),"x",""))</f>
        <v/>
      </c>
      <c r="U4595" s="79" t="str">
        <f>IF(ISERROR(FIND('112'!$M$9,G4595,1)),"",IF((AND(LEFT(G4595,2)=LEFT('112'!$M$9,2),B4595&lt;'112'!$K$9,$N4595='112'!$I$6)),"x",""))</f>
        <v/>
      </c>
      <c r="V4595" s="79" t="str">
        <f>IF(ISERROR(FIND('112'!$M$9,G4595,1)),"",IF((AND(RIGHT(G4595,2)=RIGHT('112'!$M$9,2),B4595&lt;'112'!$K$9,$O4595='112'!$I$6)),"x",""))</f>
        <v/>
      </c>
      <c r="W4595" s="79" t="str">
        <f>IF(AND('341-CT'!$H$9=H4595,OR(LEFT(N4595,3)=$W$7,LEFT(O4595,3)=$W$7)),"x","")</f>
        <v/>
      </c>
      <c r="X4595" s="79" t="str">
        <f>IF(OR(TH!N4595=TH!$X$7,O4595=TH!$X$7),"x","")</f>
        <v/>
      </c>
      <c r="Y4595" s="79" t="str">
        <f>IF(AND(OR(N4595="131",O4595="131"),H4595='131-CT'!$H$9),"x","")</f>
        <v/>
      </c>
      <c r="Z4595" s="79"/>
      <c r="AA4595" s="79" t="str">
        <f>IF(AND(MONTH(E4595)='IN-NX'!$J$5,'IN-NX'!$D$7=D4595),"x","")</f>
        <v/>
      </c>
      <c r="AB4595" s="79" t="str">
        <f>IF(AND(OR(LEFT(TH!N4595,2)="15",LEFT(TH!O4595,2)="15"),LEFT(TH!O4595,3)&lt;&gt;"111",'152-CT'!$J$8=TH!F4595),"x","")</f>
        <v/>
      </c>
      <c r="AC4595" s="79" t="str">
        <f>IF(AND(OR(LEFT(TH!N4595,2)="15",LEFT(TH!O4595,2)="15"),TK!$E$7=TH!F4595),"x","")</f>
        <v/>
      </c>
      <c r="AD4595" s="79" t="str">
        <f>IF(AND(N4595="1521",MONTH(C4595)='BK-NL'!$M$11),"x","")</f>
        <v/>
      </c>
    </row>
    <row r="4596" spans="1:30" ht="16.5" customHeight="1">
      <c r="A4596" s="318" t="str">
        <f>IF(B4596&lt;&gt;"",IF(AND(B4596='[3]IN-TC'!$S$4,OR([3]TH!N3827="1111",[3]TH!O3827="1111")),[3]TH!D3827,""),"")</f>
        <v/>
      </c>
      <c r="B4596" s="60" t="str">
        <f t="shared" si="475"/>
        <v/>
      </c>
      <c r="C4596" s="1249"/>
      <c r="D4596" s="301"/>
      <c r="E4596" s="61"/>
      <c r="F4596" s="947"/>
      <c r="G4596" s="64"/>
      <c r="H4596" s="69"/>
      <c r="I4596" s="1193"/>
      <c r="J4596" s="948"/>
      <c r="K4596" s="387"/>
      <c r="L4596" s="394"/>
      <c r="M4596" s="62"/>
      <c r="N4596" s="63"/>
      <c r="O4596" s="63"/>
      <c r="P4596" s="79" t="str">
        <f>IF(AND('331-CT'!$E$7=TH!H4596,OR(N4596="331",O4596="331")),"x","")</f>
        <v/>
      </c>
      <c r="Q4596" s="79" t="str">
        <f>IF(AND(B4596='111'!$L$11,OR($N4596=$Q$7,$O4596=$Q$7)),"x","")</f>
        <v/>
      </c>
      <c r="R4596" s="79" t="str">
        <f>IF(AND($N4596=$Q$7,$B4596&lt;'111'!$L$11),"x","")</f>
        <v/>
      </c>
      <c r="S4596" s="79" t="str">
        <f>IF(AND($O4596=$Q$7,$B4596&lt;'111'!$L$11),"x","")</f>
        <v/>
      </c>
      <c r="T4596" s="79" t="str">
        <f>IF(ISERROR(FIND('112'!$M$9,G4596,1)),"",IF((AND(FIND('112'!$M$9,G4596,1)&gt;=1,B4596='112'!$K$9,OR($N4596='112'!$I$6,$O4596='112'!$I$6))),"x",""))</f>
        <v/>
      </c>
      <c r="U4596" s="79" t="str">
        <f>IF(ISERROR(FIND('112'!$M$9,G4596,1)),"",IF((AND(LEFT(G4596,2)=LEFT('112'!$M$9,2),B4596&lt;'112'!$K$9,$N4596='112'!$I$6)),"x",""))</f>
        <v/>
      </c>
      <c r="V4596" s="79" t="str">
        <f>IF(ISERROR(FIND('112'!$M$9,G4596,1)),"",IF((AND(RIGHT(G4596,2)=RIGHT('112'!$M$9,2),B4596&lt;'112'!$K$9,$O4596='112'!$I$6)),"x",""))</f>
        <v/>
      </c>
      <c r="W4596" s="79" t="str">
        <f>IF(AND('341-CT'!$H$9=H4596,OR(LEFT(N4596,3)=$W$7,LEFT(O4596,3)=$W$7)),"x","")</f>
        <v/>
      </c>
      <c r="X4596" s="79" t="str">
        <f>IF(OR(TH!N4596=TH!$X$7,O4596=TH!$X$7),"x","")</f>
        <v/>
      </c>
      <c r="Y4596" s="79" t="str">
        <f>IF(AND(OR(N4596="131",O4596="131"),H4596='131-CT'!$H$9),"x","")</f>
        <v/>
      </c>
      <c r="Z4596" s="79"/>
      <c r="AA4596" s="79" t="str">
        <f>IF(AND(MONTH(E4596)='IN-NX'!$J$5,'IN-NX'!$D$7=D4596),"x","")</f>
        <v/>
      </c>
      <c r="AB4596" s="79" t="str">
        <f>IF(AND(OR(LEFT(TH!N4596,2)="15",LEFT(TH!O4596,2)="15"),LEFT(TH!O4596,3)&lt;&gt;"111",'152-CT'!$J$8=TH!F4596),"x","")</f>
        <v/>
      </c>
      <c r="AC4596" s="79" t="str">
        <f>IF(AND(OR(LEFT(TH!N4596,2)="15",LEFT(TH!O4596,2)="15"),TK!$E$7=TH!F4596),"x","")</f>
        <v/>
      </c>
      <c r="AD4596" s="79" t="str">
        <f>IF(AND(N4596="1521",MONTH(C4596)='BK-NL'!$M$11),"x","")</f>
        <v/>
      </c>
    </row>
    <row r="4597" spans="1:30" ht="16.5" customHeight="1">
      <c r="A4597" s="318" t="str">
        <f>IF(B4597&lt;&gt;"",IF(AND(B4597='[3]IN-TC'!$S$4,OR([3]TH!N3828="1111",[3]TH!O3828="1111")),[3]TH!D3828,""),"")</f>
        <v/>
      </c>
      <c r="B4597" s="60" t="str">
        <f t="shared" si="475"/>
        <v/>
      </c>
      <c r="C4597" s="61"/>
      <c r="D4597" s="61"/>
      <c r="E4597" s="61"/>
      <c r="F4597" s="303"/>
      <c r="G4597" s="64"/>
      <c r="H4597" s="69"/>
      <c r="I4597" s="385"/>
      <c r="J4597" s="392"/>
      <c r="K4597" s="385"/>
      <c r="L4597" s="392"/>
      <c r="M4597" s="62"/>
      <c r="N4597" s="63"/>
      <c r="O4597" s="63"/>
      <c r="P4597" s="79" t="str">
        <f>IF(AND('331-CT'!$E$7=TH!H4597,OR(N4597="331",O4597="331")),"x","")</f>
        <v/>
      </c>
      <c r="Q4597" s="79" t="str">
        <f>IF(AND(B4597='111'!$L$11,OR($N4597=$Q$7,$O4597=$Q$7)),"x","")</f>
        <v/>
      </c>
      <c r="R4597" s="79" t="str">
        <f>IF(AND($N4597=$Q$7,$B4597&lt;'111'!$L$11),"x","")</f>
        <v/>
      </c>
      <c r="S4597" s="79" t="str">
        <f>IF(AND($O4597=$Q$7,$B4597&lt;'111'!$L$11),"x","")</f>
        <v/>
      </c>
      <c r="T4597" s="79" t="str">
        <f>IF(ISERROR(FIND('112'!$M$9,G4597,1)),"",IF((AND(FIND('112'!$M$9,G4597,1)&gt;=1,B4597='112'!$K$9,OR($N4597='112'!$I$6,$O4597='112'!$I$6))),"x",""))</f>
        <v/>
      </c>
      <c r="U4597" s="79" t="str">
        <f>IF(ISERROR(FIND('112'!$M$9,G4597,1)),"",IF((AND(LEFT(G4597,2)=LEFT('112'!$M$9,2),B4597&lt;'112'!$K$9,$N4597='112'!$I$6)),"x",""))</f>
        <v/>
      </c>
      <c r="V4597" s="79" t="str">
        <f>IF(ISERROR(FIND('112'!$M$9,G4597,1)),"",IF((AND(RIGHT(G4597,2)=RIGHT('112'!$M$9,2),B4597&lt;'112'!$K$9,$O4597='112'!$I$6)),"x",""))</f>
        <v/>
      </c>
      <c r="W4597" s="79" t="str">
        <f>IF(AND('341-CT'!$H$9=H4597,OR(LEFT(N4597,3)=$W$7,LEFT(O4597,3)=$W$7)),"x","")</f>
        <v/>
      </c>
      <c r="X4597" s="79" t="str">
        <f>IF(OR(TH!N4597=TH!$X$7,O4597=TH!$X$7),"x","")</f>
        <v/>
      </c>
      <c r="Y4597" s="79" t="str">
        <f>IF(AND(OR(N4597="131",O4597="131"),H4597='131-CT'!$H$9),"x","")</f>
        <v/>
      </c>
      <c r="Z4597" s="79"/>
      <c r="AA4597" s="79" t="str">
        <f>IF(AND(MONTH(E4597)='IN-NX'!$J$5,'IN-NX'!$D$7=D4597),"x","")</f>
        <v/>
      </c>
      <c r="AB4597" s="79" t="str">
        <f>IF(AND(OR(LEFT(TH!N4597,2)="15",LEFT(TH!O4597,2)="15"),LEFT(TH!O4597,3)&lt;&gt;"111",'152-CT'!$J$8=TH!F4597),"x","")</f>
        <v/>
      </c>
      <c r="AC4597" s="79" t="str">
        <f>IF(AND(OR(LEFT(TH!N4597,2)="15",LEFT(TH!O4597,2)="15"),TK!$E$7=TH!F4597),"x","")</f>
        <v/>
      </c>
      <c r="AD4597" s="79" t="str">
        <f>IF(AND(N4597="1521",MONTH(C4597)='BK-NL'!$M$11),"x","")</f>
        <v/>
      </c>
    </row>
    <row r="4598" spans="1:30" ht="16.5" customHeight="1">
      <c r="A4598" s="318" t="str">
        <f>IF(B4598&lt;&gt;"",IF(AND(B4598='[3]IN-TC'!$S$4,OR([3]TH!N3829="1111",[3]TH!O3829="1111")),[3]TH!D3829,""),"")</f>
        <v/>
      </c>
      <c r="B4598" s="60" t="str">
        <f t="shared" si="475"/>
        <v/>
      </c>
      <c r="C4598" s="1249"/>
      <c r="D4598" s="301"/>
      <c r="E4598" s="61"/>
      <c r="F4598" s="947"/>
      <c r="G4598" s="64"/>
      <c r="H4598" s="69"/>
      <c r="I4598" s="1193"/>
      <c r="J4598" s="948"/>
      <c r="K4598" s="387"/>
      <c r="L4598" s="394"/>
      <c r="M4598" s="62"/>
      <c r="N4598" s="63"/>
      <c r="O4598" s="63"/>
      <c r="P4598" s="79" t="str">
        <f>IF(AND('331-CT'!$E$7=TH!H4598,OR(N4598="331",O4598="331")),"x","")</f>
        <v/>
      </c>
      <c r="Q4598" s="79" t="str">
        <f>IF(AND(B4598='111'!$L$11,OR($N4598=$Q$7,$O4598=$Q$7)),"x","")</f>
        <v/>
      </c>
      <c r="R4598" s="79" t="str">
        <f>IF(AND($N4598=$Q$7,$B4598&lt;'111'!$L$11),"x","")</f>
        <v/>
      </c>
      <c r="S4598" s="79" t="str">
        <f>IF(AND($O4598=$Q$7,$B4598&lt;'111'!$L$11),"x","")</f>
        <v/>
      </c>
      <c r="T4598" s="79" t="str">
        <f>IF(ISERROR(FIND('112'!$M$9,G4598,1)),"",IF((AND(FIND('112'!$M$9,G4598,1)&gt;=1,B4598='112'!$K$9,OR($N4598='112'!$I$6,$O4598='112'!$I$6))),"x",""))</f>
        <v/>
      </c>
      <c r="U4598" s="79" t="str">
        <f>IF(ISERROR(FIND('112'!$M$9,G4598,1)),"",IF((AND(LEFT(G4598,2)=LEFT('112'!$M$9,2),B4598&lt;'112'!$K$9,$N4598='112'!$I$6)),"x",""))</f>
        <v/>
      </c>
      <c r="V4598" s="79" t="str">
        <f>IF(ISERROR(FIND('112'!$M$9,G4598,1)),"",IF((AND(RIGHT(G4598,2)=RIGHT('112'!$M$9,2),B4598&lt;'112'!$K$9,$O4598='112'!$I$6)),"x",""))</f>
        <v/>
      </c>
      <c r="W4598" s="79" t="str">
        <f>IF(AND('341-CT'!$H$9=H4598,OR(LEFT(N4598,3)=$W$7,LEFT(O4598,3)=$W$7)),"x","")</f>
        <v/>
      </c>
      <c r="X4598" s="79" t="str">
        <f>IF(OR(TH!N4598=TH!$X$7,O4598=TH!$X$7),"x","")</f>
        <v/>
      </c>
      <c r="Y4598" s="79" t="str">
        <f>IF(AND(OR(N4598="131",O4598="131"),H4598='131-CT'!$H$9),"x","")</f>
        <v/>
      </c>
      <c r="Z4598" s="79"/>
      <c r="AA4598" s="79" t="str">
        <f>IF(AND(MONTH(E4598)='IN-NX'!$J$5,'IN-NX'!$D$7=D4598),"x","")</f>
        <v/>
      </c>
      <c r="AB4598" s="79" t="str">
        <f>IF(AND(OR(LEFT(TH!N4598,2)="15",LEFT(TH!O4598,2)="15"),LEFT(TH!O4598,3)&lt;&gt;"111",'152-CT'!$J$8=TH!F4598),"x","")</f>
        <v/>
      </c>
      <c r="AC4598" s="79" t="str">
        <f>IF(AND(OR(LEFT(TH!N4598,2)="15",LEFT(TH!O4598,2)="15"),TK!$E$7=TH!F4598),"x","")</f>
        <v/>
      </c>
      <c r="AD4598" s="79" t="str">
        <f>IF(AND(N4598="1521",MONTH(C4598)='BK-NL'!$M$11),"x","")</f>
        <v/>
      </c>
    </row>
    <row r="4599" spans="1:30" ht="16.5" customHeight="1">
      <c r="A4599" s="318" t="str">
        <f>IF(B4599&lt;&gt;"",IF(AND(B4599='[3]IN-TC'!$S$4,OR([3]TH!N3830="1111",[3]TH!O3830="1111")),[3]TH!D3830,""),"")</f>
        <v/>
      </c>
      <c r="B4599" s="60" t="str">
        <f t="shared" si="475"/>
        <v/>
      </c>
      <c r="C4599" s="61"/>
      <c r="D4599" s="61"/>
      <c r="E4599" s="61"/>
      <c r="F4599" s="69"/>
      <c r="G4599" s="64"/>
      <c r="H4599" s="321"/>
      <c r="I4599" s="385"/>
      <c r="J4599" s="392"/>
      <c r="K4599" s="385"/>
      <c r="L4599" s="392"/>
      <c r="M4599" s="62"/>
      <c r="N4599" s="63"/>
      <c r="O4599" s="63"/>
      <c r="P4599" s="79" t="str">
        <f>IF(AND('331-CT'!$E$7=TH!H4599,OR(N4599="331",O4599="331")),"x","")</f>
        <v/>
      </c>
      <c r="Q4599" s="79" t="str">
        <f>IF(AND(B4599='111'!$L$11,OR($N4599=$Q$7,$O4599=$Q$7)),"x","")</f>
        <v/>
      </c>
      <c r="R4599" s="79" t="str">
        <f>IF(AND($N4599=$Q$7,$B4599&lt;'111'!$L$11),"x","")</f>
        <v/>
      </c>
      <c r="S4599" s="79" t="str">
        <f>IF(AND($O4599=$Q$7,$B4599&lt;'111'!$L$11),"x","")</f>
        <v/>
      </c>
      <c r="T4599" s="79" t="str">
        <f>IF(ISERROR(FIND('112'!$M$9,G4599,1)),"",IF((AND(FIND('112'!$M$9,G4599,1)&gt;=1,B4599='112'!$K$9,OR($N4599='112'!$I$6,$O4599='112'!$I$6))),"x",""))</f>
        <v/>
      </c>
      <c r="U4599" s="79" t="str">
        <f>IF(ISERROR(FIND('112'!$M$9,G4599,1)),"",IF((AND(LEFT(G4599,2)=LEFT('112'!$M$9,2),B4599&lt;'112'!$K$9,$N4599='112'!$I$6)),"x",""))</f>
        <v/>
      </c>
      <c r="V4599" s="79" t="str">
        <f>IF(ISERROR(FIND('112'!$M$9,G4599,1)),"",IF((AND(RIGHT(G4599,2)=RIGHT('112'!$M$9,2),B4599&lt;'112'!$K$9,$O4599='112'!$I$6)),"x",""))</f>
        <v/>
      </c>
      <c r="W4599" s="79" t="str">
        <f>IF(AND('341-CT'!$H$9=H4599,OR(LEFT(N4599,3)=$W$7,LEFT(O4599,3)=$W$7)),"x","")</f>
        <v/>
      </c>
      <c r="X4599" s="79" t="str">
        <f>IF(OR(TH!N4599=TH!$X$7,O4599=TH!$X$7),"x","")</f>
        <v/>
      </c>
      <c r="Y4599" s="79" t="str">
        <f>IF(AND(OR(N4599="131",O4599="131"),H4599='131-CT'!$H$9),"x","")</f>
        <v/>
      </c>
      <c r="Z4599" s="79"/>
      <c r="AA4599" s="79" t="str">
        <f>IF(AND(MONTH(E4599)='IN-NX'!$J$5,'IN-NX'!$D$7=D4599),"x","")</f>
        <v/>
      </c>
      <c r="AB4599" s="79" t="str">
        <f>IF(AND(OR(LEFT(TH!N4599,2)="15",LEFT(TH!O4599,2)="15"),LEFT(TH!O4599,3)&lt;&gt;"111",'152-CT'!$J$8=TH!F4599),"x","")</f>
        <v/>
      </c>
      <c r="AC4599" s="79" t="str">
        <f>IF(AND(OR(LEFT(TH!N4599,2)="15",LEFT(TH!O4599,2)="15"),TK!$E$7=TH!F4599),"x","")</f>
        <v/>
      </c>
      <c r="AD4599" s="79" t="str">
        <f>IF(AND(N4599="1521",MONTH(C4599)='BK-NL'!$M$11),"x","")</f>
        <v/>
      </c>
    </row>
    <row r="4600" spans="1:30" ht="16.5" customHeight="1">
      <c r="A4600" s="318" t="str">
        <f>IF(B4600&lt;&gt;"",IF(AND(B4600='[3]IN-TC'!$S$4,OR([3]TH!N3831="1111",[3]TH!O3831="1111")),[3]TH!D3831,""),"")</f>
        <v/>
      </c>
      <c r="B4600" s="60" t="str">
        <f t="shared" si="475"/>
        <v/>
      </c>
      <c r="C4600" s="61"/>
      <c r="D4600" s="61"/>
      <c r="E4600" s="61"/>
      <c r="F4600" s="69"/>
      <c r="G4600" s="64"/>
      <c r="H4600" s="69"/>
      <c r="I4600" s="387"/>
      <c r="J4600" s="394"/>
      <c r="K4600" s="387"/>
      <c r="L4600" s="394"/>
      <c r="M4600" s="62"/>
      <c r="N4600" s="63"/>
      <c r="O4600" s="63"/>
      <c r="P4600" s="79" t="str">
        <f>IF(AND('331-CT'!$E$7=TH!H4600,OR(N4600="331",O4600="331")),"x","")</f>
        <v/>
      </c>
      <c r="Q4600" s="79" t="str">
        <f>IF(AND(B4600='111'!$L$11,OR($N4600=$Q$7,$O4600=$Q$7)),"x","")</f>
        <v/>
      </c>
      <c r="R4600" s="79" t="str">
        <f>IF(AND($N4600=$Q$7,$B4600&lt;'111'!$L$11),"x","")</f>
        <v/>
      </c>
      <c r="S4600" s="79" t="str">
        <f>IF(AND($O4600=$Q$7,$B4600&lt;'111'!$L$11),"x","")</f>
        <v/>
      </c>
      <c r="T4600" s="79" t="str">
        <f>IF(ISERROR(FIND('112'!$M$9,G4600,1)),"",IF((AND(FIND('112'!$M$9,G4600,1)&gt;=1,B4600='112'!$K$9,OR($N4600='112'!$I$6,$O4600='112'!$I$6))),"x",""))</f>
        <v/>
      </c>
      <c r="U4600" s="79" t="str">
        <f>IF(ISERROR(FIND('112'!$M$9,G4600,1)),"",IF((AND(LEFT(G4600,2)=LEFT('112'!$M$9,2),B4600&lt;'112'!$K$9,$N4600='112'!$I$6)),"x",""))</f>
        <v/>
      </c>
      <c r="V4600" s="79" t="str">
        <f>IF(ISERROR(FIND('112'!$M$9,G4600,1)),"",IF((AND(RIGHT(G4600,2)=RIGHT('112'!$M$9,2),B4600&lt;'112'!$K$9,$O4600='112'!$I$6)),"x",""))</f>
        <v/>
      </c>
      <c r="W4600" s="79" t="str">
        <f>IF(AND('341-CT'!$H$9=H4600,OR(LEFT(N4600,3)=$W$7,LEFT(O4600,3)=$W$7)),"x","")</f>
        <v/>
      </c>
      <c r="X4600" s="79" t="str">
        <f>IF(OR(TH!N4600=TH!$X$7,O4600=TH!$X$7),"x","")</f>
        <v/>
      </c>
      <c r="Y4600" s="79" t="str">
        <f>IF(AND(OR(N4600="131",O4600="131"),H4600='131-CT'!$H$9),"x","")</f>
        <v/>
      </c>
      <c r="Z4600" s="79"/>
      <c r="AA4600" s="79" t="str">
        <f>IF(AND(MONTH(E4600)='IN-NX'!$J$5,'IN-NX'!$D$7=D4600),"x","")</f>
        <v/>
      </c>
      <c r="AB4600" s="79" t="str">
        <f>IF(AND(OR(LEFT(TH!N4600,2)="15",LEFT(TH!O4600,2)="15"),LEFT(TH!O4600,3)&lt;&gt;"111",'152-CT'!$J$8=TH!F4600),"x","")</f>
        <v/>
      </c>
      <c r="AC4600" s="79" t="str">
        <f>IF(AND(OR(LEFT(TH!N4600,2)="15",LEFT(TH!O4600,2)="15"),TK!$E$7=TH!F4600),"x","")</f>
        <v/>
      </c>
      <c r="AD4600" s="79" t="str">
        <f>IF(AND(N4600="1521",MONTH(C4600)='BK-NL'!$M$11),"x","")</f>
        <v/>
      </c>
    </row>
    <row r="4601" spans="1:30" ht="16.5" customHeight="1">
      <c r="A4601" s="318" t="str">
        <f>IF(B4601&lt;&gt;"",IF(AND(B4601='[3]IN-TC'!$S$4,OR([3]TH!N3832="1111",[3]TH!O3832="1111")),[3]TH!D3832,""),"")</f>
        <v/>
      </c>
      <c r="B4601" s="60" t="str">
        <f t="shared" si="475"/>
        <v/>
      </c>
      <c r="C4601" s="61"/>
      <c r="D4601" s="61"/>
      <c r="E4601" s="61"/>
      <c r="F4601" s="69"/>
      <c r="G4601" s="64"/>
      <c r="H4601" s="69"/>
      <c r="I4601" s="387"/>
      <c r="J4601" s="394"/>
      <c r="K4601" s="387"/>
      <c r="L4601" s="394"/>
      <c r="M4601" s="62"/>
      <c r="N4601" s="63"/>
      <c r="O4601" s="63"/>
      <c r="P4601" s="79" t="str">
        <f>IF(AND('331-CT'!$E$7=TH!H4601,OR(N4601="331",O4601="331")),"x","")</f>
        <v/>
      </c>
      <c r="Q4601" s="79" t="str">
        <f>IF(AND(B4601='111'!$L$11,OR($N4601=$Q$7,$O4601=$Q$7)),"x","")</f>
        <v/>
      </c>
      <c r="R4601" s="79" t="str">
        <f>IF(AND($N4601=$Q$7,$B4601&lt;'111'!$L$11),"x","")</f>
        <v/>
      </c>
      <c r="S4601" s="79" t="str">
        <f>IF(AND($O4601=$Q$7,$B4601&lt;'111'!$L$11),"x","")</f>
        <v/>
      </c>
      <c r="T4601" s="79" t="str">
        <f>IF(ISERROR(FIND('112'!$M$9,G4601,1)),"",IF((AND(FIND('112'!$M$9,G4601,1)&gt;=1,B4601='112'!$K$9,OR($N4601='112'!$I$6,$O4601='112'!$I$6))),"x",""))</f>
        <v/>
      </c>
      <c r="U4601" s="79" t="str">
        <f>IF(ISERROR(FIND('112'!$M$9,G4601,1)),"",IF((AND(LEFT(G4601,2)=LEFT('112'!$M$9,2),B4601&lt;'112'!$K$9,$N4601='112'!$I$6)),"x",""))</f>
        <v/>
      </c>
      <c r="V4601" s="79" t="str">
        <f>IF(ISERROR(FIND('112'!$M$9,G4601,1)),"",IF((AND(RIGHT(G4601,2)=RIGHT('112'!$M$9,2),B4601&lt;'112'!$K$9,$O4601='112'!$I$6)),"x",""))</f>
        <v/>
      </c>
      <c r="W4601" s="79" t="str">
        <f>IF(AND('341-CT'!$H$9=H4601,OR(LEFT(N4601,3)=$W$7,LEFT(O4601,3)=$W$7)),"x","")</f>
        <v/>
      </c>
      <c r="X4601" s="79" t="str">
        <f>IF(OR(TH!N4601=TH!$X$7,O4601=TH!$X$7),"x","")</f>
        <v/>
      </c>
      <c r="Y4601" s="79" t="str">
        <f>IF(AND(OR(N4601="131",O4601="131"),H4601='131-CT'!$H$9),"x","")</f>
        <v/>
      </c>
      <c r="Z4601" s="79"/>
      <c r="AA4601" s="79" t="str">
        <f>IF(AND(MONTH(E4601)='IN-NX'!$J$5,'IN-NX'!$D$7=D4601),"x","")</f>
        <v/>
      </c>
      <c r="AB4601" s="79" t="str">
        <f>IF(AND(OR(LEFT(TH!N4601,2)="15",LEFT(TH!O4601,2)="15"),LEFT(TH!O4601,3)&lt;&gt;"111",'152-CT'!$J$8=TH!F4601),"x","")</f>
        <v/>
      </c>
      <c r="AC4601" s="79" t="str">
        <f>IF(AND(OR(LEFT(TH!N4601,2)="15",LEFT(TH!O4601,2)="15"),TK!$E$7=TH!F4601),"x","")</f>
        <v/>
      </c>
      <c r="AD4601" s="79" t="str">
        <f>IF(AND(N4601="1521",MONTH(C4601)='BK-NL'!$M$11),"x","")</f>
        <v/>
      </c>
    </row>
    <row r="4602" spans="1:30" ht="16.5" customHeight="1">
      <c r="A4602" s="318" t="str">
        <f>IF(B4602&lt;&gt;"",IF(AND(B4602='[3]IN-TC'!$S$4,OR([3]TH!N3833="1111",[3]TH!O3833="1111")),[3]TH!D3833,""),"")</f>
        <v/>
      </c>
      <c r="B4602" s="60" t="str">
        <f t="shared" si="475"/>
        <v/>
      </c>
      <c r="C4602" s="61"/>
      <c r="D4602" s="61"/>
      <c r="E4602" s="61"/>
      <c r="F4602" s="69"/>
      <c r="G4602" s="64"/>
      <c r="H4602" s="303"/>
      <c r="I4602" s="387"/>
      <c r="J4602" s="394"/>
      <c r="K4602" s="387"/>
      <c r="L4602" s="394"/>
      <c r="M4602" s="62"/>
      <c r="N4602" s="63"/>
      <c r="O4602" s="63"/>
      <c r="P4602" s="79" t="str">
        <f>IF(AND('331-CT'!$E$7=TH!H4602,OR(N4602="331",O4602="331")),"x","")</f>
        <v/>
      </c>
      <c r="Q4602" s="79" t="str">
        <f>IF(AND(B4602='111'!$L$11,OR($N4602=$Q$7,$O4602=$Q$7)),"x","")</f>
        <v/>
      </c>
      <c r="R4602" s="79" t="str">
        <f>IF(AND($N4602=$Q$7,$B4602&lt;'111'!$L$11),"x","")</f>
        <v/>
      </c>
      <c r="S4602" s="79" t="str">
        <f>IF(AND($O4602=$Q$7,$B4602&lt;'111'!$L$11),"x","")</f>
        <v/>
      </c>
      <c r="T4602" s="79" t="str">
        <f>IF(ISERROR(FIND('112'!$M$9,G4602,1)),"",IF((AND(FIND('112'!$M$9,G4602,1)&gt;=1,B4602='112'!$K$9,OR($N4602='112'!$I$6,$O4602='112'!$I$6))),"x",""))</f>
        <v/>
      </c>
      <c r="U4602" s="79" t="str">
        <f>IF(ISERROR(FIND('112'!$M$9,G4602,1)),"",IF((AND(LEFT(G4602,2)=LEFT('112'!$M$9,2),B4602&lt;'112'!$K$9,$N4602='112'!$I$6)),"x",""))</f>
        <v/>
      </c>
      <c r="V4602" s="79" t="str">
        <f>IF(ISERROR(FIND('112'!$M$9,G4602,1)),"",IF((AND(RIGHT(G4602,2)=RIGHT('112'!$M$9,2),B4602&lt;'112'!$K$9,$O4602='112'!$I$6)),"x",""))</f>
        <v/>
      </c>
      <c r="W4602" s="79" t="str">
        <f>IF(AND('341-CT'!$H$9=H4602,OR(LEFT(N4602,3)=$W$7,LEFT(O4602,3)=$W$7)),"x","")</f>
        <v/>
      </c>
      <c r="X4602" s="79" t="str">
        <f>IF(OR(TH!N4602=TH!$X$7,O4602=TH!$X$7),"x","")</f>
        <v/>
      </c>
      <c r="Y4602" s="79" t="str">
        <f>IF(AND(OR(N4602="131",O4602="131"),H4602='131-CT'!$H$9),"x","")</f>
        <v/>
      </c>
      <c r="Z4602" s="79"/>
      <c r="AA4602" s="79" t="str">
        <f>IF(AND(MONTH(E4602)='IN-NX'!$J$5,'IN-NX'!$D$7=D4602),"x","")</f>
        <v/>
      </c>
      <c r="AB4602" s="79" t="str">
        <f>IF(AND(OR(LEFT(TH!N4602,2)="15",LEFT(TH!O4602,2)="15"),LEFT(TH!O4602,3)&lt;&gt;"111",'152-CT'!$J$8=TH!F4602),"x","")</f>
        <v/>
      </c>
      <c r="AC4602" s="79" t="str">
        <f>IF(AND(OR(LEFT(TH!N4602,2)="15",LEFT(TH!O4602,2)="15"),TK!$E$7=TH!F4602),"x","")</f>
        <v/>
      </c>
      <c r="AD4602" s="79" t="str">
        <f>IF(AND(N4602="1521",MONTH(C4602)='BK-NL'!$M$11),"x","")</f>
        <v/>
      </c>
    </row>
    <row r="4603" spans="1:30" ht="16.5" customHeight="1">
      <c r="A4603" s="318" t="str">
        <f>IF(B4603&lt;&gt;"",IF(AND(B4603='[3]IN-TC'!$S$4,OR([3]TH!N3834="1111",[3]TH!O3834="1111")),[3]TH!D3834,""),"")</f>
        <v/>
      </c>
      <c r="B4603" s="60" t="str">
        <f t="shared" si="475"/>
        <v/>
      </c>
      <c r="C4603" s="61"/>
      <c r="D4603" s="61"/>
      <c r="E4603" s="61"/>
      <c r="F4603" s="69"/>
      <c r="G4603" s="64"/>
      <c r="H4603" s="69"/>
      <c r="I4603" s="387"/>
      <c r="J4603" s="394"/>
      <c r="K4603" s="387"/>
      <c r="L4603" s="394"/>
      <c r="M4603" s="62"/>
      <c r="N4603" s="63"/>
      <c r="O4603" s="63"/>
      <c r="P4603" s="79" t="str">
        <f>IF(AND('331-CT'!$E$7=TH!H4603,OR(N4603="331",O4603="331")),"x","")</f>
        <v/>
      </c>
      <c r="Q4603" s="79" t="str">
        <f>IF(AND(B4603='111'!$L$11,OR($N4603=$Q$7,$O4603=$Q$7)),"x","")</f>
        <v/>
      </c>
      <c r="R4603" s="79" t="str">
        <f>IF(AND($N4603=$Q$7,$B4603&lt;'111'!$L$11),"x","")</f>
        <v/>
      </c>
      <c r="S4603" s="79" t="str">
        <f>IF(AND($O4603=$Q$7,$B4603&lt;'111'!$L$11),"x","")</f>
        <v/>
      </c>
      <c r="T4603" s="79" t="str">
        <f>IF(ISERROR(FIND('112'!$M$9,G4603,1)),"",IF((AND(FIND('112'!$M$9,G4603,1)&gt;=1,B4603='112'!$K$9,OR($N4603='112'!$I$6,$O4603='112'!$I$6))),"x",""))</f>
        <v/>
      </c>
      <c r="U4603" s="79" t="str">
        <f>IF(ISERROR(FIND('112'!$M$9,G4603,1)),"",IF((AND(LEFT(G4603,2)=LEFT('112'!$M$9,2),B4603&lt;'112'!$K$9,$N4603='112'!$I$6)),"x",""))</f>
        <v/>
      </c>
      <c r="V4603" s="79" t="str">
        <f>IF(ISERROR(FIND('112'!$M$9,G4603,1)),"",IF((AND(RIGHT(G4603,2)=RIGHT('112'!$M$9,2),B4603&lt;'112'!$K$9,$O4603='112'!$I$6)),"x",""))</f>
        <v/>
      </c>
      <c r="W4603" s="79" t="str">
        <f>IF(AND('341-CT'!$H$9=H4603,OR(LEFT(N4603,3)=$W$7,LEFT(O4603,3)=$W$7)),"x","")</f>
        <v/>
      </c>
      <c r="X4603" s="79" t="str">
        <f>IF(OR(TH!N4603=TH!$X$7,O4603=TH!$X$7),"x","")</f>
        <v/>
      </c>
      <c r="Y4603" s="79" t="str">
        <f>IF(AND(OR(N4603="131",O4603="131"),H4603='131-CT'!$H$9),"x","")</f>
        <v/>
      </c>
      <c r="Z4603" s="79"/>
      <c r="AA4603" s="79" t="str">
        <f>IF(AND(MONTH(E4603)='IN-NX'!$J$5,'IN-NX'!$D$7=D4603),"x","")</f>
        <v/>
      </c>
      <c r="AB4603" s="79" t="str">
        <f>IF(AND(OR(LEFT(TH!N4603,2)="15",LEFT(TH!O4603,2)="15"),LEFT(TH!O4603,3)&lt;&gt;"111",'152-CT'!$J$8=TH!F4603),"x","")</f>
        <v/>
      </c>
      <c r="AC4603" s="79" t="str">
        <f>IF(AND(OR(LEFT(TH!N4603,2)="15",LEFT(TH!O4603,2)="15"),TK!$E$7=TH!F4603),"x","")</f>
        <v/>
      </c>
      <c r="AD4603" s="79" t="str">
        <f>IF(AND(N4603="1521",MONTH(C4603)='BK-NL'!$M$11),"x","")</f>
        <v/>
      </c>
    </row>
    <row r="4604" spans="1:30" ht="16.5" customHeight="1">
      <c r="A4604" s="318" t="str">
        <f>IF(B4604&lt;&gt;"",IF(AND(B4604='[3]IN-TC'!$S$4,OR([3]TH!N3835="1111",[3]TH!O3835="1111")),[3]TH!D3835,""),"")</f>
        <v/>
      </c>
      <c r="B4604" s="60" t="str">
        <f t="shared" si="475"/>
        <v/>
      </c>
      <c r="C4604" s="61"/>
      <c r="D4604" s="61"/>
      <c r="E4604" s="61"/>
      <c r="F4604" s="69"/>
      <c r="G4604" s="64"/>
      <c r="H4604" s="69"/>
      <c r="I4604" s="387"/>
      <c r="J4604" s="394"/>
      <c r="K4604" s="387"/>
      <c r="L4604" s="394"/>
      <c r="M4604" s="62"/>
      <c r="N4604" s="63"/>
      <c r="O4604" s="63"/>
      <c r="P4604" s="79" t="str">
        <f>IF(AND('331-CT'!$E$7=TH!H4604,OR(N4604="331",O4604="331")),"x","")</f>
        <v/>
      </c>
      <c r="Q4604" s="79" t="str">
        <f>IF(AND(B4604='111'!$L$11,OR($N4604=$Q$7,$O4604=$Q$7)),"x","")</f>
        <v/>
      </c>
      <c r="R4604" s="79" t="str">
        <f>IF(AND($N4604=$Q$7,$B4604&lt;'111'!$L$11),"x","")</f>
        <v/>
      </c>
      <c r="S4604" s="79" t="str">
        <f>IF(AND($O4604=$Q$7,$B4604&lt;'111'!$L$11),"x","")</f>
        <v/>
      </c>
      <c r="T4604" s="79" t="str">
        <f>IF(ISERROR(FIND('112'!$M$9,G4604,1)),"",IF((AND(FIND('112'!$M$9,G4604,1)&gt;=1,B4604='112'!$K$9,OR($N4604='112'!$I$6,$O4604='112'!$I$6))),"x",""))</f>
        <v/>
      </c>
      <c r="U4604" s="79" t="str">
        <f>IF(ISERROR(FIND('112'!$M$9,G4604,1)),"",IF((AND(LEFT(G4604,2)=LEFT('112'!$M$9,2),B4604&lt;'112'!$K$9,$N4604='112'!$I$6)),"x",""))</f>
        <v/>
      </c>
      <c r="V4604" s="79" t="str">
        <f>IF(ISERROR(FIND('112'!$M$9,G4604,1)),"",IF((AND(RIGHT(G4604,2)=RIGHT('112'!$M$9,2),B4604&lt;'112'!$K$9,$O4604='112'!$I$6)),"x",""))</f>
        <v/>
      </c>
      <c r="W4604" s="79" t="str">
        <f>IF(AND('341-CT'!$H$9=H4604,OR(LEFT(N4604,3)=$W$7,LEFT(O4604,3)=$W$7)),"x","")</f>
        <v/>
      </c>
      <c r="X4604" s="79" t="str">
        <f>IF(OR(TH!N4604=TH!$X$7,O4604=TH!$X$7),"x","")</f>
        <v/>
      </c>
      <c r="Y4604" s="79" t="str">
        <f>IF(AND(OR(N4604="131",O4604="131"),H4604='131-CT'!$H$9),"x","")</f>
        <v/>
      </c>
      <c r="Z4604" s="79"/>
      <c r="AA4604" s="79" t="str">
        <f>IF(AND(MONTH(E4604)='IN-NX'!$J$5,'IN-NX'!$D$7=D4604),"x","")</f>
        <v/>
      </c>
      <c r="AB4604" s="79" t="str">
        <f>IF(AND(OR(LEFT(TH!N4604,2)="15",LEFT(TH!O4604,2)="15"),LEFT(TH!O4604,3)&lt;&gt;"111",'152-CT'!$J$8=TH!F4604),"x","")</f>
        <v/>
      </c>
      <c r="AC4604" s="79" t="str">
        <f>IF(AND(OR(LEFT(TH!N4604,2)="15",LEFT(TH!O4604,2)="15"),TK!$E$7=TH!F4604),"x","")</f>
        <v/>
      </c>
      <c r="AD4604" s="79" t="str">
        <f>IF(AND(N4604="1521",MONTH(C4604)='BK-NL'!$M$11),"x","")</f>
        <v/>
      </c>
    </row>
    <row r="4605" spans="1:30" ht="16.5" customHeight="1">
      <c r="A4605" s="318" t="str">
        <f>IF(B4605&lt;&gt;"",IF(AND(B4605='[3]IN-TC'!$S$4,OR([3]TH!N3836="1111",[3]TH!O3836="1111")),[3]TH!D3836,""),"")</f>
        <v/>
      </c>
      <c r="B4605" s="60" t="str">
        <f t="shared" si="475"/>
        <v/>
      </c>
      <c r="C4605" s="61"/>
      <c r="D4605" s="61"/>
      <c r="E4605" s="61"/>
      <c r="F4605" s="69"/>
      <c r="G4605" s="64"/>
      <c r="H4605" s="303"/>
      <c r="I4605" s="387"/>
      <c r="J4605" s="394"/>
      <c r="K4605" s="387"/>
      <c r="L4605" s="394"/>
      <c r="M4605" s="62"/>
      <c r="N4605" s="63"/>
      <c r="O4605" s="63"/>
      <c r="P4605" s="79" t="str">
        <f>IF(AND('331-CT'!$E$7=TH!H4605,OR(N4605="331",O4605="331")),"x","")</f>
        <v/>
      </c>
      <c r="Q4605" s="79" t="str">
        <f>IF(AND(B4605='111'!$L$11,OR($N4605=$Q$7,$O4605=$Q$7)),"x","")</f>
        <v/>
      </c>
      <c r="R4605" s="79" t="str">
        <f>IF(AND($N4605=$Q$7,$B4605&lt;'111'!$L$11),"x","")</f>
        <v/>
      </c>
      <c r="S4605" s="79" t="str">
        <f>IF(AND($O4605=$Q$7,$B4605&lt;'111'!$L$11),"x","")</f>
        <v/>
      </c>
      <c r="T4605" s="79" t="str">
        <f>IF(ISERROR(FIND('112'!$M$9,G4605,1)),"",IF((AND(FIND('112'!$M$9,G4605,1)&gt;=1,B4605='112'!$K$9,OR($N4605='112'!$I$6,$O4605='112'!$I$6))),"x",""))</f>
        <v/>
      </c>
      <c r="U4605" s="79" t="str">
        <f>IF(ISERROR(FIND('112'!$M$9,G4605,1)),"",IF((AND(LEFT(G4605,2)=LEFT('112'!$M$9,2),B4605&lt;'112'!$K$9,$N4605='112'!$I$6)),"x",""))</f>
        <v/>
      </c>
      <c r="V4605" s="79" t="str">
        <f>IF(ISERROR(FIND('112'!$M$9,G4605,1)),"",IF((AND(RIGHT(G4605,2)=RIGHT('112'!$M$9,2),B4605&lt;'112'!$K$9,$O4605='112'!$I$6)),"x",""))</f>
        <v/>
      </c>
      <c r="W4605" s="79" t="str">
        <f>IF(AND('341-CT'!$H$9=H4605,OR(LEFT(N4605,3)=$W$7,LEFT(O4605,3)=$W$7)),"x","")</f>
        <v/>
      </c>
      <c r="X4605" s="79" t="str">
        <f>IF(OR(TH!N4605=TH!$X$7,O4605=TH!$X$7),"x","")</f>
        <v/>
      </c>
      <c r="Y4605" s="79" t="str">
        <f>IF(AND(OR(N4605="131",O4605="131"),H4605='131-CT'!$H$9),"x","")</f>
        <v/>
      </c>
      <c r="Z4605" s="79"/>
      <c r="AA4605" s="79" t="str">
        <f>IF(AND(MONTH(E4605)='IN-NX'!$J$5,'IN-NX'!$D$7=D4605),"x","")</f>
        <v/>
      </c>
      <c r="AB4605" s="79" t="str">
        <f>IF(AND(OR(LEFT(TH!N4605,2)="15",LEFT(TH!O4605,2)="15"),LEFT(TH!O4605,3)&lt;&gt;"111",'152-CT'!$J$8=TH!F4605),"x","")</f>
        <v/>
      </c>
      <c r="AC4605" s="79" t="str">
        <f>IF(AND(OR(LEFT(TH!N4605,2)="15",LEFT(TH!O4605,2)="15"),TK!$E$7=TH!F4605),"x","")</f>
        <v/>
      </c>
      <c r="AD4605" s="79" t="str">
        <f>IF(AND(N4605="1521",MONTH(C4605)='BK-NL'!$M$11),"x","")</f>
        <v/>
      </c>
    </row>
    <row r="4606" spans="1:30" ht="16.5" customHeight="1">
      <c r="A4606" s="318" t="str">
        <f>IF(B4606&lt;&gt;"",IF(AND(B4606='[3]IN-TC'!$S$4,OR([3]TH!N3837="1111",[3]TH!O3837="1111")),[3]TH!D3837,""),"")</f>
        <v/>
      </c>
      <c r="B4606" s="60" t="str">
        <f t="shared" si="475"/>
        <v/>
      </c>
      <c r="C4606" s="61"/>
      <c r="D4606" s="61"/>
      <c r="E4606" s="61"/>
      <c r="F4606" s="69"/>
      <c r="G4606" s="64"/>
      <c r="H4606" s="69"/>
      <c r="I4606" s="387"/>
      <c r="J4606" s="394"/>
      <c r="K4606" s="387"/>
      <c r="L4606" s="394"/>
      <c r="M4606" s="62"/>
      <c r="N4606" s="63"/>
      <c r="O4606" s="63"/>
      <c r="P4606" s="79" t="str">
        <f>IF(AND('331-CT'!$E$7=TH!H4606,OR(N4606="331",O4606="331")),"x","")</f>
        <v/>
      </c>
      <c r="Q4606" s="79" t="str">
        <f>IF(AND(B4606='111'!$L$11,OR($N4606=$Q$7,$O4606=$Q$7)),"x","")</f>
        <v/>
      </c>
      <c r="R4606" s="79" t="str">
        <f>IF(AND($N4606=$Q$7,$B4606&lt;'111'!$L$11),"x","")</f>
        <v/>
      </c>
      <c r="S4606" s="79" t="str">
        <f>IF(AND($O4606=$Q$7,$B4606&lt;'111'!$L$11),"x","")</f>
        <v/>
      </c>
      <c r="T4606" s="79" t="str">
        <f>IF(ISERROR(FIND('112'!$M$9,G4606,1)),"",IF((AND(FIND('112'!$M$9,G4606,1)&gt;=1,B4606='112'!$K$9,OR($N4606='112'!$I$6,$O4606='112'!$I$6))),"x",""))</f>
        <v/>
      </c>
      <c r="U4606" s="79" t="str">
        <f>IF(ISERROR(FIND('112'!$M$9,G4606,1)),"",IF((AND(LEFT(G4606,2)=LEFT('112'!$M$9,2),B4606&lt;'112'!$K$9,$N4606='112'!$I$6)),"x",""))</f>
        <v/>
      </c>
      <c r="V4606" s="79" t="str">
        <f>IF(ISERROR(FIND('112'!$M$9,G4606,1)),"",IF((AND(RIGHT(G4606,2)=RIGHT('112'!$M$9,2),B4606&lt;'112'!$K$9,$O4606='112'!$I$6)),"x",""))</f>
        <v/>
      </c>
      <c r="W4606" s="79" t="str">
        <f>IF(AND('341-CT'!$H$9=H4606,OR(LEFT(N4606,3)=$W$7,LEFT(O4606,3)=$W$7)),"x","")</f>
        <v/>
      </c>
      <c r="X4606" s="79" t="str">
        <f>IF(OR(TH!N4606=TH!$X$7,O4606=TH!$X$7),"x","")</f>
        <v/>
      </c>
      <c r="Y4606" s="79" t="str">
        <f>IF(AND(OR(N4606="131",O4606="131"),H4606='131-CT'!$H$9),"x","")</f>
        <v/>
      </c>
      <c r="Z4606" s="79"/>
      <c r="AA4606" s="79" t="str">
        <f>IF(AND(MONTH(E4606)='IN-NX'!$J$5,'IN-NX'!$D$7=D4606),"x","")</f>
        <v/>
      </c>
      <c r="AB4606" s="79" t="str">
        <f>IF(AND(OR(LEFT(TH!N4606,2)="15",LEFT(TH!O4606,2)="15"),LEFT(TH!O4606,3)&lt;&gt;"111",'152-CT'!$J$8=TH!F4606),"x","")</f>
        <v/>
      </c>
      <c r="AC4606" s="79" t="str">
        <f>IF(AND(OR(LEFT(TH!N4606,2)="15",LEFT(TH!O4606,2)="15"),TK!$E$7=TH!F4606),"x","")</f>
        <v/>
      </c>
      <c r="AD4606" s="79" t="str">
        <f>IF(AND(N4606="1521",MONTH(C4606)='BK-NL'!$M$11),"x","")</f>
        <v/>
      </c>
    </row>
    <row r="4607" spans="1:30" ht="16.5" customHeight="1">
      <c r="A4607" s="318" t="str">
        <f>IF(B4607&lt;&gt;"",IF(AND(B4607='[3]IN-TC'!$S$4,OR([3]TH!N3838="1111",[3]TH!O3838="1111")),[3]TH!D3838,""),"")</f>
        <v/>
      </c>
      <c r="B4607" s="60" t="str">
        <f t="shared" si="475"/>
        <v/>
      </c>
      <c r="C4607" s="61"/>
      <c r="D4607" s="61"/>
      <c r="E4607" s="61"/>
      <c r="F4607" s="69"/>
      <c r="G4607" s="64"/>
      <c r="H4607" s="69"/>
      <c r="I4607" s="387"/>
      <c r="J4607" s="394"/>
      <c r="K4607" s="387"/>
      <c r="L4607" s="394"/>
      <c r="M4607" s="62"/>
      <c r="N4607" s="63"/>
      <c r="O4607" s="63"/>
      <c r="P4607" s="79" t="str">
        <f>IF(AND('331-CT'!$E$7=TH!H4607,OR(N4607="331",O4607="331")),"x","")</f>
        <v/>
      </c>
      <c r="Q4607" s="79" t="str">
        <f>IF(AND(B4607='111'!$L$11,OR($N4607=$Q$7,$O4607=$Q$7)),"x","")</f>
        <v/>
      </c>
      <c r="R4607" s="79" t="str">
        <f>IF(AND($N4607=$Q$7,$B4607&lt;'111'!$L$11),"x","")</f>
        <v/>
      </c>
      <c r="S4607" s="79" t="str">
        <f>IF(AND($O4607=$Q$7,$B4607&lt;'111'!$L$11),"x","")</f>
        <v/>
      </c>
      <c r="T4607" s="79" t="str">
        <f>IF(ISERROR(FIND('112'!$M$9,G4607,1)),"",IF((AND(FIND('112'!$M$9,G4607,1)&gt;=1,B4607='112'!$K$9,OR($N4607='112'!$I$6,$O4607='112'!$I$6))),"x",""))</f>
        <v/>
      </c>
      <c r="U4607" s="79" t="str">
        <f>IF(ISERROR(FIND('112'!$M$9,G4607,1)),"",IF((AND(LEFT(G4607,2)=LEFT('112'!$M$9,2),B4607&lt;'112'!$K$9,$N4607='112'!$I$6)),"x",""))</f>
        <v/>
      </c>
      <c r="V4607" s="79" t="str">
        <f>IF(ISERROR(FIND('112'!$M$9,G4607,1)),"",IF((AND(RIGHT(G4607,2)=RIGHT('112'!$M$9,2),B4607&lt;'112'!$K$9,$O4607='112'!$I$6)),"x",""))</f>
        <v/>
      </c>
      <c r="W4607" s="79" t="str">
        <f>IF(AND('341-CT'!$H$9=H4607,OR(LEFT(N4607,3)=$W$7,LEFT(O4607,3)=$W$7)),"x","")</f>
        <v/>
      </c>
      <c r="X4607" s="79" t="str">
        <f>IF(OR(TH!N4607=TH!$X$7,O4607=TH!$X$7),"x","")</f>
        <v/>
      </c>
      <c r="Y4607" s="79" t="str">
        <f>IF(AND(OR(N4607="131",O4607="131"),H4607='131-CT'!$H$9),"x","")</f>
        <v/>
      </c>
      <c r="Z4607" s="79"/>
      <c r="AA4607" s="79" t="str">
        <f>IF(AND(MONTH(E4607)='IN-NX'!$J$5,'IN-NX'!$D$7=D4607),"x","")</f>
        <v/>
      </c>
      <c r="AB4607" s="79" t="str">
        <f>IF(AND(OR(LEFT(TH!N4607,2)="15",LEFT(TH!O4607,2)="15"),LEFT(TH!O4607,3)&lt;&gt;"111",'152-CT'!$J$8=TH!F4607),"x","")</f>
        <v/>
      </c>
      <c r="AC4607" s="79" t="str">
        <f>IF(AND(OR(LEFT(TH!N4607,2)="15",LEFT(TH!O4607,2)="15"),TK!$E$7=TH!F4607),"x","")</f>
        <v/>
      </c>
      <c r="AD4607" s="79" t="str">
        <f>IF(AND(N4607="1521",MONTH(C4607)='BK-NL'!$M$11),"x","")</f>
        <v/>
      </c>
    </row>
    <row r="4608" spans="1:30" ht="16.5" customHeight="1">
      <c r="A4608" s="318" t="str">
        <f>IF(B4608&lt;&gt;"",IF(AND(B4608='[3]IN-TC'!$S$4,OR([3]TH!N3839="1111",[3]TH!O3839="1111")),[3]TH!D3839,""),"")</f>
        <v/>
      </c>
      <c r="B4608" s="60" t="str">
        <f t="shared" si="475"/>
        <v/>
      </c>
      <c r="C4608" s="61"/>
      <c r="D4608" s="61"/>
      <c r="E4608" s="61"/>
      <c r="F4608" s="69"/>
      <c r="G4608" s="64"/>
      <c r="H4608" s="69"/>
      <c r="I4608" s="385"/>
      <c r="J4608" s="392"/>
      <c r="K4608" s="385"/>
      <c r="L4608" s="392"/>
      <c r="M4608" s="62"/>
      <c r="N4608" s="63"/>
      <c r="O4608" s="63"/>
      <c r="P4608" s="79" t="str">
        <f>IF(AND('331-CT'!$E$7=TH!H4608,OR(N4608="331",O4608="331")),"x","")</f>
        <v/>
      </c>
      <c r="Q4608" s="79" t="str">
        <f>IF(AND(B4608='111'!$L$11,OR($N4608=$Q$7,$O4608=$Q$7)),"x","")</f>
        <v/>
      </c>
      <c r="R4608" s="79" t="str">
        <f>IF(AND($N4608=$Q$7,$B4608&lt;'111'!$L$11),"x","")</f>
        <v/>
      </c>
      <c r="S4608" s="79" t="str">
        <f>IF(AND($O4608=$Q$7,$B4608&lt;'111'!$L$11),"x","")</f>
        <v/>
      </c>
      <c r="T4608" s="79" t="str">
        <f>IF(ISERROR(FIND('112'!$M$9,G4608,1)),"",IF((AND(FIND('112'!$M$9,G4608,1)&gt;=1,B4608='112'!$K$9,OR($N4608='112'!$I$6,$O4608='112'!$I$6))),"x",""))</f>
        <v/>
      </c>
      <c r="U4608" s="79" t="str">
        <f>IF(ISERROR(FIND('112'!$M$9,G4608,1)),"",IF((AND(LEFT(G4608,2)=LEFT('112'!$M$9,2),B4608&lt;'112'!$K$9,$N4608='112'!$I$6)),"x",""))</f>
        <v/>
      </c>
      <c r="V4608" s="79" t="str">
        <f>IF(ISERROR(FIND('112'!$M$9,G4608,1)),"",IF((AND(RIGHT(G4608,2)=RIGHT('112'!$M$9,2),B4608&lt;'112'!$K$9,$O4608='112'!$I$6)),"x",""))</f>
        <v/>
      </c>
      <c r="W4608" s="79" t="str">
        <f>IF(AND('341-CT'!$H$9=H4608,OR(LEFT(N4608,3)=$W$7,LEFT(O4608,3)=$W$7)),"x","")</f>
        <v/>
      </c>
      <c r="X4608" s="79" t="str">
        <f>IF(OR(TH!N4608=TH!$X$7,O4608=TH!$X$7),"x","")</f>
        <v/>
      </c>
      <c r="Y4608" s="79" t="str">
        <f>IF(AND(OR(N4608="131",O4608="131"),H4608='131-CT'!$H$9),"x","")</f>
        <v/>
      </c>
      <c r="Z4608" s="79"/>
      <c r="AA4608" s="79" t="str">
        <f>IF(AND(MONTH(E4608)='IN-NX'!$J$5,'IN-NX'!$D$7=D4608),"x","")</f>
        <v/>
      </c>
      <c r="AB4608" s="79" t="str">
        <f>IF(AND(OR(LEFT(TH!N4608,2)="15",LEFT(TH!O4608,2)="15"),LEFT(TH!O4608,3)&lt;&gt;"111",'152-CT'!$J$8=TH!F4608),"x","")</f>
        <v/>
      </c>
      <c r="AC4608" s="79" t="str">
        <f>IF(AND(OR(LEFT(TH!N4608,2)="15",LEFT(TH!O4608,2)="15"),TK!$E$7=TH!F4608),"x","")</f>
        <v/>
      </c>
      <c r="AD4608" s="79" t="str">
        <f>IF(AND(N4608="1521",MONTH(C4608)='BK-NL'!$M$11),"x","")</f>
        <v/>
      </c>
    </row>
    <row r="4609" spans="1:30" ht="16.5" customHeight="1">
      <c r="A4609" s="318" t="str">
        <f>IF(B4609&lt;&gt;"",IF(AND(B4609='[3]IN-TC'!$S$4,OR([3]TH!N3840="1111",[3]TH!O3840="1111")),[3]TH!D3840,""),"")</f>
        <v/>
      </c>
      <c r="B4609" s="60" t="str">
        <f t="shared" si="475"/>
        <v/>
      </c>
      <c r="C4609" s="61"/>
      <c r="D4609" s="61"/>
      <c r="E4609" s="61"/>
      <c r="F4609" s="69"/>
      <c r="G4609" s="64"/>
      <c r="H4609" s="69"/>
      <c r="I4609" s="387"/>
      <c r="J4609" s="394"/>
      <c r="K4609" s="387"/>
      <c r="L4609" s="394"/>
      <c r="M4609" s="62"/>
      <c r="N4609" s="63"/>
      <c r="O4609" s="63"/>
      <c r="P4609" s="79" t="str">
        <f>IF(AND('331-CT'!$E$7=TH!H4609,OR(N4609="331",O4609="331")),"x","")</f>
        <v/>
      </c>
      <c r="Q4609" s="79" t="str">
        <f>IF(AND(B4609='111'!$L$11,OR($N4609=$Q$7,$O4609=$Q$7)),"x","")</f>
        <v/>
      </c>
      <c r="R4609" s="79" t="str">
        <f>IF(AND($N4609=$Q$7,$B4609&lt;'111'!$L$11),"x","")</f>
        <v/>
      </c>
      <c r="S4609" s="79" t="str">
        <f>IF(AND($O4609=$Q$7,$B4609&lt;'111'!$L$11),"x","")</f>
        <v/>
      </c>
      <c r="T4609" s="79" t="str">
        <f>IF(ISERROR(FIND('112'!$M$9,G4609,1)),"",IF((AND(FIND('112'!$M$9,G4609,1)&gt;=1,B4609='112'!$K$9,OR($N4609='112'!$I$6,$O4609='112'!$I$6))),"x",""))</f>
        <v/>
      </c>
      <c r="U4609" s="79" t="str">
        <f>IF(ISERROR(FIND('112'!$M$9,G4609,1)),"",IF((AND(LEFT(G4609,2)=LEFT('112'!$M$9,2),B4609&lt;'112'!$K$9,$N4609='112'!$I$6)),"x",""))</f>
        <v/>
      </c>
      <c r="V4609" s="79" t="str">
        <f>IF(ISERROR(FIND('112'!$M$9,G4609,1)),"",IF((AND(RIGHT(G4609,2)=RIGHT('112'!$M$9,2),B4609&lt;'112'!$K$9,$O4609='112'!$I$6)),"x",""))</f>
        <v/>
      </c>
      <c r="W4609" s="79" t="str">
        <f>IF(AND('341-CT'!$H$9=H4609,OR(LEFT(N4609,3)=$W$7,LEFT(O4609,3)=$W$7)),"x","")</f>
        <v/>
      </c>
      <c r="X4609" s="79" t="str">
        <f>IF(OR(TH!N4609=TH!$X$7,O4609=TH!$X$7),"x","")</f>
        <v/>
      </c>
      <c r="Y4609" s="79" t="str">
        <f>IF(AND(OR(N4609="131",O4609="131"),H4609='131-CT'!$H$9),"x","")</f>
        <v/>
      </c>
      <c r="Z4609" s="79"/>
      <c r="AA4609" s="79" t="str">
        <f>IF(AND(MONTH(E4609)='IN-NX'!$J$5,'IN-NX'!$D$7=D4609),"x","")</f>
        <v/>
      </c>
      <c r="AB4609" s="79" t="str">
        <f>IF(AND(OR(LEFT(TH!N4609,2)="15",LEFT(TH!O4609,2)="15"),LEFT(TH!O4609,3)&lt;&gt;"111",'152-CT'!$J$8=TH!F4609),"x","")</f>
        <v/>
      </c>
      <c r="AC4609" s="79" t="str">
        <f>IF(AND(OR(LEFT(TH!N4609,2)="15",LEFT(TH!O4609,2)="15"),TK!$E$7=TH!F4609),"x","")</f>
        <v/>
      </c>
      <c r="AD4609" s="79" t="str">
        <f>IF(AND(N4609="1521",MONTH(C4609)='BK-NL'!$M$11),"x","")</f>
        <v/>
      </c>
    </row>
    <row r="4610" spans="1:30" ht="16.5" customHeight="1">
      <c r="A4610" s="318" t="str">
        <f>IF(B4610&lt;&gt;"",IF(AND(B4610='[3]IN-TC'!$S$4,OR([3]TH!N3841="1111",[3]TH!O3841="1111")),[3]TH!D3841,""),"")</f>
        <v/>
      </c>
      <c r="B4610" s="60" t="str">
        <f t="shared" si="475"/>
        <v/>
      </c>
      <c r="C4610" s="61"/>
      <c r="D4610" s="61"/>
      <c r="E4610" s="61"/>
      <c r="F4610" s="69"/>
      <c r="G4610" s="64"/>
      <c r="H4610" s="69"/>
      <c r="I4610" s="387"/>
      <c r="J4610" s="394"/>
      <c r="K4610" s="387"/>
      <c r="L4610" s="394"/>
      <c r="M4610" s="62"/>
      <c r="N4610" s="63"/>
      <c r="O4610" s="63"/>
      <c r="P4610" s="79" t="str">
        <f>IF(AND('331-CT'!$E$7=TH!H4610,OR(N4610="331",O4610="331")),"x","")</f>
        <v/>
      </c>
      <c r="Q4610" s="79" t="str">
        <f>IF(AND(B4610='111'!$L$11,OR($N4610=$Q$7,$O4610=$Q$7)),"x","")</f>
        <v/>
      </c>
      <c r="R4610" s="79" t="str">
        <f>IF(AND($N4610=$Q$7,$B4610&lt;'111'!$L$11),"x","")</f>
        <v/>
      </c>
      <c r="S4610" s="79" t="str">
        <f>IF(AND($O4610=$Q$7,$B4610&lt;'111'!$L$11),"x","")</f>
        <v/>
      </c>
      <c r="T4610" s="79" t="str">
        <f>IF(ISERROR(FIND('112'!$M$9,G4610,1)),"",IF((AND(FIND('112'!$M$9,G4610,1)&gt;=1,B4610='112'!$K$9,OR($N4610='112'!$I$6,$O4610='112'!$I$6))),"x",""))</f>
        <v/>
      </c>
      <c r="U4610" s="79" t="str">
        <f>IF(ISERROR(FIND('112'!$M$9,G4610,1)),"",IF((AND(LEFT(G4610,2)=LEFT('112'!$M$9,2),B4610&lt;'112'!$K$9,$N4610='112'!$I$6)),"x",""))</f>
        <v/>
      </c>
      <c r="V4610" s="79" t="str">
        <f>IF(ISERROR(FIND('112'!$M$9,G4610,1)),"",IF((AND(RIGHT(G4610,2)=RIGHT('112'!$M$9,2),B4610&lt;'112'!$K$9,$O4610='112'!$I$6)),"x",""))</f>
        <v/>
      </c>
      <c r="W4610" s="79" t="str">
        <f>IF(AND('341-CT'!$H$9=H4610,OR(LEFT(N4610,3)=$W$7,LEFT(O4610,3)=$W$7)),"x","")</f>
        <v/>
      </c>
      <c r="X4610" s="79" t="str">
        <f>IF(OR(TH!N4610=TH!$X$7,O4610=TH!$X$7),"x","")</f>
        <v/>
      </c>
      <c r="Y4610" s="79" t="str">
        <f>IF(AND(OR(N4610="131",O4610="131"),H4610='131-CT'!$H$9),"x","")</f>
        <v/>
      </c>
      <c r="Z4610" s="79"/>
      <c r="AA4610" s="79" t="str">
        <f>IF(AND(MONTH(E4610)='IN-NX'!$J$5,'IN-NX'!$D$7=D4610),"x","")</f>
        <v/>
      </c>
      <c r="AB4610" s="79" t="str">
        <f>IF(AND(OR(LEFT(TH!N4610,2)="15",LEFT(TH!O4610,2)="15"),LEFT(TH!O4610,3)&lt;&gt;"111",'152-CT'!$J$8=TH!F4610),"x","")</f>
        <v/>
      </c>
      <c r="AC4610" s="79" t="str">
        <f>IF(AND(OR(LEFT(TH!N4610,2)="15",LEFT(TH!O4610,2)="15"),TK!$E$7=TH!F4610),"x","")</f>
        <v/>
      </c>
      <c r="AD4610" s="79" t="str">
        <f>IF(AND(N4610="1521",MONTH(C4610)='BK-NL'!$M$11),"x","")</f>
        <v/>
      </c>
    </row>
    <row r="4611" spans="1:30" ht="16.5" customHeight="1">
      <c r="A4611" s="318" t="str">
        <f>IF(B4611&lt;&gt;"",IF(AND(B4611='[3]IN-TC'!$S$4,OR([3]TH!N3842="1111",[3]TH!O3842="1111")),[3]TH!D3842,""),"")</f>
        <v/>
      </c>
      <c r="B4611" s="60" t="str">
        <f t="shared" si="475"/>
        <v/>
      </c>
      <c r="C4611" s="61"/>
      <c r="D4611" s="61"/>
      <c r="E4611" s="61"/>
      <c r="F4611" s="1162"/>
      <c r="G4611" s="64"/>
      <c r="H4611" s="69"/>
      <c r="I4611" s="1156"/>
      <c r="J4611" s="1035"/>
      <c r="K4611" s="387"/>
      <c r="L4611" s="394"/>
      <c r="M4611" s="62"/>
      <c r="N4611" s="63"/>
      <c r="O4611" s="63"/>
      <c r="P4611" s="79" t="str">
        <f>IF(AND('331-CT'!$E$7=TH!H4611,OR(N4611="331",O4611="331")),"x","")</f>
        <v/>
      </c>
      <c r="Q4611" s="79" t="str">
        <f>IF(AND(B4611='111'!$L$11,OR($N4611=$Q$7,$O4611=$Q$7)),"x","")</f>
        <v/>
      </c>
      <c r="R4611" s="79" t="str">
        <f>IF(AND($N4611=$Q$7,$B4611&lt;'111'!$L$11),"x","")</f>
        <v/>
      </c>
      <c r="S4611" s="79" t="str">
        <f>IF(AND($O4611=$Q$7,$B4611&lt;'111'!$L$11),"x","")</f>
        <v/>
      </c>
      <c r="T4611" s="79" t="str">
        <f>IF(ISERROR(FIND('112'!$M$9,G4611,1)),"",IF((AND(FIND('112'!$M$9,G4611,1)&gt;=1,B4611='112'!$K$9,OR($N4611='112'!$I$6,$O4611='112'!$I$6))),"x",""))</f>
        <v/>
      </c>
      <c r="U4611" s="79" t="str">
        <f>IF(ISERROR(FIND('112'!$M$9,G4611,1)),"",IF((AND(LEFT(G4611,2)=LEFT('112'!$M$9,2),B4611&lt;'112'!$K$9,$N4611='112'!$I$6)),"x",""))</f>
        <v/>
      </c>
      <c r="V4611" s="79" t="str">
        <f>IF(ISERROR(FIND('112'!$M$9,G4611,1)),"",IF((AND(RIGHT(G4611,2)=RIGHT('112'!$M$9,2),B4611&lt;'112'!$K$9,$O4611='112'!$I$6)),"x",""))</f>
        <v/>
      </c>
      <c r="W4611" s="79" t="str">
        <f>IF(AND('341-CT'!$H$9=H4611,OR(LEFT(N4611,3)=$W$7,LEFT(O4611,3)=$W$7)),"x","")</f>
        <v/>
      </c>
      <c r="X4611" s="79" t="str">
        <f>IF(OR(TH!N4611=TH!$X$7,O4611=TH!$X$7),"x","")</f>
        <v/>
      </c>
      <c r="Y4611" s="79" t="str">
        <f>IF(AND(OR(N4611="131",O4611="131"),H4611='131-CT'!$H$9),"x","")</f>
        <v/>
      </c>
      <c r="Z4611" s="79"/>
      <c r="AA4611" s="79" t="str">
        <f>IF(AND(MONTH(E4611)='IN-NX'!$J$5,'IN-NX'!$D$7=D4611),"x","")</f>
        <v/>
      </c>
      <c r="AB4611" s="79" t="str">
        <f>IF(AND(OR(LEFT(TH!N4611,2)="15",LEFT(TH!O4611,2)="15"),LEFT(TH!O4611,3)&lt;&gt;"111",'152-CT'!$J$8=TH!F4611),"x","")</f>
        <v/>
      </c>
      <c r="AC4611" s="79" t="str">
        <f>IF(AND(OR(LEFT(TH!N4611,2)="15",LEFT(TH!O4611,2)="15"),TK!$E$7=TH!F4611),"x","")</f>
        <v/>
      </c>
      <c r="AD4611" s="79" t="str">
        <f>IF(AND(N4611="1521",MONTH(C4611)='BK-NL'!$M$11),"x","")</f>
        <v/>
      </c>
    </row>
    <row r="4612" spans="1:30" ht="16.5" customHeight="1">
      <c r="A4612" s="318" t="str">
        <f>IF(B4612&lt;&gt;"",IF(AND(B4612='[3]IN-TC'!$S$4,OR([3]TH!N3843="1111",[3]TH!O3843="1111")),[3]TH!D3843,""),"")</f>
        <v/>
      </c>
      <c r="B4612" s="60" t="str">
        <f t="shared" si="475"/>
        <v/>
      </c>
      <c r="C4612" s="61"/>
      <c r="D4612" s="61"/>
      <c r="E4612" s="61"/>
      <c r="F4612" s="69"/>
      <c r="G4612" s="64"/>
      <c r="H4612" s="69"/>
      <c r="I4612" s="1156"/>
      <c r="J4612" s="1035"/>
      <c r="K4612" s="387"/>
      <c r="L4612" s="394"/>
      <c r="M4612" s="62"/>
      <c r="N4612" s="63"/>
      <c r="O4612" s="63"/>
      <c r="P4612" s="79" t="str">
        <f>IF(AND('331-CT'!$E$7=TH!H4612,OR(N4612="331",O4612="331")),"x","")</f>
        <v/>
      </c>
      <c r="Q4612" s="79" t="str">
        <f>IF(AND(B4612='111'!$L$11,OR($N4612=$Q$7,$O4612=$Q$7)),"x","")</f>
        <v/>
      </c>
      <c r="R4612" s="79" t="str">
        <f>IF(AND($N4612=$Q$7,$B4612&lt;'111'!$L$11),"x","")</f>
        <v/>
      </c>
      <c r="S4612" s="79" t="str">
        <f>IF(AND($O4612=$Q$7,$B4612&lt;'111'!$L$11),"x","")</f>
        <v/>
      </c>
      <c r="T4612" s="79" t="str">
        <f>IF(ISERROR(FIND('112'!$M$9,G4612,1)),"",IF((AND(FIND('112'!$M$9,G4612,1)&gt;=1,B4612='112'!$K$9,OR($N4612='112'!$I$6,$O4612='112'!$I$6))),"x",""))</f>
        <v/>
      </c>
      <c r="U4612" s="79" t="str">
        <f>IF(ISERROR(FIND('112'!$M$9,G4612,1)),"",IF((AND(LEFT(G4612,2)=LEFT('112'!$M$9,2),B4612&lt;'112'!$K$9,$N4612='112'!$I$6)),"x",""))</f>
        <v/>
      </c>
      <c r="V4612" s="79" t="str">
        <f>IF(ISERROR(FIND('112'!$M$9,G4612,1)),"",IF((AND(RIGHT(G4612,2)=RIGHT('112'!$M$9,2),B4612&lt;'112'!$K$9,$O4612='112'!$I$6)),"x",""))</f>
        <v/>
      </c>
      <c r="W4612" s="79" t="str">
        <f>IF(AND('341-CT'!$H$9=H4612,OR(LEFT(N4612,3)=$W$7,LEFT(O4612,3)=$W$7)),"x","")</f>
        <v/>
      </c>
      <c r="X4612" s="79" t="str">
        <f>IF(OR(TH!N4612=TH!$X$7,O4612=TH!$X$7),"x","")</f>
        <v/>
      </c>
      <c r="Y4612" s="79" t="str">
        <f>IF(AND(OR(N4612="131",O4612="131"),H4612='131-CT'!$H$9),"x","")</f>
        <v/>
      </c>
      <c r="Z4612" s="79"/>
      <c r="AA4612" s="79" t="str">
        <f>IF(AND(MONTH(E4612)='IN-NX'!$J$5,'IN-NX'!$D$7=D4612),"x","")</f>
        <v/>
      </c>
      <c r="AB4612" s="79" t="str">
        <f>IF(AND(OR(LEFT(TH!N4612,2)="15",LEFT(TH!O4612,2)="15"),LEFT(TH!O4612,3)&lt;&gt;"111",'152-CT'!$J$8=TH!F4612),"x","")</f>
        <v/>
      </c>
      <c r="AC4612" s="79" t="str">
        <f>IF(AND(OR(LEFT(TH!N4612,2)="15",LEFT(TH!O4612,2)="15"),TK!$E$7=TH!F4612),"x","")</f>
        <v/>
      </c>
      <c r="AD4612" s="79" t="str">
        <f>IF(AND(N4612="1521",MONTH(C4612)='BK-NL'!$M$11),"x","")</f>
        <v/>
      </c>
    </row>
    <row r="4613" spans="1:30" ht="16.5" customHeight="1">
      <c r="A4613" s="318" t="str">
        <f>IF(B4613&lt;&gt;"",IF(AND(B4613='[3]IN-TC'!$S$4,OR([3]TH!N3844="1111",[3]TH!O3844="1111")),[3]TH!D3844,""),"")</f>
        <v/>
      </c>
      <c r="B4613" s="60" t="str">
        <f t="shared" si="475"/>
        <v/>
      </c>
      <c r="C4613" s="61"/>
      <c r="D4613" s="61"/>
      <c r="E4613" s="61"/>
      <c r="F4613" s="69"/>
      <c r="G4613" s="64"/>
      <c r="H4613" s="69"/>
      <c r="I4613" s="1156"/>
      <c r="J4613" s="1035"/>
      <c r="K4613" s="387"/>
      <c r="L4613" s="394"/>
      <c r="M4613" s="62"/>
      <c r="N4613" s="63"/>
      <c r="O4613" s="63"/>
      <c r="P4613" s="79" t="str">
        <f>IF(AND('331-CT'!$E$7=TH!H4613,OR(N4613="331",O4613="331")),"x","")</f>
        <v/>
      </c>
      <c r="Q4613" s="79" t="str">
        <f>IF(AND(B4613='111'!$L$11,OR($N4613=$Q$7,$O4613=$Q$7)),"x","")</f>
        <v/>
      </c>
      <c r="R4613" s="79" t="str">
        <f>IF(AND($N4613=$Q$7,$B4613&lt;'111'!$L$11),"x","")</f>
        <v/>
      </c>
      <c r="S4613" s="79" t="str">
        <f>IF(AND($O4613=$Q$7,$B4613&lt;'111'!$L$11),"x","")</f>
        <v/>
      </c>
      <c r="T4613" s="79" t="str">
        <f>IF(ISERROR(FIND('112'!$M$9,G4613,1)),"",IF((AND(FIND('112'!$M$9,G4613,1)&gt;=1,B4613='112'!$K$9,OR($N4613='112'!$I$6,$O4613='112'!$I$6))),"x",""))</f>
        <v/>
      </c>
      <c r="U4613" s="79" t="str">
        <f>IF(ISERROR(FIND('112'!$M$9,G4613,1)),"",IF((AND(LEFT(G4613,2)=LEFT('112'!$M$9,2),B4613&lt;'112'!$K$9,$N4613='112'!$I$6)),"x",""))</f>
        <v/>
      </c>
      <c r="V4613" s="79" t="str">
        <f>IF(ISERROR(FIND('112'!$M$9,G4613,1)),"",IF((AND(RIGHT(G4613,2)=RIGHT('112'!$M$9,2),B4613&lt;'112'!$K$9,$O4613='112'!$I$6)),"x",""))</f>
        <v/>
      </c>
      <c r="W4613" s="79" t="str">
        <f>IF(AND('341-CT'!$H$9=H4613,OR(LEFT(N4613,3)=$W$7,LEFT(O4613,3)=$W$7)),"x","")</f>
        <v/>
      </c>
      <c r="X4613" s="79" t="str">
        <f>IF(OR(TH!N4613=TH!$X$7,O4613=TH!$X$7),"x","")</f>
        <v/>
      </c>
      <c r="Y4613" s="79" t="str">
        <f>IF(AND(OR(N4613="131",O4613="131"),H4613='131-CT'!$H$9),"x","")</f>
        <v/>
      </c>
      <c r="Z4613" s="79"/>
      <c r="AA4613" s="79" t="str">
        <f>IF(AND(MONTH(E4613)='IN-NX'!$J$5,'IN-NX'!$D$7=D4613),"x","")</f>
        <v/>
      </c>
      <c r="AB4613" s="79" t="str">
        <f>IF(AND(OR(LEFT(TH!N4613,2)="15",LEFT(TH!O4613,2)="15"),LEFT(TH!O4613,3)&lt;&gt;"111",'152-CT'!$J$8=TH!F4613),"x","")</f>
        <v/>
      </c>
      <c r="AC4613" s="79" t="str">
        <f>IF(AND(OR(LEFT(TH!N4613,2)="15",LEFT(TH!O4613,2)="15"),TK!$E$7=TH!F4613),"x","")</f>
        <v/>
      </c>
      <c r="AD4613" s="79" t="str">
        <f>IF(AND(N4613="1521",MONTH(C4613)='BK-NL'!$M$11),"x","")</f>
        <v/>
      </c>
    </row>
    <row r="4614" spans="1:30" ht="16.5" customHeight="1">
      <c r="A4614" s="318" t="str">
        <f>IF(B4614&lt;&gt;"",IF(AND(B4614='[3]IN-TC'!$S$4,OR([3]TH!N3845="1111",[3]TH!O3845="1111")),[3]TH!D3845,""),"")</f>
        <v/>
      </c>
      <c r="B4614" s="60" t="str">
        <f t="shared" si="475"/>
        <v/>
      </c>
      <c r="C4614" s="61"/>
      <c r="D4614" s="61"/>
      <c r="E4614" s="61"/>
      <c r="F4614" s="69"/>
      <c r="G4614" s="64"/>
      <c r="H4614" s="321"/>
      <c r="I4614" s="1156"/>
      <c r="J4614" s="1035"/>
      <c r="K4614" s="387"/>
      <c r="L4614" s="394"/>
      <c r="M4614" s="62"/>
      <c r="N4614" s="63"/>
      <c r="O4614" s="63"/>
      <c r="P4614" s="79" t="str">
        <f>IF(AND('331-CT'!$E$7=TH!H4614,OR(N4614="331",O4614="331")),"x","")</f>
        <v/>
      </c>
      <c r="Q4614" s="79" t="str">
        <f>IF(AND(B4614='111'!$L$11,OR($N4614=$Q$7,$O4614=$Q$7)),"x","")</f>
        <v/>
      </c>
      <c r="R4614" s="79" t="str">
        <f>IF(AND($N4614=$Q$7,$B4614&lt;'111'!$L$11),"x","")</f>
        <v/>
      </c>
      <c r="S4614" s="79" t="str">
        <f>IF(AND($O4614=$Q$7,$B4614&lt;'111'!$L$11),"x","")</f>
        <v/>
      </c>
      <c r="T4614" s="79" t="str">
        <f>IF(ISERROR(FIND('112'!$M$9,G4614,1)),"",IF((AND(FIND('112'!$M$9,G4614,1)&gt;=1,B4614='112'!$K$9,OR($N4614='112'!$I$6,$O4614='112'!$I$6))),"x",""))</f>
        <v/>
      </c>
      <c r="U4614" s="79" t="str">
        <f>IF(ISERROR(FIND('112'!$M$9,G4614,1)),"",IF((AND(LEFT(G4614,2)=LEFT('112'!$M$9,2),B4614&lt;'112'!$K$9,$N4614='112'!$I$6)),"x",""))</f>
        <v/>
      </c>
      <c r="V4614" s="79" t="str">
        <f>IF(ISERROR(FIND('112'!$M$9,G4614,1)),"",IF((AND(RIGHT(G4614,2)=RIGHT('112'!$M$9,2),B4614&lt;'112'!$K$9,$O4614='112'!$I$6)),"x",""))</f>
        <v/>
      </c>
      <c r="W4614" s="79" t="str">
        <f>IF(AND('341-CT'!$H$9=H4614,OR(LEFT(N4614,3)=$W$7,LEFT(O4614,3)=$W$7)),"x","")</f>
        <v/>
      </c>
      <c r="X4614" s="79" t="str">
        <f>IF(OR(TH!N4614=TH!$X$7,O4614=TH!$X$7),"x","")</f>
        <v/>
      </c>
      <c r="Y4614" s="79" t="str">
        <f>IF(AND(OR(N4614="131",O4614="131"),H4614='131-CT'!$H$9),"x","")</f>
        <v/>
      </c>
      <c r="Z4614" s="79"/>
      <c r="AA4614" s="79" t="str">
        <f>IF(AND(MONTH(E4614)='IN-NX'!$J$5,'IN-NX'!$D$7=D4614),"x","")</f>
        <v/>
      </c>
      <c r="AB4614" s="79" t="str">
        <f>IF(AND(OR(LEFT(TH!N4614,2)="15",LEFT(TH!O4614,2)="15"),LEFT(TH!O4614,3)&lt;&gt;"111",'152-CT'!$J$8=TH!F4614),"x","")</f>
        <v/>
      </c>
      <c r="AC4614" s="79" t="str">
        <f>IF(AND(OR(LEFT(TH!N4614,2)="15",LEFT(TH!O4614,2)="15"),TK!$E$7=TH!F4614),"x","")</f>
        <v/>
      </c>
      <c r="AD4614" s="79" t="str">
        <f>IF(AND(N4614="1521",MONTH(C4614)='BK-NL'!$M$11),"x","")</f>
        <v/>
      </c>
    </row>
    <row r="4615" spans="1:30" ht="16.5" customHeight="1">
      <c r="A4615" s="318" t="str">
        <f>IF(B4615&lt;&gt;"",IF(AND(B4615='[3]IN-TC'!$S$4,OR([3]TH!N3846="1111",[3]TH!O3846="1111")),[3]TH!D3846,""),"")</f>
        <v/>
      </c>
      <c r="B4615" s="60" t="str">
        <f t="shared" si="475"/>
        <v/>
      </c>
      <c r="C4615" s="61"/>
      <c r="D4615" s="61"/>
      <c r="E4615" s="61"/>
      <c r="F4615" s="69"/>
      <c r="G4615" s="64"/>
      <c r="H4615" s="69"/>
      <c r="I4615" s="1156"/>
      <c r="J4615" s="1035"/>
      <c r="K4615" s="387"/>
      <c r="L4615" s="394"/>
      <c r="M4615" s="62"/>
      <c r="N4615" s="63"/>
      <c r="O4615" s="63"/>
      <c r="P4615" s="79" t="str">
        <f>IF(AND('331-CT'!$E$7=TH!H4615,OR(N4615="331",O4615="331")),"x","")</f>
        <v/>
      </c>
      <c r="Q4615" s="79" t="str">
        <f>IF(AND(B4615='111'!$L$11,OR($N4615=$Q$7,$O4615=$Q$7)),"x","")</f>
        <v/>
      </c>
      <c r="R4615" s="79" t="str">
        <f>IF(AND($N4615=$Q$7,$B4615&lt;'111'!$L$11),"x","")</f>
        <v/>
      </c>
      <c r="S4615" s="79" t="str">
        <f>IF(AND($O4615=$Q$7,$B4615&lt;'111'!$L$11),"x","")</f>
        <v/>
      </c>
      <c r="T4615" s="79" t="str">
        <f>IF(ISERROR(FIND('112'!$M$9,G4615,1)),"",IF((AND(FIND('112'!$M$9,G4615,1)&gt;=1,B4615='112'!$K$9,OR($N4615='112'!$I$6,$O4615='112'!$I$6))),"x",""))</f>
        <v/>
      </c>
      <c r="U4615" s="79" t="str">
        <f>IF(ISERROR(FIND('112'!$M$9,G4615,1)),"",IF((AND(LEFT(G4615,2)=LEFT('112'!$M$9,2),B4615&lt;'112'!$K$9,$N4615='112'!$I$6)),"x",""))</f>
        <v/>
      </c>
      <c r="V4615" s="79" t="str">
        <f>IF(ISERROR(FIND('112'!$M$9,G4615,1)),"",IF((AND(RIGHT(G4615,2)=RIGHT('112'!$M$9,2),B4615&lt;'112'!$K$9,$O4615='112'!$I$6)),"x",""))</f>
        <v/>
      </c>
      <c r="W4615" s="79" t="str">
        <f>IF(AND('341-CT'!$H$9=H4615,OR(LEFT(N4615,3)=$W$7,LEFT(O4615,3)=$W$7)),"x","")</f>
        <v/>
      </c>
      <c r="X4615" s="79" t="str">
        <f>IF(OR(TH!N4615=TH!$X$7,O4615=TH!$X$7),"x","")</f>
        <v/>
      </c>
      <c r="Y4615" s="79" t="str">
        <f>IF(AND(OR(N4615="131",O4615="131"),H4615='131-CT'!$H$9),"x","")</f>
        <v/>
      </c>
      <c r="Z4615" s="79"/>
      <c r="AA4615" s="79" t="str">
        <f>IF(AND(MONTH(E4615)='IN-NX'!$J$5,'IN-NX'!$D$7=D4615),"x","")</f>
        <v/>
      </c>
      <c r="AB4615" s="79" t="str">
        <f>IF(AND(OR(LEFT(TH!N4615,2)="15",LEFT(TH!O4615,2)="15"),LEFT(TH!O4615,3)&lt;&gt;"111",'152-CT'!$J$8=TH!F4615),"x","")</f>
        <v/>
      </c>
      <c r="AC4615" s="79" t="str">
        <f>IF(AND(OR(LEFT(TH!N4615,2)="15",LEFT(TH!O4615,2)="15"),TK!$E$7=TH!F4615),"x","")</f>
        <v/>
      </c>
      <c r="AD4615" s="79" t="str">
        <f>IF(AND(N4615="1521",MONTH(C4615)='BK-NL'!$M$11),"x","")</f>
        <v/>
      </c>
    </row>
    <row r="4616" spans="1:30" ht="16.5" customHeight="1">
      <c r="A4616" s="318" t="str">
        <f>IF(B4616&lt;&gt;"",IF(AND(B4616='[3]IN-TC'!$S$4,OR([3]TH!N3847="1111",[3]TH!O3847="1111")),[3]TH!D3847,""),"")</f>
        <v/>
      </c>
      <c r="B4616" s="60" t="str">
        <f t="shared" si="475"/>
        <v/>
      </c>
      <c r="C4616" s="61"/>
      <c r="D4616" s="61"/>
      <c r="E4616" s="61"/>
      <c r="F4616" s="69"/>
      <c r="G4616" s="64"/>
      <c r="H4616" s="69"/>
      <c r="I4616" s="1156"/>
      <c r="J4616" s="1035"/>
      <c r="K4616" s="387"/>
      <c r="L4616" s="394"/>
      <c r="M4616" s="62"/>
      <c r="N4616" s="63"/>
      <c r="O4616" s="63"/>
      <c r="P4616" s="79" t="str">
        <f>IF(AND('331-CT'!$E$7=TH!H4616,OR(N4616="331",O4616="331")),"x","")</f>
        <v/>
      </c>
      <c r="Q4616" s="79" t="str">
        <f>IF(AND(B4616='111'!$L$11,OR($N4616=$Q$7,$O4616=$Q$7)),"x","")</f>
        <v/>
      </c>
      <c r="R4616" s="79" t="str">
        <f>IF(AND($N4616=$Q$7,$B4616&lt;'111'!$L$11),"x","")</f>
        <v/>
      </c>
      <c r="S4616" s="79" t="str">
        <f>IF(AND($O4616=$Q$7,$B4616&lt;'111'!$L$11),"x","")</f>
        <v/>
      </c>
      <c r="T4616" s="79" t="str">
        <f>IF(ISERROR(FIND('112'!$M$9,G4616,1)),"",IF((AND(FIND('112'!$M$9,G4616,1)&gt;=1,B4616='112'!$K$9,OR($N4616='112'!$I$6,$O4616='112'!$I$6))),"x",""))</f>
        <v/>
      </c>
      <c r="U4616" s="79" t="str">
        <f>IF(ISERROR(FIND('112'!$M$9,G4616,1)),"",IF((AND(LEFT(G4616,2)=LEFT('112'!$M$9,2),B4616&lt;'112'!$K$9,$N4616='112'!$I$6)),"x",""))</f>
        <v/>
      </c>
      <c r="V4616" s="79" t="str">
        <f>IF(ISERROR(FIND('112'!$M$9,G4616,1)),"",IF((AND(RIGHT(G4616,2)=RIGHT('112'!$M$9,2),B4616&lt;'112'!$K$9,$O4616='112'!$I$6)),"x",""))</f>
        <v/>
      </c>
      <c r="W4616" s="79" t="str">
        <f>IF(AND('341-CT'!$H$9=H4616,OR(LEFT(N4616,3)=$W$7,LEFT(O4616,3)=$W$7)),"x","")</f>
        <v/>
      </c>
      <c r="X4616" s="79" t="str">
        <f>IF(OR(TH!N4616=TH!$X$7,O4616=TH!$X$7),"x","")</f>
        <v/>
      </c>
      <c r="Y4616" s="79" t="str">
        <f>IF(AND(OR(N4616="131",O4616="131"),H4616='131-CT'!$H$9),"x","")</f>
        <v/>
      </c>
      <c r="Z4616" s="79"/>
      <c r="AA4616" s="79" t="str">
        <f>IF(AND(MONTH(E4616)='IN-NX'!$J$5,'IN-NX'!$D$7=D4616),"x","")</f>
        <v/>
      </c>
      <c r="AB4616" s="79" t="str">
        <f>IF(AND(OR(LEFT(TH!N4616,2)="15",LEFT(TH!O4616,2)="15"),LEFT(TH!O4616,3)&lt;&gt;"111",'152-CT'!$J$8=TH!F4616),"x","")</f>
        <v/>
      </c>
      <c r="AC4616" s="79" t="str">
        <f>IF(AND(OR(LEFT(TH!N4616,2)="15",LEFT(TH!O4616,2)="15"),TK!$E$7=TH!F4616),"x","")</f>
        <v/>
      </c>
      <c r="AD4616" s="79" t="str">
        <f>IF(AND(N4616="1521",MONTH(C4616)='BK-NL'!$M$11),"x","")</f>
        <v/>
      </c>
    </row>
    <row r="4617" spans="1:30" ht="16.5" customHeight="1">
      <c r="A4617" s="318" t="str">
        <f>IF(B4617&lt;&gt;"",IF(AND(B4617='[3]IN-TC'!$S$4,OR([3]TH!N3848="1111",[3]TH!O3848="1111")),[3]TH!D3848,""),"")</f>
        <v/>
      </c>
      <c r="B4617" s="60" t="str">
        <f t="shared" si="475"/>
        <v/>
      </c>
      <c r="C4617" s="61"/>
      <c r="D4617" s="61"/>
      <c r="E4617" s="61"/>
      <c r="F4617" s="64"/>
      <c r="G4617" s="64"/>
      <c r="H4617" s="69"/>
      <c r="I4617" s="1194"/>
      <c r="J4617" s="945"/>
      <c r="K4617" s="387"/>
      <c r="L4617" s="394"/>
      <c r="M4617" s="62"/>
      <c r="N4617" s="63"/>
      <c r="O4617" s="63"/>
      <c r="P4617" s="79" t="str">
        <f>IF(AND('331-CT'!$E$7=TH!H4617,OR(N4617="331",O4617="331")),"x","")</f>
        <v/>
      </c>
      <c r="Q4617" s="79" t="str">
        <f>IF(AND(B4617='111'!$L$11,OR($N4617=$Q$7,$O4617=$Q$7)),"x","")</f>
        <v/>
      </c>
      <c r="R4617" s="79" t="str">
        <f>IF(AND($N4617=$Q$7,$B4617&lt;'111'!$L$11),"x","")</f>
        <v/>
      </c>
      <c r="S4617" s="79" t="str">
        <f>IF(AND($O4617=$Q$7,$B4617&lt;'111'!$L$11),"x","")</f>
        <v/>
      </c>
      <c r="T4617" s="79" t="str">
        <f>IF(ISERROR(FIND('112'!$M$9,G4617,1)),"",IF((AND(FIND('112'!$M$9,G4617,1)&gt;=1,B4617='112'!$K$9,OR($N4617='112'!$I$6,$O4617='112'!$I$6))),"x",""))</f>
        <v/>
      </c>
      <c r="U4617" s="79" t="str">
        <f>IF(ISERROR(FIND('112'!$M$9,G4617,1)),"",IF((AND(LEFT(G4617,2)=LEFT('112'!$M$9,2),B4617&lt;'112'!$K$9,$N4617='112'!$I$6)),"x",""))</f>
        <v/>
      </c>
      <c r="V4617" s="79" t="str">
        <f>IF(ISERROR(FIND('112'!$M$9,G4617,1)),"",IF((AND(RIGHT(G4617,2)=RIGHT('112'!$M$9,2),B4617&lt;'112'!$K$9,$O4617='112'!$I$6)),"x",""))</f>
        <v/>
      </c>
      <c r="W4617" s="79" t="str">
        <f>IF(AND('341-CT'!$H$9=H4617,OR(LEFT(N4617,3)=$W$7,LEFT(O4617,3)=$W$7)),"x","")</f>
        <v/>
      </c>
      <c r="X4617" s="79" t="str">
        <f>IF(OR(TH!N4617=TH!$X$7,O4617=TH!$X$7),"x","")</f>
        <v/>
      </c>
      <c r="Y4617" s="79" t="str">
        <f>IF(AND(OR(N4617="131",O4617="131"),H4617='131-CT'!$H$9),"x","")</f>
        <v/>
      </c>
      <c r="Z4617" s="79"/>
      <c r="AA4617" s="79" t="str">
        <f>IF(AND(MONTH(E4617)='IN-NX'!$J$5,'IN-NX'!$D$7=D4617),"x","")</f>
        <v/>
      </c>
      <c r="AB4617" s="79" t="str">
        <f>IF(AND(OR(LEFT(TH!N4617,2)="15",LEFT(TH!O4617,2)="15"),LEFT(TH!O4617,3)&lt;&gt;"111",'152-CT'!$J$8=TH!F4617),"x","")</f>
        <v/>
      </c>
      <c r="AC4617" s="79" t="str">
        <f>IF(AND(OR(LEFT(TH!N4617,2)="15",LEFT(TH!O4617,2)="15"),TK!$E$7=TH!F4617),"x","")</f>
        <v/>
      </c>
      <c r="AD4617" s="79" t="str">
        <f>IF(AND(N4617="1521",MONTH(C4617)='BK-NL'!$M$11),"x","")</f>
        <v/>
      </c>
    </row>
    <row r="4618" spans="1:30" ht="16.5" customHeight="1">
      <c r="A4618" s="318" t="str">
        <f>IF(B4618&lt;&gt;"",IF(AND(B4618='[3]IN-TC'!$S$4,OR([3]TH!N3849="1111",[3]TH!O3849="1111")),[3]TH!D3849,""),"")</f>
        <v/>
      </c>
      <c r="B4618" s="60" t="str">
        <f t="shared" si="475"/>
        <v/>
      </c>
      <c r="C4618" s="61"/>
      <c r="D4618" s="61"/>
      <c r="E4618" s="61"/>
      <c r="F4618" s="69"/>
      <c r="G4618" s="64"/>
      <c r="H4618" s="69"/>
      <c r="I4618" s="1156"/>
      <c r="J4618" s="1035"/>
      <c r="K4618" s="387"/>
      <c r="L4618" s="394"/>
      <c r="M4618" s="62"/>
      <c r="N4618" s="63"/>
      <c r="O4618" s="63"/>
      <c r="P4618" s="79" t="str">
        <f>IF(AND('331-CT'!$E$7=TH!H4618,OR(N4618="331",O4618="331")),"x","")</f>
        <v/>
      </c>
      <c r="Q4618" s="79" t="str">
        <f>IF(AND(B4618='111'!$L$11,OR($N4618=$Q$7,$O4618=$Q$7)),"x","")</f>
        <v/>
      </c>
      <c r="R4618" s="79" t="str">
        <f>IF(AND($N4618=$Q$7,$B4618&lt;'111'!$L$11),"x","")</f>
        <v/>
      </c>
      <c r="S4618" s="79" t="str">
        <f>IF(AND($O4618=$Q$7,$B4618&lt;'111'!$L$11),"x","")</f>
        <v/>
      </c>
      <c r="T4618" s="79" t="str">
        <f>IF(ISERROR(FIND('112'!$M$9,G4618,1)),"",IF((AND(FIND('112'!$M$9,G4618,1)&gt;=1,B4618='112'!$K$9,OR($N4618='112'!$I$6,$O4618='112'!$I$6))),"x",""))</f>
        <v/>
      </c>
      <c r="U4618" s="79" t="str">
        <f>IF(ISERROR(FIND('112'!$M$9,G4618,1)),"",IF((AND(LEFT(G4618,2)=LEFT('112'!$M$9,2),B4618&lt;'112'!$K$9,$N4618='112'!$I$6)),"x",""))</f>
        <v/>
      </c>
      <c r="V4618" s="79" t="str">
        <f>IF(ISERROR(FIND('112'!$M$9,G4618,1)),"",IF((AND(RIGHT(G4618,2)=RIGHT('112'!$M$9,2),B4618&lt;'112'!$K$9,$O4618='112'!$I$6)),"x",""))</f>
        <v/>
      </c>
      <c r="W4618" s="79" t="str">
        <f>IF(AND('341-CT'!$H$9=H4618,OR(LEFT(N4618,3)=$W$7,LEFT(O4618,3)=$W$7)),"x","")</f>
        <v/>
      </c>
      <c r="X4618" s="79" t="str">
        <f>IF(OR(TH!N4618=TH!$X$7,O4618=TH!$X$7),"x","")</f>
        <v/>
      </c>
      <c r="Y4618" s="79" t="str">
        <f>IF(AND(OR(N4618="131",O4618="131"),H4618='131-CT'!$H$9),"x","")</f>
        <v/>
      </c>
      <c r="Z4618" s="79"/>
      <c r="AA4618" s="79" t="str">
        <f>IF(AND(MONTH(E4618)='IN-NX'!$J$5,'IN-NX'!$D$7=D4618),"x","")</f>
        <v/>
      </c>
      <c r="AB4618" s="79" t="str">
        <f>IF(AND(OR(LEFT(TH!N4618,2)="15",LEFT(TH!O4618,2)="15"),LEFT(TH!O4618,3)&lt;&gt;"111",'152-CT'!$J$8=TH!F4618),"x","")</f>
        <v/>
      </c>
      <c r="AC4618" s="79" t="str">
        <f>IF(AND(OR(LEFT(TH!N4618,2)="15",LEFT(TH!O4618,2)="15"),TK!$E$7=TH!F4618),"x","")</f>
        <v/>
      </c>
      <c r="AD4618" s="79" t="str">
        <f>IF(AND(N4618="1521",MONTH(C4618)='BK-NL'!$M$11),"x","")</f>
        <v/>
      </c>
    </row>
    <row r="4619" spans="1:30" ht="16.5" customHeight="1">
      <c r="A4619" s="318" t="str">
        <f>IF(B4619&lt;&gt;"",IF(AND(B4619='[3]IN-TC'!$S$4,OR([3]TH!N3850="1111",[3]TH!O3850="1111")),[3]TH!D3850,""),"")</f>
        <v/>
      </c>
      <c r="B4619" s="60" t="str">
        <f t="shared" si="475"/>
        <v/>
      </c>
      <c r="C4619" s="61"/>
      <c r="D4619" s="61"/>
      <c r="E4619" s="61"/>
      <c r="F4619" s="302"/>
      <c r="G4619" s="64"/>
      <c r="H4619" s="69"/>
      <c r="I4619" s="1194"/>
      <c r="J4619" s="948"/>
      <c r="K4619" s="387"/>
      <c r="L4619" s="394"/>
      <c r="M4619" s="62"/>
      <c r="N4619" s="63"/>
      <c r="O4619" s="63"/>
      <c r="P4619" s="79" t="str">
        <f>IF(AND('331-CT'!$E$7=TH!H4619,OR(N4619="331",O4619="331")),"x","")</f>
        <v/>
      </c>
      <c r="Q4619" s="79" t="str">
        <f>IF(AND(B4619='111'!$L$11,OR($N4619=$Q$7,$O4619=$Q$7)),"x","")</f>
        <v/>
      </c>
      <c r="R4619" s="79" t="str">
        <f>IF(AND($N4619=$Q$7,$B4619&lt;'111'!$L$11),"x","")</f>
        <v/>
      </c>
      <c r="S4619" s="79" t="str">
        <f>IF(AND($O4619=$Q$7,$B4619&lt;'111'!$L$11),"x","")</f>
        <v/>
      </c>
      <c r="T4619" s="79" t="str">
        <f>IF(ISERROR(FIND('112'!$M$9,G4619,1)),"",IF((AND(FIND('112'!$M$9,G4619,1)&gt;=1,B4619='112'!$K$9,OR($N4619='112'!$I$6,$O4619='112'!$I$6))),"x",""))</f>
        <v/>
      </c>
      <c r="U4619" s="79" t="str">
        <f>IF(ISERROR(FIND('112'!$M$9,G4619,1)),"",IF((AND(LEFT(G4619,2)=LEFT('112'!$M$9,2),B4619&lt;'112'!$K$9,$N4619='112'!$I$6)),"x",""))</f>
        <v/>
      </c>
      <c r="V4619" s="79" t="str">
        <f>IF(ISERROR(FIND('112'!$M$9,G4619,1)),"",IF((AND(RIGHT(G4619,2)=RIGHT('112'!$M$9,2),B4619&lt;'112'!$K$9,$O4619='112'!$I$6)),"x",""))</f>
        <v/>
      </c>
      <c r="W4619" s="79" t="str">
        <f>IF(AND('341-CT'!$H$9=H4619,OR(LEFT(N4619,3)=$W$7,LEFT(O4619,3)=$W$7)),"x","")</f>
        <v/>
      </c>
      <c r="X4619" s="79" t="str">
        <f>IF(OR(TH!N4619=TH!$X$7,O4619=TH!$X$7),"x","")</f>
        <v/>
      </c>
      <c r="Y4619" s="79" t="str">
        <f>IF(AND(OR(N4619="131",O4619="131"),H4619='131-CT'!$H$9),"x","")</f>
        <v/>
      </c>
      <c r="Z4619" s="79"/>
      <c r="AA4619" s="79" t="str">
        <f>IF(AND(MONTH(E4619)='IN-NX'!$J$5,'IN-NX'!$D$7=D4619),"x","")</f>
        <v/>
      </c>
      <c r="AB4619" s="79" t="str">
        <f>IF(AND(OR(LEFT(TH!N4619,2)="15",LEFT(TH!O4619,2)="15"),LEFT(TH!O4619,3)&lt;&gt;"111",'152-CT'!$J$8=TH!F4619),"x","")</f>
        <v/>
      </c>
      <c r="AC4619" s="79" t="str">
        <f>IF(AND(OR(LEFT(TH!N4619,2)="15",LEFT(TH!O4619,2)="15"),TK!$E$7=TH!F4619),"x","")</f>
        <v/>
      </c>
      <c r="AD4619" s="79" t="str">
        <f>IF(AND(N4619="1521",MONTH(C4619)='BK-NL'!$M$11),"x","")</f>
        <v/>
      </c>
    </row>
    <row r="4620" spans="1:30" ht="16.5" customHeight="1">
      <c r="A4620" s="318" t="str">
        <f>IF(B4620&lt;&gt;"",IF(AND(B4620='[3]IN-TC'!$S$4,OR([3]TH!N3851="1111",[3]TH!O3851="1111")),[3]TH!D3851,""),"")</f>
        <v/>
      </c>
      <c r="B4620" s="60" t="str">
        <f t="shared" si="475"/>
        <v/>
      </c>
      <c r="C4620" s="1249"/>
      <c r="D4620" s="301"/>
      <c r="E4620" s="61"/>
      <c r="F4620" s="947"/>
      <c r="G4620" s="64"/>
      <c r="H4620" s="69"/>
      <c r="I4620" s="1193"/>
      <c r="J4620" s="948"/>
      <c r="K4620" s="387"/>
      <c r="L4620" s="394"/>
      <c r="M4620" s="62"/>
      <c r="N4620" s="63"/>
      <c r="O4620" s="63"/>
      <c r="P4620" s="79" t="str">
        <f>IF(AND('331-CT'!$E$7=TH!H4620,OR(N4620="331",O4620="331")),"x","")</f>
        <v/>
      </c>
      <c r="Q4620" s="79" t="str">
        <f>IF(AND(B4620='111'!$L$11,OR($N4620=$Q$7,$O4620=$Q$7)),"x","")</f>
        <v/>
      </c>
      <c r="R4620" s="79" t="str">
        <f>IF(AND($N4620=$Q$7,$B4620&lt;'111'!$L$11),"x","")</f>
        <v/>
      </c>
      <c r="S4620" s="79" t="str">
        <f>IF(AND($O4620=$Q$7,$B4620&lt;'111'!$L$11),"x","")</f>
        <v/>
      </c>
      <c r="T4620" s="79" t="str">
        <f>IF(ISERROR(FIND('112'!$M$9,G4620,1)),"",IF((AND(FIND('112'!$M$9,G4620,1)&gt;=1,B4620='112'!$K$9,OR($N4620='112'!$I$6,$O4620='112'!$I$6))),"x",""))</f>
        <v/>
      </c>
      <c r="U4620" s="79" t="str">
        <f>IF(ISERROR(FIND('112'!$M$9,G4620,1)),"",IF((AND(LEFT(G4620,2)=LEFT('112'!$M$9,2),B4620&lt;'112'!$K$9,$N4620='112'!$I$6)),"x",""))</f>
        <v/>
      </c>
      <c r="V4620" s="79" t="str">
        <f>IF(ISERROR(FIND('112'!$M$9,G4620,1)),"",IF((AND(RIGHT(G4620,2)=RIGHT('112'!$M$9,2),B4620&lt;'112'!$K$9,$O4620='112'!$I$6)),"x",""))</f>
        <v/>
      </c>
      <c r="W4620" s="79" t="str">
        <f>IF(AND('341-CT'!$H$9=H4620,OR(LEFT(N4620,3)=$W$7,LEFT(O4620,3)=$W$7)),"x","")</f>
        <v/>
      </c>
      <c r="X4620" s="79" t="str">
        <f>IF(OR(TH!N4620=TH!$X$7,O4620=TH!$X$7),"x","")</f>
        <v/>
      </c>
      <c r="Y4620" s="79" t="str">
        <f>IF(AND(OR(N4620="131",O4620="131"),H4620='131-CT'!$H$9),"x","")</f>
        <v/>
      </c>
      <c r="Z4620" s="79"/>
      <c r="AA4620" s="79" t="str">
        <f>IF(AND(MONTH(E4620)='IN-NX'!$J$5,'IN-NX'!$D$7=D4620),"x","")</f>
        <v/>
      </c>
      <c r="AB4620" s="79" t="str">
        <f>IF(AND(OR(LEFT(TH!N4620,2)="15",LEFT(TH!O4620,2)="15"),LEFT(TH!O4620,3)&lt;&gt;"111",'152-CT'!$J$8=TH!F4620),"x","")</f>
        <v/>
      </c>
      <c r="AC4620" s="79" t="str">
        <f>IF(AND(OR(LEFT(TH!N4620,2)="15",LEFT(TH!O4620,2)="15"),TK!$E$7=TH!F4620),"x","")</f>
        <v/>
      </c>
      <c r="AD4620" s="79" t="str">
        <f>IF(AND(N4620="1521",MONTH(C4620)='BK-NL'!$M$11),"x","")</f>
        <v/>
      </c>
    </row>
    <row r="4621" spans="1:30" ht="16.5" customHeight="1">
      <c r="A4621" s="318" t="str">
        <f>IF(B4621&lt;&gt;"",IF(AND(B4621='[3]IN-TC'!$S$4,OR([3]TH!N3852="1111",[3]TH!O3852="1111")),[3]TH!D3852,""),"")</f>
        <v/>
      </c>
      <c r="B4621" s="60" t="str">
        <f t="shared" si="475"/>
        <v/>
      </c>
      <c r="C4621" s="61"/>
      <c r="D4621" s="61"/>
      <c r="E4621" s="61"/>
      <c r="F4621" s="69"/>
      <c r="G4621" s="64"/>
      <c r="H4621" s="69"/>
      <c r="I4621" s="387"/>
      <c r="J4621" s="394"/>
      <c r="K4621" s="387"/>
      <c r="L4621" s="394"/>
      <c r="M4621" s="62"/>
      <c r="N4621" s="63"/>
      <c r="O4621" s="63"/>
      <c r="P4621" s="79" t="str">
        <f>IF(AND('331-CT'!$E$7=TH!H4621,OR(N4621="331",O4621="331")),"x","")</f>
        <v/>
      </c>
      <c r="Q4621" s="79" t="str">
        <f>IF(AND(B4621='111'!$L$11,OR($N4621=$Q$7,$O4621=$Q$7)),"x","")</f>
        <v/>
      </c>
      <c r="R4621" s="79" t="str">
        <f>IF(AND($N4621=$Q$7,$B4621&lt;'111'!$L$11),"x","")</f>
        <v/>
      </c>
      <c r="S4621" s="79" t="str">
        <f>IF(AND($O4621=$Q$7,$B4621&lt;'111'!$L$11),"x","")</f>
        <v/>
      </c>
      <c r="T4621" s="79" t="str">
        <f>IF(ISERROR(FIND('112'!$M$9,G4621,1)),"",IF((AND(FIND('112'!$M$9,G4621,1)&gt;=1,B4621='112'!$K$9,OR($N4621='112'!$I$6,$O4621='112'!$I$6))),"x",""))</f>
        <v/>
      </c>
      <c r="U4621" s="79" t="str">
        <f>IF(ISERROR(FIND('112'!$M$9,G4621,1)),"",IF((AND(LEFT(G4621,2)=LEFT('112'!$M$9,2),B4621&lt;'112'!$K$9,$N4621='112'!$I$6)),"x",""))</f>
        <v/>
      </c>
      <c r="V4621" s="79" t="str">
        <f>IF(ISERROR(FIND('112'!$M$9,G4621,1)),"",IF((AND(RIGHT(G4621,2)=RIGHT('112'!$M$9,2),B4621&lt;'112'!$K$9,$O4621='112'!$I$6)),"x",""))</f>
        <v/>
      </c>
      <c r="W4621" s="79" t="str">
        <f>IF(AND('341-CT'!$H$9=H4621,OR(LEFT(N4621,3)=$W$7,LEFT(O4621,3)=$W$7)),"x","")</f>
        <v/>
      </c>
      <c r="X4621" s="79" t="str">
        <f>IF(OR(TH!N4621=TH!$X$7,O4621=TH!$X$7),"x","")</f>
        <v/>
      </c>
      <c r="Y4621" s="79" t="str">
        <f>IF(AND(OR(N4621="131",O4621="131"),H4621='131-CT'!$H$9),"x","")</f>
        <v/>
      </c>
      <c r="Z4621" s="79"/>
      <c r="AA4621" s="79" t="str">
        <f>IF(AND(MONTH(E4621)='IN-NX'!$J$5,'IN-NX'!$D$7=D4621),"x","")</f>
        <v/>
      </c>
      <c r="AB4621" s="79" t="str">
        <f>IF(AND(OR(LEFT(TH!N4621,2)="15",LEFT(TH!O4621,2)="15"),LEFT(TH!O4621,3)&lt;&gt;"111",'152-CT'!$J$8=TH!F4621),"x","")</f>
        <v/>
      </c>
      <c r="AC4621" s="79" t="str">
        <f>IF(AND(OR(LEFT(TH!N4621,2)="15",LEFT(TH!O4621,2)="15"),TK!$E$7=TH!F4621),"x","")</f>
        <v/>
      </c>
      <c r="AD4621" s="79" t="str">
        <f>IF(AND(N4621="1521",MONTH(C4621)='BK-NL'!$M$11),"x","")</f>
        <v/>
      </c>
    </row>
    <row r="4622" spans="1:30" ht="16.5" customHeight="1">
      <c r="A4622" s="318" t="str">
        <f>IF(B4622&lt;&gt;"",IF(AND(B4622='[3]IN-TC'!$S$4,OR([3]TH!N3853="1111",[3]TH!O3853="1111")),[3]TH!D3853,""),"")</f>
        <v/>
      </c>
      <c r="B4622" s="60" t="str">
        <f t="shared" si="475"/>
        <v/>
      </c>
      <c r="C4622" s="301"/>
      <c r="D4622" s="301"/>
      <c r="E4622" s="301"/>
      <c r="F4622" s="302"/>
      <c r="G4622" s="988"/>
      <c r="H4622" s="69"/>
      <c r="I4622" s="385"/>
      <c r="J4622" s="969"/>
      <c r="K4622" s="385"/>
      <c r="L4622" s="392"/>
      <c r="M4622" s="970"/>
      <c r="N4622" s="304"/>
      <c r="O4622" s="304"/>
      <c r="P4622" s="79" t="str">
        <f>IF(AND('331-CT'!$E$7=TH!H4622,OR(N4622="331",O4622="331")),"x","")</f>
        <v/>
      </c>
      <c r="Q4622" s="79" t="str">
        <f>IF(AND(B4622='111'!$L$11,OR($N4622=$Q$7,$O4622=$Q$7)),"x","")</f>
        <v/>
      </c>
      <c r="R4622" s="79" t="str">
        <f>IF(AND($N4622=$Q$7,$B4622&lt;'111'!$L$11),"x","")</f>
        <v/>
      </c>
      <c r="S4622" s="79" t="str">
        <f>IF(AND($O4622=$Q$7,$B4622&lt;'111'!$L$11),"x","")</f>
        <v/>
      </c>
      <c r="T4622" s="79" t="str">
        <f>IF(ISERROR(FIND('112'!$M$9,G4622,1)),"",IF((AND(FIND('112'!$M$9,G4622,1)&gt;=1,B4622='112'!$K$9,OR($N4622='112'!$I$6,$O4622='112'!$I$6))),"x",""))</f>
        <v/>
      </c>
      <c r="U4622" s="79" t="str">
        <f>IF(ISERROR(FIND('112'!$M$9,G4622,1)),"",IF((AND(LEFT(G4622,2)=LEFT('112'!$M$9,2),B4622&lt;'112'!$K$9,$N4622='112'!$I$6)),"x",""))</f>
        <v/>
      </c>
      <c r="V4622" s="79" t="str">
        <f>IF(ISERROR(FIND('112'!$M$9,G4622,1)),"",IF((AND(RIGHT(G4622,2)=RIGHT('112'!$M$9,2),B4622&lt;'112'!$K$9,$O4622='112'!$I$6)),"x",""))</f>
        <v/>
      </c>
      <c r="W4622" s="79" t="str">
        <f>IF(AND('341-CT'!$H$9=H4622,OR(LEFT(N4622,3)=$W$7,LEFT(O4622,3)=$W$7)),"x","")</f>
        <v/>
      </c>
      <c r="X4622" s="79" t="str">
        <f>IF(OR(TH!N4622=TH!$X$7,O4622=TH!$X$7),"x","")</f>
        <v/>
      </c>
      <c r="Y4622" s="79" t="str">
        <f>IF(AND(OR(N4622="131",O4622="131"),H4622='131-CT'!$H$9),"x","")</f>
        <v/>
      </c>
      <c r="Z4622" s="79"/>
      <c r="AA4622" s="79" t="str">
        <f>IF(AND(MONTH(E4622)='IN-NX'!$J$5,'IN-NX'!$D$7=D4622),"x","")</f>
        <v/>
      </c>
      <c r="AB4622" s="79" t="str">
        <f>IF(AND(OR(LEFT(TH!N4622,2)="15",LEFT(TH!O4622,2)="15"),LEFT(TH!O4622,3)&lt;&gt;"111",'152-CT'!$J$8=TH!F4622),"x","")</f>
        <v/>
      </c>
      <c r="AC4622" s="79" t="str">
        <f>IF(AND(OR(LEFT(TH!N4622,2)="15",LEFT(TH!O4622,2)="15"),TK!$E$7=TH!F4622),"x","")</f>
        <v/>
      </c>
      <c r="AD4622" s="79" t="str">
        <f>IF(AND(N4622="1521",MONTH(C4622)='BK-NL'!$M$11),"x","")</f>
        <v/>
      </c>
    </row>
    <row r="4623" spans="1:30" ht="16.5" customHeight="1">
      <c r="A4623" s="318" t="str">
        <f>IF(B4623&lt;&gt;"",IF(AND(B4623='[3]IN-TC'!$S$4,OR([3]TH!N3854="1111",[3]TH!O3854="1111")),[3]TH!D3854,""),"")</f>
        <v/>
      </c>
      <c r="B4623" s="60" t="str">
        <f t="shared" si="475"/>
        <v/>
      </c>
      <c r="C4623" s="61"/>
      <c r="D4623" s="61"/>
      <c r="E4623" s="61"/>
      <c r="F4623" s="69"/>
      <c r="G4623" s="64"/>
      <c r="H4623" s="69"/>
      <c r="I4623" s="385"/>
      <c r="J4623" s="392"/>
      <c r="K4623" s="392"/>
      <c r="L4623" s="392"/>
      <c r="M4623" s="392"/>
      <c r="N4623" s="63"/>
      <c r="O4623" s="63"/>
      <c r="P4623" s="79" t="str">
        <f>IF(AND('331-CT'!$E$7=TH!H4623,OR(N4623="331",O4623="331")),"x","")</f>
        <v/>
      </c>
      <c r="Q4623" s="79" t="str">
        <f>IF(AND(B4623='111'!$L$11,OR($N4623=$Q$7,$O4623=$Q$7)),"x","")</f>
        <v/>
      </c>
      <c r="R4623" s="79" t="str">
        <f>IF(AND($N4623=$Q$7,$B4623&lt;'111'!$L$11),"x","")</f>
        <v/>
      </c>
      <c r="S4623" s="79" t="str">
        <f>IF(AND($O4623=$Q$7,$B4623&lt;'111'!$L$11),"x","")</f>
        <v/>
      </c>
      <c r="T4623" s="79" t="str">
        <f>IF(ISERROR(FIND('112'!$M$9,G4623,1)),"",IF((AND(FIND('112'!$M$9,G4623,1)&gt;=1,B4623='112'!$K$9,OR($N4623='112'!$I$6,$O4623='112'!$I$6))),"x",""))</f>
        <v/>
      </c>
      <c r="U4623" s="79" t="str">
        <f>IF(ISERROR(FIND('112'!$M$9,G4623,1)),"",IF((AND(LEFT(G4623,2)=LEFT('112'!$M$9,2),B4623&lt;'112'!$K$9,$N4623='112'!$I$6)),"x",""))</f>
        <v/>
      </c>
      <c r="V4623" s="79" t="str">
        <f>IF(ISERROR(FIND('112'!$M$9,G4623,1)),"",IF((AND(RIGHT(G4623,2)=RIGHT('112'!$M$9,2),B4623&lt;'112'!$K$9,$O4623='112'!$I$6)),"x",""))</f>
        <v/>
      </c>
      <c r="W4623" s="79" t="str">
        <f>IF(AND('341-CT'!$H$9=H4623,OR(LEFT(N4623,3)=$W$7,LEFT(O4623,3)=$W$7)),"x","")</f>
        <v/>
      </c>
      <c r="X4623" s="79" t="str">
        <f>IF(OR(TH!N4623=TH!$X$7,O4623=TH!$X$7),"x","")</f>
        <v/>
      </c>
      <c r="Y4623" s="79" t="str">
        <f>IF(AND(OR(N4623="131",O4623="131"),H4623='131-CT'!$H$9),"x","")</f>
        <v/>
      </c>
      <c r="Z4623" s="79"/>
      <c r="AA4623" s="79" t="str">
        <f>IF(AND(MONTH(E4623)='IN-NX'!$J$5,'IN-NX'!$D$7=D4623),"x","")</f>
        <v/>
      </c>
      <c r="AB4623" s="79" t="str">
        <f>IF(AND(OR(LEFT(TH!N4623,2)="15",LEFT(TH!O4623,2)="15"),LEFT(TH!O4623,3)&lt;&gt;"111",'152-CT'!$J$8=TH!F4623),"x","")</f>
        <v/>
      </c>
      <c r="AC4623" s="79" t="str">
        <f>IF(AND(OR(LEFT(TH!N4623,2)="15",LEFT(TH!O4623,2)="15"),TK!$E$7=TH!F4623),"x","")</f>
        <v/>
      </c>
      <c r="AD4623" s="79" t="str">
        <f>IF(AND(N4623="1521",MONTH(C4623)='BK-NL'!$M$11),"x","")</f>
        <v/>
      </c>
    </row>
    <row r="4624" spans="1:30" ht="16.5" customHeight="1">
      <c r="A4624" s="318" t="str">
        <f>IF(B4624&lt;&gt;"",IF(AND(B4624='[3]IN-TC'!$S$4,OR([3]TH!N3855="1111",[3]TH!O3855="1111")),[3]TH!D3855,""),"")</f>
        <v/>
      </c>
      <c r="B4624" s="60" t="str">
        <f t="shared" si="475"/>
        <v/>
      </c>
      <c r="C4624" s="61"/>
      <c r="D4624" s="61"/>
      <c r="E4624" s="61"/>
      <c r="F4624" s="69"/>
      <c r="G4624" s="64"/>
      <c r="H4624" s="69"/>
      <c r="I4624" s="385"/>
      <c r="J4624" s="392"/>
      <c r="K4624" s="392"/>
      <c r="L4624" s="392"/>
      <c r="M4624" s="392"/>
      <c r="N4624" s="63"/>
      <c r="O4624" s="63"/>
      <c r="P4624" s="79" t="str">
        <f>IF(AND('331-CT'!$E$7=TH!H4624,OR(N4624="331",O4624="331")),"x","")</f>
        <v/>
      </c>
      <c r="Q4624" s="79" t="str">
        <f>IF(AND(B4624='111'!$L$11,OR($N4624=$Q$7,$O4624=$Q$7)),"x","")</f>
        <v/>
      </c>
      <c r="R4624" s="79" t="str">
        <f>IF(AND($N4624=$Q$7,$B4624&lt;'111'!$L$11),"x","")</f>
        <v/>
      </c>
      <c r="S4624" s="79" t="str">
        <f>IF(AND($O4624=$Q$7,$B4624&lt;'111'!$L$11),"x","")</f>
        <v/>
      </c>
      <c r="T4624" s="79" t="str">
        <f>IF(ISERROR(FIND('112'!$M$9,G4624,1)),"",IF((AND(FIND('112'!$M$9,G4624,1)&gt;=1,B4624='112'!$K$9,OR($N4624='112'!$I$6,$O4624='112'!$I$6))),"x",""))</f>
        <v/>
      </c>
      <c r="U4624" s="79" t="str">
        <f>IF(ISERROR(FIND('112'!$M$9,G4624,1)),"",IF((AND(LEFT(G4624,2)=LEFT('112'!$M$9,2),B4624&lt;'112'!$K$9,$N4624='112'!$I$6)),"x",""))</f>
        <v/>
      </c>
      <c r="V4624" s="79" t="str">
        <f>IF(ISERROR(FIND('112'!$M$9,G4624,1)),"",IF((AND(RIGHT(G4624,2)=RIGHT('112'!$M$9,2),B4624&lt;'112'!$K$9,$O4624='112'!$I$6)),"x",""))</f>
        <v/>
      </c>
      <c r="W4624" s="79" t="str">
        <f>IF(AND('341-CT'!$H$9=H4624,OR(LEFT(N4624,3)=$W$7,LEFT(O4624,3)=$W$7)),"x","")</f>
        <v/>
      </c>
      <c r="X4624" s="79" t="str">
        <f>IF(OR(TH!N4624=TH!$X$7,O4624=TH!$X$7),"x","")</f>
        <v/>
      </c>
      <c r="Y4624" s="79" t="str">
        <f>IF(AND(OR(N4624="131",O4624="131"),H4624='131-CT'!$H$9),"x","")</f>
        <v/>
      </c>
      <c r="Z4624" s="79"/>
      <c r="AA4624" s="79" t="str">
        <f>IF(AND(MONTH(E4624)='IN-NX'!$J$5,'IN-NX'!$D$7=D4624),"x","")</f>
        <v/>
      </c>
      <c r="AB4624" s="79" t="str">
        <f>IF(AND(OR(LEFT(TH!N4624,2)="15",LEFT(TH!O4624,2)="15"),LEFT(TH!O4624,3)&lt;&gt;"111",'152-CT'!$J$8=TH!F4624),"x","")</f>
        <v/>
      </c>
      <c r="AC4624" s="79" t="str">
        <f>IF(AND(OR(LEFT(TH!N4624,2)="15",LEFT(TH!O4624,2)="15"),TK!$E$7=TH!F4624),"x","")</f>
        <v/>
      </c>
      <c r="AD4624" s="79" t="str">
        <f>IF(AND(N4624="1521",MONTH(C4624)='BK-NL'!$M$11),"x","")</f>
        <v/>
      </c>
    </row>
    <row r="4625" spans="1:30" ht="16.5" customHeight="1">
      <c r="A4625" s="318" t="str">
        <f>IF(B4625&lt;&gt;"",IF(AND(B4625='[3]IN-TC'!$S$4,OR([3]TH!N3856="1111",[3]TH!O3856="1111")),[3]TH!D3856,""),"")</f>
        <v/>
      </c>
      <c r="B4625" s="60" t="str">
        <f t="shared" si="475"/>
        <v/>
      </c>
      <c r="C4625" s="61"/>
      <c r="D4625" s="61"/>
      <c r="E4625" s="61"/>
      <c r="F4625" s="69"/>
      <c r="G4625" s="64"/>
      <c r="H4625" s="69"/>
      <c r="I4625" s="385"/>
      <c r="J4625" s="392"/>
      <c r="K4625" s="392"/>
      <c r="L4625" s="392"/>
      <c r="M4625" s="392"/>
      <c r="N4625" s="63"/>
      <c r="O4625" s="63"/>
      <c r="P4625" s="79" t="str">
        <f>IF(AND('331-CT'!$E$7=TH!H4625,OR(N4625="331",O4625="331")),"x","")</f>
        <v/>
      </c>
      <c r="Q4625" s="79" t="str">
        <f>IF(AND(B4625='111'!$L$11,OR($N4625=$Q$7,$O4625=$Q$7)),"x","")</f>
        <v/>
      </c>
      <c r="R4625" s="79" t="str">
        <f>IF(AND($N4625=$Q$7,$B4625&lt;'111'!$L$11),"x","")</f>
        <v/>
      </c>
      <c r="S4625" s="79" t="str">
        <f>IF(AND($O4625=$Q$7,$B4625&lt;'111'!$L$11),"x","")</f>
        <v/>
      </c>
      <c r="T4625" s="79" t="str">
        <f>IF(ISERROR(FIND('112'!$M$9,G4625,1)),"",IF((AND(FIND('112'!$M$9,G4625,1)&gt;=1,B4625='112'!$K$9,OR($N4625='112'!$I$6,$O4625='112'!$I$6))),"x",""))</f>
        <v/>
      </c>
      <c r="U4625" s="79" t="str">
        <f>IF(ISERROR(FIND('112'!$M$9,G4625,1)),"",IF((AND(LEFT(G4625,2)=LEFT('112'!$M$9,2),B4625&lt;'112'!$K$9,$N4625='112'!$I$6)),"x",""))</f>
        <v/>
      </c>
      <c r="V4625" s="79" t="str">
        <f>IF(ISERROR(FIND('112'!$M$9,G4625,1)),"",IF((AND(RIGHT(G4625,2)=RIGHT('112'!$M$9,2),B4625&lt;'112'!$K$9,$O4625='112'!$I$6)),"x",""))</f>
        <v/>
      </c>
      <c r="W4625" s="79" t="str">
        <f>IF(AND('341-CT'!$H$9=H4625,OR(LEFT(N4625,3)=$W$7,LEFT(O4625,3)=$W$7)),"x","")</f>
        <v/>
      </c>
      <c r="X4625" s="79" t="str">
        <f>IF(OR(TH!N4625=TH!$X$7,O4625=TH!$X$7),"x","")</f>
        <v/>
      </c>
      <c r="Y4625" s="79" t="str">
        <f>IF(AND(OR(N4625="131",O4625="131"),H4625='131-CT'!$H$9),"x","")</f>
        <v/>
      </c>
      <c r="Z4625" s="79"/>
      <c r="AA4625" s="79" t="str">
        <f>IF(AND(MONTH(E4625)='IN-NX'!$J$5,'IN-NX'!$D$7=D4625),"x","")</f>
        <v/>
      </c>
      <c r="AB4625" s="79" t="str">
        <f>IF(AND(OR(LEFT(TH!N4625,2)="15",LEFT(TH!O4625,2)="15"),LEFT(TH!O4625,3)&lt;&gt;"111",'152-CT'!$J$8=TH!F4625),"x","")</f>
        <v/>
      </c>
      <c r="AC4625" s="79" t="str">
        <f>IF(AND(OR(LEFT(TH!N4625,2)="15",LEFT(TH!O4625,2)="15"),TK!$E$7=TH!F4625),"x","")</f>
        <v/>
      </c>
      <c r="AD4625" s="79" t="str">
        <f>IF(AND(N4625="1521",MONTH(C4625)='BK-NL'!$M$11),"x","")</f>
        <v/>
      </c>
    </row>
    <row r="4626" spans="1:30" ht="16.5" customHeight="1">
      <c r="A4626" s="318" t="str">
        <f>IF(B4626&lt;&gt;"",IF(AND(B4626='[3]IN-TC'!$S$4,OR([3]TH!N3857="1111",[3]TH!O3857="1111")),[3]TH!D3857,""),"")</f>
        <v/>
      </c>
      <c r="B4626" s="60" t="str">
        <f t="shared" si="475"/>
        <v/>
      </c>
      <c r="C4626" s="61"/>
      <c r="D4626" s="61"/>
      <c r="E4626" s="61"/>
      <c r="F4626" s="69"/>
      <c r="G4626" s="64"/>
      <c r="H4626" s="69"/>
      <c r="I4626" s="385"/>
      <c r="J4626" s="392"/>
      <c r="K4626" s="392"/>
      <c r="L4626" s="392"/>
      <c r="M4626" s="392"/>
      <c r="N4626" s="63"/>
      <c r="O4626" s="63"/>
      <c r="P4626" s="79" t="str">
        <f>IF(AND('331-CT'!$E$7=TH!H4626,OR(N4626="331",O4626="331")),"x","")</f>
        <v/>
      </c>
      <c r="Q4626" s="79" t="str">
        <f>IF(AND(B4626='111'!$L$11,OR($N4626=$Q$7,$O4626=$Q$7)),"x","")</f>
        <v/>
      </c>
      <c r="R4626" s="79" t="str">
        <f>IF(AND($N4626=$Q$7,$B4626&lt;'111'!$L$11),"x","")</f>
        <v/>
      </c>
      <c r="S4626" s="79" t="str">
        <f>IF(AND($O4626=$Q$7,$B4626&lt;'111'!$L$11),"x","")</f>
        <v/>
      </c>
      <c r="T4626" s="79" t="str">
        <f>IF(ISERROR(FIND('112'!$M$9,G4626,1)),"",IF((AND(FIND('112'!$M$9,G4626,1)&gt;=1,B4626='112'!$K$9,OR($N4626='112'!$I$6,$O4626='112'!$I$6))),"x",""))</f>
        <v/>
      </c>
      <c r="U4626" s="79" t="str">
        <f>IF(ISERROR(FIND('112'!$M$9,G4626,1)),"",IF((AND(LEFT(G4626,2)=LEFT('112'!$M$9,2),B4626&lt;'112'!$K$9,$N4626='112'!$I$6)),"x",""))</f>
        <v/>
      </c>
      <c r="V4626" s="79" t="str">
        <f>IF(ISERROR(FIND('112'!$M$9,G4626,1)),"",IF((AND(RIGHT(G4626,2)=RIGHT('112'!$M$9,2),B4626&lt;'112'!$K$9,$O4626='112'!$I$6)),"x",""))</f>
        <v/>
      </c>
      <c r="W4626" s="79" t="str">
        <f>IF(AND('341-CT'!$H$9=H4626,OR(LEFT(N4626,3)=$W$7,LEFT(O4626,3)=$W$7)),"x","")</f>
        <v/>
      </c>
      <c r="X4626" s="79" t="str">
        <f>IF(OR(TH!N4626=TH!$X$7,O4626=TH!$X$7),"x","")</f>
        <v/>
      </c>
      <c r="Y4626" s="79" t="str">
        <f>IF(AND(OR(N4626="131",O4626="131"),H4626='131-CT'!$H$9),"x","")</f>
        <v/>
      </c>
      <c r="Z4626" s="79"/>
      <c r="AA4626" s="79" t="str">
        <f>IF(AND(MONTH(E4626)='IN-NX'!$J$5,'IN-NX'!$D$7=D4626),"x","")</f>
        <v/>
      </c>
      <c r="AB4626" s="79" t="str">
        <f>IF(AND(OR(LEFT(TH!N4626,2)="15",LEFT(TH!O4626,2)="15"),LEFT(TH!O4626,3)&lt;&gt;"111",'152-CT'!$J$8=TH!F4626),"x","")</f>
        <v/>
      </c>
      <c r="AC4626" s="79" t="str">
        <f>IF(AND(OR(LEFT(TH!N4626,2)="15",LEFT(TH!O4626,2)="15"),TK!$E$7=TH!F4626),"x","")</f>
        <v/>
      </c>
      <c r="AD4626" s="79" t="str">
        <f>IF(AND(N4626="1521",MONTH(C4626)='BK-NL'!$M$11),"x","")</f>
        <v/>
      </c>
    </row>
    <row r="4627" spans="1:30" ht="16.5" customHeight="1">
      <c r="A4627" s="318" t="str">
        <f>IF(B4627&lt;&gt;"",IF(AND(B4627='[3]IN-TC'!$S$4,OR([3]TH!N3858="1111",[3]TH!O3858="1111")),[3]TH!D3858,""),"")</f>
        <v/>
      </c>
      <c r="B4627" s="60" t="str">
        <f t="shared" si="475"/>
        <v/>
      </c>
      <c r="C4627" s="61"/>
      <c r="D4627" s="61"/>
      <c r="E4627" s="61"/>
      <c r="F4627" s="947"/>
      <c r="G4627" s="64"/>
      <c r="H4627" s="69"/>
      <c r="I4627" s="385"/>
      <c r="J4627" s="392"/>
      <c r="K4627" s="392"/>
      <c r="L4627" s="392"/>
      <c r="M4627" s="392"/>
      <c r="N4627" s="63"/>
      <c r="O4627" s="63"/>
      <c r="P4627" s="79" t="str">
        <f>IF(AND('331-CT'!$E$7=TH!H4627,OR(N4627="331",O4627="331")),"x","")</f>
        <v/>
      </c>
      <c r="Q4627" s="79" t="str">
        <f>IF(AND(B4627='111'!$L$11,OR($N4627=$Q$7,$O4627=$Q$7)),"x","")</f>
        <v/>
      </c>
      <c r="R4627" s="79" t="str">
        <f>IF(AND($N4627=$Q$7,$B4627&lt;'111'!$L$11),"x","")</f>
        <v/>
      </c>
      <c r="S4627" s="79" t="str">
        <f>IF(AND($O4627=$Q$7,$B4627&lt;'111'!$L$11),"x","")</f>
        <v/>
      </c>
      <c r="T4627" s="79" t="str">
        <f>IF(ISERROR(FIND('112'!$M$9,G4627,1)),"",IF((AND(FIND('112'!$M$9,G4627,1)&gt;=1,B4627='112'!$K$9,OR($N4627='112'!$I$6,$O4627='112'!$I$6))),"x",""))</f>
        <v/>
      </c>
      <c r="U4627" s="79" t="str">
        <f>IF(ISERROR(FIND('112'!$M$9,G4627,1)),"",IF((AND(LEFT(G4627,2)=LEFT('112'!$M$9,2),B4627&lt;'112'!$K$9,$N4627='112'!$I$6)),"x",""))</f>
        <v/>
      </c>
      <c r="V4627" s="79" t="str">
        <f>IF(ISERROR(FIND('112'!$M$9,G4627,1)),"",IF((AND(RIGHT(G4627,2)=RIGHT('112'!$M$9,2),B4627&lt;'112'!$K$9,$O4627='112'!$I$6)),"x",""))</f>
        <v/>
      </c>
      <c r="W4627" s="79" t="str">
        <f>IF(AND('341-CT'!$H$9=H4627,OR(LEFT(N4627,3)=$W$7,LEFT(O4627,3)=$W$7)),"x","")</f>
        <v/>
      </c>
      <c r="X4627" s="79" t="str">
        <f>IF(OR(TH!N4627=TH!$X$7,O4627=TH!$X$7),"x","")</f>
        <v/>
      </c>
      <c r="Y4627" s="79" t="str">
        <f>IF(AND(OR(N4627="131",O4627="131"),H4627='131-CT'!$H$9),"x","")</f>
        <v/>
      </c>
      <c r="Z4627" s="79"/>
      <c r="AA4627" s="79" t="str">
        <f>IF(AND(MONTH(E4627)='IN-NX'!$J$5,'IN-NX'!$D$7=D4627),"x","")</f>
        <v/>
      </c>
      <c r="AB4627" s="79" t="str">
        <f>IF(AND(OR(LEFT(TH!N4627,2)="15",LEFT(TH!O4627,2)="15"),LEFT(TH!O4627,3)&lt;&gt;"111",'152-CT'!$J$8=TH!F4627),"x","")</f>
        <v/>
      </c>
      <c r="AC4627" s="79" t="str">
        <f>IF(AND(OR(LEFT(TH!N4627,2)="15",LEFT(TH!O4627,2)="15"),TK!$E$7=TH!F4627),"x","")</f>
        <v/>
      </c>
      <c r="AD4627" s="79" t="str">
        <f>IF(AND(N4627="1521",MONTH(C4627)='BK-NL'!$M$11),"x","")</f>
        <v/>
      </c>
    </row>
    <row r="4628" spans="1:30" ht="16.5" customHeight="1">
      <c r="A4628" s="318" t="str">
        <f>IF(B4628&lt;&gt;"",IF(AND(B4628='[3]IN-TC'!$S$4,OR([3]TH!N3859="1111",[3]TH!O3859="1111")),[3]TH!D3859,""),"")</f>
        <v/>
      </c>
      <c r="B4628" s="60" t="str">
        <f t="shared" si="475"/>
        <v/>
      </c>
      <c r="C4628" s="301"/>
      <c r="D4628" s="301"/>
      <c r="E4628" s="301"/>
      <c r="F4628" s="302"/>
      <c r="G4628" s="988"/>
      <c r="H4628" s="69"/>
      <c r="I4628" s="385"/>
      <c r="J4628" s="969"/>
      <c r="K4628" s="385"/>
      <c r="L4628" s="392"/>
      <c r="M4628" s="970"/>
      <c r="N4628" s="304"/>
      <c r="O4628" s="304"/>
      <c r="P4628" s="79" t="str">
        <f>IF(AND('331-CT'!$E$7=TH!H4628,OR(N4628="331",O4628="331")),"x","")</f>
        <v/>
      </c>
      <c r="Q4628" s="79" t="str">
        <f>IF(AND(B4628='111'!$L$11,OR($N4628=$Q$7,$O4628=$Q$7)),"x","")</f>
        <v/>
      </c>
      <c r="R4628" s="79" t="str">
        <f>IF(AND($N4628=$Q$7,$B4628&lt;'111'!$L$11),"x","")</f>
        <v/>
      </c>
      <c r="S4628" s="79" t="str">
        <f>IF(AND($O4628=$Q$7,$B4628&lt;'111'!$L$11),"x","")</f>
        <v/>
      </c>
      <c r="T4628" s="79" t="str">
        <f>IF(ISERROR(FIND('112'!$M$9,G4628,1)),"",IF((AND(FIND('112'!$M$9,G4628,1)&gt;=1,B4628='112'!$K$9,OR($N4628='112'!$I$6,$O4628='112'!$I$6))),"x",""))</f>
        <v/>
      </c>
      <c r="U4628" s="79" t="str">
        <f>IF(ISERROR(FIND('112'!$M$9,G4628,1)),"",IF((AND(LEFT(G4628,2)=LEFT('112'!$M$9,2),B4628&lt;'112'!$K$9,$N4628='112'!$I$6)),"x",""))</f>
        <v/>
      </c>
      <c r="V4628" s="79" t="str">
        <f>IF(ISERROR(FIND('112'!$M$9,G4628,1)),"",IF((AND(RIGHT(G4628,2)=RIGHT('112'!$M$9,2),B4628&lt;'112'!$K$9,$O4628='112'!$I$6)),"x",""))</f>
        <v/>
      </c>
      <c r="W4628" s="79" t="str">
        <f>IF(AND('341-CT'!$H$9=H4628,OR(LEFT(N4628,3)=$W$7,LEFT(O4628,3)=$W$7)),"x","")</f>
        <v/>
      </c>
      <c r="X4628" s="79" t="str">
        <f>IF(OR(TH!N4628=TH!$X$7,O4628=TH!$X$7),"x","")</f>
        <v/>
      </c>
      <c r="Y4628" s="79" t="str">
        <f>IF(AND(OR(N4628="131",O4628="131"),H4628='131-CT'!$H$9),"x","")</f>
        <v/>
      </c>
      <c r="Z4628" s="79"/>
      <c r="AA4628" s="79" t="str">
        <f>IF(AND(MONTH(E4628)='IN-NX'!$J$5,'IN-NX'!$D$7=D4628),"x","")</f>
        <v/>
      </c>
      <c r="AB4628" s="79" t="str">
        <f>IF(AND(OR(LEFT(TH!N4628,2)="15",LEFT(TH!O4628,2)="15"),LEFT(TH!O4628,3)&lt;&gt;"111",'152-CT'!$J$8=TH!F4628),"x","")</f>
        <v/>
      </c>
      <c r="AC4628" s="79" t="str">
        <f>IF(AND(OR(LEFT(TH!N4628,2)="15",LEFT(TH!O4628,2)="15"),TK!$E$7=TH!F4628),"x","")</f>
        <v/>
      </c>
      <c r="AD4628" s="79" t="str">
        <f>IF(AND(N4628="1521",MONTH(C4628)='BK-NL'!$M$11),"x","")</f>
        <v/>
      </c>
    </row>
    <row r="4629" spans="1:30" s="1101" customFormat="1" ht="16.5" customHeight="1">
      <c r="A4629" s="318" t="str">
        <f>IF(B4629&lt;&gt;"",IF(AND(B4629='[3]IN-TC'!$S$4,OR([3]TH!N3860="1111",[3]TH!O3860="1111")),[3]TH!D3860,""),"")</f>
        <v/>
      </c>
      <c r="B4629" s="60" t="str">
        <f>IF(C4629&lt;&gt;"",MONTH(C4629),"")</f>
        <v/>
      </c>
      <c r="C4629" s="61"/>
      <c r="D4629" s="61"/>
      <c r="E4629" s="61"/>
      <c r="F4629" s="302"/>
      <c r="G4629" s="64"/>
      <c r="H4629" s="69"/>
      <c r="I4629" s="69"/>
      <c r="J4629" s="392"/>
      <c r="K4629" s="385"/>
      <c r="L4629" s="392"/>
      <c r="M4629" s="970"/>
      <c r="N4629" s="63"/>
      <c r="O4629" s="63"/>
      <c r="P4629" s="79" t="str">
        <f>IF(AND('331-CT'!$E$7=TH!H4629,OR(N4629="331",O4629="331")),"x","")</f>
        <v/>
      </c>
      <c r="Q4629" s="79" t="str">
        <f>IF(AND(B4629='111'!$L$11,OR($N4629=$Q$7,$O4629=$Q$7)),"x","")</f>
        <v/>
      </c>
      <c r="R4629" s="79" t="str">
        <f>IF(AND($N4629=$Q$7,$B4629&lt;'111'!$L$11),"x","")</f>
        <v/>
      </c>
      <c r="S4629" s="79" t="str">
        <f>IF(AND($O4629=$Q$7,$B4629&lt;'111'!$L$11),"x","")</f>
        <v/>
      </c>
      <c r="T4629" s="79" t="str">
        <f>IF(ISERROR(FIND('112'!$M$9,G4629,1)),"",IF((AND(FIND('112'!$M$9,G4629,1)&gt;=1,B4629='112'!$K$9,OR($N4629='112'!$I$6,$O4629='112'!$I$6))),"x",""))</f>
        <v/>
      </c>
      <c r="U4629" s="79" t="str">
        <f>IF(ISERROR(FIND('112'!$M$9,G4629,1)),"",IF((AND(LEFT(G4629,2)=LEFT('112'!$M$9,2),B4629&lt;'112'!$K$9,$N4629='112'!$I$6)),"x",""))</f>
        <v/>
      </c>
      <c r="V4629" s="79" t="str">
        <f>IF(ISERROR(FIND('112'!$M$9,G4629,1)),"",IF((AND(RIGHT(G4629,2)=RIGHT('112'!$M$9,2),B4629&lt;'112'!$K$9,$O4629='112'!$I$6)),"x",""))</f>
        <v/>
      </c>
      <c r="W4629" s="79" t="str">
        <f>IF(AND('341-CT'!$H$9=H4629,OR(LEFT(N4629,3)=$W$7,LEFT(O4629,3)=$W$7)),"x","")</f>
        <v/>
      </c>
      <c r="X4629" s="79" t="str">
        <f>IF(OR(TH!N4629=TH!$X$7,O4629=TH!$X$7),"x","")</f>
        <v/>
      </c>
      <c r="Y4629" s="79" t="str">
        <f>IF(AND(OR(N4629="131",O4629="131"),H4629='131-CT'!$H$9),"x","")</f>
        <v/>
      </c>
      <c r="Z4629" s="79"/>
      <c r="AA4629" s="79" t="str">
        <f>IF(AND(MONTH(E4629)='IN-NX'!$J$5,'IN-NX'!$D$7=D4629),"x","")</f>
        <v/>
      </c>
      <c r="AB4629" s="79" t="str">
        <f>IF(AND(OR(LEFT(TH!N4629,2)="15",LEFT(TH!O4629,2)="15"),LEFT(TH!O4629,3)&lt;&gt;"111",'152-CT'!$J$8=TH!F4629),"x","")</f>
        <v/>
      </c>
      <c r="AC4629" s="79" t="str">
        <f>IF(AND(OR(LEFT(TH!N4629,2)="15",LEFT(TH!O4629,2)="15"),TK!$E$7=TH!F4629),"x","")</f>
        <v/>
      </c>
      <c r="AD4629" s="79" t="str">
        <f>IF(AND(N4629="1521",MONTH(C4629)='BK-NL'!$M$11),"x","")</f>
        <v/>
      </c>
    </row>
    <row r="4630" spans="1:30" s="1101" customFormat="1" ht="16.5" customHeight="1">
      <c r="A4630" s="318" t="str">
        <f>IF(B4630&lt;&gt;"",IF(AND(B4630='[3]IN-TC'!$S$4,OR([3]TH!N3861="1111",[3]TH!O3861="1111")),[3]TH!D3861,""),"")</f>
        <v/>
      </c>
      <c r="B4630" s="60" t="str">
        <f t="shared" si="475"/>
        <v/>
      </c>
      <c r="C4630" s="61"/>
      <c r="D4630" s="61"/>
      <c r="E4630" s="61"/>
      <c r="F4630" s="69"/>
      <c r="G4630" s="64"/>
      <c r="H4630" s="321"/>
      <c r="I4630" s="385"/>
      <c r="J4630" s="392"/>
      <c r="K4630" s="385"/>
      <c r="L4630" s="392"/>
      <c r="M4630" s="62"/>
      <c r="N4630" s="63"/>
      <c r="O4630" s="63"/>
      <c r="P4630" s="79" t="str">
        <f>IF(AND('331-CT'!$E$7=TH!H4630,OR(N4630="331",O4630="331")),"x","")</f>
        <v/>
      </c>
      <c r="Q4630" s="79" t="str">
        <f>IF(AND(B4630='111'!$L$11,OR($N4630=$Q$7,$O4630=$Q$7)),"x","")</f>
        <v/>
      </c>
      <c r="R4630" s="79" t="str">
        <f>IF(AND($N4630=$Q$7,$B4630&lt;'111'!$L$11),"x","")</f>
        <v/>
      </c>
      <c r="S4630" s="79" t="str">
        <f>IF(AND($O4630=$Q$7,$B4630&lt;'111'!$L$11),"x","")</f>
        <v/>
      </c>
      <c r="T4630" s="79" t="str">
        <f>IF(ISERROR(FIND('112'!$M$9,G4630,1)),"",IF((AND(FIND('112'!$M$9,G4630,1)&gt;=1,B4630='112'!$K$9,OR($N4630='112'!$I$6,$O4630='112'!$I$6))),"x",""))</f>
        <v/>
      </c>
      <c r="U4630" s="79" t="str">
        <f>IF(ISERROR(FIND('112'!$M$9,G4630,1)),"",IF((AND(LEFT(G4630,2)=LEFT('112'!$M$9,2),B4630&lt;'112'!$K$9,$N4630='112'!$I$6)),"x",""))</f>
        <v/>
      </c>
      <c r="V4630" s="79" t="str">
        <f>IF(ISERROR(FIND('112'!$M$9,G4630,1)),"",IF((AND(RIGHT(G4630,2)=RIGHT('112'!$M$9,2),B4630&lt;'112'!$K$9,$O4630='112'!$I$6)),"x",""))</f>
        <v/>
      </c>
      <c r="W4630" s="79" t="str">
        <f>IF(AND('341-CT'!$H$9=H4630,OR(LEFT(N4630,3)=$W$7,LEFT(O4630,3)=$W$7)),"x","")</f>
        <v/>
      </c>
      <c r="X4630" s="79" t="str">
        <f>IF(OR(TH!N4630=TH!$X$7,O4630=TH!$X$7),"x","")</f>
        <v/>
      </c>
      <c r="Y4630" s="79" t="str">
        <f>IF(AND(OR(N4630="131",O4630="131"),H4630='131-CT'!$H$9),"x","")</f>
        <v/>
      </c>
      <c r="Z4630" s="79"/>
      <c r="AA4630" s="79" t="str">
        <f>IF(AND(MONTH(E4630)='IN-NX'!$J$5,'IN-NX'!$D$7=D4630),"x","")</f>
        <v/>
      </c>
      <c r="AB4630" s="79" t="str">
        <f>IF(AND(OR(LEFT(TH!N4630,2)="15",LEFT(TH!O4630,2)="15"),LEFT(TH!O4630,3)&lt;&gt;"111",'152-CT'!$J$8=TH!F4630),"x","")</f>
        <v/>
      </c>
      <c r="AC4630" s="79" t="str">
        <f>IF(AND(OR(LEFT(TH!N4630,2)="15",LEFT(TH!O4630,2)="15"),TK!$E$7=TH!F4630),"x","")</f>
        <v/>
      </c>
      <c r="AD4630" s="79" t="str">
        <f>IF(AND(N4630="1521",MONTH(C4630)='BK-NL'!$M$11),"x","")</f>
        <v/>
      </c>
    </row>
    <row r="4631" spans="1:30" s="1101" customFormat="1" ht="16.5" customHeight="1">
      <c r="A4631" s="318" t="str">
        <f>IF(B4631&lt;&gt;"",IF(AND(B4631='[3]IN-TC'!$S$4,OR([3]TH!N3862="1111",[3]TH!O3862="1111")),[3]TH!D3862,""),"")</f>
        <v/>
      </c>
      <c r="B4631" s="60" t="str">
        <f t="shared" si="475"/>
        <v/>
      </c>
      <c r="C4631" s="61"/>
      <c r="D4631" s="61"/>
      <c r="E4631" s="61"/>
      <c r="F4631" s="69"/>
      <c r="G4631" s="64"/>
      <c r="H4631" s="321"/>
      <c r="I4631" s="385"/>
      <c r="J4631" s="392"/>
      <c r="K4631" s="385"/>
      <c r="L4631" s="392"/>
      <c r="M4631" s="62"/>
      <c r="N4631" s="63"/>
      <c r="O4631" s="63"/>
      <c r="P4631" s="79" t="str">
        <f>IF(AND('331-CT'!$E$7=TH!H4631,OR(N4631="331",O4631="331")),"x","")</f>
        <v/>
      </c>
      <c r="Q4631" s="79" t="str">
        <f>IF(AND(B4631='111'!$L$11,OR($N4631=$Q$7,$O4631=$Q$7)),"x","")</f>
        <v/>
      </c>
      <c r="R4631" s="79" t="str">
        <f>IF(AND($N4631=$Q$7,$B4631&lt;'111'!$L$11),"x","")</f>
        <v/>
      </c>
      <c r="S4631" s="79" t="str">
        <f>IF(AND($O4631=$Q$7,$B4631&lt;'111'!$L$11),"x","")</f>
        <v/>
      </c>
      <c r="T4631" s="79" t="str">
        <f>IF(ISERROR(FIND('112'!$M$9,G4631,1)),"",IF((AND(FIND('112'!$M$9,G4631,1)&gt;=1,B4631='112'!$K$9,OR($N4631='112'!$I$6,$O4631='112'!$I$6))),"x",""))</f>
        <v/>
      </c>
      <c r="U4631" s="79" t="str">
        <f>IF(ISERROR(FIND('112'!$M$9,G4631,1)),"",IF((AND(LEFT(G4631,2)=LEFT('112'!$M$9,2),B4631&lt;'112'!$K$9,$N4631='112'!$I$6)),"x",""))</f>
        <v/>
      </c>
      <c r="V4631" s="79" t="str">
        <f>IF(ISERROR(FIND('112'!$M$9,G4631,1)),"",IF((AND(RIGHT(G4631,2)=RIGHT('112'!$M$9,2),B4631&lt;'112'!$K$9,$O4631='112'!$I$6)),"x",""))</f>
        <v/>
      </c>
      <c r="W4631" s="79" t="str">
        <f>IF(AND('341-CT'!$H$9=H4631,OR(LEFT(N4631,3)=$W$7,LEFT(O4631,3)=$W$7)),"x","")</f>
        <v/>
      </c>
      <c r="X4631" s="79" t="str">
        <f>IF(OR(TH!N4631=TH!$X$7,O4631=TH!$X$7),"x","")</f>
        <v/>
      </c>
      <c r="Y4631" s="79" t="str">
        <f>IF(AND(OR(N4631="131",O4631="131"),H4631='131-CT'!$H$9),"x","")</f>
        <v/>
      </c>
      <c r="Z4631" s="79"/>
      <c r="AA4631" s="79" t="str">
        <f>IF(AND(MONTH(E4631)='IN-NX'!$J$5,'IN-NX'!$D$7=D4631),"x","")</f>
        <v/>
      </c>
      <c r="AB4631" s="79" t="str">
        <f>IF(AND(OR(LEFT(TH!N4631,2)="15",LEFT(TH!O4631,2)="15"),LEFT(TH!O4631,3)&lt;&gt;"111",'152-CT'!$J$8=TH!F4631),"x","")</f>
        <v/>
      </c>
      <c r="AC4631" s="79" t="str">
        <f>IF(AND(OR(LEFT(TH!N4631,2)="15",LEFT(TH!O4631,2)="15"),TK!$E$7=TH!F4631),"x","")</f>
        <v/>
      </c>
      <c r="AD4631" s="79" t="str">
        <f>IF(AND(N4631="1521",MONTH(C4631)='BK-NL'!$M$11),"x","")</f>
        <v/>
      </c>
    </row>
    <row r="4632" spans="1:30" ht="16.5" customHeight="1">
      <c r="A4632" s="318" t="str">
        <f>IF(B4632&lt;&gt;"",IF(AND(B4632='[3]IN-TC'!$S$4,OR([3]TH!N3863="1111",[3]TH!O3863="1111")),[3]TH!D3863,""),"")</f>
        <v/>
      </c>
      <c r="B4632" s="60" t="str">
        <f t="shared" si="475"/>
        <v/>
      </c>
      <c r="C4632" s="61"/>
      <c r="D4632" s="61"/>
      <c r="E4632" s="61"/>
      <c r="F4632" s="69"/>
      <c r="G4632" s="64"/>
      <c r="H4632" s="303"/>
      <c r="I4632" s="387"/>
      <c r="J4632" s="394"/>
      <c r="K4632" s="387"/>
      <c r="L4632" s="394"/>
      <c r="M4632" s="62"/>
      <c r="N4632" s="63"/>
      <c r="O4632" s="63"/>
      <c r="P4632" s="79" t="str">
        <f>IF(AND('331-CT'!$E$7=TH!H4632,OR(N4632="331",O4632="331")),"x","")</f>
        <v/>
      </c>
      <c r="Q4632" s="79" t="str">
        <f>IF(AND(B4632='111'!$L$11,OR($N4632=$Q$7,$O4632=$Q$7)),"x","")</f>
        <v/>
      </c>
      <c r="R4632" s="79" t="str">
        <f>IF(AND($N4632=$Q$7,$B4632&lt;'111'!$L$11),"x","")</f>
        <v/>
      </c>
      <c r="S4632" s="79" t="str">
        <f>IF(AND($O4632=$Q$7,$B4632&lt;'111'!$L$11),"x","")</f>
        <v/>
      </c>
      <c r="T4632" s="79" t="str">
        <f>IF(ISERROR(FIND('112'!$M$9,G4632,1)),"",IF((AND(FIND('112'!$M$9,G4632,1)&gt;=1,B4632='112'!$K$9,OR($N4632='112'!$I$6,$O4632='112'!$I$6))),"x",""))</f>
        <v/>
      </c>
      <c r="U4632" s="79" t="str">
        <f>IF(ISERROR(FIND('112'!$M$9,G4632,1)),"",IF((AND(LEFT(G4632,2)=LEFT('112'!$M$9,2),B4632&lt;'112'!$K$9,$N4632='112'!$I$6)),"x",""))</f>
        <v/>
      </c>
      <c r="V4632" s="79" t="str">
        <f>IF(ISERROR(FIND('112'!$M$9,G4632,1)),"",IF((AND(RIGHT(G4632,2)=RIGHT('112'!$M$9,2),B4632&lt;'112'!$K$9,$O4632='112'!$I$6)),"x",""))</f>
        <v/>
      </c>
      <c r="W4632" s="79" t="str">
        <f>IF(AND('341-CT'!$H$9=H4632,OR(LEFT(N4632,3)=$W$7,LEFT(O4632,3)=$W$7)),"x","")</f>
        <v/>
      </c>
      <c r="X4632" s="79" t="str">
        <f>IF(OR(TH!N4632=TH!$X$7,O4632=TH!$X$7),"x","")</f>
        <v/>
      </c>
      <c r="Y4632" s="79" t="str">
        <f>IF(AND(OR(N4632="131",O4632="131"),H4632='131-CT'!$H$9),"x","")</f>
        <v/>
      </c>
      <c r="Z4632" s="79"/>
      <c r="AA4632" s="79" t="str">
        <f>IF(AND(MONTH(E4632)='IN-NX'!$J$5,'IN-NX'!$D$7=D4632),"x","")</f>
        <v/>
      </c>
      <c r="AB4632" s="79" t="str">
        <f>IF(AND(OR(LEFT(TH!N4632,2)="15",LEFT(TH!O4632,2)="15"),LEFT(TH!O4632,3)&lt;&gt;"111",'152-CT'!$J$8=TH!F4632),"x","")</f>
        <v/>
      </c>
      <c r="AC4632" s="79" t="str">
        <f>IF(AND(OR(LEFT(TH!N4632,2)="15",LEFT(TH!O4632,2)="15"),TK!$E$7=TH!F4632),"x","")</f>
        <v/>
      </c>
      <c r="AD4632" s="79" t="str">
        <f>IF(AND(N4632="1521",MONTH(C4632)='BK-NL'!$M$11),"x","")</f>
        <v/>
      </c>
    </row>
    <row r="4633" spans="1:30" ht="16.5" customHeight="1">
      <c r="A4633" s="318" t="str">
        <f>IF(B4633&lt;&gt;"",IF(AND(B4633='[3]IN-TC'!$S$4,OR([3]TH!N3864="1111",[3]TH!O3864="1111")),[3]TH!D3864,""),"")</f>
        <v/>
      </c>
      <c r="B4633" s="60" t="str">
        <f t="shared" si="475"/>
        <v/>
      </c>
      <c r="C4633" s="61"/>
      <c r="D4633" s="61"/>
      <c r="E4633" s="61"/>
      <c r="F4633" s="69"/>
      <c r="G4633" s="64"/>
      <c r="H4633" s="69"/>
      <c r="I4633" s="387"/>
      <c r="J4633" s="394"/>
      <c r="K4633" s="387"/>
      <c r="L4633" s="394"/>
      <c r="M4633" s="62"/>
      <c r="N4633" s="63"/>
      <c r="O4633" s="63"/>
      <c r="P4633" s="79" t="str">
        <f>IF(AND('331-CT'!$E$7=TH!H4633,OR(N4633="331",O4633="331")),"x","")</f>
        <v/>
      </c>
      <c r="Q4633" s="79" t="str">
        <f>IF(AND(B4633='111'!$L$11,OR($N4633=$Q$7,$O4633=$Q$7)),"x","")</f>
        <v/>
      </c>
      <c r="R4633" s="79" t="str">
        <f>IF(AND($N4633=$Q$7,$B4633&lt;'111'!$L$11),"x","")</f>
        <v/>
      </c>
      <c r="S4633" s="79" t="str">
        <f>IF(AND($O4633=$Q$7,$B4633&lt;'111'!$L$11),"x","")</f>
        <v/>
      </c>
      <c r="T4633" s="79" t="str">
        <f>IF(ISERROR(FIND('112'!$M$9,G4633,1)),"",IF((AND(FIND('112'!$M$9,G4633,1)&gt;=1,B4633='112'!$K$9,OR($N4633='112'!$I$6,$O4633='112'!$I$6))),"x",""))</f>
        <v/>
      </c>
      <c r="U4633" s="79" t="str">
        <f>IF(ISERROR(FIND('112'!$M$9,G4633,1)),"",IF((AND(LEFT(G4633,2)=LEFT('112'!$M$9,2),B4633&lt;'112'!$K$9,$N4633='112'!$I$6)),"x",""))</f>
        <v/>
      </c>
      <c r="V4633" s="79" t="str">
        <f>IF(ISERROR(FIND('112'!$M$9,G4633,1)),"",IF((AND(RIGHT(G4633,2)=RIGHT('112'!$M$9,2),B4633&lt;'112'!$K$9,$O4633='112'!$I$6)),"x",""))</f>
        <v/>
      </c>
      <c r="W4633" s="79" t="str">
        <f>IF(AND('341-CT'!$H$9=H4633,OR(LEFT(N4633,3)=$W$7,LEFT(O4633,3)=$W$7)),"x","")</f>
        <v/>
      </c>
      <c r="X4633" s="79" t="str">
        <f>IF(OR(TH!N4633=TH!$X$7,O4633=TH!$X$7),"x","")</f>
        <v/>
      </c>
      <c r="Y4633" s="79" t="str">
        <f>IF(AND(OR(N4633="131",O4633="131"),H4633='131-CT'!$H$9),"x","")</f>
        <v/>
      </c>
      <c r="Z4633" s="79"/>
      <c r="AA4633" s="79" t="str">
        <f>IF(AND(MONTH(E4633)='IN-NX'!$J$5,'IN-NX'!$D$7=D4633),"x","")</f>
        <v/>
      </c>
      <c r="AB4633" s="79" t="str">
        <f>IF(AND(OR(LEFT(TH!N4633,2)="15",LEFT(TH!O4633,2)="15"),LEFT(TH!O4633,3)&lt;&gt;"111",'152-CT'!$J$8=TH!F4633),"x","")</f>
        <v/>
      </c>
      <c r="AC4633" s="79" t="str">
        <f>IF(AND(OR(LEFT(TH!N4633,2)="15",LEFT(TH!O4633,2)="15"),TK!$E$7=TH!F4633),"x","")</f>
        <v/>
      </c>
      <c r="AD4633" s="79" t="str">
        <f>IF(AND(N4633="1521",MONTH(C4633)='BK-NL'!$M$11),"x","")</f>
        <v/>
      </c>
    </row>
    <row r="4634" spans="1:30" ht="16.5" customHeight="1">
      <c r="A4634" s="318" t="str">
        <f>IF(B4634&lt;&gt;"",IF(AND(B4634='[3]IN-TC'!$S$4,OR([3]TH!N3865="1111",[3]TH!O3865="1111")),[3]TH!D3865,""),"")</f>
        <v/>
      </c>
      <c r="B4634" s="60" t="str">
        <f t="shared" si="475"/>
        <v/>
      </c>
      <c r="C4634" s="61"/>
      <c r="D4634" s="61"/>
      <c r="E4634" s="61"/>
      <c r="F4634" s="69"/>
      <c r="G4634" s="64"/>
      <c r="H4634" s="69"/>
      <c r="I4634" s="387"/>
      <c r="J4634" s="394"/>
      <c r="K4634" s="387"/>
      <c r="L4634" s="394"/>
      <c r="M4634" s="62"/>
      <c r="N4634" s="63"/>
      <c r="O4634" s="63"/>
      <c r="P4634" s="79" t="str">
        <f>IF(AND('331-CT'!$E$7=TH!H4634,OR(N4634="331",O4634="331")),"x","")</f>
        <v/>
      </c>
      <c r="Q4634" s="79" t="str">
        <f>IF(AND(B4634='111'!$L$11,OR($N4634=$Q$7,$O4634=$Q$7)),"x","")</f>
        <v/>
      </c>
      <c r="R4634" s="79" t="str">
        <f>IF(AND($N4634=$Q$7,$B4634&lt;'111'!$L$11),"x","")</f>
        <v/>
      </c>
      <c r="S4634" s="79" t="str">
        <f>IF(AND($O4634=$Q$7,$B4634&lt;'111'!$L$11),"x","")</f>
        <v/>
      </c>
      <c r="T4634" s="79" t="str">
        <f>IF(ISERROR(FIND('112'!$M$9,G4634,1)),"",IF((AND(FIND('112'!$M$9,G4634,1)&gt;=1,B4634='112'!$K$9,OR($N4634='112'!$I$6,$O4634='112'!$I$6))),"x",""))</f>
        <v/>
      </c>
      <c r="U4634" s="79" t="str">
        <f>IF(ISERROR(FIND('112'!$M$9,G4634,1)),"",IF((AND(LEFT(G4634,2)=LEFT('112'!$M$9,2),B4634&lt;'112'!$K$9,$N4634='112'!$I$6)),"x",""))</f>
        <v/>
      </c>
      <c r="V4634" s="79" t="str">
        <f>IF(ISERROR(FIND('112'!$M$9,G4634,1)),"",IF((AND(RIGHT(G4634,2)=RIGHT('112'!$M$9,2),B4634&lt;'112'!$K$9,$O4634='112'!$I$6)),"x",""))</f>
        <v/>
      </c>
      <c r="W4634" s="79" t="str">
        <f>IF(AND('341-CT'!$H$9=H4634,OR(LEFT(N4634,3)=$W$7,LEFT(O4634,3)=$W$7)),"x","")</f>
        <v/>
      </c>
      <c r="X4634" s="79" t="str">
        <f>IF(OR(TH!N4634=TH!$X$7,O4634=TH!$X$7),"x","")</f>
        <v/>
      </c>
      <c r="Y4634" s="79" t="str">
        <f>IF(AND(OR(N4634="131",O4634="131"),H4634='131-CT'!$H$9),"x","")</f>
        <v/>
      </c>
      <c r="Z4634" s="79"/>
      <c r="AA4634" s="79" t="str">
        <f>IF(AND(MONTH(E4634)='IN-NX'!$J$5,'IN-NX'!$D$7=D4634),"x","")</f>
        <v/>
      </c>
      <c r="AB4634" s="79" t="str">
        <f>IF(AND(OR(LEFT(TH!N4634,2)="15",LEFT(TH!O4634,2)="15"),LEFT(TH!O4634,3)&lt;&gt;"111",'152-CT'!$J$8=TH!F4634),"x","")</f>
        <v/>
      </c>
      <c r="AC4634" s="79" t="str">
        <f>IF(AND(OR(LEFT(TH!N4634,2)="15",LEFT(TH!O4634,2)="15"),TK!$E$7=TH!F4634),"x","")</f>
        <v/>
      </c>
      <c r="AD4634" s="79" t="str">
        <f>IF(AND(N4634="1521",MONTH(C4634)='BK-NL'!$M$11),"x","")</f>
        <v/>
      </c>
    </row>
    <row r="4635" spans="1:30" ht="16.5" customHeight="1">
      <c r="A4635" s="318" t="str">
        <f>IF(B4635&lt;&gt;"",IF(AND(B4635='[3]IN-TC'!$S$4,OR([3]TH!N3866="1111",[3]TH!O3866="1111")),[3]TH!D3866,""),"")</f>
        <v/>
      </c>
      <c r="B4635" s="60" t="str">
        <f t="shared" si="475"/>
        <v/>
      </c>
      <c r="C4635" s="61"/>
      <c r="D4635" s="61"/>
      <c r="E4635" s="61"/>
      <c r="F4635" s="69"/>
      <c r="G4635" s="64"/>
      <c r="H4635" s="69"/>
      <c r="I4635" s="387"/>
      <c r="J4635" s="394"/>
      <c r="K4635" s="387"/>
      <c r="L4635" s="394"/>
      <c r="M4635" s="62"/>
      <c r="N4635" s="63"/>
      <c r="O4635" s="63"/>
      <c r="P4635" s="79" t="str">
        <f>IF(AND('331-CT'!$E$7=TH!H4635,OR(N4635="331",O4635="331")),"x","")</f>
        <v/>
      </c>
      <c r="Q4635" s="79" t="str">
        <f>IF(AND(B4635='111'!$L$11,OR($N4635=$Q$7,$O4635=$Q$7)),"x","")</f>
        <v/>
      </c>
      <c r="R4635" s="79" t="str">
        <f>IF(AND($N4635=$Q$7,$B4635&lt;'111'!$L$11),"x","")</f>
        <v/>
      </c>
      <c r="S4635" s="79" t="str">
        <f>IF(AND($O4635=$Q$7,$B4635&lt;'111'!$L$11),"x","")</f>
        <v/>
      </c>
      <c r="T4635" s="79" t="str">
        <f>IF(ISERROR(FIND('112'!$M$9,G4635,1)),"",IF((AND(FIND('112'!$M$9,G4635,1)&gt;=1,B4635='112'!$K$9,OR($N4635='112'!$I$6,$O4635='112'!$I$6))),"x",""))</f>
        <v/>
      </c>
      <c r="U4635" s="79" t="str">
        <f>IF(ISERROR(FIND('112'!$M$9,G4635,1)),"",IF((AND(LEFT(G4635,2)=LEFT('112'!$M$9,2),B4635&lt;'112'!$K$9,$N4635='112'!$I$6)),"x",""))</f>
        <v/>
      </c>
      <c r="V4635" s="79" t="str">
        <f>IF(ISERROR(FIND('112'!$M$9,G4635,1)),"",IF((AND(RIGHT(G4635,2)=RIGHT('112'!$M$9,2),B4635&lt;'112'!$K$9,$O4635='112'!$I$6)),"x",""))</f>
        <v/>
      </c>
      <c r="W4635" s="79" t="str">
        <f>IF(AND('341-CT'!$H$9=H4635,OR(LEFT(N4635,3)=$W$7,LEFT(O4635,3)=$W$7)),"x","")</f>
        <v/>
      </c>
      <c r="X4635" s="79" t="str">
        <f>IF(OR(TH!N4635=TH!$X$7,O4635=TH!$X$7),"x","")</f>
        <v/>
      </c>
      <c r="Y4635" s="79" t="str">
        <f>IF(AND(OR(N4635="131",O4635="131"),H4635='131-CT'!$H$9),"x","")</f>
        <v/>
      </c>
      <c r="Z4635" s="79"/>
      <c r="AA4635" s="79" t="str">
        <f>IF(AND(MONTH(E4635)='IN-NX'!$J$5,'IN-NX'!$D$7=D4635),"x","")</f>
        <v/>
      </c>
      <c r="AB4635" s="79" t="str">
        <f>IF(AND(OR(LEFT(TH!N4635,2)="15",LEFT(TH!O4635,2)="15"),LEFT(TH!O4635,3)&lt;&gt;"111",'152-CT'!$J$8=TH!F4635),"x","")</f>
        <v/>
      </c>
      <c r="AC4635" s="79" t="str">
        <f>IF(AND(OR(LEFT(TH!N4635,2)="15",LEFT(TH!O4635,2)="15"),TK!$E$7=TH!F4635),"x","")</f>
        <v/>
      </c>
      <c r="AD4635" s="79" t="str">
        <f>IF(AND(N4635="1521",MONTH(C4635)='BK-NL'!$M$11),"x","")</f>
        <v/>
      </c>
    </row>
    <row r="4636" spans="1:30" ht="16.5" customHeight="1">
      <c r="A4636" s="318" t="str">
        <f>IF(B4636&lt;&gt;"",IF(AND(B4636='[3]IN-TC'!$S$4,OR([3]TH!N3867="1111",[3]TH!O3867="1111")),[3]TH!D3867,""),"")</f>
        <v/>
      </c>
      <c r="B4636" s="60" t="str">
        <f t="shared" ref="B4636:B4699" si="476">IF(C4636&lt;&gt;"",MONTH(C4636),"")</f>
        <v/>
      </c>
      <c r="C4636" s="61"/>
      <c r="D4636" s="61"/>
      <c r="E4636" s="61"/>
      <c r="F4636" s="69"/>
      <c r="G4636" s="64"/>
      <c r="H4636" s="69"/>
      <c r="I4636" s="387"/>
      <c r="J4636" s="394"/>
      <c r="K4636" s="387"/>
      <c r="L4636" s="394"/>
      <c r="M4636" s="62"/>
      <c r="N4636" s="63"/>
      <c r="O4636" s="63"/>
      <c r="P4636" s="79" t="str">
        <f>IF(AND('331-CT'!$E$7=TH!H4636,OR(N4636="331",O4636="331")),"x","")</f>
        <v/>
      </c>
      <c r="Q4636" s="79" t="str">
        <f>IF(AND(B4636='111'!$L$11,OR($N4636=$Q$7,$O4636=$Q$7)),"x","")</f>
        <v/>
      </c>
      <c r="R4636" s="79" t="str">
        <f>IF(AND($N4636=$Q$7,$B4636&lt;'111'!$L$11),"x","")</f>
        <v/>
      </c>
      <c r="S4636" s="79" t="str">
        <f>IF(AND($O4636=$Q$7,$B4636&lt;'111'!$L$11),"x","")</f>
        <v/>
      </c>
      <c r="T4636" s="79" t="str">
        <f>IF(ISERROR(FIND('112'!$M$9,G4636,1)),"",IF((AND(FIND('112'!$M$9,G4636,1)&gt;=1,B4636='112'!$K$9,OR($N4636='112'!$I$6,$O4636='112'!$I$6))),"x",""))</f>
        <v/>
      </c>
      <c r="U4636" s="79" t="str">
        <f>IF(ISERROR(FIND('112'!$M$9,G4636,1)),"",IF((AND(LEFT(G4636,2)=LEFT('112'!$M$9,2),B4636&lt;'112'!$K$9,$N4636='112'!$I$6)),"x",""))</f>
        <v/>
      </c>
      <c r="V4636" s="79" t="str">
        <f>IF(ISERROR(FIND('112'!$M$9,G4636,1)),"",IF((AND(RIGHT(G4636,2)=RIGHT('112'!$M$9,2),B4636&lt;'112'!$K$9,$O4636='112'!$I$6)),"x",""))</f>
        <v/>
      </c>
      <c r="W4636" s="79" t="str">
        <f>IF(AND('341-CT'!$H$9=H4636,OR(LEFT(N4636,3)=$W$7,LEFT(O4636,3)=$W$7)),"x","")</f>
        <v/>
      </c>
      <c r="X4636" s="79" t="str">
        <f>IF(OR(TH!N4636=TH!$X$7,O4636=TH!$X$7),"x","")</f>
        <v/>
      </c>
      <c r="Y4636" s="79" t="str">
        <f>IF(AND(OR(N4636="131",O4636="131"),H4636='131-CT'!$H$9),"x","")</f>
        <v/>
      </c>
      <c r="Z4636" s="79"/>
      <c r="AA4636" s="79" t="str">
        <f>IF(AND(MONTH(E4636)='IN-NX'!$J$5,'IN-NX'!$D$7=D4636),"x","")</f>
        <v/>
      </c>
      <c r="AB4636" s="79" t="str">
        <f>IF(AND(OR(LEFT(TH!N4636,2)="15",LEFT(TH!O4636,2)="15"),LEFT(TH!O4636,3)&lt;&gt;"111",'152-CT'!$J$8=TH!F4636),"x","")</f>
        <v/>
      </c>
      <c r="AC4636" s="79" t="str">
        <f>IF(AND(OR(LEFT(TH!N4636,2)="15",LEFT(TH!O4636,2)="15"),TK!$E$7=TH!F4636),"x","")</f>
        <v/>
      </c>
      <c r="AD4636" s="79" t="str">
        <f>IF(AND(N4636="1521",MONTH(C4636)='BK-NL'!$M$11),"x","")</f>
        <v/>
      </c>
    </row>
    <row r="4637" spans="1:30" ht="16.5" customHeight="1">
      <c r="A4637" s="318" t="str">
        <f>IF(B4637&lt;&gt;"",IF(AND(B4637='[3]IN-TC'!$S$4,OR([3]TH!N3868="1111",[3]TH!O3868="1111")),[3]TH!D3868,""),"")</f>
        <v/>
      </c>
      <c r="B4637" s="60" t="str">
        <f t="shared" si="476"/>
        <v/>
      </c>
      <c r="C4637" s="61"/>
      <c r="D4637" s="61"/>
      <c r="E4637" s="61"/>
      <c r="F4637" s="69"/>
      <c r="G4637" s="64"/>
      <c r="H4637" s="69"/>
      <c r="I4637" s="387"/>
      <c r="J4637" s="394"/>
      <c r="K4637" s="387"/>
      <c r="L4637" s="394"/>
      <c r="M4637" s="62"/>
      <c r="N4637" s="63"/>
      <c r="O4637" s="63"/>
      <c r="P4637" s="79" t="str">
        <f>IF(AND('331-CT'!$E$7=TH!H4637,OR(N4637="331",O4637="331")),"x","")</f>
        <v/>
      </c>
      <c r="Q4637" s="79" t="str">
        <f>IF(AND(B4637='111'!$L$11,OR($N4637=$Q$7,$O4637=$Q$7)),"x","")</f>
        <v/>
      </c>
      <c r="R4637" s="79" t="str">
        <f>IF(AND($N4637=$Q$7,$B4637&lt;'111'!$L$11),"x","")</f>
        <v/>
      </c>
      <c r="S4637" s="79" t="str">
        <f>IF(AND($O4637=$Q$7,$B4637&lt;'111'!$L$11),"x","")</f>
        <v/>
      </c>
      <c r="T4637" s="79" t="str">
        <f>IF(ISERROR(FIND('112'!$M$9,G4637,1)),"",IF((AND(FIND('112'!$M$9,G4637,1)&gt;=1,B4637='112'!$K$9,OR($N4637='112'!$I$6,$O4637='112'!$I$6))),"x",""))</f>
        <v/>
      </c>
      <c r="U4637" s="79" t="str">
        <f>IF(ISERROR(FIND('112'!$M$9,G4637,1)),"",IF((AND(LEFT(G4637,2)=LEFT('112'!$M$9,2),B4637&lt;'112'!$K$9,$N4637='112'!$I$6)),"x",""))</f>
        <v/>
      </c>
      <c r="V4637" s="79" t="str">
        <f>IF(ISERROR(FIND('112'!$M$9,G4637,1)),"",IF((AND(RIGHT(G4637,2)=RIGHT('112'!$M$9,2),B4637&lt;'112'!$K$9,$O4637='112'!$I$6)),"x",""))</f>
        <v/>
      </c>
      <c r="W4637" s="79" t="str">
        <f>IF(AND('341-CT'!$H$9=H4637,OR(LEFT(N4637,3)=$W$7,LEFT(O4637,3)=$W$7)),"x","")</f>
        <v/>
      </c>
      <c r="X4637" s="79" t="str">
        <f>IF(OR(TH!N4637=TH!$X$7,O4637=TH!$X$7),"x","")</f>
        <v/>
      </c>
      <c r="Y4637" s="79" t="str">
        <f>IF(AND(OR(N4637="131",O4637="131"),H4637='131-CT'!$H$9),"x","")</f>
        <v/>
      </c>
      <c r="Z4637" s="79"/>
      <c r="AA4637" s="79" t="str">
        <f>IF(AND(MONTH(E4637)='IN-NX'!$J$5,'IN-NX'!$D$7=D4637),"x","")</f>
        <v/>
      </c>
      <c r="AB4637" s="79" t="str">
        <f>IF(AND(OR(LEFT(TH!N4637,2)="15",LEFT(TH!O4637,2)="15"),LEFT(TH!O4637,3)&lt;&gt;"111",'152-CT'!$J$8=TH!F4637),"x","")</f>
        <v/>
      </c>
      <c r="AC4637" s="79" t="str">
        <f>IF(AND(OR(LEFT(TH!N4637,2)="15",LEFT(TH!O4637,2)="15"),TK!$E$7=TH!F4637),"x","")</f>
        <v/>
      </c>
      <c r="AD4637" s="79" t="str">
        <f>IF(AND(N4637="1521",MONTH(C4637)='BK-NL'!$M$11),"x","")</f>
        <v/>
      </c>
    </row>
    <row r="4638" spans="1:30" ht="16.5" customHeight="1">
      <c r="A4638" s="318" t="str">
        <f>IF(B4638&lt;&gt;"",IF(AND(B4638='[3]IN-TC'!$S$4,OR([3]TH!N3869="1111",[3]TH!O3869="1111")),[3]TH!D3869,""),"")</f>
        <v/>
      </c>
      <c r="B4638" s="60" t="str">
        <f t="shared" si="476"/>
        <v/>
      </c>
      <c r="C4638" s="61"/>
      <c r="D4638" s="61"/>
      <c r="E4638" s="61"/>
      <c r="F4638" s="69"/>
      <c r="G4638" s="64"/>
      <c r="H4638" s="303"/>
      <c r="I4638" s="385"/>
      <c r="J4638" s="392"/>
      <c r="K4638" s="385"/>
      <c r="L4638" s="392"/>
      <c r="M4638" s="62"/>
      <c r="N4638" s="63"/>
      <c r="O4638" s="63"/>
      <c r="P4638" s="79" t="str">
        <f>IF(AND('331-CT'!$E$7=TH!H4638,OR(N4638="331",O4638="331")),"x","")</f>
        <v/>
      </c>
      <c r="Q4638" s="79" t="str">
        <f>IF(AND(B4638='111'!$L$11,OR($N4638=$Q$7,$O4638=$Q$7)),"x","")</f>
        <v/>
      </c>
      <c r="R4638" s="79" t="str">
        <f>IF(AND($N4638=$Q$7,$B4638&lt;'111'!$L$11),"x","")</f>
        <v/>
      </c>
      <c r="S4638" s="79" t="str">
        <f>IF(AND($O4638=$Q$7,$B4638&lt;'111'!$L$11),"x","")</f>
        <v/>
      </c>
      <c r="T4638" s="79" t="str">
        <f>IF(ISERROR(FIND('112'!$M$9,G4638,1)),"",IF((AND(FIND('112'!$M$9,G4638,1)&gt;=1,B4638='112'!$K$9,OR($N4638='112'!$I$6,$O4638='112'!$I$6))),"x",""))</f>
        <v/>
      </c>
      <c r="U4638" s="79" t="str">
        <f>IF(ISERROR(FIND('112'!$M$9,G4638,1)),"",IF((AND(LEFT(G4638,2)=LEFT('112'!$M$9,2),B4638&lt;'112'!$K$9,$N4638='112'!$I$6)),"x",""))</f>
        <v/>
      </c>
      <c r="V4638" s="79" t="str">
        <f>IF(ISERROR(FIND('112'!$M$9,G4638,1)),"",IF((AND(RIGHT(G4638,2)=RIGHT('112'!$M$9,2),B4638&lt;'112'!$K$9,$O4638='112'!$I$6)),"x",""))</f>
        <v/>
      </c>
      <c r="W4638" s="79" t="str">
        <f>IF(AND('341-CT'!$H$9=H4638,OR(LEFT(N4638,3)=$W$7,LEFT(O4638,3)=$W$7)),"x","")</f>
        <v/>
      </c>
      <c r="X4638" s="79" t="str">
        <f>IF(OR(TH!N4638=TH!$X$7,O4638=TH!$X$7),"x","")</f>
        <v/>
      </c>
      <c r="Y4638" s="79" t="str">
        <f>IF(AND(OR(N4638="131",O4638="131"),H4638='131-CT'!$H$9),"x","")</f>
        <v/>
      </c>
      <c r="Z4638" s="79"/>
      <c r="AA4638" s="79" t="str">
        <f>IF(AND(MONTH(E4638)='IN-NX'!$J$5,'IN-NX'!$D$7=D4638),"x","")</f>
        <v/>
      </c>
      <c r="AB4638" s="79" t="str">
        <f>IF(AND(OR(LEFT(TH!N4638,2)="15",LEFT(TH!O4638,2)="15"),LEFT(TH!O4638,3)&lt;&gt;"111",'152-CT'!$J$8=TH!F4638),"x","")</f>
        <v/>
      </c>
      <c r="AC4638" s="79" t="str">
        <f>IF(AND(OR(LEFT(TH!N4638,2)="15",LEFT(TH!O4638,2)="15"),TK!$E$7=TH!F4638),"x","")</f>
        <v/>
      </c>
      <c r="AD4638" s="79" t="str">
        <f>IF(AND(N4638="1521",MONTH(C4638)='BK-NL'!$M$11),"x","")</f>
        <v/>
      </c>
    </row>
    <row r="4639" spans="1:30" ht="16.5" customHeight="1">
      <c r="A4639" s="318" t="str">
        <f>IF(B4639&lt;&gt;"",IF(AND(B4639='[3]IN-TC'!$S$4,OR([3]TH!N3870="1111",[3]TH!O3870="1111")),[3]TH!D3870,""),"")</f>
        <v/>
      </c>
      <c r="B4639" s="60" t="str">
        <f t="shared" si="476"/>
        <v/>
      </c>
      <c r="C4639" s="61"/>
      <c r="D4639" s="61"/>
      <c r="E4639" s="61"/>
      <c r="F4639" s="69"/>
      <c r="G4639" s="64"/>
      <c r="H4639" s="69"/>
      <c r="I4639" s="387"/>
      <c r="J4639" s="394"/>
      <c r="K4639" s="387"/>
      <c r="L4639" s="394"/>
      <c r="M4639" s="62"/>
      <c r="N4639" s="63"/>
      <c r="O4639" s="63"/>
      <c r="P4639" s="79" t="str">
        <f>IF(AND('331-CT'!$E$7=TH!H4639,OR(N4639="331",O4639="331")),"x","")</f>
        <v/>
      </c>
      <c r="Q4639" s="79" t="str">
        <f>IF(AND(B4639='111'!$L$11,OR($N4639=$Q$7,$O4639=$Q$7)),"x","")</f>
        <v/>
      </c>
      <c r="R4639" s="79" t="str">
        <f>IF(AND($N4639=$Q$7,$B4639&lt;'111'!$L$11),"x","")</f>
        <v/>
      </c>
      <c r="S4639" s="79" t="str">
        <f>IF(AND($O4639=$Q$7,$B4639&lt;'111'!$L$11),"x","")</f>
        <v/>
      </c>
      <c r="T4639" s="79" t="str">
        <f>IF(ISERROR(FIND('112'!$M$9,G4639,1)),"",IF((AND(FIND('112'!$M$9,G4639,1)&gt;=1,B4639='112'!$K$9,OR($N4639='112'!$I$6,$O4639='112'!$I$6))),"x",""))</f>
        <v/>
      </c>
      <c r="U4639" s="79" t="str">
        <f>IF(ISERROR(FIND('112'!$M$9,G4639,1)),"",IF((AND(LEFT(G4639,2)=LEFT('112'!$M$9,2),B4639&lt;'112'!$K$9,$N4639='112'!$I$6)),"x",""))</f>
        <v/>
      </c>
      <c r="V4639" s="79" t="str">
        <f>IF(ISERROR(FIND('112'!$M$9,G4639,1)),"",IF((AND(RIGHT(G4639,2)=RIGHT('112'!$M$9,2),B4639&lt;'112'!$K$9,$O4639='112'!$I$6)),"x",""))</f>
        <v/>
      </c>
      <c r="W4639" s="79" t="str">
        <f>IF(AND('341-CT'!$H$9=H4639,OR(LEFT(N4639,3)=$W$7,LEFT(O4639,3)=$W$7)),"x","")</f>
        <v/>
      </c>
      <c r="X4639" s="79" t="str">
        <f>IF(OR(TH!N4639=TH!$X$7,O4639=TH!$X$7),"x","")</f>
        <v/>
      </c>
      <c r="Y4639" s="79" t="str">
        <f>IF(AND(OR(N4639="131",O4639="131"),H4639='131-CT'!$H$9),"x","")</f>
        <v/>
      </c>
      <c r="Z4639" s="79"/>
      <c r="AA4639" s="79" t="str">
        <f>IF(AND(MONTH(E4639)='IN-NX'!$J$5,'IN-NX'!$D$7=D4639),"x","")</f>
        <v/>
      </c>
      <c r="AB4639" s="79" t="str">
        <f>IF(AND(OR(LEFT(TH!N4639,2)="15",LEFT(TH!O4639,2)="15"),LEFT(TH!O4639,3)&lt;&gt;"111",'152-CT'!$J$8=TH!F4639),"x","")</f>
        <v/>
      </c>
      <c r="AC4639" s="79" t="str">
        <f>IF(AND(OR(LEFT(TH!N4639,2)="15",LEFT(TH!O4639,2)="15"),TK!$E$7=TH!F4639),"x","")</f>
        <v/>
      </c>
      <c r="AD4639" s="79" t="str">
        <f>IF(AND(N4639="1521",MONTH(C4639)='BK-NL'!$M$11),"x","")</f>
        <v/>
      </c>
    </row>
    <row r="4640" spans="1:30" ht="16.5" customHeight="1">
      <c r="A4640" s="318" t="str">
        <f>IF(B4640&lt;&gt;"",IF(AND(B4640='[3]IN-TC'!$S$4,OR([3]TH!N3871="1111",[3]TH!O3871="1111")),[3]TH!D3871,""),"")</f>
        <v/>
      </c>
      <c r="B4640" s="60" t="str">
        <f t="shared" si="476"/>
        <v/>
      </c>
      <c r="C4640" s="61"/>
      <c r="D4640" s="61"/>
      <c r="E4640" s="61"/>
      <c r="F4640" s="69"/>
      <c r="G4640" s="64"/>
      <c r="H4640" s="69"/>
      <c r="I4640" s="387"/>
      <c r="J4640" s="394"/>
      <c r="K4640" s="387"/>
      <c r="L4640" s="394"/>
      <c r="M4640" s="62"/>
      <c r="N4640" s="63"/>
      <c r="O4640" s="63"/>
      <c r="P4640" s="79" t="str">
        <f>IF(AND('331-CT'!$E$7=TH!H4640,OR(N4640="331",O4640="331")),"x","")</f>
        <v/>
      </c>
      <c r="Q4640" s="79" t="str">
        <f>IF(AND(B4640='111'!$L$11,OR($N4640=$Q$7,$O4640=$Q$7)),"x","")</f>
        <v/>
      </c>
      <c r="R4640" s="79" t="str">
        <f>IF(AND($N4640=$Q$7,$B4640&lt;'111'!$L$11),"x","")</f>
        <v/>
      </c>
      <c r="S4640" s="79" t="str">
        <f>IF(AND($O4640=$Q$7,$B4640&lt;'111'!$L$11),"x","")</f>
        <v/>
      </c>
      <c r="T4640" s="79" t="str">
        <f>IF(ISERROR(FIND('112'!$M$9,G4640,1)),"",IF((AND(FIND('112'!$M$9,G4640,1)&gt;=1,B4640='112'!$K$9,OR($N4640='112'!$I$6,$O4640='112'!$I$6))),"x",""))</f>
        <v/>
      </c>
      <c r="U4640" s="79" t="str">
        <f>IF(ISERROR(FIND('112'!$M$9,G4640,1)),"",IF((AND(LEFT(G4640,2)=LEFT('112'!$M$9,2),B4640&lt;'112'!$K$9,$N4640='112'!$I$6)),"x",""))</f>
        <v/>
      </c>
      <c r="V4640" s="79" t="str">
        <f>IF(ISERROR(FIND('112'!$M$9,G4640,1)),"",IF((AND(RIGHT(G4640,2)=RIGHT('112'!$M$9,2),B4640&lt;'112'!$K$9,$O4640='112'!$I$6)),"x",""))</f>
        <v/>
      </c>
      <c r="W4640" s="79" t="str">
        <f>IF(AND('341-CT'!$H$9=H4640,OR(LEFT(N4640,3)=$W$7,LEFT(O4640,3)=$W$7)),"x","")</f>
        <v/>
      </c>
      <c r="X4640" s="79" t="str">
        <f>IF(OR(TH!N4640=TH!$X$7,O4640=TH!$X$7),"x","")</f>
        <v/>
      </c>
      <c r="Y4640" s="79" t="str">
        <f>IF(AND(OR(N4640="131",O4640="131"),H4640='131-CT'!$H$9),"x","")</f>
        <v/>
      </c>
      <c r="Z4640" s="79"/>
      <c r="AA4640" s="79" t="str">
        <f>IF(AND(MONTH(E4640)='IN-NX'!$J$5,'IN-NX'!$D$7=D4640),"x","")</f>
        <v/>
      </c>
      <c r="AB4640" s="79" t="str">
        <f>IF(AND(OR(LEFT(TH!N4640,2)="15",LEFT(TH!O4640,2)="15"),LEFT(TH!O4640,3)&lt;&gt;"111",'152-CT'!$J$8=TH!F4640),"x","")</f>
        <v/>
      </c>
      <c r="AC4640" s="79" t="str">
        <f>IF(AND(OR(LEFT(TH!N4640,2)="15",LEFT(TH!O4640,2)="15"),TK!$E$7=TH!F4640),"x","")</f>
        <v/>
      </c>
      <c r="AD4640" s="79" t="str">
        <f>IF(AND(N4640="1521",MONTH(C4640)='BK-NL'!$M$11),"x","")</f>
        <v/>
      </c>
    </row>
    <row r="4641" spans="1:30" ht="16.5" customHeight="1">
      <c r="A4641" s="318" t="str">
        <f>IF(B4641&lt;&gt;"",IF(AND(B4641='[3]IN-TC'!$S$4,OR([3]TH!N3872="1111",[3]TH!O3872="1111")),[3]TH!D3872,""),"")</f>
        <v/>
      </c>
      <c r="B4641" s="60" t="str">
        <f t="shared" si="476"/>
        <v/>
      </c>
      <c r="C4641" s="61"/>
      <c r="D4641" s="61"/>
      <c r="E4641" s="61"/>
      <c r="F4641" s="69"/>
      <c r="G4641" s="64"/>
      <c r="H4641" s="303"/>
      <c r="I4641" s="385"/>
      <c r="J4641" s="392"/>
      <c r="K4641" s="385"/>
      <c r="L4641" s="392"/>
      <c r="M4641" s="62"/>
      <c r="N4641" s="63"/>
      <c r="O4641" s="63"/>
      <c r="P4641" s="79" t="str">
        <f>IF(AND('331-CT'!$E$7=TH!H4641,OR(N4641="331",O4641="331")),"x","")</f>
        <v/>
      </c>
      <c r="Q4641" s="79" t="str">
        <f>IF(AND(B4641='111'!$L$11,OR($N4641=$Q$7,$O4641=$Q$7)),"x","")</f>
        <v/>
      </c>
      <c r="R4641" s="79" t="str">
        <f>IF(AND($N4641=$Q$7,$B4641&lt;'111'!$L$11),"x","")</f>
        <v/>
      </c>
      <c r="S4641" s="79" t="str">
        <f>IF(AND($O4641=$Q$7,$B4641&lt;'111'!$L$11),"x","")</f>
        <v/>
      </c>
      <c r="T4641" s="79" t="str">
        <f>IF(ISERROR(FIND('112'!$M$9,G4641,1)),"",IF((AND(FIND('112'!$M$9,G4641,1)&gt;=1,B4641='112'!$K$9,OR($N4641='112'!$I$6,$O4641='112'!$I$6))),"x",""))</f>
        <v/>
      </c>
      <c r="U4641" s="79" t="str">
        <f>IF(ISERROR(FIND('112'!$M$9,G4641,1)),"",IF((AND(LEFT(G4641,2)=LEFT('112'!$M$9,2),B4641&lt;'112'!$K$9,$N4641='112'!$I$6)),"x",""))</f>
        <v/>
      </c>
      <c r="V4641" s="79" t="str">
        <f>IF(ISERROR(FIND('112'!$M$9,G4641,1)),"",IF((AND(RIGHT(G4641,2)=RIGHT('112'!$M$9,2),B4641&lt;'112'!$K$9,$O4641='112'!$I$6)),"x",""))</f>
        <v/>
      </c>
      <c r="W4641" s="79" t="str">
        <f>IF(AND('341-CT'!$H$9=H4641,OR(LEFT(N4641,3)=$W$7,LEFT(O4641,3)=$W$7)),"x","")</f>
        <v/>
      </c>
      <c r="X4641" s="79" t="str">
        <f>IF(OR(TH!N4641=TH!$X$7,O4641=TH!$X$7),"x","")</f>
        <v/>
      </c>
      <c r="Y4641" s="79" t="str">
        <f>IF(AND(OR(N4641="131",O4641="131"),H4641='131-CT'!$H$9),"x","")</f>
        <v/>
      </c>
      <c r="Z4641" s="79"/>
      <c r="AA4641" s="79" t="str">
        <f>IF(AND(MONTH(E4641)='IN-NX'!$J$5,'IN-NX'!$D$7=D4641),"x","")</f>
        <v/>
      </c>
      <c r="AB4641" s="79" t="str">
        <f>IF(AND(OR(LEFT(TH!N4641,2)="15",LEFT(TH!O4641,2)="15"),LEFT(TH!O4641,3)&lt;&gt;"111",'152-CT'!$J$8=TH!F4641),"x","")</f>
        <v/>
      </c>
      <c r="AC4641" s="79" t="str">
        <f>IF(AND(OR(LEFT(TH!N4641,2)="15",LEFT(TH!O4641,2)="15"),TK!$E$7=TH!F4641),"x","")</f>
        <v/>
      </c>
      <c r="AD4641" s="79" t="str">
        <f>IF(AND(N4641="1521",MONTH(C4641)='BK-NL'!$M$11),"x","")</f>
        <v/>
      </c>
    </row>
    <row r="4642" spans="1:30" ht="16.5" customHeight="1">
      <c r="A4642" s="318" t="str">
        <f>IF(B4642&lt;&gt;"",IF(AND(B4642='[3]IN-TC'!$S$4,OR([3]TH!N3873="1111",[3]TH!O3873="1111")),[3]TH!D3873,""),"")</f>
        <v/>
      </c>
      <c r="B4642" s="60" t="str">
        <f t="shared" si="476"/>
        <v/>
      </c>
      <c r="C4642" s="61"/>
      <c r="D4642" s="61"/>
      <c r="E4642" s="61"/>
      <c r="F4642" s="69"/>
      <c r="G4642" s="64"/>
      <c r="H4642" s="69"/>
      <c r="I4642" s="387"/>
      <c r="J4642" s="394"/>
      <c r="K4642" s="387"/>
      <c r="L4642" s="394"/>
      <c r="M4642" s="62"/>
      <c r="N4642" s="63"/>
      <c r="O4642" s="63"/>
      <c r="P4642" s="79" t="str">
        <f>IF(AND('331-CT'!$E$7=TH!H4642,OR(N4642="331",O4642="331")),"x","")</f>
        <v/>
      </c>
      <c r="Q4642" s="79" t="str">
        <f>IF(AND(B4642='111'!$L$11,OR($N4642=$Q$7,$O4642=$Q$7)),"x","")</f>
        <v/>
      </c>
      <c r="R4642" s="79" t="str">
        <f>IF(AND($N4642=$Q$7,$B4642&lt;'111'!$L$11),"x","")</f>
        <v/>
      </c>
      <c r="S4642" s="79" t="str">
        <f>IF(AND($O4642=$Q$7,$B4642&lt;'111'!$L$11),"x","")</f>
        <v/>
      </c>
      <c r="T4642" s="79" t="str">
        <f>IF(ISERROR(FIND('112'!$M$9,G4642,1)),"",IF((AND(FIND('112'!$M$9,G4642,1)&gt;=1,B4642='112'!$K$9,OR($N4642='112'!$I$6,$O4642='112'!$I$6))),"x",""))</f>
        <v/>
      </c>
      <c r="U4642" s="79" t="str">
        <f>IF(ISERROR(FIND('112'!$M$9,G4642,1)),"",IF((AND(LEFT(G4642,2)=LEFT('112'!$M$9,2),B4642&lt;'112'!$K$9,$N4642='112'!$I$6)),"x",""))</f>
        <v/>
      </c>
      <c r="V4642" s="79" t="str">
        <f>IF(ISERROR(FIND('112'!$M$9,G4642,1)),"",IF((AND(RIGHT(G4642,2)=RIGHT('112'!$M$9,2),B4642&lt;'112'!$K$9,$O4642='112'!$I$6)),"x",""))</f>
        <v/>
      </c>
      <c r="W4642" s="79" t="str">
        <f>IF(AND('341-CT'!$H$9=H4642,OR(LEFT(N4642,3)=$W$7,LEFT(O4642,3)=$W$7)),"x","")</f>
        <v/>
      </c>
      <c r="X4642" s="79" t="str">
        <f>IF(OR(TH!N4642=TH!$X$7,O4642=TH!$X$7),"x","")</f>
        <v/>
      </c>
      <c r="Y4642" s="79" t="str">
        <f>IF(AND(OR(N4642="131",O4642="131"),H4642='131-CT'!$H$9),"x","")</f>
        <v/>
      </c>
      <c r="Z4642" s="79"/>
      <c r="AA4642" s="79" t="str">
        <f>IF(AND(MONTH(E4642)='IN-NX'!$J$5,'IN-NX'!$D$7=D4642),"x","")</f>
        <v/>
      </c>
      <c r="AB4642" s="79" t="str">
        <f>IF(AND(OR(LEFT(TH!N4642,2)="15",LEFT(TH!O4642,2)="15"),LEFT(TH!O4642,3)&lt;&gt;"111",'152-CT'!$J$8=TH!F4642),"x","")</f>
        <v/>
      </c>
      <c r="AC4642" s="79" t="str">
        <f>IF(AND(OR(LEFT(TH!N4642,2)="15",LEFT(TH!O4642,2)="15"),TK!$E$7=TH!F4642),"x","")</f>
        <v/>
      </c>
      <c r="AD4642" s="79" t="str">
        <f>IF(AND(N4642="1521",MONTH(C4642)='BK-NL'!$M$11),"x","")</f>
        <v/>
      </c>
    </row>
    <row r="4643" spans="1:30" ht="16.5" customHeight="1">
      <c r="A4643" s="318" t="str">
        <f>IF(B4643&lt;&gt;"",IF(AND(B4643='[3]IN-TC'!$S$4,OR([3]TH!N3874="1111",[3]TH!O3874="1111")),[3]TH!D3874,""),"")</f>
        <v/>
      </c>
      <c r="B4643" s="60" t="str">
        <f t="shared" si="476"/>
        <v/>
      </c>
      <c r="C4643" s="61"/>
      <c r="D4643" s="61"/>
      <c r="E4643" s="61"/>
      <c r="F4643" s="69"/>
      <c r="G4643" s="64"/>
      <c r="H4643" s="69"/>
      <c r="I4643" s="387"/>
      <c r="J4643" s="394"/>
      <c r="K4643" s="387"/>
      <c r="L4643" s="394"/>
      <c r="M4643" s="62"/>
      <c r="N4643" s="63"/>
      <c r="O4643" s="63"/>
      <c r="P4643" s="79" t="str">
        <f>IF(AND('331-CT'!$E$7=TH!H4643,OR(N4643="331",O4643="331")),"x","")</f>
        <v/>
      </c>
      <c r="Q4643" s="79" t="str">
        <f>IF(AND(B4643='111'!$L$11,OR($N4643=$Q$7,$O4643=$Q$7)),"x","")</f>
        <v/>
      </c>
      <c r="R4643" s="79" t="str">
        <f>IF(AND($N4643=$Q$7,$B4643&lt;'111'!$L$11),"x","")</f>
        <v/>
      </c>
      <c r="S4643" s="79" t="str">
        <f>IF(AND($O4643=$Q$7,$B4643&lt;'111'!$L$11),"x","")</f>
        <v/>
      </c>
      <c r="T4643" s="79" t="str">
        <f>IF(ISERROR(FIND('112'!$M$9,G4643,1)),"",IF((AND(FIND('112'!$M$9,G4643,1)&gt;=1,B4643='112'!$K$9,OR($N4643='112'!$I$6,$O4643='112'!$I$6))),"x",""))</f>
        <v/>
      </c>
      <c r="U4643" s="79" t="str">
        <f>IF(ISERROR(FIND('112'!$M$9,G4643,1)),"",IF((AND(LEFT(G4643,2)=LEFT('112'!$M$9,2),B4643&lt;'112'!$K$9,$N4643='112'!$I$6)),"x",""))</f>
        <v/>
      </c>
      <c r="V4643" s="79" t="str">
        <f>IF(ISERROR(FIND('112'!$M$9,G4643,1)),"",IF((AND(RIGHT(G4643,2)=RIGHT('112'!$M$9,2),B4643&lt;'112'!$K$9,$O4643='112'!$I$6)),"x",""))</f>
        <v/>
      </c>
      <c r="W4643" s="79" t="str">
        <f>IF(AND('341-CT'!$H$9=H4643,OR(LEFT(N4643,3)=$W$7,LEFT(O4643,3)=$W$7)),"x","")</f>
        <v/>
      </c>
      <c r="X4643" s="79" t="str">
        <f>IF(OR(TH!N4643=TH!$X$7,O4643=TH!$X$7),"x","")</f>
        <v/>
      </c>
      <c r="Y4643" s="79" t="str">
        <f>IF(AND(OR(N4643="131",O4643="131"),H4643='131-CT'!$H$9),"x","")</f>
        <v/>
      </c>
      <c r="Z4643" s="79"/>
      <c r="AA4643" s="79" t="str">
        <f>IF(AND(MONTH(E4643)='IN-NX'!$J$5,'IN-NX'!$D$7=D4643),"x","")</f>
        <v/>
      </c>
      <c r="AB4643" s="79" t="str">
        <f>IF(AND(OR(LEFT(TH!N4643,2)="15",LEFT(TH!O4643,2)="15"),LEFT(TH!O4643,3)&lt;&gt;"111",'152-CT'!$J$8=TH!F4643),"x","")</f>
        <v/>
      </c>
      <c r="AC4643" s="79" t="str">
        <f>IF(AND(OR(LEFT(TH!N4643,2)="15",LEFT(TH!O4643,2)="15"),TK!$E$7=TH!F4643),"x","")</f>
        <v/>
      </c>
      <c r="AD4643" s="79" t="str">
        <f>IF(AND(N4643="1521",MONTH(C4643)='BK-NL'!$M$11),"x","")</f>
        <v/>
      </c>
    </row>
    <row r="4644" spans="1:30" ht="16.5" customHeight="1">
      <c r="A4644" s="318" t="str">
        <f>IF(B4644&lt;&gt;"",IF(AND(B4644='[3]IN-TC'!$S$4,OR([3]TH!N3875="1111",[3]TH!O3875="1111")),[3]TH!D3875,""),"")</f>
        <v/>
      </c>
      <c r="B4644" s="60" t="str">
        <f t="shared" si="476"/>
        <v/>
      </c>
      <c r="C4644" s="61"/>
      <c r="D4644" s="61"/>
      <c r="E4644" s="61"/>
      <c r="F4644" s="947"/>
      <c r="G4644" s="64"/>
      <c r="H4644" s="69"/>
      <c r="I4644" s="385"/>
      <c r="J4644" s="392"/>
      <c r="K4644" s="392"/>
      <c r="L4644" s="392"/>
      <c r="M4644" s="392"/>
      <c r="N4644" s="63"/>
      <c r="O4644" s="63"/>
      <c r="P4644" s="79" t="str">
        <f>IF(AND('331-CT'!$E$7=TH!H4644,OR(N4644="331",O4644="331")),"x","")</f>
        <v/>
      </c>
      <c r="Q4644" s="79" t="str">
        <f>IF(AND(B4644='111'!$L$11,OR($N4644=$Q$7,$O4644=$Q$7)),"x","")</f>
        <v/>
      </c>
      <c r="R4644" s="79" t="str">
        <f>IF(AND($N4644=$Q$7,$B4644&lt;'111'!$L$11),"x","")</f>
        <v/>
      </c>
      <c r="S4644" s="79" t="str">
        <f>IF(AND($O4644=$Q$7,$B4644&lt;'111'!$L$11),"x","")</f>
        <v/>
      </c>
      <c r="T4644" s="79" t="str">
        <f>IF(ISERROR(FIND('112'!$M$9,G4644,1)),"",IF((AND(FIND('112'!$M$9,G4644,1)&gt;=1,B4644='112'!$K$9,OR($N4644='112'!$I$6,$O4644='112'!$I$6))),"x",""))</f>
        <v/>
      </c>
      <c r="U4644" s="79" t="str">
        <f>IF(ISERROR(FIND('112'!$M$9,G4644,1)),"",IF((AND(LEFT(G4644,2)=LEFT('112'!$M$9,2),B4644&lt;'112'!$K$9,$N4644='112'!$I$6)),"x",""))</f>
        <v/>
      </c>
      <c r="V4644" s="79" t="str">
        <f>IF(ISERROR(FIND('112'!$M$9,G4644,1)),"",IF((AND(RIGHT(G4644,2)=RIGHT('112'!$M$9,2),B4644&lt;'112'!$K$9,$O4644='112'!$I$6)),"x",""))</f>
        <v/>
      </c>
      <c r="W4644" s="79" t="str">
        <f>IF(AND('341-CT'!$H$9=H4644,OR(LEFT(N4644,3)=$W$7,LEFT(O4644,3)=$W$7)),"x","")</f>
        <v/>
      </c>
      <c r="X4644" s="79" t="str">
        <f>IF(OR(TH!N4644=TH!$X$7,O4644=TH!$X$7),"x","")</f>
        <v/>
      </c>
      <c r="Y4644" s="79" t="str">
        <f>IF(AND(OR(N4644="131",O4644="131"),H4644='131-CT'!$H$9),"x","")</f>
        <v/>
      </c>
      <c r="Z4644" s="79"/>
      <c r="AA4644" s="79" t="str">
        <f>IF(AND(MONTH(E4644)='IN-NX'!$J$5,'IN-NX'!$D$7=D4644),"x","")</f>
        <v/>
      </c>
      <c r="AB4644" s="79" t="str">
        <f>IF(AND(OR(LEFT(TH!N4644,2)="15",LEFT(TH!O4644,2)="15"),LEFT(TH!O4644,3)&lt;&gt;"111",'152-CT'!$J$8=TH!F4644),"x","")</f>
        <v/>
      </c>
      <c r="AC4644" s="79" t="str">
        <f>IF(AND(OR(LEFT(TH!N4644,2)="15",LEFT(TH!O4644,2)="15"),TK!$E$7=TH!F4644),"x","")</f>
        <v/>
      </c>
      <c r="AD4644" s="79" t="str">
        <f>IF(AND(N4644="1521",MONTH(C4644)='BK-NL'!$M$11),"x","")</f>
        <v/>
      </c>
    </row>
    <row r="4645" spans="1:30" ht="16.5" customHeight="1">
      <c r="A4645" s="318" t="str">
        <f>IF(B4645&lt;&gt;"",IF(AND(B4645='[3]IN-TC'!$S$4,OR([3]TH!N3876="1111",[3]TH!O3876="1111")),[3]TH!D3876,""),"")</f>
        <v/>
      </c>
      <c r="B4645" s="60" t="str">
        <f t="shared" si="476"/>
        <v/>
      </c>
      <c r="C4645" s="61"/>
      <c r="D4645" s="61"/>
      <c r="E4645" s="61"/>
      <c r="F4645" s="69"/>
      <c r="G4645" s="64"/>
      <c r="H4645" s="69"/>
      <c r="I4645" s="385"/>
      <c r="J4645" s="392"/>
      <c r="K4645" s="392"/>
      <c r="L4645" s="392"/>
      <c r="M4645" s="392"/>
      <c r="N4645" s="63"/>
      <c r="O4645" s="63"/>
      <c r="P4645" s="79" t="str">
        <f>IF(AND('331-CT'!$E$7=TH!H4645,OR(N4645="331",O4645="331")),"x","")</f>
        <v/>
      </c>
      <c r="Q4645" s="79" t="str">
        <f>IF(AND(B4645='111'!$L$11,OR($N4645=$Q$7,$O4645=$Q$7)),"x","")</f>
        <v/>
      </c>
      <c r="R4645" s="79" t="str">
        <f>IF(AND($N4645=$Q$7,$B4645&lt;'111'!$L$11),"x","")</f>
        <v/>
      </c>
      <c r="S4645" s="79" t="str">
        <f>IF(AND($O4645=$Q$7,$B4645&lt;'111'!$L$11),"x","")</f>
        <v/>
      </c>
      <c r="T4645" s="79" t="str">
        <f>IF(ISERROR(FIND('112'!$M$9,G4645,1)),"",IF((AND(FIND('112'!$M$9,G4645,1)&gt;=1,B4645='112'!$K$9,OR($N4645='112'!$I$6,$O4645='112'!$I$6))),"x",""))</f>
        <v/>
      </c>
      <c r="U4645" s="79" t="str">
        <f>IF(ISERROR(FIND('112'!$M$9,G4645,1)),"",IF((AND(LEFT(G4645,2)=LEFT('112'!$M$9,2),B4645&lt;'112'!$K$9,$N4645='112'!$I$6)),"x",""))</f>
        <v/>
      </c>
      <c r="V4645" s="79" t="str">
        <f>IF(ISERROR(FIND('112'!$M$9,G4645,1)),"",IF((AND(RIGHT(G4645,2)=RIGHT('112'!$M$9,2),B4645&lt;'112'!$K$9,$O4645='112'!$I$6)),"x",""))</f>
        <v/>
      </c>
      <c r="W4645" s="79" t="str">
        <f>IF(AND('341-CT'!$H$9=H4645,OR(LEFT(N4645,3)=$W$7,LEFT(O4645,3)=$W$7)),"x","")</f>
        <v/>
      </c>
      <c r="X4645" s="79" t="str">
        <f>IF(OR(TH!N4645=TH!$X$7,O4645=TH!$X$7),"x","")</f>
        <v/>
      </c>
      <c r="Y4645" s="79" t="str">
        <f>IF(AND(OR(N4645="131",O4645="131"),H4645='131-CT'!$H$9),"x","")</f>
        <v/>
      </c>
      <c r="Z4645" s="79"/>
      <c r="AA4645" s="79" t="str">
        <f>IF(AND(MONTH(E4645)='IN-NX'!$J$5,'IN-NX'!$D$7=D4645),"x","")</f>
        <v/>
      </c>
      <c r="AB4645" s="79" t="str">
        <f>IF(AND(OR(LEFT(TH!N4645,2)="15",LEFT(TH!O4645,2)="15"),LEFT(TH!O4645,3)&lt;&gt;"111",'152-CT'!$J$8=TH!F4645),"x","")</f>
        <v/>
      </c>
      <c r="AC4645" s="79" t="str">
        <f>IF(AND(OR(LEFT(TH!N4645,2)="15",LEFT(TH!O4645,2)="15"),TK!$E$7=TH!F4645),"x","")</f>
        <v/>
      </c>
      <c r="AD4645" s="79" t="str">
        <f>IF(AND(N4645="1521",MONTH(C4645)='BK-NL'!$M$11),"x","")</f>
        <v/>
      </c>
    </row>
    <row r="4646" spans="1:30" ht="16.5" customHeight="1">
      <c r="A4646" s="318" t="str">
        <f>IF(B4646&lt;&gt;"",IF(AND(B4646='[3]IN-TC'!$S$4,OR([3]TH!N3877="1111",[3]TH!O3877="1111")),[3]TH!D3877,""),"")</f>
        <v/>
      </c>
      <c r="B4646" s="60" t="str">
        <f t="shared" si="476"/>
        <v/>
      </c>
      <c r="C4646" s="61"/>
      <c r="D4646" s="61"/>
      <c r="E4646" s="61"/>
      <c r="F4646" s="69"/>
      <c r="G4646" s="64"/>
      <c r="H4646" s="303"/>
      <c r="I4646" s="385"/>
      <c r="J4646" s="392"/>
      <c r="K4646" s="385"/>
      <c r="L4646" s="392"/>
      <c r="M4646" s="62"/>
      <c r="N4646" s="63"/>
      <c r="O4646" s="63"/>
      <c r="P4646" s="79" t="str">
        <f>IF(AND('331-CT'!$E$7=TH!H4646,OR(N4646="331",O4646="331")),"x","")</f>
        <v/>
      </c>
      <c r="Q4646" s="79" t="str">
        <f>IF(AND(B4646='111'!$L$11,OR($N4646=$Q$7,$O4646=$Q$7)),"x","")</f>
        <v/>
      </c>
      <c r="R4646" s="79" t="str">
        <f>IF(AND($N4646=$Q$7,$B4646&lt;'111'!$L$11),"x","")</f>
        <v/>
      </c>
      <c r="S4646" s="79" t="str">
        <f>IF(AND($O4646=$Q$7,$B4646&lt;'111'!$L$11),"x","")</f>
        <v/>
      </c>
      <c r="T4646" s="79" t="str">
        <f>IF(ISERROR(FIND('112'!$M$9,G4646,1)),"",IF((AND(FIND('112'!$M$9,G4646,1)&gt;=1,B4646='112'!$K$9,OR($N4646='112'!$I$6,$O4646='112'!$I$6))),"x",""))</f>
        <v/>
      </c>
      <c r="U4646" s="79" t="str">
        <f>IF(ISERROR(FIND('112'!$M$9,G4646,1)),"",IF((AND(LEFT(G4646,2)=LEFT('112'!$M$9,2),B4646&lt;'112'!$K$9,$N4646='112'!$I$6)),"x",""))</f>
        <v/>
      </c>
      <c r="V4646" s="79" t="str">
        <f>IF(ISERROR(FIND('112'!$M$9,G4646,1)),"",IF((AND(RIGHT(G4646,2)=RIGHT('112'!$M$9,2),B4646&lt;'112'!$K$9,$O4646='112'!$I$6)),"x",""))</f>
        <v/>
      </c>
      <c r="W4646" s="79" t="str">
        <f>IF(AND('341-CT'!$H$9=H4646,OR(LEFT(N4646,3)=$W$7,LEFT(O4646,3)=$W$7)),"x","")</f>
        <v/>
      </c>
      <c r="X4646" s="79" t="str">
        <f>IF(OR(TH!N4646=TH!$X$7,O4646=TH!$X$7),"x","")</f>
        <v/>
      </c>
      <c r="Y4646" s="79" t="str">
        <f>IF(AND(OR(N4646="131",O4646="131"),H4646='131-CT'!$H$9),"x","")</f>
        <v/>
      </c>
      <c r="Z4646" s="79"/>
      <c r="AA4646" s="79" t="str">
        <f>IF(AND(MONTH(E4646)='IN-NX'!$J$5,'IN-NX'!$D$7=D4646),"x","")</f>
        <v/>
      </c>
      <c r="AB4646" s="79" t="str">
        <f>IF(AND(OR(LEFT(TH!N4646,2)="15",LEFT(TH!O4646,2)="15"),LEFT(TH!O4646,3)&lt;&gt;"111",'152-CT'!$J$8=TH!F4646),"x","")</f>
        <v/>
      </c>
      <c r="AC4646" s="79" t="str">
        <f>IF(AND(OR(LEFT(TH!N4646,2)="15",LEFT(TH!O4646,2)="15"),TK!$E$7=TH!F4646),"x","")</f>
        <v/>
      </c>
      <c r="AD4646" s="79" t="str">
        <f>IF(AND(N4646="1521",MONTH(C4646)='BK-NL'!$M$11),"x","")</f>
        <v/>
      </c>
    </row>
    <row r="4647" spans="1:30" ht="16.5" customHeight="1">
      <c r="A4647" s="318" t="str">
        <f>IF(B4647&lt;&gt;"",IF(AND(B4647='[3]IN-TC'!$S$4,OR([3]TH!N3878="1111",[3]TH!O3878="1111")),[3]TH!D3878,""),"")</f>
        <v/>
      </c>
      <c r="B4647" s="60" t="str">
        <f t="shared" si="476"/>
        <v/>
      </c>
      <c r="C4647" s="61"/>
      <c r="D4647" s="61"/>
      <c r="E4647" s="61"/>
      <c r="F4647" s="69"/>
      <c r="G4647" s="64"/>
      <c r="H4647" s="69"/>
      <c r="I4647" s="387"/>
      <c r="J4647" s="394"/>
      <c r="K4647" s="387"/>
      <c r="L4647" s="394"/>
      <c r="M4647" s="62"/>
      <c r="N4647" s="63"/>
      <c r="O4647" s="63"/>
      <c r="P4647" s="79" t="str">
        <f>IF(AND('331-CT'!$E$7=TH!H4647,OR(N4647="331",O4647="331")),"x","")</f>
        <v/>
      </c>
      <c r="Q4647" s="79" t="str">
        <f>IF(AND(B4647='111'!$L$11,OR($N4647=$Q$7,$O4647=$Q$7)),"x","")</f>
        <v/>
      </c>
      <c r="R4647" s="79" t="str">
        <f>IF(AND($N4647=$Q$7,$B4647&lt;'111'!$L$11),"x","")</f>
        <v/>
      </c>
      <c r="S4647" s="79" t="str">
        <f>IF(AND($O4647=$Q$7,$B4647&lt;'111'!$L$11),"x","")</f>
        <v/>
      </c>
      <c r="T4647" s="79" t="str">
        <f>IF(ISERROR(FIND('112'!$M$9,G4647,1)),"",IF((AND(FIND('112'!$M$9,G4647,1)&gt;=1,B4647='112'!$K$9,OR($N4647='112'!$I$6,$O4647='112'!$I$6))),"x",""))</f>
        <v/>
      </c>
      <c r="U4647" s="79" t="str">
        <f>IF(ISERROR(FIND('112'!$M$9,G4647,1)),"",IF((AND(LEFT(G4647,2)=LEFT('112'!$M$9,2),B4647&lt;'112'!$K$9,$N4647='112'!$I$6)),"x",""))</f>
        <v/>
      </c>
      <c r="V4647" s="79" t="str">
        <f>IF(ISERROR(FIND('112'!$M$9,G4647,1)),"",IF((AND(RIGHT(G4647,2)=RIGHT('112'!$M$9,2),B4647&lt;'112'!$K$9,$O4647='112'!$I$6)),"x",""))</f>
        <v/>
      </c>
      <c r="W4647" s="79" t="str">
        <f>IF(AND('341-CT'!$H$9=H4647,OR(LEFT(N4647,3)=$W$7,LEFT(O4647,3)=$W$7)),"x","")</f>
        <v/>
      </c>
      <c r="X4647" s="79" t="str">
        <f>IF(OR(TH!N4647=TH!$X$7,O4647=TH!$X$7),"x","")</f>
        <v/>
      </c>
      <c r="Y4647" s="79" t="str">
        <f>IF(AND(OR(N4647="131",O4647="131"),H4647='131-CT'!$H$9),"x","")</f>
        <v/>
      </c>
      <c r="Z4647" s="79"/>
      <c r="AA4647" s="79" t="str">
        <f>IF(AND(MONTH(E4647)='IN-NX'!$J$5,'IN-NX'!$D$7=D4647),"x","")</f>
        <v/>
      </c>
      <c r="AB4647" s="79" t="str">
        <f>IF(AND(OR(LEFT(TH!N4647,2)="15",LEFT(TH!O4647,2)="15"),LEFT(TH!O4647,3)&lt;&gt;"111",'152-CT'!$J$8=TH!F4647),"x","")</f>
        <v/>
      </c>
      <c r="AC4647" s="79" t="str">
        <f>IF(AND(OR(LEFT(TH!N4647,2)="15",LEFT(TH!O4647,2)="15"),TK!$E$7=TH!F4647),"x","")</f>
        <v/>
      </c>
      <c r="AD4647" s="79" t="str">
        <f>IF(AND(N4647="1521",MONTH(C4647)='BK-NL'!$M$11),"x","")</f>
        <v/>
      </c>
    </row>
    <row r="4648" spans="1:30" ht="16.5" customHeight="1">
      <c r="A4648" s="318" t="str">
        <f>IF(B4648&lt;&gt;"",IF(AND(B4648='[3]IN-TC'!$S$4,OR([3]TH!N3879="1111",[3]TH!O3879="1111")),[3]TH!D3879,""),"")</f>
        <v/>
      </c>
      <c r="B4648" s="60" t="str">
        <f t="shared" si="476"/>
        <v/>
      </c>
      <c r="C4648" s="61"/>
      <c r="D4648" s="61"/>
      <c r="E4648" s="61"/>
      <c r="F4648" s="69"/>
      <c r="G4648" s="64"/>
      <c r="H4648" s="69"/>
      <c r="I4648" s="387"/>
      <c r="J4648" s="394"/>
      <c r="K4648" s="387"/>
      <c r="L4648" s="394"/>
      <c r="M4648" s="62"/>
      <c r="N4648" s="63"/>
      <c r="O4648" s="63"/>
      <c r="P4648" s="79" t="str">
        <f>IF(AND('331-CT'!$E$7=TH!H4648,OR(N4648="331",O4648="331")),"x","")</f>
        <v/>
      </c>
      <c r="Q4648" s="79" t="str">
        <f>IF(AND(B4648='111'!$L$11,OR($N4648=$Q$7,$O4648=$Q$7)),"x","")</f>
        <v/>
      </c>
      <c r="R4648" s="79" t="str">
        <f>IF(AND($N4648=$Q$7,$B4648&lt;'111'!$L$11),"x","")</f>
        <v/>
      </c>
      <c r="S4648" s="79" t="str">
        <f>IF(AND($O4648=$Q$7,$B4648&lt;'111'!$L$11),"x","")</f>
        <v/>
      </c>
      <c r="T4648" s="79" t="str">
        <f>IF(ISERROR(FIND('112'!$M$9,G4648,1)),"",IF((AND(FIND('112'!$M$9,G4648,1)&gt;=1,B4648='112'!$K$9,OR($N4648='112'!$I$6,$O4648='112'!$I$6))),"x",""))</f>
        <v/>
      </c>
      <c r="U4648" s="79" t="str">
        <f>IF(ISERROR(FIND('112'!$M$9,G4648,1)),"",IF((AND(LEFT(G4648,2)=LEFT('112'!$M$9,2),B4648&lt;'112'!$K$9,$N4648='112'!$I$6)),"x",""))</f>
        <v/>
      </c>
      <c r="V4648" s="79" t="str">
        <f>IF(ISERROR(FIND('112'!$M$9,G4648,1)),"",IF((AND(RIGHT(G4648,2)=RIGHT('112'!$M$9,2),B4648&lt;'112'!$K$9,$O4648='112'!$I$6)),"x",""))</f>
        <v/>
      </c>
      <c r="W4648" s="79" t="str">
        <f>IF(AND('341-CT'!$H$9=H4648,OR(LEFT(N4648,3)=$W$7,LEFT(O4648,3)=$W$7)),"x","")</f>
        <v/>
      </c>
      <c r="X4648" s="79" t="str">
        <f>IF(OR(TH!N4648=TH!$X$7,O4648=TH!$X$7),"x","")</f>
        <v/>
      </c>
      <c r="Y4648" s="79" t="str">
        <f>IF(AND(OR(N4648="131",O4648="131"),H4648='131-CT'!$H$9),"x","")</f>
        <v/>
      </c>
      <c r="Z4648" s="79"/>
      <c r="AA4648" s="79" t="str">
        <f>IF(AND(MONTH(E4648)='IN-NX'!$J$5,'IN-NX'!$D$7=D4648),"x","")</f>
        <v/>
      </c>
      <c r="AB4648" s="79" t="str">
        <f>IF(AND(OR(LEFT(TH!N4648,2)="15",LEFT(TH!O4648,2)="15"),LEFT(TH!O4648,3)&lt;&gt;"111",'152-CT'!$J$8=TH!F4648),"x","")</f>
        <v/>
      </c>
      <c r="AC4648" s="79" t="str">
        <f>IF(AND(OR(LEFT(TH!N4648,2)="15",LEFT(TH!O4648,2)="15"),TK!$E$7=TH!F4648),"x","")</f>
        <v/>
      </c>
      <c r="AD4648" s="79" t="str">
        <f>IF(AND(N4648="1521",MONTH(C4648)='BK-NL'!$M$11),"x","")</f>
        <v/>
      </c>
    </row>
    <row r="4649" spans="1:30" ht="16.5" customHeight="1">
      <c r="A4649" s="318" t="str">
        <f>IF(B4649&lt;&gt;"",IF(AND(B4649='[3]IN-TC'!$S$4,OR([3]TH!N3880="1111",[3]TH!O3880="1111")),[3]TH!D3880,""),"")</f>
        <v/>
      </c>
      <c r="B4649" s="60" t="str">
        <f t="shared" si="476"/>
        <v/>
      </c>
      <c r="C4649" s="301"/>
      <c r="D4649" s="301"/>
      <c r="E4649" s="301"/>
      <c r="F4649" s="302"/>
      <c r="G4649" s="988"/>
      <c r="H4649" s="69"/>
      <c r="I4649" s="385"/>
      <c r="J4649" s="969"/>
      <c r="K4649" s="385"/>
      <c r="L4649" s="392"/>
      <c r="M4649" s="970"/>
      <c r="N4649" s="304"/>
      <c r="O4649" s="304"/>
      <c r="P4649" s="79" t="str">
        <f>IF(AND('331-CT'!$E$7=TH!H4649,OR(N4649="331",O4649="331")),"x","")</f>
        <v/>
      </c>
      <c r="Q4649" s="79" t="str">
        <f>IF(AND(B4649='111'!$L$11,OR($N4649=$Q$7,$O4649=$Q$7)),"x","")</f>
        <v/>
      </c>
      <c r="R4649" s="79" t="str">
        <f>IF(AND($N4649=$Q$7,$B4649&lt;'111'!$L$11),"x","")</f>
        <v/>
      </c>
      <c r="S4649" s="79" t="str">
        <f>IF(AND($O4649=$Q$7,$B4649&lt;'111'!$L$11),"x","")</f>
        <v/>
      </c>
      <c r="T4649" s="79" t="str">
        <f>IF(ISERROR(FIND('112'!$M$9,G4649,1)),"",IF((AND(FIND('112'!$M$9,G4649,1)&gt;=1,B4649='112'!$K$9,OR($N4649='112'!$I$6,$O4649='112'!$I$6))),"x",""))</f>
        <v/>
      </c>
      <c r="U4649" s="79" t="str">
        <f>IF(ISERROR(FIND('112'!$M$9,G4649,1)),"",IF((AND(LEFT(G4649,2)=LEFT('112'!$M$9,2),B4649&lt;'112'!$K$9,$N4649='112'!$I$6)),"x",""))</f>
        <v/>
      </c>
      <c r="V4649" s="79" t="str">
        <f>IF(ISERROR(FIND('112'!$M$9,G4649,1)),"",IF((AND(RIGHT(G4649,2)=RIGHT('112'!$M$9,2),B4649&lt;'112'!$K$9,$O4649='112'!$I$6)),"x",""))</f>
        <v/>
      </c>
      <c r="W4649" s="79" t="str">
        <f>IF(AND('341-CT'!$H$9=H4649,OR(LEFT(N4649,3)=$W$7,LEFT(O4649,3)=$W$7)),"x","")</f>
        <v/>
      </c>
      <c r="X4649" s="79" t="str">
        <f>IF(OR(TH!N4649=TH!$X$7,O4649=TH!$X$7),"x","")</f>
        <v/>
      </c>
      <c r="Y4649" s="79" t="str">
        <f>IF(AND(OR(N4649="131",O4649="131"),H4649='131-CT'!$H$9),"x","")</f>
        <v/>
      </c>
      <c r="Z4649" s="79"/>
      <c r="AA4649" s="79" t="str">
        <f>IF(AND(MONTH(E4649)='IN-NX'!$J$5,'IN-NX'!$D$7=D4649),"x","")</f>
        <v/>
      </c>
      <c r="AB4649" s="79" t="str">
        <f>IF(AND(OR(LEFT(TH!N4649,2)="15",LEFT(TH!O4649,2)="15"),LEFT(TH!O4649,3)&lt;&gt;"111",'152-CT'!$J$8=TH!F4649),"x","")</f>
        <v/>
      </c>
      <c r="AC4649" s="79" t="str">
        <f>IF(AND(OR(LEFT(TH!N4649,2)="15",LEFT(TH!O4649,2)="15"),TK!$E$7=TH!F4649),"x","")</f>
        <v/>
      </c>
      <c r="AD4649" s="79" t="str">
        <f>IF(AND(N4649="1521",MONTH(C4649)='BK-NL'!$M$11),"x","")</f>
        <v/>
      </c>
    </row>
    <row r="4650" spans="1:30" ht="16.5" customHeight="1">
      <c r="A4650" s="318" t="str">
        <f>IF(B4650&lt;&gt;"",IF(AND(B4650='[3]IN-TC'!$S$4,OR([3]TH!N3881="1111",[3]TH!O3881="1111")),[3]TH!D3881,""),"")</f>
        <v/>
      </c>
      <c r="B4650" s="60" t="str">
        <f t="shared" si="476"/>
        <v/>
      </c>
      <c r="C4650" s="61"/>
      <c r="D4650" s="61"/>
      <c r="E4650" s="61"/>
      <c r="F4650" s="69"/>
      <c r="G4650" s="64"/>
      <c r="H4650" s="321"/>
      <c r="I4650" s="385"/>
      <c r="J4650" s="392"/>
      <c r="K4650" s="385"/>
      <c r="L4650" s="392"/>
      <c r="M4650" s="62"/>
      <c r="N4650" s="63"/>
      <c r="O4650" s="63"/>
      <c r="P4650" s="79" t="str">
        <f>IF(AND('331-CT'!$E$7=TH!H4650,OR(N4650="331",O4650="331")),"x","")</f>
        <v/>
      </c>
      <c r="Q4650" s="79" t="str">
        <f>IF(AND(B4650='111'!$L$11,OR($N4650=$Q$7,$O4650=$Q$7)),"x","")</f>
        <v/>
      </c>
      <c r="R4650" s="79" t="str">
        <f>IF(AND($N4650=$Q$7,$B4650&lt;'111'!$L$11),"x","")</f>
        <v/>
      </c>
      <c r="S4650" s="79" t="str">
        <f>IF(AND($O4650=$Q$7,$B4650&lt;'111'!$L$11),"x","")</f>
        <v/>
      </c>
      <c r="T4650" s="79" t="str">
        <f>IF(ISERROR(FIND('112'!$M$9,G4650,1)),"",IF((AND(FIND('112'!$M$9,G4650,1)&gt;=1,B4650='112'!$K$9,OR($N4650='112'!$I$6,$O4650='112'!$I$6))),"x",""))</f>
        <v/>
      </c>
      <c r="U4650" s="79" t="str">
        <f>IF(ISERROR(FIND('112'!$M$9,G4650,1)),"",IF((AND(LEFT(G4650,2)=LEFT('112'!$M$9,2),B4650&lt;'112'!$K$9,$N4650='112'!$I$6)),"x",""))</f>
        <v/>
      </c>
      <c r="V4650" s="79" t="str">
        <f>IF(ISERROR(FIND('112'!$M$9,G4650,1)),"",IF((AND(RIGHT(G4650,2)=RIGHT('112'!$M$9,2),B4650&lt;'112'!$K$9,$O4650='112'!$I$6)),"x",""))</f>
        <v/>
      </c>
      <c r="W4650" s="79" t="str">
        <f>IF(AND('341-CT'!$H$9=H4650,OR(LEFT(N4650,3)=$W$7,LEFT(O4650,3)=$W$7)),"x","")</f>
        <v/>
      </c>
      <c r="X4650" s="79" t="str">
        <f>IF(OR(TH!N4650=TH!$X$7,O4650=TH!$X$7),"x","")</f>
        <v/>
      </c>
      <c r="Y4650" s="79" t="str">
        <f>IF(AND(OR(N4650="131",O4650="131"),H4650='131-CT'!$H$9),"x","")</f>
        <v/>
      </c>
      <c r="Z4650" s="79"/>
      <c r="AA4650" s="79" t="str">
        <f>IF(AND(MONTH(E4650)='IN-NX'!$J$5,'IN-NX'!$D$7=D4650),"x","")</f>
        <v/>
      </c>
      <c r="AB4650" s="79" t="str">
        <f>IF(AND(OR(LEFT(TH!N4650,2)="15",LEFT(TH!O4650,2)="15"),LEFT(TH!O4650,3)&lt;&gt;"111",'152-CT'!$J$8=TH!F4650),"x","")</f>
        <v/>
      </c>
      <c r="AC4650" s="79" t="str">
        <f>IF(AND(OR(LEFT(TH!N4650,2)="15",LEFT(TH!O4650,2)="15"),TK!$E$7=TH!F4650),"x","")</f>
        <v/>
      </c>
      <c r="AD4650" s="79" t="str">
        <f>IF(AND(N4650="1521",MONTH(C4650)='BK-NL'!$M$11),"x","")</f>
        <v/>
      </c>
    </row>
    <row r="4651" spans="1:30" ht="16.5" customHeight="1">
      <c r="A4651" s="318" t="str">
        <f>IF(B4651&lt;&gt;"",IF(AND(B4651='[3]IN-TC'!$S$4,OR([3]TH!N3882="1111",[3]TH!O3882="1111")),[3]TH!D3882,""),"")</f>
        <v/>
      </c>
      <c r="B4651" s="60" t="str">
        <f t="shared" si="476"/>
        <v/>
      </c>
      <c r="C4651" s="61"/>
      <c r="D4651" s="61"/>
      <c r="E4651" s="61"/>
      <c r="F4651" s="69"/>
      <c r="G4651" s="64"/>
      <c r="H4651" s="69"/>
      <c r="I4651" s="387"/>
      <c r="J4651" s="394"/>
      <c r="K4651" s="387"/>
      <c r="L4651" s="394"/>
      <c r="M4651" s="62"/>
      <c r="N4651" s="63"/>
      <c r="O4651" s="63"/>
      <c r="P4651" s="79" t="str">
        <f>IF(AND('331-CT'!$E$7=TH!H4651,OR(N4651="331",O4651="331")),"x","")</f>
        <v/>
      </c>
      <c r="Q4651" s="79" t="str">
        <f>IF(AND(B4651='111'!$L$11,OR($N4651=$Q$7,$O4651=$Q$7)),"x","")</f>
        <v/>
      </c>
      <c r="R4651" s="79" t="str">
        <f>IF(AND($N4651=$Q$7,$B4651&lt;'111'!$L$11),"x","")</f>
        <v/>
      </c>
      <c r="S4651" s="79" t="str">
        <f>IF(AND($O4651=$Q$7,$B4651&lt;'111'!$L$11),"x","")</f>
        <v/>
      </c>
      <c r="T4651" s="79" t="str">
        <f>IF(ISERROR(FIND('112'!$M$9,G4651,1)),"",IF((AND(FIND('112'!$M$9,G4651,1)&gt;=1,B4651='112'!$K$9,OR($N4651='112'!$I$6,$O4651='112'!$I$6))),"x",""))</f>
        <v/>
      </c>
      <c r="U4651" s="79" t="str">
        <f>IF(ISERROR(FIND('112'!$M$9,G4651,1)),"",IF((AND(LEFT(G4651,2)=LEFT('112'!$M$9,2),B4651&lt;'112'!$K$9,$N4651='112'!$I$6)),"x",""))</f>
        <v/>
      </c>
      <c r="V4651" s="79" t="str">
        <f>IF(ISERROR(FIND('112'!$M$9,G4651,1)),"",IF((AND(RIGHT(G4651,2)=RIGHT('112'!$M$9,2),B4651&lt;'112'!$K$9,$O4651='112'!$I$6)),"x",""))</f>
        <v/>
      </c>
      <c r="W4651" s="79" t="str">
        <f>IF(AND('341-CT'!$H$9=H4651,OR(LEFT(N4651,3)=$W$7,LEFT(O4651,3)=$W$7)),"x","")</f>
        <v/>
      </c>
      <c r="X4651" s="79" t="str">
        <f>IF(OR(TH!N4651=TH!$X$7,O4651=TH!$X$7),"x","")</f>
        <v/>
      </c>
      <c r="Y4651" s="79" t="str">
        <f>IF(AND(OR(N4651="131",O4651="131"),H4651='131-CT'!$H$9),"x","")</f>
        <v/>
      </c>
      <c r="Z4651" s="79"/>
      <c r="AA4651" s="79" t="str">
        <f>IF(AND(MONTH(E4651)='IN-NX'!$J$5,'IN-NX'!$D$7=D4651),"x","")</f>
        <v/>
      </c>
      <c r="AB4651" s="79" t="str">
        <f>IF(AND(OR(LEFT(TH!N4651,2)="15",LEFT(TH!O4651,2)="15"),LEFT(TH!O4651,3)&lt;&gt;"111",'152-CT'!$J$8=TH!F4651),"x","")</f>
        <v/>
      </c>
      <c r="AC4651" s="79" t="str">
        <f>IF(AND(OR(LEFT(TH!N4651,2)="15",LEFT(TH!O4651,2)="15"),TK!$E$7=TH!F4651),"x","")</f>
        <v/>
      </c>
      <c r="AD4651" s="79" t="str">
        <f>IF(AND(N4651="1521",MONTH(C4651)='BK-NL'!$M$11),"x","")</f>
        <v/>
      </c>
    </row>
    <row r="4652" spans="1:30" ht="16.5" customHeight="1">
      <c r="A4652" s="318" t="str">
        <f>IF(B4652&lt;&gt;"",IF(AND(B4652='[3]IN-TC'!$S$4,OR([3]TH!N3883="1111",[3]TH!O3883="1111")),[3]TH!D3883,""),"")</f>
        <v/>
      </c>
      <c r="B4652" s="60" t="str">
        <f t="shared" si="476"/>
        <v/>
      </c>
      <c r="C4652" s="61"/>
      <c r="D4652" s="61"/>
      <c r="E4652" s="61"/>
      <c r="F4652" s="69"/>
      <c r="G4652" s="64"/>
      <c r="H4652" s="69"/>
      <c r="I4652" s="387"/>
      <c r="J4652" s="394"/>
      <c r="K4652" s="387"/>
      <c r="L4652" s="394"/>
      <c r="M4652" s="62"/>
      <c r="N4652" s="63"/>
      <c r="O4652" s="63"/>
      <c r="P4652" s="79" t="str">
        <f>IF(AND('331-CT'!$E$7=TH!H4652,OR(N4652="331",O4652="331")),"x","")</f>
        <v/>
      </c>
      <c r="Q4652" s="79" t="str">
        <f>IF(AND(B4652='111'!$L$11,OR($N4652=$Q$7,$O4652=$Q$7)),"x","")</f>
        <v/>
      </c>
      <c r="R4652" s="79" t="str">
        <f>IF(AND($N4652=$Q$7,$B4652&lt;'111'!$L$11),"x","")</f>
        <v/>
      </c>
      <c r="S4652" s="79" t="str">
        <f>IF(AND($O4652=$Q$7,$B4652&lt;'111'!$L$11),"x","")</f>
        <v/>
      </c>
      <c r="T4652" s="79" t="str">
        <f>IF(ISERROR(FIND('112'!$M$9,G4652,1)),"",IF((AND(FIND('112'!$M$9,G4652,1)&gt;=1,B4652='112'!$K$9,OR($N4652='112'!$I$6,$O4652='112'!$I$6))),"x",""))</f>
        <v/>
      </c>
      <c r="U4652" s="79" t="str">
        <f>IF(ISERROR(FIND('112'!$M$9,G4652,1)),"",IF((AND(LEFT(G4652,2)=LEFT('112'!$M$9,2),B4652&lt;'112'!$K$9,$N4652='112'!$I$6)),"x",""))</f>
        <v/>
      </c>
      <c r="V4652" s="79" t="str">
        <f>IF(ISERROR(FIND('112'!$M$9,G4652,1)),"",IF((AND(RIGHT(G4652,2)=RIGHT('112'!$M$9,2),B4652&lt;'112'!$K$9,$O4652='112'!$I$6)),"x",""))</f>
        <v/>
      </c>
      <c r="W4652" s="79" t="str">
        <f>IF(AND('341-CT'!$H$9=H4652,OR(LEFT(N4652,3)=$W$7,LEFT(O4652,3)=$W$7)),"x","")</f>
        <v/>
      </c>
      <c r="X4652" s="79" t="str">
        <f>IF(OR(TH!N4652=TH!$X$7,O4652=TH!$X$7),"x","")</f>
        <v/>
      </c>
      <c r="Y4652" s="79" t="str">
        <f>IF(AND(OR(N4652="131",O4652="131"),H4652='131-CT'!$H$9),"x","")</f>
        <v/>
      </c>
      <c r="Z4652" s="79"/>
      <c r="AA4652" s="79" t="str">
        <f>IF(AND(MONTH(E4652)='IN-NX'!$J$5,'IN-NX'!$D$7=D4652),"x","")</f>
        <v/>
      </c>
      <c r="AB4652" s="79" t="str">
        <f>IF(AND(OR(LEFT(TH!N4652,2)="15",LEFT(TH!O4652,2)="15"),LEFT(TH!O4652,3)&lt;&gt;"111",'152-CT'!$J$8=TH!F4652),"x","")</f>
        <v/>
      </c>
      <c r="AC4652" s="79" t="str">
        <f>IF(AND(OR(LEFT(TH!N4652,2)="15",LEFT(TH!O4652,2)="15"),TK!$E$7=TH!F4652),"x","")</f>
        <v/>
      </c>
      <c r="AD4652" s="79" t="str">
        <f>IF(AND(N4652="1521",MONTH(C4652)='BK-NL'!$M$11),"x","")</f>
        <v/>
      </c>
    </row>
    <row r="4653" spans="1:30" ht="16.5" customHeight="1">
      <c r="A4653" s="318" t="str">
        <f>IF(B4653&lt;&gt;"",IF(AND(B4653='[3]IN-TC'!$S$4,OR([3]TH!N3884="1111",[3]TH!O3884="1111")),[3]TH!D3884,""),"")</f>
        <v/>
      </c>
      <c r="B4653" s="60" t="str">
        <f t="shared" si="476"/>
        <v/>
      </c>
      <c r="C4653" s="61"/>
      <c r="D4653" s="61"/>
      <c r="E4653" s="61"/>
      <c r="F4653" s="69"/>
      <c r="G4653" s="64"/>
      <c r="H4653" s="303"/>
      <c r="I4653" s="385"/>
      <c r="J4653" s="392"/>
      <c r="K4653" s="385"/>
      <c r="L4653" s="392"/>
      <c r="M4653" s="62"/>
      <c r="N4653" s="63"/>
      <c r="O4653" s="63"/>
      <c r="P4653" s="79" t="str">
        <f>IF(AND('331-CT'!$E$7=TH!H4653,OR(N4653="331",O4653="331")),"x","")</f>
        <v/>
      </c>
      <c r="Q4653" s="79" t="str">
        <f>IF(AND(B4653='111'!$L$11,OR($N4653=$Q$7,$O4653=$Q$7)),"x","")</f>
        <v/>
      </c>
      <c r="R4653" s="79" t="str">
        <f>IF(AND($N4653=$Q$7,$B4653&lt;'111'!$L$11),"x","")</f>
        <v/>
      </c>
      <c r="S4653" s="79" t="str">
        <f>IF(AND($O4653=$Q$7,$B4653&lt;'111'!$L$11),"x","")</f>
        <v/>
      </c>
      <c r="T4653" s="79" t="str">
        <f>IF(ISERROR(FIND('112'!$M$9,G4653,1)),"",IF((AND(FIND('112'!$M$9,G4653,1)&gt;=1,B4653='112'!$K$9,OR($N4653='112'!$I$6,$O4653='112'!$I$6))),"x",""))</f>
        <v/>
      </c>
      <c r="U4653" s="79" t="str">
        <f>IF(ISERROR(FIND('112'!$M$9,G4653,1)),"",IF((AND(LEFT(G4653,2)=LEFT('112'!$M$9,2),B4653&lt;'112'!$K$9,$N4653='112'!$I$6)),"x",""))</f>
        <v/>
      </c>
      <c r="V4653" s="79" t="str">
        <f>IF(ISERROR(FIND('112'!$M$9,G4653,1)),"",IF((AND(RIGHT(G4653,2)=RIGHT('112'!$M$9,2),B4653&lt;'112'!$K$9,$O4653='112'!$I$6)),"x",""))</f>
        <v/>
      </c>
      <c r="W4653" s="79" t="str">
        <f>IF(AND('341-CT'!$H$9=H4653,OR(LEFT(N4653,3)=$W$7,LEFT(O4653,3)=$W$7)),"x","")</f>
        <v/>
      </c>
      <c r="X4653" s="79" t="str">
        <f>IF(OR(TH!N4653=TH!$X$7,O4653=TH!$X$7),"x","")</f>
        <v/>
      </c>
      <c r="Y4653" s="79" t="str">
        <f>IF(AND(OR(N4653="131",O4653="131"),H4653='131-CT'!$H$9),"x","")</f>
        <v/>
      </c>
      <c r="Z4653" s="79"/>
      <c r="AA4653" s="79" t="str">
        <f>IF(AND(MONTH(E4653)='IN-NX'!$J$5,'IN-NX'!$D$7=D4653),"x","")</f>
        <v/>
      </c>
      <c r="AB4653" s="79" t="str">
        <f>IF(AND(OR(LEFT(TH!N4653,2)="15",LEFT(TH!O4653,2)="15"),LEFT(TH!O4653,3)&lt;&gt;"111",'152-CT'!$J$8=TH!F4653),"x","")</f>
        <v/>
      </c>
      <c r="AC4653" s="79" t="str">
        <f>IF(AND(OR(LEFT(TH!N4653,2)="15",LEFT(TH!O4653,2)="15"),TK!$E$7=TH!F4653),"x","")</f>
        <v/>
      </c>
      <c r="AD4653" s="79" t="str">
        <f>IF(AND(N4653="1521",MONTH(C4653)='BK-NL'!$M$11),"x","")</f>
        <v/>
      </c>
    </row>
    <row r="4654" spans="1:30" ht="16.5" customHeight="1">
      <c r="A4654" s="318" t="str">
        <f>IF(B4654&lt;&gt;"",IF(AND(B4654='[3]IN-TC'!$S$4,OR([3]TH!N3885="1111",[3]TH!O3885="1111")),[3]TH!D3885,""),"")</f>
        <v/>
      </c>
      <c r="B4654" s="60" t="str">
        <f t="shared" si="476"/>
        <v/>
      </c>
      <c r="C4654" s="61"/>
      <c r="D4654" s="61"/>
      <c r="E4654" s="61"/>
      <c r="F4654" s="69"/>
      <c r="G4654" s="64"/>
      <c r="H4654" s="69"/>
      <c r="I4654" s="387"/>
      <c r="J4654" s="394"/>
      <c r="K4654" s="387"/>
      <c r="L4654" s="394"/>
      <c r="M4654" s="62"/>
      <c r="N4654" s="63"/>
      <c r="O4654" s="63"/>
      <c r="P4654" s="79" t="str">
        <f>IF(AND('331-CT'!$E$7=TH!H4654,OR(N4654="331",O4654="331")),"x","")</f>
        <v/>
      </c>
      <c r="Q4654" s="79" t="str">
        <f>IF(AND(B4654='111'!$L$11,OR($N4654=$Q$7,$O4654=$Q$7)),"x","")</f>
        <v/>
      </c>
      <c r="R4654" s="79" t="str">
        <f>IF(AND($N4654=$Q$7,$B4654&lt;'111'!$L$11),"x","")</f>
        <v/>
      </c>
      <c r="S4654" s="79" t="str">
        <f>IF(AND($O4654=$Q$7,$B4654&lt;'111'!$L$11),"x","")</f>
        <v/>
      </c>
      <c r="T4654" s="79" t="str">
        <f>IF(ISERROR(FIND('112'!$M$9,G4654,1)),"",IF((AND(FIND('112'!$M$9,G4654,1)&gt;=1,B4654='112'!$K$9,OR($N4654='112'!$I$6,$O4654='112'!$I$6))),"x",""))</f>
        <v/>
      </c>
      <c r="U4654" s="79" t="str">
        <f>IF(ISERROR(FIND('112'!$M$9,G4654,1)),"",IF((AND(LEFT(G4654,2)=LEFT('112'!$M$9,2),B4654&lt;'112'!$K$9,$N4654='112'!$I$6)),"x",""))</f>
        <v/>
      </c>
      <c r="V4654" s="79" t="str">
        <f>IF(ISERROR(FIND('112'!$M$9,G4654,1)),"",IF((AND(RIGHT(G4654,2)=RIGHT('112'!$M$9,2),B4654&lt;'112'!$K$9,$O4654='112'!$I$6)),"x",""))</f>
        <v/>
      </c>
      <c r="W4654" s="79" t="str">
        <f>IF(AND('341-CT'!$H$9=H4654,OR(LEFT(N4654,3)=$W$7,LEFT(O4654,3)=$W$7)),"x","")</f>
        <v/>
      </c>
      <c r="X4654" s="79" t="str">
        <f>IF(OR(TH!N4654=TH!$X$7,O4654=TH!$X$7),"x","")</f>
        <v/>
      </c>
      <c r="Y4654" s="79" t="str">
        <f>IF(AND(OR(N4654="131",O4654="131"),H4654='131-CT'!$H$9),"x","")</f>
        <v/>
      </c>
      <c r="Z4654" s="79"/>
      <c r="AA4654" s="79" t="str">
        <f>IF(AND(MONTH(E4654)='IN-NX'!$J$5,'IN-NX'!$D$7=D4654),"x","")</f>
        <v/>
      </c>
      <c r="AB4654" s="79" t="str">
        <f>IF(AND(OR(LEFT(TH!N4654,2)="15",LEFT(TH!O4654,2)="15"),LEFT(TH!O4654,3)&lt;&gt;"111",'152-CT'!$J$8=TH!F4654),"x","")</f>
        <v/>
      </c>
      <c r="AC4654" s="79" t="str">
        <f>IF(AND(OR(LEFT(TH!N4654,2)="15",LEFT(TH!O4654,2)="15"),TK!$E$7=TH!F4654),"x","")</f>
        <v/>
      </c>
      <c r="AD4654" s="79" t="str">
        <f>IF(AND(N4654="1521",MONTH(C4654)='BK-NL'!$M$11),"x","")</f>
        <v/>
      </c>
    </row>
    <row r="4655" spans="1:30" ht="16.5" customHeight="1">
      <c r="A4655" s="318" t="str">
        <f>IF(B4655&lt;&gt;"",IF(AND(B4655='[3]IN-TC'!$S$4,OR([3]TH!N3886="1111",[3]TH!O3886="1111")),[3]TH!D3886,""),"")</f>
        <v/>
      </c>
      <c r="B4655" s="60" t="str">
        <f t="shared" si="476"/>
        <v/>
      </c>
      <c r="C4655" s="61"/>
      <c r="D4655" s="61"/>
      <c r="E4655" s="61"/>
      <c r="F4655" s="69"/>
      <c r="G4655" s="64"/>
      <c r="H4655" s="69"/>
      <c r="I4655" s="387"/>
      <c r="J4655" s="394"/>
      <c r="K4655" s="387"/>
      <c r="L4655" s="394"/>
      <c r="M4655" s="62"/>
      <c r="N4655" s="63"/>
      <c r="O4655" s="63"/>
      <c r="P4655" s="79" t="str">
        <f>IF(AND('331-CT'!$E$7=TH!H4655,OR(N4655="331",O4655="331")),"x","")</f>
        <v/>
      </c>
      <c r="Q4655" s="79" t="str">
        <f>IF(AND(B4655='111'!$L$11,OR($N4655=$Q$7,$O4655=$Q$7)),"x","")</f>
        <v/>
      </c>
      <c r="R4655" s="79" t="str">
        <f>IF(AND($N4655=$Q$7,$B4655&lt;'111'!$L$11),"x","")</f>
        <v/>
      </c>
      <c r="S4655" s="79" t="str">
        <f>IF(AND($O4655=$Q$7,$B4655&lt;'111'!$L$11),"x","")</f>
        <v/>
      </c>
      <c r="T4655" s="79" t="str">
        <f>IF(ISERROR(FIND('112'!$M$9,G4655,1)),"",IF((AND(FIND('112'!$M$9,G4655,1)&gt;=1,B4655='112'!$K$9,OR($N4655='112'!$I$6,$O4655='112'!$I$6))),"x",""))</f>
        <v/>
      </c>
      <c r="U4655" s="79" t="str">
        <f>IF(ISERROR(FIND('112'!$M$9,G4655,1)),"",IF((AND(LEFT(G4655,2)=LEFT('112'!$M$9,2),B4655&lt;'112'!$K$9,$N4655='112'!$I$6)),"x",""))</f>
        <v/>
      </c>
      <c r="V4655" s="79" t="str">
        <f>IF(ISERROR(FIND('112'!$M$9,G4655,1)),"",IF((AND(RIGHT(G4655,2)=RIGHT('112'!$M$9,2),B4655&lt;'112'!$K$9,$O4655='112'!$I$6)),"x",""))</f>
        <v/>
      </c>
      <c r="W4655" s="79" t="str">
        <f>IF(AND('341-CT'!$H$9=H4655,OR(LEFT(N4655,3)=$W$7,LEFT(O4655,3)=$W$7)),"x","")</f>
        <v/>
      </c>
      <c r="X4655" s="79" t="str">
        <f>IF(OR(TH!N4655=TH!$X$7,O4655=TH!$X$7),"x","")</f>
        <v/>
      </c>
      <c r="Y4655" s="79" t="str">
        <f>IF(AND(OR(N4655="131",O4655="131"),H4655='131-CT'!$H$9),"x","")</f>
        <v/>
      </c>
      <c r="Z4655" s="79"/>
      <c r="AA4655" s="79" t="str">
        <f>IF(AND(MONTH(E4655)='IN-NX'!$J$5,'IN-NX'!$D$7=D4655),"x","")</f>
        <v/>
      </c>
      <c r="AB4655" s="79" t="str">
        <f>IF(AND(OR(LEFT(TH!N4655,2)="15",LEFT(TH!O4655,2)="15"),LEFT(TH!O4655,3)&lt;&gt;"111",'152-CT'!$J$8=TH!F4655),"x","")</f>
        <v/>
      </c>
      <c r="AC4655" s="79" t="str">
        <f>IF(AND(OR(LEFT(TH!N4655,2)="15",LEFT(TH!O4655,2)="15"),TK!$E$7=TH!F4655),"x","")</f>
        <v/>
      </c>
      <c r="AD4655" s="79" t="str">
        <f>IF(AND(N4655="1521",MONTH(C4655)='BK-NL'!$M$11),"x","")</f>
        <v/>
      </c>
    </row>
    <row r="4656" spans="1:30" ht="16.5" customHeight="1">
      <c r="A4656" s="318" t="str">
        <f>IF(B4656&lt;&gt;"",IF(AND(B4656='[3]IN-TC'!$S$4,OR([3]TH!N3887="1111",[3]TH!O3887="1111")),[3]TH!D3887,""),"")</f>
        <v/>
      </c>
      <c r="B4656" s="60" t="str">
        <f t="shared" si="476"/>
        <v/>
      </c>
      <c r="C4656" s="61"/>
      <c r="D4656" s="61"/>
      <c r="E4656" s="61"/>
      <c r="F4656" s="69"/>
      <c r="G4656" s="64"/>
      <c r="H4656" s="321"/>
      <c r="I4656" s="385"/>
      <c r="J4656" s="392"/>
      <c r="K4656" s="385"/>
      <c r="L4656" s="392"/>
      <c r="M4656" s="62"/>
      <c r="N4656" s="63"/>
      <c r="O4656" s="63"/>
      <c r="P4656" s="79" t="str">
        <f>IF(AND('331-CT'!$E$7=TH!H4656,OR(N4656="331",O4656="331")),"x","")</f>
        <v/>
      </c>
      <c r="Q4656" s="79" t="str">
        <f>IF(AND(B4656='111'!$L$11,OR($N4656=$Q$7,$O4656=$Q$7)),"x","")</f>
        <v/>
      </c>
      <c r="R4656" s="79" t="str">
        <f>IF(AND($N4656=$Q$7,$B4656&lt;'111'!$L$11),"x","")</f>
        <v/>
      </c>
      <c r="S4656" s="79" t="str">
        <f>IF(AND($O4656=$Q$7,$B4656&lt;'111'!$L$11),"x","")</f>
        <v/>
      </c>
      <c r="T4656" s="79" t="str">
        <f>IF(ISERROR(FIND('112'!$M$9,G4656,1)),"",IF((AND(FIND('112'!$M$9,G4656,1)&gt;=1,B4656='112'!$K$9,OR($N4656='112'!$I$6,$O4656='112'!$I$6))),"x",""))</f>
        <v/>
      </c>
      <c r="U4656" s="79" t="str">
        <f>IF(ISERROR(FIND('112'!$M$9,G4656,1)),"",IF((AND(LEFT(G4656,2)=LEFT('112'!$M$9,2),B4656&lt;'112'!$K$9,$N4656='112'!$I$6)),"x",""))</f>
        <v/>
      </c>
      <c r="V4656" s="79" t="str">
        <f>IF(ISERROR(FIND('112'!$M$9,G4656,1)),"",IF((AND(RIGHT(G4656,2)=RIGHT('112'!$M$9,2),B4656&lt;'112'!$K$9,$O4656='112'!$I$6)),"x",""))</f>
        <v/>
      </c>
      <c r="W4656" s="79" t="str">
        <f>IF(AND('341-CT'!$H$9=H4656,OR(LEFT(N4656,3)=$W$7,LEFT(O4656,3)=$W$7)),"x","")</f>
        <v/>
      </c>
      <c r="X4656" s="79" t="str">
        <f>IF(OR(TH!N4656=TH!$X$7,O4656=TH!$X$7),"x","")</f>
        <v/>
      </c>
      <c r="Y4656" s="79" t="str">
        <f>IF(AND(OR(N4656="131",O4656="131"),H4656='131-CT'!$H$9),"x","")</f>
        <v/>
      </c>
      <c r="Z4656" s="79"/>
      <c r="AA4656" s="79" t="str">
        <f>IF(AND(MONTH(E4656)='IN-NX'!$J$5,'IN-NX'!$D$7=D4656),"x","")</f>
        <v/>
      </c>
      <c r="AB4656" s="79" t="str">
        <f>IF(AND(OR(LEFT(TH!N4656,2)="15",LEFT(TH!O4656,2)="15"),LEFT(TH!O4656,3)&lt;&gt;"111",'152-CT'!$J$8=TH!F4656),"x","")</f>
        <v/>
      </c>
      <c r="AC4656" s="79" t="str">
        <f>IF(AND(OR(LEFT(TH!N4656,2)="15",LEFT(TH!O4656,2)="15"),TK!$E$7=TH!F4656),"x","")</f>
        <v/>
      </c>
      <c r="AD4656" s="79" t="str">
        <f>IF(AND(N4656="1521",MONTH(C4656)='BK-NL'!$M$11),"x","")</f>
        <v/>
      </c>
    </row>
    <row r="4657" spans="1:30" ht="16.5" customHeight="1">
      <c r="A4657" s="318" t="str">
        <f>IF(B4657&lt;&gt;"",IF(AND(B4657='[3]IN-TC'!$S$4,OR([3]TH!N3888="1111",[3]TH!O3888="1111")),[3]TH!D3888,""),"")</f>
        <v/>
      </c>
      <c r="B4657" s="60" t="str">
        <f t="shared" si="476"/>
        <v/>
      </c>
      <c r="C4657" s="61"/>
      <c r="D4657" s="61"/>
      <c r="E4657" s="61"/>
      <c r="F4657" s="69"/>
      <c r="G4657" s="64"/>
      <c r="H4657" s="69"/>
      <c r="I4657" s="387"/>
      <c r="J4657" s="394"/>
      <c r="K4657" s="387"/>
      <c r="L4657" s="394"/>
      <c r="M4657" s="62"/>
      <c r="N4657" s="63"/>
      <c r="O4657" s="63"/>
      <c r="P4657" s="79" t="str">
        <f>IF(AND('331-CT'!$E$7=TH!H4657,OR(N4657="331",O4657="331")),"x","")</f>
        <v/>
      </c>
      <c r="Q4657" s="79" t="str">
        <f>IF(AND(B4657='111'!$L$11,OR($N4657=$Q$7,$O4657=$Q$7)),"x","")</f>
        <v/>
      </c>
      <c r="R4657" s="79" t="str">
        <f>IF(AND($N4657=$Q$7,$B4657&lt;'111'!$L$11),"x","")</f>
        <v/>
      </c>
      <c r="S4657" s="79" t="str">
        <f>IF(AND($O4657=$Q$7,$B4657&lt;'111'!$L$11),"x","")</f>
        <v/>
      </c>
      <c r="T4657" s="79" t="str">
        <f>IF(ISERROR(FIND('112'!$M$9,G4657,1)),"",IF((AND(FIND('112'!$M$9,G4657,1)&gt;=1,B4657='112'!$K$9,OR($N4657='112'!$I$6,$O4657='112'!$I$6))),"x",""))</f>
        <v/>
      </c>
      <c r="U4657" s="79" t="str">
        <f>IF(ISERROR(FIND('112'!$M$9,G4657,1)),"",IF((AND(LEFT(G4657,2)=LEFT('112'!$M$9,2),B4657&lt;'112'!$K$9,$N4657='112'!$I$6)),"x",""))</f>
        <v/>
      </c>
      <c r="V4657" s="79" t="str">
        <f>IF(ISERROR(FIND('112'!$M$9,G4657,1)),"",IF((AND(RIGHT(G4657,2)=RIGHT('112'!$M$9,2),B4657&lt;'112'!$K$9,$O4657='112'!$I$6)),"x",""))</f>
        <v/>
      </c>
      <c r="W4657" s="79" t="str">
        <f>IF(AND('341-CT'!$H$9=H4657,OR(LEFT(N4657,3)=$W$7,LEFT(O4657,3)=$W$7)),"x","")</f>
        <v/>
      </c>
      <c r="X4657" s="79" t="str">
        <f>IF(OR(TH!N4657=TH!$X$7,O4657=TH!$X$7),"x","")</f>
        <v/>
      </c>
      <c r="Y4657" s="79" t="str">
        <f>IF(AND(OR(N4657="131",O4657="131"),H4657='131-CT'!$H$9),"x","")</f>
        <v/>
      </c>
      <c r="Z4657" s="79"/>
      <c r="AA4657" s="79" t="str">
        <f>IF(AND(MONTH(E4657)='IN-NX'!$J$5,'IN-NX'!$D$7=D4657),"x","")</f>
        <v/>
      </c>
      <c r="AB4657" s="79" t="str">
        <f>IF(AND(OR(LEFT(TH!N4657,2)="15",LEFT(TH!O4657,2)="15"),LEFT(TH!O4657,3)&lt;&gt;"111",'152-CT'!$J$8=TH!F4657),"x","")</f>
        <v/>
      </c>
      <c r="AC4657" s="79" t="str">
        <f>IF(AND(OR(LEFT(TH!N4657,2)="15",LEFT(TH!O4657,2)="15"),TK!$E$7=TH!F4657),"x","")</f>
        <v/>
      </c>
      <c r="AD4657" s="79" t="str">
        <f>IF(AND(N4657="1521",MONTH(C4657)='BK-NL'!$M$11),"x","")</f>
        <v/>
      </c>
    </row>
    <row r="4658" spans="1:30" ht="16.5" customHeight="1">
      <c r="A4658" s="318" t="str">
        <f>IF(B4658&lt;&gt;"",IF(AND(B4658='[3]IN-TC'!$S$4,OR([3]TH!N3889="1111",[3]TH!O3889="1111")),[3]TH!D3889,""),"")</f>
        <v/>
      </c>
      <c r="B4658" s="60" t="str">
        <f t="shared" si="476"/>
        <v/>
      </c>
      <c r="C4658" s="61"/>
      <c r="D4658" s="61"/>
      <c r="E4658" s="61"/>
      <c r="F4658" s="69"/>
      <c r="G4658" s="64"/>
      <c r="H4658" s="69"/>
      <c r="I4658" s="387"/>
      <c r="J4658" s="394"/>
      <c r="K4658" s="387"/>
      <c r="L4658" s="394"/>
      <c r="M4658" s="62"/>
      <c r="N4658" s="63"/>
      <c r="O4658" s="63"/>
      <c r="P4658" s="79" t="str">
        <f>IF(AND('331-CT'!$E$7=TH!H4658,OR(N4658="331",O4658="331")),"x","")</f>
        <v/>
      </c>
      <c r="Q4658" s="79" t="str">
        <f>IF(AND(B4658='111'!$L$11,OR($N4658=$Q$7,$O4658=$Q$7)),"x","")</f>
        <v/>
      </c>
      <c r="R4658" s="79" t="str">
        <f>IF(AND($N4658=$Q$7,$B4658&lt;'111'!$L$11),"x","")</f>
        <v/>
      </c>
      <c r="S4658" s="79" t="str">
        <f>IF(AND($O4658=$Q$7,$B4658&lt;'111'!$L$11),"x","")</f>
        <v/>
      </c>
      <c r="T4658" s="79" t="str">
        <f>IF(ISERROR(FIND('112'!$M$9,G4658,1)),"",IF((AND(FIND('112'!$M$9,G4658,1)&gt;=1,B4658='112'!$K$9,OR($N4658='112'!$I$6,$O4658='112'!$I$6))),"x",""))</f>
        <v/>
      </c>
      <c r="U4658" s="79" t="str">
        <f>IF(ISERROR(FIND('112'!$M$9,G4658,1)),"",IF((AND(LEFT(G4658,2)=LEFT('112'!$M$9,2),B4658&lt;'112'!$K$9,$N4658='112'!$I$6)),"x",""))</f>
        <v/>
      </c>
      <c r="V4658" s="79" t="str">
        <f>IF(ISERROR(FIND('112'!$M$9,G4658,1)),"",IF((AND(RIGHT(G4658,2)=RIGHT('112'!$M$9,2),B4658&lt;'112'!$K$9,$O4658='112'!$I$6)),"x",""))</f>
        <v/>
      </c>
      <c r="W4658" s="79" t="str">
        <f>IF(AND('341-CT'!$H$9=H4658,OR(LEFT(N4658,3)=$W$7,LEFT(O4658,3)=$W$7)),"x","")</f>
        <v/>
      </c>
      <c r="X4658" s="79" t="str">
        <f>IF(OR(TH!N4658=TH!$X$7,O4658=TH!$X$7),"x","")</f>
        <v/>
      </c>
      <c r="Y4658" s="79" t="str">
        <f>IF(AND(OR(N4658="131",O4658="131"),H4658='131-CT'!$H$9),"x","")</f>
        <v/>
      </c>
      <c r="Z4658" s="79"/>
      <c r="AA4658" s="79" t="str">
        <f>IF(AND(MONTH(E4658)='IN-NX'!$J$5,'IN-NX'!$D$7=D4658),"x","")</f>
        <v/>
      </c>
      <c r="AB4658" s="79" t="str">
        <f>IF(AND(OR(LEFT(TH!N4658,2)="15",LEFT(TH!O4658,2)="15"),LEFT(TH!O4658,3)&lt;&gt;"111",'152-CT'!$J$8=TH!F4658),"x","")</f>
        <v/>
      </c>
      <c r="AC4658" s="79" t="str">
        <f>IF(AND(OR(LEFT(TH!N4658,2)="15",LEFT(TH!O4658,2)="15"),TK!$E$7=TH!F4658),"x","")</f>
        <v/>
      </c>
      <c r="AD4658" s="79" t="str">
        <f>IF(AND(N4658="1521",MONTH(C4658)='BK-NL'!$M$11),"x","")</f>
        <v/>
      </c>
    </row>
    <row r="4659" spans="1:30" ht="16.5" customHeight="1">
      <c r="A4659" s="318" t="str">
        <f>IF(B4659&lt;&gt;"",IF(AND(B4659='[3]IN-TC'!$S$4,OR([3]TH!N3890="1111",[3]TH!O3890="1111")),[3]TH!D3890,""),"")</f>
        <v/>
      </c>
      <c r="B4659" s="60" t="str">
        <f t="shared" si="476"/>
        <v/>
      </c>
      <c r="C4659" s="61"/>
      <c r="D4659" s="61"/>
      <c r="E4659" s="61"/>
      <c r="F4659" s="69"/>
      <c r="G4659" s="64"/>
      <c r="H4659" s="303"/>
      <c r="I4659" s="385"/>
      <c r="J4659" s="392"/>
      <c r="K4659" s="385"/>
      <c r="L4659" s="392"/>
      <c r="M4659" s="62"/>
      <c r="N4659" s="63"/>
      <c r="O4659" s="63"/>
      <c r="P4659" s="79" t="str">
        <f>IF(AND('331-CT'!$E$7=TH!H4659,OR(N4659="331",O4659="331")),"x","")</f>
        <v/>
      </c>
      <c r="Q4659" s="79" t="str">
        <f>IF(AND(B4659='111'!$L$11,OR($N4659=$Q$7,$O4659=$Q$7)),"x","")</f>
        <v/>
      </c>
      <c r="R4659" s="79" t="str">
        <f>IF(AND($N4659=$Q$7,$B4659&lt;'111'!$L$11),"x","")</f>
        <v/>
      </c>
      <c r="S4659" s="79" t="str">
        <f>IF(AND($O4659=$Q$7,$B4659&lt;'111'!$L$11),"x","")</f>
        <v/>
      </c>
      <c r="T4659" s="79" t="str">
        <f>IF(ISERROR(FIND('112'!$M$9,G4659,1)),"",IF((AND(FIND('112'!$M$9,G4659,1)&gt;=1,B4659='112'!$K$9,OR($N4659='112'!$I$6,$O4659='112'!$I$6))),"x",""))</f>
        <v/>
      </c>
      <c r="U4659" s="79" t="str">
        <f>IF(ISERROR(FIND('112'!$M$9,G4659,1)),"",IF((AND(LEFT(G4659,2)=LEFT('112'!$M$9,2),B4659&lt;'112'!$K$9,$N4659='112'!$I$6)),"x",""))</f>
        <v/>
      </c>
      <c r="V4659" s="79" t="str">
        <f>IF(ISERROR(FIND('112'!$M$9,G4659,1)),"",IF((AND(RIGHT(G4659,2)=RIGHT('112'!$M$9,2),B4659&lt;'112'!$K$9,$O4659='112'!$I$6)),"x",""))</f>
        <v/>
      </c>
      <c r="W4659" s="79" t="str">
        <f>IF(AND('341-CT'!$H$9=H4659,OR(LEFT(N4659,3)=$W$7,LEFT(O4659,3)=$W$7)),"x","")</f>
        <v/>
      </c>
      <c r="X4659" s="79" t="str">
        <f>IF(OR(TH!N4659=TH!$X$7,O4659=TH!$X$7),"x","")</f>
        <v/>
      </c>
      <c r="Y4659" s="79" t="str">
        <f>IF(AND(OR(N4659="131",O4659="131"),H4659='131-CT'!$H$9),"x","")</f>
        <v/>
      </c>
      <c r="Z4659" s="79"/>
      <c r="AA4659" s="79" t="str">
        <f>IF(AND(MONTH(E4659)='IN-NX'!$J$5,'IN-NX'!$D$7=D4659),"x","")</f>
        <v/>
      </c>
      <c r="AB4659" s="79" t="str">
        <f>IF(AND(OR(LEFT(TH!N4659,2)="15",LEFT(TH!O4659,2)="15"),LEFT(TH!O4659,3)&lt;&gt;"111",'152-CT'!$J$8=TH!F4659),"x","")</f>
        <v/>
      </c>
      <c r="AC4659" s="79" t="str">
        <f>IF(AND(OR(LEFT(TH!N4659,2)="15",LEFT(TH!O4659,2)="15"),TK!$E$7=TH!F4659),"x","")</f>
        <v/>
      </c>
      <c r="AD4659" s="79" t="str">
        <f>IF(AND(N4659="1521",MONTH(C4659)='BK-NL'!$M$11),"x","")</f>
        <v/>
      </c>
    </row>
    <row r="4660" spans="1:30" ht="16.5" customHeight="1">
      <c r="A4660" s="318" t="str">
        <f>IF(B4660&lt;&gt;"",IF(AND(B4660='[3]IN-TC'!$S$4,OR([3]TH!N3891="1111",[3]TH!O3891="1111")),[3]TH!D3891,""),"")</f>
        <v/>
      </c>
      <c r="B4660" s="60" t="str">
        <f t="shared" si="476"/>
        <v/>
      </c>
      <c r="C4660" s="61"/>
      <c r="D4660" s="61"/>
      <c r="E4660" s="61"/>
      <c r="F4660" s="69"/>
      <c r="G4660" s="64"/>
      <c r="H4660" s="69"/>
      <c r="I4660" s="387"/>
      <c r="J4660" s="394"/>
      <c r="K4660" s="387"/>
      <c r="L4660" s="394"/>
      <c r="M4660" s="62"/>
      <c r="N4660" s="63"/>
      <c r="O4660" s="63"/>
      <c r="P4660" s="79" t="str">
        <f>IF(AND('331-CT'!$E$7=TH!H4660,OR(N4660="331",O4660="331")),"x","")</f>
        <v/>
      </c>
      <c r="Q4660" s="79" t="str">
        <f>IF(AND(B4660='111'!$L$11,OR($N4660=$Q$7,$O4660=$Q$7)),"x","")</f>
        <v/>
      </c>
      <c r="R4660" s="79" t="str">
        <f>IF(AND($N4660=$Q$7,$B4660&lt;'111'!$L$11),"x","")</f>
        <v/>
      </c>
      <c r="S4660" s="79" t="str">
        <f>IF(AND($O4660=$Q$7,$B4660&lt;'111'!$L$11),"x","")</f>
        <v/>
      </c>
      <c r="T4660" s="79" t="str">
        <f>IF(ISERROR(FIND('112'!$M$9,G4660,1)),"",IF((AND(FIND('112'!$M$9,G4660,1)&gt;=1,B4660='112'!$K$9,OR($N4660='112'!$I$6,$O4660='112'!$I$6))),"x",""))</f>
        <v/>
      </c>
      <c r="U4660" s="79" t="str">
        <f>IF(ISERROR(FIND('112'!$M$9,G4660,1)),"",IF((AND(LEFT(G4660,2)=LEFT('112'!$M$9,2),B4660&lt;'112'!$K$9,$N4660='112'!$I$6)),"x",""))</f>
        <v/>
      </c>
      <c r="V4660" s="79" t="str">
        <f>IF(ISERROR(FIND('112'!$M$9,G4660,1)),"",IF((AND(RIGHT(G4660,2)=RIGHT('112'!$M$9,2),B4660&lt;'112'!$K$9,$O4660='112'!$I$6)),"x",""))</f>
        <v/>
      </c>
      <c r="W4660" s="79" t="str">
        <f>IF(AND('341-CT'!$H$9=H4660,OR(LEFT(N4660,3)=$W$7,LEFT(O4660,3)=$W$7)),"x","")</f>
        <v/>
      </c>
      <c r="X4660" s="79" t="str">
        <f>IF(OR(TH!N4660=TH!$X$7,O4660=TH!$X$7),"x","")</f>
        <v/>
      </c>
      <c r="Y4660" s="79" t="str">
        <f>IF(AND(OR(N4660="131",O4660="131"),H4660='131-CT'!$H$9),"x","")</f>
        <v/>
      </c>
      <c r="Z4660" s="79"/>
      <c r="AA4660" s="79" t="str">
        <f>IF(AND(MONTH(E4660)='IN-NX'!$J$5,'IN-NX'!$D$7=D4660),"x","")</f>
        <v/>
      </c>
      <c r="AB4660" s="79" t="str">
        <f>IF(AND(OR(LEFT(TH!N4660,2)="15",LEFT(TH!O4660,2)="15"),LEFT(TH!O4660,3)&lt;&gt;"111",'152-CT'!$J$8=TH!F4660),"x","")</f>
        <v/>
      </c>
      <c r="AC4660" s="79" t="str">
        <f>IF(AND(OR(LEFT(TH!N4660,2)="15",LEFT(TH!O4660,2)="15"),TK!$E$7=TH!F4660),"x","")</f>
        <v/>
      </c>
      <c r="AD4660" s="79" t="str">
        <f>IF(AND(N4660="1521",MONTH(C4660)='BK-NL'!$M$11),"x","")</f>
        <v/>
      </c>
    </row>
    <row r="4661" spans="1:30" ht="16.5" customHeight="1">
      <c r="A4661" s="318" t="str">
        <f>IF(B4661&lt;&gt;"",IF(AND(B4661='[3]IN-TC'!$S$4,OR([3]TH!N3892="1111",[3]TH!O3892="1111")),[3]TH!D3892,""),"")</f>
        <v/>
      </c>
      <c r="B4661" s="60" t="str">
        <f t="shared" si="476"/>
        <v/>
      </c>
      <c r="C4661" s="61"/>
      <c r="D4661" s="61"/>
      <c r="E4661" s="61"/>
      <c r="F4661" s="69"/>
      <c r="G4661" s="64"/>
      <c r="H4661" s="69"/>
      <c r="I4661" s="387"/>
      <c r="J4661" s="394"/>
      <c r="K4661" s="387"/>
      <c r="L4661" s="394"/>
      <c r="M4661" s="62"/>
      <c r="N4661" s="63"/>
      <c r="O4661" s="63"/>
      <c r="P4661" s="79" t="str">
        <f>IF(AND('331-CT'!$E$7=TH!H4661,OR(N4661="331",O4661="331")),"x","")</f>
        <v/>
      </c>
      <c r="Q4661" s="79" t="str">
        <f>IF(AND(B4661='111'!$L$11,OR($N4661=$Q$7,$O4661=$Q$7)),"x","")</f>
        <v/>
      </c>
      <c r="R4661" s="79" t="str">
        <f>IF(AND($N4661=$Q$7,$B4661&lt;'111'!$L$11),"x","")</f>
        <v/>
      </c>
      <c r="S4661" s="79" t="str">
        <f>IF(AND($O4661=$Q$7,$B4661&lt;'111'!$L$11),"x","")</f>
        <v/>
      </c>
      <c r="T4661" s="79" t="str">
        <f>IF(ISERROR(FIND('112'!$M$9,G4661,1)),"",IF((AND(FIND('112'!$M$9,G4661,1)&gt;=1,B4661='112'!$K$9,OR($N4661='112'!$I$6,$O4661='112'!$I$6))),"x",""))</f>
        <v/>
      </c>
      <c r="U4661" s="79" t="str">
        <f>IF(ISERROR(FIND('112'!$M$9,G4661,1)),"",IF((AND(LEFT(G4661,2)=LEFT('112'!$M$9,2),B4661&lt;'112'!$K$9,$N4661='112'!$I$6)),"x",""))</f>
        <v/>
      </c>
      <c r="V4661" s="79" t="str">
        <f>IF(ISERROR(FIND('112'!$M$9,G4661,1)),"",IF((AND(RIGHT(G4661,2)=RIGHT('112'!$M$9,2),B4661&lt;'112'!$K$9,$O4661='112'!$I$6)),"x",""))</f>
        <v/>
      </c>
      <c r="W4661" s="79" t="str">
        <f>IF(AND('341-CT'!$H$9=H4661,OR(LEFT(N4661,3)=$W$7,LEFT(O4661,3)=$W$7)),"x","")</f>
        <v/>
      </c>
      <c r="X4661" s="79" t="str">
        <f>IF(OR(TH!N4661=TH!$X$7,O4661=TH!$X$7),"x","")</f>
        <v/>
      </c>
      <c r="Y4661" s="79" t="str">
        <f>IF(AND(OR(N4661="131",O4661="131"),H4661='131-CT'!$H$9),"x","")</f>
        <v/>
      </c>
      <c r="Z4661" s="79"/>
      <c r="AA4661" s="79" t="str">
        <f>IF(AND(MONTH(E4661)='IN-NX'!$J$5,'IN-NX'!$D$7=D4661),"x","")</f>
        <v/>
      </c>
      <c r="AB4661" s="79" t="str">
        <f>IF(AND(OR(LEFT(TH!N4661,2)="15",LEFT(TH!O4661,2)="15"),LEFT(TH!O4661,3)&lt;&gt;"111",'152-CT'!$J$8=TH!F4661),"x","")</f>
        <v/>
      </c>
      <c r="AC4661" s="79" t="str">
        <f>IF(AND(OR(LEFT(TH!N4661,2)="15",LEFT(TH!O4661,2)="15"),TK!$E$7=TH!F4661),"x","")</f>
        <v/>
      </c>
      <c r="AD4661" s="79" t="str">
        <f>IF(AND(N4661="1521",MONTH(C4661)='BK-NL'!$M$11),"x","")</f>
        <v/>
      </c>
    </row>
    <row r="4662" spans="1:30" ht="16.5" customHeight="1">
      <c r="A4662" s="318" t="str">
        <f>IF(B4662&lt;&gt;"",IF(AND(B4662='[3]IN-TC'!$S$4,OR([3]TH!N3893="1111",[3]TH!O3893="1111")),[3]TH!D3893,""),"")</f>
        <v/>
      </c>
      <c r="B4662" s="60" t="str">
        <f t="shared" si="476"/>
        <v/>
      </c>
      <c r="C4662" s="61"/>
      <c r="D4662" s="61"/>
      <c r="E4662" s="61"/>
      <c r="F4662" s="69"/>
      <c r="G4662" s="64"/>
      <c r="H4662" s="69"/>
      <c r="I4662" s="385"/>
      <c r="J4662" s="392"/>
      <c r="K4662" s="385"/>
      <c r="L4662" s="392"/>
      <c r="M4662" s="62"/>
      <c r="N4662" s="63"/>
      <c r="O4662" s="63"/>
      <c r="P4662" s="79" t="str">
        <f>IF(AND('331-CT'!$E$7=TH!H4662,OR(N4662="331",O4662="331")),"x","")</f>
        <v/>
      </c>
      <c r="Q4662" s="79" t="str">
        <f>IF(AND(B4662='111'!$L$11,OR($N4662=$Q$7,$O4662=$Q$7)),"x","")</f>
        <v/>
      </c>
      <c r="R4662" s="79" t="str">
        <f>IF(AND($N4662=$Q$7,$B4662&lt;'111'!$L$11),"x","")</f>
        <v/>
      </c>
      <c r="S4662" s="79" t="str">
        <f>IF(AND($O4662=$Q$7,$B4662&lt;'111'!$L$11),"x","")</f>
        <v/>
      </c>
      <c r="T4662" s="79" t="str">
        <f>IF(ISERROR(FIND('112'!$M$9,G4662,1)),"",IF((AND(FIND('112'!$M$9,G4662,1)&gt;=1,B4662='112'!$K$9,OR($N4662='112'!$I$6,$O4662='112'!$I$6))),"x",""))</f>
        <v/>
      </c>
      <c r="U4662" s="79" t="str">
        <f>IF(ISERROR(FIND('112'!$M$9,G4662,1)),"",IF((AND(LEFT(G4662,2)=LEFT('112'!$M$9,2),B4662&lt;'112'!$K$9,$N4662='112'!$I$6)),"x",""))</f>
        <v/>
      </c>
      <c r="V4662" s="79" t="str">
        <f>IF(ISERROR(FIND('112'!$M$9,G4662,1)),"",IF((AND(RIGHT(G4662,2)=RIGHT('112'!$M$9,2),B4662&lt;'112'!$K$9,$O4662='112'!$I$6)),"x",""))</f>
        <v/>
      </c>
      <c r="W4662" s="79" t="str">
        <f>IF(AND('341-CT'!$H$9=H4662,OR(LEFT(N4662,3)=$W$7,LEFT(O4662,3)=$W$7)),"x","")</f>
        <v/>
      </c>
      <c r="X4662" s="79" t="str">
        <f>IF(OR(TH!N4662=TH!$X$7,O4662=TH!$X$7),"x","")</f>
        <v/>
      </c>
      <c r="Y4662" s="79" t="str">
        <f>IF(AND(OR(N4662="131",O4662="131"),H4662='131-CT'!$H$9),"x","")</f>
        <v/>
      </c>
      <c r="Z4662" s="79"/>
      <c r="AA4662" s="79" t="str">
        <f>IF(AND(MONTH(E4662)='IN-NX'!$J$5,'IN-NX'!$D$7=D4662),"x","")</f>
        <v/>
      </c>
      <c r="AB4662" s="79" t="str">
        <f>IF(AND(OR(LEFT(TH!N4662,2)="15",LEFT(TH!O4662,2)="15"),LEFT(TH!O4662,3)&lt;&gt;"111",'152-CT'!$J$8=TH!F4662),"x","")</f>
        <v/>
      </c>
      <c r="AC4662" s="79" t="str">
        <f>IF(AND(OR(LEFT(TH!N4662,2)="15",LEFT(TH!O4662,2)="15"),TK!$E$7=TH!F4662),"x","")</f>
        <v/>
      </c>
      <c r="AD4662" s="79" t="str">
        <f>IF(AND(N4662="1521",MONTH(C4662)='BK-NL'!$M$11),"x","")</f>
        <v/>
      </c>
    </row>
    <row r="4663" spans="1:30" ht="16.5" customHeight="1">
      <c r="A4663" s="318" t="str">
        <f>IF(B4663&lt;&gt;"",IF(AND(B4663='[3]IN-TC'!$S$4,OR([3]TH!N3894="1111",[3]TH!O3894="1111")),[3]TH!D3894,""),"")</f>
        <v/>
      </c>
      <c r="B4663" s="60" t="str">
        <f t="shared" si="476"/>
        <v/>
      </c>
      <c r="C4663" s="61"/>
      <c r="D4663" s="61"/>
      <c r="E4663" s="61"/>
      <c r="F4663" s="69"/>
      <c r="G4663" s="64"/>
      <c r="H4663" s="69"/>
      <c r="I4663" s="387"/>
      <c r="J4663" s="394"/>
      <c r="K4663" s="387"/>
      <c r="L4663" s="394"/>
      <c r="M4663" s="62"/>
      <c r="N4663" s="63"/>
      <c r="O4663" s="63"/>
      <c r="P4663" s="79" t="str">
        <f>IF(AND('331-CT'!$E$7=TH!H4663,OR(N4663="331",O4663="331")),"x","")</f>
        <v/>
      </c>
      <c r="Q4663" s="79" t="str">
        <f>IF(AND(B4663='111'!$L$11,OR($N4663=$Q$7,$O4663=$Q$7)),"x","")</f>
        <v/>
      </c>
      <c r="R4663" s="79" t="str">
        <f>IF(AND($N4663=$Q$7,$B4663&lt;'111'!$L$11),"x","")</f>
        <v/>
      </c>
      <c r="S4663" s="79" t="str">
        <f>IF(AND($O4663=$Q$7,$B4663&lt;'111'!$L$11),"x","")</f>
        <v/>
      </c>
      <c r="T4663" s="79" t="str">
        <f>IF(ISERROR(FIND('112'!$M$9,G4663,1)),"",IF((AND(FIND('112'!$M$9,G4663,1)&gt;=1,B4663='112'!$K$9,OR($N4663='112'!$I$6,$O4663='112'!$I$6))),"x",""))</f>
        <v/>
      </c>
      <c r="U4663" s="79" t="str">
        <f>IF(ISERROR(FIND('112'!$M$9,G4663,1)),"",IF((AND(LEFT(G4663,2)=LEFT('112'!$M$9,2),B4663&lt;'112'!$K$9,$N4663='112'!$I$6)),"x",""))</f>
        <v/>
      </c>
      <c r="V4663" s="79" t="str">
        <f>IF(ISERROR(FIND('112'!$M$9,G4663,1)),"",IF((AND(RIGHT(G4663,2)=RIGHT('112'!$M$9,2),B4663&lt;'112'!$K$9,$O4663='112'!$I$6)),"x",""))</f>
        <v/>
      </c>
      <c r="W4663" s="79" t="str">
        <f>IF(AND('341-CT'!$H$9=H4663,OR(LEFT(N4663,3)=$W$7,LEFT(O4663,3)=$W$7)),"x","")</f>
        <v/>
      </c>
      <c r="X4663" s="79" t="str">
        <f>IF(OR(TH!N4663=TH!$X$7,O4663=TH!$X$7),"x","")</f>
        <v/>
      </c>
      <c r="Y4663" s="79" t="str">
        <f>IF(AND(OR(N4663="131",O4663="131"),H4663='131-CT'!$H$9),"x","")</f>
        <v/>
      </c>
      <c r="Z4663" s="79"/>
      <c r="AA4663" s="79" t="str">
        <f>IF(AND(MONTH(E4663)='IN-NX'!$J$5,'IN-NX'!$D$7=D4663),"x","")</f>
        <v/>
      </c>
      <c r="AB4663" s="79" t="str">
        <f>IF(AND(OR(LEFT(TH!N4663,2)="15",LEFT(TH!O4663,2)="15"),LEFT(TH!O4663,3)&lt;&gt;"111",'152-CT'!$J$8=TH!F4663),"x","")</f>
        <v/>
      </c>
      <c r="AC4663" s="79" t="str">
        <f>IF(AND(OR(LEFT(TH!N4663,2)="15",LEFT(TH!O4663,2)="15"),TK!$E$7=TH!F4663),"x","")</f>
        <v/>
      </c>
      <c r="AD4663" s="79" t="str">
        <f>IF(AND(N4663="1521",MONTH(C4663)='BK-NL'!$M$11),"x","")</f>
        <v/>
      </c>
    </row>
    <row r="4664" spans="1:30" ht="16.5" customHeight="1">
      <c r="A4664" s="318" t="str">
        <f>IF(B4664&lt;&gt;"",IF(AND(B4664='[3]IN-TC'!$S$4,OR([3]TH!N3895="1111",[3]TH!O3895="1111")),[3]TH!D3895,""),"")</f>
        <v/>
      </c>
      <c r="B4664" s="60" t="str">
        <f t="shared" si="476"/>
        <v/>
      </c>
      <c r="C4664" s="61"/>
      <c r="D4664" s="61"/>
      <c r="E4664" s="61"/>
      <c r="F4664" s="69"/>
      <c r="G4664" s="64"/>
      <c r="H4664" s="69"/>
      <c r="I4664" s="387"/>
      <c r="J4664" s="394"/>
      <c r="K4664" s="387"/>
      <c r="L4664" s="394"/>
      <c r="M4664" s="62"/>
      <c r="N4664" s="63"/>
      <c r="O4664" s="63"/>
      <c r="P4664" s="79" t="str">
        <f>IF(AND('331-CT'!$E$7=TH!H4664,OR(N4664="331",O4664="331")),"x","")</f>
        <v/>
      </c>
      <c r="Q4664" s="79" t="str">
        <f>IF(AND(B4664='111'!$L$11,OR($N4664=$Q$7,$O4664=$Q$7)),"x","")</f>
        <v/>
      </c>
      <c r="R4664" s="79" t="str">
        <f>IF(AND($N4664=$Q$7,$B4664&lt;'111'!$L$11),"x","")</f>
        <v/>
      </c>
      <c r="S4664" s="79" t="str">
        <f>IF(AND($O4664=$Q$7,$B4664&lt;'111'!$L$11),"x","")</f>
        <v/>
      </c>
      <c r="T4664" s="79" t="str">
        <f>IF(ISERROR(FIND('112'!$M$9,G4664,1)),"",IF((AND(FIND('112'!$M$9,G4664,1)&gt;=1,B4664='112'!$K$9,OR($N4664='112'!$I$6,$O4664='112'!$I$6))),"x",""))</f>
        <v/>
      </c>
      <c r="U4664" s="79" t="str">
        <f>IF(ISERROR(FIND('112'!$M$9,G4664,1)),"",IF((AND(LEFT(G4664,2)=LEFT('112'!$M$9,2),B4664&lt;'112'!$K$9,$N4664='112'!$I$6)),"x",""))</f>
        <v/>
      </c>
      <c r="V4664" s="79" t="str">
        <f>IF(ISERROR(FIND('112'!$M$9,G4664,1)),"",IF((AND(RIGHT(G4664,2)=RIGHT('112'!$M$9,2),B4664&lt;'112'!$K$9,$O4664='112'!$I$6)),"x",""))</f>
        <v/>
      </c>
      <c r="W4664" s="79" t="str">
        <f>IF(AND('341-CT'!$H$9=H4664,OR(LEFT(N4664,3)=$W$7,LEFT(O4664,3)=$W$7)),"x","")</f>
        <v/>
      </c>
      <c r="X4664" s="79" t="str">
        <f>IF(OR(TH!N4664=TH!$X$7,O4664=TH!$X$7),"x","")</f>
        <v/>
      </c>
      <c r="Y4664" s="79" t="str">
        <f>IF(AND(OR(N4664="131",O4664="131"),H4664='131-CT'!$H$9),"x","")</f>
        <v/>
      </c>
      <c r="Z4664" s="79"/>
      <c r="AA4664" s="79" t="str">
        <f>IF(AND(MONTH(E4664)='IN-NX'!$J$5,'IN-NX'!$D$7=D4664),"x","")</f>
        <v/>
      </c>
      <c r="AB4664" s="79" t="str">
        <f>IF(AND(OR(LEFT(TH!N4664,2)="15",LEFT(TH!O4664,2)="15"),LEFT(TH!O4664,3)&lt;&gt;"111",'152-CT'!$J$8=TH!F4664),"x","")</f>
        <v/>
      </c>
      <c r="AC4664" s="79" t="str">
        <f>IF(AND(OR(LEFT(TH!N4664,2)="15",LEFT(TH!O4664,2)="15"),TK!$E$7=TH!F4664),"x","")</f>
        <v/>
      </c>
      <c r="AD4664" s="79" t="str">
        <f>IF(AND(N4664="1521",MONTH(C4664)='BK-NL'!$M$11),"x","")</f>
        <v/>
      </c>
    </row>
    <row r="4665" spans="1:30" ht="16.5" customHeight="1">
      <c r="A4665" s="318" t="str">
        <f>IF(B4665&lt;&gt;"",IF(AND(B4665='[3]IN-TC'!$S$4,OR([3]TH!N3896="1111",[3]TH!O3896="1111")),[3]TH!D3896,""),"")</f>
        <v/>
      </c>
      <c r="B4665" s="60" t="str">
        <f t="shared" si="476"/>
        <v/>
      </c>
      <c r="C4665" s="301"/>
      <c r="D4665" s="301"/>
      <c r="E4665" s="301"/>
      <c r="F4665" s="302"/>
      <c r="G4665" s="988"/>
      <c r="H4665" s="69"/>
      <c r="I4665" s="385"/>
      <c r="J4665" s="969"/>
      <c r="K4665" s="385"/>
      <c r="L4665" s="392"/>
      <c r="M4665" s="970"/>
      <c r="N4665" s="304"/>
      <c r="O4665" s="304"/>
      <c r="P4665" s="79" t="str">
        <f>IF(AND('331-CT'!$E$7=TH!H4665,OR(N4665="331",O4665="331")),"x","")</f>
        <v/>
      </c>
      <c r="Q4665" s="79" t="str">
        <f>IF(AND(B4665='111'!$L$11,OR($N4665=$Q$7,$O4665=$Q$7)),"x","")</f>
        <v/>
      </c>
      <c r="R4665" s="79" t="str">
        <f>IF(AND($N4665=$Q$7,$B4665&lt;'111'!$L$11),"x","")</f>
        <v/>
      </c>
      <c r="S4665" s="79" t="str">
        <f>IF(AND($O4665=$Q$7,$B4665&lt;'111'!$L$11),"x","")</f>
        <v/>
      </c>
      <c r="T4665" s="79" t="str">
        <f>IF(ISERROR(FIND('112'!$M$9,G4665,1)),"",IF((AND(FIND('112'!$M$9,G4665,1)&gt;=1,B4665='112'!$K$9,OR($N4665='112'!$I$6,$O4665='112'!$I$6))),"x",""))</f>
        <v/>
      </c>
      <c r="U4665" s="79" t="str">
        <f>IF(ISERROR(FIND('112'!$M$9,G4665,1)),"",IF((AND(LEFT(G4665,2)=LEFT('112'!$M$9,2),B4665&lt;'112'!$K$9,$N4665='112'!$I$6)),"x",""))</f>
        <v/>
      </c>
      <c r="V4665" s="79" t="str">
        <f>IF(ISERROR(FIND('112'!$M$9,G4665,1)),"",IF((AND(RIGHT(G4665,2)=RIGHT('112'!$M$9,2),B4665&lt;'112'!$K$9,$O4665='112'!$I$6)),"x",""))</f>
        <v/>
      </c>
      <c r="W4665" s="79" t="str">
        <f>IF(AND('341-CT'!$H$9=H4665,OR(LEFT(N4665,3)=$W$7,LEFT(O4665,3)=$W$7)),"x","")</f>
        <v/>
      </c>
      <c r="X4665" s="79" t="str">
        <f>IF(OR(TH!N4665=TH!$X$7,O4665=TH!$X$7),"x","")</f>
        <v/>
      </c>
      <c r="Y4665" s="79" t="str">
        <f>IF(AND(OR(N4665="131",O4665="131"),H4665='131-CT'!$H$9),"x","")</f>
        <v/>
      </c>
      <c r="Z4665" s="79"/>
      <c r="AA4665" s="79" t="str">
        <f>IF(AND(MONTH(E4665)='IN-NX'!$J$5,'IN-NX'!$D$7=D4665),"x","")</f>
        <v/>
      </c>
      <c r="AB4665" s="79" t="str">
        <f>IF(AND(OR(LEFT(TH!N4665,2)="15",LEFT(TH!O4665,2)="15"),LEFT(TH!O4665,3)&lt;&gt;"111",'152-CT'!$J$8=TH!F4665),"x","")</f>
        <v/>
      </c>
      <c r="AC4665" s="79" t="str">
        <f>IF(AND(OR(LEFT(TH!N4665,2)="15",LEFT(TH!O4665,2)="15"),TK!$E$7=TH!F4665),"x","")</f>
        <v/>
      </c>
      <c r="AD4665" s="79" t="str">
        <f>IF(AND(N4665="1521",MONTH(C4665)='BK-NL'!$M$11),"x","")</f>
        <v/>
      </c>
    </row>
    <row r="4666" spans="1:30" ht="16.5" customHeight="1">
      <c r="A4666" s="318" t="str">
        <f>IF(B4666&lt;&gt;"",IF(AND(B4666='[3]IN-TC'!$S$4,OR([3]TH!N3897="1111",[3]TH!O3897="1111")),[3]TH!D3897,""),"")</f>
        <v/>
      </c>
      <c r="B4666" s="60" t="str">
        <f t="shared" si="476"/>
        <v/>
      </c>
      <c r="C4666" s="301"/>
      <c r="D4666" s="301"/>
      <c r="E4666" s="301"/>
      <c r="F4666" s="69"/>
      <c r="G4666" s="988"/>
      <c r="H4666" s="303"/>
      <c r="I4666" s="385"/>
      <c r="J4666" s="969"/>
      <c r="K4666" s="385"/>
      <c r="L4666" s="392"/>
      <c r="M4666" s="970"/>
      <c r="N4666" s="304"/>
      <c r="O4666" s="304"/>
      <c r="P4666" s="79" t="str">
        <f>IF(AND('331-CT'!$E$7=TH!H4666,OR(N4666="331",O4666="331")),"x","")</f>
        <v/>
      </c>
      <c r="Q4666" s="79" t="str">
        <f>IF(AND(B4666='111'!$L$11,OR($N4666=$Q$7,$O4666=$Q$7)),"x","")</f>
        <v/>
      </c>
      <c r="R4666" s="79" t="str">
        <f>IF(AND($N4666=$Q$7,$B4666&lt;'111'!$L$11),"x","")</f>
        <v/>
      </c>
      <c r="S4666" s="79" t="str">
        <f>IF(AND($O4666=$Q$7,$B4666&lt;'111'!$L$11),"x","")</f>
        <v/>
      </c>
      <c r="T4666" s="79" t="str">
        <f>IF(ISERROR(FIND('112'!$M$9,G4666,1)),"",IF((AND(FIND('112'!$M$9,G4666,1)&gt;=1,B4666='112'!$K$9,OR($N4666='112'!$I$6,$O4666='112'!$I$6))),"x",""))</f>
        <v/>
      </c>
      <c r="U4666" s="79" t="str">
        <f>IF(ISERROR(FIND('112'!$M$9,G4666,1)),"",IF((AND(LEFT(G4666,2)=LEFT('112'!$M$9,2),B4666&lt;'112'!$K$9,$N4666='112'!$I$6)),"x",""))</f>
        <v/>
      </c>
      <c r="V4666" s="79" t="str">
        <f>IF(ISERROR(FIND('112'!$M$9,G4666,1)),"",IF((AND(RIGHT(G4666,2)=RIGHT('112'!$M$9,2),B4666&lt;'112'!$K$9,$O4666='112'!$I$6)),"x",""))</f>
        <v/>
      </c>
      <c r="W4666" s="79" t="str">
        <f>IF(AND('341-CT'!$H$9=H4666,OR(LEFT(N4666,3)=$W$7,LEFT(O4666,3)=$W$7)),"x","")</f>
        <v/>
      </c>
      <c r="X4666" s="79" t="str">
        <f>IF(OR(TH!N4666=TH!$X$7,O4666=TH!$X$7),"x","")</f>
        <v/>
      </c>
      <c r="Y4666" s="79" t="str">
        <f>IF(AND(OR(N4666="131",O4666="131"),H4666='131-CT'!$H$9),"x","")</f>
        <v/>
      </c>
      <c r="Z4666" s="79"/>
      <c r="AA4666" s="79" t="str">
        <f>IF(AND(MONTH(E4666)='IN-NX'!$J$5,'IN-NX'!$D$7=D4666),"x","")</f>
        <v/>
      </c>
      <c r="AB4666" s="79" t="str">
        <f>IF(AND(OR(LEFT(TH!N4666,2)="15",LEFT(TH!O4666,2)="15"),LEFT(TH!O4666,3)&lt;&gt;"111",'152-CT'!$J$8=TH!F4666),"x","")</f>
        <v/>
      </c>
      <c r="AC4666" s="79" t="str">
        <f>IF(AND(OR(LEFT(TH!N4666,2)="15",LEFT(TH!O4666,2)="15"),TK!$E$7=TH!F4666),"x","")</f>
        <v/>
      </c>
      <c r="AD4666" s="79" t="str">
        <f>IF(AND(N4666="1521",MONTH(C4666)='BK-NL'!$M$11),"x","")</f>
        <v/>
      </c>
    </row>
    <row r="4667" spans="1:30" ht="16.5" customHeight="1">
      <c r="A4667" s="318" t="str">
        <f>IF(B4667&lt;&gt;"",IF(AND(B4667='[3]IN-TC'!$S$4,OR([3]TH!N3898="1111",[3]TH!O3898="1111")),[3]TH!D3898,""),"")</f>
        <v/>
      </c>
      <c r="B4667" s="60" t="str">
        <f t="shared" si="476"/>
        <v/>
      </c>
      <c r="C4667" s="61"/>
      <c r="D4667" s="61"/>
      <c r="E4667" s="61"/>
      <c r="F4667" s="947"/>
      <c r="G4667" s="64"/>
      <c r="H4667" s="69"/>
      <c r="I4667" s="385"/>
      <c r="J4667" s="392"/>
      <c r="K4667" s="392"/>
      <c r="L4667" s="392"/>
      <c r="M4667" s="392"/>
      <c r="N4667" s="63"/>
      <c r="O4667" s="63"/>
      <c r="P4667" s="79" t="str">
        <f>IF(AND('331-CT'!$E$7=TH!H4667,OR(N4667="331",O4667="331")),"x","")</f>
        <v/>
      </c>
      <c r="Q4667" s="79" t="str">
        <f>IF(AND(B4667='111'!$L$11,OR($N4667=$Q$7,$O4667=$Q$7)),"x","")</f>
        <v/>
      </c>
      <c r="R4667" s="79" t="str">
        <f>IF(AND($N4667=$Q$7,$B4667&lt;'111'!$L$11),"x","")</f>
        <v/>
      </c>
      <c r="S4667" s="79" t="str">
        <f>IF(AND($O4667=$Q$7,$B4667&lt;'111'!$L$11),"x","")</f>
        <v/>
      </c>
      <c r="T4667" s="79" t="str">
        <f>IF(ISERROR(FIND('112'!$M$9,G4667,1)),"",IF((AND(FIND('112'!$M$9,G4667,1)&gt;=1,B4667='112'!$K$9,OR($N4667='112'!$I$6,$O4667='112'!$I$6))),"x",""))</f>
        <v/>
      </c>
      <c r="U4667" s="79" t="str">
        <f>IF(ISERROR(FIND('112'!$M$9,G4667,1)),"",IF((AND(LEFT(G4667,2)=LEFT('112'!$M$9,2),B4667&lt;'112'!$K$9,$N4667='112'!$I$6)),"x",""))</f>
        <v/>
      </c>
      <c r="V4667" s="79" t="str">
        <f>IF(ISERROR(FIND('112'!$M$9,G4667,1)),"",IF((AND(RIGHT(G4667,2)=RIGHT('112'!$M$9,2),B4667&lt;'112'!$K$9,$O4667='112'!$I$6)),"x",""))</f>
        <v/>
      </c>
      <c r="W4667" s="79" t="str">
        <f>IF(AND('341-CT'!$H$9=H4667,OR(LEFT(N4667,3)=$W$7,LEFT(O4667,3)=$W$7)),"x","")</f>
        <v/>
      </c>
      <c r="X4667" s="79" t="str">
        <f>IF(OR(TH!N4667=TH!$X$7,O4667=TH!$X$7),"x","")</f>
        <v/>
      </c>
      <c r="Y4667" s="79" t="str">
        <f>IF(AND(OR(N4667="131",O4667="131"),H4667='131-CT'!$H$9),"x","")</f>
        <v/>
      </c>
      <c r="Z4667" s="79"/>
      <c r="AA4667" s="79" t="str">
        <f>IF(AND(MONTH(E4667)='IN-NX'!$J$5,'IN-NX'!$D$7=D4667),"x","")</f>
        <v/>
      </c>
      <c r="AB4667" s="79" t="str">
        <f>IF(AND(OR(LEFT(TH!N4667,2)="15",LEFT(TH!O4667,2)="15"),LEFT(TH!O4667,3)&lt;&gt;"111",'152-CT'!$J$8=TH!F4667),"x","")</f>
        <v/>
      </c>
      <c r="AC4667" s="79" t="str">
        <f>IF(AND(OR(LEFT(TH!N4667,2)="15",LEFT(TH!O4667,2)="15"),TK!$E$7=TH!F4667),"x","")</f>
        <v/>
      </c>
      <c r="AD4667" s="79" t="str">
        <f>IF(AND(N4667="1521",MONTH(C4667)='BK-NL'!$M$11),"x","")</f>
        <v/>
      </c>
    </row>
    <row r="4668" spans="1:30" ht="16.5" customHeight="1">
      <c r="A4668" s="318" t="str">
        <f>IF(B4668&lt;&gt;"",IF(AND(B4668='[3]IN-TC'!$S$4,OR([3]TH!N3899="1111",[3]TH!O3899="1111")),[3]TH!D3899,""),"")</f>
        <v/>
      </c>
      <c r="B4668" s="60" t="str">
        <f t="shared" si="476"/>
        <v/>
      </c>
      <c r="C4668" s="61"/>
      <c r="D4668" s="61"/>
      <c r="E4668" s="61"/>
      <c r="F4668" s="302"/>
      <c r="G4668" s="64"/>
      <c r="H4668" s="69"/>
      <c r="I4668" s="385"/>
      <c r="J4668" s="392"/>
      <c r="K4668" s="385"/>
      <c r="L4668" s="392"/>
      <c r="M4668" s="62"/>
      <c r="N4668" s="63"/>
      <c r="O4668" s="63"/>
      <c r="P4668" s="79" t="str">
        <f>IF(AND('331-CT'!$E$7=TH!H4668,OR(N4668="331",O4668="331")),"x","")</f>
        <v/>
      </c>
      <c r="Q4668" s="79" t="str">
        <f>IF(AND(B4668='111'!$L$11,OR($N4668=$Q$7,$O4668=$Q$7)),"x","")</f>
        <v/>
      </c>
      <c r="R4668" s="79" t="str">
        <f>IF(AND($N4668=$Q$7,$B4668&lt;'111'!$L$11),"x","")</f>
        <v/>
      </c>
      <c r="S4668" s="79" t="str">
        <f>IF(AND($O4668=$Q$7,$B4668&lt;'111'!$L$11),"x","")</f>
        <v/>
      </c>
      <c r="T4668" s="79" t="str">
        <f>IF(ISERROR(FIND('112'!$M$9,G4668,1)),"",IF((AND(FIND('112'!$M$9,G4668,1)&gt;=1,B4668='112'!$K$9,OR($N4668='112'!$I$6,$O4668='112'!$I$6))),"x",""))</f>
        <v/>
      </c>
      <c r="U4668" s="79" t="str">
        <f>IF(ISERROR(FIND('112'!$M$9,G4668,1)),"",IF((AND(LEFT(G4668,2)=LEFT('112'!$M$9,2),B4668&lt;'112'!$K$9,$N4668='112'!$I$6)),"x",""))</f>
        <v/>
      </c>
      <c r="V4668" s="79" t="str">
        <f>IF(ISERROR(FIND('112'!$M$9,G4668,1)),"",IF((AND(RIGHT(G4668,2)=RIGHT('112'!$M$9,2),B4668&lt;'112'!$K$9,$O4668='112'!$I$6)),"x",""))</f>
        <v/>
      </c>
      <c r="W4668" s="79" t="str">
        <f>IF(AND('341-CT'!$H$9=H4668,OR(LEFT(N4668,3)=$W$7,LEFT(O4668,3)=$W$7)),"x","")</f>
        <v/>
      </c>
      <c r="X4668" s="79" t="str">
        <f>IF(OR(TH!N4668=TH!$X$7,O4668=TH!$X$7),"x","")</f>
        <v/>
      </c>
      <c r="Y4668" s="79" t="str">
        <f>IF(AND(OR(N4668="131",O4668="131"),H4668='131-CT'!$H$9),"x","")</f>
        <v/>
      </c>
      <c r="Z4668" s="79"/>
      <c r="AA4668" s="79" t="str">
        <f>IF(AND(MONTH(E4668)='IN-NX'!$J$5,'IN-NX'!$D$7=D4668),"x","")</f>
        <v/>
      </c>
      <c r="AB4668" s="79" t="str">
        <f>IF(AND(OR(LEFT(TH!N4668,2)="15",LEFT(TH!O4668,2)="15"),LEFT(TH!O4668,3)&lt;&gt;"111",'152-CT'!$J$8=TH!F4668),"x","")</f>
        <v/>
      </c>
      <c r="AC4668" s="79" t="str">
        <f>IF(AND(OR(LEFT(TH!N4668,2)="15",LEFT(TH!O4668,2)="15"),TK!$E$7=TH!F4668),"x","")</f>
        <v/>
      </c>
      <c r="AD4668" s="79" t="str">
        <f>IF(AND(N4668="1521",MONTH(C4668)='BK-NL'!$M$11),"x","")</f>
        <v/>
      </c>
    </row>
    <row r="4669" spans="1:30" ht="16.5" customHeight="1">
      <c r="A4669" s="318" t="str">
        <f>IF(B4669&lt;&gt;"",IF(AND(B4669='[3]IN-TC'!$S$4,OR([3]TH!N3900="1111",[3]TH!O3900="1111")),[3]TH!D3900,""),"")</f>
        <v/>
      </c>
      <c r="B4669" s="60" t="str">
        <f t="shared" si="476"/>
        <v/>
      </c>
      <c r="C4669" s="61"/>
      <c r="D4669" s="61"/>
      <c r="E4669" s="61"/>
      <c r="F4669" s="69"/>
      <c r="G4669" s="64"/>
      <c r="H4669" s="69"/>
      <c r="I4669" s="385"/>
      <c r="J4669" s="392"/>
      <c r="K4669" s="392"/>
      <c r="L4669" s="392"/>
      <c r="M4669" s="392"/>
      <c r="N4669" s="63"/>
      <c r="O4669" s="63"/>
      <c r="P4669" s="79" t="str">
        <f>IF(AND('331-CT'!$E$7=TH!H4669,OR(N4669="331",O4669="331")),"x","")</f>
        <v/>
      </c>
      <c r="Q4669" s="79" t="str">
        <f>IF(AND(B4669='111'!$L$11,OR($N4669=$Q$7,$O4669=$Q$7)),"x","")</f>
        <v/>
      </c>
      <c r="R4669" s="79" t="str">
        <f>IF(AND($N4669=$Q$7,$B4669&lt;'111'!$L$11),"x","")</f>
        <v/>
      </c>
      <c r="S4669" s="79" t="str">
        <f>IF(AND($O4669=$Q$7,$B4669&lt;'111'!$L$11),"x","")</f>
        <v/>
      </c>
      <c r="T4669" s="79" t="str">
        <f>IF(ISERROR(FIND('112'!$M$9,G4669,1)),"",IF((AND(FIND('112'!$M$9,G4669,1)&gt;=1,B4669='112'!$K$9,OR($N4669='112'!$I$6,$O4669='112'!$I$6))),"x",""))</f>
        <v/>
      </c>
      <c r="U4669" s="79" t="str">
        <f>IF(ISERROR(FIND('112'!$M$9,G4669,1)),"",IF((AND(LEFT(G4669,2)=LEFT('112'!$M$9,2),B4669&lt;'112'!$K$9,$N4669='112'!$I$6)),"x",""))</f>
        <v/>
      </c>
      <c r="V4669" s="79" t="str">
        <f>IF(ISERROR(FIND('112'!$M$9,G4669,1)),"",IF((AND(RIGHT(G4669,2)=RIGHT('112'!$M$9,2),B4669&lt;'112'!$K$9,$O4669='112'!$I$6)),"x",""))</f>
        <v/>
      </c>
      <c r="W4669" s="79" t="str">
        <f>IF(AND('341-CT'!$H$9=H4669,OR(LEFT(N4669,3)=$W$7,LEFT(O4669,3)=$W$7)),"x","")</f>
        <v/>
      </c>
      <c r="X4669" s="79" t="str">
        <f>IF(OR(TH!N4669=TH!$X$7,O4669=TH!$X$7),"x","")</f>
        <v/>
      </c>
      <c r="Y4669" s="79" t="str">
        <f>IF(AND(OR(N4669="131",O4669="131"),H4669='131-CT'!$H$9),"x","")</f>
        <v/>
      </c>
      <c r="Z4669" s="79"/>
      <c r="AA4669" s="79" t="str">
        <f>IF(AND(MONTH(E4669)='IN-NX'!$J$5,'IN-NX'!$D$7=D4669),"x","")</f>
        <v/>
      </c>
      <c r="AB4669" s="79" t="str">
        <f>IF(AND(OR(LEFT(TH!N4669,2)="15",LEFT(TH!O4669,2)="15"),LEFT(TH!O4669,3)&lt;&gt;"111",'152-CT'!$J$8=TH!F4669),"x","")</f>
        <v/>
      </c>
      <c r="AC4669" s="79" t="str">
        <f>IF(AND(OR(LEFT(TH!N4669,2)="15",LEFT(TH!O4669,2)="15"),TK!$E$7=TH!F4669),"x","")</f>
        <v/>
      </c>
      <c r="AD4669" s="79" t="str">
        <f>IF(AND(N4669="1521",MONTH(C4669)='BK-NL'!$M$11),"x","")</f>
        <v/>
      </c>
    </row>
    <row r="4670" spans="1:30" ht="16.5" customHeight="1">
      <c r="A4670" s="318" t="str">
        <f>IF(B4670&lt;&gt;"",IF(AND(B4670='[3]IN-TC'!$S$4,OR([3]TH!N3901="1111",[3]TH!O3901="1111")),[3]TH!D3901,""),"")</f>
        <v/>
      </c>
      <c r="B4670" s="60" t="str">
        <f t="shared" si="476"/>
        <v/>
      </c>
      <c r="C4670" s="61"/>
      <c r="D4670" s="61"/>
      <c r="E4670" s="61"/>
      <c r="F4670" s="69"/>
      <c r="G4670" s="64"/>
      <c r="H4670" s="69"/>
      <c r="I4670" s="385"/>
      <c r="J4670" s="392"/>
      <c r="K4670" s="385"/>
      <c r="L4670" s="392"/>
      <c r="M4670" s="62"/>
      <c r="N4670" s="63"/>
      <c r="O4670" s="63"/>
      <c r="P4670" s="79" t="str">
        <f>IF(AND('331-CT'!$E$7=TH!H4670,OR(N4670="331",O4670="331")),"x","")</f>
        <v/>
      </c>
      <c r="Q4670" s="79" t="str">
        <f>IF(AND(B4670='111'!$L$11,OR($N4670=$Q$7,$O4670=$Q$7)),"x","")</f>
        <v/>
      </c>
      <c r="R4670" s="79" t="str">
        <f>IF(AND($N4670=$Q$7,$B4670&lt;'111'!$L$11),"x","")</f>
        <v/>
      </c>
      <c r="S4670" s="79" t="str">
        <f>IF(AND($O4670=$Q$7,$B4670&lt;'111'!$L$11),"x","")</f>
        <v/>
      </c>
      <c r="T4670" s="79" t="str">
        <f>IF(ISERROR(FIND('112'!$M$9,G4670,1)),"",IF((AND(FIND('112'!$M$9,G4670,1)&gt;=1,B4670='112'!$K$9,OR($N4670='112'!$I$6,$O4670='112'!$I$6))),"x",""))</f>
        <v/>
      </c>
      <c r="U4670" s="79" t="str">
        <f>IF(ISERROR(FIND('112'!$M$9,G4670,1)),"",IF((AND(LEFT(G4670,2)=LEFT('112'!$M$9,2),B4670&lt;'112'!$K$9,$N4670='112'!$I$6)),"x",""))</f>
        <v/>
      </c>
      <c r="V4670" s="79" t="str">
        <f>IF(ISERROR(FIND('112'!$M$9,G4670,1)),"",IF((AND(RIGHT(G4670,2)=RIGHT('112'!$M$9,2),B4670&lt;'112'!$K$9,$O4670='112'!$I$6)),"x",""))</f>
        <v/>
      </c>
      <c r="W4670" s="79" t="str">
        <f>IF(AND('341-CT'!$H$9=H4670,OR(LEFT(N4670,3)=$W$7,LEFT(O4670,3)=$W$7)),"x","")</f>
        <v/>
      </c>
      <c r="X4670" s="79" t="str">
        <f>IF(OR(TH!N4670=TH!$X$7,O4670=TH!$X$7),"x","")</f>
        <v/>
      </c>
      <c r="Y4670" s="79" t="str">
        <f>IF(AND(OR(N4670="131",O4670="131"),H4670='131-CT'!$H$9),"x","")</f>
        <v/>
      </c>
      <c r="Z4670" s="79"/>
      <c r="AA4670" s="79" t="str">
        <f>IF(AND(MONTH(E4670)='IN-NX'!$J$5,'IN-NX'!$D$7=D4670),"x","")</f>
        <v/>
      </c>
      <c r="AB4670" s="79" t="str">
        <f>IF(AND(OR(LEFT(TH!N4670,2)="15",LEFT(TH!O4670,2)="15"),LEFT(TH!O4670,3)&lt;&gt;"111",'152-CT'!$J$8=TH!F4670),"x","")</f>
        <v/>
      </c>
      <c r="AC4670" s="79" t="str">
        <f>IF(AND(OR(LEFT(TH!N4670,2)="15",LEFT(TH!O4670,2)="15"),TK!$E$7=TH!F4670),"x","")</f>
        <v/>
      </c>
      <c r="AD4670" s="79" t="str">
        <f>IF(AND(N4670="1521",MONTH(C4670)='BK-NL'!$M$11),"x","")</f>
        <v/>
      </c>
    </row>
    <row r="4671" spans="1:30" ht="16.5" customHeight="1">
      <c r="A4671" s="318" t="str">
        <f>IF(B4671&lt;&gt;"",IF(AND(B4671='[3]IN-TC'!$S$4,OR([3]TH!N3902="1111",[3]TH!O3902="1111")),[3]TH!D3902,""),"")</f>
        <v/>
      </c>
      <c r="B4671" s="60" t="str">
        <f t="shared" si="476"/>
        <v/>
      </c>
      <c r="C4671" s="301"/>
      <c r="D4671" s="301"/>
      <c r="E4671" s="301"/>
      <c r="F4671" s="302"/>
      <c r="G4671" s="988"/>
      <c r="H4671" s="69"/>
      <c r="I4671" s="385"/>
      <c r="J4671" s="969"/>
      <c r="K4671" s="385"/>
      <c r="L4671" s="392"/>
      <c r="M4671" s="970"/>
      <c r="N4671" s="304"/>
      <c r="O4671" s="304"/>
      <c r="P4671" s="79" t="str">
        <f>IF(AND('331-CT'!$E$7=TH!H4671,OR(N4671="331",O4671="331")),"x","")</f>
        <v/>
      </c>
      <c r="Q4671" s="79" t="str">
        <f>IF(AND(B4671='111'!$L$11,OR($N4671=$Q$7,$O4671=$Q$7)),"x","")</f>
        <v/>
      </c>
      <c r="R4671" s="79" t="str">
        <f>IF(AND($N4671=$Q$7,$B4671&lt;'111'!$L$11),"x","")</f>
        <v/>
      </c>
      <c r="S4671" s="79" t="str">
        <f>IF(AND($O4671=$Q$7,$B4671&lt;'111'!$L$11),"x","")</f>
        <v/>
      </c>
      <c r="T4671" s="79" t="str">
        <f>IF(ISERROR(FIND('112'!$M$9,G4671,1)),"",IF((AND(FIND('112'!$M$9,G4671,1)&gt;=1,B4671='112'!$K$9,OR($N4671='112'!$I$6,$O4671='112'!$I$6))),"x",""))</f>
        <v/>
      </c>
      <c r="U4671" s="79" t="str">
        <f>IF(ISERROR(FIND('112'!$M$9,G4671,1)),"",IF((AND(LEFT(G4671,2)=LEFT('112'!$M$9,2),B4671&lt;'112'!$K$9,$N4671='112'!$I$6)),"x",""))</f>
        <v/>
      </c>
      <c r="V4671" s="79" t="str">
        <f>IF(ISERROR(FIND('112'!$M$9,G4671,1)),"",IF((AND(RIGHT(G4671,2)=RIGHT('112'!$M$9,2),B4671&lt;'112'!$K$9,$O4671='112'!$I$6)),"x",""))</f>
        <v/>
      </c>
      <c r="W4671" s="79" t="str">
        <f>IF(AND('341-CT'!$H$9=H4671,OR(LEFT(N4671,3)=$W$7,LEFT(O4671,3)=$W$7)),"x","")</f>
        <v/>
      </c>
      <c r="X4671" s="79" t="str">
        <f>IF(OR(TH!N4671=TH!$X$7,O4671=TH!$X$7),"x","")</f>
        <v/>
      </c>
      <c r="Y4671" s="79" t="str">
        <f>IF(AND(OR(N4671="131",O4671="131"),H4671='131-CT'!$H$9),"x","")</f>
        <v/>
      </c>
      <c r="Z4671" s="79"/>
      <c r="AA4671" s="79" t="str">
        <f>IF(AND(MONTH(E4671)='IN-NX'!$J$5,'IN-NX'!$D$7=D4671),"x","")</f>
        <v/>
      </c>
      <c r="AB4671" s="79" t="str">
        <f>IF(AND(OR(LEFT(TH!N4671,2)="15",LEFT(TH!O4671,2)="15"),LEFT(TH!O4671,3)&lt;&gt;"111",'152-CT'!$J$8=TH!F4671),"x","")</f>
        <v/>
      </c>
      <c r="AC4671" s="79" t="str">
        <f>IF(AND(OR(LEFT(TH!N4671,2)="15",LEFT(TH!O4671,2)="15"),TK!$E$7=TH!F4671),"x","")</f>
        <v/>
      </c>
      <c r="AD4671" s="79" t="str">
        <f>IF(AND(N4671="1521",MONTH(C4671)='BK-NL'!$M$11),"x","")</f>
        <v/>
      </c>
    </row>
    <row r="4672" spans="1:30" ht="16.5" customHeight="1">
      <c r="A4672" s="318" t="str">
        <f>IF(B4672&lt;&gt;"",IF(AND(B4672='[3]IN-TC'!$S$4,OR([3]TH!N3903="1111",[3]TH!O3903="1111")),[3]TH!D3903,""),"")</f>
        <v/>
      </c>
      <c r="B4672" s="60" t="str">
        <f t="shared" si="476"/>
        <v/>
      </c>
      <c r="C4672" s="61"/>
      <c r="D4672" s="61"/>
      <c r="E4672" s="61"/>
      <c r="F4672" s="947"/>
      <c r="G4672" s="64"/>
      <c r="H4672" s="69"/>
      <c r="I4672" s="385"/>
      <c r="J4672" s="392"/>
      <c r="K4672" s="392"/>
      <c r="L4672" s="392"/>
      <c r="M4672" s="392"/>
      <c r="N4672" s="63"/>
      <c r="O4672" s="63"/>
      <c r="P4672" s="79" t="str">
        <f>IF(AND('331-CT'!$E$7=TH!H4672,OR(N4672="331",O4672="331")),"x","")</f>
        <v/>
      </c>
      <c r="Q4672" s="79" t="str">
        <f>IF(AND(B4672='111'!$L$11,OR($N4672=$Q$7,$O4672=$Q$7)),"x","")</f>
        <v/>
      </c>
      <c r="R4672" s="79" t="str">
        <f>IF(AND($N4672=$Q$7,$B4672&lt;'111'!$L$11),"x","")</f>
        <v/>
      </c>
      <c r="S4672" s="79" t="str">
        <f>IF(AND($O4672=$Q$7,$B4672&lt;'111'!$L$11),"x","")</f>
        <v/>
      </c>
      <c r="T4672" s="79" t="str">
        <f>IF(ISERROR(FIND('112'!$M$9,G4672,1)),"",IF((AND(FIND('112'!$M$9,G4672,1)&gt;=1,B4672='112'!$K$9,OR($N4672='112'!$I$6,$O4672='112'!$I$6))),"x",""))</f>
        <v/>
      </c>
      <c r="U4672" s="79" t="str">
        <f>IF(ISERROR(FIND('112'!$M$9,G4672,1)),"",IF((AND(LEFT(G4672,2)=LEFT('112'!$M$9,2),B4672&lt;'112'!$K$9,$N4672='112'!$I$6)),"x",""))</f>
        <v/>
      </c>
      <c r="V4672" s="79" t="str">
        <f>IF(ISERROR(FIND('112'!$M$9,G4672,1)),"",IF((AND(RIGHT(G4672,2)=RIGHT('112'!$M$9,2),B4672&lt;'112'!$K$9,$O4672='112'!$I$6)),"x",""))</f>
        <v/>
      </c>
      <c r="W4672" s="79" t="str">
        <f>IF(AND('341-CT'!$H$9=H4672,OR(LEFT(N4672,3)=$W$7,LEFT(O4672,3)=$W$7)),"x","")</f>
        <v/>
      </c>
      <c r="X4672" s="79" t="str">
        <f>IF(OR(TH!N4672=TH!$X$7,O4672=TH!$X$7),"x","")</f>
        <v/>
      </c>
      <c r="Y4672" s="79" t="str">
        <f>IF(AND(OR(N4672="131",O4672="131"),H4672='131-CT'!$H$9),"x","")</f>
        <v/>
      </c>
      <c r="Z4672" s="79"/>
      <c r="AA4672" s="79" t="str">
        <f>IF(AND(MONTH(E4672)='IN-NX'!$J$5,'IN-NX'!$D$7=D4672),"x","")</f>
        <v/>
      </c>
      <c r="AB4672" s="79" t="str">
        <f>IF(AND(OR(LEFT(TH!N4672,2)="15",LEFT(TH!O4672,2)="15"),LEFT(TH!O4672,3)&lt;&gt;"111",'152-CT'!$J$8=TH!F4672),"x","")</f>
        <v/>
      </c>
      <c r="AC4672" s="79" t="str">
        <f>IF(AND(OR(LEFT(TH!N4672,2)="15",LEFT(TH!O4672,2)="15"),TK!$E$7=TH!F4672),"x","")</f>
        <v/>
      </c>
      <c r="AD4672" s="79" t="str">
        <f>IF(AND(N4672="1521",MONTH(C4672)='BK-NL'!$M$11),"x","")</f>
        <v/>
      </c>
    </row>
    <row r="4673" spans="1:30" ht="16.5" customHeight="1">
      <c r="A4673" s="318" t="str">
        <f>IF(B4673&lt;&gt;"",IF(AND(B4673='[3]IN-TC'!$S$4,OR([3]TH!N3904="1111",[3]TH!O3904="1111")),[3]TH!D3904,""),"")</f>
        <v/>
      </c>
      <c r="B4673" s="60" t="str">
        <f t="shared" si="476"/>
        <v/>
      </c>
      <c r="C4673" s="61"/>
      <c r="D4673" s="61"/>
      <c r="E4673" s="61"/>
      <c r="F4673" s="69"/>
      <c r="G4673" s="64"/>
      <c r="H4673" s="303"/>
      <c r="I4673" s="385"/>
      <c r="J4673" s="392"/>
      <c r="K4673" s="385"/>
      <c r="L4673" s="392"/>
      <c r="M4673" s="62"/>
      <c r="N4673" s="63"/>
      <c r="O4673" s="63"/>
      <c r="P4673" s="79" t="str">
        <f>IF(AND('331-CT'!$E$7=TH!H4673,OR(N4673="331",O4673="331")),"x","")</f>
        <v/>
      </c>
      <c r="Q4673" s="79" t="str">
        <f>IF(AND(B4673='111'!$L$11,OR($N4673=$Q$7,$O4673=$Q$7)),"x","")</f>
        <v/>
      </c>
      <c r="R4673" s="79" t="str">
        <f>IF(AND($N4673=$Q$7,$B4673&lt;'111'!$L$11),"x","")</f>
        <v/>
      </c>
      <c r="S4673" s="79" t="str">
        <f>IF(AND($O4673=$Q$7,$B4673&lt;'111'!$L$11),"x","")</f>
        <v/>
      </c>
      <c r="T4673" s="79" t="str">
        <f>IF(ISERROR(FIND('112'!$M$9,G4673,1)),"",IF((AND(FIND('112'!$M$9,G4673,1)&gt;=1,B4673='112'!$K$9,OR($N4673='112'!$I$6,$O4673='112'!$I$6))),"x",""))</f>
        <v/>
      </c>
      <c r="U4673" s="79" t="str">
        <f>IF(ISERROR(FIND('112'!$M$9,G4673,1)),"",IF((AND(LEFT(G4673,2)=LEFT('112'!$M$9,2),B4673&lt;'112'!$K$9,$N4673='112'!$I$6)),"x",""))</f>
        <v/>
      </c>
      <c r="V4673" s="79" t="str">
        <f>IF(ISERROR(FIND('112'!$M$9,G4673,1)),"",IF((AND(RIGHT(G4673,2)=RIGHT('112'!$M$9,2),B4673&lt;'112'!$K$9,$O4673='112'!$I$6)),"x",""))</f>
        <v/>
      </c>
      <c r="W4673" s="79" t="str">
        <f>IF(AND('341-CT'!$H$9=H4673,OR(LEFT(N4673,3)=$W$7,LEFT(O4673,3)=$W$7)),"x","")</f>
        <v/>
      </c>
      <c r="X4673" s="79" t="str">
        <f>IF(OR(TH!N4673=TH!$X$7,O4673=TH!$X$7),"x","")</f>
        <v/>
      </c>
      <c r="Y4673" s="79" t="str">
        <f>IF(AND(OR(N4673="131",O4673="131"),H4673='131-CT'!$H$9),"x","")</f>
        <v/>
      </c>
      <c r="Z4673" s="79"/>
      <c r="AA4673" s="79" t="str">
        <f>IF(AND(MONTH(E4673)='IN-NX'!$J$5,'IN-NX'!$D$7=D4673),"x","")</f>
        <v/>
      </c>
      <c r="AB4673" s="79" t="str">
        <f>IF(AND(OR(LEFT(TH!N4673,2)="15",LEFT(TH!O4673,2)="15"),LEFT(TH!O4673,3)&lt;&gt;"111",'152-CT'!$J$8=TH!F4673),"x","")</f>
        <v/>
      </c>
      <c r="AC4673" s="79" t="str">
        <f>IF(AND(OR(LEFT(TH!N4673,2)="15",LEFT(TH!O4673,2)="15"),TK!$E$7=TH!F4673),"x","")</f>
        <v/>
      </c>
      <c r="AD4673" s="79" t="str">
        <f>IF(AND(N4673="1521",MONTH(C4673)='BK-NL'!$M$11),"x","")</f>
        <v/>
      </c>
    </row>
    <row r="4674" spans="1:30" ht="16.5" customHeight="1">
      <c r="A4674" s="318" t="str">
        <f>IF(B4674&lt;&gt;"",IF(AND(B4674='[3]IN-TC'!$S$4,OR([3]TH!N3905="1111",[3]TH!O3905="1111")),[3]TH!D3905,""),"")</f>
        <v/>
      </c>
      <c r="B4674" s="60" t="str">
        <f t="shared" si="476"/>
        <v/>
      </c>
      <c r="C4674" s="61"/>
      <c r="D4674" s="61"/>
      <c r="E4674" s="61"/>
      <c r="F4674" s="69"/>
      <c r="G4674" s="64"/>
      <c r="H4674" s="69"/>
      <c r="I4674" s="387"/>
      <c r="J4674" s="394"/>
      <c r="K4674" s="387"/>
      <c r="L4674" s="394"/>
      <c r="M4674" s="62"/>
      <c r="N4674" s="63"/>
      <c r="O4674" s="63"/>
      <c r="P4674" s="79" t="str">
        <f>IF(AND('331-CT'!$E$7=TH!H4674,OR(N4674="331",O4674="331")),"x","")</f>
        <v/>
      </c>
      <c r="Q4674" s="79" t="str">
        <f>IF(AND(B4674='111'!$L$11,OR($N4674=$Q$7,$O4674=$Q$7)),"x","")</f>
        <v/>
      </c>
      <c r="R4674" s="79" t="str">
        <f>IF(AND($N4674=$Q$7,$B4674&lt;'111'!$L$11),"x","")</f>
        <v/>
      </c>
      <c r="S4674" s="79" t="str">
        <f>IF(AND($O4674=$Q$7,$B4674&lt;'111'!$L$11),"x","")</f>
        <v/>
      </c>
      <c r="T4674" s="79" t="str">
        <f>IF(ISERROR(FIND('112'!$M$9,G4674,1)),"",IF((AND(FIND('112'!$M$9,G4674,1)&gt;=1,B4674='112'!$K$9,OR($N4674='112'!$I$6,$O4674='112'!$I$6))),"x",""))</f>
        <v/>
      </c>
      <c r="U4674" s="79" t="str">
        <f>IF(ISERROR(FIND('112'!$M$9,G4674,1)),"",IF((AND(LEFT(G4674,2)=LEFT('112'!$M$9,2),B4674&lt;'112'!$K$9,$N4674='112'!$I$6)),"x",""))</f>
        <v/>
      </c>
      <c r="V4674" s="79" t="str">
        <f>IF(ISERROR(FIND('112'!$M$9,G4674,1)),"",IF((AND(RIGHT(G4674,2)=RIGHT('112'!$M$9,2),B4674&lt;'112'!$K$9,$O4674='112'!$I$6)),"x",""))</f>
        <v/>
      </c>
      <c r="W4674" s="79" t="str">
        <f>IF(AND('341-CT'!$H$9=H4674,OR(LEFT(N4674,3)=$W$7,LEFT(O4674,3)=$W$7)),"x","")</f>
        <v/>
      </c>
      <c r="X4674" s="79" t="str">
        <f>IF(OR(TH!N4674=TH!$X$7,O4674=TH!$X$7),"x","")</f>
        <v/>
      </c>
      <c r="Y4674" s="79" t="str">
        <f>IF(AND(OR(N4674="131",O4674="131"),H4674='131-CT'!$H$9),"x","")</f>
        <v/>
      </c>
      <c r="Z4674" s="79"/>
      <c r="AA4674" s="79" t="str">
        <f>IF(AND(MONTH(E4674)='IN-NX'!$J$5,'IN-NX'!$D$7=D4674),"x","")</f>
        <v/>
      </c>
      <c r="AB4674" s="79" t="str">
        <f>IF(AND(OR(LEFT(TH!N4674,2)="15",LEFT(TH!O4674,2)="15"),LEFT(TH!O4674,3)&lt;&gt;"111",'152-CT'!$J$8=TH!F4674),"x","")</f>
        <v/>
      </c>
      <c r="AC4674" s="79" t="str">
        <f>IF(AND(OR(LEFT(TH!N4674,2)="15",LEFT(TH!O4674,2)="15"),TK!$E$7=TH!F4674),"x","")</f>
        <v/>
      </c>
      <c r="AD4674" s="79" t="str">
        <f>IF(AND(N4674="1521",MONTH(C4674)='BK-NL'!$M$11),"x","")</f>
        <v/>
      </c>
    </row>
    <row r="4675" spans="1:30" ht="16.5" customHeight="1">
      <c r="A4675" s="318" t="str">
        <f>IF(B4675&lt;&gt;"",IF(AND(B4675='[3]IN-TC'!$S$4,OR([3]TH!N3906="1111",[3]TH!O3906="1111")),[3]TH!D3906,""),"")</f>
        <v/>
      </c>
      <c r="B4675" s="60" t="str">
        <f t="shared" si="476"/>
        <v/>
      </c>
      <c r="C4675" s="61"/>
      <c r="D4675" s="61"/>
      <c r="E4675" s="61"/>
      <c r="F4675" s="69"/>
      <c r="G4675" s="64"/>
      <c r="H4675" s="69"/>
      <c r="I4675" s="387"/>
      <c r="J4675" s="394"/>
      <c r="K4675" s="387"/>
      <c r="L4675" s="394"/>
      <c r="M4675" s="62"/>
      <c r="N4675" s="63"/>
      <c r="O4675" s="63"/>
      <c r="P4675" s="79" t="str">
        <f>IF(AND('331-CT'!$E$7=TH!H4675,OR(N4675="331",O4675="331")),"x","")</f>
        <v/>
      </c>
      <c r="Q4675" s="79" t="str">
        <f>IF(AND(B4675='111'!$L$11,OR($N4675=$Q$7,$O4675=$Q$7)),"x","")</f>
        <v/>
      </c>
      <c r="R4675" s="79" t="str">
        <f>IF(AND($N4675=$Q$7,$B4675&lt;'111'!$L$11),"x","")</f>
        <v/>
      </c>
      <c r="S4675" s="79" t="str">
        <f>IF(AND($O4675=$Q$7,$B4675&lt;'111'!$L$11),"x","")</f>
        <v/>
      </c>
      <c r="T4675" s="79" t="str">
        <f>IF(ISERROR(FIND('112'!$M$9,G4675,1)),"",IF((AND(FIND('112'!$M$9,G4675,1)&gt;=1,B4675='112'!$K$9,OR($N4675='112'!$I$6,$O4675='112'!$I$6))),"x",""))</f>
        <v/>
      </c>
      <c r="U4675" s="79" t="str">
        <f>IF(ISERROR(FIND('112'!$M$9,G4675,1)),"",IF((AND(LEFT(G4675,2)=LEFT('112'!$M$9,2),B4675&lt;'112'!$K$9,$N4675='112'!$I$6)),"x",""))</f>
        <v/>
      </c>
      <c r="V4675" s="79" t="str">
        <f>IF(ISERROR(FIND('112'!$M$9,G4675,1)),"",IF((AND(RIGHT(G4675,2)=RIGHT('112'!$M$9,2),B4675&lt;'112'!$K$9,$O4675='112'!$I$6)),"x",""))</f>
        <v/>
      </c>
      <c r="W4675" s="79" t="str">
        <f>IF(AND('341-CT'!$H$9=H4675,OR(LEFT(N4675,3)=$W$7,LEFT(O4675,3)=$W$7)),"x","")</f>
        <v/>
      </c>
      <c r="X4675" s="79" t="str">
        <f>IF(OR(TH!N4675=TH!$X$7,O4675=TH!$X$7),"x","")</f>
        <v/>
      </c>
      <c r="Y4675" s="79" t="str">
        <f>IF(AND(OR(N4675="131",O4675="131"),H4675='131-CT'!$H$9),"x","")</f>
        <v/>
      </c>
      <c r="Z4675" s="79"/>
      <c r="AA4675" s="79" t="str">
        <f>IF(AND(MONTH(E4675)='IN-NX'!$J$5,'IN-NX'!$D$7=D4675),"x","")</f>
        <v/>
      </c>
      <c r="AB4675" s="79" t="str">
        <f>IF(AND(OR(LEFT(TH!N4675,2)="15",LEFT(TH!O4675,2)="15"),LEFT(TH!O4675,3)&lt;&gt;"111",'152-CT'!$J$8=TH!F4675),"x","")</f>
        <v/>
      </c>
      <c r="AC4675" s="79" t="str">
        <f>IF(AND(OR(LEFT(TH!N4675,2)="15",LEFT(TH!O4675,2)="15"),TK!$E$7=TH!F4675),"x","")</f>
        <v/>
      </c>
      <c r="AD4675" s="79" t="str">
        <f>IF(AND(N4675="1521",MONTH(C4675)='BK-NL'!$M$11),"x","")</f>
        <v/>
      </c>
    </row>
    <row r="4676" spans="1:30" ht="16.5" customHeight="1">
      <c r="A4676" s="318" t="str">
        <f>IF(B4676&lt;&gt;"",IF(AND(B4676='[3]IN-TC'!$S$4,OR([3]TH!N3907="1111",[3]TH!O3907="1111")),[3]TH!D3907,""),"")</f>
        <v/>
      </c>
      <c r="B4676" s="60" t="str">
        <f t="shared" si="476"/>
        <v/>
      </c>
      <c r="C4676" s="61"/>
      <c r="D4676" s="61"/>
      <c r="E4676" s="61"/>
      <c r="F4676" s="69"/>
      <c r="G4676" s="64"/>
      <c r="H4676" s="303"/>
      <c r="I4676" s="385"/>
      <c r="J4676" s="392"/>
      <c r="K4676" s="385"/>
      <c r="L4676" s="392"/>
      <c r="M4676" s="62"/>
      <c r="N4676" s="63"/>
      <c r="O4676" s="63"/>
      <c r="P4676" s="79" t="str">
        <f>IF(AND('331-CT'!$E$7=TH!H4676,OR(N4676="331",O4676="331")),"x","")</f>
        <v/>
      </c>
      <c r="Q4676" s="79" t="str">
        <f>IF(AND(B4676='111'!$L$11,OR($N4676=$Q$7,$O4676=$Q$7)),"x","")</f>
        <v/>
      </c>
      <c r="R4676" s="79" t="str">
        <f>IF(AND($N4676=$Q$7,$B4676&lt;'111'!$L$11),"x","")</f>
        <v/>
      </c>
      <c r="S4676" s="79" t="str">
        <f>IF(AND($O4676=$Q$7,$B4676&lt;'111'!$L$11),"x","")</f>
        <v/>
      </c>
      <c r="T4676" s="79" t="str">
        <f>IF(ISERROR(FIND('112'!$M$9,G4676,1)),"",IF((AND(FIND('112'!$M$9,G4676,1)&gt;=1,B4676='112'!$K$9,OR($N4676='112'!$I$6,$O4676='112'!$I$6))),"x",""))</f>
        <v/>
      </c>
      <c r="U4676" s="79" t="str">
        <f>IF(ISERROR(FIND('112'!$M$9,G4676,1)),"",IF((AND(LEFT(G4676,2)=LEFT('112'!$M$9,2),B4676&lt;'112'!$K$9,$N4676='112'!$I$6)),"x",""))</f>
        <v/>
      </c>
      <c r="V4676" s="79" t="str">
        <f>IF(ISERROR(FIND('112'!$M$9,G4676,1)),"",IF((AND(RIGHT(G4676,2)=RIGHT('112'!$M$9,2),B4676&lt;'112'!$K$9,$O4676='112'!$I$6)),"x",""))</f>
        <v/>
      </c>
      <c r="W4676" s="79" t="str">
        <f>IF(AND('341-CT'!$H$9=H4676,OR(LEFT(N4676,3)=$W$7,LEFT(O4676,3)=$W$7)),"x","")</f>
        <v/>
      </c>
      <c r="X4676" s="79" t="str">
        <f>IF(OR(TH!N4676=TH!$X$7,O4676=TH!$X$7),"x","")</f>
        <v/>
      </c>
      <c r="Y4676" s="79" t="str">
        <f>IF(AND(OR(N4676="131",O4676="131"),H4676='131-CT'!$H$9),"x","")</f>
        <v/>
      </c>
      <c r="Z4676" s="79"/>
      <c r="AA4676" s="79" t="str">
        <f>IF(AND(MONTH(E4676)='IN-NX'!$J$5,'IN-NX'!$D$7=D4676),"x","")</f>
        <v/>
      </c>
      <c r="AB4676" s="79" t="str">
        <f>IF(AND(OR(LEFT(TH!N4676,2)="15",LEFT(TH!O4676,2)="15"),LEFT(TH!O4676,3)&lt;&gt;"111",'152-CT'!$J$8=TH!F4676),"x","")</f>
        <v/>
      </c>
      <c r="AC4676" s="79" t="str">
        <f>IF(AND(OR(LEFT(TH!N4676,2)="15",LEFT(TH!O4676,2)="15"),TK!$E$7=TH!F4676),"x","")</f>
        <v/>
      </c>
      <c r="AD4676" s="79" t="str">
        <f>IF(AND(N4676="1521",MONTH(C4676)='BK-NL'!$M$11),"x","")</f>
        <v/>
      </c>
    </row>
    <row r="4677" spans="1:30" ht="16.5" customHeight="1">
      <c r="A4677" s="318" t="str">
        <f>IF(B4677&lt;&gt;"",IF(AND(B4677='[3]IN-TC'!$S$4,OR([3]TH!N3908="1111",[3]TH!O3908="1111")),[3]TH!D3908,""),"")</f>
        <v/>
      </c>
      <c r="B4677" s="60" t="str">
        <f t="shared" si="476"/>
        <v/>
      </c>
      <c r="C4677" s="61"/>
      <c r="D4677" s="61"/>
      <c r="E4677" s="61"/>
      <c r="F4677" s="69"/>
      <c r="G4677" s="64"/>
      <c r="H4677" s="69"/>
      <c r="I4677" s="387"/>
      <c r="J4677" s="394"/>
      <c r="K4677" s="387"/>
      <c r="L4677" s="394"/>
      <c r="M4677" s="62"/>
      <c r="N4677" s="63"/>
      <c r="O4677" s="63"/>
      <c r="P4677" s="79" t="str">
        <f>IF(AND('331-CT'!$E$7=TH!H4677,OR(N4677="331",O4677="331")),"x","")</f>
        <v/>
      </c>
      <c r="Q4677" s="79" t="str">
        <f>IF(AND(B4677='111'!$L$11,OR($N4677=$Q$7,$O4677=$Q$7)),"x","")</f>
        <v/>
      </c>
      <c r="R4677" s="79" t="str">
        <f>IF(AND($N4677=$Q$7,$B4677&lt;'111'!$L$11),"x","")</f>
        <v/>
      </c>
      <c r="S4677" s="79" t="str">
        <f>IF(AND($O4677=$Q$7,$B4677&lt;'111'!$L$11),"x","")</f>
        <v/>
      </c>
      <c r="T4677" s="79" t="str">
        <f>IF(ISERROR(FIND('112'!$M$9,G4677,1)),"",IF((AND(FIND('112'!$M$9,G4677,1)&gt;=1,B4677='112'!$K$9,OR($N4677='112'!$I$6,$O4677='112'!$I$6))),"x",""))</f>
        <v/>
      </c>
      <c r="U4677" s="79" t="str">
        <f>IF(ISERROR(FIND('112'!$M$9,G4677,1)),"",IF((AND(LEFT(G4677,2)=LEFT('112'!$M$9,2),B4677&lt;'112'!$K$9,$N4677='112'!$I$6)),"x",""))</f>
        <v/>
      </c>
      <c r="V4677" s="79" t="str">
        <f>IF(ISERROR(FIND('112'!$M$9,G4677,1)),"",IF((AND(RIGHT(G4677,2)=RIGHT('112'!$M$9,2),B4677&lt;'112'!$K$9,$O4677='112'!$I$6)),"x",""))</f>
        <v/>
      </c>
      <c r="W4677" s="79" t="str">
        <f>IF(AND('341-CT'!$H$9=H4677,OR(LEFT(N4677,3)=$W$7,LEFT(O4677,3)=$W$7)),"x","")</f>
        <v/>
      </c>
      <c r="X4677" s="79" t="str">
        <f>IF(OR(TH!N4677=TH!$X$7,O4677=TH!$X$7),"x","")</f>
        <v/>
      </c>
      <c r="Y4677" s="79" t="str">
        <f>IF(AND(OR(N4677="131",O4677="131"),H4677='131-CT'!$H$9),"x","")</f>
        <v/>
      </c>
      <c r="Z4677" s="79"/>
      <c r="AA4677" s="79" t="str">
        <f>IF(AND(MONTH(E4677)='IN-NX'!$J$5,'IN-NX'!$D$7=D4677),"x","")</f>
        <v/>
      </c>
      <c r="AB4677" s="79" t="str">
        <f>IF(AND(OR(LEFT(TH!N4677,2)="15",LEFT(TH!O4677,2)="15"),LEFT(TH!O4677,3)&lt;&gt;"111",'152-CT'!$J$8=TH!F4677),"x","")</f>
        <v/>
      </c>
      <c r="AC4677" s="79" t="str">
        <f>IF(AND(OR(LEFT(TH!N4677,2)="15",LEFT(TH!O4677,2)="15"),TK!$E$7=TH!F4677),"x","")</f>
        <v/>
      </c>
      <c r="AD4677" s="79" t="str">
        <f>IF(AND(N4677="1521",MONTH(C4677)='BK-NL'!$M$11),"x","")</f>
        <v/>
      </c>
    </row>
    <row r="4678" spans="1:30" ht="16.5" customHeight="1">
      <c r="A4678" s="318" t="str">
        <f>IF(B4678&lt;&gt;"",IF(AND(B4678='[3]IN-TC'!$S$4,OR([3]TH!N3909="1111",[3]TH!O3909="1111")),[3]TH!D3909,""),"")</f>
        <v/>
      </c>
      <c r="B4678" s="60" t="str">
        <f t="shared" si="476"/>
        <v/>
      </c>
      <c r="C4678" s="61"/>
      <c r="D4678" s="61"/>
      <c r="E4678" s="61"/>
      <c r="F4678" s="69"/>
      <c r="G4678" s="64"/>
      <c r="H4678" s="69"/>
      <c r="I4678" s="387"/>
      <c r="J4678" s="394"/>
      <c r="K4678" s="387"/>
      <c r="L4678" s="394"/>
      <c r="M4678" s="62"/>
      <c r="N4678" s="63"/>
      <c r="O4678" s="63"/>
      <c r="P4678" s="79" t="str">
        <f>IF(AND('331-CT'!$E$7=TH!H4678,OR(N4678="331",O4678="331")),"x","")</f>
        <v/>
      </c>
      <c r="Q4678" s="79" t="str">
        <f>IF(AND(B4678='111'!$L$11,OR($N4678=$Q$7,$O4678=$Q$7)),"x","")</f>
        <v/>
      </c>
      <c r="R4678" s="79" t="str">
        <f>IF(AND($N4678=$Q$7,$B4678&lt;'111'!$L$11),"x","")</f>
        <v/>
      </c>
      <c r="S4678" s="79" t="str">
        <f>IF(AND($O4678=$Q$7,$B4678&lt;'111'!$L$11),"x","")</f>
        <v/>
      </c>
      <c r="T4678" s="79" t="str">
        <f>IF(ISERROR(FIND('112'!$M$9,G4678,1)),"",IF((AND(FIND('112'!$M$9,G4678,1)&gt;=1,B4678='112'!$K$9,OR($N4678='112'!$I$6,$O4678='112'!$I$6))),"x",""))</f>
        <v/>
      </c>
      <c r="U4678" s="79" t="str">
        <f>IF(ISERROR(FIND('112'!$M$9,G4678,1)),"",IF((AND(LEFT(G4678,2)=LEFT('112'!$M$9,2),B4678&lt;'112'!$K$9,$N4678='112'!$I$6)),"x",""))</f>
        <v/>
      </c>
      <c r="V4678" s="79" t="str">
        <f>IF(ISERROR(FIND('112'!$M$9,G4678,1)),"",IF((AND(RIGHT(G4678,2)=RIGHT('112'!$M$9,2),B4678&lt;'112'!$K$9,$O4678='112'!$I$6)),"x",""))</f>
        <v/>
      </c>
      <c r="W4678" s="79" t="str">
        <f>IF(AND('341-CT'!$H$9=H4678,OR(LEFT(N4678,3)=$W$7,LEFT(O4678,3)=$W$7)),"x","")</f>
        <v/>
      </c>
      <c r="X4678" s="79" t="str">
        <f>IF(OR(TH!N4678=TH!$X$7,O4678=TH!$X$7),"x","")</f>
        <v/>
      </c>
      <c r="Y4678" s="79" t="str">
        <f>IF(AND(OR(N4678="131",O4678="131"),H4678='131-CT'!$H$9),"x","")</f>
        <v/>
      </c>
      <c r="Z4678" s="79"/>
      <c r="AA4678" s="79" t="str">
        <f>IF(AND(MONTH(E4678)='IN-NX'!$J$5,'IN-NX'!$D$7=D4678),"x","")</f>
        <v/>
      </c>
      <c r="AB4678" s="79" t="str">
        <f>IF(AND(OR(LEFT(TH!N4678,2)="15",LEFT(TH!O4678,2)="15"),LEFT(TH!O4678,3)&lt;&gt;"111",'152-CT'!$J$8=TH!F4678),"x","")</f>
        <v/>
      </c>
      <c r="AC4678" s="79" t="str">
        <f>IF(AND(OR(LEFT(TH!N4678,2)="15",LEFT(TH!O4678,2)="15"),TK!$E$7=TH!F4678),"x","")</f>
        <v/>
      </c>
      <c r="AD4678" s="79" t="str">
        <f>IF(AND(N4678="1521",MONTH(C4678)='BK-NL'!$M$11),"x","")</f>
        <v/>
      </c>
    </row>
    <row r="4679" spans="1:30" ht="16.5" customHeight="1">
      <c r="A4679" s="318" t="str">
        <f>IF(B4679&lt;&gt;"",IF(AND(B4679='[3]IN-TC'!$S$4,OR([3]TH!N3910="1111",[3]TH!O3910="1111")),[3]TH!D3910,""),"")</f>
        <v/>
      </c>
      <c r="B4679" s="60" t="str">
        <f t="shared" si="476"/>
        <v/>
      </c>
      <c r="C4679" s="301"/>
      <c r="D4679" s="301"/>
      <c r="E4679" s="301"/>
      <c r="F4679" s="302"/>
      <c r="G4679" s="988"/>
      <c r="H4679" s="69"/>
      <c r="I4679" s="385"/>
      <c r="J4679" s="969"/>
      <c r="K4679" s="385"/>
      <c r="L4679" s="392"/>
      <c r="M4679" s="970"/>
      <c r="N4679" s="304"/>
      <c r="O4679" s="304"/>
      <c r="P4679" s="79" t="str">
        <f>IF(AND('331-CT'!$E$7=TH!H4679,OR(N4679="331",O4679="331")),"x","")</f>
        <v/>
      </c>
      <c r="Q4679" s="79" t="str">
        <f>IF(AND(B4679='111'!$L$11,OR($N4679=$Q$7,$O4679=$Q$7)),"x","")</f>
        <v/>
      </c>
      <c r="R4679" s="79" t="str">
        <f>IF(AND($N4679=$Q$7,$B4679&lt;'111'!$L$11),"x","")</f>
        <v/>
      </c>
      <c r="S4679" s="79" t="str">
        <f>IF(AND($O4679=$Q$7,$B4679&lt;'111'!$L$11),"x","")</f>
        <v/>
      </c>
      <c r="T4679" s="79" t="str">
        <f>IF(ISERROR(FIND('112'!$M$9,G4679,1)),"",IF((AND(FIND('112'!$M$9,G4679,1)&gt;=1,B4679='112'!$K$9,OR($N4679='112'!$I$6,$O4679='112'!$I$6))),"x",""))</f>
        <v/>
      </c>
      <c r="U4679" s="79" t="str">
        <f>IF(ISERROR(FIND('112'!$M$9,G4679,1)),"",IF((AND(LEFT(G4679,2)=LEFT('112'!$M$9,2),B4679&lt;'112'!$K$9,$N4679='112'!$I$6)),"x",""))</f>
        <v/>
      </c>
      <c r="V4679" s="79" t="str">
        <f>IF(ISERROR(FIND('112'!$M$9,G4679,1)),"",IF((AND(RIGHT(G4679,2)=RIGHT('112'!$M$9,2),B4679&lt;'112'!$K$9,$O4679='112'!$I$6)),"x",""))</f>
        <v/>
      </c>
      <c r="W4679" s="79" t="str">
        <f>IF(AND('341-CT'!$H$9=H4679,OR(LEFT(N4679,3)=$W$7,LEFT(O4679,3)=$W$7)),"x","")</f>
        <v/>
      </c>
      <c r="X4679" s="79" t="str">
        <f>IF(OR(TH!N4679=TH!$X$7,O4679=TH!$X$7),"x","")</f>
        <v/>
      </c>
      <c r="Y4679" s="79" t="str">
        <f>IF(AND(OR(N4679="131",O4679="131"),H4679='131-CT'!$H$9),"x","")</f>
        <v/>
      </c>
      <c r="Z4679" s="79"/>
      <c r="AA4679" s="79" t="str">
        <f>IF(AND(MONTH(E4679)='IN-NX'!$J$5,'IN-NX'!$D$7=D4679),"x","")</f>
        <v/>
      </c>
      <c r="AB4679" s="79" t="str">
        <f>IF(AND(OR(LEFT(TH!N4679,2)="15",LEFT(TH!O4679,2)="15"),LEFT(TH!O4679,3)&lt;&gt;"111",'152-CT'!$J$8=TH!F4679),"x","")</f>
        <v/>
      </c>
      <c r="AC4679" s="79" t="str">
        <f>IF(AND(OR(LEFT(TH!N4679,2)="15",LEFT(TH!O4679,2)="15"),TK!$E$7=TH!F4679),"x","")</f>
        <v/>
      </c>
      <c r="AD4679" s="79" t="str">
        <f>IF(AND(N4679="1521",MONTH(C4679)='BK-NL'!$M$11),"x","")</f>
        <v/>
      </c>
    </row>
    <row r="4680" spans="1:30" ht="16.5" customHeight="1">
      <c r="A4680" s="318" t="str">
        <f>IF(B4680&lt;&gt;"",IF(AND(B4680='[3]IN-TC'!$S$4,OR([3]TH!N3911="1111",[3]TH!O3911="1111")),[3]TH!D3911,""),"")</f>
        <v/>
      </c>
      <c r="B4680" s="60" t="str">
        <f t="shared" si="476"/>
        <v/>
      </c>
      <c r="C4680" s="61"/>
      <c r="D4680" s="61"/>
      <c r="E4680" s="61"/>
      <c r="F4680" s="69"/>
      <c r="G4680" s="64"/>
      <c r="H4680" s="69"/>
      <c r="I4680" s="385"/>
      <c r="J4680" s="392"/>
      <c r="K4680" s="392"/>
      <c r="L4680" s="392"/>
      <c r="M4680" s="392"/>
      <c r="N4680" s="63"/>
      <c r="O4680" s="63"/>
      <c r="P4680" s="79" t="str">
        <f>IF(AND('331-CT'!$E$7=TH!H4680,OR(N4680="331",O4680="331")),"x","")</f>
        <v/>
      </c>
      <c r="Q4680" s="79" t="str">
        <f>IF(AND(B4680='111'!$L$11,OR($N4680=$Q$7,$O4680=$Q$7)),"x","")</f>
        <v/>
      </c>
      <c r="R4680" s="79" t="str">
        <f>IF(AND($N4680=$Q$7,$B4680&lt;'111'!$L$11),"x","")</f>
        <v/>
      </c>
      <c r="S4680" s="79" t="str">
        <f>IF(AND($O4680=$Q$7,$B4680&lt;'111'!$L$11),"x","")</f>
        <v/>
      </c>
      <c r="T4680" s="79" t="str">
        <f>IF(ISERROR(FIND('112'!$M$9,G4680,1)),"",IF((AND(FIND('112'!$M$9,G4680,1)&gt;=1,B4680='112'!$K$9,OR($N4680='112'!$I$6,$O4680='112'!$I$6))),"x",""))</f>
        <v/>
      </c>
      <c r="U4680" s="79" t="str">
        <f>IF(ISERROR(FIND('112'!$M$9,G4680,1)),"",IF((AND(LEFT(G4680,2)=LEFT('112'!$M$9,2),B4680&lt;'112'!$K$9,$N4680='112'!$I$6)),"x",""))</f>
        <v/>
      </c>
      <c r="V4680" s="79" t="str">
        <f>IF(ISERROR(FIND('112'!$M$9,G4680,1)),"",IF((AND(RIGHT(G4680,2)=RIGHT('112'!$M$9,2),B4680&lt;'112'!$K$9,$O4680='112'!$I$6)),"x",""))</f>
        <v/>
      </c>
      <c r="W4680" s="79" t="str">
        <f>IF(AND('341-CT'!$H$9=H4680,OR(LEFT(N4680,3)=$W$7,LEFT(O4680,3)=$W$7)),"x","")</f>
        <v/>
      </c>
      <c r="X4680" s="79" t="str">
        <f>IF(OR(TH!N4680=TH!$X$7,O4680=TH!$X$7),"x","")</f>
        <v/>
      </c>
      <c r="Y4680" s="79" t="str">
        <f>IF(AND(OR(N4680="131",O4680="131"),H4680='131-CT'!$H$9),"x","")</f>
        <v/>
      </c>
      <c r="Z4680" s="79"/>
      <c r="AA4680" s="79" t="str">
        <f>IF(AND(MONTH(E4680)='IN-NX'!$J$5,'IN-NX'!$D$7=D4680),"x","")</f>
        <v/>
      </c>
      <c r="AB4680" s="79" t="str">
        <f>IF(AND(OR(LEFT(TH!N4680,2)="15",LEFT(TH!O4680,2)="15"),LEFT(TH!O4680,3)&lt;&gt;"111",'152-CT'!$J$8=TH!F4680),"x","")</f>
        <v/>
      </c>
      <c r="AC4680" s="79" t="str">
        <f>IF(AND(OR(LEFT(TH!N4680,2)="15",LEFT(TH!O4680,2)="15"),TK!$E$7=TH!F4680),"x","")</f>
        <v/>
      </c>
      <c r="AD4680" s="79" t="str">
        <f>IF(AND(N4680="1521",MONTH(C4680)='BK-NL'!$M$11),"x","")</f>
        <v/>
      </c>
    </row>
    <row r="4681" spans="1:30" ht="16.5" customHeight="1">
      <c r="A4681" s="318" t="str">
        <f>IF(B4681&lt;&gt;"",IF(AND(B4681='[3]IN-TC'!$S$4,OR([3]TH!N3912="1111",[3]TH!O3912="1111")),[3]TH!D3912,""),"")</f>
        <v/>
      </c>
      <c r="B4681" s="60" t="str">
        <f t="shared" si="476"/>
        <v/>
      </c>
      <c r="C4681" s="61"/>
      <c r="D4681" s="61"/>
      <c r="E4681" s="61"/>
      <c r="F4681" s="69"/>
      <c r="G4681" s="64"/>
      <c r="H4681" s="303"/>
      <c r="I4681" s="385"/>
      <c r="J4681" s="392"/>
      <c r="K4681" s="385"/>
      <c r="L4681" s="392"/>
      <c r="M4681" s="62"/>
      <c r="N4681" s="63"/>
      <c r="O4681" s="63"/>
      <c r="P4681" s="79" t="str">
        <f>IF(AND('331-CT'!$E$7=TH!H4681,OR(N4681="331",O4681="331")),"x","")</f>
        <v/>
      </c>
      <c r="Q4681" s="79" t="str">
        <f>IF(AND(B4681='111'!$L$11,OR($N4681=$Q$7,$O4681=$Q$7)),"x","")</f>
        <v/>
      </c>
      <c r="R4681" s="79" t="str">
        <f>IF(AND($N4681=$Q$7,$B4681&lt;'111'!$L$11),"x","")</f>
        <v/>
      </c>
      <c r="S4681" s="79" t="str">
        <f>IF(AND($O4681=$Q$7,$B4681&lt;'111'!$L$11),"x","")</f>
        <v/>
      </c>
      <c r="T4681" s="79" t="str">
        <f>IF(ISERROR(FIND('112'!$M$9,G4681,1)),"",IF((AND(FIND('112'!$M$9,G4681,1)&gt;=1,B4681='112'!$K$9,OR($N4681='112'!$I$6,$O4681='112'!$I$6))),"x",""))</f>
        <v/>
      </c>
      <c r="U4681" s="79" t="str">
        <f>IF(ISERROR(FIND('112'!$M$9,G4681,1)),"",IF((AND(LEFT(G4681,2)=LEFT('112'!$M$9,2),B4681&lt;'112'!$K$9,$N4681='112'!$I$6)),"x",""))</f>
        <v/>
      </c>
      <c r="V4681" s="79" t="str">
        <f>IF(ISERROR(FIND('112'!$M$9,G4681,1)),"",IF((AND(RIGHT(G4681,2)=RIGHT('112'!$M$9,2),B4681&lt;'112'!$K$9,$O4681='112'!$I$6)),"x",""))</f>
        <v/>
      </c>
      <c r="W4681" s="79" t="str">
        <f>IF(AND('341-CT'!$H$9=H4681,OR(LEFT(N4681,3)=$W$7,LEFT(O4681,3)=$W$7)),"x","")</f>
        <v/>
      </c>
      <c r="X4681" s="79" t="str">
        <f>IF(OR(TH!N4681=TH!$X$7,O4681=TH!$X$7),"x","")</f>
        <v/>
      </c>
      <c r="Y4681" s="79" t="str">
        <f>IF(AND(OR(N4681="131",O4681="131"),H4681='131-CT'!$H$9),"x","")</f>
        <v/>
      </c>
      <c r="Z4681" s="79"/>
      <c r="AA4681" s="79" t="str">
        <f>IF(AND(MONTH(E4681)='IN-NX'!$J$5,'IN-NX'!$D$7=D4681),"x","")</f>
        <v/>
      </c>
      <c r="AB4681" s="79" t="str">
        <f>IF(AND(OR(LEFT(TH!N4681,2)="15",LEFT(TH!O4681,2)="15"),LEFT(TH!O4681,3)&lt;&gt;"111",'152-CT'!$J$8=TH!F4681),"x","")</f>
        <v/>
      </c>
      <c r="AC4681" s="79" t="str">
        <f>IF(AND(OR(LEFT(TH!N4681,2)="15",LEFT(TH!O4681,2)="15"),TK!$E$7=TH!F4681),"x","")</f>
        <v/>
      </c>
      <c r="AD4681" s="79" t="str">
        <f>IF(AND(N4681="1521",MONTH(C4681)='BK-NL'!$M$11),"x","")</f>
        <v/>
      </c>
    </row>
    <row r="4682" spans="1:30" ht="16.5" customHeight="1">
      <c r="A4682" s="318" t="str">
        <f>IF(B4682&lt;&gt;"",IF(AND(B4682='[3]IN-TC'!$S$4,OR([3]TH!N3913="1111",[3]TH!O3913="1111")),[3]TH!D3913,""),"")</f>
        <v/>
      </c>
      <c r="B4682" s="60" t="str">
        <f t="shared" si="476"/>
        <v/>
      </c>
      <c r="C4682" s="61"/>
      <c r="D4682" s="61"/>
      <c r="E4682" s="61"/>
      <c r="F4682" s="69"/>
      <c r="G4682" s="64"/>
      <c r="H4682" s="69"/>
      <c r="I4682" s="387"/>
      <c r="J4682" s="394"/>
      <c r="K4682" s="387"/>
      <c r="L4682" s="394"/>
      <c r="M4682" s="62"/>
      <c r="N4682" s="63"/>
      <c r="O4682" s="63"/>
      <c r="P4682" s="79" t="str">
        <f>IF(AND('331-CT'!$E$7=TH!H4682,OR(N4682="331",O4682="331")),"x","")</f>
        <v/>
      </c>
      <c r="Q4682" s="79" t="str">
        <f>IF(AND(B4682='111'!$L$11,OR($N4682=$Q$7,$O4682=$Q$7)),"x","")</f>
        <v/>
      </c>
      <c r="R4682" s="79" t="str">
        <f>IF(AND($N4682=$Q$7,$B4682&lt;'111'!$L$11),"x","")</f>
        <v/>
      </c>
      <c r="S4682" s="79" t="str">
        <f>IF(AND($O4682=$Q$7,$B4682&lt;'111'!$L$11),"x","")</f>
        <v/>
      </c>
      <c r="T4682" s="79" t="str">
        <f>IF(ISERROR(FIND('112'!$M$9,G4682,1)),"",IF((AND(FIND('112'!$M$9,G4682,1)&gt;=1,B4682='112'!$K$9,OR($N4682='112'!$I$6,$O4682='112'!$I$6))),"x",""))</f>
        <v/>
      </c>
      <c r="U4682" s="79" t="str">
        <f>IF(ISERROR(FIND('112'!$M$9,G4682,1)),"",IF((AND(LEFT(G4682,2)=LEFT('112'!$M$9,2),B4682&lt;'112'!$K$9,$N4682='112'!$I$6)),"x",""))</f>
        <v/>
      </c>
      <c r="V4682" s="79" t="str">
        <f>IF(ISERROR(FIND('112'!$M$9,G4682,1)),"",IF((AND(RIGHT(G4682,2)=RIGHT('112'!$M$9,2),B4682&lt;'112'!$K$9,$O4682='112'!$I$6)),"x",""))</f>
        <v/>
      </c>
      <c r="W4682" s="79" t="str">
        <f>IF(AND('341-CT'!$H$9=H4682,OR(LEFT(N4682,3)=$W$7,LEFT(O4682,3)=$W$7)),"x","")</f>
        <v/>
      </c>
      <c r="X4682" s="79" t="str">
        <f>IF(OR(TH!N4682=TH!$X$7,O4682=TH!$X$7),"x","")</f>
        <v/>
      </c>
      <c r="Y4682" s="79" t="str">
        <f>IF(AND(OR(N4682="131",O4682="131"),H4682='131-CT'!$H$9),"x","")</f>
        <v/>
      </c>
      <c r="Z4682" s="79"/>
      <c r="AA4682" s="79" t="str">
        <f>IF(AND(MONTH(E4682)='IN-NX'!$J$5,'IN-NX'!$D$7=D4682),"x","")</f>
        <v/>
      </c>
      <c r="AB4682" s="79" t="str">
        <f>IF(AND(OR(LEFT(TH!N4682,2)="15",LEFT(TH!O4682,2)="15"),LEFT(TH!O4682,3)&lt;&gt;"111",'152-CT'!$J$8=TH!F4682),"x","")</f>
        <v/>
      </c>
      <c r="AC4682" s="79" t="str">
        <f>IF(AND(OR(LEFT(TH!N4682,2)="15",LEFT(TH!O4682,2)="15"),TK!$E$7=TH!F4682),"x","")</f>
        <v/>
      </c>
      <c r="AD4682" s="79" t="str">
        <f>IF(AND(N4682="1521",MONTH(C4682)='BK-NL'!$M$11),"x","")</f>
        <v/>
      </c>
    </row>
    <row r="4683" spans="1:30" ht="16.5" customHeight="1">
      <c r="A4683" s="318" t="str">
        <f>IF(B4683&lt;&gt;"",IF(AND(B4683='[3]IN-TC'!$S$4,OR([3]TH!N3914="1111",[3]TH!O3914="1111")),[3]TH!D3914,""),"")</f>
        <v/>
      </c>
      <c r="B4683" s="60" t="str">
        <f t="shared" si="476"/>
        <v/>
      </c>
      <c r="C4683" s="61"/>
      <c r="D4683" s="61"/>
      <c r="E4683" s="61"/>
      <c r="F4683" s="69"/>
      <c r="G4683" s="64"/>
      <c r="H4683" s="69"/>
      <c r="I4683" s="387"/>
      <c r="J4683" s="394"/>
      <c r="K4683" s="387"/>
      <c r="L4683" s="394"/>
      <c r="M4683" s="62"/>
      <c r="N4683" s="63"/>
      <c r="O4683" s="63"/>
      <c r="P4683" s="79" t="str">
        <f>IF(AND('331-CT'!$E$7=TH!H4683,OR(N4683="331",O4683="331")),"x","")</f>
        <v/>
      </c>
      <c r="Q4683" s="79" t="str">
        <f>IF(AND(B4683='111'!$L$11,OR($N4683=$Q$7,$O4683=$Q$7)),"x","")</f>
        <v/>
      </c>
      <c r="R4683" s="79" t="str">
        <f>IF(AND($N4683=$Q$7,$B4683&lt;'111'!$L$11),"x","")</f>
        <v/>
      </c>
      <c r="S4683" s="79" t="str">
        <f>IF(AND($O4683=$Q$7,$B4683&lt;'111'!$L$11),"x","")</f>
        <v/>
      </c>
      <c r="T4683" s="79" t="str">
        <f>IF(ISERROR(FIND('112'!$M$9,G4683,1)),"",IF((AND(FIND('112'!$M$9,G4683,1)&gt;=1,B4683='112'!$K$9,OR($N4683='112'!$I$6,$O4683='112'!$I$6))),"x",""))</f>
        <v/>
      </c>
      <c r="U4683" s="79" t="str">
        <f>IF(ISERROR(FIND('112'!$M$9,G4683,1)),"",IF((AND(LEFT(G4683,2)=LEFT('112'!$M$9,2),B4683&lt;'112'!$K$9,$N4683='112'!$I$6)),"x",""))</f>
        <v/>
      </c>
      <c r="V4683" s="79" t="str">
        <f>IF(ISERROR(FIND('112'!$M$9,G4683,1)),"",IF((AND(RIGHT(G4683,2)=RIGHT('112'!$M$9,2),B4683&lt;'112'!$K$9,$O4683='112'!$I$6)),"x",""))</f>
        <v/>
      </c>
      <c r="W4683" s="79" t="str">
        <f>IF(AND('341-CT'!$H$9=H4683,OR(LEFT(N4683,3)=$W$7,LEFT(O4683,3)=$W$7)),"x","")</f>
        <v/>
      </c>
      <c r="X4683" s="79" t="str">
        <f>IF(OR(TH!N4683=TH!$X$7,O4683=TH!$X$7),"x","")</f>
        <v/>
      </c>
      <c r="Y4683" s="79" t="str">
        <f>IF(AND(OR(N4683="131",O4683="131"),H4683='131-CT'!$H$9),"x","")</f>
        <v/>
      </c>
      <c r="Z4683" s="79"/>
      <c r="AA4683" s="79" t="str">
        <f>IF(AND(MONTH(E4683)='IN-NX'!$J$5,'IN-NX'!$D$7=D4683),"x","")</f>
        <v/>
      </c>
      <c r="AB4683" s="79" t="str">
        <f>IF(AND(OR(LEFT(TH!N4683,2)="15",LEFT(TH!O4683,2)="15"),LEFT(TH!O4683,3)&lt;&gt;"111",'152-CT'!$J$8=TH!F4683),"x","")</f>
        <v/>
      </c>
      <c r="AC4683" s="79" t="str">
        <f>IF(AND(OR(LEFT(TH!N4683,2)="15",LEFT(TH!O4683,2)="15"),TK!$E$7=TH!F4683),"x","")</f>
        <v/>
      </c>
      <c r="AD4683" s="79" t="str">
        <f>IF(AND(N4683="1521",MONTH(C4683)='BK-NL'!$M$11),"x","")</f>
        <v/>
      </c>
    </row>
    <row r="4684" spans="1:30" ht="16.5" customHeight="1">
      <c r="A4684" s="318" t="str">
        <f>IF(B4684&lt;&gt;"",IF(AND(B4684='[3]IN-TC'!$S$4,OR([3]TH!N3915="1111",[3]TH!O3915="1111")),[3]TH!D3915,""),"")</f>
        <v/>
      </c>
      <c r="B4684" s="60" t="str">
        <f t="shared" si="476"/>
        <v/>
      </c>
      <c r="C4684" s="61"/>
      <c r="D4684" s="61"/>
      <c r="E4684" s="61"/>
      <c r="F4684" s="69"/>
      <c r="G4684" s="64"/>
      <c r="H4684" s="321"/>
      <c r="I4684" s="387"/>
      <c r="J4684" s="394"/>
      <c r="K4684" s="387"/>
      <c r="L4684" s="394"/>
      <c r="M4684" s="62"/>
      <c r="N4684" s="63"/>
      <c r="O4684" s="63"/>
      <c r="P4684" s="79" t="str">
        <f>IF(AND('331-CT'!$E$7=TH!H4684,OR(N4684="331",O4684="331")),"x","")</f>
        <v/>
      </c>
      <c r="Q4684" s="79" t="str">
        <f>IF(AND(B4684='111'!$L$11,OR($N4684=$Q$7,$O4684=$Q$7)),"x","")</f>
        <v/>
      </c>
      <c r="R4684" s="79" t="str">
        <f>IF(AND($N4684=$Q$7,$B4684&lt;'111'!$L$11),"x","")</f>
        <v/>
      </c>
      <c r="S4684" s="79" t="str">
        <f>IF(AND($O4684=$Q$7,$B4684&lt;'111'!$L$11),"x","")</f>
        <v/>
      </c>
      <c r="T4684" s="79" t="str">
        <f>IF(ISERROR(FIND('112'!$M$9,G4684,1)),"",IF((AND(FIND('112'!$M$9,G4684,1)&gt;=1,B4684='112'!$K$9,OR($N4684='112'!$I$6,$O4684='112'!$I$6))),"x",""))</f>
        <v/>
      </c>
      <c r="U4684" s="79" t="str">
        <f>IF(ISERROR(FIND('112'!$M$9,G4684,1)),"",IF((AND(LEFT(G4684,2)=LEFT('112'!$M$9,2),B4684&lt;'112'!$K$9,$N4684='112'!$I$6)),"x",""))</f>
        <v/>
      </c>
      <c r="V4684" s="79" t="str">
        <f>IF(ISERROR(FIND('112'!$M$9,G4684,1)),"",IF((AND(RIGHT(G4684,2)=RIGHT('112'!$M$9,2),B4684&lt;'112'!$K$9,$O4684='112'!$I$6)),"x",""))</f>
        <v/>
      </c>
      <c r="W4684" s="79" t="str">
        <f>IF(AND('341-CT'!$H$9=H4684,OR(LEFT(N4684,3)=$W$7,LEFT(O4684,3)=$W$7)),"x","")</f>
        <v/>
      </c>
      <c r="X4684" s="79" t="str">
        <f>IF(OR(TH!N4684=TH!$X$7,O4684=TH!$X$7),"x","")</f>
        <v/>
      </c>
      <c r="Y4684" s="79" t="str">
        <f>IF(AND(OR(N4684="131",O4684="131"),H4684='131-CT'!$H$9),"x","")</f>
        <v/>
      </c>
      <c r="Z4684" s="79"/>
      <c r="AA4684" s="79" t="str">
        <f>IF(AND(MONTH(E4684)='IN-NX'!$J$5,'IN-NX'!$D$7=D4684),"x","")</f>
        <v/>
      </c>
      <c r="AB4684" s="79" t="str">
        <f>IF(AND(OR(LEFT(TH!N4684,2)="15",LEFT(TH!O4684,2)="15"),LEFT(TH!O4684,3)&lt;&gt;"111",'152-CT'!$J$8=TH!F4684),"x","")</f>
        <v/>
      </c>
      <c r="AC4684" s="79" t="str">
        <f>IF(AND(OR(LEFT(TH!N4684,2)="15",LEFT(TH!O4684,2)="15"),TK!$E$7=TH!F4684),"x","")</f>
        <v/>
      </c>
      <c r="AD4684" s="79" t="str">
        <f>IF(AND(N4684="1521",MONTH(C4684)='BK-NL'!$M$11),"x","")</f>
        <v/>
      </c>
    </row>
    <row r="4685" spans="1:30" ht="16.5" customHeight="1">
      <c r="A4685" s="318" t="str">
        <f>IF(B4685&lt;&gt;"",IF(AND(B4685='[3]IN-TC'!$S$4,OR([3]TH!N3916="1111",[3]TH!O3916="1111")),[3]TH!D3916,""),"")</f>
        <v/>
      </c>
      <c r="B4685" s="60" t="str">
        <f t="shared" si="476"/>
        <v/>
      </c>
      <c r="C4685" s="61"/>
      <c r="D4685" s="61"/>
      <c r="E4685" s="61"/>
      <c r="F4685" s="69"/>
      <c r="G4685" s="64"/>
      <c r="H4685" s="69"/>
      <c r="I4685" s="387"/>
      <c r="J4685" s="394"/>
      <c r="K4685" s="387"/>
      <c r="L4685" s="394"/>
      <c r="M4685" s="62"/>
      <c r="N4685" s="63"/>
      <c r="O4685" s="63"/>
      <c r="P4685" s="79" t="str">
        <f>IF(AND('331-CT'!$E$7=TH!H4685,OR(N4685="331",O4685="331")),"x","")</f>
        <v/>
      </c>
      <c r="Q4685" s="79" t="str">
        <f>IF(AND(B4685='111'!$L$11,OR($N4685=$Q$7,$O4685=$Q$7)),"x","")</f>
        <v/>
      </c>
      <c r="R4685" s="79" t="str">
        <f>IF(AND($N4685=$Q$7,$B4685&lt;'111'!$L$11),"x","")</f>
        <v/>
      </c>
      <c r="S4685" s="79" t="str">
        <f>IF(AND($O4685=$Q$7,$B4685&lt;'111'!$L$11),"x","")</f>
        <v/>
      </c>
      <c r="T4685" s="79" t="str">
        <f>IF(ISERROR(FIND('112'!$M$9,G4685,1)),"",IF((AND(FIND('112'!$M$9,G4685,1)&gt;=1,B4685='112'!$K$9,OR($N4685='112'!$I$6,$O4685='112'!$I$6))),"x",""))</f>
        <v/>
      </c>
      <c r="U4685" s="79" t="str">
        <f>IF(ISERROR(FIND('112'!$M$9,G4685,1)),"",IF((AND(LEFT(G4685,2)=LEFT('112'!$M$9,2),B4685&lt;'112'!$K$9,$N4685='112'!$I$6)),"x",""))</f>
        <v/>
      </c>
      <c r="V4685" s="79" t="str">
        <f>IF(ISERROR(FIND('112'!$M$9,G4685,1)),"",IF((AND(RIGHT(G4685,2)=RIGHT('112'!$M$9,2),B4685&lt;'112'!$K$9,$O4685='112'!$I$6)),"x",""))</f>
        <v/>
      </c>
      <c r="W4685" s="79" t="str">
        <f>IF(AND('341-CT'!$H$9=H4685,OR(LEFT(N4685,3)=$W$7,LEFT(O4685,3)=$W$7)),"x","")</f>
        <v/>
      </c>
      <c r="X4685" s="79" t="str">
        <f>IF(OR(TH!N4685=TH!$X$7,O4685=TH!$X$7),"x","")</f>
        <v/>
      </c>
      <c r="Y4685" s="79" t="str">
        <f>IF(AND(OR(N4685="131",O4685="131"),H4685='131-CT'!$H$9),"x","")</f>
        <v/>
      </c>
      <c r="Z4685" s="79"/>
      <c r="AA4685" s="79" t="str">
        <f>IF(AND(MONTH(E4685)='IN-NX'!$J$5,'IN-NX'!$D$7=D4685),"x","")</f>
        <v/>
      </c>
      <c r="AB4685" s="79" t="str">
        <f>IF(AND(OR(LEFT(TH!N4685,2)="15",LEFT(TH!O4685,2)="15"),LEFT(TH!O4685,3)&lt;&gt;"111",'152-CT'!$J$8=TH!F4685),"x","")</f>
        <v/>
      </c>
      <c r="AC4685" s="79" t="str">
        <f>IF(AND(OR(LEFT(TH!N4685,2)="15",LEFT(TH!O4685,2)="15"),TK!$E$7=TH!F4685),"x","")</f>
        <v/>
      </c>
      <c r="AD4685" s="79" t="str">
        <f>IF(AND(N4685="1521",MONTH(C4685)='BK-NL'!$M$11),"x","")</f>
        <v/>
      </c>
    </row>
    <row r="4686" spans="1:30" ht="16.5" customHeight="1">
      <c r="A4686" s="318" t="str">
        <f>IF(B4686&lt;&gt;"",IF(AND(B4686='[3]IN-TC'!$S$4,OR([3]TH!N3917="1111",[3]TH!O3917="1111")),[3]TH!D3917,""),"")</f>
        <v/>
      </c>
      <c r="B4686" s="60" t="str">
        <f t="shared" si="476"/>
        <v/>
      </c>
      <c r="C4686" s="61"/>
      <c r="D4686" s="61"/>
      <c r="E4686" s="61"/>
      <c r="F4686" s="69"/>
      <c r="G4686" s="64"/>
      <c r="H4686" s="69"/>
      <c r="I4686" s="387"/>
      <c r="J4686" s="394"/>
      <c r="K4686" s="387"/>
      <c r="L4686" s="394"/>
      <c r="M4686" s="62"/>
      <c r="N4686" s="63"/>
      <c r="O4686" s="63"/>
      <c r="P4686" s="79" t="str">
        <f>IF(AND('331-CT'!$E$7=TH!H4686,OR(N4686="331",O4686="331")),"x","")</f>
        <v/>
      </c>
      <c r="Q4686" s="79" t="str">
        <f>IF(AND(B4686='111'!$L$11,OR($N4686=$Q$7,$O4686=$Q$7)),"x","")</f>
        <v/>
      </c>
      <c r="R4686" s="79" t="str">
        <f>IF(AND($N4686=$Q$7,$B4686&lt;'111'!$L$11),"x","")</f>
        <v/>
      </c>
      <c r="S4686" s="79" t="str">
        <f>IF(AND($O4686=$Q$7,$B4686&lt;'111'!$L$11),"x","")</f>
        <v/>
      </c>
      <c r="T4686" s="79" t="str">
        <f>IF(ISERROR(FIND('112'!$M$9,G4686,1)),"",IF((AND(FIND('112'!$M$9,G4686,1)&gt;=1,B4686='112'!$K$9,OR($N4686='112'!$I$6,$O4686='112'!$I$6))),"x",""))</f>
        <v/>
      </c>
      <c r="U4686" s="79" t="str">
        <f>IF(ISERROR(FIND('112'!$M$9,G4686,1)),"",IF((AND(LEFT(G4686,2)=LEFT('112'!$M$9,2),B4686&lt;'112'!$K$9,$N4686='112'!$I$6)),"x",""))</f>
        <v/>
      </c>
      <c r="V4686" s="79" t="str">
        <f>IF(ISERROR(FIND('112'!$M$9,G4686,1)),"",IF((AND(RIGHT(G4686,2)=RIGHT('112'!$M$9,2),B4686&lt;'112'!$K$9,$O4686='112'!$I$6)),"x",""))</f>
        <v/>
      </c>
      <c r="W4686" s="79" t="str">
        <f>IF(AND('341-CT'!$H$9=H4686,OR(LEFT(N4686,3)=$W$7,LEFT(O4686,3)=$W$7)),"x","")</f>
        <v/>
      </c>
      <c r="X4686" s="79" t="str">
        <f>IF(OR(TH!N4686=TH!$X$7,O4686=TH!$X$7),"x","")</f>
        <v/>
      </c>
      <c r="Y4686" s="79" t="str">
        <f>IF(AND(OR(N4686="131",O4686="131"),H4686='131-CT'!$H$9),"x","")</f>
        <v/>
      </c>
      <c r="Z4686" s="79"/>
      <c r="AA4686" s="79" t="str">
        <f>IF(AND(MONTH(E4686)='IN-NX'!$J$5,'IN-NX'!$D$7=D4686),"x","")</f>
        <v/>
      </c>
      <c r="AB4686" s="79" t="str">
        <f>IF(AND(OR(LEFT(TH!N4686,2)="15",LEFT(TH!O4686,2)="15"),LEFT(TH!O4686,3)&lt;&gt;"111",'152-CT'!$J$8=TH!F4686),"x","")</f>
        <v/>
      </c>
      <c r="AC4686" s="79" t="str">
        <f>IF(AND(OR(LEFT(TH!N4686,2)="15",LEFT(TH!O4686,2)="15"),TK!$E$7=TH!F4686),"x","")</f>
        <v/>
      </c>
      <c r="AD4686" s="79" t="str">
        <f>IF(AND(N4686="1521",MONTH(C4686)='BK-NL'!$M$11),"x","")</f>
        <v/>
      </c>
    </row>
    <row r="4687" spans="1:30" ht="16.5" customHeight="1">
      <c r="A4687" s="318" t="str">
        <f>IF(B4687&lt;&gt;"",IF(AND(B4687='[3]IN-TC'!$S$4,OR([3]TH!N3918="1111",[3]TH!O3918="1111")),[3]TH!D3918,""),"")</f>
        <v/>
      </c>
      <c r="B4687" s="60" t="str">
        <f t="shared" si="476"/>
        <v/>
      </c>
      <c r="C4687" s="61"/>
      <c r="D4687" s="61"/>
      <c r="E4687" s="61"/>
      <c r="F4687" s="69"/>
      <c r="G4687" s="64"/>
      <c r="H4687" s="321"/>
      <c r="I4687" s="387"/>
      <c r="J4687" s="394"/>
      <c r="K4687" s="387"/>
      <c r="L4687" s="394"/>
      <c r="M4687" s="62"/>
      <c r="N4687" s="63"/>
      <c r="O4687" s="63"/>
      <c r="P4687" s="79" t="str">
        <f>IF(AND('331-CT'!$E$7=TH!H4687,OR(N4687="331",O4687="331")),"x","")</f>
        <v/>
      </c>
      <c r="Q4687" s="79" t="str">
        <f>IF(AND(B4687='111'!$L$11,OR($N4687=$Q$7,$O4687=$Q$7)),"x","")</f>
        <v/>
      </c>
      <c r="R4687" s="79" t="str">
        <f>IF(AND($N4687=$Q$7,$B4687&lt;'111'!$L$11),"x","")</f>
        <v/>
      </c>
      <c r="S4687" s="79" t="str">
        <f>IF(AND($O4687=$Q$7,$B4687&lt;'111'!$L$11),"x","")</f>
        <v/>
      </c>
      <c r="T4687" s="79" t="str">
        <f>IF(ISERROR(FIND('112'!$M$9,G4687,1)),"",IF((AND(FIND('112'!$M$9,G4687,1)&gt;=1,B4687='112'!$K$9,OR($N4687='112'!$I$6,$O4687='112'!$I$6))),"x",""))</f>
        <v/>
      </c>
      <c r="U4687" s="79" t="str">
        <f>IF(ISERROR(FIND('112'!$M$9,G4687,1)),"",IF((AND(LEFT(G4687,2)=LEFT('112'!$M$9,2),B4687&lt;'112'!$K$9,$N4687='112'!$I$6)),"x",""))</f>
        <v/>
      </c>
      <c r="V4687" s="79" t="str">
        <f>IF(ISERROR(FIND('112'!$M$9,G4687,1)),"",IF((AND(RIGHT(G4687,2)=RIGHT('112'!$M$9,2),B4687&lt;'112'!$K$9,$O4687='112'!$I$6)),"x",""))</f>
        <v/>
      </c>
      <c r="W4687" s="79" t="str">
        <f>IF(AND('341-CT'!$H$9=H4687,OR(LEFT(N4687,3)=$W$7,LEFT(O4687,3)=$W$7)),"x","")</f>
        <v/>
      </c>
      <c r="X4687" s="79" t="str">
        <f>IF(OR(TH!N4687=TH!$X$7,O4687=TH!$X$7),"x","")</f>
        <v/>
      </c>
      <c r="Y4687" s="79" t="str">
        <f>IF(AND(OR(N4687="131",O4687="131"),H4687='131-CT'!$H$9),"x","")</f>
        <v/>
      </c>
      <c r="Z4687" s="79"/>
      <c r="AA4687" s="79" t="str">
        <f>IF(AND(MONTH(E4687)='IN-NX'!$J$5,'IN-NX'!$D$7=D4687),"x","")</f>
        <v/>
      </c>
      <c r="AB4687" s="79" t="str">
        <f>IF(AND(OR(LEFT(TH!N4687,2)="15",LEFT(TH!O4687,2)="15"),LEFT(TH!O4687,3)&lt;&gt;"111",'152-CT'!$J$8=TH!F4687),"x","")</f>
        <v/>
      </c>
      <c r="AC4687" s="79" t="str">
        <f>IF(AND(OR(LEFT(TH!N4687,2)="15",LEFT(TH!O4687,2)="15"),TK!$E$7=TH!F4687),"x","")</f>
        <v/>
      </c>
      <c r="AD4687" s="79" t="str">
        <f>IF(AND(N4687="1521",MONTH(C4687)='BK-NL'!$M$11),"x","")</f>
        <v/>
      </c>
    </row>
    <row r="4688" spans="1:30" ht="16.5" customHeight="1">
      <c r="A4688" s="318" t="str">
        <f>IF(B4688&lt;&gt;"",IF(AND(B4688='[3]IN-TC'!$S$4,OR([3]TH!N3919="1111",[3]TH!O3919="1111")),[3]TH!D3919,""),"")</f>
        <v/>
      </c>
      <c r="B4688" s="60" t="str">
        <f t="shared" si="476"/>
        <v/>
      </c>
      <c r="C4688" s="61"/>
      <c r="D4688" s="61"/>
      <c r="E4688" s="61"/>
      <c r="F4688" s="69"/>
      <c r="G4688" s="64"/>
      <c r="H4688" s="69"/>
      <c r="I4688" s="387"/>
      <c r="J4688" s="394"/>
      <c r="K4688" s="387"/>
      <c r="L4688" s="394"/>
      <c r="M4688" s="62"/>
      <c r="N4688" s="63"/>
      <c r="O4688" s="63"/>
      <c r="P4688" s="79" t="str">
        <f>IF(AND('331-CT'!$E$7=TH!H4688,OR(N4688="331",O4688="331")),"x","")</f>
        <v/>
      </c>
      <c r="Q4688" s="79" t="str">
        <f>IF(AND(B4688='111'!$L$11,OR($N4688=$Q$7,$O4688=$Q$7)),"x","")</f>
        <v/>
      </c>
      <c r="R4688" s="79" t="str">
        <f>IF(AND($N4688=$Q$7,$B4688&lt;'111'!$L$11),"x","")</f>
        <v/>
      </c>
      <c r="S4688" s="79" t="str">
        <f>IF(AND($O4688=$Q$7,$B4688&lt;'111'!$L$11),"x","")</f>
        <v/>
      </c>
      <c r="T4688" s="79" t="str">
        <f>IF(ISERROR(FIND('112'!$M$9,G4688,1)),"",IF((AND(FIND('112'!$M$9,G4688,1)&gt;=1,B4688='112'!$K$9,OR($N4688='112'!$I$6,$O4688='112'!$I$6))),"x",""))</f>
        <v/>
      </c>
      <c r="U4688" s="79" t="str">
        <f>IF(ISERROR(FIND('112'!$M$9,G4688,1)),"",IF((AND(LEFT(G4688,2)=LEFT('112'!$M$9,2),B4688&lt;'112'!$K$9,$N4688='112'!$I$6)),"x",""))</f>
        <v/>
      </c>
      <c r="V4688" s="79" t="str">
        <f>IF(ISERROR(FIND('112'!$M$9,G4688,1)),"",IF((AND(RIGHT(G4688,2)=RIGHT('112'!$M$9,2),B4688&lt;'112'!$K$9,$O4688='112'!$I$6)),"x",""))</f>
        <v/>
      </c>
      <c r="W4688" s="79" t="str">
        <f>IF(AND('341-CT'!$H$9=H4688,OR(LEFT(N4688,3)=$W$7,LEFT(O4688,3)=$W$7)),"x","")</f>
        <v/>
      </c>
      <c r="X4688" s="79" t="str">
        <f>IF(OR(TH!N4688=TH!$X$7,O4688=TH!$X$7),"x","")</f>
        <v/>
      </c>
      <c r="Y4688" s="79" t="str">
        <f>IF(AND(OR(N4688="131",O4688="131"),H4688='131-CT'!$H$9),"x","")</f>
        <v/>
      </c>
      <c r="Z4688" s="79"/>
      <c r="AA4688" s="79" t="str">
        <f>IF(AND(MONTH(E4688)='IN-NX'!$J$5,'IN-NX'!$D$7=D4688),"x","")</f>
        <v/>
      </c>
      <c r="AB4688" s="79" t="str">
        <f>IF(AND(OR(LEFT(TH!N4688,2)="15",LEFT(TH!O4688,2)="15"),LEFT(TH!O4688,3)&lt;&gt;"111",'152-CT'!$J$8=TH!F4688),"x","")</f>
        <v/>
      </c>
      <c r="AC4688" s="79" t="str">
        <f>IF(AND(OR(LEFT(TH!N4688,2)="15",LEFT(TH!O4688,2)="15"),TK!$E$7=TH!F4688),"x","")</f>
        <v/>
      </c>
      <c r="AD4688" s="79" t="str">
        <f>IF(AND(N4688="1521",MONTH(C4688)='BK-NL'!$M$11),"x","")</f>
        <v/>
      </c>
    </row>
    <row r="4689" spans="1:30" ht="16.5" customHeight="1">
      <c r="A4689" s="318" t="str">
        <f>IF(B4689&lt;&gt;"",IF(AND(B4689='[3]IN-TC'!$S$4,OR([3]TH!N3920="1111",[3]TH!O3920="1111")),[3]TH!D3920,""),"")</f>
        <v/>
      </c>
      <c r="B4689" s="60" t="str">
        <f t="shared" si="476"/>
        <v/>
      </c>
      <c r="C4689" s="61"/>
      <c r="D4689" s="61"/>
      <c r="E4689" s="61"/>
      <c r="F4689" s="69"/>
      <c r="G4689" s="64"/>
      <c r="H4689" s="69"/>
      <c r="I4689" s="385"/>
      <c r="J4689" s="394"/>
      <c r="K4689" s="387"/>
      <c r="L4689" s="394"/>
      <c r="M4689" s="62"/>
      <c r="N4689" s="63"/>
      <c r="O4689" s="63"/>
      <c r="P4689" s="79" t="str">
        <f>IF(AND('331-CT'!$E$7=TH!H4689,OR(N4689="331",O4689="331")),"x","")</f>
        <v/>
      </c>
      <c r="Q4689" s="79" t="str">
        <f>IF(AND(B4689='111'!$L$11,OR($N4689=$Q$7,$O4689=$Q$7)),"x","")</f>
        <v/>
      </c>
      <c r="R4689" s="79" t="str">
        <f>IF(AND($N4689=$Q$7,$B4689&lt;'111'!$L$11),"x","")</f>
        <v/>
      </c>
      <c r="S4689" s="79" t="str">
        <f>IF(AND($O4689=$Q$7,$B4689&lt;'111'!$L$11),"x","")</f>
        <v/>
      </c>
      <c r="T4689" s="79" t="str">
        <f>IF(ISERROR(FIND('112'!$M$9,G4689,1)),"",IF((AND(FIND('112'!$M$9,G4689,1)&gt;=1,B4689='112'!$K$9,OR($N4689='112'!$I$6,$O4689='112'!$I$6))),"x",""))</f>
        <v/>
      </c>
      <c r="U4689" s="79" t="str">
        <f>IF(ISERROR(FIND('112'!$M$9,G4689,1)),"",IF((AND(LEFT(G4689,2)=LEFT('112'!$M$9,2),B4689&lt;'112'!$K$9,$N4689='112'!$I$6)),"x",""))</f>
        <v/>
      </c>
      <c r="V4689" s="79" t="str">
        <f>IF(ISERROR(FIND('112'!$M$9,G4689,1)),"",IF((AND(RIGHT(G4689,2)=RIGHT('112'!$M$9,2),B4689&lt;'112'!$K$9,$O4689='112'!$I$6)),"x",""))</f>
        <v/>
      </c>
      <c r="W4689" s="79" t="str">
        <f>IF(AND('341-CT'!$H$9=H4689,OR(LEFT(N4689,3)=$W$7,LEFT(O4689,3)=$W$7)),"x","")</f>
        <v/>
      </c>
      <c r="X4689" s="79" t="str">
        <f>IF(OR(TH!N4689=TH!$X$7,O4689=TH!$X$7),"x","")</f>
        <v/>
      </c>
      <c r="Y4689" s="79" t="str">
        <f>IF(AND(OR(N4689="131",O4689="131"),H4689='131-CT'!$H$9),"x","")</f>
        <v/>
      </c>
      <c r="Z4689" s="79"/>
      <c r="AA4689" s="79" t="str">
        <f>IF(AND(MONTH(E4689)='IN-NX'!$J$5,'IN-NX'!$D$7=D4689),"x","")</f>
        <v/>
      </c>
      <c r="AB4689" s="79" t="str">
        <f>IF(AND(OR(LEFT(TH!N4689,2)="15",LEFT(TH!O4689,2)="15"),LEFT(TH!O4689,3)&lt;&gt;"111",'152-CT'!$J$8=TH!F4689),"x","")</f>
        <v/>
      </c>
      <c r="AC4689" s="79" t="str">
        <f>IF(AND(OR(LEFT(TH!N4689,2)="15",LEFT(TH!O4689,2)="15"),TK!$E$7=TH!F4689),"x","")</f>
        <v/>
      </c>
      <c r="AD4689" s="79" t="str">
        <f>IF(AND(N4689="1521",MONTH(C4689)='BK-NL'!$M$11),"x","")</f>
        <v/>
      </c>
    </row>
    <row r="4690" spans="1:30" ht="16.5" customHeight="1">
      <c r="A4690" s="318" t="str">
        <f>IF(B4690&lt;&gt;"",IF(AND(B4690='[3]IN-TC'!$S$4,OR([3]TH!N3921="1111",[3]TH!O3921="1111")),[3]TH!D3921,""),"")</f>
        <v/>
      </c>
      <c r="B4690" s="60" t="str">
        <f t="shared" si="476"/>
        <v/>
      </c>
      <c r="C4690" s="61"/>
      <c r="D4690" s="61"/>
      <c r="E4690" s="61"/>
      <c r="F4690" s="69"/>
      <c r="G4690" s="64"/>
      <c r="H4690" s="303"/>
      <c r="I4690" s="385"/>
      <c r="J4690" s="394"/>
      <c r="K4690" s="387"/>
      <c r="L4690" s="394"/>
      <c r="M4690" s="62"/>
      <c r="N4690" s="63"/>
      <c r="O4690" s="63"/>
      <c r="P4690" s="79" t="str">
        <f>IF(AND('331-CT'!$E$7=TH!H4690,OR(N4690="331",O4690="331")),"x","")</f>
        <v/>
      </c>
      <c r="Q4690" s="79" t="str">
        <f>IF(AND(B4690='111'!$L$11,OR($N4690=$Q$7,$O4690=$Q$7)),"x","")</f>
        <v/>
      </c>
      <c r="R4690" s="79" t="str">
        <f>IF(AND($N4690=$Q$7,$B4690&lt;'111'!$L$11),"x","")</f>
        <v/>
      </c>
      <c r="S4690" s="79" t="str">
        <f>IF(AND($O4690=$Q$7,$B4690&lt;'111'!$L$11),"x","")</f>
        <v/>
      </c>
      <c r="T4690" s="79" t="str">
        <f>IF(ISERROR(FIND('112'!$M$9,G4690,1)),"",IF((AND(FIND('112'!$M$9,G4690,1)&gt;=1,B4690='112'!$K$9,OR($N4690='112'!$I$6,$O4690='112'!$I$6))),"x",""))</f>
        <v/>
      </c>
      <c r="U4690" s="79" t="str">
        <f>IF(ISERROR(FIND('112'!$M$9,G4690,1)),"",IF((AND(LEFT(G4690,2)=LEFT('112'!$M$9,2),B4690&lt;'112'!$K$9,$N4690='112'!$I$6)),"x",""))</f>
        <v/>
      </c>
      <c r="V4690" s="79" t="str">
        <f>IF(ISERROR(FIND('112'!$M$9,G4690,1)),"",IF((AND(RIGHT(G4690,2)=RIGHT('112'!$M$9,2),B4690&lt;'112'!$K$9,$O4690='112'!$I$6)),"x",""))</f>
        <v/>
      </c>
      <c r="W4690" s="79" t="str">
        <f>IF(AND('341-CT'!$H$9=H4690,OR(LEFT(N4690,3)=$W$7,LEFT(O4690,3)=$W$7)),"x","")</f>
        <v/>
      </c>
      <c r="X4690" s="79" t="str">
        <f>IF(OR(TH!N4690=TH!$X$7,O4690=TH!$X$7),"x","")</f>
        <v/>
      </c>
      <c r="Y4690" s="79" t="str">
        <f>IF(AND(OR(N4690="131",O4690="131"),H4690='131-CT'!$H$9),"x","")</f>
        <v/>
      </c>
      <c r="Z4690" s="79"/>
      <c r="AA4690" s="79" t="str">
        <f>IF(AND(MONTH(E4690)='IN-NX'!$J$5,'IN-NX'!$D$7=D4690),"x","")</f>
        <v/>
      </c>
      <c r="AB4690" s="79" t="str">
        <f>IF(AND(OR(LEFT(TH!N4690,2)="15",LEFT(TH!O4690,2)="15"),LEFT(TH!O4690,3)&lt;&gt;"111",'152-CT'!$J$8=TH!F4690),"x","")</f>
        <v/>
      </c>
      <c r="AC4690" s="79" t="str">
        <f>IF(AND(OR(LEFT(TH!N4690,2)="15",LEFT(TH!O4690,2)="15"),TK!$E$7=TH!F4690),"x","")</f>
        <v/>
      </c>
      <c r="AD4690" s="79" t="str">
        <f>IF(AND(N4690="1521",MONTH(C4690)='BK-NL'!$M$11),"x","")</f>
        <v/>
      </c>
    </row>
    <row r="4691" spans="1:30" ht="16.5" customHeight="1">
      <c r="A4691" s="318" t="str">
        <f>IF(B4691&lt;&gt;"",IF(AND(B4691='[3]IN-TC'!$S$4,OR([3]TH!N3922="1111",[3]TH!O3922="1111")),[3]TH!D3922,""),"")</f>
        <v/>
      </c>
      <c r="B4691" s="60" t="str">
        <f t="shared" si="476"/>
        <v/>
      </c>
      <c r="C4691" s="61"/>
      <c r="D4691" s="61"/>
      <c r="E4691" s="61"/>
      <c r="F4691" s="69"/>
      <c r="G4691" s="64"/>
      <c r="H4691" s="69"/>
      <c r="I4691" s="385"/>
      <c r="J4691" s="394"/>
      <c r="K4691" s="387"/>
      <c r="L4691" s="394"/>
      <c r="M4691" s="62"/>
      <c r="N4691" s="63"/>
      <c r="O4691" s="63"/>
      <c r="P4691" s="79" t="str">
        <f>IF(AND('331-CT'!$E$7=TH!H4691,OR(N4691="331",O4691="331")),"x","")</f>
        <v/>
      </c>
      <c r="Q4691" s="79" t="str">
        <f>IF(AND(B4691='111'!$L$11,OR($N4691=$Q$7,$O4691=$Q$7)),"x","")</f>
        <v/>
      </c>
      <c r="R4691" s="79" t="str">
        <f>IF(AND($N4691=$Q$7,$B4691&lt;'111'!$L$11),"x","")</f>
        <v/>
      </c>
      <c r="S4691" s="79" t="str">
        <f>IF(AND($O4691=$Q$7,$B4691&lt;'111'!$L$11),"x","")</f>
        <v/>
      </c>
      <c r="T4691" s="79" t="str">
        <f>IF(ISERROR(FIND('112'!$M$9,G4691,1)),"",IF((AND(FIND('112'!$M$9,G4691,1)&gt;=1,B4691='112'!$K$9,OR($N4691='112'!$I$6,$O4691='112'!$I$6))),"x",""))</f>
        <v/>
      </c>
      <c r="U4691" s="79" t="str">
        <f>IF(ISERROR(FIND('112'!$M$9,G4691,1)),"",IF((AND(LEFT(G4691,2)=LEFT('112'!$M$9,2),B4691&lt;'112'!$K$9,$N4691='112'!$I$6)),"x",""))</f>
        <v/>
      </c>
      <c r="V4691" s="79" t="str">
        <f>IF(ISERROR(FIND('112'!$M$9,G4691,1)),"",IF((AND(RIGHT(G4691,2)=RIGHT('112'!$M$9,2),B4691&lt;'112'!$K$9,$O4691='112'!$I$6)),"x",""))</f>
        <v/>
      </c>
      <c r="W4691" s="79" t="str">
        <f>IF(AND('341-CT'!$H$9=H4691,OR(LEFT(N4691,3)=$W$7,LEFT(O4691,3)=$W$7)),"x","")</f>
        <v/>
      </c>
      <c r="X4691" s="79" t="str">
        <f>IF(OR(TH!N4691=TH!$X$7,O4691=TH!$X$7),"x","")</f>
        <v/>
      </c>
      <c r="Y4691" s="79" t="str">
        <f>IF(AND(OR(N4691="131",O4691="131"),H4691='131-CT'!$H$9),"x","")</f>
        <v/>
      </c>
      <c r="Z4691" s="79"/>
      <c r="AA4691" s="79" t="str">
        <f>IF(AND(MONTH(E4691)='IN-NX'!$J$5,'IN-NX'!$D$7=D4691),"x","")</f>
        <v/>
      </c>
      <c r="AB4691" s="79" t="str">
        <f>IF(AND(OR(LEFT(TH!N4691,2)="15",LEFT(TH!O4691,2)="15"),LEFT(TH!O4691,3)&lt;&gt;"111",'152-CT'!$J$8=TH!F4691),"x","")</f>
        <v/>
      </c>
      <c r="AC4691" s="79" t="str">
        <f>IF(AND(OR(LEFT(TH!N4691,2)="15",LEFT(TH!O4691,2)="15"),TK!$E$7=TH!F4691),"x","")</f>
        <v/>
      </c>
      <c r="AD4691" s="79" t="str">
        <f>IF(AND(N4691="1521",MONTH(C4691)='BK-NL'!$M$11),"x","")</f>
        <v/>
      </c>
    </row>
    <row r="4692" spans="1:30" ht="16.5" customHeight="1">
      <c r="A4692" s="318" t="str">
        <f>IF(B4692&lt;&gt;"",IF(AND(B4692='[3]IN-TC'!$S$4,OR([3]TH!N3923="1111",[3]TH!O3923="1111")),[3]TH!D3923,""),"")</f>
        <v/>
      </c>
      <c r="B4692" s="60" t="str">
        <f t="shared" si="476"/>
        <v/>
      </c>
      <c r="C4692" s="61"/>
      <c r="D4692" s="61"/>
      <c r="E4692" s="61"/>
      <c r="F4692" s="69"/>
      <c r="G4692" s="64"/>
      <c r="H4692" s="69"/>
      <c r="I4692" s="385"/>
      <c r="J4692" s="394"/>
      <c r="K4692" s="387"/>
      <c r="L4692" s="394"/>
      <c r="M4692" s="62"/>
      <c r="N4692" s="63"/>
      <c r="O4692" s="63"/>
      <c r="P4692" s="79" t="str">
        <f>IF(AND('331-CT'!$E$7=TH!H4692,OR(N4692="331",O4692="331")),"x","")</f>
        <v/>
      </c>
      <c r="Q4692" s="79" t="str">
        <f>IF(AND(B4692='111'!$L$11,OR($N4692=$Q$7,$O4692=$Q$7)),"x","")</f>
        <v/>
      </c>
      <c r="R4692" s="79" t="str">
        <f>IF(AND($N4692=$Q$7,$B4692&lt;'111'!$L$11),"x","")</f>
        <v/>
      </c>
      <c r="S4692" s="79" t="str">
        <f>IF(AND($O4692=$Q$7,$B4692&lt;'111'!$L$11),"x","")</f>
        <v/>
      </c>
      <c r="T4692" s="79" t="str">
        <f>IF(ISERROR(FIND('112'!$M$9,G4692,1)),"",IF((AND(FIND('112'!$M$9,G4692,1)&gt;=1,B4692='112'!$K$9,OR($N4692='112'!$I$6,$O4692='112'!$I$6))),"x",""))</f>
        <v/>
      </c>
      <c r="U4692" s="79" t="str">
        <f>IF(ISERROR(FIND('112'!$M$9,G4692,1)),"",IF((AND(LEFT(G4692,2)=LEFT('112'!$M$9,2),B4692&lt;'112'!$K$9,$N4692='112'!$I$6)),"x",""))</f>
        <v/>
      </c>
      <c r="V4692" s="79" t="str">
        <f>IF(ISERROR(FIND('112'!$M$9,G4692,1)),"",IF((AND(RIGHT(G4692,2)=RIGHT('112'!$M$9,2),B4692&lt;'112'!$K$9,$O4692='112'!$I$6)),"x",""))</f>
        <v/>
      </c>
      <c r="W4692" s="79" t="str">
        <f>IF(AND('341-CT'!$H$9=H4692,OR(LEFT(N4692,3)=$W$7,LEFT(O4692,3)=$W$7)),"x","")</f>
        <v/>
      </c>
      <c r="X4692" s="79" t="str">
        <f>IF(OR(TH!N4692=TH!$X$7,O4692=TH!$X$7),"x","")</f>
        <v/>
      </c>
      <c r="Y4692" s="79" t="str">
        <f>IF(AND(OR(N4692="131",O4692="131"),H4692='131-CT'!$H$9),"x","")</f>
        <v/>
      </c>
      <c r="Z4692" s="79"/>
      <c r="AA4692" s="79" t="str">
        <f>IF(AND(MONTH(E4692)='IN-NX'!$J$5,'IN-NX'!$D$7=D4692),"x","")</f>
        <v/>
      </c>
      <c r="AB4692" s="79" t="str">
        <f>IF(AND(OR(LEFT(TH!N4692,2)="15",LEFT(TH!O4692,2)="15"),LEFT(TH!O4692,3)&lt;&gt;"111",'152-CT'!$J$8=TH!F4692),"x","")</f>
        <v/>
      </c>
      <c r="AC4692" s="79" t="str">
        <f>IF(AND(OR(LEFT(TH!N4692,2)="15",LEFT(TH!O4692,2)="15"),TK!$E$7=TH!F4692),"x","")</f>
        <v/>
      </c>
      <c r="AD4692" s="79" t="str">
        <f>IF(AND(N4692="1521",MONTH(C4692)='BK-NL'!$M$11),"x","")</f>
        <v/>
      </c>
    </row>
    <row r="4693" spans="1:30" ht="16.5" customHeight="1">
      <c r="A4693" s="318" t="str">
        <f>IF(B4693&lt;&gt;"",IF(AND(B4693='[3]IN-TC'!$S$4,OR([3]TH!N3924="1111",[3]TH!O3924="1111")),[3]TH!D3924,""),"")</f>
        <v/>
      </c>
      <c r="B4693" s="60" t="str">
        <f t="shared" si="476"/>
        <v/>
      </c>
      <c r="C4693" s="61"/>
      <c r="D4693" s="61"/>
      <c r="E4693" s="61"/>
      <c r="F4693" s="69"/>
      <c r="G4693" s="64"/>
      <c r="H4693" s="69"/>
      <c r="I4693" s="385"/>
      <c r="J4693" s="392"/>
      <c r="K4693" s="385"/>
      <c r="L4693" s="392"/>
      <c r="M4693" s="62"/>
      <c r="N4693" s="63"/>
      <c r="O4693" s="63"/>
      <c r="P4693" s="79" t="str">
        <f>IF(AND('331-CT'!$E$7=TH!H4693,OR(N4693="331",O4693="331")),"x","")</f>
        <v/>
      </c>
      <c r="Q4693" s="79" t="str">
        <f>IF(AND(B4693='111'!$L$11,OR($N4693=$Q$7,$O4693=$Q$7)),"x","")</f>
        <v/>
      </c>
      <c r="R4693" s="79" t="str">
        <f>IF(AND($N4693=$Q$7,$B4693&lt;'111'!$L$11),"x","")</f>
        <v/>
      </c>
      <c r="S4693" s="79" t="str">
        <f>IF(AND($O4693=$Q$7,$B4693&lt;'111'!$L$11),"x","")</f>
        <v/>
      </c>
      <c r="T4693" s="79" t="str">
        <f>IF(ISERROR(FIND('112'!$M$9,G4693,1)),"",IF((AND(FIND('112'!$M$9,G4693,1)&gt;=1,B4693='112'!$K$9,OR($N4693='112'!$I$6,$O4693='112'!$I$6))),"x",""))</f>
        <v/>
      </c>
      <c r="U4693" s="79" t="str">
        <f>IF(ISERROR(FIND('112'!$M$9,G4693,1)),"",IF((AND(LEFT(G4693,2)=LEFT('112'!$M$9,2),B4693&lt;'112'!$K$9,$N4693='112'!$I$6)),"x",""))</f>
        <v/>
      </c>
      <c r="V4693" s="79" t="str">
        <f>IF(ISERROR(FIND('112'!$M$9,G4693,1)),"",IF((AND(RIGHT(G4693,2)=RIGHT('112'!$M$9,2),B4693&lt;'112'!$K$9,$O4693='112'!$I$6)),"x",""))</f>
        <v/>
      </c>
      <c r="W4693" s="79" t="str">
        <f>IF(AND('341-CT'!$H$9=H4693,OR(LEFT(N4693,3)=$W$7,LEFT(O4693,3)=$W$7)),"x","")</f>
        <v/>
      </c>
      <c r="X4693" s="79" t="str">
        <f>IF(OR(TH!N4693=TH!$X$7,O4693=TH!$X$7),"x","")</f>
        <v/>
      </c>
      <c r="Y4693" s="79" t="str">
        <f>IF(AND(OR(N4693="131",O4693="131"),H4693='131-CT'!$H$9),"x","")</f>
        <v/>
      </c>
      <c r="Z4693" s="79"/>
      <c r="AA4693" s="79" t="str">
        <f>IF(AND(MONTH(E4693)='IN-NX'!$J$5,'IN-NX'!$D$7=D4693),"x","")</f>
        <v/>
      </c>
      <c r="AB4693" s="79" t="str">
        <f>IF(AND(OR(LEFT(TH!N4693,2)="15",LEFT(TH!O4693,2)="15"),LEFT(TH!O4693,3)&lt;&gt;"111",'152-CT'!$J$8=TH!F4693),"x","")</f>
        <v/>
      </c>
      <c r="AC4693" s="79" t="str">
        <f>IF(AND(OR(LEFT(TH!N4693,2)="15",LEFT(TH!O4693,2)="15"),TK!$E$7=TH!F4693),"x","")</f>
        <v/>
      </c>
      <c r="AD4693" s="79" t="str">
        <f>IF(AND(N4693="1521",MONTH(C4693)='BK-NL'!$M$11),"x","")</f>
        <v/>
      </c>
    </row>
    <row r="4694" spans="1:30" ht="16.5" customHeight="1">
      <c r="A4694" s="318" t="str">
        <f>IF(B4694&lt;&gt;"",IF(AND(B4694='[3]IN-TC'!$S$4,OR([3]TH!N3925="1111",[3]TH!O3925="1111")),[3]TH!D3925,""),"")</f>
        <v/>
      </c>
      <c r="B4694" s="60" t="str">
        <f t="shared" si="476"/>
        <v/>
      </c>
      <c r="C4694" s="61"/>
      <c r="D4694" s="61"/>
      <c r="E4694" s="61"/>
      <c r="F4694" s="947"/>
      <c r="G4694" s="64"/>
      <c r="H4694" s="69"/>
      <c r="I4694" s="385"/>
      <c r="J4694" s="392"/>
      <c r="K4694" s="392"/>
      <c r="L4694" s="392"/>
      <c r="M4694" s="392"/>
      <c r="N4694" s="63"/>
      <c r="O4694" s="63"/>
      <c r="P4694" s="79" t="str">
        <f>IF(AND('331-CT'!$E$7=TH!H4694,OR(N4694="331",O4694="331")),"x","")</f>
        <v/>
      </c>
      <c r="Q4694" s="79" t="str">
        <f>IF(AND(B4694='111'!$L$11,OR($N4694=$Q$7,$O4694=$Q$7)),"x","")</f>
        <v/>
      </c>
      <c r="R4694" s="79" t="str">
        <f>IF(AND($N4694=$Q$7,$B4694&lt;'111'!$L$11),"x","")</f>
        <v/>
      </c>
      <c r="S4694" s="79" t="str">
        <f>IF(AND($O4694=$Q$7,$B4694&lt;'111'!$L$11),"x","")</f>
        <v/>
      </c>
      <c r="T4694" s="79" t="str">
        <f>IF(ISERROR(FIND('112'!$M$9,G4694,1)),"",IF((AND(FIND('112'!$M$9,G4694,1)&gt;=1,B4694='112'!$K$9,OR($N4694='112'!$I$6,$O4694='112'!$I$6))),"x",""))</f>
        <v/>
      </c>
      <c r="U4694" s="79" t="str">
        <f>IF(ISERROR(FIND('112'!$M$9,G4694,1)),"",IF((AND(LEFT(G4694,2)=LEFT('112'!$M$9,2),B4694&lt;'112'!$K$9,$N4694='112'!$I$6)),"x",""))</f>
        <v/>
      </c>
      <c r="V4694" s="79" t="str">
        <f>IF(ISERROR(FIND('112'!$M$9,G4694,1)),"",IF((AND(RIGHT(G4694,2)=RIGHT('112'!$M$9,2),B4694&lt;'112'!$K$9,$O4694='112'!$I$6)),"x",""))</f>
        <v/>
      </c>
      <c r="W4694" s="79" t="str">
        <f>IF(AND('341-CT'!$H$9=H4694,OR(LEFT(N4694,3)=$W$7,LEFT(O4694,3)=$W$7)),"x","")</f>
        <v/>
      </c>
      <c r="X4694" s="79" t="str">
        <f>IF(OR(TH!N4694=TH!$X$7,O4694=TH!$X$7),"x","")</f>
        <v/>
      </c>
      <c r="Y4694" s="79" t="str">
        <f>IF(AND(OR(N4694="131",O4694="131"),H4694='131-CT'!$H$9),"x","")</f>
        <v/>
      </c>
      <c r="Z4694" s="79"/>
      <c r="AA4694" s="79" t="str">
        <f>IF(AND(MONTH(E4694)='IN-NX'!$J$5,'IN-NX'!$D$7=D4694),"x","")</f>
        <v/>
      </c>
      <c r="AB4694" s="79" t="str">
        <f>IF(AND(OR(LEFT(TH!N4694,2)="15",LEFT(TH!O4694,2)="15"),LEFT(TH!O4694,3)&lt;&gt;"111",'152-CT'!$J$8=TH!F4694),"x","")</f>
        <v/>
      </c>
      <c r="AC4694" s="79" t="str">
        <f>IF(AND(OR(LEFT(TH!N4694,2)="15",LEFT(TH!O4694,2)="15"),TK!$E$7=TH!F4694),"x","")</f>
        <v/>
      </c>
      <c r="AD4694" s="79" t="str">
        <f>IF(AND(N4694="1521",MONTH(C4694)='BK-NL'!$M$11),"x","")</f>
        <v/>
      </c>
    </row>
    <row r="4695" spans="1:30" ht="16.5" customHeight="1">
      <c r="A4695" s="318" t="str">
        <f>IF(B4695&lt;&gt;"",IF(AND(B4695='[3]IN-TC'!$S$4,OR([3]TH!N3926="1111",[3]TH!O3926="1111")),[3]TH!D3926,""),"")</f>
        <v/>
      </c>
      <c r="B4695" s="60" t="str">
        <f t="shared" si="476"/>
        <v/>
      </c>
      <c r="C4695" s="61"/>
      <c r="D4695" s="61"/>
      <c r="E4695" s="61"/>
      <c r="F4695" s="69"/>
      <c r="G4695" s="64"/>
      <c r="H4695" s="303"/>
      <c r="I4695" s="385"/>
      <c r="J4695" s="392"/>
      <c r="K4695" s="385"/>
      <c r="L4695" s="392"/>
      <c r="M4695" s="62"/>
      <c r="N4695" s="63"/>
      <c r="O4695" s="63"/>
      <c r="P4695" s="79" t="str">
        <f>IF(AND('331-CT'!$E$7=TH!H4695,OR(N4695="331",O4695="331")),"x","")</f>
        <v/>
      </c>
      <c r="Q4695" s="79" t="str">
        <f>IF(AND(B4695='111'!$L$11,OR($N4695=$Q$7,$O4695=$Q$7)),"x","")</f>
        <v/>
      </c>
      <c r="R4695" s="79" t="str">
        <f>IF(AND($N4695=$Q$7,$B4695&lt;'111'!$L$11),"x","")</f>
        <v/>
      </c>
      <c r="S4695" s="79" t="str">
        <f>IF(AND($O4695=$Q$7,$B4695&lt;'111'!$L$11),"x","")</f>
        <v/>
      </c>
      <c r="T4695" s="79" t="str">
        <f>IF(ISERROR(FIND('112'!$M$9,G4695,1)),"",IF((AND(FIND('112'!$M$9,G4695,1)&gt;=1,B4695='112'!$K$9,OR($N4695='112'!$I$6,$O4695='112'!$I$6))),"x",""))</f>
        <v/>
      </c>
      <c r="U4695" s="79" t="str">
        <f>IF(ISERROR(FIND('112'!$M$9,G4695,1)),"",IF((AND(LEFT(G4695,2)=LEFT('112'!$M$9,2),B4695&lt;'112'!$K$9,$N4695='112'!$I$6)),"x",""))</f>
        <v/>
      </c>
      <c r="V4695" s="79" t="str">
        <f>IF(ISERROR(FIND('112'!$M$9,G4695,1)),"",IF((AND(RIGHT(G4695,2)=RIGHT('112'!$M$9,2),B4695&lt;'112'!$K$9,$O4695='112'!$I$6)),"x",""))</f>
        <v/>
      </c>
      <c r="W4695" s="79" t="str">
        <f>IF(AND('341-CT'!$H$9=H4695,OR(LEFT(N4695,3)=$W$7,LEFT(O4695,3)=$W$7)),"x","")</f>
        <v/>
      </c>
      <c r="X4695" s="79" t="str">
        <f>IF(OR(TH!N4695=TH!$X$7,O4695=TH!$X$7),"x","")</f>
        <v/>
      </c>
      <c r="Y4695" s="79" t="str">
        <f>IF(AND(OR(N4695="131",O4695="131"),H4695='131-CT'!$H$9),"x","")</f>
        <v/>
      </c>
      <c r="Z4695" s="79"/>
      <c r="AA4695" s="79" t="str">
        <f>IF(AND(MONTH(E4695)='IN-NX'!$J$5,'IN-NX'!$D$7=D4695),"x","")</f>
        <v/>
      </c>
      <c r="AB4695" s="79" t="str">
        <f>IF(AND(OR(LEFT(TH!N4695,2)="15",LEFT(TH!O4695,2)="15"),LEFT(TH!O4695,3)&lt;&gt;"111",'152-CT'!$J$8=TH!F4695),"x","")</f>
        <v/>
      </c>
      <c r="AC4695" s="79" t="str">
        <f>IF(AND(OR(LEFT(TH!N4695,2)="15",LEFT(TH!O4695,2)="15"),TK!$E$7=TH!F4695),"x","")</f>
        <v/>
      </c>
      <c r="AD4695" s="79" t="str">
        <f>IF(AND(N4695="1521",MONTH(C4695)='BK-NL'!$M$11),"x","")</f>
        <v/>
      </c>
    </row>
    <row r="4696" spans="1:30" ht="16.5" customHeight="1">
      <c r="A4696" s="318" t="str">
        <f>IF(B4696&lt;&gt;"",IF(AND(B4696='[3]IN-TC'!$S$4,OR([3]TH!N3927="1111",[3]TH!O3927="1111")),[3]TH!D3927,""),"")</f>
        <v/>
      </c>
      <c r="B4696" s="60" t="str">
        <f t="shared" si="476"/>
        <v/>
      </c>
      <c r="C4696" s="61"/>
      <c r="D4696" s="61"/>
      <c r="E4696" s="61"/>
      <c r="F4696" s="69"/>
      <c r="G4696" s="64"/>
      <c r="H4696" s="69"/>
      <c r="I4696" s="387"/>
      <c r="J4696" s="394"/>
      <c r="K4696" s="62"/>
      <c r="L4696" s="394"/>
      <c r="M4696" s="62"/>
      <c r="N4696" s="63"/>
      <c r="O4696" s="63"/>
      <c r="P4696" s="79" t="str">
        <f>IF(AND('331-CT'!$E$7=TH!H4696,OR(N4696="331",O4696="331")),"x","")</f>
        <v/>
      </c>
      <c r="Q4696" s="79" t="str">
        <f>IF(AND(B4696='111'!$L$11,OR($N4696=$Q$7,$O4696=$Q$7)),"x","")</f>
        <v/>
      </c>
      <c r="R4696" s="79" t="str">
        <f>IF(AND($N4696=$Q$7,$B4696&lt;'111'!$L$11),"x","")</f>
        <v/>
      </c>
      <c r="S4696" s="79" t="str">
        <f>IF(AND($O4696=$Q$7,$B4696&lt;'111'!$L$11),"x","")</f>
        <v/>
      </c>
      <c r="T4696" s="79" t="str">
        <f>IF(ISERROR(FIND('112'!$M$9,G4696,1)),"",IF((AND(FIND('112'!$M$9,G4696,1)&gt;=1,B4696='112'!$K$9,OR($N4696='112'!$I$6,$O4696='112'!$I$6))),"x",""))</f>
        <v/>
      </c>
      <c r="U4696" s="79" t="str">
        <f>IF(ISERROR(FIND('112'!$M$9,G4696,1)),"",IF((AND(LEFT(G4696,2)=LEFT('112'!$M$9,2),B4696&lt;'112'!$K$9,$N4696='112'!$I$6)),"x",""))</f>
        <v/>
      </c>
      <c r="V4696" s="79" t="str">
        <f>IF(ISERROR(FIND('112'!$M$9,G4696,1)),"",IF((AND(RIGHT(G4696,2)=RIGHT('112'!$M$9,2),B4696&lt;'112'!$K$9,$O4696='112'!$I$6)),"x",""))</f>
        <v/>
      </c>
      <c r="W4696" s="79" t="str">
        <f>IF(AND('341-CT'!$H$9=H4696,OR(LEFT(N4696,3)=$W$7,LEFT(O4696,3)=$W$7)),"x","")</f>
        <v/>
      </c>
      <c r="X4696" s="79" t="str">
        <f>IF(OR(TH!N4696=TH!$X$7,O4696=TH!$X$7),"x","")</f>
        <v/>
      </c>
      <c r="Y4696" s="79" t="str">
        <f>IF(AND(OR(N4696="131",O4696="131"),H4696='131-CT'!$H$9),"x","")</f>
        <v/>
      </c>
      <c r="Z4696" s="79"/>
      <c r="AA4696" s="79" t="str">
        <f>IF(AND(MONTH(E4696)='IN-NX'!$J$5,'IN-NX'!$D$7=D4696),"x","")</f>
        <v/>
      </c>
      <c r="AB4696" s="79" t="str">
        <f>IF(AND(OR(LEFT(TH!N4696,2)="15",LEFT(TH!O4696,2)="15"),LEFT(TH!O4696,3)&lt;&gt;"111",'152-CT'!$J$8=TH!F4696),"x","")</f>
        <v/>
      </c>
      <c r="AC4696" s="79" t="str">
        <f>IF(AND(OR(LEFT(TH!N4696,2)="15",LEFT(TH!O4696,2)="15"),TK!$E$7=TH!F4696),"x","")</f>
        <v/>
      </c>
      <c r="AD4696" s="79" t="str">
        <f>IF(AND(N4696="1521",MONTH(C4696)='BK-NL'!$M$11),"x","")</f>
        <v/>
      </c>
    </row>
    <row r="4697" spans="1:30" ht="16.5" customHeight="1">
      <c r="A4697" s="318" t="str">
        <f>IF(B4697&lt;&gt;"",IF(AND(B4697='[3]IN-TC'!$S$4,OR([3]TH!N3928="1111",[3]TH!O3928="1111")),[3]TH!D3928,""),"")</f>
        <v/>
      </c>
      <c r="B4697" s="60" t="str">
        <f t="shared" si="476"/>
        <v/>
      </c>
      <c r="C4697" s="61"/>
      <c r="D4697" s="61"/>
      <c r="E4697" s="61"/>
      <c r="F4697" s="69"/>
      <c r="G4697" s="64"/>
      <c r="H4697" s="69"/>
      <c r="I4697" s="387"/>
      <c r="J4697" s="394"/>
      <c r="K4697" s="387"/>
      <c r="L4697" s="394"/>
      <c r="M4697" s="62"/>
      <c r="N4697" s="63"/>
      <c r="O4697" s="63"/>
      <c r="P4697" s="79" t="str">
        <f>IF(AND('331-CT'!$E$7=TH!H4697,OR(N4697="331",O4697="331")),"x","")</f>
        <v/>
      </c>
      <c r="Q4697" s="79" t="str">
        <f>IF(AND(B4697='111'!$L$11,OR($N4697=$Q$7,$O4697=$Q$7)),"x","")</f>
        <v/>
      </c>
      <c r="R4697" s="79" t="str">
        <f>IF(AND($N4697=$Q$7,$B4697&lt;'111'!$L$11),"x","")</f>
        <v/>
      </c>
      <c r="S4697" s="79" t="str">
        <f>IF(AND($O4697=$Q$7,$B4697&lt;'111'!$L$11),"x","")</f>
        <v/>
      </c>
      <c r="T4697" s="79" t="str">
        <f>IF(ISERROR(FIND('112'!$M$9,G4697,1)),"",IF((AND(FIND('112'!$M$9,G4697,1)&gt;=1,B4697='112'!$K$9,OR($N4697='112'!$I$6,$O4697='112'!$I$6))),"x",""))</f>
        <v/>
      </c>
      <c r="U4697" s="79" t="str">
        <f>IF(ISERROR(FIND('112'!$M$9,G4697,1)),"",IF((AND(LEFT(G4697,2)=LEFT('112'!$M$9,2),B4697&lt;'112'!$K$9,$N4697='112'!$I$6)),"x",""))</f>
        <v/>
      </c>
      <c r="V4697" s="79" t="str">
        <f>IF(ISERROR(FIND('112'!$M$9,G4697,1)),"",IF((AND(RIGHT(G4697,2)=RIGHT('112'!$M$9,2),B4697&lt;'112'!$K$9,$O4697='112'!$I$6)),"x",""))</f>
        <v/>
      </c>
      <c r="W4697" s="79" t="str">
        <f>IF(AND('341-CT'!$H$9=H4697,OR(LEFT(N4697,3)=$W$7,LEFT(O4697,3)=$W$7)),"x","")</f>
        <v/>
      </c>
      <c r="X4697" s="79" t="str">
        <f>IF(OR(TH!N4697=TH!$X$7,O4697=TH!$X$7),"x","")</f>
        <v/>
      </c>
      <c r="Y4697" s="79" t="str">
        <f>IF(AND(OR(N4697="131",O4697="131"),H4697='131-CT'!$H$9),"x","")</f>
        <v/>
      </c>
      <c r="Z4697" s="79"/>
      <c r="AA4697" s="79" t="str">
        <f>IF(AND(MONTH(E4697)='IN-NX'!$J$5,'IN-NX'!$D$7=D4697),"x","")</f>
        <v/>
      </c>
      <c r="AB4697" s="79" t="str">
        <f>IF(AND(OR(LEFT(TH!N4697,2)="15",LEFT(TH!O4697,2)="15"),LEFT(TH!O4697,3)&lt;&gt;"111",'152-CT'!$J$8=TH!F4697),"x","")</f>
        <v/>
      </c>
      <c r="AC4697" s="79" t="str">
        <f>IF(AND(OR(LEFT(TH!N4697,2)="15",LEFT(TH!O4697,2)="15"),TK!$E$7=TH!F4697),"x","")</f>
        <v/>
      </c>
      <c r="AD4697" s="79" t="str">
        <f>IF(AND(N4697="1521",MONTH(C4697)='BK-NL'!$M$11),"x","")</f>
        <v/>
      </c>
    </row>
    <row r="4698" spans="1:30" ht="16.5" customHeight="1">
      <c r="A4698" s="318" t="str">
        <f>IF(B4698&lt;&gt;"",IF(AND(B4698='[3]IN-TC'!$S$4,OR([3]TH!N3929="1111",[3]TH!O3929="1111")),[3]TH!D3929,""),"")</f>
        <v/>
      </c>
      <c r="B4698" s="60" t="str">
        <f t="shared" si="476"/>
        <v/>
      </c>
      <c r="C4698" s="61"/>
      <c r="D4698" s="61"/>
      <c r="E4698" s="61"/>
      <c r="F4698" s="69"/>
      <c r="G4698" s="64"/>
      <c r="H4698" s="303"/>
      <c r="I4698" s="385"/>
      <c r="J4698" s="392"/>
      <c r="K4698" s="385"/>
      <c r="L4698" s="392"/>
      <c r="M4698" s="62"/>
      <c r="N4698" s="63"/>
      <c r="O4698" s="63"/>
      <c r="P4698" s="79" t="str">
        <f>IF(AND('331-CT'!$E$7=TH!H4698,OR(N4698="331",O4698="331")),"x","")</f>
        <v/>
      </c>
      <c r="Q4698" s="79" t="str">
        <f>IF(AND(B4698='111'!$L$11,OR($N4698=$Q$7,$O4698=$Q$7)),"x","")</f>
        <v/>
      </c>
      <c r="R4698" s="79" t="str">
        <f>IF(AND($N4698=$Q$7,$B4698&lt;'111'!$L$11),"x","")</f>
        <v/>
      </c>
      <c r="S4698" s="79" t="str">
        <f>IF(AND($O4698=$Q$7,$B4698&lt;'111'!$L$11),"x","")</f>
        <v/>
      </c>
      <c r="T4698" s="79" t="str">
        <f>IF(ISERROR(FIND('112'!$M$9,G4698,1)),"",IF((AND(FIND('112'!$M$9,G4698,1)&gt;=1,B4698='112'!$K$9,OR($N4698='112'!$I$6,$O4698='112'!$I$6))),"x",""))</f>
        <v/>
      </c>
      <c r="U4698" s="79" t="str">
        <f>IF(ISERROR(FIND('112'!$M$9,G4698,1)),"",IF((AND(LEFT(G4698,2)=LEFT('112'!$M$9,2),B4698&lt;'112'!$K$9,$N4698='112'!$I$6)),"x",""))</f>
        <v/>
      </c>
      <c r="V4698" s="79" t="str">
        <f>IF(ISERROR(FIND('112'!$M$9,G4698,1)),"",IF((AND(RIGHT(G4698,2)=RIGHT('112'!$M$9,2),B4698&lt;'112'!$K$9,$O4698='112'!$I$6)),"x",""))</f>
        <v/>
      </c>
      <c r="W4698" s="79" t="str">
        <f>IF(AND('341-CT'!$H$9=H4698,OR(LEFT(N4698,3)=$W$7,LEFT(O4698,3)=$W$7)),"x","")</f>
        <v/>
      </c>
      <c r="X4698" s="79" t="str">
        <f>IF(OR(TH!N4698=TH!$X$7,O4698=TH!$X$7),"x","")</f>
        <v/>
      </c>
      <c r="Y4698" s="79" t="str">
        <f>IF(AND(OR(N4698="131",O4698="131"),H4698='131-CT'!$H$9),"x","")</f>
        <v/>
      </c>
      <c r="Z4698" s="79"/>
      <c r="AA4698" s="79" t="str">
        <f>IF(AND(MONTH(E4698)='IN-NX'!$J$5,'IN-NX'!$D$7=D4698),"x","")</f>
        <v/>
      </c>
      <c r="AB4698" s="79" t="str">
        <f>IF(AND(OR(LEFT(TH!N4698,2)="15",LEFT(TH!O4698,2)="15"),LEFT(TH!O4698,3)&lt;&gt;"111",'152-CT'!$J$8=TH!F4698),"x","")</f>
        <v/>
      </c>
      <c r="AC4698" s="79" t="str">
        <f>IF(AND(OR(LEFT(TH!N4698,2)="15",LEFT(TH!O4698,2)="15"),TK!$E$7=TH!F4698),"x","")</f>
        <v/>
      </c>
      <c r="AD4698" s="79" t="str">
        <f>IF(AND(N4698="1521",MONTH(C4698)='BK-NL'!$M$11),"x","")</f>
        <v/>
      </c>
    </row>
    <row r="4699" spans="1:30" ht="16.5" customHeight="1">
      <c r="A4699" s="318" t="str">
        <f>IF(B4699&lt;&gt;"",IF(AND(B4699='[3]IN-TC'!$S$4,OR([3]TH!N3930="1111",[3]TH!O3930="1111")),[3]TH!D3930,""),"")</f>
        <v/>
      </c>
      <c r="B4699" s="60" t="str">
        <f t="shared" si="476"/>
        <v/>
      </c>
      <c r="C4699" s="61"/>
      <c r="D4699" s="61"/>
      <c r="E4699" s="61"/>
      <c r="F4699" s="69"/>
      <c r="G4699" s="64"/>
      <c r="H4699" s="69"/>
      <c r="I4699" s="387"/>
      <c r="J4699" s="394"/>
      <c r="K4699" s="387"/>
      <c r="L4699" s="394"/>
      <c r="M4699" s="62"/>
      <c r="N4699" s="63"/>
      <c r="O4699" s="63"/>
      <c r="P4699" s="79" t="str">
        <f>IF(AND('331-CT'!$E$7=TH!H4699,OR(N4699="331",O4699="331")),"x","")</f>
        <v/>
      </c>
      <c r="Q4699" s="79" t="str">
        <f>IF(AND(B4699='111'!$L$11,OR($N4699=$Q$7,$O4699=$Q$7)),"x","")</f>
        <v/>
      </c>
      <c r="R4699" s="79" t="str">
        <f>IF(AND($N4699=$Q$7,$B4699&lt;'111'!$L$11),"x","")</f>
        <v/>
      </c>
      <c r="S4699" s="79" t="str">
        <f>IF(AND($O4699=$Q$7,$B4699&lt;'111'!$L$11),"x","")</f>
        <v/>
      </c>
      <c r="T4699" s="79" t="str">
        <f>IF(ISERROR(FIND('112'!$M$9,G4699,1)),"",IF((AND(FIND('112'!$M$9,G4699,1)&gt;=1,B4699='112'!$K$9,OR($N4699='112'!$I$6,$O4699='112'!$I$6))),"x",""))</f>
        <v/>
      </c>
      <c r="U4699" s="79" t="str">
        <f>IF(ISERROR(FIND('112'!$M$9,G4699,1)),"",IF((AND(LEFT(G4699,2)=LEFT('112'!$M$9,2),B4699&lt;'112'!$K$9,$N4699='112'!$I$6)),"x",""))</f>
        <v/>
      </c>
      <c r="V4699" s="79" t="str">
        <f>IF(ISERROR(FIND('112'!$M$9,G4699,1)),"",IF((AND(RIGHT(G4699,2)=RIGHT('112'!$M$9,2),B4699&lt;'112'!$K$9,$O4699='112'!$I$6)),"x",""))</f>
        <v/>
      </c>
      <c r="W4699" s="79" t="str">
        <f>IF(AND('341-CT'!$H$9=H4699,OR(LEFT(N4699,3)=$W$7,LEFT(O4699,3)=$W$7)),"x","")</f>
        <v/>
      </c>
      <c r="X4699" s="79" t="str">
        <f>IF(OR(TH!N4699=TH!$X$7,O4699=TH!$X$7),"x","")</f>
        <v/>
      </c>
      <c r="Y4699" s="79" t="str">
        <f>IF(AND(OR(N4699="131",O4699="131"),H4699='131-CT'!$H$9),"x","")</f>
        <v/>
      </c>
      <c r="Z4699" s="79"/>
      <c r="AA4699" s="79" t="str">
        <f>IF(AND(MONTH(E4699)='IN-NX'!$J$5,'IN-NX'!$D$7=D4699),"x","")</f>
        <v/>
      </c>
      <c r="AB4699" s="79" t="str">
        <f>IF(AND(OR(LEFT(TH!N4699,2)="15",LEFT(TH!O4699,2)="15"),LEFT(TH!O4699,3)&lt;&gt;"111",'152-CT'!$J$8=TH!F4699),"x","")</f>
        <v/>
      </c>
      <c r="AC4699" s="79" t="str">
        <f>IF(AND(OR(LEFT(TH!N4699,2)="15",LEFT(TH!O4699,2)="15"),TK!$E$7=TH!F4699),"x","")</f>
        <v/>
      </c>
      <c r="AD4699" s="79" t="str">
        <f>IF(AND(N4699="1521",MONTH(C4699)='BK-NL'!$M$11),"x","")</f>
        <v/>
      </c>
    </row>
    <row r="4700" spans="1:30" ht="16.5" customHeight="1">
      <c r="A4700" s="318" t="str">
        <f>IF(B4700&lt;&gt;"",IF(AND(B4700='[3]IN-TC'!$S$4,OR([3]TH!N3931="1111",[3]TH!O3931="1111")),[3]TH!D3931,""),"")</f>
        <v/>
      </c>
      <c r="B4700" s="60" t="str">
        <f t="shared" ref="B4700:B4763" si="477">IF(C4700&lt;&gt;"",MONTH(C4700),"")</f>
        <v/>
      </c>
      <c r="C4700" s="61"/>
      <c r="D4700" s="61"/>
      <c r="E4700" s="61"/>
      <c r="F4700" s="69"/>
      <c r="G4700" s="64"/>
      <c r="H4700" s="69"/>
      <c r="I4700" s="387"/>
      <c r="J4700" s="394"/>
      <c r="K4700" s="387"/>
      <c r="L4700" s="394"/>
      <c r="M4700" s="62"/>
      <c r="N4700" s="63"/>
      <c r="O4700" s="63"/>
      <c r="P4700" s="79" t="str">
        <f>IF(AND('331-CT'!$E$7=TH!H4700,OR(N4700="331",O4700="331")),"x","")</f>
        <v/>
      </c>
      <c r="Q4700" s="79" t="str">
        <f>IF(AND(B4700='111'!$L$11,OR($N4700=$Q$7,$O4700=$Q$7)),"x","")</f>
        <v/>
      </c>
      <c r="R4700" s="79" t="str">
        <f>IF(AND($N4700=$Q$7,$B4700&lt;'111'!$L$11),"x","")</f>
        <v/>
      </c>
      <c r="S4700" s="79" t="str">
        <f>IF(AND($O4700=$Q$7,$B4700&lt;'111'!$L$11),"x","")</f>
        <v/>
      </c>
      <c r="T4700" s="79" t="str">
        <f>IF(ISERROR(FIND('112'!$M$9,G4700,1)),"",IF((AND(FIND('112'!$M$9,G4700,1)&gt;=1,B4700='112'!$K$9,OR($N4700='112'!$I$6,$O4700='112'!$I$6))),"x",""))</f>
        <v/>
      </c>
      <c r="U4700" s="79" t="str">
        <f>IF(ISERROR(FIND('112'!$M$9,G4700,1)),"",IF((AND(LEFT(G4700,2)=LEFT('112'!$M$9,2),B4700&lt;'112'!$K$9,$N4700='112'!$I$6)),"x",""))</f>
        <v/>
      </c>
      <c r="V4700" s="79" t="str">
        <f>IF(ISERROR(FIND('112'!$M$9,G4700,1)),"",IF((AND(RIGHT(G4700,2)=RIGHT('112'!$M$9,2),B4700&lt;'112'!$K$9,$O4700='112'!$I$6)),"x",""))</f>
        <v/>
      </c>
      <c r="W4700" s="79" t="str">
        <f>IF(AND('341-CT'!$H$9=H4700,OR(LEFT(N4700,3)=$W$7,LEFT(O4700,3)=$W$7)),"x","")</f>
        <v/>
      </c>
      <c r="X4700" s="79" t="str">
        <f>IF(OR(TH!N4700=TH!$X$7,O4700=TH!$X$7),"x","")</f>
        <v/>
      </c>
      <c r="Y4700" s="79" t="str">
        <f>IF(AND(OR(N4700="131",O4700="131"),H4700='131-CT'!$H$9),"x","")</f>
        <v/>
      </c>
      <c r="Z4700" s="79"/>
      <c r="AA4700" s="79" t="str">
        <f>IF(AND(MONTH(E4700)='IN-NX'!$J$5,'IN-NX'!$D$7=D4700),"x","")</f>
        <v/>
      </c>
      <c r="AB4700" s="79" t="str">
        <f>IF(AND(OR(LEFT(TH!N4700,2)="15",LEFT(TH!O4700,2)="15"),LEFT(TH!O4700,3)&lt;&gt;"111",'152-CT'!$J$8=TH!F4700),"x","")</f>
        <v/>
      </c>
      <c r="AC4700" s="79" t="str">
        <f>IF(AND(OR(LEFT(TH!N4700,2)="15",LEFT(TH!O4700,2)="15"),TK!$E$7=TH!F4700),"x","")</f>
        <v/>
      </c>
      <c r="AD4700" s="79" t="str">
        <f>IF(AND(N4700="1521",MONTH(C4700)='BK-NL'!$M$11),"x","")</f>
        <v/>
      </c>
    </row>
    <row r="4701" spans="1:30" ht="16.5" customHeight="1">
      <c r="A4701" s="318" t="str">
        <f>IF(B4701&lt;&gt;"",IF(AND(B4701='[3]IN-TC'!$S$4,OR([3]TH!N3932="1111",[3]TH!O3932="1111")),[3]TH!D3932,""),"")</f>
        <v/>
      </c>
      <c r="B4701" s="60" t="str">
        <f t="shared" si="477"/>
        <v/>
      </c>
      <c r="C4701" s="61"/>
      <c r="D4701" s="301"/>
      <c r="E4701" s="61"/>
      <c r="F4701" s="69"/>
      <c r="G4701" s="64"/>
      <c r="H4701" s="303"/>
      <c r="I4701" s="385"/>
      <c r="J4701" s="392"/>
      <c r="K4701" s="385"/>
      <c r="L4701" s="392"/>
      <c r="M4701" s="62"/>
      <c r="N4701" s="63"/>
      <c r="O4701" s="63"/>
      <c r="P4701" s="79" t="str">
        <f>IF(AND('331-CT'!$E$7=TH!H4701,OR(N4701="331",O4701="331")),"x","")</f>
        <v/>
      </c>
      <c r="Q4701" s="79" t="str">
        <f>IF(AND(B4701='111'!$L$11,OR($N4701=$Q$7,$O4701=$Q$7)),"x","")</f>
        <v/>
      </c>
      <c r="R4701" s="79" t="str">
        <f>IF(AND($N4701=$Q$7,$B4701&lt;'111'!$L$11),"x","")</f>
        <v/>
      </c>
      <c r="S4701" s="79" t="str">
        <f>IF(AND($O4701=$Q$7,$B4701&lt;'111'!$L$11),"x","")</f>
        <v/>
      </c>
      <c r="T4701" s="79" t="str">
        <f>IF(ISERROR(FIND('112'!$M$9,G4701,1)),"",IF((AND(FIND('112'!$M$9,G4701,1)&gt;=1,B4701='112'!$K$9,OR($N4701='112'!$I$6,$O4701='112'!$I$6))),"x",""))</f>
        <v/>
      </c>
      <c r="U4701" s="79" t="str">
        <f>IF(ISERROR(FIND('112'!$M$9,G4701,1)),"",IF((AND(LEFT(G4701,2)=LEFT('112'!$M$9,2),B4701&lt;'112'!$K$9,$N4701='112'!$I$6)),"x",""))</f>
        <v/>
      </c>
      <c r="V4701" s="79" t="str">
        <f>IF(ISERROR(FIND('112'!$M$9,G4701,1)),"",IF((AND(RIGHT(G4701,2)=RIGHT('112'!$M$9,2),B4701&lt;'112'!$K$9,$O4701='112'!$I$6)),"x",""))</f>
        <v/>
      </c>
      <c r="W4701" s="79" t="str">
        <f>IF(AND('341-CT'!$H$9=H4701,OR(LEFT(N4701,3)=$W$7,LEFT(O4701,3)=$W$7)),"x","")</f>
        <v/>
      </c>
      <c r="X4701" s="79" t="str">
        <f>IF(OR(TH!N4701=TH!$X$7,O4701=TH!$X$7),"x","")</f>
        <v/>
      </c>
      <c r="Y4701" s="79" t="str">
        <f>IF(AND(OR(N4701="131",O4701="131"),H4701='131-CT'!$H$9),"x","")</f>
        <v/>
      </c>
      <c r="Z4701" s="79"/>
      <c r="AA4701" s="79" t="str">
        <f>IF(AND(MONTH(E4701)='IN-NX'!$J$5,'IN-NX'!$D$7=D4701),"x","")</f>
        <v/>
      </c>
      <c r="AB4701" s="79" t="str">
        <f>IF(AND(OR(LEFT(TH!N4701,2)="15",LEFT(TH!O4701,2)="15"),LEFT(TH!O4701,3)&lt;&gt;"111",'152-CT'!$J$8=TH!F4701),"x","")</f>
        <v/>
      </c>
      <c r="AC4701" s="79" t="str">
        <f>IF(AND(OR(LEFT(TH!N4701,2)="15",LEFT(TH!O4701,2)="15"),TK!$E$7=TH!F4701),"x","")</f>
        <v/>
      </c>
      <c r="AD4701" s="79" t="str">
        <f>IF(AND(N4701="1521",MONTH(C4701)='BK-NL'!$M$11),"x","")</f>
        <v/>
      </c>
    </row>
    <row r="4702" spans="1:30" ht="16.5" customHeight="1">
      <c r="A4702" s="318" t="str">
        <f>IF(B4702&lt;&gt;"",IF(AND(B4702='[3]IN-TC'!$S$4,OR([3]TH!N3933="1111",[3]TH!O3933="1111")),[3]TH!D3933,""),"")</f>
        <v/>
      </c>
      <c r="B4702" s="60" t="str">
        <f t="shared" si="477"/>
        <v/>
      </c>
      <c r="C4702" s="61"/>
      <c r="D4702" s="61"/>
      <c r="E4702" s="61"/>
      <c r="F4702" s="69"/>
      <c r="G4702" s="64"/>
      <c r="H4702" s="303"/>
      <c r="I4702" s="385"/>
      <c r="J4702" s="392"/>
      <c r="K4702" s="385"/>
      <c r="L4702" s="392"/>
      <c r="M4702" s="62"/>
      <c r="N4702" s="63"/>
      <c r="O4702" s="304"/>
      <c r="P4702" s="79" t="str">
        <f>IF(AND('331-CT'!$E$7=TH!H4702,OR(N4702="331",O4702="331")),"x","")</f>
        <v/>
      </c>
      <c r="Q4702" s="79" t="str">
        <f>IF(AND(B4702='111'!$L$11,OR($N4702=$Q$7,$O4702=$Q$7)),"x","")</f>
        <v/>
      </c>
      <c r="R4702" s="79" t="str">
        <f>IF(AND($N4702=$Q$7,$B4702&lt;'111'!$L$11),"x","")</f>
        <v/>
      </c>
      <c r="S4702" s="79" t="str">
        <f>IF(AND($O4702=$Q$7,$B4702&lt;'111'!$L$11),"x","")</f>
        <v/>
      </c>
      <c r="T4702" s="79" t="str">
        <f>IF(ISERROR(FIND('112'!$M$9,G4702,1)),"",IF((AND(FIND('112'!$M$9,G4702,1)&gt;=1,B4702='112'!$K$9,OR($N4702='112'!$I$6,$O4702='112'!$I$6))),"x",""))</f>
        <v/>
      </c>
      <c r="U4702" s="79" t="str">
        <f>IF(ISERROR(FIND('112'!$M$9,G4702,1)),"",IF((AND(LEFT(G4702,2)=LEFT('112'!$M$9,2),B4702&lt;'112'!$K$9,$N4702='112'!$I$6)),"x",""))</f>
        <v/>
      </c>
      <c r="V4702" s="79" t="str">
        <f>IF(ISERROR(FIND('112'!$M$9,G4702,1)),"",IF((AND(RIGHT(G4702,2)=RIGHT('112'!$M$9,2),B4702&lt;'112'!$K$9,$O4702='112'!$I$6)),"x",""))</f>
        <v/>
      </c>
      <c r="W4702" s="79" t="str">
        <f>IF(AND('341-CT'!$H$9=H4702,OR(LEFT(N4702,3)=$W$7,LEFT(O4702,3)=$W$7)),"x","")</f>
        <v/>
      </c>
      <c r="X4702" s="79" t="str">
        <f>IF(OR(TH!N4702=TH!$X$7,O4702=TH!$X$7),"x","")</f>
        <v/>
      </c>
      <c r="Y4702" s="79" t="str">
        <f>IF(AND(OR(N4702="131",O4702="131"),H4702='131-CT'!$H$9),"x","")</f>
        <v/>
      </c>
      <c r="Z4702" s="79"/>
      <c r="AA4702" s="79" t="str">
        <f>IF(AND(MONTH(E4702)='IN-NX'!$J$5,'IN-NX'!$D$7=D4702),"x","")</f>
        <v/>
      </c>
      <c r="AB4702" s="79" t="str">
        <f>IF(AND(OR(LEFT(TH!N4702,2)="15",LEFT(TH!O4702,2)="15"),LEFT(TH!O4702,3)&lt;&gt;"111",'152-CT'!$J$8=TH!F4702),"x","")</f>
        <v/>
      </c>
      <c r="AC4702" s="79" t="str">
        <f>IF(AND(OR(LEFT(TH!N4702,2)="15",LEFT(TH!O4702,2)="15"),TK!$E$7=TH!F4702),"x","")</f>
        <v/>
      </c>
      <c r="AD4702" s="79" t="str">
        <f>IF(AND(N4702="1521",MONTH(C4702)='BK-NL'!$M$11),"x","")</f>
        <v/>
      </c>
    </row>
    <row r="4703" spans="1:30" ht="16.5" customHeight="1">
      <c r="A4703" s="318" t="str">
        <f>IF(B4703&lt;&gt;"",IF(AND(B4703='[3]IN-TC'!$S$4,OR([3]TH!N3934="1111",[3]TH!O3934="1111")),[3]TH!D3934,""),"")</f>
        <v/>
      </c>
      <c r="B4703" s="60" t="str">
        <f t="shared" si="477"/>
        <v/>
      </c>
      <c r="C4703" s="61"/>
      <c r="D4703" s="61"/>
      <c r="E4703" s="61"/>
      <c r="F4703" s="69"/>
      <c r="G4703" s="64"/>
      <c r="H4703" s="69"/>
      <c r="I4703" s="385"/>
      <c r="J4703" s="392"/>
      <c r="K4703" s="392"/>
      <c r="L4703" s="392"/>
      <c r="M4703" s="392"/>
      <c r="N4703" s="63"/>
      <c r="O4703" s="63"/>
      <c r="P4703" s="79" t="str">
        <f>IF(AND('331-CT'!$E$7=TH!H4703,OR(N4703="331",O4703="331")),"x","")</f>
        <v/>
      </c>
      <c r="Q4703" s="79" t="str">
        <f>IF(AND(B4703='111'!$L$11,OR($N4703=$Q$7,$O4703=$Q$7)),"x","")</f>
        <v/>
      </c>
      <c r="R4703" s="79" t="str">
        <f>IF(AND($N4703=$Q$7,$B4703&lt;'111'!$L$11),"x","")</f>
        <v/>
      </c>
      <c r="S4703" s="79" t="str">
        <f>IF(AND($O4703=$Q$7,$B4703&lt;'111'!$L$11),"x","")</f>
        <v/>
      </c>
      <c r="T4703" s="79" t="str">
        <f>IF(ISERROR(FIND('112'!$M$9,G4703,1)),"",IF((AND(FIND('112'!$M$9,G4703,1)&gt;=1,B4703='112'!$K$9,OR($N4703='112'!$I$6,$O4703='112'!$I$6))),"x",""))</f>
        <v/>
      </c>
      <c r="U4703" s="79" t="str">
        <f>IF(ISERROR(FIND('112'!$M$9,G4703,1)),"",IF((AND(LEFT(G4703,2)=LEFT('112'!$M$9,2),B4703&lt;'112'!$K$9,$N4703='112'!$I$6)),"x",""))</f>
        <v/>
      </c>
      <c r="V4703" s="79" t="str">
        <f>IF(ISERROR(FIND('112'!$M$9,G4703,1)),"",IF((AND(RIGHT(G4703,2)=RIGHT('112'!$M$9,2),B4703&lt;'112'!$K$9,$O4703='112'!$I$6)),"x",""))</f>
        <v/>
      </c>
      <c r="W4703" s="79" t="str">
        <f>IF(AND('341-CT'!$H$9=H4703,OR(LEFT(N4703,3)=$W$7,LEFT(O4703,3)=$W$7)),"x","")</f>
        <v/>
      </c>
      <c r="X4703" s="79" t="str">
        <f>IF(OR(TH!N4703=TH!$X$7,O4703=TH!$X$7),"x","")</f>
        <v/>
      </c>
      <c r="Y4703" s="79" t="str">
        <f>IF(AND(OR(N4703="131",O4703="131"),H4703='131-CT'!$H$9),"x","")</f>
        <v/>
      </c>
      <c r="Z4703" s="79"/>
      <c r="AA4703" s="79" t="str">
        <f>IF(AND(MONTH(E4703)='IN-NX'!$J$5,'IN-NX'!$D$7=D4703),"x","")</f>
        <v/>
      </c>
      <c r="AB4703" s="79" t="str">
        <f>IF(AND(OR(LEFT(TH!N4703,2)="15",LEFT(TH!O4703,2)="15"),LEFT(TH!O4703,3)&lt;&gt;"111",'152-CT'!$J$8=TH!F4703),"x","")</f>
        <v/>
      </c>
      <c r="AC4703" s="79" t="str">
        <f>IF(AND(OR(LEFT(TH!N4703,2)="15",LEFT(TH!O4703,2)="15"),TK!$E$7=TH!F4703),"x","")</f>
        <v/>
      </c>
      <c r="AD4703" s="79" t="str">
        <f>IF(AND(N4703="1521",MONTH(C4703)='BK-NL'!$M$11),"x","")</f>
        <v/>
      </c>
    </row>
    <row r="4704" spans="1:30" ht="16.5" customHeight="1">
      <c r="A4704" s="318" t="str">
        <f>IF(B4704&lt;&gt;"",IF(AND(B4704='[3]IN-TC'!$S$4,OR([3]TH!N3935="1111",[3]TH!O3935="1111")),[3]TH!D3935,""),"")</f>
        <v/>
      </c>
      <c r="B4704" s="60" t="str">
        <f t="shared" si="477"/>
        <v/>
      </c>
      <c r="C4704" s="61"/>
      <c r="D4704" s="61"/>
      <c r="E4704" s="61"/>
      <c r="F4704" s="69"/>
      <c r="G4704" s="64"/>
      <c r="H4704" s="69"/>
      <c r="I4704" s="385"/>
      <c r="J4704" s="392"/>
      <c r="K4704" s="392"/>
      <c r="L4704" s="392"/>
      <c r="M4704" s="392"/>
      <c r="N4704" s="63"/>
      <c r="O4704" s="63"/>
      <c r="P4704" s="79" t="str">
        <f>IF(AND('331-CT'!$E$7=TH!H4704,OR(N4704="331",O4704="331")),"x","")</f>
        <v/>
      </c>
      <c r="Q4704" s="79" t="str">
        <f>IF(AND(B4704='111'!$L$11,OR($N4704=$Q$7,$O4704=$Q$7)),"x","")</f>
        <v/>
      </c>
      <c r="R4704" s="79" t="str">
        <f>IF(AND($N4704=$Q$7,$B4704&lt;'111'!$L$11),"x","")</f>
        <v/>
      </c>
      <c r="S4704" s="79" t="str">
        <f>IF(AND($O4704=$Q$7,$B4704&lt;'111'!$L$11),"x","")</f>
        <v/>
      </c>
      <c r="T4704" s="79" t="str">
        <f>IF(ISERROR(FIND('112'!$M$9,G4704,1)),"",IF((AND(FIND('112'!$M$9,G4704,1)&gt;=1,B4704='112'!$K$9,OR($N4704='112'!$I$6,$O4704='112'!$I$6))),"x",""))</f>
        <v/>
      </c>
      <c r="U4704" s="79" t="str">
        <f>IF(ISERROR(FIND('112'!$M$9,G4704,1)),"",IF((AND(LEFT(G4704,2)=LEFT('112'!$M$9,2),B4704&lt;'112'!$K$9,$N4704='112'!$I$6)),"x",""))</f>
        <v/>
      </c>
      <c r="V4704" s="79" t="str">
        <f>IF(ISERROR(FIND('112'!$M$9,G4704,1)),"",IF((AND(RIGHT(G4704,2)=RIGHT('112'!$M$9,2),B4704&lt;'112'!$K$9,$O4704='112'!$I$6)),"x",""))</f>
        <v/>
      </c>
      <c r="W4704" s="79" t="str">
        <f>IF(AND('341-CT'!$H$9=H4704,OR(LEFT(N4704,3)=$W$7,LEFT(O4704,3)=$W$7)),"x","")</f>
        <v/>
      </c>
      <c r="X4704" s="79" t="str">
        <f>IF(OR(TH!N4704=TH!$X$7,O4704=TH!$X$7),"x","")</f>
        <v/>
      </c>
      <c r="Y4704" s="79" t="str">
        <f>IF(AND(OR(N4704="131",O4704="131"),H4704='131-CT'!$H$9),"x","")</f>
        <v/>
      </c>
      <c r="Z4704" s="79"/>
      <c r="AA4704" s="79" t="str">
        <f>IF(AND(MONTH(E4704)='IN-NX'!$J$5,'IN-NX'!$D$7=D4704),"x","")</f>
        <v/>
      </c>
      <c r="AB4704" s="79" t="str">
        <f>IF(AND(OR(LEFT(TH!N4704,2)="15",LEFT(TH!O4704,2)="15"),LEFT(TH!O4704,3)&lt;&gt;"111",'152-CT'!$J$8=TH!F4704),"x","")</f>
        <v/>
      </c>
      <c r="AC4704" s="79" t="str">
        <f>IF(AND(OR(LEFT(TH!N4704,2)="15",LEFT(TH!O4704,2)="15"),TK!$E$7=TH!F4704),"x","")</f>
        <v/>
      </c>
      <c r="AD4704" s="79" t="str">
        <f>IF(AND(N4704="1521",MONTH(C4704)='BK-NL'!$M$11),"x","")</f>
        <v/>
      </c>
    </row>
    <row r="4705" spans="1:30" ht="16.5" customHeight="1">
      <c r="A4705" s="318" t="str">
        <f>IF(B4705&lt;&gt;"",IF(AND(B4705='[3]IN-TC'!$S$4,OR([3]TH!N3936="1111",[3]TH!O3936="1111")),[3]TH!D3936,""),"")</f>
        <v/>
      </c>
      <c r="B4705" s="60" t="str">
        <f t="shared" si="477"/>
        <v/>
      </c>
      <c r="C4705" s="61"/>
      <c r="D4705" s="61"/>
      <c r="E4705" s="61"/>
      <c r="F4705" s="69"/>
      <c r="G4705" s="64"/>
      <c r="H4705" s="69"/>
      <c r="I4705" s="385"/>
      <c r="J4705" s="392"/>
      <c r="K4705" s="392"/>
      <c r="L4705" s="392"/>
      <c r="M4705" s="392"/>
      <c r="N4705" s="63"/>
      <c r="O4705" s="63"/>
      <c r="P4705" s="79" t="str">
        <f>IF(AND('331-CT'!$E$7=TH!H4705,OR(N4705="331",O4705="331")),"x","")</f>
        <v/>
      </c>
      <c r="Q4705" s="79" t="str">
        <f>IF(AND(B4705='111'!$L$11,OR($N4705=$Q$7,$O4705=$Q$7)),"x","")</f>
        <v/>
      </c>
      <c r="R4705" s="79" t="str">
        <f>IF(AND($N4705=$Q$7,$B4705&lt;'111'!$L$11),"x","")</f>
        <v/>
      </c>
      <c r="S4705" s="79" t="str">
        <f>IF(AND($O4705=$Q$7,$B4705&lt;'111'!$L$11),"x","")</f>
        <v/>
      </c>
      <c r="T4705" s="79" t="str">
        <f>IF(ISERROR(FIND('112'!$M$9,G4705,1)),"",IF((AND(FIND('112'!$M$9,G4705,1)&gt;=1,B4705='112'!$K$9,OR($N4705='112'!$I$6,$O4705='112'!$I$6))),"x",""))</f>
        <v/>
      </c>
      <c r="U4705" s="79" t="str">
        <f>IF(ISERROR(FIND('112'!$M$9,G4705,1)),"",IF((AND(LEFT(G4705,2)=LEFT('112'!$M$9,2),B4705&lt;'112'!$K$9,$N4705='112'!$I$6)),"x",""))</f>
        <v/>
      </c>
      <c r="V4705" s="79" t="str">
        <f>IF(ISERROR(FIND('112'!$M$9,G4705,1)),"",IF((AND(RIGHT(G4705,2)=RIGHT('112'!$M$9,2),B4705&lt;'112'!$K$9,$O4705='112'!$I$6)),"x",""))</f>
        <v/>
      </c>
      <c r="W4705" s="79" t="str">
        <f>IF(AND('341-CT'!$H$9=H4705,OR(LEFT(N4705,3)=$W$7,LEFT(O4705,3)=$W$7)),"x","")</f>
        <v/>
      </c>
      <c r="X4705" s="79" t="str">
        <f>IF(OR(TH!N4705=TH!$X$7,O4705=TH!$X$7),"x","")</f>
        <v/>
      </c>
      <c r="Y4705" s="79" t="str">
        <f>IF(AND(OR(N4705="131",O4705="131"),H4705='131-CT'!$H$9),"x","")</f>
        <v/>
      </c>
      <c r="Z4705" s="79"/>
      <c r="AA4705" s="79" t="str">
        <f>IF(AND(MONTH(E4705)='IN-NX'!$J$5,'IN-NX'!$D$7=D4705),"x","")</f>
        <v/>
      </c>
      <c r="AB4705" s="79" t="str">
        <f>IF(AND(OR(LEFT(TH!N4705,2)="15",LEFT(TH!O4705,2)="15"),LEFT(TH!O4705,3)&lt;&gt;"111",'152-CT'!$J$8=TH!F4705),"x","")</f>
        <v/>
      </c>
      <c r="AC4705" s="79" t="str">
        <f>IF(AND(OR(LEFT(TH!N4705,2)="15",LEFT(TH!O4705,2)="15"),TK!$E$7=TH!F4705),"x","")</f>
        <v/>
      </c>
      <c r="AD4705" s="79" t="str">
        <f>IF(AND(N4705="1521",MONTH(C4705)='BK-NL'!$M$11),"x","")</f>
        <v/>
      </c>
    </row>
    <row r="4706" spans="1:30" ht="16.5" customHeight="1">
      <c r="A4706" s="318" t="str">
        <f>IF(B4706&lt;&gt;"",IF(AND(B4706='[3]IN-TC'!$S$4,OR([3]TH!N3937="1111",[3]TH!O3937="1111")),[3]TH!D3937,""),"")</f>
        <v/>
      </c>
      <c r="B4706" s="60" t="str">
        <f t="shared" si="477"/>
        <v/>
      </c>
      <c r="C4706" s="61"/>
      <c r="D4706" s="61"/>
      <c r="E4706" s="61"/>
      <c r="F4706" s="69"/>
      <c r="G4706" s="64"/>
      <c r="H4706" s="69"/>
      <c r="I4706" s="385"/>
      <c r="J4706" s="392"/>
      <c r="K4706" s="392"/>
      <c r="L4706" s="392"/>
      <c r="M4706" s="392"/>
      <c r="N4706" s="63"/>
      <c r="O4706" s="63"/>
      <c r="P4706" s="79" t="str">
        <f>IF(AND('331-CT'!$E$7=TH!H4706,OR(N4706="331",O4706="331")),"x","")</f>
        <v/>
      </c>
      <c r="Q4706" s="79" t="str">
        <f>IF(AND(B4706='111'!$L$11,OR($N4706=$Q$7,$O4706=$Q$7)),"x","")</f>
        <v/>
      </c>
      <c r="R4706" s="79" t="str">
        <f>IF(AND($N4706=$Q$7,$B4706&lt;'111'!$L$11),"x","")</f>
        <v/>
      </c>
      <c r="S4706" s="79" t="str">
        <f>IF(AND($O4706=$Q$7,$B4706&lt;'111'!$L$11),"x","")</f>
        <v/>
      </c>
      <c r="T4706" s="79" t="str">
        <f>IF(ISERROR(FIND('112'!$M$9,G4706,1)),"",IF((AND(FIND('112'!$M$9,G4706,1)&gt;=1,B4706='112'!$K$9,OR($N4706='112'!$I$6,$O4706='112'!$I$6))),"x",""))</f>
        <v/>
      </c>
      <c r="U4706" s="79" t="str">
        <f>IF(ISERROR(FIND('112'!$M$9,G4706,1)),"",IF((AND(LEFT(G4706,2)=LEFT('112'!$M$9,2),B4706&lt;'112'!$K$9,$N4706='112'!$I$6)),"x",""))</f>
        <v/>
      </c>
      <c r="V4706" s="79" t="str">
        <f>IF(ISERROR(FIND('112'!$M$9,G4706,1)),"",IF((AND(RIGHT(G4706,2)=RIGHT('112'!$M$9,2),B4706&lt;'112'!$K$9,$O4706='112'!$I$6)),"x",""))</f>
        <v/>
      </c>
      <c r="W4706" s="79" t="str">
        <f>IF(AND('341-CT'!$H$9=H4706,OR(LEFT(N4706,3)=$W$7,LEFT(O4706,3)=$W$7)),"x","")</f>
        <v/>
      </c>
      <c r="X4706" s="79" t="str">
        <f>IF(OR(TH!N4706=TH!$X$7,O4706=TH!$X$7),"x","")</f>
        <v/>
      </c>
      <c r="Y4706" s="79" t="str">
        <f>IF(AND(OR(N4706="131",O4706="131"),H4706='131-CT'!$H$9),"x","")</f>
        <v/>
      </c>
      <c r="Z4706" s="79"/>
      <c r="AA4706" s="79" t="str">
        <f>IF(AND(MONTH(E4706)='IN-NX'!$J$5,'IN-NX'!$D$7=D4706),"x","")</f>
        <v/>
      </c>
      <c r="AB4706" s="79" t="str">
        <f>IF(AND(OR(LEFT(TH!N4706,2)="15",LEFT(TH!O4706,2)="15"),LEFT(TH!O4706,3)&lt;&gt;"111",'152-CT'!$J$8=TH!F4706),"x","")</f>
        <v/>
      </c>
      <c r="AC4706" s="79" t="str">
        <f>IF(AND(OR(LEFT(TH!N4706,2)="15",LEFT(TH!O4706,2)="15"),TK!$E$7=TH!F4706),"x","")</f>
        <v/>
      </c>
      <c r="AD4706" s="79" t="str">
        <f>IF(AND(N4706="1521",MONTH(C4706)='BK-NL'!$M$11),"x","")</f>
        <v/>
      </c>
    </row>
    <row r="4707" spans="1:30" ht="16.5" customHeight="1">
      <c r="A4707" s="318" t="str">
        <f>IF(B4707&lt;&gt;"",IF(AND(B4707='[3]IN-TC'!$S$4,OR([3]TH!N3938="1111",[3]TH!O3938="1111")),[3]TH!D3938,""),"")</f>
        <v/>
      </c>
      <c r="B4707" s="60" t="str">
        <f t="shared" si="477"/>
        <v/>
      </c>
      <c r="C4707" s="61"/>
      <c r="D4707" s="61"/>
      <c r="E4707" s="61"/>
      <c r="F4707" s="69"/>
      <c r="G4707" s="64"/>
      <c r="H4707" s="303"/>
      <c r="I4707" s="385"/>
      <c r="J4707" s="392"/>
      <c r="K4707" s="385"/>
      <c r="L4707" s="392"/>
      <c r="M4707" s="62"/>
      <c r="N4707" s="63"/>
      <c r="O4707" s="63"/>
      <c r="P4707" s="79" t="str">
        <f>IF(AND('331-CT'!$E$7=TH!H4707,OR(N4707="331",O4707="331")),"x","")</f>
        <v/>
      </c>
      <c r="Q4707" s="79" t="str">
        <f>IF(AND(B4707='111'!$L$11,OR($N4707=$Q$7,$O4707=$Q$7)),"x","")</f>
        <v/>
      </c>
      <c r="R4707" s="79" t="str">
        <f>IF(AND($N4707=$Q$7,$B4707&lt;'111'!$L$11),"x","")</f>
        <v/>
      </c>
      <c r="S4707" s="79" t="str">
        <f>IF(AND($O4707=$Q$7,$B4707&lt;'111'!$L$11),"x","")</f>
        <v/>
      </c>
      <c r="T4707" s="79" t="str">
        <f>IF(ISERROR(FIND('112'!$M$9,G4707,1)),"",IF((AND(FIND('112'!$M$9,G4707,1)&gt;=1,B4707='112'!$K$9,OR($N4707='112'!$I$6,$O4707='112'!$I$6))),"x",""))</f>
        <v/>
      </c>
      <c r="U4707" s="79" t="str">
        <f>IF(ISERROR(FIND('112'!$M$9,G4707,1)),"",IF((AND(LEFT(G4707,2)=LEFT('112'!$M$9,2),B4707&lt;'112'!$K$9,$N4707='112'!$I$6)),"x",""))</f>
        <v/>
      </c>
      <c r="V4707" s="79" t="str">
        <f>IF(ISERROR(FIND('112'!$M$9,G4707,1)),"",IF((AND(RIGHT(G4707,2)=RIGHT('112'!$M$9,2),B4707&lt;'112'!$K$9,$O4707='112'!$I$6)),"x",""))</f>
        <v/>
      </c>
      <c r="W4707" s="79" t="str">
        <f>IF(AND('341-CT'!$H$9=H4707,OR(LEFT(N4707,3)=$W$7,LEFT(O4707,3)=$W$7)),"x","")</f>
        <v/>
      </c>
      <c r="X4707" s="79" t="str">
        <f>IF(OR(TH!N4707=TH!$X$7,O4707=TH!$X$7),"x","")</f>
        <v/>
      </c>
      <c r="Y4707" s="79" t="str">
        <f>IF(AND(OR(N4707="131",O4707="131"),H4707='131-CT'!$H$9),"x","")</f>
        <v/>
      </c>
      <c r="Z4707" s="79"/>
      <c r="AA4707" s="79" t="str">
        <f>IF(AND(MONTH(E4707)='IN-NX'!$J$5,'IN-NX'!$D$7=D4707),"x","")</f>
        <v/>
      </c>
      <c r="AB4707" s="79" t="str">
        <f>IF(AND(OR(LEFT(TH!N4707,2)="15",LEFT(TH!O4707,2)="15"),LEFT(TH!O4707,3)&lt;&gt;"111",'152-CT'!$J$8=TH!F4707),"x","")</f>
        <v/>
      </c>
      <c r="AC4707" s="79" t="str">
        <f>IF(AND(OR(LEFT(TH!N4707,2)="15",LEFT(TH!O4707,2)="15"),TK!$E$7=TH!F4707),"x","")</f>
        <v/>
      </c>
      <c r="AD4707" s="79" t="str">
        <f>IF(AND(N4707="1521",MONTH(C4707)='BK-NL'!$M$11),"x","")</f>
        <v/>
      </c>
    </row>
    <row r="4708" spans="1:30" ht="16.5" customHeight="1">
      <c r="A4708" s="318" t="str">
        <f>IF(B4708&lt;&gt;"",IF(AND(B4708='[3]IN-TC'!$S$4,OR([3]TH!N3939="1111",[3]TH!O3939="1111")),[3]TH!D3939,""),"")</f>
        <v/>
      </c>
      <c r="B4708" s="60" t="str">
        <f t="shared" si="477"/>
        <v/>
      </c>
      <c r="C4708" s="61"/>
      <c r="D4708" s="61"/>
      <c r="E4708" s="61"/>
      <c r="F4708" s="69"/>
      <c r="G4708" s="64"/>
      <c r="H4708" s="69"/>
      <c r="I4708" s="387"/>
      <c r="J4708" s="394"/>
      <c r="K4708" s="62"/>
      <c r="L4708" s="394"/>
      <c r="M4708" s="62"/>
      <c r="N4708" s="63"/>
      <c r="O4708" s="63"/>
      <c r="P4708" s="79" t="str">
        <f>IF(AND('331-CT'!$E$7=TH!H4708,OR(N4708="331",O4708="331")),"x","")</f>
        <v/>
      </c>
      <c r="Q4708" s="79" t="str">
        <f>IF(AND(B4708='111'!$L$11,OR($N4708=$Q$7,$O4708=$Q$7)),"x","")</f>
        <v/>
      </c>
      <c r="R4708" s="79" t="str">
        <f>IF(AND($N4708=$Q$7,$B4708&lt;'111'!$L$11),"x","")</f>
        <v/>
      </c>
      <c r="S4708" s="79" t="str">
        <f>IF(AND($O4708=$Q$7,$B4708&lt;'111'!$L$11),"x","")</f>
        <v/>
      </c>
      <c r="T4708" s="79" t="str">
        <f>IF(ISERROR(FIND('112'!$M$9,G4708,1)),"",IF((AND(FIND('112'!$M$9,G4708,1)&gt;=1,B4708='112'!$K$9,OR($N4708='112'!$I$6,$O4708='112'!$I$6))),"x",""))</f>
        <v/>
      </c>
      <c r="U4708" s="79" t="str">
        <f>IF(ISERROR(FIND('112'!$M$9,G4708,1)),"",IF((AND(LEFT(G4708,2)=LEFT('112'!$M$9,2),B4708&lt;'112'!$K$9,$N4708='112'!$I$6)),"x",""))</f>
        <v/>
      </c>
      <c r="V4708" s="79" t="str">
        <f>IF(ISERROR(FIND('112'!$M$9,G4708,1)),"",IF((AND(RIGHT(G4708,2)=RIGHT('112'!$M$9,2),B4708&lt;'112'!$K$9,$O4708='112'!$I$6)),"x",""))</f>
        <v/>
      </c>
      <c r="W4708" s="79" t="str">
        <f>IF(AND('341-CT'!$H$9=H4708,OR(LEFT(N4708,3)=$W$7,LEFT(O4708,3)=$W$7)),"x","")</f>
        <v/>
      </c>
      <c r="X4708" s="79" t="str">
        <f>IF(OR(TH!N4708=TH!$X$7,O4708=TH!$X$7),"x","")</f>
        <v/>
      </c>
      <c r="Y4708" s="79" t="str">
        <f>IF(AND(OR(N4708="131",O4708="131"),H4708='131-CT'!$H$9),"x","")</f>
        <v/>
      </c>
      <c r="Z4708" s="79"/>
      <c r="AA4708" s="79" t="str">
        <f>IF(AND(MONTH(E4708)='IN-NX'!$J$5,'IN-NX'!$D$7=D4708),"x","")</f>
        <v/>
      </c>
      <c r="AB4708" s="79" t="str">
        <f>IF(AND(OR(LEFT(TH!N4708,2)="15",LEFT(TH!O4708,2)="15"),LEFT(TH!O4708,3)&lt;&gt;"111",'152-CT'!$J$8=TH!F4708),"x","")</f>
        <v/>
      </c>
      <c r="AC4708" s="79" t="str">
        <f>IF(AND(OR(LEFT(TH!N4708,2)="15",LEFT(TH!O4708,2)="15"),TK!$E$7=TH!F4708),"x","")</f>
        <v/>
      </c>
      <c r="AD4708" s="79" t="str">
        <f>IF(AND(N4708="1521",MONTH(C4708)='BK-NL'!$M$11),"x","")</f>
        <v/>
      </c>
    </row>
    <row r="4709" spans="1:30" ht="16.5" customHeight="1">
      <c r="A4709" s="318" t="str">
        <f>IF(B4709&lt;&gt;"",IF(AND(B4709='[3]IN-TC'!$S$4,OR([3]TH!N3940="1111",[3]TH!O3940="1111")),[3]TH!D3940,""),"")</f>
        <v/>
      </c>
      <c r="B4709" s="60" t="str">
        <f t="shared" si="477"/>
        <v/>
      </c>
      <c r="C4709" s="61"/>
      <c r="D4709" s="61"/>
      <c r="E4709" s="61"/>
      <c r="F4709" s="69"/>
      <c r="G4709" s="64"/>
      <c r="H4709" s="69"/>
      <c r="I4709" s="387"/>
      <c r="J4709" s="394"/>
      <c r="K4709" s="387"/>
      <c r="L4709" s="394"/>
      <c r="M4709" s="62"/>
      <c r="N4709" s="63"/>
      <c r="O4709" s="63"/>
      <c r="P4709" s="79" t="str">
        <f>IF(AND('331-CT'!$E$7=TH!H4709,OR(N4709="331",O4709="331")),"x","")</f>
        <v/>
      </c>
      <c r="Q4709" s="79" t="str">
        <f>IF(AND(B4709='111'!$L$11,OR($N4709=$Q$7,$O4709=$Q$7)),"x","")</f>
        <v/>
      </c>
      <c r="R4709" s="79" t="str">
        <f>IF(AND($N4709=$Q$7,$B4709&lt;'111'!$L$11),"x","")</f>
        <v/>
      </c>
      <c r="S4709" s="79" t="str">
        <f>IF(AND($O4709=$Q$7,$B4709&lt;'111'!$L$11),"x","")</f>
        <v/>
      </c>
      <c r="T4709" s="79" t="str">
        <f>IF(ISERROR(FIND('112'!$M$9,G4709,1)),"",IF((AND(FIND('112'!$M$9,G4709,1)&gt;=1,B4709='112'!$K$9,OR($N4709='112'!$I$6,$O4709='112'!$I$6))),"x",""))</f>
        <v/>
      </c>
      <c r="U4709" s="79" t="str">
        <f>IF(ISERROR(FIND('112'!$M$9,G4709,1)),"",IF((AND(LEFT(G4709,2)=LEFT('112'!$M$9,2),B4709&lt;'112'!$K$9,$N4709='112'!$I$6)),"x",""))</f>
        <v/>
      </c>
      <c r="V4709" s="79" t="str">
        <f>IF(ISERROR(FIND('112'!$M$9,G4709,1)),"",IF((AND(RIGHT(G4709,2)=RIGHT('112'!$M$9,2),B4709&lt;'112'!$K$9,$O4709='112'!$I$6)),"x",""))</f>
        <v/>
      </c>
      <c r="W4709" s="79" t="str">
        <f>IF(AND('341-CT'!$H$9=H4709,OR(LEFT(N4709,3)=$W$7,LEFT(O4709,3)=$W$7)),"x","")</f>
        <v/>
      </c>
      <c r="X4709" s="79" t="str">
        <f>IF(OR(TH!N4709=TH!$X$7,O4709=TH!$X$7),"x","")</f>
        <v/>
      </c>
      <c r="Y4709" s="79" t="str">
        <f>IF(AND(OR(N4709="131",O4709="131"),H4709='131-CT'!$H$9),"x","")</f>
        <v/>
      </c>
      <c r="Z4709" s="79"/>
      <c r="AA4709" s="79" t="str">
        <f>IF(AND(MONTH(E4709)='IN-NX'!$J$5,'IN-NX'!$D$7=D4709),"x","")</f>
        <v/>
      </c>
      <c r="AB4709" s="79" t="str">
        <f>IF(AND(OR(LEFT(TH!N4709,2)="15",LEFT(TH!O4709,2)="15"),LEFT(TH!O4709,3)&lt;&gt;"111",'152-CT'!$J$8=TH!F4709),"x","")</f>
        <v/>
      </c>
      <c r="AC4709" s="79" t="str">
        <f>IF(AND(OR(LEFT(TH!N4709,2)="15",LEFT(TH!O4709,2)="15"),TK!$E$7=TH!F4709),"x","")</f>
        <v/>
      </c>
      <c r="AD4709" s="79" t="str">
        <f>IF(AND(N4709="1521",MONTH(C4709)='BK-NL'!$M$11),"x","")</f>
        <v/>
      </c>
    </row>
    <row r="4710" spans="1:30" ht="16.5" customHeight="1">
      <c r="A4710" s="318" t="str">
        <f>IF(B4710&lt;&gt;"",IF(AND(B4710='[3]IN-TC'!$S$4,OR([3]TH!N3941="1111",[3]TH!O3941="1111")),[3]TH!D3941,""),"")</f>
        <v/>
      </c>
      <c r="B4710" s="60" t="str">
        <f t="shared" si="477"/>
        <v/>
      </c>
      <c r="C4710" s="301"/>
      <c r="D4710" s="301"/>
      <c r="E4710" s="301"/>
      <c r="F4710" s="302"/>
      <c r="G4710" s="988"/>
      <c r="H4710" s="69"/>
      <c r="I4710" s="385"/>
      <c r="J4710" s="969"/>
      <c r="K4710" s="385"/>
      <c r="L4710" s="392"/>
      <c r="M4710" s="970"/>
      <c r="N4710" s="304"/>
      <c r="O4710" s="304"/>
      <c r="P4710" s="79" t="str">
        <f>IF(AND('331-CT'!$E$7=TH!H4710,OR(N4710="331",O4710="331")),"x","")</f>
        <v/>
      </c>
      <c r="Q4710" s="79" t="str">
        <f>IF(AND(B4710='111'!$L$11,OR($N4710=$Q$7,$O4710=$Q$7)),"x","")</f>
        <v/>
      </c>
      <c r="R4710" s="79" t="str">
        <f>IF(AND($N4710=$Q$7,$B4710&lt;'111'!$L$11),"x","")</f>
        <v/>
      </c>
      <c r="S4710" s="79" t="str">
        <f>IF(AND($O4710=$Q$7,$B4710&lt;'111'!$L$11),"x","")</f>
        <v/>
      </c>
      <c r="T4710" s="79" t="str">
        <f>IF(ISERROR(FIND('112'!$M$9,G4710,1)),"",IF((AND(FIND('112'!$M$9,G4710,1)&gt;=1,B4710='112'!$K$9,OR($N4710='112'!$I$6,$O4710='112'!$I$6))),"x",""))</f>
        <v/>
      </c>
      <c r="U4710" s="79" t="str">
        <f>IF(ISERROR(FIND('112'!$M$9,G4710,1)),"",IF((AND(LEFT(G4710,2)=LEFT('112'!$M$9,2),B4710&lt;'112'!$K$9,$N4710='112'!$I$6)),"x",""))</f>
        <v/>
      </c>
      <c r="V4710" s="79" t="str">
        <f>IF(ISERROR(FIND('112'!$M$9,G4710,1)),"",IF((AND(RIGHT(G4710,2)=RIGHT('112'!$M$9,2),B4710&lt;'112'!$K$9,$O4710='112'!$I$6)),"x",""))</f>
        <v/>
      </c>
      <c r="W4710" s="79" t="str">
        <f>IF(AND('341-CT'!$H$9=H4710,OR(LEFT(N4710,3)=$W$7,LEFT(O4710,3)=$W$7)),"x","")</f>
        <v/>
      </c>
      <c r="X4710" s="79" t="str">
        <f>IF(OR(TH!N4710=TH!$X$7,O4710=TH!$X$7),"x","")</f>
        <v/>
      </c>
      <c r="Y4710" s="79" t="str">
        <f>IF(AND(OR(N4710="131",O4710="131"),H4710='131-CT'!$H$9),"x","")</f>
        <v/>
      </c>
      <c r="Z4710" s="79"/>
      <c r="AA4710" s="79" t="str">
        <f>IF(AND(MONTH(E4710)='IN-NX'!$J$5,'IN-NX'!$D$7=D4710),"x","")</f>
        <v/>
      </c>
      <c r="AB4710" s="79" t="str">
        <f>IF(AND(OR(LEFT(TH!N4710,2)="15",LEFT(TH!O4710,2)="15"),LEFT(TH!O4710,3)&lt;&gt;"111",'152-CT'!$J$8=TH!F4710),"x","")</f>
        <v/>
      </c>
      <c r="AC4710" s="79" t="str">
        <f>IF(AND(OR(LEFT(TH!N4710,2)="15",LEFT(TH!O4710,2)="15"),TK!$E$7=TH!F4710),"x","")</f>
        <v/>
      </c>
      <c r="AD4710" s="79" t="str">
        <f>IF(AND(N4710="1521",MONTH(C4710)='BK-NL'!$M$11),"x","")</f>
        <v/>
      </c>
    </row>
    <row r="4711" spans="1:30" ht="16.5" customHeight="1">
      <c r="A4711" s="318" t="str">
        <f>IF(B4711&lt;&gt;"",IF(AND(B4711='[3]IN-TC'!$S$4,OR([3]TH!N3942="1111",[3]TH!O3942="1111")),[3]TH!D3942,""),"")</f>
        <v/>
      </c>
      <c r="B4711" s="60" t="str">
        <f t="shared" si="477"/>
        <v/>
      </c>
      <c r="C4711" s="301"/>
      <c r="D4711" s="301"/>
      <c r="E4711" s="301"/>
      <c r="F4711" s="302"/>
      <c r="G4711" s="988"/>
      <c r="H4711" s="69"/>
      <c r="I4711" s="385"/>
      <c r="J4711" s="969"/>
      <c r="K4711" s="385"/>
      <c r="L4711" s="392"/>
      <c r="M4711" s="970"/>
      <c r="N4711" s="304"/>
      <c r="O4711" s="304"/>
      <c r="P4711" s="79" t="str">
        <f>IF(AND('331-CT'!$E$7=TH!H4711,OR(N4711="331",O4711="331")),"x","")</f>
        <v/>
      </c>
      <c r="Q4711" s="79" t="str">
        <f>IF(AND(B4711='111'!$L$11,OR($N4711=$Q$7,$O4711=$Q$7)),"x","")</f>
        <v/>
      </c>
      <c r="R4711" s="79" t="str">
        <f>IF(AND($N4711=$Q$7,$B4711&lt;'111'!$L$11),"x","")</f>
        <v/>
      </c>
      <c r="S4711" s="79" t="str">
        <f>IF(AND($O4711=$Q$7,$B4711&lt;'111'!$L$11),"x","")</f>
        <v/>
      </c>
      <c r="T4711" s="79" t="str">
        <f>IF(ISERROR(FIND('112'!$M$9,G4711,1)),"",IF((AND(FIND('112'!$M$9,G4711,1)&gt;=1,B4711='112'!$K$9,OR($N4711='112'!$I$6,$O4711='112'!$I$6))),"x",""))</f>
        <v/>
      </c>
      <c r="U4711" s="79" t="str">
        <f>IF(ISERROR(FIND('112'!$M$9,G4711,1)),"",IF((AND(LEFT(G4711,2)=LEFT('112'!$M$9,2),B4711&lt;'112'!$K$9,$N4711='112'!$I$6)),"x",""))</f>
        <v/>
      </c>
      <c r="V4711" s="79" t="str">
        <f>IF(ISERROR(FIND('112'!$M$9,G4711,1)),"",IF((AND(RIGHT(G4711,2)=RIGHT('112'!$M$9,2),B4711&lt;'112'!$K$9,$O4711='112'!$I$6)),"x",""))</f>
        <v/>
      </c>
      <c r="W4711" s="79" t="str">
        <f>IF(AND('341-CT'!$H$9=H4711,OR(LEFT(N4711,3)=$W$7,LEFT(O4711,3)=$W$7)),"x","")</f>
        <v/>
      </c>
      <c r="X4711" s="79" t="str">
        <f>IF(OR(TH!N4711=TH!$X$7,O4711=TH!$X$7),"x","")</f>
        <v/>
      </c>
      <c r="Y4711" s="79" t="str">
        <f>IF(AND(OR(N4711="131",O4711="131"),H4711='131-CT'!$H$9),"x","")</f>
        <v/>
      </c>
      <c r="Z4711" s="79"/>
      <c r="AA4711" s="79" t="str">
        <f>IF(AND(MONTH(E4711)='IN-NX'!$J$5,'IN-NX'!$D$7=D4711),"x","")</f>
        <v/>
      </c>
      <c r="AB4711" s="79" t="str">
        <f>IF(AND(OR(LEFT(TH!N4711,2)="15",LEFT(TH!O4711,2)="15"),LEFT(TH!O4711,3)&lt;&gt;"111",'152-CT'!$J$8=TH!F4711),"x","")</f>
        <v/>
      </c>
      <c r="AC4711" s="79" t="str">
        <f>IF(AND(OR(LEFT(TH!N4711,2)="15",LEFT(TH!O4711,2)="15"),TK!$E$7=TH!F4711),"x","")</f>
        <v/>
      </c>
      <c r="AD4711" s="79" t="str">
        <f>IF(AND(N4711="1521",MONTH(C4711)='BK-NL'!$M$11),"x","")</f>
        <v/>
      </c>
    </row>
    <row r="4712" spans="1:30" ht="16.5" customHeight="1">
      <c r="A4712" s="318" t="str">
        <f>IF(B4712&lt;&gt;"",IF(AND(B4712='[3]IN-TC'!$S$4,OR([3]TH!N3943="1111",[3]TH!O3943="1111")),[3]TH!D3943,""),"")</f>
        <v/>
      </c>
      <c r="B4712" s="60" t="str">
        <f t="shared" si="477"/>
        <v/>
      </c>
      <c r="C4712" s="61"/>
      <c r="D4712" s="61"/>
      <c r="E4712" s="61"/>
      <c r="F4712" s="302"/>
      <c r="G4712" s="64"/>
      <c r="H4712" s="69"/>
      <c r="I4712" s="385"/>
      <c r="J4712" s="392"/>
      <c r="K4712" s="385"/>
      <c r="L4712" s="392"/>
      <c r="M4712" s="62"/>
      <c r="N4712" s="63"/>
      <c r="O4712" s="63"/>
      <c r="P4712" s="79" t="str">
        <f>IF(AND('331-CT'!$E$7=TH!H4712,OR(N4712="331",O4712="331")),"x","")</f>
        <v/>
      </c>
      <c r="Q4712" s="79" t="str">
        <f>IF(AND(B4712='111'!$L$11,OR($N4712=$Q$7,$O4712=$Q$7)),"x","")</f>
        <v/>
      </c>
      <c r="R4712" s="79" t="str">
        <f>IF(AND($N4712=$Q$7,$B4712&lt;'111'!$L$11),"x","")</f>
        <v/>
      </c>
      <c r="S4712" s="79" t="str">
        <f>IF(AND($O4712=$Q$7,$B4712&lt;'111'!$L$11),"x","")</f>
        <v/>
      </c>
      <c r="T4712" s="79" t="str">
        <f>IF(ISERROR(FIND('112'!$M$9,G4712,1)),"",IF((AND(FIND('112'!$M$9,G4712,1)&gt;=1,B4712='112'!$K$9,OR($N4712='112'!$I$6,$O4712='112'!$I$6))),"x",""))</f>
        <v/>
      </c>
      <c r="U4712" s="79" t="str">
        <f>IF(ISERROR(FIND('112'!$M$9,G4712,1)),"",IF((AND(LEFT(G4712,2)=LEFT('112'!$M$9,2),B4712&lt;'112'!$K$9,$N4712='112'!$I$6)),"x",""))</f>
        <v/>
      </c>
      <c r="V4712" s="79" t="str">
        <f>IF(ISERROR(FIND('112'!$M$9,G4712,1)),"",IF((AND(RIGHT(G4712,2)=RIGHT('112'!$M$9,2),B4712&lt;'112'!$K$9,$O4712='112'!$I$6)),"x",""))</f>
        <v/>
      </c>
      <c r="W4712" s="79" t="str">
        <f>IF(AND('341-CT'!$H$9=H4712,OR(LEFT(N4712,3)=$W$7,LEFT(O4712,3)=$W$7)),"x","")</f>
        <v/>
      </c>
      <c r="X4712" s="79" t="str">
        <f>IF(OR(TH!N4712=TH!$X$7,O4712=TH!$X$7),"x","")</f>
        <v/>
      </c>
      <c r="Y4712" s="79" t="str">
        <f>IF(AND(OR(N4712="131",O4712="131"),H4712='131-CT'!$H$9),"x","")</f>
        <v/>
      </c>
      <c r="Z4712" s="79"/>
      <c r="AA4712" s="79" t="str">
        <f>IF(AND(MONTH(E4712)='IN-NX'!$J$5,'IN-NX'!$D$7=D4712),"x","")</f>
        <v/>
      </c>
      <c r="AB4712" s="79" t="str">
        <f>IF(AND(OR(LEFT(TH!N4712,2)="15",LEFT(TH!O4712,2)="15"),LEFT(TH!O4712,3)&lt;&gt;"111",'152-CT'!$J$8=TH!F4712),"x","")</f>
        <v/>
      </c>
      <c r="AC4712" s="79" t="str">
        <f>IF(AND(OR(LEFT(TH!N4712,2)="15",LEFT(TH!O4712,2)="15"),TK!$E$7=TH!F4712),"x","")</f>
        <v/>
      </c>
      <c r="AD4712" s="79" t="str">
        <f>IF(AND(N4712="1521",MONTH(C4712)='BK-NL'!$M$11),"x","")</f>
        <v/>
      </c>
    </row>
    <row r="4713" spans="1:30" ht="16.5" customHeight="1">
      <c r="A4713" s="318" t="str">
        <f>IF(B4713&lt;&gt;"",IF(AND(B4713='[3]IN-TC'!$S$4,OR([3]TH!N3944="1111",[3]TH!O3944="1111")),[3]TH!D3944,""),"")</f>
        <v/>
      </c>
      <c r="B4713" s="60" t="str">
        <f t="shared" si="477"/>
        <v/>
      </c>
      <c r="C4713" s="61"/>
      <c r="D4713" s="61"/>
      <c r="E4713" s="61"/>
      <c r="F4713" s="302"/>
      <c r="G4713" s="64"/>
      <c r="H4713" s="69"/>
      <c r="I4713" s="385"/>
      <c r="J4713" s="392"/>
      <c r="K4713" s="385"/>
      <c r="L4713" s="392"/>
      <c r="M4713" s="62"/>
      <c r="N4713" s="63"/>
      <c r="O4713" s="63"/>
      <c r="P4713" s="79" t="str">
        <f>IF(AND('331-CT'!$E$7=TH!H4713,OR(N4713="331",O4713="331")),"x","")</f>
        <v/>
      </c>
      <c r="Q4713" s="79" t="str">
        <f>IF(AND(B4713='111'!$L$11,OR($N4713=$Q$7,$O4713=$Q$7)),"x","")</f>
        <v/>
      </c>
      <c r="R4713" s="79" t="str">
        <f>IF(AND($N4713=$Q$7,$B4713&lt;'111'!$L$11),"x","")</f>
        <v/>
      </c>
      <c r="S4713" s="79" t="str">
        <f>IF(AND($O4713=$Q$7,$B4713&lt;'111'!$L$11),"x","")</f>
        <v/>
      </c>
      <c r="T4713" s="79" t="str">
        <f>IF(ISERROR(FIND('112'!$M$9,G4713,1)),"",IF((AND(FIND('112'!$M$9,G4713,1)&gt;=1,B4713='112'!$K$9,OR($N4713='112'!$I$6,$O4713='112'!$I$6))),"x",""))</f>
        <v/>
      </c>
      <c r="U4713" s="79" t="str">
        <f>IF(ISERROR(FIND('112'!$M$9,G4713,1)),"",IF((AND(LEFT(G4713,2)=LEFT('112'!$M$9,2),B4713&lt;'112'!$K$9,$N4713='112'!$I$6)),"x",""))</f>
        <v/>
      </c>
      <c r="V4713" s="79" t="str">
        <f>IF(ISERROR(FIND('112'!$M$9,G4713,1)),"",IF((AND(RIGHT(G4713,2)=RIGHT('112'!$M$9,2),B4713&lt;'112'!$K$9,$O4713='112'!$I$6)),"x",""))</f>
        <v/>
      </c>
      <c r="W4713" s="79" t="str">
        <f>IF(AND('341-CT'!$H$9=H4713,OR(LEFT(N4713,3)=$W$7,LEFT(O4713,3)=$W$7)),"x","")</f>
        <v/>
      </c>
      <c r="X4713" s="79" t="str">
        <f>IF(OR(TH!N4713=TH!$X$7,O4713=TH!$X$7),"x","")</f>
        <v/>
      </c>
      <c r="Y4713" s="79" t="str">
        <f>IF(AND(OR(N4713="131",O4713="131"),H4713='131-CT'!$H$9),"x","")</f>
        <v/>
      </c>
      <c r="Z4713" s="79"/>
      <c r="AA4713" s="79" t="str">
        <f>IF(AND(MONTH(E4713)='IN-NX'!$J$5,'IN-NX'!$D$7=D4713),"x","")</f>
        <v/>
      </c>
      <c r="AB4713" s="79" t="str">
        <f>IF(AND(OR(LEFT(TH!N4713,2)="15",LEFT(TH!O4713,2)="15"),LEFT(TH!O4713,3)&lt;&gt;"111",'152-CT'!$J$8=TH!F4713),"x","")</f>
        <v/>
      </c>
      <c r="AC4713" s="79" t="str">
        <f>IF(AND(OR(LEFT(TH!N4713,2)="15",LEFT(TH!O4713,2)="15"),TK!$E$7=TH!F4713),"x","")</f>
        <v/>
      </c>
      <c r="AD4713" s="79" t="str">
        <f>IF(AND(N4713="1521",MONTH(C4713)='BK-NL'!$M$11),"x","")</f>
        <v/>
      </c>
    </row>
    <row r="4714" spans="1:30" ht="16.5" customHeight="1">
      <c r="A4714" s="318" t="str">
        <f>IF(B4714&lt;&gt;"",IF(AND(B4714='[3]IN-TC'!$S$4,OR([3]TH!N3945="1111",[3]TH!O3945="1111")),[3]TH!D3945,""),"")</f>
        <v/>
      </c>
      <c r="B4714" s="60" t="str">
        <f t="shared" si="477"/>
        <v/>
      </c>
      <c r="C4714" s="61"/>
      <c r="D4714" s="61"/>
      <c r="E4714" s="61"/>
      <c r="F4714" s="69"/>
      <c r="G4714" s="64"/>
      <c r="H4714" s="303"/>
      <c r="I4714" s="385"/>
      <c r="J4714" s="392"/>
      <c r="K4714" s="385"/>
      <c r="L4714" s="392"/>
      <c r="M4714" s="62"/>
      <c r="N4714" s="63"/>
      <c r="O4714" s="63"/>
      <c r="P4714" s="79" t="str">
        <f>IF(AND('331-CT'!$E$7=TH!H4714,OR(N4714="331",O4714="331")),"x","")</f>
        <v/>
      </c>
      <c r="Q4714" s="79" t="str">
        <f>IF(AND(B4714='111'!$L$11,OR($N4714=$Q$7,$O4714=$Q$7)),"x","")</f>
        <v/>
      </c>
      <c r="R4714" s="79" t="str">
        <f>IF(AND($N4714=$Q$7,$B4714&lt;'111'!$L$11),"x","")</f>
        <v/>
      </c>
      <c r="S4714" s="79" t="str">
        <f>IF(AND($O4714=$Q$7,$B4714&lt;'111'!$L$11),"x","")</f>
        <v/>
      </c>
      <c r="T4714" s="79" t="str">
        <f>IF(ISERROR(FIND('112'!$M$9,G4714,1)),"",IF((AND(FIND('112'!$M$9,G4714,1)&gt;=1,B4714='112'!$K$9,OR($N4714='112'!$I$6,$O4714='112'!$I$6))),"x",""))</f>
        <v/>
      </c>
      <c r="U4714" s="79" t="str">
        <f>IF(ISERROR(FIND('112'!$M$9,G4714,1)),"",IF((AND(LEFT(G4714,2)=LEFT('112'!$M$9,2),B4714&lt;'112'!$K$9,$N4714='112'!$I$6)),"x",""))</f>
        <v/>
      </c>
      <c r="V4714" s="79" t="str">
        <f>IF(ISERROR(FIND('112'!$M$9,G4714,1)),"",IF((AND(RIGHT(G4714,2)=RIGHT('112'!$M$9,2),B4714&lt;'112'!$K$9,$O4714='112'!$I$6)),"x",""))</f>
        <v/>
      </c>
      <c r="W4714" s="79" t="str">
        <f>IF(AND('341-CT'!$H$9=H4714,OR(LEFT(N4714,3)=$W$7,LEFT(O4714,3)=$W$7)),"x","")</f>
        <v/>
      </c>
      <c r="X4714" s="79" t="str">
        <f>IF(OR(TH!N4714=TH!$X$7,O4714=TH!$X$7),"x","")</f>
        <v/>
      </c>
      <c r="Y4714" s="79" t="str">
        <f>IF(AND(OR(N4714="131",O4714="131"),H4714='131-CT'!$H$9),"x","")</f>
        <v/>
      </c>
      <c r="Z4714" s="79"/>
      <c r="AA4714" s="79" t="str">
        <f>IF(AND(MONTH(E4714)='IN-NX'!$J$5,'IN-NX'!$D$7=D4714),"x","")</f>
        <v/>
      </c>
      <c r="AB4714" s="79" t="str">
        <f>IF(AND(OR(LEFT(TH!N4714,2)="15",LEFT(TH!O4714,2)="15"),LEFT(TH!O4714,3)&lt;&gt;"111",'152-CT'!$J$8=TH!F4714),"x","")</f>
        <v/>
      </c>
      <c r="AC4714" s="79" t="str">
        <f>IF(AND(OR(LEFT(TH!N4714,2)="15",LEFT(TH!O4714,2)="15"),TK!$E$7=TH!F4714),"x","")</f>
        <v/>
      </c>
      <c r="AD4714" s="79" t="str">
        <f>IF(AND(N4714="1521",MONTH(C4714)='BK-NL'!$M$11),"x","")</f>
        <v/>
      </c>
    </row>
    <row r="4715" spans="1:30" ht="16.5" customHeight="1">
      <c r="A4715" s="318" t="str">
        <f>IF(B4715&lt;&gt;"",IF(AND(B4715='[3]IN-TC'!$S$4,OR([3]TH!N3946="1111",[3]TH!O3946="1111")),[3]TH!D3946,""),"")</f>
        <v/>
      </c>
      <c r="B4715" s="60" t="str">
        <f t="shared" si="477"/>
        <v/>
      </c>
      <c r="C4715" s="61"/>
      <c r="D4715" s="61"/>
      <c r="E4715" s="61"/>
      <c r="F4715" s="69"/>
      <c r="G4715" s="64"/>
      <c r="H4715" s="69"/>
      <c r="I4715" s="387"/>
      <c r="J4715" s="394"/>
      <c r="K4715" s="62"/>
      <c r="L4715" s="394"/>
      <c r="M4715" s="62"/>
      <c r="N4715" s="63"/>
      <c r="O4715" s="63"/>
      <c r="P4715" s="79" t="str">
        <f>IF(AND('331-CT'!$E$7=TH!H4715,OR(N4715="331",O4715="331")),"x","")</f>
        <v/>
      </c>
      <c r="Q4715" s="79" t="str">
        <f>IF(AND(B4715='111'!$L$11,OR($N4715=$Q$7,$O4715=$Q$7)),"x","")</f>
        <v/>
      </c>
      <c r="R4715" s="79" t="str">
        <f>IF(AND($N4715=$Q$7,$B4715&lt;'111'!$L$11),"x","")</f>
        <v/>
      </c>
      <c r="S4715" s="79" t="str">
        <f>IF(AND($O4715=$Q$7,$B4715&lt;'111'!$L$11),"x","")</f>
        <v/>
      </c>
      <c r="T4715" s="79" t="str">
        <f>IF(ISERROR(FIND('112'!$M$9,G4715,1)),"",IF((AND(FIND('112'!$M$9,G4715,1)&gt;=1,B4715='112'!$K$9,OR($N4715='112'!$I$6,$O4715='112'!$I$6))),"x",""))</f>
        <v/>
      </c>
      <c r="U4715" s="79" t="str">
        <f>IF(ISERROR(FIND('112'!$M$9,G4715,1)),"",IF((AND(LEFT(G4715,2)=LEFT('112'!$M$9,2),B4715&lt;'112'!$K$9,$N4715='112'!$I$6)),"x",""))</f>
        <v/>
      </c>
      <c r="V4715" s="79" t="str">
        <f>IF(ISERROR(FIND('112'!$M$9,G4715,1)),"",IF((AND(RIGHT(G4715,2)=RIGHT('112'!$M$9,2),B4715&lt;'112'!$K$9,$O4715='112'!$I$6)),"x",""))</f>
        <v/>
      </c>
      <c r="W4715" s="79" t="str">
        <f>IF(AND('341-CT'!$H$9=H4715,OR(LEFT(N4715,3)=$W$7,LEFT(O4715,3)=$W$7)),"x","")</f>
        <v/>
      </c>
      <c r="X4715" s="79" t="str">
        <f>IF(OR(TH!N4715=TH!$X$7,O4715=TH!$X$7),"x","")</f>
        <v/>
      </c>
      <c r="Y4715" s="79" t="str">
        <f>IF(AND(OR(N4715="131",O4715="131"),H4715='131-CT'!$H$9),"x","")</f>
        <v/>
      </c>
      <c r="Z4715" s="79"/>
      <c r="AA4715" s="79" t="str">
        <f>IF(AND(MONTH(E4715)='IN-NX'!$J$5,'IN-NX'!$D$7=D4715),"x","")</f>
        <v/>
      </c>
      <c r="AB4715" s="79" t="str">
        <f>IF(AND(OR(LEFT(TH!N4715,2)="15",LEFT(TH!O4715,2)="15"),LEFT(TH!O4715,3)&lt;&gt;"111",'152-CT'!$J$8=TH!F4715),"x","")</f>
        <v/>
      </c>
      <c r="AC4715" s="79" t="str">
        <f>IF(AND(OR(LEFT(TH!N4715,2)="15",LEFT(TH!O4715,2)="15"),TK!$E$7=TH!F4715),"x","")</f>
        <v/>
      </c>
      <c r="AD4715" s="79" t="str">
        <f>IF(AND(N4715="1521",MONTH(C4715)='BK-NL'!$M$11),"x","")</f>
        <v/>
      </c>
    </row>
    <row r="4716" spans="1:30" ht="16.5" customHeight="1">
      <c r="A4716" s="318" t="str">
        <f>IF(B4716&lt;&gt;"",IF(AND(B4716='[3]IN-TC'!$S$4,OR([3]TH!N3947="1111",[3]TH!O3947="1111")),[3]TH!D3947,""),"")</f>
        <v/>
      </c>
      <c r="B4716" s="60" t="str">
        <f t="shared" si="477"/>
        <v/>
      </c>
      <c r="C4716" s="61"/>
      <c r="D4716" s="61"/>
      <c r="E4716" s="61"/>
      <c r="F4716" s="69"/>
      <c r="G4716" s="64"/>
      <c r="H4716" s="69"/>
      <c r="I4716" s="387"/>
      <c r="J4716" s="394"/>
      <c r="K4716" s="387"/>
      <c r="L4716" s="394"/>
      <c r="M4716" s="62"/>
      <c r="N4716" s="63"/>
      <c r="O4716" s="63"/>
      <c r="P4716" s="79" t="str">
        <f>IF(AND('331-CT'!$E$7=TH!H4716,OR(N4716="331",O4716="331")),"x","")</f>
        <v/>
      </c>
      <c r="Q4716" s="79" t="str">
        <f>IF(AND(B4716='111'!$L$11,OR($N4716=$Q$7,$O4716=$Q$7)),"x","")</f>
        <v/>
      </c>
      <c r="R4716" s="79" t="str">
        <f>IF(AND($N4716=$Q$7,$B4716&lt;'111'!$L$11),"x","")</f>
        <v/>
      </c>
      <c r="S4716" s="79" t="str">
        <f>IF(AND($O4716=$Q$7,$B4716&lt;'111'!$L$11),"x","")</f>
        <v/>
      </c>
      <c r="T4716" s="79" t="str">
        <f>IF(ISERROR(FIND('112'!$M$9,G4716,1)),"",IF((AND(FIND('112'!$M$9,G4716,1)&gt;=1,B4716='112'!$K$9,OR($N4716='112'!$I$6,$O4716='112'!$I$6))),"x",""))</f>
        <v/>
      </c>
      <c r="U4716" s="79" t="str">
        <f>IF(ISERROR(FIND('112'!$M$9,G4716,1)),"",IF((AND(LEFT(G4716,2)=LEFT('112'!$M$9,2),B4716&lt;'112'!$K$9,$N4716='112'!$I$6)),"x",""))</f>
        <v/>
      </c>
      <c r="V4716" s="79" t="str">
        <f>IF(ISERROR(FIND('112'!$M$9,G4716,1)),"",IF((AND(RIGHT(G4716,2)=RIGHT('112'!$M$9,2),B4716&lt;'112'!$K$9,$O4716='112'!$I$6)),"x",""))</f>
        <v/>
      </c>
      <c r="W4716" s="79" t="str">
        <f>IF(AND('341-CT'!$H$9=H4716,OR(LEFT(N4716,3)=$W$7,LEFT(O4716,3)=$W$7)),"x","")</f>
        <v/>
      </c>
      <c r="X4716" s="79" t="str">
        <f>IF(OR(TH!N4716=TH!$X$7,O4716=TH!$X$7),"x","")</f>
        <v/>
      </c>
      <c r="Y4716" s="79" t="str">
        <f>IF(AND(OR(N4716="131",O4716="131"),H4716='131-CT'!$H$9),"x","")</f>
        <v/>
      </c>
      <c r="Z4716" s="79"/>
      <c r="AA4716" s="79" t="str">
        <f>IF(AND(MONTH(E4716)='IN-NX'!$J$5,'IN-NX'!$D$7=D4716),"x","")</f>
        <v/>
      </c>
      <c r="AB4716" s="79" t="str">
        <f>IF(AND(OR(LEFT(TH!N4716,2)="15",LEFT(TH!O4716,2)="15"),LEFT(TH!O4716,3)&lt;&gt;"111",'152-CT'!$J$8=TH!F4716),"x","")</f>
        <v/>
      </c>
      <c r="AC4716" s="79" t="str">
        <f>IF(AND(OR(LEFT(TH!N4716,2)="15",LEFT(TH!O4716,2)="15"),TK!$E$7=TH!F4716),"x","")</f>
        <v/>
      </c>
      <c r="AD4716" s="79" t="str">
        <f>IF(AND(N4716="1521",MONTH(C4716)='BK-NL'!$M$11),"x","")</f>
        <v/>
      </c>
    </row>
    <row r="4717" spans="1:30" ht="16.5" customHeight="1">
      <c r="A4717" s="318" t="str">
        <f>IF(B4717&lt;&gt;"",IF(AND(B4717='[3]IN-TC'!$S$4,OR([3]TH!N3948="1111",[3]TH!O3948="1111")),[3]TH!D3948,""),"")</f>
        <v/>
      </c>
      <c r="B4717" s="60" t="str">
        <f t="shared" si="477"/>
        <v/>
      </c>
      <c r="C4717" s="61"/>
      <c r="D4717" s="61"/>
      <c r="E4717" s="61"/>
      <c r="F4717" s="64"/>
      <c r="G4717" s="64"/>
      <c r="H4717" s="321"/>
      <c r="I4717" s="385"/>
      <c r="J4717" s="395"/>
      <c r="K4717" s="385"/>
      <c r="L4717" s="392"/>
      <c r="M4717" s="62"/>
      <c r="N4717" s="63"/>
      <c r="O4717" s="63"/>
      <c r="P4717" s="79" t="str">
        <f>IF(AND('331-CT'!$E$7=TH!H4717,OR(N4717="331",O4717="331")),"x","")</f>
        <v/>
      </c>
      <c r="Q4717" s="79" t="str">
        <f>IF(AND(B4717='111'!$L$11,OR($N4717=$Q$7,$O4717=$Q$7)),"x","")</f>
        <v/>
      </c>
      <c r="R4717" s="79" t="str">
        <f>IF(AND($N4717=$Q$7,$B4717&lt;'111'!$L$11),"x","")</f>
        <v/>
      </c>
      <c r="S4717" s="79" t="str">
        <f>IF(AND($O4717=$Q$7,$B4717&lt;'111'!$L$11),"x","")</f>
        <v/>
      </c>
      <c r="T4717" s="79" t="str">
        <f>IF(ISERROR(FIND('112'!$M$9,G4717,1)),"",IF((AND(FIND('112'!$M$9,G4717,1)&gt;=1,B4717='112'!$K$9,OR($N4717='112'!$I$6,$O4717='112'!$I$6))),"x",""))</f>
        <v/>
      </c>
      <c r="U4717" s="79" t="str">
        <f>IF(ISERROR(FIND('112'!$M$9,G4717,1)),"",IF((AND(LEFT(G4717,2)=LEFT('112'!$M$9,2),B4717&lt;'112'!$K$9,$N4717='112'!$I$6)),"x",""))</f>
        <v/>
      </c>
      <c r="V4717" s="79" t="str">
        <f>IF(ISERROR(FIND('112'!$M$9,G4717,1)),"",IF((AND(RIGHT(G4717,2)=RIGHT('112'!$M$9,2),B4717&lt;'112'!$K$9,$O4717='112'!$I$6)),"x",""))</f>
        <v/>
      </c>
      <c r="W4717" s="79" t="str">
        <f>IF(AND('341-CT'!$H$9=H4717,OR(LEFT(N4717,3)=$W$7,LEFT(O4717,3)=$W$7)),"x","")</f>
        <v/>
      </c>
      <c r="X4717" s="79" t="str">
        <f>IF(OR(TH!N4717=TH!$X$7,O4717=TH!$X$7),"x","")</f>
        <v/>
      </c>
      <c r="Y4717" s="79" t="str">
        <f>IF(AND(OR(N4717="131",O4717="131"),H4717='131-CT'!$H$9),"x","")</f>
        <v/>
      </c>
      <c r="Z4717" s="79"/>
      <c r="AA4717" s="79" t="str">
        <f>IF(AND(MONTH(E4717)='IN-NX'!$J$5,'IN-NX'!$D$7=D4717),"x","")</f>
        <v/>
      </c>
      <c r="AB4717" s="79" t="str">
        <f>IF(AND(OR(LEFT(TH!N4717,2)="15",LEFT(TH!O4717,2)="15"),LEFT(TH!O4717,3)&lt;&gt;"111",'152-CT'!$J$8=TH!F4717),"x","")</f>
        <v/>
      </c>
      <c r="AC4717" s="79" t="str">
        <f>IF(AND(OR(LEFT(TH!N4717,2)="15",LEFT(TH!O4717,2)="15"),TK!$E$7=TH!F4717),"x","")</f>
        <v/>
      </c>
      <c r="AD4717" s="79" t="str">
        <f>IF(AND(N4717="1521",MONTH(C4717)='BK-NL'!$M$11),"x","")</f>
        <v/>
      </c>
    </row>
    <row r="4718" spans="1:30" ht="16.5" customHeight="1">
      <c r="A4718" s="318" t="str">
        <f>IF(B4718&lt;&gt;"",IF(AND(B4718='[3]IN-TC'!$S$4,OR([3]TH!N3949="1111",[3]TH!O3949="1111")),[3]TH!D3949,""),"")</f>
        <v/>
      </c>
      <c r="B4718" s="60" t="str">
        <f t="shared" si="477"/>
        <v/>
      </c>
      <c r="C4718" s="61"/>
      <c r="D4718" s="61"/>
      <c r="E4718" s="61"/>
      <c r="F4718" s="64"/>
      <c r="G4718" s="64"/>
      <c r="H4718" s="69"/>
      <c r="I4718" s="385"/>
      <c r="J4718" s="395"/>
      <c r="K4718" s="385"/>
      <c r="L4718" s="392"/>
      <c r="M4718" s="62"/>
      <c r="N4718" s="63"/>
      <c r="O4718" s="63"/>
      <c r="P4718" s="79" t="str">
        <f>IF(AND('331-CT'!$E$7=TH!H4718,OR(N4718="331",O4718="331")),"x","")</f>
        <v/>
      </c>
      <c r="Q4718" s="79" t="str">
        <f>IF(AND(B4718='111'!$L$11,OR($N4718=$Q$7,$O4718=$Q$7)),"x","")</f>
        <v/>
      </c>
      <c r="R4718" s="79" t="str">
        <f>IF(AND($N4718=$Q$7,$B4718&lt;'111'!$L$11),"x","")</f>
        <v/>
      </c>
      <c r="S4718" s="79" t="str">
        <f>IF(AND($O4718=$Q$7,$B4718&lt;'111'!$L$11),"x","")</f>
        <v/>
      </c>
      <c r="T4718" s="79" t="str">
        <f>IF(ISERROR(FIND('112'!$M$9,G4718,1)),"",IF((AND(FIND('112'!$M$9,G4718,1)&gt;=1,B4718='112'!$K$9,OR($N4718='112'!$I$6,$O4718='112'!$I$6))),"x",""))</f>
        <v/>
      </c>
      <c r="U4718" s="79" t="str">
        <f>IF(ISERROR(FIND('112'!$M$9,G4718,1)),"",IF((AND(LEFT(G4718,2)=LEFT('112'!$M$9,2),B4718&lt;'112'!$K$9,$N4718='112'!$I$6)),"x",""))</f>
        <v/>
      </c>
      <c r="V4718" s="79" t="str">
        <f>IF(ISERROR(FIND('112'!$M$9,G4718,1)),"",IF((AND(RIGHT(G4718,2)=RIGHT('112'!$M$9,2),B4718&lt;'112'!$K$9,$O4718='112'!$I$6)),"x",""))</f>
        <v/>
      </c>
      <c r="W4718" s="79" t="str">
        <f>IF(AND('341-CT'!$H$9=H4718,OR(LEFT(N4718,3)=$W$7,LEFT(O4718,3)=$W$7)),"x","")</f>
        <v/>
      </c>
      <c r="X4718" s="79" t="str">
        <f>IF(OR(TH!N4718=TH!$X$7,O4718=TH!$X$7),"x","")</f>
        <v/>
      </c>
      <c r="Y4718" s="79" t="str">
        <f>IF(AND(OR(N4718="131",O4718="131"),H4718='131-CT'!$H$9),"x","")</f>
        <v/>
      </c>
      <c r="Z4718" s="79"/>
      <c r="AA4718" s="79" t="str">
        <f>IF(AND(MONTH(E4718)='IN-NX'!$J$5,'IN-NX'!$D$7=D4718),"x","")</f>
        <v/>
      </c>
      <c r="AB4718" s="79" t="str">
        <f>IF(AND(OR(LEFT(TH!N4718,2)="15",LEFT(TH!O4718,2)="15"),LEFT(TH!O4718,3)&lt;&gt;"111",'152-CT'!$J$8=TH!F4718),"x","")</f>
        <v/>
      </c>
      <c r="AC4718" s="79" t="str">
        <f>IF(AND(OR(LEFT(TH!N4718,2)="15",LEFT(TH!O4718,2)="15"),TK!$E$7=TH!F4718),"x","")</f>
        <v/>
      </c>
      <c r="AD4718" s="79" t="str">
        <f>IF(AND(N4718="1521",MONTH(C4718)='BK-NL'!$M$11),"x","")</f>
        <v/>
      </c>
    </row>
    <row r="4719" spans="1:30" ht="16.5" customHeight="1">
      <c r="A4719" s="318" t="str">
        <f>IF(B4719&lt;&gt;"",IF(AND(B4719='[3]IN-TC'!$S$4,OR([3]TH!N3950="1111",[3]TH!O3950="1111")),[3]TH!D3950,""),"")</f>
        <v/>
      </c>
      <c r="B4719" s="60" t="str">
        <f t="shared" si="477"/>
        <v/>
      </c>
      <c r="C4719" s="61"/>
      <c r="D4719" s="61"/>
      <c r="E4719" s="61"/>
      <c r="F4719" s="64"/>
      <c r="G4719" s="64"/>
      <c r="H4719" s="69"/>
      <c r="I4719" s="385"/>
      <c r="J4719" s="395"/>
      <c r="K4719" s="385"/>
      <c r="L4719" s="392"/>
      <c r="M4719" s="62"/>
      <c r="N4719" s="63"/>
      <c r="O4719" s="63"/>
      <c r="P4719" s="79" t="str">
        <f>IF(AND('331-CT'!$E$7=TH!H4719,OR(N4719="331",O4719="331")),"x","")</f>
        <v/>
      </c>
      <c r="Q4719" s="79" t="str">
        <f>IF(AND(B4719='111'!$L$11,OR($N4719=$Q$7,$O4719=$Q$7)),"x","")</f>
        <v/>
      </c>
      <c r="R4719" s="79" t="str">
        <f>IF(AND($N4719=$Q$7,$B4719&lt;'111'!$L$11),"x","")</f>
        <v/>
      </c>
      <c r="S4719" s="79" t="str">
        <f>IF(AND($O4719=$Q$7,$B4719&lt;'111'!$L$11),"x","")</f>
        <v/>
      </c>
      <c r="T4719" s="79" t="str">
        <f>IF(ISERROR(FIND('112'!$M$9,G4719,1)),"",IF((AND(FIND('112'!$M$9,G4719,1)&gt;=1,B4719='112'!$K$9,OR($N4719='112'!$I$6,$O4719='112'!$I$6))),"x",""))</f>
        <v/>
      </c>
      <c r="U4719" s="79" t="str">
        <f>IF(ISERROR(FIND('112'!$M$9,G4719,1)),"",IF((AND(LEFT(G4719,2)=LEFT('112'!$M$9,2),B4719&lt;'112'!$K$9,$N4719='112'!$I$6)),"x",""))</f>
        <v/>
      </c>
      <c r="V4719" s="79" t="str">
        <f>IF(ISERROR(FIND('112'!$M$9,G4719,1)),"",IF((AND(RIGHT(G4719,2)=RIGHT('112'!$M$9,2),B4719&lt;'112'!$K$9,$O4719='112'!$I$6)),"x",""))</f>
        <v/>
      </c>
      <c r="W4719" s="79" t="str">
        <f>IF(AND('341-CT'!$H$9=H4719,OR(LEFT(N4719,3)=$W$7,LEFT(O4719,3)=$W$7)),"x","")</f>
        <v/>
      </c>
      <c r="X4719" s="79" t="str">
        <f>IF(OR(TH!N4719=TH!$X$7,O4719=TH!$X$7),"x","")</f>
        <v/>
      </c>
      <c r="Y4719" s="79" t="str">
        <f>IF(AND(OR(N4719="131",O4719="131"),H4719='131-CT'!$H$9),"x","")</f>
        <v/>
      </c>
      <c r="Z4719" s="79"/>
      <c r="AA4719" s="79" t="str">
        <f>IF(AND(MONTH(E4719)='IN-NX'!$J$5,'IN-NX'!$D$7=D4719),"x","")</f>
        <v/>
      </c>
      <c r="AB4719" s="79" t="str">
        <f>IF(AND(OR(LEFT(TH!N4719,2)="15",LEFT(TH!O4719,2)="15"),LEFT(TH!O4719,3)&lt;&gt;"111",'152-CT'!$J$8=TH!F4719),"x","")</f>
        <v/>
      </c>
      <c r="AC4719" s="79" t="str">
        <f>IF(AND(OR(LEFT(TH!N4719,2)="15",LEFT(TH!O4719,2)="15"),TK!$E$7=TH!F4719),"x","")</f>
        <v/>
      </c>
      <c r="AD4719" s="79" t="str">
        <f>IF(AND(N4719="1521",MONTH(C4719)='BK-NL'!$M$11),"x","")</f>
        <v/>
      </c>
    </row>
    <row r="4720" spans="1:30" ht="16.5" customHeight="1">
      <c r="A4720" s="318" t="str">
        <f>IF(B4720&lt;&gt;"",IF(AND(B4720='[3]IN-TC'!$S$4,OR([3]TH!N3951="1111",[3]TH!O3951="1111")),[3]TH!D3951,""),"")</f>
        <v/>
      </c>
      <c r="B4720" s="60" t="str">
        <f t="shared" si="477"/>
        <v/>
      </c>
      <c r="C4720" s="61"/>
      <c r="D4720" s="61"/>
      <c r="E4720" s="61"/>
      <c r="F4720" s="64"/>
      <c r="G4720" s="64"/>
      <c r="H4720" s="69"/>
      <c r="I4720" s="385"/>
      <c r="J4720" s="395"/>
      <c r="K4720" s="385"/>
      <c r="L4720" s="392"/>
      <c r="M4720" s="62"/>
      <c r="N4720" s="63"/>
      <c r="O4720" s="63"/>
      <c r="P4720" s="79" t="str">
        <f>IF(AND('331-CT'!$E$7=TH!H4720,OR(N4720="331",O4720="331")),"x","")</f>
        <v/>
      </c>
      <c r="Q4720" s="79" t="str">
        <f>IF(AND(B4720='111'!$L$11,OR($N4720=$Q$7,$O4720=$Q$7)),"x","")</f>
        <v/>
      </c>
      <c r="R4720" s="79" t="str">
        <f>IF(AND($N4720=$Q$7,$B4720&lt;'111'!$L$11),"x","")</f>
        <v/>
      </c>
      <c r="S4720" s="79" t="str">
        <f>IF(AND($O4720=$Q$7,$B4720&lt;'111'!$L$11),"x","")</f>
        <v/>
      </c>
      <c r="T4720" s="79" t="str">
        <f>IF(ISERROR(FIND('112'!$M$9,G4720,1)),"",IF((AND(FIND('112'!$M$9,G4720,1)&gt;=1,B4720='112'!$K$9,OR($N4720='112'!$I$6,$O4720='112'!$I$6))),"x",""))</f>
        <v/>
      </c>
      <c r="U4720" s="79" t="str">
        <f>IF(ISERROR(FIND('112'!$M$9,G4720,1)),"",IF((AND(LEFT(G4720,2)=LEFT('112'!$M$9,2),B4720&lt;'112'!$K$9,$N4720='112'!$I$6)),"x",""))</f>
        <v/>
      </c>
      <c r="V4720" s="79" t="str">
        <f>IF(ISERROR(FIND('112'!$M$9,G4720,1)),"",IF((AND(RIGHT(G4720,2)=RIGHT('112'!$M$9,2),B4720&lt;'112'!$K$9,$O4720='112'!$I$6)),"x",""))</f>
        <v/>
      </c>
      <c r="W4720" s="79" t="str">
        <f>IF(AND('341-CT'!$H$9=H4720,OR(LEFT(N4720,3)=$W$7,LEFT(O4720,3)=$W$7)),"x","")</f>
        <v/>
      </c>
      <c r="X4720" s="79" t="str">
        <f>IF(OR(TH!N4720=TH!$X$7,O4720=TH!$X$7),"x","")</f>
        <v/>
      </c>
      <c r="Y4720" s="79" t="str">
        <f>IF(AND(OR(N4720="131",O4720="131"),H4720='131-CT'!$H$9),"x","")</f>
        <v/>
      </c>
      <c r="Z4720" s="79"/>
      <c r="AA4720" s="79" t="str">
        <f>IF(AND(MONTH(E4720)='IN-NX'!$J$5,'IN-NX'!$D$7=D4720),"x","")</f>
        <v/>
      </c>
      <c r="AB4720" s="79" t="str">
        <f>IF(AND(OR(LEFT(TH!N4720,2)="15",LEFT(TH!O4720,2)="15"),LEFT(TH!O4720,3)&lt;&gt;"111",'152-CT'!$J$8=TH!F4720),"x","")</f>
        <v/>
      </c>
      <c r="AC4720" s="79" t="str">
        <f>IF(AND(OR(LEFT(TH!N4720,2)="15",LEFT(TH!O4720,2)="15"),TK!$E$7=TH!F4720),"x","")</f>
        <v/>
      </c>
      <c r="AD4720" s="79" t="str">
        <f>IF(AND(N4720="1521",MONTH(C4720)='BK-NL'!$M$11),"x","")</f>
        <v/>
      </c>
    </row>
    <row r="4721" spans="1:30" ht="16.5" customHeight="1">
      <c r="A4721" s="318" t="str">
        <f>IF(B4721&lt;&gt;"",IF(AND(B4721='[3]IN-TC'!$S$4,OR([3]TH!N3952="1111",[3]TH!O3952="1111")),[3]TH!D3952,""),"")</f>
        <v/>
      </c>
      <c r="B4721" s="60" t="str">
        <f t="shared" si="477"/>
        <v/>
      </c>
      <c r="C4721" s="61"/>
      <c r="D4721" s="61"/>
      <c r="E4721" s="61"/>
      <c r="F4721" s="64"/>
      <c r="G4721" s="64"/>
      <c r="H4721" s="69"/>
      <c r="I4721" s="1255"/>
      <c r="J4721" s="869"/>
      <c r="K4721" s="385"/>
      <c r="L4721" s="392"/>
      <c r="M4721" s="62"/>
      <c r="N4721" s="63"/>
      <c r="O4721" s="63"/>
      <c r="P4721" s="79" t="str">
        <f>IF(AND('331-CT'!$E$7=TH!H4721,OR(N4721="331",O4721="331")),"x","")</f>
        <v/>
      </c>
      <c r="Q4721" s="79" t="str">
        <f>IF(AND(B4721='111'!$L$11,OR($N4721=$Q$7,$O4721=$Q$7)),"x","")</f>
        <v/>
      </c>
      <c r="R4721" s="79" t="str">
        <f>IF(AND($N4721=$Q$7,$B4721&lt;'111'!$L$11),"x","")</f>
        <v/>
      </c>
      <c r="S4721" s="79" t="str">
        <f>IF(AND($O4721=$Q$7,$B4721&lt;'111'!$L$11),"x","")</f>
        <v/>
      </c>
      <c r="T4721" s="79" t="str">
        <f>IF(ISERROR(FIND('112'!$M$9,G4721,1)),"",IF((AND(FIND('112'!$M$9,G4721,1)&gt;=1,B4721='112'!$K$9,OR($N4721='112'!$I$6,$O4721='112'!$I$6))),"x",""))</f>
        <v/>
      </c>
      <c r="U4721" s="79" t="str">
        <f>IF(ISERROR(FIND('112'!$M$9,G4721,1)),"",IF((AND(LEFT(G4721,2)=LEFT('112'!$M$9,2),B4721&lt;'112'!$K$9,$N4721='112'!$I$6)),"x",""))</f>
        <v/>
      </c>
      <c r="V4721" s="79" t="str">
        <f>IF(ISERROR(FIND('112'!$M$9,G4721,1)),"",IF((AND(RIGHT(G4721,2)=RIGHT('112'!$M$9,2),B4721&lt;'112'!$K$9,$O4721='112'!$I$6)),"x",""))</f>
        <v/>
      </c>
      <c r="W4721" s="79" t="str">
        <f>IF(AND('341-CT'!$H$9=H4721,OR(LEFT(N4721,3)=$W$7,LEFT(O4721,3)=$W$7)),"x","")</f>
        <v/>
      </c>
      <c r="X4721" s="79" t="str">
        <f>IF(OR(TH!N4721=TH!$X$7,O4721=TH!$X$7),"x","")</f>
        <v/>
      </c>
      <c r="Y4721" s="79" t="str">
        <f>IF(AND(OR(N4721="131",O4721="131"),H4721='131-CT'!$H$9),"x","")</f>
        <v/>
      </c>
      <c r="Z4721" s="79"/>
      <c r="AA4721" s="79" t="str">
        <f>IF(AND(MONTH(E4721)='IN-NX'!$J$5,'IN-NX'!$D$7=D4721),"x","")</f>
        <v/>
      </c>
      <c r="AB4721" s="79" t="str">
        <f>IF(AND(OR(LEFT(TH!N4721,2)="15",LEFT(TH!O4721,2)="15"),LEFT(TH!O4721,3)&lt;&gt;"111",'152-CT'!$J$8=TH!F4721),"x","")</f>
        <v/>
      </c>
      <c r="AC4721" s="79" t="str">
        <f>IF(AND(OR(LEFT(TH!N4721,2)="15",LEFT(TH!O4721,2)="15"),TK!$E$7=TH!F4721),"x","")</f>
        <v/>
      </c>
      <c r="AD4721" s="79" t="str">
        <f>IF(AND(N4721="1521",MONTH(C4721)='BK-NL'!$M$11),"x","")</f>
        <v/>
      </c>
    </row>
    <row r="4722" spans="1:30" ht="16.5" customHeight="1">
      <c r="A4722" s="318" t="str">
        <f>IF(B4722&lt;&gt;"",IF(AND(B4722='[3]IN-TC'!$S$4,OR([3]TH!N3953="1111",[3]TH!O3953="1111")),[3]TH!D3953,""),"")</f>
        <v/>
      </c>
      <c r="B4722" s="60" t="str">
        <f t="shared" si="477"/>
        <v/>
      </c>
      <c r="C4722" s="61"/>
      <c r="D4722" s="61"/>
      <c r="E4722" s="61"/>
      <c r="F4722" s="64"/>
      <c r="G4722" s="64"/>
      <c r="H4722" s="69"/>
      <c r="I4722" s="1255"/>
      <c r="J4722" s="869"/>
      <c r="K4722" s="385"/>
      <c r="L4722" s="392"/>
      <c r="M4722" s="62"/>
      <c r="N4722" s="63"/>
      <c r="O4722" s="63"/>
      <c r="P4722" s="79" t="str">
        <f>IF(AND('331-CT'!$E$7=TH!H4722,OR(N4722="331",O4722="331")),"x","")</f>
        <v/>
      </c>
      <c r="Q4722" s="79" t="str">
        <f>IF(AND(B4722='111'!$L$11,OR($N4722=$Q$7,$O4722=$Q$7)),"x","")</f>
        <v/>
      </c>
      <c r="R4722" s="79" t="str">
        <f>IF(AND($N4722=$Q$7,$B4722&lt;'111'!$L$11),"x","")</f>
        <v/>
      </c>
      <c r="S4722" s="79" t="str">
        <f>IF(AND($O4722=$Q$7,$B4722&lt;'111'!$L$11),"x","")</f>
        <v/>
      </c>
      <c r="T4722" s="79" t="str">
        <f>IF(ISERROR(FIND('112'!$M$9,G4722,1)),"",IF((AND(FIND('112'!$M$9,G4722,1)&gt;=1,B4722='112'!$K$9,OR($N4722='112'!$I$6,$O4722='112'!$I$6))),"x",""))</f>
        <v/>
      </c>
      <c r="U4722" s="79" t="str">
        <f>IF(ISERROR(FIND('112'!$M$9,G4722,1)),"",IF((AND(LEFT(G4722,2)=LEFT('112'!$M$9,2),B4722&lt;'112'!$K$9,$N4722='112'!$I$6)),"x",""))</f>
        <v/>
      </c>
      <c r="V4722" s="79" t="str">
        <f>IF(ISERROR(FIND('112'!$M$9,G4722,1)),"",IF((AND(RIGHT(G4722,2)=RIGHT('112'!$M$9,2),B4722&lt;'112'!$K$9,$O4722='112'!$I$6)),"x",""))</f>
        <v/>
      </c>
      <c r="W4722" s="79" t="str">
        <f>IF(AND('341-CT'!$H$9=H4722,OR(LEFT(N4722,3)=$W$7,LEFT(O4722,3)=$W$7)),"x","")</f>
        <v/>
      </c>
      <c r="X4722" s="79" t="str">
        <f>IF(OR(TH!N4722=TH!$X$7,O4722=TH!$X$7),"x","")</f>
        <v/>
      </c>
      <c r="Y4722" s="79" t="str">
        <f>IF(AND(OR(N4722="131",O4722="131"),H4722='131-CT'!$H$9),"x","")</f>
        <v/>
      </c>
      <c r="Z4722" s="79"/>
      <c r="AA4722" s="79" t="str">
        <f>IF(AND(MONTH(E4722)='IN-NX'!$J$5,'IN-NX'!$D$7=D4722),"x","")</f>
        <v/>
      </c>
      <c r="AB4722" s="79" t="str">
        <f>IF(AND(OR(LEFT(TH!N4722,2)="15",LEFT(TH!O4722,2)="15"),LEFT(TH!O4722,3)&lt;&gt;"111",'152-CT'!$J$8=TH!F4722),"x","")</f>
        <v/>
      </c>
      <c r="AC4722" s="79" t="str">
        <f>IF(AND(OR(LEFT(TH!N4722,2)="15",LEFT(TH!O4722,2)="15"),TK!$E$7=TH!F4722),"x","")</f>
        <v/>
      </c>
      <c r="AD4722" s="79" t="str">
        <f>IF(AND(N4722="1521",MONTH(C4722)='BK-NL'!$M$11),"x","")</f>
        <v/>
      </c>
    </row>
    <row r="4723" spans="1:30" ht="16.5" customHeight="1">
      <c r="A4723" s="318" t="str">
        <f>IF(B4723&lt;&gt;"",IF(AND(B4723='[3]IN-TC'!$S$4,OR([3]TH!N3954="1111",[3]TH!O3954="1111")),[3]TH!D3954,""),"")</f>
        <v/>
      </c>
      <c r="B4723" s="60" t="str">
        <f t="shared" si="477"/>
        <v/>
      </c>
      <c r="C4723" s="61"/>
      <c r="D4723" s="61"/>
      <c r="E4723" s="61"/>
      <c r="F4723" s="64"/>
      <c r="G4723" s="64"/>
      <c r="H4723" s="72"/>
      <c r="I4723" s="1255"/>
      <c r="J4723" s="869"/>
      <c r="K4723" s="385"/>
      <c r="L4723" s="392"/>
      <c r="M4723" s="62"/>
      <c r="N4723" s="63"/>
      <c r="O4723" s="63"/>
      <c r="P4723" s="79" t="str">
        <f>IF(AND('331-CT'!$E$7=TH!H4723,OR(N4723="331",O4723="331")),"x","")</f>
        <v/>
      </c>
      <c r="Q4723" s="79" t="str">
        <f>IF(AND(B4723='111'!$L$11,OR($N4723=$Q$7,$O4723=$Q$7)),"x","")</f>
        <v/>
      </c>
      <c r="R4723" s="79" t="str">
        <f>IF(AND($N4723=$Q$7,$B4723&lt;'111'!$L$11),"x","")</f>
        <v/>
      </c>
      <c r="S4723" s="79" t="str">
        <f>IF(AND($O4723=$Q$7,$B4723&lt;'111'!$L$11),"x","")</f>
        <v/>
      </c>
      <c r="T4723" s="79" t="str">
        <f>IF(ISERROR(FIND('112'!$M$9,G4723,1)),"",IF((AND(FIND('112'!$M$9,G4723,1)&gt;=1,B4723='112'!$K$9,OR($N4723='112'!$I$6,$O4723='112'!$I$6))),"x",""))</f>
        <v/>
      </c>
      <c r="U4723" s="79" t="str">
        <f>IF(ISERROR(FIND('112'!$M$9,G4723,1)),"",IF((AND(LEFT(G4723,2)=LEFT('112'!$M$9,2),B4723&lt;'112'!$K$9,$N4723='112'!$I$6)),"x",""))</f>
        <v/>
      </c>
      <c r="V4723" s="79" t="str">
        <f>IF(ISERROR(FIND('112'!$M$9,G4723,1)),"",IF((AND(RIGHT(G4723,2)=RIGHT('112'!$M$9,2),B4723&lt;'112'!$K$9,$O4723='112'!$I$6)),"x",""))</f>
        <v/>
      </c>
      <c r="W4723" s="79" t="str">
        <f>IF(AND('341-CT'!$H$9=H4723,OR(LEFT(N4723,3)=$W$7,LEFT(O4723,3)=$W$7)),"x","")</f>
        <v/>
      </c>
      <c r="X4723" s="79" t="str">
        <f>IF(OR(TH!N4723=TH!$X$7,O4723=TH!$X$7),"x","")</f>
        <v/>
      </c>
      <c r="Y4723" s="79" t="str">
        <f>IF(AND(OR(N4723="131",O4723="131"),H4723='131-CT'!$H$9),"x","")</f>
        <v/>
      </c>
      <c r="Z4723" s="79"/>
      <c r="AA4723" s="79" t="str">
        <f>IF(AND(MONTH(E4723)='IN-NX'!$J$5,'IN-NX'!$D$7=D4723),"x","")</f>
        <v/>
      </c>
      <c r="AB4723" s="79" t="str">
        <f>IF(AND(OR(LEFT(TH!N4723,2)="15",LEFT(TH!O4723,2)="15"),LEFT(TH!O4723,3)&lt;&gt;"111",'152-CT'!$J$8=TH!F4723),"x","")</f>
        <v/>
      </c>
      <c r="AC4723" s="79" t="str">
        <f>IF(AND(OR(LEFT(TH!N4723,2)="15",LEFT(TH!O4723,2)="15"),TK!$E$7=TH!F4723),"x","")</f>
        <v/>
      </c>
      <c r="AD4723" s="79" t="str">
        <f>IF(AND(N4723="1521",MONTH(C4723)='BK-NL'!$M$11),"x","")</f>
        <v/>
      </c>
    </row>
    <row r="4724" spans="1:30" ht="16.5" customHeight="1">
      <c r="A4724" s="318" t="str">
        <f>IF(B4724&lt;&gt;"",IF(AND(B4724='[3]IN-TC'!$S$4,OR([3]TH!N3955="1111",[3]TH!O3955="1111")),[3]TH!D3955,""),"")</f>
        <v/>
      </c>
      <c r="B4724" s="60" t="str">
        <f t="shared" si="477"/>
        <v/>
      </c>
      <c r="C4724" s="61"/>
      <c r="D4724" s="61"/>
      <c r="E4724" s="61"/>
      <c r="F4724" s="64"/>
      <c r="G4724" s="64"/>
      <c r="H4724" s="69"/>
      <c r="I4724" s="385"/>
      <c r="J4724" s="395"/>
      <c r="K4724" s="385"/>
      <c r="L4724" s="392"/>
      <c r="M4724" s="62"/>
      <c r="N4724" s="63"/>
      <c r="O4724" s="63"/>
      <c r="P4724" s="79" t="str">
        <f>IF(AND('331-CT'!$E$7=TH!H4724,OR(N4724="331",O4724="331")),"x","")</f>
        <v/>
      </c>
      <c r="Q4724" s="79" t="str">
        <f>IF(AND(B4724='111'!$L$11,OR($N4724=$Q$7,$O4724=$Q$7)),"x","")</f>
        <v/>
      </c>
      <c r="R4724" s="79" t="str">
        <f>IF(AND($N4724=$Q$7,$B4724&lt;'111'!$L$11),"x","")</f>
        <v/>
      </c>
      <c r="S4724" s="79" t="str">
        <f>IF(AND($O4724=$Q$7,$B4724&lt;'111'!$L$11),"x","")</f>
        <v/>
      </c>
      <c r="T4724" s="79" t="str">
        <f>IF(ISERROR(FIND('112'!$M$9,G4724,1)),"",IF((AND(FIND('112'!$M$9,G4724,1)&gt;=1,B4724='112'!$K$9,OR($N4724='112'!$I$6,$O4724='112'!$I$6))),"x",""))</f>
        <v/>
      </c>
      <c r="U4724" s="79" t="str">
        <f>IF(ISERROR(FIND('112'!$M$9,G4724,1)),"",IF((AND(LEFT(G4724,2)=LEFT('112'!$M$9,2),B4724&lt;'112'!$K$9,$N4724='112'!$I$6)),"x",""))</f>
        <v/>
      </c>
      <c r="V4724" s="79" t="str">
        <f>IF(ISERROR(FIND('112'!$M$9,G4724,1)),"",IF((AND(RIGHT(G4724,2)=RIGHT('112'!$M$9,2),B4724&lt;'112'!$K$9,$O4724='112'!$I$6)),"x",""))</f>
        <v/>
      </c>
      <c r="W4724" s="79" t="str">
        <f>IF(AND('341-CT'!$H$9=H4724,OR(LEFT(N4724,3)=$W$7,LEFT(O4724,3)=$W$7)),"x","")</f>
        <v/>
      </c>
      <c r="X4724" s="79" t="str">
        <f>IF(OR(TH!N4724=TH!$X$7,O4724=TH!$X$7),"x","")</f>
        <v/>
      </c>
      <c r="Y4724" s="79" t="str">
        <f>IF(AND(OR(N4724="131",O4724="131"),H4724='131-CT'!$H$9),"x","")</f>
        <v/>
      </c>
      <c r="Z4724" s="79"/>
      <c r="AA4724" s="79" t="str">
        <f>IF(AND(MONTH(E4724)='IN-NX'!$J$5,'IN-NX'!$D$7=D4724),"x","")</f>
        <v/>
      </c>
      <c r="AB4724" s="79" t="str">
        <f>IF(AND(OR(LEFT(TH!N4724,2)="15",LEFT(TH!O4724,2)="15"),LEFT(TH!O4724,3)&lt;&gt;"111",'152-CT'!$J$8=TH!F4724),"x","")</f>
        <v/>
      </c>
      <c r="AC4724" s="79" t="str">
        <f>IF(AND(OR(LEFT(TH!N4724,2)="15",LEFT(TH!O4724,2)="15"),TK!$E$7=TH!F4724),"x","")</f>
        <v/>
      </c>
      <c r="AD4724" s="79" t="str">
        <f>IF(AND(N4724="1521",MONTH(C4724)='BK-NL'!$M$11),"x","")</f>
        <v/>
      </c>
    </row>
    <row r="4725" spans="1:30" ht="16.5" customHeight="1">
      <c r="A4725" s="318" t="str">
        <f>IF(B4725&lt;&gt;"",IF(AND(B4725='[3]IN-TC'!$S$4,OR([3]TH!N3956="1111",[3]TH!O3956="1111")),[3]TH!D3956,""),"")</f>
        <v/>
      </c>
      <c r="B4725" s="60" t="str">
        <f t="shared" si="477"/>
        <v/>
      </c>
      <c r="C4725" s="61"/>
      <c r="D4725" s="61"/>
      <c r="E4725" s="61"/>
      <c r="F4725" s="64"/>
      <c r="G4725" s="64"/>
      <c r="H4725" s="69"/>
      <c r="I4725" s="385"/>
      <c r="J4725" s="395"/>
      <c r="K4725" s="385"/>
      <c r="L4725" s="392"/>
      <c r="M4725" s="62"/>
      <c r="N4725" s="63"/>
      <c r="O4725" s="63"/>
      <c r="P4725" s="79" t="str">
        <f>IF(AND('331-CT'!$E$7=TH!H4725,OR(N4725="331",O4725="331")),"x","")</f>
        <v/>
      </c>
      <c r="Q4725" s="79" t="str">
        <f>IF(AND(B4725='111'!$L$11,OR($N4725=$Q$7,$O4725=$Q$7)),"x","")</f>
        <v/>
      </c>
      <c r="R4725" s="79" t="str">
        <f>IF(AND($N4725=$Q$7,$B4725&lt;'111'!$L$11),"x","")</f>
        <v/>
      </c>
      <c r="S4725" s="79" t="str">
        <f>IF(AND($O4725=$Q$7,$B4725&lt;'111'!$L$11),"x","")</f>
        <v/>
      </c>
      <c r="T4725" s="79" t="str">
        <f>IF(ISERROR(FIND('112'!$M$9,G4725,1)),"",IF((AND(FIND('112'!$M$9,G4725,1)&gt;=1,B4725='112'!$K$9,OR($N4725='112'!$I$6,$O4725='112'!$I$6))),"x",""))</f>
        <v/>
      </c>
      <c r="U4725" s="79" t="str">
        <f>IF(ISERROR(FIND('112'!$M$9,G4725,1)),"",IF((AND(LEFT(G4725,2)=LEFT('112'!$M$9,2),B4725&lt;'112'!$K$9,$N4725='112'!$I$6)),"x",""))</f>
        <v/>
      </c>
      <c r="V4725" s="79" t="str">
        <f>IF(ISERROR(FIND('112'!$M$9,G4725,1)),"",IF((AND(RIGHT(G4725,2)=RIGHT('112'!$M$9,2),B4725&lt;'112'!$K$9,$O4725='112'!$I$6)),"x",""))</f>
        <v/>
      </c>
      <c r="W4725" s="79" t="str">
        <f>IF(AND('341-CT'!$H$9=H4725,OR(LEFT(N4725,3)=$W$7,LEFT(O4725,3)=$W$7)),"x","")</f>
        <v/>
      </c>
      <c r="X4725" s="79" t="str">
        <f>IF(OR(TH!N4725=TH!$X$7,O4725=TH!$X$7),"x","")</f>
        <v/>
      </c>
      <c r="Y4725" s="79" t="str">
        <f>IF(AND(OR(N4725="131",O4725="131"),H4725='131-CT'!$H$9),"x","")</f>
        <v/>
      </c>
      <c r="Z4725" s="79"/>
      <c r="AA4725" s="79" t="str">
        <f>IF(AND(MONTH(E4725)='IN-NX'!$J$5,'IN-NX'!$D$7=D4725),"x","")</f>
        <v/>
      </c>
      <c r="AB4725" s="79" t="str">
        <f>IF(AND(OR(LEFT(TH!N4725,2)="15",LEFT(TH!O4725,2)="15"),LEFT(TH!O4725,3)&lt;&gt;"111",'152-CT'!$J$8=TH!F4725),"x","")</f>
        <v/>
      </c>
      <c r="AC4725" s="79" t="str">
        <f>IF(AND(OR(LEFT(TH!N4725,2)="15",LEFT(TH!O4725,2)="15"),TK!$E$7=TH!F4725),"x","")</f>
        <v/>
      </c>
      <c r="AD4725" s="79" t="str">
        <f>IF(AND(N4725="1521",MONTH(C4725)='BK-NL'!$M$11),"x","")</f>
        <v/>
      </c>
    </row>
    <row r="4726" spans="1:30" ht="16.5" customHeight="1">
      <c r="A4726" s="318" t="str">
        <f>IF(B4726&lt;&gt;"",IF(AND(B4726='[3]IN-TC'!$S$4,OR([3]TH!N3957="1111",[3]TH!O3957="1111")),[3]TH!D3957,""),"")</f>
        <v/>
      </c>
      <c r="B4726" s="60" t="str">
        <f t="shared" si="477"/>
        <v/>
      </c>
      <c r="C4726" s="301"/>
      <c r="D4726" s="301"/>
      <c r="E4726" s="301"/>
      <c r="F4726" s="302"/>
      <c r="G4726" s="988"/>
      <c r="H4726" s="69"/>
      <c r="I4726" s="385"/>
      <c r="J4726" s="969"/>
      <c r="K4726" s="385"/>
      <c r="L4726" s="392"/>
      <c r="M4726" s="970"/>
      <c r="N4726" s="304"/>
      <c r="O4726" s="304"/>
      <c r="P4726" s="79" t="str">
        <f>IF(AND('331-CT'!$E$7=TH!H4726,OR(N4726="331",O4726="331")),"x","")</f>
        <v/>
      </c>
      <c r="Q4726" s="79" t="str">
        <f>IF(AND(B4726='111'!$L$11,OR($N4726=$Q$7,$O4726=$Q$7)),"x","")</f>
        <v/>
      </c>
      <c r="R4726" s="79" t="str">
        <f>IF(AND($N4726=$Q$7,$B4726&lt;'111'!$L$11),"x","")</f>
        <v/>
      </c>
      <c r="S4726" s="79" t="str">
        <f>IF(AND($O4726=$Q$7,$B4726&lt;'111'!$L$11),"x","")</f>
        <v/>
      </c>
      <c r="T4726" s="79" t="str">
        <f>IF(ISERROR(FIND('112'!$M$9,G4726,1)),"",IF((AND(FIND('112'!$M$9,G4726,1)&gt;=1,B4726='112'!$K$9,OR($N4726='112'!$I$6,$O4726='112'!$I$6))),"x",""))</f>
        <v/>
      </c>
      <c r="U4726" s="79" t="str">
        <f>IF(ISERROR(FIND('112'!$M$9,G4726,1)),"",IF((AND(LEFT(G4726,2)=LEFT('112'!$M$9,2),B4726&lt;'112'!$K$9,$N4726='112'!$I$6)),"x",""))</f>
        <v/>
      </c>
      <c r="V4726" s="79" t="str">
        <f>IF(ISERROR(FIND('112'!$M$9,G4726,1)),"",IF((AND(RIGHT(G4726,2)=RIGHT('112'!$M$9,2),B4726&lt;'112'!$K$9,$O4726='112'!$I$6)),"x",""))</f>
        <v/>
      </c>
      <c r="W4726" s="79" t="str">
        <f>IF(AND('341-CT'!$H$9=H4726,OR(LEFT(N4726,3)=$W$7,LEFT(O4726,3)=$W$7)),"x","")</f>
        <v/>
      </c>
      <c r="X4726" s="79" t="str">
        <f>IF(OR(TH!N4726=TH!$X$7,O4726=TH!$X$7),"x","")</f>
        <v/>
      </c>
      <c r="Y4726" s="79" t="str">
        <f>IF(AND(OR(N4726="131",O4726="131"),H4726='131-CT'!$H$9),"x","")</f>
        <v/>
      </c>
      <c r="Z4726" s="79"/>
      <c r="AA4726" s="79" t="str">
        <f>IF(AND(MONTH(E4726)='IN-NX'!$J$5,'IN-NX'!$D$7=D4726),"x","")</f>
        <v/>
      </c>
      <c r="AB4726" s="79" t="str">
        <f>IF(AND(OR(LEFT(TH!N4726,2)="15",LEFT(TH!O4726,2)="15"),LEFT(TH!O4726,3)&lt;&gt;"111",'152-CT'!$J$8=TH!F4726),"x","")</f>
        <v/>
      </c>
      <c r="AC4726" s="79" t="str">
        <f>IF(AND(OR(LEFT(TH!N4726,2)="15",LEFT(TH!O4726,2)="15"),TK!$E$7=TH!F4726),"x","")</f>
        <v/>
      </c>
      <c r="AD4726" s="79" t="str">
        <f>IF(AND(N4726="1521",MONTH(C4726)='BK-NL'!$M$11),"x","")</f>
        <v/>
      </c>
    </row>
    <row r="4727" spans="1:30" ht="16.5" customHeight="1">
      <c r="A4727" s="318" t="str">
        <f>IF(B4727&lt;&gt;"",IF(AND(B4727='[3]IN-TC'!$S$4,OR([3]TH!N3958="1111",[3]TH!O3958="1111")),[3]TH!D3958,""),"")</f>
        <v/>
      </c>
      <c r="B4727" s="60" t="str">
        <f t="shared" si="477"/>
        <v/>
      </c>
      <c r="C4727" s="61"/>
      <c r="D4727" s="61"/>
      <c r="E4727" s="61"/>
      <c r="F4727" s="69"/>
      <c r="G4727" s="64"/>
      <c r="H4727" s="69"/>
      <c r="I4727" s="385"/>
      <c r="J4727" s="392"/>
      <c r="K4727" s="385"/>
      <c r="L4727" s="392"/>
      <c r="M4727" s="62"/>
      <c r="N4727" s="63"/>
      <c r="O4727" s="63"/>
      <c r="P4727" s="79" t="str">
        <f>IF(AND('331-CT'!$E$7=TH!H4727,OR(N4727="331",O4727="331")),"x","")</f>
        <v/>
      </c>
      <c r="Q4727" s="79" t="str">
        <f>IF(AND(B4727='111'!$L$11,OR($N4727=$Q$7,$O4727=$Q$7)),"x","")</f>
        <v/>
      </c>
      <c r="R4727" s="79" t="str">
        <f>IF(AND($N4727=$Q$7,$B4727&lt;'111'!$L$11),"x","")</f>
        <v/>
      </c>
      <c r="S4727" s="79" t="str">
        <f>IF(AND($O4727=$Q$7,$B4727&lt;'111'!$L$11),"x","")</f>
        <v/>
      </c>
      <c r="T4727" s="79" t="str">
        <f>IF(ISERROR(FIND('112'!$M$9,G4727,1)),"",IF((AND(FIND('112'!$M$9,G4727,1)&gt;=1,B4727='112'!$K$9,OR($N4727='112'!$I$6,$O4727='112'!$I$6))),"x",""))</f>
        <v/>
      </c>
      <c r="U4727" s="79" t="str">
        <f>IF(ISERROR(FIND('112'!$M$9,G4727,1)),"",IF((AND(LEFT(G4727,2)=LEFT('112'!$M$9,2),B4727&lt;'112'!$K$9,$N4727='112'!$I$6)),"x",""))</f>
        <v/>
      </c>
      <c r="V4727" s="79" t="str">
        <f>IF(ISERROR(FIND('112'!$M$9,G4727,1)),"",IF((AND(RIGHT(G4727,2)=RIGHT('112'!$M$9,2),B4727&lt;'112'!$K$9,$O4727='112'!$I$6)),"x",""))</f>
        <v/>
      </c>
      <c r="W4727" s="79" t="str">
        <f>IF(AND('341-CT'!$H$9=H4727,OR(LEFT(N4727,3)=$W$7,LEFT(O4727,3)=$W$7)),"x","")</f>
        <v/>
      </c>
      <c r="X4727" s="79" t="str">
        <f>IF(OR(TH!N4727=TH!$X$7,O4727=TH!$X$7),"x","")</f>
        <v/>
      </c>
      <c r="Y4727" s="79" t="str">
        <f>IF(AND(OR(N4727="131",O4727="131"),H4727='131-CT'!$H$9),"x","")</f>
        <v/>
      </c>
      <c r="Z4727" s="79"/>
      <c r="AA4727" s="79" t="str">
        <f>IF(AND(MONTH(E4727)='IN-NX'!$J$5,'IN-NX'!$D$7=D4727),"x","")</f>
        <v/>
      </c>
      <c r="AB4727" s="79" t="str">
        <f>IF(AND(OR(LEFT(TH!N4727,2)="15",LEFT(TH!O4727,2)="15"),LEFT(TH!O4727,3)&lt;&gt;"111",'152-CT'!$J$8=TH!F4727),"x","")</f>
        <v/>
      </c>
      <c r="AC4727" s="79" t="str">
        <f>IF(AND(OR(LEFT(TH!N4727,2)="15",LEFT(TH!O4727,2)="15"),TK!$E$7=TH!F4727),"x","")</f>
        <v/>
      </c>
      <c r="AD4727" s="79" t="str">
        <f>IF(AND(N4727="1521",MONTH(C4727)='BK-NL'!$M$11),"x","")</f>
        <v/>
      </c>
    </row>
    <row r="4728" spans="1:30" ht="16.5" customHeight="1">
      <c r="A4728" s="318" t="str">
        <f>IF(B4728&lt;&gt;"",IF(AND(B4728='[3]IN-TC'!$S$4,OR([3]TH!N3959="1111",[3]TH!O3959="1111")),[3]TH!D3959,""),"")</f>
        <v/>
      </c>
      <c r="B4728" s="60" t="str">
        <f t="shared" si="477"/>
        <v/>
      </c>
      <c r="C4728" s="61"/>
      <c r="D4728" s="61"/>
      <c r="E4728" s="61"/>
      <c r="F4728" s="69"/>
      <c r="G4728" s="64"/>
      <c r="H4728" s="69"/>
      <c r="I4728" s="385"/>
      <c r="J4728" s="392"/>
      <c r="K4728" s="385"/>
      <c r="L4728" s="392"/>
      <c r="M4728" s="62"/>
      <c r="N4728" s="63"/>
      <c r="O4728" s="63"/>
      <c r="P4728" s="79" t="str">
        <f>IF(AND('331-CT'!$E$7=TH!H4728,OR(N4728="331",O4728="331")),"x","")</f>
        <v/>
      </c>
      <c r="Q4728" s="79" t="str">
        <f>IF(AND(B4728='111'!$L$11,OR($N4728=$Q$7,$O4728=$Q$7)),"x","")</f>
        <v/>
      </c>
      <c r="R4728" s="79" t="str">
        <f>IF(AND($N4728=$Q$7,$B4728&lt;'111'!$L$11),"x","")</f>
        <v/>
      </c>
      <c r="S4728" s="79" t="str">
        <f>IF(AND($O4728=$Q$7,$B4728&lt;'111'!$L$11),"x","")</f>
        <v/>
      </c>
      <c r="T4728" s="79" t="str">
        <f>IF(ISERROR(FIND('112'!$M$9,G4728,1)),"",IF((AND(FIND('112'!$M$9,G4728,1)&gt;=1,B4728='112'!$K$9,OR($N4728='112'!$I$6,$O4728='112'!$I$6))),"x",""))</f>
        <v/>
      </c>
      <c r="U4728" s="79" t="str">
        <f>IF(ISERROR(FIND('112'!$M$9,G4728,1)),"",IF((AND(LEFT(G4728,2)=LEFT('112'!$M$9,2),B4728&lt;'112'!$K$9,$N4728='112'!$I$6)),"x",""))</f>
        <v/>
      </c>
      <c r="V4728" s="79" t="str">
        <f>IF(ISERROR(FIND('112'!$M$9,G4728,1)),"",IF((AND(RIGHT(G4728,2)=RIGHT('112'!$M$9,2),B4728&lt;'112'!$K$9,$O4728='112'!$I$6)),"x",""))</f>
        <v/>
      </c>
      <c r="W4728" s="79" t="str">
        <f>IF(AND('341-CT'!$H$9=H4728,OR(LEFT(N4728,3)=$W$7,LEFT(O4728,3)=$W$7)),"x","")</f>
        <v/>
      </c>
      <c r="X4728" s="79" t="str">
        <f>IF(OR(TH!N4728=TH!$X$7,O4728=TH!$X$7),"x","")</f>
        <v/>
      </c>
      <c r="Y4728" s="79" t="str">
        <f>IF(AND(OR(N4728="131",O4728="131"),H4728='131-CT'!$H$9),"x","")</f>
        <v/>
      </c>
      <c r="Z4728" s="79"/>
      <c r="AA4728" s="79" t="str">
        <f>IF(AND(MONTH(E4728)='IN-NX'!$J$5,'IN-NX'!$D$7=D4728),"x","")</f>
        <v/>
      </c>
      <c r="AB4728" s="79" t="str">
        <f>IF(AND(OR(LEFT(TH!N4728,2)="15",LEFT(TH!O4728,2)="15"),LEFT(TH!O4728,3)&lt;&gt;"111",'152-CT'!$J$8=TH!F4728),"x","")</f>
        <v/>
      </c>
      <c r="AC4728" s="79" t="str">
        <f>IF(AND(OR(LEFT(TH!N4728,2)="15",LEFT(TH!O4728,2)="15"),TK!$E$7=TH!F4728),"x","")</f>
        <v/>
      </c>
      <c r="AD4728" s="79" t="str">
        <f>IF(AND(N4728="1521",MONTH(C4728)='BK-NL'!$M$11),"x","")</f>
        <v/>
      </c>
    </row>
    <row r="4729" spans="1:30" ht="16.5" customHeight="1">
      <c r="A4729" s="318" t="str">
        <f>IF(B4729&lt;&gt;"",IF(AND(B4729='[3]IN-TC'!$S$4,OR([3]TH!N3960="1111",[3]TH!O3960="1111")),[3]TH!D3960,""),"")</f>
        <v/>
      </c>
      <c r="B4729" s="60" t="str">
        <f t="shared" si="477"/>
        <v/>
      </c>
      <c r="C4729" s="301"/>
      <c r="D4729" s="301"/>
      <c r="E4729" s="301"/>
      <c r="F4729" s="302"/>
      <c r="G4729" s="988"/>
      <c r="H4729" s="69"/>
      <c r="I4729" s="385"/>
      <c r="J4729" s="969"/>
      <c r="K4729" s="385"/>
      <c r="L4729" s="392"/>
      <c r="M4729" s="970"/>
      <c r="N4729" s="304"/>
      <c r="O4729" s="304"/>
      <c r="P4729" s="79" t="str">
        <f>IF(AND('331-CT'!$E$7=TH!H4729,OR(N4729="331",O4729="331")),"x","")</f>
        <v/>
      </c>
      <c r="Q4729" s="79" t="str">
        <f>IF(AND(B4729='111'!$L$11,OR($N4729=$Q$7,$O4729=$Q$7)),"x","")</f>
        <v/>
      </c>
      <c r="R4729" s="79" t="str">
        <f>IF(AND($N4729=$Q$7,$B4729&lt;'111'!$L$11),"x","")</f>
        <v/>
      </c>
      <c r="S4729" s="79" t="str">
        <f>IF(AND($O4729=$Q$7,$B4729&lt;'111'!$L$11),"x","")</f>
        <v/>
      </c>
      <c r="T4729" s="79" t="str">
        <f>IF(ISERROR(FIND('112'!$M$9,G4729,1)),"",IF((AND(FIND('112'!$M$9,G4729,1)&gt;=1,B4729='112'!$K$9,OR($N4729='112'!$I$6,$O4729='112'!$I$6))),"x",""))</f>
        <v/>
      </c>
      <c r="U4729" s="79" t="str">
        <f>IF(ISERROR(FIND('112'!$M$9,G4729,1)),"",IF((AND(LEFT(G4729,2)=LEFT('112'!$M$9,2),B4729&lt;'112'!$K$9,$N4729='112'!$I$6)),"x",""))</f>
        <v/>
      </c>
      <c r="V4729" s="79" t="str">
        <f>IF(ISERROR(FIND('112'!$M$9,G4729,1)),"",IF((AND(RIGHT(G4729,2)=RIGHT('112'!$M$9,2),B4729&lt;'112'!$K$9,$O4729='112'!$I$6)),"x",""))</f>
        <v/>
      </c>
      <c r="W4729" s="79" t="str">
        <f>IF(AND('341-CT'!$H$9=H4729,OR(LEFT(N4729,3)=$W$7,LEFT(O4729,3)=$W$7)),"x","")</f>
        <v/>
      </c>
      <c r="X4729" s="79" t="str">
        <f>IF(OR(TH!N4729=TH!$X$7,O4729=TH!$X$7),"x","")</f>
        <v/>
      </c>
      <c r="Y4729" s="79" t="str">
        <f>IF(AND(OR(N4729="131",O4729="131"),H4729='131-CT'!$H$9),"x","")</f>
        <v/>
      </c>
      <c r="Z4729" s="79"/>
      <c r="AA4729" s="79" t="str">
        <f>IF(AND(MONTH(E4729)='IN-NX'!$J$5,'IN-NX'!$D$7=D4729),"x","")</f>
        <v/>
      </c>
      <c r="AB4729" s="79" t="str">
        <f>IF(AND(OR(LEFT(TH!N4729,2)="15",LEFT(TH!O4729,2)="15"),LEFT(TH!O4729,3)&lt;&gt;"111",'152-CT'!$J$8=TH!F4729),"x","")</f>
        <v/>
      </c>
      <c r="AC4729" s="79" t="str">
        <f>IF(AND(OR(LEFT(TH!N4729,2)="15",LEFT(TH!O4729,2)="15"),TK!$E$7=TH!F4729),"x","")</f>
        <v/>
      </c>
      <c r="AD4729" s="79" t="str">
        <f>IF(AND(N4729="1521",MONTH(C4729)='BK-NL'!$M$11),"x","")</f>
        <v/>
      </c>
    </row>
    <row r="4730" spans="1:30" ht="16.5" customHeight="1">
      <c r="A4730" s="318" t="str">
        <f>IF(B4730&lt;&gt;"",IF(AND(B4730='[3]IN-TC'!$S$4,OR([3]TH!N3961="1111",[3]TH!O3961="1111")),[3]TH!D3961,""),"")</f>
        <v/>
      </c>
      <c r="B4730" s="60" t="str">
        <f t="shared" si="477"/>
        <v/>
      </c>
      <c r="C4730" s="61"/>
      <c r="D4730" s="61"/>
      <c r="E4730" s="61"/>
      <c r="F4730" s="69"/>
      <c r="G4730" s="64"/>
      <c r="H4730" s="69"/>
      <c r="I4730" s="385"/>
      <c r="J4730" s="392"/>
      <c r="K4730" s="392"/>
      <c r="L4730" s="392"/>
      <c r="M4730" s="392"/>
      <c r="N4730" s="63"/>
      <c r="O4730" s="63"/>
      <c r="P4730" s="79" t="str">
        <f>IF(AND('331-CT'!$E$7=TH!H4730,OR(N4730="331",O4730="331")),"x","")</f>
        <v/>
      </c>
      <c r="Q4730" s="79" t="str">
        <f>IF(AND(B4730='111'!$L$11,OR($N4730=$Q$7,$O4730=$Q$7)),"x","")</f>
        <v/>
      </c>
      <c r="R4730" s="79" t="str">
        <f>IF(AND($N4730=$Q$7,$B4730&lt;'111'!$L$11),"x","")</f>
        <v/>
      </c>
      <c r="S4730" s="79" t="str">
        <f>IF(AND($O4730=$Q$7,$B4730&lt;'111'!$L$11),"x","")</f>
        <v/>
      </c>
      <c r="T4730" s="79" t="str">
        <f>IF(ISERROR(FIND('112'!$M$9,G4730,1)),"",IF((AND(FIND('112'!$M$9,G4730,1)&gt;=1,B4730='112'!$K$9,OR($N4730='112'!$I$6,$O4730='112'!$I$6))),"x",""))</f>
        <v/>
      </c>
      <c r="U4730" s="79" t="str">
        <f>IF(ISERROR(FIND('112'!$M$9,G4730,1)),"",IF((AND(LEFT(G4730,2)=LEFT('112'!$M$9,2),B4730&lt;'112'!$K$9,$N4730='112'!$I$6)),"x",""))</f>
        <v/>
      </c>
      <c r="V4730" s="79" t="str">
        <f>IF(ISERROR(FIND('112'!$M$9,G4730,1)),"",IF((AND(RIGHT(G4730,2)=RIGHT('112'!$M$9,2),B4730&lt;'112'!$K$9,$O4730='112'!$I$6)),"x",""))</f>
        <v/>
      </c>
      <c r="W4730" s="79" t="str">
        <f>IF(AND('341-CT'!$H$9=H4730,OR(LEFT(N4730,3)=$W$7,LEFT(O4730,3)=$W$7)),"x","")</f>
        <v/>
      </c>
      <c r="X4730" s="79" t="str">
        <f>IF(OR(TH!N4730=TH!$X$7,O4730=TH!$X$7),"x","")</f>
        <v/>
      </c>
      <c r="Y4730" s="79" t="str">
        <f>IF(AND(OR(N4730="131",O4730="131"),H4730='131-CT'!$H$9),"x","")</f>
        <v/>
      </c>
      <c r="Z4730" s="79"/>
      <c r="AA4730" s="79" t="str">
        <f>IF(AND(MONTH(E4730)='IN-NX'!$J$5,'IN-NX'!$D$7=D4730),"x","")</f>
        <v/>
      </c>
      <c r="AB4730" s="79" t="str">
        <f>IF(AND(OR(LEFT(TH!N4730,2)="15",LEFT(TH!O4730,2)="15"),LEFT(TH!O4730,3)&lt;&gt;"111",'152-CT'!$J$8=TH!F4730),"x","")</f>
        <v/>
      </c>
      <c r="AC4730" s="79" t="str">
        <f>IF(AND(OR(LEFT(TH!N4730,2)="15",LEFT(TH!O4730,2)="15"),TK!$E$7=TH!F4730),"x","")</f>
        <v/>
      </c>
      <c r="AD4730" s="79" t="str">
        <f>IF(AND(N4730="1521",MONTH(C4730)='BK-NL'!$M$11),"x","")</f>
        <v/>
      </c>
    </row>
    <row r="4731" spans="1:30" ht="16.5" customHeight="1">
      <c r="A4731" s="318" t="str">
        <f>IF(B4731&lt;&gt;"",IF(AND(B4731='[3]IN-TC'!$S$4,OR([3]TH!N3962="1111",[3]TH!O3962="1111")),[3]TH!D3962,""),"")</f>
        <v/>
      </c>
      <c r="B4731" s="60" t="str">
        <f t="shared" si="477"/>
        <v/>
      </c>
      <c r="C4731" s="61"/>
      <c r="D4731" s="61"/>
      <c r="E4731" s="61"/>
      <c r="F4731" s="64"/>
      <c r="G4731" s="64"/>
      <c r="H4731" s="69"/>
      <c r="I4731" s="385"/>
      <c r="J4731" s="395"/>
      <c r="K4731" s="385"/>
      <c r="L4731" s="392"/>
      <c r="M4731" s="62"/>
      <c r="N4731" s="63"/>
      <c r="O4731" s="63"/>
      <c r="P4731" s="79" t="str">
        <f>IF(AND('331-CT'!$E$7=TH!H4731,OR(N4731="331",O4731="331")),"x","")</f>
        <v/>
      </c>
      <c r="Q4731" s="79" t="str">
        <f>IF(AND(B4731='111'!$L$11,OR($N4731=$Q$7,$O4731=$Q$7)),"x","")</f>
        <v/>
      </c>
      <c r="R4731" s="79" t="str">
        <f>IF(AND($N4731=$Q$7,$B4731&lt;'111'!$L$11),"x","")</f>
        <v/>
      </c>
      <c r="S4731" s="79" t="str">
        <f>IF(AND($O4731=$Q$7,$B4731&lt;'111'!$L$11),"x","")</f>
        <v/>
      </c>
      <c r="T4731" s="79" t="str">
        <f>IF(ISERROR(FIND('112'!$M$9,G4731,1)),"",IF((AND(FIND('112'!$M$9,G4731,1)&gt;=1,B4731='112'!$K$9,OR($N4731='112'!$I$6,$O4731='112'!$I$6))),"x",""))</f>
        <v/>
      </c>
      <c r="U4731" s="79" t="str">
        <f>IF(ISERROR(FIND('112'!$M$9,G4731,1)),"",IF((AND(LEFT(G4731,2)=LEFT('112'!$M$9,2),B4731&lt;'112'!$K$9,$N4731='112'!$I$6)),"x",""))</f>
        <v/>
      </c>
      <c r="V4731" s="79" t="str">
        <f>IF(ISERROR(FIND('112'!$M$9,G4731,1)),"",IF((AND(RIGHT(G4731,2)=RIGHT('112'!$M$9,2),B4731&lt;'112'!$K$9,$O4731='112'!$I$6)),"x",""))</f>
        <v/>
      </c>
      <c r="W4731" s="79" t="str">
        <f>IF(AND('341-CT'!$H$9=H4731,OR(LEFT(N4731,3)=$W$7,LEFT(O4731,3)=$W$7)),"x","")</f>
        <v/>
      </c>
      <c r="X4731" s="79" t="str">
        <f>IF(OR(TH!N4731=TH!$X$7,O4731=TH!$X$7),"x","")</f>
        <v/>
      </c>
      <c r="Y4731" s="79" t="str">
        <f>IF(AND(OR(N4731="131",O4731="131"),H4731='131-CT'!$H$9),"x","")</f>
        <v/>
      </c>
      <c r="Z4731" s="79"/>
      <c r="AA4731" s="79" t="str">
        <f>IF(AND(MONTH(E4731)='IN-NX'!$J$5,'IN-NX'!$D$7=D4731),"x","")</f>
        <v/>
      </c>
      <c r="AB4731" s="79" t="str">
        <f>IF(AND(OR(LEFT(TH!N4731,2)="15",LEFT(TH!O4731,2)="15"),LEFT(TH!O4731,3)&lt;&gt;"111",'152-CT'!$J$8=TH!F4731),"x","")</f>
        <v/>
      </c>
      <c r="AC4731" s="79" t="str">
        <f>IF(AND(OR(LEFT(TH!N4731,2)="15",LEFT(TH!O4731,2)="15"),TK!$E$7=TH!F4731),"x","")</f>
        <v/>
      </c>
      <c r="AD4731" s="79" t="str">
        <f>IF(AND(N4731="1521",MONTH(C4731)='BK-NL'!$M$11),"x","")</f>
        <v/>
      </c>
    </row>
    <row r="4732" spans="1:30" ht="16.5" customHeight="1">
      <c r="A4732" s="318" t="str">
        <f>IF(B4732&lt;&gt;"",IF(AND(B4732='[3]IN-TC'!$S$4,OR([3]TH!N3963="1111",[3]TH!O3963="1111")),[3]TH!D3963,""),"")</f>
        <v/>
      </c>
      <c r="B4732" s="60" t="str">
        <f t="shared" si="477"/>
        <v/>
      </c>
      <c r="C4732" s="301"/>
      <c r="D4732" s="301"/>
      <c r="E4732" s="301"/>
      <c r="F4732" s="302"/>
      <c r="G4732" s="988"/>
      <c r="H4732" s="69"/>
      <c r="I4732" s="385"/>
      <c r="J4732" s="969"/>
      <c r="K4732" s="385"/>
      <c r="L4732" s="392"/>
      <c r="M4732" s="970"/>
      <c r="N4732" s="304"/>
      <c r="O4732" s="304"/>
      <c r="P4732" s="79" t="str">
        <f>IF(AND('331-CT'!$E$7=TH!H4732,OR(N4732="331",O4732="331")),"x","")</f>
        <v/>
      </c>
      <c r="Q4732" s="79" t="str">
        <f>IF(AND(B4732='111'!$L$11,OR($N4732=$Q$7,$O4732=$Q$7)),"x","")</f>
        <v/>
      </c>
      <c r="R4732" s="79" t="str">
        <f>IF(AND($N4732=$Q$7,$B4732&lt;'111'!$L$11),"x","")</f>
        <v/>
      </c>
      <c r="S4732" s="79" t="str">
        <f>IF(AND($O4732=$Q$7,$B4732&lt;'111'!$L$11),"x","")</f>
        <v/>
      </c>
      <c r="T4732" s="79" t="str">
        <f>IF(ISERROR(FIND('112'!$M$9,G4732,1)),"",IF((AND(FIND('112'!$M$9,G4732,1)&gt;=1,B4732='112'!$K$9,OR($N4732='112'!$I$6,$O4732='112'!$I$6))),"x",""))</f>
        <v/>
      </c>
      <c r="U4732" s="79" t="str">
        <f>IF(ISERROR(FIND('112'!$M$9,G4732,1)),"",IF((AND(LEFT(G4732,2)=LEFT('112'!$M$9,2),B4732&lt;'112'!$K$9,$N4732='112'!$I$6)),"x",""))</f>
        <v/>
      </c>
      <c r="V4732" s="79" t="str">
        <f>IF(ISERROR(FIND('112'!$M$9,G4732,1)),"",IF((AND(RIGHT(G4732,2)=RIGHT('112'!$M$9,2),B4732&lt;'112'!$K$9,$O4732='112'!$I$6)),"x",""))</f>
        <v/>
      </c>
      <c r="W4732" s="79" t="str">
        <f>IF(AND('341-CT'!$H$9=H4732,OR(LEFT(N4732,3)=$W$7,LEFT(O4732,3)=$W$7)),"x","")</f>
        <v/>
      </c>
      <c r="X4732" s="79" t="str">
        <f>IF(OR(TH!N4732=TH!$X$7,O4732=TH!$X$7),"x","")</f>
        <v/>
      </c>
      <c r="Y4732" s="79" t="str">
        <f>IF(AND(OR(N4732="131",O4732="131"),H4732='131-CT'!$H$9),"x","")</f>
        <v/>
      </c>
      <c r="Z4732" s="79"/>
      <c r="AA4732" s="79" t="str">
        <f>IF(AND(MONTH(E4732)='IN-NX'!$J$5,'IN-NX'!$D$7=D4732),"x","")</f>
        <v/>
      </c>
      <c r="AB4732" s="79" t="str">
        <f>IF(AND(OR(LEFT(TH!N4732,2)="15",LEFT(TH!O4732,2)="15"),LEFT(TH!O4732,3)&lt;&gt;"111",'152-CT'!$J$8=TH!F4732),"x","")</f>
        <v/>
      </c>
      <c r="AC4732" s="79" t="str">
        <f>IF(AND(OR(LEFT(TH!N4732,2)="15",LEFT(TH!O4732,2)="15"),TK!$E$7=TH!F4732),"x","")</f>
        <v/>
      </c>
      <c r="AD4732" s="79" t="str">
        <f>IF(AND(N4732="1521",MONTH(C4732)='BK-NL'!$M$11),"x","")</f>
        <v/>
      </c>
    </row>
    <row r="4733" spans="1:30" ht="16.5" customHeight="1">
      <c r="A4733" s="318" t="str">
        <f>IF(B4733&lt;&gt;"",IF(AND(B4733='[3]IN-TC'!$S$4,OR([3]TH!N3964="1111",[3]TH!O3964="1111")),[3]TH!D3964,""),"")</f>
        <v/>
      </c>
      <c r="B4733" s="60" t="str">
        <f t="shared" si="477"/>
        <v/>
      </c>
      <c r="C4733" s="61"/>
      <c r="D4733" s="61"/>
      <c r="E4733" s="61"/>
      <c r="F4733" s="947"/>
      <c r="G4733" s="64"/>
      <c r="H4733" s="69"/>
      <c r="I4733" s="385"/>
      <c r="J4733" s="392"/>
      <c r="K4733" s="385"/>
      <c r="L4733" s="392"/>
      <c r="M4733" s="62"/>
      <c r="N4733" s="63"/>
      <c r="O4733" s="63"/>
      <c r="P4733" s="79" t="str">
        <f>IF(AND('331-CT'!$E$7=TH!H4733,OR(N4733="331",O4733="331")),"x","")</f>
        <v/>
      </c>
      <c r="Q4733" s="79" t="str">
        <f>IF(AND(B4733='111'!$L$11,OR($N4733=$Q$7,$O4733=$Q$7)),"x","")</f>
        <v/>
      </c>
      <c r="R4733" s="79" t="str">
        <f>IF(AND($N4733=$Q$7,$B4733&lt;'111'!$L$11),"x","")</f>
        <v/>
      </c>
      <c r="S4733" s="79" t="str">
        <f>IF(AND($O4733=$Q$7,$B4733&lt;'111'!$L$11),"x","")</f>
        <v/>
      </c>
      <c r="T4733" s="79" t="str">
        <f>IF(ISERROR(FIND('112'!$M$9,G4733,1)),"",IF((AND(FIND('112'!$M$9,G4733,1)&gt;=1,B4733='112'!$K$9,OR($N4733='112'!$I$6,$O4733='112'!$I$6))),"x",""))</f>
        <v/>
      </c>
      <c r="U4733" s="79" t="str">
        <f>IF(ISERROR(FIND('112'!$M$9,G4733,1)),"",IF((AND(LEFT(G4733,2)=LEFT('112'!$M$9,2),B4733&lt;'112'!$K$9,$N4733='112'!$I$6)),"x",""))</f>
        <v/>
      </c>
      <c r="V4733" s="79" t="str">
        <f>IF(ISERROR(FIND('112'!$M$9,G4733,1)),"",IF((AND(RIGHT(G4733,2)=RIGHT('112'!$M$9,2),B4733&lt;'112'!$K$9,$O4733='112'!$I$6)),"x",""))</f>
        <v/>
      </c>
      <c r="W4733" s="79" t="str">
        <f>IF(AND('341-CT'!$H$9=H4733,OR(LEFT(N4733,3)=$W$7,LEFT(O4733,3)=$W$7)),"x","")</f>
        <v/>
      </c>
      <c r="X4733" s="79" t="str">
        <f>IF(OR(TH!N4733=TH!$X$7,O4733=TH!$X$7),"x","")</f>
        <v/>
      </c>
      <c r="Y4733" s="79" t="str">
        <f>IF(AND(OR(N4733="131",O4733="131"),H4733='131-CT'!$H$9),"x","")</f>
        <v/>
      </c>
      <c r="Z4733" s="79"/>
      <c r="AA4733" s="79" t="str">
        <f>IF(AND(MONTH(E4733)='IN-NX'!$J$5,'IN-NX'!$D$7=D4733),"x","")</f>
        <v/>
      </c>
      <c r="AB4733" s="79" t="str">
        <f>IF(AND(OR(LEFT(TH!N4733,2)="15",LEFT(TH!O4733,2)="15"),LEFT(TH!O4733,3)&lt;&gt;"111",'152-CT'!$J$8=TH!F4733),"x","")</f>
        <v/>
      </c>
      <c r="AC4733" s="79" t="str">
        <f>IF(AND(OR(LEFT(TH!N4733,2)="15",LEFT(TH!O4733,2)="15"),TK!$E$7=TH!F4733),"x","")</f>
        <v/>
      </c>
      <c r="AD4733" s="79" t="str">
        <f>IF(AND(N4733="1521",MONTH(C4733)='BK-NL'!$M$11),"x","")</f>
        <v/>
      </c>
    </row>
    <row r="4734" spans="1:30" ht="16.5" customHeight="1">
      <c r="A4734" s="318" t="str">
        <f>IF(B4734&lt;&gt;"",IF(AND(B4734='[3]IN-TC'!$S$4,OR([3]TH!N3965="1111",[3]TH!O3965="1111")),[3]TH!D3965,""),"")</f>
        <v/>
      </c>
      <c r="B4734" s="60" t="str">
        <f t="shared" si="477"/>
        <v/>
      </c>
      <c r="C4734" s="61"/>
      <c r="D4734" s="61"/>
      <c r="E4734" s="61"/>
      <c r="F4734" s="69"/>
      <c r="G4734" s="64"/>
      <c r="H4734" s="69"/>
      <c r="I4734" s="385"/>
      <c r="J4734" s="392"/>
      <c r="K4734" s="392"/>
      <c r="L4734" s="392"/>
      <c r="M4734" s="392"/>
      <c r="N4734" s="63"/>
      <c r="O4734" s="63"/>
      <c r="P4734" s="79" t="str">
        <f>IF(AND('331-CT'!$E$7=TH!H4734,OR(N4734="331",O4734="331")),"x","")</f>
        <v/>
      </c>
      <c r="Q4734" s="79" t="str">
        <f>IF(AND(B4734='111'!$L$11,OR($N4734=$Q$7,$O4734=$Q$7)),"x","")</f>
        <v/>
      </c>
      <c r="R4734" s="79" t="str">
        <f>IF(AND($N4734=$Q$7,$B4734&lt;'111'!$L$11),"x","")</f>
        <v/>
      </c>
      <c r="S4734" s="79" t="str">
        <f>IF(AND($O4734=$Q$7,$B4734&lt;'111'!$L$11),"x","")</f>
        <v/>
      </c>
      <c r="T4734" s="79" t="str">
        <f>IF(ISERROR(FIND('112'!$M$9,G4734,1)),"",IF((AND(FIND('112'!$M$9,G4734,1)&gt;=1,B4734='112'!$K$9,OR($N4734='112'!$I$6,$O4734='112'!$I$6))),"x",""))</f>
        <v/>
      </c>
      <c r="U4734" s="79" t="str">
        <f>IF(ISERROR(FIND('112'!$M$9,G4734,1)),"",IF((AND(LEFT(G4734,2)=LEFT('112'!$M$9,2),B4734&lt;'112'!$K$9,$N4734='112'!$I$6)),"x",""))</f>
        <v/>
      </c>
      <c r="V4734" s="79" t="str">
        <f>IF(ISERROR(FIND('112'!$M$9,G4734,1)),"",IF((AND(RIGHT(G4734,2)=RIGHT('112'!$M$9,2),B4734&lt;'112'!$K$9,$O4734='112'!$I$6)),"x",""))</f>
        <v/>
      </c>
      <c r="W4734" s="79" t="str">
        <f>IF(AND('341-CT'!$H$9=H4734,OR(LEFT(N4734,3)=$W$7,LEFT(O4734,3)=$W$7)),"x","")</f>
        <v/>
      </c>
      <c r="X4734" s="79" t="str">
        <f>IF(OR(TH!N4734=TH!$X$7,O4734=TH!$X$7),"x","")</f>
        <v/>
      </c>
      <c r="Y4734" s="79" t="str">
        <f>IF(AND(OR(N4734="131",O4734="131"),H4734='131-CT'!$H$9),"x","")</f>
        <v/>
      </c>
      <c r="Z4734" s="79"/>
      <c r="AA4734" s="79" t="str">
        <f>IF(AND(MONTH(E4734)='IN-NX'!$J$5,'IN-NX'!$D$7=D4734),"x","")</f>
        <v/>
      </c>
      <c r="AB4734" s="79" t="str">
        <f>IF(AND(OR(LEFT(TH!N4734,2)="15",LEFT(TH!O4734,2)="15"),LEFT(TH!O4734,3)&lt;&gt;"111",'152-CT'!$J$8=TH!F4734),"x","")</f>
        <v/>
      </c>
      <c r="AC4734" s="79" t="str">
        <f>IF(AND(OR(LEFT(TH!N4734,2)="15",LEFT(TH!O4734,2)="15"),TK!$E$7=TH!F4734),"x","")</f>
        <v/>
      </c>
      <c r="AD4734" s="79" t="str">
        <f>IF(AND(N4734="1521",MONTH(C4734)='BK-NL'!$M$11),"x","")</f>
        <v/>
      </c>
    </row>
    <row r="4735" spans="1:30" ht="16.5" customHeight="1">
      <c r="A4735" s="318" t="str">
        <f>IF(B4735&lt;&gt;"",IF(AND(B4735='[3]IN-TC'!$S$4,OR([3]TH!N3966="1111",[3]TH!O3966="1111")),[3]TH!D3966,""),"")</f>
        <v/>
      </c>
      <c r="B4735" s="60" t="str">
        <f t="shared" si="477"/>
        <v/>
      </c>
      <c r="C4735" s="61"/>
      <c r="D4735" s="61"/>
      <c r="E4735" s="61"/>
      <c r="F4735" s="69"/>
      <c r="G4735" s="64"/>
      <c r="H4735" s="69"/>
      <c r="I4735" s="385"/>
      <c r="J4735" s="392"/>
      <c r="K4735" s="392"/>
      <c r="L4735" s="392"/>
      <c r="M4735" s="392"/>
      <c r="N4735" s="63"/>
      <c r="O4735" s="63"/>
      <c r="P4735" s="79" t="str">
        <f>IF(AND('331-CT'!$E$7=TH!H4735,OR(N4735="331",O4735="331")),"x","")</f>
        <v/>
      </c>
      <c r="Q4735" s="79" t="str">
        <f>IF(AND(B4735='111'!$L$11,OR($N4735=$Q$7,$O4735=$Q$7)),"x","")</f>
        <v/>
      </c>
      <c r="R4735" s="79" t="str">
        <f>IF(AND($N4735=$Q$7,$B4735&lt;'111'!$L$11),"x","")</f>
        <v/>
      </c>
      <c r="S4735" s="79" t="str">
        <f>IF(AND($O4735=$Q$7,$B4735&lt;'111'!$L$11),"x","")</f>
        <v/>
      </c>
      <c r="T4735" s="79" t="str">
        <f>IF(ISERROR(FIND('112'!$M$9,G4735,1)),"",IF((AND(FIND('112'!$M$9,G4735,1)&gt;=1,B4735='112'!$K$9,OR($N4735='112'!$I$6,$O4735='112'!$I$6))),"x",""))</f>
        <v/>
      </c>
      <c r="U4735" s="79" t="str">
        <f>IF(ISERROR(FIND('112'!$M$9,G4735,1)),"",IF((AND(LEFT(G4735,2)=LEFT('112'!$M$9,2),B4735&lt;'112'!$K$9,$N4735='112'!$I$6)),"x",""))</f>
        <v/>
      </c>
      <c r="V4735" s="79" t="str">
        <f>IF(ISERROR(FIND('112'!$M$9,G4735,1)),"",IF((AND(RIGHT(G4735,2)=RIGHT('112'!$M$9,2),B4735&lt;'112'!$K$9,$O4735='112'!$I$6)),"x",""))</f>
        <v/>
      </c>
      <c r="W4735" s="79" t="str">
        <f>IF(AND('341-CT'!$H$9=H4735,OR(LEFT(N4735,3)=$W$7,LEFT(O4735,3)=$W$7)),"x","")</f>
        <v/>
      </c>
      <c r="X4735" s="79" t="str">
        <f>IF(OR(TH!N4735=TH!$X$7,O4735=TH!$X$7),"x","")</f>
        <v/>
      </c>
      <c r="Y4735" s="79" t="str">
        <f>IF(AND(OR(N4735="131",O4735="131"),H4735='131-CT'!$H$9),"x","")</f>
        <v/>
      </c>
      <c r="Z4735" s="79"/>
      <c r="AA4735" s="79" t="str">
        <f>IF(AND(MONTH(E4735)='IN-NX'!$J$5,'IN-NX'!$D$7=D4735),"x","")</f>
        <v/>
      </c>
      <c r="AB4735" s="79" t="str">
        <f>IF(AND(OR(LEFT(TH!N4735,2)="15",LEFT(TH!O4735,2)="15"),LEFT(TH!O4735,3)&lt;&gt;"111",'152-CT'!$J$8=TH!F4735),"x","")</f>
        <v/>
      </c>
      <c r="AC4735" s="79" t="str">
        <f>IF(AND(OR(LEFT(TH!N4735,2)="15",LEFT(TH!O4735,2)="15"),TK!$E$7=TH!F4735),"x","")</f>
        <v/>
      </c>
      <c r="AD4735" s="79" t="str">
        <f>IF(AND(N4735="1521",MONTH(C4735)='BK-NL'!$M$11),"x","")</f>
        <v/>
      </c>
    </row>
    <row r="4736" spans="1:30" ht="16.5" customHeight="1">
      <c r="A4736" s="318" t="str">
        <f>IF(B4736&lt;&gt;"",IF(AND(B4736='[3]IN-TC'!$S$4,OR([3]TH!N3967="1111",[3]TH!O3967="1111")),[3]TH!D3967,""),"")</f>
        <v/>
      </c>
      <c r="B4736" s="60" t="str">
        <f t="shared" si="477"/>
        <v/>
      </c>
      <c r="C4736" s="61"/>
      <c r="D4736" s="61"/>
      <c r="E4736" s="61"/>
      <c r="F4736" s="69"/>
      <c r="G4736" s="64"/>
      <c r="H4736" s="69"/>
      <c r="I4736" s="385"/>
      <c r="J4736" s="392"/>
      <c r="K4736" s="392"/>
      <c r="L4736" s="392"/>
      <c r="M4736" s="392"/>
      <c r="N4736" s="63"/>
      <c r="O4736" s="63"/>
      <c r="P4736" s="79" t="str">
        <f>IF(AND('331-CT'!$E$7=TH!H4736,OR(N4736="331",O4736="331")),"x","")</f>
        <v/>
      </c>
      <c r="Q4736" s="79" t="str">
        <f>IF(AND(B4736='111'!$L$11,OR($N4736=$Q$7,$O4736=$Q$7)),"x","")</f>
        <v/>
      </c>
      <c r="R4736" s="79" t="str">
        <f>IF(AND($N4736=$Q$7,$B4736&lt;'111'!$L$11),"x","")</f>
        <v/>
      </c>
      <c r="S4736" s="79" t="str">
        <f>IF(AND($O4736=$Q$7,$B4736&lt;'111'!$L$11),"x","")</f>
        <v/>
      </c>
      <c r="T4736" s="79" t="str">
        <f>IF(ISERROR(FIND('112'!$M$9,G4736,1)),"",IF((AND(FIND('112'!$M$9,G4736,1)&gt;=1,B4736='112'!$K$9,OR($N4736='112'!$I$6,$O4736='112'!$I$6))),"x",""))</f>
        <v/>
      </c>
      <c r="U4736" s="79" t="str">
        <f>IF(ISERROR(FIND('112'!$M$9,G4736,1)),"",IF((AND(LEFT(G4736,2)=LEFT('112'!$M$9,2),B4736&lt;'112'!$K$9,$N4736='112'!$I$6)),"x",""))</f>
        <v/>
      </c>
      <c r="V4736" s="79" t="str">
        <f>IF(ISERROR(FIND('112'!$M$9,G4736,1)),"",IF((AND(RIGHT(G4736,2)=RIGHT('112'!$M$9,2),B4736&lt;'112'!$K$9,$O4736='112'!$I$6)),"x",""))</f>
        <v/>
      </c>
      <c r="W4736" s="79" t="str">
        <f>IF(AND('341-CT'!$H$9=H4736,OR(LEFT(N4736,3)=$W$7,LEFT(O4736,3)=$W$7)),"x","")</f>
        <v/>
      </c>
      <c r="X4736" s="79" t="str">
        <f>IF(OR(TH!N4736=TH!$X$7,O4736=TH!$X$7),"x","")</f>
        <v/>
      </c>
      <c r="Y4736" s="79" t="str">
        <f>IF(AND(OR(N4736="131",O4736="131"),H4736='131-CT'!$H$9),"x","")</f>
        <v/>
      </c>
      <c r="Z4736" s="79"/>
      <c r="AA4736" s="79" t="str">
        <f>IF(AND(MONTH(E4736)='IN-NX'!$J$5,'IN-NX'!$D$7=D4736),"x","")</f>
        <v/>
      </c>
      <c r="AB4736" s="79" t="str">
        <f>IF(AND(OR(LEFT(TH!N4736,2)="15",LEFT(TH!O4736,2)="15"),LEFT(TH!O4736,3)&lt;&gt;"111",'152-CT'!$J$8=TH!F4736),"x","")</f>
        <v/>
      </c>
      <c r="AC4736" s="79" t="str">
        <f>IF(AND(OR(LEFT(TH!N4736,2)="15",LEFT(TH!O4736,2)="15"),TK!$E$7=TH!F4736),"x","")</f>
        <v/>
      </c>
      <c r="AD4736" s="79" t="str">
        <f>IF(AND(N4736="1521",MONTH(C4736)='BK-NL'!$M$11),"x","")</f>
        <v/>
      </c>
    </row>
    <row r="4737" spans="1:30" ht="16.5" customHeight="1">
      <c r="A4737" s="318" t="str">
        <f>IF(B4737&lt;&gt;"",IF(AND(B4737='[3]IN-TC'!$S$4,OR([3]TH!N3968="1111",[3]TH!O3968="1111")),[3]TH!D3968,""),"")</f>
        <v/>
      </c>
      <c r="B4737" s="60" t="str">
        <f t="shared" si="477"/>
        <v/>
      </c>
      <c r="C4737" s="61"/>
      <c r="D4737" s="61"/>
      <c r="E4737" s="61"/>
      <c r="F4737" s="69"/>
      <c r="G4737" s="64"/>
      <c r="H4737" s="69"/>
      <c r="I4737" s="385"/>
      <c r="J4737" s="392"/>
      <c r="K4737" s="392"/>
      <c r="L4737" s="392"/>
      <c r="M4737" s="392"/>
      <c r="N4737" s="63"/>
      <c r="O4737" s="63"/>
      <c r="P4737" s="79" t="str">
        <f>IF(AND('331-CT'!$E$7=TH!H4737,OR(N4737="331",O4737="331")),"x","")</f>
        <v/>
      </c>
      <c r="Q4737" s="79" t="str">
        <f>IF(AND(B4737='111'!$L$11,OR($N4737=$Q$7,$O4737=$Q$7)),"x","")</f>
        <v/>
      </c>
      <c r="R4737" s="79" t="str">
        <f>IF(AND($N4737=$Q$7,$B4737&lt;'111'!$L$11),"x","")</f>
        <v/>
      </c>
      <c r="S4737" s="79" t="str">
        <f>IF(AND($O4737=$Q$7,$B4737&lt;'111'!$L$11),"x","")</f>
        <v/>
      </c>
      <c r="T4737" s="79" t="str">
        <f>IF(ISERROR(FIND('112'!$M$9,G4737,1)),"",IF((AND(FIND('112'!$M$9,G4737,1)&gt;=1,B4737='112'!$K$9,OR($N4737='112'!$I$6,$O4737='112'!$I$6))),"x",""))</f>
        <v/>
      </c>
      <c r="U4737" s="79" t="str">
        <f>IF(ISERROR(FIND('112'!$M$9,G4737,1)),"",IF((AND(LEFT(G4737,2)=LEFT('112'!$M$9,2),B4737&lt;'112'!$K$9,$N4737='112'!$I$6)),"x",""))</f>
        <v/>
      </c>
      <c r="V4737" s="79" t="str">
        <f>IF(ISERROR(FIND('112'!$M$9,G4737,1)),"",IF((AND(RIGHT(G4737,2)=RIGHT('112'!$M$9,2),B4737&lt;'112'!$K$9,$O4737='112'!$I$6)),"x",""))</f>
        <v/>
      </c>
      <c r="W4737" s="79" t="str">
        <f>IF(AND('341-CT'!$H$9=H4737,OR(LEFT(N4737,3)=$W$7,LEFT(O4737,3)=$W$7)),"x","")</f>
        <v/>
      </c>
      <c r="X4737" s="79" t="str">
        <f>IF(OR(TH!N4737=TH!$X$7,O4737=TH!$X$7),"x","")</f>
        <v/>
      </c>
      <c r="Y4737" s="79" t="str">
        <f>IF(AND(OR(N4737="131",O4737="131"),H4737='131-CT'!$H$9),"x","")</f>
        <v/>
      </c>
      <c r="Z4737" s="79"/>
      <c r="AA4737" s="79" t="str">
        <f>IF(AND(MONTH(E4737)='IN-NX'!$J$5,'IN-NX'!$D$7=D4737),"x","")</f>
        <v/>
      </c>
      <c r="AB4737" s="79" t="str">
        <f>IF(AND(OR(LEFT(TH!N4737,2)="15",LEFT(TH!O4737,2)="15"),LEFT(TH!O4737,3)&lt;&gt;"111",'152-CT'!$J$8=TH!F4737),"x","")</f>
        <v/>
      </c>
      <c r="AC4737" s="79" t="str">
        <f>IF(AND(OR(LEFT(TH!N4737,2)="15",LEFT(TH!O4737,2)="15"),TK!$E$7=TH!F4737),"x","")</f>
        <v/>
      </c>
      <c r="AD4737" s="79" t="str">
        <f>IF(AND(N4737="1521",MONTH(C4737)='BK-NL'!$M$11),"x","")</f>
        <v/>
      </c>
    </row>
    <row r="4738" spans="1:30" ht="16.5" customHeight="1">
      <c r="A4738" s="318" t="str">
        <f>IF(B4738&lt;&gt;"",IF(AND(B4738='[3]IN-TC'!$S$4,OR([3]TH!N3969="1111",[3]TH!O3969="1111")),[3]TH!D3969,""),"")</f>
        <v/>
      </c>
      <c r="B4738" s="60" t="str">
        <f t="shared" si="477"/>
        <v/>
      </c>
      <c r="C4738" s="61"/>
      <c r="D4738" s="61"/>
      <c r="E4738" s="61"/>
      <c r="F4738" s="69"/>
      <c r="G4738" s="64"/>
      <c r="H4738" s="69"/>
      <c r="I4738" s="385"/>
      <c r="J4738" s="392"/>
      <c r="K4738" s="392"/>
      <c r="L4738" s="392"/>
      <c r="M4738" s="392"/>
      <c r="N4738" s="63"/>
      <c r="O4738" s="63"/>
      <c r="P4738" s="79" t="str">
        <f>IF(AND('331-CT'!$E$7=TH!H4738,OR(N4738="331",O4738="331")),"x","")</f>
        <v/>
      </c>
      <c r="Q4738" s="79" t="str">
        <f>IF(AND(B4738='111'!$L$11,OR($N4738=$Q$7,$O4738=$Q$7)),"x","")</f>
        <v/>
      </c>
      <c r="R4738" s="79" t="str">
        <f>IF(AND($N4738=$Q$7,$B4738&lt;'111'!$L$11),"x","")</f>
        <v/>
      </c>
      <c r="S4738" s="79" t="str">
        <f>IF(AND($O4738=$Q$7,$B4738&lt;'111'!$L$11),"x","")</f>
        <v/>
      </c>
      <c r="T4738" s="79" t="str">
        <f>IF(ISERROR(FIND('112'!$M$9,G4738,1)),"",IF((AND(FIND('112'!$M$9,G4738,1)&gt;=1,B4738='112'!$K$9,OR($N4738='112'!$I$6,$O4738='112'!$I$6))),"x",""))</f>
        <v/>
      </c>
      <c r="U4738" s="79" t="str">
        <f>IF(ISERROR(FIND('112'!$M$9,G4738,1)),"",IF((AND(LEFT(G4738,2)=LEFT('112'!$M$9,2),B4738&lt;'112'!$K$9,$N4738='112'!$I$6)),"x",""))</f>
        <v/>
      </c>
      <c r="V4738" s="79" t="str">
        <f>IF(ISERROR(FIND('112'!$M$9,G4738,1)),"",IF((AND(RIGHT(G4738,2)=RIGHT('112'!$M$9,2),B4738&lt;'112'!$K$9,$O4738='112'!$I$6)),"x",""))</f>
        <v/>
      </c>
      <c r="W4738" s="79" t="str">
        <f>IF(AND('341-CT'!$H$9=H4738,OR(LEFT(N4738,3)=$W$7,LEFT(O4738,3)=$W$7)),"x","")</f>
        <v/>
      </c>
      <c r="X4738" s="79" t="str">
        <f>IF(OR(TH!N4738=TH!$X$7,O4738=TH!$X$7),"x","")</f>
        <v/>
      </c>
      <c r="Y4738" s="79" t="str">
        <f>IF(AND(OR(N4738="131",O4738="131"),H4738='131-CT'!$H$9),"x","")</f>
        <v/>
      </c>
      <c r="Z4738" s="79"/>
      <c r="AA4738" s="79" t="str">
        <f>IF(AND(MONTH(E4738)='IN-NX'!$J$5,'IN-NX'!$D$7=D4738),"x","")</f>
        <v/>
      </c>
      <c r="AB4738" s="79" t="str">
        <f>IF(AND(OR(LEFT(TH!N4738,2)="15",LEFT(TH!O4738,2)="15"),LEFT(TH!O4738,3)&lt;&gt;"111",'152-CT'!$J$8=TH!F4738),"x","")</f>
        <v/>
      </c>
      <c r="AC4738" s="79" t="str">
        <f>IF(AND(OR(LEFT(TH!N4738,2)="15",LEFT(TH!O4738,2)="15"),TK!$E$7=TH!F4738),"x","")</f>
        <v/>
      </c>
      <c r="AD4738" s="79" t="str">
        <f>IF(AND(N4738="1521",MONTH(C4738)='BK-NL'!$M$11),"x","")</f>
        <v/>
      </c>
    </row>
    <row r="4739" spans="1:30" ht="16.5" customHeight="1">
      <c r="A4739" s="318" t="str">
        <f>IF(B4739&lt;&gt;"",IF(AND(B4739='[3]IN-TC'!$S$4,OR([3]TH!N3970="1111",[3]TH!O3970="1111")),[3]TH!D3970,""),"")</f>
        <v/>
      </c>
      <c r="B4739" s="60" t="str">
        <f t="shared" si="477"/>
        <v/>
      </c>
      <c r="C4739" s="61"/>
      <c r="D4739" s="61"/>
      <c r="E4739" s="61"/>
      <c r="F4739" s="69"/>
      <c r="G4739" s="64"/>
      <c r="H4739" s="69"/>
      <c r="I4739" s="385"/>
      <c r="J4739" s="392"/>
      <c r="K4739" s="392"/>
      <c r="L4739" s="392"/>
      <c r="M4739" s="392"/>
      <c r="N4739" s="63"/>
      <c r="O4739" s="63"/>
      <c r="P4739" s="79" t="str">
        <f>IF(AND('331-CT'!$E$7=TH!H4739,OR(N4739="331",O4739="331")),"x","")</f>
        <v/>
      </c>
      <c r="Q4739" s="79" t="str">
        <f>IF(AND(B4739='111'!$L$11,OR($N4739=$Q$7,$O4739=$Q$7)),"x","")</f>
        <v/>
      </c>
      <c r="R4739" s="79" t="str">
        <f>IF(AND($N4739=$Q$7,$B4739&lt;'111'!$L$11),"x","")</f>
        <v/>
      </c>
      <c r="S4739" s="79" t="str">
        <f>IF(AND($O4739=$Q$7,$B4739&lt;'111'!$L$11),"x","")</f>
        <v/>
      </c>
      <c r="T4739" s="79" t="str">
        <f>IF(ISERROR(FIND('112'!$M$9,G4739,1)),"",IF((AND(FIND('112'!$M$9,G4739,1)&gt;=1,B4739='112'!$K$9,OR($N4739='112'!$I$6,$O4739='112'!$I$6))),"x",""))</f>
        <v/>
      </c>
      <c r="U4739" s="79" t="str">
        <f>IF(ISERROR(FIND('112'!$M$9,G4739,1)),"",IF((AND(LEFT(G4739,2)=LEFT('112'!$M$9,2),B4739&lt;'112'!$K$9,$N4739='112'!$I$6)),"x",""))</f>
        <v/>
      </c>
      <c r="V4739" s="79" t="str">
        <f>IF(ISERROR(FIND('112'!$M$9,G4739,1)),"",IF((AND(RIGHT(G4739,2)=RIGHT('112'!$M$9,2),B4739&lt;'112'!$K$9,$O4739='112'!$I$6)),"x",""))</f>
        <v/>
      </c>
      <c r="W4739" s="79" t="str">
        <f>IF(AND('341-CT'!$H$9=H4739,OR(LEFT(N4739,3)=$W$7,LEFT(O4739,3)=$W$7)),"x","")</f>
        <v/>
      </c>
      <c r="X4739" s="79" t="str">
        <f>IF(OR(TH!N4739=TH!$X$7,O4739=TH!$X$7),"x","")</f>
        <v/>
      </c>
      <c r="Y4739" s="79" t="str">
        <f>IF(AND(OR(N4739="131",O4739="131"),H4739='131-CT'!$H$9),"x","")</f>
        <v/>
      </c>
      <c r="Z4739" s="79"/>
      <c r="AA4739" s="79" t="str">
        <f>IF(AND(MONTH(E4739)='IN-NX'!$J$5,'IN-NX'!$D$7=D4739),"x","")</f>
        <v/>
      </c>
      <c r="AB4739" s="79" t="str">
        <f>IF(AND(OR(LEFT(TH!N4739,2)="15",LEFT(TH!O4739,2)="15"),LEFT(TH!O4739,3)&lt;&gt;"111",'152-CT'!$J$8=TH!F4739),"x","")</f>
        <v/>
      </c>
      <c r="AC4739" s="79" t="str">
        <f>IF(AND(OR(LEFT(TH!N4739,2)="15",LEFT(TH!O4739,2)="15"),TK!$E$7=TH!F4739),"x","")</f>
        <v/>
      </c>
      <c r="AD4739" s="79" t="str">
        <f>IF(AND(N4739="1521",MONTH(C4739)='BK-NL'!$M$11),"x","")</f>
        <v/>
      </c>
    </row>
    <row r="4740" spans="1:30" ht="16.5" customHeight="1">
      <c r="A4740" s="318" t="str">
        <f>IF(B4740&lt;&gt;"",IF(AND(B4740='[3]IN-TC'!$S$4,OR([3]TH!N3971="1111",[3]TH!O3971="1111")),[3]TH!D3971,""),"")</f>
        <v/>
      </c>
      <c r="B4740" s="60" t="str">
        <f t="shared" si="477"/>
        <v/>
      </c>
      <c r="C4740" s="61"/>
      <c r="D4740" s="61"/>
      <c r="E4740" s="61"/>
      <c r="F4740" s="302"/>
      <c r="G4740" s="64"/>
      <c r="H4740" s="69"/>
      <c r="I4740" s="388"/>
      <c r="J4740" s="395"/>
      <c r="K4740" s="388"/>
      <c r="L4740" s="395"/>
      <c r="M4740" s="62"/>
      <c r="N4740" s="63"/>
      <c r="O4740" s="63"/>
      <c r="P4740" s="79" t="str">
        <f>IF(AND('331-CT'!$E$7=TH!H4740,OR(N4740="331",O4740="331")),"x","")</f>
        <v/>
      </c>
      <c r="Q4740" s="79" t="str">
        <f>IF(AND(B4740='111'!$L$11,OR($N4740=$Q$7,$O4740=$Q$7)),"x","")</f>
        <v/>
      </c>
      <c r="R4740" s="79" t="str">
        <f>IF(AND($N4740=$Q$7,$B4740&lt;'111'!$L$11),"x","")</f>
        <v/>
      </c>
      <c r="S4740" s="79" t="str">
        <f>IF(AND($O4740=$Q$7,$B4740&lt;'111'!$L$11),"x","")</f>
        <v/>
      </c>
      <c r="T4740" s="79" t="str">
        <f>IF(ISERROR(FIND('112'!$M$9,G4740,1)),"",IF((AND(FIND('112'!$M$9,G4740,1)&gt;=1,B4740='112'!$K$9,OR($N4740='112'!$I$6,$O4740='112'!$I$6))),"x",""))</f>
        <v/>
      </c>
      <c r="U4740" s="79" t="str">
        <f>IF(ISERROR(FIND('112'!$M$9,G4740,1)),"",IF((AND(LEFT(G4740,2)=LEFT('112'!$M$9,2),B4740&lt;'112'!$K$9,$N4740='112'!$I$6)),"x",""))</f>
        <v/>
      </c>
      <c r="V4740" s="79" t="str">
        <f>IF(ISERROR(FIND('112'!$M$9,G4740,1)),"",IF((AND(RIGHT(G4740,2)=RIGHT('112'!$M$9,2),B4740&lt;'112'!$K$9,$O4740='112'!$I$6)),"x",""))</f>
        <v/>
      </c>
      <c r="W4740" s="79" t="str">
        <f>IF(AND('341-CT'!$H$9=H4740,OR(LEFT(N4740,3)=$W$7,LEFT(O4740,3)=$W$7)),"x","")</f>
        <v/>
      </c>
      <c r="X4740" s="79" t="str">
        <f>IF(OR(TH!N4740=TH!$X$7,O4740=TH!$X$7),"x","")</f>
        <v/>
      </c>
      <c r="Y4740" s="79" t="str">
        <f>IF(AND(OR(N4740="131",O4740="131"),H4740='131-CT'!$H$9),"x","")</f>
        <v/>
      </c>
      <c r="Z4740" s="79"/>
      <c r="AA4740" s="79" t="str">
        <f>IF(AND(MONTH(E4740)='IN-NX'!$J$5,'IN-NX'!$D$7=D4740),"x","")</f>
        <v/>
      </c>
      <c r="AB4740" s="79" t="str">
        <f>IF(AND(OR(LEFT(TH!N4740,2)="15",LEFT(TH!O4740,2)="15"),LEFT(TH!O4740,3)&lt;&gt;"111",'152-CT'!$J$8=TH!F4740),"x","")</f>
        <v/>
      </c>
      <c r="AC4740" s="79" t="str">
        <f>IF(AND(OR(LEFT(TH!N4740,2)="15",LEFT(TH!O4740,2)="15"),TK!$E$7=TH!F4740),"x","")</f>
        <v/>
      </c>
      <c r="AD4740" s="79" t="str">
        <f>IF(AND(N4740="1521",MONTH(C4740)='BK-NL'!$M$11),"x","")</f>
        <v/>
      </c>
    </row>
    <row r="4741" spans="1:30" ht="16.5" customHeight="1">
      <c r="A4741" s="318" t="str">
        <f>IF(B4741&lt;&gt;"",IF(AND(B4741='[3]IN-TC'!$S$4,OR([3]TH!N3972="1111",[3]TH!O3972="1111")),[3]TH!D3972,""),"")</f>
        <v/>
      </c>
      <c r="B4741" s="60" t="str">
        <f t="shared" si="477"/>
        <v/>
      </c>
      <c r="C4741" s="61"/>
      <c r="D4741" s="61"/>
      <c r="E4741" s="61"/>
      <c r="F4741" s="69"/>
      <c r="G4741" s="64"/>
      <c r="H4741" s="69"/>
      <c r="I4741" s="385"/>
      <c r="J4741" s="392"/>
      <c r="K4741" s="392"/>
      <c r="L4741" s="392"/>
      <c r="M4741" s="392"/>
      <c r="N4741" s="63"/>
      <c r="O4741" s="63"/>
      <c r="P4741" s="79" t="str">
        <f>IF(AND('331-CT'!$E$7=TH!H4741,OR(N4741="331",O4741="331")),"x","")</f>
        <v/>
      </c>
      <c r="Q4741" s="79" t="str">
        <f>IF(AND(B4741='111'!$L$11,OR($N4741=$Q$7,$O4741=$Q$7)),"x","")</f>
        <v/>
      </c>
      <c r="R4741" s="79" t="str">
        <f>IF(AND($N4741=$Q$7,$B4741&lt;'111'!$L$11),"x","")</f>
        <v/>
      </c>
      <c r="S4741" s="79" t="str">
        <f>IF(AND($O4741=$Q$7,$B4741&lt;'111'!$L$11),"x","")</f>
        <v/>
      </c>
      <c r="T4741" s="79" t="str">
        <f>IF(ISERROR(FIND('112'!$M$9,G4741,1)),"",IF((AND(FIND('112'!$M$9,G4741,1)&gt;=1,B4741='112'!$K$9,OR($N4741='112'!$I$6,$O4741='112'!$I$6))),"x",""))</f>
        <v/>
      </c>
      <c r="U4741" s="79" t="str">
        <f>IF(ISERROR(FIND('112'!$M$9,G4741,1)),"",IF((AND(LEFT(G4741,2)=LEFT('112'!$M$9,2),B4741&lt;'112'!$K$9,$N4741='112'!$I$6)),"x",""))</f>
        <v/>
      </c>
      <c r="V4741" s="79" t="str">
        <f>IF(ISERROR(FIND('112'!$M$9,G4741,1)),"",IF((AND(RIGHT(G4741,2)=RIGHT('112'!$M$9,2),B4741&lt;'112'!$K$9,$O4741='112'!$I$6)),"x",""))</f>
        <v/>
      </c>
      <c r="W4741" s="79" t="str">
        <f>IF(AND('341-CT'!$H$9=H4741,OR(LEFT(N4741,3)=$W$7,LEFT(O4741,3)=$W$7)),"x","")</f>
        <v/>
      </c>
      <c r="X4741" s="79" t="str">
        <f>IF(OR(TH!N4741=TH!$X$7,O4741=TH!$X$7),"x","")</f>
        <v/>
      </c>
      <c r="Y4741" s="79" t="str">
        <f>IF(AND(OR(N4741="131",O4741="131"),H4741='131-CT'!$H$9),"x","")</f>
        <v/>
      </c>
      <c r="Z4741" s="79"/>
      <c r="AA4741" s="79" t="str">
        <f>IF(AND(MONTH(E4741)='IN-NX'!$J$5,'IN-NX'!$D$7=D4741),"x","")</f>
        <v/>
      </c>
      <c r="AB4741" s="79" t="str">
        <f>IF(AND(OR(LEFT(TH!N4741,2)="15",LEFT(TH!O4741,2)="15"),LEFT(TH!O4741,3)&lt;&gt;"111",'152-CT'!$J$8=TH!F4741),"x","")</f>
        <v/>
      </c>
      <c r="AC4741" s="79" t="str">
        <f>IF(AND(OR(LEFT(TH!N4741,2)="15",LEFT(TH!O4741,2)="15"),TK!$E$7=TH!F4741),"x","")</f>
        <v/>
      </c>
      <c r="AD4741" s="79" t="str">
        <f>IF(AND(N4741="1521",MONTH(C4741)='BK-NL'!$M$11),"x","")</f>
        <v/>
      </c>
    </row>
    <row r="4742" spans="1:30" ht="16.5" customHeight="1">
      <c r="A4742" s="318" t="str">
        <f>IF(B4742&lt;&gt;"",IF(AND(B4742='[3]IN-TC'!$S$4,OR([3]TH!N3973="1111",[3]TH!O3973="1111")),[3]TH!D3973,""),"")</f>
        <v/>
      </c>
      <c r="B4742" s="60" t="str">
        <f t="shared" si="477"/>
        <v/>
      </c>
      <c r="C4742" s="61"/>
      <c r="D4742" s="61"/>
      <c r="E4742" s="61"/>
      <c r="F4742" s="69"/>
      <c r="G4742" s="64"/>
      <c r="H4742" s="69"/>
      <c r="I4742" s="385"/>
      <c r="J4742" s="392"/>
      <c r="K4742" s="392"/>
      <c r="L4742" s="392"/>
      <c r="M4742" s="392"/>
      <c r="N4742" s="63"/>
      <c r="O4742" s="63"/>
      <c r="P4742" s="79" t="str">
        <f>IF(AND('331-CT'!$E$7=TH!H4742,OR(N4742="331",O4742="331")),"x","")</f>
        <v/>
      </c>
      <c r="Q4742" s="79" t="str">
        <f>IF(AND(B4742='111'!$L$11,OR($N4742=$Q$7,$O4742=$Q$7)),"x","")</f>
        <v/>
      </c>
      <c r="R4742" s="79" t="str">
        <f>IF(AND($N4742=$Q$7,$B4742&lt;'111'!$L$11),"x","")</f>
        <v/>
      </c>
      <c r="S4742" s="79" t="str">
        <f>IF(AND($O4742=$Q$7,$B4742&lt;'111'!$L$11),"x","")</f>
        <v/>
      </c>
      <c r="T4742" s="79" t="str">
        <f>IF(ISERROR(FIND('112'!$M$9,G4742,1)),"",IF((AND(FIND('112'!$M$9,G4742,1)&gt;=1,B4742='112'!$K$9,OR($N4742='112'!$I$6,$O4742='112'!$I$6))),"x",""))</f>
        <v/>
      </c>
      <c r="U4742" s="79" t="str">
        <f>IF(ISERROR(FIND('112'!$M$9,G4742,1)),"",IF((AND(LEFT(G4742,2)=LEFT('112'!$M$9,2),B4742&lt;'112'!$K$9,$N4742='112'!$I$6)),"x",""))</f>
        <v/>
      </c>
      <c r="V4742" s="79" t="str">
        <f>IF(ISERROR(FIND('112'!$M$9,G4742,1)),"",IF((AND(RIGHT(G4742,2)=RIGHT('112'!$M$9,2),B4742&lt;'112'!$K$9,$O4742='112'!$I$6)),"x",""))</f>
        <v/>
      </c>
      <c r="W4742" s="79" t="str">
        <f>IF(AND('341-CT'!$H$9=H4742,OR(LEFT(N4742,3)=$W$7,LEFT(O4742,3)=$W$7)),"x","")</f>
        <v/>
      </c>
      <c r="X4742" s="79" t="str">
        <f>IF(OR(TH!N4742=TH!$X$7,O4742=TH!$X$7),"x","")</f>
        <v/>
      </c>
      <c r="Y4742" s="79" t="str">
        <f>IF(AND(OR(N4742="131",O4742="131"),H4742='131-CT'!$H$9),"x","")</f>
        <v/>
      </c>
      <c r="Z4742" s="79"/>
      <c r="AA4742" s="79" t="str">
        <f>IF(AND(MONTH(E4742)='IN-NX'!$J$5,'IN-NX'!$D$7=D4742),"x","")</f>
        <v/>
      </c>
      <c r="AB4742" s="79" t="str">
        <f>IF(AND(OR(LEFT(TH!N4742,2)="15",LEFT(TH!O4742,2)="15"),LEFT(TH!O4742,3)&lt;&gt;"111",'152-CT'!$J$8=TH!F4742),"x","")</f>
        <v/>
      </c>
      <c r="AC4742" s="79" t="str">
        <f>IF(AND(OR(LEFT(TH!N4742,2)="15",LEFT(TH!O4742,2)="15"),TK!$E$7=TH!F4742),"x","")</f>
        <v/>
      </c>
      <c r="AD4742" s="79" t="str">
        <f>IF(AND(N4742="1521",MONTH(C4742)='BK-NL'!$M$11),"x","")</f>
        <v/>
      </c>
    </row>
    <row r="4743" spans="1:30" ht="16.5" customHeight="1">
      <c r="A4743" s="318" t="str">
        <f>IF(B4743&lt;&gt;"",IF(AND(B4743='[3]IN-TC'!$S$4,OR([3]TH!N3974="1111",[3]TH!O3974="1111")),[3]TH!D3974,""),"")</f>
        <v/>
      </c>
      <c r="B4743" s="60" t="str">
        <f t="shared" si="477"/>
        <v/>
      </c>
      <c r="C4743" s="61"/>
      <c r="D4743" s="61"/>
      <c r="E4743" s="61"/>
      <c r="F4743" s="69"/>
      <c r="G4743" s="64"/>
      <c r="H4743" s="69"/>
      <c r="I4743" s="385"/>
      <c r="J4743" s="392"/>
      <c r="K4743" s="392"/>
      <c r="L4743" s="392"/>
      <c r="M4743" s="392"/>
      <c r="N4743" s="63"/>
      <c r="O4743" s="63"/>
      <c r="P4743" s="79" t="str">
        <f>IF(AND('331-CT'!$E$7=TH!H4743,OR(N4743="331",O4743="331")),"x","")</f>
        <v/>
      </c>
      <c r="Q4743" s="79" t="str">
        <f>IF(AND(B4743='111'!$L$11,OR($N4743=$Q$7,$O4743=$Q$7)),"x","")</f>
        <v/>
      </c>
      <c r="R4743" s="79" t="str">
        <f>IF(AND($N4743=$Q$7,$B4743&lt;'111'!$L$11),"x","")</f>
        <v/>
      </c>
      <c r="S4743" s="79" t="str">
        <f>IF(AND($O4743=$Q$7,$B4743&lt;'111'!$L$11),"x","")</f>
        <v/>
      </c>
      <c r="T4743" s="79" t="str">
        <f>IF(ISERROR(FIND('112'!$M$9,G4743,1)),"",IF((AND(FIND('112'!$M$9,G4743,1)&gt;=1,B4743='112'!$K$9,OR($N4743='112'!$I$6,$O4743='112'!$I$6))),"x",""))</f>
        <v/>
      </c>
      <c r="U4743" s="79" t="str">
        <f>IF(ISERROR(FIND('112'!$M$9,G4743,1)),"",IF((AND(LEFT(G4743,2)=LEFT('112'!$M$9,2),B4743&lt;'112'!$K$9,$N4743='112'!$I$6)),"x",""))</f>
        <v/>
      </c>
      <c r="V4743" s="79" t="str">
        <f>IF(ISERROR(FIND('112'!$M$9,G4743,1)),"",IF((AND(RIGHT(G4743,2)=RIGHT('112'!$M$9,2),B4743&lt;'112'!$K$9,$O4743='112'!$I$6)),"x",""))</f>
        <v/>
      </c>
      <c r="W4743" s="79" t="str">
        <f>IF(AND('341-CT'!$H$9=H4743,OR(LEFT(N4743,3)=$W$7,LEFT(O4743,3)=$W$7)),"x","")</f>
        <v/>
      </c>
      <c r="X4743" s="79" t="str">
        <f>IF(OR(TH!N4743=TH!$X$7,O4743=TH!$X$7),"x","")</f>
        <v/>
      </c>
      <c r="Y4743" s="79" t="str">
        <f>IF(AND(OR(N4743="131",O4743="131"),H4743='131-CT'!$H$9),"x","")</f>
        <v/>
      </c>
      <c r="Z4743" s="79"/>
      <c r="AA4743" s="79" t="str">
        <f>IF(AND(MONTH(E4743)='IN-NX'!$J$5,'IN-NX'!$D$7=D4743),"x","")</f>
        <v/>
      </c>
      <c r="AB4743" s="79" t="str">
        <f>IF(AND(OR(LEFT(TH!N4743,2)="15",LEFT(TH!O4743,2)="15"),LEFT(TH!O4743,3)&lt;&gt;"111",'152-CT'!$J$8=TH!F4743),"x","")</f>
        <v/>
      </c>
      <c r="AC4743" s="79" t="str">
        <f>IF(AND(OR(LEFT(TH!N4743,2)="15",LEFT(TH!O4743,2)="15"),TK!$E$7=TH!F4743),"x","")</f>
        <v/>
      </c>
      <c r="AD4743" s="79" t="str">
        <f>IF(AND(N4743="1521",MONTH(C4743)='BK-NL'!$M$11),"x","")</f>
        <v/>
      </c>
    </row>
    <row r="4744" spans="1:30" ht="16.5" customHeight="1">
      <c r="A4744" s="318" t="str">
        <f>IF(B4744&lt;&gt;"",IF(AND(B4744='[3]IN-TC'!$S$4,OR([3]TH!N3975="1111",[3]TH!O3975="1111")),[3]TH!D3975,""),"")</f>
        <v/>
      </c>
      <c r="B4744" s="60" t="str">
        <f t="shared" si="477"/>
        <v/>
      </c>
      <c r="C4744" s="61"/>
      <c r="D4744" s="61"/>
      <c r="E4744" s="61"/>
      <c r="F4744" s="69"/>
      <c r="G4744" s="64"/>
      <c r="H4744" s="69"/>
      <c r="I4744" s="385"/>
      <c r="J4744" s="392"/>
      <c r="K4744" s="392"/>
      <c r="L4744" s="392"/>
      <c r="M4744" s="392"/>
      <c r="N4744" s="63"/>
      <c r="O4744" s="63"/>
      <c r="P4744" s="79" t="str">
        <f>IF(AND('331-CT'!$E$7=TH!H4744,OR(N4744="331",O4744="331")),"x","")</f>
        <v/>
      </c>
      <c r="Q4744" s="79" t="str">
        <f>IF(AND(B4744='111'!$L$11,OR($N4744=$Q$7,$O4744=$Q$7)),"x","")</f>
        <v/>
      </c>
      <c r="R4744" s="79" t="str">
        <f>IF(AND($N4744=$Q$7,$B4744&lt;'111'!$L$11),"x","")</f>
        <v/>
      </c>
      <c r="S4744" s="79" t="str">
        <f>IF(AND($O4744=$Q$7,$B4744&lt;'111'!$L$11),"x","")</f>
        <v/>
      </c>
      <c r="T4744" s="79" t="str">
        <f>IF(ISERROR(FIND('112'!$M$9,G4744,1)),"",IF((AND(FIND('112'!$M$9,G4744,1)&gt;=1,B4744='112'!$K$9,OR($N4744='112'!$I$6,$O4744='112'!$I$6))),"x",""))</f>
        <v/>
      </c>
      <c r="U4744" s="79" t="str">
        <f>IF(ISERROR(FIND('112'!$M$9,G4744,1)),"",IF((AND(LEFT(G4744,2)=LEFT('112'!$M$9,2),B4744&lt;'112'!$K$9,$N4744='112'!$I$6)),"x",""))</f>
        <v/>
      </c>
      <c r="V4744" s="79" t="str">
        <f>IF(ISERROR(FIND('112'!$M$9,G4744,1)),"",IF((AND(RIGHT(G4744,2)=RIGHT('112'!$M$9,2),B4744&lt;'112'!$K$9,$O4744='112'!$I$6)),"x",""))</f>
        <v/>
      </c>
      <c r="W4744" s="79" t="str">
        <f>IF(AND('341-CT'!$H$9=H4744,OR(LEFT(N4744,3)=$W$7,LEFT(O4744,3)=$W$7)),"x","")</f>
        <v/>
      </c>
      <c r="X4744" s="79" t="str">
        <f>IF(OR(TH!N4744=TH!$X$7,O4744=TH!$X$7),"x","")</f>
        <v/>
      </c>
      <c r="Y4744" s="79" t="str">
        <f>IF(AND(OR(N4744="131",O4744="131"),H4744='131-CT'!$H$9),"x","")</f>
        <v/>
      </c>
      <c r="Z4744" s="79"/>
      <c r="AA4744" s="79" t="str">
        <f>IF(AND(MONTH(E4744)='IN-NX'!$J$5,'IN-NX'!$D$7=D4744),"x","")</f>
        <v/>
      </c>
      <c r="AB4744" s="79" t="str">
        <f>IF(AND(OR(LEFT(TH!N4744,2)="15",LEFT(TH!O4744,2)="15"),LEFT(TH!O4744,3)&lt;&gt;"111",'152-CT'!$J$8=TH!F4744),"x","")</f>
        <v/>
      </c>
      <c r="AC4744" s="79" t="str">
        <f>IF(AND(OR(LEFT(TH!N4744,2)="15",LEFT(TH!O4744,2)="15"),TK!$E$7=TH!F4744),"x","")</f>
        <v/>
      </c>
      <c r="AD4744" s="79" t="str">
        <f>IF(AND(N4744="1521",MONTH(C4744)='BK-NL'!$M$11),"x","")</f>
        <v/>
      </c>
    </row>
    <row r="4745" spans="1:30" ht="16.5" customHeight="1">
      <c r="A4745" s="318" t="str">
        <f>IF(B4745&lt;&gt;"",IF(AND(B4745='[3]IN-TC'!$S$4,OR([3]TH!N3976="1111",[3]TH!O3976="1111")),[3]TH!D3976,""),"")</f>
        <v/>
      </c>
      <c r="B4745" s="60" t="str">
        <f t="shared" si="477"/>
        <v/>
      </c>
      <c r="C4745" s="61"/>
      <c r="D4745" s="61"/>
      <c r="E4745" s="61"/>
      <c r="F4745" s="69"/>
      <c r="G4745" s="64"/>
      <c r="H4745" s="303"/>
      <c r="I4745" s="385"/>
      <c r="J4745" s="392"/>
      <c r="K4745" s="385"/>
      <c r="L4745" s="392"/>
      <c r="M4745" s="62"/>
      <c r="N4745" s="63"/>
      <c r="O4745" s="63"/>
      <c r="P4745" s="79" t="str">
        <f>IF(AND('331-CT'!$E$7=TH!H4745,OR(N4745="331",O4745="331")),"x","")</f>
        <v/>
      </c>
      <c r="Q4745" s="79" t="str">
        <f>IF(AND(B4745='111'!$L$11,OR($N4745=$Q$7,$O4745=$Q$7)),"x","")</f>
        <v/>
      </c>
      <c r="R4745" s="79" t="str">
        <f>IF(AND($N4745=$Q$7,$B4745&lt;'111'!$L$11),"x","")</f>
        <v/>
      </c>
      <c r="S4745" s="79" t="str">
        <f>IF(AND($O4745=$Q$7,$B4745&lt;'111'!$L$11),"x","")</f>
        <v/>
      </c>
      <c r="T4745" s="79" t="str">
        <f>IF(ISERROR(FIND('112'!$M$9,G4745,1)),"",IF((AND(FIND('112'!$M$9,G4745,1)&gt;=1,B4745='112'!$K$9,OR($N4745='112'!$I$6,$O4745='112'!$I$6))),"x",""))</f>
        <v/>
      </c>
      <c r="U4745" s="79" t="str">
        <f>IF(ISERROR(FIND('112'!$M$9,G4745,1)),"",IF((AND(LEFT(G4745,2)=LEFT('112'!$M$9,2),B4745&lt;'112'!$K$9,$N4745='112'!$I$6)),"x",""))</f>
        <v/>
      </c>
      <c r="V4745" s="79" t="str">
        <f>IF(ISERROR(FIND('112'!$M$9,G4745,1)),"",IF((AND(RIGHT(G4745,2)=RIGHT('112'!$M$9,2),B4745&lt;'112'!$K$9,$O4745='112'!$I$6)),"x",""))</f>
        <v/>
      </c>
      <c r="W4745" s="79" t="str">
        <f>IF(AND('341-CT'!$H$9=H4745,OR(LEFT(N4745,3)=$W$7,LEFT(O4745,3)=$W$7)),"x","")</f>
        <v/>
      </c>
      <c r="X4745" s="79" t="str">
        <f>IF(OR(TH!N4745=TH!$X$7,O4745=TH!$X$7),"x","")</f>
        <v/>
      </c>
      <c r="Y4745" s="79" t="str">
        <f>IF(AND(OR(N4745="131",O4745="131"),H4745='131-CT'!$H$9),"x","")</f>
        <v/>
      </c>
      <c r="Z4745" s="79"/>
      <c r="AA4745" s="79" t="str">
        <f>IF(AND(MONTH(E4745)='IN-NX'!$J$5,'IN-NX'!$D$7=D4745),"x","")</f>
        <v/>
      </c>
      <c r="AB4745" s="79" t="str">
        <f>IF(AND(OR(LEFT(TH!N4745,2)="15",LEFT(TH!O4745,2)="15"),LEFT(TH!O4745,3)&lt;&gt;"111",'152-CT'!$J$8=TH!F4745),"x","")</f>
        <v/>
      </c>
      <c r="AC4745" s="79" t="str">
        <f>IF(AND(OR(LEFT(TH!N4745,2)="15",LEFT(TH!O4745,2)="15"),TK!$E$7=TH!F4745),"x","")</f>
        <v/>
      </c>
      <c r="AD4745" s="79" t="str">
        <f>IF(AND(N4745="1521",MONTH(C4745)='BK-NL'!$M$11),"x","")</f>
        <v/>
      </c>
    </row>
    <row r="4746" spans="1:30" ht="16.5" customHeight="1">
      <c r="A4746" s="318" t="str">
        <f>IF(B4746&lt;&gt;"",IF(AND(B4746='[3]IN-TC'!$S$4,OR([3]TH!N3977="1111",[3]TH!O3977="1111")),[3]TH!D3977,""),"")</f>
        <v/>
      </c>
      <c r="B4746" s="60" t="str">
        <f t="shared" si="477"/>
        <v/>
      </c>
      <c r="C4746" s="61"/>
      <c r="D4746" s="61"/>
      <c r="E4746" s="61"/>
      <c r="F4746" s="69"/>
      <c r="G4746" s="64"/>
      <c r="H4746" s="303"/>
      <c r="I4746" s="385"/>
      <c r="J4746" s="392"/>
      <c r="K4746" s="385"/>
      <c r="L4746" s="392"/>
      <c r="M4746" s="62"/>
      <c r="N4746" s="63"/>
      <c r="O4746" s="63"/>
      <c r="P4746" s="79" t="str">
        <f>IF(AND('331-CT'!$E$7=TH!H4746,OR(N4746="331",O4746="331")),"x","")</f>
        <v/>
      </c>
      <c r="Q4746" s="79" t="str">
        <f>IF(AND(B4746='111'!$L$11,OR($N4746=$Q$7,$O4746=$Q$7)),"x","")</f>
        <v/>
      </c>
      <c r="R4746" s="79" t="str">
        <f>IF(AND($N4746=$Q$7,$B4746&lt;'111'!$L$11),"x","")</f>
        <v/>
      </c>
      <c r="S4746" s="79" t="str">
        <f>IF(AND($O4746=$Q$7,$B4746&lt;'111'!$L$11),"x","")</f>
        <v/>
      </c>
      <c r="T4746" s="79" t="str">
        <f>IF(ISERROR(FIND('112'!$M$9,G4746,1)),"",IF((AND(FIND('112'!$M$9,G4746,1)&gt;=1,B4746='112'!$K$9,OR($N4746='112'!$I$6,$O4746='112'!$I$6))),"x",""))</f>
        <v/>
      </c>
      <c r="U4746" s="79" t="str">
        <f>IF(ISERROR(FIND('112'!$M$9,G4746,1)),"",IF((AND(LEFT(G4746,2)=LEFT('112'!$M$9,2),B4746&lt;'112'!$K$9,$N4746='112'!$I$6)),"x",""))</f>
        <v/>
      </c>
      <c r="V4746" s="79" t="str">
        <f>IF(ISERROR(FIND('112'!$M$9,G4746,1)),"",IF((AND(RIGHT(G4746,2)=RIGHT('112'!$M$9,2),B4746&lt;'112'!$K$9,$O4746='112'!$I$6)),"x",""))</f>
        <v/>
      </c>
      <c r="W4746" s="79" t="str">
        <f>IF(AND('341-CT'!$H$9=H4746,OR(LEFT(N4746,3)=$W$7,LEFT(O4746,3)=$W$7)),"x","")</f>
        <v/>
      </c>
      <c r="X4746" s="79" t="str">
        <f>IF(OR(TH!N4746=TH!$X$7,O4746=TH!$X$7),"x","")</f>
        <v/>
      </c>
      <c r="Y4746" s="79" t="str">
        <f>IF(AND(OR(N4746="131",O4746="131"),H4746='131-CT'!$H$9),"x","")</f>
        <v/>
      </c>
      <c r="Z4746" s="79"/>
      <c r="AA4746" s="79" t="str">
        <f>IF(AND(MONTH(E4746)='IN-NX'!$J$5,'IN-NX'!$D$7=D4746),"x","")</f>
        <v/>
      </c>
      <c r="AB4746" s="79" t="str">
        <f>IF(AND(OR(LEFT(TH!N4746,2)="15",LEFT(TH!O4746,2)="15"),LEFT(TH!O4746,3)&lt;&gt;"111",'152-CT'!$J$8=TH!F4746),"x","")</f>
        <v/>
      </c>
      <c r="AC4746" s="79" t="str">
        <f>IF(AND(OR(LEFT(TH!N4746,2)="15",LEFT(TH!O4746,2)="15"),TK!$E$7=TH!F4746),"x","")</f>
        <v/>
      </c>
      <c r="AD4746" s="79" t="str">
        <f>IF(AND(N4746="1521",MONTH(C4746)='BK-NL'!$M$11),"x","")</f>
        <v/>
      </c>
    </row>
    <row r="4747" spans="1:30" ht="16.5" customHeight="1">
      <c r="A4747" s="318" t="str">
        <f>IF(B4747&lt;&gt;"",IF(AND(B4747='[3]IN-TC'!$S$4,OR([3]TH!N3978="1111",[3]TH!O3978="1111")),[3]TH!D3978,""),"")</f>
        <v/>
      </c>
      <c r="B4747" s="60" t="str">
        <f t="shared" si="477"/>
        <v/>
      </c>
      <c r="C4747" s="61"/>
      <c r="D4747" s="61"/>
      <c r="E4747" s="61"/>
      <c r="F4747" s="69"/>
      <c r="G4747" s="64"/>
      <c r="H4747" s="69"/>
      <c r="I4747" s="387"/>
      <c r="J4747" s="394"/>
      <c r="K4747" s="387"/>
      <c r="L4747" s="394"/>
      <c r="M4747" s="62"/>
      <c r="N4747" s="63"/>
      <c r="O4747" s="63"/>
      <c r="P4747" s="79" t="str">
        <f>IF(AND('331-CT'!$E$7=TH!H4747,OR(N4747="331",O4747="331")),"x","")</f>
        <v/>
      </c>
      <c r="Q4747" s="79" t="str">
        <f>IF(AND(B4747='111'!$L$11,OR($N4747=$Q$7,$O4747=$Q$7)),"x","")</f>
        <v/>
      </c>
      <c r="R4747" s="79" t="str">
        <f>IF(AND($N4747=$Q$7,$B4747&lt;'111'!$L$11),"x","")</f>
        <v/>
      </c>
      <c r="S4747" s="79" t="str">
        <f>IF(AND($O4747=$Q$7,$B4747&lt;'111'!$L$11),"x","")</f>
        <v/>
      </c>
      <c r="T4747" s="79" t="str">
        <f>IF(ISERROR(FIND('112'!$M$9,G4747,1)),"",IF((AND(FIND('112'!$M$9,G4747,1)&gt;=1,B4747='112'!$K$9,OR($N4747='112'!$I$6,$O4747='112'!$I$6))),"x",""))</f>
        <v/>
      </c>
      <c r="U4747" s="79" t="str">
        <f>IF(ISERROR(FIND('112'!$M$9,G4747,1)),"",IF((AND(LEFT(G4747,2)=LEFT('112'!$M$9,2),B4747&lt;'112'!$K$9,$N4747='112'!$I$6)),"x",""))</f>
        <v/>
      </c>
      <c r="V4747" s="79" t="str">
        <f>IF(ISERROR(FIND('112'!$M$9,G4747,1)),"",IF((AND(RIGHT(G4747,2)=RIGHT('112'!$M$9,2),B4747&lt;'112'!$K$9,$O4747='112'!$I$6)),"x",""))</f>
        <v/>
      </c>
      <c r="W4747" s="79" t="str">
        <f>IF(AND('341-CT'!$H$9=H4747,OR(LEFT(N4747,3)=$W$7,LEFT(O4747,3)=$W$7)),"x","")</f>
        <v/>
      </c>
      <c r="X4747" s="79" t="str">
        <f>IF(OR(TH!N4747=TH!$X$7,O4747=TH!$X$7),"x","")</f>
        <v/>
      </c>
      <c r="Y4747" s="79" t="str">
        <f>IF(AND(OR(N4747="131",O4747="131"),H4747='131-CT'!$H$9),"x","")</f>
        <v/>
      </c>
      <c r="Z4747" s="79"/>
      <c r="AA4747" s="79" t="str">
        <f>IF(AND(MONTH(E4747)='IN-NX'!$J$5,'IN-NX'!$D$7=D4747),"x","")</f>
        <v/>
      </c>
      <c r="AB4747" s="79" t="str">
        <f>IF(AND(OR(LEFT(TH!N4747,2)="15",LEFT(TH!O4747,2)="15"),LEFT(TH!O4747,3)&lt;&gt;"111",'152-CT'!$J$8=TH!F4747),"x","")</f>
        <v/>
      </c>
      <c r="AC4747" s="79" t="str">
        <f>IF(AND(OR(LEFT(TH!N4747,2)="15",LEFT(TH!O4747,2)="15"),TK!$E$7=TH!F4747),"x","")</f>
        <v/>
      </c>
      <c r="AD4747" s="79" t="str">
        <f>IF(AND(N4747="1521",MONTH(C4747)='BK-NL'!$M$11),"x","")</f>
        <v/>
      </c>
    </row>
    <row r="4748" spans="1:30" ht="16.5" customHeight="1">
      <c r="A4748" s="318" t="str">
        <f>IF(B4748&lt;&gt;"",IF(AND(B4748='[3]IN-TC'!$S$4,OR([3]TH!N3979="1111",[3]TH!O3979="1111")),[3]TH!D3979,""),"")</f>
        <v/>
      </c>
      <c r="B4748" s="60" t="str">
        <f t="shared" si="477"/>
        <v/>
      </c>
      <c r="C4748" s="61"/>
      <c r="D4748" s="61"/>
      <c r="E4748" s="61"/>
      <c r="F4748" s="69"/>
      <c r="G4748" s="64"/>
      <c r="H4748" s="69"/>
      <c r="I4748" s="387"/>
      <c r="J4748" s="394"/>
      <c r="K4748" s="387"/>
      <c r="L4748" s="394"/>
      <c r="M4748" s="62"/>
      <c r="N4748" s="63"/>
      <c r="O4748" s="63"/>
      <c r="P4748" s="79" t="str">
        <f>IF(AND('331-CT'!$E$7=TH!H4748,OR(N4748="331",O4748="331")),"x","")</f>
        <v/>
      </c>
      <c r="Q4748" s="79" t="str">
        <f>IF(AND(B4748='111'!$L$11,OR($N4748=$Q$7,$O4748=$Q$7)),"x","")</f>
        <v/>
      </c>
      <c r="R4748" s="79" t="str">
        <f>IF(AND($N4748=$Q$7,$B4748&lt;'111'!$L$11),"x","")</f>
        <v/>
      </c>
      <c r="S4748" s="79" t="str">
        <f>IF(AND($O4748=$Q$7,$B4748&lt;'111'!$L$11),"x","")</f>
        <v/>
      </c>
      <c r="T4748" s="79" t="str">
        <f>IF(ISERROR(FIND('112'!$M$9,G4748,1)),"",IF((AND(FIND('112'!$M$9,G4748,1)&gt;=1,B4748='112'!$K$9,OR($N4748='112'!$I$6,$O4748='112'!$I$6))),"x",""))</f>
        <v/>
      </c>
      <c r="U4748" s="79" t="str">
        <f>IF(ISERROR(FIND('112'!$M$9,G4748,1)),"",IF((AND(LEFT(G4748,2)=LEFT('112'!$M$9,2),B4748&lt;'112'!$K$9,$N4748='112'!$I$6)),"x",""))</f>
        <v/>
      </c>
      <c r="V4748" s="79" t="str">
        <f>IF(ISERROR(FIND('112'!$M$9,G4748,1)),"",IF((AND(RIGHT(G4748,2)=RIGHT('112'!$M$9,2),B4748&lt;'112'!$K$9,$O4748='112'!$I$6)),"x",""))</f>
        <v/>
      </c>
      <c r="W4748" s="79" t="str">
        <f>IF(AND('341-CT'!$H$9=H4748,OR(LEFT(N4748,3)=$W$7,LEFT(O4748,3)=$W$7)),"x","")</f>
        <v/>
      </c>
      <c r="X4748" s="79" t="str">
        <f>IF(OR(TH!N4748=TH!$X$7,O4748=TH!$X$7),"x","")</f>
        <v/>
      </c>
      <c r="Y4748" s="79" t="str">
        <f>IF(AND(OR(N4748="131",O4748="131"),H4748='131-CT'!$H$9),"x","")</f>
        <v/>
      </c>
      <c r="Z4748" s="79"/>
      <c r="AA4748" s="79" t="str">
        <f>IF(AND(MONTH(E4748)='IN-NX'!$J$5,'IN-NX'!$D$7=D4748),"x","")</f>
        <v/>
      </c>
      <c r="AB4748" s="79" t="str">
        <f>IF(AND(OR(LEFT(TH!N4748,2)="15",LEFT(TH!O4748,2)="15"),LEFT(TH!O4748,3)&lt;&gt;"111",'152-CT'!$J$8=TH!F4748),"x","")</f>
        <v/>
      </c>
      <c r="AC4748" s="79" t="str">
        <f>IF(AND(OR(LEFT(TH!N4748,2)="15",LEFT(TH!O4748,2)="15"),TK!$E$7=TH!F4748),"x","")</f>
        <v/>
      </c>
      <c r="AD4748" s="79" t="str">
        <f>IF(AND(N4748="1521",MONTH(C4748)='BK-NL'!$M$11),"x","")</f>
        <v/>
      </c>
    </row>
    <row r="4749" spans="1:30" ht="16.5" customHeight="1">
      <c r="A4749" s="318" t="str">
        <f>IF(B4749&lt;&gt;"",IF(AND(B4749='[3]IN-TC'!$S$4,OR([3]TH!N3980="1111",[3]TH!O3980="1111")),[3]TH!D3980,""),"")</f>
        <v/>
      </c>
      <c r="B4749" s="60" t="str">
        <f t="shared" si="477"/>
        <v/>
      </c>
      <c r="C4749" s="61"/>
      <c r="D4749" s="61"/>
      <c r="E4749" s="61"/>
      <c r="F4749" s="69"/>
      <c r="G4749" s="64"/>
      <c r="H4749" s="69"/>
      <c r="I4749" s="387"/>
      <c r="J4749" s="394"/>
      <c r="K4749" s="62"/>
      <c r="L4749" s="394"/>
      <c r="M4749" s="62"/>
      <c r="N4749" s="63"/>
      <c r="O4749" s="63"/>
      <c r="P4749" s="79" t="str">
        <f>IF(AND('331-CT'!$E$7=TH!H4749,OR(N4749="331",O4749="331")),"x","")</f>
        <v/>
      </c>
      <c r="Q4749" s="79" t="str">
        <f>IF(AND(B4749='111'!$L$11,OR($N4749=$Q$7,$O4749=$Q$7)),"x","")</f>
        <v/>
      </c>
      <c r="R4749" s="79" t="str">
        <f>IF(AND($N4749=$Q$7,$B4749&lt;'111'!$L$11),"x","")</f>
        <v/>
      </c>
      <c r="S4749" s="79" t="str">
        <f>IF(AND($O4749=$Q$7,$B4749&lt;'111'!$L$11),"x","")</f>
        <v/>
      </c>
      <c r="T4749" s="79" t="str">
        <f>IF(ISERROR(FIND('112'!$M$9,G4749,1)),"",IF((AND(FIND('112'!$M$9,G4749,1)&gt;=1,B4749='112'!$K$9,OR($N4749='112'!$I$6,$O4749='112'!$I$6))),"x",""))</f>
        <v/>
      </c>
      <c r="U4749" s="79" t="str">
        <f>IF(ISERROR(FIND('112'!$M$9,G4749,1)),"",IF((AND(LEFT(G4749,2)=LEFT('112'!$M$9,2),B4749&lt;'112'!$K$9,$N4749='112'!$I$6)),"x",""))</f>
        <v/>
      </c>
      <c r="V4749" s="79" t="str">
        <f>IF(ISERROR(FIND('112'!$M$9,G4749,1)),"",IF((AND(RIGHT(G4749,2)=RIGHT('112'!$M$9,2),B4749&lt;'112'!$K$9,$O4749='112'!$I$6)),"x",""))</f>
        <v/>
      </c>
      <c r="W4749" s="79" t="str">
        <f>IF(AND('341-CT'!$H$9=H4749,OR(LEFT(N4749,3)=$W$7,LEFT(O4749,3)=$W$7)),"x","")</f>
        <v/>
      </c>
      <c r="X4749" s="79" t="str">
        <f>IF(OR(TH!N4749=TH!$X$7,O4749=TH!$X$7),"x","")</f>
        <v/>
      </c>
      <c r="Y4749" s="79" t="str">
        <f>IF(AND(OR(N4749="131",O4749="131"),H4749='131-CT'!$H$9),"x","")</f>
        <v/>
      </c>
      <c r="Z4749" s="79"/>
      <c r="AA4749" s="79" t="str">
        <f>IF(AND(MONTH(E4749)='IN-NX'!$J$5,'IN-NX'!$D$7=D4749),"x","")</f>
        <v/>
      </c>
      <c r="AB4749" s="79" t="str">
        <f>IF(AND(OR(LEFT(TH!N4749,2)="15",LEFT(TH!O4749,2)="15"),LEFT(TH!O4749,3)&lt;&gt;"111",'152-CT'!$J$8=TH!F4749),"x","")</f>
        <v/>
      </c>
      <c r="AC4749" s="79" t="str">
        <f>IF(AND(OR(LEFT(TH!N4749,2)="15",LEFT(TH!O4749,2)="15"),TK!$E$7=TH!F4749),"x","")</f>
        <v/>
      </c>
      <c r="AD4749" s="79" t="str">
        <f>IF(AND(N4749="1521",MONTH(C4749)='BK-NL'!$M$11),"x","")</f>
        <v/>
      </c>
    </row>
    <row r="4750" spans="1:30" ht="16.5" customHeight="1">
      <c r="A4750" s="318" t="str">
        <f>IF(B4750&lt;&gt;"",IF(AND(B4750='[3]IN-TC'!$S$4,OR([3]TH!N3981="1111",[3]TH!O3981="1111")),[3]TH!D3981,""),"")</f>
        <v/>
      </c>
      <c r="B4750" s="60" t="str">
        <f t="shared" si="477"/>
        <v/>
      </c>
      <c r="C4750" s="61"/>
      <c r="D4750" s="61"/>
      <c r="E4750" s="61"/>
      <c r="F4750" s="69"/>
      <c r="G4750" s="64"/>
      <c r="H4750" s="69"/>
      <c r="I4750" s="387"/>
      <c r="J4750" s="394"/>
      <c r="K4750" s="387"/>
      <c r="L4750" s="394"/>
      <c r="M4750" s="62"/>
      <c r="N4750" s="63"/>
      <c r="O4750" s="63"/>
      <c r="P4750" s="79" t="str">
        <f>IF(AND('331-CT'!$E$7=TH!H4750,OR(N4750="331",O4750="331")),"x","")</f>
        <v/>
      </c>
      <c r="Q4750" s="79" t="str">
        <f>IF(AND(B4750='111'!$L$11,OR($N4750=$Q$7,$O4750=$Q$7)),"x","")</f>
        <v/>
      </c>
      <c r="R4750" s="79" t="str">
        <f>IF(AND($N4750=$Q$7,$B4750&lt;'111'!$L$11),"x","")</f>
        <v/>
      </c>
      <c r="S4750" s="79" t="str">
        <f>IF(AND($O4750=$Q$7,$B4750&lt;'111'!$L$11),"x","")</f>
        <v/>
      </c>
      <c r="T4750" s="79" t="str">
        <f>IF(ISERROR(FIND('112'!$M$9,G4750,1)),"",IF((AND(FIND('112'!$M$9,G4750,1)&gt;=1,B4750='112'!$K$9,OR($N4750='112'!$I$6,$O4750='112'!$I$6))),"x",""))</f>
        <v/>
      </c>
      <c r="U4750" s="79" t="str">
        <f>IF(ISERROR(FIND('112'!$M$9,G4750,1)),"",IF((AND(LEFT(G4750,2)=LEFT('112'!$M$9,2),B4750&lt;'112'!$K$9,$N4750='112'!$I$6)),"x",""))</f>
        <v/>
      </c>
      <c r="V4750" s="79" t="str">
        <f>IF(ISERROR(FIND('112'!$M$9,G4750,1)),"",IF((AND(RIGHT(G4750,2)=RIGHT('112'!$M$9,2),B4750&lt;'112'!$K$9,$O4750='112'!$I$6)),"x",""))</f>
        <v/>
      </c>
      <c r="W4750" s="79" t="str">
        <f>IF(AND('341-CT'!$H$9=H4750,OR(LEFT(N4750,3)=$W$7,LEFT(O4750,3)=$W$7)),"x","")</f>
        <v/>
      </c>
      <c r="X4750" s="79" t="str">
        <f>IF(OR(TH!N4750=TH!$X$7,O4750=TH!$X$7),"x","")</f>
        <v/>
      </c>
      <c r="Y4750" s="79" t="str">
        <f>IF(AND(OR(N4750="131",O4750="131"),H4750='131-CT'!$H$9),"x","")</f>
        <v/>
      </c>
      <c r="Z4750" s="79"/>
      <c r="AA4750" s="79" t="str">
        <f>IF(AND(MONTH(E4750)='IN-NX'!$J$5,'IN-NX'!$D$7=D4750),"x","")</f>
        <v/>
      </c>
      <c r="AB4750" s="79" t="str">
        <f>IF(AND(OR(LEFT(TH!N4750,2)="15",LEFT(TH!O4750,2)="15"),LEFT(TH!O4750,3)&lt;&gt;"111",'152-CT'!$J$8=TH!F4750),"x","")</f>
        <v/>
      </c>
      <c r="AC4750" s="79" t="str">
        <f>IF(AND(OR(LEFT(TH!N4750,2)="15",LEFT(TH!O4750,2)="15"),TK!$E$7=TH!F4750),"x","")</f>
        <v/>
      </c>
      <c r="AD4750" s="79" t="str">
        <f>IF(AND(N4750="1521",MONTH(C4750)='BK-NL'!$M$11),"x","")</f>
        <v/>
      </c>
    </row>
    <row r="4751" spans="1:30" s="1101" customFormat="1" ht="16.5" customHeight="1">
      <c r="A4751" s="318" t="str">
        <f>IF(B4751&lt;&gt;"",IF(AND(B4751='[3]IN-TC'!$S$4,OR([3]TH!N3982="1111",[3]TH!O3982="1111")),[3]TH!D3982,""),"")</f>
        <v/>
      </c>
      <c r="B4751" s="60" t="str">
        <f t="shared" si="477"/>
        <v/>
      </c>
      <c r="C4751" s="301"/>
      <c r="D4751" s="301"/>
      <c r="E4751" s="301"/>
      <c r="F4751" s="302"/>
      <c r="G4751" s="988"/>
      <c r="H4751" s="69"/>
      <c r="I4751" s="385"/>
      <c r="J4751" s="969"/>
      <c r="K4751" s="385"/>
      <c r="L4751" s="392"/>
      <c r="M4751" s="970"/>
      <c r="N4751" s="304"/>
      <c r="O4751" s="304"/>
      <c r="P4751" s="79" t="str">
        <f>IF(AND('331-CT'!$E$7=TH!H4751,OR(N4751="331",O4751="331")),"x","")</f>
        <v/>
      </c>
      <c r="Q4751" s="79" t="str">
        <f>IF(AND(B4751='111'!$L$11,OR($N4751=$Q$7,$O4751=$Q$7)),"x","")</f>
        <v/>
      </c>
      <c r="R4751" s="79" t="str">
        <f>IF(AND($N4751=$Q$7,$B4751&lt;'111'!$L$11),"x","")</f>
        <v/>
      </c>
      <c r="S4751" s="79" t="str">
        <f>IF(AND($O4751=$Q$7,$B4751&lt;'111'!$L$11),"x","")</f>
        <v/>
      </c>
      <c r="T4751" s="79" t="str">
        <f>IF(ISERROR(FIND('112'!$M$9,G4751,1)),"",IF((AND(FIND('112'!$M$9,G4751,1)&gt;=1,B4751='112'!$K$9,OR($N4751='112'!$I$6,$O4751='112'!$I$6))),"x",""))</f>
        <v/>
      </c>
      <c r="U4751" s="79" t="str">
        <f>IF(ISERROR(FIND('112'!$M$9,G4751,1)),"",IF((AND(LEFT(G4751,2)=LEFT('112'!$M$9,2),B4751&lt;'112'!$K$9,$N4751='112'!$I$6)),"x",""))</f>
        <v/>
      </c>
      <c r="V4751" s="79" t="str">
        <f>IF(ISERROR(FIND('112'!$M$9,G4751,1)),"",IF((AND(RIGHT(G4751,2)=RIGHT('112'!$M$9,2),B4751&lt;'112'!$K$9,$O4751='112'!$I$6)),"x",""))</f>
        <v/>
      </c>
      <c r="W4751" s="79" t="str">
        <f>IF(AND('341-CT'!$H$9=H4751,OR(LEFT(N4751,3)=$W$7,LEFT(O4751,3)=$W$7)),"x","")</f>
        <v/>
      </c>
      <c r="X4751" s="79" t="str">
        <f>IF(OR(TH!N4751=TH!$X$7,O4751=TH!$X$7),"x","")</f>
        <v/>
      </c>
      <c r="Y4751" s="79" t="str">
        <f>IF(AND(OR(N4751="131",O4751="131"),H4751='131-CT'!$H$9),"x","")</f>
        <v/>
      </c>
      <c r="Z4751" s="79"/>
      <c r="AA4751" s="79" t="str">
        <f>IF(AND(MONTH(E4751)='IN-NX'!$J$5,'IN-NX'!$D$7=D4751),"x","")</f>
        <v/>
      </c>
      <c r="AB4751" s="79" t="str">
        <f>IF(AND(OR(LEFT(TH!N4751,2)="15",LEFT(TH!O4751,2)="15"),LEFT(TH!O4751,3)&lt;&gt;"111",'152-CT'!$J$8=TH!F4751),"x","")</f>
        <v/>
      </c>
      <c r="AC4751" s="79" t="str">
        <f>IF(AND(OR(LEFT(TH!N4751,2)="15",LEFT(TH!O4751,2)="15"),TK!$E$7=TH!F4751),"x","")</f>
        <v/>
      </c>
      <c r="AD4751" s="79" t="str">
        <f>IF(AND(N4751="1521",MONTH(C4751)='BK-NL'!$M$11),"x","")</f>
        <v/>
      </c>
    </row>
    <row r="4752" spans="1:30" s="1101" customFormat="1" ht="16.5" customHeight="1">
      <c r="A4752" s="318" t="str">
        <f>IF(B4752&lt;&gt;"",IF(AND(B4752='[3]IN-TC'!$S$4,OR([3]TH!N3983="1111",[3]TH!O3983="1111")),[3]TH!D3983,""),"")</f>
        <v/>
      </c>
      <c r="B4752" s="60" t="str">
        <f t="shared" si="477"/>
        <v/>
      </c>
      <c r="C4752" s="301"/>
      <c r="D4752" s="301"/>
      <c r="E4752" s="301"/>
      <c r="F4752" s="302"/>
      <c r="G4752" s="988"/>
      <c r="H4752" s="69"/>
      <c r="I4752" s="385"/>
      <c r="J4752" s="969"/>
      <c r="K4752" s="385"/>
      <c r="L4752" s="392"/>
      <c r="M4752" s="970"/>
      <c r="N4752" s="304"/>
      <c r="O4752" s="304"/>
      <c r="P4752" s="79" t="str">
        <f>IF(AND('331-CT'!$E$7=TH!H4752,OR(N4752="331",O4752="331")),"x","")</f>
        <v/>
      </c>
      <c r="Q4752" s="79" t="str">
        <f>IF(AND(B4752='111'!$L$11,OR($N4752=$Q$7,$O4752=$Q$7)),"x","")</f>
        <v/>
      </c>
      <c r="R4752" s="79" t="str">
        <f>IF(AND($N4752=$Q$7,$B4752&lt;'111'!$L$11),"x","")</f>
        <v/>
      </c>
      <c r="S4752" s="79" t="str">
        <f>IF(AND($O4752=$Q$7,$B4752&lt;'111'!$L$11),"x","")</f>
        <v/>
      </c>
      <c r="T4752" s="79" t="str">
        <f>IF(ISERROR(FIND('112'!$M$9,G4752,1)),"",IF((AND(FIND('112'!$M$9,G4752,1)&gt;=1,B4752='112'!$K$9,OR($N4752='112'!$I$6,$O4752='112'!$I$6))),"x",""))</f>
        <v/>
      </c>
      <c r="U4752" s="79" t="str">
        <f>IF(ISERROR(FIND('112'!$M$9,G4752,1)),"",IF((AND(LEFT(G4752,2)=LEFT('112'!$M$9,2),B4752&lt;'112'!$K$9,$N4752='112'!$I$6)),"x",""))</f>
        <v/>
      </c>
      <c r="V4752" s="79" t="str">
        <f>IF(ISERROR(FIND('112'!$M$9,G4752,1)),"",IF((AND(RIGHT(G4752,2)=RIGHT('112'!$M$9,2),B4752&lt;'112'!$K$9,$O4752='112'!$I$6)),"x",""))</f>
        <v/>
      </c>
      <c r="W4752" s="79" t="str">
        <f>IF(AND('341-CT'!$H$9=H4752,OR(LEFT(N4752,3)=$W$7,LEFT(O4752,3)=$W$7)),"x","")</f>
        <v/>
      </c>
      <c r="X4752" s="79" t="str">
        <f>IF(OR(TH!N4752=TH!$X$7,O4752=TH!$X$7),"x","")</f>
        <v/>
      </c>
      <c r="Y4752" s="79" t="str">
        <f>IF(AND(OR(N4752="131",O4752="131"),H4752='131-CT'!$H$9),"x","")</f>
        <v/>
      </c>
      <c r="Z4752" s="79"/>
      <c r="AA4752" s="79" t="str">
        <f>IF(AND(MONTH(E4752)='IN-NX'!$J$5,'IN-NX'!$D$7=D4752),"x","")</f>
        <v/>
      </c>
      <c r="AB4752" s="79" t="str">
        <f>IF(AND(OR(LEFT(TH!N4752,2)="15",LEFT(TH!O4752,2)="15"),LEFT(TH!O4752,3)&lt;&gt;"111",'152-CT'!$J$8=TH!F4752),"x","")</f>
        <v/>
      </c>
      <c r="AC4752" s="79" t="str">
        <f>IF(AND(OR(LEFT(TH!N4752,2)="15",LEFT(TH!O4752,2)="15"),TK!$E$7=TH!F4752),"x","")</f>
        <v/>
      </c>
      <c r="AD4752" s="79" t="str">
        <f>IF(AND(N4752="1521",MONTH(C4752)='BK-NL'!$M$11),"x","")</f>
        <v/>
      </c>
    </row>
    <row r="4753" spans="1:30" ht="16.5" customHeight="1">
      <c r="A4753" s="318" t="str">
        <f>IF(B4753&lt;&gt;"",IF(AND(B4753='[3]IN-TC'!$S$4,OR([3]TH!N3984="1111",[3]TH!O3984="1111")),[3]TH!D3984,""),"")</f>
        <v/>
      </c>
      <c r="B4753" s="60" t="str">
        <f t="shared" si="477"/>
        <v/>
      </c>
      <c r="C4753" s="61"/>
      <c r="D4753" s="61"/>
      <c r="E4753" s="61"/>
      <c r="F4753" s="69"/>
      <c r="G4753" s="64"/>
      <c r="H4753" s="303"/>
      <c r="I4753" s="385"/>
      <c r="J4753" s="392"/>
      <c r="K4753" s="385"/>
      <c r="L4753" s="392"/>
      <c r="M4753" s="62"/>
      <c r="N4753" s="63"/>
      <c r="O4753" s="63"/>
      <c r="P4753" s="79" t="str">
        <f>IF(AND('331-CT'!$E$7=TH!H4753,OR(N4753="331",O4753="331")),"x","")</f>
        <v/>
      </c>
      <c r="Q4753" s="79" t="str">
        <f>IF(AND(B4753='111'!$L$11,OR($N4753=$Q$7,$O4753=$Q$7)),"x","")</f>
        <v/>
      </c>
      <c r="R4753" s="79" t="str">
        <f>IF(AND($N4753=$Q$7,$B4753&lt;'111'!$L$11),"x","")</f>
        <v/>
      </c>
      <c r="S4753" s="79" t="str">
        <f>IF(AND($O4753=$Q$7,$B4753&lt;'111'!$L$11),"x","")</f>
        <v/>
      </c>
      <c r="T4753" s="79" t="str">
        <f>IF(ISERROR(FIND('112'!$M$9,G4753,1)),"",IF((AND(FIND('112'!$M$9,G4753,1)&gt;=1,B4753='112'!$K$9,OR($N4753='112'!$I$6,$O4753='112'!$I$6))),"x",""))</f>
        <v/>
      </c>
      <c r="U4753" s="79" t="str">
        <f>IF(ISERROR(FIND('112'!$M$9,G4753,1)),"",IF((AND(LEFT(G4753,2)=LEFT('112'!$M$9,2),B4753&lt;'112'!$K$9,$N4753='112'!$I$6)),"x",""))</f>
        <v/>
      </c>
      <c r="V4753" s="79" t="str">
        <f>IF(ISERROR(FIND('112'!$M$9,G4753,1)),"",IF((AND(RIGHT(G4753,2)=RIGHT('112'!$M$9,2),B4753&lt;'112'!$K$9,$O4753='112'!$I$6)),"x",""))</f>
        <v/>
      </c>
      <c r="W4753" s="79" t="str">
        <f>IF(AND('341-CT'!$H$9=H4753,OR(LEFT(N4753,3)=$W$7,LEFT(O4753,3)=$W$7)),"x","")</f>
        <v/>
      </c>
      <c r="X4753" s="79" t="str">
        <f>IF(OR(TH!N4753=TH!$X$7,O4753=TH!$X$7),"x","")</f>
        <v/>
      </c>
      <c r="Y4753" s="79" t="str">
        <f>IF(AND(OR(N4753="131",O4753="131"),H4753='131-CT'!$H$9),"x","")</f>
        <v/>
      </c>
      <c r="Z4753" s="79"/>
      <c r="AA4753" s="79" t="str">
        <f>IF(AND(MONTH(E4753)='IN-NX'!$J$5,'IN-NX'!$D$7=D4753),"x","")</f>
        <v/>
      </c>
      <c r="AB4753" s="79" t="str">
        <f>IF(AND(OR(LEFT(TH!N4753,2)="15",LEFT(TH!O4753,2)="15"),LEFT(TH!O4753,3)&lt;&gt;"111",'152-CT'!$J$8=TH!F4753),"x","")</f>
        <v/>
      </c>
      <c r="AC4753" s="79" t="str">
        <f>IF(AND(OR(LEFT(TH!N4753,2)="15",LEFT(TH!O4753,2)="15"),TK!$E$7=TH!F4753),"x","")</f>
        <v/>
      </c>
      <c r="AD4753" s="79" t="str">
        <f>IF(AND(N4753="1521",MONTH(C4753)='BK-NL'!$M$11),"x","")</f>
        <v/>
      </c>
    </row>
    <row r="4754" spans="1:30" ht="16.5" customHeight="1">
      <c r="A4754" s="318" t="str">
        <f>IF(B4754&lt;&gt;"",IF(AND(B4754='[3]IN-TC'!$S$4,OR([3]TH!N3985="1111",[3]TH!O3985="1111")),[3]TH!D3985,""),"")</f>
        <v/>
      </c>
      <c r="B4754" s="60" t="str">
        <f t="shared" si="477"/>
        <v/>
      </c>
      <c r="C4754" s="61"/>
      <c r="D4754" s="61"/>
      <c r="E4754" s="61"/>
      <c r="F4754" s="947"/>
      <c r="G4754" s="64"/>
      <c r="H4754" s="69"/>
      <c r="I4754" s="385"/>
      <c r="J4754" s="392"/>
      <c r="K4754" s="385"/>
      <c r="L4754" s="392"/>
      <c r="M4754" s="62"/>
      <c r="N4754" s="63"/>
      <c r="O4754" s="63"/>
      <c r="P4754" s="79" t="str">
        <f>IF(AND('331-CT'!$E$7=TH!H4754,OR(N4754="331",O4754="331")),"x","")</f>
        <v/>
      </c>
      <c r="Q4754" s="79" t="str">
        <f>IF(AND(B4754='111'!$L$11,OR($N4754=$Q$7,$O4754=$Q$7)),"x","")</f>
        <v/>
      </c>
      <c r="R4754" s="79" t="str">
        <f>IF(AND($N4754=$Q$7,$B4754&lt;'111'!$L$11),"x","")</f>
        <v/>
      </c>
      <c r="S4754" s="79" t="str">
        <f>IF(AND($O4754=$Q$7,$B4754&lt;'111'!$L$11),"x","")</f>
        <v/>
      </c>
      <c r="T4754" s="79" t="str">
        <f>IF(ISERROR(FIND('112'!$M$9,G4754,1)),"",IF((AND(FIND('112'!$M$9,G4754,1)&gt;=1,B4754='112'!$K$9,OR($N4754='112'!$I$6,$O4754='112'!$I$6))),"x",""))</f>
        <v/>
      </c>
      <c r="U4754" s="79" t="str">
        <f>IF(ISERROR(FIND('112'!$M$9,G4754,1)),"",IF((AND(LEFT(G4754,2)=LEFT('112'!$M$9,2),B4754&lt;'112'!$K$9,$N4754='112'!$I$6)),"x",""))</f>
        <v/>
      </c>
      <c r="V4754" s="79" t="str">
        <f>IF(ISERROR(FIND('112'!$M$9,G4754,1)),"",IF((AND(RIGHT(G4754,2)=RIGHT('112'!$M$9,2),B4754&lt;'112'!$K$9,$O4754='112'!$I$6)),"x",""))</f>
        <v/>
      </c>
      <c r="W4754" s="79" t="str">
        <f>IF(AND('341-CT'!$H$9=H4754,OR(LEFT(N4754,3)=$W$7,LEFT(O4754,3)=$W$7)),"x","")</f>
        <v/>
      </c>
      <c r="X4754" s="79" t="str">
        <f>IF(OR(TH!N4754=TH!$X$7,O4754=TH!$X$7),"x","")</f>
        <v/>
      </c>
      <c r="Y4754" s="79" t="str">
        <f>IF(AND(OR(N4754="131",O4754="131"),H4754='131-CT'!$H$9),"x","")</f>
        <v/>
      </c>
      <c r="Z4754" s="79"/>
      <c r="AA4754" s="79" t="str">
        <f>IF(AND(MONTH(E4754)='IN-NX'!$J$5,'IN-NX'!$D$7=D4754),"x","")</f>
        <v/>
      </c>
      <c r="AB4754" s="79" t="str">
        <f>IF(AND(OR(LEFT(TH!N4754,2)="15",LEFT(TH!O4754,2)="15"),LEFT(TH!O4754,3)&lt;&gt;"111",'152-CT'!$J$8=TH!F4754),"x","")</f>
        <v/>
      </c>
      <c r="AC4754" s="79" t="str">
        <f>IF(AND(OR(LEFT(TH!N4754,2)="15",LEFT(TH!O4754,2)="15"),TK!$E$7=TH!F4754),"x","")</f>
        <v/>
      </c>
      <c r="AD4754" s="79" t="str">
        <f>IF(AND(N4754="1521",MONTH(C4754)='BK-NL'!$M$11),"x","")</f>
        <v/>
      </c>
    </row>
    <row r="4755" spans="1:30" ht="16.5" customHeight="1">
      <c r="A4755" s="318" t="str">
        <f>IF(B4755&lt;&gt;"",IF(AND(B4755='[3]IN-TC'!$S$4,OR([3]TH!N3986="1111",[3]TH!O3986="1111")),[3]TH!D3986,""),"")</f>
        <v/>
      </c>
      <c r="B4755" s="60" t="str">
        <f t="shared" si="477"/>
        <v/>
      </c>
      <c r="C4755" s="61"/>
      <c r="D4755" s="61"/>
      <c r="E4755" s="61"/>
      <c r="F4755" s="302"/>
      <c r="G4755" s="64"/>
      <c r="H4755" s="69"/>
      <c r="I4755" s="388"/>
      <c r="J4755" s="395"/>
      <c r="K4755" s="388"/>
      <c r="L4755" s="395"/>
      <c r="M4755" s="62"/>
      <c r="N4755" s="63"/>
      <c r="O4755" s="63"/>
      <c r="P4755" s="79" t="str">
        <f>IF(AND('331-CT'!$E$7=TH!H4755,OR(N4755="331",O4755="331")),"x","")</f>
        <v/>
      </c>
      <c r="Q4755" s="79" t="str">
        <f>IF(AND(B4755='111'!$L$11,OR($N4755=$Q$7,$O4755=$Q$7)),"x","")</f>
        <v/>
      </c>
      <c r="R4755" s="79" t="str">
        <f>IF(AND($N4755=$Q$7,$B4755&lt;'111'!$L$11),"x","")</f>
        <v/>
      </c>
      <c r="S4755" s="79" t="str">
        <f>IF(AND($O4755=$Q$7,$B4755&lt;'111'!$L$11),"x","")</f>
        <v/>
      </c>
      <c r="T4755" s="79" t="str">
        <f>IF(ISERROR(FIND('112'!$M$9,G4755,1)),"",IF((AND(FIND('112'!$M$9,G4755,1)&gt;=1,B4755='112'!$K$9,OR($N4755='112'!$I$6,$O4755='112'!$I$6))),"x",""))</f>
        <v/>
      </c>
      <c r="U4755" s="79" t="str">
        <f>IF(ISERROR(FIND('112'!$M$9,G4755,1)),"",IF((AND(LEFT(G4755,2)=LEFT('112'!$M$9,2),B4755&lt;'112'!$K$9,$N4755='112'!$I$6)),"x",""))</f>
        <v/>
      </c>
      <c r="V4755" s="79" t="str">
        <f>IF(ISERROR(FIND('112'!$M$9,G4755,1)),"",IF((AND(RIGHT(G4755,2)=RIGHT('112'!$M$9,2),B4755&lt;'112'!$K$9,$O4755='112'!$I$6)),"x",""))</f>
        <v/>
      </c>
      <c r="W4755" s="79" t="str">
        <f>IF(AND('341-CT'!$H$9=H4755,OR(LEFT(N4755,3)=$W$7,LEFT(O4755,3)=$W$7)),"x","")</f>
        <v/>
      </c>
      <c r="X4755" s="79" t="str">
        <f>IF(OR(TH!N4755=TH!$X$7,O4755=TH!$X$7),"x","")</f>
        <v/>
      </c>
      <c r="Y4755" s="79" t="str">
        <f>IF(AND(OR(N4755="131",O4755="131"),H4755='131-CT'!$H$9),"x","")</f>
        <v/>
      </c>
      <c r="Z4755" s="79"/>
      <c r="AA4755" s="79" t="str">
        <f>IF(AND(MONTH(E4755)='IN-NX'!$J$5,'IN-NX'!$D$7=D4755),"x","")</f>
        <v/>
      </c>
      <c r="AB4755" s="79" t="str">
        <f>IF(AND(OR(LEFT(TH!N4755,2)="15",LEFT(TH!O4755,2)="15"),LEFT(TH!O4755,3)&lt;&gt;"111",'152-CT'!$J$8=TH!F4755),"x","")</f>
        <v/>
      </c>
      <c r="AC4755" s="79" t="str">
        <f>IF(AND(OR(LEFT(TH!N4755,2)="15",LEFT(TH!O4755,2)="15"),TK!$E$7=TH!F4755),"x","")</f>
        <v/>
      </c>
      <c r="AD4755" s="79" t="str">
        <f>IF(AND(N4755="1521",MONTH(C4755)='BK-NL'!$M$11),"x","")</f>
        <v/>
      </c>
    </row>
    <row r="4756" spans="1:30" ht="16.5" customHeight="1">
      <c r="A4756" s="318" t="str">
        <f>IF(B4756&lt;&gt;"",IF(AND(B4756='[3]IN-TC'!$S$4,OR([3]TH!N3987="1111",[3]TH!O3987="1111")),[3]TH!D3987,""),"")</f>
        <v/>
      </c>
      <c r="B4756" s="60" t="str">
        <f t="shared" si="477"/>
        <v/>
      </c>
      <c r="C4756" s="61"/>
      <c r="D4756" s="61"/>
      <c r="E4756" s="61"/>
      <c r="F4756" s="64"/>
      <c r="G4756" s="64"/>
      <c r="H4756" s="69"/>
      <c r="I4756" s="385"/>
      <c r="J4756" s="395"/>
      <c r="K4756" s="385"/>
      <c r="L4756" s="392"/>
      <c r="M4756" s="62"/>
      <c r="N4756" s="63"/>
      <c r="O4756" s="63"/>
      <c r="P4756" s="79" t="str">
        <f>IF(AND('331-CT'!$E$7=TH!H4756,OR(N4756="331",O4756="331")),"x","")</f>
        <v/>
      </c>
      <c r="Q4756" s="79" t="str">
        <f>IF(AND(B4756='111'!$L$11,OR($N4756=$Q$7,$O4756=$Q$7)),"x","")</f>
        <v/>
      </c>
      <c r="R4756" s="79" t="str">
        <f>IF(AND($N4756=$Q$7,$B4756&lt;'111'!$L$11),"x","")</f>
        <v/>
      </c>
      <c r="S4756" s="79" t="str">
        <f>IF(AND($O4756=$Q$7,$B4756&lt;'111'!$L$11),"x","")</f>
        <v/>
      </c>
      <c r="T4756" s="79" t="str">
        <f>IF(ISERROR(FIND('112'!$M$9,G4756,1)),"",IF((AND(FIND('112'!$M$9,G4756,1)&gt;=1,B4756='112'!$K$9,OR($N4756='112'!$I$6,$O4756='112'!$I$6))),"x",""))</f>
        <v/>
      </c>
      <c r="U4756" s="79" t="str">
        <f>IF(ISERROR(FIND('112'!$M$9,G4756,1)),"",IF((AND(LEFT(G4756,2)=LEFT('112'!$M$9,2),B4756&lt;'112'!$K$9,$N4756='112'!$I$6)),"x",""))</f>
        <v/>
      </c>
      <c r="V4756" s="79" t="str">
        <f>IF(ISERROR(FIND('112'!$M$9,G4756,1)),"",IF((AND(RIGHT(G4756,2)=RIGHT('112'!$M$9,2),B4756&lt;'112'!$K$9,$O4756='112'!$I$6)),"x",""))</f>
        <v/>
      </c>
      <c r="W4756" s="79" t="str">
        <f>IF(AND('341-CT'!$H$9=H4756,OR(LEFT(N4756,3)=$W$7,LEFT(O4756,3)=$W$7)),"x","")</f>
        <v/>
      </c>
      <c r="X4756" s="79" t="str">
        <f>IF(OR(TH!N4756=TH!$X$7,O4756=TH!$X$7),"x","")</f>
        <v/>
      </c>
      <c r="Y4756" s="79" t="str">
        <f>IF(AND(OR(N4756="131",O4756="131"),H4756='131-CT'!$H$9),"x","")</f>
        <v/>
      </c>
      <c r="Z4756" s="79"/>
      <c r="AA4756" s="79" t="str">
        <f>IF(AND(MONTH(E4756)='IN-NX'!$J$5,'IN-NX'!$D$7=D4756),"x","")</f>
        <v/>
      </c>
      <c r="AB4756" s="79" t="str">
        <f>IF(AND(OR(LEFT(TH!N4756,2)="15",LEFT(TH!O4756,2)="15"),LEFT(TH!O4756,3)&lt;&gt;"111",'152-CT'!$J$8=TH!F4756),"x","")</f>
        <v/>
      </c>
      <c r="AC4756" s="79" t="str">
        <f>IF(AND(OR(LEFT(TH!N4756,2)="15",LEFT(TH!O4756,2)="15"),TK!$E$7=TH!F4756),"x","")</f>
        <v/>
      </c>
      <c r="AD4756" s="79" t="str">
        <f>IF(AND(N4756="1521",MONTH(C4756)='BK-NL'!$M$11),"x","")</f>
        <v/>
      </c>
    </row>
    <row r="4757" spans="1:30" ht="16.5" customHeight="1">
      <c r="A4757" s="318" t="str">
        <f>IF(B4757&lt;&gt;"",IF(AND(B4757='[3]IN-TC'!$S$4,OR([3]TH!N3988="1111",[3]TH!O3988="1111")),[3]TH!D3988,""),"")</f>
        <v/>
      </c>
      <c r="B4757" s="60" t="str">
        <f t="shared" si="477"/>
        <v/>
      </c>
      <c r="C4757" s="61"/>
      <c r="D4757" s="61"/>
      <c r="E4757" s="61"/>
      <c r="F4757" s="64"/>
      <c r="G4757" s="64"/>
      <c r="H4757" s="69"/>
      <c r="I4757" s="385"/>
      <c r="J4757" s="395"/>
      <c r="K4757" s="385"/>
      <c r="L4757" s="392"/>
      <c r="M4757" s="62"/>
      <c r="N4757" s="63"/>
      <c r="O4757" s="63"/>
      <c r="P4757" s="79" t="str">
        <f>IF(AND('331-CT'!$E$7=TH!H4757,OR(N4757="331",O4757="331")),"x","")</f>
        <v/>
      </c>
      <c r="Q4757" s="79" t="str">
        <f>IF(AND(B4757='111'!$L$11,OR($N4757=$Q$7,$O4757=$Q$7)),"x","")</f>
        <v/>
      </c>
      <c r="R4757" s="79" t="str">
        <f>IF(AND($N4757=$Q$7,$B4757&lt;'111'!$L$11),"x","")</f>
        <v/>
      </c>
      <c r="S4757" s="79" t="str">
        <f>IF(AND($O4757=$Q$7,$B4757&lt;'111'!$L$11),"x","")</f>
        <v/>
      </c>
      <c r="T4757" s="79" t="str">
        <f>IF(ISERROR(FIND('112'!$M$9,G4757,1)),"",IF((AND(FIND('112'!$M$9,G4757,1)&gt;=1,B4757='112'!$K$9,OR($N4757='112'!$I$6,$O4757='112'!$I$6))),"x",""))</f>
        <v/>
      </c>
      <c r="U4757" s="79" t="str">
        <f>IF(ISERROR(FIND('112'!$M$9,G4757,1)),"",IF((AND(LEFT(G4757,2)=LEFT('112'!$M$9,2),B4757&lt;'112'!$K$9,$N4757='112'!$I$6)),"x",""))</f>
        <v/>
      </c>
      <c r="V4757" s="79" t="str">
        <f>IF(ISERROR(FIND('112'!$M$9,G4757,1)),"",IF((AND(RIGHT(G4757,2)=RIGHT('112'!$M$9,2),B4757&lt;'112'!$K$9,$O4757='112'!$I$6)),"x",""))</f>
        <v/>
      </c>
      <c r="W4757" s="79" t="str">
        <f>IF(AND('341-CT'!$H$9=H4757,OR(LEFT(N4757,3)=$W$7,LEFT(O4757,3)=$W$7)),"x","")</f>
        <v/>
      </c>
      <c r="X4757" s="79" t="str">
        <f>IF(OR(TH!N4757=TH!$X$7,O4757=TH!$X$7),"x","")</f>
        <v/>
      </c>
      <c r="Y4757" s="79" t="str">
        <f>IF(AND(OR(N4757="131",O4757="131"),H4757='131-CT'!$H$9),"x","")</f>
        <v/>
      </c>
      <c r="Z4757" s="79"/>
      <c r="AA4757" s="79" t="str">
        <f>IF(AND(MONTH(E4757)='IN-NX'!$J$5,'IN-NX'!$D$7=D4757),"x","")</f>
        <v/>
      </c>
      <c r="AB4757" s="79" t="str">
        <f>IF(AND(OR(LEFT(TH!N4757,2)="15",LEFT(TH!O4757,2)="15"),LEFT(TH!O4757,3)&lt;&gt;"111",'152-CT'!$J$8=TH!F4757),"x","")</f>
        <v/>
      </c>
      <c r="AC4757" s="79" t="str">
        <f>IF(AND(OR(LEFT(TH!N4757,2)="15",LEFT(TH!O4757,2)="15"),TK!$E$7=TH!F4757),"x","")</f>
        <v/>
      </c>
      <c r="AD4757" s="79" t="str">
        <f>IF(AND(N4757="1521",MONTH(C4757)='BK-NL'!$M$11),"x","")</f>
        <v/>
      </c>
    </row>
    <row r="4758" spans="1:30" ht="16.5" customHeight="1">
      <c r="A4758" s="318" t="str">
        <f>IF(B4758&lt;&gt;"",IF(AND(B4758='[3]IN-TC'!$S$4,OR([3]TH!N3989="1111",[3]TH!O3989="1111")),[3]TH!D3989,""),"")</f>
        <v/>
      </c>
      <c r="B4758" s="60" t="str">
        <f t="shared" si="477"/>
        <v/>
      </c>
      <c r="C4758" s="61"/>
      <c r="D4758" s="61"/>
      <c r="E4758" s="61"/>
      <c r="F4758" s="64"/>
      <c r="G4758" s="64"/>
      <c r="H4758" s="69"/>
      <c r="I4758" s="385"/>
      <c r="J4758" s="395"/>
      <c r="K4758" s="385"/>
      <c r="L4758" s="392"/>
      <c r="M4758" s="62"/>
      <c r="N4758" s="63"/>
      <c r="O4758" s="63"/>
      <c r="P4758" s="79" t="str">
        <f>IF(AND('331-CT'!$E$7=TH!H4758,OR(N4758="331",O4758="331")),"x","")</f>
        <v/>
      </c>
      <c r="Q4758" s="79" t="str">
        <f>IF(AND(B4758='111'!$L$11,OR($N4758=$Q$7,$O4758=$Q$7)),"x","")</f>
        <v/>
      </c>
      <c r="R4758" s="79" t="str">
        <f>IF(AND($N4758=$Q$7,$B4758&lt;'111'!$L$11),"x","")</f>
        <v/>
      </c>
      <c r="S4758" s="79" t="str">
        <f>IF(AND($O4758=$Q$7,$B4758&lt;'111'!$L$11),"x","")</f>
        <v/>
      </c>
      <c r="T4758" s="79" t="str">
        <f>IF(ISERROR(FIND('112'!$M$9,G4758,1)),"",IF((AND(FIND('112'!$M$9,G4758,1)&gt;=1,B4758='112'!$K$9,OR($N4758='112'!$I$6,$O4758='112'!$I$6))),"x",""))</f>
        <v/>
      </c>
      <c r="U4758" s="79" t="str">
        <f>IF(ISERROR(FIND('112'!$M$9,G4758,1)),"",IF((AND(LEFT(G4758,2)=LEFT('112'!$M$9,2),B4758&lt;'112'!$K$9,$N4758='112'!$I$6)),"x",""))</f>
        <v/>
      </c>
      <c r="V4758" s="79" t="str">
        <f>IF(ISERROR(FIND('112'!$M$9,G4758,1)),"",IF((AND(RIGHT(G4758,2)=RIGHT('112'!$M$9,2),B4758&lt;'112'!$K$9,$O4758='112'!$I$6)),"x",""))</f>
        <v/>
      </c>
      <c r="W4758" s="79" t="str">
        <f>IF(AND('341-CT'!$H$9=H4758,OR(LEFT(N4758,3)=$W$7,LEFT(O4758,3)=$W$7)),"x","")</f>
        <v/>
      </c>
      <c r="X4758" s="79" t="str">
        <f>IF(OR(TH!N4758=TH!$X$7,O4758=TH!$X$7),"x","")</f>
        <v/>
      </c>
      <c r="Y4758" s="79" t="str">
        <f>IF(AND(OR(N4758="131",O4758="131"),H4758='131-CT'!$H$9),"x","")</f>
        <v/>
      </c>
      <c r="Z4758" s="79"/>
      <c r="AA4758" s="79" t="str">
        <f>IF(AND(MONTH(E4758)='IN-NX'!$J$5,'IN-NX'!$D$7=D4758),"x","")</f>
        <v/>
      </c>
      <c r="AB4758" s="79" t="str">
        <f>IF(AND(OR(LEFT(TH!N4758,2)="15",LEFT(TH!O4758,2)="15"),LEFT(TH!O4758,3)&lt;&gt;"111",'152-CT'!$J$8=TH!F4758),"x","")</f>
        <v/>
      </c>
      <c r="AC4758" s="79" t="str">
        <f>IF(AND(OR(LEFT(TH!N4758,2)="15",LEFT(TH!O4758,2)="15"),TK!$E$7=TH!F4758),"x","")</f>
        <v/>
      </c>
      <c r="AD4758" s="79" t="str">
        <f>IF(AND(N4758="1521",MONTH(C4758)='BK-NL'!$M$11),"x","")</f>
        <v/>
      </c>
    </row>
    <row r="4759" spans="1:30" ht="16.5" customHeight="1">
      <c r="A4759" s="318" t="str">
        <f>IF(B4759&lt;&gt;"",IF(AND(B4759='[3]IN-TC'!$S$4,OR([3]TH!N3990="1111",[3]TH!O3990="1111")),[3]TH!D3990,""),"")</f>
        <v/>
      </c>
      <c r="B4759" s="60" t="str">
        <f t="shared" si="477"/>
        <v/>
      </c>
      <c r="C4759" s="61"/>
      <c r="D4759" s="61"/>
      <c r="E4759" s="61"/>
      <c r="F4759" s="64"/>
      <c r="G4759" s="64"/>
      <c r="H4759" s="303"/>
      <c r="I4759" s="385"/>
      <c r="J4759" s="395"/>
      <c r="K4759" s="385"/>
      <c r="L4759" s="392"/>
      <c r="M4759" s="62"/>
      <c r="N4759" s="63"/>
      <c r="O4759" s="63"/>
      <c r="P4759" s="79" t="str">
        <f>IF(AND('331-CT'!$E$7=TH!H4759,OR(N4759="331",O4759="331")),"x","")</f>
        <v/>
      </c>
      <c r="Q4759" s="79" t="str">
        <f>IF(AND(B4759='111'!$L$11,OR($N4759=$Q$7,$O4759=$Q$7)),"x","")</f>
        <v/>
      </c>
      <c r="R4759" s="79" t="str">
        <f>IF(AND($N4759=$Q$7,$B4759&lt;'111'!$L$11),"x","")</f>
        <v/>
      </c>
      <c r="S4759" s="79" t="str">
        <f>IF(AND($O4759=$Q$7,$B4759&lt;'111'!$L$11),"x","")</f>
        <v/>
      </c>
      <c r="T4759" s="79" t="str">
        <f>IF(ISERROR(FIND('112'!$M$9,G4759,1)),"",IF((AND(FIND('112'!$M$9,G4759,1)&gt;=1,B4759='112'!$K$9,OR($N4759='112'!$I$6,$O4759='112'!$I$6))),"x",""))</f>
        <v/>
      </c>
      <c r="U4759" s="79" t="str">
        <f>IF(ISERROR(FIND('112'!$M$9,G4759,1)),"",IF((AND(LEFT(G4759,2)=LEFT('112'!$M$9,2),B4759&lt;'112'!$K$9,$N4759='112'!$I$6)),"x",""))</f>
        <v/>
      </c>
      <c r="V4759" s="79" t="str">
        <f>IF(ISERROR(FIND('112'!$M$9,G4759,1)),"",IF((AND(RIGHT(G4759,2)=RIGHT('112'!$M$9,2),B4759&lt;'112'!$K$9,$O4759='112'!$I$6)),"x",""))</f>
        <v/>
      </c>
      <c r="W4759" s="79" t="str">
        <f>IF(AND('341-CT'!$H$9=H4759,OR(LEFT(N4759,3)=$W$7,LEFT(O4759,3)=$W$7)),"x","")</f>
        <v/>
      </c>
      <c r="X4759" s="79" t="str">
        <f>IF(OR(TH!N4759=TH!$X$7,O4759=TH!$X$7),"x","")</f>
        <v/>
      </c>
      <c r="Y4759" s="79" t="str">
        <f>IF(AND(OR(N4759="131",O4759="131"),H4759='131-CT'!$H$9),"x","")</f>
        <v/>
      </c>
      <c r="Z4759" s="79"/>
      <c r="AA4759" s="79" t="str">
        <f>IF(AND(MONTH(E4759)='IN-NX'!$J$5,'IN-NX'!$D$7=D4759),"x","")</f>
        <v/>
      </c>
      <c r="AB4759" s="79" t="str">
        <f>IF(AND(OR(LEFT(TH!N4759,2)="15",LEFT(TH!O4759,2)="15"),LEFT(TH!O4759,3)&lt;&gt;"111",'152-CT'!$J$8=TH!F4759),"x","")</f>
        <v/>
      </c>
      <c r="AC4759" s="79" t="str">
        <f>IF(AND(OR(LEFT(TH!N4759,2)="15",LEFT(TH!O4759,2)="15"),TK!$E$7=TH!F4759),"x","")</f>
        <v/>
      </c>
      <c r="AD4759" s="79" t="str">
        <f>IF(AND(N4759="1521",MONTH(C4759)='BK-NL'!$M$11),"x","")</f>
        <v/>
      </c>
    </row>
    <row r="4760" spans="1:30" ht="16.5" customHeight="1">
      <c r="A4760" s="318" t="str">
        <f>IF(B4760&lt;&gt;"",IF(AND(B4760='[3]IN-TC'!$S$4,OR([3]TH!N3991="1111",[3]TH!O3991="1111")),[3]TH!D3991,""),"")</f>
        <v/>
      </c>
      <c r="B4760" s="60" t="str">
        <f t="shared" si="477"/>
        <v/>
      </c>
      <c r="C4760" s="61"/>
      <c r="D4760" s="61"/>
      <c r="E4760" s="61"/>
      <c r="F4760" s="64"/>
      <c r="G4760" s="64"/>
      <c r="H4760" s="69"/>
      <c r="I4760" s="385"/>
      <c r="J4760" s="395"/>
      <c r="K4760" s="385"/>
      <c r="L4760" s="392"/>
      <c r="M4760" s="62"/>
      <c r="N4760" s="63"/>
      <c r="O4760" s="63"/>
      <c r="P4760" s="79" t="str">
        <f>IF(AND('331-CT'!$E$7=TH!H4760,OR(N4760="331",O4760="331")),"x","")</f>
        <v/>
      </c>
      <c r="Q4760" s="79" t="str">
        <f>IF(AND(B4760='111'!$L$11,OR($N4760=$Q$7,$O4760=$Q$7)),"x","")</f>
        <v/>
      </c>
      <c r="R4760" s="79" t="str">
        <f>IF(AND($N4760=$Q$7,$B4760&lt;'111'!$L$11),"x","")</f>
        <v/>
      </c>
      <c r="S4760" s="79" t="str">
        <f>IF(AND($O4760=$Q$7,$B4760&lt;'111'!$L$11),"x","")</f>
        <v/>
      </c>
      <c r="T4760" s="79" t="str">
        <f>IF(ISERROR(FIND('112'!$M$9,G4760,1)),"",IF((AND(FIND('112'!$M$9,G4760,1)&gt;=1,B4760='112'!$K$9,OR($N4760='112'!$I$6,$O4760='112'!$I$6))),"x",""))</f>
        <v/>
      </c>
      <c r="U4760" s="79" t="str">
        <f>IF(ISERROR(FIND('112'!$M$9,G4760,1)),"",IF((AND(LEFT(G4760,2)=LEFT('112'!$M$9,2),B4760&lt;'112'!$K$9,$N4760='112'!$I$6)),"x",""))</f>
        <v/>
      </c>
      <c r="V4760" s="79" t="str">
        <f>IF(ISERROR(FIND('112'!$M$9,G4760,1)),"",IF((AND(RIGHT(G4760,2)=RIGHT('112'!$M$9,2),B4760&lt;'112'!$K$9,$O4760='112'!$I$6)),"x",""))</f>
        <v/>
      </c>
      <c r="W4760" s="79" t="str">
        <f>IF(AND('341-CT'!$H$9=H4760,OR(LEFT(N4760,3)=$W$7,LEFT(O4760,3)=$W$7)),"x","")</f>
        <v/>
      </c>
      <c r="X4760" s="79" t="str">
        <f>IF(OR(TH!N4760=TH!$X$7,O4760=TH!$X$7),"x","")</f>
        <v/>
      </c>
      <c r="Y4760" s="79" t="str">
        <f>IF(AND(OR(N4760="131",O4760="131"),H4760='131-CT'!$H$9),"x","")</f>
        <v/>
      </c>
      <c r="Z4760" s="79"/>
      <c r="AA4760" s="79" t="str">
        <f>IF(AND(MONTH(E4760)='IN-NX'!$J$5,'IN-NX'!$D$7=D4760),"x","")</f>
        <v/>
      </c>
      <c r="AB4760" s="79" t="str">
        <f>IF(AND(OR(LEFT(TH!N4760,2)="15",LEFT(TH!O4760,2)="15"),LEFT(TH!O4760,3)&lt;&gt;"111",'152-CT'!$J$8=TH!F4760),"x","")</f>
        <v/>
      </c>
      <c r="AC4760" s="79" t="str">
        <f>IF(AND(OR(LEFT(TH!N4760,2)="15",LEFT(TH!O4760,2)="15"),TK!$E$7=TH!F4760),"x","")</f>
        <v/>
      </c>
      <c r="AD4760" s="79" t="str">
        <f>IF(AND(N4760="1521",MONTH(C4760)='BK-NL'!$M$11),"x","")</f>
        <v/>
      </c>
    </row>
    <row r="4761" spans="1:30" ht="16.5" customHeight="1">
      <c r="A4761" s="318" t="str">
        <f>IF(B4761&lt;&gt;"",IF(AND(B4761='[3]IN-TC'!$S$4,OR([3]TH!N3992="1111",[3]TH!O3992="1111")),[3]TH!D3992,""),"")</f>
        <v/>
      </c>
      <c r="B4761" s="60" t="str">
        <f t="shared" si="477"/>
        <v/>
      </c>
      <c r="C4761" s="61"/>
      <c r="D4761" s="61"/>
      <c r="E4761" s="61"/>
      <c r="F4761" s="64"/>
      <c r="G4761" s="64"/>
      <c r="H4761" s="69"/>
      <c r="I4761" s="385"/>
      <c r="J4761" s="395"/>
      <c r="K4761" s="385"/>
      <c r="L4761" s="392"/>
      <c r="M4761" s="62"/>
      <c r="N4761" s="63"/>
      <c r="O4761" s="63"/>
      <c r="P4761" s="79" t="str">
        <f>IF(AND('331-CT'!$E$7=TH!H4761,OR(N4761="331",O4761="331")),"x","")</f>
        <v/>
      </c>
      <c r="Q4761" s="79" t="str">
        <f>IF(AND(B4761='111'!$L$11,OR($N4761=$Q$7,$O4761=$Q$7)),"x","")</f>
        <v/>
      </c>
      <c r="R4761" s="79" t="str">
        <f>IF(AND($N4761=$Q$7,$B4761&lt;'111'!$L$11),"x","")</f>
        <v/>
      </c>
      <c r="S4761" s="79" t="str">
        <f>IF(AND($O4761=$Q$7,$B4761&lt;'111'!$L$11),"x","")</f>
        <v/>
      </c>
      <c r="T4761" s="79" t="str">
        <f>IF(ISERROR(FIND('112'!$M$9,G4761,1)),"",IF((AND(FIND('112'!$M$9,G4761,1)&gt;=1,B4761='112'!$K$9,OR($N4761='112'!$I$6,$O4761='112'!$I$6))),"x",""))</f>
        <v/>
      </c>
      <c r="U4761" s="79" t="str">
        <f>IF(ISERROR(FIND('112'!$M$9,G4761,1)),"",IF((AND(LEFT(G4761,2)=LEFT('112'!$M$9,2),B4761&lt;'112'!$K$9,$N4761='112'!$I$6)),"x",""))</f>
        <v/>
      </c>
      <c r="V4761" s="79" t="str">
        <f>IF(ISERROR(FIND('112'!$M$9,G4761,1)),"",IF((AND(RIGHT(G4761,2)=RIGHT('112'!$M$9,2),B4761&lt;'112'!$K$9,$O4761='112'!$I$6)),"x",""))</f>
        <v/>
      </c>
      <c r="W4761" s="79" t="str">
        <f>IF(AND('341-CT'!$H$9=H4761,OR(LEFT(N4761,3)=$W$7,LEFT(O4761,3)=$W$7)),"x","")</f>
        <v/>
      </c>
      <c r="X4761" s="79" t="str">
        <f>IF(OR(TH!N4761=TH!$X$7,O4761=TH!$X$7),"x","")</f>
        <v/>
      </c>
      <c r="Y4761" s="79" t="str">
        <f>IF(AND(OR(N4761="131",O4761="131"),H4761='131-CT'!$H$9),"x","")</f>
        <v/>
      </c>
      <c r="Z4761" s="79"/>
      <c r="AA4761" s="79" t="str">
        <f>IF(AND(MONTH(E4761)='IN-NX'!$J$5,'IN-NX'!$D$7=D4761),"x","")</f>
        <v/>
      </c>
      <c r="AB4761" s="79" t="str">
        <f>IF(AND(OR(LEFT(TH!N4761,2)="15",LEFT(TH!O4761,2)="15"),LEFT(TH!O4761,3)&lt;&gt;"111",'152-CT'!$J$8=TH!F4761),"x","")</f>
        <v/>
      </c>
      <c r="AC4761" s="79" t="str">
        <f>IF(AND(OR(LEFT(TH!N4761,2)="15",LEFT(TH!O4761,2)="15"),TK!$E$7=TH!F4761),"x","")</f>
        <v/>
      </c>
      <c r="AD4761" s="79" t="str">
        <f>IF(AND(N4761="1521",MONTH(C4761)='BK-NL'!$M$11),"x","")</f>
        <v/>
      </c>
    </row>
    <row r="4762" spans="1:30" ht="16.5" customHeight="1">
      <c r="A4762" s="318" t="str">
        <f>IF(B4762&lt;&gt;"",IF(AND(B4762='[3]IN-TC'!$S$4,OR([3]TH!N3993="1111",[3]TH!O3993="1111")),[3]TH!D3993,""),"")</f>
        <v/>
      </c>
      <c r="B4762" s="60" t="str">
        <f t="shared" si="477"/>
        <v/>
      </c>
      <c r="C4762" s="61"/>
      <c r="D4762" s="61"/>
      <c r="E4762" s="61"/>
      <c r="F4762" s="69"/>
      <c r="G4762" s="64"/>
      <c r="H4762" s="303"/>
      <c r="I4762" s="385"/>
      <c r="J4762" s="392"/>
      <c r="K4762" s="385"/>
      <c r="L4762" s="392"/>
      <c r="M4762" s="62"/>
      <c r="N4762" s="63"/>
      <c r="O4762" s="63"/>
      <c r="P4762" s="79" t="str">
        <f>IF(AND('331-CT'!$E$7=TH!H4762,OR(N4762="331",O4762="331")),"x","")</f>
        <v/>
      </c>
      <c r="Q4762" s="79" t="str">
        <f>IF(AND(B4762='111'!$L$11,OR($N4762=$Q$7,$O4762=$Q$7)),"x","")</f>
        <v/>
      </c>
      <c r="R4762" s="79" t="str">
        <f>IF(AND($N4762=$Q$7,$B4762&lt;'111'!$L$11),"x","")</f>
        <v/>
      </c>
      <c r="S4762" s="79" t="str">
        <f>IF(AND($O4762=$Q$7,$B4762&lt;'111'!$L$11),"x","")</f>
        <v/>
      </c>
      <c r="T4762" s="79" t="str">
        <f>IF(ISERROR(FIND('112'!$M$9,G4762,1)),"",IF((AND(FIND('112'!$M$9,G4762,1)&gt;=1,B4762='112'!$K$9,OR($N4762='112'!$I$6,$O4762='112'!$I$6))),"x",""))</f>
        <v/>
      </c>
      <c r="U4762" s="79" t="str">
        <f>IF(ISERROR(FIND('112'!$M$9,G4762,1)),"",IF((AND(LEFT(G4762,2)=LEFT('112'!$M$9,2),B4762&lt;'112'!$K$9,$N4762='112'!$I$6)),"x",""))</f>
        <v/>
      </c>
      <c r="V4762" s="79" t="str">
        <f>IF(ISERROR(FIND('112'!$M$9,G4762,1)),"",IF((AND(RIGHT(G4762,2)=RIGHT('112'!$M$9,2),B4762&lt;'112'!$K$9,$O4762='112'!$I$6)),"x",""))</f>
        <v/>
      </c>
      <c r="W4762" s="79" t="str">
        <f>IF(AND('341-CT'!$H$9=H4762,OR(LEFT(N4762,3)=$W$7,LEFT(O4762,3)=$W$7)),"x","")</f>
        <v/>
      </c>
      <c r="X4762" s="79" t="str">
        <f>IF(OR(TH!N4762=TH!$X$7,O4762=TH!$X$7),"x","")</f>
        <v/>
      </c>
      <c r="Y4762" s="79" t="str">
        <f>IF(AND(OR(N4762="131",O4762="131"),H4762='131-CT'!$H$9),"x","")</f>
        <v/>
      </c>
      <c r="Z4762" s="79"/>
      <c r="AA4762" s="79" t="str">
        <f>IF(AND(MONTH(E4762)='IN-NX'!$J$5,'IN-NX'!$D$7=D4762),"x","")</f>
        <v/>
      </c>
      <c r="AB4762" s="79" t="str">
        <f>IF(AND(OR(LEFT(TH!N4762,2)="15",LEFT(TH!O4762,2)="15"),LEFT(TH!O4762,3)&lt;&gt;"111",'152-CT'!$J$8=TH!F4762),"x","")</f>
        <v/>
      </c>
      <c r="AC4762" s="79" t="str">
        <f>IF(AND(OR(LEFT(TH!N4762,2)="15",LEFT(TH!O4762,2)="15"),TK!$E$7=TH!F4762),"x","")</f>
        <v/>
      </c>
      <c r="AD4762" s="79" t="str">
        <f>IF(AND(N4762="1521",MONTH(C4762)='BK-NL'!$M$11),"x","")</f>
        <v/>
      </c>
    </row>
    <row r="4763" spans="1:30" ht="16.5" customHeight="1">
      <c r="A4763" s="318" t="str">
        <f>IF(B4763&lt;&gt;"",IF(AND(B4763='[3]IN-TC'!$S$4,OR([3]TH!N3994="1111",[3]TH!O3994="1111")),[3]TH!D3994,""),"")</f>
        <v/>
      </c>
      <c r="B4763" s="60" t="str">
        <f t="shared" si="477"/>
        <v/>
      </c>
      <c r="C4763" s="61"/>
      <c r="D4763" s="61"/>
      <c r="E4763" s="61"/>
      <c r="F4763" s="64"/>
      <c r="G4763" s="64"/>
      <c r="H4763" s="69"/>
      <c r="I4763" s="387"/>
      <c r="J4763" s="394"/>
      <c r="K4763" s="62"/>
      <c r="L4763" s="394"/>
      <c r="M4763" s="62"/>
      <c r="N4763" s="63"/>
      <c r="O4763" s="63"/>
      <c r="P4763" s="79" t="str">
        <f>IF(AND('331-CT'!$E$7=TH!H4763,OR(N4763="331",O4763="331")),"x","")</f>
        <v/>
      </c>
      <c r="Q4763" s="79" t="str">
        <f>IF(AND(B4763='111'!$L$11,OR($N4763=$Q$7,$O4763=$Q$7)),"x","")</f>
        <v/>
      </c>
      <c r="R4763" s="79" t="str">
        <f>IF(AND($N4763=$Q$7,$B4763&lt;'111'!$L$11),"x","")</f>
        <v/>
      </c>
      <c r="S4763" s="79" t="str">
        <f>IF(AND($O4763=$Q$7,$B4763&lt;'111'!$L$11),"x","")</f>
        <v/>
      </c>
      <c r="T4763" s="79" t="str">
        <f>IF(ISERROR(FIND('112'!$M$9,G4763,1)),"",IF((AND(FIND('112'!$M$9,G4763,1)&gt;=1,B4763='112'!$K$9,OR($N4763='112'!$I$6,$O4763='112'!$I$6))),"x",""))</f>
        <v/>
      </c>
      <c r="U4763" s="79" t="str">
        <f>IF(ISERROR(FIND('112'!$M$9,G4763,1)),"",IF((AND(LEFT(G4763,2)=LEFT('112'!$M$9,2),B4763&lt;'112'!$K$9,$N4763='112'!$I$6)),"x",""))</f>
        <v/>
      </c>
      <c r="V4763" s="79" t="str">
        <f>IF(ISERROR(FIND('112'!$M$9,G4763,1)),"",IF((AND(RIGHT(G4763,2)=RIGHT('112'!$M$9,2),B4763&lt;'112'!$K$9,$O4763='112'!$I$6)),"x",""))</f>
        <v/>
      </c>
      <c r="W4763" s="79" t="str">
        <f>IF(AND('341-CT'!$H$9=H4763,OR(LEFT(N4763,3)=$W$7,LEFT(O4763,3)=$W$7)),"x","")</f>
        <v/>
      </c>
      <c r="X4763" s="79" t="str">
        <f>IF(OR(TH!N4763=TH!$X$7,O4763=TH!$X$7),"x","")</f>
        <v/>
      </c>
      <c r="Y4763" s="79" t="str">
        <f>IF(AND(OR(N4763="131",O4763="131"),H4763='131-CT'!$H$9),"x","")</f>
        <v/>
      </c>
      <c r="Z4763" s="79"/>
      <c r="AA4763" s="79" t="str">
        <f>IF(AND(MONTH(E4763)='IN-NX'!$J$5,'IN-NX'!$D$7=D4763),"x","")</f>
        <v/>
      </c>
      <c r="AB4763" s="79" t="str">
        <f>IF(AND(OR(LEFT(TH!N4763,2)="15",LEFT(TH!O4763,2)="15"),LEFT(TH!O4763,3)&lt;&gt;"111",'152-CT'!$J$8=TH!F4763),"x","")</f>
        <v/>
      </c>
      <c r="AC4763" s="79" t="str">
        <f>IF(AND(OR(LEFT(TH!N4763,2)="15",LEFT(TH!O4763,2)="15"),TK!$E$7=TH!F4763),"x","")</f>
        <v/>
      </c>
      <c r="AD4763" s="79" t="str">
        <f>IF(AND(N4763="1521",MONTH(C4763)='BK-NL'!$M$11),"x","")</f>
        <v/>
      </c>
    </row>
    <row r="4764" spans="1:30" ht="16.5" customHeight="1">
      <c r="A4764" s="318" t="str">
        <f>IF(B4764&lt;&gt;"",IF(AND(B4764='[3]IN-TC'!$S$4,OR([3]TH!N3995="1111",[3]TH!O3995="1111")),[3]TH!D3995,""),"")</f>
        <v/>
      </c>
      <c r="B4764" s="60" t="str">
        <f t="shared" ref="B4764:B4827" si="478">IF(C4764&lt;&gt;"",MONTH(C4764),"")</f>
        <v/>
      </c>
      <c r="C4764" s="61"/>
      <c r="D4764" s="61"/>
      <c r="E4764" s="61"/>
      <c r="F4764" s="64"/>
      <c r="G4764" s="64"/>
      <c r="H4764" s="69"/>
      <c r="I4764" s="387"/>
      <c r="J4764" s="394"/>
      <c r="K4764" s="387"/>
      <c r="L4764" s="394"/>
      <c r="M4764" s="62"/>
      <c r="N4764" s="63"/>
      <c r="O4764" s="63"/>
      <c r="P4764" s="79" t="str">
        <f>IF(AND('331-CT'!$E$7=TH!H4764,OR(N4764="331",O4764="331")),"x","")</f>
        <v/>
      </c>
      <c r="Q4764" s="79" t="str">
        <f>IF(AND(B4764='111'!$L$11,OR($N4764=$Q$7,$O4764=$Q$7)),"x","")</f>
        <v/>
      </c>
      <c r="R4764" s="79" t="str">
        <f>IF(AND($N4764=$Q$7,$B4764&lt;'111'!$L$11),"x","")</f>
        <v/>
      </c>
      <c r="S4764" s="79" t="str">
        <f>IF(AND($O4764=$Q$7,$B4764&lt;'111'!$L$11),"x","")</f>
        <v/>
      </c>
      <c r="T4764" s="79" t="str">
        <f>IF(ISERROR(FIND('112'!$M$9,G4764,1)),"",IF((AND(FIND('112'!$M$9,G4764,1)&gt;=1,B4764='112'!$K$9,OR($N4764='112'!$I$6,$O4764='112'!$I$6))),"x",""))</f>
        <v/>
      </c>
      <c r="U4764" s="79" t="str">
        <f>IF(ISERROR(FIND('112'!$M$9,G4764,1)),"",IF((AND(LEFT(G4764,2)=LEFT('112'!$M$9,2),B4764&lt;'112'!$K$9,$N4764='112'!$I$6)),"x",""))</f>
        <v/>
      </c>
      <c r="V4764" s="79" t="str">
        <f>IF(ISERROR(FIND('112'!$M$9,G4764,1)),"",IF((AND(RIGHT(G4764,2)=RIGHT('112'!$M$9,2),B4764&lt;'112'!$K$9,$O4764='112'!$I$6)),"x",""))</f>
        <v/>
      </c>
      <c r="W4764" s="79" t="str">
        <f>IF(AND('341-CT'!$H$9=H4764,OR(LEFT(N4764,3)=$W$7,LEFT(O4764,3)=$W$7)),"x","")</f>
        <v/>
      </c>
      <c r="X4764" s="79" t="str">
        <f>IF(OR(TH!N4764=TH!$X$7,O4764=TH!$X$7),"x","")</f>
        <v/>
      </c>
      <c r="Y4764" s="79" t="str">
        <f>IF(AND(OR(N4764="131",O4764="131"),H4764='131-CT'!$H$9),"x","")</f>
        <v/>
      </c>
      <c r="Z4764" s="79"/>
      <c r="AA4764" s="79" t="str">
        <f>IF(AND(MONTH(E4764)='IN-NX'!$J$5,'IN-NX'!$D$7=D4764),"x","")</f>
        <v/>
      </c>
      <c r="AB4764" s="79" t="str">
        <f>IF(AND(OR(LEFT(TH!N4764,2)="15",LEFT(TH!O4764,2)="15"),LEFT(TH!O4764,3)&lt;&gt;"111",'152-CT'!$J$8=TH!F4764),"x","")</f>
        <v/>
      </c>
      <c r="AC4764" s="79" t="str">
        <f>IF(AND(OR(LEFT(TH!N4764,2)="15",LEFT(TH!O4764,2)="15"),TK!$E$7=TH!F4764),"x","")</f>
        <v/>
      </c>
      <c r="AD4764" s="79" t="str">
        <f>IF(AND(N4764="1521",MONTH(C4764)='BK-NL'!$M$11),"x","")</f>
        <v/>
      </c>
    </row>
    <row r="4765" spans="1:30" ht="16.5" customHeight="1">
      <c r="A4765" s="318" t="str">
        <f>IF(B4765&lt;&gt;"",IF(AND(B4765='[3]IN-TC'!$S$4,OR([3]TH!N3996="1111",[3]TH!O3996="1111")),[3]TH!D3996,""),"")</f>
        <v/>
      </c>
      <c r="B4765" s="60" t="str">
        <f t="shared" si="478"/>
        <v/>
      </c>
      <c r="C4765" s="61"/>
      <c r="D4765" s="61"/>
      <c r="E4765" s="61"/>
      <c r="F4765" s="69"/>
      <c r="G4765" s="64"/>
      <c r="H4765" s="72"/>
      <c r="I4765" s="385"/>
      <c r="J4765" s="392"/>
      <c r="K4765" s="385"/>
      <c r="L4765" s="392"/>
      <c r="M4765" s="62"/>
      <c r="N4765" s="63"/>
      <c r="O4765" s="63"/>
      <c r="P4765" s="79" t="str">
        <f>IF(AND('331-CT'!$E$7=TH!H4765,OR(N4765="331",O4765="331")),"x","")</f>
        <v/>
      </c>
      <c r="Q4765" s="79" t="str">
        <f>IF(AND(B4765='111'!$L$11,OR($N4765=$Q$7,$O4765=$Q$7)),"x","")</f>
        <v/>
      </c>
      <c r="R4765" s="79" t="str">
        <f>IF(AND($N4765=$Q$7,$B4765&lt;'111'!$L$11),"x","")</f>
        <v/>
      </c>
      <c r="S4765" s="79" t="str">
        <f>IF(AND($O4765=$Q$7,$B4765&lt;'111'!$L$11),"x","")</f>
        <v/>
      </c>
      <c r="T4765" s="79" t="str">
        <f>IF(ISERROR(FIND('112'!$M$9,G4765,1)),"",IF((AND(FIND('112'!$M$9,G4765,1)&gt;=1,B4765='112'!$K$9,OR($N4765='112'!$I$6,$O4765='112'!$I$6))),"x",""))</f>
        <v/>
      </c>
      <c r="U4765" s="79" t="str">
        <f>IF(ISERROR(FIND('112'!$M$9,G4765,1)),"",IF((AND(LEFT(G4765,2)=LEFT('112'!$M$9,2),B4765&lt;'112'!$K$9,$N4765='112'!$I$6)),"x",""))</f>
        <v/>
      </c>
      <c r="V4765" s="79" t="str">
        <f>IF(ISERROR(FIND('112'!$M$9,G4765,1)),"",IF((AND(RIGHT(G4765,2)=RIGHT('112'!$M$9,2),B4765&lt;'112'!$K$9,$O4765='112'!$I$6)),"x",""))</f>
        <v/>
      </c>
      <c r="W4765" s="79" t="str">
        <f>IF(AND('341-CT'!$H$9=H4765,OR(LEFT(N4765,3)=$W$7,LEFT(O4765,3)=$W$7)),"x","")</f>
        <v/>
      </c>
      <c r="X4765" s="79" t="str">
        <f>IF(OR(TH!N4765=TH!$X$7,O4765=TH!$X$7),"x","")</f>
        <v/>
      </c>
      <c r="Y4765" s="79" t="str">
        <f>IF(AND(OR(N4765="131",O4765="131"),H4765='131-CT'!$H$9),"x","")</f>
        <v/>
      </c>
      <c r="Z4765" s="79"/>
      <c r="AA4765" s="79" t="str">
        <f>IF(AND(MONTH(E4765)='IN-NX'!$J$5,'IN-NX'!$D$7=D4765),"x","")</f>
        <v/>
      </c>
      <c r="AB4765" s="79" t="str">
        <f>IF(AND(OR(LEFT(TH!N4765,2)="15",LEFT(TH!O4765,2)="15"),LEFT(TH!O4765,3)&lt;&gt;"111",'152-CT'!$J$8=TH!F4765),"x","")</f>
        <v/>
      </c>
      <c r="AC4765" s="79" t="str">
        <f>IF(AND(OR(LEFT(TH!N4765,2)="15",LEFT(TH!O4765,2)="15"),TK!$E$7=TH!F4765),"x","")</f>
        <v/>
      </c>
      <c r="AD4765" s="79" t="str">
        <f>IF(AND(N4765="1521",MONTH(C4765)='BK-NL'!$M$11),"x","")</f>
        <v/>
      </c>
    </row>
    <row r="4766" spans="1:30" ht="16.5" customHeight="1">
      <c r="A4766" s="318" t="str">
        <f>IF(B4766&lt;&gt;"",IF(AND(B4766='[3]IN-TC'!$S$4,OR([3]TH!N3997="1111",[3]TH!O3997="1111")),[3]TH!D3997,""),"")</f>
        <v/>
      </c>
      <c r="B4766" s="60" t="str">
        <f t="shared" si="478"/>
        <v/>
      </c>
      <c r="C4766" s="61"/>
      <c r="D4766" s="61"/>
      <c r="E4766" s="61"/>
      <c r="F4766" s="64"/>
      <c r="G4766" s="64"/>
      <c r="H4766" s="69"/>
      <c r="I4766" s="387"/>
      <c r="J4766" s="394"/>
      <c r="K4766" s="62"/>
      <c r="L4766" s="394"/>
      <c r="M4766" s="62"/>
      <c r="N4766" s="63"/>
      <c r="O4766" s="63"/>
      <c r="P4766" s="79" t="str">
        <f>IF(AND('331-CT'!$E$7=TH!H4766,OR(N4766="331",O4766="331")),"x","")</f>
        <v/>
      </c>
      <c r="Q4766" s="79" t="str">
        <f>IF(AND(B4766='111'!$L$11,OR($N4766=$Q$7,$O4766=$Q$7)),"x","")</f>
        <v/>
      </c>
      <c r="R4766" s="79" t="str">
        <f>IF(AND($N4766=$Q$7,$B4766&lt;'111'!$L$11),"x","")</f>
        <v/>
      </c>
      <c r="S4766" s="79" t="str">
        <f>IF(AND($O4766=$Q$7,$B4766&lt;'111'!$L$11),"x","")</f>
        <v/>
      </c>
      <c r="T4766" s="79" t="str">
        <f>IF(ISERROR(FIND('112'!$M$9,G4766,1)),"",IF((AND(FIND('112'!$M$9,G4766,1)&gt;=1,B4766='112'!$K$9,OR($N4766='112'!$I$6,$O4766='112'!$I$6))),"x",""))</f>
        <v/>
      </c>
      <c r="U4766" s="79" t="str">
        <f>IF(ISERROR(FIND('112'!$M$9,G4766,1)),"",IF((AND(LEFT(G4766,2)=LEFT('112'!$M$9,2),B4766&lt;'112'!$K$9,$N4766='112'!$I$6)),"x",""))</f>
        <v/>
      </c>
      <c r="V4766" s="79" t="str">
        <f>IF(ISERROR(FIND('112'!$M$9,G4766,1)),"",IF((AND(RIGHT(G4766,2)=RIGHT('112'!$M$9,2),B4766&lt;'112'!$K$9,$O4766='112'!$I$6)),"x",""))</f>
        <v/>
      </c>
      <c r="W4766" s="79" t="str">
        <f>IF(AND('341-CT'!$H$9=H4766,OR(LEFT(N4766,3)=$W$7,LEFT(O4766,3)=$W$7)),"x","")</f>
        <v/>
      </c>
      <c r="X4766" s="79" t="str">
        <f>IF(OR(TH!N4766=TH!$X$7,O4766=TH!$X$7),"x","")</f>
        <v/>
      </c>
      <c r="Y4766" s="79" t="str">
        <f>IF(AND(OR(N4766="131",O4766="131"),H4766='131-CT'!$H$9),"x","")</f>
        <v/>
      </c>
      <c r="Z4766" s="79"/>
      <c r="AA4766" s="79" t="str">
        <f>IF(AND(MONTH(E4766)='IN-NX'!$J$5,'IN-NX'!$D$7=D4766),"x","")</f>
        <v/>
      </c>
      <c r="AB4766" s="79" t="str">
        <f>IF(AND(OR(LEFT(TH!N4766,2)="15",LEFT(TH!O4766,2)="15"),LEFT(TH!O4766,3)&lt;&gt;"111",'152-CT'!$J$8=TH!F4766),"x","")</f>
        <v/>
      </c>
      <c r="AC4766" s="79" t="str">
        <f>IF(AND(OR(LEFT(TH!N4766,2)="15",LEFT(TH!O4766,2)="15"),TK!$E$7=TH!F4766),"x","")</f>
        <v/>
      </c>
      <c r="AD4766" s="79" t="str">
        <f>IF(AND(N4766="1521",MONTH(C4766)='BK-NL'!$M$11),"x","")</f>
        <v/>
      </c>
    </row>
    <row r="4767" spans="1:30" ht="16.5" customHeight="1">
      <c r="A4767" s="318" t="str">
        <f>IF(B4767&lt;&gt;"",IF(AND(B4767='[3]IN-TC'!$S$4,OR([3]TH!N3998="1111",[3]TH!O3998="1111")),[3]TH!D3998,""),"")</f>
        <v/>
      </c>
      <c r="B4767" s="60" t="str">
        <f t="shared" si="478"/>
        <v/>
      </c>
      <c r="C4767" s="61"/>
      <c r="D4767" s="61"/>
      <c r="E4767" s="61"/>
      <c r="F4767" s="64"/>
      <c r="G4767" s="64"/>
      <c r="H4767" s="69"/>
      <c r="I4767" s="387"/>
      <c r="J4767" s="394"/>
      <c r="K4767" s="387"/>
      <c r="L4767" s="394"/>
      <c r="M4767" s="62"/>
      <c r="N4767" s="63"/>
      <c r="O4767" s="63"/>
      <c r="P4767" s="79" t="str">
        <f>IF(AND('331-CT'!$E$7=TH!H4767,OR(N4767="331",O4767="331")),"x","")</f>
        <v/>
      </c>
      <c r="Q4767" s="79" t="str">
        <f>IF(AND(B4767='111'!$L$11,OR($N4767=$Q$7,$O4767=$Q$7)),"x","")</f>
        <v/>
      </c>
      <c r="R4767" s="79" t="str">
        <f>IF(AND($N4767=$Q$7,$B4767&lt;'111'!$L$11),"x","")</f>
        <v/>
      </c>
      <c r="S4767" s="79" t="str">
        <f>IF(AND($O4767=$Q$7,$B4767&lt;'111'!$L$11),"x","")</f>
        <v/>
      </c>
      <c r="T4767" s="79" t="str">
        <f>IF(ISERROR(FIND('112'!$M$9,G4767,1)),"",IF((AND(FIND('112'!$M$9,G4767,1)&gt;=1,B4767='112'!$K$9,OR($N4767='112'!$I$6,$O4767='112'!$I$6))),"x",""))</f>
        <v/>
      </c>
      <c r="U4767" s="79" t="str">
        <f>IF(ISERROR(FIND('112'!$M$9,G4767,1)),"",IF((AND(LEFT(G4767,2)=LEFT('112'!$M$9,2),B4767&lt;'112'!$K$9,$N4767='112'!$I$6)),"x",""))</f>
        <v/>
      </c>
      <c r="V4767" s="79" t="str">
        <f>IF(ISERROR(FIND('112'!$M$9,G4767,1)),"",IF((AND(RIGHT(G4767,2)=RIGHT('112'!$M$9,2),B4767&lt;'112'!$K$9,$O4767='112'!$I$6)),"x",""))</f>
        <v/>
      </c>
      <c r="W4767" s="79" t="str">
        <f>IF(AND('341-CT'!$H$9=H4767,OR(LEFT(N4767,3)=$W$7,LEFT(O4767,3)=$W$7)),"x","")</f>
        <v/>
      </c>
      <c r="X4767" s="79" t="str">
        <f>IF(OR(TH!N4767=TH!$X$7,O4767=TH!$X$7),"x","")</f>
        <v/>
      </c>
      <c r="Y4767" s="79" t="str">
        <f>IF(AND(OR(N4767="131",O4767="131"),H4767='131-CT'!$H$9),"x","")</f>
        <v/>
      </c>
      <c r="Z4767" s="79"/>
      <c r="AA4767" s="79" t="str">
        <f>IF(AND(MONTH(E4767)='IN-NX'!$J$5,'IN-NX'!$D$7=D4767),"x","")</f>
        <v/>
      </c>
      <c r="AB4767" s="79" t="str">
        <f>IF(AND(OR(LEFT(TH!N4767,2)="15",LEFT(TH!O4767,2)="15"),LEFT(TH!O4767,3)&lt;&gt;"111",'152-CT'!$J$8=TH!F4767),"x","")</f>
        <v/>
      </c>
      <c r="AC4767" s="79" t="str">
        <f>IF(AND(OR(LEFT(TH!N4767,2)="15",LEFT(TH!O4767,2)="15"),TK!$E$7=TH!F4767),"x","")</f>
        <v/>
      </c>
      <c r="AD4767" s="79" t="str">
        <f>IF(AND(N4767="1521",MONTH(C4767)='BK-NL'!$M$11),"x","")</f>
        <v/>
      </c>
    </row>
    <row r="4768" spans="1:30" ht="16.5" customHeight="1">
      <c r="A4768" s="318" t="str">
        <f>IF(B4768&lt;&gt;"",IF(AND(B4768='[3]IN-TC'!$S$4,OR([3]TH!N3999="1111",[3]TH!O3999="1111")),[3]TH!D3999,""),"")</f>
        <v/>
      </c>
      <c r="B4768" s="60" t="str">
        <f t="shared" si="478"/>
        <v/>
      </c>
      <c r="C4768" s="61"/>
      <c r="D4768" s="61"/>
      <c r="E4768" s="61"/>
      <c r="F4768" s="302"/>
      <c r="G4768" s="64"/>
      <c r="H4768" s="69"/>
      <c r="I4768" s="385"/>
      <c r="J4768" s="395"/>
      <c r="K4768" s="385"/>
      <c r="L4768" s="392"/>
      <c r="M4768" s="62"/>
      <c r="N4768" s="63"/>
      <c r="O4768" s="63"/>
      <c r="P4768" s="79" t="str">
        <f>IF(AND('331-CT'!$E$7=TH!H4768,OR(N4768="331",O4768="331")),"x","")</f>
        <v/>
      </c>
      <c r="Q4768" s="79" t="str">
        <f>IF(AND(B4768='111'!$L$11,OR($N4768=$Q$7,$O4768=$Q$7)),"x","")</f>
        <v/>
      </c>
      <c r="R4768" s="79" t="str">
        <f>IF(AND($N4768=$Q$7,$B4768&lt;'111'!$L$11),"x","")</f>
        <v/>
      </c>
      <c r="S4768" s="79" t="str">
        <f>IF(AND($O4768=$Q$7,$B4768&lt;'111'!$L$11),"x","")</f>
        <v/>
      </c>
      <c r="T4768" s="79" t="str">
        <f>IF(ISERROR(FIND('112'!$M$9,G4768,1)),"",IF((AND(FIND('112'!$M$9,G4768,1)&gt;=1,B4768='112'!$K$9,OR($N4768='112'!$I$6,$O4768='112'!$I$6))),"x",""))</f>
        <v/>
      </c>
      <c r="U4768" s="79" t="str">
        <f>IF(ISERROR(FIND('112'!$M$9,G4768,1)),"",IF((AND(LEFT(G4768,2)=LEFT('112'!$M$9,2),B4768&lt;'112'!$K$9,$N4768='112'!$I$6)),"x",""))</f>
        <v/>
      </c>
      <c r="V4768" s="79" t="str">
        <f>IF(ISERROR(FIND('112'!$M$9,G4768,1)),"",IF((AND(RIGHT(G4768,2)=RIGHT('112'!$M$9,2),B4768&lt;'112'!$K$9,$O4768='112'!$I$6)),"x",""))</f>
        <v/>
      </c>
      <c r="W4768" s="79" t="str">
        <f>IF(AND('341-CT'!$H$9=H4768,OR(LEFT(N4768,3)=$W$7,LEFT(O4768,3)=$W$7)),"x","")</f>
        <v/>
      </c>
      <c r="X4768" s="79" t="str">
        <f>IF(OR(TH!N4768=TH!$X$7,O4768=TH!$X$7),"x","")</f>
        <v/>
      </c>
      <c r="Y4768" s="79" t="str">
        <f>IF(AND(OR(N4768="131",O4768="131"),H4768='131-CT'!$H$9),"x","")</f>
        <v/>
      </c>
      <c r="Z4768" s="79"/>
      <c r="AA4768" s="79" t="str">
        <f>IF(AND(MONTH(E4768)='IN-NX'!$J$5,'IN-NX'!$D$7=D4768),"x","")</f>
        <v/>
      </c>
      <c r="AB4768" s="79" t="str">
        <f>IF(AND(OR(LEFT(TH!N4768,2)="15",LEFT(TH!O4768,2)="15"),LEFT(TH!O4768,3)&lt;&gt;"111",'152-CT'!$J$8=TH!F4768),"x","")</f>
        <v/>
      </c>
      <c r="AC4768" s="79" t="str">
        <f>IF(AND(OR(LEFT(TH!N4768,2)="15",LEFT(TH!O4768,2)="15"),TK!$E$7=TH!F4768),"x","")</f>
        <v/>
      </c>
      <c r="AD4768" s="79" t="str">
        <f>IF(AND(N4768="1521",MONTH(C4768)='BK-NL'!$M$11),"x","")</f>
        <v/>
      </c>
    </row>
    <row r="4769" spans="1:30" ht="16.5" customHeight="1">
      <c r="A4769" s="318" t="str">
        <f>IF(B4769&lt;&gt;"",IF(AND(B4769='[3]IN-TC'!$S$4,OR([3]TH!N4000="1111",[3]TH!O4000="1111")),[3]TH!D4000,""),"")</f>
        <v/>
      </c>
      <c r="B4769" s="60" t="str">
        <f t="shared" si="478"/>
        <v/>
      </c>
      <c r="C4769" s="301"/>
      <c r="D4769" s="301"/>
      <c r="E4769" s="301"/>
      <c r="F4769" s="302"/>
      <c r="G4769" s="988"/>
      <c r="H4769" s="69"/>
      <c r="I4769" s="385"/>
      <c r="J4769" s="969"/>
      <c r="K4769" s="385"/>
      <c r="L4769" s="392"/>
      <c r="M4769" s="970"/>
      <c r="N4769" s="304"/>
      <c r="O4769" s="304"/>
      <c r="P4769" s="79" t="str">
        <f>IF(AND('331-CT'!$E$7=TH!H4769,OR(N4769="331",O4769="331")),"x","")</f>
        <v/>
      </c>
      <c r="Q4769" s="79" t="str">
        <f>IF(AND(B4769='111'!$L$11,OR($N4769=$Q$7,$O4769=$Q$7)),"x","")</f>
        <v/>
      </c>
      <c r="R4769" s="79" t="str">
        <f>IF(AND($N4769=$Q$7,$B4769&lt;'111'!$L$11),"x","")</f>
        <v/>
      </c>
      <c r="S4769" s="79" t="str">
        <f>IF(AND($O4769=$Q$7,$B4769&lt;'111'!$L$11),"x","")</f>
        <v/>
      </c>
      <c r="T4769" s="79" t="str">
        <f>IF(ISERROR(FIND('112'!$M$9,G4769,1)),"",IF((AND(FIND('112'!$M$9,G4769,1)&gt;=1,B4769='112'!$K$9,OR($N4769='112'!$I$6,$O4769='112'!$I$6))),"x",""))</f>
        <v/>
      </c>
      <c r="U4769" s="79" t="str">
        <f>IF(ISERROR(FIND('112'!$M$9,G4769,1)),"",IF((AND(LEFT(G4769,2)=LEFT('112'!$M$9,2),B4769&lt;'112'!$K$9,$N4769='112'!$I$6)),"x",""))</f>
        <v/>
      </c>
      <c r="V4769" s="79" t="str">
        <f>IF(ISERROR(FIND('112'!$M$9,G4769,1)),"",IF((AND(RIGHT(G4769,2)=RIGHT('112'!$M$9,2),B4769&lt;'112'!$K$9,$O4769='112'!$I$6)),"x",""))</f>
        <v/>
      </c>
      <c r="W4769" s="79" t="str">
        <f>IF(AND('341-CT'!$H$9=H4769,OR(LEFT(N4769,3)=$W$7,LEFT(O4769,3)=$W$7)),"x","")</f>
        <v/>
      </c>
      <c r="X4769" s="79" t="str">
        <f>IF(OR(TH!N4769=TH!$X$7,O4769=TH!$X$7),"x","")</f>
        <v/>
      </c>
      <c r="Y4769" s="79" t="str">
        <f>IF(AND(OR(N4769="131",O4769="131"),H4769='131-CT'!$H$9),"x","")</f>
        <v/>
      </c>
      <c r="Z4769" s="79"/>
      <c r="AA4769" s="79" t="str">
        <f>IF(AND(MONTH(E4769)='IN-NX'!$J$5,'IN-NX'!$D$7=D4769),"x","")</f>
        <v/>
      </c>
      <c r="AB4769" s="79" t="str">
        <f>IF(AND(OR(LEFT(TH!N4769,2)="15",LEFT(TH!O4769,2)="15"),LEFT(TH!O4769,3)&lt;&gt;"111",'152-CT'!$J$8=TH!F4769),"x","")</f>
        <v/>
      </c>
      <c r="AC4769" s="79" t="str">
        <f>IF(AND(OR(LEFT(TH!N4769,2)="15",LEFT(TH!O4769,2)="15"),TK!$E$7=TH!F4769),"x","")</f>
        <v/>
      </c>
      <c r="AD4769" s="79" t="str">
        <f>IF(AND(N4769="1521",MONTH(C4769)='BK-NL'!$M$11),"x","")</f>
        <v/>
      </c>
    </row>
    <row r="4770" spans="1:30" ht="16.5" customHeight="1">
      <c r="A4770" s="318" t="str">
        <f>IF(B4770&lt;&gt;"",IF(AND(B4770='[3]IN-TC'!$S$4,OR([3]TH!N4001="1111",[3]TH!O4001="1111")),[3]TH!D4001,""),"")</f>
        <v/>
      </c>
      <c r="B4770" s="60" t="str">
        <f t="shared" si="478"/>
        <v/>
      </c>
      <c r="C4770" s="61"/>
      <c r="D4770" s="61"/>
      <c r="E4770" s="61"/>
      <c r="F4770" s="69"/>
      <c r="G4770" s="64"/>
      <c r="H4770" s="303"/>
      <c r="I4770" s="385"/>
      <c r="J4770" s="392"/>
      <c r="K4770" s="385"/>
      <c r="L4770" s="392"/>
      <c r="M4770" s="62"/>
      <c r="N4770" s="63"/>
      <c r="O4770" s="63"/>
      <c r="P4770" s="79" t="str">
        <f>IF(AND('331-CT'!$E$7=TH!H4770,OR(N4770="331",O4770="331")),"x","")</f>
        <v/>
      </c>
      <c r="Q4770" s="79" t="str">
        <f>IF(AND(B4770='111'!$L$11,OR($N4770=$Q$7,$O4770=$Q$7)),"x","")</f>
        <v/>
      </c>
      <c r="R4770" s="79" t="str">
        <f>IF(AND($N4770=$Q$7,$B4770&lt;'111'!$L$11),"x","")</f>
        <v/>
      </c>
      <c r="S4770" s="79" t="str">
        <f>IF(AND($O4770=$Q$7,$B4770&lt;'111'!$L$11),"x","")</f>
        <v/>
      </c>
      <c r="T4770" s="79" t="str">
        <f>IF(ISERROR(FIND('112'!$M$9,G4770,1)),"",IF((AND(FIND('112'!$M$9,G4770,1)&gt;=1,B4770='112'!$K$9,OR($N4770='112'!$I$6,$O4770='112'!$I$6))),"x",""))</f>
        <v/>
      </c>
      <c r="U4770" s="79" t="str">
        <f>IF(ISERROR(FIND('112'!$M$9,G4770,1)),"",IF((AND(LEFT(G4770,2)=LEFT('112'!$M$9,2),B4770&lt;'112'!$K$9,$N4770='112'!$I$6)),"x",""))</f>
        <v/>
      </c>
      <c r="V4770" s="79" t="str">
        <f>IF(ISERROR(FIND('112'!$M$9,G4770,1)),"",IF((AND(RIGHT(G4770,2)=RIGHT('112'!$M$9,2),B4770&lt;'112'!$K$9,$O4770='112'!$I$6)),"x",""))</f>
        <v/>
      </c>
      <c r="W4770" s="79" t="str">
        <f>IF(AND('341-CT'!$H$9=H4770,OR(LEFT(N4770,3)=$W$7,LEFT(O4770,3)=$W$7)),"x","")</f>
        <v/>
      </c>
      <c r="X4770" s="79" t="str">
        <f>IF(OR(TH!N4770=TH!$X$7,O4770=TH!$X$7),"x","")</f>
        <v/>
      </c>
      <c r="Y4770" s="79" t="str">
        <f>IF(AND(OR(N4770="131",O4770="131"),H4770='131-CT'!$H$9),"x","")</f>
        <v/>
      </c>
      <c r="Z4770" s="79"/>
      <c r="AA4770" s="79" t="str">
        <f>IF(AND(MONTH(E4770)='IN-NX'!$J$5,'IN-NX'!$D$7=D4770),"x","")</f>
        <v/>
      </c>
      <c r="AB4770" s="79" t="str">
        <f>IF(AND(OR(LEFT(TH!N4770,2)="15",LEFT(TH!O4770,2)="15"),LEFT(TH!O4770,3)&lt;&gt;"111",'152-CT'!$J$8=TH!F4770),"x","")</f>
        <v/>
      </c>
      <c r="AC4770" s="79" t="str">
        <f>IF(AND(OR(LEFT(TH!N4770,2)="15",LEFT(TH!O4770,2)="15"),TK!$E$7=TH!F4770),"x","")</f>
        <v/>
      </c>
      <c r="AD4770" s="79" t="str">
        <f>IF(AND(N4770="1521",MONTH(C4770)='BK-NL'!$M$11),"x","")</f>
        <v/>
      </c>
    </row>
    <row r="4771" spans="1:30" ht="16.5" customHeight="1">
      <c r="A4771" s="318" t="str">
        <f>IF(B4771&lt;&gt;"",IF(AND(B4771='[3]IN-TC'!$S$4,OR([3]TH!N4002="1111",[3]TH!O4002="1111")),[3]TH!D4002,""),"")</f>
        <v/>
      </c>
      <c r="B4771" s="60" t="str">
        <f t="shared" si="478"/>
        <v/>
      </c>
      <c r="C4771" s="61"/>
      <c r="D4771" s="61"/>
      <c r="E4771" s="61"/>
      <c r="F4771" s="69"/>
      <c r="G4771" s="64"/>
      <c r="H4771" s="69"/>
      <c r="I4771" s="387"/>
      <c r="J4771" s="394"/>
      <c r="K4771" s="62"/>
      <c r="L4771" s="394"/>
      <c r="M4771" s="62"/>
      <c r="N4771" s="63"/>
      <c r="O4771" s="63"/>
      <c r="P4771" s="79" t="str">
        <f>IF(AND('331-CT'!$E$7=TH!H4771,OR(N4771="331",O4771="331")),"x","")</f>
        <v/>
      </c>
      <c r="Q4771" s="79" t="str">
        <f>IF(AND(B4771='111'!$L$11,OR($N4771=$Q$7,$O4771=$Q$7)),"x","")</f>
        <v/>
      </c>
      <c r="R4771" s="79" t="str">
        <f>IF(AND($N4771=$Q$7,$B4771&lt;'111'!$L$11),"x","")</f>
        <v/>
      </c>
      <c r="S4771" s="79" t="str">
        <f>IF(AND($O4771=$Q$7,$B4771&lt;'111'!$L$11),"x","")</f>
        <v/>
      </c>
      <c r="T4771" s="79" t="str">
        <f>IF(ISERROR(FIND('112'!$M$9,G4771,1)),"",IF((AND(FIND('112'!$M$9,G4771,1)&gt;=1,B4771='112'!$K$9,OR($N4771='112'!$I$6,$O4771='112'!$I$6))),"x",""))</f>
        <v/>
      </c>
      <c r="U4771" s="79" t="str">
        <f>IF(ISERROR(FIND('112'!$M$9,G4771,1)),"",IF((AND(LEFT(G4771,2)=LEFT('112'!$M$9,2),B4771&lt;'112'!$K$9,$N4771='112'!$I$6)),"x",""))</f>
        <v/>
      </c>
      <c r="V4771" s="79" t="str">
        <f>IF(ISERROR(FIND('112'!$M$9,G4771,1)),"",IF((AND(RIGHT(G4771,2)=RIGHT('112'!$M$9,2),B4771&lt;'112'!$K$9,$O4771='112'!$I$6)),"x",""))</f>
        <v/>
      </c>
      <c r="W4771" s="79" t="str">
        <f>IF(AND('341-CT'!$H$9=H4771,OR(LEFT(N4771,3)=$W$7,LEFT(O4771,3)=$W$7)),"x","")</f>
        <v/>
      </c>
      <c r="X4771" s="79" t="str">
        <f>IF(OR(TH!N4771=TH!$X$7,O4771=TH!$X$7),"x","")</f>
        <v/>
      </c>
      <c r="Y4771" s="79" t="str">
        <f>IF(AND(OR(N4771="131",O4771="131"),H4771='131-CT'!$H$9),"x","")</f>
        <v/>
      </c>
      <c r="Z4771" s="79"/>
      <c r="AA4771" s="79" t="str">
        <f>IF(AND(MONTH(E4771)='IN-NX'!$J$5,'IN-NX'!$D$7=D4771),"x","")</f>
        <v/>
      </c>
      <c r="AB4771" s="79" t="str">
        <f>IF(AND(OR(LEFT(TH!N4771,2)="15",LEFT(TH!O4771,2)="15"),LEFT(TH!O4771,3)&lt;&gt;"111",'152-CT'!$J$8=TH!F4771),"x","")</f>
        <v/>
      </c>
      <c r="AC4771" s="79" t="str">
        <f>IF(AND(OR(LEFT(TH!N4771,2)="15",LEFT(TH!O4771,2)="15"),TK!$E$7=TH!F4771),"x","")</f>
        <v/>
      </c>
      <c r="AD4771" s="79" t="str">
        <f>IF(AND(N4771="1521",MONTH(C4771)='BK-NL'!$M$11),"x","")</f>
        <v/>
      </c>
    </row>
    <row r="4772" spans="1:30" ht="16.5" customHeight="1">
      <c r="A4772" s="318" t="str">
        <f>IF(B4772&lt;&gt;"",IF(AND(B4772='[3]IN-TC'!$S$4,OR([3]TH!N4003="1111",[3]TH!O4003="1111")),[3]TH!D4003,""),"")</f>
        <v/>
      </c>
      <c r="B4772" s="60" t="str">
        <f t="shared" si="478"/>
        <v/>
      </c>
      <c r="C4772" s="61"/>
      <c r="D4772" s="61"/>
      <c r="E4772" s="61"/>
      <c r="F4772" s="69"/>
      <c r="G4772" s="64"/>
      <c r="H4772" s="69"/>
      <c r="I4772" s="387"/>
      <c r="J4772" s="394"/>
      <c r="K4772" s="387"/>
      <c r="L4772" s="394"/>
      <c r="M4772" s="62"/>
      <c r="N4772" s="63"/>
      <c r="O4772" s="63"/>
      <c r="P4772" s="79" t="str">
        <f>IF(AND('331-CT'!$E$7=TH!H4772,OR(N4772="331",O4772="331")),"x","")</f>
        <v/>
      </c>
      <c r="Q4772" s="79" t="str">
        <f>IF(AND(B4772='111'!$L$11,OR($N4772=$Q$7,$O4772=$Q$7)),"x","")</f>
        <v/>
      </c>
      <c r="R4772" s="79" t="str">
        <f>IF(AND($N4772=$Q$7,$B4772&lt;'111'!$L$11),"x","")</f>
        <v/>
      </c>
      <c r="S4772" s="79" t="str">
        <f>IF(AND($O4772=$Q$7,$B4772&lt;'111'!$L$11),"x","")</f>
        <v/>
      </c>
      <c r="T4772" s="79" t="str">
        <f>IF(ISERROR(FIND('112'!$M$9,G4772,1)),"",IF((AND(FIND('112'!$M$9,G4772,1)&gt;=1,B4772='112'!$K$9,OR($N4772='112'!$I$6,$O4772='112'!$I$6))),"x",""))</f>
        <v/>
      </c>
      <c r="U4772" s="79" t="str">
        <f>IF(ISERROR(FIND('112'!$M$9,G4772,1)),"",IF((AND(LEFT(G4772,2)=LEFT('112'!$M$9,2),B4772&lt;'112'!$K$9,$N4772='112'!$I$6)),"x",""))</f>
        <v/>
      </c>
      <c r="V4772" s="79" t="str">
        <f>IF(ISERROR(FIND('112'!$M$9,G4772,1)),"",IF((AND(RIGHT(G4772,2)=RIGHT('112'!$M$9,2),B4772&lt;'112'!$K$9,$O4772='112'!$I$6)),"x",""))</f>
        <v/>
      </c>
      <c r="W4772" s="79" t="str">
        <f>IF(AND('341-CT'!$H$9=H4772,OR(LEFT(N4772,3)=$W$7,LEFT(O4772,3)=$W$7)),"x","")</f>
        <v/>
      </c>
      <c r="X4772" s="79" t="str">
        <f>IF(OR(TH!N4772=TH!$X$7,O4772=TH!$X$7),"x","")</f>
        <v/>
      </c>
      <c r="Y4772" s="79" t="str">
        <f>IF(AND(OR(N4772="131",O4772="131"),H4772='131-CT'!$H$9),"x","")</f>
        <v/>
      </c>
      <c r="Z4772" s="79"/>
      <c r="AA4772" s="79" t="str">
        <f>IF(AND(MONTH(E4772)='IN-NX'!$J$5,'IN-NX'!$D$7=D4772),"x","")</f>
        <v/>
      </c>
      <c r="AB4772" s="79" t="str">
        <f>IF(AND(OR(LEFT(TH!N4772,2)="15",LEFT(TH!O4772,2)="15"),LEFT(TH!O4772,3)&lt;&gt;"111",'152-CT'!$J$8=TH!F4772),"x","")</f>
        <v/>
      </c>
      <c r="AC4772" s="79" t="str">
        <f>IF(AND(OR(LEFT(TH!N4772,2)="15",LEFT(TH!O4772,2)="15"),TK!$E$7=TH!F4772),"x","")</f>
        <v/>
      </c>
      <c r="AD4772" s="79" t="str">
        <f>IF(AND(N4772="1521",MONTH(C4772)='BK-NL'!$M$11),"x","")</f>
        <v/>
      </c>
    </row>
    <row r="4773" spans="1:30" ht="16.5" customHeight="1">
      <c r="A4773" s="318" t="str">
        <f>IF(B4773&lt;&gt;"",IF(AND(B4773='[3]IN-TC'!$S$4,OR([3]TH!N4004="1111",[3]TH!O4004="1111")),[3]TH!D4004,""),"")</f>
        <v/>
      </c>
      <c r="B4773" s="60" t="str">
        <f t="shared" si="478"/>
        <v/>
      </c>
      <c r="C4773" s="301"/>
      <c r="D4773" s="301"/>
      <c r="E4773" s="301"/>
      <c r="F4773" s="302"/>
      <c r="G4773" s="988"/>
      <c r="H4773" s="69"/>
      <c r="I4773" s="385"/>
      <c r="J4773" s="969"/>
      <c r="K4773" s="385"/>
      <c r="L4773" s="392"/>
      <c r="M4773" s="970"/>
      <c r="N4773" s="304"/>
      <c r="O4773" s="304"/>
      <c r="P4773" s="79" t="str">
        <f>IF(AND('331-CT'!$E$7=TH!H4773,OR(N4773="331",O4773="331")),"x","")</f>
        <v/>
      </c>
      <c r="Q4773" s="79" t="str">
        <f>IF(AND(B4773='111'!$L$11,OR($N4773=$Q$7,$O4773=$Q$7)),"x","")</f>
        <v/>
      </c>
      <c r="R4773" s="79" t="str">
        <f>IF(AND($N4773=$Q$7,$B4773&lt;'111'!$L$11),"x","")</f>
        <v/>
      </c>
      <c r="S4773" s="79" t="str">
        <f>IF(AND($O4773=$Q$7,$B4773&lt;'111'!$L$11),"x","")</f>
        <v/>
      </c>
      <c r="T4773" s="79" t="str">
        <f>IF(ISERROR(FIND('112'!$M$9,G4773,1)),"",IF((AND(FIND('112'!$M$9,G4773,1)&gt;=1,B4773='112'!$K$9,OR($N4773='112'!$I$6,$O4773='112'!$I$6))),"x",""))</f>
        <v/>
      </c>
      <c r="U4773" s="79" t="str">
        <f>IF(ISERROR(FIND('112'!$M$9,G4773,1)),"",IF((AND(LEFT(G4773,2)=LEFT('112'!$M$9,2),B4773&lt;'112'!$K$9,$N4773='112'!$I$6)),"x",""))</f>
        <v/>
      </c>
      <c r="V4773" s="79" t="str">
        <f>IF(ISERROR(FIND('112'!$M$9,G4773,1)),"",IF((AND(RIGHT(G4773,2)=RIGHT('112'!$M$9,2),B4773&lt;'112'!$K$9,$O4773='112'!$I$6)),"x",""))</f>
        <v/>
      </c>
      <c r="W4773" s="79" t="str">
        <f>IF(AND('341-CT'!$H$9=H4773,OR(LEFT(N4773,3)=$W$7,LEFT(O4773,3)=$W$7)),"x","")</f>
        <v/>
      </c>
      <c r="X4773" s="79" t="str">
        <f>IF(OR(TH!N4773=TH!$X$7,O4773=TH!$X$7),"x","")</f>
        <v/>
      </c>
      <c r="Y4773" s="79" t="str">
        <f>IF(AND(OR(N4773="131",O4773="131"),H4773='131-CT'!$H$9),"x","")</f>
        <v/>
      </c>
      <c r="Z4773" s="79"/>
      <c r="AA4773" s="79" t="str">
        <f>IF(AND(MONTH(E4773)='IN-NX'!$J$5,'IN-NX'!$D$7=D4773),"x","")</f>
        <v/>
      </c>
      <c r="AB4773" s="79" t="str">
        <f>IF(AND(OR(LEFT(TH!N4773,2)="15",LEFT(TH!O4773,2)="15"),LEFT(TH!O4773,3)&lt;&gt;"111",'152-CT'!$J$8=TH!F4773),"x","")</f>
        <v/>
      </c>
      <c r="AC4773" s="79" t="str">
        <f>IF(AND(OR(LEFT(TH!N4773,2)="15",LEFT(TH!O4773,2)="15"),TK!$E$7=TH!F4773),"x","")</f>
        <v/>
      </c>
      <c r="AD4773" s="79" t="str">
        <f>IF(AND(N4773="1521",MONTH(C4773)='BK-NL'!$M$11),"x","")</f>
        <v/>
      </c>
    </row>
    <row r="4774" spans="1:30" ht="16.5" customHeight="1">
      <c r="A4774" s="318" t="str">
        <f>IF(B4774&lt;&gt;"",IF(AND(B4774='[3]IN-TC'!$S$4,OR([3]TH!N4005="1111",[3]TH!O4005="1111")),[3]TH!D4005,""),"")</f>
        <v/>
      </c>
      <c r="B4774" s="60" t="str">
        <f t="shared" si="478"/>
        <v/>
      </c>
      <c r="C4774" s="61"/>
      <c r="D4774" s="61"/>
      <c r="E4774" s="61"/>
      <c r="F4774" s="302"/>
      <c r="G4774" s="64"/>
      <c r="H4774" s="69"/>
      <c r="I4774" s="385"/>
      <c r="J4774" s="395"/>
      <c r="K4774" s="385"/>
      <c r="L4774" s="392"/>
      <c r="M4774" s="62"/>
      <c r="N4774" s="63"/>
      <c r="O4774" s="63"/>
      <c r="P4774" s="79" t="str">
        <f>IF(AND('331-CT'!$E$7=TH!H4774,OR(N4774="331",O4774="331")),"x","")</f>
        <v/>
      </c>
      <c r="Q4774" s="79" t="str">
        <f>IF(AND(B4774='111'!$L$11,OR($N4774=$Q$7,$O4774=$Q$7)),"x","")</f>
        <v/>
      </c>
      <c r="R4774" s="79" t="str">
        <f>IF(AND($N4774=$Q$7,$B4774&lt;'111'!$L$11),"x","")</f>
        <v/>
      </c>
      <c r="S4774" s="79" t="str">
        <f>IF(AND($O4774=$Q$7,$B4774&lt;'111'!$L$11),"x","")</f>
        <v/>
      </c>
      <c r="T4774" s="79" t="str">
        <f>IF(ISERROR(FIND('112'!$M$9,G4774,1)),"",IF((AND(FIND('112'!$M$9,G4774,1)&gt;=1,B4774='112'!$K$9,OR($N4774='112'!$I$6,$O4774='112'!$I$6))),"x",""))</f>
        <v/>
      </c>
      <c r="U4774" s="79" t="str">
        <f>IF(ISERROR(FIND('112'!$M$9,G4774,1)),"",IF((AND(LEFT(G4774,2)=LEFT('112'!$M$9,2),B4774&lt;'112'!$K$9,$N4774='112'!$I$6)),"x",""))</f>
        <v/>
      </c>
      <c r="V4774" s="79" t="str">
        <f>IF(ISERROR(FIND('112'!$M$9,G4774,1)),"",IF((AND(RIGHT(G4774,2)=RIGHT('112'!$M$9,2),B4774&lt;'112'!$K$9,$O4774='112'!$I$6)),"x",""))</f>
        <v/>
      </c>
      <c r="W4774" s="79" t="str">
        <f>IF(AND('341-CT'!$H$9=H4774,OR(LEFT(N4774,3)=$W$7,LEFT(O4774,3)=$W$7)),"x","")</f>
        <v/>
      </c>
      <c r="X4774" s="79" t="str">
        <f>IF(OR(TH!N4774=TH!$X$7,O4774=TH!$X$7),"x","")</f>
        <v/>
      </c>
      <c r="Y4774" s="79" t="str">
        <f>IF(AND(OR(N4774="131",O4774="131"),H4774='131-CT'!$H$9),"x","")</f>
        <v/>
      </c>
      <c r="Z4774" s="79"/>
      <c r="AA4774" s="79" t="str">
        <f>IF(AND(MONTH(E4774)='IN-NX'!$J$5,'IN-NX'!$D$7=D4774),"x","")</f>
        <v/>
      </c>
      <c r="AB4774" s="79" t="str">
        <f>IF(AND(OR(LEFT(TH!N4774,2)="15",LEFT(TH!O4774,2)="15"),LEFT(TH!O4774,3)&lt;&gt;"111",'152-CT'!$J$8=TH!F4774),"x","")</f>
        <v/>
      </c>
      <c r="AC4774" s="79" t="str">
        <f>IF(AND(OR(LEFT(TH!N4774,2)="15",LEFT(TH!O4774,2)="15"),TK!$E$7=TH!F4774),"x","")</f>
        <v/>
      </c>
      <c r="AD4774" s="79" t="str">
        <f>IF(AND(N4774="1521",MONTH(C4774)='BK-NL'!$M$11),"x","")</f>
        <v/>
      </c>
    </row>
    <row r="4775" spans="1:30" ht="16.5" customHeight="1">
      <c r="A4775" s="318" t="str">
        <f>IF(B4775&lt;&gt;"",IF(AND(B4775='[3]IN-TC'!$S$4,OR([3]TH!N4006="1111",[3]TH!O4006="1111")),[3]TH!D4006,""),"")</f>
        <v/>
      </c>
      <c r="B4775" s="60" t="str">
        <f t="shared" si="478"/>
        <v/>
      </c>
      <c r="C4775" s="61"/>
      <c r="D4775" s="61"/>
      <c r="E4775" s="61"/>
      <c r="F4775" s="64"/>
      <c r="G4775" s="64"/>
      <c r="H4775" s="69"/>
      <c r="I4775" s="385"/>
      <c r="J4775" s="395"/>
      <c r="K4775" s="385"/>
      <c r="L4775" s="392"/>
      <c r="M4775" s="62"/>
      <c r="N4775" s="63"/>
      <c r="O4775" s="304"/>
      <c r="P4775" s="79" t="str">
        <f>IF(AND('331-CT'!$E$7=TH!H4775,OR(N4775="331",O4775="331")),"x","")</f>
        <v/>
      </c>
      <c r="Q4775" s="79" t="str">
        <f>IF(AND(B4775='111'!$L$11,OR($N4775=$Q$7,$O4775=$Q$7)),"x","")</f>
        <v/>
      </c>
      <c r="R4775" s="79" t="str">
        <f>IF(AND($N4775=$Q$7,$B4775&lt;'111'!$L$11),"x","")</f>
        <v/>
      </c>
      <c r="S4775" s="79" t="str">
        <f>IF(AND($O4775=$Q$7,$B4775&lt;'111'!$L$11),"x","")</f>
        <v/>
      </c>
      <c r="T4775" s="79" t="str">
        <f>IF(ISERROR(FIND('112'!$M$9,G4775,1)),"",IF((AND(FIND('112'!$M$9,G4775,1)&gt;=1,B4775='112'!$K$9,OR($N4775='112'!$I$6,$O4775='112'!$I$6))),"x",""))</f>
        <v/>
      </c>
      <c r="U4775" s="79" t="str">
        <f>IF(ISERROR(FIND('112'!$M$9,G4775,1)),"",IF((AND(LEFT(G4775,2)=LEFT('112'!$M$9,2),B4775&lt;'112'!$K$9,$N4775='112'!$I$6)),"x",""))</f>
        <v/>
      </c>
      <c r="V4775" s="79" t="str">
        <f>IF(ISERROR(FIND('112'!$M$9,G4775,1)),"",IF((AND(RIGHT(G4775,2)=RIGHT('112'!$M$9,2),B4775&lt;'112'!$K$9,$O4775='112'!$I$6)),"x",""))</f>
        <v/>
      </c>
      <c r="W4775" s="79" t="str">
        <f>IF(AND('341-CT'!$H$9=H4775,OR(LEFT(N4775,3)=$W$7,LEFT(O4775,3)=$W$7)),"x","")</f>
        <v/>
      </c>
      <c r="X4775" s="79" t="str">
        <f>IF(OR(TH!N4775=TH!$X$7,O4775=TH!$X$7),"x","")</f>
        <v/>
      </c>
      <c r="Y4775" s="79" t="str">
        <f>IF(AND(OR(N4775="131",O4775="131"),H4775='131-CT'!$H$9),"x","")</f>
        <v/>
      </c>
      <c r="Z4775" s="79"/>
      <c r="AA4775" s="79" t="str">
        <f>IF(AND(MONTH(E4775)='IN-NX'!$J$5,'IN-NX'!$D$7=D4775),"x","")</f>
        <v/>
      </c>
      <c r="AB4775" s="79" t="str">
        <f>IF(AND(OR(LEFT(TH!N4775,2)="15",LEFT(TH!O4775,2)="15"),LEFT(TH!O4775,3)&lt;&gt;"111",'152-CT'!$J$8=TH!F4775),"x","")</f>
        <v/>
      </c>
      <c r="AC4775" s="79" t="str">
        <f>IF(AND(OR(LEFT(TH!N4775,2)="15",LEFT(TH!O4775,2)="15"),TK!$E$7=TH!F4775),"x","")</f>
        <v/>
      </c>
      <c r="AD4775" s="79" t="str">
        <f>IF(AND(N4775="1521",MONTH(C4775)='BK-NL'!$M$11),"x","")</f>
        <v/>
      </c>
    </row>
    <row r="4776" spans="1:30" ht="16.5" customHeight="1">
      <c r="A4776" s="318" t="str">
        <f>IF(B4776&lt;&gt;"",IF(AND(B4776='[3]IN-TC'!$S$4,OR([3]TH!N4007="1111",[3]TH!O4007="1111")),[3]TH!D4007,""),"")</f>
        <v/>
      </c>
      <c r="B4776" s="60" t="str">
        <f t="shared" si="478"/>
        <v/>
      </c>
      <c r="C4776" s="61"/>
      <c r="D4776" s="61"/>
      <c r="E4776" s="61"/>
      <c r="F4776" s="69"/>
      <c r="G4776" s="64"/>
      <c r="H4776" s="69"/>
      <c r="I4776" s="385"/>
      <c r="J4776" s="392"/>
      <c r="K4776" s="392"/>
      <c r="L4776" s="392"/>
      <c r="M4776" s="392"/>
      <c r="N4776" s="63"/>
      <c r="O4776" s="63"/>
      <c r="P4776" s="79" t="str">
        <f>IF(AND('331-CT'!$E$7=TH!H4776,OR(N4776="331",O4776="331")),"x","")</f>
        <v/>
      </c>
      <c r="Q4776" s="79" t="str">
        <f>IF(AND(B4776='111'!$L$11,OR($N4776=$Q$7,$O4776=$Q$7)),"x","")</f>
        <v/>
      </c>
      <c r="R4776" s="79" t="str">
        <f>IF(AND($N4776=$Q$7,$B4776&lt;'111'!$L$11),"x","")</f>
        <v/>
      </c>
      <c r="S4776" s="79" t="str">
        <f>IF(AND($O4776=$Q$7,$B4776&lt;'111'!$L$11),"x","")</f>
        <v/>
      </c>
      <c r="T4776" s="79" t="str">
        <f>IF(ISERROR(FIND('112'!$M$9,G4776,1)),"",IF((AND(FIND('112'!$M$9,G4776,1)&gt;=1,B4776='112'!$K$9,OR($N4776='112'!$I$6,$O4776='112'!$I$6))),"x",""))</f>
        <v/>
      </c>
      <c r="U4776" s="79" t="str">
        <f>IF(ISERROR(FIND('112'!$M$9,G4776,1)),"",IF((AND(LEFT(G4776,2)=LEFT('112'!$M$9,2),B4776&lt;'112'!$K$9,$N4776='112'!$I$6)),"x",""))</f>
        <v/>
      </c>
      <c r="V4776" s="79" t="str">
        <f>IF(ISERROR(FIND('112'!$M$9,G4776,1)),"",IF((AND(RIGHT(G4776,2)=RIGHT('112'!$M$9,2),B4776&lt;'112'!$K$9,$O4776='112'!$I$6)),"x",""))</f>
        <v/>
      </c>
      <c r="W4776" s="79" t="str">
        <f>IF(AND('341-CT'!$H$9=H4776,OR(LEFT(N4776,3)=$W$7,LEFT(O4776,3)=$W$7)),"x","")</f>
        <v/>
      </c>
      <c r="X4776" s="79" t="str">
        <f>IF(OR(TH!N4776=TH!$X$7,O4776=TH!$X$7),"x","")</f>
        <v/>
      </c>
      <c r="Y4776" s="79" t="str">
        <f>IF(AND(OR(N4776="131",O4776="131"),H4776='131-CT'!$H$9),"x","")</f>
        <v/>
      </c>
      <c r="Z4776" s="79"/>
      <c r="AA4776" s="79" t="str">
        <f>IF(AND(MONTH(E4776)='IN-NX'!$J$5,'IN-NX'!$D$7=D4776),"x","")</f>
        <v/>
      </c>
      <c r="AB4776" s="79" t="str">
        <f>IF(AND(OR(LEFT(TH!N4776,2)="15",LEFT(TH!O4776,2)="15"),LEFT(TH!O4776,3)&lt;&gt;"111",'152-CT'!$J$8=TH!F4776),"x","")</f>
        <v/>
      </c>
      <c r="AC4776" s="79" t="str">
        <f>IF(AND(OR(LEFT(TH!N4776,2)="15",LEFT(TH!O4776,2)="15"),TK!$E$7=TH!F4776),"x","")</f>
        <v/>
      </c>
      <c r="AD4776" s="79" t="str">
        <f>IF(AND(N4776="1521",MONTH(C4776)='BK-NL'!$M$11),"x","")</f>
        <v/>
      </c>
    </row>
    <row r="4777" spans="1:30" ht="16.5" customHeight="1">
      <c r="A4777" s="318" t="str">
        <f>IF(B4777&lt;&gt;"",IF(AND(B4777='[3]IN-TC'!$S$4,OR([3]TH!N4008="1111",[3]TH!O4008="1111")),[3]TH!D4008,""),"")</f>
        <v/>
      </c>
      <c r="B4777" s="60" t="str">
        <f t="shared" si="478"/>
        <v/>
      </c>
      <c r="C4777" s="61"/>
      <c r="D4777" s="61"/>
      <c r="E4777" s="61"/>
      <c r="F4777" s="69"/>
      <c r="G4777" s="64"/>
      <c r="H4777" s="69"/>
      <c r="I4777" s="385"/>
      <c r="J4777" s="392"/>
      <c r="K4777" s="392"/>
      <c r="L4777" s="392"/>
      <c r="M4777" s="392"/>
      <c r="N4777" s="63"/>
      <c r="O4777" s="63"/>
      <c r="P4777" s="79" t="str">
        <f>IF(AND('331-CT'!$E$7=TH!H4777,OR(N4777="331",O4777="331")),"x","")</f>
        <v/>
      </c>
      <c r="Q4777" s="79" t="str">
        <f>IF(AND(B4777='111'!$L$11,OR($N4777=$Q$7,$O4777=$Q$7)),"x","")</f>
        <v/>
      </c>
      <c r="R4777" s="79" t="str">
        <f>IF(AND($N4777=$Q$7,$B4777&lt;'111'!$L$11),"x","")</f>
        <v/>
      </c>
      <c r="S4777" s="79" t="str">
        <f>IF(AND($O4777=$Q$7,$B4777&lt;'111'!$L$11),"x","")</f>
        <v/>
      </c>
      <c r="T4777" s="79" t="str">
        <f>IF(ISERROR(FIND('112'!$M$9,G4777,1)),"",IF((AND(FIND('112'!$M$9,G4777,1)&gt;=1,B4777='112'!$K$9,OR($N4777='112'!$I$6,$O4777='112'!$I$6))),"x",""))</f>
        <v/>
      </c>
      <c r="U4777" s="79" t="str">
        <f>IF(ISERROR(FIND('112'!$M$9,G4777,1)),"",IF((AND(LEFT(G4777,2)=LEFT('112'!$M$9,2),B4777&lt;'112'!$K$9,$N4777='112'!$I$6)),"x",""))</f>
        <v/>
      </c>
      <c r="V4777" s="79" t="str">
        <f>IF(ISERROR(FIND('112'!$M$9,G4777,1)),"",IF((AND(RIGHT(G4777,2)=RIGHT('112'!$M$9,2),B4777&lt;'112'!$K$9,$O4777='112'!$I$6)),"x",""))</f>
        <v/>
      </c>
      <c r="W4777" s="79" t="str">
        <f>IF(AND('341-CT'!$H$9=H4777,OR(LEFT(N4777,3)=$W$7,LEFT(O4777,3)=$W$7)),"x","")</f>
        <v/>
      </c>
      <c r="X4777" s="79" t="str">
        <f>IF(OR(TH!N4777=TH!$X$7,O4777=TH!$X$7),"x","")</f>
        <v/>
      </c>
      <c r="Y4777" s="79" t="str">
        <f>IF(AND(OR(N4777="131",O4777="131"),H4777='131-CT'!$H$9),"x","")</f>
        <v/>
      </c>
      <c r="Z4777" s="79"/>
      <c r="AA4777" s="79" t="str">
        <f>IF(AND(MONTH(E4777)='IN-NX'!$J$5,'IN-NX'!$D$7=D4777),"x","")</f>
        <v/>
      </c>
      <c r="AB4777" s="79" t="str">
        <f>IF(AND(OR(LEFT(TH!N4777,2)="15",LEFT(TH!O4777,2)="15"),LEFT(TH!O4777,3)&lt;&gt;"111",'152-CT'!$J$8=TH!F4777),"x","")</f>
        <v/>
      </c>
      <c r="AC4777" s="79" t="str">
        <f>IF(AND(OR(LEFT(TH!N4777,2)="15",LEFT(TH!O4777,2)="15"),TK!$E$7=TH!F4777),"x","")</f>
        <v/>
      </c>
      <c r="AD4777" s="79" t="str">
        <f>IF(AND(N4777="1521",MONTH(C4777)='BK-NL'!$M$11),"x","")</f>
        <v/>
      </c>
    </row>
    <row r="4778" spans="1:30" ht="16.5" customHeight="1">
      <c r="A4778" s="318" t="str">
        <f>IF(B4778&lt;&gt;"",IF(AND(B4778='[3]IN-TC'!$S$4,OR([3]TH!N4009="1111",[3]TH!O4009="1111")),[3]TH!D4009,""),"")</f>
        <v/>
      </c>
      <c r="B4778" s="60" t="str">
        <f t="shared" si="478"/>
        <v/>
      </c>
      <c r="C4778" s="61"/>
      <c r="D4778" s="61"/>
      <c r="E4778" s="61"/>
      <c r="F4778" s="69"/>
      <c r="G4778" s="64"/>
      <c r="H4778" s="69"/>
      <c r="I4778" s="385"/>
      <c r="J4778" s="392"/>
      <c r="K4778" s="392"/>
      <c r="L4778" s="392"/>
      <c r="M4778" s="392"/>
      <c r="N4778" s="63"/>
      <c r="O4778" s="63"/>
      <c r="P4778" s="79" t="str">
        <f>IF(AND('331-CT'!$E$7=TH!H4778,OR(N4778="331",O4778="331")),"x","")</f>
        <v/>
      </c>
      <c r="Q4778" s="79" t="str">
        <f>IF(AND(B4778='111'!$L$11,OR($N4778=$Q$7,$O4778=$Q$7)),"x","")</f>
        <v/>
      </c>
      <c r="R4778" s="79" t="str">
        <f>IF(AND($N4778=$Q$7,$B4778&lt;'111'!$L$11),"x","")</f>
        <v/>
      </c>
      <c r="S4778" s="79" t="str">
        <f>IF(AND($O4778=$Q$7,$B4778&lt;'111'!$L$11),"x","")</f>
        <v/>
      </c>
      <c r="T4778" s="79" t="str">
        <f>IF(ISERROR(FIND('112'!$M$9,G4778,1)),"",IF((AND(FIND('112'!$M$9,G4778,1)&gt;=1,B4778='112'!$K$9,OR($N4778='112'!$I$6,$O4778='112'!$I$6))),"x",""))</f>
        <v/>
      </c>
      <c r="U4778" s="79" t="str">
        <f>IF(ISERROR(FIND('112'!$M$9,G4778,1)),"",IF((AND(LEFT(G4778,2)=LEFT('112'!$M$9,2),B4778&lt;'112'!$K$9,$N4778='112'!$I$6)),"x",""))</f>
        <v/>
      </c>
      <c r="V4778" s="79" t="str">
        <f>IF(ISERROR(FIND('112'!$M$9,G4778,1)),"",IF((AND(RIGHT(G4778,2)=RIGHT('112'!$M$9,2),B4778&lt;'112'!$K$9,$O4778='112'!$I$6)),"x",""))</f>
        <v/>
      </c>
      <c r="W4778" s="79" t="str">
        <f>IF(AND('341-CT'!$H$9=H4778,OR(LEFT(N4778,3)=$W$7,LEFT(O4778,3)=$W$7)),"x","")</f>
        <v/>
      </c>
      <c r="X4778" s="79" t="str">
        <f>IF(OR(TH!N4778=TH!$X$7,O4778=TH!$X$7),"x","")</f>
        <v/>
      </c>
      <c r="Y4778" s="79" t="str">
        <f>IF(AND(OR(N4778="131",O4778="131"),H4778='131-CT'!$H$9),"x","")</f>
        <v/>
      </c>
      <c r="Z4778" s="79"/>
      <c r="AA4778" s="79" t="str">
        <f>IF(AND(MONTH(E4778)='IN-NX'!$J$5,'IN-NX'!$D$7=D4778),"x","")</f>
        <v/>
      </c>
      <c r="AB4778" s="79" t="str">
        <f>IF(AND(OR(LEFT(TH!N4778,2)="15",LEFT(TH!O4778,2)="15"),LEFT(TH!O4778,3)&lt;&gt;"111",'152-CT'!$J$8=TH!F4778),"x","")</f>
        <v/>
      </c>
      <c r="AC4778" s="79" t="str">
        <f>IF(AND(OR(LEFT(TH!N4778,2)="15",LEFT(TH!O4778,2)="15"),TK!$E$7=TH!F4778),"x","")</f>
        <v/>
      </c>
      <c r="AD4778" s="79" t="str">
        <f>IF(AND(N4778="1521",MONTH(C4778)='BK-NL'!$M$11),"x","")</f>
        <v/>
      </c>
    </row>
    <row r="4779" spans="1:30" ht="16.5" customHeight="1">
      <c r="A4779" s="318" t="str">
        <f>IF(B4779&lt;&gt;"",IF(AND(B4779='[3]IN-TC'!$S$4,OR([3]TH!N4010="1111",[3]TH!O4010="1111")),[3]TH!D4010,""),"")</f>
        <v/>
      </c>
      <c r="B4779" s="60" t="str">
        <f t="shared" si="478"/>
        <v/>
      </c>
      <c r="C4779" s="61"/>
      <c r="D4779" s="61"/>
      <c r="E4779" s="61"/>
      <c r="F4779" s="69"/>
      <c r="G4779" s="64"/>
      <c r="H4779" s="69"/>
      <c r="I4779" s="385"/>
      <c r="J4779" s="392"/>
      <c r="K4779" s="392"/>
      <c r="L4779" s="392"/>
      <c r="M4779" s="392"/>
      <c r="N4779" s="63"/>
      <c r="O4779" s="63"/>
      <c r="P4779" s="79" t="str">
        <f>IF(AND('331-CT'!$E$7=TH!H4779,OR(N4779="331",O4779="331")),"x","")</f>
        <v/>
      </c>
      <c r="Q4779" s="79" t="str">
        <f>IF(AND(B4779='111'!$L$11,OR($N4779=$Q$7,$O4779=$Q$7)),"x","")</f>
        <v/>
      </c>
      <c r="R4779" s="79" t="str">
        <f>IF(AND($N4779=$Q$7,$B4779&lt;'111'!$L$11),"x","")</f>
        <v/>
      </c>
      <c r="S4779" s="79" t="str">
        <f>IF(AND($O4779=$Q$7,$B4779&lt;'111'!$L$11),"x","")</f>
        <v/>
      </c>
      <c r="T4779" s="79" t="str">
        <f>IF(ISERROR(FIND('112'!$M$9,G4779,1)),"",IF((AND(FIND('112'!$M$9,G4779,1)&gt;=1,B4779='112'!$K$9,OR($N4779='112'!$I$6,$O4779='112'!$I$6))),"x",""))</f>
        <v/>
      </c>
      <c r="U4779" s="79" t="str">
        <f>IF(ISERROR(FIND('112'!$M$9,G4779,1)),"",IF((AND(LEFT(G4779,2)=LEFT('112'!$M$9,2),B4779&lt;'112'!$K$9,$N4779='112'!$I$6)),"x",""))</f>
        <v/>
      </c>
      <c r="V4779" s="79" t="str">
        <f>IF(ISERROR(FIND('112'!$M$9,G4779,1)),"",IF((AND(RIGHT(G4779,2)=RIGHT('112'!$M$9,2),B4779&lt;'112'!$K$9,$O4779='112'!$I$6)),"x",""))</f>
        <v/>
      </c>
      <c r="W4779" s="79" t="str">
        <f>IF(AND('341-CT'!$H$9=H4779,OR(LEFT(N4779,3)=$W$7,LEFT(O4779,3)=$W$7)),"x","")</f>
        <v/>
      </c>
      <c r="X4779" s="79" t="str">
        <f>IF(OR(TH!N4779=TH!$X$7,O4779=TH!$X$7),"x","")</f>
        <v/>
      </c>
      <c r="Y4779" s="79" t="str">
        <f>IF(AND(OR(N4779="131",O4779="131"),H4779='131-CT'!$H$9),"x","")</f>
        <v/>
      </c>
      <c r="Z4779" s="79"/>
      <c r="AA4779" s="79" t="str">
        <f>IF(AND(MONTH(E4779)='IN-NX'!$J$5,'IN-NX'!$D$7=D4779),"x","")</f>
        <v/>
      </c>
      <c r="AB4779" s="79" t="str">
        <f>IF(AND(OR(LEFT(TH!N4779,2)="15",LEFT(TH!O4779,2)="15"),LEFT(TH!O4779,3)&lt;&gt;"111",'152-CT'!$J$8=TH!F4779),"x","")</f>
        <v/>
      </c>
      <c r="AC4779" s="79" t="str">
        <f>IF(AND(OR(LEFT(TH!N4779,2)="15",LEFT(TH!O4779,2)="15"),TK!$E$7=TH!F4779),"x","")</f>
        <v/>
      </c>
      <c r="AD4779" s="79" t="str">
        <f>IF(AND(N4779="1521",MONTH(C4779)='BK-NL'!$M$11),"x","")</f>
        <v/>
      </c>
    </row>
    <row r="4780" spans="1:30" ht="16.5" customHeight="1">
      <c r="A4780" s="318" t="str">
        <f>IF(B4780&lt;&gt;"",IF(AND(B4780='[3]IN-TC'!$S$4,OR([3]TH!N4011="1111",[3]TH!O4011="1111")),[3]TH!D4011,""),"")</f>
        <v/>
      </c>
      <c r="B4780" s="60" t="str">
        <f t="shared" si="478"/>
        <v/>
      </c>
      <c r="C4780" s="61"/>
      <c r="D4780" s="61"/>
      <c r="E4780" s="61"/>
      <c r="F4780" s="69"/>
      <c r="G4780" s="64"/>
      <c r="H4780" s="69"/>
      <c r="I4780" s="385"/>
      <c r="J4780" s="392"/>
      <c r="K4780" s="385"/>
      <c r="L4780" s="392"/>
      <c r="M4780" s="62"/>
      <c r="N4780" s="63"/>
      <c r="O4780" s="63"/>
      <c r="P4780" s="79" t="str">
        <f>IF(AND('331-CT'!$E$7=TH!H4780,OR(N4780="331",O4780="331")),"x","")</f>
        <v/>
      </c>
      <c r="Q4780" s="79" t="str">
        <f>IF(AND(B4780='111'!$L$11,OR($N4780=$Q$7,$O4780=$Q$7)),"x","")</f>
        <v/>
      </c>
      <c r="R4780" s="79" t="str">
        <f>IF(AND($N4780=$Q$7,$B4780&lt;'111'!$L$11),"x","")</f>
        <v/>
      </c>
      <c r="S4780" s="79" t="str">
        <f>IF(AND($O4780=$Q$7,$B4780&lt;'111'!$L$11),"x","")</f>
        <v/>
      </c>
      <c r="T4780" s="79" t="str">
        <f>IF(ISERROR(FIND('112'!$M$9,G4780,1)),"",IF((AND(FIND('112'!$M$9,G4780,1)&gt;=1,B4780='112'!$K$9,OR($N4780='112'!$I$6,$O4780='112'!$I$6))),"x",""))</f>
        <v/>
      </c>
      <c r="U4780" s="79" t="str">
        <f>IF(ISERROR(FIND('112'!$M$9,G4780,1)),"",IF((AND(LEFT(G4780,2)=LEFT('112'!$M$9,2),B4780&lt;'112'!$K$9,$N4780='112'!$I$6)),"x",""))</f>
        <v/>
      </c>
      <c r="V4780" s="79" t="str">
        <f>IF(ISERROR(FIND('112'!$M$9,G4780,1)),"",IF((AND(RIGHT(G4780,2)=RIGHT('112'!$M$9,2),B4780&lt;'112'!$K$9,$O4780='112'!$I$6)),"x",""))</f>
        <v/>
      </c>
      <c r="W4780" s="79" t="str">
        <f>IF(AND('341-CT'!$H$9=H4780,OR(LEFT(N4780,3)=$W$7,LEFT(O4780,3)=$W$7)),"x","")</f>
        <v/>
      </c>
      <c r="X4780" s="79" t="str">
        <f>IF(OR(TH!N4780=TH!$X$7,O4780=TH!$X$7),"x","")</f>
        <v/>
      </c>
      <c r="Y4780" s="79" t="str">
        <f>IF(AND(OR(N4780="131",O4780="131"),H4780='131-CT'!$H$9),"x","")</f>
        <v/>
      </c>
      <c r="Z4780" s="79"/>
      <c r="AA4780" s="79" t="str">
        <f>IF(AND(MONTH(E4780)='IN-NX'!$J$5,'IN-NX'!$D$7=D4780),"x","")</f>
        <v/>
      </c>
      <c r="AB4780" s="79" t="str">
        <f>IF(AND(OR(LEFT(TH!N4780,2)="15",LEFT(TH!O4780,2)="15"),LEFT(TH!O4780,3)&lt;&gt;"111",'152-CT'!$J$8=TH!F4780),"x","")</f>
        <v/>
      </c>
      <c r="AC4780" s="79" t="str">
        <f>IF(AND(OR(LEFT(TH!N4780,2)="15",LEFT(TH!O4780,2)="15"),TK!$E$7=TH!F4780),"x","")</f>
        <v/>
      </c>
      <c r="AD4780" s="79" t="str">
        <f>IF(AND(N4780="1521",MONTH(C4780)='BK-NL'!$M$11),"x","")</f>
        <v/>
      </c>
    </row>
    <row r="4781" spans="1:30" ht="16.5" customHeight="1">
      <c r="A4781" s="318" t="str">
        <f>IF(B4781&lt;&gt;"",IF(AND(B4781='[3]IN-TC'!$S$4,OR([3]TH!N4012="1111",[3]TH!O4012="1111")),[3]TH!D4012,""),"")</f>
        <v/>
      </c>
      <c r="B4781" s="60" t="str">
        <f t="shared" si="478"/>
        <v/>
      </c>
      <c r="C4781" s="61"/>
      <c r="D4781" s="61"/>
      <c r="E4781" s="61"/>
      <c r="F4781" s="64"/>
      <c r="G4781" s="64"/>
      <c r="H4781" s="69"/>
      <c r="I4781" s="387"/>
      <c r="J4781" s="394"/>
      <c r="K4781" s="62"/>
      <c r="L4781" s="394"/>
      <c r="M4781" s="62"/>
      <c r="N4781" s="63"/>
      <c r="O4781" s="63"/>
      <c r="P4781" s="79" t="str">
        <f>IF(AND('331-CT'!$E$7=TH!H4781,OR(N4781="331",O4781="331")),"x","")</f>
        <v/>
      </c>
      <c r="Q4781" s="79" t="str">
        <f>IF(AND(B4781='111'!$L$11,OR($N4781=$Q$7,$O4781=$Q$7)),"x","")</f>
        <v/>
      </c>
      <c r="R4781" s="79" t="str">
        <f>IF(AND($N4781=$Q$7,$B4781&lt;'111'!$L$11),"x","")</f>
        <v/>
      </c>
      <c r="S4781" s="79" t="str">
        <f>IF(AND($O4781=$Q$7,$B4781&lt;'111'!$L$11),"x","")</f>
        <v/>
      </c>
      <c r="T4781" s="79" t="str">
        <f>IF(ISERROR(FIND('112'!$M$9,G4781,1)),"",IF((AND(FIND('112'!$M$9,G4781,1)&gt;=1,B4781='112'!$K$9,OR($N4781='112'!$I$6,$O4781='112'!$I$6))),"x",""))</f>
        <v/>
      </c>
      <c r="U4781" s="79" t="str">
        <f>IF(ISERROR(FIND('112'!$M$9,G4781,1)),"",IF((AND(LEFT(G4781,2)=LEFT('112'!$M$9,2),B4781&lt;'112'!$K$9,$N4781='112'!$I$6)),"x",""))</f>
        <v/>
      </c>
      <c r="V4781" s="79" t="str">
        <f>IF(ISERROR(FIND('112'!$M$9,G4781,1)),"",IF((AND(RIGHT(G4781,2)=RIGHT('112'!$M$9,2),B4781&lt;'112'!$K$9,$O4781='112'!$I$6)),"x",""))</f>
        <v/>
      </c>
      <c r="W4781" s="79" t="str">
        <f>IF(AND('341-CT'!$H$9=H4781,OR(LEFT(N4781,3)=$W$7,LEFT(O4781,3)=$W$7)),"x","")</f>
        <v/>
      </c>
      <c r="X4781" s="79" t="str">
        <f>IF(OR(TH!N4781=TH!$X$7,O4781=TH!$X$7),"x","")</f>
        <v/>
      </c>
      <c r="Y4781" s="79" t="str">
        <f>IF(AND(OR(N4781="131",O4781="131"),H4781='131-CT'!$H$9),"x","")</f>
        <v/>
      </c>
      <c r="Z4781" s="79"/>
      <c r="AA4781" s="79" t="str">
        <f>IF(AND(MONTH(E4781)='IN-NX'!$J$5,'IN-NX'!$D$7=D4781),"x","")</f>
        <v/>
      </c>
      <c r="AB4781" s="79" t="str">
        <f>IF(AND(OR(LEFT(TH!N4781,2)="15",LEFT(TH!O4781,2)="15"),LEFT(TH!O4781,3)&lt;&gt;"111",'152-CT'!$J$8=TH!F4781),"x","")</f>
        <v/>
      </c>
      <c r="AC4781" s="79" t="str">
        <f>IF(AND(OR(LEFT(TH!N4781,2)="15",LEFT(TH!O4781,2)="15"),TK!$E$7=TH!F4781),"x","")</f>
        <v/>
      </c>
      <c r="AD4781" s="79" t="str">
        <f>IF(AND(N4781="1521",MONTH(C4781)='BK-NL'!$M$11),"x","")</f>
        <v/>
      </c>
    </row>
    <row r="4782" spans="1:30" ht="16.5" customHeight="1">
      <c r="A4782" s="318" t="str">
        <f>IF(B4782&lt;&gt;"",IF(AND(B4782='[3]IN-TC'!$S$4,OR([3]TH!N4013="1111",[3]TH!O4013="1111")),[3]TH!D4013,""),"")</f>
        <v/>
      </c>
      <c r="B4782" s="60" t="str">
        <f t="shared" si="478"/>
        <v/>
      </c>
      <c r="C4782" s="61"/>
      <c r="D4782" s="61"/>
      <c r="E4782" s="61"/>
      <c r="F4782" s="64"/>
      <c r="G4782" s="64"/>
      <c r="H4782" s="69"/>
      <c r="I4782" s="387"/>
      <c r="J4782" s="394"/>
      <c r="K4782" s="387"/>
      <c r="L4782" s="394"/>
      <c r="M4782" s="62"/>
      <c r="N4782" s="63"/>
      <c r="O4782" s="63"/>
      <c r="P4782" s="79" t="str">
        <f>IF(AND('331-CT'!$E$7=TH!H4782,OR(N4782="331",O4782="331")),"x","")</f>
        <v/>
      </c>
      <c r="Q4782" s="79" t="str">
        <f>IF(AND(B4782='111'!$L$11,OR($N4782=$Q$7,$O4782=$Q$7)),"x","")</f>
        <v/>
      </c>
      <c r="R4782" s="79" t="str">
        <f>IF(AND($N4782=$Q$7,$B4782&lt;'111'!$L$11),"x","")</f>
        <v/>
      </c>
      <c r="S4782" s="79" t="str">
        <f>IF(AND($O4782=$Q$7,$B4782&lt;'111'!$L$11),"x","")</f>
        <v/>
      </c>
      <c r="T4782" s="79" t="str">
        <f>IF(ISERROR(FIND('112'!$M$9,G4782,1)),"",IF((AND(FIND('112'!$M$9,G4782,1)&gt;=1,B4782='112'!$K$9,OR($N4782='112'!$I$6,$O4782='112'!$I$6))),"x",""))</f>
        <v/>
      </c>
      <c r="U4782" s="79" t="str">
        <f>IF(ISERROR(FIND('112'!$M$9,G4782,1)),"",IF((AND(LEFT(G4782,2)=LEFT('112'!$M$9,2),B4782&lt;'112'!$K$9,$N4782='112'!$I$6)),"x",""))</f>
        <v/>
      </c>
      <c r="V4782" s="79" t="str">
        <f>IF(ISERROR(FIND('112'!$M$9,G4782,1)),"",IF((AND(RIGHT(G4782,2)=RIGHT('112'!$M$9,2),B4782&lt;'112'!$K$9,$O4782='112'!$I$6)),"x",""))</f>
        <v/>
      </c>
      <c r="W4782" s="79" t="str">
        <f>IF(AND('341-CT'!$H$9=H4782,OR(LEFT(N4782,3)=$W$7,LEFT(O4782,3)=$W$7)),"x","")</f>
        <v/>
      </c>
      <c r="X4782" s="79" t="str">
        <f>IF(OR(TH!N4782=TH!$X$7,O4782=TH!$X$7),"x","")</f>
        <v/>
      </c>
      <c r="Y4782" s="79" t="str">
        <f>IF(AND(OR(N4782="131",O4782="131"),H4782='131-CT'!$H$9),"x","")</f>
        <v/>
      </c>
      <c r="Z4782" s="79"/>
      <c r="AA4782" s="79" t="str">
        <f>IF(AND(MONTH(E4782)='IN-NX'!$J$5,'IN-NX'!$D$7=D4782),"x","")</f>
        <v/>
      </c>
      <c r="AB4782" s="79" t="str">
        <f>IF(AND(OR(LEFT(TH!N4782,2)="15",LEFT(TH!O4782,2)="15"),LEFT(TH!O4782,3)&lt;&gt;"111",'152-CT'!$J$8=TH!F4782),"x","")</f>
        <v/>
      </c>
      <c r="AC4782" s="79" t="str">
        <f>IF(AND(OR(LEFT(TH!N4782,2)="15",LEFT(TH!O4782,2)="15"),TK!$E$7=TH!F4782),"x","")</f>
        <v/>
      </c>
      <c r="AD4782" s="79" t="str">
        <f>IF(AND(N4782="1521",MONTH(C4782)='BK-NL'!$M$11),"x","")</f>
        <v/>
      </c>
    </row>
    <row r="4783" spans="1:30" ht="16.5" customHeight="1">
      <c r="A4783" s="318" t="str">
        <f>IF(B4783&lt;&gt;"",IF(AND(B4783='[3]IN-TC'!$S$4,OR([3]TH!N4014="1111",[3]TH!O4014="1111")),[3]TH!D4014,""),"")</f>
        <v/>
      </c>
      <c r="B4783" s="60" t="str">
        <f t="shared" si="478"/>
        <v/>
      </c>
      <c r="C4783" s="61"/>
      <c r="D4783" s="61"/>
      <c r="E4783" s="61"/>
      <c r="F4783" s="64"/>
      <c r="G4783" s="64"/>
      <c r="H4783" s="69"/>
      <c r="I4783" s="385"/>
      <c r="J4783" s="395"/>
      <c r="K4783" s="385"/>
      <c r="L4783" s="392"/>
      <c r="M4783" s="62"/>
      <c r="N4783" s="63"/>
      <c r="O4783" s="63"/>
      <c r="P4783" s="79" t="str">
        <f>IF(AND('331-CT'!$E$7=TH!H4783,OR(N4783="331",O4783="331")),"x","")</f>
        <v/>
      </c>
      <c r="Q4783" s="79" t="str">
        <f>IF(AND(B4783='111'!$L$11,OR($N4783=$Q$7,$O4783=$Q$7)),"x","")</f>
        <v/>
      </c>
      <c r="R4783" s="79" t="str">
        <f>IF(AND($N4783=$Q$7,$B4783&lt;'111'!$L$11),"x","")</f>
        <v/>
      </c>
      <c r="S4783" s="79" t="str">
        <f>IF(AND($O4783=$Q$7,$B4783&lt;'111'!$L$11),"x","")</f>
        <v/>
      </c>
      <c r="T4783" s="79" t="str">
        <f>IF(ISERROR(FIND('112'!$M$9,G4783,1)),"",IF((AND(FIND('112'!$M$9,G4783,1)&gt;=1,B4783='112'!$K$9,OR($N4783='112'!$I$6,$O4783='112'!$I$6))),"x",""))</f>
        <v/>
      </c>
      <c r="U4783" s="79" t="str">
        <f>IF(ISERROR(FIND('112'!$M$9,G4783,1)),"",IF((AND(LEFT(G4783,2)=LEFT('112'!$M$9,2),B4783&lt;'112'!$K$9,$N4783='112'!$I$6)),"x",""))</f>
        <v/>
      </c>
      <c r="V4783" s="79" t="str">
        <f>IF(ISERROR(FIND('112'!$M$9,G4783,1)),"",IF((AND(RIGHT(G4783,2)=RIGHT('112'!$M$9,2),B4783&lt;'112'!$K$9,$O4783='112'!$I$6)),"x",""))</f>
        <v/>
      </c>
      <c r="W4783" s="79" t="str">
        <f>IF(AND('341-CT'!$H$9=H4783,OR(LEFT(N4783,3)=$W$7,LEFT(O4783,3)=$W$7)),"x","")</f>
        <v/>
      </c>
      <c r="X4783" s="79" t="str">
        <f>IF(OR(TH!N4783=TH!$X$7,O4783=TH!$X$7),"x","")</f>
        <v/>
      </c>
      <c r="Y4783" s="79" t="str">
        <f>IF(AND(OR(N4783="131",O4783="131"),H4783='131-CT'!$H$9),"x","")</f>
        <v/>
      </c>
      <c r="Z4783" s="79"/>
      <c r="AA4783" s="79" t="str">
        <f>IF(AND(MONTH(E4783)='IN-NX'!$J$5,'IN-NX'!$D$7=D4783),"x","")</f>
        <v/>
      </c>
      <c r="AB4783" s="79" t="str">
        <f>IF(AND(OR(LEFT(TH!N4783,2)="15",LEFT(TH!O4783,2)="15"),LEFT(TH!O4783,3)&lt;&gt;"111",'152-CT'!$J$8=TH!F4783),"x","")</f>
        <v/>
      </c>
      <c r="AC4783" s="79" t="str">
        <f>IF(AND(OR(LEFT(TH!N4783,2)="15",LEFT(TH!O4783,2)="15"),TK!$E$7=TH!F4783),"x","")</f>
        <v/>
      </c>
      <c r="AD4783" s="79" t="str">
        <f>IF(AND(N4783="1521",MONTH(C4783)='BK-NL'!$M$11),"x","")</f>
        <v/>
      </c>
    </row>
    <row r="4784" spans="1:30" ht="16.5" customHeight="1">
      <c r="A4784" s="318" t="str">
        <f>IF(B4784&lt;&gt;"",IF(AND(B4784='[3]IN-TC'!$S$4,OR([3]TH!N4015="1111",[3]TH!O4015="1111")),[3]TH!D4015,""),"")</f>
        <v/>
      </c>
      <c r="B4784" s="60" t="str">
        <f t="shared" si="478"/>
        <v/>
      </c>
      <c r="C4784" s="61"/>
      <c r="D4784" s="61"/>
      <c r="E4784" s="61"/>
      <c r="F4784" s="64"/>
      <c r="G4784" s="64"/>
      <c r="H4784" s="69"/>
      <c r="I4784" s="385"/>
      <c r="J4784" s="395"/>
      <c r="K4784" s="385"/>
      <c r="L4784" s="392"/>
      <c r="M4784" s="62"/>
      <c r="N4784" s="63"/>
      <c r="O4784" s="63"/>
      <c r="P4784" s="79" t="str">
        <f>IF(AND('331-CT'!$E$7=TH!H4784,OR(N4784="331",O4784="331")),"x","")</f>
        <v/>
      </c>
      <c r="Q4784" s="79" t="str">
        <f>IF(AND(B4784='111'!$L$11,OR($N4784=$Q$7,$O4784=$Q$7)),"x","")</f>
        <v/>
      </c>
      <c r="R4784" s="79" t="str">
        <f>IF(AND($N4784=$Q$7,$B4784&lt;'111'!$L$11),"x","")</f>
        <v/>
      </c>
      <c r="S4784" s="79" t="str">
        <f>IF(AND($O4784=$Q$7,$B4784&lt;'111'!$L$11),"x","")</f>
        <v/>
      </c>
      <c r="T4784" s="79" t="str">
        <f>IF(ISERROR(FIND('112'!$M$9,G4784,1)),"",IF((AND(FIND('112'!$M$9,G4784,1)&gt;=1,B4784='112'!$K$9,OR($N4784='112'!$I$6,$O4784='112'!$I$6))),"x",""))</f>
        <v/>
      </c>
      <c r="U4784" s="79" t="str">
        <f>IF(ISERROR(FIND('112'!$M$9,G4784,1)),"",IF((AND(LEFT(G4784,2)=LEFT('112'!$M$9,2),B4784&lt;'112'!$K$9,$N4784='112'!$I$6)),"x",""))</f>
        <v/>
      </c>
      <c r="V4784" s="79" t="str">
        <f>IF(ISERROR(FIND('112'!$M$9,G4784,1)),"",IF((AND(RIGHT(G4784,2)=RIGHT('112'!$M$9,2),B4784&lt;'112'!$K$9,$O4784='112'!$I$6)),"x",""))</f>
        <v/>
      </c>
      <c r="W4784" s="79" t="str">
        <f>IF(AND('341-CT'!$H$9=H4784,OR(LEFT(N4784,3)=$W$7,LEFT(O4784,3)=$W$7)),"x","")</f>
        <v/>
      </c>
      <c r="X4784" s="79" t="str">
        <f>IF(OR(TH!N4784=TH!$X$7,O4784=TH!$X$7),"x","")</f>
        <v/>
      </c>
      <c r="Y4784" s="79" t="str">
        <f>IF(AND(OR(N4784="131",O4784="131"),H4784='131-CT'!$H$9),"x","")</f>
        <v/>
      </c>
      <c r="Z4784" s="79"/>
      <c r="AA4784" s="79" t="str">
        <f>IF(AND(MONTH(E4784)='IN-NX'!$J$5,'IN-NX'!$D$7=D4784),"x","")</f>
        <v/>
      </c>
      <c r="AB4784" s="79" t="str">
        <f>IF(AND(OR(LEFT(TH!N4784,2)="15",LEFT(TH!O4784,2)="15"),LEFT(TH!O4784,3)&lt;&gt;"111",'152-CT'!$J$8=TH!F4784),"x","")</f>
        <v/>
      </c>
      <c r="AC4784" s="79" t="str">
        <f>IF(AND(OR(LEFT(TH!N4784,2)="15",LEFT(TH!O4784,2)="15"),TK!$E$7=TH!F4784),"x","")</f>
        <v/>
      </c>
      <c r="AD4784" s="79" t="str">
        <f>IF(AND(N4784="1521",MONTH(C4784)='BK-NL'!$M$11),"x","")</f>
        <v/>
      </c>
    </row>
    <row r="4785" spans="1:30" ht="16.5" customHeight="1">
      <c r="A4785" s="318" t="str">
        <f>IF(B4785&lt;&gt;"",IF(AND(B4785='[3]IN-TC'!$S$4,OR([3]TH!N4016="1111",[3]TH!O4016="1111")),[3]TH!D4016,""),"")</f>
        <v/>
      </c>
      <c r="B4785" s="60" t="str">
        <f t="shared" si="478"/>
        <v/>
      </c>
      <c r="C4785" s="61"/>
      <c r="D4785" s="61"/>
      <c r="E4785" s="61"/>
      <c r="F4785" s="64"/>
      <c r="G4785" s="64"/>
      <c r="H4785" s="69"/>
      <c r="I4785" s="385"/>
      <c r="J4785" s="395"/>
      <c r="K4785" s="385"/>
      <c r="L4785" s="392"/>
      <c r="M4785" s="62"/>
      <c r="N4785" s="63"/>
      <c r="O4785" s="63"/>
      <c r="P4785" s="79" t="str">
        <f>IF(AND('331-CT'!$E$7=TH!H4785,OR(N4785="331",O4785="331")),"x","")</f>
        <v/>
      </c>
      <c r="Q4785" s="79" t="str">
        <f>IF(AND(B4785='111'!$L$11,OR($N4785=$Q$7,$O4785=$Q$7)),"x","")</f>
        <v/>
      </c>
      <c r="R4785" s="79" t="str">
        <f>IF(AND($N4785=$Q$7,$B4785&lt;'111'!$L$11),"x","")</f>
        <v/>
      </c>
      <c r="S4785" s="79" t="str">
        <f>IF(AND($O4785=$Q$7,$B4785&lt;'111'!$L$11),"x","")</f>
        <v/>
      </c>
      <c r="T4785" s="79" t="str">
        <f>IF(ISERROR(FIND('112'!$M$9,G4785,1)),"",IF((AND(FIND('112'!$M$9,G4785,1)&gt;=1,B4785='112'!$K$9,OR($N4785='112'!$I$6,$O4785='112'!$I$6))),"x",""))</f>
        <v/>
      </c>
      <c r="U4785" s="79" t="str">
        <f>IF(ISERROR(FIND('112'!$M$9,G4785,1)),"",IF((AND(LEFT(G4785,2)=LEFT('112'!$M$9,2),B4785&lt;'112'!$K$9,$N4785='112'!$I$6)),"x",""))</f>
        <v/>
      </c>
      <c r="V4785" s="79" t="str">
        <f>IF(ISERROR(FIND('112'!$M$9,G4785,1)),"",IF((AND(RIGHT(G4785,2)=RIGHT('112'!$M$9,2),B4785&lt;'112'!$K$9,$O4785='112'!$I$6)),"x",""))</f>
        <v/>
      </c>
      <c r="W4785" s="79" t="str">
        <f>IF(AND('341-CT'!$H$9=H4785,OR(LEFT(N4785,3)=$W$7,LEFT(O4785,3)=$W$7)),"x","")</f>
        <v/>
      </c>
      <c r="X4785" s="79" t="str">
        <f>IF(OR(TH!N4785=TH!$X$7,O4785=TH!$X$7),"x","")</f>
        <v/>
      </c>
      <c r="Y4785" s="79" t="str">
        <f>IF(AND(OR(N4785="131",O4785="131"),H4785='131-CT'!$H$9),"x","")</f>
        <v/>
      </c>
      <c r="Z4785" s="79"/>
      <c r="AA4785" s="79" t="str">
        <f>IF(AND(MONTH(E4785)='IN-NX'!$J$5,'IN-NX'!$D$7=D4785),"x","")</f>
        <v/>
      </c>
      <c r="AB4785" s="79" t="str">
        <f>IF(AND(OR(LEFT(TH!N4785,2)="15",LEFT(TH!O4785,2)="15"),LEFT(TH!O4785,3)&lt;&gt;"111",'152-CT'!$J$8=TH!F4785),"x","")</f>
        <v/>
      </c>
      <c r="AC4785" s="79" t="str">
        <f>IF(AND(OR(LEFT(TH!N4785,2)="15",LEFT(TH!O4785,2)="15"),TK!$E$7=TH!F4785),"x","")</f>
        <v/>
      </c>
      <c r="AD4785" s="79" t="str">
        <f>IF(AND(N4785="1521",MONTH(C4785)='BK-NL'!$M$11),"x","")</f>
        <v/>
      </c>
    </row>
    <row r="4786" spans="1:30" ht="16.5" customHeight="1">
      <c r="A4786" s="318" t="str">
        <f>IF(B4786&lt;&gt;"",IF(AND(B4786='[3]IN-TC'!$S$4,OR([3]TH!N4017="1111",[3]TH!O4017="1111")),[3]TH!D4017,""),"")</f>
        <v/>
      </c>
      <c r="B4786" s="60" t="str">
        <f t="shared" si="478"/>
        <v/>
      </c>
      <c r="C4786" s="61"/>
      <c r="D4786" s="61"/>
      <c r="E4786" s="61"/>
      <c r="F4786" s="64"/>
      <c r="G4786" s="64"/>
      <c r="H4786" s="69"/>
      <c r="I4786" s="385"/>
      <c r="J4786" s="395"/>
      <c r="K4786" s="385"/>
      <c r="L4786" s="392"/>
      <c r="M4786" s="62"/>
      <c r="N4786" s="63"/>
      <c r="O4786" s="63"/>
      <c r="P4786" s="79" t="str">
        <f>IF(AND('331-CT'!$E$7=TH!H4786,OR(N4786="331",O4786="331")),"x","")</f>
        <v/>
      </c>
      <c r="Q4786" s="79" t="str">
        <f>IF(AND(B4786='111'!$L$11,OR($N4786=$Q$7,$O4786=$Q$7)),"x","")</f>
        <v/>
      </c>
      <c r="R4786" s="79" t="str">
        <f>IF(AND($N4786=$Q$7,$B4786&lt;'111'!$L$11),"x","")</f>
        <v/>
      </c>
      <c r="S4786" s="79" t="str">
        <f>IF(AND($O4786=$Q$7,$B4786&lt;'111'!$L$11),"x","")</f>
        <v/>
      </c>
      <c r="T4786" s="79" t="str">
        <f>IF(ISERROR(FIND('112'!$M$9,G4786,1)),"",IF((AND(FIND('112'!$M$9,G4786,1)&gt;=1,B4786='112'!$K$9,OR($N4786='112'!$I$6,$O4786='112'!$I$6))),"x",""))</f>
        <v/>
      </c>
      <c r="U4786" s="79" t="str">
        <f>IF(ISERROR(FIND('112'!$M$9,G4786,1)),"",IF((AND(LEFT(G4786,2)=LEFT('112'!$M$9,2),B4786&lt;'112'!$K$9,$N4786='112'!$I$6)),"x",""))</f>
        <v/>
      </c>
      <c r="V4786" s="79" t="str">
        <f>IF(ISERROR(FIND('112'!$M$9,G4786,1)),"",IF((AND(RIGHT(G4786,2)=RIGHT('112'!$M$9,2),B4786&lt;'112'!$K$9,$O4786='112'!$I$6)),"x",""))</f>
        <v/>
      </c>
      <c r="W4786" s="79" t="str">
        <f>IF(AND('341-CT'!$H$9=H4786,OR(LEFT(N4786,3)=$W$7,LEFT(O4786,3)=$W$7)),"x","")</f>
        <v/>
      </c>
      <c r="X4786" s="79" t="str">
        <f>IF(OR(TH!N4786=TH!$X$7,O4786=TH!$X$7),"x","")</f>
        <v/>
      </c>
      <c r="Y4786" s="79" t="str">
        <f>IF(AND(OR(N4786="131",O4786="131"),H4786='131-CT'!$H$9),"x","")</f>
        <v/>
      </c>
      <c r="Z4786" s="79"/>
      <c r="AA4786" s="79" t="str">
        <f>IF(AND(MONTH(E4786)='IN-NX'!$J$5,'IN-NX'!$D$7=D4786),"x","")</f>
        <v/>
      </c>
      <c r="AB4786" s="79" t="str">
        <f>IF(AND(OR(LEFT(TH!N4786,2)="15",LEFT(TH!O4786,2)="15"),LEFT(TH!O4786,3)&lt;&gt;"111",'152-CT'!$J$8=TH!F4786),"x","")</f>
        <v/>
      </c>
      <c r="AC4786" s="79" t="str">
        <f>IF(AND(OR(LEFT(TH!N4786,2)="15",LEFT(TH!O4786,2)="15"),TK!$E$7=TH!F4786),"x","")</f>
        <v/>
      </c>
      <c r="AD4786" s="79" t="str">
        <f>IF(AND(N4786="1521",MONTH(C4786)='BK-NL'!$M$11),"x","")</f>
        <v/>
      </c>
    </row>
    <row r="4787" spans="1:30" ht="16.5" customHeight="1">
      <c r="A4787" s="318" t="str">
        <f>IF(B4787&lt;&gt;"",IF(AND(B4787='[3]IN-TC'!$S$4,OR([3]TH!N4018="1111",[3]TH!O4018="1111")),[3]TH!D4018,""),"")</f>
        <v/>
      </c>
      <c r="B4787" s="60" t="str">
        <f t="shared" si="478"/>
        <v/>
      </c>
      <c r="C4787" s="61"/>
      <c r="D4787" s="61"/>
      <c r="E4787" s="61"/>
      <c r="F4787" s="64"/>
      <c r="G4787" s="64"/>
      <c r="H4787" s="321"/>
      <c r="I4787" s="385"/>
      <c r="J4787" s="395"/>
      <c r="K4787" s="385"/>
      <c r="L4787" s="392"/>
      <c r="M4787" s="62"/>
      <c r="N4787" s="63"/>
      <c r="O4787" s="63"/>
      <c r="P4787" s="79" t="str">
        <f>IF(AND('331-CT'!$E$7=TH!H4787,OR(N4787="331",O4787="331")),"x","")</f>
        <v/>
      </c>
      <c r="Q4787" s="79" t="str">
        <f>IF(AND(B4787='111'!$L$11,OR($N4787=$Q$7,$O4787=$Q$7)),"x","")</f>
        <v/>
      </c>
      <c r="R4787" s="79" t="str">
        <f>IF(AND($N4787=$Q$7,$B4787&lt;'111'!$L$11),"x","")</f>
        <v/>
      </c>
      <c r="S4787" s="79" t="str">
        <f>IF(AND($O4787=$Q$7,$B4787&lt;'111'!$L$11),"x","")</f>
        <v/>
      </c>
      <c r="T4787" s="79" t="str">
        <f>IF(ISERROR(FIND('112'!$M$9,G4787,1)),"",IF((AND(FIND('112'!$M$9,G4787,1)&gt;=1,B4787='112'!$K$9,OR($N4787='112'!$I$6,$O4787='112'!$I$6))),"x",""))</f>
        <v/>
      </c>
      <c r="U4787" s="79" t="str">
        <f>IF(ISERROR(FIND('112'!$M$9,G4787,1)),"",IF((AND(LEFT(G4787,2)=LEFT('112'!$M$9,2),B4787&lt;'112'!$K$9,$N4787='112'!$I$6)),"x",""))</f>
        <v/>
      </c>
      <c r="V4787" s="79" t="str">
        <f>IF(ISERROR(FIND('112'!$M$9,G4787,1)),"",IF((AND(RIGHT(G4787,2)=RIGHT('112'!$M$9,2),B4787&lt;'112'!$K$9,$O4787='112'!$I$6)),"x",""))</f>
        <v/>
      </c>
      <c r="W4787" s="79" t="str">
        <f>IF(AND('341-CT'!$H$9=H4787,OR(LEFT(N4787,3)=$W$7,LEFT(O4787,3)=$W$7)),"x","")</f>
        <v/>
      </c>
      <c r="X4787" s="79" t="str">
        <f>IF(OR(TH!N4787=TH!$X$7,O4787=TH!$X$7),"x","")</f>
        <v/>
      </c>
      <c r="Y4787" s="79" t="str">
        <f>IF(AND(OR(N4787="131",O4787="131"),H4787='131-CT'!$H$9),"x","")</f>
        <v/>
      </c>
      <c r="Z4787" s="79"/>
      <c r="AA4787" s="79" t="str">
        <f>IF(AND(MONTH(E4787)='IN-NX'!$J$5,'IN-NX'!$D$7=D4787),"x","")</f>
        <v/>
      </c>
      <c r="AB4787" s="79" t="str">
        <f>IF(AND(OR(LEFT(TH!N4787,2)="15",LEFT(TH!O4787,2)="15"),LEFT(TH!O4787,3)&lt;&gt;"111",'152-CT'!$J$8=TH!F4787),"x","")</f>
        <v/>
      </c>
      <c r="AC4787" s="79" t="str">
        <f>IF(AND(OR(LEFT(TH!N4787,2)="15",LEFT(TH!O4787,2)="15"),TK!$E$7=TH!F4787),"x","")</f>
        <v/>
      </c>
      <c r="AD4787" s="79" t="str">
        <f>IF(AND(N4787="1521",MONTH(C4787)='BK-NL'!$M$11),"x","")</f>
        <v/>
      </c>
    </row>
    <row r="4788" spans="1:30" ht="16.5" customHeight="1">
      <c r="A4788" s="318" t="str">
        <f>IF(B4788&lt;&gt;"",IF(AND(B4788='[3]IN-TC'!$S$4,OR([3]TH!N4019="1111",[3]TH!O4019="1111")),[3]TH!D4019,""),"")</f>
        <v/>
      </c>
      <c r="B4788" s="60" t="str">
        <f t="shared" si="478"/>
        <v/>
      </c>
      <c r="C4788" s="61"/>
      <c r="D4788" s="61"/>
      <c r="E4788" s="61"/>
      <c r="F4788" s="64"/>
      <c r="G4788" s="64"/>
      <c r="H4788" s="69"/>
      <c r="I4788" s="385"/>
      <c r="J4788" s="395"/>
      <c r="K4788" s="385"/>
      <c r="L4788" s="392"/>
      <c r="M4788" s="62"/>
      <c r="N4788" s="63"/>
      <c r="O4788" s="63"/>
      <c r="P4788" s="79" t="str">
        <f>IF(AND('331-CT'!$E$7=TH!H4788,OR(N4788="331",O4788="331")),"x","")</f>
        <v/>
      </c>
      <c r="Q4788" s="79" t="str">
        <f>IF(AND(B4788='111'!$L$11,OR($N4788=$Q$7,$O4788=$Q$7)),"x","")</f>
        <v/>
      </c>
      <c r="R4788" s="79" t="str">
        <f>IF(AND($N4788=$Q$7,$B4788&lt;'111'!$L$11),"x","")</f>
        <v/>
      </c>
      <c r="S4788" s="79" t="str">
        <f>IF(AND($O4788=$Q$7,$B4788&lt;'111'!$L$11),"x","")</f>
        <v/>
      </c>
      <c r="T4788" s="79" t="str">
        <f>IF(ISERROR(FIND('112'!$M$9,G4788,1)),"",IF((AND(FIND('112'!$M$9,G4788,1)&gt;=1,B4788='112'!$K$9,OR($N4788='112'!$I$6,$O4788='112'!$I$6))),"x",""))</f>
        <v/>
      </c>
      <c r="U4788" s="79" t="str">
        <f>IF(ISERROR(FIND('112'!$M$9,G4788,1)),"",IF((AND(LEFT(G4788,2)=LEFT('112'!$M$9,2),B4788&lt;'112'!$K$9,$N4788='112'!$I$6)),"x",""))</f>
        <v/>
      </c>
      <c r="V4788" s="79" t="str">
        <f>IF(ISERROR(FIND('112'!$M$9,G4788,1)),"",IF((AND(RIGHT(G4788,2)=RIGHT('112'!$M$9,2),B4788&lt;'112'!$K$9,$O4788='112'!$I$6)),"x",""))</f>
        <v/>
      </c>
      <c r="W4788" s="79" t="str">
        <f>IF(AND('341-CT'!$H$9=H4788,OR(LEFT(N4788,3)=$W$7,LEFT(O4788,3)=$W$7)),"x","")</f>
        <v/>
      </c>
      <c r="X4788" s="79" t="str">
        <f>IF(OR(TH!N4788=TH!$X$7,O4788=TH!$X$7),"x","")</f>
        <v/>
      </c>
      <c r="Y4788" s="79" t="str">
        <f>IF(AND(OR(N4788="131",O4788="131"),H4788='131-CT'!$H$9),"x","")</f>
        <v/>
      </c>
      <c r="Z4788" s="79"/>
      <c r="AA4788" s="79" t="str">
        <f>IF(AND(MONTH(E4788)='IN-NX'!$J$5,'IN-NX'!$D$7=D4788),"x","")</f>
        <v/>
      </c>
      <c r="AB4788" s="79" t="str">
        <f>IF(AND(OR(LEFT(TH!N4788,2)="15",LEFT(TH!O4788,2)="15"),LEFT(TH!O4788,3)&lt;&gt;"111",'152-CT'!$J$8=TH!F4788),"x","")</f>
        <v/>
      </c>
      <c r="AC4788" s="79" t="str">
        <f>IF(AND(OR(LEFT(TH!N4788,2)="15",LEFT(TH!O4788,2)="15"),TK!$E$7=TH!F4788),"x","")</f>
        <v/>
      </c>
      <c r="AD4788" s="79" t="str">
        <f>IF(AND(N4788="1521",MONTH(C4788)='BK-NL'!$M$11),"x","")</f>
        <v/>
      </c>
    </row>
    <row r="4789" spans="1:30" ht="16.5" customHeight="1">
      <c r="A4789" s="318" t="str">
        <f>IF(B4789&lt;&gt;"",IF(AND(B4789='[3]IN-TC'!$S$4,OR([3]TH!N4020="1111",[3]TH!O4020="1111")),[3]TH!D4020,""),"")</f>
        <v/>
      </c>
      <c r="B4789" s="60" t="str">
        <f t="shared" si="478"/>
        <v/>
      </c>
      <c r="C4789" s="61"/>
      <c r="D4789" s="61"/>
      <c r="E4789" s="61"/>
      <c r="F4789" s="64"/>
      <c r="G4789" s="64"/>
      <c r="H4789" s="69"/>
      <c r="I4789" s="385"/>
      <c r="J4789" s="395"/>
      <c r="K4789" s="385"/>
      <c r="L4789" s="392"/>
      <c r="M4789" s="62"/>
      <c r="N4789" s="63"/>
      <c r="O4789" s="63"/>
      <c r="P4789" s="79" t="str">
        <f>IF(AND('331-CT'!$E$7=TH!H4789,OR(N4789="331",O4789="331")),"x","")</f>
        <v/>
      </c>
      <c r="Q4789" s="79" t="str">
        <f>IF(AND(B4789='111'!$L$11,OR($N4789=$Q$7,$O4789=$Q$7)),"x","")</f>
        <v/>
      </c>
      <c r="R4789" s="79" t="str">
        <f>IF(AND($N4789=$Q$7,$B4789&lt;'111'!$L$11),"x","")</f>
        <v/>
      </c>
      <c r="S4789" s="79" t="str">
        <f>IF(AND($O4789=$Q$7,$B4789&lt;'111'!$L$11),"x","")</f>
        <v/>
      </c>
      <c r="T4789" s="79" t="str">
        <f>IF(ISERROR(FIND('112'!$M$9,G4789,1)),"",IF((AND(FIND('112'!$M$9,G4789,1)&gt;=1,B4789='112'!$K$9,OR($N4789='112'!$I$6,$O4789='112'!$I$6))),"x",""))</f>
        <v/>
      </c>
      <c r="U4789" s="79" t="str">
        <f>IF(ISERROR(FIND('112'!$M$9,G4789,1)),"",IF((AND(LEFT(G4789,2)=LEFT('112'!$M$9,2),B4789&lt;'112'!$K$9,$N4789='112'!$I$6)),"x",""))</f>
        <v/>
      </c>
      <c r="V4789" s="79" t="str">
        <f>IF(ISERROR(FIND('112'!$M$9,G4789,1)),"",IF((AND(RIGHT(G4789,2)=RIGHT('112'!$M$9,2),B4789&lt;'112'!$K$9,$O4789='112'!$I$6)),"x",""))</f>
        <v/>
      </c>
      <c r="W4789" s="79" t="str">
        <f>IF(AND('341-CT'!$H$9=H4789,OR(LEFT(N4789,3)=$W$7,LEFT(O4789,3)=$W$7)),"x","")</f>
        <v/>
      </c>
      <c r="X4789" s="79" t="str">
        <f>IF(OR(TH!N4789=TH!$X$7,O4789=TH!$X$7),"x","")</f>
        <v/>
      </c>
      <c r="Y4789" s="79" t="str">
        <f>IF(AND(OR(N4789="131",O4789="131"),H4789='131-CT'!$H$9),"x","")</f>
        <v/>
      </c>
      <c r="Z4789" s="79"/>
      <c r="AA4789" s="79" t="str">
        <f>IF(AND(MONTH(E4789)='IN-NX'!$J$5,'IN-NX'!$D$7=D4789),"x","")</f>
        <v/>
      </c>
      <c r="AB4789" s="79" t="str">
        <f>IF(AND(OR(LEFT(TH!N4789,2)="15",LEFT(TH!O4789,2)="15"),LEFT(TH!O4789,3)&lt;&gt;"111",'152-CT'!$J$8=TH!F4789),"x","")</f>
        <v/>
      </c>
      <c r="AC4789" s="79" t="str">
        <f>IF(AND(OR(LEFT(TH!N4789,2)="15",LEFT(TH!O4789,2)="15"),TK!$E$7=TH!F4789),"x","")</f>
        <v/>
      </c>
      <c r="AD4789" s="79" t="str">
        <f>IF(AND(N4789="1521",MONTH(C4789)='BK-NL'!$M$11),"x","")</f>
        <v/>
      </c>
    </row>
    <row r="4790" spans="1:30" ht="16.5" customHeight="1">
      <c r="A4790" s="318" t="str">
        <f>IF(B4790&lt;&gt;"",IF(AND(B4790='[3]IN-TC'!$S$4,OR([3]TH!N4021="1111",[3]TH!O4021="1111")),[3]TH!D4021,""),"")</f>
        <v/>
      </c>
      <c r="B4790" s="60" t="str">
        <f t="shared" si="478"/>
        <v/>
      </c>
      <c r="C4790" s="61"/>
      <c r="D4790" s="61"/>
      <c r="E4790" s="61"/>
      <c r="F4790" s="64"/>
      <c r="G4790" s="64"/>
      <c r="H4790" s="69"/>
      <c r="I4790" s="385"/>
      <c r="J4790" s="395"/>
      <c r="K4790" s="385"/>
      <c r="L4790" s="392"/>
      <c r="M4790" s="62"/>
      <c r="N4790" s="63"/>
      <c r="O4790" s="63"/>
      <c r="P4790" s="79" t="str">
        <f>IF(AND('331-CT'!$E$7=TH!H4790,OR(N4790="331",O4790="331")),"x","")</f>
        <v/>
      </c>
      <c r="Q4790" s="79" t="str">
        <f>IF(AND(B4790='111'!$L$11,OR($N4790=$Q$7,$O4790=$Q$7)),"x","")</f>
        <v/>
      </c>
      <c r="R4790" s="79" t="str">
        <f>IF(AND($N4790=$Q$7,$B4790&lt;'111'!$L$11),"x","")</f>
        <v/>
      </c>
      <c r="S4790" s="79" t="str">
        <f>IF(AND($O4790=$Q$7,$B4790&lt;'111'!$L$11),"x","")</f>
        <v/>
      </c>
      <c r="T4790" s="79" t="str">
        <f>IF(ISERROR(FIND('112'!$M$9,G4790,1)),"",IF((AND(FIND('112'!$M$9,G4790,1)&gt;=1,B4790='112'!$K$9,OR($N4790='112'!$I$6,$O4790='112'!$I$6))),"x",""))</f>
        <v/>
      </c>
      <c r="U4790" s="79" t="str">
        <f>IF(ISERROR(FIND('112'!$M$9,G4790,1)),"",IF((AND(LEFT(G4790,2)=LEFT('112'!$M$9,2),B4790&lt;'112'!$K$9,$N4790='112'!$I$6)),"x",""))</f>
        <v/>
      </c>
      <c r="V4790" s="79" t="str">
        <f>IF(ISERROR(FIND('112'!$M$9,G4790,1)),"",IF((AND(RIGHT(G4790,2)=RIGHT('112'!$M$9,2),B4790&lt;'112'!$K$9,$O4790='112'!$I$6)),"x",""))</f>
        <v/>
      </c>
      <c r="W4790" s="79" t="str">
        <f>IF(AND('341-CT'!$H$9=H4790,OR(LEFT(N4790,3)=$W$7,LEFT(O4790,3)=$W$7)),"x","")</f>
        <v/>
      </c>
      <c r="X4790" s="79" t="str">
        <f>IF(OR(TH!N4790=TH!$X$7,O4790=TH!$X$7),"x","")</f>
        <v/>
      </c>
      <c r="Y4790" s="79" t="str">
        <f>IF(AND(OR(N4790="131",O4790="131"),H4790='131-CT'!$H$9),"x","")</f>
        <v/>
      </c>
      <c r="Z4790" s="79"/>
      <c r="AA4790" s="79" t="str">
        <f>IF(AND(MONTH(E4790)='IN-NX'!$J$5,'IN-NX'!$D$7=D4790),"x","")</f>
        <v/>
      </c>
      <c r="AB4790" s="79" t="str">
        <f>IF(AND(OR(LEFT(TH!N4790,2)="15",LEFT(TH!O4790,2)="15"),LEFT(TH!O4790,3)&lt;&gt;"111",'152-CT'!$J$8=TH!F4790),"x","")</f>
        <v/>
      </c>
      <c r="AC4790" s="79" t="str">
        <f>IF(AND(OR(LEFT(TH!N4790,2)="15",LEFT(TH!O4790,2)="15"),TK!$E$7=TH!F4790),"x","")</f>
        <v/>
      </c>
      <c r="AD4790" s="79" t="str">
        <f>IF(AND(N4790="1521",MONTH(C4790)='BK-NL'!$M$11),"x","")</f>
        <v/>
      </c>
    </row>
    <row r="4791" spans="1:30" ht="16.5" customHeight="1">
      <c r="A4791" s="318" t="str">
        <f>IF(B4791&lt;&gt;"",IF(AND(B4791='[3]IN-TC'!$S$4,OR([3]TH!N4022="1111",[3]TH!O4022="1111")),[3]TH!D4022,""),"")</f>
        <v/>
      </c>
      <c r="B4791" s="60" t="str">
        <f t="shared" si="478"/>
        <v/>
      </c>
      <c r="C4791" s="61"/>
      <c r="D4791" s="61"/>
      <c r="E4791" s="61"/>
      <c r="F4791" s="64"/>
      <c r="G4791" s="64"/>
      <c r="H4791" s="69"/>
      <c r="I4791" s="387"/>
      <c r="J4791" s="395"/>
      <c r="K4791" s="387"/>
      <c r="L4791" s="394"/>
      <c r="M4791" s="62"/>
      <c r="N4791" s="63"/>
      <c r="O4791" s="63"/>
      <c r="P4791" s="79" t="str">
        <f>IF(AND('331-CT'!$E$7=TH!H4791,OR(N4791="331",O4791="331")),"x","")</f>
        <v/>
      </c>
      <c r="Q4791" s="79" t="str">
        <f>IF(AND(B4791='111'!$L$11,OR($N4791=$Q$7,$O4791=$Q$7)),"x","")</f>
        <v/>
      </c>
      <c r="R4791" s="79" t="str">
        <f>IF(AND($N4791=$Q$7,$B4791&lt;'111'!$L$11),"x","")</f>
        <v/>
      </c>
      <c r="S4791" s="79" t="str">
        <f>IF(AND($O4791=$Q$7,$B4791&lt;'111'!$L$11),"x","")</f>
        <v/>
      </c>
      <c r="T4791" s="79" t="str">
        <f>IF(ISERROR(FIND('112'!$M$9,G4791,1)),"",IF((AND(FIND('112'!$M$9,G4791,1)&gt;=1,B4791='112'!$K$9,OR($N4791='112'!$I$6,$O4791='112'!$I$6))),"x",""))</f>
        <v/>
      </c>
      <c r="U4791" s="79" t="str">
        <f>IF(ISERROR(FIND('112'!$M$9,G4791,1)),"",IF((AND(LEFT(G4791,2)=LEFT('112'!$M$9,2),B4791&lt;'112'!$K$9,$N4791='112'!$I$6)),"x",""))</f>
        <v/>
      </c>
      <c r="V4791" s="79" t="str">
        <f>IF(ISERROR(FIND('112'!$M$9,G4791,1)),"",IF((AND(RIGHT(G4791,2)=RIGHT('112'!$M$9,2),B4791&lt;'112'!$K$9,$O4791='112'!$I$6)),"x",""))</f>
        <v/>
      </c>
      <c r="W4791" s="79" t="str">
        <f>IF(AND('341-CT'!$H$9=H4791,OR(LEFT(N4791,3)=$W$7,LEFT(O4791,3)=$W$7)),"x","")</f>
        <v/>
      </c>
      <c r="X4791" s="79" t="str">
        <f>IF(OR(TH!N4791=TH!$X$7,O4791=TH!$X$7),"x","")</f>
        <v/>
      </c>
      <c r="Y4791" s="79" t="str">
        <f>IF(AND(OR(N4791="131",O4791="131"),H4791='131-CT'!$H$9),"x","")</f>
        <v/>
      </c>
      <c r="Z4791" s="79"/>
      <c r="AA4791" s="79" t="str">
        <f>IF(AND(MONTH(E4791)='IN-NX'!$J$5,'IN-NX'!$D$7=D4791),"x","")</f>
        <v/>
      </c>
      <c r="AB4791" s="79" t="str">
        <f>IF(AND(OR(LEFT(TH!N4791,2)="15",LEFT(TH!O4791,2)="15"),LEFT(TH!O4791,3)&lt;&gt;"111",'152-CT'!$J$8=TH!F4791),"x","")</f>
        <v/>
      </c>
      <c r="AC4791" s="79" t="str">
        <f>IF(AND(OR(LEFT(TH!N4791,2)="15",LEFT(TH!O4791,2)="15"),TK!$E$7=TH!F4791),"x","")</f>
        <v/>
      </c>
      <c r="AD4791" s="79" t="str">
        <f>IF(AND(N4791="1521",MONTH(C4791)='BK-NL'!$M$11),"x","")</f>
        <v/>
      </c>
    </row>
    <row r="4792" spans="1:30" ht="16.5" customHeight="1">
      <c r="A4792" s="318" t="str">
        <f>IF(B4792&lt;&gt;"",IF(AND(B4792='[3]IN-TC'!$S$4,OR([3]TH!N4023="1111",[3]TH!O4023="1111")),[3]TH!D4023,""),"")</f>
        <v/>
      </c>
      <c r="B4792" s="60" t="str">
        <f t="shared" si="478"/>
        <v/>
      </c>
      <c r="C4792" s="61"/>
      <c r="D4792" s="301"/>
      <c r="E4792" s="61"/>
      <c r="F4792" s="64"/>
      <c r="G4792" s="64"/>
      <c r="H4792" s="69"/>
      <c r="I4792" s="385"/>
      <c r="J4792" s="395"/>
      <c r="K4792" s="385"/>
      <c r="L4792" s="392"/>
      <c r="M4792" s="62"/>
      <c r="N4792" s="63"/>
      <c r="O4792" s="63"/>
      <c r="P4792" s="79" t="str">
        <f>IF(AND('331-CT'!$E$7=TH!H4792,OR(N4792="331",O4792="331")),"x","")</f>
        <v/>
      </c>
      <c r="Q4792" s="79" t="str">
        <f>IF(AND(B4792='111'!$L$11,OR($N4792=$Q$7,$O4792=$Q$7)),"x","")</f>
        <v/>
      </c>
      <c r="R4792" s="79" t="str">
        <f>IF(AND($N4792=$Q$7,$B4792&lt;'111'!$L$11),"x","")</f>
        <v/>
      </c>
      <c r="S4792" s="79" t="str">
        <f>IF(AND($O4792=$Q$7,$B4792&lt;'111'!$L$11),"x","")</f>
        <v/>
      </c>
      <c r="T4792" s="79" t="str">
        <f>IF(ISERROR(FIND('112'!$M$9,G4792,1)),"",IF((AND(FIND('112'!$M$9,G4792,1)&gt;=1,B4792='112'!$K$9,OR($N4792='112'!$I$6,$O4792='112'!$I$6))),"x",""))</f>
        <v/>
      </c>
      <c r="U4792" s="79" t="str">
        <f>IF(ISERROR(FIND('112'!$M$9,G4792,1)),"",IF((AND(LEFT(G4792,2)=LEFT('112'!$M$9,2),B4792&lt;'112'!$K$9,$N4792='112'!$I$6)),"x",""))</f>
        <v/>
      </c>
      <c r="V4792" s="79" t="str">
        <f>IF(ISERROR(FIND('112'!$M$9,G4792,1)),"",IF((AND(RIGHT(G4792,2)=RIGHT('112'!$M$9,2),B4792&lt;'112'!$K$9,$O4792='112'!$I$6)),"x",""))</f>
        <v/>
      </c>
      <c r="W4792" s="79" t="str">
        <f>IF(AND('341-CT'!$H$9=H4792,OR(LEFT(N4792,3)=$W$7,LEFT(O4792,3)=$W$7)),"x","")</f>
        <v/>
      </c>
      <c r="X4792" s="79" t="str">
        <f>IF(OR(TH!N4792=TH!$X$7,O4792=TH!$X$7),"x","")</f>
        <v/>
      </c>
      <c r="Y4792" s="79" t="str">
        <f>IF(AND(OR(N4792="131",O4792="131"),H4792='131-CT'!$H$9),"x","")</f>
        <v/>
      </c>
      <c r="Z4792" s="79"/>
      <c r="AA4792" s="79" t="str">
        <f>IF(AND(MONTH(E4792)='IN-NX'!$J$5,'IN-NX'!$D$7=D4792),"x","")</f>
        <v/>
      </c>
      <c r="AB4792" s="79" t="str">
        <f>IF(AND(OR(LEFT(TH!N4792,2)="15",LEFT(TH!O4792,2)="15"),LEFT(TH!O4792,3)&lt;&gt;"111",'152-CT'!$J$8=TH!F4792),"x","")</f>
        <v/>
      </c>
      <c r="AC4792" s="79" t="str">
        <f>IF(AND(OR(LEFT(TH!N4792,2)="15",LEFT(TH!O4792,2)="15"),TK!$E$7=TH!F4792),"x","")</f>
        <v/>
      </c>
      <c r="AD4792" s="79" t="str">
        <f>IF(AND(N4792="1521",MONTH(C4792)='BK-NL'!$M$11),"x","")</f>
        <v/>
      </c>
    </row>
    <row r="4793" spans="1:30" ht="16.5" customHeight="1">
      <c r="A4793" s="318" t="str">
        <f>IF(B4793&lt;&gt;"",IF(AND(B4793='[3]IN-TC'!$S$4,OR([3]TH!N4024="1111",[3]TH!O4024="1111")),[3]TH!D4024,""),"")</f>
        <v/>
      </c>
      <c r="B4793" s="60" t="str">
        <f t="shared" si="478"/>
        <v/>
      </c>
      <c r="C4793" s="61"/>
      <c r="D4793" s="61"/>
      <c r="E4793" s="61"/>
      <c r="F4793" s="64"/>
      <c r="G4793" s="64"/>
      <c r="H4793" s="69"/>
      <c r="I4793" s="385"/>
      <c r="J4793" s="395"/>
      <c r="K4793" s="385"/>
      <c r="L4793" s="392"/>
      <c r="M4793" s="62"/>
      <c r="N4793" s="63"/>
      <c r="O4793" s="63"/>
      <c r="P4793" s="79" t="str">
        <f>IF(AND('331-CT'!$E$7=TH!H4793,OR(N4793="331",O4793="331")),"x","")</f>
        <v/>
      </c>
      <c r="Q4793" s="79" t="str">
        <f>IF(AND(B4793='111'!$L$11,OR($N4793=$Q$7,$O4793=$Q$7)),"x","")</f>
        <v/>
      </c>
      <c r="R4793" s="79" t="str">
        <f>IF(AND($N4793=$Q$7,$B4793&lt;'111'!$L$11),"x","")</f>
        <v/>
      </c>
      <c r="S4793" s="79" t="str">
        <f>IF(AND($O4793=$Q$7,$B4793&lt;'111'!$L$11),"x","")</f>
        <v/>
      </c>
      <c r="T4793" s="79" t="str">
        <f>IF(ISERROR(FIND('112'!$M$9,G4793,1)),"",IF((AND(FIND('112'!$M$9,G4793,1)&gt;=1,B4793='112'!$K$9,OR($N4793='112'!$I$6,$O4793='112'!$I$6))),"x",""))</f>
        <v/>
      </c>
      <c r="U4793" s="79" t="str">
        <f>IF(ISERROR(FIND('112'!$M$9,G4793,1)),"",IF((AND(LEFT(G4793,2)=LEFT('112'!$M$9,2),B4793&lt;'112'!$K$9,$N4793='112'!$I$6)),"x",""))</f>
        <v/>
      </c>
      <c r="V4793" s="79" t="str">
        <f>IF(ISERROR(FIND('112'!$M$9,G4793,1)),"",IF((AND(RIGHT(G4793,2)=RIGHT('112'!$M$9,2),B4793&lt;'112'!$K$9,$O4793='112'!$I$6)),"x",""))</f>
        <v/>
      </c>
      <c r="W4793" s="79" t="str">
        <f>IF(AND('341-CT'!$H$9=H4793,OR(LEFT(N4793,3)=$W$7,LEFT(O4793,3)=$W$7)),"x","")</f>
        <v/>
      </c>
      <c r="X4793" s="79" t="str">
        <f>IF(OR(TH!N4793=TH!$X$7,O4793=TH!$X$7),"x","")</f>
        <v/>
      </c>
      <c r="Y4793" s="79" t="str">
        <f>IF(AND(OR(N4793="131",O4793="131"),H4793='131-CT'!$H$9),"x","")</f>
        <v/>
      </c>
      <c r="Z4793" s="79"/>
      <c r="AA4793" s="79" t="str">
        <f>IF(AND(MONTH(E4793)='IN-NX'!$J$5,'IN-NX'!$D$7=D4793),"x","")</f>
        <v/>
      </c>
      <c r="AB4793" s="79" t="str">
        <f>IF(AND(OR(LEFT(TH!N4793,2)="15",LEFT(TH!O4793,2)="15"),LEFT(TH!O4793,3)&lt;&gt;"111",'152-CT'!$J$8=TH!F4793),"x","")</f>
        <v/>
      </c>
      <c r="AC4793" s="79" t="str">
        <f>IF(AND(OR(LEFT(TH!N4793,2)="15",LEFT(TH!O4793,2)="15"),TK!$E$7=TH!F4793),"x","")</f>
        <v/>
      </c>
      <c r="AD4793" s="79" t="str">
        <f>IF(AND(N4793="1521",MONTH(C4793)='BK-NL'!$M$11),"x","")</f>
        <v/>
      </c>
    </row>
    <row r="4794" spans="1:30" ht="16.5" customHeight="1">
      <c r="A4794" s="318" t="str">
        <f>IF(B4794&lt;&gt;"",IF(AND(B4794='[3]IN-TC'!$S$4,OR([3]TH!N4025="1111",[3]TH!O4025="1111")),[3]TH!D4025,""),"")</f>
        <v/>
      </c>
      <c r="B4794" s="60" t="str">
        <f t="shared" si="478"/>
        <v/>
      </c>
      <c r="C4794" s="61"/>
      <c r="D4794" s="61"/>
      <c r="E4794" s="61"/>
      <c r="F4794" s="302"/>
      <c r="G4794" s="64"/>
      <c r="H4794" s="69"/>
      <c r="I4794" s="385"/>
      <c r="J4794" s="395"/>
      <c r="K4794" s="385"/>
      <c r="L4794" s="392"/>
      <c r="M4794" s="62"/>
      <c r="N4794" s="63"/>
      <c r="O4794" s="63"/>
      <c r="P4794" s="79" t="str">
        <f>IF(AND('331-CT'!$E$7=TH!H4794,OR(N4794="331",O4794="331")),"x","")</f>
        <v/>
      </c>
      <c r="Q4794" s="79" t="str">
        <f>IF(AND(B4794='111'!$L$11,OR($N4794=$Q$7,$O4794=$Q$7)),"x","")</f>
        <v/>
      </c>
      <c r="R4794" s="79" t="str">
        <f>IF(AND($N4794=$Q$7,$B4794&lt;'111'!$L$11),"x","")</f>
        <v/>
      </c>
      <c r="S4794" s="79" t="str">
        <f>IF(AND($O4794=$Q$7,$B4794&lt;'111'!$L$11),"x","")</f>
        <v/>
      </c>
      <c r="T4794" s="79" t="str">
        <f>IF(ISERROR(FIND('112'!$M$9,G4794,1)),"",IF((AND(FIND('112'!$M$9,G4794,1)&gt;=1,B4794='112'!$K$9,OR($N4794='112'!$I$6,$O4794='112'!$I$6))),"x",""))</f>
        <v/>
      </c>
      <c r="U4794" s="79" t="str">
        <f>IF(ISERROR(FIND('112'!$M$9,G4794,1)),"",IF((AND(LEFT(G4794,2)=LEFT('112'!$M$9,2),B4794&lt;'112'!$K$9,$N4794='112'!$I$6)),"x",""))</f>
        <v/>
      </c>
      <c r="V4794" s="79" t="str">
        <f>IF(ISERROR(FIND('112'!$M$9,G4794,1)),"",IF((AND(RIGHT(G4794,2)=RIGHT('112'!$M$9,2),B4794&lt;'112'!$K$9,$O4794='112'!$I$6)),"x",""))</f>
        <v/>
      </c>
      <c r="W4794" s="79" t="str">
        <f>IF(AND('341-CT'!$H$9=H4794,OR(LEFT(N4794,3)=$W$7,LEFT(O4794,3)=$W$7)),"x","")</f>
        <v/>
      </c>
      <c r="X4794" s="79" t="str">
        <f>IF(OR(TH!N4794=TH!$X$7,O4794=TH!$X$7),"x","")</f>
        <v/>
      </c>
      <c r="Y4794" s="79" t="str">
        <f>IF(AND(OR(N4794="131",O4794="131"),H4794='131-CT'!$H$9),"x","")</f>
        <v/>
      </c>
      <c r="Z4794" s="79"/>
      <c r="AA4794" s="79" t="str">
        <f>IF(AND(MONTH(E4794)='IN-NX'!$J$5,'IN-NX'!$D$7=D4794),"x","")</f>
        <v/>
      </c>
      <c r="AB4794" s="79" t="str">
        <f>IF(AND(OR(LEFT(TH!N4794,2)="15",LEFT(TH!O4794,2)="15"),LEFT(TH!O4794,3)&lt;&gt;"111",'152-CT'!$J$8=TH!F4794),"x","")</f>
        <v/>
      </c>
      <c r="AC4794" s="79" t="str">
        <f>IF(AND(OR(LEFT(TH!N4794,2)="15",LEFT(TH!O4794,2)="15"),TK!$E$7=TH!F4794),"x","")</f>
        <v/>
      </c>
      <c r="AD4794" s="79" t="str">
        <f>IF(AND(N4794="1521",MONTH(C4794)='BK-NL'!$M$11),"x","")</f>
        <v/>
      </c>
    </row>
    <row r="4795" spans="1:30" ht="16.5" customHeight="1">
      <c r="A4795" s="318" t="str">
        <f>IF(B4795&lt;&gt;"",IF(AND(B4795='[3]IN-TC'!$S$4,OR([3]TH!N4026="1111",[3]TH!O4026="1111")),[3]TH!D4026,""),"")</f>
        <v/>
      </c>
      <c r="B4795" s="60" t="str">
        <f t="shared" si="478"/>
        <v/>
      </c>
      <c r="C4795" s="61"/>
      <c r="D4795" s="61"/>
      <c r="E4795" s="61"/>
      <c r="F4795" s="302"/>
      <c r="G4795" s="64"/>
      <c r="H4795" s="69"/>
      <c r="I4795" s="387"/>
      <c r="J4795" s="395"/>
      <c r="K4795" s="387"/>
      <c r="L4795" s="394"/>
      <c r="M4795" s="62"/>
      <c r="N4795" s="63"/>
      <c r="O4795" s="63"/>
      <c r="P4795" s="79" t="str">
        <f>IF(AND('331-CT'!$E$7=TH!H4795,OR(N4795="331",O4795="331")),"x","")</f>
        <v/>
      </c>
      <c r="Q4795" s="79" t="str">
        <f>IF(AND(B4795='111'!$L$11,OR($N4795=$Q$7,$O4795=$Q$7)),"x","")</f>
        <v/>
      </c>
      <c r="R4795" s="79" t="str">
        <f>IF(AND($N4795=$Q$7,$B4795&lt;'111'!$L$11),"x","")</f>
        <v/>
      </c>
      <c r="S4795" s="79" t="str">
        <f>IF(AND($O4795=$Q$7,$B4795&lt;'111'!$L$11),"x","")</f>
        <v/>
      </c>
      <c r="T4795" s="79" t="str">
        <f>IF(ISERROR(FIND('112'!$M$9,G4795,1)),"",IF((AND(FIND('112'!$M$9,G4795,1)&gt;=1,B4795='112'!$K$9,OR($N4795='112'!$I$6,$O4795='112'!$I$6))),"x",""))</f>
        <v/>
      </c>
      <c r="U4795" s="79" t="str">
        <f>IF(ISERROR(FIND('112'!$M$9,G4795,1)),"",IF((AND(LEFT(G4795,2)=LEFT('112'!$M$9,2),B4795&lt;'112'!$K$9,$N4795='112'!$I$6)),"x",""))</f>
        <v/>
      </c>
      <c r="V4795" s="79" t="str">
        <f>IF(ISERROR(FIND('112'!$M$9,G4795,1)),"",IF((AND(RIGHT(G4795,2)=RIGHT('112'!$M$9,2),B4795&lt;'112'!$K$9,$O4795='112'!$I$6)),"x",""))</f>
        <v/>
      </c>
      <c r="W4795" s="79" t="str">
        <f>IF(AND('341-CT'!$H$9=H4795,OR(LEFT(N4795,3)=$W$7,LEFT(O4795,3)=$W$7)),"x","")</f>
        <v/>
      </c>
      <c r="X4795" s="79" t="str">
        <f>IF(OR(TH!N4795=TH!$X$7,O4795=TH!$X$7),"x","")</f>
        <v/>
      </c>
      <c r="Y4795" s="79" t="str">
        <f>IF(AND(OR(N4795="131",O4795="131"),H4795='131-CT'!$H$9),"x","")</f>
        <v/>
      </c>
      <c r="Z4795" s="79"/>
      <c r="AA4795" s="79" t="str">
        <f>IF(AND(MONTH(E4795)='IN-NX'!$J$5,'IN-NX'!$D$7=D4795),"x","")</f>
        <v/>
      </c>
      <c r="AB4795" s="79" t="str">
        <f>IF(AND(OR(LEFT(TH!N4795,2)="15",LEFT(TH!O4795,2)="15"),LEFT(TH!O4795,3)&lt;&gt;"111",'152-CT'!$J$8=TH!F4795),"x","")</f>
        <v/>
      </c>
      <c r="AC4795" s="79" t="str">
        <f>IF(AND(OR(LEFT(TH!N4795,2)="15",LEFT(TH!O4795,2)="15"),TK!$E$7=TH!F4795),"x","")</f>
        <v/>
      </c>
      <c r="AD4795" s="79" t="str">
        <f>IF(AND(N4795="1521",MONTH(C4795)='BK-NL'!$M$11),"x","")</f>
        <v/>
      </c>
    </row>
    <row r="4796" spans="1:30" ht="16.5" customHeight="1">
      <c r="A4796" s="318" t="str">
        <f>IF(B4796&lt;&gt;"",IF(AND(B4796='[3]IN-TC'!$S$4,OR([3]TH!N4027="1111",[3]TH!O4027="1111")),[3]TH!D4027,""),"")</f>
        <v/>
      </c>
      <c r="B4796" s="60" t="str">
        <f t="shared" si="478"/>
        <v/>
      </c>
      <c r="C4796" s="61"/>
      <c r="D4796" s="61"/>
      <c r="E4796" s="61"/>
      <c r="F4796" s="64"/>
      <c r="G4796" s="64"/>
      <c r="H4796" s="69"/>
      <c r="I4796" s="385"/>
      <c r="J4796" s="395"/>
      <c r="K4796" s="385"/>
      <c r="L4796" s="392"/>
      <c r="M4796" s="62"/>
      <c r="N4796" s="63"/>
      <c r="O4796" s="304"/>
      <c r="P4796" s="79" t="str">
        <f>IF(AND('331-CT'!$E$7=TH!H4796,OR(N4796="331",O4796="331")),"x","")</f>
        <v/>
      </c>
      <c r="Q4796" s="79" t="str">
        <f>IF(AND(B4796='111'!$L$11,OR($N4796=$Q$7,$O4796=$Q$7)),"x","")</f>
        <v/>
      </c>
      <c r="R4796" s="79" t="str">
        <f>IF(AND($N4796=$Q$7,$B4796&lt;'111'!$L$11),"x","")</f>
        <v/>
      </c>
      <c r="S4796" s="79" t="str">
        <f>IF(AND($O4796=$Q$7,$B4796&lt;'111'!$L$11),"x","")</f>
        <v/>
      </c>
      <c r="T4796" s="79" t="str">
        <f>IF(ISERROR(FIND('112'!$M$9,G4796,1)),"",IF((AND(FIND('112'!$M$9,G4796,1)&gt;=1,B4796='112'!$K$9,OR($N4796='112'!$I$6,$O4796='112'!$I$6))),"x",""))</f>
        <v/>
      </c>
      <c r="U4796" s="79" t="str">
        <f>IF(ISERROR(FIND('112'!$M$9,G4796,1)),"",IF((AND(LEFT(G4796,2)=LEFT('112'!$M$9,2),B4796&lt;'112'!$K$9,$N4796='112'!$I$6)),"x",""))</f>
        <v/>
      </c>
      <c r="V4796" s="79" t="str">
        <f>IF(ISERROR(FIND('112'!$M$9,G4796,1)),"",IF((AND(RIGHT(G4796,2)=RIGHT('112'!$M$9,2),B4796&lt;'112'!$K$9,$O4796='112'!$I$6)),"x",""))</f>
        <v/>
      </c>
      <c r="W4796" s="79" t="str">
        <f>IF(AND('341-CT'!$H$9=H4796,OR(LEFT(N4796,3)=$W$7,LEFT(O4796,3)=$W$7)),"x","")</f>
        <v/>
      </c>
      <c r="X4796" s="79" t="str">
        <f>IF(OR(TH!N4796=TH!$X$7,O4796=TH!$X$7),"x","")</f>
        <v/>
      </c>
      <c r="Y4796" s="79" t="str">
        <f>IF(AND(OR(N4796="131",O4796="131"),H4796='131-CT'!$H$9),"x","")</f>
        <v/>
      </c>
      <c r="Z4796" s="79"/>
      <c r="AA4796" s="79" t="str">
        <f>IF(AND(MONTH(E4796)='IN-NX'!$J$5,'IN-NX'!$D$7=D4796),"x","")</f>
        <v/>
      </c>
      <c r="AB4796" s="79" t="str">
        <f>IF(AND(OR(LEFT(TH!N4796,2)="15",LEFT(TH!O4796,2)="15"),LEFT(TH!O4796,3)&lt;&gt;"111",'152-CT'!$J$8=TH!F4796),"x","")</f>
        <v/>
      </c>
      <c r="AC4796" s="79" t="str">
        <f>IF(AND(OR(LEFT(TH!N4796,2)="15",LEFT(TH!O4796,2)="15"),TK!$E$7=TH!F4796),"x","")</f>
        <v/>
      </c>
      <c r="AD4796" s="79" t="str">
        <f>IF(AND(N4796="1521",MONTH(C4796)='BK-NL'!$M$11),"x","")</f>
        <v/>
      </c>
    </row>
    <row r="4797" spans="1:30" ht="16.5" customHeight="1">
      <c r="A4797" s="318" t="str">
        <f>IF(B4797&lt;&gt;"",IF(AND(B4797='[3]IN-TC'!$S$4,OR([3]TH!N4028="1111",[3]TH!O4028="1111")),[3]TH!D4028,""),"")</f>
        <v/>
      </c>
      <c r="B4797" s="60" t="str">
        <f t="shared" si="478"/>
        <v/>
      </c>
      <c r="C4797" s="61"/>
      <c r="D4797" s="61"/>
      <c r="E4797" s="61"/>
      <c r="F4797" s="64"/>
      <c r="G4797" s="64"/>
      <c r="H4797" s="69"/>
      <c r="I4797" s="385"/>
      <c r="J4797" s="395"/>
      <c r="K4797" s="385"/>
      <c r="L4797" s="392"/>
      <c r="M4797" s="62"/>
      <c r="N4797" s="63"/>
      <c r="O4797" s="63"/>
      <c r="P4797" s="79" t="str">
        <f>IF(AND('331-CT'!$E$7=TH!H4797,OR(N4797="331",O4797="331")),"x","")</f>
        <v/>
      </c>
      <c r="Q4797" s="79" t="str">
        <f>IF(AND(B4797='111'!$L$11,OR($N4797=$Q$7,$O4797=$Q$7)),"x","")</f>
        <v/>
      </c>
      <c r="R4797" s="79" t="str">
        <f>IF(AND($N4797=$Q$7,$B4797&lt;'111'!$L$11),"x","")</f>
        <v/>
      </c>
      <c r="S4797" s="79" t="str">
        <f>IF(AND($O4797=$Q$7,$B4797&lt;'111'!$L$11),"x","")</f>
        <v/>
      </c>
      <c r="T4797" s="79" t="str">
        <f>IF(ISERROR(FIND('112'!$M$9,G4797,1)),"",IF((AND(FIND('112'!$M$9,G4797,1)&gt;=1,B4797='112'!$K$9,OR($N4797='112'!$I$6,$O4797='112'!$I$6))),"x",""))</f>
        <v/>
      </c>
      <c r="U4797" s="79" t="str">
        <f>IF(ISERROR(FIND('112'!$M$9,G4797,1)),"",IF((AND(LEFT(G4797,2)=LEFT('112'!$M$9,2),B4797&lt;'112'!$K$9,$N4797='112'!$I$6)),"x",""))</f>
        <v/>
      </c>
      <c r="V4797" s="79" t="str">
        <f>IF(ISERROR(FIND('112'!$M$9,G4797,1)),"",IF((AND(RIGHT(G4797,2)=RIGHT('112'!$M$9,2),B4797&lt;'112'!$K$9,$O4797='112'!$I$6)),"x",""))</f>
        <v/>
      </c>
      <c r="W4797" s="79" t="str">
        <f>IF(AND('341-CT'!$H$9=H4797,OR(LEFT(N4797,3)=$W$7,LEFT(O4797,3)=$W$7)),"x","")</f>
        <v/>
      </c>
      <c r="X4797" s="79" t="str">
        <f>IF(OR(TH!N4797=TH!$X$7,O4797=TH!$X$7),"x","")</f>
        <v/>
      </c>
      <c r="Y4797" s="79" t="str">
        <f>IF(AND(OR(N4797="131",O4797="131"),H4797='131-CT'!$H$9),"x","")</f>
        <v/>
      </c>
      <c r="Z4797" s="79"/>
      <c r="AA4797" s="79" t="str">
        <f>IF(AND(MONTH(E4797)='IN-NX'!$J$5,'IN-NX'!$D$7=D4797),"x","")</f>
        <v/>
      </c>
      <c r="AB4797" s="79" t="str">
        <f>IF(AND(OR(LEFT(TH!N4797,2)="15",LEFT(TH!O4797,2)="15"),LEFT(TH!O4797,3)&lt;&gt;"111",'152-CT'!$J$8=TH!F4797),"x","")</f>
        <v/>
      </c>
      <c r="AC4797" s="79" t="str">
        <f>IF(AND(OR(LEFT(TH!N4797,2)="15",LEFT(TH!O4797,2)="15"),TK!$E$7=TH!F4797),"x","")</f>
        <v/>
      </c>
      <c r="AD4797" s="79" t="str">
        <f>IF(AND(N4797="1521",MONTH(C4797)='BK-NL'!$M$11),"x","")</f>
        <v/>
      </c>
    </row>
    <row r="4798" spans="1:30" ht="16.5" customHeight="1">
      <c r="A4798" s="318" t="str">
        <f>IF(B4798&lt;&gt;"",IF(AND(B4798='[3]IN-TC'!$S$4,OR([3]TH!N4029="1111",[3]TH!O4029="1111")),[3]TH!D4029,""),"")</f>
        <v/>
      </c>
      <c r="B4798" s="60" t="str">
        <f t="shared" si="478"/>
        <v/>
      </c>
      <c r="C4798" s="61"/>
      <c r="D4798" s="61"/>
      <c r="E4798" s="61"/>
      <c r="F4798" s="64"/>
      <c r="G4798" s="64"/>
      <c r="H4798" s="69"/>
      <c r="I4798" s="385"/>
      <c r="J4798" s="395"/>
      <c r="K4798" s="385"/>
      <c r="L4798" s="392"/>
      <c r="M4798" s="62"/>
      <c r="N4798" s="63"/>
      <c r="O4798" s="63"/>
      <c r="P4798" s="79" t="str">
        <f>IF(AND('331-CT'!$E$7=TH!H4798,OR(N4798="331",O4798="331")),"x","")</f>
        <v/>
      </c>
      <c r="Q4798" s="79" t="str">
        <f>IF(AND(B4798='111'!$L$11,OR($N4798=$Q$7,$O4798=$Q$7)),"x","")</f>
        <v/>
      </c>
      <c r="R4798" s="79" t="str">
        <f>IF(AND($N4798=$Q$7,$B4798&lt;'111'!$L$11),"x","")</f>
        <v/>
      </c>
      <c r="S4798" s="79" t="str">
        <f>IF(AND($O4798=$Q$7,$B4798&lt;'111'!$L$11),"x","")</f>
        <v/>
      </c>
      <c r="T4798" s="79" t="str">
        <f>IF(ISERROR(FIND('112'!$M$9,G4798,1)),"",IF((AND(FIND('112'!$M$9,G4798,1)&gt;=1,B4798='112'!$K$9,OR($N4798='112'!$I$6,$O4798='112'!$I$6))),"x",""))</f>
        <v/>
      </c>
      <c r="U4798" s="79" t="str">
        <f>IF(ISERROR(FIND('112'!$M$9,G4798,1)),"",IF((AND(LEFT(G4798,2)=LEFT('112'!$M$9,2),B4798&lt;'112'!$K$9,$N4798='112'!$I$6)),"x",""))</f>
        <v/>
      </c>
      <c r="V4798" s="79" t="str">
        <f>IF(ISERROR(FIND('112'!$M$9,G4798,1)),"",IF((AND(RIGHT(G4798,2)=RIGHT('112'!$M$9,2),B4798&lt;'112'!$K$9,$O4798='112'!$I$6)),"x",""))</f>
        <v/>
      </c>
      <c r="W4798" s="79" t="str">
        <f>IF(AND('341-CT'!$H$9=H4798,OR(LEFT(N4798,3)=$W$7,LEFT(O4798,3)=$W$7)),"x","")</f>
        <v/>
      </c>
      <c r="X4798" s="79" t="str">
        <f>IF(OR(TH!N4798=TH!$X$7,O4798=TH!$X$7),"x","")</f>
        <v/>
      </c>
      <c r="Y4798" s="79" t="str">
        <f>IF(AND(OR(N4798="131",O4798="131"),H4798='131-CT'!$H$9),"x","")</f>
        <v/>
      </c>
      <c r="Z4798" s="79"/>
      <c r="AA4798" s="79" t="str">
        <f>IF(AND(MONTH(E4798)='IN-NX'!$J$5,'IN-NX'!$D$7=D4798),"x","")</f>
        <v/>
      </c>
      <c r="AB4798" s="79" t="str">
        <f>IF(AND(OR(LEFT(TH!N4798,2)="15",LEFT(TH!O4798,2)="15"),LEFT(TH!O4798,3)&lt;&gt;"111",'152-CT'!$J$8=TH!F4798),"x","")</f>
        <v/>
      </c>
      <c r="AC4798" s="79" t="str">
        <f>IF(AND(OR(LEFT(TH!N4798,2)="15",LEFT(TH!O4798,2)="15"),TK!$E$7=TH!F4798),"x","")</f>
        <v/>
      </c>
      <c r="AD4798" s="79" t="str">
        <f>IF(AND(N4798="1521",MONTH(C4798)='BK-NL'!$M$11),"x","")</f>
        <v/>
      </c>
    </row>
    <row r="4799" spans="1:30" ht="16.5" customHeight="1">
      <c r="A4799" s="318" t="str">
        <f>IF(B4799&lt;&gt;"",IF(AND(B4799='[3]IN-TC'!$S$4,OR([3]TH!N4030="1111",[3]TH!O4030="1111")),[3]TH!D4030,""),"")</f>
        <v/>
      </c>
      <c r="B4799" s="60" t="str">
        <f t="shared" si="478"/>
        <v/>
      </c>
      <c r="C4799" s="61"/>
      <c r="D4799" s="61"/>
      <c r="E4799" s="61"/>
      <c r="F4799" s="302"/>
      <c r="G4799" s="64"/>
      <c r="H4799" s="69"/>
      <c r="I4799" s="385"/>
      <c r="J4799" s="395"/>
      <c r="K4799" s="385"/>
      <c r="L4799" s="392"/>
      <c r="M4799" s="62"/>
      <c r="N4799" s="63"/>
      <c r="O4799" s="63"/>
      <c r="P4799" s="79" t="str">
        <f>IF(AND('331-CT'!$E$7=TH!H4799,OR(N4799="331",O4799="331")),"x","")</f>
        <v/>
      </c>
      <c r="Q4799" s="79" t="str">
        <f>IF(AND(B4799='111'!$L$11,OR($N4799=$Q$7,$O4799=$Q$7)),"x","")</f>
        <v/>
      </c>
      <c r="R4799" s="79" t="str">
        <f>IF(AND($N4799=$Q$7,$B4799&lt;'111'!$L$11),"x","")</f>
        <v/>
      </c>
      <c r="S4799" s="79" t="str">
        <f>IF(AND($O4799=$Q$7,$B4799&lt;'111'!$L$11),"x","")</f>
        <v/>
      </c>
      <c r="T4799" s="79" t="str">
        <f>IF(ISERROR(FIND('112'!$M$9,G4799,1)),"",IF((AND(FIND('112'!$M$9,G4799,1)&gt;=1,B4799='112'!$K$9,OR($N4799='112'!$I$6,$O4799='112'!$I$6))),"x",""))</f>
        <v/>
      </c>
      <c r="U4799" s="79" t="str">
        <f>IF(ISERROR(FIND('112'!$M$9,G4799,1)),"",IF((AND(LEFT(G4799,2)=LEFT('112'!$M$9,2),B4799&lt;'112'!$K$9,$N4799='112'!$I$6)),"x",""))</f>
        <v/>
      </c>
      <c r="V4799" s="79" t="str">
        <f>IF(ISERROR(FIND('112'!$M$9,G4799,1)),"",IF((AND(RIGHT(G4799,2)=RIGHT('112'!$M$9,2),B4799&lt;'112'!$K$9,$O4799='112'!$I$6)),"x",""))</f>
        <v/>
      </c>
      <c r="W4799" s="79" t="str">
        <f>IF(AND('341-CT'!$H$9=H4799,OR(LEFT(N4799,3)=$W$7,LEFT(O4799,3)=$W$7)),"x","")</f>
        <v/>
      </c>
      <c r="X4799" s="79" t="str">
        <f>IF(OR(TH!N4799=TH!$X$7,O4799=TH!$X$7),"x","")</f>
        <v/>
      </c>
      <c r="Y4799" s="79" t="str">
        <f>IF(AND(OR(N4799="131",O4799="131"),H4799='131-CT'!$H$9),"x","")</f>
        <v/>
      </c>
      <c r="Z4799" s="79"/>
      <c r="AA4799" s="79" t="str">
        <f>IF(AND(MONTH(E4799)='IN-NX'!$J$5,'IN-NX'!$D$7=D4799),"x","")</f>
        <v/>
      </c>
      <c r="AB4799" s="79" t="str">
        <f>IF(AND(OR(LEFT(TH!N4799,2)="15",LEFT(TH!O4799,2)="15"),LEFT(TH!O4799,3)&lt;&gt;"111",'152-CT'!$J$8=TH!F4799),"x","")</f>
        <v/>
      </c>
      <c r="AC4799" s="79" t="str">
        <f>IF(AND(OR(LEFT(TH!N4799,2)="15",LEFT(TH!O4799,2)="15"),TK!$E$7=TH!F4799),"x","")</f>
        <v/>
      </c>
      <c r="AD4799" s="79" t="str">
        <f>IF(AND(N4799="1521",MONTH(C4799)='BK-NL'!$M$11),"x","")</f>
        <v/>
      </c>
    </row>
    <row r="4800" spans="1:30" ht="16.5" customHeight="1">
      <c r="A4800" s="318" t="str">
        <f>IF(B4800&lt;&gt;"",IF(AND(B4800='[3]IN-TC'!$S$4,OR([3]TH!N4031="1111",[3]TH!O4031="1111")),[3]TH!D4031,""),"")</f>
        <v/>
      </c>
      <c r="B4800" s="60" t="str">
        <f t="shared" si="478"/>
        <v/>
      </c>
      <c r="C4800" s="61"/>
      <c r="D4800" s="61"/>
      <c r="E4800" s="61"/>
      <c r="F4800" s="64"/>
      <c r="G4800" s="64"/>
      <c r="H4800" s="69"/>
      <c r="I4800" s="387"/>
      <c r="J4800" s="395"/>
      <c r="K4800" s="387"/>
      <c r="L4800" s="394"/>
      <c r="M4800" s="62"/>
      <c r="N4800" s="63"/>
      <c r="O4800" s="63"/>
      <c r="P4800" s="79" t="str">
        <f>IF(AND('331-CT'!$E$7=TH!H4800,OR(N4800="331",O4800="331")),"x","")</f>
        <v/>
      </c>
      <c r="Q4800" s="79" t="str">
        <f>IF(AND(B4800='111'!$L$11,OR($N4800=$Q$7,$O4800=$Q$7)),"x","")</f>
        <v/>
      </c>
      <c r="R4800" s="79" t="str">
        <f>IF(AND($N4800=$Q$7,$B4800&lt;'111'!$L$11),"x","")</f>
        <v/>
      </c>
      <c r="S4800" s="79" t="str">
        <f>IF(AND($O4800=$Q$7,$B4800&lt;'111'!$L$11),"x","")</f>
        <v/>
      </c>
      <c r="T4800" s="79" t="str">
        <f>IF(ISERROR(FIND('112'!$M$9,G4800,1)),"",IF((AND(FIND('112'!$M$9,G4800,1)&gt;=1,B4800='112'!$K$9,OR($N4800='112'!$I$6,$O4800='112'!$I$6))),"x",""))</f>
        <v/>
      </c>
      <c r="U4800" s="79" t="str">
        <f>IF(ISERROR(FIND('112'!$M$9,G4800,1)),"",IF((AND(LEFT(G4800,2)=LEFT('112'!$M$9,2),B4800&lt;'112'!$K$9,$N4800='112'!$I$6)),"x",""))</f>
        <v/>
      </c>
      <c r="V4800" s="79" t="str">
        <f>IF(ISERROR(FIND('112'!$M$9,G4800,1)),"",IF((AND(RIGHT(G4800,2)=RIGHT('112'!$M$9,2),B4800&lt;'112'!$K$9,$O4800='112'!$I$6)),"x",""))</f>
        <v/>
      </c>
      <c r="W4800" s="79" t="str">
        <f>IF(AND('341-CT'!$H$9=H4800,OR(LEFT(N4800,3)=$W$7,LEFT(O4800,3)=$W$7)),"x","")</f>
        <v/>
      </c>
      <c r="X4800" s="79" t="str">
        <f>IF(OR(TH!N4800=TH!$X$7,O4800=TH!$X$7),"x","")</f>
        <v/>
      </c>
      <c r="Y4800" s="79" t="str">
        <f>IF(AND(OR(N4800="131",O4800="131"),H4800='131-CT'!$H$9),"x","")</f>
        <v/>
      </c>
      <c r="Z4800" s="79"/>
      <c r="AA4800" s="79" t="str">
        <f>IF(AND(MONTH(E4800)='IN-NX'!$J$5,'IN-NX'!$D$7=D4800),"x","")</f>
        <v/>
      </c>
      <c r="AB4800" s="79" t="str">
        <f>IF(AND(OR(LEFT(TH!N4800,2)="15",LEFT(TH!O4800,2)="15"),LEFT(TH!O4800,3)&lt;&gt;"111",'152-CT'!$J$8=TH!F4800),"x","")</f>
        <v/>
      </c>
      <c r="AC4800" s="79" t="str">
        <f>IF(AND(OR(LEFT(TH!N4800,2)="15",LEFT(TH!O4800,2)="15"),TK!$E$7=TH!F4800),"x","")</f>
        <v/>
      </c>
      <c r="AD4800" s="79" t="str">
        <f>IF(AND(N4800="1521",MONTH(C4800)='BK-NL'!$M$11),"x","")</f>
        <v/>
      </c>
    </row>
    <row r="4801" spans="1:30" ht="16.5" customHeight="1">
      <c r="A4801" s="318" t="str">
        <f>IF(B4801&lt;&gt;"",IF(AND(B4801='[3]IN-TC'!$S$4,OR([3]TH!N4032="1111",[3]TH!O4032="1111")),[3]TH!D4032,""),"")</f>
        <v/>
      </c>
      <c r="B4801" s="60" t="str">
        <f t="shared" si="478"/>
        <v/>
      </c>
      <c r="C4801" s="61"/>
      <c r="D4801" s="61"/>
      <c r="E4801" s="61"/>
      <c r="F4801" s="64"/>
      <c r="G4801" s="64"/>
      <c r="H4801" s="69"/>
      <c r="I4801" s="385"/>
      <c r="J4801" s="395"/>
      <c r="K4801" s="385"/>
      <c r="L4801" s="392"/>
      <c r="M4801" s="62"/>
      <c r="N4801" s="63"/>
      <c r="O4801" s="63"/>
      <c r="P4801" s="79" t="str">
        <f>IF(AND('331-CT'!$E$7=TH!H4801,OR(N4801="331",O4801="331")),"x","")</f>
        <v/>
      </c>
      <c r="Q4801" s="79" t="str">
        <f>IF(AND(B4801='111'!$L$11,OR($N4801=$Q$7,$O4801=$Q$7)),"x","")</f>
        <v/>
      </c>
      <c r="R4801" s="79" t="str">
        <f>IF(AND($N4801=$Q$7,$B4801&lt;'111'!$L$11),"x","")</f>
        <v/>
      </c>
      <c r="S4801" s="79" t="str">
        <f>IF(AND($O4801=$Q$7,$B4801&lt;'111'!$L$11),"x","")</f>
        <v/>
      </c>
      <c r="T4801" s="79" t="str">
        <f>IF(ISERROR(FIND('112'!$M$9,G4801,1)),"",IF((AND(FIND('112'!$M$9,G4801,1)&gt;=1,B4801='112'!$K$9,OR($N4801='112'!$I$6,$O4801='112'!$I$6))),"x",""))</f>
        <v/>
      </c>
      <c r="U4801" s="79" t="str">
        <f>IF(ISERROR(FIND('112'!$M$9,G4801,1)),"",IF((AND(LEFT(G4801,2)=LEFT('112'!$M$9,2),B4801&lt;'112'!$K$9,$N4801='112'!$I$6)),"x",""))</f>
        <v/>
      </c>
      <c r="V4801" s="79" t="str">
        <f>IF(ISERROR(FIND('112'!$M$9,G4801,1)),"",IF((AND(RIGHT(G4801,2)=RIGHT('112'!$M$9,2),B4801&lt;'112'!$K$9,$O4801='112'!$I$6)),"x",""))</f>
        <v/>
      </c>
      <c r="W4801" s="79" t="str">
        <f>IF(AND('341-CT'!$H$9=H4801,OR(LEFT(N4801,3)=$W$7,LEFT(O4801,3)=$W$7)),"x","")</f>
        <v/>
      </c>
      <c r="X4801" s="79" t="str">
        <f>IF(OR(TH!N4801=TH!$X$7,O4801=TH!$X$7),"x","")</f>
        <v/>
      </c>
      <c r="Y4801" s="79" t="str">
        <f>IF(AND(OR(N4801="131",O4801="131"),H4801='131-CT'!$H$9),"x","")</f>
        <v/>
      </c>
      <c r="Z4801" s="79"/>
      <c r="AA4801" s="79" t="str">
        <f>IF(AND(MONTH(E4801)='IN-NX'!$J$5,'IN-NX'!$D$7=D4801),"x","")</f>
        <v/>
      </c>
      <c r="AB4801" s="79" t="str">
        <f>IF(AND(OR(LEFT(TH!N4801,2)="15",LEFT(TH!O4801,2)="15"),LEFT(TH!O4801,3)&lt;&gt;"111",'152-CT'!$J$8=TH!F4801),"x","")</f>
        <v/>
      </c>
      <c r="AC4801" s="79" t="str">
        <f>IF(AND(OR(LEFT(TH!N4801,2)="15",LEFT(TH!O4801,2)="15"),TK!$E$7=TH!F4801),"x","")</f>
        <v/>
      </c>
      <c r="AD4801" s="79" t="str">
        <f>IF(AND(N4801="1521",MONTH(C4801)='BK-NL'!$M$11),"x","")</f>
        <v/>
      </c>
    </row>
    <row r="4802" spans="1:30" ht="16.5" customHeight="1">
      <c r="A4802" s="318" t="str">
        <f>IF(B4802&lt;&gt;"",IF(AND(B4802='[3]IN-TC'!$S$4,OR([3]TH!N4033="1111",[3]TH!O4033="1111")),[3]TH!D4033,""),"")</f>
        <v/>
      </c>
      <c r="B4802" s="60" t="str">
        <f t="shared" si="478"/>
        <v/>
      </c>
      <c r="C4802" s="61"/>
      <c r="D4802" s="61"/>
      <c r="E4802" s="61"/>
      <c r="F4802" s="64"/>
      <c r="G4802" s="64"/>
      <c r="H4802" s="69"/>
      <c r="I4802" s="387"/>
      <c r="J4802" s="395"/>
      <c r="K4802" s="387"/>
      <c r="L4802" s="394"/>
      <c r="M4802" s="62"/>
      <c r="N4802" s="63"/>
      <c r="O4802" s="63"/>
      <c r="P4802" s="79" t="str">
        <f>IF(AND('331-CT'!$E$7=TH!H4802,OR(N4802="331",O4802="331")),"x","")</f>
        <v/>
      </c>
      <c r="Q4802" s="79" t="str">
        <f>IF(AND(B4802='111'!$L$11,OR($N4802=$Q$7,$O4802=$Q$7)),"x","")</f>
        <v/>
      </c>
      <c r="R4802" s="79" t="str">
        <f>IF(AND($N4802=$Q$7,$B4802&lt;'111'!$L$11),"x","")</f>
        <v/>
      </c>
      <c r="S4802" s="79" t="str">
        <f>IF(AND($O4802=$Q$7,$B4802&lt;'111'!$L$11),"x","")</f>
        <v/>
      </c>
      <c r="T4802" s="79" t="str">
        <f>IF(ISERROR(FIND('112'!$M$9,G4802,1)),"",IF((AND(FIND('112'!$M$9,G4802,1)&gt;=1,B4802='112'!$K$9,OR($N4802='112'!$I$6,$O4802='112'!$I$6))),"x",""))</f>
        <v/>
      </c>
      <c r="U4802" s="79" t="str">
        <f>IF(ISERROR(FIND('112'!$M$9,G4802,1)),"",IF((AND(LEFT(G4802,2)=LEFT('112'!$M$9,2),B4802&lt;'112'!$K$9,$N4802='112'!$I$6)),"x",""))</f>
        <v/>
      </c>
      <c r="V4802" s="79" t="str">
        <f>IF(ISERROR(FIND('112'!$M$9,G4802,1)),"",IF((AND(RIGHT(G4802,2)=RIGHT('112'!$M$9,2),B4802&lt;'112'!$K$9,$O4802='112'!$I$6)),"x",""))</f>
        <v/>
      </c>
      <c r="W4802" s="79" t="str">
        <f>IF(AND('341-CT'!$H$9=H4802,OR(LEFT(N4802,3)=$W$7,LEFT(O4802,3)=$W$7)),"x","")</f>
        <v/>
      </c>
      <c r="X4802" s="79" t="str">
        <f>IF(OR(TH!N4802=TH!$X$7,O4802=TH!$X$7),"x","")</f>
        <v/>
      </c>
      <c r="Y4802" s="79" t="str">
        <f>IF(AND(OR(N4802="131",O4802="131"),H4802='131-CT'!$H$9),"x","")</f>
        <v/>
      </c>
      <c r="Z4802" s="79"/>
      <c r="AA4802" s="79" t="str">
        <f>IF(AND(MONTH(E4802)='IN-NX'!$J$5,'IN-NX'!$D$7=D4802),"x","")</f>
        <v/>
      </c>
      <c r="AB4802" s="79" t="str">
        <f>IF(AND(OR(LEFT(TH!N4802,2)="15",LEFT(TH!O4802,2)="15"),LEFT(TH!O4802,3)&lt;&gt;"111",'152-CT'!$J$8=TH!F4802),"x","")</f>
        <v/>
      </c>
      <c r="AC4802" s="79" t="str">
        <f>IF(AND(OR(LEFT(TH!N4802,2)="15",LEFT(TH!O4802,2)="15"),TK!$E$7=TH!F4802),"x","")</f>
        <v/>
      </c>
      <c r="AD4802" s="79" t="str">
        <f>IF(AND(N4802="1521",MONTH(C4802)='BK-NL'!$M$11),"x","")</f>
        <v/>
      </c>
    </row>
    <row r="4803" spans="1:30" ht="16.5" customHeight="1">
      <c r="A4803" s="318" t="str">
        <f>IF(B4803&lt;&gt;"",IF(AND(B4803='[3]IN-TC'!$S$4,OR([3]TH!N4034="1111",[3]TH!O4034="1111")),[3]TH!D4034,""),"")</f>
        <v/>
      </c>
      <c r="B4803" s="60" t="str">
        <f t="shared" si="478"/>
        <v/>
      </c>
      <c r="C4803" s="61"/>
      <c r="D4803" s="61"/>
      <c r="E4803" s="61"/>
      <c r="F4803" s="64"/>
      <c r="G4803" s="64"/>
      <c r="H4803" s="303"/>
      <c r="I4803" s="385"/>
      <c r="J4803" s="395"/>
      <c r="K4803" s="385"/>
      <c r="L4803" s="392"/>
      <c r="M4803" s="62"/>
      <c r="N4803" s="63"/>
      <c r="O4803" s="63"/>
      <c r="P4803" s="79" t="str">
        <f>IF(AND('331-CT'!$E$7=TH!H4803,OR(N4803="331",O4803="331")),"x","")</f>
        <v/>
      </c>
      <c r="Q4803" s="79" t="str">
        <f>IF(AND(B4803='111'!$L$11,OR($N4803=$Q$7,$O4803=$Q$7)),"x","")</f>
        <v/>
      </c>
      <c r="R4803" s="79" t="str">
        <f>IF(AND($N4803=$Q$7,$B4803&lt;'111'!$L$11),"x","")</f>
        <v/>
      </c>
      <c r="S4803" s="79" t="str">
        <f>IF(AND($O4803=$Q$7,$B4803&lt;'111'!$L$11),"x","")</f>
        <v/>
      </c>
      <c r="T4803" s="79" t="str">
        <f>IF(ISERROR(FIND('112'!$M$9,G4803,1)),"",IF((AND(FIND('112'!$M$9,G4803,1)&gt;=1,B4803='112'!$K$9,OR($N4803='112'!$I$6,$O4803='112'!$I$6))),"x",""))</f>
        <v/>
      </c>
      <c r="U4803" s="79" t="str">
        <f>IF(ISERROR(FIND('112'!$M$9,G4803,1)),"",IF((AND(LEFT(G4803,2)=LEFT('112'!$M$9,2),B4803&lt;'112'!$K$9,$N4803='112'!$I$6)),"x",""))</f>
        <v/>
      </c>
      <c r="V4803" s="79" t="str">
        <f>IF(ISERROR(FIND('112'!$M$9,G4803,1)),"",IF((AND(RIGHT(G4803,2)=RIGHT('112'!$M$9,2),B4803&lt;'112'!$K$9,$O4803='112'!$I$6)),"x",""))</f>
        <v/>
      </c>
      <c r="W4803" s="79" t="str">
        <f>IF(AND('341-CT'!$H$9=H4803,OR(LEFT(N4803,3)=$W$7,LEFT(O4803,3)=$W$7)),"x","")</f>
        <v/>
      </c>
      <c r="X4803" s="79" t="str">
        <f>IF(OR(TH!N4803=TH!$X$7,O4803=TH!$X$7),"x","")</f>
        <v/>
      </c>
      <c r="Y4803" s="79" t="str">
        <f>IF(AND(OR(N4803="131",O4803="131"),H4803='131-CT'!$H$9),"x","")</f>
        <v/>
      </c>
      <c r="Z4803" s="79"/>
      <c r="AA4803" s="79" t="str">
        <f>IF(AND(MONTH(E4803)='IN-NX'!$J$5,'IN-NX'!$D$7=D4803),"x","")</f>
        <v/>
      </c>
      <c r="AB4803" s="79" t="str">
        <f>IF(AND(OR(LEFT(TH!N4803,2)="15",LEFT(TH!O4803,2)="15"),LEFT(TH!O4803,3)&lt;&gt;"111",'152-CT'!$J$8=TH!F4803),"x","")</f>
        <v/>
      </c>
      <c r="AC4803" s="79" t="str">
        <f>IF(AND(OR(LEFT(TH!N4803,2)="15",LEFT(TH!O4803,2)="15"),TK!$E$7=TH!F4803),"x","")</f>
        <v/>
      </c>
      <c r="AD4803" s="79" t="str">
        <f>IF(AND(N4803="1521",MONTH(C4803)='BK-NL'!$M$11),"x","")</f>
        <v/>
      </c>
    </row>
    <row r="4804" spans="1:30" ht="16.5" customHeight="1">
      <c r="A4804" s="318" t="str">
        <f>IF(B4804&lt;&gt;"",IF(AND(B4804='[3]IN-TC'!$S$4,OR([3]TH!N4035="1111",[3]TH!O4035="1111")),[3]TH!D4035,""),"")</f>
        <v/>
      </c>
      <c r="B4804" s="60" t="str">
        <f t="shared" si="478"/>
        <v/>
      </c>
      <c r="C4804" s="61"/>
      <c r="D4804" s="61"/>
      <c r="E4804" s="61"/>
      <c r="F4804" s="64"/>
      <c r="G4804" s="64"/>
      <c r="H4804" s="69"/>
      <c r="I4804" s="385"/>
      <c r="J4804" s="395"/>
      <c r="K4804" s="385"/>
      <c r="L4804" s="392"/>
      <c r="M4804" s="62"/>
      <c r="N4804" s="63"/>
      <c r="O4804" s="63"/>
      <c r="P4804" s="79" t="str">
        <f>IF(AND('331-CT'!$E$7=TH!H4804,OR(N4804="331",O4804="331")),"x","")</f>
        <v/>
      </c>
      <c r="Q4804" s="79" t="str">
        <f>IF(AND(B4804='111'!$L$11,OR($N4804=$Q$7,$O4804=$Q$7)),"x","")</f>
        <v/>
      </c>
      <c r="R4804" s="79" t="str">
        <f>IF(AND($N4804=$Q$7,$B4804&lt;'111'!$L$11),"x","")</f>
        <v/>
      </c>
      <c r="S4804" s="79" t="str">
        <f>IF(AND($O4804=$Q$7,$B4804&lt;'111'!$L$11),"x","")</f>
        <v/>
      </c>
      <c r="T4804" s="79" t="str">
        <f>IF(ISERROR(FIND('112'!$M$9,G4804,1)),"",IF((AND(FIND('112'!$M$9,G4804,1)&gt;=1,B4804='112'!$K$9,OR($N4804='112'!$I$6,$O4804='112'!$I$6))),"x",""))</f>
        <v/>
      </c>
      <c r="U4804" s="79" t="str">
        <f>IF(ISERROR(FIND('112'!$M$9,G4804,1)),"",IF((AND(LEFT(G4804,2)=LEFT('112'!$M$9,2),B4804&lt;'112'!$K$9,$N4804='112'!$I$6)),"x",""))</f>
        <v/>
      </c>
      <c r="V4804" s="79" t="str">
        <f>IF(ISERROR(FIND('112'!$M$9,G4804,1)),"",IF((AND(RIGHT(G4804,2)=RIGHT('112'!$M$9,2),B4804&lt;'112'!$K$9,$O4804='112'!$I$6)),"x",""))</f>
        <v/>
      </c>
      <c r="W4804" s="79" t="str">
        <f>IF(AND('341-CT'!$H$9=H4804,OR(LEFT(N4804,3)=$W$7,LEFT(O4804,3)=$W$7)),"x","")</f>
        <v/>
      </c>
      <c r="X4804" s="79" t="str">
        <f>IF(OR(TH!N4804=TH!$X$7,O4804=TH!$X$7),"x","")</f>
        <v/>
      </c>
      <c r="Y4804" s="79" t="str">
        <f>IF(AND(OR(N4804="131",O4804="131"),H4804='131-CT'!$H$9),"x","")</f>
        <v/>
      </c>
      <c r="Z4804" s="79"/>
      <c r="AA4804" s="79" t="str">
        <f>IF(AND(MONTH(E4804)='IN-NX'!$J$5,'IN-NX'!$D$7=D4804),"x","")</f>
        <v/>
      </c>
      <c r="AB4804" s="79" t="str">
        <f>IF(AND(OR(LEFT(TH!N4804,2)="15",LEFT(TH!O4804,2)="15"),LEFT(TH!O4804,3)&lt;&gt;"111",'152-CT'!$J$8=TH!F4804),"x","")</f>
        <v/>
      </c>
      <c r="AC4804" s="79" t="str">
        <f>IF(AND(OR(LEFT(TH!N4804,2)="15",LEFT(TH!O4804,2)="15"),TK!$E$7=TH!F4804),"x","")</f>
        <v/>
      </c>
      <c r="AD4804" s="79" t="str">
        <f>IF(AND(N4804="1521",MONTH(C4804)='BK-NL'!$M$11),"x","")</f>
        <v/>
      </c>
    </row>
    <row r="4805" spans="1:30" ht="16.5" customHeight="1">
      <c r="A4805" s="318" t="str">
        <f>IF(B4805&lt;&gt;"",IF(AND(B4805='[3]IN-TC'!$S$4,OR([3]TH!N4036="1111",[3]TH!O4036="1111")),[3]TH!D4036,""),"")</f>
        <v/>
      </c>
      <c r="B4805" s="60" t="str">
        <f t="shared" si="478"/>
        <v/>
      </c>
      <c r="C4805" s="61"/>
      <c r="D4805" s="61"/>
      <c r="E4805" s="61"/>
      <c r="F4805" s="64"/>
      <c r="G4805" s="64"/>
      <c r="H4805" s="69"/>
      <c r="I4805" s="385"/>
      <c r="J4805" s="395"/>
      <c r="K4805" s="385"/>
      <c r="L4805" s="392"/>
      <c r="M4805" s="62"/>
      <c r="N4805" s="63"/>
      <c r="O4805" s="63"/>
      <c r="P4805" s="79" t="str">
        <f>IF(AND('331-CT'!$E$7=TH!H4805,OR(N4805="331",O4805="331")),"x","")</f>
        <v/>
      </c>
      <c r="Q4805" s="79" t="str">
        <f>IF(AND(B4805='111'!$L$11,OR($N4805=$Q$7,$O4805=$Q$7)),"x","")</f>
        <v/>
      </c>
      <c r="R4805" s="79" t="str">
        <f>IF(AND($N4805=$Q$7,$B4805&lt;'111'!$L$11),"x","")</f>
        <v/>
      </c>
      <c r="S4805" s="79" t="str">
        <f>IF(AND($O4805=$Q$7,$B4805&lt;'111'!$L$11),"x","")</f>
        <v/>
      </c>
      <c r="T4805" s="79" t="str">
        <f>IF(ISERROR(FIND('112'!$M$9,G4805,1)),"",IF((AND(FIND('112'!$M$9,G4805,1)&gt;=1,B4805='112'!$K$9,OR($N4805='112'!$I$6,$O4805='112'!$I$6))),"x",""))</f>
        <v/>
      </c>
      <c r="U4805" s="79" t="str">
        <f>IF(ISERROR(FIND('112'!$M$9,G4805,1)),"",IF((AND(LEFT(G4805,2)=LEFT('112'!$M$9,2),B4805&lt;'112'!$K$9,$N4805='112'!$I$6)),"x",""))</f>
        <v/>
      </c>
      <c r="V4805" s="79" t="str">
        <f>IF(ISERROR(FIND('112'!$M$9,G4805,1)),"",IF((AND(RIGHT(G4805,2)=RIGHT('112'!$M$9,2),B4805&lt;'112'!$K$9,$O4805='112'!$I$6)),"x",""))</f>
        <v/>
      </c>
      <c r="W4805" s="79" t="str">
        <f>IF(AND('341-CT'!$H$9=H4805,OR(LEFT(N4805,3)=$W$7,LEFT(O4805,3)=$W$7)),"x","")</f>
        <v/>
      </c>
      <c r="X4805" s="79" t="str">
        <f>IF(OR(TH!N4805=TH!$X$7,O4805=TH!$X$7),"x","")</f>
        <v/>
      </c>
      <c r="Y4805" s="79" t="str">
        <f>IF(AND(OR(N4805="131",O4805="131"),H4805='131-CT'!$H$9),"x","")</f>
        <v/>
      </c>
      <c r="Z4805" s="79"/>
      <c r="AA4805" s="79" t="str">
        <f>IF(AND(MONTH(E4805)='IN-NX'!$J$5,'IN-NX'!$D$7=D4805),"x","")</f>
        <v/>
      </c>
      <c r="AB4805" s="79" t="str">
        <f>IF(AND(OR(LEFT(TH!N4805,2)="15",LEFT(TH!O4805,2)="15"),LEFT(TH!O4805,3)&lt;&gt;"111",'152-CT'!$J$8=TH!F4805),"x","")</f>
        <v/>
      </c>
      <c r="AC4805" s="79" t="str">
        <f>IF(AND(OR(LEFT(TH!N4805,2)="15",LEFT(TH!O4805,2)="15"),TK!$E$7=TH!F4805),"x","")</f>
        <v/>
      </c>
      <c r="AD4805" s="79" t="str">
        <f>IF(AND(N4805="1521",MONTH(C4805)='BK-NL'!$M$11),"x","")</f>
        <v/>
      </c>
    </row>
    <row r="4806" spans="1:30" ht="16.5" customHeight="1">
      <c r="A4806" s="318" t="str">
        <f>IF(B4806&lt;&gt;"",IF(AND(B4806='[3]IN-TC'!$S$4,OR([3]TH!N4037="1111",[3]TH!O4037="1111")),[3]TH!D4037,""),"")</f>
        <v/>
      </c>
      <c r="B4806" s="60" t="str">
        <f t="shared" si="478"/>
        <v/>
      </c>
      <c r="C4806" s="61"/>
      <c r="D4806" s="61"/>
      <c r="E4806" s="61"/>
      <c r="F4806" s="64"/>
      <c r="G4806" s="64"/>
      <c r="H4806" s="321"/>
      <c r="I4806" s="385"/>
      <c r="J4806" s="395"/>
      <c r="K4806" s="385"/>
      <c r="L4806" s="392"/>
      <c r="M4806" s="62"/>
      <c r="N4806" s="63"/>
      <c r="O4806" s="63"/>
      <c r="P4806" s="79" t="str">
        <f>IF(AND('331-CT'!$E$7=TH!H4806,OR(N4806="331",O4806="331")),"x","")</f>
        <v/>
      </c>
      <c r="Q4806" s="79" t="str">
        <f>IF(AND(B4806='111'!$L$11,OR($N4806=$Q$7,$O4806=$Q$7)),"x","")</f>
        <v/>
      </c>
      <c r="R4806" s="79" t="str">
        <f>IF(AND($N4806=$Q$7,$B4806&lt;'111'!$L$11),"x","")</f>
        <v/>
      </c>
      <c r="S4806" s="79" t="str">
        <f>IF(AND($O4806=$Q$7,$B4806&lt;'111'!$L$11),"x","")</f>
        <v/>
      </c>
      <c r="T4806" s="79" t="str">
        <f>IF(ISERROR(FIND('112'!$M$9,G4806,1)),"",IF((AND(FIND('112'!$M$9,G4806,1)&gt;=1,B4806='112'!$K$9,OR($N4806='112'!$I$6,$O4806='112'!$I$6))),"x",""))</f>
        <v/>
      </c>
      <c r="U4806" s="79" t="str">
        <f>IF(ISERROR(FIND('112'!$M$9,G4806,1)),"",IF((AND(LEFT(G4806,2)=LEFT('112'!$M$9,2),B4806&lt;'112'!$K$9,$N4806='112'!$I$6)),"x",""))</f>
        <v/>
      </c>
      <c r="V4806" s="79" t="str">
        <f>IF(ISERROR(FIND('112'!$M$9,G4806,1)),"",IF((AND(RIGHT(G4806,2)=RIGHT('112'!$M$9,2),B4806&lt;'112'!$K$9,$O4806='112'!$I$6)),"x",""))</f>
        <v/>
      </c>
      <c r="W4806" s="79" t="str">
        <f>IF(AND('341-CT'!$H$9=H4806,OR(LEFT(N4806,3)=$W$7,LEFT(O4806,3)=$W$7)),"x","")</f>
        <v/>
      </c>
      <c r="X4806" s="79" t="str">
        <f>IF(OR(TH!N4806=TH!$X$7,O4806=TH!$X$7),"x","")</f>
        <v/>
      </c>
      <c r="Y4806" s="79" t="str">
        <f>IF(AND(OR(N4806="131",O4806="131"),H4806='131-CT'!$H$9),"x","")</f>
        <v/>
      </c>
      <c r="Z4806" s="79"/>
      <c r="AA4806" s="79" t="str">
        <f>IF(AND(MONTH(E4806)='IN-NX'!$J$5,'IN-NX'!$D$7=D4806),"x","")</f>
        <v/>
      </c>
      <c r="AB4806" s="79" t="str">
        <f>IF(AND(OR(LEFT(TH!N4806,2)="15",LEFT(TH!O4806,2)="15"),LEFT(TH!O4806,3)&lt;&gt;"111",'152-CT'!$J$8=TH!F4806),"x","")</f>
        <v/>
      </c>
      <c r="AC4806" s="79" t="str">
        <f>IF(AND(OR(LEFT(TH!N4806,2)="15",LEFT(TH!O4806,2)="15"),TK!$E$7=TH!F4806),"x","")</f>
        <v/>
      </c>
      <c r="AD4806" s="79" t="str">
        <f>IF(AND(N4806="1521",MONTH(C4806)='BK-NL'!$M$11),"x","")</f>
        <v/>
      </c>
    </row>
    <row r="4807" spans="1:30" ht="16.5" customHeight="1">
      <c r="A4807" s="318" t="str">
        <f>IF(B4807&lt;&gt;"",IF(AND(B4807='[3]IN-TC'!$S$4,OR([3]TH!N4038="1111",[3]TH!O4038="1111")),[3]TH!D4038,""),"")</f>
        <v/>
      </c>
      <c r="B4807" s="60" t="str">
        <f t="shared" si="478"/>
        <v/>
      </c>
      <c r="C4807" s="61"/>
      <c r="D4807" s="61"/>
      <c r="E4807" s="61"/>
      <c r="F4807" s="64"/>
      <c r="G4807" s="64"/>
      <c r="H4807" s="69"/>
      <c r="I4807" s="385"/>
      <c r="J4807" s="395"/>
      <c r="K4807" s="385"/>
      <c r="L4807" s="392"/>
      <c r="M4807" s="62"/>
      <c r="N4807" s="63"/>
      <c r="O4807" s="63"/>
      <c r="P4807" s="79" t="str">
        <f>IF(AND('331-CT'!$E$7=TH!H4807,OR(N4807="331",O4807="331")),"x","")</f>
        <v/>
      </c>
      <c r="Q4807" s="79" t="str">
        <f>IF(AND(B4807='111'!$L$11,OR($N4807=$Q$7,$O4807=$Q$7)),"x","")</f>
        <v/>
      </c>
      <c r="R4807" s="79" t="str">
        <f>IF(AND($N4807=$Q$7,$B4807&lt;'111'!$L$11),"x","")</f>
        <v/>
      </c>
      <c r="S4807" s="79" t="str">
        <f>IF(AND($O4807=$Q$7,$B4807&lt;'111'!$L$11),"x","")</f>
        <v/>
      </c>
      <c r="T4807" s="79" t="str">
        <f>IF(ISERROR(FIND('112'!$M$9,G4807,1)),"",IF((AND(FIND('112'!$M$9,G4807,1)&gt;=1,B4807='112'!$K$9,OR($N4807='112'!$I$6,$O4807='112'!$I$6))),"x",""))</f>
        <v/>
      </c>
      <c r="U4807" s="79" t="str">
        <f>IF(ISERROR(FIND('112'!$M$9,G4807,1)),"",IF((AND(LEFT(G4807,2)=LEFT('112'!$M$9,2),B4807&lt;'112'!$K$9,$N4807='112'!$I$6)),"x",""))</f>
        <v/>
      </c>
      <c r="V4807" s="79" t="str">
        <f>IF(ISERROR(FIND('112'!$M$9,G4807,1)),"",IF((AND(RIGHT(G4807,2)=RIGHT('112'!$M$9,2),B4807&lt;'112'!$K$9,$O4807='112'!$I$6)),"x",""))</f>
        <v/>
      </c>
      <c r="W4807" s="79" t="str">
        <f>IF(AND('341-CT'!$H$9=H4807,OR(LEFT(N4807,3)=$W$7,LEFT(O4807,3)=$W$7)),"x","")</f>
        <v/>
      </c>
      <c r="X4807" s="79" t="str">
        <f>IF(OR(TH!N4807=TH!$X$7,O4807=TH!$X$7),"x","")</f>
        <v/>
      </c>
      <c r="Y4807" s="79" t="str">
        <f>IF(AND(OR(N4807="131",O4807="131"),H4807='131-CT'!$H$9),"x","")</f>
        <v/>
      </c>
      <c r="Z4807" s="79"/>
      <c r="AA4807" s="79" t="str">
        <f>IF(AND(MONTH(E4807)='IN-NX'!$J$5,'IN-NX'!$D$7=D4807),"x","")</f>
        <v/>
      </c>
      <c r="AB4807" s="79" t="str">
        <f>IF(AND(OR(LEFT(TH!N4807,2)="15",LEFT(TH!O4807,2)="15"),LEFT(TH!O4807,3)&lt;&gt;"111",'152-CT'!$J$8=TH!F4807),"x","")</f>
        <v/>
      </c>
      <c r="AC4807" s="79" t="str">
        <f>IF(AND(OR(LEFT(TH!N4807,2)="15",LEFT(TH!O4807,2)="15"),TK!$E$7=TH!F4807),"x","")</f>
        <v/>
      </c>
      <c r="AD4807" s="79" t="str">
        <f>IF(AND(N4807="1521",MONTH(C4807)='BK-NL'!$M$11),"x","")</f>
        <v/>
      </c>
    </row>
    <row r="4808" spans="1:30" ht="16.5" customHeight="1">
      <c r="A4808" s="318" t="str">
        <f>IF(B4808&lt;&gt;"",IF(AND(B4808='[3]IN-TC'!$S$4,OR([3]TH!N4039="1111",[3]TH!O4039="1111")),[3]TH!D4039,""),"")</f>
        <v/>
      </c>
      <c r="B4808" s="60" t="str">
        <f t="shared" si="478"/>
        <v/>
      </c>
      <c r="C4808" s="61"/>
      <c r="D4808" s="61"/>
      <c r="E4808" s="61"/>
      <c r="F4808" s="64"/>
      <c r="G4808" s="64"/>
      <c r="H4808" s="69"/>
      <c r="I4808" s="385"/>
      <c r="J4808" s="395"/>
      <c r="K4808" s="385"/>
      <c r="L4808" s="392"/>
      <c r="M4808" s="62"/>
      <c r="N4808" s="63"/>
      <c r="O4808" s="63"/>
      <c r="P4808" s="79" t="str">
        <f>IF(AND('331-CT'!$E$7=TH!H4808,OR(N4808="331",O4808="331")),"x","")</f>
        <v/>
      </c>
      <c r="Q4808" s="79" t="str">
        <f>IF(AND(B4808='111'!$L$11,OR($N4808=$Q$7,$O4808=$Q$7)),"x","")</f>
        <v/>
      </c>
      <c r="R4808" s="79" t="str">
        <f>IF(AND($N4808=$Q$7,$B4808&lt;'111'!$L$11),"x","")</f>
        <v/>
      </c>
      <c r="S4808" s="79" t="str">
        <f>IF(AND($O4808=$Q$7,$B4808&lt;'111'!$L$11),"x","")</f>
        <v/>
      </c>
      <c r="T4808" s="79" t="str">
        <f>IF(ISERROR(FIND('112'!$M$9,G4808,1)),"",IF((AND(FIND('112'!$M$9,G4808,1)&gt;=1,B4808='112'!$K$9,OR($N4808='112'!$I$6,$O4808='112'!$I$6))),"x",""))</f>
        <v/>
      </c>
      <c r="U4808" s="79" t="str">
        <f>IF(ISERROR(FIND('112'!$M$9,G4808,1)),"",IF((AND(LEFT(G4808,2)=LEFT('112'!$M$9,2),B4808&lt;'112'!$K$9,$N4808='112'!$I$6)),"x",""))</f>
        <v/>
      </c>
      <c r="V4808" s="79" t="str">
        <f>IF(ISERROR(FIND('112'!$M$9,G4808,1)),"",IF((AND(RIGHT(G4808,2)=RIGHT('112'!$M$9,2),B4808&lt;'112'!$K$9,$O4808='112'!$I$6)),"x",""))</f>
        <v/>
      </c>
      <c r="W4808" s="79" t="str">
        <f>IF(AND('341-CT'!$H$9=H4808,OR(LEFT(N4808,3)=$W$7,LEFT(O4808,3)=$W$7)),"x","")</f>
        <v/>
      </c>
      <c r="X4808" s="79" t="str">
        <f>IF(OR(TH!N4808=TH!$X$7,O4808=TH!$X$7),"x","")</f>
        <v/>
      </c>
      <c r="Y4808" s="79" t="str">
        <f>IF(AND(OR(N4808="131",O4808="131"),H4808='131-CT'!$H$9),"x","")</f>
        <v/>
      </c>
      <c r="Z4808" s="79"/>
      <c r="AA4808" s="79" t="str">
        <f>IF(AND(MONTH(E4808)='IN-NX'!$J$5,'IN-NX'!$D$7=D4808),"x","")</f>
        <v/>
      </c>
      <c r="AB4808" s="79" t="str">
        <f>IF(AND(OR(LEFT(TH!N4808,2)="15",LEFT(TH!O4808,2)="15"),LEFT(TH!O4808,3)&lt;&gt;"111",'152-CT'!$J$8=TH!F4808),"x","")</f>
        <v/>
      </c>
      <c r="AC4808" s="79" t="str">
        <f>IF(AND(OR(LEFT(TH!N4808,2)="15",LEFT(TH!O4808,2)="15"),TK!$E$7=TH!F4808),"x","")</f>
        <v/>
      </c>
      <c r="AD4808" s="79" t="str">
        <f>IF(AND(N4808="1521",MONTH(C4808)='BK-NL'!$M$11),"x","")</f>
        <v/>
      </c>
    </row>
    <row r="4809" spans="1:30" ht="16.5" customHeight="1">
      <c r="A4809" s="318" t="str">
        <f>IF(B4809&lt;&gt;"",IF(AND(B4809='[3]IN-TC'!$S$4,OR([3]TH!N4040="1111",[3]TH!O4040="1111")),[3]TH!D4040,""),"")</f>
        <v/>
      </c>
      <c r="B4809" s="60" t="str">
        <f t="shared" si="478"/>
        <v/>
      </c>
      <c r="C4809" s="61"/>
      <c r="D4809" s="61"/>
      <c r="E4809" s="61"/>
      <c r="F4809" s="64"/>
      <c r="G4809" s="64"/>
      <c r="H4809" s="69"/>
      <c r="I4809" s="385"/>
      <c r="J4809" s="395"/>
      <c r="K4809" s="385"/>
      <c r="L4809" s="392"/>
      <c r="M4809" s="62"/>
      <c r="N4809" s="63"/>
      <c r="O4809" s="304"/>
      <c r="P4809" s="79" t="str">
        <f>IF(AND('331-CT'!$E$7=TH!H4809,OR(N4809="331",O4809="331")),"x","")</f>
        <v/>
      </c>
      <c r="Q4809" s="79" t="str">
        <f>IF(AND(B4809='111'!$L$11,OR($N4809=$Q$7,$O4809=$Q$7)),"x","")</f>
        <v/>
      </c>
      <c r="R4809" s="79" t="str">
        <f>IF(AND($N4809=$Q$7,$B4809&lt;'111'!$L$11),"x","")</f>
        <v/>
      </c>
      <c r="S4809" s="79" t="str">
        <f>IF(AND($O4809=$Q$7,$B4809&lt;'111'!$L$11),"x","")</f>
        <v/>
      </c>
      <c r="T4809" s="79" t="str">
        <f>IF(ISERROR(FIND('112'!$M$9,G4809,1)),"",IF((AND(FIND('112'!$M$9,G4809,1)&gt;=1,B4809='112'!$K$9,OR($N4809='112'!$I$6,$O4809='112'!$I$6))),"x",""))</f>
        <v/>
      </c>
      <c r="U4809" s="79" t="str">
        <f>IF(ISERROR(FIND('112'!$M$9,G4809,1)),"",IF((AND(LEFT(G4809,2)=LEFT('112'!$M$9,2),B4809&lt;'112'!$K$9,$N4809='112'!$I$6)),"x",""))</f>
        <v/>
      </c>
      <c r="V4809" s="79" t="str">
        <f>IF(ISERROR(FIND('112'!$M$9,G4809,1)),"",IF((AND(RIGHT(G4809,2)=RIGHT('112'!$M$9,2),B4809&lt;'112'!$K$9,$O4809='112'!$I$6)),"x",""))</f>
        <v/>
      </c>
      <c r="W4809" s="79" t="str">
        <f>IF(AND('341-CT'!$H$9=H4809,OR(LEFT(N4809,3)=$W$7,LEFT(O4809,3)=$W$7)),"x","")</f>
        <v/>
      </c>
      <c r="X4809" s="79" t="str">
        <f>IF(OR(TH!N4809=TH!$X$7,O4809=TH!$X$7),"x","")</f>
        <v/>
      </c>
      <c r="Y4809" s="79" t="str">
        <f>IF(AND(OR(N4809="131",O4809="131"),H4809='131-CT'!$H$9),"x","")</f>
        <v/>
      </c>
      <c r="Z4809" s="79"/>
      <c r="AA4809" s="79" t="str">
        <f>IF(AND(MONTH(E4809)='IN-NX'!$J$5,'IN-NX'!$D$7=D4809),"x","")</f>
        <v/>
      </c>
      <c r="AB4809" s="79" t="str">
        <f>IF(AND(OR(LEFT(TH!N4809,2)="15",LEFT(TH!O4809,2)="15"),LEFT(TH!O4809,3)&lt;&gt;"111",'152-CT'!$J$8=TH!F4809),"x","")</f>
        <v/>
      </c>
      <c r="AC4809" s="79" t="str">
        <f>IF(AND(OR(LEFT(TH!N4809,2)="15",LEFT(TH!O4809,2)="15"),TK!$E$7=TH!F4809),"x","")</f>
        <v/>
      </c>
      <c r="AD4809" s="79" t="str">
        <f>IF(AND(N4809="1521",MONTH(C4809)='BK-NL'!$M$11),"x","")</f>
        <v/>
      </c>
    </row>
    <row r="4810" spans="1:30" ht="16.5" customHeight="1">
      <c r="A4810" s="318" t="str">
        <f>IF(B4810&lt;&gt;"",IF(AND(B4810='[3]IN-TC'!$S$4,OR([3]TH!N4041="1111",[3]TH!O4041="1111")),[3]TH!D4041,""),"")</f>
        <v/>
      </c>
      <c r="B4810" s="60" t="str">
        <f t="shared" si="478"/>
        <v/>
      </c>
      <c r="C4810" s="61"/>
      <c r="D4810" s="61"/>
      <c r="E4810" s="61"/>
      <c r="F4810" s="64"/>
      <c r="G4810" s="64"/>
      <c r="H4810" s="69"/>
      <c r="I4810" s="385"/>
      <c r="J4810" s="395"/>
      <c r="K4810" s="385"/>
      <c r="L4810" s="392"/>
      <c r="M4810" s="62"/>
      <c r="N4810" s="63"/>
      <c r="O4810" s="63"/>
      <c r="P4810" s="79" t="str">
        <f>IF(AND('331-CT'!$E$7=TH!H4810,OR(N4810="331",O4810="331")),"x","")</f>
        <v/>
      </c>
      <c r="Q4810" s="79" t="str">
        <f>IF(AND(B4810='111'!$L$11,OR($N4810=$Q$7,$O4810=$Q$7)),"x","")</f>
        <v/>
      </c>
      <c r="R4810" s="79" t="str">
        <f>IF(AND($N4810=$Q$7,$B4810&lt;'111'!$L$11),"x","")</f>
        <v/>
      </c>
      <c r="S4810" s="79" t="str">
        <f>IF(AND($O4810=$Q$7,$B4810&lt;'111'!$L$11),"x","")</f>
        <v/>
      </c>
      <c r="T4810" s="79" t="str">
        <f>IF(ISERROR(FIND('112'!$M$9,G4810,1)),"",IF((AND(FIND('112'!$M$9,G4810,1)&gt;=1,B4810='112'!$K$9,OR($N4810='112'!$I$6,$O4810='112'!$I$6))),"x",""))</f>
        <v/>
      </c>
      <c r="U4810" s="79" t="str">
        <f>IF(ISERROR(FIND('112'!$M$9,G4810,1)),"",IF((AND(LEFT(G4810,2)=LEFT('112'!$M$9,2),B4810&lt;'112'!$K$9,$N4810='112'!$I$6)),"x",""))</f>
        <v/>
      </c>
      <c r="V4810" s="79" t="str">
        <f>IF(ISERROR(FIND('112'!$M$9,G4810,1)),"",IF((AND(RIGHT(G4810,2)=RIGHT('112'!$M$9,2),B4810&lt;'112'!$K$9,$O4810='112'!$I$6)),"x",""))</f>
        <v/>
      </c>
      <c r="W4810" s="79" t="str">
        <f>IF(AND('341-CT'!$H$9=H4810,OR(LEFT(N4810,3)=$W$7,LEFT(O4810,3)=$W$7)),"x","")</f>
        <v/>
      </c>
      <c r="X4810" s="79" t="str">
        <f>IF(OR(TH!N4810=TH!$X$7,O4810=TH!$X$7),"x","")</f>
        <v/>
      </c>
      <c r="Y4810" s="79" t="str">
        <f>IF(AND(OR(N4810="131",O4810="131"),H4810='131-CT'!$H$9),"x","")</f>
        <v/>
      </c>
      <c r="Z4810" s="79"/>
      <c r="AA4810" s="79" t="str">
        <f>IF(AND(MONTH(E4810)='IN-NX'!$J$5,'IN-NX'!$D$7=D4810),"x","")</f>
        <v/>
      </c>
      <c r="AB4810" s="79" t="str">
        <f>IF(AND(OR(LEFT(TH!N4810,2)="15",LEFT(TH!O4810,2)="15"),LEFT(TH!O4810,3)&lt;&gt;"111",'152-CT'!$J$8=TH!F4810),"x","")</f>
        <v/>
      </c>
      <c r="AC4810" s="79" t="str">
        <f>IF(AND(OR(LEFT(TH!N4810,2)="15",LEFT(TH!O4810,2)="15"),TK!$E$7=TH!F4810),"x","")</f>
        <v/>
      </c>
      <c r="AD4810" s="79" t="str">
        <f>IF(AND(N4810="1521",MONTH(C4810)='BK-NL'!$M$11),"x","")</f>
        <v/>
      </c>
    </row>
    <row r="4811" spans="1:30" ht="16.5" customHeight="1">
      <c r="A4811" s="318" t="str">
        <f>IF(B4811&lt;&gt;"",IF(AND(B4811='[3]IN-TC'!$S$4,OR([3]TH!N4042="1111",[3]TH!O4042="1111")),[3]TH!D4042,""),"")</f>
        <v/>
      </c>
      <c r="B4811" s="60" t="str">
        <f t="shared" si="478"/>
        <v/>
      </c>
      <c r="C4811" s="61"/>
      <c r="D4811" s="61"/>
      <c r="E4811" s="61"/>
      <c r="F4811" s="64"/>
      <c r="G4811" s="64"/>
      <c r="H4811" s="303"/>
      <c r="I4811" s="385"/>
      <c r="J4811" s="395"/>
      <c r="K4811" s="385"/>
      <c r="L4811" s="392"/>
      <c r="M4811" s="62"/>
      <c r="N4811" s="63"/>
      <c r="O4811" s="63"/>
      <c r="P4811" s="79" t="str">
        <f>IF(AND('331-CT'!$E$7=TH!H4811,OR(N4811="331",O4811="331")),"x","")</f>
        <v/>
      </c>
      <c r="Q4811" s="79" t="str">
        <f>IF(AND(B4811='111'!$L$11,OR($N4811=$Q$7,$O4811=$Q$7)),"x","")</f>
        <v/>
      </c>
      <c r="R4811" s="79" t="str">
        <f>IF(AND($N4811=$Q$7,$B4811&lt;'111'!$L$11),"x","")</f>
        <v/>
      </c>
      <c r="S4811" s="79" t="str">
        <f>IF(AND($O4811=$Q$7,$B4811&lt;'111'!$L$11),"x","")</f>
        <v/>
      </c>
      <c r="T4811" s="79" t="str">
        <f>IF(ISERROR(FIND('112'!$M$9,G4811,1)),"",IF((AND(FIND('112'!$M$9,G4811,1)&gt;=1,B4811='112'!$K$9,OR($N4811='112'!$I$6,$O4811='112'!$I$6))),"x",""))</f>
        <v/>
      </c>
      <c r="U4811" s="79" t="str">
        <f>IF(ISERROR(FIND('112'!$M$9,G4811,1)),"",IF((AND(LEFT(G4811,2)=LEFT('112'!$M$9,2),B4811&lt;'112'!$K$9,$N4811='112'!$I$6)),"x",""))</f>
        <v/>
      </c>
      <c r="V4811" s="79" t="str">
        <f>IF(ISERROR(FIND('112'!$M$9,G4811,1)),"",IF((AND(RIGHT(G4811,2)=RIGHT('112'!$M$9,2),B4811&lt;'112'!$K$9,$O4811='112'!$I$6)),"x",""))</f>
        <v/>
      </c>
      <c r="W4811" s="79" t="str">
        <f>IF(AND('341-CT'!$H$9=H4811,OR(LEFT(N4811,3)=$W$7,LEFT(O4811,3)=$W$7)),"x","")</f>
        <v/>
      </c>
      <c r="X4811" s="79" t="str">
        <f>IF(OR(TH!N4811=TH!$X$7,O4811=TH!$X$7),"x","")</f>
        <v/>
      </c>
      <c r="Y4811" s="79" t="str">
        <f>IF(AND(OR(N4811="131",O4811="131"),H4811='131-CT'!$H$9),"x","")</f>
        <v/>
      </c>
      <c r="Z4811" s="79"/>
      <c r="AA4811" s="79" t="str">
        <f>IF(AND(MONTH(E4811)='IN-NX'!$J$5,'IN-NX'!$D$7=D4811),"x","")</f>
        <v/>
      </c>
      <c r="AB4811" s="79" t="str">
        <f>IF(AND(OR(LEFT(TH!N4811,2)="15",LEFT(TH!O4811,2)="15"),LEFT(TH!O4811,3)&lt;&gt;"111",'152-CT'!$J$8=TH!F4811),"x","")</f>
        <v/>
      </c>
      <c r="AC4811" s="79" t="str">
        <f>IF(AND(OR(LEFT(TH!N4811,2)="15",LEFT(TH!O4811,2)="15"),TK!$E$7=TH!F4811),"x","")</f>
        <v/>
      </c>
      <c r="AD4811" s="79" t="str">
        <f>IF(AND(N4811="1521",MONTH(C4811)='BK-NL'!$M$11),"x","")</f>
        <v/>
      </c>
    </row>
    <row r="4812" spans="1:30" ht="16.5" customHeight="1">
      <c r="A4812" s="318" t="str">
        <f>IF(B4812&lt;&gt;"",IF(AND(B4812='[3]IN-TC'!$S$4,OR([3]TH!N4043="1111",[3]TH!O4043="1111")),[3]TH!D4043,""),"")</f>
        <v/>
      </c>
      <c r="B4812" s="60" t="str">
        <f t="shared" si="478"/>
        <v/>
      </c>
      <c r="C4812" s="61"/>
      <c r="D4812" s="61"/>
      <c r="E4812" s="61"/>
      <c r="F4812" s="64"/>
      <c r="G4812" s="64"/>
      <c r="H4812" s="69"/>
      <c r="I4812" s="385"/>
      <c r="J4812" s="395"/>
      <c r="K4812" s="385"/>
      <c r="L4812" s="392"/>
      <c r="M4812" s="62"/>
      <c r="N4812" s="63"/>
      <c r="O4812" s="63"/>
      <c r="P4812" s="79" t="str">
        <f>IF(AND('331-CT'!$E$7=TH!H4812,OR(N4812="331",O4812="331")),"x","")</f>
        <v/>
      </c>
      <c r="Q4812" s="79" t="str">
        <f>IF(AND(B4812='111'!$L$11,OR($N4812=$Q$7,$O4812=$Q$7)),"x","")</f>
        <v/>
      </c>
      <c r="R4812" s="79" t="str">
        <f>IF(AND($N4812=$Q$7,$B4812&lt;'111'!$L$11),"x","")</f>
        <v/>
      </c>
      <c r="S4812" s="79" t="str">
        <f>IF(AND($O4812=$Q$7,$B4812&lt;'111'!$L$11),"x","")</f>
        <v/>
      </c>
      <c r="T4812" s="79" t="str">
        <f>IF(ISERROR(FIND('112'!$M$9,G4812,1)),"",IF((AND(FIND('112'!$M$9,G4812,1)&gt;=1,B4812='112'!$K$9,OR($N4812='112'!$I$6,$O4812='112'!$I$6))),"x",""))</f>
        <v/>
      </c>
      <c r="U4812" s="79" t="str">
        <f>IF(ISERROR(FIND('112'!$M$9,G4812,1)),"",IF((AND(LEFT(G4812,2)=LEFT('112'!$M$9,2),B4812&lt;'112'!$K$9,$N4812='112'!$I$6)),"x",""))</f>
        <v/>
      </c>
      <c r="V4812" s="79" t="str">
        <f>IF(ISERROR(FIND('112'!$M$9,G4812,1)),"",IF((AND(RIGHT(G4812,2)=RIGHT('112'!$M$9,2),B4812&lt;'112'!$K$9,$O4812='112'!$I$6)),"x",""))</f>
        <v/>
      </c>
      <c r="W4812" s="79" t="str">
        <f>IF(AND('341-CT'!$H$9=H4812,OR(LEFT(N4812,3)=$W$7,LEFT(O4812,3)=$W$7)),"x","")</f>
        <v/>
      </c>
      <c r="X4812" s="79" t="str">
        <f>IF(OR(TH!N4812=TH!$X$7,O4812=TH!$X$7),"x","")</f>
        <v/>
      </c>
      <c r="Y4812" s="79" t="str">
        <f>IF(AND(OR(N4812="131",O4812="131"),H4812='131-CT'!$H$9),"x","")</f>
        <v/>
      </c>
      <c r="Z4812" s="79"/>
      <c r="AA4812" s="79" t="str">
        <f>IF(AND(MONTH(E4812)='IN-NX'!$J$5,'IN-NX'!$D$7=D4812),"x","")</f>
        <v/>
      </c>
      <c r="AB4812" s="79" t="str">
        <f>IF(AND(OR(LEFT(TH!N4812,2)="15",LEFT(TH!O4812,2)="15"),LEFT(TH!O4812,3)&lt;&gt;"111",'152-CT'!$J$8=TH!F4812),"x","")</f>
        <v/>
      </c>
      <c r="AC4812" s="79" t="str">
        <f>IF(AND(OR(LEFT(TH!N4812,2)="15",LEFT(TH!O4812,2)="15"),TK!$E$7=TH!F4812),"x","")</f>
        <v/>
      </c>
      <c r="AD4812" s="79" t="str">
        <f>IF(AND(N4812="1521",MONTH(C4812)='BK-NL'!$M$11),"x","")</f>
        <v/>
      </c>
    </row>
    <row r="4813" spans="1:30" ht="16.5" customHeight="1">
      <c r="A4813" s="318" t="str">
        <f>IF(B4813&lt;&gt;"",IF(AND(B4813='[3]IN-TC'!$S$4,OR([3]TH!N4044="1111",[3]TH!O4044="1111")),[3]TH!D4044,""),"")</f>
        <v/>
      </c>
      <c r="B4813" s="60" t="str">
        <f t="shared" si="478"/>
        <v/>
      </c>
      <c r="C4813" s="61"/>
      <c r="D4813" s="61"/>
      <c r="E4813" s="61"/>
      <c r="F4813" s="64"/>
      <c r="G4813" s="64"/>
      <c r="H4813" s="69"/>
      <c r="I4813" s="385"/>
      <c r="J4813" s="395"/>
      <c r="K4813" s="385"/>
      <c r="L4813" s="392"/>
      <c r="M4813" s="62"/>
      <c r="N4813" s="63"/>
      <c r="O4813" s="63"/>
      <c r="P4813" s="79" t="str">
        <f>IF(AND('331-CT'!$E$7=TH!H4813,OR(N4813="331",O4813="331")),"x","")</f>
        <v/>
      </c>
      <c r="Q4813" s="79" t="str">
        <f>IF(AND(B4813='111'!$L$11,OR($N4813=$Q$7,$O4813=$Q$7)),"x","")</f>
        <v/>
      </c>
      <c r="R4813" s="79" t="str">
        <f>IF(AND($N4813=$Q$7,$B4813&lt;'111'!$L$11),"x","")</f>
        <v/>
      </c>
      <c r="S4813" s="79" t="str">
        <f>IF(AND($O4813=$Q$7,$B4813&lt;'111'!$L$11),"x","")</f>
        <v/>
      </c>
      <c r="T4813" s="79" t="str">
        <f>IF(ISERROR(FIND('112'!$M$9,G4813,1)),"",IF((AND(FIND('112'!$M$9,G4813,1)&gt;=1,B4813='112'!$K$9,OR($N4813='112'!$I$6,$O4813='112'!$I$6))),"x",""))</f>
        <v/>
      </c>
      <c r="U4813" s="79" t="str">
        <f>IF(ISERROR(FIND('112'!$M$9,G4813,1)),"",IF((AND(LEFT(G4813,2)=LEFT('112'!$M$9,2),B4813&lt;'112'!$K$9,$N4813='112'!$I$6)),"x",""))</f>
        <v/>
      </c>
      <c r="V4813" s="79" t="str">
        <f>IF(ISERROR(FIND('112'!$M$9,G4813,1)),"",IF((AND(RIGHT(G4813,2)=RIGHT('112'!$M$9,2),B4813&lt;'112'!$K$9,$O4813='112'!$I$6)),"x",""))</f>
        <v/>
      </c>
      <c r="W4813" s="79" t="str">
        <f>IF(AND('341-CT'!$H$9=H4813,OR(LEFT(N4813,3)=$W$7,LEFT(O4813,3)=$W$7)),"x","")</f>
        <v/>
      </c>
      <c r="X4813" s="79" t="str">
        <f>IF(OR(TH!N4813=TH!$X$7,O4813=TH!$X$7),"x","")</f>
        <v/>
      </c>
      <c r="Y4813" s="79" t="str">
        <f>IF(AND(OR(N4813="131",O4813="131"),H4813='131-CT'!$H$9),"x","")</f>
        <v/>
      </c>
      <c r="Z4813" s="79"/>
      <c r="AA4813" s="79" t="str">
        <f>IF(AND(MONTH(E4813)='IN-NX'!$J$5,'IN-NX'!$D$7=D4813),"x","")</f>
        <v/>
      </c>
      <c r="AB4813" s="79" t="str">
        <f>IF(AND(OR(LEFT(TH!N4813,2)="15",LEFT(TH!O4813,2)="15"),LEFT(TH!O4813,3)&lt;&gt;"111",'152-CT'!$J$8=TH!F4813),"x","")</f>
        <v/>
      </c>
      <c r="AC4813" s="79" t="str">
        <f>IF(AND(OR(LEFT(TH!N4813,2)="15",LEFT(TH!O4813,2)="15"),TK!$E$7=TH!F4813),"x","")</f>
        <v/>
      </c>
      <c r="AD4813" s="79" t="str">
        <f>IF(AND(N4813="1521",MONTH(C4813)='BK-NL'!$M$11),"x","")</f>
        <v/>
      </c>
    </row>
    <row r="4814" spans="1:30" ht="16.5" customHeight="1">
      <c r="A4814" s="318" t="str">
        <f>IF(B4814&lt;&gt;"",IF(AND(B4814='[3]IN-TC'!$S$4,OR([3]TH!N4045="1111",[3]TH!O4045="1111")),[3]TH!D4045,""),"")</f>
        <v/>
      </c>
      <c r="B4814" s="60" t="str">
        <f t="shared" si="478"/>
        <v/>
      </c>
      <c r="C4814" s="61"/>
      <c r="D4814" s="61"/>
      <c r="E4814" s="61"/>
      <c r="F4814" s="64"/>
      <c r="G4814" s="64"/>
      <c r="H4814" s="69"/>
      <c r="I4814" s="385"/>
      <c r="J4814" s="395"/>
      <c r="K4814" s="385"/>
      <c r="L4814" s="392"/>
      <c r="M4814" s="62"/>
      <c r="N4814" s="63"/>
      <c r="O4814" s="63"/>
      <c r="P4814" s="79" t="str">
        <f>IF(AND('331-CT'!$E$7=TH!H4814,OR(N4814="331",O4814="331")),"x","")</f>
        <v/>
      </c>
      <c r="Q4814" s="79" t="str">
        <f>IF(AND(B4814='111'!$L$11,OR($N4814=$Q$7,$O4814=$Q$7)),"x","")</f>
        <v/>
      </c>
      <c r="R4814" s="79" t="str">
        <f>IF(AND($N4814=$Q$7,$B4814&lt;'111'!$L$11),"x","")</f>
        <v/>
      </c>
      <c r="S4814" s="79" t="str">
        <f>IF(AND($O4814=$Q$7,$B4814&lt;'111'!$L$11),"x","")</f>
        <v/>
      </c>
      <c r="T4814" s="79" t="str">
        <f>IF(ISERROR(FIND('112'!$M$9,G4814,1)),"",IF((AND(FIND('112'!$M$9,G4814,1)&gt;=1,B4814='112'!$K$9,OR($N4814='112'!$I$6,$O4814='112'!$I$6))),"x",""))</f>
        <v/>
      </c>
      <c r="U4814" s="79" t="str">
        <f>IF(ISERROR(FIND('112'!$M$9,G4814,1)),"",IF((AND(LEFT(G4814,2)=LEFT('112'!$M$9,2),B4814&lt;'112'!$K$9,$N4814='112'!$I$6)),"x",""))</f>
        <v/>
      </c>
      <c r="V4814" s="79" t="str">
        <f>IF(ISERROR(FIND('112'!$M$9,G4814,1)),"",IF((AND(RIGHT(G4814,2)=RIGHT('112'!$M$9,2),B4814&lt;'112'!$K$9,$O4814='112'!$I$6)),"x",""))</f>
        <v/>
      </c>
      <c r="W4814" s="79" t="str">
        <f>IF(AND('341-CT'!$H$9=H4814,OR(LEFT(N4814,3)=$W$7,LEFT(O4814,3)=$W$7)),"x","")</f>
        <v/>
      </c>
      <c r="X4814" s="79" t="str">
        <f>IF(OR(TH!N4814=TH!$X$7,O4814=TH!$X$7),"x","")</f>
        <v/>
      </c>
      <c r="Y4814" s="79" t="str">
        <f>IF(AND(OR(N4814="131",O4814="131"),H4814='131-CT'!$H$9),"x","")</f>
        <v/>
      </c>
      <c r="Z4814" s="79"/>
      <c r="AA4814" s="79" t="str">
        <f>IF(AND(MONTH(E4814)='IN-NX'!$J$5,'IN-NX'!$D$7=D4814),"x","")</f>
        <v/>
      </c>
      <c r="AB4814" s="79" t="str">
        <f>IF(AND(OR(LEFT(TH!N4814,2)="15",LEFT(TH!O4814,2)="15"),LEFT(TH!O4814,3)&lt;&gt;"111",'152-CT'!$J$8=TH!F4814),"x","")</f>
        <v/>
      </c>
      <c r="AC4814" s="79" t="str">
        <f>IF(AND(OR(LEFT(TH!N4814,2)="15",LEFT(TH!O4814,2)="15"),TK!$E$7=TH!F4814),"x","")</f>
        <v/>
      </c>
      <c r="AD4814" s="79" t="str">
        <f>IF(AND(N4814="1521",MONTH(C4814)='BK-NL'!$M$11),"x","")</f>
        <v/>
      </c>
    </row>
    <row r="4815" spans="1:30" ht="16.5" customHeight="1">
      <c r="A4815" s="318" t="str">
        <f>IF(B4815&lt;&gt;"",IF(AND(B4815='[3]IN-TC'!$S$4,OR([3]TH!N4046="1111",[3]TH!O4046="1111")),[3]TH!D4046,""),"")</f>
        <v/>
      </c>
      <c r="B4815" s="60" t="str">
        <f t="shared" si="478"/>
        <v/>
      </c>
      <c r="C4815" s="61"/>
      <c r="D4815" s="61"/>
      <c r="E4815" s="61"/>
      <c r="F4815" s="302"/>
      <c r="G4815" s="64"/>
      <c r="H4815" s="69"/>
      <c r="I4815" s="385"/>
      <c r="J4815" s="395"/>
      <c r="K4815" s="385"/>
      <c r="L4815" s="392"/>
      <c r="M4815" s="62"/>
      <c r="N4815" s="63"/>
      <c r="O4815" s="63"/>
      <c r="P4815" s="79" t="str">
        <f>IF(AND('331-CT'!$E$7=TH!H4815,OR(N4815="331",O4815="331")),"x","")</f>
        <v/>
      </c>
      <c r="Q4815" s="79" t="str">
        <f>IF(AND(B4815='111'!$L$11,OR($N4815=$Q$7,$O4815=$Q$7)),"x","")</f>
        <v/>
      </c>
      <c r="R4815" s="79" t="str">
        <f>IF(AND($N4815=$Q$7,$B4815&lt;'111'!$L$11),"x","")</f>
        <v/>
      </c>
      <c r="S4815" s="79" t="str">
        <f>IF(AND($O4815=$Q$7,$B4815&lt;'111'!$L$11),"x","")</f>
        <v/>
      </c>
      <c r="T4815" s="79" t="str">
        <f>IF(ISERROR(FIND('112'!$M$9,G4815,1)),"",IF((AND(FIND('112'!$M$9,G4815,1)&gt;=1,B4815='112'!$K$9,OR($N4815='112'!$I$6,$O4815='112'!$I$6))),"x",""))</f>
        <v/>
      </c>
      <c r="U4815" s="79" t="str">
        <f>IF(ISERROR(FIND('112'!$M$9,G4815,1)),"",IF((AND(LEFT(G4815,2)=LEFT('112'!$M$9,2),B4815&lt;'112'!$K$9,$N4815='112'!$I$6)),"x",""))</f>
        <v/>
      </c>
      <c r="V4815" s="79" t="str">
        <f>IF(ISERROR(FIND('112'!$M$9,G4815,1)),"",IF((AND(RIGHT(G4815,2)=RIGHT('112'!$M$9,2),B4815&lt;'112'!$K$9,$O4815='112'!$I$6)),"x",""))</f>
        <v/>
      </c>
      <c r="W4815" s="79" t="str">
        <f>IF(AND('341-CT'!$H$9=H4815,OR(LEFT(N4815,3)=$W$7,LEFT(O4815,3)=$W$7)),"x","")</f>
        <v/>
      </c>
      <c r="X4815" s="79" t="str">
        <f>IF(OR(TH!N4815=TH!$X$7,O4815=TH!$X$7),"x","")</f>
        <v/>
      </c>
      <c r="Y4815" s="79" t="str">
        <f>IF(AND(OR(N4815="131",O4815="131"),H4815='131-CT'!$H$9),"x","")</f>
        <v/>
      </c>
      <c r="Z4815" s="79"/>
      <c r="AA4815" s="79" t="str">
        <f>IF(AND(MONTH(E4815)='IN-NX'!$J$5,'IN-NX'!$D$7=D4815),"x","")</f>
        <v/>
      </c>
      <c r="AB4815" s="79" t="str">
        <f>IF(AND(OR(LEFT(TH!N4815,2)="15",LEFT(TH!O4815,2)="15"),LEFT(TH!O4815,3)&lt;&gt;"111",'152-CT'!$J$8=TH!F4815),"x","")</f>
        <v/>
      </c>
      <c r="AC4815" s="79" t="str">
        <f>IF(AND(OR(LEFT(TH!N4815,2)="15",LEFT(TH!O4815,2)="15"),TK!$E$7=TH!F4815),"x","")</f>
        <v/>
      </c>
      <c r="AD4815" s="79" t="str">
        <f>IF(AND(N4815="1521",MONTH(C4815)='BK-NL'!$M$11),"x","")</f>
        <v/>
      </c>
    </row>
    <row r="4816" spans="1:30" ht="16.5" customHeight="1">
      <c r="A4816" s="318" t="str">
        <f>IF(B4816&lt;&gt;"",IF(AND(B4816='[3]IN-TC'!$S$4,OR([3]TH!N4047="1111",[3]TH!O4047="1111")),[3]TH!D4047,""),"")</f>
        <v/>
      </c>
      <c r="B4816" s="60" t="str">
        <f t="shared" si="478"/>
        <v/>
      </c>
      <c r="C4816" s="61"/>
      <c r="D4816" s="61"/>
      <c r="E4816" s="61"/>
      <c r="F4816" s="64"/>
      <c r="G4816" s="64"/>
      <c r="H4816" s="303"/>
      <c r="I4816" s="385"/>
      <c r="J4816" s="395"/>
      <c r="K4816" s="385"/>
      <c r="L4816" s="392"/>
      <c r="M4816" s="62"/>
      <c r="N4816" s="63"/>
      <c r="O4816" s="63"/>
      <c r="P4816" s="79" t="str">
        <f>IF(AND('331-CT'!$E$7=TH!H4816,OR(N4816="331",O4816="331")),"x","")</f>
        <v/>
      </c>
      <c r="Q4816" s="79" t="str">
        <f>IF(AND(B4816='111'!$L$11,OR($N4816=$Q$7,$O4816=$Q$7)),"x","")</f>
        <v/>
      </c>
      <c r="R4816" s="79" t="str">
        <f>IF(AND($N4816=$Q$7,$B4816&lt;'111'!$L$11),"x","")</f>
        <v/>
      </c>
      <c r="S4816" s="79" t="str">
        <f>IF(AND($O4816=$Q$7,$B4816&lt;'111'!$L$11),"x","")</f>
        <v/>
      </c>
      <c r="T4816" s="79" t="str">
        <f>IF(ISERROR(FIND('112'!$M$9,G4816,1)),"",IF((AND(FIND('112'!$M$9,G4816,1)&gt;=1,B4816='112'!$K$9,OR($N4816='112'!$I$6,$O4816='112'!$I$6))),"x",""))</f>
        <v/>
      </c>
      <c r="U4816" s="79" t="str">
        <f>IF(ISERROR(FIND('112'!$M$9,G4816,1)),"",IF((AND(LEFT(G4816,2)=LEFT('112'!$M$9,2),B4816&lt;'112'!$K$9,$N4816='112'!$I$6)),"x",""))</f>
        <v/>
      </c>
      <c r="V4816" s="79" t="str">
        <f>IF(ISERROR(FIND('112'!$M$9,G4816,1)),"",IF((AND(RIGHT(G4816,2)=RIGHT('112'!$M$9,2),B4816&lt;'112'!$K$9,$O4816='112'!$I$6)),"x",""))</f>
        <v/>
      </c>
      <c r="W4816" s="79" t="str">
        <f>IF(AND('341-CT'!$H$9=H4816,OR(LEFT(N4816,3)=$W$7,LEFT(O4816,3)=$W$7)),"x","")</f>
        <v/>
      </c>
      <c r="X4816" s="79" t="str">
        <f>IF(OR(TH!N4816=TH!$X$7,O4816=TH!$X$7),"x","")</f>
        <v/>
      </c>
      <c r="Y4816" s="79" t="str">
        <f>IF(AND(OR(N4816="131",O4816="131"),H4816='131-CT'!$H$9),"x","")</f>
        <v/>
      </c>
      <c r="Z4816" s="79"/>
      <c r="AA4816" s="79" t="str">
        <f>IF(AND(MONTH(E4816)='IN-NX'!$J$5,'IN-NX'!$D$7=D4816),"x","")</f>
        <v/>
      </c>
      <c r="AB4816" s="79" t="str">
        <f>IF(AND(OR(LEFT(TH!N4816,2)="15",LEFT(TH!O4816,2)="15"),LEFT(TH!O4816,3)&lt;&gt;"111",'152-CT'!$J$8=TH!F4816),"x","")</f>
        <v/>
      </c>
      <c r="AC4816" s="79" t="str">
        <f>IF(AND(OR(LEFT(TH!N4816,2)="15",LEFT(TH!O4816,2)="15"),TK!$E$7=TH!F4816),"x","")</f>
        <v/>
      </c>
      <c r="AD4816" s="79" t="str">
        <f>IF(AND(N4816="1521",MONTH(C4816)='BK-NL'!$M$11),"x","")</f>
        <v/>
      </c>
    </row>
    <row r="4817" spans="1:30" ht="16.5" customHeight="1">
      <c r="A4817" s="318" t="str">
        <f>IF(B4817&lt;&gt;"",IF(AND(B4817='[3]IN-TC'!$S$4,OR([3]TH!N4048="1111",[3]TH!O4048="1111")),[3]TH!D4048,""),"")</f>
        <v/>
      </c>
      <c r="B4817" s="60" t="str">
        <f t="shared" si="478"/>
        <v/>
      </c>
      <c r="C4817" s="61"/>
      <c r="D4817" s="61"/>
      <c r="E4817" s="61"/>
      <c r="F4817" s="64"/>
      <c r="G4817" s="64"/>
      <c r="H4817" s="69"/>
      <c r="I4817" s="385"/>
      <c r="J4817" s="395"/>
      <c r="K4817" s="385"/>
      <c r="L4817" s="392"/>
      <c r="M4817" s="62"/>
      <c r="N4817" s="63"/>
      <c r="O4817" s="63"/>
      <c r="P4817" s="79" t="str">
        <f>IF(AND('331-CT'!$E$7=TH!H4817,OR(N4817="331",O4817="331")),"x","")</f>
        <v/>
      </c>
      <c r="Q4817" s="79" t="str">
        <f>IF(AND(B4817='111'!$L$11,OR($N4817=$Q$7,$O4817=$Q$7)),"x","")</f>
        <v/>
      </c>
      <c r="R4817" s="79" t="str">
        <f>IF(AND($N4817=$Q$7,$B4817&lt;'111'!$L$11),"x","")</f>
        <v/>
      </c>
      <c r="S4817" s="79" t="str">
        <f>IF(AND($O4817=$Q$7,$B4817&lt;'111'!$L$11),"x","")</f>
        <v/>
      </c>
      <c r="T4817" s="79" t="str">
        <f>IF(ISERROR(FIND('112'!$M$9,G4817,1)),"",IF((AND(FIND('112'!$M$9,G4817,1)&gt;=1,B4817='112'!$K$9,OR($N4817='112'!$I$6,$O4817='112'!$I$6))),"x",""))</f>
        <v/>
      </c>
      <c r="U4817" s="79" t="str">
        <f>IF(ISERROR(FIND('112'!$M$9,G4817,1)),"",IF((AND(LEFT(G4817,2)=LEFT('112'!$M$9,2),B4817&lt;'112'!$K$9,$N4817='112'!$I$6)),"x",""))</f>
        <v/>
      </c>
      <c r="V4817" s="79" t="str">
        <f>IF(ISERROR(FIND('112'!$M$9,G4817,1)),"",IF((AND(RIGHT(G4817,2)=RIGHT('112'!$M$9,2),B4817&lt;'112'!$K$9,$O4817='112'!$I$6)),"x",""))</f>
        <v/>
      </c>
      <c r="W4817" s="79" t="str">
        <f>IF(AND('341-CT'!$H$9=H4817,OR(LEFT(N4817,3)=$W$7,LEFT(O4817,3)=$W$7)),"x","")</f>
        <v/>
      </c>
      <c r="X4817" s="79" t="str">
        <f>IF(OR(TH!N4817=TH!$X$7,O4817=TH!$X$7),"x","")</f>
        <v/>
      </c>
      <c r="Y4817" s="79" t="str">
        <f>IF(AND(OR(N4817="131",O4817="131"),H4817='131-CT'!$H$9),"x","")</f>
        <v/>
      </c>
      <c r="Z4817" s="79"/>
      <c r="AA4817" s="79" t="str">
        <f>IF(AND(MONTH(E4817)='IN-NX'!$J$5,'IN-NX'!$D$7=D4817),"x","")</f>
        <v/>
      </c>
      <c r="AB4817" s="79" t="str">
        <f>IF(AND(OR(LEFT(TH!N4817,2)="15",LEFT(TH!O4817,2)="15"),LEFT(TH!O4817,3)&lt;&gt;"111",'152-CT'!$J$8=TH!F4817),"x","")</f>
        <v/>
      </c>
      <c r="AC4817" s="79" t="str">
        <f>IF(AND(OR(LEFT(TH!N4817,2)="15",LEFT(TH!O4817,2)="15"),TK!$E$7=TH!F4817),"x","")</f>
        <v/>
      </c>
      <c r="AD4817" s="79" t="str">
        <f>IF(AND(N4817="1521",MONTH(C4817)='BK-NL'!$M$11),"x","")</f>
        <v/>
      </c>
    </row>
    <row r="4818" spans="1:30" ht="16.5" customHeight="1">
      <c r="A4818" s="318" t="str">
        <f>IF(B4818&lt;&gt;"",IF(AND(B4818='[3]IN-TC'!$S$4,OR([3]TH!N4049="1111",[3]TH!O4049="1111")),[3]TH!D4049,""),"")</f>
        <v/>
      </c>
      <c r="B4818" s="60" t="str">
        <f t="shared" si="478"/>
        <v/>
      </c>
      <c r="C4818" s="61"/>
      <c r="D4818" s="61"/>
      <c r="E4818" s="61"/>
      <c r="F4818" s="64"/>
      <c r="G4818" s="64"/>
      <c r="H4818" s="69"/>
      <c r="I4818" s="385"/>
      <c r="J4818" s="395"/>
      <c r="K4818" s="385"/>
      <c r="L4818" s="392"/>
      <c r="M4818" s="62"/>
      <c r="N4818" s="63"/>
      <c r="O4818" s="63"/>
      <c r="P4818" s="79" t="str">
        <f>IF(AND('331-CT'!$E$7=TH!H4818,OR(N4818="331",O4818="331")),"x","")</f>
        <v/>
      </c>
      <c r="Q4818" s="79" t="str">
        <f>IF(AND(B4818='111'!$L$11,OR($N4818=$Q$7,$O4818=$Q$7)),"x","")</f>
        <v/>
      </c>
      <c r="R4818" s="79" t="str">
        <f>IF(AND($N4818=$Q$7,$B4818&lt;'111'!$L$11),"x","")</f>
        <v/>
      </c>
      <c r="S4818" s="79" t="str">
        <f>IF(AND($O4818=$Q$7,$B4818&lt;'111'!$L$11),"x","")</f>
        <v/>
      </c>
      <c r="T4818" s="79" t="str">
        <f>IF(ISERROR(FIND('112'!$M$9,G4818,1)),"",IF((AND(FIND('112'!$M$9,G4818,1)&gt;=1,B4818='112'!$K$9,OR($N4818='112'!$I$6,$O4818='112'!$I$6))),"x",""))</f>
        <v/>
      </c>
      <c r="U4818" s="79" t="str">
        <f>IF(ISERROR(FIND('112'!$M$9,G4818,1)),"",IF((AND(LEFT(G4818,2)=LEFT('112'!$M$9,2),B4818&lt;'112'!$K$9,$N4818='112'!$I$6)),"x",""))</f>
        <v/>
      </c>
      <c r="V4818" s="79" t="str">
        <f>IF(ISERROR(FIND('112'!$M$9,G4818,1)),"",IF((AND(RIGHT(G4818,2)=RIGHT('112'!$M$9,2),B4818&lt;'112'!$K$9,$O4818='112'!$I$6)),"x",""))</f>
        <v/>
      </c>
      <c r="W4818" s="79" t="str">
        <f>IF(AND('341-CT'!$H$9=H4818,OR(LEFT(N4818,3)=$W$7,LEFT(O4818,3)=$W$7)),"x","")</f>
        <v/>
      </c>
      <c r="X4818" s="79" t="str">
        <f>IF(OR(TH!N4818=TH!$X$7,O4818=TH!$X$7),"x","")</f>
        <v/>
      </c>
      <c r="Y4818" s="79" t="str">
        <f>IF(AND(OR(N4818="131",O4818="131"),H4818='131-CT'!$H$9),"x","")</f>
        <v/>
      </c>
      <c r="Z4818" s="79"/>
      <c r="AA4818" s="79" t="str">
        <f>IF(AND(MONTH(E4818)='IN-NX'!$J$5,'IN-NX'!$D$7=D4818),"x","")</f>
        <v/>
      </c>
      <c r="AB4818" s="79" t="str">
        <f>IF(AND(OR(LEFT(TH!N4818,2)="15",LEFT(TH!O4818,2)="15"),LEFT(TH!O4818,3)&lt;&gt;"111",'152-CT'!$J$8=TH!F4818),"x","")</f>
        <v/>
      </c>
      <c r="AC4818" s="79" t="str">
        <f>IF(AND(OR(LEFT(TH!N4818,2)="15",LEFT(TH!O4818,2)="15"),TK!$E$7=TH!F4818),"x","")</f>
        <v/>
      </c>
      <c r="AD4818" s="79" t="str">
        <f>IF(AND(N4818="1521",MONTH(C4818)='BK-NL'!$M$11),"x","")</f>
        <v/>
      </c>
    </row>
    <row r="4819" spans="1:30" ht="16.5" customHeight="1">
      <c r="A4819" s="318" t="str">
        <f>IF(B4819&lt;&gt;"",IF(AND(B4819='[3]IN-TC'!$S$4,OR([3]TH!N4050="1111",[3]TH!O4050="1111")),[3]TH!D4050,""),"")</f>
        <v/>
      </c>
      <c r="B4819" s="60" t="str">
        <f t="shared" si="478"/>
        <v/>
      </c>
      <c r="C4819" s="61"/>
      <c r="D4819" s="61"/>
      <c r="E4819" s="61"/>
      <c r="F4819" s="64"/>
      <c r="G4819" s="64"/>
      <c r="H4819" s="69"/>
      <c r="I4819" s="385"/>
      <c r="J4819" s="395"/>
      <c r="K4819" s="385"/>
      <c r="L4819" s="392"/>
      <c r="M4819" s="62"/>
      <c r="N4819" s="63"/>
      <c r="O4819" s="63"/>
      <c r="P4819" s="79" t="str">
        <f>IF(AND('331-CT'!$E$7=TH!H4819,OR(N4819="331",O4819="331")),"x","")</f>
        <v/>
      </c>
      <c r="Q4819" s="79" t="str">
        <f>IF(AND(B4819='111'!$L$11,OR($N4819=$Q$7,$O4819=$Q$7)),"x","")</f>
        <v/>
      </c>
      <c r="R4819" s="79" t="str">
        <f>IF(AND($N4819=$Q$7,$B4819&lt;'111'!$L$11),"x","")</f>
        <v/>
      </c>
      <c r="S4819" s="79" t="str">
        <f>IF(AND($O4819=$Q$7,$B4819&lt;'111'!$L$11),"x","")</f>
        <v/>
      </c>
      <c r="T4819" s="79" t="str">
        <f>IF(ISERROR(FIND('112'!$M$9,G4819,1)),"",IF((AND(FIND('112'!$M$9,G4819,1)&gt;=1,B4819='112'!$K$9,OR($N4819='112'!$I$6,$O4819='112'!$I$6))),"x",""))</f>
        <v/>
      </c>
      <c r="U4819" s="79" t="str">
        <f>IF(ISERROR(FIND('112'!$M$9,G4819,1)),"",IF((AND(LEFT(G4819,2)=LEFT('112'!$M$9,2),B4819&lt;'112'!$K$9,$N4819='112'!$I$6)),"x",""))</f>
        <v/>
      </c>
      <c r="V4819" s="79" t="str">
        <f>IF(ISERROR(FIND('112'!$M$9,G4819,1)),"",IF((AND(RIGHT(G4819,2)=RIGHT('112'!$M$9,2),B4819&lt;'112'!$K$9,$O4819='112'!$I$6)),"x",""))</f>
        <v/>
      </c>
      <c r="W4819" s="79" t="str">
        <f>IF(AND('341-CT'!$H$9=H4819,OR(LEFT(N4819,3)=$W$7,LEFT(O4819,3)=$W$7)),"x","")</f>
        <v/>
      </c>
      <c r="X4819" s="79" t="str">
        <f>IF(OR(TH!N4819=TH!$X$7,O4819=TH!$X$7),"x","")</f>
        <v/>
      </c>
      <c r="Y4819" s="79" t="str">
        <f>IF(AND(OR(N4819="131",O4819="131"),H4819='131-CT'!$H$9),"x","")</f>
        <v/>
      </c>
      <c r="Z4819" s="79"/>
      <c r="AA4819" s="79" t="str">
        <f>IF(AND(MONTH(E4819)='IN-NX'!$J$5,'IN-NX'!$D$7=D4819),"x","")</f>
        <v/>
      </c>
      <c r="AB4819" s="79" t="str">
        <f>IF(AND(OR(LEFT(TH!N4819,2)="15",LEFT(TH!O4819,2)="15"),LEFT(TH!O4819,3)&lt;&gt;"111",'152-CT'!$J$8=TH!F4819),"x","")</f>
        <v/>
      </c>
      <c r="AC4819" s="79" t="str">
        <f>IF(AND(OR(LEFT(TH!N4819,2)="15",LEFT(TH!O4819,2)="15"),TK!$E$7=TH!F4819),"x","")</f>
        <v/>
      </c>
      <c r="AD4819" s="79" t="str">
        <f>IF(AND(N4819="1521",MONTH(C4819)='BK-NL'!$M$11),"x","")</f>
        <v/>
      </c>
    </row>
    <row r="4820" spans="1:30" ht="16.5" customHeight="1">
      <c r="A4820" s="318" t="str">
        <f>IF(B4820&lt;&gt;"",IF(AND(B4820='[3]IN-TC'!$S$4,OR([3]TH!N4051="1111",[3]TH!O4051="1111")),[3]TH!D4051,""),"")</f>
        <v/>
      </c>
      <c r="B4820" s="60" t="str">
        <f t="shared" si="478"/>
        <v/>
      </c>
      <c r="C4820" s="61"/>
      <c r="D4820" s="61"/>
      <c r="E4820" s="61"/>
      <c r="F4820" s="64"/>
      <c r="G4820" s="64"/>
      <c r="H4820" s="69"/>
      <c r="I4820" s="385"/>
      <c r="J4820" s="395"/>
      <c r="K4820" s="385"/>
      <c r="L4820" s="392"/>
      <c r="M4820" s="62"/>
      <c r="N4820" s="63"/>
      <c r="O4820" s="63"/>
      <c r="P4820" s="79" t="str">
        <f>IF(AND('331-CT'!$E$7=TH!H4820,OR(N4820="331",O4820="331")),"x","")</f>
        <v/>
      </c>
      <c r="Q4820" s="79" t="str">
        <f>IF(AND(B4820='111'!$L$11,OR($N4820=$Q$7,$O4820=$Q$7)),"x","")</f>
        <v/>
      </c>
      <c r="R4820" s="79" t="str">
        <f>IF(AND($N4820=$Q$7,$B4820&lt;'111'!$L$11),"x","")</f>
        <v/>
      </c>
      <c r="S4820" s="79" t="str">
        <f>IF(AND($O4820=$Q$7,$B4820&lt;'111'!$L$11),"x","")</f>
        <v/>
      </c>
      <c r="T4820" s="79" t="str">
        <f>IF(ISERROR(FIND('112'!$M$9,G4820,1)),"",IF((AND(FIND('112'!$M$9,G4820,1)&gt;=1,B4820='112'!$K$9,OR($N4820='112'!$I$6,$O4820='112'!$I$6))),"x",""))</f>
        <v/>
      </c>
      <c r="U4820" s="79" t="str">
        <f>IF(ISERROR(FIND('112'!$M$9,G4820,1)),"",IF((AND(LEFT(G4820,2)=LEFT('112'!$M$9,2),B4820&lt;'112'!$K$9,$N4820='112'!$I$6)),"x",""))</f>
        <v/>
      </c>
      <c r="V4820" s="79" t="str">
        <f>IF(ISERROR(FIND('112'!$M$9,G4820,1)),"",IF((AND(RIGHT(G4820,2)=RIGHT('112'!$M$9,2),B4820&lt;'112'!$K$9,$O4820='112'!$I$6)),"x",""))</f>
        <v/>
      </c>
      <c r="W4820" s="79" t="str">
        <f>IF(AND('341-CT'!$H$9=H4820,OR(LEFT(N4820,3)=$W$7,LEFT(O4820,3)=$W$7)),"x","")</f>
        <v/>
      </c>
      <c r="X4820" s="79" t="str">
        <f>IF(OR(TH!N4820=TH!$X$7,O4820=TH!$X$7),"x","")</f>
        <v/>
      </c>
      <c r="Y4820" s="79" t="str">
        <f>IF(AND(OR(N4820="131",O4820="131"),H4820='131-CT'!$H$9),"x","")</f>
        <v/>
      </c>
      <c r="Z4820" s="79"/>
      <c r="AA4820" s="79" t="str">
        <f>IF(AND(MONTH(E4820)='IN-NX'!$J$5,'IN-NX'!$D$7=D4820),"x","")</f>
        <v/>
      </c>
      <c r="AB4820" s="79" t="str">
        <f>IF(AND(OR(LEFT(TH!N4820,2)="15",LEFT(TH!O4820,2)="15"),LEFT(TH!O4820,3)&lt;&gt;"111",'152-CT'!$J$8=TH!F4820),"x","")</f>
        <v/>
      </c>
      <c r="AC4820" s="79" t="str">
        <f>IF(AND(OR(LEFT(TH!N4820,2)="15",LEFT(TH!O4820,2)="15"),TK!$E$7=TH!F4820),"x","")</f>
        <v/>
      </c>
      <c r="AD4820" s="79" t="str">
        <f>IF(AND(N4820="1521",MONTH(C4820)='BK-NL'!$M$11),"x","")</f>
        <v/>
      </c>
    </row>
    <row r="4821" spans="1:30" ht="16.5" customHeight="1">
      <c r="A4821" s="318" t="str">
        <f>IF(B4821&lt;&gt;"",IF(AND(B4821='[3]IN-TC'!$S$4,OR([3]TH!N4052="1111",[3]TH!O4052="1111")),[3]TH!D4052,""),"")</f>
        <v/>
      </c>
      <c r="B4821" s="60" t="str">
        <f t="shared" si="478"/>
        <v/>
      </c>
      <c r="C4821" s="61"/>
      <c r="D4821" s="61"/>
      <c r="E4821" s="61"/>
      <c r="F4821" s="64"/>
      <c r="G4821" s="64"/>
      <c r="H4821" s="69"/>
      <c r="I4821" s="385"/>
      <c r="J4821" s="395"/>
      <c r="K4821" s="385"/>
      <c r="L4821" s="392"/>
      <c r="M4821" s="62"/>
      <c r="N4821" s="63"/>
      <c r="O4821" s="63"/>
      <c r="P4821" s="79" t="str">
        <f>IF(AND('331-CT'!$E$7=TH!H4821,OR(N4821="331",O4821="331")),"x","")</f>
        <v/>
      </c>
      <c r="Q4821" s="79" t="str">
        <f>IF(AND(B4821='111'!$L$11,OR($N4821=$Q$7,$O4821=$Q$7)),"x","")</f>
        <v/>
      </c>
      <c r="R4821" s="79" t="str">
        <f>IF(AND($N4821=$Q$7,$B4821&lt;'111'!$L$11),"x","")</f>
        <v/>
      </c>
      <c r="S4821" s="79" t="str">
        <f>IF(AND($O4821=$Q$7,$B4821&lt;'111'!$L$11),"x","")</f>
        <v/>
      </c>
      <c r="T4821" s="79" t="str">
        <f>IF(ISERROR(FIND('112'!$M$9,G4821,1)),"",IF((AND(FIND('112'!$M$9,G4821,1)&gt;=1,B4821='112'!$K$9,OR($N4821='112'!$I$6,$O4821='112'!$I$6))),"x",""))</f>
        <v/>
      </c>
      <c r="U4821" s="79" t="str">
        <f>IF(ISERROR(FIND('112'!$M$9,G4821,1)),"",IF((AND(LEFT(G4821,2)=LEFT('112'!$M$9,2),B4821&lt;'112'!$K$9,$N4821='112'!$I$6)),"x",""))</f>
        <v/>
      </c>
      <c r="V4821" s="79" t="str">
        <f>IF(ISERROR(FIND('112'!$M$9,G4821,1)),"",IF((AND(RIGHT(G4821,2)=RIGHT('112'!$M$9,2),B4821&lt;'112'!$K$9,$O4821='112'!$I$6)),"x",""))</f>
        <v/>
      </c>
      <c r="W4821" s="79" t="str">
        <f>IF(AND('341-CT'!$H$9=H4821,OR(LEFT(N4821,3)=$W$7,LEFT(O4821,3)=$W$7)),"x","")</f>
        <v/>
      </c>
      <c r="X4821" s="79" t="str">
        <f>IF(OR(TH!N4821=TH!$X$7,O4821=TH!$X$7),"x","")</f>
        <v/>
      </c>
      <c r="Y4821" s="79" t="str">
        <f>IF(AND(OR(N4821="131",O4821="131"),H4821='131-CT'!$H$9),"x","")</f>
        <v/>
      </c>
      <c r="Z4821" s="79"/>
      <c r="AA4821" s="79" t="str">
        <f>IF(AND(MONTH(E4821)='IN-NX'!$J$5,'IN-NX'!$D$7=D4821),"x","")</f>
        <v/>
      </c>
      <c r="AB4821" s="79" t="str">
        <f>IF(AND(OR(LEFT(TH!N4821,2)="15",LEFT(TH!O4821,2)="15"),LEFT(TH!O4821,3)&lt;&gt;"111",'152-CT'!$J$8=TH!F4821),"x","")</f>
        <v/>
      </c>
      <c r="AC4821" s="79" t="str">
        <f>IF(AND(OR(LEFT(TH!N4821,2)="15",LEFT(TH!O4821,2)="15"),TK!$E$7=TH!F4821),"x","")</f>
        <v/>
      </c>
      <c r="AD4821" s="79" t="str">
        <f>IF(AND(N4821="1521",MONTH(C4821)='BK-NL'!$M$11),"x","")</f>
        <v/>
      </c>
    </row>
    <row r="4822" spans="1:30" ht="16.5" customHeight="1">
      <c r="A4822" s="318" t="str">
        <f>IF(B4822&lt;&gt;"",IF(AND(B4822='[3]IN-TC'!$S$4,OR([3]TH!N4053="1111",[3]TH!O4053="1111")),[3]TH!D4053,""),"")</f>
        <v/>
      </c>
      <c r="B4822" s="60" t="str">
        <f t="shared" si="478"/>
        <v/>
      </c>
      <c r="C4822" s="61"/>
      <c r="D4822" s="61"/>
      <c r="E4822" s="61"/>
      <c r="F4822" s="64"/>
      <c r="G4822" s="64"/>
      <c r="H4822" s="69"/>
      <c r="I4822" s="385"/>
      <c r="J4822" s="395"/>
      <c r="K4822" s="385"/>
      <c r="L4822" s="392"/>
      <c r="M4822" s="62"/>
      <c r="N4822" s="63"/>
      <c r="O4822" s="63"/>
      <c r="P4822" s="79" t="str">
        <f>IF(AND('331-CT'!$E$7=TH!H4822,OR(N4822="331",O4822="331")),"x","")</f>
        <v/>
      </c>
      <c r="Q4822" s="79" t="str">
        <f>IF(AND(B4822='111'!$L$11,OR($N4822=$Q$7,$O4822=$Q$7)),"x","")</f>
        <v/>
      </c>
      <c r="R4822" s="79" t="str">
        <f>IF(AND($N4822=$Q$7,$B4822&lt;'111'!$L$11),"x","")</f>
        <v/>
      </c>
      <c r="S4822" s="79" t="str">
        <f>IF(AND($O4822=$Q$7,$B4822&lt;'111'!$L$11),"x","")</f>
        <v/>
      </c>
      <c r="T4822" s="79" t="str">
        <f>IF(ISERROR(FIND('112'!$M$9,G4822,1)),"",IF((AND(FIND('112'!$M$9,G4822,1)&gt;=1,B4822='112'!$K$9,OR($N4822='112'!$I$6,$O4822='112'!$I$6))),"x",""))</f>
        <v/>
      </c>
      <c r="U4822" s="79" t="str">
        <f>IF(ISERROR(FIND('112'!$M$9,G4822,1)),"",IF((AND(LEFT(G4822,2)=LEFT('112'!$M$9,2),B4822&lt;'112'!$K$9,$N4822='112'!$I$6)),"x",""))</f>
        <v/>
      </c>
      <c r="V4822" s="79" t="str">
        <f>IF(ISERROR(FIND('112'!$M$9,G4822,1)),"",IF((AND(RIGHT(G4822,2)=RIGHT('112'!$M$9,2),B4822&lt;'112'!$K$9,$O4822='112'!$I$6)),"x",""))</f>
        <v/>
      </c>
      <c r="W4822" s="79" t="str">
        <f>IF(AND('341-CT'!$H$9=H4822,OR(LEFT(N4822,3)=$W$7,LEFT(O4822,3)=$W$7)),"x","")</f>
        <v/>
      </c>
      <c r="X4822" s="79" t="str">
        <f>IF(OR(TH!N4822=TH!$X$7,O4822=TH!$X$7),"x","")</f>
        <v/>
      </c>
      <c r="Y4822" s="79" t="str">
        <f>IF(AND(OR(N4822="131",O4822="131"),H4822='131-CT'!$H$9),"x","")</f>
        <v/>
      </c>
      <c r="Z4822" s="79"/>
      <c r="AA4822" s="79" t="str">
        <f>IF(AND(MONTH(E4822)='IN-NX'!$J$5,'IN-NX'!$D$7=D4822),"x","")</f>
        <v/>
      </c>
      <c r="AB4822" s="79" t="str">
        <f>IF(AND(OR(LEFT(TH!N4822,2)="15",LEFT(TH!O4822,2)="15"),LEFT(TH!O4822,3)&lt;&gt;"111",'152-CT'!$J$8=TH!F4822),"x","")</f>
        <v/>
      </c>
      <c r="AC4822" s="79" t="str">
        <f>IF(AND(OR(LEFT(TH!N4822,2)="15",LEFT(TH!O4822,2)="15"),TK!$E$7=TH!F4822),"x","")</f>
        <v/>
      </c>
      <c r="AD4822" s="79" t="str">
        <f>IF(AND(N4822="1521",MONTH(C4822)='BK-NL'!$M$11),"x","")</f>
        <v/>
      </c>
    </row>
    <row r="4823" spans="1:30" ht="16.5" customHeight="1">
      <c r="A4823" s="318" t="str">
        <f>IF(B4823&lt;&gt;"",IF(AND(B4823='[3]IN-TC'!$S$4,OR([3]TH!N4054="1111",[3]TH!O4054="1111")),[3]TH!D4054,""),"")</f>
        <v/>
      </c>
      <c r="B4823" s="60" t="str">
        <f t="shared" si="478"/>
        <v/>
      </c>
      <c r="C4823" s="61"/>
      <c r="D4823" s="61"/>
      <c r="E4823" s="61"/>
      <c r="F4823" s="64"/>
      <c r="G4823" s="64"/>
      <c r="H4823" s="69"/>
      <c r="I4823" s="385"/>
      <c r="J4823" s="395"/>
      <c r="K4823" s="385"/>
      <c r="L4823" s="392"/>
      <c r="M4823" s="62"/>
      <c r="N4823" s="63"/>
      <c r="O4823" s="63"/>
      <c r="P4823" s="79" t="str">
        <f>IF(AND('331-CT'!$E$7=TH!H4823,OR(N4823="331",O4823="331")),"x","")</f>
        <v/>
      </c>
      <c r="Q4823" s="79" t="str">
        <f>IF(AND(B4823='111'!$L$11,OR($N4823=$Q$7,$O4823=$Q$7)),"x","")</f>
        <v/>
      </c>
      <c r="R4823" s="79" t="str">
        <f>IF(AND($N4823=$Q$7,$B4823&lt;'111'!$L$11),"x","")</f>
        <v/>
      </c>
      <c r="S4823" s="79" t="str">
        <f>IF(AND($O4823=$Q$7,$B4823&lt;'111'!$L$11),"x","")</f>
        <v/>
      </c>
      <c r="T4823" s="79" t="str">
        <f>IF(ISERROR(FIND('112'!$M$9,G4823,1)),"",IF((AND(FIND('112'!$M$9,G4823,1)&gt;=1,B4823='112'!$K$9,OR($N4823='112'!$I$6,$O4823='112'!$I$6))),"x",""))</f>
        <v/>
      </c>
      <c r="U4823" s="79" t="str">
        <f>IF(ISERROR(FIND('112'!$M$9,G4823,1)),"",IF((AND(LEFT(G4823,2)=LEFT('112'!$M$9,2),B4823&lt;'112'!$K$9,$N4823='112'!$I$6)),"x",""))</f>
        <v/>
      </c>
      <c r="V4823" s="79" t="str">
        <f>IF(ISERROR(FIND('112'!$M$9,G4823,1)),"",IF((AND(RIGHT(G4823,2)=RIGHT('112'!$M$9,2),B4823&lt;'112'!$K$9,$O4823='112'!$I$6)),"x",""))</f>
        <v/>
      </c>
      <c r="W4823" s="79" t="str">
        <f>IF(AND('341-CT'!$H$9=H4823,OR(LEFT(N4823,3)=$W$7,LEFT(O4823,3)=$W$7)),"x","")</f>
        <v/>
      </c>
      <c r="X4823" s="79" t="str">
        <f>IF(OR(TH!N4823=TH!$X$7,O4823=TH!$X$7),"x","")</f>
        <v/>
      </c>
      <c r="Y4823" s="79" t="str">
        <f>IF(AND(OR(N4823="131",O4823="131"),H4823='131-CT'!$H$9),"x","")</f>
        <v/>
      </c>
      <c r="Z4823" s="79"/>
      <c r="AA4823" s="79" t="str">
        <f>IF(AND(MONTH(E4823)='IN-NX'!$J$5,'IN-NX'!$D$7=D4823),"x","")</f>
        <v/>
      </c>
      <c r="AB4823" s="79" t="str">
        <f>IF(AND(OR(LEFT(TH!N4823,2)="15",LEFT(TH!O4823,2)="15"),LEFT(TH!O4823,3)&lt;&gt;"111",'152-CT'!$J$8=TH!F4823),"x","")</f>
        <v/>
      </c>
      <c r="AC4823" s="79" t="str">
        <f>IF(AND(OR(LEFT(TH!N4823,2)="15",LEFT(TH!O4823,2)="15"),TK!$E$7=TH!F4823),"x","")</f>
        <v/>
      </c>
      <c r="AD4823" s="79" t="str">
        <f>IF(AND(N4823="1521",MONTH(C4823)='BK-NL'!$M$11),"x","")</f>
        <v/>
      </c>
    </row>
    <row r="4824" spans="1:30" ht="16.5" customHeight="1">
      <c r="A4824" s="318" t="str">
        <f>IF(B4824&lt;&gt;"",IF(AND(B4824='[3]IN-TC'!$S$4,OR([3]TH!N4055="1111",[3]TH!O4055="1111")),[3]TH!D4055,""),"")</f>
        <v/>
      </c>
      <c r="B4824" s="60" t="str">
        <f t="shared" si="478"/>
        <v/>
      </c>
      <c r="C4824" s="61"/>
      <c r="D4824" s="61"/>
      <c r="E4824" s="61"/>
      <c r="F4824" s="302"/>
      <c r="G4824" s="64"/>
      <c r="H4824" s="69"/>
      <c r="I4824" s="385"/>
      <c r="J4824" s="395"/>
      <c r="K4824" s="385"/>
      <c r="L4824" s="392"/>
      <c r="M4824" s="62"/>
      <c r="N4824" s="63"/>
      <c r="O4824" s="63"/>
      <c r="P4824" s="79" t="str">
        <f>IF(AND('331-CT'!$E$7=TH!H4824,OR(N4824="331",O4824="331")),"x","")</f>
        <v/>
      </c>
      <c r="Q4824" s="79" t="str">
        <f>IF(AND(B4824='111'!$L$11,OR($N4824=$Q$7,$O4824=$Q$7)),"x","")</f>
        <v/>
      </c>
      <c r="R4824" s="79" t="str">
        <f>IF(AND($N4824=$Q$7,$B4824&lt;'111'!$L$11),"x","")</f>
        <v/>
      </c>
      <c r="S4824" s="79" t="str">
        <f>IF(AND($O4824=$Q$7,$B4824&lt;'111'!$L$11),"x","")</f>
        <v/>
      </c>
      <c r="T4824" s="79" t="str">
        <f>IF(ISERROR(FIND('112'!$M$9,G4824,1)),"",IF((AND(FIND('112'!$M$9,G4824,1)&gt;=1,B4824='112'!$K$9,OR($N4824='112'!$I$6,$O4824='112'!$I$6))),"x",""))</f>
        <v/>
      </c>
      <c r="U4824" s="79" t="str">
        <f>IF(ISERROR(FIND('112'!$M$9,G4824,1)),"",IF((AND(LEFT(G4824,2)=LEFT('112'!$M$9,2),B4824&lt;'112'!$K$9,$N4824='112'!$I$6)),"x",""))</f>
        <v/>
      </c>
      <c r="V4824" s="79" t="str">
        <f>IF(ISERROR(FIND('112'!$M$9,G4824,1)),"",IF((AND(RIGHT(G4824,2)=RIGHT('112'!$M$9,2),B4824&lt;'112'!$K$9,$O4824='112'!$I$6)),"x",""))</f>
        <v/>
      </c>
      <c r="W4824" s="79" t="str">
        <f>IF(AND('341-CT'!$H$9=H4824,OR(LEFT(N4824,3)=$W$7,LEFT(O4824,3)=$W$7)),"x","")</f>
        <v/>
      </c>
      <c r="X4824" s="79" t="str">
        <f>IF(OR(TH!N4824=TH!$X$7,O4824=TH!$X$7),"x","")</f>
        <v/>
      </c>
      <c r="Y4824" s="79" t="str">
        <f>IF(AND(OR(N4824="131",O4824="131"),H4824='131-CT'!$H$9),"x","")</f>
        <v/>
      </c>
      <c r="Z4824" s="79"/>
      <c r="AA4824" s="79" t="str">
        <f>IF(AND(MONTH(E4824)='IN-NX'!$J$5,'IN-NX'!$D$7=D4824),"x","")</f>
        <v/>
      </c>
      <c r="AB4824" s="79" t="str">
        <f>IF(AND(OR(LEFT(TH!N4824,2)="15",LEFT(TH!O4824,2)="15"),LEFT(TH!O4824,3)&lt;&gt;"111",'152-CT'!$J$8=TH!F4824),"x","")</f>
        <v/>
      </c>
      <c r="AC4824" s="79" t="str">
        <f>IF(AND(OR(LEFT(TH!N4824,2)="15",LEFT(TH!O4824,2)="15"),TK!$E$7=TH!F4824),"x","")</f>
        <v/>
      </c>
      <c r="AD4824" s="79" t="str">
        <f>IF(AND(N4824="1521",MONTH(C4824)='BK-NL'!$M$11),"x","")</f>
        <v/>
      </c>
    </row>
    <row r="4825" spans="1:30" ht="16.5" customHeight="1">
      <c r="A4825" s="318" t="str">
        <f>IF(B4825&lt;&gt;"",IF(AND(B4825='[3]IN-TC'!$S$4,OR([3]TH!N4056="1111",[3]TH!O4056="1111")),[3]TH!D4056,""),"")</f>
        <v/>
      </c>
      <c r="B4825" s="60" t="str">
        <f t="shared" si="478"/>
        <v/>
      </c>
      <c r="C4825" s="61"/>
      <c r="D4825" s="61"/>
      <c r="E4825" s="61"/>
      <c r="F4825" s="64"/>
      <c r="G4825" s="64"/>
      <c r="H4825" s="69"/>
      <c r="I4825" s="385"/>
      <c r="J4825" s="395"/>
      <c r="K4825" s="385"/>
      <c r="L4825" s="392"/>
      <c r="M4825" s="62"/>
      <c r="N4825" s="63"/>
      <c r="O4825" s="63"/>
      <c r="P4825" s="79" t="str">
        <f>IF(AND('331-CT'!$E$7=TH!H4825,OR(N4825="331",O4825="331")),"x","")</f>
        <v/>
      </c>
      <c r="Q4825" s="79" t="str">
        <f>IF(AND(B4825='111'!$L$11,OR($N4825=$Q$7,$O4825=$Q$7)),"x","")</f>
        <v/>
      </c>
      <c r="R4825" s="79" t="str">
        <f>IF(AND($N4825=$Q$7,$B4825&lt;'111'!$L$11),"x","")</f>
        <v/>
      </c>
      <c r="S4825" s="79" t="str">
        <f>IF(AND($O4825=$Q$7,$B4825&lt;'111'!$L$11),"x","")</f>
        <v/>
      </c>
      <c r="T4825" s="79" t="str">
        <f>IF(ISERROR(FIND('112'!$M$9,G4825,1)),"",IF((AND(FIND('112'!$M$9,G4825,1)&gt;=1,B4825='112'!$K$9,OR($N4825='112'!$I$6,$O4825='112'!$I$6))),"x",""))</f>
        <v/>
      </c>
      <c r="U4825" s="79" t="str">
        <f>IF(ISERROR(FIND('112'!$M$9,G4825,1)),"",IF((AND(LEFT(G4825,2)=LEFT('112'!$M$9,2),B4825&lt;'112'!$K$9,$N4825='112'!$I$6)),"x",""))</f>
        <v/>
      </c>
      <c r="V4825" s="79" t="str">
        <f>IF(ISERROR(FIND('112'!$M$9,G4825,1)),"",IF((AND(RIGHT(G4825,2)=RIGHT('112'!$M$9,2),B4825&lt;'112'!$K$9,$O4825='112'!$I$6)),"x",""))</f>
        <v/>
      </c>
      <c r="W4825" s="79" t="str">
        <f>IF(AND('341-CT'!$H$9=H4825,OR(LEFT(N4825,3)=$W$7,LEFT(O4825,3)=$W$7)),"x","")</f>
        <v/>
      </c>
      <c r="X4825" s="79" t="str">
        <f>IF(OR(TH!N4825=TH!$X$7,O4825=TH!$X$7),"x","")</f>
        <v/>
      </c>
      <c r="Y4825" s="79" t="str">
        <f>IF(AND(OR(N4825="131",O4825="131"),H4825='131-CT'!$H$9),"x","")</f>
        <v/>
      </c>
      <c r="Z4825" s="79"/>
      <c r="AA4825" s="79" t="str">
        <f>IF(AND(MONTH(E4825)='IN-NX'!$J$5,'IN-NX'!$D$7=D4825),"x","")</f>
        <v/>
      </c>
      <c r="AB4825" s="79" t="str">
        <f>IF(AND(OR(LEFT(TH!N4825,2)="15",LEFT(TH!O4825,2)="15"),LEFT(TH!O4825,3)&lt;&gt;"111",'152-CT'!$J$8=TH!F4825),"x","")</f>
        <v/>
      </c>
      <c r="AC4825" s="79" t="str">
        <f>IF(AND(OR(LEFT(TH!N4825,2)="15",LEFT(TH!O4825,2)="15"),TK!$E$7=TH!F4825),"x","")</f>
        <v/>
      </c>
      <c r="AD4825" s="79" t="str">
        <f>IF(AND(N4825="1521",MONTH(C4825)='BK-NL'!$M$11),"x","")</f>
        <v/>
      </c>
    </row>
    <row r="4826" spans="1:30" ht="16.5" customHeight="1">
      <c r="A4826" s="318" t="str">
        <f>IF(B4826&lt;&gt;"",IF(AND(B4826='[3]IN-TC'!$S$4,OR([3]TH!N4057="1111",[3]TH!O4057="1111")),[3]TH!D4057,""),"")</f>
        <v/>
      </c>
      <c r="B4826" s="60" t="str">
        <f t="shared" si="478"/>
        <v/>
      </c>
      <c r="C4826" s="61"/>
      <c r="D4826" s="61"/>
      <c r="E4826" s="61"/>
      <c r="F4826" s="64"/>
      <c r="G4826" s="64"/>
      <c r="H4826" s="69"/>
      <c r="I4826" s="385"/>
      <c r="J4826" s="395"/>
      <c r="K4826" s="385"/>
      <c r="L4826" s="392"/>
      <c r="M4826" s="62"/>
      <c r="N4826" s="63"/>
      <c r="O4826" s="63"/>
      <c r="P4826" s="79" t="str">
        <f>IF(AND('331-CT'!$E$7=TH!H4826,OR(N4826="331",O4826="331")),"x","")</f>
        <v/>
      </c>
      <c r="Q4826" s="79" t="str">
        <f>IF(AND(B4826='111'!$L$11,OR($N4826=$Q$7,$O4826=$Q$7)),"x","")</f>
        <v/>
      </c>
      <c r="R4826" s="79" t="str">
        <f>IF(AND($N4826=$Q$7,$B4826&lt;'111'!$L$11),"x","")</f>
        <v/>
      </c>
      <c r="S4826" s="79" t="str">
        <f>IF(AND($O4826=$Q$7,$B4826&lt;'111'!$L$11),"x","")</f>
        <v/>
      </c>
      <c r="T4826" s="79" t="str">
        <f>IF(ISERROR(FIND('112'!$M$9,G4826,1)),"",IF((AND(FIND('112'!$M$9,G4826,1)&gt;=1,B4826='112'!$K$9,OR($N4826='112'!$I$6,$O4826='112'!$I$6))),"x",""))</f>
        <v/>
      </c>
      <c r="U4826" s="79" t="str">
        <f>IF(ISERROR(FIND('112'!$M$9,G4826,1)),"",IF((AND(LEFT(G4826,2)=LEFT('112'!$M$9,2),B4826&lt;'112'!$K$9,$N4826='112'!$I$6)),"x",""))</f>
        <v/>
      </c>
      <c r="V4826" s="79" t="str">
        <f>IF(ISERROR(FIND('112'!$M$9,G4826,1)),"",IF((AND(RIGHT(G4826,2)=RIGHT('112'!$M$9,2),B4826&lt;'112'!$K$9,$O4826='112'!$I$6)),"x",""))</f>
        <v/>
      </c>
      <c r="W4826" s="79" t="str">
        <f>IF(AND('341-CT'!$H$9=H4826,OR(LEFT(N4826,3)=$W$7,LEFT(O4826,3)=$W$7)),"x","")</f>
        <v/>
      </c>
      <c r="X4826" s="79" t="str">
        <f>IF(OR(TH!N4826=TH!$X$7,O4826=TH!$X$7),"x","")</f>
        <v/>
      </c>
      <c r="Y4826" s="79" t="str">
        <f>IF(AND(OR(N4826="131",O4826="131"),H4826='131-CT'!$H$9),"x","")</f>
        <v/>
      </c>
      <c r="Z4826" s="79"/>
      <c r="AA4826" s="79" t="str">
        <f>IF(AND(MONTH(E4826)='IN-NX'!$J$5,'IN-NX'!$D$7=D4826),"x","")</f>
        <v/>
      </c>
      <c r="AB4826" s="79" t="str">
        <f>IF(AND(OR(LEFT(TH!N4826,2)="15",LEFT(TH!O4826,2)="15"),LEFT(TH!O4826,3)&lt;&gt;"111",'152-CT'!$J$8=TH!F4826),"x","")</f>
        <v/>
      </c>
      <c r="AC4826" s="79" t="str">
        <f>IF(AND(OR(LEFT(TH!N4826,2)="15",LEFT(TH!O4826,2)="15"),TK!$E$7=TH!F4826),"x","")</f>
        <v/>
      </c>
      <c r="AD4826" s="79" t="str">
        <f>IF(AND(N4826="1521",MONTH(C4826)='BK-NL'!$M$11),"x","")</f>
        <v/>
      </c>
    </row>
    <row r="4827" spans="1:30" ht="16.5" customHeight="1">
      <c r="A4827" s="318" t="str">
        <f>IF(B4827&lt;&gt;"",IF(AND(B4827='[3]IN-TC'!$S$4,OR([3]TH!N4058="1111",[3]TH!O4058="1111")),[3]TH!D4058,""),"")</f>
        <v/>
      </c>
      <c r="B4827" s="60" t="str">
        <f t="shared" si="478"/>
        <v/>
      </c>
      <c r="C4827" s="61"/>
      <c r="D4827" s="61"/>
      <c r="E4827" s="61"/>
      <c r="F4827" s="64"/>
      <c r="G4827" s="64"/>
      <c r="H4827" s="69"/>
      <c r="I4827" s="385"/>
      <c r="J4827" s="395"/>
      <c r="K4827" s="385"/>
      <c r="L4827" s="392"/>
      <c r="M4827" s="62"/>
      <c r="N4827" s="63"/>
      <c r="O4827" s="63"/>
      <c r="P4827" s="79" t="str">
        <f>IF(AND('331-CT'!$E$7=TH!H4827,OR(N4827="331",O4827="331")),"x","")</f>
        <v/>
      </c>
      <c r="Q4827" s="79" t="str">
        <f>IF(AND(B4827='111'!$L$11,OR($N4827=$Q$7,$O4827=$Q$7)),"x","")</f>
        <v/>
      </c>
      <c r="R4827" s="79" t="str">
        <f>IF(AND($N4827=$Q$7,$B4827&lt;'111'!$L$11),"x","")</f>
        <v/>
      </c>
      <c r="S4827" s="79" t="str">
        <f>IF(AND($O4827=$Q$7,$B4827&lt;'111'!$L$11),"x","")</f>
        <v/>
      </c>
      <c r="T4827" s="79" t="str">
        <f>IF(ISERROR(FIND('112'!$M$9,G4827,1)),"",IF((AND(FIND('112'!$M$9,G4827,1)&gt;=1,B4827='112'!$K$9,OR($N4827='112'!$I$6,$O4827='112'!$I$6))),"x",""))</f>
        <v/>
      </c>
      <c r="U4827" s="79" t="str">
        <f>IF(ISERROR(FIND('112'!$M$9,G4827,1)),"",IF((AND(LEFT(G4827,2)=LEFT('112'!$M$9,2),B4827&lt;'112'!$K$9,$N4827='112'!$I$6)),"x",""))</f>
        <v/>
      </c>
      <c r="V4827" s="79" t="str">
        <f>IF(ISERROR(FIND('112'!$M$9,G4827,1)),"",IF((AND(RIGHT(G4827,2)=RIGHT('112'!$M$9,2),B4827&lt;'112'!$K$9,$O4827='112'!$I$6)),"x",""))</f>
        <v/>
      </c>
      <c r="W4827" s="79" t="str">
        <f>IF(AND('341-CT'!$H$9=H4827,OR(LEFT(N4827,3)=$W$7,LEFT(O4827,3)=$W$7)),"x","")</f>
        <v/>
      </c>
      <c r="X4827" s="79" t="str">
        <f>IF(OR(TH!N4827=TH!$X$7,O4827=TH!$X$7),"x","")</f>
        <v/>
      </c>
      <c r="Y4827" s="79" t="str">
        <f>IF(AND(OR(N4827="131",O4827="131"),H4827='131-CT'!$H$9),"x","")</f>
        <v/>
      </c>
      <c r="Z4827" s="79"/>
      <c r="AA4827" s="79" t="str">
        <f>IF(AND(MONTH(E4827)='IN-NX'!$J$5,'IN-NX'!$D$7=D4827),"x","")</f>
        <v/>
      </c>
      <c r="AB4827" s="79" t="str">
        <f>IF(AND(OR(LEFT(TH!N4827,2)="15",LEFT(TH!O4827,2)="15"),LEFT(TH!O4827,3)&lt;&gt;"111",'152-CT'!$J$8=TH!F4827),"x","")</f>
        <v/>
      </c>
      <c r="AC4827" s="79" t="str">
        <f>IF(AND(OR(LEFT(TH!N4827,2)="15",LEFT(TH!O4827,2)="15"),TK!$E$7=TH!F4827),"x","")</f>
        <v/>
      </c>
      <c r="AD4827" s="79" t="str">
        <f>IF(AND(N4827="1521",MONTH(C4827)='BK-NL'!$M$11),"x","")</f>
        <v/>
      </c>
    </row>
    <row r="4828" spans="1:30" ht="16.5" customHeight="1">
      <c r="A4828" s="318" t="str">
        <f>IF(B4828&lt;&gt;"",IF(AND(B4828='[3]IN-TC'!$S$4,OR([3]TH!N4059="1111",[3]TH!O4059="1111")),[3]TH!D4059,""),"")</f>
        <v/>
      </c>
      <c r="B4828" s="60" t="str">
        <f t="shared" ref="B4828:B4908" si="479">IF(C4828&lt;&gt;"",MONTH(C4828),"")</f>
        <v/>
      </c>
      <c r="C4828" s="61"/>
      <c r="D4828" s="61"/>
      <c r="E4828" s="61"/>
      <c r="F4828" s="64"/>
      <c r="G4828" s="64"/>
      <c r="H4828" s="321"/>
      <c r="I4828" s="385"/>
      <c r="J4828" s="395"/>
      <c r="K4828" s="385"/>
      <c r="L4828" s="392"/>
      <c r="M4828" s="62"/>
      <c r="N4828" s="63"/>
      <c r="O4828" s="63"/>
      <c r="P4828" s="79" t="str">
        <f>IF(AND('331-CT'!$E$7=TH!H4828,OR(N4828="331",O4828="331")),"x","")</f>
        <v/>
      </c>
      <c r="Q4828" s="79" t="str">
        <f>IF(AND(B4828='111'!$L$11,OR($N4828=$Q$7,$O4828=$Q$7)),"x","")</f>
        <v/>
      </c>
      <c r="R4828" s="79" t="str">
        <f>IF(AND($N4828=$Q$7,$B4828&lt;'111'!$L$11),"x","")</f>
        <v/>
      </c>
      <c r="S4828" s="79" t="str">
        <f>IF(AND($O4828=$Q$7,$B4828&lt;'111'!$L$11),"x","")</f>
        <v/>
      </c>
      <c r="T4828" s="79" t="str">
        <f>IF(ISERROR(FIND('112'!$M$9,G4828,1)),"",IF((AND(FIND('112'!$M$9,G4828,1)&gt;=1,B4828='112'!$K$9,OR($N4828='112'!$I$6,$O4828='112'!$I$6))),"x",""))</f>
        <v/>
      </c>
      <c r="U4828" s="79" t="str">
        <f>IF(ISERROR(FIND('112'!$M$9,G4828,1)),"",IF((AND(LEFT(G4828,2)=LEFT('112'!$M$9,2),B4828&lt;'112'!$K$9,$N4828='112'!$I$6)),"x",""))</f>
        <v/>
      </c>
      <c r="V4828" s="79" t="str">
        <f>IF(ISERROR(FIND('112'!$M$9,G4828,1)),"",IF((AND(RIGHT(G4828,2)=RIGHT('112'!$M$9,2),B4828&lt;'112'!$K$9,$O4828='112'!$I$6)),"x",""))</f>
        <v/>
      </c>
      <c r="W4828" s="79" t="str">
        <f>IF(AND('341-CT'!$H$9=H4828,OR(LEFT(N4828,3)=$W$7,LEFT(O4828,3)=$W$7)),"x","")</f>
        <v/>
      </c>
      <c r="X4828" s="79" t="str">
        <f>IF(OR(TH!N4828=TH!$X$7,O4828=TH!$X$7),"x","")</f>
        <v/>
      </c>
      <c r="Y4828" s="79" t="str">
        <f>IF(AND(OR(N4828="131",O4828="131"),H4828='131-CT'!$H$9),"x","")</f>
        <v/>
      </c>
      <c r="Z4828" s="79"/>
      <c r="AA4828" s="79" t="str">
        <f>IF(AND(MONTH(E4828)='IN-NX'!$J$5,'IN-NX'!$D$7=D4828),"x","")</f>
        <v/>
      </c>
      <c r="AB4828" s="79" t="str">
        <f>IF(AND(OR(LEFT(TH!N4828,2)="15",LEFT(TH!O4828,2)="15"),LEFT(TH!O4828,3)&lt;&gt;"111",'152-CT'!$J$8=TH!F4828),"x","")</f>
        <v/>
      </c>
      <c r="AC4828" s="79" t="str">
        <f>IF(AND(OR(LEFT(TH!N4828,2)="15",LEFT(TH!O4828,2)="15"),TK!$E$7=TH!F4828),"x","")</f>
        <v/>
      </c>
      <c r="AD4828" s="79" t="str">
        <f>IF(AND(N4828="1521",MONTH(C4828)='BK-NL'!$M$11),"x","")</f>
        <v/>
      </c>
    </row>
    <row r="4829" spans="1:30" ht="16.5" customHeight="1">
      <c r="A4829" s="318" t="str">
        <f>IF(B4829&lt;&gt;"",IF(AND(B4829='[3]IN-TC'!$S$4,OR([3]TH!N4060="1111",[3]TH!O4060="1111")),[3]TH!D4060,""),"")</f>
        <v/>
      </c>
      <c r="B4829" s="60" t="str">
        <f t="shared" si="479"/>
        <v/>
      </c>
      <c r="C4829" s="61"/>
      <c r="D4829" s="61"/>
      <c r="E4829" s="61"/>
      <c r="F4829" s="64"/>
      <c r="G4829" s="64"/>
      <c r="H4829" s="69"/>
      <c r="I4829" s="385"/>
      <c r="J4829" s="395"/>
      <c r="K4829" s="385"/>
      <c r="L4829" s="392"/>
      <c r="M4829" s="62"/>
      <c r="N4829" s="63"/>
      <c r="O4829" s="63"/>
      <c r="P4829" s="79" t="str">
        <f>IF(AND('331-CT'!$E$7=TH!H4829,OR(N4829="331",O4829="331")),"x","")</f>
        <v/>
      </c>
      <c r="Q4829" s="79" t="str">
        <f>IF(AND(B4829='111'!$L$11,OR($N4829=$Q$7,$O4829=$Q$7)),"x","")</f>
        <v/>
      </c>
      <c r="R4829" s="79" t="str">
        <f>IF(AND($N4829=$Q$7,$B4829&lt;'111'!$L$11),"x","")</f>
        <v/>
      </c>
      <c r="S4829" s="79" t="str">
        <f>IF(AND($O4829=$Q$7,$B4829&lt;'111'!$L$11),"x","")</f>
        <v/>
      </c>
      <c r="T4829" s="79" t="str">
        <f>IF(ISERROR(FIND('112'!$M$9,G4829,1)),"",IF((AND(FIND('112'!$M$9,G4829,1)&gt;=1,B4829='112'!$K$9,OR($N4829='112'!$I$6,$O4829='112'!$I$6))),"x",""))</f>
        <v/>
      </c>
      <c r="U4829" s="79" t="str">
        <f>IF(ISERROR(FIND('112'!$M$9,G4829,1)),"",IF((AND(LEFT(G4829,2)=LEFT('112'!$M$9,2),B4829&lt;'112'!$K$9,$N4829='112'!$I$6)),"x",""))</f>
        <v/>
      </c>
      <c r="V4829" s="79" t="str">
        <f>IF(ISERROR(FIND('112'!$M$9,G4829,1)),"",IF((AND(RIGHT(G4829,2)=RIGHT('112'!$M$9,2),B4829&lt;'112'!$K$9,$O4829='112'!$I$6)),"x",""))</f>
        <v/>
      </c>
      <c r="W4829" s="79" t="str">
        <f>IF(AND('341-CT'!$H$9=H4829,OR(LEFT(N4829,3)=$W$7,LEFT(O4829,3)=$W$7)),"x","")</f>
        <v/>
      </c>
      <c r="X4829" s="79" t="str">
        <f>IF(OR(TH!N4829=TH!$X$7,O4829=TH!$X$7),"x","")</f>
        <v/>
      </c>
      <c r="Y4829" s="79" t="str">
        <f>IF(AND(OR(N4829="131",O4829="131"),H4829='131-CT'!$H$9),"x","")</f>
        <v/>
      </c>
      <c r="Z4829" s="79"/>
      <c r="AA4829" s="79" t="str">
        <f>IF(AND(MONTH(E4829)='IN-NX'!$J$5,'IN-NX'!$D$7=D4829),"x","")</f>
        <v/>
      </c>
      <c r="AB4829" s="79" t="str">
        <f>IF(AND(OR(LEFT(TH!N4829,2)="15",LEFT(TH!O4829,2)="15"),LEFT(TH!O4829,3)&lt;&gt;"111",'152-CT'!$J$8=TH!F4829),"x","")</f>
        <v/>
      </c>
      <c r="AC4829" s="79" t="str">
        <f>IF(AND(OR(LEFT(TH!N4829,2)="15",LEFT(TH!O4829,2)="15"),TK!$E$7=TH!F4829),"x","")</f>
        <v/>
      </c>
      <c r="AD4829" s="79" t="str">
        <f>IF(AND(N4829="1521",MONTH(C4829)='BK-NL'!$M$11),"x","")</f>
        <v/>
      </c>
    </row>
    <row r="4830" spans="1:30" ht="16.5" customHeight="1">
      <c r="A4830" s="318" t="str">
        <f>IF(B4830&lt;&gt;"",IF(AND(B4830='[3]IN-TC'!$S$4,OR([3]TH!N4061="1111",[3]TH!O4061="1111")),[3]TH!D4061,""),"")</f>
        <v/>
      </c>
      <c r="B4830" s="60" t="str">
        <f t="shared" si="479"/>
        <v/>
      </c>
      <c r="C4830" s="61"/>
      <c r="D4830" s="61"/>
      <c r="E4830" s="61"/>
      <c r="F4830" s="64"/>
      <c r="G4830" s="64"/>
      <c r="H4830" s="69"/>
      <c r="I4830" s="385"/>
      <c r="J4830" s="395"/>
      <c r="K4830" s="385"/>
      <c r="L4830" s="392"/>
      <c r="M4830" s="62"/>
      <c r="N4830" s="63"/>
      <c r="O4830" s="63"/>
      <c r="P4830" s="79" t="str">
        <f>IF(AND('331-CT'!$E$7=TH!H4830,OR(N4830="331",O4830="331")),"x","")</f>
        <v/>
      </c>
      <c r="Q4830" s="79" t="str">
        <f>IF(AND(B4830='111'!$L$11,OR($N4830=$Q$7,$O4830=$Q$7)),"x","")</f>
        <v/>
      </c>
      <c r="R4830" s="79" t="str">
        <f>IF(AND($N4830=$Q$7,$B4830&lt;'111'!$L$11),"x","")</f>
        <v/>
      </c>
      <c r="S4830" s="79" t="str">
        <f>IF(AND($O4830=$Q$7,$B4830&lt;'111'!$L$11),"x","")</f>
        <v/>
      </c>
      <c r="T4830" s="79" t="str">
        <f>IF(ISERROR(FIND('112'!$M$9,G4830,1)),"",IF((AND(FIND('112'!$M$9,G4830,1)&gt;=1,B4830='112'!$K$9,OR($N4830='112'!$I$6,$O4830='112'!$I$6))),"x",""))</f>
        <v/>
      </c>
      <c r="U4830" s="79" t="str">
        <f>IF(ISERROR(FIND('112'!$M$9,G4830,1)),"",IF((AND(LEFT(G4830,2)=LEFT('112'!$M$9,2),B4830&lt;'112'!$K$9,$N4830='112'!$I$6)),"x",""))</f>
        <v/>
      </c>
      <c r="V4830" s="79" t="str">
        <f>IF(ISERROR(FIND('112'!$M$9,G4830,1)),"",IF((AND(RIGHT(G4830,2)=RIGHT('112'!$M$9,2),B4830&lt;'112'!$K$9,$O4830='112'!$I$6)),"x",""))</f>
        <v/>
      </c>
      <c r="W4830" s="79" t="str">
        <f>IF(AND('341-CT'!$H$9=H4830,OR(LEFT(N4830,3)=$W$7,LEFT(O4830,3)=$W$7)),"x","")</f>
        <v/>
      </c>
      <c r="X4830" s="79" t="str">
        <f>IF(OR(TH!N4830=TH!$X$7,O4830=TH!$X$7),"x","")</f>
        <v/>
      </c>
      <c r="Y4830" s="79" t="str">
        <f>IF(AND(OR(N4830="131",O4830="131"),H4830='131-CT'!$H$9),"x","")</f>
        <v/>
      </c>
      <c r="Z4830" s="79"/>
      <c r="AA4830" s="79" t="str">
        <f>IF(AND(MONTH(E4830)='IN-NX'!$J$5,'IN-NX'!$D$7=D4830),"x","")</f>
        <v/>
      </c>
      <c r="AB4830" s="79" t="str">
        <f>IF(AND(OR(LEFT(TH!N4830,2)="15",LEFT(TH!O4830,2)="15"),LEFT(TH!O4830,3)&lt;&gt;"111",'152-CT'!$J$8=TH!F4830),"x","")</f>
        <v/>
      </c>
      <c r="AC4830" s="79" t="str">
        <f>IF(AND(OR(LEFT(TH!N4830,2)="15",LEFT(TH!O4830,2)="15"),TK!$E$7=TH!F4830),"x","")</f>
        <v/>
      </c>
      <c r="AD4830" s="79" t="str">
        <f>IF(AND(N4830="1521",MONTH(C4830)='BK-NL'!$M$11),"x","")</f>
        <v/>
      </c>
    </row>
    <row r="4831" spans="1:30" ht="16.5" customHeight="1">
      <c r="A4831" s="318" t="str">
        <f>IF(B4831&lt;&gt;"",IF(AND(B4831='[3]IN-TC'!$S$4,OR([3]TH!N4062="1111",[3]TH!O4062="1111")),[3]TH!D4062,""),"")</f>
        <v/>
      </c>
      <c r="B4831" s="60" t="str">
        <f t="shared" si="479"/>
        <v/>
      </c>
      <c r="C4831" s="61"/>
      <c r="D4831" s="61"/>
      <c r="E4831" s="61"/>
      <c r="F4831" s="64"/>
      <c r="G4831" s="64"/>
      <c r="H4831" s="321"/>
      <c r="I4831" s="385"/>
      <c r="J4831" s="395"/>
      <c r="K4831" s="385"/>
      <c r="L4831" s="392"/>
      <c r="M4831" s="62"/>
      <c r="N4831" s="63"/>
      <c r="O4831" s="63"/>
      <c r="P4831" s="79" t="str">
        <f>IF(AND('331-CT'!$E$7=TH!H4831,OR(N4831="331",O4831="331")),"x","")</f>
        <v/>
      </c>
      <c r="Q4831" s="79" t="str">
        <f>IF(AND(B4831='111'!$L$11,OR($N4831=$Q$7,$O4831=$Q$7)),"x","")</f>
        <v/>
      </c>
      <c r="R4831" s="79" t="str">
        <f>IF(AND($N4831=$Q$7,$B4831&lt;'111'!$L$11),"x","")</f>
        <v/>
      </c>
      <c r="S4831" s="79" t="str">
        <f>IF(AND($O4831=$Q$7,$B4831&lt;'111'!$L$11),"x","")</f>
        <v/>
      </c>
      <c r="T4831" s="79" t="str">
        <f>IF(ISERROR(FIND('112'!$M$9,G4831,1)),"",IF((AND(FIND('112'!$M$9,G4831,1)&gt;=1,B4831='112'!$K$9,OR($N4831='112'!$I$6,$O4831='112'!$I$6))),"x",""))</f>
        <v/>
      </c>
      <c r="U4831" s="79" t="str">
        <f>IF(ISERROR(FIND('112'!$M$9,G4831,1)),"",IF((AND(LEFT(G4831,2)=LEFT('112'!$M$9,2),B4831&lt;'112'!$K$9,$N4831='112'!$I$6)),"x",""))</f>
        <v/>
      </c>
      <c r="V4831" s="79" t="str">
        <f>IF(ISERROR(FIND('112'!$M$9,G4831,1)),"",IF((AND(RIGHT(G4831,2)=RIGHT('112'!$M$9,2),B4831&lt;'112'!$K$9,$O4831='112'!$I$6)),"x",""))</f>
        <v/>
      </c>
      <c r="W4831" s="79" t="str">
        <f>IF(AND('341-CT'!$H$9=H4831,OR(LEFT(N4831,3)=$W$7,LEFT(O4831,3)=$W$7)),"x","")</f>
        <v/>
      </c>
      <c r="X4831" s="79" t="str">
        <f>IF(OR(TH!N4831=TH!$X$7,O4831=TH!$X$7),"x","")</f>
        <v/>
      </c>
      <c r="Y4831" s="79" t="str">
        <f>IF(AND(OR(N4831="131",O4831="131"),H4831='131-CT'!$H$9),"x","")</f>
        <v/>
      </c>
      <c r="Z4831" s="79"/>
      <c r="AA4831" s="79" t="str">
        <f>IF(AND(MONTH(E4831)='IN-NX'!$J$5,'IN-NX'!$D$7=D4831),"x","")</f>
        <v/>
      </c>
      <c r="AB4831" s="79" t="str">
        <f>IF(AND(OR(LEFT(TH!N4831,2)="15",LEFT(TH!O4831,2)="15"),LEFT(TH!O4831,3)&lt;&gt;"111",'152-CT'!$J$8=TH!F4831),"x","")</f>
        <v/>
      </c>
      <c r="AC4831" s="79" t="str">
        <f>IF(AND(OR(LEFT(TH!N4831,2)="15",LEFT(TH!O4831,2)="15"),TK!$E$7=TH!F4831),"x","")</f>
        <v/>
      </c>
      <c r="AD4831" s="79" t="str">
        <f>IF(AND(N4831="1521",MONTH(C4831)='BK-NL'!$M$11),"x","")</f>
        <v/>
      </c>
    </row>
    <row r="4832" spans="1:30" ht="16.5" customHeight="1">
      <c r="A4832" s="318" t="str">
        <f>IF(B4832&lt;&gt;"",IF(AND(B4832='[3]IN-TC'!$S$4,OR([3]TH!N4063="1111",[3]TH!O4063="1111")),[3]TH!D4063,""),"")</f>
        <v/>
      </c>
      <c r="B4832" s="60" t="str">
        <f>IF(C4832&lt;&gt;"",MONTH(C4832),"")</f>
        <v/>
      </c>
      <c r="C4832" s="61"/>
      <c r="D4832" s="61"/>
      <c r="E4832" s="61"/>
      <c r="F4832" s="64"/>
      <c r="G4832" s="64"/>
      <c r="H4832" s="69"/>
      <c r="I4832" s="385"/>
      <c r="J4832" s="395"/>
      <c r="K4832" s="385"/>
      <c r="L4832" s="392"/>
      <c r="M4832" s="62"/>
      <c r="N4832" s="63"/>
      <c r="O4832" s="63"/>
      <c r="P4832" s="79" t="str">
        <f>IF(AND('331-CT'!$E$7=TH!H4832,OR(N4832="331",O4832="331")),"x","")</f>
        <v/>
      </c>
      <c r="Q4832" s="79" t="str">
        <f>IF(AND(B4832='111'!$L$11,OR($N4832=$Q$7,$O4832=$Q$7)),"x","")</f>
        <v/>
      </c>
      <c r="R4832" s="79" t="str">
        <f>IF(AND($N4832=$Q$7,$B4832&lt;'111'!$L$11),"x","")</f>
        <v/>
      </c>
      <c r="S4832" s="79" t="str">
        <f>IF(AND($O4832=$Q$7,$B4832&lt;'111'!$L$11),"x","")</f>
        <v/>
      </c>
      <c r="T4832" s="79" t="str">
        <f>IF(ISERROR(FIND('112'!$M$9,G4832,1)),"",IF((AND(FIND('112'!$M$9,G4832,1)&gt;=1,B4832='112'!$K$9,OR($N4832='112'!$I$6,$O4832='112'!$I$6))),"x",""))</f>
        <v/>
      </c>
      <c r="U4832" s="79" t="str">
        <f>IF(ISERROR(FIND('112'!$M$9,G4832,1)),"",IF((AND(LEFT(G4832,2)=LEFT('112'!$M$9,2),B4832&lt;'112'!$K$9,$N4832='112'!$I$6)),"x",""))</f>
        <v/>
      </c>
      <c r="V4832" s="79" t="str">
        <f>IF(ISERROR(FIND('112'!$M$9,G4832,1)),"",IF((AND(RIGHT(G4832,2)=RIGHT('112'!$M$9,2),B4832&lt;'112'!$K$9,$O4832='112'!$I$6)),"x",""))</f>
        <v/>
      </c>
      <c r="W4832" s="79" t="str">
        <f>IF(AND('341-CT'!$H$9=H4832,OR(LEFT(N4832,3)=$W$7,LEFT(O4832,3)=$W$7)),"x","")</f>
        <v/>
      </c>
      <c r="X4832" s="79" t="str">
        <f>IF(OR(TH!N4832=TH!$X$7,O4832=TH!$X$7),"x","")</f>
        <v/>
      </c>
      <c r="Y4832" s="79" t="str">
        <f>IF(AND(OR(N4832="131",O4832="131"),H4832='131-CT'!$H$9),"x","")</f>
        <v/>
      </c>
      <c r="Z4832" s="79"/>
      <c r="AA4832" s="79" t="str">
        <f>IF(AND(MONTH(E4832)='IN-NX'!$J$5,'IN-NX'!$D$7=D4832),"x","")</f>
        <v/>
      </c>
      <c r="AB4832" s="79" t="str">
        <f>IF(AND(OR(LEFT(TH!N4832,2)="15",LEFT(TH!O4832,2)="15"),LEFT(TH!O4832,3)&lt;&gt;"111",'152-CT'!$J$8=TH!F4832),"x","")</f>
        <v/>
      </c>
      <c r="AC4832" s="79" t="str">
        <f>IF(AND(OR(LEFT(TH!N4832,2)="15",LEFT(TH!O4832,2)="15"),TK!$E$7=TH!F4832),"x","")</f>
        <v/>
      </c>
      <c r="AD4832" s="79" t="str">
        <f>IF(AND(N4832="1521",MONTH(C4832)='BK-NL'!$M$11),"x","")</f>
        <v/>
      </c>
    </row>
    <row r="4833" spans="1:30" ht="16.5" customHeight="1">
      <c r="A4833" s="318" t="str">
        <f>IF(B4833&lt;&gt;"",IF(AND(B4833='[3]IN-TC'!$S$4,OR([3]TH!N4064="1111",[3]TH!O4064="1111")),[3]TH!D4064,""),"")</f>
        <v/>
      </c>
      <c r="B4833" s="60" t="str">
        <f>IF(C4833&lt;&gt;"",MONTH(C4833),"")</f>
        <v/>
      </c>
      <c r="C4833" s="61"/>
      <c r="D4833" s="61"/>
      <c r="E4833" s="61"/>
      <c r="F4833" s="64"/>
      <c r="G4833" s="64"/>
      <c r="H4833" s="69"/>
      <c r="I4833" s="385"/>
      <c r="J4833" s="395"/>
      <c r="K4833" s="385"/>
      <c r="L4833" s="392"/>
      <c r="M4833" s="62"/>
      <c r="N4833" s="63"/>
      <c r="O4833" s="63"/>
      <c r="P4833" s="79" t="str">
        <f>IF(AND('331-CT'!$E$7=TH!H4833,OR(N4833="331",O4833="331")),"x","")</f>
        <v/>
      </c>
      <c r="Q4833" s="79" t="str">
        <f>IF(AND(B4833='111'!$L$11,OR($N4833=$Q$7,$O4833=$Q$7)),"x","")</f>
        <v/>
      </c>
      <c r="R4833" s="79" t="str">
        <f>IF(AND($N4833=$Q$7,$B4833&lt;'111'!$L$11),"x","")</f>
        <v/>
      </c>
      <c r="S4833" s="79" t="str">
        <f>IF(AND($O4833=$Q$7,$B4833&lt;'111'!$L$11),"x","")</f>
        <v/>
      </c>
      <c r="T4833" s="79" t="str">
        <f>IF(ISERROR(FIND('112'!$M$9,G4833,1)),"",IF((AND(FIND('112'!$M$9,G4833,1)&gt;=1,B4833='112'!$K$9,OR($N4833='112'!$I$6,$O4833='112'!$I$6))),"x",""))</f>
        <v/>
      </c>
      <c r="U4833" s="79" t="str">
        <f>IF(ISERROR(FIND('112'!$M$9,G4833,1)),"",IF((AND(LEFT(G4833,2)=LEFT('112'!$M$9,2),B4833&lt;'112'!$K$9,$N4833='112'!$I$6)),"x",""))</f>
        <v/>
      </c>
      <c r="V4833" s="79" t="str">
        <f>IF(ISERROR(FIND('112'!$M$9,G4833,1)),"",IF((AND(RIGHT(G4833,2)=RIGHT('112'!$M$9,2),B4833&lt;'112'!$K$9,$O4833='112'!$I$6)),"x",""))</f>
        <v/>
      </c>
      <c r="W4833" s="79" t="str">
        <f>IF(AND('341-CT'!$H$9=H4833,OR(LEFT(N4833,3)=$W$7,LEFT(O4833,3)=$W$7)),"x","")</f>
        <v/>
      </c>
      <c r="X4833" s="79" t="str">
        <f>IF(OR(TH!N4833=TH!$X$7,O4833=TH!$X$7),"x","")</f>
        <v/>
      </c>
      <c r="Y4833" s="79" t="str">
        <f>IF(AND(OR(N4833="131",O4833="131"),H4833='131-CT'!$H$9),"x","")</f>
        <v/>
      </c>
      <c r="Z4833" s="79"/>
      <c r="AA4833" s="79" t="str">
        <f>IF(AND(MONTH(E4833)='IN-NX'!$J$5,'IN-NX'!$D$7=D4833),"x","")</f>
        <v/>
      </c>
      <c r="AB4833" s="79" t="str">
        <f>IF(AND(OR(LEFT(TH!N4833,2)="15",LEFT(TH!O4833,2)="15"),LEFT(TH!O4833,3)&lt;&gt;"111",'152-CT'!$J$8=TH!F4833),"x","")</f>
        <v/>
      </c>
      <c r="AC4833" s="79" t="str">
        <f>IF(AND(OR(LEFT(TH!N4833,2)="15",LEFT(TH!O4833,2)="15"),TK!$E$7=TH!F4833),"x","")</f>
        <v/>
      </c>
      <c r="AD4833" s="79" t="str">
        <f>IF(AND(N4833="1521",MONTH(C4833)='BK-NL'!$M$11),"x","")</f>
        <v/>
      </c>
    </row>
    <row r="4834" spans="1:30" ht="16.5" customHeight="1">
      <c r="A4834" s="318" t="str">
        <f>IF(B4834&lt;&gt;"",IF(AND(B4834='[3]IN-TC'!$S$4,OR([3]TH!N4065="1111",[3]TH!O4065="1111")),[3]TH!D4065,""),"")</f>
        <v/>
      </c>
      <c r="B4834" s="60" t="str">
        <f t="shared" si="479"/>
        <v/>
      </c>
      <c r="C4834" s="61"/>
      <c r="D4834" s="61"/>
      <c r="E4834" s="61"/>
      <c r="F4834" s="64"/>
      <c r="G4834" s="64"/>
      <c r="H4834" s="69"/>
      <c r="I4834" s="385"/>
      <c r="J4834" s="395"/>
      <c r="K4834" s="385"/>
      <c r="L4834" s="392"/>
      <c r="M4834" s="62"/>
      <c r="N4834" s="63"/>
      <c r="O4834" s="63"/>
      <c r="P4834" s="79" t="str">
        <f>IF(AND('331-CT'!$E$7=TH!H4834,OR(N4834="331",O4834="331")),"x","")</f>
        <v/>
      </c>
      <c r="Q4834" s="79" t="str">
        <f>IF(AND(B4834='111'!$L$11,OR($N4834=$Q$7,$O4834=$Q$7)),"x","")</f>
        <v/>
      </c>
      <c r="R4834" s="79" t="str">
        <f>IF(AND($N4834=$Q$7,$B4834&lt;'111'!$L$11),"x","")</f>
        <v/>
      </c>
      <c r="S4834" s="79" t="str">
        <f>IF(AND($O4834=$Q$7,$B4834&lt;'111'!$L$11),"x","")</f>
        <v/>
      </c>
      <c r="T4834" s="79" t="str">
        <f>IF(ISERROR(FIND('112'!$M$9,G4834,1)),"",IF((AND(FIND('112'!$M$9,G4834,1)&gt;=1,B4834='112'!$K$9,OR($N4834='112'!$I$6,$O4834='112'!$I$6))),"x",""))</f>
        <v/>
      </c>
      <c r="U4834" s="79" t="str">
        <f>IF(ISERROR(FIND('112'!$M$9,G4834,1)),"",IF((AND(LEFT(G4834,2)=LEFT('112'!$M$9,2),B4834&lt;'112'!$K$9,$N4834='112'!$I$6)),"x",""))</f>
        <v/>
      </c>
      <c r="V4834" s="79" t="str">
        <f>IF(ISERROR(FIND('112'!$M$9,G4834,1)),"",IF((AND(RIGHT(G4834,2)=RIGHT('112'!$M$9,2),B4834&lt;'112'!$K$9,$O4834='112'!$I$6)),"x",""))</f>
        <v/>
      </c>
      <c r="W4834" s="79" t="str">
        <f>IF(AND('341-CT'!$H$9=H4834,OR(LEFT(N4834,3)=$W$7,LEFT(O4834,3)=$W$7)),"x","")</f>
        <v/>
      </c>
      <c r="X4834" s="79" t="str">
        <f>IF(OR(TH!N4834=TH!$X$7,O4834=TH!$X$7),"x","")</f>
        <v/>
      </c>
      <c r="Y4834" s="79" t="str">
        <f>IF(AND(OR(N4834="131",O4834="131"),H4834='131-CT'!$H$9),"x","")</f>
        <v/>
      </c>
      <c r="Z4834" s="79"/>
      <c r="AA4834" s="79" t="str">
        <f>IF(AND(MONTH(E4834)='IN-NX'!$J$5,'IN-NX'!$D$7=D4834),"x","")</f>
        <v/>
      </c>
      <c r="AB4834" s="79" t="str">
        <f>IF(AND(OR(LEFT(TH!N4834,2)="15",LEFT(TH!O4834,2)="15"),LEFT(TH!O4834,3)&lt;&gt;"111",'152-CT'!$J$8=TH!F4834),"x","")</f>
        <v/>
      </c>
      <c r="AC4834" s="79" t="str">
        <f>IF(AND(OR(LEFT(TH!N4834,2)="15",LEFT(TH!O4834,2)="15"),TK!$E$7=TH!F4834),"x","")</f>
        <v/>
      </c>
      <c r="AD4834" s="79" t="str">
        <f>IF(AND(N4834="1521",MONTH(C4834)='BK-NL'!$M$11),"x","")</f>
        <v/>
      </c>
    </row>
    <row r="4835" spans="1:30" ht="16.5" customHeight="1">
      <c r="A4835" s="318" t="str">
        <f>IF(B4835&lt;&gt;"",IF(AND(B4835='[3]IN-TC'!$S$4,OR([3]TH!N4066="1111",[3]TH!O4066="1111")),[3]TH!D4066,""),"")</f>
        <v/>
      </c>
      <c r="B4835" s="60" t="str">
        <f>IF(C4835&lt;&gt;"",MONTH(C4835),"")</f>
        <v/>
      </c>
      <c r="C4835" s="61"/>
      <c r="D4835" s="61"/>
      <c r="E4835" s="61"/>
      <c r="F4835" s="64"/>
      <c r="G4835" s="64"/>
      <c r="H4835" s="69"/>
      <c r="I4835" s="385"/>
      <c r="J4835" s="395"/>
      <c r="K4835" s="385"/>
      <c r="L4835" s="392"/>
      <c r="M4835" s="62"/>
      <c r="N4835" s="63"/>
      <c r="O4835" s="63"/>
      <c r="P4835" s="79" t="str">
        <f>IF(AND('331-CT'!$E$7=TH!H4835,OR(N4835="331",O4835="331")),"x","")</f>
        <v/>
      </c>
      <c r="Q4835" s="79" t="str">
        <f>IF(AND(B4835='111'!$L$11,OR($N4835=$Q$7,$O4835=$Q$7)),"x","")</f>
        <v/>
      </c>
      <c r="R4835" s="79" t="str">
        <f>IF(AND($N4835=$Q$7,$B4835&lt;'111'!$L$11),"x","")</f>
        <v/>
      </c>
      <c r="S4835" s="79" t="str">
        <f>IF(AND($O4835=$Q$7,$B4835&lt;'111'!$L$11),"x","")</f>
        <v/>
      </c>
      <c r="T4835" s="79" t="str">
        <f>IF(ISERROR(FIND('112'!$M$9,G4835,1)),"",IF((AND(FIND('112'!$M$9,G4835,1)&gt;=1,B4835='112'!$K$9,OR($N4835='112'!$I$6,$O4835='112'!$I$6))),"x",""))</f>
        <v/>
      </c>
      <c r="U4835" s="79" t="str">
        <f>IF(ISERROR(FIND('112'!$M$9,G4835,1)),"",IF((AND(LEFT(G4835,2)=LEFT('112'!$M$9,2),B4835&lt;'112'!$K$9,$N4835='112'!$I$6)),"x",""))</f>
        <v/>
      </c>
      <c r="V4835" s="79" t="str">
        <f>IF(ISERROR(FIND('112'!$M$9,G4835,1)),"",IF((AND(RIGHT(G4835,2)=RIGHT('112'!$M$9,2),B4835&lt;'112'!$K$9,$O4835='112'!$I$6)),"x",""))</f>
        <v/>
      </c>
      <c r="W4835" s="79" t="str">
        <f>IF(AND('341-CT'!$H$9=H4835,OR(LEFT(N4835,3)=$W$7,LEFT(O4835,3)=$W$7)),"x","")</f>
        <v/>
      </c>
      <c r="X4835" s="79" t="str">
        <f>IF(OR(TH!N4835=TH!$X$7,O4835=TH!$X$7),"x","")</f>
        <v/>
      </c>
      <c r="Y4835" s="79" t="str">
        <f>IF(AND(OR(N4835="131",O4835="131"),H4835='131-CT'!$H$9),"x","")</f>
        <v/>
      </c>
      <c r="Z4835" s="79"/>
      <c r="AA4835" s="79" t="str">
        <f>IF(AND(MONTH(E4835)='IN-NX'!$J$5,'IN-NX'!$D$7=D4835),"x","")</f>
        <v/>
      </c>
      <c r="AB4835" s="79" t="str">
        <f>IF(AND(OR(LEFT(TH!N4835,2)="15",LEFT(TH!O4835,2)="15"),LEFT(TH!O4835,3)&lt;&gt;"111",'152-CT'!$J$8=TH!F4835),"x","")</f>
        <v/>
      </c>
      <c r="AC4835" s="79" t="str">
        <f>IF(AND(OR(LEFT(TH!N4835,2)="15",LEFT(TH!O4835,2)="15"),TK!$E$7=TH!F4835),"x","")</f>
        <v/>
      </c>
      <c r="AD4835" s="79" t="str">
        <f>IF(AND(N4835="1521",MONTH(C4835)='BK-NL'!$M$11),"x","")</f>
        <v/>
      </c>
    </row>
    <row r="4836" spans="1:30" ht="16.5" customHeight="1">
      <c r="A4836" s="318" t="str">
        <f>IF(B4836&lt;&gt;"",IF(AND(B4836='[3]IN-TC'!$S$4,OR([3]TH!N4067="1111",[3]TH!O4067="1111")),[3]TH!D4067,""),"")</f>
        <v/>
      </c>
      <c r="B4836" s="60" t="str">
        <f>IF(C4836&lt;&gt;"",MONTH(C4836),"")</f>
        <v/>
      </c>
      <c r="C4836" s="61"/>
      <c r="D4836" s="61"/>
      <c r="E4836" s="61"/>
      <c r="F4836" s="64"/>
      <c r="G4836" s="64"/>
      <c r="H4836" s="69"/>
      <c r="I4836" s="385"/>
      <c r="J4836" s="395"/>
      <c r="K4836" s="385"/>
      <c r="L4836" s="392"/>
      <c r="M4836" s="62"/>
      <c r="N4836" s="63"/>
      <c r="O4836" s="63"/>
      <c r="P4836" s="79" t="str">
        <f>IF(AND('331-CT'!$E$7=TH!H4836,OR(N4836="331",O4836="331")),"x","")</f>
        <v/>
      </c>
      <c r="Q4836" s="79" t="str">
        <f>IF(AND(B4836='111'!$L$11,OR($N4836=$Q$7,$O4836=$Q$7)),"x","")</f>
        <v/>
      </c>
      <c r="R4836" s="79" t="str">
        <f>IF(AND($N4836=$Q$7,$B4836&lt;'111'!$L$11),"x","")</f>
        <v/>
      </c>
      <c r="S4836" s="79" t="str">
        <f>IF(AND($O4836=$Q$7,$B4836&lt;'111'!$L$11),"x","")</f>
        <v/>
      </c>
      <c r="T4836" s="79" t="str">
        <f>IF(ISERROR(FIND('112'!$M$9,G4836,1)),"",IF((AND(FIND('112'!$M$9,G4836,1)&gt;=1,B4836='112'!$K$9,OR($N4836='112'!$I$6,$O4836='112'!$I$6))),"x",""))</f>
        <v/>
      </c>
      <c r="U4836" s="79" t="str">
        <f>IF(ISERROR(FIND('112'!$M$9,G4836,1)),"",IF((AND(LEFT(G4836,2)=LEFT('112'!$M$9,2),B4836&lt;'112'!$K$9,$N4836='112'!$I$6)),"x",""))</f>
        <v/>
      </c>
      <c r="V4836" s="79" t="str">
        <f>IF(ISERROR(FIND('112'!$M$9,G4836,1)),"",IF((AND(RIGHT(G4836,2)=RIGHT('112'!$M$9,2),B4836&lt;'112'!$K$9,$O4836='112'!$I$6)),"x",""))</f>
        <v/>
      </c>
      <c r="W4836" s="79" t="str">
        <f>IF(AND('341-CT'!$H$9=H4836,OR(LEFT(N4836,3)=$W$7,LEFT(O4836,3)=$W$7)),"x","")</f>
        <v/>
      </c>
      <c r="X4836" s="79" t="str">
        <f>IF(OR(TH!N4836=TH!$X$7,O4836=TH!$X$7),"x","")</f>
        <v/>
      </c>
      <c r="Y4836" s="79" t="str">
        <f>IF(AND(OR(N4836="131",O4836="131"),H4836='131-CT'!$H$9),"x","")</f>
        <v/>
      </c>
      <c r="Z4836" s="79"/>
      <c r="AA4836" s="79" t="str">
        <f>IF(AND(MONTH(E4836)='IN-NX'!$J$5,'IN-NX'!$D$7=D4836),"x","")</f>
        <v/>
      </c>
      <c r="AB4836" s="79" t="str">
        <f>IF(AND(OR(LEFT(TH!N4836,2)="15",LEFT(TH!O4836,2)="15"),LEFT(TH!O4836,3)&lt;&gt;"111",'152-CT'!$J$8=TH!F4836),"x","")</f>
        <v/>
      </c>
      <c r="AC4836" s="79" t="str">
        <f>IF(AND(OR(LEFT(TH!N4836,2)="15",LEFT(TH!O4836,2)="15"),TK!$E$7=TH!F4836),"x","")</f>
        <v/>
      </c>
      <c r="AD4836" s="79" t="str">
        <f>IF(AND(N4836="1521",MONTH(C4836)='BK-NL'!$M$11),"x","")</f>
        <v/>
      </c>
    </row>
    <row r="4837" spans="1:30" ht="16.5" customHeight="1">
      <c r="A4837" s="318" t="str">
        <f>IF(B4837&lt;&gt;"",IF(AND(B4837='[3]IN-TC'!$S$4,OR([3]TH!N4068="1111",[3]TH!O4068="1111")),[3]TH!D4068,""),"")</f>
        <v/>
      </c>
      <c r="B4837" s="60" t="str">
        <f t="shared" si="479"/>
        <v/>
      </c>
      <c r="C4837" s="61"/>
      <c r="D4837" s="61"/>
      <c r="E4837" s="61"/>
      <c r="F4837" s="64"/>
      <c r="G4837" s="64"/>
      <c r="H4837" s="303"/>
      <c r="I4837" s="385"/>
      <c r="J4837" s="395"/>
      <c r="K4837" s="385"/>
      <c r="L4837" s="392"/>
      <c r="M4837" s="62"/>
      <c r="N4837" s="63"/>
      <c r="O4837" s="63"/>
      <c r="P4837" s="79" t="str">
        <f>IF(AND('331-CT'!$E$7=TH!H4837,OR(N4837="331",O4837="331")),"x","")</f>
        <v/>
      </c>
      <c r="Q4837" s="79" t="str">
        <f>IF(AND(B4837='111'!$L$11,OR($N4837=$Q$7,$O4837=$Q$7)),"x","")</f>
        <v/>
      </c>
      <c r="R4837" s="79" t="str">
        <f>IF(AND($N4837=$Q$7,$B4837&lt;'111'!$L$11),"x","")</f>
        <v/>
      </c>
      <c r="S4837" s="79" t="str">
        <f>IF(AND($O4837=$Q$7,$B4837&lt;'111'!$L$11),"x","")</f>
        <v/>
      </c>
      <c r="T4837" s="79" t="str">
        <f>IF(ISERROR(FIND('112'!$M$9,G4837,1)),"",IF((AND(FIND('112'!$M$9,G4837,1)&gt;=1,B4837='112'!$K$9,OR($N4837='112'!$I$6,$O4837='112'!$I$6))),"x",""))</f>
        <v/>
      </c>
      <c r="U4837" s="79" t="str">
        <f>IF(ISERROR(FIND('112'!$M$9,G4837,1)),"",IF((AND(LEFT(G4837,2)=LEFT('112'!$M$9,2),B4837&lt;'112'!$K$9,$N4837='112'!$I$6)),"x",""))</f>
        <v/>
      </c>
      <c r="V4837" s="79" t="str">
        <f>IF(ISERROR(FIND('112'!$M$9,G4837,1)),"",IF((AND(RIGHT(G4837,2)=RIGHT('112'!$M$9,2),B4837&lt;'112'!$K$9,$O4837='112'!$I$6)),"x",""))</f>
        <v/>
      </c>
      <c r="W4837" s="79" t="str">
        <f>IF(AND('341-CT'!$H$9=H4837,OR(LEFT(N4837,3)=$W$7,LEFT(O4837,3)=$W$7)),"x","")</f>
        <v/>
      </c>
      <c r="X4837" s="79" t="str">
        <f>IF(OR(TH!N4837=TH!$X$7,O4837=TH!$X$7),"x","")</f>
        <v/>
      </c>
      <c r="Y4837" s="79" t="str">
        <f>IF(AND(OR(N4837="131",O4837="131"),H4837='131-CT'!$H$9),"x","")</f>
        <v/>
      </c>
      <c r="Z4837" s="79"/>
      <c r="AA4837" s="79" t="str">
        <f>IF(AND(MONTH(E4837)='IN-NX'!$J$5,'IN-NX'!$D$7=D4837),"x","")</f>
        <v/>
      </c>
      <c r="AB4837" s="79" t="str">
        <f>IF(AND(OR(LEFT(TH!N4837,2)="15",LEFT(TH!O4837,2)="15"),LEFT(TH!O4837,3)&lt;&gt;"111",'152-CT'!$J$8=TH!F4837),"x","")</f>
        <v/>
      </c>
      <c r="AC4837" s="79" t="str">
        <f>IF(AND(OR(LEFT(TH!N4837,2)="15",LEFT(TH!O4837,2)="15"),TK!$E$7=TH!F4837),"x","")</f>
        <v/>
      </c>
      <c r="AD4837" s="79" t="str">
        <f>IF(AND(N4837="1521",MONTH(C4837)='BK-NL'!$M$11),"x","")</f>
        <v/>
      </c>
    </row>
    <row r="4838" spans="1:30" ht="16.5" customHeight="1">
      <c r="A4838" s="318" t="str">
        <f>IF(B4838&lt;&gt;"",IF(AND(B4838='[3]IN-TC'!$S$4,OR([3]TH!N4069="1111",[3]TH!O4069="1111")),[3]TH!D4069,""),"")</f>
        <v/>
      </c>
      <c r="B4838" s="60" t="str">
        <f t="shared" si="479"/>
        <v/>
      </c>
      <c r="C4838" s="61"/>
      <c r="D4838" s="61"/>
      <c r="E4838" s="61"/>
      <c r="F4838" s="64"/>
      <c r="G4838" s="64"/>
      <c r="H4838" s="69"/>
      <c r="I4838" s="385"/>
      <c r="J4838" s="395"/>
      <c r="K4838" s="385"/>
      <c r="L4838" s="392"/>
      <c r="M4838" s="62"/>
      <c r="N4838" s="63"/>
      <c r="O4838" s="63"/>
      <c r="P4838" s="79" t="str">
        <f>IF(AND('331-CT'!$E$7=TH!H4838,OR(N4838="331",O4838="331")),"x","")</f>
        <v/>
      </c>
      <c r="Q4838" s="79" t="str">
        <f>IF(AND(B4838='111'!$L$11,OR($N4838=$Q$7,$O4838=$Q$7)),"x","")</f>
        <v/>
      </c>
      <c r="R4838" s="79" t="str">
        <f>IF(AND($N4838=$Q$7,$B4838&lt;'111'!$L$11),"x","")</f>
        <v/>
      </c>
      <c r="S4838" s="79" t="str">
        <f>IF(AND($O4838=$Q$7,$B4838&lt;'111'!$L$11),"x","")</f>
        <v/>
      </c>
      <c r="T4838" s="79" t="str">
        <f>IF(ISERROR(FIND('112'!$M$9,G4838,1)),"",IF((AND(FIND('112'!$M$9,G4838,1)&gt;=1,B4838='112'!$K$9,OR($N4838='112'!$I$6,$O4838='112'!$I$6))),"x",""))</f>
        <v/>
      </c>
      <c r="U4838" s="79" t="str">
        <f>IF(ISERROR(FIND('112'!$M$9,G4838,1)),"",IF((AND(LEFT(G4838,2)=LEFT('112'!$M$9,2),B4838&lt;'112'!$K$9,$N4838='112'!$I$6)),"x",""))</f>
        <v/>
      </c>
      <c r="V4838" s="79" t="str">
        <f>IF(ISERROR(FIND('112'!$M$9,G4838,1)),"",IF((AND(RIGHT(G4838,2)=RIGHT('112'!$M$9,2),B4838&lt;'112'!$K$9,$O4838='112'!$I$6)),"x",""))</f>
        <v/>
      </c>
      <c r="W4838" s="79" t="str">
        <f>IF(AND('341-CT'!$H$9=H4838,OR(LEFT(N4838,3)=$W$7,LEFT(O4838,3)=$W$7)),"x","")</f>
        <v/>
      </c>
      <c r="X4838" s="79" t="str">
        <f>IF(OR(TH!N4838=TH!$X$7,O4838=TH!$X$7),"x","")</f>
        <v/>
      </c>
      <c r="Y4838" s="79" t="str">
        <f>IF(AND(OR(N4838="131",O4838="131"),H4838='131-CT'!$H$9),"x","")</f>
        <v/>
      </c>
      <c r="Z4838" s="79"/>
      <c r="AA4838" s="79" t="str">
        <f>IF(AND(MONTH(E4838)='IN-NX'!$J$5,'IN-NX'!$D$7=D4838),"x","")</f>
        <v/>
      </c>
      <c r="AB4838" s="79" t="str">
        <f>IF(AND(OR(LEFT(TH!N4838,2)="15",LEFT(TH!O4838,2)="15"),LEFT(TH!O4838,3)&lt;&gt;"111",'152-CT'!$J$8=TH!F4838),"x","")</f>
        <v/>
      </c>
      <c r="AC4838" s="79" t="str">
        <f>IF(AND(OR(LEFT(TH!N4838,2)="15",LEFT(TH!O4838,2)="15"),TK!$E$7=TH!F4838),"x","")</f>
        <v/>
      </c>
      <c r="AD4838" s="79" t="str">
        <f>IF(AND(N4838="1521",MONTH(C4838)='BK-NL'!$M$11),"x","")</f>
        <v/>
      </c>
    </row>
    <row r="4839" spans="1:30" ht="16.5" customHeight="1">
      <c r="A4839" s="318" t="str">
        <f>IF(B4839&lt;&gt;"",IF(AND(B4839='[3]IN-TC'!$S$4,OR([3]TH!N4070="1111",[3]TH!O4070="1111")),[3]TH!D4070,""),"")</f>
        <v/>
      </c>
      <c r="B4839" s="60" t="str">
        <f t="shared" si="479"/>
        <v/>
      </c>
      <c r="C4839" s="61"/>
      <c r="D4839" s="61"/>
      <c r="E4839" s="61"/>
      <c r="F4839" s="64"/>
      <c r="G4839" s="64"/>
      <c r="H4839" s="69"/>
      <c r="I4839" s="385"/>
      <c r="J4839" s="395"/>
      <c r="K4839" s="385"/>
      <c r="L4839" s="392"/>
      <c r="M4839" s="62"/>
      <c r="N4839" s="63"/>
      <c r="O4839" s="63"/>
      <c r="P4839" s="79" t="str">
        <f>IF(AND('331-CT'!$E$7=TH!H4839,OR(N4839="331",O4839="331")),"x","")</f>
        <v/>
      </c>
      <c r="Q4839" s="79" t="str">
        <f>IF(AND(B4839='111'!$L$11,OR($N4839=$Q$7,$O4839=$Q$7)),"x","")</f>
        <v/>
      </c>
      <c r="R4839" s="79" t="str">
        <f>IF(AND($N4839=$Q$7,$B4839&lt;'111'!$L$11),"x","")</f>
        <v/>
      </c>
      <c r="S4839" s="79" t="str">
        <f>IF(AND($O4839=$Q$7,$B4839&lt;'111'!$L$11),"x","")</f>
        <v/>
      </c>
      <c r="T4839" s="79" t="str">
        <f>IF(ISERROR(FIND('112'!$M$9,G4839,1)),"",IF((AND(FIND('112'!$M$9,G4839,1)&gt;=1,B4839='112'!$K$9,OR($N4839='112'!$I$6,$O4839='112'!$I$6))),"x",""))</f>
        <v/>
      </c>
      <c r="U4839" s="79" t="str">
        <f>IF(ISERROR(FIND('112'!$M$9,G4839,1)),"",IF((AND(LEFT(G4839,2)=LEFT('112'!$M$9,2),B4839&lt;'112'!$K$9,$N4839='112'!$I$6)),"x",""))</f>
        <v/>
      </c>
      <c r="V4839" s="79" t="str">
        <f>IF(ISERROR(FIND('112'!$M$9,G4839,1)),"",IF((AND(RIGHT(G4839,2)=RIGHT('112'!$M$9,2),B4839&lt;'112'!$K$9,$O4839='112'!$I$6)),"x",""))</f>
        <v/>
      </c>
      <c r="W4839" s="79" t="str">
        <f>IF(AND('341-CT'!$H$9=H4839,OR(LEFT(N4839,3)=$W$7,LEFT(O4839,3)=$W$7)),"x","")</f>
        <v/>
      </c>
      <c r="X4839" s="79" t="str">
        <f>IF(OR(TH!N4839=TH!$X$7,O4839=TH!$X$7),"x","")</f>
        <v/>
      </c>
      <c r="Y4839" s="79" t="str">
        <f>IF(AND(OR(N4839="131",O4839="131"),H4839='131-CT'!$H$9),"x","")</f>
        <v/>
      </c>
      <c r="Z4839" s="79"/>
      <c r="AA4839" s="79" t="str">
        <f>IF(AND(MONTH(E4839)='IN-NX'!$J$5,'IN-NX'!$D$7=D4839),"x","")</f>
        <v/>
      </c>
      <c r="AB4839" s="79" t="str">
        <f>IF(AND(OR(LEFT(TH!N4839,2)="15",LEFT(TH!O4839,2)="15"),LEFT(TH!O4839,3)&lt;&gt;"111",'152-CT'!$J$8=TH!F4839),"x","")</f>
        <v/>
      </c>
      <c r="AC4839" s="79" t="str">
        <f>IF(AND(OR(LEFT(TH!N4839,2)="15",LEFT(TH!O4839,2)="15"),TK!$E$7=TH!F4839),"x","")</f>
        <v/>
      </c>
      <c r="AD4839" s="79" t="str">
        <f>IF(AND(N4839="1521",MONTH(C4839)='BK-NL'!$M$11),"x","")</f>
        <v/>
      </c>
    </row>
    <row r="4840" spans="1:30" ht="16.5" customHeight="1">
      <c r="A4840" s="318" t="str">
        <f>IF(B4840&lt;&gt;"",IF(AND(B4840='[3]IN-TC'!$S$4,OR([3]TH!N4071="1111",[3]TH!O4071="1111")),[3]TH!D4071,""),"")</f>
        <v/>
      </c>
      <c r="B4840" s="60" t="str">
        <f t="shared" si="479"/>
        <v/>
      </c>
      <c r="C4840" s="61"/>
      <c r="D4840" s="61"/>
      <c r="E4840" s="61"/>
      <c r="F4840" s="64"/>
      <c r="G4840" s="64"/>
      <c r="H4840" s="69"/>
      <c r="I4840" s="385"/>
      <c r="J4840" s="395"/>
      <c r="K4840" s="385"/>
      <c r="L4840" s="392"/>
      <c r="M4840" s="62"/>
      <c r="N4840" s="63"/>
      <c r="O4840" s="63"/>
      <c r="P4840" s="79" t="str">
        <f>IF(AND('331-CT'!$E$7=TH!H4840,OR(N4840="331",O4840="331")),"x","")</f>
        <v/>
      </c>
      <c r="Q4840" s="79" t="str">
        <f>IF(AND(B4840='111'!$L$11,OR($N4840=$Q$7,$O4840=$Q$7)),"x","")</f>
        <v/>
      </c>
      <c r="R4840" s="79" t="str">
        <f>IF(AND($N4840=$Q$7,$B4840&lt;'111'!$L$11),"x","")</f>
        <v/>
      </c>
      <c r="S4840" s="79" t="str">
        <f>IF(AND($O4840=$Q$7,$B4840&lt;'111'!$L$11),"x","")</f>
        <v/>
      </c>
      <c r="T4840" s="79" t="str">
        <f>IF(ISERROR(FIND('112'!$M$9,G4840,1)),"",IF((AND(FIND('112'!$M$9,G4840,1)&gt;=1,B4840='112'!$K$9,OR($N4840='112'!$I$6,$O4840='112'!$I$6))),"x",""))</f>
        <v/>
      </c>
      <c r="U4840" s="79" t="str">
        <f>IF(ISERROR(FIND('112'!$M$9,G4840,1)),"",IF((AND(LEFT(G4840,2)=LEFT('112'!$M$9,2),B4840&lt;'112'!$K$9,$N4840='112'!$I$6)),"x",""))</f>
        <v/>
      </c>
      <c r="V4840" s="79" t="str">
        <f>IF(ISERROR(FIND('112'!$M$9,G4840,1)),"",IF((AND(RIGHT(G4840,2)=RIGHT('112'!$M$9,2),B4840&lt;'112'!$K$9,$O4840='112'!$I$6)),"x",""))</f>
        <v/>
      </c>
      <c r="W4840" s="79" t="str">
        <f>IF(AND('341-CT'!$H$9=H4840,OR(LEFT(N4840,3)=$W$7,LEFT(O4840,3)=$W$7)),"x","")</f>
        <v/>
      </c>
      <c r="X4840" s="79" t="str">
        <f>IF(OR(TH!N4840=TH!$X$7,O4840=TH!$X$7),"x","")</f>
        <v/>
      </c>
      <c r="Y4840" s="79" t="str">
        <f>IF(AND(OR(N4840="131",O4840="131"),H4840='131-CT'!$H$9),"x","")</f>
        <v/>
      </c>
      <c r="Z4840" s="79"/>
      <c r="AA4840" s="79" t="str">
        <f>IF(AND(MONTH(E4840)='IN-NX'!$J$5,'IN-NX'!$D$7=D4840),"x","")</f>
        <v/>
      </c>
      <c r="AB4840" s="79" t="str">
        <f>IF(AND(OR(LEFT(TH!N4840,2)="15",LEFT(TH!O4840,2)="15"),LEFT(TH!O4840,3)&lt;&gt;"111",'152-CT'!$J$8=TH!F4840),"x","")</f>
        <v/>
      </c>
      <c r="AC4840" s="79" t="str">
        <f>IF(AND(OR(LEFT(TH!N4840,2)="15",LEFT(TH!O4840,2)="15"),TK!$E$7=TH!F4840),"x","")</f>
        <v/>
      </c>
      <c r="AD4840" s="79" t="str">
        <f>IF(AND(N4840="1521",MONTH(C4840)='BK-NL'!$M$11),"x","")</f>
        <v/>
      </c>
    </row>
    <row r="4841" spans="1:30" ht="16.5" customHeight="1">
      <c r="A4841" s="318" t="str">
        <f>IF(B4841&lt;&gt;"",IF(AND(B4841='[3]IN-TC'!$S$4,OR([3]TH!N4072="1111",[3]TH!O4072="1111")),[3]TH!D4072,""),"")</f>
        <v/>
      </c>
      <c r="B4841" s="60" t="str">
        <f t="shared" si="479"/>
        <v/>
      </c>
      <c r="C4841" s="61"/>
      <c r="D4841" s="61"/>
      <c r="E4841" s="61"/>
      <c r="F4841" s="64"/>
      <c r="G4841" s="64"/>
      <c r="H4841" s="69"/>
      <c r="I4841" s="385"/>
      <c r="J4841" s="395"/>
      <c r="K4841" s="385"/>
      <c r="L4841" s="392"/>
      <c r="M4841" s="62"/>
      <c r="N4841" s="63"/>
      <c r="O4841" s="63"/>
      <c r="P4841" s="79" t="str">
        <f>IF(AND('331-CT'!$E$7=TH!H4841,OR(N4841="331",O4841="331")),"x","")</f>
        <v/>
      </c>
      <c r="Q4841" s="79" t="str">
        <f>IF(AND(B4841='111'!$L$11,OR($N4841=$Q$7,$O4841=$Q$7)),"x","")</f>
        <v/>
      </c>
      <c r="R4841" s="79" t="str">
        <f>IF(AND($N4841=$Q$7,$B4841&lt;'111'!$L$11),"x","")</f>
        <v/>
      </c>
      <c r="S4841" s="79" t="str">
        <f>IF(AND($O4841=$Q$7,$B4841&lt;'111'!$L$11),"x","")</f>
        <v/>
      </c>
      <c r="T4841" s="79" t="str">
        <f>IF(ISERROR(FIND('112'!$M$9,G4841,1)),"",IF((AND(FIND('112'!$M$9,G4841,1)&gt;=1,B4841='112'!$K$9,OR($N4841='112'!$I$6,$O4841='112'!$I$6))),"x",""))</f>
        <v/>
      </c>
      <c r="U4841" s="79" t="str">
        <f>IF(ISERROR(FIND('112'!$M$9,G4841,1)),"",IF((AND(LEFT(G4841,2)=LEFT('112'!$M$9,2),B4841&lt;'112'!$K$9,$N4841='112'!$I$6)),"x",""))</f>
        <v/>
      </c>
      <c r="V4841" s="79" t="str">
        <f>IF(ISERROR(FIND('112'!$M$9,G4841,1)),"",IF((AND(RIGHT(G4841,2)=RIGHT('112'!$M$9,2),B4841&lt;'112'!$K$9,$O4841='112'!$I$6)),"x",""))</f>
        <v/>
      </c>
      <c r="W4841" s="79" t="str">
        <f>IF(AND('341-CT'!$H$9=H4841,OR(LEFT(N4841,3)=$W$7,LEFT(O4841,3)=$W$7)),"x","")</f>
        <v/>
      </c>
      <c r="X4841" s="79" t="str">
        <f>IF(OR(TH!N4841=TH!$X$7,O4841=TH!$X$7),"x","")</f>
        <v/>
      </c>
      <c r="Y4841" s="79" t="str">
        <f>IF(AND(OR(N4841="131",O4841="131"),H4841='131-CT'!$H$9),"x","")</f>
        <v/>
      </c>
      <c r="Z4841" s="79"/>
      <c r="AA4841" s="79" t="str">
        <f>IF(AND(MONTH(E4841)='IN-NX'!$J$5,'IN-NX'!$D$7=D4841),"x","")</f>
        <v/>
      </c>
      <c r="AB4841" s="79" t="str">
        <f>IF(AND(OR(LEFT(TH!N4841,2)="15",LEFT(TH!O4841,2)="15"),LEFT(TH!O4841,3)&lt;&gt;"111",'152-CT'!$J$8=TH!F4841),"x","")</f>
        <v/>
      </c>
      <c r="AC4841" s="79" t="str">
        <f>IF(AND(OR(LEFT(TH!N4841,2)="15",LEFT(TH!O4841,2)="15"),TK!$E$7=TH!F4841),"x","")</f>
        <v/>
      </c>
      <c r="AD4841" s="79" t="str">
        <f>IF(AND(N4841="1521",MONTH(C4841)='BK-NL'!$M$11),"x","")</f>
        <v/>
      </c>
    </row>
    <row r="4842" spans="1:30" ht="16.5" customHeight="1">
      <c r="A4842" s="318" t="str">
        <f>IF(B4842&lt;&gt;"",IF(AND(B4842='[3]IN-TC'!$S$4,OR([3]TH!N4073="1111",[3]TH!O4073="1111")),[3]TH!D4073,""),"")</f>
        <v/>
      </c>
      <c r="B4842" s="60" t="str">
        <f t="shared" si="479"/>
        <v/>
      </c>
      <c r="C4842" s="61"/>
      <c r="D4842" s="61"/>
      <c r="E4842" s="61"/>
      <c r="F4842" s="64"/>
      <c r="G4842" s="64"/>
      <c r="H4842" s="69"/>
      <c r="I4842" s="385"/>
      <c r="J4842" s="395"/>
      <c r="K4842" s="385"/>
      <c r="L4842" s="392"/>
      <c r="M4842" s="62"/>
      <c r="N4842" s="63"/>
      <c r="O4842" s="63"/>
      <c r="P4842" s="79" t="str">
        <f>IF(AND('331-CT'!$E$7=TH!H4842,OR(N4842="331",O4842="331")),"x","")</f>
        <v/>
      </c>
      <c r="Q4842" s="79" t="str">
        <f>IF(AND(B4842='111'!$L$11,OR($N4842=$Q$7,$O4842=$Q$7)),"x","")</f>
        <v/>
      </c>
      <c r="R4842" s="79" t="str">
        <f>IF(AND($N4842=$Q$7,$B4842&lt;'111'!$L$11),"x","")</f>
        <v/>
      </c>
      <c r="S4842" s="79" t="str">
        <f>IF(AND($O4842=$Q$7,$B4842&lt;'111'!$L$11),"x","")</f>
        <v/>
      </c>
      <c r="T4842" s="79" t="str">
        <f>IF(ISERROR(FIND('112'!$M$9,G4842,1)),"",IF((AND(FIND('112'!$M$9,G4842,1)&gt;=1,B4842='112'!$K$9,OR($N4842='112'!$I$6,$O4842='112'!$I$6))),"x",""))</f>
        <v/>
      </c>
      <c r="U4842" s="79" t="str">
        <f>IF(ISERROR(FIND('112'!$M$9,G4842,1)),"",IF((AND(LEFT(G4842,2)=LEFT('112'!$M$9,2),B4842&lt;'112'!$K$9,$N4842='112'!$I$6)),"x",""))</f>
        <v/>
      </c>
      <c r="V4842" s="79" t="str">
        <f>IF(ISERROR(FIND('112'!$M$9,G4842,1)),"",IF((AND(RIGHT(G4842,2)=RIGHT('112'!$M$9,2),B4842&lt;'112'!$K$9,$O4842='112'!$I$6)),"x",""))</f>
        <v/>
      </c>
      <c r="W4842" s="79" t="str">
        <f>IF(AND('341-CT'!$H$9=H4842,OR(LEFT(N4842,3)=$W$7,LEFT(O4842,3)=$W$7)),"x","")</f>
        <v/>
      </c>
      <c r="X4842" s="79" t="str">
        <f>IF(OR(TH!N4842=TH!$X$7,O4842=TH!$X$7),"x","")</f>
        <v/>
      </c>
      <c r="Y4842" s="79" t="str">
        <f>IF(AND(OR(N4842="131",O4842="131"),H4842='131-CT'!$H$9),"x","")</f>
        <v/>
      </c>
      <c r="Z4842" s="79"/>
      <c r="AA4842" s="79" t="str">
        <f>IF(AND(MONTH(E4842)='IN-NX'!$J$5,'IN-NX'!$D$7=D4842),"x","")</f>
        <v/>
      </c>
      <c r="AB4842" s="79" t="str">
        <f>IF(AND(OR(LEFT(TH!N4842,2)="15",LEFT(TH!O4842,2)="15"),LEFT(TH!O4842,3)&lt;&gt;"111",'152-CT'!$J$8=TH!F4842),"x","")</f>
        <v/>
      </c>
      <c r="AC4842" s="79" t="str">
        <f>IF(AND(OR(LEFT(TH!N4842,2)="15",LEFT(TH!O4842,2)="15"),TK!$E$7=TH!F4842),"x","")</f>
        <v/>
      </c>
      <c r="AD4842" s="79" t="str">
        <f>IF(AND(N4842="1521",MONTH(C4842)='BK-NL'!$M$11),"x","")</f>
        <v/>
      </c>
    </row>
    <row r="4843" spans="1:30" ht="16.5" customHeight="1">
      <c r="A4843" s="318" t="str">
        <f>IF(B4843&lt;&gt;"",IF(AND(B4843='[3]IN-TC'!$S$4,OR([3]TH!N4074="1111",[3]TH!O4074="1111")),[3]TH!D4074,""),"")</f>
        <v/>
      </c>
      <c r="B4843" s="60" t="str">
        <f t="shared" si="479"/>
        <v/>
      </c>
      <c r="C4843" s="61"/>
      <c r="D4843" s="61"/>
      <c r="E4843" s="61"/>
      <c r="F4843" s="64"/>
      <c r="G4843" s="64"/>
      <c r="H4843" s="69"/>
      <c r="I4843" s="385"/>
      <c r="J4843" s="395"/>
      <c r="K4843" s="385"/>
      <c r="L4843" s="392"/>
      <c r="M4843" s="62"/>
      <c r="N4843" s="63"/>
      <c r="O4843" s="63"/>
      <c r="P4843" s="79" t="str">
        <f>IF(AND('331-CT'!$E$7=TH!H4843,OR(N4843="331",O4843="331")),"x","")</f>
        <v/>
      </c>
      <c r="Q4843" s="79" t="str">
        <f>IF(AND(B4843='111'!$L$11,OR($N4843=$Q$7,$O4843=$Q$7)),"x","")</f>
        <v/>
      </c>
      <c r="R4843" s="79" t="str">
        <f>IF(AND($N4843=$Q$7,$B4843&lt;'111'!$L$11),"x","")</f>
        <v/>
      </c>
      <c r="S4843" s="79" t="str">
        <f>IF(AND($O4843=$Q$7,$B4843&lt;'111'!$L$11),"x","")</f>
        <v/>
      </c>
      <c r="T4843" s="79" t="str">
        <f>IF(ISERROR(FIND('112'!$M$9,G4843,1)),"",IF((AND(FIND('112'!$M$9,G4843,1)&gt;=1,B4843='112'!$K$9,OR($N4843='112'!$I$6,$O4843='112'!$I$6))),"x",""))</f>
        <v/>
      </c>
      <c r="U4843" s="79" t="str">
        <f>IF(ISERROR(FIND('112'!$M$9,G4843,1)),"",IF((AND(LEFT(G4843,2)=LEFT('112'!$M$9,2),B4843&lt;'112'!$K$9,$N4843='112'!$I$6)),"x",""))</f>
        <v/>
      </c>
      <c r="V4843" s="79" t="str">
        <f>IF(ISERROR(FIND('112'!$M$9,G4843,1)),"",IF((AND(RIGHT(G4843,2)=RIGHT('112'!$M$9,2),B4843&lt;'112'!$K$9,$O4843='112'!$I$6)),"x",""))</f>
        <v/>
      </c>
      <c r="W4843" s="79" t="str">
        <f>IF(AND('341-CT'!$H$9=H4843,OR(LEFT(N4843,3)=$W$7,LEFT(O4843,3)=$W$7)),"x","")</f>
        <v/>
      </c>
      <c r="X4843" s="79" t="str">
        <f>IF(OR(TH!N4843=TH!$X$7,O4843=TH!$X$7),"x","")</f>
        <v/>
      </c>
      <c r="Y4843" s="79" t="str">
        <f>IF(AND(OR(N4843="131",O4843="131"),H4843='131-CT'!$H$9),"x","")</f>
        <v/>
      </c>
      <c r="Z4843" s="79"/>
      <c r="AA4843" s="79" t="str">
        <f>IF(AND(MONTH(E4843)='IN-NX'!$J$5,'IN-NX'!$D$7=D4843),"x","")</f>
        <v/>
      </c>
      <c r="AB4843" s="79" t="str">
        <f>IF(AND(OR(LEFT(TH!N4843,2)="15",LEFT(TH!O4843,2)="15"),LEFT(TH!O4843,3)&lt;&gt;"111",'152-CT'!$J$8=TH!F4843),"x","")</f>
        <v/>
      </c>
      <c r="AC4843" s="79" t="str">
        <f>IF(AND(OR(LEFT(TH!N4843,2)="15",LEFT(TH!O4843,2)="15"),TK!$E$7=TH!F4843),"x","")</f>
        <v/>
      </c>
      <c r="AD4843" s="79" t="str">
        <f>IF(AND(N4843="1521",MONTH(C4843)='BK-NL'!$M$11),"x","")</f>
        <v/>
      </c>
    </row>
    <row r="4844" spans="1:30" ht="16.5" customHeight="1">
      <c r="A4844" s="318" t="str">
        <f>IF(B4844&lt;&gt;"",IF(AND(B4844='[3]IN-TC'!$S$4,OR([3]TH!N4075="1111",[3]TH!O4075="1111")),[3]TH!D4075,""),"")</f>
        <v/>
      </c>
      <c r="B4844" s="60" t="str">
        <f t="shared" si="479"/>
        <v/>
      </c>
      <c r="C4844" s="61"/>
      <c r="D4844" s="61"/>
      <c r="E4844" s="61"/>
      <c r="F4844" s="64"/>
      <c r="G4844" s="64"/>
      <c r="H4844" s="69"/>
      <c r="I4844" s="385"/>
      <c r="J4844" s="395"/>
      <c r="K4844" s="385"/>
      <c r="L4844" s="392"/>
      <c r="M4844" s="62"/>
      <c r="N4844" s="63"/>
      <c r="O4844" s="63"/>
      <c r="P4844" s="79" t="str">
        <f>IF(AND('331-CT'!$E$7=TH!H4844,OR(N4844="331",O4844="331")),"x","")</f>
        <v/>
      </c>
      <c r="Q4844" s="79" t="str">
        <f>IF(AND(B4844='111'!$L$11,OR($N4844=$Q$7,$O4844=$Q$7)),"x","")</f>
        <v/>
      </c>
      <c r="R4844" s="79" t="str">
        <f>IF(AND($N4844=$Q$7,$B4844&lt;'111'!$L$11),"x","")</f>
        <v/>
      </c>
      <c r="S4844" s="79" t="str">
        <f>IF(AND($O4844=$Q$7,$B4844&lt;'111'!$L$11),"x","")</f>
        <v/>
      </c>
      <c r="T4844" s="79" t="str">
        <f>IF(ISERROR(FIND('112'!$M$9,G4844,1)),"",IF((AND(FIND('112'!$M$9,G4844,1)&gt;=1,B4844='112'!$K$9,OR($N4844='112'!$I$6,$O4844='112'!$I$6))),"x",""))</f>
        <v/>
      </c>
      <c r="U4844" s="79" t="str">
        <f>IF(ISERROR(FIND('112'!$M$9,G4844,1)),"",IF((AND(LEFT(G4844,2)=LEFT('112'!$M$9,2),B4844&lt;'112'!$K$9,$N4844='112'!$I$6)),"x",""))</f>
        <v/>
      </c>
      <c r="V4844" s="79" t="str">
        <f>IF(ISERROR(FIND('112'!$M$9,G4844,1)),"",IF((AND(RIGHT(G4844,2)=RIGHT('112'!$M$9,2),B4844&lt;'112'!$K$9,$O4844='112'!$I$6)),"x",""))</f>
        <v/>
      </c>
      <c r="W4844" s="79" t="str">
        <f>IF(AND('341-CT'!$H$9=H4844,OR(LEFT(N4844,3)=$W$7,LEFT(O4844,3)=$W$7)),"x","")</f>
        <v/>
      </c>
      <c r="X4844" s="79" t="str">
        <f>IF(OR(TH!N4844=TH!$X$7,O4844=TH!$X$7),"x","")</f>
        <v/>
      </c>
      <c r="Y4844" s="79" t="str">
        <f>IF(AND(OR(N4844="131",O4844="131"),H4844='131-CT'!$H$9),"x","")</f>
        <v/>
      </c>
      <c r="Z4844" s="79"/>
      <c r="AA4844" s="79" t="str">
        <f>IF(AND(MONTH(E4844)='IN-NX'!$J$5,'IN-NX'!$D$7=D4844),"x","")</f>
        <v/>
      </c>
      <c r="AB4844" s="79" t="str">
        <f>IF(AND(OR(LEFT(TH!N4844,2)="15",LEFT(TH!O4844,2)="15"),LEFT(TH!O4844,3)&lt;&gt;"111",'152-CT'!$J$8=TH!F4844),"x","")</f>
        <v/>
      </c>
      <c r="AC4844" s="79" t="str">
        <f>IF(AND(OR(LEFT(TH!N4844,2)="15",LEFT(TH!O4844,2)="15"),TK!$E$7=TH!F4844),"x","")</f>
        <v/>
      </c>
      <c r="AD4844" s="79" t="str">
        <f>IF(AND(N4844="1521",MONTH(C4844)='BK-NL'!$M$11),"x","")</f>
        <v/>
      </c>
    </row>
    <row r="4845" spans="1:30" ht="16.5" customHeight="1">
      <c r="A4845" s="318" t="str">
        <f>IF(B4845&lt;&gt;"",IF(AND(B4845='[3]IN-TC'!$S$4,OR([3]TH!N4076="1111",[3]TH!O4076="1111")),[3]TH!D4076,""),"")</f>
        <v/>
      </c>
      <c r="B4845" s="60" t="str">
        <f t="shared" si="479"/>
        <v/>
      </c>
      <c r="C4845" s="61"/>
      <c r="D4845" s="61"/>
      <c r="E4845" s="61"/>
      <c r="F4845" s="64"/>
      <c r="G4845" s="64"/>
      <c r="H4845" s="69"/>
      <c r="I4845" s="385"/>
      <c r="J4845" s="395"/>
      <c r="K4845" s="385"/>
      <c r="L4845" s="392"/>
      <c r="M4845" s="62"/>
      <c r="N4845" s="63"/>
      <c r="O4845" s="63"/>
      <c r="P4845" s="79" t="str">
        <f>IF(AND('331-CT'!$E$7=TH!H4845,OR(N4845="331",O4845="331")),"x","")</f>
        <v/>
      </c>
      <c r="Q4845" s="79" t="str">
        <f>IF(AND(B4845='111'!$L$11,OR($N4845=$Q$7,$O4845=$Q$7)),"x","")</f>
        <v/>
      </c>
      <c r="R4845" s="79" t="str">
        <f>IF(AND($N4845=$Q$7,$B4845&lt;'111'!$L$11),"x","")</f>
        <v/>
      </c>
      <c r="S4845" s="79" t="str">
        <f>IF(AND($O4845=$Q$7,$B4845&lt;'111'!$L$11),"x","")</f>
        <v/>
      </c>
      <c r="T4845" s="79" t="str">
        <f>IF(ISERROR(FIND('112'!$M$9,G4845,1)),"",IF((AND(FIND('112'!$M$9,G4845,1)&gt;=1,B4845='112'!$K$9,OR($N4845='112'!$I$6,$O4845='112'!$I$6))),"x",""))</f>
        <v/>
      </c>
      <c r="U4845" s="79" t="str">
        <f>IF(ISERROR(FIND('112'!$M$9,G4845,1)),"",IF((AND(LEFT(G4845,2)=LEFT('112'!$M$9,2),B4845&lt;'112'!$K$9,$N4845='112'!$I$6)),"x",""))</f>
        <v/>
      </c>
      <c r="V4845" s="79" t="str">
        <f>IF(ISERROR(FIND('112'!$M$9,G4845,1)),"",IF((AND(RIGHT(G4845,2)=RIGHT('112'!$M$9,2),B4845&lt;'112'!$K$9,$O4845='112'!$I$6)),"x",""))</f>
        <v/>
      </c>
      <c r="W4845" s="79" t="str">
        <f>IF(AND('341-CT'!$H$9=H4845,OR(LEFT(N4845,3)=$W$7,LEFT(O4845,3)=$W$7)),"x","")</f>
        <v/>
      </c>
      <c r="X4845" s="79" t="str">
        <f>IF(OR(TH!N4845=TH!$X$7,O4845=TH!$X$7),"x","")</f>
        <v/>
      </c>
      <c r="Y4845" s="79" t="str">
        <f>IF(AND(OR(N4845="131",O4845="131"),H4845='131-CT'!$H$9),"x","")</f>
        <v/>
      </c>
      <c r="Z4845" s="79"/>
      <c r="AA4845" s="79" t="str">
        <f>IF(AND(MONTH(E4845)='IN-NX'!$J$5,'IN-NX'!$D$7=D4845),"x","")</f>
        <v/>
      </c>
      <c r="AB4845" s="79" t="str">
        <f>IF(AND(OR(LEFT(TH!N4845,2)="15",LEFT(TH!O4845,2)="15"),LEFT(TH!O4845,3)&lt;&gt;"111",'152-CT'!$J$8=TH!F4845),"x","")</f>
        <v/>
      </c>
      <c r="AC4845" s="79" t="str">
        <f>IF(AND(OR(LEFT(TH!N4845,2)="15",LEFT(TH!O4845,2)="15"),TK!$E$7=TH!F4845),"x","")</f>
        <v/>
      </c>
      <c r="AD4845" s="79" t="str">
        <f>IF(AND(N4845="1521",MONTH(C4845)='BK-NL'!$M$11),"x","")</f>
        <v/>
      </c>
    </row>
    <row r="4846" spans="1:30" ht="16.5" customHeight="1">
      <c r="A4846" s="318" t="str">
        <f>IF(B4846&lt;&gt;"",IF(AND(B4846='[3]IN-TC'!$S$4,OR([3]TH!N4077="1111",[3]TH!O4077="1111")),[3]TH!D4077,""),"")</f>
        <v/>
      </c>
      <c r="B4846" s="60" t="str">
        <f t="shared" si="479"/>
        <v/>
      </c>
      <c r="C4846" s="61"/>
      <c r="D4846" s="61"/>
      <c r="E4846" s="61"/>
      <c r="F4846" s="64"/>
      <c r="G4846" s="64"/>
      <c r="H4846" s="69"/>
      <c r="I4846" s="385"/>
      <c r="J4846" s="395"/>
      <c r="K4846" s="385"/>
      <c r="L4846" s="392"/>
      <c r="M4846" s="62"/>
      <c r="N4846" s="63"/>
      <c r="O4846" s="63"/>
      <c r="P4846" s="79" t="str">
        <f>IF(AND('331-CT'!$E$7=TH!H4846,OR(N4846="331",O4846="331")),"x","")</f>
        <v/>
      </c>
      <c r="Q4846" s="79" t="str">
        <f>IF(AND(B4846='111'!$L$11,OR($N4846=$Q$7,$O4846=$Q$7)),"x","")</f>
        <v/>
      </c>
      <c r="R4846" s="79" t="str">
        <f>IF(AND($N4846=$Q$7,$B4846&lt;'111'!$L$11),"x","")</f>
        <v/>
      </c>
      <c r="S4846" s="79" t="str">
        <f>IF(AND($O4846=$Q$7,$B4846&lt;'111'!$L$11),"x","")</f>
        <v/>
      </c>
      <c r="T4846" s="79" t="str">
        <f>IF(ISERROR(FIND('112'!$M$9,G4846,1)),"",IF((AND(FIND('112'!$M$9,G4846,1)&gt;=1,B4846='112'!$K$9,OR($N4846='112'!$I$6,$O4846='112'!$I$6))),"x",""))</f>
        <v/>
      </c>
      <c r="U4846" s="79" t="str">
        <f>IF(ISERROR(FIND('112'!$M$9,G4846,1)),"",IF((AND(LEFT(G4846,2)=LEFT('112'!$M$9,2),B4846&lt;'112'!$K$9,$N4846='112'!$I$6)),"x",""))</f>
        <v/>
      </c>
      <c r="V4846" s="79" t="str">
        <f>IF(ISERROR(FIND('112'!$M$9,G4846,1)),"",IF((AND(RIGHT(G4846,2)=RIGHT('112'!$M$9,2),B4846&lt;'112'!$K$9,$O4846='112'!$I$6)),"x",""))</f>
        <v/>
      </c>
      <c r="W4846" s="79" t="str">
        <f>IF(AND('341-CT'!$H$9=H4846,OR(LEFT(N4846,3)=$W$7,LEFT(O4846,3)=$W$7)),"x","")</f>
        <v/>
      </c>
      <c r="X4846" s="79" t="str">
        <f>IF(OR(TH!N4846=TH!$X$7,O4846=TH!$X$7),"x","")</f>
        <v/>
      </c>
      <c r="Y4846" s="79" t="str">
        <f>IF(AND(OR(N4846="131",O4846="131"),H4846='131-CT'!$H$9),"x","")</f>
        <v/>
      </c>
      <c r="Z4846" s="79"/>
      <c r="AA4846" s="79" t="str">
        <f>IF(AND(MONTH(E4846)='IN-NX'!$J$5,'IN-NX'!$D$7=D4846),"x","")</f>
        <v/>
      </c>
      <c r="AB4846" s="79" t="str">
        <f>IF(AND(OR(LEFT(TH!N4846,2)="15",LEFT(TH!O4846,2)="15"),LEFT(TH!O4846,3)&lt;&gt;"111",'152-CT'!$J$8=TH!F4846),"x","")</f>
        <v/>
      </c>
      <c r="AC4846" s="79" t="str">
        <f>IF(AND(OR(LEFT(TH!N4846,2)="15",LEFT(TH!O4846,2)="15"),TK!$E$7=TH!F4846),"x","")</f>
        <v/>
      </c>
      <c r="AD4846" s="79" t="str">
        <f>IF(AND(N4846="1521",MONTH(C4846)='BK-NL'!$M$11),"x","")</f>
        <v/>
      </c>
    </row>
    <row r="4847" spans="1:30" ht="16.5" customHeight="1">
      <c r="A4847" s="318" t="str">
        <f>IF(B4847&lt;&gt;"",IF(AND(B4847='[3]IN-TC'!$S$4,OR([3]TH!N4078="1111",[3]TH!O4078="1111")),[3]TH!D4078,""),"")</f>
        <v/>
      </c>
      <c r="B4847" s="60" t="str">
        <f t="shared" si="479"/>
        <v/>
      </c>
      <c r="C4847" s="61"/>
      <c r="D4847" s="61"/>
      <c r="E4847" s="61"/>
      <c r="F4847" s="64"/>
      <c r="G4847" s="64"/>
      <c r="H4847" s="69"/>
      <c r="I4847" s="385"/>
      <c r="J4847" s="395"/>
      <c r="K4847" s="385"/>
      <c r="L4847" s="392"/>
      <c r="M4847" s="62"/>
      <c r="N4847" s="63"/>
      <c r="O4847" s="63"/>
      <c r="P4847" s="79" t="str">
        <f>IF(AND('331-CT'!$E$7=TH!H4847,OR(N4847="331",O4847="331")),"x","")</f>
        <v/>
      </c>
      <c r="Q4847" s="79" t="str">
        <f>IF(AND(B4847='111'!$L$11,OR($N4847=$Q$7,$O4847=$Q$7)),"x","")</f>
        <v/>
      </c>
      <c r="R4847" s="79" t="str">
        <f>IF(AND($N4847=$Q$7,$B4847&lt;'111'!$L$11),"x","")</f>
        <v/>
      </c>
      <c r="S4847" s="79" t="str">
        <f>IF(AND($O4847=$Q$7,$B4847&lt;'111'!$L$11),"x","")</f>
        <v/>
      </c>
      <c r="T4847" s="79" t="str">
        <f>IF(ISERROR(FIND('112'!$M$9,G4847,1)),"",IF((AND(FIND('112'!$M$9,G4847,1)&gt;=1,B4847='112'!$K$9,OR($N4847='112'!$I$6,$O4847='112'!$I$6))),"x",""))</f>
        <v/>
      </c>
      <c r="U4847" s="79" t="str">
        <f>IF(ISERROR(FIND('112'!$M$9,G4847,1)),"",IF((AND(LEFT(G4847,2)=LEFT('112'!$M$9,2),B4847&lt;'112'!$K$9,$N4847='112'!$I$6)),"x",""))</f>
        <v/>
      </c>
      <c r="V4847" s="79" t="str">
        <f>IF(ISERROR(FIND('112'!$M$9,G4847,1)),"",IF((AND(RIGHT(G4847,2)=RIGHT('112'!$M$9,2),B4847&lt;'112'!$K$9,$O4847='112'!$I$6)),"x",""))</f>
        <v/>
      </c>
      <c r="W4847" s="79" t="str">
        <f>IF(AND('341-CT'!$H$9=H4847,OR(LEFT(N4847,3)=$W$7,LEFT(O4847,3)=$W$7)),"x","")</f>
        <v/>
      </c>
      <c r="X4847" s="79" t="str">
        <f>IF(OR(TH!N4847=TH!$X$7,O4847=TH!$X$7),"x","")</f>
        <v/>
      </c>
      <c r="Y4847" s="79" t="str">
        <f>IF(AND(OR(N4847="131",O4847="131"),H4847='131-CT'!$H$9),"x","")</f>
        <v/>
      </c>
      <c r="Z4847" s="79"/>
      <c r="AA4847" s="79" t="str">
        <f>IF(AND(MONTH(E4847)='IN-NX'!$J$5,'IN-NX'!$D$7=D4847),"x","")</f>
        <v/>
      </c>
      <c r="AB4847" s="79" t="str">
        <f>IF(AND(OR(LEFT(TH!N4847,2)="15",LEFT(TH!O4847,2)="15"),LEFT(TH!O4847,3)&lt;&gt;"111",'152-CT'!$J$8=TH!F4847),"x","")</f>
        <v/>
      </c>
      <c r="AC4847" s="79" t="str">
        <f>IF(AND(OR(LEFT(TH!N4847,2)="15",LEFT(TH!O4847,2)="15"),TK!$E$7=TH!F4847),"x","")</f>
        <v/>
      </c>
      <c r="AD4847" s="79" t="str">
        <f>IF(AND(N4847="1521",MONTH(C4847)='BK-NL'!$M$11),"x","")</f>
        <v/>
      </c>
    </row>
    <row r="4848" spans="1:30" ht="16.5" customHeight="1">
      <c r="A4848" s="318" t="str">
        <f>IF(B4848&lt;&gt;"",IF(AND(B4848='[3]IN-TC'!$S$4,OR([3]TH!N4079="1111",[3]TH!O4079="1111")),[3]TH!D4079,""),"")</f>
        <v/>
      </c>
      <c r="B4848" s="60" t="str">
        <f t="shared" si="479"/>
        <v/>
      </c>
      <c r="C4848" s="61"/>
      <c r="D4848" s="61"/>
      <c r="E4848" s="61"/>
      <c r="F4848" s="64"/>
      <c r="G4848" s="64"/>
      <c r="H4848" s="69"/>
      <c r="I4848" s="385"/>
      <c r="J4848" s="395"/>
      <c r="K4848" s="385"/>
      <c r="L4848" s="392"/>
      <c r="M4848" s="62"/>
      <c r="N4848" s="63"/>
      <c r="O4848" s="63"/>
      <c r="P4848" s="79" t="str">
        <f>IF(AND('331-CT'!$E$7=TH!H4848,OR(N4848="331",O4848="331")),"x","")</f>
        <v/>
      </c>
      <c r="Q4848" s="79" t="str">
        <f>IF(AND(B4848='111'!$L$11,OR($N4848=$Q$7,$O4848=$Q$7)),"x","")</f>
        <v/>
      </c>
      <c r="R4848" s="79" t="str">
        <f>IF(AND($N4848=$Q$7,$B4848&lt;'111'!$L$11),"x","")</f>
        <v/>
      </c>
      <c r="S4848" s="79" t="str">
        <f>IF(AND($O4848=$Q$7,$B4848&lt;'111'!$L$11),"x","")</f>
        <v/>
      </c>
      <c r="T4848" s="79" t="str">
        <f>IF(ISERROR(FIND('112'!$M$9,G4848,1)),"",IF((AND(FIND('112'!$M$9,G4848,1)&gt;=1,B4848='112'!$K$9,OR($N4848='112'!$I$6,$O4848='112'!$I$6))),"x",""))</f>
        <v/>
      </c>
      <c r="U4848" s="79" t="str">
        <f>IF(ISERROR(FIND('112'!$M$9,G4848,1)),"",IF((AND(LEFT(G4848,2)=LEFT('112'!$M$9,2),B4848&lt;'112'!$K$9,$N4848='112'!$I$6)),"x",""))</f>
        <v/>
      </c>
      <c r="V4848" s="79" t="str">
        <f>IF(ISERROR(FIND('112'!$M$9,G4848,1)),"",IF((AND(RIGHT(G4848,2)=RIGHT('112'!$M$9,2),B4848&lt;'112'!$K$9,$O4848='112'!$I$6)),"x",""))</f>
        <v/>
      </c>
      <c r="W4848" s="79" t="str">
        <f>IF(AND('341-CT'!$H$9=H4848,OR(LEFT(N4848,3)=$W$7,LEFT(O4848,3)=$W$7)),"x","")</f>
        <v/>
      </c>
      <c r="X4848" s="79" t="str">
        <f>IF(OR(TH!N4848=TH!$X$7,O4848=TH!$X$7),"x","")</f>
        <v/>
      </c>
      <c r="Y4848" s="79" t="str">
        <f>IF(AND(OR(N4848="131",O4848="131"),H4848='131-CT'!$H$9),"x","")</f>
        <v/>
      </c>
      <c r="Z4848" s="79"/>
      <c r="AA4848" s="79" t="str">
        <f>IF(AND(MONTH(E4848)='IN-NX'!$J$5,'IN-NX'!$D$7=D4848),"x","")</f>
        <v/>
      </c>
      <c r="AB4848" s="79" t="str">
        <f>IF(AND(OR(LEFT(TH!N4848,2)="15",LEFT(TH!O4848,2)="15"),LEFT(TH!O4848,3)&lt;&gt;"111",'152-CT'!$J$8=TH!F4848),"x","")</f>
        <v/>
      </c>
      <c r="AC4848" s="79" t="str">
        <f>IF(AND(OR(LEFT(TH!N4848,2)="15",LEFT(TH!O4848,2)="15"),TK!$E$7=TH!F4848),"x","")</f>
        <v/>
      </c>
      <c r="AD4848" s="79" t="str">
        <f>IF(AND(N4848="1521",MONTH(C4848)='BK-NL'!$M$11),"x","")</f>
        <v/>
      </c>
    </row>
    <row r="4849" spans="1:30" ht="16.5" customHeight="1">
      <c r="A4849" s="318" t="str">
        <f>IF(B4849&lt;&gt;"",IF(AND(B4849='[3]IN-TC'!$S$4,OR([3]TH!N4080="1111",[3]TH!O4080="1111")),[3]TH!D4080,""),"")</f>
        <v/>
      </c>
      <c r="B4849" s="60" t="str">
        <f t="shared" si="479"/>
        <v/>
      </c>
      <c r="C4849" s="61"/>
      <c r="D4849" s="61"/>
      <c r="E4849" s="61"/>
      <c r="F4849" s="64"/>
      <c r="G4849" s="64"/>
      <c r="H4849" s="69"/>
      <c r="I4849" s="385"/>
      <c r="J4849" s="395"/>
      <c r="K4849" s="385"/>
      <c r="L4849" s="392"/>
      <c r="M4849" s="62"/>
      <c r="N4849" s="63"/>
      <c r="O4849" s="63"/>
      <c r="P4849" s="79" t="str">
        <f>IF(AND('331-CT'!$E$7=TH!H4849,OR(N4849="331",O4849="331")),"x","")</f>
        <v/>
      </c>
      <c r="Q4849" s="79" t="str">
        <f>IF(AND(B4849='111'!$L$11,OR($N4849=$Q$7,$O4849=$Q$7)),"x","")</f>
        <v/>
      </c>
      <c r="R4849" s="79" t="str">
        <f>IF(AND($N4849=$Q$7,$B4849&lt;'111'!$L$11),"x","")</f>
        <v/>
      </c>
      <c r="S4849" s="79" t="str">
        <f>IF(AND($O4849=$Q$7,$B4849&lt;'111'!$L$11),"x","")</f>
        <v/>
      </c>
      <c r="T4849" s="79" t="str">
        <f>IF(ISERROR(FIND('112'!$M$9,G4849,1)),"",IF((AND(FIND('112'!$M$9,G4849,1)&gt;=1,B4849='112'!$K$9,OR($N4849='112'!$I$6,$O4849='112'!$I$6))),"x",""))</f>
        <v/>
      </c>
      <c r="U4849" s="79" t="str">
        <f>IF(ISERROR(FIND('112'!$M$9,G4849,1)),"",IF((AND(LEFT(G4849,2)=LEFT('112'!$M$9,2),B4849&lt;'112'!$K$9,$N4849='112'!$I$6)),"x",""))</f>
        <v/>
      </c>
      <c r="V4849" s="79" t="str">
        <f>IF(ISERROR(FIND('112'!$M$9,G4849,1)),"",IF((AND(RIGHT(G4849,2)=RIGHT('112'!$M$9,2),B4849&lt;'112'!$K$9,$O4849='112'!$I$6)),"x",""))</f>
        <v/>
      </c>
      <c r="W4849" s="79" t="str">
        <f>IF(AND('341-CT'!$H$9=H4849,OR(LEFT(N4849,3)=$W$7,LEFT(O4849,3)=$W$7)),"x","")</f>
        <v/>
      </c>
      <c r="X4849" s="79" t="str">
        <f>IF(OR(TH!N4849=TH!$X$7,O4849=TH!$X$7),"x","")</f>
        <v/>
      </c>
      <c r="Y4849" s="79" t="str">
        <f>IF(AND(OR(N4849="131",O4849="131"),H4849='131-CT'!$H$9),"x","")</f>
        <v/>
      </c>
      <c r="Z4849" s="79"/>
      <c r="AA4849" s="79" t="str">
        <f>IF(AND(MONTH(E4849)='IN-NX'!$J$5,'IN-NX'!$D$7=D4849),"x","")</f>
        <v/>
      </c>
      <c r="AB4849" s="79" t="str">
        <f>IF(AND(OR(LEFT(TH!N4849,2)="15",LEFT(TH!O4849,2)="15"),LEFT(TH!O4849,3)&lt;&gt;"111",'152-CT'!$J$8=TH!F4849),"x","")</f>
        <v/>
      </c>
      <c r="AC4849" s="79" t="str">
        <f>IF(AND(OR(LEFT(TH!N4849,2)="15",LEFT(TH!O4849,2)="15"),TK!$E$7=TH!F4849),"x","")</f>
        <v/>
      </c>
      <c r="AD4849" s="79" t="str">
        <f>IF(AND(N4849="1521",MONTH(C4849)='BK-NL'!$M$11),"x","")</f>
        <v/>
      </c>
    </row>
    <row r="4850" spans="1:30" ht="16.5" customHeight="1">
      <c r="A4850" s="318" t="str">
        <f>IF(B4850&lt;&gt;"",IF(AND(B4850='[3]IN-TC'!$S$4,OR([3]TH!N4081="1111",[3]TH!O4081="1111")),[3]TH!D4081,""),"")</f>
        <v/>
      </c>
      <c r="B4850" s="60" t="str">
        <f t="shared" si="479"/>
        <v/>
      </c>
      <c r="C4850" s="61"/>
      <c r="D4850" s="61"/>
      <c r="E4850" s="61"/>
      <c r="F4850" s="64"/>
      <c r="G4850" s="64"/>
      <c r="H4850" s="69"/>
      <c r="I4850" s="385"/>
      <c r="J4850" s="395"/>
      <c r="K4850" s="385"/>
      <c r="L4850" s="392"/>
      <c r="M4850" s="62"/>
      <c r="N4850" s="63"/>
      <c r="O4850" s="63"/>
      <c r="P4850" s="79" t="str">
        <f>IF(AND('331-CT'!$E$7=TH!H4850,OR(N4850="331",O4850="331")),"x","")</f>
        <v/>
      </c>
      <c r="Q4850" s="79" t="str">
        <f>IF(AND(B4850='111'!$L$11,OR($N4850=$Q$7,$O4850=$Q$7)),"x","")</f>
        <v/>
      </c>
      <c r="R4850" s="79" t="str">
        <f>IF(AND($N4850=$Q$7,$B4850&lt;'111'!$L$11),"x","")</f>
        <v/>
      </c>
      <c r="S4850" s="79" t="str">
        <f>IF(AND($O4850=$Q$7,$B4850&lt;'111'!$L$11),"x","")</f>
        <v/>
      </c>
      <c r="T4850" s="79" t="str">
        <f>IF(ISERROR(FIND('112'!$M$9,G4850,1)),"",IF((AND(FIND('112'!$M$9,G4850,1)&gt;=1,B4850='112'!$K$9,OR($N4850='112'!$I$6,$O4850='112'!$I$6))),"x",""))</f>
        <v/>
      </c>
      <c r="U4850" s="79" t="str">
        <f>IF(ISERROR(FIND('112'!$M$9,G4850,1)),"",IF((AND(LEFT(G4850,2)=LEFT('112'!$M$9,2),B4850&lt;'112'!$K$9,$N4850='112'!$I$6)),"x",""))</f>
        <v/>
      </c>
      <c r="V4850" s="79" t="str">
        <f>IF(ISERROR(FIND('112'!$M$9,G4850,1)),"",IF((AND(RIGHT(G4850,2)=RIGHT('112'!$M$9,2),B4850&lt;'112'!$K$9,$O4850='112'!$I$6)),"x",""))</f>
        <v/>
      </c>
      <c r="W4850" s="79" t="str">
        <f>IF(AND('341-CT'!$H$9=H4850,OR(LEFT(N4850,3)=$W$7,LEFT(O4850,3)=$W$7)),"x","")</f>
        <v/>
      </c>
      <c r="X4850" s="79" t="str">
        <f>IF(OR(TH!N4850=TH!$X$7,O4850=TH!$X$7),"x","")</f>
        <v/>
      </c>
      <c r="Y4850" s="79" t="str">
        <f>IF(AND(OR(N4850="131",O4850="131"),H4850='131-CT'!$H$9),"x","")</f>
        <v/>
      </c>
      <c r="Z4850" s="79"/>
      <c r="AA4850" s="79" t="str">
        <f>IF(AND(MONTH(E4850)='IN-NX'!$J$5,'IN-NX'!$D$7=D4850),"x","")</f>
        <v/>
      </c>
      <c r="AB4850" s="79" t="str">
        <f>IF(AND(OR(LEFT(TH!N4850,2)="15",LEFT(TH!O4850,2)="15"),LEFT(TH!O4850,3)&lt;&gt;"111",'152-CT'!$J$8=TH!F4850),"x","")</f>
        <v/>
      </c>
      <c r="AC4850" s="79" t="str">
        <f>IF(AND(OR(LEFT(TH!N4850,2)="15",LEFT(TH!O4850,2)="15"),TK!$E$7=TH!F4850),"x","")</f>
        <v/>
      </c>
      <c r="AD4850" s="79" t="str">
        <f>IF(AND(N4850="1521",MONTH(C4850)='BK-NL'!$M$11),"x","")</f>
        <v/>
      </c>
    </row>
    <row r="4851" spans="1:30" s="313" customFormat="1" ht="16.5" customHeight="1">
      <c r="A4851" s="318" t="str">
        <f>IF(B4851&lt;&gt;"",IF(AND(B4851='[3]IN-TC'!$S$4,OR([3]TH!N4082="1111",[3]TH!O4082="1111")),[3]TH!D4082,""),"")</f>
        <v/>
      </c>
      <c r="B4851" s="60" t="str">
        <f t="shared" si="479"/>
        <v/>
      </c>
      <c r="C4851" s="61"/>
      <c r="D4851" s="61"/>
      <c r="E4851" s="61"/>
      <c r="F4851" s="302"/>
      <c r="G4851" s="64"/>
      <c r="H4851" s="69"/>
      <c r="I4851" s="385"/>
      <c r="J4851" s="395"/>
      <c r="K4851" s="385"/>
      <c r="L4851" s="392"/>
      <c r="M4851" s="62"/>
      <c r="N4851" s="63"/>
      <c r="O4851" s="63"/>
      <c r="P4851" s="79" t="str">
        <f>IF(AND('331-CT'!$E$7=TH!H4851,OR(N4851="331",O4851="331")),"x","")</f>
        <v/>
      </c>
      <c r="Q4851" s="79" t="str">
        <f>IF(AND(B4851='111'!$L$11,OR($N4851=$Q$7,$O4851=$Q$7)),"x","")</f>
        <v/>
      </c>
      <c r="R4851" s="79" t="str">
        <f>IF(AND($N4851=$Q$7,$B4851&lt;'111'!$L$11),"x","")</f>
        <v/>
      </c>
      <c r="S4851" s="79" t="str">
        <f>IF(AND($O4851=$Q$7,$B4851&lt;'111'!$L$11),"x","")</f>
        <v/>
      </c>
      <c r="T4851" s="79" t="str">
        <f>IF(ISERROR(FIND('112'!$M$9,G4851,1)),"",IF((AND(FIND('112'!$M$9,G4851,1)&gt;=1,B4851='112'!$K$9,OR($N4851='112'!$I$6,$O4851='112'!$I$6))),"x",""))</f>
        <v/>
      </c>
      <c r="U4851" s="79" t="str">
        <f>IF(ISERROR(FIND('112'!$M$9,G4851,1)),"",IF((AND(LEFT(G4851,2)=LEFT('112'!$M$9,2),B4851&lt;'112'!$K$9,$N4851='112'!$I$6)),"x",""))</f>
        <v/>
      </c>
      <c r="V4851" s="79" t="str">
        <f>IF(ISERROR(FIND('112'!$M$9,G4851,1)),"",IF((AND(RIGHT(G4851,2)=RIGHT('112'!$M$9,2),B4851&lt;'112'!$K$9,$O4851='112'!$I$6)),"x",""))</f>
        <v/>
      </c>
      <c r="W4851" s="79" t="str">
        <f>IF(AND('341-CT'!$H$9=H4851,OR(LEFT(N4851,3)=$W$7,LEFT(O4851,3)=$W$7)),"x","")</f>
        <v/>
      </c>
      <c r="X4851" s="79" t="str">
        <f>IF(OR(TH!N4851=TH!$X$7,O4851=TH!$X$7),"x","")</f>
        <v/>
      </c>
      <c r="Y4851" s="79" t="str">
        <f>IF(AND(OR(N4851="131",O4851="131"),H4851='131-CT'!$H$9),"x","")</f>
        <v/>
      </c>
      <c r="Z4851" s="79"/>
      <c r="AA4851" s="79" t="str">
        <f>IF(AND(MONTH(E4851)='IN-NX'!$J$5,'IN-NX'!$D$7=D4851),"x","")</f>
        <v/>
      </c>
      <c r="AB4851" s="79" t="str">
        <f>IF(AND(OR(LEFT(TH!N4851,2)="15",LEFT(TH!O4851,2)="15"),LEFT(TH!O4851,3)&lt;&gt;"111",'152-CT'!$J$8=TH!F4851),"x","")</f>
        <v/>
      </c>
      <c r="AC4851" s="79" t="str">
        <f>IF(AND(OR(LEFT(TH!N4851,2)="15",LEFT(TH!O4851,2)="15"),TK!$E$7=TH!F4851),"x","")</f>
        <v/>
      </c>
      <c r="AD4851" s="79" t="str">
        <f>IF(AND(N4851="1521",MONTH(C4851)='BK-NL'!$M$11),"x","")</f>
        <v/>
      </c>
    </row>
    <row r="4852" spans="1:30" ht="16.5" customHeight="1">
      <c r="A4852" s="318" t="str">
        <f>IF(B4852&lt;&gt;"",IF(AND(B4852='[3]IN-TC'!$S$4,OR([3]TH!N4083="1111",[3]TH!O4083="1111")),[3]TH!D4083,""),"")</f>
        <v/>
      </c>
      <c r="B4852" s="60" t="str">
        <f t="shared" si="479"/>
        <v/>
      </c>
      <c r="C4852" s="61"/>
      <c r="D4852" s="61"/>
      <c r="E4852" s="61"/>
      <c r="F4852" s="64"/>
      <c r="G4852" s="64"/>
      <c r="H4852" s="72"/>
      <c r="I4852" s="385"/>
      <c r="J4852" s="395"/>
      <c r="K4852" s="385"/>
      <c r="L4852" s="392"/>
      <c r="M4852" s="62"/>
      <c r="N4852" s="63"/>
      <c r="O4852" s="63"/>
      <c r="P4852" s="79" t="str">
        <f>IF(AND('331-CT'!$E$7=TH!H4852,OR(N4852="331",O4852="331")),"x","")</f>
        <v/>
      </c>
      <c r="Q4852" s="79" t="str">
        <f>IF(AND(B4852='111'!$L$11,OR($N4852=$Q$7,$O4852=$Q$7)),"x","")</f>
        <v/>
      </c>
      <c r="R4852" s="79" t="str">
        <f>IF(AND($N4852=$Q$7,$B4852&lt;'111'!$L$11),"x","")</f>
        <v/>
      </c>
      <c r="S4852" s="79" t="str">
        <f>IF(AND($O4852=$Q$7,$B4852&lt;'111'!$L$11),"x","")</f>
        <v/>
      </c>
      <c r="T4852" s="79" t="str">
        <f>IF(ISERROR(FIND('112'!$M$9,G4852,1)),"",IF((AND(FIND('112'!$M$9,G4852,1)&gt;=1,B4852='112'!$K$9,OR($N4852='112'!$I$6,$O4852='112'!$I$6))),"x",""))</f>
        <v/>
      </c>
      <c r="U4852" s="79" t="str">
        <f>IF(ISERROR(FIND('112'!$M$9,G4852,1)),"",IF((AND(LEFT(G4852,2)=LEFT('112'!$M$9,2),B4852&lt;'112'!$K$9,$N4852='112'!$I$6)),"x",""))</f>
        <v/>
      </c>
      <c r="V4852" s="79" t="str">
        <f>IF(ISERROR(FIND('112'!$M$9,G4852,1)),"",IF((AND(RIGHT(G4852,2)=RIGHT('112'!$M$9,2),B4852&lt;'112'!$K$9,$O4852='112'!$I$6)),"x",""))</f>
        <v/>
      </c>
      <c r="W4852" s="79" t="str">
        <f>IF(AND('341-CT'!$H$9=H4852,OR(LEFT(N4852,3)=$W$7,LEFT(O4852,3)=$W$7)),"x","")</f>
        <v/>
      </c>
      <c r="X4852" s="79" t="str">
        <f>IF(OR(TH!N4852=TH!$X$7,O4852=TH!$X$7),"x","")</f>
        <v/>
      </c>
      <c r="Y4852" s="79" t="str">
        <f>IF(AND(OR(N4852="131",O4852="131"),H4852='131-CT'!$H$9),"x","")</f>
        <v/>
      </c>
      <c r="Z4852" s="79"/>
      <c r="AA4852" s="79" t="str">
        <f>IF(AND(MONTH(E4852)='IN-NX'!$J$5,'IN-NX'!$D$7=D4852),"x","")</f>
        <v/>
      </c>
      <c r="AB4852" s="79" t="str">
        <f>IF(AND(OR(LEFT(TH!N4852,2)="15",LEFT(TH!O4852,2)="15"),LEFT(TH!O4852,3)&lt;&gt;"111",'152-CT'!$J$8=TH!F4852),"x","")</f>
        <v/>
      </c>
      <c r="AC4852" s="79" t="str">
        <f>IF(AND(OR(LEFT(TH!N4852,2)="15",LEFT(TH!O4852,2)="15"),TK!$E$7=TH!F4852),"x","")</f>
        <v/>
      </c>
      <c r="AD4852" s="79" t="str">
        <f>IF(AND(N4852="1521",MONTH(C4852)='BK-NL'!$M$11),"x","")</f>
        <v/>
      </c>
    </row>
    <row r="4853" spans="1:30" ht="16.5" customHeight="1">
      <c r="A4853" s="318" t="str">
        <f>IF(B4853&lt;&gt;"",IF(AND(B4853='[3]IN-TC'!$S$4,OR([3]TH!N4084="1111",[3]TH!O4084="1111")),[3]TH!D4084,""),"")</f>
        <v/>
      </c>
      <c r="B4853" s="60" t="str">
        <f t="shared" si="479"/>
        <v/>
      </c>
      <c r="C4853" s="61"/>
      <c r="D4853" s="61"/>
      <c r="E4853" s="61"/>
      <c r="F4853" s="64"/>
      <c r="G4853" s="64"/>
      <c r="H4853" s="69"/>
      <c r="I4853" s="385"/>
      <c r="J4853" s="395"/>
      <c r="K4853" s="385"/>
      <c r="L4853" s="392"/>
      <c r="M4853" s="62"/>
      <c r="N4853" s="63"/>
      <c r="O4853" s="63"/>
      <c r="P4853" s="79" t="str">
        <f>IF(AND('331-CT'!$E$7=TH!H4853,OR(N4853="331",O4853="331")),"x","")</f>
        <v/>
      </c>
      <c r="Q4853" s="79" t="str">
        <f>IF(AND(B4853='111'!$L$11,OR($N4853=$Q$7,$O4853=$Q$7)),"x","")</f>
        <v/>
      </c>
      <c r="R4853" s="79" t="str">
        <f>IF(AND($N4853=$Q$7,$B4853&lt;'111'!$L$11),"x","")</f>
        <v/>
      </c>
      <c r="S4853" s="79" t="str">
        <f>IF(AND($O4853=$Q$7,$B4853&lt;'111'!$L$11),"x","")</f>
        <v/>
      </c>
      <c r="T4853" s="79" t="str">
        <f>IF(ISERROR(FIND('112'!$M$9,G4853,1)),"",IF((AND(FIND('112'!$M$9,G4853,1)&gt;=1,B4853='112'!$K$9,OR($N4853='112'!$I$6,$O4853='112'!$I$6))),"x",""))</f>
        <v/>
      </c>
      <c r="U4853" s="79" t="str">
        <f>IF(ISERROR(FIND('112'!$M$9,G4853,1)),"",IF((AND(LEFT(G4853,2)=LEFT('112'!$M$9,2),B4853&lt;'112'!$K$9,$N4853='112'!$I$6)),"x",""))</f>
        <v/>
      </c>
      <c r="V4853" s="79" t="str">
        <f>IF(ISERROR(FIND('112'!$M$9,G4853,1)),"",IF((AND(RIGHT(G4853,2)=RIGHT('112'!$M$9,2),B4853&lt;'112'!$K$9,$O4853='112'!$I$6)),"x",""))</f>
        <v/>
      </c>
      <c r="W4853" s="79" t="str">
        <f>IF(AND('341-CT'!$H$9=H4853,OR(LEFT(N4853,3)=$W$7,LEFT(O4853,3)=$W$7)),"x","")</f>
        <v/>
      </c>
      <c r="X4853" s="79" t="str">
        <f>IF(OR(TH!N4853=TH!$X$7,O4853=TH!$X$7),"x","")</f>
        <v/>
      </c>
      <c r="Y4853" s="79" t="str">
        <f>IF(AND(OR(N4853="131",O4853="131"),H4853='131-CT'!$H$9),"x","")</f>
        <v/>
      </c>
      <c r="Z4853" s="79"/>
      <c r="AA4853" s="79" t="str">
        <f>IF(AND(MONTH(E4853)='IN-NX'!$J$5,'IN-NX'!$D$7=D4853),"x","")</f>
        <v/>
      </c>
      <c r="AB4853" s="79" t="str">
        <f>IF(AND(OR(LEFT(TH!N4853,2)="15",LEFT(TH!O4853,2)="15"),LEFT(TH!O4853,3)&lt;&gt;"111",'152-CT'!$J$8=TH!F4853),"x","")</f>
        <v/>
      </c>
      <c r="AC4853" s="79" t="str">
        <f>IF(AND(OR(LEFT(TH!N4853,2)="15",LEFT(TH!O4853,2)="15"),TK!$E$7=TH!F4853),"x","")</f>
        <v/>
      </c>
      <c r="AD4853" s="79" t="str">
        <f>IF(AND(N4853="1521",MONTH(C4853)='BK-NL'!$M$11),"x","")</f>
        <v/>
      </c>
    </row>
    <row r="4854" spans="1:30" ht="16.5" customHeight="1">
      <c r="A4854" s="318" t="str">
        <f>IF(B4854&lt;&gt;"",IF(AND(B4854='[3]IN-TC'!$S$4,OR([3]TH!N4085="1111",[3]TH!O4085="1111")),[3]TH!D4085,""),"")</f>
        <v/>
      </c>
      <c r="B4854" s="60" t="str">
        <f t="shared" si="479"/>
        <v/>
      </c>
      <c r="C4854" s="61"/>
      <c r="D4854" s="61"/>
      <c r="E4854" s="61"/>
      <c r="F4854" s="64"/>
      <c r="G4854" s="64"/>
      <c r="H4854" s="69"/>
      <c r="I4854" s="385"/>
      <c r="J4854" s="395"/>
      <c r="K4854" s="385"/>
      <c r="L4854" s="392"/>
      <c r="M4854" s="62"/>
      <c r="N4854" s="63"/>
      <c r="O4854" s="63"/>
      <c r="P4854" s="79" t="str">
        <f>IF(AND('331-CT'!$E$7=TH!H4854,OR(N4854="331",O4854="331")),"x","")</f>
        <v/>
      </c>
      <c r="Q4854" s="79" t="str">
        <f>IF(AND(B4854='111'!$L$11,OR($N4854=$Q$7,$O4854=$Q$7)),"x","")</f>
        <v/>
      </c>
      <c r="R4854" s="79" t="str">
        <f>IF(AND($N4854=$Q$7,$B4854&lt;'111'!$L$11),"x","")</f>
        <v/>
      </c>
      <c r="S4854" s="79" t="str">
        <f>IF(AND($O4854=$Q$7,$B4854&lt;'111'!$L$11),"x","")</f>
        <v/>
      </c>
      <c r="T4854" s="79" t="str">
        <f>IF(ISERROR(FIND('112'!$M$9,G4854,1)),"",IF((AND(FIND('112'!$M$9,G4854,1)&gt;=1,B4854='112'!$K$9,OR($N4854='112'!$I$6,$O4854='112'!$I$6))),"x",""))</f>
        <v/>
      </c>
      <c r="U4854" s="79" t="str">
        <f>IF(ISERROR(FIND('112'!$M$9,G4854,1)),"",IF((AND(LEFT(G4854,2)=LEFT('112'!$M$9,2),B4854&lt;'112'!$K$9,$N4854='112'!$I$6)),"x",""))</f>
        <v/>
      </c>
      <c r="V4854" s="79" t="str">
        <f>IF(ISERROR(FIND('112'!$M$9,G4854,1)),"",IF((AND(RIGHT(G4854,2)=RIGHT('112'!$M$9,2),B4854&lt;'112'!$K$9,$O4854='112'!$I$6)),"x",""))</f>
        <v/>
      </c>
      <c r="W4854" s="79" t="str">
        <f>IF(AND('341-CT'!$H$9=H4854,OR(LEFT(N4854,3)=$W$7,LEFT(O4854,3)=$W$7)),"x","")</f>
        <v/>
      </c>
      <c r="X4854" s="79" t="str">
        <f>IF(OR(TH!N4854=TH!$X$7,O4854=TH!$X$7),"x","")</f>
        <v/>
      </c>
      <c r="Y4854" s="79" t="str">
        <f>IF(AND(OR(N4854="131",O4854="131"),H4854='131-CT'!$H$9),"x","")</f>
        <v/>
      </c>
      <c r="Z4854" s="79"/>
      <c r="AA4854" s="79" t="str">
        <f>IF(AND(MONTH(E4854)='IN-NX'!$J$5,'IN-NX'!$D$7=D4854),"x","")</f>
        <v/>
      </c>
      <c r="AB4854" s="79" t="str">
        <f>IF(AND(OR(LEFT(TH!N4854,2)="15",LEFT(TH!O4854,2)="15"),LEFT(TH!O4854,3)&lt;&gt;"111",'152-CT'!$J$8=TH!F4854),"x","")</f>
        <v/>
      </c>
      <c r="AC4854" s="79" t="str">
        <f>IF(AND(OR(LEFT(TH!N4854,2)="15",LEFT(TH!O4854,2)="15"),TK!$E$7=TH!F4854),"x","")</f>
        <v/>
      </c>
      <c r="AD4854" s="79" t="str">
        <f>IF(AND(N4854="1521",MONTH(C4854)='BK-NL'!$M$11),"x","")</f>
        <v/>
      </c>
    </row>
    <row r="4855" spans="1:30" ht="16.5" customHeight="1">
      <c r="A4855" s="318" t="str">
        <f>IF(B4855&lt;&gt;"",IF(AND(B4855='[3]IN-TC'!$S$4,OR([3]TH!N4086="1111",[3]TH!O4086="1111")),[3]TH!D4086,""),"")</f>
        <v/>
      </c>
      <c r="B4855" s="60" t="str">
        <f t="shared" si="479"/>
        <v/>
      </c>
      <c r="C4855" s="61"/>
      <c r="D4855" s="61"/>
      <c r="E4855" s="61"/>
      <c r="F4855" s="64"/>
      <c r="G4855" s="64"/>
      <c r="H4855" s="69"/>
      <c r="I4855" s="385"/>
      <c r="J4855" s="395"/>
      <c r="K4855" s="385"/>
      <c r="L4855" s="392"/>
      <c r="M4855" s="62"/>
      <c r="N4855" s="63"/>
      <c r="O4855" s="63"/>
      <c r="P4855" s="79" t="str">
        <f>IF(AND('331-CT'!$E$7=TH!H4855,OR(N4855="331",O4855="331")),"x","")</f>
        <v/>
      </c>
      <c r="Q4855" s="79" t="str">
        <f>IF(AND(B4855='111'!$L$11,OR($N4855=$Q$7,$O4855=$Q$7)),"x","")</f>
        <v/>
      </c>
      <c r="R4855" s="79" t="str">
        <f>IF(AND($N4855=$Q$7,$B4855&lt;'111'!$L$11),"x","")</f>
        <v/>
      </c>
      <c r="S4855" s="79" t="str">
        <f>IF(AND($O4855=$Q$7,$B4855&lt;'111'!$L$11),"x","")</f>
        <v/>
      </c>
      <c r="T4855" s="79" t="str">
        <f>IF(ISERROR(FIND('112'!$M$9,G4855,1)),"",IF((AND(FIND('112'!$M$9,G4855,1)&gt;=1,B4855='112'!$K$9,OR($N4855='112'!$I$6,$O4855='112'!$I$6))),"x",""))</f>
        <v/>
      </c>
      <c r="U4855" s="79" t="str">
        <f>IF(ISERROR(FIND('112'!$M$9,G4855,1)),"",IF((AND(LEFT(G4855,2)=LEFT('112'!$M$9,2),B4855&lt;'112'!$K$9,$N4855='112'!$I$6)),"x",""))</f>
        <v/>
      </c>
      <c r="V4855" s="79" t="str">
        <f>IF(ISERROR(FIND('112'!$M$9,G4855,1)),"",IF((AND(RIGHT(G4855,2)=RIGHT('112'!$M$9,2),B4855&lt;'112'!$K$9,$O4855='112'!$I$6)),"x",""))</f>
        <v/>
      </c>
      <c r="W4855" s="79" t="str">
        <f>IF(AND('341-CT'!$H$9=H4855,OR(LEFT(N4855,3)=$W$7,LEFT(O4855,3)=$W$7)),"x","")</f>
        <v/>
      </c>
      <c r="X4855" s="79" t="str">
        <f>IF(OR(TH!N4855=TH!$X$7,O4855=TH!$X$7),"x","")</f>
        <v/>
      </c>
      <c r="Y4855" s="79" t="str">
        <f>IF(AND(OR(N4855="131",O4855="131"),H4855='131-CT'!$H$9),"x","")</f>
        <v/>
      </c>
      <c r="Z4855" s="79"/>
      <c r="AA4855" s="79" t="str">
        <f>IF(AND(MONTH(E4855)='IN-NX'!$J$5,'IN-NX'!$D$7=D4855),"x","")</f>
        <v/>
      </c>
      <c r="AB4855" s="79" t="str">
        <f>IF(AND(OR(LEFT(TH!N4855,2)="15",LEFT(TH!O4855,2)="15"),LEFT(TH!O4855,3)&lt;&gt;"111",'152-CT'!$J$8=TH!F4855),"x","")</f>
        <v/>
      </c>
      <c r="AC4855" s="79" t="str">
        <f>IF(AND(OR(LEFT(TH!N4855,2)="15",LEFT(TH!O4855,2)="15"),TK!$E$7=TH!F4855),"x","")</f>
        <v/>
      </c>
      <c r="AD4855" s="79" t="str">
        <f>IF(AND(N4855="1521",MONTH(C4855)='BK-NL'!$M$11),"x","")</f>
        <v/>
      </c>
    </row>
    <row r="4856" spans="1:30" ht="16.5" customHeight="1">
      <c r="A4856" s="318" t="str">
        <f>IF(B4856&lt;&gt;"",IF(AND(B4856='[3]IN-TC'!$S$4,OR([3]TH!N4087="1111",[3]TH!O4087="1111")),[3]TH!D4087,""),"")</f>
        <v/>
      </c>
      <c r="B4856" s="60" t="str">
        <f t="shared" si="479"/>
        <v/>
      </c>
      <c r="C4856" s="61"/>
      <c r="D4856" s="61"/>
      <c r="E4856" s="61"/>
      <c r="F4856" s="64"/>
      <c r="G4856" s="64"/>
      <c r="H4856" s="69"/>
      <c r="I4856" s="385"/>
      <c r="J4856" s="395"/>
      <c r="K4856" s="385"/>
      <c r="L4856" s="392"/>
      <c r="M4856" s="62"/>
      <c r="N4856" s="63"/>
      <c r="O4856" s="63"/>
      <c r="P4856" s="79" t="str">
        <f>IF(AND('331-CT'!$E$7=TH!H4856,OR(N4856="331",O4856="331")),"x","")</f>
        <v/>
      </c>
      <c r="Q4856" s="79" t="str">
        <f>IF(AND(B4856='111'!$L$11,OR($N4856=$Q$7,$O4856=$Q$7)),"x","")</f>
        <v/>
      </c>
      <c r="R4856" s="79" t="str">
        <f>IF(AND($N4856=$Q$7,$B4856&lt;'111'!$L$11),"x","")</f>
        <v/>
      </c>
      <c r="S4856" s="79" t="str">
        <f>IF(AND($O4856=$Q$7,$B4856&lt;'111'!$L$11),"x","")</f>
        <v/>
      </c>
      <c r="T4856" s="79" t="str">
        <f>IF(ISERROR(FIND('112'!$M$9,G4856,1)),"",IF((AND(FIND('112'!$M$9,G4856,1)&gt;=1,B4856='112'!$K$9,OR($N4856='112'!$I$6,$O4856='112'!$I$6))),"x",""))</f>
        <v/>
      </c>
      <c r="U4856" s="79" t="str">
        <f>IF(ISERROR(FIND('112'!$M$9,G4856,1)),"",IF((AND(LEFT(G4856,2)=LEFT('112'!$M$9,2),B4856&lt;'112'!$K$9,$N4856='112'!$I$6)),"x",""))</f>
        <v/>
      </c>
      <c r="V4856" s="79" t="str">
        <f>IF(ISERROR(FIND('112'!$M$9,G4856,1)),"",IF((AND(RIGHT(G4856,2)=RIGHT('112'!$M$9,2),B4856&lt;'112'!$K$9,$O4856='112'!$I$6)),"x",""))</f>
        <v/>
      </c>
      <c r="W4856" s="79" t="str">
        <f>IF(AND('341-CT'!$H$9=H4856,OR(LEFT(N4856,3)=$W$7,LEFT(O4856,3)=$W$7)),"x","")</f>
        <v/>
      </c>
      <c r="X4856" s="79" t="str">
        <f>IF(OR(TH!N4856=TH!$X$7,O4856=TH!$X$7),"x","")</f>
        <v/>
      </c>
      <c r="Y4856" s="79" t="str">
        <f>IF(AND(OR(N4856="131",O4856="131"),H4856='131-CT'!$H$9),"x","")</f>
        <v/>
      </c>
      <c r="Z4856" s="79"/>
      <c r="AA4856" s="79" t="str">
        <f>IF(AND(MONTH(E4856)='IN-NX'!$J$5,'IN-NX'!$D$7=D4856),"x","")</f>
        <v/>
      </c>
      <c r="AB4856" s="79" t="str">
        <f>IF(AND(OR(LEFT(TH!N4856,2)="15",LEFT(TH!O4856,2)="15"),LEFT(TH!O4856,3)&lt;&gt;"111",'152-CT'!$J$8=TH!F4856),"x","")</f>
        <v/>
      </c>
      <c r="AC4856" s="79" t="str">
        <f>IF(AND(OR(LEFT(TH!N4856,2)="15",LEFT(TH!O4856,2)="15"),TK!$E$7=TH!F4856),"x","")</f>
        <v/>
      </c>
      <c r="AD4856" s="79" t="str">
        <f>IF(AND(N4856="1521",MONTH(C4856)='BK-NL'!$M$11),"x","")</f>
        <v/>
      </c>
    </row>
    <row r="4857" spans="1:30" ht="16.5" customHeight="1">
      <c r="A4857" s="318" t="str">
        <f>IF(B4857&lt;&gt;"",IF(AND(B4857='[3]IN-TC'!$S$4,OR([3]TH!N4088="1111",[3]TH!O4088="1111")),[3]TH!D4088,""),"")</f>
        <v/>
      </c>
      <c r="B4857" s="60" t="str">
        <f t="shared" si="479"/>
        <v/>
      </c>
      <c r="C4857" s="61"/>
      <c r="D4857" s="61"/>
      <c r="E4857" s="61"/>
      <c r="F4857" s="64"/>
      <c r="G4857" s="64"/>
      <c r="H4857" s="69"/>
      <c r="I4857" s="385"/>
      <c r="J4857" s="395"/>
      <c r="K4857" s="385"/>
      <c r="L4857" s="392"/>
      <c r="M4857" s="62"/>
      <c r="N4857" s="63"/>
      <c r="O4857" s="63"/>
      <c r="P4857" s="79" t="str">
        <f>IF(AND('331-CT'!$E$7=TH!H4857,OR(N4857="331",O4857="331")),"x","")</f>
        <v/>
      </c>
      <c r="Q4857" s="79" t="str">
        <f>IF(AND(B4857='111'!$L$11,OR($N4857=$Q$7,$O4857=$Q$7)),"x","")</f>
        <v/>
      </c>
      <c r="R4857" s="79" t="str">
        <f>IF(AND($N4857=$Q$7,$B4857&lt;'111'!$L$11),"x","")</f>
        <v/>
      </c>
      <c r="S4857" s="79" t="str">
        <f>IF(AND($O4857=$Q$7,$B4857&lt;'111'!$L$11),"x","")</f>
        <v/>
      </c>
      <c r="T4857" s="79" t="str">
        <f>IF(ISERROR(FIND('112'!$M$9,G4857,1)),"",IF((AND(FIND('112'!$M$9,G4857,1)&gt;=1,B4857='112'!$K$9,OR($N4857='112'!$I$6,$O4857='112'!$I$6))),"x",""))</f>
        <v/>
      </c>
      <c r="U4857" s="79" t="str">
        <f>IF(ISERROR(FIND('112'!$M$9,G4857,1)),"",IF((AND(LEFT(G4857,2)=LEFT('112'!$M$9,2),B4857&lt;'112'!$K$9,$N4857='112'!$I$6)),"x",""))</f>
        <v/>
      </c>
      <c r="V4857" s="79" t="str">
        <f>IF(ISERROR(FIND('112'!$M$9,G4857,1)),"",IF((AND(RIGHT(G4857,2)=RIGHT('112'!$M$9,2),B4857&lt;'112'!$K$9,$O4857='112'!$I$6)),"x",""))</f>
        <v/>
      </c>
      <c r="W4857" s="79" t="str">
        <f>IF(AND('341-CT'!$H$9=H4857,OR(LEFT(N4857,3)=$W$7,LEFT(O4857,3)=$W$7)),"x","")</f>
        <v/>
      </c>
      <c r="X4857" s="79" t="str">
        <f>IF(OR(TH!N4857=TH!$X$7,O4857=TH!$X$7),"x","")</f>
        <v/>
      </c>
      <c r="Y4857" s="79" t="str">
        <f>IF(AND(OR(N4857="131",O4857="131"),H4857='131-CT'!$H$9),"x","")</f>
        <v/>
      </c>
      <c r="Z4857" s="79"/>
      <c r="AA4857" s="79" t="str">
        <f>IF(AND(MONTH(E4857)='IN-NX'!$J$5,'IN-NX'!$D$7=D4857),"x","")</f>
        <v/>
      </c>
      <c r="AB4857" s="79" t="str">
        <f>IF(AND(OR(LEFT(TH!N4857,2)="15",LEFT(TH!O4857,2)="15"),LEFT(TH!O4857,3)&lt;&gt;"111",'152-CT'!$J$8=TH!F4857),"x","")</f>
        <v/>
      </c>
      <c r="AC4857" s="79" t="str">
        <f>IF(AND(OR(LEFT(TH!N4857,2)="15",LEFT(TH!O4857,2)="15"),TK!$E$7=TH!F4857),"x","")</f>
        <v/>
      </c>
      <c r="AD4857" s="79" t="str">
        <f>IF(AND(N4857="1521",MONTH(C4857)='BK-NL'!$M$11),"x","")</f>
        <v/>
      </c>
    </row>
    <row r="4858" spans="1:30" ht="16.5" customHeight="1">
      <c r="A4858" s="318" t="str">
        <f>IF(B4858&lt;&gt;"",IF(AND(B4858='[3]IN-TC'!$S$4,OR([3]TH!N4089="1111",[3]TH!O4089="1111")),[3]TH!D4089,""),"")</f>
        <v/>
      </c>
      <c r="B4858" s="60" t="str">
        <f t="shared" si="479"/>
        <v/>
      </c>
      <c r="C4858" s="61"/>
      <c r="D4858" s="61"/>
      <c r="E4858" s="61"/>
      <c r="F4858" s="64"/>
      <c r="G4858" s="64"/>
      <c r="H4858" s="69"/>
      <c r="I4858" s="385"/>
      <c r="J4858" s="395"/>
      <c r="K4858" s="385"/>
      <c r="L4858" s="392"/>
      <c r="M4858" s="62"/>
      <c r="N4858" s="63"/>
      <c r="O4858" s="63"/>
      <c r="P4858" s="79" t="str">
        <f>IF(AND('331-CT'!$E$7=TH!H4858,OR(N4858="331",O4858="331")),"x","")</f>
        <v/>
      </c>
      <c r="Q4858" s="79" t="str">
        <f>IF(AND(B4858='111'!$L$11,OR($N4858=$Q$7,$O4858=$Q$7)),"x","")</f>
        <v/>
      </c>
      <c r="R4858" s="79" t="str">
        <f>IF(AND($N4858=$Q$7,$B4858&lt;'111'!$L$11),"x","")</f>
        <v/>
      </c>
      <c r="S4858" s="79" t="str">
        <f>IF(AND($O4858=$Q$7,$B4858&lt;'111'!$L$11),"x","")</f>
        <v/>
      </c>
      <c r="T4858" s="79" t="str">
        <f>IF(ISERROR(FIND('112'!$M$9,G4858,1)),"",IF((AND(FIND('112'!$M$9,G4858,1)&gt;=1,B4858='112'!$K$9,OR($N4858='112'!$I$6,$O4858='112'!$I$6))),"x",""))</f>
        <v/>
      </c>
      <c r="U4858" s="79" t="str">
        <f>IF(ISERROR(FIND('112'!$M$9,G4858,1)),"",IF((AND(LEFT(G4858,2)=LEFT('112'!$M$9,2),B4858&lt;'112'!$K$9,$N4858='112'!$I$6)),"x",""))</f>
        <v/>
      </c>
      <c r="V4858" s="79" t="str">
        <f>IF(ISERROR(FIND('112'!$M$9,G4858,1)),"",IF((AND(RIGHT(G4858,2)=RIGHT('112'!$M$9,2),B4858&lt;'112'!$K$9,$O4858='112'!$I$6)),"x",""))</f>
        <v/>
      </c>
      <c r="W4858" s="79" t="str">
        <f>IF(AND('341-CT'!$H$9=H4858,OR(LEFT(N4858,3)=$W$7,LEFT(O4858,3)=$W$7)),"x","")</f>
        <v/>
      </c>
      <c r="X4858" s="79" t="str">
        <f>IF(OR(TH!N4858=TH!$X$7,O4858=TH!$X$7),"x","")</f>
        <v/>
      </c>
      <c r="Y4858" s="79" t="str">
        <f>IF(AND(OR(N4858="131",O4858="131"),H4858='131-CT'!$H$9),"x","")</f>
        <v/>
      </c>
      <c r="Z4858" s="79"/>
      <c r="AA4858" s="79" t="str">
        <f>IF(AND(MONTH(E4858)='IN-NX'!$J$5,'IN-NX'!$D$7=D4858),"x","")</f>
        <v/>
      </c>
      <c r="AB4858" s="79" t="str">
        <f>IF(AND(OR(LEFT(TH!N4858,2)="15",LEFT(TH!O4858,2)="15"),LEFT(TH!O4858,3)&lt;&gt;"111",'152-CT'!$J$8=TH!F4858),"x","")</f>
        <v/>
      </c>
      <c r="AC4858" s="79" t="str">
        <f>IF(AND(OR(LEFT(TH!N4858,2)="15",LEFT(TH!O4858,2)="15"),TK!$E$7=TH!F4858),"x","")</f>
        <v/>
      </c>
      <c r="AD4858" s="79" t="str">
        <f>IF(AND(N4858="1521",MONTH(C4858)='BK-NL'!$M$11),"x","")</f>
        <v/>
      </c>
    </row>
    <row r="4859" spans="1:30" ht="16.5" customHeight="1">
      <c r="A4859" s="318" t="str">
        <f>IF(B4859&lt;&gt;"",IF(AND(B4859='[3]IN-TC'!$S$4,OR([3]TH!N4090="1111",[3]TH!O4090="1111")),[3]TH!D4090,""),"")</f>
        <v/>
      </c>
      <c r="B4859" s="60" t="str">
        <f t="shared" si="479"/>
        <v/>
      </c>
      <c r="C4859" s="61"/>
      <c r="D4859" s="61"/>
      <c r="E4859" s="61"/>
      <c r="F4859" s="64"/>
      <c r="G4859" s="64"/>
      <c r="H4859" s="69"/>
      <c r="I4859" s="385"/>
      <c r="J4859" s="395"/>
      <c r="K4859" s="385"/>
      <c r="L4859" s="392"/>
      <c r="M4859" s="62"/>
      <c r="N4859" s="63"/>
      <c r="O4859" s="63"/>
      <c r="P4859" s="79" t="str">
        <f>IF(AND('331-CT'!$E$7=TH!H4859,OR(N4859="331",O4859="331")),"x","")</f>
        <v/>
      </c>
      <c r="Q4859" s="79" t="str">
        <f>IF(AND(B4859='111'!$L$11,OR($N4859=$Q$7,$O4859=$Q$7)),"x","")</f>
        <v/>
      </c>
      <c r="R4859" s="79" t="str">
        <f>IF(AND($N4859=$Q$7,$B4859&lt;'111'!$L$11),"x","")</f>
        <v/>
      </c>
      <c r="S4859" s="79" t="str">
        <f>IF(AND($O4859=$Q$7,$B4859&lt;'111'!$L$11),"x","")</f>
        <v/>
      </c>
      <c r="T4859" s="79" t="str">
        <f>IF(ISERROR(FIND('112'!$M$9,G4859,1)),"",IF((AND(FIND('112'!$M$9,G4859,1)&gt;=1,B4859='112'!$K$9,OR($N4859='112'!$I$6,$O4859='112'!$I$6))),"x",""))</f>
        <v/>
      </c>
      <c r="U4859" s="79" t="str">
        <f>IF(ISERROR(FIND('112'!$M$9,G4859,1)),"",IF((AND(LEFT(G4859,2)=LEFT('112'!$M$9,2),B4859&lt;'112'!$K$9,$N4859='112'!$I$6)),"x",""))</f>
        <v/>
      </c>
      <c r="V4859" s="79" t="str">
        <f>IF(ISERROR(FIND('112'!$M$9,G4859,1)),"",IF((AND(RIGHT(G4859,2)=RIGHT('112'!$M$9,2),B4859&lt;'112'!$K$9,$O4859='112'!$I$6)),"x",""))</f>
        <v/>
      </c>
      <c r="W4859" s="79" t="str">
        <f>IF(AND('341-CT'!$H$9=H4859,OR(LEFT(N4859,3)=$W$7,LEFT(O4859,3)=$W$7)),"x","")</f>
        <v/>
      </c>
      <c r="X4859" s="79" t="str">
        <f>IF(OR(TH!N4859=TH!$X$7,O4859=TH!$X$7),"x","")</f>
        <v/>
      </c>
      <c r="Y4859" s="79" t="str">
        <f>IF(AND(OR(N4859="131",O4859="131"),H4859='131-CT'!$H$9),"x","")</f>
        <v/>
      </c>
      <c r="Z4859" s="79"/>
      <c r="AA4859" s="79" t="str">
        <f>IF(AND(MONTH(E4859)='IN-NX'!$J$5,'IN-NX'!$D$7=D4859),"x","")</f>
        <v/>
      </c>
      <c r="AB4859" s="79" t="str">
        <f>IF(AND(OR(LEFT(TH!N4859,2)="15",LEFT(TH!O4859,2)="15"),LEFT(TH!O4859,3)&lt;&gt;"111",'152-CT'!$J$8=TH!F4859),"x","")</f>
        <v/>
      </c>
      <c r="AC4859" s="79" t="str">
        <f>IF(AND(OR(LEFT(TH!N4859,2)="15",LEFT(TH!O4859,2)="15"),TK!$E$7=TH!F4859),"x","")</f>
        <v/>
      </c>
      <c r="AD4859" s="79" t="str">
        <f>IF(AND(N4859="1521",MONTH(C4859)='BK-NL'!$M$11),"x","")</f>
        <v/>
      </c>
    </row>
    <row r="4860" spans="1:30" ht="16.5" customHeight="1">
      <c r="A4860" s="318" t="str">
        <f>IF(B4860&lt;&gt;"",IF(AND(B4860='[3]IN-TC'!$S$4,OR([3]TH!N4091="1111",[3]TH!O4091="1111")),[3]TH!D4091,""),"")</f>
        <v/>
      </c>
      <c r="B4860" s="60" t="str">
        <f t="shared" si="479"/>
        <v/>
      </c>
      <c r="C4860" s="61"/>
      <c r="D4860" s="61"/>
      <c r="E4860" s="61"/>
      <c r="F4860" s="64"/>
      <c r="G4860" s="64"/>
      <c r="H4860" s="69"/>
      <c r="I4860" s="385"/>
      <c r="J4860" s="395"/>
      <c r="K4860" s="385"/>
      <c r="L4860" s="392"/>
      <c r="M4860" s="62"/>
      <c r="N4860" s="63"/>
      <c r="O4860" s="63"/>
      <c r="P4860" s="79" t="str">
        <f>IF(AND('331-CT'!$E$7=TH!H4860,OR(N4860="331",O4860="331")),"x","")</f>
        <v/>
      </c>
      <c r="Q4860" s="79" t="str">
        <f>IF(AND(B4860='111'!$L$11,OR($N4860=$Q$7,$O4860=$Q$7)),"x","")</f>
        <v/>
      </c>
      <c r="R4860" s="79" t="str">
        <f>IF(AND($N4860=$Q$7,$B4860&lt;'111'!$L$11),"x","")</f>
        <v/>
      </c>
      <c r="S4860" s="79" t="str">
        <f>IF(AND($O4860=$Q$7,$B4860&lt;'111'!$L$11),"x","")</f>
        <v/>
      </c>
      <c r="T4860" s="79" t="str">
        <f>IF(ISERROR(FIND('112'!$M$9,G4860,1)),"",IF((AND(FIND('112'!$M$9,G4860,1)&gt;=1,B4860='112'!$K$9,OR($N4860='112'!$I$6,$O4860='112'!$I$6))),"x",""))</f>
        <v/>
      </c>
      <c r="U4860" s="79" t="str">
        <f>IF(ISERROR(FIND('112'!$M$9,G4860,1)),"",IF((AND(LEFT(G4860,2)=LEFT('112'!$M$9,2),B4860&lt;'112'!$K$9,$N4860='112'!$I$6)),"x",""))</f>
        <v/>
      </c>
      <c r="V4860" s="79" t="str">
        <f>IF(ISERROR(FIND('112'!$M$9,G4860,1)),"",IF((AND(RIGHT(G4860,2)=RIGHT('112'!$M$9,2),B4860&lt;'112'!$K$9,$O4860='112'!$I$6)),"x",""))</f>
        <v/>
      </c>
      <c r="W4860" s="79" t="str">
        <f>IF(AND('341-CT'!$H$9=H4860,OR(LEFT(N4860,3)=$W$7,LEFT(O4860,3)=$W$7)),"x","")</f>
        <v/>
      </c>
      <c r="X4860" s="79" t="str">
        <f>IF(OR(TH!N4860=TH!$X$7,O4860=TH!$X$7),"x","")</f>
        <v/>
      </c>
      <c r="Y4860" s="79" t="str">
        <f>IF(AND(OR(N4860="131",O4860="131"),H4860='131-CT'!$H$9),"x","")</f>
        <v/>
      </c>
      <c r="Z4860" s="79"/>
      <c r="AA4860" s="79" t="str">
        <f>IF(AND(MONTH(E4860)='IN-NX'!$J$5,'IN-NX'!$D$7=D4860),"x","")</f>
        <v/>
      </c>
      <c r="AB4860" s="79" t="str">
        <f>IF(AND(OR(LEFT(TH!N4860,2)="15",LEFT(TH!O4860,2)="15"),LEFT(TH!O4860,3)&lt;&gt;"111",'152-CT'!$J$8=TH!F4860),"x","")</f>
        <v/>
      </c>
      <c r="AC4860" s="79" t="str">
        <f>IF(AND(OR(LEFT(TH!N4860,2)="15",LEFT(TH!O4860,2)="15"),TK!$E$7=TH!F4860),"x","")</f>
        <v/>
      </c>
      <c r="AD4860" s="79" t="str">
        <f>IF(AND(N4860="1521",MONTH(C4860)='BK-NL'!$M$11),"x","")</f>
        <v/>
      </c>
    </row>
    <row r="4861" spans="1:30" ht="16.5" customHeight="1">
      <c r="A4861" s="318" t="str">
        <f>IF(B4861&lt;&gt;"",IF(AND(B4861='[3]IN-TC'!$S$4,OR([3]TH!N4092="1111",[3]TH!O4092="1111")),[3]TH!D4092,""),"")</f>
        <v/>
      </c>
      <c r="B4861" s="60" t="str">
        <f t="shared" si="479"/>
        <v/>
      </c>
      <c r="C4861" s="61"/>
      <c r="D4861" s="61"/>
      <c r="E4861" s="61"/>
      <c r="F4861" s="64"/>
      <c r="G4861" s="64"/>
      <c r="H4861" s="69"/>
      <c r="I4861" s="385"/>
      <c r="J4861" s="395"/>
      <c r="K4861" s="385"/>
      <c r="L4861" s="392"/>
      <c r="M4861" s="62"/>
      <c r="N4861" s="63"/>
      <c r="O4861" s="63"/>
      <c r="P4861" s="79" t="str">
        <f>IF(AND('331-CT'!$E$7=TH!H4861,OR(N4861="331",O4861="331")),"x","")</f>
        <v/>
      </c>
      <c r="Q4861" s="79" t="str">
        <f>IF(AND(B4861='111'!$L$11,OR($N4861=$Q$7,$O4861=$Q$7)),"x","")</f>
        <v/>
      </c>
      <c r="R4861" s="79" t="str">
        <f>IF(AND($N4861=$Q$7,$B4861&lt;'111'!$L$11),"x","")</f>
        <v/>
      </c>
      <c r="S4861" s="79" t="str">
        <f>IF(AND($O4861=$Q$7,$B4861&lt;'111'!$L$11),"x","")</f>
        <v/>
      </c>
      <c r="T4861" s="79" t="str">
        <f>IF(ISERROR(FIND('112'!$M$9,G4861,1)),"",IF((AND(FIND('112'!$M$9,G4861,1)&gt;=1,B4861='112'!$K$9,OR($N4861='112'!$I$6,$O4861='112'!$I$6))),"x",""))</f>
        <v/>
      </c>
      <c r="U4861" s="79" t="str">
        <f>IF(ISERROR(FIND('112'!$M$9,G4861,1)),"",IF((AND(LEFT(G4861,2)=LEFT('112'!$M$9,2),B4861&lt;'112'!$K$9,$N4861='112'!$I$6)),"x",""))</f>
        <v/>
      </c>
      <c r="V4861" s="79" t="str">
        <f>IF(ISERROR(FIND('112'!$M$9,G4861,1)),"",IF((AND(RIGHT(G4861,2)=RIGHT('112'!$M$9,2),B4861&lt;'112'!$K$9,$O4861='112'!$I$6)),"x",""))</f>
        <v/>
      </c>
      <c r="W4861" s="79" t="str">
        <f>IF(AND('341-CT'!$H$9=H4861,OR(LEFT(N4861,3)=$W$7,LEFT(O4861,3)=$W$7)),"x","")</f>
        <v/>
      </c>
      <c r="X4861" s="79" t="str">
        <f>IF(OR(TH!N4861=TH!$X$7,O4861=TH!$X$7),"x","")</f>
        <v/>
      </c>
      <c r="Y4861" s="79" t="str">
        <f>IF(AND(OR(N4861="131",O4861="131"),H4861='131-CT'!$H$9),"x","")</f>
        <v/>
      </c>
      <c r="Z4861" s="79"/>
      <c r="AA4861" s="79" t="str">
        <f>IF(AND(MONTH(E4861)='IN-NX'!$J$5,'IN-NX'!$D$7=D4861),"x","")</f>
        <v/>
      </c>
      <c r="AB4861" s="79" t="str">
        <f>IF(AND(OR(LEFT(TH!N4861,2)="15",LEFT(TH!O4861,2)="15"),LEFT(TH!O4861,3)&lt;&gt;"111",'152-CT'!$J$8=TH!F4861),"x","")</f>
        <v/>
      </c>
      <c r="AC4861" s="79" t="str">
        <f>IF(AND(OR(LEFT(TH!N4861,2)="15",LEFT(TH!O4861,2)="15"),TK!$E$7=TH!F4861),"x","")</f>
        <v/>
      </c>
      <c r="AD4861" s="79" t="str">
        <f>IF(AND(N4861="1521",MONTH(C4861)='BK-NL'!$M$11),"x","")</f>
        <v/>
      </c>
    </row>
    <row r="4862" spans="1:30" ht="16.5" customHeight="1">
      <c r="A4862" s="318" t="str">
        <f>IF(B4862&lt;&gt;"",IF(AND(B4862='[3]IN-TC'!$S$4,OR([3]TH!N4093="1111",[3]TH!O4093="1111")),[3]TH!D4093,""),"")</f>
        <v/>
      </c>
      <c r="B4862" s="60" t="str">
        <f t="shared" si="479"/>
        <v/>
      </c>
      <c r="C4862" s="61"/>
      <c r="D4862" s="61"/>
      <c r="E4862" s="61"/>
      <c r="F4862" s="64"/>
      <c r="G4862" s="64"/>
      <c r="H4862" s="69"/>
      <c r="I4862" s="385"/>
      <c r="J4862" s="395"/>
      <c r="K4862" s="385"/>
      <c r="L4862" s="392"/>
      <c r="M4862" s="62"/>
      <c r="N4862" s="63"/>
      <c r="O4862" s="63"/>
      <c r="P4862" s="79" t="str">
        <f>IF(AND('331-CT'!$E$7=TH!H4862,OR(N4862="331",O4862="331")),"x","")</f>
        <v/>
      </c>
      <c r="Q4862" s="79" t="str">
        <f>IF(AND(B4862='111'!$L$11,OR($N4862=$Q$7,$O4862=$Q$7)),"x","")</f>
        <v/>
      </c>
      <c r="R4862" s="79" t="str">
        <f>IF(AND($N4862=$Q$7,$B4862&lt;'111'!$L$11),"x","")</f>
        <v/>
      </c>
      <c r="S4862" s="79" t="str">
        <f>IF(AND($O4862=$Q$7,$B4862&lt;'111'!$L$11),"x","")</f>
        <v/>
      </c>
      <c r="T4862" s="79" t="str">
        <f>IF(ISERROR(FIND('112'!$M$9,G4862,1)),"",IF((AND(FIND('112'!$M$9,G4862,1)&gt;=1,B4862='112'!$K$9,OR($N4862='112'!$I$6,$O4862='112'!$I$6))),"x",""))</f>
        <v/>
      </c>
      <c r="U4862" s="79" t="str">
        <f>IF(ISERROR(FIND('112'!$M$9,G4862,1)),"",IF((AND(LEFT(G4862,2)=LEFT('112'!$M$9,2),B4862&lt;'112'!$K$9,$N4862='112'!$I$6)),"x",""))</f>
        <v/>
      </c>
      <c r="V4862" s="79" t="str">
        <f>IF(ISERROR(FIND('112'!$M$9,G4862,1)),"",IF((AND(RIGHT(G4862,2)=RIGHT('112'!$M$9,2),B4862&lt;'112'!$K$9,$O4862='112'!$I$6)),"x",""))</f>
        <v/>
      </c>
      <c r="W4862" s="79" t="str">
        <f>IF(AND('341-CT'!$H$9=H4862,OR(LEFT(N4862,3)=$W$7,LEFT(O4862,3)=$W$7)),"x","")</f>
        <v/>
      </c>
      <c r="X4862" s="79" t="str">
        <f>IF(OR(TH!N4862=TH!$X$7,O4862=TH!$X$7),"x","")</f>
        <v/>
      </c>
      <c r="Y4862" s="79" t="str">
        <f>IF(AND(OR(N4862="131",O4862="131"),H4862='131-CT'!$H$9),"x","")</f>
        <v/>
      </c>
      <c r="Z4862" s="79"/>
      <c r="AA4862" s="79" t="str">
        <f>IF(AND(MONTH(E4862)='IN-NX'!$J$5,'IN-NX'!$D$7=D4862),"x","")</f>
        <v/>
      </c>
      <c r="AB4862" s="79" t="str">
        <f>IF(AND(OR(LEFT(TH!N4862,2)="15",LEFT(TH!O4862,2)="15"),LEFT(TH!O4862,3)&lt;&gt;"111",'152-CT'!$J$8=TH!F4862),"x","")</f>
        <v/>
      </c>
      <c r="AC4862" s="79" t="str">
        <f>IF(AND(OR(LEFT(TH!N4862,2)="15",LEFT(TH!O4862,2)="15"),TK!$E$7=TH!F4862),"x","")</f>
        <v/>
      </c>
      <c r="AD4862" s="79" t="str">
        <f>IF(AND(N4862="1521",MONTH(C4862)='BK-NL'!$M$11),"x","")</f>
        <v/>
      </c>
    </row>
    <row r="4863" spans="1:30" ht="16.5" customHeight="1">
      <c r="A4863" s="318" t="str">
        <f>IF(B4863&lt;&gt;"",IF(AND(B4863='[3]IN-TC'!$S$4,OR([3]TH!N4094="1111",[3]TH!O4094="1111")),[3]TH!D4094,""),"")</f>
        <v/>
      </c>
      <c r="B4863" s="60" t="str">
        <f t="shared" si="479"/>
        <v/>
      </c>
      <c r="C4863" s="61"/>
      <c r="D4863" s="61"/>
      <c r="E4863" s="61"/>
      <c r="F4863" s="64"/>
      <c r="G4863" s="64"/>
      <c r="H4863" s="69"/>
      <c r="I4863" s="385"/>
      <c r="J4863" s="395"/>
      <c r="K4863" s="385"/>
      <c r="L4863" s="392"/>
      <c r="M4863" s="62"/>
      <c r="N4863" s="63"/>
      <c r="O4863" s="63"/>
      <c r="P4863" s="79" t="str">
        <f>IF(AND('331-CT'!$E$7=TH!H4863,OR(N4863="331",O4863="331")),"x","")</f>
        <v/>
      </c>
      <c r="Q4863" s="79" t="str">
        <f>IF(AND(B4863='111'!$L$11,OR($N4863=$Q$7,$O4863=$Q$7)),"x","")</f>
        <v/>
      </c>
      <c r="R4863" s="79" t="str">
        <f>IF(AND($N4863=$Q$7,$B4863&lt;'111'!$L$11),"x","")</f>
        <v/>
      </c>
      <c r="S4863" s="79" t="str">
        <f>IF(AND($O4863=$Q$7,$B4863&lt;'111'!$L$11),"x","")</f>
        <v/>
      </c>
      <c r="T4863" s="79" t="str">
        <f>IF(ISERROR(FIND('112'!$M$9,G4863,1)),"",IF((AND(FIND('112'!$M$9,G4863,1)&gt;=1,B4863='112'!$K$9,OR($N4863='112'!$I$6,$O4863='112'!$I$6))),"x",""))</f>
        <v/>
      </c>
      <c r="U4863" s="79" t="str">
        <f>IF(ISERROR(FIND('112'!$M$9,G4863,1)),"",IF((AND(LEFT(G4863,2)=LEFT('112'!$M$9,2),B4863&lt;'112'!$K$9,$N4863='112'!$I$6)),"x",""))</f>
        <v/>
      </c>
      <c r="V4863" s="79" t="str">
        <f>IF(ISERROR(FIND('112'!$M$9,G4863,1)),"",IF((AND(RIGHT(G4863,2)=RIGHT('112'!$M$9,2),B4863&lt;'112'!$K$9,$O4863='112'!$I$6)),"x",""))</f>
        <v/>
      </c>
      <c r="W4863" s="79" t="str">
        <f>IF(AND('341-CT'!$H$9=H4863,OR(LEFT(N4863,3)=$W$7,LEFT(O4863,3)=$W$7)),"x","")</f>
        <v/>
      </c>
      <c r="X4863" s="79" t="str">
        <f>IF(OR(TH!N4863=TH!$X$7,O4863=TH!$X$7),"x","")</f>
        <v/>
      </c>
      <c r="Y4863" s="79" t="str">
        <f>IF(AND(OR(N4863="131",O4863="131"),H4863='131-CT'!$H$9),"x","")</f>
        <v/>
      </c>
      <c r="Z4863" s="79"/>
      <c r="AA4863" s="79" t="str">
        <f>IF(AND(MONTH(E4863)='IN-NX'!$J$5,'IN-NX'!$D$7=D4863),"x","")</f>
        <v/>
      </c>
      <c r="AB4863" s="79" t="str">
        <f>IF(AND(OR(LEFT(TH!N4863,2)="15",LEFT(TH!O4863,2)="15"),LEFT(TH!O4863,3)&lt;&gt;"111",'152-CT'!$J$8=TH!F4863),"x","")</f>
        <v/>
      </c>
      <c r="AC4863" s="79" t="str">
        <f>IF(AND(OR(LEFT(TH!N4863,2)="15",LEFT(TH!O4863,2)="15"),TK!$E$7=TH!F4863),"x","")</f>
        <v/>
      </c>
      <c r="AD4863" s="79" t="str">
        <f>IF(AND(N4863="1521",MONTH(C4863)='BK-NL'!$M$11),"x","")</f>
        <v/>
      </c>
    </row>
    <row r="4864" spans="1:30" s="313" customFormat="1" ht="16.5" customHeight="1">
      <c r="A4864" s="318" t="str">
        <f>IF(B4864&lt;&gt;"",IF(AND(B4864='[3]IN-TC'!$S$4,OR([3]TH!N4095="1111",[3]TH!O4095="1111")),[3]TH!D4095,""),"")</f>
        <v/>
      </c>
      <c r="B4864" s="60" t="str">
        <f t="shared" si="479"/>
        <v/>
      </c>
      <c r="C4864" s="61"/>
      <c r="D4864" s="61"/>
      <c r="E4864" s="61"/>
      <c r="F4864" s="302"/>
      <c r="G4864" s="64"/>
      <c r="H4864" s="69"/>
      <c r="I4864" s="385"/>
      <c r="J4864" s="395"/>
      <c r="K4864" s="385"/>
      <c r="L4864" s="392"/>
      <c r="M4864" s="62"/>
      <c r="N4864" s="63"/>
      <c r="O4864" s="63"/>
      <c r="P4864" s="79" t="str">
        <f>IF(AND('331-CT'!$E$7=TH!H4864,OR(N4864="331",O4864="331")),"x","")</f>
        <v/>
      </c>
      <c r="Q4864" s="79" t="str">
        <f>IF(AND(B4864='111'!$L$11,OR($N4864=$Q$7,$O4864=$Q$7)),"x","")</f>
        <v/>
      </c>
      <c r="R4864" s="79" t="str">
        <f>IF(AND($N4864=$Q$7,$B4864&lt;'111'!$L$11),"x","")</f>
        <v/>
      </c>
      <c r="S4864" s="79" t="str">
        <f>IF(AND($O4864=$Q$7,$B4864&lt;'111'!$L$11),"x","")</f>
        <v/>
      </c>
      <c r="T4864" s="79" t="str">
        <f>IF(ISERROR(FIND('112'!$M$9,G4864,1)),"",IF((AND(FIND('112'!$M$9,G4864,1)&gt;=1,B4864='112'!$K$9,OR($N4864='112'!$I$6,$O4864='112'!$I$6))),"x",""))</f>
        <v/>
      </c>
      <c r="U4864" s="79" t="str">
        <f>IF(ISERROR(FIND('112'!$M$9,G4864,1)),"",IF((AND(LEFT(G4864,2)=LEFT('112'!$M$9,2),B4864&lt;'112'!$K$9,$N4864='112'!$I$6)),"x",""))</f>
        <v/>
      </c>
      <c r="V4864" s="79" t="str">
        <f>IF(ISERROR(FIND('112'!$M$9,G4864,1)),"",IF((AND(RIGHT(G4864,2)=RIGHT('112'!$M$9,2),B4864&lt;'112'!$K$9,$O4864='112'!$I$6)),"x",""))</f>
        <v/>
      </c>
      <c r="W4864" s="79" t="str">
        <f>IF(AND('341-CT'!$H$9=H4864,OR(LEFT(N4864,3)=$W$7,LEFT(O4864,3)=$W$7)),"x","")</f>
        <v/>
      </c>
      <c r="X4864" s="79" t="str">
        <f>IF(OR(TH!N4864=TH!$X$7,O4864=TH!$X$7),"x","")</f>
        <v/>
      </c>
      <c r="Y4864" s="79" t="str">
        <f>IF(AND(OR(N4864="131",O4864="131"),H4864='131-CT'!$H$9),"x","")</f>
        <v/>
      </c>
      <c r="Z4864" s="79"/>
      <c r="AA4864" s="79" t="str">
        <f>IF(AND(MONTH(E4864)='IN-NX'!$J$5,'IN-NX'!$D$7=D4864),"x","")</f>
        <v/>
      </c>
      <c r="AB4864" s="79" t="str">
        <f>IF(AND(OR(LEFT(TH!N4864,2)="15",LEFT(TH!O4864,2)="15"),LEFT(TH!O4864,3)&lt;&gt;"111",'152-CT'!$J$8=TH!F4864),"x","")</f>
        <v/>
      </c>
      <c r="AC4864" s="79" t="str">
        <f>IF(AND(OR(LEFT(TH!N4864,2)="15",LEFT(TH!O4864,2)="15"),TK!$E$7=TH!F4864),"x","")</f>
        <v/>
      </c>
      <c r="AD4864" s="79" t="str">
        <f>IF(AND(N4864="1521",MONTH(C4864)='BK-NL'!$M$11),"x","")</f>
        <v/>
      </c>
    </row>
    <row r="4865" spans="1:30" ht="16.5" customHeight="1">
      <c r="A4865" s="318" t="str">
        <f>IF(B4865&lt;&gt;"",IF(AND(B4865='[3]IN-TC'!$S$4,OR([3]TH!N4096="1111",[3]TH!O4096="1111")),[3]TH!D4096,""),"")</f>
        <v/>
      </c>
      <c r="B4865" s="60" t="str">
        <f t="shared" si="479"/>
        <v/>
      </c>
      <c r="C4865" s="301"/>
      <c r="D4865" s="301"/>
      <c r="E4865" s="301"/>
      <c r="F4865" s="302"/>
      <c r="G4865" s="302"/>
      <c r="H4865" s="303"/>
      <c r="I4865" s="385"/>
      <c r="J4865" s="395"/>
      <c r="K4865" s="385"/>
      <c r="L4865" s="392"/>
      <c r="M4865" s="62"/>
      <c r="N4865" s="304"/>
      <c r="O4865" s="304"/>
      <c r="P4865" s="79" t="str">
        <f>IF(AND('331-CT'!$E$7=TH!H4865,OR(N4865="331",O4865="331")),"x","")</f>
        <v/>
      </c>
      <c r="Q4865" s="79" t="str">
        <f>IF(AND(B4865='111'!$L$11,OR($N4865=$Q$7,$O4865=$Q$7)),"x","")</f>
        <v/>
      </c>
      <c r="R4865" s="79" t="str">
        <f>IF(AND($N4865=$Q$7,$B4865&lt;'111'!$L$11),"x","")</f>
        <v/>
      </c>
      <c r="S4865" s="79" t="str">
        <f>IF(AND($O4865=$Q$7,$B4865&lt;'111'!$L$11),"x","")</f>
        <v/>
      </c>
      <c r="T4865" s="79" t="str">
        <f>IF(ISERROR(FIND('112'!$M$9,G4865,1)),"",IF((AND(FIND('112'!$M$9,G4865,1)&gt;=1,B4865='112'!$K$9,OR($N4865='112'!$I$6,$O4865='112'!$I$6))),"x",""))</f>
        <v/>
      </c>
      <c r="U4865" s="79" t="str">
        <f>IF(ISERROR(FIND('112'!$M$9,G4865,1)),"",IF((AND(LEFT(G4865,2)=LEFT('112'!$M$9,2),B4865&lt;'112'!$K$9,$N4865='112'!$I$6)),"x",""))</f>
        <v/>
      </c>
      <c r="V4865" s="79" t="str">
        <f>IF(ISERROR(FIND('112'!$M$9,G4865,1)),"",IF((AND(RIGHT(G4865,2)=RIGHT('112'!$M$9,2),B4865&lt;'112'!$K$9,$O4865='112'!$I$6)),"x",""))</f>
        <v/>
      </c>
      <c r="W4865" s="79" t="str">
        <f>IF(AND('341-CT'!$H$9=H4865,OR(LEFT(N4865,3)=$W$7,LEFT(O4865,3)=$W$7)),"x","")</f>
        <v/>
      </c>
      <c r="X4865" s="79" t="str">
        <f>IF(OR(TH!N4865=TH!$X$7,O4865=TH!$X$7),"x","")</f>
        <v/>
      </c>
      <c r="Y4865" s="79" t="str">
        <f>IF(AND(OR(N4865="131",O4865="131"),H4865='131-CT'!$H$9),"x","")</f>
        <v/>
      </c>
      <c r="Z4865" s="79"/>
      <c r="AA4865" s="79" t="str">
        <f>IF(AND(MONTH(E4865)='IN-NX'!$J$5,'IN-NX'!$D$7=D4865),"x","")</f>
        <v/>
      </c>
      <c r="AB4865" s="79" t="str">
        <f>IF(AND(OR(LEFT(TH!N4865,2)="15",LEFT(TH!O4865,2)="15"),LEFT(TH!O4865,3)&lt;&gt;"111",'152-CT'!$J$8=TH!F4865),"x","")</f>
        <v/>
      </c>
      <c r="AC4865" s="79" t="str">
        <f>IF(AND(OR(LEFT(TH!N4865,2)="15",LEFT(TH!O4865,2)="15"),TK!$E$7=TH!F4865),"x","")</f>
        <v/>
      </c>
      <c r="AD4865" s="79" t="str">
        <f>IF(AND(N4865="1521",MONTH(C4865)='BK-NL'!$M$11),"x","")</f>
        <v/>
      </c>
    </row>
    <row r="4866" spans="1:30" ht="16.5" customHeight="1">
      <c r="A4866" s="318" t="str">
        <f>IF(B4866&lt;&gt;"",IF(AND(B4866='[3]IN-TC'!$S$4,OR([3]TH!N4097="1111",[3]TH!O4097="1111")),[3]TH!D4097,""),"")</f>
        <v/>
      </c>
      <c r="B4866" s="60" t="str">
        <f t="shared" si="479"/>
        <v/>
      </c>
      <c r="C4866" s="301"/>
      <c r="D4866" s="301"/>
      <c r="E4866" s="301"/>
      <c r="F4866" s="302"/>
      <c r="G4866" s="302"/>
      <c r="H4866" s="303"/>
      <c r="I4866" s="385"/>
      <c r="J4866" s="395"/>
      <c r="K4866" s="385"/>
      <c r="L4866" s="392"/>
      <c r="M4866" s="62"/>
      <c r="N4866" s="304"/>
      <c r="O4866" s="304"/>
      <c r="P4866" s="79" t="str">
        <f>IF(AND('331-CT'!$E$7=TH!H4866,OR(N4866="331",O4866="331")),"x","")</f>
        <v/>
      </c>
      <c r="Q4866" s="79" t="str">
        <f>IF(AND(B4866='111'!$L$11,OR($N4866=$Q$7,$O4866=$Q$7)),"x","")</f>
        <v/>
      </c>
      <c r="R4866" s="79" t="str">
        <f>IF(AND($N4866=$Q$7,$B4866&lt;'111'!$L$11),"x","")</f>
        <v/>
      </c>
      <c r="S4866" s="79" t="str">
        <f>IF(AND($O4866=$Q$7,$B4866&lt;'111'!$L$11),"x","")</f>
        <v/>
      </c>
      <c r="T4866" s="79" t="str">
        <f>IF(ISERROR(FIND('112'!$M$9,G4866,1)),"",IF((AND(FIND('112'!$M$9,G4866,1)&gt;=1,B4866='112'!$K$9,OR($N4866='112'!$I$6,$O4866='112'!$I$6))),"x",""))</f>
        <v/>
      </c>
      <c r="U4866" s="79" t="str">
        <f>IF(ISERROR(FIND('112'!$M$9,G4866,1)),"",IF((AND(LEFT(G4866,2)=LEFT('112'!$M$9,2),B4866&lt;'112'!$K$9,$N4866='112'!$I$6)),"x",""))</f>
        <v/>
      </c>
      <c r="V4866" s="79" t="str">
        <f>IF(ISERROR(FIND('112'!$M$9,G4866,1)),"",IF((AND(RIGHT(G4866,2)=RIGHT('112'!$M$9,2),B4866&lt;'112'!$K$9,$O4866='112'!$I$6)),"x",""))</f>
        <v/>
      </c>
      <c r="W4866" s="79" t="str">
        <f>IF(AND('341-CT'!$H$9=H4866,OR(LEFT(N4866,3)=$W$7,LEFT(O4866,3)=$W$7)),"x","")</f>
        <v/>
      </c>
      <c r="X4866" s="79" t="str">
        <f>IF(OR(TH!N4866=TH!$X$7,O4866=TH!$X$7),"x","")</f>
        <v/>
      </c>
      <c r="Y4866" s="79" t="str">
        <f>IF(AND(OR(N4866="131",O4866="131"),H4866='131-CT'!$H$9),"x","")</f>
        <v/>
      </c>
      <c r="Z4866" s="79"/>
      <c r="AA4866" s="79" t="str">
        <f>IF(AND(MONTH(E4866)='IN-NX'!$J$5,'IN-NX'!$D$7=D4866),"x","")</f>
        <v/>
      </c>
      <c r="AB4866" s="79" t="str">
        <f>IF(AND(OR(LEFT(TH!N4866,2)="15",LEFT(TH!O4866,2)="15"),LEFT(TH!O4866,3)&lt;&gt;"111",'152-CT'!$J$8=TH!F4866),"x","")</f>
        <v/>
      </c>
      <c r="AC4866" s="79" t="str">
        <f>IF(AND(OR(LEFT(TH!N4866,2)="15",LEFT(TH!O4866,2)="15"),TK!$E$7=TH!F4866),"x","")</f>
        <v/>
      </c>
      <c r="AD4866" s="79" t="str">
        <f>IF(AND(N4866="1521",MONTH(C4866)='BK-NL'!$M$11),"x","")</f>
        <v/>
      </c>
    </row>
    <row r="4867" spans="1:30" ht="16.5" customHeight="1">
      <c r="A4867" s="318" t="str">
        <f>IF(B4867&lt;&gt;"",IF(AND(B4867='[3]IN-TC'!$S$4,OR([3]TH!N4098="1111",[3]TH!O4098="1111")),[3]TH!D4098,""),"")</f>
        <v/>
      </c>
      <c r="B4867" s="60" t="str">
        <f t="shared" si="479"/>
        <v/>
      </c>
      <c r="C4867" s="301"/>
      <c r="D4867" s="301"/>
      <c r="E4867" s="301"/>
      <c r="F4867" s="302"/>
      <c r="G4867" s="302"/>
      <c r="H4867" s="303"/>
      <c r="I4867" s="385"/>
      <c r="J4867" s="395"/>
      <c r="K4867" s="385"/>
      <c r="L4867" s="392"/>
      <c r="M4867" s="62"/>
      <c r="N4867" s="304"/>
      <c r="O4867" s="304"/>
      <c r="P4867" s="79" t="str">
        <f>IF(AND('331-CT'!$E$7=TH!H4867,OR(N4867="331",O4867="331")),"x","")</f>
        <v/>
      </c>
      <c r="Q4867" s="79" t="str">
        <f>IF(AND(B4867='111'!$L$11,OR($N4867=$Q$7,$O4867=$Q$7)),"x","")</f>
        <v/>
      </c>
      <c r="R4867" s="79" t="str">
        <f>IF(AND($N4867=$Q$7,$B4867&lt;'111'!$L$11),"x","")</f>
        <v/>
      </c>
      <c r="S4867" s="79" t="str">
        <f>IF(AND($O4867=$Q$7,$B4867&lt;'111'!$L$11),"x","")</f>
        <v/>
      </c>
      <c r="T4867" s="79" t="str">
        <f>IF(ISERROR(FIND('112'!$M$9,G4867,1)),"",IF((AND(FIND('112'!$M$9,G4867,1)&gt;=1,B4867='112'!$K$9,OR($N4867='112'!$I$6,$O4867='112'!$I$6))),"x",""))</f>
        <v/>
      </c>
      <c r="U4867" s="79" t="str">
        <f>IF(ISERROR(FIND('112'!$M$9,G4867,1)),"",IF((AND(LEFT(G4867,2)=LEFT('112'!$M$9,2),B4867&lt;'112'!$K$9,$N4867='112'!$I$6)),"x",""))</f>
        <v/>
      </c>
      <c r="V4867" s="79" t="str">
        <f>IF(ISERROR(FIND('112'!$M$9,G4867,1)),"",IF((AND(RIGHT(G4867,2)=RIGHT('112'!$M$9,2),B4867&lt;'112'!$K$9,$O4867='112'!$I$6)),"x",""))</f>
        <v/>
      </c>
      <c r="W4867" s="79" t="str">
        <f>IF(AND('341-CT'!$H$9=H4867,OR(LEFT(N4867,3)=$W$7,LEFT(O4867,3)=$W$7)),"x","")</f>
        <v/>
      </c>
      <c r="X4867" s="79" t="str">
        <f>IF(OR(TH!N4867=TH!$X$7,O4867=TH!$X$7),"x","")</f>
        <v/>
      </c>
      <c r="Y4867" s="79" t="str">
        <f>IF(AND(OR(N4867="131",O4867="131"),H4867='131-CT'!$H$9),"x","")</f>
        <v/>
      </c>
      <c r="Z4867" s="79"/>
      <c r="AA4867" s="79" t="str">
        <f>IF(AND(MONTH(E4867)='IN-NX'!$J$5,'IN-NX'!$D$7=D4867),"x","")</f>
        <v/>
      </c>
      <c r="AB4867" s="79" t="str">
        <f>IF(AND(OR(LEFT(TH!N4867,2)="15",LEFT(TH!O4867,2)="15"),LEFT(TH!O4867,3)&lt;&gt;"111",'152-CT'!$J$8=TH!F4867),"x","")</f>
        <v/>
      </c>
      <c r="AC4867" s="79" t="str">
        <f>IF(AND(OR(LEFT(TH!N4867,2)="15",LEFT(TH!O4867,2)="15"),TK!$E$7=TH!F4867),"x","")</f>
        <v/>
      </c>
      <c r="AD4867" s="79" t="str">
        <f>IF(AND(N4867="1521",MONTH(C4867)='BK-NL'!$M$11),"x","")</f>
        <v/>
      </c>
    </row>
    <row r="4868" spans="1:30" ht="16.5" customHeight="1">
      <c r="A4868" s="318" t="str">
        <f>IF(B4868&lt;&gt;"",IF(AND(B4868='[3]IN-TC'!$S$4,OR([3]TH!N4099="1111",[3]TH!O4099="1111")),[3]TH!D4099,""),"")</f>
        <v/>
      </c>
      <c r="B4868" s="60" t="str">
        <f t="shared" si="479"/>
        <v/>
      </c>
      <c r="C4868" s="301"/>
      <c r="D4868" s="301"/>
      <c r="E4868" s="301"/>
      <c r="F4868" s="302"/>
      <c r="G4868" s="302"/>
      <c r="H4868" s="303"/>
      <c r="I4868" s="385"/>
      <c r="J4868" s="395"/>
      <c r="K4868" s="385"/>
      <c r="L4868" s="392"/>
      <c r="M4868" s="62"/>
      <c r="N4868" s="304"/>
      <c r="O4868" s="304"/>
      <c r="P4868" s="79" t="str">
        <f>IF(AND('331-CT'!$E$7=TH!H4868,OR(N4868="331",O4868="331")),"x","")</f>
        <v/>
      </c>
      <c r="Q4868" s="79" t="str">
        <f>IF(AND(B4868='111'!$L$11,OR($N4868=$Q$7,$O4868=$Q$7)),"x","")</f>
        <v/>
      </c>
      <c r="R4868" s="79" t="str">
        <f>IF(AND($N4868=$Q$7,$B4868&lt;'111'!$L$11),"x","")</f>
        <v/>
      </c>
      <c r="S4868" s="79" t="str">
        <f>IF(AND($O4868=$Q$7,$B4868&lt;'111'!$L$11),"x","")</f>
        <v/>
      </c>
      <c r="T4868" s="79" t="str">
        <f>IF(ISERROR(FIND('112'!$M$9,G4868,1)),"",IF((AND(FIND('112'!$M$9,G4868,1)&gt;=1,B4868='112'!$K$9,OR($N4868='112'!$I$6,$O4868='112'!$I$6))),"x",""))</f>
        <v/>
      </c>
      <c r="U4868" s="79" t="str">
        <f>IF(ISERROR(FIND('112'!$M$9,G4868,1)),"",IF((AND(LEFT(G4868,2)=LEFT('112'!$M$9,2),B4868&lt;'112'!$K$9,$N4868='112'!$I$6)),"x",""))</f>
        <v/>
      </c>
      <c r="V4868" s="79" t="str">
        <f>IF(ISERROR(FIND('112'!$M$9,G4868,1)),"",IF((AND(RIGHT(G4868,2)=RIGHT('112'!$M$9,2),B4868&lt;'112'!$K$9,$O4868='112'!$I$6)),"x",""))</f>
        <v/>
      </c>
      <c r="W4868" s="79" t="str">
        <f>IF(AND('341-CT'!$H$9=H4868,OR(LEFT(N4868,3)=$W$7,LEFT(O4868,3)=$W$7)),"x","")</f>
        <v/>
      </c>
      <c r="X4868" s="79" t="str">
        <f>IF(OR(TH!N4868=TH!$X$7,O4868=TH!$X$7),"x","")</f>
        <v/>
      </c>
      <c r="Y4868" s="79" t="str">
        <f>IF(AND(OR(N4868="131",O4868="131"),H4868='131-CT'!$H$9),"x","")</f>
        <v/>
      </c>
      <c r="Z4868" s="79"/>
      <c r="AA4868" s="79" t="str">
        <f>IF(AND(MONTH(E4868)='IN-NX'!$J$5,'IN-NX'!$D$7=D4868),"x","")</f>
        <v/>
      </c>
      <c r="AB4868" s="79" t="str">
        <f>IF(AND(OR(LEFT(TH!N4868,2)="15",LEFT(TH!O4868,2)="15"),LEFT(TH!O4868,3)&lt;&gt;"111",'152-CT'!$J$8=TH!F4868),"x","")</f>
        <v/>
      </c>
      <c r="AC4868" s="79" t="str">
        <f>IF(AND(OR(LEFT(TH!N4868,2)="15",LEFT(TH!O4868,2)="15"),TK!$E$7=TH!F4868),"x","")</f>
        <v/>
      </c>
      <c r="AD4868" s="79" t="str">
        <f>IF(AND(N4868="1521",MONTH(C4868)='BK-NL'!$M$11),"x","")</f>
        <v/>
      </c>
    </row>
    <row r="4869" spans="1:30" ht="16.5" customHeight="1">
      <c r="A4869" s="318" t="str">
        <f>IF(B4869&lt;&gt;"",IF(AND(B4869='[3]IN-TC'!$S$4,OR([3]TH!N4100="1111",[3]TH!O4100="1111")),[3]TH!D4100,""),"")</f>
        <v/>
      </c>
      <c r="B4869" s="60" t="str">
        <f t="shared" si="479"/>
        <v/>
      </c>
      <c r="C4869" s="301"/>
      <c r="D4869" s="301"/>
      <c r="E4869" s="301"/>
      <c r="F4869" s="302"/>
      <c r="G4869" s="302"/>
      <c r="H4869" s="303"/>
      <c r="I4869" s="385"/>
      <c r="J4869" s="395"/>
      <c r="K4869" s="385"/>
      <c r="L4869" s="392"/>
      <c r="M4869" s="62"/>
      <c r="N4869" s="304"/>
      <c r="O4869" s="304"/>
      <c r="P4869" s="79" t="str">
        <f>IF(AND('331-CT'!$E$7=TH!H4869,OR(N4869="331",O4869="331")),"x","")</f>
        <v/>
      </c>
      <c r="Q4869" s="79" t="str">
        <f>IF(AND(B4869='111'!$L$11,OR($N4869=$Q$7,$O4869=$Q$7)),"x","")</f>
        <v/>
      </c>
      <c r="R4869" s="79" t="str">
        <f>IF(AND($N4869=$Q$7,$B4869&lt;'111'!$L$11),"x","")</f>
        <v/>
      </c>
      <c r="S4869" s="79" t="str">
        <f>IF(AND($O4869=$Q$7,$B4869&lt;'111'!$L$11),"x","")</f>
        <v/>
      </c>
      <c r="T4869" s="79" t="str">
        <f>IF(ISERROR(FIND('112'!$M$9,G4869,1)),"",IF((AND(FIND('112'!$M$9,G4869,1)&gt;=1,B4869='112'!$K$9,OR($N4869='112'!$I$6,$O4869='112'!$I$6))),"x",""))</f>
        <v/>
      </c>
      <c r="U4869" s="79" t="str">
        <f>IF(ISERROR(FIND('112'!$M$9,G4869,1)),"",IF((AND(LEFT(G4869,2)=LEFT('112'!$M$9,2),B4869&lt;'112'!$K$9,$N4869='112'!$I$6)),"x",""))</f>
        <v/>
      </c>
      <c r="V4869" s="79" t="str">
        <f>IF(ISERROR(FIND('112'!$M$9,G4869,1)),"",IF((AND(RIGHT(G4869,2)=RIGHT('112'!$M$9,2),B4869&lt;'112'!$K$9,$O4869='112'!$I$6)),"x",""))</f>
        <v/>
      </c>
      <c r="W4869" s="79" t="str">
        <f>IF(AND('341-CT'!$H$9=H4869,OR(LEFT(N4869,3)=$W$7,LEFT(O4869,3)=$W$7)),"x","")</f>
        <v/>
      </c>
      <c r="X4869" s="79" t="str">
        <f>IF(OR(TH!N4869=TH!$X$7,O4869=TH!$X$7),"x","")</f>
        <v/>
      </c>
      <c r="Y4869" s="79" t="str">
        <f>IF(AND(OR(N4869="131",O4869="131"),H4869='131-CT'!$H$9),"x","")</f>
        <v/>
      </c>
      <c r="Z4869" s="79"/>
      <c r="AA4869" s="79" t="str">
        <f>IF(AND(MONTH(E4869)='IN-NX'!$J$5,'IN-NX'!$D$7=D4869),"x","")</f>
        <v/>
      </c>
      <c r="AB4869" s="79" t="str">
        <f>IF(AND(OR(LEFT(TH!N4869,2)="15",LEFT(TH!O4869,2)="15"),LEFT(TH!O4869,3)&lt;&gt;"111",'152-CT'!$J$8=TH!F4869),"x","")</f>
        <v/>
      </c>
      <c r="AC4869" s="79" t="str">
        <f>IF(AND(OR(LEFT(TH!N4869,2)="15",LEFT(TH!O4869,2)="15"),TK!$E$7=TH!F4869),"x","")</f>
        <v/>
      </c>
      <c r="AD4869" s="79" t="str">
        <f>IF(AND(N4869="1521",MONTH(C4869)='BK-NL'!$M$11),"x","")</f>
        <v/>
      </c>
    </row>
    <row r="4870" spans="1:30" ht="16.5" customHeight="1">
      <c r="A4870" s="318" t="str">
        <f>IF(B4870&lt;&gt;"",IF(AND(B4870='[3]IN-TC'!$S$4,OR([3]TH!N4101="1111",[3]TH!O4101="1111")),[3]TH!D4101,""),"")</f>
        <v/>
      </c>
      <c r="B4870" s="60" t="str">
        <f t="shared" si="479"/>
        <v/>
      </c>
      <c r="C4870" s="301"/>
      <c r="D4870" s="301"/>
      <c r="E4870" s="301"/>
      <c r="F4870" s="302"/>
      <c r="G4870" s="302"/>
      <c r="H4870" s="303"/>
      <c r="I4870" s="385"/>
      <c r="J4870" s="395"/>
      <c r="K4870" s="385"/>
      <c r="L4870" s="392"/>
      <c r="M4870" s="62"/>
      <c r="N4870" s="304"/>
      <c r="O4870" s="304"/>
      <c r="P4870" s="79" t="str">
        <f>IF(AND('331-CT'!$E$7=TH!H4870,OR(N4870="331",O4870="331")),"x","")</f>
        <v/>
      </c>
      <c r="Q4870" s="79" t="str">
        <f>IF(AND(B4870='111'!$L$11,OR($N4870=$Q$7,$O4870=$Q$7)),"x","")</f>
        <v/>
      </c>
      <c r="R4870" s="79" t="str">
        <f>IF(AND($N4870=$Q$7,$B4870&lt;'111'!$L$11),"x","")</f>
        <v/>
      </c>
      <c r="S4870" s="79" t="str">
        <f>IF(AND($O4870=$Q$7,$B4870&lt;'111'!$L$11),"x","")</f>
        <v/>
      </c>
      <c r="T4870" s="79" t="str">
        <f>IF(ISERROR(FIND('112'!$M$9,G4870,1)),"",IF((AND(FIND('112'!$M$9,G4870,1)&gt;=1,B4870='112'!$K$9,OR($N4870='112'!$I$6,$O4870='112'!$I$6))),"x",""))</f>
        <v/>
      </c>
      <c r="U4870" s="79" t="str">
        <f>IF(ISERROR(FIND('112'!$M$9,G4870,1)),"",IF((AND(LEFT(G4870,2)=LEFT('112'!$M$9,2),B4870&lt;'112'!$K$9,$N4870='112'!$I$6)),"x",""))</f>
        <v/>
      </c>
      <c r="V4870" s="79" t="str">
        <f>IF(ISERROR(FIND('112'!$M$9,G4870,1)),"",IF((AND(RIGHT(G4870,2)=RIGHT('112'!$M$9,2),B4870&lt;'112'!$K$9,$O4870='112'!$I$6)),"x",""))</f>
        <v/>
      </c>
      <c r="W4870" s="79" t="str">
        <f>IF(AND('341-CT'!$H$9=H4870,OR(LEFT(N4870,3)=$W$7,LEFT(O4870,3)=$W$7)),"x","")</f>
        <v/>
      </c>
      <c r="X4870" s="79" t="str">
        <f>IF(OR(TH!N4870=TH!$X$7,O4870=TH!$X$7),"x","")</f>
        <v/>
      </c>
      <c r="Y4870" s="79" t="str">
        <f>IF(AND(OR(N4870="131",O4870="131"),H4870='131-CT'!$H$9),"x","")</f>
        <v/>
      </c>
      <c r="Z4870" s="79"/>
      <c r="AA4870" s="79" t="str">
        <f>IF(AND(MONTH(E4870)='IN-NX'!$J$5,'IN-NX'!$D$7=D4870),"x","")</f>
        <v/>
      </c>
      <c r="AB4870" s="79" t="str">
        <f>IF(AND(OR(LEFT(TH!N4870,2)="15",LEFT(TH!O4870,2)="15"),LEFT(TH!O4870,3)&lt;&gt;"111",'152-CT'!$J$8=TH!F4870),"x","")</f>
        <v/>
      </c>
      <c r="AC4870" s="79" t="str">
        <f>IF(AND(OR(LEFT(TH!N4870,2)="15",LEFT(TH!O4870,2)="15"),TK!$E$7=TH!F4870),"x","")</f>
        <v/>
      </c>
      <c r="AD4870" s="79" t="str">
        <f>IF(AND(N4870="1521",MONTH(C4870)='BK-NL'!$M$11),"x","")</f>
        <v/>
      </c>
    </row>
    <row r="4871" spans="1:30" ht="16.5" customHeight="1">
      <c r="A4871" s="318" t="str">
        <f>IF(B4871&lt;&gt;"",IF(AND(B4871='[3]IN-TC'!$S$4,OR([3]TH!N4102="1111",[3]TH!O4102="1111")),[3]TH!D4102,""),"")</f>
        <v/>
      </c>
      <c r="B4871" s="60" t="str">
        <f t="shared" si="479"/>
        <v/>
      </c>
      <c r="C4871" s="301"/>
      <c r="D4871" s="301"/>
      <c r="E4871" s="301"/>
      <c r="F4871" s="302"/>
      <c r="G4871" s="302"/>
      <c r="H4871" s="303"/>
      <c r="I4871" s="385"/>
      <c r="J4871" s="395"/>
      <c r="K4871" s="385"/>
      <c r="L4871" s="392"/>
      <c r="M4871" s="62"/>
      <c r="N4871" s="304"/>
      <c r="O4871" s="304"/>
      <c r="P4871" s="79" t="str">
        <f>IF(AND('331-CT'!$E$7=TH!H4871,OR(N4871="331",O4871="331")),"x","")</f>
        <v/>
      </c>
      <c r="Q4871" s="79" t="str">
        <f>IF(AND(B4871='111'!$L$11,OR($N4871=$Q$7,$O4871=$Q$7)),"x","")</f>
        <v/>
      </c>
      <c r="R4871" s="79" t="str">
        <f>IF(AND($N4871=$Q$7,$B4871&lt;'111'!$L$11),"x","")</f>
        <v/>
      </c>
      <c r="S4871" s="79" t="str">
        <f>IF(AND($O4871=$Q$7,$B4871&lt;'111'!$L$11),"x","")</f>
        <v/>
      </c>
      <c r="T4871" s="79" t="str">
        <f>IF(ISERROR(FIND('112'!$M$9,G4871,1)),"",IF((AND(FIND('112'!$M$9,G4871,1)&gt;=1,B4871='112'!$K$9,OR($N4871='112'!$I$6,$O4871='112'!$I$6))),"x",""))</f>
        <v/>
      </c>
      <c r="U4871" s="79" t="str">
        <f>IF(ISERROR(FIND('112'!$M$9,G4871,1)),"",IF((AND(LEFT(G4871,2)=LEFT('112'!$M$9,2),B4871&lt;'112'!$K$9,$N4871='112'!$I$6)),"x",""))</f>
        <v/>
      </c>
      <c r="V4871" s="79" t="str">
        <f>IF(ISERROR(FIND('112'!$M$9,G4871,1)),"",IF((AND(RIGHT(G4871,2)=RIGHT('112'!$M$9,2),B4871&lt;'112'!$K$9,$O4871='112'!$I$6)),"x",""))</f>
        <v/>
      </c>
      <c r="W4871" s="79" t="str">
        <f>IF(AND('341-CT'!$H$9=H4871,OR(LEFT(N4871,3)=$W$7,LEFT(O4871,3)=$W$7)),"x","")</f>
        <v/>
      </c>
      <c r="X4871" s="79" t="str">
        <f>IF(OR(TH!N4871=TH!$X$7,O4871=TH!$X$7),"x","")</f>
        <v/>
      </c>
      <c r="Y4871" s="79" t="str">
        <f>IF(AND(OR(N4871="131",O4871="131"),H4871='131-CT'!$H$9),"x","")</f>
        <v/>
      </c>
      <c r="Z4871" s="79"/>
      <c r="AA4871" s="79" t="str">
        <f>IF(AND(MONTH(E4871)='IN-NX'!$J$5,'IN-NX'!$D$7=D4871),"x","")</f>
        <v/>
      </c>
      <c r="AB4871" s="79" t="str">
        <f>IF(AND(OR(LEFT(TH!N4871,2)="15",LEFT(TH!O4871,2)="15"),LEFT(TH!O4871,3)&lt;&gt;"111",'152-CT'!$J$8=TH!F4871),"x","")</f>
        <v/>
      </c>
      <c r="AC4871" s="79" t="str">
        <f>IF(AND(OR(LEFT(TH!N4871,2)="15",LEFT(TH!O4871,2)="15"),TK!$E$7=TH!F4871),"x","")</f>
        <v/>
      </c>
      <c r="AD4871" s="79" t="str">
        <f>IF(AND(N4871="1521",MONTH(C4871)='BK-NL'!$M$11),"x","")</f>
        <v/>
      </c>
    </row>
    <row r="4872" spans="1:30" ht="16.5" customHeight="1">
      <c r="A4872" s="318" t="str">
        <f>IF(B4872&lt;&gt;"",IF(AND(B4872='[3]IN-TC'!$S$4,OR([3]TH!N4103="1111",[3]TH!O4103="1111")),[3]TH!D4103,""),"")</f>
        <v/>
      </c>
      <c r="B4872" s="60" t="str">
        <f t="shared" si="479"/>
        <v/>
      </c>
      <c r="C4872" s="301"/>
      <c r="D4872" s="301"/>
      <c r="E4872" s="301"/>
      <c r="F4872" s="302"/>
      <c r="G4872" s="302"/>
      <c r="H4872" s="303"/>
      <c r="I4872" s="385"/>
      <c r="J4872" s="395"/>
      <c r="K4872" s="385"/>
      <c r="L4872" s="392"/>
      <c r="M4872" s="62"/>
      <c r="N4872" s="304"/>
      <c r="O4872" s="304"/>
      <c r="P4872" s="79" t="str">
        <f>IF(AND('331-CT'!$E$7=TH!H4872,OR(N4872="331",O4872="331")),"x","")</f>
        <v/>
      </c>
      <c r="Q4872" s="79" t="str">
        <f>IF(AND(B4872='111'!$L$11,OR($N4872=$Q$7,$O4872=$Q$7)),"x","")</f>
        <v/>
      </c>
      <c r="R4872" s="79" t="str">
        <f>IF(AND($N4872=$Q$7,$B4872&lt;'111'!$L$11),"x","")</f>
        <v/>
      </c>
      <c r="S4872" s="79" t="str">
        <f>IF(AND($O4872=$Q$7,$B4872&lt;'111'!$L$11),"x","")</f>
        <v/>
      </c>
      <c r="T4872" s="79" t="str">
        <f>IF(ISERROR(FIND('112'!$M$9,G4872,1)),"",IF((AND(FIND('112'!$M$9,G4872,1)&gt;=1,B4872='112'!$K$9,OR($N4872='112'!$I$6,$O4872='112'!$I$6))),"x",""))</f>
        <v/>
      </c>
      <c r="U4872" s="79" t="str">
        <f>IF(ISERROR(FIND('112'!$M$9,G4872,1)),"",IF((AND(LEFT(G4872,2)=LEFT('112'!$M$9,2),B4872&lt;'112'!$K$9,$N4872='112'!$I$6)),"x",""))</f>
        <v/>
      </c>
      <c r="V4872" s="79" t="str">
        <f>IF(ISERROR(FIND('112'!$M$9,G4872,1)),"",IF((AND(RIGHT(G4872,2)=RIGHT('112'!$M$9,2),B4872&lt;'112'!$K$9,$O4872='112'!$I$6)),"x",""))</f>
        <v/>
      </c>
      <c r="W4872" s="79" t="str">
        <f>IF(AND('341-CT'!$H$9=H4872,OR(LEFT(N4872,3)=$W$7,LEFT(O4872,3)=$W$7)),"x","")</f>
        <v/>
      </c>
      <c r="X4872" s="79" t="str">
        <f>IF(OR(TH!N4872=TH!$X$7,O4872=TH!$X$7),"x","")</f>
        <v/>
      </c>
      <c r="Y4872" s="79" t="str">
        <f>IF(AND(OR(N4872="131",O4872="131"),H4872='131-CT'!$H$9),"x","")</f>
        <v/>
      </c>
      <c r="Z4872" s="79"/>
      <c r="AA4872" s="79" t="str">
        <f>IF(AND(MONTH(E4872)='IN-NX'!$J$5,'IN-NX'!$D$7=D4872),"x","")</f>
        <v/>
      </c>
      <c r="AB4872" s="79" t="str">
        <f>IF(AND(OR(LEFT(TH!N4872,2)="15",LEFT(TH!O4872,2)="15"),LEFT(TH!O4872,3)&lt;&gt;"111",'152-CT'!$J$8=TH!F4872),"x","")</f>
        <v/>
      </c>
      <c r="AC4872" s="79" t="str">
        <f>IF(AND(OR(LEFT(TH!N4872,2)="15",LEFT(TH!O4872,2)="15"),TK!$E$7=TH!F4872),"x","")</f>
        <v/>
      </c>
      <c r="AD4872" s="79" t="str">
        <f>IF(AND(N4872="1521",MONTH(C4872)='BK-NL'!$M$11),"x","")</f>
        <v/>
      </c>
    </row>
    <row r="4873" spans="1:30" ht="16.5" customHeight="1">
      <c r="A4873" s="318" t="str">
        <f>IF(B4873&lt;&gt;"",IF(AND(B4873='[3]IN-TC'!$S$4,OR([3]TH!N4104="1111",[3]TH!O4104="1111")),[3]TH!D4104,""),"")</f>
        <v/>
      </c>
      <c r="B4873" s="60" t="str">
        <f t="shared" si="479"/>
        <v/>
      </c>
      <c r="C4873" s="301"/>
      <c r="D4873" s="301"/>
      <c r="E4873" s="301"/>
      <c r="F4873" s="302"/>
      <c r="G4873" s="302"/>
      <c r="H4873" s="303"/>
      <c r="I4873" s="385"/>
      <c r="J4873" s="395"/>
      <c r="K4873" s="385"/>
      <c r="L4873" s="392"/>
      <c r="M4873" s="62"/>
      <c r="N4873" s="304"/>
      <c r="O4873" s="304"/>
      <c r="P4873" s="79" t="str">
        <f>IF(AND('331-CT'!$E$7=TH!H4873,OR(N4873="331",O4873="331")),"x","")</f>
        <v/>
      </c>
      <c r="Q4873" s="79" t="str">
        <f>IF(AND(B4873='111'!$L$11,OR($N4873=$Q$7,$O4873=$Q$7)),"x","")</f>
        <v/>
      </c>
      <c r="R4873" s="79" t="str">
        <f>IF(AND($N4873=$Q$7,$B4873&lt;'111'!$L$11),"x","")</f>
        <v/>
      </c>
      <c r="S4873" s="79" t="str">
        <f>IF(AND($O4873=$Q$7,$B4873&lt;'111'!$L$11),"x","")</f>
        <v/>
      </c>
      <c r="T4873" s="79" t="str">
        <f>IF(ISERROR(FIND('112'!$M$9,G4873,1)),"",IF((AND(FIND('112'!$M$9,G4873,1)&gt;=1,B4873='112'!$K$9,OR($N4873='112'!$I$6,$O4873='112'!$I$6))),"x",""))</f>
        <v/>
      </c>
      <c r="U4873" s="79" t="str">
        <f>IF(ISERROR(FIND('112'!$M$9,G4873,1)),"",IF((AND(LEFT(G4873,2)=LEFT('112'!$M$9,2),B4873&lt;'112'!$K$9,$N4873='112'!$I$6)),"x",""))</f>
        <v/>
      </c>
      <c r="V4873" s="79" t="str">
        <f>IF(ISERROR(FIND('112'!$M$9,G4873,1)),"",IF((AND(RIGHT(G4873,2)=RIGHT('112'!$M$9,2),B4873&lt;'112'!$K$9,$O4873='112'!$I$6)),"x",""))</f>
        <v/>
      </c>
      <c r="W4873" s="79" t="str">
        <f>IF(AND('341-CT'!$H$9=H4873,OR(LEFT(N4873,3)=$W$7,LEFT(O4873,3)=$W$7)),"x","")</f>
        <v/>
      </c>
      <c r="X4873" s="79" t="str">
        <f>IF(OR(TH!N4873=TH!$X$7,O4873=TH!$X$7),"x","")</f>
        <v/>
      </c>
      <c r="Y4873" s="79" t="str">
        <f>IF(AND(OR(N4873="131",O4873="131"),H4873='131-CT'!$H$9),"x","")</f>
        <v/>
      </c>
      <c r="Z4873" s="79"/>
      <c r="AA4873" s="79" t="str">
        <f>IF(AND(MONTH(E4873)='IN-NX'!$J$5,'IN-NX'!$D$7=D4873),"x","")</f>
        <v/>
      </c>
      <c r="AB4873" s="79" t="str">
        <f>IF(AND(OR(LEFT(TH!N4873,2)="15",LEFT(TH!O4873,2)="15"),LEFT(TH!O4873,3)&lt;&gt;"111",'152-CT'!$J$8=TH!F4873),"x","")</f>
        <v/>
      </c>
      <c r="AC4873" s="79" t="str">
        <f>IF(AND(OR(LEFT(TH!N4873,2)="15",LEFT(TH!O4873,2)="15"),TK!$E$7=TH!F4873),"x","")</f>
        <v/>
      </c>
      <c r="AD4873" s="79" t="str">
        <f>IF(AND(N4873="1521",MONTH(C4873)='BK-NL'!$M$11),"x","")</f>
        <v/>
      </c>
    </row>
    <row r="4874" spans="1:30" ht="16.5" customHeight="1">
      <c r="A4874" s="318" t="str">
        <f>IF(B4874&lt;&gt;"",IF(AND(B4874='[3]IN-TC'!$S$4,OR([3]TH!N4105="1111",[3]TH!O4105="1111")),[3]TH!D4105,""),"")</f>
        <v/>
      </c>
      <c r="B4874" s="60" t="str">
        <f t="shared" si="479"/>
        <v/>
      </c>
      <c r="C4874" s="301"/>
      <c r="D4874" s="301"/>
      <c r="E4874" s="301"/>
      <c r="F4874" s="302"/>
      <c r="G4874" s="302"/>
      <c r="H4874" s="303"/>
      <c r="I4874" s="385"/>
      <c r="J4874" s="395"/>
      <c r="K4874" s="385"/>
      <c r="L4874" s="392"/>
      <c r="M4874" s="62"/>
      <c r="N4874" s="304"/>
      <c r="O4874" s="304"/>
      <c r="P4874" s="79" t="str">
        <f>IF(AND('331-CT'!$E$7=TH!H4874,OR(N4874="331",O4874="331")),"x","")</f>
        <v/>
      </c>
      <c r="Q4874" s="79" t="str">
        <f>IF(AND(B4874='111'!$L$11,OR($N4874=$Q$7,$O4874=$Q$7)),"x","")</f>
        <v/>
      </c>
      <c r="R4874" s="79" t="str">
        <f>IF(AND($N4874=$Q$7,$B4874&lt;'111'!$L$11),"x","")</f>
        <v/>
      </c>
      <c r="S4874" s="79" t="str">
        <f>IF(AND($O4874=$Q$7,$B4874&lt;'111'!$L$11),"x","")</f>
        <v/>
      </c>
      <c r="T4874" s="79" t="str">
        <f>IF(ISERROR(FIND('112'!$M$9,G4874,1)),"",IF((AND(FIND('112'!$M$9,G4874,1)&gt;=1,B4874='112'!$K$9,OR($N4874='112'!$I$6,$O4874='112'!$I$6))),"x",""))</f>
        <v/>
      </c>
      <c r="U4874" s="79" t="str">
        <f>IF(ISERROR(FIND('112'!$M$9,G4874,1)),"",IF((AND(LEFT(G4874,2)=LEFT('112'!$M$9,2),B4874&lt;'112'!$K$9,$N4874='112'!$I$6)),"x",""))</f>
        <v/>
      </c>
      <c r="V4874" s="79" t="str">
        <f>IF(ISERROR(FIND('112'!$M$9,G4874,1)),"",IF((AND(RIGHT(G4874,2)=RIGHT('112'!$M$9,2),B4874&lt;'112'!$K$9,$O4874='112'!$I$6)),"x",""))</f>
        <v/>
      </c>
      <c r="W4874" s="79" t="str">
        <f>IF(AND('341-CT'!$H$9=H4874,OR(LEFT(N4874,3)=$W$7,LEFT(O4874,3)=$W$7)),"x","")</f>
        <v/>
      </c>
      <c r="X4874" s="79" t="str">
        <f>IF(OR(TH!N4874=TH!$X$7,O4874=TH!$X$7),"x","")</f>
        <v/>
      </c>
      <c r="Y4874" s="79" t="str">
        <f>IF(AND(OR(N4874="131",O4874="131"),H4874='131-CT'!$H$9),"x","")</f>
        <v/>
      </c>
      <c r="Z4874" s="79"/>
      <c r="AA4874" s="79" t="str">
        <f>IF(AND(MONTH(E4874)='IN-NX'!$J$5,'IN-NX'!$D$7=D4874),"x","")</f>
        <v/>
      </c>
      <c r="AB4874" s="79" t="str">
        <f>IF(AND(OR(LEFT(TH!N4874,2)="15",LEFT(TH!O4874,2)="15"),LEFT(TH!O4874,3)&lt;&gt;"111",'152-CT'!$J$8=TH!F4874),"x","")</f>
        <v/>
      </c>
      <c r="AC4874" s="79" t="str">
        <f>IF(AND(OR(LEFT(TH!N4874,2)="15",LEFT(TH!O4874,2)="15"),TK!$E$7=TH!F4874),"x","")</f>
        <v/>
      </c>
      <c r="AD4874" s="79" t="str">
        <f>IF(AND(N4874="1521",MONTH(C4874)='BK-NL'!$M$11),"x","")</f>
        <v/>
      </c>
    </row>
    <row r="4875" spans="1:30" ht="16.5" customHeight="1">
      <c r="A4875" s="318" t="str">
        <f>IF(B4875&lt;&gt;"",IF(AND(B4875='[3]IN-TC'!$S$4,OR([3]TH!N4106="1111",[3]TH!O4106="1111")),[3]TH!D4106,""),"")</f>
        <v/>
      </c>
      <c r="B4875" s="60" t="str">
        <f t="shared" si="479"/>
        <v/>
      </c>
      <c r="C4875" s="301"/>
      <c r="D4875" s="301"/>
      <c r="E4875" s="301"/>
      <c r="F4875" s="302"/>
      <c r="G4875" s="302"/>
      <c r="H4875" s="303"/>
      <c r="I4875" s="385"/>
      <c r="J4875" s="395"/>
      <c r="K4875" s="385"/>
      <c r="L4875" s="392"/>
      <c r="M4875" s="62"/>
      <c r="N4875" s="304"/>
      <c r="O4875" s="304"/>
      <c r="P4875" s="79" t="str">
        <f>IF(AND('331-CT'!$E$7=TH!H4875,OR(N4875="331",O4875="331")),"x","")</f>
        <v/>
      </c>
      <c r="Q4875" s="79" t="str">
        <f>IF(AND(B4875='111'!$L$11,OR($N4875=$Q$7,$O4875=$Q$7)),"x","")</f>
        <v/>
      </c>
      <c r="R4875" s="79" t="str">
        <f>IF(AND($N4875=$Q$7,$B4875&lt;'111'!$L$11),"x","")</f>
        <v/>
      </c>
      <c r="S4875" s="79" t="str">
        <f>IF(AND($O4875=$Q$7,$B4875&lt;'111'!$L$11),"x","")</f>
        <v/>
      </c>
      <c r="T4875" s="79" t="str">
        <f>IF(ISERROR(FIND('112'!$M$9,G4875,1)),"",IF((AND(FIND('112'!$M$9,G4875,1)&gt;=1,B4875='112'!$K$9,OR($N4875='112'!$I$6,$O4875='112'!$I$6))),"x",""))</f>
        <v/>
      </c>
      <c r="U4875" s="79" t="str">
        <f>IF(ISERROR(FIND('112'!$M$9,G4875,1)),"",IF((AND(LEFT(G4875,2)=LEFT('112'!$M$9,2),B4875&lt;'112'!$K$9,$N4875='112'!$I$6)),"x",""))</f>
        <v/>
      </c>
      <c r="V4875" s="79" t="str">
        <f>IF(ISERROR(FIND('112'!$M$9,G4875,1)),"",IF((AND(RIGHT(G4875,2)=RIGHT('112'!$M$9,2),B4875&lt;'112'!$K$9,$O4875='112'!$I$6)),"x",""))</f>
        <v/>
      </c>
      <c r="W4875" s="79" t="str">
        <f>IF(AND('341-CT'!$H$9=H4875,OR(LEFT(N4875,3)=$W$7,LEFT(O4875,3)=$W$7)),"x","")</f>
        <v/>
      </c>
      <c r="X4875" s="79" t="str">
        <f>IF(OR(TH!N4875=TH!$X$7,O4875=TH!$X$7),"x","")</f>
        <v/>
      </c>
      <c r="Y4875" s="79" t="str">
        <f>IF(AND(OR(N4875="131",O4875="131"),H4875='131-CT'!$H$9),"x","")</f>
        <v/>
      </c>
      <c r="Z4875" s="79"/>
      <c r="AA4875" s="79" t="str">
        <f>IF(AND(MONTH(E4875)='IN-NX'!$J$5,'IN-NX'!$D$7=D4875),"x","")</f>
        <v/>
      </c>
      <c r="AB4875" s="79" t="str">
        <f>IF(AND(OR(LEFT(TH!N4875,2)="15",LEFT(TH!O4875,2)="15"),LEFT(TH!O4875,3)&lt;&gt;"111",'152-CT'!$J$8=TH!F4875),"x","")</f>
        <v/>
      </c>
      <c r="AC4875" s="79" t="str">
        <f>IF(AND(OR(LEFT(TH!N4875,2)="15",LEFT(TH!O4875,2)="15"),TK!$E$7=TH!F4875),"x","")</f>
        <v/>
      </c>
      <c r="AD4875" s="79" t="str">
        <f>IF(AND(N4875="1521",MONTH(C4875)='BK-NL'!$M$11),"x","")</f>
        <v/>
      </c>
    </row>
    <row r="4876" spans="1:30" ht="16.5" customHeight="1">
      <c r="A4876" s="318" t="str">
        <f>IF(B4876&lt;&gt;"",IF(AND(B4876='[3]IN-TC'!$S$4,OR([3]TH!N4107="1111",[3]TH!O4107="1111")),[3]TH!D4107,""),"")</f>
        <v/>
      </c>
      <c r="B4876" s="60" t="str">
        <f t="shared" si="479"/>
        <v/>
      </c>
      <c r="C4876" s="301"/>
      <c r="D4876" s="301"/>
      <c r="E4876" s="301"/>
      <c r="F4876" s="302"/>
      <c r="G4876" s="302"/>
      <c r="H4876" s="303"/>
      <c r="I4876" s="385"/>
      <c r="J4876" s="395"/>
      <c r="K4876" s="385"/>
      <c r="L4876" s="392"/>
      <c r="M4876" s="62"/>
      <c r="N4876" s="304"/>
      <c r="O4876" s="304"/>
      <c r="P4876" s="79" t="str">
        <f>IF(AND('331-CT'!$E$7=TH!H4876,OR(N4876="331",O4876="331")),"x","")</f>
        <v/>
      </c>
      <c r="Q4876" s="79" t="str">
        <f>IF(AND(B4876='111'!$L$11,OR($N4876=$Q$7,$O4876=$Q$7)),"x","")</f>
        <v/>
      </c>
      <c r="R4876" s="79" t="str">
        <f>IF(AND($N4876=$Q$7,$B4876&lt;'111'!$L$11),"x","")</f>
        <v/>
      </c>
      <c r="S4876" s="79" t="str">
        <f>IF(AND($O4876=$Q$7,$B4876&lt;'111'!$L$11),"x","")</f>
        <v/>
      </c>
      <c r="T4876" s="79" t="str">
        <f>IF(ISERROR(FIND('112'!$M$9,G4876,1)),"",IF((AND(FIND('112'!$M$9,G4876,1)&gt;=1,B4876='112'!$K$9,OR($N4876='112'!$I$6,$O4876='112'!$I$6))),"x",""))</f>
        <v/>
      </c>
      <c r="U4876" s="79" t="str">
        <f>IF(ISERROR(FIND('112'!$M$9,G4876,1)),"",IF((AND(LEFT(G4876,2)=LEFT('112'!$M$9,2),B4876&lt;'112'!$K$9,$N4876='112'!$I$6)),"x",""))</f>
        <v/>
      </c>
      <c r="V4876" s="79" t="str">
        <f>IF(ISERROR(FIND('112'!$M$9,G4876,1)),"",IF((AND(RIGHT(G4876,2)=RIGHT('112'!$M$9,2),B4876&lt;'112'!$K$9,$O4876='112'!$I$6)),"x",""))</f>
        <v/>
      </c>
      <c r="W4876" s="79" t="str">
        <f>IF(AND('341-CT'!$H$9=H4876,OR(LEFT(N4876,3)=$W$7,LEFT(O4876,3)=$W$7)),"x","")</f>
        <v/>
      </c>
      <c r="X4876" s="79" t="str">
        <f>IF(OR(TH!N4876=TH!$X$7,O4876=TH!$X$7),"x","")</f>
        <v/>
      </c>
      <c r="Y4876" s="79" t="str">
        <f>IF(AND(OR(N4876="131",O4876="131"),H4876='131-CT'!$H$9),"x","")</f>
        <v/>
      </c>
      <c r="Z4876" s="79"/>
      <c r="AA4876" s="79" t="str">
        <f>IF(AND(MONTH(E4876)='IN-NX'!$J$5,'IN-NX'!$D$7=D4876),"x","")</f>
        <v/>
      </c>
      <c r="AB4876" s="79" t="str">
        <f>IF(AND(OR(LEFT(TH!N4876,2)="15",LEFT(TH!O4876,2)="15"),LEFT(TH!O4876,3)&lt;&gt;"111",'152-CT'!$J$8=TH!F4876),"x","")</f>
        <v/>
      </c>
      <c r="AC4876" s="79" t="str">
        <f>IF(AND(OR(LEFT(TH!N4876,2)="15",LEFT(TH!O4876,2)="15"),TK!$E$7=TH!F4876),"x","")</f>
        <v/>
      </c>
      <c r="AD4876" s="79" t="str">
        <f>IF(AND(N4876="1521",MONTH(C4876)='BK-NL'!$M$11),"x","")</f>
        <v/>
      </c>
    </row>
    <row r="4877" spans="1:30" ht="16.5" customHeight="1">
      <c r="A4877" s="318" t="str">
        <f>IF(B4877&lt;&gt;"",IF(AND(B4877='[3]IN-TC'!$S$4,OR([3]TH!N4108="1111",[3]TH!O4108="1111")),[3]TH!D4108,""),"")</f>
        <v/>
      </c>
      <c r="B4877" s="60" t="str">
        <f t="shared" si="479"/>
        <v/>
      </c>
      <c r="C4877" s="301"/>
      <c r="D4877" s="301"/>
      <c r="E4877" s="301"/>
      <c r="F4877" s="302"/>
      <c r="G4877" s="302"/>
      <c r="H4877" s="303"/>
      <c r="I4877" s="385"/>
      <c r="J4877" s="395"/>
      <c r="K4877" s="385"/>
      <c r="L4877" s="392"/>
      <c r="M4877" s="62"/>
      <c r="N4877" s="304"/>
      <c r="O4877" s="304"/>
      <c r="P4877" s="79" t="str">
        <f>IF(AND('331-CT'!$E$7=TH!H4877,OR(N4877="331",O4877="331")),"x","")</f>
        <v/>
      </c>
      <c r="Q4877" s="79" t="str">
        <f>IF(AND(B4877='111'!$L$11,OR($N4877=$Q$7,$O4877=$Q$7)),"x","")</f>
        <v/>
      </c>
      <c r="R4877" s="79" t="str">
        <f>IF(AND($N4877=$Q$7,$B4877&lt;'111'!$L$11),"x","")</f>
        <v/>
      </c>
      <c r="S4877" s="79" t="str">
        <f>IF(AND($O4877=$Q$7,$B4877&lt;'111'!$L$11),"x","")</f>
        <v/>
      </c>
      <c r="T4877" s="79" t="str">
        <f>IF(ISERROR(FIND('112'!$M$9,G4877,1)),"",IF((AND(FIND('112'!$M$9,G4877,1)&gt;=1,B4877='112'!$K$9,OR($N4877='112'!$I$6,$O4877='112'!$I$6))),"x",""))</f>
        <v/>
      </c>
      <c r="U4877" s="79" t="str">
        <f>IF(ISERROR(FIND('112'!$M$9,G4877,1)),"",IF((AND(LEFT(G4877,2)=LEFT('112'!$M$9,2),B4877&lt;'112'!$K$9,$N4877='112'!$I$6)),"x",""))</f>
        <v/>
      </c>
      <c r="V4877" s="79" t="str">
        <f>IF(ISERROR(FIND('112'!$M$9,G4877,1)),"",IF((AND(RIGHT(G4877,2)=RIGHT('112'!$M$9,2),B4877&lt;'112'!$K$9,$O4877='112'!$I$6)),"x",""))</f>
        <v/>
      </c>
      <c r="W4877" s="79" t="str">
        <f>IF(AND('341-CT'!$H$9=H4877,OR(LEFT(N4877,3)=$W$7,LEFT(O4877,3)=$W$7)),"x","")</f>
        <v/>
      </c>
      <c r="X4877" s="79" t="str">
        <f>IF(OR(TH!N4877=TH!$X$7,O4877=TH!$X$7),"x","")</f>
        <v/>
      </c>
      <c r="Y4877" s="79" t="str">
        <f>IF(AND(OR(N4877="131",O4877="131"),H4877='131-CT'!$H$9),"x","")</f>
        <v/>
      </c>
      <c r="Z4877" s="79"/>
      <c r="AA4877" s="79" t="str">
        <f>IF(AND(MONTH(E4877)='IN-NX'!$J$5,'IN-NX'!$D$7=D4877),"x","")</f>
        <v/>
      </c>
      <c r="AB4877" s="79" t="str">
        <f>IF(AND(OR(LEFT(TH!N4877,2)="15",LEFT(TH!O4877,2)="15"),LEFT(TH!O4877,3)&lt;&gt;"111",'152-CT'!$J$8=TH!F4877),"x","")</f>
        <v/>
      </c>
      <c r="AC4877" s="79" t="str">
        <f>IF(AND(OR(LEFT(TH!N4877,2)="15",LEFT(TH!O4877,2)="15"),TK!$E$7=TH!F4877),"x","")</f>
        <v/>
      </c>
      <c r="AD4877" s="79" t="str">
        <f>IF(AND(N4877="1521",MONTH(C4877)='BK-NL'!$M$11),"x","")</f>
        <v/>
      </c>
    </row>
    <row r="4878" spans="1:30" ht="16.5" customHeight="1">
      <c r="A4878" s="318" t="str">
        <f>IF(B4878&lt;&gt;"",IF(AND(B4878='[3]IN-TC'!$S$4,OR([3]TH!N4109="1111",[3]TH!O4109="1111")),[3]TH!D4109,""),"")</f>
        <v/>
      </c>
      <c r="B4878" s="60" t="str">
        <f t="shared" si="479"/>
        <v/>
      </c>
      <c r="C4878" s="301"/>
      <c r="D4878" s="301"/>
      <c r="E4878" s="301"/>
      <c r="F4878" s="302"/>
      <c r="G4878" s="302"/>
      <c r="H4878" s="303"/>
      <c r="I4878" s="385"/>
      <c r="J4878" s="395"/>
      <c r="K4878" s="385"/>
      <c r="L4878" s="392"/>
      <c r="M4878" s="62"/>
      <c r="N4878" s="304"/>
      <c r="O4878" s="304"/>
      <c r="P4878" s="79" t="str">
        <f>IF(AND('331-CT'!$E$7=TH!H4878,OR(N4878="331",O4878="331")),"x","")</f>
        <v/>
      </c>
      <c r="Q4878" s="79" t="str">
        <f>IF(AND(B4878='111'!$L$11,OR($N4878=$Q$7,$O4878=$Q$7)),"x","")</f>
        <v/>
      </c>
      <c r="R4878" s="79" t="str">
        <f>IF(AND($N4878=$Q$7,$B4878&lt;'111'!$L$11),"x","")</f>
        <v/>
      </c>
      <c r="S4878" s="79" t="str">
        <f>IF(AND($O4878=$Q$7,$B4878&lt;'111'!$L$11),"x","")</f>
        <v/>
      </c>
      <c r="T4878" s="79" t="str">
        <f>IF(ISERROR(FIND('112'!$M$9,G4878,1)),"",IF((AND(FIND('112'!$M$9,G4878,1)&gt;=1,B4878='112'!$K$9,OR($N4878='112'!$I$6,$O4878='112'!$I$6))),"x",""))</f>
        <v/>
      </c>
      <c r="U4878" s="79" t="str">
        <f>IF(ISERROR(FIND('112'!$M$9,G4878,1)),"",IF((AND(LEFT(G4878,2)=LEFT('112'!$M$9,2),B4878&lt;'112'!$K$9,$N4878='112'!$I$6)),"x",""))</f>
        <v/>
      </c>
      <c r="V4878" s="79" t="str">
        <f>IF(ISERROR(FIND('112'!$M$9,G4878,1)),"",IF((AND(RIGHT(G4878,2)=RIGHT('112'!$M$9,2),B4878&lt;'112'!$K$9,$O4878='112'!$I$6)),"x",""))</f>
        <v/>
      </c>
      <c r="W4878" s="79" t="str">
        <f>IF(AND('341-CT'!$H$9=H4878,OR(LEFT(N4878,3)=$W$7,LEFT(O4878,3)=$W$7)),"x","")</f>
        <v/>
      </c>
      <c r="X4878" s="79" t="str">
        <f>IF(OR(TH!N4878=TH!$X$7,O4878=TH!$X$7),"x","")</f>
        <v/>
      </c>
      <c r="Y4878" s="79" t="str">
        <f>IF(AND(OR(N4878="131",O4878="131"),H4878='131-CT'!$H$9),"x","")</f>
        <v/>
      </c>
      <c r="Z4878" s="79"/>
      <c r="AA4878" s="79" t="str">
        <f>IF(AND(MONTH(E4878)='IN-NX'!$J$5,'IN-NX'!$D$7=D4878),"x","")</f>
        <v/>
      </c>
      <c r="AB4878" s="79" t="str">
        <f>IF(AND(OR(LEFT(TH!N4878,2)="15",LEFT(TH!O4878,2)="15"),LEFT(TH!O4878,3)&lt;&gt;"111",'152-CT'!$J$8=TH!F4878),"x","")</f>
        <v/>
      </c>
      <c r="AC4878" s="79" t="str">
        <f>IF(AND(OR(LEFT(TH!N4878,2)="15",LEFT(TH!O4878,2)="15"),TK!$E$7=TH!F4878),"x","")</f>
        <v/>
      </c>
      <c r="AD4878" s="79" t="str">
        <f>IF(AND(N4878="1521",MONTH(C4878)='BK-NL'!$M$11),"x","")</f>
        <v/>
      </c>
    </row>
    <row r="4879" spans="1:30" s="313" customFormat="1" ht="16.5" customHeight="1">
      <c r="A4879" s="318" t="str">
        <f>IF(B4879&lt;&gt;"",IF(AND(B4879='[3]IN-TC'!$S$4,OR([3]TH!N4110="1111",[3]TH!O4110="1111")),[3]TH!D4110,""),"")</f>
        <v/>
      </c>
      <c r="B4879" s="60" t="str">
        <f t="shared" si="479"/>
        <v/>
      </c>
      <c r="C4879" s="301"/>
      <c r="D4879" s="301"/>
      <c r="E4879" s="301"/>
      <c r="F4879" s="302"/>
      <c r="G4879" s="302"/>
      <c r="H4879" s="303"/>
      <c r="I4879" s="385"/>
      <c r="J4879" s="395"/>
      <c r="K4879" s="385"/>
      <c r="L4879" s="392"/>
      <c r="M4879" s="62"/>
      <c r="N4879" s="304"/>
      <c r="O4879" s="304"/>
      <c r="P4879" s="79" t="str">
        <f>IF(AND('331-CT'!$E$7=TH!H4879,OR(N4879="331",O4879="331")),"x","")</f>
        <v/>
      </c>
      <c r="Q4879" s="79" t="str">
        <f>IF(AND(B4879='111'!$L$11,OR($N4879=$Q$7,$O4879=$Q$7)),"x","")</f>
        <v/>
      </c>
      <c r="R4879" s="79" t="str">
        <f>IF(AND($N4879=$Q$7,$B4879&lt;'111'!$L$11),"x","")</f>
        <v/>
      </c>
      <c r="S4879" s="79" t="str">
        <f>IF(AND($O4879=$Q$7,$B4879&lt;'111'!$L$11),"x","")</f>
        <v/>
      </c>
      <c r="T4879" s="79" t="str">
        <f>IF(ISERROR(FIND('112'!$M$9,G4879,1)),"",IF((AND(FIND('112'!$M$9,G4879,1)&gt;=1,B4879='112'!$K$9,OR($N4879='112'!$I$6,$O4879='112'!$I$6))),"x",""))</f>
        <v/>
      </c>
      <c r="U4879" s="79" t="str">
        <f>IF(ISERROR(FIND('112'!$M$9,G4879,1)),"",IF((AND(LEFT(G4879,2)=LEFT('112'!$M$9,2),B4879&lt;'112'!$K$9,$N4879='112'!$I$6)),"x",""))</f>
        <v/>
      </c>
      <c r="V4879" s="79" t="str">
        <f>IF(ISERROR(FIND('112'!$M$9,G4879,1)),"",IF((AND(RIGHT(G4879,2)=RIGHT('112'!$M$9,2),B4879&lt;'112'!$K$9,$O4879='112'!$I$6)),"x",""))</f>
        <v/>
      </c>
      <c r="W4879" s="79" t="str">
        <f>IF(AND('341-CT'!$H$9=H4879,OR(LEFT(N4879,3)=$W$7,LEFT(O4879,3)=$W$7)),"x","")</f>
        <v/>
      </c>
      <c r="X4879" s="79" t="str">
        <f>IF(OR(TH!N4879=TH!$X$7,O4879=TH!$X$7),"x","")</f>
        <v/>
      </c>
      <c r="Y4879" s="79" t="str">
        <f>IF(AND(OR(N4879="131",O4879="131"),H4879='131-CT'!$H$9),"x","")</f>
        <v/>
      </c>
      <c r="Z4879" s="79"/>
      <c r="AA4879" s="79" t="str">
        <f>IF(AND(MONTH(E4879)='IN-NX'!$J$5,'IN-NX'!$D$7=D4879),"x","")</f>
        <v/>
      </c>
      <c r="AB4879" s="79" t="str">
        <f>IF(AND(OR(LEFT(TH!N4879,2)="15",LEFT(TH!O4879,2)="15"),LEFT(TH!O4879,3)&lt;&gt;"111",'152-CT'!$J$8=TH!F4879),"x","")</f>
        <v/>
      </c>
      <c r="AC4879" s="79" t="str">
        <f>IF(AND(OR(LEFT(TH!N4879,2)="15",LEFT(TH!O4879,2)="15"),TK!$E$7=TH!F4879),"x","")</f>
        <v/>
      </c>
      <c r="AD4879" s="79" t="str">
        <f>IF(AND(N4879="1521",MONTH(C4879)='BK-NL'!$M$11),"x","")</f>
        <v/>
      </c>
    </row>
    <row r="4880" spans="1:30" ht="16.5" customHeight="1">
      <c r="A4880" s="318" t="str">
        <f>IF(B4880&lt;&gt;"",IF(AND(B4880='[3]IN-TC'!$S$4,OR([3]TH!N4111="1111",[3]TH!O4111="1111")),[3]TH!D4111,""),"")</f>
        <v/>
      </c>
      <c r="B4880" s="60" t="str">
        <f t="shared" si="479"/>
        <v/>
      </c>
      <c r="C4880" s="301"/>
      <c r="D4880" s="301"/>
      <c r="E4880" s="301"/>
      <c r="F4880" s="302"/>
      <c r="G4880" s="302"/>
      <c r="H4880" s="303"/>
      <c r="I4880" s="385"/>
      <c r="J4880" s="395"/>
      <c r="K4880" s="385"/>
      <c r="L4880" s="392"/>
      <c r="M4880" s="62"/>
      <c r="N4880" s="304"/>
      <c r="O4880" s="304"/>
      <c r="P4880" s="79" t="str">
        <f>IF(AND('331-CT'!$E$7=TH!H4880,OR(N4880="331",O4880="331")),"x","")</f>
        <v/>
      </c>
      <c r="Q4880" s="79" t="str">
        <f>IF(AND(B4880='111'!$L$11,OR($N4880=$Q$7,$O4880=$Q$7)),"x","")</f>
        <v/>
      </c>
      <c r="R4880" s="79" t="str">
        <f>IF(AND($N4880=$Q$7,$B4880&lt;'111'!$L$11),"x","")</f>
        <v/>
      </c>
      <c r="S4880" s="79" t="str">
        <f>IF(AND($O4880=$Q$7,$B4880&lt;'111'!$L$11),"x","")</f>
        <v/>
      </c>
      <c r="T4880" s="79" t="str">
        <f>IF(ISERROR(FIND('112'!$M$9,G4880,1)),"",IF((AND(FIND('112'!$M$9,G4880,1)&gt;=1,B4880='112'!$K$9,OR($N4880='112'!$I$6,$O4880='112'!$I$6))),"x",""))</f>
        <v/>
      </c>
      <c r="U4880" s="79" t="str">
        <f>IF(ISERROR(FIND('112'!$M$9,G4880,1)),"",IF((AND(LEFT(G4880,2)=LEFT('112'!$M$9,2),B4880&lt;'112'!$K$9,$N4880='112'!$I$6)),"x",""))</f>
        <v/>
      </c>
      <c r="V4880" s="79" t="str">
        <f>IF(ISERROR(FIND('112'!$M$9,G4880,1)),"",IF((AND(RIGHT(G4880,2)=RIGHT('112'!$M$9,2),B4880&lt;'112'!$K$9,$O4880='112'!$I$6)),"x",""))</f>
        <v/>
      </c>
      <c r="W4880" s="79" t="str">
        <f>IF(AND('341-CT'!$H$9=H4880,OR(LEFT(N4880,3)=$W$7,LEFT(O4880,3)=$W$7)),"x","")</f>
        <v/>
      </c>
      <c r="X4880" s="79" t="str">
        <f>IF(OR(TH!N4880=TH!$X$7,O4880=TH!$X$7),"x","")</f>
        <v/>
      </c>
      <c r="Y4880" s="79" t="str">
        <f>IF(AND(OR(N4880="131",O4880="131"),H4880='131-CT'!$H$9),"x","")</f>
        <v/>
      </c>
      <c r="Z4880" s="79"/>
      <c r="AA4880" s="79" t="str">
        <f>IF(AND(MONTH(E4880)='IN-NX'!$J$5,'IN-NX'!$D$7=D4880),"x","")</f>
        <v/>
      </c>
      <c r="AB4880" s="79" t="str">
        <f>IF(AND(OR(LEFT(TH!N4880,2)="15",LEFT(TH!O4880,2)="15"),LEFT(TH!O4880,3)&lt;&gt;"111",'152-CT'!$J$8=TH!F4880),"x","")</f>
        <v/>
      </c>
      <c r="AC4880" s="79" t="str">
        <f>IF(AND(OR(LEFT(TH!N4880,2)="15",LEFT(TH!O4880,2)="15"),TK!$E$7=TH!F4880),"x","")</f>
        <v/>
      </c>
      <c r="AD4880" s="79" t="str">
        <f>IF(AND(N4880="1521",MONTH(C4880)='BK-NL'!$M$11),"x","")</f>
        <v/>
      </c>
    </row>
    <row r="4881" spans="1:30" ht="16.5" customHeight="1">
      <c r="A4881" s="318" t="str">
        <f>IF(B4881&lt;&gt;"",IF(AND(B4881='[3]IN-TC'!$S$4,OR([3]TH!N4112="1111",[3]TH!O4112="1111")),[3]TH!D4112,""),"")</f>
        <v/>
      </c>
      <c r="B4881" s="60" t="str">
        <f t="shared" si="479"/>
        <v/>
      </c>
      <c r="C4881" s="301"/>
      <c r="D4881" s="301"/>
      <c r="E4881" s="301"/>
      <c r="F4881" s="302"/>
      <c r="G4881" s="302"/>
      <c r="H4881" s="303"/>
      <c r="I4881" s="385"/>
      <c r="J4881" s="395"/>
      <c r="K4881" s="385"/>
      <c r="L4881" s="392"/>
      <c r="M4881" s="62"/>
      <c r="N4881" s="304"/>
      <c r="O4881" s="304"/>
      <c r="P4881" s="79" t="str">
        <f>IF(AND('331-CT'!$E$7=TH!H4881,OR(N4881="331",O4881="331")),"x","")</f>
        <v/>
      </c>
      <c r="Q4881" s="79" t="str">
        <f>IF(AND(B4881='111'!$L$11,OR($N4881=$Q$7,$O4881=$Q$7)),"x","")</f>
        <v/>
      </c>
      <c r="R4881" s="79" t="str">
        <f>IF(AND($N4881=$Q$7,$B4881&lt;'111'!$L$11),"x","")</f>
        <v/>
      </c>
      <c r="S4881" s="79" t="str">
        <f>IF(AND($O4881=$Q$7,$B4881&lt;'111'!$L$11),"x","")</f>
        <v/>
      </c>
      <c r="T4881" s="79" t="str">
        <f>IF(ISERROR(FIND('112'!$M$9,G4881,1)),"",IF((AND(FIND('112'!$M$9,G4881,1)&gt;=1,B4881='112'!$K$9,OR($N4881='112'!$I$6,$O4881='112'!$I$6))),"x",""))</f>
        <v/>
      </c>
      <c r="U4881" s="79" t="str">
        <f>IF(ISERROR(FIND('112'!$M$9,G4881,1)),"",IF((AND(LEFT(G4881,2)=LEFT('112'!$M$9,2),B4881&lt;'112'!$K$9,$N4881='112'!$I$6)),"x",""))</f>
        <v/>
      </c>
      <c r="V4881" s="79" t="str">
        <f>IF(ISERROR(FIND('112'!$M$9,G4881,1)),"",IF((AND(RIGHT(G4881,2)=RIGHT('112'!$M$9,2),B4881&lt;'112'!$K$9,$O4881='112'!$I$6)),"x",""))</f>
        <v/>
      </c>
      <c r="W4881" s="79" t="str">
        <f>IF(AND('341-CT'!$H$9=H4881,OR(LEFT(N4881,3)=$W$7,LEFT(O4881,3)=$W$7)),"x","")</f>
        <v/>
      </c>
      <c r="X4881" s="79" t="str">
        <f>IF(OR(TH!N4881=TH!$X$7,O4881=TH!$X$7),"x","")</f>
        <v/>
      </c>
      <c r="Y4881" s="79" t="str">
        <f>IF(AND(OR(N4881="131",O4881="131"),H4881='131-CT'!$H$9),"x","")</f>
        <v/>
      </c>
      <c r="Z4881" s="79"/>
      <c r="AA4881" s="79" t="str">
        <f>IF(AND(MONTH(E4881)='IN-NX'!$J$5,'IN-NX'!$D$7=D4881),"x","")</f>
        <v/>
      </c>
      <c r="AB4881" s="79" t="str">
        <f>IF(AND(OR(LEFT(TH!N4881,2)="15",LEFT(TH!O4881,2)="15"),LEFT(TH!O4881,3)&lt;&gt;"111",'152-CT'!$J$8=TH!F4881),"x","")</f>
        <v/>
      </c>
      <c r="AC4881" s="79" t="str">
        <f>IF(AND(OR(LEFT(TH!N4881,2)="15",LEFT(TH!O4881,2)="15"),TK!$E$7=TH!F4881),"x","")</f>
        <v/>
      </c>
      <c r="AD4881" s="79" t="str">
        <f>IF(AND(N4881="1521",MONTH(C4881)='BK-NL'!$M$11),"x","")</f>
        <v/>
      </c>
    </row>
    <row r="4882" spans="1:30" ht="16.5" customHeight="1">
      <c r="A4882" s="318" t="str">
        <f>IF(B4882&lt;&gt;"",IF(AND(B4882='[3]IN-TC'!$S$4,OR([3]TH!N4113="1111",[3]TH!O4113="1111")),[3]TH!D4113,""),"")</f>
        <v/>
      </c>
      <c r="B4882" s="60" t="str">
        <f t="shared" si="479"/>
        <v/>
      </c>
      <c r="C4882" s="301"/>
      <c r="D4882" s="301"/>
      <c r="E4882" s="301"/>
      <c r="F4882" s="302"/>
      <c r="G4882" s="302"/>
      <c r="H4882" s="303"/>
      <c r="I4882" s="385"/>
      <c r="J4882" s="395"/>
      <c r="K4882" s="385"/>
      <c r="L4882" s="392"/>
      <c r="M4882" s="62"/>
      <c r="N4882" s="304"/>
      <c r="O4882" s="304"/>
      <c r="P4882" s="79" t="str">
        <f>IF(AND('331-CT'!$E$7=TH!H4882,OR(N4882="331",O4882="331")),"x","")</f>
        <v/>
      </c>
      <c r="Q4882" s="79" t="str">
        <f>IF(AND(B4882='111'!$L$11,OR($N4882=$Q$7,$O4882=$Q$7)),"x","")</f>
        <v/>
      </c>
      <c r="R4882" s="79" t="str">
        <f>IF(AND($N4882=$Q$7,$B4882&lt;'111'!$L$11),"x","")</f>
        <v/>
      </c>
      <c r="S4882" s="79" t="str">
        <f>IF(AND($O4882=$Q$7,$B4882&lt;'111'!$L$11),"x","")</f>
        <v/>
      </c>
      <c r="T4882" s="79" t="str">
        <f>IF(ISERROR(FIND('112'!$M$9,G4882,1)),"",IF((AND(FIND('112'!$M$9,G4882,1)&gt;=1,B4882='112'!$K$9,OR($N4882='112'!$I$6,$O4882='112'!$I$6))),"x",""))</f>
        <v/>
      </c>
      <c r="U4882" s="79" t="str">
        <f>IF(ISERROR(FIND('112'!$M$9,G4882,1)),"",IF((AND(LEFT(G4882,2)=LEFT('112'!$M$9,2),B4882&lt;'112'!$K$9,$N4882='112'!$I$6)),"x",""))</f>
        <v/>
      </c>
      <c r="V4882" s="79" t="str">
        <f>IF(ISERROR(FIND('112'!$M$9,G4882,1)),"",IF((AND(RIGHT(G4882,2)=RIGHT('112'!$M$9,2),B4882&lt;'112'!$K$9,$O4882='112'!$I$6)),"x",""))</f>
        <v/>
      </c>
      <c r="W4882" s="79" t="str">
        <f>IF(AND('341-CT'!$H$9=H4882,OR(LEFT(N4882,3)=$W$7,LEFT(O4882,3)=$W$7)),"x","")</f>
        <v/>
      </c>
      <c r="X4882" s="79" t="str">
        <f>IF(OR(TH!N4882=TH!$X$7,O4882=TH!$X$7),"x","")</f>
        <v/>
      </c>
      <c r="Y4882" s="79" t="str">
        <f>IF(AND(OR(N4882="131",O4882="131"),H4882='131-CT'!$H$9),"x","")</f>
        <v/>
      </c>
      <c r="Z4882" s="79"/>
      <c r="AA4882" s="79" t="str">
        <f>IF(AND(MONTH(E4882)='IN-NX'!$J$5,'IN-NX'!$D$7=D4882),"x","")</f>
        <v/>
      </c>
      <c r="AB4882" s="79" t="str">
        <f>IF(AND(OR(LEFT(TH!N4882,2)="15",LEFT(TH!O4882,2)="15"),LEFT(TH!O4882,3)&lt;&gt;"111",'152-CT'!$J$8=TH!F4882),"x","")</f>
        <v/>
      </c>
      <c r="AC4882" s="79" t="str">
        <f>IF(AND(OR(LEFT(TH!N4882,2)="15",LEFT(TH!O4882,2)="15"),TK!$E$7=TH!F4882),"x","")</f>
        <v/>
      </c>
      <c r="AD4882" s="79" t="str">
        <f>IF(AND(N4882="1521",MONTH(C4882)='BK-NL'!$M$11),"x","")</f>
        <v/>
      </c>
    </row>
    <row r="4883" spans="1:30" ht="16.5" customHeight="1">
      <c r="A4883" s="318" t="str">
        <f>IF(B4883&lt;&gt;"",IF(AND(B4883='[3]IN-TC'!$S$4,OR([3]TH!N4114="1111",[3]TH!O4114="1111")),[3]TH!D4114,""),"")</f>
        <v/>
      </c>
      <c r="B4883" s="60" t="str">
        <f t="shared" si="479"/>
        <v/>
      </c>
      <c r="C4883" s="301"/>
      <c r="D4883" s="301"/>
      <c r="E4883" s="301"/>
      <c r="F4883" s="302"/>
      <c r="G4883" s="302"/>
      <c r="H4883" s="303"/>
      <c r="I4883" s="385"/>
      <c r="J4883" s="395"/>
      <c r="K4883" s="385"/>
      <c r="L4883" s="392"/>
      <c r="M4883" s="62"/>
      <c r="N4883" s="304"/>
      <c r="O4883" s="304"/>
      <c r="P4883" s="79" t="str">
        <f>IF(AND('331-CT'!$E$7=TH!H4883,OR(N4883="331",O4883="331")),"x","")</f>
        <v/>
      </c>
      <c r="Q4883" s="79" t="str">
        <f>IF(AND(B4883='111'!$L$11,OR($N4883=$Q$7,$O4883=$Q$7)),"x","")</f>
        <v/>
      </c>
      <c r="R4883" s="79" t="str">
        <f>IF(AND($N4883=$Q$7,$B4883&lt;'111'!$L$11),"x","")</f>
        <v/>
      </c>
      <c r="S4883" s="79" t="str">
        <f>IF(AND($O4883=$Q$7,$B4883&lt;'111'!$L$11),"x","")</f>
        <v/>
      </c>
      <c r="T4883" s="79" t="str">
        <f>IF(ISERROR(FIND('112'!$M$9,G4883,1)),"",IF((AND(FIND('112'!$M$9,G4883,1)&gt;=1,B4883='112'!$K$9,OR($N4883='112'!$I$6,$O4883='112'!$I$6))),"x",""))</f>
        <v/>
      </c>
      <c r="U4883" s="79" t="str">
        <f>IF(ISERROR(FIND('112'!$M$9,G4883,1)),"",IF((AND(LEFT(G4883,2)=LEFT('112'!$M$9,2),B4883&lt;'112'!$K$9,$N4883='112'!$I$6)),"x",""))</f>
        <v/>
      </c>
      <c r="V4883" s="79" t="str">
        <f>IF(ISERROR(FIND('112'!$M$9,G4883,1)),"",IF((AND(RIGHT(G4883,2)=RIGHT('112'!$M$9,2),B4883&lt;'112'!$K$9,$O4883='112'!$I$6)),"x",""))</f>
        <v/>
      </c>
      <c r="W4883" s="79" t="str">
        <f>IF(AND('341-CT'!$H$9=H4883,OR(LEFT(N4883,3)=$W$7,LEFT(O4883,3)=$W$7)),"x","")</f>
        <v/>
      </c>
      <c r="X4883" s="79" t="str">
        <f>IF(OR(TH!N4883=TH!$X$7,O4883=TH!$X$7),"x","")</f>
        <v/>
      </c>
      <c r="Y4883" s="79" t="str">
        <f>IF(AND(OR(N4883="131",O4883="131"),H4883='131-CT'!$H$9),"x","")</f>
        <v/>
      </c>
      <c r="Z4883" s="79"/>
      <c r="AA4883" s="79" t="str">
        <f>IF(AND(MONTH(E4883)='IN-NX'!$J$5,'IN-NX'!$D$7=D4883),"x","")</f>
        <v/>
      </c>
      <c r="AB4883" s="79" t="str">
        <f>IF(AND(OR(LEFT(TH!N4883,2)="15",LEFT(TH!O4883,2)="15"),LEFT(TH!O4883,3)&lt;&gt;"111",'152-CT'!$J$8=TH!F4883),"x","")</f>
        <v/>
      </c>
      <c r="AC4883" s="79" t="str">
        <f>IF(AND(OR(LEFT(TH!N4883,2)="15",LEFT(TH!O4883,2)="15"),TK!$E$7=TH!F4883),"x","")</f>
        <v/>
      </c>
      <c r="AD4883" s="79" t="str">
        <f>IF(AND(N4883="1521",MONTH(C4883)='BK-NL'!$M$11),"x","")</f>
        <v/>
      </c>
    </row>
    <row r="4884" spans="1:30" ht="16.5" customHeight="1">
      <c r="A4884" s="318" t="str">
        <f>IF(B4884&lt;&gt;"",IF(AND(B4884='[3]IN-TC'!$S$4,OR([3]TH!N4115="1111",[3]TH!O4115="1111")),[3]TH!D4115,""),"")</f>
        <v/>
      </c>
      <c r="B4884" s="60" t="str">
        <f t="shared" si="479"/>
        <v/>
      </c>
      <c r="C4884" s="301"/>
      <c r="D4884" s="301"/>
      <c r="E4884" s="301"/>
      <c r="F4884" s="302"/>
      <c r="G4884" s="302"/>
      <c r="H4884" s="303"/>
      <c r="I4884" s="385"/>
      <c r="J4884" s="395"/>
      <c r="K4884" s="385"/>
      <c r="L4884" s="392"/>
      <c r="M4884" s="62"/>
      <c r="N4884" s="304"/>
      <c r="O4884" s="304"/>
      <c r="P4884" s="79" t="str">
        <f>IF(AND('331-CT'!$E$7=TH!H4884,OR(N4884="331",O4884="331")),"x","")</f>
        <v/>
      </c>
      <c r="Q4884" s="79" t="str">
        <f>IF(AND(B4884='111'!$L$11,OR($N4884=$Q$7,$O4884=$Q$7)),"x","")</f>
        <v/>
      </c>
      <c r="R4884" s="79" t="str">
        <f>IF(AND($N4884=$Q$7,$B4884&lt;'111'!$L$11),"x","")</f>
        <v/>
      </c>
      <c r="S4884" s="79" t="str">
        <f>IF(AND($O4884=$Q$7,$B4884&lt;'111'!$L$11),"x","")</f>
        <v/>
      </c>
      <c r="T4884" s="79" t="str">
        <f>IF(ISERROR(FIND('112'!$M$9,G4884,1)),"",IF((AND(FIND('112'!$M$9,G4884,1)&gt;=1,B4884='112'!$K$9,OR($N4884='112'!$I$6,$O4884='112'!$I$6))),"x",""))</f>
        <v/>
      </c>
      <c r="U4884" s="79" t="str">
        <f>IF(ISERROR(FIND('112'!$M$9,G4884,1)),"",IF((AND(LEFT(G4884,2)=LEFT('112'!$M$9,2),B4884&lt;'112'!$K$9,$N4884='112'!$I$6)),"x",""))</f>
        <v/>
      </c>
      <c r="V4884" s="79" t="str">
        <f>IF(ISERROR(FIND('112'!$M$9,G4884,1)),"",IF((AND(RIGHT(G4884,2)=RIGHT('112'!$M$9,2),B4884&lt;'112'!$K$9,$O4884='112'!$I$6)),"x",""))</f>
        <v/>
      </c>
      <c r="W4884" s="79" t="str">
        <f>IF(AND('341-CT'!$H$9=H4884,OR(LEFT(N4884,3)=$W$7,LEFT(O4884,3)=$W$7)),"x","")</f>
        <v/>
      </c>
      <c r="X4884" s="79" t="str">
        <f>IF(OR(TH!N4884=TH!$X$7,O4884=TH!$X$7),"x","")</f>
        <v/>
      </c>
      <c r="Y4884" s="79" t="str">
        <f>IF(AND(OR(N4884="131",O4884="131"),H4884='131-CT'!$H$9),"x","")</f>
        <v/>
      </c>
      <c r="Z4884" s="79"/>
      <c r="AA4884" s="79" t="str">
        <f>IF(AND(MONTH(E4884)='IN-NX'!$J$5,'IN-NX'!$D$7=D4884),"x","")</f>
        <v/>
      </c>
      <c r="AB4884" s="79" t="str">
        <f>IF(AND(OR(LEFT(TH!N4884,2)="15",LEFT(TH!O4884,2)="15"),LEFT(TH!O4884,3)&lt;&gt;"111",'152-CT'!$J$8=TH!F4884),"x","")</f>
        <v/>
      </c>
      <c r="AC4884" s="79" t="str">
        <f>IF(AND(OR(LEFT(TH!N4884,2)="15",LEFT(TH!O4884,2)="15"),TK!$E$7=TH!F4884),"x","")</f>
        <v/>
      </c>
      <c r="AD4884" s="79" t="str">
        <f>IF(AND(N4884="1521",MONTH(C4884)='BK-NL'!$M$11),"x","")</f>
        <v/>
      </c>
    </row>
    <row r="4885" spans="1:30" ht="16.5" customHeight="1">
      <c r="A4885" s="318" t="str">
        <f>IF(B4885&lt;&gt;"",IF(AND(B4885='[3]IN-TC'!$S$4,OR([3]TH!N4116="1111",[3]TH!O4116="1111")),[3]TH!D4116,""),"")</f>
        <v/>
      </c>
      <c r="B4885" s="60" t="str">
        <f t="shared" si="479"/>
        <v/>
      </c>
      <c r="C4885" s="301"/>
      <c r="D4885" s="301"/>
      <c r="E4885" s="301"/>
      <c r="F4885" s="302"/>
      <c r="G4885" s="302"/>
      <c r="H4885" s="303"/>
      <c r="I4885" s="385"/>
      <c r="J4885" s="395"/>
      <c r="K4885" s="385"/>
      <c r="L4885" s="392"/>
      <c r="M4885" s="62"/>
      <c r="N4885" s="304"/>
      <c r="O4885" s="304"/>
      <c r="P4885" s="79" t="str">
        <f>IF(AND('331-CT'!$E$7=TH!H4885,OR(N4885="331",O4885="331")),"x","")</f>
        <v/>
      </c>
      <c r="Q4885" s="79" t="str">
        <f>IF(AND(B4885='111'!$L$11,OR($N4885=$Q$7,$O4885=$Q$7)),"x","")</f>
        <v/>
      </c>
      <c r="R4885" s="79" t="str">
        <f>IF(AND($N4885=$Q$7,$B4885&lt;'111'!$L$11),"x","")</f>
        <v/>
      </c>
      <c r="S4885" s="79" t="str">
        <f>IF(AND($O4885=$Q$7,$B4885&lt;'111'!$L$11),"x","")</f>
        <v/>
      </c>
      <c r="T4885" s="79" t="str">
        <f>IF(ISERROR(FIND('112'!$M$9,G4885,1)),"",IF((AND(FIND('112'!$M$9,G4885,1)&gt;=1,B4885='112'!$K$9,OR($N4885='112'!$I$6,$O4885='112'!$I$6))),"x",""))</f>
        <v/>
      </c>
      <c r="U4885" s="79" t="str">
        <f>IF(ISERROR(FIND('112'!$M$9,G4885,1)),"",IF((AND(LEFT(G4885,2)=LEFT('112'!$M$9,2),B4885&lt;'112'!$K$9,$N4885='112'!$I$6)),"x",""))</f>
        <v/>
      </c>
      <c r="V4885" s="79" t="str">
        <f>IF(ISERROR(FIND('112'!$M$9,G4885,1)),"",IF((AND(RIGHT(G4885,2)=RIGHT('112'!$M$9,2),B4885&lt;'112'!$K$9,$O4885='112'!$I$6)),"x",""))</f>
        <v/>
      </c>
      <c r="W4885" s="79" t="str">
        <f>IF(AND('341-CT'!$H$9=H4885,OR(LEFT(N4885,3)=$W$7,LEFT(O4885,3)=$W$7)),"x","")</f>
        <v/>
      </c>
      <c r="X4885" s="79" t="str">
        <f>IF(OR(TH!N4885=TH!$X$7,O4885=TH!$X$7),"x","")</f>
        <v/>
      </c>
      <c r="Y4885" s="79" t="str">
        <f>IF(AND(OR(N4885="131",O4885="131"),H4885='131-CT'!$H$9),"x","")</f>
        <v/>
      </c>
      <c r="Z4885" s="79"/>
      <c r="AA4885" s="79" t="str">
        <f>IF(AND(MONTH(E4885)='IN-NX'!$J$5,'IN-NX'!$D$7=D4885),"x","")</f>
        <v/>
      </c>
      <c r="AB4885" s="79" t="str">
        <f>IF(AND(OR(LEFT(TH!N4885,2)="15",LEFT(TH!O4885,2)="15"),LEFT(TH!O4885,3)&lt;&gt;"111",'152-CT'!$J$8=TH!F4885),"x","")</f>
        <v/>
      </c>
      <c r="AC4885" s="79" t="str">
        <f>IF(AND(OR(LEFT(TH!N4885,2)="15",LEFT(TH!O4885,2)="15"),TK!$E$7=TH!F4885),"x","")</f>
        <v/>
      </c>
      <c r="AD4885" s="79" t="str">
        <f>IF(AND(N4885="1521",MONTH(C4885)='BK-NL'!$M$11),"x","")</f>
        <v/>
      </c>
    </row>
    <row r="4886" spans="1:30" ht="16.5" customHeight="1">
      <c r="A4886" s="318" t="str">
        <f>IF(B4886&lt;&gt;"",IF(AND(B4886='[3]IN-TC'!$S$4,OR([3]TH!N4117="1111",[3]TH!O4117="1111")),[3]TH!D4117,""),"")</f>
        <v/>
      </c>
      <c r="B4886" s="60" t="str">
        <f t="shared" si="479"/>
        <v/>
      </c>
      <c r="C4886" s="301"/>
      <c r="D4886" s="301"/>
      <c r="E4886" s="301"/>
      <c r="F4886" s="302"/>
      <c r="G4886" s="302"/>
      <c r="H4886" s="303"/>
      <c r="I4886" s="387"/>
      <c r="J4886" s="395"/>
      <c r="K4886" s="387"/>
      <c r="L4886" s="394"/>
      <c r="M4886" s="62"/>
      <c r="N4886" s="304"/>
      <c r="O4886" s="304"/>
      <c r="P4886" s="79" t="str">
        <f>IF(AND('331-CT'!$E$7=TH!H4886,OR(N4886="331",O4886="331")),"x","")</f>
        <v/>
      </c>
      <c r="Q4886" s="79" t="str">
        <f>IF(AND(B4886='111'!$L$11,OR($N4886=$Q$7,$O4886=$Q$7)),"x","")</f>
        <v/>
      </c>
      <c r="R4886" s="79" t="str">
        <f>IF(AND($N4886=$Q$7,$B4886&lt;'111'!$L$11),"x","")</f>
        <v/>
      </c>
      <c r="S4886" s="79" t="str">
        <f>IF(AND($O4886=$Q$7,$B4886&lt;'111'!$L$11),"x","")</f>
        <v/>
      </c>
      <c r="T4886" s="79" t="str">
        <f>IF(ISERROR(FIND('112'!$M$9,G4886,1)),"",IF((AND(FIND('112'!$M$9,G4886,1)&gt;=1,B4886='112'!$K$9,OR($N4886='112'!$I$6,$O4886='112'!$I$6))),"x",""))</f>
        <v/>
      </c>
      <c r="U4886" s="79" t="str">
        <f>IF(ISERROR(FIND('112'!$M$9,G4886,1)),"",IF((AND(LEFT(G4886,2)=LEFT('112'!$M$9,2),B4886&lt;'112'!$K$9,$N4886='112'!$I$6)),"x",""))</f>
        <v/>
      </c>
      <c r="V4886" s="79" t="str">
        <f>IF(ISERROR(FIND('112'!$M$9,G4886,1)),"",IF((AND(RIGHT(G4886,2)=RIGHT('112'!$M$9,2),B4886&lt;'112'!$K$9,$O4886='112'!$I$6)),"x",""))</f>
        <v/>
      </c>
      <c r="W4886" s="79" t="str">
        <f>IF(AND('341-CT'!$H$9=H4886,OR(LEFT(N4886,3)=$W$7,LEFT(O4886,3)=$W$7)),"x","")</f>
        <v/>
      </c>
      <c r="X4886" s="79" t="str">
        <f>IF(OR(TH!N4886=TH!$X$7,O4886=TH!$X$7),"x","")</f>
        <v/>
      </c>
      <c r="Y4886" s="79" t="str">
        <f>IF(AND(OR(N4886="131",O4886="131"),H4886='131-CT'!$H$9),"x","")</f>
        <v/>
      </c>
      <c r="Z4886" s="79"/>
      <c r="AA4886" s="79" t="str">
        <f>IF(AND(MONTH(E4886)='IN-NX'!$J$5,'IN-NX'!$D$7=D4886),"x","")</f>
        <v/>
      </c>
      <c r="AB4886" s="79" t="str">
        <f>IF(AND(OR(LEFT(TH!N4886,2)="15",LEFT(TH!O4886,2)="15"),LEFT(TH!O4886,3)&lt;&gt;"111",'152-CT'!$J$8=TH!F4886),"x","")</f>
        <v/>
      </c>
      <c r="AC4886" s="79" t="str">
        <f>IF(AND(OR(LEFT(TH!N4886,2)="15",LEFT(TH!O4886,2)="15"),TK!$E$7=TH!F4886),"x","")</f>
        <v/>
      </c>
      <c r="AD4886" s="79" t="str">
        <f>IF(AND(N4886="1521",MONTH(C4886)='BK-NL'!$M$11),"x","")</f>
        <v/>
      </c>
    </row>
    <row r="4887" spans="1:30" ht="16.5" customHeight="1">
      <c r="A4887" s="318" t="str">
        <f>IF(B4887&lt;&gt;"",IF(AND(B4887='[3]IN-TC'!$S$4,OR([3]TH!N4118="1111",[3]TH!O4118="1111")),[3]TH!D4118,""),"")</f>
        <v/>
      </c>
      <c r="B4887" s="60" t="str">
        <f t="shared" si="479"/>
        <v/>
      </c>
      <c r="C4887" s="301"/>
      <c r="D4887" s="301"/>
      <c r="E4887" s="301"/>
      <c r="F4887" s="302"/>
      <c r="G4887" s="302"/>
      <c r="H4887" s="303"/>
      <c r="I4887" s="387"/>
      <c r="J4887" s="395"/>
      <c r="K4887" s="387"/>
      <c r="L4887" s="394"/>
      <c r="M4887" s="62"/>
      <c r="N4887" s="304"/>
      <c r="O4887" s="304"/>
      <c r="P4887" s="79" t="str">
        <f>IF(AND('331-CT'!$E$7=TH!H4887,OR(N4887="331",O4887="331")),"x","")</f>
        <v/>
      </c>
      <c r="Q4887" s="79" t="str">
        <f>IF(AND(B4887='111'!$L$11,OR($N4887=$Q$7,$O4887=$Q$7)),"x","")</f>
        <v/>
      </c>
      <c r="R4887" s="79" t="str">
        <f>IF(AND($N4887=$Q$7,$B4887&lt;'111'!$L$11),"x","")</f>
        <v/>
      </c>
      <c r="S4887" s="79" t="str">
        <f>IF(AND($O4887=$Q$7,$B4887&lt;'111'!$L$11),"x","")</f>
        <v/>
      </c>
      <c r="T4887" s="79" t="str">
        <f>IF(ISERROR(FIND('112'!$M$9,G4887,1)),"",IF((AND(FIND('112'!$M$9,G4887,1)&gt;=1,B4887='112'!$K$9,OR($N4887='112'!$I$6,$O4887='112'!$I$6))),"x",""))</f>
        <v/>
      </c>
      <c r="U4887" s="79" t="str">
        <f>IF(ISERROR(FIND('112'!$M$9,G4887,1)),"",IF((AND(LEFT(G4887,2)=LEFT('112'!$M$9,2),B4887&lt;'112'!$K$9,$N4887='112'!$I$6)),"x",""))</f>
        <v/>
      </c>
      <c r="V4887" s="79" t="str">
        <f>IF(ISERROR(FIND('112'!$M$9,G4887,1)),"",IF((AND(RIGHT(G4887,2)=RIGHT('112'!$M$9,2),B4887&lt;'112'!$K$9,$O4887='112'!$I$6)),"x",""))</f>
        <v/>
      </c>
      <c r="W4887" s="79" t="str">
        <f>IF(AND('341-CT'!$H$9=H4887,OR(LEFT(N4887,3)=$W$7,LEFT(O4887,3)=$W$7)),"x","")</f>
        <v/>
      </c>
      <c r="X4887" s="79" t="str">
        <f>IF(OR(TH!N4887=TH!$X$7,O4887=TH!$X$7),"x","")</f>
        <v/>
      </c>
      <c r="Y4887" s="79" t="str">
        <f>IF(AND(OR(N4887="131",O4887="131"),H4887='131-CT'!$H$9),"x","")</f>
        <v/>
      </c>
      <c r="Z4887" s="79"/>
      <c r="AA4887" s="79" t="str">
        <f>IF(AND(MONTH(E4887)='IN-NX'!$J$5,'IN-NX'!$D$7=D4887),"x","")</f>
        <v/>
      </c>
      <c r="AB4887" s="79" t="str">
        <f>IF(AND(OR(LEFT(TH!N4887,2)="15",LEFT(TH!O4887,2)="15"),LEFT(TH!O4887,3)&lt;&gt;"111",'152-CT'!$J$8=TH!F4887),"x","")</f>
        <v/>
      </c>
      <c r="AC4887" s="79" t="str">
        <f>IF(AND(OR(LEFT(TH!N4887,2)="15",LEFT(TH!O4887,2)="15"),TK!$E$7=TH!F4887),"x","")</f>
        <v/>
      </c>
      <c r="AD4887" s="79" t="str">
        <f>IF(AND(N4887="1521",MONTH(C4887)='BK-NL'!$M$11),"x","")</f>
        <v/>
      </c>
    </row>
    <row r="4888" spans="1:30" ht="16.5" customHeight="1">
      <c r="A4888" s="318" t="str">
        <f>IF(B4888&lt;&gt;"",IF(AND(B4888='[3]IN-TC'!$S$4,OR([3]TH!N4119="1111",[3]TH!O4119="1111")),[3]TH!D4119,""),"")</f>
        <v/>
      </c>
      <c r="B4888" s="60" t="str">
        <f t="shared" si="479"/>
        <v/>
      </c>
      <c r="C4888" s="301"/>
      <c r="D4888" s="301"/>
      <c r="E4888" s="301"/>
      <c r="F4888" s="302"/>
      <c r="G4888" s="302"/>
      <c r="H4888" s="303"/>
      <c r="I4888" s="387"/>
      <c r="J4888" s="395"/>
      <c r="K4888" s="387"/>
      <c r="L4888" s="394"/>
      <c r="M4888" s="62"/>
      <c r="N4888" s="304"/>
      <c r="O4888" s="304"/>
      <c r="P4888" s="79" t="str">
        <f>IF(AND('331-CT'!$E$7=TH!H4888,OR(N4888="331",O4888="331")),"x","")</f>
        <v/>
      </c>
      <c r="Q4888" s="79" t="str">
        <f>IF(AND(B4888='111'!$L$11,OR($N4888=$Q$7,$O4888=$Q$7)),"x","")</f>
        <v/>
      </c>
      <c r="R4888" s="79" t="str">
        <f>IF(AND($N4888=$Q$7,$B4888&lt;'111'!$L$11),"x","")</f>
        <v/>
      </c>
      <c r="S4888" s="79" t="str">
        <f>IF(AND($O4888=$Q$7,$B4888&lt;'111'!$L$11),"x","")</f>
        <v/>
      </c>
      <c r="T4888" s="79" t="str">
        <f>IF(ISERROR(FIND('112'!$M$9,G4888,1)),"",IF((AND(FIND('112'!$M$9,G4888,1)&gt;=1,B4888='112'!$K$9,OR($N4888='112'!$I$6,$O4888='112'!$I$6))),"x",""))</f>
        <v/>
      </c>
      <c r="U4888" s="79" t="str">
        <f>IF(ISERROR(FIND('112'!$M$9,G4888,1)),"",IF((AND(LEFT(G4888,2)=LEFT('112'!$M$9,2),B4888&lt;'112'!$K$9,$N4888='112'!$I$6)),"x",""))</f>
        <v/>
      </c>
      <c r="V4888" s="79" t="str">
        <f>IF(ISERROR(FIND('112'!$M$9,G4888,1)),"",IF((AND(RIGHT(G4888,2)=RIGHT('112'!$M$9,2),B4888&lt;'112'!$K$9,$O4888='112'!$I$6)),"x",""))</f>
        <v/>
      </c>
      <c r="W4888" s="79" t="str">
        <f>IF(AND('341-CT'!$H$9=H4888,OR(LEFT(N4888,3)=$W$7,LEFT(O4888,3)=$W$7)),"x","")</f>
        <v/>
      </c>
      <c r="X4888" s="79" t="str">
        <f>IF(OR(TH!N4888=TH!$X$7,O4888=TH!$X$7),"x","")</f>
        <v/>
      </c>
      <c r="Y4888" s="79" t="str">
        <f>IF(AND(OR(N4888="131",O4888="131"),H4888='131-CT'!$H$9),"x","")</f>
        <v/>
      </c>
      <c r="Z4888" s="79"/>
      <c r="AA4888" s="79" t="str">
        <f>IF(AND(MONTH(E4888)='IN-NX'!$J$5,'IN-NX'!$D$7=D4888),"x","")</f>
        <v/>
      </c>
      <c r="AB4888" s="79" t="str">
        <f>IF(AND(OR(LEFT(TH!N4888,2)="15",LEFT(TH!O4888,2)="15"),LEFT(TH!O4888,3)&lt;&gt;"111",'152-CT'!$J$8=TH!F4888),"x","")</f>
        <v/>
      </c>
      <c r="AC4888" s="79" t="str">
        <f>IF(AND(OR(LEFT(TH!N4888,2)="15",LEFT(TH!O4888,2)="15"),TK!$E$7=TH!F4888),"x","")</f>
        <v/>
      </c>
      <c r="AD4888" s="79" t="str">
        <f>IF(AND(N4888="1521",MONTH(C4888)='BK-NL'!$M$11),"x","")</f>
        <v/>
      </c>
    </row>
    <row r="4889" spans="1:30" ht="16.5" customHeight="1">
      <c r="A4889" s="318" t="str">
        <f>IF(B4889&lt;&gt;"",IF(AND(B4889='[3]IN-TC'!$S$4,OR([3]TH!N4120="1111",[3]TH!O4120="1111")),[3]TH!D4120,""),"")</f>
        <v/>
      </c>
      <c r="B4889" s="60" t="str">
        <f t="shared" si="479"/>
        <v/>
      </c>
      <c r="C4889" s="301"/>
      <c r="D4889" s="301"/>
      <c r="E4889" s="301"/>
      <c r="F4889" s="302"/>
      <c r="G4889" s="302"/>
      <c r="H4889" s="303"/>
      <c r="I4889" s="385"/>
      <c r="J4889" s="395"/>
      <c r="K4889" s="385"/>
      <c r="L4889" s="392"/>
      <c r="M4889" s="62"/>
      <c r="N4889" s="304"/>
      <c r="O4889" s="304"/>
      <c r="P4889" s="79" t="str">
        <f>IF(AND('331-CT'!$E$7=TH!H4889,OR(N4889="331",O4889="331")),"x","")</f>
        <v/>
      </c>
      <c r="Q4889" s="79" t="str">
        <f>IF(AND(B4889='111'!$L$11,OR($N4889=$Q$7,$O4889=$Q$7)),"x","")</f>
        <v/>
      </c>
      <c r="R4889" s="79" t="str">
        <f>IF(AND($N4889=$Q$7,$B4889&lt;'111'!$L$11),"x","")</f>
        <v/>
      </c>
      <c r="S4889" s="79" t="str">
        <f>IF(AND($O4889=$Q$7,$B4889&lt;'111'!$L$11),"x","")</f>
        <v/>
      </c>
      <c r="T4889" s="79" t="str">
        <f>IF(ISERROR(FIND('112'!$M$9,G4889,1)),"",IF((AND(FIND('112'!$M$9,G4889,1)&gt;=1,B4889='112'!$K$9,OR($N4889='112'!$I$6,$O4889='112'!$I$6))),"x",""))</f>
        <v/>
      </c>
      <c r="U4889" s="79" t="str">
        <f>IF(ISERROR(FIND('112'!$M$9,G4889,1)),"",IF((AND(LEFT(G4889,2)=LEFT('112'!$M$9,2),B4889&lt;'112'!$K$9,$N4889='112'!$I$6)),"x",""))</f>
        <v/>
      </c>
      <c r="V4889" s="79" t="str">
        <f>IF(ISERROR(FIND('112'!$M$9,G4889,1)),"",IF((AND(RIGHT(G4889,2)=RIGHT('112'!$M$9,2),B4889&lt;'112'!$K$9,$O4889='112'!$I$6)),"x",""))</f>
        <v/>
      </c>
      <c r="W4889" s="79" t="str">
        <f>IF(AND('341-CT'!$H$9=H4889,OR(LEFT(N4889,3)=$W$7,LEFT(O4889,3)=$W$7)),"x","")</f>
        <v/>
      </c>
      <c r="X4889" s="79" t="str">
        <f>IF(OR(TH!N4889=TH!$X$7,O4889=TH!$X$7),"x","")</f>
        <v/>
      </c>
      <c r="Y4889" s="79" t="str">
        <f>IF(AND(OR(N4889="131",O4889="131"),H4889='131-CT'!$H$9),"x","")</f>
        <v/>
      </c>
      <c r="Z4889" s="79"/>
      <c r="AA4889" s="79" t="str">
        <f>IF(AND(MONTH(E4889)='IN-NX'!$J$5,'IN-NX'!$D$7=D4889),"x","")</f>
        <v/>
      </c>
      <c r="AB4889" s="79" t="str">
        <f>IF(AND(OR(LEFT(TH!N4889,2)="15",LEFT(TH!O4889,2)="15"),LEFT(TH!O4889,3)&lt;&gt;"111",'152-CT'!$J$8=TH!F4889),"x","")</f>
        <v/>
      </c>
      <c r="AC4889" s="79" t="str">
        <f>IF(AND(OR(LEFT(TH!N4889,2)="15",LEFT(TH!O4889,2)="15"),TK!$E$7=TH!F4889),"x","")</f>
        <v/>
      </c>
      <c r="AD4889" s="79" t="str">
        <f>IF(AND(N4889="1521",MONTH(C4889)='BK-NL'!$M$11),"x","")</f>
        <v/>
      </c>
    </row>
    <row r="4890" spans="1:30" ht="16.5" customHeight="1">
      <c r="A4890" s="318" t="str">
        <f>IF(B4890&lt;&gt;"",IF(AND(B4890='[3]IN-TC'!$S$4,OR([3]TH!N4121="1111",[3]TH!O4121="1111")),[3]TH!D4121,""),"")</f>
        <v/>
      </c>
      <c r="B4890" s="60" t="str">
        <f t="shared" si="479"/>
        <v/>
      </c>
      <c r="C4890" s="301"/>
      <c r="D4890" s="301"/>
      <c r="E4890" s="301"/>
      <c r="F4890" s="302"/>
      <c r="G4890" s="302"/>
      <c r="H4890" s="303"/>
      <c r="I4890" s="385"/>
      <c r="J4890" s="395"/>
      <c r="K4890" s="385"/>
      <c r="L4890" s="392"/>
      <c r="M4890" s="62"/>
      <c r="N4890" s="304"/>
      <c r="O4890" s="304"/>
      <c r="P4890" s="79" t="str">
        <f>IF(AND('331-CT'!$E$7=TH!H4890,OR(N4890="331",O4890="331")),"x","")</f>
        <v/>
      </c>
      <c r="Q4890" s="79" t="str">
        <f>IF(AND(B4890='111'!$L$11,OR($N4890=$Q$7,$O4890=$Q$7)),"x","")</f>
        <v/>
      </c>
      <c r="R4890" s="79" t="str">
        <f>IF(AND($N4890=$Q$7,$B4890&lt;'111'!$L$11),"x","")</f>
        <v/>
      </c>
      <c r="S4890" s="79" t="str">
        <f>IF(AND($O4890=$Q$7,$B4890&lt;'111'!$L$11),"x","")</f>
        <v/>
      </c>
      <c r="T4890" s="79" t="str">
        <f>IF(ISERROR(FIND('112'!$M$9,G4890,1)),"",IF((AND(FIND('112'!$M$9,G4890,1)&gt;=1,B4890='112'!$K$9,OR($N4890='112'!$I$6,$O4890='112'!$I$6))),"x",""))</f>
        <v/>
      </c>
      <c r="U4890" s="79" t="str">
        <f>IF(ISERROR(FIND('112'!$M$9,G4890,1)),"",IF((AND(LEFT(G4890,2)=LEFT('112'!$M$9,2),B4890&lt;'112'!$K$9,$N4890='112'!$I$6)),"x",""))</f>
        <v/>
      </c>
      <c r="V4890" s="79" t="str">
        <f>IF(ISERROR(FIND('112'!$M$9,G4890,1)),"",IF((AND(RIGHT(G4890,2)=RIGHT('112'!$M$9,2),B4890&lt;'112'!$K$9,$O4890='112'!$I$6)),"x",""))</f>
        <v/>
      </c>
      <c r="W4890" s="79" t="str">
        <f>IF(AND('341-CT'!$H$9=H4890,OR(LEFT(N4890,3)=$W$7,LEFT(O4890,3)=$W$7)),"x","")</f>
        <v/>
      </c>
      <c r="X4890" s="79" t="str">
        <f>IF(OR(TH!N4890=TH!$X$7,O4890=TH!$X$7),"x","")</f>
        <v/>
      </c>
      <c r="Y4890" s="79" t="str">
        <f>IF(AND(OR(N4890="131",O4890="131"),H4890='131-CT'!$H$9),"x","")</f>
        <v/>
      </c>
      <c r="Z4890" s="79"/>
      <c r="AA4890" s="79" t="str">
        <f>IF(AND(MONTH(E4890)='IN-NX'!$J$5,'IN-NX'!$D$7=D4890),"x","")</f>
        <v/>
      </c>
      <c r="AB4890" s="79" t="str">
        <f>IF(AND(OR(LEFT(TH!N4890,2)="15",LEFT(TH!O4890,2)="15"),LEFT(TH!O4890,3)&lt;&gt;"111",'152-CT'!$J$8=TH!F4890),"x","")</f>
        <v/>
      </c>
      <c r="AC4890" s="79" t="str">
        <f>IF(AND(OR(LEFT(TH!N4890,2)="15",LEFT(TH!O4890,2)="15"),TK!$E$7=TH!F4890),"x","")</f>
        <v/>
      </c>
      <c r="AD4890" s="79" t="str">
        <f>IF(AND(N4890="1521",MONTH(C4890)='BK-NL'!$M$11),"x","")</f>
        <v/>
      </c>
    </row>
    <row r="4891" spans="1:30" ht="16.5" customHeight="1">
      <c r="A4891" s="318" t="str">
        <f>IF(B4891&lt;&gt;"",IF(AND(B4891='[3]IN-TC'!$S$4,OR([3]TH!N4122="1111",[3]TH!O4122="1111")),[3]TH!D4122,""),"")</f>
        <v/>
      </c>
      <c r="B4891" s="60" t="str">
        <f t="shared" si="479"/>
        <v/>
      </c>
      <c r="C4891" s="301"/>
      <c r="D4891" s="301"/>
      <c r="E4891" s="301"/>
      <c r="F4891" s="302"/>
      <c r="G4891" s="302"/>
      <c r="H4891" s="303"/>
      <c r="I4891" s="385"/>
      <c r="J4891" s="395"/>
      <c r="K4891" s="385"/>
      <c r="L4891" s="392"/>
      <c r="M4891" s="62"/>
      <c r="N4891" s="304"/>
      <c r="O4891" s="304"/>
      <c r="P4891" s="79" t="str">
        <f>IF(AND('331-CT'!$E$7=TH!H4891,OR(N4891="331",O4891="331")),"x","")</f>
        <v/>
      </c>
      <c r="Q4891" s="79" t="str">
        <f>IF(AND(B4891='111'!$L$11,OR($N4891=$Q$7,$O4891=$Q$7)),"x","")</f>
        <v/>
      </c>
      <c r="R4891" s="79" t="str">
        <f>IF(AND($N4891=$Q$7,$B4891&lt;'111'!$L$11),"x","")</f>
        <v/>
      </c>
      <c r="S4891" s="79" t="str">
        <f>IF(AND($O4891=$Q$7,$B4891&lt;'111'!$L$11),"x","")</f>
        <v/>
      </c>
      <c r="T4891" s="79" t="str">
        <f>IF(ISERROR(FIND('112'!$M$9,G4891,1)),"",IF((AND(FIND('112'!$M$9,G4891,1)&gt;=1,B4891='112'!$K$9,OR($N4891='112'!$I$6,$O4891='112'!$I$6))),"x",""))</f>
        <v/>
      </c>
      <c r="U4891" s="79" t="str">
        <f>IF(ISERROR(FIND('112'!$M$9,G4891,1)),"",IF((AND(LEFT(G4891,2)=LEFT('112'!$M$9,2),B4891&lt;'112'!$K$9,$N4891='112'!$I$6)),"x",""))</f>
        <v/>
      </c>
      <c r="V4891" s="79" t="str">
        <f>IF(ISERROR(FIND('112'!$M$9,G4891,1)),"",IF((AND(RIGHT(G4891,2)=RIGHT('112'!$M$9,2),B4891&lt;'112'!$K$9,$O4891='112'!$I$6)),"x",""))</f>
        <v/>
      </c>
      <c r="W4891" s="79" t="str">
        <f>IF(AND('341-CT'!$H$9=H4891,OR(LEFT(N4891,3)=$W$7,LEFT(O4891,3)=$W$7)),"x","")</f>
        <v/>
      </c>
      <c r="X4891" s="79" t="str">
        <f>IF(OR(TH!N4891=TH!$X$7,O4891=TH!$X$7),"x","")</f>
        <v/>
      </c>
      <c r="Y4891" s="79" t="str">
        <f>IF(AND(OR(N4891="131",O4891="131"),H4891='131-CT'!$H$9),"x","")</f>
        <v/>
      </c>
      <c r="Z4891" s="79"/>
      <c r="AA4891" s="79" t="str">
        <f>IF(AND(MONTH(E4891)='IN-NX'!$J$5,'IN-NX'!$D$7=D4891),"x","")</f>
        <v/>
      </c>
      <c r="AB4891" s="79" t="str">
        <f>IF(AND(OR(LEFT(TH!N4891,2)="15",LEFT(TH!O4891,2)="15"),LEFT(TH!O4891,3)&lt;&gt;"111",'152-CT'!$J$8=TH!F4891),"x","")</f>
        <v/>
      </c>
      <c r="AC4891" s="79" t="str">
        <f>IF(AND(OR(LEFT(TH!N4891,2)="15",LEFT(TH!O4891,2)="15"),TK!$E$7=TH!F4891),"x","")</f>
        <v/>
      </c>
      <c r="AD4891" s="79" t="str">
        <f>IF(AND(N4891="1521",MONTH(C4891)='BK-NL'!$M$11),"x","")</f>
        <v/>
      </c>
    </row>
    <row r="4892" spans="1:30" ht="16.5" customHeight="1">
      <c r="A4892" s="318" t="str">
        <f>IF(B4892&lt;&gt;"",IF(AND(B4892='[3]IN-TC'!$S$4,OR([3]TH!N4123="1111",[3]TH!O4123="1111")),[3]TH!D4123,""),"")</f>
        <v/>
      </c>
      <c r="B4892" s="60" t="str">
        <f t="shared" si="479"/>
        <v/>
      </c>
      <c r="C4892" s="301"/>
      <c r="D4892" s="301"/>
      <c r="E4892" s="301"/>
      <c r="F4892" s="302"/>
      <c r="G4892" s="302"/>
      <c r="H4892" s="303"/>
      <c r="I4892" s="385"/>
      <c r="J4892" s="395"/>
      <c r="K4892" s="385"/>
      <c r="L4892" s="392"/>
      <c r="M4892" s="62"/>
      <c r="N4892" s="304"/>
      <c r="O4892" s="304"/>
      <c r="P4892" s="79" t="str">
        <f>IF(AND('331-CT'!$E$7=TH!H4892,OR(N4892="331",O4892="331")),"x","")</f>
        <v/>
      </c>
      <c r="Q4892" s="79" t="str">
        <f>IF(AND(B4892='111'!$L$11,OR($N4892=$Q$7,$O4892=$Q$7)),"x","")</f>
        <v/>
      </c>
      <c r="R4892" s="79" t="str">
        <f>IF(AND($N4892=$Q$7,$B4892&lt;'111'!$L$11),"x","")</f>
        <v/>
      </c>
      <c r="S4892" s="79" t="str">
        <f>IF(AND($O4892=$Q$7,$B4892&lt;'111'!$L$11),"x","")</f>
        <v/>
      </c>
      <c r="T4892" s="79" t="str">
        <f>IF(ISERROR(FIND('112'!$M$9,G4892,1)),"",IF((AND(FIND('112'!$M$9,G4892,1)&gt;=1,B4892='112'!$K$9,OR($N4892='112'!$I$6,$O4892='112'!$I$6))),"x",""))</f>
        <v/>
      </c>
      <c r="U4892" s="79" t="str">
        <f>IF(ISERROR(FIND('112'!$M$9,G4892,1)),"",IF((AND(LEFT(G4892,2)=LEFT('112'!$M$9,2),B4892&lt;'112'!$K$9,$N4892='112'!$I$6)),"x",""))</f>
        <v/>
      </c>
      <c r="V4892" s="79" t="str">
        <f>IF(ISERROR(FIND('112'!$M$9,G4892,1)),"",IF((AND(RIGHT(G4892,2)=RIGHT('112'!$M$9,2),B4892&lt;'112'!$K$9,$O4892='112'!$I$6)),"x",""))</f>
        <v/>
      </c>
      <c r="W4892" s="79" t="str">
        <f>IF(AND('341-CT'!$H$9=H4892,OR(LEFT(N4892,3)=$W$7,LEFT(O4892,3)=$W$7)),"x","")</f>
        <v/>
      </c>
      <c r="X4892" s="79" t="str">
        <f>IF(OR(TH!N4892=TH!$X$7,O4892=TH!$X$7),"x","")</f>
        <v/>
      </c>
      <c r="Y4892" s="79" t="str">
        <f>IF(AND(OR(N4892="131",O4892="131"),H4892='131-CT'!$H$9),"x","")</f>
        <v/>
      </c>
      <c r="Z4892" s="79"/>
      <c r="AA4892" s="79" t="str">
        <f>IF(AND(MONTH(E4892)='IN-NX'!$J$5,'IN-NX'!$D$7=D4892),"x","")</f>
        <v/>
      </c>
      <c r="AB4892" s="79" t="str">
        <f>IF(AND(OR(LEFT(TH!N4892,2)="15",LEFT(TH!O4892,2)="15"),LEFT(TH!O4892,3)&lt;&gt;"111",'152-CT'!$J$8=TH!F4892),"x","")</f>
        <v/>
      </c>
      <c r="AC4892" s="79" t="str">
        <f>IF(AND(OR(LEFT(TH!N4892,2)="15",LEFT(TH!O4892,2)="15"),TK!$E$7=TH!F4892),"x","")</f>
        <v/>
      </c>
      <c r="AD4892" s="79" t="str">
        <f>IF(AND(N4892="1521",MONTH(C4892)='BK-NL'!$M$11),"x","")</f>
        <v/>
      </c>
    </row>
    <row r="4893" spans="1:30" s="313" customFormat="1" ht="16.5" customHeight="1">
      <c r="A4893" s="318" t="str">
        <f>IF(B4893&lt;&gt;"",IF(AND(B4893='[3]IN-TC'!$S$4,OR([3]TH!N4124="1111",[3]TH!O4124="1111")),[3]TH!D4124,""),"")</f>
        <v/>
      </c>
      <c r="B4893" s="60" t="str">
        <f t="shared" si="479"/>
        <v/>
      </c>
      <c r="C4893" s="301"/>
      <c r="D4893" s="301"/>
      <c r="E4893" s="301"/>
      <c r="F4893" s="302"/>
      <c r="G4893" s="302"/>
      <c r="H4893" s="69"/>
      <c r="I4893" s="385"/>
      <c r="J4893" s="395"/>
      <c r="K4893" s="385"/>
      <c r="L4893" s="392"/>
      <c r="M4893" s="62"/>
      <c r="N4893" s="304"/>
      <c r="O4893" s="304"/>
      <c r="P4893" s="79" t="str">
        <f>IF(AND('331-CT'!$E$7=TH!H4893,OR(N4893="331",O4893="331")),"x","")</f>
        <v/>
      </c>
      <c r="Q4893" s="79" t="str">
        <f>IF(AND(B4893='111'!$L$11,OR($N4893=$Q$7,$O4893=$Q$7)),"x","")</f>
        <v/>
      </c>
      <c r="R4893" s="79" t="str">
        <f>IF(AND($N4893=$Q$7,$B4893&lt;'111'!$L$11),"x","")</f>
        <v/>
      </c>
      <c r="S4893" s="79" t="str">
        <f>IF(AND($O4893=$Q$7,$B4893&lt;'111'!$L$11),"x","")</f>
        <v/>
      </c>
      <c r="T4893" s="79" t="str">
        <f>IF(ISERROR(FIND('112'!$M$9,G4893,1)),"",IF((AND(FIND('112'!$M$9,G4893,1)&gt;=1,B4893='112'!$K$9,OR($N4893='112'!$I$6,$O4893='112'!$I$6))),"x",""))</f>
        <v/>
      </c>
      <c r="U4893" s="79" t="str">
        <f>IF(ISERROR(FIND('112'!$M$9,G4893,1)),"",IF((AND(LEFT(G4893,2)=LEFT('112'!$M$9,2),B4893&lt;'112'!$K$9,$N4893='112'!$I$6)),"x",""))</f>
        <v/>
      </c>
      <c r="V4893" s="79" t="str">
        <f>IF(ISERROR(FIND('112'!$M$9,G4893,1)),"",IF((AND(RIGHT(G4893,2)=RIGHT('112'!$M$9,2),B4893&lt;'112'!$K$9,$O4893='112'!$I$6)),"x",""))</f>
        <v/>
      </c>
      <c r="W4893" s="79" t="str">
        <f>IF(AND('341-CT'!$H$9=H4893,OR(LEFT(N4893,3)=$W$7,LEFT(O4893,3)=$W$7)),"x","")</f>
        <v/>
      </c>
      <c r="X4893" s="79" t="str">
        <f>IF(OR(TH!N4893=TH!$X$7,O4893=TH!$X$7),"x","")</f>
        <v/>
      </c>
      <c r="Y4893" s="79" t="str">
        <f>IF(AND(OR(N4893="131",O4893="131"),H4893='131-CT'!$H$9),"x","")</f>
        <v/>
      </c>
      <c r="Z4893" s="79"/>
      <c r="AA4893" s="79" t="str">
        <f>IF(AND(MONTH(E4893)='IN-NX'!$J$5,'IN-NX'!$D$7=D4893),"x","")</f>
        <v/>
      </c>
      <c r="AB4893" s="79" t="str">
        <f>IF(AND(OR(LEFT(TH!N4893,2)="15",LEFT(TH!O4893,2)="15"),LEFT(TH!O4893,3)&lt;&gt;"111",'152-CT'!$J$8=TH!F4893),"x","")</f>
        <v/>
      </c>
      <c r="AC4893" s="79" t="str">
        <f>IF(AND(OR(LEFT(TH!N4893,2)="15",LEFT(TH!O4893,2)="15"),TK!$E$7=TH!F4893),"x","")</f>
        <v/>
      </c>
      <c r="AD4893" s="79" t="str">
        <f>IF(AND(N4893="1521",MONTH(C4893)='BK-NL'!$M$11),"x","")</f>
        <v/>
      </c>
    </row>
    <row r="4894" spans="1:30" s="313" customFormat="1" ht="16.5" customHeight="1">
      <c r="A4894" s="318" t="str">
        <f>IF(B4894&lt;&gt;"",IF(AND(B4894='[3]IN-TC'!$S$4,OR([3]TH!N4125="1111",[3]TH!O4125="1111")),[3]TH!D4125,""),"")</f>
        <v/>
      </c>
      <c r="B4894" s="60" t="str">
        <f t="shared" si="479"/>
        <v/>
      </c>
      <c r="C4894" s="301"/>
      <c r="D4894" s="301"/>
      <c r="E4894" s="301"/>
      <c r="F4894" s="302"/>
      <c r="G4894" s="302"/>
      <c r="H4894" s="303"/>
      <c r="I4894" s="385"/>
      <c r="J4894" s="395"/>
      <c r="K4894" s="385"/>
      <c r="L4894" s="392"/>
      <c r="M4894" s="62"/>
      <c r="N4894" s="304"/>
      <c r="O4894" s="304"/>
      <c r="P4894" s="79" t="str">
        <f>IF(AND('331-CT'!$E$7=TH!H4894,OR(N4894="331",O4894="331")),"x","")</f>
        <v/>
      </c>
      <c r="Q4894" s="79" t="str">
        <f>IF(AND(B4894='111'!$L$11,OR($N4894=$Q$7,$O4894=$Q$7)),"x","")</f>
        <v/>
      </c>
      <c r="R4894" s="79" t="str">
        <f>IF(AND($N4894=$Q$7,$B4894&lt;'111'!$L$11),"x","")</f>
        <v/>
      </c>
      <c r="S4894" s="79" t="str">
        <f>IF(AND($O4894=$Q$7,$B4894&lt;'111'!$L$11),"x","")</f>
        <v/>
      </c>
      <c r="T4894" s="79" t="str">
        <f>IF(ISERROR(FIND('112'!$M$9,G4894,1)),"",IF((AND(FIND('112'!$M$9,G4894,1)&gt;=1,B4894='112'!$K$9,OR($N4894='112'!$I$6,$O4894='112'!$I$6))),"x",""))</f>
        <v/>
      </c>
      <c r="U4894" s="79" t="str">
        <f>IF(ISERROR(FIND('112'!$M$9,G4894,1)),"",IF((AND(LEFT(G4894,2)=LEFT('112'!$M$9,2),B4894&lt;'112'!$K$9,$N4894='112'!$I$6)),"x",""))</f>
        <v/>
      </c>
      <c r="V4894" s="79" t="str">
        <f>IF(ISERROR(FIND('112'!$M$9,G4894,1)),"",IF((AND(RIGHT(G4894,2)=RIGHT('112'!$M$9,2),B4894&lt;'112'!$K$9,$O4894='112'!$I$6)),"x",""))</f>
        <v/>
      </c>
      <c r="W4894" s="79" t="str">
        <f>IF(AND('341-CT'!$H$9=H4894,OR(LEFT(N4894,3)=$W$7,LEFT(O4894,3)=$W$7)),"x","")</f>
        <v/>
      </c>
      <c r="X4894" s="79" t="str">
        <f>IF(OR(TH!N4894=TH!$X$7,O4894=TH!$X$7),"x","")</f>
        <v/>
      </c>
      <c r="Y4894" s="79" t="str">
        <f>IF(AND(OR(N4894="131",O4894="131"),H4894='131-CT'!$H$9),"x","")</f>
        <v/>
      </c>
      <c r="Z4894" s="79"/>
      <c r="AA4894" s="79" t="str">
        <f>IF(AND(MONTH(E4894)='IN-NX'!$J$5,'IN-NX'!$D$7=D4894),"x","")</f>
        <v/>
      </c>
      <c r="AB4894" s="79" t="str">
        <f>IF(AND(OR(LEFT(TH!N4894,2)="15",LEFT(TH!O4894,2)="15"),LEFT(TH!O4894,3)&lt;&gt;"111",'152-CT'!$J$8=TH!F4894),"x","")</f>
        <v/>
      </c>
      <c r="AC4894" s="79" t="str">
        <f>IF(AND(OR(LEFT(TH!N4894,2)="15",LEFT(TH!O4894,2)="15"),TK!$E$7=TH!F4894),"x","")</f>
        <v/>
      </c>
      <c r="AD4894" s="79" t="str">
        <f>IF(AND(N4894="1521",MONTH(C4894)='BK-NL'!$M$11),"x","")</f>
        <v/>
      </c>
    </row>
    <row r="4895" spans="1:30" ht="16.5" customHeight="1">
      <c r="A4895" s="318" t="str">
        <f>IF(B4895&lt;&gt;"",IF(AND(B4895='[3]IN-TC'!$S$4,OR([3]TH!N4126="1111",[3]TH!O4126="1111")),[3]TH!D4126,""),"")</f>
        <v/>
      </c>
      <c r="B4895" s="60" t="str">
        <f t="shared" si="479"/>
        <v/>
      </c>
      <c r="C4895" s="301"/>
      <c r="D4895" s="301"/>
      <c r="E4895" s="301"/>
      <c r="F4895" s="302"/>
      <c r="G4895" s="302"/>
      <c r="H4895" s="303"/>
      <c r="I4895" s="387"/>
      <c r="J4895" s="395"/>
      <c r="K4895" s="387"/>
      <c r="L4895" s="394"/>
      <c r="M4895" s="62"/>
      <c r="N4895" s="304"/>
      <c r="O4895" s="304"/>
      <c r="P4895" s="79" t="str">
        <f>IF(AND('331-CT'!$E$7=TH!H4895,OR(N4895="331",O4895="331")),"x","")</f>
        <v/>
      </c>
      <c r="Q4895" s="79" t="str">
        <f>IF(AND(B4895='111'!$L$11,OR($N4895=$Q$7,$O4895=$Q$7)),"x","")</f>
        <v/>
      </c>
      <c r="R4895" s="79" t="str">
        <f>IF(AND($N4895=$Q$7,$B4895&lt;'111'!$L$11),"x","")</f>
        <v/>
      </c>
      <c r="S4895" s="79" t="str">
        <f>IF(AND($O4895=$Q$7,$B4895&lt;'111'!$L$11),"x","")</f>
        <v/>
      </c>
      <c r="T4895" s="79" t="str">
        <f>IF(ISERROR(FIND('112'!$M$9,G4895,1)),"",IF((AND(FIND('112'!$M$9,G4895,1)&gt;=1,B4895='112'!$K$9,OR($N4895='112'!$I$6,$O4895='112'!$I$6))),"x",""))</f>
        <v/>
      </c>
      <c r="U4895" s="79" t="str">
        <f>IF(ISERROR(FIND('112'!$M$9,G4895,1)),"",IF((AND(LEFT(G4895,2)=LEFT('112'!$M$9,2),B4895&lt;'112'!$K$9,$N4895='112'!$I$6)),"x",""))</f>
        <v/>
      </c>
      <c r="V4895" s="79" t="str">
        <f>IF(ISERROR(FIND('112'!$M$9,G4895,1)),"",IF((AND(RIGHT(G4895,2)=RIGHT('112'!$M$9,2),B4895&lt;'112'!$K$9,$O4895='112'!$I$6)),"x",""))</f>
        <v/>
      </c>
      <c r="W4895" s="79" t="str">
        <f>IF(AND('341-CT'!$H$9=H4895,OR(LEFT(N4895,3)=$W$7,LEFT(O4895,3)=$W$7)),"x","")</f>
        <v/>
      </c>
      <c r="X4895" s="79" t="str">
        <f>IF(OR(TH!N4895=TH!$X$7,O4895=TH!$X$7),"x","")</f>
        <v/>
      </c>
      <c r="Y4895" s="79" t="str">
        <f>IF(AND(OR(N4895="131",O4895="131"),H4895='131-CT'!$H$9),"x","")</f>
        <v/>
      </c>
      <c r="Z4895" s="79"/>
      <c r="AA4895" s="79" t="str">
        <f>IF(AND(MONTH(E4895)='IN-NX'!$J$5,'IN-NX'!$D$7=D4895),"x","")</f>
        <v/>
      </c>
      <c r="AB4895" s="79" t="str">
        <f>IF(AND(OR(LEFT(TH!N4895,2)="15",LEFT(TH!O4895,2)="15"),LEFT(TH!O4895,3)&lt;&gt;"111",'152-CT'!$J$8=TH!F4895),"x","")</f>
        <v/>
      </c>
      <c r="AC4895" s="79" t="str">
        <f>IF(AND(OR(LEFT(TH!N4895,2)="15",LEFT(TH!O4895,2)="15"),TK!$E$7=TH!F4895),"x","")</f>
        <v/>
      </c>
      <c r="AD4895" s="79" t="str">
        <f>IF(AND(N4895="1521",MONTH(C4895)='BK-NL'!$M$11),"x","")</f>
        <v/>
      </c>
    </row>
    <row r="4896" spans="1:30" ht="16.5" customHeight="1">
      <c r="A4896" s="318" t="str">
        <f>IF(B4896&lt;&gt;"",IF(AND(B4896='[3]IN-TC'!$S$4,OR([3]TH!N4127="1111",[3]TH!O4127="1111")),[3]TH!D4127,""),"")</f>
        <v/>
      </c>
      <c r="B4896" s="60" t="str">
        <f t="shared" si="479"/>
        <v/>
      </c>
      <c r="C4896" s="301"/>
      <c r="D4896" s="301"/>
      <c r="E4896" s="301"/>
      <c r="F4896" s="302"/>
      <c r="G4896" s="302"/>
      <c r="H4896" s="303"/>
      <c r="I4896" s="385"/>
      <c r="J4896" s="395"/>
      <c r="K4896" s="385"/>
      <c r="L4896" s="392"/>
      <c r="M4896" s="62"/>
      <c r="N4896" s="304"/>
      <c r="O4896" s="304"/>
      <c r="P4896" s="79" t="str">
        <f>IF(AND('331-CT'!$E$7=TH!H4896,OR(N4896="331",O4896="331")),"x","")</f>
        <v/>
      </c>
      <c r="Q4896" s="79" t="str">
        <f>IF(AND(B4896='111'!$L$11,OR($N4896=$Q$7,$O4896=$Q$7)),"x","")</f>
        <v/>
      </c>
      <c r="R4896" s="79" t="str">
        <f>IF(AND($N4896=$Q$7,$B4896&lt;'111'!$L$11),"x","")</f>
        <v/>
      </c>
      <c r="S4896" s="79" t="str">
        <f>IF(AND($O4896=$Q$7,$B4896&lt;'111'!$L$11),"x","")</f>
        <v/>
      </c>
      <c r="T4896" s="79" t="str">
        <f>IF(ISERROR(FIND('112'!$M$9,G4896,1)),"",IF((AND(FIND('112'!$M$9,G4896,1)&gt;=1,B4896='112'!$K$9,OR($N4896='112'!$I$6,$O4896='112'!$I$6))),"x",""))</f>
        <v/>
      </c>
      <c r="U4896" s="79" t="str">
        <f>IF(ISERROR(FIND('112'!$M$9,G4896,1)),"",IF((AND(LEFT(G4896,2)=LEFT('112'!$M$9,2),B4896&lt;'112'!$K$9,$N4896='112'!$I$6)),"x",""))</f>
        <v/>
      </c>
      <c r="V4896" s="79" t="str">
        <f>IF(ISERROR(FIND('112'!$M$9,G4896,1)),"",IF((AND(RIGHT(G4896,2)=RIGHT('112'!$M$9,2),B4896&lt;'112'!$K$9,$O4896='112'!$I$6)),"x",""))</f>
        <v/>
      </c>
      <c r="W4896" s="79" t="str">
        <f>IF(AND('341-CT'!$H$9=H4896,OR(LEFT(N4896,3)=$W$7,LEFT(O4896,3)=$W$7)),"x","")</f>
        <v/>
      </c>
      <c r="X4896" s="79" t="str">
        <f>IF(OR(TH!N4896=TH!$X$7,O4896=TH!$X$7),"x","")</f>
        <v/>
      </c>
      <c r="Y4896" s="79" t="str">
        <f>IF(AND(OR(N4896="131",O4896="131"),H4896='131-CT'!$H$9),"x","")</f>
        <v/>
      </c>
      <c r="Z4896" s="79"/>
      <c r="AA4896" s="79" t="str">
        <f>IF(AND(MONTH(E4896)='IN-NX'!$J$5,'IN-NX'!$D$7=D4896),"x","")</f>
        <v/>
      </c>
      <c r="AB4896" s="79" t="str">
        <f>IF(AND(OR(LEFT(TH!N4896,2)="15",LEFT(TH!O4896,2)="15"),LEFT(TH!O4896,3)&lt;&gt;"111",'152-CT'!$J$8=TH!F4896),"x","")</f>
        <v/>
      </c>
      <c r="AC4896" s="79" t="str">
        <f>IF(AND(OR(LEFT(TH!N4896,2)="15",LEFT(TH!O4896,2)="15"),TK!$E$7=TH!F4896),"x","")</f>
        <v/>
      </c>
      <c r="AD4896" s="79" t="str">
        <f>IF(AND(N4896="1521",MONTH(C4896)='BK-NL'!$M$11),"x","")</f>
        <v/>
      </c>
    </row>
    <row r="4897" spans="1:30" ht="16.5" customHeight="1">
      <c r="A4897" s="318" t="str">
        <f>IF(B4897&lt;&gt;"",IF(AND(B4897='[3]IN-TC'!$S$4,OR([3]TH!N4128="1111",[3]TH!O4128="1111")),[3]TH!D4128,""),"")</f>
        <v/>
      </c>
      <c r="B4897" s="60" t="str">
        <f t="shared" si="479"/>
        <v/>
      </c>
      <c r="C4897" s="301"/>
      <c r="D4897" s="301"/>
      <c r="E4897" s="301"/>
      <c r="F4897" s="302"/>
      <c r="G4897" s="302"/>
      <c r="H4897" s="303"/>
      <c r="I4897" s="385"/>
      <c r="J4897" s="395"/>
      <c r="K4897" s="385"/>
      <c r="L4897" s="392"/>
      <c r="M4897" s="62"/>
      <c r="N4897" s="304"/>
      <c r="O4897" s="304"/>
      <c r="P4897" s="79" t="str">
        <f>IF(AND('331-CT'!$E$7=TH!H4897,OR(N4897="331",O4897="331")),"x","")</f>
        <v/>
      </c>
      <c r="Q4897" s="79" t="str">
        <f>IF(AND(B4897='111'!$L$11,OR($N4897=$Q$7,$O4897=$Q$7)),"x","")</f>
        <v/>
      </c>
      <c r="R4897" s="79" t="str">
        <f>IF(AND($N4897=$Q$7,$B4897&lt;'111'!$L$11),"x","")</f>
        <v/>
      </c>
      <c r="S4897" s="79" t="str">
        <f>IF(AND($O4897=$Q$7,$B4897&lt;'111'!$L$11),"x","")</f>
        <v/>
      </c>
      <c r="T4897" s="79" t="str">
        <f>IF(ISERROR(FIND('112'!$M$9,G4897,1)),"",IF((AND(FIND('112'!$M$9,G4897,1)&gt;=1,B4897='112'!$K$9,OR($N4897='112'!$I$6,$O4897='112'!$I$6))),"x",""))</f>
        <v/>
      </c>
      <c r="U4897" s="79" t="str">
        <f>IF(ISERROR(FIND('112'!$M$9,G4897,1)),"",IF((AND(LEFT(G4897,2)=LEFT('112'!$M$9,2),B4897&lt;'112'!$K$9,$N4897='112'!$I$6)),"x",""))</f>
        <v/>
      </c>
      <c r="V4897" s="79" t="str">
        <f>IF(ISERROR(FIND('112'!$M$9,G4897,1)),"",IF((AND(RIGHT(G4897,2)=RIGHT('112'!$M$9,2),B4897&lt;'112'!$K$9,$O4897='112'!$I$6)),"x",""))</f>
        <v/>
      </c>
      <c r="W4897" s="79" t="str">
        <f>IF(AND('341-CT'!$H$9=H4897,OR(LEFT(N4897,3)=$W$7,LEFT(O4897,3)=$W$7)),"x","")</f>
        <v/>
      </c>
      <c r="X4897" s="79" t="str">
        <f>IF(OR(TH!N4897=TH!$X$7,O4897=TH!$X$7),"x","")</f>
        <v/>
      </c>
      <c r="Y4897" s="79" t="str">
        <f>IF(AND(OR(N4897="131",O4897="131"),H4897='131-CT'!$H$9),"x","")</f>
        <v/>
      </c>
      <c r="Z4897" s="79"/>
      <c r="AA4897" s="79" t="str">
        <f>IF(AND(MONTH(E4897)='IN-NX'!$J$5,'IN-NX'!$D$7=D4897),"x","")</f>
        <v/>
      </c>
      <c r="AB4897" s="79" t="str">
        <f>IF(AND(OR(LEFT(TH!N4897,2)="15",LEFT(TH!O4897,2)="15"),LEFT(TH!O4897,3)&lt;&gt;"111",'152-CT'!$J$8=TH!F4897),"x","")</f>
        <v/>
      </c>
      <c r="AC4897" s="79" t="str">
        <f>IF(AND(OR(LEFT(TH!N4897,2)="15",LEFT(TH!O4897,2)="15"),TK!$E$7=TH!F4897),"x","")</f>
        <v/>
      </c>
      <c r="AD4897" s="79" t="str">
        <f>IF(AND(N4897="1521",MONTH(C4897)='BK-NL'!$M$11),"x","")</f>
        <v/>
      </c>
    </row>
    <row r="4898" spans="1:30" s="313" customFormat="1" ht="16.5" customHeight="1">
      <c r="A4898" s="318" t="str">
        <f>IF(B4898&lt;&gt;"",IF(AND(B4898='[3]IN-TC'!$S$4,OR([3]TH!N4129="1111",[3]TH!O4129="1111")),[3]TH!D4129,""),"")</f>
        <v/>
      </c>
      <c r="B4898" s="60" t="str">
        <f t="shared" si="479"/>
        <v/>
      </c>
      <c r="C4898" s="301"/>
      <c r="D4898" s="301"/>
      <c r="E4898" s="301"/>
      <c r="F4898" s="302"/>
      <c r="G4898" s="302"/>
      <c r="H4898" s="303"/>
      <c r="I4898" s="385"/>
      <c r="J4898" s="395"/>
      <c r="K4898" s="385"/>
      <c r="L4898" s="392"/>
      <c r="M4898" s="62"/>
      <c r="N4898" s="304"/>
      <c r="O4898" s="304"/>
      <c r="P4898" s="79" t="str">
        <f>IF(AND('331-CT'!$E$7=TH!H4898,OR(N4898="331",O4898="331")),"x","")</f>
        <v/>
      </c>
      <c r="Q4898" s="79" t="str">
        <f>IF(AND(B4898='111'!$L$11,OR($N4898=$Q$7,$O4898=$Q$7)),"x","")</f>
        <v/>
      </c>
      <c r="R4898" s="79" t="str">
        <f>IF(AND($N4898=$Q$7,$B4898&lt;'111'!$L$11),"x","")</f>
        <v/>
      </c>
      <c r="S4898" s="79" t="str">
        <f>IF(AND($O4898=$Q$7,$B4898&lt;'111'!$L$11),"x","")</f>
        <v/>
      </c>
      <c r="T4898" s="79" t="str">
        <f>IF(ISERROR(FIND('112'!$M$9,G4898,1)),"",IF((AND(FIND('112'!$M$9,G4898,1)&gt;=1,B4898='112'!$K$9,OR($N4898='112'!$I$6,$O4898='112'!$I$6))),"x",""))</f>
        <v/>
      </c>
      <c r="U4898" s="79" t="str">
        <f>IF(ISERROR(FIND('112'!$M$9,G4898,1)),"",IF((AND(LEFT(G4898,2)=LEFT('112'!$M$9,2),B4898&lt;'112'!$K$9,$N4898='112'!$I$6)),"x",""))</f>
        <v/>
      </c>
      <c r="V4898" s="79" t="str">
        <f>IF(ISERROR(FIND('112'!$M$9,G4898,1)),"",IF((AND(RIGHT(G4898,2)=RIGHT('112'!$M$9,2),B4898&lt;'112'!$K$9,$O4898='112'!$I$6)),"x",""))</f>
        <v/>
      </c>
      <c r="W4898" s="79" t="str">
        <f>IF(AND('341-CT'!$H$9=H4898,OR(LEFT(N4898,3)=$W$7,LEFT(O4898,3)=$W$7)),"x","")</f>
        <v/>
      </c>
      <c r="X4898" s="79" t="str">
        <f>IF(OR(TH!N4898=TH!$X$7,O4898=TH!$X$7),"x","")</f>
        <v/>
      </c>
      <c r="Y4898" s="79" t="str">
        <f>IF(AND(OR(N4898="131",O4898="131"),H4898='131-CT'!$H$9),"x","")</f>
        <v/>
      </c>
      <c r="Z4898" s="79"/>
      <c r="AA4898" s="79" t="str">
        <f>IF(AND(MONTH(E4898)='IN-NX'!$J$5,'IN-NX'!$D$7=D4898),"x","")</f>
        <v/>
      </c>
      <c r="AB4898" s="79" t="str">
        <f>IF(AND(OR(LEFT(TH!N4898,2)="15",LEFT(TH!O4898,2)="15"),LEFT(TH!O4898,3)&lt;&gt;"111",'152-CT'!$J$8=TH!F4898),"x","")</f>
        <v/>
      </c>
      <c r="AC4898" s="79" t="str">
        <f>IF(AND(OR(LEFT(TH!N4898,2)="15",LEFT(TH!O4898,2)="15"),TK!$E$7=TH!F4898),"x","")</f>
        <v/>
      </c>
      <c r="AD4898" s="79" t="str">
        <f>IF(AND(N4898="1521",MONTH(C4898)='BK-NL'!$M$11),"x","")</f>
        <v/>
      </c>
    </row>
    <row r="4899" spans="1:30" ht="16.5" customHeight="1">
      <c r="A4899" s="318" t="str">
        <f>IF(B4899&lt;&gt;"",IF(AND(B4899='[3]IN-TC'!$S$4,OR([3]TH!N4130="1111",[3]TH!O4130="1111")),[3]TH!D4130,""),"")</f>
        <v/>
      </c>
      <c r="B4899" s="60" t="str">
        <f t="shared" si="479"/>
        <v/>
      </c>
      <c r="C4899" s="301"/>
      <c r="D4899" s="301"/>
      <c r="E4899" s="301"/>
      <c r="F4899" s="302"/>
      <c r="G4899" s="302"/>
      <c r="H4899" s="303"/>
      <c r="I4899" s="385"/>
      <c r="J4899" s="395"/>
      <c r="K4899" s="385"/>
      <c r="L4899" s="392"/>
      <c r="M4899" s="62"/>
      <c r="N4899" s="304"/>
      <c r="O4899" s="304"/>
      <c r="P4899" s="79" t="str">
        <f>IF(AND('331-CT'!$E$7=TH!H4899,OR(N4899="331",O4899="331")),"x","")</f>
        <v/>
      </c>
      <c r="Q4899" s="79" t="str">
        <f>IF(AND(B4899='111'!$L$11,OR($N4899=$Q$7,$O4899=$Q$7)),"x","")</f>
        <v/>
      </c>
      <c r="R4899" s="79" t="str">
        <f>IF(AND($N4899=$Q$7,$B4899&lt;'111'!$L$11),"x","")</f>
        <v/>
      </c>
      <c r="S4899" s="79" t="str">
        <f>IF(AND($O4899=$Q$7,$B4899&lt;'111'!$L$11),"x","")</f>
        <v/>
      </c>
      <c r="T4899" s="79" t="str">
        <f>IF(ISERROR(FIND('112'!$M$9,G4899,1)),"",IF((AND(FIND('112'!$M$9,G4899,1)&gt;=1,B4899='112'!$K$9,OR($N4899='112'!$I$6,$O4899='112'!$I$6))),"x",""))</f>
        <v/>
      </c>
      <c r="U4899" s="79" t="str">
        <f>IF(ISERROR(FIND('112'!$M$9,G4899,1)),"",IF((AND(LEFT(G4899,2)=LEFT('112'!$M$9,2),B4899&lt;'112'!$K$9,$N4899='112'!$I$6)),"x",""))</f>
        <v/>
      </c>
      <c r="V4899" s="79" t="str">
        <f>IF(ISERROR(FIND('112'!$M$9,G4899,1)),"",IF((AND(RIGHT(G4899,2)=RIGHT('112'!$M$9,2),B4899&lt;'112'!$K$9,$O4899='112'!$I$6)),"x",""))</f>
        <v/>
      </c>
      <c r="W4899" s="79" t="str">
        <f>IF(AND('341-CT'!$H$9=H4899,OR(LEFT(N4899,3)=$W$7,LEFT(O4899,3)=$W$7)),"x","")</f>
        <v/>
      </c>
      <c r="X4899" s="79" t="str">
        <f>IF(OR(TH!N4899=TH!$X$7,O4899=TH!$X$7),"x","")</f>
        <v/>
      </c>
      <c r="Y4899" s="79" t="str">
        <f>IF(AND(OR(N4899="131",O4899="131"),H4899='131-CT'!$H$9),"x","")</f>
        <v/>
      </c>
      <c r="Z4899" s="79"/>
      <c r="AA4899" s="79" t="str">
        <f>IF(AND(MONTH(E4899)='IN-NX'!$J$5,'IN-NX'!$D$7=D4899),"x","")</f>
        <v/>
      </c>
      <c r="AB4899" s="79" t="str">
        <f>IF(AND(OR(LEFT(TH!N4899,2)="15",LEFT(TH!O4899,2)="15"),LEFT(TH!O4899,3)&lt;&gt;"111",'152-CT'!$J$8=TH!F4899),"x","")</f>
        <v/>
      </c>
      <c r="AC4899" s="79" t="str">
        <f>IF(AND(OR(LEFT(TH!N4899,2)="15",LEFT(TH!O4899,2)="15"),TK!$E$7=TH!F4899),"x","")</f>
        <v/>
      </c>
      <c r="AD4899" s="79" t="str">
        <f>IF(AND(N4899="1521",MONTH(C4899)='BK-NL'!$M$11),"x","")</f>
        <v/>
      </c>
    </row>
    <row r="4900" spans="1:30" ht="16.5" customHeight="1">
      <c r="A4900" s="318" t="str">
        <f>IF(B4900&lt;&gt;"",IF(AND(B4900='[3]IN-TC'!$S$4,OR([3]TH!N4131="1111",[3]TH!O4131="1111")),[3]TH!D4131,""),"")</f>
        <v/>
      </c>
      <c r="B4900" s="60" t="str">
        <f t="shared" si="479"/>
        <v/>
      </c>
      <c r="C4900" s="301"/>
      <c r="D4900" s="301"/>
      <c r="E4900" s="301"/>
      <c r="F4900" s="302"/>
      <c r="G4900" s="302"/>
      <c r="H4900" s="303"/>
      <c r="I4900" s="385"/>
      <c r="J4900" s="395"/>
      <c r="K4900" s="385"/>
      <c r="L4900" s="392"/>
      <c r="M4900" s="62"/>
      <c r="N4900" s="304"/>
      <c r="O4900" s="304"/>
      <c r="P4900" s="79" t="str">
        <f>IF(AND('331-CT'!$E$7=TH!H4900,OR(N4900="331",O4900="331")),"x","")</f>
        <v/>
      </c>
      <c r="Q4900" s="79" t="str">
        <f>IF(AND(B4900='111'!$L$11,OR($N4900=$Q$7,$O4900=$Q$7)),"x","")</f>
        <v/>
      </c>
      <c r="R4900" s="79" t="str">
        <f>IF(AND($N4900=$Q$7,$B4900&lt;'111'!$L$11),"x","")</f>
        <v/>
      </c>
      <c r="S4900" s="79" t="str">
        <f>IF(AND($O4900=$Q$7,$B4900&lt;'111'!$L$11),"x","")</f>
        <v/>
      </c>
      <c r="T4900" s="79" t="str">
        <f>IF(ISERROR(FIND('112'!$M$9,G4900,1)),"",IF((AND(FIND('112'!$M$9,G4900,1)&gt;=1,B4900='112'!$K$9,OR($N4900='112'!$I$6,$O4900='112'!$I$6))),"x",""))</f>
        <v/>
      </c>
      <c r="U4900" s="79" t="str">
        <f>IF(ISERROR(FIND('112'!$M$9,G4900,1)),"",IF((AND(LEFT(G4900,2)=LEFT('112'!$M$9,2),B4900&lt;'112'!$K$9,$N4900='112'!$I$6)),"x",""))</f>
        <v/>
      </c>
      <c r="V4900" s="79" t="str">
        <f>IF(ISERROR(FIND('112'!$M$9,G4900,1)),"",IF((AND(RIGHT(G4900,2)=RIGHT('112'!$M$9,2),B4900&lt;'112'!$K$9,$O4900='112'!$I$6)),"x",""))</f>
        <v/>
      </c>
      <c r="W4900" s="79" t="str">
        <f>IF(AND('341-CT'!$H$9=H4900,OR(LEFT(N4900,3)=$W$7,LEFT(O4900,3)=$W$7)),"x","")</f>
        <v/>
      </c>
      <c r="X4900" s="79" t="str">
        <f>IF(OR(TH!N4900=TH!$X$7,O4900=TH!$X$7),"x","")</f>
        <v/>
      </c>
      <c r="Y4900" s="79" t="str">
        <f>IF(AND(OR(N4900="131",O4900="131"),H4900='131-CT'!$H$9),"x","")</f>
        <v/>
      </c>
      <c r="Z4900" s="79"/>
      <c r="AA4900" s="79" t="str">
        <f>IF(AND(MONTH(E4900)='IN-NX'!$J$5,'IN-NX'!$D$7=D4900),"x","")</f>
        <v/>
      </c>
      <c r="AB4900" s="79" t="str">
        <f>IF(AND(OR(LEFT(TH!N4900,2)="15",LEFT(TH!O4900,2)="15"),LEFT(TH!O4900,3)&lt;&gt;"111",'152-CT'!$J$8=TH!F4900),"x","")</f>
        <v/>
      </c>
      <c r="AC4900" s="79" t="str">
        <f>IF(AND(OR(LEFT(TH!N4900,2)="15",LEFT(TH!O4900,2)="15"),TK!$E$7=TH!F4900),"x","")</f>
        <v/>
      </c>
      <c r="AD4900" s="79" t="str">
        <f>IF(AND(N4900="1521",MONTH(C4900)='BK-NL'!$M$11),"x","")</f>
        <v/>
      </c>
    </row>
    <row r="4901" spans="1:30" ht="16.5" customHeight="1">
      <c r="A4901" s="318" t="str">
        <f>IF(B4901&lt;&gt;"",IF(AND(B4901='[3]IN-TC'!$S$4,OR([3]TH!N4132="1111",[3]TH!O4132="1111")),[3]TH!D4132,""),"")</f>
        <v/>
      </c>
      <c r="B4901" s="60" t="str">
        <f t="shared" si="479"/>
        <v/>
      </c>
      <c r="C4901" s="301"/>
      <c r="D4901" s="301"/>
      <c r="E4901" s="301"/>
      <c r="F4901" s="302"/>
      <c r="G4901" s="302"/>
      <c r="H4901" s="303"/>
      <c r="I4901" s="385"/>
      <c r="J4901" s="395"/>
      <c r="K4901" s="385"/>
      <c r="L4901" s="392"/>
      <c r="M4901" s="62"/>
      <c r="N4901" s="304"/>
      <c r="O4901" s="304"/>
      <c r="P4901" s="79" t="str">
        <f>IF(AND('331-CT'!$E$7=TH!H4901,OR(N4901="331",O4901="331")),"x","")</f>
        <v/>
      </c>
      <c r="Q4901" s="79" t="str">
        <f>IF(AND(B4901='111'!$L$11,OR($N4901=$Q$7,$O4901=$Q$7)),"x","")</f>
        <v/>
      </c>
      <c r="R4901" s="79" t="str">
        <f>IF(AND($N4901=$Q$7,$B4901&lt;'111'!$L$11),"x","")</f>
        <v/>
      </c>
      <c r="S4901" s="79" t="str">
        <f>IF(AND($O4901=$Q$7,$B4901&lt;'111'!$L$11),"x","")</f>
        <v/>
      </c>
      <c r="T4901" s="79" t="str">
        <f>IF(ISERROR(FIND('112'!$M$9,G4901,1)),"",IF((AND(FIND('112'!$M$9,G4901,1)&gt;=1,B4901='112'!$K$9,OR($N4901='112'!$I$6,$O4901='112'!$I$6))),"x",""))</f>
        <v/>
      </c>
      <c r="U4901" s="79" t="str">
        <f>IF(ISERROR(FIND('112'!$M$9,G4901,1)),"",IF((AND(LEFT(G4901,2)=LEFT('112'!$M$9,2),B4901&lt;'112'!$K$9,$N4901='112'!$I$6)),"x",""))</f>
        <v/>
      </c>
      <c r="V4901" s="79" t="str">
        <f>IF(ISERROR(FIND('112'!$M$9,G4901,1)),"",IF((AND(RIGHT(G4901,2)=RIGHT('112'!$M$9,2),B4901&lt;'112'!$K$9,$O4901='112'!$I$6)),"x",""))</f>
        <v/>
      </c>
      <c r="W4901" s="79" t="str">
        <f>IF(AND('341-CT'!$H$9=H4901,OR(LEFT(N4901,3)=$W$7,LEFT(O4901,3)=$W$7)),"x","")</f>
        <v/>
      </c>
      <c r="X4901" s="79" t="str">
        <f>IF(OR(TH!N4901=TH!$X$7,O4901=TH!$X$7),"x","")</f>
        <v/>
      </c>
      <c r="Y4901" s="79" t="str">
        <f>IF(AND(OR(N4901="131",O4901="131"),H4901='131-CT'!$H$9),"x","")</f>
        <v/>
      </c>
      <c r="Z4901" s="79"/>
      <c r="AA4901" s="79" t="str">
        <f>IF(AND(MONTH(E4901)='IN-NX'!$J$5,'IN-NX'!$D$7=D4901),"x","")</f>
        <v/>
      </c>
      <c r="AB4901" s="79" t="str">
        <f>IF(AND(OR(LEFT(TH!N4901,2)="15",LEFT(TH!O4901,2)="15"),LEFT(TH!O4901,3)&lt;&gt;"111",'152-CT'!$J$8=TH!F4901),"x","")</f>
        <v/>
      </c>
      <c r="AC4901" s="79" t="str">
        <f>IF(AND(OR(LEFT(TH!N4901,2)="15",LEFT(TH!O4901,2)="15"),TK!$E$7=TH!F4901),"x","")</f>
        <v/>
      </c>
      <c r="AD4901" s="79" t="str">
        <f>IF(AND(N4901="1521",MONTH(C4901)='BK-NL'!$M$11),"x","")</f>
        <v/>
      </c>
    </row>
    <row r="4902" spans="1:30" ht="16.5" customHeight="1">
      <c r="A4902" s="318" t="str">
        <f>IF(B4902&lt;&gt;"",IF(AND(B4902='[3]IN-TC'!$S$4,OR([3]TH!N4133="1111",[3]TH!O4133="1111")),[3]TH!D4133,""),"")</f>
        <v/>
      </c>
      <c r="B4902" s="60" t="str">
        <f t="shared" si="479"/>
        <v/>
      </c>
      <c r="C4902" s="301"/>
      <c r="D4902" s="301"/>
      <c r="E4902" s="301"/>
      <c r="F4902" s="302"/>
      <c r="G4902" s="302"/>
      <c r="H4902" s="303"/>
      <c r="I4902" s="385"/>
      <c r="J4902" s="395"/>
      <c r="K4902" s="385"/>
      <c r="L4902" s="392"/>
      <c r="M4902" s="62"/>
      <c r="N4902" s="304"/>
      <c r="O4902" s="304"/>
      <c r="P4902" s="79" t="str">
        <f>IF(AND('331-CT'!$E$7=TH!H4902,OR(N4902="331",O4902="331")),"x","")</f>
        <v/>
      </c>
      <c r="Q4902" s="79" t="str">
        <f>IF(AND(B4902='111'!$L$11,OR($N4902=$Q$7,$O4902=$Q$7)),"x","")</f>
        <v/>
      </c>
      <c r="R4902" s="79" t="str">
        <f>IF(AND($N4902=$Q$7,$B4902&lt;'111'!$L$11),"x","")</f>
        <v/>
      </c>
      <c r="S4902" s="79" t="str">
        <f>IF(AND($O4902=$Q$7,$B4902&lt;'111'!$L$11),"x","")</f>
        <v/>
      </c>
      <c r="T4902" s="79" t="str">
        <f>IF(ISERROR(FIND('112'!$M$9,G4902,1)),"",IF((AND(FIND('112'!$M$9,G4902,1)&gt;=1,B4902='112'!$K$9,OR($N4902='112'!$I$6,$O4902='112'!$I$6))),"x",""))</f>
        <v/>
      </c>
      <c r="U4902" s="79" t="str">
        <f>IF(ISERROR(FIND('112'!$M$9,G4902,1)),"",IF((AND(LEFT(G4902,2)=LEFT('112'!$M$9,2),B4902&lt;'112'!$K$9,$N4902='112'!$I$6)),"x",""))</f>
        <v/>
      </c>
      <c r="V4902" s="79" t="str">
        <f>IF(ISERROR(FIND('112'!$M$9,G4902,1)),"",IF((AND(RIGHT(G4902,2)=RIGHT('112'!$M$9,2),B4902&lt;'112'!$K$9,$O4902='112'!$I$6)),"x",""))</f>
        <v/>
      </c>
      <c r="W4902" s="79" t="str">
        <f>IF(AND('341-CT'!$H$9=H4902,OR(LEFT(N4902,3)=$W$7,LEFT(O4902,3)=$W$7)),"x","")</f>
        <v/>
      </c>
      <c r="X4902" s="79" t="str">
        <f>IF(OR(TH!N4902=TH!$X$7,O4902=TH!$X$7),"x","")</f>
        <v/>
      </c>
      <c r="Y4902" s="79" t="str">
        <f>IF(AND(OR(N4902="131",O4902="131"),H4902='131-CT'!$H$9),"x","")</f>
        <v/>
      </c>
      <c r="Z4902" s="79"/>
      <c r="AA4902" s="79" t="str">
        <f>IF(AND(MONTH(E4902)='IN-NX'!$J$5,'IN-NX'!$D$7=D4902),"x","")</f>
        <v/>
      </c>
      <c r="AB4902" s="79" t="str">
        <f>IF(AND(OR(LEFT(TH!N4902,2)="15",LEFT(TH!O4902,2)="15"),LEFT(TH!O4902,3)&lt;&gt;"111",'152-CT'!$J$8=TH!F4902),"x","")</f>
        <v/>
      </c>
      <c r="AC4902" s="79" t="str">
        <f>IF(AND(OR(LEFT(TH!N4902,2)="15",LEFT(TH!O4902,2)="15"),TK!$E$7=TH!F4902),"x","")</f>
        <v/>
      </c>
      <c r="AD4902" s="79" t="str">
        <f>IF(AND(N4902="1521",MONTH(C4902)='BK-NL'!$M$11),"x","")</f>
        <v/>
      </c>
    </row>
    <row r="4903" spans="1:30" ht="16.5" customHeight="1">
      <c r="A4903" s="318" t="str">
        <f>IF(B4903&lt;&gt;"",IF(AND(B4903='[3]IN-TC'!$S$4,OR([3]TH!N4134="1111",[3]TH!O4134="1111")),[3]TH!D4134,""),"")</f>
        <v/>
      </c>
      <c r="B4903" s="60" t="str">
        <f t="shared" si="479"/>
        <v/>
      </c>
      <c r="C4903" s="301"/>
      <c r="D4903" s="301"/>
      <c r="E4903" s="301"/>
      <c r="F4903" s="302"/>
      <c r="G4903" s="302"/>
      <c r="H4903" s="303"/>
      <c r="I4903" s="385"/>
      <c r="J4903" s="395"/>
      <c r="K4903" s="385"/>
      <c r="L4903" s="392"/>
      <c r="M4903" s="62"/>
      <c r="N4903" s="304"/>
      <c r="O4903" s="304"/>
      <c r="P4903" s="79" t="str">
        <f>IF(AND('331-CT'!$E$7=TH!H4903,OR(N4903="331",O4903="331")),"x","")</f>
        <v/>
      </c>
      <c r="Q4903" s="79" t="str">
        <f>IF(AND(B4903='111'!$L$11,OR($N4903=$Q$7,$O4903=$Q$7)),"x","")</f>
        <v/>
      </c>
      <c r="R4903" s="79" t="str">
        <f>IF(AND($N4903=$Q$7,$B4903&lt;'111'!$L$11),"x","")</f>
        <v/>
      </c>
      <c r="S4903" s="79" t="str">
        <f>IF(AND($O4903=$Q$7,$B4903&lt;'111'!$L$11),"x","")</f>
        <v/>
      </c>
      <c r="T4903" s="79" t="str">
        <f>IF(ISERROR(FIND('112'!$M$9,G4903,1)),"",IF((AND(FIND('112'!$M$9,G4903,1)&gt;=1,B4903='112'!$K$9,OR($N4903='112'!$I$6,$O4903='112'!$I$6))),"x",""))</f>
        <v/>
      </c>
      <c r="U4903" s="79" t="str">
        <f>IF(ISERROR(FIND('112'!$M$9,G4903,1)),"",IF((AND(LEFT(G4903,2)=LEFT('112'!$M$9,2),B4903&lt;'112'!$K$9,$N4903='112'!$I$6)),"x",""))</f>
        <v/>
      </c>
      <c r="V4903" s="79" t="str">
        <f>IF(ISERROR(FIND('112'!$M$9,G4903,1)),"",IF((AND(RIGHT(G4903,2)=RIGHT('112'!$M$9,2),B4903&lt;'112'!$K$9,$O4903='112'!$I$6)),"x",""))</f>
        <v/>
      </c>
      <c r="W4903" s="79" t="str">
        <f>IF(AND('341-CT'!$H$9=H4903,OR(LEFT(N4903,3)=$W$7,LEFT(O4903,3)=$W$7)),"x","")</f>
        <v/>
      </c>
      <c r="X4903" s="79" t="str">
        <f>IF(OR(TH!N4903=TH!$X$7,O4903=TH!$X$7),"x","")</f>
        <v/>
      </c>
      <c r="Y4903" s="79" t="str">
        <f>IF(AND(OR(N4903="131",O4903="131"),H4903='131-CT'!$H$9),"x","")</f>
        <v/>
      </c>
      <c r="Z4903" s="79"/>
      <c r="AA4903" s="79" t="str">
        <f>IF(AND(MONTH(E4903)='IN-NX'!$J$5,'IN-NX'!$D$7=D4903),"x","")</f>
        <v/>
      </c>
      <c r="AB4903" s="79" t="str">
        <f>IF(AND(OR(LEFT(TH!N4903,2)="15",LEFT(TH!O4903,2)="15"),LEFT(TH!O4903,3)&lt;&gt;"111",'152-CT'!$J$8=TH!F4903),"x","")</f>
        <v/>
      </c>
      <c r="AC4903" s="79" t="str">
        <f>IF(AND(OR(LEFT(TH!N4903,2)="15",LEFT(TH!O4903,2)="15"),TK!$E$7=TH!F4903),"x","")</f>
        <v/>
      </c>
      <c r="AD4903" s="79" t="str">
        <f>IF(AND(N4903="1521",MONTH(C4903)='BK-NL'!$M$11),"x","")</f>
        <v/>
      </c>
    </row>
    <row r="4904" spans="1:30" ht="16.5" customHeight="1">
      <c r="A4904" s="318" t="str">
        <f>IF(B4904&lt;&gt;"",IF(AND(B4904='[3]IN-TC'!$S$4,OR([3]TH!N4135="1111",[3]TH!O4135="1111")),[3]TH!D4135,""),"")</f>
        <v/>
      </c>
      <c r="B4904" s="60" t="str">
        <f t="shared" ref="B4904" si="480">IF(C4904&lt;&gt;"",MONTH(C4904),"")</f>
        <v/>
      </c>
      <c r="C4904" s="301"/>
      <c r="D4904" s="301"/>
      <c r="E4904" s="301"/>
      <c r="F4904" s="302"/>
      <c r="G4904" s="302"/>
      <c r="H4904" s="303"/>
      <c r="I4904" s="385"/>
      <c r="J4904" s="395"/>
      <c r="K4904" s="385"/>
      <c r="L4904" s="392"/>
      <c r="M4904" s="62"/>
      <c r="N4904" s="304"/>
      <c r="O4904" s="304"/>
      <c r="P4904" s="79" t="str">
        <f>IF(AND('331-CT'!$E$7=TH!H4904,OR(N4904="331",O4904="331")),"x","")</f>
        <v/>
      </c>
      <c r="Q4904" s="79" t="str">
        <f>IF(AND(B4904='111'!$L$11,OR($N4904=$Q$7,$O4904=$Q$7)),"x","")</f>
        <v/>
      </c>
      <c r="R4904" s="79" t="str">
        <f>IF(AND($N4904=$Q$7,$B4904&lt;'111'!$L$11),"x","")</f>
        <v/>
      </c>
      <c r="S4904" s="79" t="str">
        <f>IF(AND($O4904=$Q$7,$B4904&lt;'111'!$L$11),"x","")</f>
        <v/>
      </c>
      <c r="T4904" s="79" t="str">
        <f>IF(ISERROR(FIND('112'!$M$9,G4904,1)),"",IF((AND(FIND('112'!$M$9,G4904,1)&gt;=1,B4904='112'!$K$9,OR($N4904='112'!$I$6,$O4904='112'!$I$6))),"x",""))</f>
        <v/>
      </c>
      <c r="U4904" s="79" t="str">
        <f>IF(ISERROR(FIND('112'!$M$9,G4904,1)),"",IF((AND(LEFT(G4904,2)=LEFT('112'!$M$9,2),B4904&lt;'112'!$K$9,$N4904='112'!$I$6)),"x",""))</f>
        <v/>
      </c>
      <c r="V4904" s="79" t="str">
        <f>IF(ISERROR(FIND('112'!$M$9,G4904,1)),"",IF((AND(RIGHT(G4904,2)=RIGHT('112'!$M$9,2),B4904&lt;'112'!$K$9,$O4904='112'!$I$6)),"x",""))</f>
        <v/>
      </c>
      <c r="W4904" s="79" t="str">
        <f>IF(AND('341-CT'!$H$9=H4904,OR(LEFT(N4904,3)=$W$7,LEFT(O4904,3)=$W$7)),"x","")</f>
        <v/>
      </c>
      <c r="X4904" s="79" t="str">
        <f>IF(OR(TH!N4904=TH!$X$7,O4904=TH!$X$7),"x","")</f>
        <v/>
      </c>
      <c r="Y4904" s="79" t="str">
        <f>IF(AND(OR(N4904="131",O4904="131"),H4904='131-CT'!$H$9),"x","")</f>
        <v/>
      </c>
      <c r="Z4904" s="79"/>
      <c r="AA4904" s="79" t="str">
        <f>IF(AND(MONTH(E4904)='IN-NX'!$J$5,'IN-NX'!$D$7=D4904),"x","")</f>
        <v/>
      </c>
      <c r="AB4904" s="79" t="str">
        <f>IF(AND(OR(LEFT(TH!N4904,2)="15",LEFT(TH!O4904,2)="15"),LEFT(TH!O4904,3)&lt;&gt;"111",'152-CT'!$J$8=TH!F4904),"x","")</f>
        <v/>
      </c>
      <c r="AC4904" s="79" t="str">
        <f>IF(AND(OR(LEFT(TH!N4904,2)="15",LEFT(TH!O4904,2)="15"),TK!$E$7=TH!F4904),"x","")</f>
        <v/>
      </c>
      <c r="AD4904" s="79" t="str">
        <f>IF(AND(N4904="1521",MONTH(C4904)='BK-NL'!$M$11),"x","")</f>
        <v/>
      </c>
    </row>
    <row r="4905" spans="1:30" ht="16.5" customHeight="1">
      <c r="A4905" s="318" t="str">
        <f>IF(B4905&lt;&gt;"",IF(AND(B4905='[3]IN-TC'!$S$4,OR([3]TH!N4136="1111",[3]TH!O4136="1111")),[3]TH!D4136,""),"")</f>
        <v/>
      </c>
      <c r="B4905" s="60" t="str">
        <f t="shared" si="479"/>
        <v/>
      </c>
      <c r="C4905" s="61"/>
      <c r="D4905" s="61"/>
      <c r="E4905" s="61"/>
      <c r="F4905" s="64"/>
      <c r="G4905" s="64"/>
      <c r="H4905" s="69"/>
      <c r="I4905" s="385"/>
      <c r="J4905" s="395"/>
      <c r="K4905" s="385"/>
      <c r="L4905" s="392"/>
      <c r="M4905" s="62"/>
      <c r="N4905" s="63"/>
      <c r="O4905" s="63"/>
      <c r="P4905" s="79" t="str">
        <f>IF(AND('331-CT'!$E$7=TH!H4905,OR(N4905="331",O4905="331")),"x","")</f>
        <v/>
      </c>
      <c r="Q4905" s="79" t="str">
        <f>IF(AND(B4905='111'!$L$11,OR($N4905=$Q$7,$O4905=$Q$7)),"x","")</f>
        <v/>
      </c>
      <c r="R4905" s="79" t="str">
        <f>IF(AND($N4905=$Q$7,$B4905&lt;'111'!$L$11),"x","")</f>
        <v/>
      </c>
      <c r="S4905" s="79" t="str">
        <f>IF(AND($O4905=$Q$7,$B4905&lt;'111'!$L$11),"x","")</f>
        <v/>
      </c>
      <c r="T4905" s="79" t="str">
        <f>IF(ISERROR(FIND('112'!$M$9,G4905,1)),"",IF((AND(FIND('112'!$M$9,G4905,1)&gt;=1,B4905='112'!$K$9,OR($N4905='112'!$I$6,$O4905='112'!$I$6))),"x",""))</f>
        <v/>
      </c>
      <c r="U4905" s="79" t="str">
        <f>IF(ISERROR(FIND('112'!$M$9,G4905,1)),"",IF((AND(LEFT(G4905,2)=LEFT('112'!$M$9,2),B4905&lt;'112'!$K$9,$N4905='112'!$I$6)),"x",""))</f>
        <v/>
      </c>
      <c r="V4905" s="79" t="str">
        <f>IF(ISERROR(FIND('112'!$M$9,G4905,1)),"",IF((AND(RIGHT(G4905,2)=RIGHT('112'!$M$9,2),B4905&lt;'112'!$K$9,$O4905='112'!$I$6)),"x",""))</f>
        <v/>
      </c>
      <c r="W4905" s="79" t="str">
        <f>IF(AND('341-CT'!$H$9=H4905,OR(LEFT(N4905,3)=$W$7,LEFT(O4905,3)=$W$7)),"x","")</f>
        <v/>
      </c>
      <c r="X4905" s="79" t="str">
        <f>IF(OR(TH!N4905=TH!$X$7,O4905=TH!$X$7),"x","")</f>
        <v/>
      </c>
      <c r="Y4905" s="79" t="str">
        <f>IF(AND(OR(N4905="131",O4905="131"),H4905='131-CT'!$H$9),"x","")</f>
        <v/>
      </c>
      <c r="Z4905" s="79"/>
      <c r="AA4905" s="79" t="str">
        <f>IF(AND(MONTH(E4905)='IN-NX'!$J$5,'IN-NX'!$D$7=D4905),"x","")</f>
        <v/>
      </c>
      <c r="AB4905" s="79" t="str">
        <f>IF(AND(OR(LEFT(TH!N4905,2)="15",LEFT(TH!O4905,2)="15"),LEFT(TH!O4905,3)&lt;&gt;"111",'152-CT'!$J$8=TH!F4905),"x","")</f>
        <v/>
      </c>
      <c r="AC4905" s="79" t="str">
        <f>IF(AND(OR(LEFT(TH!N4905,2)="15",LEFT(TH!O4905,2)="15"),TK!$E$7=TH!F4905),"x","")</f>
        <v/>
      </c>
      <c r="AD4905" s="79" t="str">
        <f>IF(AND(N4905="1521",MONTH(C4905)='BK-NL'!$M$11),"x","")</f>
        <v/>
      </c>
    </row>
    <row r="4906" spans="1:30" ht="16.5" customHeight="1">
      <c r="A4906" s="318" t="str">
        <f>IF(B4906&lt;&gt;"",IF(AND(B4906='[3]IN-TC'!$S$4,OR([3]TH!N4137="1111",[3]TH!O4137="1111")),[3]TH!D4137,""),"")</f>
        <v/>
      </c>
      <c r="B4906" s="60" t="str">
        <f t="shared" ref="B4906" si="481">IF(C4906&lt;&gt;"",MONTH(C4906),"")</f>
        <v/>
      </c>
      <c r="C4906" s="61"/>
      <c r="D4906" s="61"/>
      <c r="E4906" s="61"/>
      <c r="F4906" s="64"/>
      <c r="G4906" s="64"/>
      <c r="H4906" s="69"/>
      <c r="I4906" s="385"/>
      <c r="J4906" s="395"/>
      <c r="K4906" s="385"/>
      <c r="L4906" s="392"/>
      <c r="M4906" s="62"/>
      <c r="N4906" s="63"/>
      <c r="O4906" s="63"/>
      <c r="P4906" s="79" t="str">
        <f>IF(AND('331-CT'!$E$7=TH!H4906,OR(N4906="331",O4906="331")),"x","")</f>
        <v/>
      </c>
      <c r="Q4906" s="79" t="str">
        <f>IF(AND(B4906='111'!$L$11,OR($N4906=$Q$7,$O4906=$Q$7)),"x","")</f>
        <v/>
      </c>
      <c r="R4906" s="79" t="str">
        <f>IF(AND($N4906=$Q$7,$B4906&lt;'111'!$L$11),"x","")</f>
        <v/>
      </c>
      <c r="S4906" s="79" t="str">
        <f>IF(AND($O4906=$Q$7,$B4906&lt;'111'!$L$11),"x","")</f>
        <v/>
      </c>
      <c r="T4906" s="79" t="str">
        <f>IF(ISERROR(FIND('112'!$M$9,G4906,1)),"",IF((AND(FIND('112'!$M$9,G4906,1)&gt;=1,B4906='112'!$K$9,OR($N4906='112'!$I$6,$O4906='112'!$I$6))),"x",""))</f>
        <v/>
      </c>
      <c r="U4906" s="79" t="str">
        <f>IF(ISERROR(FIND('112'!$M$9,G4906,1)),"",IF((AND(LEFT(G4906,2)=LEFT('112'!$M$9,2),B4906&lt;'112'!$K$9,$N4906='112'!$I$6)),"x",""))</f>
        <v/>
      </c>
      <c r="V4906" s="79" t="str">
        <f>IF(ISERROR(FIND('112'!$M$9,G4906,1)),"",IF((AND(RIGHT(G4906,2)=RIGHT('112'!$M$9,2),B4906&lt;'112'!$K$9,$O4906='112'!$I$6)),"x",""))</f>
        <v/>
      </c>
      <c r="W4906" s="79" t="str">
        <f>IF(AND('341-CT'!$H$9=H4906,OR(LEFT(N4906,3)=$W$7,LEFT(O4906,3)=$W$7)),"x","")</f>
        <v/>
      </c>
      <c r="X4906" s="79" t="str">
        <f>IF(OR(TH!N4906=TH!$X$7,O4906=TH!$X$7),"x","")</f>
        <v/>
      </c>
      <c r="Y4906" s="79" t="str">
        <f>IF(AND(OR(N4906="131",O4906="131"),H4906='131-CT'!$H$9),"x","")</f>
        <v/>
      </c>
      <c r="Z4906" s="79"/>
      <c r="AA4906" s="79" t="str">
        <f>IF(AND(MONTH(E4906)='IN-NX'!$J$5,'IN-NX'!$D$7=D4906),"x","")</f>
        <v/>
      </c>
      <c r="AB4906" s="79" t="str">
        <f>IF(AND(OR(LEFT(TH!N4906,2)="15",LEFT(TH!O4906,2)="15"),LEFT(TH!O4906,3)&lt;&gt;"111",'152-CT'!$J$8=TH!F4906),"x","")</f>
        <v/>
      </c>
      <c r="AC4906" s="79" t="str">
        <f>IF(AND(OR(LEFT(TH!N4906,2)="15",LEFT(TH!O4906,2)="15"),TK!$E$7=TH!F4906),"x","")</f>
        <v/>
      </c>
      <c r="AD4906" s="79" t="str">
        <f>IF(AND(N4906="1521",MONTH(C4906)='BK-NL'!$M$11),"x","")</f>
        <v/>
      </c>
    </row>
    <row r="4907" spans="1:30" ht="16.5" customHeight="1">
      <c r="A4907" s="318" t="str">
        <f>IF(B4907&lt;&gt;"",IF(AND(B4907='[3]IN-TC'!$S$4,OR([3]TH!N4138="1111",[3]TH!O4138="1111")),[3]TH!D4138,""),"")</f>
        <v/>
      </c>
      <c r="B4907" s="60" t="str">
        <f t="shared" si="479"/>
        <v/>
      </c>
      <c r="C4907" s="61"/>
      <c r="D4907" s="61"/>
      <c r="E4907" s="61"/>
      <c r="F4907" s="64"/>
      <c r="G4907" s="64"/>
      <c r="H4907" s="69"/>
      <c r="I4907" s="385"/>
      <c r="J4907" s="395"/>
      <c r="K4907" s="385"/>
      <c r="L4907" s="392"/>
      <c r="M4907" s="62"/>
      <c r="N4907" s="63"/>
      <c r="O4907" s="63"/>
      <c r="P4907" s="79" t="str">
        <f>IF(AND('331-CT'!$E$7=TH!H4907,OR(N4907="331",O4907="331")),"x","")</f>
        <v/>
      </c>
      <c r="Q4907" s="79" t="str">
        <f>IF(AND(B4907='111'!$L$11,OR($N4907=$Q$7,$O4907=$Q$7)),"x","")</f>
        <v/>
      </c>
      <c r="R4907" s="79" t="str">
        <f>IF(AND($N4907=$Q$7,$B4907&lt;'111'!$L$11),"x","")</f>
        <v/>
      </c>
      <c r="S4907" s="79" t="str">
        <f>IF(AND($O4907=$Q$7,$B4907&lt;'111'!$L$11),"x","")</f>
        <v/>
      </c>
      <c r="T4907" s="79" t="str">
        <f>IF(ISERROR(FIND('112'!$M$9,G4907,1)),"",IF((AND(FIND('112'!$M$9,G4907,1)&gt;=1,B4907='112'!$K$9,OR($N4907='112'!$I$6,$O4907='112'!$I$6))),"x",""))</f>
        <v/>
      </c>
      <c r="U4907" s="79" t="str">
        <f>IF(ISERROR(FIND('112'!$M$9,G4907,1)),"",IF((AND(LEFT(G4907,2)=LEFT('112'!$M$9,2),B4907&lt;'112'!$K$9,$N4907='112'!$I$6)),"x",""))</f>
        <v/>
      </c>
      <c r="V4907" s="79" t="str">
        <f>IF(ISERROR(FIND('112'!$M$9,G4907,1)),"",IF((AND(RIGHT(G4907,2)=RIGHT('112'!$M$9,2),B4907&lt;'112'!$K$9,$O4907='112'!$I$6)),"x",""))</f>
        <v/>
      </c>
      <c r="W4907" s="79" t="str">
        <f>IF(AND('341-CT'!$H$9=H4907,OR(LEFT(N4907,3)=$W$7,LEFT(O4907,3)=$W$7)),"x","")</f>
        <v/>
      </c>
      <c r="X4907" s="79" t="str">
        <f>IF(OR(TH!N4907=TH!$X$7,O4907=TH!$X$7),"x","")</f>
        <v/>
      </c>
      <c r="Y4907" s="79" t="str">
        <f>IF(AND(OR(N4907="131",O4907="131"),H4907='131-CT'!$H$9),"x","")</f>
        <v/>
      </c>
      <c r="Z4907" s="79"/>
      <c r="AA4907" s="79" t="str">
        <f>IF(AND(MONTH(E4907)='IN-NX'!$J$5,'IN-NX'!$D$7=D4907),"x","")</f>
        <v/>
      </c>
      <c r="AB4907" s="79" t="str">
        <f>IF(AND(OR(LEFT(TH!N4907,2)="15",LEFT(TH!O4907,2)="15"),LEFT(TH!O4907,3)&lt;&gt;"111",'152-CT'!$J$8=TH!F4907),"x","")</f>
        <v/>
      </c>
      <c r="AC4907" s="79" t="str">
        <f>IF(AND(OR(LEFT(TH!N4907,2)="15",LEFT(TH!O4907,2)="15"),TK!$E$7=TH!F4907),"x","")</f>
        <v/>
      </c>
      <c r="AD4907" s="79" t="str">
        <f>IF(AND(N4907="1521",MONTH(C4907)='BK-NL'!$M$11),"x","")</f>
        <v/>
      </c>
    </row>
    <row r="4908" spans="1:30" ht="16.5" customHeight="1">
      <c r="A4908" s="318" t="str">
        <f>IF(B4908&lt;&gt;"",IF(AND(B4908='[3]IN-TC'!$S$4,OR([3]TH!N4139="1111",[3]TH!O4139="1111")),[3]TH!D4139,""),"")</f>
        <v/>
      </c>
      <c r="B4908" s="60" t="str">
        <f t="shared" si="479"/>
        <v/>
      </c>
      <c r="C4908" s="61"/>
      <c r="D4908" s="61"/>
      <c r="E4908" s="61"/>
      <c r="F4908" s="64"/>
      <c r="G4908" s="64"/>
      <c r="H4908" s="69"/>
      <c r="I4908" s="385"/>
      <c r="J4908" s="395"/>
      <c r="K4908" s="385"/>
      <c r="L4908" s="392"/>
      <c r="M4908" s="62"/>
      <c r="N4908" s="63"/>
      <c r="O4908" s="63"/>
      <c r="P4908" s="79" t="str">
        <f>IF(AND('331-CT'!$E$7=TH!H4908,OR(N4908="331",O4908="331")),"x","")</f>
        <v/>
      </c>
      <c r="Q4908" s="79" t="str">
        <f>IF(AND(B4908='111'!$L$11,OR($N4908=$Q$7,$O4908=$Q$7)),"x","")</f>
        <v/>
      </c>
      <c r="R4908" s="79" t="str">
        <f>IF(AND($N4908=$Q$7,$B4908&lt;'111'!$L$11),"x","")</f>
        <v/>
      </c>
      <c r="S4908" s="79" t="str">
        <f>IF(AND($O4908=$Q$7,$B4908&lt;'111'!$L$11),"x","")</f>
        <v/>
      </c>
      <c r="T4908" s="79" t="str">
        <f>IF(ISERROR(FIND('112'!$M$9,G4908,1)),"",IF((AND(FIND('112'!$M$9,G4908,1)&gt;=1,B4908='112'!$K$9,OR($N4908='112'!$I$6,$O4908='112'!$I$6))),"x",""))</f>
        <v/>
      </c>
      <c r="U4908" s="79" t="str">
        <f>IF(ISERROR(FIND('112'!$M$9,G4908,1)),"",IF((AND(LEFT(G4908,2)=LEFT('112'!$M$9,2),B4908&lt;'112'!$K$9,$N4908='112'!$I$6)),"x",""))</f>
        <v/>
      </c>
      <c r="V4908" s="79" t="str">
        <f>IF(ISERROR(FIND('112'!$M$9,G4908,1)),"",IF((AND(RIGHT(G4908,2)=RIGHT('112'!$M$9,2),B4908&lt;'112'!$K$9,$O4908='112'!$I$6)),"x",""))</f>
        <v/>
      </c>
      <c r="W4908" s="79" t="str">
        <f>IF(AND('341-CT'!$H$9=H4908,OR(LEFT(N4908,3)=$W$7,LEFT(O4908,3)=$W$7)),"x","")</f>
        <v/>
      </c>
      <c r="X4908" s="79" t="str">
        <f>IF(OR(TH!N4908=TH!$X$7,O4908=TH!$X$7),"x","")</f>
        <v/>
      </c>
      <c r="Y4908" s="79" t="str">
        <f>IF(AND(OR(N4908="131",O4908="131"),H4908='131-CT'!$H$9),"x","")</f>
        <v/>
      </c>
      <c r="Z4908" s="79"/>
      <c r="AA4908" s="79" t="str">
        <f>IF(AND(MONTH(E4908)='IN-NX'!$J$5,'IN-NX'!$D$7=D4908),"x","")</f>
        <v/>
      </c>
      <c r="AB4908" s="79" t="str">
        <f>IF(AND(OR(LEFT(TH!N4908,2)="15",LEFT(TH!O4908,2)="15"),LEFT(TH!O4908,3)&lt;&gt;"111",'152-CT'!$J$8=TH!F4908),"x","")</f>
        <v/>
      </c>
      <c r="AC4908" s="79" t="str">
        <f>IF(AND(OR(LEFT(TH!N4908,2)="15",LEFT(TH!O4908,2)="15"),TK!$E$7=TH!F4908),"x","")</f>
        <v/>
      </c>
      <c r="AD4908" s="79" t="str">
        <f>IF(AND(N4908="1521",MONTH(C4908)='BK-NL'!$M$11),"x","")</f>
        <v/>
      </c>
    </row>
    <row r="4909" spans="1:30" ht="16.5" customHeight="1">
      <c r="A4909" s="318" t="str">
        <f>IF(B4909&lt;&gt;"",IF(AND(B4909='[3]IN-TC'!$S$4,OR([3]TH!N4140="1111",[3]TH!O4140="1111")),[3]TH!D4140,""),"")</f>
        <v/>
      </c>
      <c r="B4909" s="60" t="str">
        <f t="shared" ref="B4909:B4946" si="482">IF(C4909&lt;&gt;"",MONTH(C4909),"")</f>
        <v/>
      </c>
      <c r="C4909" s="61"/>
      <c r="D4909" s="61"/>
      <c r="E4909" s="61"/>
      <c r="F4909" s="64"/>
      <c r="G4909" s="64"/>
      <c r="H4909" s="69"/>
      <c r="I4909" s="385"/>
      <c r="J4909" s="395"/>
      <c r="K4909" s="385"/>
      <c r="L4909" s="392"/>
      <c r="M4909" s="62"/>
      <c r="N4909" s="63"/>
      <c r="O4909" s="63"/>
      <c r="P4909" s="79" t="str">
        <f>IF(AND('331-CT'!$E$7=TH!H4909,OR(N4909="331",O4909="331")),"x","")</f>
        <v/>
      </c>
      <c r="Q4909" s="79" t="str">
        <f>IF(AND(B4909='111'!$L$11,OR($N4909=$Q$7,$O4909=$Q$7)),"x","")</f>
        <v/>
      </c>
      <c r="R4909" s="79" t="str">
        <f>IF(AND($N4909=$Q$7,$B4909&lt;'111'!$L$11),"x","")</f>
        <v/>
      </c>
      <c r="S4909" s="79" t="str">
        <f>IF(AND($O4909=$Q$7,$B4909&lt;'111'!$L$11),"x","")</f>
        <v/>
      </c>
      <c r="T4909" s="79" t="str">
        <f>IF(ISERROR(FIND('112'!$M$9,G4909,1)),"",IF((AND(FIND('112'!$M$9,G4909,1)&gt;=1,B4909='112'!$K$9,OR($N4909='112'!$I$6,$O4909='112'!$I$6))),"x",""))</f>
        <v/>
      </c>
      <c r="U4909" s="79" t="str">
        <f>IF(ISERROR(FIND('112'!$M$9,G4909,1)),"",IF((AND(LEFT(G4909,2)=LEFT('112'!$M$9,2),B4909&lt;'112'!$K$9,$N4909='112'!$I$6)),"x",""))</f>
        <v/>
      </c>
      <c r="V4909" s="79" t="str">
        <f>IF(ISERROR(FIND('112'!$M$9,G4909,1)),"",IF((AND(RIGHT(G4909,2)=RIGHT('112'!$M$9,2),B4909&lt;'112'!$K$9,$O4909='112'!$I$6)),"x",""))</f>
        <v/>
      </c>
      <c r="W4909" s="79" t="str">
        <f>IF(AND('341-CT'!$H$9=H4909,OR(LEFT(N4909,3)=$W$7,LEFT(O4909,3)=$W$7)),"x","")</f>
        <v/>
      </c>
      <c r="X4909" s="79" t="str">
        <f>IF(OR(TH!N4909=TH!$X$7,O4909=TH!$X$7),"x","")</f>
        <v/>
      </c>
      <c r="Y4909" s="79" t="str">
        <f>IF(AND(OR(N4909="131",O4909="131"),H4909='131-CT'!$H$9),"x","")</f>
        <v/>
      </c>
      <c r="Z4909" s="79"/>
      <c r="AA4909" s="79" t="str">
        <f>IF(AND(MONTH(E4909)='IN-NX'!$J$5,'IN-NX'!$D$7=D4909),"x","")</f>
        <v/>
      </c>
      <c r="AB4909" s="79" t="str">
        <f>IF(AND(OR(LEFT(TH!N4909,2)="15",LEFT(TH!O4909,2)="15"),LEFT(TH!O4909,3)&lt;&gt;"111",'152-CT'!$J$8=TH!F4909),"x","")</f>
        <v/>
      </c>
      <c r="AC4909" s="79" t="str">
        <f>IF(AND(OR(LEFT(TH!N4909,2)="15",LEFT(TH!O4909,2)="15"),TK!$E$7=TH!F4909),"x","")</f>
        <v/>
      </c>
      <c r="AD4909" s="79" t="str">
        <f>IF(AND(N4909="1521",MONTH(C4909)='BK-NL'!$M$11),"x","")</f>
        <v/>
      </c>
    </row>
    <row r="4910" spans="1:30" s="313" customFormat="1" ht="16.5" customHeight="1">
      <c r="A4910" s="318" t="str">
        <f>IF(B4910&lt;&gt;"",IF(AND(B4910='[3]IN-TC'!$S$4,OR([3]TH!N4141="1111",[3]TH!O4141="1111")),[3]TH!D4141,""),"")</f>
        <v/>
      </c>
      <c r="B4910" s="60" t="str">
        <f t="shared" si="482"/>
        <v/>
      </c>
      <c r="C4910" s="61"/>
      <c r="D4910" s="61"/>
      <c r="E4910" s="61"/>
      <c r="F4910" s="64"/>
      <c r="G4910" s="64"/>
      <c r="H4910" s="321"/>
      <c r="I4910" s="385"/>
      <c r="J4910" s="395"/>
      <c r="K4910" s="385"/>
      <c r="L4910" s="392"/>
      <c r="M4910" s="62"/>
      <c r="N4910" s="63"/>
      <c r="O4910" s="63"/>
      <c r="P4910" s="79" t="str">
        <f>IF(AND('331-CT'!$E$7=TH!H4910,OR(N4910="331",O4910="331")),"x","")</f>
        <v/>
      </c>
      <c r="Q4910" s="79" t="str">
        <f>IF(AND(B4910='111'!$L$11,OR($N4910=$Q$7,$O4910=$Q$7)),"x","")</f>
        <v/>
      </c>
      <c r="R4910" s="79" t="str">
        <f>IF(AND($N4910=$Q$7,$B4910&lt;'111'!$L$11),"x","")</f>
        <v/>
      </c>
      <c r="S4910" s="79" t="str">
        <f>IF(AND($O4910=$Q$7,$B4910&lt;'111'!$L$11),"x","")</f>
        <v/>
      </c>
      <c r="T4910" s="79" t="str">
        <f>IF(ISERROR(FIND('112'!$M$9,G4910,1)),"",IF((AND(FIND('112'!$M$9,G4910,1)&gt;=1,B4910='112'!$K$9,OR($N4910='112'!$I$6,$O4910='112'!$I$6))),"x",""))</f>
        <v/>
      </c>
      <c r="U4910" s="79" t="str">
        <f>IF(ISERROR(FIND('112'!$M$9,G4910,1)),"",IF((AND(LEFT(G4910,2)=LEFT('112'!$M$9,2),B4910&lt;'112'!$K$9,$N4910='112'!$I$6)),"x",""))</f>
        <v/>
      </c>
      <c r="V4910" s="79" t="str">
        <f>IF(ISERROR(FIND('112'!$M$9,G4910,1)),"",IF((AND(RIGHT(G4910,2)=RIGHT('112'!$M$9,2),B4910&lt;'112'!$K$9,$O4910='112'!$I$6)),"x",""))</f>
        <v/>
      </c>
      <c r="W4910" s="79" t="str">
        <f>IF(AND('341-CT'!$H$9=H4910,OR(LEFT(N4910,3)=$W$7,LEFT(O4910,3)=$W$7)),"x","")</f>
        <v/>
      </c>
      <c r="X4910" s="79" t="str">
        <f>IF(OR(TH!N4910=TH!$X$7,O4910=TH!$X$7),"x","")</f>
        <v/>
      </c>
      <c r="Y4910" s="79" t="str">
        <f>IF(AND(OR(N4910="131",O4910="131"),H4910='131-CT'!$H$9),"x","")</f>
        <v/>
      </c>
      <c r="Z4910" s="79"/>
      <c r="AA4910" s="79" t="str">
        <f>IF(AND(MONTH(E4910)='IN-NX'!$J$5,'IN-NX'!$D$7=D4910),"x","")</f>
        <v/>
      </c>
      <c r="AB4910" s="79" t="str">
        <f>IF(AND(OR(LEFT(TH!N4910,2)="15",LEFT(TH!O4910,2)="15"),LEFT(TH!O4910,3)&lt;&gt;"111",'152-CT'!$J$8=TH!F4910),"x","")</f>
        <v/>
      </c>
      <c r="AC4910" s="79" t="str">
        <f>IF(AND(OR(LEFT(TH!N4910,2)="15",LEFT(TH!O4910,2)="15"),TK!$E$7=TH!F4910),"x","")</f>
        <v/>
      </c>
      <c r="AD4910" s="79" t="str">
        <f>IF(AND(N4910="1521",MONTH(C4910)='BK-NL'!$M$11),"x","")</f>
        <v/>
      </c>
    </row>
    <row r="4911" spans="1:30" ht="16.5" customHeight="1">
      <c r="A4911" s="318" t="str">
        <f>IF(B4911&lt;&gt;"",IF(AND(B4911='[3]IN-TC'!$S$4,OR([3]TH!N4142="1111",[3]TH!O4142="1111")),[3]TH!D4142,""),"")</f>
        <v/>
      </c>
      <c r="B4911" s="60" t="str">
        <f t="shared" si="482"/>
        <v/>
      </c>
      <c r="C4911" s="61"/>
      <c r="D4911" s="61"/>
      <c r="E4911" s="61"/>
      <c r="F4911" s="64"/>
      <c r="G4911" s="64"/>
      <c r="H4911" s="69"/>
      <c r="I4911" s="385"/>
      <c r="J4911" s="395"/>
      <c r="K4911" s="385"/>
      <c r="L4911" s="392"/>
      <c r="M4911" s="62"/>
      <c r="N4911" s="63"/>
      <c r="O4911" s="63"/>
      <c r="P4911" s="79" t="str">
        <f>IF(AND('331-CT'!$E$7=TH!H4911,OR(N4911="331",O4911="331")),"x","")</f>
        <v/>
      </c>
      <c r="Q4911" s="79" t="str">
        <f>IF(AND(B4911='111'!$L$11,OR($N4911=$Q$7,$O4911=$Q$7)),"x","")</f>
        <v/>
      </c>
      <c r="R4911" s="79" t="str">
        <f>IF(AND($N4911=$Q$7,$B4911&lt;'111'!$L$11),"x","")</f>
        <v/>
      </c>
      <c r="S4911" s="79" t="str">
        <f>IF(AND($O4911=$Q$7,$B4911&lt;'111'!$L$11),"x","")</f>
        <v/>
      </c>
      <c r="T4911" s="79" t="str">
        <f>IF(ISERROR(FIND('112'!$M$9,G4911,1)),"",IF((AND(FIND('112'!$M$9,G4911,1)&gt;=1,B4911='112'!$K$9,OR($N4911='112'!$I$6,$O4911='112'!$I$6))),"x",""))</f>
        <v/>
      </c>
      <c r="U4911" s="79" t="str">
        <f>IF(ISERROR(FIND('112'!$M$9,G4911,1)),"",IF((AND(LEFT(G4911,2)=LEFT('112'!$M$9,2),B4911&lt;'112'!$K$9,$N4911='112'!$I$6)),"x",""))</f>
        <v/>
      </c>
      <c r="V4911" s="79" t="str">
        <f>IF(ISERROR(FIND('112'!$M$9,G4911,1)),"",IF((AND(RIGHT(G4911,2)=RIGHT('112'!$M$9,2),B4911&lt;'112'!$K$9,$O4911='112'!$I$6)),"x",""))</f>
        <v/>
      </c>
      <c r="W4911" s="79" t="str">
        <f>IF(AND('341-CT'!$H$9=H4911,OR(LEFT(N4911,3)=$W$7,LEFT(O4911,3)=$W$7)),"x","")</f>
        <v/>
      </c>
      <c r="X4911" s="79" t="str">
        <f>IF(OR(TH!N4911=TH!$X$7,O4911=TH!$X$7),"x","")</f>
        <v/>
      </c>
      <c r="Y4911" s="79" t="str">
        <f>IF(AND(OR(N4911="131",O4911="131"),H4911='131-CT'!$H$9),"x","")</f>
        <v/>
      </c>
      <c r="Z4911" s="79"/>
      <c r="AA4911" s="79" t="str">
        <f>IF(AND(MONTH(E4911)='IN-NX'!$J$5,'IN-NX'!$D$7=D4911),"x","")</f>
        <v/>
      </c>
      <c r="AB4911" s="79" t="str">
        <f>IF(AND(OR(LEFT(TH!N4911,2)="15",LEFT(TH!O4911,2)="15"),LEFT(TH!O4911,3)&lt;&gt;"111",'152-CT'!$J$8=TH!F4911),"x","")</f>
        <v/>
      </c>
      <c r="AC4911" s="79" t="str">
        <f>IF(AND(OR(LEFT(TH!N4911,2)="15",LEFT(TH!O4911,2)="15"),TK!$E$7=TH!F4911),"x","")</f>
        <v/>
      </c>
      <c r="AD4911" s="79" t="str">
        <f>IF(AND(N4911="1521",MONTH(C4911)='BK-NL'!$M$11),"x","")</f>
        <v/>
      </c>
    </row>
    <row r="4912" spans="1:30" ht="16.5" customHeight="1">
      <c r="A4912" s="318" t="str">
        <f>IF(B4912&lt;&gt;"",IF(AND(B4912='[3]IN-TC'!$S$4,OR([3]TH!N4143="1111",[3]TH!O4143="1111")),[3]TH!D4143,""),"")</f>
        <v/>
      </c>
      <c r="B4912" s="60" t="str">
        <f t="shared" si="482"/>
        <v/>
      </c>
      <c r="C4912" s="61"/>
      <c r="D4912" s="301"/>
      <c r="E4912" s="301"/>
      <c r="F4912" s="302"/>
      <c r="G4912" s="302"/>
      <c r="H4912" s="303"/>
      <c r="I4912" s="385"/>
      <c r="J4912" s="395"/>
      <c r="K4912" s="385"/>
      <c r="L4912" s="392"/>
      <c r="M4912" s="62"/>
      <c r="N4912" s="304"/>
      <c r="O4912" s="304"/>
      <c r="P4912" s="79" t="str">
        <f>IF(AND('331-CT'!$E$7=TH!H4912,OR(N4912="331",O4912="331")),"x","")</f>
        <v/>
      </c>
      <c r="Q4912" s="79" t="str">
        <f>IF(AND(B4912='111'!$L$11,OR($N4912=$Q$7,$O4912=$Q$7)),"x","")</f>
        <v/>
      </c>
      <c r="R4912" s="79" t="str">
        <f>IF(AND($N4912=$Q$7,$B4912&lt;'111'!$L$11),"x","")</f>
        <v/>
      </c>
      <c r="S4912" s="79" t="str">
        <f>IF(AND($O4912=$Q$7,$B4912&lt;'111'!$L$11),"x","")</f>
        <v/>
      </c>
      <c r="T4912" s="79" t="str">
        <f>IF(ISERROR(FIND('112'!$M$9,G4912,1)),"",IF((AND(FIND('112'!$M$9,G4912,1)&gt;=1,B4912='112'!$K$9,OR($N4912='112'!$I$6,$O4912='112'!$I$6))),"x",""))</f>
        <v/>
      </c>
      <c r="U4912" s="79" t="str">
        <f>IF(ISERROR(FIND('112'!$M$9,G4912,1)),"",IF((AND(LEFT(G4912,2)=LEFT('112'!$M$9,2),B4912&lt;'112'!$K$9,$N4912='112'!$I$6)),"x",""))</f>
        <v/>
      </c>
      <c r="V4912" s="79" t="str">
        <f>IF(ISERROR(FIND('112'!$M$9,G4912,1)),"",IF((AND(RIGHT(G4912,2)=RIGHT('112'!$M$9,2),B4912&lt;'112'!$K$9,$O4912='112'!$I$6)),"x",""))</f>
        <v/>
      </c>
      <c r="W4912" s="79" t="str">
        <f>IF(AND('341-CT'!$H$9=H4912,OR(LEFT(N4912,3)=$W$7,LEFT(O4912,3)=$W$7)),"x","")</f>
        <v/>
      </c>
      <c r="X4912" s="79" t="str">
        <f>IF(OR(TH!N4912=TH!$X$7,O4912=TH!$X$7),"x","")</f>
        <v/>
      </c>
      <c r="Y4912" s="79" t="str">
        <f>IF(AND(OR(N4912="131",O4912="131"),H4912='131-CT'!$H$9),"x","")</f>
        <v/>
      </c>
      <c r="Z4912" s="79"/>
      <c r="AA4912" s="79" t="str">
        <f>IF(AND(MONTH(E4912)='IN-NX'!$J$5,'IN-NX'!$D$7=D4912),"x","")</f>
        <v/>
      </c>
      <c r="AB4912" s="79" t="str">
        <f>IF(AND(OR(LEFT(TH!N4912,2)="15",LEFT(TH!O4912,2)="15"),LEFT(TH!O4912,3)&lt;&gt;"111",'152-CT'!$J$8=TH!F4912),"x","")</f>
        <v/>
      </c>
      <c r="AC4912" s="79" t="str">
        <f>IF(AND(OR(LEFT(TH!N4912,2)="15",LEFT(TH!O4912,2)="15"),TK!$E$7=TH!F4912),"x","")</f>
        <v/>
      </c>
      <c r="AD4912" s="79" t="str">
        <f>IF(AND(N4912="1521",MONTH(C4912)='BK-NL'!$M$11),"x","")</f>
        <v/>
      </c>
    </row>
    <row r="4913" spans="1:30" ht="16.5" customHeight="1">
      <c r="A4913" s="318" t="str">
        <f>IF(B4913&lt;&gt;"",IF(AND(B4913='[3]IN-TC'!$S$4,OR([3]TH!N4144="1111",[3]TH!O4144="1111")),[3]TH!D4144,""),"")</f>
        <v/>
      </c>
      <c r="B4913" s="60" t="str">
        <f t="shared" si="482"/>
        <v/>
      </c>
      <c r="C4913" s="61"/>
      <c r="D4913" s="301"/>
      <c r="E4913" s="301"/>
      <c r="F4913" s="302"/>
      <c r="G4913" s="302"/>
      <c r="H4913" s="303"/>
      <c r="I4913" s="385"/>
      <c r="J4913" s="395"/>
      <c r="K4913" s="385"/>
      <c r="L4913" s="392"/>
      <c r="M4913" s="62"/>
      <c r="N4913" s="304"/>
      <c r="O4913" s="304"/>
      <c r="P4913" s="79" t="str">
        <f>IF(AND('331-CT'!$E$7=TH!H4913,OR(N4913="331",O4913="331")),"x","")</f>
        <v/>
      </c>
      <c r="Q4913" s="79" t="str">
        <f>IF(AND(B4913='111'!$L$11,OR($N4913=$Q$7,$O4913=$Q$7)),"x","")</f>
        <v/>
      </c>
      <c r="R4913" s="79" t="str">
        <f>IF(AND($N4913=$Q$7,$B4913&lt;'111'!$L$11),"x","")</f>
        <v/>
      </c>
      <c r="S4913" s="79" t="str">
        <f>IF(AND($O4913=$Q$7,$B4913&lt;'111'!$L$11),"x","")</f>
        <v/>
      </c>
      <c r="T4913" s="79" t="str">
        <f>IF(ISERROR(FIND('112'!$M$9,G4913,1)),"",IF((AND(FIND('112'!$M$9,G4913,1)&gt;=1,B4913='112'!$K$9,OR($N4913='112'!$I$6,$O4913='112'!$I$6))),"x",""))</f>
        <v/>
      </c>
      <c r="U4913" s="79" t="str">
        <f>IF(ISERROR(FIND('112'!$M$9,G4913,1)),"",IF((AND(LEFT(G4913,2)=LEFT('112'!$M$9,2),B4913&lt;'112'!$K$9,$N4913='112'!$I$6)),"x",""))</f>
        <v/>
      </c>
      <c r="V4913" s="79" t="str">
        <f>IF(ISERROR(FIND('112'!$M$9,G4913,1)),"",IF((AND(RIGHT(G4913,2)=RIGHT('112'!$M$9,2),B4913&lt;'112'!$K$9,$O4913='112'!$I$6)),"x",""))</f>
        <v/>
      </c>
      <c r="W4913" s="79" t="str">
        <f>IF(AND('341-CT'!$H$9=H4913,OR(LEFT(N4913,3)=$W$7,LEFT(O4913,3)=$W$7)),"x","")</f>
        <v/>
      </c>
      <c r="X4913" s="79" t="str">
        <f>IF(OR(TH!N4913=TH!$X$7,O4913=TH!$X$7),"x","")</f>
        <v/>
      </c>
      <c r="Y4913" s="79" t="str">
        <f>IF(AND(OR(N4913="131",O4913="131"),H4913='131-CT'!$H$9),"x","")</f>
        <v/>
      </c>
      <c r="Z4913" s="79"/>
      <c r="AA4913" s="79" t="str">
        <f>IF(AND(MONTH(E4913)='IN-NX'!$J$5,'IN-NX'!$D$7=D4913),"x","")</f>
        <v/>
      </c>
      <c r="AB4913" s="79" t="str">
        <f>IF(AND(OR(LEFT(TH!N4913,2)="15",LEFT(TH!O4913,2)="15"),LEFT(TH!O4913,3)&lt;&gt;"111",'152-CT'!$J$8=TH!F4913),"x","")</f>
        <v/>
      </c>
      <c r="AC4913" s="79" t="str">
        <f>IF(AND(OR(LEFT(TH!N4913,2)="15",LEFT(TH!O4913,2)="15"),TK!$E$7=TH!F4913),"x","")</f>
        <v/>
      </c>
      <c r="AD4913" s="79" t="str">
        <f>IF(AND(N4913="1521",MONTH(C4913)='BK-NL'!$M$11),"x","")</f>
        <v/>
      </c>
    </row>
    <row r="4914" spans="1:30" ht="16.5" customHeight="1">
      <c r="A4914" s="318" t="str">
        <f>IF(B4914&lt;&gt;"",IF(AND(B4914='[3]IN-TC'!$S$4,OR([3]TH!N4145="1111",[3]TH!O4145="1111")),[3]TH!D4145,""),"")</f>
        <v/>
      </c>
      <c r="B4914" s="60" t="str">
        <f t="shared" si="482"/>
        <v/>
      </c>
      <c r="C4914" s="61"/>
      <c r="D4914" s="301"/>
      <c r="E4914" s="301"/>
      <c r="F4914" s="302"/>
      <c r="G4914" s="302"/>
      <c r="H4914" s="303"/>
      <c r="I4914" s="385"/>
      <c r="J4914" s="395"/>
      <c r="K4914" s="385"/>
      <c r="L4914" s="392"/>
      <c r="M4914" s="62"/>
      <c r="N4914" s="304"/>
      <c r="O4914" s="304"/>
      <c r="P4914" s="79" t="str">
        <f>IF(AND('331-CT'!$E$7=TH!H4914,OR(N4914="331",O4914="331")),"x","")</f>
        <v/>
      </c>
      <c r="Q4914" s="79" t="str">
        <f>IF(AND(B4914='111'!$L$11,OR($N4914=$Q$7,$O4914=$Q$7)),"x","")</f>
        <v/>
      </c>
      <c r="R4914" s="79" t="str">
        <f>IF(AND($N4914=$Q$7,$B4914&lt;'111'!$L$11),"x","")</f>
        <v/>
      </c>
      <c r="S4914" s="79" t="str">
        <f>IF(AND($O4914=$Q$7,$B4914&lt;'111'!$L$11),"x","")</f>
        <v/>
      </c>
      <c r="T4914" s="79" t="str">
        <f>IF(ISERROR(FIND('112'!$M$9,G4914,1)),"",IF((AND(FIND('112'!$M$9,G4914,1)&gt;=1,B4914='112'!$K$9,OR($N4914='112'!$I$6,$O4914='112'!$I$6))),"x",""))</f>
        <v/>
      </c>
      <c r="U4914" s="79" t="str">
        <f>IF(ISERROR(FIND('112'!$M$9,G4914,1)),"",IF((AND(LEFT(G4914,2)=LEFT('112'!$M$9,2),B4914&lt;'112'!$K$9,$N4914='112'!$I$6)),"x",""))</f>
        <v/>
      </c>
      <c r="V4914" s="79" t="str">
        <f>IF(ISERROR(FIND('112'!$M$9,G4914,1)),"",IF((AND(RIGHT(G4914,2)=RIGHT('112'!$M$9,2),B4914&lt;'112'!$K$9,$O4914='112'!$I$6)),"x",""))</f>
        <v/>
      </c>
      <c r="W4914" s="79" t="str">
        <f>IF(AND('341-CT'!$H$9=H4914,OR(LEFT(N4914,3)=$W$7,LEFT(O4914,3)=$W$7)),"x","")</f>
        <v/>
      </c>
      <c r="X4914" s="79" t="str">
        <f>IF(OR(TH!N4914=TH!$X$7,O4914=TH!$X$7),"x","")</f>
        <v/>
      </c>
      <c r="Y4914" s="79" t="str">
        <f>IF(AND(OR(N4914="131",O4914="131"),H4914='131-CT'!$H$9),"x","")</f>
        <v/>
      </c>
      <c r="Z4914" s="79"/>
      <c r="AA4914" s="79" t="str">
        <f>IF(AND(MONTH(E4914)='IN-NX'!$J$5,'IN-NX'!$D$7=D4914),"x","")</f>
        <v/>
      </c>
      <c r="AB4914" s="79" t="str">
        <f>IF(AND(OR(LEFT(TH!N4914,2)="15",LEFT(TH!O4914,2)="15"),LEFT(TH!O4914,3)&lt;&gt;"111",'152-CT'!$J$8=TH!F4914),"x","")</f>
        <v/>
      </c>
      <c r="AC4914" s="79" t="str">
        <f>IF(AND(OR(LEFT(TH!N4914,2)="15",LEFT(TH!O4914,2)="15"),TK!$E$7=TH!F4914),"x","")</f>
        <v/>
      </c>
      <c r="AD4914" s="79" t="str">
        <f>IF(AND(N4914="1521",MONTH(C4914)='BK-NL'!$M$11),"x","")</f>
        <v/>
      </c>
    </row>
    <row r="4915" spans="1:30" ht="16.5" customHeight="1">
      <c r="A4915" s="318" t="str">
        <f>IF(B4915&lt;&gt;"",IF(AND(B4915='[3]IN-TC'!$S$4,OR([3]TH!N4146="1111",[3]TH!O4146="1111")),[3]TH!D4146,""),"")</f>
        <v/>
      </c>
      <c r="B4915" s="60" t="str">
        <f t="shared" si="482"/>
        <v/>
      </c>
      <c r="C4915" s="61"/>
      <c r="D4915" s="301"/>
      <c r="E4915" s="301"/>
      <c r="F4915" s="302"/>
      <c r="G4915" s="302"/>
      <c r="H4915" s="303"/>
      <c r="I4915" s="385"/>
      <c r="J4915" s="395"/>
      <c r="K4915" s="385"/>
      <c r="L4915" s="392"/>
      <c r="M4915" s="62"/>
      <c r="N4915" s="304"/>
      <c r="O4915" s="304"/>
      <c r="P4915" s="79" t="str">
        <f>IF(AND('331-CT'!$E$7=TH!H4915,OR(N4915="331",O4915="331")),"x","")</f>
        <v/>
      </c>
      <c r="Q4915" s="79" t="str">
        <f>IF(AND(B4915='111'!$L$11,OR($N4915=$Q$7,$O4915=$Q$7)),"x","")</f>
        <v/>
      </c>
      <c r="R4915" s="79" t="str">
        <f>IF(AND($N4915=$Q$7,$B4915&lt;'111'!$L$11),"x","")</f>
        <v/>
      </c>
      <c r="S4915" s="79" t="str">
        <f>IF(AND($O4915=$Q$7,$B4915&lt;'111'!$L$11),"x","")</f>
        <v/>
      </c>
      <c r="T4915" s="79" t="str">
        <f>IF(ISERROR(FIND('112'!$M$9,G4915,1)),"",IF((AND(FIND('112'!$M$9,G4915,1)&gt;=1,B4915='112'!$K$9,OR($N4915='112'!$I$6,$O4915='112'!$I$6))),"x",""))</f>
        <v/>
      </c>
      <c r="U4915" s="79" t="str">
        <f>IF(ISERROR(FIND('112'!$M$9,G4915,1)),"",IF((AND(LEFT(G4915,2)=LEFT('112'!$M$9,2),B4915&lt;'112'!$K$9,$N4915='112'!$I$6)),"x",""))</f>
        <v/>
      </c>
      <c r="V4915" s="79" t="str">
        <f>IF(ISERROR(FIND('112'!$M$9,G4915,1)),"",IF((AND(RIGHT(G4915,2)=RIGHT('112'!$M$9,2),B4915&lt;'112'!$K$9,$O4915='112'!$I$6)),"x",""))</f>
        <v/>
      </c>
      <c r="W4915" s="79" t="str">
        <f>IF(AND('341-CT'!$H$9=H4915,OR(LEFT(N4915,3)=$W$7,LEFT(O4915,3)=$W$7)),"x","")</f>
        <v/>
      </c>
      <c r="X4915" s="79" t="str">
        <f>IF(OR(TH!N4915=TH!$X$7,O4915=TH!$X$7),"x","")</f>
        <v/>
      </c>
      <c r="Y4915" s="79" t="str">
        <f>IF(AND(OR(N4915="131",O4915="131"),H4915='131-CT'!$H$9),"x","")</f>
        <v/>
      </c>
      <c r="Z4915" s="79"/>
      <c r="AA4915" s="79" t="str">
        <f>IF(AND(MONTH(E4915)='IN-NX'!$J$5,'IN-NX'!$D$7=D4915),"x","")</f>
        <v/>
      </c>
      <c r="AB4915" s="79" t="str">
        <f>IF(AND(OR(LEFT(TH!N4915,2)="15",LEFT(TH!O4915,2)="15"),LEFT(TH!O4915,3)&lt;&gt;"111",'152-CT'!$J$8=TH!F4915),"x","")</f>
        <v/>
      </c>
      <c r="AC4915" s="79" t="str">
        <f>IF(AND(OR(LEFT(TH!N4915,2)="15",LEFT(TH!O4915,2)="15"),TK!$E$7=TH!F4915),"x","")</f>
        <v/>
      </c>
      <c r="AD4915" s="79" t="str">
        <f>IF(AND(N4915="1521",MONTH(C4915)='BK-NL'!$M$11),"x","")</f>
        <v/>
      </c>
    </row>
    <row r="4916" spans="1:30" s="313" customFormat="1" ht="16.5" customHeight="1">
      <c r="A4916" s="318" t="str">
        <f>IF(B4916&lt;&gt;"",IF(AND(B4916='[3]IN-TC'!$S$4,OR([3]TH!N4147="1111",[3]TH!O4147="1111")),[3]TH!D4147,""),"")</f>
        <v/>
      </c>
      <c r="B4916" s="60" t="str">
        <f t="shared" si="482"/>
        <v/>
      </c>
      <c r="C4916" s="61"/>
      <c r="D4916" s="61"/>
      <c r="E4916" s="61"/>
      <c r="F4916" s="302"/>
      <c r="G4916" s="64"/>
      <c r="H4916" s="69"/>
      <c r="I4916" s="385"/>
      <c r="J4916" s="395"/>
      <c r="K4916" s="385"/>
      <c r="L4916" s="392"/>
      <c r="M4916" s="62"/>
      <c r="N4916" s="63"/>
      <c r="O4916" s="63"/>
      <c r="P4916" s="79" t="str">
        <f>IF(AND('331-CT'!$E$7=TH!H4916,OR(N4916="331",O4916="331")),"x","")</f>
        <v/>
      </c>
      <c r="Q4916" s="79" t="str">
        <f>IF(AND(B4916='111'!$L$11,OR($N4916=$Q$7,$O4916=$Q$7)),"x","")</f>
        <v/>
      </c>
      <c r="R4916" s="79" t="str">
        <f>IF(AND($N4916=$Q$7,$B4916&lt;'111'!$L$11),"x","")</f>
        <v/>
      </c>
      <c r="S4916" s="79" t="str">
        <f>IF(AND($O4916=$Q$7,$B4916&lt;'111'!$L$11),"x","")</f>
        <v/>
      </c>
      <c r="T4916" s="79" t="str">
        <f>IF(ISERROR(FIND('112'!$M$9,G4916,1)),"",IF((AND(FIND('112'!$M$9,G4916,1)&gt;=1,B4916='112'!$K$9,OR($N4916='112'!$I$6,$O4916='112'!$I$6))),"x",""))</f>
        <v/>
      </c>
      <c r="U4916" s="79" t="str">
        <f>IF(ISERROR(FIND('112'!$M$9,G4916,1)),"",IF((AND(LEFT(G4916,2)=LEFT('112'!$M$9,2),B4916&lt;'112'!$K$9,$N4916='112'!$I$6)),"x",""))</f>
        <v/>
      </c>
      <c r="V4916" s="79" t="str">
        <f>IF(ISERROR(FIND('112'!$M$9,G4916,1)),"",IF((AND(RIGHT(G4916,2)=RIGHT('112'!$M$9,2),B4916&lt;'112'!$K$9,$O4916='112'!$I$6)),"x",""))</f>
        <v/>
      </c>
      <c r="W4916" s="79" t="str">
        <f>IF(AND('341-CT'!$H$9=H4916,OR(LEFT(N4916,3)=$W$7,LEFT(O4916,3)=$W$7)),"x","")</f>
        <v/>
      </c>
      <c r="X4916" s="79" t="str">
        <f>IF(OR(TH!N4916=TH!$X$7,O4916=TH!$X$7),"x","")</f>
        <v/>
      </c>
      <c r="Y4916" s="79" t="str">
        <f>IF(AND(OR(N4916="131",O4916="131"),H4916='131-CT'!$H$9),"x","")</f>
        <v/>
      </c>
      <c r="Z4916" s="79"/>
      <c r="AA4916" s="79" t="str">
        <f>IF(AND(MONTH(E4916)='IN-NX'!$J$5,'IN-NX'!$D$7=D4916),"x","")</f>
        <v/>
      </c>
      <c r="AB4916" s="79" t="str">
        <f>IF(AND(OR(LEFT(TH!N4916,2)="15",LEFT(TH!O4916,2)="15"),LEFT(TH!O4916,3)&lt;&gt;"111",'152-CT'!$J$8=TH!F4916),"x","")</f>
        <v/>
      </c>
      <c r="AC4916" s="79" t="str">
        <f>IF(AND(OR(LEFT(TH!N4916,2)="15",LEFT(TH!O4916,2)="15"),TK!$E$7=TH!F4916),"x","")</f>
        <v/>
      </c>
      <c r="AD4916" s="79" t="str">
        <f>IF(AND(N4916="1521",MONTH(C4916)='BK-NL'!$M$11),"x","")</f>
        <v/>
      </c>
    </row>
    <row r="4917" spans="1:30" ht="16.5" customHeight="1">
      <c r="A4917" s="318" t="str">
        <f>IF(B4917&lt;&gt;"",IF(AND(B4917='[3]IN-TC'!$S$4,OR([3]TH!N4148="1111",[3]TH!O4148="1111")),[3]TH!D4148,""),"")</f>
        <v/>
      </c>
      <c r="B4917" s="60" t="str">
        <f t="shared" si="482"/>
        <v/>
      </c>
      <c r="C4917" s="61"/>
      <c r="D4917" s="61"/>
      <c r="E4917" s="61"/>
      <c r="F4917" s="64"/>
      <c r="G4917" s="64"/>
      <c r="H4917" s="69"/>
      <c r="I4917" s="385"/>
      <c r="J4917" s="395"/>
      <c r="K4917" s="385"/>
      <c r="L4917" s="392"/>
      <c r="M4917" s="970"/>
      <c r="N4917" s="63"/>
      <c r="O4917" s="63"/>
      <c r="P4917" s="79" t="str">
        <f>IF(AND('331-CT'!$E$7=TH!H4917,OR(N4917="331",O4917="331")),"x","")</f>
        <v/>
      </c>
      <c r="Q4917" s="79" t="str">
        <f>IF(AND(B4917='111'!$L$11,OR($N4917=$Q$7,$O4917=$Q$7)),"x","")</f>
        <v/>
      </c>
      <c r="R4917" s="79" t="str">
        <f>IF(AND($N4917=$Q$7,$B4917&lt;'111'!$L$11),"x","")</f>
        <v/>
      </c>
      <c r="S4917" s="79" t="str">
        <f>IF(AND($O4917=$Q$7,$B4917&lt;'111'!$L$11),"x","")</f>
        <v/>
      </c>
      <c r="T4917" s="79" t="str">
        <f>IF(ISERROR(FIND('112'!$M$9,G4917,1)),"",IF((AND(FIND('112'!$M$9,G4917,1)&gt;=1,B4917='112'!$K$9,OR($N4917='112'!$I$6,$O4917='112'!$I$6))),"x",""))</f>
        <v/>
      </c>
      <c r="U4917" s="79" t="str">
        <f>IF(ISERROR(FIND('112'!$M$9,G4917,1)),"",IF((AND(LEFT(G4917,2)=LEFT('112'!$M$9,2),B4917&lt;'112'!$K$9,$N4917='112'!$I$6)),"x",""))</f>
        <v/>
      </c>
      <c r="V4917" s="79" t="str">
        <f>IF(ISERROR(FIND('112'!$M$9,G4917,1)),"",IF((AND(RIGHT(G4917,2)=RIGHT('112'!$M$9,2),B4917&lt;'112'!$K$9,$O4917='112'!$I$6)),"x",""))</f>
        <v/>
      </c>
      <c r="W4917" s="79" t="str">
        <f>IF(AND('341-CT'!$H$9=H4917,OR(LEFT(N4917,3)=$W$7,LEFT(O4917,3)=$W$7)),"x","")</f>
        <v/>
      </c>
      <c r="X4917" s="79" t="str">
        <f>IF(OR(TH!N4917=TH!$X$7,O4917=TH!$X$7),"x","")</f>
        <v/>
      </c>
      <c r="Y4917" s="79" t="str">
        <f>IF(AND(OR(N4917="131",O4917="131"),H4917='131-CT'!$H$9),"x","")</f>
        <v/>
      </c>
      <c r="Z4917" s="79"/>
      <c r="AA4917" s="79" t="str">
        <f>IF(AND(MONTH(E4917)='IN-NX'!$J$5,'IN-NX'!$D$7=D4917),"x","")</f>
        <v/>
      </c>
      <c r="AB4917" s="79" t="str">
        <f>IF(AND(OR(LEFT(TH!N4917,2)="15",LEFT(TH!O4917,2)="15"),LEFT(TH!O4917,3)&lt;&gt;"111",'152-CT'!$J$8=TH!F4917),"x","")</f>
        <v/>
      </c>
      <c r="AC4917" s="79" t="str">
        <f>IF(AND(OR(LEFT(TH!N4917,2)="15",LEFT(TH!O4917,2)="15"),TK!$E$7=TH!F4917),"x","")</f>
        <v/>
      </c>
      <c r="AD4917" s="79" t="str">
        <f>IF(AND(N4917="1521",MONTH(C4917)='BK-NL'!$M$11),"x","")</f>
        <v/>
      </c>
    </row>
    <row r="4918" spans="1:30" ht="16.5" customHeight="1">
      <c r="A4918" s="318" t="str">
        <f>IF(B4918&lt;&gt;"",IF(AND(B4918='[3]IN-TC'!$S$4,OR([3]TH!N4149="1111",[3]TH!O4149="1111")),[3]TH!D4149,""),"")</f>
        <v/>
      </c>
      <c r="B4918" s="60" t="str">
        <f t="shared" si="482"/>
        <v/>
      </c>
      <c r="C4918" s="61"/>
      <c r="D4918" s="301"/>
      <c r="E4918" s="301"/>
      <c r="F4918" s="302"/>
      <c r="G4918" s="302"/>
      <c r="H4918" s="303"/>
      <c r="I4918" s="385"/>
      <c r="J4918" s="395"/>
      <c r="K4918" s="385"/>
      <c r="L4918" s="392"/>
      <c r="M4918" s="62"/>
      <c r="N4918" s="304"/>
      <c r="O4918" s="304"/>
      <c r="P4918" s="79" t="str">
        <f>IF(AND('331-CT'!$E$7=TH!H4918,OR(N4918="331",O4918="331")),"x","")</f>
        <v/>
      </c>
      <c r="Q4918" s="79" t="str">
        <f>IF(AND(B4918='111'!$L$11,OR($N4918=$Q$7,$O4918=$Q$7)),"x","")</f>
        <v/>
      </c>
      <c r="R4918" s="79" t="str">
        <f>IF(AND($N4918=$Q$7,$B4918&lt;'111'!$L$11),"x","")</f>
        <v/>
      </c>
      <c r="S4918" s="79" t="str">
        <f>IF(AND($O4918=$Q$7,$B4918&lt;'111'!$L$11),"x","")</f>
        <v/>
      </c>
      <c r="T4918" s="79" t="str">
        <f>IF(ISERROR(FIND('112'!$M$9,G4918,1)),"",IF((AND(FIND('112'!$M$9,G4918,1)&gt;=1,B4918='112'!$K$9,OR($N4918='112'!$I$6,$O4918='112'!$I$6))),"x",""))</f>
        <v/>
      </c>
      <c r="U4918" s="79" t="str">
        <f>IF(ISERROR(FIND('112'!$M$9,G4918,1)),"",IF((AND(LEFT(G4918,2)=LEFT('112'!$M$9,2),B4918&lt;'112'!$K$9,$N4918='112'!$I$6)),"x",""))</f>
        <v/>
      </c>
      <c r="V4918" s="79" t="str">
        <f>IF(ISERROR(FIND('112'!$M$9,G4918,1)),"",IF((AND(RIGHT(G4918,2)=RIGHT('112'!$M$9,2),B4918&lt;'112'!$K$9,$O4918='112'!$I$6)),"x",""))</f>
        <v/>
      </c>
      <c r="W4918" s="79" t="str">
        <f>IF(AND('341-CT'!$H$9=H4918,OR(LEFT(N4918,3)=$W$7,LEFT(O4918,3)=$W$7)),"x","")</f>
        <v/>
      </c>
      <c r="X4918" s="79" t="str">
        <f>IF(OR(TH!N4918=TH!$X$7,O4918=TH!$X$7),"x","")</f>
        <v/>
      </c>
      <c r="Y4918" s="79" t="str">
        <f>IF(AND(OR(N4918="131",O4918="131"),H4918='131-CT'!$H$9),"x","")</f>
        <v/>
      </c>
      <c r="Z4918" s="79"/>
      <c r="AA4918" s="79" t="str">
        <f>IF(AND(MONTH(E4918)='IN-NX'!$J$5,'IN-NX'!$D$7=D4918),"x","")</f>
        <v/>
      </c>
      <c r="AB4918" s="79" t="str">
        <f>IF(AND(OR(LEFT(TH!N4918,2)="15",LEFT(TH!O4918,2)="15"),LEFT(TH!O4918,3)&lt;&gt;"111",'152-CT'!$J$8=TH!F4918),"x","")</f>
        <v/>
      </c>
      <c r="AC4918" s="79" t="str">
        <f>IF(AND(OR(LEFT(TH!N4918,2)="15",LEFT(TH!O4918,2)="15"),TK!$E$7=TH!F4918),"x","")</f>
        <v/>
      </c>
      <c r="AD4918" s="79" t="str">
        <f>IF(AND(N4918="1521",MONTH(C4918)='BK-NL'!$M$11),"x","")</f>
        <v/>
      </c>
    </row>
    <row r="4919" spans="1:30" ht="16.5" customHeight="1">
      <c r="A4919" s="318" t="str">
        <f>IF(B4919&lt;&gt;"",IF(AND(B4919='[3]IN-TC'!$S$4,OR([3]TH!N4150="1111",[3]TH!O4150="1111")),[3]TH!D4150,""),"")</f>
        <v/>
      </c>
      <c r="B4919" s="60" t="str">
        <f t="shared" si="482"/>
        <v/>
      </c>
      <c r="C4919" s="61"/>
      <c r="D4919" s="61"/>
      <c r="E4919" s="61"/>
      <c r="F4919" s="64"/>
      <c r="G4919" s="64"/>
      <c r="H4919" s="69"/>
      <c r="I4919" s="385"/>
      <c r="J4919" s="395"/>
      <c r="K4919" s="385"/>
      <c r="L4919" s="392"/>
      <c r="M4919" s="62"/>
      <c r="N4919" s="63"/>
      <c r="O4919" s="63"/>
      <c r="P4919" s="79" t="str">
        <f>IF(AND('331-CT'!$E$7=TH!H4919,OR(N4919="331",O4919="331")),"x","")</f>
        <v/>
      </c>
      <c r="Q4919" s="79" t="str">
        <f>IF(AND(B4919='111'!$L$11,OR($N4919=$Q$7,$O4919=$Q$7)),"x","")</f>
        <v/>
      </c>
      <c r="R4919" s="79" t="str">
        <f>IF(AND($N4919=$Q$7,$B4919&lt;'111'!$L$11),"x","")</f>
        <v/>
      </c>
      <c r="S4919" s="79" t="str">
        <f>IF(AND($O4919=$Q$7,$B4919&lt;'111'!$L$11),"x","")</f>
        <v/>
      </c>
      <c r="T4919" s="79" t="str">
        <f>IF(ISERROR(FIND('112'!$M$9,G4919,1)),"",IF((AND(FIND('112'!$M$9,G4919,1)&gt;=1,B4919='112'!$K$9,OR($N4919='112'!$I$6,$O4919='112'!$I$6))),"x",""))</f>
        <v/>
      </c>
      <c r="U4919" s="79" t="str">
        <f>IF(ISERROR(FIND('112'!$M$9,G4919,1)),"",IF((AND(LEFT(G4919,2)=LEFT('112'!$M$9,2),B4919&lt;'112'!$K$9,$N4919='112'!$I$6)),"x",""))</f>
        <v/>
      </c>
      <c r="V4919" s="79" t="str">
        <f>IF(ISERROR(FIND('112'!$M$9,G4919,1)),"",IF((AND(RIGHT(G4919,2)=RIGHT('112'!$M$9,2),B4919&lt;'112'!$K$9,$O4919='112'!$I$6)),"x",""))</f>
        <v/>
      </c>
      <c r="W4919" s="79" t="str">
        <f>IF(AND('341-CT'!$H$9=H4919,OR(LEFT(N4919,3)=$W$7,LEFT(O4919,3)=$W$7)),"x","")</f>
        <v/>
      </c>
      <c r="X4919" s="79" t="str">
        <f>IF(OR(TH!N4919=TH!$X$7,O4919=TH!$X$7),"x","")</f>
        <v/>
      </c>
      <c r="Y4919" s="79" t="str">
        <f>IF(AND(OR(N4919="131",O4919="131"),H4919='131-CT'!$H$9),"x","")</f>
        <v/>
      </c>
      <c r="Z4919" s="79"/>
      <c r="AA4919" s="79" t="str">
        <f>IF(AND(MONTH(E4919)='IN-NX'!$J$5,'IN-NX'!$D$7=D4919),"x","")</f>
        <v/>
      </c>
      <c r="AB4919" s="79" t="str">
        <f>IF(AND(OR(LEFT(TH!N4919,2)="15",LEFT(TH!O4919,2)="15"),LEFT(TH!O4919,3)&lt;&gt;"111",'152-CT'!$J$8=TH!F4919),"x","")</f>
        <v/>
      </c>
      <c r="AC4919" s="79" t="str">
        <f>IF(AND(OR(LEFT(TH!N4919,2)="15",LEFT(TH!O4919,2)="15"),TK!$E$7=TH!F4919),"x","")</f>
        <v/>
      </c>
      <c r="AD4919" s="79" t="str">
        <f>IF(AND(N4919="1521",MONTH(C4919)='BK-NL'!$M$11),"x","")</f>
        <v/>
      </c>
    </row>
    <row r="4920" spans="1:30" ht="16.5" customHeight="1">
      <c r="A4920" s="318" t="str">
        <f>IF(B4920&lt;&gt;"",IF(AND(B4920='[3]IN-TC'!$S$4,OR([3]TH!N4151="1111",[3]TH!O4151="1111")),[3]TH!D4151,""),"")</f>
        <v/>
      </c>
      <c r="B4920" s="60" t="str">
        <f t="shared" si="482"/>
        <v/>
      </c>
      <c r="C4920" s="61"/>
      <c r="D4920" s="301"/>
      <c r="E4920" s="301"/>
      <c r="F4920" s="302"/>
      <c r="G4920" s="302"/>
      <c r="H4920" s="303"/>
      <c r="I4920" s="385"/>
      <c r="J4920" s="395"/>
      <c r="K4920" s="385"/>
      <c r="L4920" s="392"/>
      <c r="M4920" s="62"/>
      <c r="N4920" s="304"/>
      <c r="O4920" s="304"/>
      <c r="P4920" s="79" t="str">
        <f>IF(AND('331-CT'!$E$7=TH!H4920,OR(N4920="331",O4920="331")),"x","")</f>
        <v/>
      </c>
      <c r="Q4920" s="79" t="str">
        <f>IF(AND(B4920='111'!$L$11,OR($N4920=$Q$7,$O4920=$Q$7)),"x","")</f>
        <v/>
      </c>
      <c r="R4920" s="79" t="str">
        <f>IF(AND($N4920=$Q$7,$B4920&lt;'111'!$L$11),"x","")</f>
        <v/>
      </c>
      <c r="S4920" s="79" t="str">
        <f>IF(AND($O4920=$Q$7,$B4920&lt;'111'!$L$11),"x","")</f>
        <v/>
      </c>
      <c r="T4920" s="79" t="str">
        <f>IF(ISERROR(FIND('112'!$M$9,G4920,1)),"",IF((AND(FIND('112'!$M$9,G4920,1)&gt;=1,B4920='112'!$K$9,OR($N4920='112'!$I$6,$O4920='112'!$I$6))),"x",""))</f>
        <v/>
      </c>
      <c r="U4920" s="79" t="str">
        <f>IF(ISERROR(FIND('112'!$M$9,G4920,1)),"",IF((AND(LEFT(G4920,2)=LEFT('112'!$M$9,2),B4920&lt;'112'!$K$9,$N4920='112'!$I$6)),"x",""))</f>
        <v/>
      </c>
      <c r="V4920" s="79" t="str">
        <f>IF(ISERROR(FIND('112'!$M$9,G4920,1)),"",IF((AND(RIGHT(G4920,2)=RIGHT('112'!$M$9,2),B4920&lt;'112'!$K$9,$O4920='112'!$I$6)),"x",""))</f>
        <v/>
      </c>
      <c r="W4920" s="79" t="str">
        <f>IF(AND('341-CT'!$H$9=H4920,OR(LEFT(N4920,3)=$W$7,LEFT(O4920,3)=$W$7)),"x","")</f>
        <v/>
      </c>
      <c r="X4920" s="79" t="str">
        <f>IF(OR(TH!N4920=TH!$X$7,O4920=TH!$X$7),"x","")</f>
        <v/>
      </c>
      <c r="Y4920" s="79" t="str">
        <f>IF(AND(OR(N4920="131",O4920="131"),H4920='131-CT'!$H$9),"x","")</f>
        <v/>
      </c>
      <c r="Z4920" s="79"/>
      <c r="AA4920" s="79" t="str">
        <f>IF(AND(MONTH(E4920)='IN-NX'!$J$5,'IN-NX'!$D$7=D4920),"x","")</f>
        <v/>
      </c>
      <c r="AB4920" s="79" t="str">
        <f>IF(AND(OR(LEFT(TH!N4920,2)="15",LEFT(TH!O4920,2)="15"),LEFT(TH!O4920,3)&lt;&gt;"111",'152-CT'!$J$8=TH!F4920),"x","")</f>
        <v/>
      </c>
      <c r="AC4920" s="79" t="str">
        <f>IF(AND(OR(LEFT(TH!N4920,2)="15",LEFT(TH!O4920,2)="15"),TK!$E$7=TH!F4920),"x","")</f>
        <v/>
      </c>
      <c r="AD4920" s="79" t="str">
        <f>IF(AND(N4920="1521",MONTH(C4920)='BK-NL'!$M$11),"x","")</f>
        <v/>
      </c>
    </row>
    <row r="4921" spans="1:30" ht="16.5" customHeight="1">
      <c r="A4921" s="318" t="str">
        <f>IF(B4921&lt;&gt;"",IF(AND(B4921='[3]IN-TC'!$S$4,OR([3]TH!N4152="1111",[3]TH!O4152="1111")),[3]TH!D4152,""),"")</f>
        <v/>
      </c>
      <c r="B4921" s="60" t="str">
        <f t="shared" si="482"/>
        <v/>
      </c>
      <c r="C4921" s="61"/>
      <c r="D4921" s="301"/>
      <c r="E4921" s="301"/>
      <c r="F4921" s="302"/>
      <c r="G4921" s="302"/>
      <c r="H4921" s="303"/>
      <c r="I4921" s="385"/>
      <c r="J4921" s="395"/>
      <c r="K4921" s="385"/>
      <c r="L4921" s="392"/>
      <c r="M4921" s="62"/>
      <c r="N4921" s="304"/>
      <c r="O4921" s="304"/>
      <c r="P4921" s="79" t="str">
        <f>IF(AND('331-CT'!$E$7=TH!H4921,OR(N4921="331",O4921="331")),"x","")</f>
        <v/>
      </c>
      <c r="Q4921" s="79" t="str">
        <f>IF(AND(B4921='111'!$L$11,OR($N4921=$Q$7,$O4921=$Q$7)),"x","")</f>
        <v/>
      </c>
      <c r="R4921" s="79" t="str">
        <f>IF(AND($N4921=$Q$7,$B4921&lt;'111'!$L$11),"x","")</f>
        <v/>
      </c>
      <c r="S4921" s="79" t="str">
        <f>IF(AND($O4921=$Q$7,$B4921&lt;'111'!$L$11),"x","")</f>
        <v/>
      </c>
      <c r="T4921" s="79" t="str">
        <f>IF(ISERROR(FIND('112'!$M$9,G4921,1)),"",IF((AND(FIND('112'!$M$9,G4921,1)&gt;=1,B4921='112'!$K$9,OR($N4921='112'!$I$6,$O4921='112'!$I$6))),"x",""))</f>
        <v/>
      </c>
      <c r="U4921" s="79" t="str">
        <f>IF(ISERROR(FIND('112'!$M$9,G4921,1)),"",IF((AND(LEFT(G4921,2)=LEFT('112'!$M$9,2),B4921&lt;'112'!$K$9,$N4921='112'!$I$6)),"x",""))</f>
        <v/>
      </c>
      <c r="V4921" s="79" t="str">
        <f>IF(ISERROR(FIND('112'!$M$9,G4921,1)),"",IF((AND(RIGHT(G4921,2)=RIGHT('112'!$M$9,2),B4921&lt;'112'!$K$9,$O4921='112'!$I$6)),"x",""))</f>
        <v/>
      </c>
      <c r="W4921" s="79" t="str">
        <f>IF(AND('341-CT'!$H$9=H4921,OR(LEFT(N4921,3)=$W$7,LEFT(O4921,3)=$W$7)),"x","")</f>
        <v/>
      </c>
      <c r="X4921" s="79" t="str">
        <f>IF(OR(TH!N4921=TH!$X$7,O4921=TH!$X$7),"x","")</f>
        <v/>
      </c>
      <c r="Y4921" s="79" t="str">
        <f>IF(AND(OR(N4921="131",O4921="131"),H4921='131-CT'!$H$9),"x","")</f>
        <v/>
      </c>
      <c r="Z4921" s="79"/>
      <c r="AA4921" s="79" t="str">
        <f>IF(AND(MONTH(E4921)='IN-NX'!$J$5,'IN-NX'!$D$7=D4921),"x","")</f>
        <v/>
      </c>
      <c r="AB4921" s="79" t="str">
        <f>IF(AND(OR(LEFT(TH!N4921,2)="15",LEFT(TH!O4921,2)="15"),LEFT(TH!O4921,3)&lt;&gt;"111",'152-CT'!$J$8=TH!F4921),"x","")</f>
        <v/>
      </c>
      <c r="AC4921" s="79" t="str">
        <f>IF(AND(OR(LEFT(TH!N4921,2)="15",LEFT(TH!O4921,2)="15"),TK!$E$7=TH!F4921),"x","")</f>
        <v/>
      </c>
      <c r="AD4921" s="79" t="str">
        <f>IF(AND(N4921="1521",MONTH(C4921)='BK-NL'!$M$11),"x","")</f>
        <v/>
      </c>
    </row>
    <row r="4922" spans="1:30" ht="16.5" customHeight="1">
      <c r="A4922" s="318" t="str">
        <f>IF(B4922&lt;&gt;"",IF(AND(B4922='[3]IN-TC'!$S$4,OR([3]TH!N4153="1111",[3]TH!O4153="1111")),[3]TH!D4153,""),"")</f>
        <v/>
      </c>
      <c r="B4922" s="60" t="str">
        <f t="shared" si="482"/>
        <v/>
      </c>
      <c r="C4922" s="61"/>
      <c r="D4922" s="301"/>
      <c r="E4922" s="301"/>
      <c r="F4922" s="302"/>
      <c r="G4922" s="302"/>
      <c r="H4922" s="303"/>
      <c r="I4922" s="385"/>
      <c r="J4922" s="395"/>
      <c r="K4922" s="385"/>
      <c r="L4922" s="392"/>
      <c r="M4922" s="62"/>
      <c r="N4922" s="304"/>
      <c r="O4922" s="304"/>
      <c r="P4922" s="79" t="str">
        <f>IF(AND('331-CT'!$E$7=TH!H4922,OR(N4922="331",O4922="331")),"x","")</f>
        <v/>
      </c>
      <c r="Q4922" s="79" t="str">
        <f>IF(AND(B4922='111'!$L$11,OR($N4922=$Q$7,$O4922=$Q$7)),"x","")</f>
        <v/>
      </c>
      <c r="R4922" s="79" t="str">
        <f>IF(AND($N4922=$Q$7,$B4922&lt;'111'!$L$11),"x","")</f>
        <v/>
      </c>
      <c r="S4922" s="79" t="str">
        <f>IF(AND($O4922=$Q$7,$B4922&lt;'111'!$L$11),"x","")</f>
        <v/>
      </c>
      <c r="T4922" s="79" t="str">
        <f>IF(ISERROR(FIND('112'!$M$9,G4922,1)),"",IF((AND(FIND('112'!$M$9,G4922,1)&gt;=1,B4922='112'!$K$9,OR($N4922='112'!$I$6,$O4922='112'!$I$6))),"x",""))</f>
        <v/>
      </c>
      <c r="U4922" s="79" t="str">
        <f>IF(ISERROR(FIND('112'!$M$9,G4922,1)),"",IF((AND(LEFT(G4922,2)=LEFT('112'!$M$9,2),B4922&lt;'112'!$K$9,$N4922='112'!$I$6)),"x",""))</f>
        <v/>
      </c>
      <c r="V4922" s="79" t="str">
        <f>IF(ISERROR(FIND('112'!$M$9,G4922,1)),"",IF((AND(RIGHT(G4922,2)=RIGHT('112'!$M$9,2),B4922&lt;'112'!$K$9,$O4922='112'!$I$6)),"x",""))</f>
        <v/>
      </c>
      <c r="W4922" s="79" t="str">
        <f>IF(AND('341-CT'!$H$9=H4922,OR(LEFT(N4922,3)=$W$7,LEFT(O4922,3)=$W$7)),"x","")</f>
        <v/>
      </c>
      <c r="X4922" s="79" t="str">
        <f>IF(OR(TH!N4922=TH!$X$7,O4922=TH!$X$7),"x","")</f>
        <v/>
      </c>
      <c r="Y4922" s="79" t="str">
        <f>IF(AND(OR(N4922="131",O4922="131"),H4922='131-CT'!$H$9),"x","")</f>
        <v/>
      </c>
      <c r="Z4922" s="79"/>
      <c r="AA4922" s="79" t="str">
        <f>IF(AND(MONTH(E4922)='IN-NX'!$J$5,'IN-NX'!$D$7=D4922),"x","")</f>
        <v/>
      </c>
      <c r="AB4922" s="79" t="str">
        <f>IF(AND(OR(LEFT(TH!N4922,2)="15",LEFT(TH!O4922,2)="15"),LEFT(TH!O4922,3)&lt;&gt;"111",'152-CT'!$J$8=TH!F4922),"x","")</f>
        <v/>
      </c>
      <c r="AC4922" s="79" t="str">
        <f>IF(AND(OR(LEFT(TH!N4922,2)="15",LEFT(TH!O4922,2)="15"),TK!$E$7=TH!F4922),"x","")</f>
        <v/>
      </c>
      <c r="AD4922" s="79" t="str">
        <f>IF(AND(N4922="1521",MONTH(C4922)='BK-NL'!$M$11),"x","")</f>
        <v/>
      </c>
    </row>
    <row r="4923" spans="1:30" ht="16.5" customHeight="1">
      <c r="A4923" s="318" t="str">
        <f>IF(B4923&lt;&gt;"",IF(AND(B4923='[3]IN-TC'!$S$4,OR([3]TH!N4154="1111",[3]TH!O4154="1111")),[3]TH!D4154,""),"")</f>
        <v/>
      </c>
      <c r="B4923" s="60" t="str">
        <f t="shared" si="482"/>
        <v/>
      </c>
      <c r="C4923" s="61"/>
      <c r="D4923" s="301"/>
      <c r="E4923" s="301"/>
      <c r="F4923" s="302"/>
      <c r="G4923" s="302"/>
      <c r="H4923" s="303"/>
      <c r="I4923" s="385"/>
      <c r="J4923" s="395"/>
      <c r="K4923" s="385"/>
      <c r="L4923" s="392"/>
      <c r="M4923" s="62"/>
      <c r="N4923" s="304"/>
      <c r="O4923" s="304"/>
      <c r="P4923" s="79" t="str">
        <f>IF(AND('331-CT'!$E$7=TH!H4923,OR(N4923="331",O4923="331")),"x","")</f>
        <v/>
      </c>
      <c r="Q4923" s="79" t="str">
        <f>IF(AND(B4923='111'!$L$11,OR($N4923=$Q$7,$O4923=$Q$7)),"x","")</f>
        <v/>
      </c>
      <c r="R4923" s="79" t="str">
        <f>IF(AND($N4923=$Q$7,$B4923&lt;'111'!$L$11),"x","")</f>
        <v/>
      </c>
      <c r="S4923" s="79" t="str">
        <f>IF(AND($O4923=$Q$7,$B4923&lt;'111'!$L$11),"x","")</f>
        <v/>
      </c>
      <c r="T4923" s="79" t="str">
        <f>IF(ISERROR(FIND('112'!$M$9,G4923,1)),"",IF((AND(FIND('112'!$M$9,G4923,1)&gt;=1,B4923='112'!$K$9,OR($N4923='112'!$I$6,$O4923='112'!$I$6))),"x",""))</f>
        <v/>
      </c>
      <c r="U4923" s="79" t="str">
        <f>IF(ISERROR(FIND('112'!$M$9,G4923,1)),"",IF((AND(LEFT(G4923,2)=LEFT('112'!$M$9,2),B4923&lt;'112'!$K$9,$N4923='112'!$I$6)),"x",""))</f>
        <v/>
      </c>
      <c r="V4923" s="79" t="str">
        <f>IF(ISERROR(FIND('112'!$M$9,G4923,1)),"",IF((AND(RIGHT(G4923,2)=RIGHT('112'!$M$9,2),B4923&lt;'112'!$K$9,$O4923='112'!$I$6)),"x",""))</f>
        <v/>
      </c>
      <c r="W4923" s="79" t="str">
        <f>IF(AND('341-CT'!$H$9=H4923,OR(LEFT(N4923,3)=$W$7,LEFT(O4923,3)=$W$7)),"x","")</f>
        <v/>
      </c>
      <c r="X4923" s="79" t="str">
        <f>IF(OR(TH!N4923=TH!$X$7,O4923=TH!$X$7),"x","")</f>
        <v/>
      </c>
      <c r="Y4923" s="79" t="str">
        <f>IF(AND(OR(N4923="131",O4923="131"),H4923='131-CT'!$H$9),"x","")</f>
        <v/>
      </c>
      <c r="Z4923" s="79"/>
      <c r="AA4923" s="79" t="str">
        <f>IF(AND(MONTH(E4923)='IN-NX'!$J$5,'IN-NX'!$D$7=D4923),"x","")</f>
        <v/>
      </c>
      <c r="AB4923" s="79" t="str">
        <f>IF(AND(OR(LEFT(TH!N4923,2)="15",LEFT(TH!O4923,2)="15"),LEFT(TH!O4923,3)&lt;&gt;"111",'152-CT'!$J$8=TH!F4923),"x","")</f>
        <v/>
      </c>
      <c r="AC4923" s="79" t="str">
        <f>IF(AND(OR(LEFT(TH!N4923,2)="15",LEFT(TH!O4923,2)="15"),TK!$E$7=TH!F4923),"x","")</f>
        <v/>
      </c>
      <c r="AD4923" s="79" t="str">
        <f>IF(AND(N4923="1521",MONTH(C4923)='BK-NL'!$M$11),"x","")</f>
        <v/>
      </c>
    </row>
    <row r="4924" spans="1:30" ht="16.5" customHeight="1">
      <c r="A4924" s="318" t="str">
        <f>IF(B4924&lt;&gt;"",IF(AND(B4924='[3]IN-TC'!$S$4,OR([3]TH!N4155="1111",[3]TH!O4155="1111")),[3]TH!D4155,""),"")</f>
        <v/>
      </c>
      <c r="B4924" s="60" t="str">
        <f t="shared" si="482"/>
        <v/>
      </c>
      <c r="C4924" s="61"/>
      <c r="D4924" s="301"/>
      <c r="E4924" s="301"/>
      <c r="F4924" s="302"/>
      <c r="G4924" s="302"/>
      <c r="H4924" s="303"/>
      <c r="I4924" s="385"/>
      <c r="J4924" s="395"/>
      <c r="K4924" s="385"/>
      <c r="L4924" s="392"/>
      <c r="M4924" s="62"/>
      <c r="N4924" s="304"/>
      <c r="O4924" s="304"/>
      <c r="P4924" s="79" t="str">
        <f>IF(AND('331-CT'!$E$7=TH!H4924,OR(N4924="331",O4924="331")),"x","")</f>
        <v/>
      </c>
      <c r="Q4924" s="79" t="str">
        <f>IF(AND(B4924='111'!$L$11,OR($N4924=$Q$7,$O4924=$Q$7)),"x","")</f>
        <v/>
      </c>
      <c r="R4924" s="79" t="str">
        <f>IF(AND($N4924=$Q$7,$B4924&lt;'111'!$L$11),"x","")</f>
        <v/>
      </c>
      <c r="S4924" s="79" t="str">
        <f>IF(AND($O4924=$Q$7,$B4924&lt;'111'!$L$11),"x","")</f>
        <v/>
      </c>
      <c r="T4924" s="79" t="str">
        <f>IF(ISERROR(FIND('112'!$M$9,G4924,1)),"",IF((AND(FIND('112'!$M$9,G4924,1)&gt;=1,B4924='112'!$K$9,OR($N4924='112'!$I$6,$O4924='112'!$I$6))),"x",""))</f>
        <v/>
      </c>
      <c r="U4924" s="79" t="str">
        <f>IF(ISERROR(FIND('112'!$M$9,G4924,1)),"",IF((AND(LEFT(G4924,2)=LEFT('112'!$M$9,2),B4924&lt;'112'!$K$9,$N4924='112'!$I$6)),"x",""))</f>
        <v/>
      </c>
      <c r="V4924" s="79" t="str">
        <f>IF(ISERROR(FIND('112'!$M$9,G4924,1)),"",IF((AND(RIGHT(G4924,2)=RIGHT('112'!$M$9,2),B4924&lt;'112'!$K$9,$O4924='112'!$I$6)),"x",""))</f>
        <v/>
      </c>
      <c r="W4924" s="79" t="str">
        <f>IF(AND('341-CT'!$H$9=H4924,OR(LEFT(N4924,3)=$W$7,LEFT(O4924,3)=$W$7)),"x","")</f>
        <v/>
      </c>
      <c r="X4924" s="79" t="str">
        <f>IF(OR(TH!N4924=TH!$X$7,O4924=TH!$X$7),"x","")</f>
        <v/>
      </c>
      <c r="Y4924" s="79" t="str">
        <f>IF(AND(OR(N4924="131",O4924="131"),H4924='131-CT'!$H$9),"x","")</f>
        <v/>
      </c>
      <c r="Z4924" s="79"/>
      <c r="AA4924" s="79" t="str">
        <f>IF(AND(MONTH(E4924)='IN-NX'!$J$5,'IN-NX'!$D$7=D4924),"x","")</f>
        <v/>
      </c>
      <c r="AB4924" s="79" t="str">
        <f>IF(AND(OR(LEFT(TH!N4924,2)="15",LEFT(TH!O4924,2)="15"),LEFT(TH!O4924,3)&lt;&gt;"111",'152-CT'!$J$8=TH!F4924),"x","")</f>
        <v/>
      </c>
      <c r="AC4924" s="79" t="str">
        <f>IF(AND(OR(LEFT(TH!N4924,2)="15",LEFT(TH!O4924,2)="15"),TK!$E$7=TH!F4924),"x","")</f>
        <v/>
      </c>
      <c r="AD4924" s="79" t="str">
        <f>IF(AND(N4924="1521",MONTH(C4924)='BK-NL'!$M$11),"x","")</f>
        <v/>
      </c>
    </row>
    <row r="4925" spans="1:30" ht="16.5" customHeight="1">
      <c r="A4925" s="318" t="str">
        <f>IF(B4925&lt;&gt;"",IF(AND(B4925='[3]IN-TC'!$S$4,OR([3]TH!N4156="1111",[3]TH!O4156="1111")),[3]TH!D4156,""),"")</f>
        <v/>
      </c>
      <c r="B4925" s="60" t="str">
        <f t="shared" si="482"/>
        <v/>
      </c>
      <c r="C4925" s="61"/>
      <c r="D4925" s="301"/>
      <c r="E4925" s="301"/>
      <c r="F4925" s="302"/>
      <c r="G4925" s="302"/>
      <c r="H4925" s="303"/>
      <c r="I4925" s="385"/>
      <c r="J4925" s="395"/>
      <c r="K4925" s="385"/>
      <c r="L4925" s="392"/>
      <c r="M4925" s="62"/>
      <c r="N4925" s="304"/>
      <c r="O4925" s="304"/>
      <c r="P4925" s="79" t="str">
        <f>IF(AND('331-CT'!$E$7=TH!H4925,OR(N4925="331",O4925="331")),"x","")</f>
        <v/>
      </c>
      <c r="Q4925" s="79" t="str">
        <f>IF(AND(B4925='111'!$L$11,OR($N4925=$Q$7,$O4925=$Q$7)),"x","")</f>
        <v/>
      </c>
      <c r="R4925" s="79" t="str">
        <f>IF(AND($N4925=$Q$7,$B4925&lt;'111'!$L$11),"x","")</f>
        <v/>
      </c>
      <c r="S4925" s="79" t="str">
        <f>IF(AND($O4925=$Q$7,$B4925&lt;'111'!$L$11),"x","")</f>
        <v/>
      </c>
      <c r="T4925" s="79" t="str">
        <f>IF(ISERROR(FIND('112'!$M$9,G4925,1)),"",IF((AND(FIND('112'!$M$9,G4925,1)&gt;=1,B4925='112'!$K$9,OR($N4925='112'!$I$6,$O4925='112'!$I$6))),"x",""))</f>
        <v/>
      </c>
      <c r="U4925" s="79" t="str">
        <f>IF(ISERROR(FIND('112'!$M$9,G4925,1)),"",IF((AND(LEFT(G4925,2)=LEFT('112'!$M$9,2),B4925&lt;'112'!$K$9,$N4925='112'!$I$6)),"x",""))</f>
        <v/>
      </c>
      <c r="V4925" s="79" t="str">
        <f>IF(ISERROR(FIND('112'!$M$9,G4925,1)),"",IF((AND(RIGHT(G4925,2)=RIGHT('112'!$M$9,2),B4925&lt;'112'!$K$9,$O4925='112'!$I$6)),"x",""))</f>
        <v/>
      </c>
      <c r="W4925" s="79" t="str">
        <f>IF(AND('341-CT'!$H$9=H4925,OR(LEFT(N4925,3)=$W$7,LEFT(O4925,3)=$W$7)),"x","")</f>
        <v/>
      </c>
      <c r="X4925" s="79" t="str">
        <f>IF(OR(TH!N4925=TH!$X$7,O4925=TH!$X$7),"x","")</f>
        <v/>
      </c>
      <c r="Y4925" s="79" t="str">
        <f>IF(AND(OR(N4925="131",O4925="131"),H4925='131-CT'!$H$9),"x","")</f>
        <v/>
      </c>
      <c r="Z4925" s="79"/>
      <c r="AA4925" s="79" t="str">
        <f>IF(AND(MONTH(E4925)='IN-NX'!$J$5,'IN-NX'!$D$7=D4925),"x","")</f>
        <v/>
      </c>
      <c r="AB4925" s="79" t="str">
        <f>IF(AND(OR(LEFT(TH!N4925,2)="15",LEFT(TH!O4925,2)="15"),LEFT(TH!O4925,3)&lt;&gt;"111",'152-CT'!$J$8=TH!F4925),"x","")</f>
        <v/>
      </c>
      <c r="AC4925" s="79" t="str">
        <f>IF(AND(OR(LEFT(TH!N4925,2)="15",LEFT(TH!O4925,2)="15"),TK!$E$7=TH!F4925),"x","")</f>
        <v/>
      </c>
      <c r="AD4925" s="79" t="str">
        <f>IF(AND(N4925="1521",MONTH(C4925)='BK-NL'!$M$11),"x","")</f>
        <v/>
      </c>
    </row>
    <row r="4926" spans="1:30" ht="16.5" customHeight="1">
      <c r="A4926" s="318" t="str">
        <f>IF(B4926&lt;&gt;"",IF(AND(B4926='[3]IN-TC'!$S$4,OR([3]TH!N4157="1111",[3]TH!O4157="1111")),[3]TH!D4157,""),"")</f>
        <v/>
      </c>
      <c r="B4926" s="60" t="str">
        <f t="shared" si="482"/>
        <v/>
      </c>
      <c r="C4926" s="61"/>
      <c r="D4926" s="301"/>
      <c r="E4926" s="301"/>
      <c r="F4926" s="302"/>
      <c r="G4926" s="302"/>
      <c r="H4926" s="303"/>
      <c r="I4926" s="385"/>
      <c r="J4926" s="395"/>
      <c r="K4926" s="385"/>
      <c r="L4926" s="392"/>
      <c r="M4926" s="62"/>
      <c r="N4926" s="304"/>
      <c r="O4926" s="304"/>
      <c r="P4926" s="79" t="str">
        <f>IF(AND('331-CT'!$E$7=TH!H4926,OR(N4926="331",O4926="331")),"x","")</f>
        <v/>
      </c>
      <c r="Q4926" s="79" t="str">
        <f>IF(AND(B4926='111'!$L$11,OR($N4926=$Q$7,$O4926=$Q$7)),"x","")</f>
        <v/>
      </c>
      <c r="R4926" s="79" t="str">
        <f>IF(AND($N4926=$Q$7,$B4926&lt;'111'!$L$11),"x","")</f>
        <v/>
      </c>
      <c r="S4926" s="79" t="str">
        <f>IF(AND($O4926=$Q$7,$B4926&lt;'111'!$L$11),"x","")</f>
        <v/>
      </c>
      <c r="T4926" s="79" t="str">
        <f>IF(ISERROR(FIND('112'!$M$9,G4926,1)),"",IF((AND(FIND('112'!$M$9,G4926,1)&gt;=1,B4926='112'!$K$9,OR($N4926='112'!$I$6,$O4926='112'!$I$6))),"x",""))</f>
        <v/>
      </c>
      <c r="U4926" s="79" t="str">
        <f>IF(ISERROR(FIND('112'!$M$9,G4926,1)),"",IF((AND(LEFT(G4926,2)=LEFT('112'!$M$9,2),B4926&lt;'112'!$K$9,$N4926='112'!$I$6)),"x",""))</f>
        <v/>
      </c>
      <c r="V4926" s="79" t="str">
        <f>IF(ISERROR(FIND('112'!$M$9,G4926,1)),"",IF((AND(RIGHT(G4926,2)=RIGHT('112'!$M$9,2),B4926&lt;'112'!$K$9,$O4926='112'!$I$6)),"x",""))</f>
        <v/>
      </c>
      <c r="W4926" s="79" t="str">
        <f>IF(AND('341-CT'!$H$9=H4926,OR(LEFT(N4926,3)=$W$7,LEFT(O4926,3)=$W$7)),"x","")</f>
        <v/>
      </c>
      <c r="X4926" s="79" t="str">
        <f>IF(OR(TH!N4926=TH!$X$7,O4926=TH!$X$7),"x","")</f>
        <v/>
      </c>
      <c r="Y4926" s="79" t="str">
        <f>IF(AND(OR(N4926="131",O4926="131"),H4926='131-CT'!$H$9),"x","")</f>
        <v/>
      </c>
      <c r="Z4926" s="79"/>
      <c r="AA4926" s="79" t="str">
        <f>IF(AND(MONTH(E4926)='IN-NX'!$J$5,'IN-NX'!$D$7=D4926),"x","")</f>
        <v/>
      </c>
      <c r="AB4926" s="79" t="str">
        <f>IF(AND(OR(LEFT(TH!N4926,2)="15",LEFT(TH!O4926,2)="15"),LEFT(TH!O4926,3)&lt;&gt;"111",'152-CT'!$J$8=TH!F4926),"x","")</f>
        <v/>
      </c>
      <c r="AC4926" s="79" t="str">
        <f>IF(AND(OR(LEFT(TH!N4926,2)="15",LEFT(TH!O4926,2)="15"),TK!$E$7=TH!F4926),"x","")</f>
        <v/>
      </c>
      <c r="AD4926" s="79" t="str">
        <f>IF(AND(N4926="1521",MONTH(C4926)='BK-NL'!$M$11),"x","")</f>
        <v/>
      </c>
    </row>
    <row r="4927" spans="1:30" ht="16.5" customHeight="1">
      <c r="A4927" s="318" t="str">
        <f>IF(B4927&lt;&gt;"",IF(AND(B4927='[3]IN-TC'!$S$4,OR([3]TH!N4158="1111",[3]TH!O4158="1111")),[3]TH!D4158,""),"")</f>
        <v/>
      </c>
      <c r="B4927" s="60" t="str">
        <f t="shared" si="482"/>
        <v/>
      </c>
      <c r="C4927" s="61"/>
      <c r="D4927" s="61"/>
      <c r="E4927" s="61"/>
      <c r="F4927" s="64"/>
      <c r="G4927" s="64"/>
      <c r="H4927" s="69"/>
      <c r="I4927" s="385"/>
      <c r="J4927" s="395"/>
      <c r="K4927" s="385"/>
      <c r="L4927" s="392"/>
      <c r="M4927" s="62"/>
      <c r="N4927" s="63"/>
      <c r="O4927" s="63"/>
      <c r="P4927" s="79" t="str">
        <f>IF(AND('331-CT'!$E$7=TH!H4927,OR(N4927="331",O4927="331")),"x","")</f>
        <v/>
      </c>
      <c r="Q4927" s="79" t="str">
        <f>IF(AND(B4927='111'!$L$11,OR($N4927=$Q$7,$O4927=$Q$7)),"x","")</f>
        <v/>
      </c>
      <c r="R4927" s="79" t="str">
        <f>IF(AND($N4927=$Q$7,$B4927&lt;'111'!$L$11),"x","")</f>
        <v/>
      </c>
      <c r="S4927" s="79" t="str">
        <f>IF(AND($O4927=$Q$7,$B4927&lt;'111'!$L$11),"x","")</f>
        <v/>
      </c>
      <c r="T4927" s="79" t="str">
        <f>IF(ISERROR(FIND('112'!$M$9,G4927,1)),"",IF((AND(FIND('112'!$M$9,G4927,1)&gt;=1,B4927='112'!$K$9,OR($N4927='112'!$I$6,$O4927='112'!$I$6))),"x",""))</f>
        <v/>
      </c>
      <c r="U4927" s="79" t="str">
        <f>IF(ISERROR(FIND('112'!$M$9,G4927,1)),"",IF((AND(LEFT(G4927,2)=LEFT('112'!$M$9,2),B4927&lt;'112'!$K$9,$N4927='112'!$I$6)),"x",""))</f>
        <v/>
      </c>
      <c r="V4927" s="79" t="str">
        <f>IF(ISERROR(FIND('112'!$M$9,G4927,1)),"",IF((AND(RIGHT(G4927,2)=RIGHT('112'!$M$9,2),B4927&lt;'112'!$K$9,$O4927='112'!$I$6)),"x",""))</f>
        <v/>
      </c>
      <c r="W4927" s="79" t="str">
        <f>IF(AND('341-CT'!$H$9=H4927,OR(LEFT(N4927,3)=$W$7,LEFT(O4927,3)=$W$7)),"x","")</f>
        <v/>
      </c>
      <c r="X4927" s="79" t="str">
        <f>IF(OR(TH!N4927=TH!$X$7,O4927=TH!$X$7),"x","")</f>
        <v/>
      </c>
      <c r="Y4927" s="79" t="str">
        <f>IF(AND(OR(N4927="131",O4927="131"),H4927='131-CT'!$H$9),"x","")</f>
        <v/>
      </c>
      <c r="Z4927" s="79"/>
      <c r="AA4927" s="79" t="str">
        <f>IF(AND(MONTH(E4927)='IN-NX'!$J$5,'IN-NX'!$D$7=D4927),"x","")</f>
        <v/>
      </c>
      <c r="AB4927" s="79" t="str">
        <f>IF(AND(OR(LEFT(TH!N4927,2)="15",LEFT(TH!O4927,2)="15"),LEFT(TH!O4927,3)&lt;&gt;"111",'152-CT'!$J$8=TH!F4927),"x","")</f>
        <v/>
      </c>
      <c r="AC4927" s="79" t="str">
        <f>IF(AND(OR(LEFT(TH!N4927,2)="15",LEFT(TH!O4927,2)="15"),TK!$E$7=TH!F4927),"x","")</f>
        <v/>
      </c>
      <c r="AD4927" s="79" t="str">
        <f>IF(AND(N4927="1521",MONTH(C4927)='BK-NL'!$M$11),"x","")</f>
        <v/>
      </c>
    </row>
    <row r="4928" spans="1:30" ht="16.5" customHeight="1">
      <c r="A4928" s="318" t="str">
        <f>IF(B4928&lt;&gt;"",IF(AND(B4928='[3]IN-TC'!$S$4,OR([3]TH!N4159="1111",[3]TH!O4159="1111")),[3]TH!D4159,""),"")</f>
        <v/>
      </c>
      <c r="B4928" s="60" t="str">
        <f t="shared" si="482"/>
        <v/>
      </c>
      <c r="C4928" s="61"/>
      <c r="D4928" s="301"/>
      <c r="E4928" s="301"/>
      <c r="F4928" s="302"/>
      <c r="G4928" s="302"/>
      <c r="H4928" s="303"/>
      <c r="I4928" s="385"/>
      <c r="J4928" s="395"/>
      <c r="K4928" s="385"/>
      <c r="L4928" s="392"/>
      <c r="M4928" s="62"/>
      <c r="N4928" s="304"/>
      <c r="O4928" s="304"/>
      <c r="P4928" s="79" t="str">
        <f>IF(AND('331-CT'!$E$7=TH!H4928,OR(N4928="331",O4928="331")),"x","")</f>
        <v/>
      </c>
      <c r="Q4928" s="79" t="str">
        <f>IF(AND(B4928='111'!$L$11,OR($N4928=$Q$7,$O4928=$Q$7)),"x","")</f>
        <v/>
      </c>
      <c r="R4928" s="79" t="str">
        <f>IF(AND($N4928=$Q$7,$B4928&lt;'111'!$L$11),"x","")</f>
        <v/>
      </c>
      <c r="S4928" s="79" t="str">
        <f>IF(AND($O4928=$Q$7,$B4928&lt;'111'!$L$11),"x","")</f>
        <v/>
      </c>
      <c r="T4928" s="79" t="str">
        <f>IF(ISERROR(FIND('112'!$M$9,G4928,1)),"",IF((AND(FIND('112'!$M$9,G4928,1)&gt;=1,B4928='112'!$K$9,OR($N4928='112'!$I$6,$O4928='112'!$I$6))),"x",""))</f>
        <v/>
      </c>
      <c r="U4928" s="79" t="str">
        <f>IF(ISERROR(FIND('112'!$M$9,G4928,1)),"",IF((AND(LEFT(G4928,2)=LEFT('112'!$M$9,2),B4928&lt;'112'!$K$9,$N4928='112'!$I$6)),"x",""))</f>
        <v/>
      </c>
      <c r="V4928" s="79" t="str">
        <f>IF(ISERROR(FIND('112'!$M$9,G4928,1)),"",IF((AND(RIGHT(G4928,2)=RIGHT('112'!$M$9,2),B4928&lt;'112'!$K$9,$O4928='112'!$I$6)),"x",""))</f>
        <v/>
      </c>
      <c r="W4928" s="79" t="str">
        <f>IF(AND('341-CT'!$H$9=H4928,OR(LEFT(N4928,3)=$W$7,LEFT(O4928,3)=$W$7)),"x","")</f>
        <v/>
      </c>
      <c r="X4928" s="79" t="str">
        <f>IF(OR(TH!N4928=TH!$X$7,O4928=TH!$X$7),"x","")</f>
        <v/>
      </c>
      <c r="Y4928" s="79" t="str">
        <f>IF(AND(OR(N4928="131",O4928="131"),H4928='131-CT'!$H$9),"x","")</f>
        <v/>
      </c>
      <c r="Z4928" s="79"/>
      <c r="AA4928" s="79" t="str">
        <f>IF(AND(MONTH(E4928)='IN-NX'!$J$5,'IN-NX'!$D$7=D4928),"x","")</f>
        <v/>
      </c>
      <c r="AB4928" s="79" t="str">
        <f>IF(AND(OR(LEFT(TH!N4928,2)="15",LEFT(TH!O4928,2)="15"),LEFT(TH!O4928,3)&lt;&gt;"111",'152-CT'!$J$8=TH!F4928),"x","")</f>
        <v/>
      </c>
      <c r="AC4928" s="79" t="str">
        <f>IF(AND(OR(LEFT(TH!N4928,2)="15",LEFT(TH!O4928,2)="15"),TK!$E$7=TH!F4928),"x","")</f>
        <v/>
      </c>
      <c r="AD4928" s="79" t="str">
        <f>IF(AND(N4928="1521",MONTH(C4928)='BK-NL'!$M$11),"x","")</f>
        <v/>
      </c>
    </row>
    <row r="4929" spans="1:30" ht="16.5" customHeight="1">
      <c r="A4929" s="318" t="str">
        <f>IF(B4929&lt;&gt;"",IF(AND(B4929='[3]IN-TC'!$S$4,OR([3]TH!N4160="1111",[3]TH!O4160="1111")),[3]TH!D4160,""),"")</f>
        <v/>
      </c>
      <c r="B4929" s="60" t="str">
        <f t="shared" si="482"/>
        <v/>
      </c>
      <c r="C4929" s="61"/>
      <c r="D4929" s="301"/>
      <c r="E4929" s="301"/>
      <c r="F4929" s="302"/>
      <c r="G4929" s="302"/>
      <c r="H4929" s="303"/>
      <c r="I4929" s="385"/>
      <c r="J4929" s="395"/>
      <c r="K4929" s="385"/>
      <c r="L4929" s="392"/>
      <c r="M4929" s="62"/>
      <c r="N4929" s="304"/>
      <c r="O4929" s="304"/>
      <c r="P4929" s="79" t="str">
        <f>IF(AND('331-CT'!$E$7=TH!H4929,OR(N4929="331",O4929="331")),"x","")</f>
        <v/>
      </c>
      <c r="Q4929" s="79" t="str">
        <f>IF(AND(B4929='111'!$L$11,OR($N4929=$Q$7,$O4929=$Q$7)),"x","")</f>
        <v/>
      </c>
      <c r="R4929" s="79" t="str">
        <f>IF(AND($N4929=$Q$7,$B4929&lt;'111'!$L$11),"x","")</f>
        <v/>
      </c>
      <c r="S4929" s="79" t="str">
        <f>IF(AND($O4929=$Q$7,$B4929&lt;'111'!$L$11),"x","")</f>
        <v/>
      </c>
      <c r="T4929" s="79" t="str">
        <f>IF(ISERROR(FIND('112'!$M$9,G4929,1)),"",IF((AND(FIND('112'!$M$9,G4929,1)&gt;=1,B4929='112'!$K$9,OR($N4929='112'!$I$6,$O4929='112'!$I$6))),"x",""))</f>
        <v/>
      </c>
      <c r="U4929" s="79" t="str">
        <f>IF(ISERROR(FIND('112'!$M$9,G4929,1)),"",IF((AND(LEFT(G4929,2)=LEFT('112'!$M$9,2),B4929&lt;'112'!$K$9,$N4929='112'!$I$6)),"x",""))</f>
        <v/>
      </c>
      <c r="V4929" s="79" t="str">
        <f>IF(ISERROR(FIND('112'!$M$9,G4929,1)),"",IF((AND(RIGHT(G4929,2)=RIGHT('112'!$M$9,2),B4929&lt;'112'!$K$9,$O4929='112'!$I$6)),"x",""))</f>
        <v/>
      </c>
      <c r="W4929" s="79" t="str">
        <f>IF(AND('341-CT'!$H$9=H4929,OR(LEFT(N4929,3)=$W$7,LEFT(O4929,3)=$W$7)),"x","")</f>
        <v/>
      </c>
      <c r="X4929" s="79" t="str">
        <f>IF(OR(TH!N4929=TH!$X$7,O4929=TH!$X$7),"x","")</f>
        <v/>
      </c>
      <c r="Y4929" s="79" t="str">
        <f>IF(AND(OR(N4929="131",O4929="131"),H4929='131-CT'!$H$9),"x","")</f>
        <v/>
      </c>
      <c r="Z4929" s="79"/>
      <c r="AA4929" s="79" t="str">
        <f>IF(AND(MONTH(E4929)='IN-NX'!$J$5,'IN-NX'!$D$7=D4929),"x","")</f>
        <v/>
      </c>
      <c r="AB4929" s="79" t="str">
        <f>IF(AND(OR(LEFT(TH!N4929,2)="15",LEFT(TH!O4929,2)="15"),LEFT(TH!O4929,3)&lt;&gt;"111",'152-CT'!$J$8=TH!F4929),"x","")</f>
        <v/>
      </c>
      <c r="AC4929" s="79" t="str">
        <f>IF(AND(OR(LEFT(TH!N4929,2)="15",LEFT(TH!O4929,2)="15"),TK!$E$7=TH!F4929),"x","")</f>
        <v/>
      </c>
      <c r="AD4929" s="79" t="str">
        <f>IF(AND(N4929="1521",MONTH(C4929)='BK-NL'!$M$11),"x","")</f>
        <v/>
      </c>
    </row>
    <row r="4930" spans="1:30" ht="16.5" customHeight="1">
      <c r="A4930" s="318" t="str">
        <f>IF(B4930&lt;&gt;"",IF(AND(B4930='[3]IN-TC'!$S$4,OR([3]TH!N4161="1111",[3]TH!O4161="1111")),[3]TH!D4161,""),"")</f>
        <v/>
      </c>
      <c r="B4930" s="60" t="str">
        <f t="shared" si="482"/>
        <v/>
      </c>
      <c r="C4930" s="61"/>
      <c r="D4930" s="301"/>
      <c r="E4930" s="301"/>
      <c r="F4930" s="302"/>
      <c r="G4930" s="302"/>
      <c r="H4930" s="303"/>
      <c r="I4930" s="385"/>
      <c r="J4930" s="395"/>
      <c r="K4930" s="385"/>
      <c r="L4930" s="392"/>
      <c r="M4930" s="62"/>
      <c r="N4930" s="304"/>
      <c r="O4930" s="304"/>
      <c r="P4930" s="79" t="str">
        <f>IF(AND('331-CT'!$E$7=TH!H4930,OR(N4930="331",O4930="331")),"x","")</f>
        <v/>
      </c>
      <c r="Q4930" s="79" t="str">
        <f>IF(AND(B4930='111'!$L$11,OR($N4930=$Q$7,$O4930=$Q$7)),"x","")</f>
        <v/>
      </c>
      <c r="R4930" s="79" t="str">
        <f>IF(AND($N4930=$Q$7,$B4930&lt;'111'!$L$11),"x","")</f>
        <v/>
      </c>
      <c r="S4930" s="79" t="str">
        <f>IF(AND($O4930=$Q$7,$B4930&lt;'111'!$L$11),"x","")</f>
        <v/>
      </c>
      <c r="T4930" s="79" t="str">
        <f>IF(ISERROR(FIND('112'!$M$9,G4930,1)),"",IF((AND(FIND('112'!$M$9,G4930,1)&gt;=1,B4930='112'!$K$9,OR($N4930='112'!$I$6,$O4930='112'!$I$6))),"x",""))</f>
        <v/>
      </c>
      <c r="U4930" s="79" t="str">
        <f>IF(ISERROR(FIND('112'!$M$9,G4930,1)),"",IF((AND(LEFT(G4930,2)=LEFT('112'!$M$9,2),B4930&lt;'112'!$K$9,$N4930='112'!$I$6)),"x",""))</f>
        <v/>
      </c>
      <c r="V4930" s="79" t="str">
        <f>IF(ISERROR(FIND('112'!$M$9,G4930,1)),"",IF((AND(RIGHT(G4930,2)=RIGHT('112'!$M$9,2),B4930&lt;'112'!$K$9,$O4930='112'!$I$6)),"x",""))</f>
        <v/>
      </c>
      <c r="W4930" s="79" t="str">
        <f>IF(AND('341-CT'!$H$9=H4930,OR(LEFT(N4930,3)=$W$7,LEFT(O4930,3)=$W$7)),"x","")</f>
        <v/>
      </c>
      <c r="X4930" s="79" t="str">
        <f>IF(OR(TH!N4930=TH!$X$7,O4930=TH!$X$7),"x","")</f>
        <v/>
      </c>
      <c r="Y4930" s="79" t="str">
        <f>IF(AND(OR(N4930="131",O4930="131"),H4930='131-CT'!$H$9),"x","")</f>
        <v/>
      </c>
      <c r="Z4930" s="79"/>
      <c r="AA4930" s="79" t="str">
        <f>IF(AND(MONTH(E4930)='IN-NX'!$J$5,'IN-NX'!$D$7=D4930),"x","")</f>
        <v/>
      </c>
      <c r="AB4930" s="79" t="str">
        <f>IF(AND(OR(LEFT(TH!N4930,2)="15",LEFT(TH!O4930,2)="15"),LEFT(TH!O4930,3)&lt;&gt;"111",'152-CT'!$J$8=TH!F4930),"x","")</f>
        <v/>
      </c>
      <c r="AC4930" s="79" t="str">
        <f>IF(AND(OR(LEFT(TH!N4930,2)="15",LEFT(TH!O4930,2)="15"),TK!$E$7=TH!F4930),"x","")</f>
        <v/>
      </c>
      <c r="AD4930" s="79" t="str">
        <f>IF(AND(N4930="1521",MONTH(C4930)='BK-NL'!$M$11),"x","")</f>
        <v/>
      </c>
    </row>
    <row r="4931" spans="1:30" ht="16.5" customHeight="1">
      <c r="A4931" s="318" t="str">
        <f>IF(B4931&lt;&gt;"",IF(AND(B4931='[3]IN-TC'!$S$4,OR([3]TH!N4162="1111",[3]TH!O4162="1111")),[3]TH!D4162,""),"")</f>
        <v/>
      </c>
      <c r="B4931" s="60" t="str">
        <f t="shared" si="482"/>
        <v/>
      </c>
      <c r="C4931" s="61"/>
      <c r="D4931" s="301"/>
      <c r="E4931" s="301"/>
      <c r="F4931" s="302"/>
      <c r="G4931" s="302"/>
      <c r="H4931" s="303"/>
      <c r="I4931" s="385"/>
      <c r="J4931" s="395"/>
      <c r="K4931" s="385"/>
      <c r="L4931" s="392"/>
      <c r="M4931" s="62"/>
      <c r="N4931" s="304"/>
      <c r="O4931" s="304"/>
      <c r="P4931" s="79" t="str">
        <f>IF(AND('331-CT'!$E$7=TH!H4931,OR(N4931="331",O4931="331")),"x","")</f>
        <v/>
      </c>
      <c r="Q4931" s="79" t="str">
        <f>IF(AND(B4931='111'!$L$11,OR($N4931=$Q$7,$O4931=$Q$7)),"x","")</f>
        <v/>
      </c>
      <c r="R4931" s="79" t="str">
        <f>IF(AND($N4931=$Q$7,$B4931&lt;'111'!$L$11),"x","")</f>
        <v/>
      </c>
      <c r="S4931" s="79" t="str">
        <f>IF(AND($O4931=$Q$7,$B4931&lt;'111'!$L$11),"x","")</f>
        <v/>
      </c>
      <c r="T4931" s="79" t="str">
        <f>IF(ISERROR(FIND('112'!$M$9,G4931,1)),"",IF((AND(FIND('112'!$M$9,G4931,1)&gt;=1,B4931='112'!$K$9,OR($N4931='112'!$I$6,$O4931='112'!$I$6))),"x",""))</f>
        <v/>
      </c>
      <c r="U4931" s="79" t="str">
        <f>IF(ISERROR(FIND('112'!$M$9,G4931,1)),"",IF((AND(LEFT(G4931,2)=LEFT('112'!$M$9,2),B4931&lt;'112'!$K$9,$N4931='112'!$I$6)),"x",""))</f>
        <v/>
      </c>
      <c r="V4931" s="79" t="str">
        <f>IF(ISERROR(FIND('112'!$M$9,G4931,1)),"",IF((AND(RIGHT(G4931,2)=RIGHT('112'!$M$9,2),B4931&lt;'112'!$K$9,$O4931='112'!$I$6)),"x",""))</f>
        <v/>
      </c>
      <c r="W4931" s="79" t="str">
        <f>IF(AND('341-CT'!$H$9=H4931,OR(LEFT(N4931,3)=$W$7,LEFT(O4931,3)=$W$7)),"x","")</f>
        <v/>
      </c>
      <c r="X4931" s="79" t="str">
        <f>IF(OR(TH!N4931=TH!$X$7,O4931=TH!$X$7),"x","")</f>
        <v/>
      </c>
      <c r="Y4931" s="79" t="str">
        <f>IF(AND(OR(N4931="131",O4931="131"),H4931='131-CT'!$H$9),"x","")</f>
        <v/>
      </c>
      <c r="Z4931" s="79"/>
      <c r="AA4931" s="79" t="str">
        <f>IF(AND(MONTH(E4931)='IN-NX'!$J$5,'IN-NX'!$D$7=D4931),"x","")</f>
        <v/>
      </c>
      <c r="AB4931" s="79" t="str">
        <f>IF(AND(OR(LEFT(TH!N4931,2)="15",LEFT(TH!O4931,2)="15"),LEFT(TH!O4931,3)&lt;&gt;"111",'152-CT'!$J$8=TH!F4931),"x","")</f>
        <v/>
      </c>
      <c r="AC4931" s="79" t="str">
        <f>IF(AND(OR(LEFT(TH!N4931,2)="15",LEFT(TH!O4931,2)="15"),TK!$E$7=TH!F4931),"x","")</f>
        <v/>
      </c>
      <c r="AD4931" s="79" t="str">
        <f>IF(AND(N4931="1521",MONTH(C4931)='BK-NL'!$M$11),"x","")</f>
        <v/>
      </c>
    </row>
    <row r="4932" spans="1:30" ht="16.5" customHeight="1">
      <c r="A4932" s="318" t="str">
        <f>IF(B4932&lt;&gt;"",IF(AND(B4932='[3]IN-TC'!$S$4,OR([3]TH!N4163="1111",[3]TH!O4163="1111")),[3]TH!D4163,""),"")</f>
        <v/>
      </c>
      <c r="B4932" s="60" t="str">
        <f t="shared" si="482"/>
        <v/>
      </c>
      <c r="C4932" s="61"/>
      <c r="D4932" s="301"/>
      <c r="E4932" s="301"/>
      <c r="F4932" s="302"/>
      <c r="G4932" s="302"/>
      <c r="H4932" s="303"/>
      <c r="I4932" s="385"/>
      <c r="J4932" s="395"/>
      <c r="K4932" s="385"/>
      <c r="L4932" s="392"/>
      <c r="M4932" s="62"/>
      <c r="N4932" s="304"/>
      <c r="O4932" s="304"/>
      <c r="P4932" s="79" t="str">
        <f>IF(AND('331-CT'!$E$7=TH!H4932,OR(N4932="331",O4932="331")),"x","")</f>
        <v/>
      </c>
      <c r="Q4932" s="79" t="str">
        <f>IF(AND(B4932='111'!$L$11,OR($N4932=$Q$7,$O4932=$Q$7)),"x","")</f>
        <v/>
      </c>
      <c r="R4932" s="79" t="str">
        <f>IF(AND($N4932=$Q$7,$B4932&lt;'111'!$L$11),"x","")</f>
        <v/>
      </c>
      <c r="S4932" s="79" t="str">
        <f>IF(AND($O4932=$Q$7,$B4932&lt;'111'!$L$11),"x","")</f>
        <v/>
      </c>
      <c r="T4932" s="79" t="str">
        <f>IF(ISERROR(FIND('112'!$M$9,G4932,1)),"",IF((AND(FIND('112'!$M$9,G4932,1)&gt;=1,B4932='112'!$K$9,OR($N4932='112'!$I$6,$O4932='112'!$I$6))),"x",""))</f>
        <v/>
      </c>
      <c r="U4932" s="79" t="str">
        <f>IF(ISERROR(FIND('112'!$M$9,G4932,1)),"",IF((AND(LEFT(G4932,2)=LEFT('112'!$M$9,2),B4932&lt;'112'!$K$9,$N4932='112'!$I$6)),"x",""))</f>
        <v/>
      </c>
      <c r="V4932" s="79" t="str">
        <f>IF(ISERROR(FIND('112'!$M$9,G4932,1)),"",IF((AND(RIGHT(G4932,2)=RIGHT('112'!$M$9,2),B4932&lt;'112'!$K$9,$O4932='112'!$I$6)),"x",""))</f>
        <v/>
      </c>
      <c r="W4932" s="79" t="str">
        <f>IF(AND('341-CT'!$H$9=H4932,OR(LEFT(N4932,3)=$W$7,LEFT(O4932,3)=$W$7)),"x","")</f>
        <v/>
      </c>
      <c r="X4932" s="79" t="str">
        <f>IF(OR(TH!N4932=TH!$X$7,O4932=TH!$X$7),"x","")</f>
        <v/>
      </c>
      <c r="Y4932" s="79" t="str">
        <f>IF(AND(OR(N4932="131",O4932="131"),H4932='131-CT'!$H$9),"x","")</f>
        <v/>
      </c>
      <c r="Z4932" s="79"/>
      <c r="AA4932" s="79" t="str">
        <f>IF(AND(MONTH(E4932)='IN-NX'!$J$5,'IN-NX'!$D$7=D4932),"x","")</f>
        <v/>
      </c>
      <c r="AB4932" s="79" t="str">
        <f>IF(AND(OR(LEFT(TH!N4932,2)="15",LEFT(TH!O4932,2)="15"),LEFT(TH!O4932,3)&lt;&gt;"111",'152-CT'!$J$8=TH!F4932),"x","")</f>
        <v/>
      </c>
      <c r="AC4932" s="79" t="str">
        <f>IF(AND(OR(LEFT(TH!N4932,2)="15",LEFT(TH!O4932,2)="15"),TK!$E$7=TH!F4932),"x","")</f>
        <v/>
      </c>
      <c r="AD4932" s="79" t="str">
        <f>IF(AND(N4932="1521",MONTH(C4932)='BK-NL'!$M$11),"x","")</f>
        <v/>
      </c>
    </row>
    <row r="4933" spans="1:30" ht="16.5" customHeight="1">
      <c r="A4933" s="318" t="str">
        <f>IF(B4933&lt;&gt;"",IF(AND(B4933='[3]IN-TC'!$S$4,OR([3]TH!N4164="1111",[3]TH!O4164="1111")),[3]TH!D4164,""),"")</f>
        <v/>
      </c>
      <c r="B4933" s="60" t="str">
        <f t="shared" si="482"/>
        <v/>
      </c>
      <c r="C4933" s="61"/>
      <c r="D4933" s="301"/>
      <c r="E4933" s="301"/>
      <c r="F4933" s="302"/>
      <c r="G4933" s="302"/>
      <c r="H4933" s="303"/>
      <c r="I4933" s="385"/>
      <c r="J4933" s="395"/>
      <c r="K4933" s="385"/>
      <c r="L4933" s="392"/>
      <c r="M4933" s="62"/>
      <c r="N4933" s="304"/>
      <c r="O4933" s="304"/>
      <c r="P4933" s="79" t="str">
        <f>IF(AND('331-CT'!$E$7=TH!H4933,OR(N4933="331",O4933="331")),"x","")</f>
        <v/>
      </c>
      <c r="Q4933" s="79" t="str">
        <f>IF(AND(B4933='111'!$L$11,OR($N4933=$Q$7,$O4933=$Q$7)),"x","")</f>
        <v/>
      </c>
      <c r="R4933" s="79" t="str">
        <f>IF(AND($N4933=$Q$7,$B4933&lt;'111'!$L$11),"x","")</f>
        <v/>
      </c>
      <c r="S4933" s="79" t="str">
        <f>IF(AND($O4933=$Q$7,$B4933&lt;'111'!$L$11),"x","")</f>
        <v/>
      </c>
      <c r="T4933" s="79" t="str">
        <f>IF(ISERROR(FIND('112'!$M$9,G4933,1)),"",IF((AND(FIND('112'!$M$9,G4933,1)&gt;=1,B4933='112'!$K$9,OR($N4933='112'!$I$6,$O4933='112'!$I$6))),"x",""))</f>
        <v/>
      </c>
      <c r="U4933" s="79" t="str">
        <f>IF(ISERROR(FIND('112'!$M$9,G4933,1)),"",IF((AND(LEFT(G4933,2)=LEFT('112'!$M$9,2),B4933&lt;'112'!$K$9,$N4933='112'!$I$6)),"x",""))</f>
        <v/>
      </c>
      <c r="V4933" s="79" t="str">
        <f>IF(ISERROR(FIND('112'!$M$9,G4933,1)),"",IF((AND(RIGHT(G4933,2)=RIGHT('112'!$M$9,2),B4933&lt;'112'!$K$9,$O4933='112'!$I$6)),"x",""))</f>
        <v/>
      </c>
      <c r="W4933" s="79" t="str">
        <f>IF(AND('341-CT'!$H$9=H4933,OR(LEFT(N4933,3)=$W$7,LEFT(O4933,3)=$W$7)),"x","")</f>
        <v/>
      </c>
      <c r="X4933" s="79" t="str">
        <f>IF(OR(TH!N4933=TH!$X$7,O4933=TH!$X$7),"x","")</f>
        <v/>
      </c>
      <c r="Y4933" s="79" t="str">
        <f>IF(AND(OR(N4933="131",O4933="131"),H4933='131-CT'!$H$9),"x","")</f>
        <v/>
      </c>
      <c r="Z4933" s="79"/>
      <c r="AA4933" s="79" t="str">
        <f>IF(AND(MONTH(E4933)='IN-NX'!$J$5,'IN-NX'!$D$7=D4933),"x","")</f>
        <v/>
      </c>
      <c r="AB4933" s="79" t="str">
        <f>IF(AND(OR(LEFT(TH!N4933,2)="15",LEFT(TH!O4933,2)="15"),LEFT(TH!O4933,3)&lt;&gt;"111",'152-CT'!$J$8=TH!F4933),"x","")</f>
        <v/>
      </c>
      <c r="AC4933" s="79" t="str">
        <f>IF(AND(OR(LEFT(TH!N4933,2)="15",LEFT(TH!O4933,2)="15"),TK!$E$7=TH!F4933),"x","")</f>
        <v/>
      </c>
      <c r="AD4933" s="79" t="str">
        <f>IF(AND(N4933="1521",MONTH(C4933)='BK-NL'!$M$11),"x","")</f>
        <v/>
      </c>
    </row>
    <row r="4934" spans="1:30" ht="16.5" customHeight="1">
      <c r="A4934" s="318" t="str">
        <f>IF(B4934&lt;&gt;"",IF(AND(B4934='[3]IN-TC'!$S$4,OR([3]TH!N4165="1111",[3]TH!O4165="1111")),[3]TH!D4165,""),"")</f>
        <v/>
      </c>
      <c r="B4934" s="60" t="str">
        <f t="shared" si="482"/>
        <v/>
      </c>
      <c r="C4934" s="61"/>
      <c r="D4934" s="61"/>
      <c r="E4934" s="61"/>
      <c r="F4934" s="64"/>
      <c r="G4934" s="64"/>
      <c r="H4934" s="69"/>
      <c r="I4934" s="385"/>
      <c r="J4934" s="395"/>
      <c r="K4934" s="385"/>
      <c r="L4934" s="392"/>
      <c r="M4934" s="62"/>
      <c r="N4934" s="63"/>
      <c r="O4934" s="63"/>
      <c r="P4934" s="79" t="str">
        <f>IF(AND('331-CT'!$E$7=TH!H4934,OR(N4934="331",O4934="331")),"x","")</f>
        <v/>
      </c>
      <c r="Q4934" s="79" t="str">
        <f>IF(AND(B4934='111'!$L$11,OR($N4934=$Q$7,$O4934=$Q$7)),"x","")</f>
        <v/>
      </c>
      <c r="R4934" s="79" t="str">
        <f>IF(AND($N4934=$Q$7,$B4934&lt;'111'!$L$11),"x","")</f>
        <v/>
      </c>
      <c r="S4934" s="79" t="str">
        <f>IF(AND($O4934=$Q$7,$B4934&lt;'111'!$L$11),"x","")</f>
        <v/>
      </c>
      <c r="T4934" s="79" t="str">
        <f>IF(ISERROR(FIND('112'!$M$9,G4934,1)),"",IF((AND(FIND('112'!$M$9,G4934,1)&gt;=1,B4934='112'!$K$9,OR($N4934='112'!$I$6,$O4934='112'!$I$6))),"x",""))</f>
        <v/>
      </c>
      <c r="U4934" s="79" t="str">
        <f>IF(ISERROR(FIND('112'!$M$9,G4934,1)),"",IF((AND(LEFT(G4934,2)=LEFT('112'!$M$9,2),B4934&lt;'112'!$K$9,$N4934='112'!$I$6)),"x",""))</f>
        <v/>
      </c>
      <c r="V4934" s="79" t="str">
        <f>IF(ISERROR(FIND('112'!$M$9,G4934,1)),"",IF((AND(RIGHT(G4934,2)=RIGHT('112'!$M$9,2),B4934&lt;'112'!$K$9,$O4934='112'!$I$6)),"x",""))</f>
        <v/>
      </c>
      <c r="W4934" s="79" t="str">
        <f>IF(AND('341-CT'!$H$9=H4934,OR(LEFT(N4934,3)=$W$7,LEFT(O4934,3)=$W$7)),"x","")</f>
        <v/>
      </c>
      <c r="X4934" s="79" t="str">
        <f>IF(OR(TH!N4934=TH!$X$7,O4934=TH!$X$7),"x","")</f>
        <v/>
      </c>
      <c r="Y4934" s="79" t="str">
        <f>IF(AND(OR(N4934="131",O4934="131"),H4934='131-CT'!$H$9),"x","")</f>
        <v/>
      </c>
      <c r="Z4934" s="79"/>
      <c r="AA4934" s="79" t="str">
        <f>IF(AND(MONTH(E4934)='IN-NX'!$J$5,'IN-NX'!$D$7=D4934),"x","")</f>
        <v/>
      </c>
      <c r="AB4934" s="79" t="str">
        <f>IF(AND(OR(LEFT(TH!N4934,2)="15",LEFT(TH!O4934,2)="15"),LEFT(TH!O4934,3)&lt;&gt;"111",'152-CT'!$J$8=TH!F4934),"x","")</f>
        <v/>
      </c>
      <c r="AC4934" s="79" t="str">
        <f>IF(AND(OR(LEFT(TH!N4934,2)="15",LEFT(TH!O4934,2)="15"),TK!$E$7=TH!F4934),"x","")</f>
        <v/>
      </c>
      <c r="AD4934" s="79" t="str">
        <f>IF(AND(N4934="1521",MONTH(C4934)='BK-NL'!$M$11),"x","")</f>
        <v/>
      </c>
    </row>
    <row r="4935" spans="1:30" ht="16.5" customHeight="1">
      <c r="A4935" s="318" t="str">
        <f>IF(B4935&lt;&gt;"",IF(AND(B4935='[3]IN-TC'!$S$4,OR([3]TH!N4166="1111",[3]TH!O4166="1111")),[3]TH!D4166,""),"")</f>
        <v/>
      </c>
      <c r="B4935" s="60" t="str">
        <f t="shared" si="482"/>
        <v/>
      </c>
      <c r="C4935" s="61"/>
      <c r="D4935" s="61"/>
      <c r="E4935" s="61"/>
      <c r="F4935" s="302"/>
      <c r="G4935" s="64"/>
      <c r="H4935" s="69"/>
      <c r="I4935" s="385"/>
      <c r="J4935" s="395"/>
      <c r="K4935" s="385"/>
      <c r="L4935" s="392"/>
      <c r="M4935" s="62"/>
      <c r="N4935" s="63"/>
      <c r="O4935" s="63"/>
      <c r="P4935" s="79" t="str">
        <f>IF(AND('331-CT'!$E$7=TH!H4935,OR(N4935="331",O4935="331")),"x","")</f>
        <v/>
      </c>
      <c r="Q4935" s="79" t="str">
        <f>IF(AND(B4935='111'!$L$11,OR($N4935=$Q$7,$O4935=$Q$7)),"x","")</f>
        <v/>
      </c>
      <c r="R4935" s="79" t="str">
        <f>IF(AND($N4935=$Q$7,$B4935&lt;'111'!$L$11),"x","")</f>
        <v/>
      </c>
      <c r="S4935" s="79" t="str">
        <f>IF(AND($O4935=$Q$7,$B4935&lt;'111'!$L$11),"x","")</f>
        <v/>
      </c>
      <c r="T4935" s="79" t="str">
        <f>IF(ISERROR(FIND('112'!$M$9,G4935,1)),"",IF((AND(FIND('112'!$M$9,G4935,1)&gt;=1,B4935='112'!$K$9,OR($N4935='112'!$I$6,$O4935='112'!$I$6))),"x",""))</f>
        <v/>
      </c>
      <c r="U4935" s="79" t="str">
        <f>IF(ISERROR(FIND('112'!$M$9,G4935,1)),"",IF((AND(LEFT(G4935,2)=LEFT('112'!$M$9,2),B4935&lt;'112'!$K$9,$N4935='112'!$I$6)),"x",""))</f>
        <v/>
      </c>
      <c r="V4935" s="79" t="str">
        <f>IF(ISERROR(FIND('112'!$M$9,G4935,1)),"",IF((AND(RIGHT(G4935,2)=RIGHT('112'!$M$9,2),B4935&lt;'112'!$K$9,$O4935='112'!$I$6)),"x",""))</f>
        <v/>
      </c>
      <c r="W4935" s="79" t="str">
        <f>IF(AND('341-CT'!$H$9=H4935,OR(LEFT(N4935,3)=$W$7,LEFT(O4935,3)=$W$7)),"x","")</f>
        <v/>
      </c>
      <c r="X4935" s="79" t="str">
        <f>IF(OR(TH!N4935=TH!$X$7,O4935=TH!$X$7),"x","")</f>
        <v/>
      </c>
      <c r="Y4935" s="79" t="str">
        <f>IF(AND(OR(N4935="131",O4935="131"),H4935='131-CT'!$H$9),"x","")</f>
        <v/>
      </c>
      <c r="Z4935" s="79"/>
      <c r="AA4935" s="79" t="str">
        <f>IF(AND(MONTH(E4935)='IN-NX'!$J$5,'IN-NX'!$D$7=D4935),"x","")</f>
        <v/>
      </c>
      <c r="AB4935" s="79" t="str">
        <f>IF(AND(OR(LEFT(TH!N4935,2)="15",LEFT(TH!O4935,2)="15"),LEFT(TH!O4935,3)&lt;&gt;"111",'152-CT'!$J$8=TH!F4935),"x","")</f>
        <v/>
      </c>
      <c r="AC4935" s="79" t="str">
        <f>IF(AND(OR(LEFT(TH!N4935,2)="15",LEFT(TH!O4935,2)="15"),TK!$E$7=TH!F4935),"x","")</f>
        <v/>
      </c>
      <c r="AD4935" s="79" t="str">
        <f>IF(AND(N4935="1521",MONTH(C4935)='BK-NL'!$M$11),"x","")</f>
        <v/>
      </c>
    </row>
    <row r="4936" spans="1:30" ht="16.5" customHeight="1">
      <c r="A4936" s="318" t="str">
        <f>IF(B4936&lt;&gt;"",IF(AND(B4936='[3]IN-TC'!$S$4,OR([3]TH!N4167="1111",[3]TH!O4167="1111")),[3]TH!D4167,""),"")</f>
        <v/>
      </c>
      <c r="B4936" s="60" t="str">
        <f t="shared" si="482"/>
        <v/>
      </c>
      <c r="C4936" s="61"/>
      <c r="D4936" s="61"/>
      <c r="E4936" s="61"/>
      <c r="F4936" s="64"/>
      <c r="G4936" s="64"/>
      <c r="H4936" s="69"/>
      <c r="I4936" s="385"/>
      <c r="J4936" s="395"/>
      <c r="K4936" s="385"/>
      <c r="L4936" s="392"/>
      <c r="M4936" s="62"/>
      <c r="N4936" s="63"/>
      <c r="O4936" s="63"/>
      <c r="P4936" s="79" t="str">
        <f>IF(AND('331-CT'!$E$7=TH!H4936,OR(N4936="331",O4936="331")),"x","")</f>
        <v/>
      </c>
      <c r="Q4936" s="79" t="str">
        <f>IF(AND(B4936='111'!$L$11,OR($N4936=$Q$7,$O4936=$Q$7)),"x","")</f>
        <v/>
      </c>
      <c r="R4936" s="79" t="str">
        <f>IF(AND($N4936=$Q$7,$B4936&lt;'111'!$L$11),"x","")</f>
        <v/>
      </c>
      <c r="S4936" s="79" t="str">
        <f>IF(AND($O4936=$Q$7,$B4936&lt;'111'!$L$11),"x","")</f>
        <v/>
      </c>
      <c r="T4936" s="79" t="str">
        <f>IF(ISERROR(FIND('112'!$M$9,G4936,1)),"",IF((AND(FIND('112'!$M$9,G4936,1)&gt;=1,B4936='112'!$K$9,OR($N4936='112'!$I$6,$O4936='112'!$I$6))),"x",""))</f>
        <v/>
      </c>
      <c r="U4936" s="79" t="str">
        <f>IF(ISERROR(FIND('112'!$M$9,G4936,1)),"",IF((AND(LEFT(G4936,2)=LEFT('112'!$M$9,2),B4936&lt;'112'!$K$9,$N4936='112'!$I$6)),"x",""))</f>
        <v/>
      </c>
      <c r="V4936" s="79" t="str">
        <f>IF(ISERROR(FIND('112'!$M$9,G4936,1)),"",IF((AND(RIGHT(G4936,2)=RIGHT('112'!$M$9,2),B4936&lt;'112'!$K$9,$O4936='112'!$I$6)),"x",""))</f>
        <v/>
      </c>
      <c r="W4936" s="79" t="str">
        <f>IF(AND('341-CT'!$H$9=H4936,OR(LEFT(N4936,3)=$W$7,LEFT(O4936,3)=$W$7)),"x","")</f>
        <v/>
      </c>
      <c r="X4936" s="79" t="str">
        <f>IF(OR(TH!N4936=TH!$X$7,O4936=TH!$X$7),"x","")</f>
        <v/>
      </c>
      <c r="Y4936" s="79" t="str">
        <f>IF(AND(OR(N4936="131",O4936="131"),H4936='131-CT'!$H$9),"x","")</f>
        <v/>
      </c>
      <c r="Z4936" s="79"/>
      <c r="AA4936" s="79" t="str">
        <f>IF(AND(MONTH(E4936)='IN-NX'!$J$5,'IN-NX'!$D$7=D4936),"x","")</f>
        <v/>
      </c>
      <c r="AB4936" s="79" t="str">
        <f>IF(AND(OR(LEFT(TH!N4936,2)="15",LEFT(TH!O4936,2)="15"),LEFT(TH!O4936,3)&lt;&gt;"111",'152-CT'!$J$8=TH!F4936),"x","")</f>
        <v/>
      </c>
      <c r="AC4936" s="79" t="str">
        <f>IF(AND(OR(LEFT(TH!N4936,2)="15",LEFT(TH!O4936,2)="15"),TK!$E$7=TH!F4936),"x","")</f>
        <v/>
      </c>
      <c r="AD4936" s="79" t="str">
        <f>IF(AND(N4936="1521",MONTH(C4936)='BK-NL'!$M$11),"x","")</f>
        <v/>
      </c>
    </row>
    <row r="4937" spans="1:30" ht="16.5" customHeight="1">
      <c r="A4937" s="318" t="str">
        <f>IF(B4937&lt;&gt;"",IF(AND(B4937='[3]IN-TC'!$S$4,OR([3]TH!N4168="1111",[3]TH!O4168="1111")),[3]TH!D4168,""),"")</f>
        <v/>
      </c>
      <c r="B4937" s="60" t="str">
        <f t="shared" si="482"/>
        <v/>
      </c>
      <c r="C4937" s="61"/>
      <c r="D4937" s="61"/>
      <c r="E4937" s="61"/>
      <c r="F4937" s="302"/>
      <c r="G4937" s="64"/>
      <c r="H4937" s="303"/>
      <c r="I4937" s="385"/>
      <c r="J4937" s="395"/>
      <c r="K4937" s="385"/>
      <c r="L4937" s="392"/>
      <c r="M4937" s="62"/>
      <c r="N4937" s="63"/>
      <c r="O4937" s="63"/>
      <c r="P4937" s="79" t="str">
        <f>IF(AND('331-CT'!$E$7=TH!H4937,OR(N4937="331",O4937="331")),"x","")</f>
        <v/>
      </c>
      <c r="Q4937" s="79" t="str">
        <f>IF(AND(B4937='111'!$L$11,OR($N4937=$Q$7,$O4937=$Q$7)),"x","")</f>
        <v/>
      </c>
      <c r="R4937" s="79" t="str">
        <f>IF(AND($N4937=$Q$7,$B4937&lt;'111'!$L$11),"x","")</f>
        <v/>
      </c>
      <c r="S4937" s="79" t="str">
        <f>IF(AND($O4937=$Q$7,$B4937&lt;'111'!$L$11),"x","")</f>
        <v/>
      </c>
      <c r="T4937" s="79" t="str">
        <f>IF(ISERROR(FIND('112'!$M$9,G4937,1)),"",IF((AND(FIND('112'!$M$9,G4937,1)&gt;=1,B4937='112'!$K$9,OR($N4937='112'!$I$6,$O4937='112'!$I$6))),"x",""))</f>
        <v/>
      </c>
      <c r="U4937" s="79" t="str">
        <f>IF(ISERROR(FIND('112'!$M$9,G4937,1)),"",IF((AND(LEFT(G4937,2)=LEFT('112'!$M$9,2),B4937&lt;'112'!$K$9,$N4937='112'!$I$6)),"x",""))</f>
        <v/>
      </c>
      <c r="V4937" s="79" t="str">
        <f>IF(ISERROR(FIND('112'!$M$9,G4937,1)),"",IF((AND(RIGHT(G4937,2)=RIGHT('112'!$M$9,2),B4937&lt;'112'!$K$9,$O4937='112'!$I$6)),"x",""))</f>
        <v/>
      </c>
      <c r="W4937" s="79" t="str">
        <f>IF(AND('341-CT'!$H$9=H4937,OR(LEFT(N4937,3)=$W$7,LEFT(O4937,3)=$W$7)),"x","")</f>
        <v/>
      </c>
      <c r="X4937" s="79" t="str">
        <f>IF(OR(TH!N4937=TH!$X$7,O4937=TH!$X$7),"x","")</f>
        <v/>
      </c>
      <c r="Y4937" s="79" t="str">
        <f>IF(AND(OR(N4937="131",O4937="131"),H4937='131-CT'!$H$9),"x","")</f>
        <v/>
      </c>
      <c r="Z4937" s="79"/>
      <c r="AA4937" s="79" t="str">
        <f>IF(AND(MONTH(E4937)='IN-NX'!$J$5,'IN-NX'!$D$7=D4937),"x","")</f>
        <v/>
      </c>
      <c r="AB4937" s="79" t="str">
        <f>IF(AND(OR(LEFT(TH!N4937,2)="15",LEFT(TH!O4937,2)="15"),LEFT(TH!O4937,3)&lt;&gt;"111",'152-CT'!$J$8=TH!F4937),"x","")</f>
        <v/>
      </c>
      <c r="AC4937" s="79" t="str">
        <f>IF(AND(OR(LEFT(TH!N4937,2)="15",LEFT(TH!O4937,2)="15"),TK!$E$7=TH!F4937),"x","")</f>
        <v/>
      </c>
      <c r="AD4937" s="79" t="str">
        <f>IF(AND(N4937="1521",MONTH(C4937)='BK-NL'!$M$11),"x","")</f>
        <v/>
      </c>
    </row>
    <row r="4938" spans="1:30" ht="16.5" customHeight="1">
      <c r="A4938" s="318" t="str">
        <f>IF(B4938&lt;&gt;"",IF(AND(B4938='[3]IN-TC'!$S$4,OR([3]TH!N4169="1111",[3]TH!O4169="1111")),[3]TH!D4169,""),"")</f>
        <v/>
      </c>
      <c r="B4938" s="60" t="str">
        <f t="shared" si="482"/>
        <v/>
      </c>
      <c r="C4938" s="61"/>
      <c r="D4938" s="61"/>
      <c r="E4938" s="61"/>
      <c r="F4938" s="64"/>
      <c r="G4938" s="64"/>
      <c r="H4938" s="69"/>
      <c r="I4938" s="385"/>
      <c r="J4938" s="395"/>
      <c r="K4938" s="385"/>
      <c r="L4938" s="392"/>
      <c r="M4938" s="62"/>
      <c r="N4938" s="63"/>
      <c r="O4938" s="63"/>
      <c r="P4938" s="79" t="str">
        <f>IF(AND('331-CT'!$E$7=TH!H4938,OR(N4938="331",O4938="331")),"x","")</f>
        <v/>
      </c>
      <c r="Q4938" s="79" t="str">
        <f>IF(AND(B4938='111'!$L$11,OR($N4938=$Q$7,$O4938=$Q$7)),"x","")</f>
        <v/>
      </c>
      <c r="R4938" s="79" t="str">
        <f>IF(AND($N4938=$Q$7,$B4938&lt;'111'!$L$11),"x","")</f>
        <v/>
      </c>
      <c r="S4938" s="79" t="str">
        <f>IF(AND($O4938=$Q$7,$B4938&lt;'111'!$L$11),"x","")</f>
        <v/>
      </c>
      <c r="T4938" s="79" t="str">
        <f>IF(ISERROR(FIND('112'!$M$9,G4938,1)),"",IF((AND(FIND('112'!$M$9,G4938,1)&gt;=1,B4938='112'!$K$9,OR($N4938='112'!$I$6,$O4938='112'!$I$6))),"x",""))</f>
        <v/>
      </c>
      <c r="U4938" s="79" t="str">
        <f>IF(ISERROR(FIND('112'!$M$9,G4938,1)),"",IF((AND(LEFT(G4938,2)=LEFT('112'!$M$9,2),B4938&lt;'112'!$K$9,$N4938='112'!$I$6)),"x",""))</f>
        <v/>
      </c>
      <c r="V4938" s="79" t="str">
        <f>IF(ISERROR(FIND('112'!$M$9,G4938,1)),"",IF((AND(RIGHT(G4938,2)=RIGHT('112'!$M$9,2),B4938&lt;'112'!$K$9,$O4938='112'!$I$6)),"x",""))</f>
        <v/>
      </c>
      <c r="W4938" s="79" t="str">
        <f>IF(AND('341-CT'!$H$9=H4938,OR(LEFT(N4938,3)=$W$7,LEFT(O4938,3)=$W$7)),"x","")</f>
        <v/>
      </c>
      <c r="X4938" s="79" t="str">
        <f>IF(OR(TH!N4938=TH!$X$7,O4938=TH!$X$7),"x","")</f>
        <v/>
      </c>
      <c r="Y4938" s="79" t="str">
        <f>IF(AND(OR(N4938="131",O4938="131"),H4938='131-CT'!$H$9),"x","")</f>
        <v/>
      </c>
      <c r="Z4938" s="79"/>
      <c r="AA4938" s="79" t="str">
        <f>IF(AND(MONTH(E4938)='IN-NX'!$J$5,'IN-NX'!$D$7=D4938),"x","")</f>
        <v/>
      </c>
      <c r="AB4938" s="79" t="str">
        <f>IF(AND(OR(LEFT(TH!N4938,2)="15",LEFT(TH!O4938,2)="15"),LEFT(TH!O4938,3)&lt;&gt;"111",'152-CT'!$J$8=TH!F4938),"x","")</f>
        <v/>
      </c>
      <c r="AC4938" s="79" t="str">
        <f>IF(AND(OR(LEFT(TH!N4938,2)="15",LEFT(TH!O4938,2)="15"),TK!$E$7=TH!F4938),"x","")</f>
        <v/>
      </c>
      <c r="AD4938" s="79" t="str">
        <f>IF(AND(N4938="1521",MONTH(C4938)='BK-NL'!$M$11),"x","")</f>
        <v/>
      </c>
    </row>
    <row r="4939" spans="1:30" ht="16.5" customHeight="1">
      <c r="A4939" s="318" t="str">
        <f>IF(B4939&lt;&gt;"",IF(AND(B4939='[3]IN-TC'!$S$4,OR([3]TH!N4170="1111",[3]TH!O4170="1111")),[3]TH!D4170,""),"")</f>
        <v/>
      </c>
      <c r="B4939" s="60" t="str">
        <f t="shared" si="482"/>
        <v/>
      </c>
      <c r="C4939" s="61"/>
      <c r="D4939" s="61"/>
      <c r="E4939" s="61"/>
      <c r="F4939" s="64"/>
      <c r="G4939" s="64"/>
      <c r="H4939" s="303"/>
      <c r="I4939" s="387"/>
      <c r="J4939" s="395"/>
      <c r="K4939" s="387"/>
      <c r="L4939" s="394"/>
      <c r="M4939" s="62"/>
      <c r="N4939" s="63"/>
      <c r="O4939" s="63"/>
      <c r="P4939" s="79" t="str">
        <f>IF(AND('331-CT'!$E$7=TH!H4939,OR(N4939="331",O4939="331")),"x","")</f>
        <v/>
      </c>
      <c r="Q4939" s="79" t="str">
        <f>IF(AND(B4939='111'!$L$11,OR($N4939=$Q$7,$O4939=$Q$7)),"x","")</f>
        <v/>
      </c>
      <c r="R4939" s="79" t="str">
        <f>IF(AND($N4939=$Q$7,$B4939&lt;'111'!$L$11),"x","")</f>
        <v/>
      </c>
      <c r="S4939" s="79" t="str">
        <f>IF(AND($O4939=$Q$7,$B4939&lt;'111'!$L$11),"x","")</f>
        <v/>
      </c>
      <c r="T4939" s="79" t="str">
        <f>IF(ISERROR(FIND('112'!$M$9,G4939,1)),"",IF((AND(FIND('112'!$M$9,G4939,1)&gt;=1,B4939='112'!$K$9,OR($N4939='112'!$I$6,$O4939='112'!$I$6))),"x",""))</f>
        <v/>
      </c>
      <c r="U4939" s="79" t="str">
        <f>IF(ISERROR(FIND('112'!$M$9,G4939,1)),"",IF((AND(LEFT(G4939,2)=LEFT('112'!$M$9,2),B4939&lt;'112'!$K$9,$N4939='112'!$I$6)),"x",""))</f>
        <v/>
      </c>
      <c r="V4939" s="79" t="str">
        <f>IF(ISERROR(FIND('112'!$M$9,G4939,1)),"",IF((AND(RIGHT(G4939,2)=RIGHT('112'!$M$9,2),B4939&lt;'112'!$K$9,$O4939='112'!$I$6)),"x",""))</f>
        <v/>
      </c>
      <c r="W4939" s="79" t="str">
        <f>IF(AND('341-CT'!$H$9=H4939,OR(LEFT(N4939,3)=$W$7,LEFT(O4939,3)=$W$7)),"x","")</f>
        <v/>
      </c>
      <c r="X4939" s="79" t="str">
        <f>IF(OR(TH!N4939=TH!$X$7,O4939=TH!$X$7),"x","")</f>
        <v/>
      </c>
      <c r="Y4939" s="79" t="str">
        <f>IF(AND(OR(N4939="131",O4939="131"),H4939='131-CT'!$H$9),"x","")</f>
        <v/>
      </c>
      <c r="Z4939" s="79"/>
      <c r="AA4939" s="79" t="str">
        <f>IF(AND(MONTH(E4939)='IN-NX'!$J$5,'IN-NX'!$D$7=D4939),"x","")</f>
        <v/>
      </c>
      <c r="AB4939" s="79" t="str">
        <f>IF(AND(OR(LEFT(TH!N4939,2)="15",LEFT(TH!O4939,2)="15"),LEFT(TH!O4939,3)&lt;&gt;"111",'152-CT'!$J$8=TH!F4939),"x","")</f>
        <v/>
      </c>
      <c r="AC4939" s="79" t="str">
        <f>IF(AND(OR(LEFT(TH!N4939,2)="15",LEFT(TH!O4939,2)="15"),TK!$E$7=TH!F4939),"x","")</f>
        <v/>
      </c>
      <c r="AD4939" s="79" t="str">
        <f>IF(AND(N4939="1521",MONTH(C4939)='BK-NL'!$M$11),"x","")</f>
        <v/>
      </c>
    </row>
    <row r="4940" spans="1:30" ht="16.5" customHeight="1">
      <c r="A4940" s="318" t="str">
        <f>IF(B4940&lt;&gt;"",IF(AND(B4940='[3]IN-TC'!$S$4,OR([3]TH!N4171="1111",[3]TH!O4171="1111")),[3]TH!D4171,""),"")</f>
        <v/>
      </c>
      <c r="B4940" s="60" t="str">
        <f t="shared" si="482"/>
        <v/>
      </c>
      <c r="C4940" s="61"/>
      <c r="D4940" s="61"/>
      <c r="E4940" s="61"/>
      <c r="F4940" s="64"/>
      <c r="G4940" s="64"/>
      <c r="H4940" s="303"/>
      <c r="I4940" s="387"/>
      <c r="J4940" s="395"/>
      <c r="K4940" s="387"/>
      <c r="L4940" s="394"/>
      <c r="M4940" s="62"/>
      <c r="N4940" s="63"/>
      <c r="O4940" s="63"/>
      <c r="P4940" s="79" t="str">
        <f>IF(AND('331-CT'!$E$7=TH!H4940,OR(N4940="331",O4940="331")),"x","")</f>
        <v/>
      </c>
      <c r="Q4940" s="79" t="str">
        <f>IF(AND(B4940='111'!$L$11,OR($N4940=$Q$7,$O4940=$Q$7)),"x","")</f>
        <v/>
      </c>
      <c r="R4940" s="79" t="str">
        <f>IF(AND($N4940=$Q$7,$B4940&lt;'111'!$L$11),"x","")</f>
        <v/>
      </c>
      <c r="S4940" s="79" t="str">
        <f>IF(AND($O4940=$Q$7,$B4940&lt;'111'!$L$11),"x","")</f>
        <v/>
      </c>
      <c r="T4940" s="79" t="str">
        <f>IF(ISERROR(FIND('112'!$M$9,G4940,1)),"",IF((AND(FIND('112'!$M$9,G4940,1)&gt;=1,B4940='112'!$K$9,OR($N4940='112'!$I$6,$O4940='112'!$I$6))),"x",""))</f>
        <v/>
      </c>
      <c r="U4940" s="79" t="str">
        <f>IF(ISERROR(FIND('112'!$M$9,G4940,1)),"",IF((AND(LEFT(G4940,2)=LEFT('112'!$M$9,2),B4940&lt;'112'!$K$9,$N4940='112'!$I$6)),"x",""))</f>
        <v/>
      </c>
      <c r="V4940" s="79" t="str">
        <f>IF(ISERROR(FIND('112'!$M$9,G4940,1)),"",IF((AND(RIGHT(G4940,2)=RIGHT('112'!$M$9,2),B4940&lt;'112'!$K$9,$O4940='112'!$I$6)),"x",""))</f>
        <v/>
      </c>
      <c r="W4940" s="79" t="str">
        <f>IF(AND('341-CT'!$H$9=H4940,OR(LEFT(N4940,3)=$W$7,LEFT(O4940,3)=$W$7)),"x","")</f>
        <v/>
      </c>
      <c r="X4940" s="79" t="str">
        <f>IF(OR(TH!N4940=TH!$X$7,O4940=TH!$X$7),"x","")</f>
        <v/>
      </c>
      <c r="Y4940" s="79" t="str">
        <f>IF(AND(OR(N4940="131",O4940="131"),H4940='131-CT'!$H$9),"x","")</f>
        <v/>
      </c>
      <c r="Z4940" s="79"/>
      <c r="AA4940" s="79" t="str">
        <f>IF(AND(MONTH(E4940)='IN-NX'!$J$5,'IN-NX'!$D$7=D4940),"x","")</f>
        <v/>
      </c>
      <c r="AB4940" s="79" t="str">
        <f>IF(AND(OR(LEFT(TH!N4940,2)="15",LEFT(TH!O4940,2)="15"),LEFT(TH!O4940,3)&lt;&gt;"111",'152-CT'!$J$8=TH!F4940),"x","")</f>
        <v/>
      </c>
      <c r="AC4940" s="79" t="str">
        <f>IF(AND(OR(LEFT(TH!N4940,2)="15",LEFT(TH!O4940,2)="15"),TK!$E$7=TH!F4940),"x","")</f>
        <v/>
      </c>
      <c r="AD4940" s="79" t="str">
        <f>IF(AND(N4940="1521",MONTH(C4940)='BK-NL'!$M$11),"x","")</f>
        <v/>
      </c>
    </row>
    <row r="4941" spans="1:30" ht="16.5" customHeight="1">
      <c r="A4941" s="318" t="str">
        <f>IF(B4941&lt;&gt;"",IF(AND(B4941='[3]IN-TC'!$S$4,OR([3]TH!N4172="1111",[3]TH!O4172="1111")),[3]TH!D4172,""),"")</f>
        <v/>
      </c>
      <c r="B4941" s="60" t="str">
        <f t="shared" si="482"/>
        <v/>
      </c>
      <c r="C4941" s="61"/>
      <c r="D4941" s="301"/>
      <c r="E4941" s="301"/>
      <c r="F4941" s="302"/>
      <c r="G4941" s="302"/>
      <c r="H4941" s="303"/>
      <c r="I4941" s="385"/>
      <c r="J4941" s="395"/>
      <c r="K4941" s="385"/>
      <c r="L4941" s="392"/>
      <c r="M4941" s="62"/>
      <c r="N4941" s="304"/>
      <c r="O4941" s="304"/>
      <c r="P4941" s="79" t="str">
        <f>IF(AND('331-CT'!$E$7=TH!H4941,OR(N4941="331",O4941="331")),"x","")</f>
        <v/>
      </c>
      <c r="Q4941" s="79" t="str">
        <f>IF(AND(B4941='111'!$L$11,OR($N4941=$Q$7,$O4941=$Q$7)),"x","")</f>
        <v/>
      </c>
      <c r="R4941" s="79" t="str">
        <f>IF(AND($N4941=$Q$7,$B4941&lt;'111'!$L$11),"x","")</f>
        <v/>
      </c>
      <c r="S4941" s="79" t="str">
        <f>IF(AND($O4941=$Q$7,$B4941&lt;'111'!$L$11),"x","")</f>
        <v/>
      </c>
      <c r="T4941" s="79" t="str">
        <f>IF(ISERROR(FIND('112'!$M$9,G4941,1)),"",IF((AND(FIND('112'!$M$9,G4941,1)&gt;=1,B4941='112'!$K$9,OR($N4941='112'!$I$6,$O4941='112'!$I$6))),"x",""))</f>
        <v/>
      </c>
      <c r="U4941" s="79" t="str">
        <f>IF(ISERROR(FIND('112'!$M$9,G4941,1)),"",IF((AND(LEFT(G4941,2)=LEFT('112'!$M$9,2),B4941&lt;'112'!$K$9,$N4941='112'!$I$6)),"x",""))</f>
        <v/>
      </c>
      <c r="V4941" s="79" t="str">
        <f>IF(ISERROR(FIND('112'!$M$9,G4941,1)),"",IF((AND(RIGHT(G4941,2)=RIGHT('112'!$M$9,2),B4941&lt;'112'!$K$9,$O4941='112'!$I$6)),"x",""))</f>
        <v/>
      </c>
      <c r="W4941" s="79" t="str">
        <f>IF(AND('341-CT'!$H$9=H4941,OR(LEFT(N4941,3)=$W$7,LEFT(O4941,3)=$W$7)),"x","")</f>
        <v/>
      </c>
      <c r="X4941" s="79" t="str">
        <f>IF(OR(TH!N4941=TH!$X$7,O4941=TH!$X$7),"x","")</f>
        <v/>
      </c>
      <c r="Y4941" s="79" t="str">
        <f>IF(AND(OR(N4941="131",O4941="131"),H4941='131-CT'!$H$9),"x","")</f>
        <v/>
      </c>
      <c r="Z4941" s="79"/>
      <c r="AA4941" s="79" t="str">
        <f>IF(AND(MONTH(E4941)='IN-NX'!$J$5,'IN-NX'!$D$7=D4941),"x","")</f>
        <v/>
      </c>
      <c r="AB4941" s="79" t="str">
        <f>IF(AND(OR(LEFT(TH!N4941,2)="15",LEFT(TH!O4941,2)="15"),LEFT(TH!O4941,3)&lt;&gt;"111",'152-CT'!$J$8=TH!F4941),"x","")</f>
        <v/>
      </c>
      <c r="AC4941" s="79" t="str">
        <f>IF(AND(OR(LEFT(TH!N4941,2)="15",LEFT(TH!O4941,2)="15"),TK!$E$7=TH!F4941),"x","")</f>
        <v/>
      </c>
      <c r="AD4941" s="79" t="str">
        <f>IF(AND(N4941="1521",MONTH(C4941)='BK-NL'!$M$11),"x","")</f>
        <v/>
      </c>
    </row>
    <row r="4942" spans="1:30" ht="16.5" customHeight="1">
      <c r="A4942" s="318" t="str">
        <f>IF(B4942&lt;&gt;"",IF(AND(B4942='[3]IN-TC'!$S$4,OR([3]TH!N4173="1111",[3]TH!O4173="1111")),[3]TH!D4173,""),"")</f>
        <v/>
      </c>
      <c r="B4942" s="60" t="str">
        <f t="shared" si="482"/>
        <v/>
      </c>
      <c r="C4942" s="61"/>
      <c r="D4942" s="301"/>
      <c r="E4942" s="301"/>
      <c r="F4942" s="302"/>
      <c r="G4942" s="302"/>
      <c r="H4942" s="303"/>
      <c r="I4942" s="385"/>
      <c r="J4942" s="395"/>
      <c r="K4942" s="385"/>
      <c r="L4942" s="392"/>
      <c r="M4942" s="62"/>
      <c r="N4942" s="304"/>
      <c r="O4942" s="304"/>
      <c r="P4942" s="79" t="str">
        <f>IF(AND('331-CT'!$E$7=TH!H4942,OR(N4942="331",O4942="331")),"x","")</f>
        <v/>
      </c>
      <c r="Q4942" s="79" t="str">
        <f>IF(AND(B4942='111'!$L$11,OR($N4942=$Q$7,$O4942=$Q$7)),"x","")</f>
        <v/>
      </c>
      <c r="R4942" s="79" t="str">
        <f>IF(AND($N4942=$Q$7,$B4942&lt;'111'!$L$11),"x","")</f>
        <v/>
      </c>
      <c r="S4942" s="79" t="str">
        <f>IF(AND($O4942=$Q$7,$B4942&lt;'111'!$L$11),"x","")</f>
        <v/>
      </c>
      <c r="T4942" s="79" t="str">
        <f>IF(ISERROR(FIND('112'!$M$9,G4942,1)),"",IF((AND(FIND('112'!$M$9,G4942,1)&gt;=1,B4942='112'!$K$9,OR($N4942='112'!$I$6,$O4942='112'!$I$6))),"x",""))</f>
        <v/>
      </c>
      <c r="U4942" s="79" t="str">
        <f>IF(ISERROR(FIND('112'!$M$9,G4942,1)),"",IF((AND(LEFT(G4942,2)=LEFT('112'!$M$9,2),B4942&lt;'112'!$K$9,$N4942='112'!$I$6)),"x",""))</f>
        <v/>
      </c>
      <c r="V4942" s="79" t="str">
        <f>IF(ISERROR(FIND('112'!$M$9,G4942,1)),"",IF((AND(RIGHT(G4942,2)=RIGHT('112'!$M$9,2),B4942&lt;'112'!$K$9,$O4942='112'!$I$6)),"x",""))</f>
        <v/>
      </c>
      <c r="W4942" s="79" t="str">
        <f>IF(AND('341-CT'!$H$9=H4942,OR(LEFT(N4942,3)=$W$7,LEFT(O4942,3)=$W$7)),"x","")</f>
        <v/>
      </c>
      <c r="X4942" s="79" t="str">
        <f>IF(OR(TH!N4942=TH!$X$7,O4942=TH!$X$7),"x","")</f>
        <v/>
      </c>
      <c r="Y4942" s="79" t="str">
        <f>IF(AND(OR(N4942="131",O4942="131"),H4942='131-CT'!$H$9),"x","")</f>
        <v/>
      </c>
      <c r="Z4942" s="79"/>
      <c r="AA4942" s="79" t="str">
        <f>IF(AND(MONTH(E4942)='IN-NX'!$J$5,'IN-NX'!$D$7=D4942),"x","")</f>
        <v/>
      </c>
      <c r="AB4942" s="79" t="str">
        <f>IF(AND(OR(LEFT(TH!N4942,2)="15",LEFT(TH!O4942,2)="15"),LEFT(TH!O4942,3)&lt;&gt;"111",'152-CT'!$J$8=TH!F4942),"x","")</f>
        <v/>
      </c>
      <c r="AC4942" s="79" t="str">
        <f>IF(AND(OR(LEFT(TH!N4942,2)="15",LEFT(TH!O4942,2)="15"),TK!$E$7=TH!F4942),"x","")</f>
        <v/>
      </c>
      <c r="AD4942" s="79" t="str">
        <f>IF(AND(N4942="1521",MONTH(C4942)='BK-NL'!$M$11),"x","")</f>
        <v/>
      </c>
    </row>
    <row r="4943" spans="1:30" ht="16.5" customHeight="1">
      <c r="A4943" s="318" t="str">
        <f>IF(B4943&lt;&gt;"",IF(AND(B4943='[3]IN-TC'!$S$4,OR([3]TH!N4174="1111",[3]TH!O4174="1111")),[3]TH!D4174,""),"")</f>
        <v/>
      </c>
      <c r="B4943" s="60" t="str">
        <f t="shared" si="482"/>
        <v/>
      </c>
      <c r="C4943" s="61"/>
      <c r="D4943" s="301"/>
      <c r="E4943" s="301"/>
      <c r="F4943" s="302"/>
      <c r="G4943" s="302"/>
      <c r="H4943" s="303"/>
      <c r="I4943" s="385"/>
      <c r="J4943" s="395"/>
      <c r="K4943" s="385"/>
      <c r="L4943" s="392"/>
      <c r="M4943" s="62"/>
      <c r="N4943" s="304"/>
      <c r="O4943" s="304"/>
      <c r="P4943" s="79" t="str">
        <f>IF(AND('331-CT'!$E$7=TH!H4943,OR(N4943="331",O4943="331")),"x","")</f>
        <v/>
      </c>
      <c r="Q4943" s="79" t="str">
        <f>IF(AND(B4943='111'!$L$11,OR($N4943=$Q$7,$O4943=$Q$7)),"x","")</f>
        <v/>
      </c>
      <c r="R4943" s="79" t="str">
        <f>IF(AND($N4943=$Q$7,$B4943&lt;'111'!$L$11),"x","")</f>
        <v/>
      </c>
      <c r="S4943" s="79" t="str">
        <f>IF(AND($O4943=$Q$7,$B4943&lt;'111'!$L$11),"x","")</f>
        <v/>
      </c>
      <c r="T4943" s="79" t="str">
        <f>IF(ISERROR(FIND('112'!$M$9,G4943,1)),"",IF((AND(FIND('112'!$M$9,G4943,1)&gt;=1,B4943='112'!$K$9,OR($N4943='112'!$I$6,$O4943='112'!$I$6))),"x",""))</f>
        <v/>
      </c>
      <c r="U4943" s="79" t="str">
        <f>IF(ISERROR(FIND('112'!$M$9,G4943,1)),"",IF((AND(LEFT(G4943,2)=LEFT('112'!$M$9,2),B4943&lt;'112'!$K$9,$N4943='112'!$I$6)),"x",""))</f>
        <v/>
      </c>
      <c r="V4943" s="79" t="str">
        <f>IF(ISERROR(FIND('112'!$M$9,G4943,1)),"",IF((AND(RIGHT(G4943,2)=RIGHT('112'!$M$9,2),B4943&lt;'112'!$K$9,$O4943='112'!$I$6)),"x",""))</f>
        <v/>
      </c>
      <c r="W4943" s="79" t="str">
        <f>IF(AND('341-CT'!$H$9=H4943,OR(LEFT(N4943,3)=$W$7,LEFT(O4943,3)=$W$7)),"x","")</f>
        <v/>
      </c>
      <c r="X4943" s="79" t="str">
        <f>IF(OR(TH!N4943=TH!$X$7,O4943=TH!$X$7),"x","")</f>
        <v/>
      </c>
      <c r="Y4943" s="79" t="str">
        <f>IF(AND(OR(N4943="131",O4943="131"),H4943='131-CT'!$H$9),"x","")</f>
        <v/>
      </c>
      <c r="Z4943" s="79"/>
      <c r="AA4943" s="79" t="str">
        <f>IF(AND(MONTH(E4943)='IN-NX'!$J$5,'IN-NX'!$D$7=D4943),"x","")</f>
        <v/>
      </c>
      <c r="AB4943" s="79" t="str">
        <f>IF(AND(OR(LEFT(TH!N4943,2)="15",LEFT(TH!O4943,2)="15"),LEFT(TH!O4943,3)&lt;&gt;"111",'152-CT'!$J$8=TH!F4943),"x","")</f>
        <v/>
      </c>
      <c r="AC4943" s="79" t="str">
        <f>IF(AND(OR(LEFT(TH!N4943,2)="15",LEFT(TH!O4943,2)="15"),TK!$E$7=TH!F4943),"x","")</f>
        <v/>
      </c>
      <c r="AD4943" s="79" t="str">
        <f>IF(AND(N4943="1521",MONTH(C4943)='BK-NL'!$M$11),"x","")</f>
        <v/>
      </c>
    </row>
    <row r="4944" spans="1:30" ht="16.5" customHeight="1">
      <c r="A4944" s="318" t="str">
        <f>IF(B4944&lt;&gt;"",IF(AND(B4944='[3]IN-TC'!$S$4,OR([3]TH!N4175="1111",[3]TH!O4175="1111")),[3]TH!D4175,""),"")</f>
        <v/>
      </c>
      <c r="B4944" s="60" t="str">
        <f t="shared" si="482"/>
        <v/>
      </c>
      <c r="C4944" s="61"/>
      <c r="D4944" s="301"/>
      <c r="E4944" s="301"/>
      <c r="F4944" s="302"/>
      <c r="G4944" s="302"/>
      <c r="H4944" s="303"/>
      <c r="I4944" s="385"/>
      <c r="J4944" s="395"/>
      <c r="K4944" s="385"/>
      <c r="L4944" s="392"/>
      <c r="M4944" s="62"/>
      <c r="N4944" s="304"/>
      <c r="O4944" s="304"/>
      <c r="P4944" s="79" t="str">
        <f>IF(AND('331-CT'!$E$7=TH!H4944,OR(N4944="331",O4944="331")),"x","")</f>
        <v/>
      </c>
      <c r="Q4944" s="79" t="str">
        <f>IF(AND(B4944='111'!$L$11,OR($N4944=$Q$7,$O4944=$Q$7)),"x","")</f>
        <v/>
      </c>
      <c r="R4944" s="79" t="str">
        <f>IF(AND($N4944=$Q$7,$B4944&lt;'111'!$L$11),"x","")</f>
        <v/>
      </c>
      <c r="S4944" s="79" t="str">
        <f>IF(AND($O4944=$Q$7,$B4944&lt;'111'!$L$11),"x","")</f>
        <v/>
      </c>
      <c r="T4944" s="79" t="str">
        <f>IF(ISERROR(FIND('112'!$M$9,G4944,1)),"",IF((AND(FIND('112'!$M$9,G4944,1)&gt;=1,B4944='112'!$K$9,OR($N4944='112'!$I$6,$O4944='112'!$I$6))),"x",""))</f>
        <v/>
      </c>
      <c r="U4944" s="79" t="str">
        <f>IF(ISERROR(FIND('112'!$M$9,G4944,1)),"",IF((AND(LEFT(G4944,2)=LEFT('112'!$M$9,2),B4944&lt;'112'!$K$9,$N4944='112'!$I$6)),"x",""))</f>
        <v/>
      </c>
      <c r="V4944" s="79" t="str">
        <f>IF(ISERROR(FIND('112'!$M$9,G4944,1)),"",IF((AND(RIGHT(G4944,2)=RIGHT('112'!$M$9,2),B4944&lt;'112'!$K$9,$O4944='112'!$I$6)),"x",""))</f>
        <v/>
      </c>
      <c r="W4944" s="79" t="str">
        <f>IF(AND('341-CT'!$H$9=H4944,OR(LEFT(N4944,3)=$W$7,LEFT(O4944,3)=$W$7)),"x","")</f>
        <v/>
      </c>
      <c r="X4944" s="79" t="str">
        <f>IF(OR(TH!N4944=TH!$X$7,O4944=TH!$X$7),"x","")</f>
        <v/>
      </c>
      <c r="Y4944" s="79" t="str">
        <f>IF(AND(OR(N4944="131",O4944="131"),H4944='131-CT'!$H$9),"x","")</f>
        <v/>
      </c>
      <c r="Z4944" s="79"/>
      <c r="AA4944" s="79" t="str">
        <f>IF(AND(MONTH(E4944)='IN-NX'!$J$5,'IN-NX'!$D$7=D4944),"x","")</f>
        <v/>
      </c>
      <c r="AB4944" s="79" t="str">
        <f>IF(AND(OR(LEFT(TH!N4944,2)="15",LEFT(TH!O4944,2)="15"),LEFT(TH!O4944,3)&lt;&gt;"111",'152-CT'!$J$8=TH!F4944),"x","")</f>
        <v/>
      </c>
      <c r="AC4944" s="79" t="str">
        <f>IF(AND(OR(LEFT(TH!N4944,2)="15",LEFT(TH!O4944,2)="15"),TK!$E$7=TH!F4944),"x","")</f>
        <v/>
      </c>
      <c r="AD4944" s="79" t="str">
        <f>IF(AND(N4944="1521",MONTH(C4944)='BK-NL'!$M$11),"x","")</f>
        <v/>
      </c>
    </row>
    <row r="4945" spans="1:30" ht="16.5" customHeight="1">
      <c r="A4945" s="318" t="str">
        <f>IF(B4945&lt;&gt;"",IF(AND(B4945='[3]IN-TC'!$S$4,OR([3]TH!N4176="1111",[3]TH!O4176="1111")),[3]TH!D4176,""),"")</f>
        <v/>
      </c>
      <c r="B4945" s="60" t="str">
        <f t="shared" si="482"/>
        <v/>
      </c>
      <c r="C4945" s="61"/>
      <c r="D4945" s="301"/>
      <c r="E4945" s="301"/>
      <c r="F4945" s="302"/>
      <c r="G4945" s="302"/>
      <c r="H4945" s="303"/>
      <c r="I4945" s="385"/>
      <c r="J4945" s="395"/>
      <c r="K4945" s="385"/>
      <c r="L4945" s="392"/>
      <c r="M4945" s="62"/>
      <c r="N4945" s="304"/>
      <c r="O4945" s="304"/>
      <c r="P4945" s="79" t="str">
        <f>IF(AND('331-CT'!$E$7=TH!H4945,OR(N4945="331",O4945="331")),"x","")</f>
        <v/>
      </c>
      <c r="Q4945" s="79" t="str">
        <f>IF(AND(B4945='111'!$L$11,OR($N4945=$Q$7,$O4945=$Q$7)),"x","")</f>
        <v/>
      </c>
      <c r="R4945" s="79" t="str">
        <f>IF(AND($N4945=$Q$7,$B4945&lt;'111'!$L$11),"x","")</f>
        <v/>
      </c>
      <c r="S4945" s="79" t="str">
        <f>IF(AND($O4945=$Q$7,$B4945&lt;'111'!$L$11),"x","")</f>
        <v/>
      </c>
      <c r="T4945" s="79" t="str">
        <f>IF(ISERROR(FIND('112'!$M$9,G4945,1)),"",IF((AND(FIND('112'!$M$9,G4945,1)&gt;=1,B4945='112'!$K$9,OR($N4945='112'!$I$6,$O4945='112'!$I$6))),"x",""))</f>
        <v/>
      </c>
      <c r="U4945" s="79" t="str">
        <f>IF(ISERROR(FIND('112'!$M$9,G4945,1)),"",IF((AND(LEFT(G4945,2)=LEFT('112'!$M$9,2),B4945&lt;'112'!$K$9,$N4945='112'!$I$6)),"x",""))</f>
        <v/>
      </c>
      <c r="V4945" s="79" t="str">
        <f>IF(ISERROR(FIND('112'!$M$9,G4945,1)),"",IF((AND(RIGHT(G4945,2)=RIGHT('112'!$M$9,2),B4945&lt;'112'!$K$9,$O4945='112'!$I$6)),"x",""))</f>
        <v/>
      </c>
      <c r="W4945" s="79" t="str">
        <f>IF(AND('341-CT'!$H$9=H4945,OR(LEFT(N4945,3)=$W$7,LEFT(O4945,3)=$W$7)),"x","")</f>
        <v/>
      </c>
      <c r="X4945" s="79" t="str">
        <f>IF(OR(TH!N4945=TH!$X$7,O4945=TH!$X$7),"x","")</f>
        <v/>
      </c>
      <c r="Y4945" s="79" t="str">
        <f>IF(AND(OR(N4945="131",O4945="131"),H4945='131-CT'!$H$9),"x","")</f>
        <v/>
      </c>
      <c r="Z4945" s="79"/>
      <c r="AA4945" s="79" t="str">
        <f>IF(AND(MONTH(E4945)='IN-NX'!$J$5,'IN-NX'!$D$7=D4945),"x","")</f>
        <v/>
      </c>
      <c r="AB4945" s="79" t="str">
        <f>IF(AND(OR(LEFT(TH!N4945,2)="15",LEFT(TH!O4945,2)="15"),LEFT(TH!O4945,3)&lt;&gt;"111",'152-CT'!$J$8=TH!F4945),"x","")</f>
        <v/>
      </c>
      <c r="AC4945" s="79" t="str">
        <f>IF(AND(OR(LEFT(TH!N4945,2)="15",LEFT(TH!O4945,2)="15"),TK!$E$7=TH!F4945),"x","")</f>
        <v/>
      </c>
      <c r="AD4945" s="79" t="str">
        <f>IF(AND(N4945="1521",MONTH(C4945)='BK-NL'!$M$11),"x","")</f>
        <v/>
      </c>
    </row>
    <row r="4946" spans="1:30" ht="16.5" customHeight="1">
      <c r="A4946" s="318" t="str">
        <f>IF(B4946&lt;&gt;"",IF(AND(B4946='[3]IN-TC'!$S$4,OR([3]TH!N4177="1111",[3]TH!O4177="1111")),[3]TH!D4177,""),"")</f>
        <v/>
      </c>
      <c r="B4946" s="60" t="str">
        <f t="shared" si="482"/>
        <v/>
      </c>
      <c r="C4946" s="61"/>
      <c r="D4946" s="301"/>
      <c r="E4946" s="301"/>
      <c r="F4946" s="302"/>
      <c r="G4946" s="302"/>
      <c r="H4946" s="303"/>
      <c r="I4946" s="385"/>
      <c r="J4946" s="395"/>
      <c r="K4946" s="385"/>
      <c r="L4946" s="392"/>
      <c r="M4946" s="62"/>
      <c r="N4946" s="304"/>
      <c r="O4946" s="304"/>
      <c r="P4946" s="79" t="str">
        <f>IF(AND('331-CT'!$E$7=TH!H4946,OR(N4946="331",O4946="331")),"x","")</f>
        <v/>
      </c>
      <c r="Q4946" s="79" t="str">
        <f>IF(AND(B4946='111'!$L$11,OR($N4946=$Q$7,$O4946=$Q$7)),"x","")</f>
        <v/>
      </c>
      <c r="R4946" s="79" t="str">
        <f>IF(AND($N4946=$Q$7,$B4946&lt;'111'!$L$11),"x","")</f>
        <v/>
      </c>
      <c r="S4946" s="79" t="str">
        <f>IF(AND($O4946=$Q$7,$B4946&lt;'111'!$L$11),"x","")</f>
        <v/>
      </c>
      <c r="T4946" s="79" t="str">
        <f>IF(ISERROR(FIND('112'!$M$9,G4946,1)),"",IF((AND(FIND('112'!$M$9,G4946,1)&gt;=1,B4946='112'!$K$9,OR($N4946='112'!$I$6,$O4946='112'!$I$6))),"x",""))</f>
        <v/>
      </c>
      <c r="U4946" s="79" t="str">
        <f>IF(ISERROR(FIND('112'!$M$9,G4946,1)),"",IF((AND(LEFT(G4946,2)=LEFT('112'!$M$9,2),B4946&lt;'112'!$K$9,$N4946='112'!$I$6)),"x",""))</f>
        <v/>
      </c>
      <c r="V4946" s="79" t="str">
        <f>IF(ISERROR(FIND('112'!$M$9,G4946,1)),"",IF((AND(RIGHT(G4946,2)=RIGHT('112'!$M$9,2),B4946&lt;'112'!$K$9,$O4946='112'!$I$6)),"x",""))</f>
        <v/>
      </c>
      <c r="W4946" s="79" t="str">
        <f>IF(AND('341-CT'!$H$9=H4946,OR(LEFT(N4946,3)=$W$7,LEFT(O4946,3)=$W$7)),"x","")</f>
        <v/>
      </c>
      <c r="X4946" s="79" t="str">
        <f>IF(OR(TH!N4946=TH!$X$7,O4946=TH!$X$7),"x","")</f>
        <v/>
      </c>
      <c r="Y4946" s="79" t="str">
        <f>IF(AND(OR(N4946="131",O4946="131"),H4946='131-CT'!$H$9),"x","")</f>
        <v/>
      </c>
      <c r="Z4946" s="79"/>
      <c r="AA4946" s="79" t="str">
        <f>IF(AND(MONTH(E4946)='IN-NX'!$J$5,'IN-NX'!$D$7=D4946),"x","")</f>
        <v/>
      </c>
      <c r="AB4946" s="79" t="str">
        <f>IF(AND(OR(LEFT(TH!N4946,2)="15",LEFT(TH!O4946,2)="15"),LEFT(TH!O4946,3)&lt;&gt;"111",'152-CT'!$J$8=TH!F4946),"x","")</f>
        <v/>
      </c>
      <c r="AC4946" s="79" t="str">
        <f>IF(AND(OR(LEFT(TH!N4946,2)="15",LEFT(TH!O4946,2)="15"),TK!$E$7=TH!F4946),"x","")</f>
        <v/>
      </c>
      <c r="AD4946" s="79" t="str">
        <f>IF(AND(N4946="1521",MONTH(C4946)='BK-NL'!$M$11),"x","")</f>
        <v/>
      </c>
    </row>
    <row r="4947" spans="1:30" ht="16.5" customHeight="1">
      <c r="A4947" s="318" t="str">
        <f>IF(B4947&lt;&gt;"",IF(AND(B4947='[3]IN-TC'!$S$4,OR([3]TH!N4178="1111",[3]TH!O4178="1111")),[3]TH!D4178,""),"")</f>
        <v/>
      </c>
      <c r="B4947" s="60" t="str">
        <f t="shared" ref="B4947:B4957" si="483">IF(C4947&lt;&gt;"",MONTH(C4947),"")</f>
        <v/>
      </c>
      <c r="C4947" s="61"/>
      <c r="D4947" s="301"/>
      <c r="E4947" s="301"/>
      <c r="F4947" s="302"/>
      <c r="G4947" s="302"/>
      <c r="H4947" s="303"/>
      <c r="I4947" s="385"/>
      <c r="J4947" s="395"/>
      <c r="K4947" s="385"/>
      <c r="L4947" s="392"/>
      <c r="M4947" s="62"/>
      <c r="N4947" s="304"/>
      <c r="O4947" s="304"/>
      <c r="P4947" s="79" t="str">
        <f>IF(AND('331-CT'!$E$7=TH!H4947,OR(N4947="331",O4947="331")),"x","")</f>
        <v/>
      </c>
      <c r="Q4947" s="79" t="str">
        <f>IF(AND(B4947='111'!$L$11,OR($N4947=$Q$7,$O4947=$Q$7)),"x","")</f>
        <v/>
      </c>
      <c r="R4947" s="79" t="str">
        <f>IF(AND($N4947=$Q$7,$B4947&lt;'111'!$L$11),"x","")</f>
        <v/>
      </c>
      <c r="S4947" s="79" t="str">
        <f>IF(AND($O4947=$Q$7,$B4947&lt;'111'!$L$11),"x","")</f>
        <v/>
      </c>
      <c r="T4947" s="79" t="str">
        <f>IF(ISERROR(FIND('112'!$M$9,G4947,1)),"",IF((AND(FIND('112'!$M$9,G4947,1)&gt;=1,B4947='112'!$K$9,OR($N4947='112'!$I$6,$O4947='112'!$I$6))),"x",""))</f>
        <v/>
      </c>
      <c r="U4947" s="79" t="str">
        <f>IF(ISERROR(FIND('112'!$M$9,G4947,1)),"",IF((AND(LEFT(G4947,2)=LEFT('112'!$M$9,2),B4947&lt;'112'!$K$9,$N4947='112'!$I$6)),"x",""))</f>
        <v/>
      </c>
      <c r="V4947" s="79" t="str">
        <f>IF(ISERROR(FIND('112'!$M$9,G4947,1)),"",IF((AND(RIGHT(G4947,2)=RIGHT('112'!$M$9,2),B4947&lt;'112'!$K$9,$O4947='112'!$I$6)),"x",""))</f>
        <v/>
      </c>
      <c r="W4947" s="79" t="str">
        <f>IF(AND('341-CT'!$H$9=H4947,OR(LEFT(N4947,3)=$W$7,LEFT(O4947,3)=$W$7)),"x","")</f>
        <v/>
      </c>
      <c r="X4947" s="79" t="str">
        <f>IF(OR(TH!N4947=TH!$X$7,O4947=TH!$X$7),"x","")</f>
        <v/>
      </c>
      <c r="Y4947" s="79" t="str">
        <f>IF(AND(OR(N4947="131",O4947="131"),H4947='131-CT'!$H$9),"x","")</f>
        <v/>
      </c>
      <c r="Z4947" s="79"/>
      <c r="AA4947" s="79" t="str">
        <f>IF(AND(MONTH(E4947)='IN-NX'!$J$5,'IN-NX'!$D$7=D4947),"x","")</f>
        <v/>
      </c>
      <c r="AB4947" s="79" t="str">
        <f>IF(AND(OR(LEFT(TH!N4947,2)="15",LEFT(TH!O4947,2)="15"),LEFT(TH!O4947,3)&lt;&gt;"111",'152-CT'!$J$8=TH!F4947),"x","")</f>
        <v/>
      </c>
      <c r="AC4947" s="79" t="str">
        <f>IF(AND(OR(LEFT(TH!N4947,2)="15",LEFT(TH!O4947,2)="15"),TK!$E$7=TH!F4947),"x","")</f>
        <v/>
      </c>
      <c r="AD4947" s="79" t="str">
        <f>IF(AND(N4947="1521",MONTH(C4947)='BK-NL'!$M$11),"x","")</f>
        <v/>
      </c>
    </row>
    <row r="4948" spans="1:30" ht="16.5" customHeight="1">
      <c r="A4948" s="318" t="str">
        <f>IF(B4948&lt;&gt;"",IF(AND(B4948='[3]IN-TC'!$S$4,OR([3]TH!N4179="1111",[3]TH!O4179="1111")),[3]TH!D4179,""),"")</f>
        <v/>
      </c>
      <c r="B4948" s="60" t="str">
        <f t="shared" si="483"/>
        <v/>
      </c>
      <c r="C4948" s="61"/>
      <c r="D4948" s="61"/>
      <c r="E4948" s="61"/>
      <c r="F4948" s="64"/>
      <c r="G4948" s="64"/>
      <c r="H4948" s="69"/>
      <c r="I4948" s="385"/>
      <c r="J4948" s="395"/>
      <c r="K4948" s="385"/>
      <c r="L4948" s="392"/>
      <c r="M4948" s="970"/>
      <c r="N4948" s="63"/>
      <c r="O4948" s="63"/>
      <c r="P4948" s="79" t="str">
        <f>IF(AND('331-CT'!$E$7=TH!H4948,OR(N4948="331",O4948="331")),"x","")</f>
        <v/>
      </c>
      <c r="Q4948" s="79" t="str">
        <f>IF(AND(B4948='111'!$L$11,OR($N4948=$Q$7,$O4948=$Q$7)),"x","")</f>
        <v/>
      </c>
      <c r="R4948" s="79" t="str">
        <f>IF(AND($N4948=$Q$7,$B4948&lt;'111'!$L$11),"x","")</f>
        <v/>
      </c>
      <c r="S4948" s="79" t="str">
        <f>IF(AND($O4948=$Q$7,$B4948&lt;'111'!$L$11),"x","")</f>
        <v/>
      </c>
      <c r="T4948" s="79" t="str">
        <f>IF(ISERROR(FIND('112'!$M$9,G4948,1)),"",IF((AND(FIND('112'!$M$9,G4948,1)&gt;=1,B4948='112'!$K$9,OR($N4948='112'!$I$6,$O4948='112'!$I$6))),"x",""))</f>
        <v/>
      </c>
      <c r="U4948" s="79" t="str">
        <f>IF(ISERROR(FIND('112'!$M$9,G4948,1)),"",IF((AND(LEFT(G4948,2)=LEFT('112'!$M$9,2),B4948&lt;'112'!$K$9,$N4948='112'!$I$6)),"x",""))</f>
        <v/>
      </c>
      <c r="V4948" s="79" t="str">
        <f>IF(ISERROR(FIND('112'!$M$9,G4948,1)),"",IF((AND(RIGHT(G4948,2)=RIGHT('112'!$M$9,2),B4948&lt;'112'!$K$9,$O4948='112'!$I$6)),"x",""))</f>
        <v/>
      </c>
      <c r="W4948" s="79" t="str">
        <f>IF(AND('341-CT'!$H$9=H4948,OR(LEFT(N4948,3)=$W$7,LEFT(O4948,3)=$W$7)),"x","")</f>
        <v/>
      </c>
      <c r="X4948" s="79" t="str">
        <f>IF(OR(TH!N4948=TH!$X$7,O4948=TH!$X$7),"x","")</f>
        <v/>
      </c>
      <c r="Y4948" s="79" t="str">
        <f>IF(AND(OR(N4948="131",O4948="131"),H4948='131-CT'!$H$9),"x","")</f>
        <v/>
      </c>
      <c r="Z4948" s="79"/>
      <c r="AA4948" s="79" t="str">
        <f>IF(AND(MONTH(E4948)='IN-NX'!$J$5,'IN-NX'!$D$7=D4948),"x","")</f>
        <v/>
      </c>
      <c r="AB4948" s="79" t="str">
        <f>IF(AND(OR(LEFT(TH!N4948,2)="15",LEFT(TH!O4948,2)="15"),LEFT(TH!O4948,3)&lt;&gt;"111",'152-CT'!$J$8=TH!F4948),"x","")</f>
        <v/>
      </c>
      <c r="AC4948" s="79" t="str">
        <f>IF(AND(OR(LEFT(TH!N4948,2)="15",LEFT(TH!O4948,2)="15"),TK!$E$7=TH!F4948),"x","")</f>
        <v/>
      </c>
      <c r="AD4948" s="79" t="str">
        <f>IF(AND(N4948="1521",MONTH(C4948)='BK-NL'!$M$11),"x","")</f>
        <v/>
      </c>
    </row>
    <row r="4949" spans="1:30" ht="16.5" customHeight="1">
      <c r="A4949" s="318" t="str">
        <f>IF(B4949&lt;&gt;"",IF(AND(B4949='[3]IN-TC'!$S$4,OR([3]TH!N4180="1111",[3]TH!O4180="1111")),[3]TH!D4180,""),"")</f>
        <v/>
      </c>
      <c r="B4949" s="60" t="str">
        <f t="shared" si="483"/>
        <v/>
      </c>
      <c r="C4949" s="61"/>
      <c r="D4949" s="61"/>
      <c r="E4949" s="61"/>
      <c r="F4949" s="64"/>
      <c r="G4949" s="64"/>
      <c r="H4949" s="303"/>
      <c r="I4949" s="387"/>
      <c r="J4949" s="395"/>
      <c r="K4949" s="387"/>
      <c r="L4949" s="394"/>
      <c r="M4949" s="62"/>
      <c r="N4949" s="63"/>
      <c r="O4949" s="63"/>
      <c r="P4949" s="79" t="str">
        <f>IF(AND('331-CT'!$E$7=TH!H4949,OR(N4949="331",O4949="331")),"x","")</f>
        <v/>
      </c>
      <c r="Q4949" s="79" t="str">
        <f>IF(AND(B4949='111'!$L$11,OR($N4949=$Q$7,$O4949=$Q$7)),"x","")</f>
        <v/>
      </c>
      <c r="R4949" s="79" t="str">
        <f>IF(AND($N4949=$Q$7,$B4949&lt;'111'!$L$11),"x","")</f>
        <v/>
      </c>
      <c r="S4949" s="79" t="str">
        <f>IF(AND($O4949=$Q$7,$B4949&lt;'111'!$L$11),"x","")</f>
        <v/>
      </c>
      <c r="T4949" s="79" t="str">
        <f>IF(ISERROR(FIND('112'!$M$9,G4949,1)),"",IF((AND(FIND('112'!$M$9,G4949,1)&gt;=1,B4949='112'!$K$9,OR($N4949='112'!$I$6,$O4949='112'!$I$6))),"x",""))</f>
        <v/>
      </c>
      <c r="U4949" s="79" t="str">
        <f>IF(ISERROR(FIND('112'!$M$9,G4949,1)),"",IF((AND(LEFT(G4949,2)=LEFT('112'!$M$9,2),B4949&lt;'112'!$K$9,$N4949='112'!$I$6)),"x",""))</f>
        <v/>
      </c>
      <c r="V4949" s="79" t="str">
        <f>IF(ISERROR(FIND('112'!$M$9,G4949,1)),"",IF((AND(RIGHT(G4949,2)=RIGHT('112'!$M$9,2),B4949&lt;'112'!$K$9,$O4949='112'!$I$6)),"x",""))</f>
        <v/>
      </c>
      <c r="W4949" s="79" t="str">
        <f>IF(AND('341-CT'!$H$9=H4949,OR(LEFT(N4949,3)=$W$7,LEFT(O4949,3)=$W$7)),"x","")</f>
        <v/>
      </c>
      <c r="X4949" s="79" t="str">
        <f>IF(OR(TH!N4949=TH!$X$7,O4949=TH!$X$7),"x","")</f>
        <v/>
      </c>
      <c r="Y4949" s="79" t="str">
        <f>IF(AND(OR(N4949="131",O4949="131"),H4949='131-CT'!$H$9),"x","")</f>
        <v/>
      </c>
      <c r="Z4949" s="79"/>
      <c r="AA4949" s="79" t="str">
        <f>IF(AND(MONTH(E4949)='IN-NX'!$J$5,'IN-NX'!$D$7=D4949),"x","")</f>
        <v/>
      </c>
      <c r="AB4949" s="79" t="str">
        <f>IF(AND(OR(LEFT(TH!N4949,2)="15",LEFT(TH!O4949,2)="15"),LEFT(TH!O4949,3)&lt;&gt;"111",'152-CT'!$J$8=TH!F4949),"x","")</f>
        <v/>
      </c>
      <c r="AC4949" s="79" t="str">
        <f>IF(AND(OR(LEFT(TH!N4949,2)="15",LEFT(TH!O4949,2)="15"),TK!$E$7=TH!F4949),"x","")</f>
        <v/>
      </c>
      <c r="AD4949" s="79" t="str">
        <f>IF(AND(N4949="1521",MONTH(C4949)='BK-NL'!$M$11),"x","")</f>
        <v/>
      </c>
    </row>
    <row r="4950" spans="1:30" ht="16.5" customHeight="1">
      <c r="A4950" s="318" t="str">
        <f>IF(B4950&lt;&gt;"",IF(AND(B4950='[3]IN-TC'!$S$4,OR([3]TH!N4181="1111",[3]TH!O4181="1111")),[3]TH!D4181,""),"")</f>
        <v/>
      </c>
      <c r="B4950" s="60" t="str">
        <f t="shared" si="483"/>
        <v/>
      </c>
      <c r="C4950" s="61"/>
      <c r="D4950" s="61"/>
      <c r="E4950" s="61"/>
      <c r="F4950" s="64"/>
      <c r="G4950" s="64"/>
      <c r="H4950" s="303"/>
      <c r="I4950" s="385"/>
      <c r="J4950" s="395"/>
      <c r="K4950" s="385"/>
      <c r="L4950" s="392"/>
      <c r="M4950" s="62"/>
      <c r="N4950" s="63"/>
      <c r="O4950" s="63"/>
      <c r="P4950" s="79" t="str">
        <f>IF(AND('331-CT'!$E$7=TH!H4950,OR(N4950="331",O4950="331")),"x","")</f>
        <v/>
      </c>
      <c r="Q4950" s="79" t="str">
        <f>IF(AND(B4950='111'!$L$11,OR($N4950=$Q$7,$O4950=$Q$7)),"x","")</f>
        <v/>
      </c>
      <c r="R4950" s="79" t="str">
        <f>IF(AND($N4950=$Q$7,$B4950&lt;'111'!$L$11),"x","")</f>
        <v/>
      </c>
      <c r="S4950" s="79" t="str">
        <f>IF(AND($O4950=$Q$7,$B4950&lt;'111'!$L$11),"x","")</f>
        <v/>
      </c>
      <c r="T4950" s="79" t="str">
        <f>IF(ISERROR(FIND('112'!$M$9,G4950,1)),"",IF((AND(FIND('112'!$M$9,G4950,1)&gt;=1,B4950='112'!$K$9,OR($N4950='112'!$I$6,$O4950='112'!$I$6))),"x",""))</f>
        <v/>
      </c>
      <c r="U4950" s="79" t="str">
        <f>IF(ISERROR(FIND('112'!$M$9,G4950,1)),"",IF((AND(LEFT(G4950,2)=LEFT('112'!$M$9,2),B4950&lt;'112'!$K$9,$N4950='112'!$I$6)),"x",""))</f>
        <v/>
      </c>
      <c r="V4950" s="79" t="str">
        <f>IF(ISERROR(FIND('112'!$M$9,G4950,1)),"",IF((AND(RIGHT(G4950,2)=RIGHT('112'!$M$9,2),B4950&lt;'112'!$K$9,$O4950='112'!$I$6)),"x",""))</f>
        <v/>
      </c>
      <c r="W4950" s="79" t="str">
        <f>IF(AND('341-CT'!$H$9=H4950,OR(LEFT(N4950,3)=$W$7,LEFT(O4950,3)=$W$7)),"x","")</f>
        <v/>
      </c>
      <c r="X4950" s="79" t="str">
        <f>IF(OR(TH!N4950=TH!$X$7,O4950=TH!$X$7),"x","")</f>
        <v/>
      </c>
      <c r="Y4950" s="79" t="str">
        <f>IF(AND(OR(N4950="131",O4950="131"),H4950='131-CT'!$H$9),"x","")</f>
        <v/>
      </c>
      <c r="Z4950" s="79"/>
      <c r="AA4950" s="79" t="str">
        <f>IF(AND(MONTH(E4950)='IN-NX'!$J$5,'IN-NX'!$D$7=D4950),"x","")</f>
        <v/>
      </c>
      <c r="AB4950" s="79" t="str">
        <f>IF(AND(OR(LEFT(TH!N4950,2)="15",LEFT(TH!O4950,2)="15"),LEFT(TH!O4950,3)&lt;&gt;"111",'152-CT'!$J$8=TH!F4950),"x","")</f>
        <v/>
      </c>
      <c r="AC4950" s="79" t="str">
        <f>IF(AND(OR(LEFT(TH!N4950,2)="15",LEFT(TH!O4950,2)="15"),TK!$E$7=TH!F4950),"x","")</f>
        <v/>
      </c>
      <c r="AD4950" s="79" t="str">
        <f>IF(AND(N4950="1521",MONTH(C4950)='BK-NL'!$M$11),"x","")</f>
        <v/>
      </c>
    </row>
    <row r="4951" spans="1:30" ht="16.5" customHeight="1">
      <c r="A4951" s="318" t="str">
        <f>IF(B4951&lt;&gt;"",IF(AND(B4951='[3]IN-TC'!$S$4,OR([3]TH!N4182="1111",[3]TH!O4182="1111")),[3]TH!D4182,""),"")</f>
        <v/>
      </c>
      <c r="B4951" s="60" t="str">
        <f t="shared" si="483"/>
        <v/>
      </c>
      <c r="C4951" s="61"/>
      <c r="D4951" s="61"/>
      <c r="E4951" s="61"/>
      <c r="F4951" s="64"/>
      <c r="G4951" s="64"/>
      <c r="H4951" s="303"/>
      <c r="I4951" s="385"/>
      <c r="J4951" s="395"/>
      <c r="K4951" s="385"/>
      <c r="L4951" s="392"/>
      <c r="M4951" s="62"/>
      <c r="N4951" s="63"/>
      <c r="O4951" s="63"/>
      <c r="P4951" s="79" t="str">
        <f>IF(AND('331-CT'!$E$7=TH!H4951,OR(N4951="331",O4951="331")),"x","")</f>
        <v/>
      </c>
      <c r="Q4951" s="79" t="str">
        <f>IF(AND(B4951='111'!$L$11,OR($N4951=$Q$7,$O4951=$Q$7)),"x","")</f>
        <v/>
      </c>
      <c r="R4951" s="79" t="str">
        <f>IF(AND($N4951=$Q$7,$B4951&lt;'111'!$L$11),"x","")</f>
        <v/>
      </c>
      <c r="S4951" s="79" t="str">
        <f>IF(AND($O4951=$Q$7,$B4951&lt;'111'!$L$11),"x","")</f>
        <v/>
      </c>
      <c r="T4951" s="79" t="str">
        <f>IF(ISERROR(FIND('112'!$M$9,G4951,1)),"",IF((AND(FIND('112'!$M$9,G4951,1)&gt;=1,B4951='112'!$K$9,OR($N4951='112'!$I$6,$O4951='112'!$I$6))),"x",""))</f>
        <v/>
      </c>
      <c r="U4951" s="79" t="str">
        <f>IF(ISERROR(FIND('112'!$M$9,G4951,1)),"",IF((AND(LEFT(G4951,2)=LEFT('112'!$M$9,2),B4951&lt;'112'!$K$9,$N4951='112'!$I$6)),"x",""))</f>
        <v/>
      </c>
      <c r="V4951" s="79" t="str">
        <f>IF(ISERROR(FIND('112'!$M$9,G4951,1)),"",IF((AND(RIGHT(G4951,2)=RIGHT('112'!$M$9,2),B4951&lt;'112'!$K$9,$O4951='112'!$I$6)),"x",""))</f>
        <v/>
      </c>
      <c r="W4951" s="79" t="str">
        <f>IF(AND('341-CT'!$H$9=H4951,OR(LEFT(N4951,3)=$W$7,LEFT(O4951,3)=$W$7)),"x","")</f>
        <v/>
      </c>
      <c r="X4951" s="79" t="str">
        <f>IF(OR(TH!N4951=TH!$X$7,O4951=TH!$X$7),"x","")</f>
        <v/>
      </c>
      <c r="Y4951" s="79" t="str">
        <f>IF(AND(OR(N4951="131",O4951="131"),H4951='131-CT'!$H$9),"x","")</f>
        <v/>
      </c>
      <c r="Z4951" s="79"/>
      <c r="AA4951" s="79" t="str">
        <f>IF(AND(MONTH(E4951)='IN-NX'!$J$5,'IN-NX'!$D$7=D4951),"x","")</f>
        <v/>
      </c>
      <c r="AB4951" s="79" t="str">
        <f>IF(AND(OR(LEFT(TH!N4951,2)="15",LEFT(TH!O4951,2)="15"),LEFT(TH!O4951,3)&lt;&gt;"111",'152-CT'!$J$8=TH!F4951),"x","")</f>
        <v/>
      </c>
      <c r="AC4951" s="79" t="str">
        <f>IF(AND(OR(LEFT(TH!N4951,2)="15",LEFT(TH!O4951,2)="15"),TK!$E$7=TH!F4951),"x","")</f>
        <v/>
      </c>
      <c r="AD4951" s="79" t="str">
        <f>IF(AND(N4951="1521",MONTH(C4951)='BK-NL'!$M$11),"x","")</f>
        <v/>
      </c>
    </row>
    <row r="4952" spans="1:30" ht="16.5" customHeight="1">
      <c r="A4952" s="318" t="str">
        <f>IF(B4952&lt;&gt;"",IF(AND(B4952='[3]IN-TC'!$S$4,OR([3]TH!N4183="1111",[3]TH!O4183="1111")),[3]TH!D4183,""),"")</f>
        <v/>
      </c>
      <c r="B4952" s="60" t="str">
        <f t="shared" si="483"/>
        <v/>
      </c>
      <c r="C4952" s="61"/>
      <c r="D4952" s="61"/>
      <c r="E4952" s="61"/>
      <c r="F4952" s="64"/>
      <c r="G4952" s="64"/>
      <c r="H4952" s="303"/>
      <c r="I4952" s="385"/>
      <c r="J4952" s="395"/>
      <c r="K4952" s="385"/>
      <c r="L4952" s="392"/>
      <c r="M4952" s="62"/>
      <c r="N4952" s="63"/>
      <c r="O4952" s="63"/>
      <c r="P4952" s="79" t="str">
        <f>IF(AND('331-CT'!$E$7=TH!H4952,OR(N4952="331",O4952="331")),"x","")</f>
        <v/>
      </c>
      <c r="Q4952" s="79" t="str">
        <f>IF(AND(B4952='111'!$L$11,OR($N4952=$Q$7,$O4952=$Q$7)),"x","")</f>
        <v/>
      </c>
      <c r="R4952" s="79" t="str">
        <f>IF(AND($N4952=$Q$7,$B4952&lt;'111'!$L$11),"x","")</f>
        <v/>
      </c>
      <c r="S4952" s="79" t="str">
        <f>IF(AND($O4952=$Q$7,$B4952&lt;'111'!$L$11),"x","")</f>
        <v/>
      </c>
      <c r="T4952" s="79" t="str">
        <f>IF(ISERROR(FIND('112'!$M$9,G4952,1)),"",IF((AND(FIND('112'!$M$9,G4952,1)&gt;=1,B4952='112'!$K$9,OR($N4952='112'!$I$6,$O4952='112'!$I$6))),"x",""))</f>
        <v/>
      </c>
      <c r="U4952" s="79" t="str">
        <f>IF(ISERROR(FIND('112'!$M$9,G4952,1)),"",IF((AND(LEFT(G4952,2)=LEFT('112'!$M$9,2),B4952&lt;'112'!$K$9,$N4952='112'!$I$6)),"x",""))</f>
        <v/>
      </c>
      <c r="V4952" s="79" t="str">
        <f>IF(ISERROR(FIND('112'!$M$9,G4952,1)),"",IF((AND(RIGHT(G4952,2)=RIGHT('112'!$M$9,2),B4952&lt;'112'!$K$9,$O4952='112'!$I$6)),"x",""))</f>
        <v/>
      </c>
      <c r="W4952" s="79" t="str">
        <f>IF(AND('341-CT'!$H$9=H4952,OR(LEFT(N4952,3)=$W$7,LEFT(O4952,3)=$W$7)),"x","")</f>
        <v/>
      </c>
      <c r="X4952" s="79" t="str">
        <f>IF(OR(TH!N4952=TH!$X$7,O4952=TH!$X$7),"x","")</f>
        <v/>
      </c>
      <c r="Y4952" s="79" t="str">
        <f>IF(AND(OR(N4952="131",O4952="131"),H4952='131-CT'!$H$9),"x","")</f>
        <v/>
      </c>
      <c r="Z4952" s="79"/>
      <c r="AA4952" s="79" t="str">
        <f>IF(AND(MONTH(E4952)='IN-NX'!$J$5,'IN-NX'!$D$7=D4952),"x","")</f>
        <v/>
      </c>
      <c r="AB4952" s="79" t="str">
        <f>IF(AND(OR(LEFT(TH!N4952,2)="15",LEFT(TH!O4952,2)="15"),LEFT(TH!O4952,3)&lt;&gt;"111",'152-CT'!$J$8=TH!F4952),"x","")</f>
        <v/>
      </c>
      <c r="AC4952" s="79" t="str">
        <f>IF(AND(OR(LEFT(TH!N4952,2)="15",LEFT(TH!O4952,2)="15"),TK!$E$7=TH!F4952),"x","")</f>
        <v/>
      </c>
      <c r="AD4952" s="79" t="str">
        <f>IF(AND(N4952="1521",MONTH(C4952)='BK-NL'!$M$11),"x","")</f>
        <v/>
      </c>
    </row>
    <row r="4953" spans="1:30" ht="16.5" customHeight="1">
      <c r="A4953" s="318" t="str">
        <f>IF(B4953&lt;&gt;"",IF(AND(B4953='[3]IN-TC'!$S$4,OR([3]TH!N4184="1111",[3]TH!O4184="1111")),[3]TH!D4184,""),"")</f>
        <v/>
      </c>
      <c r="B4953" s="60" t="str">
        <f t="shared" si="483"/>
        <v/>
      </c>
      <c r="C4953" s="61"/>
      <c r="D4953" s="61"/>
      <c r="E4953" s="61"/>
      <c r="F4953" s="64"/>
      <c r="G4953" s="64"/>
      <c r="H4953" s="303"/>
      <c r="I4953" s="385"/>
      <c r="J4953" s="395"/>
      <c r="K4953" s="387"/>
      <c r="L4953" s="394"/>
      <c r="M4953" s="62"/>
      <c r="N4953" s="63"/>
      <c r="O4953" s="63"/>
      <c r="P4953" s="79" t="str">
        <f>IF(AND('331-CT'!$E$7=TH!H4953,OR(N4953="331",O4953="331")),"x","")</f>
        <v/>
      </c>
      <c r="Q4953" s="79" t="str">
        <f>IF(AND(B4953='111'!$L$11,OR($N4953=$Q$7,$O4953=$Q$7)),"x","")</f>
        <v/>
      </c>
      <c r="R4953" s="79" t="str">
        <f>IF(AND($N4953=$Q$7,$B4953&lt;'111'!$L$11),"x","")</f>
        <v/>
      </c>
      <c r="S4953" s="79" t="str">
        <f>IF(AND($O4953=$Q$7,$B4953&lt;'111'!$L$11),"x","")</f>
        <v/>
      </c>
      <c r="T4953" s="79" t="str">
        <f>IF(ISERROR(FIND('112'!$M$9,G4953,1)),"",IF((AND(FIND('112'!$M$9,G4953,1)&gt;=1,B4953='112'!$K$9,OR($N4953='112'!$I$6,$O4953='112'!$I$6))),"x",""))</f>
        <v/>
      </c>
      <c r="U4953" s="79" t="str">
        <f>IF(ISERROR(FIND('112'!$M$9,G4953,1)),"",IF((AND(LEFT(G4953,2)=LEFT('112'!$M$9,2),B4953&lt;'112'!$K$9,$N4953='112'!$I$6)),"x",""))</f>
        <v/>
      </c>
      <c r="V4953" s="79" t="str">
        <f>IF(ISERROR(FIND('112'!$M$9,G4953,1)),"",IF((AND(RIGHT(G4953,2)=RIGHT('112'!$M$9,2),B4953&lt;'112'!$K$9,$O4953='112'!$I$6)),"x",""))</f>
        <v/>
      </c>
      <c r="W4953" s="79" t="str">
        <f>IF(AND('341-CT'!$H$9=H4953,OR(LEFT(N4953,3)=$W$7,LEFT(O4953,3)=$W$7)),"x","")</f>
        <v/>
      </c>
      <c r="X4953" s="79" t="str">
        <f>IF(OR(TH!N4953=TH!$X$7,O4953=TH!$X$7),"x","")</f>
        <v/>
      </c>
      <c r="Y4953" s="79" t="str">
        <f>IF(AND(OR(N4953="131",O4953="131"),H4953='131-CT'!$H$9),"x","")</f>
        <v/>
      </c>
      <c r="Z4953" s="79"/>
      <c r="AA4953" s="79" t="str">
        <f>IF(AND(MONTH(E4953)='IN-NX'!$J$5,'IN-NX'!$D$7=D4953),"x","")</f>
        <v/>
      </c>
      <c r="AB4953" s="79" t="str">
        <f>IF(AND(OR(LEFT(TH!N4953,2)="15",LEFT(TH!O4953,2)="15"),LEFT(TH!O4953,3)&lt;&gt;"111",'152-CT'!$J$8=TH!F4953),"x","")</f>
        <v/>
      </c>
      <c r="AC4953" s="79" t="str">
        <f>IF(AND(OR(LEFT(TH!N4953,2)="15",LEFT(TH!O4953,2)="15"),TK!$E$7=TH!F4953),"x","")</f>
        <v/>
      </c>
      <c r="AD4953" s="79" t="str">
        <f>IF(AND(N4953="1521",MONTH(C4953)='BK-NL'!$M$11),"x","")</f>
        <v/>
      </c>
    </row>
    <row r="4954" spans="1:30" ht="16.5" customHeight="1">
      <c r="A4954" s="318" t="str">
        <f>IF(B4954&lt;&gt;"",IF(AND(B4954='[3]IN-TC'!$S$4,OR([3]TH!N4185="1111",[3]TH!O4185="1111")),[3]TH!D4185,""),"")</f>
        <v/>
      </c>
      <c r="B4954" s="60" t="str">
        <f t="shared" si="483"/>
        <v/>
      </c>
      <c r="C4954" s="61"/>
      <c r="D4954" s="61"/>
      <c r="E4954" s="61"/>
      <c r="F4954" s="64"/>
      <c r="G4954" s="64"/>
      <c r="H4954" s="303"/>
      <c r="I4954" s="387"/>
      <c r="J4954" s="395"/>
      <c r="K4954" s="387"/>
      <c r="L4954" s="394"/>
      <c r="M4954" s="62"/>
      <c r="N4954" s="63"/>
      <c r="O4954" s="63"/>
      <c r="P4954" s="79" t="str">
        <f>IF(AND('331-CT'!$E$7=TH!H4954,OR(N4954="331",O4954="331")),"x","")</f>
        <v/>
      </c>
      <c r="Q4954" s="79" t="str">
        <f>IF(AND(B4954='111'!$L$11,OR($N4954=$Q$7,$O4954=$Q$7)),"x","")</f>
        <v/>
      </c>
      <c r="R4954" s="79" t="str">
        <f>IF(AND($N4954=$Q$7,$B4954&lt;'111'!$L$11),"x","")</f>
        <v/>
      </c>
      <c r="S4954" s="79" t="str">
        <f>IF(AND($O4954=$Q$7,$B4954&lt;'111'!$L$11),"x","")</f>
        <v/>
      </c>
      <c r="T4954" s="79" t="str">
        <f>IF(ISERROR(FIND('112'!$M$9,G4954,1)),"",IF((AND(FIND('112'!$M$9,G4954,1)&gt;=1,B4954='112'!$K$9,OR($N4954='112'!$I$6,$O4954='112'!$I$6))),"x",""))</f>
        <v/>
      </c>
      <c r="U4954" s="79" t="str">
        <f>IF(ISERROR(FIND('112'!$M$9,G4954,1)),"",IF((AND(LEFT(G4954,2)=LEFT('112'!$M$9,2),B4954&lt;'112'!$K$9,$N4954='112'!$I$6)),"x",""))</f>
        <v/>
      </c>
      <c r="V4954" s="79" t="str">
        <f>IF(ISERROR(FIND('112'!$M$9,G4954,1)),"",IF((AND(RIGHT(G4954,2)=RIGHT('112'!$M$9,2),B4954&lt;'112'!$K$9,$O4954='112'!$I$6)),"x",""))</f>
        <v/>
      </c>
      <c r="W4954" s="79" t="str">
        <f>IF(AND('341-CT'!$H$9=H4954,OR(LEFT(N4954,3)=$W$7,LEFT(O4954,3)=$W$7)),"x","")</f>
        <v/>
      </c>
      <c r="X4954" s="79" t="str">
        <f>IF(OR(TH!N4954=TH!$X$7,O4954=TH!$X$7),"x","")</f>
        <v/>
      </c>
      <c r="Y4954" s="79" t="str">
        <f>IF(AND(OR(N4954="131",O4954="131"),H4954='131-CT'!$H$9),"x","")</f>
        <v/>
      </c>
      <c r="Z4954" s="79"/>
      <c r="AA4954" s="79" t="str">
        <f>IF(AND(MONTH(E4954)='IN-NX'!$J$5,'IN-NX'!$D$7=D4954),"x","")</f>
        <v/>
      </c>
      <c r="AB4954" s="79" t="str">
        <f>IF(AND(OR(LEFT(TH!N4954,2)="15",LEFT(TH!O4954,2)="15"),LEFT(TH!O4954,3)&lt;&gt;"111",'152-CT'!$J$8=TH!F4954),"x","")</f>
        <v/>
      </c>
      <c r="AC4954" s="79" t="str">
        <f>IF(AND(OR(LEFT(TH!N4954,2)="15",LEFT(TH!O4954,2)="15"),TK!$E$7=TH!F4954),"x","")</f>
        <v/>
      </c>
      <c r="AD4954" s="79" t="str">
        <f>IF(AND(N4954="1521",MONTH(C4954)='BK-NL'!$M$11),"x","")</f>
        <v/>
      </c>
    </row>
    <row r="4955" spans="1:30" ht="16.5" customHeight="1">
      <c r="A4955" s="318" t="str">
        <f>IF(B4955&lt;&gt;"",IF(AND(B4955='[3]IN-TC'!$S$4,OR([3]TH!N4186="1111",[3]TH!O4186="1111")),[3]TH!D4186,""),"")</f>
        <v/>
      </c>
      <c r="B4955" s="60" t="str">
        <f t="shared" ref="B4955" si="484">IF(C4955&lt;&gt;"",MONTH(C4955),"")</f>
        <v/>
      </c>
      <c r="C4955" s="61"/>
      <c r="D4955" s="61"/>
      <c r="E4955" s="61"/>
      <c r="F4955" s="64"/>
      <c r="G4955" s="64"/>
      <c r="H4955" s="303"/>
      <c r="I4955" s="387"/>
      <c r="J4955" s="395"/>
      <c r="K4955" s="387"/>
      <c r="L4955" s="394"/>
      <c r="M4955" s="62"/>
      <c r="N4955" s="63"/>
      <c r="O4955" s="63"/>
      <c r="P4955" s="79" t="str">
        <f>IF(AND('331-CT'!$E$7=TH!H4955,OR(N4955="331",O4955="331")),"x","")</f>
        <v/>
      </c>
      <c r="Q4955" s="79" t="str">
        <f>IF(AND(B4955='111'!$L$11,OR($N4955=$Q$7,$O4955=$Q$7)),"x","")</f>
        <v/>
      </c>
      <c r="R4955" s="79" t="str">
        <f>IF(AND($N4955=$Q$7,$B4955&lt;'111'!$L$11),"x","")</f>
        <v/>
      </c>
      <c r="S4955" s="79" t="str">
        <f>IF(AND($O4955=$Q$7,$B4955&lt;'111'!$L$11),"x","")</f>
        <v/>
      </c>
      <c r="T4955" s="79" t="str">
        <f>IF(ISERROR(FIND('112'!$M$9,G4955,1)),"",IF((AND(FIND('112'!$M$9,G4955,1)&gt;=1,B4955='112'!$K$9,OR($N4955='112'!$I$6,$O4955='112'!$I$6))),"x",""))</f>
        <v/>
      </c>
      <c r="U4955" s="79" t="str">
        <f>IF(ISERROR(FIND('112'!$M$9,G4955,1)),"",IF((AND(LEFT(G4955,2)=LEFT('112'!$M$9,2),B4955&lt;'112'!$K$9,$N4955='112'!$I$6)),"x",""))</f>
        <v/>
      </c>
      <c r="V4955" s="79" t="str">
        <f>IF(ISERROR(FIND('112'!$M$9,G4955,1)),"",IF((AND(RIGHT(G4955,2)=RIGHT('112'!$M$9,2),B4955&lt;'112'!$K$9,$O4955='112'!$I$6)),"x",""))</f>
        <v/>
      </c>
      <c r="W4955" s="79" t="str">
        <f>IF(AND('341-CT'!$H$9=H4955,OR(LEFT(N4955,3)=$W$7,LEFT(O4955,3)=$W$7)),"x","")</f>
        <v/>
      </c>
      <c r="X4955" s="79" t="str">
        <f>IF(OR(TH!N4955=TH!$X$7,O4955=TH!$X$7),"x","")</f>
        <v/>
      </c>
      <c r="Y4955" s="79" t="str">
        <f>IF(AND(OR(N4955="131",O4955="131"),H4955='131-CT'!$H$9),"x","")</f>
        <v/>
      </c>
      <c r="Z4955" s="79"/>
      <c r="AA4955" s="79" t="str">
        <f>IF(AND(MONTH(E4955)='IN-NX'!$J$5,'IN-NX'!$D$7=D4955),"x","")</f>
        <v/>
      </c>
      <c r="AB4955" s="79" t="str">
        <f>IF(AND(OR(LEFT(TH!N4955,2)="15",LEFT(TH!O4955,2)="15"),LEFT(TH!O4955,3)&lt;&gt;"111",'152-CT'!$J$8=TH!F4955),"x","")</f>
        <v/>
      </c>
      <c r="AC4955" s="79" t="str">
        <f>IF(AND(OR(LEFT(TH!N4955,2)="15",LEFT(TH!O4955,2)="15"),TK!$E$7=TH!F4955),"x","")</f>
        <v/>
      </c>
      <c r="AD4955" s="79" t="str">
        <f>IF(AND(N4955="1521",MONTH(C4955)='BK-NL'!$M$11),"x","")</f>
        <v/>
      </c>
    </row>
    <row r="4956" spans="1:30" ht="16.5" customHeight="1">
      <c r="A4956" s="318" t="str">
        <f>IF(B4956&lt;&gt;"",IF(AND(B4956='[3]IN-TC'!$S$4,OR([3]TH!N4187="1111",[3]TH!O4187="1111")),[3]TH!D4187,""),"")</f>
        <v/>
      </c>
      <c r="B4956" s="60" t="str">
        <f t="shared" ref="B4956" si="485">IF(C4956&lt;&gt;"",MONTH(C4956),"")</f>
        <v/>
      </c>
      <c r="C4956" s="61"/>
      <c r="D4956" s="61"/>
      <c r="E4956" s="61"/>
      <c r="F4956" s="64"/>
      <c r="G4956" s="64"/>
      <c r="H4956" s="303"/>
      <c r="I4956" s="387"/>
      <c r="J4956" s="395"/>
      <c r="K4956" s="387"/>
      <c r="L4956" s="394"/>
      <c r="M4956" s="62"/>
      <c r="N4956" s="63"/>
      <c r="O4956" s="63"/>
      <c r="P4956" s="79" t="str">
        <f>IF(AND('331-CT'!$E$7=TH!H4956,OR(N4956="331",O4956="331")),"x","")</f>
        <v/>
      </c>
      <c r="Q4956" s="79" t="str">
        <f>IF(AND(B4956='111'!$L$11,OR($N4956=$Q$7,$O4956=$Q$7)),"x","")</f>
        <v/>
      </c>
      <c r="R4956" s="79" t="str">
        <f>IF(AND($N4956=$Q$7,$B4956&lt;'111'!$L$11),"x","")</f>
        <v/>
      </c>
      <c r="S4956" s="79" t="str">
        <f>IF(AND($O4956=$Q$7,$B4956&lt;'111'!$L$11),"x","")</f>
        <v/>
      </c>
      <c r="T4956" s="79" t="str">
        <f>IF(ISERROR(FIND('112'!$M$9,G4956,1)),"",IF((AND(FIND('112'!$M$9,G4956,1)&gt;=1,B4956='112'!$K$9,OR($N4956='112'!$I$6,$O4956='112'!$I$6))),"x",""))</f>
        <v/>
      </c>
      <c r="U4956" s="79" t="str">
        <f>IF(ISERROR(FIND('112'!$M$9,G4956,1)),"",IF((AND(LEFT(G4956,2)=LEFT('112'!$M$9,2),B4956&lt;'112'!$K$9,$N4956='112'!$I$6)),"x",""))</f>
        <v/>
      </c>
      <c r="V4956" s="79" t="str">
        <f>IF(ISERROR(FIND('112'!$M$9,G4956,1)),"",IF((AND(RIGHT(G4956,2)=RIGHT('112'!$M$9,2),B4956&lt;'112'!$K$9,$O4956='112'!$I$6)),"x",""))</f>
        <v/>
      </c>
      <c r="W4956" s="79" t="str">
        <f>IF(AND('341-CT'!$H$9=H4956,OR(LEFT(N4956,3)=$W$7,LEFT(O4956,3)=$W$7)),"x","")</f>
        <v/>
      </c>
      <c r="X4956" s="79" t="str">
        <f>IF(OR(TH!N4956=TH!$X$7,O4956=TH!$X$7),"x","")</f>
        <v/>
      </c>
      <c r="Y4956" s="79" t="str">
        <f>IF(AND(OR(N4956="131",O4956="131"),H4956='131-CT'!$H$9),"x","")</f>
        <v/>
      </c>
      <c r="Z4956" s="79"/>
      <c r="AA4956" s="79" t="str">
        <f>IF(AND(MONTH(E4956)='IN-NX'!$J$5,'IN-NX'!$D$7=D4956),"x","")</f>
        <v/>
      </c>
      <c r="AB4956" s="79" t="str">
        <f>IF(AND(OR(LEFT(TH!N4956,2)="15",LEFT(TH!O4956,2)="15"),LEFT(TH!O4956,3)&lt;&gt;"111",'152-CT'!$J$8=TH!F4956),"x","")</f>
        <v/>
      </c>
      <c r="AC4956" s="79" t="str">
        <f>IF(AND(OR(LEFT(TH!N4956,2)="15",LEFT(TH!O4956,2)="15"),TK!$E$7=TH!F4956),"x","")</f>
        <v/>
      </c>
      <c r="AD4956" s="79" t="str">
        <f>IF(AND(N4956="1521",MONTH(C4956)='BK-NL'!$M$11),"x","")</f>
        <v/>
      </c>
    </row>
    <row r="4957" spans="1:30" ht="16.5" customHeight="1">
      <c r="A4957" s="318" t="str">
        <f>IF(B4957&lt;&gt;"",IF(AND(B4957='[3]IN-TC'!$S$4,OR([3]TH!N4188="1111",[3]TH!O4188="1111")),[3]TH!D4188,""),"")</f>
        <v/>
      </c>
      <c r="B4957" s="60" t="str">
        <f t="shared" si="483"/>
        <v/>
      </c>
      <c r="C4957" s="61"/>
      <c r="D4957" s="61"/>
      <c r="E4957" s="61"/>
      <c r="F4957" s="64"/>
      <c r="G4957" s="64"/>
      <c r="H4957" s="303"/>
      <c r="I4957" s="385"/>
      <c r="J4957" s="395"/>
      <c r="K4957" s="385"/>
      <c r="L4957" s="392"/>
      <c r="M4957" s="62"/>
      <c r="N4957" s="63"/>
      <c r="O4957" s="63"/>
      <c r="P4957" s="79" t="str">
        <f>IF(AND('331-CT'!$E$7=TH!H4957,OR(N4957="331",O4957="331")),"x","")</f>
        <v/>
      </c>
      <c r="Q4957" s="79" t="str">
        <f>IF(AND(B4957='111'!$L$11,OR($N4957=$Q$7,$O4957=$Q$7)),"x","")</f>
        <v/>
      </c>
      <c r="R4957" s="79" t="str">
        <f>IF(AND($N4957=$Q$7,$B4957&lt;'111'!$L$11),"x","")</f>
        <v/>
      </c>
      <c r="S4957" s="79" t="str">
        <f>IF(AND($O4957=$Q$7,$B4957&lt;'111'!$L$11),"x","")</f>
        <v/>
      </c>
      <c r="T4957" s="79" t="str">
        <f>IF(ISERROR(FIND('112'!$M$9,G4957,1)),"",IF((AND(FIND('112'!$M$9,G4957,1)&gt;=1,B4957='112'!$K$9,OR($N4957='112'!$I$6,$O4957='112'!$I$6))),"x",""))</f>
        <v/>
      </c>
      <c r="U4957" s="79" t="str">
        <f>IF(ISERROR(FIND('112'!$M$9,G4957,1)),"",IF((AND(LEFT(G4957,2)=LEFT('112'!$M$9,2),B4957&lt;'112'!$K$9,$N4957='112'!$I$6)),"x",""))</f>
        <v/>
      </c>
      <c r="V4957" s="79" t="str">
        <f>IF(ISERROR(FIND('112'!$M$9,G4957,1)),"",IF((AND(RIGHT(G4957,2)=RIGHT('112'!$M$9,2),B4957&lt;'112'!$K$9,$O4957='112'!$I$6)),"x",""))</f>
        <v/>
      </c>
      <c r="W4957" s="79" t="str">
        <f>IF(AND('341-CT'!$H$9=H4957,OR(LEFT(N4957,3)=$W$7,LEFT(O4957,3)=$W$7)),"x","")</f>
        <v/>
      </c>
      <c r="X4957" s="79" t="str">
        <f>IF(OR(TH!N4957=TH!$X$7,O4957=TH!$X$7),"x","")</f>
        <v/>
      </c>
      <c r="Y4957" s="79" t="str">
        <f>IF(AND(OR(N4957="131",O4957="131"),H4957='131-CT'!$H$9),"x","")</f>
        <v/>
      </c>
      <c r="Z4957" s="79"/>
      <c r="AA4957" s="79" t="str">
        <f>IF(AND(MONTH(E4957)='IN-NX'!$J$5,'IN-NX'!$D$7=D4957),"x","")</f>
        <v/>
      </c>
      <c r="AB4957" s="79" t="str">
        <f>IF(AND(OR(LEFT(TH!N4957,2)="15",LEFT(TH!O4957,2)="15"),LEFT(TH!O4957,3)&lt;&gt;"111",'152-CT'!$J$8=TH!F4957),"x","")</f>
        <v/>
      </c>
      <c r="AC4957" s="79" t="str">
        <f>IF(AND(OR(LEFT(TH!N4957,2)="15",LEFT(TH!O4957,2)="15"),TK!$E$7=TH!F4957),"x","")</f>
        <v/>
      </c>
      <c r="AD4957" s="79" t="str">
        <f>IF(AND(N4957="1521",MONTH(C4957)='BK-NL'!$M$11),"x","")</f>
        <v/>
      </c>
    </row>
    <row r="4958" spans="1:30" ht="16.5" customHeight="1">
      <c r="A4958" s="318" t="str">
        <f>IF(B4958&lt;&gt;"",IF(AND(B4958='[3]IN-TC'!$S$4,OR([3]TH!N4189="1111",[3]TH!O4189="1111")),[3]TH!D4189,""),"")</f>
        <v/>
      </c>
      <c r="B4958" s="60" t="str">
        <f t="shared" ref="B4958" si="486">IF(C4958&lt;&gt;"",MONTH(C4958),"")</f>
        <v/>
      </c>
      <c r="C4958" s="61"/>
      <c r="D4958" s="61"/>
      <c r="E4958" s="61"/>
      <c r="F4958" s="64"/>
      <c r="G4958" s="64"/>
      <c r="H4958" s="303"/>
      <c r="I4958" s="385"/>
      <c r="J4958" s="395"/>
      <c r="K4958" s="385"/>
      <c r="L4958" s="392"/>
      <c r="M4958" s="62"/>
      <c r="N4958" s="63"/>
      <c r="O4958" s="63"/>
      <c r="P4958" s="79" t="str">
        <f>IF(AND('331-CT'!$E$7=TH!H4958,OR(N4958="331",O4958="331")),"x","")</f>
        <v/>
      </c>
      <c r="Q4958" s="79" t="str">
        <f>IF(AND(B4958='111'!$L$11,OR($N4958=$Q$7,$O4958=$Q$7)),"x","")</f>
        <v/>
      </c>
      <c r="R4958" s="79" t="str">
        <f>IF(AND($N4958=$Q$7,$B4958&lt;'111'!$L$11),"x","")</f>
        <v/>
      </c>
      <c r="S4958" s="79" t="str">
        <f>IF(AND($O4958=$Q$7,$B4958&lt;'111'!$L$11),"x","")</f>
        <v/>
      </c>
      <c r="T4958" s="79" t="str">
        <f>IF(ISERROR(FIND('112'!$M$9,G4958,1)),"",IF((AND(FIND('112'!$M$9,G4958,1)&gt;=1,B4958='112'!$K$9,OR($N4958='112'!$I$6,$O4958='112'!$I$6))),"x",""))</f>
        <v/>
      </c>
      <c r="U4958" s="79" t="str">
        <f>IF(ISERROR(FIND('112'!$M$9,G4958,1)),"",IF((AND(LEFT(G4958,2)=LEFT('112'!$M$9,2),B4958&lt;'112'!$K$9,$N4958='112'!$I$6)),"x",""))</f>
        <v/>
      </c>
      <c r="V4958" s="79" t="str">
        <f>IF(ISERROR(FIND('112'!$M$9,G4958,1)),"",IF((AND(RIGHT(G4958,2)=RIGHT('112'!$M$9,2),B4958&lt;'112'!$K$9,$O4958='112'!$I$6)),"x",""))</f>
        <v/>
      </c>
      <c r="W4958" s="79" t="str">
        <f>IF(AND('341-CT'!$H$9=H4958,OR(LEFT(N4958,3)=$W$7,LEFT(O4958,3)=$W$7)),"x","")</f>
        <v/>
      </c>
      <c r="X4958" s="79" t="str">
        <f>IF(OR(TH!N4958=TH!$X$7,O4958=TH!$X$7),"x","")</f>
        <v/>
      </c>
      <c r="Y4958" s="79" t="str">
        <f>IF(AND(OR(N4958="131",O4958="131"),H4958='131-CT'!$H$9),"x","")</f>
        <v/>
      </c>
      <c r="Z4958" s="79"/>
      <c r="AA4958" s="79" t="str">
        <f>IF(AND(MONTH(E4958)='IN-NX'!$J$5,'IN-NX'!$D$7=D4958),"x","")</f>
        <v/>
      </c>
      <c r="AB4958" s="79" t="str">
        <f>IF(AND(OR(LEFT(TH!N4958,2)="15",LEFT(TH!O4958,2)="15"),LEFT(TH!O4958,3)&lt;&gt;"111",'152-CT'!$J$8=TH!F4958),"x","")</f>
        <v/>
      </c>
      <c r="AC4958" s="79" t="str">
        <f>IF(AND(OR(LEFT(TH!N4958,2)="15",LEFT(TH!O4958,2)="15"),TK!$E$7=TH!F4958),"x","")</f>
        <v/>
      </c>
      <c r="AD4958" s="79" t="str">
        <f>IF(AND(N4958="1521",MONTH(C4958)='BK-NL'!$M$11),"x","")</f>
        <v/>
      </c>
    </row>
    <row r="4959" spans="1:30" ht="16.5" customHeight="1">
      <c r="A4959" s="318" t="str">
        <f>IF(B4959&lt;&gt;"",IF(AND(B4959='[3]IN-TC'!$S$4,OR([3]TH!N4190="1111",[3]TH!O4190="1111")),[3]TH!D4190,""),"")</f>
        <v/>
      </c>
      <c r="B4959" s="60" t="str">
        <f t="shared" ref="B4959" si="487">IF(C4959&lt;&gt;"",MONTH(C4959),"")</f>
        <v/>
      </c>
      <c r="C4959" s="61"/>
      <c r="D4959" s="61"/>
      <c r="E4959" s="61"/>
      <c r="F4959" s="64"/>
      <c r="G4959" s="64"/>
      <c r="H4959" s="303"/>
      <c r="I4959" s="385"/>
      <c r="J4959" s="395"/>
      <c r="K4959" s="385"/>
      <c r="L4959" s="392"/>
      <c r="M4959" s="62"/>
      <c r="N4959" s="63"/>
      <c r="O4959" s="63"/>
      <c r="P4959" s="79" t="str">
        <f>IF(AND('331-CT'!$E$7=TH!H4959,OR(N4959="331",O4959="331")),"x","")</f>
        <v/>
      </c>
      <c r="Q4959" s="79" t="str">
        <f>IF(AND(B4959='111'!$L$11,OR($N4959=$Q$7,$O4959=$Q$7)),"x","")</f>
        <v/>
      </c>
      <c r="R4959" s="79" t="str">
        <f>IF(AND($N4959=$Q$7,$B4959&lt;'111'!$L$11),"x","")</f>
        <v/>
      </c>
      <c r="S4959" s="79" t="str">
        <f>IF(AND($O4959=$Q$7,$B4959&lt;'111'!$L$11),"x","")</f>
        <v/>
      </c>
      <c r="T4959" s="79" t="str">
        <f>IF(ISERROR(FIND('112'!$M$9,G4959,1)),"",IF((AND(FIND('112'!$M$9,G4959,1)&gt;=1,B4959='112'!$K$9,OR($N4959='112'!$I$6,$O4959='112'!$I$6))),"x",""))</f>
        <v/>
      </c>
      <c r="U4959" s="79" t="str">
        <f>IF(ISERROR(FIND('112'!$M$9,G4959,1)),"",IF((AND(LEFT(G4959,2)=LEFT('112'!$M$9,2),B4959&lt;'112'!$K$9,$N4959='112'!$I$6)),"x",""))</f>
        <v/>
      </c>
      <c r="V4959" s="79" t="str">
        <f>IF(ISERROR(FIND('112'!$M$9,G4959,1)),"",IF((AND(RIGHT(G4959,2)=RIGHT('112'!$M$9,2),B4959&lt;'112'!$K$9,$O4959='112'!$I$6)),"x",""))</f>
        <v/>
      </c>
      <c r="W4959" s="79" t="str">
        <f>IF(AND('341-CT'!$H$9=H4959,OR(LEFT(N4959,3)=$W$7,LEFT(O4959,3)=$W$7)),"x","")</f>
        <v/>
      </c>
      <c r="X4959" s="79" t="str">
        <f>IF(OR(TH!N4959=TH!$X$7,O4959=TH!$X$7),"x","")</f>
        <v/>
      </c>
      <c r="Y4959" s="79" t="str">
        <f>IF(AND(OR(N4959="131",O4959="131"),H4959='131-CT'!$H$9),"x","")</f>
        <v/>
      </c>
      <c r="Z4959" s="79"/>
      <c r="AA4959" s="79" t="str">
        <f>IF(AND(MONTH(E4959)='IN-NX'!$J$5,'IN-NX'!$D$7=D4959),"x","")</f>
        <v/>
      </c>
      <c r="AB4959" s="79" t="str">
        <f>IF(AND(OR(LEFT(TH!N4959,2)="15",LEFT(TH!O4959,2)="15"),LEFT(TH!O4959,3)&lt;&gt;"111",'152-CT'!$J$8=TH!F4959),"x","")</f>
        <v/>
      </c>
      <c r="AC4959" s="79" t="str">
        <f>IF(AND(OR(LEFT(TH!N4959,2)="15",LEFT(TH!O4959,2)="15"),TK!$E$7=TH!F4959),"x","")</f>
        <v/>
      </c>
      <c r="AD4959" s="79" t="str">
        <f>IF(AND(N4959="1521",MONTH(C4959)='BK-NL'!$M$11),"x","")</f>
        <v/>
      </c>
    </row>
    <row r="4960" spans="1:30" ht="16.5" customHeight="1">
      <c r="A4960" s="318" t="str">
        <f>IF(B4960&lt;&gt;"",IF(AND(B4960='[3]IN-TC'!$S$4,OR([3]TH!N4191="1111",[3]TH!O4191="1111")),[3]TH!D4191,""),"")</f>
        <v/>
      </c>
      <c r="B4960" s="60" t="str">
        <f t="shared" ref="B4960:B5006" si="488">IF(C4960&lt;&gt;"",MONTH(C4960),"")</f>
        <v/>
      </c>
      <c r="C4960" s="61"/>
      <c r="D4960" s="61"/>
      <c r="E4960" s="61"/>
      <c r="F4960" s="64"/>
      <c r="G4960" s="64"/>
      <c r="H4960" s="303"/>
      <c r="I4960" s="385"/>
      <c r="J4960" s="395"/>
      <c r="K4960" s="385"/>
      <c r="L4960" s="392"/>
      <c r="M4960" s="62"/>
      <c r="N4960" s="63"/>
      <c r="O4960" s="63"/>
      <c r="P4960" s="79" t="str">
        <f>IF(AND('331-CT'!$E$7=TH!H4960,OR(N4960="331",O4960="331")),"x","")</f>
        <v/>
      </c>
      <c r="Q4960" s="79" t="str">
        <f>IF(AND(B4960='111'!$L$11,OR($N4960=$Q$7,$O4960=$Q$7)),"x","")</f>
        <v/>
      </c>
      <c r="R4960" s="79" t="str">
        <f>IF(AND($N4960=$Q$7,$B4960&lt;'111'!$L$11),"x","")</f>
        <v/>
      </c>
      <c r="S4960" s="79" t="str">
        <f>IF(AND($O4960=$Q$7,$B4960&lt;'111'!$L$11),"x","")</f>
        <v/>
      </c>
      <c r="T4960" s="79" t="str">
        <f>IF(ISERROR(FIND('112'!$M$9,G4960,1)),"",IF((AND(FIND('112'!$M$9,G4960,1)&gt;=1,B4960='112'!$K$9,OR($N4960='112'!$I$6,$O4960='112'!$I$6))),"x",""))</f>
        <v/>
      </c>
      <c r="U4960" s="79" t="str">
        <f>IF(ISERROR(FIND('112'!$M$9,G4960,1)),"",IF((AND(LEFT(G4960,2)=LEFT('112'!$M$9,2),B4960&lt;'112'!$K$9,$N4960='112'!$I$6)),"x",""))</f>
        <v/>
      </c>
      <c r="V4960" s="79" t="str">
        <f>IF(ISERROR(FIND('112'!$M$9,G4960,1)),"",IF((AND(RIGHT(G4960,2)=RIGHT('112'!$M$9,2),B4960&lt;'112'!$K$9,$O4960='112'!$I$6)),"x",""))</f>
        <v/>
      </c>
      <c r="W4960" s="79" t="str">
        <f>IF(AND('341-CT'!$H$9=H4960,OR(LEFT(N4960,3)=$W$7,LEFT(O4960,3)=$W$7)),"x","")</f>
        <v/>
      </c>
      <c r="X4960" s="79" t="str">
        <f>IF(OR(TH!N4960=TH!$X$7,O4960=TH!$X$7),"x","")</f>
        <v/>
      </c>
      <c r="Y4960" s="79" t="str">
        <f>IF(AND(OR(N4960="131",O4960="131"),H4960='131-CT'!$H$9),"x","")</f>
        <v/>
      </c>
      <c r="Z4960" s="79"/>
      <c r="AA4960" s="79" t="str">
        <f>IF(AND(MONTH(E4960)='IN-NX'!$J$5,'IN-NX'!$D$7=D4960),"x","")</f>
        <v/>
      </c>
      <c r="AB4960" s="79" t="str">
        <f>IF(AND(OR(LEFT(TH!N4960,2)="15",LEFT(TH!O4960,2)="15"),LEFT(TH!O4960,3)&lt;&gt;"111",'152-CT'!$J$8=TH!F4960),"x","")</f>
        <v/>
      </c>
      <c r="AC4960" s="79" t="str">
        <f>IF(AND(OR(LEFT(TH!N4960,2)="15",LEFT(TH!O4960,2)="15"),TK!$E$7=TH!F4960),"x","")</f>
        <v/>
      </c>
      <c r="AD4960" s="79" t="str">
        <f>IF(AND(N4960="1521",MONTH(C4960)='BK-NL'!$M$11),"x","")</f>
        <v/>
      </c>
    </row>
    <row r="4961" spans="1:30" ht="16.5" customHeight="1">
      <c r="A4961" s="318" t="str">
        <f>IF(B4961&lt;&gt;"",IF(AND(B4961='[3]IN-TC'!$S$4,OR([3]TH!N4192="1111",[3]TH!O4192="1111")),[3]TH!D4192,""),"")</f>
        <v/>
      </c>
      <c r="B4961" s="60" t="str">
        <f t="shared" si="488"/>
        <v/>
      </c>
      <c r="C4961" s="61"/>
      <c r="D4961" s="61"/>
      <c r="E4961" s="61"/>
      <c r="F4961" s="64"/>
      <c r="G4961" s="64"/>
      <c r="H4961" s="303"/>
      <c r="I4961" s="385"/>
      <c r="J4961" s="395"/>
      <c r="K4961" s="385"/>
      <c r="L4961" s="392"/>
      <c r="M4961" s="62"/>
      <c r="N4961" s="63"/>
      <c r="O4961" s="63"/>
      <c r="P4961" s="79" t="str">
        <f>IF(AND('331-CT'!$E$7=TH!H4961,OR(N4961="331",O4961="331")),"x","")</f>
        <v/>
      </c>
      <c r="Q4961" s="79" t="str">
        <f>IF(AND(B4961='111'!$L$11,OR($N4961=$Q$7,$O4961=$Q$7)),"x","")</f>
        <v/>
      </c>
      <c r="R4961" s="79" t="str">
        <f>IF(AND($N4961=$Q$7,$B4961&lt;'111'!$L$11),"x","")</f>
        <v/>
      </c>
      <c r="S4961" s="79" t="str">
        <f>IF(AND($O4961=$Q$7,$B4961&lt;'111'!$L$11),"x","")</f>
        <v/>
      </c>
      <c r="T4961" s="79" t="str">
        <f>IF(ISERROR(FIND('112'!$M$9,G4961,1)),"",IF((AND(FIND('112'!$M$9,G4961,1)&gt;=1,B4961='112'!$K$9,OR($N4961='112'!$I$6,$O4961='112'!$I$6))),"x",""))</f>
        <v/>
      </c>
      <c r="U4961" s="79" t="str">
        <f>IF(ISERROR(FIND('112'!$M$9,G4961,1)),"",IF((AND(LEFT(G4961,2)=LEFT('112'!$M$9,2),B4961&lt;'112'!$K$9,$N4961='112'!$I$6)),"x",""))</f>
        <v/>
      </c>
      <c r="V4961" s="79" t="str">
        <f>IF(ISERROR(FIND('112'!$M$9,G4961,1)),"",IF((AND(RIGHT(G4961,2)=RIGHT('112'!$M$9,2),B4961&lt;'112'!$K$9,$O4961='112'!$I$6)),"x",""))</f>
        <v/>
      </c>
      <c r="W4961" s="79" t="str">
        <f>IF(AND('341-CT'!$H$9=H4961,OR(LEFT(N4961,3)=$W$7,LEFT(O4961,3)=$W$7)),"x","")</f>
        <v/>
      </c>
      <c r="X4961" s="79" t="str">
        <f>IF(OR(TH!N4961=TH!$X$7,O4961=TH!$X$7),"x","")</f>
        <v/>
      </c>
      <c r="Y4961" s="79" t="str">
        <f>IF(AND(OR(N4961="131",O4961="131"),H4961='131-CT'!$H$9),"x","")</f>
        <v/>
      </c>
      <c r="Z4961" s="79"/>
      <c r="AA4961" s="79" t="str">
        <f>IF(AND(MONTH(E4961)='IN-NX'!$J$5,'IN-NX'!$D$7=D4961),"x","")</f>
        <v/>
      </c>
      <c r="AB4961" s="79" t="str">
        <f>IF(AND(OR(LEFT(TH!N4961,2)="15",LEFT(TH!O4961,2)="15"),LEFT(TH!O4961,3)&lt;&gt;"111",'152-CT'!$J$8=TH!F4961),"x","")</f>
        <v/>
      </c>
      <c r="AC4961" s="79" t="str">
        <f>IF(AND(OR(LEFT(TH!N4961,2)="15",LEFT(TH!O4961,2)="15"),TK!$E$7=TH!F4961),"x","")</f>
        <v/>
      </c>
      <c r="AD4961" s="79" t="str">
        <f>IF(AND(N4961="1521",MONTH(C4961)='BK-NL'!$M$11),"x","")</f>
        <v/>
      </c>
    </row>
    <row r="4962" spans="1:30" ht="16.5" customHeight="1">
      <c r="A4962" s="318" t="str">
        <f>IF(B4962&lt;&gt;"",IF(AND(B4962='[3]IN-TC'!$S$4,OR([3]TH!N4193="1111",[3]TH!O4193="1111")),[3]TH!D4193,""),"")</f>
        <v/>
      </c>
      <c r="B4962" s="60" t="str">
        <f t="shared" si="488"/>
        <v/>
      </c>
      <c r="C4962" s="61"/>
      <c r="D4962" s="61"/>
      <c r="E4962" s="61"/>
      <c r="F4962" s="64"/>
      <c r="G4962" s="64"/>
      <c r="H4962" s="303"/>
      <c r="I4962" s="385"/>
      <c r="J4962" s="395"/>
      <c r="K4962" s="385"/>
      <c r="L4962" s="392"/>
      <c r="M4962" s="62"/>
      <c r="N4962" s="63"/>
      <c r="O4962" s="63"/>
      <c r="P4962" s="79" t="str">
        <f>IF(AND('331-CT'!$E$7=TH!H4962,OR(N4962="331",O4962="331")),"x","")</f>
        <v/>
      </c>
      <c r="Q4962" s="79" t="str">
        <f>IF(AND(B4962='111'!$L$11,OR($N4962=$Q$7,$O4962=$Q$7)),"x","")</f>
        <v/>
      </c>
      <c r="R4962" s="79" t="str">
        <f>IF(AND($N4962=$Q$7,$B4962&lt;'111'!$L$11),"x","")</f>
        <v/>
      </c>
      <c r="S4962" s="79" t="str">
        <f>IF(AND($O4962=$Q$7,$B4962&lt;'111'!$L$11),"x","")</f>
        <v/>
      </c>
      <c r="T4962" s="79" t="str">
        <f>IF(ISERROR(FIND('112'!$M$9,G4962,1)),"",IF((AND(FIND('112'!$M$9,G4962,1)&gt;=1,B4962='112'!$K$9,OR($N4962='112'!$I$6,$O4962='112'!$I$6))),"x",""))</f>
        <v/>
      </c>
      <c r="U4962" s="79" t="str">
        <f>IF(ISERROR(FIND('112'!$M$9,G4962,1)),"",IF((AND(LEFT(G4962,2)=LEFT('112'!$M$9,2),B4962&lt;'112'!$K$9,$N4962='112'!$I$6)),"x",""))</f>
        <v/>
      </c>
      <c r="V4962" s="79" t="str">
        <f>IF(ISERROR(FIND('112'!$M$9,G4962,1)),"",IF((AND(RIGHT(G4962,2)=RIGHT('112'!$M$9,2),B4962&lt;'112'!$K$9,$O4962='112'!$I$6)),"x",""))</f>
        <v/>
      </c>
      <c r="W4962" s="79" t="str">
        <f>IF(AND('341-CT'!$H$9=H4962,OR(LEFT(N4962,3)=$W$7,LEFT(O4962,3)=$W$7)),"x","")</f>
        <v/>
      </c>
      <c r="X4962" s="79" t="str">
        <f>IF(OR(TH!N4962=TH!$X$7,O4962=TH!$X$7),"x","")</f>
        <v/>
      </c>
      <c r="Y4962" s="79" t="str">
        <f>IF(AND(OR(N4962="131",O4962="131"),H4962='131-CT'!$H$9),"x","")</f>
        <v/>
      </c>
      <c r="Z4962" s="79"/>
      <c r="AA4962" s="79" t="str">
        <f>IF(AND(MONTH(E4962)='IN-NX'!$J$5,'IN-NX'!$D$7=D4962),"x","")</f>
        <v/>
      </c>
      <c r="AB4962" s="79" t="str">
        <f>IF(AND(OR(LEFT(TH!N4962,2)="15",LEFT(TH!O4962,2)="15"),LEFT(TH!O4962,3)&lt;&gt;"111",'152-CT'!$J$8=TH!F4962),"x","")</f>
        <v/>
      </c>
      <c r="AC4962" s="79" t="str">
        <f>IF(AND(OR(LEFT(TH!N4962,2)="15",LEFT(TH!O4962,2)="15"),TK!$E$7=TH!F4962),"x","")</f>
        <v/>
      </c>
      <c r="AD4962" s="79" t="str">
        <f>IF(AND(N4962="1521",MONTH(C4962)='BK-NL'!$M$11),"x","")</f>
        <v/>
      </c>
    </row>
    <row r="4963" spans="1:30" ht="16.5" customHeight="1">
      <c r="A4963" s="318" t="str">
        <f>IF(B4963&lt;&gt;"",IF(AND(B4963='[3]IN-TC'!$S$4,OR([3]TH!N4194="1111",[3]TH!O4194="1111")),[3]TH!D4194,""),"")</f>
        <v/>
      </c>
      <c r="B4963" s="60" t="str">
        <f t="shared" si="488"/>
        <v/>
      </c>
      <c r="C4963" s="61"/>
      <c r="D4963" s="61"/>
      <c r="E4963" s="61"/>
      <c r="F4963" s="64"/>
      <c r="G4963" s="64"/>
      <c r="H4963" s="303"/>
      <c r="I4963" s="385"/>
      <c r="J4963" s="395"/>
      <c r="K4963" s="385"/>
      <c r="L4963" s="392"/>
      <c r="M4963" s="62"/>
      <c r="N4963" s="63"/>
      <c r="O4963" s="63"/>
      <c r="P4963" s="79" t="str">
        <f>IF(AND('331-CT'!$E$7=TH!H4963,OR(N4963="331",O4963="331")),"x","")</f>
        <v/>
      </c>
      <c r="Q4963" s="79" t="str">
        <f>IF(AND(B4963='111'!$L$11,OR($N4963=$Q$7,$O4963=$Q$7)),"x","")</f>
        <v/>
      </c>
      <c r="R4963" s="79" t="str">
        <f>IF(AND($N4963=$Q$7,$B4963&lt;'111'!$L$11),"x","")</f>
        <v/>
      </c>
      <c r="S4963" s="79" t="str">
        <f>IF(AND($O4963=$Q$7,$B4963&lt;'111'!$L$11),"x","")</f>
        <v/>
      </c>
      <c r="T4963" s="79" t="str">
        <f>IF(ISERROR(FIND('112'!$M$9,G4963,1)),"",IF((AND(FIND('112'!$M$9,G4963,1)&gt;=1,B4963='112'!$K$9,OR($N4963='112'!$I$6,$O4963='112'!$I$6))),"x",""))</f>
        <v/>
      </c>
      <c r="U4963" s="79" t="str">
        <f>IF(ISERROR(FIND('112'!$M$9,G4963,1)),"",IF((AND(LEFT(G4963,2)=LEFT('112'!$M$9,2),B4963&lt;'112'!$K$9,$N4963='112'!$I$6)),"x",""))</f>
        <v/>
      </c>
      <c r="V4963" s="79" t="str">
        <f>IF(ISERROR(FIND('112'!$M$9,G4963,1)),"",IF((AND(RIGHT(G4963,2)=RIGHT('112'!$M$9,2),B4963&lt;'112'!$K$9,$O4963='112'!$I$6)),"x",""))</f>
        <v/>
      </c>
      <c r="W4963" s="79" t="str">
        <f>IF(AND('341-CT'!$H$9=H4963,OR(LEFT(N4963,3)=$W$7,LEFT(O4963,3)=$W$7)),"x","")</f>
        <v/>
      </c>
      <c r="X4963" s="79" t="str">
        <f>IF(OR(TH!N4963=TH!$X$7,O4963=TH!$X$7),"x","")</f>
        <v/>
      </c>
      <c r="Y4963" s="79" t="str">
        <f>IF(AND(OR(N4963="131",O4963="131"),H4963='131-CT'!$H$9),"x","")</f>
        <v/>
      </c>
      <c r="Z4963" s="79"/>
      <c r="AA4963" s="79" t="str">
        <f>IF(AND(MONTH(E4963)='IN-NX'!$J$5,'IN-NX'!$D$7=D4963),"x","")</f>
        <v/>
      </c>
      <c r="AB4963" s="79" t="str">
        <f>IF(AND(OR(LEFT(TH!N4963,2)="15",LEFT(TH!O4963,2)="15"),LEFT(TH!O4963,3)&lt;&gt;"111",'152-CT'!$J$8=TH!F4963),"x","")</f>
        <v/>
      </c>
      <c r="AC4963" s="79" t="str">
        <f>IF(AND(OR(LEFT(TH!N4963,2)="15",LEFT(TH!O4963,2)="15"),TK!$E$7=TH!F4963),"x","")</f>
        <v/>
      </c>
      <c r="AD4963" s="79" t="str">
        <f>IF(AND(N4963="1521",MONTH(C4963)='BK-NL'!$M$11),"x","")</f>
        <v/>
      </c>
    </row>
    <row r="4964" spans="1:30" ht="16.5" customHeight="1">
      <c r="A4964" s="318" t="str">
        <f>IF(B4964&lt;&gt;"",IF(AND(B4964='[3]IN-TC'!$S$4,OR([3]TH!N4195="1111",[3]TH!O4195="1111")),[3]TH!D4195,""),"")</f>
        <v/>
      </c>
      <c r="B4964" s="60" t="str">
        <f t="shared" si="488"/>
        <v/>
      </c>
      <c r="C4964" s="61"/>
      <c r="D4964" s="61"/>
      <c r="E4964" s="61"/>
      <c r="F4964" s="64"/>
      <c r="G4964" s="64"/>
      <c r="H4964" s="303"/>
      <c r="I4964" s="385"/>
      <c r="J4964" s="395"/>
      <c r="K4964" s="385"/>
      <c r="L4964" s="392"/>
      <c r="M4964" s="62"/>
      <c r="N4964" s="63"/>
      <c r="O4964" s="63"/>
      <c r="P4964" s="79" t="str">
        <f>IF(AND('331-CT'!$E$7=TH!H4964,OR(N4964="331",O4964="331")),"x","")</f>
        <v/>
      </c>
      <c r="Q4964" s="79" t="str">
        <f>IF(AND(B4964='111'!$L$11,OR($N4964=$Q$7,$O4964=$Q$7)),"x","")</f>
        <v/>
      </c>
      <c r="R4964" s="79" t="str">
        <f>IF(AND($N4964=$Q$7,$B4964&lt;'111'!$L$11),"x","")</f>
        <v/>
      </c>
      <c r="S4964" s="79" t="str">
        <f>IF(AND($O4964=$Q$7,$B4964&lt;'111'!$L$11),"x","")</f>
        <v/>
      </c>
      <c r="T4964" s="79" t="str">
        <f>IF(ISERROR(FIND('112'!$M$9,G4964,1)),"",IF((AND(FIND('112'!$M$9,G4964,1)&gt;=1,B4964='112'!$K$9,OR($N4964='112'!$I$6,$O4964='112'!$I$6))),"x",""))</f>
        <v/>
      </c>
      <c r="U4964" s="79" t="str">
        <f>IF(ISERROR(FIND('112'!$M$9,G4964,1)),"",IF((AND(LEFT(G4964,2)=LEFT('112'!$M$9,2),B4964&lt;'112'!$K$9,$N4964='112'!$I$6)),"x",""))</f>
        <v/>
      </c>
      <c r="V4964" s="79" t="str">
        <f>IF(ISERROR(FIND('112'!$M$9,G4964,1)),"",IF((AND(RIGHT(G4964,2)=RIGHT('112'!$M$9,2),B4964&lt;'112'!$K$9,$O4964='112'!$I$6)),"x",""))</f>
        <v/>
      </c>
      <c r="W4964" s="79" t="str">
        <f>IF(AND('341-CT'!$H$9=H4964,OR(LEFT(N4964,3)=$W$7,LEFT(O4964,3)=$W$7)),"x","")</f>
        <v/>
      </c>
      <c r="X4964" s="79" t="str">
        <f>IF(OR(TH!N4964=TH!$X$7,O4964=TH!$X$7),"x","")</f>
        <v/>
      </c>
      <c r="Y4964" s="79" t="str">
        <f>IF(AND(OR(N4964="131",O4964="131"),H4964='131-CT'!$H$9),"x","")</f>
        <v/>
      </c>
      <c r="Z4964" s="79"/>
      <c r="AA4964" s="79" t="str">
        <f>IF(AND(MONTH(E4964)='IN-NX'!$J$5,'IN-NX'!$D$7=D4964),"x","")</f>
        <v/>
      </c>
      <c r="AB4964" s="79" t="str">
        <f>IF(AND(OR(LEFT(TH!N4964,2)="15",LEFT(TH!O4964,2)="15"),LEFT(TH!O4964,3)&lt;&gt;"111",'152-CT'!$J$8=TH!F4964),"x","")</f>
        <v/>
      </c>
      <c r="AC4964" s="79" t="str">
        <f>IF(AND(OR(LEFT(TH!N4964,2)="15",LEFT(TH!O4964,2)="15"),TK!$E$7=TH!F4964),"x","")</f>
        <v/>
      </c>
      <c r="AD4964" s="79" t="str">
        <f>IF(AND(N4964="1521",MONTH(C4964)='BK-NL'!$M$11),"x","")</f>
        <v/>
      </c>
    </row>
    <row r="4965" spans="1:30" ht="16.5" customHeight="1">
      <c r="A4965" s="318" t="str">
        <f>IF(B4965&lt;&gt;"",IF(AND(B4965='[3]IN-TC'!$S$4,OR([3]TH!N4196="1111",[3]TH!O4196="1111")),[3]TH!D4196,""),"")</f>
        <v/>
      </c>
      <c r="B4965" s="60" t="str">
        <f t="shared" si="488"/>
        <v/>
      </c>
      <c r="C4965" s="61"/>
      <c r="D4965" s="61"/>
      <c r="E4965" s="61"/>
      <c r="F4965" s="64"/>
      <c r="G4965" s="64"/>
      <c r="H4965" s="303"/>
      <c r="I4965" s="385"/>
      <c r="J4965" s="395"/>
      <c r="K4965" s="385"/>
      <c r="L4965" s="392"/>
      <c r="M4965" s="62"/>
      <c r="N4965" s="63"/>
      <c r="O4965" s="63"/>
      <c r="P4965" s="79" t="str">
        <f>IF(AND('331-CT'!$E$7=TH!H4965,OR(N4965="331",O4965="331")),"x","")</f>
        <v/>
      </c>
      <c r="Q4965" s="79" t="str">
        <f>IF(AND(B4965='111'!$L$11,OR($N4965=$Q$7,$O4965=$Q$7)),"x","")</f>
        <v/>
      </c>
      <c r="R4965" s="79" t="str">
        <f>IF(AND($N4965=$Q$7,$B4965&lt;'111'!$L$11),"x","")</f>
        <v/>
      </c>
      <c r="S4965" s="79" t="str">
        <f>IF(AND($O4965=$Q$7,$B4965&lt;'111'!$L$11),"x","")</f>
        <v/>
      </c>
      <c r="T4965" s="79" t="str">
        <f>IF(ISERROR(FIND('112'!$M$9,G4965,1)),"",IF((AND(FIND('112'!$M$9,G4965,1)&gt;=1,B4965='112'!$K$9,OR($N4965='112'!$I$6,$O4965='112'!$I$6))),"x",""))</f>
        <v/>
      </c>
      <c r="U4965" s="79" t="str">
        <f>IF(ISERROR(FIND('112'!$M$9,G4965,1)),"",IF((AND(LEFT(G4965,2)=LEFT('112'!$M$9,2),B4965&lt;'112'!$K$9,$N4965='112'!$I$6)),"x",""))</f>
        <v/>
      </c>
      <c r="V4965" s="79" t="str">
        <f>IF(ISERROR(FIND('112'!$M$9,G4965,1)),"",IF((AND(RIGHT(G4965,2)=RIGHT('112'!$M$9,2),B4965&lt;'112'!$K$9,$O4965='112'!$I$6)),"x",""))</f>
        <v/>
      </c>
      <c r="W4965" s="79" t="str">
        <f>IF(AND('341-CT'!$H$9=H4965,OR(LEFT(N4965,3)=$W$7,LEFT(O4965,3)=$W$7)),"x","")</f>
        <v/>
      </c>
      <c r="X4965" s="79" t="str">
        <f>IF(OR(TH!N4965=TH!$X$7,O4965=TH!$X$7),"x","")</f>
        <v/>
      </c>
      <c r="Y4965" s="79" t="str">
        <f>IF(AND(OR(N4965="131",O4965="131"),H4965='131-CT'!$H$9),"x","")</f>
        <v/>
      </c>
      <c r="Z4965" s="79"/>
      <c r="AA4965" s="79" t="str">
        <f>IF(AND(MONTH(E4965)='IN-NX'!$J$5,'IN-NX'!$D$7=D4965),"x","")</f>
        <v/>
      </c>
      <c r="AB4965" s="79" t="str">
        <f>IF(AND(OR(LEFT(TH!N4965,2)="15",LEFT(TH!O4965,2)="15"),LEFT(TH!O4965,3)&lt;&gt;"111",'152-CT'!$J$8=TH!F4965),"x","")</f>
        <v/>
      </c>
      <c r="AC4965" s="79" t="str">
        <f>IF(AND(OR(LEFT(TH!N4965,2)="15",LEFT(TH!O4965,2)="15"),TK!$E$7=TH!F4965),"x","")</f>
        <v/>
      </c>
      <c r="AD4965" s="79" t="str">
        <f>IF(AND(N4965="1521",MONTH(C4965)='BK-NL'!$M$11),"x","")</f>
        <v/>
      </c>
    </row>
    <row r="4966" spans="1:30" ht="16.5" customHeight="1">
      <c r="A4966" s="318" t="str">
        <f>IF(B4966&lt;&gt;"",IF(AND(B4966='[3]IN-TC'!$S$4,OR([3]TH!N4197="1111",[3]TH!O4197="1111")),[3]TH!D4197,""),"")</f>
        <v/>
      </c>
      <c r="B4966" s="60" t="str">
        <f t="shared" si="488"/>
        <v/>
      </c>
      <c r="C4966" s="61"/>
      <c r="D4966" s="61"/>
      <c r="E4966" s="61"/>
      <c r="F4966" s="64"/>
      <c r="G4966" s="64"/>
      <c r="H4966" s="303"/>
      <c r="I4966" s="385"/>
      <c r="J4966" s="395"/>
      <c r="K4966" s="385"/>
      <c r="L4966" s="392"/>
      <c r="M4966" s="62"/>
      <c r="N4966" s="63"/>
      <c r="O4966" s="63"/>
      <c r="P4966" s="79" t="str">
        <f>IF(AND('331-CT'!$E$7=TH!H4966,OR(N4966="331",O4966="331")),"x","")</f>
        <v/>
      </c>
      <c r="Q4966" s="79" t="str">
        <f>IF(AND(B4966='111'!$L$11,OR($N4966=$Q$7,$O4966=$Q$7)),"x","")</f>
        <v/>
      </c>
      <c r="R4966" s="79" t="str">
        <f>IF(AND($N4966=$Q$7,$B4966&lt;'111'!$L$11),"x","")</f>
        <v/>
      </c>
      <c r="S4966" s="79" t="str">
        <f>IF(AND($O4966=$Q$7,$B4966&lt;'111'!$L$11),"x","")</f>
        <v/>
      </c>
      <c r="T4966" s="79" t="str">
        <f>IF(ISERROR(FIND('112'!$M$9,G4966,1)),"",IF((AND(FIND('112'!$M$9,G4966,1)&gt;=1,B4966='112'!$K$9,OR($N4966='112'!$I$6,$O4966='112'!$I$6))),"x",""))</f>
        <v/>
      </c>
      <c r="U4966" s="79" t="str">
        <f>IF(ISERROR(FIND('112'!$M$9,G4966,1)),"",IF((AND(LEFT(G4966,2)=LEFT('112'!$M$9,2),B4966&lt;'112'!$K$9,$N4966='112'!$I$6)),"x",""))</f>
        <v/>
      </c>
      <c r="V4966" s="79" t="str">
        <f>IF(ISERROR(FIND('112'!$M$9,G4966,1)),"",IF((AND(RIGHT(G4966,2)=RIGHT('112'!$M$9,2),B4966&lt;'112'!$K$9,$O4966='112'!$I$6)),"x",""))</f>
        <v/>
      </c>
      <c r="W4966" s="79" t="str">
        <f>IF(AND('341-CT'!$H$9=H4966,OR(LEFT(N4966,3)=$W$7,LEFT(O4966,3)=$W$7)),"x","")</f>
        <v/>
      </c>
      <c r="X4966" s="79" t="str">
        <f>IF(OR(TH!N4966=TH!$X$7,O4966=TH!$X$7),"x","")</f>
        <v/>
      </c>
      <c r="Y4966" s="79" t="str">
        <f>IF(AND(OR(N4966="131",O4966="131"),H4966='131-CT'!$H$9),"x","")</f>
        <v/>
      </c>
      <c r="Z4966" s="79"/>
      <c r="AA4966" s="79" t="str">
        <f>IF(AND(MONTH(E4966)='IN-NX'!$J$5,'IN-NX'!$D$7=D4966),"x","")</f>
        <v/>
      </c>
      <c r="AB4966" s="79" t="str">
        <f>IF(AND(OR(LEFT(TH!N4966,2)="15",LEFT(TH!O4966,2)="15"),LEFT(TH!O4966,3)&lt;&gt;"111",'152-CT'!$J$8=TH!F4966),"x","")</f>
        <v/>
      </c>
      <c r="AC4966" s="79" t="str">
        <f>IF(AND(OR(LEFT(TH!N4966,2)="15",LEFT(TH!O4966,2)="15"),TK!$E$7=TH!F4966),"x","")</f>
        <v/>
      </c>
      <c r="AD4966" s="79" t="str">
        <f>IF(AND(N4966="1521",MONTH(C4966)='BK-NL'!$M$11),"x","")</f>
        <v/>
      </c>
    </row>
    <row r="4967" spans="1:30" ht="16.5" customHeight="1">
      <c r="A4967" s="318" t="str">
        <f>IF(B4967&lt;&gt;"",IF(AND(B4967='[3]IN-TC'!$S$4,OR([3]TH!N4198="1111",[3]TH!O4198="1111")),[3]TH!D4198,""),"")</f>
        <v/>
      </c>
      <c r="B4967" s="60" t="str">
        <f t="shared" si="488"/>
        <v/>
      </c>
      <c r="C4967" s="61"/>
      <c r="D4967" s="61"/>
      <c r="E4967" s="61"/>
      <c r="F4967" s="64"/>
      <c r="G4967" s="64"/>
      <c r="H4967" s="69"/>
      <c r="I4967" s="385"/>
      <c r="J4967" s="395"/>
      <c r="K4967" s="385"/>
      <c r="L4967" s="392"/>
      <c r="M4967" s="62"/>
      <c r="N4967" s="63"/>
      <c r="O4967" s="63"/>
      <c r="P4967" s="79" t="str">
        <f>IF(AND('331-CT'!$E$7=TH!H4967,OR(N4967="331",O4967="331")),"x","")</f>
        <v/>
      </c>
      <c r="Q4967" s="79" t="str">
        <f>IF(AND(B4967='111'!$L$11,OR($N4967=$Q$7,$O4967=$Q$7)),"x","")</f>
        <v/>
      </c>
      <c r="R4967" s="79" t="str">
        <f>IF(AND($N4967=$Q$7,$B4967&lt;'111'!$L$11),"x","")</f>
        <v/>
      </c>
      <c r="S4967" s="79" t="str">
        <f>IF(AND($O4967=$Q$7,$B4967&lt;'111'!$L$11),"x","")</f>
        <v/>
      </c>
      <c r="T4967" s="79" t="str">
        <f>IF(ISERROR(FIND('112'!$M$9,G4967,1)),"",IF((AND(FIND('112'!$M$9,G4967,1)&gt;=1,B4967='112'!$K$9,OR($N4967='112'!$I$6,$O4967='112'!$I$6))),"x",""))</f>
        <v/>
      </c>
      <c r="U4967" s="79" t="str">
        <f>IF(ISERROR(FIND('112'!$M$9,G4967,1)),"",IF((AND(LEFT(G4967,2)=LEFT('112'!$M$9,2),B4967&lt;'112'!$K$9,$N4967='112'!$I$6)),"x",""))</f>
        <v/>
      </c>
      <c r="V4967" s="79" t="str">
        <f>IF(ISERROR(FIND('112'!$M$9,G4967,1)),"",IF((AND(RIGHT(G4967,2)=RIGHT('112'!$M$9,2),B4967&lt;'112'!$K$9,$O4967='112'!$I$6)),"x",""))</f>
        <v/>
      </c>
      <c r="W4967" s="79" t="str">
        <f>IF(AND('341-CT'!$H$9=H4967,OR(LEFT(N4967,3)=$W$7,LEFT(O4967,3)=$W$7)),"x","")</f>
        <v/>
      </c>
      <c r="X4967" s="79" t="str">
        <f>IF(OR(TH!N4967=TH!$X$7,O4967=TH!$X$7),"x","")</f>
        <v/>
      </c>
      <c r="Y4967" s="79" t="str">
        <f>IF(AND(OR(N4967="131",O4967="131"),H4967='131-CT'!$H$9),"x","")</f>
        <v/>
      </c>
      <c r="Z4967" s="79"/>
      <c r="AA4967" s="79" t="str">
        <f>IF(AND(MONTH(E4967)='IN-NX'!$J$5,'IN-NX'!$D$7=D4967),"x","")</f>
        <v/>
      </c>
      <c r="AB4967" s="79" t="str">
        <f>IF(AND(OR(LEFT(TH!N4967,2)="15",LEFT(TH!O4967,2)="15"),LEFT(TH!O4967,3)&lt;&gt;"111",'152-CT'!$J$8=TH!F4967),"x","")</f>
        <v/>
      </c>
      <c r="AC4967" s="79" t="str">
        <f>IF(AND(OR(LEFT(TH!N4967,2)="15",LEFT(TH!O4967,2)="15"),TK!$E$7=TH!F4967),"x","")</f>
        <v/>
      </c>
      <c r="AD4967" s="79" t="str">
        <f>IF(AND(N4967="1521",MONTH(C4967)='BK-NL'!$M$11),"x","")</f>
        <v/>
      </c>
    </row>
    <row r="4968" spans="1:30" ht="16.5" customHeight="1">
      <c r="A4968" s="318" t="str">
        <f>IF(B4968&lt;&gt;"",IF(AND(B4968='[3]IN-TC'!$S$4,OR([3]TH!N4199="1111",[3]TH!O4199="1111")),[3]TH!D4199,""),"")</f>
        <v/>
      </c>
      <c r="B4968" s="60" t="str">
        <f t="shared" si="488"/>
        <v/>
      </c>
      <c r="C4968" s="61"/>
      <c r="D4968" s="61"/>
      <c r="E4968" s="61"/>
      <c r="F4968" s="64"/>
      <c r="G4968" s="64"/>
      <c r="H4968" s="69"/>
      <c r="I4968" s="387"/>
      <c r="J4968" s="395"/>
      <c r="K4968" s="387"/>
      <c r="L4968" s="394"/>
      <c r="M4968" s="62"/>
      <c r="N4968" s="63"/>
      <c r="O4968" s="63"/>
      <c r="P4968" s="79" t="str">
        <f>IF(AND('331-CT'!$E$7=TH!H4968,OR(N4968="331",O4968="331")),"x","")</f>
        <v/>
      </c>
      <c r="Q4968" s="79" t="str">
        <f>IF(AND(B4968='111'!$L$11,OR($N4968=$Q$7,$O4968=$Q$7)),"x","")</f>
        <v/>
      </c>
      <c r="R4968" s="79" t="str">
        <f>IF(AND($N4968=$Q$7,$B4968&lt;'111'!$L$11),"x","")</f>
        <v/>
      </c>
      <c r="S4968" s="79" t="str">
        <f>IF(AND($O4968=$Q$7,$B4968&lt;'111'!$L$11),"x","")</f>
        <v/>
      </c>
      <c r="T4968" s="79" t="str">
        <f>IF(ISERROR(FIND('112'!$M$9,G4968,1)),"",IF((AND(FIND('112'!$M$9,G4968,1)&gt;=1,B4968='112'!$K$9,OR($N4968='112'!$I$6,$O4968='112'!$I$6))),"x",""))</f>
        <v/>
      </c>
      <c r="U4968" s="79" t="str">
        <f>IF(ISERROR(FIND('112'!$M$9,G4968,1)),"",IF((AND(LEFT(G4968,2)=LEFT('112'!$M$9,2),B4968&lt;'112'!$K$9,$N4968='112'!$I$6)),"x",""))</f>
        <v/>
      </c>
      <c r="V4968" s="79" t="str">
        <f>IF(ISERROR(FIND('112'!$M$9,G4968,1)),"",IF((AND(RIGHT(G4968,2)=RIGHT('112'!$M$9,2),B4968&lt;'112'!$K$9,$O4968='112'!$I$6)),"x",""))</f>
        <v/>
      </c>
      <c r="W4968" s="79" t="str">
        <f>IF(AND('341-CT'!$H$9=H4968,OR(LEFT(N4968,3)=$W$7,LEFT(O4968,3)=$W$7)),"x","")</f>
        <v/>
      </c>
      <c r="X4968" s="79" t="str">
        <f>IF(OR(TH!N4968=TH!$X$7,O4968=TH!$X$7),"x","")</f>
        <v/>
      </c>
      <c r="Y4968" s="79" t="str">
        <f>IF(AND(OR(N4968="131",O4968="131"),H4968='131-CT'!$H$9),"x","")</f>
        <v/>
      </c>
      <c r="Z4968" s="79"/>
      <c r="AA4968" s="79" t="str">
        <f>IF(AND(MONTH(E4968)='IN-NX'!$J$5,'IN-NX'!$D$7=D4968),"x","")</f>
        <v/>
      </c>
      <c r="AB4968" s="79" t="str">
        <f>IF(AND(OR(LEFT(TH!N4968,2)="15",LEFT(TH!O4968,2)="15"),LEFT(TH!O4968,3)&lt;&gt;"111",'152-CT'!$J$8=TH!F4968),"x","")</f>
        <v/>
      </c>
      <c r="AC4968" s="79" t="str">
        <f>IF(AND(OR(LEFT(TH!N4968,2)="15",LEFT(TH!O4968,2)="15"),TK!$E$7=TH!F4968),"x","")</f>
        <v/>
      </c>
      <c r="AD4968" s="79" t="str">
        <f>IF(AND(N4968="1521",MONTH(C4968)='BK-NL'!$M$11),"x","")</f>
        <v/>
      </c>
    </row>
    <row r="4969" spans="1:30" ht="16.5" customHeight="1">
      <c r="A4969" s="318" t="str">
        <f>IF(B4969&lt;&gt;"",IF(AND(B4969='[3]IN-TC'!$S$4,OR([3]TH!N4200="1111",[3]TH!O4200="1111")),[3]TH!D4200,""),"")</f>
        <v/>
      </c>
      <c r="B4969" s="60" t="str">
        <f t="shared" si="488"/>
        <v/>
      </c>
      <c r="C4969" s="61"/>
      <c r="D4969" s="61"/>
      <c r="E4969" s="61"/>
      <c r="F4969" s="64"/>
      <c r="G4969" s="64"/>
      <c r="H4969" s="69"/>
      <c r="I4969" s="387"/>
      <c r="J4969" s="395"/>
      <c r="K4969" s="387"/>
      <c r="L4969" s="394"/>
      <c r="M4969" s="62"/>
      <c r="N4969" s="63"/>
      <c r="O4969" s="63"/>
      <c r="P4969" s="79" t="str">
        <f>IF(AND('331-CT'!$E$7=TH!H4969,OR(N4969="331",O4969="331")),"x","")</f>
        <v/>
      </c>
      <c r="Q4969" s="79" t="str">
        <f>IF(AND(B4969='111'!$L$11,OR($N4969=$Q$7,$O4969=$Q$7)),"x","")</f>
        <v/>
      </c>
      <c r="R4969" s="79" t="str">
        <f>IF(AND($N4969=$Q$7,$B4969&lt;'111'!$L$11),"x","")</f>
        <v/>
      </c>
      <c r="S4969" s="79" t="str">
        <f>IF(AND($O4969=$Q$7,$B4969&lt;'111'!$L$11),"x","")</f>
        <v/>
      </c>
      <c r="T4969" s="79" t="str">
        <f>IF(ISERROR(FIND('112'!$M$9,G4969,1)),"",IF((AND(FIND('112'!$M$9,G4969,1)&gt;=1,B4969='112'!$K$9,OR($N4969='112'!$I$6,$O4969='112'!$I$6))),"x",""))</f>
        <v/>
      </c>
      <c r="U4969" s="79" t="str">
        <f>IF(ISERROR(FIND('112'!$M$9,G4969,1)),"",IF((AND(LEFT(G4969,2)=LEFT('112'!$M$9,2),B4969&lt;'112'!$K$9,$N4969='112'!$I$6)),"x",""))</f>
        <v/>
      </c>
      <c r="V4969" s="79" t="str">
        <f>IF(ISERROR(FIND('112'!$M$9,G4969,1)),"",IF((AND(RIGHT(G4969,2)=RIGHT('112'!$M$9,2),B4969&lt;'112'!$K$9,$O4969='112'!$I$6)),"x",""))</f>
        <v/>
      </c>
      <c r="W4969" s="79" t="str">
        <f>IF(AND('341-CT'!$H$9=H4969,OR(LEFT(N4969,3)=$W$7,LEFT(O4969,3)=$W$7)),"x","")</f>
        <v/>
      </c>
      <c r="X4969" s="79" t="str">
        <f>IF(OR(TH!N4969=TH!$X$7,O4969=TH!$X$7),"x","")</f>
        <v/>
      </c>
      <c r="Y4969" s="79" t="str">
        <f>IF(AND(OR(N4969="131",O4969="131"),H4969='131-CT'!$H$9),"x","")</f>
        <v/>
      </c>
      <c r="Z4969" s="79"/>
      <c r="AA4969" s="79" t="str">
        <f>IF(AND(MONTH(E4969)='IN-NX'!$J$5,'IN-NX'!$D$7=D4969),"x","")</f>
        <v/>
      </c>
      <c r="AB4969" s="79" t="str">
        <f>IF(AND(OR(LEFT(TH!N4969,2)="15",LEFT(TH!O4969,2)="15"),LEFT(TH!O4969,3)&lt;&gt;"111",'152-CT'!$J$8=TH!F4969),"x","")</f>
        <v/>
      </c>
      <c r="AC4969" s="79" t="str">
        <f>IF(AND(OR(LEFT(TH!N4969,2)="15",LEFT(TH!O4969,2)="15"),TK!$E$7=TH!F4969),"x","")</f>
        <v/>
      </c>
      <c r="AD4969" s="79" t="str">
        <f>IF(AND(N4969="1521",MONTH(C4969)='BK-NL'!$M$11),"x","")</f>
        <v/>
      </c>
    </row>
    <row r="4970" spans="1:30" ht="16.5" customHeight="1">
      <c r="A4970" s="318" t="str">
        <f>IF(B4970&lt;&gt;"",IF(AND(B4970='[3]IN-TC'!$S$4,OR([3]TH!N4201="1111",[3]TH!O4201="1111")),[3]TH!D4201,""),"")</f>
        <v/>
      </c>
      <c r="B4970" s="60" t="str">
        <f t="shared" si="488"/>
        <v/>
      </c>
      <c r="C4970" s="61"/>
      <c r="D4970" s="61"/>
      <c r="E4970" s="61"/>
      <c r="F4970" s="64"/>
      <c r="G4970" s="64"/>
      <c r="H4970" s="69"/>
      <c r="I4970" s="387"/>
      <c r="J4970" s="395"/>
      <c r="K4970" s="387"/>
      <c r="L4970" s="394"/>
      <c r="M4970" s="62"/>
      <c r="N4970" s="63"/>
      <c r="O4970" s="63"/>
      <c r="P4970" s="79" t="str">
        <f>IF(AND('331-CT'!$E$7=TH!H4970,OR(N4970="331",O4970="331")),"x","")</f>
        <v/>
      </c>
      <c r="Q4970" s="79" t="str">
        <f>IF(AND(B4970='111'!$L$11,OR($N4970=$Q$7,$O4970=$Q$7)),"x","")</f>
        <v/>
      </c>
      <c r="R4970" s="79" t="str">
        <f>IF(AND($N4970=$Q$7,$B4970&lt;'111'!$L$11),"x","")</f>
        <v/>
      </c>
      <c r="S4970" s="79" t="str">
        <f>IF(AND($O4970=$Q$7,$B4970&lt;'111'!$L$11),"x","")</f>
        <v/>
      </c>
      <c r="T4970" s="79" t="str">
        <f>IF(ISERROR(FIND('112'!$M$9,G4970,1)),"",IF((AND(FIND('112'!$M$9,G4970,1)&gt;=1,B4970='112'!$K$9,OR($N4970='112'!$I$6,$O4970='112'!$I$6))),"x",""))</f>
        <v/>
      </c>
      <c r="U4970" s="79" t="str">
        <f>IF(ISERROR(FIND('112'!$M$9,G4970,1)),"",IF((AND(LEFT(G4970,2)=LEFT('112'!$M$9,2),B4970&lt;'112'!$K$9,$N4970='112'!$I$6)),"x",""))</f>
        <v/>
      </c>
      <c r="V4970" s="79" t="str">
        <f>IF(ISERROR(FIND('112'!$M$9,G4970,1)),"",IF((AND(RIGHT(G4970,2)=RIGHT('112'!$M$9,2),B4970&lt;'112'!$K$9,$O4970='112'!$I$6)),"x",""))</f>
        <v/>
      </c>
      <c r="W4970" s="79" t="str">
        <f>IF(AND('341-CT'!$H$9=H4970,OR(LEFT(N4970,3)=$W$7,LEFT(O4970,3)=$W$7)),"x","")</f>
        <v/>
      </c>
      <c r="X4970" s="79" t="str">
        <f>IF(OR(TH!N4970=TH!$X$7,O4970=TH!$X$7),"x","")</f>
        <v/>
      </c>
      <c r="Y4970" s="79" t="str">
        <f>IF(AND(OR(N4970="131",O4970="131"),H4970='131-CT'!$H$9),"x","")</f>
        <v/>
      </c>
      <c r="Z4970" s="79"/>
      <c r="AA4970" s="79" t="str">
        <f>IF(AND(MONTH(E4970)='IN-NX'!$J$5,'IN-NX'!$D$7=D4970),"x","")</f>
        <v/>
      </c>
      <c r="AB4970" s="79" t="str">
        <f>IF(AND(OR(LEFT(TH!N4970,2)="15",LEFT(TH!O4970,2)="15"),LEFT(TH!O4970,3)&lt;&gt;"111",'152-CT'!$J$8=TH!F4970),"x","")</f>
        <v/>
      </c>
      <c r="AC4970" s="79" t="str">
        <f>IF(AND(OR(LEFT(TH!N4970,2)="15",LEFT(TH!O4970,2)="15"),TK!$E$7=TH!F4970),"x","")</f>
        <v/>
      </c>
      <c r="AD4970" s="79" t="str">
        <f>IF(AND(N4970="1521",MONTH(C4970)='BK-NL'!$M$11),"x","")</f>
        <v/>
      </c>
    </row>
    <row r="4971" spans="1:30" ht="16.5" customHeight="1">
      <c r="A4971" s="318" t="str">
        <f>IF(B4971&lt;&gt;"",IF(AND(B4971='[3]IN-TC'!$S$4,OR([3]TH!N4202="1111",[3]TH!O4202="1111")),[3]TH!D4202,""),"")</f>
        <v/>
      </c>
      <c r="B4971" s="60" t="str">
        <f t="shared" si="488"/>
        <v/>
      </c>
      <c r="C4971" s="61"/>
      <c r="D4971" s="61"/>
      <c r="E4971" s="61"/>
      <c r="F4971" s="64"/>
      <c r="G4971" s="64"/>
      <c r="H4971" s="69"/>
      <c r="I4971" s="385"/>
      <c r="J4971" s="395"/>
      <c r="K4971" s="385"/>
      <c r="L4971" s="392"/>
      <c r="M4971" s="62"/>
      <c r="N4971" s="63"/>
      <c r="O4971" s="63"/>
      <c r="P4971" s="79" t="str">
        <f>IF(AND('331-CT'!$E$7=TH!H4971,OR(N4971="331",O4971="331")),"x","")</f>
        <v/>
      </c>
      <c r="Q4971" s="79" t="str">
        <f>IF(AND(B4971='111'!$L$11,OR($N4971=$Q$7,$O4971=$Q$7)),"x","")</f>
        <v/>
      </c>
      <c r="R4971" s="79" t="str">
        <f>IF(AND($N4971=$Q$7,$B4971&lt;'111'!$L$11),"x","")</f>
        <v/>
      </c>
      <c r="S4971" s="79" t="str">
        <f>IF(AND($O4971=$Q$7,$B4971&lt;'111'!$L$11),"x","")</f>
        <v/>
      </c>
      <c r="T4971" s="79" t="str">
        <f>IF(ISERROR(FIND('112'!$M$9,G4971,1)),"",IF((AND(FIND('112'!$M$9,G4971,1)&gt;=1,B4971='112'!$K$9,OR($N4971='112'!$I$6,$O4971='112'!$I$6))),"x",""))</f>
        <v/>
      </c>
      <c r="U4971" s="79" t="str">
        <f>IF(ISERROR(FIND('112'!$M$9,G4971,1)),"",IF((AND(LEFT(G4971,2)=LEFT('112'!$M$9,2),B4971&lt;'112'!$K$9,$N4971='112'!$I$6)),"x",""))</f>
        <v/>
      </c>
      <c r="V4971" s="79" t="str">
        <f>IF(ISERROR(FIND('112'!$M$9,G4971,1)),"",IF((AND(RIGHT(G4971,2)=RIGHT('112'!$M$9,2),B4971&lt;'112'!$K$9,$O4971='112'!$I$6)),"x",""))</f>
        <v/>
      </c>
      <c r="W4971" s="79" t="str">
        <f>IF(AND('341-CT'!$H$9=H4971,OR(LEFT(N4971,3)=$W$7,LEFT(O4971,3)=$W$7)),"x","")</f>
        <v/>
      </c>
      <c r="X4971" s="79" t="str">
        <f>IF(OR(TH!N4971=TH!$X$7,O4971=TH!$X$7),"x","")</f>
        <v/>
      </c>
      <c r="Y4971" s="79" t="str">
        <f>IF(AND(OR(N4971="131",O4971="131"),H4971='131-CT'!$H$9),"x","")</f>
        <v/>
      </c>
      <c r="Z4971" s="79"/>
      <c r="AA4971" s="79" t="str">
        <f>IF(AND(MONTH(E4971)='IN-NX'!$J$5,'IN-NX'!$D$7=D4971),"x","")</f>
        <v/>
      </c>
      <c r="AB4971" s="79" t="str">
        <f>IF(AND(OR(LEFT(TH!N4971,2)="15",LEFT(TH!O4971,2)="15"),LEFT(TH!O4971,3)&lt;&gt;"111",'152-CT'!$J$8=TH!F4971),"x","")</f>
        <v/>
      </c>
      <c r="AC4971" s="79" t="str">
        <f>IF(AND(OR(LEFT(TH!N4971,2)="15",LEFT(TH!O4971,2)="15"),TK!$E$7=TH!F4971),"x","")</f>
        <v/>
      </c>
      <c r="AD4971" s="79" t="str">
        <f>IF(AND(N4971="1521",MONTH(C4971)='BK-NL'!$M$11),"x","")</f>
        <v/>
      </c>
    </row>
    <row r="4972" spans="1:30" ht="16.5" customHeight="1">
      <c r="A4972" s="318" t="str">
        <f>IF(B4972&lt;&gt;"",IF(AND(B4972='[3]IN-TC'!$S$4,OR([3]TH!N4203="1111",[3]TH!O4203="1111")),[3]TH!D4203,""),"")</f>
        <v/>
      </c>
      <c r="B4972" s="60" t="str">
        <f t="shared" si="488"/>
        <v/>
      </c>
      <c r="C4972" s="61"/>
      <c r="D4972" s="61"/>
      <c r="E4972" s="61"/>
      <c r="F4972" s="64"/>
      <c r="G4972" s="64"/>
      <c r="H4972" s="69"/>
      <c r="I4972" s="385"/>
      <c r="J4972" s="395"/>
      <c r="K4972" s="385"/>
      <c r="L4972" s="392"/>
      <c r="M4972" s="62"/>
      <c r="N4972" s="63"/>
      <c r="O4972" s="63"/>
      <c r="P4972" s="79" t="str">
        <f>IF(AND('331-CT'!$E$7=TH!H4972,OR(N4972="331",O4972="331")),"x","")</f>
        <v/>
      </c>
      <c r="Q4972" s="79" t="str">
        <f>IF(AND(B4972='111'!$L$11,OR($N4972=$Q$7,$O4972=$Q$7)),"x","")</f>
        <v/>
      </c>
      <c r="R4972" s="79" t="str">
        <f>IF(AND($N4972=$Q$7,$B4972&lt;'111'!$L$11),"x","")</f>
        <v/>
      </c>
      <c r="S4972" s="79" t="str">
        <f>IF(AND($O4972=$Q$7,$B4972&lt;'111'!$L$11),"x","")</f>
        <v/>
      </c>
      <c r="T4972" s="79" t="str">
        <f>IF(ISERROR(FIND('112'!$M$9,G4972,1)),"",IF((AND(FIND('112'!$M$9,G4972,1)&gt;=1,B4972='112'!$K$9,OR($N4972='112'!$I$6,$O4972='112'!$I$6))),"x",""))</f>
        <v/>
      </c>
      <c r="U4972" s="79" t="str">
        <f>IF(ISERROR(FIND('112'!$M$9,G4972,1)),"",IF((AND(LEFT(G4972,2)=LEFT('112'!$M$9,2),B4972&lt;'112'!$K$9,$N4972='112'!$I$6)),"x",""))</f>
        <v/>
      </c>
      <c r="V4972" s="79" t="str">
        <f>IF(ISERROR(FIND('112'!$M$9,G4972,1)),"",IF((AND(RIGHT(G4972,2)=RIGHT('112'!$M$9,2),B4972&lt;'112'!$K$9,$O4972='112'!$I$6)),"x",""))</f>
        <v/>
      </c>
      <c r="W4972" s="79" t="str">
        <f>IF(AND('341-CT'!$H$9=H4972,OR(LEFT(N4972,3)=$W$7,LEFT(O4972,3)=$W$7)),"x","")</f>
        <v/>
      </c>
      <c r="X4972" s="79" t="str">
        <f>IF(OR(TH!N4972=TH!$X$7,O4972=TH!$X$7),"x","")</f>
        <v/>
      </c>
      <c r="Y4972" s="79" t="str">
        <f>IF(AND(OR(N4972="131",O4972="131"),H4972='131-CT'!$H$9),"x","")</f>
        <v/>
      </c>
      <c r="Z4972" s="79"/>
      <c r="AA4972" s="79" t="str">
        <f>IF(AND(MONTH(E4972)='IN-NX'!$J$5,'IN-NX'!$D$7=D4972),"x","")</f>
        <v/>
      </c>
      <c r="AB4972" s="79" t="str">
        <f>IF(AND(OR(LEFT(TH!N4972,2)="15",LEFT(TH!O4972,2)="15"),LEFT(TH!O4972,3)&lt;&gt;"111",'152-CT'!$J$8=TH!F4972),"x","")</f>
        <v/>
      </c>
      <c r="AC4972" s="79" t="str">
        <f>IF(AND(OR(LEFT(TH!N4972,2)="15",LEFT(TH!O4972,2)="15"),TK!$E$7=TH!F4972),"x","")</f>
        <v/>
      </c>
      <c r="AD4972" s="79" t="str">
        <f>IF(AND(N4972="1521",MONTH(C4972)='BK-NL'!$M$11),"x","")</f>
        <v/>
      </c>
    </row>
    <row r="4973" spans="1:30" ht="16.5" customHeight="1">
      <c r="A4973" s="318" t="str">
        <f>IF(B4973&lt;&gt;"",IF(AND(B4973='[3]IN-TC'!$S$4,OR([3]TH!N4204="1111",[3]TH!O4204="1111")),[3]TH!D4204,""),"")</f>
        <v/>
      </c>
      <c r="B4973" s="60" t="str">
        <f t="shared" si="488"/>
        <v/>
      </c>
      <c r="C4973" s="61"/>
      <c r="D4973" s="61"/>
      <c r="E4973" s="61"/>
      <c r="F4973" s="64"/>
      <c r="G4973" s="64"/>
      <c r="H4973" s="69"/>
      <c r="I4973" s="385"/>
      <c r="J4973" s="395"/>
      <c r="K4973" s="385"/>
      <c r="L4973" s="392"/>
      <c r="M4973" s="62"/>
      <c r="N4973" s="63"/>
      <c r="O4973" s="63"/>
      <c r="P4973" s="79" t="str">
        <f>IF(AND('331-CT'!$E$7=TH!H4973,OR(N4973="331",O4973="331")),"x","")</f>
        <v/>
      </c>
      <c r="Q4973" s="79" t="str">
        <f>IF(AND(B4973='111'!$L$11,OR($N4973=$Q$7,$O4973=$Q$7)),"x","")</f>
        <v/>
      </c>
      <c r="R4973" s="79" t="str">
        <f>IF(AND($N4973=$Q$7,$B4973&lt;'111'!$L$11),"x","")</f>
        <v/>
      </c>
      <c r="S4973" s="79" t="str">
        <f>IF(AND($O4973=$Q$7,$B4973&lt;'111'!$L$11),"x","")</f>
        <v/>
      </c>
      <c r="T4973" s="79" t="str">
        <f>IF(ISERROR(FIND('112'!$M$9,G4973,1)),"",IF((AND(FIND('112'!$M$9,G4973,1)&gt;=1,B4973='112'!$K$9,OR($N4973='112'!$I$6,$O4973='112'!$I$6))),"x",""))</f>
        <v/>
      </c>
      <c r="U4973" s="79" t="str">
        <f>IF(ISERROR(FIND('112'!$M$9,G4973,1)),"",IF((AND(LEFT(G4973,2)=LEFT('112'!$M$9,2),B4973&lt;'112'!$K$9,$N4973='112'!$I$6)),"x",""))</f>
        <v/>
      </c>
      <c r="V4973" s="79" t="str">
        <f>IF(ISERROR(FIND('112'!$M$9,G4973,1)),"",IF((AND(RIGHT(G4973,2)=RIGHT('112'!$M$9,2),B4973&lt;'112'!$K$9,$O4973='112'!$I$6)),"x",""))</f>
        <v/>
      </c>
      <c r="W4973" s="79" t="str">
        <f>IF(AND('341-CT'!$H$9=H4973,OR(LEFT(N4973,3)=$W$7,LEFT(O4973,3)=$W$7)),"x","")</f>
        <v/>
      </c>
      <c r="X4973" s="79" t="str">
        <f>IF(OR(TH!N4973=TH!$X$7,O4973=TH!$X$7),"x","")</f>
        <v/>
      </c>
      <c r="Y4973" s="79" t="str">
        <f>IF(AND(OR(N4973="131",O4973="131"),H4973='131-CT'!$H$9),"x","")</f>
        <v/>
      </c>
      <c r="Z4973" s="79"/>
      <c r="AA4973" s="79" t="str">
        <f>IF(AND(MONTH(E4973)='IN-NX'!$J$5,'IN-NX'!$D$7=D4973),"x","")</f>
        <v/>
      </c>
      <c r="AB4973" s="79" t="str">
        <f>IF(AND(OR(LEFT(TH!N4973,2)="15",LEFT(TH!O4973,2)="15"),LEFT(TH!O4973,3)&lt;&gt;"111",'152-CT'!$J$8=TH!F4973),"x","")</f>
        <v/>
      </c>
      <c r="AC4973" s="79" t="str">
        <f>IF(AND(OR(LEFT(TH!N4973,2)="15",LEFT(TH!O4973,2)="15"),TK!$E$7=TH!F4973),"x","")</f>
        <v/>
      </c>
      <c r="AD4973" s="79" t="str">
        <f>IF(AND(N4973="1521",MONTH(C4973)='BK-NL'!$M$11),"x","")</f>
        <v/>
      </c>
    </row>
    <row r="4974" spans="1:30" ht="16.5" customHeight="1">
      <c r="A4974" s="318" t="str">
        <f>IF(B4974&lt;&gt;"",IF(AND(B4974='[3]IN-TC'!$S$4,OR([3]TH!N4205="1111",[3]TH!O4205="1111")),[3]TH!D4205,""),"")</f>
        <v/>
      </c>
      <c r="B4974" s="60" t="str">
        <f t="shared" si="488"/>
        <v/>
      </c>
      <c r="C4974" s="61"/>
      <c r="D4974" s="61"/>
      <c r="E4974" s="61"/>
      <c r="F4974" s="64"/>
      <c r="G4974" s="64"/>
      <c r="H4974" s="69"/>
      <c r="I4974" s="387"/>
      <c r="J4974" s="395"/>
      <c r="K4974" s="387"/>
      <c r="L4974" s="394"/>
      <c r="M4974" s="62"/>
      <c r="N4974" s="63"/>
      <c r="O4974" s="63"/>
      <c r="P4974" s="79" t="str">
        <f>IF(AND('331-CT'!$E$7=TH!H4974,OR(N4974="331",O4974="331")),"x","")</f>
        <v/>
      </c>
      <c r="Q4974" s="79" t="str">
        <f>IF(AND(B4974='111'!$L$11,OR($N4974=$Q$7,$O4974=$Q$7)),"x","")</f>
        <v/>
      </c>
      <c r="R4974" s="79" t="str">
        <f>IF(AND($N4974=$Q$7,$B4974&lt;'111'!$L$11),"x","")</f>
        <v/>
      </c>
      <c r="S4974" s="79" t="str">
        <f>IF(AND($O4974=$Q$7,$B4974&lt;'111'!$L$11),"x","")</f>
        <v/>
      </c>
      <c r="T4974" s="79" t="str">
        <f>IF(ISERROR(FIND('112'!$M$9,G4974,1)),"",IF((AND(FIND('112'!$M$9,G4974,1)&gt;=1,B4974='112'!$K$9,OR($N4974='112'!$I$6,$O4974='112'!$I$6))),"x",""))</f>
        <v/>
      </c>
      <c r="U4974" s="79" t="str">
        <f>IF(ISERROR(FIND('112'!$M$9,G4974,1)),"",IF((AND(LEFT(G4974,2)=LEFT('112'!$M$9,2),B4974&lt;'112'!$K$9,$N4974='112'!$I$6)),"x",""))</f>
        <v/>
      </c>
      <c r="V4974" s="79" t="str">
        <f>IF(ISERROR(FIND('112'!$M$9,G4974,1)),"",IF((AND(RIGHT(G4974,2)=RIGHT('112'!$M$9,2),B4974&lt;'112'!$K$9,$O4974='112'!$I$6)),"x",""))</f>
        <v/>
      </c>
      <c r="W4974" s="79" t="str">
        <f>IF(AND('341-CT'!$H$9=H4974,OR(LEFT(N4974,3)=$W$7,LEFT(O4974,3)=$W$7)),"x","")</f>
        <v/>
      </c>
      <c r="X4974" s="79" t="str">
        <f>IF(OR(TH!N4974=TH!$X$7,O4974=TH!$X$7),"x","")</f>
        <v/>
      </c>
      <c r="Y4974" s="79" t="str">
        <f>IF(AND(OR(N4974="131",O4974="131"),H4974='131-CT'!$H$9),"x","")</f>
        <v/>
      </c>
      <c r="Z4974" s="79"/>
      <c r="AA4974" s="79" t="str">
        <f>IF(AND(MONTH(E4974)='IN-NX'!$J$5,'IN-NX'!$D$7=D4974),"x","")</f>
        <v/>
      </c>
      <c r="AB4974" s="79" t="str">
        <f>IF(AND(OR(LEFT(TH!N4974,2)="15",LEFT(TH!O4974,2)="15"),LEFT(TH!O4974,3)&lt;&gt;"111",'152-CT'!$J$8=TH!F4974),"x","")</f>
        <v/>
      </c>
      <c r="AC4974" s="79" t="str">
        <f>IF(AND(OR(LEFT(TH!N4974,2)="15",LEFT(TH!O4974,2)="15"),TK!$E$7=TH!F4974),"x","")</f>
        <v/>
      </c>
      <c r="AD4974" s="79" t="str">
        <f>IF(AND(N4974="1521",MONTH(C4974)='BK-NL'!$M$11),"x","")</f>
        <v/>
      </c>
    </row>
    <row r="4975" spans="1:30" ht="16.5" customHeight="1">
      <c r="A4975" s="318" t="str">
        <f>IF(B4975&lt;&gt;"",IF(AND(B4975='[3]IN-TC'!$S$4,OR([3]TH!N4206="1111",[3]TH!O4206="1111")),[3]TH!D4206,""),"")</f>
        <v/>
      </c>
      <c r="B4975" s="60" t="str">
        <f t="shared" si="488"/>
        <v/>
      </c>
      <c r="C4975" s="61"/>
      <c r="D4975" s="61"/>
      <c r="E4975" s="61"/>
      <c r="F4975" s="64"/>
      <c r="G4975" s="64"/>
      <c r="H4975" s="69"/>
      <c r="I4975" s="385"/>
      <c r="J4975" s="395"/>
      <c r="K4975" s="385"/>
      <c r="L4975" s="392"/>
      <c r="M4975" s="62"/>
      <c r="N4975" s="63"/>
      <c r="O4975" s="63"/>
      <c r="P4975" s="79" t="str">
        <f>IF(AND('331-CT'!$E$7=TH!H4975,OR(N4975="331",O4975="331")),"x","")</f>
        <v/>
      </c>
      <c r="Q4975" s="79" t="str">
        <f>IF(AND(B4975='111'!$L$11,OR($N4975=$Q$7,$O4975=$Q$7)),"x","")</f>
        <v/>
      </c>
      <c r="R4975" s="79" t="str">
        <f>IF(AND($N4975=$Q$7,$B4975&lt;'111'!$L$11),"x","")</f>
        <v/>
      </c>
      <c r="S4975" s="79" t="str">
        <f>IF(AND($O4975=$Q$7,$B4975&lt;'111'!$L$11),"x","")</f>
        <v/>
      </c>
      <c r="T4975" s="79" t="str">
        <f>IF(ISERROR(FIND('112'!$M$9,G4975,1)),"",IF((AND(FIND('112'!$M$9,G4975,1)&gt;=1,B4975='112'!$K$9,OR($N4975='112'!$I$6,$O4975='112'!$I$6))),"x",""))</f>
        <v/>
      </c>
      <c r="U4975" s="79" t="str">
        <f>IF(ISERROR(FIND('112'!$M$9,G4975,1)),"",IF((AND(LEFT(G4975,2)=LEFT('112'!$M$9,2),B4975&lt;'112'!$K$9,$N4975='112'!$I$6)),"x",""))</f>
        <v/>
      </c>
      <c r="V4975" s="79" t="str">
        <f>IF(ISERROR(FIND('112'!$M$9,G4975,1)),"",IF((AND(RIGHT(G4975,2)=RIGHT('112'!$M$9,2),B4975&lt;'112'!$K$9,$O4975='112'!$I$6)),"x",""))</f>
        <v/>
      </c>
      <c r="W4975" s="79" t="str">
        <f>IF(AND('341-CT'!$H$9=H4975,OR(LEFT(N4975,3)=$W$7,LEFT(O4975,3)=$W$7)),"x","")</f>
        <v/>
      </c>
      <c r="X4975" s="79" t="str">
        <f>IF(OR(TH!N4975=TH!$X$7,O4975=TH!$X$7),"x","")</f>
        <v/>
      </c>
      <c r="Y4975" s="79" t="str">
        <f>IF(AND(OR(N4975="131",O4975="131"),H4975='131-CT'!$H$9),"x","")</f>
        <v/>
      </c>
      <c r="Z4975" s="79"/>
      <c r="AA4975" s="79" t="str">
        <f>IF(AND(MONTH(E4975)='IN-NX'!$J$5,'IN-NX'!$D$7=D4975),"x","")</f>
        <v/>
      </c>
      <c r="AB4975" s="79" t="str">
        <f>IF(AND(OR(LEFT(TH!N4975,2)="15",LEFT(TH!O4975,2)="15"),LEFT(TH!O4975,3)&lt;&gt;"111",'152-CT'!$J$8=TH!F4975),"x","")</f>
        <v/>
      </c>
      <c r="AC4975" s="79" t="str">
        <f>IF(AND(OR(LEFT(TH!N4975,2)="15",LEFT(TH!O4975,2)="15"),TK!$E$7=TH!F4975),"x","")</f>
        <v/>
      </c>
      <c r="AD4975" s="79" t="str">
        <f>IF(AND(N4975="1521",MONTH(C4975)='BK-NL'!$M$11),"x","")</f>
        <v/>
      </c>
    </row>
    <row r="4976" spans="1:30" ht="16.5" customHeight="1">
      <c r="A4976" s="318" t="str">
        <f>IF(B4976&lt;&gt;"",IF(AND(B4976='[3]IN-TC'!$S$4,OR([3]TH!N4207="1111",[3]TH!O4207="1111")),[3]TH!D4207,""),"")</f>
        <v/>
      </c>
      <c r="B4976" s="60" t="str">
        <f t="shared" si="488"/>
        <v/>
      </c>
      <c r="C4976" s="61"/>
      <c r="D4976" s="61"/>
      <c r="E4976" s="61"/>
      <c r="F4976" s="64"/>
      <c r="G4976" s="64"/>
      <c r="H4976" s="303"/>
      <c r="I4976" s="385"/>
      <c r="J4976" s="395"/>
      <c r="K4976" s="385"/>
      <c r="L4976" s="392"/>
      <c r="M4976" s="62"/>
      <c r="N4976" s="63"/>
      <c r="O4976" s="63"/>
      <c r="P4976" s="79" t="str">
        <f>IF(AND('331-CT'!$E$7=TH!H4976,OR(N4976="331",O4976="331")),"x","")</f>
        <v/>
      </c>
      <c r="Q4976" s="79" t="str">
        <f>IF(AND(B4976='111'!$L$11,OR($N4976=$Q$7,$O4976=$Q$7)),"x","")</f>
        <v/>
      </c>
      <c r="R4976" s="79" t="str">
        <f>IF(AND($N4976=$Q$7,$B4976&lt;'111'!$L$11),"x","")</f>
        <v/>
      </c>
      <c r="S4976" s="79" t="str">
        <f>IF(AND($O4976=$Q$7,$B4976&lt;'111'!$L$11),"x","")</f>
        <v/>
      </c>
      <c r="T4976" s="79" t="str">
        <f>IF(ISERROR(FIND('112'!$M$9,G4976,1)),"",IF((AND(FIND('112'!$M$9,G4976,1)&gt;=1,B4976='112'!$K$9,OR($N4976='112'!$I$6,$O4976='112'!$I$6))),"x",""))</f>
        <v/>
      </c>
      <c r="U4976" s="79" t="str">
        <f>IF(ISERROR(FIND('112'!$M$9,G4976,1)),"",IF((AND(LEFT(G4976,2)=LEFT('112'!$M$9,2),B4976&lt;'112'!$K$9,$N4976='112'!$I$6)),"x",""))</f>
        <v/>
      </c>
      <c r="V4976" s="79" t="str">
        <f>IF(ISERROR(FIND('112'!$M$9,G4976,1)),"",IF((AND(RIGHT(G4976,2)=RIGHT('112'!$M$9,2),B4976&lt;'112'!$K$9,$O4976='112'!$I$6)),"x",""))</f>
        <v/>
      </c>
      <c r="W4976" s="79" t="str">
        <f>IF(AND('341-CT'!$H$9=H4976,OR(LEFT(N4976,3)=$W$7,LEFT(O4976,3)=$W$7)),"x","")</f>
        <v/>
      </c>
      <c r="X4976" s="79" t="str">
        <f>IF(OR(TH!N4976=TH!$X$7,O4976=TH!$X$7),"x","")</f>
        <v/>
      </c>
      <c r="Y4976" s="79" t="str">
        <f>IF(AND(OR(N4976="131",O4976="131"),H4976='131-CT'!$H$9),"x","")</f>
        <v/>
      </c>
      <c r="Z4976" s="79"/>
      <c r="AA4976" s="79" t="str">
        <f>IF(AND(MONTH(E4976)='IN-NX'!$J$5,'IN-NX'!$D$7=D4976),"x","")</f>
        <v/>
      </c>
      <c r="AB4976" s="79" t="str">
        <f>IF(AND(OR(LEFT(TH!N4976,2)="15",LEFT(TH!O4976,2)="15"),LEFT(TH!O4976,3)&lt;&gt;"111",'152-CT'!$J$8=TH!F4976),"x","")</f>
        <v/>
      </c>
      <c r="AC4976" s="79" t="str">
        <f>IF(AND(OR(LEFT(TH!N4976,2)="15",LEFT(TH!O4976,2)="15"),TK!$E$7=TH!F4976),"x","")</f>
        <v/>
      </c>
      <c r="AD4976" s="79" t="str">
        <f>IF(AND(N4976="1521",MONTH(C4976)='BK-NL'!$M$11),"x","")</f>
        <v/>
      </c>
    </row>
    <row r="4977" spans="1:30" ht="16.5" customHeight="1">
      <c r="A4977" s="318" t="str">
        <f>IF(B4977&lt;&gt;"",IF(AND(B4977='[3]IN-TC'!$S$4,OR([3]TH!N4208="1111",[3]TH!O4208="1111")),[3]TH!D4208,""),"")</f>
        <v/>
      </c>
      <c r="B4977" s="60" t="str">
        <f t="shared" si="488"/>
        <v/>
      </c>
      <c r="C4977" s="61"/>
      <c r="D4977" s="61"/>
      <c r="E4977" s="61"/>
      <c r="F4977" s="64"/>
      <c r="G4977" s="64"/>
      <c r="H4977" s="303"/>
      <c r="I4977" s="387"/>
      <c r="J4977" s="395"/>
      <c r="K4977" s="387"/>
      <c r="L4977" s="394"/>
      <c r="M4977" s="62"/>
      <c r="N4977" s="63"/>
      <c r="O4977" s="63"/>
      <c r="P4977" s="79" t="str">
        <f>IF(AND('331-CT'!$E$7=TH!H4977,OR(N4977="331",O4977="331")),"x","")</f>
        <v/>
      </c>
      <c r="Q4977" s="79" t="str">
        <f>IF(AND(B4977='111'!$L$11,OR($N4977=$Q$7,$O4977=$Q$7)),"x","")</f>
        <v/>
      </c>
      <c r="R4977" s="79" t="str">
        <f>IF(AND($N4977=$Q$7,$B4977&lt;'111'!$L$11),"x","")</f>
        <v/>
      </c>
      <c r="S4977" s="79" t="str">
        <f>IF(AND($O4977=$Q$7,$B4977&lt;'111'!$L$11),"x","")</f>
        <v/>
      </c>
      <c r="T4977" s="79" t="str">
        <f>IF(ISERROR(FIND('112'!$M$9,G4977,1)),"",IF((AND(FIND('112'!$M$9,G4977,1)&gt;=1,B4977='112'!$K$9,OR($N4977='112'!$I$6,$O4977='112'!$I$6))),"x",""))</f>
        <v/>
      </c>
      <c r="U4977" s="79" t="str">
        <f>IF(ISERROR(FIND('112'!$M$9,G4977,1)),"",IF((AND(LEFT(G4977,2)=LEFT('112'!$M$9,2),B4977&lt;'112'!$K$9,$N4977='112'!$I$6)),"x",""))</f>
        <v/>
      </c>
      <c r="V4977" s="79" t="str">
        <f>IF(ISERROR(FIND('112'!$M$9,G4977,1)),"",IF((AND(RIGHT(G4977,2)=RIGHT('112'!$M$9,2),B4977&lt;'112'!$K$9,$O4977='112'!$I$6)),"x",""))</f>
        <v/>
      </c>
      <c r="W4977" s="79" t="str">
        <f>IF(AND('341-CT'!$H$9=H4977,OR(LEFT(N4977,3)=$W$7,LEFT(O4977,3)=$W$7)),"x","")</f>
        <v/>
      </c>
      <c r="X4977" s="79" t="str">
        <f>IF(OR(TH!N4977=TH!$X$7,O4977=TH!$X$7),"x","")</f>
        <v/>
      </c>
      <c r="Y4977" s="79" t="str">
        <f>IF(AND(OR(N4977="131",O4977="131"),H4977='131-CT'!$H$9),"x","")</f>
        <v/>
      </c>
      <c r="Z4977" s="79"/>
      <c r="AA4977" s="79" t="str">
        <f>IF(AND(MONTH(E4977)='IN-NX'!$J$5,'IN-NX'!$D$7=D4977),"x","")</f>
        <v/>
      </c>
      <c r="AB4977" s="79" t="str">
        <f>IF(AND(OR(LEFT(TH!N4977,2)="15",LEFT(TH!O4977,2)="15"),LEFT(TH!O4977,3)&lt;&gt;"111",'152-CT'!$J$8=TH!F4977),"x","")</f>
        <v/>
      </c>
      <c r="AC4977" s="79" t="str">
        <f>IF(AND(OR(LEFT(TH!N4977,2)="15",LEFT(TH!O4977,2)="15"),TK!$E$7=TH!F4977),"x","")</f>
        <v/>
      </c>
      <c r="AD4977" s="79" t="str">
        <f>IF(AND(N4977="1521",MONTH(C4977)='BK-NL'!$M$11),"x","")</f>
        <v/>
      </c>
    </row>
    <row r="4978" spans="1:30" ht="16.5" customHeight="1">
      <c r="A4978" s="318" t="str">
        <f>IF(B4978&lt;&gt;"",IF(AND(B4978='[3]IN-TC'!$S$4,OR([3]TH!N4209="1111",[3]TH!O4209="1111")),[3]TH!D4209,""),"")</f>
        <v/>
      </c>
      <c r="B4978" s="60" t="str">
        <f t="shared" si="488"/>
        <v/>
      </c>
      <c r="C4978" s="61"/>
      <c r="D4978" s="61"/>
      <c r="E4978" s="61"/>
      <c r="F4978" s="64"/>
      <c r="G4978" s="64"/>
      <c r="H4978" s="69"/>
      <c r="I4978" s="387"/>
      <c r="J4978" s="395"/>
      <c r="K4978" s="387"/>
      <c r="L4978" s="394"/>
      <c r="M4978" s="62"/>
      <c r="N4978" s="63"/>
      <c r="O4978" s="63"/>
      <c r="P4978" s="79" t="str">
        <f>IF(AND('331-CT'!$E$7=TH!H4978,OR(N4978="331",O4978="331")),"x","")</f>
        <v/>
      </c>
      <c r="Q4978" s="79" t="str">
        <f>IF(AND(B4978='111'!$L$11,OR($N4978=$Q$7,$O4978=$Q$7)),"x","")</f>
        <v/>
      </c>
      <c r="R4978" s="79" t="str">
        <f>IF(AND($N4978=$Q$7,$B4978&lt;'111'!$L$11),"x","")</f>
        <v/>
      </c>
      <c r="S4978" s="79" t="str">
        <f>IF(AND($O4978=$Q$7,$B4978&lt;'111'!$L$11),"x","")</f>
        <v/>
      </c>
      <c r="T4978" s="79" t="str">
        <f>IF(ISERROR(FIND('112'!$M$9,G4978,1)),"",IF((AND(FIND('112'!$M$9,G4978,1)&gt;=1,B4978='112'!$K$9,OR($N4978='112'!$I$6,$O4978='112'!$I$6))),"x",""))</f>
        <v/>
      </c>
      <c r="U4978" s="79" t="str">
        <f>IF(ISERROR(FIND('112'!$M$9,G4978,1)),"",IF((AND(LEFT(G4978,2)=LEFT('112'!$M$9,2),B4978&lt;'112'!$K$9,$N4978='112'!$I$6)),"x",""))</f>
        <v/>
      </c>
      <c r="V4978" s="79" t="str">
        <f>IF(ISERROR(FIND('112'!$M$9,G4978,1)),"",IF((AND(RIGHT(G4978,2)=RIGHT('112'!$M$9,2),B4978&lt;'112'!$K$9,$O4978='112'!$I$6)),"x",""))</f>
        <v/>
      </c>
      <c r="W4978" s="79" t="str">
        <f>IF(AND('341-CT'!$H$9=H4978,OR(LEFT(N4978,3)=$W$7,LEFT(O4978,3)=$W$7)),"x","")</f>
        <v/>
      </c>
      <c r="X4978" s="79" t="str">
        <f>IF(OR(TH!N4978=TH!$X$7,O4978=TH!$X$7),"x","")</f>
        <v/>
      </c>
      <c r="Y4978" s="79" t="str">
        <f>IF(AND(OR(N4978="131",O4978="131"),H4978='131-CT'!$H$9),"x","")</f>
        <v/>
      </c>
      <c r="Z4978" s="79"/>
      <c r="AA4978" s="79" t="str">
        <f>IF(AND(MONTH(E4978)='IN-NX'!$J$5,'IN-NX'!$D$7=D4978),"x","")</f>
        <v/>
      </c>
      <c r="AB4978" s="79" t="str">
        <f>IF(AND(OR(LEFT(TH!N4978,2)="15",LEFT(TH!O4978,2)="15"),LEFT(TH!O4978,3)&lt;&gt;"111",'152-CT'!$J$8=TH!F4978),"x","")</f>
        <v/>
      </c>
      <c r="AC4978" s="79" t="str">
        <f>IF(AND(OR(LEFT(TH!N4978,2)="15",LEFT(TH!O4978,2)="15"),TK!$E$7=TH!F4978),"x","")</f>
        <v/>
      </c>
      <c r="AD4978" s="79" t="str">
        <f>IF(AND(N4978="1521",MONTH(C4978)='BK-NL'!$M$11),"x","")</f>
        <v/>
      </c>
    </row>
    <row r="4979" spans="1:30" ht="16.5" customHeight="1">
      <c r="A4979" s="318" t="str">
        <f>IF(B4979&lt;&gt;"",IF(AND(B4979='[3]IN-TC'!$S$4,OR([3]TH!N4210="1111",[3]TH!O4210="1111")),[3]TH!D4210,""),"")</f>
        <v/>
      </c>
      <c r="B4979" s="60" t="str">
        <f t="shared" si="488"/>
        <v/>
      </c>
      <c r="C4979" s="61"/>
      <c r="D4979" s="301"/>
      <c r="E4979" s="301"/>
      <c r="F4979" s="302"/>
      <c r="G4979" s="302"/>
      <c r="H4979" s="303"/>
      <c r="I4979" s="385"/>
      <c r="J4979" s="395"/>
      <c r="K4979" s="385"/>
      <c r="L4979" s="392"/>
      <c r="M4979" s="62"/>
      <c r="N4979" s="304"/>
      <c r="O4979" s="304"/>
      <c r="P4979" s="79" t="str">
        <f>IF(AND('331-CT'!$E$7=TH!H4979,OR(N4979="331",O4979="331")),"x","")</f>
        <v/>
      </c>
      <c r="Q4979" s="79" t="str">
        <f>IF(AND(B4979='111'!$L$11,OR($N4979=$Q$7,$O4979=$Q$7)),"x","")</f>
        <v/>
      </c>
      <c r="R4979" s="79" t="str">
        <f>IF(AND($N4979=$Q$7,$B4979&lt;'111'!$L$11),"x","")</f>
        <v/>
      </c>
      <c r="S4979" s="79" t="str">
        <f>IF(AND($O4979=$Q$7,$B4979&lt;'111'!$L$11),"x","")</f>
        <v/>
      </c>
      <c r="T4979" s="79" t="str">
        <f>IF(ISERROR(FIND('112'!$M$9,G4979,1)),"",IF((AND(FIND('112'!$M$9,G4979,1)&gt;=1,B4979='112'!$K$9,OR($N4979='112'!$I$6,$O4979='112'!$I$6))),"x",""))</f>
        <v/>
      </c>
      <c r="U4979" s="79" t="str">
        <f>IF(ISERROR(FIND('112'!$M$9,G4979,1)),"",IF((AND(LEFT(G4979,2)=LEFT('112'!$M$9,2),B4979&lt;'112'!$K$9,$N4979='112'!$I$6)),"x",""))</f>
        <v/>
      </c>
      <c r="V4979" s="79" t="str">
        <f>IF(ISERROR(FIND('112'!$M$9,G4979,1)),"",IF((AND(RIGHT(G4979,2)=RIGHT('112'!$M$9,2),B4979&lt;'112'!$K$9,$O4979='112'!$I$6)),"x",""))</f>
        <v/>
      </c>
      <c r="W4979" s="79" t="str">
        <f>IF(AND('341-CT'!$H$9=H4979,OR(LEFT(N4979,3)=$W$7,LEFT(O4979,3)=$W$7)),"x","")</f>
        <v/>
      </c>
      <c r="X4979" s="79" t="str">
        <f>IF(OR(TH!N4979=TH!$X$7,O4979=TH!$X$7),"x","")</f>
        <v/>
      </c>
      <c r="Y4979" s="79" t="str">
        <f>IF(AND(OR(N4979="131",O4979="131"),H4979='131-CT'!$H$9),"x","")</f>
        <v/>
      </c>
      <c r="Z4979" s="79"/>
      <c r="AA4979" s="79" t="str">
        <f>IF(AND(MONTH(E4979)='IN-NX'!$J$5,'IN-NX'!$D$7=D4979),"x","")</f>
        <v/>
      </c>
      <c r="AB4979" s="79" t="str">
        <f>IF(AND(OR(LEFT(TH!N4979,2)="15",LEFT(TH!O4979,2)="15"),LEFT(TH!O4979,3)&lt;&gt;"111",'152-CT'!$J$8=TH!F4979),"x","")</f>
        <v/>
      </c>
      <c r="AC4979" s="79" t="str">
        <f>IF(AND(OR(LEFT(TH!N4979,2)="15",LEFT(TH!O4979,2)="15"),TK!$E$7=TH!F4979),"x","")</f>
        <v/>
      </c>
      <c r="AD4979" s="79" t="str">
        <f>IF(AND(N4979="1521",MONTH(C4979)='BK-NL'!$M$11),"x","")</f>
        <v/>
      </c>
    </row>
    <row r="4980" spans="1:30" ht="16.5" customHeight="1">
      <c r="A4980" s="318" t="str">
        <f>IF(B4980&lt;&gt;"",IF(AND(B4980='[3]IN-TC'!$S$4,OR([3]TH!N4211="1111",[3]TH!O4211="1111")),[3]TH!D4211,""),"")</f>
        <v/>
      </c>
      <c r="B4980" s="60" t="str">
        <f t="shared" si="488"/>
        <v/>
      </c>
      <c r="C4980" s="61"/>
      <c r="D4980" s="301"/>
      <c r="E4980" s="301"/>
      <c r="F4980" s="302"/>
      <c r="G4980" s="302"/>
      <c r="H4980" s="303"/>
      <c r="I4980" s="385"/>
      <c r="J4980" s="395"/>
      <c r="K4980" s="385"/>
      <c r="L4980" s="392"/>
      <c r="M4980" s="62"/>
      <c r="N4980" s="304"/>
      <c r="O4980" s="304"/>
      <c r="P4980" s="79" t="str">
        <f>IF(AND('331-CT'!$E$7=TH!H4980,OR(N4980="331",O4980="331")),"x","")</f>
        <v/>
      </c>
      <c r="Q4980" s="79" t="str">
        <f>IF(AND(B4980='111'!$L$11,OR($N4980=$Q$7,$O4980=$Q$7)),"x","")</f>
        <v/>
      </c>
      <c r="R4980" s="79" t="str">
        <f>IF(AND($N4980=$Q$7,$B4980&lt;'111'!$L$11),"x","")</f>
        <v/>
      </c>
      <c r="S4980" s="79" t="str">
        <f>IF(AND($O4980=$Q$7,$B4980&lt;'111'!$L$11),"x","")</f>
        <v/>
      </c>
      <c r="T4980" s="79" t="str">
        <f>IF(ISERROR(FIND('112'!$M$9,G4980,1)),"",IF((AND(FIND('112'!$M$9,G4980,1)&gt;=1,B4980='112'!$K$9,OR($N4980='112'!$I$6,$O4980='112'!$I$6))),"x",""))</f>
        <v/>
      </c>
      <c r="U4980" s="79" t="str">
        <f>IF(ISERROR(FIND('112'!$M$9,G4980,1)),"",IF((AND(LEFT(G4980,2)=LEFT('112'!$M$9,2),B4980&lt;'112'!$K$9,$N4980='112'!$I$6)),"x",""))</f>
        <v/>
      </c>
      <c r="V4980" s="79" t="str">
        <f>IF(ISERROR(FIND('112'!$M$9,G4980,1)),"",IF((AND(RIGHT(G4980,2)=RIGHT('112'!$M$9,2),B4980&lt;'112'!$K$9,$O4980='112'!$I$6)),"x",""))</f>
        <v/>
      </c>
      <c r="W4980" s="79" t="str">
        <f>IF(AND('341-CT'!$H$9=H4980,OR(LEFT(N4980,3)=$W$7,LEFT(O4980,3)=$W$7)),"x","")</f>
        <v/>
      </c>
      <c r="X4980" s="79" t="str">
        <f>IF(OR(TH!N4980=TH!$X$7,O4980=TH!$X$7),"x","")</f>
        <v/>
      </c>
      <c r="Y4980" s="79" t="str">
        <f>IF(AND(OR(N4980="131",O4980="131"),H4980='131-CT'!$H$9),"x","")</f>
        <v/>
      </c>
      <c r="Z4980" s="79"/>
      <c r="AA4980" s="79" t="str">
        <f>IF(AND(MONTH(E4980)='IN-NX'!$J$5,'IN-NX'!$D$7=D4980),"x","")</f>
        <v/>
      </c>
      <c r="AB4980" s="79" t="str">
        <f>IF(AND(OR(LEFT(TH!N4980,2)="15",LEFT(TH!O4980,2)="15"),LEFT(TH!O4980,3)&lt;&gt;"111",'152-CT'!$J$8=TH!F4980),"x","")</f>
        <v/>
      </c>
      <c r="AC4980" s="79" t="str">
        <f>IF(AND(OR(LEFT(TH!N4980,2)="15",LEFT(TH!O4980,2)="15"),TK!$E$7=TH!F4980),"x","")</f>
        <v/>
      </c>
      <c r="AD4980" s="79" t="str">
        <f>IF(AND(N4980="1521",MONTH(C4980)='BK-NL'!$M$11),"x","")</f>
        <v/>
      </c>
    </row>
    <row r="4981" spans="1:30" ht="16.5" customHeight="1">
      <c r="A4981" s="318" t="str">
        <f>IF(B4981&lt;&gt;"",IF(AND(B4981='[3]IN-TC'!$S$4,OR([3]TH!N4212="1111",[3]TH!O4212="1111")),[3]TH!D4212,""),"")</f>
        <v/>
      </c>
      <c r="B4981" s="60" t="str">
        <f t="shared" si="488"/>
        <v/>
      </c>
      <c r="C4981" s="61"/>
      <c r="D4981" s="301"/>
      <c r="E4981" s="301"/>
      <c r="F4981" s="302"/>
      <c r="G4981" s="302"/>
      <c r="H4981" s="303"/>
      <c r="I4981" s="385"/>
      <c r="J4981" s="395"/>
      <c r="K4981" s="385"/>
      <c r="L4981" s="392"/>
      <c r="M4981" s="62"/>
      <c r="N4981" s="304"/>
      <c r="O4981" s="304"/>
      <c r="P4981" s="79" t="str">
        <f>IF(AND('331-CT'!$E$7=TH!H4981,OR(N4981="331",O4981="331")),"x","")</f>
        <v/>
      </c>
      <c r="Q4981" s="79" t="str">
        <f>IF(AND(B4981='111'!$L$11,OR($N4981=$Q$7,$O4981=$Q$7)),"x","")</f>
        <v/>
      </c>
      <c r="R4981" s="79" t="str">
        <f>IF(AND($N4981=$Q$7,$B4981&lt;'111'!$L$11),"x","")</f>
        <v/>
      </c>
      <c r="S4981" s="79" t="str">
        <f>IF(AND($O4981=$Q$7,$B4981&lt;'111'!$L$11),"x","")</f>
        <v/>
      </c>
      <c r="T4981" s="79" t="str">
        <f>IF(ISERROR(FIND('112'!$M$9,G4981,1)),"",IF((AND(FIND('112'!$M$9,G4981,1)&gt;=1,B4981='112'!$K$9,OR($N4981='112'!$I$6,$O4981='112'!$I$6))),"x",""))</f>
        <v/>
      </c>
      <c r="U4981" s="79" t="str">
        <f>IF(ISERROR(FIND('112'!$M$9,G4981,1)),"",IF((AND(LEFT(G4981,2)=LEFT('112'!$M$9,2),B4981&lt;'112'!$K$9,$N4981='112'!$I$6)),"x",""))</f>
        <v/>
      </c>
      <c r="V4981" s="79" t="str">
        <f>IF(ISERROR(FIND('112'!$M$9,G4981,1)),"",IF((AND(RIGHT(G4981,2)=RIGHT('112'!$M$9,2),B4981&lt;'112'!$K$9,$O4981='112'!$I$6)),"x",""))</f>
        <v/>
      </c>
      <c r="W4981" s="79" t="str">
        <f>IF(AND('341-CT'!$H$9=H4981,OR(LEFT(N4981,3)=$W$7,LEFT(O4981,3)=$W$7)),"x","")</f>
        <v/>
      </c>
      <c r="X4981" s="79" t="str">
        <f>IF(OR(TH!N4981=TH!$X$7,O4981=TH!$X$7),"x","")</f>
        <v/>
      </c>
      <c r="Y4981" s="79" t="str">
        <f>IF(AND(OR(N4981="131",O4981="131"),H4981='131-CT'!$H$9),"x","")</f>
        <v/>
      </c>
      <c r="Z4981" s="79"/>
      <c r="AA4981" s="79" t="str">
        <f>IF(AND(MONTH(E4981)='IN-NX'!$J$5,'IN-NX'!$D$7=D4981),"x","")</f>
        <v/>
      </c>
      <c r="AB4981" s="79" t="str">
        <f>IF(AND(OR(LEFT(TH!N4981,2)="15",LEFT(TH!O4981,2)="15"),LEFT(TH!O4981,3)&lt;&gt;"111",'152-CT'!$J$8=TH!F4981),"x","")</f>
        <v/>
      </c>
      <c r="AC4981" s="79" t="str">
        <f>IF(AND(OR(LEFT(TH!N4981,2)="15",LEFT(TH!O4981,2)="15"),TK!$E$7=TH!F4981),"x","")</f>
        <v/>
      </c>
      <c r="AD4981" s="79" t="str">
        <f>IF(AND(N4981="1521",MONTH(C4981)='BK-NL'!$M$11),"x","")</f>
        <v/>
      </c>
    </row>
    <row r="4982" spans="1:30" ht="16.5" customHeight="1">
      <c r="A4982" s="318" t="str">
        <f>IF(B4982&lt;&gt;"",IF(AND(B4982='[3]IN-TC'!$S$4,OR([3]TH!N4213="1111",[3]TH!O4213="1111")),[3]TH!D4213,""),"")</f>
        <v/>
      </c>
      <c r="B4982" s="60" t="str">
        <f t="shared" si="488"/>
        <v/>
      </c>
      <c r="C4982" s="61"/>
      <c r="D4982" s="301"/>
      <c r="E4982" s="301"/>
      <c r="F4982" s="302"/>
      <c r="G4982" s="302"/>
      <c r="H4982" s="303"/>
      <c r="I4982" s="385"/>
      <c r="J4982" s="395"/>
      <c r="K4982" s="385"/>
      <c r="L4982" s="392"/>
      <c r="M4982" s="62"/>
      <c r="N4982" s="304"/>
      <c r="O4982" s="304"/>
      <c r="P4982" s="79" t="str">
        <f>IF(AND('331-CT'!$E$7=TH!H4982,OR(N4982="331",O4982="331")),"x","")</f>
        <v/>
      </c>
      <c r="Q4982" s="79" t="str">
        <f>IF(AND(B4982='111'!$L$11,OR($N4982=$Q$7,$O4982=$Q$7)),"x","")</f>
        <v/>
      </c>
      <c r="R4982" s="79" t="str">
        <f>IF(AND($N4982=$Q$7,$B4982&lt;'111'!$L$11),"x","")</f>
        <v/>
      </c>
      <c r="S4982" s="79" t="str">
        <f>IF(AND($O4982=$Q$7,$B4982&lt;'111'!$L$11),"x","")</f>
        <v/>
      </c>
      <c r="T4982" s="79" t="str">
        <f>IF(ISERROR(FIND('112'!$M$9,G4982,1)),"",IF((AND(FIND('112'!$M$9,G4982,1)&gt;=1,B4982='112'!$K$9,OR($N4982='112'!$I$6,$O4982='112'!$I$6))),"x",""))</f>
        <v/>
      </c>
      <c r="U4982" s="79" t="str">
        <f>IF(ISERROR(FIND('112'!$M$9,G4982,1)),"",IF((AND(LEFT(G4982,2)=LEFT('112'!$M$9,2),B4982&lt;'112'!$K$9,$N4982='112'!$I$6)),"x",""))</f>
        <v/>
      </c>
      <c r="V4982" s="79" t="str">
        <f>IF(ISERROR(FIND('112'!$M$9,G4982,1)),"",IF((AND(RIGHT(G4982,2)=RIGHT('112'!$M$9,2),B4982&lt;'112'!$K$9,$O4982='112'!$I$6)),"x",""))</f>
        <v/>
      </c>
      <c r="W4982" s="79" t="str">
        <f>IF(AND('341-CT'!$H$9=H4982,OR(LEFT(N4982,3)=$W$7,LEFT(O4982,3)=$W$7)),"x","")</f>
        <v/>
      </c>
      <c r="X4982" s="79" t="str">
        <f>IF(OR(TH!N4982=TH!$X$7,O4982=TH!$X$7),"x","")</f>
        <v/>
      </c>
      <c r="Y4982" s="79" t="str">
        <f>IF(AND(OR(N4982="131",O4982="131"),H4982='131-CT'!$H$9),"x","")</f>
        <v/>
      </c>
      <c r="Z4982" s="79"/>
      <c r="AA4982" s="79" t="str">
        <f>IF(AND(MONTH(E4982)='IN-NX'!$J$5,'IN-NX'!$D$7=D4982),"x","")</f>
        <v/>
      </c>
      <c r="AB4982" s="79" t="str">
        <f>IF(AND(OR(LEFT(TH!N4982,2)="15",LEFT(TH!O4982,2)="15"),LEFT(TH!O4982,3)&lt;&gt;"111",'152-CT'!$J$8=TH!F4982),"x","")</f>
        <v/>
      </c>
      <c r="AC4982" s="79" t="str">
        <f>IF(AND(OR(LEFT(TH!N4982,2)="15",LEFT(TH!O4982,2)="15"),TK!$E$7=TH!F4982),"x","")</f>
        <v/>
      </c>
      <c r="AD4982" s="79" t="str">
        <f>IF(AND(N4982="1521",MONTH(C4982)='BK-NL'!$M$11),"x","")</f>
        <v/>
      </c>
    </row>
    <row r="4983" spans="1:30" ht="16.5" customHeight="1">
      <c r="A4983" s="318" t="str">
        <f>IF(B4983&lt;&gt;"",IF(AND(B4983='[3]IN-TC'!$S$4,OR([3]TH!N4214="1111",[3]TH!O4214="1111")),[3]TH!D4214,""),"")</f>
        <v/>
      </c>
      <c r="B4983" s="60" t="str">
        <f t="shared" si="488"/>
        <v/>
      </c>
      <c r="C4983" s="61"/>
      <c r="D4983" s="301"/>
      <c r="E4983" s="301"/>
      <c r="F4983" s="302"/>
      <c r="G4983" s="302"/>
      <c r="H4983" s="303"/>
      <c r="I4983" s="385"/>
      <c r="J4983" s="395"/>
      <c r="K4983" s="385"/>
      <c r="L4983" s="392"/>
      <c r="M4983" s="62"/>
      <c r="N4983" s="304"/>
      <c r="O4983" s="304"/>
      <c r="P4983" s="79" t="str">
        <f>IF(AND('331-CT'!$E$7=TH!H4983,OR(N4983="331",O4983="331")),"x","")</f>
        <v/>
      </c>
      <c r="Q4983" s="79" t="str">
        <f>IF(AND(B4983='111'!$L$11,OR($N4983=$Q$7,$O4983=$Q$7)),"x","")</f>
        <v/>
      </c>
      <c r="R4983" s="79" t="str">
        <f>IF(AND($N4983=$Q$7,$B4983&lt;'111'!$L$11),"x","")</f>
        <v/>
      </c>
      <c r="S4983" s="79" t="str">
        <f>IF(AND($O4983=$Q$7,$B4983&lt;'111'!$L$11),"x","")</f>
        <v/>
      </c>
      <c r="T4983" s="79" t="str">
        <f>IF(ISERROR(FIND('112'!$M$9,G4983,1)),"",IF((AND(FIND('112'!$M$9,G4983,1)&gt;=1,B4983='112'!$K$9,OR($N4983='112'!$I$6,$O4983='112'!$I$6))),"x",""))</f>
        <v/>
      </c>
      <c r="U4983" s="79" t="str">
        <f>IF(ISERROR(FIND('112'!$M$9,G4983,1)),"",IF((AND(LEFT(G4983,2)=LEFT('112'!$M$9,2),B4983&lt;'112'!$K$9,$N4983='112'!$I$6)),"x",""))</f>
        <v/>
      </c>
      <c r="V4983" s="79" t="str">
        <f>IF(ISERROR(FIND('112'!$M$9,G4983,1)),"",IF((AND(RIGHT(G4983,2)=RIGHT('112'!$M$9,2),B4983&lt;'112'!$K$9,$O4983='112'!$I$6)),"x",""))</f>
        <v/>
      </c>
      <c r="W4983" s="79" t="str">
        <f>IF(AND('341-CT'!$H$9=H4983,OR(LEFT(N4983,3)=$W$7,LEFT(O4983,3)=$W$7)),"x","")</f>
        <v/>
      </c>
      <c r="X4983" s="79" t="str">
        <f>IF(OR(TH!N4983=TH!$X$7,O4983=TH!$X$7),"x","")</f>
        <v/>
      </c>
      <c r="Y4983" s="79" t="str">
        <f>IF(AND(OR(N4983="131",O4983="131"),H4983='131-CT'!$H$9),"x","")</f>
        <v/>
      </c>
      <c r="Z4983" s="79"/>
      <c r="AA4983" s="79" t="str">
        <f>IF(AND(MONTH(E4983)='IN-NX'!$J$5,'IN-NX'!$D$7=D4983),"x","")</f>
        <v/>
      </c>
      <c r="AB4983" s="79" t="str">
        <f>IF(AND(OR(LEFT(TH!N4983,2)="15",LEFT(TH!O4983,2)="15"),LEFT(TH!O4983,3)&lt;&gt;"111",'152-CT'!$J$8=TH!F4983),"x","")</f>
        <v/>
      </c>
      <c r="AC4983" s="79" t="str">
        <f>IF(AND(OR(LEFT(TH!N4983,2)="15",LEFT(TH!O4983,2)="15"),TK!$E$7=TH!F4983),"x","")</f>
        <v/>
      </c>
      <c r="AD4983" s="79" t="str">
        <f>IF(AND(N4983="1521",MONTH(C4983)='BK-NL'!$M$11),"x","")</f>
        <v/>
      </c>
    </row>
    <row r="4984" spans="1:30" ht="16.5" customHeight="1">
      <c r="A4984" s="318" t="str">
        <f>IF(B4984&lt;&gt;"",IF(AND(B4984='[3]IN-TC'!$S$4,OR([3]TH!N4215="1111",[3]TH!O4215="1111")),[3]TH!D4215,""),"")</f>
        <v/>
      </c>
      <c r="B4984" s="60" t="str">
        <f t="shared" si="488"/>
        <v/>
      </c>
      <c r="C4984" s="61"/>
      <c r="D4984" s="61"/>
      <c r="E4984" s="61"/>
      <c r="F4984" s="64"/>
      <c r="G4984" s="302"/>
      <c r="H4984" s="303"/>
      <c r="I4984" s="385"/>
      <c r="J4984" s="395"/>
      <c r="K4984" s="385"/>
      <c r="L4984" s="392"/>
      <c r="M4984" s="62"/>
      <c r="N4984" s="63"/>
      <c r="O4984" s="63"/>
      <c r="P4984" s="79" t="str">
        <f>IF(AND('331-CT'!$E$7=TH!H4984,OR(N4984="331",O4984="331")),"x","")</f>
        <v/>
      </c>
      <c r="Q4984" s="79" t="str">
        <f>IF(AND(B4984='111'!$L$11,OR($N4984=$Q$7,$O4984=$Q$7)),"x","")</f>
        <v/>
      </c>
      <c r="R4984" s="79" t="str">
        <f>IF(AND($N4984=$Q$7,$B4984&lt;'111'!$L$11),"x","")</f>
        <v/>
      </c>
      <c r="S4984" s="79" t="str">
        <f>IF(AND($O4984=$Q$7,$B4984&lt;'111'!$L$11),"x","")</f>
        <v/>
      </c>
      <c r="T4984" s="79" t="str">
        <f>IF(ISERROR(FIND('112'!$M$9,G4984,1)),"",IF((AND(FIND('112'!$M$9,G4984,1)&gt;=1,B4984='112'!$K$9,OR($N4984='112'!$I$6,$O4984='112'!$I$6))),"x",""))</f>
        <v/>
      </c>
      <c r="U4984" s="79" t="str">
        <f>IF(ISERROR(FIND('112'!$M$9,G4984,1)),"",IF((AND(LEFT(G4984,2)=LEFT('112'!$M$9,2),B4984&lt;'112'!$K$9,$N4984='112'!$I$6)),"x",""))</f>
        <v/>
      </c>
      <c r="V4984" s="79" t="str">
        <f>IF(ISERROR(FIND('112'!$M$9,G4984,1)),"",IF((AND(RIGHT(G4984,2)=RIGHT('112'!$M$9,2),B4984&lt;'112'!$K$9,$O4984='112'!$I$6)),"x",""))</f>
        <v/>
      </c>
      <c r="W4984" s="79" t="str">
        <f>IF(AND('341-CT'!$H$9=H4984,OR(LEFT(N4984,3)=$W$7,LEFT(O4984,3)=$W$7)),"x","")</f>
        <v/>
      </c>
      <c r="X4984" s="79" t="str">
        <f>IF(OR(TH!N4984=TH!$X$7,O4984=TH!$X$7),"x","")</f>
        <v/>
      </c>
      <c r="Y4984" s="79" t="str">
        <f>IF(AND(OR(N4984="131",O4984="131"),H4984='131-CT'!$H$9),"x","")</f>
        <v/>
      </c>
      <c r="Z4984" s="79"/>
      <c r="AA4984" s="79" t="str">
        <f>IF(AND(MONTH(E4984)='IN-NX'!$J$5,'IN-NX'!$D$7=D4984),"x","")</f>
        <v/>
      </c>
      <c r="AB4984" s="79" t="str">
        <f>IF(AND(OR(LEFT(TH!N4984,2)="15",LEFT(TH!O4984,2)="15"),LEFT(TH!O4984,3)&lt;&gt;"111",'152-CT'!$J$8=TH!F4984),"x","")</f>
        <v/>
      </c>
      <c r="AC4984" s="79" t="str">
        <f>IF(AND(OR(LEFT(TH!N4984,2)="15",LEFT(TH!O4984,2)="15"),TK!$E$7=TH!F4984),"x","")</f>
        <v/>
      </c>
      <c r="AD4984" s="79" t="str">
        <f>IF(AND(N4984="1521",MONTH(C4984)='BK-NL'!$M$11),"x","")</f>
        <v/>
      </c>
    </row>
    <row r="4985" spans="1:30" ht="16.5" customHeight="1">
      <c r="A4985" s="318" t="str">
        <f>IF(B4985&lt;&gt;"",IF(AND(B4985='[3]IN-TC'!$S$4,OR([3]TH!N4216="1111",[3]TH!O4216="1111")),[3]TH!D4216,""),"")</f>
        <v/>
      </c>
      <c r="B4985" s="60" t="str">
        <f t="shared" si="488"/>
        <v/>
      </c>
      <c r="C4985" s="61"/>
      <c r="D4985" s="61"/>
      <c r="E4985" s="61"/>
      <c r="F4985" s="64"/>
      <c r="G4985" s="302"/>
      <c r="H4985" s="69"/>
      <c r="I4985" s="385"/>
      <c r="J4985" s="395"/>
      <c r="K4985" s="385"/>
      <c r="L4985" s="392"/>
      <c r="M4985" s="62"/>
      <c r="N4985" s="63"/>
      <c r="O4985" s="63"/>
      <c r="P4985" s="79" t="str">
        <f>IF(AND('331-CT'!$E$7=TH!H4985,OR(N4985="331",O4985="331")),"x","")</f>
        <v/>
      </c>
      <c r="Q4985" s="79" t="str">
        <f>IF(AND(B4985='111'!$L$11,OR($N4985=$Q$7,$O4985=$Q$7)),"x","")</f>
        <v/>
      </c>
      <c r="R4985" s="79" t="str">
        <f>IF(AND($N4985=$Q$7,$B4985&lt;'111'!$L$11),"x","")</f>
        <v/>
      </c>
      <c r="S4985" s="79" t="str">
        <f>IF(AND($O4985=$Q$7,$B4985&lt;'111'!$L$11),"x","")</f>
        <v/>
      </c>
      <c r="T4985" s="79" t="str">
        <f>IF(ISERROR(FIND('112'!$M$9,G4985,1)),"",IF((AND(FIND('112'!$M$9,G4985,1)&gt;=1,B4985='112'!$K$9,OR($N4985='112'!$I$6,$O4985='112'!$I$6))),"x",""))</f>
        <v/>
      </c>
      <c r="U4985" s="79" t="str">
        <f>IF(ISERROR(FIND('112'!$M$9,G4985,1)),"",IF((AND(LEFT(G4985,2)=LEFT('112'!$M$9,2),B4985&lt;'112'!$K$9,$N4985='112'!$I$6)),"x",""))</f>
        <v/>
      </c>
      <c r="V4985" s="79" t="str">
        <f>IF(ISERROR(FIND('112'!$M$9,G4985,1)),"",IF((AND(RIGHT(G4985,2)=RIGHT('112'!$M$9,2),B4985&lt;'112'!$K$9,$O4985='112'!$I$6)),"x",""))</f>
        <v/>
      </c>
      <c r="W4985" s="79" t="str">
        <f>IF(AND('341-CT'!$H$9=H4985,OR(LEFT(N4985,3)=$W$7,LEFT(O4985,3)=$W$7)),"x","")</f>
        <v/>
      </c>
      <c r="X4985" s="79" t="str">
        <f>IF(OR(TH!N4985=TH!$X$7,O4985=TH!$X$7),"x","")</f>
        <v/>
      </c>
      <c r="Y4985" s="79" t="str">
        <f>IF(AND(OR(N4985="131",O4985="131"),H4985='131-CT'!$H$9),"x","")</f>
        <v/>
      </c>
      <c r="Z4985" s="79"/>
      <c r="AA4985" s="79" t="str">
        <f>IF(AND(MONTH(E4985)='IN-NX'!$J$5,'IN-NX'!$D$7=D4985),"x","")</f>
        <v/>
      </c>
      <c r="AB4985" s="79" t="str">
        <f>IF(AND(OR(LEFT(TH!N4985,2)="15",LEFT(TH!O4985,2)="15"),LEFT(TH!O4985,3)&lt;&gt;"111",'152-CT'!$J$8=TH!F4985),"x","")</f>
        <v/>
      </c>
      <c r="AC4985" s="79" t="str">
        <f>IF(AND(OR(LEFT(TH!N4985,2)="15",LEFT(TH!O4985,2)="15"),TK!$E$7=TH!F4985),"x","")</f>
        <v/>
      </c>
      <c r="AD4985" s="79" t="str">
        <f>IF(AND(N4985="1521",MONTH(C4985)='BK-NL'!$M$11),"x","")</f>
        <v/>
      </c>
    </row>
    <row r="4986" spans="1:30" ht="16.5" customHeight="1">
      <c r="A4986" s="318" t="str">
        <f>IF(B4986&lt;&gt;"",IF(AND(B4986='[3]IN-TC'!$S$4,OR([3]TH!N4217="1111",[3]TH!O4217="1111")),[3]TH!D4217,""),"")</f>
        <v/>
      </c>
      <c r="B4986" s="60" t="str">
        <f t="shared" si="488"/>
        <v/>
      </c>
      <c r="C4986" s="61"/>
      <c r="D4986" s="61"/>
      <c r="E4986" s="61"/>
      <c r="F4986" s="64"/>
      <c r="G4986" s="302"/>
      <c r="H4986" s="69"/>
      <c r="I4986" s="385"/>
      <c r="J4986" s="395"/>
      <c r="K4986" s="385"/>
      <c r="L4986" s="392"/>
      <c r="M4986" s="62"/>
      <c r="N4986" s="63"/>
      <c r="O4986" s="63"/>
      <c r="P4986" s="79" t="str">
        <f>IF(AND('331-CT'!$E$7=TH!H4986,OR(N4986="331",O4986="331")),"x","")</f>
        <v/>
      </c>
      <c r="Q4986" s="79" t="str">
        <f>IF(AND(B4986='111'!$L$11,OR($N4986=$Q$7,$O4986=$Q$7)),"x","")</f>
        <v/>
      </c>
      <c r="R4986" s="79" t="str">
        <f>IF(AND($N4986=$Q$7,$B4986&lt;'111'!$L$11),"x","")</f>
        <v/>
      </c>
      <c r="S4986" s="79" t="str">
        <f>IF(AND($O4986=$Q$7,$B4986&lt;'111'!$L$11),"x","")</f>
        <v/>
      </c>
      <c r="T4986" s="79" t="str">
        <f>IF(ISERROR(FIND('112'!$M$9,G4986,1)),"",IF((AND(FIND('112'!$M$9,G4986,1)&gt;=1,B4986='112'!$K$9,OR($N4986='112'!$I$6,$O4986='112'!$I$6))),"x",""))</f>
        <v/>
      </c>
      <c r="U4986" s="79" t="str">
        <f>IF(ISERROR(FIND('112'!$M$9,G4986,1)),"",IF((AND(LEFT(G4986,2)=LEFT('112'!$M$9,2),B4986&lt;'112'!$K$9,$N4986='112'!$I$6)),"x",""))</f>
        <v/>
      </c>
      <c r="V4986" s="79" t="str">
        <f>IF(ISERROR(FIND('112'!$M$9,G4986,1)),"",IF((AND(RIGHT(G4986,2)=RIGHT('112'!$M$9,2),B4986&lt;'112'!$K$9,$O4986='112'!$I$6)),"x",""))</f>
        <v/>
      </c>
      <c r="W4986" s="79" t="str">
        <f>IF(AND('341-CT'!$H$9=H4986,OR(LEFT(N4986,3)=$W$7,LEFT(O4986,3)=$W$7)),"x","")</f>
        <v/>
      </c>
      <c r="X4986" s="79" t="str">
        <f>IF(OR(TH!N4986=TH!$X$7,O4986=TH!$X$7),"x","")</f>
        <v/>
      </c>
      <c r="Y4986" s="79" t="str">
        <f>IF(AND(OR(N4986="131",O4986="131"),H4986='131-CT'!$H$9),"x","")</f>
        <v/>
      </c>
      <c r="Z4986" s="79"/>
      <c r="AA4986" s="79" t="str">
        <f>IF(AND(MONTH(E4986)='IN-NX'!$J$5,'IN-NX'!$D$7=D4986),"x","")</f>
        <v/>
      </c>
      <c r="AB4986" s="79" t="str">
        <f>IF(AND(OR(LEFT(TH!N4986,2)="15",LEFT(TH!O4986,2)="15"),LEFT(TH!O4986,3)&lt;&gt;"111",'152-CT'!$J$8=TH!F4986),"x","")</f>
        <v/>
      </c>
      <c r="AC4986" s="79" t="str">
        <f>IF(AND(OR(LEFT(TH!N4986,2)="15",LEFT(TH!O4986,2)="15"),TK!$E$7=TH!F4986),"x","")</f>
        <v/>
      </c>
      <c r="AD4986" s="79" t="str">
        <f>IF(AND(N4986="1521",MONTH(C4986)='BK-NL'!$M$11),"x","")</f>
        <v/>
      </c>
    </row>
    <row r="4987" spans="1:30" ht="16.5" customHeight="1">
      <c r="A4987" s="318" t="str">
        <f>IF(B4987&lt;&gt;"",IF(AND(B4987='[3]IN-TC'!$S$4,OR([3]TH!N4218="1111",[3]TH!O4218="1111")),[3]TH!D4218,""),"")</f>
        <v/>
      </c>
      <c r="B4987" s="60" t="str">
        <f t="shared" si="488"/>
        <v/>
      </c>
      <c r="C4987" s="61"/>
      <c r="D4987" s="61"/>
      <c r="E4987" s="61"/>
      <c r="F4987" s="64"/>
      <c r="G4987" s="302"/>
      <c r="H4987" s="69"/>
      <c r="I4987" s="385"/>
      <c r="J4987" s="395"/>
      <c r="K4987" s="385"/>
      <c r="L4987" s="392"/>
      <c r="M4987" s="62"/>
      <c r="N4987" s="63"/>
      <c r="O4987" s="63"/>
      <c r="P4987" s="79" t="str">
        <f>IF(AND('331-CT'!$E$7=TH!H4987,OR(N4987="331",O4987="331")),"x","")</f>
        <v/>
      </c>
      <c r="Q4987" s="79" t="str">
        <f>IF(AND(B4987='111'!$L$11,OR($N4987=$Q$7,$O4987=$Q$7)),"x","")</f>
        <v/>
      </c>
      <c r="R4987" s="79" t="str">
        <f>IF(AND($N4987=$Q$7,$B4987&lt;'111'!$L$11),"x","")</f>
        <v/>
      </c>
      <c r="S4987" s="79" t="str">
        <f>IF(AND($O4987=$Q$7,$B4987&lt;'111'!$L$11),"x","")</f>
        <v/>
      </c>
      <c r="T4987" s="79" t="str">
        <f>IF(ISERROR(FIND('112'!$M$9,G4987,1)),"",IF((AND(FIND('112'!$M$9,G4987,1)&gt;=1,B4987='112'!$K$9,OR($N4987='112'!$I$6,$O4987='112'!$I$6))),"x",""))</f>
        <v/>
      </c>
      <c r="U4987" s="79" t="str">
        <f>IF(ISERROR(FIND('112'!$M$9,G4987,1)),"",IF((AND(LEFT(G4987,2)=LEFT('112'!$M$9,2),B4987&lt;'112'!$K$9,$N4987='112'!$I$6)),"x",""))</f>
        <v/>
      </c>
      <c r="V4987" s="79" t="str">
        <f>IF(ISERROR(FIND('112'!$M$9,G4987,1)),"",IF((AND(RIGHT(G4987,2)=RIGHT('112'!$M$9,2),B4987&lt;'112'!$K$9,$O4987='112'!$I$6)),"x",""))</f>
        <v/>
      </c>
      <c r="W4987" s="79" t="str">
        <f>IF(AND('341-CT'!$H$9=H4987,OR(LEFT(N4987,3)=$W$7,LEFT(O4987,3)=$W$7)),"x","")</f>
        <v/>
      </c>
      <c r="X4987" s="79" t="str">
        <f>IF(OR(TH!N4987=TH!$X$7,O4987=TH!$X$7),"x","")</f>
        <v/>
      </c>
      <c r="Y4987" s="79" t="str">
        <f>IF(AND(OR(N4987="131",O4987="131"),H4987='131-CT'!$H$9),"x","")</f>
        <v/>
      </c>
      <c r="Z4987" s="79"/>
      <c r="AA4987" s="79" t="str">
        <f>IF(AND(MONTH(E4987)='IN-NX'!$J$5,'IN-NX'!$D$7=D4987),"x","")</f>
        <v/>
      </c>
      <c r="AB4987" s="79" t="str">
        <f>IF(AND(OR(LEFT(TH!N4987,2)="15",LEFT(TH!O4987,2)="15"),LEFT(TH!O4987,3)&lt;&gt;"111",'152-CT'!$J$8=TH!F4987),"x","")</f>
        <v/>
      </c>
      <c r="AC4987" s="79" t="str">
        <f>IF(AND(OR(LEFT(TH!N4987,2)="15",LEFT(TH!O4987,2)="15"),TK!$E$7=TH!F4987),"x","")</f>
        <v/>
      </c>
      <c r="AD4987" s="79" t="str">
        <f>IF(AND(N4987="1521",MONTH(C4987)='BK-NL'!$M$11),"x","")</f>
        <v/>
      </c>
    </row>
    <row r="4988" spans="1:30" ht="16.5" customHeight="1">
      <c r="A4988" s="318" t="str">
        <f>IF(B4988&lt;&gt;"",IF(AND(B4988='[3]IN-TC'!$S$4,OR([3]TH!N4219="1111",[3]TH!O4219="1111")),[3]TH!D4219,""),"")</f>
        <v/>
      </c>
      <c r="B4988" s="60" t="str">
        <f t="shared" si="488"/>
        <v/>
      </c>
      <c r="C4988" s="61"/>
      <c r="D4988" s="61"/>
      <c r="E4988" s="61"/>
      <c r="F4988" s="64"/>
      <c r="G4988" s="302"/>
      <c r="H4988" s="69"/>
      <c r="I4988" s="385"/>
      <c r="J4988" s="395"/>
      <c r="K4988" s="385"/>
      <c r="L4988" s="392"/>
      <c r="M4988" s="62"/>
      <c r="N4988" s="63"/>
      <c r="O4988" s="63"/>
      <c r="P4988" s="79" t="str">
        <f>IF(AND('331-CT'!$E$7=TH!H4988,OR(N4988="331",O4988="331")),"x","")</f>
        <v/>
      </c>
      <c r="Q4988" s="79" t="str">
        <f>IF(AND(B4988='111'!$L$11,OR($N4988=$Q$7,$O4988=$Q$7)),"x","")</f>
        <v/>
      </c>
      <c r="R4988" s="79" t="str">
        <f>IF(AND($N4988=$Q$7,$B4988&lt;'111'!$L$11),"x","")</f>
        <v/>
      </c>
      <c r="S4988" s="79" t="str">
        <f>IF(AND($O4988=$Q$7,$B4988&lt;'111'!$L$11),"x","")</f>
        <v/>
      </c>
      <c r="T4988" s="79" t="str">
        <f>IF(ISERROR(FIND('112'!$M$9,G4988,1)),"",IF((AND(FIND('112'!$M$9,G4988,1)&gt;=1,B4988='112'!$K$9,OR($N4988='112'!$I$6,$O4988='112'!$I$6))),"x",""))</f>
        <v/>
      </c>
      <c r="U4988" s="79" t="str">
        <f>IF(ISERROR(FIND('112'!$M$9,G4988,1)),"",IF((AND(LEFT(G4988,2)=LEFT('112'!$M$9,2),B4988&lt;'112'!$K$9,$N4988='112'!$I$6)),"x",""))</f>
        <v/>
      </c>
      <c r="V4988" s="79" t="str">
        <f>IF(ISERROR(FIND('112'!$M$9,G4988,1)),"",IF((AND(RIGHT(G4988,2)=RIGHT('112'!$M$9,2),B4988&lt;'112'!$K$9,$O4988='112'!$I$6)),"x",""))</f>
        <v/>
      </c>
      <c r="W4988" s="79" t="str">
        <f>IF(AND('341-CT'!$H$9=H4988,OR(LEFT(N4988,3)=$W$7,LEFT(O4988,3)=$W$7)),"x","")</f>
        <v/>
      </c>
      <c r="X4988" s="79" t="str">
        <f>IF(OR(TH!N4988=TH!$X$7,O4988=TH!$X$7),"x","")</f>
        <v/>
      </c>
      <c r="Y4988" s="79" t="str">
        <f>IF(AND(OR(N4988="131",O4988="131"),H4988='131-CT'!$H$9),"x","")</f>
        <v/>
      </c>
      <c r="Z4988" s="79"/>
      <c r="AA4988" s="79" t="str">
        <f>IF(AND(MONTH(E4988)='IN-NX'!$J$5,'IN-NX'!$D$7=D4988),"x","")</f>
        <v/>
      </c>
      <c r="AB4988" s="79" t="str">
        <f>IF(AND(OR(LEFT(TH!N4988,2)="15",LEFT(TH!O4988,2)="15"),LEFT(TH!O4988,3)&lt;&gt;"111",'152-CT'!$J$8=TH!F4988),"x","")</f>
        <v/>
      </c>
      <c r="AC4988" s="79" t="str">
        <f>IF(AND(OR(LEFT(TH!N4988,2)="15",LEFT(TH!O4988,2)="15"),TK!$E$7=TH!F4988),"x","")</f>
        <v/>
      </c>
      <c r="AD4988" s="79" t="str">
        <f>IF(AND(N4988="1521",MONTH(C4988)='BK-NL'!$M$11),"x","")</f>
        <v/>
      </c>
    </row>
    <row r="4989" spans="1:30" ht="16.5" customHeight="1">
      <c r="A4989" s="318" t="str">
        <f>IF(B4989&lt;&gt;"",IF(AND(B4989='[3]IN-TC'!$S$4,OR([3]TH!N4220="1111",[3]TH!O4220="1111")),[3]TH!D4220,""),"")</f>
        <v/>
      </c>
      <c r="B4989" s="60" t="str">
        <f t="shared" si="488"/>
        <v/>
      </c>
      <c r="C4989" s="61"/>
      <c r="D4989" s="61"/>
      <c r="E4989" s="61"/>
      <c r="F4989" s="64"/>
      <c r="G4989" s="302"/>
      <c r="H4989" s="69"/>
      <c r="I4989" s="385"/>
      <c r="J4989" s="395"/>
      <c r="K4989" s="385"/>
      <c r="L4989" s="392"/>
      <c r="M4989" s="62"/>
      <c r="N4989" s="63"/>
      <c r="O4989" s="63"/>
      <c r="P4989" s="79" t="str">
        <f>IF(AND('331-CT'!$E$7=TH!H4989,OR(N4989="331",O4989="331")),"x","")</f>
        <v/>
      </c>
      <c r="Q4989" s="79" t="str">
        <f>IF(AND(B4989='111'!$L$11,OR($N4989=$Q$7,$O4989=$Q$7)),"x","")</f>
        <v/>
      </c>
      <c r="R4989" s="79" t="str">
        <f>IF(AND($N4989=$Q$7,$B4989&lt;'111'!$L$11),"x","")</f>
        <v/>
      </c>
      <c r="S4989" s="79" t="str">
        <f>IF(AND($O4989=$Q$7,$B4989&lt;'111'!$L$11),"x","")</f>
        <v/>
      </c>
      <c r="T4989" s="79" t="str">
        <f>IF(ISERROR(FIND('112'!$M$9,G4989,1)),"",IF((AND(FIND('112'!$M$9,G4989,1)&gt;=1,B4989='112'!$K$9,OR($N4989='112'!$I$6,$O4989='112'!$I$6))),"x",""))</f>
        <v/>
      </c>
      <c r="U4989" s="79" t="str">
        <f>IF(ISERROR(FIND('112'!$M$9,G4989,1)),"",IF((AND(LEFT(G4989,2)=LEFT('112'!$M$9,2),B4989&lt;'112'!$K$9,$N4989='112'!$I$6)),"x",""))</f>
        <v/>
      </c>
      <c r="V4989" s="79" t="str">
        <f>IF(ISERROR(FIND('112'!$M$9,G4989,1)),"",IF((AND(RIGHT(G4989,2)=RIGHT('112'!$M$9,2),B4989&lt;'112'!$K$9,$O4989='112'!$I$6)),"x",""))</f>
        <v/>
      </c>
      <c r="W4989" s="79" t="str">
        <f>IF(AND('341-CT'!$H$9=H4989,OR(LEFT(N4989,3)=$W$7,LEFT(O4989,3)=$W$7)),"x","")</f>
        <v/>
      </c>
      <c r="X4989" s="79" t="str">
        <f>IF(OR(TH!N4989=TH!$X$7,O4989=TH!$X$7),"x","")</f>
        <v/>
      </c>
      <c r="Y4989" s="79" t="str">
        <f>IF(AND(OR(N4989="131",O4989="131"),H4989='131-CT'!$H$9),"x","")</f>
        <v/>
      </c>
      <c r="Z4989" s="79"/>
      <c r="AA4989" s="79" t="str">
        <f>IF(AND(MONTH(E4989)='IN-NX'!$J$5,'IN-NX'!$D$7=D4989),"x","")</f>
        <v/>
      </c>
      <c r="AB4989" s="79" t="str">
        <f>IF(AND(OR(LEFT(TH!N4989,2)="15",LEFT(TH!O4989,2)="15"),LEFT(TH!O4989,3)&lt;&gt;"111",'152-CT'!$J$8=TH!F4989),"x","")</f>
        <v/>
      </c>
      <c r="AC4989" s="79" t="str">
        <f>IF(AND(OR(LEFT(TH!N4989,2)="15",LEFT(TH!O4989,2)="15"),TK!$E$7=TH!F4989),"x","")</f>
        <v/>
      </c>
      <c r="AD4989" s="79" t="str">
        <f>IF(AND(N4989="1521",MONTH(C4989)='BK-NL'!$M$11),"x","")</f>
        <v/>
      </c>
    </row>
    <row r="4990" spans="1:30" ht="16.5" customHeight="1">
      <c r="A4990" s="318" t="str">
        <f>IF(B4990&lt;&gt;"",IF(AND(B4990='[3]IN-TC'!$S$4,OR([3]TH!N4221="1111",[3]TH!O4221="1111")),[3]TH!D4221,""),"")</f>
        <v/>
      </c>
      <c r="B4990" s="60" t="str">
        <f t="shared" si="488"/>
        <v/>
      </c>
      <c r="C4990" s="61"/>
      <c r="D4990" s="61"/>
      <c r="E4990" s="61"/>
      <c r="F4990" s="64"/>
      <c r="G4990" s="302"/>
      <c r="H4990" s="69"/>
      <c r="I4990" s="385"/>
      <c r="J4990" s="395"/>
      <c r="K4990" s="385"/>
      <c r="L4990" s="392"/>
      <c r="M4990" s="62"/>
      <c r="N4990" s="63"/>
      <c r="O4990" s="63"/>
      <c r="P4990" s="79" t="str">
        <f>IF(AND('331-CT'!$E$7=TH!H4990,OR(N4990="331",O4990="331")),"x","")</f>
        <v/>
      </c>
      <c r="Q4990" s="79" t="str">
        <f>IF(AND(B4990='111'!$L$11,OR($N4990=$Q$7,$O4990=$Q$7)),"x","")</f>
        <v/>
      </c>
      <c r="R4990" s="79" t="str">
        <f>IF(AND($N4990=$Q$7,$B4990&lt;'111'!$L$11),"x","")</f>
        <v/>
      </c>
      <c r="S4990" s="79" t="str">
        <f>IF(AND($O4990=$Q$7,$B4990&lt;'111'!$L$11),"x","")</f>
        <v/>
      </c>
      <c r="T4990" s="79" t="str">
        <f>IF(ISERROR(FIND('112'!$M$9,G4990,1)),"",IF((AND(FIND('112'!$M$9,G4990,1)&gt;=1,B4990='112'!$K$9,OR($N4990='112'!$I$6,$O4990='112'!$I$6))),"x",""))</f>
        <v/>
      </c>
      <c r="U4990" s="79" t="str">
        <f>IF(ISERROR(FIND('112'!$M$9,G4990,1)),"",IF((AND(LEFT(G4990,2)=LEFT('112'!$M$9,2),B4990&lt;'112'!$K$9,$N4990='112'!$I$6)),"x",""))</f>
        <v/>
      </c>
      <c r="V4990" s="79" t="str">
        <f>IF(ISERROR(FIND('112'!$M$9,G4990,1)),"",IF((AND(RIGHT(G4990,2)=RIGHT('112'!$M$9,2),B4990&lt;'112'!$K$9,$O4990='112'!$I$6)),"x",""))</f>
        <v/>
      </c>
      <c r="W4990" s="79" t="str">
        <f>IF(AND('341-CT'!$H$9=H4990,OR(LEFT(N4990,3)=$W$7,LEFT(O4990,3)=$W$7)),"x","")</f>
        <v/>
      </c>
      <c r="X4990" s="79" t="str">
        <f>IF(OR(TH!N4990=TH!$X$7,O4990=TH!$X$7),"x","")</f>
        <v/>
      </c>
      <c r="Y4990" s="79" t="str">
        <f>IF(AND(OR(N4990="131",O4990="131"),H4990='131-CT'!$H$9),"x","")</f>
        <v/>
      </c>
      <c r="Z4990" s="79"/>
      <c r="AA4990" s="79" t="str">
        <f>IF(AND(MONTH(E4990)='IN-NX'!$J$5,'IN-NX'!$D$7=D4990),"x","")</f>
        <v/>
      </c>
      <c r="AB4990" s="79" t="str">
        <f>IF(AND(OR(LEFT(TH!N4990,2)="15",LEFT(TH!O4990,2)="15"),LEFT(TH!O4990,3)&lt;&gt;"111",'152-CT'!$J$8=TH!F4990),"x","")</f>
        <v/>
      </c>
      <c r="AC4990" s="79" t="str">
        <f>IF(AND(OR(LEFT(TH!N4990,2)="15",LEFT(TH!O4990,2)="15"),TK!$E$7=TH!F4990),"x","")</f>
        <v/>
      </c>
      <c r="AD4990" s="79" t="str">
        <f>IF(AND(N4990="1521",MONTH(C4990)='BK-NL'!$M$11),"x","")</f>
        <v/>
      </c>
    </row>
    <row r="4991" spans="1:30" ht="16.5" customHeight="1">
      <c r="A4991" s="318" t="str">
        <f>IF(B4991&lt;&gt;"",IF(AND(B4991='[3]IN-TC'!$S$4,OR([3]TH!N4222="1111",[3]TH!O4222="1111")),[3]TH!D4222,""),"")</f>
        <v/>
      </c>
      <c r="B4991" s="60" t="str">
        <f t="shared" si="488"/>
        <v/>
      </c>
      <c r="C4991" s="61"/>
      <c r="D4991" s="61"/>
      <c r="E4991" s="61"/>
      <c r="F4991" s="64"/>
      <c r="G4991" s="302"/>
      <c r="H4991" s="69"/>
      <c r="I4991" s="385"/>
      <c r="J4991" s="395"/>
      <c r="K4991" s="385"/>
      <c r="L4991" s="392"/>
      <c r="M4991" s="62"/>
      <c r="N4991" s="63"/>
      <c r="O4991" s="63"/>
      <c r="P4991" s="79" t="str">
        <f>IF(AND('331-CT'!$E$7=TH!H4991,OR(N4991="331",O4991="331")),"x","")</f>
        <v/>
      </c>
      <c r="Q4991" s="79" t="str">
        <f>IF(AND(B4991='111'!$L$11,OR($N4991=$Q$7,$O4991=$Q$7)),"x","")</f>
        <v/>
      </c>
      <c r="R4991" s="79" t="str">
        <f>IF(AND($N4991=$Q$7,$B4991&lt;'111'!$L$11),"x","")</f>
        <v/>
      </c>
      <c r="S4991" s="79" t="str">
        <f>IF(AND($O4991=$Q$7,$B4991&lt;'111'!$L$11),"x","")</f>
        <v/>
      </c>
      <c r="T4991" s="79" t="str">
        <f>IF(ISERROR(FIND('112'!$M$9,G4991,1)),"",IF((AND(FIND('112'!$M$9,G4991,1)&gt;=1,B4991='112'!$K$9,OR($N4991='112'!$I$6,$O4991='112'!$I$6))),"x",""))</f>
        <v/>
      </c>
      <c r="U4991" s="79" t="str">
        <f>IF(ISERROR(FIND('112'!$M$9,G4991,1)),"",IF((AND(LEFT(G4991,2)=LEFT('112'!$M$9,2),B4991&lt;'112'!$K$9,$N4991='112'!$I$6)),"x",""))</f>
        <v/>
      </c>
      <c r="V4991" s="79" t="str">
        <f>IF(ISERROR(FIND('112'!$M$9,G4991,1)),"",IF((AND(RIGHT(G4991,2)=RIGHT('112'!$M$9,2),B4991&lt;'112'!$K$9,$O4991='112'!$I$6)),"x",""))</f>
        <v/>
      </c>
      <c r="W4991" s="79" t="str">
        <f>IF(AND('341-CT'!$H$9=H4991,OR(LEFT(N4991,3)=$W$7,LEFT(O4991,3)=$W$7)),"x","")</f>
        <v/>
      </c>
      <c r="X4991" s="79" t="str">
        <f>IF(OR(TH!N4991=TH!$X$7,O4991=TH!$X$7),"x","")</f>
        <v/>
      </c>
      <c r="Y4991" s="79" t="str">
        <f>IF(AND(OR(N4991="131",O4991="131"),H4991='131-CT'!$H$9),"x","")</f>
        <v/>
      </c>
      <c r="Z4991" s="79"/>
      <c r="AA4991" s="79" t="str">
        <f>IF(AND(MONTH(E4991)='IN-NX'!$J$5,'IN-NX'!$D$7=D4991),"x","")</f>
        <v/>
      </c>
      <c r="AB4991" s="79" t="str">
        <f>IF(AND(OR(LEFT(TH!N4991,2)="15",LEFT(TH!O4991,2)="15"),LEFT(TH!O4991,3)&lt;&gt;"111",'152-CT'!$J$8=TH!F4991),"x","")</f>
        <v/>
      </c>
      <c r="AC4991" s="79" t="str">
        <f>IF(AND(OR(LEFT(TH!N4991,2)="15",LEFT(TH!O4991,2)="15"),TK!$E$7=TH!F4991),"x","")</f>
        <v/>
      </c>
      <c r="AD4991" s="79" t="str">
        <f>IF(AND(N4991="1521",MONTH(C4991)='BK-NL'!$M$11),"x","")</f>
        <v/>
      </c>
    </row>
    <row r="4992" spans="1:30" ht="16.5" customHeight="1">
      <c r="A4992" s="318" t="str">
        <f>IF(B4992&lt;&gt;"",IF(AND(B4992='[3]IN-TC'!$S$4,OR([3]TH!N4223="1111",[3]TH!O4223="1111")),[3]TH!D4223,""),"")</f>
        <v/>
      </c>
      <c r="B4992" s="60" t="str">
        <f t="shared" ref="B4992:B4993" si="489">IF(C4992&lt;&gt;"",MONTH(C4992),"")</f>
        <v/>
      </c>
      <c r="C4992" s="61"/>
      <c r="D4992" s="61"/>
      <c r="E4992" s="61"/>
      <c r="F4992" s="64"/>
      <c r="G4992" s="302"/>
      <c r="H4992" s="69"/>
      <c r="I4992" s="385"/>
      <c r="J4992" s="395"/>
      <c r="K4992" s="385"/>
      <c r="L4992" s="392"/>
      <c r="M4992" s="62"/>
      <c r="N4992" s="63"/>
      <c r="O4992" s="63"/>
      <c r="P4992" s="79" t="str">
        <f>IF(AND('331-CT'!$E$7=TH!H4992,OR(N4992="331",O4992="331")),"x","")</f>
        <v/>
      </c>
      <c r="Q4992" s="79" t="str">
        <f>IF(AND(B4992='111'!$L$11,OR($N4992=$Q$7,$O4992=$Q$7)),"x","")</f>
        <v/>
      </c>
      <c r="R4992" s="79" t="str">
        <f>IF(AND($N4992=$Q$7,$B4992&lt;'111'!$L$11),"x","")</f>
        <v/>
      </c>
      <c r="S4992" s="79" t="str">
        <f>IF(AND($O4992=$Q$7,$B4992&lt;'111'!$L$11),"x","")</f>
        <v/>
      </c>
      <c r="T4992" s="79" t="str">
        <f>IF(ISERROR(FIND('112'!$M$9,G4992,1)),"",IF((AND(FIND('112'!$M$9,G4992,1)&gt;=1,B4992='112'!$K$9,OR($N4992='112'!$I$6,$O4992='112'!$I$6))),"x",""))</f>
        <v/>
      </c>
      <c r="U4992" s="79" t="str">
        <f>IF(ISERROR(FIND('112'!$M$9,G4992,1)),"",IF((AND(LEFT(G4992,2)=LEFT('112'!$M$9,2),B4992&lt;'112'!$K$9,$N4992='112'!$I$6)),"x",""))</f>
        <v/>
      </c>
      <c r="V4992" s="79" t="str">
        <f>IF(ISERROR(FIND('112'!$M$9,G4992,1)),"",IF((AND(RIGHT(G4992,2)=RIGHT('112'!$M$9,2),B4992&lt;'112'!$K$9,$O4992='112'!$I$6)),"x",""))</f>
        <v/>
      </c>
      <c r="W4992" s="79" t="str">
        <f>IF(AND('341-CT'!$H$9=H4992,OR(LEFT(N4992,3)=$W$7,LEFT(O4992,3)=$W$7)),"x","")</f>
        <v/>
      </c>
      <c r="X4992" s="79" t="str">
        <f>IF(OR(TH!N4992=TH!$X$7,O4992=TH!$X$7),"x","")</f>
        <v/>
      </c>
      <c r="Y4992" s="79" t="str">
        <f>IF(AND(OR(N4992="131",O4992="131"),H4992='131-CT'!$H$9),"x","")</f>
        <v/>
      </c>
      <c r="Z4992" s="79"/>
      <c r="AA4992" s="79" t="str">
        <f>IF(AND(MONTH(E4992)='IN-NX'!$J$5,'IN-NX'!$D$7=D4992),"x","")</f>
        <v/>
      </c>
      <c r="AB4992" s="79" t="str">
        <f>IF(AND(OR(LEFT(TH!N4992,2)="15",LEFT(TH!O4992,2)="15"),LEFT(TH!O4992,3)&lt;&gt;"111",'152-CT'!$J$8=TH!F4992),"x","")</f>
        <v/>
      </c>
      <c r="AC4992" s="79" t="str">
        <f>IF(AND(OR(LEFT(TH!N4992,2)="15",LEFT(TH!O4992,2)="15"),TK!$E$7=TH!F4992),"x","")</f>
        <v/>
      </c>
      <c r="AD4992" s="79" t="str">
        <f>IF(AND(N4992="1521",MONTH(C4992)='BK-NL'!$M$11),"x","")</f>
        <v/>
      </c>
    </row>
    <row r="4993" spans="1:30" ht="16.5" customHeight="1">
      <c r="A4993" s="318" t="str">
        <f>IF(B4993&lt;&gt;"",IF(AND(B4993='[3]IN-TC'!$S$4,OR([3]TH!N4224="1111",[3]TH!O4224="1111")),[3]TH!D4224,""),"")</f>
        <v/>
      </c>
      <c r="B4993" s="60" t="str">
        <f t="shared" si="489"/>
        <v/>
      </c>
      <c r="C4993" s="61"/>
      <c r="D4993" s="61"/>
      <c r="E4993" s="61"/>
      <c r="F4993" s="64"/>
      <c r="G4993" s="302"/>
      <c r="H4993" s="69"/>
      <c r="I4993" s="385"/>
      <c r="J4993" s="395"/>
      <c r="K4993" s="385"/>
      <c r="L4993" s="392"/>
      <c r="M4993" s="62"/>
      <c r="N4993" s="63"/>
      <c r="O4993" s="63"/>
      <c r="P4993" s="79" t="str">
        <f>IF(AND('331-CT'!$E$7=TH!H4993,OR(N4993="331",O4993="331")),"x","")</f>
        <v/>
      </c>
      <c r="Q4993" s="79" t="str">
        <f>IF(AND(B4993='111'!$L$11,OR($N4993=$Q$7,$O4993=$Q$7)),"x","")</f>
        <v/>
      </c>
      <c r="R4993" s="79" t="str">
        <f>IF(AND($N4993=$Q$7,$B4993&lt;'111'!$L$11),"x","")</f>
        <v/>
      </c>
      <c r="S4993" s="79" t="str">
        <f>IF(AND($O4993=$Q$7,$B4993&lt;'111'!$L$11),"x","")</f>
        <v/>
      </c>
      <c r="T4993" s="79" t="str">
        <f>IF(ISERROR(FIND('112'!$M$9,G4993,1)),"",IF((AND(FIND('112'!$M$9,G4993,1)&gt;=1,B4993='112'!$K$9,OR($N4993='112'!$I$6,$O4993='112'!$I$6))),"x",""))</f>
        <v/>
      </c>
      <c r="U4993" s="79" t="str">
        <f>IF(ISERROR(FIND('112'!$M$9,G4993,1)),"",IF((AND(LEFT(G4993,2)=LEFT('112'!$M$9,2),B4993&lt;'112'!$K$9,$N4993='112'!$I$6)),"x",""))</f>
        <v/>
      </c>
      <c r="V4993" s="79" t="str">
        <f>IF(ISERROR(FIND('112'!$M$9,G4993,1)),"",IF((AND(RIGHT(G4993,2)=RIGHT('112'!$M$9,2),B4993&lt;'112'!$K$9,$O4993='112'!$I$6)),"x",""))</f>
        <v/>
      </c>
      <c r="W4993" s="79" t="str">
        <f>IF(AND('341-CT'!$H$9=H4993,OR(LEFT(N4993,3)=$W$7,LEFT(O4993,3)=$W$7)),"x","")</f>
        <v/>
      </c>
      <c r="X4993" s="79" t="str">
        <f>IF(OR(TH!N4993=TH!$X$7,O4993=TH!$X$7),"x","")</f>
        <v/>
      </c>
      <c r="Y4993" s="79" t="str">
        <f>IF(AND(OR(N4993="131",O4993="131"),H4993='131-CT'!$H$9),"x","")</f>
        <v/>
      </c>
      <c r="Z4993" s="79"/>
      <c r="AA4993" s="79" t="str">
        <f>IF(AND(MONTH(E4993)='IN-NX'!$J$5,'IN-NX'!$D$7=D4993),"x","")</f>
        <v/>
      </c>
      <c r="AB4993" s="79" t="str">
        <f>IF(AND(OR(LEFT(TH!N4993,2)="15",LEFT(TH!O4993,2)="15"),LEFT(TH!O4993,3)&lt;&gt;"111",'152-CT'!$J$8=TH!F4993),"x","")</f>
        <v/>
      </c>
      <c r="AC4993" s="79" t="str">
        <f>IF(AND(OR(LEFT(TH!N4993,2)="15",LEFT(TH!O4993,2)="15"),TK!$E$7=TH!F4993),"x","")</f>
        <v/>
      </c>
      <c r="AD4993" s="79" t="str">
        <f>IF(AND(N4993="1521",MONTH(C4993)='BK-NL'!$M$11),"x","")</f>
        <v/>
      </c>
    </row>
    <row r="4994" spans="1:30" ht="16.5" customHeight="1">
      <c r="A4994" s="318" t="str">
        <f>IF(B4994&lt;&gt;"",IF(AND(B4994='[3]IN-TC'!$S$4,OR([3]TH!N4225="1111",[3]TH!O4225="1111")),[3]TH!D4225,""),"")</f>
        <v/>
      </c>
      <c r="B4994" s="60" t="str">
        <f t="shared" si="488"/>
        <v/>
      </c>
      <c r="C4994" s="61"/>
      <c r="D4994" s="61"/>
      <c r="E4994" s="61"/>
      <c r="F4994" s="64"/>
      <c r="G4994" s="64"/>
      <c r="H4994" s="69"/>
      <c r="I4994" s="385"/>
      <c r="J4994" s="395"/>
      <c r="K4994" s="385"/>
      <c r="L4994" s="392"/>
      <c r="M4994" s="62"/>
      <c r="N4994" s="63"/>
      <c r="O4994" s="63"/>
      <c r="P4994" s="79" t="str">
        <f>IF(AND('331-CT'!$E$7=TH!H4994,OR(N4994="331",O4994="331")),"x","")</f>
        <v/>
      </c>
      <c r="Q4994" s="79" t="str">
        <f>IF(AND(B4994='111'!$L$11,OR($N4994=$Q$7,$O4994=$Q$7)),"x","")</f>
        <v/>
      </c>
      <c r="R4994" s="79" t="str">
        <f>IF(AND($N4994=$Q$7,$B4994&lt;'111'!$L$11),"x","")</f>
        <v/>
      </c>
      <c r="S4994" s="79" t="str">
        <f>IF(AND($O4994=$Q$7,$B4994&lt;'111'!$L$11),"x","")</f>
        <v/>
      </c>
      <c r="T4994" s="79" t="str">
        <f>IF(ISERROR(FIND('112'!$M$9,G4994,1)),"",IF((AND(FIND('112'!$M$9,G4994,1)&gt;=1,B4994='112'!$K$9,OR($N4994='112'!$I$6,$O4994='112'!$I$6))),"x",""))</f>
        <v/>
      </c>
      <c r="U4994" s="79" t="str">
        <f>IF(ISERROR(FIND('112'!$M$9,G4994,1)),"",IF((AND(LEFT(G4994,2)=LEFT('112'!$M$9,2),B4994&lt;'112'!$K$9,$N4994='112'!$I$6)),"x",""))</f>
        <v/>
      </c>
      <c r="V4994" s="79" t="str">
        <f>IF(ISERROR(FIND('112'!$M$9,G4994,1)),"",IF((AND(RIGHT(G4994,2)=RIGHT('112'!$M$9,2),B4994&lt;'112'!$K$9,$O4994='112'!$I$6)),"x",""))</f>
        <v/>
      </c>
      <c r="W4994" s="79" t="str">
        <f>IF(AND('341-CT'!$H$9=H4994,OR(LEFT(N4994,3)=$W$7,LEFT(O4994,3)=$W$7)),"x","")</f>
        <v/>
      </c>
      <c r="X4994" s="79" t="str">
        <f>IF(OR(TH!N4994=TH!$X$7,O4994=TH!$X$7),"x","")</f>
        <v/>
      </c>
      <c r="Y4994" s="79" t="str">
        <f>IF(AND(OR(N4994="131",O4994="131"),H4994='131-CT'!$H$9),"x","")</f>
        <v/>
      </c>
      <c r="Z4994" s="79"/>
      <c r="AA4994" s="79" t="str">
        <f>IF(AND(MONTH(E4994)='IN-NX'!$J$5,'IN-NX'!$D$7=D4994),"x","")</f>
        <v/>
      </c>
      <c r="AB4994" s="79" t="str">
        <f>IF(AND(OR(LEFT(TH!N4994,2)="15",LEFT(TH!O4994,2)="15"),LEFT(TH!O4994,3)&lt;&gt;"111",'152-CT'!$J$8=TH!F4994),"x","")</f>
        <v/>
      </c>
      <c r="AC4994" s="79" t="str">
        <f>IF(AND(OR(LEFT(TH!N4994,2)="15",LEFT(TH!O4994,2)="15"),TK!$E$7=TH!F4994),"x","")</f>
        <v/>
      </c>
      <c r="AD4994" s="79" t="str">
        <f>IF(AND(N4994="1521",MONTH(C4994)='BK-NL'!$M$11),"x","")</f>
        <v/>
      </c>
    </row>
    <row r="4995" spans="1:30" ht="16.5" customHeight="1">
      <c r="A4995" s="318" t="str">
        <f>IF(B4995&lt;&gt;"",IF(AND(B4995='[3]IN-TC'!$S$4,OR([3]TH!N4226="1111",[3]TH!O4226="1111")),[3]TH!D4226,""),"")</f>
        <v/>
      </c>
      <c r="B4995" s="60" t="str">
        <f t="shared" ref="B4995:B4996" si="490">IF(C4995&lt;&gt;"",MONTH(C4995),"")</f>
        <v/>
      </c>
      <c r="C4995" s="61"/>
      <c r="D4995" s="61"/>
      <c r="E4995" s="61"/>
      <c r="F4995" s="64"/>
      <c r="G4995" s="64"/>
      <c r="H4995" s="69"/>
      <c r="I4995" s="385"/>
      <c r="J4995" s="395"/>
      <c r="K4995" s="385"/>
      <c r="L4995" s="392"/>
      <c r="M4995" s="62"/>
      <c r="N4995" s="63"/>
      <c r="O4995" s="63"/>
      <c r="P4995" s="79" t="str">
        <f>IF(AND('331-CT'!$E$7=TH!H4995,OR(N4995="331",O4995="331")),"x","")</f>
        <v/>
      </c>
      <c r="Q4995" s="79" t="str">
        <f>IF(AND(B4995='111'!$L$11,OR($N4995=$Q$7,$O4995=$Q$7)),"x","")</f>
        <v/>
      </c>
      <c r="R4995" s="79" t="str">
        <f>IF(AND($N4995=$Q$7,$B4995&lt;'111'!$L$11),"x","")</f>
        <v/>
      </c>
      <c r="S4995" s="79" t="str">
        <f>IF(AND($O4995=$Q$7,$B4995&lt;'111'!$L$11),"x","")</f>
        <v/>
      </c>
      <c r="T4995" s="79" t="str">
        <f>IF(ISERROR(FIND('112'!$M$9,G4995,1)),"",IF((AND(FIND('112'!$M$9,G4995,1)&gt;=1,B4995='112'!$K$9,OR($N4995='112'!$I$6,$O4995='112'!$I$6))),"x",""))</f>
        <v/>
      </c>
      <c r="U4995" s="79" t="str">
        <f>IF(ISERROR(FIND('112'!$M$9,G4995,1)),"",IF((AND(LEFT(G4995,2)=LEFT('112'!$M$9,2),B4995&lt;'112'!$K$9,$N4995='112'!$I$6)),"x",""))</f>
        <v/>
      </c>
      <c r="V4995" s="79" t="str">
        <f>IF(ISERROR(FIND('112'!$M$9,G4995,1)),"",IF((AND(RIGHT(G4995,2)=RIGHT('112'!$M$9,2),B4995&lt;'112'!$K$9,$O4995='112'!$I$6)),"x",""))</f>
        <v/>
      </c>
      <c r="W4995" s="79" t="str">
        <f>IF(AND('341-CT'!$H$9=H4995,OR(LEFT(N4995,3)=$W$7,LEFT(O4995,3)=$W$7)),"x","")</f>
        <v/>
      </c>
      <c r="X4995" s="79" t="str">
        <f>IF(OR(TH!N4995=TH!$X$7,O4995=TH!$X$7),"x","")</f>
        <v/>
      </c>
      <c r="Y4995" s="79" t="str">
        <f>IF(AND(OR(N4995="131",O4995="131"),H4995='131-CT'!$H$9),"x","")</f>
        <v/>
      </c>
      <c r="Z4995" s="79"/>
      <c r="AA4995" s="79" t="str">
        <f>IF(AND(MONTH(E4995)='IN-NX'!$J$5,'IN-NX'!$D$7=D4995),"x","")</f>
        <v/>
      </c>
      <c r="AB4995" s="79" t="str">
        <f>IF(AND(OR(LEFT(TH!N4995,2)="15",LEFT(TH!O4995,2)="15"),LEFT(TH!O4995,3)&lt;&gt;"111",'152-CT'!$J$8=TH!F4995),"x","")</f>
        <v/>
      </c>
      <c r="AC4995" s="79" t="str">
        <f>IF(AND(OR(LEFT(TH!N4995,2)="15",LEFT(TH!O4995,2)="15"),TK!$E$7=TH!F4995),"x","")</f>
        <v/>
      </c>
      <c r="AD4995" s="79" t="str">
        <f>IF(AND(N4995="1521",MONTH(C4995)='BK-NL'!$M$11),"x","")</f>
        <v/>
      </c>
    </row>
    <row r="4996" spans="1:30" ht="16.5" customHeight="1">
      <c r="A4996" s="318" t="str">
        <f>IF(B4996&lt;&gt;"",IF(AND(B4996='[3]IN-TC'!$S$4,OR([3]TH!N4227="1111",[3]TH!O4227="1111")),[3]TH!D4227,""),"")</f>
        <v/>
      </c>
      <c r="B4996" s="60" t="str">
        <f t="shared" si="490"/>
        <v/>
      </c>
      <c r="C4996" s="61"/>
      <c r="D4996" s="61"/>
      <c r="E4996" s="61"/>
      <c r="F4996" s="64"/>
      <c r="G4996" s="64"/>
      <c r="H4996" s="69"/>
      <c r="I4996" s="385"/>
      <c r="J4996" s="395"/>
      <c r="K4996" s="385"/>
      <c r="L4996" s="392"/>
      <c r="M4996" s="62"/>
      <c r="N4996" s="63"/>
      <c r="O4996" s="63"/>
      <c r="P4996" s="79" t="str">
        <f>IF(AND('331-CT'!$E$7=TH!H4996,OR(N4996="331",O4996="331")),"x","")</f>
        <v/>
      </c>
      <c r="Q4996" s="79" t="str">
        <f>IF(AND(B4996='111'!$L$11,OR($N4996=$Q$7,$O4996=$Q$7)),"x","")</f>
        <v/>
      </c>
      <c r="R4996" s="79" t="str">
        <f>IF(AND($N4996=$Q$7,$B4996&lt;'111'!$L$11),"x","")</f>
        <v/>
      </c>
      <c r="S4996" s="79" t="str">
        <f>IF(AND($O4996=$Q$7,$B4996&lt;'111'!$L$11),"x","")</f>
        <v/>
      </c>
      <c r="T4996" s="79" t="str">
        <f>IF(ISERROR(FIND('112'!$M$9,G4996,1)),"",IF((AND(FIND('112'!$M$9,G4996,1)&gt;=1,B4996='112'!$K$9,OR($N4996='112'!$I$6,$O4996='112'!$I$6))),"x",""))</f>
        <v/>
      </c>
      <c r="U4996" s="79" t="str">
        <f>IF(ISERROR(FIND('112'!$M$9,G4996,1)),"",IF((AND(LEFT(G4996,2)=LEFT('112'!$M$9,2),B4996&lt;'112'!$K$9,$N4996='112'!$I$6)),"x",""))</f>
        <v/>
      </c>
      <c r="V4996" s="79" t="str">
        <f>IF(ISERROR(FIND('112'!$M$9,G4996,1)),"",IF((AND(RIGHT(G4996,2)=RIGHT('112'!$M$9,2),B4996&lt;'112'!$K$9,$O4996='112'!$I$6)),"x",""))</f>
        <v/>
      </c>
      <c r="W4996" s="79" t="str">
        <f>IF(AND('341-CT'!$H$9=H4996,OR(LEFT(N4996,3)=$W$7,LEFT(O4996,3)=$W$7)),"x","")</f>
        <v/>
      </c>
      <c r="X4996" s="79" t="str">
        <f>IF(OR(TH!N4996=TH!$X$7,O4996=TH!$X$7),"x","")</f>
        <v/>
      </c>
      <c r="Y4996" s="79" t="str">
        <f>IF(AND(OR(N4996="131",O4996="131"),H4996='131-CT'!$H$9),"x","")</f>
        <v/>
      </c>
      <c r="Z4996" s="79"/>
      <c r="AA4996" s="79" t="str">
        <f>IF(AND(MONTH(E4996)='IN-NX'!$J$5,'IN-NX'!$D$7=D4996),"x","")</f>
        <v/>
      </c>
      <c r="AB4996" s="79" t="str">
        <f>IF(AND(OR(LEFT(TH!N4996,2)="15",LEFT(TH!O4996,2)="15"),LEFT(TH!O4996,3)&lt;&gt;"111",'152-CT'!$J$8=TH!F4996),"x","")</f>
        <v/>
      </c>
      <c r="AC4996" s="79" t="str">
        <f>IF(AND(OR(LEFT(TH!N4996,2)="15",LEFT(TH!O4996,2)="15"),TK!$E$7=TH!F4996),"x","")</f>
        <v/>
      </c>
      <c r="AD4996" s="79" t="str">
        <f>IF(AND(N4996="1521",MONTH(C4996)='BK-NL'!$M$11),"x","")</f>
        <v/>
      </c>
    </row>
    <row r="4997" spans="1:30" ht="16.5" customHeight="1">
      <c r="A4997" s="318" t="str">
        <f>IF(B4997&lt;&gt;"",IF(AND(B4997='[3]IN-TC'!$S$4,OR([3]TH!N4228="1111",[3]TH!O4228="1111")),[3]TH!D4228,""),"")</f>
        <v/>
      </c>
      <c r="B4997" s="60" t="str">
        <f t="shared" ref="B4997:B4999" si="491">IF(C4997&lt;&gt;"",MONTH(C4997),"")</f>
        <v/>
      </c>
      <c r="C4997" s="61"/>
      <c r="D4997" s="61"/>
      <c r="E4997" s="61"/>
      <c r="F4997" s="64"/>
      <c r="G4997" s="64"/>
      <c r="H4997" s="69"/>
      <c r="I4997" s="385"/>
      <c r="J4997" s="395"/>
      <c r="K4997" s="385"/>
      <c r="L4997" s="392"/>
      <c r="M4997" s="62"/>
      <c r="N4997" s="63"/>
      <c r="O4997" s="63"/>
      <c r="P4997" s="79" t="str">
        <f>IF(AND('331-CT'!$E$7=TH!H4997,OR(N4997="331",O4997="331")),"x","")</f>
        <v/>
      </c>
      <c r="Q4997" s="79" t="str">
        <f>IF(AND(B4997='111'!$L$11,OR($N4997=$Q$7,$O4997=$Q$7)),"x","")</f>
        <v/>
      </c>
      <c r="R4997" s="79" t="str">
        <f>IF(AND($N4997=$Q$7,$B4997&lt;'111'!$L$11),"x","")</f>
        <v/>
      </c>
      <c r="S4997" s="79" t="str">
        <f>IF(AND($O4997=$Q$7,$B4997&lt;'111'!$L$11),"x","")</f>
        <v/>
      </c>
      <c r="T4997" s="79" t="str">
        <f>IF(ISERROR(FIND('112'!$M$9,G4997,1)),"",IF((AND(FIND('112'!$M$9,G4997,1)&gt;=1,B4997='112'!$K$9,OR($N4997='112'!$I$6,$O4997='112'!$I$6))),"x",""))</f>
        <v/>
      </c>
      <c r="U4997" s="79" t="str">
        <f>IF(ISERROR(FIND('112'!$M$9,G4997,1)),"",IF((AND(LEFT(G4997,2)=LEFT('112'!$M$9,2),B4997&lt;'112'!$K$9,$N4997='112'!$I$6)),"x",""))</f>
        <v/>
      </c>
      <c r="V4997" s="79" t="str">
        <f>IF(ISERROR(FIND('112'!$M$9,G4997,1)),"",IF((AND(RIGHT(G4997,2)=RIGHT('112'!$M$9,2),B4997&lt;'112'!$K$9,$O4997='112'!$I$6)),"x",""))</f>
        <v/>
      </c>
      <c r="W4997" s="79" t="str">
        <f>IF(AND('341-CT'!$H$9=H4997,OR(LEFT(N4997,3)=$W$7,LEFT(O4997,3)=$W$7)),"x","")</f>
        <v/>
      </c>
      <c r="X4997" s="79" t="str">
        <f>IF(OR(TH!N4997=TH!$X$7,O4997=TH!$X$7),"x","")</f>
        <v/>
      </c>
      <c r="Y4997" s="79" t="str">
        <f>IF(AND(OR(N4997="131",O4997="131"),H4997='131-CT'!$H$9),"x","")</f>
        <v/>
      </c>
      <c r="Z4997" s="79"/>
      <c r="AA4997" s="79" t="str">
        <f>IF(AND(MONTH(E4997)='IN-NX'!$J$5,'IN-NX'!$D$7=D4997),"x","")</f>
        <v/>
      </c>
      <c r="AB4997" s="79" t="str">
        <f>IF(AND(OR(LEFT(TH!N4997,2)="15",LEFT(TH!O4997,2)="15"),LEFT(TH!O4997,3)&lt;&gt;"111",'152-CT'!$J$8=TH!F4997),"x","")</f>
        <v/>
      </c>
      <c r="AC4997" s="79" t="str">
        <f>IF(AND(OR(LEFT(TH!N4997,2)="15",LEFT(TH!O4997,2)="15"),TK!$E$7=TH!F4997),"x","")</f>
        <v/>
      </c>
      <c r="AD4997" s="79" t="str">
        <f>IF(AND(N4997="1521",MONTH(C4997)='BK-NL'!$M$11),"x","")</f>
        <v/>
      </c>
    </row>
    <row r="4998" spans="1:30" ht="16.5" customHeight="1">
      <c r="A4998" s="318" t="str">
        <f>IF(B4998&lt;&gt;"",IF(AND(B4998='[3]IN-TC'!$S$4,OR([3]TH!N4229="1111",[3]TH!O4229="1111")),[3]TH!D4229,""),"")</f>
        <v/>
      </c>
      <c r="B4998" s="60" t="str">
        <f t="shared" si="491"/>
        <v/>
      </c>
      <c r="C4998" s="61"/>
      <c r="D4998" s="61"/>
      <c r="E4998" s="61"/>
      <c r="F4998" s="64"/>
      <c r="G4998" s="64"/>
      <c r="H4998" s="69"/>
      <c r="I4998" s="385"/>
      <c r="J4998" s="395"/>
      <c r="K4998" s="385"/>
      <c r="L4998" s="392"/>
      <c r="M4998" s="62"/>
      <c r="N4998" s="63"/>
      <c r="O4998" s="63"/>
      <c r="P4998" s="79" t="str">
        <f>IF(AND('331-CT'!$E$7=TH!H4998,OR(N4998="331",O4998="331")),"x","")</f>
        <v/>
      </c>
      <c r="Q4998" s="79" t="str">
        <f>IF(AND(B4998='111'!$L$11,OR($N4998=$Q$7,$O4998=$Q$7)),"x","")</f>
        <v/>
      </c>
      <c r="R4998" s="79" t="str">
        <f>IF(AND($N4998=$Q$7,$B4998&lt;'111'!$L$11),"x","")</f>
        <v/>
      </c>
      <c r="S4998" s="79" t="str">
        <f>IF(AND($O4998=$Q$7,$B4998&lt;'111'!$L$11),"x","")</f>
        <v/>
      </c>
      <c r="T4998" s="79" t="str">
        <f>IF(ISERROR(FIND('112'!$M$9,G4998,1)),"",IF((AND(FIND('112'!$M$9,G4998,1)&gt;=1,B4998='112'!$K$9,OR($N4998='112'!$I$6,$O4998='112'!$I$6))),"x",""))</f>
        <v/>
      </c>
      <c r="U4998" s="79" t="str">
        <f>IF(ISERROR(FIND('112'!$M$9,G4998,1)),"",IF((AND(LEFT(G4998,2)=LEFT('112'!$M$9,2),B4998&lt;'112'!$K$9,$N4998='112'!$I$6)),"x",""))</f>
        <v/>
      </c>
      <c r="V4998" s="79" t="str">
        <f>IF(ISERROR(FIND('112'!$M$9,G4998,1)),"",IF((AND(RIGHT(G4998,2)=RIGHT('112'!$M$9,2),B4998&lt;'112'!$K$9,$O4998='112'!$I$6)),"x",""))</f>
        <v/>
      </c>
      <c r="W4998" s="79" t="str">
        <f>IF(AND('341-CT'!$H$9=H4998,OR(LEFT(N4998,3)=$W$7,LEFT(O4998,3)=$W$7)),"x","")</f>
        <v/>
      </c>
      <c r="X4998" s="79" t="str">
        <f>IF(OR(TH!N4998=TH!$X$7,O4998=TH!$X$7),"x","")</f>
        <v/>
      </c>
      <c r="Y4998" s="79" t="str">
        <f>IF(AND(OR(N4998="131",O4998="131"),H4998='131-CT'!$H$9),"x","")</f>
        <v/>
      </c>
      <c r="Z4998" s="79"/>
      <c r="AA4998" s="79" t="str">
        <f>IF(AND(MONTH(E4998)='IN-NX'!$J$5,'IN-NX'!$D$7=D4998),"x","")</f>
        <v/>
      </c>
      <c r="AB4998" s="79" t="str">
        <f>IF(AND(OR(LEFT(TH!N4998,2)="15",LEFT(TH!O4998,2)="15"),LEFT(TH!O4998,3)&lt;&gt;"111",'152-CT'!$J$8=TH!F4998),"x","")</f>
        <v/>
      </c>
      <c r="AC4998" s="79" t="str">
        <f>IF(AND(OR(LEFT(TH!N4998,2)="15",LEFT(TH!O4998,2)="15"),TK!$E$7=TH!F4998),"x","")</f>
        <v/>
      </c>
      <c r="AD4998" s="79" t="str">
        <f>IF(AND(N4998="1521",MONTH(C4998)='BK-NL'!$M$11),"x","")</f>
        <v/>
      </c>
    </row>
    <row r="4999" spans="1:30" ht="16.5" customHeight="1">
      <c r="A4999" s="318" t="str">
        <f>IF(B4999&lt;&gt;"",IF(AND(B4999='[3]IN-TC'!$S$4,OR([3]TH!N4230="1111",[3]TH!O4230="1111")),[3]TH!D4230,""),"")</f>
        <v/>
      </c>
      <c r="B4999" s="60" t="str">
        <f t="shared" si="491"/>
        <v/>
      </c>
      <c r="C4999" s="61"/>
      <c r="D4999" s="61"/>
      <c r="E4999" s="61"/>
      <c r="F4999" s="64"/>
      <c r="G4999" s="302"/>
      <c r="H4999" s="1308"/>
      <c r="I4999" s="385"/>
      <c r="J4999" s="395"/>
      <c r="K4999" s="385"/>
      <c r="L4999" s="392"/>
      <c r="M4999" s="62"/>
      <c r="N4999" s="63"/>
      <c r="O4999" s="63"/>
      <c r="P4999" s="79" t="str">
        <f>IF(AND('331-CT'!$E$7=TH!H4999,OR(N4999="331",O4999="331")),"x","")</f>
        <v/>
      </c>
      <c r="Q4999" s="79" t="str">
        <f>IF(AND(B4999='111'!$L$11,OR($N4999=$Q$7,$O4999=$Q$7)),"x","")</f>
        <v/>
      </c>
      <c r="R4999" s="79" t="str">
        <f>IF(AND($N4999=$Q$7,$B4999&lt;'111'!$L$11),"x","")</f>
        <v/>
      </c>
      <c r="S4999" s="79" t="str">
        <f>IF(AND($O4999=$Q$7,$B4999&lt;'111'!$L$11),"x","")</f>
        <v/>
      </c>
      <c r="T4999" s="79" t="str">
        <f>IF(ISERROR(FIND('112'!$M$9,G4999,1)),"",IF((AND(FIND('112'!$M$9,G4999,1)&gt;=1,B4999='112'!$K$9,OR($N4999='112'!$I$6,$O4999='112'!$I$6))),"x",""))</f>
        <v/>
      </c>
      <c r="U4999" s="79" t="str">
        <f>IF(ISERROR(FIND('112'!$M$9,G4999,1)),"",IF((AND(LEFT(G4999,2)=LEFT('112'!$M$9,2),B4999&lt;'112'!$K$9,$N4999='112'!$I$6)),"x",""))</f>
        <v/>
      </c>
      <c r="V4999" s="79" t="str">
        <f>IF(ISERROR(FIND('112'!$M$9,G4999,1)),"",IF((AND(RIGHT(G4999,2)=RIGHT('112'!$M$9,2),B4999&lt;'112'!$K$9,$O4999='112'!$I$6)),"x",""))</f>
        <v/>
      </c>
      <c r="W4999" s="79" t="str">
        <f>IF(AND('341-CT'!$H$9=H4999,OR(LEFT(N4999,3)=$W$7,LEFT(O4999,3)=$W$7)),"x","")</f>
        <v/>
      </c>
      <c r="X4999" s="79" t="str">
        <f>IF(OR(TH!N4999=TH!$X$7,O4999=TH!$X$7),"x","")</f>
        <v/>
      </c>
      <c r="Y4999" s="79" t="str">
        <f>IF(AND(OR(N4999="131",O4999="131"),H4999='131-CT'!$H$9),"x","")</f>
        <v/>
      </c>
      <c r="Z4999" s="79"/>
      <c r="AA4999" s="79" t="str">
        <f>IF(AND(MONTH(E4999)='IN-NX'!$J$5,'IN-NX'!$D$7=D4999),"x","")</f>
        <v/>
      </c>
      <c r="AB4999" s="79" t="str">
        <f>IF(AND(OR(LEFT(TH!N4999,2)="15",LEFT(TH!O4999,2)="15"),LEFT(TH!O4999,3)&lt;&gt;"111",'152-CT'!$J$8=TH!F4999),"x","")</f>
        <v/>
      </c>
      <c r="AC4999" s="79" t="str">
        <f>IF(AND(OR(LEFT(TH!N4999,2)="15",LEFT(TH!O4999,2)="15"),TK!$E$7=TH!F4999),"x","")</f>
        <v/>
      </c>
      <c r="AD4999" s="79" t="str">
        <f>IF(AND(N4999="1521",MONTH(C4999)='BK-NL'!$M$11),"x","")</f>
        <v/>
      </c>
    </row>
    <row r="5000" spans="1:30" ht="16.5" customHeight="1">
      <c r="A5000" s="318" t="str">
        <f>IF(B5000&lt;&gt;"",IF(AND(B5000='[3]IN-TC'!$S$4,OR([3]TH!N4231="1111",[3]TH!O4231="1111")),[3]TH!D4231,""),"")</f>
        <v/>
      </c>
      <c r="B5000" s="60" t="str">
        <f t="shared" ref="B5000" si="492">IF(C5000&lt;&gt;"",MONTH(C5000),"")</f>
        <v/>
      </c>
      <c r="C5000" s="61"/>
      <c r="D5000" s="61"/>
      <c r="E5000" s="61"/>
      <c r="F5000" s="64"/>
      <c r="G5000" s="302"/>
      <c r="H5000" s="303"/>
      <c r="I5000" s="385"/>
      <c r="J5000" s="395"/>
      <c r="K5000" s="385"/>
      <c r="L5000" s="392"/>
      <c r="M5000" s="62"/>
      <c r="N5000" s="63"/>
      <c r="O5000" s="63"/>
      <c r="P5000" s="79" t="str">
        <f>IF(AND('331-CT'!$E$7=TH!H5000,OR(N5000="331",O5000="331")),"x","")</f>
        <v/>
      </c>
      <c r="Q5000" s="79" t="str">
        <f>IF(AND(B5000='111'!$L$11,OR($N5000=$Q$7,$O5000=$Q$7)),"x","")</f>
        <v/>
      </c>
      <c r="R5000" s="79" t="str">
        <f>IF(AND($N5000=$Q$7,$B5000&lt;'111'!$L$11),"x","")</f>
        <v/>
      </c>
      <c r="S5000" s="79" t="str">
        <f>IF(AND($O5000=$Q$7,$B5000&lt;'111'!$L$11),"x","")</f>
        <v/>
      </c>
      <c r="T5000" s="79" t="str">
        <f>IF(ISERROR(FIND('112'!$M$9,G5000,1)),"",IF((AND(FIND('112'!$M$9,G5000,1)&gt;=1,B5000='112'!$K$9,OR($N5000='112'!$I$6,$O5000='112'!$I$6))),"x",""))</f>
        <v/>
      </c>
      <c r="U5000" s="79" t="str">
        <f>IF(ISERROR(FIND('112'!$M$9,G5000,1)),"",IF((AND(LEFT(G5000,2)=LEFT('112'!$M$9,2),B5000&lt;'112'!$K$9,$N5000='112'!$I$6)),"x",""))</f>
        <v/>
      </c>
      <c r="V5000" s="79" t="str">
        <f>IF(ISERROR(FIND('112'!$M$9,G5000,1)),"",IF((AND(RIGHT(G5000,2)=RIGHT('112'!$M$9,2),B5000&lt;'112'!$K$9,$O5000='112'!$I$6)),"x",""))</f>
        <v/>
      </c>
      <c r="W5000" s="79" t="str">
        <f>IF(AND('341-CT'!$H$9=H5000,OR(LEFT(N5000,3)=$W$7,LEFT(O5000,3)=$W$7)),"x","")</f>
        <v/>
      </c>
      <c r="X5000" s="79" t="str">
        <f>IF(OR(TH!N5000=TH!$X$7,O5000=TH!$X$7),"x","")</f>
        <v/>
      </c>
      <c r="Y5000" s="79" t="str">
        <f>IF(AND(OR(N5000="131",O5000="131"),H5000='131-CT'!$H$9),"x","")</f>
        <v/>
      </c>
      <c r="Z5000" s="79"/>
      <c r="AA5000" s="79" t="str">
        <f>IF(AND(MONTH(E5000)='IN-NX'!$J$5,'IN-NX'!$D$7=D5000),"x","")</f>
        <v/>
      </c>
      <c r="AB5000" s="79" t="str">
        <f>IF(AND(OR(LEFT(TH!N5000,2)="15",LEFT(TH!O5000,2)="15"),LEFT(TH!O5000,3)&lt;&gt;"111",'152-CT'!$J$8=TH!F5000),"x","")</f>
        <v/>
      </c>
      <c r="AC5000" s="79" t="str">
        <f>IF(AND(OR(LEFT(TH!N5000,2)="15",LEFT(TH!O5000,2)="15"),TK!$E$7=TH!F5000),"x","")</f>
        <v/>
      </c>
      <c r="AD5000" s="79" t="str">
        <f>IF(AND(N5000="1521",MONTH(C5000)='BK-NL'!$M$11),"x","")</f>
        <v/>
      </c>
    </row>
    <row r="5001" spans="1:30" ht="16.5" customHeight="1">
      <c r="A5001" s="318" t="str">
        <f>IF(B5001&lt;&gt;"",IF(AND(B5001='[3]IN-TC'!$S$4,OR([3]TH!N4232="1111",[3]TH!O4232="1111")),[3]TH!D4232,""),"")</f>
        <v/>
      </c>
      <c r="B5001" s="60" t="str">
        <f t="shared" si="488"/>
        <v/>
      </c>
      <c r="C5001" s="61"/>
      <c r="D5001" s="61"/>
      <c r="E5001" s="61"/>
      <c r="F5001" s="64"/>
      <c r="G5001" s="302"/>
      <c r="H5001" s="69"/>
      <c r="I5001" s="385"/>
      <c r="J5001" s="395"/>
      <c r="K5001" s="385"/>
      <c r="L5001" s="392"/>
      <c r="M5001" s="62"/>
      <c r="N5001" s="63"/>
      <c r="O5001" s="63"/>
      <c r="P5001" s="79" t="str">
        <f>IF(AND('331-CT'!$E$7=TH!H5001,OR(N5001="331",O5001="331")),"x","")</f>
        <v/>
      </c>
      <c r="Q5001" s="79" t="str">
        <f>IF(AND(B5001='111'!$L$11,OR($N5001=$Q$7,$O5001=$Q$7)),"x","")</f>
        <v/>
      </c>
      <c r="R5001" s="79" t="str">
        <f>IF(AND($N5001=$Q$7,$B5001&lt;'111'!$L$11),"x","")</f>
        <v/>
      </c>
      <c r="S5001" s="79" t="str">
        <f>IF(AND($O5001=$Q$7,$B5001&lt;'111'!$L$11),"x","")</f>
        <v/>
      </c>
      <c r="T5001" s="79" t="str">
        <f>IF(ISERROR(FIND('112'!$M$9,G5001,1)),"",IF((AND(FIND('112'!$M$9,G5001,1)&gt;=1,B5001='112'!$K$9,OR($N5001='112'!$I$6,$O5001='112'!$I$6))),"x",""))</f>
        <v/>
      </c>
      <c r="U5001" s="79" t="str">
        <f>IF(ISERROR(FIND('112'!$M$9,G5001,1)),"",IF((AND(LEFT(G5001,2)=LEFT('112'!$M$9,2),B5001&lt;'112'!$K$9,$N5001='112'!$I$6)),"x",""))</f>
        <v/>
      </c>
      <c r="V5001" s="79" t="str">
        <f>IF(ISERROR(FIND('112'!$M$9,G5001,1)),"",IF((AND(RIGHT(G5001,2)=RIGHT('112'!$M$9,2),B5001&lt;'112'!$K$9,$O5001='112'!$I$6)),"x",""))</f>
        <v/>
      </c>
      <c r="W5001" s="79" t="str">
        <f>IF(AND('341-CT'!$H$9=H5001,OR(LEFT(N5001,3)=$W$7,LEFT(O5001,3)=$W$7)),"x","")</f>
        <v/>
      </c>
      <c r="X5001" s="79" t="str">
        <f>IF(OR(TH!N5001=TH!$X$7,O5001=TH!$X$7),"x","")</f>
        <v/>
      </c>
      <c r="Y5001" s="79" t="str">
        <f>IF(AND(OR(N5001="131",O5001="131"),H5001='131-CT'!$H$9),"x","")</f>
        <v/>
      </c>
      <c r="Z5001" s="79"/>
      <c r="AA5001" s="79" t="str">
        <f>IF(AND(MONTH(E5001)='IN-NX'!$J$5,'IN-NX'!$D$7=D5001),"x","")</f>
        <v/>
      </c>
      <c r="AB5001" s="79" t="str">
        <f>IF(AND(OR(LEFT(TH!N5001,2)="15",LEFT(TH!O5001,2)="15"),LEFT(TH!O5001,3)&lt;&gt;"111",'152-CT'!$J$8=TH!F5001),"x","")</f>
        <v/>
      </c>
      <c r="AC5001" s="79" t="str">
        <f>IF(AND(OR(LEFT(TH!N5001,2)="15",LEFT(TH!O5001,2)="15"),TK!$E$7=TH!F5001),"x","")</f>
        <v/>
      </c>
      <c r="AD5001" s="79" t="str">
        <f>IF(AND(N5001="1521",MONTH(C5001)='BK-NL'!$M$11),"x","")</f>
        <v/>
      </c>
    </row>
    <row r="5002" spans="1:30" ht="16.5" customHeight="1">
      <c r="A5002" s="318" t="str">
        <f>IF(B5002&lt;&gt;"",IF(AND(B5002='[3]IN-TC'!$S$4,OR([3]TH!N4233="1111",[3]TH!O4233="1111")),[3]TH!D4233,""),"")</f>
        <v/>
      </c>
      <c r="B5002" s="60" t="str">
        <f t="shared" ref="B5002" si="493">IF(C5002&lt;&gt;"",MONTH(C5002),"")</f>
        <v/>
      </c>
      <c r="C5002" s="61"/>
      <c r="D5002" s="61"/>
      <c r="E5002" s="61"/>
      <c r="F5002" s="64"/>
      <c r="G5002" s="302"/>
      <c r="H5002" s="69"/>
      <c r="I5002" s="385"/>
      <c r="J5002" s="395"/>
      <c r="K5002" s="385"/>
      <c r="L5002" s="392"/>
      <c r="M5002" s="62"/>
      <c r="N5002" s="63"/>
      <c r="O5002" s="63"/>
      <c r="P5002" s="79" t="str">
        <f>IF(AND('331-CT'!$E$7=TH!H5002,OR(N5002="331",O5002="331")),"x","")</f>
        <v/>
      </c>
      <c r="Q5002" s="79" t="str">
        <f>IF(AND(B5002='111'!$L$11,OR($N5002=$Q$7,$O5002=$Q$7)),"x","")</f>
        <v/>
      </c>
      <c r="R5002" s="79" t="str">
        <f>IF(AND($N5002=$Q$7,$B5002&lt;'111'!$L$11),"x","")</f>
        <v/>
      </c>
      <c r="S5002" s="79" t="str">
        <f>IF(AND($O5002=$Q$7,$B5002&lt;'111'!$L$11),"x","")</f>
        <v/>
      </c>
      <c r="T5002" s="79" t="str">
        <f>IF(ISERROR(FIND('112'!$M$9,G5002,1)),"",IF((AND(FIND('112'!$M$9,G5002,1)&gt;=1,B5002='112'!$K$9,OR($N5002='112'!$I$6,$O5002='112'!$I$6))),"x",""))</f>
        <v/>
      </c>
      <c r="U5002" s="79" t="str">
        <f>IF(ISERROR(FIND('112'!$M$9,G5002,1)),"",IF((AND(LEFT(G5002,2)=LEFT('112'!$M$9,2),B5002&lt;'112'!$K$9,$N5002='112'!$I$6)),"x",""))</f>
        <v/>
      </c>
      <c r="V5002" s="79" t="str">
        <f>IF(ISERROR(FIND('112'!$M$9,G5002,1)),"",IF((AND(RIGHT(G5002,2)=RIGHT('112'!$M$9,2),B5002&lt;'112'!$K$9,$O5002='112'!$I$6)),"x",""))</f>
        <v/>
      </c>
      <c r="W5002" s="79" t="str">
        <f>IF(AND('341-CT'!$H$9=H5002,OR(LEFT(N5002,3)=$W$7,LEFT(O5002,3)=$W$7)),"x","")</f>
        <v/>
      </c>
      <c r="X5002" s="79" t="str">
        <f>IF(OR(TH!N5002=TH!$X$7,O5002=TH!$X$7),"x","")</f>
        <v/>
      </c>
      <c r="Y5002" s="79" t="str">
        <f>IF(AND(OR(N5002="131",O5002="131"),H5002='131-CT'!$H$9),"x","")</f>
        <v/>
      </c>
      <c r="Z5002" s="79"/>
      <c r="AA5002" s="79" t="str">
        <f>IF(AND(MONTH(E5002)='IN-NX'!$J$5,'IN-NX'!$D$7=D5002),"x","")</f>
        <v/>
      </c>
      <c r="AB5002" s="79" t="str">
        <f>IF(AND(OR(LEFT(TH!N5002,2)="15",LEFT(TH!O5002,2)="15"),LEFT(TH!O5002,3)&lt;&gt;"111",'152-CT'!$J$8=TH!F5002),"x","")</f>
        <v/>
      </c>
      <c r="AC5002" s="79" t="str">
        <f>IF(AND(OR(LEFT(TH!N5002,2)="15",LEFT(TH!O5002,2)="15"),TK!$E$7=TH!F5002),"x","")</f>
        <v/>
      </c>
      <c r="AD5002" s="79" t="str">
        <f>IF(AND(N5002="1521",MONTH(C5002)='BK-NL'!$M$11),"x","")</f>
        <v/>
      </c>
    </row>
    <row r="5003" spans="1:30" ht="16.5" customHeight="1">
      <c r="A5003" s="318" t="str">
        <f>IF(B5003&lt;&gt;"",IF(AND(B5003='[3]IN-TC'!$S$4,OR([3]TH!N4234="1111",[3]TH!O4234="1111")),[3]TH!D4234,""),"")</f>
        <v/>
      </c>
      <c r="B5003" s="60" t="str">
        <f t="shared" si="488"/>
        <v/>
      </c>
      <c r="C5003" s="61"/>
      <c r="D5003" s="61"/>
      <c r="E5003" s="61"/>
      <c r="F5003" s="64"/>
      <c r="G5003" s="302"/>
      <c r="H5003" s="69"/>
      <c r="I5003" s="385"/>
      <c r="J5003" s="395"/>
      <c r="K5003" s="385"/>
      <c r="L5003" s="392"/>
      <c r="M5003" s="62"/>
      <c r="N5003" s="63"/>
      <c r="O5003" s="63"/>
      <c r="P5003" s="79" t="str">
        <f>IF(AND('331-CT'!$E$7=TH!H5003,OR(N5003="331",O5003="331")),"x","")</f>
        <v/>
      </c>
      <c r="Q5003" s="79" t="str">
        <f>IF(AND(B5003='111'!$L$11,OR($N5003=$Q$7,$O5003=$Q$7)),"x","")</f>
        <v/>
      </c>
      <c r="R5003" s="79" t="str">
        <f>IF(AND($N5003=$Q$7,$B5003&lt;'111'!$L$11),"x","")</f>
        <v/>
      </c>
      <c r="S5003" s="79" t="str">
        <f>IF(AND($O5003=$Q$7,$B5003&lt;'111'!$L$11),"x","")</f>
        <v/>
      </c>
      <c r="T5003" s="79" t="str">
        <f>IF(ISERROR(FIND('112'!$M$9,G5003,1)),"",IF((AND(FIND('112'!$M$9,G5003,1)&gt;=1,B5003='112'!$K$9,OR($N5003='112'!$I$6,$O5003='112'!$I$6))),"x",""))</f>
        <v/>
      </c>
      <c r="U5003" s="79" t="str">
        <f>IF(ISERROR(FIND('112'!$M$9,G5003,1)),"",IF((AND(LEFT(G5003,2)=LEFT('112'!$M$9,2),B5003&lt;'112'!$K$9,$N5003='112'!$I$6)),"x",""))</f>
        <v/>
      </c>
      <c r="V5003" s="79" t="str">
        <f>IF(ISERROR(FIND('112'!$M$9,G5003,1)),"",IF((AND(RIGHT(G5003,2)=RIGHT('112'!$M$9,2),B5003&lt;'112'!$K$9,$O5003='112'!$I$6)),"x",""))</f>
        <v/>
      </c>
      <c r="W5003" s="79" t="str">
        <f>IF(AND('341-CT'!$H$9=H5003,OR(LEFT(N5003,3)=$W$7,LEFT(O5003,3)=$W$7)),"x","")</f>
        <v/>
      </c>
      <c r="X5003" s="79" t="str">
        <f>IF(OR(TH!N5003=TH!$X$7,O5003=TH!$X$7),"x","")</f>
        <v/>
      </c>
      <c r="Y5003" s="79" t="str">
        <f>IF(AND(OR(N5003="131",O5003="131"),H5003='131-CT'!$H$9),"x","")</f>
        <v/>
      </c>
      <c r="Z5003" s="79"/>
      <c r="AA5003" s="79" t="str">
        <f>IF(AND(MONTH(E5003)='IN-NX'!$J$5,'IN-NX'!$D$7=D5003),"x","")</f>
        <v/>
      </c>
      <c r="AB5003" s="79" t="str">
        <f>IF(AND(OR(LEFT(TH!N5003,2)="15",LEFT(TH!O5003,2)="15"),LEFT(TH!O5003,3)&lt;&gt;"111",'152-CT'!$J$8=TH!F5003),"x","")</f>
        <v/>
      </c>
      <c r="AC5003" s="79" t="str">
        <f>IF(AND(OR(LEFT(TH!N5003,2)="15",LEFT(TH!O5003,2)="15"),TK!$E$7=TH!F5003),"x","")</f>
        <v/>
      </c>
      <c r="AD5003" s="79" t="str">
        <f>IF(AND(N5003="1521",MONTH(C5003)='BK-NL'!$M$11),"x","")</f>
        <v/>
      </c>
    </row>
    <row r="5004" spans="1:30" ht="16.5" customHeight="1">
      <c r="A5004" s="318" t="str">
        <f>IF(B5004&lt;&gt;"",IF(AND(B5004='[3]IN-TC'!$S$4,OR([3]TH!N4235="1111",[3]TH!O4235="1111")),[3]TH!D4235,""),"")</f>
        <v/>
      </c>
      <c r="B5004" s="60" t="str">
        <f t="shared" si="488"/>
        <v/>
      </c>
      <c r="C5004" s="61"/>
      <c r="D5004" s="61"/>
      <c r="E5004" s="61"/>
      <c r="F5004" s="64"/>
      <c r="G5004" s="64"/>
      <c r="H5004" s="69"/>
      <c r="I5004" s="385"/>
      <c r="J5004" s="395"/>
      <c r="K5004" s="385"/>
      <c r="L5004" s="392"/>
      <c r="M5004" s="62"/>
      <c r="N5004" s="63"/>
      <c r="O5004" s="63"/>
      <c r="P5004" s="79" t="str">
        <f>IF(AND('331-CT'!$E$7=TH!H5004,OR(N5004="331",O5004="331")),"x","")</f>
        <v/>
      </c>
      <c r="Q5004" s="79" t="str">
        <f>IF(AND(B5004='111'!$L$11,OR($N5004=$Q$7,$O5004=$Q$7)),"x","")</f>
        <v/>
      </c>
      <c r="R5004" s="79" t="str">
        <f>IF(AND($N5004=$Q$7,$B5004&lt;'111'!$L$11),"x","")</f>
        <v/>
      </c>
      <c r="S5004" s="79" t="str">
        <f>IF(AND($O5004=$Q$7,$B5004&lt;'111'!$L$11),"x","")</f>
        <v/>
      </c>
      <c r="T5004" s="79" t="str">
        <f>IF(ISERROR(FIND('112'!$M$9,G5004,1)),"",IF((AND(FIND('112'!$M$9,G5004,1)&gt;=1,B5004='112'!$K$9,OR($N5004='112'!$I$6,$O5004='112'!$I$6))),"x",""))</f>
        <v/>
      </c>
      <c r="U5004" s="79" t="str">
        <f>IF(ISERROR(FIND('112'!$M$9,G5004,1)),"",IF((AND(LEFT(G5004,2)=LEFT('112'!$M$9,2),B5004&lt;'112'!$K$9,$N5004='112'!$I$6)),"x",""))</f>
        <v/>
      </c>
      <c r="V5004" s="79" t="str">
        <f>IF(ISERROR(FIND('112'!$M$9,G5004,1)),"",IF((AND(RIGHT(G5004,2)=RIGHT('112'!$M$9,2),B5004&lt;'112'!$K$9,$O5004='112'!$I$6)),"x",""))</f>
        <v/>
      </c>
      <c r="W5004" s="79" t="str">
        <f>IF(AND('341-CT'!$H$9=H5004,OR(LEFT(N5004,3)=$W$7,LEFT(O5004,3)=$W$7)),"x","")</f>
        <v/>
      </c>
      <c r="X5004" s="79" t="str">
        <f>IF(OR(TH!N5004=TH!$X$7,O5004=TH!$X$7),"x","")</f>
        <v/>
      </c>
      <c r="Y5004" s="79" t="str">
        <f>IF(AND(OR(N5004="131",O5004="131"),H5004='131-CT'!$H$9),"x","")</f>
        <v/>
      </c>
      <c r="Z5004" s="79"/>
      <c r="AA5004" s="79" t="str">
        <f>IF(AND(MONTH(E5004)='IN-NX'!$J$5,'IN-NX'!$D$7=D5004),"x","")</f>
        <v/>
      </c>
      <c r="AB5004" s="79" t="str">
        <f>IF(AND(OR(LEFT(TH!N5004,2)="15",LEFT(TH!O5004,2)="15"),LEFT(TH!O5004,3)&lt;&gt;"111",'152-CT'!$J$8=TH!F5004),"x","")</f>
        <v/>
      </c>
      <c r="AC5004" s="79" t="str">
        <f>IF(AND(OR(LEFT(TH!N5004,2)="15",LEFT(TH!O5004,2)="15"),TK!$E$7=TH!F5004),"x","")</f>
        <v/>
      </c>
      <c r="AD5004" s="79" t="str">
        <f>IF(AND(N5004="1521",MONTH(C5004)='BK-NL'!$M$11),"x","")</f>
        <v/>
      </c>
    </row>
    <row r="5005" spans="1:30" ht="16.5" customHeight="1">
      <c r="A5005" s="318" t="str">
        <f>IF(B5005&lt;&gt;"",IF(AND(B5005='[3]IN-TC'!$S$4,OR([3]TH!N4236="1111",[3]TH!O4236="1111")),[3]TH!D4236,""),"")</f>
        <v/>
      </c>
      <c r="B5005" s="60" t="str">
        <f t="shared" si="488"/>
        <v/>
      </c>
      <c r="C5005" s="61"/>
      <c r="D5005" s="61"/>
      <c r="E5005" s="61"/>
      <c r="F5005" s="64"/>
      <c r="G5005" s="64"/>
      <c r="H5005" s="69"/>
      <c r="I5005" s="385"/>
      <c r="J5005" s="395"/>
      <c r="K5005" s="385"/>
      <c r="L5005" s="392"/>
      <c r="M5005" s="62"/>
      <c r="N5005" s="63"/>
      <c r="O5005" s="63"/>
      <c r="P5005" s="79" t="str">
        <f>IF(AND('331-CT'!$E$7=TH!H5005,OR(N5005="331",O5005="331")),"x","")</f>
        <v/>
      </c>
      <c r="Q5005" s="79" t="str">
        <f>IF(AND(B5005='111'!$L$11,OR($N5005=$Q$7,$O5005=$Q$7)),"x","")</f>
        <v/>
      </c>
      <c r="R5005" s="79" t="str">
        <f>IF(AND($N5005=$Q$7,$B5005&lt;'111'!$L$11),"x","")</f>
        <v/>
      </c>
      <c r="S5005" s="79" t="str">
        <f>IF(AND($O5005=$Q$7,$B5005&lt;'111'!$L$11),"x","")</f>
        <v/>
      </c>
      <c r="T5005" s="79" t="str">
        <f>IF(ISERROR(FIND('112'!$M$9,G5005,1)),"",IF((AND(FIND('112'!$M$9,G5005,1)&gt;=1,B5005='112'!$K$9,OR($N5005='112'!$I$6,$O5005='112'!$I$6))),"x",""))</f>
        <v/>
      </c>
      <c r="U5005" s="79" t="str">
        <f>IF(ISERROR(FIND('112'!$M$9,G5005,1)),"",IF((AND(LEFT(G5005,2)=LEFT('112'!$M$9,2),B5005&lt;'112'!$K$9,$N5005='112'!$I$6)),"x",""))</f>
        <v/>
      </c>
      <c r="V5005" s="79" t="str">
        <f>IF(ISERROR(FIND('112'!$M$9,G5005,1)),"",IF((AND(RIGHT(G5005,2)=RIGHT('112'!$M$9,2),B5005&lt;'112'!$K$9,$O5005='112'!$I$6)),"x",""))</f>
        <v/>
      </c>
      <c r="W5005" s="79" t="str">
        <f>IF(AND('341-CT'!$H$9=H5005,OR(LEFT(N5005,3)=$W$7,LEFT(O5005,3)=$W$7)),"x","")</f>
        <v/>
      </c>
      <c r="X5005" s="79" t="str">
        <f>IF(OR(TH!N5005=TH!$X$7,O5005=TH!$X$7),"x","")</f>
        <v/>
      </c>
      <c r="Y5005" s="79" t="str">
        <f>IF(AND(OR(N5005="131",O5005="131"),H5005='131-CT'!$H$9),"x","")</f>
        <v/>
      </c>
      <c r="Z5005" s="79"/>
      <c r="AA5005" s="79" t="str">
        <f>IF(AND(MONTH(E5005)='IN-NX'!$J$5,'IN-NX'!$D$7=D5005),"x","")</f>
        <v/>
      </c>
      <c r="AB5005" s="79" t="str">
        <f>IF(AND(OR(LEFT(TH!N5005,2)="15",LEFT(TH!O5005,2)="15"),LEFT(TH!O5005,3)&lt;&gt;"111",'152-CT'!$J$8=TH!F5005),"x","")</f>
        <v/>
      </c>
      <c r="AC5005" s="79" t="str">
        <f>IF(AND(OR(LEFT(TH!N5005,2)="15",LEFT(TH!O5005,2)="15"),TK!$E$7=TH!F5005),"x","")</f>
        <v/>
      </c>
      <c r="AD5005" s="79" t="str">
        <f>IF(AND(N5005="1521",MONTH(C5005)='BK-NL'!$M$11),"x","")</f>
        <v/>
      </c>
    </row>
    <row r="5006" spans="1:30" ht="16.5" customHeight="1">
      <c r="A5006" s="318" t="str">
        <f>IF(B5006&lt;&gt;"",IF(AND(B5006='[3]IN-TC'!$S$4,OR([3]TH!N4237="1111",[3]TH!O4237="1111")),[3]TH!D4237,""),"")</f>
        <v/>
      </c>
      <c r="B5006" s="60" t="str">
        <f t="shared" si="488"/>
        <v/>
      </c>
      <c r="C5006" s="61"/>
      <c r="D5006" s="61"/>
      <c r="E5006" s="61"/>
      <c r="F5006" s="64"/>
      <c r="G5006" s="64"/>
      <c r="H5006" s="69"/>
      <c r="I5006" s="385"/>
      <c r="J5006" s="395"/>
      <c r="K5006" s="385"/>
      <c r="L5006" s="392"/>
      <c r="M5006" s="62"/>
      <c r="N5006" s="63"/>
      <c r="O5006" s="63"/>
      <c r="P5006" s="79" t="str">
        <f>IF(AND('331-CT'!$E$7=TH!H5006,OR(N5006="331",O5006="331")),"x","")</f>
        <v/>
      </c>
      <c r="Q5006" s="79" t="str">
        <f>IF(AND(B5006='111'!$L$11,OR($N5006=$Q$7,$O5006=$Q$7)),"x","")</f>
        <v/>
      </c>
      <c r="R5006" s="79" t="str">
        <f>IF(AND($N5006=$Q$7,$B5006&lt;'111'!$L$11),"x","")</f>
        <v/>
      </c>
      <c r="S5006" s="79" t="str">
        <f>IF(AND($O5006=$Q$7,$B5006&lt;'111'!$L$11),"x","")</f>
        <v/>
      </c>
      <c r="T5006" s="79" t="str">
        <f>IF(ISERROR(FIND('112'!$M$9,G5006,1)),"",IF((AND(FIND('112'!$M$9,G5006,1)&gt;=1,B5006='112'!$K$9,OR($N5006='112'!$I$6,$O5006='112'!$I$6))),"x",""))</f>
        <v/>
      </c>
      <c r="U5006" s="79" t="str">
        <f>IF(ISERROR(FIND('112'!$M$9,G5006,1)),"",IF((AND(LEFT(G5006,2)=LEFT('112'!$M$9,2),B5006&lt;'112'!$K$9,$N5006='112'!$I$6)),"x",""))</f>
        <v/>
      </c>
      <c r="V5006" s="79" t="str">
        <f>IF(ISERROR(FIND('112'!$M$9,G5006,1)),"",IF((AND(RIGHT(G5006,2)=RIGHT('112'!$M$9,2),B5006&lt;'112'!$K$9,$O5006='112'!$I$6)),"x",""))</f>
        <v/>
      </c>
      <c r="W5006" s="79" t="str">
        <f>IF(AND('341-CT'!$H$9=H5006,OR(LEFT(N5006,3)=$W$7,LEFT(O5006,3)=$W$7)),"x","")</f>
        <v/>
      </c>
      <c r="X5006" s="79" t="str">
        <f>IF(OR(TH!N5006=TH!$X$7,O5006=TH!$X$7),"x","")</f>
        <v/>
      </c>
      <c r="Y5006" s="79" t="str">
        <f>IF(AND(OR(N5006="131",O5006="131"),H5006='131-CT'!$H$9),"x","")</f>
        <v/>
      </c>
      <c r="Z5006" s="79"/>
      <c r="AA5006" s="79" t="str">
        <f>IF(AND(MONTH(E5006)='IN-NX'!$J$5,'IN-NX'!$D$7=D5006),"x","")</f>
        <v/>
      </c>
      <c r="AB5006" s="79" t="str">
        <f>IF(AND(OR(LEFT(TH!N5006,2)="15",LEFT(TH!O5006,2)="15"),LEFT(TH!O5006,3)&lt;&gt;"111",'152-CT'!$J$8=TH!F5006),"x","")</f>
        <v/>
      </c>
      <c r="AC5006" s="79" t="str">
        <f>IF(AND(OR(LEFT(TH!N5006,2)="15",LEFT(TH!O5006,2)="15"),TK!$E$7=TH!F5006),"x","")</f>
        <v/>
      </c>
      <c r="AD5006" s="79" t="str">
        <f>IF(AND(N5006="1521",MONTH(C5006)='BK-NL'!$M$11),"x","")</f>
        <v/>
      </c>
    </row>
    <row r="5007" spans="1:30" ht="16.5" customHeight="1">
      <c r="A5007" s="318" t="str">
        <f>IF(B5007&lt;&gt;"",IF(AND(B5007='[3]IN-TC'!$S$4,OR([3]TH!N4238="1111",[3]TH!O4238="1111")),[3]TH!D4238,""),"")</f>
        <v/>
      </c>
      <c r="B5007" s="60" t="str">
        <f t="shared" ref="B5007:B5011" si="494">IF(C5007&lt;&gt;"",MONTH(C5007),"")</f>
        <v/>
      </c>
      <c r="C5007" s="61"/>
      <c r="D5007" s="61"/>
      <c r="E5007" s="61"/>
      <c r="F5007" s="64"/>
      <c r="G5007" s="64"/>
      <c r="H5007" s="69"/>
      <c r="I5007" s="385"/>
      <c r="J5007" s="395"/>
      <c r="K5007" s="385"/>
      <c r="L5007" s="392"/>
      <c r="M5007" s="62"/>
      <c r="N5007" s="63"/>
      <c r="O5007" s="63"/>
      <c r="P5007" s="79" t="str">
        <f>IF(AND('331-CT'!$E$7=TH!H5007,OR(N5007="331",O5007="331")),"x","")</f>
        <v/>
      </c>
      <c r="Q5007" s="79" t="str">
        <f>IF(AND(B5007='111'!$L$11,OR($N5007=$Q$7,$O5007=$Q$7)),"x","")</f>
        <v/>
      </c>
      <c r="R5007" s="79" t="str">
        <f>IF(AND($N5007=$Q$7,$B5007&lt;'111'!$L$11),"x","")</f>
        <v/>
      </c>
      <c r="S5007" s="79" t="str">
        <f>IF(AND($O5007=$Q$7,$B5007&lt;'111'!$L$11),"x","")</f>
        <v/>
      </c>
      <c r="T5007" s="79" t="str">
        <f>IF(ISERROR(FIND('112'!$M$9,G5007,1)),"",IF((AND(FIND('112'!$M$9,G5007,1)&gt;=1,B5007='112'!$K$9,OR($N5007='112'!$I$6,$O5007='112'!$I$6))),"x",""))</f>
        <v/>
      </c>
      <c r="U5007" s="79" t="str">
        <f>IF(ISERROR(FIND('112'!$M$9,G5007,1)),"",IF((AND(LEFT(G5007,2)=LEFT('112'!$M$9,2),B5007&lt;'112'!$K$9,$N5007='112'!$I$6)),"x",""))</f>
        <v/>
      </c>
      <c r="V5007" s="79" t="str">
        <f>IF(ISERROR(FIND('112'!$M$9,G5007,1)),"",IF((AND(RIGHT(G5007,2)=RIGHT('112'!$M$9,2),B5007&lt;'112'!$K$9,$O5007='112'!$I$6)),"x",""))</f>
        <v/>
      </c>
      <c r="W5007" s="79" t="str">
        <f>IF(AND('341-CT'!$H$9=H5007,OR(LEFT(N5007,3)=$W$7,LEFT(O5007,3)=$W$7)),"x","")</f>
        <v/>
      </c>
      <c r="X5007" s="79" t="str">
        <f>IF(OR(TH!N5007=TH!$X$7,O5007=TH!$X$7),"x","")</f>
        <v/>
      </c>
      <c r="Y5007" s="79" t="str">
        <f>IF(AND(OR(N5007="131",O5007="131"),H5007='131-CT'!$H$9),"x","")</f>
        <v/>
      </c>
      <c r="Z5007" s="79"/>
      <c r="AA5007" s="79" t="str">
        <f>IF(AND(MONTH(E5007)='IN-NX'!$J$5,'IN-NX'!$D$7=D5007),"x","")</f>
        <v/>
      </c>
      <c r="AB5007" s="79" t="str">
        <f>IF(AND(OR(LEFT(TH!N5007,2)="15",LEFT(TH!O5007,2)="15"),LEFT(TH!O5007,3)&lt;&gt;"111",'152-CT'!$J$8=TH!F5007),"x","")</f>
        <v/>
      </c>
      <c r="AC5007" s="79" t="str">
        <f>IF(AND(OR(LEFT(TH!N5007,2)="15",LEFT(TH!O5007,2)="15"),TK!$E$7=TH!F5007),"x","")</f>
        <v/>
      </c>
      <c r="AD5007" s="79" t="str">
        <f>IF(AND(N5007="1521",MONTH(C5007)='BK-NL'!$M$11),"x","")</f>
        <v/>
      </c>
    </row>
    <row r="5008" spans="1:30" ht="16.5" customHeight="1">
      <c r="A5008" s="318" t="str">
        <f>IF(B5008&lt;&gt;"",IF(AND(B5008='[3]IN-TC'!$S$4,OR([3]TH!N4239="1111",[3]TH!O4239="1111")),[3]TH!D4239,""),"")</f>
        <v/>
      </c>
      <c r="B5008" s="60" t="str">
        <f t="shared" si="494"/>
        <v/>
      </c>
      <c r="C5008" s="61"/>
      <c r="D5008" s="61"/>
      <c r="E5008" s="61"/>
      <c r="F5008" s="64"/>
      <c r="G5008" s="64"/>
      <c r="H5008" s="303"/>
      <c r="I5008" s="385"/>
      <c r="J5008" s="395"/>
      <c r="K5008" s="385"/>
      <c r="L5008" s="392"/>
      <c r="M5008" s="62"/>
      <c r="N5008" s="63"/>
      <c r="O5008" s="63"/>
      <c r="P5008" s="79" t="str">
        <f>IF(AND('331-CT'!$E$7=TH!H5008,OR(N5008="331",O5008="331")),"x","")</f>
        <v/>
      </c>
      <c r="Q5008" s="79" t="str">
        <f>IF(AND(B5008='111'!$L$11,OR($N5008=$Q$7,$O5008=$Q$7)),"x","")</f>
        <v/>
      </c>
      <c r="R5008" s="79" t="str">
        <f>IF(AND($N5008=$Q$7,$B5008&lt;'111'!$L$11),"x","")</f>
        <v/>
      </c>
      <c r="S5008" s="79" t="str">
        <f>IF(AND($O5008=$Q$7,$B5008&lt;'111'!$L$11),"x","")</f>
        <v/>
      </c>
      <c r="T5008" s="79" t="str">
        <f>IF(ISERROR(FIND('112'!$M$9,G5008,1)),"",IF((AND(FIND('112'!$M$9,G5008,1)&gt;=1,B5008='112'!$K$9,OR($N5008='112'!$I$6,$O5008='112'!$I$6))),"x",""))</f>
        <v/>
      </c>
      <c r="U5008" s="79" t="str">
        <f>IF(ISERROR(FIND('112'!$M$9,G5008,1)),"",IF((AND(LEFT(G5008,2)=LEFT('112'!$M$9,2),B5008&lt;'112'!$K$9,$N5008='112'!$I$6)),"x",""))</f>
        <v/>
      </c>
      <c r="V5008" s="79" t="str">
        <f>IF(ISERROR(FIND('112'!$M$9,G5008,1)),"",IF((AND(RIGHT(G5008,2)=RIGHT('112'!$M$9,2),B5008&lt;'112'!$K$9,$O5008='112'!$I$6)),"x",""))</f>
        <v/>
      </c>
      <c r="W5008" s="79" t="str">
        <f>IF(AND('341-CT'!$H$9=H5008,OR(LEFT(N5008,3)=$W$7,LEFT(O5008,3)=$W$7)),"x","")</f>
        <v/>
      </c>
      <c r="X5008" s="79" t="str">
        <f>IF(OR(TH!N5008=TH!$X$7,O5008=TH!$X$7),"x","")</f>
        <v/>
      </c>
      <c r="Y5008" s="79" t="str">
        <f>IF(AND(OR(N5008="131",O5008="131"),H5008='131-CT'!$H$9),"x","")</f>
        <v/>
      </c>
      <c r="Z5008" s="79"/>
      <c r="AA5008" s="79" t="str">
        <f>IF(AND(MONTH(E5008)='IN-NX'!$J$5,'IN-NX'!$D$7=D5008),"x","")</f>
        <v/>
      </c>
      <c r="AB5008" s="79" t="str">
        <f>IF(AND(OR(LEFT(TH!N5008,2)="15",LEFT(TH!O5008,2)="15"),LEFT(TH!O5008,3)&lt;&gt;"111",'152-CT'!$J$8=TH!F5008),"x","")</f>
        <v/>
      </c>
      <c r="AC5008" s="79" t="str">
        <f>IF(AND(OR(LEFT(TH!N5008,2)="15",LEFT(TH!O5008,2)="15"),TK!$E$7=TH!F5008),"x","")</f>
        <v/>
      </c>
      <c r="AD5008" s="79" t="str">
        <f>IF(AND(N5008="1521",MONTH(C5008)='BK-NL'!$M$11),"x","")</f>
        <v/>
      </c>
    </row>
    <row r="5009" spans="1:30" ht="16.5" customHeight="1">
      <c r="A5009" s="318" t="str">
        <f>IF(B5009&lt;&gt;"",IF(AND(B5009='[3]IN-TC'!$S$4,OR([3]TH!N4240="1111",[3]TH!O4240="1111")),[3]TH!D4240,""),"")</f>
        <v/>
      </c>
      <c r="B5009" s="60" t="str">
        <f t="shared" si="494"/>
        <v/>
      </c>
      <c r="C5009" s="61"/>
      <c r="D5009" s="61"/>
      <c r="E5009" s="61"/>
      <c r="F5009" s="64"/>
      <c r="G5009" s="64"/>
      <c r="H5009" s="303"/>
      <c r="I5009" s="387"/>
      <c r="J5009" s="395"/>
      <c r="K5009" s="387"/>
      <c r="L5009" s="394"/>
      <c r="M5009" s="62"/>
      <c r="N5009" s="63"/>
      <c r="O5009" s="63"/>
      <c r="P5009" s="79" t="str">
        <f>IF(AND('331-CT'!$E$7=TH!H5009,OR(N5009="331",O5009="331")),"x","")</f>
        <v/>
      </c>
      <c r="Q5009" s="79" t="str">
        <f>IF(AND(B5009='111'!$L$11,OR($N5009=$Q$7,$O5009=$Q$7)),"x","")</f>
        <v/>
      </c>
      <c r="R5009" s="79" t="str">
        <f>IF(AND($N5009=$Q$7,$B5009&lt;'111'!$L$11),"x","")</f>
        <v/>
      </c>
      <c r="S5009" s="79" t="str">
        <f>IF(AND($O5009=$Q$7,$B5009&lt;'111'!$L$11),"x","")</f>
        <v/>
      </c>
      <c r="T5009" s="79" t="str">
        <f>IF(ISERROR(FIND('112'!$M$9,G5009,1)),"",IF((AND(FIND('112'!$M$9,G5009,1)&gt;=1,B5009='112'!$K$9,OR($N5009='112'!$I$6,$O5009='112'!$I$6))),"x",""))</f>
        <v/>
      </c>
      <c r="U5009" s="79" t="str">
        <f>IF(ISERROR(FIND('112'!$M$9,G5009,1)),"",IF((AND(LEFT(G5009,2)=LEFT('112'!$M$9,2),B5009&lt;'112'!$K$9,$N5009='112'!$I$6)),"x",""))</f>
        <v/>
      </c>
      <c r="V5009" s="79" t="str">
        <f>IF(ISERROR(FIND('112'!$M$9,G5009,1)),"",IF((AND(RIGHT(G5009,2)=RIGHT('112'!$M$9,2),B5009&lt;'112'!$K$9,$O5009='112'!$I$6)),"x",""))</f>
        <v/>
      </c>
      <c r="W5009" s="79" t="str">
        <f>IF(AND('341-CT'!$H$9=H5009,OR(LEFT(N5009,3)=$W$7,LEFT(O5009,3)=$W$7)),"x","")</f>
        <v/>
      </c>
      <c r="X5009" s="79" t="str">
        <f>IF(OR(TH!N5009=TH!$X$7,O5009=TH!$X$7),"x","")</f>
        <v/>
      </c>
      <c r="Y5009" s="79" t="str">
        <f>IF(AND(OR(N5009="131",O5009="131"),H5009='131-CT'!$H$9),"x","")</f>
        <v/>
      </c>
      <c r="Z5009" s="79"/>
      <c r="AA5009" s="79" t="str">
        <f>IF(AND(MONTH(E5009)='IN-NX'!$J$5,'IN-NX'!$D$7=D5009),"x","")</f>
        <v/>
      </c>
      <c r="AB5009" s="79" t="str">
        <f>IF(AND(OR(LEFT(TH!N5009,2)="15",LEFT(TH!O5009,2)="15"),LEFT(TH!O5009,3)&lt;&gt;"111",'152-CT'!$J$8=TH!F5009),"x","")</f>
        <v/>
      </c>
      <c r="AC5009" s="79" t="str">
        <f>IF(AND(OR(LEFT(TH!N5009,2)="15",LEFT(TH!O5009,2)="15"),TK!$E$7=TH!F5009),"x","")</f>
        <v/>
      </c>
      <c r="AD5009" s="79" t="str">
        <f>IF(AND(N5009="1521",MONTH(C5009)='BK-NL'!$M$11),"x","")</f>
        <v/>
      </c>
    </row>
    <row r="5010" spans="1:30" ht="16.5" customHeight="1">
      <c r="A5010" s="318" t="str">
        <f>IF(B5010&lt;&gt;"",IF(AND(B5010='[3]IN-TC'!$S$4,OR([3]TH!N4241="1111",[3]TH!O4241="1111")),[3]TH!D4241,""),"")</f>
        <v/>
      </c>
      <c r="B5010" s="60" t="str">
        <f t="shared" si="494"/>
        <v/>
      </c>
      <c r="C5010" s="61"/>
      <c r="D5010" s="61"/>
      <c r="E5010" s="61"/>
      <c r="F5010" s="64"/>
      <c r="G5010" s="64"/>
      <c r="H5010" s="69"/>
      <c r="I5010" s="385"/>
      <c r="J5010" s="395"/>
      <c r="K5010" s="385"/>
      <c r="L5010" s="392"/>
      <c r="M5010" s="62"/>
      <c r="N5010" s="63"/>
      <c r="O5010" s="63"/>
      <c r="P5010" s="79" t="str">
        <f>IF(AND('331-CT'!$E$7=TH!H5010,OR(N5010="331",O5010="331")),"x","")</f>
        <v/>
      </c>
      <c r="Q5010" s="79" t="str">
        <f>IF(AND(B5010='111'!$L$11,OR($N5010=$Q$7,$O5010=$Q$7)),"x","")</f>
        <v/>
      </c>
      <c r="R5010" s="79" t="str">
        <f>IF(AND($N5010=$Q$7,$B5010&lt;'111'!$L$11),"x","")</f>
        <v/>
      </c>
      <c r="S5010" s="79" t="str">
        <f>IF(AND($O5010=$Q$7,$B5010&lt;'111'!$L$11),"x","")</f>
        <v/>
      </c>
      <c r="T5010" s="79" t="str">
        <f>IF(ISERROR(FIND('112'!$M$9,G5010,1)),"",IF((AND(FIND('112'!$M$9,G5010,1)&gt;=1,B5010='112'!$K$9,OR($N5010='112'!$I$6,$O5010='112'!$I$6))),"x",""))</f>
        <v/>
      </c>
      <c r="U5010" s="79" t="str">
        <f>IF(ISERROR(FIND('112'!$M$9,G5010,1)),"",IF((AND(LEFT(G5010,2)=LEFT('112'!$M$9,2),B5010&lt;'112'!$K$9,$N5010='112'!$I$6)),"x",""))</f>
        <v/>
      </c>
      <c r="V5010" s="79" t="str">
        <f>IF(ISERROR(FIND('112'!$M$9,G5010,1)),"",IF((AND(RIGHT(G5010,2)=RIGHT('112'!$M$9,2),B5010&lt;'112'!$K$9,$O5010='112'!$I$6)),"x",""))</f>
        <v/>
      </c>
      <c r="W5010" s="79" t="str">
        <f>IF(AND('341-CT'!$H$9=H5010,OR(LEFT(N5010,3)=$W$7,LEFT(O5010,3)=$W$7)),"x","")</f>
        <v/>
      </c>
      <c r="X5010" s="79" t="str">
        <f>IF(OR(TH!N5010=TH!$X$7,O5010=TH!$X$7),"x","")</f>
        <v/>
      </c>
      <c r="Y5010" s="79" t="str">
        <f>IF(AND(OR(N5010="131",O5010="131"),H5010='131-CT'!$H$9),"x","")</f>
        <v/>
      </c>
      <c r="Z5010" s="79"/>
      <c r="AA5010" s="79" t="str">
        <f>IF(AND(MONTH(E5010)='IN-NX'!$J$5,'IN-NX'!$D$7=D5010),"x","")</f>
        <v/>
      </c>
      <c r="AB5010" s="79" t="str">
        <f>IF(AND(OR(LEFT(TH!N5010,2)="15",LEFT(TH!O5010,2)="15"),LEFT(TH!O5010,3)&lt;&gt;"111",'152-CT'!$J$8=TH!F5010),"x","")</f>
        <v/>
      </c>
      <c r="AC5010" s="79" t="str">
        <f>IF(AND(OR(LEFT(TH!N5010,2)="15",LEFT(TH!O5010,2)="15"),TK!$E$7=TH!F5010),"x","")</f>
        <v/>
      </c>
      <c r="AD5010" s="79" t="str">
        <f>IF(AND(N5010="1521",MONTH(C5010)='BK-NL'!$M$11),"x","")</f>
        <v/>
      </c>
    </row>
    <row r="5011" spans="1:30" ht="16.5" customHeight="1">
      <c r="A5011" s="318" t="str">
        <f>IF(B5011&lt;&gt;"",IF(AND(B5011='[3]IN-TC'!$S$4,OR([3]TH!N4242="1111",[3]TH!O4242="1111")),[3]TH!D4242,""),"")</f>
        <v/>
      </c>
      <c r="B5011" s="60" t="str">
        <f t="shared" si="494"/>
        <v/>
      </c>
      <c r="C5011" s="61"/>
      <c r="D5011" s="61"/>
      <c r="E5011" s="61"/>
      <c r="F5011" s="64"/>
      <c r="G5011" s="64"/>
      <c r="H5011" s="69"/>
      <c r="I5011" s="385"/>
      <c r="J5011" s="395"/>
      <c r="K5011" s="385"/>
      <c r="L5011" s="392"/>
      <c r="M5011" s="62"/>
      <c r="N5011" s="63"/>
      <c r="O5011" s="63"/>
      <c r="P5011" s="79" t="str">
        <f>IF(AND('331-CT'!$E$7=TH!H5011,OR(N5011="331",O5011="331")),"x","")</f>
        <v/>
      </c>
      <c r="Q5011" s="79" t="str">
        <f>IF(AND(B5011='111'!$L$11,OR($N5011=$Q$7,$O5011=$Q$7)),"x","")</f>
        <v/>
      </c>
      <c r="R5011" s="79" t="str">
        <f>IF(AND($N5011=$Q$7,$B5011&lt;'111'!$L$11),"x","")</f>
        <v/>
      </c>
      <c r="S5011" s="79" t="str">
        <f>IF(AND($O5011=$Q$7,$B5011&lt;'111'!$L$11),"x","")</f>
        <v/>
      </c>
      <c r="T5011" s="79" t="str">
        <f>IF(ISERROR(FIND('112'!$M$9,G5011,1)),"",IF((AND(FIND('112'!$M$9,G5011,1)&gt;=1,B5011='112'!$K$9,OR($N5011='112'!$I$6,$O5011='112'!$I$6))),"x",""))</f>
        <v/>
      </c>
      <c r="U5011" s="79" t="str">
        <f>IF(ISERROR(FIND('112'!$M$9,G5011,1)),"",IF((AND(LEFT(G5011,2)=LEFT('112'!$M$9,2),B5011&lt;'112'!$K$9,$N5011='112'!$I$6)),"x",""))</f>
        <v/>
      </c>
      <c r="V5011" s="79" t="str">
        <f>IF(ISERROR(FIND('112'!$M$9,G5011,1)),"",IF((AND(RIGHT(G5011,2)=RIGHT('112'!$M$9,2),B5011&lt;'112'!$K$9,$O5011='112'!$I$6)),"x",""))</f>
        <v/>
      </c>
      <c r="W5011" s="79" t="str">
        <f>IF(AND('341-CT'!$H$9=H5011,OR(LEFT(N5011,3)=$W$7,LEFT(O5011,3)=$W$7)),"x","")</f>
        <v/>
      </c>
      <c r="X5011" s="79" t="str">
        <f>IF(OR(TH!N5011=TH!$X$7,O5011=TH!$X$7),"x","")</f>
        <v/>
      </c>
      <c r="Y5011" s="79" t="str">
        <f>IF(AND(OR(N5011="131",O5011="131"),H5011='131-CT'!$H$9),"x","")</f>
        <v/>
      </c>
      <c r="Z5011" s="79"/>
      <c r="AA5011" s="79" t="str">
        <f>IF(AND(MONTH(E5011)='IN-NX'!$J$5,'IN-NX'!$D$7=D5011),"x","")</f>
        <v/>
      </c>
      <c r="AB5011" s="79" t="str">
        <f>IF(AND(OR(LEFT(TH!N5011,2)="15",LEFT(TH!O5011,2)="15"),LEFT(TH!O5011,3)&lt;&gt;"111",'152-CT'!$J$8=TH!F5011),"x","")</f>
        <v/>
      </c>
      <c r="AC5011" s="79" t="str">
        <f>IF(AND(OR(LEFT(TH!N5011,2)="15",LEFT(TH!O5011,2)="15"),TK!$E$7=TH!F5011),"x","")</f>
        <v/>
      </c>
      <c r="AD5011" s="79" t="str">
        <f>IF(AND(N5011="1521",MONTH(C5011)='BK-NL'!$M$11),"x","")</f>
        <v/>
      </c>
    </row>
    <row r="5012" spans="1:30" ht="16.5" customHeight="1">
      <c r="A5012" s="318" t="str">
        <f>IF(B5012&lt;&gt;"",IF(AND(B5012='[3]IN-TC'!$S$4,OR([3]TH!N4243="1111",[3]TH!O4243="1111")),[3]TH!D4243,""),"")</f>
        <v/>
      </c>
      <c r="B5012" s="60" t="str">
        <f t="shared" ref="B5012:B5025" si="495">IF(C5012&lt;&gt;"",MONTH(C5012),"")</f>
        <v/>
      </c>
      <c r="C5012" s="61"/>
      <c r="D5012" s="61"/>
      <c r="E5012" s="61"/>
      <c r="F5012" s="64"/>
      <c r="G5012" s="64"/>
      <c r="H5012" s="69"/>
      <c r="I5012" s="385"/>
      <c r="J5012" s="395"/>
      <c r="K5012" s="385"/>
      <c r="L5012" s="392"/>
      <c r="M5012" s="62"/>
      <c r="N5012" s="63"/>
      <c r="O5012" s="63"/>
      <c r="P5012" s="79" t="str">
        <f>IF(AND('331-CT'!$E$7=TH!H5012,OR(N5012="331",O5012="331")),"x","")</f>
        <v/>
      </c>
      <c r="Q5012" s="79" t="str">
        <f>IF(AND(B5012='111'!$L$11,OR($N5012=$Q$7,$O5012=$Q$7)),"x","")</f>
        <v/>
      </c>
      <c r="R5012" s="79" t="str">
        <f>IF(AND($N5012=$Q$7,$B5012&lt;'111'!$L$11),"x","")</f>
        <v/>
      </c>
      <c r="S5012" s="79" t="str">
        <f>IF(AND($O5012=$Q$7,$B5012&lt;'111'!$L$11),"x","")</f>
        <v/>
      </c>
      <c r="T5012" s="79" t="str">
        <f>IF(ISERROR(FIND('112'!$M$9,G5012,1)),"",IF((AND(FIND('112'!$M$9,G5012,1)&gt;=1,B5012='112'!$K$9,OR($N5012='112'!$I$6,$O5012='112'!$I$6))),"x",""))</f>
        <v/>
      </c>
      <c r="U5012" s="79" t="str">
        <f>IF(ISERROR(FIND('112'!$M$9,G5012,1)),"",IF((AND(LEFT(G5012,2)=LEFT('112'!$M$9,2),B5012&lt;'112'!$K$9,$N5012='112'!$I$6)),"x",""))</f>
        <v/>
      </c>
      <c r="V5012" s="79" t="str">
        <f>IF(ISERROR(FIND('112'!$M$9,G5012,1)),"",IF((AND(RIGHT(G5012,2)=RIGHT('112'!$M$9,2),B5012&lt;'112'!$K$9,$O5012='112'!$I$6)),"x",""))</f>
        <v/>
      </c>
      <c r="W5012" s="79" t="str">
        <f>IF(AND('341-CT'!$H$9=H5012,OR(LEFT(N5012,3)=$W$7,LEFT(O5012,3)=$W$7)),"x","")</f>
        <v/>
      </c>
      <c r="X5012" s="79" t="str">
        <f>IF(OR(TH!N5012=TH!$X$7,O5012=TH!$X$7),"x","")</f>
        <v/>
      </c>
      <c r="Y5012" s="79" t="str">
        <f>IF(AND(OR(N5012="131",O5012="131"),H5012='131-CT'!$H$9),"x","")</f>
        <v/>
      </c>
      <c r="Z5012" s="79"/>
      <c r="AA5012" s="79" t="str">
        <f>IF(AND(MONTH(E5012)='IN-NX'!$J$5,'IN-NX'!$D$7=D5012),"x","")</f>
        <v/>
      </c>
      <c r="AB5012" s="79" t="str">
        <f>IF(AND(OR(LEFT(TH!N5012,2)="15",LEFT(TH!O5012,2)="15"),LEFT(TH!O5012,3)&lt;&gt;"111",'152-CT'!$J$8=TH!F5012),"x","")</f>
        <v/>
      </c>
      <c r="AC5012" s="79" t="str">
        <f>IF(AND(OR(LEFT(TH!N5012,2)="15",LEFT(TH!O5012,2)="15"),TK!$E$7=TH!F5012),"x","")</f>
        <v/>
      </c>
      <c r="AD5012" s="79" t="str">
        <f>IF(AND(N5012="1521",MONTH(C5012)='BK-NL'!$M$11),"x","")</f>
        <v/>
      </c>
    </row>
    <row r="5013" spans="1:30" ht="16.5" customHeight="1">
      <c r="A5013" s="318" t="str">
        <f>IF(B5013&lt;&gt;"",IF(AND(B5013='[3]IN-TC'!$S$4,OR([3]TH!N4244="1111",[3]TH!O4244="1111")),[3]TH!D4244,""),"")</f>
        <v/>
      </c>
      <c r="B5013" s="60" t="str">
        <f t="shared" si="495"/>
        <v/>
      </c>
      <c r="C5013" s="61"/>
      <c r="D5013" s="61"/>
      <c r="E5013" s="61"/>
      <c r="F5013" s="64"/>
      <c r="G5013" s="64"/>
      <c r="H5013" s="69"/>
      <c r="I5013" s="385"/>
      <c r="J5013" s="395"/>
      <c r="K5013" s="385"/>
      <c r="L5013" s="392"/>
      <c r="M5013" s="62"/>
      <c r="N5013" s="63"/>
      <c r="O5013" s="63"/>
      <c r="P5013" s="79" t="str">
        <f>IF(AND('331-CT'!$E$7=TH!H5013,OR(N5013="331",O5013="331")),"x","")</f>
        <v/>
      </c>
      <c r="Q5013" s="79" t="str">
        <f>IF(AND(B5013='111'!$L$11,OR($N5013=$Q$7,$O5013=$Q$7)),"x","")</f>
        <v/>
      </c>
      <c r="R5013" s="79" t="str">
        <f>IF(AND($N5013=$Q$7,$B5013&lt;'111'!$L$11),"x","")</f>
        <v/>
      </c>
      <c r="S5013" s="79" t="str">
        <f>IF(AND($O5013=$Q$7,$B5013&lt;'111'!$L$11),"x","")</f>
        <v/>
      </c>
      <c r="T5013" s="79" t="str">
        <f>IF(ISERROR(FIND('112'!$M$9,G5013,1)),"",IF((AND(FIND('112'!$M$9,G5013,1)&gt;=1,B5013='112'!$K$9,OR($N5013='112'!$I$6,$O5013='112'!$I$6))),"x",""))</f>
        <v/>
      </c>
      <c r="U5013" s="79" t="str">
        <f>IF(ISERROR(FIND('112'!$M$9,G5013,1)),"",IF((AND(LEFT(G5013,2)=LEFT('112'!$M$9,2),B5013&lt;'112'!$K$9,$N5013='112'!$I$6)),"x",""))</f>
        <v/>
      </c>
      <c r="V5013" s="79" t="str">
        <f>IF(ISERROR(FIND('112'!$M$9,G5013,1)),"",IF((AND(RIGHT(G5013,2)=RIGHT('112'!$M$9,2),B5013&lt;'112'!$K$9,$O5013='112'!$I$6)),"x",""))</f>
        <v/>
      </c>
      <c r="W5013" s="79" t="str">
        <f>IF(AND('341-CT'!$H$9=H5013,OR(LEFT(N5013,3)=$W$7,LEFT(O5013,3)=$W$7)),"x","")</f>
        <v/>
      </c>
      <c r="X5013" s="79" t="str">
        <f>IF(OR(TH!N5013=TH!$X$7,O5013=TH!$X$7),"x","")</f>
        <v/>
      </c>
      <c r="Y5013" s="79" t="str">
        <f>IF(AND(OR(N5013="131",O5013="131"),H5013='131-CT'!$H$9),"x","")</f>
        <v/>
      </c>
      <c r="Z5013" s="79"/>
      <c r="AA5013" s="79" t="str">
        <f>IF(AND(MONTH(E5013)='IN-NX'!$J$5,'IN-NX'!$D$7=D5013),"x","")</f>
        <v/>
      </c>
      <c r="AB5013" s="79" t="str">
        <f>IF(AND(OR(LEFT(TH!N5013,2)="15",LEFT(TH!O5013,2)="15"),LEFT(TH!O5013,3)&lt;&gt;"111",'152-CT'!$J$8=TH!F5013),"x","")</f>
        <v/>
      </c>
      <c r="AC5013" s="79" t="str">
        <f>IF(AND(OR(LEFT(TH!N5013,2)="15",LEFT(TH!O5013,2)="15"),TK!$E$7=TH!F5013),"x","")</f>
        <v/>
      </c>
      <c r="AD5013" s="79" t="str">
        <f>IF(AND(N5013="1521",MONTH(C5013)='BK-NL'!$M$11),"x","")</f>
        <v/>
      </c>
    </row>
    <row r="5014" spans="1:30" ht="16.5" customHeight="1">
      <c r="A5014" s="318" t="str">
        <f>IF(B5014&lt;&gt;"",IF(AND(B5014='[3]IN-TC'!$S$4,OR([3]TH!N4245="1111",[3]TH!O4245="1111")),[3]TH!D4245,""),"")</f>
        <v/>
      </c>
      <c r="B5014" s="60" t="str">
        <f t="shared" ref="B5014:B5015" si="496">IF(C5014&lt;&gt;"",MONTH(C5014),"")</f>
        <v/>
      </c>
      <c r="C5014" s="61"/>
      <c r="D5014" s="61"/>
      <c r="E5014" s="61"/>
      <c r="F5014" s="64"/>
      <c r="G5014" s="64"/>
      <c r="H5014" s="69"/>
      <c r="I5014" s="385"/>
      <c r="J5014" s="395"/>
      <c r="K5014" s="385"/>
      <c r="L5014" s="392"/>
      <c r="M5014" s="62"/>
      <c r="N5014" s="63"/>
      <c r="O5014" s="63"/>
      <c r="P5014" s="79" t="str">
        <f>IF(AND('331-CT'!$E$7=TH!H5014,OR(N5014="331",O5014="331")),"x","")</f>
        <v/>
      </c>
      <c r="Q5014" s="79" t="str">
        <f>IF(AND(B5014='111'!$L$11,OR($N5014=$Q$7,$O5014=$Q$7)),"x","")</f>
        <v/>
      </c>
      <c r="R5014" s="79" t="str">
        <f>IF(AND($N5014=$Q$7,$B5014&lt;'111'!$L$11),"x","")</f>
        <v/>
      </c>
      <c r="S5014" s="79" t="str">
        <f>IF(AND($O5014=$Q$7,$B5014&lt;'111'!$L$11),"x","")</f>
        <v/>
      </c>
      <c r="T5014" s="79" t="str">
        <f>IF(ISERROR(FIND('112'!$M$9,G5014,1)),"",IF((AND(FIND('112'!$M$9,G5014,1)&gt;=1,B5014='112'!$K$9,OR($N5014='112'!$I$6,$O5014='112'!$I$6))),"x",""))</f>
        <v/>
      </c>
      <c r="U5014" s="79" t="str">
        <f>IF(ISERROR(FIND('112'!$M$9,G5014,1)),"",IF((AND(LEFT(G5014,2)=LEFT('112'!$M$9,2),B5014&lt;'112'!$K$9,$N5014='112'!$I$6)),"x",""))</f>
        <v/>
      </c>
      <c r="V5014" s="79" t="str">
        <f>IF(ISERROR(FIND('112'!$M$9,G5014,1)),"",IF((AND(RIGHT(G5014,2)=RIGHT('112'!$M$9,2),B5014&lt;'112'!$K$9,$O5014='112'!$I$6)),"x",""))</f>
        <v/>
      </c>
      <c r="W5014" s="79" t="str">
        <f>IF(AND('341-CT'!$H$9=H5014,OR(LEFT(N5014,3)=$W$7,LEFT(O5014,3)=$W$7)),"x","")</f>
        <v/>
      </c>
      <c r="X5014" s="79" t="str">
        <f>IF(OR(TH!N5014=TH!$X$7,O5014=TH!$X$7),"x","")</f>
        <v/>
      </c>
      <c r="Y5014" s="79" t="str">
        <f>IF(AND(OR(N5014="131",O5014="131"),H5014='131-CT'!$H$9),"x","")</f>
        <v/>
      </c>
      <c r="Z5014" s="79"/>
      <c r="AA5014" s="79" t="str">
        <f>IF(AND(MONTH(E5014)='IN-NX'!$J$5,'IN-NX'!$D$7=D5014),"x","")</f>
        <v/>
      </c>
      <c r="AB5014" s="79" t="str">
        <f>IF(AND(OR(LEFT(TH!N5014,2)="15",LEFT(TH!O5014,2)="15"),LEFT(TH!O5014,3)&lt;&gt;"111",'152-CT'!$J$8=TH!F5014),"x","")</f>
        <v/>
      </c>
      <c r="AC5014" s="79" t="str">
        <f>IF(AND(OR(LEFT(TH!N5014,2)="15",LEFT(TH!O5014,2)="15"),TK!$E$7=TH!F5014),"x","")</f>
        <v/>
      </c>
      <c r="AD5014" s="79" t="str">
        <f>IF(AND(N5014="1521",MONTH(C5014)='BK-NL'!$M$11),"x","")</f>
        <v/>
      </c>
    </row>
    <row r="5015" spans="1:30" ht="16.5" customHeight="1">
      <c r="A5015" s="318" t="str">
        <f>IF(B5015&lt;&gt;"",IF(AND(B5015='[3]IN-TC'!$S$4,OR([3]TH!N4246="1111",[3]TH!O4246="1111")),[3]TH!D4246,""),"")</f>
        <v/>
      </c>
      <c r="B5015" s="60" t="str">
        <f t="shared" si="496"/>
        <v/>
      </c>
      <c r="C5015" s="61"/>
      <c r="D5015" s="61"/>
      <c r="E5015" s="61"/>
      <c r="F5015" s="64"/>
      <c r="G5015" s="64"/>
      <c r="H5015" s="69"/>
      <c r="I5015" s="385"/>
      <c r="J5015" s="395"/>
      <c r="K5015" s="385"/>
      <c r="L5015" s="392"/>
      <c r="M5015" s="62"/>
      <c r="N5015" s="63"/>
      <c r="O5015" s="63"/>
      <c r="P5015" s="79" t="str">
        <f>IF(AND('331-CT'!$E$7=TH!H5015,OR(N5015="331",O5015="331")),"x","")</f>
        <v/>
      </c>
      <c r="Q5015" s="79" t="str">
        <f>IF(AND(B5015='111'!$L$11,OR($N5015=$Q$7,$O5015=$Q$7)),"x","")</f>
        <v/>
      </c>
      <c r="R5015" s="79" t="str">
        <f>IF(AND($N5015=$Q$7,$B5015&lt;'111'!$L$11),"x","")</f>
        <v/>
      </c>
      <c r="S5015" s="79" t="str">
        <f>IF(AND($O5015=$Q$7,$B5015&lt;'111'!$L$11),"x","")</f>
        <v/>
      </c>
      <c r="T5015" s="79" t="str">
        <f>IF(ISERROR(FIND('112'!$M$9,G5015,1)),"",IF((AND(FIND('112'!$M$9,G5015,1)&gt;=1,B5015='112'!$K$9,OR($N5015='112'!$I$6,$O5015='112'!$I$6))),"x",""))</f>
        <v/>
      </c>
      <c r="U5015" s="79" t="str">
        <f>IF(ISERROR(FIND('112'!$M$9,G5015,1)),"",IF((AND(LEFT(G5015,2)=LEFT('112'!$M$9,2),B5015&lt;'112'!$K$9,$N5015='112'!$I$6)),"x",""))</f>
        <v/>
      </c>
      <c r="V5015" s="79" t="str">
        <f>IF(ISERROR(FIND('112'!$M$9,G5015,1)),"",IF((AND(RIGHT(G5015,2)=RIGHT('112'!$M$9,2),B5015&lt;'112'!$K$9,$O5015='112'!$I$6)),"x",""))</f>
        <v/>
      </c>
      <c r="W5015" s="79" t="str">
        <f>IF(AND('341-CT'!$H$9=H5015,OR(LEFT(N5015,3)=$W$7,LEFT(O5015,3)=$W$7)),"x","")</f>
        <v/>
      </c>
      <c r="X5015" s="79" t="str">
        <f>IF(OR(TH!N5015=TH!$X$7,O5015=TH!$X$7),"x","")</f>
        <v/>
      </c>
      <c r="Y5015" s="79" t="str">
        <f>IF(AND(OR(N5015="131",O5015="131"),H5015='131-CT'!$H$9),"x","")</f>
        <v/>
      </c>
      <c r="Z5015" s="79"/>
      <c r="AA5015" s="79" t="str">
        <f>IF(AND(MONTH(E5015)='IN-NX'!$J$5,'IN-NX'!$D$7=D5015),"x","")</f>
        <v/>
      </c>
      <c r="AB5015" s="79" t="str">
        <f>IF(AND(OR(LEFT(TH!N5015,2)="15",LEFT(TH!O5015,2)="15"),LEFT(TH!O5015,3)&lt;&gt;"111",'152-CT'!$J$8=TH!F5015),"x","")</f>
        <v/>
      </c>
      <c r="AC5015" s="79" t="str">
        <f>IF(AND(OR(LEFT(TH!N5015,2)="15",LEFT(TH!O5015,2)="15"),TK!$E$7=TH!F5015),"x","")</f>
        <v/>
      </c>
      <c r="AD5015" s="79" t="str">
        <f>IF(AND(N5015="1521",MONTH(C5015)='BK-NL'!$M$11),"x","")</f>
        <v/>
      </c>
    </row>
    <row r="5016" spans="1:30" ht="16.5" customHeight="1">
      <c r="A5016" s="318" t="str">
        <f>IF(B5016&lt;&gt;"",IF(AND(B5016='[3]IN-TC'!$S$4,OR([3]TH!N4247="1111",[3]TH!O4247="1111")),[3]TH!D4247,""),"")</f>
        <v/>
      </c>
      <c r="B5016" s="60" t="str">
        <f t="shared" ref="B5016:B5019" si="497">IF(C5016&lt;&gt;"",MONTH(C5016),"")</f>
        <v/>
      </c>
      <c r="C5016" s="61"/>
      <c r="D5016" s="61"/>
      <c r="E5016" s="61"/>
      <c r="F5016" s="64"/>
      <c r="G5016" s="64"/>
      <c r="H5016" s="69"/>
      <c r="I5016" s="385"/>
      <c r="J5016" s="395"/>
      <c r="K5016" s="385"/>
      <c r="L5016" s="392"/>
      <c r="M5016" s="62"/>
      <c r="N5016" s="63"/>
      <c r="O5016" s="63"/>
      <c r="P5016" s="79" t="str">
        <f>IF(AND('331-CT'!$E$7=TH!H5016,OR(N5016="331",O5016="331")),"x","")</f>
        <v/>
      </c>
      <c r="Q5016" s="79" t="str">
        <f>IF(AND(B5016='111'!$L$11,OR($N5016=$Q$7,$O5016=$Q$7)),"x","")</f>
        <v/>
      </c>
      <c r="R5016" s="79" t="str">
        <f>IF(AND($N5016=$Q$7,$B5016&lt;'111'!$L$11),"x","")</f>
        <v/>
      </c>
      <c r="S5016" s="79" t="str">
        <f>IF(AND($O5016=$Q$7,$B5016&lt;'111'!$L$11),"x","")</f>
        <v/>
      </c>
      <c r="T5016" s="79" t="str">
        <f>IF(ISERROR(FIND('112'!$M$9,G5016,1)),"",IF((AND(FIND('112'!$M$9,G5016,1)&gt;=1,B5016='112'!$K$9,OR($N5016='112'!$I$6,$O5016='112'!$I$6))),"x",""))</f>
        <v/>
      </c>
      <c r="U5016" s="79" t="str">
        <f>IF(ISERROR(FIND('112'!$M$9,G5016,1)),"",IF((AND(LEFT(G5016,2)=LEFT('112'!$M$9,2),B5016&lt;'112'!$K$9,$N5016='112'!$I$6)),"x",""))</f>
        <v/>
      </c>
      <c r="V5016" s="79" t="str">
        <f>IF(ISERROR(FIND('112'!$M$9,G5016,1)),"",IF((AND(RIGHT(G5016,2)=RIGHT('112'!$M$9,2),B5016&lt;'112'!$K$9,$O5016='112'!$I$6)),"x",""))</f>
        <v/>
      </c>
      <c r="W5016" s="79" t="str">
        <f>IF(AND('341-CT'!$H$9=H5016,OR(LEFT(N5016,3)=$W$7,LEFT(O5016,3)=$W$7)),"x","")</f>
        <v/>
      </c>
      <c r="X5016" s="79" t="str">
        <f>IF(OR(TH!N5016=TH!$X$7,O5016=TH!$X$7),"x","")</f>
        <v/>
      </c>
      <c r="Y5016" s="79" t="str">
        <f>IF(AND(OR(N5016="131",O5016="131"),H5016='131-CT'!$H$9),"x","")</f>
        <v/>
      </c>
      <c r="Z5016" s="79"/>
      <c r="AA5016" s="79" t="str">
        <f>IF(AND(MONTH(E5016)='IN-NX'!$J$5,'IN-NX'!$D$7=D5016),"x","")</f>
        <v/>
      </c>
      <c r="AB5016" s="79" t="str">
        <f>IF(AND(OR(LEFT(TH!N5016,2)="15",LEFT(TH!O5016,2)="15"),LEFT(TH!O5016,3)&lt;&gt;"111",'152-CT'!$J$8=TH!F5016),"x","")</f>
        <v/>
      </c>
      <c r="AC5016" s="79" t="str">
        <f>IF(AND(OR(LEFT(TH!N5016,2)="15",LEFT(TH!O5016,2)="15"),TK!$E$7=TH!F5016),"x","")</f>
        <v/>
      </c>
      <c r="AD5016" s="79" t="str">
        <f>IF(AND(N5016="1521",MONTH(C5016)='BK-NL'!$M$11),"x","")</f>
        <v/>
      </c>
    </row>
    <row r="5017" spans="1:30" ht="16.5" customHeight="1">
      <c r="A5017" s="318" t="str">
        <f>IF(B5017&lt;&gt;"",IF(AND(B5017='[3]IN-TC'!$S$4,OR([3]TH!N4248="1111",[3]TH!O4248="1111")),[3]TH!D4248,""),"")</f>
        <v/>
      </c>
      <c r="B5017" s="60" t="str">
        <f t="shared" si="497"/>
        <v/>
      </c>
      <c r="C5017" s="61"/>
      <c r="D5017" s="61"/>
      <c r="E5017" s="61"/>
      <c r="F5017" s="64"/>
      <c r="G5017" s="64"/>
      <c r="H5017" s="69"/>
      <c r="I5017" s="385"/>
      <c r="J5017" s="395"/>
      <c r="K5017" s="385"/>
      <c r="L5017" s="392"/>
      <c r="M5017" s="62"/>
      <c r="N5017" s="63"/>
      <c r="O5017" s="63"/>
      <c r="P5017" s="79" t="str">
        <f>IF(AND('331-CT'!$E$7=TH!H5017,OR(N5017="331",O5017="331")),"x","")</f>
        <v/>
      </c>
      <c r="Q5017" s="79" t="str">
        <f>IF(AND(B5017='111'!$L$11,OR($N5017=$Q$7,$O5017=$Q$7)),"x","")</f>
        <v/>
      </c>
      <c r="R5017" s="79" t="str">
        <f>IF(AND($N5017=$Q$7,$B5017&lt;'111'!$L$11),"x","")</f>
        <v/>
      </c>
      <c r="S5017" s="79" t="str">
        <f>IF(AND($O5017=$Q$7,$B5017&lt;'111'!$L$11),"x","")</f>
        <v/>
      </c>
      <c r="T5017" s="79" t="str">
        <f>IF(ISERROR(FIND('112'!$M$9,G5017,1)),"",IF((AND(FIND('112'!$M$9,G5017,1)&gt;=1,B5017='112'!$K$9,OR($N5017='112'!$I$6,$O5017='112'!$I$6))),"x",""))</f>
        <v/>
      </c>
      <c r="U5017" s="79" t="str">
        <f>IF(ISERROR(FIND('112'!$M$9,G5017,1)),"",IF((AND(LEFT(G5017,2)=LEFT('112'!$M$9,2),B5017&lt;'112'!$K$9,$N5017='112'!$I$6)),"x",""))</f>
        <v/>
      </c>
      <c r="V5017" s="79" t="str">
        <f>IF(ISERROR(FIND('112'!$M$9,G5017,1)),"",IF((AND(RIGHT(G5017,2)=RIGHT('112'!$M$9,2),B5017&lt;'112'!$K$9,$O5017='112'!$I$6)),"x",""))</f>
        <v/>
      </c>
      <c r="W5017" s="79" t="str">
        <f>IF(AND('341-CT'!$H$9=H5017,OR(LEFT(N5017,3)=$W$7,LEFT(O5017,3)=$W$7)),"x","")</f>
        <v/>
      </c>
      <c r="X5017" s="79" t="str">
        <f>IF(OR(TH!N5017=TH!$X$7,O5017=TH!$X$7),"x","")</f>
        <v/>
      </c>
      <c r="Y5017" s="79" t="str">
        <f>IF(AND(OR(N5017="131",O5017="131"),H5017='131-CT'!$H$9),"x","")</f>
        <v/>
      </c>
      <c r="Z5017" s="79"/>
      <c r="AA5017" s="79" t="str">
        <f>IF(AND(MONTH(E5017)='IN-NX'!$J$5,'IN-NX'!$D$7=D5017),"x","")</f>
        <v/>
      </c>
      <c r="AB5017" s="79" t="str">
        <f>IF(AND(OR(LEFT(TH!N5017,2)="15",LEFT(TH!O5017,2)="15"),LEFT(TH!O5017,3)&lt;&gt;"111",'152-CT'!$J$8=TH!F5017),"x","")</f>
        <v/>
      </c>
      <c r="AC5017" s="79" t="str">
        <f>IF(AND(OR(LEFT(TH!N5017,2)="15",LEFT(TH!O5017,2)="15"),TK!$E$7=TH!F5017),"x","")</f>
        <v/>
      </c>
      <c r="AD5017" s="79" t="str">
        <f>IF(AND(N5017="1521",MONTH(C5017)='BK-NL'!$M$11),"x","")</f>
        <v/>
      </c>
    </row>
    <row r="5018" spans="1:30" ht="16.5" customHeight="1">
      <c r="A5018" s="318" t="str">
        <f>IF(B5018&lt;&gt;"",IF(AND(B5018='[3]IN-TC'!$S$4,OR([3]TH!N4249="1111",[3]TH!O4249="1111")),[3]TH!D4249,""),"")</f>
        <v/>
      </c>
      <c r="B5018" s="60" t="str">
        <f t="shared" si="497"/>
        <v/>
      </c>
      <c r="C5018" s="61"/>
      <c r="D5018" s="61"/>
      <c r="E5018" s="61"/>
      <c r="F5018" s="302"/>
      <c r="G5018" s="64"/>
      <c r="H5018" s="69"/>
      <c r="I5018" s="385"/>
      <c r="J5018" s="395"/>
      <c r="K5018" s="385"/>
      <c r="L5018" s="392"/>
      <c r="M5018" s="62"/>
      <c r="N5018" s="63"/>
      <c r="O5018" s="63"/>
      <c r="P5018" s="79" t="str">
        <f>IF(AND('331-CT'!$E$7=TH!H5018,OR(N5018="331",O5018="331")),"x","")</f>
        <v/>
      </c>
      <c r="Q5018" s="79" t="str">
        <f>IF(AND(B5018='111'!$L$11,OR($N5018=$Q$7,$O5018=$Q$7)),"x","")</f>
        <v/>
      </c>
      <c r="R5018" s="79" t="str">
        <f>IF(AND($N5018=$Q$7,$B5018&lt;'111'!$L$11),"x","")</f>
        <v/>
      </c>
      <c r="S5018" s="79" t="str">
        <f>IF(AND($O5018=$Q$7,$B5018&lt;'111'!$L$11),"x","")</f>
        <v/>
      </c>
      <c r="T5018" s="79" t="str">
        <f>IF(ISERROR(FIND('112'!$M$9,G5018,1)),"",IF((AND(FIND('112'!$M$9,G5018,1)&gt;=1,B5018='112'!$K$9,OR($N5018='112'!$I$6,$O5018='112'!$I$6))),"x",""))</f>
        <v/>
      </c>
      <c r="U5018" s="79" t="str">
        <f>IF(ISERROR(FIND('112'!$M$9,G5018,1)),"",IF((AND(LEFT(G5018,2)=LEFT('112'!$M$9,2),B5018&lt;'112'!$K$9,$N5018='112'!$I$6)),"x",""))</f>
        <v/>
      </c>
      <c r="V5018" s="79" t="str">
        <f>IF(ISERROR(FIND('112'!$M$9,G5018,1)),"",IF((AND(RIGHT(G5018,2)=RIGHT('112'!$M$9,2),B5018&lt;'112'!$K$9,$O5018='112'!$I$6)),"x",""))</f>
        <v/>
      </c>
      <c r="W5018" s="79" t="str">
        <f>IF(AND('341-CT'!$H$9=H5018,OR(LEFT(N5018,3)=$W$7,LEFT(O5018,3)=$W$7)),"x","")</f>
        <v/>
      </c>
      <c r="X5018" s="79" t="str">
        <f>IF(OR(TH!N5018=TH!$X$7,O5018=TH!$X$7),"x","")</f>
        <v/>
      </c>
      <c r="Y5018" s="79" t="str">
        <f>IF(AND(OR(N5018="131",O5018="131"),H5018='131-CT'!$H$9),"x","")</f>
        <v/>
      </c>
      <c r="Z5018" s="79"/>
      <c r="AA5018" s="79" t="str">
        <f>IF(AND(MONTH(E5018)='IN-NX'!$J$5,'IN-NX'!$D$7=D5018),"x","")</f>
        <v/>
      </c>
      <c r="AB5018" s="79" t="str">
        <f>IF(AND(OR(LEFT(TH!N5018,2)="15",LEFT(TH!O5018,2)="15"),LEFT(TH!O5018,3)&lt;&gt;"111",'152-CT'!$J$8=TH!F5018),"x","")</f>
        <v/>
      </c>
      <c r="AC5018" s="79" t="str">
        <f>IF(AND(OR(LEFT(TH!N5018,2)="15",LEFT(TH!O5018,2)="15"),TK!$E$7=TH!F5018),"x","")</f>
        <v/>
      </c>
      <c r="AD5018" s="79" t="str">
        <f>IF(AND(N5018="1521",MONTH(C5018)='BK-NL'!$M$11),"x","")</f>
        <v/>
      </c>
    </row>
    <row r="5019" spans="1:30" ht="16.5" customHeight="1">
      <c r="A5019" s="318" t="str">
        <f>IF(B5019&lt;&gt;"",IF(AND(B5019='[3]IN-TC'!$S$4,OR([3]TH!N4250="1111",[3]TH!O4250="1111")),[3]TH!D4250,""),"")</f>
        <v/>
      </c>
      <c r="B5019" s="60" t="str">
        <f t="shared" si="497"/>
        <v/>
      </c>
      <c r="C5019" s="61"/>
      <c r="D5019" s="61"/>
      <c r="E5019" s="61"/>
      <c r="F5019" s="64"/>
      <c r="G5019" s="64"/>
      <c r="H5019" s="69"/>
      <c r="I5019" s="385"/>
      <c r="J5019" s="395"/>
      <c r="K5019" s="385"/>
      <c r="L5019" s="392"/>
      <c r="M5019" s="62"/>
      <c r="N5019" s="63"/>
      <c r="O5019" s="63"/>
      <c r="P5019" s="79" t="str">
        <f>IF(AND('331-CT'!$E$7=TH!H5019,OR(N5019="331",O5019="331")),"x","")</f>
        <v/>
      </c>
      <c r="Q5019" s="79" t="str">
        <f>IF(AND(B5019='111'!$L$11,OR($N5019=$Q$7,$O5019=$Q$7)),"x","")</f>
        <v/>
      </c>
      <c r="R5019" s="79" t="str">
        <f>IF(AND($N5019=$Q$7,$B5019&lt;'111'!$L$11),"x","")</f>
        <v/>
      </c>
      <c r="S5019" s="79" t="str">
        <f>IF(AND($O5019=$Q$7,$B5019&lt;'111'!$L$11),"x","")</f>
        <v/>
      </c>
      <c r="T5019" s="79" t="str">
        <f>IF(ISERROR(FIND('112'!$M$9,G5019,1)),"",IF((AND(FIND('112'!$M$9,G5019,1)&gt;=1,B5019='112'!$K$9,OR($N5019='112'!$I$6,$O5019='112'!$I$6))),"x",""))</f>
        <v/>
      </c>
      <c r="U5019" s="79" t="str">
        <f>IF(ISERROR(FIND('112'!$M$9,G5019,1)),"",IF((AND(LEFT(G5019,2)=LEFT('112'!$M$9,2),B5019&lt;'112'!$K$9,$N5019='112'!$I$6)),"x",""))</f>
        <v/>
      </c>
      <c r="V5019" s="79" t="str">
        <f>IF(ISERROR(FIND('112'!$M$9,G5019,1)),"",IF((AND(RIGHT(G5019,2)=RIGHT('112'!$M$9,2),B5019&lt;'112'!$K$9,$O5019='112'!$I$6)),"x",""))</f>
        <v/>
      </c>
      <c r="W5019" s="79" t="str">
        <f>IF(AND('341-CT'!$H$9=H5019,OR(LEFT(N5019,3)=$W$7,LEFT(O5019,3)=$W$7)),"x","")</f>
        <v/>
      </c>
      <c r="X5019" s="79" t="str">
        <f>IF(OR(TH!N5019=TH!$X$7,O5019=TH!$X$7),"x","")</f>
        <v/>
      </c>
      <c r="Y5019" s="79" t="str">
        <f>IF(AND(OR(N5019="131",O5019="131"),H5019='131-CT'!$H$9),"x","")</f>
        <v/>
      </c>
      <c r="Z5019" s="79"/>
      <c r="AA5019" s="79" t="str">
        <f>IF(AND(MONTH(E5019)='IN-NX'!$J$5,'IN-NX'!$D$7=D5019),"x","")</f>
        <v/>
      </c>
      <c r="AB5019" s="79" t="str">
        <f>IF(AND(OR(LEFT(TH!N5019,2)="15",LEFT(TH!O5019,2)="15"),LEFT(TH!O5019,3)&lt;&gt;"111",'152-CT'!$J$8=TH!F5019),"x","")</f>
        <v/>
      </c>
      <c r="AC5019" s="79" t="str">
        <f>IF(AND(OR(LEFT(TH!N5019,2)="15",LEFT(TH!O5019,2)="15"),TK!$E$7=TH!F5019),"x","")</f>
        <v/>
      </c>
      <c r="AD5019" s="79" t="str">
        <f>IF(AND(N5019="1521",MONTH(C5019)='BK-NL'!$M$11),"x","")</f>
        <v/>
      </c>
    </row>
    <row r="5020" spans="1:30" ht="16.5" customHeight="1">
      <c r="A5020" s="318" t="str">
        <f>IF(B5020&lt;&gt;"",IF(AND(B5020='[3]IN-TC'!$S$4,OR([3]TH!N4251="1111",[3]TH!O4251="1111")),[3]TH!D4251,""),"")</f>
        <v/>
      </c>
      <c r="B5020" s="60" t="str">
        <f t="shared" ref="B5020:B5023" si="498">IF(C5020&lt;&gt;"",MONTH(C5020),"")</f>
        <v/>
      </c>
      <c r="C5020" s="61"/>
      <c r="D5020" s="61"/>
      <c r="E5020" s="61"/>
      <c r="F5020" s="64"/>
      <c r="G5020" s="64"/>
      <c r="H5020" s="69"/>
      <c r="I5020" s="385"/>
      <c r="J5020" s="395"/>
      <c r="K5020" s="385"/>
      <c r="L5020" s="392"/>
      <c r="M5020" s="62"/>
      <c r="N5020" s="63"/>
      <c r="O5020" s="63"/>
      <c r="P5020" s="79" t="str">
        <f>IF(AND('331-CT'!$E$7=TH!H5020,OR(N5020="331",O5020="331")),"x","")</f>
        <v/>
      </c>
      <c r="Q5020" s="79" t="str">
        <f>IF(AND(B5020='111'!$L$11,OR($N5020=$Q$7,$O5020=$Q$7)),"x","")</f>
        <v/>
      </c>
      <c r="R5020" s="79" t="str">
        <f>IF(AND($N5020=$Q$7,$B5020&lt;'111'!$L$11),"x","")</f>
        <v/>
      </c>
      <c r="S5020" s="79" t="str">
        <f>IF(AND($O5020=$Q$7,$B5020&lt;'111'!$L$11),"x","")</f>
        <v/>
      </c>
      <c r="T5020" s="79" t="str">
        <f>IF(ISERROR(FIND('112'!$M$9,G5020,1)),"",IF((AND(FIND('112'!$M$9,G5020,1)&gt;=1,B5020='112'!$K$9,OR($N5020='112'!$I$6,$O5020='112'!$I$6))),"x",""))</f>
        <v/>
      </c>
      <c r="U5020" s="79" t="str">
        <f>IF(ISERROR(FIND('112'!$M$9,G5020,1)),"",IF((AND(LEFT(G5020,2)=LEFT('112'!$M$9,2),B5020&lt;'112'!$K$9,$N5020='112'!$I$6)),"x",""))</f>
        <v/>
      </c>
      <c r="V5020" s="79" t="str">
        <f>IF(ISERROR(FIND('112'!$M$9,G5020,1)),"",IF((AND(RIGHT(G5020,2)=RIGHT('112'!$M$9,2),B5020&lt;'112'!$K$9,$O5020='112'!$I$6)),"x",""))</f>
        <v/>
      </c>
      <c r="W5020" s="79" t="str">
        <f>IF(AND('341-CT'!$H$9=H5020,OR(LEFT(N5020,3)=$W$7,LEFT(O5020,3)=$W$7)),"x","")</f>
        <v/>
      </c>
      <c r="X5020" s="79" t="str">
        <f>IF(OR(TH!N5020=TH!$X$7,O5020=TH!$X$7),"x","")</f>
        <v/>
      </c>
      <c r="Y5020" s="79" t="str">
        <f>IF(AND(OR(N5020="131",O5020="131"),H5020='131-CT'!$H$9),"x","")</f>
        <v/>
      </c>
      <c r="Z5020" s="79"/>
      <c r="AA5020" s="79" t="str">
        <f>IF(AND(MONTH(E5020)='IN-NX'!$J$5,'IN-NX'!$D$7=D5020),"x","")</f>
        <v/>
      </c>
      <c r="AB5020" s="79" t="str">
        <f>IF(AND(OR(LEFT(TH!N5020,2)="15",LEFT(TH!O5020,2)="15"),LEFT(TH!O5020,3)&lt;&gt;"111",'152-CT'!$J$8=TH!F5020),"x","")</f>
        <v/>
      </c>
      <c r="AC5020" s="79" t="str">
        <f>IF(AND(OR(LEFT(TH!N5020,2)="15",LEFT(TH!O5020,2)="15"),TK!$E$7=TH!F5020),"x","")</f>
        <v/>
      </c>
      <c r="AD5020" s="79" t="str">
        <f>IF(AND(N5020="1521",MONTH(C5020)='BK-NL'!$M$11),"x","")</f>
        <v/>
      </c>
    </row>
    <row r="5021" spans="1:30" ht="16.5" customHeight="1">
      <c r="A5021" s="318" t="str">
        <f>IF(B5021&lt;&gt;"",IF(AND(B5021='[3]IN-TC'!$S$4,OR([3]TH!N4252="1111",[3]TH!O4252="1111")),[3]TH!D4252,""),"")</f>
        <v/>
      </c>
      <c r="B5021" s="60" t="str">
        <f t="shared" si="498"/>
        <v/>
      </c>
      <c r="C5021" s="61"/>
      <c r="D5021" s="61"/>
      <c r="E5021" s="61"/>
      <c r="F5021" s="64"/>
      <c r="G5021" s="64"/>
      <c r="H5021" s="69"/>
      <c r="I5021" s="385"/>
      <c r="J5021" s="395"/>
      <c r="K5021" s="385"/>
      <c r="L5021" s="392"/>
      <c r="M5021" s="62"/>
      <c r="N5021" s="63"/>
      <c r="O5021" s="63"/>
      <c r="P5021" s="79" t="str">
        <f>IF(AND('331-CT'!$E$7=TH!H5021,OR(N5021="331",O5021="331")),"x","")</f>
        <v/>
      </c>
      <c r="Q5021" s="79" t="str">
        <f>IF(AND(B5021='111'!$L$11,OR($N5021=$Q$7,$O5021=$Q$7)),"x","")</f>
        <v/>
      </c>
      <c r="R5021" s="79" t="str">
        <f>IF(AND($N5021=$Q$7,$B5021&lt;'111'!$L$11),"x","")</f>
        <v/>
      </c>
      <c r="S5021" s="79" t="str">
        <f>IF(AND($O5021=$Q$7,$B5021&lt;'111'!$L$11),"x","")</f>
        <v/>
      </c>
      <c r="T5021" s="79" t="str">
        <f>IF(ISERROR(FIND('112'!$M$9,G5021,1)),"",IF((AND(FIND('112'!$M$9,G5021,1)&gt;=1,B5021='112'!$K$9,OR($N5021='112'!$I$6,$O5021='112'!$I$6))),"x",""))</f>
        <v/>
      </c>
      <c r="U5021" s="79" t="str">
        <f>IF(ISERROR(FIND('112'!$M$9,G5021,1)),"",IF((AND(LEFT(G5021,2)=LEFT('112'!$M$9,2),B5021&lt;'112'!$K$9,$N5021='112'!$I$6)),"x",""))</f>
        <v/>
      </c>
      <c r="V5021" s="79" t="str">
        <f>IF(ISERROR(FIND('112'!$M$9,G5021,1)),"",IF((AND(RIGHT(G5021,2)=RIGHT('112'!$M$9,2),B5021&lt;'112'!$K$9,$O5021='112'!$I$6)),"x",""))</f>
        <v/>
      </c>
      <c r="W5021" s="79" t="str">
        <f>IF(AND('341-CT'!$H$9=H5021,OR(LEFT(N5021,3)=$W$7,LEFT(O5021,3)=$W$7)),"x","")</f>
        <v/>
      </c>
      <c r="X5021" s="79" t="str">
        <f>IF(OR(TH!N5021=TH!$X$7,O5021=TH!$X$7),"x","")</f>
        <v/>
      </c>
      <c r="Y5021" s="79" t="str">
        <f>IF(AND(OR(N5021="131",O5021="131"),H5021='131-CT'!$H$9),"x","")</f>
        <v/>
      </c>
      <c r="Z5021" s="79"/>
      <c r="AA5021" s="79" t="str">
        <f>IF(AND(MONTH(E5021)='IN-NX'!$J$5,'IN-NX'!$D$7=D5021),"x","")</f>
        <v/>
      </c>
      <c r="AB5021" s="79" t="str">
        <f>IF(AND(OR(LEFT(TH!N5021,2)="15",LEFT(TH!O5021,2)="15"),LEFT(TH!O5021,3)&lt;&gt;"111",'152-CT'!$J$8=TH!F5021),"x","")</f>
        <v/>
      </c>
      <c r="AC5021" s="79" t="str">
        <f>IF(AND(OR(LEFT(TH!N5021,2)="15",LEFT(TH!O5021,2)="15"),TK!$E$7=TH!F5021),"x","")</f>
        <v/>
      </c>
      <c r="AD5021" s="79" t="str">
        <f>IF(AND(N5021="1521",MONTH(C5021)='BK-NL'!$M$11),"x","")</f>
        <v/>
      </c>
    </row>
    <row r="5022" spans="1:30" ht="16.5" customHeight="1">
      <c r="A5022" s="318" t="str">
        <f>IF(B5022&lt;&gt;"",IF(AND(B5022='[3]IN-TC'!$S$4,OR([3]TH!N4253="1111",[3]TH!O4253="1111")),[3]TH!D4253,""),"")</f>
        <v/>
      </c>
      <c r="B5022" s="60" t="str">
        <f t="shared" si="498"/>
        <v/>
      </c>
      <c r="C5022" s="61"/>
      <c r="D5022" s="61"/>
      <c r="E5022" s="61"/>
      <c r="F5022" s="64"/>
      <c r="G5022" s="64"/>
      <c r="H5022" s="69"/>
      <c r="I5022" s="385"/>
      <c r="J5022" s="395"/>
      <c r="K5022" s="385"/>
      <c r="L5022" s="392"/>
      <c r="M5022" s="62"/>
      <c r="N5022" s="63"/>
      <c r="O5022" s="63"/>
      <c r="P5022" s="79" t="str">
        <f>IF(AND('331-CT'!$E$7=TH!H5022,OR(N5022="331",O5022="331")),"x","")</f>
        <v/>
      </c>
      <c r="Q5022" s="79" t="str">
        <f>IF(AND(B5022='111'!$L$11,OR($N5022=$Q$7,$O5022=$Q$7)),"x","")</f>
        <v/>
      </c>
      <c r="R5022" s="79" t="str">
        <f>IF(AND($N5022=$Q$7,$B5022&lt;'111'!$L$11),"x","")</f>
        <v/>
      </c>
      <c r="S5022" s="79" t="str">
        <f>IF(AND($O5022=$Q$7,$B5022&lt;'111'!$L$11),"x","")</f>
        <v/>
      </c>
      <c r="T5022" s="79" t="str">
        <f>IF(ISERROR(FIND('112'!$M$9,G5022,1)),"",IF((AND(FIND('112'!$M$9,G5022,1)&gt;=1,B5022='112'!$K$9,OR($N5022='112'!$I$6,$O5022='112'!$I$6))),"x",""))</f>
        <v/>
      </c>
      <c r="U5022" s="79" t="str">
        <f>IF(ISERROR(FIND('112'!$M$9,G5022,1)),"",IF((AND(LEFT(G5022,2)=LEFT('112'!$M$9,2),B5022&lt;'112'!$K$9,$N5022='112'!$I$6)),"x",""))</f>
        <v/>
      </c>
      <c r="V5022" s="79" t="str">
        <f>IF(ISERROR(FIND('112'!$M$9,G5022,1)),"",IF((AND(RIGHT(G5022,2)=RIGHT('112'!$M$9,2),B5022&lt;'112'!$K$9,$O5022='112'!$I$6)),"x",""))</f>
        <v/>
      </c>
      <c r="W5022" s="79" t="str">
        <f>IF(AND('341-CT'!$H$9=H5022,OR(LEFT(N5022,3)=$W$7,LEFT(O5022,3)=$W$7)),"x","")</f>
        <v/>
      </c>
      <c r="X5022" s="79" t="str">
        <f>IF(OR(TH!N5022=TH!$X$7,O5022=TH!$X$7),"x","")</f>
        <v/>
      </c>
      <c r="Y5022" s="79" t="str">
        <f>IF(AND(OR(N5022="131",O5022="131"),H5022='131-CT'!$H$9),"x","")</f>
        <v/>
      </c>
      <c r="Z5022" s="79"/>
      <c r="AA5022" s="79" t="str">
        <f>IF(AND(MONTH(E5022)='IN-NX'!$J$5,'IN-NX'!$D$7=D5022),"x","")</f>
        <v/>
      </c>
      <c r="AB5022" s="79" t="str">
        <f>IF(AND(OR(LEFT(TH!N5022,2)="15",LEFT(TH!O5022,2)="15"),LEFT(TH!O5022,3)&lt;&gt;"111",'152-CT'!$J$8=TH!F5022),"x","")</f>
        <v/>
      </c>
      <c r="AC5022" s="79" t="str">
        <f>IF(AND(OR(LEFT(TH!N5022,2)="15",LEFT(TH!O5022,2)="15"),TK!$E$7=TH!F5022),"x","")</f>
        <v/>
      </c>
      <c r="AD5022" s="79" t="str">
        <f>IF(AND(N5022="1521",MONTH(C5022)='BK-NL'!$M$11),"x","")</f>
        <v/>
      </c>
    </row>
    <row r="5023" spans="1:30" ht="16.5" customHeight="1">
      <c r="A5023" s="318" t="str">
        <f>IF(B5023&lt;&gt;"",IF(AND(B5023='[3]IN-TC'!$S$4,OR([3]TH!N4254="1111",[3]TH!O4254="1111")),[3]TH!D4254,""),"")</f>
        <v/>
      </c>
      <c r="B5023" s="60" t="str">
        <f t="shared" si="498"/>
        <v/>
      </c>
      <c r="C5023" s="61"/>
      <c r="D5023" s="61"/>
      <c r="E5023" s="61"/>
      <c r="F5023" s="64"/>
      <c r="G5023" s="64"/>
      <c r="H5023" s="69"/>
      <c r="I5023" s="385"/>
      <c r="J5023" s="395"/>
      <c r="K5023" s="385"/>
      <c r="L5023" s="392"/>
      <c r="M5023" s="62"/>
      <c r="N5023" s="63"/>
      <c r="O5023" s="63"/>
      <c r="P5023" s="79" t="str">
        <f>IF(AND('331-CT'!$E$7=TH!H5023,OR(N5023="331",O5023="331")),"x","")</f>
        <v/>
      </c>
      <c r="Q5023" s="79" t="str">
        <f>IF(AND(B5023='111'!$L$11,OR($N5023=$Q$7,$O5023=$Q$7)),"x","")</f>
        <v/>
      </c>
      <c r="R5023" s="79" t="str">
        <f>IF(AND($N5023=$Q$7,$B5023&lt;'111'!$L$11),"x","")</f>
        <v/>
      </c>
      <c r="S5023" s="79" t="str">
        <f>IF(AND($O5023=$Q$7,$B5023&lt;'111'!$L$11),"x","")</f>
        <v/>
      </c>
      <c r="T5023" s="79" t="str">
        <f>IF(ISERROR(FIND('112'!$M$9,G5023,1)),"",IF((AND(FIND('112'!$M$9,G5023,1)&gt;=1,B5023='112'!$K$9,OR($N5023='112'!$I$6,$O5023='112'!$I$6))),"x",""))</f>
        <v/>
      </c>
      <c r="U5023" s="79" t="str">
        <f>IF(ISERROR(FIND('112'!$M$9,G5023,1)),"",IF((AND(LEFT(G5023,2)=LEFT('112'!$M$9,2),B5023&lt;'112'!$K$9,$N5023='112'!$I$6)),"x",""))</f>
        <v/>
      </c>
      <c r="V5023" s="79" t="str">
        <f>IF(ISERROR(FIND('112'!$M$9,G5023,1)),"",IF((AND(RIGHT(G5023,2)=RIGHT('112'!$M$9,2),B5023&lt;'112'!$K$9,$O5023='112'!$I$6)),"x",""))</f>
        <v/>
      </c>
      <c r="W5023" s="79" t="str">
        <f>IF(AND('341-CT'!$H$9=H5023,OR(LEFT(N5023,3)=$W$7,LEFT(O5023,3)=$W$7)),"x","")</f>
        <v/>
      </c>
      <c r="X5023" s="79" t="str">
        <f>IF(OR(TH!N5023=TH!$X$7,O5023=TH!$X$7),"x","")</f>
        <v/>
      </c>
      <c r="Y5023" s="79" t="str">
        <f>IF(AND(OR(N5023="131",O5023="131"),H5023='131-CT'!$H$9),"x","")</f>
        <v/>
      </c>
      <c r="Z5023" s="79"/>
      <c r="AA5023" s="79" t="str">
        <f>IF(AND(MONTH(E5023)='IN-NX'!$J$5,'IN-NX'!$D$7=D5023),"x","")</f>
        <v/>
      </c>
      <c r="AB5023" s="79" t="str">
        <f>IF(AND(OR(LEFT(TH!N5023,2)="15",LEFT(TH!O5023,2)="15"),LEFT(TH!O5023,3)&lt;&gt;"111",'152-CT'!$J$8=TH!F5023),"x","")</f>
        <v/>
      </c>
      <c r="AC5023" s="79" t="str">
        <f>IF(AND(OR(LEFT(TH!N5023,2)="15",LEFT(TH!O5023,2)="15"),TK!$E$7=TH!F5023),"x","")</f>
        <v/>
      </c>
      <c r="AD5023" s="79" t="str">
        <f>IF(AND(N5023="1521",MONTH(C5023)='BK-NL'!$M$11),"x","")</f>
        <v/>
      </c>
    </row>
    <row r="5024" spans="1:30" ht="16.5" customHeight="1">
      <c r="A5024" s="318" t="str">
        <f>IF(B5024&lt;&gt;"",IF(AND(B5024='[3]IN-TC'!$S$4,OR([3]TH!N4251="1111",[3]TH!O4251="1111")),[3]TH!D4251,""),"")</f>
        <v/>
      </c>
      <c r="B5024" s="60" t="str">
        <f t="shared" si="495"/>
        <v/>
      </c>
      <c r="C5024" s="61"/>
      <c r="D5024" s="61"/>
      <c r="E5024" s="61"/>
      <c r="F5024" s="64"/>
      <c r="G5024" s="64"/>
      <c r="H5024" s="69"/>
      <c r="I5024" s="385"/>
      <c r="J5024" s="395"/>
      <c r="K5024" s="385"/>
      <c r="L5024" s="392"/>
      <c r="M5024" s="62"/>
      <c r="N5024" s="63"/>
      <c r="O5024" s="63"/>
      <c r="P5024" s="79" t="str">
        <f>IF(AND('331-CT'!$E$7=TH!H5024,OR(N5024="331",O5024="331")),"x","")</f>
        <v/>
      </c>
      <c r="Q5024" s="79" t="str">
        <f>IF(AND(B5024='111'!$L$11,OR($N5024=$Q$7,$O5024=$Q$7)),"x","")</f>
        <v/>
      </c>
      <c r="R5024" s="79" t="str">
        <f>IF(AND($N5024=$Q$7,$B5024&lt;'111'!$L$11),"x","")</f>
        <v/>
      </c>
      <c r="S5024" s="79" t="str">
        <f>IF(AND($O5024=$Q$7,$B5024&lt;'111'!$L$11),"x","")</f>
        <v/>
      </c>
      <c r="T5024" s="79" t="str">
        <f>IF(ISERROR(FIND('112'!$M$9,G5024,1)),"",IF((AND(FIND('112'!$M$9,G5024,1)&gt;=1,B5024='112'!$K$9,OR($N5024='112'!$I$6,$O5024='112'!$I$6))),"x",""))</f>
        <v/>
      </c>
      <c r="U5024" s="79" t="str">
        <f>IF(ISERROR(FIND('112'!$M$9,G5024,1)),"",IF((AND(LEFT(G5024,2)=LEFT('112'!$M$9,2),B5024&lt;'112'!$K$9,$N5024='112'!$I$6)),"x",""))</f>
        <v/>
      </c>
      <c r="V5024" s="79" t="str">
        <f>IF(ISERROR(FIND('112'!$M$9,G5024,1)),"",IF((AND(RIGHT(G5024,2)=RIGHT('112'!$M$9,2),B5024&lt;'112'!$K$9,$O5024='112'!$I$6)),"x",""))</f>
        <v/>
      </c>
      <c r="W5024" s="79" t="str">
        <f>IF(AND('341-CT'!$H$9=H5024,OR(LEFT(N5024,3)=$W$7,LEFT(O5024,3)=$W$7)),"x","")</f>
        <v/>
      </c>
      <c r="X5024" s="79" t="str">
        <f>IF(OR(TH!N5024=TH!$X$7,O5024=TH!$X$7),"x","")</f>
        <v/>
      </c>
      <c r="Y5024" s="79" t="str">
        <f>IF(AND(OR(N5024="131",O5024="131"),H5024='131-CT'!$H$9),"x","")</f>
        <v/>
      </c>
      <c r="Z5024" s="79"/>
      <c r="AA5024" s="79" t="str">
        <f>IF(AND(MONTH(E5024)='IN-NX'!$J$5,'IN-NX'!$D$7=D5024),"x","")</f>
        <v/>
      </c>
      <c r="AB5024" s="79" t="str">
        <f>IF(AND(OR(LEFT(TH!N5024,2)="15",LEFT(TH!O5024,2)="15"),LEFT(TH!O5024,3)&lt;&gt;"111",'152-CT'!$J$8=TH!F5024),"x","")</f>
        <v/>
      </c>
      <c r="AC5024" s="79" t="str">
        <f>IF(AND(OR(LEFT(TH!N5024,2)="15",LEFT(TH!O5024,2)="15"),TK!$E$7=TH!F5024),"x","")</f>
        <v/>
      </c>
      <c r="AD5024" s="79" t="str">
        <f>IF(AND(N5024="1521",MONTH(C5024)='BK-NL'!$M$11),"x","")</f>
        <v/>
      </c>
    </row>
    <row r="5025" spans="1:30" ht="16.5" customHeight="1">
      <c r="A5025" s="318" t="str">
        <f>IF(B5025&lt;&gt;"",IF(AND(B5025='[3]IN-TC'!$S$4,OR([3]TH!N4252="1111",[3]TH!O4252="1111")),[3]TH!D4252,""),"")</f>
        <v/>
      </c>
      <c r="B5025" s="60" t="str">
        <f t="shared" si="495"/>
        <v/>
      </c>
      <c r="C5025" s="61"/>
      <c r="D5025" s="61"/>
      <c r="E5025" s="61"/>
      <c r="F5025" s="975"/>
      <c r="G5025" s="64"/>
      <c r="H5025" s="69"/>
      <c r="I5025" s="385"/>
      <c r="J5025" s="395"/>
      <c r="K5025" s="385"/>
      <c r="L5025" s="392"/>
      <c r="M5025" s="62"/>
      <c r="N5025" s="63"/>
      <c r="O5025" s="63"/>
      <c r="P5025" s="79" t="str">
        <f>IF(AND('331-CT'!$E$7=TH!H5025,OR(N5025="331",O5025="331")),"x","")</f>
        <v/>
      </c>
      <c r="Q5025" s="79" t="str">
        <f>IF(AND(B5025='111'!$L$11,OR($N5025=$Q$7,$O5025=$Q$7)),"x","")</f>
        <v/>
      </c>
      <c r="R5025" s="79" t="str">
        <f>IF(AND($N5025=$Q$7,$B5025&lt;'111'!$L$11),"x","")</f>
        <v/>
      </c>
      <c r="S5025" s="79" t="str">
        <f>IF(AND($O5025=$Q$7,$B5025&lt;'111'!$L$11),"x","")</f>
        <v/>
      </c>
      <c r="T5025" s="79" t="str">
        <f>IF(ISERROR(FIND('112'!$M$9,G5025,1)),"",IF((AND(FIND('112'!$M$9,G5025,1)&gt;=1,B5025='112'!$K$9,OR($N5025='112'!$I$6,$O5025='112'!$I$6))),"x",""))</f>
        <v/>
      </c>
      <c r="U5025" s="79" t="str">
        <f>IF(ISERROR(FIND('112'!$M$9,G5025,1)),"",IF((AND(LEFT(G5025,2)=LEFT('112'!$M$9,2),B5025&lt;'112'!$K$9,$N5025='112'!$I$6)),"x",""))</f>
        <v/>
      </c>
      <c r="V5025" s="79" t="str">
        <f>IF(ISERROR(FIND('112'!$M$9,G5025,1)),"",IF((AND(RIGHT(G5025,2)=RIGHT('112'!$M$9,2),B5025&lt;'112'!$K$9,$O5025='112'!$I$6)),"x",""))</f>
        <v/>
      </c>
      <c r="W5025" s="79" t="str">
        <f>IF(AND('341-CT'!$H$9=H5025,OR(LEFT(N5025,3)=$W$7,LEFT(O5025,3)=$W$7)),"x","")</f>
        <v/>
      </c>
      <c r="X5025" s="79" t="str">
        <f>IF(OR(TH!N5025=TH!$X$7,O5025=TH!$X$7),"x","")</f>
        <v/>
      </c>
      <c r="Y5025" s="79" t="str">
        <f>IF(AND(OR(N5025="131",O5025="131"),H5025='131-CT'!$H$9),"x","")</f>
        <v/>
      </c>
      <c r="Z5025" s="79"/>
      <c r="AA5025" s="79" t="str">
        <f>IF(AND(MONTH(E5025)='IN-NX'!$J$5,'IN-NX'!$D$7=D5025),"x","")</f>
        <v/>
      </c>
      <c r="AB5025" s="79" t="str">
        <f>IF(AND(OR(LEFT(TH!N5025,2)="15",LEFT(TH!O5025,2)="15"),LEFT(TH!O5025,3)&lt;&gt;"111",'152-CT'!$J$8=TH!F5025),"x","")</f>
        <v/>
      </c>
      <c r="AC5025" s="79" t="str">
        <f>IF(AND(OR(LEFT(TH!N5025,2)="15",LEFT(TH!O5025,2)="15"),TK!$E$7=TH!F5025),"x","")</f>
        <v/>
      </c>
      <c r="AD5025" s="79" t="str">
        <f>IF(AND(N5025="1521",MONTH(C5025)='BK-NL'!$M$11),"x","")</f>
        <v/>
      </c>
    </row>
    <row r="5026" spans="1:30" ht="16.5" customHeight="1">
      <c r="A5026" s="318" t="str">
        <f>IF(B5026&lt;&gt;"",IF(AND(B5026='[3]IN-TC'!$S$4,OR([3]TH!N4248="1111",[3]TH!O4248="1111")),[3]TH!D4248,""),"")</f>
        <v/>
      </c>
      <c r="B5026" s="60" t="str">
        <f t="shared" ref="B5026:B5058" si="499">IF(C5026&lt;&gt;"",MONTH(C5026),"")</f>
        <v/>
      </c>
      <c r="C5026" s="61"/>
      <c r="D5026" s="61"/>
      <c r="E5026" s="61"/>
      <c r="F5026" s="64"/>
      <c r="G5026" s="64"/>
      <c r="H5026" s="69"/>
      <c r="I5026" s="387"/>
      <c r="J5026" s="395"/>
      <c r="K5026" s="387"/>
      <c r="L5026" s="394"/>
      <c r="M5026" s="62"/>
      <c r="N5026" s="63"/>
      <c r="O5026" s="63"/>
      <c r="P5026" s="79" t="str">
        <f>IF(AND('331-CT'!$E$7=TH!H5026,OR(N5026="331",O5026="331")),"x","")</f>
        <v/>
      </c>
      <c r="Q5026" s="79" t="str">
        <f>IF(AND(B5026='111'!$L$11,OR($N5026=$Q$7,$O5026=$Q$7)),"x","")</f>
        <v/>
      </c>
      <c r="R5026" s="79" t="str">
        <f>IF(AND($N5026=$Q$7,$B5026&lt;'111'!$L$11),"x","")</f>
        <v/>
      </c>
      <c r="S5026" s="79" t="str">
        <f>IF(AND($O5026=$Q$7,$B5026&lt;'111'!$L$11),"x","")</f>
        <v/>
      </c>
      <c r="T5026" s="79" t="str">
        <f>IF(ISERROR(FIND('112'!$M$9,G5026,1)),"",IF((AND(FIND('112'!$M$9,G5026,1)&gt;=1,B5026='112'!$K$9,OR($N5026='112'!$I$6,$O5026='112'!$I$6))),"x",""))</f>
        <v/>
      </c>
      <c r="U5026" s="79" t="str">
        <f>IF(ISERROR(FIND('112'!$M$9,G5026,1)),"",IF((AND(LEFT(G5026,2)=LEFT('112'!$M$9,2),B5026&lt;'112'!$K$9,$N5026='112'!$I$6)),"x",""))</f>
        <v/>
      </c>
      <c r="V5026" s="79" t="str">
        <f>IF(ISERROR(FIND('112'!$M$9,G5026,1)),"",IF((AND(RIGHT(G5026,2)=RIGHT('112'!$M$9,2),B5026&lt;'112'!$K$9,$O5026='112'!$I$6)),"x",""))</f>
        <v/>
      </c>
      <c r="W5026" s="79" t="str">
        <f>IF(AND('341-CT'!$H$9=H5026,OR(LEFT(N5026,3)=$W$7,LEFT(O5026,3)=$W$7)),"x","")</f>
        <v/>
      </c>
      <c r="X5026" s="79" t="str">
        <f>IF(OR(TH!N5026=TH!$X$7,O5026=TH!$X$7),"x","")</f>
        <v/>
      </c>
      <c r="Y5026" s="79" t="str">
        <f>IF(AND(OR(N5026="131",O5026="131"),H5026='131-CT'!$H$9),"x","")</f>
        <v/>
      </c>
      <c r="Z5026" s="79"/>
      <c r="AA5026" s="79" t="str">
        <f>IF(AND(MONTH(E5026)='IN-NX'!$J$5,'IN-NX'!$D$7=D5026),"x","")</f>
        <v/>
      </c>
      <c r="AB5026" s="79" t="str">
        <f>IF(AND(OR(LEFT(TH!N5026,2)="15",LEFT(TH!O5026,2)="15"),LEFT(TH!O5026,3)&lt;&gt;"111",'152-CT'!$J$8=TH!F5026),"x","")</f>
        <v/>
      </c>
      <c r="AC5026" s="79" t="str">
        <f>IF(AND(OR(LEFT(TH!N5026,2)="15",LEFT(TH!O5026,2)="15"),TK!$E$7=TH!F5026),"x","")</f>
        <v/>
      </c>
      <c r="AD5026" s="79" t="str">
        <f>IF(AND(N5026="1521",MONTH(C5026)='BK-NL'!$M$11),"x","")</f>
        <v/>
      </c>
    </row>
    <row r="5027" spans="1:30" ht="16.5" customHeight="1">
      <c r="A5027" s="318" t="str">
        <f>IF(B5027&lt;&gt;"",IF(AND(B5027='[3]IN-TC'!$S$4,OR([3]TH!N4249="1111",[3]TH!O4249="1111")),[3]TH!D4249,""),"")</f>
        <v/>
      </c>
      <c r="B5027" s="60" t="str">
        <f t="shared" si="499"/>
        <v/>
      </c>
      <c r="C5027" s="61"/>
      <c r="D5027" s="61"/>
      <c r="E5027" s="61"/>
      <c r="F5027" s="64"/>
      <c r="G5027" s="64"/>
      <c r="H5027" s="69"/>
      <c r="I5027" s="385"/>
      <c r="J5027" s="395"/>
      <c r="K5027" s="385"/>
      <c r="L5027" s="392"/>
      <c r="M5027" s="62"/>
      <c r="N5027" s="63"/>
      <c r="O5027" s="63"/>
      <c r="P5027" s="79" t="str">
        <f>IF(AND('331-CT'!$E$7=TH!H5027,OR(N5027="331",O5027="331")),"x","")</f>
        <v/>
      </c>
      <c r="Q5027" s="79" t="str">
        <f>IF(AND(B5027='111'!$L$11,OR($N5027=$Q$7,$O5027=$Q$7)),"x","")</f>
        <v/>
      </c>
      <c r="R5027" s="79" t="str">
        <f>IF(AND($N5027=$Q$7,$B5027&lt;'111'!$L$11),"x","")</f>
        <v/>
      </c>
      <c r="S5027" s="79" t="str">
        <f>IF(AND($O5027=$Q$7,$B5027&lt;'111'!$L$11),"x","")</f>
        <v/>
      </c>
      <c r="T5027" s="79" t="str">
        <f>IF(ISERROR(FIND('112'!$M$9,G5027,1)),"",IF((AND(FIND('112'!$M$9,G5027,1)&gt;=1,B5027='112'!$K$9,OR($N5027='112'!$I$6,$O5027='112'!$I$6))),"x",""))</f>
        <v/>
      </c>
      <c r="U5027" s="79" t="str">
        <f>IF(ISERROR(FIND('112'!$M$9,G5027,1)),"",IF((AND(LEFT(G5027,2)=LEFT('112'!$M$9,2),B5027&lt;'112'!$K$9,$N5027='112'!$I$6)),"x",""))</f>
        <v/>
      </c>
      <c r="V5027" s="79" t="str">
        <f>IF(ISERROR(FIND('112'!$M$9,G5027,1)),"",IF((AND(RIGHT(G5027,2)=RIGHT('112'!$M$9,2),B5027&lt;'112'!$K$9,$O5027='112'!$I$6)),"x",""))</f>
        <v/>
      </c>
      <c r="W5027" s="79" t="str">
        <f>IF(AND('341-CT'!$H$9=H5027,OR(LEFT(N5027,3)=$W$7,LEFT(O5027,3)=$W$7)),"x","")</f>
        <v/>
      </c>
      <c r="X5027" s="79" t="str">
        <f>IF(OR(TH!N5027=TH!$X$7,O5027=TH!$X$7),"x","")</f>
        <v/>
      </c>
      <c r="Y5027" s="79" t="str">
        <f>IF(AND(OR(N5027="131",O5027="131"),H5027='131-CT'!$H$9),"x","")</f>
        <v/>
      </c>
      <c r="Z5027" s="79"/>
      <c r="AA5027" s="79" t="str">
        <f>IF(AND(MONTH(E5027)='IN-NX'!$J$5,'IN-NX'!$D$7=D5027),"x","")</f>
        <v/>
      </c>
      <c r="AB5027" s="79" t="str">
        <f>IF(AND(OR(LEFT(TH!N5027,2)="15",LEFT(TH!O5027,2)="15"),LEFT(TH!O5027,3)&lt;&gt;"111",'152-CT'!$J$8=TH!F5027),"x","")</f>
        <v/>
      </c>
      <c r="AC5027" s="79" t="str">
        <f>IF(AND(OR(LEFT(TH!N5027,2)="15",LEFT(TH!O5027,2)="15"),TK!$E$7=TH!F5027),"x","")</f>
        <v/>
      </c>
      <c r="AD5027" s="79" t="str">
        <f>IF(AND(N5027="1521",MONTH(C5027)='BK-NL'!$M$11),"x","")</f>
        <v/>
      </c>
    </row>
    <row r="5028" spans="1:30" ht="16.5" customHeight="1">
      <c r="A5028" s="318" t="str">
        <f>IF(B5028&lt;&gt;"",IF(AND(B5028='[3]IN-TC'!$S$4,OR([3]TH!N4250="1111",[3]TH!O4250="1111")),[3]TH!D4250,""),"")</f>
        <v/>
      </c>
      <c r="B5028" s="60" t="str">
        <f t="shared" si="499"/>
        <v/>
      </c>
      <c r="C5028" s="61"/>
      <c r="D5028" s="61"/>
      <c r="E5028" s="61"/>
      <c r="F5028" s="64"/>
      <c r="G5028" s="64"/>
      <c r="H5028" s="69"/>
      <c r="I5028" s="385"/>
      <c r="J5028" s="395"/>
      <c r="K5028" s="385"/>
      <c r="L5028" s="392"/>
      <c r="M5028" s="62"/>
      <c r="N5028" s="63"/>
      <c r="O5028" s="63"/>
      <c r="P5028" s="79" t="str">
        <f>IF(AND('331-CT'!$E$7=TH!H5028,OR(N5028="331",O5028="331")),"x","")</f>
        <v/>
      </c>
      <c r="Q5028" s="79" t="str">
        <f>IF(AND(B5028='111'!$L$11,OR($N5028=$Q$7,$O5028=$Q$7)),"x","")</f>
        <v/>
      </c>
      <c r="R5028" s="79" t="str">
        <f>IF(AND($N5028=$Q$7,$B5028&lt;'111'!$L$11),"x","")</f>
        <v/>
      </c>
      <c r="S5028" s="79" t="str">
        <f>IF(AND($O5028=$Q$7,$B5028&lt;'111'!$L$11),"x","")</f>
        <v/>
      </c>
      <c r="T5028" s="79" t="str">
        <f>IF(ISERROR(FIND('112'!$M$9,G5028,1)),"",IF((AND(FIND('112'!$M$9,G5028,1)&gt;=1,B5028='112'!$K$9,OR($N5028='112'!$I$6,$O5028='112'!$I$6))),"x",""))</f>
        <v/>
      </c>
      <c r="U5028" s="79" t="str">
        <f>IF(ISERROR(FIND('112'!$M$9,G5028,1)),"",IF((AND(LEFT(G5028,2)=LEFT('112'!$M$9,2),B5028&lt;'112'!$K$9,$N5028='112'!$I$6)),"x",""))</f>
        <v/>
      </c>
      <c r="V5028" s="79" t="str">
        <f>IF(ISERROR(FIND('112'!$M$9,G5028,1)),"",IF((AND(RIGHT(G5028,2)=RIGHT('112'!$M$9,2),B5028&lt;'112'!$K$9,$O5028='112'!$I$6)),"x",""))</f>
        <v/>
      </c>
      <c r="W5028" s="79" t="str">
        <f>IF(AND('341-CT'!$H$9=H5028,OR(LEFT(N5028,3)=$W$7,LEFT(O5028,3)=$W$7)),"x","")</f>
        <v/>
      </c>
      <c r="X5028" s="79" t="str">
        <f>IF(OR(TH!N5028=TH!$X$7,O5028=TH!$X$7),"x","")</f>
        <v/>
      </c>
      <c r="Y5028" s="79" t="str">
        <f>IF(AND(OR(N5028="131",O5028="131"),H5028='131-CT'!$H$9),"x","")</f>
        <v/>
      </c>
      <c r="Z5028" s="79"/>
      <c r="AA5028" s="79" t="str">
        <f>IF(AND(MONTH(E5028)='IN-NX'!$J$5,'IN-NX'!$D$7=D5028),"x","")</f>
        <v/>
      </c>
      <c r="AB5028" s="79" t="str">
        <f>IF(AND(OR(LEFT(TH!N5028,2)="15",LEFT(TH!O5028,2)="15"),LEFT(TH!O5028,3)&lt;&gt;"111",'152-CT'!$J$8=TH!F5028),"x","")</f>
        <v/>
      </c>
      <c r="AC5028" s="79" t="str">
        <f>IF(AND(OR(LEFT(TH!N5028,2)="15",LEFT(TH!O5028,2)="15"),TK!$E$7=TH!F5028),"x","")</f>
        <v/>
      </c>
      <c r="AD5028" s="79" t="str">
        <f>IF(AND(N5028="1521",MONTH(C5028)='BK-NL'!$M$11),"x","")</f>
        <v/>
      </c>
    </row>
    <row r="5029" spans="1:30" ht="16.5" customHeight="1">
      <c r="A5029" s="318" t="str">
        <f>IF(B5029&lt;&gt;"",IF(AND(B5029='[3]IN-TC'!$S$4,OR([3]TH!N4251="1111",[3]TH!O4251="1111")),[3]TH!D4251,""),"")</f>
        <v/>
      </c>
      <c r="B5029" s="60" t="str">
        <f t="shared" si="499"/>
        <v/>
      </c>
      <c r="C5029" s="61"/>
      <c r="D5029" s="61"/>
      <c r="E5029" s="61"/>
      <c r="F5029" s="64"/>
      <c r="G5029" s="64"/>
      <c r="H5029" s="69"/>
      <c r="I5029" s="385"/>
      <c r="J5029" s="395"/>
      <c r="K5029" s="385"/>
      <c r="L5029" s="392"/>
      <c r="M5029" s="62"/>
      <c r="N5029" s="63"/>
      <c r="O5029" s="63"/>
      <c r="P5029" s="79" t="str">
        <f>IF(AND('331-CT'!$E$7=TH!H5029,OR(N5029="331",O5029="331")),"x","")</f>
        <v/>
      </c>
      <c r="Q5029" s="79" t="str">
        <f>IF(AND(B5029='111'!$L$11,OR($N5029=$Q$7,$O5029=$Q$7)),"x","")</f>
        <v/>
      </c>
      <c r="R5029" s="79" t="str">
        <f>IF(AND($N5029=$Q$7,$B5029&lt;'111'!$L$11),"x","")</f>
        <v/>
      </c>
      <c r="S5029" s="79" t="str">
        <f>IF(AND($O5029=$Q$7,$B5029&lt;'111'!$L$11),"x","")</f>
        <v/>
      </c>
      <c r="T5029" s="79" t="str">
        <f>IF(ISERROR(FIND('112'!$M$9,G5029,1)),"",IF((AND(FIND('112'!$M$9,G5029,1)&gt;=1,B5029='112'!$K$9,OR($N5029='112'!$I$6,$O5029='112'!$I$6))),"x",""))</f>
        <v/>
      </c>
      <c r="U5029" s="79" t="str">
        <f>IF(ISERROR(FIND('112'!$M$9,G5029,1)),"",IF((AND(LEFT(G5029,2)=LEFT('112'!$M$9,2),B5029&lt;'112'!$K$9,$N5029='112'!$I$6)),"x",""))</f>
        <v/>
      </c>
      <c r="V5029" s="79" t="str">
        <f>IF(ISERROR(FIND('112'!$M$9,G5029,1)),"",IF((AND(RIGHT(G5029,2)=RIGHT('112'!$M$9,2),B5029&lt;'112'!$K$9,$O5029='112'!$I$6)),"x",""))</f>
        <v/>
      </c>
      <c r="W5029" s="79" t="str">
        <f>IF(AND('341-CT'!$H$9=H5029,OR(LEFT(N5029,3)=$W$7,LEFT(O5029,3)=$W$7)),"x","")</f>
        <v/>
      </c>
      <c r="X5029" s="79" t="str">
        <f>IF(OR(TH!N5029=TH!$X$7,O5029=TH!$X$7),"x","")</f>
        <v/>
      </c>
      <c r="Y5029" s="79" t="str">
        <f>IF(AND(OR(N5029="131",O5029="131"),H5029='131-CT'!$H$9),"x","")</f>
        <v/>
      </c>
      <c r="Z5029" s="79"/>
      <c r="AA5029" s="79" t="str">
        <f>IF(AND(MONTH(E5029)='IN-NX'!$J$5,'IN-NX'!$D$7=D5029),"x","")</f>
        <v/>
      </c>
      <c r="AB5029" s="79" t="str">
        <f>IF(AND(OR(LEFT(TH!N5029,2)="15",LEFT(TH!O5029,2)="15"),LEFT(TH!O5029,3)&lt;&gt;"111",'152-CT'!$J$8=TH!F5029),"x","")</f>
        <v/>
      </c>
      <c r="AC5029" s="79" t="str">
        <f>IF(AND(OR(LEFT(TH!N5029,2)="15",LEFT(TH!O5029,2)="15"),TK!$E$7=TH!F5029),"x","")</f>
        <v/>
      </c>
      <c r="AD5029" s="79" t="str">
        <f>IF(AND(N5029="1521",MONTH(C5029)='BK-NL'!$M$11),"x","")</f>
        <v/>
      </c>
    </row>
    <row r="5030" spans="1:30" ht="16.5" customHeight="1">
      <c r="A5030" s="318" t="str">
        <f>IF(B5030&lt;&gt;"",IF(AND(B5030='[3]IN-TC'!$S$4,OR([3]TH!N4252="1111",[3]TH!O4252="1111")),[3]TH!D4252,""),"")</f>
        <v/>
      </c>
      <c r="B5030" s="60" t="str">
        <f t="shared" si="499"/>
        <v/>
      </c>
      <c r="C5030" s="61"/>
      <c r="D5030" s="61"/>
      <c r="E5030" s="61"/>
      <c r="F5030" s="64"/>
      <c r="G5030" s="64"/>
      <c r="H5030" s="69"/>
      <c r="I5030" s="385"/>
      <c r="J5030" s="395"/>
      <c r="K5030" s="385"/>
      <c r="L5030" s="392"/>
      <c r="M5030" s="62"/>
      <c r="N5030" s="63"/>
      <c r="O5030" s="63"/>
      <c r="P5030" s="79" t="str">
        <f>IF(AND('331-CT'!$E$7=TH!H5030,OR(N5030="331",O5030="331")),"x","")</f>
        <v/>
      </c>
      <c r="Q5030" s="79" t="str">
        <f>IF(AND(B5030='111'!$L$11,OR($N5030=$Q$7,$O5030=$Q$7)),"x","")</f>
        <v/>
      </c>
      <c r="R5030" s="79" t="str">
        <f>IF(AND($N5030=$Q$7,$B5030&lt;'111'!$L$11),"x","")</f>
        <v/>
      </c>
      <c r="S5030" s="79" t="str">
        <f>IF(AND($O5030=$Q$7,$B5030&lt;'111'!$L$11),"x","")</f>
        <v/>
      </c>
      <c r="T5030" s="79" t="str">
        <f>IF(ISERROR(FIND('112'!$M$9,G5030,1)),"",IF((AND(FIND('112'!$M$9,G5030,1)&gt;=1,B5030='112'!$K$9,OR($N5030='112'!$I$6,$O5030='112'!$I$6))),"x",""))</f>
        <v/>
      </c>
      <c r="U5030" s="79" t="str">
        <f>IF(ISERROR(FIND('112'!$M$9,G5030,1)),"",IF((AND(LEFT(G5030,2)=LEFT('112'!$M$9,2),B5030&lt;'112'!$K$9,$N5030='112'!$I$6)),"x",""))</f>
        <v/>
      </c>
      <c r="V5030" s="79" t="str">
        <f>IF(ISERROR(FIND('112'!$M$9,G5030,1)),"",IF((AND(RIGHT(G5030,2)=RIGHT('112'!$M$9,2),B5030&lt;'112'!$K$9,$O5030='112'!$I$6)),"x",""))</f>
        <v/>
      </c>
      <c r="W5030" s="79" t="str">
        <f>IF(AND('341-CT'!$H$9=H5030,OR(LEFT(N5030,3)=$W$7,LEFT(O5030,3)=$W$7)),"x","")</f>
        <v/>
      </c>
      <c r="X5030" s="79" t="str">
        <f>IF(OR(TH!N5030=TH!$X$7,O5030=TH!$X$7),"x","")</f>
        <v/>
      </c>
      <c r="Y5030" s="79" t="str">
        <f>IF(AND(OR(N5030="131",O5030="131"),H5030='131-CT'!$H$9),"x","")</f>
        <v/>
      </c>
      <c r="Z5030" s="79"/>
      <c r="AA5030" s="79" t="str">
        <f>IF(AND(MONTH(E5030)='IN-NX'!$J$5,'IN-NX'!$D$7=D5030),"x","")</f>
        <v/>
      </c>
      <c r="AB5030" s="79" t="str">
        <f>IF(AND(OR(LEFT(TH!N5030,2)="15",LEFT(TH!O5030,2)="15"),LEFT(TH!O5030,3)&lt;&gt;"111",'152-CT'!$J$8=TH!F5030),"x","")</f>
        <v/>
      </c>
      <c r="AC5030" s="79" t="str">
        <f>IF(AND(OR(LEFT(TH!N5030,2)="15",LEFT(TH!O5030,2)="15"),TK!$E$7=TH!F5030),"x","")</f>
        <v/>
      </c>
      <c r="AD5030" s="79" t="str">
        <f>IF(AND(N5030="1521",MONTH(C5030)='BK-NL'!$M$11),"x","")</f>
        <v/>
      </c>
    </row>
    <row r="5031" spans="1:30" ht="16.5" customHeight="1">
      <c r="A5031" s="318" t="str">
        <f>IF(B5031&lt;&gt;"",IF(AND(B5031='[3]IN-TC'!$S$4,OR([3]TH!N4253="1111",[3]TH!O4253="1111")),[3]TH!D4253,""),"")</f>
        <v/>
      </c>
      <c r="B5031" s="60" t="str">
        <f t="shared" si="499"/>
        <v/>
      </c>
      <c r="C5031" s="61"/>
      <c r="D5031" s="61"/>
      <c r="E5031" s="61"/>
      <c r="F5031" s="64"/>
      <c r="G5031" s="64"/>
      <c r="H5031" s="69"/>
      <c r="I5031" s="385"/>
      <c r="J5031" s="395"/>
      <c r="K5031" s="385"/>
      <c r="L5031" s="392"/>
      <c r="M5031" s="62"/>
      <c r="N5031" s="63"/>
      <c r="O5031" s="63"/>
      <c r="P5031" s="79" t="str">
        <f>IF(AND('331-CT'!$E$7=TH!H5031,OR(N5031="331",O5031="331")),"x","")</f>
        <v/>
      </c>
      <c r="Q5031" s="79" t="str">
        <f>IF(AND(B5031='111'!$L$11,OR($N5031=$Q$7,$O5031=$Q$7)),"x","")</f>
        <v/>
      </c>
      <c r="R5031" s="79" t="str">
        <f>IF(AND($N5031=$Q$7,$B5031&lt;'111'!$L$11),"x","")</f>
        <v/>
      </c>
      <c r="S5031" s="79" t="str">
        <f>IF(AND($O5031=$Q$7,$B5031&lt;'111'!$L$11),"x","")</f>
        <v/>
      </c>
      <c r="T5031" s="79" t="str">
        <f>IF(ISERROR(FIND('112'!$M$9,G5031,1)),"",IF((AND(FIND('112'!$M$9,G5031,1)&gt;=1,B5031='112'!$K$9,OR($N5031='112'!$I$6,$O5031='112'!$I$6))),"x",""))</f>
        <v/>
      </c>
      <c r="U5031" s="79" t="str">
        <f>IF(ISERROR(FIND('112'!$M$9,G5031,1)),"",IF((AND(LEFT(G5031,2)=LEFT('112'!$M$9,2),B5031&lt;'112'!$K$9,$N5031='112'!$I$6)),"x",""))</f>
        <v/>
      </c>
      <c r="V5031" s="79" t="str">
        <f>IF(ISERROR(FIND('112'!$M$9,G5031,1)),"",IF((AND(RIGHT(G5031,2)=RIGHT('112'!$M$9,2),B5031&lt;'112'!$K$9,$O5031='112'!$I$6)),"x",""))</f>
        <v/>
      </c>
      <c r="W5031" s="79" t="str">
        <f>IF(AND('341-CT'!$H$9=H5031,OR(LEFT(N5031,3)=$W$7,LEFT(O5031,3)=$W$7)),"x","")</f>
        <v/>
      </c>
      <c r="X5031" s="79" t="str">
        <f>IF(OR(TH!N5031=TH!$X$7,O5031=TH!$X$7),"x","")</f>
        <v/>
      </c>
      <c r="Y5031" s="79" t="str">
        <f>IF(AND(OR(N5031="131",O5031="131"),H5031='131-CT'!$H$9),"x","")</f>
        <v/>
      </c>
      <c r="Z5031" s="79"/>
      <c r="AA5031" s="79" t="str">
        <f>IF(AND(MONTH(E5031)='IN-NX'!$J$5,'IN-NX'!$D$7=D5031),"x","")</f>
        <v/>
      </c>
      <c r="AB5031" s="79" t="str">
        <f>IF(AND(OR(LEFT(TH!N5031,2)="15",LEFT(TH!O5031,2)="15"),LEFT(TH!O5031,3)&lt;&gt;"111",'152-CT'!$J$8=TH!F5031),"x","")</f>
        <v/>
      </c>
      <c r="AC5031" s="79" t="str">
        <f>IF(AND(OR(LEFT(TH!N5031,2)="15",LEFT(TH!O5031,2)="15"),TK!$E$7=TH!F5031),"x","")</f>
        <v/>
      </c>
      <c r="AD5031" s="79" t="str">
        <f>IF(AND(N5031="1521",MONTH(C5031)='BK-NL'!$M$11),"x","")</f>
        <v/>
      </c>
    </row>
    <row r="5032" spans="1:30" ht="16.5" customHeight="1">
      <c r="A5032" s="318" t="str">
        <f>IF(B5032&lt;&gt;"",IF(AND(B5032='[3]IN-TC'!$S$4,OR([3]TH!N4254="1111",[3]TH!O4254="1111")),[3]TH!D4254,""),"")</f>
        <v/>
      </c>
      <c r="B5032" s="60" t="str">
        <f t="shared" si="499"/>
        <v/>
      </c>
      <c r="C5032" s="61"/>
      <c r="D5032" s="61"/>
      <c r="E5032" s="61"/>
      <c r="F5032" s="64"/>
      <c r="G5032" s="64"/>
      <c r="H5032" s="69"/>
      <c r="I5032" s="385"/>
      <c r="J5032" s="395"/>
      <c r="K5032" s="385"/>
      <c r="L5032" s="392"/>
      <c r="M5032" s="62"/>
      <c r="N5032" s="63"/>
      <c r="O5032" s="63"/>
      <c r="P5032" s="79" t="str">
        <f>IF(AND('331-CT'!$E$7=TH!H5032,OR(N5032="331",O5032="331")),"x","")</f>
        <v/>
      </c>
      <c r="Q5032" s="79" t="str">
        <f>IF(AND(B5032='111'!$L$11,OR($N5032=$Q$7,$O5032=$Q$7)),"x","")</f>
        <v/>
      </c>
      <c r="R5032" s="79" t="str">
        <f>IF(AND($N5032=$Q$7,$B5032&lt;'111'!$L$11),"x","")</f>
        <v/>
      </c>
      <c r="S5032" s="79" t="str">
        <f>IF(AND($O5032=$Q$7,$B5032&lt;'111'!$L$11),"x","")</f>
        <v/>
      </c>
      <c r="T5032" s="79" t="str">
        <f>IF(ISERROR(FIND('112'!$M$9,G5032,1)),"",IF((AND(FIND('112'!$M$9,G5032,1)&gt;=1,B5032='112'!$K$9,OR($N5032='112'!$I$6,$O5032='112'!$I$6))),"x",""))</f>
        <v/>
      </c>
      <c r="U5032" s="79" t="str">
        <f>IF(ISERROR(FIND('112'!$M$9,G5032,1)),"",IF((AND(LEFT(G5032,2)=LEFT('112'!$M$9,2),B5032&lt;'112'!$K$9,$N5032='112'!$I$6)),"x",""))</f>
        <v/>
      </c>
      <c r="V5032" s="79" t="str">
        <f>IF(ISERROR(FIND('112'!$M$9,G5032,1)),"",IF((AND(RIGHT(G5032,2)=RIGHT('112'!$M$9,2),B5032&lt;'112'!$K$9,$O5032='112'!$I$6)),"x",""))</f>
        <v/>
      </c>
      <c r="W5032" s="79" t="str">
        <f>IF(AND('341-CT'!$H$9=H5032,OR(LEFT(N5032,3)=$W$7,LEFT(O5032,3)=$W$7)),"x","")</f>
        <v/>
      </c>
      <c r="X5032" s="79" t="str">
        <f>IF(OR(TH!N5032=TH!$X$7,O5032=TH!$X$7),"x","")</f>
        <v/>
      </c>
      <c r="Y5032" s="79" t="str">
        <f>IF(AND(OR(N5032="131",O5032="131"),H5032='131-CT'!$H$9),"x","")</f>
        <v/>
      </c>
      <c r="Z5032" s="79"/>
      <c r="AA5032" s="79" t="str">
        <f>IF(AND(MONTH(E5032)='IN-NX'!$J$5,'IN-NX'!$D$7=D5032),"x","")</f>
        <v/>
      </c>
      <c r="AB5032" s="79" t="str">
        <f>IF(AND(OR(LEFT(TH!N5032,2)="15",LEFT(TH!O5032,2)="15"),LEFT(TH!O5032,3)&lt;&gt;"111",'152-CT'!$J$8=TH!F5032),"x","")</f>
        <v/>
      </c>
      <c r="AC5032" s="79" t="str">
        <f>IF(AND(OR(LEFT(TH!N5032,2)="15",LEFT(TH!O5032,2)="15"),TK!$E$7=TH!F5032),"x","")</f>
        <v/>
      </c>
      <c r="AD5032" s="79" t="str">
        <f>IF(AND(N5032="1521",MONTH(C5032)='BK-NL'!$M$11),"x","")</f>
        <v/>
      </c>
    </row>
    <row r="5033" spans="1:30" ht="16.5" customHeight="1">
      <c r="A5033" s="318" t="str">
        <f>IF(B5033&lt;&gt;"",IF(AND(B5033='[3]IN-TC'!$S$4,OR([3]TH!N4255="1111",[3]TH!O4255="1111")),[3]TH!D4255,""),"")</f>
        <v/>
      </c>
      <c r="B5033" s="60" t="str">
        <f t="shared" si="499"/>
        <v/>
      </c>
      <c r="C5033" s="61"/>
      <c r="D5033" s="61"/>
      <c r="E5033" s="61"/>
      <c r="F5033" s="64"/>
      <c r="G5033" s="64"/>
      <c r="H5033" s="69"/>
      <c r="I5033" s="385"/>
      <c r="J5033" s="395"/>
      <c r="K5033" s="385"/>
      <c r="L5033" s="392"/>
      <c r="M5033" s="62"/>
      <c r="N5033" s="63"/>
      <c r="O5033" s="63"/>
      <c r="P5033" s="79" t="str">
        <f>IF(AND('331-CT'!$E$7=TH!H5033,OR(N5033="331",O5033="331")),"x","")</f>
        <v/>
      </c>
      <c r="Q5033" s="79" t="str">
        <f>IF(AND(B5033='111'!$L$11,OR($N5033=$Q$7,$O5033=$Q$7)),"x","")</f>
        <v/>
      </c>
      <c r="R5033" s="79" t="str">
        <f>IF(AND($N5033=$Q$7,$B5033&lt;'111'!$L$11),"x","")</f>
        <v/>
      </c>
      <c r="S5033" s="79" t="str">
        <f>IF(AND($O5033=$Q$7,$B5033&lt;'111'!$L$11),"x","")</f>
        <v/>
      </c>
      <c r="T5033" s="79" t="str">
        <f>IF(ISERROR(FIND('112'!$M$9,G5033,1)),"",IF((AND(FIND('112'!$M$9,G5033,1)&gt;=1,B5033='112'!$K$9,OR($N5033='112'!$I$6,$O5033='112'!$I$6))),"x",""))</f>
        <v/>
      </c>
      <c r="U5033" s="79" t="str">
        <f>IF(ISERROR(FIND('112'!$M$9,G5033,1)),"",IF((AND(LEFT(G5033,2)=LEFT('112'!$M$9,2),B5033&lt;'112'!$K$9,$N5033='112'!$I$6)),"x",""))</f>
        <v/>
      </c>
      <c r="V5033" s="79" t="str">
        <f>IF(ISERROR(FIND('112'!$M$9,G5033,1)),"",IF((AND(RIGHT(G5033,2)=RIGHT('112'!$M$9,2),B5033&lt;'112'!$K$9,$O5033='112'!$I$6)),"x",""))</f>
        <v/>
      </c>
      <c r="W5033" s="79" t="str">
        <f>IF(AND('341-CT'!$H$9=H5033,OR(LEFT(N5033,3)=$W$7,LEFT(O5033,3)=$W$7)),"x","")</f>
        <v/>
      </c>
      <c r="X5033" s="79" t="str">
        <f>IF(OR(TH!N5033=TH!$X$7,O5033=TH!$X$7),"x","")</f>
        <v/>
      </c>
      <c r="Y5033" s="79" t="str">
        <f>IF(AND(OR(N5033="131",O5033="131"),H5033='131-CT'!$H$9),"x","")</f>
        <v/>
      </c>
      <c r="Z5033" s="79"/>
      <c r="AA5033" s="79" t="str">
        <f>IF(AND(MONTH(E5033)='IN-NX'!$J$5,'IN-NX'!$D$7=D5033),"x","")</f>
        <v/>
      </c>
      <c r="AB5033" s="79" t="str">
        <f>IF(AND(OR(LEFT(TH!N5033,2)="15",LEFT(TH!O5033,2)="15"),LEFT(TH!O5033,3)&lt;&gt;"111",'152-CT'!$J$8=TH!F5033),"x","")</f>
        <v/>
      </c>
      <c r="AC5033" s="79" t="str">
        <f>IF(AND(OR(LEFT(TH!N5033,2)="15",LEFT(TH!O5033,2)="15"),TK!$E$7=TH!F5033),"x","")</f>
        <v/>
      </c>
      <c r="AD5033" s="79" t="str">
        <f>IF(AND(N5033="1521",MONTH(C5033)='BK-NL'!$M$11),"x","")</f>
        <v/>
      </c>
    </row>
    <row r="5034" spans="1:30" ht="16.5" customHeight="1">
      <c r="A5034" s="318" t="str">
        <f>IF(B5034&lt;&gt;"",IF(AND(B5034='[3]IN-TC'!$S$4,OR([3]TH!N4256="1111",[3]TH!O4256="1111")),[3]TH!D4256,""),"")</f>
        <v/>
      </c>
      <c r="B5034" s="60" t="str">
        <f t="shared" si="499"/>
        <v/>
      </c>
      <c r="C5034" s="61"/>
      <c r="D5034" s="61"/>
      <c r="E5034" s="61"/>
      <c r="F5034" s="64"/>
      <c r="G5034" s="64"/>
      <c r="H5034" s="69"/>
      <c r="I5034" s="387"/>
      <c r="J5034" s="395"/>
      <c r="K5034" s="387"/>
      <c r="L5034" s="394"/>
      <c r="M5034" s="62"/>
      <c r="N5034" s="63"/>
      <c r="O5034" s="63"/>
      <c r="P5034" s="79" t="str">
        <f>IF(AND('331-CT'!$E$7=TH!H5034,OR(N5034="331",O5034="331")),"x","")</f>
        <v/>
      </c>
      <c r="Q5034" s="79" t="str">
        <f>IF(AND(B5034='111'!$L$11,OR($N5034=$Q$7,$O5034=$Q$7)),"x","")</f>
        <v/>
      </c>
      <c r="R5034" s="79" t="str">
        <f>IF(AND($N5034=$Q$7,$B5034&lt;'111'!$L$11),"x","")</f>
        <v/>
      </c>
      <c r="S5034" s="79" t="str">
        <f>IF(AND($O5034=$Q$7,$B5034&lt;'111'!$L$11),"x","")</f>
        <v/>
      </c>
      <c r="T5034" s="79" t="str">
        <f>IF(ISERROR(FIND('112'!$M$9,G5034,1)),"",IF((AND(FIND('112'!$M$9,G5034,1)&gt;=1,B5034='112'!$K$9,OR($N5034='112'!$I$6,$O5034='112'!$I$6))),"x",""))</f>
        <v/>
      </c>
      <c r="U5034" s="79" t="str">
        <f>IF(ISERROR(FIND('112'!$M$9,G5034,1)),"",IF((AND(LEFT(G5034,2)=LEFT('112'!$M$9,2),B5034&lt;'112'!$K$9,$N5034='112'!$I$6)),"x",""))</f>
        <v/>
      </c>
      <c r="V5034" s="79" t="str">
        <f>IF(ISERROR(FIND('112'!$M$9,G5034,1)),"",IF((AND(RIGHT(G5034,2)=RIGHT('112'!$M$9,2),B5034&lt;'112'!$K$9,$O5034='112'!$I$6)),"x",""))</f>
        <v/>
      </c>
      <c r="W5034" s="79" t="str">
        <f>IF(AND('341-CT'!$H$9=H5034,OR(LEFT(N5034,3)=$W$7,LEFT(O5034,3)=$W$7)),"x","")</f>
        <v/>
      </c>
      <c r="X5034" s="79" t="str">
        <f>IF(OR(TH!N5034=TH!$X$7,O5034=TH!$X$7),"x","")</f>
        <v/>
      </c>
      <c r="Y5034" s="79" t="str">
        <f>IF(AND(OR(N5034="131",O5034="131"),H5034='131-CT'!$H$9),"x","")</f>
        <v/>
      </c>
      <c r="Z5034" s="79"/>
      <c r="AA5034" s="79" t="str">
        <f>IF(AND(MONTH(E5034)='IN-NX'!$J$5,'IN-NX'!$D$7=D5034),"x","")</f>
        <v/>
      </c>
      <c r="AB5034" s="79" t="str">
        <f>IF(AND(OR(LEFT(TH!N5034,2)="15",LEFT(TH!O5034,2)="15"),LEFT(TH!O5034,3)&lt;&gt;"111",'152-CT'!$J$8=TH!F5034),"x","")</f>
        <v/>
      </c>
      <c r="AC5034" s="79" t="str">
        <f>IF(AND(OR(LEFT(TH!N5034,2)="15",LEFT(TH!O5034,2)="15"),TK!$E$7=TH!F5034),"x","")</f>
        <v/>
      </c>
      <c r="AD5034" s="79" t="str">
        <f>IF(AND(N5034="1521",MONTH(C5034)='BK-NL'!$M$11),"x","")</f>
        <v/>
      </c>
    </row>
    <row r="5035" spans="1:30" ht="16.5" customHeight="1">
      <c r="A5035" s="318" t="str">
        <f>IF(B5035&lt;&gt;"",IF(AND(B5035='[3]IN-TC'!$S$4,OR([3]TH!N4257="1111",[3]TH!O4257="1111")),[3]TH!D4257,""),"")</f>
        <v/>
      </c>
      <c r="B5035" s="60" t="str">
        <f t="shared" si="499"/>
        <v/>
      </c>
      <c r="C5035" s="61"/>
      <c r="D5035" s="61"/>
      <c r="E5035" s="61"/>
      <c r="F5035" s="64"/>
      <c r="G5035" s="64"/>
      <c r="H5035" s="69"/>
      <c r="I5035" s="387"/>
      <c r="J5035" s="395"/>
      <c r="K5035" s="387"/>
      <c r="L5035" s="394"/>
      <c r="M5035" s="62"/>
      <c r="N5035" s="63"/>
      <c r="O5035" s="63"/>
      <c r="P5035" s="79" t="str">
        <f>IF(AND('331-CT'!$E$7=TH!H5035,OR(N5035="331",O5035="331")),"x","")</f>
        <v/>
      </c>
      <c r="Q5035" s="79" t="str">
        <f>IF(AND(B5035='111'!$L$11,OR($N5035=$Q$7,$O5035=$Q$7)),"x","")</f>
        <v/>
      </c>
      <c r="R5035" s="79" t="str">
        <f>IF(AND($N5035=$Q$7,$B5035&lt;'111'!$L$11),"x","")</f>
        <v/>
      </c>
      <c r="S5035" s="79" t="str">
        <f>IF(AND($O5035=$Q$7,$B5035&lt;'111'!$L$11),"x","")</f>
        <v/>
      </c>
      <c r="T5035" s="79" t="str">
        <f>IF(ISERROR(FIND('112'!$M$9,G5035,1)),"",IF((AND(FIND('112'!$M$9,G5035,1)&gt;=1,B5035='112'!$K$9,OR($N5035='112'!$I$6,$O5035='112'!$I$6))),"x",""))</f>
        <v/>
      </c>
      <c r="U5035" s="79" t="str">
        <f>IF(ISERROR(FIND('112'!$M$9,G5035,1)),"",IF((AND(LEFT(G5035,2)=LEFT('112'!$M$9,2),B5035&lt;'112'!$K$9,$N5035='112'!$I$6)),"x",""))</f>
        <v/>
      </c>
      <c r="V5035" s="79" t="str">
        <f>IF(ISERROR(FIND('112'!$M$9,G5035,1)),"",IF((AND(RIGHT(G5035,2)=RIGHT('112'!$M$9,2),B5035&lt;'112'!$K$9,$O5035='112'!$I$6)),"x",""))</f>
        <v/>
      </c>
      <c r="W5035" s="79" t="str">
        <f>IF(AND('341-CT'!$H$9=H5035,OR(LEFT(N5035,3)=$W$7,LEFT(O5035,3)=$W$7)),"x","")</f>
        <v/>
      </c>
      <c r="X5035" s="79" t="str">
        <f>IF(OR(TH!N5035=TH!$X$7,O5035=TH!$X$7),"x","")</f>
        <v/>
      </c>
      <c r="Y5035" s="79" t="str">
        <f>IF(AND(OR(N5035="131",O5035="131"),H5035='131-CT'!$H$9),"x","")</f>
        <v/>
      </c>
      <c r="Z5035" s="79"/>
      <c r="AA5035" s="79" t="str">
        <f>IF(AND(MONTH(E5035)='IN-NX'!$J$5,'IN-NX'!$D$7=D5035),"x","")</f>
        <v/>
      </c>
      <c r="AB5035" s="79" t="str">
        <f>IF(AND(OR(LEFT(TH!N5035,2)="15",LEFT(TH!O5035,2)="15"),LEFT(TH!O5035,3)&lt;&gt;"111",'152-CT'!$J$8=TH!F5035),"x","")</f>
        <v/>
      </c>
      <c r="AC5035" s="79" t="str">
        <f>IF(AND(OR(LEFT(TH!N5035,2)="15",LEFT(TH!O5035,2)="15"),TK!$E$7=TH!F5035),"x","")</f>
        <v/>
      </c>
      <c r="AD5035" s="79" t="str">
        <f>IF(AND(N5035="1521",MONTH(C5035)='BK-NL'!$M$11),"x","")</f>
        <v/>
      </c>
    </row>
    <row r="5036" spans="1:30" ht="16.5" customHeight="1">
      <c r="A5036" s="318" t="str">
        <f>IF(B5036&lt;&gt;"",IF(AND(B5036='[3]IN-TC'!$S$4,OR([3]TH!N4258="1111",[3]TH!O4258="1111")),[3]TH!D4258,""),"")</f>
        <v/>
      </c>
      <c r="B5036" s="60" t="str">
        <f t="shared" si="499"/>
        <v/>
      </c>
      <c r="C5036" s="61"/>
      <c r="D5036" s="61"/>
      <c r="E5036" s="61"/>
      <c r="F5036" s="64"/>
      <c r="G5036" s="64"/>
      <c r="H5036" s="69"/>
      <c r="I5036" s="385"/>
      <c r="J5036" s="395"/>
      <c r="K5036" s="385"/>
      <c r="L5036" s="392"/>
      <c r="M5036" s="62"/>
      <c r="N5036" s="63"/>
      <c r="O5036" s="63"/>
      <c r="P5036" s="79" t="str">
        <f>IF(AND('331-CT'!$E$7=TH!H5036,OR(N5036="331",O5036="331")),"x","")</f>
        <v/>
      </c>
      <c r="Q5036" s="79" t="str">
        <f>IF(AND(B5036='111'!$L$11,OR($N5036=$Q$7,$O5036=$Q$7)),"x","")</f>
        <v/>
      </c>
      <c r="R5036" s="79" t="str">
        <f>IF(AND($N5036=$Q$7,$B5036&lt;'111'!$L$11),"x","")</f>
        <v/>
      </c>
      <c r="S5036" s="79" t="str">
        <f>IF(AND($O5036=$Q$7,$B5036&lt;'111'!$L$11),"x","")</f>
        <v/>
      </c>
      <c r="T5036" s="79" t="str">
        <f>IF(ISERROR(FIND('112'!$M$9,G5036,1)),"",IF((AND(FIND('112'!$M$9,G5036,1)&gt;=1,B5036='112'!$K$9,OR($N5036='112'!$I$6,$O5036='112'!$I$6))),"x",""))</f>
        <v/>
      </c>
      <c r="U5036" s="79" t="str">
        <f>IF(ISERROR(FIND('112'!$M$9,G5036,1)),"",IF((AND(LEFT(G5036,2)=LEFT('112'!$M$9,2),B5036&lt;'112'!$K$9,$N5036='112'!$I$6)),"x",""))</f>
        <v/>
      </c>
      <c r="V5036" s="79" t="str">
        <f>IF(ISERROR(FIND('112'!$M$9,G5036,1)),"",IF((AND(RIGHT(G5036,2)=RIGHT('112'!$M$9,2),B5036&lt;'112'!$K$9,$O5036='112'!$I$6)),"x",""))</f>
        <v/>
      </c>
      <c r="W5036" s="79" t="str">
        <f>IF(AND('341-CT'!$H$9=H5036,OR(LEFT(N5036,3)=$W$7,LEFT(O5036,3)=$W$7)),"x","")</f>
        <v/>
      </c>
      <c r="X5036" s="79" t="str">
        <f>IF(OR(TH!N5036=TH!$X$7,O5036=TH!$X$7),"x","")</f>
        <v/>
      </c>
      <c r="Y5036" s="79" t="str">
        <f>IF(AND(OR(N5036="131",O5036="131"),H5036='131-CT'!$H$9),"x","")</f>
        <v/>
      </c>
      <c r="Z5036" s="79"/>
      <c r="AA5036" s="79" t="str">
        <f>IF(AND(MONTH(E5036)='IN-NX'!$J$5,'IN-NX'!$D$7=D5036),"x","")</f>
        <v/>
      </c>
      <c r="AB5036" s="79" t="str">
        <f>IF(AND(OR(LEFT(TH!N5036,2)="15",LEFT(TH!O5036,2)="15"),LEFT(TH!O5036,3)&lt;&gt;"111",'152-CT'!$J$8=TH!F5036),"x","")</f>
        <v/>
      </c>
      <c r="AC5036" s="79" t="str">
        <f>IF(AND(OR(LEFT(TH!N5036,2)="15",LEFT(TH!O5036,2)="15"),TK!$E$7=TH!F5036),"x","")</f>
        <v/>
      </c>
      <c r="AD5036" s="79" t="str">
        <f>IF(AND(N5036="1521",MONTH(C5036)='BK-NL'!$M$11),"x","")</f>
        <v/>
      </c>
    </row>
    <row r="5037" spans="1:30" ht="16.5" customHeight="1">
      <c r="A5037" s="318" t="str">
        <f>IF(B5037&lt;&gt;"",IF(AND(B5037='[3]IN-TC'!$S$4,OR([3]TH!N4259="1111",[3]TH!O4259="1111")),[3]TH!D4259,""),"")</f>
        <v/>
      </c>
      <c r="B5037" s="60" t="str">
        <f t="shared" si="499"/>
        <v/>
      </c>
      <c r="C5037" s="61"/>
      <c r="D5037" s="61"/>
      <c r="E5037" s="61"/>
      <c r="F5037" s="64"/>
      <c r="G5037" s="64"/>
      <c r="H5037" s="69"/>
      <c r="I5037" s="385"/>
      <c r="J5037" s="395"/>
      <c r="K5037" s="385"/>
      <c r="L5037" s="392"/>
      <c r="M5037" s="62"/>
      <c r="N5037" s="63"/>
      <c r="O5037" s="63"/>
      <c r="P5037" s="79" t="str">
        <f>IF(AND('331-CT'!$E$7=TH!H5037,OR(N5037="331",O5037="331")),"x","")</f>
        <v/>
      </c>
      <c r="Q5037" s="79" t="str">
        <f>IF(AND(B5037='111'!$L$11,OR($N5037=$Q$7,$O5037=$Q$7)),"x","")</f>
        <v/>
      </c>
      <c r="R5037" s="79" t="str">
        <f>IF(AND($N5037=$Q$7,$B5037&lt;'111'!$L$11),"x","")</f>
        <v/>
      </c>
      <c r="S5037" s="79" t="str">
        <f>IF(AND($O5037=$Q$7,$B5037&lt;'111'!$L$11),"x","")</f>
        <v/>
      </c>
      <c r="T5037" s="79" t="str">
        <f>IF(ISERROR(FIND('112'!$M$9,G5037,1)),"",IF((AND(FIND('112'!$M$9,G5037,1)&gt;=1,B5037='112'!$K$9,OR($N5037='112'!$I$6,$O5037='112'!$I$6))),"x",""))</f>
        <v/>
      </c>
      <c r="U5037" s="79" t="str">
        <f>IF(ISERROR(FIND('112'!$M$9,G5037,1)),"",IF((AND(LEFT(G5037,2)=LEFT('112'!$M$9,2),B5037&lt;'112'!$K$9,$N5037='112'!$I$6)),"x",""))</f>
        <v/>
      </c>
      <c r="V5037" s="79" t="str">
        <f>IF(ISERROR(FIND('112'!$M$9,G5037,1)),"",IF((AND(RIGHT(G5037,2)=RIGHT('112'!$M$9,2),B5037&lt;'112'!$K$9,$O5037='112'!$I$6)),"x",""))</f>
        <v/>
      </c>
      <c r="W5037" s="79" t="str">
        <f>IF(AND('341-CT'!$H$9=H5037,OR(LEFT(N5037,3)=$W$7,LEFT(O5037,3)=$W$7)),"x","")</f>
        <v/>
      </c>
      <c r="X5037" s="79" t="str">
        <f>IF(OR(TH!N5037=TH!$X$7,O5037=TH!$X$7),"x","")</f>
        <v/>
      </c>
      <c r="Y5037" s="79" t="str">
        <f>IF(AND(OR(N5037="131",O5037="131"),H5037='131-CT'!$H$9),"x","")</f>
        <v/>
      </c>
      <c r="Z5037" s="79"/>
      <c r="AA5037" s="79" t="str">
        <f>IF(AND(MONTH(E5037)='IN-NX'!$J$5,'IN-NX'!$D$7=D5037),"x","")</f>
        <v/>
      </c>
      <c r="AB5037" s="79" t="str">
        <f>IF(AND(OR(LEFT(TH!N5037,2)="15",LEFT(TH!O5037,2)="15"),LEFT(TH!O5037,3)&lt;&gt;"111",'152-CT'!$J$8=TH!F5037),"x","")</f>
        <v/>
      </c>
      <c r="AC5037" s="79" t="str">
        <f>IF(AND(OR(LEFT(TH!N5037,2)="15",LEFT(TH!O5037,2)="15"),TK!$E$7=TH!F5037),"x","")</f>
        <v/>
      </c>
      <c r="AD5037" s="79" t="str">
        <f>IF(AND(N5037="1521",MONTH(C5037)='BK-NL'!$M$11),"x","")</f>
        <v/>
      </c>
    </row>
    <row r="5038" spans="1:30" ht="16.5" customHeight="1">
      <c r="A5038" s="318" t="str">
        <f>IF(B5038&lt;&gt;"",IF(AND(B5038='[3]IN-TC'!$S$4,OR([3]TH!N4260="1111",[3]TH!O4260="1111")),[3]TH!D4260,""),"")</f>
        <v/>
      </c>
      <c r="B5038" s="60" t="str">
        <f t="shared" si="499"/>
        <v/>
      </c>
      <c r="C5038" s="61"/>
      <c r="D5038" s="61"/>
      <c r="E5038" s="61"/>
      <c r="F5038" s="64"/>
      <c r="G5038" s="64"/>
      <c r="H5038" s="69"/>
      <c r="I5038" s="385"/>
      <c r="J5038" s="395"/>
      <c r="K5038" s="385"/>
      <c r="L5038" s="392"/>
      <c r="M5038" s="62"/>
      <c r="N5038" s="63"/>
      <c r="O5038" s="63"/>
      <c r="P5038" s="79" t="str">
        <f>IF(AND('331-CT'!$E$7=TH!H5038,OR(N5038="331",O5038="331")),"x","")</f>
        <v/>
      </c>
      <c r="Q5038" s="79" t="str">
        <f>IF(AND(B5038='111'!$L$11,OR($N5038=$Q$7,$O5038=$Q$7)),"x","")</f>
        <v/>
      </c>
      <c r="R5038" s="79" t="str">
        <f>IF(AND($N5038=$Q$7,$B5038&lt;'111'!$L$11),"x","")</f>
        <v/>
      </c>
      <c r="S5038" s="79" t="str">
        <f>IF(AND($O5038=$Q$7,$B5038&lt;'111'!$L$11),"x","")</f>
        <v/>
      </c>
      <c r="T5038" s="79" t="str">
        <f>IF(ISERROR(FIND('112'!$M$9,G5038,1)),"",IF((AND(FIND('112'!$M$9,G5038,1)&gt;=1,B5038='112'!$K$9,OR($N5038='112'!$I$6,$O5038='112'!$I$6))),"x",""))</f>
        <v/>
      </c>
      <c r="U5038" s="79" t="str">
        <f>IF(ISERROR(FIND('112'!$M$9,G5038,1)),"",IF((AND(LEFT(G5038,2)=LEFT('112'!$M$9,2),B5038&lt;'112'!$K$9,$N5038='112'!$I$6)),"x",""))</f>
        <v/>
      </c>
      <c r="V5038" s="79" t="str">
        <f>IF(ISERROR(FIND('112'!$M$9,G5038,1)),"",IF((AND(RIGHT(G5038,2)=RIGHT('112'!$M$9,2),B5038&lt;'112'!$K$9,$O5038='112'!$I$6)),"x",""))</f>
        <v/>
      </c>
      <c r="W5038" s="79" t="str">
        <f>IF(AND('341-CT'!$H$9=H5038,OR(LEFT(N5038,3)=$W$7,LEFT(O5038,3)=$W$7)),"x","")</f>
        <v/>
      </c>
      <c r="X5038" s="79" t="str">
        <f>IF(OR(TH!N5038=TH!$X$7,O5038=TH!$X$7),"x","")</f>
        <v/>
      </c>
      <c r="Y5038" s="79" t="str">
        <f>IF(AND(OR(N5038="131",O5038="131"),H5038='131-CT'!$H$9),"x","")</f>
        <v/>
      </c>
      <c r="Z5038" s="79"/>
      <c r="AA5038" s="79" t="str">
        <f>IF(AND(MONTH(E5038)='IN-NX'!$J$5,'IN-NX'!$D$7=D5038),"x","")</f>
        <v/>
      </c>
      <c r="AB5038" s="79" t="str">
        <f>IF(AND(OR(LEFT(TH!N5038,2)="15",LEFT(TH!O5038,2)="15"),LEFT(TH!O5038,3)&lt;&gt;"111",'152-CT'!$J$8=TH!F5038),"x","")</f>
        <v/>
      </c>
      <c r="AC5038" s="79" t="str">
        <f>IF(AND(OR(LEFT(TH!N5038,2)="15",LEFT(TH!O5038,2)="15"),TK!$E$7=TH!F5038),"x","")</f>
        <v/>
      </c>
      <c r="AD5038" s="79" t="str">
        <f>IF(AND(N5038="1521",MONTH(C5038)='BK-NL'!$M$11),"x","")</f>
        <v/>
      </c>
    </row>
    <row r="5039" spans="1:30" ht="16.5" customHeight="1">
      <c r="A5039" s="318" t="str">
        <f>IF(B5039&lt;&gt;"",IF(AND(B5039='[3]IN-TC'!$S$4,OR([3]TH!N4261="1111",[3]TH!O4261="1111")),[3]TH!D4261,""),"")</f>
        <v/>
      </c>
      <c r="B5039" s="60" t="str">
        <f t="shared" si="499"/>
        <v/>
      </c>
      <c r="C5039" s="61"/>
      <c r="D5039" s="61"/>
      <c r="E5039" s="61"/>
      <c r="F5039" s="64"/>
      <c r="G5039" s="64"/>
      <c r="H5039" s="69"/>
      <c r="I5039" s="387"/>
      <c r="J5039" s="395"/>
      <c r="K5039" s="387"/>
      <c r="L5039" s="394"/>
      <c r="M5039" s="62"/>
      <c r="N5039" s="63"/>
      <c r="O5039" s="63"/>
      <c r="P5039" s="79" t="str">
        <f>IF(AND('331-CT'!$E$7=TH!H5039,OR(N5039="331",O5039="331")),"x","")</f>
        <v/>
      </c>
      <c r="Q5039" s="79" t="str">
        <f>IF(AND(B5039='111'!$L$11,OR($N5039=$Q$7,$O5039=$Q$7)),"x","")</f>
        <v/>
      </c>
      <c r="R5039" s="79" t="str">
        <f>IF(AND($N5039=$Q$7,$B5039&lt;'111'!$L$11),"x","")</f>
        <v/>
      </c>
      <c r="S5039" s="79" t="str">
        <f>IF(AND($O5039=$Q$7,$B5039&lt;'111'!$L$11),"x","")</f>
        <v/>
      </c>
      <c r="T5039" s="79" t="str">
        <f>IF(ISERROR(FIND('112'!$M$9,G5039,1)),"",IF((AND(FIND('112'!$M$9,G5039,1)&gt;=1,B5039='112'!$K$9,OR($N5039='112'!$I$6,$O5039='112'!$I$6))),"x",""))</f>
        <v/>
      </c>
      <c r="U5039" s="79" t="str">
        <f>IF(ISERROR(FIND('112'!$M$9,G5039,1)),"",IF((AND(LEFT(G5039,2)=LEFT('112'!$M$9,2),B5039&lt;'112'!$K$9,$N5039='112'!$I$6)),"x",""))</f>
        <v/>
      </c>
      <c r="V5039" s="79" t="str">
        <f>IF(ISERROR(FIND('112'!$M$9,G5039,1)),"",IF((AND(RIGHT(G5039,2)=RIGHT('112'!$M$9,2),B5039&lt;'112'!$K$9,$O5039='112'!$I$6)),"x",""))</f>
        <v/>
      </c>
      <c r="W5039" s="79" t="str">
        <f>IF(AND('341-CT'!$H$9=H5039,OR(LEFT(N5039,3)=$W$7,LEFT(O5039,3)=$W$7)),"x","")</f>
        <v/>
      </c>
      <c r="X5039" s="79" t="str">
        <f>IF(OR(TH!N5039=TH!$X$7,O5039=TH!$X$7),"x","")</f>
        <v/>
      </c>
      <c r="Y5039" s="79" t="str">
        <f>IF(AND(OR(N5039="131",O5039="131"),H5039='131-CT'!$H$9),"x","")</f>
        <v/>
      </c>
      <c r="Z5039" s="79"/>
      <c r="AA5039" s="79" t="str">
        <f>IF(AND(MONTH(E5039)='IN-NX'!$J$5,'IN-NX'!$D$7=D5039),"x","")</f>
        <v/>
      </c>
      <c r="AB5039" s="79" t="str">
        <f>IF(AND(OR(LEFT(TH!N5039,2)="15",LEFT(TH!O5039,2)="15"),LEFT(TH!O5039,3)&lt;&gt;"111",'152-CT'!$J$8=TH!F5039),"x","")</f>
        <v/>
      </c>
      <c r="AC5039" s="79" t="str">
        <f>IF(AND(OR(LEFT(TH!N5039,2)="15",LEFT(TH!O5039,2)="15"),TK!$E$7=TH!F5039),"x","")</f>
        <v/>
      </c>
      <c r="AD5039" s="79" t="str">
        <f>IF(AND(N5039="1521",MONTH(C5039)='BK-NL'!$M$11),"x","")</f>
        <v/>
      </c>
    </row>
    <row r="5040" spans="1:30" ht="16.5" customHeight="1">
      <c r="A5040" s="318" t="str">
        <f>IF(B5040&lt;&gt;"",IF(AND(B5040='[3]IN-TC'!$S$4,OR([3]TH!N4262="1111",[3]TH!O4262="1111")),[3]TH!D4262,""),"")</f>
        <v/>
      </c>
      <c r="B5040" s="60" t="str">
        <f t="shared" si="499"/>
        <v/>
      </c>
      <c r="C5040" s="61"/>
      <c r="D5040" s="61"/>
      <c r="E5040" s="61"/>
      <c r="F5040" s="64"/>
      <c r="G5040" s="64"/>
      <c r="H5040" s="69"/>
      <c r="I5040" s="385"/>
      <c r="J5040" s="395"/>
      <c r="K5040" s="385"/>
      <c r="L5040" s="392"/>
      <c r="M5040" s="62"/>
      <c r="N5040" s="63"/>
      <c r="O5040" s="63"/>
      <c r="P5040" s="79" t="str">
        <f>IF(AND('331-CT'!$E$7=TH!H5040,OR(N5040="331",O5040="331")),"x","")</f>
        <v/>
      </c>
      <c r="Q5040" s="79" t="str">
        <f>IF(AND(B5040='111'!$L$11,OR($N5040=$Q$7,$O5040=$Q$7)),"x","")</f>
        <v/>
      </c>
      <c r="R5040" s="79" t="str">
        <f>IF(AND($N5040=$Q$7,$B5040&lt;'111'!$L$11),"x","")</f>
        <v/>
      </c>
      <c r="S5040" s="79" t="str">
        <f>IF(AND($O5040=$Q$7,$B5040&lt;'111'!$L$11),"x","")</f>
        <v/>
      </c>
      <c r="T5040" s="79" t="str">
        <f>IF(ISERROR(FIND('112'!$M$9,G5040,1)),"",IF((AND(FIND('112'!$M$9,G5040,1)&gt;=1,B5040='112'!$K$9,OR($N5040='112'!$I$6,$O5040='112'!$I$6))),"x",""))</f>
        <v/>
      </c>
      <c r="U5040" s="79" t="str">
        <f>IF(ISERROR(FIND('112'!$M$9,G5040,1)),"",IF((AND(LEFT(G5040,2)=LEFT('112'!$M$9,2),B5040&lt;'112'!$K$9,$N5040='112'!$I$6)),"x",""))</f>
        <v/>
      </c>
      <c r="V5040" s="79" t="str">
        <f>IF(ISERROR(FIND('112'!$M$9,G5040,1)),"",IF((AND(RIGHT(G5040,2)=RIGHT('112'!$M$9,2),B5040&lt;'112'!$K$9,$O5040='112'!$I$6)),"x",""))</f>
        <v/>
      </c>
      <c r="W5040" s="79" t="str">
        <f>IF(AND('341-CT'!$H$9=H5040,OR(LEFT(N5040,3)=$W$7,LEFT(O5040,3)=$W$7)),"x","")</f>
        <v/>
      </c>
      <c r="X5040" s="79" t="str">
        <f>IF(OR(TH!N5040=TH!$X$7,O5040=TH!$X$7),"x","")</f>
        <v/>
      </c>
      <c r="Y5040" s="79" t="str">
        <f>IF(AND(OR(N5040="131",O5040="131"),H5040='131-CT'!$H$9),"x","")</f>
        <v/>
      </c>
      <c r="Z5040" s="79"/>
      <c r="AA5040" s="79" t="str">
        <f>IF(AND(MONTH(E5040)='IN-NX'!$J$5,'IN-NX'!$D$7=D5040),"x","")</f>
        <v/>
      </c>
      <c r="AB5040" s="79" t="str">
        <f>IF(AND(OR(LEFT(TH!N5040,2)="15",LEFT(TH!O5040,2)="15"),LEFT(TH!O5040,3)&lt;&gt;"111",'152-CT'!$J$8=TH!F5040),"x","")</f>
        <v/>
      </c>
      <c r="AC5040" s="79" t="str">
        <f>IF(AND(OR(LEFT(TH!N5040,2)="15",LEFT(TH!O5040,2)="15"),TK!$E$7=TH!F5040),"x","")</f>
        <v/>
      </c>
      <c r="AD5040" s="79" t="str">
        <f>IF(AND(N5040="1521",MONTH(C5040)='BK-NL'!$M$11),"x","")</f>
        <v/>
      </c>
    </row>
    <row r="5041" spans="1:30" ht="16.5" customHeight="1">
      <c r="A5041" s="318" t="str">
        <f>IF(B5041&lt;&gt;"",IF(AND(B5041='[3]IN-TC'!$S$4,OR([3]TH!N4263="1111",[3]TH!O4263="1111")),[3]TH!D4263,""),"")</f>
        <v/>
      </c>
      <c r="B5041" s="60" t="str">
        <f t="shared" si="499"/>
        <v/>
      </c>
      <c r="C5041" s="61"/>
      <c r="D5041" s="61"/>
      <c r="E5041" s="61"/>
      <c r="F5041" s="64"/>
      <c r="G5041" s="64"/>
      <c r="H5041" s="69"/>
      <c r="I5041" s="385"/>
      <c r="J5041" s="395"/>
      <c r="K5041" s="385"/>
      <c r="L5041" s="392"/>
      <c r="M5041" s="62"/>
      <c r="N5041" s="63"/>
      <c r="O5041" s="63"/>
      <c r="P5041" s="79" t="str">
        <f>IF(AND('331-CT'!$E$7=TH!H5041,OR(N5041="331",O5041="331")),"x","")</f>
        <v/>
      </c>
      <c r="Q5041" s="79" t="str">
        <f>IF(AND(B5041='111'!$L$11,OR($N5041=$Q$7,$O5041=$Q$7)),"x","")</f>
        <v/>
      </c>
      <c r="R5041" s="79" t="str">
        <f>IF(AND($N5041=$Q$7,$B5041&lt;'111'!$L$11),"x","")</f>
        <v/>
      </c>
      <c r="S5041" s="79" t="str">
        <f>IF(AND($O5041=$Q$7,$B5041&lt;'111'!$L$11),"x","")</f>
        <v/>
      </c>
      <c r="T5041" s="79" t="str">
        <f>IF(ISERROR(FIND('112'!$M$9,G5041,1)),"",IF((AND(FIND('112'!$M$9,G5041,1)&gt;=1,B5041='112'!$K$9,OR($N5041='112'!$I$6,$O5041='112'!$I$6))),"x",""))</f>
        <v/>
      </c>
      <c r="U5041" s="79" t="str">
        <f>IF(ISERROR(FIND('112'!$M$9,G5041,1)),"",IF((AND(LEFT(G5041,2)=LEFT('112'!$M$9,2),B5041&lt;'112'!$K$9,$N5041='112'!$I$6)),"x",""))</f>
        <v/>
      </c>
      <c r="V5041" s="79" t="str">
        <f>IF(ISERROR(FIND('112'!$M$9,G5041,1)),"",IF((AND(RIGHT(G5041,2)=RIGHT('112'!$M$9,2),B5041&lt;'112'!$K$9,$O5041='112'!$I$6)),"x",""))</f>
        <v/>
      </c>
      <c r="W5041" s="79" t="str">
        <f>IF(AND('341-CT'!$H$9=H5041,OR(LEFT(N5041,3)=$W$7,LEFT(O5041,3)=$W$7)),"x","")</f>
        <v/>
      </c>
      <c r="X5041" s="79" t="str">
        <f>IF(OR(TH!N5041=TH!$X$7,O5041=TH!$X$7),"x","")</f>
        <v/>
      </c>
      <c r="Y5041" s="79" t="str">
        <f>IF(AND(OR(N5041="131",O5041="131"),H5041='131-CT'!$H$9),"x","")</f>
        <v/>
      </c>
      <c r="Z5041" s="79"/>
      <c r="AA5041" s="79" t="str">
        <f>IF(AND(MONTH(E5041)='IN-NX'!$J$5,'IN-NX'!$D$7=D5041),"x","")</f>
        <v/>
      </c>
      <c r="AB5041" s="79" t="str">
        <f>IF(AND(OR(LEFT(TH!N5041,2)="15",LEFT(TH!O5041,2)="15"),LEFT(TH!O5041,3)&lt;&gt;"111",'152-CT'!$J$8=TH!F5041),"x","")</f>
        <v/>
      </c>
      <c r="AC5041" s="79" t="str">
        <f>IF(AND(OR(LEFT(TH!N5041,2)="15",LEFT(TH!O5041,2)="15"),TK!$E$7=TH!F5041),"x","")</f>
        <v/>
      </c>
      <c r="AD5041" s="79" t="str">
        <f>IF(AND(N5041="1521",MONTH(C5041)='BK-NL'!$M$11),"x","")</f>
        <v/>
      </c>
    </row>
    <row r="5042" spans="1:30" ht="16.5" customHeight="1">
      <c r="A5042" s="318" t="str">
        <f>IF(B5042&lt;&gt;"",IF(AND(B5042='[3]IN-TC'!$S$4,OR([3]TH!N4264="1111",[3]TH!O4264="1111")),[3]TH!D4264,""),"")</f>
        <v/>
      </c>
      <c r="B5042" s="60" t="str">
        <f t="shared" si="499"/>
        <v/>
      </c>
      <c r="C5042" s="61"/>
      <c r="D5042" s="61"/>
      <c r="E5042" s="61"/>
      <c r="F5042" s="64"/>
      <c r="G5042" s="64"/>
      <c r="H5042" s="69"/>
      <c r="I5042" s="385"/>
      <c r="J5042" s="395"/>
      <c r="K5042" s="385"/>
      <c r="L5042" s="392"/>
      <c r="M5042" s="62"/>
      <c r="N5042" s="63"/>
      <c r="O5042" s="63"/>
      <c r="P5042" s="79" t="str">
        <f>IF(AND('331-CT'!$E$7=TH!H5042,OR(N5042="331",O5042="331")),"x","")</f>
        <v/>
      </c>
      <c r="Q5042" s="79" t="str">
        <f>IF(AND(B5042='111'!$L$11,OR($N5042=$Q$7,$O5042=$Q$7)),"x","")</f>
        <v/>
      </c>
      <c r="R5042" s="79" t="str">
        <f>IF(AND($N5042=$Q$7,$B5042&lt;'111'!$L$11),"x","")</f>
        <v/>
      </c>
      <c r="S5042" s="79" t="str">
        <f>IF(AND($O5042=$Q$7,$B5042&lt;'111'!$L$11),"x","")</f>
        <v/>
      </c>
      <c r="T5042" s="79" t="str">
        <f>IF(ISERROR(FIND('112'!$M$9,G5042,1)),"",IF((AND(FIND('112'!$M$9,G5042,1)&gt;=1,B5042='112'!$K$9,OR($N5042='112'!$I$6,$O5042='112'!$I$6))),"x",""))</f>
        <v/>
      </c>
      <c r="U5042" s="79" t="str">
        <f>IF(ISERROR(FIND('112'!$M$9,G5042,1)),"",IF((AND(LEFT(G5042,2)=LEFT('112'!$M$9,2),B5042&lt;'112'!$K$9,$N5042='112'!$I$6)),"x",""))</f>
        <v/>
      </c>
      <c r="V5042" s="79" t="str">
        <f>IF(ISERROR(FIND('112'!$M$9,G5042,1)),"",IF((AND(RIGHT(G5042,2)=RIGHT('112'!$M$9,2),B5042&lt;'112'!$K$9,$O5042='112'!$I$6)),"x",""))</f>
        <v/>
      </c>
      <c r="W5042" s="79" t="str">
        <f>IF(AND('341-CT'!$H$9=H5042,OR(LEFT(N5042,3)=$W$7,LEFT(O5042,3)=$W$7)),"x","")</f>
        <v/>
      </c>
      <c r="X5042" s="79" t="str">
        <f>IF(OR(TH!N5042=TH!$X$7,O5042=TH!$X$7),"x","")</f>
        <v/>
      </c>
      <c r="Y5042" s="79" t="str">
        <f>IF(AND(OR(N5042="131",O5042="131"),H5042='131-CT'!$H$9),"x","")</f>
        <v/>
      </c>
      <c r="Z5042" s="79"/>
      <c r="AA5042" s="79" t="str">
        <f>IF(AND(MONTH(E5042)='IN-NX'!$J$5,'IN-NX'!$D$7=D5042),"x","")</f>
        <v/>
      </c>
      <c r="AB5042" s="79" t="str">
        <f>IF(AND(OR(LEFT(TH!N5042,2)="15",LEFT(TH!O5042,2)="15"),LEFT(TH!O5042,3)&lt;&gt;"111",'152-CT'!$J$8=TH!F5042),"x","")</f>
        <v/>
      </c>
      <c r="AC5042" s="79" t="str">
        <f>IF(AND(OR(LEFT(TH!N5042,2)="15",LEFT(TH!O5042,2)="15"),TK!$E$7=TH!F5042),"x","")</f>
        <v/>
      </c>
      <c r="AD5042" s="79" t="str">
        <f>IF(AND(N5042="1521",MONTH(C5042)='BK-NL'!$M$11),"x","")</f>
        <v/>
      </c>
    </row>
    <row r="5043" spans="1:30" ht="16.5" customHeight="1">
      <c r="A5043" s="318" t="str">
        <f>IF(B5043&lt;&gt;"",IF(AND(B5043='[3]IN-TC'!$S$4,OR([3]TH!N4265="1111",[3]TH!O4265="1111")),[3]TH!D4265,""),"")</f>
        <v/>
      </c>
      <c r="B5043" s="60" t="str">
        <f t="shared" si="499"/>
        <v/>
      </c>
      <c r="C5043" s="61"/>
      <c r="D5043" s="61"/>
      <c r="E5043" s="61"/>
      <c r="F5043" s="64"/>
      <c r="G5043" s="64"/>
      <c r="H5043" s="70"/>
      <c r="I5043" s="385"/>
      <c r="J5043" s="395"/>
      <c r="K5043" s="385"/>
      <c r="L5043" s="392"/>
      <c r="M5043" s="62"/>
      <c r="N5043" s="63"/>
      <c r="O5043" s="63"/>
      <c r="P5043" s="79" t="str">
        <f>IF(AND('331-CT'!$E$7=TH!H5043,OR(N5043="331",O5043="331")),"x","")</f>
        <v/>
      </c>
      <c r="Q5043" s="79" t="str">
        <f>IF(AND(B5043='111'!$L$11,OR($N5043=$Q$7,$O5043=$Q$7)),"x","")</f>
        <v/>
      </c>
      <c r="R5043" s="79" t="str">
        <f>IF(AND($N5043=$Q$7,$B5043&lt;'111'!$L$11),"x","")</f>
        <v/>
      </c>
      <c r="S5043" s="79" t="str">
        <f>IF(AND($O5043=$Q$7,$B5043&lt;'111'!$L$11),"x","")</f>
        <v/>
      </c>
      <c r="T5043" s="79" t="str">
        <f>IF(ISERROR(FIND('112'!$M$9,G5043,1)),"",IF((AND(FIND('112'!$M$9,G5043,1)&gt;=1,B5043='112'!$K$9,OR($N5043='112'!$I$6,$O5043='112'!$I$6))),"x",""))</f>
        <v/>
      </c>
      <c r="U5043" s="79" t="str">
        <f>IF(ISERROR(FIND('112'!$M$9,G5043,1)),"",IF((AND(LEFT(G5043,2)=LEFT('112'!$M$9,2),B5043&lt;'112'!$K$9,$N5043='112'!$I$6)),"x",""))</f>
        <v/>
      </c>
      <c r="V5043" s="79" t="str">
        <f>IF(ISERROR(FIND('112'!$M$9,G5043,1)),"",IF((AND(RIGHT(G5043,2)=RIGHT('112'!$M$9,2),B5043&lt;'112'!$K$9,$O5043='112'!$I$6)),"x",""))</f>
        <v/>
      </c>
      <c r="W5043" s="79" t="str">
        <f>IF(AND('341-CT'!$H$9=H5043,OR(LEFT(N5043,3)=$W$7,LEFT(O5043,3)=$W$7)),"x","")</f>
        <v/>
      </c>
      <c r="X5043" s="79" t="str">
        <f>IF(OR(TH!N5043=TH!$X$7,O5043=TH!$X$7),"x","")</f>
        <v/>
      </c>
      <c r="Y5043" s="79" t="str">
        <f>IF(AND(OR(N5043="131",O5043="131"),H5043='131-CT'!$H$9),"x","")</f>
        <v/>
      </c>
      <c r="Z5043" s="79"/>
      <c r="AA5043" s="79" t="str">
        <f>IF(AND(MONTH(E5043)='IN-NX'!$J$5,'IN-NX'!$D$7=D5043),"x","")</f>
        <v/>
      </c>
      <c r="AB5043" s="79" t="str">
        <f>IF(AND(OR(LEFT(TH!N5043,2)="15",LEFT(TH!O5043,2)="15"),LEFT(TH!O5043,3)&lt;&gt;"111",'152-CT'!$J$8=TH!F5043),"x","")</f>
        <v/>
      </c>
      <c r="AC5043" s="79" t="str">
        <f>IF(AND(OR(LEFT(TH!N5043,2)="15",LEFT(TH!O5043,2)="15"),TK!$E$7=TH!F5043),"x","")</f>
        <v/>
      </c>
      <c r="AD5043" s="79" t="str">
        <f>IF(AND(N5043="1521",MONTH(C5043)='BK-NL'!$M$11),"x","")</f>
        <v/>
      </c>
    </row>
    <row r="5044" spans="1:30" ht="16.5" customHeight="1">
      <c r="A5044" s="318" t="str">
        <f>IF(B5044&lt;&gt;"",IF(AND(B5044='[3]IN-TC'!$S$4,OR([3]TH!N4266="1111",[3]TH!O4266="1111")),[3]TH!D4266,""),"")</f>
        <v/>
      </c>
      <c r="B5044" s="60" t="str">
        <f t="shared" si="499"/>
        <v/>
      </c>
      <c r="C5044" s="61"/>
      <c r="D5044" s="61"/>
      <c r="E5044" s="61"/>
      <c r="F5044" s="64"/>
      <c r="G5044" s="64"/>
      <c r="H5044" s="69"/>
      <c r="I5044" s="385"/>
      <c r="J5044" s="395"/>
      <c r="K5044" s="385"/>
      <c r="L5044" s="392"/>
      <c r="M5044" s="62"/>
      <c r="N5044" s="63"/>
      <c r="O5044" s="63"/>
      <c r="P5044" s="79" t="str">
        <f>IF(AND('331-CT'!$E$7=TH!H5044,OR(N5044="331",O5044="331")),"x","")</f>
        <v/>
      </c>
      <c r="Q5044" s="79" t="str">
        <f>IF(AND(B5044='111'!$L$11,OR($N5044=$Q$7,$O5044=$Q$7)),"x","")</f>
        <v/>
      </c>
      <c r="R5044" s="79" t="str">
        <f>IF(AND($N5044=$Q$7,$B5044&lt;'111'!$L$11),"x","")</f>
        <v/>
      </c>
      <c r="S5044" s="79" t="str">
        <f>IF(AND($O5044=$Q$7,$B5044&lt;'111'!$L$11),"x","")</f>
        <v/>
      </c>
      <c r="T5044" s="79" t="str">
        <f>IF(ISERROR(FIND('112'!$M$9,G5044,1)),"",IF((AND(FIND('112'!$M$9,G5044,1)&gt;=1,B5044='112'!$K$9,OR($N5044='112'!$I$6,$O5044='112'!$I$6))),"x",""))</f>
        <v/>
      </c>
      <c r="U5044" s="79" t="str">
        <f>IF(ISERROR(FIND('112'!$M$9,G5044,1)),"",IF((AND(LEFT(G5044,2)=LEFT('112'!$M$9,2),B5044&lt;'112'!$K$9,$N5044='112'!$I$6)),"x",""))</f>
        <v/>
      </c>
      <c r="V5044" s="79" t="str">
        <f>IF(ISERROR(FIND('112'!$M$9,G5044,1)),"",IF((AND(RIGHT(G5044,2)=RIGHT('112'!$M$9,2),B5044&lt;'112'!$K$9,$O5044='112'!$I$6)),"x",""))</f>
        <v/>
      </c>
      <c r="W5044" s="79" t="str">
        <f>IF(AND('341-CT'!$H$9=H5044,OR(LEFT(N5044,3)=$W$7,LEFT(O5044,3)=$W$7)),"x","")</f>
        <v/>
      </c>
      <c r="X5044" s="79" t="str">
        <f>IF(OR(TH!N5044=TH!$X$7,O5044=TH!$X$7),"x","")</f>
        <v/>
      </c>
      <c r="Y5044" s="79" t="str">
        <f>IF(AND(OR(N5044="131",O5044="131"),H5044='131-CT'!$H$9),"x","")</f>
        <v/>
      </c>
      <c r="Z5044" s="79"/>
      <c r="AA5044" s="79" t="str">
        <f>IF(AND(MONTH(E5044)='IN-NX'!$J$5,'IN-NX'!$D$7=D5044),"x","")</f>
        <v/>
      </c>
      <c r="AB5044" s="79" t="str">
        <f>IF(AND(OR(LEFT(TH!N5044,2)="15",LEFT(TH!O5044,2)="15"),LEFT(TH!O5044,3)&lt;&gt;"111",'152-CT'!$J$8=TH!F5044),"x","")</f>
        <v/>
      </c>
      <c r="AC5044" s="79" t="str">
        <f>IF(AND(OR(LEFT(TH!N5044,2)="15",LEFT(TH!O5044,2)="15"),TK!$E$7=TH!F5044),"x","")</f>
        <v/>
      </c>
      <c r="AD5044" s="79" t="str">
        <f>IF(AND(N5044="1521",MONTH(C5044)='BK-NL'!$M$11),"x","")</f>
        <v/>
      </c>
    </row>
    <row r="5045" spans="1:30" ht="16.5" customHeight="1">
      <c r="A5045" s="318" t="str">
        <f>IF(B5045&lt;&gt;"",IF(AND(B5045='[3]IN-TC'!$S$4,OR([3]TH!N4267="1111",[3]TH!O4267="1111")),[3]TH!D4267,""),"")</f>
        <v/>
      </c>
      <c r="B5045" s="60" t="str">
        <f t="shared" si="499"/>
        <v/>
      </c>
      <c r="C5045" s="61"/>
      <c r="D5045" s="61"/>
      <c r="E5045" s="61"/>
      <c r="F5045" s="64"/>
      <c r="G5045" s="64"/>
      <c r="H5045" s="69"/>
      <c r="I5045" s="385"/>
      <c r="J5045" s="395"/>
      <c r="K5045" s="385"/>
      <c r="L5045" s="392"/>
      <c r="M5045" s="62"/>
      <c r="N5045" s="63"/>
      <c r="O5045" s="63"/>
      <c r="P5045" s="79" t="str">
        <f>IF(AND('331-CT'!$E$7=TH!H5045,OR(N5045="331",O5045="331")),"x","")</f>
        <v/>
      </c>
      <c r="Q5045" s="79" t="str">
        <f>IF(AND(B5045='111'!$L$11,OR($N5045=$Q$7,$O5045=$Q$7)),"x","")</f>
        <v/>
      </c>
      <c r="R5045" s="79" t="str">
        <f>IF(AND($N5045=$Q$7,$B5045&lt;'111'!$L$11),"x","")</f>
        <v/>
      </c>
      <c r="S5045" s="79" t="str">
        <f>IF(AND($O5045=$Q$7,$B5045&lt;'111'!$L$11),"x","")</f>
        <v/>
      </c>
      <c r="T5045" s="79" t="str">
        <f>IF(ISERROR(FIND('112'!$M$9,G5045,1)),"",IF((AND(FIND('112'!$M$9,G5045,1)&gt;=1,B5045='112'!$K$9,OR($N5045='112'!$I$6,$O5045='112'!$I$6))),"x",""))</f>
        <v/>
      </c>
      <c r="U5045" s="79" t="str">
        <f>IF(ISERROR(FIND('112'!$M$9,G5045,1)),"",IF((AND(LEFT(G5045,2)=LEFT('112'!$M$9,2),B5045&lt;'112'!$K$9,$N5045='112'!$I$6)),"x",""))</f>
        <v/>
      </c>
      <c r="V5045" s="79" t="str">
        <f>IF(ISERROR(FIND('112'!$M$9,G5045,1)),"",IF((AND(RIGHT(G5045,2)=RIGHT('112'!$M$9,2),B5045&lt;'112'!$K$9,$O5045='112'!$I$6)),"x",""))</f>
        <v/>
      </c>
      <c r="W5045" s="79" t="str">
        <f>IF(AND('341-CT'!$H$9=H5045,OR(LEFT(N5045,3)=$W$7,LEFT(O5045,3)=$W$7)),"x","")</f>
        <v/>
      </c>
      <c r="X5045" s="79" t="str">
        <f>IF(OR(TH!N5045=TH!$X$7,O5045=TH!$X$7),"x","")</f>
        <v/>
      </c>
      <c r="Y5045" s="79" t="str">
        <f>IF(AND(OR(N5045="131",O5045="131"),H5045='131-CT'!$H$9),"x","")</f>
        <v/>
      </c>
      <c r="Z5045" s="79"/>
      <c r="AA5045" s="79" t="str">
        <f>IF(AND(MONTH(E5045)='IN-NX'!$J$5,'IN-NX'!$D$7=D5045),"x","")</f>
        <v/>
      </c>
      <c r="AB5045" s="79" t="str">
        <f>IF(AND(OR(LEFT(TH!N5045,2)="15",LEFT(TH!O5045,2)="15"),LEFT(TH!O5045,3)&lt;&gt;"111",'152-CT'!$J$8=TH!F5045),"x","")</f>
        <v/>
      </c>
      <c r="AC5045" s="79" t="str">
        <f>IF(AND(OR(LEFT(TH!N5045,2)="15",LEFT(TH!O5045,2)="15"),TK!$E$7=TH!F5045),"x","")</f>
        <v/>
      </c>
      <c r="AD5045" s="79" t="str">
        <f>IF(AND(N5045="1521",MONTH(C5045)='BK-NL'!$M$11),"x","")</f>
        <v/>
      </c>
    </row>
    <row r="5046" spans="1:30" ht="16.5" customHeight="1">
      <c r="A5046" s="318" t="str">
        <f>IF(B5046&lt;&gt;"",IF(AND(B5046='[3]IN-TC'!$S$4,OR([3]TH!N4268="1111",[3]TH!O4268="1111")),[3]TH!D4268,""),"")</f>
        <v/>
      </c>
      <c r="B5046" s="60" t="str">
        <f t="shared" si="499"/>
        <v/>
      </c>
      <c r="C5046" s="61"/>
      <c r="D5046" s="61"/>
      <c r="E5046" s="61"/>
      <c r="F5046" s="64"/>
      <c r="G5046" s="64"/>
      <c r="H5046" s="69"/>
      <c r="I5046" s="385"/>
      <c r="J5046" s="395"/>
      <c r="K5046" s="385"/>
      <c r="L5046" s="392"/>
      <c r="M5046" s="62"/>
      <c r="N5046" s="63"/>
      <c r="O5046" s="63"/>
      <c r="P5046" s="79" t="str">
        <f>IF(AND('331-CT'!$E$7=TH!H5046,OR(N5046="331",O5046="331")),"x","")</f>
        <v/>
      </c>
      <c r="Q5046" s="79" t="str">
        <f>IF(AND(B5046='111'!$L$11,OR($N5046=$Q$7,$O5046=$Q$7)),"x","")</f>
        <v/>
      </c>
      <c r="R5046" s="79" t="str">
        <f>IF(AND($N5046=$Q$7,$B5046&lt;'111'!$L$11),"x","")</f>
        <v/>
      </c>
      <c r="S5046" s="79" t="str">
        <f>IF(AND($O5046=$Q$7,$B5046&lt;'111'!$L$11),"x","")</f>
        <v/>
      </c>
      <c r="T5046" s="79" t="str">
        <f>IF(ISERROR(FIND('112'!$M$9,G5046,1)),"",IF((AND(FIND('112'!$M$9,G5046,1)&gt;=1,B5046='112'!$K$9,OR($N5046='112'!$I$6,$O5046='112'!$I$6))),"x",""))</f>
        <v/>
      </c>
      <c r="U5046" s="79" t="str">
        <f>IF(ISERROR(FIND('112'!$M$9,G5046,1)),"",IF((AND(LEFT(G5046,2)=LEFT('112'!$M$9,2),B5046&lt;'112'!$K$9,$N5046='112'!$I$6)),"x",""))</f>
        <v/>
      </c>
      <c r="V5046" s="79" t="str">
        <f>IF(ISERROR(FIND('112'!$M$9,G5046,1)),"",IF((AND(RIGHT(G5046,2)=RIGHT('112'!$M$9,2),B5046&lt;'112'!$K$9,$O5046='112'!$I$6)),"x",""))</f>
        <v/>
      </c>
      <c r="W5046" s="79" t="str">
        <f>IF(AND('341-CT'!$H$9=H5046,OR(LEFT(N5046,3)=$W$7,LEFT(O5046,3)=$W$7)),"x","")</f>
        <v/>
      </c>
      <c r="X5046" s="79" t="str">
        <f>IF(OR(TH!N5046=TH!$X$7,O5046=TH!$X$7),"x","")</f>
        <v/>
      </c>
      <c r="Y5046" s="79" t="str">
        <f>IF(AND(OR(N5046="131",O5046="131"),H5046='131-CT'!$H$9),"x","")</f>
        <v/>
      </c>
      <c r="Z5046" s="79"/>
      <c r="AA5046" s="79" t="str">
        <f>IF(AND(MONTH(E5046)='IN-NX'!$J$5,'IN-NX'!$D$7=D5046),"x","")</f>
        <v/>
      </c>
      <c r="AB5046" s="79" t="str">
        <f>IF(AND(OR(LEFT(TH!N5046,2)="15",LEFT(TH!O5046,2)="15"),LEFT(TH!O5046,3)&lt;&gt;"111",'152-CT'!$J$8=TH!F5046),"x","")</f>
        <v/>
      </c>
      <c r="AC5046" s="79" t="str">
        <f>IF(AND(OR(LEFT(TH!N5046,2)="15",LEFT(TH!O5046,2)="15"),TK!$E$7=TH!F5046),"x","")</f>
        <v/>
      </c>
      <c r="AD5046" s="79" t="str">
        <f>IF(AND(N5046="1521",MONTH(C5046)='BK-NL'!$M$11),"x","")</f>
        <v/>
      </c>
    </row>
    <row r="5047" spans="1:30" ht="16.5" customHeight="1">
      <c r="A5047" s="318" t="str">
        <f>IF(B5047&lt;&gt;"",IF(AND(B5047='[3]IN-TC'!$S$4,OR([3]TH!N4269="1111",[3]TH!O4269="1111")),[3]TH!D4269,""),"")</f>
        <v/>
      </c>
      <c r="B5047" s="60" t="str">
        <f t="shared" si="499"/>
        <v/>
      </c>
      <c r="C5047" s="61"/>
      <c r="D5047" s="61"/>
      <c r="E5047" s="61"/>
      <c r="F5047" s="64"/>
      <c r="G5047" s="64"/>
      <c r="H5047" s="70"/>
      <c r="I5047" s="385"/>
      <c r="J5047" s="395"/>
      <c r="K5047" s="385"/>
      <c r="L5047" s="392"/>
      <c r="M5047" s="62"/>
      <c r="N5047" s="63"/>
      <c r="O5047" s="63"/>
      <c r="P5047" s="79" t="str">
        <f>IF(AND('331-CT'!$E$7=TH!H5047,OR(N5047="331",O5047="331")),"x","")</f>
        <v/>
      </c>
      <c r="Q5047" s="79" t="str">
        <f>IF(AND(B5047='111'!$L$11,OR($N5047=$Q$7,$O5047=$Q$7)),"x","")</f>
        <v/>
      </c>
      <c r="R5047" s="79" t="str">
        <f>IF(AND($N5047=$Q$7,$B5047&lt;'111'!$L$11),"x","")</f>
        <v/>
      </c>
      <c r="S5047" s="79" t="str">
        <f>IF(AND($O5047=$Q$7,$B5047&lt;'111'!$L$11),"x","")</f>
        <v/>
      </c>
      <c r="T5047" s="79" t="str">
        <f>IF(ISERROR(FIND('112'!$M$9,G5047,1)),"",IF((AND(FIND('112'!$M$9,G5047,1)&gt;=1,B5047='112'!$K$9,OR($N5047='112'!$I$6,$O5047='112'!$I$6))),"x",""))</f>
        <v/>
      </c>
      <c r="U5047" s="79" t="str">
        <f>IF(ISERROR(FIND('112'!$M$9,G5047,1)),"",IF((AND(LEFT(G5047,2)=LEFT('112'!$M$9,2),B5047&lt;'112'!$K$9,$N5047='112'!$I$6)),"x",""))</f>
        <v/>
      </c>
      <c r="V5047" s="79" t="str">
        <f>IF(ISERROR(FIND('112'!$M$9,G5047,1)),"",IF((AND(RIGHT(G5047,2)=RIGHT('112'!$M$9,2),B5047&lt;'112'!$K$9,$O5047='112'!$I$6)),"x",""))</f>
        <v/>
      </c>
      <c r="W5047" s="79" t="str">
        <f>IF(AND('341-CT'!$H$9=H5047,OR(LEFT(N5047,3)=$W$7,LEFT(O5047,3)=$W$7)),"x","")</f>
        <v/>
      </c>
      <c r="X5047" s="79" t="str">
        <f>IF(OR(TH!N5047=TH!$X$7,O5047=TH!$X$7),"x","")</f>
        <v/>
      </c>
      <c r="Y5047" s="79" t="str">
        <f>IF(AND(OR(N5047="131",O5047="131"),H5047='131-CT'!$H$9),"x","")</f>
        <v/>
      </c>
      <c r="Z5047" s="79"/>
      <c r="AA5047" s="79" t="str">
        <f>IF(AND(MONTH(E5047)='IN-NX'!$J$5,'IN-NX'!$D$7=D5047),"x","")</f>
        <v/>
      </c>
      <c r="AB5047" s="79" t="str">
        <f>IF(AND(OR(LEFT(TH!N5047,2)="15",LEFT(TH!O5047,2)="15"),LEFT(TH!O5047,3)&lt;&gt;"111",'152-CT'!$J$8=TH!F5047),"x","")</f>
        <v/>
      </c>
      <c r="AC5047" s="79" t="str">
        <f>IF(AND(OR(LEFT(TH!N5047,2)="15",LEFT(TH!O5047,2)="15"),TK!$E$7=TH!F5047),"x","")</f>
        <v/>
      </c>
      <c r="AD5047" s="79" t="str">
        <f>IF(AND(N5047="1521",MONTH(C5047)='BK-NL'!$M$11),"x","")</f>
        <v/>
      </c>
    </row>
    <row r="5048" spans="1:30" ht="16.5" customHeight="1">
      <c r="A5048" s="318" t="str">
        <f>IF(B5048&lt;&gt;"",IF(AND(B5048='[3]IN-TC'!$S$4,OR([3]TH!N4270="1111",[3]TH!O4270="1111")),[3]TH!D4270,""),"")</f>
        <v/>
      </c>
      <c r="B5048" s="60" t="str">
        <f t="shared" si="499"/>
        <v/>
      </c>
      <c r="C5048" s="61"/>
      <c r="D5048" s="61"/>
      <c r="E5048" s="61"/>
      <c r="F5048" s="64"/>
      <c r="G5048" s="64"/>
      <c r="H5048" s="69"/>
      <c r="I5048" s="387"/>
      <c r="J5048" s="395"/>
      <c r="K5048" s="387"/>
      <c r="L5048" s="394"/>
      <c r="M5048" s="62"/>
      <c r="N5048" s="63"/>
      <c r="O5048" s="63"/>
      <c r="P5048" s="79" t="str">
        <f>IF(AND('331-CT'!$E$7=TH!H5048,OR(N5048="331",O5048="331")),"x","")</f>
        <v/>
      </c>
      <c r="Q5048" s="79" t="str">
        <f>IF(AND(B5048='111'!$L$11,OR($N5048=$Q$7,$O5048=$Q$7)),"x","")</f>
        <v/>
      </c>
      <c r="R5048" s="79" t="str">
        <f>IF(AND($N5048=$Q$7,$B5048&lt;'111'!$L$11),"x","")</f>
        <v/>
      </c>
      <c r="S5048" s="79" t="str">
        <f>IF(AND($O5048=$Q$7,$B5048&lt;'111'!$L$11),"x","")</f>
        <v/>
      </c>
      <c r="T5048" s="79" t="str">
        <f>IF(ISERROR(FIND('112'!$M$9,G5048,1)),"",IF((AND(FIND('112'!$M$9,G5048,1)&gt;=1,B5048='112'!$K$9,OR($N5048='112'!$I$6,$O5048='112'!$I$6))),"x",""))</f>
        <v/>
      </c>
      <c r="U5048" s="79" t="str">
        <f>IF(ISERROR(FIND('112'!$M$9,G5048,1)),"",IF((AND(LEFT(G5048,2)=LEFT('112'!$M$9,2),B5048&lt;'112'!$K$9,$N5048='112'!$I$6)),"x",""))</f>
        <v/>
      </c>
      <c r="V5048" s="79" t="str">
        <f>IF(ISERROR(FIND('112'!$M$9,G5048,1)),"",IF((AND(RIGHT(G5048,2)=RIGHT('112'!$M$9,2),B5048&lt;'112'!$K$9,$O5048='112'!$I$6)),"x",""))</f>
        <v/>
      </c>
      <c r="W5048" s="79" t="str">
        <f>IF(AND('341-CT'!$H$9=H5048,OR(LEFT(N5048,3)=$W$7,LEFT(O5048,3)=$W$7)),"x","")</f>
        <v/>
      </c>
      <c r="X5048" s="79" t="str">
        <f>IF(OR(TH!N5048=TH!$X$7,O5048=TH!$X$7),"x","")</f>
        <v/>
      </c>
      <c r="Y5048" s="79" t="str">
        <f>IF(AND(OR(N5048="131",O5048="131"),H5048='131-CT'!$H$9),"x","")</f>
        <v/>
      </c>
      <c r="Z5048" s="79"/>
      <c r="AA5048" s="79" t="str">
        <f>IF(AND(MONTH(E5048)='IN-NX'!$J$5,'IN-NX'!$D$7=D5048),"x","")</f>
        <v/>
      </c>
      <c r="AB5048" s="79" t="str">
        <f>IF(AND(OR(LEFT(TH!N5048,2)="15",LEFT(TH!O5048,2)="15"),LEFT(TH!O5048,3)&lt;&gt;"111",'152-CT'!$J$8=TH!F5048),"x","")</f>
        <v/>
      </c>
      <c r="AC5048" s="79" t="str">
        <f>IF(AND(OR(LEFT(TH!N5048,2)="15",LEFT(TH!O5048,2)="15"),TK!$E$7=TH!F5048),"x","")</f>
        <v/>
      </c>
      <c r="AD5048" s="79" t="str">
        <f>IF(AND(N5048="1521",MONTH(C5048)='BK-NL'!$M$11),"x","")</f>
        <v/>
      </c>
    </row>
    <row r="5049" spans="1:30" ht="16.5" customHeight="1">
      <c r="A5049" s="318" t="str">
        <f>IF(B5049&lt;&gt;"",IF(AND(B5049='[3]IN-TC'!$S$4,OR([3]TH!N4271="1111",[3]TH!O4271="1111")),[3]TH!D4271,""),"")</f>
        <v/>
      </c>
      <c r="B5049" s="60" t="str">
        <f t="shared" si="499"/>
        <v/>
      </c>
      <c r="C5049" s="61"/>
      <c r="D5049" s="61"/>
      <c r="E5049" s="61"/>
      <c r="F5049" s="64"/>
      <c r="G5049" s="64"/>
      <c r="H5049" s="69"/>
      <c r="I5049" s="387"/>
      <c r="J5049" s="395"/>
      <c r="K5049" s="387"/>
      <c r="L5049" s="394"/>
      <c r="M5049" s="62"/>
      <c r="N5049" s="63"/>
      <c r="O5049" s="63"/>
      <c r="P5049" s="79" t="str">
        <f>IF(AND('331-CT'!$E$7=TH!H5049,OR(N5049="331",O5049="331")),"x","")</f>
        <v/>
      </c>
      <c r="Q5049" s="79" t="str">
        <f>IF(AND(B5049='111'!$L$11,OR($N5049=$Q$7,$O5049=$Q$7)),"x","")</f>
        <v/>
      </c>
      <c r="R5049" s="79" t="str">
        <f>IF(AND($N5049=$Q$7,$B5049&lt;'111'!$L$11),"x","")</f>
        <v/>
      </c>
      <c r="S5049" s="79" t="str">
        <f>IF(AND($O5049=$Q$7,$B5049&lt;'111'!$L$11),"x","")</f>
        <v/>
      </c>
      <c r="T5049" s="79" t="str">
        <f>IF(ISERROR(FIND('112'!$M$9,G5049,1)),"",IF((AND(FIND('112'!$M$9,G5049,1)&gt;=1,B5049='112'!$K$9,OR($N5049='112'!$I$6,$O5049='112'!$I$6))),"x",""))</f>
        <v/>
      </c>
      <c r="U5049" s="79" t="str">
        <f>IF(ISERROR(FIND('112'!$M$9,G5049,1)),"",IF((AND(LEFT(G5049,2)=LEFT('112'!$M$9,2),B5049&lt;'112'!$K$9,$N5049='112'!$I$6)),"x",""))</f>
        <v/>
      </c>
      <c r="V5049" s="79" t="str">
        <f>IF(ISERROR(FIND('112'!$M$9,G5049,1)),"",IF((AND(RIGHT(G5049,2)=RIGHT('112'!$M$9,2),B5049&lt;'112'!$K$9,$O5049='112'!$I$6)),"x",""))</f>
        <v/>
      </c>
      <c r="W5049" s="79" t="str">
        <f>IF(AND('341-CT'!$H$9=H5049,OR(LEFT(N5049,3)=$W$7,LEFT(O5049,3)=$W$7)),"x","")</f>
        <v/>
      </c>
      <c r="X5049" s="79" t="str">
        <f>IF(OR(TH!N5049=TH!$X$7,O5049=TH!$X$7),"x","")</f>
        <v/>
      </c>
      <c r="Y5049" s="79" t="str">
        <f>IF(AND(OR(N5049="131",O5049="131"),H5049='131-CT'!$H$9),"x","")</f>
        <v/>
      </c>
      <c r="Z5049" s="79"/>
      <c r="AA5049" s="79" t="str">
        <f>IF(AND(MONTH(E5049)='IN-NX'!$J$5,'IN-NX'!$D$7=D5049),"x","")</f>
        <v/>
      </c>
      <c r="AB5049" s="79" t="str">
        <f>IF(AND(OR(LEFT(TH!N5049,2)="15",LEFT(TH!O5049,2)="15"),LEFT(TH!O5049,3)&lt;&gt;"111",'152-CT'!$J$8=TH!F5049),"x","")</f>
        <v/>
      </c>
      <c r="AC5049" s="79" t="str">
        <f>IF(AND(OR(LEFT(TH!N5049,2)="15",LEFT(TH!O5049,2)="15"),TK!$E$7=TH!F5049),"x","")</f>
        <v/>
      </c>
      <c r="AD5049" s="79" t="str">
        <f>IF(AND(N5049="1521",MONTH(C5049)='BK-NL'!$M$11),"x","")</f>
        <v/>
      </c>
    </row>
    <row r="5050" spans="1:30" ht="16.5" customHeight="1">
      <c r="A5050" s="318" t="str">
        <f>IF(B5050&lt;&gt;"",IF(AND(B5050='[3]IN-TC'!$S$4,OR([3]TH!N4272="1111",[3]TH!O4272="1111")),[3]TH!D4272,""),"")</f>
        <v/>
      </c>
      <c r="B5050" s="60" t="str">
        <f t="shared" si="499"/>
        <v/>
      </c>
      <c r="C5050" s="61"/>
      <c r="D5050" s="61"/>
      <c r="E5050" s="61"/>
      <c r="F5050" s="64"/>
      <c r="G5050" s="64"/>
      <c r="H5050" s="69"/>
      <c r="I5050" s="385"/>
      <c r="J5050" s="395"/>
      <c r="K5050" s="385"/>
      <c r="L5050" s="392"/>
      <c r="M5050" s="62"/>
      <c r="N5050" s="63"/>
      <c r="O5050" s="63"/>
      <c r="P5050" s="79" t="str">
        <f>IF(AND('331-CT'!$E$7=TH!H5050,OR(N5050="331",O5050="331")),"x","")</f>
        <v/>
      </c>
      <c r="Q5050" s="79" t="str">
        <f>IF(AND(B5050='111'!$L$11,OR($N5050=$Q$7,$O5050=$Q$7)),"x","")</f>
        <v/>
      </c>
      <c r="R5050" s="79" t="str">
        <f>IF(AND($N5050=$Q$7,$B5050&lt;'111'!$L$11),"x","")</f>
        <v/>
      </c>
      <c r="S5050" s="79" t="str">
        <f>IF(AND($O5050=$Q$7,$B5050&lt;'111'!$L$11),"x","")</f>
        <v/>
      </c>
      <c r="T5050" s="79" t="str">
        <f>IF(ISERROR(FIND('112'!$M$9,G5050,1)),"",IF((AND(FIND('112'!$M$9,G5050,1)&gt;=1,B5050='112'!$K$9,OR($N5050='112'!$I$6,$O5050='112'!$I$6))),"x",""))</f>
        <v/>
      </c>
      <c r="U5050" s="79" t="str">
        <f>IF(ISERROR(FIND('112'!$M$9,G5050,1)),"",IF((AND(LEFT(G5050,2)=LEFT('112'!$M$9,2),B5050&lt;'112'!$K$9,$N5050='112'!$I$6)),"x",""))</f>
        <v/>
      </c>
      <c r="V5050" s="79" t="str">
        <f>IF(ISERROR(FIND('112'!$M$9,G5050,1)),"",IF((AND(RIGHT(G5050,2)=RIGHT('112'!$M$9,2),B5050&lt;'112'!$K$9,$O5050='112'!$I$6)),"x",""))</f>
        <v/>
      </c>
      <c r="W5050" s="79" t="str">
        <f>IF(AND('341-CT'!$H$9=H5050,OR(LEFT(N5050,3)=$W$7,LEFT(O5050,3)=$W$7)),"x","")</f>
        <v/>
      </c>
      <c r="X5050" s="79" t="str">
        <f>IF(OR(TH!N5050=TH!$X$7,O5050=TH!$X$7),"x","")</f>
        <v/>
      </c>
      <c r="Y5050" s="79" t="str">
        <f>IF(AND(OR(N5050="131",O5050="131"),H5050='131-CT'!$H$9),"x","")</f>
        <v/>
      </c>
      <c r="Z5050" s="79"/>
      <c r="AA5050" s="79" t="str">
        <f>IF(AND(MONTH(E5050)='IN-NX'!$J$5,'IN-NX'!$D$7=D5050),"x","")</f>
        <v/>
      </c>
      <c r="AB5050" s="79" t="str">
        <f>IF(AND(OR(LEFT(TH!N5050,2)="15",LEFT(TH!O5050,2)="15"),LEFT(TH!O5050,3)&lt;&gt;"111",'152-CT'!$J$8=TH!F5050),"x","")</f>
        <v/>
      </c>
      <c r="AC5050" s="79" t="str">
        <f>IF(AND(OR(LEFT(TH!N5050,2)="15",LEFT(TH!O5050,2)="15"),TK!$E$7=TH!F5050),"x","")</f>
        <v/>
      </c>
      <c r="AD5050" s="79" t="str">
        <f>IF(AND(N5050="1521",MONTH(C5050)='BK-NL'!$M$11),"x","")</f>
        <v/>
      </c>
    </row>
    <row r="5051" spans="1:30" ht="16.5" customHeight="1">
      <c r="A5051" s="318" t="str">
        <f>IF(B5051&lt;&gt;"",IF(AND(B5051='[3]IN-TC'!$S$4,OR([3]TH!N4273="1111",[3]TH!O4273="1111")),[3]TH!D4273,""),"")</f>
        <v/>
      </c>
      <c r="B5051" s="60" t="str">
        <f t="shared" si="499"/>
        <v/>
      </c>
      <c r="C5051" s="61"/>
      <c r="D5051" s="61"/>
      <c r="E5051" s="61"/>
      <c r="F5051" s="64"/>
      <c r="G5051" s="64"/>
      <c r="H5051" s="69"/>
      <c r="I5051" s="385"/>
      <c r="J5051" s="395"/>
      <c r="K5051" s="385"/>
      <c r="L5051" s="392"/>
      <c r="M5051" s="62"/>
      <c r="N5051" s="63"/>
      <c r="O5051" s="63"/>
      <c r="P5051" s="79" t="str">
        <f>IF(AND('331-CT'!$E$7=TH!H5051,OR(N5051="331",O5051="331")),"x","")</f>
        <v/>
      </c>
      <c r="Q5051" s="79" t="str">
        <f>IF(AND(B5051='111'!$L$11,OR($N5051=$Q$7,$O5051=$Q$7)),"x","")</f>
        <v/>
      </c>
      <c r="R5051" s="79" t="str">
        <f>IF(AND($N5051=$Q$7,$B5051&lt;'111'!$L$11),"x","")</f>
        <v/>
      </c>
      <c r="S5051" s="79" t="str">
        <f>IF(AND($O5051=$Q$7,$B5051&lt;'111'!$L$11),"x","")</f>
        <v/>
      </c>
      <c r="T5051" s="79" t="str">
        <f>IF(ISERROR(FIND('112'!$M$9,G5051,1)),"",IF((AND(FIND('112'!$M$9,G5051,1)&gt;=1,B5051='112'!$K$9,OR($N5051='112'!$I$6,$O5051='112'!$I$6))),"x",""))</f>
        <v/>
      </c>
      <c r="U5051" s="79" t="str">
        <f>IF(ISERROR(FIND('112'!$M$9,G5051,1)),"",IF((AND(LEFT(G5051,2)=LEFT('112'!$M$9,2),B5051&lt;'112'!$K$9,$N5051='112'!$I$6)),"x",""))</f>
        <v/>
      </c>
      <c r="V5051" s="79" t="str">
        <f>IF(ISERROR(FIND('112'!$M$9,G5051,1)),"",IF((AND(RIGHT(G5051,2)=RIGHT('112'!$M$9,2),B5051&lt;'112'!$K$9,$O5051='112'!$I$6)),"x",""))</f>
        <v/>
      </c>
      <c r="W5051" s="79" t="str">
        <f>IF(AND('341-CT'!$H$9=H5051,OR(LEFT(N5051,3)=$W$7,LEFT(O5051,3)=$W$7)),"x","")</f>
        <v/>
      </c>
      <c r="X5051" s="79" t="str">
        <f>IF(OR(TH!N5051=TH!$X$7,O5051=TH!$X$7),"x","")</f>
        <v/>
      </c>
      <c r="Y5051" s="79" t="str">
        <f>IF(AND(OR(N5051="131",O5051="131"),H5051='131-CT'!$H$9),"x","")</f>
        <v/>
      </c>
      <c r="Z5051" s="79"/>
      <c r="AA5051" s="79" t="str">
        <f>IF(AND(MONTH(E5051)='IN-NX'!$J$5,'IN-NX'!$D$7=D5051),"x","")</f>
        <v/>
      </c>
      <c r="AB5051" s="79" t="str">
        <f>IF(AND(OR(LEFT(TH!N5051,2)="15",LEFT(TH!O5051,2)="15"),LEFT(TH!O5051,3)&lt;&gt;"111",'152-CT'!$J$8=TH!F5051),"x","")</f>
        <v/>
      </c>
      <c r="AC5051" s="79" t="str">
        <f>IF(AND(OR(LEFT(TH!N5051,2)="15",LEFT(TH!O5051,2)="15"),TK!$E$7=TH!F5051),"x","")</f>
        <v/>
      </c>
      <c r="AD5051" s="79" t="str">
        <f>IF(AND(N5051="1521",MONTH(C5051)='BK-NL'!$M$11),"x","")</f>
        <v/>
      </c>
    </row>
    <row r="5052" spans="1:30" ht="16.5" customHeight="1">
      <c r="A5052" s="318" t="str">
        <f>IF(B5052&lt;&gt;"",IF(AND(B5052='[3]IN-TC'!$S$4,OR([3]TH!N4274="1111",[3]TH!O4274="1111")),[3]TH!D4274,""),"")</f>
        <v/>
      </c>
      <c r="B5052" s="60" t="str">
        <f t="shared" si="499"/>
        <v/>
      </c>
      <c r="C5052" s="61"/>
      <c r="D5052" s="61"/>
      <c r="E5052" s="61"/>
      <c r="F5052" s="64"/>
      <c r="G5052" s="64"/>
      <c r="H5052" s="69"/>
      <c r="I5052" s="385"/>
      <c r="J5052" s="395"/>
      <c r="K5052" s="385"/>
      <c r="L5052" s="392"/>
      <c r="M5052" s="62"/>
      <c r="N5052" s="63"/>
      <c r="O5052" s="63"/>
      <c r="P5052" s="79" t="str">
        <f>IF(AND('331-CT'!$E$7=TH!H5052,OR(N5052="331",O5052="331")),"x","")</f>
        <v/>
      </c>
      <c r="Q5052" s="79" t="str">
        <f>IF(AND(B5052='111'!$L$11,OR($N5052=$Q$7,$O5052=$Q$7)),"x","")</f>
        <v/>
      </c>
      <c r="R5052" s="79" t="str">
        <f>IF(AND($N5052=$Q$7,$B5052&lt;'111'!$L$11),"x","")</f>
        <v/>
      </c>
      <c r="S5052" s="79" t="str">
        <f>IF(AND($O5052=$Q$7,$B5052&lt;'111'!$L$11),"x","")</f>
        <v/>
      </c>
      <c r="T5052" s="79" t="str">
        <f>IF(ISERROR(FIND('112'!$M$9,G5052,1)),"",IF((AND(FIND('112'!$M$9,G5052,1)&gt;=1,B5052='112'!$K$9,OR($N5052='112'!$I$6,$O5052='112'!$I$6))),"x",""))</f>
        <v/>
      </c>
      <c r="U5052" s="79" t="str">
        <f>IF(ISERROR(FIND('112'!$M$9,G5052,1)),"",IF((AND(LEFT(G5052,2)=LEFT('112'!$M$9,2),B5052&lt;'112'!$K$9,$N5052='112'!$I$6)),"x",""))</f>
        <v/>
      </c>
      <c r="V5052" s="79" t="str">
        <f>IF(ISERROR(FIND('112'!$M$9,G5052,1)),"",IF((AND(RIGHT(G5052,2)=RIGHT('112'!$M$9,2),B5052&lt;'112'!$K$9,$O5052='112'!$I$6)),"x",""))</f>
        <v/>
      </c>
      <c r="W5052" s="79" t="str">
        <f>IF(AND('341-CT'!$H$9=H5052,OR(LEFT(N5052,3)=$W$7,LEFT(O5052,3)=$W$7)),"x","")</f>
        <v/>
      </c>
      <c r="X5052" s="79" t="str">
        <f>IF(OR(TH!N5052=TH!$X$7,O5052=TH!$X$7),"x","")</f>
        <v/>
      </c>
      <c r="Y5052" s="79" t="str">
        <f>IF(AND(OR(N5052="131",O5052="131"),H5052='131-CT'!$H$9),"x","")</f>
        <v/>
      </c>
      <c r="Z5052" s="79"/>
      <c r="AA5052" s="79" t="str">
        <f>IF(AND(MONTH(E5052)='IN-NX'!$J$5,'IN-NX'!$D$7=D5052),"x","")</f>
        <v/>
      </c>
      <c r="AB5052" s="79" t="str">
        <f>IF(AND(OR(LEFT(TH!N5052,2)="15",LEFT(TH!O5052,2)="15"),LEFT(TH!O5052,3)&lt;&gt;"111",'152-CT'!$J$8=TH!F5052),"x","")</f>
        <v/>
      </c>
      <c r="AC5052" s="79" t="str">
        <f>IF(AND(OR(LEFT(TH!N5052,2)="15",LEFT(TH!O5052,2)="15"),TK!$E$7=TH!F5052),"x","")</f>
        <v/>
      </c>
      <c r="AD5052" s="79" t="str">
        <f>IF(AND(N5052="1521",MONTH(C5052)='BK-NL'!$M$11),"x","")</f>
        <v/>
      </c>
    </row>
    <row r="5053" spans="1:30" ht="16.5" customHeight="1">
      <c r="A5053" s="318" t="str">
        <f>IF(B5053&lt;&gt;"",IF(AND(B5053='[3]IN-TC'!$S$4,OR([3]TH!N4275="1111",[3]TH!O4275="1111")),[3]TH!D4275,""),"")</f>
        <v/>
      </c>
      <c r="B5053" s="60" t="str">
        <f t="shared" si="499"/>
        <v/>
      </c>
      <c r="C5053" s="61"/>
      <c r="D5053" s="61"/>
      <c r="E5053" s="61"/>
      <c r="F5053" s="64"/>
      <c r="G5053" s="64"/>
      <c r="H5053" s="69"/>
      <c r="I5053" s="385"/>
      <c r="J5053" s="395"/>
      <c r="K5053" s="385"/>
      <c r="L5053" s="392"/>
      <c r="M5053" s="62"/>
      <c r="N5053" s="63"/>
      <c r="O5053" s="63"/>
      <c r="P5053" s="79" t="str">
        <f>IF(AND('331-CT'!$E$7=TH!H5053,OR(N5053="331",O5053="331")),"x","")</f>
        <v/>
      </c>
      <c r="Q5053" s="79" t="str">
        <f>IF(AND(B5053='111'!$L$11,OR($N5053=$Q$7,$O5053=$Q$7)),"x","")</f>
        <v/>
      </c>
      <c r="R5053" s="79" t="str">
        <f>IF(AND($N5053=$Q$7,$B5053&lt;'111'!$L$11),"x","")</f>
        <v/>
      </c>
      <c r="S5053" s="79" t="str">
        <f>IF(AND($O5053=$Q$7,$B5053&lt;'111'!$L$11),"x","")</f>
        <v/>
      </c>
      <c r="T5053" s="79" t="str">
        <f>IF(ISERROR(FIND('112'!$M$9,G5053,1)),"",IF((AND(FIND('112'!$M$9,G5053,1)&gt;=1,B5053='112'!$K$9,OR($N5053='112'!$I$6,$O5053='112'!$I$6))),"x",""))</f>
        <v/>
      </c>
      <c r="U5053" s="79" t="str">
        <f>IF(ISERROR(FIND('112'!$M$9,G5053,1)),"",IF((AND(LEFT(G5053,2)=LEFT('112'!$M$9,2),B5053&lt;'112'!$K$9,$N5053='112'!$I$6)),"x",""))</f>
        <v/>
      </c>
      <c r="V5053" s="79" t="str">
        <f>IF(ISERROR(FIND('112'!$M$9,G5053,1)),"",IF((AND(RIGHT(G5053,2)=RIGHT('112'!$M$9,2),B5053&lt;'112'!$K$9,$O5053='112'!$I$6)),"x",""))</f>
        <v/>
      </c>
      <c r="W5053" s="79" t="str">
        <f>IF(AND('341-CT'!$H$9=H5053,OR(LEFT(N5053,3)=$W$7,LEFT(O5053,3)=$W$7)),"x","")</f>
        <v/>
      </c>
      <c r="X5053" s="79" t="str">
        <f>IF(OR(TH!N5053=TH!$X$7,O5053=TH!$X$7),"x","")</f>
        <v/>
      </c>
      <c r="Y5053" s="79" t="str">
        <f>IF(AND(OR(N5053="131",O5053="131"),H5053='131-CT'!$H$9),"x","")</f>
        <v/>
      </c>
      <c r="Z5053" s="79"/>
      <c r="AA5053" s="79" t="str">
        <f>IF(AND(MONTH(E5053)='IN-NX'!$J$5,'IN-NX'!$D$7=D5053),"x","")</f>
        <v/>
      </c>
      <c r="AB5053" s="79" t="str">
        <f>IF(AND(OR(LEFT(TH!N5053,2)="15",LEFT(TH!O5053,2)="15"),LEFT(TH!O5053,3)&lt;&gt;"111",'152-CT'!$J$8=TH!F5053),"x","")</f>
        <v/>
      </c>
      <c r="AC5053" s="79" t="str">
        <f>IF(AND(OR(LEFT(TH!N5053,2)="15",LEFT(TH!O5053,2)="15"),TK!$E$7=TH!F5053),"x","")</f>
        <v/>
      </c>
      <c r="AD5053" s="79" t="str">
        <f>IF(AND(N5053="1521",MONTH(C5053)='BK-NL'!$M$11),"x","")</f>
        <v/>
      </c>
    </row>
    <row r="5054" spans="1:30" ht="16.5" customHeight="1">
      <c r="A5054" s="318" t="str">
        <f>IF(B5054&lt;&gt;"",IF(AND(B5054='[3]IN-TC'!$S$4,OR([3]TH!N4276="1111",[3]TH!O4276="1111")),[3]TH!D4276,""),"")</f>
        <v/>
      </c>
      <c r="B5054" s="60" t="str">
        <f t="shared" si="499"/>
        <v/>
      </c>
      <c r="C5054" s="61"/>
      <c r="D5054" s="61"/>
      <c r="E5054" s="61"/>
      <c r="F5054" s="64"/>
      <c r="G5054" s="64"/>
      <c r="H5054" s="69"/>
      <c r="I5054" s="385"/>
      <c r="J5054" s="395"/>
      <c r="K5054" s="385"/>
      <c r="L5054" s="392"/>
      <c r="M5054" s="62"/>
      <c r="N5054" s="63"/>
      <c r="O5054" s="63"/>
      <c r="P5054" s="79" t="str">
        <f>IF(AND('331-CT'!$E$7=TH!H5054,OR(N5054="331",O5054="331")),"x","")</f>
        <v/>
      </c>
      <c r="Q5054" s="79" t="str">
        <f>IF(AND(B5054='111'!$L$11,OR($N5054=$Q$7,$O5054=$Q$7)),"x","")</f>
        <v/>
      </c>
      <c r="R5054" s="79" t="str">
        <f>IF(AND($N5054=$Q$7,$B5054&lt;'111'!$L$11),"x","")</f>
        <v/>
      </c>
      <c r="S5054" s="79" t="str">
        <f>IF(AND($O5054=$Q$7,$B5054&lt;'111'!$L$11),"x","")</f>
        <v/>
      </c>
      <c r="T5054" s="79" t="str">
        <f>IF(ISERROR(FIND('112'!$M$9,G5054,1)),"",IF((AND(FIND('112'!$M$9,G5054,1)&gt;=1,B5054='112'!$K$9,OR($N5054='112'!$I$6,$O5054='112'!$I$6))),"x",""))</f>
        <v/>
      </c>
      <c r="U5054" s="79" t="str">
        <f>IF(ISERROR(FIND('112'!$M$9,G5054,1)),"",IF((AND(LEFT(G5054,2)=LEFT('112'!$M$9,2),B5054&lt;'112'!$K$9,$N5054='112'!$I$6)),"x",""))</f>
        <v/>
      </c>
      <c r="V5054" s="79" t="str">
        <f>IF(ISERROR(FIND('112'!$M$9,G5054,1)),"",IF((AND(RIGHT(G5054,2)=RIGHT('112'!$M$9,2),B5054&lt;'112'!$K$9,$O5054='112'!$I$6)),"x",""))</f>
        <v/>
      </c>
      <c r="W5054" s="79" t="str">
        <f>IF(AND('341-CT'!$H$9=H5054,OR(LEFT(N5054,3)=$W$7,LEFT(O5054,3)=$W$7)),"x","")</f>
        <v/>
      </c>
      <c r="X5054" s="79" t="str">
        <f>IF(OR(TH!N5054=TH!$X$7,O5054=TH!$X$7),"x","")</f>
        <v/>
      </c>
      <c r="Y5054" s="79" t="str">
        <f>IF(AND(OR(N5054="131",O5054="131"),H5054='131-CT'!$H$9),"x","")</f>
        <v/>
      </c>
      <c r="Z5054" s="79"/>
      <c r="AA5054" s="79" t="str">
        <f>IF(AND(MONTH(E5054)='IN-NX'!$J$5,'IN-NX'!$D$7=D5054),"x","")</f>
        <v/>
      </c>
      <c r="AB5054" s="79" t="str">
        <f>IF(AND(OR(LEFT(TH!N5054,2)="15",LEFT(TH!O5054,2)="15"),LEFT(TH!O5054,3)&lt;&gt;"111",'152-CT'!$J$8=TH!F5054),"x","")</f>
        <v/>
      </c>
      <c r="AC5054" s="79" t="str">
        <f>IF(AND(OR(LEFT(TH!N5054,2)="15",LEFT(TH!O5054,2)="15"),TK!$E$7=TH!F5054),"x","")</f>
        <v/>
      </c>
      <c r="AD5054" s="79" t="str">
        <f>IF(AND(N5054="1521",MONTH(C5054)='BK-NL'!$M$11),"x","")</f>
        <v/>
      </c>
    </row>
    <row r="5055" spans="1:30" ht="16.5" customHeight="1">
      <c r="A5055" s="318" t="str">
        <f>IF(B5055&lt;&gt;"",IF(AND(B5055='[3]IN-TC'!$S$4,OR([3]TH!N4277="1111",[3]TH!O4277="1111")),[3]TH!D4277,""),"")</f>
        <v/>
      </c>
      <c r="B5055" s="60" t="str">
        <f t="shared" si="499"/>
        <v/>
      </c>
      <c r="C5055" s="61"/>
      <c r="D5055" s="61"/>
      <c r="E5055" s="61"/>
      <c r="F5055" s="64"/>
      <c r="G5055" s="64"/>
      <c r="H5055" s="69"/>
      <c r="I5055" s="385"/>
      <c r="J5055" s="395"/>
      <c r="K5055" s="385"/>
      <c r="L5055" s="392"/>
      <c r="M5055" s="62"/>
      <c r="N5055" s="63"/>
      <c r="O5055" s="63"/>
      <c r="P5055" s="79" t="str">
        <f>IF(AND('331-CT'!$E$7=TH!H5055,OR(N5055="331",O5055="331")),"x","")</f>
        <v/>
      </c>
      <c r="Q5055" s="79" t="str">
        <f>IF(AND(B5055='111'!$L$11,OR($N5055=$Q$7,$O5055=$Q$7)),"x","")</f>
        <v/>
      </c>
      <c r="R5055" s="79" t="str">
        <f>IF(AND($N5055=$Q$7,$B5055&lt;'111'!$L$11),"x","")</f>
        <v/>
      </c>
      <c r="S5055" s="79" t="str">
        <f>IF(AND($O5055=$Q$7,$B5055&lt;'111'!$L$11),"x","")</f>
        <v/>
      </c>
      <c r="T5055" s="79" t="str">
        <f>IF(ISERROR(FIND('112'!$M$9,G5055,1)),"",IF((AND(FIND('112'!$M$9,G5055,1)&gt;=1,B5055='112'!$K$9,OR($N5055='112'!$I$6,$O5055='112'!$I$6))),"x",""))</f>
        <v/>
      </c>
      <c r="U5055" s="79" t="str">
        <f>IF(ISERROR(FIND('112'!$M$9,G5055,1)),"",IF((AND(LEFT(G5055,2)=LEFT('112'!$M$9,2),B5055&lt;'112'!$K$9,$N5055='112'!$I$6)),"x",""))</f>
        <v/>
      </c>
      <c r="V5055" s="79" t="str">
        <f>IF(ISERROR(FIND('112'!$M$9,G5055,1)),"",IF((AND(RIGHT(G5055,2)=RIGHT('112'!$M$9,2),B5055&lt;'112'!$K$9,$O5055='112'!$I$6)),"x",""))</f>
        <v/>
      </c>
      <c r="W5055" s="79" t="str">
        <f>IF(AND('341-CT'!$H$9=H5055,OR(LEFT(N5055,3)=$W$7,LEFT(O5055,3)=$W$7)),"x","")</f>
        <v/>
      </c>
      <c r="X5055" s="79" t="str">
        <f>IF(OR(TH!N5055=TH!$X$7,O5055=TH!$X$7),"x","")</f>
        <v/>
      </c>
      <c r="Y5055" s="79" t="str">
        <f>IF(AND(OR(N5055="131",O5055="131"),H5055='131-CT'!$H$9),"x","")</f>
        <v/>
      </c>
      <c r="Z5055" s="79"/>
      <c r="AA5055" s="79" t="str">
        <f>IF(AND(MONTH(E5055)='IN-NX'!$J$5,'IN-NX'!$D$7=D5055),"x","")</f>
        <v/>
      </c>
      <c r="AB5055" s="79" t="str">
        <f>IF(AND(OR(LEFT(TH!N5055,2)="15",LEFT(TH!O5055,2)="15"),LEFT(TH!O5055,3)&lt;&gt;"111",'152-CT'!$J$8=TH!F5055),"x","")</f>
        <v/>
      </c>
      <c r="AC5055" s="79" t="str">
        <f>IF(AND(OR(LEFT(TH!N5055,2)="15",LEFT(TH!O5055,2)="15"),TK!$E$7=TH!F5055),"x","")</f>
        <v/>
      </c>
      <c r="AD5055" s="79" t="str">
        <f>IF(AND(N5055="1521",MONTH(C5055)='BK-NL'!$M$11),"x","")</f>
        <v/>
      </c>
    </row>
    <row r="5056" spans="1:30" ht="16.5" customHeight="1">
      <c r="A5056" s="318" t="str">
        <f>IF(B5056&lt;&gt;"",IF(AND(B5056='[3]IN-TC'!$S$4,OR([3]TH!N4278="1111",[3]TH!O4278="1111")),[3]TH!D4278,""),"")</f>
        <v/>
      </c>
      <c r="B5056" s="60" t="str">
        <f t="shared" si="499"/>
        <v/>
      </c>
      <c r="C5056" s="61"/>
      <c r="D5056" s="61"/>
      <c r="E5056" s="61"/>
      <c r="F5056" s="64"/>
      <c r="G5056" s="64"/>
      <c r="H5056" s="69"/>
      <c r="I5056" s="385"/>
      <c r="J5056" s="395"/>
      <c r="K5056" s="385"/>
      <c r="L5056" s="392"/>
      <c r="M5056" s="62"/>
      <c r="N5056" s="63"/>
      <c r="O5056" s="63"/>
      <c r="P5056" s="79" t="str">
        <f>IF(AND('331-CT'!$E$7=TH!H5056,OR(N5056="331",O5056="331")),"x","")</f>
        <v/>
      </c>
      <c r="Q5056" s="79" t="str">
        <f>IF(AND(B5056='111'!$L$11,OR($N5056=$Q$7,$O5056=$Q$7)),"x","")</f>
        <v/>
      </c>
      <c r="R5056" s="79" t="str">
        <f>IF(AND($N5056=$Q$7,$B5056&lt;'111'!$L$11),"x","")</f>
        <v/>
      </c>
      <c r="S5056" s="79" t="str">
        <f>IF(AND($O5056=$Q$7,$B5056&lt;'111'!$L$11),"x","")</f>
        <v/>
      </c>
      <c r="T5056" s="79" t="str">
        <f>IF(ISERROR(FIND('112'!$M$9,G5056,1)),"",IF((AND(FIND('112'!$M$9,G5056,1)&gt;=1,B5056='112'!$K$9,OR($N5056='112'!$I$6,$O5056='112'!$I$6))),"x",""))</f>
        <v/>
      </c>
      <c r="U5056" s="79" t="str">
        <f>IF(ISERROR(FIND('112'!$M$9,G5056,1)),"",IF((AND(LEFT(G5056,2)=LEFT('112'!$M$9,2),B5056&lt;'112'!$K$9,$N5056='112'!$I$6)),"x",""))</f>
        <v/>
      </c>
      <c r="V5056" s="79" t="str">
        <f>IF(ISERROR(FIND('112'!$M$9,G5056,1)),"",IF((AND(RIGHT(G5056,2)=RIGHT('112'!$M$9,2),B5056&lt;'112'!$K$9,$O5056='112'!$I$6)),"x",""))</f>
        <v/>
      </c>
      <c r="W5056" s="79" t="str">
        <f>IF(AND('341-CT'!$H$9=H5056,OR(LEFT(N5056,3)=$W$7,LEFT(O5056,3)=$W$7)),"x","")</f>
        <v/>
      </c>
      <c r="X5056" s="79" t="str">
        <f>IF(OR(TH!N5056=TH!$X$7,O5056=TH!$X$7),"x","")</f>
        <v/>
      </c>
      <c r="Y5056" s="79" t="str">
        <f>IF(AND(OR(N5056="131",O5056="131"),H5056='131-CT'!$H$9),"x","")</f>
        <v/>
      </c>
      <c r="Z5056" s="79"/>
      <c r="AA5056" s="79" t="str">
        <f>IF(AND(MONTH(E5056)='IN-NX'!$J$5,'IN-NX'!$D$7=D5056),"x","")</f>
        <v/>
      </c>
      <c r="AB5056" s="79" t="str">
        <f>IF(AND(OR(LEFT(TH!N5056,2)="15",LEFT(TH!O5056,2)="15"),LEFT(TH!O5056,3)&lt;&gt;"111",'152-CT'!$J$8=TH!F5056),"x","")</f>
        <v/>
      </c>
      <c r="AC5056" s="79" t="str">
        <f>IF(AND(OR(LEFT(TH!N5056,2)="15",LEFT(TH!O5056,2)="15"),TK!$E$7=TH!F5056),"x","")</f>
        <v/>
      </c>
      <c r="AD5056" s="79" t="str">
        <f>IF(AND(N5056="1521",MONTH(C5056)='BK-NL'!$M$11),"x","")</f>
        <v/>
      </c>
    </row>
    <row r="5057" spans="1:30" ht="16.5" customHeight="1">
      <c r="A5057" s="318" t="str">
        <f>IF(B5057&lt;&gt;"",IF(AND(B5057='[3]IN-TC'!$S$4,OR([3]TH!N4279="1111",[3]TH!O4279="1111")),[3]TH!D4279,""),"")</f>
        <v/>
      </c>
      <c r="B5057" s="60" t="str">
        <f t="shared" si="499"/>
        <v/>
      </c>
      <c r="C5057" s="61"/>
      <c r="D5057" s="61"/>
      <c r="E5057" s="61"/>
      <c r="F5057" s="64"/>
      <c r="G5057" s="64"/>
      <c r="H5057" s="69"/>
      <c r="I5057" s="385"/>
      <c r="J5057" s="395"/>
      <c r="K5057" s="385"/>
      <c r="L5057" s="392"/>
      <c r="M5057" s="62"/>
      <c r="N5057" s="63"/>
      <c r="O5057" s="63"/>
      <c r="P5057" s="79" t="str">
        <f>IF(AND('331-CT'!$E$7=TH!H5057,OR(N5057="331",O5057="331")),"x","")</f>
        <v/>
      </c>
      <c r="Q5057" s="79" t="str">
        <f>IF(AND(B5057='111'!$L$11,OR($N5057=$Q$7,$O5057=$Q$7)),"x","")</f>
        <v/>
      </c>
      <c r="R5057" s="79" t="str">
        <f>IF(AND($N5057=$Q$7,$B5057&lt;'111'!$L$11),"x","")</f>
        <v/>
      </c>
      <c r="S5057" s="79" t="str">
        <f>IF(AND($O5057=$Q$7,$B5057&lt;'111'!$L$11),"x","")</f>
        <v/>
      </c>
      <c r="T5057" s="79" t="str">
        <f>IF(ISERROR(FIND('112'!$M$9,G5057,1)),"",IF((AND(FIND('112'!$M$9,G5057,1)&gt;=1,B5057='112'!$K$9,OR($N5057='112'!$I$6,$O5057='112'!$I$6))),"x",""))</f>
        <v/>
      </c>
      <c r="U5057" s="79" t="str">
        <f>IF(ISERROR(FIND('112'!$M$9,G5057,1)),"",IF((AND(LEFT(G5057,2)=LEFT('112'!$M$9,2),B5057&lt;'112'!$K$9,$N5057='112'!$I$6)),"x",""))</f>
        <v/>
      </c>
      <c r="V5057" s="79" t="str">
        <f>IF(ISERROR(FIND('112'!$M$9,G5057,1)),"",IF((AND(RIGHT(G5057,2)=RIGHT('112'!$M$9,2),B5057&lt;'112'!$K$9,$O5057='112'!$I$6)),"x",""))</f>
        <v/>
      </c>
      <c r="W5057" s="79" t="str">
        <f>IF(AND('341-CT'!$H$9=H5057,OR(LEFT(N5057,3)=$W$7,LEFT(O5057,3)=$W$7)),"x","")</f>
        <v/>
      </c>
      <c r="X5057" s="79" t="str">
        <f>IF(OR(TH!N5057=TH!$X$7,O5057=TH!$X$7),"x","")</f>
        <v/>
      </c>
      <c r="Y5057" s="79" t="str">
        <f>IF(AND(OR(N5057="131",O5057="131"),H5057='131-CT'!$H$9),"x","")</f>
        <v/>
      </c>
      <c r="Z5057" s="79"/>
      <c r="AA5057" s="79" t="str">
        <f>IF(AND(MONTH(E5057)='IN-NX'!$J$5,'IN-NX'!$D$7=D5057),"x","")</f>
        <v/>
      </c>
      <c r="AB5057" s="79" t="str">
        <f>IF(AND(OR(LEFT(TH!N5057,2)="15",LEFT(TH!O5057,2)="15"),LEFT(TH!O5057,3)&lt;&gt;"111",'152-CT'!$J$8=TH!F5057),"x","")</f>
        <v/>
      </c>
      <c r="AC5057" s="79" t="str">
        <f>IF(AND(OR(LEFT(TH!N5057,2)="15",LEFT(TH!O5057,2)="15"),TK!$E$7=TH!F5057),"x","")</f>
        <v/>
      </c>
      <c r="AD5057" s="79" t="str">
        <f>IF(AND(N5057="1521",MONTH(C5057)='BK-NL'!$M$11),"x","")</f>
        <v/>
      </c>
    </row>
    <row r="5058" spans="1:30" ht="16.5" customHeight="1">
      <c r="A5058" s="318" t="str">
        <f>IF(B5058&lt;&gt;"",IF(AND(B5058='[3]IN-TC'!$S$4,OR([3]TH!N4280="1111",[3]TH!O4280="1111")),[3]TH!D4280,""),"")</f>
        <v/>
      </c>
      <c r="B5058" s="60" t="str">
        <f t="shared" si="499"/>
        <v/>
      </c>
      <c r="C5058" s="61"/>
      <c r="D5058" s="61"/>
      <c r="E5058" s="61"/>
      <c r="F5058" s="64"/>
      <c r="G5058" s="64"/>
      <c r="H5058" s="69"/>
      <c r="I5058" s="385"/>
      <c r="J5058" s="395"/>
      <c r="K5058" s="385"/>
      <c r="L5058" s="392"/>
      <c r="M5058" s="62"/>
      <c r="N5058" s="63"/>
      <c r="O5058" s="63"/>
      <c r="P5058" s="79" t="str">
        <f>IF(AND('331-CT'!$E$7=TH!H5058,OR(N5058="331",O5058="331")),"x","")</f>
        <v/>
      </c>
      <c r="Q5058" s="79" t="str">
        <f>IF(AND(B5058='111'!$L$11,OR($N5058=$Q$7,$O5058=$Q$7)),"x","")</f>
        <v/>
      </c>
      <c r="R5058" s="79" t="str">
        <f>IF(AND($N5058=$Q$7,$B5058&lt;'111'!$L$11),"x","")</f>
        <v/>
      </c>
      <c r="S5058" s="79" t="str">
        <f>IF(AND($O5058=$Q$7,$B5058&lt;'111'!$L$11),"x","")</f>
        <v/>
      </c>
      <c r="T5058" s="79" t="str">
        <f>IF(ISERROR(FIND('112'!$M$9,G5058,1)),"",IF((AND(FIND('112'!$M$9,G5058,1)&gt;=1,B5058='112'!$K$9,OR($N5058='112'!$I$6,$O5058='112'!$I$6))),"x",""))</f>
        <v/>
      </c>
      <c r="U5058" s="79" t="str">
        <f>IF(ISERROR(FIND('112'!$M$9,G5058,1)),"",IF((AND(LEFT(G5058,2)=LEFT('112'!$M$9,2),B5058&lt;'112'!$K$9,$N5058='112'!$I$6)),"x",""))</f>
        <v/>
      </c>
      <c r="V5058" s="79" t="str">
        <f>IF(ISERROR(FIND('112'!$M$9,G5058,1)),"",IF((AND(RIGHT(G5058,2)=RIGHT('112'!$M$9,2),B5058&lt;'112'!$K$9,$O5058='112'!$I$6)),"x",""))</f>
        <v/>
      </c>
      <c r="W5058" s="79" t="str">
        <f>IF(AND('341-CT'!$H$9=H5058,OR(LEFT(N5058,3)=$W$7,LEFT(O5058,3)=$W$7)),"x","")</f>
        <v/>
      </c>
      <c r="X5058" s="79" t="str">
        <f>IF(OR(TH!N5058=TH!$X$7,O5058=TH!$X$7),"x","")</f>
        <v/>
      </c>
      <c r="Y5058" s="79" t="str">
        <f>IF(AND(OR(N5058="131",O5058="131"),H5058='131-CT'!$H$9),"x","")</f>
        <v/>
      </c>
      <c r="Z5058" s="79"/>
      <c r="AA5058" s="79" t="str">
        <f>IF(AND(MONTH(E5058)='IN-NX'!$J$5,'IN-NX'!$D$7=D5058),"x","")</f>
        <v/>
      </c>
      <c r="AB5058" s="79" t="str">
        <f>IF(AND(OR(LEFT(TH!N5058,2)="15",LEFT(TH!O5058,2)="15"),LEFT(TH!O5058,3)&lt;&gt;"111",'152-CT'!$J$8=TH!F5058),"x","")</f>
        <v/>
      </c>
      <c r="AC5058" s="79" t="str">
        <f>IF(AND(OR(LEFT(TH!N5058,2)="15",LEFT(TH!O5058,2)="15"),TK!$E$7=TH!F5058),"x","")</f>
        <v/>
      </c>
      <c r="AD5058" s="79" t="str">
        <f>IF(AND(N5058="1521",MONTH(C5058)='BK-NL'!$M$11),"x","")</f>
        <v/>
      </c>
    </row>
    <row r="5059" spans="1:30" ht="16.5" customHeight="1">
      <c r="A5059" s="318" t="str">
        <f>IF(B5059&lt;&gt;"",IF(AND(B5059='[3]IN-TC'!$S$4,OR([3]TH!N4281="1111",[3]TH!O4281="1111")),[3]TH!D4281,""),"")</f>
        <v/>
      </c>
      <c r="B5059" s="60" t="str">
        <f t="shared" ref="B5059:B5122" si="500">IF(C5059&lt;&gt;"",MONTH(C5059),"")</f>
        <v/>
      </c>
      <c r="C5059" s="61"/>
      <c r="D5059" s="61"/>
      <c r="E5059" s="61"/>
      <c r="F5059" s="64"/>
      <c r="G5059" s="64"/>
      <c r="H5059" s="69"/>
      <c r="I5059" s="385"/>
      <c r="J5059" s="395"/>
      <c r="K5059" s="385"/>
      <c r="L5059" s="392"/>
      <c r="M5059" s="62"/>
      <c r="N5059" s="63"/>
      <c r="O5059" s="63"/>
      <c r="P5059" s="79" t="str">
        <f>IF(AND('331-CT'!$E$7=TH!H5059,OR(N5059="331",O5059="331")),"x","")</f>
        <v/>
      </c>
      <c r="Q5059" s="79" t="str">
        <f>IF(AND(B5059='111'!$L$11,OR($N5059=$Q$7,$O5059=$Q$7)),"x","")</f>
        <v/>
      </c>
      <c r="R5059" s="79" t="str">
        <f>IF(AND($N5059=$Q$7,$B5059&lt;'111'!$L$11),"x","")</f>
        <v/>
      </c>
      <c r="S5059" s="79" t="str">
        <f>IF(AND($O5059=$Q$7,$B5059&lt;'111'!$L$11),"x","")</f>
        <v/>
      </c>
      <c r="T5059" s="79" t="str">
        <f>IF(ISERROR(FIND('112'!$M$9,G5059,1)),"",IF((AND(FIND('112'!$M$9,G5059,1)&gt;=1,B5059='112'!$K$9,OR($N5059='112'!$I$6,$O5059='112'!$I$6))),"x",""))</f>
        <v/>
      </c>
      <c r="U5059" s="79" t="str">
        <f>IF(ISERROR(FIND('112'!$M$9,G5059,1)),"",IF((AND(LEFT(G5059,2)=LEFT('112'!$M$9,2),B5059&lt;'112'!$K$9,$N5059='112'!$I$6)),"x",""))</f>
        <v/>
      </c>
      <c r="V5059" s="79" t="str">
        <f>IF(ISERROR(FIND('112'!$M$9,G5059,1)),"",IF((AND(RIGHT(G5059,2)=RIGHT('112'!$M$9,2),B5059&lt;'112'!$K$9,$O5059='112'!$I$6)),"x",""))</f>
        <v/>
      </c>
      <c r="W5059" s="79" t="str">
        <f>IF(AND('341-CT'!$H$9=H5059,OR(LEFT(N5059,3)=$W$7,LEFT(O5059,3)=$W$7)),"x","")</f>
        <v/>
      </c>
      <c r="X5059" s="79" t="str">
        <f>IF(OR(TH!N5059=TH!$X$7,O5059=TH!$X$7),"x","")</f>
        <v/>
      </c>
      <c r="Y5059" s="79" t="str">
        <f>IF(AND(OR(N5059="131",O5059="131"),H5059='131-CT'!$H$9),"x","")</f>
        <v/>
      </c>
      <c r="Z5059" s="79"/>
      <c r="AA5059" s="79" t="str">
        <f>IF(AND(MONTH(E5059)='IN-NX'!$J$5,'IN-NX'!$D$7=D5059),"x","")</f>
        <v/>
      </c>
      <c r="AB5059" s="79" t="str">
        <f>IF(AND(OR(LEFT(TH!N5059,2)="15",LEFT(TH!O5059,2)="15"),LEFT(TH!O5059,3)&lt;&gt;"111",'152-CT'!$J$8=TH!F5059),"x","")</f>
        <v/>
      </c>
      <c r="AC5059" s="79" t="str">
        <f>IF(AND(OR(LEFT(TH!N5059,2)="15",LEFT(TH!O5059,2)="15"),TK!$E$7=TH!F5059),"x","")</f>
        <v/>
      </c>
      <c r="AD5059" s="79" t="str">
        <f>IF(AND(N5059="1521",MONTH(C5059)='BK-NL'!$M$11),"x","")</f>
        <v/>
      </c>
    </row>
    <row r="5060" spans="1:30" ht="16.5" customHeight="1">
      <c r="A5060" s="318" t="str">
        <f>IF(B5060&lt;&gt;"",IF(AND(B5060='[3]IN-TC'!$S$4,OR([3]TH!N4282="1111",[3]TH!O4282="1111")),[3]TH!D4282,""),"")</f>
        <v/>
      </c>
      <c r="B5060" s="60" t="str">
        <f t="shared" si="500"/>
        <v/>
      </c>
      <c r="C5060" s="61"/>
      <c r="D5060" s="61"/>
      <c r="E5060" s="61"/>
      <c r="F5060" s="64"/>
      <c r="G5060" s="64"/>
      <c r="H5060" s="69"/>
      <c r="I5060" s="385"/>
      <c r="J5060" s="395"/>
      <c r="K5060" s="385"/>
      <c r="L5060" s="392"/>
      <c r="M5060" s="62"/>
      <c r="N5060" s="63"/>
      <c r="O5060" s="63"/>
      <c r="P5060" s="79" t="str">
        <f>IF(AND('331-CT'!$E$7=TH!H5060,OR(N5060="331",O5060="331")),"x","")</f>
        <v/>
      </c>
      <c r="Q5060" s="79" t="str">
        <f>IF(AND(B5060='111'!$L$11,OR($N5060=$Q$7,$O5060=$Q$7)),"x","")</f>
        <v/>
      </c>
      <c r="R5060" s="79" t="str">
        <f>IF(AND($N5060=$Q$7,$B5060&lt;'111'!$L$11),"x","")</f>
        <v/>
      </c>
      <c r="S5060" s="79" t="str">
        <f>IF(AND($O5060=$Q$7,$B5060&lt;'111'!$L$11),"x","")</f>
        <v/>
      </c>
      <c r="T5060" s="79" t="str">
        <f>IF(ISERROR(FIND('112'!$M$9,G5060,1)),"",IF((AND(FIND('112'!$M$9,G5060,1)&gt;=1,B5060='112'!$K$9,OR($N5060='112'!$I$6,$O5060='112'!$I$6))),"x",""))</f>
        <v/>
      </c>
      <c r="U5060" s="79" t="str">
        <f>IF(ISERROR(FIND('112'!$M$9,G5060,1)),"",IF((AND(LEFT(G5060,2)=LEFT('112'!$M$9,2),B5060&lt;'112'!$K$9,$N5060='112'!$I$6)),"x",""))</f>
        <v/>
      </c>
      <c r="V5060" s="79" t="str">
        <f>IF(ISERROR(FIND('112'!$M$9,G5060,1)),"",IF((AND(RIGHT(G5060,2)=RIGHT('112'!$M$9,2),B5060&lt;'112'!$K$9,$O5060='112'!$I$6)),"x",""))</f>
        <v/>
      </c>
      <c r="W5060" s="79" t="str">
        <f>IF(AND('341-CT'!$H$9=H5060,OR(LEFT(N5060,3)=$W$7,LEFT(O5060,3)=$W$7)),"x","")</f>
        <v/>
      </c>
      <c r="X5060" s="79" t="str">
        <f>IF(OR(TH!N5060=TH!$X$7,O5060=TH!$X$7),"x","")</f>
        <v/>
      </c>
      <c r="Y5060" s="79" t="str">
        <f>IF(AND(OR(N5060="131",O5060="131"),H5060='131-CT'!$H$9),"x","")</f>
        <v/>
      </c>
      <c r="Z5060" s="79"/>
      <c r="AA5060" s="79" t="str">
        <f>IF(AND(MONTH(E5060)='IN-NX'!$J$5,'IN-NX'!$D$7=D5060),"x","")</f>
        <v/>
      </c>
      <c r="AB5060" s="79" t="str">
        <f>IF(AND(OR(LEFT(TH!N5060,2)="15",LEFT(TH!O5060,2)="15"),LEFT(TH!O5060,3)&lt;&gt;"111",'152-CT'!$J$8=TH!F5060),"x","")</f>
        <v/>
      </c>
      <c r="AC5060" s="79" t="str">
        <f>IF(AND(OR(LEFT(TH!N5060,2)="15",LEFT(TH!O5060,2)="15"),TK!$E$7=TH!F5060),"x","")</f>
        <v/>
      </c>
      <c r="AD5060" s="79" t="str">
        <f>IF(AND(N5060="1521",MONTH(C5060)='BK-NL'!$M$11),"x","")</f>
        <v/>
      </c>
    </row>
    <row r="5061" spans="1:30" ht="16.5" customHeight="1">
      <c r="A5061" s="318" t="str">
        <f>IF(B5061&lt;&gt;"",IF(AND(B5061='[3]IN-TC'!$S$4,OR([3]TH!N4283="1111",[3]TH!O4283="1111")),[3]TH!D4283,""),"")</f>
        <v/>
      </c>
      <c r="B5061" s="60" t="str">
        <f t="shared" si="500"/>
        <v/>
      </c>
      <c r="C5061" s="61"/>
      <c r="D5061" s="61"/>
      <c r="E5061" s="61"/>
      <c r="F5061" s="64"/>
      <c r="G5061" s="64"/>
      <c r="H5061" s="69"/>
      <c r="I5061" s="385"/>
      <c r="J5061" s="395"/>
      <c r="K5061" s="385"/>
      <c r="L5061" s="392"/>
      <c r="M5061" s="62"/>
      <c r="N5061" s="63"/>
      <c r="O5061" s="63"/>
      <c r="P5061" s="79" t="str">
        <f>IF(AND('331-CT'!$E$7=TH!H5061,OR(N5061="331",O5061="331")),"x","")</f>
        <v/>
      </c>
      <c r="Q5061" s="79" t="str">
        <f>IF(AND(B5061='111'!$L$11,OR($N5061=$Q$7,$O5061=$Q$7)),"x","")</f>
        <v/>
      </c>
      <c r="R5061" s="79" t="str">
        <f>IF(AND($N5061=$Q$7,$B5061&lt;'111'!$L$11),"x","")</f>
        <v/>
      </c>
      <c r="S5061" s="79" t="str">
        <f>IF(AND($O5061=$Q$7,$B5061&lt;'111'!$L$11),"x","")</f>
        <v/>
      </c>
      <c r="T5061" s="79" t="str">
        <f>IF(ISERROR(FIND('112'!$M$9,G5061,1)),"",IF((AND(FIND('112'!$M$9,G5061,1)&gt;=1,B5061='112'!$K$9,OR($N5061='112'!$I$6,$O5061='112'!$I$6))),"x",""))</f>
        <v/>
      </c>
      <c r="U5061" s="79" t="str">
        <f>IF(ISERROR(FIND('112'!$M$9,G5061,1)),"",IF((AND(LEFT(G5061,2)=LEFT('112'!$M$9,2),B5061&lt;'112'!$K$9,$N5061='112'!$I$6)),"x",""))</f>
        <v/>
      </c>
      <c r="V5061" s="79" t="str">
        <f>IF(ISERROR(FIND('112'!$M$9,G5061,1)),"",IF((AND(RIGHT(G5061,2)=RIGHT('112'!$M$9,2),B5061&lt;'112'!$K$9,$O5061='112'!$I$6)),"x",""))</f>
        <v/>
      </c>
      <c r="W5061" s="79" t="str">
        <f>IF(AND('341-CT'!$H$9=H5061,OR(LEFT(N5061,3)=$W$7,LEFT(O5061,3)=$W$7)),"x","")</f>
        <v/>
      </c>
      <c r="X5061" s="79" t="str">
        <f>IF(OR(TH!N5061=TH!$X$7,O5061=TH!$X$7),"x","")</f>
        <v/>
      </c>
      <c r="Y5061" s="79" t="str">
        <f>IF(AND(OR(N5061="131",O5061="131"),H5061='131-CT'!$H$9),"x","")</f>
        <v/>
      </c>
      <c r="Z5061" s="79"/>
      <c r="AA5061" s="79" t="str">
        <f>IF(AND(MONTH(E5061)='IN-NX'!$J$5,'IN-NX'!$D$7=D5061),"x","")</f>
        <v/>
      </c>
      <c r="AB5061" s="79" t="str">
        <f>IF(AND(OR(LEFT(TH!N5061,2)="15",LEFT(TH!O5061,2)="15"),LEFT(TH!O5061,3)&lt;&gt;"111",'152-CT'!$J$8=TH!F5061),"x","")</f>
        <v/>
      </c>
      <c r="AC5061" s="79" t="str">
        <f>IF(AND(OR(LEFT(TH!N5061,2)="15",LEFT(TH!O5061,2)="15"),TK!$E$7=TH!F5061),"x","")</f>
        <v/>
      </c>
      <c r="AD5061" s="79" t="str">
        <f>IF(AND(N5061="1521",MONTH(C5061)='BK-NL'!$M$11),"x","")</f>
        <v/>
      </c>
    </row>
    <row r="5062" spans="1:30" ht="16.5" customHeight="1">
      <c r="A5062" s="318" t="str">
        <f>IF(B5062&lt;&gt;"",IF(AND(B5062='[3]IN-TC'!$S$4,OR([3]TH!N4284="1111",[3]TH!O4284="1111")),[3]TH!D4284,""),"")</f>
        <v/>
      </c>
      <c r="B5062" s="60" t="str">
        <f t="shared" si="500"/>
        <v/>
      </c>
      <c r="C5062" s="61"/>
      <c r="D5062" s="61"/>
      <c r="E5062" s="61"/>
      <c r="F5062" s="64"/>
      <c r="G5062" s="64"/>
      <c r="H5062" s="69"/>
      <c r="I5062" s="385"/>
      <c r="J5062" s="395"/>
      <c r="K5062" s="385"/>
      <c r="L5062" s="392"/>
      <c r="M5062" s="62"/>
      <c r="N5062" s="63"/>
      <c r="O5062" s="63"/>
      <c r="P5062" s="79" t="str">
        <f>IF(AND('331-CT'!$E$7=TH!H5062,OR(N5062="331",O5062="331")),"x","")</f>
        <v/>
      </c>
      <c r="Q5062" s="79" t="str">
        <f>IF(AND(B5062='111'!$L$11,OR($N5062=$Q$7,$O5062=$Q$7)),"x","")</f>
        <v/>
      </c>
      <c r="R5062" s="79" t="str">
        <f>IF(AND($N5062=$Q$7,$B5062&lt;'111'!$L$11),"x","")</f>
        <v/>
      </c>
      <c r="S5062" s="79" t="str">
        <f>IF(AND($O5062=$Q$7,$B5062&lt;'111'!$L$11),"x","")</f>
        <v/>
      </c>
      <c r="T5062" s="79" t="str">
        <f>IF(ISERROR(FIND('112'!$M$9,G5062,1)),"",IF((AND(FIND('112'!$M$9,G5062,1)&gt;=1,B5062='112'!$K$9,OR($N5062='112'!$I$6,$O5062='112'!$I$6))),"x",""))</f>
        <v/>
      </c>
      <c r="U5062" s="79" t="str">
        <f>IF(ISERROR(FIND('112'!$M$9,G5062,1)),"",IF((AND(LEFT(G5062,2)=LEFT('112'!$M$9,2),B5062&lt;'112'!$K$9,$N5062='112'!$I$6)),"x",""))</f>
        <v/>
      </c>
      <c r="V5062" s="79" t="str">
        <f>IF(ISERROR(FIND('112'!$M$9,G5062,1)),"",IF((AND(RIGHT(G5062,2)=RIGHT('112'!$M$9,2),B5062&lt;'112'!$K$9,$O5062='112'!$I$6)),"x",""))</f>
        <v/>
      </c>
      <c r="W5062" s="79" t="str">
        <f>IF(AND('341-CT'!$H$9=H5062,OR(LEFT(N5062,3)=$W$7,LEFT(O5062,3)=$W$7)),"x","")</f>
        <v/>
      </c>
      <c r="X5062" s="79" t="str">
        <f>IF(OR(TH!N5062=TH!$X$7,O5062=TH!$X$7),"x","")</f>
        <v/>
      </c>
      <c r="Y5062" s="79" t="str">
        <f>IF(AND(OR(N5062="131",O5062="131"),H5062='131-CT'!$H$9),"x","")</f>
        <v/>
      </c>
      <c r="Z5062" s="79"/>
      <c r="AA5062" s="79" t="str">
        <f>IF(AND(MONTH(E5062)='IN-NX'!$J$5,'IN-NX'!$D$7=D5062),"x","")</f>
        <v/>
      </c>
      <c r="AB5062" s="79" t="str">
        <f>IF(AND(OR(LEFT(TH!N5062,2)="15",LEFT(TH!O5062,2)="15"),LEFT(TH!O5062,3)&lt;&gt;"111",'152-CT'!$J$8=TH!F5062),"x","")</f>
        <v/>
      </c>
      <c r="AC5062" s="79" t="str">
        <f>IF(AND(OR(LEFT(TH!N5062,2)="15",LEFT(TH!O5062,2)="15"),TK!$E$7=TH!F5062),"x","")</f>
        <v/>
      </c>
      <c r="AD5062" s="79" t="str">
        <f>IF(AND(N5062="1521",MONTH(C5062)='BK-NL'!$M$11),"x","")</f>
        <v/>
      </c>
    </row>
    <row r="5063" spans="1:30" ht="16.5" customHeight="1">
      <c r="A5063" s="318" t="str">
        <f>IF(B5063&lt;&gt;"",IF(AND(B5063='[3]IN-TC'!$S$4,OR([3]TH!N4285="1111",[3]TH!O4285="1111")),[3]TH!D4285,""),"")</f>
        <v/>
      </c>
      <c r="B5063" s="60" t="str">
        <f t="shared" si="500"/>
        <v/>
      </c>
      <c r="C5063" s="61"/>
      <c r="D5063" s="61"/>
      <c r="E5063" s="61"/>
      <c r="F5063" s="64"/>
      <c r="G5063" s="64"/>
      <c r="H5063" s="69"/>
      <c r="I5063" s="385"/>
      <c r="J5063" s="395"/>
      <c r="K5063" s="385"/>
      <c r="L5063" s="392"/>
      <c r="M5063" s="62"/>
      <c r="N5063" s="63"/>
      <c r="O5063" s="63"/>
      <c r="P5063" s="79" t="str">
        <f>IF(AND('331-CT'!$E$7=TH!H5063,OR(N5063="331",O5063="331")),"x","")</f>
        <v/>
      </c>
      <c r="Q5063" s="79" t="str">
        <f>IF(AND(B5063='111'!$L$11,OR($N5063=$Q$7,$O5063=$Q$7)),"x","")</f>
        <v/>
      </c>
      <c r="R5063" s="79" t="str">
        <f>IF(AND($N5063=$Q$7,$B5063&lt;'111'!$L$11),"x","")</f>
        <v/>
      </c>
      <c r="S5063" s="79" t="str">
        <f>IF(AND($O5063=$Q$7,$B5063&lt;'111'!$L$11),"x","")</f>
        <v/>
      </c>
      <c r="T5063" s="79" t="str">
        <f>IF(ISERROR(FIND('112'!$M$9,G5063,1)),"",IF((AND(FIND('112'!$M$9,G5063,1)&gt;=1,B5063='112'!$K$9,OR($N5063='112'!$I$6,$O5063='112'!$I$6))),"x",""))</f>
        <v/>
      </c>
      <c r="U5063" s="79" t="str">
        <f>IF(ISERROR(FIND('112'!$M$9,G5063,1)),"",IF((AND(LEFT(G5063,2)=LEFT('112'!$M$9,2),B5063&lt;'112'!$K$9,$N5063='112'!$I$6)),"x",""))</f>
        <v/>
      </c>
      <c r="V5063" s="79" t="str">
        <f>IF(ISERROR(FIND('112'!$M$9,G5063,1)),"",IF((AND(RIGHT(G5063,2)=RIGHT('112'!$M$9,2),B5063&lt;'112'!$K$9,$O5063='112'!$I$6)),"x",""))</f>
        <v/>
      </c>
      <c r="W5063" s="79" t="str">
        <f>IF(AND('341-CT'!$H$9=H5063,OR(LEFT(N5063,3)=$W$7,LEFT(O5063,3)=$W$7)),"x","")</f>
        <v/>
      </c>
      <c r="X5063" s="79" t="str">
        <f>IF(OR(TH!N5063=TH!$X$7,O5063=TH!$X$7),"x","")</f>
        <v/>
      </c>
      <c r="Y5063" s="79" t="str">
        <f>IF(AND(OR(N5063="131",O5063="131"),H5063='131-CT'!$H$9),"x","")</f>
        <v/>
      </c>
      <c r="Z5063" s="79"/>
      <c r="AA5063" s="79" t="str">
        <f>IF(AND(MONTH(E5063)='IN-NX'!$J$5,'IN-NX'!$D$7=D5063),"x","")</f>
        <v/>
      </c>
      <c r="AB5063" s="79" t="str">
        <f>IF(AND(OR(LEFT(TH!N5063,2)="15",LEFT(TH!O5063,2)="15"),LEFT(TH!O5063,3)&lt;&gt;"111",'152-CT'!$J$8=TH!F5063),"x","")</f>
        <v/>
      </c>
      <c r="AC5063" s="79" t="str">
        <f>IF(AND(OR(LEFT(TH!N5063,2)="15",LEFT(TH!O5063,2)="15"),TK!$E$7=TH!F5063),"x","")</f>
        <v/>
      </c>
      <c r="AD5063" s="79" t="str">
        <f>IF(AND(N5063="1521",MONTH(C5063)='BK-NL'!$M$11),"x","")</f>
        <v/>
      </c>
    </row>
    <row r="5064" spans="1:30" ht="16.5" customHeight="1">
      <c r="A5064" s="318" t="str">
        <f>IF(B5064&lt;&gt;"",IF(AND(B5064='[3]IN-TC'!$S$4,OR([3]TH!N4286="1111",[3]TH!O4286="1111")),[3]TH!D4286,""),"")</f>
        <v/>
      </c>
      <c r="B5064" s="60" t="str">
        <f t="shared" si="500"/>
        <v/>
      </c>
      <c r="C5064" s="61"/>
      <c r="D5064" s="61"/>
      <c r="E5064" s="61"/>
      <c r="F5064" s="64"/>
      <c r="G5064" s="64"/>
      <c r="H5064" s="69"/>
      <c r="I5064" s="385"/>
      <c r="J5064" s="395"/>
      <c r="K5064" s="385"/>
      <c r="L5064" s="392"/>
      <c r="M5064" s="62"/>
      <c r="N5064" s="63"/>
      <c r="O5064" s="63"/>
      <c r="P5064" s="79" t="str">
        <f>IF(AND('331-CT'!$E$7=TH!H5064,OR(N5064="331",O5064="331")),"x","")</f>
        <v/>
      </c>
      <c r="Q5064" s="79" t="str">
        <f>IF(AND(B5064='111'!$L$11,OR($N5064=$Q$7,$O5064=$Q$7)),"x","")</f>
        <v/>
      </c>
      <c r="R5064" s="79" t="str">
        <f>IF(AND($N5064=$Q$7,$B5064&lt;'111'!$L$11),"x","")</f>
        <v/>
      </c>
      <c r="S5064" s="79" t="str">
        <f>IF(AND($O5064=$Q$7,$B5064&lt;'111'!$L$11),"x","")</f>
        <v/>
      </c>
      <c r="T5064" s="79" t="str">
        <f>IF(ISERROR(FIND('112'!$M$9,G5064,1)),"",IF((AND(FIND('112'!$M$9,G5064,1)&gt;=1,B5064='112'!$K$9,OR($N5064='112'!$I$6,$O5064='112'!$I$6))),"x",""))</f>
        <v/>
      </c>
      <c r="U5064" s="79" t="str">
        <f>IF(ISERROR(FIND('112'!$M$9,G5064,1)),"",IF((AND(LEFT(G5064,2)=LEFT('112'!$M$9,2),B5064&lt;'112'!$K$9,$N5064='112'!$I$6)),"x",""))</f>
        <v/>
      </c>
      <c r="V5064" s="79" t="str">
        <f>IF(ISERROR(FIND('112'!$M$9,G5064,1)),"",IF((AND(RIGHT(G5064,2)=RIGHT('112'!$M$9,2),B5064&lt;'112'!$K$9,$O5064='112'!$I$6)),"x",""))</f>
        <v/>
      </c>
      <c r="W5064" s="79" t="str">
        <f>IF(AND('341-CT'!$H$9=H5064,OR(LEFT(N5064,3)=$W$7,LEFT(O5064,3)=$W$7)),"x","")</f>
        <v/>
      </c>
      <c r="X5064" s="79" t="str">
        <f>IF(OR(TH!N5064=TH!$X$7,O5064=TH!$X$7),"x","")</f>
        <v/>
      </c>
      <c r="Y5064" s="79" t="str">
        <f>IF(AND(OR(N5064="131",O5064="131"),H5064='131-CT'!$H$9),"x","")</f>
        <v/>
      </c>
      <c r="Z5064" s="79"/>
      <c r="AA5064" s="79" t="str">
        <f>IF(AND(MONTH(E5064)='IN-NX'!$J$5,'IN-NX'!$D$7=D5064),"x","")</f>
        <v/>
      </c>
      <c r="AB5064" s="79" t="str">
        <f>IF(AND(OR(LEFT(TH!N5064,2)="15",LEFT(TH!O5064,2)="15"),LEFT(TH!O5064,3)&lt;&gt;"111",'152-CT'!$J$8=TH!F5064),"x","")</f>
        <v/>
      </c>
      <c r="AC5064" s="79" t="str">
        <f>IF(AND(OR(LEFT(TH!N5064,2)="15",LEFT(TH!O5064,2)="15"),TK!$E$7=TH!F5064),"x","")</f>
        <v/>
      </c>
      <c r="AD5064" s="79" t="str">
        <f>IF(AND(N5064="1521",MONTH(C5064)='BK-NL'!$M$11),"x","")</f>
        <v/>
      </c>
    </row>
    <row r="5065" spans="1:30" ht="16.5" customHeight="1">
      <c r="A5065" s="318" t="str">
        <f>IF(B5065&lt;&gt;"",IF(AND(B5065='[3]IN-TC'!$S$4,OR([3]TH!N4287="1111",[3]TH!O4287="1111")),[3]TH!D4287,""),"")</f>
        <v/>
      </c>
      <c r="B5065" s="60" t="str">
        <f t="shared" si="500"/>
        <v/>
      </c>
      <c r="C5065" s="61"/>
      <c r="D5065" s="61"/>
      <c r="E5065" s="61"/>
      <c r="F5065" s="64"/>
      <c r="G5065" s="64"/>
      <c r="H5065" s="69"/>
      <c r="I5065" s="385"/>
      <c r="J5065" s="395"/>
      <c r="K5065" s="385"/>
      <c r="L5065" s="392"/>
      <c r="M5065" s="62"/>
      <c r="N5065" s="63"/>
      <c r="O5065" s="63"/>
      <c r="P5065" s="79" t="str">
        <f>IF(AND('331-CT'!$E$7=TH!H5065,OR(N5065="331",O5065="331")),"x","")</f>
        <v/>
      </c>
      <c r="Q5065" s="79" t="str">
        <f>IF(AND(B5065='111'!$L$11,OR($N5065=$Q$7,$O5065=$Q$7)),"x","")</f>
        <v/>
      </c>
      <c r="R5065" s="79" t="str">
        <f>IF(AND($N5065=$Q$7,$B5065&lt;'111'!$L$11),"x","")</f>
        <v/>
      </c>
      <c r="S5065" s="79" t="str">
        <f>IF(AND($O5065=$Q$7,$B5065&lt;'111'!$L$11),"x","")</f>
        <v/>
      </c>
      <c r="T5065" s="79" t="str">
        <f>IF(ISERROR(FIND('112'!$M$9,G5065,1)),"",IF((AND(FIND('112'!$M$9,G5065,1)&gt;=1,B5065='112'!$K$9,OR($N5065='112'!$I$6,$O5065='112'!$I$6))),"x",""))</f>
        <v/>
      </c>
      <c r="U5065" s="79" t="str">
        <f>IF(ISERROR(FIND('112'!$M$9,G5065,1)),"",IF((AND(LEFT(G5065,2)=LEFT('112'!$M$9,2),B5065&lt;'112'!$K$9,$N5065='112'!$I$6)),"x",""))</f>
        <v/>
      </c>
      <c r="V5065" s="79" t="str">
        <f>IF(ISERROR(FIND('112'!$M$9,G5065,1)),"",IF((AND(RIGHT(G5065,2)=RIGHT('112'!$M$9,2),B5065&lt;'112'!$K$9,$O5065='112'!$I$6)),"x",""))</f>
        <v/>
      </c>
      <c r="W5065" s="79" t="str">
        <f>IF(AND('341-CT'!$H$9=H5065,OR(LEFT(N5065,3)=$W$7,LEFT(O5065,3)=$W$7)),"x","")</f>
        <v/>
      </c>
      <c r="X5065" s="79" t="str">
        <f>IF(OR(TH!N5065=TH!$X$7,O5065=TH!$X$7),"x","")</f>
        <v/>
      </c>
      <c r="Y5065" s="79" t="str">
        <f>IF(AND(OR(N5065="131",O5065="131"),H5065='131-CT'!$H$9),"x","")</f>
        <v/>
      </c>
      <c r="Z5065" s="79"/>
      <c r="AA5065" s="79" t="str">
        <f>IF(AND(MONTH(E5065)='IN-NX'!$J$5,'IN-NX'!$D$7=D5065),"x","")</f>
        <v/>
      </c>
      <c r="AB5065" s="79" t="str">
        <f>IF(AND(OR(LEFT(TH!N5065,2)="15",LEFT(TH!O5065,2)="15"),LEFT(TH!O5065,3)&lt;&gt;"111",'152-CT'!$J$8=TH!F5065),"x","")</f>
        <v/>
      </c>
      <c r="AC5065" s="79" t="str">
        <f>IF(AND(OR(LEFT(TH!N5065,2)="15",LEFT(TH!O5065,2)="15"),TK!$E$7=TH!F5065),"x","")</f>
        <v/>
      </c>
      <c r="AD5065" s="79" t="str">
        <f>IF(AND(N5065="1521",MONTH(C5065)='BK-NL'!$M$11),"x","")</f>
        <v/>
      </c>
    </row>
    <row r="5066" spans="1:30" ht="16.5" customHeight="1">
      <c r="A5066" s="318" t="str">
        <f>IF(B5066&lt;&gt;"",IF(AND(B5066='[3]IN-TC'!$S$4,OR([3]TH!N4288="1111",[3]TH!O4288="1111")),[3]TH!D4288,""),"")</f>
        <v/>
      </c>
      <c r="B5066" s="60" t="str">
        <f t="shared" si="500"/>
        <v/>
      </c>
      <c r="C5066" s="61"/>
      <c r="D5066" s="61"/>
      <c r="E5066" s="61"/>
      <c r="F5066" s="64"/>
      <c r="G5066" s="64"/>
      <c r="H5066" s="69"/>
      <c r="I5066" s="385"/>
      <c r="J5066" s="395"/>
      <c r="K5066" s="385"/>
      <c r="L5066" s="392"/>
      <c r="M5066" s="62"/>
      <c r="N5066" s="63"/>
      <c r="O5066" s="63"/>
      <c r="P5066" s="79" t="str">
        <f>IF(AND('331-CT'!$E$7=TH!H5066,OR(N5066="331",O5066="331")),"x","")</f>
        <v/>
      </c>
      <c r="Q5066" s="79" t="str">
        <f>IF(AND(B5066='111'!$L$11,OR($N5066=$Q$7,$O5066=$Q$7)),"x","")</f>
        <v/>
      </c>
      <c r="R5066" s="79" t="str">
        <f>IF(AND($N5066=$Q$7,$B5066&lt;'111'!$L$11),"x","")</f>
        <v/>
      </c>
      <c r="S5066" s="79" t="str">
        <f>IF(AND($O5066=$Q$7,$B5066&lt;'111'!$L$11),"x","")</f>
        <v/>
      </c>
      <c r="T5066" s="79" t="str">
        <f>IF(ISERROR(FIND('112'!$M$9,G5066,1)),"",IF((AND(FIND('112'!$M$9,G5066,1)&gt;=1,B5066='112'!$K$9,OR($N5066='112'!$I$6,$O5066='112'!$I$6))),"x",""))</f>
        <v/>
      </c>
      <c r="U5066" s="79" t="str">
        <f>IF(ISERROR(FIND('112'!$M$9,G5066,1)),"",IF((AND(LEFT(G5066,2)=LEFT('112'!$M$9,2),B5066&lt;'112'!$K$9,$N5066='112'!$I$6)),"x",""))</f>
        <v/>
      </c>
      <c r="V5066" s="79" t="str">
        <f>IF(ISERROR(FIND('112'!$M$9,G5066,1)),"",IF((AND(RIGHT(G5066,2)=RIGHT('112'!$M$9,2),B5066&lt;'112'!$K$9,$O5066='112'!$I$6)),"x",""))</f>
        <v/>
      </c>
      <c r="W5066" s="79" t="str">
        <f>IF(AND('341-CT'!$H$9=H5066,OR(LEFT(N5066,3)=$W$7,LEFT(O5066,3)=$W$7)),"x","")</f>
        <v/>
      </c>
      <c r="X5066" s="79" t="str">
        <f>IF(OR(TH!N5066=TH!$X$7,O5066=TH!$X$7),"x","")</f>
        <v/>
      </c>
      <c r="Y5066" s="79" t="str">
        <f>IF(AND(OR(N5066="131",O5066="131"),H5066='131-CT'!$H$9),"x","")</f>
        <v/>
      </c>
      <c r="Z5066" s="79"/>
      <c r="AA5066" s="79" t="str">
        <f>IF(AND(MONTH(E5066)='IN-NX'!$J$5,'IN-NX'!$D$7=D5066),"x","")</f>
        <v/>
      </c>
      <c r="AB5066" s="79" t="str">
        <f>IF(AND(OR(LEFT(TH!N5066,2)="15",LEFT(TH!O5066,2)="15"),LEFT(TH!O5066,3)&lt;&gt;"111",'152-CT'!$J$8=TH!F5066),"x","")</f>
        <v/>
      </c>
      <c r="AC5066" s="79" t="str">
        <f>IF(AND(OR(LEFT(TH!N5066,2)="15",LEFT(TH!O5066,2)="15"),TK!$E$7=TH!F5066),"x","")</f>
        <v/>
      </c>
      <c r="AD5066" s="79" t="str">
        <f>IF(AND(N5066="1521",MONTH(C5066)='BK-NL'!$M$11),"x","")</f>
        <v/>
      </c>
    </row>
    <row r="5067" spans="1:30" ht="16.5" customHeight="1">
      <c r="A5067" s="318" t="str">
        <f>IF(B5067&lt;&gt;"",IF(AND(B5067='[3]IN-TC'!$S$4,OR([3]TH!N4289="1111",[3]TH!O4289="1111")),[3]TH!D4289,""),"")</f>
        <v/>
      </c>
      <c r="B5067" s="60" t="str">
        <f t="shared" si="500"/>
        <v/>
      </c>
      <c r="C5067" s="61"/>
      <c r="D5067" s="61"/>
      <c r="E5067" s="61"/>
      <c r="F5067" s="64"/>
      <c r="G5067" s="64"/>
      <c r="H5067" s="69"/>
      <c r="I5067" s="387"/>
      <c r="J5067" s="395"/>
      <c r="K5067" s="387"/>
      <c r="L5067" s="394"/>
      <c r="M5067" s="62"/>
      <c r="N5067" s="63"/>
      <c r="O5067" s="63"/>
      <c r="P5067" s="79" t="str">
        <f>IF(AND('331-CT'!$E$7=TH!H5067,OR(N5067="331",O5067="331")),"x","")</f>
        <v/>
      </c>
      <c r="Q5067" s="79" t="str">
        <f>IF(AND(B5067='111'!$L$11,OR($N5067=$Q$7,$O5067=$Q$7)),"x","")</f>
        <v/>
      </c>
      <c r="R5067" s="79" t="str">
        <f>IF(AND($N5067=$Q$7,$B5067&lt;'111'!$L$11),"x","")</f>
        <v/>
      </c>
      <c r="S5067" s="79" t="str">
        <f>IF(AND($O5067=$Q$7,$B5067&lt;'111'!$L$11),"x","")</f>
        <v/>
      </c>
      <c r="T5067" s="79" t="str">
        <f>IF(ISERROR(FIND('112'!$M$9,G5067,1)),"",IF((AND(FIND('112'!$M$9,G5067,1)&gt;=1,B5067='112'!$K$9,OR($N5067='112'!$I$6,$O5067='112'!$I$6))),"x",""))</f>
        <v/>
      </c>
      <c r="U5067" s="79" t="str">
        <f>IF(ISERROR(FIND('112'!$M$9,G5067,1)),"",IF((AND(LEFT(G5067,2)=LEFT('112'!$M$9,2),B5067&lt;'112'!$K$9,$N5067='112'!$I$6)),"x",""))</f>
        <v/>
      </c>
      <c r="V5067" s="79" t="str">
        <f>IF(ISERROR(FIND('112'!$M$9,G5067,1)),"",IF((AND(RIGHT(G5067,2)=RIGHT('112'!$M$9,2),B5067&lt;'112'!$K$9,$O5067='112'!$I$6)),"x",""))</f>
        <v/>
      </c>
      <c r="W5067" s="79" t="str">
        <f>IF(AND('341-CT'!$H$9=H5067,OR(LEFT(N5067,3)=$W$7,LEFT(O5067,3)=$W$7)),"x","")</f>
        <v/>
      </c>
      <c r="X5067" s="79" t="str">
        <f>IF(OR(TH!N5067=TH!$X$7,O5067=TH!$X$7),"x","")</f>
        <v/>
      </c>
      <c r="Y5067" s="79" t="str">
        <f>IF(AND(OR(N5067="131",O5067="131"),H5067='131-CT'!$H$9),"x","")</f>
        <v/>
      </c>
      <c r="Z5067" s="79"/>
      <c r="AA5067" s="79" t="str">
        <f>IF(AND(MONTH(E5067)='IN-NX'!$J$5,'IN-NX'!$D$7=D5067),"x","")</f>
        <v/>
      </c>
      <c r="AB5067" s="79" t="str">
        <f>IF(AND(OR(LEFT(TH!N5067,2)="15",LEFT(TH!O5067,2)="15"),LEFT(TH!O5067,3)&lt;&gt;"111",'152-CT'!$J$8=TH!F5067),"x","")</f>
        <v/>
      </c>
      <c r="AC5067" s="79" t="str">
        <f>IF(AND(OR(LEFT(TH!N5067,2)="15",LEFT(TH!O5067,2)="15"),TK!$E$7=TH!F5067),"x","")</f>
        <v/>
      </c>
      <c r="AD5067" s="79" t="str">
        <f>IF(AND(N5067="1521",MONTH(C5067)='BK-NL'!$M$11),"x","")</f>
        <v/>
      </c>
    </row>
    <row r="5068" spans="1:30" ht="16.5" customHeight="1">
      <c r="A5068" s="318" t="str">
        <f>IF(B5068&lt;&gt;"",IF(AND(B5068='[3]IN-TC'!$S$4,OR([3]TH!N4290="1111",[3]TH!O4290="1111")),[3]TH!D4290,""),"")</f>
        <v/>
      </c>
      <c r="B5068" s="60" t="str">
        <f t="shared" si="500"/>
        <v/>
      </c>
      <c r="C5068" s="61"/>
      <c r="D5068" s="61"/>
      <c r="E5068" s="61"/>
      <c r="F5068" s="64"/>
      <c r="G5068" s="64"/>
      <c r="H5068" s="69"/>
      <c r="I5068" s="387"/>
      <c r="J5068" s="395"/>
      <c r="K5068" s="387"/>
      <c r="L5068" s="394"/>
      <c r="M5068" s="62"/>
      <c r="N5068" s="63"/>
      <c r="O5068" s="63"/>
      <c r="P5068" s="79" t="str">
        <f>IF(AND('331-CT'!$E$7=TH!H5068,OR(N5068="331",O5068="331")),"x","")</f>
        <v/>
      </c>
      <c r="Q5068" s="79" t="str">
        <f>IF(AND(B5068='111'!$L$11,OR($N5068=$Q$7,$O5068=$Q$7)),"x","")</f>
        <v/>
      </c>
      <c r="R5068" s="79" t="str">
        <f>IF(AND($N5068=$Q$7,$B5068&lt;'111'!$L$11),"x","")</f>
        <v/>
      </c>
      <c r="S5068" s="79" t="str">
        <f>IF(AND($O5068=$Q$7,$B5068&lt;'111'!$L$11),"x","")</f>
        <v/>
      </c>
      <c r="T5068" s="79" t="str">
        <f>IF(ISERROR(FIND('112'!$M$9,G5068,1)),"",IF((AND(FIND('112'!$M$9,G5068,1)&gt;=1,B5068='112'!$K$9,OR($N5068='112'!$I$6,$O5068='112'!$I$6))),"x",""))</f>
        <v/>
      </c>
      <c r="U5068" s="79" t="str">
        <f>IF(ISERROR(FIND('112'!$M$9,G5068,1)),"",IF((AND(LEFT(G5068,2)=LEFT('112'!$M$9,2),B5068&lt;'112'!$K$9,$N5068='112'!$I$6)),"x",""))</f>
        <v/>
      </c>
      <c r="V5068" s="79" t="str">
        <f>IF(ISERROR(FIND('112'!$M$9,G5068,1)),"",IF((AND(RIGHT(G5068,2)=RIGHT('112'!$M$9,2),B5068&lt;'112'!$K$9,$O5068='112'!$I$6)),"x",""))</f>
        <v/>
      </c>
      <c r="W5068" s="79" t="str">
        <f>IF(AND('341-CT'!$H$9=H5068,OR(LEFT(N5068,3)=$W$7,LEFT(O5068,3)=$W$7)),"x","")</f>
        <v/>
      </c>
      <c r="X5068" s="79" t="str">
        <f>IF(OR(TH!N5068=TH!$X$7,O5068=TH!$X$7),"x","")</f>
        <v/>
      </c>
      <c r="Y5068" s="79" t="str">
        <f>IF(AND(OR(N5068="131",O5068="131"),H5068='131-CT'!$H$9),"x","")</f>
        <v/>
      </c>
      <c r="Z5068" s="79"/>
      <c r="AA5068" s="79" t="str">
        <f>IF(AND(MONTH(E5068)='IN-NX'!$J$5,'IN-NX'!$D$7=D5068),"x","")</f>
        <v/>
      </c>
      <c r="AB5068" s="79" t="str">
        <f>IF(AND(OR(LEFT(TH!N5068,2)="15",LEFT(TH!O5068,2)="15"),LEFT(TH!O5068,3)&lt;&gt;"111",'152-CT'!$J$8=TH!F5068),"x","")</f>
        <v/>
      </c>
      <c r="AC5068" s="79" t="str">
        <f>IF(AND(OR(LEFT(TH!N5068,2)="15",LEFT(TH!O5068,2)="15"),TK!$E$7=TH!F5068),"x","")</f>
        <v/>
      </c>
      <c r="AD5068" s="79" t="str">
        <f>IF(AND(N5068="1521",MONTH(C5068)='BK-NL'!$M$11),"x","")</f>
        <v/>
      </c>
    </row>
    <row r="5069" spans="1:30" ht="16.5" customHeight="1">
      <c r="A5069" s="318" t="str">
        <f>IF(B5069&lt;&gt;"",IF(AND(B5069='[3]IN-TC'!$S$4,OR([3]TH!N4291="1111",[3]TH!O4291="1111")),[3]TH!D4291,""),"")</f>
        <v/>
      </c>
      <c r="B5069" s="60" t="str">
        <f t="shared" si="500"/>
        <v/>
      </c>
      <c r="C5069" s="61"/>
      <c r="D5069" s="61"/>
      <c r="E5069" s="61"/>
      <c r="F5069" s="64"/>
      <c r="G5069" s="64"/>
      <c r="H5069" s="69"/>
      <c r="I5069" s="387"/>
      <c r="J5069" s="395"/>
      <c r="K5069" s="387"/>
      <c r="L5069" s="394"/>
      <c r="M5069" s="62"/>
      <c r="N5069" s="63"/>
      <c r="O5069" s="63"/>
      <c r="P5069" s="79" t="str">
        <f>IF(AND('331-CT'!$E$7=TH!H5069,OR(N5069="331",O5069="331")),"x","")</f>
        <v/>
      </c>
      <c r="Q5069" s="79" t="str">
        <f>IF(AND(B5069='111'!$L$11,OR($N5069=$Q$7,$O5069=$Q$7)),"x","")</f>
        <v/>
      </c>
      <c r="R5069" s="79" t="str">
        <f>IF(AND($N5069=$Q$7,$B5069&lt;'111'!$L$11),"x","")</f>
        <v/>
      </c>
      <c r="S5069" s="79" t="str">
        <f>IF(AND($O5069=$Q$7,$B5069&lt;'111'!$L$11),"x","")</f>
        <v/>
      </c>
      <c r="T5069" s="79" t="str">
        <f>IF(ISERROR(FIND('112'!$M$9,G5069,1)),"",IF((AND(FIND('112'!$M$9,G5069,1)&gt;=1,B5069='112'!$K$9,OR($N5069='112'!$I$6,$O5069='112'!$I$6))),"x",""))</f>
        <v/>
      </c>
      <c r="U5069" s="79" t="str">
        <f>IF(ISERROR(FIND('112'!$M$9,G5069,1)),"",IF((AND(LEFT(G5069,2)=LEFT('112'!$M$9,2),B5069&lt;'112'!$K$9,$N5069='112'!$I$6)),"x",""))</f>
        <v/>
      </c>
      <c r="V5069" s="79" t="str">
        <f>IF(ISERROR(FIND('112'!$M$9,G5069,1)),"",IF((AND(RIGHT(G5069,2)=RIGHT('112'!$M$9,2),B5069&lt;'112'!$K$9,$O5069='112'!$I$6)),"x",""))</f>
        <v/>
      </c>
      <c r="W5069" s="79" t="str">
        <f>IF(AND('341-CT'!$H$9=H5069,OR(LEFT(N5069,3)=$W$7,LEFT(O5069,3)=$W$7)),"x","")</f>
        <v/>
      </c>
      <c r="X5069" s="79" t="str">
        <f>IF(OR(TH!N5069=TH!$X$7,O5069=TH!$X$7),"x","")</f>
        <v/>
      </c>
      <c r="Y5069" s="79" t="str">
        <f>IF(AND(OR(N5069="131",O5069="131"),H5069='131-CT'!$H$9),"x","")</f>
        <v/>
      </c>
      <c r="Z5069" s="79"/>
      <c r="AA5069" s="79" t="str">
        <f>IF(AND(MONTH(E5069)='IN-NX'!$J$5,'IN-NX'!$D$7=D5069),"x","")</f>
        <v/>
      </c>
      <c r="AB5069" s="79" t="str">
        <f>IF(AND(OR(LEFT(TH!N5069,2)="15",LEFT(TH!O5069,2)="15"),LEFT(TH!O5069,3)&lt;&gt;"111",'152-CT'!$J$8=TH!F5069),"x","")</f>
        <v/>
      </c>
      <c r="AC5069" s="79" t="str">
        <f>IF(AND(OR(LEFT(TH!N5069,2)="15",LEFT(TH!O5069,2)="15"),TK!$E$7=TH!F5069),"x","")</f>
        <v/>
      </c>
      <c r="AD5069" s="79" t="str">
        <f>IF(AND(N5069="1521",MONTH(C5069)='BK-NL'!$M$11),"x","")</f>
        <v/>
      </c>
    </row>
    <row r="5070" spans="1:30" ht="16.5" customHeight="1">
      <c r="A5070" s="318" t="str">
        <f>IF(B5070&lt;&gt;"",IF(AND(B5070='[3]IN-TC'!$S$4,OR([3]TH!N4292="1111",[3]TH!O4292="1111")),[3]TH!D4292,""),"")</f>
        <v/>
      </c>
      <c r="B5070" s="60" t="str">
        <f t="shared" si="500"/>
        <v/>
      </c>
      <c r="C5070" s="61"/>
      <c r="D5070" s="61"/>
      <c r="E5070" s="61"/>
      <c r="F5070" s="64"/>
      <c r="G5070" s="64"/>
      <c r="H5070" s="69"/>
      <c r="I5070" s="387"/>
      <c r="J5070" s="395"/>
      <c r="K5070" s="387"/>
      <c r="L5070" s="394"/>
      <c r="M5070" s="62"/>
      <c r="N5070" s="63"/>
      <c r="O5070" s="63"/>
      <c r="P5070" s="79" t="str">
        <f>IF(AND('331-CT'!$E$7=TH!H5070,OR(N5070="331",O5070="331")),"x","")</f>
        <v/>
      </c>
      <c r="Q5070" s="79" t="str">
        <f>IF(AND(B5070='111'!$L$11,OR($N5070=$Q$7,$O5070=$Q$7)),"x","")</f>
        <v/>
      </c>
      <c r="R5070" s="79" t="str">
        <f>IF(AND($N5070=$Q$7,$B5070&lt;'111'!$L$11),"x","")</f>
        <v/>
      </c>
      <c r="S5070" s="79" t="str">
        <f>IF(AND($O5070=$Q$7,$B5070&lt;'111'!$L$11),"x","")</f>
        <v/>
      </c>
      <c r="T5070" s="79" t="str">
        <f>IF(ISERROR(FIND('112'!$M$9,G5070,1)),"",IF((AND(FIND('112'!$M$9,G5070,1)&gt;=1,B5070='112'!$K$9,OR($N5070='112'!$I$6,$O5070='112'!$I$6))),"x",""))</f>
        <v/>
      </c>
      <c r="U5070" s="79" t="str">
        <f>IF(ISERROR(FIND('112'!$M$9,G5070,1)),"",IF((AND(LEFT(G5070,2)=LEFT('112'!$M$9,2),B5070&lt;'112'!$K$9,$N5070='112'!$I$6)),"x",""))</f>
        <v/>
      </c>
      <c r="V5070" s="79" t="str">
        <f>IF(ISERROR(FIND('112'!$M$9,G5070,1)),"",IF((AND(RIGHT(G5070,2)=RIGHT('112'!$M$9,2),B5070&lt;'112'!$K$9,$O5070='112'!$I$6)),"x",""))</f>
        <v/>
      </c>
      <c r="W5070" s="79" t="str">
        <f>IF(AND('341-CT'!$H$9=H5070,OR(LEFT(N5070,3)=$W$7,LEFT(O5070,3)=$W$7)),"x","")</f>
        <v/>
      </c>
      <c r="X5070" s="79" t="str">
        <f>IF(OR(TH!N5070=TH!$X$7,O5070=TH!$X$7),"x","")</f>
        <v/>
      </c>
      <c r="Y5070" s="79" t="str">
        <f>IF(AND(OR(N5070="131",O5070="131"),H5070='131-CT'!$H$9),"x","")</f>
        <v/>
      </c>
      <c r="Z5070" s="79"/>
      <c r="AA5070" s="79" t="str">
        <f>IF(AND(MONTH(E5070)='IN-NX'!$J$5,'IN-NX'!$D$7=D5070),"x","")</f>
        <v/>
      </c>
      <c r="AB5070" s="79" t="str">
        <f>IF(AND(OR(LEFT(TH!N5070,2)="15",LEFT(TH!O5070,2)="15"),LEFT(TH!O5070,3)&lt;&gt;"111",'152-CT'!$J$8=TH!F5070),"x","")</f>
        <v/>
      </c>
      <c r="AC5070" s="79" t="str">
        <f>IF(AND(OR(LEFT(TH!N5070,2)="15",LEFT(TH!O5070,2)="15"),TK!$E$7=TH!F5070),"x","")</f>
        <v/>
      </c>
      <c r="AD5070" s="79" t="str">
        <f>IF(AND(N5070="1521",MONTH(C5070)='BK-NL'!$M$11),"x","")</f>
        <v/>
      </c>
    </row>
    <row r="5071" spans="1:30" ht="16.5" customHeight="1">
      <c r="A5071" s="318" t="str">
        <f>IF(B5071&lt;&gt;"",IF(AND(B5071='[3]IN-TC'!$S$4,OR([3]TH!N4293="1111",[3]TH!O4293="1111")),[3]TH!D4293,""),"")</f>
        <v/>
      </c>
      <c r="B5071" s="60" t="str">
        <f t="shared" si="500"/>
        <v/>
      </c>
      <c r="C5071" s="301"/>
      <c r="D5071" s="301"/>
      <c r="E5071" s="61"/>
      <c r="F5071" s="303"/>
      <c r="G5071" s="302"/>
      <c r="H5071" s="303"/>
      <c r="I5071" s="385"/>
      <c r="J5071" s="395"/>
      <c r="K5071" s="387"/>
      <c r="L5071" s="394"/>
      <c r="M5071" s="62"/>
      <c r="N5071" s="63"/>
      <c r="O5071" s="63"/>
      <c r="P5071" s="79" t="str">
        <f>IF(AND('331-CT'!$E$7=TH!H5071,OR(N5071="331",O5071="331")),"x","")</f>
        <v/>
      </c>
      <c r="Q5071" s="79" t="str">
        <f>IF(AND(B5071='111'!$L$11,OR($N5071=$Q$7,$O5071=$Q$7)),"x","")</f>
        <v/>
      </c>
      <c r="R5071" s="79" t="str">
        <f>IF(AND($N5071=$Q$7,$B5071&lt;'111'!$L$11),"x","")</f>
        <v/>
      </c>
      <c r="S5071" s="79" t="str">
        <f>IF(AND($O5071=$Q$7,$B5071&lt;'111'!$L$11),"x","")</f>
        <v/>
      </c>
      <c r="T5071" s="79" t="str">
        <f>IF(ISERROR(FIND('112'!$M$9,G5071,1)),"",IF((AND(FIND('112'!$M$9,G5071,1)&gt;=1,B5071='112'!$K$9,OR($N5071='112'!$I$6,$O5071='112'!$I$6))),"x",""))</f>
        <v/>
      </c>
      <c r="U5071" s="79" t="str">
        <f>IF(ISERROR(FIND('112'!$M$9,G5071,1)),"",IF((AND(LEFT(G5071,2)=LEFT('112'!$M$9,2),B5071&lt;'112'!$K$9,$N5071='112'!$I$6)),"x",""))</f>
        <v/>
      </c>
      <c r="V5071" s="79" t="str">
        <f>IF(ISERROR(FIND('112'!$M$9,G5071,1)),"",IF((AND(RIGHT(G5071,2)=RIGHT('112'!$M$9,2),B5071&lt;'112'!$K$9,$O5071='112'!$I$6)),"x",""))</f>
        <v/>
      </c>
      <c r="W5071" s="79" t="str">
        <f>IF(AND('341-CT'!$H$9=H5071,OR(LEFT(N5071,3)=$W$7,LEFT(O5071,3)=$W$7)),"x","")</f>
        <v/>
      </c>
      <c r="X5071" s="79" t="str">
        <f>IF(OR(TH!N5071=TH!$X$7,O5071=TH!$X$7),"x","")</f>
        <v/>
      </c>
      <c r="Y5071" s="79" t="str">
        <f>IF(AND(OR(N5071="131",O5071="131"),H5071='131-CT'!$H$9),"x","")</f>
        <v/>
      </c>
      <c r="Z5071" s="79"/>
      <c r="AA5071" s="79" t="str">
        <f>IF(AND(MONTH(E5071)='IN-NX'!$J$5,'IN-NX'!$D$7=D5071),"x","")</f>
        <v/>
      </c>
      <c r="AB5071" s="79" t="str">
        <f>IF(AND(OR(LEFT(TH!N5071,2)="15",LEFT(TH!O5071,2)="15"),LEFT(TH!O5071,3)&lt;&gt;"111",'152-CT'!$J$8=TH!F5071),"x","")</f>
        <v/>
      </c>
      <c r="AC5071" s="79" t="str">
        <f>IF(AND(OR(LEFT(TH!N5071,2)="15",LEFT(TH!O5071,2)="15"),TK!$E$7=TH!F5071),"x","")</f>
        <v/>
      </c>
      <c r="AD5071" s="79" t="str">
        <f>IF(AND(N5071="1521",MONTH(C5071)='BK-NL'!$M$11),"x","")</f>
        <v/>
      </c>
    </row>
    <row r="5072" spans="1:30" ht="16.5" customHeight="1">
      <c r="A5072" s="318" t="str">
        <f>IF(B5072&lt;&gt;"",IF(AND(B5072='[3]IN-TC'!$S$4,OR([3]TH!N4294="1111",[3]TH!O4294="1111")),[3]TH!D4294,""),"")</f>
        <v/>
      </c>
      <c r="B5072" s="60" t="str">
        <f t="shared" si="500"/>
        <v/>
      </c>
      <c r="C5072" s="301"/>
      <c r="D5072" s="301"/>
      <c r="E5072" s="61"/>
      <c r="F5072" s="303"/>
      <c r="G5072" s="302"/>
      <c r="H5072" s="303"/>
      <c r="I5072" s="385"/>
      <c r="J5072" s="395"/>
      <c r="K5072" s="387"/>
      <c r="L5072" s="394"/>
      <c r="M5072" s="62"/>
      <c r="N5072" s="63"/>
      <c r="O5072" s="63"/>
      <c r="P5072" s="79" t="str">
        <f>IF(AND('331-CT'!$E$7=TH!H5072,OR(N5072="331",O5072="331")),"x","")</f>
        <v/>
      </c>
      <c r="Q5072" s="79" t="str">
        <f>IF(AND(B5072='111'!$L$11,OR($N5072=$Q$7,$O5072=$Q$7)),"x","")</f>
        <v/>
      </c>
      <c r="R5072" s="79" t="str">
        <f>IF(AND($N5072=$Q$7,$B5072&lt;'111'!$L$11),"x","")</f>
        <v/>
      </c>
      <c r="S5072" s="79" t="str">
        <f>IF(AND($O5072=$Q$7,$B5072&lt;'111'!$L$11),"x","")</f>
        <v/>
      </c>
      <c r="T5072" s="79" t="str">
        <f>IF(ISERROR(FIND('112'!$M$9,G5072,1)),"",IF((AND(FIND('112'!$M$9,G5072,1)&gt;=1,B5072='112'!$K$9,OR($N5072='112'!$I$6,$O5072='112'!$I$6))),"x",""))</f>
        <v/>
      </c>
      <c r="U5072" s="79" t="str">
        <f>IF(ISERROR(FIND('112'!$M$9,G5072,1)),"",IF((AND(LEFT(G5072,2)=LEFT('112'!$M$9,2),B5072&lt;'112'!$K$9,$N5072='112'!$I$6)),"x",""))</f>
        <v/>
      </c>
      <c r="V5072" s="79" t="str">
        <f>IF(ISERROR(FIND('112'!$M$9,G5072,1)),"",IF((AND(RIGHT(G5072,2)=RIGHT('112'!$M$9,2),B5072&lt;'112'!$K$9,$O5072='112'!$I$6)),"x",""))</f>
        <v/>
      </c>
      <c r="W5072" s="79" t="str">
        <f>IF(AND('341-CT'!$H$9=H5072,OR(LEFT(N5072,3)=$W$7,LEFT(O5072,3)=$W$7)),"x","")</f>
        <v/>
      </c>
      <c r="X5072" s="79" t="str">
        <f>IF(OR(TH!N5072=TH!$X$7,O5072=TH!$X$7),"x","")</f>
        <v/>
      </c>
      <c r="Y5072" s="79" t="str">
        <f>IF(AND(OR(N5072="131",O5072="131"),H5072='131-CT'!$H$9),"x","")</f>
        <v/>
      </c>
      <c r="Z5072" s="79"/>
      <c r="AA5072" s="79" t="str">
        <f>IF(AND(MONTH(E5072)='IN-NX'!$J$5,'IN-NX'!$D$7=D5072),"x","")</f>
        <v/>
      </c>
      <c r="AB5072" s="79" t="str">
        <f>IF(AND(OR(LEFT(TH!N5072,2)="15",LEFT(TH!O5072,2)="15"),LEFT(TH!O5072,3)&lt;&gt;"111",'152-CT'!$J$8=TH!F5072),"x","")</f>
        <v/>
      </c>
      <c r="AC5072" s="79" t="str">
        <f>IF(AND(OR(LEFT(TH!N5072,2)="15",LEFT(TH!O5072,2)="15"),TK!$E$7=TH!F5072),"x","")</f>
        <v/>
      </c>
      <c r="AD5072" s="79" t="str">
        <f>IF(AND(N5072="1521",MONTH(C5072)='BK-NL'!$M$11),"x","")</f>
        <v/>
      </c>
    </row>
    <row r="5073" spans="1:30" ht="16.5" customHeight="1">
      <c r="A5073" s="318" t="str">
        <f>IF(B5073&lt;&gt;"",IF(AND(B5073='[3]IN-TC'!$S$4,OR([3]TH!N4295="1111",[3]TH!O4295="1111")),[3]TH!D4295,""),"")</f>
        <v/>
      </c>
      <c r="B5073" s="60" t="str">
        <f t="shared" si="500"/>
        <v/>
      </c>
      <c r="C5073" s="301"/>
      <c r="D5073" s="301"/>
      <c r="E5073" s="61"/>
      <c r="F5073" s="303"/>
      <c r="G5073" s="302"/>
      <c r="H5073" s="303"/>
      <c r="I5073" s="385"/>
      <c r="J5073" s="395"/>
      <c r="K5073" s="387"/>
      <c r="L5073" s="394"/>
      <c r="M5073" s="62"/>
      <c r="N5073" s="63"/>
      <c r="O5073" s="63"/>
      <c r="P5073" s="79" t="str">
        <f>IF(AND('331-CT'!$E$7=TH!H5073,OR(N5073="331",O5073="331")),"x","")</f>
        <v/>
      </c>
      <c r="Q5073" s="79" t="str">
        <f>IF(AND(B5073='111'!$L$11,OR($N5073=$Q$7,$O5073=$Q$7)),"x","")</f>
        <v/>
      </c>
      <c r="R5073" s="79" t="str">
        <f>IF(AND($N5073=$Q$7,$B5073&lt;'111'!$L$11),"x","")</f>
        <v/>
      </c>
      <c r="S5073" s="79" t="str">
        <f>IF(AND($O5073=$Q$7,$B5073&lt;'111'!$L$11),"x","")</f>
        <v/>
      </c>
      <c r="T5073" s="79" t="str">
        <f>IF(ISERROR(FIND('112'!$M$9,G5073,1)),"",IF((AND(FIND('112'!$M$9,G5073,1)&gt;=1,B5073='112'!$K$9,OR($N5073='112'!$I$6,$O5073='112'!$I$6))),"x",""))</f>
        <v/>
      </c>
      <c r="U5073" s="79" t="str">
        <f>IF(ISERROR(FIND('112'!$M$9,G5073,1)),"",IF((AND(LEFT(G5073,2)=LEFT('112'!$M$9,2),B5073&lt;'112'!$K$9,$N5073='112'!$I$6)),"x",""))</f>
        <v/>
      </c>
      <c r="V5073" s="79" t="str">
        <f>IF(ISERROR(FIND('112'!$M$9,G5073,1)),"",IF((AND(RIGHT(G5073,2)=RIGHT('112'!$M$9,2),B5073&lt;'112'!$K$9,$O5073='112'!$I$6)),"x",""))</f>
        <v/>
      </c>
      <c r="W5073" s="79" t="str">
        <f>IF(AND('341-CT'!$H$9=H5073,OR(LEFT(N5073,3)=$W$7,LEFT(O5073,3)=$W$7)),"x","")</f>
        <v/>
      </c>
      <c r="X5073" s="79" t="str">
        <f>IF(OR(TH!N5073=TH!$X$7,O5073=TH!$X$7),"x","")</f>
        <v/>
      </c>
      <c r="Y5073" s="79" t="str">
        <f>IF(AND(OR(N5073="131",O5073="131"),H5073='131-CT'!$H$9),"x","")</f>
        <v/>
      </c>
      <c r="Z5073" s="79"/>
      <c r="AA5073" s="79" t="str">
        <f>IF(AND(MONTH(E5073)='IN-NX'!$J$5,'IN-NX'!$D$7=D5073),"x","")</f>
        <v/>
      </c>
      <c r="AB5073" s="79" t="str">
        <f>IF(AND(OR(LEFT(TH!N5073,2)="15",LEFT(TH!O5073,2)="15"),LEFT(TH!O5073,3)&lt;&gt;"111",'152-CT'!$J$8=TH!F5073),"x","")</f>
        <v/>
      </c>
      <c r="AC5073" s="79" t="str">
        <f>IF(AND(OR(LEFT(TH!N5073,2)="15",LEFT(TH!O5073,2)="15"),TK!$E$7=TH!F5073),"x","")</f>
        <v/>
      </c>
      <c r="AD5073" s="79" t="str">
        <f>IF(AND(N5073="1521",MONTH(C5073)='BK-NL'!$M$11),"x","")</f>
        <v/>
      </c>
    </row>
    <row r="5074" spans="1:30" ht="16.5" customHeight="1">
      <c r="A5074" s="318" t="str">
        <f>IF(B5074&lt;&gt;"",IF(AND(B5074='[3]IN-TC'!$S$4,OR([3]TH!N4296="1111",[3]TH!O4296="1111")),[3]TH!D4296,""),"")</f>
        <v/>
      </c>
      <c r="B5074" s="60" t="str">
        <f t="shared" si="500"/>
        <v/>
      </c>
      <c r="C5074" s="301"/>
      <c r="D5074" s="301"/>
      <c r="E5074" s="61"/>
      <c r="F5074" s="303"/>
      <c r="G5074" s="302"/>
      <c r="H5074" s="303"/>
      <c r="I5074" s="385"/>
      <c r="J5074" s="395"/>
      <c r="K5074" s="387"/>
      <c r="L5074" s="394"/>
      <c r="M5074" s="62"/>
      <c r="N5074" s="63"/>
      <c r="O5074" s="63"/>
      <c r="P5074" s="79" t="str">
        <f>IF(AND('331-CT'!$E$7=TH!H5074,OR(N5074="331",O5074="331")),"x","")</f>
        <v/>
      </c>
      <c r="Q5074" s="79" t="str">
        <f>IF(AND(B5074='111'!$L$11,OR($N5074=$Q$7,$O5074=$Q$7)),"x","")</f>
        <v/>
      </c>
      <c r="R5074" s="79" t="str">
        <f>IF(AND($N5074=$Q$7,$B5074&lt;'111'!$L$11),"x","")</f>
        <v/>
      </c>
      <c r="S5074" s="79" t="str">
        <f>IF(AND($O5074=$Q$7,$B5074&lt;'111'!$L$11),"x","")</f>
        <v/>
      </c>
      <c r="T5074" s="79" t="str">
        <f>IF(ISERROR(FIND('112'!$M$9,G5074,1)),"",IF((AND(FIND('112'!$M$9,G5074,1)&gt;=1,B5074='112'!$K$9,OR($N5074='112'!$I$6,$O5074='112'!$I$6))),"x",""))</f>
        <v/>
      </c>
      <c r="U5074" s="79" t="str">
        <f>IF(ISERROR(FIND('112'!$M$9,G5074,1)),"",IF((AND(LEFT(G5074,2)=LEFT('112'!$M$9,2),B5074&lt;'112'!$K$9,$N5074='112'!$I$6)),"x",""))</f>
        <v/>
      </c>
      <c r="V5074" s="79" t="str">
        <f>IF(ISERROR(FIND('112'!$M$9,G5074,1)),"",IF((AND(RIGHT(G5074,2)=RIGHT('112'!$M$9,2),B5074&lt;'112'!$K$9,$O5074='112'!$I$6)),"x",""))</f>
        <v/>
      </c>
      <c r="W5074" s="79" t="str">
        <f>IF(AND('341-CT'!$H$9=H5074,OR(LEFT(N5074,3)=$W$7,LEFT(O5074,3)=$W$7)),"x","")</f>
        <v/>
      </c>
      <c r="X5074" s="79" t="str">
        <f>IF(OR(TH!N5074=TH!$X$7,O5074=TH!$X$7),"x","")</f>
        <v/>
      </c>
      <c r="Y5074" s="79" t="str">
        <f>IF(AND(OR(N5074="131",O5074="131"),H5074='131-CT'!$H$9),"x","")</f>
        <v/>
      </c>
      <c r="Z5074" s="79"/>
      <c r="AA5074" s="79" t="str">
        <f>IF(AND(MONTH(E5074)='IN-NX'!$J$5,'IN-NX'!$D$7=D5074),"x","")</f>
        <v/>
      </c>
      <c r="AB5074" s="79" t="str">
        <f>IF(AND(OR(LEFT(TH!N5074,2)="15",LEFT(TH!O5074,2)="15"),LEFT(TH!O5074,3)&lt;&gt;"111",'152-CT'!$J$8=TH!F5074),"x","")</f>
        <v/>
      </c>
      <c r="AC5074" s="79" t="str">
        <f>IF(AND(OR(LEFT(TH!N5074,2)="15",LEFT(TH!O5074,2)="15"),TK!$E$7=TH!F5074),"x","")</f>
        <v/>
      </c>
      <c r="AD5074" s="79" t="str">
        <f>IF(AND(N5074="1521",MONTH(C5074)='BK-NL'!$M$11),"x","")</f>
        <v/>
      </c>
    </row>
    <row r="5075" spans="1:30" ht="16.5" customHeight="1">
      <c r="A5075" s="318" t="str">
        <f>IF(B5075&lt;&gt;"",IF(AND(B5075='[3]IN-TC'!$S$4,OR([3]TH!N4297="1111",[3]TH!O4297="1111")),[3]TH!D4297,""),"")</f>
        <v/>
      </c>
      <c r="B5075" s="60" t="str">
        <f t="shared" si="500"/>
        <v/>
      </c>
      <c r="C5075" s="301"/>
      <c r="D5075" s="301"/>
      <c r="E5075" s="61"/>
      <c r="F5075" s="303"/>
      <c r="G5075" s="302"/>
      <c r="H5075" s="303"/>
      <c r="I5075" s="385"/>
      <c r="J5075" s="395"/>
      <c r="K5075" s="387"/>
      <c r="L5075" s="394"/>
      <c r="M5075" s="62"/>
      <c r="N5075" s="63"/>
      <c r="O5075" s="63"/>
      <c r="P5075" s="79" t="str">
        <f>IF(AND('331-CT'!$E$7=TH!H5075,OR(N5075="331",O5075="331")),"x","")</f>
        <v/>
      </c>
      <c r="Q5075" s="79" t="str">
        <f>IF(AND(B5075='111'!$L$11,OR($N5075=$Q$7,$O5075=$Q$7)),"x","")</f>
        <v/>
      </c>
      <c r="R5075" s="79" t="str">
        <f>IF(AND($N5075=$Q$7,$B5075&lt;'111'!$L$11),"x","")</f>
        <v/>
      </c>
      <c r="S5075" s="79" t="str">
        <f>IF(AND($O5075=$Q$7,$B5075&lt;'111'!$L$11),"x","")</f>
        <v/>
      </c>
      <c r="T5075" s="79" t="str">
        <f>IF(ISERROR(FIND('112'!$M$9,G5075,1)),"",IF((AND(FIND('112'!$M$9,G5075,1)&gt;=1,B5075='112'!$K$9,OR($N5075='112'!$I$6,$O5075='112'!$I$6))),"x",""))</f>
        <v/>
      </c>
      <c r="U5075" s="79" t="str">
        <f>IF(ISERROR(FIND('112'!$M$9,G5075,1)),"",IF((AND(LEFT(G5075,2)=LEFT('112'!$M$9,2),B5075&lt;'112'!$K$9,$N5075='112'!$I$6)),"x",""))</f>
        <v/>
      </c>
      <c r="V5075" s="79" t="str">
        <f>IF(ISERROR(FIND('112'!$M$9,G5075,1)),"",IF((AND(RIGHT(G5075,2)=RIGHT('112'!$M$9,2),B5075&lt;'112'!$K$9,$O5075='112'!$I$6)),"x",""))</f>
        <v/>
      </c>
      <c r="W5075" s="79" t="str">
        <f>IF(AND('341-CT'!$H$9=H5075,OR(LEFT(N5075,3)=$W$7,LEFT(O5075,3)=$W$7)),"x","")</f>
        <v/>
      </c>
      <c r="X5075" s="79" t="str">
        <f>IF(OR(TH!N5075=TH!$X$7,O5075=TH!$X$7),"x","")</f>
        <v/>
      </c>
      <c r="Y5075" s="79" t="str">
        <f>IF(AND(OR(N5075="131",O5075="131"),H5075='131-CT'!$H$9),"x","")</f>
        <v/>
      </c>
      <c r="Z5075" s="79"/>
      <c r="AA5075" s="79" t="str">
        <f>IF(AND(MONTH(E5075)='IN-NX'!$J$5,'IN-NX'!$D$7=D5075),"x","")</f>
        <v/>
      </c>
      <c r="AB5075" s="79" t="str">
        <f>IF(AND(OR(LEFT(TH!N5075,2)="15",LEFT(TH!O5075,2)="15"),LEFT(TH!O5075,3)&lt;&gt;"111",'152-CT'!$J$8=TH!F5075),"x","")</f>
        <v/>
      </c>
      <c r="AC5075" s="79" t="str">
        <f>IF(AND(OR(LEFT(TH!N5075,2)="15",LEFT(TH!O5075,2)="15"),TK!$E$7=TH!F5075),"x","")</f>
        <v/>
      </c>
      <c r="AD5075" s="79" t="str">
        <f>IF(AND(N5075="1521",MONTH(C5075)='BK-NL'!$M$11),"x","")</f>
        <v/>
      </c>
    </row>
    <row r="5076" spans="1:30" ht="16.5" customHeight="1">
      <c r="A5076" s="318" t="str">
        <f>IF(B5076&lt;&gt;"",IF(AND(B5076='[3]IN-TC'!$S$4,OR([3]TH!N4298="1111",[3]TH!O4298="1111")),[3]TH!D4298,""),"")</f>
        <v/>
      </c>
      <c r="B5076" s="60" t="str">
        <f t="shared" si="500"/>
        <v/>
      </c>
      <c r="C5076" s="301"/>
      <c r="D5076" s="301"/>
      <c r="E5076" s="61"/>
      <c r="F5076" s="303"/>
      <c r="G5076" s="302"/>
      <c r="H5076" s="303"/>
      <c r="I5076" s="385"/>
      <c r="J5076" s="395"/>
      <c r="K5076" s="387"/>
      <c r="L5076" s="394"/>
      <c r="M5076" s="62"/>
      <c r="N5076" s="63"/>
      <c r="O5076" s="63"/>
      <c r="P5076" s="79" t="str">
        <f>IF(AND('331-CT'!$E$7=TH!H5076,OR(N5076="331",O5076="331")),"x","")</f>
        <v/>
      </c>
      <c r="Q5076" s="79" t="str">
        <f>IF(AND(B5076='111'!$L$11,OR($N5076=$Q$7,$O5076=$Q$7)),"x","")</f>
        <v/>
      </c>
      <c r="R5076" s="79" t="str">
        <f>IF(AND($N5076=$Q$7,$B5076&lt;'111'!$L$11),"x","")</f>
        <v/>
      </c>
      <c r="S5076" s="79" t="str">
        <f>IF(AND($O5076=$Q$7,$B5076&lt;'111'!$L$11),"x","")</f>
        <v/>
      </c>
      <c r="T5076" s="79" t="str">
        <f>IF(ISERROR(FIND('112'!$M$9,G5076,1)),"",IF((AND(FIND('112'!$M$9,G5076,1)&gt;=1,B5076='112'!$K$9,OR($N5076='112'!$I$6,$O5076='112'!$I$6))),"x",""))</f>
        <v/>
      </c>
      <c r="U5076" s="79" t="str">
        <f>IF(ISERROR(FIND('112'!$M$9,G5076,1)),"",IF((AND(LEFT(G5076,2)=LEFT('112'!$M$9,2),B5076&lt;'112'!$K$9,$N5076='112'!$I$6)),"x",""))</f>
        <v/>
      </c>
      <c r="V5076" s="79" t="str">
        <f>IF(ISERROR(FIND('112'!$M$9,G5076,1)),"",IF((AND(RIGHT(G5076,2)=RIGHT('112'!$M$9,2),B5076&lt;'112'!$K$9,$O5076='112'!$I$6)),"x",""))</f>
        <v/>
      </c>
      <c r="W5076" s="79" t="str">
        <f>IF(AND('341-CT'!$H$9=H5076,OR(LEFT(N5076,3)=$W$7,LEFT(O5076,3)=$W$7)),"x","")</f>
        <v/>
      </c>
      <c r="X5076" s="79" t="str">
        <f>IF(OR(TH!N5076=TH!$X$7,O5076=TH!$X$7),"x","")</f>
        <v/>
      </c>
      <c r="Y5076" s="79" t="str">
        <f>IF(AND(OR(N5076="131",O5076="131"),H5076='131-CT'!$H$9),"x","")</f>
        <v/>
      </c>
      <c r="Z5076" s="79"/>
      <c r="AA5076" s="79" t="str">
        <f>IF(AND(MONTH(E5076)='IN-NX'!$J$5,'IN-NX'!$D$7=D5076),"x","")</f>
        <v/>
      </c>
      <c r="AB5076" s="79" t="str">
        <f>IF(AND(OR(LEFT(TH!N5076,2)="15",LEFT(TH!O5076,2)="15"),LEFT(TH!O5076,3)&lt;&gt;"111",'152-CT'!$J$8=TH!F5076),"x","")</f>
        <v/>
      </c>
      <c r="AC5076" s="79" t="str">
        <f>IF(AND(OR(LEFT(TH!N5076,2)="15",LEFT(TH!O5076,2)="15"),TK!$E$7=TH!F5076),"x","")</f>
        <v/>
      </c>
      <c r="AD5076" s="79" t="str">
        <f>IF(AND(N5076="1521",MONTH(C5076)='BK-NL'!$M$11),"x","")</f>
        <v/>
      </c>
    </row>
    <row r="5077" spans="1:30" ht="16.5" customHeight="1">
      <c r="A5077" s="318" t="str">
        <f>IF(B5077&lt;&gt;"",IF(AND(B5077='[3]IN-TC'!$S$4,OR([3]TH!N4299="1111",[3]TH!O4299="1111")),[3]TH!D4299,""),"")</f>
        <v/>
      </c>
      <c r="B5077" s="60" t="str">
        <f t="shared" si="500"/>
        <v/>
      </c>
      <c r="C5077" s="301"/>
      <c r="D5077" s="301"/>
      <c r="E5077" s="61"/>
      <c r="F5077" s="303"/>
      <c r="G5077" s="302"/>
      <c r="H5077" s="303"/>
      <c r="I5077" s="385"/>
      <c r="J5077" s="395"/>
      <c r="K5077" s="387"/>
      <c r="L5077" s="394"/>
      <c r="M5077" s="62"/>
      <c r="N5077" s="63"/>
      <c r="O5077" s="63"/>
      <c r="P5077" s="79" t="str">
        <f>IF(AND('331-CT'!$E$7=TH!H5077,OR(N5077="331",O5077="331")),"x","")</f>
        <v/>
      </c>
      <c r="Q5077" s="79" t="str">
        <f>IF(AND(B5077='111'!$L$11,OR($N5077=$Q$7,$O5077=$Q$7)),"x","")</f>
        <v/>
      </c>
      <c r="R5077" s="79" t="str">
        <f>IF(AND($N5077=$Q$7,$B5077&lt;'111'!$L$11),"x","")</f>
        <v/>
      </c>
      <c r="S5077" s="79" t="str">
        <f>IF(AND($O5077=$Q$7,$B5077&lt;'111'!$L$11),"x","")</f>
        <v/>
      </c>
      <c r="T5077" s="79" t="str">
        <f>IF(ISERROR(FIND('112'!$M$9,G5077,1)),"",IF((AND(FIND('112'!$M$9,G5077,1)&gt;=1,B5077='112'!$K$9,OR($N5077='112'!$I$6,$O5077='112'!$I$6))),"x",""))</f>
        <v/>
      </c>
      <c r="U5077" s="79" t="str">
        <f>IF(ISERROR(FIND('112'!$M$9,G5077,1)),"",IF((AND(LEFT(G5077,2)=LEFT('112'!$M$9,2),B5077&lt;'112'!$K$9,$N5077='112'!$I$6)),"x",""))</f>
        <v/>
      </c>
      <c r="V5077" s="79" t="str">
        <f>IF(ISERROR(FIND('112'!$M$9,G5077,1)),"",IF((AND(RIGHT(G5077,2)=RIGHT('112'!$M$9,2),B5077&lt;'112'!$K$9,$O5077='112'!$I$6)),"x",""))</f>
        <v/>
      </c>
      <c r="W5077" s="79" t="str">
        <f>IF(AND('341-CT'!$H$9=H5077,OR(LEFT(N5077,3)=$W$7,LEFT(O5077,3)=$W$7)),"x","")</f>
        <v/>
      </c>
      <c r="X5077" s="79" t="str">
        <f>IF(OR(TH!N5077=TH!$X$7,O5077=TH!$X$7),"x","")</f>
        <v/>
      </c>
      <c r="Y5077" s="79" t="str">
        <f>IF(AND(OR(N5077="131",O5077="131"),H5077='131-CT'!$H$9),"x","")</f>
        <v/>
      </c>
      <c r="Z5077" s="79"/>
      <c r="AA5077" s="79" t="str">
        <f>IF(AND(MONTH(E5077)='IN-NX'!$J$5,'IN-NX'!$D$7=D5077),"x","")</f>
        <v/>
      </c>
      <c r="AB5077" s="79" t="str">
        <f>IF(AND(OR(LEFT(TH!N5077,2)="15",LEFT(TH!O5077,2)="15"),LEFT(TH!O5077,3)&lt;&gt;"111",'152-CT'!$J$8=TH!F5077),"x","")</f>
        <v/>
      </c>
      <c r="AC5077" s="79" t="str">
        <f>IF(AND(OR(LEFT(TH!N5077,2)="15",LEFT(TH!O5077,2)="15"),TK!$E$7=TH!F5077),"x","")</f>
        <v/>
      </c>
      <c r="AD5077" s="79" t="str">
        <f>IF(AND(N5077="1521",MONTH(C5077)='BK-NL'!$M$11),"x","")</f>
        <v/>
      </c>
    </row>
    <row r="5078" spans="1:30" ht="16.5" customHeight="1">
      <c r="A5078" s="318" t="str">
        <f>IF(B5078&lt;&gt;"",IF(AND(B5078='[3]IN-TC'!$S$4,OR([3]TH!N4300="1111",[3]TH!O4300="1111")),[3]TH!D4300,""),"")</f>
        <v/>
      </c>
      <c r="B5078" s="60" t="str">
        <f t="shared" si="500"/>
        <v/>
      </c>
      <c r="C5078" s="301"/>
      <c r="D5078" s="301"/>
      <c r="E5078" s="61"/>
      <c r="F5078" s="303"/>
      <c r="G5078" s="302"/>
      <c r="H5078" s="303"/>
      <c r="I5078" s="385"/>
      <c r="J5078" s="395"/>
      <c r="K5078" s="387"/>
      <c r="L5078" s="394"/>
      <c r="M5078" s="62"/>
      <c r="N5078" s="63"/>
      <c r="O5078" s="63"/>
      <c r="P5078" s="79" t="str">
        <f>IF(AND('331-CT'!$E$7=TH!H5078,OR(N5078="331",O5078="331")),"x","")</f>
        <v/>
      </c>
      <c r="Q5078" s="79" t="str">
        <f>IF(AND(B5078='111'!$L$11,OR($N5078=$Q$7,$O5078=$Q$7)),"x","")</f>
        <v/>
      </c>
      <c r="R5078" s="79" t="str">
        <f>IF(AND($N5078=$Q$7,$B5078&lt;'111'!$L$11),"x","")</f>
        <v/>
      </c>
      <c r="S5078" s="79" t="str">
        <f>IF(AND($O5078=$Q$7,$B5078&lt;'111'!$L$11),"x","")</f>
        <v/>
      </c>
      <c r="T5078" s="79" t="str">
        <f>IF(ISERROR(FIND('112'!$M$9,G5078,1)),"",IF((AND(FIND('112'!$M$9,G5078,1)&gt;=1,B5078='112'!$K$9,OR($N5078='112'!$I$6,$O5078='112'!$I$6))),"x",""))</f>
        <v/>
      </c>
      <c r="U5078" s="79" t="str">
        <f>IF(ISERROR(FIND('112'!$M$9,G5078,1)),"",IF((AND(LEFT(G5078,2)=LEFT('112'!$M$9,2),B5078&lt;'112'!$K$9,$N5078='112'!$I$6)),"x",""))</f>
        <v/>
      </c>
      <c r="V5078" s="79" t="str">
        <f>IF(ISERROR(FIND('112'!$M$9,G5078,1)),"",IF((AND(RIGHT(G5078,2)=RIGHT('112'!$M$9,2),B5078&lt;'112'!$K$9,$O5078='112'!$I$6)),"x",""))</f>
        <v/>
      </c>
      <c r="W5078" s="79" t="str">
        <f>IF(AND('341-CT'!$H$9=H5078,OR(LEFT(N5078,3)=$W$7,LEFT(O5078,3)=$W$7)),"x","")</f>
        <v/>
      </c>
      <c r="X5078" s="79" t="str">
        <f>IF(OR(TH!N5078=TH!$X$7,O5078=TH!$X$7),"x","")</f>
        <v/>
      </c>
      <c r="Y5078" s="79" t="str">
        <f>IF(AND(OR(N5078="131",O5078="131"),H5078='131-CT'!$H$9),"x","")</f>
        <v/>
      </c>
      <c r="Z5078" s="79"/>
      <c r="AA5078" s="79" t="str">
        <f>IF(AND(MONTH(E5078)='IN-NX'!$J$5,'IN-NX'!$D$7=D5078),"x","")</f>
        <v/>
      </c>
      <c r="AB5078" s="79" t="str">
        <f>IF(AND(OR(LEFT(TH!N5078,2)="15",LEFT(TH!O5078,2)="15"),LEFT(TH!O5078,3)&lt;&gt;"111",'152-CT'!$J$8=TH!F5078),"x","")</f>
        <v/>
      </c>
      <c r="AC5078" s="79" t="str">
        <f>IF(AND(OR(LEFT(TH!N5078,2)="15",LEFT(TH!O5078,2)="15"),TK!$E$7=TH!F5078),"x","")</f>
        <v/>
      </c>
      <c r="AD5078" s="79" t="str">
        <f>IF(AND(N5078="1521",MONTH(C5078)='BK-NL'!$M$11),"x","")</f>
        <v/>
      </c>
    </row>
    <row r="5079" spans="1:30" ht="16.5" customHeight="1">
      <c r="A5079" s="318" t="str">
        <f>IF(B5079&lt;&gt;"",IF(AND(B5079='[3]IN-TC'!$S$4,OR([3]TH!N4301="1111",[3]TH!O4301="1111")),[3]TH!D4301,""),"")</f>
        <v/>
      </c>
      <c r="B5079" s="60" t="str">
        <f t="shared" si="500"/>
        <v/>
      </c>
      <c r="C5079" s="301"/>
      <c r="D5079" s="301"/>
      <c r="E5079" s="61"/>
      <c r="F5079" s="303"/>
      <c r="G5079" s="302"/>
      <c r="H5079" s="303"/>
      <c r="I5079" s="385"/>
      <c r="J5079" s="395"/>
      <c r="K5079" s="387"/>
      <c r="L5079" s="394"/>
      <c r="M5079" s="62"/>
      <c r="N5079" s="63"/>
      <c r="O5079" s="63"/>
      <c r="P5079" s="79" t="str">
        <f>IF(AND('331-CT'!$E$7=TH!H5079,OR(N5079="331",O5079="331")),"x","")</f>
        <v/>
      </c>
      <c r="Q5079" s="79" t="str">
        <f>IF(AND(B5079='111'!$L$11,OR($N5079=$Q$7,$O5079=$Q$7)),"x","")</f>
        <v/>
      </c>
      <c r="R5079" s="79" t="str">
        <f>IF(AND($N5079=$Q$7,$B5079&lt;'111'!$L$11),"x","")</f>
        <v/>
      </c>
      <c r="S5079" s="79" t="str">
        <f>IF(AND($O5079=$Q$7,$B5079&lt;'111'!$L$11),"x","")</f>
        <v/>
      </c>
      <c r="T5079" s="79" t="str">
        <f>IF(ISERROR(FIND('112'!$M$9,G5079,1)),"",IF((AND(FIND('112'!$M$9,G5079,1)&gt;=1,B5079='112'!$K$9,OR($N5079='112'!$I$6,$O5079='112'!$I$6))),"x",""))</f>
        <v/>
      </c>
      <c r="U5079" s="79" t="str">
        <f>IF(ISERROR(FIND('112'!$M$9,G5079,1)),"",IF((AND(LEFT(G5079,2)=LEFT('112'!$M$9,2),B5079&lt;'112'!$K$9,$N5079='112'!$I$6)),"x",""))</f>
        <v/>
      </c>
      <c r="V5079" s="79" t="str">
        <f>IF(ISERROR(FIND('112'!$M$9,G5079,1)),"",IF((AND(RIGHT(G5079,2)=RIGHT('112'!$M$9,2),B5079&lt;'112'!$K$9,$O5079='112'!$I$6)),"x",""))</f>
        <v/>
      </c>
      <c r="W5079" s="79" t="str">
        <f>IF(AND('341-CT'!$H$9=H5079,OR(LEFT(N5079,3)=$W$7,LEFT(O5079,3)=$W$7)),"x","")</f>
        <v/>
      </c>
      <c r="X5079" s="79" t="str">
        <f>IF(OR(TH!N5079=TH!$X$7,O5079=TH!$X$7),"x","")</f>
        <v/>
      </c>
      <c r="Y5079" s="79" t="str">
        <f>IF(AND(OR(N5079="131",O5079="131"),H5079='131-CT'!$H$9),"x","")</f>
        <v/>
      </c>
      <c r="Z5079" s="79"/>
      <c r="AA5079" s="79" t="str">
        <f>IF(AND(MONTH(E5079)='IN-NX'!$J$5,'IN-NX'!$D$7=D5079),"x","")</f>
        <v/>
      </c>
      <c r="AB5079" s="79" t="str">
        <f>IF(AND(OR(LEFT(TH!N5079,2)="15",LEFT(TH!O5079,2)="15"),LEFT(TH!O5079,3)&lt;&gt;"111",'152-CT'!$J$8=TH!F5079),"x","")</f>
        <v/>
      </c>
      <c r="AC5079" s="79" t="str">
        <f>IF(AND(OR(LEFT(TH!N5079,2)="15",LEFT(TH!O5079,2)="15"),TK!$E$7=TH!F5079),"x","")</f>
        <v/>
      </c>
      <c r="AD5079" s="79" t="str">
        <f>IF(AND(N5079="1521",MONTH(C5079)='BK-NL'!$M$11),"x","")</f>
        <v/>
      </c>
    </row>
    <row r="5080" spans="1:30" ht="16.5" customHeight="1">
      <c r="A5080" s="318" t="str">
        <f>IF(B5080&lt;&gt;"",IF(AND(B5080='[3]IN-TC'!$S$4,OR([3]TH!N4302="1111",[3]TH!O4302="1111")),[3]TH!D4302,""),"")</f>
        <v/>
      </c>
      <c r="B5080" s="60" t="str">
        <f t="shared" si="500"/>
        <v/>
      </c>
      <c r="C5080" s="301"/>
      <c r="D5080" s="301"/>
      <c r="E5080" s="61"/>
      <c r="F5080" s="303"/>
      <c r="G5080" s="302"/>
      <c r="H5080" s="303"/>
      <c r="I5080" s="385"/>
      <c r="J5080" s="395"/>
      <c r="K5080" s="387"/>
      <c r="L5080" s="394"/>
      <c r="M5080" s="62"/>
      <c r="N5080" s="63"/>
      <c r="O5080" s="63"/>
      <c r="P5080" s="79" t="str">
        <f>IF(AND('331-CT'!$E$7=TH!H5080,OR(N5080="331",O5080="331")),"x","")</f>
        <v/>
      </c>
      <c r="Q5080" s="79" t="str">
        <f>IF(AND(B5080='111'!$L$11,OR($N5080=$Q$7,$O5080=$Q$7)),"x","")</f>
        <v/>
      </c>
      <c r="R5080" s="79" t="str">
        <f>IF(AND($N5080=$Q$7,$B5080&lt;'111'!$L$11),"x","")</f>
        <v/>
      </c>
      <c r="S5080" s="79" t="str">
        <f>IF(AND($O5080=$Q$7,$B5080&lt;'111'!$L$11),"x","")</f>
        <v/>
      </c>
      <c r="T5080" s="79" t="str">
        <f>IF(ISERROR(FIND('112'!$M$9,G5080,1)),"",IF((AND(FIND('112'!$M$9,G5080,1)&gt;=1,B5080='112'!$K$9,OR($N5080='112'!$I$6,$O5080='112'!$I$6))),"x",""))</f>
        <v/>
      </c>
      <c r="U5080" s="79" t="str">
        <f>IF(ISERROR(FIND('112'!$M$9,G5080,1)),"",IF((AND(LEFT(G5080,2)=LEFT('112'!$M$9,2),B5080&lt;'112'!$K$9,$N5080='112'!$I$6)),"x",""))</f>
        <v/>
      </c>
      <c r="V5080" s="79" t="str">
        <f>IF(ISERROR(FIND('112'!$M$9,G5080,1)),"",IF((AND(RIGHT(G5080,2)=RIGHT('112'!$M$9,2),B5080&lt;'112'!$K$9,$O5080='112'!$I$6)),"x",""))</f>
        <v/>
      </c>
      <c r="W5080" s="79" t="str">
        <f>IF(AND('341-CT'!$H$9=H5080,OR(LEFT(N5080,3)=$W$7,LEFT(O5080,3)=$W$7)),"x","")</f>
        <v/>
      </c>
      <c r="X5080" s="79" t="str">
        <f>IF(OR(TH!N5080=TH!$X$7,O5080=TH!$X$7),"x","")</f>
        <v/>
      </c>
      <c r="Y5080" s="79" t="str">
        <f>IF(AND(OR(N5080="131",O5080="131"),H5080='131-CT'!$H$9),"x","")</f>
        <v/>
      </c>
      <c r="Z5080" s="79"/>
      <c r="AA5080" s="79" t="str">
        <f>IF(AND(MONTH(E5080)='IN-NX'!$J$5,'IN-NX'!$D$7=D5080),"x","")</f>
        <v/>
      </c>
      <c r="AB5080" s="79" t="str">
        <f>IF(AND(OR(LEFT(TH!N5080,2)="15",LEFT(TH!O5080,2)="15"),LEFT(TH!O5080,3)&lt;&gt;"111",'152-CT'!$J$8=TH!F5080),"x","")</f>
        <v/>
      </c>
      <c r="AC5080" s="79" t="str">
        <f>IF(AND(OR(LEFT(TH!N5080,2)="15",LEFT(TH!O5080,2)="15"),TK!$E$7=TH!F5080),"x","")</f>
        <v/>
      </c>
      <c r="AD5080" s="79" t="str">
        <f>IF(AND(N5080="1521",MONTH(C5080)='BK-NL'!$M$11),"x","")</f>
        <v/>
      </c>
    </row>
    <row r="5081" spans="1:30" ht="16.5" customHeight="1">
      <c r="A5081" s="318" t="str">
        <f>IF(B5081&lt;&gt;"",IF(AND(B5081='[3]IN-TC'!$S$4,OR([3]TH!N4303="1111",[3]TH!O4303="1111")),[3]TH!D4303,""),"")</f>
        <v/>
      </c>
      <c r="B5081" s="60" t="str">
        <f t="shared" si="500"/>
        <v/>
      </c>
      <c r="C5081" s="301"/>
      <c r="D5081" s="301"/>
      <c r="E5081" s="61"/>
      <c r="F5081" s="303"/>
      <c r="G5081" s="302"/>
      <c r="H5081" s="303"/>
      <c r="I5081" s="385"/>
      <c r="J5081" s="395"/>
      <c r="K5081" s="387"/>
      <c r="L5081" s="394"/>
      <c r="M5081" s="62"/>
      <c r="N5081" s="63"/>
      <c r="O5081" s="63"/>
      <c r="P5081" s="79" t="str">
        <f>IF(AND('331-CT'!$E$7=TH!H5081,OR(N5081="331",O5081="331")),"x","")</f>
        <v/>
      </c>
      <c r="Q5081" s="79" t="str">
        <f>IF(AND(B5081='111'!$L$11,OR($N5081=$Q$7,$O5081=$Q$7)),"x","")</f>
        <v/>
      </c>
      <c r="R5081" s="79" t="str">
        <f>IF(AND($N5081=$Q$7,$B5081&lt;'111'!$L$11),"x","")</f>
        <v/>
      </c>
      <c r="S5081" s="79" t="str">
        <f>IF(AND($O5081=$Q$7,$B5081&lt;'111'!$L$11),"x","")</f>
        <v/>
      </c>
      <c r="T5081" s="79" t="str">
        <f>IF(ISERROR(FIND('112'!$M$9,G5081,1)),"",IF((AND(FIND('112'!$M$9,G5081,1)&gt;=1,B5081='112'!$K$9,OR($N5081='112'!$I$6,$O5081='112'!$I$6))),"x",""))</f>
        <v/>
      </c>
      <c r="U5081" s="79" t="str">
        <f>IF(ISERROR(FIND('112'!$M$9,G5081,1)),"",IF((AND(LEFT(G5081,2)=LEFT('112'!$M$9,2),B5081&lt;'112'!$K$9,$N5081='112'!$I$6)),"x",""))</f>
        <v/>
      </c>
      <c r="V5081" s="79" t="str">
        <f>IF(ISERROR(FIND('112'!$M$9,G5081,1)),"",IF((AND(RIGHT(G5081,2)=RIGHT('112'!$M$9,2),B5081&lt;'112'!$K$9,$O5081='112'!$I$6)),"x",""))</f>
        <v/>
      </c>
      <c r="W5081" s="79" t="str">
        <f>IF(AND('341-CT'!$H$9=H5081,OR(LEFT(N5081,3)=$W$7,LEFT(O5081,3)=$W$7)),"x","")</f>
        <v/>
      </c>
      <c r="X5081" s="79" t="str">
        <f>IF(OR(TH!N5081=TH!$X$7,O5081=TH!$X$7),"x","")</f>
        <v/>
      </c>
      <c r="Y5081" s="79" t="str">
        <f>IF(AND(OR(N5081="131",O5081="131"),H5081='131-CT'!$H$9),"x","")</f>
        <v/>
      </c>
      <c r="Z5081" s="79"/>
      <c r="AA5081" s="79" t="str">
        <f>IF(AND(MONTH(E5081)='IN-NX'!$J$5,'IN-NX'!$D$7=D5081),"x","")</f>
        <v/>
      </c>
      <c r="AB5081" s="79" t="str">
        <f>IF(AND(OR(LEFT(TH!N5081,2)="15",LEFT(TH!O5081,2)="15"),LEFT(TH!O5081,3)&lt;&gt;"111",'152-CT'!$J$8=TH!F5081),"x","")</f>
        <v/>
      </c>
      <c r="AC5081" s="79" t="str">
        <f>IF(AND(OR(LEFT(TH!N5081,2)="15",LEFT(TH!O5081,2)="15"),TK!$E$7=TH!F5081),"x","")</f>
        <v/>
      </c>
      <c r="AD5081" s="79" t="str">
        <f>IF(AND(N5081="1521",MONTH(C5081)='BK-NL'!$M$11),"x","")</f>
        <v/>
      </c>
    </row>
    <row r="5082" spans="1:30" ht="16.5" customHeight="1">
      <c r="A5082" s="318" t="str">
        <f>IF(B5082&lt;&gt;"",IF(AND(B5082='[3]IN-TC'!$S$4,OR([3]TH!N4304="1111",[3]TH!O4304="1111")),[3]TH!D4304,""),"")</f>
        <v/>
      </c>
      <c r="B5082" s="60" t="str">
        <f t="shared" si="500"/>
        <v/>
      </c>
      <c r="C5082" s="301"/>
      <c r="D5082" s="301"/>
      <c r="E5082" s="61"/>
      <c r="F5082" s="303"/>
      <c r="G5082" s="302"/>
      <c r="H5082" s="303"/>
      <c r="I5082" s="385"/>
      <c r="J5082" s="395"/>
      <c r="K5082" s="387"/>
      <c r="L5082" s="394"/>
      <c r="M5082" s="62"/>
      <c r="N5082" s="63"/>
      <c r="O5082" s="63"/>
      <c r="P5082" s="79" t="str">
        <f>IF(AND('331-CT'!$E$7=TH!H5082,OR(N5082="331",O5082="331")),"x","")</f>
        <v/>
      </c>
      <c r="Q5082" s="79" t="str">
        <f>IF(AND(B5082='111'!$L$11,OR($N5082=$Q$7,$O5082=$Q$7)),"x","")</f>
        <v/>
      </c>
      <c r="R5082" s="79" t="str">
        <f>IF(AND($N5082=$Q$7,$B5082&lt;'111'!$L$11),"x","")</f>
        <v/>
      </c>
      <c r="S5082" s="79" t="str">
        <f>IF(AND($O5082=$Q$7,$B5082&lt;'111'!$L$11),"x","")</f>
        <v/>
      </c>
      <c r="T5082" s="79" t="str">
        <f>IF(ISERROR(FIND('112'!$M$9,G5082,1)),"",IF((AND(FIND('112'!$M$9,G5082,1)&gt;=1,B5082='112'!$K$9,OR($N5082='112'!$I$6,$O5082='112'!$I$6))),"x",""))</f>
        <v/>
      </c>
      <c r="U5082" s="79" t="str">
        <f>IF(ISERROR(FIND('112'!$M$9,G5082,1)),"",IF((AND(LEFT(G5082,2)=LEFT('112'!$M$9,2),B5082&lt;'112'!$K$9,$N5082='112'!$I$6)),"x",""))</f>
        <v/>
      </c>
      <c r="V5082" s="79" t="str">
        <f>IF(ISERROR(FIND('112'!$M$9,G5082,1)),"",IF((AND(RIGHT(G5082,2)=RIGHT('112'!$M$9,2),B5082&lt;'112'!$K$9,$O5082='112'!$I$6)),"x",""))</f>
        <v/>
      </c>
      <c r="W5082" s="79" t="str">
        <f>IF(AND('341-CT'!$H$9=H5082,OR(LEFT(N5082,3)=$W$7,LEFT(O5082,3)=$W$7)),"x","")</f>
        <v/>
      </c>
      <c r="X5082" s="79" t="str">
        <f>IF(OR(TH!N5082=TH!$X$7,O5082=TH!$X$7),"x","")</f>
        <v/>
      </c>
      <c r="Y5082" s="79" t="str">
        <f>IF(AND(OR(N5082="131",O5082="131"),H5082='131-CT'!$H$9),"x","")</f>
        <v/>
      </c>
      <c r="Z5082" s="79"/>
      <c r="AA5082" s="79" t="str">
        <f>IF(AND(MONTH(E5082)='IN-NX'!$J$5,'IN-NX'!$D$7=D5082),"x","")</f>
        <v/>
      </c>
      <c r="AB5082" s="79" t="str">
        <f>IF(AND(OR(LEFT(TH!N5082,2)="15",LEFT(TH!O5082,2)="15"),LEFT(TH!O5082,3)&lt;&gt;"111",'152-CT'!$J$8=TH!F5082),"x","")</f>
        <v/>
      </c>
      <c r="AC5082" s="79" t="str">
        <f>IF(AND(OR(LEFT(TH!N5082,2)="15",LEFT(TH!O5082,2)="15"),TK!$E$7=TH!F5082),"x","")</f>
        <v/>
      </c>
      <c r="AD5082" s="79" t="str">
        <f>IF(AND(N5082="1521",MONTH(C5082)='BK-NL'!$M$11),"x","")</f>
        <v/>
      </c>
    </row>
    <row r="5083" spans="1:30" ht="16.5" customHeight="1">
      <c r="A5083" s="318" t="str">
        <f>IF(B5083&lt;&gt;"",IF(AND(B5083='[3]IN-TC'!$S$4,OR([3]TH!N4305="1111",[3]TH!O4305="1111")),[3]TH!D4305,""),"")</f>
        <v/>
      </c>
      <c r="B5083" s="60" t="str">
        <f t="shared" si="500"/>
        <v/>
      </c>
      <c r="C5083" s="301"/>
      <c r="D5083" s="301"/>
      <c r="E5083" s="61"/>
      <c r="F5083" s="303"/>
      <c r="G5083" s="302"/>
      <c r="H5083" s="303"/>
      <c r="I5083" s="385"/>
      <c r="J5083" s="395"/>
      <c r="K5083" s="387"/>
      <c r="L5083" s="394"/>
      <c r="M5083" s="62"/>
      <c r="N5083" s="63"/>
      <c r="O5083" s="63"/>
      <c r="P5083" s="79" t="str">
        <f>IF(AND('331-CT'!$E$7=TH!H5083,OR(N5083="331",O5083="331")),"x","")</f>
        <v/>
      </c>
      <c r="Q5083" s="79" t="str">
        <f>IF(AND(B5083='111'!$L$11,OR($N5083=$Q$7,$O5083=$Q$7)),"x","")</f>
        <v/>
      </c>
      <c r="R5083" s="79" t="str">
        <f>IF(AND($N5083=$Q$7,$B5083&lt;'111'!$L$11),"x","")</f>
        <v/>
      </c>
      <c r="S5083" s="79" t="str">
        <f>IF(AND($O5083=$Q$7,$B5083&lt;'111'!$L$11),"x","")</f>
        <v/>
      </c>
      <c r="T5083" s="79" t="str">
        <f>IF(ISERROR(FIND('112'!$M$9,G5083,1)),"",IF((AND(FIND('112'!$M$9,G5083,1)&gt;=1,B5083='112'!$K$9,OR($N5083='112'!$I$6,$O5083='112'!$I$6))),"x",""))</f>
        <v/>
      </c>
      <c r="U5083" s="79" t="str">
        <f>IF(ISERROR(FIND('112'!$M$9,G5083,1)),"",IF((AND(LEFT(G5083,2)=LEFT('112'!$M$9,2),B5083&lt;'112'!$K$9,$N5083='112'!$I$6)),"x",""))</f>
        <v/>
      </c>
      <c r="V5083" s="79" t="str">
        <f>IF(ISERROR(FIND('112'!$M$9,G5083,1)),"",IF((AND(RIGHT(G5083,2)=RIGHT('112'!$M$9,2),B5083&lt;'112'!$K$9,$O5083='112'!$I$6)),"x",""))</f>
        <v/>
      </c>
      <c r="W5083" s="79" t="str">
        <f>IF(AND('341-CT'!$H$9=H5083,OR(LEFT(N5083,3)=$W$7,LEFT(O5083,3)=$W$7)),"x","")</f>
        <v/>
      </c>
      <c r="X5083" s="79" t="str">
        <f>IF(OR(TH!N5083=TH!$X$7,O5083=TH!$X$7),"x","")</f>
        <v/>
      </c>
      <c r="Y5083" s="79" t="str">
        <f>IF(AND(OR(N5083="131",O5083="131"),H5083='131-CT'!$H$9),"x","")</f>
        <v/>
      </c>
      <c r="Z5083" s="79"/>
      <c r="AA5083" s="79" t="str">
        <f>IF(AND(MONTH(E5083)='IN-NX'!$J$5,'IN-NX'!$D$7=D5083),"x","")</f>
        <v/>
      </c>
      <c r="AB5083" s="79" t="str">
        <f>IF(AND(OR(LEFT(TH!N5083,2)="15",LEFT(TH!O5083,2)="15"),LEFT(TH!O5083,3)&lt;&gt;"111",'152-CT'!$J$8=TH!F5083),"x","")</f>
        <v/>
      </c>
      <c r="AC5083" s="79" t="str">
        <f>IF(AND(OR(LEFT(TH!N5083,2)="15",LEFT(TH!O5083,2)="15"),TK!$E$7=TH!F5083),"x","")</f>
        <v/>
      </c>
      <c r="AD5083" s="79" t="str">
        <f>IF(AND(N5083="1521",MONTH(C5083)='BK-NL'!$M$11),"x","")</f>
        <v/>
      </c>
    </row>
    <row r="5084" spans="1:30" ht="16.5" customHeight="1">
      <c r="A5084" s="318" t="str">
        <f>IF(B5084&lt;&gt;"",IF(AND(B5084='[3]IN-TC'!$S$4,OR([3]TH!N4306="1111",[3]TH!O4306="1111")),[3]TH!D4306,""),"")</f>
        <v/>
      </c>
      <c r="B5084" s="60" t="str">
        <f t="shared" si="500"/>
        <v/>
      </c>
      <c r="C5084" s="301"/>
      <c r="D5084" s="301"/>
      <c r="E5084" s="61"/>
      <c r="F5084" s="303"/>
      <c r="G5084" s="302"/>
      <c r="H5084" s="303"/>
      <c r="I5084" s="385"/>
      <c r="J5084" s="395"/>
      <c r="K5084" s="387"/>
      <c r="L5084" s="394"/>
      <c r="M5084" s="62"/>
      <c r="N5084" s="63"/>
      <c r="O5084" s="63"/>
      <c r="P5084" s="79" t="str">
        <f>IF(AND('331-CT'!$E$7=TH!H5084,OR(N5084="331",O5084="331")),"x","")</f>
        <v/>
      </c>
      <c r="Q5084" s="79" t="str">
        <f>IF(AND(B5084='111'!$L$11,OR($N5084=$Q$7,$O5084=$Q$7)),"x","")</f>
        <v/>
      </c>
      <c r="R5084" s="79" t="str">
        <f>IF(AND($N5084=$Q$7,$B5084&lt;'111'!$L$11),"x","")</f>
        <v/>
      </c>
      <c r="S5084" s="79" t="str">
        <f>IF(AND($O5084=$Q$7,$B5084&lt;'111'!$L$11),"x","")</f>
        <v/>
      </c>
      <c r="T5084" s="79" t="str">
        <f>IF(ISERROR(FIND('112'!$M$9,G5084,1)),"",IF((AND(FIND('112'!$M$9,G5084,1)&gt;=1,B5084='112'!$K$9,OR($N5084='112'!$I$6,$O5084='112'!$I$6))),"x",""))</f>
        <v/>
      </c>
      <c r="U5084" s="79" t="str">
        <f>IF(ISERROR(FIND('112'!$M$9,G5084,1)),"",IF((AND(LEFT(G5084,2)=LEFT('112'!$M$9,2),B5084&lt;'112'!$K$9,$N5084='112'!$I$6)),"x",""))</f>
        <v/>
      </c>
      <c r="V5084" s="79" t="str">
        <f>IF(ISERROR(FIND('112'!$M$9,G5084,1)),"",IF((AND(RIGHT(G5084,2)=RIGHT('112'!$M$9,2),B5084&lt;'112'!$K$9,$O5084='112'!$I$6)),"x",""))</f>
        <v/>
      </c>
      <c r="W5084" s="79" t="str">
        <f>IF(AND('341-CT'!$H$9=H5084,OR(LEFT(N5084,3)=$W$7,LEFT(O5084,3)=$W$7)),"x","")</f>
        <v/>
      </c>
      <c r="X5084" s="79" t="str">
        <f>IF(OR(TH!N5084=TH!$X$7,O5084=TH!$X$7),"x","")</f>
        <v/>
      </c>
      <c r="Y5084" s="79" t="str">
        <f>IF(AND(OR(N5084="131",O5084="131"),H5084='131-CT'!$H$9),"x","")</f>
        <v/>
      </c>
      <c r="Z5084" s="79"/>
      <c r="AA5084" s="79" t="str">
        <f>IF(AND(MONTH(E5084)='IN-NX'!$J$5,'IN-NX'!$D$7=D5084),"x","")</f>
        <v/>
      </c>
      <c r="AB5084" s="79" t="str">
        <f>IF(AND(OR(LEFT(TH!N5084,2)="15",LEFT(TH!O5084,2)="15"),LEFT(TH!O5084,3)&lt;&gt;"111",'152-CT'!$J$8=TH!F5084),"x","")</f>
        <v/>
      </c>
      <c r="AC5084" s="79" t="str">
        <f>IF(AND(OR(LEFT(TH!N5084,2)="15",LEFT(TH!O5084,2)="15"),TK!$E$7=TH!F5084),"x","")</f>
        <v/>
      </c>
      <c r="AD5084" s="79" t="str">
        <f>IF(AND(N5084="1521",MONTH(C5084)='BK-NL'!$M$11),"x","")</f>
        <v/>
      </c>
    </row>
    <row r="5085" spans="1:30" ht="16.5" customHeight="1">
      <c r="A5085" s="318" t="str">
        <f>IF(B5085&lt;&gt;"",IF(AND(B5085='[3]IN-TC'!$S$4,OR([3]TH!N4307="1111",[3]TH!O4307="1111")),[3]TH!D4307,""),"")</f>
        <v/>
      </c>
      <c r="B5085" s="60" t="str">
        <f t="shared" si="500"/>
        <v/>
      </c>
      <c r="C5085" s="301"/>
      <c r="D5085" s="301"/>
      <c r="E5085" s="61"/>
      <c r="F5085" s="303"/>
      <c r="G5085" s="302"/>
      <c r="H5085" s="303"/>
      <c r="I5085" s="385"/>
      <c r="J5085" s="395"/>
      <c r="K5085" s="387"/>
      <c r="L5085" s="394"/>
      <c r="M5085" s="62"/>
      <c r="N5085" s="63"/>
      <c r="O5085" s="63"/>
      <c r="P5085" s="79" t="str">
        <f>IF(AND('331-CT'!$E$7=TH!H5085,OR(N5085="331",O5085="331")),"x","")</f>
        <v/>
      </c>
      <c r="Q5085" s="79" t="str">
        <f>IF(AND(B5085='111'!$L$11,OR($N5085=$Q$7,$O5085=$Q$7)),"x","")</f>
        <v/>
      </c>
      <c r="R5085" s="79" t="str">
        <f>IF(AND($N5085=$Q$7,$B5085&lt;'111'!$L$11),"x","")</f>
        <v/>
      </c>
      <c r="S5085" s="79" t="str">
        <f>IF(AND($O5085=$Q$7,$B5085&lt;'111'!$L$11),"x","")</f>
        <v/>
      </c>
      <c r="T5085" s="79" t="str">
        <f>IF(ISERROR(FIND('112'!$M$9,G5085,1)),"",IF((AND(FIND('112'!$M$9,G5085,1)&gt;=1,B5085='112'!$K$9,OR($N5085='112'!$I$6,$O5085='112'!$I$6))),"x",""))</f>
        <v/>
      </c>
      <c r="U5085" s="79" t="str">
        <f>IF(ISERROR(FIND('112'!$M$9,G5085,1)),"",IF((AND(LEFT(G5085,2)=LEFT('112'!$M$9,2),B5085&lt;'112'!$K$9,$N5085='112'!$I$6)),"x",""))</f>
        <v/>
      </c>
      <c r="V5085" s="79" t="str">
        <f>IF(ISERROR(FIND('112'!$M$9,G5085,1)),"",IF((AND(RIGHT(G5085,2)=RIGHT('112'!$M$9,2),B5085&lt;'112'!$K$9,$O5085='112'!$I$6)),"x",""))</f>
        <v/>
      </c>
      <c r="W5085" s="79" t="str">
        <f>IF(AND('341-CT'!$H$9=H5085,OR(LEFT(N5085,3)=$W$7,LEFT(O5085,3)=$W$7)),"x","")</f>
        <v/>
      </c>
      <c r="X5085" s="79" t="str">
        <f>IF(OR(TH!N5085=TH!$X$7,O5085=TH!$X$7),"x","")</f>
        <v/>
      </c>
      <c r="Y5085" s="79" t="str">
        <f>IF(AND(OR(N5085="131",O5085="131"),H5085='131-CT'!$H$9),"x","")</f>
        <v/>
      </c>
      <c r="Z5085" s="79"/>
      <c r="AA5085" s="79" t="str">
        <f>IF(AND(MONTH(E5085)='IN-NX'!$J$5,'IN-NX'!$D$7=D5085),"x","")</f>
        <v/>
      </c>
      <c r="AB5085" s="79" t="str">
        <f>IF(AND(OR(LEFT(TH!N5085,2)="15",LEFT(TH!O5085,2)="15"),LEFT(TH!O5085,3)&lt;&gt;"111",'152-CT'!$J$8=TH!F5085),"x","")</f>
        <v/>
      </c>
      <c r="AC5085" s="79" t="str">
        <f>IF(AND(OR(LEFT(TH!N5085,2)="15",LEFT(TH!O5085,2)="15"),TK!$E$7=TH!F5085),"x","")</f>
        <v/>
      </c>
      <c r="AD5085" s="79" t="str">
        <f>IF(AND(N5085="1521",MONTH(C5085)='BK-NL'!$M$11),"x","")</f>
        <v/>
      </c>
    </row>
    <row r="5086" spans="1:30" ht="16.5" customHeight="1">
      <c r="A5086" s="318" t="str">
        <f>IF(B5086&lt;&gt;"",IF(AND(B5086='[3]IN-TC'!$S$4,OR([3]TH!N4308="1111",[3]TH!O4308="1111")),[3]TH!D4308,""),"")</f>
        <v/>
      </c>
      <c r="B5086" s="60" t="str">
        <f t="shared" si="500"/>
        <v/>
      </c>
      <c r="C5086" s="301"/>
      <c r="D5086" s="301"/>
      <c r="E5086" s="61"/>
      <c r="F5086" s="303"/>
      <c r="G5086" s="302"/>
      <c r="H5086" s="303"/>
      <c r="I5086" s="385"/>
      <c r="J5086" s="395"/>
      <c r="K5086" s="387"/>
      <c r="L5086" s="394"/>
      <c r="M5086" s="62"/>
      <c r="N5086" s="63"/>
      <c r="O5086" s="63"/>
      <c r="P5086" s="79" t="str">
        <f>IF(AND('331-CT'!$E$7=TH!H5086,OR(N5086="331",O5086="331")),"x","")</f>
        <v/>
      </c>
      <c r="Q5086" s="79" t="str">
        <f>IF(AND(B5086='111'!$L$11,OR($N5086=$Q$7,$O5086=$Q$7)),"x","")</f>
        <v/>
      </c>
      <c r="R5086" s="79" t="str">
        <f>IF(AND($N5086=$Q$7,$B5086&lt;'111'!$L$11),"x","")</f>
        <v/>
      </c>
      <c r="S5086" s="79" t="str">
        <f>IF(AND($O5086=$Q$7,$B5086&lt;'111'!$L$11),"x","")</f>
        <v/>
      </c>
      <c r="T5086" s="79" t="str">
        <f>IF(ISERROR(FIND('112'!$M$9,G5086,1)),"",IF((AND(FIND('112'!$M$9,G5086,1)&gt;=1,B5086='112'!$K$9,OR($N5086='112'!$I$6,$O5086='112'!$I$6))),"x",""))</f>
        <v/>
      </c>
      <c r="U5086" s="79" t="str">
        <f>IF(ISERROR(FIND('112'!$M$9,G5086,1)),"",IF((AND(LEFT(G5086,2)=LEFT('112'!$M$9,2),B5086&lt;'112'!$K$9,$N5086='112'!$I$6)),"x",""))</f>
        <v/>
      </c>
      <c r="V5086" s="79" t="str">
        <f>IF(ISERROR(FIND('112'!$M$9,G5086,1)),"",IF((AND(RIGHT(G5086,2)=RIGHT('112'!$M$9,2),B5086&lt;'112'!$K$9,$O5086='112'!$I$6)),"x",""))</f>
        <v/>
      </c>
      <c r="W5086" s="79" t="str">
        <f>IF(AND('341-CT'!$H$9=H5086,OR(LEFT(N5086,3)=$W$7,LEFT(O5086,3)=$W$7)),"x","")</f>
        <v/>
      </c>
      <c r="X5086" s="79" t="str">
        <f>IF(OR(TH!N5086=TH!$X$7,O5086=TH!$X$7),"x","")</f>
        <v/>
      </c>
      <c r="Y5086" s="79" t="str">
        <f>IF(AND(OR(N5086="131",O5086="131"),H5086='131-CT'!$H$9),"x","")</f>
        <v/>
      </c>
      <c r="Z5086" s="79"/>
      <c r="AA5086" s="79" t="str">
        <f>IF(AND(MONTH(E5086)='IN-NX'!$J$5,'IN-NX'!$D$7=D5086),"x","")</f>
        <v/>
      </c>
      <c r="AB5086" s="79" t="str">
        <f>IF(AND(OR(LEFT(TH!N5086,2)="15",LEFT(TH!O5086,2)="15"),LEFT(TH!O5086,3)&lt;&gt;"111",'152-CT'!$J$8=TH!F5086),"x","")</f>
        <v/>
      </c>
      <c r="AC5086" s="79" t="str">
        <f>IF(AND(OR(LEFT(TH!N5086,2)="15",LEFT(TH!O5086,2)="15"),TK!$E$7=TH!F5086),"x","")</f>
        <v/>
      </c>
      <c r="AD5086" s="79" t="str">
        <f>IF(AND(N5086="1521",MONTH(C5086)='BK-NL'!$M$11),"x","")</f>
        <v/>
      </c>
    </row>
    <row r="5087" spans="1:30" ht="16.5" customHeight="1">
      <c r="A5087" s="318" t="str">
        <f>IF(B5087&lt;&gt;"",IF(AND(B5087='[3]IN-TC'!$S$4,OR([3]TH!N4309="1111",[3]TH!O4309="1111")),[3]TH!D4309,""),"")</f>
        <v/>
      </c>
      <c r="B5087" s="60" t="str">
        <f t="shared" si="500"/>
        <v/>
      </c>
      <c r="C5087" s="301"/>
      <c r="D5087" s="301"/>
      <c r="E5087" s="61"/>
      <c r="F5087" s="303"/>
      <c r="G5087" s="302"/>
      <c r="H5087" s="303"/>
      <c r="I5087" s="385"/>
      <c r="J5087" s="395"/>
      <c r="K5087" s="387"/>
      <c r="L5087" s="394"/>
      <c r="M5087" s="62"/>
      <c r="N5087" s="63"/>
      <c r="O5087" s="63"/>
      <c r="P5087" s="79" t="str">
        <f>IF(AND('331-CT'!$E$7=TH!H5087,OR(N5087="331",O5087="331")),"x","")</f>
        <v/>
      </c>
      <c r="Q5087" s="79" t="str">
        <f>IF(AND(B5087='111'!$L$11,OR($N5087=$Q$7,$O5087=$Q$7)),"x","")</f>
        <v/>
      </c>
      <c r="R5087" s="79" t="str">
        <f>IF(AND($N5087=$Q$7,$B5087&lt;'111'!$L$11),"x","")</f>
        <v/>
      </c>
      <c r="S5087" s="79" t="str">
        <f>IF(AND($O5087=$Q$7,$B5087&lt;'111'!$L$11),"x","")</f>
        <v/>
      </c>
      <c r="T5087" s="79" t="str">
        <f>IF(ISERROR(FIND('112'!$M$9,G5087,1)),"",IF((AND(FIND('112'!$M$9,G5087,1)&gt;=1,B5087='112'!$K$9,OR($N5087='112'!$I$6,$O5087='112'!$I$6))),"x",""))</f>
        <v/>
      </c>
      <c r="U5087" s="79" t="str">
        <f>IF(ISERROR(FIND('112'!$M$9,G5087,1)),"",IF((AND(LEFT(G5087,2)=LEFT('112'!$M$9,2),B5087&lt;'112'!$K$9,$N5087='112'!$I$6)),"x",""))</f>
        <v/>
      </c>
      <c r="V5087" s="79" t="str">
        <f>IF(ISERROR(FIND('112'!$M$9,G5087,1)),"",IF((AND(RIGHT(G5087,2)=RIGHT('112'!$M$9,2),B5087&lt;'112'!$K$9,$O5087='112'!$I$6)),"x",""))</f>
        <v/>
      </c>
      <c r="W5087" s="79" t="str">
        <f>IF(AND('341-CT'!$H$9=H5087,OR(LEFT(N5087,3)=$W$7,LEFT(O5087,3)=$W$7)),"x","")</f>
        <v/>
      </c>
      <c r="X5087" s="79" t="str">
        <f>IF(OR(TH!N5087=TH!$X$7,O5087=TH!$X$7),"x","")</f>
        <v/>
      </c>
      <c r="Y5087" s="79" t="str">
        <f>IF(AND(OR(N5087="131",O5087="131"),H5087='131-CT'!$H$9),"x","")</f>
        <v/>
      </c>
      <c r="Z5087" s="79"/>
      <c r="AA5087" s="79" t="str">
        <f>IF(AND(MONTH(E5087)='IN-NX'!$J$5,'IN-NX'!$D$7=D5087),"x","")</f>
        <v/>
      </c>
      <c r="AB5087" s="79" t="str">
        <f>IF(AND(OR(LEFT(TH!N5087,2)="15",LEFT(TH!O5087,2)="15"),LEFT(TH!O5087,3)&lt;&gt;"111",'152-CT'!$J$8=TH!F5087),"x","")</f>
        <v/>
      </c>
      <c r="AC5087" s="79" t="str">
        <f>IF(AND(OR(LEFT(TH!N5087,2)="15",LEFT(TH!O5087,2)="15"),TK!$E$7=TH!F5087),"x","")</f>
        <v/>
      </c>
      <c r="AD5087" s="79" t="str">
        <f>IF(AND(N5087="1521",MONTH(C5087)='BK-NL'!$M$11),"x","")</f>
        <v/>
      </c>
    </row>
    <row r="5088" spans="1:30" ht="16.5" customHeight="1">
      <c r="A5088" s="318" t="str">
        <f>IF(B5088&lt;&gt;"",IF(AND(B5088='[3]IN-TC'!$S$4,OR([3]TH!N4310="1111",[3]TH!O4310="1111")),[3]TH!D4310,""),"")</f>
        <v/>
      </c>
      <c r="B5088" s="60" t="str">
        <f t="shared" si="500"/>
        <v/>
      </c>
      <c r="C5088" s="301"/>
      <c r="D5088" s="301"/>
      <c r="E5088" s="61"/>
      <c r="F5088" s="303"/>
      <c r="G5088" s="302"/>
      <c r="H5088" s="303"/>
      <c r="I5088" s="385"/>
      <c r="J5088" s="395"/>
      <c r="K5088" s="387"/>
      <c r="L5088" s="394"/>
      <c r="M5088" s="62"/>
      <c r="N5088" s="63"/>
      <c r="O5088" s="63"/>
      <c r="P5088" s="79" t="str">
        <f>IF(AND('331-CT'!$E$7=TH!H5088,OR(N5088="331",O5088="331")),"x","")</f>
        <v/>
      </c>
      <c r="Q5088" s="79" t="str">
        <f>IF(AND(B5088='111'!$L$11,OR($N5088=$Q$7,$O5088=$Q$7)),"x","")</f>
        <v/>
      </c>
      <c r="R5088" s="79" t="str">
        <f>IF(AND($N5088=$Q$7,$B5088&lt;'111'!$L$11),"x","")</f>
        <v/>
      </c>
      <c r="S5088" s="79" t="str">
        <f>IF(AND($O5088=$Q$7,$B5088&lt;'111'!$L$11),"x","")</f>
        <v/>
      </c>
      <c r="T5088" s="79" t="str">
        <f>IF(ISERROR(FIND('112'!$M$9,G5088,1)),"",IF((AND(FIND('112'!$M$9,G5088,1)&gt;=1,B5088='112'!$K$9,OR($N5088='112'!$I$6,$O5088='112'!$I$6))),"x",""))</f>
        <v/>
      </c>
      <c r="U5088" s="79" t="str">
        <f>IF(ISERROR(FIND('112'!$M$9,G5088,1)),"",IF((AND(LEFT(G5088,2)=LEFT('112'!$M$9,2),B5088&lt;'112'!$K$9,$N5088='112'!$I$6)),"x",""))</f>
        <v/>
      </c>
      <c r="V5088" s="79" t="str">
        <f>IF(ISERROR(FIND('112'!$M$9,G5088,1)),"",IF((AND(RIGHT(G5088,2)=RIGHT('112'!$M$9,2),B5088&lt;'112'!$K$9,$O5088='112'!$I$6)),"x",""))</f>
        <v/>
      </c>
      <c r="W5088" s="79" t="str">
        <f>IF(AND('341-CT'!$H$9=H5088,OR(LEFT(N5088,3)=$W$7,LEFT(O5088,3)=$W$7)),"x","")</f>
        <v/>
      </c>
      <c r="X5088" s="79" t="str">
        <f>IF(OR(TH!N5088=TH!$X$7,O5088=TH!$X$7),"x","")</f>
        <v/>
      </c>
      <c r="Y5088" s="79" t="str">
        <f>IF(AND(OR(N5088="131",O5088="131"),H5088='131-CT'!$H$9),"x","")</f>
        <v/>
      </c>
      <c r="Z5088" s="79"/>
      <c r="AA5088" s="79" t="str">
        <f>IF(AND(MONTH(E5088)='IN-NX'!$J$5,'IN-NX'!$D$7=D5088),"x","")</f>
        <v/>
      </c>
      <c r="AB5088" s="79" t="str">
        <f>IF(AND(OR(LEFT(TH!N5088,2)="15",LEFT(TH!O5088,2)="15"),LEFT(TH!O5088,3)&lt;&gt;"111",'152-CT'!$J$8=TH!F5088),"x","")</f>
        <v/>
      </c>
      <c r="AC5088" s="79" t="str">
        <f>IF(AND(OR(LEFT(TH!N5088,2)="15",LEFT(TH!O5088,2)="15"),TK!$E$7=TH!F5088),"x","")</f>
        <v/>
      </c>
      <c r="AD5088" s="79" t="str">
        <f>IF(AND(N5088="1521",MONTH(C5088)='BK-NL'!$M$11),"x","")</f>
        <v/>
      </c>
    </row>
    <row r="5089" spans="1:30" ht="16.5" customHeight="1">
      <c r="A5089" s="318" t="str">
        <f>IF(B5089&lt;&gt;"",IF(AND(B5089='[3]IN-TC'!$S$4,OR([3]TH!N4311="1111",[3]TH!O4311="1111")),[3]TH!D4311,""),"")</f>
        <v/>
      </c>
      <c r="B5089" s="60" t="str">
        <f t="shared" si="500"/>
        <v/>
      </c>
      <c r="C5089" s="301"/>
      <c r="D5089" s="301"/>
      <c r="E5089" s="61"/>
      <c r="F5089" s="303"/>
      <c r="G5089" s="302"/>
      <c r="H5089" s="303"/>
      <c r="I5089" s="385"/>
      <c r="J5089" s="395"/>
      <c r="K5089" s="387"/>
      <c r="L5089" s="394"/>
      <c r="M5089" s="62"/>
      <c r="N5089" s="63"/>
      <c r="O5089" s="63"/>
      <c r="P5089" s="79" t="str">
        <f>IF(AND('331-CT'!$E$7=TH!H5089,OR(N5089="331",O5089="331")),"x","")</f>
        <v/>
      </c>
      <c r="Q5089" s="79" t="str">
        <f>IF(AND(B5089='111'!$L$11,OR($N5089=$Q$7,$O5089=$Q$7)),"x","")</f>
        <v/>
      </c>
      <c r="R5089" s="79" t="str">
        <f>IF(AND($N5089=$Q$7,$B5089&lt;'111'!$L$11),"x","")</f>
        <v/>
      </c>
      <c r="S5089" s="79" t="str">
        <f>IF(AND($O5089=$Q$7,$B5089&lt;'111'!$L$11),"x","")</f>
        <v/>
      </c>
      <c r="T5089" s="79" t="str">
        <f>IF(ISERROR(FIND('112'!$M$9,G5089,1)),"",IF((AND(FIND('112'!$M$9,G5089,1)&gt;=1,B5089='112'!$K$9,OR($N5089='112'!$I$6,$O5089='112'!$I$6))),"x",""))</f>
        <v/>
      </c>
      <c r="U5089" s="79" t="str">
        <f>IF(ISERROR(FIND('112'!$M$9,G5089,1)),"",IF((AND(LEFT(G5089,2)=LEFT('112'!$M$9,2),B5089&lt;'112'!$K$9,$N5089='112'!$I$6)),"x",""))</f>
        <v/>
      </c>
      <c r="V5089" s="79" t="str">
        <f>IF(ISERROR(FIND('112'!$M$9,G5089,1)),"",IF((AND(RIGHT(G5089,2)=RIGHT('112'!$M$9,2),B5089&lt;'112'!$K$9,$O5089='112'!$I$6)),"x",""))</f>
        <v/>
      </c>
      <c r="W5089" s="79" t="str">
        <f>IF(AND('341-CT'!$H$9=H5089,OR(LEFT(N5089,3)=$W$7,LEFT(O5089,3)=$W$7)),"x","")</f>
        <v/>
      </c>
      <c r="X5089" s="79" t="str">
        <f>IF(OR(TH!N5089=TH!$X$7,O5089=TH!$X$7),"x","")</f>
        <v/>
      </c>
      <c r="Y5089" s="79" t="str">
        <f>IF(AND(OR(N5089="131",O5089="131"),H5089='131-CT'!$H$9),"x","")</f>
        <v/>
      </c>
      <c r="Z5089" s="79"/>
      <c r="AA5089" s="79" t="str">
        <f>IF(AND(MONTH(E5089)='IN-NX'!$J$5,'IN-NX'!$D$7=D5089),"x","")</f>
        <v/>
      </c>
      <c r="AB5089" s="79" t="str">
        <f>IF(AND(OR(LEFT(TH!N5089,2)="15",LEFT(TH!O5089,2)="15"),LEFT(TH!O5089,3)&lt;&gt;"111",'152-CT'!$J$8=TH!F5089),"x","")</f>
        <v/>
      </c>
      <c r="AC5089" s="79" t="str">
        <f>IF(AND(OR(LEFT(TH!N5089,2)="15",LEFT(TH!O5089,2)="15"),TK!$E$7=TH!F5089),"x","")</f>
        <v/>
      </c>
      <c r="AD5089" s="79" t="str">
        <f>IF(AND(N5089="1521",MONTH(C5089)='BK-NL'!$M$11),"x","")</f>
        <v/>
      </c>
    </row>
    <row r="5090" spans="1:30" ht="16.5" customHeight="1">
      <c r="A5090" s="318" t="str">
        <f>IF(B5090&lt;&gt;"",IF(AND(B5090='[3]IN-TC'!$S$4,OR([3]TH!N4312="1111",[3]TH!O4312="1111")),[3]TH!D4312,""),"")</f>
        <v/>
      </c>
      <c r="B5090" s="60" t="str">
        <f t="shared" si="500"/>
        <v/>
      </c>
      <c r="C5090" s="301"/>
      <c r="D5090" s="301"/>
      <c r="E5090" s="61"/>
      <c r="F5090" s="303"/>
      <c r="G5090" s="302"/>
      <c r="H5090" s="303"/>
      <c r="I5090" s="385"/>
      <c r="J5090" s="395"/>
      <c r="K5090" s="387"/>
      <c r="L5090" s="394"/>
      <c r="M5090" s="62"/>
      <c r="N5090" s="63"/>
      <c r="O5090" s="63"/>
      <c r="P5090" s="79" t="str">
        <f>IF(AND('331-CT'!$E$7=TH!H5090,OR(N5090="331",O5090="331")),"x","")</f>
        <v/>
      </c>
      <c r="Q5090" s="79" t="str">
        <f>IF(AND(B5090='111'!$L$11,OR($N5090=$Q$7,$O5090=$Q$7)),"x","")</f>
        <v/>
      </c>
      <c r="R5090" s="79" t="str">
        <f>IF(AND($N5090=$Q$7,$B5090&lt;'111'!$L$11),"x","")</f>
        <v/>
      </c>
      <c r="S5090" s="79" t="str">
        <f>IF(AND($O5090=$Q$7,$B5090&lt;'111'!$L$11),"x","")</f>
        <v/>
      </c>
      <c r="T5090" s="79" t="str">
        <f>IF(ISERROR(FIND('112'!$M$9,G5090,1)),"",IF((AND(FIND('112'!$M$9,G5090,1)&gt;=1,B5090='112'!$K$9,OR($N5090='112'!$I$6,$O5090='112'!$I$6))),"x",""))</f>
        <v/>
      </c>
      <c r="U5090" s="79" t="str">
        <f>IF(ISERROR(FIND('112'!$M$9,G5090,1)),"",IF((AND(LEFT(G5090,2)=LEFT('112'!$M$9,2),B5090&lt;'112'!$K$9,$N5090='112'!$I$6)),"x",""))</f>
        <v/>
      </c>
      <c r="V5090" s="79" t="str">
        <f>IF(ISERROR(FIND('112'!$M$9,G5090,1)),"",IF((AND(RIGHT(G5090,2)=RIGHT('112'!$M$9,2),B5090&lt;'112'!$K$9,$O5090='112'!$I$6)),"x",""))</f>
        <v/>
      </c>
      <c r="W5090" s="79" t="str">
        <f>IF(AND('341-CT'!$H$9=H5090,OR(LEFT(N5090,3)=$W$7,LEFT(O5090,3)=$W$7)),"x","")</f>
        <v/>
      </c>
      <c r="X5090" s="79" t="str">
        <f>IF(OR(TH!N5090=TH!$X$7,O5090=TH!$X$7),"x","")</f>
        <v/>
      </c>
      <c r="Y5090" s="79" t="str">
        <f>IF(AND(OR(N5090="131",O5090="131"),H5090='131-CT'!$H$9),"x","")</f>
        <v/>
      </c>
      <c r="Z5090" s="79"/>
      <c r="AA5090" s="79" t="str">
        <f>IF(AND(MONTH(E5090)='IN-NX'!$J$5,'IN-NX'!$D$7=D5090),"x","")</f>
        <v/>
      </c>
      <c r="AB5090" s="79" t="str">
        <f>IF(AND(OR(LEFT(TH!N5090,2)="15",LEFT(TH!O5090,2)="15"),LEFT(TH!O5090,3)&lt;&gt;"111",'152-CT'!$J$8=TH!F5090),"x","")</f>
        <v/>
      </c>
      <c r="AC5090" s="79" t="str">
        <f>IF(AND(OR(LEFT(TH!N5090,2)="15",LEFT(TH!O5090,2)="15"),TK!$E$7=TH!F5090),"x","")</f>
        <v/>
      </c>
      <c r="AD5090" s="79" t="str">
        <f>IF(AND(N5090="1521",MONTH(C5090)='BK-NL'!$M$11),"x","")</f>
        <v/>
      </c>
    </row>
    <row r="5091" spans="1:30" ht="16.5" customHeight="1">
      <c r="A5091" s="318" t="str">
        <f>IF(B5091&lt;&gt;"",IF(AND(B5091='[3]IN-TC'!$S$4,OR([3]TH!N4313="1111",[3]TH!O4313="1111")),[3]TH!D4313,""),"")</f>
        <v/>
      </c>
      <c r="B5091" s="60" t="str">
        <f t="shared" si="500"/>
        <v/>
      </c>
      <c r="C5091" s="301"/>
      <c r="D5091" s="301"/>
      <c r="E5091" s="61"/>
      <c r="F5091" s="303"/>
      <c r="G5091" s="302"/>
      <c r="H5091" s="303"/>
      <c r="I5091" s="385"/>
      <c r="J5091" s="395"/>
      <c r="K5091" s="387"/>
      <c r="L5091" s="394"/>
      <c r="M5091" s="62"/>
      <c r="N5091" s="63"/>
      <c r="O5091" s="63"/>
      <c r="P5091" s="79" t="str">
        <f>IF(AND('331-CT'!$E$7=TH!H5091,OR(N5091="331",O5091="331")),"x","")</f>
        <v/>
      </c>
      <c r="Q5091" s="79" t="str">
        <f>IF(AND(B5091='111'!$L$11,OR($N5091=$Q$7,$O5091=$Q$7)),"x","")</f>
        <v/>
      </c>
      <c r="R5091" s="79" t="str">
        <f>IF(AND($N5091=$Q$7,$B5091&lt;'111'!$L$11),"x","")</f>
        <v/>
      </c>
      <c r="S5091" s="79" t="str">
        <f>IF(AND($O5091=$Q$7,$B5091&lt;'111'!$L$11),"x","")</f>
        <v/>
      </c>
      <c r="T5091" s="79" t="str">
        <f>IF(ISERROR(FIND('112'!$M$9,G5091,1)),"",IF((AND(FIND('112'!$M$9,G5091,1)&gt;=1,B5091='112'!$K$9,OR($N5091='112'!$I$6,$O5091='112'!$I$6))),"x",""))</f>
        <v/>
      </c>
      <c r="U5091" s="79" t="str">
        <f>IF(ISERROR(FIND('112'!$M$9,G5091,1)),"",IF((AND(LEFT(G5091,2)=LEFT('112'!$M$9,2),B5091&lt;'112'!$K$9,$N5091='112'!$I$6)),"x",""))</f>
        <v/>
      </c>
      <c r="V5091" s="79" t="str">
        <f>IF(ISERROR(FIND('112'!$M$9,G5091,1)),"",IF((AND(RIGHT(G5091,2)=RIGHT('112'!$M$9,2),B5091&lt;'112'!$K$9,$O5091='112'!$I$6)),"x",""))</f>
        <v/>
      </c>
      <c r="W5091" s="79" t="str">
        <f>IF(AND('341-CT'!$H$9=H5091,OR(LEFT(N5091,3)=$W$7,LEFT(O5091,3)=$W$7)),"x","")</f>
        <v/>
      </c>
      <c r="X5091" s="79" t="str">
        <f>IF(OR(TH!N5091=TH!$X$7,O5091=TH!$X$7),"x","")</f>
        <v/>
      </c>
      <c r="Y5091" s="79" t="str">
        <f>IF(AND(OR(N5091="131",O5091="131"),H5091='131-CT'!$H$9),"x","")</f>
        <v/>
      </c>
      <c r="Z5091" s="79"/>
      <c r="AA5091" s="79" t="str">
        <f>IF(AND(MONTH(E5091)='IN-NX'!$J$5,'IN-NX'!$D$7=D5091),"x","")</f>
        <v/>
      </c>
      <c r="AB5091" s="79" t="str">
        <f>IF(AND(OR(LEFT(TH!N5091,2)="15",LEFT(TH!O5091,2)="15"),LEFT(TH!O5091,3)&lt;&gt;"111",'152-CT'!$J$8=TH!F5091),"x","")</f>
        <v/>
      </c>
      <c r="AC5091" s="79" t="str">
        <f>IF(AND(OR(LEFT(TH!N5091,2)="15",LEFT(TH!O5091,2)="15"),TK!$E$7=TH!F5091),"x","")</f>
        <v/>
      </c>
      <c r="AD5091" s="79" t="str">
        <f>IF(AND(N5091="1521",MONTH(C5091)='BK-NL'!$M$11),"x","")</f>
        <v/>
      </c>
    </row>
    <row r="5092" spans="1:30" ht="16.5" customHeight="1">
      <c r="A5092" s="318" t="str">
        <f>IF(B5092&lt;&gt;"",IF(AND(B5092='[3]IN-TC'!$S$4,OR([3]TH!N4314="1111",[3]TH!O4314="1111")),[3]TH!D4314,""),"")</f>
        <v/>
      </c>
      <c r="B5092" s="60" t="str">
        <f t="shared" si="500"/>
        <v/>
      </c>
      <c r="C5092" s="301"/>
      <c r="D5092" s="301"/>
      <c r="E5092" s="61"/>
      <c r="F5092" s="303"/>
      <c r="G5092" s="302"/>
      <c r="H5092" s="303"/>
      <c r="I5092" s="385"/>
      <c r="J5092" s="395"/>
      <c r="K5092" s="387"/>
      <c r="L5092" s="394"/>
      <c r="M5092" s="62"/>
      <c r="N5092" s="63"/>
      <c r="O5092" s="63"/>
      <c r="P5092" s="79" t="str">
        <f>IF(AND('331-CT'!$E$7=TH!H5092,OR(N5092="331",O5092="331")),"x","")</f>
        <v/>
      </c>
      <c r="Q5092" s="79" t="str">
        <f>IF(AND(B5092='111'!$L$11,OR($N5092=$Q$7,$O5092=$Q$7)),"x","")</f>
        <v/>
      </c>
      <c r="R5092" s="79" t="str">
        <f>IF(AND($N5092=$Q$7,$B5092&lt;'111'!$L$11),"x","")</f>
        <v/>
      </c>
      <c r="S5092" s="79" t="str">
        <f>IF(AND($O5092=$Q$7,$B5092&lt;'111'!$L$11),"x","")</f>
        <v/>
      </c>
      <c r="T5092" s="79" t="str">
        <f>IF(ISERROR(FIND('112'!$M$9,G5092,1)),"",IF((AND(FIND('112'!$M$9,G5092,1)&gt;=1,B5092='112'!$K$9,OR($N5092='112'!$I$6,$O5092='112'!$I$6))),"x",""))</f>
        <v/>
      </c>
      <c r="U5092" s="79" t="str">
        <f>IF(ISERROR(FIND('112'!$M$9,G5092,1)),"",IF((AND(LEFT(G5092,2)=LEFT('112'!$M$9,2),B5092&lt;'112'!$K$9,$N5092='112'!$I$6)),"x",""))</f>
        <v/>
      </c>
      <c r="V5092" s="79" t="str">
        <f>IF(ISERROR(FIND('112'!$M$9,G5092,1)),"",IF((AND(RIGHT(G5092,2)=RIGHT('112'!$M$9,2),B5092&lt;'112'!$K$9,$O5092='112'!$I$6)),"x",""))</f>
        <v/>
      </c>
      <c r="W5092" s="79" t="str">
        <f>IF(AND('341-CT'!$H$9=H5092,OR(LEFT(N5092,3)=$W$7,LEFT(O5092,3)=$W$7)),"x","")</f>
        <v/>
      </c>
      <c r="X5092" s="79" t="str">
        <f>IF(OR(TH!N5092=TH!$X$7,O5092=TH!$X$7),"x","")</f>
        <v/>
      </c>
      <c r="Y5092" s="79" t="str">
        <f>IF(AND(OR(N5092="131",O5092="131"),H5092='131-CT'!$H$9),"x","")</f>
        <v/>
      </c>
      <c r="Z5092" s="79"/>
      <c r="AA5092" s="79" t="str">
        <f>IF(AND(MONTH(E5092)='IN-NX'!$J$5,'IN-NX'!$D$7=D5092),"x","")</f>
        <v/>
      </c>
      <c r="AB5092" s="79" t="str">
        <f>IF(AND(OR(LEFT(TH!N5092,2)="15",LEFT(TH!O5092,2)="15"),LEFT(TH!O5092,3)&lt;&gt;"111",'152-CT'!$J$8=TH!F5092),"x","")</f>
        <v/>
      </c>
      <c r="AC5092" s="79" t="str">
        <f>IF(AND(OR(LEFT(TH!N5092,2)="15",LEFT(TH!O5092,2)="15"),TK!$E$7=TH!F5092),"x","")</f>
        <v/>
      </c>
      <c r="AD5092" s="79" t="str">
        <f>IF(AND(N5092="1521",MONTH(C5092)='BK-NL'!$M$11),"x","")</f>
        <v/>
      </c>
    </row>
    <row r="5093" spans="1:30" ht="16.5" customHeight="1">
      <c r="A5093" s="318" t="str">
        <f>IF(B5093&lt;&gt;"",IF(AND(B5093='[3]IN-TC'!$S$4,OR([3]TH!N4315="1111",[3]TH!O4315="1111")),[3]TH!D4315,""),"")</f>
        <v/>
      </c>
      <c r="B5093" s="60" t="str">
        <f t="shared" si="500"/>
        <v/>
      </c>
      <c r="C5093" s="301"/>
      <c r="D5093" s="301"/>
      <c r="E5093" s="61"/>
      <c r="F5093" s="303"/>
      <c r="G5093" s="302"/>
      <c r="H5093" s="303"/>
      <c r="I5093" s="385"/>
      <c r="J5093" s="395"/>
      <c r="K5093" s="387"/>
      <c r="L5093" s="394"/>
      <c r="M5093" s="62"/>
      <c r="N5093" s="63"/>
      <c r="O5093" s="63"/>
      <c r="P5093" s="79" t="str">
        <f>IF(AND('331-CT'!$E$7=TH!H5093,OR(N5093="331",O5093="331")),"x","")</f>
        <v/>
      </c>
      <c r="Q5093" s="79" t="str">
        <f>IF(AND(B5093='111'!$L$11,OR($N5093=$Q$7,$O5093=$Q$7)),"x","")</f>
        <v/>
      </c>
      <c r="R5093" s="79" t="str">
        <f>IF(AND($N5093=$Q$7,$B5093&lt;'111'!$L$11),"x","")</f>
        <v/>
      </c>
      <c r="S5093" s="79" t="str">
        <f>IF(AND($O5093=$Q$7,$B5093&lt;'111'!$L$11),"x","")</f>
        <v/>
      </c>
      <c r="T5093" s="79" t="str">
        <f>IF(ISERROR(FIND('112'!$M$9,G5093,1)),"",IF((AND(FIND('112'!$M$9,G5093,1)&gt;=1,B5093='112'!$K$9,OR($N5093='112'!$I$6,$O5093='112'!$I$6))),"x",""))</f>
        <v/>
      </c>
      <c r="U5093" s="79" t="str">
        <f>IF(ISERROR(FIND('112'!$M$9,G5093,1)),"",IF((AND(LEFT(G5093,2)=LEFT('112'!$M$9,2),B5093&lt;'112'!$K$9,$N5093='112'!$I$6)),"x",""))</f>
        <v/>
      </c>
      <c r="V5093" s="79" t="str">
        <f>IF(ISERROR(FIND('112'!$M$9,G5093,1)),"",IF((AND(RIGHT(G5093,2)=RIGHT('112'!$M$9,2),B5093&lt;'112'!$K$9,$O5093='112'!$I$6)),"x",""))</f>
        <v/>
      </c>
      <c r="W5093" s="79" t="str">
        <f>IF(AND('341-CT'!$H$9=H5093,OR(LEFT(N5093,3)=$W$7,LEFT(O5093,3)=$W$7)),"x","")</f>
        <v/>
      </c>
      <c r="X5093" s="79" t="str">
        <f>IF(OR(TH!N5093=TH!$X$7,O5093=TH!$X$7),"x","")</f>
        <v/>
      </c>
      <c r="Y5093" s="79" t="str">
        <f>IF(AND(OR(N5093="131",O5093="131"),H5093='131-CT'!$H$9),"x","")</f>
        <v/>
      </c>
      <c r="Z5093" s="79"/>
      <c r="AA5093" s="79" t="str">
        <f>IF(AND(MONTH(E5093)='IN-NX'!$J$5,'IN-NX'!$D$7=D5093),"x","")</f>
        <v/>
      </c>
      <c r="AB5093" s="79" t="str">
        <f>IF(AND(OR(LEFT(TH!N5093,2)="15",LEFT(TH!O5093,2)="15"),LEFT(TH!O5093,3)&lt;&gt;"111",'152-CT'!$J$8=TH!F5093),"x","")</f>
        <v/>
      </c>
      <c r="AC5093" s="79" t="str">
        <f>IF(AND(OR(LEFT(TH!N5093,2)="15",LEFT(TH!O5093,2)="15"),TK!$E$7=TH!F5093),"x","")</f>
        <v/>
      </c>
      <c r="AD5093" s="79" t="str">
        <f>IF(AND(N5093="1521",MONTH(C5093)='BK-NL'!$M$11),"x","")</f>
        <v/>
      </c>
    </row>
    <row r="5094" spans="1:30" ht="16.5" customHeight="1">
      <c r="A5094" s="318" t="str">
        <f>IF(B5094&lt;&gt;"",IF(AND(B5094='[3]IN-TC'!$S$4,OR([3]TH!N4316="1111",[3]TH!O4316="1111")),[3]TH!D4316,""),"")</f>
        <v/>
      </c>
      <c r="B5094" s="60" t="str">
        <f t="shared" si="500"/>
        <v/>
      </c>
      <c r="C5094" s="301"/>
      <c r="D5094" s="301"/>
      <c r="E5094" s="61"/>
      <c r="F5094" s="303"/>
      <c r="G5094" s="302"/>
      <c r="H5094" s="303"/>
      <c r="I5094" s="385"/>
      <c r="J5094" s="395"/>
      <c r="K5094" s="387"/>
      <c r="L5094" s="394"/>
      <c r="M5094" s="62"/>
      <c r="N5094" s="63"/>
      <c r="O5094" s="63"/>
      <c r="P5094" s="79" t="str">
        <f>IF(AND('331-CT'!$E$7=TH!H5094,OR(N5094="331",O5094="331")),"x","")</f>
        <v/>
      </c>
      <c r="Q5094" s="79" t="str">
        <f>IF(AND(B5094='111'!$L$11,OR($N5094=$Q$7,$O5094=$Q$7)),"x","")</f>
        <v/>
      </c>
      <c r="R5094" s="79" t="str">
        <f>IF(AND($N5094=$Q$7,$B5094&lt;'111'!$L$11),"x","")</f>
        <v/>
      </c>
      <c r="S5094" s="79" t="str">
        <f>IF(AND($O5094=$Q$7,$B5094&lt;'111'!$L$11),"x","")</f>
        <v/>
      </c>
      <c r="T5094" s="79" t="str">
        <f>IF(ISERROR(FIND('112'!$M$9,G5094,1)),"",IF((AND(FIND('112'!$M$9,G5094,1)&gt;=1,B5094='112'!$K$9,OR($N5094='112'!$I$6,$O5094='112'!$I$6))),"x",""))</f>
        <v/>
      </c>
      <c r="U5094" s="79" t="str">
        <f>IF(ISERROR(FIND('112'!$M$9,G5094,1)),"",IF((AND(LEFT(G5094,2)=LEFT('112'!$M$9,2),B5094&lt;'112'!$K$9,$N5094='112'!$I$6)),"x",""))</f>
        <v/>
      </c>
      <c r="V5094" s="79" t="str">
        <f>IF(ISERROR(FIND('112'!$M$9,G5094,1)),"",IF((AND(RIGHT(G5094,2)=RIGHT('112'!$M$9,2),B5094&lt;'112'!$K$9,$O5094='112'!$I$6)),"x",""))</f>
        <v/>
      </c>
      <c r="W5094" s="79" t="str">
        <f>IF(AND('341-CT'!$H$9=H5094,OR(LEFT(N5094,3)=$W$7,LEFT(O5094,3)=$W$7)),"x","")</f>
        <v/>
      </c>
      <c r="X5094" s="79" t="str">
        <f>IF(OR(TH!N5094=TH!$X$7,O5094=TH!$X$7),"x","")</f>
        <v/>
      </c>
      <c r="Y5094" s="79" t="str">
        <f>IF(AND(OR(N5094="131",O5094="131"),H5094='131-CT'!$H$9),"x","")</f>
        <v/>
      </c>
      <c r="Z5094" s="79"/>
      <c r="AA5094" s="79" t="str">
        <f>IF(AND(MONTH(E5094)='IN-NX'!$J$5,'IN-NX'!$D$7=D5094),"x","")</f>
        <v/>
      </c>
      <c r="AB5094" s="79" t="str">
        <f>IF(AND(OR(LEFT(TH!N5094,2)="15",LEFT(TH!O5094,2)="15"),LEFT(TH!O5094,3)&lt;&gt;"111",'152-CT'!$J$8=TH!F5094),"x","")</f>
        <v/>
      </c>
      <c r="AC5094" s="79" t="str">
        <f>IF(AND(OR(LEFT(TH!N5094,2)="15",LEFT(TH!O5094,2)="15"),TK!$E$7=TH!F5094),"x","")</f>
        <v/>
      </c>
      <c r="AD5094" s="79" t="str">
        <f>IF(AND(N5094="1521",MONTH(C5094)='BK-NL'!$M$11),"x","")</f>
        <v/>
      </c>
    </row>
    <row r="5095" spans="1:30" ht="16.5" customHeight="1">
      <c r="A5095" s="318" t="str">
        <f>IF(B5095&lt;&gt;"",IF(AND(B5095='[3]IN-TC'!$S$4,OR([3]TH!N4317="1111",[3]TH!O4317="1111")),[3]TH!D4317,""),"")</f>
        <v/>
      </c>
      <c r="B5095" s="60" t="str">
        <f t="shared" si="500"/>
        <v/>
      </c>
      <c r="C5095" s="301"/>
      <c r="D5095" s="301"/>
      <c r="E5095" s="61"/>
      <c r="F5095" s="303"/>
      <c r="G5095" s="302"/>
      <c r="H5095" s="303"/>
      <c r="I5095" s="385"/>
      <c r="J5095" s="395"/>
      <c r="K5095" s="387"/>
      <c r="L5095" s="394"/>
      <c r="M5095" s="62"/>
      <c r="N5095" s="63"/>
      <c r="O5095" s="63"/>
      <c r="P5095" s="79" t="str">
        <f>IF(AND('331-CT'!$E$7=TH!H5095,OR(N5095="331",O5095="331")),"x","")</f>
        <v/>
      </c>
      <c r="Q5095" s="79" t="str">
        <f>IF(AND(B5095='111'!$L$11,OR($N5095=$Q$7,$O5095=$Q$7)),"x","")</f>
        <v/>
      </c>
      <c r="R5095" s="79" t="str">
        <f>IF(AND($N5095=$Q$7,$B5095&lt;'111'!$L$11),"x","")</f>
        <v/>
      </c>
      <c r="S5095" s="79" t="str">
        <f>IF(AND($O5095=$Q$7,$B5095&lt;'111'!$L$11),"x","")</f>
        <v/>
      </c>
      <c r="T5095" s="79" t="str">
        <f>IF(ISERROR(FIND('112'!$M$9,G5095,1)),"",IF((AND(FIND('112'!$M$9,G5095,1)&gt;=1,B5095='112'!$K$9,OR($N5095='112'!$I$6,$O5095='112'!$I$6))),"x",""))</f>
        <v/>
      </c>
      <c r="U5095" s="79" t="str">
        <f>IF(ISERROR(FIND('112'!$M$9,G5095,1)),"",IF((AND(LEFT(G5095,2)=LEFT('112'!$M$9,2),B5095&lt;'112'!$K$9,$N5095='112'!$I$6)),"x",""))</f>
        <v/>
      </c>
      <c r="V5095" s="79" t="str">
        <f>IF(ISERROR(FIND('112'!$M$9,G5095,1)),"",IF((AND(RIGHT(G5095,2)=RIGHT('112'!$M$9,2),B5095&lt;'112'!$K$9,$O5095='112'!$I$6)),"x",""))</f>
        <v/>
      </c>
      <c r="W5095" s="79" t="str">
        <f>IF(AND('341-CT'!$H$9=H5095,OR(LEFT(N5095,3)=$W$7,LEFT(O5095,3)=$W$7)),"x","")</f>
        <v/>
      </c>
      <c r="X5095" s="79" t="str">
        <f>IF(OR(TH!N5095=TH!$X$7,O5095=TH!$X$7),"x","")</f>
        <v/>
      </c>
      <c r="Y5095" s="79" t="str">
        <f>IF(AND(OR(N5095="131",O5095="131"),H5095='131-CT'!$H$9),"x","")</f>
        <v/>
      </c>
      <c r="Z5095" s="79"/>
      <c r="AA5095" s="79" t="str">
        <f>IF(AND(MONTH(E5095)='IN-NX'!$J$5,'IN-NX'!$D$7=D5095),"x","")</f>
        <v/>
      </c>
      <c r="AB5095" s="79" t="str">
        <f>IF(AND(OR(LEFT(TH!N5095,2)="15",LEFT(TH!O5095,2)="15"),LEFT(TH!O5095,3)&lt;&gt;"111",'152-CT'!$J$8=TH!F5095),"x","")</f>
        <v/>
      </c>
      <c r="AC5095" s="79" t="str">
        <f>IF(AND(OR(LEFT(TH!N5095,2)="15",LEFT(TH!O5095,2)="15"),TK!$E$7=TH!F5095),"x","")</f>
        <v/>
      </c>
      <c r="AD5095" s="79" t="str">
        <f>IF(AND(N5095="1521",MONTH(C5095)='BK-NL'!$M$11),"x","")</f>
        <v/>
      </c>
    </row>
    <row r="5096" spans="1:30" ht="16.5" customHeight="1">
      <c r="A5096" s="318" t="str">
        <f>IF(B5096&lt;&gt;"",IF(AND(B5096='[3]IN-TC'!$S$4,OR([3]TH!N4318="1111",[3]TH!O4318="1111")),[3]TH!D4318,""),"")</f>
        <v/>
      </c>
      <c r="B5096" s="60" t="str">
        <f t="shared" si="500"/>
        <v/>
      </c>
      <c r="C5096" s="301"/>
      <c r="D5096" s="301"/>
      <c r="E5096" s="61"/>
      <c r="F5096" s="303"/>
      <c r="G5096" s="302"/>
      <c r="H5096" s="303"/>
      <c r="I5096" s="385"/>
      <c r="J5096" s="395"/>
      <c r="K5096" s="387"/>
      <c r="L5096" s="394"/>
      <c r="M5096" s="62"/>
      <c r="N5096" s="63"/>
      <c r="O5096" s="63"/>
      <c r="P5096" s="79" t="str">
        <f>IF(AND('331-CT'!$E$7=TH!H5096,OR(N5096="331",O5096="331")),"x","")</f>
        <v/>
      </c>
      <c r="Q5096" s="79" t="str">
        <f>IF(AND(B5096='111'!$L$11,OR($N5096=$Q$7,$O5096=$Q$7)),"x","")</f>
        <v/>
      </c>
      <c r="R5096" s="79" t="str">
        <f>IF(AND($N5096=$Q$7,$B5096&lt;'111'!$L$11),"x","")</f>
        <v/>
      </c>
      <c r="S5096" s="79" t="str">
        <f>IF(AND($O5096=$Q$7,$B5096&lt;'111'!$L$11),"x","")</f>
        <v/>
      </c>
      <c r="T5096" s="79" t="str">
        <f>IF(ISERROR(FIND('112'!$M$9,G5096,1)),"",IF((AND(FIND('112'!$M$9,G5096,1)&gt;=1,B5096='112'!$K$9,OR($N5096='112'!$I$6,$O5096='112'!$I$6))),"x",""))</f>
        <v/>
      </c>
      <c r="U5096" s="79" t="str">
        <f>IF(ISERROR(FIND('112'!$M$9,G5096,1)),"",IF((AND(LEFT(G5096,2)=LEFT('112'!$M$9,2),B5096&lt;'112'!$K$9,$N5096='112'!$I$6)),"x",""))</f>
        <v/>
      </c>
      <c r="V5096" s="79" t="str">
        <f>IF(ISERROR(FIND('112'!$M$9,G5096,1)),"",IF((AND(RIGHT(G5096,2)=RIGHT('112'!$M$9,2),B5096&lt;'112'!$K$9,$O5096='112'!$I$6)),"x",""))</f>
        <v/>
      </c>
      <c r="W5096" s="79" t="str">
        <f>IF(AND('341-CT'!$H$9=H5096,OR(LEFT(N5096,3)=$W$7,LEFT(O5096,3)=$W$7)),"x","")</f>
        <v/>
      </c>
      <c r="X5096" s="79" t="str">
        <f>IF(OR(TH!N5096=TH!$X$7,O5096=TH!$X$7),"x","")</f>
        <v/>
      </c>
      <c r="Y5096" s="79" t="str">
        <f>IF(AND(OR(N5096="131",O5096="131"),H5096='131-CT'!$H$9),"x","")</f>
        <v/>
      </c>
      <c r="Z5096" s="79"/>
      <c r="AA5096" s="79" t="str">
        <f>IF(AND(MONTH(E5096)='IN-NX'!$J$5,'IN-NX'!$D$7=D5096),"x","")</f>
        <v/>
      </c>
      <c r="AB5096" s="79" t="str">
        <f>IF(AND(OR(LEFT(TH!N5096,2)="15",LEFT(TH!O5096,2)="15"),LEFT(TH!O5096,3)&lt;&gt;"111",'152-CT'!$J$8=TH!F5096),"x","")</f>
        <v/>
      </c>
      <c r="AC5096" s="79" t="str">
        <f>IF(AND(OR(LEFT(TH!N5096,2)="15",LEFT(TH!O5096,2)="15"),TK!$E$7=TH!F5096),"x","")</f>
        <v/>
      </c>
      <c r="AD5096" s="79" t="str">
        <f>IF(AND(N5096="1521",MONTH(C5096)='BK-NL'!$M$11),"x","")</f>
        <v/>
      </c>
    </row>
    <row r="5097" spans="1:30" ht="16.5" customHeight="1">
      <c r="A5097" s="318" t="str">
        <f>IF(B5097&lt;&gt;"",IF(AND(B5097='[3]IN-TC'!$S$4,OR([3]TH!N4319="1111",[3]TH!O4319="1111")),[3]TH!D4319,""),"")</f>
        <v/>
      </c>
      <c r="B5097" s="60" t="str">
        <f t="shared" si="500"/>
        <v/>
      </c>
      <c r="C5097" s="301"/>
      <c r="D5097" s="301"/>
      <c r="E5097" s="61"/>
      <c r="F5097" s="303"/>
      <c r="G5097" s="302"/>
      <c r="H5097" s="303"/>
      <c r="I5097" s="385"/>
      <c r="J5097" s="395"/>
      <c r="K5097" s="387"/>
      <c r="L5097" s="394"/>
      <c r="M5097" s="62"/>
      <c r="N5097" s="63"/>
      <c r="O5097" s="63"/>
      <c r="P5097" s="79" t="str">
        <f>IF(AND('331-CT'!$E$7=TH!H5097,OR(N5097="331",O5097="331")),"x","")</f>
        <v/>
      </c>
      <c r="Q5097" s="79" t="str">
        <f>IF(AND(B5097='111'!$L$11,OR($N5097=$Q$7,$O5097=$Q$7)),"x","")</f>
        <v/>
      </c>
      <c r="R5097" s="79" t="str">
        <f>IF(AND($N5097=$Q$7,$B5097&lt;'111'!$L$11),"x","")</f>
        <v/>
      </c>
      <c r="S5097" s="79" t="str">
        <f>IF(AND($O5097=$Q$7,$B5097&lt;'111'!$L$11),"x","")</f>
        <v/>
      </c>
      <c r="T5097" s="79" t="str">
        <f>IF(ISERROR(FIND('112'!$M$9,G5097,1)),"",IF((AND(FIND('112'!$M$9,G5097,1)&gt;=1,B5097='112'!$K$9,OR($N5097='112'!$I$6,$O5097='112'!$I$6))),"x",""))</f>
        <v/>
      </c>
      <c r="U5097" s="79" t="str">
        <f>IF(ISERROR(FIND('112'!$M$9,G5097,1)),"",IF((AND(LEFT(G5097,2)=LEFT('112'!$M$9,2),B5097&lt;'112'!$K$9,$N5097='112'!$I$6)),"x",""))</f>
        <v/>
      </c>
      <c r="V5097" s="79" t="str">
        <f>IF(ISERROR(FIND('112'!$M$9,G5097,1)),"",IF((AND(RIGHT(G5097,2)=RIGHT('112'!$M$9,2),B5097&lt;'112'!$K$9,$O5097='112'!$I$6)),"x",""))</f>
        <v/>
      </c>
      <c r="W5097" s="79" t="str">
        <f>IF(AND('341-CT'!$H$9=H5097,OR(LEFT(N5097,3)=$W$7,LEFT(O5097,3)=$W$7)),"x","")</f>
        <v/>
      </c>
      <c r="X5097" s="79" t="str">
        <f>IF(OR(TH!N5097=TH!$X$7,O5097=TH!$X$7),"x","")</f>
        <v/>
      </c>
      <c r="Y5097" s="79" t="str">
        <f>IF(AND(OR(N5097="131",O5097="131"),H5097='131-CT'!$H$9),"x","")</f>
        <v/>
      </c>
      <c r="Z5097" s="79"/>
      <c r="AA5097" s="79" t="str">
        <f>IF(AND(MONTH(E5097)='IN-NX'!$J$5,'IN-NX'!$D$7=D5097),"x","")</f>
        <v/>
      </c>
      <c r="AB5097" s="79" t="str">
        <f>IF(AND(OR(LEFT(TH!N5097,2)="15",LEFT(TH!O5097,2)="15"),LEFT(TH!O5097,3)&lt;&gt;"111",'152-CT'!$J$8=TH!F5097),"x","")</f>
        <v/>
      </c>
      <c r="AC5097" s="79" t="str">
        <f>IF(AND(OR(LEFT(TH!N5097,2)="15",LEFT(TH!O5097,2)="15"),TK!$E$7=TH!F5097),"x","")</f>
        <v/>
      </c>
      <c r="AD5097" s="79" t="str">
        <f>IF(AND(N5097="1521",MONTH(C5097)='BK-NL'!$M$11),"x","")</f>
        <v/>
      </c>
    </row>
    <row r="5098" spans="1:30" ht="16.5" customHeight="1">
      <c r="A5098" s="318" t="str">
        <f>IF(B5098&lt;&gt;"",IF(AND(B5098='[3]IN-TC'!$S$4,OR([3]TH!N4320="1111",[3]TH!O4320="1111")),[3]TH!D4320,""),"")</f>
        <v/>
      </c>
      <c r="B5098" s="60" t="str">
        <f t="shared" si="500"/>
        <v/>
      </c>
      <c r="C5098" s="301"/>
      <c r="D5098" s="301"/>
      <c r="E5098" s="61"/>
      <c r="F5098" s="303"/>
      <c r="G5098" s="302"/>
      <c r="H5098" s="303"/>
      <c r="I5098" s="385"/>
      <c r="J5098" s="395"/>
      <c r="K5098" s="387"/>
      <c r="L5098" s="394"/>
      <c r="M5098" s="62"/>
      <c r="N5098" s="63"/>
      <c r="O5098" s="63"/>
      <c r="P5098" s="79" t="str">
        <f>IF(AND('331-CT'!$E$7=TH!H5098,OR(N5098="331",O5098="331")),"x","")</f>
        <v/>
      </c>
      <c r="Q5098" s="79" t="str">
        <f>IF(AND(B5098='111'!$L$11,OR($N5098=$Q$7,$O5098=$Q$7)),"x","")</f>
        <v/>
      </c>
      <c r="R5098" s="79" t="str">
        <f>IF(AND($N5098=$Q$7,$B5098&lt;'111'!$L$11),"x","")</f>
        <v/>
      </c>
      <c r="S5098" s="79" t="str">
        <f>IF(AND($O5098=$Q$7,$B5098&lt;'111'!$L$11),"x","")</f>
        <v/>
      </c>
      <c r="T5098" s="79" t="str">
        <f>IF(ISERROR(FIND('112'!$M$9,G5098,1)),"",IF((AND(FIND('112'!$M$9,G5098,1)&gt;=1,B5098='112'!$K$9,OR($N5098='112'!$I$6,$O5098='112'!$I$6))),"x",""))</f>
        <v/>
      </c>
      <c r="U5098" s="79" t="str">
        <f>IF(ISERROR(FIND('112'!$M$9,G5098,1)),"",IF((AND(LEFT(G5098,2)=LEFT('112'!$M$9,2),B5098&lt;'112'!$K$9,$N5098='112'!$I$6)),"x",""))</f>
        <v/>
      </c>
      <c r="V5098" s="79" t="str">
        <f>IF(ISERROR(FIND('112'!$M$9,G5098,1)),"",IF((AND(RIGHT(G5098,2)=RIGHT('112'!$M$9,2),B5098&lt;'112'!$K$9,$O5098='112'!$I$6)),"x",""))</f>
        <v/>
      </c>
      <c r="W5098" s="79" t="str">
        <f>IF(AND('341-CT'!$H$9=H5098,OR(LEFT(N5098,3)=$W$7,LEFT(O5098,3)=$W$7)),"x","")</f>
        <v/>
      </c>
      <c r="X5098" s="79" t="str">
        <f>IF(OR(TH!N5098=TH!$X$7,O5098=TH!$X$7),"x","")</f>
        <v/>
      </c>
      <c r="Y5098" s="79" t="str">
        <f>IF(AND(OR(N5098="131",O5098="131"),H5098='131-CT'!$H$9),"x","")</f>
        <v/>
      </c>
      <c r="Z5098" s="79"/>
      <c r="AA5098" s="79" t="str">
        <f>IF(AND(MONTH(E5098)='IN-NX'!$J$5,'IN-NX'!$D$7=D5098),"x","")</f>
        <v/>
      </c>
      <c r="AB5098" s="79" t="str">
        <f>IF(AND(OR(LEFT(TH!N5098,2)="15",LEFT(TH!O5098,2)="15"),LEFT(TH!O5098,3)&lt;&gt;"111",'152-CT'!$J$8=TH!F5098),"x","")</f>
        <v/>
      </c>
      <c r="AC5098" s="79" t="str">
        <f>IF(AND(OR(LEFT(TH!N5098,2)="15",LEFT(TH!O5098,2)="15"),TK!$E$7=TH!F5098),"x","")</f>
        <v/>
      </c>
      <c r="AD5098" s="79" t="str">
        <f>IF(AND(N5098="1521",MONTH(C5098)='BK-NL'!$M$11),"x","")</f>
        <v/>
      </c>
    </row>
    <row r="5099" spans="1:30" ht="16.5" customHeight="1">
      <c r="A5099" s="318" t="str">
        <f>IF(B5099&lt;&gt;"",IF(AND(B5099='[3]IN-TC'!$S$4,OR([3]TH!N4321="1111",[3]TH!O4321="1111")),[3]TH!D4321,""),"")</f>
        <v/>
      </c>
      <c r="B5099" s="60" t="str">
        <f t="shared" si="500"/>
        <v/>
      </c>
      <c r="C5099" s="301"/>
      <c r="D5099" s="301"/>
      <c r="E5099" s="61"/>
      <c r="F5099" s="303"/>
      <c r="G5099" s="302"/>
      <c r="H5099" s="303"/>
      <c r="I5099" s="385"/>
      <c r="J5099" s="395"/>
      <c r="K5099" s="387"/>
      <c r="L5099" s="394"/>
      <c r="M5099" s="62"/>
      <c r="N5099" s="63"/>
      <c r="O5099" s="63"/>
      <c r="P5099" s="79" t="str">
        <f>IF(AND('331-CT'!$E$7=TH!H5099,OR(N5099="331",O5099="331")),"x","")</f>
        <v/>
      </c>
      <c r="Q5099" s="79" t="str">
        <f>IF(AND(B5099='111'!$L$11,OR($N5099=$Q$7,$O5099=$Q$7)),"x","")</f>
        <v/>
      </c>
      <c r="R5099" s="79" t="str">
        <f>IF(AND($N5099=$Q$7,$B5099&lt;'111'!$L$11),"x","")</f>
        <v/>
      </c>
      <c r="S5099" s="79" t="str">
        <f>IF(AND($O5099=$Q$7,$B5099&lt;'111'!$L$11),"x","")</f>
        <v/>
      </c>
      <c r="T5099" s="79" t="str">
        <f>IF(ISERROR(FIND('112'!$M$9,G5099,1)),"",IF((AND(FIND('112'!$M$9,G5099,1)&gt;=1,B5099='112'!$K$9,OR($N5099='112'!$I$6,$O5099='112'!$I$6))),"x",""))</f>
        <v/>
      </c>
      <c r="U5099" s="79" t="str">
        <f>IF(ISERROR(FIND('112'!$M$9,G5099,1)),"",IF((AND(LEFT(G5099,2)=LEFT('112'!$M$9,2),B5099&lt;'112'!$K$9,$N5099='112'!$I$6)),"x",""))</f>
        <v/>
      </c>
      <c r="V5099" s="79" t="str">
        <f>IF(ISERROR(FIND('112'!$M$9,G5099,1)),"",IF((AND(RIGHT(G5099,2)=RIGHT('112'!$M$9,2),B5099&lt;'112'!$K$9,$O5099='112'!$I$6)),"x",""))</f>
        <v/>
      </c>
      <c r="W5099" s="79" t="str">
        <f>IF(AND('341-CT'!$H$9=H5099,OR(LEFT(N5099,3)=$W$7,LEFT(O5099,3)=$W$7)),"x","")</f>
        <v/>
      </c>
      <c r="X5099" s="79" t="str">
        <f>IF(OR(TH!N5099=TH!$X$7,O5099=TH!$X$7),"x","")</f>
        <v/>
      </c>
      <c r="Y5099" s="79" t="str">
        <f>IF(AND(OR(N5099="131",O5099="131"),H5099='131-CT'!$H$9),"x","")</f>
        <v/>
      </c>
      <c r="Z5099" s="79"/>
      <c r="AA5099" s="79" t="str">
        <f>IF(AND(MONTH(E5099)='IN-NX'!$J$5,'IN-NX'!$D$7=D5099),"x","")</f>
        <v/>
      </c>
      <c r="AB5099" s="79" t="str">
        <f>IF(AND(OR(LEFT(TH!N5099,2)="15",LEFT(TH!O5099,2)="15"),LEFT(TH!O5099,3)&lt;&gt;"111",'152-CT'!$J$8=TH!F5099),"x","")</f>
        <v/>
      </c>
      <c r="AC5099" s="79" t="str">
        <f>IF(AND(OR(LEFT(TH!N5099,2)="15",LEFT(TH!O5099,2)="15"),TK!$E$7=TH!F5099),"x","")</f>
        <v/>
      </c>
      <c r="AD5099" s="79" t="str">
        <f>IF(AND(N5099="1521",MONTH(C5099)='BK-NL'!$M$11),"x","")</f>
        <v/>
      </c>
    </row>
    <row r="5100" spans="1:30" ht="16.5" customHeight="1">
      <c r="A5100" s="318" t="str">
        <f>IF(B5100&lt;&gt;"",IF(AND(B5100='[3]IN-TC'!$S$4,OR([3]TH!N4322="1111",[3]TH!O4322="1111")),[3]TH!D4322,""),"")</f>
        <v/>
      </c>
      <c r="B5100" s="60" t="str">
        <f t="shared" si="500"/>
        <v/>
      </c>
      <c r="C5100" s="301"/>
      <c r="D5100" s="301"/>
      <c r="E5100" s="61"/>
      <c r="F5100" s="303"/>
      <c r="G5100" s="302"/>
      <c r="H5100" s="303"/>
      <c r="I5100" s="385"/>
      <c r="J5100" s="395"/>
      <c r="K5100" s="387"/>
      <c r="L5100" s="394"/>
      <c r="M5100" s="62"/>
      <c r="N5100" s="63"/>
      <c r="O5100" s="63"/>
      <c r="P5100" s="79" t="str">
        <f>IF(AND('331-CT'!$E$7=TH!H5100,OR(N5100="331",O5100="331")),"x","")</f>
        <v/>
      </c>
      <c r="Q5100" s="79" t="str">
        <f>IF(AND(B5100='111'!$L$11,OR($N5100=$Q$7,$O5100=$Q$7)),"x","")</f>
        <v/>
      </c>
      <c r="R5100" s="79" t="str">
        <f>IF(AND($N5100=$Q$7,$B5100&lt;'111'!$L$11),"x","")</f>
        <v/>
      </c>
      <c r="S5100" s="79" t="str">
        <f>IF(AND($O5100=$Q$7,$B5100&lt;'111'!$L$11),"x","")</f>
        <v/>
      </c>
      <c r="T5100" s="79" t="str">
        <f>IF(ISERROR(FIND('112'!$M$9,G5100,1)),"",IF((AND(FIND('112'!$M$9,G5100,1)&gt;=1,B5100='112'!$K$9,OR($N5100='112'!$I$6,$O5100='112'!$I$6))),"x",""))</f>
        <v/>
      </c>
      <c r="U5100" s="79" t="str">
        <f>IF(ISERROR(FIND('112'!$M$9,G5100,1)),"",IF((AND(LEFT(G5100,2)=LEFT('112'!$M$9,2),B5100&lt;'112'!$K$9,$N5100='112'!$I$6)),"x",""))</f>
        <v/>
      </c>
      <c r="V5100" s="79" t="str">
        <f>IF(ISERROR(FIND('112'!$M$9,G5100,1)),"",IF((AND(RIGHT(G5100,2)=RIGHT('112'!$M$9,2),B5100&lt;'112'!$K$9,$O5100='112'!$I$6)),"x",""))</f>
        <v/>
      </c>
      <c r="W5100" s="79" t="str">
        <f>IF(AND('341-CT'!$H$9=H5100,OR(LEFT(N5100,3)=$W$7,LEFT(O5100,3)=$W$7)),"x","")</f>
        <v/>
      </c>
      <c r="X5100" s="79" t="str">
        <f>IF(OR(TH!N5100=TH!$X$7,O5100=TH!$X$7),"x","")</f>
        <v/>
      </c>
      <c r="Y5100" s="79" t="str">
        <f>IF(AND(OR(N5100="131",O5100="131"),H5100='131-CT'!$H$9),"x","")</f>
        <v/>
      </c>
      <c r="Z5100" s="79"/>
      <c r="AA5100" s="79" t="str">
        <f>IF(AND(MONTH(E5100)='IN-NX'!$J$5,'IN-NX'!$D$7=D5100),"x","")</f>
        <v/>
      </c>
      <c r="AB5100" s="79" t="str">
        <f>IF(AND(OR(LEFT(TH!N5100,2)="15",LEFT(TH!O5100,2)="15"),LEFT(TH!O5100,3)&lt;&gt;"111",'152-CT'!$J$8=TH!F5100),"x","")</f>
        <v/>
      </c>
      <c r="AC5100" s="79" t="str">
        <f>IF(AND(OR(LEFT(TH!N5100,2)="15",LEFT(TH!O5100,2)="15"),TK!$E$7=TH!F5100),"x","")</f>
        <v/>
      </c>
      <c r="AD5100" s="79" t="str">
        <f>IF(AND(N5100="1521",MONTH(C5100)='BK-NL'!$M$11),"x","")</f>
        <v/>
      </c>
    </row>
    <row r="5101" spans="1:30" ht="16.5" customHeight="1">
      <c r="A5101" s="318" t="str">
        <f>IF(B5101&lt;&gt;"",IF(AND(B5101='[3]IN-TC'!$S$4,OR([3]TH!N4323="1111",[3]TH!O4323="1111")),[3]TH!D4323,""),"")</f>
        <v/>
      </c>
      <c r="B5101" s="60" t="str">
        <f t="shared" si="500"/>
        <v/>
      </c>
      <c r="C5101" s="301"/>
      <c r="D5101" s="301"/>
      <c r="E5101" s="61"/>
      <c r="F5101" s="303"/>
      <c r="G5101" s="302"/>
      <c r="H5101" s="303"/>
      <c r="I5101" s="385"/>
      <c r="J5101" s="395"/>
      <c r="K5101" s="387"/>
      <c r="L5101" s="394"/>
      <c r="M5101" s="62"/>
      <c r="N5101" s="63"/>
      <c r="O5101" s="63"/>
      <c r="P5101" s="79" t="str">
        <f>IF(AND('331-CT'!$E$7=TH!H5101,OR(N5101="331",O5101="331")),"x","")</f>
        <v/>
      </c>
      <c r="Q5101" s="79" t="str">
        <f>IF(AND(B5101='111'!$L$11,OR($N5101=$Q$7,$O5101=$Q$7)),"x","")</f>
        <v/>
      </c>
      <c r="R5101" s="79" t="str">
        <f>IF(AND($N5101=$Q$7,$B5101&lt;'111'!$L$11),"x","")</f>
        <v/>
      </c>
      <c r="S5101" s="79" t="str">
        <f>IF(AND($O5101=$Q$7,$B5101&lt;'111'!$L$11),"x","")</f>
        <v/>
      </c>
      <c r="T5101" s="79" t="str">
        <f>IF(ISERROR(FIND('112'!$M$9,G5101,1)),"",IF((AND(FIND('112'!$M$9,G5101,1)&gt;=1,B5101='112'!$K$9,OR($N5101='112'!$I$6,$O5101='112'!$I$6))),"x",""))</f>
        <v/>
      </c>
      <c r="U5101" s="79" t="str">
        <f>IF(ISERROR(FIND('112'!$M$9,G5101,1)),"",IF((AND(LEFT(G5101,2)=LEFT('112'!$M$9,2),B5101&lt;'112'!$K$9,$N5101='112'!$I$6)),"x",""))</f>
        <v/>
      </c>
      <c r="V5101" s="79" t="str">
        <f>IF(ISERROR(FIND('112'!$M$9,G5101,1)),"",IF((AND(RIGHT(G5101,2)=RIGHT('112'!$M$9,2),B5101&lt;'112'!$K$9,$O5101='112'!$I$6)),"x",""))</f>
        <v/>
      </c>
      <c r="W5101" s="79" t="str">
        <f>IF(AND('341-CT'!$H$9=H5101,OR(LEFT(N5101,3)=$W$7,LEFT(O5101,3)=$W$7)),"x","")</f>
        <v/>
      </c>
      <c r="X5101" s="79" t="str">
        <f>IF(OR(TH!N5101=TH!$X$7,O5101=TH!$X$7),"x","")</f>
        <v/>
      </c>
      <c r="Y5101" s="79" t="str">
        <f>IF(AND(OR(N5101="131",O5101="131"),H5101='131-CT'!$H$9),"x","")</f>
        <v/>
      </c>
      <c r="Z5101" s="79"/>
      <c r="AA5101" s="79" t="str">
        <f>IF(AND(MONTH(E5101)='IN-NX'!$J$5,'IN-NX'!$D$7=D5101),"x","")</f>
        <v/>
      </c>
      <c r="AB5101" s="79" t="str">
        <f>IF(AND(OR(LEFT(TH!N5101,2)="15",LEFT(TH!O5101,2)="15"),LEFT(TH!O5101,3)&lt;&gt;"111",'152-CT'!$J$8=TH!F5101),"x","")</f>
        <v/>
      </c>
      <c r="AC5101" s="79" t="str">
        <f>IF(AND(OR(LEFT(TH!N5101,2)="15",LEFT(TH!O5101,2)="15"),TK!$E$7=TH!F5101),"x","")</f>
        <v/>
      </c>
      <c r="AD5101" s="79" t="str">
        <f>IF(AND(N5101="1521",MONTH(C5101)='BK-NL'!$M$11),"x","")</f>
        <v/>
      </c>
    </row>
    <row r="5102" spans="1:30" ht="16.5" customHeight="1">
      <c r="A5102" s="318" t="str">
        <f>IF(B5102&lt;&gt;"",IF(AND(B5102='[3]IN-TC'!$S$4,OR([3]TH!N4324="1111",[3]TH!O4324="1111")),[3]TH!D4324,""),"")</f>
        <v/>
      </c>
      <c r="B5102" s="60" t="str">
        <f t="shared" si="500"/>
        <v/>
      </c>
      <c r="C5102" s="301"/>
      <c r="D5102" s="301"/>
      <c r="E5102" s="61"/>
      <c r="F5102" s="303"/>
      <c r="G5102" s="302"/>
      <c r="H5102" s="303"/>
      <c r="I5102" s="385"/>
      <c r="J5102" s="395"/>
      <c r="K5102" s="387"/>
      <c r="L5102" s="394"/>
      <c r="M5102" s="62"/>
      <c r="N5102" s="63"/>
      <c r="O5102" s="63"/>
      <c r="P5102" s="79" t="str">
        <f>IF(AND('331-CT'!$E$7=TH!H5102,OR(N5102="331",O5102="331")),"x","")</f>
        <v/>
      </c>
      <c r="Q5102" s="79" t="str">
        <f>IF(AND(B5102='111'!$L$11,OR($N5102=$Q$7,$O5102=$Q$7)),"x","")</f>
        <v/>
      </c>
      <c r="R5102" s="79" t="str">
        <f>IF(AND($N5102=$Q$7,$B5102&lt;'111'!$L$11),"x","")</f>
        <v/>
      </c>
      <c r="S5102" s="79" t="str">
        <f>IF(AND($O5102=$Q$7,$B5102&lt;'111'!$L$11),"x","")</f>
        <v/>
      </c>
      <c r="T5102" s="79" t="str">
        <f>IF(ISERROR(FIND('112'!$M$9,G5102,1)),"",IF((AND(FIND('112'!$M$9,G5102,1)&gt;=1,B5102='112'!$K$9,OR($N5102='112'!$I$6,$O5102='112'!$I$6))),"x",""))</f>
        <v/>
      </c>
      <c r="U5102" s="79" t="str">
        <f>IF(ISERROR(FIND('112'!$M$9,G5102,1)),"",IF((AND(LEFT(G5102,2)=LEFT('112'!$M$9,2),B5102&lt;'112'!$K$9,$N5102='112'!$I$6)),"x",""))</f>
        <v/>
      </c>
      <c r="V5102" s="79" t="str">
        <f>IF(ISERROR(FIND('112'!$M$9,G5102,1)),"",IF((AND(RIGHT(G5102,2)=RIGHT('112'!$M$9,2),B5102&lt;'112'!$K$9,$O5102='112'!$I$6)),"x",""))</f>
        <v/>
      </c>
      <c r="W5102" s="79" t="str">
        <f>IF(AND('341-CT'!$H$9=H5102,OR(LEFT(N5102,3)=$W$7,LEFT(O5102,3)=$W$7)),"x","")</f>
        <v/>
      </c>
      <c r="X5102" s="79" t="str">
        <f>IF(OR(TH!N5102=TH!$X$7,O5102=TH!$X$7),"x","")</f>
        <v/>
      </c>
      <c r="Y5102" s="79" t="str">
        <f>IF(AND(OR(N5102="131",O5102="131"),H5102='131-CT'!$H$9),"x","")</f>
        <v/>
      </c>
      <c r="Z5102" s="79"/>
      <c r="AA5102" s="79" t="str">
        <f>IF(AND(MONTH(E5102)='IN-NX'!$J$5,'IN-NX'!$D$7=D5102),"x","")</f>
        <v/>
      </c>
      <c r="AB5102" s="79" t="str">
        <f>IF(AND(OR(LEFT(TH!N5102,2)="15",LEFT(TH!O5102,2)="15"),LEFT(TH!O5102,3)&lt;&gt;"111",'152-CT'!$J$8=TH!F5102),"x","")</f>
        <v/>
      </c>
      <c r="AC5102" s="79" t="str">
        <f>IF(AND(OR(LEFT(TH!N5102,2)="15",LEFT(TH!O5102,2)="15"),TK!$E$7=TH!F5102),"x","")</f>
        <v/>
      </c>
      <c r="AD5102" s="79" t="str">
        <f>IF(AND(N5102="1521",MONTH(C5102)='BK-NL'!$M$11),"x","")</f>
        <v/>
      </c>
    </row>
    <row r="5103" spans="1:30" ht="16.5" customHeight="1">
      <c r="A5103" s="318" t="str">
        <f>IF(B5103&lt;&gt;"",IF(AND(B5103='[3]IN-TC'!$S$4,OR([3]TH!N4325="1111",[3]TH!O4325="1111")),[3]TH!D4325,""),"")</f>
        <v/>
      </c>
      <c r="B5103" s="60" t="str">
        <f t="shared" si="500"/>
        <v/>
      </c>
      <c r="C5103" s="301"/>
      <c r="D5103" s="301"/>
      <c r="E5103" s="61"/>
      <c r="F5103" s="303"/>
      <c r="G5103" s="302"/>
      <c r="H5103" s="303"/>
      <c r="I5103" s="385"/>
      <c r="J5103" s="395"/>
      <c r="K5103" s="387"/>
      <c r="L5103" s="394"/>
      <c r="M5103" s="62"/>
      <c r="N5103" s="63"/>
      <c r="O5103" s="63"/>
      <c r="P5103" s="79" t="str">
        <f>IF(AND('331-CT'!$E$7=TH!H5103,OR(N5103="331",O5103="331")),"x","")</f>
        <v/>
      </c>
      <c r="Q5103" s="79" t="str">
        <f>IF(AND(B5103='111'!$L$11,OR($N5103=$Q$7,$O5103=$Q$7)),"x","")</f>
        <v/>
      </c>
      <c r="R5103" s="79" t="str">
        <f>IF(AND($N5103=$Q$7,$B5103&lt;'111'!$L$11),"x","")</f>
        <v/>
      </c>
      <c r="S5103" s="79" t="str">
        <f>IF(AND($O5103=$Q$7,$B5103&lt;'111'!$L$11),"x","")</f>
        <v/>
      </c>
      <c r="T5103" s="79" t="str">
        <f>IF(ISERROR(FIND('112'!$M$9,G5103,1)),"",IF((AND(FIND('112'!$M$9,G5103,1)&gt;=1,B5103='112'!$K$9,OR($N5103='112'!$I$6,$O5103='112'!$I$6))),"x",""))</f>
        <v/>
      </c>
      <c r="U5103" s="79" t="str">
        <f>IF(ISERROR(FIND('112'!$M$9,G5103,1)),"",IF((AND(LEFT(G5103,2)=LEFT('112'!$M$9,2),B5103&lt;'112'!$K$9,$N5103='112'!$I$6)),"x",""))</f>
        <v/>
      </c>
      <c r="V5103" s="79" t="str">
        <f>IF(ISERROR(FIND('112'!$M$9,G5103,1)),"",IF((AND(RIGHT(G5103,2)=RIGHT('112'!$M$9,2),B5103&lt;'112'!$K$9,$O5103='112'!$I$6)),"x",""))</f>
        <v/>
      </c>
      <c r="W5103" s="79" t="str">
        <f>IF(AND('341-CT'!$H$9=H5103,OR(LEFT(N5103,3)=$W$7,LEFT(O5103,3)=$W$7)),"x","")</f>
        <v/>
      </c>
      <c r="X5103" s="79" t="str">
        <f>IF(OR(TH!N5103=TH!$X$7,O5103=TH!$X$7),"x","")</f>
        <v/>
      </c>
      <c r="Y5103" s="79" t="str">
        <f>IF(AND(OR(N5103="131",O5103="131"),H5103='131-CT'!$H$9),"x","")</f>
        <v/>
      </c>
      <c r="Z5103" s="79"/>
      <c r="AA5103" s="79" t="str">
        <f>IF(AND(MONTH(E5103)='IN-NX'!$J$5,'IN-NX'!$D$7=D5103),"x","")</f>
        <v/>
      </c>
      <c r="AB5103" s="79" t="str">
        <f>IF(AND(OR(LEFT(TH!N5103,2)="15",LEFT(TH!O5103,2)="15"),LEFT(TH!O5103,3)&lt;&gt;"111",'152-CT'!$J$8=TH!F5103),"x","")</f>
        <v/>
      </c>
      <c r="AC5103" s="79" t="str">
        <f>IF(AND(OR(LEFT(TH!N5103,2)="15",LEFT(TH!O5103,2)="15"),TK!$E$7=TH!F5103),"x","")</f>
        <v/>
      </c>
      <c r="AD5103" s="79" t="str">
        <f>IF(AND(N5103="1521",MONTH(C5103)='BK-NL'!$M$11),"x","")</f>
        <v/>
      </c>
    </row>
    <row r="5104" spans="1:30" ht="16.5" customHeight="1">
      <c r="A5104" s="318" t="str">
        <f>IF(B5104&lt;&gt;"",IF(AND(B5104='[3]IN-TC'!$S$4,OR([3]TH!N4326="1111",[3]TH!O4326="1111")),[3]TH!D4326,""),"")</f>
        <v/>
      </c>
      <c r="B5104" s="60" t="str">
        <f t="shared" si="500"/>
        <v/>
      </c>
      <c r="C5104" s="301"/>
      <c r="D5104" s="301"/>
      <c r="E5104" s="61"/>
      <c r="F5104" s="303"/>
      <c r="G5104" s="302"/>
      <c r="H5104" s="303"/>
      <c r="I5104" s="385"/>
      <c r="J5104" s="395"/>
      <c r="K5104" s="387"/>
      <c r="L5104" s="394"/>
      <c r="M5104" s="62"/>
      <c r="N5104" s="63"/>
      <c r="O5104" s="63"/>
      <c r="P5104" s="79" t="str">
        <f>IF(AND('331-CT'!$E$7=TH!H5104,OR(N5104="331",O5104="331")),"x","")</f>
        <v/>
      </c>
      <c r="Q5104" s="79" t="str">
        <f>IF(AND(B5104='111'!$L$11,OR($N5104=$Q$7,$O5104=$Q$7)),"x","")</f>
        <v/>
      </c>
      <c r="R5104" s="79" t="str">
        <f>IF(AND($N5104=$Q$7,$B5104&lt;'111'!$L$11),"x","")</f>
        <v/>
      </c>
      <c r="S5104" s="79" t="str">
        <f>IF(AND($O5104=$Q$7,$B5104&lt;'111'!$L$11),"x","")</f>
        <v/>
      </c>
      <c r="T5104" s="79" t="str">
        <f>IF(ISERROR(FIND('112'!$M$9,G5104,1)),"",IF((AND(FIND('112'!$M$9,G5104,1)&gt;=1,B5104='112'!$K$9,OR($N5104='112'!$I$6,$O5104='112'!$I$6))),"x",""))</f>
        <v/>
      </c>
      <c r="U5104" s="79" t="str">
        <f>IF(ISERROR(FIND('112'!$M$9,G5104,1)),"",IF((AND(LEFT(G5104,2)=LEFT('112'!$M$9,2),B5104&lt;'112'!$K$9,$N5104='112'!$I$6)),"x",""))</f>
        <v/>
      </c>
      <c r="V5104" s="79" t="str">
        <f>IF(ISERROR(FIND('112'!$M$9,G5104,1)),"",IF((AND(RIGHT(G5104,2)=RIGHT('112'!$M$9,2),B5104&lt;'112'!$K$9,$O5104='112'!$I$6)),"x",""))</f>
        <v/>
      </c>
      <c r="W5104" s="79" t="str">
        <f>IF(AND('341-CT'!$H$9=H5104,OR(LEFT(N5104,3)=$W$7,LEFT(O5104,3)=$W$7)),"x","")</f>
        <v/>
      </c>
      <c r="X5104" s="79" t="str">
        <f>IF(OR(TH!N5104=TH!$X$7,O5104=TH!$X$7),"x","")</f>
        <v/>
      </c>
      <c r="Y5104" s="79" t="str">
        <f>IF(AND(OR(N5104="131",O5104="131"),H5104='131-CT'!$H$9),"x","")</f>
        <v/>
      </c>
      <c r="Z5104" s="79"/>
      <c r="AA5104" s="79" t="str">
        <f>IF(AND(MONTH(E5104)='IN-NX'!$J$5,'IN-NX'!$D$7=D5104),"x","")</f>
        <v/>
      </c>
      <c r="AB5104" s="79" t="str">
        <f>IF(AND(OR(LEFT(TH!N5104,2)="15",LEFT(TH!O5104,2)="15"),LEFT(TH!O5104,3)&lt;&gt;"111",'152-CT'!$J$8=TH!F5104),"x","")</f>
        <v/>
      </c>
      <c r="AC5104" s="79" t="str">
        <f>IF(AND(OR(LEFT(TH!N5104,2)="15",LEFT(TH!O5104,2)="15"),TK!$E$7=TH!F5104),"x","")</f>
        <v/>
      </c>
      <c r="AD5104" s="79" t="str">
        <f>IF(AND(N5104="1521",MONTH(C5104)='BK-NL'!$M$11),"x","")</f>
        <v/>
      </c>
    </row>
    <row r="5105" spans="1:30" ht="16.5" customHeight="1">
      <c r="A5105" s="318" t="str">
        <f>IF(B5105&lt;&gt;"",IF(AND(B5105='[3]IN-TC'!$S$4,OR([3]TH!N4327="1111",[3]TH!O4327="1111")),[3]TH!D4327,""),"")</f>
        <v/>
      </c>
      <c r="B5105" s="60" t="str">
        <f t="shared" si="500"/>
        <v/>
      </c>
      <c r="C5105" s="301"/>
      <c r="D5105" s="301"/>
      <c r="E5105" s="61"/>
      <c r="F5105" s="303"/>
      <c r="G5105" s="302"/>
      <c r="H5105" s="303"/>
      <c r="I5105" s="385"/>
      <c r="J5105" s="395"/>
      <c r="K5105" s="387"/>
      <c r="L5105" s="394"/>
      <c r="M5105" s="62"/>
      <c r="N5105" s="63"/>
      <c r="O5105" s="63"/>
      <c r="P5105" s="79" t="str">
        <f>IF(AND('331-CT'!$E$7=TH!H5105,OR(N5105="331",O5105="331")),"x","")</f>
        <v/>
      </c>
      <c r="Q5105" s="79" t="str">
        <f>IF(AND(B5105='111'!$L$11,OR($N5105=$Q$7,$O5105=$Q$7)),"x","")</f>
        <v/>
      </c>
      <c r="R5105" s="79" t="str">
        <f>IF(AND($N5105=$Q$7,$B5105&lt;'111'!$L$11),"x","")</f>
        <v/>
      </c>
      <c r="S5105" s="79" t="str">
        <f>IF(AND($O5105=$Q$7,$B5105&lt;'111'!$L$11),"x","")</f>
        <v/>
      </c>
      <c r="T5105" s="79" t="str">
        <f>IF(ISERROR(FIND('112'!$M$9,G5105,1)),"",IF((AND(FIND('112'!$M$9,G5105,1)&gt;=1,B5105='112'!$K$9,OR($N5105='112'!$I$6,$O5105='112'!$I$6))),"x",""))</f>
        <v/>
      </c>
      <c r="U5105" s="79" t="str">
        <f>IF(ISERROR(FIND('112'!$M$9,G5105,1)),"",IF((AND(LEFT(G5105,2)=LEFT('112'!$M$9,2),B5105&lt;'112'!$K$9,$N5105='112'!$I$6)),"x",""))</f>
        <v/>
      </c>
      <c r="V5105" s="79" t="str">
        <f>IF(ISERROR(FIND('112'!$M$9,G5105,1)),"",IF((AND(RIGHT(G5105,2)=RIGHT('112'!$M$9,2),B5105&lt;'112'!$K$9,$O5105='112'!$I$6)),"x",""))</f>
        <v/>
      </c>
      <c r="W5105" s="79" t="str">
        <f>IF(AND('341-CT'!$H$9=H5105,OR(LEFT(N5105,3)=$W$7,LEFT(O5105,3)=$W$7)),"x","")</f>
        <v/>
      </c>
      <c r="X5105" s="79" t="str">
        <f>IF(OR(TH!N5105=TH!$X$7,O5105=TH!$X$7),"x","")</f>
        <v/>
      </c>
      <c r="Y5105" s="79" t="str">
        <f>IF(AND(OR(N5105="131",O5105="131"),H5105='131-CT'!$H$9),"x","")</f>
        <v/>
      </c>
      <c r="Z5105" s="79"/>
      <c r="AA5105" s="79" t="str">
        <f>IF(AND(MONTH(E5105)='IN-NX'!$J$5,'IN-NX'!$D$7=D5105),"x","")</f>
        <v/>
      </c>
      <c r="AB5105" s="79" t="str">
        <f>IF(AND(OR(LEFT(TH!N5105,2)="15",LEFT(TH!O5105,2)="15"),LEFT(TH!O5105,3)&lt;&gt;"111",'152-CT'!$J$8=TH!F5105),"x","")</f>
        <v/>
      </c>
      <c r="AC5105" s="79" t="str">
        <f>IF(AND(OR(LEFT(TH!N5105,2)="15",LEFT(TH!O5105,2)="15"),TK!$E$7=TH!F5105),"x","")</f>
        <v/>
      </c>
      <c r="AD5105" s="79" t="str">
        <f>IF(AND(N5105="1521",MONTH(C5105)='BK-NL'!$M$11),"x","")</f>
        <v/>
      </c>
    </row>
    <row r="5106" spans="1:30" ht="16.5" customHeight="1">
      <c r="A5106" s="318" t="str">
        <f>IF(B5106&lt;&gt;"",IF(AND(B5106='[3]IN-TC'!$S$4,OR([3]TH!N4328="1111",[3]TH!O4328="1111")),[3]TH!D4328,""),"")</f>
        <v/>
      </c>
      <c r="B5106" s="60" t="str">
        <f t="shared" si="500"/>
        <v/>
      </c>
      <c r="C5106" s="301"/>
      <c r="D5106" s="301"/>
      <c r="E5106" s="61"/>
      <c r="F5106" s="303"/>
      <c r="G5106" s="302"/>
      <c r="H5106" s="303"/>
      <c r="I5106" s="385"/>
      <c r="J5106" s="395"/>
      <c r="K5106" s="387"/>
      <c r="L5106" s="394"/>
      <c r="M5106" s="62"/>
      <c r="N5106" s="63"/>
      <c r="O5106" s="63"/>
      <c r="P5106" s="79" t="str">
        <f>IF(AND('331-CT'!$E$7=TH!H5106,OR(N5106="331",O5106="331")),"x","")</f>
        <v/>
      </c>
      <c r="Q5106" s="79" t="str">
        <f>IF(AND(B5106='111'!$L$11,OR($N5106=$Q$7,$O5106=$Q$7)),"x","")</f>
        <v/>
      </c>
      <c r="R5106" s="79" t="str">
        <f>IF(AND($N5106=$Q$7,$B5106&lt;'111'!$L$11),"x","")</f>
        <v/>
      </c>
      <c r="S5106" s="79" t="str">
        <f>IF(AND($O5106=$Q$7,$B5106&lt;'111'!$L$11),"x","")</f>
        <v/>
      </c>
      <c r="T5106" s="79" t="str">
        <f>IF(ISERROR(FIND('112'!$M$9,G5106,1)),"",IF((AND(FIND('112'!$M$9,G5106,1)&gt;=1,B5106='112'!$K$9,OR($N5106='112'!$I$6,$O5106='112'!$I$6))),"x",""))</f>
        <v/>
      </c>
      <c r="U5106" s="79" t="str">
        <f>IF(ISERROR(FIND('112'!$M$9,G5106,1)),"",IF((AND(LEFT(G5106,2)=LEFT('112'!$M$9,2),B5106&lt;'112'!$K$9,$N5106='112'!$I$6)),"x",""))</f>
        <v/>
      </c>
      <c r="V5106" s="79" t="str">
        <f>IF(ISERROR(FIND('112'!$M$9,G5106,1)),"",IF((AND(RIGHT(G5106,2)=RIGHT('112'!$M$9,2),B5106&lt;'112'!$K$9,$O5106='112'!$I$6)),"x",""))</f>
        <v/>
      </c>
      <c r="W5106" s="79" t="str">
        <f>IF(AND('341-CT'!$H$9=H5106,OR(LEFT(N5106,3)=$W$7,LEFT(O5106,3)=$W$7)),"x","")</f>
        <v/>
      </c>
      <c r="X5106" s="79" t="str">
        <f>IF(OR(TH!N5106=TH!$X$7,O5106=TH!$X$7),"x","")</f>
        <v/>
      </c>
      <c r="Y5106" s="79" t="str">
        <f>IF(AND(OR(N5106="131",O5106="131"),H5106='131-CT'!$H$9),"x","")</f>
        <v/>
      </c>
      <c r="Z5106" s="79"/>
      <c r="AA5106" s="79" t="str">
        <f>IF(AND(MONTH(E5106)='IN-NX'!$J$5,'IN-NX'!$D$7=D5106),"x","")</f>
        <v/>
      </c>
      <c r="AB5106" s="79" t="str">
        <f>IF(AND(OR(LEFT(TH!N5106,2)="15",LEFT(TH!O5106,2)="15"),LEFT(TH!O5106,3)&lt;&gt;"111",'152-CT'!$J$8=TH!F5106),"x","")</f>
        <v/>
      </c>
      <c r="AC5106" s="79" t="str">
        <f>IF(AND(OR(LEFT(TH!N5106,2)="15",LEFT(TH!O5106,2)="15"),TK!$E$7=TH!F5106),"x","")</f>
        <v/>
      </c>
      <c r="AD5106" s="79" t="str">
        <f>IF(AND(N5106="1521",MONTH(C5106)='BK-NL'!$M$11),"x","")</f>
        <v/>
      </c>
    </row>
    <row r="5107" spans="1:30" ht="16.5" customHeight="1">
      <c r="A5107" s="318" t="str">
        <f>IF(B5107&lt;&gt;"",IF(AND(B5107='[3]IN-TC'!$S$4,OR([3]TH!N4329="1111",[3]TH!O4329="1111")),[3]TH!D4329,""),"")</f>
        <v/>
      </c>
      <c r="B5107" s="60" t="str">
        <f t="shared" si="500"/>
        <v/>
      </c>
      <c r="C5107" s="301"/>
      <c r="D5107" s="301"/>
      <c r="E5107" s="61"/>
      <c r="F5107" s="303"/>
      <c r="G5107" s="302"/>
      <c r="H5107" s="303"/>
      <c r="I5107" s="385"/>
      <c r="J5107" s="395"/>
      <c r="K5107" s="387"/>
      <c r="L5107" s="394"/>
      <c r="M5107" s="62"/>
      <c r="N5107" s="63"/>
      <c r="O5107" s="63"/>
      <c r="P5107" s="79" t="str">
        <f>IF(AND('331-CT'!$E$7=TH!H5107,OR(N5107="331",O5107="331")),"x","")</f>
        <v/>
      </c>
      <c r="Q5107" s="79" t="str">
        <f>IF(AND(B5107='111'!$L$11,OR($N5107=$Q$7,$O5107=$Q$7)),"x","")</f>
        <v/>
      </c>
      <c r="R5107" s="79" t="str">
        <f>IF(AND($N5107=$Q$7,$B5107&lt;'111'!$L$11),"x","")</f>
        <v/>
      </c>
      <c r="S5107" s="79" t="str">
        <f>IF(AND($O5107=$Q$7,$B5107&lt;'111'!$L$11),"x","")</f>
        <v/>
      </c>
      <c r="T5107" s="79" t="str">
        <f>IF(ISERROR(FIND('112'!$M$9,G5107,1)),"",IF((AND(FIND('112'!$M$9,G5107,1)&gt;=1,B5107='112'!$K$9,OR($N5107='112'!$I$6,$O5107='112'!$I$6))),"x",""))</f>
        <v/>
      </c>
      <c r="U5107" s="79" t="str">
        <f>IF(ISERROR(FIND('112'!$M$9,G5107,1)),"",IF((AND(LEFT(G5107,2)=LEFT('112'!$M$9,2),B5107&lt;'112'!$K$9,$N5107='112'!$I$6)),"x",""))</f>
        <v/>
      </c>
      <c r="V5107" s="79" t="str">
        <f>IF(ISERROR(FIND('112'!$M$9,G5107,1)),"",IF((AND(RIGHT(G5107,2)=RIGHT('112'!$M$9,2),B5107&lt;'112'!$K$9,$O5107='112'!$I$6)),"x",""))</f>
        <v/>
      </c>
      <c r="W5107" s="79" t="str">
        <f>IF(AND('341-CT'!$H$9=H5107,OR(LEFT(N5107,3)=$W$7,LEFT(O5107,3)=$W$7)),"x","")</f>
        <v/>
      </c>
      <c r="X5107" s="79" t="str">
        <f>IF(OR(TH!N5107=TH!$X$7,O5107=TH!$X$7),"x","")</f>
        <v/>
      </c>
      <c r="Y5107" s="79" t="str">
        <f>IF(AND(OR(N5107="131",O5107="131"),H5107='131-CT'!$H$9),"x","")</f>
        <v/>
      </c>
      <c r="Z5107" s="79"/>
      <c r="AA5107" s="79" t="str">
        <f>IF(AND(MONTH(E5107)='IN-NX'!$J$5,'IN-NX'!$D$7=D5107),"x","")</f>
        <v/>
      </c>
      <c r="AB5107" s="79" t="str">
        <f>IF(AND(OR(LEFT(TH!N5107,2)="15",LEFT(TH!O5107,2)="15"),LEFT(TH!O5107,3)&lt;&gt;"111",'152-CT'!$J$8=TH!F5107),"x","")</f>
        <v/>
      </c>
      <c r="AC5107" s="79" t="str">
        <f>IF(AND(OR(LEFT(TH!N5107,2)="15",LEFT(TH!O5107,2)="15"),TK!$E$7=TH!F5107),"x","")</f>
        <v/>
      </c>
      <c r="AD5107" s="79" t="str">
        <f>IF(AND(N5107="1521",MONTH(C5107)='BK-NL'!$M$11),"x","")</f>
        <v/>
      </c>
    </row>
    <row r="5108" spans="1:30" ht="16.5" customHeight="1">
      <c r="A5108" s="318" t="str">
        <f>IF(B5108&lt;&gt;"",IF(AND(B5108='[3]IN-TC'!$S$4,OR([3]TH!N4330="1111",[3]TH!O4330="1111")),[3]TH!D4330,""),"")</f>
        <v/>
      </c>
      <c r="B5108" s="60" t="str">
        <f t="shared" si="500"/>
        <v/>
      </c>
      <c r="C5108" s="301"/>
      <c r="D5108" s="301"/>
      <c r="E5108" s="61"/>
      <c r="F5108" s="303"/>
      <c r="G5108" s="302"/>
      <c r="H5108" s="303"/>
      <c r="I5108" s="385"/>
      <c r="J5108" s="395"/>
      <c r="K5108" s="387"/>
      <c r="L5108" s="394"/>
      <c r="M5108" s="62"/>
      <c r="N5108" s="63"/>
      <c r="O5108" s="63"/>
      <c r="P5108" s="79" t="str">
        <f>IF(AND('331-CT'!$E$7=TH!H5108,OR(N5108="331",O5108="331")),"x","")</f>
        <v/>
      </c>
      <c r="Q5108" s="79" t="str">
        <f>IF(AND(B5108='111'!$L$11,OR($N5108=$Q$7,$O5108=$Q$7)),"x","")</f>
        <v/>
      </c>
      <c r="R5108" s="79" t="str">
        <f>IF(AND($N5108=$Q$7,$B5108&lt;'111'!$L$11),"x","")</f>
        <v/>
      </c>
      <c r="S5108" s="79" t="str">
        <f>IF(AND($O5108=$Q$7,$B5108&lt;'111'!$L$11),"x","")</f>
        <v/>
      </c>
      <c r="T5108" s="79" t="str">
        <f>IF(ISERROR(FIND('112'!$M$9,G5108,1)),"",IF((AND(FIND('112'!$M$9,G5108,1)&gt;=1,B5108='112'!$K$9,OR($N5108='112'!$I$6,$O5108='112'!$I$6))),"x",""))</f>
        <v/>
      </c>
      <c r="U5108" s="79" t="str">
        <f>IF(ISERROR(FIND('112'!$M$9,G5108,1)),"",IF((AND(LEFT(G5108,2)=LEFT('112'!$M$9,2),B5108&lt;'112'!$K$9,$N5108='112'!$I$6)),"x",""))</f>
        <v/>
      </c>
      <c r="V5108" s="79" t="str">
        <f>IF(ISERROR(FIND('112'!$M$9,G5108,1)),"",IF((AND(RIGHT(G5108,2)=RIGHT('112'!$M$9,2),B5108&lt;'112'!$K$9,$O5108='112'!$I$6)),"x",""))</f>
        <v/>
      </c>
      <c r="W5108" s="79" t="str">
        <f>IF(AND('341-CT'!$H$9=H5108,OR(LEFT(N5108,3)=$W$7,LEFT(O5108,3)=$W$7)),"x","")</f>
        <v/>
      </c>
      <c r="X5108" s="79" t="str">
        <f>IF(OR(TH!N5108=TH!$X$7,O5108=TH!$X$7),"x","")</f>
        <v/>
      </c>
      <c r="Y5108" s="79" t="str">
        <f>IF(AND(OR(N5108="131",O5108="131"),H5108='131-CT'!$H$9),"x","")</f>
        <v/>
      </c>
      <c r="Z5108" s="79"/>
      <c r="AA5108" s="79" t="str">
        <f>IF(AND(MONTH(E5108)='IN-NX'!$J$5,'IN-NX'!$D$7=D5108),"x","")</f>
        <v/>
      </c>
      <c r="AB5108" s="79" t="str">
        <f>IF(AND(OR(LEFT(TH!N5108,2)="15",LEFT(TH!O5108,2)="15"),LEFT(TH!O5108,3)&lt;&gt;"111",'152-CT'!$J$8=TH!F5108),"x","")</f>
        <v/>
      </c>
      <c r="AC5108" s="79" t="str">
        <f>IF(AND(OR(LEFT(TH!N5108,2)="15",LEFT(TH!O5108,2)="15"),TK!$E$7=TH!F5108),"x","")</f>
        <v/>
      </c>
      <c r="AD5108" s="79" t="str">
        <f>IF(AND(N5108="1521",MONTH(C5108)='BK-NL'!$M$11),"x","")</f>
        <v/>
      </c>
    </row>
    <row r="5109" spans="1:30" ht="16.5" customHeight="1">
      <c r="A5109" s="318" t="str">
        <f>IF(B5109&lt;&gt;"",IF(AND(B5109='[3]IN-TC'!$S$4,OR([3]TH!N4331="1111",[3]TH!O4331="1111")),[3]TH!D4331,""),"")</f>
        <v/>
      </c>
      <c r="B5109" s="60" t="str">
        <f t="shared" si="500"/>
        <v/>
      </c>
      <c r="C5109" s="301"/>
      <c r="D5109" s="301"/>
      <c r="E5109" s="61"/>
      <c r="F5109" s="303"/>
      <c r="G5109" s="302"/>
      <c r="H5109" s="303"/>
      <c r="I5109" s="385"/>
      <c r="J5109" s="395"/>
      <c r="K5109" s="387"/>
      <c r="L5109" s="394"/>
      <c r="M5109" s="62"/>
      <c r="N5109" s="63"/>
      <c r="O5109" s="63"/>
      <c r="P5109" s="79" t="str">
        <f>IF(AND('331-CT'!$E$7=TH!H5109,OR(N5109="331",O5109="331")),"x","")</f>
        <v/>
      </c>
      <c r="Q5109" s="79" t="str">
        <f>IF(AND(B5109='111'!$L$11,OR($N5109=$Q$7,$O5109=$Q$7)),"x","")</f>
        <v/>
      </c>
      <c r="R5109" s="79" t="str">
        <f>IF(AND($N5109=$Q$7,$B5109&lt;'111'!$L$11),"x","")</f>
        <v/>
      </c>
      <c r="S5109" s="79" t="str">
        <f>IF(AND($O5109=$Q$7,$B5109&lt;'111'!$L$11),"x","")</f>
        <v/>
      </c>
      <c r="T5109" s="79" t="str">
        <f>IF(ISERROR(FIND('112'!$M$9,G5109,1)),"",IF((AND(FIND('112'!$M$9,G5109,1)&gt;=1,B5109='112'!$K$9,OR($N5109='112'!$I$6,$O5109='112'!$I$6))),"x",""))</f>
        <v/>
      </c>
      <c r="U5109" s="79" t="str">
        <f>IF(ISERROR(FIND('112'!$M$9,G5109,1)),"",IF((AND(LEFT(G5109,2)=LEFT('112'!$M$9,2),B5109&lt;'112'!$K$9,$N5109='112'!$I$6)),"x",""))</f>
        <v/>
      </c>
      <c r="V5109" s="79" t="str">
        <f>IF(ISERROR(FIND('112'!$M$9,G5109,1)),"",IF((AND(RIGHT(G5109,2)=RIGHT('112'!$M$9,2),B5109&lt;'112'!$K$9,$O5109='112'!$I$6)),"x",""))</f>
        <v/>
      </c>
      <c r="W5109" s="79" t="str">
        <f>IF(AND('341-CT'!$H$9=H5109,OR(LEFT(N5109,3)=$W$7,LEFT(O5109,3)=$W$7)),"x","")</f>
        <v/>
      </c>
      <c r="X5109" s="79" t="str">
        <f>IF(OR(TH!N5109=TH!$X$7,O5109=TH!$X$7),"x","")</f>
        <v/>
      </c>
      <c r="Y5109" s="79" t="str">
        <f>IF(AND(OR(N5109="131",O5109="131"),H5109='131-CT'!$H$9),"x","")</f>
        <v/>
      </c>
      <c r="Z5109" s="79"/>
      <c r="AA5109" s="79" t="str">
        <f>IF(AND(MONTH(E5109)='IN-NX'!$J$5,'IN-NX'!$D$7=D5109),"x","")</f>
        <v/>
      </c>
      <c r="AB5109" s="79" t="str">
        <f>IF(AND(OR(LEFT(TH!N5109,2)="15",LEFT(TH!O5109,2)="15"),LEFT(TH!O5109,3)&lt;&gt;"111",'152-CT'!$J$8=TH!F5109),"x","")</f>
        <v/>
      </c>
      <c r="AC5109" s="79" t="str">
        <f>IF(AND(OR(LEFT(TH!N5109,2)="15",LEFT(TH!O5109,2)="15"),TK!$E$7=TH!F5109),"x","")</f>
        <v/>
      </c>
      <c r="AD5109" s="79" t="str">
        <f>IF(AND(N5109="1521",MONTH(C5109)='BK-NL'!$M$11),"x","")</f>
        <v/>
      </c>
    </row>
    <row r="5110" spans="1:30" ht="16.5" customHeight="1">
      <c r="A5110" s="318" t="str">
        <f>IF(B5110&lt;&gt;"",IF(AND(B5110='[3]IN-TC'!$S$4,OR([3]TH!N4332="1111",[3]TH!O4332="1111")),[3]TH!D4332,""),"")</f>
        <v/>
      </c>
      <c r="B5110" s="60" t="str">
        <f t="shared" si="500"/>
        <v/>
      </c>
      <c r="C5110" s="301"/>
      <c r="D5110" s="301"/>
      <c r="E5110" s="61"/>
      <c r="F5110" s="303"/>
      <c r="G5110" s="302"/>
      <c r="H5110" s="303"/>
      <c r="I5110" s="385"/>
      <c r="J5110" s="395"/>
      <c r="K5110" s="387"/>
      <c r="L5110" s="394"/>
      <c r="M5110" s="62"/>
      <c r="N5110" s="63"/>
      <c r="O5110" s="63"/>
      <c r="P5110" s="79" t="str">
        <f>IF(AND('331-CT'!$E$7=TH!H5110,OR(N5110="331",O5110="331")),"x","")</f>
        <v/>
      </c>
      <c r="Q5110" s="79" t="str">
        <f>IF(AND(B5110='111'!$L$11,OR($N5110=$Q$7,$O5110=$Q$7)),"x","")</f>
        <v/>
      </c>
      <c r="R5110" s="79" t="str">
        <f>IF(AND($N5110=$Q$7,$B5110&lt;'111'!$L$11),"x","")</f>
        <v/>
      </c>
      <c r="S5110" s="79" t="str">
        <f>IF(AND($O5110=$Q$7,$B5110&lt;'111'!$L$11),"x","")</f>
        <v/>
      </c>
      <c r="T5110" s="79" t="str">
        <f>IF(ISERROR(FIND('112'!$M$9,G5110,1)),"",IF((AND(FIND('112'!$M$9,G5110,1)&gt;=1,B5110='112'!$K$9,OR($N5110='112'!$I$6,$O5110='112'!$I$6))),"x",""))</f>
        <v/>
      </c>
      <c r="U5110" s="79" t="str">
        <f>IF(ISERROR(FIND('112'!$M$9,G5110,1)),"",IF((AND(LEFT(G5110,2)=LEFT('112'!$M$9,2),B5110&lt;'112'!$K$9,$N5110='112'!$I$6)),"x",""))</f>
        <v/>
      </c>
      <c r="V5110" s="79" t="str">
        <f>IF(ISERROR(FIND('112'!$M$9,G5110,1)),"",IF((AND(RIGHT(G5110,2)=RIGHT('112'!$M$9,2),B5110&lt;'112'!$K$9,$O5110='112'!$I$6)),"x",""))</f>
        <v/>
      </c>
      <c r="W5110" s="79" t="str">
        <f>IF(AND('341-CT'!$H$9=H5110,OR(LEFT(N5110,3)=$W$7,LEFT(O5110,3)=$W$7)),"x","")</f>
        <v/>
      </c>
      <c r="X5110" s="79" t="str">
        <f>IF(OR(TH!N5110=TH!$X$7,O5110=TH!$X$7),"x","")</f>
        <v/>
      </c>
      <c r="Y5110" s="79" t="str">
        <f>IF(AND(OR(N5110="131",O5110="131"),H5110='131-CT'!$H$9),"x","")</f>
        <v/>
      </c>
      <c r="Z5110" s="79"/>
      <c r="AA5110" s="79" t="str">
        <f>IF(AND(MONTH(E5110)='IN-NX'!$J$5,'IN-NX'!$D$7=D5110),"x","")</f>
        <v/>
      </c>
      <c r="AB5110" s="79" t="str">
        <f>IF(AND(OR(LEFT(TH!N5110,2)="15",LEFT(TH!O5110,2)="15"),LEFT(TH!O5110,3)&lt;&gt;"111",'152-CT'!$J$8=TH!F5110),"x","")</f>
        <v/>
      </c>
      <c r="AC5110" s="79" t="str">
        <f>IF(AND(OR(LEFT(TH!N5110,2)="15",LEFT(TH!O5110,2)="15"),TK!$E$7=TH!F5110),"x","")</f>
        <v/>
      </c>
      <c r="AD5110" s="79" t="str">
        <f>IF(AND(N5110="1521",MONTH(C5110)='BK-NL'!$M$11),"x","")</f>
        <v/>
      </c>
    </row>
    <row r="5111" spans="1:30" ht="16.5" customHeight="1">
      <c r="A5111" s="318" t="str">
        <f>IF(B5111&lt;&gt;"",IF(AND(B5111='[3]IN-TC'!$S$4,OR([3]TH!N4333="1111",[3]TH!O4333="1111")),[3]TH!D4333,""),"")</f>
        <v/>
      </c>
      <c r="B5111" s="60" t="str">
        <f t="shared" si="500"/>
        <v/>
      </c>
      <c r="C5111" s="301"/>
      <c r="D5111" s="301"/>
      <c r="E5111" s="61"/>
      <c r="F5111" s="303"/>
      <c r="G5111" s="302"/>
      <c r="H5111" s="303"/>
      <c r="I5111" s="385"/>
      <c r="J5111" s="395"/>
      <c r="K5111" s="387"/>
      <c r="L5111" s="394"/>
      <c r="M5111" s="62"/>
      <c r="N5111" s="63"/>
      <c r="O5111" s="63"/>
      <c r="P5111" s="79" t="str">
        <f>IF(AND('331-CT'!$E$7=TH!H5111,OR(N5111="331",O5111="331")),"x","")</f>
        <v/>
      </c>
      <c r="Q5111" s="79" t="str">
        <f>IF(AND(B5111='111'!$L$11,OR($N5111=$Q$7,$O5111=$Q$7)),"x","")</f>
        <v/>
      </c>
      <c r="R5111" s="79" t="str">
        <f>IF(AND($N5111=$Q$7,$B5111&lt;'111'!$L$11),"x","")</f>
        <v/>
      </c>
      <c r="S5111" s="79" t="str">
        <f>IF(AND($O5111=$Q$7,$B5111&lt;'111'!$L$11),"x","")</f>
        <v/>
      </c>
      <c r="T5111" s="79" t="str">
        <f>IF(ISERROR(FIND('112'!$M$9,G5111,1)),"",IF((AND(FIND('112'!$M$9,G5111,1)&gt;=1,B5111='112'!$K$9,OR($N5111='112'!$I$6,$O5111='112'!$I$6))),"x",""))</f>
        <v/>
      </c>
      <c r="U5111" s="79" t="str">
        <f>IF(ISERROR(FIND('112'!$M$9,G5111,1)),"",IF((AND(LEFT(G5111,2)=LEFT('112'!$M$9,2),B5111&lt;'112'!$K$9,$N5111='112'!$I$6)),"x",""))</f>
        <v/>
      </c>
      <c r="V5111" s="79" t="str">
        <f>IF(ISERROR(FIND('112'!$M$9,G5111,1)),"",IF((AND(RIGHT(G5111,2)=RIGHT('112'!$M$9,2),B5111&lt;'112'!$K$9,$O5111='112'!$I$6)),"x",""))</f>
        <v/>
      </c>
      <c r="W5111" s="79" t="str">
        <f>IF(AND('341-CT'!$H$9=H5111,OR(LEFT(N5111,3)=$W$7,LEFT(O5111,3)=$W$7)),"x","")</f>
        <v/>
      </c>
      <c r="X5111" s="79" t="str">
        <f>IF(OR(TH!N5111=TH!$X$7,O5111=TH!$X$7),"x","")</f>
        <v/>
      </c>
      <c r="Y5111" s="79" t="str">
        <f>IF(AND(OR(N5111="131",O5111="131"),H5111='131-CT'!$H$9),"x","")</f>
        <v/>
      </c>
      <c r="Z5111" s="79"/>
      <c r="AA5111" s="79" t="str">
        <f>IF(AND(MONTH(E5111)='IN-NX'!$J$5,'IN-NX'!$D$7=D5111),"x","")</f>
        <v/>
      </c>
      <c r="AB5111" s="79" t="str">
        <f>IF(AND(OR(LEFT(TH!N5111,2)="15",LEFT(TH!O5111,2)="15"),LEFT(TH!O5111,3)&lt;&gt;"111",'152-CT'!$J$8=TH!F5111),"x","")</f>
        <v/>
      </c>
      <c r="AC5111" s="79" t="str">
        <f>IF(AND(OR(LEFT(TH!N5111,2)="15",LEFT(TH!O5111,2)="15"),TK!$E$7=TH!F5111),"x","")</f>
        <v/>
      </c>
      <c r="AD5111" s="79" t="str">
        <f>IF(AND(N5111="1521",MONTH(C5111)='BK-NL'!$M$11),"x","")</f>
        <v/>
      </c>
    </row>
    <row r="5112" spans="1:30" ht="16.5" customHeight="1">
      <c r="A5112" s="318" t="str">
        <f>IF(B5112&lt;&gt;"",IF(AND(B5112='[3]IN-TC'!$S$4,OR([3]TH!N4334="1111",[3]TH!O4334="1111")),[3]TH!D4334,""),"")</f>
        <v/>
      </c>
      <c r="B5112" s="60" t="str">
        <f t="shared" si="500"/>
        <v/>
      </c>
      <c r="C5112" s="301"/>
      <c r="D5112" s="301"/>
      <c r="E5112" s="61"/>
      <c r="F5112" s="303"/>
      <c r="G5112" s="302"/>
      <c r="H5112" s="303"/>
      <c r="I5112" s="385"/>
      <c r="J5112" s="395"/>
      <c r="K5112" s="387"/>
      <c r="L5112" s="394"/>
      <c r="M5112" s="62"/>
      <c r="N5112" s="63"/>
      <c r="O5112" s="63"/>
      <c r="P5112" s="79" t="str">
        <f>IF(AND('331-CT'!$E$7=TH!H5112,OR(N5112="331",O5112="331")),"x","")</f>
        <v/>
      </c>
      <c r="Q5112" s="79" t="str">
        <f>IF(AND(B5112='111'!$L$11,OR($N5112=$Q$7,$O5112=$Q$7)),"x","")</f>
        <v/>
      </c>
      <c r="R5112" s="79" t="str">
        <f>IF(AND($N5112=$Q$7,$B5112&lt;'111'!$L$11),"x","")</f>
        <v/>
      </c>
      <c r="S5112" s="79" t="str">
        <f>IF(AND($O5112=$Q$7,$B5112&lt;'111'!$L$11),"x","")</f>
        <v/>
      </c>
      <c r="T5112" s="79" t="str">
        <f>IF(ISERROR(FIND('112'!$M$9,G5112,1)),"",IF((AND(FIND('112'!$M$9,G5112,1)&gt;=1,B5112='112'!$K$9,OR($N5112='112'!$I$6,$O5112='112'!$I$6))),"x",""))</f>
        <v/>
      </c>
      <c r="U5112" s="79" t="str">
        <f>IF(ISERROR(FIND('112'!$M$9,G5112,1)),"",IF((AND(LEFT(G5112,2)=LEFT('112'!$M$9,2),B5112&lt;'112'!$K$9,$N5112='112'!$I$6)),"x",""))</f>
        <v/>
      </c>
      <c r="V5112" s="79" t="str">
        <f>IF(ISERROR(FIND('112'!$M$9,G5112,1)),"",IF((AND(RIGHT(G5112,2)=RIGHT('112'!$M$9,2),B5112&lt;'112'!$K$9,$O5112='112'!$I$6)),"x",""))</f>
        <v/>
      </c>
      <c r="W5112" s="79" t="str">
        <f>IF(AND('341-CT'!$H$9=H5112,OR(LEFT(N5112,3)=$W$7,LEFT(O5112,3)=$W$7)),"x","")</f>
        <v/>
      </c>
      <c r="X5112" s="79" t="str">
        <f>IF(OR(TH!N5112=TH!$X$7,O5112=TH!$X$7),"x","")</f>
        <v/>
      </c>
      <c r="Y5112" s="79" t="str">
        <f>IF(AND(OR(N5112="131",O5112="131"),H5112='131-CT'!$H$9),"x","")</f>
        <v/>
      </c>
      <c r="Z5112" s="79"/>
      <c r="AA5112" s="79" t="str">
        <f>IF(AND(MONTH(E5112)='IN-NX'!$J$5,'IN-NX'!$D$7=D5112),"x","")</f>
        <v/>
      </c>
      <c r="AB5112" s="79" t="str">
        <f>IF(AND(OR(LEFT(TH!N5112,2)="15",LEFT(TH!O5112,2)="15"),LEFT(TH!O5112,3)&lt;&gt;"111",'152-CT'!$J$8=TH!F5112),"x","")</f>
        <v/>
      </c>
      <c r="AC5112" s="79" t="str">
        <f>IF(AND(OR(LEFT(TH!N5112,2)="15",LEFT(TH!O5112,2)="15"),TK!$E$7=TH!F5112),"x","")</f>
        <v/>
      </c>
      <c r="AD5112" s="79" t="str">
        <f>IF(AND(N5112="1521",MONTH(C5112)='BK-NL'!$M$11),"x","")</f>
        <v/>
      </c>
    </row>
    <row r="5113" spans="1:30" ht="16.5" customHeight="1">
      <c r="A5113" s="318" t="str">
        <f>IF(B5113&lt;&gt;"",IF(AND(B5113='[3]IN-TC'!$S$4,OR([3]TH!N4335="1111",[3]TH!O4335="1111")),[3]TH!D4335,""),"")</f>
        <v/>
      </c>
      <c r="B5113" s="60" t="str">
        <f t="shared" si="500"/>
        <v/>
      </c>
      <c r="C5113" s="301"/>
      <c r="D5113" s="301"/>
      <c r="E5113" s="61"/>
      <c r="F5113" s="303"/>
      <c r="G5113" s="302"/>
      <c r="H5113" s="303"/>
      <c r="I5113" s="385"/>
      <c r="J5113" s="395"/>
      <c r="K5113" s="387"/>
      <c r="L5113" s="394"/>
      <c r="M5113" s="62"/>
      <c r="N5113" s="63"/>
      <c r="O5113" s="63"/>
      <c r="P5113" s="79" t="str">
        <f>IF(AND('331-CT'!$E$7=TH!H5113,OR(N5113="331",O5113="331")),"x","")</f>
        <v/>
      </c>
      <c r="Q5113" s="79" t="str">
        <f>IF(AND(B5113='111'!$L$11,OR($N5113=$Q$7,$O5113=$Q$7)),"x","")</f>
        <v/>
      </c>
      <c r="R5113" s="79" t="str">
        <f>IF(AND($N5113=$Q$7,$B5113&lt;'111'!$L$11),"x","")</f>
        <v/>
      </c>
      <c r="S5113" s="79" t="str">
        <f>IF(AND($O5113=$Q$7,$B5113&lt;'111'!$L$11),"x","")</f>
        <v/>
      </c>
      <c r="T5113" s="79" t="str">
        <f>IF(ISERROR(FIND('112'!$M$9,G5113,1)),"",IF((AND(FIND('112'!$M$9,G5113,1)&gt;=1,B5113='112'!$K$9,OR($N5113='112'!$I$6,$O5113='112'!$I$6))),"x",""))</f>
        <v/>
      </c>
      <c r="U5113" s="79" t="str">
        <f>IF(ISERROR(FIND('112'!$M$9,G5113,1)),"",IF((AND(LEFT(G5113,2)=LEFT('112'!$M$9,2),B5113&lt;'112'!$K$9,$N5113='112'!$I$6)),"x",""))</f>
        <v/>
      </c>
      <c r="V5113" s="79" t="str">
        <f>IF(ISERROR(FIND('112'!$M$9,G5113,1)),"",IF((AND(RIGHT(G5113,2)=RIGHT('112'!$M$9,2),B5113&lt;'112'!$K$9,$O5113='112'!$I$6)),"x",""))</f>
        <v/>
      </c>
      <c r="W5113" s="79" t="str">
        <f>IF(AND('341-CT'!$H$9=H5113,OR(LEFT(N5113,3)=$W$7,LEFT(O5113,3)=$W$7)),"x","")</f>
        <v/>
      </c>
      <c r="X5113" s="79" t="str">
        <f>IF(OR(TH!N5113=TH!$X$7,O5113=TH!$X$7),"x","")</f>
        <v/>
      </c>
      <c r="Y5113" s="79" t="str">
        <f>IF(AND(OR(N5113="131",O5113="131"),H5113='131-CT'!$H$9),"x","")</f>
        <v/>
      </c>
      <c r="Z5113" s="79"/>
      <c r="AA5113" s="79" t="str">
        <f>IF(AND(MONTH(E5113)='IN-NX'!$J$5,'IN-NX'!$D$7=D5113),"x","")</f>
        <v/>
      </c>
      <c r="AB5113" s="79" t="str">
        <f>IF(AND(OR(LEFT(TH!N5113,2)="15",LEFT(TH!O5113,2)="15"),LEFT(TH!O5113,3)&lt;&gt;"111",'152-CT'!$J$8=TH!F5113),"x","")</f>
        <v/>
      </c>
      <c r="AC5113" s="79" t="str">
        <f>IF(AND(OR(LEFT(TH!N5113,2)="15",LEFT(TH!O5113,2)="15"),TK!$E$7=TH!F5113),"x","")</f>
        <v/>
      </c>
      <c r="AD5113" s="79" t="str">
        <f>IF(AND(N5113="1521",MONTH(C5113)='BK-NL'!$M$11),"x","")</f>
        <v/>
      </c>
    </row>
    <row r="5114" spans="1:30" ht="16.5" customHeight="1">
      <c r="A5114" s="318" t="str">
        <f>IF(B5114&lt;&gt;"",IF(AND(B5114='[3]IN-TC'!$S$4,OR([3]TH!N4336="1111",[3]TH!O4336="1111")),[3]TH!D4336,""),"")</f>
        <v/>
      </c>
      <c r="B5114" s="60" t="str">
        <f t="shared" si="500"/>
        <v/>
      </c>
      <c r="C5114" s="301"/>
      <c r="D5114" s="301"/>
      <c r="E5114" s="61"/>
      <c r="F5114" s="303"/>
      <c r="G5114" s="302"/>
      <c r="H5114" s="303"/>
      <c r="I5114" s="385"/>
      <c r="J5114" s="395"/>
      <c r="K5114" s="387"/>
      <c r="L5114" s="394"/>
      <c r="M5114" s="62"/>
      <c r="N5114" s="63"/>
      <c r="O5114" s="63"/>
      <c r="P5114" s="79" t="str">
        <f>IF(AND('331-CT'!$E$7=TH!H5114,OR(N5114="331",O5114="331")),"x","")</f>
        <v/>
      </c>
      <c r="Q5114" s="79" t="str">
        <f>IF(AND(B5114='111'!$L$11,OR($N5114=$Q$7,$O5114=$Q$7)),"x","")</f>
        <v/>
      </c>
      <c r="R5114" s="79" t="str">
        <f>IF(AND($N5114=$Q$7,$B5114&lt;'111'!$L$11),"x","")</f>
        <v/>
      </c>
      <c r="S5114" s="79" t="str">
        <f>IF(AND($O5114=$Q$7,$B5114&lt;'111'!$L$11),"x","")</f>
        <v/>
      </c>
      <c r="T5114" s="79" t="str">
        <f>IF(ISERROR(FIND('112'!$M$9,G5114,1)),"",IF((AND(FIND('112'!$M$9,G5114,1)&gt;=1,B5114='112'!$K$9,OR($N5114='112'!$I$6,$O5114='112'!$I$6))),"x",""))</f>
        <v/>
      </c>
      <c r="U5114" s="79" t="str">
        <f>IF(ISERROR(FIND('112'!$M$9,G5114,1)),"",IF((AND(LEFT(G5114,2)=LEFT('112'!$M$9,2),B5114&lt;'112'!$K$9,$N5114='112'!$I$6)),"x",""))</f>
        <v/>
      </c>
      <c r="V5114" s="79" t="str">
        <f>IF(ISERROR(FIND('112'!$M$9,G5114,1)),"",IF((AND(RIGHT(G5114,2)=RIGHT('112'!$M$9,2),B5114&lt;'112'!$K$9,$O5114='112'!$I$6)),"x",""))</f>
        <v/>
      </c>
      <c r="W5114" s="79" t="str">
        <f>IF(AND('341-CT'!$H$9=H5114,OR(LEFT(N5114,3)=$W$7,LEFT(O5114,3)=$W$7)),"x","")</f>
        <v/>
      </c>
      <c r="X5114" s="79" t="str">
        <f>IF(OR(TH!N5114=TH!$X$7,O5114=TH!$X$7),"x","")</f>
        <v/>
      </c>
      <c r="Y5114" s="79" t="str">
        <f>IF(AND(OR(N5114="131",O5114="131"),H5114='131-CT'!$H$9),"x","")</f>
        <v/>
      </c>
      <c r="Z5114" s="79"/>
      <c r="AA5114" s="79" t="str">
        <f>IF(AND(MONTH(E5114)='IN-NX'!$J$5,'IN-NX'!$D$7=D5114),"x","")</f>
        <v/>
      </c>
      <c r="AB5114" s="79" t="str">
        <f>IF(AND(OR(LEFT(TH!N5114,2)="15",LEFT(TH!O5114,2)="15"),LEFT(TH!O5114,3)&lt;&gt;"111",'152-CT'!$J$8=TH!F5114),"x","")</f>
        <v/>
      </c>
      <c r="AC5114" s="79" t="str">
        <f>IF(AND(OR(LEFT(TH!N5114,2)="15",LEFT(TH!O5114,2)="15"),TK!$E$7=TH!F5114),"x","")</f>
        <v/>
      </c>
      <c r="AD5114" s="79" t="str">
        <f>IF(AND(N5114="1521",MONTH(C5114)='BK-NL'!$M$11),"x","")</f>
        <v/>
      </c>
    </row>
    <row r="5115" spans="1:30" ht="16.5" customHeight="1">
      <c r="A5115" s="318" t="str">
        <f>IF(B5115&lt;&gt;"",IF(AND(B5115='[3]IN-TC'!$S$4,OR([3]TH!N4337="1111",[3]TH!O4337="1111")),[3]TH!D4337,""),"")</f>
        <v/>
      </c>
      <c r="B5115" s="60" t="str">
        <f t="shared" si="500"/>
        <v/>
      </c>
      <c r="C5115" s="301"/>
      <c r="D5115" s="301"/>
      <c r="E5115" s="61"/>
      <c r="F5115" s="303"/>
      <c r="G5115" s="302"/>
      <c r="H5115" s="303"/>
      <c r="I5115" s="385"/>
      <c r="J5115" s="395"/>
      <c r="K5115" s="387"/>
      <c r="L5115" s="394"/>
      <c r="M5115" s="62"/>
      <c r="N5115" s="63"/>
      <c r="O5115" s="63"/>
      <c r="P5115" s="79" t="str">
        <f>IF(AND('331-CT'!$E$7=TH!H5115,OR(N5115="331",O5115="331")),"x","")</f>
        <v/>
      </c>
      <c r="Q5115" s="79" t="str">
        <f>IF(AND(B5115='111'!$L$11,OR($N5115=$Q$7,$O5115=$Q$7)),"x","")</f>
        <v/>
      </c>
      <c r="R5115" s="79" t="str">
        <f>IF(AND($N5115=$Q$7,$B5115&lt;'111'!$L$11),"x","")</f>
        <v/>
      </c>
      <c r="S5115" s="79" t="str">
        <f>IF(AND($O5115=$Q$7,$B5115&lt;'111'!$L$11),"x","")</f>
        <v/>
      </c>
      <c r="T5115" s="79" t="str">
        <f>IF(ISERROR(FIND('112'!$M$9,G5115,1)),"",IF((AND(FIND('112'!$M$9,G5115,1)&gt;=1,B5115='112'!$K$9,OR($N5115='112'!$I$6,$O5115='112'!$I$6))),"x",""))</f>
        <v/>
      </c>
      <c r="U5115" s="79" t="str">
        <f>IF(ISERROR(FIND('112'!$M$9,G5115,1)),"",IF((AND(LEFT(G5115,2)=LEFT('112'!$M$9,2),B5115&lt;'112'!$K$9,$N5115='112'!$I$6)),"x",""))</f>
        <v/>
      </c>
      <c r="V5115" s="79" t="str">
        <f>IF(ISERROR(FIND('112'!$M$9,G5115,1)),"",IF((AND(RIGHT(G5115,2)=RIGHT('112'!$M$9,2),B5115&lt;'112'!$K$9,$O5115='112'!$I$6)),"x",""))</f>
        <v/>
      </c>
      <c r="W5115" s="79" t="str">
        <f>IF(AND('341-CT'!$H$9=H5115,OR(LEFT(N5115,3)=$W$7,LEFT(O5115,3)=$W$7)),"x","")</f>
        <v/>
      </c>
      <c r="X5115" s="79" t="str">
        <f>IF(OR(TH!N5115=TH!$X$7,O5115=TH!$X$7),"x","")</f>
        <v/>
      </c>
      <c r="Y5115" s="79" t="str">
        <f>IF(AND(OR(N5115="131",O5115="131"),H5115='131-CT'!$H$9),"x","")</f>
        <v/>
      </c>
      <c r="Z5115" s="79"/>
      <c r="AA5115" s="79" t="str">
        <f>IF(AND(MONTH(E5115)='IN-NX'!$J$5,'IN-NX'!$D$7=D5115),"x","")</f>
        <v/>
      </c>
      <c r="AB5115" s="79" t="str">
        <f>IF(AND(OR(LEFT(TH!N5115,2)="15",LEFT(TH!O5115,2)="15"),LEFT(TH!O5115,3)&lt;&gt;"111",'152-CT'!$J$8=TH!F5115),"x","")</f>
        <v/>
      </c>
      <c r="AC5115" s="79" t="str">
        <f>IF(AND(OR(LEFT(TH!N5115,2)="15",LEFT(TH!O5115,2)="15"),TK!$E$7=TH!F5115),"x","")</f>
        <v/>
      </c>
      <c r="AD5115" s="79" t="str">
        <f>IF(AND(N5115="1521",MONTH(C5115)='BK-NL'!$M$11),"x","")</f>
        <v/>
      </c>
    </row>
    <row r="5116" spans="1:30" ht="16.5" customHeight="1">
      <c r="A5116" s="318" t="str">
        <f>IF(B5116&lt;&gt;"",IF(AND(B5116='[3]IN-TC'!$S$4,OR([3]TH!N4338="1111",[3]TH!O4338="1111")),[3]TH!D4338,""),"")</f>
        <v/>
      </c>
      <c r="B5116" s="60" t="str">
        <f t="shared" si="500"/>
        <v/>
      </c>
      <c r="C5116" s="301"/>
      <c r="D5116" s="301"/>
      <c r="E5116" s="61"/>
      <c r="F5116" s="303"/>
      <c r="G5116" s="302"/>
      <c r="H5116" s="303"/>
      <c r="I5116" s="385"/>
      <c r="J5116" s="395"/>
      <c r="K5116" s="387"/>
      <c r="L5116" s="394"/>
      <c r="M5116" s="62"/>
      <c r="N5116" s="63"/>
      <c r="O5116" s="63"/>
      <c r="P5116" s="79" t="str">
        <f>IF(AND('331-CT'!$E$7=TH!H5116,OR(N5116="331",O5116="331")),"x","")</f>
        <v/>
      </c>
      <c r="Q5116" s="79" t="str">
        <f>IF(AND(B5116='111'!$L$11,OR($N5116=$Q$7,$O5116=$Q$7)),"x","")</f>
        <v/>
      </c>
      <c r="R5116" s="79" t="str">
        <f>IF(AND($N5116=$Q$7,$B5116&lt;'111'!$L$11),"x","")</f>
        <v/>
      </c>
      <c r="S5116" s="79" t="str">
        <f>IF(AND($O5116=$Q$7,$B5116&lt;'111'!$L$11),"x","")</f>
        <v/>
      </c>
      <c r="T5116" s="79" t="str">
        <f>IF(ISERROR(FIND('112'!$M$9,G5116,1)),"",IF((AND(FIND('112'!$M$9,G5116,1)&gt;=1,B5116='112'!$K$9,OR($N5116='112'!$I$6,$O5116='112'!$I$6))),"x",""))</f>
        <v/>
      </c>
      <c r="U5116" s="79" t="str">
        <f>IF(ISERROR(FIND('112'!$M$9,G5116,1)),"",IF((AND(LEFT(G5116,2)=LEFT('112'!$M$9,2),B5116&lt;'112'!$K$9,$N5116='112'!$I$6)),"x",""))</f>
        <v/>
      </c>
      <c r="V5116" s="79" t="str">
        <f>IF(ISERROR(FIND('112'!$M$9,G5116,1)),"",IF((AND(RIGHT(G5116,2)=RIGHT('112'!$M$9,2),B5116&lt;'112'!$K$9,$O5116='112'!$I$6)),"x",""))</f>
        <v/>
      </c>
      <c r="W5116" s="79" t="str">
        <f>IF(AND('341-CT'!$H$9=H5116,OR(LEFT(N5116,3)=$W$7,LEFT(O5116,3)=$W$7)),"x","")</f>
        <v/>
      </c>
      <c r="X5116" s="79" t="str">
        <f>IF(OR(TH!N5116=TH!$X$7,O5116=TH!$X$7),"x","")</f>
        <v/>
      </c>
      <c r="Y5116" s="79" t="str">
        <f>IF(AND(OR(N5116="131",O5116="131"),H5116='131-CT'!$H$9),"x","")</f>
        <v/>
      </c>
      <c r="Z5116" s="79"/>
      <c r="AA5116" s="79" t="str">
        <f>IF(AND(MONTH(E5116)='IN-NX'!$J$5,'IN-NX'!$D$7=D5116),"x","")</f>
        <v/>
      </c>
      <c r="AB5116" s="79" t="str">
        <f>IF(AND(OR(LEFT(TH!N5116,2)="15",LEFT(TH!O5116,2)="15"),LEFT(TH!O5116,3)&lt;&gt;"111",'152-CT'!$J$8=TH!F5116),"x","")</f>
        <v/>
      </c>
      <c r="AC5116" s="79" t="str">
        <f>IF(AND(OR(LEFT(TH!N5116,2)="15",LEFT(TH!O5116,2)="15"),TK!$E$7=TH!F5116),"x","")</f>
        <v/>
      </c>
      <c r="AD5116" s="79" t="str">
        <f>IF(AND(N5116="1521",MONTH(C5116)='BK-NL'!$M$11),"x","")</f>
        <v/>
      </c>
    </row>
    <row r="5117" spans="1:30" ht="16.5" customHeight="1">
      <c r="A5117" s="318" t="str">
        <f>IF(B5117&lt;&gt;"",IF(AND(B5117='[3]IN-TC'!$S$4,OR([3]TH!N4339="1111",[3]TH!O4339="1111")),[3]TH!D4339,""),"")</f>
        <v/>
      </c>
      <c r="B5117" s="60" t="str">
        <f t="shared" si="500"/>
        <v/>
      </c>
      <c r="C5117" s="301"/>
      <c r="D5117" s="301"/>
      <c r="E5117" s="61"/>
      <c r="F5117" s="303"/>
      <c r="G5117" s="302"/>
      <c r="H5117" s="303"/>
      <c r="I5117" s="385"/>
      <c r="J5117" s="395"/>
      <c r="K5117" s="387"/>
      <c r="L5117" s="394"/>
      <c r="M5117" s="62"/>
      <c r="N5117" s="63"/>
      <c r="O5117" s="63"/>
      <c r="P5117" s="79" t="str">
        <f>IF(AND('331-CT'!$E$7=TH!H5117,OR(N5117="331",O5117="331")),"x","")</f>
        <v/>
      </c>
      <c r="Q5117" s="79" t="str">
        <f>IF(AND(B5117='111'!$L$11,OR($N5117=$Q$7,$O5117=$Q$7)),"x","")</f>
        <v/>
      </c>
      <c r="R5117" s="79" t="str">
        <f>IF(AND($N5117=$Q$7,$B5117&lt;'111'!$L$11),"x","")</f>
        <v/>
      </c>
      <c r="S5117" s="79" t="str">
        <f>IF(AND($O5117=$Q$7,$B5117&lt;'111'!$L$11),"x","")</f>
        <v/>
      </c>
      <c r="T5117" s="79" t="str">
        <f>IF(ISERROR(FIND('112'!$M$9,G5117,1)),"",IF((AND(FIND('112'!$M$9,G5117,1)&gt;=1,B5117='112'!$K$9,OR($N5117='112'!$I$6,$O5117='112'!$I$6))),"x",""))</f>
        <v/>
      </c>
      <c r="U5117" s="79" t="str">
        <f>IF(ISERROR(FIND('112'!$M$9,G5117,1)),"",IF((AND(LEFT(G5117,2)=LEFT('112'!$M$9,2),B5117&lt;'112'!$K$9,$N5117='112'!$I$6)),"x",""))</f>
        <v/>
      </c>
      <c r="V5117" s="79" t="str">
        <f>IF(ISERROR(FIND('112'!$M$9,G5117,1)),"",IF((AND(RIGHT(G5117,2)=RIGHT('112'!$M$9,2),B5117&lt;'112'!$K$9,$O5117='112'!$I$6)),"x",""))</f>
        <v/>
      </c>
      <c r="W5117" s="79" t="str">
        <f>IF(AND('341-CT'!$H$9=H5117,OR(LEFT(N5117,3)=$W$7,LEFT(O5117,3)=$W$7)),"x","")</f>
        <v/>
      </c>
      <c r="X5117" s="79" t="str">
        <f>IF(OR(TH!N5117=TH!$X$7,O5117=TH!$X$7),"x","")</f>
        <v/>
      </c>
      <c r="Y5117" s="79" t="str">
        <f>IF(AND(OR(N5117="131",O5117="131"),H5117='131-CT'!$H$9),"x","")</f>
        <v/>
      </c>
      <c r="Z5117" s="79"/>
      <c r="AA5117" s="79" t="str">
        <f>IF(AND(MONTH(E5117)='IN-NX'!$J$5,'IN-NX'!$D$7=D5117),"x","")</f>
        <v/>
      </c>
      <c r="AB5117" s="79" t="str">
        <f>IF(AND(OR(LEFT(TH!N5117,2)="15",LEFT(TH!O5117,2)="15"),LEFT(TH!O5117,3)&lt;&gt;"111",'152-CT'!$J$8=TH!F5117),"x","")</f>
        <v/>
      </c>
      <c r="AC5117" s="79" t="str">
        <f>IF(AND(OR(LEFT(TH!N5117,2)="15",LEFT(TH!O5117,2)="15"),TK!$E$7=TH!F5117),"x","")</f>
        <v/>
      </c>
      <c r="AD5117" s="79" t="str">
        <f>IF(AND(N5117="1521",MONTH(C5117)='BK-NL'!$M$11),"x","")</f>
        <v/>
      </c>
    </row>
    <row r="5118" spans="1:30" ht="16.5" customHeight="1">
      <c r="A5118" s="318" t="str">
        <f>IF(B5118&lt;&gt;"",IF(AND(B5118='[3]IN-TC'!$S$4,OR([3]TH!N4340="1111",[3]TH!O4340="1111")),[3]TH!D4340,""),"")</f>
        <v/>
      </c>
      <c r="B5118" s="60" t="str">
        <f t="shared" si="500"/>
        <v/>
      </c>
      <c r="C5118" s="301"/>
      <c r="D5118" s="301"/>
      <c r="E5118" s="61"/>
      <c r="F5118" s="303"/>
      <c r="G5118" s="302"/>
      <c r="H5118" s="303"/>
      <c r="I5118" s="385"/>
      <c r="J5118" s="395"/>
      <c r="K5118" s="387"/>
      <c r="L5118" s="394"/>
      <c r="M5118" s="62"/>
      <c r="N5118" s="63"/>
      <c r="O5118" s="63"/>
      <c r="P5118" s="79" t="str">
        <f>IF(AND('331-CT'!$E$7=TH!H5118,OR(N5118="331",O5118="331")),"x","")</f>
        <v/>
      </c>
      <c r="Q5118" s="79" t="str">
        <f>IF(AND(B5118='111'!$L$11,OR($N5118=$Q$7,$O5118=$Q$7)),"x","")</f>
        <v/>
      </c>
      <c r="R5118" s="79" t="str">
        <f>IF(AND($N5118=$Q$7,$B5118&lt;'111'!$L$11),"x","")</f>
        <v/>
      </c>
      <c r="S5118" s="79" t="str">
        <f>IF(AND($O5118=$Q$7,$B5118&lt;'111'!$L$11),"x","")</f>
        <v/>
      </c>
      <c r="T5118" s="79" t="str">
        <f>IF(ISERROR(FIND('112'!$M$9,G5118,1)),"",IF((AND(FIND('112'!$M$9,G5118,1)&gt;=1,B5118='112'!$K$9,OR($N5118='112'!$I$6,$O5118='112'!$I$6))),"x",""))</f>
        <v/>
      </c>
      <c r="U5118" s="79" t="str">
        <f>IF(ISERROR(FIND('112'!$M$9,G5118,1)),"",IF((AND(LEFT(G5118,2)=LEFT('112'!$M$9,2),B5118&lt;'112'!$K$9,$N5118='112'!$I$6)),"x",""))</f>
        <v/>
      </c>
      <c r="V5118" s="79" t="str">
        <f>IF(ISERROR(FIND('112'!$M$9,G5118,1)),"",IF((AND(RIGHT(G5118,2)=RIGHT('112'!$M$9,2),B5118&lt;'112'!$K$9,$O5118='112'!$I$6)),"x",""))</f>
        <v/>
      </c>
      <c r="W5118" s="79" t="str">
        <f>IF(AND('341-CT'!$H$9=H5118,OR(LEFT(N5118,3)=$W$7,LEFT(O5118,3)=$W$7)),"x","")</f>
        <v/>
      </c>
      <c r="X5118" s="79" t="str">
        <f>IF(OR(TH!N5118=TH!$X$7,O5118=TH!$X$7),"x","")</f>
        <v/>
      </c>
      <c r="Y5118" s="79" t="str">
        <f>IF(AND(OR(N5118="131",O5118="131"),H5118='131-CT'!$H$9),"x","")</f>
        <v/>
      </c>
      <c r="Z5118" s="79"/>
      <c r="AA5118" s="79" t="str">
        <f>IF(AND(MONTH(E5118)='IN-NX'!$J$5,'IN-NX'!$D$7=D5118),"x","")</f>
        <v/>
      </c>
      <c r="AB5118" s="79" t="str">
        <f>IF(AND(OR(LEFT(TH!N5118,2)="15",LEFT(TH!O5118,2)="15"),LEFT(TH!O5118,3)&lt;&gt;"111",'152-CT'!$J$8=TH!F5118),"x","")</f>
        <v/>
      </c>
      <c r="AC5118" s="79" t="str">
        <f>IF(AND(OR(LEFT(TH!N5118,2)="15",LEFT(TH!O5118,2)="15"),TK!$E$7=TH!F5118),"x","")</f>
        <v/>
      </c>
      <c r="AD5118" s="79" t="str">
        <f>IF(AND(N5118="1521",MONTH(C5118)='BK-NL'!$M$11),"x","")</f>
        <v/>
      </c>
    </row>
    <row r="5119" spans="1:30" ht="16.5" customHeight="1">
      <c r="A5119" s="318" t="str">
        <f>IF(B5119&lt;&gt;"",IF(AND(B5119='[3]IN-TC'!$S$4,OR([3]TH!N4341="1111",[3]TH!O4341="1111")),[3]TH!D4341,""),"")</f>
        <v/>
      </c>
      <c r="B5119" s="60" t="str">
        <f t="shared" si="500"/>
        <v/>
      </c>
      <c r="C5119" s="301"/>
      <c r="D5119" s="301"/>
      <c r="E5119" s="61"/>
      <c r="F5119" s="303"/>
      <c r="G5119" s="302"/>
      <c r="H5119" s="303"/>
      <c r="I5119" s="385"/>
      <c r="J5119" s="395"/>
      <c r="K5119" s="387"/>
      <c r="L5119" s="394"/>
      <c r="M5119" s="62"/>
      <c r="N5119" s="63"/>
      <c r="O5119" s="63"/>
      <c r="P5119" s="79" t="str">
        <f>IF(AND('331-CT'!$E$7=TH!H5119,OR(N5119="331",O5119="331")),"x","")</f>
        <v/>
      </c>
      <c r="Q5119" s="79" t="str">
        <f>IF(AND(B5119='111'!$L$11,OR($N5119=$Q$7,$O5119=$Q$7)),"x","")</f>
        <v/>
      </c>
      <c r="R5119" s="79" t="str">
        <f>IF(AND($N5119=$Q$7,$B5119&lt;'111'!$L$11),"x","")</f>
        <v/>
      </c>
      <c r="S5119" s="79" t="str">
        <f>IF(AND($O5119=$Q$7,$B5119&lt;'111'!$L$11),"x","")</f>
        <v/>
      </c>
      <c r="T5119" s="79" t="str">
        <f>IF(ISERROR(FIND('112'!$M$9,G5119,1)),"",IF((AND(FIND('112'!$M$9,G5119,1)&gt;=1,B5119='112'!$K$9,OR($N5119='112'!$I$6,$O5119='112'!$I$6))),"x",""))</f>
        <v/>
      </c>
      <c r="U5119" s="79" t="str">
        <f>IF(ISERROR(FIND('112'!$M$9,G5119,1)),"",IF((AND(LEFT(G5119,2)=LEFT('112'!$M$9,2),B5119&lt;'112'!$K$9,$N5119='112'!$I$6)),"x",""))</f>
        <v/>
      </c>
      <c r="V5119" s="79" t="str">
        <f>IF(ISERROR(FIND('112'!$M$9,G5119,1)),"",IF((AND(RIGHT(G5119,2)=RIGHT('112'!$M$9,2),B5119&lt;'112'!$K$9,$O5119='112'!$I$6)),"x",""))</f>
        <v/>
      </c>
      <c r="W5119" s="79" t="str">
        <f>IF(AND('341-CT'!$H$9=H5119,OR(LEFT(N5119,3)=$W$7,LEFT(O5119,3)=$W$7)),"x","")</f>
        <v/>
      </c>
      <c r="X5119" s="79" t="str">
        <f>IF(OR(TH!N5119=TH!$X$7,O5119=TH!$X$7),"x","")</f>
        <v/>
      </c>
      <c r="Y5119" s="79" t="str">
        <f>IF(AND(OR(N5119="131",O5119="131"),H5119='131-CT'!$H$9),"x","")</f>
        <v/>
      </c>
      <c r="Z5119" s="79"/>
      <c r="AA5119" s="79" t="str">
        <f>IF(AND(MONTH(E5119)='IN-NX'!$J$5,'IN-NX'!$D$7=D5119),"x","")</f>
        <v/>
      </c>
      <c r="AB5119" s="79" t="str">
        <f>IF(AND(OR(LEFT(TH!N5119,2)="15",LEFT(TH!O5119,2)="15"),LEFT(TH!O5119,3)&lt;&gt;"111",'152-CT'!$J$8=TH!F5119),"x","")</f>
        <v/>
      </c>
      <c r="AC5119" s="79" t="str">
        <f>IF(AND(OR(LEFT(TH!N5119,2)="15",LEFT(TH!O5119,2)="15"),TK!$E$7=TH!F5119),"x","")</f>
        <v/>
      </c>
      <c r="AD5119" s="79" t="str">
        <f>IF(AND(N5119="1521",MONTH(C5119)='BK-NL'!$M$11),"x","")</f>
        <v/>
      </c>
    </row>
    <row r="5120" spans="1:30" ht="16.5" customHeight="1">
      <c r="A5120" s="318" t="str">
        <f>IF(B5120&lt;&gt;"",IF(AND(B5120='[3]IN-TC'!$S$4,OR([3]TH!N4342="1111",[3]TH!O4342="1111")),[3]TH!D4342,""),"")</f>
        <v/>
      </c>
      <c r="B5120" s="60" t="str">
        <f t="shared" si="500"/>
        <v/>
      </c>
      <c r="C5120" s="301"/>
      <c r="D5120" s="301"/>
      <c r="E5120" s="61"/>
      <c r="F5120" s="303"/>
      <c r="G5120" s="302"/>
      <c r="H5120" s="303"/>
      <c r="I5120" s="385"/>
      <c r="J5120" s="395"/>
      <c r="K5120" s="387"/>
      <c r="L5120" s="394"/>
      <c r="M5120" s="62"/>
      <c r="N5120" s="63"/>
      <c r="O5120" s="63"/>
      <c r="P5120" s="79" t="str">
        <f>IF(AND('331-CT'!$E$7=TH!H5120,OR(N5120="331",O5120="331")),"x","")</f>
        <v/>
      </c>
      <c r="Q5120" s="79" t="str">
        <f>IF(AND(B5120='111'!$L$11,OR($N5120=$Q$7,$O5120=$Q$7)),"x","")</f>
        <v/>
      </c>
      <c r="R5120" s="79" t="str">
        <f>IF(AND($N5120=$Q$7,$B5120&lt;'111'!$L$11),"x","")</f>
        <v/>
      </c>
      <c r="S5120" s="79" t="str">
        <f>IF(AND($O5120=$Q$7,$B5120&lt;'111'!$L$11),"x","")</f>
        <v/>
      </c>
      <c r="T5120" s="79" t="str">
        <f>IF(ISERROR(FIND('112'!$M$9,G5120,1)),"",IF((AND(FIND('112'!$M$9,G5120,1)&gt;=1,B5120='112'!$K$9,OR($N5120='112'!$I$6,$O5120='112'!$I$6))),"x",""))</f>
        <v/>
      </c>
      <c r="U5120" s="79" t="str">
        <f>IF(ISERROR(FIND('112'!$M$9,G5120,1)),"",IF((AND(LEFT(G5120,2)=LEFT('112'!$M$9,2),B5120&lt;'112'!$K$9,$N5120='112'!$I$6)),"x",""))</f>
        <v/>
      </c>
      <c r="V5120" s="79" t="str">
        <f>IF(ISERROR(FIND('112'!$M$9,G5120,1)),"",IF((AND(RIGHT(G5120,2)=RIGHT('112'!$M$9,2),B5120&lt;'112'!$K$9,$O5120='112'!$I$6)),"x",""))</f>
        <v/>
      </c>
      <c r="W5120" s="79" t="str">
        <f>IF(AND('341-CT'!$H$9=H5120,OR(LEFT(N5120,3)=$W$7,LEFT(O5120,3)=$W$7)),"x","")</f>
        <v/>
      </c>
      <c r="X5120" s="79" t="str">
        <f>IF(OR(TH!N5120=TH!$X$7,O5120=TH!$X$7),"x","")</f>
        <v/>
      </c>
      <c r="Y5120" s="79" t="str">
        <f>IF(AND(OR(N5120="131",O5120="131"),H5120='131-CT'!$H$9),"x","")</f>
        <v/>
      </c>
      <c r="Z5120" s="79"/>
      <c r="AA5120" s="79" t="str">
        <f>IF(AND(MONTH(E5120)='IN-NX'!$J$5,'IN-NX'!$D$7=D5120),"x","")</f>
        <v/>
      </c>
      <c r="AB5120" s="79" t="str">
        <f>IF(AND(OR(LEFT(TH!N5120,2)="15",LEFT(TH!O5120,2)="15"),LEFT(TH!O5120,3)&lt;&gt;"111",'152-CT'!$J$8=TH!F5120),"x","")</f>
        <v/>
      </c>
      <c r="AC5120" s="79" t="str">
        <f>IF(AND(OR(LEFT(TH!N5120,2)="15",LEFT(TH!O5120,2)="15"),TK!$E$7=TH!F5120),"x","")</f>
        <v/>
      </c>
      <c r="AD5120" s="79" t="str">
        <f>IF(AND(N5120="1521",MONTH(C5120)='BK-NL'!$M$11),"x","")</f>
        <v/>
      </c>
    </row>
    <row r="5121" spans="1:30" ht="16.5" customHeight="1">
      <c r="A5121" s="318" t="str">
        <f>IF(B5121&lt;&gt;"",IF(AND(B5121='[3]IN-TC'!$S$4,OR([3]TH!N4343="1111",[3]TH!O4343="1111")),[3]TH!D4343,""),"")</f>
        <v/>
      </c>
      <c r="B5121" s="60" t="str">
        <f t="shared" si="500"/>
        <v/>
      </c>
      <c r="C5121" s="301"/>
      <c r="D5121" s="301"/>
      <c r="E5121" s="61"/>
      <c r="F5121" s="303"/>
      <c r="G5121" s="302"/>
      <c r="H5121" s="303"/>
      <c r="I5121" s="385"/>
      <c r="J5121" s="395"/>
      <c r="K5121" s="387"/>
      <c r="L5121" s="394"/>
      <c r="M5121" s="62"/>
      <c r="N5121" s="63"/>
      <c r="O5121" s="63"/>
      <c r="P5121" s="79" t="str">
        <f>IF(AND('331-CT'!$E$7=TH!H5121,OR(N5121="331",O5121="331")),"x","")</f>
        <v/>
      </c>
      <c r="Q5121" s="79" t="str">
        <f>IF(AND(B5121='111'!$L$11,OR($N5121=$Q$7,$O5121=$Q$7)),"x","")</f>
        <v/>
      </c>
      <c r="R5121" s="79" t="str">
        <f>IF(AND($N5121=$Q$7,$B5121&lt;'111'!$L$11),"x","")</f>
        <v/>
      </c>
      <c r="S5121" s="79" t="str">
        <f>IF(AND($O5121=$Q$7,$B5121&lt;'111'!$L$11),"x","")</f>
        <v/>
      </c>
      <c r="T5121" s="79" t="str">
        <f>IF(ISERROR(FIND('112'!$M$9,G5121,1)),"",IF((AND(FIND('112'!$M$9,G5121,1)&gt;=1,B5121='112'!$K$9,OR($N5121='112'!$I$6,$O5121='112'!$I$6))),"x",""))</f>
        <v/>
      </c>
      <c r="U5121" s="79" t="str">
        <f>IF(ISERROR(FIND('112'!$M$9,G5121,1)),"",IF((AND(LEFT(G5121,2)=LEFT('112'!$M$9,2),B5121&lt;'112'!$K$9,$N5121='112'!$I$6)),"x",""))</f>
        <v/>
      </c>
      <c r="V5121" s="79" t="str">
        <f>IF(ISERROR(FIND('112'!$M$9,G5121,1)),"",IF((AND(RIGHT(G5121,2)=RIGHT('112'!$M$9,2),B5121&lt;'112'!$K$9,$O5121='112'!$I$6)),"x",""))</f>
        <v/>
      </c>
      <c r="W5121" s="79" t="str">
        <f>IF(AND('341-CT'!$H$9=H5121,OR(LEFT(N5121,3)=$W$7,LEFT(O5121,3)=$W$7)),"x","")</f>
        <v/>
      </c>
      <c r="X5121" s="79" t="str">
        <f>IF(OR(TH!N5121=TH!$X$7,O5121=TH!$X$7),"x","")</f>
        <v/>
      </c>
      <c r="Y5121" s="79" t="str">
        <f>IF(AND(OR(N5121="131",O5121="131"),H5121='131-CT'!$H$9),"x","")</f>
        <v/>
      </c>
      <c r="Z5121" s="79"/>
      <c r="AA5121" s="79" t="str">
        <f>IF(AND(MONTH(E5121)='IN-NX'!$J$5,'IN-NX'!$D$7=D5121),"x","")</f>
        <v/>
      </c>
      <c r="AB5121" s="79" t="str">
        <f>IF(AND(OR(LEFT(TH!N5121,2)="15",LEFT(TH!O5121,2)="15"),LEFT(TH!O5121,3)&lt;&gt;"111",'152-CT'!$J$8=TH!F5121),"x","")</f>
        <v/>
      </c>
      <c r="AC5121" s="79" t="str">
        <f>IF(AND(OR(LEFT(TH!N5121,2)="15",LEFT(TH!O5121,2)="15"),TK!$E$7=TH!F5121),"x","")</f>
        <v/>
      </c>
      <c r="AD5121" s="79" t="str">
        <f>IF(AND(N5121="1521",MONTH(C5121)='BK-NL'!$M$11),"x","")</f>
        <v/>
      </c>
    </row>
    <row r="5122" spans="1:30" ht="16.5" customHeight="1">
      <c r="A5122" s="318" t="str">
        <f>IF(B5122&lt;&gt;"",IF(AND(B5122='[3]IN-TC'!$S$4,OR([3]TH!N4344="1111",[3]TH!O4344="1111")),[3]TH!D4344,""),"")</f>
        <v/>
      </c>
      <c r="B5122" s="60" t="str">
        <f t="shared" si="500"/>
        <v/>
      </c>
      <c r="C5122" s="301"/>
      <c r="D5122" s="301"/>
      <c r="E5122" s="61"/>
      <c r="F5122" s="303"/>
      <c r="G5122" s="302"/>
      <c r="H5122" s="303"/>
      <c r="I5122" s="385"/>
      <c r="J5122" s="395"/>
      <c r="K5122" s="387"/>
      <c r="L5122" s="394"/>
      <c r="M5122" s="62"/>
      <c r="N5122" s="63"/>
      <c r="O5122" s="63"/>
      <c r="P5122" s="79" t="str">
        <f>IF(AND('331-CT'!$E$7=TH!H5122,OR(N5122="331",O5122="331")),"x","")</f>
        <v/>
      </c>
      <c r="Q5122" s="79" t="str">
        <f>IF(AND(B5122='111'!$L$11,OR($N5122=$Q$7,$O5122=$Q$7)),"x","")</f>
        <v/>
      </c>
      <c r="R5122" s="79" t="str">
        <f>IF(AND($N5122=$Q$7,$B5122&lt;'111'!$L$11),"x","")</f>
        <v/>
      </c>
      <c r="S5122" s="79" t="str">
        <f>IF(AND($O5122=$Q$7,$B5122&lt;'111'!$L$11),"x","")</f>
        <v/>
      </c>
      <c r="T5122" s="79" t="str">
        <f>IF(ISERROR(FIND('112'!$M$9,G5122,1)),"",IF((AND(FIND('112'!$M$9,G5122,1)&gt;=1,B5122='112'!$K$9,OR($N5122='112'!$I$6,$O5122='112'!$I$6))),"x",""))</f>
        <v/>
      </c>
      <c r="U5122" s="79" t="str">
        <f>IF(ISERROR(FIND('112'!$M$9,G5122,1)),"",IF((AND(LEFT(G5122,2)=LEFT('112'!$M$9,2),B5122&lt;'112'!$K$9,$N5122='112'!$I$6)),"x",""))</f>
        <v/>
      </c>
      <c r="V5122" s="79" t="str">
        <f>IF(ISERROR(FIND('112'!$M$9,G5122,1)),"",IF((AND(RIGHT(G5122,2)=RIGHT('112'!$M$9,2),B5122&lt;'112'!$K$9,$O5122='112'!$I$6)),"x",""))</f>
        <v/>
      </c>
      <c r="W5122" s="79" t="str">
        <f>IF(AND('341-CT'!$H$9=H5122,OR(LEFT(N5122,3)=$W$7,LEFT(O5122,3)=$W$7)),"x","")</f>
        <v/>
      </c>
      <c r="X5122" s="79" t="str">
        <f>IF(OR(TH!N5122=TH!$X$7,O5122=TH!$X$7),"x","")</f>
        <v/>
      </c>
      <c r="Y5122" s="79" t="str">
        <f>IF(AND(OR(N5122="131",O5122="131"),H5122='131-CT'!$H$9),"x","")</f>
        <v/>
      </c>
      <c r="Z5122" s="79"/>
      <c r="AA5122" s="79" t="str">
        <f>IF(AND(MONTH(E5122)='IN-NX'!$J$5,'IN-NX'!$D$7=D5122),"x","")</f>
        <v/>
      </c>
      <c r="AB5122" s="79" t="str">
        <f>IF(AND(OR(LEFT(TH!N5122,2)="15",LEFT(TH!O5122,2)="15"),LEFT(TH!O5122,3)&lt;&gt;"111",'152-CT'!$J$8=TH!F5122),"x","")</f>
        <v/>
      </c>
      <c r="AC5122" s="79" t="str">
        <f>IF(AND(OR(LEFT(TH!N5122,2)="15",LEFT(TH!O5122,2)="15"),TK!$E$7=TH!F5122),"x","")</f>
        <v/>
      </c>
      <c r="AD5122" s="79" t="str">
        <f>IF(AND(N5122="1521",MONTH(C5122)='BK-NL'!$M$11),"x","")</f>
        <v/>
      </c>
    </row>
    <row r="5123" spans="1:30" ht="16.5" customHeight="1">
      <c r="A5123" s="318" t="str">
        <f>IF(B5123&lt;&gt;"",IF(AND(B5123='[3]IN-TC'!$S$4,OR([3]TH!N4345="1111",[3]TH!O4345="1111")),[3]TH!D4345,""),"")</f>
        <v/>
      </c>
      <c r="B5123" s="60" t="str">
        <f t="shared" ref="B5123:B5186" si="501">IF(C5123&lt;&gt;"",MONTH(C5123),"")</f>
        <v/>
      </c>
      <c r="C5123" s="301"/>
      <c r="D5123" s="301"/>
      <c r="E5123" s="61"/>
      <c r="F5123" s="303"/>
      <c r="G5123" s="302"/>
      <c r="H5123" s="303"/>
      <c r="I5123" s="385"/>
      <c r="J5123" s="395"/>
      <c r="K5123" s="387"/>
      <c r="L5123" s="394"/>
      <c r="M5123" s="62"/>
      <c r="N5123" s="63"/>
      <c r="O5123" s="63"/>
      <c r="P5123" s="79" t="str">
        <f>IF(AND('331-CT'!$E$7=TH!H5123,OR(N5123="331",O5123="331")),"x","")</f>
        <v/>
      </c>
      <c r="Q5123" s="79" t="str">
        <f>IF(AND(B5123='111'!$L$11,OR($N5123=$Q$7,$O5123=$Q$7)),"x","")</f>
        <v/>
      </c>
      <c r="R5123" s="79" t="str">
        <f>IF(AND($N5123=$Q$7,$B5123&lt;'111'!$L$11),"x","")</f>
        <v/>
      </c>
      <c r="S5123" s="79" t="str">
        <f>IF(AND($O5123=$Q$7,$B5123&lt;'111'!$L$11),"x","")</f>
        <v/>
      </c>
      <c r="T5123" s="79" t="str">
        <f>IF(ISERROR(FIND('112'!$M$9,G5123,1)),"",IF((AND(FIND('112'!$M$9,G5123,1)&gt;=1,B5123='112'!$K$9,OR($N5123='112'!$I$6,$O5123='112'!$I$6))),"x",""))</f>
        <v/>
      </c>
      <c r="U5123" s="79" t="str">
        <f>IF(ISERROR(FIND('112'!$M$9,G5123,1)),"",IF((AND(LEFT(G5123,2)=LEFT('112'!$M$9,2),B5123&lt;'112'!$K$9,$N5123='112'!$I$6)),"x",""))</f>
        <v/>
      </c>
      <c r="V5123" s="79" t="str">
        <f>IF(ISERROR(FIND('112'!$M$9,G5123,1)),"",IF((AND(RIGHT(G5123,2)=RIGHT('112'!$M$9,2),B5123&lt;'112'!$K$9,$O5123='112'!$I$6)),"x",""))</f>
        <v/>
      </c>
      <c r="W5123" s="79" t="str">
        <f>IF(AND('341-CT'!$H$9=H5123,OR(LEFT(N5123,3)=$W$7,LEFT(O5123,3)=$W$7)),"x","")</f>
        <v/>
      </c>
      <c r="X5123" s="79" t="str">
        <f>IF(OR(TH!N5123=TH!$X$7,O5123=TH!$X$7),"x","")</f>
        <v/>
      </c>
      <c r="Y5123" s="79" t="str">
        <f>IF(AND(OR(N5123="131",O5123="131"),H5123='131-CT'!$H$9),"x","")</f>
        <v/>
      </c>
      <c r="Z5123" s="79"/>
      <c r="AA5123" s="79" t="str">
        <f>IF(AND(MONTH(E5123)='IN-NX'!$J$5,'IN-NX'!$D$7=D5123),"x","")</f>
        <v/>
      </c>
      <c r="AB5123" s="79" t="str">
        <f>IF(AND(OR(LEFT(TH!N5123,2)="15",LEFT(TH!O5123,2)="15"),LEFT(TH!O5123,3)&lt;&gt;"111",'152-CT'!$J$8=TH!F5123),"x","")</f>
        <v/>
      </c>
      <c r="AC5123" s="79" t="str">
        <f>IF(AND(OR(LEFT(TH!N5123,2)="15",LEFT(TH!O5123,2)="15"),TK!$E$7=TH!F5123),"x","")</f>
        <v/>
      </c>
      <c r="AD5123" s="79" t="str">
        <f>IF(AND(N5123="1521",MONTH(C5123)='BK-NL'!$M$11),"x","")</f>
        <v/>
      </c>
    </row>
    <row r="5124" spans="1:30" ht="16.5" customHeight="1">
      <c r="A5124" s="318" t="str">
        <f>IF(B5124&lt;&gt;"",IF(AND(B5124='[3]IN-TC'!$S$4,OR([3]TH!N4346="1111",[3]TH!O4346="1111")),[3]TH!D4346,""),"")</f>
        <v/>
      </c>
      <c r="B5124" s="60" t="str">
        <f t="shared" si="501"/>
        <v/>
      </c>
      <c r="C5124" s="301"/>
      <c r="D5124" s="301"/>
      <c r="E5124" s="61"/>
      <c r="F5124" s="303"/>
      <c r="G5124" s="302"/>
      <c r="H5124" s="303"/>
      <c r="I5124" s="385"/>
      <c r="J5124" s="395"/>
      <c r="K5124" s="387"/>
      <c r="L5124" s="394"/>
      <c r="M5124" s="62"/>
      <c r="N5124" s="63"/>
      <c r="O5124" s="63"/>
      <c r="P5124" s="79" t="str">
        <f>IF(AND('331-CT'!$E$7=TH!H5124,OR(N5124="331",O5124="331")),"x","")</f>
        <v/>
      </c>
      <c r="Q5124" s="79" t="str">
        <f>IF(AND(B5124='111'!$L$11,OR($N5124=$Q$7,$O5124=$Q$7)),"x","")</f>
        <v/>
      </c>
      <c r="R5124" s="79" t="str">
        <f>IF(AND($N5124=$Q$7,$B5124&lt;'111'!$L$11),"x","")</f>
        <v/>
      </c>
      <c r="S5124" s="79" t="str">
        <f>IF(AND($O5124=$Q$7,$B5124&lt;'111'!$L$11),"x","")</f>
        <v/>
      </c>
      <c r="T5124" s="79" t="str">
        <f>IF(ISERROR(FIND('112'!$M$9,G5124,1)),"",IF((AND(FIND('112'!$M$9,G5124,1)&gt;=1,B5124='112'!$K$9,OR($N5124='112'!$I$6,$O5124='112'!$I$6))),"x",""))</f>
        <v/>
      </c>
      <c r="U5124" s="79" t="str">
        <f>IF(ISERROR(FIND('112'!$M$9,G5124,1)),"",IF((AND(LEFT(G5124,2)=LEFT('112'!$M$9,2),B5124&lt;'112'!$K$9,$N5124='112'!$I$6)),"x",""))</f>
        <v/>
      </c>
      <c r="V5124" s="79" t="str">
        <f>IF(ISERROR(FIND('112'!$M$9,G5124,1)),"",IF((AND(RIGHT(G5124,2)=RIGHT('112'!$M$9,2),B5124&lt;'112'!$K$9,$O5124='112'!$I$6)),"x",""))</f>
        <v/>
      </c>
      <c r="W5124" s="79" t="str">
        <f>IF(AND('341-CT'!$H$9=H5124,OR(LEFT(N5124,3)=$W$7,LEFT(O5124,3)=$W$7)),"x","")</f>
        <v/>
      </c>
      <c r="X5124" s="79" t="str">
        <f>IF(OR(TH!N5124=TH!$X$7,O5124=TH!$X$7),"x","")</f>
        <v/>
      </c>
      <c r="Y5124" s="79" t="str">
        <f>IF(AND(OR(N5124="131",O5124="131"),H5124='131-CT'!$H$9),"x","")</f>
        <v/>
      </c>
      <c r="Z5124" s="79"/>
      <c r="AA5124" s="79" t="str">
        <f>IF(AND(MONTH(E5124)='IN-NX'!$J$5,'IN-NX'!$D$7=D5124),"x","")</f>
        <v/>
      </c>
      <c r="AB5124" s="79" t="str">
        <f>IF(AND(OR(LEFT(TH!N5124,2)="15",LEFT(TH!O5124,2)="15"),LEFT(TH!O5124,3)&lt;&gt;"111",'152-CT'!$J$8=TH!F5124),"x","")</f>
        <v/>
      </c>
      <c r="AC5124" s="79" t="str">
        <f>IF(AND(OR(LEFT(TH!N5124,2)="15",LEFT(TH!O5124,2)="15"),TK!$E$7=TH!F5124),"x","")</f>
        <v/>
      </c>
      <c r="AD5124" s="79" t="str">
        <f>IF(AND(N5124="1521",MONTH(C5124)='BK-NL'!$M$11),"x","")</f>
        <v/>
      </c>
    </row>
    <row r="5125" spans="1:30" ht="16.5" customHeight="1">
      <c r="A5125" s="318" t="str">
        <f>IF(B5125&lt;&gt;"",IF(AND(B5125='[3]IN-TC'!$S$4,OR([3]TH!N4347="1111",[3]TH!O4347="1111")),[3]TH!D4347,""),"")</f>
        <v/>
      </c>
      <c r="B5125" s="60" t="str">
        <f t="shared" si="501"/>
        <v/>
      </c>
      <c r="C5125" s="301"/>
      <c r="D5125" s="301"/>
      <c r="E5125" s="61"/>
      <c r="F5125" s="303"/>
      <c r="G5125" s="302"/>
      <c r="H5125" s="303"/>
      <c r="I5125" s="385"/>
      <c r="J5125" s="395"/>
      <c r="K5125" s="387"/>
      <c r="L5125" s="394"/>
      <c r="M5125" s="62"/>
      <c r="N5125" s="63"/>
      <c r="O5125" s="63"/>
      <c r="P5125" s="79" t="str">
        <f>IF(AND('331-CT'!$E$7=TH!H5125,OR(N5125="331",O5125="331")),"x","")</f>
        <v/>
      </c>
      <c r="Q5125" s="79" t="str">
        <f>IF(AND(B5125='111'!$L$11,OR($N5125=$Q$7,$O5125=$Q$7)),"x","")</f>
        <v/>
      </c>
      <c r="R5125" s="79" t="str">
        <f>IF(AND($N5125=$Q$7,$B5125&lt;'111'!$L$11),"x","")</f>
        <v/>
      </c>
      <c r="S5125" s="79" t="str">
        <f>IF(AND($O5125=$Q$7,$B5125&lt;'111'!$L$11),"x","")</f>
        <v/>
      </c>
      <c r="T5125" s="79" t="str">
        <f>IF(ISERROR(FIND('112'!$M$9,G5125,1)),"",IF((AND(FIND('112'!$M$9,G5125,1)&gt;=1,B5125='112'!$K$9,OR($N5125='112'!$I$6,$O5125='112'!$I$6))),"x",""))</f>
        <v/>
      </c>
      <c r="U5125" s="79" t="str">
        <f>IF(ISERROR(FIND('112'!$M$9,G5125,1)),"",IF((AND(LEFT(G5125,2)=LEFT('112'!$M$9,2),B5125&lt;'112'!$K$9,$N5125='112'!$I$6)),"x",""))</f>
        <v/>
      </c>
      <c r="V5125" s="79" t="str">
        <f>IF(ISERROR(FIND('112'!$M$9,G5125,1)),"",IF((AND(RIGHT(G5125,2)=RIGHT('112'!$M$9,2),B5125&lt;'112'!$K$9,$O5125='112'!$I$6)),"x",""))</f>
        <v/>
      </c>
      <c r="W5125" s="79" t="str">
        <f>IF(AND('341-CT'!$H$9=H5125,OR(LEFT(N5125,3)=$W$7,LEFT(O5125,3)=$W$7)),"x","")</f>
        <v/>
      </c>
      <c r="X5125" s="79" t="str">
        <f>IF(OR(TH!N5125=TH!$X$7,O5125=TH!$X$7),"x","")</f>
        <v/>
      </c>
      <c r="Y5125" s="79" t="str">
        <f>IF(AND(OR(N5125="131",O5125="131"),H5125='131-CT'!$H$9),"x","")</f>
        <v/>
      </c>
      <c r="Z5125" s="79"/>
      <c r="AA5125" s="79" t="str">
        <f>IF(AND(MONTH(E5125)='IN-NX'!$J$5,'IN-NX'!$D$7=D5125),"x","")</f>
        <v/>
      </c>
      <c r="AB5125" s="79" t="str">
        <f>IF(AND(OR(LEFT(TH!N5125,2)="15",LEFT(TH!O5125,2)="15"),LEFT(TH!O5125,3)&lt;&gt;"111",'152-CT'!$J$8=TH!F5125),"x","")</f>
        <v/>
      </c>
      <c r="AC5125" s="79" t="str">
        <f>IF(AND(OR(LEFT(TH!N5125,2)="15",LEFT(TH!O5125,2)="15"),TK!$E$7=TH!F5125),"x","")</f>
        <v/>
      </c>
      <c r="AD5125" s="79" t="str">
        <f>IF(AND(N5125="1521",MONTH(C5125)='BK-NL'!$M$11),"x","")</f>
        <v/>
      </c>
    </row>
    <row r="5126" spans="1:30" ht="16.5" customHeight="1">
      <c r="A5126" s="318" t="str">
        <f>IF(B5126&lt;&gt;"",IF(AND(B5126='[3]IN-TC'!$S$4,OR([3]TH!N4348="1111",[3]TH!O4348="1111")),[3]TH!D4348,""),"")</f>
        <v/>
      </c>
      <c r="B5126" s="60" t="str">
        <f t="shared" si="501"/>
        <v/>
      </c>
      <c r="C5126" s="301"/>
      <c r="D5126" s="301"/>
      <c r="E5126" s="61"/>
      <c r="F5126" s="303"/>
      <c r="G5126" s="302"/>
      <c r="H5126" s="303"/>
      <c r="I5126" s="385"/>
      <c r="J5126" s="395"/>
      <c r="K5126" s="387"/>
      <c r="L5126" s="394"/>
      <c r="M5126" s="62"/>
      <c r="N5126" s="63"/>
      <c r="O5126" s="63"/>
      <c r="P5126" s="79" t="str">
        <f>IF(AND('331-CT'!$E$7=TH!H5126,OR(N5126="331",O5126="331")),"x","")</f>
        <v/>
      </c>
      <c r="Q5126" s="79" t="str">
        <f>IF(AND(B5126='111'!$L$11,OR($N5126=$Q$7,$O5126=$Q$7)),"x","")</f>
        <v/>
      </c>
      <c r="R5126" s="79" t="str">
        <f>IF(AND($N5126=$Q$7,$B5126&lt;'111'!$L$11),"x","")</f>
        <v/>
      </c>
      <c r="S5126" s="79" t="str">
        <f>IF(AND($O5126=$Q$7,$B5126&lt;'111'!$L$11),"x","")</f>
        <v/>
      </c>
      <c r="T5126" s="79" t="str">
        <f>IF(ISERROR(FIND('112'!$M$9,G5126,1)),"",IF((AND(FIND('112'!$M$9,G5126,1)&gt;=1,B5126='112'!$K$9,OR($N5126='112'!$I$6,$O5126='112'!$I$6))),"x",""))</f>
        <v/>
      </c>
      <c r="U5126" s="79" t="str">
        <f>IF(ISERROR(FIND('112'!$M$9,G5126,1)),"",IF((AND(LEFT(G5126,2)=LEFT('112'!$M$9,2),B5126&lt;'112'!$K$9,$N5126='112'!$I$6)),"x",""))</f>
        <v/>
      </c>
      <c r="V5126" s="79" t="str">
        <f>IF(ISERROR(FIND('112'!$M$9,G5126,1)),"",IF((AND(RIGHT(G5126,2)=RIGHT('112'!$M$9,2),B5126&lt;'112'!$K$9,$O5126='112'!$I$6)),"x",""))</f>
        <v/>
      </c>
      <c r="W5126" s="79" t="str">
        <f>IF(AND('341-CT'!$H$9=H5126,OR(LEFT(N5126,3)=$W$7,LEFT(O5126,3)=$W$7)),"x","")</f>
        <v/>
      </c>
      <c r="X5126" s="79" t="str">
        <f>IF(OR(TH!N5126=TH!$X$7,O5126=TH!$X$7),"x","")</f>
        <v/>
      </c>
      <c r="Y5126" s="79" t="str">
        <f>IF(AND(OR(N5126="131",O5126="131"),H5126='131-CT'!$H$9),"x","")</f>
        <v/>
      </c>
      <c r="Z5126" s="79"/>
      <c r="AA5126" s="79" t="str">
        <f>IF(AND(MONTH(E5126)='IN-NX'!$J$5,'IN-NX'!$D$7=D5126),"x","")</f>
        <v/>
      </c>
      <c r="AB5126" s="79" t="str">
        <f>IF(AND(OR(LEFT(TH!N5126,2)="15",LEFT(TH!O5126,2)="15"),LEFT(TH!O5126,3)&lt;&gt;"111",'152-CT'!$J$8=TH!F5126),"x","")</f>
        <v/>
      </c>
      <c r="AC5126" s="79" t="str">
        <f>IF(AND(OR(LEFT(TH!N5126,2)="15",LEFT(TH!O5126,2)="15"),TK!$E$7=TH!F5126),"x","")</f>
        <v/>
      </c>
      <c r="AD5126" s="79" t="str">
        <f>IF(AND(N5126="1521",MONTH(C5126)='BK-NL'!$M$11),"x","")</f>
        <v/>
      </c>
    </row>
    <row r="5127" spans="1:30" ht="16.5" customHeight="1">
      <c r="A5127" s="318" t="str">
        <f>IF(B5127&lt;&gt;"",IF(AND(B5127='[3]IN-TC'!$S$4,OR([3]TH!N4349="1111",[3]TH!O4349="1111")),[3]TH!D4349,""),"")</f>
        <v/>
      </c>
      <c r="B5127" s="60" t="str">
        <f t="shared" si="501"/>
        <v/>
      </c>
      <c r="C5127" s="301"/>
      <c r="D5127" s="301"/>
      <c r="E5127" s="61"/>
      <c r="F5127" s="303"/>
      <c r="G5127" s="302"/>
      <c r="H5127" s="303"/>
      <c r="I5127" s="385"/>
      <c r="J5127" s="395"/>
      <c r="K5127" s="387"/>
      <c r="L5127" s="394"/>
      <c r="M5127" s="62"/>
      <c r="N5127" s="63"/>
      <c r="O5127" s="63"/>
      <c r="P5127" s="79" t="str">
        <f>IF(AND('331-CT'!$E$7=TH!H5127,OR(N5127="331",O5127="331")),"x","")</f>
        <v/>
      </c>
      <c r="Q5127" s="79" t="str">
        <f>IF(AND(B5127='111'!$L$11,OR($N5127=$Q$7,$O5127=$Q$7)),"x","")</f>
        <v/>
      </c>
      <c r="R5127" s="79" t="str">
        <f>IF(AND($N5127=$Q$7,$B5127&lt;'111'!$L$11),"x","")</f>
        <v/>
      </c>
      <c r="S5127" s="79" t="str">
        <f>IF(AND($O5127=$Q$7,$B5127&lt;'111'!$L$11),"x","")</f>
        <v/>
      </c>
      <c r="T5127" s="79" t="str">
        <f>IF(ISERROR(FIND('112'!$M$9,G5127,1)),"",IF((AND(FIND('112'!$M$9,G5127,1)&gt;=1,B5127='112'!$K$9,OR($N5127='112'!$I$6,$O5127='112'!$I$6))),"x",""))</f>
        <v/>
      </c>
      <c r="U5127" s="79" t="str">
        <f>IF(ISERROR(FIND('112'!$M$9,G5127,1)),"",IF((AND(LEFT(G5127,2)=LEFT('112'!$M$9,2),B5127&lt;'112'!$K$9,$N5127='112'!$I$6)),"x",""))</f>
        <v/>
      </c>
      <c r="V5127" s="79" t="str">
        <f>IF(ISERROR(FIND('112'!$M$9,G5127,1)),"",IF((AND(RIGHT(G5127,2)=RIGHT('112'!$M$9,2),B5127&lt;'112'!$K$9,$O5127='112'!$I$6)),"x",""))</f>
        <v/>
      </c>
      <c r="W5127" s="79" t="str">
        <f>IF(AND('341-CT'!$H$9=H5127,OR(LEFT(N5127,3)=$W$7,LEFT(O5127,3)=$W$7)),"x","")</f>
        <v/>
      </c>
      <c r="X5127" s="79" t="str">
        <f>IF(OR(TH!N5127=TH!$X$7,O5127=TH!$X$7),"x","")</f>
        <v/>
      </c>
      <c r="Y5127" s="79" t="str">
        <f>IF(AND(OR(N5127="131",O5127="131"),H5127='131-CT'!$H$9),"x","")</f>
        <v/>
      </c>
      <c r="Z5127" s="79"/>
      <c r="AA5127" s="79" t="str">
        <f>IF(AND(MONTH(E5127)='IN-NX'!$J$5,'IN-NX'!$D$7=D5127),"x","")</f>
        <v/>
      </c>
      <c r="AB5127" s="79" t="str">
        <f>IF(AND(OR(LEFT(TH!N5127,2)="15",LEFT(TH!O5127,2)="15"),LEFT(TH!O5127,3)&lt;&gt;"111",'152-CT'!$J$8=TH!F5127),"x","")</f>
        <v/>
      </c>
      <c r="AC5127" s="79" t="str">
        <f>IF(AND(OR(LEFT(TH!N5127,2)="15",LEFT(TH!O5127,2)="15"),TK!$E$7=TH!F5127),"x","")</f>
        <v/>
      </c>
      <c r="AD5127" s="79" t="str">
        <f>IF(AND(N5127="1521",MONTH(C5127)='BK-NL'!$M$11),"x","")</f>
        <v/>
      </c>
    </row>
    <row r="5128" spans="1:30" ht="16.5" customHeight="1">
      <c r="A5128" s="318" t="str">
        <f>IF(B5128&lt;&gt;"",IF(AND(B5128='[3]IN-TC'!$S$4,OR([3]TH!N4350="1111",[3]TH!O4350="1111")),[3]TH!D4350,""),"")</f>
        <v/>
      </c>
      <c r="B5128" s="60" t="str">
        <f t="shared" si="501"/>
        <v/>
      </c>
      <c r="C5128" s="301"/>
      <c r="D5128" s="301"/>
      <c r="E5128" s="61"/>
      <c r="F5128" s="303"/>
      <c r="G5128" s="302"/>
      <c r="H5128" s="303"/>
      <c r="I5128" s="385"/>
      <c r="J5128" s="395"/>
      <c r="K5128" s="387"/>
      <c r="L5128" s="394"/>
      <c r="M5128" s="62"/>
      <c r="N5128" s="63"/>
      <c r="O5128" s="63"/>
      <c r="P5128" s="79" t="str">
        <f>IF(AND('331-CT'!$E$7=TH!H5128,OR(N5128="331",O5128="331")),"x","")</f>
        <v/>
      </c>
      <c r="Q5128" s="79" t="str">
        <f>IF(AND(B5128='111'!$L$11,OR($N5128=$Q$7,$O5128=$Q$7)),"x","")</f>
        <v/>
      </c>
      <c r="R5128" s="79" t="str">
        <f>IF(AND($N5128=$Q$7,$B5128&lt;'111'!$L$11),"x","")</f>
        <v/>
      </c>
      <c r="S5128" s="79" t="str">
        <f>IF(AND($O5128=$Q$7,$B5128&lt;'111'!$L$11),"x","")</f>
        <v/>
      </c>
      <c r="T5128" s="79" t="str">
        <f>IF(ISERROR(FIND('112'!$M$9,G5128,1)),"",IF((AND(FIND('112'!$M$9,G5128,1)&gt;=1,B5128='112'!$K$9,OR($N5128='112'!$I$6,$O5128='112'!$I$6))),"x",""))</f>
        <v/>
      </c>
      <c r="U5128" s="79" t="str">
        <f>IF(ISERROR(FIND('112'!$M$9,G5128,1)),"",IF((AND(LEFT(G5128,2)=LEFT('112'!$M$9,2),B5128&lt;'112'!$K$9,$N5128='112'!$I$6)),"x",""))</f>
        <v/>
      </c>
      <c r="V5128" s="79" t="str">
        <f>IF(ISERROR(FIND('112'!$M$9,G5128,1)),"",IF((AND(RIGHT(G5128,2)=RIGHT('112'!$M$9,2),B5128&lt;'112'!$K$9,$O5128='112'!$I$6)),"x",""))</f>
        <v/>
      </c>
      <c r="W5128" s="79" t="str">
        <f>IF(AND('341-CT'!$H$9=H5128,OR(LEFT(N5128,3)=$W$7,LEFT(O5128,3)=$W$7)),"x","")</f>
        <v/>
      </c>
      <c r="X5128" s="79" t="str">
        <f>IF(OR(TH!N5128=TH!$X$7,O5128=TH!$X$7),"x","")</f>
        <v/>
      </c>
      <c r="Y5128" s="79" t="str">
        <f>IF(AND(OR(N5128="131",O5128="131"),H5128='131-CT'!$H$9),"x","")</f>
        <v/>
      </c>
      <c r="Z5128" s="79"/>
      <c r="AA5128" s="79" t="str">
        <f>IF(AND(MONTH(E5128)='IN-NX'!$J$5,'IN-NX'!$D$7=D5128),"x","")</f>
        <v/>
      </c>
      <c r="AB5128" s="79" t="str">
        <f>IF(AND(OR(LEFT(TH!N5128,2)="15",LEFT(TH!O5128,2)="15"),LEFT(TH!O5128,3)&lt;&gt;"111",'152-CT'!$J$8=TH!F5128),"x","")</f>
        <v/>
      </c>
      <c r="AC5128" s="79" t="str">
        <f>IF(AND(OR(LEFT(TH!N5128,2)="15",LEFT(TH!O5128,2)="15"),TK!$E$7=TH!F5128),"x","")</f>
        <v/>
      </c>
      <c r="AD5128" s="79" t="str">
        <f>IF(AND(N5128="1521",MONTH(C5128)='BK-NL'!$M$11),"x","")</f>
        <v/>
      </c>
    </row>
    <row r="5129" spans="1:30" ht="16.5" customHeight="1">
      <c r="A5129" s="318" t="str">
        <f>IF(B5129&lt;&gt;"",IF(AND(B5129='[3]IN-TC'!$S$4,OR([3]TH!N4351="1111",[3]TH!O4351="1111")),[3]TH!D4351,""),"")</f>
        <v/>
      </c>
      <c r="B5129" s="60" t="str">
        <f t="shared" si="501"/>
        <v/>
      </c>
      <c r="C5129" s="301"/>
      <c r="D5129" s="301"/>
      <c r="E5129" s="61"/>
      <c r="F5129" s="303"/>
      <c r="G5129" s="302"/>
      <c r="H5129" s="303"/>
      <c r="I5129" s="385"/>
      <c r="J5129" s="395"/>
      <c r="K5129" s="387"/>
      <c r="L5129" s="394"/>
      <c r="M5129" s="62"/>
      <c r="N5129" s="63"/>
      <c r="O5129" s="63"/>
      <c r="P5129" s="79" t="str">
        <f>IF(AND('331-CT'!$E$7=TH!H5129,OR(N5129="331",O5129="331")),"x","")</f>
        <v/>
      </c>
      <c r="Q5129" s="79" t="str">
        <f>IF(AND(B5129='111'!$L$11,OR($N5129=$Q$7,$O5129=$Q$7)),"x","")</f>
        <v/>
      </c>
      <c r="R5129" s="79" t="str">
        <f>IF(AND($N5129=$Q$7,$B5129&lt;'111'!$L$11),"x","")</f>
        <v/>
      </c>
      <c r="S5129" s="79" t="str">
        <f>IF(AND($O5129=$Q$7,$B5129&lt;'111'!$L$11),"x","")</f>
        <v/>
      </c>
      <c r="T5129" s="79" t="str">
        <f>IF(ISERROR(FIND('112'!$M$9,G5129,1)),"",IF((AND(FIND('112'!$M$9,G5129,1)&gt;=1,B5129='112'!$K$9,OR($N5129='112'!$I$6,$O5129='112'!$I$6))),"x",""))</f>
        <v/>
      </c>
      <c r="U5129" s="79" t="str">
        <f>IF(ISERROR(FIND('112'!$M$9,G5129,1)),"",IF((AND(LEFT(G5129,2)=LEFT('112'!$M$9,2),B5129&lt;'112'!$K$9,$N5129='112'!$I$6)),"x",""))</f>
        <v/>
      </c>
      <c r="V5129" s="79" t="str">
        <f>IF(ISERROR(FIND('112'!$M$9,G5129,1)),"",IF((AND(RIGHT(G5129,2)=RIGHT('112'!$M$9,2),B5129&lt;'112'!$K$9,$O5129='112'!$I$6)),"x",""))</f>
        <v/>
      </c>
      <c r="W5129" s="79" t="str">
        <f>IF(AND('341-CT'!$H$9=H5129,OR(LEFT(N5129,3)=$W$7,LEFT(O5129,3)=$W$7)),"x","")</f>
        <v/>
      </c>
      <c r="X5129" s="79" t="str">
        <f>IF(OR(TH!N5129=TH!$X$7,O5129=TH!$X$7),"x","")</f>
        <v/>
      </c>
      <c r="Y5129" s="79" t="str">
        <f>IF(AND(OR(N5129="131",O5129="131"),H5129='131-CT'!$H$9),"x","")</f>
        <v/>
      </c>
      <c r="Z5129" s="79"/>
      <c r="AA5129" s="79" t="str">
        <f>IF(AND(MONTH(E5129)='IN-NX'!$J$5,'IN-NX'!$D$7=D5129),"x","")</f>
        <v/>
      </c>
      <c r="AB5129" s="79" t="str">
        <f>IF(AND(OR(LEFT(TH!N5129,2)="15",LEFT(TH!O5129,2)="15"),LEFT(TH!O5129,3)&lt;&gt;"111",'152-CT'!$J$8=TH!F5129),"x","")</f>
        <v/>
      </c>
      <c r="AC5129" s="79" t="str">
        <f>IF(AND(OR(LEFT(TH!N5129,2)="15",LEFT(TH!O5129,2)="15"),TK!$E$7=TH!F5129),"x","")</f>
        <v/>
      </c>
      <c r="AD5129" s="79" t="str">
        <f>IF(AND(N5129="1521",MONTH(C5129)='BK-NL'!$M$11),"x","")</f>
        <v/>
      </c>
    </row>
    <row r="5130" spans="1:30" ht="16.5" customHeight="1">
      <c r="A5130" s="318" t="str">
        <f>IF(B5130&lt;&gt;"",IF(AND(B5130='[3]IN-TC'!$S$4,OR([3]TH!N4352="1111",[3]TH!O4352="1111")),[3]TH!D4352,""),"")</f>
        <v/>
      </c>
      <c r="B5130" s="60" t="str">
        <f t="shared" si="501"/>
        <v/>
      </c>
      <c r="C5130" s="301"/>
      <c r="D5130" s="301"/>
      <c r="E5130" s="61"/>
      <c r="F5130" s="303"/>
      <c r="G5130" s="302"/>
      <c r="H5130" s="303"/>
      <c r="I5130" s="385"/>
      <c r="J5130" s="395"/>
      <c r="K5130" s="387"/>
      <c r="L5130" s="394"/>
      <c r="M5130" s="62"/>
      <c r="N5130" s="63"/>
      <c r="O5130" s="63"/>
      <c r="P5130" s="79" t="str">
        <f>IF(AND('331-CT'!$E$7=TH!H5130,OR(N5130="331",O5130="331")),"x","")</f>
        <v/>
      </c>
      <c r="Q5130" s="79" t="str">
        <f>IF(AND(B5130='111'!$L$11,OR($N5130=$Q$7,$O5130=$Q$7)),"x","")</f>
        <v/>
      </c>
      <c r="R5130" s="79" t="str">
        <f>IF(AND($N5130=$Q$7,$B5130&lt;'111'!$L$11),"x","")</f>
        <v/>
      </c>
      <c r="S5130" s="79" t="str">
        <f>IF(AND($O5130=$Q$7,$B5130&lt;'111'!$L$11),"x","")</f>
        <v/>
      </c>
      <c r="T5130" s="79" t="str">
        <f>IF(ISERROR(FIND('112'!$M$9,G5130,1)),"",IF((AND(FIND('112'!$M$9,G5130,1)&gt;=1,B5130='112'!$K$9,OR($N5130='112'!$I$6,$O5130='112'!$I$6))),"x",""))</f>
        <v/>
      </c>
      <c r="U5130" s="79" t="str">
        <f>IF(ISERROR(FIND('112'!$M$9,G5130,1)),"",IF((AND(LEFT(G5130,2)=LEFT('112'!$M$9,2),B5130&lt;'112'!$K$9,$N5130='112'!$I$6)),"x",""))</f>
        <v/>
      </c>
      <c r="V5130" s="79" t="str">
        <f>IF(ISERROR(FIND('112'!$M$9,G5130,1)),"",IF((AND(RIGHT(G5130,2)=RIGHT('112'!$M$9,2),B5130&lt;'112'!$K$9,$O5130='112'!$I$6)),"x",""))</f>
        <v/>
      </c>
      <c r="W5130" s="79" t="str">
        <f>IF(AND('341-CT'!$H$9=H5130,OR(LEFT(N5130,3)=$W$7,LEFT(O5130,3)=$W$7)),"x","")</f>
        <v/>
      </c>
      <c r="X5130" s="79" t="str">
        <f>IF(OR(TH!N5130=TH!$X$7,O5130=TH!$X$7),"x","")</f>
        <v/>
      </c>
      <c r="Y5130" s="79" t="str">
        <f>IF(AND(OR(N5130="131",O5130="131"),H5130='131-CT'!$H$9),"x","")</f>
        <v/>
      </c>
      <c r="Z5130" s="79"/>
      <c r="AA5130" s="79" t="str">
        <f>IF(AND(MONTH(E5130)='IN-NX'!$J$5,'IN-NX'!$D$7=D5130),"x","")</f>
        <v/>
      </c>
      <c r="AB5130" s="79" t="str">
        <f>IF(AND(OR(LEFT(TH!N5130,2)="15",LEFT(TH!O5130,2)="15"),LEFT(TH!O5130,3)&lt;&gt;"111",'152-CT'!$J$8=TH!F5130),"x","")</f>
        <v/>
      </c>
      <c r="AC5130" s="79" t="str">
        <f>IF(AND(OR(LEFT(TH!N5130,2)="15",LEFT(TH!O5130,2)="15"),TK!$E$7=TH!F5130),"x","")</f>
        <v/>
      </c>
      <c r="AD5130" s="79" t="str">
        <f>IF(AND(N5130="1521",MONTH(C5130)='BK-NL'!$M$11),"x","")</f>
        <v/>
      </c>
    </row>
    <row r="5131" spans="1:30" ht="16.5" customHeight="1">
      <c r="A5131" s="318" t="str">
        <f>IF(B5131&lt;&gt;"",IF(AND(B5131='[3]IN-TC'!$S$4,OR([3]TH!N4353="1111",[3]TH!O4353="1111")),[3]TH!D4353,""),"")</f>
        <v/>
      </c>
      <c r="B5131" s="60" t="str">
        <f t="shared" si="501"/>
        <v/>
      </c>
      <c r="C5131" s="301"/>
      <c r="D5131" s="301"/>
      <c r="E5131" s="61"/>
      <c r="F5131" s="303"/>
      <c r="G5131" s="302"/>
      <c r="H5131" s="303"/>
      <c r="I5131" s="385"/>
      <c r="J5131" s="395"/>
      <c r="K5131" s="387"/>
      <c r="L5131" s="394"/>
      <c r="M5131" s="62"/>
      <c r="N5131" s="63"/>
      <c r="O5131" s="63"/>
      <c r="P5131" s="79" t="str">
        <f>IF(AND('331-CT'!$E$7=TH!H5131,OR(N5131="331",O5131="331")),"x","")</f>
        <v/>
      </c>
      <c r="Q5131" s="79" t="str">
        <f>IF(AND(B5131='111'!$L$11,OR($N5131=$Q$7,$O5131=$Q$7)),"x","")</f>
        <v/>
      </c>
      <c r="R5131" s="79" t="str">
        <f>IF(AND($N5131=$Q$7,$B5131&lt;'111'!$L$11),"x","")</f>
        <v/>
      </c>
      <c r="S5131" s="79" t="str">
        <f>IF(AND($O5131=$Q$7,$B5131&lt;'111'!$L$11),"x","")</f>
        <v/>
      </c>
      <c r="T5131" s="79" t="str">
        <f>IF(ISERROR(FIND('112'!$M$9,G5131,1)),"",IF((AND(FIND('112'!$M$9,G5131,1)&gt;=1,B5131='112'!$K$9,OR($N5131='112'!$I$6,$O5131='112'!$I$6))),"x",""))</f>
        <v/>
      </c>
      <c r="U5131" s="79" t="str">
        <f>IF(ISERROR(FIND('112'!$M$9,G5131,1)),"",IF((AND(LEFT(G5131,2)=LEFT('112'!$M$9,2),B5131&lt;'112'!$K$9,$N5131='112'!$I$6)),"x",""))</f>
        <v/>
      </c>
      <c r="V5131" s="79" t="str">
        <f>IF(ISERROR(FIND('112'!$M$9,G5131,1)),"",IF((AND(RIGHT(G5131,2)=RIGHT('112'!$M$9,2),B5131&lt;'112'!$K$9,$O5131='112'!$I$6)),"x",""))</f>
        <v/>
      </c>
      <c r="W5131" s="79" t="str">
        <f>IF(AND('341-CT'!$H$9=H5131,OR(LEFT(N5131,3)=$W$7,LEFT(O5131,3)=$W$7)),"x","")</f>
        <v/>
      </c>
      <c r="X5131" s="79" t="str">
        <f>IF(OR(TH!N5131=TH!$X$7,O5131=TH!$X$7),"x","")</f>
        <v/>
      </c>
      <c r="Y5131" s="79" t="str">
        <f>IF(AND(OR(N5131="131",O5131="131"),H5131='131-CT'!$H$9),"x","")</f>
        <v/>
      </c>
      <c r="Z5131" s="79"/>
      <c r="AA5131" s="79" t="str">
        <f>IF(AND(MONTH(E5131)='IN-NX'!$J$5,'IN-NX'!$D$7=D5131),"x","")</f>
        <v/>
      </c>
      <c r="AB5131" s="79" t="str">
        <f>IF(AND(OR(LEFT(TH!N5131,2)="15",LEFT(TH!O5131,2)="15"),LEFT(TH!O5131,3)&lt;&gt;"111",'152-CT'!$J$8=TH!F5131),"x","")</f>
        <v/>
      </c>
      <c r="AC5131" s="79" t="str">
        <f>IF(AND(OR(LEFT(TH!N5131,2)="15",LEFT(TH!O5131,2)="15"),TK!$E$7=TH!F5131),"x","")</f>
        <v/>
      </c>
      <c r="AD5131" s="79" t="str">
        <f>IF(AND(N5131="1521",MONTH(C5131)='BK-NL'!$M$11),"x","")</f>
        <v/>
      </c>
    </row>
    <row r="5132" spans="1:30" ht="16.5" customHeight="1">
      <c r="A5132" s="318" t="str">
        <f>IF(B5132&lt;&gt;"",IF(AND(B5132='[3]IN-TC'!$S$4,OR([3]TH!N4354="1111",[3]TH!O4354="1111")),[3]TH!D4354,""),"")</f>
        <v/>
      </c>
      <c r="B5132" s="60" t="str">
        <f t="shared" si="501"/>
        <v/>
      </c>
      <c r="C5132" s="301"/>
      <c r="D5132" s="301"/>
      <c r="E5132" s="61"/>
      <c r="F5132" s="303"/>
      <c r="G5132" s="302"/>
      <c r="H5132" s="303"/>
      <c r="I5132" s="385"/>
      <c r="J5132" s="395"/>
      <c r="K5132" s="387"/>
      <c r="L5132" s="394"/>
      <c r="M5132" s="62"/>
      <c r="N5132" s="63"/>
      <c r="O5132" s="63"/>
      <c r="P5132" s="79" t="str">
        <f>IF(AND('331-CT'!$E$7=TH!H5132,OR(N5132="331",O5132="331")),"x","")</f>
        <v/>
      </c>
      <c r="Q5132" s="79" t="str">
        <f>IF(AND(B5132='111'!$L$11,OR($N5132=$Q$7,$O5132=$Q$7)),"x","")</f>
        <v/>
      </c>
      <c r="R5132" s="79" t="str">
        <f>IF(AND($N5132=$Q$7,$B5132&lt;'111'!$L$11),"x","")</f>
        <v/>
      </c>
      <c r="S5132" s="79" t="str">
        <f>IF(AND($O5132=$Q$7,$B5132&lt;'111'!$L$11),"x","")</f>
        <v/>
      </c>
      <c r="T5132" s="79" t="str">
        <f>IF(ISERROR(FIND('112'!$M$9,G5132,1)),"",IF((AND(FIND('112'!$M$9,G5132,1)&gt;=1,B5132='112'!$K$9,OR($N5132='112'!$I$6,$O5132='112'!$I$6))),"x",""))</f>
        <v/>
      </c>
      <c r="U5132" s="79" t="str">
        <f>IF(ISERROR(FIND('112'!$M$9,G5132,1)),"",IF((AND(LEFT(G5132,2)=LEFT('112'!$M$9,2),B5132&lt;'112'!$K$9,$N5132='112'!$I$6)),"x",""))</f>
        <v/>
      </c>
      <c r="V5132" s="79" t="str">
        <f>IF(ISERROR(FIND('112'!$M$9,G5132,1)),"",IF((AND(RIGHT(G5132,2)=RIGHT('112'!$M$9,2),B5132&lt;'112'!$K$9,$O5132='112'!$I$6)),"x",""))</f>
        <v/>
      </c>
      <c r="W5132" s="79" t="str">
        <f>IF(AND('341-CT'!$H$9=H5132,OR(LEFT(N5132,3)=$W$7,LEFT(O5132,3)=$W$7)),"x","")</f>
        <v/>
      </c>
      <c r="X5132" s="79" t="str">
        <f>IF(OR(TH!N5132=TH!$X$7,O5132=TH!$X$7),"x","")</f>
        <v/>
      </c>
      <c r="Y5132" s="79" t="str">
        <f>IF(AND(OR(N5132="131",O5132="131"),H5132='131-CT'!$H$9),"x","")</f>
        <v/>
      </c>
      <c r="Z5132" s="79"/>
      <c r="AA5132" s="79" t="str">
        <f>IF(AND(MONTH(E5132)='IN-NX'!$J$5,'IN-NX'!$D$7=D5132),"x","")</f>
        <v/>
      </c>
      <c r="AB5132" s="79" t="str">
        <f>IF(AND(OR(LEFT(TH!N5132,2)="15",LEFT(TH!O5132,2)="15"),LEFT(TH!O5132,3)&lt;&gt;"111",'152-CT'!$J$8=TH!F5132),"x","")</f>
        <v/>
      </c>
      <c r="AC5132" s="79" t="str">
        <f>IF(AND(OR(LEFT(TH!N5132,2)="15",LEFT(TH!O5132,2)="15"),TK!$E$7=TH!F5132),"x","")</f>
        <v/>
      </c>
      <c r="AD5132" s="79" t="str">
        <f>IF(AND(N5132="1521",MONTH(C5132)='BK-NL'!$M$11),"x","")</f>
        <v/>
      </c>
    </row>
    <row r="5133" spans="1:30" ht="16.5" customHeight="1">
      <c r="A5133" s="318" t="str">
        <f>IF(B5133&lt;&gt;"",IF(AND(B5133='[3]IN-TC'!$S$4,OR([3]TH!N4355="1111",[3]TH!O4355="1111")),[3]TH!D4355,""),"")</f>
        <v/>
      </c>
      <c r="B5133" s="60" t="str">
        <f t="shared" si="501"/>
        <v/>
      </c>
      <c r="C5133" s="301"/>
      <c r="D5133" s="301"/>
      <c r="E5133" s="61"/>
      <c r="F5133" s="303"/>
      <c r="G5133" s="302"/>
      <c r="H5133" s="303"/>
      <c r="I5133" s="385"/>
      <c r="J5133" s="395"/>
      <c r="K5133" s="387"/>
      <c r="L5133" s="394"/>
      <c r="M5133" s="62"/>
      <c r="N5133" s="63"/>
      <c r="O5133" s="63"/>
      <c r="P5133" s="79" t="str">
        <f>IF(AND('331-CT'!$E$7=TH!H5133,OR(N5133="331",O5133="331")),"x","")</f>
        <v/>
      </c>
      <c r="Q5133" s="79" t="str">
        <f>IF(AND(B5133='111'!$L$11,OR($N5133=$Q$7,$O5133=$Q$7)),"x","")</f>
        <v/>
      </c>
      <c r="R5133" s="79" t="str">
        <f>IF(AND($N5133=$Q$7,$B5133&lt;'111'!$L$11),"x","")</f>
        <v/>
      </c>
      <c r="S5133" s="79" t="str">
        <f>IF(AND($O5133=$Q$7,$B5133&lt;'111'!$L$11),"x","")</f>
        <v/>
      </c>
      <c r="T5133" s="79" t="str">
        <f>IF(ISERROR(FIND('112'!$M$9,G5133,1)),"",IF((AND(FIND('112'!$M$9,G5133,1)&gt;=1,B5133='112'!$K$9,OR($N5133='112'!$I$6,$O5133='112'!$I$6))),"x",""))</f>
        <v/>
      </c>
      <c r="U5133" s="79" t="str">
        <f>IF(ISERROR(FIND('112'!$M$9,G5133,1)),"",IF((AND(LEFT(G5133,2)=LEFT('112'!$M$9,2),B5133&lt;'112'!$K$9,$N5133='112'!$I$6)),"x",""))</f>
        <v/>
      </c>
      <c r="V5133" s="79" t="str">
        <f>IF(ISERROR(FIND('112'!$M$9,G5133,1)),"",IF((AND(RIGHT(G5133,2)=RIGHT('112'!$M$9,2),B5133&lt;'112'!$K$9,$O5133='112'!$I$6)),"x",""))</f>
        <v/>
      </c>
      <c r="W5133" s="79" t="str">
        <f>IF(AND('341-CT'!$H$9=H5133,OR(LEFT(N5133,3)=$W$7,LEFT(O5133,3)=$W$7)),"x","")</f>
        <v/>
      </c>
      <c r="X5133" s="79" t="str">
        <f>IF(OR(TH!N5133=TH!$X$7,O5133=TH!$X$7),"x","")</f>
        <v/>
      </c>
      <c r="Y5133" s="79" t="str">
        <f>IF(AND(OR(N5133="131",O5133="131"),H5133='131-CT'!$H$9),"x","")</f>
        <v/>
      </c>
      <c r="Z5133" s="79"/>
      <c r="AA5133" s="79" t="str">
        <f>IF(AND(MONTH(E5133)='IN-NX'!$J$5,'IN-NX'!$D$7=D5133),"x","")</f>
        <v/>
      </c>
      <c r="AB5133" s="79" t="str">
        <f>IF(AND(OR(LEFT(TH!N5133,2)="15",LEFT(TH!O5133,2)="15"),LEFT(TH!O5133,3)&lt;&gt;"111",'152-CT'!$J$8=TH!F5133),"x","")</f>
        <v/>
      </c>
      <c r="AC5133" s="79" t="str">
        <f>IF(AND(OR(LEFT(TH!N5133,2)="15",LEFT(TH!O5133,2)="15"),TK!$E$7=TH!F5133),"x","")</f>
        <v/>
      </c>
      <c r="AD5133" s="79" t="str">
        <f>IF(AND(N5133="1521",MONTH(C5133)='BK-NL'!$M$11),"x","")</f>
        <v/>
      </c>
    </row>
    <row r="5134" spans="1:30" ht="16.5" customHeight="1">
      <c r="A5134" s="318" t="str">
        <f>IF(B5134&lt;&gt;"",IF(AND(B5134='[3]IN-TC'!$S$4,OR([3]TH!N4356="1111",[3]TH!O4356="1111")),[3]TH!D4356,""),"")</f>
        <v/>
      </c>
      <c r="B5134" s="60" t="str">
        <f t="shared" si="501"/>
        <v/>
      </c>
      <c r="C5134" s="301"/>
      <c r="D5134" s="301"/>
      <c r="E5134" s="61"/>
      <c r="F5134" s="303"/>
      <c r="G5134" s="302"/>
      <c r="H5134" s="303"/>
      <c r="I5134" s="385"/>
      <c r="J5134" s="395"/>
      <c r="K5134" s="387"/>
      <c r="L5134" s="394"/>
      <c r="M5134" s="62"/>
      <c r="N5134" s="63"/>
      <c r="O5134" s="63"/>
      <c r="P5134" s="79" t="str">
        <f>IF(AND('331-CT'!$E$7=TH!H5134,OR(N5134="331",O5134="331")),"x","")</f>
        <v/>
      </c>
      <c r="Q5134" s="79" t="str">
        <f>IF(AND(B5134='111'!$L$11,OR($N5134=$Q$7,$O5134=$Q$7)),"x","")</f>
        <v/>
      </c>
      <c r="R5134" s="79" t="str">
        <f>IF(AND($N5134=$Q$7,$B5134&lt;'111'!$L$11),"x","")</f>
        <v/>
      </c>
      <c r="S5134" s="79" t="str">
        <f>IF(AND($O5134=$Q$7,$B5134&lt;'111'!$L$11),"x","")</f>
        <v/>
      </c>
      <c r="T5134" s="79" t="str">
        <f>IF(ISERROR(FIND('112'!$M$9,G5134,1)),"",IF((AND(FIND('112'!$M$9,G5134,1)&gt;=1,B5134='112'!$K$9,OR($N5134='112'!$I$6,$O5134='112'!$I$6))),"x",""))</f>
        <v/>
      </c>
      <c r="U5134" s="79" t="str">
        <f>IF(ISERROR(FIND('112'!$M$9,G5134,1)),"",IF((AND(LEFT(G5134,2)=LEFT('112'!$M$9,2),B5134&lt;'112'!$K$9,$N5134='112'!$I$6)),"x",""))</f>
        <v/>
      </c>
      <c r="V5134" s="79" t="str">
        <f>IF(ISERROR(FIND('112'!$M$9,G5134,1)),"",IF((AND(RIGHT(G5134,2)=RIGHT('112'!$M$9,2),B5134&lt;'112'!$K$9,$O5134='112'!$I$6)),"x",""))</f>
        <v/>
      </c>
      <c r="W5134" s="79" t="str">
        <f>IF(AND('341-CT'!$H$9=H5134,OR(LEFT(N5134,3)=$W$7,LEFT(O5134,3)=$W$7)),"x","")</f>
        <v/>
      </c>
      <c r="X5134" s="79" t="str">
        <f>IF(OR(TH!N5134=TH!$X$7,O5134=TH!$X$7),"x","")</f>
        <v/>
      </c>
      <c r="Y5134" s="79" t="str">
        <f>IF(AND(OR(N5134="131",O5134="131"),H5134='131-CT'!$H$9),"x","")</f>
        <v/>
      </c>
      <c r="Z5134" s="79"/>
      <c r="AA5134" s="79" t="str">
        <f>IF(AND(MONTH(E5134)='IN-NX'!$J$5,'IN-NX'!$D$7=D5134),"x","")</f>
        <v/>
      </c>
      <c r="AB5134" s="79" t="str">
        <f>IF(AND(OR(LEFT(TH!N5134,2)="15",LEFT(TH!O5134,2)="15"),LEFT(TH!O5134,3)&lt;&gt;"111",'152-CT'!$J$8=TH!F5134),"x","")</f>
        <v/>
      </c>
      <c r="AC5134" s="79" t="str">
        <f>IF(AND(OR(LEFT(TH!N5134,2)="15",LEFT(TH!O5134,2)="15"),TK!$E$7=TH!F5134),"x","")</f>
        <v/>
      </c>
      <c r="AD5134" s="79" t="str">
        <f>IF(AND(N5134="1521",MONTH(C5134)='BK-NL'!$M$11),"x","")</f>
        <v/>
      </c>
    </row>
    <row r="5135" spans="1:30" ht="16.5" customHeight="1">
      <c r="A5135" s="318" t="str">
        <f>IF(B5135&lt;&gt;"",IF(AND(B5135='[3]IN-TC'!$S$4,OR([3]TH!N4357="1111",[3]TH!O4357="1111")),[3]TH!D4357,""),"")</f>
        <v/>
      </c>
      <c r="B5135" s="60" t="str">
        <f t="shared" si="501"/>
        <v/>
      </c>
      <c r="C5135" s="301"/>
      <c r="D5135" s="301"/>
      <c r="E5135" s="61"/>
      <c r="F5135" s="303"/>
      <c r="G5135" s="302"/>
      <c r="H5135" s="303"/>
      <c r="I5135" s="385"/>
      <c r="J5135" s="395"/>
      <c r="K5135" s="387"/>
      <c r="L5135" s="394"/>
      <c r="M5135" s="62"/>
      <c r="N5135" s="63"/>
      <c r="O5135" s="63"/>
      <c r="P5135" s="79" t="str">
        <f>IF(AND('331-CT'!$E$7=TH!H5135,OR(N5135="331",O5135="331")),"x","")</f>
        <v/>
      </c>
      <c r="Q5135" s="79" t="str">
        <f>IF(AND(B5135='111'!$L$11,OR($N5135=$Q$7,$O5135=$Q$7)),"x","")</f>
        <v/>
      </c>
      <c r="R5135" s="79" t="str">
        <f>IF(AND($N5135=$Q$7,$B5135&lt;'111'!$L$11),"x","")</f>
        <v/>
      </c>
      <c r="S5135" s="79" t="str">
        <f>IF(AND($O5135=$Q$7,$B5135&lt;'111'!$L$11),"x","")</f>
        <v/>
      </c>
      <c r="T5135" s="79" t="str">
        <f>IF(ISERROR(FIND('112'!$M$9,G5135,1)),"",IF((AND(FIND('112'!$M$9,G5135,1)&gt;=1,B5135='112'!$K$9,OR($N5135='112'!$I$6,$O5135='112'!$I$6))),"x",""))</f>
        <v/>
      </c>
      <c r="U5135" s="79" t="str">
        <f>IF(ISERROR(FIND('112'!$M$9,G5135,1)),"",IF((AND(LEFT(G5135,2)=LEFT('112'!$M$9,2),B5135&lt;'112'!$K$9,$N5135='112'!$I$6)),"x",""))</f>
        <v/>
      </c>
      <c r="V5135" s="79" t="str">
        <f>IF(ISERROR(FIND('112'!$M$9,G5135,1)),"",IF((AND(RIGHT(G5135,2)=RIGHT('112'!$M$9,2),B5135&lt;'112'!$K$9,$O5135='112'!$I$6)),"x",""))</f>
        <v/>
      </c>
      <c r="W5135" s="79" t="str">
        <f>IF(AND('341-CT'!$H$9=H5135,OR(LEFT(N5135,3)=$W$7,LEFT(O5135,3)=$W$7)),"x","")</f>
        <v/>
      </c>
      <c r="X5135" s="79" t="str">
        <f>IF(OR(TH!N5135=TH!$X$7,O5135=TH!$X$7),"x","")</f>
        <v/>
      </c>
      <c r="Y5135" s="79" t="str">
        <f>IF(AND(OR(N5135="131",O5135="131"),H5135='131-CT'!$H$9),"x","")</f>
        <v/>
      </c>
      <c r="Z5135" s="79"/>
      <c r="AA5135" s="79" t="str">
        <f>IF(AND(MONTH(E5135)='IN-NX'!$J$5,'IN-NX'!$D$7=D5135),"x","")</f>
        <v/>
      </c>
      <c r="AB5135" s="79" t="str">
        <f>IF(AND(OR(LEFT(TH!N5135,2)="15",LEFT(TH!O5135,2)="15"),LEFT(TH!O5135,3)&lt;&gt;"111",'152-CT'!$J$8=TH!F5135),"x","")</f>
        <v/>
      </c>
      <c r="AC5135" s="79" t="str">
        <f>IF(AND(OR(LEFT(TH!N5135,2)="15",LEFT(TH!O5135,2)="15"),TK!$E$7=TH!F5135),"x","")</f>
        <v/>
      </c>
      <c r="AD5135" s="79" t="str">
        <f>IF(AND(N5135="1521",MONTH(C5135)='BK-NL'!$M$11),"x","")</f>
        <v/>
      </c>
    </row>
    <row r="5136" spans="1:30" ht="16.5" customHeight="1">
      <c r="A5136" s="318" t="str">
        <f>IF(B5136&lt;&gt;"",IF(AND(B5136='[3]IN-TC'!$S$4,OR([3]TH!N4358="1111",[3]TH!O4358="1111")),[3]TH!D4358,""),"")</f>
        <v/>
      </c>
      <c r="B5136" s="60" t="str">
        <f t="shared" si="501"/>
        <v/>
      </c>
      <c r="C5136" s="301"/>
      <c r="D5136" s="301"/>
      <c r="E5136" s="61"/>
      <c r="F5136" s="303"/>
      <c r="G5136" s="302"/>
      <c r="H5136" s="303"/>
      <c r="I5136" s="385"/>
      <c r="J5136" s="395"/>
      <c r="K5136" s="387"/>
      <c r="L5136" s="394"/>
      <c r="M5136" s="62"/>
      <c r="N5136" s="63"/>
      <c r="O5136" s="63"/>
      <c r="P5136" s="79" t="str">
        <f>IF(AND('331-CT'!$E$7=TH!H5136,OR(N5136="331",O5136="331")),"x","")</f>
        <v/>
      </c>
      <c r="Q5136" s="79" t="str">
        <f>IF(AND(B5136='111'!$L$11,OR($N5136=$Q$7,$O5136=$Q$7)),"x","")</f>
        <v/>
      </c>
      <c r="R5136" s="79" t="str">
        <f>IF(AND($N5136=$Q$7,$B5136&lt;'111'!$L$11),"x","")</f>
        <v/>
      </c>
      <c r="S5136" s="79" t="str">
        <f>IF(AND($O5136=$Q$7,$B5136&lt;'111'!$L$11),"x","")</f>
        <v/>
      </c>
      <c r="T5136" s="79" t="str">
        <f>IF(ISERROR(FIND('112'!$M$9,G5136,1)),"",IF((AND(FIND('112'!$M$9,G5136,1)&gt;=1,B5136='112'!$K$9,OR($N5136='112'!$I$6,$O5136='112'!$I$6))),"x",""))</f>
        <v/>
      </c>
      <c r="U5136" s="79" t="str">
        <f>IF(ISERROR(FIND('112'!$M$9,G5136,1)),"",IF((AND(LEFT(G5136,2)=LEFT('112'!$M$9,2),B5136&lt;'112'!$K$9,$N5136='112'!$I$6)),"x",""))</f>
        <v/>
      </c>
      <c r="V5136" s="79" t="str">
        <f>IF(ISERROR(FIND('112'!$M$9,G5136,1)),"",IF((AND(RIGHT(G5136,2)=RIGHT('112'!$M$9,2),B5136&lt;'112'!$K$9,$O5136='112'!$I$6)),"x",""))</f>
        <v/>
      </c>
      <c r="W5136" s="79" t="str">
        <f>IF(AND('341-CT'!$H$9=H5136,OR(LEFT(N5136,3)=$W$7,LEFT(O5136,3)=$W$7)),"x","")</f>
        <v/>
      </c>
      <c r="X5136" s="79" t="str">
        <f>IF(OR(TH!N5136=TH!$X$7,O5136=TH!$X$7),"x","")</f>
        <v/>
      </c>
      <c r="Y5136" s="79" t="str">
        <f>IF(AND(OR(N5136="131",O5136="131"),H5136='131-CT'!$H$9),"x","")</f>
        <v/>
      </c>
      <c r="Z5136" s="79"/>
      <c r="AA5136" s="79" t="str">
        <f>IF(AND(MONTH(E5136)='IN-NX'!$J$5,'IN-NX'!$D$7=D5136),"x","")</f>
        <v/>
      </c>
      <c r="AB5136" s="79" t="str">
        <f>IF(AND(OR(LEFT(TH!N5136,2)="15",LEFT(TH!O5136,2)="15"),LEFT(TH!O5136,3)&lt;&gt;"111",'152-CT'!$J$8=TH!F5136),"x","")</f>
        <v/>
      </c>
      <c r="AC5136" s="79" t="str">
        <f>IF(AND(OR(LEFT(TH!N5136,2)="15",LEFT(TH!O5136,2)="15"),TK!$E$7=TH!F5136),"x","")</f>
        <v/>
      </c>
      <c r="AD5136" s="79" t="str">
        <f>IF(AND(N5136="1521",MONTH(C5136)='BK-NL'!$M$11),"x","")</f>
        <v/>
      </c>
    </row>
    <row r="5137" spans="1:30" ht="16.5" customHeight="1">
      <c r="A5137" s="318" t="str">
        <f>IF(B5137&lt;&gt;"",IF(AND(B5137='[3]IN-TC'!$S$4,OR([3]TH!N4359="1111",[3]TH!O4359="1111")),[3]TH!D4359,""),"")</f>
        <v/>
      </c>
      <c r="B5137" s="60" t="str">
        <f t="shared" si="501"/>
        <v/>
      </c>
      <c r="C5137" s="301"/>
      <c r="D5137" s="301"/>
      <c r="E5137" s="61"/>
      <c r="F5137" s="303"/>
      <c r="G5137" s="302"/>
      <c r="H5137" s="303"/>
      <c r="I5137" s="385"/>
      <c r="J5137" s="395"/>
      <c r="K5137" s="387"/>
      <c r="L5137" s="394"/>
      <c r="M5137" s="62"/>
      <c r="N5137" s="63"/>
      <c r="O5137" s="63"/>
      <c r="P5137" s="79" t="str">
        <f>IF(AND('331-CT'!$E$7=TH!H5137,OR(N5137="331",O5137="331")),"x","")</f>
        <v/>
      </c>
      <c r="Q5137" s="79" t="str">
        <f>IF(AND(B5137='111'!$L$11,OR($N5137=$Q$7,$O5137=$Q$7)),"x","")</f>
        <v/>
      </c>
      <c r="R5137" s="79" t="str">
        <f>IF(AND($N5137=$Q$7,$B5137&lt;'111'!$L$11),"x","")</f>
        <v/>
      </c>
      <c r="S5137" s="79" t="str">
        <f>IF(AND($O5137=$Q$7,$B5137&lt;'111'!$L$11),"x","")</f>
        <v/>
      </c>
      <c r="T5137" s="79" t="str">
        <f>IF(ISERROR(FIND('112'!$M$9,G5137,1)),"",IF((AND(FIND('112'!$M$9,G5137,1)&gt;=1,B5137='112'!$K$9,OR($N5137='112'!$I$6,$O5137='112'!$I$6))),"x",""))</f>
        <v/>
      </c>
      <c r="U5137" s="79" t="str">
        <f>IF(ISERROR(FIND('112'!$M$9,G5137,1)),"",IF((AND(LEFT(G5137,2)=LEFT('112'!$M$9,2),B5137&lt;'112'!$K$9,$N5137='112'!$I$6)),"x",""))</f>
        <v/>
      </c>
      <c r="V5137" s="79" t="str">
        <f>IF(ISERROR(FIND('112'!$M$9,G5137,1)),"",IF((AND(RIGHT(G5137,2)=RIGHT('112'!$M$9,2),B5137&lt;'112'!$K$9,$O5137='112'!$I$6)),"x",""))</f>
        <v/>
      </c>
      <c r="W5137" s="79" t="str">
        <f>IF(AND('341-CT'!$H$9=H5137,OR(LEFT(N5137,3)=$W$7,LEFT(O5137,3)=$W$7)),"x","")</f>
        <v/>
      </c>
      <c r="X5137" s="79" t="str">
        <f>IF(OR(TH!N5137=TH!$X$7,O5137=TH!$X$7),"x","")</f>
        <v/>
      </c>
      <c r="Y5137" s="79" t="str">
        <f>IF(AND(OR(N5137="131",O5137="131"),H5137='131-CT'!$H$9),"x","")</f>
        <v/>
      </c>
      <c r="Z5137" s="79"/>
      <c r="AA5137" s="79" t="str">
        <f>IF(AND(MONTH(E5137)='IN-NX'!$J$5,'IN-NX'!$D$7=D5137),"x","")</f>
        <v/>
      </c>
      <c r="AB5137" s="79" t="str">
        <f>IF(AND(OR(LEFT(TH!N5137,2)="15",LEFT(TH!O5137,2)="15"),LEFT(TH!O5137,3)&lt;&gt;"111",'152-CT'!$J$8=TH!F5137),"x","")</f>
        <v/>
      </c>
      <c r="AC5137" s="79" t="str">
        <f>IF(AND(OR(LEFT(TH!N5137,2)="15",LEFT(TH!O5137,2)="15"),TK!$E$7=TH!F5137),"x","")</f>
        <v/>
      </c>
      <c r="AD5137" s="79" t="str">
        <f>IF(AND(N5137="1521",MONTH(C5137)='BK-NL'!$M$11),"x","")</f>
        <v/>
      </c>
    </row>
    <row r="5138" spans="1:30" ht="16.5" customHeight="1">
      <c r="A5138" s="318" t="str">
        <f>IF(B5138&lt;&gt;"",IF(AND(B5138='[3]IN-TC'!$S$4,OR([3]TH!N4360="1111",[3]TH!O4360="1111")),[3]TH!D4360,""),"")</f>
        <v/>
      </c>
      <c r="B5138" s="60" t="str">
        <f t="shared" si="501"/>
        <v/>
      </c>
      <c r="C5138" s="301"/>
      <c r="D5138" s="301"/>
      <c r="E5138" s="61"/>
      <c r="F5138" s="303"/>
      <c r="G5138" s="302"/>
      <c r="H5138" s="303"/>
      <c r="I5138" s="385"/>
      <c r="J5138" s="395"/>
      <c r="K5138" s="387"/>
      <c r="L5138" s="394"/>
      <c r="M5138" s="62"/>
      <c r="N5138" s="63"/>
      <c r="O5138" s="63"/>
      <c r="P5138" s="79" t="str">
        <f>IF(AND('331-CT'!$E$7=TH!H5138,OR(N5138="331",O5138="331")),"x","")</f>
        <v/>
      </c>
      <c r="Q5138" s="79" t="str">
        <f>IF(AND(B5138='111'!$L$11,OR($N5138=$Q$7,$O5138=$Q$7)),"x","")</f>
        <v/>
      </c>
      <c r="R5138" s="79" t="str">
        <f>IF(AND($N5138=$Q$7,$B5138&lt;'111'!$L$11),"x","")</f>
        <v/>
      </c>
      <c r="S5138" s="79" t="str">
        <f>IF(AND($O5138=$Q$7,$B5138&lt;'111'!$L$11),"x","")</f>
        <v/>
      </c>
      <c r="T5138" s="79" t="str">
        <f>IF(ISERROR(FIND('112'!$M$9,G5138,1)),"",IF((AND(FIND('112'!$M$9,G5138,1)&gt;=1,B5138='112'!$K$9,OR($N5138='112'!$I$6,$O5138='112'!$I$6))),"x",""))</f>
        <v/>
      </c>
      <c r="U5138" s="79" t="str">
        <f>IF(ISERROR(FIND('112'!$M$9,G5138,1)),"",IF((AND(LEFT(G5138,2)=LEFT('112'!$M$9,2),B5138&lt;'112'!$K$9,$N5138='112'!$I$6)),"x",""))</f>
        <v/>
      </c>
      <c r="V5138" s="79" t="str">
        <f>IF(ISERROR(FIND('112'!$M$9,G5138,1)),"",IF((AND(RIGHT(G5138,2)=RIGHT('112'!$M$9,2),B5138&lt;'112'!$K$9,$O5138='112'!$I$6)),"x",""))</f>
        <v/>
      </c>
      <c r="W5138" s="79" t="str">
        <f>IF(AND('341-CT'!$H$9=H5138,OR(LEFT(N5138,3)=$W$7,LEFT(O5138,3)=$W$7)),"x","")</f>
        <v/>
      </c>
      <c r="X5138" s="79" t="str">
        <f>IF(OR(TH!N5138=TH!$X$7,O5138=TH!$X$7),"x","")</f>
        <v/>
      </c>
      <c r="Y5138" s="79" t="str">
        <f>IF(AND(OR(N5138="131",O5138="131"),H5138='131-CT'!$H$9),"x","")</f>
        <v/>
      </c>
      <c r="Z5138" s="79"/>
      <c r="AA5138" s="79" t="str">
        <f>IF(AND(MONTH(E5138)='IN-NX'!$J$5,'IN-NX'!$D$7=D5138),"x","")</f>
        <v/>
      </c>
      <c r="AB5138" s="79" t="str">
        <f>IF(AND(OR(LEFT(TH!N5138,2)="15",LEFT(TH!O5138,2)="15"),LEFT(TH!O5138,3)&lt;&gt;"111",'152-CT'!$J$8=TH!F5138),"x","")</f>
        <v/>
      </c>
      <c r="AC5138" s="79" t="str">
        <f>IF(AND(OR(LEFT(TH!N5138,2)="15",LEFT(TH!O5138,2)="15"),TK!$E$7=TH!F5138),"x","")</f>
        <v/>
      </c>
      <c r="AD5138" s="79" t="str">
        <f>IF(AND(N5138="1521",MONTH(C5138)='BK-NL'!$M$11),"x","")</f>
        <v/>
      </c>
    </row>
    <row r="5139" spans="1:30" ht="16.5" customHeight="1">
      <c r="A5139" s="318" t="str">
        <f>IF(B5139&lt;&gt;"",IF(AND(B5139='[3]IN-TC'!$S$4,OR([3]TH!N4361="1111",[3]TH!O4361="1111")),[3]TH!D4361,""),"")</f>
        <v/>
      </c>
      <c r="B5139" s="60" t="str">
        <f t="shared" si="501"/>
        <v/>
      </c>
      <c r="C5139" s="301"/>
      <c r="D5139" s="301"/>
      <c r="E5139" s="61"/>
      <c r="F5139" s="303"/>
      <c r="G5139" s="302"/>
      <c r="H5139" s="303"/>
      <c r="I5139" s="385"/>
      <c r="J5139" s="395"/>
      <c r="K5139" s="387"/>
      <c r="L5139" s="394"/>
      <c r="M5139" s="62"/>
      <c r="N5139" s="63"/>
      <c r="O5139" s="63"/>
      <c r="P5139" s="79" t="str">
        <f>IF(AND('331-CT'!$E$7=TH!H5139,OR(N5139="331",O5139="331")),"x","")</f>
        <v/>
      </c>
      <c r="Q5139" s="79" t="str">
        <f>IF(AND(B5139='111'!$L$11,OR($N5139=$Q$7,$O5139=$Q$7)),"x","")</f>
        <v/>
      </c>
      <c r="R5139" s="79" t="str">
        <f>IF(AND($N5139=$Q$7,$B5139&lt;'111'!$L$11),"x","")</f>
        <v/>
      </c>
      <c r="S5139" s="79" t="str">
        <f>IF(AND($O5139=$Q$7,$B5139&lt;'111'!$L$11),"x","")</f>
        <v/>
      </c>
      <c r="T5139" s="79" t="str">
        <f>IF(ISERROR(FIND('112'!$M$9,G5139,1)),"",IF((AND(FIND('112'!$M$9,G5139,1)&gt;=1,B5139='112'!$K$9,OR($N5139='112'!$I$6,$O5139='112'!$I$6))),"x",""))</f>
        <v/>
      </c>
      <c r="U5139" s="79" t="str">
        <f>IF(ISERROR(FIND('112'!$M$9,G5139,1)),"",IF((AND(LEFT(G5139,2)=LEFT('112'!$M$9,2),B5139&lt;'112'!$K$9,$N5139='112'!$I$6)),"x",""))</f>
        <v/>
      </c>
      <c r="V5139" s="79" t="str">
        <f>IF(ISERROR(FIND('112'!$M$9,G5139,1)),"",IF((AND(RIGHT(G5139,2)=RIGHT('112'!$M$9,2),B5139&lt;'112'!$K$9,$O5139='112'!$I$6)),"x",""))</f>
        <v/>
      </c>
      <c r="W5139" s="79" t="str">
        <f>IF(AND('341-CT'!$H$9=H5139,OR(LEFT(N5139,3)=$W$7,LEFT(O5139,3)=$W$7)),"x","")</f>
        <v/>
      </c>
      <c r="X5139" s="79" t="str">
        <f>IF(OR(TH!N5139=TH!$X$7,O5139=TH!$X$7),"x","")</f>
        <v/>
      </c>
      <c r="Y5139" s="79" t="str">
        <f>IF(AND(OR(N5139="131",O5139="131"),H5139='131-CT'!$H$9),"x","")</f>
        <v/>
      </c>
      <c r="Z5139" s="79"/>
      <c r="AA5139" s="79" t="str">
        <f>IF(AND(MONTH(E5139)='IN-NX'!$J$5,'IN-NX'!$D$7=D5139),"x","")</f>
        <v/>
      </c>
      <c r="AB5139" s="79" t="str">
        <f>IF(AND(OR(LEFT(TH!N5139,2)="15",LEFT(TH!O5139,2)="15"),LEFT(TH!O5139,3)&lt;&gt;"111",'152-CT'!$J$8=TH!F5139),"x","")</f>
        <v/>
      </c>
      <c r="AC5139" s="79" t="str">
        <f>IF(AND(OR(LEFT(TH!N5139,2)="15",LEFT(TH!O5139,2)="15"),TK!$E$7=TH!F5139),"x","")</f>
        <v/>
      </c>
      <c r="AD5139" s="79" t="str">
        <f>IF(AND(N5139="1521",MONTH(C5139)='BK-NL'!$M$11),"x","")</f>
        <v/>
      </c>
    </row>
    <row r="5140" spans="1:30" ht="16.5" customHeight="1">
      <c r="A5140" s="318" t="str">
        <f>IF(B5140&lt;&gt;"",IF(AND(B5140='[3]IN-TC'!$S$4,OR([3]TH!N4362="1111",[3]TH!O4362="1111")),[3]TH!D4362,""),"")</f>
        <v/>
      </c>
      <c r="B5140" s="60" t="str">
        <f t="shared" si="501"/>
        <v/>
      </c>
      <c r="C5140" s="301"/>
      <c r="D5140" s="301"/>
      <c r="E5140" s="61"/>
      <c r="F5140" s="303"/>
      <c r="G5140" s="302"/>
      <c r="H5140" s="303"/>
      <c r="I5140" s="385"/>
      <c r="J5140" s="395"/>
      <c r="K5140" s="387"/>
      <c r="L5140" s="394"/>
      <c r="M5140" s="62"/>
      <c r="N5140" s="63"/>
      <c r="O5140" s="63"/>
      <c r="P5140" s="79" t="str">
        <f>IF(AND('331-CT'!$E$7=TH!H5140,OR(N5140="331",O5140="331")),"x","")</f>
        <v/>
      </c>
      <c r="Q5140" s="79" t="str">
        <f>IF(AND(B5140='111'!$L$11,OR($N5140=$Q$7,$O5140=$Q$7)),"x","")</f>
        <v/>
      </c>
      <c r="R5140" s="79" t="str">
        <f>IF(AND($N5140=$Q$7,$B5140&lt;'111'!$L$11),"x","")</f>
        <v/>
      </c>
      <c r="S5140" s="79" t="str">
        <f>IF(AND($O5140=$Q$7,$B5140&lt;'111'!$L$11),"x","")</f>
        <v/>
      </c>
      <c r="T5140" s="79" t="str">
        <f>IF(ISERROR(FIND('112'!$M$9,G5140,1)),"",IF((AND(FIND('112'!$M$9,G5140,1)&gt;=1,B5140='112'!$K$9,OR($N5140='112'!$I$6,$O5140='112'!$I$6))),"x",""))</f>
        <v/>
      </c>
      <c r="U5140" s="79" t="str">
        <f>IF(ISERROR(FIND('112'!$M$9,G5140,1)),"",IF((AND(LEFT(G5140,2)=LEFT('112'!$M$9,2),B5140&lt;'112'!$K$9,$N5140='112'!$I$6)),"x",""))</f>
        <v/>
      </c>
      <c r="V5140" s="79" t="str">
        <f>IF(ISERROR(FIND('112'!$M$9,G5140,1)),"",IF((AND(RIGHT(G5140,2)=RIGHT('112'!$M$9,2),B5140&lt;'112'!$K$9,$O5140='112'!$I$6)),"x",""))</f>
        <v/>
      </c>
      <c r="W5140" s="79" t="str">
        <f>IF(AND('341-CT'!$H$9=H5140,OR(LEFT(N5140,3)=$W$7,LEFT(O5140,3)=$W$7)),"x","")</f>
        <v/>
      </c>
      <c r="X5140" s="79" t="str">
        <f>IF(OR(TH!N5140=TH!$X$7,O5140=TH!$X$7),"x","")</f>
        <v/>
      </c>
      <c r="Y5140" s="79" t="str">
        <f>IF(AND(OR(N5140="131",O5140="131"),H5140='131-CT'!$H$9),"x","")</f>
        <v/>
      </c>
      <c r="Z5140" s="79"/>
      <c r="AA5140" s="79" t="str">
        <f>IF(AND(MONTH(E5140)='IN-NX'!$J$5,'IN-NX'!$D$7=D5140),"x","")</f>
        <v/>
      </c>
      <c r="AB5140" s="79" t="str">
        <f>IF(AND(OR(LEFT(TH!N5140,2)="15",LEFT(TH!O5140,2)="15"),LEFT(TH!O5140,3)&lt;&gt;"111",'152-CT'!$J$8=TH!F5140),"x","")</f>
        <v/>
      </c>
      <c r="AC5140" s="79" t="str">
        <f>IF(AND(OR(LEFT(TH!N5140,2)="15",LEFT(TH!O5140,2)="15"),TK!$E$7=TH!F5140),"x","")</f>
        <v/>
      </c>
      <c r="AD5140" s="79" t="str">
        <f>IF(AND(N5140="1521",MONTH(C5140)='BK-NL'!$M$11),"x","")</f>
        <v/>
      </c>
    </row>
    <row r="5141" spans="1:30" ht="16.5" customHeight="1">
      <c r="A5141" s="318" t="str">
        <f>IF(B5141&lt;&gt;"",IF(AND(B5141='[3]IN-TC'!$S$4,OR([3]TH!N4363="1111",[3]TH!O4363="1111")),[3]TH!D4363,""),"")</f>
        <v/>
      </c>
      <c r="B5141" s="60" t="str">
        <f t="shared" si="501"/>
        <v/>
      </c>
      <c r="C5141" s="301"/>
      <c r="D5141" s="301"/>
      <c r="E5141" s="61"/>
      <c r="F5141" s="303"/>
      <c r="G5141" s="302"/>
      <c r="H5141" s="303"/>
      <c r="I5141" s="385"/>
      <c r="J5141" s="395"/>
      <c r="K5141" s="387"/>
      <c r="L5141" s="394"/>
      <c r="M5141" s="62"/>
      <c r="N5141" s="63"/>
      <c r="O5141" s="63"/>
      <c r="P5141" s="79" t="str">
        <f>IF(AND('331-CT'!$E$7=TH!H5141,OR(N5141="331",O5141="331")),"x","")</f>
        <v/>
      </c>
      <c r="Q5141" s="79" t="str">
        <f>IF(AND(B5141='111'!$L$11,OR($N5141=$Q$7,$O5141=$Q$7)),"x","")</f>
        <v/>
      </c>
      <c r="R5141" s="79" t="str">
        <f>IF(AND($N5141=$Q$7,$B5141&lt;'111'!$L$11),"x","")</f>
        <v/>
      </c>
      <c r="S5141" s="79" t="str">
        <f>IF(AND($O5141=$Q$7,$B5141&lt;'111'!$L$11),"x","")</f>
        <v/>
      </c>
      <c r="T5141" s="79" t="str">
        <f>IF(ISERROR(FIND('112'!$M$9,G5141,1)),"",IF((AND(FIND('112'!$M$9,G5141,1)&gt;=1,B5141='112'!$K$9,OR($N5141='112'!$I$6,$O5141='112'!$I$6))),"x",""))</f>
        <v/>
      </c>
      <c r="U5141" s="79" t="str">
        <f>IF(ISERROR(FIND('112'!$M$9,G5141,1)),"",IF((AND(LEFT(G5141,2)=LEFT('112'!$M$9,2),B5141&lt;'112'!$K$9,$N5141='112'!$I$6)),"x",""))</f>
        <v/>
      </c>
      <c r="V5141" s="79" t="str">
        <f>IF(ISERROR(FIND('112'!$M$9,G5141,1)),"",IF((AND(RIGHT(G5141,2)=RIGHT('112'!$M$9,2),B5141&lt;'112'!$K$9,$O5141='112'!$I$6)),"x",""))</f>
        <v/>
      </c>
      <c r="W5141" s="79" t="str">
        <f>IF(AND('341-CT'!$H$9=H5141,OR(LEFT(N5141,3)=$W$7,LEFT(O5141,3)=$W$7)),"x","")</f>
        <v/>
      </c>
      <c r="X5141" s="79" t="str">
        <f>IF(OR(TH!N5141=TH!$X$7,O5141=TH!$X$7),"x","")</f>
        <v/>
      </c>
      <c r="Y5141" s="79" t="str">
        <f>IF(AND(OR(N5141="131",O5141="131"),H5141='131-CT'!$H$9),"x","")</f>
        <v/>
      </c>
      <c r="Z5141" s="79"/>
      <c r="AA5141" s="79" t="str">
        <f>IF(AND(MONTH(E5141)='IN-NX'!$J$5,'IN-NX'!$D$7=D5141),"x","")</f>
        <v/>
      </c>
      <c r="AB5141" s="79" t="str">
        <f>IF(AND(OR(LEFT(TH!N5141,2)="15",LEFT(TH!O5141,2)="15"),LEFT(TH!O5141,3)&lt;&gt;"111",'152-CT'!$J$8=TH!F5141),"x","")</f>
        <v/>
      </c>
      <c r="AC5141" s="79" t="str">
        <f>IF(AND(OR(LEFT(TH!N5141,2)="15",LEFT(TH!O5141,2)="15"),TK!$E$7=TH!F5141),"x","")</f>
        <v/>
      </c>
      <c r="AD5141" s="79" t="str">
        <f>IF(AND(N5141="1521",MONTH(C5141)='BK-NL'!$M$11),"x","")</f>
        <v/>
      </c>
    </row>
    <row r="5142" spans="1:30" ht="16.5" customHeight="1">
      <c r="A5142" s="318" t="str">
        <f>IF(B5142&lt;&gt;"",IF(AND(B5142='[3]IN-TC'!$S$4,OR([3]TH!N4364="1111",[3]TH!O4364="1111")),[3]TH!D4364,""),"")</f>
        <v/>
      </c>
      <c r="B5142" s="60" t="str">
        <f t="shared" si="501"/>
        <v/>
      </c>
      <c r="C5142" s="301"/>
      <c r="D5142" s="301"/>
      <c r="E5142" s="61"/>
      <c r="F5142" s="303"/>
      <c r="G5142" s="302"/>
      <c r="H5142" s="303"/>
      <c r="I5142" s="385"/>
      <c r="J5142" s="395"/>
      <c r="K5142" s="387"/>
      <c r="L5142" s="394"/>
      <c r="M5142" s="62"/>
      <c r="N5142" s="63"/>
      <c r="O5142" s="63"/>
      <c r="P5142" s="79" t="str">
        <f>IF(AND('331-CT'!$E$7=TH!H5142,OR(N5142="331",O5142="331")),"x","")</f>
        <v/>
      </c>
      <c r="Q5142" s="79" t="str">
        <f>IF(AND(B5142='111'!$L$11,OR($N5142=$Q$7,$O5142=$Q$7)),"x","")</f>
        <v/>
      </c>
      <c r="R5142" s="79" t="str">
        <f>IF(AND($N5142=$Q$7,$B5142&lt;'111'!$L$11),"x","")</f>
        <v/>
      </c>
      <c r="S5142" s="79" t="str">
        <f>IF(AND($O5142=$Q$7,$B5142&lt;'111'!$L$11),"x","")</f>
        <v/>
      </c>
      <c r="T5142" s="79" t="str">
        <f>IF(ISERROR(FIND('112'!$M$9,G5142,1)),"",IF((AND(FIND('112'!$M$9,G5142,1)&gt;=1,B5142='112'!$K$9,OR($N5142='112'!$I$6,$O5142='112'!$I$6))),"x",""))</f>
        <v/>
      </c>
      <c r="U5142" s="79" t="str">
        <f>IF(ISERROR(FIND('112'!$M$9,G5142,1)),"",IF((AND(LEFT(G5142,2)=LEFT('112'!$M$9,2),B5142&lt;'112'!$K$9,$N5142='112'!$I$6)),"x",""))</f>
        <v/>
      </c>
      <c r="V5142" s="79" t="str">
        <f>IF(ISERROR(FIND('112'!$M$9,G5142,1)),"",IF((AND(RIGHT(G5142,2)=RIGHT('112'!$M$9,2),B5142&lt;'112'!$K$9,$O5142='112'!$I$6)),"x",""))</f>
        <v/>
      </c>
      <c r="W5142" s="79" t="str">
        <f>IF(AND('341-CT'!$H$9=H5142,OR(LEFT(N5142,3)=$W$7,LEFT(O5142,3)=$W$7)),"x","")</f>
        <v/>
      </c>
      <c r="X5142" s="79" t="str">
        <f>IF(OR(TH!N5142=TH!$X$7,O5142=TH!$X$7),"x","")</f>
        <v/>
      </c>
      <c r="Y5142" s="79" t="str">
        <f>IF(AND(OR(N5142="131",O5142="131"),H5142='131-CT'!$H$9),"x","")</f>
        <v/>
      </c>
      <c r="Z5142" s="79"/>
      <c r="AA5142" s="79" t="str">
        <f>IF(AND(MONTH(E5142)='IN-NX'!$J$5,'IN-NX'!$D$7=D5142),"x","")</f>
        <v/>
      </c>
      <c r="AB5142" s="79" t="str">
        <f>IF(AND(OR(LEFT(TH!N5142,2)="15",LEFT(TH!O5142,2)="15"),LEFT(TH!O5142,3)&lt;&gt;"111",'152-CT'!$J$8=TH!F5142),"x","")</f>
        <v/>
      </c>
      <c r="AC5142" s="79" t="str">
        <f>IF(AND(OR(LEFT(TH!N5142,2)="15",LEFT(TH!O5142,2)="15"),TK!$E$7=TH!F5142),"x","")</f>
        <v/>
      </c>
      <c r="AD5142" s="79" t="str">
        <f>IF(AND(N5142="1521",MONTH(C5142)='BK-NL'!$M$11),"x","")</f>
        <v/>
      </c>
    </row>
    <row r="5143" spans="1:30" ht="16.5" customHeight="1">
      <c r="A5143" s="318" t="str">
        <f>IF(B5143&lt;&gt;"",IF(AND(B5143='[3]IN-TC'!$S$4,OR([3]TH!N4365="1111",[3]TH!O4365="1111")),[3]TH!D4365,""),"")</f>
        <v/>
      </c>
      <c r="B5143" s="60" t="str">
        <f t="shared" si="501"/>
        <v/>
      </c>
      <c r="C5143" s="301"/>
      <c r="D5143" s="301"/>
      <c r="E5143" s="61"/>
      <c r="F5143" s="303"/>
      <c r="G5143" s="302"/>
      <c r="H5143" s="303"/>
      <c r="I5143" s="385"/>
      <c r="J5143" s="395"/>
      <c r="K5143" s="387"/>
      <c r="L5143" s="394"/>
      <c r="M5143" s="62"/>
      <c r="N5143" s="63"/>
      <c r="O5143" s="63"/>
      <c r="P5143" s="79" t="str">
        <f>IF(AND('331-CT'!$E$7=TH!H5143,OR(N5143="331",O5143="331")),"x","")</f>
        <v/>
      </c>
      <c r="Q5143" s="79" t="str">
        <f>IF(AND(B5143='111'!$L$11,OR($N5143=$Q$7,$O5143=$Q$7)),"x","")</f>
        <v/>
      </c>
      <c r="R5143" s="79" t="str">
        <f>IF(AND($N5143=$Q$7,$B5143&lt;'111'!$L$11),"x","")</f>
        <v/>
      </c>
      <c r="S5143" s="79" t="str">
        <f>IF(AND($O5143=$Q$7,$B5143&lt;'111'!$L$11),"x","")</f>
        <v/>
      </c>
      <c r="T5143" s="79" t="str">
        <f>IF(ISERROR(FIND('112'!$M$9,G5143,1)),"",IF((AND(FIND('112'!$M$9,G5143,1)&gt;=1,B5143='112'!$K$9,OR($N5143='112'!$I$6,$O5143='112'!$I$6))),"x",""))</f>
        <v/>
      </c>
      <c r="U5143" s="79" t="str">
        <f>IF(ISERROR(FIND('112'!$M$9,G5143,1)),"",IF((AND(LEFT(G5143,2)=LEFT('112'!$M$9,2),B5143&lt;'112'!$K$9,$N5143='112'!$I$6)),"x",""))</f>
        <v/>
      </c>
      <c r="V5143" s="79" t="str">
        <f>IF(ISERROR(FIND('112'!$M$9,G5143,1)),"",IF((AND(RIGHT(G5143,2)=RIGHT('112'!$M$9,2),B5143&lt;'112'!$K$9,$O5143='112'!$I$6)),"x",""))</f>
        <v/>
      </c>
      <c r="W5143" s="79" t="str">
        <f>IF(AND('341-CT'!$H$9=H5143,OR(LEFT(N5143,3)=$W$7,LEFT(O5143,3)=$W$7)),"x","")</f>
        <v/>
      </c>
      <c r="X5143" s="79" t="str">
        <f>IF(OR(TH!N5143=TH!$X$7,O5143=TH!$X$7),"x","")</f>
        <v/>
      </c>
      <c r="Y5143" s="79" t="str">
        <f>IF(AND(OR(N5143="131",O5143="131"),H5143='131-CT'!$H$9),"x","")</f>
        <v/>
      </c>
      <c r="Z5143" s="79"/>
      <c r="AA5143" s="79" t="str">
        <f>IF(AND(MONTH(E5143)='IN-NX'!$J$5,'IN-NX'!$D$7=D5143),"x","")</f>
        <v/>
      </c>
      <c r="AB5143" s="79" t="str">
        <f>IF(AND(OR(LEFT(TH!N5143,2)="15",LEFT(TH!O5143,2)="15"),LEFT(TH!O5143,3)&lt;&gt;"111",'152-CT'!$J$8=TH!F5143),"x","")</f>
        <v/>
      </c>
      <c r="AC5143" s="79" t="str">
        <f>IF(AND(OR(LEFT(TH!N5143,2)="15",LEFT(TH!O5143,2)="15"),TK!$E$7=TH!F5143),"x","")</f>
        <v/>
      </c>
      <c r="AD5143" s="79" t="str">
        <f>IF(AND(N5143="1521",MONTH(C5143)='BK-NL'!$M$11),"x","")</f>
        <v/>
      </c>
    </row>
    <row r="5144" spans="1:30" ht="16.5" customHeight="1">
      <c r="A5144" s="318" t="str">
        <f>IF(B5144&lt;&gt;"",IF(AND(B5144='[3]IN-TC'!$S$4,OR([3]TH!N4366="1111",[3]TH!O4366="1111")),[3]TH!D4366,""),"")</f>
        <v/>
      </c>
      <c r="B5144" s="60" t="str">
        <f t="shared" si="501"/>
        <v/>
      </c>
      <c r="C5144" s="301"/>
      <c r="D5144" s="301"/>
      <c r="E5144" s="61"/>
      <c r="F5144" s="303"/>
      <c r="G5144" s="302"/>
      <c r="H5144" s="303"/>
      <c r="I5144" s="385"/>
      <c r="J5144" s="395"/>
      <c r="K5144" s="387"/>
      <c r="L5144" s="394"/>
      <c r="M5144" s="62"/>
      <c r="N5144" s="63"/>
      <c r="O5144" s="63"/>
      <c r="P5144" s="79" t="str">
        <f>IF(AND('331-CT'!$E$7=TH!H5144,OR(N5144="331",O5144="331")),"x","")</f>
        <v/>
      </c>
      <c r="Q5144" s="79" t="str">
        <f>IF(AND(B5144='111'!$L$11,OR($N5144=$Q$7,$O5144=$Q$7)),"x","")</f>
        <v/>
      </c>
      <c r="R5144" s="79" t="str">
        <f>IF(AND($N5144=$Q$7,$B5144&lt;'111'!$L$11),"x","")</f>
        <v/>
      </c>
      <c r="S5144" s="79" t="str">
        <f>IF(AND($O5144=$Q$7,$B5144&lt;'111'!$L$11),"x","")</f>
        <v/>
      </c>
      <c r="T5144" s="79" t="str">
        <f>IF(ISERROR(FIND('112'!$M$9,G5144,1)),"",IF((AND(FIND('112'!$M$9,G5144,1)&gt;=1,B5144='112'!$K$9,OR($N5144='112'!$I$6,$O5144='112'!$I$6))),"x",""))</f>
        <v/>
      </c>
      <c r="U5144" s="79" t="str">
        <f>IF(ISERROR(FIND('112'!$M$9,G5144,1)),"",IF((AND(LEFT(G5144,2)=LEFT('112'!$M$9,2),B5144&lt;'112'!$K$9,$N5144='112'!$I$6)),"x",""))</f>
        <v/>
      </c>
      <c r="V5144" s="79" t="str">
        <f>IF(ISERROR(FIND('112'!$M$9,G5144,1)),"",IF((AND(RIGHT(G5144,2)=RIGHT('112'!$M$9,2),B5144&lt;'112'!$K$9,$O5144='112'!$I$6)),"x",""))</f>
        <v/>
      </c>
      <c r="W5144" s="79" t="str">
        <f>IF(AND('341-CT'!$H$9=H5144,OR(LEFT(N5144,3)=$W$7,LEFT(O5144,3)=$W$7)),"x","")</f>
        <v/>
      </c>
      <c r="X5144" s="79" t="str">
        <f>IF(OR(TH!N5144=TH!$X$7,O5144=TH!$X$7),"x","")</f>
        <v/>
      </c>
      <c r="Y5144" s="79" t="str">
        <f>IF(AND(OR(N5144="131",O5144="131"),H5144='131-CT'!$H$9),"x","")</f>
        <v/>
      </c>
      <c r="Z5144" s="79"/>
      <c r="AA5144" s="79" t="str">
        <f>IF(AND(MONTH(E5144)='IN-NX'!$J$5,'IN-NX'!$D$7=D5144),"x","")</f>
        <v/>
      </c>
      <c r="AB5144" s="79" t="str">
        <f>IF(AND(OR(LEFT(TH!N5144,2)="15",LEFT(TH!O5144,2)="15"),LEFT(TH!O5144,3)&lt;&gt;"111",'152-CT'!$J$8=TH!F5144),"x","")</f>
        <v/>
      </c>
      <c r="AC5144" s="79" t="str">
        <f>IF(AND(OR(LEFT(TH!N5144,2)="15",LEFT(TH!O5144,2)="15"),TK!$E$7=TH!F5144),"x","")</f>
        <v/>
      </c>
      <c r="AD5144" s="79" t="str">
        <f>IF(AND(N5144="1521",MONTH(C5144)='BK-NL'!$M$11),"x","")</f>
        <v/>
      </c>
    </row>
    <row r="5145" spans="1:30" ht="16.5" customHeight="1">
      <c r="A5145" s="318" t="str">
        <f>IF(B5145&lt;&gt;"",IF(AND(B5145='[3]IN-TC'!$S$4,OR([3]TH!N4367="1111",[3]TH!O4367="1111")),[3]TH!D4367,""),"")</f>
        <v/>
      </c>
      <c r="B5145" s="60" t="str">
        <f t="shared" si="501"/>
        <v/>
      </c>
      <c r="C5145" s="301"/>
      <c r="D5145" s="301"/>
      <c r="E5145" s="61"/>
      <c r="F5145" s="303"/>
      <c r="G5145" s="302"/>
      <c r="H5145" s="303"/>
      <c r="I5145" s="385"/>
      <c r="J5145" s="395"/>
      <c r="K5145" s="387"/>
      <c r="L5145" s="394"/>
      <c r="M5145" s="62"/>
      <c r="N5145" s="63"/>
      <c r="O5145" s="63"/>
      <c r="P5145" s="79" t="str">
        <f>IF(AND('331-CT'!$E$7=TH!H5145,OR(N5145="331",O5145="331")),"x","")</f>
        <v/>
      </c>
      <c r="Q5145" s="79" t="str">
        <f>IF(AND(B5145='111'!$L$11,OR($N5145=$Q$7,$O5145=$Q$7)),"x","")</f>
        <v/>
      </c>
      <c r="R5145" s="79" t="str">
        <f>IF(AND($N5145=$Q$7,$B5145&lt;'111'!$L$11),"x","")</f>
        <v/>
      </c>
      <c r="S5145" s="79" t="str">
        <f>IF(AND($O5145=$Q$7,$B5145&lt;'111'!$L$11),"x","")</f>
        <v/>
      </c>
      <c r="T5145" s="79" t="str">
        <f>IF(ISERROR(FIND('112'!$M$9,G5145,1)),"",IF((AND(FIND('112'!$M$9,G5145,1)&gt;=1,B5145='112'!$K$9,OR($N5145='112'!$I$6,$O5145='112'!$I$6))),"x",""))</f>
        <v/>
      </c>
      <c r="U5145" s="79" t="str">
        <f>IF(ISERROR(FIND('112'!$M$9,G5145,1)),"",IF((AND(LEFT(G5145,2)=LEFT('112'!$M$9,2),B5145&lt;'112'!$K$9,$N5145='112'!$I$6)),"x",""))</f>
        <v/>
      </c>
      <c r="V5145" s="79" t="str">
        <f>IF(ISERROR(FIND('112'!$M$9,G5145,1)),"",IF((AND(RIGHT(G5145,2)=RIGHT('112'!$M$9,2),B5145&lt;'112'!$K$9,$O5145='112'!$I$6)),"x",""))</f>
        <v/>
      </c>
      <c r="W5145" s="79" t="str">
        <f>IF(AND('341-CT'!$H$9=H5145,OR(LEFT(N5145,3)=$W$7,LEFT(O5145,3)=$W$7)),"x","")</f>
        <v/>
      </c>
      <c r="X5145" s="79" t="str">
        <f>IF(OR(TH!N5145=TH!$X$7,O5145=TH!$X$7),"x","")</f>
        <v/>
      </c>
      <c r="Y5145" s="79" t="str">
        <f>IF(AND(OR(N5145="131",O5145="131"),H5145='131-CT'!$H$9),"x","")</f>
        <v/>
      </c>
      <c r="Z5145" s="79"/>
      <c r="AA5145" s="79" t="str">
        <f>IF(AND(MONTH(E5145)='IN-NX'!$J$5,'IN-NX'!$D$7=D5145),"x","")</f>
        <v/>
      </c>
      <c r="AB5145" s="79" t="str">
        <f>IF(AND(OR(LEFT(TH!N5145,2)="15",LEFT(TH!O5145,2)="15"),LEFT(TH!O5145,3)&lt;&gt;"111",'152-CT'!$J$8=TH!F5145),"x","")</f>
        <v/>
      </c>
      <c r="AC5145" s="79" t="str">
        <f>IF(AND(OR(LEFT(TH!N5145,2)="15",LEFT(TH!O5145,2)="15"),TK!$E$7=TH!F5145),"x","")</f>
        <v/>
      </c>
      <c r="AD5145" s="79" t="str">
        <f>IF(AND(N5145="1521",MONTH(C5145)='BK-NL'!$M$11),"x","")</f>
        <v/>
      </c>
    </row>
    <row r="5146" spans="1:30" ht="16.5" customHeight="1">
      <c r="A5146" s="318" t="str">
        <f>IF(B5146&lt;&gt;"",IF(AND(B5146='[3]IN-TC'!$S$4,OR([3]TH!N4368="1111",[3]TH!O4368="1111")),[3]TH!D4368,""),"")</f>
        <v/>
      </c>
      <c r="B5146" s="60" t="str">
        <f t="shared" si="501"/>
        <v/>
      </c>
      <c r="C5146" s="301"/>
      <c r="D5146" s="301"/>
      <c r="E5146" s="61"/>
      <c r="F5146" s="303"/>
      <c r="G5146" s="302"/>
      <c r="H5146" s="303"/>
      <c r="I5146" s="385"/>
      <c r="J5146" s="395"/>
      <c r="K5146" s="387"/>
      <c r="L5146" s="394"/>
      <c r="M5146" s="62"/>
      <c r="N5146" s="63"/>
      <c r="O5146" s="63"/>
      <c r="P5146" s="79" t="str">
        <f>IF(AND('331-CT'!$E$7=TH!H5146,OR(N5146="331",O5146="331")),"x","")</f>
        <v/>
      </c>
      <c r="Q5146" s="79" t="str">
        <f>IF(AND(B5146='111'!$L$11,OR($N5146=$Q$7,$O5146=$Q$7)),"x","")</f>
        <v/>
      </c>
      <c r="R5146" s="79" t="str">
        <f>IF(AND($N5146=$Q$7,$B5146&lt;'111'!$L$11),"x","")</f>
        <v/>
      </c>
      <c r="S5146" s="79" t="str">
        <f>IF(AND($O5146=$Q$7,$B5146&lt;'111'!$L$11),"x","")</f>
        <v/>
      </c>
      <c r="T5146" s="79" t="str">
        <f>IF(ISERROR(FIND('112'!$M$9,G5146,1)),"",IF((AND(FIND('112'!$M$9,G5146,1)&gt;=1,B5146='112'!$K$9,OR($N5146='112'!$I$6,$O5146='112'!$I$6))),"x",""))</f>
        <v/>
      </c>
      <c r="U5146" s="79" t="str">
        <f>IF(ISERROR(FIND('112'!$M$9,G5146,1)),"",IF((AND(LEFT(G5146,2)=LEFT('112'!$M$9,2),B5146&lt;'112'!$K$9,$N5146='112'!$I$6)),"x",""))</f>
        <v/>
      </c>
      <c r="V5146" s="79" t="str">
        <f>IF(ISERROR(FIND('112'!$M$9,G5146,1)),"",IF((AND(RIGHT(G5146,2)=RIGHT('112'!$M$9,2),B5146&lt;'112'!$K$9,$O5146='112'!$I$6)),"x",""))</f>
        <v/>
      </c>
      <c r="W5146" s="79" t="str">
        <f>IF(AND('341-CT'!$H$9=H5146,OR(LEFT(N5146,3)=$W$7,LEFT(O5146,3)=$W$7)),"x","")</f>
        <v/>
      </c>
      <c r="X5146" s="79" t="str">
        <f>IF(OR(TH!N5146=TH!$X$7,O5146=TH!$X$7),"x","")</f>
        <v/>
      </c>
      <c r="Y5146" s="79" t="str">
        <f>IF(AND(OR(N5146="131",O5146="131"),H5146='131-CT'!$H$9),"x","")</f>
        <v/>
      </c>
      <c r="Z5146" s="79"/>
      <c r="AA5146" s="79" t="str">
        <f>IF(AND(MONTH(E5146)='IN-NX'!$J$5,'IN-NX'!$D$7=D5146),"x","")</f>
        <v/>
      </c>
      <c r="AB5146" s="79" t="str">
        <f>IF(AND(OR(LEFT(TH!N5146,2)="15",LEFT(TH!O5146,2)="15"),LEFT(TH!O5146,3)&lt;&gt;"111",'152-CT'!$J$8=TH!F5146),"x","")</f>
        <v/>
      </c>
      <c r="AC5146" s="79" t="str">
        <f>IF(AND(OR(LEFT(TH!N5146,2)="15",LEFT(TH!O5146,2)="15"),TK!$E$7=TH!F5146),"x","")</f>
        <v/>
      </c>
      <c r="AD5146" s="79" t="str">
        <f>IF(AND(N5146="1521",MONTH(C5146)='BK-NL'!$M$11),"x","")</f>
        <v/>
      </c>
    </row>
    <row r="5147" spans="1:30" ht="16.5" customHeight="1">
      <c r="A5147" s="318" t="str">
        <f>IF(B5147&lt;&gt;"",IF(AND(B5147='[3]IN-TC'!$S$4,OR([3]TH!N4369="1111",[3]TH!O4369="1111")),[3]TH!D4369,""),"")</f>
        <v/>
      </c>
      <c r="B5147" s="60" t="str">
        <f t="shared" si="501"/>
        <v/>
      </c>
      <c r="C5147" s="301"/>
      <c r="D5147" s="301"/>
      <c r="E5147" s="61"/>
      <c r="F5147" s="303"/>
      <c r="G5147" s="302"/>
      <c r="H5147" s="303"/>
      <c r="I5147" s="385"/>
      <c r="J5147" s="395"/>
      <c r="K5147" s="387"/>
      <c r="L5147" s="394"/>
      <c r="M5147" s="62"/>
      <c r="N5147" s="63"/>
      <c r="O5147" s="63"/>
      <c r="P5147" s="79" t="str">
        <f>IF(AND('331-CT'!$E$7=TH!H5147,OR(N5147="331",O5147="331")),"x","")</f>
        <v/>
      </c>
      <c r="Q5147" s="79" t="str">
        <f>IF(AND(B5147='111'!$L$11,OR($N5147=$Q$7,$O5147=$Q$7)),"x","")</f>
        <v/>
      </c>
      <c r="R5147" s="79" t="str">
        <f>IF(AND($N5147=$Q$7,$B5147&lt;'111'!$L$11),"x","")</f>
        <v/>
      </c>
      <c r="S5147" s="79" t="str">
        <f>IF(AND($O5147=$Q$7,$B5147&lt;'111'!$L$11),"x","")</f>
        <v/>
      </c>
      <c r="T5147" s="79" t="str">
        <f>IF(ISERROR(FIND('112'!$M$9,G5147,1)),"",IF((AND(FIND('112'!$M$9,G5147,1)&gt;=1,B5147='112'!$K$9,OR($N5147='112'!$I$6,$O5147='112'!$I$6))),"x",""))</f>
        <v/>
      </c>
      <c r="U5147" s="79" t="str">
        <f>IF(ISERROR(FIND('112'!$M$9,G5147,1)),"",IF((AND(LEFT(G5147,2)=LEFT('112'!$M$9,2),B5147&lt;'112'!$K$9,$N5147='112'!$I$6)),"x",""))</f>
        <v/>
      </c>
      <c r="V5147" s="79" t="str">
        <f>IF(ISERROR(FIND('112'!$M$9,G5147,1)),"",IF((AND(RIGHT(G5147,2)=RIGHT('112'!$M$9,2),B5147&lt;'112'!$K$9,$O5147='112'!$I$6)),"x",""))</f>
        <v/>
      </c>
      <c r="W5147" s="79" t="str">
        <f>IF(AND('341-CT'!$H$9=H5147,OR(LEFT(N5147,3)=$W$7,LEFT(O5147,3)=$W$7)),"x","")</f>
        <v/>
      </c>
      <c r="X5147" s="79" t="str">
        <f>IF(OR(TH!N5147=TH!$X$7,O5147=TH!$X$7),"x","")</f>
        <v/>
      </c>
      <c r="Y5147" s="79" t="str">
        <f>IF(AND(OR(N5147="131",O5147="131"),H5147='131-CT'!$H$9),"x","")</f>
        <v/>
      </c>
      <c r="Z5147" s="79"/>
      <c r="AA5147" s="79" t="str">
        <f>IF(AND(MONTH(E5147)='IN-NX'!$J$5,'IN-NX'!$D$7=D5147),"x","")</f>
        <v/>
      </c>
      <c r="AB5147" s="79" t="str">
        <f>IF(AND(OR(LEFT(TH!N5147,2)="15",LEFT(TH!O5147,2)="15"),LEFT(TH!O5147,3)&lt;&gt;"111",'152-CT'!$J$8=TH!F5147),"x","")</f>
        <v/>
      </c>
      <c r="AC5147" s="79" t="str">
        <f>IF(AND(OR(LEFT(TH!N5147,2)="15",LEFT(TH!O5147,2)="15"),TK!$E$7=TH!F5147),"x","")</f>
        <v/>
      </c>
      <c r="AD5147" s="79" t="str">
        <f>IF(AND(N5147="1521",MONTH(C5147)='BK-NL'!$M$11),"x","")</f>
        <v/>
      </c>
    </row>
    <row r="5148" spans="1:30" ht="16.5" customHeight="1">
      <c r="A5148" s="318" t="str">
        <f>IF(B5148&lt;&gt;"",IF(AND(B5148='[3]IN-TC'!$S$4,OR([3]TH!N4370="1111",[3]TH!O4370="1111")),[3]TH!D4370,""),"")</f>
        <v/>
      </c>
      <c r="B5148" s="60" t="str">
        <f t="shared" si="501"/>
        <v/>
      </c>
      <c r="C5148" s="301"/>
      <c r="D5148" s="301"/>
      <c r="E5148" s="61"/>
      <c r="F5148" s="303"/>
      <c r="G5148" s="302"/>
      <c r="H5148" s="303"/>
      <c r="I5148" s="385"/>
      <c r="J5148" s="395"/>
      <c r="K5148" s="387"/>
      <c r="L5148" s="394"/>
      <c r="M5148" s="62"/>
      <c r="N5148" s="63"/>
      <c r="O5148" s="63"/>
      <c r="P5148" s="79" t="str">
        <f>IF(AND('331-CT'!$E$7=TH!H5148,OR(N5148="331",O5148="331")),"x","")</f>
        <v/>
      </c>
      <c r="Q5148" s="79" t="str">
        <f>IF(AND(B5148='111'!$L$11,OR($N5148=$Q$7,$O5148=$Q$7)),"x","")</f>
        <v/>
      </c>
      <c r="R5148" s="79" t="str">
        <f>IF(AND($N5148=$Q$7,$B5148&lt;'111'!$L$11),"x","")</f>
        <v/>
      </c>
      <c r="S5148" s="79" t="str">
        <f>IF(AND($O5148=$Q$7,$B5148&lt;'111'!$L$11),"x","")</f>
        <v/>
      </c>
      <c r="T5148" s="79" t="str">
        <f>IF(ISERROR(FIND('112'!$M$9,G5148,1)),"",IF((AND(FIND('112'!$M$9,G5148,1)&gt;=1,B5148='112'!$K$9,OR($N5148='112'!$I$6,$O5148='112'!$I$6))),"x",""))</f>
        <v/>
      </c>
      <c r="U5148" s="79" t="str">
        <f>IF(ISERROR(FIND('112'!$M$9,G5148,1)),"",IF((AND(LEFT(G5148,2)=LEFT('112'!$M$9,2),B5148&lt;'112'!$K$9,$N5148='112'!$I$6)),"x",""))</f>
        <v/>
      </c>
      <c r="V5148" s="79" t="str">
        <f>IF(ISERROR(FIND('112'!$M$9,G5148,1)),"",IF((AND(RIGHT(G5148,2)=RIGHT('112'!$M$9,2),B5148&lt;'112'!$K$9,$O5148='112'!$I$6)),"x",""))</f>
        <v/>
      </c>
      <c r="W5148" s="79" t="str">
        <f>IF(AND('341-CT'!$H$9=H5148,OR(LEFT(N5148,3)=$W$7,LEFT(O5148,3)=$W$7)),"x","")</f>
        <v/>
      </c>
      <c r="X5148" s="79" t="str">
        <f>IF(OR(TH!N5148=TH!$X$7,O5148=TH!$X$7),"x","")</f>
        <v/>
      </c>
      <c r="Y5148" s="79" t="str">
        <f>IF(AND(OR(N5148="131",O5148="131"),H5148='131-CT'!$H$9),"x","")</f>
        <v/>
      </c>
      <c r="Z5148" s="79"/>
      <c r="AA5148" s="79" t="str">
        <f>IF(AND(MONTH(E5148)='IN-NX'!$J$5,'IN-NX'!$D$7=D5148),"x","")</f>
        <v/>
      </c>
      <c r="AB5148" s="79" t="str">
        <f>IF(AND(OR(LEFT(TH!N5148,2)="15",LEFT(TH!O5148,2)="15"),LEFT(TH!O5148,3)&lt;&gt;"111",'152-CT'!$J$8=TH!F5148),"x","")</f>
        <v/>
      </c>
      <c r="AC5148" s="79" t="str">
        <f>IF(AND(OR(LEFT(TH!N5148,2)="15",LEFT(TH!O5148,2)="15"),TK!$E$7=TH!F5148),"x","")</f>
        <v/>
      </c>
      <c r="AD5148" s="79" t="str">
        <f>IF(AND(N5148="1521",MONTH(C5148)='BK-NL'!$M$11),"x","")</f>
        <v/>
      </c>
    </row>
    <row r="5149" spans="1:30" ht="16.5" customHeight="1">
      <c r="A5149" s="318" t="str">
        <f>IF(B5149&lt;&gt;"",IF(AND(B5149='[3]IN-TC'!$S$4,OR([3]TH!N4371="1111",[3]TH!O4371="1111")),[3]TH!D4371,""),"")</f>
        <v/>
      </c>
      <c r="B5149" s="60" t="str">
        <f t="shared" si="501"/>
        <v/>
      </c>
      <c r="C5149" s="301"/>
      <c r="D5149" s="301"/>
      <c r="E5149" s="61"/>
      <c r="F5149" s="303"/>
      <c r="G5149" s="302"/>
      <c r="H5149" s="303"/>
      <c r="I5149" s="385"/>
      <c r="J5149" s="395"/>
      <c r="K5149" s="387"/>
      <c r="L5149" s="394"/>
      <c r="M5149" s="62"/>
      <c r="N5149" s="63"/>
      <c r="O5149" s="63"/>
      <c r="P5149" s="79" t="str">
        <f>IF(AND('331-CT'!$E$7=TH!H5149,OR(N5149="331",O5149="331")),"x","")</f>
        <v/>
      </c>
      <c r="Q5149" s="79" t="str">
        <f>IF(AND(B5149='111'!$L$11,OR($N5149=$Q$7,$O5149=$Q$7)),"x","")</f>
        <v/>
      </c>
      <c r="R5149" s="79" t="str">
        <f>IF(AND($N5149=$Q$7,$B5149&lt;'111'!$L$11),"x","")</f>
        <v/>
      </c>
      <c r="S5149" s="79" t="str">
        <f>IF(AND($O5149=$Q$7,$B5149&lt;'111'!$L$11),"x","")</f>
        <v/>
      </c>
      <c r="T5149" s="79" t="str">
        <f>IF(ISERROR(FIND('112'!$M$9,G5149,1)),"",IF((AND(FIND('112'!$M$9,G5149,1)&gt;=1,B5149='112'!$K$9,OR($N5149='112'!$I$6,$O5149='112'!$I$6))),"x",""))</f>
        <v/>
      </c>
      <c r="U5149" s="79" t="str">
        <f>IF(ISERROR(FIND('112'!$M$9,G5149,1)),"",IF((AND(LEFT(G5149,2)=LEFT('112'!$M$9,2),B5149&lt;'112'!$K$9,$N5149='112'!$I$6)),"x",""))</f>
        <v/>
      </c>
      <c r="V5149" s="79" t="str">
        <f>IF(ISERROR(FIND('112'!$M$9,G5149,1)),"",IF((AND(RIGHT(G5149,2)=RIGHT('112'!$M$9,2),B5149&lt;'112'!$K$9,$O5149='112'!$I$6)),"x",""))</f>
        <v/>
      </c>
      <c r="W5149" s="79" t="str">
        <f>IF(AND('341-CT'!$H$9=H5149,OR(LEFT(N5149,3)=$W$7,LEFT(O5149,3)=$W$7)),"x","")</f>
        <v/>
      </c>
      <c r="X5149" s="79" t="str">
        <f>IF(OR(TH!N5149=TH!$X$7,O5149=TH!$X$7),"x","")</f>
        <v/>
      </c>
      <c r="Y5149" s="79" t="str">
        <f>IF(AND(OR(N5149="131",O5149="131"),H5149='131-CT'!$H$9),"x","")</f>
        <v/>
      </c>
      <c r="Z5149" s="79"/>
      <c r="AA5149" s="79" t="str">
        <f>IF(AND(MONTH(E5149)='IN-NX'!$J$5,'IN-NX'!$D$7=D5149),"x","")</f>
        <v/>
      </c>
      <c r="AB5149" s="79" t="str">
        <f>IF(AND(OR(LEFT(TH!N5149,2)="15",LEFT(TH!O5149,2)="15"),LEFT(TH!O5149,3)&lt;&gt;"111",'152-CT'!$J$8=TH!F5149),"x","")</f>
        <v/>
      </c>
      <c r="AC5149" s="79" t="str">
        <f>IF(AND(OR(LEFT(TH!N5149,2)="15",LEFT(TH!O5149,2)="15"),TK!$E$7=TH!F5149),"x","")</f>
        <v/>
      </c>
      <c r="AD5149" s="79" t="str">
        <f>IF(AND(N5149="1521",MONTH(C5149)='BK-NL'!$M$11),"x","")</f>
        <v/>
      </c>
    </row>
    <row r="5150" spans="1:30" ht="16.5" customHeight="1">
      <c r="A5150" s="318" t="str">
        <f>IF(B5150&lt;&gt;"",IF(AND(B5150='[3]IN-TC'!$S$4,OR([3]TH!N4372="1111",[3]TH!O4372="1111")),[3]TH!D4372,""),"")</f>
        <v/>
      </c>
      <c r="B5150" s="60" t="str">
        <f t="shared" si="501"/>
        <v/>
      </c>
      <c r="C5150" s="301"/>
      <c r="D5150" s="301"/>
      <c r="E5150" s="61"/>
      <c r="F5150" s="303"/>
      <c r="G5150" s="302"/>
      <c r="H5150" s="303"/>
      <c r="I5150" s="385"/>
      <c r="J5150" s="395"/>
      <c r="K5150" s="387"/>
      <c r="L5150" s="394"/>
      <c r="M5150" s="62"/>
      <c r="N5150" s="63"/>
      <c r="O5150" s="63"/>
      <c r="P5150" s="79" t="str">
        <f>IF(AND('331-CT'!$E$7=TH!H5150,OR(N5150="331",O5150="331")),"x","")</f>
        <v/>
      </c>
      <c r="Q5150" s="79" t="str">
        <f>IF(AND(B5150='111'!$L$11,OR($N5150=$Q$7,$O5150=$Q$7)),"x","")</f>
        <v/>
      </c>
      <c r="R5150" s="79" t="str">
        <f>IF(AND($N5150=$Q$7,$B5150&lt;'111'!$L$11),"x","")</f>
        <v/>
      </c>
      <c r="S5150" s="79" t="str">
        <f>IF(AND($O5150=$Q$7,$B5150&lt;'111'!$L$11),"x","")</f>
        <v/>
      </c>
      <c r="T5150" s="79" t="str">
        <f>IF(ISERROR(FIND('112'!$M$9,G5150,1)),"",IF((AND(FIND('112'!$M$9,G5150,1)&gt;=1,B5150='112'!$K$9,OR($N5150='112'!$I$6,$O5150='112'!$I$6))),"x",""))</f>
        <v/>
      </c>
      <c r="U5150" s="79" t="str">
        <f>IF(ISERROR(FIND('112'!$M$9,G5150,1)),"",IF((AND(LEFT(G5150,2)=LEFT('112'!$M$9,2),B5150&lt;'112'!$K$9,$N5150='112'!$I$6)),"x",""))</f>
        <v/>
      </c>
      <c r="V5150" s="79" t="str">
        <f>IF(ISERROR(FIND('112'!$M$9,G5150,1)),"",IF((AND(RIGHT(G5150,2)=RIGHT('112'!$M$9,2),B5150&lt;'112'!$K$9,$O5150='112'!$I$6)),"x",""))</f>
        <v/>
      </c>
      <c r="W5150" s="79" t="str">
        <f>IF(AND('341-CT'!$H$9=H5150,OR(LEFT(N5150,3)=$W$7,LEFT(O5150,3)=$W$7)),"x","")</f>
        <v/>
      </c>
      <c r="X5150" s="79" t="str">
        <f>IF(OR(TH!N5150=TH!$X$7,O5150=TH!$X$7),"x","")</f>
        <v/>
      </c>
      <c r="Y5150" s="79" t="str">
        <f>IF(AND(OR(N5150="131",O5150="131"),H5150='131-CT'!$H$9),"x","")</f>
        <v/>
      </c>
      <c r="Z5150" s="79"/>
      <c r="AA5150" s="79" t="str">
        <f>IF(AND(MONTH(E5150)='IN-NX'!$J$5,'IN-NX'!$D$7=D5150),"x","")</f>
        <v/>
      </c>
      <c r="AB5150" s="79" t="str">
        <f>IF(AND(OR(LEFT(TH!N5150,2)="15",LEFT(TH!O5150,2)="15"),LEFT(TH!O5150,3)&lt;&gt;"111",'152-CT'!$J$8=TH!F5150),"x","")</f>
        <v/>
      </c>
      <c r="AC5150" s="79" t="str">
        <f>IF(AND(OR(LEFT(TH!N5150,2)="15",LEFT(TH!O5150,2)="15"),TK!$E$7=TH!F5150),"x","")</f>
        <v/>
      </c>
      <c r="AD5150" s="79" t="str">
        <f>IF(AND(N5150="1521",MONTH(C5150)='BK-NL'!$M$11),"x","")</f>
        <v/>
      </c>
    </row>
    <row r="5151" spans="1:30" ht="16.5" customHeight="1">
      <c r="A5151" s="318" t="str">
        <f>IF(B5151&lt;&gt;"",IF(AND(B5151='[3]IN-TC'!$S$4,OR([3]TH!N4373="1111",[3]TH!O4373="1111")),[3]TH!D4373,""),"")</f>
        <v/>
      </c>
      <c r="B5151" s="60" t="str">
        <f t="shared" si="501"/>
        <v/>
      </c>
      <c r="C5151" s="301"/>
      <c r="D5151" s="301"/>
      <c r="E5151" s="61"/>
      <c r="F5151" s="303"/>
      <c r="G5151" s="302"/>
      <c r="H5151" s="303"/>
      <c r="I5151" s="385"/>
      <c r="J5151" s="395"/>
      <c r="K5151" s="387"/>
      <c r="L5151" s="394"/>
      <c r="M5151" s="62"/>
      <c r="N5151" s="63"/>
      <c r="O5151" s="63"/>
      <c r="P5151" s="79" t="str">
        <f>IF(AND('331-CT'!$E$7=TH!H5151,OR(N5151="331",O5151="331")),"x","")</f>
        <v/>
      </c>
      <c r="Q5151" s="79" t="str">
        <f>IF(AND(B5151='111'!$L$11,OR($N5151=$Q$7,$O5151=$Q$7)),"x","")</f>
        <v/>
      </c>
      <c r="R5151" s="79" t="str">
        <f>IF(AND($N5151=$Q$7,$B5151&lt;'111'!$L$11),"x","")</f>
        <v/>
      </c>
      <c r="S5151" s="79" t="str">
        <f>IF(AND($O5151=$Q$7,$B5151&lt;'111'!$L$11),"x","")</f>
        <v/>
      </c>
      <c r="T5151" s="79" t="str">
        <f>IF(ISERROR(FIND('112'!$M$9,G5151,1)),"",IF((AND(FIND('112'!$M$9,G5151,1)&gt;=1,B5151='112'!$K$9,OR($N5151='112'!$I$6,$O5151='112'!$I$6))),"x",""))</f>
        <v/>
      </c>
      <c r="U5151" s="79" t="str">
        <f>IF(ISERROR(FIND('112'!$M$9,G5151,1)),"",IF((AND(LEFT(G5151,2)=LEFT('112'!$M$9,2),B5151&lt;'112'!$K$9,$N5151='112'!$I$6)),"x",""))</f>
        <v/>
      </c>
      <c r="V5151" s="79" t="str">
        <f>IF(ISERROR(FIND('112'!$M$9,G5151,1)),"",IF((AND(RIGHT(G5151,2)=RIGHT('112'!$M$9,2),B5151&lt;'112'!$K$9,$O5151='112'!$I$6)),"x",""))</f>
        <v/>
      </c>
      <c r="W5151" s="79" t="str">
        <f>IF(AND('341-CT'!$H$9=H5151,OR(LEFT(N5151,3)=$W$7,LEFT(O5151,3)=$W$7)),"x","")</f>
        <v/>
      </c>
      <c r="X5151" s="79" t="str">
        <f>IF(OR(TH!N5151=TH!$X$7,O5151=TH!$X$7),"x","")</f>
        <v/>
      </c>
      <c r="Y5151" s="79" t="str">
        <f>IF(AND(OR(N5151="131",O5151="131"),H5151='131-CT'!$H$9),"x","")</f>
        <v/>
      </c>
      <c r="Z5151" s="79"/>
      <c r="AA5151" s="79" t="str">
        <f>IF(AND(MONTH(E5151)='IN-NX'!$J$5,'IN-NX'!$D$7=D5151),"x","")</f>
        <v/>
      </c>
      <c r="AB5151" s="79" t="str">
        <f>IF(AND(OR(LEFT(TH!N5151,2)="15",LEFT(TH!O5151,2)="15"),LEFT(TH!O5151,3)&lt;&gt;"111",'152-CT'!$J$8=TH!F5151),"x","")</f>
        <v/>
      </c>
      <c r="AC5151" s="79" t="str">
        <f>IF(AND(OR(LEFT(TH!N5151,2)="15",LEFT(TH!O5151,2)="15"),TK!$E$7=TH!F5151),"x","")</f>
        <v/>
      </c>
      <c r="AD5151" s="79" t="str">
        <f>IF(AND(N5151="1521",MONTH(C5151)='BK-NL'!$M$11),"x","")</f>
        <v/>
      </c>
    </row>
    <row r="5152" spans="1:30" ht="16.5" customHeight="1">
      <c r="A5152" s="318" t="str">
        <f>IF(B5152&lt;&gt;"",IF(AND(B5152='[3]IN-TC'!$S$4,OR([3]TH!N4374="1111",[3]TH!O4374="1111")),[3]TH!D4374,""),"")</f>
        <v/>
      </c>
      <c r="B5152" s="60" t="str">
        <f t="shared" si="501"/>
        <v/>
      </c>
      <c r="C5152" s="301"/>
      <c r="D5152" s="301"/>
      <c r="E5152" s="61"/>
      <c r="F5152" s="303"/>
      <c r="G5152" s="302"/>
      <c r="H5152" s="303"/>
      <c r="I5152" s="385"/>
      <c r="J5152" s="395"/>
      <c r="K5152" s="387"/>
      <c r="L5152" s="394"/>
      <c r="M5152" s="62"/>
      <c r="N5152" s="63"/>
      <c r="O5152" s="63"/>
      <c r="P5152" s="79" t="str">
        <f>IF(AND('331-CT'!$E$7=TH!H5152,OR(N5152="331",O5152="331")),"x","")</f>
        <v/>
      </c>
      <c r="Q5152" s="79" t="str">
        <f>IF(AND(B5152='111'!$L$11,OR($N5152=$Q$7,$O5152=$Q$7)),"x","")</f>
        <v/>
      </c>
      <c r="R5152" s="79" t="str">
        <f>IF(AND($N5152=$Q$7,$B5152&lt;'111'!$L$11),"x","")</f>
        <v/>
      </c>
      <c r="S5152" s="79" t="str">
        <f>IF(AND($O5152=$Q$7,$B5152&lt;'111'!$L$11),"x","")</f>
        <v/>
      </c>
      <c r="T5152" s="79" t="str">
        <f>IF(ISERROR(FIND('112'!$M$9,G5152,1)),"",IF((AND(FIND('112'!$M$9,G5152,1)&gt;=1,B5152='112'!$K$9,OR($N5152='112'!$I$6,$O5152='112'!$I$6))),"x",""))</f>
        <v/>
      </c>
      <c r="U5152" s="79" t="str">
        <f>IF(ISERROR(FIND('112'!$M$9,G5152,1)),"",IF((AND(LEFT(G5152,2)=LEFT('112'!$M$9,2),B5152&lt;'112'!$K$9,$N5152='112'!$I$6)),"x",""))</f>
        <v/>
      </c>
      <c r="V5152" s="79" t="str">
        <f>IF(ISERROR(FIND('112'!$M$9,G5152,1)),"",IF((AND(RIGHT(G5152,2)=RIGHT('112'!$M$9,2),B5152&lt;'112'!$K$9,$O5152='112'!$I$6)),"x",""))</f>
        <v/>
      </c>
      <c r="W5152" s="79" t="str">
        <f>IF(AND('341-CT'!$H$9=H5152,OR(LEFT(N5152,3)=$W$7,LEFT(O5152,3)=$W$7)),"x","")</f>
        <v/>
      </c>
      <c r="X5152" s="79" t="str">
        <f>IF(OR(TH!N5152=TH!$X$7,O5152=TH!$X$7),"x","")</f>
        <v/>
      </c>
      <c r="Y5152" s="79" t="str">
        <f>IF(AND(OR(N5152="131",O5152="131"),H5152='131-CT'!$H$9),"x","")</f>
        <v/>
      </c>
      <c r="Z5152" s="79"/>
      <c r="AA5152" s="79" t="str">
        <f>IF(AND(MONTH(E5152)='IN-NX'!$J$5,'IN-NX'!$D$7=D5152),"x","")</f>
        <v/>
      </c>
      <c r="AB5152" s="79" t="str">
        <f>IF(AND(OR(LEFT(TH!N5152,2)="15",LEFT(TH!O5152,2)="15"),LEFT(TH!O5152,3)&lt;&gt;"111",'152-CT'!$J$8=TH!F5152),"x","")</f>
        <v/>
      </c>
      <c r="AC5152" s="79" t="str">
        <f>IF(AND(OR(LEFT(TH!N5152,2)="15",LEFT(TH!O5152,2)="15"),TK!$E$7=TH!F5152),"x","")</f>
        <v/>
      </c>
      <c r="AD5152" s="79" t="str">
        <f>IF(AND(N5152="1521",MONTH(C5152)='BK-NL'!$M$11),"x","")</f>
        <v/>
      </c>
    </row>
    <row r="5153" spans="1:30" ht="16.5" customHeight="1">
      <c r="A5153" s="318" t="str">
        <f>IF(B5153&lt;&gt;"",IF(AND(B5153='[3]IN-TC'!$S$4,OR([3]TH!N4375="1111",[3]TH!O4375="1111")),[3]TH!D4375,""),"")</f>
        <v/>
      </c>
      <c r="B5153" s="60" t="str">
        <f t="shared" si="501"/>
        <v/>
      </c>
      <c r="C5153" s="301"/>
      <c r="D5153" s="301"/>
      <c r="E5153" s="61"/>
      <c r="F5153" s="303"/>
      <c r="G5153" s="302"/>
      <c r="H5153" s="303"/>
      <c r="I5153" s="385"/>
      <c r="J5153" s="395"/>
      <c r="K5153" s="387"/>
      <c r="L5153" s="394"/>
      <c r="M5153" s="62"/>
      <c r="N5153" s="63"/>
      <c r="O5153" s="63"/>
      <c r="P5153" s="79" t="str">
        <f>IF(AND('331-CT'!$E$7=TH!H5153,OR(N5153="331",O5153="331")),"x","")</f>
        <v/>
      </c>
      <c r="Q5153" s="79" t="str">
        <f>IF(AND(B5153='111'!$L$11,OR($N5153=$Q$7,$O5153=$Q$7)),"x","")</f>
        <v/>
      </c>
      <c r="R5153" s="79" t="str">
        <f>IF(AND($N5153=$Q$7,$B5153&lt;'111'!$L$11),"x","")</f>
        <v/>
      </c>
      <c r="S5153" s="79" t="str">
        <f>IF(AND($O5153=$Q$7,$B5153&lt;'111'!$L$11),"x","")</f>
        <v/>
      </c>
      <c r="T5153" s="79" t="str">
        <f>IF(ISERROR(FIND('112'!$M$9,G5153,1)),"",IF((AND(FIND('112'!$M$9,G5153,1)&gt;=1,B5153='112'!$K$9,OR($N5153='112'!$I$6,$O5153='112'!$I$6))),"x",""))</f>
        <v/>
      </c>
      <c r="U5153" s="79" t="str">
        <f>IF(ISERROR(FIND('112'!$M$9,G5153,1)),"",IF((AND(LEFT(G5153,2)=LEFT('112'!$M$9,2),B5153&lt;'112'!$K$9,$N5153='112'!$I$6)),"x",""))</f>
        <v/>
      </c>
      <c r="V5153" s="79" t="str">
        <f>IF(ISERROR(FIND('112'!$M$9,G5153,1)),"",IF((AND(RIGHT(G5153,2)=RIGHT('112'!$M$9,2),B5153&lt;'112'!$K$9,$O5153='112'!$I$6)),"x",""))</f>
        <v/>
      </c>
      <c r="W5153" s="79" t="str">
        <f>IF(AND('341-CT'!$H$9=H5153,OR(LEFT(N5153,3)=$W$7,LEFT(O5153,3)=$W$7)),"x","")</f>
        <v/>
      </c>
      <c r="X5153" s="79" t="str">
        <f>IF(OR(TH!N5153=TH!$X$7,O5153=TH!$X$7),"x","")</f>
        <v/>
      </c>
      <c r="Y5153" s="79" t="str">
        <f>IF(AND(OR(N5153="131",O5153="131"),H5153='131-CT'!$H$9),"x","")</f>
        <v/>
      </c>
      <c r="Z5153" s="79"/>
      <c r="AA5153" s="79" t="str">
        <f>IF(AND(MONTH(E5153)='IN-NX'!$J$5,'IN-NX'!$D$7=D5153),"x","")</f>
        <v/>
      </c>
      <c r="AB5153" s="79" t="str">
        <f>IF(AND(OR(LEFT(TH!N5153,2)="15",LEFT(TH!O5153,2)="15"),LEFT(TH!O5153,3)&lt;&gt;"111",'152-CT'!$J$8=TH!F5153),"x","")</f>
        <v/>
      </c>
      <c r="AC5153" s="79" t="str">
        <f>IF(AND(OR(LEFT(TH!N5153,2)="15",LEFT(TH!O5153,2)="15"),TK!$E$7=TH!F5153),"x","")</f>
        <v/>
      </c>
      <c r="AD5153" s="79" t="str">
        <f>IF(AND(N5153="1521",MONTH(C5153)='BK-NL'!$M$11),"x","")</f>
        <v/>
      </c>
    </row>
    <row r="5154" spans="1:30" ht="16.5" customHeight="1">
      <c r="A5154" s="318" t="str">
        <f>IF(B5154&lt;&gt;"",IF(AND(B5154='[3]IN-TC'!$S$4,OR([3]TH!N4376="1111",[3]TH!O4376="1111")),[3]TH!D4376,""),"")</f>
        <v/>
      </c>
      <c r="B5154" s="60" t="str">
        <f t="shared" si="501"/>
        <v/>
      </c>
      <c r="C5154" s="301"/>
      <c r="D5154" s="301"/>
      <c r="E5154" s="61"/>
      <c r="F5154" s="303"/>
      <c r="G5154" s="302"/>
      <c r="H5154" s="303"/>
      <c r="I5154" s="385"/>
      <c r="J5154" s="395"/>
      <c r="K5154" s="387"/>
      <c r="L5154" s="394"/>
      <c r="M5154" s="62"/>
      <c r="N5154" s="63"/>
      <c r="O5154" s="63"/>
      <c r="P5154" s="79" t="str">
        <f>IF(AND('331-CT'!$E$7=TH!H5154,OR(N5154="331",O5154="331")),"x","")</f>
        <v/>
      </c>
      <c r="Q5154" s="79" t="str">
        <f>IF(AND(B5154='111'!$L$11,OR($N5154=$Q$7,$O5154=$Q$7)),"x","")</f>
        <v/>
      </c>
      <c r="R5154" s="79" t="str">
        <f>IF(AND($N5154=$Q$7,$B5154&lt;'111'!$L$11),"x","")</f>
        <v/>
      </c>
      <c r="S5154" s="79" t="str">
        <f>IF(AND($O5154=$Q$7,$B5154&lt;'111'!$L$11),"x","")</f>
        <v/>
      </c>
      <c r="T5154" s="79" t="str">
        <f>IF(ISERROR(FIND('112'!$M$9,G5154,1)),"",IF((AND(FIND('112'!$M$9,G5154,1)&gt;=1,B5154='112'!$K$9,OR($N5154='112'!$I$6,$O5154='112'!$I$6))),"x",""))</f>
        <v/>
      </c>
      <c r="U5154" s="79" t="str">
        <f>IF(ISERROR(FIND('112'!$M$9,G5154,1)),"",IF((AND(LEFT(G5154,2)=LEFT('112'!$M$9,2),B5154&lt;'112'!$K$9,$N5154='112'!$I$6)),"x",""))</f>
        <v/>
      </c>
      <c r="V5154" s="79" t="str">
        <f>IF(ISERROR(FIND('112'!$M$9,G5154,1)),"",IF((AND(RIGHT(G5154,2)=RIGHT('112'!$M$9,2),B5154&lt;'112'!$K$9,$O5154='112'!$I$6)),"x",""))</f>
        <v/>
      </c>
      <c r="W5154" s="79" t="str">
        <f>IF(AND('341-CT'!$H$9=H5154,OR(LEFT(N5154,3)=$W$7,LEFT(O5154,3)=$W$7)),"x","")</f>
        <v/>
      </c>
      <c r="X5154" s="79" t="str">
        <f>IF(OR(TH!N5154=TH!$X$7,O5154=TH!$X$7),"x","")</f>
        <v/>
      </c>
      <c r="Y5154" s="79" t="str">
        <f>IF(AND(OR(N5154="131",O5154="131"),H5154='131-CT'!$H$9),"x","")</f>
        <v/>
      </c>
      <c r="Z5154" s="79"/>
      <c r="AA5154" s="79" t="str">
        <f>IF(AND(MONTH(E5154)='IN-NX'!$J$5,'IN-NX'!$D$7=D5154),"x","")</f>
        <v/>
      </c>
      <c r="AB5154" s="79" t="str">
        <f>IF(AND(OR(LEFT(TH!N5154,2)="15",LEFT(TH!O5154,2)="15"),LEFT(TH!O5154,3)&lt;&gt;"111",'152-CT'!$J$8=TH!F5154),"x","")</f>
        <v/>
      </c>
      <c r="AC5154" s="79" t="str">
        <f>IF(AND(OR(LEFT(TH!N5154,2)="15",LEFT(TH!O5154,2)="15"),TK!$E$7=TH!F5154),"x","")</f>
        <v/>
      </c>
      <c r="AD5154" s="79" t="str">
        <f>IF(AND(N5154="1521",MONTH(C5154)='BK-NL'!$M$11),"x","")</f>
        <v/>
      </c>
    </row>
    <row r="5155" spans="1:30" ht="16.5" customHeight="1">
      <c r="A5155" s="318" t="str">
        <f>IF(B5155&lt;&gt;"",IF(AND(B5155='[3]IN-TC'!$S$4,OR([3]TH!N4377="1111",[3]TH!O4377="1111")),[3]TH!D4377,""),"")</f>
        <v/>
      </c>
      <c r="B5155" s="60" t="str">
        <f t="shared" si="501"/>
        <v/>
      </c>
      <c r="C5155" s="61"/>
      <c r="D5155" s="61"/>
      <c r="E5155" s="61"/>
      <c r="F5155" s="64"/>
      <c r="G5155" s="64"/>
      <c r="H5155" s="69"/>
      <c r="I5155" s="387"/>
      <c r="J5155" s="395"/>
      <c r="K5155" s="387"/>
      <c r="L5155" s="394"/>
      <c r="M5155" s="62"/>
      <c r="N5155" s="63"/>
      <c r="O5155" s="63"/>
      <c r="P5155" s="79" t="str">
        <f>IF(AND('331-CT'!$E$7=TH!H5155,OR(N5155="331",O5155="331")),"x","")</f>
        <v/>
      </c>
      <c r="Q5155" s="79" t="str">
        <f>IF(AND(B5155='111'!$L$11,OR($N5155=$Q$7,$O5155=$Q$7)),"x","")</f>
        <v/>
      </c>
      <c r="R5155" s="79" t="str">
        <f>IF(AND($N5155=$Q$7,$B5155&lt;'111'!$L$11),"x","")</f>
        <v/>
      </c>
      <c r="S5155" s="79" t="str">
        <f>IF(AND($O5155=$Q$7,$B5155&lt;'111'!$L$11),"x","")</f>
        <v/>
      </c>
      <c r="T5155" s="79" t="str">
        <f>IF(ISERROR(FIND('112'!$M$9,G5155,1)),"",IF((AND(FIND('112'!$M$9,G5155,1)&gt;=1,B5155='112'!$K$9,OR($N5155='112'!$I$6,$O5155='112'!$I$6))),"x",""))</f>
        <v/>
      </c>
      <c r="U5155" s="79" t="str">
        <f>IF(ISERROR(FIND('112'!$M$9,G5155,1)),"",IF((AND(LEFT(G5155,2)=LEFT('112'!$M$9,2),B5155&lt;'112'!$K$9,$N5155='112'!$I$6)),"x",""))</f>
        <v/>
      </c>
      <c r="V5155" s="79" t="str">
        <f>IF(ISERROR(FIND('112'!$M$9,G5155,1)),"",IF((AND(RIGHT(G5155,2)=RIGHT('112'!$M$9,2),B5155&lt;'112'!$K$9,$O5155='112'!$I$6)),"x",""))</f>
        <v/>
      </c>
      <c r="W5155" s="79" t="str">
        <f>IF(AND('341-CT'!$H$9=H5155,OR(LEFT(N5155,3)=$W$7,LEFT(O5155,3)=$W$7)),"x","")</f>
        <v/>
      </c>
      <c r="X5155" s="79" t="str">
        <f>IF(OR(TH!N5155=TH!$X$7,O5155=TH!$X$7),"x","")</f>
        <v/>
      </c>
      <c r="Y5155" s="79" t="str">
        <f>IF(AND(OR(N5155="131",O5155="131"),H5155='131-CT'!$H$9),"x","")</f>
        <v/>
      </c>
      <c r="Z5155" s="79"/>
      <c r="AA5155" s="79" t="str">
        <f>IF(AND(MONTH(E5155)='IN-NX'!$J$5,'IN-NX'!$D$7=D5155),"x","")</f>
        <v/>
      </c>
      <c r="AB5155" s="79" t="str">
        <f>IF(AND(OR(LEFT(TH!N5155,2)="15",LEFT(TH!O5155,2)="15"),LEFT(TH!O5155,3)&lt;&gt;"111",'152-CT'!$J$8=TH!F5155),"x","")</f>
        <v/>
      </c>
      <c r="AC5155" s="79" t="str">
        <f>IF(AND(OR(LEFT(TH!N5155,2)="15",LEFT(TH!O5155,2)="15"),TK!$E$7=TH!F5155),"x","")</f>
        <v/>
      </c>
      <c r="AD5155" s="79" t="str">
        <f>IF(AND(N5155="1521",MONTH(C5155)='BK-NL'!$M$11),"x","")</f>
        <v/>
      </c>
    </row>
    <row r="5156" spans="1:30" ht="16.5" customHeight="1">
      <c r="A5156" s="318" t="str">
        <f>IF(B5156&lt;&gt;"",IF(AND(B5156='[3]IN-TC'!$S$4,OR([3]TH!N4378="1111",[3]TH!O4378="1111")),[3]TH!D4378,""),"")</f>
        <v/>
      </c>
      <c r="B5156" s="60" t="str">
        <f t="shared" si="501"/>
        <v/>
      </c>
      <c r="C5156" s="61"/>
      <c r="D5156" s="61"/>
      <c r="E5156" s="61"/>
      <c r="F5156" s="64"/>
      <c r="G5156" s="64"/>
      <c r="H5156" s="69"/>
      <c r="I5156" s="387"/>
      <c r="J5156" s="395"/>
      <c r="K5156" s="387"/>
      <c r="L5156" s="394"/>
      <c r="M5156" s="62"/>
      <c r="N5156" s="63"/>
      <c r="O5156" s="63"/>
      <c r="P5156" s="79" t="str">
        <f>IF(AND('331-CT'!$E$7=TH!H5156,OR(N5156="331",O5156="331")),"x","")</f>
        <v/>
      </c>
      <c r="Q5156" s="79" t="str">
        <f>IF(AND(B5156='111'!$L$11,OR($N5156=$Q$7,$O5156=$Q$7)),"x","")</f>
        <v/>
      </c>
      <c r="R5156" s="79" t="str">
        <f>IF(AND($N5156=$Q$7,$B5156&lt;'111'!$L$11),"x","")</f>
        <v/>
      </c>
      <c r="S5156" s="79" t="str">
        <f>IF(AND($O5156=$Q$7,$B5156&lt;'111'!$L$11),"x","")</f>
        <v/>
      </c>
      <c r="T5156" s="79" t="str">
        <f>IF(ISERROR(FIND('112'!$M$9,G5156,1)),"",IF((AND(FIND('112'!$M$9,G5156,1)&gt;=1,B5156='112'!$K$9,OR($N5156='112'!$I$6,$O5156='112'!$I$6))),"x",""))</f>
        <v/>
      </c>
      <c r="U5156" s="79" t="str">
        <f>IF(ISERROR(FIND('112'!$M$9,G5156,1)),"",IF((AND(LEFT(G5156,2)=LEFT('112'!$M$9,2),B5156&lt;'112'!$K$9,$N5156='112'!$I$6)),"x",""))</f>
        <v/>
      </c>
      <c r="V5156" s="79" t="str">
        <f>IF(ISERROR(FIND('112'!$M$9,G5156,1)),"",IF((AND(RIGHT(G5156,2)=RIGHT('112'!$M$9,2),B5156&lt;'112'!$K$9,$O5156='112'!$I$6)),"x",""))</f>
        <v/>
      </c>
      <c r="W5156" s="79" t="str">
        <f>IF(AND('341-CT'!$H$9=H5156,OR(LEFT(N5156,3)=$W$7,LEFT(O5156,3)=$W$7)),"x","")</f>
        <v/>
      </c>
      <c r="X5156" s="79" t="str">
        <f>IF(OR(TH!N5156=TH!$X$7,O5156=TH!$X$7),"x","")</f>
        <v/>
      </c>
      <c r="Y5156" s="79" t="str">
        <f>IF(AND(OR(N5156="131",O5156="131"),H5156='131-CT'!$H$9),"x","")</f>
        <v/>
      </c>
      <c r="Z5156" s="79"/>
      <c r="AA5156" s="79" t="str">
        <f>IF(AND(MONTH(E5156)='IN-NX'!$J$5,'IN-NX'!$D$7=D5156),"x","")</f>
        <v/>
      </c>
      <c r="AB5156" s="79" t="str">
        <f>IF(AND(OR(LEFT(TH!N5156,2)="15",LEFT(TH!O5156,2)="15"),LEFT(TH!O5156,3)&lt;&gt;"111",'152-CT'!$J$8=TH!F5156),"x","")</f>
        <v/>
      </c>
      <c r="AC5156" s="79" t="str">
        <f>IF(AND(OR(LEFT(TH!N5156,2)="15",LEFT(TH!O5156,2)="15"),TK!$E$7=TH!F5156),"x","")</f>
        <v/>
      </c>
      <c r="AD5156" s="79" t="str">
        <f>IF(AND(N5156="1521",MONTH(C5156)='BK-NL'!$M$11),"x","")</f>
        <v/>
      </c>
    </row>
    <row r="5157" spans="1:30" ht="16.5" customHeight="1">
      <c r="A5157" s="318" t="str">
        <f>IF(B5157&lt;&gt;"",IF(AND(B5157='[3]IN-TC'!$S$4,OR([3]TH!N4379="1111",[3]TH!O4379="1111")),[3]TH!D4379,""),"")</f>
        <v/>
      </c>
      <c r="B5157" s="60" t="str">
        <f t="shared" si="501"/>
        <v/>
      </c>
      <c r="C5157" s="61"/>
      <c r="D5157" s="61"/>
      <c r="E5157" s="61"/>
      <c r="F5157" s="64"/>
      <c r="G5157" s="64"/>
      <c r="H5157" s="69"/>
      <c r="I5157" s="387"/>
      <c r="J5157" s="395"/>
      <c r="K5157" s="387"/>
      <c r="L5157" s="394"/>
      <c r="M5157" s="62"/>
      <c r="N5157" s="63"/>
      <c r="O5157" s="63"/>
      <c r="P5157" s="79" t="str">
        <f>IF(AND('331-CT'!$E$7=TH!H5157,OR(N5157="331",O5157="331")),"x","")</f>
        <v/>
      </c>
      <c r="Q5157" s="79" t="str">
        <f>IF(AND(B5157='111'!$L$11,OR($N5157=$Q$7,$O5157=$Q$7)),"x","")</f>
        <v/>
      </c>
      <c r="R5157" s="79" t="str">
        <f>IF(AND($N5157=$Q$7,$B5157&lt;'111'!$L$11),"x","")</f>
        <v/>
      </c>
      <c r="S5157" s="79" t="str">
        <f>IF(AND($O5157=$Q$7,$B5157&lt;'111'!$L$11),"x","")</f>
        <v/>
      </c>
      <c r="T5157" s="79" t="str">
        <f>IF(ISERROR(FIND('112'!$M$9,G5157,1)),"",IF((AND(FIND('112'!$M$9,G5157,1)&gt;=1,B5157='112'!$K$9,OR($N5157='112'!$I$6,$O5157='112'!$I$6))),"x",""))</f>
        <v/>
      </c>
      <c r="U5157" s="79" t="str">
        <f>IF(ISERROR(FIND('112'!$M$9,G5157,1)),"",IF((AND(LEFT(G5157,2)=LEFT('112'!$M$9,2),B5157&lt;'112'!$K$9,$N5157='112'!$I$6)),"x",""))</f>
        <v/>
      </c>
      <c r="V5157" s="79" t="str">
        <f>IF(ISERROR(FIND('112'!$M$9,G5157,1)),"",IF((AND(RIGHT(G5157,2)=RIGHT('112'!$M$9,2),B5157&lt;'112'!$K$9,$O5157='112'!$I$6)),"x",""))</f>
        <v/>
      </c>
      <c r="W5157" s="79" t="str">
        <f>IF(AND('341-CT'!$H$9=H5157,OR(LEFT(N5157,3)=$W$7,LEFT(O5157,3)=$W$7)),"x","")</f>
        <v/>
      </c>
      <c r="X5157" s="79" t="str">
        <f>IF(OR(TH!N5157=TH!$X$7,O5157=TH!$X$7),"x","")</f>
        <v/>
      </c>
      <c r="Y5157" s="79" t="str">
        <f>IF(AND(OR(N5157="131",O5157="131"),H5157='131-CT'!$H$9),"x","")</f>
        <v/>
      </c>
      <c r="Z5157" s="79"/>
      <c r="AA5157" s="79" t="str">
        <f>IF(AND(MONTH(E5157)='IN-NX'!$J$5,'IN-NX'!$D$7=D5157),"x","")</f>
        <v/>
      </c>
      <c r="AB5157" s="79" t="str">
        <f>IF(AND(OR(LEFT(TH!N5157,2)="15",LEFT(TH!O5157,2)="15"),LEFT(TH!O5157,3)&lt;&gt;"111",'152-CT'!$J$8=TH!F5157),"x","")</f>
        <v/>
      </c>
      <c r="AC5157" s="79" t="str">
        <f>IF(AND(OR(LEFT(TH!N5157,2)="15",LEFT(TH!O5157,2)="15"),TK!$E$7=TH!F5157),"x","")</f>
        <v/>
      </c>
      <c r="AD5157" s="79" t="str">
        <f>IF(AND(N5157="1521",MONTH(C5157)='BK-NL'!$M$11),"x","")</f>
        <v/>
      </c>
    </row>
    <row r="5158" spans="1:30" ht="16.5" customHeight="1">
      <c r="A5158" s="318" t="str">
        <f>IF(B5158&lt;&gt;"",IF(AND(B5158='[3]IN-TC'!$S$4,OR([3]TH!N4380="1111",[3]TH!O4380="1111")),[3]TH!D4380,""),"")</f>
        <v/>
      </c>
      <c r="B5158" s="60" t="str">
        <f t="shared" si="501"/>
        <v/>
      </c>
      <c r="C5158" s="61"/>
      <c r="D5158" s="61"/>
      <c r="E5158" s="61"/>
      <c r="F5158" s="64"/>
      <c r="G5158" s="64"/>
      <c r="H5158" s="69"/>
      <c r="I5158" s="387"/>
      <c r="J5158" s="395"/>
      <c r="K5158" s="387"/>
      <c r="L5158" s="394"/>
      <c r="M5158" s="62"/>
      <c r="N5158" s="63"/>
      <c r="O5158" s="63"/>
      <c r="P5158" s="79" t="str">
        <f>IF(AND('331-CT'!$E$7=TH!H5158,OR(N5158="331",O5158="331")),"x","")</f>
        <v/>
      </c>
      <c r="Q5158" s="79" t="str">
        <f>IF(AND(B5158='111'!$L$11,OR($N5158=$Q$7,$O5158=$Q$7)),"x","")</f>
        <v/>
      </c>
      <c r="R5158" s="79" t="str">
        <f>IF(AND($N5158=$Q$7,$B5158&lt;'111'!$L$11),"x","")</f>
        <v/>
      </c>
      <c r="S5158" s="79" t="str">
        <f>IF(AND($O5158=$Q$7,$B5158&lt;'111'!$L$11),"x","")</f>
        <v/>
      </c>
      <c r="T5158" s="79" t="str">
        <f>IF(ISERROR(FIND('112'!$M$9,G5158,1)),"",IF((AND(FIND('112'!$M$9,G5158,1)&gt;=1,B5158='112'!$K$9,OR($N5158='112'!$I$6,$O5158='112'!$I$6))),"x",""))</f>
        <v/>
      </c>
      <c r="U5158" s="79" t="str">
        <f>IF(ISERROR(FIND('112'!$M$9,G5158,1)),"",IF((AND(LEFT(G5158,2)=LEFT('112'!$M$9,2),B5158&lt;'112'!$K$9,$N5158='112'!$I$6)),"x",""))</f>
        <v/>
      </c>
      <c r="V5158" s="79" t="str">
        <f>IF(ISERROR(FIND('112'!$M$9,G5158,1)),"",IF((AND(RIGHT(G5158,2)=RIGHT('112'!$M$9,2),B5158&lt;'112'!$K$9,$O5158='112'!$I$6)),"x",""))</f>
        <v/>
      </c>
      <c r="W5158" s="79" t="str">
        <f>IF(AND('341-CT'!$H$9=H5158,OR(LEFT(N5158,3)=$W$7,LEFT(O5158,3)=$W$7)),"x","")</f>
        <v/>
      </c>
      <c r="X5158" s="79" t="str">
        <f>IF(OR(TH!N5158=TH!$X$7,O5158=TH!$X$7),"x","")</f>
        <v/>
      </c>
      <c r="Y5158" s="79" t="str">
        <f>IF(AND(OR(N5158="131",O5158="131"),H5158='131-CT'!$H$9),"x","")</f>
        <v/>
      </c>
      <c r="Z5158" s="79"/>
      <c r="AA5158" s="79" t="str">
        <f>IF(AND(MONTH(E5158)='IN-NX'!$J$5,'IN-NX'!$D$7=D5158),"x","")</f>
        <v/>
      </c>
      <c r="AB5158" s="79" t="str">
        <f>IF(AND(OR(LEFT(TH!N5158,2)="15",LEFT(TH!O5158,2)="15"),LEFT(TH!O5158,3)&lt;&gt;"111",'152-CT'!$J$8=TH!F5158),"x","")</f>
        <v/>
      </c>
      <c r="AC5158" s="79" t="str">
        <f>IF(AND(OR(LEFT(TH!N5158,2)="15",LEFT(TH!O5158,2)="15"),TK!$E$7=TH!F5158),"x","")</f>
        <v/>
      </c>
      <c r="AD5158" s="79" t="str">
        <f>IF(AND(N5158="1521",MONTH(C5158)='BK-NL'!$M$11),"x","")</f>
        <v/>
      </c>
    </row>
    <row r="5159" spans="1:30" ht="16.5" customHeight="1">
      <c r="A5159" s="318" t="str">
        <f>IF(B5159&lt;&gt;"",IF(AND(B5159='[3]IN-TC'!$S$4,OR([3]TH!N4381="1111",[3]TH!O4381="1111")),[3]TH!D4381,""),"")</f>
        <v/>
      </c>
      <c r="B5159" s="60" t="str">
        <f t="shared" si="501"/>
        <v/>
      </c>
      <c r="C5159" s="61"/>
      <c r="D5159" s="61"/>
      <c r="E5159" s="61"/>
      <c r="F5159" s="64"/>
      <c r="G5159" s="64"/>
      <c r="H5159" s="69"/>
      <c r="I5159" s="387"/>
      <c r="J5159" s="395"/>
      <c r="K5159" s="387"/>
      <c r="L5159" s="394"/>
      <c r="M5159" s="62"/>
      <c r="N5159" s="63"/>
      <c r="O5159" s="63"/>
      <c r="P5159" s="79" t="str">
        <f>IF(AND('331-CT'!$E$7=TH!H5159,OR(N5159="331",O5159="331")),"x","")</f>
        <v/>
      </c>
      <c r="Q5159" s="79" t="str">
        <f>IF(AND(B5159='111'!$L$11,OR($N5159=$Q$7,$O5159=$Q$7)),"x","")</f>
        <v/>
      </c>
      <c r="R5159" s="79" t="str">
        <f>IF(AND($N5159=$Q$7,$B5159&lt;'111'!$L$11),"x","")</f>
        <v/>
      </c>
      <c r="S5159" s="79" t="str">
        <f>IF(AND($O5159=$Q$7,$B5159&lt;'111'!$L$11),"x","")</f>
        <v/>
      </c>
      <c r="T5159" s="79" t="str">
        <f>IF(ISERROR(FIND('112'!$M$9,G5159,1)),"",IF((AND(FIND('112'!$M$9,G5159,1)&gt;=1,B5159='112'!$K$9,OR($N5159='112'!$I$6,$O5159='112'!$I$6))),"x",""))</f>
        <v/>
      </c>
      <c r="U5159" s="79" t="str">
        <f>IF(ISERROR(FIND('112'!$M$9,G5159,1)),"",IF((AND(LEFT(G5159,2)=LEFT('112'!$M$9,2),B5159&lt;'112'!$K$9,$N5159='112'!$I$6)),"x",""))</f>
        <v/>
      </c>
      <c r="V5159" s="79" t="str">
        <f>IF(ISERROR(FIND('112'!$M$9,G5159,1)),"",IF((AND(RIGHT(G5159,2)=RIGHT('112'!$M$9,2),B5159&lt;'112'!$K$9,$O5159='112'!$I$6)),"x",""))</f>
        <v/>
      </c>
      <c r="W5159" s="79" t="str">
        <f>IF(AND('341-CT'!$H$9=H5159,OR(LEFT(N5159,3)=$W$7,LEFT(O5159,3)=$W$7)),"x","")</f>
        <v/>
      </c>
      <c r="X5159" s="79" t="str">
        <f>IF(OR(TH!N5159=TH!$X$7,O5159=TH!$X$7),"x","")</f>
        <v/>
      </c>
      <c r="Y5159" s="79" t="str">
        <f>IF(AND(OR(N5159="131",O5159="131"),H5159='131-CT'!$H$9),"x","")</f>
        <v/>
      </c>
      <c r="Z5159" s="79"/>
      <c r="AA5159" s="79" t="str">
        <f>IF(AND(MONTH(E5159)='IN-NX'!$J$5,'IN-NX'!$D$7=D5159),"x","")</f>
        <v/>
      </c>
      <c r="AB5159" s="79" t="str">
        <f>IF(AND(OR(LEFT(TH!N5159,2)="15",LEFT(TH!O5159,2)="15"),LEFT(TH!O5159,3)&lt;&gt;"111",'152-CT'!$J$8=TH!F5159),"x","")</f>
        <v/>
      </c>
      <c r="AC5159" s="79" t="str">
        <f>IF(AND(OR(LEFT(TH!N5159,2)="15",LEFT(TH!O5159,2)="15"),TK!$E$7=TH!F5159),"x","")</f>
        <v/>
      </c>
      <c r="AD5159" s="79" t="str">
        <f>IF(AND(N5159="1521",MONTH(C5159)='BK-NL'!$M$11),"x","")</f>
        <v/>
      </c>
    </row>
    <row r="5160" spans="1:30" ht="16.5" customHeight="1">
      <c r="A5160" s="318" t="str">
        <f>IF(B5160&lt;&gt;"",IF(AND(B5160='[3]IN-TC'!$S$4,OR([3]TH!N4382="1111",[3]TH!O4382="1111")),[3]TH!D4382,""),"")</f>
        <v/>
      </c>
      <c r="B5160" s="60" t="str">
        <f t="shared" si="501"/>
        <v/>
      </c>
      <c r="C5160" s="61"/>
      <c r="D5160" s="61"/>
      <c r="E5160" s="61"/>
      <c r="F5160" s="69"/>
      <c r="G5160" s="64"/>
      <c r="H5160" s="69"/>
      <c r="I5160" s="385"/>
      <c r="J5160" s="392"/>
      <c r="K5160" s="385"/>
      <c r="L5160" s="392"/>
      <c r="M5160" s="62"/>
      <c r="N5160" s="63"/>
      <c r="O5160" s="63"/>
      <c r="P5160" s="79" t="str">
        <f>IF(AND('331-CT'!$E$7=TH!H5160,OR(N5160="331",O5160="331")),"x","")</f>
        <v/>
      </c>
      <c r="Q5160" s="79" t="str">
        <f>IF(AND(B5160='111'!$L$11,OR($N5160=$Q$7,$O5160=$Q$7)),"x","")</f>
        <v/>
      </c>
      <c r="R5160" s="79" t="str">
        <f>IF(AND($N5160=$Q$7,$B5160&lt;'111'!$L$11),"x","")</f>
        <v/>
      </c>
      <c r="S5160" s="79" t="str">
        <f>IF(AND($O5160=$Q$7,$B5160&lt;'111'!$L$11),"x","")</f>
        <v/>
      </c>
      <c r="T5160" s="79" t="str">
        <f>IF(ISERROR(FIND('112'!$M$9,G5160,1)),"",IF((AND(FIND('112'!$M$9,G5160,1)&gt;=1,B5160='112'!$K$9,OR($N5160='112'!$I$6,$O5160='112'!$I$6))),"x",""))</f>
        <v/>
      </c>
      <c r="U5160" s="79" t="str">
        <f>IF(ISERROR(FIND('112'!$M$9,G5160,1)),"",IF((AND(LEFT(G5160,2)=LEFT('112'!$M$9,2),B5160&lt;'112'!$K$9,$N5160='112'!$I$6)),"x",""))</f>
        <v/>
      </c>
      <c r="V5160" s="79" t="str">
        <f>IF(ISERROR(FIND('112'!$M$9,G5160,1)),"",IF((AND(RIGHT(G5160,2)=RIGHT('112'!$M$9,2),B5160&lt;'112'!$K$9,$O5160='112'!$I$6)),"x",""))</f>
        <v/>
      </c>
      <c r="W5160" s="79" t="str">
        <f>IF(AND('341-CT'!$H$9=H5160,OR(LEFT(N5160,3)=$W$7,LEFT(O5160,3)=$W$7)),"x","")</f>
        <v/>
      </c>
      <c r="X5160" s="79" t="str">
        <f>IF(OR(TH!N5160=TH!$X$7,O5160=TH!$X$7),"x","")</f>
        <v/>
      </c>
      <c r="Y5160" s="79" t="str">
        <f>IF(AND(OR(N5160="131",O5160="131"),H5160='131-CT'!$H$9),"x","")</f>
        <v/>
      </c>
      <c r="Z5160" s="79"/>
      <c r="AA5160" s="79" t="str">
        <f>IF(AND(MONTH(E5160)='IN-NX'!$J$5,'IN-NX'!$D$7=D5160),"x","")</f>
        <v/>
      </c>
      <c r="AB5160" s="79" t="str">
        <f>IF(AND(OR(LEFT(TH!N5160,2)="15",LEFT(TH!O5160,2)="15"),LEFT(TH!O5160,3)&lt;&gt;"111",'152-CT'!$J$8=TH!F5160),"x","")</f>
        <v/>
      </c>
      <c r="AC5160" s="79" t="str">
        <f>IF(AND(OR(LEFT(TH!N5160,2)="15",LEFT(TH!O5160,2)="15"),TK!$E$7=TH!F5160),"x","")</f>
        <v/>
      </c>
      <c r="AD5160" s="79" t="str">
        <f>IF(AND(N5160="1521",MONTH(C5160)='BK-NL'!$M$11),"x","")</f>
        <v/>
      </c>
    </row>
    <row r="5161" spans="1:30" ht="16.5" customHeight="1">
      <c r="A5161" s="318" t="str">
        <f>IF(B5161&lt;&gt;"",IF(AND(B5161='[3]IN-TC'!$S$4,OR([3]TH!N4383="1111",[3]TH!O4383="1111")),[3]TH!D4383,""),"")</f>
        <v/>
      </c>
      <c r="B5161" s="60" t="str">
        <f t="shared" si="501"/>
        <v/>
      </c>
      <c r="C5161" s="61"/>
      <c r="D5161" s="61"/>
      <c r="E5161" s="61"/>
      <c r="F5161" s="69"/>
      <c r="G5161" s="64"/>
      <c r="H5161" s="69"/>
      <c r="I5161" s="385"/>
      <c r="J5161" s="392"/>
      <c r="K5161" s="385"/>
      <c r="L5161" s="392"/>
      <c r="M5161" s="62"/>
      <c r="N5161" s="63"/>
      <c r="O5161" s="63"/>
      <c r="P5161" s="79" t="str">
        <f>IF(AND('331-CT'!$E$7=TH!H5161,OR(N5161="331",O5161="331")),"x","")</f>
        <v/>
      </c>
      <c r="Q5161" s="79" t="str">
        <f>IF(AND(B5161='111'!$L$11,OR($N5161=$Q$7,$O5161=$Q$7)),"x","")</f>
        <v/>
      </c>
      <c r="R5161" s="79" t="str">
        <f>IF(AND($N5161=$Q$7,$B5161&lt;'111'!$L$11),"x","")</f>
        <v/>
      </c>
      <c r="S5161" s="79" t="str">
        <f>IF(AND($O5161=$Q$7,$B5161&lt;'111'!$L$11),"x","")</f>
        <v/>
      </c>
      <c r="T5161" s="79" t="str">
        <f>IF(ISERROR(FIND('112'!$M$9,G5161,1)),"",IF((AND(FIND('112'!$M$9,G5161,1)&gt;=1,B5161='112'!$K$9,OR($N5161='112'!$I$6,$O5161='112'!$I$6))),"x",""))</f>
        <v/>
      </c>
      <c r="U5161" s="79" t="str">
        <f>IF(ISERROR(FIND('112'!$M$9,G5161,1)),"",IF((AND(LEFT(G5161,2)=LEFT('112'!$M$9,2),B5161&lt;'112'!$K$9,$N5161='112'!$I$6)),"x",""))</f>
        <v/>
      </c>
      <c r="V5161" s="79" t="str">
        <f>IF(ISERROR(FIND('112'!$M$9,G5161,1)),"",IF((AND(RIGHT(G5161,2)=RIGHT('112'!$M$9,2),B5161&lt;'112'!$K$9,$O5161='112'!$I$6)),"x",""))</f>
        <v/>
      </c>
      <c r="W5161" s="79" t="str">
        <f>IF(AND('341-CT'!$H$9=H5161,OR(LEFT(N5161,3)=$W$7,LEFT(O5161,3)=$W$7)),"x","")</f>
        <v/>
      </c>
      <c r="X5161" s="79" t="str">
        <f>IF(OR(TH!N5161=TH!$X$7,O5161=TH!$X$7),"x","")</f>
        <v/>
      </c>
      <c r="Y5161" s="79" t="str">
        <f>IF(AND(OR(N5161="131",O5161="131"),H5161='131-CT'!$H$9),"x","")</f>
        <v/>
      </c>
      <c r="Z5161" s="79"/>
      <c r="AA5161" s="79" t="str">
        <f>IF(AND(MONTH(E5161)='IN-NX'!$J$5,'IN-NX'!$D$7=D5161),"x","")</f>
        <v/>
      </c>
      <c r="AB5161" s="79" t="str">
        <f>IF(AND(OR(LEFT(TH!N5161,2)="15",LEFT(TH!O5161,2)="15"),LEFT(TH!O5161,3)&lt;&gt;"111",'152-CT'!$J$8=TH!F5161),"x","")</f>
        <v/>
      </c>
      <c r="AC5161" s="79" t="str">
        <f>IF(AND(OR(LEFT(TH!N5161,2)="15",LEFT(TH!O5161,2)="15"),TK!$E$7=TH!F5161),"x","")</f>
        <v/>
      </c>
      <c r="AD5161" s="79" t="str">
        <f>IF(AND(N5161="1521",MONTH(C5161)='BK-NL'!$M$11),"x","")</f>
        <v/>
      </c>
    </row>
    <row r="5162" spans="1:30" ht="16.5" customHeight="1">
      <c r="A5162" s="318" t="str">
        <f>IF(B5162&lt;&gt;"",IF(AND(B5162='[3]IN-TC'!$S$4,OR([3]TH!N4384="1111",[3]TH!O4384="1111")),[3]TH!D4384,""),"")</f>
        <v/>
      </c>
      <c r="B5162" s="60" t="str">
        <f t="shared" si="501"/>
        <v/>
      </c>
      <c r="C5162" s="61"/>
      <c r="D5162" s="61"/>
      <c r="E5162" s="61"/>
      <c r="F5162" s="69"/>
      <c r="G5162" s="64"/>
      <c r="H5162" s="69"/>
      <c r="I5162" s="385"/>
      <c r="J5162" s="392"/>
      <c r="K5162" s="385"/>
      <c r="L5162" s="392"/>
      <c r="M5162" s="62"/>
      <c r="N5162" s="63"/>
      <c r="O5162" s="63"/>
      <c r="P5162" s="79" t="str">
        <f>IF(AND('331-CT'!$E$7=TH!H5162,OR(N5162="331",O5162="331")),"x","")</f>
        <v/>
      </c>
      <c r="Q5162" s="79" t="str">
        <f>IF(AND(B5162='111'!$L$11,OR($N5162=$Q$7,$O5162=$Q$7)),"x","")</f>
        <v/>
      </c>
      <c r="R5162" s="79" t="str">
        <f>IF(AND($N5162=$Q$7,$B5162&lt;'111'!$L$11),"x","")</f>
        <v/>
      </c>
      <c r="S5162" s="79" t="str">
        <f>IF(AND($O5162=$Q$7,$B5162&lt;'111'!$L$11),"x","")</f>
        <v/>
      </c>
      <c r="T5162" s="79" t="str">
        <f>IF(ISERROR(FIND('112'!$M$9,G5162,1)),"",IF((AND(FIND('112'!$M$9,G5162,1)&gt;=1,B5162='112'!$K$9,OR($N5162='112'!$I$6,$O5162='112'!$I$6))),"x",""))</f>
        <v/>
      </c>
      <c r="U5162" s="79" t="str">
        <f>IF(ISERROR(FIND('112'!$M$9,G5162,1)),"",IF((AND(LEFT(G5162,2)=LEFT('112'!$M$9,2),B5162&lt;'112'!$K$9,$N5162='112'!$I$6)),"x",""))</f>
        <v/>
      </c>
      <c r="V5162" s="79" t="str">
        <f>IF(ISERROR(FIND('112'!$M$9,G5162,1)),"",IF((AND(RIGHT(G5162,2)=RIGHT('112'!$M$9,2),B5162&lt;'112'!$K$9,$O5162='112'!$I$6)),"x",""))</f>
        <v/>
      </c>
      <c r="W5162" s="79" t="str">
        <f>IF(AND('341-CT'!$H$9=H5162,OR(LEFT(N5162,3)=$W$7,LEFT(O5162,3)=$W$7)),"x","")</f>
        <v/>
      </c>
      <c r="X5162" s="79" t="str">
        <f>IF(OR(TH!N5162=TH!$X$7,O5162=TH!$X$7),"x","")</f>
        <v/>
      </c>
      <c r="Y5162" s="79" t="str">
        <f>IF(AND(OR(N5162="131",O5162="131"),H5162='131-CT'!$H$9),"x","")</f>
        <v/>
      </c>
      <c r="Z5162" s="79"/>
      <c r="AA5162" s="79" t="str">
        <f>IF(AND(MONTH(E5162)='IN-NX'!$J$5,'IN-NX'!$D$7=D5162),"x","")</f>
        <v/>
      </c>
      <c r="AB5162" s="79" t="str">
        <f>IF(AND(OR(LEFT(TH!N5162,2)="15",LEFT(TH!O5162,2)="15"),LEFT(TH!O5162,3)&lt;&gt;"111",'152-CT'!$J$8=TH!F5162),"x","")</f>
        <v/>
      </c>
      <c r="AC5162" s="79" t="str">
        <f>IF(AND(OR(LEFT(TH!N5162,2)="15",LEFT(TH!O5162,2)="15"),TK!$E$7=TH!F5162),"x","")</f>
        <v/>
      </c>
      <c r="AD5162" s="79" t="str">
        <f>IF(AND(N5162="1521",MONTH(C5162)='BK-NL'!$M$11),"x","")</f>
        <v/>
      </c>
    </row>
    <row r="5163" spans="1:30" ht="16.5" customHeight="1">
      <c r="A5163" s="318" t="str">
        <f>IF(B5163&lt;&gt;"",IF(AND(B5163='[3]IN-TC'!$S$4,OR([3]TH!N4385="1111",[3]TH!O4385="1111")),[3]TH!D4385,""),"")</f>
        <v/>
      </c>
      <c r="B5163" s="60" t="str">
        <f t="shared" si="501"/>
        <v/>
      </c>
      <c r="C5163" s="61"/>
      <c r="D5163" s="61"/>
      <c r="E5163" s="61"/>
      <c r="F5163" s="69"/>
      <c r="G5163" s="64"/>
      <c r="H5163" s="69"/>
      <c r="I5163" s="385"/>
      <c r="J5163" s="392"/>
      <c r="K5163" s="385"/>
      <c r="L5163" s="392"/>
      <c r="M5163" s="62"/>
      <c r="N5163" s="63"/>
      <c r="O5163" s="63"/>
      <c r="P5163" s="79" t="str">
        <f>IF(AND('331-CT'!$E$7=TH!H5163,OR(N5163="331",O5163="331")),"x","")</f>
        <v/>
      </c>
      <c r="Q5163" s="79" t="str">
        <f>IF(AND(B5163='111'!$L$11,OR($N5163=$Q$7,$O5163=$Q$7)),"x","")</f>
        <v/>
      </c>
      <c r="R5163" s="79" t="str">
        <f>IF(AND($N5163=$Q$7,$B5163&lt;'111'!$L$11),"x","")</f>
        <v/>
      </c>
      <c r="S5163" s="79" t="str">
        <f>IF(AND($O5163=$Q$7,$B5163&lt;'111'!$L$11),"x","")</f>
        <v/>
      </c>
      <c r="T5163" s="79" t="str">
        <f>IF(ISERROR(FIND('112'!$M$9,G5163,1)),"",IF((AND(FIND('112'!$M$9,G5163,1)&gt;=1,B5163='112'!$K$9,OR($N5163='112'!$I$6,$O5163='112'!$I$6))),"x",""))</f>
        <v/>
      </c>
      <c r="U5163" s="79" t="str">
        <f>IF(ISERROR(FIND('112'!$M$9,G5163,1)),"",IF((AND(LEFT(G5163,2)=LEFT('112'!$M$9,2),B5163&lt;'112'!$K$9,$N5163='112'!$I$6)),"x",""))</f>
        <v/>
      </c>
      <c r="V5163" s="79" t="str">
        <f>IF(ISERROR(FIND('112'!$M$9,G5163,1)),"",IF((AND(RIGHT(G5163,2)=RIGHT('112'!$M$9,2),B5163&lt;'112'!$K$9,$O5163='112'!$I$6)),"x",""))</f>
        <v/>
      </c>
      <c r="W5163" s="79" t="str">
        <f>IF(AND('341-CT'!$H$9=H5163,OR(LEFT(N5163,3)=$W$7,LEFT(O5163,3)=$W$7)),"x","")</f>
        <v/>
      </c>
      <c r="X5163" s="79" t="str">
        <f>IF(OR(TH!N5163=TH!$X$7,O5163=TH!$X$7),"x","")</f>
        <v/>
      </c>
      <c r="Y5163" s="79" t="str">
        <f>IF(AND(OR(N5163="131",O5163="131"),H5163='131-CT'!$H$9),"x","")</f>
        <v/>
      </c>
      <c r="Z5163" s="79"/>
      <c r="AA5163" s="79" t="str">
        <f>IF(AND(MONTH(E5163)='IN-NX'!$J$5,'IN-NX'!$D$7=D5163),"x","")</f>
        <v/>
      </c>
      <c r="AB5163" s="79" t="str">
        <f>IF(AND(OR(LEFT(TH!N5163,2)="15",LEFT(TH!O5163,2)="15"),LEFT(TH!O5163,3)&lt;&gt;"111",'152-CT'!$J$8=TH!F5163),"x","")</f>
        <v/>
      </c>
      <c r="AC5163" s="79" t="str">
        <f>IF(AND(OR(LEFT(TH!N5163,2)="15",LEFT(TH!O5163,2)="15"),TK!$E$7=TH!F5163),"x","")</f>
        <v/>
      </c>
      <c r="AD5163" s="79" t="str">
        <f>IF(AND(N5163="1521",MONTH(C5163)='BK-NL'!$M$11),"x","")</f>
        <v/>
      </c>
    </row>
    <row r="5164" spans="1:30" ht="16.5" customHeight="1">
      <c r="A5164" s="318" t="str">
        <f>IF(B5164&lt;&gt;"",IF(AND(B5164='[3]IN-TC'!$S$4,OR([3]TH!N4386="1111",[3]TH!O4386="1111")),[3]TH!D4386,""),"")</f>
        <v/>
      </c>
      <c r="B5164" s="60" t="str">
        <f t="shared" si="501"/>
        <v/>
      </c>
      <c r="C5164" s="61"/>
      <c r="D5164" s="61"/>
      <c r="E5164" s="61"/>
      <c r="F5164" s="69"/>
      <c r="G5164" s="64"/>
      <c r="H5164" s="69"/>
      <c r="I5164" s="385"/>
      <c r="J5164" s="392"/>
      <c r="K5164" s="385"/>
      <c r="L5164" s="392"/>
      <c r="M5164" s="62"/>
      <c r="N5164" s="63"/>
      <c r="O5164" s="63"/>
      <c r="P5164" s="79" t="str">
        <f>IF(AND('331-CT'!$E$7=TH!H5164,OR(N5164="331",O5164="331")),"x","")</f>
        <v/>
      </c>
      <c r="Q5164" s="79" t="str">
        <f>IF(AND(B5164='111'!$L$11,OR($N5164=$Q$7,$O5164=$Q$7)),"x","")</f>
        <v/>
      </c>
      <c r="R5164" s="79" t="str">
        <f>IF(AND($N5164=$Q$7,$B5164&lt;'111'!$L$11),"x","")</f>
        <v/>
      </c>
      <c r="S5164" s="79" t="str">
        <f>IF(AND($O5164=$Q$7,$B5164&lt;'111'!$L$11),"x","")</f>
        <v/>
      </c>
      <c r="T5164" s="79" t="str">
        <f>IF(ISERROR(FIND('112'!$M$9,G5164,1)),"",IF((AND(FIND('112'!$M$9,G5164,1)&gt;=1,B5164='112'!$K$9,OR($N5164='112'!$I$6,$O5164='112'!$I$6))),"x",""))</f>
        <v/>
      </c>
      <c r="U5164" s="79" t="str">
        <f>IF(ISERROR(FIND('112'!$M$9,G5164,1)),"",IF((AND(LEFT(G5164,2)=LEFT('112'!$M$9,2),B5164&lt;'112'!$K$9,$N5164='112'!$I$6)),"x",""))</f>
        <v/>
      </c>
      <c r="V5164" s="79" t="str">
        <f>IF(ISERROR(FIND('112'!$M$9,G5164,1)),"",IF((AND(RIGHT(G5164,2)=RIGHT('112'!$M$9,2),B5164&lt;'112'!$K$9,$O5164='112'!$I$6)),"x",""))</f>
        <v/>
      </c>
      <c r="W5164" s="79" t="str">
        <f>IF(AND('341-CT'!$H$9=H5164,OR(LEFT(N5164,3)=$W$7,LEFT(O5164,3)=$W$7)),"x","")</f>
        <v/>
      </c>
      <c r="X5164" s="79" t="str">
        <f>IF(OR(TH!N5164=TH!$X$7,O5164=TH!$X$7),"x","")</f>
        <v/>
      </c>
      <c r="Y5164" s="79" t="str">
        <f>IF(AND(OR(N5164="131",O5164="131"),H5164='131-CT'!$H$9),"x","")</f>
        <v/>
      </c>
      <c r="Z5164" s="79"/>
      <c r="AA5164" s="79" t="str">
        <f>IF(AND(MONTH(E5164)='IN-NX'!$J$5,'IN-NX'!$D$7=D5164),"x","")</f>
        <v/>
      </c>
      <c r="AB5164" s="79" t="str">
        <f>IF(AND(OR(LEFT(TH!N5164,2)="15",LEFT(TH!O5164,2)="15"),LEFT(TH!O5164,3)&lt;&gt;"111",'152-CT'!$J$8=TH!F5164),"x","")</f>
        <v/>
      </c>
      <c r="AC5164" s="79" t="str">
        <f>IF(AND(OR(LEFT(TH!N5164,2)="15",LEFT(TH!O5164,2)="15"),TK!$E$7=TH!F5164),"x","")</f>
        <v/>
      </c>
      <c r="AD5164" s="79" t="str">
        <f>IF(AND(N5164="1521",MONTH(C5164)='BK-NL'!$M$11),"x","")</f>
        <v/>
      </c>
    </row>
    <row r="5165" spans="1:30" ht="16.5" customHeight="1">
      <c r="A5165" s="318" t="str">
        <f>IF(B5165&lt;&gt;"",IF(AND(B5165='[3]IN-TC'!$S$4,OR([3]TH!N4387="1111",[3]TH!O4387="1111")),[3]TH!D4387,""),"")</f>
        <v/>
      </c>
      <c r="B5165" s="60" t="str">
        <f t="shared" si="501"/>
        <v/>
      </c>
      <c r="C5165" s="61"/>
      <c r="D5165" s="61"/>
      <c r="E5165" s="61"/>
      <c r="F5165" s="69"/>
      <c r="G5165" s="64"/>
      <c r="H5165" s="69"/>
      <c r="I5165" s="385"/>
      <c r="J5165" s="392"/>
      <c r="K5165" s="385"/>
      <c r="L5165" s="392"/>
      <c r="M5165" s="62"/>
      <c r="N5165" s="63"/>
      <c r="O5165" s="63"/>
      <c r="P5165" s="79" t="str">
        <f>IF(AND('331-CT'!$E$7=TH!H5165,OR(N5165="331",O5165="331")),"x","")</f>
        <v/>
      </c>
      <c r="Q5165" s="79" t="str">
        <f>IF(AND(B5165='111'!$L$11,OR($N5165=$Q$7,$O5165=$Q$7)),"x","")</f>
        <v/>
      </c>
      <c r="R5165" s="79" t="str">
        <f>IF(AND($N5165=$Q$7,$B5165&lt;'111'!$L$11),"x","")</f>
        <v/>
      </c>
      <c r="S5165" s="79" t="str">
        <f>IF(AND($O5165=$Q$7,$B5165&lt;'111'!$L$11),"x","")</f>
        <v/>
      </c>
      <c r="T5165" s="79" t="str">
        <f>IF(ISERROR(FIND('112'!$M$9,G5165,1)),"",IF((AND(FIND('112'!$M$9,G5165,1)&gt;=1,B5165='112'!$K$9,OR($N5165='112'!$I$6,$O5165='112'!$I$6))),"x",""))</f>
        <v/>
      </c>
      <c r="U5165" s="79" t="str">
        <f>IF(ISERROR(FIND('112'!$M$9,G5165,1)),"",IF((AND(LEFT(G5165,2)=LEFT('112'!$M$9,2),B5165&lt;'112'!$K$9,$N5165='112'!$I$6)),"x",""))</f>
        <v/>
      </c>
      <c r="V5165" s="79" t="str">
        <f>IF(ISERROR(FIND('112'!$M$9,G5165,1)),"",IF((AND(RIGHT(G5165,2)=RIGHT('112'!$M$9,2),B5165&lt;'112'!$K$9,$O5165='112'!$I$6)),"x",""))</f>
        <v/>
      </c>
      <c r="W5165" s="79" t="str">
        <f>IF(AND('341-CT'!$H$9=H5165,OR(LEFT(N5165,3)=$W$7,LEFT(O5165,3)=$W$7)),"x","")</f>
        <v/>
      </c>
      <c r="X5165" s="79" t="str">
        <f>IF(OR(TH!N5165=TH!$X$7,O5165=TH!$X$7),"x","")</f>
        <v/>
      </c>
      <c r="Y5165" s="79" t="str">
        <f>IF(AND(OR(N5165="131",O5165="131"),H5165='131-CT'!$H$9),"x","")</f>
        <v/>
      </c>
      <c r="Z5165" s="79"/>
      <c r="AA5165" s="79" t="str">
        <f>IF(AND(MONTH(E5165)='IN-NX'!$J$5,'IN-NX'!$D$7=D5165),"x","")</f>
        <v/>
      </c>
      <c r="AB5165" s="79" t="str">
        <f>IF(AND(OR(LEFT(TH!N5165,2)="15",LEFT(TH!O5165,2)="15"),LEFT(TH!O5165,3)&lt;&gt;"111",'152-CT'!$J$8=TH!F5165),"x","")</f>
        <v/>
      </c>
      <c r="AC5165" s="79" t="str">
        <f>IF(AND(OR(LEFT(TH!N5165,2)="15",LEFT(TH!O5165,2)="15"),TK!$E$7=TH!F5165),"x","")</f>
        <v/>
      </c>
      <c r="AD5165" s="79" t="str">
        <f>IF(AND(N5165="1521",MONTH(C5165)='BK-NL'!$M$11),"x","")</f>
        <v/>
      </c>
    </row>
    <row r="5166" spans="1:30" ht="16.5" customHeight="1">
      <c r="A5166" s="318" t="str">
        <f>IF(B5166&lt;&gt;"",IF(AND(B5166='[3]IN-TC'!$S$4,OR([3]TH!N4388="1111",[3]TH!O4388="1111")),[3]TH!D4388,""),"")</f>
        <v/>
      </c>
      <c r="B5166" s="60" t="str">
        <f t="shared" si="501"/>
        <v/>
      </c>
      <c r="C5166" s="61"/>
      <c r="D5166" s="61"/>
      <c r="E5166" s="61"/>
      <c r="F5166" s="69"/>
      <c r="G5166" s="64"/>
      <c r="H5166" s="69"/>
      <c r="I5166" s="385"/>
      <c r="J5166" s="392"/>
      <c r="K5166" s="385"/>
      <c r="L5166" s="392"/>
      <c r="M5166" s="62"/>
      <c r="N5166" s="63"/>
      <c r="O5166" s="63"/>
      <c r="P5166" s="79" t="str">
        <f>IF(AND('331-CT'!$E$7=TH!H5166,OR(N5166="331",O5166="331")),"x","")</f>
        <v/>
      </c>
      <c r="Q5166" s="79" t="str">
        <f>IF(AND(B5166='111'!$L$11,OR($N5166=$Q$7,$O5166=$Q$7)),"x","")</f>
        <v/>
      </c>
      <c r="R5166" s="79" t="str">
        <f>IF(AND($N5166=$Q$7,$B5166&lt;'111'!$L$11),"x","")</f>
        <v/>
      </c>
      <c r="S5166" s="79" t="str">
        <f>IF(AND($O5166=$Q$7,$B5166&lt;'111'!$L$11),"x","")</f>
        <v/>
      </c>
      <c r="T5166" s="79" t="str">
        <f>IF(ISERROR(FIND('112'!$M$9,G5166,1)),"",IF((AND(FIND('112'!$M$9,G5166,1)&gt;=1,B5166='112'!$K$9,OR($N5166='112'!$I$6,$O5166='112'!$I$6))),"x",""))</f>
        <v/>
      </c>
      <c r="U5166" s="79" t="str">
        <f>IF(ISERROR(FIND('112'!$M$9,G5166,1)),"",IF((AND(LEFT(G5166,2)=LEFT('112'!$M$9,2),B5166&lt;'112'!$K$9,$N5166='112'!$I$6)),"x",""))</f>
        <v/>
      </c>
      <c r="V5166" s="79" t="str">
        <f>IF(ISERROR(FIND('112'!$M$9,G5166,1)),"",IF((AND(RIGHT(G5166,2)=RIGHT('112'!$M$9,2),B5166&lt;'112'!$K$9,$O5166='112'!$I$6)),"x",""))</f>
        <v/>
      </c>
      <c r="W5166" s="79" t="str">
        <f>IF(AND('341-CT'!$H$9=H5166,OR(LEFT(N5166,3)=$W$7,LEFT(O5166,3)=$W$7)),"x","")</f>
        <v/>
      </c>
      <c r="X5166" s="79" t="str">
        <f>IF(OR(TH!N5166=TH!$X$7,O5166=TH!$X$7),"x","")</f>
        <v/>
      </c>
      <c r="Y5166" s="79" t="str">
        <f>IF(AND(OR(N5166="131",O5166="131"),H5166='131-CT'!$H$9),"x","")</f>
        <v/>
      </c>
      <c r="Z5166" s="79"/>
      <c r="AA5166" s="79" t="str">
        <f>IF(AND(MONTH(E5166)='IN-NX'!$J$5,'IN-NX'!$D$7=D5166),"x","")</f>
        <v/>
      </c>
      <c r="AB5166" s="79" t="str">
        <f>IF(AND(OR(LEFT(TH!N5166,2)="15",LEFT(TH!O5166,2)="15"),LEFT(TH!O5166,3)&lt;&gt;"111",'152-CT'!$J$8=TH!F5166),"x","")</f>
        <v/>
      </c>
      <c r="AC5166" s="79" t="str">
        <f>IF(AND(OR(LEFT(TH!N5166,2)="15",LEFT(TH!O5166,2)="15"),TK!$E$7=TH!F5166),"x","")</f>
        <v/>
      </c>
      <c r="AD5166" s="79" t="str">
        <f>IF(AND(N5166="1521",MONTH(C5166)='BK-NL'!$M$11),"x","")</f>
        <v/>
      </c>
    </row>
    <row r="5167" spans="1:30" ht="16.5" customHeight="1">
      <c r="A5167" s="318" t="str">
        <f>IF(B5167&lt;&gt;"",IF(AND(B5167='[3]IN-TC'!$S$4,OR([3]TH!N4389="1111",[3]TH!O4389="1111")),[3]TH!D4389,""),"")</f>
        <v/>
      </c>
      <c r="B5167" s="60" t="str">
        <f t="shared" si="501"/>
        <v/>
      </c>
      <c r="C5167" s="61"/>
      <c r="D5167" s="61"/>
      <c r="E5167" s="61"/>
      <c r="F5167" s="69"/>
      <c r="G5167" s="64"/>
      <c r="H5167" s="69"/>
      <c r="I5167" s="385"/>
      <c r="J5167" s="392"/>
      <c r="K5167" s="385"/>
      <c r="L5167" s="392"/>
      <c r="M5167" s="62"/>
      <c r="N5167" s="63"/>
      <c r="O5167" s="63"/>
      <c r="P5167" s="79" t="str">
        <f>IF(AND('331-CT'!$E$7=TH!H5167,OR(N5167="331",O5167="331")),"x","")</f>
        <v/>
      </c>
      <c r="Q5167" s="79" t="str">
        <f>IF(AND(B5167='111'!$L$11,OR($N5167=$Q$7,$O5167=$Q$7)),"x","")</f>
        <v/>
      </c>
      <c r="R5167" s="79" t="str">
        <f>IF(AND($N5167=$Q$7,$B5167&lt;'111'!$L$11),"x","")</f>
        <v/>
      </c>
      <c r="S5167" s="79" t="str">
        <f>IF(AND($O5167=$Q$7,$B5167&lt;'111'!$L$11),"x","")</f>
        <v/>
      </c>
      <c r="T5167" s="79" t="str">
        <f>IF(ISERROR(FIND('112'!$M$9,G5167,1)),"",IF((AND(FIND('112'!$M$9,G5167,1)&gt;=1,B5167='112'!$K$9,OR($N5167='112'!$I$6,$O5167='112'!$I$6))),"x",""))</f>
        <v/>
      </c>
      <c r="U5167" s="79" t="str">
        <f>IF(ISERROR(FIND('112'!$M$9,G5167,1)),"",IF((AND(LEFT(G5167,2)=LEFT('112'!$M$9,2),B5167&lt;'112'!$K$9,$N5167='112'!$I$6)),"x",""))</f>
        <v/>
      </c>
      <c r="V5167" s="79" t="str">
        <f>IF(ISERROR(FIND('112'!$M$9,G5167,1)),"",IF((AND(RIGHT(G5167,2)=RIGHT('112'!$M$9,2),B5167&lt;'112'!$K$9,$O5167='112'!$I$6)),"x",""))</f>
        <v/>
      </c>
      <c r="W5167" s="79" t="str">
        <f>IF(AND('341-CT'!$H$9=H5167,OR(LEFT(N5167,3)=$W$7,LEFT(O5167,3)=$W$7)),"x","")</f>
        <v/>
      </c>
      <c r="X5167" s="79" t="str">
        <f>IF(OR(TH!N5167=TH!$X$7,O5167=TH!$X$7),"x","")</f>
        <v/>
      </c>
      <c r="Y5167" s="79" t="str">
        <f>IF(AND(OR(N5167="131",O5167="131"),H5167='131-CT'!$H$9),"x","")</f>
        <v/>
      </c>
      <c r="Z5167" s="79"/>
      <c r="AA5167" s="79" t="str">
        <f>IF(AND(MONTH(E5167)='IN-NX'!$J$5,'IN-NX'!$D$7=D5167),"x","")</f>
        <v/>
      </c>
      <c r="AB5167" s="79" t="str">
        <f>IF(AND(OR(LEFT(TH!N5167,2)="15",LEFT(TH!O5167,2)="15"),LEFT(TH!O5167,3)&lt;&gt;"111",'152-CT'!$J$8=TH!F5167),"x","")</f>
        <v/>
      </c>
      <c r="AC5167" s="79" t="str">
        <f>IF(AND(OR(LEFT(TH!N5167,2)="15",LEFT(TH!O5167,2)="15"),TK!$E$7=TH!F5167),"x","")</f>
        <v/>
      </c>
      <c r="AD5167" s="79" t="str">
        <f>IF(AND(N5167="1521",MONTH(C5167)='BK-NL'!$M$11),"x","")</f>
        <v/>
      </c>
    </row>
    <row r="5168" spans="1:30" ht="16.5" customHeight="1">
      <c r="A5168" s="318" t="str">
        <f>IF(B5168&lt;&gt;"",IF(AND(B5168='[3]IN-TC'!$S$4,OR([3]TH!N4390="1111",[3]TH!O4390="1111")),[3]TH!D4390,""),"")</f>
        <v/>
      </c>
      <c r="B5168" s="60" t="str">
        <f t="shared" si="501"/>
        <v/>
      </c>
      <c r="C5168" s="61"/>
      <c r="D5168" s="61"/>
      <c r="E5168" s="61"/>
      <c r="F5168" s="69"/>
      <c r="G5168" s="64"/>
      <c r="H5168" s="69"/>
      <c r="I5168" s="385"/>
      <c r="J5168" s="392"/>
      <c r="K5168" s="385"/>
      <c r="L5168" s="392"/>
      <c r="M5168" s="62"/>
      <c r="N5168" s="63"/>
      <c r="O5168" s="63"/>
      <c r="P5168" s="79" t="str">
        <f>IF(AND('331-CT'!$E$7=TH!H5168,OR(N5168="331",O5168="331")),"x","")</f>
        <v/>
      </c>
      <c r="Q5168" s="79" t="str">
        <f>IF(AND(B5168='111'!$L$11,OR($N5168=$Q$7,$O5168=$Q$7)),"x","")</f>
        <v/>
      </c>
      <c r="R5168" s="79" t="str">
        <f>IF(AND($N5168=$Q$7,$B5168&lt;'111'!$L$11),"x","")</f>
        <v/>
      </c>
      <c r="S5168" s="79" t="str">
        <f>IF(AND($O5168=$Q$7,$B5168&lt;'111'!$L$11),"x","")</f>
        <v/>
      </c>
      <c r="T5168" s="79" t="str">
        <f>IF(ISERROR(FIND('112'!$M$9,G5168,1)),"",IF((AND(FIND('112'!$M$9,G5168,1)&gt;=1,B5168='112'!$K$9,OR($N5168='112'!$I$6,$O5168='112'!$I$6))),"x",""))</f>
        <v/>
      </c>
      <c r="U5168" s="79" t="str">
        <f>IF(ISERROR(FIND('112'!$M$9,G5168,1)),"",IF((AND(LEFT(G5168,2)=LEFT('112'!$M$9,2),B5168&lt;'112'!$K$9,$N5168='112'!$I$6)),"x",""))</f>
        <v/>
      </c>
      <c r="V5168" s="79" t="str">
        <f>IF(ISERROR(FIND('112'!$M$9,G5168,1)),"",IF((AND(RIGHT(G5168,2)=RIGHT('112'!$M$9,2),B5168&lt;'112'!$K$9,$O5168='112'!$I$6)),"x",""))</f>
        <v/>
      </c>
      <c r="W5168" s="79" t="str">
        <f>IF(AND('341-CT'!$H$9=H5168,OR(LEFT(N5168,3)=$W$7,LEFT(O5168,3)=$W$7)),"x","")</f>
        <v/>
      </c>
      <c r="X5168" s="79" t="str">
        <f>IF(OR(TH!N5168=TH!$X$7,O5168=TH!$X$7),"x","")</f>
        <v/>
      </c>
      <c r="Y5168" s="79" t="str">
        <f>IF(AND(OR(N5168="131",O5168="131"),H5168='131-CT'!$H$9),"x","")</f>
        <v/>
      </c>
      <c r="Z5168" s="79"/>
      <c r="AA5168" s="79" t="str">
        <f>IF(AND(MONTH(E5168)='IN-NX'!$J$5,'IN-NX'!$D$7=D5168),"x","")</f>
        <v/>
      </c>
      <c r="AB5168" s="79" t="str">
        <f>IF(AND(OR(LEFT(TH!N5168,2)="15",LEFT(TH!O5168,2)="15"),LEFT(TH!O5168,3)&lt;&gt;"111",'152-CT'!$J$8=TH!F5168),"x","")</f>
        <v/>
      </c>
      <c r="AC5168" s="79" t="str">
        <f>IF(AND(OR(LEFT(TH!N5168,2)="15",LEFT(TH!O5168,2)="15"),TK!$E$7=TH!F5168),"x","")</f>
        <v/>
      </c>
      <c r="AD5168" s="79" t="str">
        <f>IF(AND(N5168="1521",MONTH(C5168)='BK-NL'!$M$11),"x","")</f>
        <v/>
      </c>
    </row>
    <row r="5169" spans="1:30" ht="16.5" customHeight="1">
      <c r="A5169" s="318" t="str">
        <f>IF(B5169&lt;&gt;"",IF(AND(B5169='[3]IN-TC'!$S$4,OR([3]TH!N4391="1111",[3]TH!O4391="1111")),[3]TH!D4391,""),"")</f>
        <v/>
      </c>
      <c r="B5169" s="60" t="str">
        <f t="shared" si="501"/>
        <v/>
      </c>
      <c r="C5169" s="61"/>
      <c r="D5169" s="61"/>
      <c r="E5169" s="61"/>
      <c r="F5169" s="69"/>
      <c r="G5169" s="64"/>
      <c r="H5169" s="69"/>
      <c r="I5169" s="385"/>
      <c r="J5169" s="392"/>
      <c r="K5169" s="385"/>
      <c r="L5169" s="392"/>
      <c r="M5169" s="62"/>
      <c r="N5169" s="63"/>
      <c r="O5169" s="63"/>
      <c r="P5169" s="79" t="str">
        <f>IF(AND('331-CT'!$E$7=TH!H5169,OR(N5169="331",O5169="331")),"x","")</f>
        <v/>
      </c>
      <c r="Q5169" s="79" t="str">
        <f>IF(AND(B5169='111'!$L$11,OR($N5169=$Q$7,$O5169=$Q$7)),"x","")</f>
        <v/>
      </c>
      <c r="R5169" s="79" t="str">
        <f>IF(AND($N5169=$Q$7,$B5169&lt;'111'!$L$11),"x","")</f>
        <v/>
      </c>
      <c r="S5169" s="79" t="str">
        <f>IF(AND($O5169=$Q$7,$B5169&lt;'111'!$L$11),"x","")</f>
        <v/>
      </c>
      <c r="T5169" s="79" t="str">
        <f>IF(ISERROR(FIND('112'!$M$9,G5169,1)),"",IF((AND(FIND('112'!$M$9,G5169,1)&gt;=1,B5169='112'!$K$9,OR($N5169='112'!$I$6,$O5169='112'!$I$6))),"x",""))</f>
        <v/>
      </c>
      <c r="U5169" s="79" t="str">
        <f>IF(ISERROR(FIND('112'!$M$9,G5169,1)),"",IF((AND(LEFT(G5169,2)=LEFT('112'!$M$9,2),B5169&lt;'112'!$K$9,$N5169='112'!$I$6)),"x",""))</f>
        <v/>
      </c>
      <c r="V5169" s="79" t="str">
        <f>IF(ISERROR(FIND('112'!$M$9,G5169,1)),"",IF((AND(RIGHT(G5169,2)=RIGHT('112'!$M$9,2),B5169&lt;'112'!$K$9,$O5169='112'!$I$6)),"x",""))</f>
        <v/>
      </c>
      <c r="W5169" s="79" t="str">
        <f>IF(AND('341-CT'!$H$9=H5169,OR(LEFT(N5169,3)=$W$7,LEFT(O5169,3)=$W$7)),"x","")</f>
        <v/>
      </c>
      <c r="X5169" s="79" t="str">
        <f>IF(OR(TH!N5169=TH!$X$7,O5169=TH!$X$7),"x","")</f>
        <v/>
      </c>
      <c r="Y5169" s="79" t="str">
        <f>IF(AND(OR(N5169="131",O5169="131"),H5169='131-CT'!$H$9),"x","")</f>
        <v/>
      </c>
      <c r="Z5169" s="79"/>
      <c r="AA5169" s="79" t="str">
        <f>IF(AND(MONTH(E5169)='IN-NX'!$J$5,'IN-NX'!$D$7=D5169),"x","")</f>
        <v/>
      </c>
      <c r="AB5169" s="79" t="str">
        <f>IF(AND(OR(LEFT(TH!N5169,2)="15",LEFT(TH!O5169,2)="15"),LEFT(TH!O5169,3)&lt;&gt;"111",'152-CT'!$J$8=TH!F5169),"x","")</f>
        <v/>
      </c>
      <c r="AC5169" s="79" t="str">
        <f>IF(AND(OR(LEFT(TH!N5169,2)="15",LEFT(TH!O5169,2)="15"),TK!$E$7=TH!F5169),"x","")</f>
        <v/>
      </c>
      <c r="AD5169" s="79" t="str">
        <f>IF(AND(N5169="1521",MONTH(C5169)='BK-NL'!$M$11),"x","")</f>
        <v/>
      </c>
    </row>
    <row r="5170" spans="1:30" ht="16.5" customHeight="1">
      <c r="A5170" s="318" t="str">
        <f>IF(B5170&lt;&gt;"",IF(AND(B5170='[3]IN-TC'!$S$4,OR([3]TH!N4392="1111",[3]TH!O4392="1111")),[3]TH!D4392,""),"")</f>
        <v/>
      </c>
      <c r="B5170" s="60" t="str">
        <f t="shared" si="501"/>
        <v/>
      </c>
      <c r="C5170" s="61"/>
      <c r="D5170" s="61"/>
      <c r="E5170" s="61"/>
      <c r="F5170" s="69"/>
      <c r="G5170" s="64"/>
      <c r="H5170" s="69"/>
      <c r="I5170" s="385"/>
      <c r="J5170" s="392"/>
      <c r="K5170" s="385"/>
      <c r="L5170" s="392"/>
      <c r="M5170" s="62"/>
      <c r="N5170" s="63"/>
      <c r="O5170" s="63"/>
      <c r="P5170" s="79" t="str">
        <f>IF(AND('331-CT'!$E$7=TH!H5170,OR(N5170="331",O5170="331")),"x","")</f>
        <v/>
      </c>
      <c r="Q5170" s="79" t="str">
        <f>IF(AND(B5170='111'!$L$11,OR($N5170=$Q$7,$O5170=$Q$7)),"x","")</f>
        <v/>
      </c>
      <c r="R5170" s="79" t="str">
        <f>IF(AND($N5170=$Q$7,$B5170&lt;'111'!$L$11),"x","")</f>
        <v/>
      </c>
      <c r="S5170" s="79" t="str">
        <f>IF(AND($O5170=$Q$7,$B5170&lt;'111'!$L$11),"x","")</f>
        <v/>
      </c>
      <c r="T5170" s="79" t="str">
        <f>IF(ISERROR(FIND('112'!$M$9,G5170,1)),"",IF((AND(FIND('112'!$M$9,G5170,1)&gt;=1,B5170='112'!$K$9,OR($N5170='112'!$I$6,$O5170='112'!$I$6))),"x",""))</f>
        <v/>
      </c>
      <c r="U5170" s="79" t="str">
        <f>IF(ISERROR(FIND('112'!$M$9,G5170,1)),"",IF((AND(LEFT(G5170,2)=LEFT('112'!$M$9,2),B5170&lt;'112'!$K$9,$N5170='112'!$I$6)),"x",""))</f>
        <v/>
      </c>
      <c r="V5170" s="79" t="str">
        <f>IF(ISERROR(FIND('112'!$M$9,G5170,1)),"",IF((AND(RIGHT(G5170,2)=RIGHT('112'!$M$9,2),B5170&lt;'112'!$K$9,$O5170='112'!$I$6)),"x",""))</f>
        <v/>
      </c>
      <c r="W5170" s="79" t="str">
        <f>IF(AND('341-CT'!$H$9=H5170,OR(LEFT(N5170,3)=$W$7,LEFT(O5170,3)=$W$7)),"x","")</f>
        <v/>
      </c>
      <c r="X5170" s="79" t="str">
        <f>IF(OR(TH!N5170=TH!$X$7,O5170=TH!$X$7),"x","")</f>
        <v/>
      </c>
      <c r="Y5170" s="79" t="str">
        <f>IF(AND(OR(N5170="131",O5170="131"),H5170='131-CT'!$H$9),"x","")</f>
        <v/>
      </c>
      <c r="Z5170" s="79"/>
      <c r="AA5170" s="79" t="str">
        <f>IF(AND(MONTH(E5170)='IN-NX'!$J$5,'IN-NX'!$D$7=D5170),"x","")</f>
        <v/>
      </c>
      <c r="AB5170" s="79" t="str">
        <f>IF(AND(OR(LEFT(TH!N5170,2)="15",LEFT(TH!O5170,2)="15"),LEFT(TH!O5170,3)&lt;&gt;"111",'152-CT'!$J$8=TH!F5170),"x","")</f>
        <v/>
      </c>
      <c r="AC5170" s="79" t="str">
        <f>IF(AND(OR(LEFT(TH!N5170,2)="15",LEFT(TH!O5170,2)="15"),TK!$E$7=TH!F5170),"x","")</f>
        <v/>
      </c>
      <c r="AD5170" s="79" t="str">
        <f>IF(AND(N5170="1521",MONTH(C5170)='BK-NL'!$M$11),"x","")</f>
        <v/>
      </c>
    </row>
    <row r="5171" spans="1:30" ht="16.5" customHeight="1">
      <c r="A5171" s="318" t="str">
        <f>IF(B5171&lt;&gt;"",IF(AND(B5171='[3]IN-TC'!$S$4,OR([3]TH!N4393="1111",[3]TH!O4393="1111")),[3]TH!D4393,""),"")</f>
        <v/>
      </c>
      <c r="B5171" s="60" t="str">
        <f t="shared" si="501"/>
        <v/>
      </c>
      <c r="C5171" s="61"/>
      <c r="D5171" s="61"/>
      <c r="E5171" s="61"/>
      <c r="F5171" s="69"/>
      <c r="G5171" s="64"/>
      <c r="H5171" s="69"/>
      <c r="I5171" s="385"/>
      <c r="J5171" s="392"/>
      <c r="K5171" s="385"/>
      <c r="L5171" s="392"/>
      <c r="M5171" s="62"/>
      <c r="N5171" s="63"/>
      <c r="O5171" s="63"/>
      <c r="P5171" s="79" t="str">
        <f>IF(AND('331-CT'!$E$7=TH!H5171,OR(N5171="331",O5171="331")),"x","")</f>
        <v/>
      </c>
      <c r="Q5171" s="79" t="str">
        <f>IF(AND(B5171='111'!$L$11,OR($N5171=$Q$7,$O5171=$Q$7)),"x","")</f>
        <v/>
      </c>
      <c r="R5171" s="79" t="str">
        <f>IF(AND($N5171=$Q$7,$B5171&lt;'111'!$L$11),"x","")</f>
        <v/>
      </c>
      <c r="S5171" s="79" t="str">
        <f>IF(AND($O5171=$Q$7,$B5171&lt;'111'!$L$11),"x","")</f>
        <v/>
      </c>
      <c r="T5171" s="79" t="str">
        <f>IF(ISERROR(FIND('112'!$M$9,G5171,1)),"",IF((AND(FIND('112'!$M$9,G5171,1)&gt;=1,B5171='112'!$K$9,OR($N5171='112'!$I$6,$O5171='112'!$I$6))),"x",""))</f>
        <v/>
      </c>
      <c r="U5171" s="79" t="str">
        <f>IF(ISERROR(FIND('112'!$M$9,G5171,1)),"",IF((AND(LEFT(G5171,2)=LEFT('112'!$M$9,2),B5171&lt;'112'!$K$9,$N5171='112'!$I$6)),"x",""))</f>
        <v/>
      </c>
      <c r="V5171" s="79" t="str">
        <f>IF(ISERROR(FIND('112'!$M$9,G5171,1)),"",IF((AND(RIGHT(G5171,2)=RIGHT('112'!$M$9,2),B5171&lt;'112'!$K$9,$O5171='112'!$I$6)),"x",""))</f>
        <v/>
      </c>
      <c r="W5171" s="79" t="str">
        <f>IF(AND('341-CT'!$H$9=H5171,OR(LEFT(N5171,3)=$W$7,LEFT(O5171,3)=$W$7)),"x","")</f>
        <v/>
      </c>
      <c r="X5171" s="79" t="str">
        <f>IF(OR(TH!N5171=TH!$X$7,O5171=TH!$X$7),"x","")</f>
        <v/>
      </c>
      <c r="Y5171" s="79" t="str">
        <f>IF(AND(OR(N5171="131",O5171="131"),H5171='131-CT'!$H$9),"x","")</f>
        <v/>
      </c>
      <c r="Z5171" s="79"/>
      <c r="AA5171" s="79" t="str">
        <f>IF(AND(MONTH(E5171)='IN-NX'!$J$5,'IN-NX'!$D$7=D5171),"x","")</f>
        <v/>
      </c>
      <c r="AB5171" s="79" t="str">
        <f>IF(AND(OR(LEFT(TH!N5171,2)="15",LEFT(TH!O5171,2)="15"),LEFT(TH!O5171,3)&lt;&gt;"111",'152-CT'!$J$8=TH!F5171),"x","")</f>
        <v/>
      </c>
      <c r="AC5171" s="79" t="str">
        <f>IF(AND(OR(LEFT(TH!N5171,2)="15",LEFT(TH!O5171,2)="15"),TK!$E$7=TH!F5171),"x","")</f>
        <v/>
      </c>
      <c r="AD5171" s="79" t="str">
        <f>IF(AND(N5171="1521",MONTH(C5171)='BK-NL'!$M$11),"x","")</f>
        <v/>
      </c>
    </row>
    <row r="5172" spans="1:30" ht="16.5" customHeight="1">
      <c r="A5172" s="318" t="str">
        <f>IF(B5172&lt;&gt;"",IF(AND(B5172='[3]IN-TC'!$S$4,OR([3]TH!N4394="1111",[3]TH!O4394="1111")),[3]TH!D4394,""),"")</f>
        <v/>
      </c>
      <c r="B5172" s="60" t="str">
        <f t="shared" si="501"/>
        <v/>
      </c>
      <c r="C5172" s="61"/>
      <c r="D5172" s="61"/>
      <c r="E5172" s="61"/>
      <c r="F5172" s="69"/>
      <c r="G5172" s="64"/>
      <c r="H5172" s="69"/>
      <c r="I5172" s="385"/>
      <c r="J5172" s="392"/>
      <c r="K5172" s="385"/>
      <c r="L5172" s="392"/>
      <c r="M5172" s="62"/>
      <c r="N5172" s="63"/>
      <c r="O5172" s="63"/>
      <c r="P5172" s="79" t="str">
        <f>IF(AND('331-CT'!$E$7=TH!H5172,OR(N5172="331",O5172="331")),"x","")</f>
        <v/>
      </c>
      <c r="Q5172" s="79" t="str">
        <f>IF(AND(B5172='111'!$L$11,OR($N5172=$Q$7,$O5172=$Q$7)),"x","")</f>
        <v/>
      </c>
      <c r="R5172" s="79" t="str">
        <f>IF(AND($N5172=$Q$7,$B5172&lt;'111'!$L$11),"x","")</f>
        <v/>
      </c>
      <c r="S5172" s="79" t="str">
        <f>IF(AND($O5172=$Q$7,$B5172&lt;'111'!$L$11),"x","")</f>
        <v/>
      </c>
      <c r="T5172" s="79" t="str">
        <f>IF(ISERROR(FIND('112'!$M$9,G5172,1)),"",IF((AND(FIND('112'!$M$9,G5172,1)&gt;=1,B5172='112'!$K$9,OR($N5172='112'!$I$6,$O5172='112'!$I$6))),"x",""))</f>
        <v/>
      </c>
      <c r="U5172" s="79" t="str">
        <f>IF(ISERROR(FIND('112'!$M$9,G5172,1)),"",IF((AND(LEFT(G5172,2)=LEFT('112'!$M$9,2),B5172&lt;'112'!$K$9,$N5172='112'!$I$6)),"x",""))</f>
        <v/>
      </c>
      <c r="V5172" s="79" t="str">
        <f>IF(ISERROR(FIND('112'!$M$9,G5172,1)),"",IF((AND(RIGHT(G5172,2)=RIGHT('112'!$M$9,2),B5172&lt;'112'!$K$9,$O5172='112'!$I$6)),"x",""))</f>
        <v/>
      </c>
      <c r="W5172" s="79" t="str">
        <f>IF(AND('341-CT'!$H$9=H5172,OR(LEFT(N5172,3)=$W$7,LEFT(O5172,3)=$W$7)),"x","")</f>
        <v/>
      </c>
      <c r="X5172" s="79" t="str">
        <f>IF(OR(TH!N5172=TH!$X$7,O5172=TH!$X$7),"x","")</f>
        <v/>
      </c>
      <c r="Y5172" s="79" t="str">
        <f>IF(AND(OR(N5172="131",O5172="131"),H5172='131-CT'!$H$9),"x","")</f>
        <v/>
      </c>
      <c r="Z5172" s="79"/>
      <c r="AA5172" s="79" t="str">
        <f>IF(AND(MONTH(E5172)='IN-NX'!$J$5,'IN-NX'!$D$7=D5172),"x","")</f>
        <v/>
      </c>
      <c r="AB5172" s="79" t="str">
        <f>IF(AND(OR(LEFT(TH!N5172,2)="15",LEFT(TH!O5172,2)="15"),LEFT(TH!O5172,3)&lt;&gt;"111",'152-CT'!$J$8=TH!F5172),"x","")</f>
        <v/>
      </c>
      <c r="AC5172" s="79" t="str">
        <f>IF(AND(OR(LEFT(TH!N5172,2)="15",LEFT(TH!O5172,2)="15"),TK!$E$7=TH!F5172),"x","")</f>
        <v/>
      </c>
      <c r="AD5172" s="79" t="str">
        <f>IF(AND(N5172="1521",MONTH(C5172)='BK-NL'!$M$11),"x","")</f>
        <v/>
      </c>
    </row>
    <row r="5173" spans="1:30" ht="16.5" customHeight="1">
      <c r="A5173" s="318" t="str">
        <f>IF(B5173&lt;&gt;"",IF(AND(B5173='[3]IN-TC'!$S$4,OR([3]TH!N4395="1111",[3]TH!O4395="1111")),[3]TH!D4395,""),"")</f>
        <v/>
      </c>
      <c r="B5173" s="60" t="str">
        <f t="shared" si="501"/>
        <v/>
      </c>
      <c r="C5173" s="61"/>
      <c r="D5173" s="61"/>
      <c r="E5173" s="61"/>
      <c r="F5173" s="69"/>
      <c r="G5173" s="64"/>
      <c r="H5173" s="69"/>
      <c r="I5173" s="385"/>
      <c r="J5173" s="392"/>
      <c r="K5173" s="385"/>
      <c r="L5173" s="392"/>
      <c r="M5173" s="62"/>
      <c r="N5173" s="63"/>
      <c r="O5173" s="63"/>
      <c r="P5173" s="79" t="str">
        <f>IF(AND('331-CT'!$E$7=TH!H5173,OR(N5173="331",O5173="331")),"x","")</f>
        <v/>
      </c>
      <c r="Q5173" s="79" t="str">
        <f>IF(AND(B5173='111'!$L$11,OR($N5173=$Q$7,$O5173=$Q$7)),"x","")</f>
        <v/>
      </c>
      <c r="R5173" s="79" t="str">
        <f>IF(AND($N5173=$Q$7,$B5173&lt;'111'!$L$11),"x","")</f>
        <v/>
      </c>
      <c r="S5173" s="79" t="str">
        <f>IF(AND($O5173=$Q$7,$B5173&lt;'111'!$L$11),"x","")</f>
        <v/>
      </c>
      <c r="T5173" s="79" t="str">
        <f>IF(ISERROR(FIND('112'!$M$9,G5173,1)),"",IF((AND(FIND('112'!$M$9,G5173,1)&gt;=1,B5173='112'!$K$9,OR($N5173='112'!$I$6,$O5173='112'!$I$6))),"x",""))</f>
        <v/>
      </c>
      <c r="U5173" s="79" t="str">
        <f>IF(ISERROR(FIND('112'!$M$9,G5173,1)),"",IF((AND(LEFT(G5173,2)=LEFT('112'!$M$9,2),B5173&lt;'112'!$K$9,$N5173='112'!$I$6)),"x",""))</f>
        <v/>
      </c>
      <c r="V5173" s="79" t="str">
        <f>IF(ISERROR(FIND('112'!$M$9,G5173,1)),"",IF((AND(RIGHT(G5173,2)=RIGHT('112'!$M$9,2),B5173&lt;'112'!$K$9,$O5173='112'!$I$6)),"x",""))</f>
        <v/>
      </c>
      <c r="W5173" s="79" t="str">
        <f>IF(AND('341-CT'!$H$9=H5173,OR(LEFT(N5173,3)=$W$7,LEFT(O5173,3)=$W$7)),"x","")</f>
        <v/>
      </c>
      <c r="X5173" s="79" t="str">
        <f>IF(OR(TH!N5173=TH!$X$7,O5173=TH!$X$7),"x","")</f>
        <v/>
      </c>
      <c r="Y5173" s="79" t="str">
        <f>IF(AND(OR(N5173="131",O5173="131"),H5173='131-CT'!$H$9),"x","")</f>
        <v/>
      </c>
      <c r="Z5173" s="79"/>
      <c r="AA5173" s="79" t="str">
        <f>IF(AND(MONTH(E5173)='IN-NX'!$J$5,'IN-NX'!$D$7=D5173),"x","")</f>
        <v/>
      </c>
      <c r="AB5173" s="79" t="str">
        <f>IF(AND(OR(LEFT(TH!N5173,2)="15",LEFT(TH!O5173,2)="15"),LEFT(TH!O5173,3)&lt;&gt;"111",'152-CT'!$J$8=TH!F5173),"x","")</f>
        <v/>
      </c>
      <c r="AC5173" s="79" t="str">
        <f>IF(AND(OR(LEFT(TH!N5173,2)="15",LEFT(TH!O5173,2)="15"),TK!$E$7=TH!F5173),"x","")</f>
        <v/>
      </c>
      <c r="AD5173" s="79" t="str">
        <f>IF(AND(N5173="1521",MONTH(C5173)='BK-NL'!$M$11),"x","")</f>
        <v/>
      </c>
    </row>
    <row r="5174" spans="1:30" ht="16.5" customHeight="1">
      <c r="A5174" s="318" t="str">
        <f>IF(B5174&lt;&gt;"",IF(AND(B5174='[3]IN-TC'!$S$4,OR([3]TH!N4396="1111",[3]TH!O4396="1111")),[3]TH!D4396,""),"")</f>
        <v/>
      </c>
      <c r="B5174" s="60" t="str">
        <f t="shared" si="501"/>
        <v/>
      </c>
      <c r="C5174" s="61"/>
      <c r="D5174" s="61"/>
      <c r="E5174" s="61"/>
      <c r="F5174" s="69"/>
      <c r="G5174" s="64"/>
      <c r="H5174" s="69"/>
      <c r="I5174" s="385"/>
      <c r="J5174" s="392"/>
      <c r="K5174" s="385"/>
      <c r="L5174" s="392"/>
      <c r="M5174" s="62"/>
      <c r="N5174" s="63"/>
      <c r="O5174" s="63"/>
      <c r="P5174" s="79" t="str">
        <f>IF(AND('331-CT'!$E$7=TH!H5174,OR(N5174="331",O5174="331")),"x","")</f>
        <v/>
      </c>
      <c r="Q5174" s="79" t="str">
        <f>IF(AND(B5174='111'!$L$11,OR($N5174=$Q$7,$O5174=$Q$7)),"x","")</f>
        <v/>
      </c>
      <c r="R5174" s="79" t="str">
        <f>IF(AND($N5174=$Q$7,$B5174&lt;'111'!$L$11),"x","")</f>
        <v/>
      </c>
      <c r="S5174" s="79" t="str">
        <f>IF(AND($O5174=$Q$7,$B5174&lt;'111'!$L$11),"x","")</f>
        <v/>
      </c>
      <c r="T5174" s="79" t="str">
        <f>IF(ISERROR(FIND('112'!$M$9,G5174,1)),"",IF((AND(FIND('112'!$M$9,G5174,1)&gt;=1,B5174='112'!$K$9,OR($N5174='112'!$I$6,$O5174='112'!$I$6))),"x",""))</f>
        <v/>
      </c>
      <c r="U5174" s="79" t="str">
        <f>IF(ISERROR(FIND('112'!$M$9,G5174,1)),"",IF((AND(LEFT(G5174,2)=LEFT('112'!$M$9,2),B5174&lt;'112'!$K$9,$N5174='112'!$I$6)),"x",""))</f>
        <v/>
      </c>
      <c r="V5174" s="79" t="str">
        <f>IF(ISERROR(FIND('112'!$M$9,G5174,1)),"",IF((AND(RIGHT(G5174,2)=RIGHT('112'!$M$9,2),B5174&lt;'112'!$K$9,$O5174='112'!$I$6)),"x",""))</f>
        <v/>
      </c>
      <c r="W5174" s="79" t="str">
        <f>IF(AND('341-CT'!$H$9=H5174,OR(LEFT(N5174,3)=$W$7,LEFT(O5174,3)=$W$7)),"x","")</f>
        <v/>
      </c>
      <c r="X5174" s="79" t="str">
        <f>IF(OR(TH!N5174=TH!$X$7,O5174=TH!$X$7),"x","")</f>
        <v/>
      </c>
      <c r="Y5174" s="79" t="str">
        <f>IF(AND(OR(N5174="131",O5174="131"),H5174='131-CT'!$H$9),"x","")</f>
        <v/>
      </c>
      <c r="Z5174" s="79"/>
      <c r="AA5174" s="79" t="str">
        <f>IF(AND(MONTH(E5174)='IN-NX'!$J$5,'IN-NX'!$D$7=D5174),"x","")</f>
        <v/>
      </c>
      <c r="AB5174" s="79" t="str">
        <f>IF(AND(OR(LEFT(TH!N5174,2)="15",LEFT(TH!O5174,2)="15"),LEFT(TH!O5174,3)&lt;&gt;"111",'152-CT'!$J$8=TH!F5174),"x","")</f>
        <v/>
      </c>
      <c r="AC5174" s="79" t="str">
        <f>IF(AND(OR(LEFT(TH!N5174,2)="15",LEFT(TH!O5174,2)="15"),TK!$E$7=TH!F5174),"x","")</f>
        <v/>
      </c>
      <c r="AD5174" s="79" t="str">
        <f>IF(AND(N5174="1521",MONTH(C5174)='BK-NL'!$M$11),"x","")</f>
        <v/>
      </c>
    </row>
    <row r="5175" spans="1:30" ht="16.5" customHeight="1">
      <c r="A5175" s="318" t="str">
        <f>IF(B5175&lt;&gt;"",IF(AND(B5175='[3]IN-TC'!$S$4,OR([3]TH!N4397="1111",[3]TH!O4397="1111")),[3]TH!D4397,""),"")</f>
        <v/>
      </c>
      <c r="B5175" s="60" t="str">
        <f t="shared" si="501"/>
        <v/>
      </c>
      <c r="C5175" s="61"/>
      <c r="D5175" s="61"/>
      <c r="E5175" s="61"/>
      <c r="F5175" s="69"/>
      <c r="G5175" s="64"/>
      <c r="H5175" s="69"/>
      <c r="I5175" s="385"/>
      <c r="J5175" s="392"/>
      <c r="K5175" s="385"/>
      <c r="L5175" s="392"/>
      <c r="M5175" s="62"/>
      <c r="N5175" s="63"/>
      <c r="O5175" s="63"/>
      <c r="P5175" s="79" t="str">
        <f>IF(AND('331-CT'!$E$7=TH!H5175,OR(N5175="331",O5175="331")),"x","")</f>
        <v/>
      </c>
      <c r="Q5175" s="79" t="str">
        <f>IF(AND(B5175='111'!$L$11,OR($N5175=$Q$7,$O5175=$Q$7)),"x","")</f>
        <v/>
      </c>
      <c r="R5175" s="79" t="str">
        <f>IF(AND($N5175=$Q$7,$B5175&lt;'111'!$L$11),"x","")</f>
        <v/>
      </c>
      <c r="S5175" s="79" t="str">
        <f>IF(AND($O5175=$Q$7,$B5175&lt;'111'!$L$11),"x","")</f>
        <v/>
      </c>
      <c r="T5175" s="79" t="str">
        <f>IF(ISERROR(FIND('112'!$M$9,G5175,1)),"",IF((AND(FIND('112'!$M$9,G5175,1)&gt;=1,B5175='112'!$K$9,OR($N5175='112'!$I$6,$O5175='112'!$I$6))),"x",""))</f>
        <v/>
      </c>
      <c r="U5175" s="79" t="str">
        <f>IF(ISERROR(FIND('112'!$M$9,G5175,1)),"",IF((AND(LEFT(G5175,2)=LEFT('112'!$M$9,2),B5175&lt;'112'!$K$9,$N5175='112'!$I$6)),"x",""))</f>
        <v/>
      </c>
      <c r="V5175" s="79" t="str">
        <f>IF(ISERROR(FIND('112'!$M$9,G5175,1)),"",IF((AND(RIGHT(G5175,2)=RIGHT('112'!$M$9,2),B5175&lt;'112'!$K$9,$O5175='112'!$I$6)),"x",""))</f>
        <v/>
      </c>
      <c r="W5175" s="79" t="str">
        <f>IF(AND('341-CT'!$H$9=H5175,OR(LEFT(N5175,3)=$W$7,LEFT(O5175,3)=$W$7)),"x","")</f>
        <v/>
      </c>
      <c r="X5175" s="79" t="str">
        <f>IF(OR(TH!N5175=TH!$X$7,O5175=TH!$X$7),"x","")</f>
        <v/>
      </c>
      <c r="Y5175" s="79" t="str">
        <f>IF(AND(OR(N5175="131",O5175="131"),H5175='131-CT'!$H$9),"x","")</f>
        <v/>
      </c>
      <c r="Z5175" s="79"/>
      <c r="AA5175" s="79" t="str">
        <f>IF(AND(MONTH(E5175)='IN-NX'!$J$5,'IN-NX'!$D$7=D5175),"x","")</f>
        <v/>
      </c>
      <c r="AB5175" s="79" t="str">
        <f>IF(AND(OR(LEFT(TH!N5175,2)="15",LEFT(TH!O5175,2)="15"),LEFT(TH!O5175,3)&lt;&gt;"111",'152-CT'!$J$8=TH!F5175),"x","")</f>
        <v/>
      </c>
      <c r="AC5175" s="79" t="str">
        <f>IF(AND(OR(LEFT(TH!N5175,2)="15",LEFT(TH!O5175,2)="15"),TK!$E$7=TH!F5175),"x","")</f>
        <v/>
      </c>
      <c r="AD5175" s="79" t="str">
        <f>IF(AND(N5175="1521",MONTH(C5175)='BK-NL'!$M$11),"x","")</f>
        <v/>
      </c>
    </row>
    <row r="5176" spans="1:30" ht="16.5" customHeight="1">
      <c r="A5176" s="318" t="str">
        <f>IF(B5176&lt;&gt;"",IF(AND(B5176='[3]IN-TC'!$S$4,OR([3]TH!N4398="1111",[3]TH!O4398="1111")),[3]TH!D4398,""),"")</f>
        <v/>
      </c>
      <c r="B5176" s="60" t="str">
        <f t="shared" si="501"/>
        <v/>
      </c>
      <c r="C5176" s="61"/>
      <c r="D5176" s="61"/>
      <c r="E5176" s="61"/>
      <c r="F5176" s="69"/>
      <c r="G5176" s="64"/>
      <c r="H5176" s="69"/>
      <c r="I5176" s="385"/>
      <c r="J5176" s="392"/>
      <c r="K5176" s="385"/>
      <c r="L5176" s="392"/>
      <c r="M5176" s="62"/>
      <c r="N5176" s="972"/>
      <c r="O5176" s="63"/>
      <c r="P5176" s="79" t="str">
        <f>IF(AND('331-CT'!$E$7=TH!H5176,OR(N5176="331",O5176="331")),"x","")</f>
        <v/>
      </c>
      <c r="Q5176" s="79" t="str">
        <f>IF(AND(B5176='111'!$L$11,OR($N5176=$Q$7,$O5176=$Q$7)),"x","")</f>
        <v/>
      </c>
      <c r="R5176" s="79" t="str">
        <f>IF(AND($N5176=$Q$7,$B5176&lt;'111'!$L$11),"x","")</f>
        <v/>
      </c>
      <c r="S5176" s="79" t="str">
        <f>IF(AND($O5176=$Q$7,$B5176&lt;'111'!$L$11),"x","")</f>
        <v/>
      </c>
      <c r="T5176" s="79" t="str">
        <f>IF(ISERROR(FIND('112'!$M$9,G5176,1)),"",IF((AND(FIND('112'!$M$9,G5176,1)&gt;=1,B5176='112'!$K$9,OR($N5176='112'!$I$6,$O5176='112'!$I$6))),"x",""))</f>
        <v/>
      </c>
      <c r="U5176" s="79" t="str">
        <f>IF(ISERROR(FIND('112'!$M$9,G5176,1)),"",IF((AND(LEFT(G5176,2)=LEFT('112'!$M$9,2),B5176&lt;'112'!$K$9,$N5176='112'!$I$6)),"x",""))</f>
        <v/>
      </c>
      <c r="V5176" s="79" t="str">
        <f>IF(ISERROR(FIND('112'!$M$9,G5176,1)),"",IF((AND(RIGHT(G5176,2)=RIGHT('112'!$M$9,2),B5176&lt;'112'!$K$9,$O5176='112'!$I$6)),"x",""))</f>
        <v/>
      </c>
      <c r="W5176" s="79" t="str">
        <f>IF(AND('341-CT'!$H$9=H5176,OR(LEFT(N5176,3)=$W$7,LEFT(O5176,3)=$W$7)),"x","")</f>
        <v/>
      </c>
      <c r="X5176" s="79" t="str">
        <f>IF(OR(TH!N5176=TH!$X$7,O5176=TH!$X$7),"x","")</f>
        <v/>
      </c>
      <c r="Y5176" s="79" t="str">
        <f>IF(AND(OR(N5176="131",O5176="131"),H5176='131-CT'!$H$9),"x","")</f>
        <v/>
      </c>
      <c r="Z5176" s="79"/>
      <c r="AA5176" s="79" t="str">
        <f>IF(AND(MONTH(E5176)='IN-NX'!$J$5,'IN-NX'!$D$7=D5176),"x","")</f>
        <v/>
      </c>
      <c r="AB5176" s="79" t="str">
        <f>IF(AND(OR(LEFT(TH!N5176,2)="15",LEFT(TH!O5176,2)="15"),LEFT(TH!O5176,3)&lt;&gt;"111",'152-CT'!$J$8=TH!F5176),"x","")</f>
        <v/>
      </c>
      <c r="AC5176" s="79" t="str">
        <f>IF(AND(OR(LEFT(TH!N5176,2)="15",LEFT(TH!O5176,2)="15"),TK!$E$7=TH!F5176),"x","")</f>
        <v/>
      </c>
      <c r="AD5176" s="79" t="str">
        <f>IF(AND(N5176="1521",MONTH(C5176)='BK-NL'!$M$11),"x","")</f>
        <v/>
      </c>
    </row>
    <row r="5177" spans="1:30" ht="16.5" customHeight="1">
      <c r="A5177" s="318" t="str">
        <f>IF(B5177&lt;&gt;"",IF(AND(B5177='[3]IN-TC'!$S$4,OR([3]TH!N4399="1111",[3]TH!O4399="1111")),[3]TH!D4399,""),"")</f>
        <v/>
      </c>
      <c r="B5177" s="60" t="str">
        <f t="shared" si="501"/>
        <v/>
      </c>
      <c r="C5177" s="61"/>
      <c r="D5177" s="61"/>
      <c r="E5177" s="61"/>
      <c r="F5177" s="69"/>
      <c r="G5177" s="64"/>
      <c r="H5177" s="69"/>
      <c r="I5177" s="385"/>
      <c r="J5177" s="392"/>
      <c r="K5177" s="385"/>
      <c r="L5177" s="392"/>
      <c r="M5177" s="62"/>
      <c r="N5177" s="63"/>
      <c r="O5177" s="63"/>
      <c r="P5177" s="79" t="str">
        <f>IF(AND('331-CT'!$E$7=TH!H5177,OR(N5177="331",O5177="331")),"x","")</f>
        <v/>
      </c>
      <c r="Q5177" s="79" t="str">
        <f>IF(AND(B5177='111'!$L$11,OR($N5177=$Q$7,$O5177=$Q$7)),"x","")</f>
        <v/>
      </c>
      <c r="R5177" s="79" t="str">
        <f>IF(AND($N5177=$Q$7,$B5177&lt;'111'!$L$11),"x","")</f>
        <v/>
      </c>
      <c r="S5177" s="79" t="str">
        <f>IF(AND($O5177=$Q$7,$B5177&lt;'111'!$L$11),"x","")</f>
        <v/>
      </c>
      <c r="T5177" s="79" t="str">
        <f>IF(ISERROR(FIND('112'!$M$9,G5177,1)),"",IF((AND(FIND('112'!$M$9,G5177,1)&gt;=1,B5177='112'!$K$9,OR($N5177='112'!$I$6,$O5177='112'!$I$6))),"x",""))</f>
        <v/>
      </c>
      <c r="U5177" s="79" t="str">
        <f>IF(ISERROR(FIND('112'!$M$9,G5177,1)),"",IF((AND(LEFT(G5177,2)=LEFT('112'!$M$9,2),B5177&lt;'112'!$K$9,$N5177='112'!$I$6)),"x",""))</f>
        <v/>
      </c>
      <c r="V5177" s="79" t="str">
        <f>IF(ISERROR(FIND('112'!$M$9,G5177,1)),"",IF((AND(RIGHT(G5177,2)=RIGHT('112'!$M$9,2),B5177&lt;'112'!$K$9,$O5177='112'!$I$6)),"x",""))</f>
        <v/>
      </c>
      <c r="W5177" s="79" t="str">
        <f>IF(AND('341-CT'!$H$9=H5177,OR(LEFT(N5177,3)=$W$7,LEFT(O5177,3)=$W$7)),"x","")</f>
        <v/>
      </c>
      <c r="X5177" s="79" t="str">
        <f>IF(OR(TH!N5177=TH!$X$7,O5177=TH!$X$7),"x","")</f>
        <v/>
      </c>
      <c r="Y5177" s="79" t="str">
        <f>IF(AND(OR(N5177="131",O5177="131"),H5177='131-CT'!$H$9),"x","")</f>
        <v/>
      </c>
      <c r="Z5177" s="79"/>
      <c r="AA5177" s="79" t="str">
        <f>IF(AND(MONTH(E5177)='IN-NX'!$J$5,'IN-NX'!$D$7=D5177),"x","")</f>
        <v/>
      </c>
      <c r="AB5177" s="79" t="str">
        <f>IF(AND(OR(LEFT(TH!N5177,2)="15",LEFT(TH!O5177,2)="15"),LEFT(TH!O5177,3)&lt;&gt;"111",'152-CT'!$J$8=TH!F5177),"x","")</f>
        <v/>
      </c>
      <c r="AC5177" s="79" t="str">
        <f>IF(AND(OR(LEFT(TH!N5177,2)="15",LEFT(TH!O5177,2)="15"),TK!$E$7=TH!F5177),"x","")</f>
        <v/>
      </c>
      <c r="AD5177" s="79" t="str">
        <f>IF(AND(N5177="1521",MONTH(C5177)='BK-NL'!$M$11),"x","")</f>
        <v/>
      </c>
    </row>
    <row r="5178" spans="1:30" ht="16.5" customHeight="1">
      <c r="A5178" s="318" t="str">
        <f>IF(B5178&lt;&gt;"",IF(AND(B5178='[3]IN-TC'!$S$4,OR([3]TH!N4400="1111",[3]TH!O4400="1111")),[3]TH!D4400,""),"")</f>
        <v/>
      </c>
      <c r="B5178" s="60" t="str">
        <f t="shared" si="501"/>
        <v/>
      </c>
      <c r="C5178" s="61"/>
      <c r="D5178" s="61"/>
      <c r="E5178" s="61"/>
      <c r="F5178" s="69"/>
      <c r="G5178" s="64"/>
      <c r="H5178" s="69"/>
      <c r="I5178" s="385"/>
      <c r="J5178" s="392"/>
      <c r="K5178" s="385"/>
      <c r="L5178" s="392"/>
      <c r="M5178" s="62"/>
      <c r="N5178" s="63"/>
      <c r="O5178" s="63"/>
      <c r="P5178" s="79" t="str">
        <f>IF(AND('331-CT'!$E$7=TH!H5178,OR(N5178="331",O5178="331")),"x","")</f>
        <v/>
      </c>
      <c r="Q5178" s="79" t="str">
        <f>IF(AND(B5178='111'!$L$11,OR($N5178=$Q$7,$O5178=$Q$7)),"x","")</f>
        <v/>
      </c>
      <c r="R5178" s="79" t="str">
        <f>IF(AND($N5178=$Q$7,$B5178&lt;'111'!$L$11),"x","")</f>
        <v/>
      </c>
      <c r="S5178" s="79" t="str">
        <f>IF(AND($O5178=$Q$7,$B5178&lt;'111'!$L$11),"x","")</f>
        <v/>
      </c>
      <c r="T5178" s="79" t="str">
        <f>IF(ISERROR(FIND('112'!$M$9,G5178,1)),"",IF((AND(FIND('112'!$M$9,G5178,1)&gt;=1,B5178='112'!$K$9,OR($N5178='112'!$I$6,$O5178='112'!$I$6))),"x",""))</f>
        <v/>
      </c>
      <c r="U5178" s="79" t="str">
        <f>IF(ISERROR(FIND('112'!$M$9,G5178,1)),"",IF((AND(LEFT(G5178,2)=LEFT('112'!$M$9,2),B5178&lt;'112'!$K$9,$N5178='112'!$I$6)),"x",""))</f>
        <v/>
      </c>
      <c r="V5178" s="79" t="str">
        <f>IF(ISERROR(FIND('112'!$M$9,G5178,1)),"",IF((AND(RIGHT(G5178,2)=RIGHT('112'!$M$9,2),B5178&lt;'112'!$K$9,$O5178='112'!$I$6)),"x",""))</f>
        <v/>
      </c>
      <c r="W5178" s="79" t="str">
        <f>IF(AND('341-CT'!$H$9=H5178,OR(LEFT(N5178,3)=$W$7,LEFT(O5178,3)=$W$7)),"x","")</f>
        <v/>
      </c>
      <c r="X5178" s="79" t="str">
        <f>IF(OR(TH!N5178=TH!$X$7,O5178=TH!$X$7),"x","")</f>
        <v/>
      </c>
      <c r="Y5178" s="79" t="str">
        <f>IF(AND(OR(N5178="131",O5178="131"),H5178='131-CT'!$H$9),"x","")</f>
        <v/>
      </c>
      <c r="Z5178" s="79"/>
      <c r="AA5178" s="79" t="str">
        <f>IF(AND(MONTH(E5178)='IN-NX'!$J$5,'IN-NX'!$D$7=D5178),"x","")</f>
        <v/>
      </c>
      <c r="AB5178" s="79" t="str">
        <f>IF(AND(OR(LEFT(TH!N5178,2)="15",LEFT(TH!O5178,2)="15"),LEFT(TH!O5178,3)&lt;&gt;"111",'152-CT'!$J$8=TH!F5178),"x","")</f>
        <v/>
      </c>
      <c r="AC5178" s="79" t="str">
        <f>IF(AND(OR(LEFT(TH!N5178,2)="15",LEFT(TH!O5178,2)="15"),TK!$E$7=TH!F5178),"x","")</f>
        <v/>
      </c>
      <c r="AD5178" s="79" t="str">
        <f>IF(AND(N5178="1521",MONTH(C5178)='BK-NL'!$M$11),"x","")</f>
        <v/>
      </c>
    </row>
    <row r="5179" spans="1:30" ht="16.5" customHeight="1">
      <c r="A5179" s="318" t="str">
        <f>IF(B5179&lt;&gt;"",IF(AND(B5179='[3]IN-TC'!$S$4,OR([3]TH!N4401="1111",[3]TH!O4401="1111")),[3]TH!D4401,""),"")</f>
        <v/>
      </c>
      <c r="B5179" s="60" t="str">
        <f t="shared" si="501"/>
        <v/>
      </c>
      <c r="C5179" s="61"/>
      <c r="D5179" s="61"/>
      <c r="E5179" s="61"/>
      <c r="F5179" s="69"/>
      <c r="G5179" s="766"/>
      <c r="H5179" s="69"/>
      <c r="I5179" s="385"/>
      <c r="J5179" s="392"/>
      <c r="K5179" s="385"/>
      <c r="L5179" s="392"/>
      <c r="M5179" s="62"/>
      <c r="N5179" s="63"/>
      <c r="O5179" s="63"/>
      <c r="P5179" s="79" t="str">
        <f>IF(AND('331-CT'!$E$7=TH!H5179,OR(N5179="331",O5179="331")),"x","")</f>
        <v/>
      </c>
      <c r="Q5179" s="79" t="str">
        <f>IF(AND(B5179='111'!$L$11,OR($N5179=$Q$7,$O5179=$Q$7)),"x","")</f>
        <v/>
      </c>
      <c r="R5179" s="79" t="str">
        <f>IF(AND($N5179=$Q$7,$B5179&lt;'111'!$L$11),"x","")</f>
        <v/>
      </c>
      <c r="S5179" s="79" t="str">
        <f>IF(AND($O5179=$Q$7,$B5179&lt;'111'!$L$11),"x","")</f>
        <v/>
      </c>
      <c r="T5179" s="79" t="str">
        <f>IF(ISERROR(FIND('112'!$M$9,G5179,1)),"",IF((AND(FIND('112'!$M$9,G5179,1)&gt;=1,B5179='112'!$K$9,OR($N5179='112'!$I$6,$O5179='112'!$I$6))),"x",""))</f>
        <v/>
      </c>
      <c r="U5179" s="79" t="str">
        <f>IF(ISERROR(FIND('112'!$M$9,G5179,1)),"",IF((AND(LEFT(G5179,2)=LEFT('112'!$M$9,2),B5179&lt;'112'!$K$9,$N5179='112'!$I$6)),"x",""))</f>
        <v/>
      </c>
      <c r="V5179" s="79" t="str">
        <f>IF(ISERROR(FIND('112'!$M$9,G5179,1)),"",IF((AND(RIGHT(G5179,2)=RIGHT('112'!$M$9,2),B5179&lt;'112'!$K$9,$O5179='112'!$I$6)),"x",""))</f>
        <v/>
      </c>
      <c r="W5179" s="79" t="str">
        <f>IF(AND('341-CT'!$H$9=H5179,OR(LEFT(N5179,3)=$W$7,LEFT(O5179,3)=$W$7)),"x","")</f>
        <v/>
      </c>
      <c r="X5179" s="79" t="str">
        <f>IF(OR(TH!N5179=TH!$X$7,O5179=TH!$X$7),"x","")</f>
        <v/>
      </c>
      <c r="Y5179" s="79" t="str">
        <f>IF(AND(OR(N5179="131",O5179="131"),H5179='131-CT'!$H$9),"x","")</f>
        <v/>
      </c>
      <c r="Z5179" s="79"/>
      <c r="AA5179" s="79" t="str">
        <f>IF(AND(MONTH(E5179)='IN-NX'!$J$5,'IN-NX'!$D$7=D5179),"x","")</f>
        <v/>
      </c>
      <c r="AB5179" s="79" t="str">
        <f>IF(AND(OR(LEFT(TH!N5179,2)="15",LEFT(TH!O5179,2)="15"),LEFT(TH!O5179,3)&lt;&gt;"111",'152-CT'!$J$8=TH!F5179),"x","")</f>
        <v/>
      </c>
      <c r="AC5179" s="79" t="str">
        <f>IF(AND(OR(LEFT(TH!N5179,2)="15",LEFT(TH!O5179,2)="15"),TK!$E$7=TH!F5179),"x","")</f>
        <v/>
      </c>
      <c r="AD5179" s="79" t="str">
        <f>IF(AND(N5179="1521",MONTH(C5179)='BK-NL'!$M$11),"x","")</f>
        <v/>
      </c>
    </row>
    <row r="5180" spans="1:30" ht="16.5" customHeight="1">
      <c r="A5180" s="318" t="str">
        <f>IF(B5180&lt;&gt;"",IF(AND(B5180='[3]IN-TC'!$S$4,OR([3]TH!N4402="1111",[3]TH!O4402="1111")),[3]TH!D4402,""),"")</f>
        <v/>
      </c>
      <c r="B5180" s="60" t="str">
        <f t="shared" si="501"/>
        <v/>
      </c>
      <c r="C5180" s="61"/>
      <c r="D5180" s="61"/>
      <c r="E5180" s="61"/>
      <c r="F5180" s="69"/>
      <c r="G5180" s="766"/>
      <c r="H5180" s="69"/>
      <c r="I5180" s="385"/>
      <c r="J5180" s="392"/>
      <c r="K5180" s="385"/>
      <c r="L5180" s="392"/>
      <c r="M5180" s="62"/>
      <c r="N5180" s="63"/>
      <c r="O5180" s="63"/>
      <c r="P5180" s="79" t="str">
        <f>IF(AND('331-CT'!$E$7=TH!H5180,OR(N5180="331",O5180="331")),"x","")</f>
        <v/>
      </c>
      <c r="Q5180" s="79" t="str">
        <f>IF(AND(B5180='111'!$L$11,OR($N5180=$Q$7,$O5180=$Q$7)),"x","")</f>
        <v/>
      </c>
      <c r="R5180" s="79" t="str">
        <f>IF(AND($N5180=$Q$7,$B5180&lt;'111'!$L$11),"x","")</f>
        <v/>
      </c>
      <c r="S5180" s="79" t="str">
        <f>IF(AND($O5180=$Q$7,$B5180&lt;'111'!$L$11),"x","")</f>
        <v/>
      </c>
      <c r="T5180" s="79" t="str">
        <f>IF(ISERROR(FIND('112'!$M$9,G5180,1)),"",IF((AND(FIND('112'!$M$9,G5180,1)&gt;=1,B5180='112'!$K$9,OR($N5180='112'!$I$6,$O5180='112'!$I$6))),"x",""))</f>
        <v/>
      </c>
      <c r="U5180" s="79" t="str">
        <f>IF(ISERROR(FIND('112'!$M$9,G5180,1)),"",IF((AND(LEFT(G5180,2)=LEFT('112'!$M$9,2),B5180&lt;'112'!$K$9,$N5180='112'!$I$6)),"x",""))</f>
        <v/>
      </c>
      <c r="V5180" s="79" t="str">
        <f>IF(ISERROR(FIND('112'!$M$9,G5180,1)),"",IF((AND(RIGHT(G5180,2)=RIGHT('112'!$M$9,2),B5180&lt;'112'!$K$9,$O5180='112'!$I$6)),"x",""))</f>
        <v/>
      </c>
      <c r="W5180" s="79" t="str">
        <f>IF(AND('341-CT'!$H$9=H5180,OR(LEFT(N5180,3)=$W$7,LEFT(O5180,3)=$W$7)),"x","")</f>
        <v/>
      </c>
      <c r="X5180" s="79" t="str">
        <f>IF(OR(TH!N5180=TH!$X$7,O5180=TH!$X$7),"x","")</f>
        <v/>
      </c>
      <c r="Y5180" s="79" t="str">
        <f>IF(AND(OR(N5180="131",O5180="131"),H5180='131-CT'!$H$9),"x","")</f>
        <v/>
      </c>
      <c r="Z5180" s="79"/>
      <c r="AA5180" s="79" t="str">
        <f>IF(AND(MONTH(E5180)='IN-NX'!$J$5,'IN-NX'!$D$7=D5180),"x","")</f>
        <v/>
      </c>
      <c r="AB5180" s="79" t="str">
        <f>IF(AND(OR(LEFT(TH!N5180,2)="15",LEFT(TH!O5180,2)="15"),LEFT(TH!O5180,3)&lt;&gt;"111",'152-CT'!$J$8=TH!F5180),"x","")</f>
        <v/>
      </c>
      <c r="AC5180" s="79" t="str">
        <f>IF(AND(OR(LEFT(TH!N5180,2)="15",LEFT(TH!O5180,2)="15"),TK!$E$7=TH!F5180),"x","")</f>
        <v/>
      </c>
      <c r="AD5180" s="79" t="str">
        <f>IF(AND(N5180="1521",MONTH(C5180)='BK-NL'!$M$11),"x","")</f>
        <v/>
      </c>
    </row>
    <row r="5181" spans="1:30" ht="16.5" customHeight="1">
      <c r="A5181" s="318" t="str">
        <f>IF(B5181&lt;&gt;"",IF(AND(B5181='[3]IN-TC'!$S$4,OR([3]TH!N4403="1111",[3]TH!O4403="1111")),[3]TH!D4403,""),"")</f>
        <v/>
      </c>
      <c r="B5181" s="60" t="str">
        <f t="shared" si="501"/>
        <v/>
      </c>
      <c r="C5181" s="61"/>
      <c r="D5181" s="61"/>
      <c r="E5181" s="61"/>
      <c r="F5181" s="69"/>
      <c r="G5181" s="64"/>
      <c r="H5181" s="69"/>
      <c r="I5181" s="385"/>
      <c r="J5181" s="392"/>
      <c r="K5181" s="385"/>
      <c r="L5181" s="392"/>
      <c r="M5181" s="62"/>
      <c r="N5181" s="972"/>
      <c r="O5181" s="63"/>
      <c r="P5181" s="79" t="str">
        <f>IF(AND('331-CT'!$E$7=TH!H5181,OR(N5181="331",O5181="331")),"x","")</f>
        <v/>
      </c>
      <c r="Q5181" s="79" t="str">
        <f>IF(AND(B5181='111'!$L$11,OR($N5181=$Q$7,$O5181=$Q$7)),"x","")</f>
        <v/>
      </c>
      <c r="R5181" s="79" t="str">
        <f>IF(AND($N5181=$Q$7,$B5181&lt;'111'!$L$11),"x","")</f>
        <v/>
      </c>
      <c r="S5181" s="79" t="str">
        <f>IF(AND($O5181=$Q$7,$B5181&lt;'111'!$L$11),"x","")</f>
        <v/>
      </c>
      <c r="T5181" s="79" t="str">
        <f>IF(ISERROR(FIND('112'!$M$9,G5181,1)),"",IF((AND(FIND('112'!$M$9,G5181,1)&gt;=1,B5181='112'!$K$9,OR($N5181='112'!$I$6,$O5181='112'!$I$6))),"x",""))</f>
        <v/>
      </c>
      <c r="U5181" s="79" t="str">
        <f>IF(ISERROR(FIND('112'!$M$9,G5181,1)),"",IF((AND(LEFT(G5181,2)=LEFT('112'!$M$9,2),B5181&lt;'112'!$K$9,$N5181='112'!$I$6)),"x",""))</f>
        <v/>
      </c>
      <c r="V5181" s="79" t="str">
        <f>IF(ISERROR(FIND('112'!$M$9,G5181,1)),"",IF((AND(RIGHT(G5181,2)=RIGHT('112'!$M$9,2),B5181&lt;'112'!$K$9,$O5181='112'!$I$6)),"x",""))</f>
        <v/>
      </c>
      <c r="W5181" s="79" t="str">
        <f>IF(AND('341-CT'!$H$9=H5181,OR(LEFT(N5181,3)=$W$7,LEFT(O5181,3)=$W$7)),"x","")</f>
        <v/>
      </c>
      <c r="X5181" s="79" t="str">
        <f>IF(OR(TH!N5181=TH!$X$7,O5181=TH!$X$7),"x","")</f>
        <v/>
      </c>
      <c r="Y5181" s="79" t="str">
        <f>IF(AND(OR(N5181="131",O5181="131"),H5181='131-CT'!$H$9),"x","")</f>
        <v/>
      </c>
      <c r="Z5181" s="79"/>
      <c r="AA5181" s="79" t="str">
        <f>IF(AND(MONTH(E5181)='IN-NX'!$J$5,'IN-NX'!$D$7=D5181),"x","")</f>
        <v/>
      </c>
      <c r="AB5181" s="79" t="str">
        <f>IF(AND(OR(LEFT(TH!N5181,2)="15",LEFT(TH!O5181,2)="15"),LEFT(TH!O5181,3)&lt;&gt;"111",'152-CT'!$J$8=TH!F5181),"x","")</f>
        <v/>
      </c>
      <c r="AC5181" s="79" t="str">
        <f>IF(AND(OR(LEFT(TH!N5181,2)="15",LEFT(TH!O5181,2)="15"),TK!$E$7=TH!F5181),"x","")</f>
        <v/>
      </c>
      <c r="AD5181" s="79" t="str">
        <f>IF(AND(N5181="1521",MONTH(C5181)='BK-NL'!$M$11),"x","")</f>
        <v/>
      </c>
    </row>
    <row r="5182" spans="1:30" ht="16.5" customHeight="1">
      <c r="A5182" s="318" t="str">
        <f>IF(B5182&lt;&gt;"",IF(AND(B5182='[3]IN-TC'!$S$4,OR([3]TH!N4404="1111",[3]TH!O4404="1111")),[3]TH!D4404,""),"")</f>
        <v/>
      </c>
      <c r="B5182" s="60" t="str">
        <f t="shared" si="501"/>
        <v/>
      </c>
      <c r="C5182" s="61"/>
      <c r="D5182" s="61"/>
      <c r="E5182" s="61"/>
      <c r="F5182" s="69"/>
      <c r="G5182" s="64"/>
      <c r="H5182" s="69"/>
      <c r="I5182" s="385"/>
      <c r="J5182" s="392"/>
      <c r="K5182" s="385"/>
      <c r="L5182" s="392"/>
      <c r="M5182" s="62"/>
      <c r="N5182" s="63"/>
      <c r="O5182" s="63"/>
      <c r="P5182" s="79" t="str">
        <f>IF(AND('331-CT'!$E$7=TH!H5182,OR(N5182="331",O5182="331")),"x","")</f>
        <v/>
      </c>
      <c r="Q5182" s="79" t="str">
        <f>IF(AND(B5182='111'!$L$11,OR($N5182=$Q$7,$O5182=$Q$7)),"x","")</f>
        <v/>
      </c>
      <c r="R5182" s="79" t="str">
        <f>IF(AND($N5182=$Q$7,$B5182&lt;'111'!$L$11),"x","")</f>
        <v/>
      </c>
      <c r="S5182" s="79" t="str">
        <f>IF(AND($O5182=$Q$7,$B5182&lt;'111'!$L$11),"x","")</f>
        <v/>
      </c>
      <c r="T5182" s="79" t="str">
        <f>IF(ISERROR(FIND('112'!$M$9,G5182,1)),"",IF((AND(FIND('112'!$M$9,G5182,1)&gt;=1,B5182='112'!$K$9,OR($N5182='112'!$I$6,$O5182='112'!$I$6))),"x",""))</f>
        <v/>
      </c>
      <c r="U5182" s="79" t="str">
        <f>IF(ISERROR(FIND('112'!$M$9,G5182,1)),"",IF((AND(LEFT(G5182,2)=LEFT('112'!$M$9,2),B5182&lt;'112'!$K$9,$N5182='112'!$I$6)),"x",""))</f>
        <v/>
      </c>
      <c r="V5182" s="79" t="str">
        <f>IF(ISERROR(FIND('112'!$M$9,G5182,1)),"",IF((AND(RIGHT(G5182,2)=RIGHT('112'!$M$9,2),B5182&lt;'112'!$K$9,$O5182='112'!$I$6)),"x",""))</f>
        <v/>
      </c>
      <c r="W5182" s="79" t="str">
        <f>IF(AND('341-CT'!$H$9=H5182,OR(LEFT(N5182,3)=$W$7,LEFT(O5182,3)=$W$7)),"x","")</f>
        <v/>
      </c>
      <c r="X5182" s="79" t="str">
        <f>IF(OR(TH!N5182=TH!$X$7,O5182=TH!$X$7),"x","")</f>
        <v/>
      </c>
      <c r="Y5182" s="79" t="str">
        <f>IF(AND(OR(N5182="131",O5182="131"),H5182='131-CT'!$H$9),"x","")</f>
        <v/>
      </c>
      <c r="Z5182" s="79"/>
      <c r="AA5182" s="79" t="str">
        <f>IF(AND(MONTH(E5182)='IN-NX'!$J$5,'IN-NX'!$D$7=D5182),"x","")</f>
        <v/>
      </c>
      <c r="AB5182" s="79" t="str">
        <f>IF(AND(OR(LEFT(TH!N5182,2)="15",LEFT(TH!O5182,2)="15"),LEFT(TH!O5182,3)&lt;&gt;"111",'152-CT'!$J$8=TH!F5182),"x","")</f>
        <v/>
      </c>
      <c r="AC5182" s="79" t="str">
        <f>IF(AND(OR(LEFT(TH!N5182,2)="15",LEFT(TH!O5182,2)="15"),TK!$E$7=TH!F5182),"x","")</f>
        <v/>
      </c>
      <c r="AD5182" s="79" t="str">
        <f>IF(AND(N5182="1521",MONTH(C5182)='BK-NL'!$M$11),"x","")</f>
        <v/>
      </c>
    </row>
    <row r="5183" spans="1:30" ht="16.5" customHeight="1">
      <c r="A5183" s="318" t="str">
        <f>IF(B5183&lt;&gt;"",IF(AND(B5183='[3]IN-TC'!$S$4,OR([3]TH!N4405="1111",[3]TH!O4405="1111")),[3]TH!D4405,""),"")</f>
        <v/>
      </c>
      <c r="B5183" s="60" t="str">
        <f t="shared" si="501"/>
        <v/>
      </c>
      <c r="C5183" s="61"/>
      <c r="D5183" s="61"/>
      <c r="E5183" s="61"/>
      <c r="F5183" s="69"/>
      <c r="G5183" s="64"/>
      <c r="H5183" s="69"/>
      <c r="I5183" s="385"/>
      <c r="J5183" s="392"/>
      <c r="K5183" s="385"/>
      <c r="L5183" s="392"/>
      <c r="M5183" s="62"/>
      <c r="N5183" s="63"/>
      <c r="O5183" s="63"/>
      <c r="P5183" s="79" t="str">
        <f>IF(AND('331-CT'!$E$7=TH!H5183,OR(N5183="331",O5183="331")),"x","")</f>
        <v/>
      </c>
      <c r="Q5183" s="79" t="str">
        <f>IF(AND(B5183='111'!$L$11,OR($N5183=$Q$7,$O5183=$Q$7)),"x","")</f>
        <v/>
      </c>
      <c r="R5183" s="79" t="str">
        <f>IF(AND($N5183=$Q$7,$B5183&lt;'111'!$L$11),"x","")</f>
        <v/>
      </c>
      <c r="S5183" s="79" t="str">
        <f>IF(AND($O5183=$Q$7,$B5183&lt;'111'!$L$11),"x","")</f>
        <v/>
      </c>
      <c r="T5183" s="79" t="str">
        <f>IF(ISERROR(FIND('112'!$M$9,G5183,1)),"",IF((AND(FIND('112'!$M$9,G5183,1)&gt;=1,B5183='112'!$K$9,OR($N5183='112'!$I$6,$O5183='112'!$I$6))),"x",""))</f>
        <v/>
      </c>
      <c r="U5183" s="79" t="str">
        <f>IF(ISERROR(FIND('112'!$M$9,G5183,1)),"",IF((AND(LEFT(G5183,2)=LEFT('112'!$M$9,2),B5183&lt;'112'!$K$9,$N5183='112'!$I$6)),"x",""))</f>
        <v/>
      </c>
      <c r="V5183" s="79" t="str">
        <f>IF(ISERROR(FIND('112'!$M$9,G5183,1)),"",IF((AND(RIGHT(G5183,2)=RIGHT('112'!$M$9,2),B5183&lt;'112'!$K$9,$O5183='112'!$I$6)),"x",""))</f>
        <v/>
      </c>
      <c r="W5183" s="79" t="str">
        <f>IF(AND('341-CT'!$H$9=H5183,OR(LEFT(N5183,3)=$W$7,LEFT(O5183,3)=$W$7)),"x","")</f>
        <v/>
      </c>
      <c r="X5183" s="79" t="str">
        <f>IF(OR(TH!N5183=TH!$X$7,O5183=TH!$X$7),"x","")</f>
        <v/>
      </c>
      <c r="Y5183" s="79" t="str">
        <f>IF(AND(OR(N5183="131",O5183="131"),H5183='131-CT'!$H$9),"x","")</f>
        <v/>
      </c>
      <c r="Z5183" s="79"/>
      <c r="AA5183" s="79" t="str">
        <f>IF(AND(MONTH(E5183)='IN-NX'!$J$5,'IN-NX'!$D$7=D5183),"x","")</f>
        <v/>
      </c>
      <c r="AB5183" s="79" t="str">
        <f>IF(AND(OR(LEFT(TH!N5183,2)="15",LEFT(TH!O5183,2)="15"),LEFT(TH!O5183,3)&lt;&gt;"111",'152-CT'!$J$8=TH!F5183),"x","")</f>
        <v/>
      </c>
      <c r="AC5183" s="79" t="str">
        <f>IF(AND(OR(LEFT(TH!N5183,2)="15",LEFT(TH!O5183,2)="15"),TK!$E$7=TH!F5183),"x","")</f>
        <v/>
      </c>
      <c r="AD5183" s="79" t="str">
        <f>IF(AND(N5183="1521",MONTH(C5183)='BK-NL'!$M$11),"x","")</f>
        <v/>
      </c>
    </row>
    <row r="5184" spans="1:30" ht="16.5" customHeight="1">
      <c r="A5184" s="318" t="str">
        <f>IF(B5184&lt;&gt;"",IF(AND(B5184='[3]IN-TC'!$S$4,OR([3]TH!N4406="1111",[3]TH!O4406="1111")),[3]TH!D4406,""),"")</f>
        <v/>
      </c>
      <c r="B5184" s="60" t="str">
        <f t="shared" si="501"/>
        <v/>
      </c>
      <c r="C5184" s="61"/>
      <c r="D5184" s="61"/>
      <c r="E5184" s="61"/>
      <c r="F5184" s="69"/>
      <c r="G5184" s="766"/>
      <c r="H5184" s="69"/>
      <c r="I5184" s="385"/>
      <c r="J5184" s="392"/>
      <c r="K5184" s="385"/>
      <c r="L5184" s="392"/>
      <c r="M5184" s="62"/>
      <c r="N5184" s="63"/>
      <c r="O5184" s="63"/>
      <c r="P5184" s="79" t="str">
        <f>IF(AND('331-CT'!$E$7=TH!H5184,OR(N5184="331",O5184="331")),"x","")</f>
        <v/>
      </c>
      <c r="Q5184" s="79" t="str">
        <f>IF(AND(B5184='111'!$L$11,OR($N5184=$Q$7,$O5184=$Q$7)),"x","")</f>
        <v/>
      </c>
      <c r="R5184" s="79" t="str">
        <f>IF(AND($N5184=$Q$7,$B5184&lt;'111'!$L$11),"x","")</f>
        <v/>
      </c>
      <c r="S5184" s="79" t="str">
        <f>IF(AND($O5184=$Q$7,$B5184&lt;'111'!$L$11),"x","")</f>
        <v/>
      </c>
      <c r="T5184" s="79" t="str">
        <f>IF(ISERROR(FIND('112'!$M$9,G5184,1)),"",IF((AND(FIND('112'!$M$9,G5184,1)&gt;=1,B5184='112'!$K$9,OR($N5184='112'!$I$6,$O5184='112'!$I$6))),"x",""))</f>
        <v/>
      </c>
      <c r="U5184" s="79" t="str">
        <f>IF(ISERROR(FIND('112'!$M$9,G5184,1)),"",IF((AND(LEFT(G5184,2)=LEFT('112'!$M$9,2),B5184&lt;'112'!$K$9,$N5184='112'!$I$6)),"x",""))</f>
        <v/>
      </c>
      <c r="V5184" s="79" t="str">
        <f>IF(ISERROR(FIND('112'!$M$9,G5184,1)),"",IF((AND(RIGHT(G5184,2)=RIGHT('112'!$M$9,2),B5184&lt;'112'!$K$9,$O5184='112'!$I$6)),"x",""))</f>
        <v/>
      </c>
      <c r="W5184" s="79" t="str">
        <f>IF(AND('341-CT'!$H$9=H5184,OR(LEFT(N5184,3)=$W$7,LEFT(O5184,3)=$W$7)),"x","")</f>
        <v/>
      </c>
      <c r="X5184" s="79" t="str">
        <f>IF(OR(TH!N5184=TH!$X$7,O5184=TH!$X$7),"x","")</f>
        <v/>
      </c>
      <c r="Y5184" s="79" t="str">
        <f>IF(AND(OR(N5184="131",O5184="131"),H5184='131-CT'!$H$9),"x","")</f>
        <v/>
      </c>
      <c r="Z5184" s="79"/>
      <c r="AA5184" s="79" t="str">
        <f>IF(AND(MONTH(E5184)='IN-NX'!$J$5,'IN-NX'!$D$7=D5184),"x","")</f>
        <v/>
      </c>
      <c r="AB5184" s="79" t="str">
        <f>IF(AND(OR(LEFT(TH!N5184,2)="15",LEFT(TH!O5184,2)="15"),LEFT(TH!O5184,3)&lt;&gt;"111",'152-CT'!$J$8=TH!F5184),"x","")</f>
        <v/>
      </c>
      <c r="AC5184" s="79" t="str">
        <f>IF(AND(OR(LEFT(TH!N5184,2)="15",LEFT(TH!O5184,2)="15"),TK!$E$7=TH!F5184),"x","")</f>
        <v/>
      </c>
      <c r="AD5184" s="79" t="str">
        <f>IF(AND(N5184="1521",MONTH(C5184)='BK-NL'!$M$11),"x","")</f>
        <v/>
      </c>
    </row>
    <row r="5185" spans="1:30" ht="16.5" customHeight="1">
      <c r="A5185" s="318" t="str">
        <f>IF(B5185&lt;&gt;"",IF(AND(B5185='[3]IN-TC'!$S$4,OR([3]TH!N4407="1111",[3]TH!O4407="1111")),[3]TH!D4407,""),"")</f>
        <v/>
      </c>
      <c r="B5185" s="60" t="str">
        <f t="shared" si="501"/>
        <v/>
      </c>
      <c r="C5185" s="301"/>
      <c r="D5185" s="301"/>
      <c r="E5185" s="301"/>
      <c r="F5185" s="69"/>
      <c r="G5185" s="769"/>
      <c r="H5185" s="303"/>
      <c r="I5185" s="385"/>
      <c r="J5185" s="392"/>
      <c r="K5185" s="385"/>
      <c r="L5185" s="392"/>
      <c r="M5185" s="62"/>
      <c r="N5185" s="63"/>
      <c r="O5185" s="63"/>
      <c r="P5185" s="79" t="str">
        <f>IF(AND('331-CT'!$E$7=TH!H5185,OR(N5185="331",O5185="331")),"x","")</f>
        <v/>
      </c>
      <c r="Q5185" s="79" t="str">
        <f>IF(AND(B5185='111'!$L$11,OR($N5185=$Q$7,$O5185=$Q$7)),"x","")</f>
        <v/>
      </c>
      <c r="R5185" s="79" t="str">
        <f>IF(AND($N5185=$Q$7,$B5185&lt;'111'!$L$11),"x","")</f>
        <v/>
      </c>
      <c r="S5185" s="79" t="str">
        <f>IF(AND($O5185=$Q$7,$B5185&lt;'111'!$L$11),"x","")</f>
        <v/>
      </c>
      <c r="T5185" s="79" t="str">
        <f>IF(ISERROR(FIND('112'!$M$9,G5185,1)),"",IF((AND(FIND('112'!$M$9,G5185,1)&gt;=1,B5185='112'!$K$9,OR($N5185='112'!$I$6,$O5185='112'!$I$6))),"x",""))</f>
        <v/>
      </c>
      <c r="U5185" s="79" t="str">
        <f>IF(ISERROR(FIND('112'!$M$9,G5185,1)),"",IF((AND(LEFT(G5185,2)=LEFT('112'!$M$9,2),B5185&lt;'112'!$K$9,$N5185='112'!$I$6)),"x",""))</f>
        <v/>
      </c>
      <c r="V5185" s="79" t="str">
        <f>IF(ISERROR(FIND('112'!$M$9,G5185,1)),"",IF((AND(RIGHT(G5185,2)=RIGHT('112'!$M$9,2),B5185&lt;'112'!$K$9,$O5185='112'!$I$6)),"x",""))</f>
        <v/>
      </c>
      <c r="W5185" s="79" t="str">
        <f>IF(AND('341-CT'!$H$9=H5185,OR(LEFT(N5185,3)=$W$7,LEFT(O5185,3)=$W$7)),"x","")</f>
        <v/>
      </c>
      <c r="X5185" s="79" t="str">
        <f>IF(OR(TH!N5185=TH!$X$7,O5185=TH!$X$7),"x","")</f>
        <v/>
      </c>
      <c r="Y5185" s="79" t="str">
        <f>IF(AND(OR(N5185="131",O5185="131"),H5185='131-CT'!$H$9),"x","")</f>
        <v/>
      </c>
      <c r="Z5185" s="79"/>
      <c r="AA5185" s="79" t="str">
        <f>IF(AND(MONTH(E5185)='IN-NX'!$J$5,'IN-NX'!$D$7=D5185),"x","")</f>
        <v/>
      </c>
      <c r="AB5185" s="79" t="str">
        <f>IF(AND(OR(LEFT(TH!N5185,2)="15",LEFT(TH!O5185,2)="15"),LEFT(TH!O5185,3)&lt;&gt;"111",'152-CT'!$J$8=TH!F5185),"x","")</f>
        <v/>
      </c>
      <c r="AC5185" s="79" t="str">
        <f>IF(AND(OR(LEFT(TH!N5185,2)="15",LEFT(TH!O5185,2)="15"),TK!$E$7=TH!F5185),"x","")</f>
        <v/>
      </c>
      <c r="AD5185" s="79" t="str">
        <f>IF(AND(N5185="1521",MONTH(C5185)='BK-NL'!$M$11),"x","")</f>
        <v/>
      </c>
    </row>
    <row r="5186" spans="1:30" ht="16.5" customHeight="1">
      <c r="A5186" s="318" t="str">
        <f>IF(B5186&lt;&gt;"",IF(AND(B5186='[3]IN-TC'!$S$4,OR([3]TH!N4408="1111",[3]TH!O4408="1111")),[3]TH!D4408,""),"")</f>
        <v/>
      </c>
      <c r="B5186" s="60" t="str">
        <f t="shared" si="501"/>
        <v/>
      </c>
      <c r="C5186" s="301"/>
      <c r="D5186" s="301"/>
      <c r="E5186" s="301"/>
      <c r="F5186" s="69"/>
      <c r="G5186" s="769"/>
      <c r="H5186" s="303"/>
      <c r="I5186" s="385"/>
      <c r="J5186" s="392"/>
      <c r="K5186" s="385"/>
      <c r="L5186" s="392"/>
      <c r="M5186" s="62"/>
      <c r="N5186" s="63"/>
      <c r="O5186" s="63"/>
      <c r="P5186" s="79" t="str">
        <f>IF(AND('331-CT'!$E$7=TH!H5186,OR(N5186="331",O5186="331")),"x","")</f>
        <v/>
      </c>
      <c r="Q5186" s="79" t="str">
        <f>IF(AND(B5186='111'!$L$11,OR($N5186=$Q$7,$O5186=$Q$7)),"x","")</f>
        <v/>
      </c>
      <c r="R5186" s="79" t="str">
        <f>IF(AND($N5186=$Q$7,$B5186&lt;'111'!$L$11),"x","")</f>
        <v/>
      </c>
      <c r="S5186" s="79" t="str">
        <f>IF(AND($O5186=$Q$7,$B5186&lt;'111'!$L$11),"x","")</f>
        <v/>
      </c>
      <c r="T5186" s="79" t="str">
        <f>IF(ISERROR(FIND('112'!$M$9,G5186,1)),"",IF((AND(FIND('112'!$M$9,G5186,1)&gt;=1,B5186='112'!$K$9,OR($N5186='112'!$I$6,$O5186='112'!$I$6))),"x",""))</f>
        <v/>
      </c>
      <c r="U5186" s="79" t="str">
        <f>IF(ISERROR(FIND('112'!$M$9,G5186,1)),"",IF((AND(LEFT(G5186,2)=LEFT('112'!$M$9,2),B5186&lt;'112'!$K$9,$N5186='112'!$I$6)),"x",""))</f>
        <v/>
      </c>
      <c r="V5186" s="79" t="str">
        <f>IF(ISERROR(FIND('112'!$M$9,G5186,1)),"",IF((AND(RIGHT(G5186,2)=RIGHT('112'!$M$9,2),B5186&lt;'112'!$K$9,$O5186='112'!$I$6)),"x",""))</f>
        <v/>
      </c>
      <c r="W5186" s="79" t="str">
        <f>IF(AND('341-CT'!$H$9=H5186,OR(LEFT(N5186,3)=$W$7,LEFT(O5186,3)=$W$7)),"x","")</f>
        <v/>
      </c>
      <c r="X5186" s="79" t="str">
        <f>IF(OR(TH!N5186=TH!$X$7,O5186=TH!$X$7),"x","")</f>
        <v/>
      </c>
      <c r="Y5186" s="79" t="str">
        <f>IF(AND(OR(N5186="131",O5186="131"),H5186='131-CT'!$H$9),"x","")</f>
        <v/>
      </c>
      <c r="Z5186" s="79"/>
      <c r="AA5186" s="79" t="str">
        <f>IF(AND(MONTH(E5186)='IN-NX'!$J$5,'IN-NX'!$D$7=D5186),"x","")</f>
        <v/>
      </c>
      <c r="AB5186" s="79" t="str">
        <f>IF(AND(OR(LEFT(TH!N5186,2)="15",LEFT(TH!O5186,2)="15"),LEFT(TH!O5186,3)&lt;&gt;"111",'152-CT'!$J$8=TH!F5186),"x","")</f>
        <v/>
      </c>
      <c r="AC5186" s="79" t="str">
        <f>IF(AND(OR(LEFT(TH!N5186,2)="15",LEFT(TH!O5186,2)="15"),TK!$E$7=TH!F5186),"x","")</f>
        <v/>
      </c>
      <c r="AD5186" s="79" t="str">
        <f>IF(AND(N5186="1521",MONTH(C5186)='BK-NL'!$M$11),"x","")</f>
        <v/>
      </c>
    </row>
    <row r="5187" spans="1:30" ht="16.5" customHeight="1">
      <c r="A5187" s="318" t="str">
        <f>IF(B5187&lt;&gt;"",IF(AND(B5187='[3]IN-TC'!$S$4,OR([3]TH!N4409="1111",[3]TH!O4409="1111")),[3]TH!D4409,""),"")</f>
        <v/>
      </c>
      <c r="B5187" s="60" t="str">
        <f t="shared" ref="B5187:B5250" si="502">IF(C5187&lt;&gt;"",MONTH(C5187),"")</f>
        <v/>
      </c>
      <c r="C5187" s="301"/>
      <c r="D5187" s="301"/>
      <c r="E5187" s="301"/>
      <c r="F5187" s="69"/>
      <c r="G5187" s="769"/>
      <c r="H5187" s="303"/>
      <c r="I5187" s="385"/>
      <c r="J5187" s="392"/>
      <c r="K5187" s="385"/>
      <c r="L5187" s="392"/>
      <c r="M5187" s="62"/>
      <c r="N5187" s="304"/>
      <c r="O5187" s="63"/>
      <c r="P5187" s="79" t="str">
        <f>IF(AND('331-CT'!$E$7=TH!H5187,OR(N5187="331",O5187="331")),"x","")</f>
        <v/>
      </c>
      <c r="Q5187" s="79" t="str">
        <f>IF(AND(B5187='111'!$L$11,OR($N5187=$Q$7,$O5187=$Q$7)),"x","")</f>
        <v/>
      </c>
      <c r="R5187" s="79" t="str">
        <f>IF(AND($N5187=$Q$7,$B5187&lt;'111'!$L$11),"x","")</f>
        <v/>
      </c>
      <c r="S5187" s="79" t="str">
        <f>IF(AND($O5187=$Q$7,$B5187&lt;'111'!$L$11),"x","")</f>
        <v/>
      </c>
      <c r="T5187" s="79" t="str">
        <f>IF(ISERROR(FIND('112'!$M$9,G5187,1)),"",IF((AND(FIND('112'!$M$9,G5187,1)&gt;=1,B5187='112'!$K$9,OR($N5187='112'!$I$6,$O5187='112'!$I$6))),"x",""))</f>
        <v/>
      </c>
      <c r="U5187" s="79" t="str">
        <f>IF(ISERROR(FIND('112'!$M$9,G5187,1)),"",IF((AND(LEFT(G5187,2)=LEFT('112'!$M$9,2),B5187&lt;'112'!$K$9,$N5187='112'!$I$6)),"x",""))</f>
        <v/>
      </c>
      <c r="V5187" s="79" t="str">
        <f>IF(ISERROR(FIND('112'!$M$9,G5187,1)),"",IF((AND(RIGHT(G5187,2)=RIGHT('112'!$M$9,2),B5187&lt;'112'!$K$9,$O5187='112'!$I$6)),"x",""))</f>
        <v/>
      </c>
      <c r="W5187" s="79" t="str">
        <f>IF(AND('341-CT'!$H$9=H5187,OR(LEFT(N5187,3)=$W$7,LEFT(O5187,3)=$W$7)),"x","")</f>
        <v/>
      </c>
      <c r="X5187" s="79" t="str">
        <f>IF(OR(TH!N5187=TH!$X$7,O5187=TH!$X$7),"x","")</f>
        <v/>
      </c>
      <c r="Y5187" s="79" t="str">
        <f>IF(AND(OR(N5187="131",O5187="131"),H5187='131-CT'!$H$9),"x","")</f>
        <v/>
      </c>
      <c r="Z5187" s="79"/>
      <c r="AA5187" s="79" t="str">
        <f>IF(AND(MONTH(E5187)='IN-NX'!$J$5,'IN-NX'!$D$7=D5187),"x","")</f>
        <v/>
      </c>
      <c r="AB5187" s="79" t="str">
        <f>IF(AND(OR(LEFT(TH!N5187,2)="15",LEFT(TH!O5187,2)="15"),LEFT(TH!O5187,3)&lt;&gt;"111",'152-CT'!$J$8=TH!F5187),"x","")</f>
        <v/>
      </c>
      <c r="AC5187" s="79" t="str">
        <f>IF(AND(OR(LEFT(TH!N5187,2)="15",LEFT(TH!O5187,2)="15"),TK!$E$7=TH!F5187),"x","")</f>
        <v/>
      </c>
      <c r="AD5187" s="79" t="str">
        <f>IF(AND(N5187="1521",MONTH(C5187)='BK-NL'!$M$11),"x","")</f>
        <v/>
      </c>
    </row>
    <row r="5188" spans="1:30" ht="16.5" customHeight="1">
      <c r="A5188" s="318" t="str">
        <f>IF(B5188&lt;&gt;"",IF(AND(B5188='[3]IN-TC'!$S$4,OR([3]TH!N4410="1111",[3]TH!O4410="1111")),[3]TH!D4410,""),"")</f>
        <v/>
      </c>
      <c r="B5188" s="60" t="str">
        <f t="shared" si="502"/>
        <v/>
      </c>
      <c r="C5188" s="301"/>
      <c r="D5188" s="301"/>
      <c r="E5188" s="301"/>
      <c r="F5188" s="69"/>
      <c r="G5188" s="769"/>
      <c r="H5188" s="303"/>
      <c r="I5188" s="385"/>
      <c r="J5188" s="392"/>
      <c r="K5188" s="385"/>
      <c r="L5188" s="392"/>
      <c r="M5188" s="62"/>
      <c r="N5188" s="63"/>
      <c r="O5188" s="63"/>
      <c r="P5188" s="79" t="str">
        <f>IF(AND('331-CT'!$E$7=TH!H5188,OR(N5188="331",O5188="331")),"x","")</f>
        <v/>
      </c>
      <c r="Q5188" s="79" t="str">
        <f>IF(AND(B5188='111'!$L$11,OR($N5188=$Q$7,$O5188=$Q$7)),"x","")</f>
        <v/>
      </c>
      <c r="R5188" s="79" t="str">
        <f>IF(AND($N5188=$Q$7,$B5188&lt;'111'!$L$11),"x","")</f>
        <v/>
      </c>
      <c r="S5188" s="79" t="str">
        <f>IF(AND($O5188=$Q$7,$B5188&lt;'111'!$L$11),"x","")</f>
        <v/>
      </c>
      <c r="T5188" s="79" t="str">
        <f>IF(ISERROR(FIND('112'!$M$9,G5188,1)),"",IF((AND(FIND('112'!$M$9,G5188,1)&gt;=1,B5188='112'!$K$9,OR($N5188='112'!$I$6,$O5188='112'!$I$6))),"x",""))</f>
        <v/>
      </c>
      <c r="U5188" s="79" t="str">
        <f>IF(ISERROR(FIND('112'!$M$9,G5188,1)),"",IF((AND(LEFT(G5188,2)=LEFT('112'!$M$9,2),B5188&lt;'112'!$K$9,$N5188='112'!$I$6)),"x",""))</f>
        <v/>
      </c>
      <c r="V5188" s="79" t="str">
        <f>IF(ISERROR(FIND('112'!$M$9,G5188,1)),"",IF((AND(RIGHT(G5188,2)=RIGHT('112'!$M$9,2),B5188&lt;'112'!$K$9,$O5188='112'!$I$6)),"x",""))</f>
        <v/>
      </c>
      <c r="W5188" s="79" t="str">
        <f>IF(AND('341-CT'!$H$9=H5188,OR(LEFT(N5188,3)=$W$7,LEFT(O5188,3)=$W$7)),"x","")</f>
        <v/>
      </c>
      <c r="X5188" s="79" t="str">
        <f>IF(OR(TH!N5188=TH!$X$7,O5188=TH!$X$7),"x","")</f>
        <v/>
      </c>
      <c r="Y5188" s="79" t="str">
        <f>IF(AND(OR(N5188="131",O5188="131"),H5188='131-CT'!$H$9),"x","")</f>
        <v/>
      </c>
      <c r="Z5188" s="79"/>
      <c r="AA5188" s="79" t="str">
        <f>IF(AND(MONTH(E5188)='IN-NX'!$J$5,'IN-NX'!$D$7=D5188),"x","")</f>
        <v/>
      </c>
      <c r="AB5188" s="79" t="str">
        <f>IF(AND(OR(LEFT(TH!N5188,2)="15",LEFT(TH!O5188,2)="15"),LEFT(TH!O5188,3)&lt;&gt;"111",'152-CT'!$J$8=TH!F5188),"x","")</f>
        <v/>
      </c>
      <c r="AC5188" s="79" t="str">
        <f>IF(AND(OR(LEFT(TH!N5188,2)="15",LEFT(TH!O5188,2)="15"),TK!$E$7=TH!F5188),"x","")</f>
        <v/>
      </c>
      <c r="AD5188" s="79" t="str">
        <f>IF(AND(N5188="1521",MONTH(C5188)='BK-NL'!$M$11),"x","")</f>
        <v/>
      </c>
    </row>
    <row r="5189" spans="1:30" ht="16.5" customHeight="1">
      <c r="A5189" s="318" t="str">
        <f>IF(B5189&lt;&gt;"",IF(AND(B5189='[3]IN-TC'!$S$4,OR([3]TH!N4411="1111",[3]TH!O4411="1111")),[3]TH!D4411,""),"")</f>
        <v/>
      </c>
      <c r="B5189" s="60" t="str">
        <f t="shared" si="502"/>
        <v/>
      </c>
      <c r="C5189" s="301"/>
      <c r="D5189" s="301"/>
      <c r="E5189" s="301"/>
      <c r="F5189" s="69"/>
      <c r="G5189" s="769"/>
      <c r="H5189" s="303"/>
      <c r="I5189" s="385"/>
      <c r="J5189" s="392"/>
      <c r="K5189" s="385"/>
      <c r="L5189" s="392"/>
      <c r="M5189" s="62"/>
      <c r="N5189" s="304"/>
      <c r="O5189" s="63"/>
      <c r="P5189" s="79" t="str">
        <f>IF(AND('331-CT'!$E$7=TH!H5189,OR(N5189="331",O5189="331")),"x","")</f>
        <v/>
      </c>
      <c r="Q5189" s="79" t="str">
        <f>IF(AND(B5189='111'!$L$11,OR($N5189=$Q$7,$O5189=$Q$7)),"x","")</f>
        <v/>
      </c>
      <c r="R5189" s="79" t="str">
        <f>IF(AND($N5189=$Q$7,$B5189&lt;'111'!$L$11),"x","")</f>
        <v/>
      </c>
      <c r="S5189" s="79" t="str">
        <f>IF(AND($O5189=$Q$7,$B5189&lt;'111'!$L$11),"x","")</f>
        <v/>
      </c>
      <c r="T5189" s="79" t="str">
        <f>IF(ISERROR(FIND('112'!$M$9,G5189,1)),"",IF((AND(FIND('112'!$M$9,G5189,1)&gt;=1,B5189='112'!$K$9,OR($N5189='112'!$I$6,$O5189='112'!$I$6))),"x",""))</f>
        <v/>
      </c>
      <c r="U5189" s="79" t="str">
        <f>IF(ISERROR(FIND('112'!$M$9,G5189,1)),"",IF((AND(LEFT(G5189,2)=LEFT('112'!$M$9,2),B5189&lt;'112'!$K$9,$N5189='112'!$I$6)),"x",""))</f>
        <v/>
      </c>
      <c r="V5189" s="79" t="str">
        <f>IF(ISERROR(FIND('112'!$M$9,G5189,1)),"",IF((AND(RIGHT(G5189,2)=RIGHT('112'!$M$9,2),B5189&lt;'112'!$K$9,$O5189='112'!$I$6)),"x",""))</f>
        <v/>
      </c>
      <c r="W5189" s="79" t="str">
        <f>IF(AND('341-CT'!$H$9=H5189,OR(LEFT(N5189,3)=$W$7,LEFT(O5189,3)=$W$7)),"x","")</f>
        <v/>
      </c>
      <c r="X5189" s="79" t="str">
        <f>IF(OR(TH!N5189=TH!$X$7,O5189=TH!$X$7),"x","")</f>
        <v/>
      </c>
      <c r="Y5189" s="79" t="str">
        <f>IF(AND(OR(N5189="131",O5189="131"),H5189='131-CT'!$H$9),"x","")</f>
        <v/>
      </c>
      <c r="Z5189" s="79"/>
      <c r="AA5189" s="79" t="str">
        <f>IF(AND(MONTH(E5189)='IN-NX'!$J$5,'IN-NX'!$D$7=D5189),"x","")</f>
        <v/>
      </c>
      <c r="AB5189" s="79" t="str">
        <f>IF(AND(OR(LEFT(TH!N5189,2)="15",LEFT(TH!O5189,2)="15"),LEFT(TH!O5189,3)&lt;&gt;"111",'152-CT'!$J$8=TH!F5189),"x","")</f>
        <v/>
      </c>
      <c r="AC5189" s="79" t="str">
        <f>IF(AND(OR(LEFT(TH!N5189,2)="15",LEFT(TH!O5189,2)="15"),TK!$E$7=TH!F5189),"x","")</f>
        <v/>
      </c>
      <c r="AD5189" s="79" t="str">
        <f>IF(AND(N5189="1521",MONTH(C5189)='BK-NL'!$M$11),"x","")</f>
        <v/>
      </c>
    </row>
    <row r="5190" spans="1:30" ht="16.5" customHeight="1">
      <c r="A5190" s="318" t="str">
        <f>IF(B5190&lt;&gt;"",IF(AND(B5190='[3]IN-TC'!$S$4,OR([3]TH!N4412="1111",[3]TH!O4412="1111")),[3]TH!D4412,""),"")</f>
        <v/>
      </c>
      <c r="B5190" s="60" t="str">
        <f t="shared" si="502"/>
        <v/>
      </c>
      <c r="C5190" s="301"/>
      <c r="D5190" s="301"/>
      <c r="E5190" s="301"/>
      <c r="F5190" s="69"/>
      <c r="G5190" s="769"/>
      <c r="H5190" s="303"/>
      <c r="I5190" s="385"/>
      <c r="J5190" s="392"/>
      <c r="K5190" s="385"/>
      <c r="L5190" s="392"/>
      <c r="M5190" s="62"/>
      <c r="N5190" s="304"/>
      <c r="O5190" s="63"/>
      <c r="P5190" s="79" t="str">
        <f>IF(AND('331-CT'!$E$7=TH!H5190,OR(N5190="331",O5190="331")),"x","")</f>
        <v/>
      </c>
      <c r="Q5190" s="79" t="str">
        <f>IF(AND(B5190='111'!$L$11,OR($N5190=$Q$7,$O5190=$Q$7)),"x","")</f>
        <v/>
      </c>
      <c r="R5190" s="79" t="str">
        <f>IF(AND($N5190=$Q$7,$B5190&lt;'111'!$L$11),"x","")</f>
        <v/>
      </c>
      <c r="S5190" s="79" t="str">
        <f>IF(AND($O5190=$Q$7,$B5190&lt;'111'!$L$11),"x","")</f>
        <v/>
      </c>
      <c r="T5190" s="79" t="str">
        <f>IF(ISERROR(FIND('112'!$M$9,G5190,1)),"",IF((AND(FIND('112'!$M$9,G5190,1)&gt;=1,B5190='112'!$K$9,OR($N5190='112'!$I$6,$O5190='112'!$I$6))),"x",""))</f>
        <v/>
      </c>
      <c r="U5190" s="79" t="str">
        <f>IF(ISERROR(FIND('112'!$M$9,G5190,1)),"",IF((AND(LEFT(G5190,2)=LEFT('112'!$M$9,2),B5190&lt;'112'!$K$9,$N5190='112'!$I$6)),"x",""))</f>
        <v/>
      </c>
      <c r="V5190" s="79" t="str">
        <f>IF(ISERROR(FIND('112'!$M$9,G5190,1)),"",IF((AND(RIGHT(G5190,2)=RIGHT('112'!$M$9,2),B5190&lt;'112'!$K$9,$O5190='112'!$I$6)),"x",""))</f>
        <v/>
      </c>
      <c r="W5190" s="79" t="str">
        <f>IF(AND('341-CT'!$H$9=H5190,OR(LEFT(N5190,3)=$W$7,LEFT(O5190,3)=$W$7)),"x","")</f>
        <v/>
      </c>
      <c r="X5190" s="79" t="str">
        <f>IF(OR(TH!N5190=TH!$X$7,O5190=TH!$X$7),"x","")</f>
        <v/>
      </c>
      <c r="Y5190" s="79" t="str">
        <f>IF(AND(OR(N5190="131",O5190="131"),H5190='131-CT'!$H$9),"x","")</f>
        <v/>
      </c>
      <c r="Z5190" s="79"/>
      <c r="AA5190" s="79" t="str">
        <f>IF(AND(MONTH(E5190)='IN-NX'!$J$5,'IN-NX'!$D$7=D5190),"x","")</f>
        <v/>
      </c>
      <c r="AB5190" s="79" t="str">
        <f>IF(AND(OR(LEFT(TH!N5190,2)="15",LEFT(TH!O5190,2)="15"),LEFT(TH!O5190,3)&lt;&gt;"111",'152-CT'!$J$8=TH!F5190),"x","")</f>
        <v/>
      </c>
      <c r="AC5190" s="79" t="str">
        <f>IF(AND(OR(LEFT(TH!N5190,2)="15",LEFT(TH!O5190,2)="15"),TK!$E$7=TH!F5190),"x","")</f>
        <v/>
      </c>
      <c r="AD5190" s="79" t="str">
        <f>IF(AND(N5190="1521",MONTH(C5190)='BK-NL'!$M$11),"x","")</f>
        <v/>
      </c>
    </row>
    <row r="5191" spans="1:30" ht="16.5" customHeight="1">
      <c r="A5191" s="318" t="str">
        <f>IF(B5191&lt;&gt;"",IF(AND(B5191='[3]IN-TC'!$S$4,OR([3]TH!N4413="1111",[3]TH!O4413="1111")),[3]TH!D4413,""),"")</f>
        <v/>
      </c>
      <c r="B5191" s="60" t="str">
        <f t="shared" si="502"/>
        <v/>
      </c>
      <c r="C5191" s="301"/>
      <c r="D5191" s="301"/>
      <c r="E5191" s="301"/>
      <c r="F5191" s="69"/>
      <c r="G5191" s="769"/>
      <c r="H5191" s="303"/>
      <c r="I5191" s="385"/>
      <c r="J5191" s="392"/>
      <c r="K5191" s="385"/>
      <c r="L5191" s="392"/>
      <c r="M5191" s="62"/>
      <c r="N5191" s="304"/>
      <c r="O5191" s="63"/>
      <c r="P5191" s="79" t="str">
        <f>IF(AND('331-CT'!$E$7=TH!H5191,OR(N5191="331",O5191="331")),"x","")</f>
        <v/>
      </c>
      <c r="Q5191" s="79" t="str">
        <f>IF(AND(B5191='111'!$L$11,OR($N5191=$Q$7,$O5191=$Q$7)),"x","")</f>
        <v/>
      </c>
      <c r="R5191" s="79" t="str">
        <f>IF(AND($N5191=$Q$7,$B5191&lt;'111'!$L$11),"x","")</f>
        <v/>
      </c>
      <c r="S5191" s="79" t="str">
        <f>IF(AND($O5191=$Q$7,$B5191&lt;'111'!$L$11),"x","")</f>
        <v/>
      </c>
      <c r="T5191" s="79" t="str">
        <f>IF(ISERROR(FIND('112'!$M$9,G5191,1)),"",IF((AND(FIND('112'!$M$9,G5191,1)&gt;=1,B5191='112'!$K$9,OR($N5191='112'!$I$6,$O5191='112'!$I$6))),"x",""))</f>
        <v/>
      </c>
      <c r="U5191" s="79" t="str">
        <f>IF(ISERROR(FIND('112'!$M$9,G5191,1)),"",IF((AND(LEFT(G5191,2)=LEFT('112'!$M$9,2),B5191&lt;'112'!$K$9,$N5191='112'!$I$6)),"x",""))</f>
        <v/>
      </c>
      <c r="V5191" s="79" t="str">
        <f>IF(ISERROR(FIND('112'!$M$9,G5191,1)),"",IF((AND(RIGHT(G5191,2)=RIGHT('112'!$M$9,2),B5191&lt;'112'!$K$9,$O5191='112'!$I$6)),"x",""))</f>
        <v/>
      </c>
      <c r="W5191" s="79" t="str">
        <f>IF(AND('341-CT'!$H$9=H5191,OR(LEFT(N5191,3)=$W$7,LEFT(O5191,3)=$W$7)),"x","")</f>
        <v/>
      </c>
      <c r="X5191" s="79" t="str">
        <f>IF(OR(TH!N5191=TH!$X$7,O5191=TH!$X$7),"x","")</f>
        <v/>
      </c>
      <c r="Y5191" s="79" t="str">
        <f>IF(AND(OR(N5191="131",O5191="131"),H5191='131-CT'!$H$9),"x","")</f>
        <v/>
      </c>
      <c r="Z5191" s="79"/>
      <c r="AA5191" s="79" t="str">
        <f>IF(AND(MONTH(E5191)='IN-NX'!$J$5,'IN-NX'!$D$7=D5191),"x","")</f>
        <v/>
      </c>
      <c r="AB5191" s="79" t="str">
        <f>IF(AND(OR(LEFT(TH!N5191,2)="15",LEFT(TH!O5191,2)="15"),LEFT(TH!O5191,3)&lt;&gt;"111",'152-CT'!$J$8=TH!F5191),"x","")</f>
        <v/>
      </c>
      <c r="AC5191" s="79" t="str">
        <f>IF(AND(OR(LEFT(TH!N5191,2)="15",LEFT(TH!O5191,2)="15"),TK!$E$7=TH!F5191),"x","")</f>
        <v/>
      </c>
      <c r="AD5191" s="79" t="str">
        <f>IF(AND(N5191="1521",MONTH(C5191)='BK-NL'!$M$11),"x","")</f>
        <v/>
      </c>
    </row>
    <row r="5192" spans="1:30" ht="16.5" customHeight="1">
      <c r="A5192" s="318" t="str">
        <f>IF(B5192&lt;&gt;"",IF(AND(B5192='[3]IN-TC'!$S$4,OR([3]TH!N4414="1111",[3]TH!O4414="1111")),[3]TH!D4414,""),"")</f>
        <v/>
      </c>
      <c r="B5192" s="60" t="str">
        <f t="shared" si="502"/>
        <v/>
      </c>
      <c r="C5192" s="301"/>
      <c r="D5192" s="301"/>
      <c r="E5192" s="301"/>
      <c r="F5192" s="69"/>
      <c r="G5192" s="769"/>
      <c r="H5192" s="303"/>
      <c r="I5192" s="385"/>
      <c r="J5192" s="392"/>
      <c r="K5192" s="385"/>
      <c r="L5192" s="392"/>
      <c r="M5192" s="62"/>
      <c r="N5192" s="304"/>
      <c r="O5192" s="63"/>
      <c r="P5192" s="79" t="str">
        <f>IF(AND('331-CT'!$E$7=TH!H5192,OR(N5192="331",O5192="331")),"x","")</f>
        <v/>
      </c>
      <c r="Q5192" s="79" t="str">
        <f>IF(AND(B5192='111'!$L$11,OR($N5192=$Q$7,$O5192=$Q$7)),"x","")</f>
        <v/>
      </c>
      <c r="R5192" s="79" t="str">
        <f>IF(AND($N5192=$Q$7,$B5192&lt;'111'!$L$11),"x","")</f>
        <v/>
      </c>
      <c r="S5192" s="79" t="str">
        <f>IF(AND($O5192=$Q$7,$B5192&lt;'111'!$L$11),"x","")</f>
        <v/>
      </c>
      <c r="T5192" s="79" t="str">
        <f>IF(ISERROR(FIND('112'!$M$9,G5192,1)),"",IF((AND(FIND('112'!$M$9,G5192,1)&gt;=1,B5192='112'!$K$9,OR($N5192='112'!$I$6,$O5192='112'!$I$6))),"x",""))</f>
        <v/>
      </c>
      <c r="U5192" s="79" t="str">
        <f>IF(ISERROR(FIND('112'!$M$9,G5192,1)),"",IF((AND(LEFT(G5192,2)=LEFT('112'!$M$9,2),B5192&lt;'112'!$K$9,$N5192='112'!$I$6)),"x",""))</f>
        <v/>
      </c>
      <c r="V5192" s="79" t="str">
        <f>IF(ISERROR(FIND('112'!$M$9,G5192,1)),"",IF((AND(RIGHT(G5192,2)=RIGHT('112'!$M$9,2),B5192&lt;'112'!$K$9,$O5192='112'!$I$6)),"x",""))</f>
        <v/>
      </c>
      <c r="W5192" s="79" t="str">
        <f>IF(AND('341-CT'!$H$9=H5192,OR(LEFT(N5192,3)=$W$7,LEFT(O5192,3)=$W$7)),"x","")</f>
        <v/>
      </c>
      <c r="X5192" s="79" t="str">
        <f>IF(OR(TH!N5192=TH!$X$7,O5192=TH!$X$7),"x","")</f>
        <v/>
      </c>
      <c r="Y5192" s="79" t="str">
        <f>IF(AND(OR(N5192="131",O5192="131"),H5192='131-CT'!$H$9),"x","")</f>
        <v/>
      </c>
      <c r="Z5192" s="79"/>
      <c r="AA5192" s="79" t="str">
        <f>IF(AND(MONTH(E5192)='IN-NX'!$J$5,'IN-NX'!$D$7=D5192),"x","")</f>
        <v/>
      </c>
      <c r="AB5192" s="79" t="str">
        <f>IF(AND(OR(LEFT(TH!N5192,2)="15",LEFT(TH!O5192,2)="15"),LEFT(TH!O5192,3)&lt;&gt;"111",'152-CT'!$J$8=TH!F5192),"x","")</f>
        <v/>
      </c>
      <c r="AC5192" s="79" t="str">
        <f>IF(AND(OR(LEFT(TH!N5192,2)="15",LEFT(TH!O5192,2)="15"),TK!$E$7=TH!F5192),"x","")</f>
        <v/>
      </c>
      <c r="AD5192" s="79" t="str">
        <f>IF(AND(N5192="1521",MONTH(C5192)='BK-NL'!$M$11),"x","")</f>
        <v/>
      </c>
    </row>
    <row r="5193" spans="1:30" ht="16.5" customHeight="1">
      <c r="A5193" s="318" t="str">
        <f>IF(B5193&lt;&gt;"",IF(AND(B5193='[3]IN-TC'!$S$4,OR([3]TH!N4415="1111",[3]TH!O4415="1111")),[3]TH!D4415,""),"")</f>
        <v/>
      </c>
      <c r="B5193" s="60" t="str">
        <f t="shared" si="502"/>
        <v/>
      </c>
      <c r="C5193" s="301"/>
      <c r="D5193" s="301"/>
      <c r="E5193" s="301"/>
      <c r="F5193" s="69"/>
      <c r="G5193" s="769"/>
      <c r="H5193" s="303"/>
      <c r="I5193" s="385"/>
      <c r="J5193" s="392"/>
      <c r="K5193" s="385"/>
      <c r="L5193" s="392"/>
      <c r="M5193" s="62"/>
      <c r="N5193" s="304"/>
      <c r="O5193" s="63"/>
      <c r="P5193" s="79" t="str">
        <f>IF(AND('331-CT'!$E$7=TH!H5193,OR(N5193="331",O5193="331")),"x","")</f>
        <v/>
      </c>
      <c r="Q5193" s="79" t="str">
        <f>IF(AND(B5193='111'!$L$11,OR($N5193=$Q$7,$O5193=$Q$7)),"x","")</f>
        <v/>
      </c>
      <c r="R5193" s="79" t="str">
        <f>IF(AND($N5193=$Q$7,$B5193&lt;'111'!$L$11),"x","")</f>
        <v/>
      </c>
      <c r="S5193" s="79" t="str">
        <f>IF(AND($O5193=$Q$7,$B5193&lt;'111'!$L$11),"x","")</f>
        <v/>
      </c>
      <c r="T5193" s="79" t="str">
        <f>IF(ISERROR(FIND('112'!$M$9,G5193,1)),"",IF((AND(FIND('112'!$M$9,G5193,1)&gt;=1,B5193='112'!$K$9,OR($N5193='112'!$I$6,$O5193='112'!$I$6))),"x",""))</f>
        <v/>
      </c>
      <c r="U5193" s="79" t="str">
        <f>IF(ISERROR(FIND('112'!$M$9,G5193,1)),"",IF((AND(LEFT(G5193,2)=LEFT('112'!$M$9,2),B5193&lt;'112'!$K$9,$N5193='112'!$I$6)),"x",""))</f>
        <v/>
      </c>
      <c r="V5193" s="79" t="str">
        <f>IF(ISERROR(FIND('112'!$M$9,G5193,1)),"",IF((AND(RIGHT(G5193,2)=RIGHT('112'!$M$9,2),B5193&lt;'112'!$K$9,$O5193='112'!$I$6)),"x",""))</f>
        <v/>
      </c>
      <c r="W5193" s="79" t="str">
        <f>IF(AND('341-CT'!$H$9=H5193,OR(LEFT(N5193,3)=$W$7,LEFT(O5193,3)=$W$7)),"x","")</f>
        <v/>
      </c>
      <c r="X5193" s="79" t="str">
        <f>IF(OR(TH!N5193=TH!$X$7,O5193=TH!$X$7),"x","")</f>
        <v/>
      </c>
      <c r="Y5193" s="79" t="str">
        <f>IF(AND(OR(N5193="131",O5193="131"),H5193='131-CT'!$H$9),"x","")</f>
        <v/>
      </c>
      <c r="Z5193" s="79"/>
      <c r="AA5193" s="79" t="str">
        <f>IF(AND(MONTH(E5193)='IN-NX'!$J$5,'IN-NX'!$D$7=D5193),"x","")</f>
        <v/>
      </c>
      <c r="AB5193" s="79" t="str">
        <f>IF(AND(OR(LEFT(TH!N5193,2)="15",LEFT(TH!O5193,2)="15"),LEFT(TH!O5193,3)&lt;&gt;"111",'152-CT'!$J$8=TH!F5193),"x","")</f>
        <v/>
      </c>
      <c r="AC5193" s="79" t="str">
        <f>IF(AND(OR(LEFT(TH!N5193,2)="15",LEFT(TH!O5193,2)="15"),TK!$E$7=TH!F5193),"x","")</f>
        <v/>
      </c>
      <c r="AD5193" s="79" t="str">
        <f>IF(AND(N5193="1521",MONTH(C5193)='BK-NL'!$M$11),"x","")</f>
        <v/>
      </c>
    </row>
    <row r="5194" spans="1:30" ht="16.5" customHeight="1">
      <c r="A5194" s="318" t="str">
        <f>IF(B5194&lt;&gt;"",IF(AND(B5194='[3]IN-TC'!$S$4,OR([3]TH!N4416="1111",[3]TH!O4416="1111")),[3]TH!D4416,""),"")</f>
        <v/>
      </c>
      <c r="B5194" s="60" t="str">
        <f t="shared" si="502"/>
        <v/>
      </c>
      <c r="C5194" s="301"/>
      <c r="D5194" s="301"/>
      <c r="E5194" s="301"/>
      <c r="F5194" s="69"/>
      <c r="G5194" s="302"/>
      <c r="H5194" s="303"/>
      <c r="I5194" s="385"/>
      <c r="J5194" s="392"/>
      <c r="K5194" s="385"/>
      <c r="L5194" s="392"/>
      <c r="M5194" s="62"/>
      <c r="N5194" s="304"/>
      <c r="O5194" s="63"/>
      <c r="P5194" s="79" t="str">
        <f>IF(AND('331-CT'!$E$7=TH!H5194,OR(N5194="331",O5194="331")),"x","")</f>
        <v/>
      </c>
      <c r="Q5194" s="79" t="str">
        <f>IF(AND(B5194='111'!$L$11,OR($N5194=$Q$7,$O5194=$Q$7)),"x","")</f>
        <v/>
      </c>
      <c r="R5194" s="79" t="str">
        <f>IF(AND($N5194=$Q$7,$B5194&lt;'111'!$L$11),"x","")</f>
        <v/>
      </c>
      <c r="S5194" s="79" t="str">
        <f>IF(AND($O5194=$Q$7,$B5194&lt;'111'!$L$11),"x","")</f>
        <v/>
      </c>
      <c r="T5194" s="79" t="str">
        <f>IF(ISERROR(FIND('112'!$M$9,G5194,1)),"",IF((AND(FIND('112'!$M$9,G5194,1)&gt;=1,B5194='112'!$K$9,OR($N5194='112'!$I$6,$O5194='112'!$I$6))),"x",""))</f>
        <v/>
      </c>
      <c r="U5194" s="79" t="str">
        <f>IF(ISERROR(FIND('112'!$M$9,G5194,1)),"",IF((AND(LEFT(G5194,2)=LEFT('112'!$M$9,2),B5194&lt;'112'!$K$9,$N5194='112'!$I$6)),"x",""))</f>
        <v/>
      </c>
      <c r="V5194" s="79" t="str">
        <f>IF(ISERROR(FIND('112'!$M$9,G5194,1)),"",IF((AND(RIGHT(G5194,2)=RIGHT('112'!$M$9,2),B5194&lt;'112'!$K$9,$O5194='112'!$I$6)),"x",""))</f>
        <v/>
      </c>
      <c r="W5194" s="79" t="str">
        <f>IF(AND('341-CT'!$H$9=H5194,OR(LEFT(N5194,3)=$W$7,LEFT(O5194,3)=$W$7)),"x","")</f>
        <v/>
      </c>
      <c r="X5194" s="79" t="str">
        <f>IF(OR(TH!N5194=TH!$X$7,O5194=TH!$X$7),"x","")</f>
        <v/>
      </c>
      <c r="Y5194" s="79" t="str">
        <f>IF(AND(OR(N5194="131",O5194="131"),H5194='131-CT'!$H$9),"x","")</f>
        <v/>
      </c>
      <c r="Z5194" s="79"/>
      <c r="AA5194" s="79" t="str">
        <f>IF(AND(MONTH(E5194)='IN-NX'!$J$5,'IN-NX'!$D$7=D5194),"x","")</f>
        <v/>
      </c>
      <c r="AB5194" s="79" t="str">
        <f>IF(AND(OR(LEFT(TH!N5194,2)="15",LEFT(TH!O5194,2)="15"),LEFT(TH!O5194,3)&lt;&gt;"111",'152-CT'!$J$8=TH!F5194),"x","")</f>
        <v/>
      </c>
      <c r="AC5194" s="79" t="str">
        <f>IF(AND(OR(LEFT(TH!N5194,2)="15",LEFT(TH!O5194,2)="15"),TK!$E$7=TH!F5194),"x","")</f>
        <v/>
      </c>
      <c r="AD5194" s="79" t="str">
        <f>IF(AND(N5194="1521",MONTH(C5194)='BK-NL'!$M$11),"x","")</f>
        <v/>
      </c>
    </row>
    <row r="5195" spans="1:30" ht="16.5" customHeight="1">
      <c r="A5195" s="318" t="str">
        <f>IF(B5195&lt;&gt;"",IF(AND(B5195='[3]IN-TC'!$S$4,OR([3]TH!N4417="1111",[3]TH!O4417="1111")),[3]TH!D4417,""),"")</f>
        <v/>
      </c>
      <c r="B5195" s="60" t="str">
        <f t="shared" si="502"/>
        <v/>
      </c>
      <c r="C5195" s="301"/>
      <c r="D5195" s="301"/>
      <c r="E5195" s="301"/>
      <c r="F5195" s="69"/>
      <c r="G5195" s="302"/>
      <c r="H5195" s="303"/>
      <c r="I5195" s="385"/>
      <c r="J5195" s="392"/>
      <c r="K5195" s="385"/>
      <c r="L5195" s="392"/>
      <c r="M5195" s="62"/>
      <c r="N5195" s="304"/>
      <c r="O5195" s="63"/>
      <c r="P5195" s="79" t="str">
        <f>IF(AND('331-CT'!$E$7=TH!H5195,OR(N5195="331",O5195="331")),"x","")</f>
        <v/>
      </c>
      <c r="Q5195" s="79" t="str">
        <f>IF(AND(B5195='111'!$L$11,OR($N5195=$Q$7,$O5195=$Q$7)),"x","")</f>
        <v/>
      </c>
      <c r="R5195" s="79" t="str">
        <f>IF(AND($N5195=$Q$7,$B5195&lt;'111'!$L$11),"x","")</f>
        <v/>
      </c>
      <c r="S5195" s="79" t="str">
        <f>IF(AND($O5195=$Q$7,$B5195&lt;'111'!$L$11),"x","")</f>
        <v/>
      </c>
      <c r="T5195" s="79" t="str">
        <f>IF(ISERROR(FIND('112'!$M$9,G5195,1)),"",IF((AND(FIND('112'!$M$9,G5195,1)&gt;=1,B5195='112'!$K$9,OR($N5195='112'!$I$6,$O5195='112'!$I$6))),"x",""))</f>
        <v/>
      </c>
      <c r="U5195" s="79" t="str">
        <f>IF(ISERROR(FIND('112'!$M$9,G5195,1)),"",IF((AND(LEFT(G5195,2)=LEFT('112'!$M$9,2),B5195&lt;'112'!$K$9,$N5195='112'!$I$6)),"x",""))</f>
        <v/>
      </c>
      <c r="V5195" s="79" t="str">
        <f>IF(ISERROR(FIND('112'!$M$9,G5195,1)),"",IF((AND(RIGHT(G5195,2)=RIGHT('112'!$M$9,2),B5195&lt;'112'!$K$9,$O5195='112'!$I$6)),"x",""))</f>
        <v/>
      </c>
      <c r="W5195" s="79" t="str">
        <f>IF(AND('341-CT'!$H$9=H5195,OR(LEFT(N5195,3)=$W$7,LEFT(O5195,3)=$W$7)),"x","")</f>
        <v/>
      </c>
      <c r="X5195" s="79" t="str">
        <f>IF(OR(TH!N5195=TH!$X$7,O5195=TH!$X$7),"x","")</f>
        <v/>
      </c>
      <c r="Y5195" s="79" t="str">
        <f>IF(AND(OR(N5195="131",O5195="131"),H5195='131-CT'!$H$9),"x","")</f>
        <v/>
      </c>
      <c r="Z5195" s="79"/>
      <c r="AA5195" s="79" t="str">
        <f>IF(AND(MONTH(E5195)='IN-NX'!$J$5,'IN-NX'!$D$7=D5195),"x","")</f>
        <v/>
      </c>
      <c r="AB5195" s="79" t="str">
        <f>IF(AND(OR(LEFT(TH!N5195,2)="15",LEFT(TH!O5195,2)="15"),LEFT(TH!O5195,3)&lt;&gt;"111",'152-CT'!$J$8=TH!F5195),"x","")</f>
        <v/>
      </c>
      <c r="AC5195" s="79" t="str">
        <f>IF(AND(OR(LEFT(TH!N5195,2)="15",LEFT(TH!O5195,2)="15"),TK!$E$7=TH!F5195),"x","")</f>
        <v/>
      </c>
      <c r="AD5195" s="79" t="str">
        <f>IF(AND(N5195="1521",MONTH(C5195)='BK-NL'!$M$11),"x","")</f>
        <v/>
      </c>
    </row>
    <row r="5196" spans="1:30" ht="16.5" customHeight="1">
      <c r="A5196" s="318" t="str">
        <f>IF(B5196&lt;&gt;"",IF(AND(B5196='IN-TC'!$S$4,OR(TH!N5196="1111",TH!O5196="1111")),TH!D5196,""),"")</f>
        <v/>
      </c>
      <c r="B5196" s="60" t="str">
        <f t="shared" si="502"/>
        <v/>
      </c>
      <c r="C5196" s="301"/>
      <c r="D5196" s="301"/>
      <c r="E5196" s="301"/>
      <c r="F5196" s="69"/>
      <c r="G5196" s="769"/>
      <c r="H5196" s="303"/>
      <c r="I5196" s="385"/>
      <c r="J5196" s="392"/>
      <c r="K5196" s="385"/>
      <c r="L5196" s="392"/>
      <c r="M5196" s="62"/>
      <c r="N5196" s="304"/>
      <c r="O5196" s="63"/>
      <c r="P5196" s="79" t="str">
        <f>IF(AND('331-CT'!$E$7=TH!H5196,OR(N5196="331",O5196="331")),"x","")</f>
        <v/>
      </c>
      <c r="Q5196" s="79" t="str">
        <f>IF(AND(B5196='111'!$L$11,OR($N5196=$Q$7,$O5196=$Q$7)),"x","")</f>
        <v/>
      </c>
      <c r="R5196" s="79" t="str">
        <f>IF(AND($N5196=$Q$7,$B5196&lt;'111'!$L$11),"x","")</f>
        <v/>
      </c>
      <c r="S5196" s="79" t="str">
        <f>IF(AND($O5196=$Q$7,$B5196&lt;'111'!$L$11),"x","")</f>
        <v/>
      </c>
      <c r="T5196" s="79" t="str">
        <f>IF(ISERROR(FIND('112'!$M$9,G5196,1)),"",IF((AND(FIND('112'!$M$9,G5196,1)&gt;=1,B5196='112'!$K$9,OR($N5196='112'!$I$6,$O5196='112'!$I$6))),"x",""))</f>
        <v/>
      </c>
      <c r="U5196" s="79" t="str">
        <f>IF(ISERROR(FIND('112'!$M$9,G5196,1)),"",IF((AND(LEFT(G5196,2)=LEFT('112'!$M$9,2),B5196&lt;'112'!$K$9,$N5196='112'!$I$6)),"x",""))</f>
        <v/>
      </c>
      <c r="V5196" s="79" t="str">
        <f>IF(ISERROR(FIND('112'!$M$9,G5196,1)),"",IF((AND(RIGHT(G5196,2)=RIGHT('112'!$M$9,2),B5196&lt;'112'!$K$9,$O5196='112'!$I$6)),"x",""))</f>
        <v/>
      </c>
      <c r="W5196" s="79" t="str">
        <f>IF(AND('341-CT'!$H$9=H5196,OR(LEFT(N5196,3)=$W$7,LEFT(O5196,3)=$W$7)),"x","")</f>
        <v/>
      </c>
      <c r="X5196" s="79" t="str">
        <f>IF(OR(TH!N5196=TH!$X$7,O5196=TH!$X$7),"x","")</f>
        <v/>
      </c>
      <c r="Y5196" s="79" t="str">
        <f>IF(AND(OR(N5196="131",O5196="131"),H5196='131-CT'!$H$9),"x","")</f>
        <v/>
      </c>
      <c r="Z5196" s="79"/>
      <c r="AA5196" s="79" t="str">
        <f>IF(AND(MONTH(E5196)='IN-NX'!$J$5,'IN-NX'!$D$7=D5196),"x","")</f>
        <v/>
      </c>
      <c r="AB5196" s="79" t="str">
        <f>IF(AND(OR(LEFT(TH!N5196,2)="15",LEFT(TH!O5196,2)="15"),LEFT(TH!O5196,3)&lt;&gt;"111",'152-CT'!$J$8=TH!F5196),"x","")</f>
        <v/>
      </c>
      <c r="AC5196" s="79" t="str">
        <f>IF(AND(OR(LEFT(TH!N5196,2)="15",LEFT(TH!O5196,2)="15"),TK!$E$7=TH!F5196),"x","")</f>
        <v/>
      </c>
      <c r="AD5196" s="79" t="str">
        <f>IF(AND(N5196="1521",MONTH(C5196)='BK-NL'!$M$11),"x","")</f>
        <v/>
      </c>
    </row>
    <row r="5197" spans="1:30" ht="16.5" customHeight="1">
      <c r="A5197" s="318" t="str">
        <f>IF(B5197&lt;&gt;"",IF(AND(B5197='IN-TC'!$S$4,OR(TH!N5197="1111",TH!O5197="1111")),TH!D5197,""),"")</f>
        <v/>
      </c>
      <c r="B5197" s="60" t="str">
        <f t="shared" si="502"/>
        <v/>
      </c>
      <c r="C5197" s="301"/>
      <c r="D5197" s="301"/>
      <c r="E5197" s="301"/>
      <c r="F5197" s="69"/>
      <c r="G5197" s="769"/>
      <c r="H5197" s="303"/>
      <c r="I5197" s="385"/>
      <c r="J5197" s="392"/>
      <c r="K5197" s="385"/>
      <c r="L5197" s="392"/>
      <c r="M5197" s="62"/>
      <c r="N5197" s="304"/>
      <c r="O5197" s="63"/>
      <c r="P5197" s="79" t="str">
        <f>IF(AND('331-CT'!$E$7=TH!H5197,OR(N5197="331",O5197="331")),"x","")</f>
        <v/>
      </c>
      <c r="Q5197" s="79" t="str">
        <f>IF(AND(B5197='111'!$L$11,OR($N5197=$Q$7,$O5197=$Q$7)),"x","")</f>
        <v/>
      </c>
      <c r="R5197" s="79" t="str">
        <f>IF(AND($N5197=$Q$7,$B5197&lt;'111'!$L$11),"x","")</f>
        <v/>
      </c>
      <c r="S5197" s="79" t="str">
        <f>IF(AND($O5197=$Q$7,$B5197&lt;'111'!$L$11),"x","")</f>
        <v/>
      </c>
      <c r="T5197" s="79" t="str">
        <f>IF(ISERROR(FIND('112'!$M$9,G5197,1)),"",IF((AND(FIND('112'!$M$9,G5197,1)&gt;=1,B5197='112'!$K$9,OR($N5197='112'!$I$6,$O5197='112'!$I$6))),"x",""))</f>
        <v/>
      </c>
      <c r="U5197" s="79" t="str">
        <f>IF(ISERROR(FIND('112'!$M$9,G5197,1)),"",IF((AND(LEFT(G5197,2)=LEFT('112'!$M$9,2),B5197&lt;'112'!$K$9,$N5197='112'!$I$6)),"x",""))</f>
        <v/>
      </c>
      <c r="V5197" s="79" t="str">
        <f>IF(ISERROR(FIND('112'!$M$9,G5197,1)),"",IF((AND(RIGHT(G5197,2)=RIGHT('112'!$M$9,2),B5197&lt;'112'!$K$9,$O5197='112'!$I$6)),"x",""))</f>
        <v/>
      </c>
      <c r="W5197" s="79" t="str">
        <f>IF(AND('341-CT'!$H$9=H5197,OR(LEFT(N5197,3)=$W$7,LEFT(O5197,3)=$W$7)),"x","")</f>
        <v/>
      </c>
      <c r="X5197" s="79" t="str">
        <f>IF(OR(TH!N5197=TH!$X$7,O5197=TH!$X$7),"x","")</f>
        <v/>
      </c>
      <c r="Y5197" s="79" t="str">
        <f>IF(AND(OR(N5197="131",O5197="131"),H5197='131-CT'!$H$9),"x","")</f>
        <v/>
      </c>
      <c r="Z5197" s="79"/>
      <c r="AA5197" s="79" t="str">
        <f>IF(AND(MONTH(E5197)='IN-NX'!$J$5,'IN-NX'!$D$7=D5197),"x","")</f>
        <v/>
      </c>
      <c r="AB5197" s="79" t="str">
        <f>IF(AND(OR(LEFT(TH!N5197,2)="15",LEFT(TH!O5197,2)="15"),LEFT(TH!O5197,3)&lt;&gt;"111",'152-CT'!$J$8=TH!F5197),"x","")</f>
        <v/>
      </c>
      <c r="AC5197" s="79" t="str">
        <f>IF(AND(OR(LEFT(TH!N5197,2)="15",LEFT(TH!O5197,2)="15"),TK!$E$7=TH!F5197),"x","")</f>
        <v/>
      </c>
      <c r="AD5197" s="79" t="str">
        <f>IF(AND(N5197="1521",MONTH(C5197)='BK-NL'!$M$11),"x","")</f>
        <v/>
      </c>
    </row>
    <row r="5198" spans="1:30" ht="16.5" customHeight="1">
      <c r="A5198" s="318" t="str">
        <f>IF(B5198&lt;&gt;"",IF(AND(B5198='IN-TC'!$S$4,OR(TH!N5198="1111",TH!O5198="1111")),TH!D5198,""),"")</f>
        <v/>
      </c>
      <c r="B5198" s="60" t="str">
        <f t="shared" si="502"/>
        <v/>
      </c>
      <c r="C5198" s="301"/>
      <c r="D5198" s="301"/>
      <c r="E5198" s="301"/>
      <c r="F5198" s="69"/>
      <c r="G5198" s="769"/>
      <c r="H5198" s="303"/>
      <c r="I5198" s="385"/>
      <c r="J5198" s="392"/>
      <c r="K5198" s="385"/>
      <c r="L5198" s="392"/>
      <c r="M5198" s="62"/>
      <c r="N5198" s="304"/>
      <c r="O5198" s="63"/>
      <c r="P5198" s="79" t="str">
        <f>IF(AND('331-CT'!$E$7=TH!H5198,OR(N5198="331",O5198="331")),"x","")</f>
        <v/>
      </c>
      <c r="Q5198" s="79" t="str">
        <f>IF(AND(B5198='111'!$L$11,OR($N5198=$Q$7,$O5198=$Q$7)),"x","")</f>
        <v/>
      </c>
      <c r="R5198" s="79" t="str">
        <f>IF(AND($N5198=$Q$7,$B5198&lt;'111'!$L$11),"x","")</f>
        <v/>
      </c>
      <c r="S5198" s="79" t="str">
        <f>IF(AND($O5198=$Q$7,$B5198&lt;'111'!$L$11),"x","")</f>
        <v/>
      </c>
      <c r="T5198" s="79" t="str">
        <f>IF(ISERROR(FIND('112'!$M$9,G5198,1)),"",IF((AND(FIND('112'!$M$9,G5198,1)&gt;=1,B5198='112'!$K$9,OR($N5198='112'!$I$6,$O5198='112'!$I$6))),"x",""))</f>
        <v/>
      </c>
      <c r="U5198" s="79" t="str">
        <f>IF(ISERROR(FIND('112'!$M$9,G5198,1)),"",IF((AND(LEFT(G5198,2)=LEFT('112'!$M$9,2),B5198&lt;'112'!$K$9,$N5198='112'!$I$6)),"x",""))</f>
        <v/>
      </c>
      <c r="V5198" s="79" t="str">
        <f>IF(ISERROR(FIND('112'!$M$9,G5198,1)),"",IF((AND(RIGHT(G5198,2)=RIGHT('112'!$M$9,2),B5198&lt;'112'!$K$9,$O5198='112'!$I$6)),"x",""))</f>
        <v/>
      </c>
      <c r="W5198" s="79" t="str">
        <f>IF(AND('341-CT'!$H$9=H5198,OR(LEFT(N5198,3)=$W$7,LEFT(O5198,3)=$W$7)),"x","")</f>
        <v/>
      </c>
      <c r="X5198" s="79" t="str">
        <f>IF(OR(TH!N5198=TH!$X$7,O5198=TH!$X$7),"x","")</f>
        <v/>
      </c>
      <c r="Y5198" s="79" t="str">
        <f>IF(AND(OR(N5198="131",O5198="131"),H5198='131-CT'!$H$9),"x","")</f>
        <v/>
      </c>
      <c r="Z5198" s="79"/>
      <c r="AA5198" s="79" t="str">
        <f>IF(AND(MONTH(E5198)='IN-NX'!$J$5,'IN-NX'!$D$7=D5198),"x","")</f>
        <v/>
      </c>
      <c r="AB5198" s="79" t="str">
        <f>IF(AND(OR(LEFT(TH!N5198,2)="15",LEFT(TH!O5198,2)="15"),LEFT(TH!O5198,3)&lt;&gt;"111",'152-CT'!$J$8=TH!F5198),"x","")</f>
        <v/>
      </c>
      <c r="AC5198" s="79" t="str">
        <f>IF(AND(OR(LEFT(TH!N5198,2)="15",LEFT(TH!O5198,2)="15"),TK!$E$7=TH!F5198),"x","")</f>
        <v/>
      </c>
      <c r="AD5198" s="79" t="str">
        <f>IF(AND(N5198="1521",MONTH(C5198)='BK-NL'!$M$11),"x","")</f>
        <v/>
      </c>
    </row>
    <row r="5199" spans="1:30" ht="16.5" customHeight="1">
      <c r="A5199" s="318" t="str">
        <f>IF(B5199&lt;&gt;"",IF(AND(B5199='IN-TC'!$S$4,OR(TH!N5199="1111",TH!O5199="1111")),TH!D5199,""),"")</f>
        <v/>
      </c>
      <c r="B5199" s="60" t="str">
        <f t="shared" si="502"/>
        <v/>
      </c>
      <c r="C5199" s="301"/>
      <c r="D5199" s="301"/>
      <c r="E5199" s="301"/>
      <c r="F5199" s="69"/>
      <c r="G5199" s="769"/>
      <c r="H5199" s="303"/>
      <c r="I5199" s="385"/>
      <c r="J5199" s="392"/>
      <c r="K5199" s="385"/>
      <c r="L5199" s="392"/>
      <c r="M5199" s="62"/>
      <c r="N5199" s="304"/>
      <c r="O5199" s="63"/>
      <c r="P5199" s="79" t="str">
        <f>IF(AND('331-CT'!$E$7=TH!H5199,OR(N5199="331",O5199="331")),"x","")</f>
        <v/>
      </c>
      <c r="Q5199" s="79" t="str">
        <f>IF(AND(B5199='111'!$L$11,OR($N5199=$Q$7,$O5199=$Q$7)),"x","")</f>
        <v/>
      </c>
      <c r="R5199" s="79" t="str">
        <f>IF(AND($N5199=$Q$7,$B5199&lt;'111'!$L$11),"x","")</f>
        <v/>
      </c>
      <c r="S5199" s="79" t="str">
        <f>IF(AND($O5199=$Q$7,$B5199&lt;'111'!$L$11),"x","")</f>
        <v/>
      </c>
      <c r="T5199" s="79" t="str">
        <f>IF(ISERROR(FIND('112'!$M$9,G5199,1)),"",IF((AND(FIND('112'!$M$9,G5199,1)&gt;=1,B5199='112'!$K$9,OR($N5199='112'!$I$6,$O5199='112'!$I$6))),"x",""))</f>
        <v/>
      </c>
      <c r="U5199" s="79" t="str">
        <f>IF(ISERROR(FIND('112'!$M$9,G5199,1)),"",IF((AND(LEFT(G5199,2)=LEFT('112'!$M$9,2),B5199&lt;'112'!$K$9,$N5199='112'!$I$6)),"x",""))</f>
        <v/>
      </c>
      <c r="V5199" s="79" t="str">
        <f>IF(ISERROR(FIND('112'!$M$9,G5199,1)),"",IF((AND(RIGHT(G5199,2)=RIGHT('112'!$M$9,2),B5199&lt;'112'!$K$9,$O5199='112'!$I$6)),"x",""))</f>
        <v/>
      </c>
      <c r="W5199" s="79" t="str">
        <f>IF(AND('341-CT'!$H$9=H5199,OR(LEFT(N5199,3)=$W$7,LEFT(O5199,3)=$W$7)),"x","")</f>
        <v/>
      </c>
      <c r="X5199" s="79" t="str">
        <f>IF(OR(TH!N5199=TH!$X$7,O5199=TH!$X$7),"x","")</f>
        <v/>
      </c>
      <c r="Y5199" s="79" t="str">
        <f>IF(AND(OR(N5199="131",O5199="131"),H5199='131-CT'!$H$9),"x","")</f>
        <v/>
      </c>
      <c r="Z5199" s="79"/>
      <c r="AA5199" s="79" t="str">
        <f>IF(AND(MONTH(E5199)='IN-NX'!$J$5,'IN-NX'!$D$7=D5199),"x","")</f>
        <v/>
      </c>
      <c r="AB5199" s="79" t="str">
        <f>IF(AND(OR(LEFT(TH!N5199,2)="15",LEFT(TH!O5199,2)="15"),LEFT(TH!O5199,3)&lt;&gt;"111",'152-CT'!$J$8=TH!F5199),"x","")</f>
        <v/>
      </c>
      <c r="AC5199" s="79" t="str">
        <f>IF(AND(OR(LEFT(TH!N5199,2)="15",LEFT(TH!O5199,2)="15"),TK!$E$7=TH!F5199),"x","")</f>
        <v/>
      </c>
      <c r="AD5199" s="79" t="str">
        <f>IF(AND(N5199="1521",MONTH(C5199)='BK-NL'!$M$11),"x","")</f>
        <v/>
      </c>
    </row>
    <row r="5200" spans="1:30" ht="16.5" customHeight="1">
      <c r="A5200" s="318" t="str">
        <f>IF(B5200&lt;&gt;"",IF(AND(B5200='IN-TC'!$S$4,OR(TH!N5200="1111",TH!O5200="1111")),TH!D5200,""),"")</f>
        <v/>
      </c>
      <c r="B5200" s="60" t="str">
        <f t="shared" si="502"/>
        <v/>
      </c>
      <c r="C5200" s="301"/>
      <c r="D5200" s="301"/>
      <c r="E5200" s="301"/>
      <c r="F5200" s="69"/>
      <c r="G5200" s="769"/>
      <c r="H5200" s="303"/>
      <c r="I5200" s="385"/>
      <c r="J5200" s="392"/>
      <c r="K5200" s="385"/>
      <c r="L5200" s="392"/>
      <c r="M5200" s="62"/>
      <c r="N5200" s="304"/>
      <c r="O5200" s="63"/>
      <c r="P5200" s="79" t="str">
        <f>IF(AND('331-CT'!$E$7=TH!H5200,OR(N5200="331",O5200="331")),"x","")</f>
        <v/>
      </c>
      <c r="Q5200" s="79" t="str">
        <f>IF(AND(B5200='111'!$L$11,OR($N5200=$Q$7,$O5200=$Q$7)),"x","")</f>
        <v/>
      </c>
      <c r="R5200" s="79" t="str">
        <f>IF(AND($N5200=$Q$7,$B5200&lt;'111'!$L$11),"x","")</f>
        <v/>
      </c>
      <c r="S5200" s="79" t="str">
        <f>IF(AND($O5200=$Q$7,$B5200&lt;'111'!$L$11),"x","")</f>
        <v/>
      </c>
      <c r="T5200" s="79" t="str">
        <f>IF(ISERROR(FIND('112'!$M$9,G5200,1)),"",IF((AND(FIND('112'!$M$9,G5200,1)&gt;=1,B5200='112'!$K$9,OR($N5200='112'!$I$6,$O5200='112'!$I$6))),"x",""))</f>
        <v/>
      </c>
      <c r="U5200" s="79" t="str">
        <f>IF(ISERROR(FIND('112'!$M$9,G5200,1)),"",IF((AND(LEFT(G5200,2)=LEFT('112'!$M$9,2),B5200&lt;'112'!$K$9,$N5200='112'!$I$6)),"x",""))</f>
        <v/>
      </c>
      <c r="V5200" s="79" t="str">
        <f>IF(ISERROR(FIND('112'!$M$9,G5200,1)),"",IF((AND(RIGHT(G5200,2)=RIGHT('112'!$M$9,2),B5200&lt;'112'!$K$9,$O5200='112'!$I$6)),"x",""))</f>
        <v/>
      </c>
      <c r="W5200" s="79" t="str">
        <f>IF(AND('341-CT'!$H$9=H5200,OR(LEFT(N5200,3)=$W$7,LEFT(O5200,3)=$W$7)),"x","")</f>
        <v/>
      </c>
      <c r="X5200" s="79" t="str">
        <f>IF(OR(TH!N5200=TH!$X$7,O5200=TH!$X$7),"x","")</f>
        <v/>
      </c>
      <c r="Y5200" s="79" t="str">
        <f>IF(AND(OR(N5200="131",O5200="131"),H5200='131-CT'!$H$9),"x","")</f>
        <v/>
      </c>
      <c r="Z5200" s="79"/>
      <c r="AA5200" s="79" t="str">
        <f>IF(AND(MONTH(E5200)='IN-NX'!$J$5,'IN-NX'!$D$7=D5200),"x","")</f>
        <v/>
      </c>
      <c r="AB5200" s="79" t="str">
        <f>IF(AND(OR(LEFT(TH!N5200,2)="15",LEFT(TH!O5200,2)="15"),LEFT(TH!O5200,3)&lt;&gt;"111",'152-CT'!$J$8=TH!F5200),"x","")</f>
        <v/>
      </c>
      <c r="AC5200" s="79" t="str">
        <f>IF(AND(OR(LEFT(TH!N5200,2)="15",LEFT(TH!O5200,2)="15"),TK!$E$7=TH!F5200),"x","")</f>
        <v/>
      </c>
      <c r="AD5200" s="79" t="str">
        <f>IF(AND(N5200="1521",MONTH(C5200)='BK-NL'!$M$11),"x","")</f>
        <v/>
      </c>
    </row>
    <row r="5201" spans="1:30" ht="16.5" customHeight="1">
      <c r="A5201" s="318" t="str">
        <f>IF(B5201&lt;&gt;"",IF(AND(B5201='IN-TC'!$S$4,OR(TH!N5201="1111",TH!O5201="1111")),TH!D5201,""),"")</f>
        <v/>
      </c>
      <c r="B5201" s="60" t="str">
        <f t="shared" si="502"/>
        <v/>
      </c>
      <c r="C5201" s="301"/>
      <c r="D5201" s="301"/>
      <c r="E5201" s="301"/>
      <c r="F5201" s="69"/>
      <c r="G5201" s="769"/>
      <c r="H5201" s="303"/>
      <c r="I5201" s="385"/>
      <c r="J5201" s="392"/>
      <c r="K5201" s="385"/>
      <c r="L5201" s="392"/>
      <c r="M5201" s="62"/>
      <c r="N5201" s="304"/>
      <c r="O5201" s="63"/>
      <c r="P5201" s="79" t="str">
        <f>IF(AND('331-CT'!$E$7=TH!H5201,OR(N5201="331",O5201="331")),"x","")</f>
        <v/>
      </c>
      <c r="Q5201" s="79" t="str">
        <f>IF(AND(B5201='111'!$L$11,OR($N5201=$Q$7,$O5201=$Q$7)),"x","")</f>
        <v/>
      </c>
      <c r="R5201" s="79" t="str">
        <f>IF(AND($N5201=$Q$7,$B5201&lt;'111'!$L$11),"x","")</f>
        <v/>
      </c>
      <c r="S5201" s="79" t="str">
        <f>IF(AND($O5201=$Q$7,$B5201&lt;'111'!$L$11),"x","")</f>
        <v/>
      </c>
      <c r="T5201" s="79" t="str">
        <f>IF(ISERROR(FIND('112'!$M$9,G5201,1)),"",IF((AND(FIND('112'!$M$9,G5201,1)&gt;=1,B5201='112'!$K$9,OR($N5201='112'!$I$6,$O5201='112'!$I$6))),"x",""))</f>
        <v/>
      </c>
      <c r="U5201" s="79" t="str">
        <f>IF(ISERROR(FIND('112'!$M$9,G5201,1)),"",IF((AND(LEFT(G5201,2)=LEFT('112'!$M$9,2),B5201&lt;'112'!$K$9,$N5201='112'!$I$6)),"x",""))</f>
        <v/>
      </c>
      <c r="V5201" s="79" t="str">
        <f>IF(ISERROR(FIND('112'!$M$9,G5201,1)),"",IF((AND(RIGHT(G5201,2)=RIGHT('112'!$M$9,2),B5201&lt;'112'!$K$9,$O5201='112'!$I$6)),"x",""))</f>
        <v/>
      </c>
      <c r="W5201" s="79" t="str">
        <f>IF(AND('341-CT'!$H$9=H5201,OR(LEFT(N5201,3)=$W$7,LEFT(O5201,3)=$W$7)),"x","")</f>
        <v/>
      </c>
      <c r="X5201" s="79" t="str">
        <f>IF(OR(TH!N5201=TH!$X$7,O5201=TH!$X$7),"x","")</f>
        <v/>
      </c>
      <c r="Y5201" s="79" t="str">
        <f>IF(AND(OR(N5201="131",O5201="131"),H5201='131-CT'!$H$9),"x","")</f>
        <v/>
      </c>
      <c r="Z5201" s="79"/>
      <c r="AA5201" s="79" t="str">
        <f>IF(AND(MONTH(E5201)='IN-NX'!$J$5,'IN-NX'!$D$7=D5201),"x","")</f>
        <v/>
      </c>
      <c r="AB5201" s="79" t="str">
        <f>IF(AND(OR(LEFT(TH!N5201,2)="15",LEFT(TH!O5201,2)="15"),LEFT(TH!O5201,3)&lt;&gt;"111",'152-CT'!$J$8=TH!F5201),"x","")</f>
        <v/>
      </c>
      <c r="AC5201" s="79" t="str">
        <f>IF(AND(OR(LEFT(TH!N5201,2)="15",LEFT(TH!O5201,2)="15"),TK!$E$7=TH!F5201),"x","")</f>
        <v/>
      </c>
      <c r="AD5201" s="79" t="str">
        <f>IF(AND(N5201="1521",MONTH(C5201)='BK-NL'!$M$11),"x","")</f>
        <v/>
      </c>
    </row>
    <row r="5202" spans="1:30" ht="16.5" customHeight="1">
      <c r="A5202" s="318" t="str">
        <f>IF(B5202&lt;&gt;"",IF(AND(B5202='IN-TC'!$S$4,OR(TH!N5202="1111",TH!O5202="1111")),TH!D5202,""),"")</f>
        <v/>
      </c>
      <c r="B5202" s="60" t="str">
        <f t="shared" si="502"/>
        <v/>
      </c>
      <c r="C5202" s="301"/>
      <c r="D5202" s="301"/>
      <c r="E5202" s="301"/>
      <c r="F5202" s="69"/>
      <c r="G5202" s="769"/>
      <c r="H5202" s="303"/>
      <c r="I5202" s="385"/>
      <c r="J5202" s="392"/>
      <c r="K5202" s="385"/>
      <c r="L5202" s="392"/>
      <c r="M5202" s="62"/>
      <c r="N5202" s="304"/>
      <c r="O5202" s="63"/>
      <c r="P5202" s="79" t="str">
        <f>IF(AND('331-CT'!$E$7=TH!H5202,OR(N5202="331",O5202="331")),"x","")</f>
        <v/>
      </c>
      <c r="Q5202" s="79" t="str">
        <f>IF(AND(B5202='111'!$L$11,OR($N5202=$Q$7,$O5202=$Q$7)),"x","")</f>
        <v/>
      </c>
      <c r="R5202" s="79" t="str">
        <f>IF(AND($N5202=$Q$7,$B5202&lt;'111'!$L$11),"x","")</f>
        <v/>
      </c>
      <c r="S5202" s="79" t="str">
        <f>IF(AND($O5202=$Q$7,$B5202&lt;'111'!$L$11),"x","")</f>
        <v/>
      </c>
      <c r="T5202" s="79" t="str">
        <f>IF(ISERROR(FIND('112'!$M$9,G5202,1)),"",IF((AND(FIND('112'!$M$9,G5202,1)&gt;=1,B5202='112'!$K$9,OR($N5202='112'!$I$6,$O5202='112'!$I$6))),"x",""))</f>
        <v/>
      </c>
      <c r="U5202" s="79" t="str">
        <f>IF(ISERROR(FIND('112'!$M$9,G5202,1)),"",IF((AND(LEFT(G5202,2)=LEFT('112'!$M$9,2),B5202&lt;'112'!$K$9,$N5202='112'!$I$6)),"x",""))</f>
        <v/>
      </c>
      <c r="V5202" s="79" t="str">
        <f>IF(ISERROR(FIND('112'!$M$9,G5202,1)),"",IF((AND(RIGHT(G5202,2)=RIGHT('112'!$M$9,2),B5202&lt;'112'!$K$9,$O5202='112'!$I$6)),"x",""))</f>
        <v/>
      </c>
      <c r="W5202" s="79" t="str">
        <f>IF(AND('341-CT'!$H$9=H5202,OR(LEFT(N5202,3)=$W$7,LEFT(O5202,3)=$W$7)),"x","")</f>
        <v/>
      </c>
      <c r="X5202" s="79" t="str">
        <f>IF(OR(TH!N5202=TH!$X$7,O5202=TH!$X$7),"x","")</f>
        <v/>
      </c>
      <c r="Y5202" s="79" t="str">
        <f>IF(AND(OR(N5202="131",O5202="131"),H5202='131-CT'!$H$9),"x","")</f>
        <v/>
      </c>
      <c r="Z5202" s="79"/>
      <c r="AA5202" s="79" t="str">
        <f>IF(AND(MONTH(E5202)='IN-NX'!$J$5,'IN-NX'!$D$7=D5202),"x","")</f>
        <v/>
      </c>
      <c r="AB5202" s="79" t="str">
        <f>IF(AND(OR(LEFT(TH!N5202,2)="15",LEFT(TH!O5202,2)="15"),LEFT(TH!O5202,3)&lt;&gt;"111",'152-CT'!$J$8=TH!F5202),"x","")</f>
        <v/>
      </c>
      <c r="AC5202" s="79" t="str">
        <f>IF(AND(OR(LEFT(TH!N5202,2)="15",LEFT(TH!O5202,2)="15"),TK!$E$7=TH!F5202),"x","")</f>
        <v/>
      </c>
      <c r="AD5202" s="79" t="str">
        <f>IF(AND(N5202="1521",MONTH(C5202)='BK-NL'!$M$11),"x","")</f>
        <v/>
      </c>
    </row>
    <row r="5203" spans="1:30" ht="16.5" customHeight="1">
      <c r="A5203" s="318" t="str">
        <f>IF(B5203&lt;&gt;"",IF(AND(B5203='IN-TC'!$S$4,OR(TH!N5203="1111",TH!O5203="1111")),TH!D5203,""),"")</f>
        <v/>
      </c>
      <c r="B5203" s="60" t="str">
        <f t="shared" si="502"/>
        <v/>
      </c>
      <c r="C5203" s="301"/>
      <c r="D5203" s="301"/>
      <c r="E5203" s="301"/>
      <c r="F5203" s="69"/>
      <c r="G5203" s="769"/>
      <c r="H5203" s="303"/>
      <c r="I5203" s="385"/>
      <c r="J5203" s="392"/>
      <c r="K5203" s="385"/>
      <c r="L5203" s="392"/>
      <c r="M5203" s="62"/>
      <c r="N5203" s="304"/>
      <c r="O5203" s="63"/>
      <c r="P5203" s="79" t="str">
        <f>IF(AND('331-CT'!$E$7=TH!H5203,OR(N5203="331",O5203="331")),"x","")</f>
        <v/>
      </c>
      <c r="Q5203" s="79" t="str">
        <f>IF(AND(B5203='111'!$L$11,OR($N5203=$Q$7,$O5203=$Q$7)),"x","")</f>
        <v/>
      </c>
      <c r="R5203" s="79" t="str">
        <f>IF(AND($N5203=$Q$7,$B5203&lt;'111'!$L$11),"x","")</f>
        <v/>
      </c>
      <c r="S5203" s="79" t="str">
        <f>IF(AND($O5203=$Q$7,$B5203&lt;'111'!$L$11),"x","")</f>
        <v/>
      </c>
      <c r="T5203" s="79" t="str">
        <f>IF(ISERROR(FIND('112'!$M$9,G5203,1)),"",IF((AND(FIND('112'!$M$9,G5203,1)&gt;=1,B5203='112'!$K$9,OR($N5203='112'!$I$6,$O5203='112'!$I$6))),"x",""))</f>
        <v/>
      </c>
      <c r="U5203" s="79" t="str">
        <f>IF(ISERROR(FIND('112'!$M$9,G5203,1)),"",IF((AND(LEFT(G5203,2)=LEFT('112'!$M$9,2),B5203&lt;'112'!$K$9,$N5203='112'!$I$6)),"x",""))</f>
        <v/>
      </c>
      <c r="V5203" s="79" t="str">
        <f>IF(ISERROR(FIND('112'!$M$9,G5203,1)),"",IF((AND(RIGHT(G5203,2)=RIGHT('112'!$M$9,2),B5203&lt;'112'!$K$9,$O5203='112'!$I$6)),"x",""))</f>
        <v/>
      </c>
      <c r="W5203" s="79" t="str">
        <f>IF(AND('341-CT'!$H$9=H5203,OR(LEFT(N5203,3)=$W$7,LEFT(O5203,3)=$W$7)),"x","")</f>
        <v/>
      </c>
      <c r="X5203" s="79" t="str">
        <f>IF(OR(TH!N5203=TH!$X$7,O5203=TH!$X$7),"x","")</f>
        <v/>
      </c>
      <c r="Y5203" s="79" t="str">
        <f>IF(AND(OR(N5203="131",O5203="131"),H5203='131-CT'!$H$9),"x","")</f>
        <v/>
      </c>
      <c r="Z5203" s="79"/>
      <c r="AA5203" s="79" t="str">
        <f>IF(AND(MONTH(E5203)='IN-NX'!$J$5,'IN-NX'!$D$7=D5203),"x","")</f>
        <v/>
      </c>
      <c r="AB5203" s="79" t="str">
        <f>IF(AND(OR(LEFT(TH!N5203,2)="15",LEFT(TH!O5203,2)="15"),LEFT(TH!O5203,3)&lt;&gt;"111",'152-CT'!$J$8=TH!F5203),"x","")</f>
        <v/>
      </c>
      <c r="AC5203" s="79" t="str">
        <f>IF(AND(OR(LEFT(TH!N5203,2)="15",LEFT(TH!O5203,2)="15"),TK!$E$7=TH!F5203),"x","")</f>
        <v/>
      </c>
      <c r="AD5203" s="79" t="str">
        <f>IF(AND(N5203="1521",MONTH(C5203)='BK-NL'!$M$11),"x","")</f>
        <v/>
      </c>
    </row>
    <row r="5204" spans="1:30" ht="16.5" customHeight="1">
      <c r="A5204" s="318" t="str">
        <f>IF(B5204&lt;&gt;"",IF(AND(B5204='IN-TC'!$S$4,OR(TH!N5204="1111",TH!O5204="1111")),TH!D5204,""),"")</f>
        <v/>
      </c>
      <c r="B5204" s="60" t="str">
        <f t="shared" si="502"/>
        <v/>
      </c>
      <c r="C5204" s="301"/>
      <c r="D5204" s="301"/>
      <c r="E5204" s="61"/>
      <c r="F5204" s="69"/>
      <c r="G5204" s="766"/>
      <c r="H5204" s="69"/>
      <c r="I5204" s="385"/>
      <c r="J5204" s="392"/>
      <c r="K5204" s="385"/>
      <c r="L5204" s="392"/>
      <c r="M5204" s="62"/>
      <c r="N5204" s="63"/>
      <c r="O5204" s="63"/>
      <c r="P5204" s="79" t="str">
        <f>IF(AND('331-CT'!$E$7=TH!H5204,OR(N5204="331",O5204="331")),"x","")</f>
        <v/>
      </c>
      <c r="Q5204" s="79" t="str">
        <f>IF(AND(B5204='111'!$L$11,OR($N5204=$Q$7,$O5204=$Q$7)),"x","")</f>
        <v/>
      </c>
      <c r="R5204" s="79" t="str">
        <f>IF(AND($N5204=$Q$7,$B5204&lt;'111'!$L$11),"x","")</f>
        <v/>
      </c>
      <c r="S5204" s="79" t="str">
        <f>IF(AND($O5204=$Q$7,$B5204&lt;'111'!$L$11),"x","")</f>
        <v/>
      </c>
      <c r="T5204" s="79" t="str">
        <f>IF(ISERROR(FIND('112'!$M$9,G5204,1)),"",IF((AND(FIND('112'!$M$9,G5204,1)&gt;=1,B5204='112'!$K$9,OR($N5204='112'!$I$6,$O5204='112'!$I$6))),"x",""))</f>
        <v/>
      </c>
      <c r="U5204" s="79" t="str">
        <f>IF(ISERROR(FIND('112'!$M$9,G5204,1)),"",IF((AND(LEFT(G5204,2)=LEFT('112'!$M$9,2),B5204&lt;'112'!$K$9,$N5204='112'!$I$6)),"x",""))</f>
        <v/>
      </c>
      <c r="V5204" s="79" t="str">
        <f>IF(ISERROR(FIND('112'!$M$9,G5204,1)),"",IF((AND(RIGHT(G5204,2)=RIGHT('112'!$M$9,2),B5204&lt;'112'!$K$9,$O5204='112'!$I$6)),"x",""))</f>
        <v/>
      </c>
      <c r="W5204" s="79" t="str">
        <f>IF(AND('341-CT'!$H$9=H5204,OR(LEFT(N5204,3)=$W$7,LEFT(O5204,3)=$W$7)),"x","")</f>
        <v/>
      </c>
      <c r="X5204" s="79" t="str">
        <f>IF(OR(TH!N5204=TH!$X$7,O5204=TH!$X$7),"x","")</f>
        <v/>
      </c>
      <c r="Y5204" s="79" t="str">
        <f>IF(AND(OR(N5204="131",O5204="131"),H5204='131-CT'!$H$9),"x","")</f>
        <v/>
      </c>
      <c r="Z5204" s="79"/>
      <c r="AA5204" s="79" t="str">
        <f>IF(AND(MONTH(E5204)='IN-NX'!$J$5,'IN-NX'!$D$7=D5204),"x","")</f>
        <v/>
      </c>
      <c r="AB5204" s="79" t="str">
        <f>IF(AND(OR(LEFT(TH!N5204,2)="15",LEFT(TH!O5204,2)="15"),LEFT(TH!O5204,3)&lt;&gt;"111",'152-CT'!$J$8=TH!F5204),"x","")</f>
        <v/>
      </c>
      <c r="AC5204" s="79" t="str">
        <f>IF(AND(OR(LEFT(TH!N5204,2)="15",LEFT(TH!O5204,2)="15"),TK!$E$7=TH!F5204),"x","")</f>
        <v/>
      </c>
      <c r="AD5204" s="79" t="str">
        <f>IF(AND(N5204="1521",MONTH(C5204)='BK-NL'!$M$11),"x","")</f>
        <v/>
      </c>
    </row>
    <row r="5205" spans="1:30" ht="16.5" customHeight="1">
      <c r="A5205" s="318" t="str">
        <f>IF(B5205&lt;&gt;"",IF(AND(B5205='IN-TC'!$S$4,OR(TH!N5205="1111",TH!O5205="1111")),TH!D5205,""),"")</f>
        <v/>
      </c>
      <c r="B5205" s="60" t="str">
        <f t="shared" si="502"/>
        <v/>
      </c>
      <c r="C5205" s="301"/>
      <c r="D5205" s="301"/>
      <c r="E5205" s="61"/>
      <c r="F5205" s="69"/>
      <c r="G5205" s="766"/>
      <c r="H5205" s="69"/>
      <c r="I5205" s="385"/>
      <c r="J5205" s="392"/>
      <c r="K5205" s="385"/>
      <c r="L5205" s="392"/>
      <c r="M5205" s="62"/>
      <c r="N5205" s="304"/>
      <c r="O5205" s="63"/>
      <c r="P5205" s="79" t="str">
        <f>IF(AND('331-CT'!$E$7=TH!H5205,OR(N5205="331",O5205="331")),"x","")</f>
        <v/>
      </c>
      <c r="Q5205" s="79" t="str">
        <f>IF(AND(B5205='111'!$L$11,OR($N5205=$Q$7,$O5205=$Q$7)),"x","")</f>
        <v/>
      </c>
      <c r="R5205" s="79" t="str">
        <f>IF(AND($N5205=$Q$7,$B5205&lt;'111'!$L$11),"x","")</f>
        <v/>
      </c>
      <c r="S5205" s="79" t="str">
        <f>IF(AND($O5205=$Q$7,$B5205&lt;'111'!$L$11),"x","")</f>
        <v/>
      </c>
      <c r="T5205" s="79" t="str">
        <f>IF(ISERROR(FIND('112'!$M$9,G5205,1)),"",IF((AND(FIND('112'!$M$9,G5205,1)&gt;=1,B5205='112'!$K$9,OR($N5205='112'!$I$6,$O5205='112'!$I$6))),"x",""))</f>
        <v/>
      </c>
      <c r="U5205" s="79" t="str">
        <f>IF(ISERROR(FIND('112'!$M$9,G5205,1)),"",IF((AND(LEFT(G5205,2)=LEFT('112'!$M$9,2),B5205&lt;'112'!$K$9,$N5205='112'!$I$6)),"x",""))</f>
        <v/>
      </c>
      <c r="V5205" s="79" t="str">
        <f>IF(ISERROR(FIND('112'!$M$9,G5205,1)),"",IF((AND(RIGHT(G5205,2)=RIGHT('112'!$M$9,2),B5205&lt;'112'!$K$9,$O5205='112'!$I$6)),"x",""))</f>
        <v/>
      </c>
      <c r="W5205" s="79" t="str">
        <f>IF(AND('341-CT'!$H$9=H5205,OR(LEFT(N5205,3)=$W$7,LEFT(O5205,3)=$W$7)),"x","")</f>
        <v/>
      </c>
      <c r="X5205" s="79" t="str">
        <f>IF(OR(TH!N5205=TH!$X$7,O5205=TH!$X$7),"x","")</f>
        <v/>
      </c>
      <c r="Y5205" s="79" t="str">
        <f>IF(AND(OR(N5205="131",O5205="131"),H5205='131-CT'!$H$9),"x","")</f>
        <v/>
      </c>
      <c r="Z5205" s="79"/>
      <c r="AA5205" s="79" t="str">
        <f>IF(AND(MONTH(E5205)='IN-NX'!$J$5,'IN-NX'!$D$7=D5205),"x","")</f>
        <v/>
      </c>
      <c r="AB5205" s="79" t="str">
        <f>IF(AND(OR(LEFT(TH!N5205,2)="15",LEFT(TH!O5205,2)="15"),LEFT(TH!O5205,3)&lt;&gt;"111",'152-CT'!$J$8=TH!F5205),"x","")</f>
        <v/>
      </c>
      <c r="AC5205" s="79" t="str">
        <f>IF(AND(OR(LEFT(TH!N5205,2)="15",LEFT(TH!O5205,2)="15"),TK!$E$7=TH!F5205),"x","")</f>
        <v/>
      </c>
      <c r="AD5205" s="79" t="str">
        <f>IF(AND(N5205="1521",MONTH(C5205)='BK-NL'!$M$11),"x","")</f>
        <v/>
      </c>
    </row>
    <row r="5206" spans="1:30" ht="16.5" customHeight="1">
      <c r="A5206" s="318" t="str">
        <f>IF(B5206&lt;&gt;"",IF(AND(B5206='IN-TC'!$S$4,OR(TH!N5206="1111",TH!O5206="1111")),TH!D5206,""),"")</f>
        <v/>
      </c>
      <c r="B5206" s="60" t="str">
        <f t="shared" si="502"/>
        <v/>
      </c>
      <c r="C5206" s="301"/>
      <c r="D5206" s="301"/>
      <c r="E5206" s="61"/>
      <c r="F5206" s="69"/>
      <c r="G5206" s="766"/>
      <c r="H5206" s="69"/>
      <c r="I5206" s="385"/>
      <c r="J5206" s="392"/>
      <c r="K5206" s="385"/>
      <c r="L5206" s="392"/>
      <c r="M5206" s="62"/>
      <c r="N5206" s="304"/>
      <c r="O5206" s="63"/>
      <c r="P5206" s="79" t="str">
        <f>IF(AND('331-CT'!$E$7=TH!H5206,OR(N5206="331",O5206="331")),"x","")</f>
        <v/>
      </c>
      <c r="Q5206" s="79" t="str">
        <f>IF(AND(B5206='111'!$L$11,OR($N5206=$Q$7,$O5206=$Q$7)),"x","")</f>
        <v/>
      </c>
      <c r="R5206" s="79" t="str">
        <f>IF(AND($N5206=$Q$7,$B5206&lt;'111'!$L$11),"x","")</f>
        <v/>
      </c>
      <c r="S5206" s="79" t="str">
        <f>IF(AND($O5206=$Q$7,$B5206&lt;'111'!$L$11),"x","")</f>
        <v/>
      </c>
      <c r="T5206" s="79" t="str">
        <f>IF(ISERROR(FIND('112'!$M$9,G5206,1)),"",IF((AND(FIND('112'!$M$9,G5206,1)&gt;=1,B5206='112'!$K$9,OR($N5206='112'!$I$6,$O5206='112'!$I$6))),"x",""))</f>
        <v/>
      </c>
      <c r="U5206" s="79" t="str">
        <f>IF(ISERROR(FIND('112'!$M$9,G5206,1)),"",IF((AND(LEFT(G5206,2)=LEFT('112'!$M$9,2),B5206&lt;'112'!$K$9,$N5206='112'!$I$6)),"x",""))</f>
        <v/>
      </c>
      <c r="V5206" s="79" t="str">
        <f>IF(ISERROR(FIND('112'!$M$9,G5206,1)),"",IF((AND(RIGHT(G5206,2)=RIGHT('112'!$M$9,2),B5206&lt;'112'!$K$9,$O5206='112'!$I$6)),"x",""))</f>
        <v/>
      </c>
      <c r="W5206" s="79" t="str">
        <f>IF(AND('341-CT'!$H$9=H5206,OR(LEFT(N5206,3)=$W$7,LEFT(O5206,3)=$W$7)),"x","")</f>
        <v/>
      </c>
      <c r="X5206" s="79" t="str">
        <f>IF(OR(TH!N5206=TH!$X$7,O5206=TH!$X$7),"x","")</f>
        <v/>
      </c>
      <c r="Y5206" s="79" t="str">
        <f>IF(AND(OR(N5206="131",O5206="131"),H5206='131-CT'!$H$9),"x","")</f>
        <v/>
      </c>
      <c r="Z5206" s="79"/>
      <c r="AA5206" s="79" t="str">
        <f>IF(AND(MONTH(E5206)='IN-NX'!$J$5,'IN-NX'!$D$7=D5206),"x","")</f>
        <v/>
      </c>
      <c r="AB5206" s="79" t="str">
        <f>IF(AND(OR(LEFT(TH!N5206,2)="15",LEFT(TH!O5206,2)="15"),LEFT(TH!O5206,3)&lt;&gt;"111",'152-CT'!$J$8=TH!F5206),"x","")</f>
        <v/>
      </c>
      <c r="AC5206" s="79" t="str">
        <f>IF(AND(OR(LEFT(TH!N5206,2)="15",LEFT(TH!O5206,2)="15"),TK!$E$7=TH!F5206),"x","")</f>
        <v/>
      </c>
      <c r="AD5206" s="79" t="str">
        <f>IF(AND(N5206="1521",MONTH(C5206)='BK-NL'!$M$11),"x","")</f>
        <v/>
      </c>
    </row>
    <row r="5207" spans="1:30" ht="16.5" customHeight="1">
      <c r="A5207" s="318" t="str">
        <f>IF(B5207&lt;&gt;"",IF(AND(B5207='IN-TC'!$S$4,OR(TH!N5207="1111",TH!O5207="1111")),TH!D5207,""),"")</f>
        <v/>
      </c>
      <c r="B5207" s="60" t="str">
        <f t="shared" si="502"/>
        <v/>
      </c>
      <c r="C5207" s="301"/>
      <c r="D5207" s="301"/>
      <c r="E5207" s="61"/>
      <c r="F5207" s="69"/>
      <c r="G5207" s="766"/>
      <c r="H5207" s="71"/>
      <c r="I5207" s="385"/>
      <c r="J5207" s="392"/>
      <c r="K5207" s="385"/>
      <c r="L5207" s="392"/>
      <c r="M5207" s="62"/>
      <c r="N5207" s="63"/>
      <c r="O5207" s="63"/>
      <c r="P5207" s="79" t="str">
        <f>IF(AND('331-CT'!$E$7=TH!H5207,OR(N5207="331",O5207="331")),"x","")</f>
        <v/>
      </c>
      <c r="Q5207" s="79" t="str">
        <f>IF(AND(B5207='111'!$L$11,OR($N5207=$Q$7,$O5207=$Q$7)),"x","")</f>
        <v/>
      </c>
      <c r="R5207" s="79" t="str">
        <f>IF(AND($N5207=$Q$7,$B5207&lt;'111'!$L$11),"x","")</f>
        <v/>
      </c>
      <c r="S5207" s="79" t="str">
        <f>IF(AND($O5207=$Q$7,$B5207&lt;'111'!$L$11),"x","")</f>
        <v/>
      </c>
      <c r="T5207" s="79" t="str">
        <f>IF(ISERROR(FIND('112'!$M$9,G5207,1)),"",IF((AND(FIND('112'!$M$9,G5207,1)&gt;=1,B5207='112'!$K$9,OR($N5207='112'!$I$6,$O5207='112'!$I$6))),"x",""))</f>
        <v/>
      </c>
      <c r="U5207" s="79" t="str">
        <f>IF(ISERROR(FIND('112'!$M$9,G5207,1)),"",IF((AND(LEFT(G5207,2)=LEFT('112'!$M$9,2),B5207&lt;'112'!$K$9,$N5207='112'!$I$6)),"x",""))</f>
        <v/>
      </c>
      <c r="V5207" s="79" t="str">
        <f>IF(ISERROR(FIND('112'!$M$9,G5207,1)),"",IF((AND(RIGHT(G5207,2)=RIGHT('112'!$M$9,2),B5207&lt;'112'!$K$9,$O5207='112'!$I$6)),"x",""))</f>
        <v/>
      </c>
      <c r="W5207" s="79" t="str">
        <f>IF(AND('341-CT'!$H$9=H5207,OR(LEFT(N5207,3)=$W$7,LEFT(O5207,3)=$W$7)),"x","")</f>
        <v/>
      </c>
      <c r="X5207" s="79" t="str">
        <f>IF(OR(TH!N5207=TH!$X$7,O5207=TH!$X$7),"x","")</f>
        <v/>
      </c>
      <c r="Y5207" s="79" t="str">
        <f>IF(AND(OR(N5207="131",O5207="131"),H5207='131-CT'!$H$9),"x","")</f>
        <v/>
      </c>
      <c r="Z5207" s="79"/>
      <c r="AA5207" s="79" t="str">
        <f>IF(AND(MONTH(E5207)='IN-NX'!$J$5,'IN-NX'!$D$7=D5207),"x","")</f>
        <v/>
      </c>
      <c r="AB5207" s="79" t="str">
        <f>IF(AND(OR(LEFT(TH!N5207,2)="15",LEFT(TH!O5207,2)="15"),LEFT(TH!O5207,3)&lt;&gt;"111",'152-CT'!$J$8=TH!F5207),"x","")</f>
        <v/>
      </c>
      <c r="AC5207" s="79" t="str">
        <f>IF(AND(OR(LEFT(TH!N5207,2)="15",LEFT(TH!O5207,2)="15"),TK!$E$7=TH!F5207),"x","")</f>
        <v/>
      </c>
      <c r="AD5207" s="79" t="str">
        <f>IF(AND(N5207="1521",MONTH(C5207)='BK-NL'!$M$11),"x","")</f>
        <v/>
      </c>
    </row>
    <row r="5208" spans="1:30" ht="16.5" customHeight="1">
      <c r="A5208" s="318" t="str">
        <f>IF(B5208&lt;&gt;"",IF(AND(B5208='IN-TC'!$S$4,OR(TH!N5208="1111",TH!O5208="1111")),TH!D5208,""),"")</f>
        <v/>
      </c>
      <c r="B5208" s="60" t="str">
        <f t="shared" si="502"/>
        <v/>
      </c>
      <c r="C5208" s="301"/>
      <c r="D5208" s="301"/>
      <c r="E5208" s="61"/>
      <c r="F5208" s="69"/>
      <c r="G5208" s="766"/>
      <c r="H5208" s="71"/>
      <c r="I5208" s="385"/>
      <c r="J5208" s="392"/>
      <c r="K5208" s="385"/>
      <c r="L5208" s="392"/>
      <c r="M5208" s="62"/>
      <c r="N5208" s="63"/>
      <c r="O5208" s="63"/>
      <c r="P5208" s="79" t="str">
        <f>IF(AND('331-CT'!$E$7=TH!H5208,OR(N5208="331",O5208="331")),"x","")</f>
        <v/>
      </c>
      <c r="Q5208" s="79" t="str">
        <f>IF(AND(B5208='111'!$L$11,OR($N5208=$Q$7,$O5208=$Q$7)),"x","")</f>
        <v/>
      </c>
      <c r="R5208" s="79" t="str">
        <f>IF(AND($N5208=$Q$7,$B5208&lt;'111'!$L$11),"x","")</f>
        <v/>
      </c>
      <c r="S5208" s="79" t="str">
        <f>IF(AND($O5208=$Q$7,$B5208&lt;'111'!$L$11),"x","")</f>
        <v/>
      </c>
      <c r="T5208" s="79" t="str">
        <f>IF(ISERROR(FIND('112'!$M$9,G5208,1)),"",IF((AND(FIND('112'!$M$9,G5208,1)&gt;=1,B5208='112'!$K$9,OR($N5208='112'!$I$6,$O5208='112'!$I$6))),"x",""))</f>
        <v/>
      </c>
      <c r="U5208" s="79" t="str">
        <f>IF(ISERROR(FIND('112'!$M$9,G5208,1)),"",IF((AND(LEFT(G5208,2)=LEFT('112'!$M$9,2),B5208&lt;'112'!$K$9,$N5208='112'!$I$6)),"x",""))</f>
        <v/>
      </c>
      <c r="V5208" s="79" t="str">
        <f>IF(ISERROR(FIND('112'!$M$9,G5208,1)),"",IF((AND(RIGHT(G5208,2)=RIGHT('112'!$M$9,2),B5208&lt;'112'!$K$9,$O5208='112'!$I$6)),"x",""))</f>
        <v/>
      </c>
      <c r="W5208" s="79" t="str">
        <f>IF(AND('341-CT'!$H$9=H5208,OR(LEFT(N5208,3)=$W$7,LEFT(O5208,3)=$W$7)),"x","")</f>
        <v/>
      </c>
      <c r="X5208" s="79" t="str">
        <f>IF(OR(TH!N5208=TH!$X$7,O5208=TH!$X$7),"x","")</f>
        <v/>
      </c>
      <c r="Y5208" s="79" t="str">
        <f>IF(AND(OR(N5208="131",O5208="131"),H5208='131-CT'!$H$9),"x","")</f>
        <v/>
      </c>
      <c r="Z5208" s="79"/>
      <c r="AA5208" s="79" t="str">
        <f>IF(AND(MONTH(E5208)='IN-NX'!$J$5,'IN-NX'!$D$7=D5208),"x","")</f>
        <v/>
      </c>
      <c r="AB5208" s="79" t="str">
        <f>IF(AND(OR(LEFT(TH!N5208,2)="15",LEFT(TH!O5208,2)="15"),LEFT(TH!O5208,3)&lt;&gt;"111",'152-CT'!$J$8=TH!F5208),"x","")</f>
        <v/>
      </c>
      <c r="AC5208" s="79" t="str">
        <f>IF(AND(OR(LEFT(TH!N5208,2)="15",LEFT(TH!O5208,2)="15"),TK!$E$7=TH!F5208),"x","")</f>
        <v/>
      </c>
      <c r="AD5208" s="79" t="str">
        <f>IF(AND(N5208="1521",MONTH(C5208)='BK-NL'!$M$11),"x","")</f>
        <v/>
      </c>
    </row>
    <row r="5209" spans="1:30" ht="16.5" customHeight="1">
      <c r="A5209" s="318" t="str">
        <f>IF(B5209&lt;&gt;"",IF(AND(B5209='IN-TC'!$S$4,OR(TH!N5209="1111",TH!O5209="1111")),TH!D5209,""),"")</f>
        <v/>
      </c>
      <c r="B5209" s="60" t="str">
        <f t="shared" si="502"/>
        <v/>
      </c>
      <c r="C5209" s="301"/>
      <c r="D5209" s="301"/>
      <c r="E5209" s="301"/>
      <c r="F5209" s="69"/>
      <c r="G5209" s="766"/>
      <c r="H5209" s="303"/>
      <c r="I5209" s="385"/>
      <c r="J5209" s="392"/>
      <c r="K5209" s="385"/>
      <c r="L5209" s="392"/>
      <c r="M5209" s="62"/>
      <c r="N5209" s="63"/>
      <c r="O5209" s="63"/>
      <c r="P5209" s="79" t="str">
        <f>IF(AND('331-CT'!$E$7=TH!H5209,OR(N5209="331",O5209="331")),"x","")</f>
        <v/>
      </c>
      <c r="Q5209" s="79" t="str">
        <f>IF(AND(B5209='111'!$L$11,OR($N5209=$Q$7,$O5209=$Q$7)),"x","")</f>
        <v/>
      </c>
      <c r="R5209" s="79" t="str">
        <f>IF(AND($N5209=$Q$7,$B5209&lt;'111'!$L$11),"x","")</f>
        <v/>
      </c>
      <c r="S5209" s="79" t="str">
        <f>IF(AND($O5209=$Q$7,$B5209&lt;'111'!$L$11),"x","")</f>
        <v/>
      </c>
      <c r="T5209" s="79" t="str">
        <f>IF(ISERROR(FIND('112'!$M$9,G5209,1)),"",IF((AND(FIND('112'!$M$9,G5209,1)&gt;=1,B5209='112'!$K$9,OR($N5209='112'!$I$6,$O5209='112'!$I$6))),"x",""))</f>
        <v/>
      </c>
      <c r="U5209" s="79" t="str">
        <f>IF(ISERROR(FIND('112'!$M$9,G5209,1)),"",IF((AND(LEFT(G5209,2)=LEFT('112'!$M$9,2),B5209&lt;'112'!$K$9,$N5209='112'!$I$6)),"x",""))</f>
        <v/>
      </c>
      <c r="V5209" s="79" t="str">
        <f>IF(ISERROR(FIND('112'!$M$9,G5209,1)),"",IF((AND(RIGHT(G5209,2)=RIGHT('112'!$M$9,2),B5209&lt;'112'!$K$9,$O5209='112'!$I$6)),"x",""))</f>
        <v/>
      </c>
      <c r="W5209" s="79" t="str">
        <f>IF(AND('341-CT'!$H$9=H5209,OR(LEFT(N5209,3)=$W$7,LEFT(O5209,3)=$W$7)),"x","")</f>
        <v/>
      </c>
      <c r="X5209" s="79" t="str">
        <f>IF(OR(TH!N5209=TH!$X$7,O5209=TH!$X$7),"x","")</f>
        <v/>
      </c>
      <c r="Y5209" s="79" t="str">
        <f>IF(AND(OR(N5209="131",O5209="131"),H5209='131-CT'!$H$9),"x","")</f>
        <v/>
      </c>
      <c r="Z5209" s="79"/>
      <c r="AA5209" s="79" t="str">
        <f>IF(AND(MONTH(E5209)='IN-NX'!$J$5,'IN-NX'!$D$7=D5209),"x","")</f>
        <v/>
      </c>
      <c r="AB5209" s="79" t="str">
        <f>IF(AND(OR(LEFT(TH!N5209,2)="15",LEFT(TH!O5209,2)="15"),LEFT(TH!O5209,3)&lt;&gt;"111",'152-CT'!$J$8=TH!F5209),"x","")</f>
        <v/>
      </c>
      <c r="AC5209" s="79" t="str">
        <f>IF(AND(OR(LEFT(TH!N5209,2)="15",LEFT(TH!O5209,2)="15"),TK!$E$7=TH!F5209),"x","")</f>
        <v/>
      </c>
      <c r="AD5209" s="79" t="str">
        <f>IF(AND(N5209="1521",MONTH(C5209)='BK-NL'!$M$11),"x","")</f>
        <v/>
      </c>
    </row>
    <row r="5210" spans="1:30" ht="16.5" customHeight="1">
      <c r="A5210" s="318" t="str">
        <f>IF(B5210&lt;&gt;"",IF(AND(B5210='IN-TC'!$S$4,OR(TH!N5210="1111",TH!O5210="1111")),TH!D5210,""),"")</f>
        <v/>
      </c>
      <c r="B5210" s="60" t="str">
        <f t="shared" si="502"/>
        <v/>
      </c>
      <c r="C5210" s="301"/>
      <c r="D5210" s="301"/>
      <c r="E5210" s="301"/>
      <c r="F5210" s="69"/>
      <c r="G5210" s="769"/>
      <c r="H5210" s="303"/>
      <c r="I5210" s="385"/>
      <c r="J5210" s="392"/>
      <c r="K5210" s="385"/>
      <c r="L5210" s="392"/>
      <c r="M5210" s="62"/>
      <c r="N5210" s="63"/>
      <c r="O5210" s="63"/>
      <c r="P5210" s="79" t="str">
        <f>IF(AND('331-CT'!$E$7=TH!H5210,OR(N5210="331",O5210="331")),"x","")</f>
        <v/>
      </c>
      <c r="Q5210" s="79" t="str">
        <f>IF(AND(B5210='111'!$L$11,OR($N5210=$Q$7,$O5210=$Q$7)),"x","")</f>
        <v/>
      </c>
      <c r="R5210" s="79" t="str">
        <f>IF(AND($N5210=$Q$7,$B5210&lt;'111'!$L$11),"x","")</f>
        <v/>
      </c>
      <c r="S5210" s="79" t="str">
        <f>IF(AND($O5210=$Q$7,$B5210&lt;'111'!$L$11),"x","")</f>
        <v/>
      </c>
      <c r="T5210" s="79" t="str">
        <f>IF(ISERROR(FIND('112'!$M$9,G5210,1)),"",IF((AND(FIND('112'!$M$9,G5210,1)&gt;=1,B5210='112'!$K$9,OR($N5210='112'!$I$6,$O5210='112'!$I$6))),"x",""))</f>
        <v/>
      </c>
      <c r="U5210" s="79" t="str">
        <f>IF(ISERROR(FIND('112'!$M$9,G5210,1)),"",IF((AND(LEFT(G5210,2)=LEFT('112'!$M$9,2),B5210&lt;'112'!$K$9,$N5210='112'!$I$6)),"x",""))</f>
        <v/>
      </c>
      <c r="V5210" s="79" t="str">
        <f>IF(ISERROR(FIND('112'!$M$9,G5210,1)),"",IF((AND(RIGHT(G5210,2)=RIGHT('112'!$M$9,2),B5210&lt;'112'!$K$9,$O5210='112'!$I$6)),"x",""))</f>
        <v/>
      </c>
      <c r="W5210" s="79" t="str">
        <f>IF(AND('341-CT'!$H$9=H5210,OR(LEFT(N5210,3)=$W$7,LEFT(O5210,3)=$W$7)),"x","")</f>
        <v/>
      </c>
      <c r="X5210" s="79" t="str">
        <f>IF(OR(TH!N5210=TH!$X$7,O5210=TH!$X$7),"x","")</f>
        <v/>
      </c>
      <c r="Y5210" s="79" t="str">
        <f>IF(AND(OR(N5210="131",O5210="131"),H5210='131-CT'!$H$9),"x","")</f>
        <v/>
      </c>
      <c r="Z5210" s="79"/>
      <c r="AA5210" s="79" t="str">
        <f>IF(AND(MONTH(E5210)='IN-NX'!$J$5,'IN-NX'!$D$7=D5210),"x","")</f>
        <v/>
      </c>
      <c r="AB5210" s="79" t="str">
        <f>IF(AND(OR(LEFT(TH!N5210,2)="15",LEFT(TH!O5210,2)="15"),LEFT(TH!O5210,3)&lt;&gt;"111",'152-CT'!$J$8=TH!F5210),"x","")</f>
        <v/>
      </c>
      <c r="AC5210" s="79" t="str">
        <f>IF(AND(OR(LEFT(TH!N5210,2)="15",LEFT(TH!O5210,2)="15"),TK!$E$7=TH!F5210),"x","")</f>
        <v/>
      </c>
      <c r="AD5210" s="79" t="str">
        <f>IF(AND(N5210="1521",MONTH(C5210)='BK-NL'!$M$11),"x","")</f>
        <v/>
      </c>
    </row>
    <row r="5211" spans="1:30" ht="16.5" customHeight="1">
      <c r="A5211" s="318" t="str">
        <f>IF(B5211&lt;&gt;"",IF(AND(B5211='IN-TC'!$S$4,OR(TH!N5211="1111",TH!O5211="1111")),TH!D5211,""),"")</f>
        <v/>
      </c>
      <c r="B5211" s="60" t="str">
        <f t="shared" si="502"/>
        <v/>
      </c>
      <c r="C5211" s="301"/>
      <c r="D5211" s="301"/>
      <c r="E5211" s="301"/>
      <c r="F5211" s="69"/>
      <c r="G5211" s="769"/>
      <c r="H5211" s="303"/>
      <c r="I5211" s="385"/>
      <c r="J5211" s="392"/>
      <c r="K5211" s="385"/>
      <c r="L5211" s="392"/>
      <c r="M5211" s="62"/>
      <c r="N5211" s="304"/>
      <c r="O5211" s="63"/>
      <c r="P5211" s="79" t="str">
        <f>IF(AND('331-CT'!$E$7=TH!H5211,OR(N5211="331",O5211="331")),"x","")</f>
        <v/>
      </c>
      <c r="Q5211" s="79" t="str">
        <f>IF(AND(B5211='111'!$L$11,OR($N5211=$Q$7,$O5211=$Q$7)),"x","")</f>
        <v/>
      </c>
      <c r="R5211" s="79" t="str">
        <f>IF(AND($N5211=$Q$7,$B5211&lt;'111'!$L$11),"x","")</f>
        <v/>
      </c>
      <c r="S5211" s="79" t="str">
        <f>IF(AND($O5211=$Q$7,$B5211&lt;'111'!$L$11),"x","")</f>
        <v/>
      </c>
      <c r="T5211" s="79" t="str">
        <f>IF(ISERROR(FIND('112'!$M$9,G5211,1)),"",IF((AND(FIND('112'!$M$9,G5211,1)&gt;=1,B5211='112'!$K$9,OR($N5211='112'!$I$6,$O5211='112'!$I$6))),"x",""))</f>
        <v/>
      </c>
      <c r="U5211" s="79" t="str">
        <f>IF(ISERROR(FIND('112'!$M$9,G5211,1)),"",IF((AND(LEFT(G5211,2)=LEFT('112'!$M$9,2),B5211&lt;'112'!$K$9,$N5211='112'!$I$6)),"x",""))</f>
        <v/>
      </c>
      <c r="V5211" s="79" t="str">
        <f>IF(ISERROR(FIND('112'!$M$9,G5211,1)),"",IF((AND(RIGHT(G5211,2)=RIGHT('112'!$M$9,2),B5211&lt;'112'!$K$9,$O5211='112'!$I$6)),"x",""))</f>
        <v/>
      </c>
      <c r="W5211" s="79" t="str">
        <f>IF(AND('341-CT'!$H$9=H5211,OR(LEFT(N5211,3)=$W$7,LEFT(O5211,3)=$W$7)),"x","")</f>
        <v/>
      </c>
      <c r="X5211" s="79" t="str">
        <f>IF(OR(TH!N5211=TH!$X$7,O5211=TH!$X$7),"x","")</f>
        <v/>
      </c>
      <c r="Y5211" s="79" t="str">
        <f>IF(AND(OR(N5211="131",O5211="131"),H5211='131-CT'!$H$9),"x","")</f>
        <v/>
      </c>
      <c r="Z5211" s="79"/>
      <c r="AA5211" s="79" t="str">
        <f>IF(AND(MONTH(E5211)='IN-NX'!$J$5,'IN-NX'!$D$7=D5211),"x","")</f>
        <v/>
      </c>
      <c r="AB5211" s="79" t="str">
        <f>IF(AND(OR(LEFT(TH!N5211,2)="15",LEFT(TH!O5211,2)="15"),LEFT(TH!O5211,3)&lt;&gt;"111",'152-CT'!$J$8=TH!F5211),"x","")</f>
        <v/>
      </c>
      <c r="AC5211" s="79" t="str">
        <f>IF(AND(OR(LEFT(TH!N5211,2)="15",LEFT(TH!O5211,2)="15"),TK!$E$7=TH!F5211),"x","")</f>
        <v/>
      </c>
      <c r="AD5211" s="79" t="str">
        <f>IF(AND(N5211="1521",MONTH(C5211)='BK-NL'!$M$11),"x","")</f>
        <v/>
      </c>
    </row>
    <row r="5212" spans="1:30" ht="16.5" customHeight="1">
      <c r="A5212" s="318" t="str">
        <f>IF(B5212&lt;&gt;"",IF(AND(B5212='IN-TC'!$S$4,OR(TH!N5212="1111",TH!O5212="1111")),TH!D5212,""),"")</f>
        <v/>
      </c>
      <c r="B5212" s="60" t="str">
        <f t="shared" si="502"/>
        <v/>
      </c>
      <c r="C5212" s="61"/>
      <c r="D5212" s="61"/>
      <c r="E5212" s="61"/>
      <c r="F5212" s="69"/>
      <c r="G5212" s="766"/>
      <c r="H5212" s="69"/>
      <c r="I5212" s="385"/>
      <c r="J5212" s="392"/>
      <c r="K5212" s="385"/>
      <c r="L5212" s="392"/>
      <c r="M5212" s="62"/>
      <c r="N5212" s="63"/>
      <c r="O5212" s="63"/>
      <c r="P5212" s="79" t="str">
        <f>IF(AND('331-CT'!$E$7=TH!H5212,OR(N5212="331",O5212="331")),"x","")</f>
        <v/>
      </c>
      <c r="Q5212" s="79" t="str">
        <f>IF(AND(B5212='111'!$L$11,OR($N5212=$Q$7,$O5212=$Q$7)),"x","")</f>
        <v/>
      </c>
      <c r="R5212" s="79" t="str">
        <f>IF(AND($N5212=$Q$7,$B5212&lt;'111'!$L$11),"x","")</f>
        <v/>
      </c>
      <c r="S5212" s="79" t="str">
        <f>IF(AND($O5212=$Q$7,$B5212&lt;'111'!$L$11),"x","")</f>
        <v/>
      </c>
      <c r="T5212" s="79" t="str">
        <f>IF(ISERROR(FIND('112'!$M$9,G5212,1)),"",IF((AND(FIND('112'!$M$9,G5212,1)&gt;=1,B5212='112'!$K$9,OR($N5212='112'!$I$6,$O5212='112'!$I$6))),"x",""))</f>
        <v/>
      </c>
      <c r="U5212" s="79" t="str">
        <f>IF(ISERROR(FIND('112'!$M$9,G5212,1)),"",IF((AND(LEFT(G5212,2)=LEFT('112'!$M$9,2),B5212&lt;'112'!$K$9,$N5212='112'!$I$6)),"x",""))</f>
        <v/>
      </c>
      <c r="V5212" s="79" t="str">
        <f>IF(ISERROR(FIND('112'!$M$9,G5212,1)),"",IF((AND(RIGHT(G5212,2)=RIGHT('112'!$M$9,2),B5212&lt;'112'!$K$9,$O5212='112'!$I$6)),"x",""))</f>
        <v/>
      </c>
      <c r="W5212" s="79" t="str">
        <f>IF(AND('341-CT'!$H$9=H5212,OR(LEFT(N5212,3)=$W$7,LEFT(O5212,3)=$W$7)),"x","")</f>
        <v/>
      </c>
      <c r="X5212" s="79" t="str">
        <f>IF(OR(TH!N5212=TH!$X$7,O5212=TH!$X$7),"x","")</f>
        <v/>
      </c>
      <c r="Y5212" s="79" t="str">
        <f>IF(AND(OR(N5212="131",O5212="131"),H5212='131-CT'!$H$9),"x","")</f>
        <v/>
      </c>
      <c r="Z5212" s="79"/>
      <c r="AA5212" s="79" t="str">
        <f>IF(AND(MONTH(E5212)='IN-NX'!$J$5,'IN-NX'!$D$7=D5212),"x","")</f>
        <v/>
      </c>
      <c r="AB5212" s="79" t="str">
        <f>IF(AND(OR(LEFT(TH!N5212,2)="15",LEFT(TH!O5212,2)="15"),LEFT(TH!O5212,3)&lt;&gt;"111",'152-CT'!$J$8=TH!F5212),"x","")</f>
        <v/>
      </c>
      <c r="AC5212" s="79" t="str">
        <f>IF(AND(OR(LEFT(TH!N5212,2)="15",LEFT(TH!O5212,2)="15"),TK!$E$7=TH!F5212),"x","")</f>
        <v/>
      </c>
      <c r="AD5212" s="79" t="str">
        <f>IF(AND(N5212="1521",MONTH(C5212)='BK-NL'!$M$11),"x","")</f>
        <v/>
      </c>
    </row>
    <row r="5213" spans="1:30" ht="16.5" customHeight="1">
      <c r="A5213" s="318" t="str">
        <f>IF(B5213&lt;&gt;"",IF(AND(B5213='IN-TC'!$S$4,OR(TH!N5213="1111",TH!O5213="1111")),TH!D5213,""),"")</f>
        <v/>
      </c>
      <c r="B5213" s="60" t="str">
        <f t="shared" si="502"/>
        <v/>
      </c>
      <c r="C5213" s="61"/>
      <c r="D5213" s="61"/>
      <c r="E5213" s="61"/>
      <c r="F5213" s="69"/>
      <c r="G5213" s="766"/>
      <c r="H5213" s="69"/>
      <c r="I5213" s="385"/>
      <c r="J5213" s="392"/>
      <c r="K5213" s="385"/>
      <c r="L5213" s="392"/>
      <c r="M5213" s="62"/>
      <c r="N5213" s="63"/>
      <c r="O5213" s="63"/>
      <c r="P5213" s="79" t="str">
        <f>IF(AND('331-CT'!$E$7=TH!H5213,OR(N5213="331",O5213="331")),"x","")</f>
        <v/>
      </c>
      <c r="Q5213" s="79" t="str">
        <f>IF(AND(B5213='111'!$L$11,OR($N5213=$Q$7,$O5213=$Q$7)),"x","")</f>
        <v/>
      </c>
      <c r="R5213" s="79" t="str">
        <f>IF(AND($N5213=$Q$7,$B5213&lt;'111'!$L$11),"x","")</f>
        <v/>
      </c>
      <c r="S5213" s="79" t="str">
        <f>IF(AND($O5213=$Q$7,$B5213&lt;'111'!$L$11),"x","")</f>
        <v/>
      </c>
      <c r="T5213" s="79" t="str">
        <f>IF(ISERROR(FIND('112'!$M$9,G5213,1)),"",IF((AND(FIND('112'!$M$9,G5213,1)&gt;=1,B5213='112'!$K$9,OR($N5213='112'!$I$6,$O5213='112'!$I$6))),"x",""))</f>
        <v/>
      </c>
      <c r="U5213" s="79" t="str">
        <f>IF(ISERROR(FIND('112'!$M$9,G5213,1)),"",IF((AND(LEFT(G5213,2)=LEFT('112'!$M$9,2),B5213&lt;'112'!$K$9,$N5213='112'!$I$6)),"x",""))</f>
        <v/>
      </c>
      <c r="V5213" s="79" t="str">
        <f>IF(ISERROR(FIND('112'!$M$9,G5213,1)),"",IF((AND(RIGHT(G5213,2)=RIGHT('112'!$M$9,2),B5213&lt;'112'!$K$9,$O5213='112'!$I$6)),"x",""))</f>
        <v/>
      </c>
      <c r="W5213" s="79" t="str">
        <f>IF(AND('341-CT'!$H$9=H5213,OR(LEFT(N5213,3)=$W$7,LEFT(O5213,3)=$W$7)),"x","")</f>
        <v/>
      </c>
      <c r="X5213" s="79" t="str">
        <f>IF(OR(TH!N5213=TH!$X$7,O5213=TH!$X$7),"x","")</f>
        <v/>
      </c>
      <c r="Y5213" s="79" t="str">
        <f>IF(AND(OR(N5213="131",O5213="131"),H5213='131-CT'!$H$9),"x","")</f>
        <v/>
      </c>
      <c r="Z5213" s="79"/>
      <c r="AA5213" s="79" t="str">
        <f>IF(AND(MONTH(E5213)='IN-NX'!$J$5,'IN-NX'!$D$7=D5213),"x","")</f>
        <v/>
      </c>
      <c r="AB5213" s="79" t="str">
        <f>IF(AND(OR(LEFT(TH!N5213,2)="15",LEFT(TH!O5213,2)="15"),LEFT(TH!O5213,3)&lt;&gt;"111",'152-CT'!$J$8=TH!F5213),"x","")</f>
        <v/>
      </c>
      <c r="AC5213" s="79" t="str">
        <f>IF(AND(OR(LEFT(TH!N5213,2)="15",LEFT(TH!O5213,2)="15"),TK!$E$7=TH!F5213),"x","")</f>
        <v/>
      </c>
      <c r="AD5213" s="79" t="str">
        <f>IF(AND(N5213="1521",MONTH(C5213)='BK-NL'!$M$11),"x","")</f>
        <v/>
      </c>
    </row>
    <row r="5214" spans="1:30" ht="16.5" customHeight="1">
      <c r="A5214" s="318" t="str">
        <f>IF(B5214&lt;&gt;"",IF(AND(B5214='IN-TC'!$S$4,OR(TH!N5214="1111",TH!O5214="1111")),TH!D5214,""),"")</f>
        <v/>
      </c>
      <c r="B5214" s="60" t="str">
        <f t="shared" si="502"/>
        <v/>
      </c>
      <c r="C5214" s="61"/>
      <c r="D5214" s="61"/>
      <c r="E5214" s="61"/>
      <c r="F5214" s="69"/>
      <c r="G5214" s="766"/>
      <c r="H5214" s="69"/>
      <c r="I5214" s="385"/>
      <c r="J5214" s="392"/>
      <c r="K5214" s="385"/>
      <c r="L5214" s="392"/>
      <c r="M5214" s="62"/>
      <c r="N5214" s="63"/>
      <c r="O5214" s="63"/>
      <c r="P5214" s="79" t="str">
        <f>IF(AND('331-CT'!$E$7=TH!H5214,OR(N5214="331",O5214="331")),"x","")</f>
        <v/>
      </c>
      <c r="Q5214" s="79" t="str">
        <f>IF(AND(B5214='111'!$L$11,OR($N5214=$Q$7,$O5214=$Q$7)),"x","")</f>
        <v/>
      </c>
      <c r="R5214" s="79" t="str">
        <f>IF(AND($N5214=$Q$7,$B5214&lt;'111'!$L$11),"x","")</f>
        <v/>
      </c>
      <c r="S5214" s="79" t="str">
        <f>IF(AND($O5214=$Q$7,$B5214&lt;'111'!$L$11),"x","")</f>
        <v/>
      </c>
      <c r="T5214" s="79" t="str">
        <f>IF(ISERROR(FIND('112'!$M$9,G5214,1)),"",IF((AND(FIND('112'!$M$9,G5214,1)&gt;=1,B5214='112'!$K$9,OR($N5214='112'!$I$6,$O5214='112'!$I$6))),"x",""))</f>
        <v/>
      </c>
      <c r="U5214" s="79" t="str">
        <f>IF(ISERROR(FIND('112'!$M$9,G5214,1)),"",IF((AND(LEFT(G5214,2)=LEFT('112'!$M$9,2),B5214&lt;'112'!$K$9,$N5214='112'!$I$6)),"x",""))</f>
        <v/>
      </c>
      <c r="V5214" s="79" t="str">
        <f>IF(ISERROR(FIND('112'!$M$9,G5214,1)),"",IF((AND(RIGHT(G5214,2)=RIGHT('112'!$M$9,2),B5214&lt;'112'!$K$9,$O5214='112'!$I$6)),"x",""))</f>
        <v/>
      </c>
      <c r="W5214" s="79" t="str">
        <f>IF(AND('341-CT'!$H$9=H5214,OR(LEFT(N5214,3)=$W$7,LEFT(O5214,3)=$W$7)),"x","")</f>
        <v/>
      </c>
      <c r="X5214" s="79" t="str">
        <f>IF(OR(TH!N5214=TH!$X$7,O5214=TH!$X$7),"x","")</f>
        <v/>
      </c>
      <c r="Y5214" s="79" t="str">
        <f>IF(AND(OR(N5214="131",O5214="131"),H5214='131-CT'!$H$9),"x","")</f>
        <v/>
      </c>
      <c r="Z5214" s="79"/>
      <c r="AA5214" s="79" t="str">
        <f>IF(AND(MONTH(E5214)='IN-NX'!$J$5,'IN-NX'!$D$7=D5214),"x","")</f>
        <v/>
      </c>
      <c r="AB5214" s="79" t="str">
        <f>IF(AND(OR(LEFT(TH!N5214,2)="15",LEFT(TH!O5214,2)="15"),LEFT(TH!O5214,3)&lt;&gt;"111",'152-CT'!$J$8=TH!F5214),"x","")</f>
        <v/>
      </c>
      <c r="AC5214" s="79" t="str">
        <f>IF(AND(OR(LEFT(TH!N5214,2)="15",LEFT(TH!O5214,2)="15"),TK!$E$7=TH!F5214),"x","")</f>
        <v/>
      </c>
      <c r="AD5214" s="79" t="str">
        <f>IF(AND(N5214="1521",MONTH(C5214)='BK-NL'!$M$11),"x","")</f>
        <v/>
      </c>
    </row>
    <row r="5215" spans="1:30" ht="16.5" customHeight="1">
      <c r="A5215" s="318" t="str">
        <f>IF(B5215&lt;&gt;"",IF(AND(B5215='IN-TC'!$S$4,OR(TH!N5215="1111",TH!O5215="1111")),TH!D5215,""),"")</f>
        <v/>
      </c>
      <c r="B5215" s="60" t="str">
        <f t="shared" si="502"/>
        <v/>
      </c>
      <c r="C5215" s="61"/>
      <c r="D5215" s="61"/>
      <c r="E5215" s="61"/>
      <c r="F5215" s="69"/>
      <c r="G5215" s="766"/>
      <c r="H5215" s="69"/>
      <c r="I5215" s="385"/>
      <c r="J5215" s="392"/>
      <c r="K5215" s="385"/>
      <c r="L5215" s="392"/>
      <c r="M5215" s="62"/>
      <c r="N5215" s="63"/>
      <c r="O5215" s="63"/>
      <c r="P5215" s="79" t="str">
        <f>IF(AND('331-CT'!$E$7=TH!H5215,OR(N5215="331",O5215="331")),"x","")</f>
        <v/>
      </c>
      <c r="Q5215" s="79" t="str">
        <f>IF(AND(B5215='111'!$L$11,OR($N5215=$Q$7,$O5215=$Q$7)),"x","")</f>
        <v/>
      </c>
      <c r="R5215" s="79" t="str">
        <f>IF(AND($N5215=$Q$7,$B5215&lt;'111'!$L$11),"x","")</f>
        <v/>
      </c>
      <c r="S5215" s="79" t="str">
        <f>IF(AND($O5215=$Q$7,$B5215&lt;'111'!$L$11),"x","")</f>
        <v/>
      </c>
      <c r="T5215" s="79" t="str">
        <f>IF(ISERROR(FIND('112'!$M$9,G5215,1)),"",IF((AND(FIND('112'!$M$9,G5215,1)&gt;=1,B5215='112'!$K$9,OR($N5215='112'!$I$6,$O5215='112'!$I$6))),"x",""))</f>
        <v/>
      </c>
      <c r="U5215" s="79" t="str">
        <f>IF(ISERROR(FIND('112'!$M$9,G5215,1)),"",IF((AND(LEFT(G5215,2)=LEFT('112'!$M$9,2),B5215&lt;'112'!$K$9,$N5215='112'!$I$6)),"x",""))</f>
        <v/>
      </c>
      <c r="V5215" s="79" t="str">
        <f>IF(ISERROR(FIND('112'!$M$9,G5215,1)),"",IF((AND(RIGHT(G5215,2)=RIGHT('112'!$M$9,2),B5215&lt;'112'!$K$9,$O5215='112'!$I$6)),"x",""))</f>
        <v/>
      </c>
      <c r="W5215" s="79" t="str">
        <f>IF(AND('341-CT'!$H$9=H5215,OR(LEFT(N5215,3)=$W$7,LEFT(O5215,3)=$W$7)),"x","")</f>
        <v/>
      </c>
      <c r="X5215" s="79" t="str">
        <f>IF(OR(TH!N5215=TH!$X$7,O5215=TH!$X$7),"x","")</f>
        <v/>
      </c>
      <c r="Y5215" s="79" t="str">
        <f>IF(AND(OR(N5215="131",O5215="131"),H5215='131-CT'!$H$9),"x","")</f>
        <v/>
      </c>
      <c r="Z5215" s="79"/>
      <c r="AA5215" s="79" t="str">
        <f>IF(AND(MONTH(E5215)='IN-NX'!$J$5,'IN-NX'!$D$7=D5215),"x","")</f>
        <v/>
      </c>
      <c r="AB5215" s="79" t="str">
        <f>IF(AND(OR(LEFT(TH!N5215,2)="15",LEFT(TH!O5215,2)="15"),LEFT(TH!O5215,3)&lt;&gt;"111",'152-CT'!$J$8=TH!F5215),"x","")</f>
        <v/>
      </c>
      <c r="AC5215" s="79" t="str">
        <f>IF(AND(OR(LEFT(TH!N5215,2)="15",LEFT(TH!O5215,2)="15"),TK!$E$7=TH!F5215),"x","")</f>
        <v/>
      </c>
      <c r="AD5215" s="79" t="str">
        <f>IF(AND(N5215="1521",MONTH(C5215)='BK-NL'!$M$11),"x","")</f>
        <v/>
      </c>
    </row>
    <row r="5216" spans="1:30" ht="16.5" customHeight="1">
      <c r="A5216" s="318" t="str">
        <f>IF(B5216&lt;&gt;"",IF(AND(B5216='IN-TC'!$S$4,OR(TH!N5216="1111",TH!O5216="1111")),TH!D5216,""),"")</f>
        <v/>
      </c>
      <c r="B5216" s="60" t="str">
        <f t="shared" si="502"/>
        <v/>
      </c>
      <c r="C5216" s="61"/>
      <c r="D5216" s="61"/>
      <c r="E5216" s="61"/>
      <c r="F5216" s="69"/>
      <c r="G5216" s="766"/>
      <c r="H5216" s="69"/>
      <c r="I5216" s="385"/>
      <c r="J5216" s="392"/>
      <c r="K5216" s="385"/>
      <c r="L5216" s="392"/>
      <c r="M5216" s="62"/>
      <c r="N5216" s="304"/>
      <c r="O5216" s="63"/>
      <c r="P5216" s="79" t="str">
        <f>IF(AND('331-CT'!$E$7=TH!H5216,OR(N5216="331",O5216="331")),"x","")</f>
        <v/>
      </c>
      <c r="Q5216" s="79" t="str">
        <f>IF(AND(B5216='111'!$L$11,OR($N5216=$Q$7,$O5216=$Q$7)),"x","")</f>
        <v/>
      </c>
      <c r="R5216" s="79" t="str">
        <f>IF(AND($N5216=$Q$7,$B5216&lt;'111'!$L$11),"x","")</f>
        <v/>
      </c>
      <c r="S5216" s="79" t="str">
        <f>IF(AND($O5216=$Q$7,$B5216&lt;'111'!$L$11),"x","")</f>
        <v/>
      </c>
      <c r="T5216" s="79" t="str">
        <f>IF(ISERROR(FIND('112'!$M$9,G5216,1)),"",IF((AND(FIND('112'!$M$9,G5216,1)&gt;=1,B5216='112'!$K$9,OR($N5216='112'!$I$6,$O5216='112'!$I$6))),"x",""))</f>
        <v/>
      </c>
      <c r="U5216" s="79" t="str">
        <f>IF(ISERROR(FIND('112'!$M$9,G5216,1)),"",IF((AND(LEFT(G5216,2)=LEFT('112'!$M$9,2),B5216&lt;'112'!$K$9,$N5216='112'!$I$6)),"x",""))</f>
        <v/>
      </c>
      <c r="V5216" s="79" t="str">
        <f>IF(ISERROR(FIND('112'!$M$9,G5216,1)),"",IF((AND(RIGHT(G5216,2)=RIGHT('112'!$M$9,2),B5216&lt;'112'!$K$9,$O5216='112'!$I$6)),"x",""))</f>
        <v/>
      </c>
      <c r="W5216" s="79" t="str">
        <f>IF(AND('341-CT'!$H$9=H5216,OR(LEFT(N5216,3)=$W$7,LEFT(O5216,3)=$W$7)),"x","")</f>
        <v/>
      </c>
      <c r="X5216" s="79" t="str">
        <f>IF(OR(TH!N5216=TH!$X$7,O5216=TH!$X$7),"x","")</f>
        <v/>
      </c>
      <c r="Y5216" s="79" t="str">
        <f>IF(AND(OR(N5216="131",O5216="131"),H5216='131-CT'!$H$9),"x","")</f>
        <v/>
      </c>
      <c r="Z5216" s="79"/>
      <c r="AA5216" s="79" t="str">
        <f>IF(AND(MONTH(E5216)='IN-NX'!$J$5,'IN-NX'!$D$7=D5216),"x","")</f>
        <v/>
      </c>
      <c r="AB5216" s="79" t="str">
        <f>IF(AND(OR(LEFT(TH!N5216,2)="15",LEFT(TH!O5216,2)="15"),LEFT(TH!O5216,3)&lt;&gt;"111",'152-CT'!$J$8=TH!F5216),"x","")</f>
        <v/>
      </c>
      <c r="AC5216" s="79" t="str">
        <f>IF(AND(OR(LEFT(TH!N5216,2)="15",LEFT(TH!O5216,2)="15"),TK!$E$7=TH!F5216),"x","")</f>
        <v/>
      </c>
      <c r="AD5216" s="79" t="str">
        <f>IF(AND(N5216="1521",MONTH(C5216)='BK-NL'!$M$11),"x","")</f>
        <v/>
      </c>
    </row>
    <row r="5217" spans="1:30" ht="16.5" customHeight="1">
      <c r="A5217" s="318" t="str">
        <f>IF(B5217&lt;&gt;"",IF(AND(B5217='IN-TC'!$S$4,OR(TH!N5217="1111",TH!O5217="1111")),TH!D5217,""),"")</f>
        <v/>
      </c>
      <c r="B5217" s="60" t="str">
        <f t="shared" si="502"/>
        <v/>
      </c>
      <c r="C5217" s="61"/>
      <c r="D5217" s="61"/>
      <c r="E5217" s="61"/>
      <c r="F5217" s="69"/>
      <c r="G5217" s="766"/>
      <c r="H5217" s="69"/>
      <c r="I5217" s="385"/>
      <c r="J5217" s="392"/>
      <c r="K5217" s="385"/>
      <c r="L5217" s="392"/>
      <c r="M5217" s="62"/>
      <c r="N5217" s="304"/>
      <c r="O5217" s="63"/>
      <c r="P5217" s="79" t="str">
        <f>IF(AND('331-CT'!$E$7=TH!H5217,OR(N5217="331",O5217="331")),"x","")</f>
        <v/>
      </c>
      <c r="Q5217" s="79" t="str">
        <f>IF(AND(B5217='111'!$L$11,OR($N5217=$Q$7,$O5217=$Q$7)),"x","")</f>
        <v/>
      </c>
      <c r="R5217" s="79" t="str">
        <f>IF(AND($N5217=$Q$7,$B5217&lt;'111'!$L$11),"x","")</f>
        <v/>
      </c>
      <c r="S5217" s="79" t="str">
        <f>IF(AND($O5217=$Q$7,$B5217&lt;'111'!$L$11),"x","")</f>
        <v/>
      </c>
      <c r="T5217" s="79" t="str">
        <f>IF(ISERROR(FIND('112'!$M$9,G5217,1)),"",IF((AND(FIND('112'!$M$9,G5217,1)&gt;=1,B5217='112'!$K$9,OR($N5217='112'!$I$6,$O5217='112'!$I$6))),"x",""))</f>
        <v/>
      </c>
      <c r="U5217" s="79" t="str">
        <f>IF(ISERROR(FIND('112'!$M$9,G5217,1)),"",IF((AND(LEFT(G5217,2)=LEFT('112'!$M$9,2),B5217&lt;'112'!$K$9,$N5217='112'!$I$6)),"x",""))</f>
        <v/>
      </c>
      <c r="V5217" s="79" t="str">
        <f>IF(ISERROR(FIND('112'!$M$9,G5217,1)),"",IF((AND(RIGHT(G5217,2)=RIGHT('112'!$M$9,2),B5217&lt;'112'!$K$9,$O5217='112'!$I$6)),"x",""))</f>
        <v/>
      </c>
      <c r="W5217" s="79" t="str">
        <f>IF(AND('341-CT'!$H$9=H5217,OR(LEFT(N5217,3)=$W$7,LEFT(O5217,3)=$W$7)),"x","")</f>
        <v/>
      </c>
      <c r="X5217" s="79" t="str">
        <f>IF(OR(TH!N5217=TH!$X$7,O5217=TH!$X$7),"x","")</f>
        <v/>
      </c>
      <c r="Y5217" s="79" t="str">
        <f>IF(AND(OR(N5217="131",O5217="131"),H5217='131-CT'!$H$9),"x","")</f>
        <v/>
      </c>
      <c r="Z5217" s="79"/>
      <c r="AA5217" s="79" t="str">
        <f>IF(AND(MONTH(E5217)='IN-NX'!$J$5,'IN-NX'!$D$7=D5217),"x","")</f>
        <v/>
      </c>
      <c r="AB5217" s="79" t="str">
        <f>IF(AND(OR(LEFT(TH!N5217,2)="15",LEFT(TH!O5217,2)="15"),LEFT(TH!O5217,3)&lt;&gt;"111",'152-CT'!$J$8=TH!F5217),"x","")</f>
        <v/>
      </c>
      <c r="AC5217" s="79" t="str">
        <f>IF(AND(OR(LEFT(TH!N5217,2)="15",LEFT(TH!O5217,2)="15"),TK!$E$7=TH!F5217),"x","")</f>
        <v/>
      </c>
      <c r="AD5217" s="79" t="str">
        <f>IF(AND(N5217="1521",MONTH(C5217)='BK-NL'!$M$11),"x","")</f>
        <v/>
      </c>
    </row>
    <row r="5218" spans="1:30" ht="16.5" customHeight="1">
      <c r="A5218" s="318" t="str">
        <f>IF(B5218&lt;&gt;"",IF(AND(B5218='IN-TC'!$S$4,OR(TH!N5218="1111",TH!O5218="1111")),TH!D5218,""),"")</f>
        <v/>
      </c>
      <c r="B5218" s="60" t="str">
        <f t="shared" si="502"/>
        <v/>
      </c>
      <c r="C5218" s="61"/>
      <c r="D5218" s="61"/>
      <c r="E5218" s="61"/>
      <c r="F5218" s="69"/>
      <c r="G5218" s="766"/>
      <c r="H5218" s="69"/>
      <c r="I5218" s="385"/>
      <c r="J5218" s="392"/>
      <c r="K5218" s="385"/>
      <c r="L5218" s="392"/>
      <c r="M5218" s="62"/>
      <c r="N5218" s="304"/>
      <c r="O5218" s="63"/>
      <c r="P5218" s="79" t="str">
        <f>IF(AND('331-CT'!$E$7=TH!H5218,OR(N5218="331",O5218="331")),"x","")</f>
        <v/>
      </c>
      <c r="Q5218" s="79" t="str">
        <f>IF(AND(B5218='111'!$L$11,OR($N5218=$Q$7,$O5218=$Q$7)),"x","")</f>
        <v/>
      </c>
      <c r="R5218" s="79" t="str">
        <f>IF(AND($N5218=$Q$7,$B5218&lt;'111'!$L$11),"x","")</f>
        <v/>
      </c>
      <c r="S5218" s="79" t="str">
        <f>IF(AND($O5218=$Q$7,$B5218&lt;'111'!$L$11),"x","")</f>
        <v/>
      </c>
      <c r="T5218" s="79" t="str">
        <f>IF(ISERROR(FIND('112'!$M$9,G5218,1)),"",IF((AND(FIND('112'!$M$9,G5218,1)&gt;=1,B5218='112'!$K$9,OR($N5218='112'!$I$6,$O5218='112'!$I$6))),"x",""))</f>
        <v/>
      </c>
      <c r="U5218" s="79" t="str">
        <f>IF(ISERROR(FIND('112'!$M$9,G5218,1)),"",IF((AND(LEFT(G5218,2)=LEFT('112'!$M$9,2),B5218&lt;'112'!$K$9,$N5218='112'!$I$6)),"x",""))</f>
        <v/>
      </c>
      <c r="V5218" s="79" t="str">
        <f>IF(ISERROR(FIND('112'!$M$9,G5218,1)),"",IF((AND(RIGHT(G5218,2)=RIGHT('112'!$M$9,2),B5218&lt;'112'!$K$9,$O5218='112'!$I$6)),"x",""))</f>
        <v/>
      </c>
      <c r="W5218" s="79" t="str">
        <f>IF(AND('341-CT'!$H$9=H5218,OR(LEFT(N5218,3)=$W$7,LEFT(O5218,3)=$W$7)),"x","")</f>
        <v/>
      </c>
      <c r="X5218" s="79" t="str">
        <f>IF(OR(TH!N5218=TH!$X$7,O5218=TH!$X$7),"x","")</f>
        <v/>
      </c>
      <c r="Y5218" s="79" t="str">
        <f>IF(AND(OR(N5218="131",O5218="131"),H5218='131-CT'!$H$9),"x","")</f>
        <v/>
      </c>
      <c r="Z5218" s="79"/>
      <c r="AA5218" s="79" t="str">
        <f>IF(AND(MONTH(E5218)='IN-NX'!$J$5,'IN-NX'!$D$7=D5218),"x","")</f>
        <v/>
      </c>
      <c r="AB5218" s="79" t="str">
        <f>IF(AND(OR(LEFT(TH!N5218,2)="15",LEFT(TH!O5218,2)="15"),LEFT(TH!O5218,3)&lt;&gt;"111",'152-CT'!$J$8=TH!F5218),"x","")</f>
        <v/>
      </c>
      <c r="AC5218" s="79" t="str">
        <f>IF(AND(OR(LEFT(TH!N5218,2)="15",LEFT(TH!O5218,2)="15"),TK!$E$7=TH!F5218),"x","")</f>
        <v/>
      </c>
      <c r="AD5218" s="79" t="str">
        <f>IF(AND(N5218="1521",MONTH(C5218)='BK-NL'!$M$11),"x","")</f>
        <v/>
      </c>
    </row>
    <row r="5219" spans="1:30" ht="16.5" customHeight="1">
      <c r="A5219" s="318" t="str">
        <f>IF(B5219&lt;&gt;"",IF(AND(B5219='IN-TC'!$S$4,OR(TH!N5219="1111",TH!O5219="1111")),TH!D5219,""),"")</f>
        <v/>
      </c>
      <c r="B5219" s="60" t="str">
        <f t="shared" si="502"/>
        <v/>
      </c>
      <c r="C5219" s="61"/>
      <c r="D5219" s="61"/>
      <c r="E5219" s="61"/>
      <c r="F5219" s="69"/>
      <c r="G5219" s="766"/>
      <c r="H5219" s="69"/>
      <c r="I5219" s="385"/>
      <c r="J5219" s="392"/>
      <c r="K5219" s="385"/>
      <c r="L5219" s="392"/>
      <c r="M5219" s="62"/>
      <c r="N5219" s="63"/>
      <c r="O5219" s="63"/>
      <c r="P5219" s="79" t="str">
        <f>IF(AND('331-CT'!$E$7=TH!H5219,OR(N5219="331",O5219="331")),"x","")</f>
        <v/>
      </c>
      <c r="Q5219" s="79" t="str">
        <f>IF(AND(B5219='111'!$L$11,OR($N5219=$Q$7,$O5219=$Q$7)),"x","")</f>
        <v/>
      </c>
      <c r="R5219" s="79" t="str">
        <f>IF(AND($N5219=$Q$7,$B5219&lt;'111'!$L$11),"x","")</f>
        <v/>
      </c>
      <c r="S5219" s="79" t="str">
        <f>IF(AND($O5219=$Q$7,$B5219&lt;'111'!$L$11),"x","")</f>
        <v/>
      </c>
      <c r="T5219" s="79" t="str">
        <f>IF(ISERROR(FIND('112'!$M$9,G5219,1)),"",IF((AND(FIND('112'!$M$9,G5219,1)&gt;=1,B5219='112'!$K$9,OR($N5219='112'!$I$6,$O5219='112'!$I$6))),"x",""))</f>
        <v/>
      </c>
      <c r="U5219" s="79" t="str">
        <f>IF(ISERROR(FIND('112'!$M$9,G5219,1)),"",IF((AND(LEFT(G5219,2)=LEFT('112'!$M$9,2),B5219&lt;'112'!$K$9,$N5219='112'!$I$6)),"x",""))</f>
        <v/>
      </c>
      <c r="V5219" s="79" t="str">
        <f>IF(ISERROR(FIND('112'!$M$9,G5219,1)),"",IF((AND(RIGHT(G5219,2)=RIGHT('112'!$M$9,2),B5219&lt;'112'!$K$9,$O5219='112'!$I$6)),"x",""))</f>
        <v/>
      </c>
      <c r="W5219" s="79" t="str">
        <f>IF(AND('341-CT'!$H$9=H5219,OR(LEFT(N5219,3)=$W$7,LEFT(O5219,3)=$W$7)),"x","")</f>
        <v/>
      </c>
      <c r="X5219" s="79" t="str">
        <f>IF(OR(TH!N5219=TH!$X$7,O5219=TH!$X$7),"x","")</f>
        <v/>
      </c>
      <c r="Y5219" s="79" t="str">
        <f>IF(AND(OR(N5219="131",O5219="131"),H5219='131-CT'!$H$9),"x","")</f>
        <v/>
      </c>
      <c r="Z5219" s="79"/>
      <c r="AA5219" s="79" t="str">
        <f>IF(AND(MONTH(E5219)='IN-NX'!$J$5,'IN-NX'!$D$7=D5219),"x","")</f>
        <v/>
      </c>
      <c r="AB5219" s="79" t="str">
        <f>IF(AND(OR(LEFT(TH!N5219,2)="15",LEFT(TH!O5219,2)="15"),LEFT(TH!O5219,3)&lt;&gt;"111",'152-CT'!$J$8=TH!F5219),"x","")</f>
        <v/>
      </c>
      <c r="AC5219" s="79" t="str">
        <f>IF(AND(OR(LEFT(TH!N5219,2)="15",LEFT(TH!O5219,2)="15"),TK!$E$7=TH!F5219),"x","")</f>
        <v/>
      </c>
      <c r="AD5219" s="79" t="str">
        <f>IF(AND(N5219="1521",MONTH(C5219)='BK-NL'!$M$11),"x","")</f>
        <v/>
      </c>
    </row>
    <row r="5220" spans="1:30" ht="16.5" customHeight="1">
      <c r="A5220" s="318" t="str">
        <f>IF(B5220&lt;&gt;"",IF(AND(B5220='IN-TC'!$S$4,OR(TH!N5220="1111",TH!O5220="1111")),TH!D5220,""),"")</f>
        <v/>
      </c>
      <c r="B5220" s="60" t="str">
        <f t="shared" si="502"/>
        <v/>
      </c>
      <c r="C5220" s="61"/>
      <c r="D5220" s="61"/>
      <c r="E5220" s="61"/>
      <c r="F5220" s="69"/>
      <c r="G5220" s="766"/>
      <c r="H5220" s="69"/>
      <c r="I5220" s="385"/>
      <c r="J5220" s="392"/>
      <c r="K5220" s="385"/>
      <c r="L5220" s="392"/>
      <c r="M5220" s="62"/>
      <c r="N5220" s="63"/>
      <c r="O5220" s="63"/>
      <c r="P5220" s="79" t="str">
        <f>IF(AND('331-CT'!$E$7=TH!H5220,OR(N5220="331",O5220="331")),"x","")</f>
        <v/>
      </c>
      <c r="Q5220" s="79" t="str">
        <f>IF(AND(B5220='111'!$L$11,OR($N5220=$Q$7,$O5220=$Q$7)),"x","")</f>
        <v/>
      </c>
      <c r="R5220" s="79" t="str">
        <f>IF(AND($N5220=$Q$7,$B5220&lt;'111'!$L$11),"x","")</f>
        <v/>
      </c>
      <c r="S5220" s="79" t="str">
        <f>IF(AND($O5220=$Q$7,$B5220&lt;'111'!$L$11),"x","")</f>
        <v/>
      </c>
      <c r="T5220" s="79" t="str">
        <f>IF(ISERROR(FIND('112'!$M$9,G5220,1)),"",IF((AND(FIND('112'!$M$9,G5220,1)&gt;=1,B5220='112'!$K$9,OR($N5220='112'!$I$6,$O5220='112'!$I$6))),"x",""))</f>
        <v/>
      </c>
      <c r="U5220" s="79" t="str">
        <f>IF(ISERROR(FIND('112'!$M$9,G5220,1)),"",IF((AND(LEFT(G5220,2)=LEFT('112'!$M$9,2),B5220&lt;'112'!$K$9,$N5220='112'!$I$6)),"x",""))</f>
        <v/>
      </c>
      <c r="V5220" s="79" t="str">
        <f>IF(ISERROR(FIND('112'!$M$9,G5220,1)),"",IF((AND(RIGHT(G5220,2)=RIGHT('112'!$M$9,2),B5220&lt;'112'!$K$9,$O5220='112'!$I$6)),"x",""))</f>
        <v/>
      </c>
      <c r="W5220" s="79" t="str">
        <f>IF(AND('341-CT'!$H$9=H5220,OR(LEFT(N5220,3)=$W$7,LEFT(O5220,3)=$W$7)),"x","")</f>
        <v/>
      </c>
      <c r="X5220" s="79" t="str">
        <f>IF(OR(TH!N5220=TH!$X$7,O5220=TH!$X$7),"x","")</f>
        <v/>
      </c>
      <c r="Y5220" s="79" t="str">
        <f>IF(AND(OR(N5220="131",O5220="131"),H5220='131-CT'!$H$9),"x","")</f>
        <v/>
      </c>
      <c r="Z5220" s="79"/>
      <c r="AA5220" s="79" t="str">
        <f>IF(AND(MONTH(E5220)='IN-NX'!$J$5,'IN-NX'!$D$7=D5220),"x","")</f>
        <v/>
      </c>
      <c r="AB5220" s="79" t="str">
        <f>IF(AND(OR(LEFT(TH!N5220,2)="15",LEFT(TH!O5220,2)="15"),LEFT(TH!O5220,3)&lt;&gt;"111",'152-CT'!$J$8=TH!F5220),"x","")</f>
        <v/>
      </c>
      <c r="AC5220" s="79" t="str">
        <f>IF(AND(OR(LEFT(TH!N5220,2)="15",LEFT(TH!O5220,2)="15"),TK!$E$7=TH!F5220),"x","")</f>
        <v/>
      </c>
      <c r="AD5220" s="79" t="str">
        <f>IF(AND(N5220="1521",MONTH(C5220)='BK-NL'!$M$11),"x","")</f>
        <v/>
      </c>
    </row>
    <row r="5221" spans="1:30" ht="16.5" customHeight="1">
      <c r="A5221" s="318" t="str">
        <f>IF(B5221&lt;&gt;"",IF(AND(B5221='IN-TC'!$S$4,OR(TH!N5221="1111",TH!O5221="1111")),TH!D5221,""),"")</f>
        <v/>
      </c>
      <c r="B5221" s="60" t="str">
        <f t="shared" si="502"/>
        <v/>
      </c>
      <c r="C5221" s="61"/>
      <c r="D5221" s="61"/>
      <c r="E5221" s="61"/>
      <c r="F5221" s="69"/>
      <c r="G5221" s="766"/>
      <c r="H5221" s="69"/>
      <c r="I5221" s="385"/>
      <c r="J5221" s="392"/>
      <c r="K5221" s="385"/>
      <c r="L5221" s="392"/>
      <c r="M5221" s="62"/>
      <c r="N5221" s="63"/>
      <c r="O5221" s="63"/>
      <c r="P5221" s="79" t="str">
        <f>IF(AND('331-CT'!$E$7=TH!H5221,OR(N5221="331",O5221="331")),"x","")</f>
        <v/>
      </c>
      <c r="Q5221" s="79" t="str">
        <f>IF(AND(B5221='111'!$L$11,OR($N5221=$Q$7,$O5221=$Q$7)),"x","")</f>
        <v/>
      </c>
      <c r="R5221" s="79" t="str">
        <f>IF(AND($N5221=$Q$7,$B5221&lt;'111'!$L$11),"x","")</f>
        <v/>
      </c>
      <c r="S5221" s="79" t="str">
        <f>IF(AND($O5221=$Q$7,$B5221&lt;'111'!$L$11),"x","")</f>
        <v/>
      </c>
      <c r="T5221" s="79" t="str">
        <f>IF(ISERROR(FIND('112'!$M$9,G5221,1)),"",IF((AND(FIND('112'!$M$9,G5221,1)&gt;=1,B5221='112'!$K$9,OR($N5221='112'!$I$6,$O5221='112'!$I$6))),"x",""))</f>
        <v/>
      </c>
      <c r="U5221" s="79" t="str">
        <f>IF(ISERROR(FIND('112'!$M$9,G5221,1)),"",IF((AND(LEFT(G5221,2)=LEFT('112'!$M$9,2),B5221&lt;'112'!$K$9,$N5221='112'!$I$6)),"x",""))</f>
        <v/>
      </c>
      <c r="V5221" s="79" t="str">
        <f>IF(ISERROR(FIND('112'!$M$9,G5221,1)),"",IF((AND(RIGHT(G5221,2)=RIGHT('112'!$M$9,2),B5221&lt;'112'!$K$9,$O5221='112'!$I$6)),"x",""))</f>
        <v/>
      </c>
      <c r="W5221" s="79" t="str">
        <f>IF(AND('341-CT'!$H$9=H5221,OR(LEFT(N5221,3)=$W$7,LEFT(O5221,3)=$W$7)),"x","")</f>
        <v/>
      </c>
      <c r="X5221" s="79" t="str">
        <f>IF(OR(TH!N5221=TH!$X$7,O5221=TH!$X$7),"x","")</f>
        <v/>
      </c>
      <c r="Y5221" s="79" t="str">
        <f>IF(AND(OR(N5221="131",O5221="131"),H5221='131-CT'!$H$9),"x","")</f>
        <v/>
      </c>
      <c r="Z5221" s="79"/>
      <c r="AA5221" s="79" t="str">
        <f>IF(AND(MONTH(E5221)='IN-NX'!$J$5,'IN-NX'!$D$7=D5221),"x","")</f>
        <v/>
      </c>
      <c r="AB5221" s="79" t="str">
        <f>IF(AND(OR(LEFT(TH!N5221,2)="15",LEFT(TH!O5221,2)="15"),LEFT(TH!O5221,3)&lt;&gt;"111",'152-CT'!$J$8=TH!F5221),"x","")</f>
        <v/>
      </c>
      <c r="AC5221" s="79" t="str">
        <f>IF(AND(OR(LEFT(TH!N5221,2)="15",LEFT(TH!O5221,2)="15"),TK!$E$7=TH!F5221),"x","")</f>
        <v/>
      </c>
      <c r="AD5221" s="79" t="str">
        <f>IF(AND(N5221="1521",MONTH(C5221)='BK-NL'!$M$11),"x","")</f>
        <v/>
      </c>
    </row>
    <row r="5222" spans="1:30" ht="16.5" customHeight="1">
      <c r="A5222" s="318" t="str">
        <f>IF(B5222&lt;&gt;"",IF(AND(B5222='IN-TC'!$S$4,OR(TH!N5222="1111",TH!O5222="1111")),TH!D5222,""),"")</f>
        <v/>
      </c>
      <c r="B5222" s="60" t="str">
        <f t="shared" si="502"/>
        <v/>
      </c>
      <c r="C5222" s="61"/>
      <c r="D5222" s="301"/>
      <c r="E5222" s="301"/>
      <c r="F5222" s="69"/>
      <c r="G5222" s="769"/>
      <c r="H5222" s="303"/>
      <c r="I5222" s="385"/>
      <c r="J5222" s="392"/>
      <c r="K5222" s="385"/>
      <c r="L5222" s="392"/>
      <c r="M5222" s="62"/>
      <c r="N5222" s="304"/>
      <c r="O5222" s="63"/>
      <c r="P5222" s="79" t="str">
        <f>IF(AND('331-CT'!$E$7=TH!H5222,OR(N5222="331",O5222="331")),"x","")</f>
        <v/>
      </c>
      <c r="Q5222" s="79" t="str">
        <f>IF(AND(B5222='111'!$L$11,OR($N5222=$Q$7,$O5222=$Q$7)),"x","")</f>
        <v/>
      </c>
      <c r="R5222" s="79" t="str">
        <f>IF(AND($N5222=$Q$7,$B5222&lt;'111'!$L$11),"x","")</f>
        <v/>
      </c>
      <c r="S5222" s="79" t="str">
        <f>IF(AND($O5222=$Q$7,$B5222&lt;'111'!$L$11),"x","")</f>
        <v/>
      </c>
      <c r="T5222" s="79" t="str">
        <f>IF(ISERROR(FIND('112'!$M$9,G5222,1)),"",IF((AND(FIND('112'!$M$9,G5222,1)&gt;=1,B5222='112'!$K$9,OR($N5222='112'!$I$6,$O5222='112'!$I$6))),"x",""))</f>
        <v/>
      </c>
      <c r="U5222" s="79" t="str">
        <f>IF(ISERROR(FIND('112'!$M$9,G5222,1)),"",IF((AND(LEFT(G5222,2)=LEFT('112'!$M$9,2),B5222&lt;'112'!$K$9,$N5222='112'!$I$6)),"x",""))</f>
        <v/>
      </c>
      <c r="V5222" s="79" t="str">
        <f>IF(ISERROR(FIND('112'!$M$9,G5222,1)),"",IF((AND(RIGHT(G5222,2)=RIGHT('112'!$M$9,2),B5222&lt;'112'!$K$9,$O5222='112'!$I$6)),"x",""))</f>
        <v/>
      </c>
      <c r="W5222" s="79" t="str">
        <f>IF(AND('341-CT'!$H$9=H5222,OR(LEFT(N5222,3)=$W$7,LEFT(O5222,3)=$W$7)),"x","")</f>
        <v/>
      </c>
      <c r="X5222" s="79" t="str">
        <f>IF(OR(TH!N5222=TH!$X$7,O5222=TH!$X$7),"x","")</f>
        <v/>
      </c>
      <c r="Y5222" s="79" t="str">
        <f>IF(AND(OR(N5222="131",O5222="131"),H5222='131-CT'!$H$9),"x","")</f>
        <v/>
      </c>
      <c r="Z5222" s="79"/>
      <c r="AA5222" s="79" t="str">
        <f>IF(AND(MONTH(E5222)='IN-NX'!$J$5,'IN-NX'!$D$7=D5222),"x","")</f>
        <v/>
      </c>
      <c r="AB5222" s="79" t="str">
        <f>IF(AND(OR(LEFT(TH!N5222,2)="15",LEFT(TH!O5222,2)="15"),LEFT(TH!O5222,3)&lt;&gt;"111",'152-CT'!$J$8=TH!F5222),"x","")</f>
        <v/>
      </c>
      <c r="AC5222" s="79" t="str">
        <f>IF(AND(OR(LEFT(TH!N5222,2)="15",LEFT(TH!O5222,2)="15"),TK!$E$7=TH!F5222),"x","")</f>
        <v/>
      </c>
      <c r="AD5222" s="79" t="str">
        <f>IF(AND(N5222="1521",MONTH(C5222)='BK-NL'!$M$11),"x","")</f>
        <v/>
      </c>
    </row>
    <row r="5223" spans="1:30" ht="16.5" customHeight="1">
      <c r="A5223" s="318" t="str">
        <f>IF(B5223&lt;&gt;"",IF(AND(B5223='IN-TC'!$S$4,OR(TH!N5223="1111",TH!O5223="1111")),TH!D5223,""),"")</f>
        <v/>
      </c>
      <c r="B5223" s="60" t="str">
        <f t="shared" si="502"/>
        <v/>
      </c>
      <c r="C5223" s="61"/>
      <c r="D5223" s="301"/>
      <c r="E5223" s="301"/>
      <c r="F5223" s="69"/>
      <c r="G5223" s="769"/>
      <c r="H5223" s="303"/>
      <c r="I5223" s="385"/>
      <c r="J5223" s="392"/>
      <c r="K5223" s="385"/>
      <c r="L5223" s="392"/>
      <c r="M5223" s="62"/>
      <c r="N5223" s="304"/>
      <c r="O5223" s="63"/>
      <c r="P5223" s="79" t="str">
        <f>IF(AND('331-CT'!$E$7=TH!H5223,OR(N5223="331",O5223="331")),"x","")</f>
        <v/>
      </c>
      <c r="Q5223" s="79" t="str">
        <f>IF(AND(B5223='111'!$L$11,OR($N5223=$Q$7,$O5223=$Q$7)),"x","")</f>
        <v/>
      </c>
      <c r="R5223" s="79" t="str">
        <f>IF(AND($N5223=$Q$7,$B5223&lt;'111'!$L$11),"x","")</f>
        <v/>
      </c>
      <c r="S5223" s="79" t="str">
        <f>IF(AND($O5223=$Q$7,$B5223&lt;'111'!$L$11),"x","")</f>
        <v/>
      </c>
      <c r="T5223" s="79" t="str">
        <f>IF(ISERROR(FIND('112'!$M$9,G5223,1)),"",IF((AND(FIND('112'!$M$9,G5223,1)&gt;=1,B5223='112'!$K$9,OR($N5223='112'!$I$6,$O5223='112'!$I$6))),"x",""))</f>
        <v/>
      </c>
      <c r="U5223" s="79" t="str">
        <f>IF(ISERROR(FIND('112'!$M$9,G5223,1)),"",IF((AND(LEFT(G5223,2)=LEFT('112'!$M$9,2),B5223&lt;'112'!$K$9,$N5223='112'!$I$6)),"x",""))</f>
        <v/>
      </c>
      <c r="V5223" s="79" t="str">
        <f>IF(ISERROR(FIND('112'!$M$9,G5223,1)),"",IF((AND(RIGHT(G5223,2)=RIGHT('112'!$M$9,2),B5223&lt;'112'!$K$9,$O5223='112'!$I$6)),"x",""))</f>
        <v/>
      </c>
      <c r="W5223" s="79" t="str">
        <f>IF(AND('341-CT'!$H$9=H5223,OR(LEFT(N5223,3)=$W$7,LEFT(O5223,3)=$W$7)),"x","")</f>
        <v/>
      </c>
      <c r="X5223" s="79" t="str">
        <f>IF(OR(TH!N5223=TH!$X$7,O5223=TH!$X$7),"x","")</f>
        <v/>
      </c>
      <c r="Y5223" s="79" t="str">
        <f>IF(AND(OR(N5223="131",O5223="131"),H5223='131-CT'!$H$9),"x","")</f>
        <v/>
      </c>
      <c r="Z5223" s="79"/>
      <c r="AA5223" s="79" t="str">
        <f>IF(AND(MONTH(E5223)='IN-NX'!$J$5,'IN-NX'!$D$7=D5223),"x","")</f>
        <v/>
      </c>
      <c r="AB5223" s="79" t="str">
        <f>IF(AND(OR(LEFT(TH!N5223,2)="15",LEFT(TH!O5223,2)="15"),LEFT(TH!O5223,3)&lt;&gt;"111",'152-CT'!$J$8=TH!F5223),"x","")</f>
        <v/>
      </c>
      <c r="AC5223" s="79" t="str">
        <f>IF(AND(OR(LEFT(TH!N5223,2)="15",LEFT(TH!O5223,2)="15"),TK!$E$7=TH!F5223),"x","")</f>
        <v/>
      </c>
      <c r="AD5223" s="79" t="str">
        <f>IF(AND(N5223="1521",MONTH(C5223)='BK-NL'!$M$11),"x","")</f>
        <v/>
      </c>
    </row>
    <row r="5224" spans="1:30" ht="16.5" customHeight="1">
      <c r="A5224" s="318" t="str">
        <f>IF(B5224&lt;&gt;"",IF(AND(B5224='IN-TC'!$S$4,OR(TH!N5224="1111",TH!O5224="1111")),TH!D5224,""),"")</f>
        <v/>
      </c>
      <c r="B5224" s="60" t="str">
        <f t="shared" si="502"/>
        <v/>
      </c>
      <c r="C5224" s="61"/>
      <c r="D5224" s="301"/>
      <c r="E5224" s="301"/>
      <c r="F5224" s="69"/>
      <c r="G5224" s="769"/>
      <c r="H5224" s="303"/>
      <c r="I5224" s="385"/>
      <c r="J5224" s="392"/>
      <c r="K5224" s="385"/>
      <c r="L5224" s="392"/>
      <c r="M5224" s="62"/>
      <c r="N5224" s="304"/>
      <c r="O5224" s="63"/>
      <c r="P5224" s="79" t="str">
        <f>IF(AND('331-CT'!$E$7=TH!H5224,OR(N5224="331",O5224="331")),"x","")</f>
        <v/>
      </c>
      <c r="Q5224" s="79" t="str">
        <f>IF(AND(B5224='111'!$L$11,OR($N5224=$Q$7,$O5224=$Q$7)),"x","")</f>
        <v/>
      </c>
      <c r="R5224" s="79" t="str">
        <f>IF(AND($N5224=$Q$7,$B5224&lt;'111'!$L$11),"x","")</f>
        <v/>
      </c>
      <c r="S5224" s="79" t="str">
        <f>IF(AND($O5224=$Q$7,$B5224&lt;'111'!$L$11),"x","")</f>
        <v/>
      </c>
      <c r="T5224" s="79" t="str">
        <f>IF(ISERROR(FIND('112'!$M$9,G5224,1)),"",IF((AND(FIND('112'!$M$9,G5224,1)&gt;=1,B5224='112'!$K$9,OR($N5224='112'!$I$6,$O5224='112'!$I$6))),"x",""))</f>
        <v/>
      </c>
      <c r="U5224" s="79" t="str">
        <f>IF(ISERROR(FIND('112'!$M$9,G5224,1)),"",IF((AND(LEFT(G5224,2)=LEFT('112'!$M$9,2),B5224&lt;'112'!$K$9,$N5224='112'!$I$6)),"x",""))</f>
        <v/>
      </c>
      <c r="V5224" s="79" t="str">
        <f>IF(ISERROR(FIND('112'!$M$9,G5224,1)),"",IF((AND(RIGHT(G5224,2)=RIGHT('112'!$M$9,2),B5224&lt;'112'!$K$9,$O5224='112'!$I$6)),"x",""))</f>
        <v/>
      </c>
      <c r="W5224" s="79" t="str">
        <f>IF(AND('341-CT'!$H$9=H5224,OR(LEFT(N5224,3)=$W$7,LEFT(O5224,3)=$W$7)),"x","")</f>
        <v/>
      </c>
      <c r="X5224" s="79" t="str">
        <f>IF(OR(TH!N5224=TH!$X$7,O5224=TH!$X$7),"x","")</f>
        <v/>
      </c>
      <c r="Y5224" s="79" t="str">
        <f>IF(AND(OR(N5224="131",O5224="131"),H5224='131-CT'!$H$9),"x","")</f>
        <v/>
      </c>
      <c r="Z5224" s="79"/>
      <c r="AA5224" s="79" t="str">
        <f>IF(AND(MONTH(E5224)='IN-NX'!$J$5,'IN-NX'!$D$7=D5224),"x","")</f>
        <v/>
      </c>
      <c r="AB5224" s="79" t="str">
        <f>IF(AND(OR(LEFT(TH!N5224,2)="15",LEFT(TH!O5224,2)="15"),LEFT(TH!O5224,3)&lt;&gt;"111",'152-CT'!$J$8=TH!F5224),"x","")</f>
        <v/>
      </c>
      <c r="AC5224" s="79" t="str">
        <f>IF(AND(OR(LEFT(TH!N5224,2)="15",LEFT(TH!O5224,2)="15"),TK!$E$7=TH!F5224),"x","")</f>
        <v/>
      </c>
      <c r="AD5224" s="79" t="str">
        <f>IF(AND(N5224="1521",MONTH(C5224)='BK-NL'!$M$11),"x","")</f>
        <v/>
      </c>
    </row>
    <row r="5225" spans="1:30" ht="16.5" customHeight="1">
      <c r="A5225" s="318" t="str">
        <f>IF(B5225&lt;&gt;"",IF(AND(B5225='IN-TC'!$S$4,OR(TH!N5225="1111",TH!O5225="1111")),TH!D5225,""),"")</f>
        <v/>
      </c>
      <c r="B5225" s="60" t="str">
        <f t="shared" si="502"/>
        <v/>
      </c>
      <c r="C5225" s="61"/>
      <c r="D5225" s="301"/>
      <c r="E5225" s="301"/>
      <c r="F5225" s="69"/>
      <c r="G5225" s="769"/>
      <c r="H5225" s="303"/>
      <c r="I5225" s="385"/>
      <c r="J5225" s="392"/>
      <c r="K5225" s="385"/>
      <c r="L5225" s="392"/>
      <c r="M5225" s="62"/>
      <c r="N5225" s="304"/>
      <c r="O5225" s="63"/>
      <c r="P5225" s="79" t="str">
        <f>IF(AND('331-CT'!$E$7=TH!H5225,OR(N5225="331",O5225="331")),"x","")</f>
        <v/>
      </c>
      <c r="Q5225" s="79" t="str">
        <f>IF(AND(B5225='111'!$L$11,OR($N5225=$Q$7,$O5225=$Q$7)),"x","")</f>
        <v/>
      </c>
      <c r="R5225" s="79" t="str">
        <f>IF(AND($N5225=$Q$7,$B5225&lt;'111'!$L$11),"x","")</f>
        <v/>
      </c>
      <c r="S5225" s="79" t="str">
        <f>IF(AND($O5225=$Q$7,$B5225&lt;'111'!$L$11),"x","")</f>
        <v/>
      </c>
      <c r="T5225" s="79" t="str">
        <f>IF(ISERROR(FIND('112'!$M$9,G5225,1)),"",IF((AND(FIND('112'!$M$9,G5225,1)&gt;=1,B5225='112'!$K$9,OR($N5225='112'!$I$6,$O5225='112'!$I$6))),"x",""))</f>
        <v/>
      </c>
      <c r="U5225" s="79" t="str">
        <f>IF(ISERROR(FIND('112'!$M$9,G5225,1)),"",IF((AND(LEFT(G5225,2)=LEFT('112'!$M$9,2),B5225&lt;'112'!$K$9,$N5225='112'!$I$6)),"x",""))</f>
        <v/>
      </c>
      <c r="V5225" s="79" t="str">
        <f>IF(ISERROR(FIND('112'!$M$9,G5225,1)),"",IF((AND(RIGHT(G5225,2)=RIGHT('112'!$M$9,2),B5225&lt;'112'!$K$9,$O5225='112'!$I$6)),"x",""))</f>
        <v/>
      </c>
      <c r="W5225" s="79" t="str">
        <f>IF(AND('341-CT'!$H$9=H5225,OR(LEFT(N5225,3)=$W$7,LEFT(O5225,3)=$W$7)),"x","")</f>
        <v/>
      </c>
      <c r="X5225" s="79" t="str">
        <f>IF(OR(TH!N5225=TH!$X$7,O5225=TH!$X$7),"x","")</f>
        <v/>
      </c>
      <c r="Y5225" s="79" t="str">
        <f>IF(AND(OR(N5225="131",O5225="131"),H5225='131-CT'!$H$9),"x","")</f>
        <v/>
      </c>
      <c r="Z5225" s="79"/>
      <c r="AA5225" s="79" t="str">
        <f>IF(AND(MONTH(E5225)='IN-NX'!$J$5,'IN-NX'!$D$7=D5225),"x","")</f>
        <v/>
      </c>
      <c r="AB5225" s="79" t="str">
        <f>IF(AND(OR(LEFT(TH!N5225,2)="15",LEFT(TH!O5225,2)="15"),LEFT(TH!O5225,3)&lt;&gt;"111",'152-CT'!$J$8=TH!F5225),"x","")</f>
        <v/>
      </c>
      <c r="AC5225" s="79" t="str">
        <f>IF(AND(OR(LEFT(TH!N5225,2)="15",LEFT(TH!O5225,2)="15"),TK!$E$7=TH!F5225),"x","")</f>
        <v/>
      </c>
      <c r="AD5225" s="79" t="str">
        <f>IF(AND(N5225="1521",MONTH(C5225)='BK-NL'!$M$11),"x","")</f>
        <v/>
      </c>
    </row>
    <row r="5226" spans="1:30" ht="16.5" customHeight="1">
      <c r="A5226" s="318" t="str">
        <f>IF(B5226&lt;&gt;"",IF(AND(B5226='IN-TC'!$S$4,OR(TH!N5226="1111",TH!O5226="1111")),TH!D5226,""),"")</f>
        <v/>
      </c>
      <c r="B5226" s="60" t="str">
        <f t="shared" si="502"/>
        <v/>
      </c>
      <c r="C5226" s="61"/>
      <c r="D5226" s="301"/>
      <c r="E5226" s="301"/>
      <c r="F5226" s="69"/>
      <c r="G5226" s="769"/>
      <c r="H5226" s="303"/>
      <c r="I5226" s="385"/>
      <c r="J5226" s="392"/>
      <c r="K5226" s="385"/>
      <c r="L5226" s="392"/>
      <c r="M5226" s="62"/>
      <c r="N5226" s="304"/>
      <c r="O5226" s="63"/>
      <c r="P5226" s="79" t="str">
        <f>IF(AND('331-CT'!$E$7=TH!H5226,OR(N5226="331",O5226="331")),"x","")</f>
        <v/>
      </c>
      <c r="Q5226" s="79" t="str">
        <f>IF(AND(B5226='111'!$L$11,OR($N5226=$Q$7,$O5226=$Q$7)),"x","")</f>
        <v/>
      </c>
      <c r="R5226" s="79" t="str">
        <f>IF(AND($N5226=$Q$7,$B5226&lt;'111'!$L$11),"x","")</f>
        <v/>
      </c>
      <c r="S5226" s="79" t="str">
        <f>IF(AND($O5226=$Q$7,$B5226&lt;'111'!$L$11),"x","")</f>
        <v/>
      </c>
      <c r="T5226" s="79" t="str">
        <f>IF(ISERROR(FIND('112'!$M$9,G5226,1)),"",IF((AND(FIND('112'!$M$9,G5226,1)&gt;=1,B5226='112'!$K$9,OR($N5226='112'!$I$6,$O5226='112'!$I$6))),"x",""))</f>
        <v/>
      </c>
      <c r="U5226" s="79" t="str">
        <f>IF(ISERROR(FIND('112'!$M$9,G5226,1)),"",IF((AND(LEFT(G5226,2)=LEFT('112'!$M$9,2),B5226&lt;'112'!$K$9,$N5226='112'!$I$6)),"x",""))</f>
        <v/>
      </c>
      <c r="V5226" s="79" t="str">
        <f>IF(ISERROR(FIND('112'!$M$9,G5226,1)),"",IF((AND(RIGHT(G5226,2)=RIGHT('112'!$M$9,2),B5226&lt;'112'!$K$9,$O5226='112'!$I$6)),"x",""))</f>
        <v/>
      </c>
      <c r="W5226" s="79" t="str">
        <f>IF(AND('341-CT'!$H$9=H5226,OR(LEFT(N5226,3)=$W$7,LEFT(O5226,3)=$W$7)),"x","")</f>
        <v/>
      </c>
      <c r="X5226" s="79" t="str">
        <f>IF(OR(TH!N5226=TH!$X$7,O5226=TH!$X$7),"x","")</f>
        <v/>
      </c>
      <c r="Y5226" s="79" t="str">
        <f>IF(AND(OR(N5226="131",O5226="131"),H5226='131-CT'!$H$9),"x","")</f>
        <v/>
      </c>
      <c r="Z5226" s="79"/>
      <c r="AA5226" s="79" t="str">
        <f>IF(AND(MONTH(E5226)='IN-NX'!$J$5,'IN-NX'!$D$7=D5226),"x","")</f>
        <v/>
      </c>
      <c r="AB5226" s="79" t="str">
        <f>IF(AND(OR(LEFT(TH!N5226,2)="15",LEFT(TH!O5226,2)="15"),LEFT(TH!O5226,3)&lt;&gt;"111",'152-CT'!$J$8=TH!F5226),"x","")</f>
        <v/>
      </c>
      <c r="AC5226" s="79" t="str">
        <f>IF(AND(OR(LEFT(TH!N5226,2)="15",LEFT(TH!O5226,2)="15"),TK!$E$7=TH!F5226),"x","")</f>
        <v/>
      </c>
      <c r="AD5226" s="79" t="str">
        <f>IF(AND(N5226="1521",MONTH(C5226)='BK-NL'!$M$11),"x","")</f>
        <v/>
      </c>
    </row>
    <row r="5227" spans="1:30" ht="16.5" customHeight="1">
      <c r="A5227" s="318" t="str">
        <f>IF(B5227&lt;&gt;"",IF(AND(B5227='IN-TC'!$S$4,OR(TH!N5227="1111",TH!O5227="1111")),TH!D5227,""),"")</f>
        <v/>
      </c>
      <c r="B5227" s="60" t="str">
        <f t="shared" si="502"/>
        <v/>
      </c>
      <c r="C5227" s="61"/>
      <c r="D5227" s="301"/>
      <c r="E5227" s="301"/>
      <c r="F5227" s="69"/>
      <c r="G5227" s="769"/>
      <c r="H5227" s="303"/>
      <c r="I5227" s="385"/>
      <c r="J5227" s="392"/>
      <c r="K5227" s="385"/>
      <c r="L5227" s="392"/>
      <c r="M5227" s="62"/>
      <c r="N5227" s="304"/>
      <c r="O5227" s="63"/>
      <c r="P5227" s="79" t="str">
        <f>IF(AND('331-CT'!$E$7=TH!H5227,OR(N5227="331",O5227="331")),"x","")</f>
        <v/>
      </c>
      <c r="Q5227" s="79" t="str">
        <f>IF(AND(B5227='111'!$L$11,OR($N5227=$Q$7,$O5227=$Q$7)),"x","")</f>
        <v/>
      </c>
      <c r="R5227" s="79" t="str">
        <f>IF(AND($N5227=$Q$7,$B5227&lt;'111'!$L$11),"x","")</f>
        <v/>
      </c>
      <c r="S5227" s="79" t="str">
        <f>IF(AND($O5227=$Q$7,$B5227&lt;'111'!$L$11),"x","")</f>
        <v/>
      </c>
      <c r="T5227" s="79" t="str">
        <f>IF(ISERROR(FIND('112'!$M$9,G5227,1)),"",IF((AND(FIND('112'!$M$9,G5227,1)&gt;=1,B5227='112'!$K$9,OR($N5227='112'!$I$6,$O5227='112'!$I$6))),"x",""))</f>
        <v/>
      </c>
      <c r="U5227" s="79" t="str">
        <f>IF(ISERROR(FIND('112'!$M$9,G5227,1)),"",IF((AND(LEFT(G5227,2)=LEFT('112'!$M$9,2),B5227&lt;'112'!$K$9,$N5227='112'!$I$6)),"x",""))</f>
        <v/>
      </c>
      <c r="V5227" s="79" t="str">
        <f>IF(ISERROR(FIND('112'!$M$9,G5227,1)),"",IF((AND(RIGHT(G5227,2)=RIGHT('112'!$M$9,2),B5227&lt;'112'!$K$9,$O5227='112'!$I$6)),"x",""))</f>
        <v/>
      </c>
      <c r="W5227" s="79" t="str">
        <f>IF(AND('341-CT'!$H$9=H5227,OR(LEFT(N5227,3)=$W$7,LEFT(O5227,3)=$W$7)),"x","")</f>
        <v/>
      </c>
      <c r="X5227" s="79" t="str">
        <f>IF(OR(TH!N5227=TH!$X$7,O5227=TH!$X$7),"x","")</f>
        <v/>
      </c>
      <c r="Y5227" s="79" t="str">
        <f>IF(AND(OR(N5227="131",O5227="131"),H5227='131-CT'!$H$9),"x","")</f>
        <v/>
      </c>
      <c r="Z5227" s="79"/>
      <c r="AA5227" s="79" t="str">
        <f>IF(AND(MONTH(E5227)='IN-NX'!$J$5,'IN-NX'!$D$7=D5227),"x","")</f>
        <v/>
      </c>
      <c r="AB5227" s="79" t="str">
        <f>IF(AND(OR(LEFT(TH!N5227,2)="15",LEFT(TH!O5227,2)="15"),LEFT(TH!O5227,3)&lt;&gt;"111",'152-CT'!$J$8=TH!F5227),"x","")</f>
        <v/>
      </c>
      <c r="AC5227" s="79" t="str">
        <f>IF(AND(OR(LEFT(TH!N5227,2)="15",LEFT(TH!O5227,2)="15"),TK!$E$7=TH!F5227),"x","")</f>
        <v/>
      </c>
      <c r="AD5227" s="79" t="str">
        <f>IF(AND(N5227="1521",MONTH(C5227)='BK-NL'!$M$11),"x","")</f>
        <v/>
      </c>
    </row>
    <row r="5228" spans="1:30" ht="16.5" customHeight="1">
      <c r="A5228" s="318" t="str">
        <f>IF(B5228&lt;&gt;"",IF(AND(B5228='IN-TC'!$S$4,OR(TH!N5228="1111",TH!O5228="1111")),TH!D5228,""),"")</f>
        <v/>
      </c>
      <c r="B5228" s="60" t="str">
        <f t="shared" si="502"/>
        <v/>
      </c>
      <c r="C5228" s="301"/>
      <c r="D5228" s="301"/>
      <c r="E5228" s="301"/>
      <c r="F5228" s="69"/>
      <c r="G5228" s="769"/>
      <c r="H5228" s="303"/>
      <c r="I5228" s="385"/>
      <c r="J5228" s="392"/>
      <c r="K5228" s="385"/>
      <c r="L5228" s="392"/>
      <c r="M5228" s="62"/>
      <c r="N5228" s="63"/>
      <c r="O5228" s="63"/>
      <c r="P5228" s="79" t="str">
        <f>IF(AND('331-CT'!$E$7=TH!H5228,OR(N5228="331",O5228="331")),"x","")</f>
        <v/>
      </c>
      <c r="Q5228" s="79" t="str">
        <f>IF(AND(B5228='111'!$L$11,OR($N5228=$Q$7,$O5228=$Q$7)),"x","")</f>
        <v/>
      </c>
      <c r="R5228" s="79" t="str">
        <f>IF(AND($N5228=$Q$7,$B5228&lt;'111'!$L$11),"x","")</f>
        <v/>
      </c>
      <c r="S5228" s="79" t="str">
        <f>IF(AND($O5228=$Q$7,$B5228&lt;'111'!$L$11),"x","")</f>
        <v/>
      </c>
      <c r="T5228" s="79" t="str">
        <f>IF(ISERROR(FIND('112'!$M$9,G5228,1)),"",IF((AND(FIND('112'!$M$9,G5228,1)&gt;=1,B5228='112'!$K$9,OR($N5228='112'!$I$6,$O5228='112'!$I$6))),"x",""))</f>
        <v/>
      </c>
      <c r="U5228" s="79" t="str">
        <f>IF(ISERROR(FIND('112'!$M$9,G5228,1)),"",IF((AND(LEFT(G5228,2)=LEFT('112'!$M$9,2),B5228&lt;'112'!$K$9,$N5228='112'!$I$6)),"x",""))</f>
        <v/>
      </c>
      <c r="V5228" s="79" t="str">
        <f>IF(ISERROR(FIND('112'!$M$9,G5228,1)),"",IF((AND(RIGHT(G5228,2)=RIGHT('112'!$M$9,2),B5228&lt;'112'!$K$9,$O5228='112'!$I$6)),"x",""))</f>
        <v/>
      </c>
      <c r="W5228" s="79" t="str">
        <f>IF(AND('341-CT'!$H$9=H5228,OR(LEFT(N5228,3)=$W$7,LEFT(O5228,3)=$W$7)),"x","")</f>
        <v/>
      </c>
      <c r="X5228" s="79" t="str">
        <f>IF(OR(TH!N5228=TH!$X$7,O5228=TH!$X$7),"x","")</f>
        <v/>
      </c>
      <c r="Y5228" s="79" t="str">
        <f>IF(AND(OR(N5228="131",O5228="131"),H5228='131-CT'!$H$9),"x","")</f>
        <v/>
      </c>
      <c r="Z5228" s="79"/>
      <c r="AA5228" s="79" t="str">
        <f>IF(AND(MONTH(E5228)='IN-NX'!$J$5,'IN-NX'!$D$7=D5228),"x","")</f>
        <v/>
      </c>
      <c r="AB5228" s="79" t="str">
        <f>IF(AND(OR(LEFT(TH!N5228,2)="15",LEFT(TH!O5228,2)="15"),LEFT(TH!O5228,3)&lt;&gt;"111",'152-CT'!$J$8=TH!F5228),"x","")</f>
        <v/>
      </c>
      <c r="AC5228" s="79" t="str">
        <f>IF(AND(OR(LEFT(TH!N5228,2)="15",LEFT(TH!O5228,2)="15"),TK!$E$7=TH!F5228),"x","")</f>
        <v/>
      </c>
      <c r="AD5228" s="79" t="str">
        <f>IF(AND(N5228="1521",MONTH(C5228)='BK-NL'!$M$11),"x","")</f>
        <v/>
      </c>
    </row>
    <row r="5229" spans="1:30" ht="16.5" customHeight="1">
      <c r="A5229" s="318" t="str">
        <f>IF(B5229&lt;&gt;"",IF(AND(B5229='IN-TC'!$S$4,OR(TH!N5229="1111",TH!O5229="1111")),TH!D5229,""),"")</f>
        <v/>
      </c>
      <c r="B5229" s="60" t="str">
        <f t="shared" si="502"/>
        <v/>
      </c>
      <c r="C5229" s="301"/>
      <c r="D5229" s="301"/>
      <c r="E5229" s="301"/>
      <c r="F5229" s="69"/>
      <c r="G5229" s="769"/>
      <c r="H5229" s="303"/>
      <c r="I5229" s="385"/>
      <c r="J5229" s="392"/>
      <c r="K5229" s="385"/>
      <c r="L5229" s="392"/>
      <c r="M5229" s="62"/>
      <c r="N5229" s="304"/>
      <c r="O5229" s="63"/>
      <c r="P5229" s="79" t="str">
        <f>IF(AND('331-CT'!$E$7=TH!H5229,OR(N5229="331",O5229="331")),"x","")</f>
        <v/>
      </c>
      <c r="Q5229" s="79" t="str">
        <f>IF(AND(B5229='111'!$L$11,OR($N5229=$Q$7,$O5229=$Q$7)),"x","")</f>
        <v/>
      </c>
      <c r="R5229" s="79" t="str">
        <f>IF(AND($N5229=$Q$7,$B5229&lt;'111'!$L$11),"x","")</f>
        <v/>
      </c>
      <c r="S5229" s="79" t="str">
        <f>IF(AND($O5229=$Q$7,$B5229&lt;'111'!$L$11),"x","")</f>
        <v/>
      </c>
      <c r="T5229" s="79" t="str">
        <f>IF(ISERROR(FIND('112'!$M$9,G5229,1)),"",IF((AND(FIND('112'!$M$9,G5229,1)&gt;=1,B5229='112'!$K$9,OR($N5229='112'!$I$6,$O5229='112'!$I$6))),"x",""))</f>
        <v/>
      </c>
      <c r="U5229" s="79" t="str">
        <f>IF(ISERROR(FIND('112'!$M$9,G5229,1)),"",IF((AND(LEFT(G5229,2)=LEFT('112'!$M$9,2),B5229&lt;'112'!$K$9,$N5229='112'!$I$6)),"x",""))</f>
        <v/>
      </c>
      <c r="V5229" s="79" t="str">
        <f>IF(ISERROR(FIND('112'!$M$9,G5229,1)),"",IF((AND(RIGHT(G5229,2)=RIGHT('112'!$M$9,2),B5229&lt;'112'!$K$9,$O5229='112'!$I$6)),"x",""))</f>
        <v/>
      </c>
      <c r="W5229" s="79" t="str">
        <f>IF(AND('341-CT'!$H$9=H5229,OR(LEFT(N5229,3)=$W$7,LEFT(O5229,3)=$W$7)),"x","")</f>
        <v/>
      </c>
      <c r="X5229" s="79" t="str">
        <f>IF(OR(TH!N5229=TH!$X$7,O5229=TH!$X$7),"x","")</f>
        <v/>
      </c>
      <c r="Y5229" s="79" t="str">
        <f>IF(AND(OR(N5229="131",O5229="131"),H5229='131-CT'!$H$9),"x","")</f>
        <v/>
      </c>
      <c r="Z5229" s="79"/>
      <c r="AA5229" s="79" t="str">
        <f>IF(AND(MONTH(E5229)='IN-NX'!$J$5,'IN-NX'!$D$7=D5229),"x","")</f>
        <v/>
      </c>
      <c r="AB5229" s="79" t="str">
        <f>IF(AND(OR(LEFT(TH!N5229,2)="15",LEFT(TH!O5229,2)="15"),LEFT(TH!O5229,3)&lt;&gt;"111",'152-CT'!$J$8=TH!F5229),"x","")</f>
        <v/>
      </c>
      <c r="AC5229" s="79" t="str">
        <f>IF(AND(OR(LEFT(TH!N5229,2)="15",LEFT(TH!O5229,2)="15"),TK!$E$7=TH!F5229),"x","")</f>
        <v/>
      </c>
      <c r="AD5229" s="79" t="str">
        <f>IF(AND(N5229="1521",MONTH(C5229)='BK-NL'!$M$11),"x","")</f>
        <v/>
      </c>
    </row>
    <row r="5230" spans="1:30" ht="16.5" customHeight="1">
      <c r="A5230" s="318" t="str">
        <f>IF(B5230&lt;&gt;"",IF(AND(B5230='IN-TC'!$S$4,OR(TH!N5230="1111",TH!O5230="1111")),TH!D5230,""),"")</f>
        <v/>
      </c>
      <c r="B5230" s="60" t="str">
        <f t="shared" si="502"/>
        <v/>
      </c>
      <c r="C5230" s="301"/>
      <c r="D5230" s="301"/>
      <c r="E5230" s="301"/>
      <c r="F5230" s="69"/>
      <c r="G5230" s="769"/>
      <c r="H5230" s="303"/>
      <c r="I5230" s="385"/>
      <c r="J5230" s="392"/>
      <c r="K5230" s="385"/>
      <c r="L5230" s="392"/>
      <c r="M5230" s="62"/>
      <c r="N5230" s="63"/>
      <c r="O5230" s="63"/>
      <c r="P5230" s="79" t="str">
        <f>IF(AND('331-CT'!$E$7=TH!H5230,OR(N5230="331",O5230="331")),"x","")</f>
        <v/>
      </c>
      <c r="Q5230" s="79" t="str">
        <f>IF(AND(B5230='111'!$L$11,OR($N5230=$Q$7,$O5230=$Q$7)),"x","")</f>
        <v/>
      </c>
      <c r="R5230" s="79" t="str">
        <f>IF(AND($N5230=$Q$7,$B5230&lt;'111'!$L$11),"x","")</f>
        <v/>
      </c>
      <c r="S5230" s="79" t="str">
        <f>IF(AND($O5230=$Q$7,$B5230&lt;'111'!$L$11),"x","")</f>
        <v/>
      </c>
      <c r="T5230" s="79" t="str">
        <f>IF(ISERROR(FIND('112'!$M$9,G5230,1)),"",IF((AND(FIND('112'!$M$9,G5230,1)&gt;=1,B5230='112'!$K$9,OR($N5230='112'!$I$6,$O5230='112'!$I$6))),"x",""))</f>
        <v/>
      </c>
      <c r="U5230" s="79" t="str">
        <f>IF(ISERROR(FIND('112'!$M$9,G5230,1)),"",IF((AND(LEFT(G5230,2)=LEFT('112'!$M$9,2),B5230&lt;'112'!$K$9,$N5230='112'!$I$6)),"x",""))</f>
        <v/>
      </c>
      <c r="V5230" s="79" t="str">
        <f>IF(ISERROR(FIND('112'!$M$9,G5230,1)),"",IF((AND(RIGHT(G5230,2)=RIGHT('112'!$M$9,2),B5230&lt;'112'!$K$9,$O5230='112'!$I$6)),"x",""))</f>
        <v/>
      </c>
      <c r="W5230" s="79" t="str">
        <f>IF(AND('341-CT'!$H$9=H5230,OR(LEFT(N5230,3)=$W$7,LEFT(O5230,3)=$W$7)),"x","")</f>
        <v/>
      </c>
      <c r="X5230" s="79" t="str">
        <f>IF(OR(TH!N5230=TH!$X$7,O5230=TH!$X$7),"x","")</f>
        <v/>
      </c>
      <c r="Y5230" s="79" t="str">
        <f>IF(AND(OR(N5230="131",O5230="131"),H5230='131-CT'!$H$9),"x","")</f>
        <v/>
      </c>
      <c r="Z5230" s="79"/>
      <c r="AA5230" s="79" t="str">
        <f>IF(AND(MONTH(E5230)='IN-NX'!$J$5,'IN-NX'!$D$7=D5230),"x","")</f>
        <v/>
      </c>
      <c r="AB5230" s="79" t="str">
        <f>IF(AND(OR(LEFT(TH!N5230,2)="15",LEFT(TH!O5230,2)="15"),LEFT(TH!O5230,3)&lt;&gt;"111",'152-CT'!$J$8=TH!F5230),"x","")</f>
        <v/>
      </c>
      <c r="AC5230" s="79" t="str">
        <f>IF(AND(OR(LEFT(TH!N5230,2)="15",LEFT(TH!O5230,2)="15"),TK!$E$7=TH!F5230),"x","")</f>
        <v/>
      </c>
      <c r="AD5230" s="79" t="str">
        <f>IF(AND(N5230="1521",MONTH(C5230)='BK-NL'!$M$11),"x","")</f>
        <v/>
      </c>
    </row>
    <row r="5231" spans="1:30" ht="16.5" customHeight="1">
      <c r="A5231" s="318" t="str">
        <f>IF(B5231&lt;&gt;"",IF(AND(B5231='IN-TC'!$S$4,OR(TH!N5231="1111",TH!O5231="1111")),TH!D5231,""),"")</f>
        <v/>
      </c>
      <c r="B5231" s="60" t="str">
        <f t="shared" si="502"/>
        <v/>
      </c>
      <c r="C5231" s="301"/>
      <c r="D5231" s="301"/>
      <c r="E5231" s="301"/>
      <c r="F5231" s="69"/>
      <c r="G5231" s="769"/>
      <c r="H5231" s="303"/>
      <c r="I5231" s="385"/>
      <c r="J5231" s="392"/>
      <c r="K5231" s="385"/>
      <c r="L5231" s="392"/>
      <c r="M5231" s="62"/>
      <c r="N5231" s="63"/>
      <c r="O5231" s="63"/>
      <c r="P5231" s="79" t="str">
        <f>IF(AND('331-CT'!$E$7=TH!H5231,OR(N5231="331",O5231="331")),"x","")</f>
        <v/>
      </c>
      <c r="Q5231" s="79" t="str">
        <f>IF(AND(B5231='111'!$L$11,OR($N5231=$Q$7,$O5231=$Q$7)),"x","")</f>
        <v/>
      </c>
      <c r="R5231" s="79" t="str">
        <f>IF(AND($N5231=$Q$7,$B5231&lt;'111'!$L$11),"x","")</f>
        <v/>
      </c>
      <c r="S5231" s="79" t="str">
        <f>IF(AND($O5231=$Q$7,$B5231&lt;'111'!$L$11),"x","")</f>
        <v/>
      </c>
      <c r="T5231" s="79" t="str">
        <f>IF(ISERROR(FIND('112'!$M$9,G5231,1)),"",IF((AND(FIND('112'!$M$9,G5231,1)&gt;=1,B5231='112'!$K$9,OR($N5231='112'!$I$6,$O5231='112'!$I$6))),"x",""))</f>
        <v/>
      </c>
      <c r="U5231" s="79" t="str">
        <f>IF(ISERROR(FIND('112'!$M$9,G5231,1)),"",IF((AND(LEFT(G5231,2)=LEFT('112'!$M$9,2),B5231&lt;'112'!$K$9,$N5231='112'!$I$6)),"x",""))</f>
        <v/>
      </c>
      <c r="V5231" s="79" t="str">
        <f>IF(ISERROR(FIND('112'!$M$9,G5231,1)),"",IF((AND(RIGHT(G5231,2)=RIGHT('112'!$M$9,2),B5231&lt;'112'!$K$9,$O5231='112'!$I$6)),"x",""))</f>
        <v/>
      </c>
      <c r="W5231" s="79" t="str">
        <f>IF(AND('341-CT'!$H$9=H5231,OR(LEFT(N5231,3)=$W$7,LEFT(O5231,3)=$W$7)),"x","")</f>
        <v/>
      </c>
      <c r="X5231" s="79" t="str">
        <f>IF(OR(TH!N5231=TH!$X$7,O5231=TH!$X$7),"x","")</f>
        <v/>
      </c>
      <c r="Y5231" s="79" t="str">
        <f>IF(AND(OR(N5231="131",O5231="131"),H5231='131-CT'!$H$9),"x","")</f>
        <v/>
      </c>
      <c r="Z5231" s="79"/>
      <c r="AA5231" s="79" t="str">
        <f>IF(AND(MONTH(E5231)='IN-NX'!$J$5,'IN-NX'!$D$7=D5231),"x","")</f>
        <v/>
      </c>
      <c r="AB5231" s="79" t="str">
        <f>IF(AND(OR(LEFT(TH!N5231,2)="15",LEFT(TH!O5231,2)="15"),LEFT(TH!O5231,3)&lt;&gt;"111",'152-CT'!$J$8=TH!F5231),"x","")</f>
        <v/>
      </c>
      <c r="AC5231" s="79" t="str">
        <f>IF(AND(OR(LEFT(TH!N5231,2)="15",LEFT(TH!O5231,2)="15"),TK!$E$7=TH!F5231),"x","")</f>
        <v/>
      </c>
      <c r="AD5231" s="79" t="str">
        <f>IF(AND(N5231="1521",MONTH(C5231)='BK-NL'!$M$11),"x","")</f>
        <v/>
      </c>
    </row>
    <row r="5232" spans="1:30" ht="16.5" customHeight="1">
      <c r="A5232" s="318" t="str">
        <f>IF(B5232&lt;&gt;"",IF(AND(B5232='IN-TC'!$S$4,OR(TH!N5232="1111",TH!O5232="1111")),TH!D5232,""),"")</f>
        <v/>
      </c>
      <c r="B5232" s="60" t="str">
        <f t="shared" si="502"/>
        <v/>
      </c>
      <c r="C5232" s="301"/>
      <c r="D5232" s="301"/>
      <c r="E5232" s="301"/>
      <c r="F5232" s="69"/>
      <c r="G5232" s="769"/>
      <c r="H5232" s="303"/>
      <c r="I5232" s="385"/>
      <c r="J5232" s="392"/>
      <c r="K5232" s="385"/>
      <c r="L5232" s="392"/>
      <c r="M5232" s="62"/>
      <c r="N5232" s="304"/>
      <c r="O5232" s="63"/>
      <c r="P5232" s="79" t="str">
        <f>IF(AND('331-CT'!$E$7=TH!H5232,OR(N5232="331",O5232="331")),"x","")</f>
        <v/>
      </c>
      <c r="Q5232" s="79" t="str">
        <f>IF(AND(B5232='111'!$L$11,OR($N5232=$Q$7,$O5232=$Q$7)),"x","")</f>
        <v/>
      </c>
      <c r="R5232" s="79" t="str">
        <f>IF(AND($N5232=$Q$7,$B5232&lt;'111'!$L$11),"x","")</f>
        <v/>
      </c>
      <c r="S5232" s="79" t="str">
        <f>IF(AND($O5232=$Q$7,$B5232&lt;'111'!$L$11),"x","")</f>
        <v/>
      </c>
      <c r="T5232" s="79" t="str">
        <f>IF(ISERROR(FIND('112'!$M$9,G5232,1)),"",IF((AND(FIND('112'!$M$9,G5232,1)&gt;=1,B5232='112'!$K$9,OR($N5232='112'!$I$6,$O5232='112'!$I$6))),"x",""))</f>
        <v/>
      </c>
      <c r="U5232" s="79" t="str">
        <f>IF(ISERROR(FIND('112'!$M$9,G5232,1)),"",IF((AND(LEFT(G5232,2)=LEFT('112'!$M$9,2),B5232&lt;'112'!$K$9,$N5232='112'!$I$6)),"x",""))</f>
        <v/>
      </c>
      <c r="V5232" s="79" t="str">
        <f>IF(ISERROR(FIND('112'!$M$9,G5232,1)),"",IF((AND(RIGHT(G5232,2)=RIGHT('112'!$M$9,2),B5232&lt;'112'!$K$9,$O5232='112'!$I$6)),"x",""))</f>
        <v/>
      </c>
      <c r="W5232" s="79" t="str">
        <f>IF(AND('341-CT'!$H$9=H5232,OR(LEFT(N5232,3)=$W$7,LEFT(O5232,3)=$W$7)),"x","")</f>
        <v/>
      </c>
      <c r="X5232" s="79" t="str">
        <f>IF(OR(TH!N5232=TH!$X$7,O5232=TH!$X$7),"x","")</f>
        <v/>
      </c>
      <c r="Y5232" s="79" t="str">
        <f>IF(AND(OR(N5232="131",O5232="131"),H5232='131-CT'!$H$9),"x","")</f>
        <v/>
      </c>
      <c r="Z5232" s="79"/>
      <c r="AA5232" s="79" t="str">
        <f>IF(AND(MONTH(E5232)='IN-NX'!$J$5,'IN-NX'!$D$7=D5232),"x","")</f>
        <v/>
      </c>
      <c r="AB5232" s="79" t="str">
        <f>IF(AND(OR(LEFT(TH!N5232,2)="15",LEFT(TH!O5232,2)="15"),LEFT(TH!O5232,3)&lt;&gt;"111",'152-CT'!$J$8=TH!F5232),"x","")</f>
        <v/>
      </c>
      <c r="AC5232" s="79" t="str">
        <f>IF(AND(OR(LEFT(TH!N5232,2)="15",LEFT(TH!O5232,2)="15"),TK!$E$7=TH!F5232),"x","")</f>
        <v/>
      </c>
      <c r="AD5232" s="79" t="str">
        <f>IF(AND(N5232="1521",MONTH(C5232)='BK-NL'!$M$11),"x","")</f>
        <v/>
      </c>
    </row>
    <row r="5233" spans="1:30" ht="16.5" customHeight="1">
      <c r="A5233" s="318" t="str">
        <f>IF(B5233&lt;&gt;"",IF(AND(B5233='IN-TC'!$S$4,OR(TH!N5233="1111",TH!O5233="1111")),TH!D5233,""),"")</f>
        <v/>
      </c>
      <c r="B5233" s="60" t="str">
        <f t="shared" si="502"/>
        <v/>
      </c>
      <c r="C5233" s="301"/>
      <c r="D5233" s="301"/>
      <c r="E5233" s="301"/>
      <c r="F5233" s="69"/>
      <c r="G5233" s="769"/>
      <c r="H5233" s="303"/>
      <c r="I5233" s="385"/>
      <c r="J5233" s="392"/>
      <c r="K5233" s="385"/>
      <c r="L5233" s="392"/>
      <c r="M5233" s="62"/>
      <c r="N5233" s="63"/>
      <c r="O5233" s="63"/>
      <c r="P5233" s="79" t="str">
        <f>IF(AND('331-CT'!$E$7=TH!H5233,OR(N5233="331",O5233="331")),"x","")</f>
        <v/>
      </c>
      <c r="Q5233" s="79" t="str">
        <f>IF(AND(B5233='111'!$L$11,OR($N5233=$Q$7,$O5233=$Q$7)),"x","")</f>
        <v/>
      </c>
      <c r="R5233" s="79" t="str">
        <f>IF(AND($N5233=$Q$7,$B5233&lt;'111'!$L$11),"x","")</f>
        <v/>
      </c>
      <c r="S5233" s="79" t="str">
        <f>IF(AND($O5233=$Q$7,$B5233&lt;'111'!$L$11),"x","")</f>
        <v/>
      </c>
      <c r="T5233" s="79" t="str">
        <f>IF(ISERROR(FIND('112'!$M$9,G5233,1)),"",IF((AND(FIND('112'!$M$9,G5233,1)&gt;=1,B5233='112'!$K$9,OR($N5233='112'!$I$6,$O5233='112'!$I$6))),"x",""))</f>
        <v/>
      </c>
      <c r="U5233" s="79" t="str">
        <f>IF(ISERROR(FIND('112'!$M$9,G5233,1)),"",IF((AND(LEFT(G5233,2)=LEFT('112'!$M$9,2),B5233&lt;'112'!$K$9,$N5233='112'!$I$6)),"x",""))</f>
        <v/>
      </c>
      <c r="V5233" s="79" t="str">
        <f>IF(ISERROR(FIND('112'!$M$9,G5233,1)),"",IF((AND(RIGHT(G5233,2)=RIGHT('112'!$M$9,2),B5233&lt;'112'!$K$9,$O5233='112'!$I$6)),"x",""))</f>
        <v/>
      </c>
      <c r="W5233" s="79" t="str">
        <f>IF(AND('341-CT'!$H$9=H5233,OR(LEFT(N5233,3)=$W$7,LEFT(O5233,3)=$W$7)),"x","")</f>
        <v/>
      </c>
      <c r="X5233" s="79" t="str">
        <f>IF(OR(TH!N5233=TH!$X$7,O5233=TH!$X$7),"x","")</f>
        <v/>
      </c>
      <c r="Y5233" s="79" t="str">
        <f>IF(AND(OR(N5233="131",O5233="131"),H5233='131-CT'!$H$9),"x","")</f>
        <v/>
      </c>
      <c r="Z5233" s="79"/>
      <c r="AA5233" s="79" t="str">
        <f>IF(AND(MONTH(E5233)='IN-NX'!$J$5,'IN-NX'!$D$7=D5233),"x","")</f>
        <v/>
      </c>
      <c r="AB5233" s="79" t="str">
        <f>IF(AND(OR(LEFT(TH!N5233,2)="15",LEFT(TH!O5233,2)="15"),LEFT(TH!O5233,3)&lt;&gt;"111",'152-CT'!$J$8=TH!F5233),"x","")</f>
        <v/>
      </c>
      <c r="AC5233" s="79" t="str">
        <f>IF(AND(OR(LEFT(TH!N5233,2)="15",LEFT(TH!O5233,2)="15"),TK!$E$7=TH!F5233),"x","")</f>
        <v/>
      </c>
      <c r="AD5233" s="79" t="str">
        <f>IF(AND(N5233="1521",MONTH(C5233)='BK-NL'!$M$11),"x","")</f>
        <v/>
      </c>
    </row>
    <row r="5234" spans="1:30" ht="16.5" customHeight="1">
      <c r="A5234" s="318" t="str">
        <f>IF(B5234&lt;&gt;"",IF(AND(B5234='IN-TC'!$S$4,OR(TH!N5234="1111",TH!O5234="1111")),TH!D5234,""),"")</f>
        <v/>
      </c>
      <c r="B5234" s="60" t="str">
        <f t="shared" si="502"/>
        <v/>
      </c>
      <c r="C5234" s="301"/>
      <c r="D5234" s="301"/>
      <c r="E5234" s="301"/>
      <c r="F5234" s="69"/>
      <c r="G5234" s="769"/>
      <c r="H5234" s="303"/>
      <c r="I5234" s="385"/>
      <c r="J5234" s="392"/>
      <c r="K5234" s="385"/>
      <c r="L5234" s="392"/>
      <c r="M5234" s="62"/>
      <c r="N5234" s="63"/>
      <c r="O5234" s="63"/>
      <c r="P5234" s="79" t="str">
        <f>IF(AND('331-CT'!$E$7=TH!H5234,OR(N5234="331",O5234="331")),"x","")</f>
        <v/>
      </c>
      <c r="Q5234" s="79" t="str">
        <f>IF(AND(B5234='111'!$L$11,OR($N5234=$Q$7,$O5234=$Q$7)),"x","")</f>
        <v/>
      </c>
      <c r="R5234" s="79" t="str">
        <f>IF(AND($N5234=$Q$7,$B5234&lt;'111'!$L$11),"x","")</f>
        <v/>
      </c>
      <c r="S5234" s="79" t="str">
        <f>IF(AND($O5234=$Q$7,$B5234&lt;'111'!$L$11),"x","")</f>
        <v/>
      </c>
      <c r="T5234" s="79" t="str">
        <f>IF(ISERROR(FIND('112'!$M$9,G5234,1)),"",IF((AND(FIND('112'!$M$9,G5234,1)&gt;=1,B5234='112'!$K$9,OR($N5234='112'!$I$6,$O5234='112'!$I$6))),"x",""))</f>
        <v/>
      </c>
      <c r="U5234" s="79" t="str">
        <f>IF(ISERROR(FIND('112'!$M$9,G5234,1)),"",IF((AND(LEFT(G5234,2)=LEFT('112'!$M$9,2),B5234&lt;'112'!$K$9,$N5234='112'!$I$6)),"x",""))</f>
        <v/>
      </c>
      <c r="V5234" s="79" t="str">
        <f>IF(ISERROR(FIND('112'!$M$9,G5234,1)),"",IF((AND(RIGHT(G5234,2)=RIGHT('112'!$M$9,2),B5234&lt;'112'!$K$9,$O5234='112'!$I$6)),"x",""))</f>
        <v/>
      </c>
      <c r="W5234" s="79" t="str">
        <f>IF(AND('341-CT'!$H$9=H5234,OR(LEFT(N5234,3)=$W$7,LEFT(O5234,3)=$W$7)),"x","")</f>
        <v/>
      </c>
      <c r="X5234" s="79" t="str">
        <f>IF(OR(TH!N5234=TH!$X$7,O5234=TH!$X$7),"x","")</f>
        <v/>
      </c>
      <c r="Y5234" s="79" t="str">
        <f>IF(AND(OR(N5234="131",O5234="131"),H5234='131-CT'!$H$9),"x","")</f>
        <v/>
      </c>
      <c r="Z5234" s="79"/>
      <c r="AA5234" s="79" t="str">
        <f>IF(AND(MONTH(E5234)='IN-NX'!$J$5,'IN-NX'!$D$7=D5234),"x","")</f>
        <v/>
      </c>
      <c r="AB5234" s="79" t="str">
        <f>IF(AND(OR(LEFT(TH!N5234,2)="15",LEFT(TH!O5234,2)="15"),LEFT(TH!O5234,3)&lt;&gt;"111",'152-CT'!$J$8=TH!F5234),"x","")</f>
        <v/>
      </c>
      <c r="AC5234" s="79" t="str">
        <f>IF(AND(OR(LEFT(TH!N5234,2)="15",LEFT(TH!O5234,2)="15"),TK!$E$7=TH!F5234),"x","")</f>
        <v/>
      </c>
      <c r="AD5234" s="79" t="str">
        <f>IF(AND(N5234="1521",MONTH(C5234)='BK-NL'!$M$11),"x","")</f>
        <v/>
      </c>
    </row>
    <row r="5235" spans="1:30" ht="16.5" customHeight="1">
      <c r="A5235" s="318" t="str">
        <f>IF(B5235&lt;&gt;"",IF(AND(B5235='IN-TC'!$S$4,OR(TH!N5235="1111",TH!O5235="1111")),TH!D5235,""),"")</f>
        <v/>
      </c>
      <c r="B5235" s="60" t="str">
        <f t="shared" si="502"/>
        <v/>
      </c>
      <c r="C5235" s="301"/>
      <c r="D5235" s="301"/>
      <c r="E5235" s="301"/>
      <c r="F5235" s="69"/>
      <c r="G5235" s="769"/>
      <c r="H5235" s="303"/>
      <c r="I5235" s="385"/>
      <c r="J5235" s="392"/>
      <c r="K5235" s="385"/>
      <c r="L5235" s="392"/>
      <c r="M5235" s="62"/>
      <c r="N5235" s="304"/>
      <c r="O5235" s="63"/>
      <c r="P5235" s="79" t="str">
        <f>IF(AND('331-CT'!$E$7=TH!H5235,OR(N5235="331",O5235="331")),"x","")</f>
        <v/>
      </c>
      <c r="Q5235" s="79" t="str">
        <f>IF(AND(B5235='111'!$L$11,OR($N5235=$Q$7,$O5235=$Q$7)),"x","")</f>
        <v/>
      </c>
      <c r="R5235" s="79" t="str">
        <f>IF(AND($N5235=$Q$7,$B5235&lt;'111'!$L$11),"x","")</f>
        <v/>
      </c>
      <c r="S5235" s="79" t="str">
        <f>IF(AND($O5235=$Q$7,$B5235&lt;'111'!$L$11),"x","")</f>
        <v/>
      </c>
      <c r="T5235" s="79" t="str">
        <f>IF(ISERROR(FIND('112'!$M$9,G5235,1)),"",IF((AND(FIND('112'!$M$9,G5235,1)&gt;=1,B5235='112'!$K$9,OR($N5235='112'!$I$6,$O5235='112'!$I$6))),"x",""))</f>
        <v/>
      </c>
      <c r="U5235" s="79" t="str">
        <f>IF(ISERROR(FIND('112'!$M$9,G5235,1)),"",IF((AND(LEFT(G5235,2)=LEFT('112'!$M$9,2),B5235&lt;'112'!$K$9,$N5235='112'!$I$6)),"x",""))</f>
        <v/>
      </c>
      <c r="V5235" s="79" t="str">
        <f>IF(ISERROR(FIND('112'!$M$9,G5235,1)),"",IF((AND(RIGHT(G5235,2)=RIGHT('112'!$M$9,2),B5235&lt;'112'!$K$9,$O5235='112'!$I$6)),"x",""))</f>
        <v/>
      </c>
      <c r="W5235" s="79" t="str">
        <f>IF(AND('341-CT'!$H$9=H5235,OR(LEFT(N5235,3)=$W$7,LEFT(O5235,3)=$W$7)),"x","")</f>
        <v/>
      </c>
      <c r="X5235" s="79" t="str">
        <f>IF(OR(TH!N5235=TH!$X$7,O5235=TH!$X$7),"x","")</f>
        <v/>
      </c>
      <c r="Y5235" s="79" t="str">
        <f>IF(AND(OR(N5235="131",O5235="131"),H5235='131-CT'!$H$9),"x","")</f>
        <v/>
      </c>
      <c r="Z5235" s="79"/>
      <c r="AA5235" s="79" t="str">
        <f>IF(AND(MONTH(E5235)='IN-NX'!$J$5,'IN-NX'!$D$7=D5235),"x","")</f>
        <v/>
      </c>
      <c r="AB5235" s="79" t="str">
        <f>IF(AND(OR(LEFT(TH!N5235,2)="15",LEFT(TH!O5235,2)="15"),LEFT(TH!O5235,3)&lt;&gt;"111",'152-CT'!$J$8=TH!F5235),"x","")</f>
        <v/>
      </c>
      <c r="AC5235" s="79" t="str">
        <f>IF(AND(OR(LEFT(TH!N5235,2)="15",LEFT(TH!O5235,2)="15"),TK!$E$7=TH!F5235),"x","")</f>
        <v/>
      </c>
      <c r="AD5235" s="79" t="str">
        <f>IF(AND(N5235="1521",MONTH(C5235)='BK-NL'!$M$11),"x","")</f>
        <v/>
      </c>
    </row>
    <row r="5236" spans="1:30" ht="16.5" customHeight="1">
      <c r="A5236" s="318" t="str">
        <f>IF(B5236&lt;&gt;"",IF(AND(B5236='IN-TC'!$S$4,OR(TH!N5236="1111",TH!O5236="1111")),TH!D5236,""),"")</f>
        <v/>
      </c>
      <c r="B5236" s="60" t="str">
        <f t="shared" si="502"/>
        <v/>
      </c>
      <c r="C5236" s="301"/>
      <c r="D5236" s="301"/>
      <c r="E5236" s="301"/>
      <c r="F5236" s="69"/>
      <c r="G5236" s="769"/>
      <c r="H5236" s="303"/>
      <c r="I5236" s="385"/>
      <c r="J5236" s="392"/>
      <c r="K5236" s="385"/>
      <c r="L5236" s="392"/>
      <c r="M5236" s="62"/>
      <c r="N5236" s="304"/>
      <c r="O5236" s="63"/>
      <c r="P5236" s="79" t="str">
        <f>IF(AND('331-CT'!$E$7=TH!H5236,OR(N5236="331",O5236="331")),"x","")</f>
        <v/>
      </c>
      <c r="Q5236" s="79" t="str">
        <f>IF(AND(B5236='111'!$L$11,OR($N5236=$Q$7,$O5236=$Q$7)),"x","")</f>
        <v/>
      </c>
      <c r="R5236" s="79" t="str">
        <f>IF(AND($N5236=$Q$7,$B5236&lt;'111'!$L$11),"x","")</f>
        <v/>
      </c>
      <c r="S5236" s="79" t="str">
        <f>IF(AND($O5236=$Q$7,$B5236&lt;'111'!$L$11),"x","")</f>
        <v/>
      </c>
      <c r="T5236" s="79" t="str">
        <f>IF(ISERROR(FIND('112'!$M$9,G5236,1)),"",IF((AND(FIND('112'!$M$9,G5236,1)&gt;=1,B5236='112'!$K$9,OR($N5236='112'!$I$6,$O5236='112'!$I$6))),"x",""))</f>
        <v/>
      </c>
      <c r="U5236" s="79" t="str">
        <f>IF(ISERROR(FIND('112'!$M$9,G5236,1)),"",IF((AND(LEFT(G5236,2)=LEFT('112'!$M$9,2),B5236&lt;'112'!$K$9,$N5236='112'!$I$6)),"x",""))</f>
        <v/>
      </c>
      <c r="V5236" s="79" t="str">
        <f>IF(ISERROR(FIND('112'!$M$9,G5236,1)),"",IF((AND(RIGHT(G5236,2)=RIGHT('112'!$M$9,2),B5236&lt;'112'!$K$9,$O5236='112'!$I$6)),"x",""))</f>
        <v/>
      </c>
      <c r="W5236" s="79" t="str">
        <f>IF(AND('341-CT'!$H$9=H5236,OR(LEFT(N5236,3)=$W$7,LEFT(O5236,3)=$W$7)),"x","")</f>
        <v/>
      </c>
      <c r="X5236" s="79" t="str">
        <f>IF(OR(TH!N5236=TH!$X$7,O5236=TH!$X$7),"x","")</f>
        <v/>
      </c>
      <c r="Y5236" s="79" t="str">
        <f>IF(AND(OR(N5236="131",O5236="131"),H5236='131-CT'!$H$9),"x","")</f>
        <v/>
      </c>
      <c r="Z5236" s="79"/>
      <c r="AA5236" s="79" t="str">
        <f>IF(AND(MONTH(E5236)='IN-NX'!$J$5,'IN-NX'!$D$7=D5236),"x","")</f>
        <v/>
      </c>
      <c r="AB5236" s="79" t="str">
        <f>IF(AND(OR(LEFT(TH!N5236,2)="15",LEFT(TH!O5236,2)="15"),LEFT(TH!O5236,3)&lt;&gt;"111",'152-CT'!$J$8=TH!F5236),"x","")</f>
        <v/>
      </c>
      <c r="AC5236" s="79" t="str">
        <f>IF(AND(OR(LEFT(TH!N5236,2)="15",LEFT(TH!O5236,2)="15"),TK!$E$7=TH!F5236),"x","")</f>
        <v/>
      </c>
      <c r="AD5236" s="79" t="str">
        <f>IF(AND(N5236="1521",MONTH(C5236)='BK-NL'!$M$11),"x","")</f>
        <v/>
      </c>
    </row>
    <row r="5237" spans="1:30" ht="16.5" customHeight="1">
      <c r="A5237" s="318" t="str">
        <f>IF(B5237&lt;&gt;"",IF(AND(B5237='IN-TC'!$S$4,OR(TH!N5237="1111",TH!O5237="1111")),TH!D5237,""),"")</f>
        <v/>
      </c>
      <c r="B5237" s="60" t="str">
        <f t="shared" si="502"/>
        <v/>
      </c>
      <c r="C5237" s="301"/>
      <c r="D5237" s="301"/>
      <c r="E5237" s="301"/>
      <c r="F5237" s="69"/>
      <c r="G5237" s="769"/>
      <c r="H5237" s="303"/>
      <c r="I5237" s="385"/>
      <c r="J5237" s="392"/>
      <c r="K5237" s="385"/>
      <c r="L5237" s="392"/>
      <c r="M5237" s="62"/>
      <c r="N5237" s="304"/>
      <c r="O5237" s="63"/>
      <c r="P5237" s="79" t="str">
        <f>IF(AND('331-CT'!$E$7=TH!H5237,OR(N5237="331",O5237="331")),"x","")</f>
        <v/>
      </c>
      <c r="Q5237" s="79" t="str">
        <f>IF(AND(B5237='111'!$L$11,OR($N5237=$Q$7,$O5237=$Q$7)),"x","")</f>
        <v/>
      </c>
      <c r="R5237" s="79" t="str">
        <f>IF(AND($N5237=$Q$7,$B5237&lt;'111'!$L$11),"x","")</f>
        <v/>
      </c>
      <c r="S5237" s="79" t="str">
        <f>IF(AND($O5237=$Q$7,$B5237&lt;'111'!$L$11),"x","")</f>
        <v/>
      </c>
      <c r="T5237" s="79" t="str">
        <f>IF(ISERROR(FIND('112'!$M$9,G5237,1)),"",IF((AND(FIND('112'!$M$9,G5237,1)&gt;=1,B5237='112'!$K$9,OR($N5237='112'!$I$6,$O5237='112'!$I$6))),"x",""))</f>
        <v/>
      </c>
      <c r="U5237" s="79" t="str">
        <f>IF(ISERROR(FIND('112'!$M$9,G5237,1)),"",IF((AND(LEFT(G5237,2)=LEFT('112'!$M$9,2),B5237&lt;'112'!$K$9,$N5237='112'!$I$6)),"x",""))</f>
        <v/>
      </c>
      <c r="V5237" s="79" t="str">
        <f>IF(ISERROR(FIND('112'!$M$9,G5237,1)),"",IF((AND(RIGHT(G5237,2)=RIGHT('112'!$M$9,2),B5237&lt;'112'!$K$9,$O5237='112'!$I$6)),"x",""))</f>
        <v/>
      </c>
      <c r="W5237" s="79" t="str">
        <f>IF(AND('341-CT'!$H$9=H5237,OR(LEFT(N5237,3)=$W$7,LEFT(O5237,3)=$W$7)),"x","")</f>
        <v/>
      </c>
      <c r="X5237" s="79" t="str">
        <f>IF(OR(TH!N5237=TH!$X$7,O5237=TH!$X$7),"x","")</f>
        <v/>
      </c>
      <c r="Y5237" s="79" t="str">
        <f>IF(AND(OR(N5237="131",O5237="131"),H5237='131-CT'!$H$9),"x","")</f>
        <v/>
      </c>
      <c r="Z5237" s="79"/>
      <c r="AA5237" s="79" t="str">
        <f>IF(AND(MONTH(E5237)='IN-NX'!$J$5,'IN-NX'!$D$7=D5237),"x","")</f>
        <v/>
      </c>
      <c r="AB5237" s="79" t="str">
        <f>IF(AND(OR(LEFT(TH!N5237,2)="15",LEFT(TH!O5237,2)="15"),LEFT(TH!O5237,3)&lt;&gt;"111",'152-CT'!$J$8=TH!F5237),"x","")</f>
        <v/>
      </c>
      <c r="AC5237" s="79" t="str">
        <f>IF(AND(OR(LEFT(TH!N5237,2)="15",LEFT(TH!O5237,2)="15"),TK!$E$7=TH!F5237),"x","")</f>
        <v/>
      </c>
      <c r="AD5237" s="79" t="str">
        <f>IF(AND(N5237="1521",MONTH(C5237)='BK-NL'!$M$11),"x","")</f>
        <v/>
      </c>
    </row>
    <row r="5238" spans="1:30" ht="16.5" customHeight="1">
      <c r="A5238" s="318" t="str">
        <f>IF(B5238&lt;&gt;"",IF(AND(B5238='IN-TC'!$S$4,OR(TH!N5238="1111",TH!O5238="1111")),TH!D5238,""),"")</f>
        <v/>
      </c>
      <c r="B5238" s="60" t="str">
        <f t="shared" si="502"/>
        <v/>
      </c>
      <c r="C5238" s="301"/>
      <c r="D5238" s="301"/>
      <c r="E5238" s="301"/>
      <c r="F5238" s="69"/>
      <c r="G5238" s="769"/>
      <c r="H5238" s="303"/>
      <c r="I5238" s="385"/>
      <c r="J5238" s="392"/>
      <c r="K5238" s="385"/>
      <c r="L5238" s="392"/>
      <c r="M5238" s="62"/>
      <c r="N5238" s="304"/>
      <c r="O5238" s="63"/>
      <c r="P5238" s="79" t="str">
        <f>IF(AND('331-CT'!$E$7=TH!H5238,OR(N5238="331",O5238="331")),"x","")</f>
        <v/>
      </c>
      <c r="Q5238" s="79" t="str">
        <f>IF(AND(B5238='111'!$L$11,OR($N5238=$Q$7,$O5238=$Q$7)),"x","")</f>
        <v/>
      </c>
      <c r="R5238" s="79" t="str">
        <f>IF(AND($N5238=$Q$7,$B5238&lt;'111'!$L$11),"x","")</f>
        <v/>
      </c>
      <c r="S5238" s="79" t="str">
        <f>IF(AND($O5238=$Q$7,$B5238&lt;'111'!$L$11),"x","")</f>
        <v/>
      </c>
      <c r="T5238" s="79" t="str">
        <f>IF(ISERROR(FIND('112'!$M$9,G5238,1)),"",IF((AND(FIND('112'!$M$9,G5238,1)&gt;=1,B5238='112'!$K$9,OR($N5238='112'!$I$6,$O5238='112'!$I$6))),"x",""))</f>
        <v/>
      </c>
      <c r="U5238" s="79" t="str">
        <f>IF(ISERROR(FIND('112'!$M$9,G5238,1)),"",IF((AND(LEFT(G5238,2)=LEFT('112'!$M$9,2),B5238&lt;'112'!$K$9,$N5238='112'!$I$6)),"x",""))</f>
        <v/>
      </c>
      <c r="V5238" s="79" t="str">
        <f>IF(ISERROR(FIND('112'!$M$9,G5238,1)),"",IF((AND(RIGHT(G5238,2)=RIGHT('112'!$M$9,2),B5238&lt;'112'!$K$9,$O5238='112'!$I$6)),"x",""))</f>
        <v/>
      </c>
      <c r="W5238" s="79" t="str">
        <f>IF(AND('341-CT'!$H$9=H5238,OR(LEFT(N5238,3)=$W$7,LEFT(O5238,3)=$W$7)),"x","")</f>
        <v/>
      </c>
      <c r="X5238" s="79" t="str">
        <f>IF(OR(TH!N5238=TH!$X$7,O5238=TH!$X$7),"x","")</f>
        <v/>
      </c>
      <c r="Y5238" s="79" t="str">
        <f>IF(AND(OR(N5238="131",O5238="131"),H5238='131-CT'!$H$9),"x","")</f>
        <v/>
      </c>
      <c r="Z5238" s="79"/>
      <c r="AA5238" s="79" t="str">
        <f>IF(AND(MONTH(E5238)='IN-NX'!$J$5,'IN-NX'!$D$7=D5238),"x","")</f>
        <v/>
      </c>
      <c r="AB5238" s="79" t="str">
        <f>IF(AND(OR(LEFT(TH!N5238,2)="15",LEFT(TH!O5238,2)="15"),LEFT(TH!O5238,3)&lt;&gt;"111",'152-CT'!$J$8=TH!F5238),"x","")</f>
        <v/>
      </c>
      <c r="AC5238" s="79" t="str">
        <f>IF(AND(OR(LEFT(TH!N5238,2)="15",LEFT(TH!O5238,2)="15"),TK!$E$7=TH!F5238),"x","")</f>
        <v/>
      </c>
      <c r="AD5238" s="79" t="str">
        <f>IF(AND(N5238="1521",MONTH(C5238)='BK-NL'!$M$11),"x","")</f>
        <v/>
      </c>
    </row>
    <row r="5239" spans="1:30" ht="16.5" customHeight="1">
      <c r="A5239" s="318" t="str">
        <f>IF(B5239&lt;&gt;"",IF(AND(B5239='IN-TC'!$S$4,OR(TH!N5239="1111",TH!O5239="1111")),TH!D5239,""),"")</f>
        <v/>
      </c>
      <c r="B5239" s="60" t="str">
        <f t="shared" si="502"/>
        <v/>
      </c>
      <c r="C5239" s="301"/>
      <c r="D5239" s="301"/>
      <c r="E5239" s="301"/>
      <c r="F5239" s="69"/>
      <c r="G5239" s="769"/>
      <c r="H5239" s="303"/>
      <c r="I5239" s="385"/>
      <c r="J5239" s="392"/>
      <c r="K5239" s="385"/>
      <c r="L5239" s="392"/>
      <c r="M5239" s="62"/>
      <c r="N5239" s="304"/>
      <c r="O5239" s="63"/>
      <c r="P5239" s="79" t="str">
        <f>IF(AND('331-CT'!$E$7=TH!H5239,OR(N5239="331",O5239="331")),"x","")</f>
        <v/>
      </c>
      <c r="Q5239" s="79" t="str">
        <f>IF(AND(B5239='111'!$L$11,OR($N5239=$Q$7,$O5239=$Q$7)),"x","")</f>
        <v/>
      </c>
      <c r="R5239" s="79" t="str">
        <f>IF(AND($N5239=$Q$7,$B5239&lt;'111'!$L$11),"x","")</f>
        <v/>
      </c>
      <c r="S5239" s="79" t="str">
        <f>IF(AND($O5239=$Q$7,$B5239&lt;'111'!$L$11),"x","")</f>
        <v/>
      </c>
      <c r="T5239" s="79" t="str">
        <f>IF(ISERROR(FIND('112'!$M$9,G5239,1)),"",IF((AND(FIND('112'!$M$9,G5239,1)&gt;=1,B5239='112'!$K$9,OR($N5239='112'!$I$6,$O5239='112'!$I$6))),"x",""))</f>
        <v/>
      </c>
      <c r="U5239" s="79" t="str">
        <f>IF(ISERROR(FIND('112'!$M$9,G5239,1)),"",IF((AND(LEFT(G5239,2)=LEFT('112'!$M$9,2),B5239&lt;'112'!$K$9,$N5239='112'!$I$6)),"x",""))</f>
        <v/>
      </c>
      <c r="V5239" s="79" t="str">
        <f>IF(ISERROR(FIND('112'!$M$9,G5239,1)),"",IF((AND(RIGHT(G5239,2)=RIGHT('112'!$M$9,2),B5239&lt;'112'!$K$9,$O5239='112'!$I$6)),"x",""))</f>
        <v/>
      </c>
      <c r="W5239" s="79" t="str">
        <f>IF(AND('341-CT'!$H$9=H5239,OR(LEFT(N5239,3)=$W$7,LEFT(O5239,3)=$W$7)),"x","")</f>
        <v/>
      </c>
      <c r="X5239" s="79" t="str">
        <f>IF(OR(TH!N5239=TH!$X$7,O5239=TH!$X$7),"x","")</f>
        <v/>
      </c>
      <c r="Y5239" s="79" t="str">
        <f>IF(AND(OR(N5239="131",O5239="131"),H5239='131-CT'!$H$9),"x","")</f>
        <v/>
      </c>
      <c r="Z5239" s="79"/>
      <c r="AA5239" s="79" t="str">
        <f>IF(AND(MONTH(E5239)='IN-NX'!$J$5,'IN-NX'!$D$7=D5239),"x","")</f>
        <v/>
      </c>
      <c r="AB5239" s="79" t="str">
        <f>IF(AND(OR(LEFT(TH!N5239,2)="15",LEFT(TH!O5239,2)="15"),LEFT(TH!O5239,3)&lt;&gt;"111",'152-CT'!$J$8=TH!F5239),"x","")</f>
        <v/>
      </c>
      <c r="AC5239" s="79" t="str">
        <f>IF(AND(OR(LEFT(TH!N5239,2)="15",LEFT(TH!O5239,2)="15"),TK!$E$7=TH!F5239),"x","")</f>
        <v/>
      </c>
      <c r="AD5239" s="79" t="str">
        <f>IF(AND(N5239="1521",MONTH(C5239)='BK-NL'!$M$11),"x","")</f>
        <v/>
      </c>
    </row>
    <row r="5240" spans="1:30" ht="16.5" customHeight="1">
      <c r="A5240" s="318" t="str">
        <f>IF(B5240&lt;&gt;"",IF(AND(B5240='IN-TC'!$S$4,OR(TH!N5240="1111",TH!O5240="1111")),TH!D5240,""),"")</f>
        <v/>
      </c>
      <c r="B5240" s="60" t="str">
        <f t="shared" si="502"/>
        <v/>
      </c>
      <c r="C5240" s="301"/>
      <c r="D5240" s="301"/>
      <c r="E5240" s="301"/>
      <c r="F5240" s="69"/>
      <c r="G5240" s="769"/>
      <c r="H5240" s="303"/>
      <c r="I5240" s="385"/>
      <c r="J5240" s="392"/>
      <c r="K5240" s="385"/>
      <c r="L5240" s="392"/>
      <c r="M5240" s="62"/>
      <c r="N5240" s="304"/>
      <c r="O5240" s="63"/>
      <c r="P5240" s="79" t="str">
        <f>IF(AND('331-CT'!$E$7=TH!H5240,OR(N5240="331",O5240="331")),"x","")</f>
        <v/>
      </c>
      <c r="Q5240" s="79" t="str">
        <f>IF(AND(B5240='111'!$L$11,OR($N5240=$Q$7,$O5240=$Q$7)),"x","")</f>
        <v/>
      </c>
      <c r="R5240" s="79" t="str">
        <f>IF(AND($N5240=$Q$7,$B5240&lt;'111'!$L$11),"x","")</f>
        <v/>
      </c>
      <c r="S5240" s="79" t="str">
        <f>IF(AND($O5240=$Q$7,$B5240&lt;'111'!$L$11),"x","")</f>
        <v/>
      </c>
      <c r="T5240" s="79" t="str">
        <f>IF(ISERROR(FIND('112'!$M$9,G5240,1)),"",IF((AND(FIND('112'!$M$9,G5240,1)&gt;=1,B5240='112'!$K$9,OR($N5240='112'!$I$6,$O5240='112'!$I$6))),"x",""))</f>
        <v/>
      </c>
      <c r="U5240" s="79" t="str">
        <f>IF(ISERROR(FIND('112'!$M$9,G5240,1)),"",IF((AND(LEFT(G5240,2)=LEFT('112'!$M$9,2),B5240&lt;'112'!$K$9,$N5240='112'!$I$6)),"x",""))</f>
        <v/>
      </c>
      <c r="V5240" s="79" t="str">
        <f>IF(ISERROR(FIND('112'!$M$9,G5240,1)),"",IF((AND(RIGHT(G5240,2)=RIGHT('112'!$M$9,2),B5240&lt;'112'!$K$9,$O5240='112'!$I$6)),"x",""))</f>
        <v/>
      </c>
      <c r="W5240" s="79" t="str">
        <f>IF(AND('341-CT'!$H$9=H5240,OR(LEFT(N5240,3)=$W$7,LEFT(O5240,3)=$W$7)),"x","")</f>
        <v/>
      </c>
      <c r="X5240" s="79" t="str">
        <f>IF(OR(TH!N5240=TH!$X$7,O5240=TH!$X$7),"x","")</f>
        <v/>
      </c>
      <c r="Y5240" s="79" t="str">
        <f>IF(AND(OR(N5240="131",O5240="131"),H5240='131-CT'!$H$9),"x","")</f>
        <v/>
      </c>
      <c r="Z5240" s="79"/>
      <c r="AA5240" s="79" t="str">
        <f>IF(AND(MONTH(E5240)='IN-NX'!$J$5,'IN-NX'!$D$7=D5240),"x","")</f>
        <v/>
      </c>
      <c r="AB5240" s="79" t="str">
        <f>IF(AND(OR(LEFT(TH!N5240,2)="15",LEFT(TH!O5240,2)="15"),LEFT(TH!O5240,3)&lt;&gt;"111",'152-CT'!$J$8=TH!F5240),"x","")</f>
        <v/>
      </c>
      <c r="AC5240" s="79" t="str">
        <f>IF(AND(OR(LEFT(TH!N5240,2)="15",LEFT(TH!O5240,2)="15"),TK!$E$7=TH!F5240),"x","")</f>
        <v/>
      </c>
      <c r="AD5240" s="79" t="str">
        <f>IF(AND(N5240="1521",MONTH(C5240)='BK-NL'!$M$11),"x","")</f>
        <v/>
      </c>
    </row>
    <row r="5241" spans="1:30" ht="16.5" customHeight="1">
      <c r="A5241" s="318" t="str">
        <f>IF(B5241&lt;&gt;"",IF(AND(B5241='IN-TC'!$S$4,OR(TH!N5241="1111",TH!O5241="1111")),TH!D5241,""),"")</f>
        <v/>
      </c>
      <c r="B5241" s="60" t="str">
        <f t="shared" si="502"/>
        <v/>
      </c>
      <c r="C5241" s="301"/>
      <c r="D5241" s="301"/>
      <c r="E5241" s="301"/>
      <c r="F5241" s="69"/>
      <c r="G5241" s="769"/>
      <c r="H5241" s="303"/>
      <c r="I5241" s="385"/>
      <c r="J5241" s="392"/>
      <c r="K5241" s="385"/>
      <c r="L5241" s="392"/>
      <c r="M5241" s="62"/>
      <c r="N5241" s="304"/>
      <c r="O5241" s="63"/>
      <c r="P5241" s="79" t="str">
        <f>IF(AND('331-CT'!$E$7=TH!H5241,OR(N5241="331",O5241="331")),"x","")</f>
        <v/>
      </c>
      <c r="Q5241" s="79" t="str">
        <f>IF(AND(B5241='111'!$L$11,OR($N5241=$Q$7,$O5241=$Q$7)),"x","")</f>
        <v/>
      </c>
      <c r="R5241" s="79" t="str">
        <f>IF(AND($N5241=$Q$7,$B5241&lt;'111'!$L$11),"x","")</f>
        <v/>
      </c>
      <c r="S5241" s="79" t="str">
        <f>IF(AND($O5241=$Q$7,$B5241&lt;'111'!$L$11),"x","")</f>
        <v/>
      </c>
      <c r="T5241" s="79" t="str">
        <f>IF(ISERROR(FIND('112'!$M$9,G5241,1)),"",IF((AND(FIND('112'!$M$9,G5241,1)&gt;=1,B5241='112'!$K$9,OR($N5241='112'!$I$6,$O5241='112'!$I$6))),"x",""))</f>
        <v/>
      </c>
      <c r="U5241" s="79" t="str">
        <f>IF(ISERROR(FIND('112'!$M$9,G5241,1)),"",IF((AND(LEFT(G5241,2)=LEFT('112'!$M$9,2),B5241&lt;'112'!$K$9,$N5241='112'!$I$6)),"x",""))</f>
        <v/>
      </c>
      <c r="V5241" s="79" t="str">
        <f>IF(ISERROR(FIND('112'!$M$9,G5241,1)),"",IF((AND(RIGHT(G5241,2)=RIGHT('112'!$M$9,2),B5241&lt;'112'!$K$9,$O5241='112'!$I$6)),"x",""))</f>
        <v/>
      </c>
      <c r="W5241" s="79" t="str">
        <f>IF(AND('341-CT'!$H$9=H5241,OR(LEFT(N5241,3)=$W$7,LEFT(O5241,3)=$W$7)),"x","")</f>
        <v/>
      </c>
      <c r="X5241" s="79" t="str">
        <f>IF(OR(TH!N5241=TH!$X$7,O5241=TH!$X$7),"x","")</f>
        <v/>
      </c>
      <c r="Y5241" s="79" t="str">
        <f>IF(AND(OR(N5241="131",O5241="131"),H5241='131-CT'!$H$9),"x","")</f>
        <v/>
      </c>
      <c r="Z5241" s="79"/>
      <c r="AA5241" s="79" t="str">
        <f>IF(AND(MONTH(E5241)='IN-NX'!$J$5,'IN-NX'!$D$7=D5241),"x","")</f>
        <v/>
      </c>
      <c r="AB5241" s="79" t="str">
        <f>IF(AND(OR(LEFT(TH!N5241,2)="15",LEFT(TH!O5241,2)="15"),LEFT(TH!O5241,3)&lt;&gt;"111",'152-CT'!$J$8=TH!F5241),"x","")</f>
        <v/>
      </c>
      <c r="AC5241" s="79" t="str">
        <f>IF(AND(OR(LEFT(TH!N5241,2)="15",LEFT(TH!O5241,2)="15"),TK!$E$7=TH!F5241),"x","")</f>
        <v/>
      </c>
      <c r="AD5241" s="79" t="str">
        <f>IF(AND(N5241="1521",MONTH(C5241)='BK-NL'!$M$11),"x","")</f>
        <v/>
      </c>
    </row>
    <row r="5242" spans="1:30" ht="16.5" customHeight="1">
      <c r="A5242" s="318" t="str">
        <f>IF(B5242&lt;&gt;"",IF(AND(B5242='IN-TC'!$S$4,OR(TH!N5242="1111",TH!O5242="1111")),TH!D5242,""),"")</f>
        <v/>
      </c>
      <c r="B5242" s="60" t="str">
        <f t="shared" si="502"/>
        <v/>
      </c>
      <c r="C5242" s="61"/>
      <c r="D5242" s="61"/>
      <c r="E5242" s="61"/>
      <c r="F5242" s="69"/>
      <c r="G5242" s="766"/>
      <c r="H5242" s="69"/>
      <c r="I5242" s="385"/>
      <c r="J5242" s="392"/>
      <c r="K5242" s="385"/>
      <c r="L5242" s="392"/>
      <c r="M5242" s="62"/>
      <c r="N5242" s="63"/>
      <c r="O5242" s="63"/>
      <c r="P5242" s="79" t="str">
        <f>IF(AND('331-CT'!$E$7=TH!H5242,OR(N5242="331",O5242="331")),"x","")</f>
        <v/>
      </c>
      <c r="Q5242" s="79" t="str">
        <f>IF(AND(B5242='111'!$L$11,OR($N5242=$Q$7,$O5242=$Q$7)),"x","")</f>
        <v/>
      </c>
      <c r="R5242" s="79" t="str">
        <f>IF(AND($N5242=$Q$7,$B5242&lt;'111'!$L$11),"x","")</f>
        <v/>
      </c>
      <c r="S5242" s="79" t="str">
        <f>IF(AND($O5242=$Q$7,$B5242&lt;'111'!$L$11),"x","")</f>
        <v/>
      </c>
      <c r="T5242" s="79" t="str">
        <f>IF(ISERROR(FIND('112'!$M$9,G5242,1)),"",IF((AND(FIND('112'!$M$9,G5242,1)&gt;=1,B5242='112'!$K$9,OR($N5242='112'!$I$6,$O5242='112'!$I$6))),"x",""))</f>
        <v/>
      </c>
      <c r="U5242" s="79" t="str">
        <f>IF(ISERROR(FIND('112'!$M$9,G5242,1)),"",IF((AND(LEFT(G5242,2)=LEFT('112'!$M$9,2),B5242&lt;'112'!$K$9,$N5242='112'!$I$6)),"x",""))</f>
        <v/>
      </c>
      <c r="V5242" s="79" t="str">
        <f>IF(ISERROR(FIND('112'!$M$9,G5242,1)),"",IF((AND(RIGHT(G5242,2)=RIGHT('112'!$M$9,2),B5242&lt;'112'!$K$9,$O5242='112'!$I$6)),"x",""))</f>
        <v/>
      </c>
      <c r="W5242" s="79" t="str">
        <f>IF(AND('341-CT'!$H$9=H5242,OR(LEFT(N5242,3)=$W$7,LEFT(O5242,3)=$W$7)),"x","")</f>
        <v/>
      </c>
      <c r="X5242" s="79" t="str">
        <f>IF(OR(TH!N5242=TH!$X$7,O5242=TH!$X$7),"x","")</f>
        <v/>
      </c>
      <c r="Y5242" s="79" t="str">
        <f>IF(AND(OR(N5242="131",O5242="131"),H5242='131-CT'!$H$9),"x","")</f>
        <v/>
      </c>
      <c r="Z5242" s="79"/>
      <c r="AA5242" s="79" t="str">
        <f>IF(AND(MONTH(E5242)='IN-NX'!$J$5,'IN-NX'!$D$7=D5242),"x","")</f>
        <v/>
      </c>
      <c r="AB5242" s="79" t="str">
        <f>IF(AND(OR(LEFT(TH!N5242,2)="15",LEFT(TH!O5242,2)="15"),LEFT(TH!O5242,3)&lt;&gt;"111",'152-CT'!$J$8=TH!F5242),"x","")</f>
        <v/>
      </c>
      <c r="AC5242" s="79" t="str">
        <f>IF(AND(OR(LEFT(TH!N5242,2)="15",LEFT(TH!O5242,2)="15"),TK!$E$7=TH!F5242),"x","")</f>
        <v/>
      </c>
      <c r="AD5242" s="79" t="str">
        <f>IF(AND(N5242="1521",MONTH(C5242)='BK-NL'!$M$11),"x","")</f>
        <v/>
      </c>
    </row>
    <row r="5243" spans="1:30" ht="16.5" customHeight="1">
      <c r="A5243" s="318" t="str">
        <f>IF(B5243&lt;&gt;"",IF(AND(B5243='IN-TC'!$S$4,OR(TH!N5243="1111",TH!O5243="1111")),TH!D5243,""),"")</f>
        <v/>
      </c>
      <c r="B5243" s="60" t="str">
        <f t="shared" si="502"/>
        <v/>
      </c>
      <c r="C5243" s="61"/>
      <c r="D5243" s="61"/>
      <c r="E5243" s="61"/>
      <c r="F5243" s="69"/>
      <c r="G5243" s="766"/>
      <c r="H5243" s="69"/>
      <c r="I5243" s="385"/>
      <c r="J5243" s="392"/>
      <c r="K5243" s="385"/>
      <c r="L5243" s="392"/>
      <c r="M5243" s="62"/>
      <c r="N5243" s="63"/>
      <c r="O5243" s="63"/>
      <c r="P5243" s="79" t="str">
        <f>IF(AND('331-CT'!$E$7=TH!H5243,OR(N5243="331",O5243="331")),"x","")</f>
        <v/>
      </c>
      <c r="Q5243" s="79" t="str">
        <f>IF(AND(B5243='111'!$L$11,OR($N5243=$Q$7,$O5243=$Q$7)),"x","")</f>
        <v/>
      </c>
      <c r="R5243" s="79" t="str">
        <f>IF(AND($N5243=$Q$7,$B5243&lt;'111'!$L$11),"x","")</f>
        <v/>
      </c>
      <c r="S5243" s="79" t="str">
        <f>IF(AND($O5243=$Q$7,$B5243&lt;'111'!$L$11),"x","")</f>
        <v/>
      </c>
      <c r="T5243" s="79" t="str">
        <f>IF(ISERROR(FIND('112'!$M$9,G5243,1)),"",IF((AND(FIND('112'!$M$9,G5243,1)&gt;=1,B5243='112'!$K$9,OR($N5243='112'!$I$6,$O5243='112'!$I$6))),"x",""))</f>
        <v/>
      </c>
      <c r="U5243" s="79" t="str">
        <f>IF(ISERROR(FIND('112'!$M$9,G5243,1)),"",IF((AND(LEFT(G5243,2)=LEFT('112'!$M$9,2),B5243&lt;'112'!$K$9,$N5243='112'!$I$6)),"x",""))</f>
        <v/>
      </c>
      <c r="V5243" s="79" t="str">
        <f>IF(ISERROR(FIND('112'!$M$9,G5243,1)),"",IF((AND(RIGHT(G5243,2)=RIGHT('112'!$M$9,2),B5243&lt;'112'!$K$9,$O5243='112'!$I$6)),"x",""))</f>
        <v/>
      </c>
      <c r="W5243" s="79" t="str">
        <f>IF(AND('341-CT'!$H$9=H5243,OR(LEFT(N5243,3)=$W$7,LEFT(O5243,3)=$W$7)),"x","")</f>
        <v/>
      </c>
      <c r="X5243" s="79" t="str">
        <f>IF(OR(TH!N5243=TH!$X$7,O5243=TH!$X$7),"x","")</f>
        <v/>
      </c>
      <c r="Y5243" s="79" t="str">
        <f>IF(AND(OR(N5243="131",O5243="131"),H5243='131-CT'!$H$9),"x","")</f>
        <v/>
      </c>
      <c r="Z5243" s="79"/>
      <c r="AA5243" s="79" t="str">
        <f>IF(AND(MONTH(E5243)='IN-NX'!$J$5,'IN-NX'!$D$7=D5243),"x","")</f>
        <v/>
      </c>
      <c r="AB5243" s="79" t="str">
        <f>IF(AND(OR(LEFT(TH!N5243,2)="15",LEFT(TH!O5243,2)="15"),LEFT(TH!O5243,3)&lt;&gt;"111",'152-CT'!$J$8=TH!F5243),"x","")</f>
        <v/>
      </c>
      <c r="AC5243" s="79" t="str">
        <f>IF(AND(OR(LEFT(TH!N5243,2)="15",LEFT(TH!O5243,2)="15"),TK!$E$7=TH!F5243),"x","")</f>
        <v/>
      </c>
      <c r="AD5243" s="79" t="str">
        <f>IF(AND(N5243="1521",MONTH(C5243)='BK-NL'!$M$11),"x","")</f>
        <v/>
      </c>
    </row>
    <row r="5244" spans="1:30" ht="16.5" customHeight="1">
      <c r="A5244" s="318" t="str">
        <f>IF(B5244&lt;&gt;"",IF(AND(B5244='IN-TC'!$S$4,OR(TH!N5244="1111",TH!O5244="1111")),TH!D5244,""),"")</f>
        <v/>
      </c>
      <c r="B5244" s="60" t="str">
        <f t="shared" si="502"/>
        <v/>
      </c>
      <c r="C5244" s="61"/>
      <c r="D5244" s="61"/>
      <c r="E5244" s="61"/>
      <c r="F5244" s="69"/>
      <c r="G5244" s="766"/>
      <c r="H5244" s="69"/>
      <c r="I5244" s="385"/>
      <c r="J5244" s="392"/>
      <c r="K5244" s="385"/>
      <c r="L5244" s="392"/>
      <c r="M5244" s="62"/>
      <c r="N5244" s="63"/>
      <c r="O5244" s="63"/>
      <c r="P5244" s="79" t="str">
        <f>IF(AND('331-CT'!$E$7=TH!H5244,OR(N5244="331",O5244="331")),"x","")</f>
        <v/>
      </c>
      <c r="Q5244" s="79" t="str">
        <f>IF(AND(B5244='111'!$L$11,OR($N5244=$Q$7,$O5244=$Q$7)),"x","")</f>
        <v/>
      </c>
      <c r="R5244" s="79" t="str">
        <f>IF(AND($N5244=$Q$7,$B5244&lt;'111'!$L$11),"x","")</f>
        <v/>
      </c>
      <c r="S5244" s="79" t="str">
        <f>IF(AND($O5244=$Q$7,$B5244&lt;'111'!$L$11),"x","")</f>
        <v/>
      </c>
      <c r="T5244" s="79" t="str">
        <f>IF(ISERROR(FIND('112'!$M$9,G5244,1)),"",IF((AND(FIND('112'!$M$9,G5244,1)&gt;=1,B5244='112'!$K$9,OR($N5244='112'!$I$6,$O5244='112'!$I$6))),"x",""))</f>
        <v/>
      </c>
      <c r="U5244" s="79" t="str">
        <f>IF(ISERROR(FIND('112'!$M$9,G5244,1)),"",IF((AND(LEFT(G5244,2)=LEFT('112'!$M$9,2),B5244&lt;'112'!$K$9,$N5244='112'!$I$6)),"x",""))</f>
        <v/>
      </c>
      <c r="V5244" s="79" t="str">
        <f>IF(ISERROR(FIND('112'!$M$9,G5244,1)),"",IF((AND(RIGHT(G5244,2)=RIGHT('112'!$M$9,2),B5244&lt;'112'!$K$9,$O5244='112'!$I$6)),"x",""))</f>
        <v/>
      </c>
      <c r="W5244" s="79" t="str">
        <f>IF(AND('341-CT'!$H$9=H5244,OR(LEFT(N5244,3)=$W$7,LEFT(O5244,3)=$W$7)),"x","")</f>
        <v/>
      </c>
      <c r="X5244" s="79" t="str">
        <f>IF(OR(TH!N5244=TH!$X$7,O5244=TH!$X$7),"x","")</f>
        <v/>
      </c>
      <c r="Y5244" s="79" t="str">
        <f>IF(AND(OR(N5244="131",O5244="131"),H5244='131-CT'!$H$9),"x","")</f>
        <v/>
      </c>
      <c r="Z5244" s="79"/>
      <c r="AA5244" s="79" t="str">
        <f>IF(AND(MONTH(E5244)='IN-NX'!$J$5,'IN-NX'!$D$7=D5244),"x","")</f>
        <v/>
      </c>
      <c r="AB5244" s="79" t="str">
        <f>IF(AND(OR(LEFT(TH!N5244,2)="15",LEFT(TH!O5244,2)="15"),LEFT(TH!O5244,3)&lt;&gt;"111",'152-CT'!$J$8=TH!F5244),"x","")</f>
        <v/>
      </c>
      <c r="AC5244" s="79" t="str">
        <f>IF(AND(OR(LEFT(TH!N5244,2)="15",LEFT(TH!O5244,2)="15"),TK!$E$7=TH!F5244),"x","")</f>
        <v/>
      </c>
      <c r="AD5244" s="79" t="str">
        <f>IF(AND(N5244="1521",MONTH(C5244)='BK-NL'!$M$11),"x","")</f>
        <v/>
      </c>
    </row>
    <row r="5245" spans="1:30" ht="16.5" customHeight="1">
      <c r="A5245" s="318" t="str">
        <f>IF(B5245&lt;&gt;"",IF(AND(B5245='IN-TC'!$S$4,OR(TH!N5245="1111",TH!O5245="1111")),TH!D5245,""),"")</f>
        <v/>
      </c>
      <c r="B5245" s="60" t="str">
        <f t="shared" si="502"/>
        <v/>
      </c>
      <c r="C5245" s="61"/>
      <c r="D5245" s="61"/>
      <c r="E5245" s="61"/>
      <c r="F5245" s="69"/>
      <c r="G5245" s="766"/>
      <c r="H5245" s="69"/>
      <c r="I5245" s="385"/>
      <c r="J5245" s="392"/>
      <c r="K5245" s="385"/>
      <c r="L5245" s="392"/>
      <c r="M5245" s="62"/>
      <c r="N5245" s="63"/>
      <c r="O5245" s="63"/>
      <c r="P5245" s="79" t="str">
        <f>IF(AND('331-CT'!$E$7=TH!H5245,OR(N5245="331",O5245="331")),"x","")</f>
        <v/>
      </c>
      <c r="Q5245" s="79" t="str">
        <f>IF(AND(B5245='111'!$L$11,OR($N5245=$Q$7,$O5245=$Q$7)),"x","")</f>
        <v/>
      </c>
      <c r="R5245" s="79" t="str">
        <f>IF(AND($N5245=$Q$7,$B5245&lt;'111'!$L$11),"x","")</f>
        <v/>
      </c>
      <c r="S5245" s="79" t="str">
        <f>IF(AND($O5245=$Q$7,$B5245&lt;'111'!$L$11),"x","")</f>
        <v/>
      </c>
      <c r="T5245" s="79" t="str">
        <f>IF(ISERROR(FIND('112'!$M$9,G5245,1)),"",IF((AND(FIND('112'!$M$9,G5245,1)&gt;=1,B5245='112'!$K$9,OR($N5245='112'!$I$6,$O5245='112'!$I$6))),"x",""))</f>
        <v/>
      </c>
      <c r="U5245" s="79" t="str">
        <f>IF(ISERROR(FIND('112'!$M$9,G5245,1)),"",IF((AND(LEFT(G5245,2)=LEFT('112'!$M$9,2),B5245&lt;'112'!$K$9,$N5245='112'!$I$6)),"x",""))</f>
        <v/>
      </c>
      <c r="V5245" s="79" t="str">
        <f>IF(ISERROR(FIND('112'!$M$9,G5245,1)),"",IF((AND(RIGHT(G5245,2)=RIGHT('112'!$M$9,2),B5245&lt;'112'!$K$9,$O5245='112'!$I$6)),"x",""))</f>
        <v/>
      </c>
      <c r="W5245" s="79" t="str">
        <f>IF(AND('341-CT'!$H$9=H5245,OR(LEFT(N5245,3)=$W$7,LEFT(O5245,3)=$W$7)),"x","")</f>
        <v/>
      </c>
      <c r="X5245" s="79" t="str">
        <f>IF(OR(TH!N5245=TH!$X$7,O5245=TH!$X$7),"x","")</f>
        <v/>
      </c>
      <c r="Y5245" s="79" t="str">
        <f>IF(AND(OR(N5245="131",O5245="131"),H5245='131-CT'!$H$9),"x","")</f>
        <v/>
      </c>
      <c r="Z5245" s="79"/>
      <c r="AA5245" s="79" t="str">
        <f>IF(AND(MONTH(E5245)='IN-NX'!$J$5,'IN-NX'!$D$7=D5245),"x","")</f>
        <v/>
      </c>
      <c r="AB5245" s="79" t="str">
        <f>IF(AND(OR(LEFT(TH!N5245,2)="15",LEFT(TH!O5245,2)="15"),LEFT(TH!O5245,3)&lt;&gt;"111",'152-CT'!$J$8=TH!F5245),"x","")</f>
        <v/>
      </c>
      <c r="AC5245" s="79" t="str">
        <f>IF(AND(OR(LEFT(TH!N5245,2)="15",LEFT(TH!O5245,2)="15"),TK!$E$7=TH!F5245),"x","")</f>
        <v/>
      </c>
      <c r="AD5245" s="79" t="str">
        <f>IF(AND(N5245="1521",MONTH(C5245)='BK-NL'!$M$11),"x","")</f>
        <v/>
      </c>
    </row>
    <row r="5246" spans="1:30" ht="16.5" customHeight="1">
      <c r="A5246" s="318" t="str">
        <f>IF(B5246&lt;&gt;"",IF(AND(B5246='IN-TC'!$S$4,OR(TH!N5246="1111",TH!O5246="1111")),TH!D5246,""),"")</f>
        <v/>
      </c>
      <c r="B5246" s="60" t="str">
        <f t="shared" si="502"/>
        <v/>
      </c>
      <c r="C5246" s="61"/>
      <c r="D5246" s="61"/>
      <c r="E5246" s="61"/>
      <c r="F5246" s="69"/>
      <c r="G5246" s="766"/>
      <c r="H5246" s="69"/>
      <c r="I5246" s="385"/>
      <c r="J5246" s="392"/>
      <c r="K5246" s="385"/>
      <c r="L5246" s="392"/>
      <c r="M5246" s="62"/>
      <c r="N5246" s="63"/>
      <c r="O5246" s="63"/>
      <c r="P5246" s="79" t="str">
        <f>IF(AND('331-CT'!$E$7=TH!H5246,OR(N5246="331",O5246="331")),"x","")</f>
        <v/>
      </c>
      <c r="Q5246" s="79" t="str">
        <f>IF(AND(B5246='111'!$L$11,OR($N5246=$Q$7,$O5246=$Q$7)),"x","")</f>
        <v/>
      </c>
      <c r="R5246" s="79" t="str">
        <f>IF(AND($N5246=$Q$7,$B5246&lt;'111'!$L$11),"x","")</f>
        <v/>
      </c>
      <c r="S5246" s="79" t="str">
        <f>IF(AND($O5246=$Q$7,$B5246&lt;'111'!$L$11),"x","")</f>
        <v/>
      </c>
      <c r="T5246" s="79" t="str">
        <f>IF(ISERROR(FIND('112'!$M$9,G5246,1)),"",IF((AND(FIND('112'!$M$9,G5246,1)&gt;=1,B5246='112'!$K$9,OR($N5246='112'!$I$6,$O5246='112'!$I$6))),"x",""))</f>
        <v/>
      </c>
      <c r="U5246" s="79" t="str">
        <f>IF(ISERROR(FIND('112'!$M$9,G5246,1)),"",IF((AND(LEFT(G5246,2)=LEFT('112'!$M$9,2),B5246&lt;'112'!$K$9,$N5246='112'!$I$6)),"x",""))</f>
        <v/>
      </c>
      <c r="V5246" s="79" t="str">
        <f>IF(ISERROR(FIND('112'!$M$9,G5246,1)),"",IF((AND(RIGHT(G5246,2)=RIGHT('112'!$M$9,2),B5246&lt;'112'!$K$9,$O5246='112'!$I$6)),"x",""))</f>
        <v/>
      </c>
      <c r="W5246" s="79" t="str">
        <f>IF(AND('341-CT'!$H$9=H5246,OR(LEFT(N5246,3)=$W$7,LEFT(O5246,3)=$W$7)),"x","")</f>
        <v/>
      </c>
      <c r="X5246" s="79" t="str">
        <f>IF(OR(TH!N5246=TH!$X$7,O5246=TH!$X$7),"x","")</f>
        <v/>
      </c>
      <c r="Y5246" s="79" t="str">
        <f>IF(AND(OR(N5246="131",O5246="131"),H5246='131-CT'!$H$9),"x","")</f>
        <v/>
      </c>
      <c r="Z5246" s="79"/>
      <c r="AA5246" s="79" t="str">
        <f>IF(AND(MONTH(E5246)='IN-NX'!$J$5,'IN-NX'!$D$7=D5246),"x","")</f>
        <v/>
      </c>
      <c r="AB5246" s="79" t="str">
        <f>IF(AND(OR(LEFT(TH!N5246,2)="15",LEFT(TH!O5246,2)="15"),LEFT(TH!O5246,3)&lt;&gt;"111",'152-CT'!$J$8=TH!F5246),"x","")</f>
        <v/>
      </c>
      <c r="AC5246" s="79" t="str">
        <f>IF(AND(OR(LEFT(TH!N5246,2)="15",LEFT(TH!O5246,2)="15"),TK!$E$7=TH!F5246),"x","")</f>
        <v/>
      </c>
      <c r="AD5246" s="79" t="str">
        <f>IF(AND(N5246="1521",MONTH(C5246)='BK-NL'!$M$11),"x","")</f>
        <v/>
      </c>
    </row>
    <row r="5247" spans="1:30" ht="16.5" customHeight="1">
      <c r="A5247" s="318" t="str">
        <f>IF(B5247&lt;&gt;"",IF(AND(B5247='IN-TC'!$S$4,OR(TH!N5247="1111",TH!O5247="1111")),TH!D5247,""),"")</f>
        <v/>
      </c>
      <c r="B5247" s="60" t="str">
        <f t="shared" si="502"/>
        <v/>
      </c>
      <c r="C5247" s="61"/>
      <c r="D5247" s="61"/>
      <c r="E5247" s="61"/>
      <c r="F5247" s="69"/>
      <c r="G5247" s="766"/>
      <c r="H5247" s="69"/>
      <c r="I5247" s="385"/>
      <c r="J5247" s="392"/>
      <c r="K5247" s="385"/>
      <c r="L5247" s="392"/>
      <c r="M5247" s="62"/>
      <c r="N5247" s="63"/>
      <c r="O5247" s="63"/>
      <c r="P5247" s="79" t="str">
        <f>IF(AND('331-CT'!$E$7=TH!H5247,OR(N5247="331",O5247="331")),"x","")</f>
        <v/>
      </c>
      <c r="Q5247" s="79" t="str">
        <f>IF(AND(B5247='111'!$L$11,OR($N5247=$Q$7,$O5247=$Q$7)),"x","")</f>
        <v/>
      </c>
      <c r="R5247" s="79" t="str">
        <f>IF(AND($N5247=$Q$7,$B5247&lt;'111'!$L$11),"x","")</f>
        <v/>
      </c>
      <c r="S5247" s="79" t="str">
        <f>IF(AND($O5247=$Q$7,$B5247&lt;'111'!$L$11),"x","")</f>
        <v/>
      </c>
      <c r="T5247" s="79" t="str">
        <f>IF(ISERROR(FIND('112'!$M$9,G5247,1)),"",IF((AND(FIND('112'!$M$9,G5247,1)&gt;=1,B5247='112'!$K$9,OR($N5247='112'!$I$6,$O5247='112'!$I$6))),"x",""))</f>
        <v/>
      </c>
      <c r="U5247" s="79" t="str">
        <f>IF(ISERROR(FIND('112'!$M$9,G5247,1)),"",IF((AND(LEFT(G5247,2)=LEFT('112'!$M$9,2),B5247&lt;'112'!$K$9,$N5247='112'!$I$6)),"x",""))</f>
        <v/>
      </c>
      <c r="V5247" s="79" t="str">
        <f>IF(ISERROR(FIND('112'!$M$9,G5247,1)),"",IF((AND(RIGHT(G5247,2)=RIGHT('112'!$M$9,2),B5247&lt;'112'!$K$9,$O5247='112'!$I$6)),"x",""))</f>
        <v/>
      </c>
      <c r="W5247" s="79" t="str">
        <f>IF(AND('341-CT'!$H$9=H5247,OR(LEFT(N5247,3)=$W$7,LEFT(O5247,3)=$W$7)),"x","")</f>
        <v/>
      </c>
      <c r="X5247" s="79" t="str">
        <f>IF(OR(TH!N5247=TH!$X$7,O5247=TH!$X$7),"x","")</f>
        <v/>
      </c>
      <c r="Y5247" s="79" t="str">
        <f>IF(AND(OR(N5247="131",O5247="131"),H5247='131-CT'!$H$9),"x","")</f>
        <v/>
      </c>
      <c r="Z5247" s="79"/>
      <c r="AA5247" s="79" t="str">
        <f>IF(AND(MONTH(E5247)='IN-NX'!$J$5,'IN-NX'!$D$7=D5247),"x","")</f>
        <v/>
      </c>
      <c r="AB5247" s="79" t="str">
        <f>IF(AND(OR(LEFT(TH!N5247,2)="15",LEFT(TH!O5247,2)="15"),LEFT(TH!O5247,3)&lt;&gt;"111",'152-CT'!$J$8=TH!F5247),"x","")</f>
        <v/>
      </c>
      <c r="AC5247" s="79" t="str">
        <f>IF(AND(OR(LEFT(TH!N5247,2)="15",LEFT(TH!O5247,2)="15"),TK!$E$7=TH!F5247),"x","")</f>
        <v/>
      </c>
      <c r="AD5247" s="79" t="str">
        <f>IF(AND(N5247="1521",MONTH(C5247)='BK-NL'!$M$11),"x","")</f>
        <v/>
      </c>
    </row>
    <row r="5248" spans="1:30" ht="16.5" customHeight="1">
      <c r="A5248" s="318" t="str">
        <f>IF(B5248&lt;&gt;"",IF(AND(B5248='IN-TC'!$S$4,OR(TH!N5248="1111",TH!O5248="1111")),TH!D5248,""),"")</f>
        <v/>
      </c>
      <c r="B5248" s="60" t="str">
        <f t="shared" si="502"/>
        <v/>
      </c>
      <c r="C5248" s="61"/>
      <c r="D5248" s="61"/>
      <c r="E5248" s="61"/>
      <c r="F5248" s="69"/>
      <c r="G5248" s="766"/>
      <c r="H5248" s="69"/>
      <c r="I5248" s="385"/>
      <c r="J5248" s="392"/>
      <c r="K5248" s="385"/>
      <c r="L5248" s="392"/>
      <c r="M5248" s="62"/>
      <c r="N5248" s="63"/>
      <c r="O5248" s="63"/>
      <c r="P5248" s="79" t="str">
        <f>IF(AND('331-CT'!$E$7=TH!H5248,OR(N5248="331",O5248="331")),"x","")</f>
        <v/>
      </c>
      <c r="Q5248" s="79" t="str">
        <f>IF(AND(B5248='111'!$L$11,OR($N5248=$Q$7,$O5248=$Q$7)),"x","")</f>
        <v/>
      </c>
      <c r="R5248" s="79" t="str">
        <f>IF(AND($N5248=$Q$7,$B5248&lt;'111'!$L$11),"x","")</f>
        <v/>
      </c>
      <c r="S5248" s="79" t="str">
        <f>IF(AND($O5248=$Q$7,$B5248&lt;'111'!$L$11),"x","")</f>
        <v/>
      </c>
      <c r="T5248" s="79" t="str">
        <f>IF(ISERROR(FIND('112'!$M$9,G5248,1)),"",IF((AND(FIND('112'!$M$9,G5248,1)&gt;=1,B5248='112'!$K$9,OR($N5248='112'!$I$6,$O5248='112'!$I$6))),"x",""))</f>
        <v/>
      </c>
      <c r="U5248" s="79" t="str">
        <f>IF(ISERROR(FIND('112'!$M$9,G5248,1)),"",IF((AND(LEFT(G5248,2)=LEFT('112'!$M$9,2),B5248&lt;'112'!$K$9,$N5248='112'!$I$6)),"x",""))</f>
        <v/>
      </c>
      <c r="V5248" s="79" t="str">
        <f>IF(ISERROR(FIND('112'!$M$9,G5248,1)),"",IF((AND(RIGHT(G5248,2)=RIGHT('112'!$M$9,2),B5248&lt;'112'!$K$9,$O5248='112'!$I$6)),"x",""))</f>
        <v/>
      </c>
      <c r="W5248" s="79" t="str">
        <f>IF(AND('341-CT'!$H$9=H5248,OR(LEFT(N5248,3)=$W$7,LEFT(O5248,3)=$W$7)),"x","")</f>
        <v/>
      </c>
      <c r="X5248" s="79" t="str">
        <f>IF(OR(TH!N5248=TH!$X$7,O5248=TH!$X$7),"x","")</f>
        <v/>
      </c>
      <c r="Y5248" s="79" t="str">
        <f>IF(AND(OR(N5248="131",O5248="131"),H5248='131-CT'!$H$9),"x","")</f>
        <v/>
      </c>
      <c r="Z5248" s="79"/>
      <c r="AA5248" s="79" t="str">
        <f>IF(AND(MONTH(E5248)='IN-NX'!$J$5,'IN-NX'!$D$7=D5248),"x","")</f>
        <v/>
      </c>
      <c r="AB5248" s="79" t="str">
        <f>IF(AND(OR(LEFT(TH!N5248,2)="15",LEFT(TH!O5248,2)="15"),LEFT(TH!O5248,3)&lt;&gt;"111",'152-CT'!$J$8=TH!F5248),"x","")</f>
        <v/>
      </c>
      <c r="AC5248" s="79" t="str">
        <f>IF(AND(OR(LEFT(TH!N5248,2)="15",LEFT(TH!O5248,2)="15"),TK!$E$7=TH!F5248),"x","")</f>
        <v/>
      </c>
      <c r="AD5248" s="79" t="str">
        <f>IF(AND(N5248="1521",MONTH(C5248)='BK-NL'!$M$11),"x","")</f>
        <v/>
      </c>
    </row>
    <row r="5249" spans="1:30" ht="16.5" customHeight="1">
      <c r="A5249" s="318" t="str">
        <f>IF(B5249&lt;&gt;"",IF(AND(B5249='IN-TC'!$S$4,OR(TH!N5249="1111",TH!O5249="1111")),TH!D5249,""),"")</f>
        <v/>
      </c>
      <c r="B5249" s="60" t="str">
        <f t="shared" si="502"/>
        <v/>
      </c>
      <c r="C5249" s="61"/>
      <c r="D5249" s="61"/>
      <c r="E5249" s="61"/>
      <c r="F5249" s="69"/>
      <c r="G5249" s="766"/>
      <c r="H5249" s="69"/>
      <c r="I5249" s="385"/>
      <c r="J5249" s="392"/>
      <c r="K5249" s="385"/>
      <c r="L5249" s="392"/>
      <c r="M5249" s="62"/>
      <c r="N5249" s="63"/>
      <c r="O5249" s="63"/>
      <c r="P5249" s="79" t="str">
        <f>IF(AND('331-CT'!$E$7=TH!H5249,OR(N5249="331",O5249="331")),"x","")</f>
        <v/>
      </c>
      <c r="Q5249" s="79" t="str">
        <f>IF(AND(B5249='111'!$L$11,OR($N5249=$Q$7,$O5249=$Q$7)),"x","")</f>
        <v/>
      </c>
      <c r="R5249" s="79" t="str">
        <f>IF(AND($N5249=$Q$7,$B5249&lt;'111'!$L$11),"x","")</f>
        <v/>
      </c>
      <c r="S5249" s="79" t="str">
        <f>IF(AND($O5249=$Q$7,$B5249&lt;'111'!$L$11),"x","")</f>
        <v/>
      </c>
      <c r="T5249" s="79" t="str">
        <f>IF(ISERROR(FIND('112'!$M$9,G5249,1)),"",IF((AND(FIND('112'!$M$9,G5249,1)&gt;=1,B5249='112'!$K$9,OR($N5249='112'!$I$6,$O5249='112'!$I$6))),"x",""))</f>
        <v/>
      </c>
      <c r="U5249" s="79" t="str">
        <f>IF(ISERROR(FIND('112'!$M$9,G5249,1)),"",IF((AND(LEFT(G5249,2)=LEFT('112'!$M$9,2),B5249&lt;'112'!$K$9,$N5249='112'!$I$6)),"x",""))</f>
        <v/>
      </c>
      <c r="V5249" s="79" t="str">
        <f>IF(ISERROR(FIND('112'!$M$9,G5249,1)),"",IF((AND(RIGHT(G5249,2)=RIGHT('112'!$M$9,2),B5249&lt;'112'!$K$9,$O5249='112'!$I$6)),"x",""))</f>
        <v/>
      </c>
      <c r="W5249" s="79" t="str">
        <f>IF(AND('341-CT'!$H$9=H5249,OR(LEFT(N5249,3)=$W$7,LEFT(O5249,3)=$W$7)),"x","")</f>
        <v/>
      </c>
      <c r="X5249" s="79" t="str">
        <f>IF(OR(TH!N5249=TH!$X$7,O5249=TH!$X$7),"x","")</f>
        <v/>
      </c>
      <c r="Y5249" s="79" t="str">
        <f>IF(AND(OR(N5249="131",O5249="131"),H5249='131-CT'!$H$9),"x","")</f>
        <v/>
      </c>
      <c r="Z5249" s="79"/>
      <c r="AA5249" s="79" t="str">
        <f>IF(AND(MONTH(E5249)='IN-NX'!$J$5,'IN-NX'!$D$7=D5249),"x","")</f>
        <v/>
      </c>
      <c r="AB5249" s="79" t="str">
        <f>IF(AND(OR(LEFT(TH!N5249,2)="15",LEFT(TH!O5249,2)="15"),LEFT(TH!O5249,3)&lt;&gt;"111",'152-CT'!$J$8=TH!F5249),"x","")</f>
        <v/>
      </c>
      <c r="AC5249" s="79" t="str">
        <f>IF(AND(OR(LEFT(TH!N5249,2)="15",LEFT(TH!O5249,2)="15"),TK!$E$7=TH!F5249),"x","")</f>
        <v/>
      </c>
      <c r="AD5249" s="79" t="str">
        <f>IF(AND(N5249="1521",MONTH(C5249)='BK-NL'!$M$11),"x","")</f>
        <v/>
      </c>
    </row>
    <row r="5250" spans="1:30" ht="16.5" customHeight="1">
      <c r="A5250" s="318" t="str">
        <f>IF(B5250&lt;&gt;"",IF(AND(B5250='IN-TC'!$S$4,OR(TH!N5250="1111",TH!O5250="1111")),TH!D5250,""),"")</f>
        <v/>
      </c>
      <c r="B5250" s="60" t="str">
        <f t="shared" si="502"/>
        <v/>
      </c>
      <c r="C5250" s="61"/>
      <c r="D5250" s="61"/>
      <c r="E5250" s="61"/>
      <c r="F5250" s="69"/>
      <c r="G5250" s="766"/>
      <c r="H5250" s="69"/>
      <c r="I5250" s="385"/>
      <c r="J5250" s="392"/>
      <c r="K5250" s="385"/>
      <c r="L5250" s="392"/>
      <c r="M5250" s="62"/>
      <c r="N5250" s="63"/>
      <c r="O5250" s="63"/>
      <c r="P5250" s="79" t="str">
        <f>IF(AND('331-CT'!$E$7=TH!H5250,OR(N5250="331",O5250="331")),"x","")</f>
        <v/>
      </c>
      <c r="Q5250" s="79" t="str">
        <f>IF(AND(B5250='111'!$L$11,OR($N5250=$Q$7,$O5250=$Q$7)),"x","")</f>
        <v/>
      </c>
      <c r="R5250" s="79" t="str">
        <f>IF(AND($N5250=$Q$7,$B5250&lt;'111'!$L$11),"x","")</f>
        <v/>
      </c>
      <c r="S5250" s="79" t="str">
        <f>IF(AND($O5250=$Q$7,$B5250&lt;'111'!$L$11),"x","")</f>
        <v/>
      </c>
      <c r="T5250" s="79" t="str">
        <f>IF(ISERROR(FIND('112'!$M$9,G5250,1)),"",IF((AND(FIND('112'!$M$9,G5250,1)&gt;=1,B5250='112'!$K$9,OR($N5250='112'!$I$6,$O5250='112'!$I$6))),"x",""))</f>
        <v/>
      </c>
      <c r="U5250" s="79" t="str">
        <f>IF(ISERROR(FIND('112'!$M$9,G5250,1)),"",IF((AND(LEFT(G5250,2)=LEFT('112'!$M$9,2),B5250&lt;'112'!$K$9,$N5250='112'!$I$6)),"x",""))</f>
        <v/>
      </c>
      <c r="V5250" s="79" t="str">
        <f>IF(ISERROR(FIND('112'!$M$9,G5250,1)),"",IF((AND(RIGHT(G5250,2)=RIGHT('112'!$M$9,2),B5250&lt;'112'!$K$9,$O5250='112'!$I$6)),"x",""))</f>
        <v/>
      </c>
      <c r="W5250" s="79" t="str">
        <f>IF(AND('341-CT'!$H$9=H5250,OR(LEFT(N5250,3)=$W$7,LEFT(O5250,3)=$W$7)),"x","")</f>
        <v/>
      </c>
      <c r="X5250" s="79" t="str">
        <f>IF(OR(TH!N5250=TH!$X$7,O5250=TH!$X$7),"x","")</f>
        <v/>
      </c>
      <c r="Y5250" s="79" t="str">
        <f>IF(AND(OR(N5250="131",O5250="131"),H5250='131-CT'!$H$9),"x","")</f>
        <v/>
      </c>
      <c r="Z5250" s="79"/>
      <c r="AA5250" s="79" t="str">
        <f>IF(AND(MONTH(E5250)='IN-NX'!$J$5,'IN-NX'!$D$7=D5250),"x","")</f>
        <v/>
      </c>
      <c r="AB5250" s="79" t="str">
        <f>IF(AND(OR(LEFT(TH!N5250,2)="15",LEFT(TH!O5250,2)="15"),LEFT(TH!O5250,3)&lt;&gt;"111",'152-CT'!$J$8=TH!F5250),"x","")</f>
        <v/>
      </c>
      <c r="AC5250" s="79" t="str">
        <f>IF(AND(OR(LEFT(TH!N5250,2)="15",LEFT(TH!O5250,2)="15"),TK!$E$7=TH!F5250),"x","")</f>
        <v/>
      </c>
      <c r="AD5250" s="79" t="str">
        <f>IF(AND(N5250="1521",MONTH(C5250)='BK-NL'!$M$11),"x","")</f>
        <v/>
      </c>
    </row>
    <row r="5251" spans="1:30" ht="16.5" customHeight="1">
      <c r="A5251" s="318" t="str">
        <f>IF(B5251&lt;&gt;"",IF(AND(B5251='IN-TC'!$S$4,OR(TH!N5251="1111",TH!O5251="1111")),TH!D5251,""),"")</f>
        <v/>
      </c>
      <c r="B5251" s="60" t="str">
        <f t="shared" ref="B5251:B5314" si="503">IF(C5251&lt;&gt;"",MONTH(C5251),"")</f>
        <v/>
      </c>
      <c r="C5251" s="61"/>
      <c r="D5251" s="61"/>
      <c r="E5251" s="61"/>
      <c r="F5251" s="69"/>
      <c r="G5251" s="766"/>
      <c r="H5251" s="69"/>
      <c r="I5251" s="385"/>
      <c r="J5251" s="392"/>
      <c r="K5251" s="385"/>
      <c r="L5251" s="392"/>
      <c r="M5251" s="62"/>
      <c r="N5251" s="63"/>
      <c r="O5251" s="63"/>
      <c r="P5251" s="79" t="str">
        <f>IF(AND('331-CT'!$E$7=TH!H5251,OR(N5251="331",O5251="331")),"x","")</f>
        <v/>
      </c>
      <c r="Q5251" s="79" t="str">
        <f>IF(AND(B5251='111'!$L$11,OR($N5251=$Q$7,$O5251=$Q$7)),"x","")</f>
        <v/>
      </c>
      <c r="R5251" s="79" t="str">
        <f>IF(AND($N5251=$Q$7,$B5251&lt;'111'!$L$11),"x","")</f>
        <v/>
      </c>
      <c r="S5251" s="79" t="str">
        <f>IF(AND($O5251=$Q$7,$B5251&lt;'111'!$L$11),"x","")</f>
        <v/>
      </c>
      <c r="T5251" s="79" t="str">
        <f>IF(ISERROR(FIND('112'!$M$9,G5251,1)),"",IF((AND(FIND('112'!$M$9,G5251,1)&gt;=1,B5251='112'!$K$9,OR($N5251='112'!$I$6,$O5251='112'!$I$6))),"x",""))</f>
        <v/>
      </c>
      <c r="U5251" s="79" t="str">
        <f>IF(ISERROR(FIND('112'!$M$9,G5251,1)),"",IF((AND(LEFT(G5251,2)=LEFT('112'!$M$9,2),B5251&lt;'112'!$K$9,$N5251='112'!$I$6)),"x",""))</f>
        <v/>
      </c>
      <c r="V5251" s="79" t="str">
        <f>IF(ISERROR(FIND('112'!$M$9,G5251,1)),"",IF((AND(RIGHT(G5251,2)=RIGHT('112'!$M$9,2),B5251&lt;'112'!$K$9,$O5251='112'!$I$6)),"x",""))</f>
        <v/>
      </c>
      <c r="W5251" s="79" t="str">
        <f>IF(AND('341-CT'!$H$9=H5251,OR(LEFT(N5251,3)=$W$7,LEFT(O5251,3)=$W$7)),"x","")</f>
        <v/>
      </c>
      <c r="X5251" s="79" t="str">
        <f>IF(OR(TH!N5251=TH!$X$7,O5251=TH!$X$7),"x","")</f>
        <v/>
      </c>
      <c r="Y5251" s="79" t="str">
        <f>IF(AND(OR(N5251="131",O5251="131"),H5251='131-CT'!$H$9),"x","")</f>
        <v/>
      </c>
      <c r="Z5251" s="79"/>
      <c r="AA5251" s="79" t="str">
        <f>IF(AND(MONTH(E5251)='IN-NX'!$J$5,'IN-NX'!$D$7=D5251),"x","")</f>
        <v/>
      </c>
      <c r="AB5251" s="79" t="str">
        <f>IF(AND(OR(LEFT(TH!N5251,2)="15",LEFT(TH!O5251,2)="15"),LEFT(TH!O5251,3)&lt;&gt;"111",'152-CT'!$J$8=TH!F5251),"x","")</f>
        <v/>
      </c>
      <c r="AC5251" s="79" t="str">
        <f>IF(AND(OR(LEFT(TH!N5251,2)="15",LEFT(TH!O5251,2)="15"),TK!$E$7=TH!F5251),"x","")</f>
        <v/>
      </c>
      <c r="AD5251" s="79" t="str">
        <f>IF(AND(N5251="1521",MONTH(C5251)='BK-NL'!$M$11),"x","")</f>
        <v/>
      </c>
    </row>
    <row r="5252" spans="1:30" ht="16.5" customHeight="1">
      <c r="A5252" s="318" t="str">
        <f>IF(B5252&lt;&gt;"",IF(AND(B5252='IN-TC'!$S$4,OR(TH!N5252="1111",TH!O5252="1111")),TH!D5252,""),"")</f>
        <v/>
      </c>
      <c r="B5252" s="60" t="str">
        <f t="shared" si="503"/>
        <v/>
      </c>
      <c r="C5252" s="61"/>
      <c r="D5252" s="61"/>
      <c r="E5252" s="61"/>
      <c r="F5252" s="69"/>
      <c r="G5252" s="766"/>
      <c r="H5252" s="69"/>
      <c r="I5252" s="385"/>
      <c r="J5252" s="392"/>
      <c r="K5252" s="385"/>
      <c r="L5252" s="392"/>
      <c r="M5252" s="62"/>
      <c r="N5252" s="63"/>
      <c r="O5252" s="63"/>
      <c r="P5252" s="79" t="str">
        <f>IF(AND('331-CT'!$E$7=TH!H5252,OR(N5252="331",O5252="331")),"x","")</f>
        <v/>
      </c>
      <c r="Q5252" s="79" t="str">
        <f>IF(AND(B5252='111'!$L$11,OR($N5252=$Q$7,$O5252=$Q$7)),"x","")</f>
        <v/>
      </c>
      <c r="R5252" s="79" t="str">
        <f>IF(AND($N5252=$Q$7,$B5252&lt;'111'!$L$11),"x","")</f>
        <v/>
      </c>
      <c r="S5252" s="79" t="str">
        <f>IF(AND($O5252=$Q$7,$B5252&lt;'111'!$L$11),"x","")</f>
        <v/>
      </c>
      <c r="T5252" s="79" t="str">
        <f>IF(ISERROR(FIND('112'!$M$9,G5252,1)),"",IF((AND(FIND('112'!$M$9,G5252,1)&gt;=1,B5252='112'!$K$9,OR($N5252='112'!$I$6,$O5252='112'!$I$6))),"x",""))</f>
        <v/>
      </c>
      <c r="U5252" s="79" t="str">
        <f>IF(ISERROR(FIND('112'!$M$9,G5252,1)),"",IF((AND(LEFT(G5252,2)=LEFT('112'!$M$9,2),B5252&lt;'112'!$K$9,$N5252='112'!$I$6)),"x",""))</f>
        <v/>
      </c>
      <c r="V5252" s="79" t="str">
        <f>IF(ISERROR(FIND('112'!$M$9,G5252,1)),"",IF((AND(RIGHT(G5252,2)=RIGHT('112'!$M$9,2),B5252&lt;'112'!$K$9,$O5252='112'!$I$6)),"x",""))</f>
        <v/>
      </c>
      <c r="W5252" s="79" t="str">
        <f>IF(AND('341-CT'!$H$9=H5252,OR(LEFT(N5252,3)=$W$7,LEFT(O5252,3)=$W$7)),"x","")</f>
        <v/>
      </c>
      <c r="X5252" s="79" t="str">
        <f>IF(OR(TH!N5252=TH!$X$7,O5252=TH!$X$7),"x","")</f>
        <v/>
      </c>
      <c r="Y5252" s="79" t="str">
        <f>IF(AND(OR(N5252="131",O5252="131"),H5252='131-CT'!$H$9),"x","")</f>
        <v/>
      </c>
      <c r="Z5252" s="79"/>
      <c r="AA5252" s="79" t="str">
        <f>IF(AND(MONTH(E5252)='IN-NX'!$J$5,'IN-NX'!$D$7=D5252),"x","")</f>
        <v/>
      </c>
      <c r="AB5252" s="79" t="str">
        <f>IF(AND(OR(LEFT(TH!N5252,2)="15",LEFT(TH!O5252,2)="15"),LEFT(TH!O5252,3)&lt;&gt;"111",'152-CT'!$J$8=TH!F5252),"x","")</f>
        <v/>
      </c>
      <c r="AC5252" s="79" t="str">
        <f>IF(AND(OR(LEFT(TH!N5252,2)="15",LEFT(TH!O5252,2)="15"),TK!$E$7=TH!F5252),"x","")</f>
        <v/>
      </c>
      <c r="AD5252" s="79" t="str">
        <f>IF(AND(N5252="1521",MONTH(C5252)='BK-NL'!$M$11),"x","")</f>
        <v/>
      </c>
    </row>
    <row r="5253" spans="1:30" ht="16.5" customHeight="1">
      <c r="A5253" s="318" t="str">
        <f>IF(B5253&lt;&gt;"",IF(AND(B5253='IN-TC'!$S$4,OR(TH!N5253="1111",TH!O5253="1111")),TH!D5253,""),"")</f>
        <v/>
      </c>
      <c r="B5253" s="60" t="str">
        <f t="shared" si="503"/>
        <v/>
      </c>
      <c r="C5253" s="61"/>
      <c r="D5253" s="61"/>
      <c r="E5253" s="61"/>
      <c r="F5253" s="69"/>
      <c r="G5253" s="766"/>
      <c r="H5253" s="303"/>
      <c r="I5253" s="385"/>
      <c r="J5253" s="392"/>
      <c r="K5253" s="385"/>
      <c r="L5253" s="392"/>
      <c r="M5253" s="62"/>
      <c r="N5253" s="63"/>
      <c r="O5253" s="63"/>
      <c r="P5253" s="79" t="str">
        <f>IF(AND('331-CT'!$E$7=TH!H5253,OR(N5253="331",O5253="331")),"x","")</f>
        <v/>
      </c>
      <c r="Q5253" s="79" t="str">
        <f>IF(AND(B5253='111'!$L$11,OR($N5253=$Q$7,$O5253=$Q$7)),"x","")</f>
        <v/>
      </c>
      <c r="R5253" s="79" t="str">
        <f>IF(AND($N5253=$Q$7,$B5253&lt;'111'!$L$11),"x","")</f>
        <v/>
      </c>
      <c r="S5253" s="79" t="str">
        <f>IF(AND($O5253=$Q$7,$B5253&lt;'111'!$L$11),"x","")</f>
        <v/>
      </c>
      <c r="T5253" s="79" t="str">
        <f>IF(ISERROR(FIND('112'!$M$9,G5253,1)),"",IF((AND(FIND('112'!$M$9,G5253,1)&gt;=1,B5253='112'!$K$9,OR($N5253='112'!$I$6,$O5253='112'!$I$6))),"x",""))</f>
        <v/>
      </c>
      <c r="U5253" s="79" t="str">
        <f>IF(ISERROR(FIND('112'!$M$9,G5253,1)),"",IF((AND(LEFT(G5253,2)=LEFT('112'!$M$9,2),B5253&lt;'112'!$K$9,$N5253='112'!$I$6)),"x",""))</f>
        <v/>
      </c>
      <c r="V5253" s="79" t="str">
        <f>IF(ISERROR(FIND('112'!$M$9,G5253,1)),"",IF((AND(RIGHT(G5253,2)=RIGHT('112'!$M$9,2),B5253&lt;'112'!$K$9,$O5253='112'!$I$6)),"x",""))</f>
        <v/>
      </c>
      <c r="W5253" s="79" t="str">
        <f>IF(AND('341-CT'!$H$9=H5253,OR(LEFT(N5253,3)=$W$7,LEFT(O5253,3)=$W$7)),"x","")</f>
        <v/>
      </c>
      <c r="X5253" s="79" t="str">
        <f>IF(OR(TH!N5253=TH!$X$7,O5253=TH!$X$7),"x","")</f>
        <v/>
      </c>
      <c r="Y5253" s="79" t="str">
        <f>IF(AND(OR(N5253="131",O5253="131"),H5253='131-CT'!$H$9),"x","")</f>
        <v/>
      </c>
      <c r="Z5253" s="79"/>
      <c r="AA5253" s="79" t="str">
        <f>IF(AND(MONTH(E5253)='IN-NX'!$J$5,'IN-NX'!$D$7=D5253),"x","")</f>
        <v/>
      </c>
      <c r="AB5253" s="79" t="str">
        <f>IF(AND(OR(LEFT(TH!N5253,2)="15",LEFT(TH!O5253,2)="15"),LEFT(TH!O5253,3)&lt;&gt;"111",'152-CT'!$J$8=TH!F5253),"x","")</f>
        <v/>
      </c>
      <c r="AC5253" s="79" t="str">
        <f>IF(AND(OR(LEFT(TH!N5253,2)="15",LEFT(TH!O5253,2)="15"),TK!$E$7=TH!F5253),"x","")</f>
        <v/>
      </c>
      <c r="AD5253" s="79" t="str">
        <f>IF(AND(N5253="1521",MONTH(C5253)='BK-NL'!$M$11),"x","")</f>
        <v/>
      </c>
    </row>
    <row r="5254" spans="1:30" ht="16.5" customHeight="1">
      <c r="A5254" s="318" t="str">
        <f>IF(B5254&lt;&gt;"",IF(AND(B5254='IN-TC'!$S$4,OR(TH!N5254="1111",TH!O5254="1111")),TH!D5254,""),"")</f>
        <v/>
      </c>
      <c r="B5254" s="60" t="str">
        <f t="shared" si="503"/>
        <v/>
      </c>
      <c r="C5254" s="61"/>
      <c r="D5254" s="61"/>
      <c r="E5254" s="61"/>
      <c r="F5254" s="69"/>
      <c r="G5254" s="766"/>
      <c r="H5254" s="303"/>
      <c r="I5254" s="385"/>
      <c r="J5254" s="392"/>
      <c r="K5254" s="385"/>
      <c r="L5254" s="392"/>
      <c r="M5254" s="62"/>
      <c r="N5254" s="63"/>
      <c r="O5254" s="63"/>
      <c r="P5254" s="79" t="str">
        <f>IF(AND('331-CT'!$E$7=TH!H5254,OR(N5254="331",O5254="331")),"x","")</f>
        <v/>
      </c>
      <c r="Q5254" s="79" t="str">
        <f>IF(AND(B5254='111'!$L$11,OR($N5254=$Q$7,$O5254=$Q$7)),"x","")</f>
        <v/>
      </c>
      <c r="R5254" s="79" t="str">
        <f>IF(AND($N5254=$Q$7,$B5254&lt;'111'!$L$11),"x","")</f>
        <v/>
      </c>
      <c r="S5254" s="79" t="str">
        <f>IF(AND($O5254=$Q$7,$B5254&lt;'111'!$L$11),"x","")</f>
        <v/>
      </c>
      <c r="T5254" s="79" t="str">
        <f>IF(ISERROR(FIND('112'!$M$9,G5254,1)),"",IF((AND(FIND('112'!$M$9,G5254,1)&gt;=1,B5254='112'!$K$9,OR($N5254='112'!$I$6,$O5254='112'!$I$6))),"x",""))</f>
        <v/>
      </c>
      <c r="U5254" s="79" t="str">
        <f>IF(ISERROR(FIND('112'!$M$9,G5254,1)),"",IF((AND(LEFT(G5254,2)=LEFT('112'!$M$9,2),B5254&lt;'112'!$K$9,$N5254='112'!$I$6)),"x",""))</f>
        <v/>
      </c>
      <c r="V5254" s="79" t="str">
        <f>IF(ISERROR(FIND('112'!$M$9,G5254,1)),"",IF((AND(RIGHT(G5254,2)=RIGHT('112'!$M$9,2),B5254&lt;'112'!$K$9,$O5254='112'!$I$6)),"x",""))</f>
        <v/>
      </c>
      <c r="W5254" s="79" t="str">
        <f>IF(AND('341-CT'!$H$9=H5254,OR(LEFT(N5254,3)=$W$7,LEFT(O5254,3)=$W$7)),"x","")</f>
        <v/>
      </c>
      <c r="X5254" s="79" t="str">
        <f>IF(OR(TH!N5254=TH!$X$7,O5254=TH!$X$7),"x","")</f>
        <v/>
      </c>
      <c r="Y5254" s="79" t="str">
        <f>IF(AND(OR(N5254="131",O5254="131"),H5254='131-CT'!$H$9),"x","")</f>
        <v/>
      </c>
      <c r="Z5254" s="79"/>
      <c r="AA5254" s="79" t="str">
        <f>IF(AND(MONTH(E5254)='IN-NX'!$J$5,'IN-NX'!$D$7=D5254),"x","")</f>
        <v/>
      </c>
      <c r="AB5254" s="79" t="str">
        <f>IF(AND(OR(LEFT(TH!N5254,2)="15",LEFT(TH!O5254,2)="15"),LEFT(TH!O5254,3)&lt;&gt;"111",'152-CT'!$J$8=TH!F5254),"x","")</f>
        <v/>
      </c>
      <c r="AC5254" s="79" t="str">
        <f>IF(AND(OR(LEFT(TH!N5254,2)="15",LEFT(TH!O5254,2)="15"),TK!$E$7=TH!F5254),"x","")</f>
        <v/>
      </c>
      <c r="AD5254" s="79" t="str">
        <f>IF(AND(N5254="1521",MONTH(C5254)='BK-NL'!$M$11),"x","")</f>
        <v/>
      </c>
    </row>
    <row r="5255" spans="1:30" ht="16.5" customHeight="1">
      <c r="A5255" s="318" t="str">
        <f>IF(B5255&lt;&gt;"",IF(AND(B5255='IN-TC'!$S$4,OR(TH!N5255="1111",TH!O5255="1111")),TH!D5255,""),"")</f>
        <v/>
      </c>
      <c r="B5255" s="60" t="str">
        <f t="shared" si="503"/>
        <v/>
      </c>
      <c r="C5255" s="61"/>
      <c r="D5255" s="61"/>
      <c r="E5255" s="61"/>
      <c r="F5255" s="69"/>
      <c r="G5255" s="766"/>
      <c r="H5255" s="69"/>
      <c r="I5255" s="385"/>
      <c r="J5255" s="392"/>
      <c r="K5255" s="385"/>
      <c r="L5255" s="392"/>
      <c r="M5255" s="62"/>
      <c r="N5255" s="63"/>
      <c r="O5255" s="63"/>
      <c r="P5255" s="79" t="str">
        <f>IF(AND('331-CT'!$E$7=TH!H5255,OR(N5255="331",O5255="331")),"x","")</f>
        <v/>
      </c>
      <c r="Q5255" s="79" t="str">
        <f>IF(AND(B5255='111'!$L$11,OR($N5255=$Q$7,$O5255=$Q$7)),"x","")</f>
        <v/>
      </c>
      <c r="R5255" s="79" t="str">
        <f>IF(AND($N5255=$Q$7,$B5255&lt;'111'!$L$11),"x","")</f>
        <v/>
      </c>
      <c r="S5255" s="79" t="str">
        <f>IF(AND($O5255=$Q$7,$B5255&lt;'111'!$L$11),"x","")</f>
        <v/>
      </c>
      <c r="T5255" s="79" t="str">
        <f>IF(ISERROR(FIND('112'!$M$9,G5255,1)),"",IF((AND(FIND('112'!$M$9,G5255,1)&gt;=1,B5255='112'!$K$9,OR($N5255='112'!$I$6,$O5255='112'!$I$6))),"x",""))</f>
        <v/>
      </c>
      <c r="U5255" s="79" t="str">
        <f>IF(ISERROR(FIND('112'!$M$9,G5255,1)),"",IF((AND(LEFT(G5255,2)=LEFT('112'!$M$9,2),B5255&lt;'112'!$K$9,$N5255='112'!$I$6)),"x",""))</f>
        <v/>
      </c>
      <c r="V5255" s="79" t="str">
        <f>IF(ISERROR(FIND('112'!$M$9,G5255,1)),"",IF((AND(RIGHT(G5255,2)=RIGHT('112'!$M$9,2),B5255&lt;'112'!$K$9,$O5255='112'!$I$6)),"x",""))</f>
        <v/>
      </c>
      <c r="W5255" s="79" t="str">
        <f>IF(AND('341-CT'!$H$9=H5255,OR(LEFT(N5255,3)=$W$7,LEFT(O5255,3)=$W$7)),"x","")</f>
        <v/>
      </c>
      <c r="X5255" s="79" t="str">
        <f>IF(OR(TH!N5255=TH!$X$7,O5255=TH!$X$7),"x","")</f>
        <v/>
      </c>
      <c r="Y5255" s="79" t="str">
        <f>IF(AND(OR(N5255="131",O5255="131"),H5255='131-CT'!$H$9),"x","")</f>
        <v/>
      </c>
      <c r="Z5255" s="79"/>
      <c r="AA5255" s="79" t="str">
        <f>IF(AND(MONTH(E5255)='IN-NX'!$J$5,'IN-NX'!$D$7=D5255),"x","")</f>
        <v/>
      </c>
      <c r="AB5255" s="79" t="str">
        <f>IF(AND(OR(LEFT(TH!N5255,2)="15",LEFT(TH!O5255,2)="15"),LEFT(TH!O5255,3)&lt;&gt;"111",'152-CT'!$J$8=TH!F5255),"x","")</f>
        <v/>
      </c>
      <c r="AC5255" s="79" t="str">
        <f>IF(AND(OR(LEFT(TH!N5255,2)="15",LEFT(TH!O5255,2)="15"),TK!$E$7=TH!F5255),"x","")</f>
        <v/>
      </c>
      <c r="AD5255" s="79" t="str">
        <f>IF(AND(N5255="1521",MONTH(C5255)='BK-NL'!$M$11),"x","")</f>
        <v/>
      </c>
    </row>
    <row r="5256" spans="1:30" ht="16.5" customHeight="1">
      <c r="A5256" s="318" t="str">
        <f>IF(B5256&lt;&gt;"",IF(AND(B5256='IN-TC'!$S$4,OR(TH!N5256="1111",TH!O5256="1111")),TH!D5256,""),"")</f>
        <v/>
      </c>
      <c r="B5256" s="60" t="str">
        <f t="shared" si="503"/>
        <v/>
      </c>
      <c r="C5256" s="61"/>
      <c r="D5256" s="61"/>
      <c r="E5256" s="61"/>
      <c r="F5256" s="69"/>
      <c r="G5256" s="766"/>
      <c r="H5256" s="69"/>
      <c r="I5256" s="385"/>
      <c r="J5256" s="392"/>
      <c r="K5256" s="385"/>
      <c r="L5256" s="392"/>
      <c r="M5256" s="62"/>
      <c r="N5256" s="63"/>
      <c r="O5256" s="63"/>
      <c r="P5256" s="79" t="str">
        <f>IF(AND('331-CT'!$E$7=TH!H5256,OR(N5256="331",O5256="331")),"x","")</f>
        <v/>
      </c>
      <c r="Q5256" s="79" t="str">
        <f>IF(AND(B5256='111'!$L$11,OR($N5256=$Q$7,$O5256=$Q$7)),"x","")</f>
        <v/>
      </c>
      <c r="R5256" s="79" t="str">
        <f>IF(AND($N5256=$Q$7,$B5256&lt;'111'!$L$11),"x","")</f>
        <v/>
      </c>
      <c r="S5256" s="79" t="str">
        <f>IF(AND($O5256=$Q$7,$B5256&lt;'111'!$L$11),"x","")</f>
        <v/>
      </c>
      <c r="T5256" s="79" t="str">
        <f>IF(ISERROR(FIND('112'!$M$9,G5256,1)),"",IF((AND(FIND('112'!$M$9,G5256,1)&gt;=1,B5256='112'!$K$9,OR($N5256='112'!$I$6,$O5256='112'!$I$6))),"x",""))</f>
        <v/>
      </c>
      <c r="U5256" s="79" t="str">
        <f>IF(ISERROR(FIND('112'!$M$9,G5256,1)),"",IF((AND(LEFT(G5256,2)=LEFT('112'!$M$9,2),B5256&lt;'112'!$K$9,$N5256='112'!$I$6)),"x",""))</f>
        <v/>
      </c>
      <c r="V5256" s="79" t="str">
        <f>IF(ISERROR(FIND('112'!$M$9,G5256,1)),"",IF((AND(RIGHT(G5256,2)=RIGHT('112'!$M$9,2),B5256&lt;'112'!$K$9,$O5256='112'!$I$6)),"x",""))</f>
        <v/>
      </c>
      <c r="W5256" s="79" t="str">
        <f>IF(AND('341-CT'!$H$9=H5256,OR(LEFT(N5256,3)=$W$7,LEFT(O5256,3)=$W$7)),"x","")</f>
        <v/>
      </c>
      <c r="X5256" s="79" t="str">
        <f>IF(OR(TH!N5256=TH!$X$7,O5256=TH!$X$7),"x","")</f>
        <v/>
      </c>
      <c r="Y5256" s="79" t="str">
        <f>IF(AND(OR(N5256="131",O5256="131"),H5256='131-CT'!$H$9),"x","")</f>
        <v/>
      </c>
      <c r="Z5256" s="79"/>
      <c r="AA5256" s="79" t="str">
        <f>IF(AND(MONTH(E5256)='IN-NX'!$J$5,'IN-NX'!$D$7=D5256),"x","")</f>
        <v/>
      </c>
      <c r="AB5256" s="79" t="str">
        <f>IF(AND(OR(LEFT(TH!N5256,2)="15",LEFT(TH!O5256,2)="15"),LEFT(TH!O5256,3)&lt;&gt;"111",'152-CT'!$J$8=TH!F5256),"x","")</f>
        <v/>
      </c>
      <c r="AC5256" s="79" t="str">
        <f>IF(AND(OR(LEFT(TH!N5256,2)="15",LEFT(TH!O5256,2)="15"),TK!$E$7=TH!F5256),"x","")</f>
        <v/>
      </c>
      <c r="AD5256" s="79" t="str">
        <f>IF(AND(N5256="1521",MONTH(C5256)='BK-NL'!$M$11),"x","")</f>
        <v/>
      </c>
    </row>
    <row r="5257" spans="1:30" ht="16.5" customHeight="1">
      <c r="A5257" s="318" t="str">
        <f>IF(B5257&lt;&gt;"",IF(AND(B5257='IN-TC'!$S$4,OR(TH!N5257="1111",TH!O5257="1111")),TH!D5257,""),"")</f>
        <v/>
      </c>
      <c r="B5257" s="60" t="str">
        <f t="shared" si="503"/>
        <v/>
      </c>
      <c r="C5257" s="61"/>
      <c r="D5257" s="61"/>
      <c r="E5257" s="61"/>
      <c r="F5257" s="69"/>
      <c r="G5257" s="766"/>
      <c r="H5257" s="69"/>
      <c r="I5257" s="385"/>
      <c r="J5257" s="392"/>
      <c r="K5257" s="385"/>
      <c r="L5257" s="392"/>
      <c r="M5257" s="62"/>
      <c r="N5257" s="63"/>
      <c r="O5257" s="63"/>
      <c r="P5257" s="79" t="str">
        <f>IF(AND('331-CT'!$E$7=TH!H5257,OR(N5257="331",O5257="331")),"x","")</f>
        <v/>
      </c>
      <c r="Q5257" s="79" t="str">
        <f>IF(AND(B5257='111'!$L$11,OR($N5257=$Q$7,$O5257=$Q$7)),"x","")</f>
        <v/>
      </c>
      <c r="R5257" s="79" t="str">
        <f>IF(AND($N5257=$Q$7,$B5257&lt;'111'!$L$11),"x","")</f>
        <v/>
      </c>
      <c r="S5257" s="79" t="str">
        <f>IF(AND($O5257=$Q$7,$B5257&lt;'111'!$L$11),"x","")</f>
        <v/>
      </c>
      <c r="T5257" s="79" t="str">
        <f>IF(ISERROR(FIND('112'!$M$9,G5257,1)),"",IF((AND(FIND('112'!$M$9,G5257,1)&gt;=1,B5257='112'!$K$9,OR($N5257='112'!$I$6,$O5257='112'!$I$6))),"x",""))</f>
        <v/>
      </c>
      <c r="U5257" s="79" t="str">
        <f>IF(ISERROR(FIND('112'!$M$9,G5257,1)),"",IF((AND(LEFT(G5257,2)=LEFT('112'!$M$9,2),B5257&lt;'112'!$K$9,$N5257='112'!$I$6)),"x",""))</f>
        <v/>
      </c>
      <c r="V5257" s="79" t="str">
        <f>IF(ISERROR(FIND('112'!$M$9,G5257,1)),"",IF((AND(RIGHT(G5257,2)=RIGHT('112'!$M$9,2),B5257&lt;'112'!$K$9,$O5257='112'!$I$6)),"x",""))</f>
        <v/>
      </c>
      <c r="W5257" s="79" t="str">
        <f>IF(AND('341-CT'!$H$9=H5257,OR(LEFT(N5257,3)=$W$7,LEFT(O5257,3)=$W$7)),"x","")</f>
        <v/>
      </c>
      <c r="X5257" s="79" t="str">
        <f>IF(OR(TH!N5257=TH!$X$7,O5257=TH!$X$7),"x","")</f>
        <v/>
      </c>
      <c r="Y5257" s="79" t="str">
        <f>IF(AND(OR(N5257="131",O5257="131"),H5257='131-CT'!$H$9),"x","")</f>
        <v/>
      </c>
      <c r="Z5257" s="79"/>
      <c r="AA5257" s="79" t="str">
        <f>IF(AND(MONTH(E5257)='IN-NX'!$J$5,'IN-NX'!$D$7=D5257),"x","")</f>
        <v/>
      </c>
      <c r="AB5257" s="79" t="str">
        <f>IF(AND(OR(LEFT(TH!N5257,2)="15",LEFT(TH!O5257,2)="15"),LEFT(TH!O5257,3)&lt;&gt;"111",'152-CT'!$J$8=TH!F5257),"x","")</f>
        <v/>
      </c>
      <c r="AC5257" s="79" t="str">
        <f>IF(AND(OR(LEFT(TH!N5257,2)="15",LEFT(TH!O5257,2)="15"),TK!$E$7=TH!F5257),"x","")</f>
        <v/>
      </c>
      <c r="AD5257" s="79" t="str">
        <f>IF(AND(N5257="1521",MONTH(C5257)='BK-NL'!$M$11),"x","")</f>
        <v/>
      </c>
    </row>
    <row r="5258" spans="1:30" ht="16.5" customHeight="1">
      <c r="A5258" s="318" t="str">
        <f>IF(B5258&lt;&gt;"",IF(AND(B5258='IN-TC'!$S$4,OR(TH!N5258="1111",TH!O5258="1111")),TH!D5258,""),"")</f>
        <v/>
      </c>
      <c r="B5258" s="60" t="str">
        <f t="shared" si="503"/>
        <v/>
      </c>
      <c r="C5258" s="61"/>
      <c r="D5258" s="61"/>
      <c r="E5258" s="61"/>
      <c r="F5258" s="69"/>
      <c r="G5258" s="766"/>
      <c r="H5258" s="69"/>
      <c r="I5258" s="385"/>
      <c r="J5258" s="392"/>
      <c r="K5258" s="385"/>
      <c r="L5258" s="392"/>
      <c r="M5258" s="62"/>
      <c r="N5258" s="63"/>
      <c r="O5258" s="63"/>
      <c r="P5258" s="79" t="str">
        <f>IF(AND('331-CT'!$E$7=TH!H5258,OR(N5258="331",O5258="331")),"x","")</f>
        <v/>
      </c>
      <c r="Q5258" s="79" t="str">
        <f>IF(AND(B5258='111'!$L$11,OR($N5258=$Q$7,$O5258=$Q$7)),"x","")</f>
        <v/>
      </c>
      <c r="R5258" s="79" t="str">
        <f>IF(AND($N5258=$Q$7,$B5258&lt;'111'!$L$11),"x","")</f>
        <v/>
      </c>
      <c r="S5258" s="79" t="str">
        <f>IF(AND($O5258=$Q$7,$B5258&lt;'111'!$L$11),"x","")</f>
        <v/>
      </c>
      <c r="T5258" s="79" t="str">
        <f>IF(ISERROR(FIND('112'!$M$9,G5258,1)),"",IF((AND(FIND('112'!$M$9,G5258,1)&gt;=1,B5258='112'!$K$9,OR($N5258='112'!$I$6,$O5258='112'!$I$6))),"x",""))</f>
        <v/>
      </c>
      <c r="U5258" s="79" t="str">
        <f>IF(ISERROR(FIND('112'!$M$9,G5258,1)),"",IF((AND(LEFT(G5258,2)=LEFT('112'!$M$9,2),B5258&lt;'112'!$K$9,$N5258='112'!$I$6)),"x",""))</f>
        <v/>
      </c>
      <c r="V5258" s="79" t="str">
        <f>IF(ISERROR(FIND('112'!$M$9,G5258,1)),"",IF((AND(RIGHT(G5258,2)=RIGHT('112'!$M$9,2),B5258&lt;'112'!$K$9,$O5258='112'!$I$6)),"x",""))</f>
        <v/>
      </c>
      <c r="W5258" s="79" t="str">
        <f>IF(AND('341-CT'!$H$9=H5258,OR(LEFT(N5258,3)=$W$7,LEFT(O5258,3)=$W$7)),"x","")</f>
        <v/>
      </c>
      <c r="X5258" s="79" t="str">
        <f>IF(OR(TH!N5258=TH!$X$7,O5258=TH!$X$7),"x","")</f>
        <v/>
      </c>
      <c r="Y5258" s="79" t="str">
        <f>IF(AND(OR(N5258="131",O5258="131"),H5258='131-CT'!$H$9),"x","")</f>
        <v/>
      </c>
      <c r="Z5258" s="79"/>
      <c r="AA5258" s="79" t="str">
        <f>IF(AND(MONTH(E5258)='IN-NX'!$J$5,'IN-NX'!$D$7=D5258),"x","")</f>
        <v/>
      </c>
      <c r="AB5258" s="79" t="str">
        <f>IF(AND(OR(LEFT(TH!N5258,2)="15",LEFT(TH!O5258,2)="15"),LEFT(TH!O5258,3)&lt;&gt;"111",'152-CT'!$J$8=TH!F5258),"x","")</f>
        <v/>
      </c>
      <c r="AC5258" s="79" t="str">
        <f>IF(AND(OR(LEFT(TH!N5258,2)="15",LEFT(TH!O5258,2)="15"),TK!$E$7=TH!F5258),"x","")</f>
        <v/>
      </c>
      <c r="AD5258" s="79" t="str">
        <f>IF(AND(N5258="1521",MONTH(C5258)='BK-NL'!$M$11),"x","")</f>
        <v/>
      </c>
    </row>
    <row r="5259" spans="1:30" ht="16.5" customHeight="1">
      <c r="A5259" s="318" t="str">
        <f>IF(B5259&lt;&gt;"",IF(AND(B5259='IN-TC'!$S$4,OR(TH!N5259="1111",TH!O5259="1111")),TH!D5259,""),"")</f>
        <v/>
      </c>
      <c r="B5259" s="60" t="str">
        <f t="shared" si="503"/>
        <v/>
      </c>
      <c r="C5259" s="61"/>
      <c r="D5259" s="61"/>
      <c r="E5259" s="61"/>
      <c r="F5259" s="69"/>
      <c r="G5259" s="766"/>
      <c r="H5259" s="69"/>
      <c r="I5259" s="385"/>
      <c r="J5259" s="392"/>
      <c r="K5259" s="385"/>
      <c r="L5259" s="392"/>
      <c r="M5259" s="62"/>
      <c r="N5259" s="63"/>
      <c r="O5259" s="63"/>
      <c r="P5259" s="79" t="str">
        <f>IF(AND('331-CT'!$E$7=TH!H5259,OR(N5259="331",O5259="331")),"x","")</f>
        <v/>
      </c>
      <c r="Q5259" s="79" t="str">
        <f>IF(AND(B5259='111'!$L$11,OR($N5259=$Q$7,$O5259=$Q$7)),"x","")</f>
        <v/>
      </c>
      <c r="R5259" s="79" t="str">
        <f>IF(AND($N5259=$Q$7,$B5259&lt;'111'!$L$11),"x","")</f>
        <v/>
      </c>
      <c r="S5259" s="79" t="str">
        <f>IF(AND($O5259=$Q$7,$B5259&lt;'111'!$L$11),"x","")</f>
        <v/>
      </c>
      <c r="T5259" s="79" t="str">
        <f>IF(ISERROR(FIND('112'!$M$9,G5259,1)),"",IF((AND(FIND('112'!$M$9,G5259,1)&gt;=1,B5259='112'!$K$9,OR($N5259='112'!$I$6,$O5259='112'!$I$6))),"x",""))</f>
        <v/>
      </c>
      <c r="U5259" s="79" t="str">
        <f>IF(ISERROR(FIND('112'!$M$9,G5259,1)),"",IF((AND(LEFT(G5259,2)=LEFT('112'!$M$9,2),B5259&lt;'112'!$K$9,$N5259='112'!$I$6)),"x",""))</f>
        <v/>
      </c>
      <c r="V5259" s="79" t="str">
        <f>IF(ISERROR(FIND('112'!$M$9,G5259,1)),"",IF((AND(RIGHT(G5259,2)=RIGHT('112'!$M$9,2),B5259&lt;'112'!$K$9,$O5259='112'!$I$6)),"x",""))</f>
        <v/>
      </c>
      <c r="W5259" s="79" t="str">
        <f>IF(AND('341-CT'!$H$9=H5259,OR(LEFT(N5259,3)=$W$7,LEFT(O5259,3)=$W$7)),"x","")</f>
        <v/>
      </c>
      <c r="X5259" s="79" t="str">
        <f>IF(OR(TH!N5259=TH!$X$7,O5259=TH!$X$7),"x","")</f>
        <v/>
      </c>
      <c r="Y5259" s="79" t="str">
        <f>IF(AND(OR(N5259="131",O5259="131"),H5259='131-CT'!$H$9),"x","")</f>
        <v/>
      </c>
      <c r="Z5259" s="79"/>
      <c r="AA5259" s="79" t="str">
        <f>IF(AND(MONTH(E5259)='IN-NX'!$J$5,'IN-NX'!$D$7=D5259),"x","")</f>
        <v/>
      </c>
      <c r="AB5259" s="79" t="str">
        <f>IF(AND(OR(LEFT(TH!N5259,2)="15",LEFT(TH!O5259,2)="15"),LEFT(TH!O5259,3)&lt;&gt;"111",'152-CT'!$J$8=TH!F5259),"x","")</f>
        <v/>
      </c>
      <c r="AC5259" s="79" t="str">
        <f>IF(AND(OR(LEFT(TH!N5259,2)="15",LEFT(TH!O5259,2)="15"),TK!$E$7=TH!F5259),"x","")</f>
        <v/>
      </c>
      <c r="AD5259" s="79" t="str">
        <f>IF(AND(N5259="1521",MONTH(C5259)='BK-NL'!$M$11),"x","")</f>
        <v/>
      </c>
    </row>
    <row r="5260" spans="1:30" ht="16.5" customHeight="1">
      <c r="A5260" s="318" t="str">
        <f>IF(B5260&lt;&gt;"",IF(AND(B5260='IN-TC'!$S$4,OR(TH!N5260="1111",TH!O5260="1111")),TH!D5260,""),"")</f>
        <v/>
      </c>
      <c r="B5260" s="60" t="str">
        <f t="shared" si="503"/>
        <v/>
      </c>
      <c r="C5260" s="61"/>
      <c r="D5260" s="61"/>
      <c r="E5260" s="61"/>
      <c r="F5260" s="69"/>
      <c r="G5260" s="766"/>
      <c r="H5260" s="69"/>
      <c r="I5260" s="385"/>
      <c r="J5260" s="392"/>
      <c r="K5260" s="385"/>
      <c r="L5260" s="392"/>
      <c r="M5260" s="62"/>
      <c r="N5260" s="63"/>
      <c r="O5260" s="63"/>
      <c r="P5260" s="79" t="str">
        <f>IF(AND('331-CT'!$E$7=TH!H5260,OR(N5260="331",O5260="331")),"x","")</f>
        <v/>
      </c>
      <c r="Q5260" s="79" t="str">
        <f>IF(AND(B5260='111'!$L$11,OR($N5260=$Q$7,$O5260=$Q$7)),"x","")</f>
        <v/>
      </c>
      <c r="R5260" s="79" t="str">
        <f>IF(AND($N5260=$Q$7,$B5260&lt;'111'!$L$11),"x","")</f>
        <v/>
      </c>
      <c r="S5260" s="79" t="str">
        <f>IF(AND($O5260=$Q$7,$B5260&lt;'111'!$L$11),"x","")</f>
        <v/>
      </c>
      <c r="T5260" s="79" t="str">
        <f>IF(ISERROR(FIND('112'!$M$9,G5260,1)),"",IF((AND(FIND('112'!$M$9,G5260,1)&gt;=1,B5260='112'!$K$9,OR($N5260='112'!$I$6,$O5260='112'!$I$6))),"x",""))</f>
        <v/>
      </c>
      <c r="U5260" s="79" t="str">
        <f>IF(ISERROR(FIND('112'!$M$9,G5260,1)),"",IF((AND(LEFT(G5260,2)=LEFT('112'!$M$9,2),B5260&lt;'112'!$K$9,$N5260='112'!$I$6)),"x",""))</f>
        <v/>
      </c>
      <c r="V5260" s="79" t="str">
        <f>IF(ISERROR(FIND('112'!$M$9,G5260,1)),"",IF((AND(RIGHT(G5260,2)=RIGHT('112'!$M$9,2),B5260&lt;'112'!$K$9,$O5260='112'!$I$6)),"x",""))</f>
        <v/>
      </c>
      <c r="W5260" s="79" t="str">
        <f>IF(AND('341-CT'!$H$9=H5260,OR(LEFT(N5260,3)=$W$7,LEFT(O5260,3)=$W$7)),"x","")</f>
        <v/>
      </c>
      <c r="X5260" s="79" t="str">
        <f>IF(OR(TH!N5260=TH!$X$7,O5260=TH!$X$7),"x","")</f>
        <v/>
      </c>
      <c r="Y5260" s="79" t="str">
        <f>IF(AND(OR(N5260="131",O5260="131"),H5260='131-CT'!$H$9),"x","")</f>
        <v/>
      </c>
      <c r="Z5260" s="79"/>
      <c r="AA5260" s="79" t="str">
        <f>IF(AND(MONTH(E5260)='IN-NX'!$J$5,'IN-NX'!$D$7=D5260),"x","")</f>
        <v/>
      </c>
      <c r="AB5260" s="79" t="str">
        <f>IF(AND(OR(LEFT(TH!N5260,2)="15",LEFT(TH!O5260,2)="15"),LEFT(TH!O5260,3)&lt;&gt;"111",'152-CT'!$J$8=TH!F5260),"x","")</f>
        <v/>
      </c>
      <c r="AC5260" s="79" t="str">
        <f>IF(AND(OR(LEFT(TH!N5260,2)="15",LEFT(TH!O5260,2)="15"),TK!$E$7=TH!F5260),"x","")</f>
        <v/>
      </c>
      <c r="AD5260" s="79" t="str">
        <f>IF(AND(N5260="1521",MONTH(C5260)='BK-NL'!$M$11),"x","")</f>
        <v/>
      </c>
    </row>
    <row r="5261" spans="1:30" ht="16.5" customHeight="1">
      <c r="A5261" s="318" t="str">
        <f>IF(B5261&lt;&gt;"",IF(AND(B5261='IN-TC'!$S$4,OR(TH!N5261="1111",TH!O5261="1111")),TH!D5261,""),"")</f>
        <v/>
      </c>
      <c r="B5261" s="60" t="str">
        <f t="shared" si="503"/>
        <v/>
      </c>
      <c r="C5261" s="61"/>
      <c r="D5261" s="61"/>
      <c r="E5261" s="61"/>
      <c r="F5261" s="69"/>
      <c r="G5261" s="766"/>
      <c r="H5261" s="69"/>
      <c r="I5261" s="385"/>
      <c r="J5261" s="392"/>
      <c r="K5261" s="385"/>
      <c r="L5261" s="392"/>
      <c r="M5261" s="62"/>
      <c r="N5261" s="63"/>
      <c r="O5261" s="63"/>
      <c r="P5261" s="79" t="str">
        <f>IF(AND('331-CT'!$E$7=TH!H5261,OR(N5261="331",O5261="331")),"x","")</f>
        <v/>
      </c>
      <c r="Q5261" s="79" t="str">
        <f>IF(AND(B5261='111'!$L$11,OR($N5261=$Q$7,$O5261=$Q$7)),"x","")</f>
        <v/>
      </c>
      <c r="R5261" s="79" t="str">
        <f>IF(AND($N5261=$Q$7,$B5261&lt;'111'!$L$11),"x","")</f>
        <v/>
      </c>
      <c r="S5261" s="79" t="str">
        <f>IF(AND($O5261=$Q$7,$B5261&lt;'111'!$L$11),"x","")</f>
        <v/>
      </c>
      <c r="T5261" s="79" t="str">
        <f>IF(ISERROR(FIND('112'!$M$9,G5261,1)),"",IF((AND(FIND('112'!$M$9,G5261,1)&gt;=1,B5261='112'!$K$9,OR($N5261='112'!$I$6,$O5261='112'!$I$6))),"x",""))</f>
        <v/>
      </c>
      <c r="U5261" s="79" t="str">
        <f>IF(ISERROR(FIND('112'!$M$9,G5261,1)),"",IF((AND(LEFT(G5261,2)=LEFT('112'!$M$9,2),B5261&lt;'112'!$K$9,$N5261='112'!$I$6)),"x",""))</f>
        <v/>
      </c>
      <c r="V5261" s="79" t="str">
        <f>IF(ISERROR(FIND('112'!$M$9,G5261,1)),"",IF((AND(RIGHT(G5261,2)=RIGHT('112'!$M$9,2),B5261&lt;'112'!$K$9,$O5261='112'!$I$6)),"x",""))</f>
        <v/>
      </c>
      <c r="W5261" s="79" t="str">
        <f>IF(AND('341-CT'!$H$9=H5261,OR(LEFT(N5261,3)=$W$7,LEFT(O5261,3)=$W$7)),"x","")</f>
        <v/>
      </c>
      <c r="X5261" s="79" t="str">
        <f>IF(OR(TH!N5261=TH!$X$7,O5261=TH!$X$7),"x","")</f>
        <v/>
      </c>
      <c r="Y5261" s="79" t="str">
        <f>IF(AND(OR(N5261="131",O5261="131"),H5261='131-CT'!$H$9),"x","")</f>
        <v/>
      </c>
      <c r="Z5261" s="79"/>
      <c r="AA5261" s="79" t="str">
        <f>IF(AND(MONTH(E5261)='IN-NX'!$J$5,'IN-NX'!$D$7=D5261),"x","")</f>
        <v/>
      </c>
      <c r="AB5261" s="79" t="str">
        <f>IF(AND(OR(LEFT(TH!N5261,2)="15",LEFT(TH!O5261,2)="15"),LEFT(TH!O5261,3)&lt;&gt;"111",'152-CT'!$J$8=TH!F5261),"x","")</f>
        <v/>
      </c>
      <c r="AC5261" s="79" t="str">
        <f>IF(AND(OR(LEFT(TH!N5261,2)="15",LEFT(TH!O5261,2)="15"),TK!$E$7=TH!F5261),"x","")</f>
        <v/>
      </c>
      <c r="AD5261" s="79" t="str">
        <f>IF(AND(N5261="1521",MONTH(C5261)='BK-NL'!$M$11),"x","")</f>
        <v/>
      </c>
    </row>
    <row r="5262" spans="1:30" ht="16.5" customHeight="1">
      <c r="A5262" s="318" t="str">
        <f>IF(B5262&lt;&gt;"",IF(AND(B5262='IN-TC'!$S$4,OR(TH!N5262="1111",TH!O5262="1111")),TH!D5262,""),"")</f>
        <v/>
      </c>
      <c r="B5262" s="60" t="str">
        <f t="shared" si="503"/>
        <v/>
      </c>
      <c r="C5262" s="61"/>
      <c r="D5262" s="61"/>
      <c r="E5262" s="61"/>
      <c r="F5262" s="69"/>
      <c r="G5262" s="766"/>
      <c r="H5262" s="69"/>
      <c r="I5262" s="385"/>
      <c r="J5262" s="392"/>
      <c r="K5262" s="385"/>
      <c r="L5262" s="392"/>
      <c r="M5262" s="62"/>
      <c r="N5262" s="63"/>
      <c r="O5262" s="63"/>
      <c r="P5262" s="79" t="str">
        <f>IF(AND('331-CT'!$E$7=TH!H5262,OR(N5262="331",O5262="331")),"x","")</f>
        <v/>
      </c>
      <c r="Q5262" s="79" t="str">
        <f>IF(AND(B5262='111'!$L$11,OR($N5262=$Q$7,$O5262=$Q$7)),"x","")</f>
        <v/>
      </c>
      <c r="R5262" s="79" t="str">
        <f>IF(AND($N5262=$Q$7,$B5262&lt;'111'!$L$11),"x","")</f>
        <v/>
      </c>
      <c r="S5262" s="79" t="str">
        <f>IF(AND($O5262=$Q$7,$B5262&lt;'111'!$L$11),"x","")</f>
        <v/>
      </c>
      <c r="T5262" s="79" t="str">
        <f>IF(ISERROR(FIND('112'!$M$9,G5262,1)),"",IF((AND(FIND('112'!$M$9,G5262,1)&gt;=1,B5262='112'!$K$9,OR($N5262='112'!$I$6,$O5262='112'!$I$6))),"x",""))</f>
        <v/>
      </c>
      <c r="U5262" s="79" t="str">
        <f>IF(ISERROR(FIND('112'!$M$9,G5262,1)),"",IF((AND(LEFT(G5262,2)=LEFT('112'!$M$9,2),B5262&lt;'112'!$K$9,$N5262='112'!$I$6)),"x",""))</f>
        <v/>
      </c>
      <c r="V5262" s="79" t="str">
        <f>IF(ISERROR(FIND('112'!$M$9,G5262,1)),"",IF((AND(RIGHT(G5262,2)=RIGHT('112'!$M$9,2),B5262&lt;'112'!$K$9,$O5262='112'!$I$6)),"x",""))</f>
        <v/>
      </c>
      <c r="W5262" s="79" t="str">
        <f>IF(AND('341-CT'!$H$9=H5262,OR(LEFT(N5262,3)=$W$7,LEFT(O5262,3)=$W$7)),"x","")</f>
        <v/>
      </c>
      <c r="X5262" s="79" t="str">
        <f>IF(OR(TH!N5262=TH!$X$7,O5262=TH!$X$7),"x","")</f>
        <v/>
      </c>
      <c r="Y5262" s="79" t="str">
        <f>IF(AND(OR(N5262="131",O5262="131"),H5262='131-CT'!$H$9),"x","")</f>
        <v/>
      </c>
      <c r="Z5262" s="79"/>
      <c r="AA5262" s="79" t="str">
        <f>IF(AND(MONTH(E5262)='IN-NX'!$J$5,'IN-NX'!$D$7=D5262),"x","")</f>
        <v/>
      </c>
      <c r="AB5262" s="79" t="str">
        <f>IF(AND(OR(LEFT(TH!N5262,2)="15",LEFT(TH!O5262,2)="15"),LEFT(TH!O5262,3)&lt;&gt;"111",'152-CT'!$J$8=TH!F5262),"x","")</f>
        <v/>
      </c>
      <c r="AC5262" s="79" t="str">
        <f>IF(AND(OR(LEFT(TH!N5262,2)="15",LEFT(TH!O5262,2)="15"),TK!$E$7=TH!F5262),"x","")</f>
        <v/>
      </c>
      <c r="AD5262" s="79" t="str">
        <f>IF(AND(N5262="1521",MONTH(C5262)='BK-NL'!$M$11),"x","")</f>
        <v/>
      </c>
    </row>
    <row r="5263" spans="1:30" ht="16.5" customHeight="1">
      <c r="A5263" s="318" t="str">
        <f>IF(B5263&lt;&gt;"",IF(AND(B5263='IN-TC'!$S$4,OR(TH!N5263="1111",TH!O5263="1111")),TH!D5263,""),"")</f>
        <v/>
      </c>
      <c r="B5263" s="60" t="str">
        <f t="shared" si="503"/>
        <v/>
      </c>
      <c r="C5263" s="61"/>
      <c r="D5263" s="61"/>
      <c r="E5263" s="61"/>
      <c r="F5263" s="69"/>
      <c r="G5263" s="766"/>
      <c r="H5263" s="69"/>
      <c r="I5263" s="385"/>
      <c r="J5263" s="392"/>
      <c r="K5263" s="385"/>
      <c r="L5263" s="392"/>
      <c r="M5263" s="62"/>
      <c r="N5263" s="63"/>
      <c r="O5263" s="63"/>
      <c r="P5263" s="79" t="str">
        <f>IF(AND('331-CT'!$E$7=TH!H5263,OR(N5263="331",O5263="331")),"x","")</f>
        <v/>
      </c>
      <c r="Q5263" s="79" t="str">
        <f>IF(AND(B5263='111'!$L$11,OR($N5263=$Q$7,$O5263=$Q$7)),"x","")</f>
        <v/>
      </c>
      <c r="R5263" s="79" t="str">
        <f>IF(AND($N5263=$Q$7,$B5263&lt;'111'!$L$11),"x","")</f>
        <v/>
      </c>
      <c r="S5263" s="79" t="str">
        <f>IF(AND($O5263=$Q$7,$B5263&lt;'111'!$L$11),"x","")</f>
        <v/>
      </c>
      <c r="T5263" s="79" t="str">
        <f>IF(ISERROR(FIND('112'!$M$9,G5263,1)),"",IF((AND(FIND('112'!$M$9,G5263,1)&gt;=1,B5263='112'!$K$9,OR($N5263='112'!$I$6,$O5263='112'!$I$6))),"x",""))</f>
        <v/>
      </c>
      <c r="U5263" s="79" t="str">
        <f>IF(ISERROR(FIND('112'!$M$9,G5263,1)),"",IF((AND(LEFT(G5263,2)=LEFT('112'!$M$9,2),B5263&lt;'112'!$K$9,$N5263='112'!$I$6)),"x",""))</f>
        <v/>
      </c>
      <c r="V5263" s="79" t="str">
        <f>IF(ISERROR(FIND('112'!$M$9,G5263,1)),"",IF((AND(RIGHT(G5263,2)=RIGHT('112'!$M$9,2),B5263&lt;'112'!$K$9,$O5263='112'!$I$6)),"x",""))</f>
        <v/>
      </c>
      <c r="W5263" s="79" t="str">
        <f>IF(AND('341-CT'!$H$9=H5263,OR(LEFT(N5263,3)=$W$7,LEFT(O5263,3)=$W$7)),"x","")</f>
        <v/>
      </c>
      <c r="X5263" s="79" t="str">
        <f>IF(OR(TH!N5263=TH!$X$7,O5263=TH!$X$7),"x","")</f>
        <v/>
      </c>
      <c r="Y5263" s="79" t="str">
        <f>IF(AND(OR(N5263="131",O5263="131"),H5263='131-CT'!$H$9),"x","")</f>
        <v/>
      </c>
      <c r="Z5263" s="79"/>
      <c r="AA5263" s="79" t="str">
        <f>IF(AND(MONTH(E5263)='IN-NX'!$J$5,'IN-NX'!$D$7=D5263),"x","")</f>
        <v/>
      </c>
      <c r="AB5263" s="79" t="str">
        <f>IF(AND(OR(LEFT(TH!N5263,2)="15",LEFT(TH!O5263,2)="15"),LEFT(TH!O5263,3)&lt;&gt;"111",'152-CT'!$J$8=TH!F5263),"x","")</f>
        <v/>
      </c>
      <c r="AC5263" s="79" t="str">
        <f>IF(AND(OR(LEFT(TH!N5263,2)="15",LEFT(TH!O5263,2)="15"),TK!$E$7=TH!F5263),"x","")</f>
        <v/>
      </c>
      <c r="AD5263" s="79" t="str">
        <f>IF(AND(N5263="1521",MONTH(C5263)='BK-NL'!$M$11),"x","")</f>
        <v/>
      </c>
    </row>
    <row r="5264" spans="1:30" ht="16.5" customHeight="1">
      <c r="A5264" s="318" t="str">
        <f>IF(B5264&lt;&gt;"",IF(AND(B5264='IN-TC'!$S$4,OR(TH!N5264="1111",TH!O5264="1111")),TH!D5264,""),"")</f>
        <v/>
      </c>
      <c r="B5264" s="60" t="str">
        <f t="shared" si="503"/>
        <v/>
      </c>
      <c r="C5264" s="61"/>
      <c r="D5264" s="61"/>
      <c r="E5264" s="61"/>
      <c r="F5264" s="69"/>
      <c r="G5264" s="766"/>
      <c r="H5264" s="69"/>
      <c r="I5264" s="385"/>
      <c r="J5264" s="392"/>
      <c r="K5264" s="385"/>
      <c r="L5264" s="392"/>
      <c r="M5264" s="62"/>
      <c r="N5264" s="63"/>
      <c r="O5264" s="63"/>
      <c r="P5264" s="79" t="str">
        <f>IF(AND('331-CT'!$E$7=TH!H5264,OR(N5264="331",O5264="331")),"x","")</f>
        <v/>
      </c>
      <c r="Q5264" s="79" t="str">
        <f>IF(AND(B5264='111'!$L$11,OR($N5264=$Q$7,$O5264=$Q$7)),"x","")</f>
        <v/>
      </c>
      <c r="R5264" s="79" t="str">
        <f>IF(AND($N5264=$Q$7,$B5264&lt;'111'!$L$11),"x","")</f>
        <v/>
      </c>
      <c r="S5264" s="79" t="str">
        <f>IF(AND($O5264=$Q$7,$B5264&lt;'111'!$L$11),"x","")</f>
        <v/>
      </c>
      <c r="T5264" s="79" t="str">
        <f>IF(ISERROR(FIND('112'!$M$9,G5264,1)),"",IF((AND(FIND('112'!$M$9,G5264,1)&gt;=1,B5264='112'!$K$9,OR($N5264='112'!$I$6,$O5264='112'!$I$6))),"x",""))</f>
        <v/>
      </c>
      <c r="U5264" s="79" t="str">
        <f>IF(ISERROR(FIND('112'!$M$9,G5264,1)),"",IF((AND(LEFT(G5264,2)=LEFT('112'!$M$9,2),B5264&lt;'112'!$K$9,$N5264='112'!$I$6)),"x",""))</f>
        <v/>
      </c>
      <c r="V5264" s="79" t="str">
        <f>IF(ISERROR(FIND('112'!$M$9,G5264,1)),"",IF((AND(RIGHT(G5264,2)=RIGHT('112'!$M$9,2),B5264&lt;'112'!$K$9,$O5264='112'!$I$6)),"x",""))</f>
        <v/>
      </c>
      <c r="W5264" s="79" t="str">
        <f>IF(AND('341-CT'!$H$9=H5264,OR(LEFT(N5264,3)=$W$7,LEFT(O5264,3)=$W$7)),"x","")</f>
        <v/>
      </c>
      <c r="X5264" s="79" t="str">
        <f>IF(OR(TH!N5264=TH!$X$7,O5264=TH!$X$7),"x","")</f>
        <v/>
      </c>
      <c r="Y5264" s="79" t="str">
        <f>IF(AND(OR(N5264="131",O5264="131"),H5264='131-CT'!$H$9),"x","")</f>
        <v/>
      </c>
      <c r="Z5264" s="79"/>
      <c r="AA5264" s="79" t="str">
        <f>IF(AND(MONTH(E5264)='IN-NX'!$J$5,'IN-NX'!$D$7=D5264),"x","")</f>
        <v/>
      </c>
      <c r="AB5264" s="79" t="str">
        <f>IF(AND(OR(LEFT(TH!N5264,2)="15",LEFT(TH!O5264,2)="15"),LEFT(TH!O5264,3)&lt;&gt;"111",'152-CT'!$J$8=TH!F5264),"x","")</f>
        <v/>
      </c>
      <c r="AC5264" s="79" t="str">
        <f>IF(AND(OR(LEFT(TH!N5264,2)="15",LEFT(TH!O5264,2)="15"),TK!$E$7=TH!F5264),"x","")</f>
        <v/>
      </c>
      <c r="AD5264" s="79" t="str">
        <f>IF(AND(N5264="1521",MONTH(C5264)='BK-NL'!$M$11),"x","")</f>
        <v/>
      </c>
    </row>
    <row r="5265" spans="1:30" ht="16.5" customHeight="1">
      <c r="A5265" s="318" t="str">
        <f>IF(B5265&lt;&gt;"",IF(AND(B5265='IN-TC'!$S$4,OR(TH!N5265="1111",TH!O5265="1111")),TH!D5265,""),"")</f>
        <v/>
      </c>
      <c r="B5265" s="60" t="str">
        <f t="shared" si="503"/>
        <v/>
      </c>
      <c r="C5265" s="61"/>
      <c r="D5265" s="61"/>
      <c r="E5265" s="61"/>
      <c r="F5265" s="69"/>
      <c r="G5265" s="766"/>
      <c r="H5265" s="69"/>
      <c r="I5265" s="385"/>
      <c r="J5265" s="392"/>
      <c r="K5265" s="385"/>
      <c r="L5265" s="392"/>
      <c r="M5265" s="62"/>
      <c r="N5265" s="63"/>
      <c r="O5265" s="63"/>
      <c r="P5265" s="79" t="str">
        <f>IF(AND('331-CT'!$E$7=TH!H5265,OR(N5265="331",O5265="331")),"x","")</f>
        <v/>
      </c>
      <c r="Q5265" s="79" t="str">
        <f>IF(AND(B5265='111'!$L$11,OR($N5265=$Q$7,$O5265=$Q$7)),"x","")</f>
        <v/>
      </c>
      <c r="R5265" s="79" t="str">
        <f>IF(AND($N5265=$Q$7,$B5265&lt;'111'!$L$11),"x","")</f>
        <v/>
      </c>
      <c r="S5265" s="79" t="str">
        <f>IF(AND($O5265=$Q$7,$B5265&lt;'111'!$L$11),"x","")</f>
        <v/>
      </c>
      <c r="T5265" s="79" t="str">
        <f>IF(ISERROR(FIND('112'!$M$9,G5265,1)),"",IF((AND(FIND('112'!$M$9,G5265,1)&gt;=1,B5265='112'!$K$9,OR($N5265='112'!$I$6,$O5265='112'!$I$6))),"x",""))</f>
        <v/>
      </c>
      <c r="U5265" s="79" t="str">
        <f>IF(ISERROR(FIND('112'!$M$9,G5265,1)),"",IF((AND(LEFT(G5265,2)=LEFT('112'!$M$9,2),B5265&lt;'112'!$K$9,$N5265='112'!$I$6)),"x",""))</f>
        <v/>
      </c>
      <c r="V5265" s="79" t="str">
        <f>IF(ISERROR(FIND('112'!$M$9,G5265,1)),"",IF((AND(RIGHT(G5265,2)=RIGHT('112'!$M$9,2),B5265&lt;'112'!$K$9,$O5265='112'!$I$6)),"x",""))</f>
        <v/>
      </c>
      <c r="W5265" s="79" t="str">
        <f>IF(AND('341-CT'!$H$9=H5265,OR(LEFT(N5265,3)=$W$7,LEFT(O5265,3)=$W$7)),"x","")</f>
        <v/>
      </c>
      <c r="X5265" s="79" t="str">
        <f>IF(OR(TH!N5265=TH!$X$7,O5265=TH!$X$7),"x","")</f>
        <v/>
      </c>
      <c r="Y5265" s="79" t="str">
        <f>IF(AND(OR(N5265="131",O5265="131"),H5265='131-CT'!$H$9),"x","")</f>
        <v/>
      </c>
      <c r="Z5265" s="79"/>
      <c r="AA5265" s="79" t="str">
        <f>IF(AND(MONTH(E5265)='IN-NX'!$J$5,'IN-NX'!$D$7=D5265),"x","")</f>
        <v/>
      </c>
      <c r="AB5265" s="79" t="str">
        <f>IF(AND(OR(LEFT(TH!N5265,2)="15",LEFT(TH!O5265,2)="15"),LEFT(TH!O5265,3)&lt;&gt;"111",'152-CT'!$J$8=TH!F5265),"x","")</f>
        <v/>
      </c>
      <c r="AC5265" s="79" t="str">
        <f>IF(AND(OR(LEFT(TH!N5265,2)="15",LEFT(TH!O5265,2)="15"),TK!$E$7=TH!F5265),"x","")</f>
        <v/>
      </c>
      <c r="AD5265" s="79" t="str">
        <f>IF(AND(N5265="1521",MONTH(C5265)='BK-NL'!$M$11),"x","")</f>
        <v/>
      </c>
    </row>
    <row r="5266" spans="1:30" ht="16.5" customHeight="1">
      <c r="A5266" s="318" t="str">
        <f>IF(B5266&lt;&gt;"",IF(AND(B5266='IN-TC'!$S$4,OR(TH!N5266="1111",TH!O5266="1111")),TH!D5266,""),"")</f>
        <v/>
      </c>
      <c r="B5266" s="60" t="str">
        <f t="shared" si="503"/>
        <v/>
      </c>
      <c r="C5266" s="61"/>
      <c r="D5266" s="61"/>
      <c r="E5266" s="61"/>
      <c r="F5266" s="69"/>
      <c r="G5266" s="766"/>
      <c r="H5266" s="69"/>
      <c r="I5266" s="385"/>
      <c r="J5266" s="392"/>
      <c r="K5266" s="385"/>
      <c r="L5266" s="392"/>
      <c r="M5266" s="62"/>
      <c r="N5266" s="63"/>
      <c r="O5266" s="63"/>
      <c r="P5266" s="79" t="str">
        <f>IF(AND('331-CT'!$E$7=TH!H5266,OR(N5266="331",O5266="331")),"x","")</f>
        <v/>
      </c>
      <c r="Q5266" s="79" t="str">
        <f>IF(AND(B5266='111'!$L$11,OR($N5266=$Q$7,$O5266=$Q$7)),"x","")</f>
        <v/>
      </c>
      <c r="R5266" s="79" t="str">
        <f>IF(AND($N5266=$Q$7,$B5266&lt;'111'!$L$11),"x","")</f>
        <v/>
      </c>
      <c r="S5266" s="79" t="str">
        <f>IF(AND($O5266=$Q$7,$B5266&lt;'111'!$L$11),"x","")</f>
        <v/>
      </c>
      <c r="T5266" s="79" t="str">
        <f>IF(ISERROR(FIND('112'!$M$9,G5266,1)),"",IF((AND(FIND('112'!$M$9,G5266,1)&gt;=1,B5266='112'!$K$9,OR($N5266='112'!$I$6,$O5266='112'!$I$6))),"x",""))</f>
        <v/>
      </c>
      <c r="U5266" s="79" t="str">
        <f>IF(ISERROR(FIND('112'!$M$9,G5266,1)),"",IF((AND(LEFT(G5266,2)=LEFT('112'!$M$9,2),B5266&lt;'112'!$K$9,$N5266='112'!$I$6)),"x",""))</f>
        <v/>
      </c>
      <c r="V5266" s="79" t="str">
        <f>IF(ISERROR(FIND('112'!$M$9,G5266,1)),"",IF((AND(RIGHT(G5266,2)=RIGHT('112'!$M$9,2),B5266&lt;'112'!$K$9,$O5266='112'!$I$6)),"x",""))</f>
        <v/>
      </c>
      <c r="W5266" s="79" t="str">
        <f>IF(AND('341-CT'!$H$9=H5266,OR(LEFT(N5266,3)=$W$7,LEFT(O5266,3)=$W$7)),"x","")</f>
        <v/>
      </c>
      <c r="X5266" s="79" t="str">
        <f>IF(OR(TH!N5266=TH!$X$7,O5266=TH!$X$7),"x","")</f>
        <v/>
      </c>
      <c r="Y5266" s="79" t="str">
        <f>IF(AND(OR(N5266="131",O5266="131"),H5266='131-CT'!$H$9),"x","")</f>
        <v/>
      </c>
      <c r="Z5266" s="79"/>
      <c r="AA5266" s="79" t="str">
        <f>IF(AND(MONTH(E5266)='IN-NX'!$J$5,'IN-NX'!$D$7=D5266),"x","")</f>
        <v/>
      </c>
      <c r="AB5266" s="79" t="str">
        <f>IF(AND(OR(LEFT(TH!N5266,2)="15",LEFT(TH!O5266,2)="15"),LEFT(TH!O5266,3)&lt;&gt;"111",'152-CT'!$J$8=TH!F5266),"x","")</f>
        <v/>
      </c>
      <c r="AC5266" s="79" t="str">
        <f>IF(AND(OR(LEFT(TH!N5266,2)="15",LEFT(TH!O5266,2)="15"),TK!$E$7=TH!F5266),"x","")</f>
        <v/>
      </c>
      <c r="AD5266" s="79" t="str">
        <f>IF(AND(N5266="1521",MONTH(C5266)='BK-NL'!$M$11),"x","")</f>
        <v/>
      </c>
    </row>
    <row r="5267" spans="1:30" ht="16.5" customHeight="1">
      <c r="A5267" s="318" t="str">
        <f>IF(B5267&lt;&gt;"",IF(AND(B5267='IN-TC'!$S$4,OR(TH!N5267="1111",TH!O5267="1111")),TH!D5267,""),"")</f>
        <v/>
      </c>
      <c r="B5267" s="60" t="str">
        <f t="shared" si="503"/>
        <v/>
      </c>
      <c r="C5267" s="61"/>
      <c r="D5267" s="61"/>
      <c r="E5267" s="61"/>
      <c r="F5267" s="69"/>
      <c r="G5267" s="766"/>
      <c r="H5267" s="69"/>
      <c r="I5267" s="385"/>
      <c r="J5267" s="392"/>
      <c r="K5267" s="385"/>
      <c r="L5267" s="392"/>
      <c r="M5267" s="62"/>
      <c r="N5267" s="63"/>
      <c r="O5267" s="63"/>
      <c r="P5267" s="79" t="str">
        <f>IF(AND('331-CT'!$E$7=TH!H5267,OR(N5267="331",O5267="331")),"x","")</f>
        <v/>
      </c>
      <c r="Q5267" s="79" t="str">
        <f>IF(AND(B5267='111'!$L$11,OR($N5267=$Q$7,$O5267=$Q$7)),"x","")</f>
        <v/>
      </c>
      <c r="R5267" s="79" t="str">
        <f>IF(AND($N5267=$Q$7,$B5267&lt;'111'!$L$11),"x","")</f>
        <v/>
      </c>
      <c r="S5267" s="79" t="str">
        <f>IF(AND($O5267=$Q$7,$B5267&lt;'111'!$L$11),"x","")</f>
        <v/>
      </c>
      <c r="T5267" s="79" t="str">
        <f>IF(ISERROR(FIND('112'!$M$9,G5267,1)),"",IF((AND(FIND('112'!$M$9,G5267,1)&gt;=1,B5267='112'!$K$9,OR($N5267='112'!$I$6,$O5267='112'!$I$6))),"x",""))</f>
        <v/>
      </c>
      <c r="U5267" s="79" t="str">
        <f>IF(ISERROR(FIND('112'!$M$9,G5267,1)),"",IF((AND(LEFT(G5267,2)=LEFT('112'!$M$9,2),B5267&lt;'112'!$K$9,$N5267='112'!$I$6)),"x",""))</f>
        <v/>
      </c>
      <c r="V5267" s="79" t="str">
        <f>IF(ISERROR(FIND('112'!$M$9,G5267,1)),"",IF((AND(RIGHT(G5267,2)=RIGHT('112'!$M$9,2),B5267&lt;'112'!$K$9,$O5267='112'!$I$6)),"x",""))</f>
        <v/>
      </c>
      <c r="W5267" s="79" t="str">
        <f>IF(AND('341-CT'!$H$9=H5267,OR(LEFT(N5267,3)=$W$7,LEFT(O5267,3)=$W$7)),"x","")</f>
        <v/>
      </c>
      <c r="X5267" s="79" t="str">
        <f>IF(OR(TH!N5267=TH!$X$7,O5267=TH!$X$7),"x","")</f>
        <v/>
      </c>
      <c r="Y5267" s="79" t="str">
        <f>IF(AND(OR(N5267="131",O5267="131"),H5267='131-CT'!$H$9),"x","")</f>
        <v/>
      </c>
      <c r="Z5267" s="79"/>
      <c r="AA5267" s="79" t="str">
        <f>IF(AND(MONTH(E5267)='IN-NX'!$J$5,'IN-NX'!$D$7=D5267),"x","")</f>
        <v/>
      </c>
      <c r="AB5267" s="79" t="str">
        <f>IF(AND(OR(LEFT(TH!N5267,2)="15",LEFT(TH!O5267,2)="15"),LEFT(TH!O5267,3)&lt;&gt;"111",'152-CT'!$J$8=TH!F5267),"x","")</f>
        <v/>
      </c>
      <c r="AC5267" s="79" t="str">
        <f>IF(AND(OR(LEFT(TH!N5267,2)="15",LEFT(TH!O5267,2)="15"),TK!$E$7=TH!F5267),"x","")</f>
        <v/>
      </c>
      <c r="AD5267" s="79" t="str">
        <f>IF(AND(N5267="1521",MONTH(C5267)='BK-NL'!$M$11),"x","")</f>
        <v/>
      </c>
    </row>
    <row r="5268" spans="1:30" ht="16.5" customHeight="1">
      <c r="A5268" s="318" t="str">
        <f>IF(B5268&lt;&gt;"",IF(AND(B5268='IN-TC'!$S$4,OR(TH!N5268="1111",TH!O5268="1111")),TH!D5268,""),"")</f>
        <v/>
      </c>
      <c r="B5268" s="60" t="str">
        <f t="shared" si="503"/>
        <v/>
      </c>
      <c r="C5268" s="61"/>
      <c r="D5268" s="61"/>
      <c r="E5268" s="61"/>
      <c r="F5268" s="69"/>
      <c r="G5268" s="766"/>
      <c r="H5268" s="69"/>
      <c r="I5268" s="385"/>
      <c r="J5268" s="392"/>
      <c r="K5268" s="385"/>
      <c r="L5268" s="392"/>
      <c r="M5268" s="62"/>
      <c r="N5268" s="63"/>
      <c r="O5268" s="63"/>
      <c r="P5268" s="79" t="str">
        <f>IF(AND('331-CT'!$E$7=TH!H5268,OR(N5268="331",O5268="331")),"x","")</f>
        <v/>
      </c>
      <c r="Q5268" s="79" t="str">
        <f>IF(AND(B5268='111'!$L$11,OR($N5268=$Q$7,$O5268=$Q$7)),"x","")</f>
        <v/>
      </c>
      <c r="R5268" s="79" t="str">
        <f>IF(AND($N5268=$Q$7,$B5268&lt;'111'!$L$11),"x","")</f>
        <v/>
      </c>
      <c r="S5268" s="79" t="str">
        <f>IF(AND($O5268=$Q$7,$B5268&lt;'111'!$L$11),"x","")</f>
        <v/>
      </c>
      <c r="T5268" s="79" t="str">
        <f>IF(ISERROR(FIND('112'!$M$9,G5268,1)),"",IF((AND(FIND('112'!$M$9,G5268,1)&gt;=1,B5268='112'!$K$9,OR($N5268='112'!$I$6,$O5268='112'!$I$6))),"x",""))</f>
        <v/>
      </c>
      <c r="U5268" s="79" t="str">
        <f>IF(ISERROR(FIND('112'!$M$9,G5268,1)),"",IF((AND(LEFT(G5268,2)=LEFT('112'!$M$9,2),B5268&lt;'112'!$K$9,$N5268='112'!$I$6)),"x",""))</f>
        <v/>
      </c>
      <c r="V5268" s="79" t="str">
        <f>IF(ISERROR(FIND('112'!$M$9,G5268,1)),"",IF((AND(RIGHT(G5268,2)=RIGHT('112'!$M$9,2),B5268&lt;'112'!$K$9,$O5268='112'!$I$6)),"x",""))</f>
        <v/>
      </c>
      <c r="W5268" s="79" t="str">
        <f>IF(AND('341-CT'!$H$9=H5268,OR(LEFT(N5268,3)=$W$7,LEFT(O5268,3)=$W$7)),"x","")</f>
        <v/>
      </c>
      <c r="X5268" s="79" t="str">
        <f>IF(OR(TH!N5268=TH!$X$7,O5268=TH!$X$7),"x","")</f>
        <v/>
      </c>
      <c r="Y5268" s="79" t="str">
        <f>IF(AND(OR(N5268="131",O5268="131"),H5268='131-CT'!$H$9),"x","")</f>
        <v/>
      </c>
      <c r="Z5268" s="79"/>
      <c r="AA5268" s="79" t="str">
        <f>IF(AND(MONTH(E5268)='IN-NX'!$J$5,'IN-NX'!$D$7=D5268),"x","")</f>
        <v/>
      </c>
      <c r="AB5268" s="79" t="str">
        <f>IF(AND(OR(LEFT(TH!N5268,2)="15",LEFT(TH!O5268,2)="15"),LEFT(TH!O5268,3)&lt;&gt;"111",'152-CT'!$J$8=TH!F5268),"x","")</f>
        <v/>
      </c>
      <c r="AC5268" s="79" t="str">
        <f>IF(AND(OR(LEFT(TH!N5268,2)="15",LEFT(TH!O5268,2)="15"),TK!$E$7=TH!F5268),"x","")</f>
        <v/>
      </c>
      <c r="AD5268" s="79" t="str">
        <f>IF(AND(N5268="1521",MONTH(C5268)='BK-NL'!$M$11),"x","")</f>
        <v/>
      </c>
    </row>
    <row r="5269" spans="1:30" ht="16.5" customHeight="1">
      <c r="A5269" s="318" t="str">
        <f>IF(B5269&lt;&gt;"",IF(AND(B5269='IN-TC'!$S$4,OR(TH!N5269="1111",TH!O5269="1111")),TH!D5269,""),"")</f>
        <v/>
      </c>
      <c r="B5269" s="60" t="str">
        <f t="shared" si="503"/>
        <v/>
      </c>
      <c r="C5269" s="61"/>
      <c r="D5269" s="61"/>
      <c r="E5269" s="61"/>
      <c r="F5269" s="69"/>
      <c r="G5269" s="766"/>
      <c r="H5269" s="69"/>
      <c r="I5269" s="385"/>
      <c r="J5269" s="392"/>
      <c r="K5269" s="385"/>
      <c r="L5269" s="392"/>
      <c r="M5269" s="62"/>
      <c r="N5269" s="63"/>
      <c r="O5269" s="63"/>
      <c r="P5269" s="79" t="str">
        <f>IF(AND('331-CT'!$E$7=TH!H5269,OR(N5269="331",O5269="331")),"x","")</f>
        <v/>
      </c>
      <c r="Q5269" s="79" t="str">
        <f>IF(AND(B5269='111'!$L$11,OR($N5269=$Q$7,$O5269=$Q$7)),"x","")</f>
        <v/>
      </c>
      <c r="R5269" s="79" t="str">
        <f>IF(AND($N5269=$Q$7,$B5269&lt;'111'!$L$11),"x","")</f>
        <v/>
      </c>
      <c r="S5269" s="79" t="str">
        <f>IF(AND($O5269=$Q$7,$B5269&lt;'111'!$L$11),"x","")</f>
        <v/>
      </c>
      <c r="T5269" s="79" t="str">
        <f>IF(ISERROR(FIND('112'!$M$9,G5269,1)),"",IF((AND(FIND('112'!$M$9,G5269,1)&gt;=1,B5269='112'!$K$9,OR($N5269='112'!$I$6,$O5269='112'!$I$6))),"x",""))</f>
        <v/>
      </c>
      <c r="U5269" s="79" t="str">
        <f>IF(ISERROR(FIND('112'!$M$9,G5269,1)),"",IF((AND(LEFT(G5269,2)=LEFT('112'!$M$9,2),B5269&lt;'112'!$K$9,$N5269='112'!$I$6)),"x",""))</f>
        <v/>
      </c>
      <c r="V5269" s="79" t="str">
        <f>IF(ISERROR(FIND('112'!$M$9,G5269,1)),"",IF((AND(RIGHT(G5269,2)=RIGHT('112'!$M$9,2),B5269&lt;'112'!$K$9,$O5269='112'!$I$6)),"x",""))</f>
        <v/>
      </c>
      <c r="W5269" s="79" t="str">
        <f>IF(AND('341-CT'!$H$9=H5269,OR(LEFT(N5269,3)=$W$7,LEFT(O5269,3)=$W$7)),"x","")</f>
        <v/>
      </c>
      <c r="X5269" s="79" t="str">
        <f>IF(OR(TH!N5269=TH!$X$7,O5269=TH!$X$7),"x","")</f>
        <v/>
      </c>
      <c r="Y5269" s="79" t="str">
        <f>IF(AND(OR(N5269="131",O5269="131"),H5269='131-CT'!$H$9),"x","")</f>
        <v/>
      </c>
      <c r="Z5269" s="79"/>
      <c r="AA5269" s="79" t="str">
        <f>IF(AND(MONTH(E5269)='IN-NX'!$J$5,'IN-NX'!$D$7=D5269),"x","")</f>
        <v/>
      </c>
      <c r="AB5269" s="79" t="str">
        <f>IF(AND(OR(LEFT(TH!N5269,2)="15",LEFT(TH!O5269,2)="15"),LEFT(TH!O5269,3)&lt;&gt;"111",'152-CT'!$J$8=TH!F5269),"x","")</f>
        <v/>
      </c>
      <c r="AC5269" s="79" t="str">
        <f>IF(AND(OR(LEFT(TH!N5269,2)="15",LEFT(TH!O5269,2)="15"),TK!$E$7=TH!F5269),"x","")</f>
        <v/>
      </c>
      <c r="AD5269" s="79" t="str">
        <f>IF(AND(N5269="1521",MONTH(C5269)='BK-NL'!$M$11),"x","")</f>
        <v/>
      </c>
    </row>
    <row r="5270" spans="1:30" ht="16.5" customHeight="1">
      <c r="A5270" s="318" t="str">
        <f>IF(B5270&lt;&gt;"",IF(AND(B5270='IN-TC'!$S$4,OR(TH!N5270="1111",TH!O5270="1111")),TH!D5270,""),"")</f>
        <v/>
      </c>
      <c r="B5270" s="60" t="str">
        <f t="shared" si="503"/>
        <v/>
      </c>
      <c r="C5270" s="61"/>
      <c r="D5270" s="61"/>
      <c r="E5270" s="61"/>
      <c r="F5270" s="69"/>
      <c r="G5270" s="766"/>
      <c r="H5270" s="69"/>
      <c r="I5270" s="385"/>
      <c r="J5270" s="392"/>
      <c r="K5270" s="385"/>
      <c r="L5270" s="392"/>
      <c r="M5270" s="62"/>
      <c r="N5270" s="63"/>
      <c r="O5270" s="63"/>
      <c r="P5270" s="79" t="str">
        <f>IF(AND('331-CT'!$E$7=TH!H5270,OR(N5270="331",O5270="331")),"x","")</f>
        <v/>
      </c>
      <c r="Q5270" s="79" t="str">
        <f>IF(AND(B5270='111'!$L$11,OR($N5270=$Q$7,$O5270=$Q$7)),"x","")</f>
        <v/>
      </c>
      <c r="R5270" s="79" t="str">
        <f>IF(AND($N5270=$Q$7,$B5270&lt;'111'!$L$11),"x","")</f>
        <v/>
      </c>
      <c r="S5270" s="79" t="str">
        <f>IF(AND($O5270=$Q$7,$B5270&lt;'111'!$L$11),"x","")</f>
        <v/>
      </c>
      <c r="T5270" s="79" t="str">
        <f>IF(ISERROR(FIND('112'!$M$9,G5270,1)),"",IF((AND(FIND('112'!$M$9,G5270,1)&gt;=1,B5270='112'!$K$9,OR($N5270='112'!$I$6,$O5270='112'!$I$6))),"x",""))</f>
        <v/>
      </c>
      <c r="U5270" s="79" t="str">
        <f>IF(ISERROR(FIND('112'!$M$9,G5270,1)),"",IF((AND(LEFT(G5270,2)=LEFT('112'!$M$9,2),B5270&lt;'112'!$K$9,$N5270='112'!$I$6)),"x",""))</f>
        <v/>
      </c>
      <c r="V5270" s="79" t="str">
        <f>IF(ISERROR(FIND('112'!$M$9,G5270,1)),"",IF((AND(RIGHT(G5270,2)=RIGHT('112'!$M$9,2),B5270&lt;'112'!$K$9,$O5270='112'!$I$6)),"x",""))</f>
        <v/>
      </c>
      <c r="W5270" s="79" t="str">
        <f>IF(AND('341-CT'!$H$9=H5270,OR(LEFT(N5270,3)=$W$7,LEFT(O5270,3)=$W$7)),"x","")</f>
        <v/>
      </c>
      <c r="X5270" s="79" t="str">
        <f>IF(OR(TH!N5270=TH!$X$7,O5270=TH!$X$7),"x","")</f>
        <v/>
      </c>
      <c r="Y5270" s="79" t="str">
        <f>IF(AND(OR(N5270="131",O5270="131"),H5270='131-CT'!$H$9),"x","")</f>
        <v/>
      </c>
      <c r="Z5270" s="79"/>
      <c r="AA5270" s="79" t="str">
        <f>IF(AND(MONTH(E5270)='IN-NX'!$J$5,'IN-NX'!$D$7=D5270),"x","")</f>
        <v/>
      </c>
      <c r="AB5270" s="79" t="str">
        <f>IF(AND(OR(LEFT(TH!N5270,2)="15",LEFT(TH!O5270,2)="15"),LEFT(TH!O5270,3)&lt;&gt;"111",'152-CT'!$J$8=TH!F5270),"x","")</f>
        <v/>
      </c>
      <c r="AC5270" s="79" t="str">
        <f>IF(AND(OR(LEFT(TH!N5270,2)="15",LEFT(TH!O5270,2)="15"),TK!$E$7=TH!F5270),"x","")</f>
        <v/>
      </c>
      <c r="AD5270" s="79" t="str">
        <f>IF(AND(N5270="1521",MONTH(C5270)='BK-NL'!$M$11),"x","")</f>
        <v/>
      </c>
    </row>
    <row r="5271" spans="1:30" ht="16.5" customHeight="1">
      <c r="A5271" s="318" t="str">
        <f>IF(B5271&lt;&gt;"",IF(AND(B5271='IN-TC'!$S$4,OR(TH!N5271="1111",TH!O5271="1111")),TH!D5271,""),"")</f>
        <v/>
      </c>
      <c r="B5271" s="60" t="str">
        <f t="shared" si="503"/>
        <v/>
      </c>
      <c r="C5271" s="61"/>
      <c r="D5271" s="61"/>
      <c r="E5271" s="61"/>
      <c r="F5271" s="69"/>
      <c r="G5271" s="766"/>
      <c r="H5271" s="69"/>
      <c r="I5271" s="385"/>
      <c r="J5271" s="392"/>
      <c r="K5271" s="385"/>
      <c r="L5271" s="392"/>
      <c r="M5271" s="62"/>
      <c r="N5271" s="63"/>
      <c r="O5271" s="63"/>
      <c r="P5271" s="79" t="str">
        <f>IF(AND('331-CT'!$E$7=TH!H5271,OR(N5271="331",O5271="331")),"x","")</f>
        <v/>
      </c>
      <c r="Q5271" s="79" t="str">
        <f>IF(AND(B5271='111'!$L$11,OR($N5271=$Q$7,$O5271=$Q$7)),"x","")</f>
        <v/>
      </c>
      <c r="R5271" s="79" t="str">
        <f>IF(AND($N5271=$Q$7,$B5271&lt;'111'!$L$11),"x","")</f>
        <v/>
      </c>
      <c r="S5271" s="79" t="str">
        <f>IF(AND($O5271=$Q$7,$B5271&lt;'111'!$L$11),"x","")</f>
        <v/>
      </c>
      <c r="T5271" s="79" t="str">
        <f>IF(ISERROR(FIND('112'!$M$9,G5271,1)),"",IF((AND(FIND('112'!$M$9,G5271,1)&gt;=1,B5271='112'!$K$9,OR($N5271='112'!$I$6,$O5271='112'!$I$6))),"x",""))</f>
        <v/>
      </c>
      <c r="U5271" s="79" t="str">
        <f>IF(ISERROR(FIND('112'!$M$9,G5271,1)),"",IF((AND(LEFT(G5271,2)=LEFT('112'!$M$9,2),B5271&lt;'112'!$K$9,$N5271='112'!$I$6)),"x",""))</f>
        <v/>
      </c>
      <c r="V5271" s="79" t="str">
        <f>IF(ISERROR(FIND('112'!$M$9,G5271,1)),"",IF((AND(RIGHT(G5271,2)=RIGHT('112'!$M$9,2),B5271&lt;'112'!$K$9,$O5271='112'!$I$6)),"x",""))</f>
        <v/>
      </c>
      <c r="W5271" s="79" t="str">
        <f>IF(AND('341-CT'!$H$9=H5271,OR(LEFT(N5271,3)=$W$7,LEFT(O5271,3)=$W$7)),"x","")</f>
        <v/>
      </c>
      <c r="X5271" s="79" t="str">
        <f>IF(OR(TH!N5271=TH!$X$7,O5271=TH!$X$7),"x","")</f>
        <v/>
      </c>
      <c r="Y5271" s="79" t="str">
        <f>IF(AND(OR(N5271="131",O5271="131"),H5271='131-CT'!$H$9),"x","")</f>
        <v/>
      </c>
      <c r="Z5271" s="79"/>
      <c r="AA5271" s="79" t="str">
        <f>IF(AND(MONTH(E5271)='IN-NX'!$J$5,'IN-NX'!$D$7=D5271),"x","")</f>
        <v/>
      </c>
      <c r="AB5271" s="79" t="str">
        <f>IF(AND(OR(LEFT(TH!N5271,2)="15",LEFT(TH!O5271,2)="15"),LEFT(TH!O5271,3)&lt;&gt;"111",'152-CT'!$J$8=TH!F5271),"x","")</f>
        <v/>
      </c>
      <c r="AC5271" s="79" t="str">
        <f>IF(AND(OR(LEFT(TH!N5271,2)="15",LEFT(TH!O5271,2)="15"),TK!$E$7=TH!F5271),"x","")</f>
        <v/>
      </c>
      <c r="AD5271" s="79" t="str">
        <f>IF(AND(N5271="1521",MONTH(C5271)='BK-NL'!$M$11),"x","")</f>
        <v/>
      </c>
    </row>
    <row r="5272" spans="1:30" ht="16.5" customHeight="1">
      <c r="A5272" s="318" t="str">
        <f>IF(B5272&lt;&gt;"",IF(AND(B5272='IN-TC'!$S$4,OR(TH!N5272="1111",TH!O5272="1111")),TH!D5272,""),"")</f>
        <v/>
      </c>
      <c r="B5272" s="60" t="str">
        <f t="shared" si="503"/>
        <v/>
      </c>
      <c r="C5272" s="61"/>
      <c r="D5272" s="61"/>
      <c r="E5272" s="61"/>
      <c r="F5272" s="69"/>
      <c r="G5272" s="766"/>
      <c r="H5272" s="69"/>
      <c r="I5272" s="385"/>
      <c r="J5272" s="392"/>
      <c r="K5272" s="385"/>
      <c r="L5272" s="392"/>
      <c r="M5272" s="62"/>
      <c r="N5272" s="63"/>
      <c r="O5272" s="63"/>
      <c r="P5272" s="79" t="str">
        <f>IF(AND('331-CT'!$E$7=TH!H5272,OR(N5272="331",O5272="331")),"x","")</f>
        <v/>
      </c>
      <c r="Q5272" s="79" t="str">
        <f>IF(AND(B5272='111'!$L$11,OR($N5272=$Q$7,$O5272=$Q$7)),"x","")</f>
        <v/>
      </c>
      <c r="R5272" s="79" t="str">
        <f>IF(AND($N5272=$Q$7,$B5272&lt;'111'!$L$11),"x","")</f>
        <v/>
      </c>
      <c r="S5272" s="79" t="str">
        <f>IF(AND($O5272=$Q$7,$B5272&lt;'111'!$L$11),"x","")</f>
        <v/>
      </c>
      <c r="T5272" s="79" t="str">
        <f>IF(ISERROR(FIND('112'!$M$9,G5272,1)),"",IF((AND(FIND('112'!$M$9,G5272,1)&gt;=1,B5272='112'!$K$9,OR($N5272='112'!$I$6,$O5272='112'!$I$6))),"x",""))</f>
        <v/>
      </c>
      <c r="U5272" s="79" t="str">
        <f>IF(ISERROR(FIND('112'!$M$9,G5272,1)),"",IF((AND(LEFT(G5272,2)=LEFT('112'!$M$9,2),B5272&lt;'112'!$K$9,$N5272='112'!$I$6)),"x",""))</f>
        <v/>
      </c>
      <c r="V5272" s="79" t="str">
        <f>IF(ISERROR(FIND('112'!$M$9,G5272,1)),"",IF((AND(RIGHT(G5272,2)=RIGHT('112'!$M$9,2),B5272&lt;'112'!$K$9,$O5272='112'!$I$6)),"x",""))</f>
        <v/>
      </c>
      <c r="W5272" s="79" t="str">
        <f>IF(AND('341-CT'!$H$9=H5272,OR(LEFT(N5272,3)=$W$7,LEFT(O5272,3)=$W$7)),"x","")</f>
        <v/>
      </c>
      <c r="X5272" s="79" t="str">
        <f>IF(OR(TH!N5272=TH!$X$7,O5272=TH!$X$7),"x","")</f>
        <v/>
      </c>
      <c r="Y5272" s="79" t="str">
        <f>IF(AND(OR(N5272="131",O5272="131"),H5272='131-CT'!$H$9),"x","")</f>
        <v/>
      </c>
      <c r="Z5272" s="79"/>
      <c r="AA5272" s="79" t="str">
        <f>IF(AND(MONTH(E5272)='IN-NX'!$J$5,'IN-NX'!$D$7=D5272),"x","")</f>
        <v/>
      </c>
      <c r="AB5272" s="79" t="str">
        <f>IF(AND(OR(LEFT(TH!N5272,2)="15",LEFT(TH!O5272,2)="15"),LEFT(TH!O5272,3)&lt;&gt;"111",'152-CT'!$J$8=TH!F5272),"x","")</f>
        <v/>
      </c>
      <c r="AC5272" s="79" t="str">
        <f>IF(AND(OR(LEFT(TH!N5272,2)="15",LEFT(TH!O5272,2)="15"),TK!$E$7=TH!F5272),"x","")</f>
        <v/>
      </c>
      <c r="AD5272" s="79" t="str">
        <f>IF(AND(N5272="1521",MONTH(C5272)='BK-NL'!$M$11),"x","")</f>
        <v/>
      </c>
    </row>
    <row r="5273" spans="1:30" ht="16.5" customHeight="1">
      <c r="A5273" s="318" t="str">
        <f>IF(B5273&lt;&gt;"",IF(AND(B5273='IN-TC'!$S$4,OR(TH!N5273="1111",TH!O5273="1111")),TH!D5273,""),"")</f>
        <v/>
      </c>
      <c r="B5273" s="60" t="str">
        <f t="shared" si="503"/>
        <v/>
      </c>
      <c r="C5273" s="61"/>
      <c r="D5273" s="61"/>
      <c r="E5273" s="61"/>
      <c r="F5273" s="69"/>
      <c r="G5273" s="766"/>
      <c r="H5273" s="69"/>
      <c r="I5273" s="385"/>
      <c r="J5273" s="392"/>
      <c r="K5273" s="385"/>
      <c r="L5273" s="392"/>
      <c r="M5273" s="62"/>
      <c r="N5273" s="63"/>
      <c r="O5273" s="63"/>
      <c r="P5273" s="79" t="str">
        <f>IF(AND('331-CT'!$E$7=TH!H5273,OR(N5273="331",O5273="331")),"x","")</f>
        <v/>
      </c>
      <c r="Q5273" s="79" t="str">
        <f>IF(AND(B5273='111'!$L$11,OR($N5273=$Q$7,$O5273=$Q$7)),"x","")</f>
        <v/>
      </c>
      <c r="R5273" s="79" t="str">
        <f>IF(AND($N5273=$Q$7,$B5273&lt;'111'!$L$11),"x","")</f>
        <v/>
      </c>
      <c r="S5273" s="79" t="str">
        <f>IF(AND($O5273=$Q$7,$B5273&lt;'111'!$L$11),"x","")</f>
        <v/>
      </c>
      <c r="T5273" s="79" t="str">
        <f>IF(ISERROR(FIND('112'!$M$9,G5273,1)),"",IF((AND(FIND('112'!$M$9,G5273,1)&gt;=1,B5273='112'!$K$9,OR($N5273='112'!$I$6,$O5273='112'!$I$6))),"x",""))</f>
        <v/>
      </c>
      <c r="U5273" s="79" t="str">
        <f>IF(ISERROR(FIND('112'!$M$9,G5273,1)),"",IF((AND(LEFT(G5273,2)=LEFT('112'!$M$9,2),B5273&lt;'112'!$K$9,$N5273='112'!$I$6)),"x",""))</f>
        <v/>
      </c>
      <c r="V5273" s="79" t="str">
        <f>IF(ISERROR(FIND('112'!$M$9,G5273,1)),"",IF((AND(RIGHT(G5273,2)=RIGHT('112'!$M$9,2),B5273&lt;'112'!$K$9,$O5273='112'!$I$6)),"x",""))</f>
        <v/>
      </c>
      <c r="W5273" s="79" t="str">
        <f>IF(AND('341-CT'!$H$9=H5273,OR(LEFT(N5273,3)=$W$7,LEFT(O5273,3)=$W$7)),"x","")</f>
        <v/>
      </c>
      <c r="X5273" s="79" t="str">
        <f>IF(OR(TH!N5273=TH!$X$7,O5273=TH!$X$7),"x","")</f>
        <v/>
      </c>
      <c r="Y5273" s="79" t="str">
        <f>IF(AND(OR(N5273="131",O5273="131"),H5273='131-CT'!$H$9),"x","")</f>
        <v/>
      </c>
      <c r="Z5273" s="79"/>
      <c r="AA5273" s="79" t="str">
        <f>IF(AND(MONTH(E5273)='IN-NX'!$J$5,'IN-NX'!$D$7=D5273),"x","")</f>
        <v/>
      </c>
      <c r="AB5273" s="79" t="str">
        <f>IF(AND(OR(LEFT(TH!N5273,2)="15",LEFT(TH!O5273,2)="15"),LEFT(TH!O5273,3)&lt;&gt;"111",'152-CT'!$J$8=TH!F5273),"x","")</f>
        <v/>
      </c>
      <c r="AC5273" s="79" t="str">
        <f>IF(AND(OR(LEFT(TH!N5273,2)="15",LEFT(TH!O5273,2)="15"),TK!$E$7=TH!F5273),"x","")</f>
        <v/>
      </c>
      <c r="AD5273" s="79" t="str">
        <f>IF(AND(N5273="1521",MONTH(C5273)='BK-NL'!$M$11),"x","")</f>
        <v/>
      </c>
    </row>
    <row r="5274" spans="1:30" ht="16.5" customHeight="1">
      <c r="A5274" s="318" t="str">
        <f>IF(B5274&lt;&gt;"",IF(AND(B5274='IN-TC'!$S$4,OR(TH!N5274="1111",TH!O5274="1111")),TH!D5274,""),"")</f>
        <v/>
      </c>
      <c r="B5274" s="60" t="str">
        <f t="shared" si="503"/>
        <v/>
      </c>
      <c r="C5274" s="61"/>
      <c r="D5274" s="61"/>
      <c r="E5274" s="61"/>
      <c r="F5274" s="69"/>
      <c r="G5274" s="766"/>
      <c r="H5274" s="69"/>
      <c r="I5274" s="385"/>
      <c r="J5274" s="392"/>
      <c r="K5274" s="385"/>
      <c r="L5274" s="392"/>
      <c r="M5274" s="62"/>
      <c r="N5274" s="63"/>
      <c r="O5274" s="63"/>
      <c r="P5274" s="79" t="str">
        <f>IF(AND('331-CT'!$E$7=TH!H5274,OR(N5274="331",O5274="331")),"x","")</f>
        <v/>
      </c>
      <c r="Q5274" s="79" t="str">
        <f>IF(AND(B5274='111'!$L$11,OR($N5274=$Q$7,$O5274=$Q$7)),"x","")</f>
        <v/>
      </c>
      <c r="R5274" s="79" t="str">
        <f>IF(AND($N5274=$Q$7,$B5274&lt;'111'!$L$11),"x","")</f>
        <v/>
      </c>
      <c r="S5274" s="79" t="str">
        <f>IF(AND($O5274=$Q$7,$B5274&lt;'111'!$L$11),"x","")</f>
        <v/>
      </c>
      <c r="T5274" s="79" t="str">
        <f>IF(ISERROR(FIND('112'!$M$9,G5274,1)),"",IF((AND(FIND('112'!$M$9,G5274,1)&gt;=1,B5274='112'!$K$9,OR($N5274='112'!$I$6,$O5274='112'!$I$6))),"x",""))</f>
        <v/>
      </c>
      <c r="U5274" s="79" t="str">
        <f>IF(ISERROR(FIND('112'!$M$9,G5274,1)),"",IF((AND(LEFT(G5274,2)=LEFT('112'!$M$9,2),B5274&lt;'112'!$K$9,$N5274='112'!$I$6)),"x",""))</f>
        <v/>
      </c>
      <c r="V5274" s="79" t="str">
        <f>IF(ISERROR(FIND('112'!$M$9,G5274,1)),"",IF((AND(RIGHT(G5274,2)=RIGHT('112'!$M$9,2),B5274&lt;'112'!$K$9,$O5274='112'!$I$6)),"x",""))</f>
        <v/>
      </c>
      <c r="W5274" s="79" t="str">
        <f>IF(AND('341-CT'!$H$9=H5274,OR(LEFT(N5274,3)=$W$7,LEFT(O5274,3)=$W$7)),"x","")</f>
        <v/>
      </c>
      <c r="X5274" s="79" t="str">
        <f>IF(OR(TH!N5274=TH!$X$7,O5274=TH!$X$7),"x","")</f>
        <v/>
      </c>
      <c r="Y5274" s="79" t="str">
        <f>IF(AND(OR(N5274="131",O5274="131"),H5274='131-CT'!$H$9),"x","")</f>
        <v/>
      </c>
      <c r="Z5274" s="79"/>
      <c r="AA5274" s="79" t="str">
        <f>IF(AND(MONTH(E5274)='IN-NX'!$J$5,'IN-NX'!$D$7=D5274),"x","")</f>
        <v/>
      </c>
      <c r="AB5274" s="79" t="str">
        <f>IF(AND(OR(LEFT(TH!N5274,2)="15",LEFT(TH!O5274,2)="15"),LEFT(TH!O5274,3)&lt;&gt;"111",'152-CT'!$J$8=TH!F5274),"x","")</f>
        <v/>
      </c>
      <c r="AC5274" s="79" t="str">
        <f>IF(AND(OR(LEFT(TH!N5274,2)="15",LEFT(TH!O5274,2)="15"),TK!$E$7=TH!F5274),"x","")</f>
        <v/>
      </c>
      <c r="AD5274" s="79" t="str">
        <f>IF(AND(N5274="1521",MONTH(C5274)='BK-NL'!$M$11),"x","")</f>
        <v/>
      </c>
    </row>
    <row r="5275" spans="1:30" ht="16.5" customHeight="1">
      <c r="A5275" s="318" t="str">
        <f>IF(B5275&lt;&gt;"",IF(AND(B5275='IN-TC'!$S$4,OR(TH!N5275="1111",TH!O5275="1111")),TH!D5275,""),"")</f>
        <v/>
      </c>
      <c r="B5275" s="60" t="str">
        <f t="shared" si="503"/>
        <v/>
      </c>
      <c r="C5275" s="61"/>
      <c r="D5275" s="61"/>
      <c r="E5275" s="61"/>
      <c r="F5275" s="69"/>
      <c r="G5275" s="766"/>
      <c r="H5275" s="69"/>
      <c r="I5275" s="385"/>
      <c r="J5275" s="392"/>
      <c r="K5275" s="385"/>
      <c r="L5275" s="392"/>
      <c r="M5275" s="62"/>
      <c r="N5275" s="63"/>
      <c r="O5275" s="63"/>
      <c r="P5275" s="79" t="str">
        <f>IF(AND('331-CT'!$E$7=TH!H5275,OR(N5275="331",O5275="331")),"x","")</f>
        <v/>
      </c>
      <c r="Q5275" s="79" t="str">
        <f>IF(AND(B5275='111'!$L$11,OR($N5275=$Q$7,$O5275=$Q$7)),"x","")</f>
        <v/>
      </c>
      <c r="R5275" s="79" t="str">
        <f>IF(AND($N5275=$Q$7,$B5275&lt;'111'!$L$11),"x","")</f>
        <v/>
      </c>
      <c r="S5275" s="79" t="str">
        <f>IF(AND($O5275=$Q$7,$B5275&lt;'111'!$L$11),"x","")</f>
        <v/>
      </c>
      <c r="T5275" s="79" t="str">
        <f>IF(ISERROR(FIND('112'!$M$9,G5275,1)),"",IF((AND(FIND('112'!$M$9,G5275,1)&gt;=1,B5275='112'!$K$9,OR($N5275='112'!$I$6,$O5275='112'!$I$6))),"x",""))</f>
        <v/>
      </c>
      <c r="U5275" s="79" t="str">
        <f>IF(ISERROR(FIND('112'!$M$9,G5275,1)),"",IF((AND(LEFT(G5275,2)=LEFT('112'!$M$9,2),B5275&lt;'112'!$K$9,$N5275='112'!$I$6)),"x",""))</f>
        <v/>
      </c>
      <c r="V5275" s="79" t="str">
        <f>IF(ISERROR(FIND('112'!$M$9,G5275,1)),"",IF((AND(RIGHT(G5275,2)=RIGHT('112'!$M$9,2),B5275&lt;'112'!$K$9,$O5275='112'!$I$6)),"x",""))</f>
        <v/>
      </c>
      <c r="W5275" s="79" t="str">
        <f>IF(AND('341-CT'!$H$9=H5275,OR(LEFT(N5275,3)=$W$7,LEFT(O5275,3)=$W$7)),"x","")</f>
        <v/>
      </c>
      <c r="X5275" s="79" t="str">
        <f>IF(OR(TH!N5275=TH!$X$7,O5275=TH!$X$7),"x","")</f>
        <v/>
      </c>
      <c r="Y5275" s="79" t="str">
        <f>IF(AND(OR(N5275="131",O5275="131"),H5275='131-CT'!$H$9),"x","")</f>
        <v/>
      </c>
      <c r="Z5275" s="79"/>
      <c r="AA5275" s="79" t="str">
        <f>IF(AND(MONTH(E5275)='IN-NX'!$J$5,'IN-NX'!$D$7=D5275),"x","")</f>
        <v/>
      </c>
      <c r="AB5275" s="79" t="str">
        <f>IF(AND(OR(LEFT(TH!N5275,2)="15",LEFT(TH!O5275,2)="15"),LEFT(TH!O5275,3)&lt;&gt;"111",'152-CT'!$J$8=TH!F5275),"x","")</f>
        <v/>
      </c>
      <c r="AC5275" s="79" t="str">
        <f>IF(AND(OR(LEFT(TH!N5275,2)="15",LEFT(TH!O5275,2)="15"),TK!$E$7=TH!F5275),"x","")</f>
        <v/>
      </c>
      <c r="AD5275" s="79" t="str">
        <f>IF(AND(N5275="1521",MONTH(C5275)='BK-NL'!$M$11),"x","")</f>
        <v/>
      </c>
    </row>
    <row r="5276" spans="1:30" ht="16.5" customHeight="1">
      <c r="A5276" s="318" t="str">
        <f>IF(B5276&lt;&gt;"",IF(AND(B5276='IN-TC'!$S$4,OR(TH!N5276="1111",TH!O5276="1111")),TH!D5276,""),"")</f>
        <v/>
      </c>
      <c r="B5276" s="60" t="str">
        <f t="shared" si="503"/>
        <v/>
      </c>
      <c r="C5276" s="61"/>
      <c r="D5276" s="61"/>
      <c r="E5276" s="61"/>
      <c r="F5276" s="69"/>
      <c r="G5276" s="766"/>
      <c r="H5276" s="69"/>
      <c r="I5276" s="385"/>
      <c r="J5276" s="392"/>
      <c r="K5276" s="385"/>
      <c r="L5276" s="392"/>
      <c r="M5276" s="62"/>
      <c r="N5276" s="63"/>
      <c r="O5276" s="63"/>
      <c r="P5276" s="79" t="str">
        <f>IF(AND('331-CT'!$E$7=TH!H5276,OR(N5276="331",O5276="331")),"x","")</f>
        <v/>
      </c>
      <c r="Q5276" s="79" t="str">
        <f>IF(AND(B5276='111'!$L$11,OR($N5276=$Q$7,$O5276=$Q$7)),"x","")</f>
        <v/>
      </c>
      <c r="R5276" s="79" t="str">
        <f>IF(AND($N5276=$Q$7,$B5276&lt;'111'!$L$11),"x","")</f>
        <v/>
      </c>
      <c r="S5276" s="79" t="str">
        <f>IF(AND($O5276=$Q$7,$B5276&lt;'111'!$L$11),"x","")</f>
        <v/>
      </c>
      <c r="T5276" s="79" t="str">
        <f>IF(ISERROR(FIND('112'!$M$9,G5276,1)),"",IF((AND(FIND('112'!$M$9,G5276,1)&gt;=1,B5276='112'!$K$9,OR($N5276='112'!$I$6,$O5276='112'!$I$6))),"x",""))</f>
        <v/>
      </c>
      <c r="U5276" s="79" t="str">
        <f>IF(ISERROR(FIND('112'!$M$9,G5276,1)),"",IF((AND(LEFT(G5276,2)=LEFT('112'!$M$9,2),B5276&lt;'112'!$K$9,$N5276='112'!$I$6)),"x",""))</f>
        <v/>
      </c>
      <c r="V5276" s="79" t="str">
        <f>IF(ISERROR(FIND('112'!$M$9,G5276,1)),"",IF((AND(RIGHT(G5276,2)=RIGHT('112'!$M$9,2),B5276&lt;'112'!$K$9,$O5276='112'!$I$6)),"x",""))</f>
        <v/>
      </c>
      <c r="W5276" s="79" t="str">
        <f>IF(AND('341-CT'!$H$9=H5276,OR(LEFT(N5276,3)=$W$7,LEFT(O5276,3)=$W$7)),"x","")</f>
        <v/>
      </c>
      <c r="X5276" s="79" t="str">
        <f>IF(OR(TH!N5276=TH!$X$7,O5276=TH!$X$7),"x","")</f>
        <v/>
      </c>
      <c r="Y5276" s="79" t="str">
        <f>IF(AND(OR(N5276="131",O5276="131"),H5276='131-CT'!$H$9),"x","")</f>
        <v/>
      </c>
      <c r="Z5276" s="79"/>
      <c r="AA5276" s="79" t="str">
        <f>IF(AND(MONTH(E5276)='IN-NX'!$J$5,'IN-NX'!$D$7=D5276),"x","")</f>
        <v/>
      </c>
      <c r="AB5276" s="79" t="str">
        <f>IF(AND(OR(LEFT(TH!N5276,2)="15",LEFT(TH!O5276,2)="15"),LEFT(TH!O5276,3)&lt;&gt;"111",'152-CT'!$J$8=TH!F5276),"x","")</f>
        <v/>
      </c>
      <c r="AC5276" s="79" t="str">
        <f>IF(AND(OR(LEFT(TH!N5276,2)="15",LEFT(TH!O5276,2)="15"),TK!$E$7=TH!F5276),"x","")</f>
        <v/>
      </c>
      <c r="AD5276" s="79" t="str">
        <f>IF(AND(N5276="1521",MONTH(C5276)='BK-NL'!$M$11),"x","")</f>
        <v/>
      </c>
    </row>
    <row r="5277" spans="1:30" ht="16.5" customHeight="1">
      <c r="A5277" s="318" t="str">
        <f>IF(B5277&lt;&gt;"",IF(AND(B5277='IN-TC'!$S$4,OR(TH!N5277="1111",TH!O5277="1111")),TH!D5277,""),"")</f>
        <v/>
      </c>
      <c r="B5277" s="60" t="str">
        <f t="shared" si="503"/>
        <v/>
      </c>
      <c r="C5277" s="61"/>
      <c r="D5277" s="61"/>
      <c r="E5277" s="61"/>
      <c r="F5277" s="69"/>
      <c r="G5277" s="766"/>
      <c r="H5277" s="69"/>
      <c r="I5277" s="385"/>
      <c r="J5277" s="392"/>
      <c r="K5277" s="385"/>
      <c r="L5277" s="392"/>
      <c r="M5277" s="62"/>
      <c r="N5277" s="63"/>
      <c r="O5277" s="63"/>
      <c r="P5277" s="79" t="str">
        <f>IF(AND('331-CT'!$E$7=TH!H5277,OR(N5277="331",O5277="331")),"x","")</f>
        <v/>
      </c>
      <c r="Q5277" s="79" t="str">
        <f>IF(AND(B5277='111'!$L$11,OR($N5277=$Q$7,$O5277=$Q$7)),"x","")</f>
        <v/>
      </c>
      <c r="R5277" s="79" t="str">
        <f>IF(AND($N5277=$Q$7,$B5277&lt;'111'!$L$11),"x","")</f>
        <v/>
      </c>
      <c r="S5277" s="79" t="str">
        <f>IF(AND($O5277=$Q$7,$B5277&lt;'111'!$L$11),"x","")</f>
        <v/>
      </c>
      <c r="T5277" s="79" t="str">
        <f>IF(ISERROR(FIND('112'!$M$9,G5277,1)),"",IF((AND(FIND('112'!$M$9,G5277,1)&gt;=1,B5277='112'!$K$9,OR($N5277='112'!$I$6,$O5277='112'!$I$6))),"x",""))</f>
        <v/>
      </c>
      <c r="U5277" s="79" t="str">
        <f>IF(ISERROR(FIND('112'!$M$9,G5277,1)),"",IF((AND(LEFT(G5277,2)=LEFT('112'!$M$9,2),B5277&lt;'112'!$K$9,$N5277='112'!$I$6)),"x",""))</f>
        <v/>
      </c>
      <c r="V5277" s="79" t="str">
        <f>IF(ISERROR(FIND('112'!$M$9,G5277,1)),"",IF((AND(RIGHT(G5277,2)=RIGHT('112'!$M$9,2),B5277&lt;'112'!$K$9,$O5277='112'!$I$6)),"x",""))</f>
        <v/>
      </c>
      <c r="W5277" s="79" t="str">
        <f>IF(AND('341-CT'!$H$9=H5277,OR(LEFT(N5277,3)=$W$7,LEFT(O5277,3)=$W$7)),"x","")</f>
        <v/>
      </c>
      <c r="X5277" s="79" t="str">
        <f>IF(OR(TH!N5277=TH!$X$7,O5277=TH!$X$7),"x","")</f>
        <v/>
      </c>
      <c r="Y5277" s="79" t="str">
        <f>IF(AND(OR(N5277="131",O5277="131"),H5277='131-CT'!$H$9),"x","")</f>
        <v/>
      </c>
      <c r="Z5277" s="79"/>
      <c r="AA5277" s="79" t="str">
        <f>IF(AND(MONTH(E5277)='IN-NX'!$J$5,'IN-NX'!$D$7=D5277),"x","")</f>
        <v/>
      </c>
      <c r="AB5277" s="79" t="str">
        <f>IF(AND(OR(LEFT(TH!N5277,2)="15",LEFT(TH!O5277,2)="15"),LEFT(TH!O5277,3)&lt;&gt;"111",'152-CT'!$J$8=TH!F5277),"x","")</f>
        <v/>
      </c>
      <c r="AC5277" s="79" t="str">
        <f>IF(AND(OR(LEFT(TH!N5277,2)="15",LEFT(TH!O5277,2)="15"),TK!$E$7=TH!F5277),"x","")</f>
        <v/>
      </c>
      <c r="AD5277" s="79" t="str">
        <f>IF(AND(N5277="1521",MONTH(C5277)='BK-NL'!$M$11),"x","")</f>
        <v/>
      </c>
    </row>
    <row r="5278" spans="1:30" ht="16.5" customHeight="1">
      <c r="A5278" s="318" t="str">
        <f>IF(B5278&lt;&gt;"",IF(AND(B5278='IN-TC'!$S$4,OR(TH!N5278="1111",TH!O5278="1111")),TH!D5278,""),"")</f>
        <v/>
      </c>
      <c r="B5278" s="60" t="str">
        <f t="shared" si="503"/>
        <v/>
      </c>
      <c r="C5278" s="61"/>
      <c r="D5278" s="61"/>
      <c r="E5278" s="61"/>
      <c r="F5278" s="69"/>
      <c r="G5278" s="766"/>
      <c r="H5278" s="69"/>
      <c r="I5278" s="385"/>
      <c r="J5278" s="392"/>
      <c r="K5278" s="385"/>
      <c r="L5278" s="392"/>
      <c r="M5278" s="62"/>
      <c r="N5278" s="63"/>
      <c r="O5278" s="63"/>
      <c r="P5278" s="79" t="str">
        <f>IF(AND('331-CT'!$E$7=TH!H5278,OR(N5278="331",O5278="331")),"x","")</f>
        <v/>
      </c>
      <c r="Q5278" s="79" t="str">
        <f>IF(AND(B5278='111'!$L$11,OR($N5278=$Q$7,$O5278=$Q$7)),"x","")</f>
        <v/>
      </c>
      <c r="R5278" s="79" t="str">
        <f>IF(AND($N5278=$Q$7,$B5278&lt;'111'!$L$11),"x","")</f>
        <v/>
      </c>
      <c r="S5278" s="79" t="str">
        <f>IF(AND($O5278=$Q$7,$B5278&lt;'111'!$L$11),"x","")</f>
        <v/>
      </c>
      <c r="T5278" s="79" t="str">
        <f>IF(ISERROR(FIND('112'!$M$9,G5278,1)),"",IF((AND(FIND('112'!$M$9,G5278,1)&gt;=1,B5278='112'!$K$9,OR($N5278='112'!$I$6,$O5278='112'!$I$6))),"x",""))</f>
        <v/>
      </c>
      <c r="U5278" s="79" t="str">
        <f>IF(ISERROR(FIND('112'!$M$9,G5278,1)),"",IF((AND(LEFT(G5278,2)=LEFT('112'!$M$9,2),B5278&lt;'112'!$K$9,$N5278='112'!$I$6)),"x",""))</f>
        <v/>
      </c>
      <c r="V5278" s="79" t="str">
        <f>IF(ISERROR(FIND('112'!$M$9,G5278,1)),"",IF((AND(RIGHT(G5278,2)=RIGHT('112'!$M$9,2),B5278&lt;'112'!$K$9,$O5278='112'!$I$6)),"x",""))</f>
        <v/>
      </c>
      <c r="W5278" s="79" t="str">
        <f>IF(AND('341-CT'!$H$9=H5278,OR(LEFT(N5278,3)=$W$7,LEFT(O5278,3)=$W$7)),"x","")</f>
        <v/>
      </c>
      <c r="X5278" s="79" t="str">
        <f>IF(OR(TH!N5278=TH!$X$7,O5278=TH!$X$7),"x","")</f>
        <v/>
      </c>
      <c r="Y5278" s="79" t="str">
        <f>IF(AND(OR(N5278="131",O5278="131"),H5278='131-CT'!$H$9),"x","")</f>
        <v/>
      </c>
      <c r="Z5278" s="79"/>
      <c r="AA5278" s="79" t="str">
        <f>IF(AND(MONTH(E5278)='IN-NX'!$J$5,'IN-NX'!$D$7=D5278),"x","")</f>
        <v/>
      </c>
      <c r="AB5278" s="79" t="str">
        <f>IF(AND(OR(LEFT(TH!N5278,2)="15",LEFT(TH!O5278,2)="15"),LEFT(TH!O5278,3)&lt;&gt;"111",'152-CT'!$J$8=TH!F5278),"x","")</f>
        <v/>
      </c>
      <c r="AC5278" s="79" t="str">
        <f>IF(AND(OR(LEFT(TH!N5278,2)="15",LEFT(TH!O5278,2)="15"),TK!$E$7=TH!F5278),"x","")</f>
        <v/>
      </c>
      <c r="AD5278" s="79" t="str">
        <f>IF(AND(N5278="1521",MONTH(C5278)='BK-NL'!$M$11),"x","")</f>
        <v/>
      </c>
    </row>
    <row r="5279" spans="1:30" ht="16.5" customHeight="1">
      <c r="A5279" s="318" t="str">
        <f>IF(B5279&lt;&gt;"",IF(AND(B5279='IN-TC'!$S$4,OR(TH!N5279="1111",TH!O5279="1111")),TH!D5279,""),"")</f>
        <v/>
      </c>
      <c r="B5279" s="60" t="str">
        <f t="shared" si="503"/>
        <v/>
      </c>
      <c r="C5279" s="61"/>
      <c r="D5279" s="61"/>
      <c r="E5279" s="61"/>
      <c r="F5279" s="69"/>
      <c r="G5279" s="766"/>
      <c r="H5279" s="69"/>
      <c r="I5279" s="385"/>
      <c r="J5279" s="392"/>
      <c r="K5279" s="385"/>
      <c r="L5279" s="392"/>
      <c r="M5279" s="62"/>
      <c r="N5279" s="63"/>
      <c r="O5279" s="63"/>
      <c r="P5279" s="79" t="str">
        <f>IF(AND('331-CT'!$E$7=TH!H5279,OR(N5279="331",O5279="331")),"x","")</f>
        <v/>
      </c>
      <c r="Q5279" s="79" t="str">
        <f>IF(AND(B5279='111'!$L$11,OR($N5279=$Q$7,$O5279=$Q$7)),"x","")</f>
        <v/>
      </c>
      <c r="R5279" s="79" t="str">
        <f>IF(AND($N5279=$Q$7,$B5279&lt;'111'!$L$11),"x","")</f>
        <v/>
      </c>
      <c r="S5279" s="79" t="str">
        <f>IF(AND($O5279=$Q$7,$B5279&lt;'111'!$L$11),"x","")</f>
        <v/>
      </c>
      <c r="T5279" s="79" t="str">
        <f>IF(ISERROR(FIND('112'!$M$9,G5279,1)),"",IF((AND(FIND('112'!$M$9,G5279,1)&gt;=1,B5279='112'!$K$9,OR($N5279='112'!$I$6,$O5279='112'!$I$6))),"x",""))</f>
        <v/>
      </c>
      <c r="U5279" s="79" t="str">
        <f>IF(ISERROR(FIND('112'!$M$9,G5279,1)),"",IF((AND(LEFT(G5279,2)=LEFT('112'!$M$9,2),B5279&lt;'112'!$K$9,$N5279='112'!$I$6)),"x",""))</f>
        <v/>
      </c>
      <c r="V5279" s="79" t="str">
        <f>IF(ISERROR(FIND('112'!$M$9,G5279,1)),"",IF((AND(RIGHT(G5279,2)=RIGHT('112'!$M$9,2),B5279&lt;'112'!$K$9,$O5279='112'!$I$6)),"x",""))</f>
        <v/>
      </c>
      <c r="W5279" s="79" t="str">
        <f>IF(AND('341-CT'!$H$9=H5279,OR(LEFT(N5279,3)=$W$7,LEFT(O5279,3)=$W$7)),"x","")</f>
        <v/>
      </c>
      <c r="X5279" s="79" t="str">
        <f>IF(OR(TH!N5279=TH!$X$7,O5279=TH!$X$7),"x","")</f>
        <v/>
      </c>
      <c r="Y5279" s="79" t="str">
        <f>IF(AND(OR(N5279="131",O5279="131"),H5279='131-CT'!$H$9),"x","")</f>
        <v/>
      </c>
      <c r="Z5279" s="79"/>
      <c r="AA5279" s="79" t="str">
        <f>IF(AND(MONTH(E5279)='IN-NX'!$J$5,'IN-NX'!$D$7=D5279),"x","")</f>
        <v/>
      </c>
      <c r="AB5279" s="79" t="str">
        <f>IF(AND(OR(LEFT(TH!N5279,2)="15",LEFT(TH!O5279,2)="15"),LEFT(TH!O5279,3)&lt;&gt;"111",'152-CT'!$J$8=TH!F5279),"x","")</f>
        <v/>
      </c>
      <c r="AC5279" s="79" t="str">
        <f>IF(AND(OR(LEFT(TH!N5279,2)="15",LEFT(TH!O5279,2)="15"),TK!$E$7=TH!F5279),"x","")</f>
        <v/>
      </c>
      <c r="AD5279" s="79" t="str">
        <f>IF(AND(N5279="1521",MONTH(C5279)='BK-NL'!$M$11),"x","")</f>
        <v/>
      </c>
    </row>
    <row r="5280" spans="1:30" ht="16.5" customHeight="1">
      <c r="A5280" s="318" t="str">
        <f>IF(B5280&lt;&gt;"",IF(AND(B5280='IN-TC'!$S$4,OR(TH!N5280="1111",TH!O5280="1111")),TH!D5280,""),"")</f>
        <v/>
      </c>
      <c r="B5280" s="60" t="str">
        <f t="shared" si="503"/>
        <v/>
      </c>
      <c r="C5280" s="61"/>
      <c r="D5280" s="61"/>
      <c r="E5280" s="61"/>
      <c r="F5280" s="69"/>
      <c r="G5280" s="766"/>
      <c r="H5280" s="69"/>
      <c r="I5280" s="385"/>
      <c r="J5280" s="392"/>
      <c r="K5280" s="385"/>
      <c r="L5280" s="392"/>
      <c r="M5280" s="62"/>
      <c r="N5280" s="63"/>
      <c r="O5280" s="63"/>
      <c r="P5280" s="79" t="str">
        <f>IF(AND('331-CT'!$E$7=TH!H5280,OR(N5280="331",O5280="331")),"x","")</f>
        <v/>
      </c>
      <c r="Q5280" s="79" t="str">
        <f>IF(AND(B5280='111'!$L$11,OR($N5280=$Q$7,$O5280=$Q$7)),"x","")</f>
        <v/>
      </c>
      <c r="R5280" s="79" t="str">
        <f>IF(AND($N5280=$Q$7,$B5280&lt;'111'!$L$11),"x","")</f>
        <v/>
      </c>
      <c r="S5280" s="79" t="str">
        <f>IF(AND($O5280=$Q$7,$B5280&lt;'111'!$L$11),"x","")</f>
        <v/>
      </c>
      <c r="T5280" s="79" t="str">
        <f>IF(ISERROR(FIND('112'!$M$9,G5280,1)),"",IF((AND(FIND('112'!$M$9,G5280,1)&gt;=1,B5280='112'!$K$9,OR($N5280='112'!$I$6,$O5280='112'!$I$6))),"x",""))</f>
        <v/>
      </c>
      <c r="U5280" s="79" t="str">
        <f>IF(ISERROR(FIND('112'!$M$9,G5280,1)),"",IF((AND(LEFT(G5280,2)=LEFT('112'!$M$9,2),B5280&lt;'112'!$K$9,$N5280='112'!$I$6)),"x",""))</f>
        <v/>
      </c>
      <c r="V5280" s="79" t="str">
        <f>IF(ISERROR(FIND('112'!$M$9,G5280,1)),"",IF((AND(RIGHT(G5280,2)=RIGHT('112'!$M$9,2),B5280&lt;'112'!$K$9,$O5280='112'!$I$6)),"x",""))</f>
        <v/>
      </c>
      <c r="W5280" s="79" t="str">
        <f>IF(AND('341-CT'!$H$9=H5280,OR(LEFT(N5280,3)=$W$7,LEFT(O5280,3)=$W$7)),"x","")</f>
        <v/>
      </c>
      <c r="X5280" s="79" t="str">
        <f>IF(OR(TH!N5280=TH!$X$7,O5280=TH!$X$7),"x","")</f>
        <v/>
      </c>
      <c r="Y5280" s="79" t="str">
        <f>IF(AND(OR(N5280="131",O5280="131"),H5280='131-CT'!$H$9),"x","")</f>
        <v/>
      </c>
      <c r="Z5280" s="79"/>
      <c r="AA5280" s="79" t="str">
        <f>IF(AND(MONTH(E5280)='IN-NX'!$J$5,'IN-NX'!$D$7=D5280),"x","")</f>
        <v/>
      </c>
      <c r="AB5280" s="79" t="str">
        <f>IF(AND(OR(LEFT(TH!N5280,2)="15",LEFT(TH!O5280,2)="15"),LEFT(TH!O5280,3)&lt;&gt;"111",'152-CT'!$J$8=TH!F5280),"x","")</f>
        <v/>
      </c>
      <c r="AC5280" s="79" t="str">
        <f>IF(AND(OR(LEFT(TH!N5280,2)="15",LEFT(TH!O5280,2)="15"),TK!$E$7=TH!F5280),"x","")</f>
        <v/>
      </c>
      <c r="AD5280" s="79" t="str">
        <f>IF(AND(N5280="1521",MONTH(C5280)='BK-NL'!$M$11),"x","")</f>
        <v/>
      </c>
    </row>
    <row r="5281" spans="1:30" ht="16.5" customHeight="1">
      <c r="A5281" s="318" t="str">
        <f>IF(B5281&lt;&gt;"",IF(AND(B5281='IN-TC'!$S$4,OR(TH!N5281="1111",TH!O5281="1111")),TH!D5281,""),"")</f>
        <v/>
      </c>
      <c r="B5281" s="60" t="str">
        <f t="shared" si="503"/>
        <v/>
      </c>
      <c r="C5281" s="61"/>
      <c r="D5281" s="61"/>
      <c r="E5281" s="61"/>
      <c r="F5281" s="69"/>
      <c r="G5281" s="766"/>
      <c r="H5281" s="69"/>
      <c r="I5281" s="385"/>
      <c r="J5281" s="392"/>
      <c r="K5281" s="385"/>
      <c r="L5281" s="392"/>
      <c r="M5281" s="62"/>
      <c r="N5281" s="63"/>
      <c r="O5281" s="63"/>
      <c r="P5281" s="79" t="str">
        <f>IF(AND('331-CT'!$E$7=TH!H5281,OR(N5281="331",O5281="331")),"x","")</f>
        <v/>
      </c>
      <c r="Q5281" s="79" t="str">
        <f>IF(AND(B5281='111'!$L$11,OR($N5281=$Q$7,$O5281=$Q$7)),"x","")</f>
        <v/>
      </c>
      <c r="R5281" s="79" t="str">
        <f>IF(AND($N5281=$Q$7,$B5281&lt;'111'!$L$11),"x","")</f>
        <v/>
      </c>
      <c r="S5281" s="79" t="str">
        <f>IF(AND($O5281=$Q$7,$B5281&lt;'111'!$L$11),"x","")</f>
        <v/>
      </c>
      <c r="T5281" s="79" t="str">
        <f>IF(ISERROR(FIND('112'!$M$9,G5281,1)),"",IF((AND(FIND('112'!$M$9,G5281,1)&gt;=1,B5281='112'!$K$9,OR($N5281='112'!$I$6,$O5281='112'!$I$6))),"x",""))</f>
        <v/>
      </c>
      <c r="U5281" s="79" t="str">
        <f>IF(ISERROR(FIND('112'!$M$9,G5281,1)),"",IF((AND(LEFT(G5281,2)=LEFT('112'!$M$9,2),B5281&lt;'112'!$K$9,$N5281='112'!$I$6)),"x",""))</f>
        <v/>
      </c>
      <c r="V5281" s="79" t="str">
        <f>IF(ISERROR(FIND('112'!$M$9,G5281,1)),"",IF((AND(RIGHT(G5281,2)=RIGHT('112'!$M$9,2),B5281&lt;'112'!$K$9,$O5281='112'!$I$6)),"x",""))</f>
        <v/>
      </c>
      <c r="W5281" s="79" t="str">
        <f>IF(AND('341-CT'!$H$9=H5281,OR(LEFT(N5281,3)=$W$7,LEFT(O5281,3)=$W$7)),"x","")</f>
        <v/>
      </c>
      <c r="X5281" s="79" t="str">
        <f>IF(OR(TH!N5281=TH!$X$7,O5281=TH!$X$7),"x","")</f>
        <v/>
      </c>
      <c r="Y5281" s="79" t="str">
        <f>IF(AND(OR(N5281="131",O5281="131"),H5281='131-CT'!$H$9),"x","")</f>
        <v/>
      </c>
      <c r="Z5281" s="79"/>
      <c r="AA5281" s="79" t="str">
        <f>IF(AND(MONTH(E5281)='IN-NX'!$J$5,'IN-NX'!$D$7=D5281),"x","")</f>
        <v/>
      </c>
      <c r="AB5281" s="79" t="str">
        <f>IF(AND(OR(LEFT(TH!N5281,2)="15",LEFT(TH!O5281,2)="15"),LEFT(TH!O5281,3)&lt;&gt;"111",'152-CT'!$J$8=TH!F5281),"x","")</f>
        <v/>
      </c>
      <c r="AC5281" s="79" t="str">
        <f>IF(AND(OR(LEFT(TH!N5281,2)="15",LEFT(TH!O5281,2)="15"),TK!$E$7=TH!F5281),"x","")</f>
        <v/>
      </c>
      <c r="AD5281" s="79" t="str">
        <f>IF(AND(N5281="1521",MONTH(C5281)='BK-NL'!$M$11),"x","")</f>
        <v/>
      </c>
    </row>
    <row r="5282" spans="1:30" ht="16.5" customHeight="1">
      <c r="A5282" s="318" t="str">
        <f>IF(B5282&lt;&gt;"",IF(AND(B5282='IN-TC'!$S$4,OR(TH!N5282="1111",TH!O5282="1111")),TH!D5282,""),"")</f>
        <v/>
      </c>
      <c r="B5282" s="60" t="str">
        <f t="shared" si="503"/>
        <v/>
      </c>
      <c r="C5282" s="61"/>
      <c r="D5282" s="61"/>
      <c r="E5282" s="61"/>
      <c r="F5282" s="69"/>
      <c r="G5282" s="766"/>
      <c r="H5282" s="69"/>
      <c r="I5282" s="385"/>
      <c r="J5282" s="392"/>
      <c r="K5282" s="385"/>
      <c r="L5282" s="392"/>
      <c r="M5282" s="62"/>
      <c r="N5282" s="63"/>
      <c r="O5282" s="63"/>
      <c r="P5282" s="79" t="str">
        <f>IF(AND('331-CT'!$E$7=TH!H5282,OR(N5282="331",O5282="331")),"x","")</f>
        <v/>
      </c>
      <c r="Q5282" s="79" t="str">
        <f>IF(AND(B5282='111'!$L$11,OR($N5282=$Q$7,$O5282=$Q$7)),"x","")</f>
        <v/>
      </c>
      <c r="R5282" s="79" t="str">
        <f>IF(AND($N5282=$Q$7,$B5282&lt;'111'!$L$11),"x","")</f>
        <v/>
      </c>
      <c r="S5282" s="79" t="str">
        <f>IF(AND($O5282=$Q$7,$B5282&lt;'111'!$L$11),"x","")</f>
        <v/>
      </c>
      <c r="T5282" s="79" t="str">
        <f>IF(ISERROR(FIND('112'!$M$9,G5282,1)),"",IF((AND(FIND('112'!$M$9,G5282,1)&gt;=1,B5282='112'!$K$9,OR($N5282='112'!$I$6,$O5282='112'!$I$6))),"x",""))</f>
        <v/>
      </c>
      <c r="U5282" s="79" t="str">
        <f>IF(ISERROR(FIND('112'!$M$9,G5282,1)),"",IF((AND(LEFT(G5282,2)=LEFT('112'!$M$9,2),B5282&lt;'112'!$K$9,$N5282='112'!$I$6)),"x",""))</f>
        <v/>
      </c>
      <c r="V5282" s="79" t="str">
        <f>IF(ISERROR(FIND('112'!$M$9,G5282,1)),"",IF((AND(RIGHT(G5282,2)=RIGHT('112'!$M$9,2),B5282&lt;'112'!$K$9,$O5282='112'!$I$6)),"x",""))</f>
        <v/>
      </c>
      <c r="W5282" s="79" t="str">
        <f>IF(AND('341-CT'!$H$9=H5282,OR(LEFT(N5282,3)=$W$7,LEFT(O5282,3)=$W$7)),"x","")</f>
        <v/>
      </c>
      <c r="X5282" s="79" t="str">
        <f>IF(OR(TH!N5282=TH!$X$7,O5282=TH!$X$7),"x","")</f>
        <v/>
      </c>
      <c r="Y5282" s="79" t="str">
        <f>IF(AND(OR(N5282="131",O5282="131"),H5282='131-CT'!$H$9),"x","")</f>
        <v/>
      </c>
      <c r="Z5282" s="79"/>
      <c r="AA5282" s="79" t="str">
        <f>IF(AND(MONTH(E5282)='IN-NX'!$J$5,'IN-NX'!$D$7=D5282),"x","")</f>
        <v/>
      </c>
      <c r="AB5282" s="79" t="str">
        <f>IF(AND(OR(LEFT(TH!N5282,2)="15",LEFT(TH!O5282,2)="15"),LEFT(TH!O5282,3)&lt;&gt;"111",'152-CT'!$J$8=TH!F5282),"x","")</f>
        <v/>
      </c>
      <c r="AC5282" s="79" t="str">
        <f>IF(AND(OR(LEFT(TH!N5282,2)="15",LEFT(TH!O5282,2)="15"),TK!$E$7=TH!F5282),"x","")</f>
        <v/>
      </c>
      <c r="AD5282" s="79" t="str">
        <f>IF(AND(N5282="1521",MONTH(C5282)='BK-NL'!$M$11),"x","")</f>
        <v/>
      </c>
    </row>
    <row r="5283" spans="1:30" ht="16.5" customHeight="1">
      <c r="A5283" s="318" t="str">
        <f>IF(B5283&lt;&gt;"",IF(AND(B5283='IN-TC'!$S$4,OR(TH!N5283="1111",TH!O5283="1111")),TH!D5283,""),"")</f>
        <v/>
      </c>
      <c r="B5283" s="60" t="str">
        <f t="shared" si="503"/>
        <v/>
      </c>
      <c r="C5283" s="61"/>
      <c r="D5283" s="61"/>
      <c r="E5283" s="61"/>
      <c r="F5283" s="69"/>
      <c r="G5283" s="766"/>
      <c r="H5283" s="69"/>
      <c r="I5283" s="385"/>
      <c r="J5283" s="392"/>
      <c r="K5283" s="385"/>
      <c r="L5283" s="392"/>
      <c r="M5283" s="62"/>
      <c r="N5283" s="63"/>
      <c r="O5283" s="63"/>
      <c r="P5283" s="79" t="str">
        <f>IF(AND('331-CT'!$E$7=TH!H5283,OR(N5283="331",O5283="331")),"x","")</f>
        <v/>
      </c>
      <c r="Q5283" s="79" t="str">
        <f>IF(AND(B5283='111'!$L$11,OR($N5283=$Q$7,$O5283=$Q$7)),"x","")</f>
        <v/>
      </c>
      <c r="R5283" s="79" t="str">
        <f>IF(AND($N5283=$Q$7,$B5283&lt;'111'!$L$11),"x","")</f>
        <v/>
      </c>
      <c r="S5283" s="79" t="str">
        <f>IF(AND($O5283=$Q$7,$B5283&lt;'111'!$L$11),"x","")</f>
        <v/>
      </c>
      <c r="T5283" s="79" t="str">
        <f>IF(ISERROR(FIND('112'!$M$9,G5283,1)),"",IF((AND(FIND('112'!$M$9,G5283,1)&gt;=1,B5283='112'!$K$9,OR($N5283='112'!$I$6,$O5283='112'!$I$6))),"x",""))</f>
        <v/>
      </c>
      <c r="U5283" s="79" t="str">
        <f>IF(ISERROR(FIND('112'!$M$9,G5283,1)),"",IF((AND(LEFT(G5283,2)=LEFT('112'!$M$9,2),B5283&lt;'112'!$K$9,$N5283='112'!$I$6)),"x",""))</f>
        <v/>
      </c>
      <c r="V5283" s="79" t="str">
        <f>IF(ISERROR(FIND('112'!$M$9,G5283,1)),"",IF((AND(RIGHT(G5283,2)=RIGHT('112'!$M$9,2),B5283&lt;'112'!$K$9,$O5283='112'!$I$6)),"x",""))</f>
        <v/>
      </c>
      <c r="W5283" s="79" t="str">
        <f>IF(AND('341-CT'!$H$9=H5283,OR(LEFT(N5283,3)=$W$7,LEFT(O5283,3)=$W$7)),"x","")</f>
        <v/>
      </c>
      <c r="X5283" s="79" t="str">
        <f>IF(OR(TH!N5283=TH!$X$7,O5283=TH!$X$7),"x","")</f>
        <v/>
      </c>
      <c r="Y5283" s="79" t="str">
        <f>IF(AND(OR(N5283="131",O5283="131"),H5283='131-CT'!$H$9),"x","")</f>
        <v/>
      </c>
      <c r="Z5283" s="79"/>
      <c r="AA5283" s="79" t="str">
        <f>IF(AND(MONTH(E5283)='IN-NX'!$J$5,'IN-NX'!$D$7=D5283),"x","")</f>
        <v/>
      </c>
      <c r="AB5283" s="79" t="str">
        <f>IF(AND(OR(LEFT(TH!N5283,2)="15",LEFT(TH!O5283,2)="15"),LEFT(TH!O5283,3)&lt;&gt;"111",'152-CT'!$J$8=TH!F5283),"x","")</f>
        <v/>
      </c>
      <c r="AC5283" s="79" t="str">
        <f>IF(AND(OR(LEFT(TH!N5283,2)="15",LEFT(TH!O5283,2)="15"),TK!$E$7=TH!F5283),"x","")</f>
        <v/>
      </c>
      <c r="AD5283" s="79" t="str">
        <f>IF(AND(N5283="1521",MONTH(C5283)='BK-NL'!$M$11),"x","")</f>
        <v/>
      </c>
    </row>
    <row r="5284" spans="1:30" ht="16.5" customHeight="1">
      <c r="A5284" s="318" t="str">
        <f>IF(B5284&lt;&gt;"",IF(AND(B5284='IN-TC'!$S$4,OR(TH!N5284="1111",TH!O5284="1111")),TH!D5284,""),"")</f>
        <v/>
      </c>
      <c r="B5284" s="60" t="str">
        <f t="shared" si="503"/>
        <v/>
      </c>
      <c r="C5284" s="61"/>
      <c r="D5284" s="61"/>
      <c r="E5284" s="61"/>
      <c r="F5284" s="69"/>
      <c r="G5284" s="766"/>
      <c r="H5284" s="69"/>
      <c r="I5284" s="385"/>
      <c r="J5284" s="392"/>
      <c r="K5284" s="385"/>
      <c r="L5284" s="392"/>
      <c r="M5284" s="62"/>
      <c r="N5284" s="63"/>
      <c r="O5284" s="63"/>
      <c r="P5284" s="79" t="str">
        <f>IF(AND('331-CT'!$E$7=TH!H5284,OR(N5284="331",O5284="331")),"x","")</f>
        <v/>
      </c>
      <c r="Q5284" s="79" t="str">
        <f>IF(AND(B5284='111'!$L$11,OR($N5284=$Q$7,$O5284=$Q$7)),"x","")</f>
        <v/>
      </c>
      <c r="R5284" s="79" t="str">
        <f>IF(AND($N5284=$Q$7,$B5284&lt;'111'!$L$11),"x","")</f>
        <v/>
      </c>
      <c r="S5284" s="79" t="str">
        <f>IF(AND($O5284=$Q$7,$B5284&lt;'111'!$L$11),"x","")</f>
        <v/>
      </c>
      <c r="T5284" s="79" t="str">
        <f>IF(ISERROR(FIND('112'!$M$9,G5284,1)),"",IF((AND(FIND('112'!$M$9,G5284,1)&gt;=1,B5284='112'!$K$9,OR($N5284='112'!$I$6,$O5284='112'!$I$6))),"x",""))</f>
        <v/>
      </c>
      <c r="U5284" s="79" t="str">
        <f>IF(ISERROR(FIND('112'!$M$9,G5284,1)),"",IF((AND(LEFT(G5284,2)=LEFT('112'!$M$9,2),B5284&lt;'112'!$K$9,$N5284='112'!$I$6)),"x",""))</f>
        <v/>
      </c>
      <c r="V5284" s="79" t="str">
        <f>IF(ISERROR(FIND('112'!$M$9,G5284,1)),"",IF((AND(RIGHT(G5284,2)=RIGHT('112'!$M$9,2),B5284&lt;'112'!$K$9,$O5284='112'!$I$6)),"x",""))</f>
        <v/>
      </c>
      <c r="W5284" s="79" t="str">
        <f>IF(AND('341-CT'!$H$9=H5284,OR(LEFT(N5284,3)=$W$7,LEFT(O5284,3)=$W$7)),"x","")</f>
        <v/>
      </c>
      <c r="X5284" s="79" t="str">
        <f>IF(OR(TH!N5284=TH!$X$7,O5284=TH!$X$7),"x","")</f>
        <v/>
      </c>
      <c r="Y5284" s="79" t="str">
        <f>IF(AND(OR(N5284="131",O5284="131"),H5284='131-CT'!$H$9),"x","")</f>
        <v/>
      </c>
      <c r="Z5284" s="79"/>
      <c r="AA5284" s="79" t="str">
        <f>IF(AND(MONTH(E5284)='IN-NX'!$J$5,'IN-NX'!$D$7=D5284),"x","")</f>
        <v/>
      </c>
      <c r="AB5284" s="79" t="str">
        <f>IF(AND(OR(LEFT(TH!N5284,2)="15",LEFT(TH!O5284,2)="15"),LEFT(TH!O5284,3)&lt;&gt;"111",'152-CT'!$J$8=TH!F5284),"x","")</f>
        <v/>
      </c>
      <c r="AC5284" s="79" t="str">
        <f>IF(AND(OR(LEFT(TH!N5284,2)="15",LEFT(TH!O5284,2)="15"),TK!$E$7=TH!F5284),"x","")</f>
        <v/>
      </c>
      <c r="AD5284" s="79" t="str">
        <f>IF(AND(N5284="1521",MONTH(C5284)='BK-NL'!$M$11),"x","")</f>
        <v/>
      </c>
    </row>
    <row r="5285" spans="1:30" ht="16.5" customHeight="1">
      <c r="A5285" s="318" t="str">
        <f>IF(B5285&lt;&gt;"",IF(AND(B5285='IN-TC'!$S$4,OR(TH!N5285="1111",TH!O5285="1111")),TH!D5285,""),"")</f>
        <v/>
      </c>
      <c r="B5285" s="60" t="str">
        <f t="shared" si="503"/>
        <v/>
      </c>
      <c r="C5285" s="61"/>
      <c r="D5285" s="61"/>
      <c r="E5285" s="61"/>
      <c r="F5285" s="69"/>
      <c r="G5285" s="766"/>
      <c r="H5285" s="69"/>
      <c r="I5285" s="385"/>
      <c r="J5285" s="392"/>
      <c r="K5285" s="385"/>
      <c r="L5285" s="392"/>
      <c r="M5285" s="62"/>
      <c r="N5285" s="63"/>
      <c r="O5285" s="63"/>
      <c r="P5285" s="79" t="str">
        <f>IF(AND('331-CT'!$E$7=TH!H5285,OR(N5285="331",O5285="331")),"x","")</f>
        <v/>
      </c>
      <c r="Q5285" s="79" t="str">
        <f>IF(AND(B5285='111'!$L$11,OR($N5285=$Q$7,$O5285=$Q$7)),"x","")</f>
        <v/>
      </c>
      <c r="R5285" s="79" t="str">
        <f>IF(AND($N5285=$Q$7,$B5285&lt;'111'!$L$11),"x","")</f>
        <v/>
      </c>
      <c r="S5285" s="79" t="str">
        <f>IF(AND($O5285=$Q$7,$B5285&lt;'111'!$L$11),"x","")</f>
        <v/>
      </c>
      <c r="T5285" s="79" t="str">
        <f>IF(ISERROR(FIND('112'!$M$9,G5285,1)),"",IF((AND(FIND('112'!$M$9,G5285,1)&gt;=1,B5285='112'!$K$9,OR($N5285='112'!$I$6,$O5285='112'!$I$6))),"x",""))</f>
        <v/>
      </c>
      <c r="U5285" s="79" t="str">
        <f>IF(ISERROR(FIND('112'!$M$9,G5285,1)),"",IF((AND(LEFT(G5285,2)=LEFT('112'!$M$9,2),B5285&lt;'112'!$K$9,$N5285='112'!$I$6)),"x",""))</f>
        <v/>
      </c>
      <c r="V5285" s="79" t="str">
        <f>IF(ISERROR(FIND('112'!$M$9,G5285,1)),"",IF((AND(RIGHT(G5285,2)=RIGHT('112'!$M$9,2),B5285&lt;'112'!$K$9,$O5285='112'!$I$6)),"x",""))</f>
        <v/>
      </c>
      <c r="W5285" s="79" t="str">
        <f>IF(AND('341-CT'!$H$9=H5285,OR(LEFT(N5285,3)=$W$7,LEFT(O5285,3)=$W$7)),"x","")</f>
        <v/>
      </c>
      <c r="X5285" s="79" t="str">
        <f>IF(OR(TH!N5285=TH!$X$7,O5285=TH!$X$7),"x","")</f>
        <v/>
      </c>
      <c r="Y5285" s="79" t="str">
        <f>IF(AND(OR(N5285="131",O5285="131"),H5285='131-CT'!$H$9),"x","")</f>
        <v/>
      </c>
      <c r="Z5285" s="79"/>
      <c r="AA5285" s="79" t="str">
        <f>IF(AND(MONTH(E5285)='IN-NX'!$J$5,'IN-NX'!$D$7=D5285),"x","")</f>
        <v/>
      </c>
      <c r="AB5285" s="79" t="str">
        <f>IF(AND(OR(LEFT(TH!N5285,2)="15",LEFT(TH!O5285,2)="15"),LEFT(TH!O5285,3)&lt;&gt;"111",'152-CT'!$J$8=TH!F5285),"x","")</f>
        <v/>
      </c>
      <c r="AC5285" s="79" t="str">
        <f>IF(AND(OR(LEFT(TH!N5285,2)="15",LEFT(TH!O5285,2)="15"),TK!$E$7=TH!F5285),"x","")</f>
        <v/>
      </c>
      <c r="AD5285" s="79" t="str">
        <f>IF(AND(N5285="1521",MONTH(C5285)='BK-NL'!$M$11),"x","")</f>
        <v/>
      </c>
    </row>
    <row r="5286" spans="1:30" ht="16.5" customHeight="1">
      <c r="A5286" s="318" t="str">
        <f>IF(B5286&lt;&gt;"",IF(AND(B5286='IN-TC'!$S$4,OR(TH!N5286="1111",TH!O5286="1111")),TH!D5286,""),"")</f>
        <v/>
      </c>
      <c r="B5286" s="60" t="str">
        <f t="shared" si="503"/>
        <v/>
      </c>
      <c r="C5286" s="61"/>
      <c r="D5286" s="61"/>
      <c r="E5286" s="61"/>
      <c r="F5286" s="69"/>
      <c r="G5286" s="766"/>
      <c r="H5286" s="69"/>
      <c r="I5286" s="385"/>
      <c r="J5286" s="392"/>
      <c r="K5286" s="385"/>
      <c r="L5286" s="392"/>
      <c r="M5286" s="62"/>
      <c r="N5286" s="63"/>
      <c r="O5286" s="63"/>
      <c r="P5286" s="79" t="str">
        <f>IF(AND('331-CT'!$E$7=TH!H5286,OR(N5286="331",O5286="331")),"x","")</f>
        <v/>
      </c>
      <c r="Q5286" s="79" t="str">
        <f>IF(AND(B5286='111'!$L$11,OR($N5286=$Q$7,$O5286=$Q$7)),"x","")</f>
        <v/>
      </c>
      <c r="R5286" s="79" t="str">
        <f>IF(AND($N5286=$Q$7,$B5286&lt;'111'!$L$11),"x","")</f>
        <v/>
      </c>
      <c r="S5286" s="79" t="str">
        <f>IF(AND($O5286=$Q$7,$B5286&lt;'111'!$L$11),"x","")</f>
        <v/>
      </c>
      <c r="T5286" s="79" t="str">
        <f>IF(ISERROR(FIND('112'!$M$9,G5286,1)),"",IF((AND(FIND('112'!$M$9,G5286,1)&gt;=1,B5286='112'!$K$9,OR($N5286='112'!$I$6,$O5286='112'!$I$6))),"x",""))</f>
        <v/>
      </c>
      <c r="U5286" s="79" t="str">
        <f>IF(ISERROR(FIND('112'!$M$9,G5286,1)),"",IF((AND(LEFT(G5286,2)=LEFT('112'!$M$9,2),B5286&lt;'112'!$K$9,$N5286='112'!$I$6)),"x",""))</f>
        <v/>
      </c>
      <c r="V5286" s="79" t="str">
        <f>IF(ISERROR(FIND('112'!$M$9,G5286,1)),"",IF((AND(RIGHT(G5286,2)=RIGHT('112'!$M$9,2),B5286&lt;'112'!$K$9,$O5286='112'!$I$6)),"x",""))</f>
        <v/>
      </c>
      <c r="W5286" s="79" t="str">
        <f>IF(AND('341-CT'!$H$9=H5286,OR(LEFT(N5286,3)=$W$7,LEFT(O5286,3)=$W$7)),"x","")</f>
        <v/>
      </c>
      <c r="X5286" s="79" t="str">
        <f>IF(OR(TH!N5286=TH!$X$7,O5286=TH!$X$7),"x","")</f>
        <v/>
      </c>
      <c r="Y5286" s="79" t="str">
        <f>IF(AND(OR(N5286="131",O5286="131"),H5286='131-CT'!$H$9),"x","")</f>
        <v/>
      </c>
      <c r="Z5286" s="79"/>
      <c r="AA5286" s="79" t="str">
        <f>IF(AND(MONTH(E5286)='IN-NX'!$J$5,'IN-NX'!$D$7=D5286),"x","")</f>
        <v/>
      </c>
      <c r="AB5286" s="79" t="str">
        <f>IF(AND(OR(LEFT(TH!N5286,2)="15",LEFT(TH!O5286,2)="15"),LEFT(TH!O5286,3)&lt;&gt;"111",'152-CT'!$J$8=TH!F5286),"x","")</f>
        <v/>
      </c>
      <c r="AC5286" s="79" t="str">
        <f>IF(AND(OR(LEFT(TH!N5286,2)="15",LEFT(TH!O5286,2)="15"),TK!$E$7=TH!F5286),"x","")</f>
        <v/>
      </c>
      <c r="AD5286" s="79" t="str">
        <f>IF(AND(N5286="1521",MONTH(C5286)='BK-NL'!$M$11),"x","")</f>
        <v/>
      </c>
    </row>
    <row r="5287" spans="1:30" ht="16.5" customHeight="1">
      <c r="A5287" s="318" t="str">
        <f>IF(B5287&lt;&gt;"",IF(AND(B5287='IN-TC'!$S$4,OR(TH!N5287="1111",TH!O5287="1111")),TH!D5287,""),"")</f>
        <v/>
      </c>
      <c r="B5287" s="60" t="str">
        <f t="shared" si="503"/>
        <v/>
      </c>
      <c r="C5287" s="61"/>
      <c r="D5287" s="61"/>
      <c r="E5287" s="61"/>
      <c r="F5287" s="69"/>
      <c r="G5287" s="766"/>
      <c r="H5287" s="69"/>
      <c r="I5287" s="385"/>
      <c r="J5287" s="392"/>
      <c r="K5287" s="385"/>
      <c r="L5287" s="392"/>
      <c r="M5287" s="62"/>
      <c r="N5287" s="63"/>
      <c r="O5287" s="63"/>
      <c r="P5287" s="79" t="str">
        <f>IF(AND('331-CT'!$E$7=TH!H5287,OR(N5287="331",O5287="331")),"x","")</f>
        <v/>
      </c>
      <c r="Q5287" s="79" t="str">
        <f>IF(AND(B5287='111'!$L$11,OR($N5287=$Q$7,$O5287=$Q$7)),"x","")</f>
        <v/>
      </c>
      <c r="R5287" s="79" t="str">
        <f>IF(AND($N5287=$Q$7,$B5287&lt;'111'!$L$11),"x","")</f>
        <v/>
      </c>
      <c r="S5287" s="79" t="str">
        <f>IF(AND($O5287=$Q$7,$B5287&lt;'111'!$L$11),"x","")</f>
        <v/>
      </c>
      <c r="T5287" s="79" t="str">
        <f>IF(ISERROR(FIND('112'!$M$9,G5287,1)),"",IF((AND(FIND('112'!$M$9,G5287,1)&gt;=1,B5287='112'!$K$9,OR($N5287='112'!$I$6,$O5287='112'!$I$6))),"x",""))</f>
        <v/>
      </c>
      <c r="U5287" s="79" t="str">
        <f>IF(ISERROR(FIND('112'!$M$9,G5287,1)),"",IF((AND(LEFT(G5287,2)=LEFT('112'!$M$9,2),B5287&lt;'112'!$K$9,$N5287='112'!$I$6)),"x",""))</f>
        <v/>
      </c>
      <c r="V5287" s="79" t="str">
        <f>IF(ISERROR(FIND('112'!$M$9,G5287,1)),"",IF((AND(RIGHT(G5287,2)=RIGHT('112'!$M$9,2),B5287&lt;'112'!$K$9,$O5287='112'!$I$6)),"x",""))</f>
        <v/>
      </c>
      <c r="W5287" s="79" t="str">
        <f>IF(AND('341-CT'!$H$9=H5287,OR(LEFT(N5287,3)=$W$7,LEFT(O5287,3)=$W$7)),"x","")</f>
        <v/>
      </c>
      <c r="X5287" s="79" t="str">
        <f>IF(OR(TH!N5287=TH!$X$7,O5287=TH!$X$7),"x","")</f>
        <v/>
      </c>
      <c r="Y5287" s="79" t="str">
        <f>IF(AND(OR(N5287="131",O5287="131"),H5287='131-CT'!$H$9),"x","")</f>
        <v/>
      </c>
      <c r="Z5287" s="79"/>
      <c r="AA5287" s="79" t="str">
        <f>IF(AND(MONTH(E5287)='IN-NX'!$J$5,'IN-NX'!$D$7=D5287),"x","")</f>
        <v/>
      </c>
      <c r="AB5287" s="79" t="str">
        <f>IF(AND(OR(LEFT(TH!N5287,2)="15",LEFT(TH!O5287,2)="15"),LEFT(TH!O5287,3)&lt;&gt;"111",'152-CT'!$J$8=TH!F5287),"x","")</f>
        <v/>
      </c>
      <c r="AC5287" s="79" t="str">
        <f>IF(AND(OR(LEFT(TH!N5287,2)="15",LEFT(TH!O5287,2)="15"),TK!$E$7=TH!F5287),"x","")</f>
        <v/>
      </c>
      <c r="AD5287" s="79" t="str">
        <f>IF(AND(N5287="1521",MONTH(C5287)='BK-NL'!$M$11),"x","")</f>
        <v/>
      </c>
    </row>
    <row r="5288" spans="1:30" ht="16.5" customHeight="1">
      <c r="A5288" s="318" t="str">
        <f>IF(B5288&lt;&gt;"",IF(AND(B5288='IN-TC'!$S$4,OR(TH!N5288="1111",TH!O5288="1111")),TH!D5288,""),"")</f>
        <v/>
      </c>
      <c r="B5288" s="60" t="str">
        <f t="shared" si="503"/>
        <v/>
      </c>
      <c r="C5288" s="61"/>
      <c r="D5288" s="61"/>
      <c r="E5288" s="61"/>
      <c r="F5288" s="69"/>
      <c r="G5288" s="766"/>
      <c r="H5288" s="69"/>
      <c r="I5288" s="385"/>
      <c r="J5288" s="392"/>
      <c r="K5288" s="385"/>
      <c r="L5288" s="392"/>
      <c r="M5288" s="62"/>
      <c r="N5288" s="63"/>
      <c r="O5288" s="63"/>
      <c r="P5288" s="79" t="str">
        <f>IF(AND('331-CT'!$E$7=TH!H5288,OR(N5288="331",O5288="331")),"x","")</f>
        <v/>
      </c>
      <c r="Q5288" s="79" t="str">
        <f>IF(AND(B5288='111'!$L$11,OR($N5288=$Q$7,$O5288=$Q$7)),"x","")</f>
        <v/>
      </c>
      <c r="R5288" s="79" t="str">
        <f>IF(AND($N5288=$Q$7,$B5288&lt;'111'!$L$11),"x","")</f>
        <v/>
      </c>
      <c r="S5288" s="79" t="str">
        <f>IF(AND($O5288=$Q$7,$B5288&lt;'111'!$L$11),"x","")</f>
        <v/>
      </c>
      <c r="T5288" s="79" t="str">
        <f>IF(ISERROR(FIND('112'!$M$9,G5288,1)),"",IF((AND(FIND('112'!$M$9,G5288,1)&gt;=1,B5288='112'!$K$9,OR($N5288='112'!$I$6,$O5288='112'!$I$6))),"x",""))</f>
        <v/>
      </c>
      <c r="U5288" s="79" t="str">
        <f>IF(ISERROR(FIND('112'!$M$9,G5288,1)),"",IF((AND(LEFT(G5288,2)=LEFT('112'!$M$9,2),B5288&lt;'112'!$K$9,$N5288='112'!$I$6)),"x",""))</f>
        <v/>
      </c>
      <c r="V5288" s="79" t="str">
        <f>IF(ISERROR(FIND('112'!$M$9,G5288,1)),"",IF((AND(RIGHT(G5288,2)=RIGHT('112'!$M$9,2),B5288&lt;'112'!$K$9,$O5288='112'!$I$6)),"x",""))</f>
        <v/>
      </c>
      <c r="W5288" s="79" t="str">
        <f>IF(AND('341-CT'!$H$9=H5288,OR(LEFT(N5288,3)=$W$7,LEFT(O5288,3)=$W$7)),"x","")</f>
        <v/>
      </c>
      <c r="X5288" s="79" t="str">
        <f>IF(OR(TH!N5288=TH!$X$7,O5288=TH!$X$7),"x","")</f>
        <v/>
      </c>
      <c r="Y5288" s="79" t="str">
        <f>IF(AND(OR(N5288="131",O5288="131"),H5288='131-CT'!$H$9),"x","")</f>
        <v/>
      </c>
      <c r="Z5288" s="79"/>
      <c r="AA5288" s="79" t="str">
        <f>IF(AND(MONTH(E5288)='IN-NX'!$J$5,'IN-NX'!$D$7=D5288),"x","")</f>
        <v/>
      </c>
      <c r="AB5288" s="79" t="str">
        <f>IF(AND(OR(LEFT(TH!N5288,2)="15",LEFT(TH!O5288,2)="15"),LEFT(TH!O5288,3)&lt;&gt;"111",'152-CT'!$J$8=TH!F5288),"x","")</f>
        <v/>
      </c>
      <c r="AC5288" s="79" t="str">
        <f>IF(AND(OR(LEFT(TH!N5288,2)="15",LEFT(TH!O5288,2)="15"),TK!$E$7=TH!F5288),"x","")</f>
        <v/>
      </c>
      <c r="AD5288" s="79" t="str">
        <f>IF(AND(N5288="1521",MONTH(C5288)='BK-NL'!$M$11),"x","")</f>
        <v/>
      </c>
    </row>
    <row r="5289" spans="1:30" ht="16.5" customHeight="1">
      <c r="A5289" s="318" t="str">
        <f>IF(B5289&lt;&gt;"",IF(AND(B5289='IN-TC'!$S$4,OR(TH!N5289="1111",TH!O5289="1111")),TH!D5289,""),"")</f>
        <v/>
      </c>
      <c r="B5289" s="60" t="str">
        <f t="shared" si="503"/>
        <v/>
      </c>
      <c r="C5289" s="61"/>
      <c r="D5289" s="61"/>
      <c r="E5289" s="61"/>
      <c r="F5289" s="69"/>
      <c r="G5289" s="766"/>
      <c r="H5289" s="69"/>
      <c r="I5289" s="385"/>
      <c r="J5289" s="392"/>
      <c r="K5289" s="385"/>
      <c r="L5289" s="392"/>
      <c r="M5289" s="62"/>
      <c r="N5289" s="63"/>
      <c r="O5289" s="63"/>
      <c r="P5289" s="79" t="str">
        <f>IF(AND('331-CT'!$E$7=TH!H5289,OR(N5289="331",O5289="331")),"x","")</f>
        <v/>
      </c>
      <c r="Q5289" s="79" t="str">
        <f>IF(AND(B5289='111'!$L$11,OR($N5289=$Q$7,$O5289=$Q$7)),"x","")</f>
        <v/>
      </c>
      <c r="R5289" s="79" t="str">
        <f>IF(AND($N5289=$Q$7,$B5289&lt;'111'!$L$11),"x","")</f>
        <v/>
      </c>
      <c r="S5289" s="79" t="str">
        <f>IF(AND($O5289=$Q$7,$B5289&lt;'111'!$L$11),"x","")</f>
        <v/>
      </c>
      <c r="T5289" s="79" t="str">
        <f>IF(ISERROR(FIND('112'!$M$9,G5289,1)),"",IF((AND(FIND('112'!$M$9,G5289,1)&gt;=1,B5289='112'!$K$9,OR($N5289='112'!$I$6,$O5289='112'!$I$6))),"x",""))</f>
        <v/>
      </c>
      <c r="U5289" s="79" t="str">
        <f>IF(ISERROR(FIND('112'!$M$9,G5289,1)),"",IF((AND(LEFT(G5289,2)=LEFT('112'!$M$9,2),B5289&lt;'112'!$K$9,$N5289='112'!$I$6)),"x",""))</f>
        <v/>
      </c>
      <c r="V5289" s="79" t="str">
        <f>IF(ISERROR(FIND('112'!$M$9,G5289,1)),"",IF((AND(RIGHT(G5289,2)=RIGHT('112'!$M$9,2),B5289&lt;'112'!$K$9,$O5289='112'!$I$6)),"x",""))</f>
        <v/>
      </c>
      <c r="W5289" s="79" t="str">
        <f>IF(AND('341-CT'!$H$9=H5289,OR(LEFT(N5289,3)=$W$7,LEFT(O5289,3)=$W$7)),"x","")</f>
        <v/>
      </c>
      <c r="X5289" s="79" t="str">
        <f>IF(OR(TH!N5289=TH!$X$7,O5289=TH!$X$7),"x","")</f>
        <v/>
      </c>
      <c r="Y5289" s="79" t="str">
        <f>IF(AND(OR(N5289="131",O5289="131"),H5289='131-CT'!$H$9),"x","")</f>
        <v/>
      </c>
      <c r="Z5289" s="79"/>
      <c r="AA5289" s="79" t="str">
        <f>IF(AND(MONTH(E5289)='IN-NX'!$J$5,'IN-NX'!$D$7=D5289),"x","")</f>
        <v/>
      </c>
      <c r="AB5289" s="79" t="str">
        <f>IF(AND(OR(LEFT(TH!N5289,2)="15",LEFT(TH!O5289,2)="15"),LEFT(TH!O5289,3)&lt;&gt;"111",'152-CT'!$J$8=TH!F5289),"x","")</f>
        <v/>
      </c>
      <c r="AC5289" s="79" t="str">
        <f>IF(AND(OR(LEFT(TH!N5289,2)="15",LEFT(TH!O5289,2)="15"),TK!$E$7=TH!F5289),"x","")</f>
        <v/>
      </c>
      <c r="AD5289" s="79" t="str">
        <f>IF(AND(N5289="1521",MONTH(C5289)='BK-NL'!$M$11),"x","")</f>
        <v/>
      </c>
    </row>
    <row r="5290" spans="1:30" ht="16.5" customHeight="1">
      <c r="A5290" s="318" t="str">
        <f>IF(B5290&lt;&gt;"",IF(AND(B5290='IN-TC'!$S$4,OR(TH!N5290="1111",TH!O5290="1111")),TH!D5290,""),"")</f>
        <v/>
      </c>
      <c r="B5290" s="60" t="str">
        <f t="shared" si="503"/>
        <v/>
      </c>
      <c r="C5290" s="61"/>
      <c r="D5290" s="61"/>
      <c r="E5290" s="61"/>
      <c r="F5290" s="69"/>
      <c r="G5290" s="766"/>
      <c r="H5290" s="69"/>
      <c r="I5290" s="385"/>
      <c r="J5290" s="392"/>
      <c r="K5290" s="385"/>
      <c r="L5290" s="392"/>
      <c r="M5290" s="62"/>
      <c r="N5290" s="63"/>
      <c r="O5290" s="63"/>
      <c r="P5290" s="79" t="str">
        <f>IF(AND('331-CT'!$E$7=TH!H5290,OR(N5290="331",O5290="331")),"x","")</f>
        <v/>
      </c>
      <c r="Q5290" s="79" t="str">
        <f>IF(AND(B5290='111'!$L$11,OR($N5290=$Q$7,$O5290=$Q$7)),"x","")</f>
        <v/>
      </c>
      <c r="R5290" s="79" t="str">
        <f>IF(AND($N5290=$Q$7,$B5290&lt;'111'!$L$11),"x","")</f>
        <v/>
      </c>
      <c r="S5290" s="79" t="str">
        <f>IF(AND($O5290=$Q$7,$B5290&lt;'111'!$L$11),"x","")</f>
        <v/>
      </c>
      <c r="T5290" s="79" t="str">
        <f>IF(ISERROR(FIND('112'!$M$9,G5290,1)),"",IF((AND(FIND('112'!$M$9,G5290,1)&gt;=1,B5290='112'!$K$9,OR($N5290='112'!$I$6,$O5290='112'!$I$6))),"x",""))</f>
        <v/>
      </c>
      <c r="U5290" s="79" t="str">
        <f>IF(ISERROR(FIND('112'!$M$9,G5290,1)),"",IF((AND(LEFT(G5290,2)=LEFT('112'!$M$9,2),B5290&lt;'112'!$K$9,$N5290='112'!$I$6)),"x",""))</f>
        <v/>
      </c>
      <c r="V5290" s="79" t="str">
        <f>IF(ISERROR(FIND('112'!$M$9,G5290,1)),"",IF((AND(RIGHT(G5290,2)=RIGHT('112'!$M$9,2),B5290&lt;'112'!$K$9,$O5290='112'!$I$6)),"x",""))</f>
        <v/>
      </c>
      <c r="W5290" s="79" t="str">
        <f>IF(AND('341-CT'!$H$9=H5290,OR(LEFT(N5290,3)=$W$7,LEFT(O5290,3)=$W$7)),"x","")</f>
        <v/>
      </c>
      <c r="X5290" s="79" t="str">
        <f>IF(OR(TH!N5290=TH!$X$7,O5290=TH!$X$7),"x","")</f>
        <v/>
      </c>
      <c r="Y5290" s="79" t="str">
        <f>IF(AND(OR(N5290="131",O5290="131"),H5290='131-CT'!$H$9),"x","")</f>
        <v/>
      </c>
      <c r="Z5290" s="79"/>
      <c r="AA5290" s="79" t="str">
        <f>IF(AND(MONTH(E5290)='IN-NX'!$J$5,'IN-NX'!$D$7=D5290),"x","")</f>
        <v/>
      </c>
      <c r="AB5290" s="79" t="str">
        <f>IF(AND(OR(LEFT(TH!N5290,2)="15",LEFT(TH!O5290,2)="15"),LEFT(TH!O5290,3)&lt;&gt;"111",'152-CT'!$J$8=TH!F5290),"x","")</f>
        <v/>
      </c>
      <c r="AC5290" s="79" t="str">
        <f>IF(AND(OR(LEFT(TH!N5290,2)="15",LEFT(TH!O5290,2)="15"),TK!$E$7=TH!F5290),"x","")</f>
        <v/>
      </c>
      <c r="AD5290" s="79" t="str">
        <f>IF(AND(N5290="1521",MONTH(C5290)='BK-NL'!$M$11),"x","")</f>
        <v/>
      </c>
    </row>
    <row r="5291" spans="1:30" ht="16.5" customHeight="1">
      <c r="A5291" s="318" t="str">
        <f>IF(B5291&lt;&gt;"",IF(AND(B5291='IN-TC'!$S$4,OR(TH!N5291="1111",TH!O5291="1111")),TH!D5291,""),"")</f>
        <v/>
      </c>
      <c r="B5291" s="60" t="str">
        <f t="shared" si="503"/>
        <v/>
      </c>
      <c r="C5291" s="61"/>
      <c r="D5291" s="61"/>
      <c r="E5291" s="61"/>
      <c r="F5291" s="69"/>
      <c r="G5291" s="766"/>
      <c r="H5291" s="69"/>
      <c r="I5291" s="385"/>
      <c r="J5291" s="392"/>
      <c r="K5291" s="385"/>
      <c r="L5291" s="392"/>
      <c r="M5291" s="62"/>
      <c r="N5291" s="63"/>
      <c r="O5291" s="63"/>
      <c r="P5291" s="79" t="str">
        <f>IF(AND('331-CT'!$E$7=TH!H5291,OR(N5291="331",O5291="331")),"x","")</f>
        <v/>
      </c>
      <c r="Q5291" s="79" t="str">
        <f>IF(AND(B5291='111'!$L$11,OR($N5291=$Q$7,$O5291=$Q$7)),"x","")</f>
        <v/>
      </c>
      <c r="R5291" s="79" t="str">
        <f>IF(AND($N5291=$Q$7,$B5291&lt;'111'!$L$11),"x","")</f>
        <v/>
      </c>
      <c r="S5291" s="79" t="str">
        <f>IF(AND($O5291=$Q$7,$B5291&lt;'111'!$L$11),"x","")</f>
        <v/>
      </c>
      <c r="T5291" s="79" t="str">
        <f>IF(ISERROR(FIND('112'!$M$9,G5291,1)),"",IF((AND(FIND('112'!$M$9,G5291,1)&gt;=1,B5291='112'!$K$9,OR($N5291='112'!$I$6,$O5291='112'!$I$6))),"x",""))</f>
        <v/>
      </c>
      <c r="U5291" s="79" t="str">
        <f>IF(ISERROR(FIND('112'!$M$9,G5291,1)),"",IF((AND(LEFT(G5291,2)=LEFT('112'!$M$9,2),B5291&lt;'112'!$K$9,$N5291='112'!$I$6)),"x",""))</f>
        <v/>
      </c>
      <c r="V5291" s="79" t="str">
        <f>IF(ISERROR(FIND('112'!$M$9,G5291,1)),"",IF((AND(RIGHT(G5291,2)=RIGHT('112'!$M$9,2),B5291&lt;'112'!$K$9,$O5291='112'!$I$6)),"x",""))</f>
        <v/>
      </c>
      <c r="W5291" s="79" t="str">
        <f>IF(AND('341-CT'!$H$9=H5291,OR(LEFT(N5291,3)=$W$7,LEFT(O5291,3)=$W$7)),"x","")</f>
        <v/>
      </c>
      <c r="X5291" s="79" t="str">
        <f>IF(OR(TH!N5291=TH!$X$7,O5291=TH!$X$7),"x","")</f>
        <v/>
      </c>
      <c r="Y5291" s="79" t="str">
        <f>IF(AND(OR(N5291="131",O5291="131"),H5291='131-CT'!$H$9),"x","")</f>
        <v/>
      </c>
      <c r="Z5291" s="79"/>
      <c r="AA5291" s="79" t="str">
        <f>IF(AND(MONTH(E5291)='IN-NX'!$J$5,'IN-NX'!$D$7=D5291),"x","")</f>
        <v/>
      </c>
      <c r="AB5291" s="79" t="str">
        <f>IF(AND(OR(LEFT(TH!N5291,2)="15",LEFT(TH!O5291,2)="15"),LEFT(TH!O5291,3)&lt;&gt;"111",'152-CT'!$J$8=TH!F5291),"x","")</f>
        <v/>
      </c>
      <c r="AC5291" s="79" t="str">
        <f>IF(AND(OR(LEFT(TH!N5291,2)="15",LEFT(TH!O5291,2)="15"),TK!$E$7=TH!F5291),"x","")</f>
        <v/>
      </c>
      <c r="AD5291" s="79" t="str">
        <f>IF(AND(N5291="1521",MONTH(C5291)='BK-NL'!$M$11),"x","")</f>
        <v/>
      </c>
    </row>
    <row r="5292" spans="1:30" ht="16.5" customHeight="1">
      <c r="A5292" s="318" t="str">
        <f>IF(B5292&lt;&gt;"",IF(AND(B5292='IN-TC'!$S$4,OR(TH!N5292="1111",TH!O5292="1111")),TH!D5292,""),"")</f>
        <v/>
      </c>
      <c r="B5292" s="60" t="str">
        <f t="shared" si="503"/>
        <v/>
      </c>
      <c r="C5292" s="61"/>
      <c r="D5292" s="61"/>
      <c r="E5292" s="61"/>
      <c r="F5292" s="69"/>
      <c r="G5292" s="766"/>
      <c r="H5292" s="69"/>
      <c r="I5292" s="385"/>
      <c r="J5292" s="392"/>
      <c r="K5292" s="385"/>
      <c r="L5292" s="392"/>
      <c r="M5292" s="62"/>
      <c r="N5292" s="63"/>
      <c r="O5292" s="63"/>
      <c r="P5292" s="79" t="str">
        <f>IF(AND('331-CT'!$E$7=TH!H5292,OR(N5292="331",O5292="331")),"x","")</f>
        <v/>
      </c>
      <c r="Q5292" s="79" t="str">
        <f>IF(AND(B5292='111'!$L$11,OR($N5292=$Q$7,$O5292=$Q$7)),"x","")</f>
        <v/>
      </c>
      <c r="R5292" s="79" t="str">
        <f>IF(AND($N5292=$Q$7,$B5292&lt;'111'!$L$11),"x","")</f>
        <v/>
      </c>
      <c r="S5292" s="79" t="str">
        <f>IF(AND($O5292=$Q$7,$B5292&lt;'111'!$L$11),"x","")</f>
        <v/>
      </c>
      <c r="T5292" s="79" t="str">
        <f>IF(ISERROR(FIND('112'!$M$9,G5292,1)),"",IF((AND(FIND('112'!$M$9,G5292,1)&gt;=1,B5292='112'!$K$9,OR($N5292='112'!$I$6,$O5292='112'!$I$6))),"x",""))</f>
        <v/>
      </c>
      <c r="U5292" s="79" t="str">
        <f>IF(ISERROR(FIND('112'!$M$9,G5292,1)),"",IF((AND(LEFT(G5292,2)=LEFT('112'!$M$9,2),B5292&lt;'112'!$K$9,$N5292='112'!$I$6)),"x",""))</f>
        <v/>
      </c>
      <c r="V5292" s="79" t="str">
        <f>IF(ISERROR(FIND('112'!$M$9,G5292,1)),"",IF((AND(RIGHT(G5292,2)=RIGHT('112'!$M$9,2),B5292&lt;'112'!$K$9,$O5292='112'!$I$6)),"x",""))</f>
        <v/>
      </c>
      <c r="W5292" s="79" t="str">
        <f>IF(AND('341-CT'!$H$9=H5292,OR(LEFT(N5292,3)=$W$7,LEFT(O5292,3)=$W$7)),"x","")</f>
        <v/>
      </c>
      <c r="X5292" s="79" t="str">
        <f>IF(OR(TH!N5292=TH!$X$7,O5292=TH!$X$7),"x","")</f>
        <v/>
      </c>
      <c r="Y5292" s="79" t="str">
        <f>IF(AND(OR(N5292="131",O5292="131"),H5292='131-CT'!$H$9),"x","")</f>
        <v/>
      </c>
      <c r="Z5292" s="79"/>
      <c r="AA5292" s="79" t="str">
        <f>IF(AND(MONTH(E5292)='IN-NX'!$J$5,'IN-NX'!$D$7=D5292),"x","")</f>
        <v/>
      </c>
      <c r="AB5292" s="79" t="str">
        <f>IF(AND(OR(LEFT(TH!N5292,2)="15",LEFT(TH!O5292,2)="15"),LEFT(TH!O5292,3)&lt;&gt;"111",'152-CT'!$J$8=TH!F5292),"x","")</f>
        <v/>
      </c>
      <c r="AC5292" s="79" t="str">
        <f>IF(AND(OR(LEFT(TH!N5292,2)="15",LEFT(TH!O5292,2)="15"),TK!$E$7=TH!F5292),"x","")</f>
        <v/>
      </c>
      <c r="AD5292" s="79" t="str">
        <f>IF(AND(N5292="1521",MONTH(C5292)='BK-NL'!$M$11),"x","")</f>
        <v/>
      </c>
    </row>
    <row r="5293" spans="1:30" ht="16.5" customHeight="1">
      <c r="A5293" s="318" t="str">
        <f>IF(B5293&lt;&gt;"",IF(AND(B5293='IN-TC'!$S$4,OR(TH!N5293="1111",TH!O5293="1111")),TH!D5293,""),"")</f>
        <v/>
      </c>
      <c r="B5293" s="60" t="str">
        <f t="shared" si="503"/>
        <v/>
      </c>
      <c r="C5293" s="61"/>
      <c r="D5293" s="61"/>
      <c r="E5293" s="61"/>
      <c r="F5293" s="69"/>
      <c r="G5293" s="766"/>
      <c r="H5293" s="69"/>
      <c r="I5293" s="385"/>
      <c r="J5293" s="392"/>
      <c r="K5293" s="385"/>
      <c r="L5293" s="392"/>
      <c r="M5293" s="62"/>
      <c r="N5293" s="63"/>
      <c r="O5293" s="63"/>
      <c r="P5293" s="79" t="str">
        <f>IF(AND('331-CT'!$E$7=TH!H5293,OR(N5293="331",O5293="331")),"x","")</f>
        <v/>
      </c>
      <c r="Q5293" s="79" t="str">
        <f>IF(AND(B5293='111'!$L$11,OR($N5293=$Q$7,$O5293=$Q$7)),"x","")</f>
        <v/>
      </c>
      <c r="R5293" s="79" t="str">
        <f>IF(AND($N5293=$Q$7,$B5293&lt;'111'!$L$11),"x","")</f>
        <v/>
      </c>
      <c r="S5293" s="79" t="str">
        <f>IF(AND($O5293=$Q$7,$B5293&lt;'111'!$L$11),"x","")</f>
        <v/>
      </c>
      <c r="T5293" s="79" t="str">
        <f>IF(ISERROR(FIND('112'!$M$9,G5293,1)),"",IF((AND(FIND('112'!$M$9,G5293,1)&gt;=1,B5293='112'!$K$9,OR($N5293='112'!$I$6,$O5293='112'!$I$6))),"x",""))</f>
        <v/>
      </c>
      <c r="U5293" s="79" t="str">
        <f>IF(ISERROR(FIND('112'!$M$9,G5293,1)),"",IF((AND(LEFT(G5293,2)=LEFT('112'!$M$9,2),B5293&lt;'112'!$K$9,$N5293='112'!$I$6)),"x",""))</f>
        <v/>
      </c>
      <c r="V5293" s="79" t="str">
        <f>IF(ISERROR(FIND('112'!$M$9,G5293,1)),"",IF((AND(RIGHT(G5293,2)=RIGHT('112'!$M$9,2),B5293&lt;'112'!$K$9,$O5293='112'!$I$6)),"x",""))</f>
        <v/>
      </c>
      <c r="W5293" s="79" t="str">
        <f>IF(AND('341-CT'!$H$9=H5293,OR(LEFT(N5293,3)=$W$7,LEFT(O5293,3)=$W$7)),"x","")</f>
        <v/>
      </c>
      <c r="X5293" s="79" t="str">
        <f>IF(OR(TH!N5293=TH!$X$7,O5293=TH!$X$7),"x","")</f>
        <v/>
      </c>
      <c r="Y5293" s="79" t="str">
        <f>IF(AND(OR(N5293="131",O5293="131"),H5293='131-CT'!$H$9),"x","")</f>
        <v/>
      </c>
      <c r="Z5293" s="79"/>
      <c r="AA5293" s="79" t="str">
        <f>IF(AND(MONTH(E5293)='IN-NX'!$J$5,'IN-NX'!$D$7=D5293),"x","")</f>
        <v/>
      </c>
      <c r="AB5293" s="79" t="str">
        <f>IF(AND(OR(LEFT(TH!N5293,2)="15",LEFT(TH!O5293,2)="15"),LEFT(TH!O5293,3)&lt;&gt;"111",'152-CT'!$J$8=TH!F5293),"x","")</f>
        <v/>
      </c>
      <c r="AC5293" s="79" t="str">
        <f>IF(AND(OR(LEFT(TH!N5293,2)="15",LEFT(TH!O5293,2)="15"),TK!$E$7=TH!F5293),"x","")</f>
        <v/>
      </c>
      <c r="AD5293" s="79" t="str">
        <f>IF(AND(N5293="1521",MONTH(C5293)='BK-NL'!$M$11),"x","")</f>
        <v/>
      </c>
    </row>
    <row r="5294" spans="1:30" ht="16.5" customHeight="1">
      <c r="A5294" s="318" t="str">
        <f>IF(B5294&lt;&gt;"",IF(AND(B5294='IN-TC'!$S$4,OR(TH!N5294="1111",TH!O5294="1111")),TH!D5294,""),"")</f>
        <v/>
      </c>
      <c r="B5294" s="60" t="str">
        <f t="shared" si="503"/>
        <v/>
      </c>
      <c r="C5294" s="61"/>
      <c r="D5294" s="61"/>
      <c r="E5294" s="61"/>
      <c r="F5294" s="69"/>
      <c r="G5294" s="766"/>
      <c r="H5294" s="69"/>
      <c r="I5294" s="385"/>
      <c r="J5294" s="392"/>
      <c r="K5294" s="385"/>
      <c r="L5294" s="392"/>
      <c r="M5294" s="62"/>
      <c r="N5294" s="63"/>
      <c r="O5294" s="63"/>
      <c r="P5294" s="79" t="str">
        <f>IF(AND('331-CT'!$E$7=TH!H5294,OR(N5294="331",O5294="331")),"x","")</f>
        <v/>
      </c>
      <c r="Q5294" s="79" t="str">
        <f>IF(AND(B5294='111'!$L$11,OR($N5294=$Q$7,$O5294=$Q$7)),"x","")</f>
        <v/>
      </c>
      <c r="R5294" s="79" t="str">
        <f>IF(AND($N5294=$Q$7,$B5294&lt;'111'!$L$11),"x","")</f>
        <v/>
      </c>
      <c r="S5294" s="79" t="str">
        <f>IF(AND($O5294=$Q$7,$B5294&lt;'111'!$L$11),"x","")</f>
        <v/>
      </c>
      <c r="T5294" s="79" t="str">
        <f>IF(ISERROR(FIND('112'!$M$9,G5294,1)),"",IF((AND(FIND('112'!$M$9,G5294,1)&gt;=1,B5294='112'!$K$9,OR($N5294='112'!$I$6,$O5294='112'!$I$6))),"x",""))</f>
        <v/>
      </c>
      <c r="U5294" s="79" t="str">
        <f>IF(ISERROR(FIND('112'!$M$9,G5294,1)),"",IF((AND(LEFT(G5294,2)=LEFT('112'!$M$9,2),B5294&lt;'112'!$K$9,$N5294='112'!$I$6)),"x",""))</f>
        <v/>
      </c>
      <c r="V5294" s="79" t="str">
        <f>IF(ISERROR(FIND('112'!$M$9,G5294,1)),"",IF((AND(RIGHT(G5294,2)=RIGHT('112'!$M$9,2),B5294&lt;'112'!$K$9,$O5294='112'!$I$6)),"x",""))</f>
        <v/>
      </c>
      <c r="W5294" s="79" t="str">
        <f>IF(AND('341-CT'!$H$9=H5294,OR(LEFT(N5294,3)=$W$7,LEFT(O5294,3)=$W$7)),"x","")</f>
        <v/>
      </c>
      <c r="X5294" s="79" t="str">
        <f>IF(OR(TH!N5294=TH!$X$7,O5294=TH!$X$7),"x","")</f>
        <v/>
      </c>
      <c r="Y5294" s="79" t="str">
        <f>IF(AND(OR(N5294="131",O5294="131"),H5294='131-CT'!$H$9),"x","")</f>
        <v/>
      </c>
      <c r="Z5294" s="79"/>
      <c r="AA5294" s="79" t="str">
        <f>IF(AND(MONTH(E5294)='IN-NX'!$J$5,'IN-NX'!$D$7=D5294),"x","")</f>
        <v/>
      </c>
      <c r="AB5294" s="79" t="str">
        <f>IF(AND(OR(LEFT(TH!N5294,2)="15",LEFT(TH!O5294,2)="15"),LEFT(TH!O5294,3)&lt;&gt;"111",'152-CT'!$J$8=TH!F5294),"x","")</f>
        <v/>
      </c>
      <c r="AC5294" s="79" t="str">
        <f>IF(AND(OR(LEFT(TH!N5294,2)="15",LEFT(TH!O5294,2)="15"),TK!$E$7=TH!F5294),"x","")</f>
        <v/>
      </c>
      <c r="AD5294" s="79" t="str">
        <f>IF(AND(N5294="1521",MONTH(C5294)='BK-NL'!$M$11),"x","")</f>
        <v/>
      </c>
    </row>
    <row r="5295" spans="1:30" ht="16.5" customHeight="1">
      <c r="A5295" s="318" t="str">
        <f>IF(B5295&lt;&gt;"",IF(AND(B5295='IN-TC'!$S$4,OR(TH!N5295="1111",TH!O5295="1111")),TH!D5295,""),"")</f>
        <v/>
      </c>
      <c r="B5295" s="60" t="str">
        <f t="shared" si="503"/>
        <v/>
      </c>
      <c r="C5295" s="61"/>
      <c r="D5295" s="61"/>
      <c r="E5295" s="61"/>
      <c r="F5295" s="69"/>
      <c r="G5295" s="766"/>
      <c r="H5295" s="69"/>
      <c r="I5295" s="385"/>
      <c r="J5295" s="392"/>
      <c r="K5295" s="385"/>
      <c r="L5295" s="392"/>
      <c r="M5295" s="62"/>
      <c r="N5295" s="63"/>
      <c r="O5295" s="63"/>
      <c r="P5295" s="79" t="str">
        <f>IF(AND('331-CT'!$E$7=TH!H5295,OR(N5295="331",O5295="331")),"x","")</f>
        <v/>
      </c>
      <c r="Q5295" s="79" t="str">
        <f>IF(AND(B5295='111'!$L$11,OR($N5295=$Q$7,$O5295=$Q$7)),"x","")</f>
        <v/>
      </c>
      <c r="R5295" s="79" t="str">
        <f>IF(AND($N5295=$Q$7,$B5295&lt;'111'!$L$11),"x","")</f>
        <v/>
      </c>
      <c r="S5295" s="79" t="str">
        <f>IF(AND($O5295=$Q$7,$B5295&lt;'111'!$L$11),"x","")</f>
        <v/>
      </c>
      <c r="T5295" s="79" t="str">
        <f>IF(ISERROR(FIND('112'!$M$9,G5295,1)),"",IF((AND(FIND('112'!$M$9,G5295,1)&gt;=1,B5295='112'!$K$9,OR($N5295='112'!$I$6,$O5295='112'!$I$6))),"x",""))</f>
        <v/>
      </c>
      <c r="U5295" s="79" t="str">
        <f>IF(ISERROR(FIND('112'!$M$9,G5295,1)),"",IF((AND(LEFT(G5295,2)=LEFT('112'!$M$9,2),B5295&lt;'112'!$K$9,$N5295='112'!$I$6)),"x",""))</f>
        <v/>
      </c>
      <c r="V5295" s="79" t="str">
        <f>IF(ISERROR(FIND('112'!$M$9,G5295,1)),"",IF((AND(RIGHT(G5295,2)=RIGHT('112'!$M$9,2),B5295&lt;'112'!$K$9,$O5295='112'!$I$6)),"x",""))</f>
        <v/>
      </c>
      <c r="W5295" s="79" t="str">
        <f>IF(AND('341-CT'!$H$9=H5295,OR(LEFT(N5295,3)=$W$7,LEFT(O5295,3)=$W$7)),"x","")</f>
        <v/>
      </c>
      <c r="X5295" s="79" t="str">
        <f>IF(OR(TH!N5295=TH!$X$7,O5295=TH!$X$7),"x","")</f>
        <v/>
      </c>
      <c r="Y5295" s="79" t="str">
        <f>IF(AND(OR(N5295="131",O5295="131"),H5295='131-CT'!$H$9),"x","")</f>
        <v/>
      </c>
      <c r="Z5295" s="79"/>
      <c r="AA5295" s="79" t="str">
        <f>IF(AND(MONTH(E5295)='IN-NX'!$J$5,'IN-NX'!$D$7=D5295),"x","")</f>
        <v/>
      </c>
      <c r="AB5295" s="79" t="str">
        <f>IF(AND(OR(LEFT(TH!N5295,2)="15",LEFT(TH!O5295,2)="15"),LEFT(TH!O5295,3)&lt;&gt;"111",'152-CT'!$J$8=TH!F5295),"x","")</f>
        <v/>
      </c>
      <c r="AC5295" s="79" t="str">
        <f>IF(AND(OR(LEFT(TH!N5295,2)="15",LEFT(TH!O5295,2)="15"),TK!$E$7=TH!F5295),"x","")</f>
        <v/>
      </c>
      <c r="AD5295" s="79" t="str">
        <f>IF(AND(N5295="1521",MONTH(C5295)='BK-NL'!$M$11),"x","")</f>
        <v/>
      </c>
    </row>
    <row r="5296" spans="1:30" ht="16.5" customHeight="1">
      <c r="A5296" s="318" t="str">
        <f>IF(B5296&lt;&gt;"",IF(AND(B5296='IN-TC'!$S$4,OR(TH!N5296="1111",TH!O5296="1111")),TH!D5296,""),"")</f>
        <v/>
      </c>
      <c r="B5296" s="60" t="str">
        <f t="shared" si="503"/>
        <v/>
      </c>
      <c r="C5296" s="61"/>
      <c r="D5296" s="61"/>
      <c r="E5296" s="61"/>
      <c r="F5296" s="69"/>
      <c r="G5296" s="766"/>
      <c r="H5296" s="69"/>
      <c r="I5296" s="385"/>
      <c r="J5296" s="392"/>
      <c r="K5296" s="385"/>
      <c r="L5296" s="392"/>
      <c r="M5296" s="62"/>
      <c r="N5296" s="63"/>
      <c r="O5296" s="63"/>
      <c r="P5296" s="79" t="str">
        <f>IF(AND('331-CT'!$E$7=TH!H5296,OR(N5296="331",O5296="331")),"x","")</f>
        <v/>
      </c>
      <c r="Q5296" s="79" t="str">
        <f>IF(AND(B5296='111'!$L$11,OR($N5296=$Q$7,$O5296=$Q$7)),"x","")</f>
        <v/>
      </c>
      <c r="R5296" s="79" t="str">
        <f>IF(AND($N5296=$Q$7,$B5296&lt;'111'!$L$11),"x","")</f>
        <v/>
      </c>
      <c r="S5296" s="79" t="str">
        <f>IF(AND($O5296=$Q$7,$B5296&lt;'111'!$L$11),"x","")</f>
        <v/>
      </c>
      <c r="T5296" s="79" t="str">
        <f>IF(ISERROR(FIND('112'!$M$9,G5296,1)),"",IF((AND(FIND('112'!$M$9,G5296,1)&gt;=1,B5296='112'!$K$9,OR($N5296='112'!$I$6,$O5296='112'!$I$6))),"x",""))</f>
        <v/>
      </c>
      <c r="U5296" s="79" t="str">
        <f>IF(ISERROR(FIND('112'!$M$9,G5296,1)),"",IF((AND(LEFT(G5296,2)=LEFT('112'!$M$9,2),B5296&lt;'112'!$K$9,$N5296='112'!$I$6)),"x",""))</f>
        <v/>
      </c>
      <c r="V5296" s="79" t="str">
        <f>IF(ISERROR(FIND('112'!$M$9,G5296,1)),"",IF((AND(RIGHT(G5296,2)=RIGHT('112'!$M$9,2),B5296&lt;'112'!$K$9,$O5296='112'!$I$6)),"x",""))</f>
        <v/>
      </c>
      <c r="W5296" s="79" t="str">
        <f>IF(AND('341-CT'!$H$9=H5296,OR(LEFT(N5296,3)=$W$7,LEFT(O5296,3)=$W$7)),"x","")</f>
        <v/>
      </c>
      <c r="X5296" s="79" t="str">
        <f>IF(OR(TH!N5296=TH!$X$7,O5296=TH!$X$7),"x","")</f>
        <v/>
      </c>
      <c r="Y5296" s="79" t="str">
        <f>IF(AND(OR(N5296="131",O5296="131"),H5296='131-CT'!$H$9),"x","")</f>
        <v/>
      </c>
      <c r="Z5296" s="79"/>
      <c r="AA5296" s="79" t="str">
        <f>IF(AND(MONTH(E5296)='IN-NX'!$J$5,'IN-NX'!$D$7=D5296),"x","")</f>
        <v/>
      </c>
      <c r="AB5296" s="79" t="str">
        <f>IF(AND(OR(LEFT(TH!N5296,2)="15",LEFT(TH!O5296,2)="15"),LEFT(TH!O5296,3)&lt;&gt;"111",'152-CT'!$J$8=TH!F5296),"x","")</f>
        <v/>
      </c>
      <c r="AC5296" s="79" t="str">
        <f>IF(AND(OR(LEFT(TH!N5296,2)="15",LEFT(TH!O5296,2)="15"),TK!$E$7=TH!F5296),"x","")</f>
        <v/>
      </c>
      <c r="AD5296" s="79" t="str">
        <f>IF(AND(N5296="1521",MONTH(C5296)='BK-NL'!$M$11),"x","")</f>
        <v/>
      </c>
    </row>
    <row r="5297" spans="1:30" ht="16.5" customHeight="1">
      <c r="A5297" s="318" t="str">
        <f>IF(B5297&lt;&gt;"",IF(AND(B5297='IN-TC'!$S$4,OR(TH!N5297="1111",TH!O5297="1111")),TH!D5297,""),"")</f>
        <v/>
      </c>
      <c r="B5297" s="60" t="str">
        <f t="shared" si="503"/>
        <v/>
      </c>
      <c r="C5297" s="61"/>
      <c r="D5297" s="61"/>
      <c r="E5297" s="61"/>
      <c r="F5297" s="69"/>
      <c r="G5297" s="766"/>
      <c r="H5297" s="69"/>
      <c r="I5297" s="385"/>
      <c r="J5297" s="392"/>
      <c r="K5297" s="385"/>
      <c r="L5297" s="392"/>
      <c r="M5297" s="62"/>
      <c r="N5297" s="63"/>
      <c r="O5297" s="63"/>
      <c r="P5297" s="79" t="str">
        <f>IF(AND('331-CT'!$E$7=TH!H5297,OR(N5297="331",O5297="331")),"x","")</f>
        <v/>
      </c>
      <c r="Q5297" s="79" t="str">
        <f>IF(AND(B5297='111'!$L$11,OR($N5297=$Q$7,$O5297=$Q$7)),"x","")</f>
        <v/>
      </c>
      <c r="R5297" s="79" t="str">
        <f>IF(AND($N5297=$Q$7,$B5297&lt;'111'!$L$11),"x","")</f>
        <v/>
      </c>
      <c r="S5297" s="79" t="str">
        <f>IF(AND($O5297=$Q$7,$B5297&lt;'111'!$L$11),"x","")</f>
        <v/>
      </c>
      <c r="T5297" s="79" t="str">
        <f>IF(ISERROR(FIND('112'!$M$9,G5297,1)),"",IF((AND(FIND('112'!$M$9,G5297,1)&gt;=1,B5297='112'!$K$9,OR($N5297='112'!$I$6,$O5297='112'!$I$6))),"x",""))</f>
        <v/>
      </c>
      <c r="U5297" s="79" t="str">
        <f>IF(ISERROR(FIND('112'!$M$9,G5297,1)),"",IF((AND(LEFT(G5297,2)=LEFT('112'!$M$9,2),B5297&lt;'112'!$K$9,$N5297='112'!$I$6)),"x",""))</f>
        <v/>
      </c>
      <c r="V5297" s="79" t="str">
        <f>IF(ISERROR(FIND('112'!$M$9,G5297,1)),"",IF((AND(RIGHT(G5297,2)=RIGHT('112'!$M$9,2),B5297&lt;'112'!$K$9,$O5297='112'!$I$6)),"x",""))</f>
        <v/>
      </c>
      <c r="W5297" s="79" t="str">
        <f>IF(AND('341-CT'!$H$9=H5297,OR(LEFT(N5297,3)=$W$7,LEFT(O5297,3)=$W$7)),"x","")</f>
        <v/>
      </c>
      <c r="X5297" s="79" t="str">
        <f>IF(OR(TH!N5297=TH!$X$7,O5297=TH!$X$7),"x","")</f>
        <v/>
      </c>
      <c r="Y5297" s="79" t="str">
        <f>IF(AND(OR(N5297="131",O5297="131"),H5297='131-CT'!$H$9),"x","")</f>
        <v/>
      </c>
      <c r="Z5297" s="79"/>
      <c r="AA5297" s="79" t="str">
        <f>IF(AND(MONTH(E5297)='IN-NX'!$J$5,'IN-NX'!$D$7=D5297),"x","")</f>
        <v/>
      </c>
      <c r="AB5297" s="79" t="str">
        <f>IF(AND(OR(LEFT(TH!N5297,2)="15",LEFT(TH!O5297,2)="15"),LEFT(TH!O5297,3)&lt;&gt;"111",'152-CT'!$J$8=TH!F5297),"x","")</f>
        <v/>
      </c>
      <c r="AC5297" s="79" t="str">
        <f>IF(AND(OR(LEFT(TH!N5297,2)="15",LEFT(TH!O5297,2)="15"),TK!$E$7=TH!F5297),"x","")</f>
        <v/>
      </c>
      <c r="AD5297" s="79" t="str">
        <f>IF(AND(N5297="1521",MONTH(C5297)='BK-NL'!$M$11),"x","")</f>
        <v/>
      </c>
    </row>
    <row r="5298" spans="1:30" ht="16.5" customHeight="1">
      <c r="A5298" s="318" t="str">
        <f>IF(B5298&lt;&gt;"",IF(AND(B5298='IN-TC'!$S$4,OR(TH!N5298="1111",TH!O5298="1111")),TH!D5298,""),"")</f>
        <v/>
      </c>
      <c r="B5298" s="60" t="str">
        <f t="shared" si="503"/>
        <v/>
      </c>
      <c r="C5298" s="61"/>
      <c r="D5298" s="61"/>
      <c r="E5298" s="61"/>
      <c r="F5298" s="69"/>
      <c r="G5298" s="766"/>
      <c r="H5298" s="69"/>
      <c r="I5298" s="385"/>
      <c r="J5298" s="392"/>
      <c r="K5298" s="385"/>
      <c r="L5298" s="392"/>
      <c r="M5298" s="62"/>
      <c r="N5298" s="63"/>
      <c r="O5298" s="63"/>
      <c r="P5298" s="79" t="str">
        <f>IF(AND('331-CT'!$E$7=TH!H5298,OR(N5298="331",O5298="331")),"x","")</f>
        <v/>
      </c>
      <c r="Q5298" s="79" t="str">
        <f>IF(AND(B5298='111'!$L$11,OR($N5298=$Q$7,$O5298=$Q$7)),"x","")</f>
        <v/>
      </c>
      <c r="R5298" s="79" t="str">
        <f>IF(AND($N5298=$Q$7,$B5298&lt;'111'!$L$11),"x","")</f>
        <v/>
      </c>
      <c r="S5298" s="79" t="str">
        <f>IF(AND($O5298=$Q$7,$B5298&lt;'111'!$L$11),"x","")</f>
        <v/>
      </c>
      <c r="T5298" s="79" t="str">
        <f>IF(ISERROR(FIND('112'!$M$9,G5298,1)),"",IF((AND(FIND('112'!$M$9,G5298,1)&gt;=1,B5298='112'!$K$9,OR($N5298='112'!$I$6,$O5298='112'!$I$6))),"x",""))</f>
        <v/>
      </c>
      <c r="U5298" s="79" t="str">
        <f>IF(ISERROR(FIND('112'!$M$9,G5298,1)),"",IF((AND(LEFT(G5298,2)=LEFT('112'!$M$9,2),B5298&lt;'112'!$K$9,$N5298='112'!$I$6)),"x",""))</f>
        <v/>
      </c>
      <c r="V5298" s="79" t="str">
        <f>IF(ISERROR(FIND('112'!$M$9,G5298,1)),"",IF((AND(RIGHT(G5298,2)=RIGHT('112'!$M$9,2),B5298&lt;'112'!$K$9,$O5298='112'!$I$6)),"x",""))</f>
        <v/>
      </c>
      <c r="W5298" s="79" t="str">
        <f>IF(AND('341-CT'!$H$9=H5298,OR(LEFT(N5298,3)=$W$7,LEFT(O5298,3)=$W$7)),"x","")</f>
        <v/>
      </c>
      <c r="X5298" s="79" t="str">
        <f>IF(OR(TH!N5298=TH!$X$7,O5298=TH!$X$7),"x","")</f>
        <v/>
      </c>
      <c r="Y5298" s="79" t="str">
        <f>IF(AND(OR(N5298="131",O5298="131"),H5298='131-CT'!$H$9),"x","")</f>
        <v/>
      </c>
      <c r="Z5298" s="79"/>
      <c r="AA5298" s="79" t="str">
        <f>IF(AND(MONTH(E5298)='IN-NX'!$J$5,'IN-NX'!$D$7=D5298),"x","")</f>
        <v/>
      </c>
      <c r="AB5298" s="79" t="str">
        <f>IF(AND(OR(LEFT(TH!N5298,2)="15",LEFT(TH!O5298,2)="15"),LEFT(TH!O5298,3)&lt;&gt;"111",'152-CT'!$J$8=TH!F5298),"x","")</f>
        <v/>
      </c>
      <c r="AC5298" s="79" t="str">
        <f>IF(AND(OR(LEFT(TH!N5298,2)="15",LEFT(TH!O5298,2)="15"),TK!$E$7=TH!F5298),"x","")</f>
        <v/>
      </c>
      <c r="AD5298" s="79" t="str">
        <f>IF(AND(N5298="1521",MONTH(C5298)='BK-NL'!$M$11),"x","")</f>
        <v/>
      </c>
    </row>
    <row r="5299" spans="1:30" ht="16.5" customHeight="1">
      <c r="A5299" s="318" t="str">
        <f>IF(B5299&lt;&gt;"",IF(AND(B5299='IN-TC'!$S$4,OR(TH!N5299="1111",TH!O5299="1111")),TH!D5299,""),"")</f>
        <v/>
      </c>
      <c r="B5299" s="60" t="str">
        <f t="shared" si="503"/>
        <v/>
      </c>
      <c r="C5299" s="61"/>
      <c r="D5299" s="61"/>
      <c r="E5299" s="61"/>
      <c r="F5299" s="69"/>
      <c r="G5299" s="766"/>
      <c r="H5299" s="69"/>
      <c r="I5299" s="385"/>
      <c r="J5299" s="392"/>
      <c r="K5299" s="385"/>
      <c r="L5299" s="392"/>
      <c r="M5299" s="62"/>
      <c r="N5299" s="63"/>
      <c r="O5299" s="63"/>
      <c r="P5299" s="79" t="str">
        <f>IF(AND('331-CT'!$E$7=TH!H5299,OR(N5299="331",O5299="331")),"x","")</f>
        <v/>
      </c>
      <c r="Q5299" s="79" t="str">
        <f>IF(AND(B5299='111'!$L$11,OR($N5299=$Q$7,$O5299=$Q$7)),"x","")</f>
        <v/>
      </c>
      <c r="R5299" s="79" t="str">
        <f>IF(AND($N5299=$Q$7,$B5299&lt;'111'!$L$11),"x","")</f>
        <v/>
      </c>
      <c r="S5299" s="79" t="str">
        <f>IF(AND($O5299=$Q$7,$B5299&lt;'111'!$L$11),"x","")</f>
        <v/>
      </c>
      <c r="T5299" s="79" t="str">
        <f>IF(ISERROR(FIND('112'!$M$9,G5299,1)),"",IF((AND(FIND('112'!$M$9,G5299,1)&gt;=1,B5299='112'!$K$9,OR($N5299='112'!$I$6,$O5299='112'!$I$6))),"x",""))</f>
        <v/>
      </c>
      <c r="U5299" s="79" t="str">
        <f>IF(ISERROR(FIND('112'!$M$9,G5299,1)),"",IF((AND(LEFT(G5299,2)=LEFT('112'!$M$9,2),B5299&lt;'112'!$K$9,$N5299='112'!$I$6)),"x",""))</f>
        <v/>
      </c>
      <c r="V5299" s="79" t="str">
        <f>IF(ISERROR(FIND('112'!$M$9,G5299,1)),"",IF((AND(RIGHT(G5299,2)=RIGHT('112'!$M$9,2),B5299&lt;'112'!$K$9,$O5299='112'!$I$6)),"x",""))</f>
        <v/>
      </c>
      <c r="W5299" s="79" t="str">
        <f>IF(AND('341-CT'!$H$9=H5299,OR(LEFT(N5299,3)=$W$7,LEFT(O5299,3)=$W$7)),"x","")</f>
        <v/>
      </c>
      <c r="X5299" s="79" t="str">
        <f>IF(OR(TH!N5299=TH!$X$7,O5299=TH!$X$7),"x","")</f>
        <v/>
      </c>
      <c r="Y5299" s="79" t="str">
        <f>IF(AND(OR(N5299="131",O5299="131"),H5299='131-CT'!$H$9),"x","")</f>
        <v/>
      </c>
      <c r="Z5299" s="79"/>
      <c r="AA5299" s="79" t="str">
        <f>IF(AND(MONTH(E5299)='IN-NX'!$J$5,'IN-NX'!$D$7=D5299),"x","")</f>
        <v/>
      </c>
      <c r="AB5299" s="79" t="str">
        <f>IF(AND(OR(LEFT(TH!N5299,2)="15",LEFT(TH!O5299,2)="15"),LEFT(TH!O5299,3)&lt;&gt;"111",'152-CT'!$J$8=TH!F5299),"x","")</f>
        <v/>
      </c>
      <c r="AC5299" s="79" t="str">
        <f>IF(AND(OR(LEFT(TH!N5299,2)="15",LEFT(TH!O5299,2)="15"),TK!$E$7=TH!F5299),"x","")</f>
        <v/>
      </c>
      <c r="AD5299" s="79" t="str">
        <f>IF(AND(N5299="1521",MONTH(C5299)='BK-NL'!$M$11),"x","")</f>
        <v/>
      </c>
    </row>
    <row r="5300" spans="1:30" ht="16.5" customHeight="1">
      <c r="A5300" s="318" t="str">
        <f>IF(B5300&lt;&gt;"",IF(AND(B5300='IN-TC'!$S$4,OR(TH!N5300="1111",TH!O5300="1111")),TH!D5300,""),"")</f>
        <v/>
      </c>
      <c r="B5300" s="60" t="str">
        <f t="shared" si="503"/>
        <v/>
      </c>
      <c r="C5300" s="61"/>
      <c r="D5300" s="61"/>
      <c r="E5300" s="61"/>
      <c r="F5300" s="69"/>
      <c r="G5300" s="766"/>
      <c r="H5300" s="69"/>
      <c r="I5300" s="385"/>
      <c r="J5300" s="392"/>
      <c r="K5300" s="385"/>
      <c r="L5300" s="392"/>
      <c r="M5300" s="62"/>
      <c r="N5300" s="63"/>
      <c r="O5300" s="63"/>
      <c r="P5300" s="79" t="str">
        <f>IF(AND('331-CT'!$E$7=TH!H5300,OR(N5300="331",O5300="331")),"x","")</f>
        <v/>
      </c>
      <c r="Q5300" s="79" t="str">
        <f>IF(AND(B5300='111'!$L$11,OR($N5300=$Q$7,$O5300=$Q$7)),"x","")</f>
        <v/>
      </c>
      <c r="R5300" s="79" t="str">
        <f>IF(AND($N5300=$Q$7,$B5300&lt;'111'!$L$11),"x","")</f>
        <v/>
      </c>
      <c r="S5300" s="79" t="str">
        <f>IF(AND($O5300=$Q$7,$B5300&lt;'111'!$L$11),"x","")</f>
        <v/>
      </c>
      <c r="T5300" s="79" t="str">
        <f>IF(ISERROR(FIND('112'!$M$9,G5300,1)),"",IF((AND(FIND('112'!$M$9,G5300,1)&gt;=1,B5300='112'!$K$9,OR($N5300='112'!$I$6,$O5300='112'!$I$6))),"x",""))</f>
        <v/>
      </c>
      <c r="U5300" s="79" t="str">
        <f>IF(ISERROR(FIND('112'!$M$9,G5300,1)),"",IF((AND(LEFT(G5300,2)=LEFT('112'!$M$9,2),B5300&lt;'112'!$K$9,$N5300='112'!$I$6)),"x",""))</f>
        <v/>
      </c>
      <c r="V5300" s="79" t="str">
        <f>IF(ISERROR(FIND('112'!$M$9,G5300,1)),"",IF((AND(RIGHT(G5300,2)=RIGHT('112'!$M$9,2),B5300&lt;'112'!$K$9,$O5300='112'!$I$6)),"x",""))</f>
        <v/>
      </c>
      <c r="W5300" s="79" t="str">
        <f>IF(AND('341-CT'!$H$9=H5300,OR(LEFT(N5300,3)=$W$7,LEFT(O5300,3)=$W$7)),"x","")</f>
        <v/>
      </c>
      <c r="X5300" s="79" t="str">
        <f>IF(OR(TH!N5300=TH!$X$7,O5300=TH!$X$7),"x","")</f>
        <v/>
      </c>
      <c r="Y5300" s="79" t="str">
        <f>IF(AND(OR(N5300="131",O5300="131"),H5300='131-CT'!$H$9),"x","")</f>
        <v/>
      </c>
      <c r="Z5300" s="79"/>
      <c r="AA5300" s="79" t="str">
        <f>IF(AND(MONTH(E5300)='IN-NX'!$J$5,'IN-NX'!$D$7=D5300),"x","")</f>
        <v/>
      </c>
      <c r="AB5300" s="79" t="str">
        <f>IF(AND(OR(LEFT(TH!N5300,2)="15",LEFT(TH!O5300,2)="15"),LEFT(TH!O5300,3)&lt;&gt;"111",'152-CT'!$J$8=TH!F5300),"x","")</f>
        <v/>
      </c>
      <c r="AC5300" s="79" t="str">
        <f>IF(AND(OR(LEFT(TH!N5300,2)="15",LEFT(TH!O5300,2)="15"),TK!$E$7=TH!F5300),"x","")</f>
        <v/>
      </c>
      <c r="AD5300" s="79" t="str">
        <f>IF(AND(N5300="1521",MONTH(C5300)='BK-NL'!$M$11),"x","")</f>
        <v/>
      </c>
    </row>
    <row r="5301" spans="1:30" ht="16.5" customHeight="1">
      <c r="A5301" s="318" t="str">
        <f>IF(B5301&lt;&gt;"",IF(AND(B5301='IN-TC'!$S$4,OR(TH!N5301="1111",TH!O5301="1111")),TH!D5301,""),"")</f>
        <v/>
      </c>
      <c r="B5301" s="60" t="str">
        <f t="shared" si="503"/>
        <v/>
      </c>
      <c r="C5301" s="61"/>
      <c r="D5301" s="61"/>
      <c r="E5301" s="61"/>
      <c r="F5301" s="69"/>
      <c r="G5301" s="766"/>
      <c r="H5301" s="69"/>
      <c r="I5301" s="385"/>
      <c r="J5301" s="392"/>
      <c r="K5301" s="385"/>
      <c r="L5301" s="392"/>
      <c r="M5301" s="62"/>
      <c r="N5301" s="63"/>
      <c r="O5301" s="63"/>
      <c r="P5301" s="79" t="str">
        <f>IF(AND('331-CT'!$E$7=TH!H5301,OR(N5301="331",O5301="331")),"x","")</f>
        <v/>
      </c>
      <c r="Q5301" s="79" t="str">
        <f>IF(AND(B5301='111'!$L$11,OR($N5301=$Q$7,$O5301=$Q$7)),"x","")</f>
        <v/>
      </c>
      <c r="R5301" s="79" t="str">
        <f>IF(AND($N5301=$Q$7,$B5301&lt;'111'!$L$11),"x","")</f>
        <v/>
      </c>
      <c r="S5301" s="79" t="str">
        <f>IF(AND($O5301=$Q$7,$B5301&lt;'111'!$L$11),"x","")</f>
        <v/>
      </c>
      <c r="T5301" s="79" t="str">
        <f>IF(ISERROR(FIND('112'!$M$9,G5301,1)),"",IF((AND(FIND('112'!$M$9,G5301,1)&gt;=1,B5301='112'!$K$9,OR($N5301='112'!$I$6,$O5301='112'!$I$6))),"x",""))</f>
        <v/>
      </c>
      <c r="U5301" s="79" t="str">
        <f>IF(ISERROR(FIND('112'!$M$9,G5301,1)),"",IF((AND(LEFT(G5301,2)=LEFT('112'!$M$9,2),B5301&lt;'112'!$K$9,$N5301='112'!$I$6)),"x",""))</f>
        <v/>
      </c>
      <c r="V5301" s="79" t="str">
        <f>IF(ISERROR(FIND('112'!$M$9,G5301,1)),"",IF((AND(RIGHT(G5301,2)=RIGHT('112'!$M$9,2),B5301&lt;'112'!$K$9,$O5301='112'!$I$6)),"x",""))</f>
        <v/>
      </c>
      <c r="W5301" s="79" t="str">
        <f>IF(AND('341-CT'!$H$9=H5301,OR(LEFT(N5301,3)=$W$7,LEFT(O5301,3)=$W$7)),"x","")</f>
        <v/>
      </c>
      <c r="X5301" s="79" t="str">
        <f>IF(OR(TH!N5301=TH!$X$7,O5301=TH!$X$7),"x","")</f>
        <v/>
      </c>
      <c r="Y5301" s="79" t="str">
        <f>IF(AND(OR(N5301="131",O5301="131"),H5301='131-CT'!$H$9),"x","")</f>
        <v/>
      </c>
      <c r="Z5301" s="79"/>
      <c r="AA5301" s="79" t="str">
        <f>IF(AND(MONTH(E5301)='IN-NX'!$J$5,'IN-NX'!$D$7=D5301),"x","")</f>
        <v/>
      </c>
      <c r="AB5301" s="79" t="str">
        <f>IF(AND(OR(LEFT(TH!N5301,2)="15",LEFT(TH!O5301,2)="15"),LEFT(TH!O5301,3)&lt;&gt;"111",'152-CT'!$J$8=TH!F5301),"x","")</f>
        <v/>
      </c>
      <c r="AC5301" s="79" t="str">
        <f>IF(AND(OR(LEFT(TH!N5301,2)="15",LEFT(TH!O5301,2)="15"),TK!$E$7=TH!F5301),"x","")</f>
        <v/>
      </c>
      <c r="AD5301" s="79" t="str">
        <f>IF(AND(N5301="1521",MONTH(C5301)='BK-NL'!$M$11),"x","")</f>
        <v/>
      </c>
    </row>
    <row r="5302" spans="1:30" ht="16.5" customHeight="1">
      <c r="A5302" s="318" t="str">
        <f>IF(B5302&lt;&gt;"",IF(AND(B5302='IN-TC'!$S$4,OR(TH!N5302="1111",TH!O5302="1111")),TH!D5302,""),"")</f>
        <v/>
      </c>
      <c r="B5302" s="60" t="str">
        <f t="shared" si="503"/>
        <v/>
      </c>
      <c r="C5302" s="61"/>
      <c r="D5302" s="61"/>
      <c r="E5302" s="61"/>
      <c r="F5302" s="69"/>
      <c r="G5302" s="766"/>
      <c r="H5302" s="69"/>
      <c r="I5302" s="385"/>
      <c r="J5302" s="392"/>
      <c r="K5302" s="385"/>
      <c r="L5302" s="392"/>
      <c r="M5302" s="62"/>
      <c r="N5302" s="63"/>
      <c r="O5302" s="63"/>
      <c r="P5302" s="79" t="str">
        <f>IF(AND('331-CT'!$E$7=TH!H5302,OR(N5302="331",O5302="331")),"x","")</f>
        <v/>
      </c>
      <c r="Q5302" s="79" t="str">
        <f>IF(AND(B5302='111'!$L$11,OR($N5302=$Q$7,$O5302=$Q$7)),"x","")</f>
        <v/>
      </c>
      <c r="R5302" s="79" t="str">
        <f>IF(AND($N5302=$Q$7,$B5302&lt;'111'!$L$11),"x","")</f>
        <v/>
      </c>
      <c r="S5302" s="79" t="str">
        <f>IF(AND($O5302=$Q$7,$B5302&lt;'111'!$L$11),"x","")</f>
        <v/>
      </c>
      <c r="T5302" s="79" t="str">
        <f>IF(ISERROR(FIND('112'!$M$9,G5302,1)),"",IF((AND(FIND('112'!$M$9,G5302,1)&gt;=1,B5302='112'!$K$9,OR($N5302='112'!$I$6,$O5302='112'!$I$6))),"x",""))</f>
        <v/>
      </c>
      <c r="U5302" s="79" t="str">
        <f>IF(ISERROR(FIND('112'!$M$9,G5302,1)),"",IF((AND(LEFT(G5302,2)=LEFT('112'!$M$9,2),B5302&lt;'112'!$K$9,$N5302='112'!$I$6)),"x",""))</f>
        <v/>
      </c>
      <c r="V5302" s="79" t="str">
        <f>IF(ISERROR(FIND('112'!$M$9,G5302,1)),"",IF((AND(RIGHT(G5302,2)=RIGHT('112'!$M$9,2),B5302&lt;'112'!$K$9,$O5302='112'!$I$6)),"x",""))</f>
        <v/>
      </c>
      <c r="W5302" s="79" t="str">
        <f>IF(AND('341-CT'!$H$9=H5302,OR(LEFT(N5302,3)=$W$7,LEFT(O5302,3)=$W$7)),"x","")</f>
        <v/>
      </c>
      <c r="X5302" s="79" t="str">
        <f>IF(OR(TH!N5302=TH!$X$7,O5302=TH!$X$7),"x","")</f>
        <v/>
      </c>
      <c r="Y5302" s="79" t="str">
        <f>IF(AND(OR(N5302="131",O5302="131"),H5302='131-CT'!$H$9),"x","")</f>
        <v/>
      </c>
      <c r="Z5302" s="79"/>
      <c r="AA5302" s="79" t="str">
        <f>IF(AND(MONTH(E5302)='IN-NX'!$J$5,'IN-NX'!$D$7=D5302),"x","")</f>
        <v/>
      </c>
      <c r="AB5302" s="79" t="str">
        <f>IF(AND(OR(LEFT(TH!N5302,2)="15",LEFT(TH!O5302,2)="15"),LEFT(TH!O5302,3)&lt;&gt;"111",'152-CT'!$J$8=TH!F5302),"x","")</f>
        <v/>
      </c>
      <c r="AC5302" s="79" t="str">
        <f>IF(AND(OR(LEFT(TH!N5302,2)="15",LEFT(TH!O5302,2)="15"),TK!$E$7=TH!F5302),"x","")</f>
        <v/>
      </c>
      <c r="AD5302" s="79" t="str">
        <f>IF(AND(N5302="1521",MONTH(C5302)='BK-NL'!$M$11),"x","")</f>
        <v/>
      </c>
    </row>
    <row r="5303" spans="1:30" ht="16.5" customHeight="1">
      <c r="A5303" s="318" t="str">
        <f>IF(B5303&lt;&gt;"",IF(AND(B5303='IN-TC'!$S$4,OR(TH!N5303="1111",TH!O5303="1111")),TH!D5303,""),"")</f>
        <v/>
      </c>
      <c r="B5303" s="60" t="str">
        <f t="shared" si="503"/>
        <v/>
      </c>
      <c r="C5303" s="61"/>
      <c r="D5303" s="61"/>
      <c r="E5303" s="61"/>
      <c r="F5303" s="69"/>
      <c r="G5303" s="766"/>
      <c r="H5303" s="69"/>
      <c r="I5303" s="385"/>
      <c r="J5303" s="392"/>
      <c r="K5303" s="385"/>
      <c r="L5303" s="392"/>
      <c r="M5303" s="62"/>
      <c r="N5303" s="63"/>
      <c r="O5303" s="63"/>
      <c r="P5303" s="79" t="str">
        <f>IF(AND('331-CT'!$E$7=TH!H5303,OR(N5303="331",O5303="331")),"x","")</f>
        <v/>
      </c>
      <c r="Q5303" s="79" t="str">
        <f>IF(AND(B5303='111'!$L$11,OR($N5303=$Q$7,$O5303=$Q$7)),"x","")</f>
        <v/>
      </c>
      <c r="R5303" s="79" t="str">
        <f>IF(AND($N5303=$Q$7,$B5303&lt;'111'!$L$11),"x","")</f>
        <v/>
      </c>
      <c r="S5303" s="79" t="str">
        <f>IF(AND($O5303=$Q$7,$B5303&lt;'111'!$L$11),"x","")</f>
        <v/>
      </c>
      <c r="T5303" s="79" t="str">
        <f>IF(ISERROR(FIND('112'!$M$9,G5303,1)),"",IF((AND(FIND('112'!$M$9,G5303,1)&gt;=1,B5303='112'!$K$9,OR($N5303='112'!$I$6,$O5303='112'!$I$6))),"x",""))</f>
        <v/>
      </c>
      <c r="U5303" s="79" t="str">
        <f>IF(ISERROR(FIND('112'!$M$9,G5303,1)),"",IF((AND(LEFT(G5303,2)=LEFT('112'!$M$9,2),B5303&lt;'112'!$K$9,$N5303='112'!$I$6)),"x",""))</f>
        <v/>
      </c>
      <c r="V5303" s="79" t="str">
        <f>IF(ISERROR(FIND('112'!$M$9,G5303,1)),"",IF((AND(RIGHT(G5303,2)=RIGHT('112'!$M$9,2),B5303&lt;'112'!$K$9,$O5303='112'!$I$6)),"x",""))</f>
        <v/>
      </c>
      <c r="W5303" s="79" t="str">
        <f>IF(AND('341-CT'!$H$9=H5303,OR(LEFT(N5303,3)=$W$7,LEFT(O5303,3)=$W$7)),"x","")</f>
        <v/>
      </c>
      <c r="X5303" s="79" t="str">
        <f>IF(OR(TH!N5303=TH!$X$7,O5303=TH!$X$7),"x","")</f>
        <v/>
      </c>
      <c r="Y5303" s="79" t="str">
        <f>IF(AND(OR(N5303="131",O5303="131"),H5303='131-CT'!$H$9),"x","")</f>
        <v/>
      </c>
      <c r="Z5303" s="79"/>
      <c r="AA5303" s="79" t="str">
        <f>IF(AND(MONTH(E5303)='IN-NX'!$J$5,'IN-NX'!$D$7=D5303),"x","")</f>
        <v/>
      </c>
      <c r="AB5303" s="79" t="str">
        <f>IF(AND(OR(LEFT(TH!N5303,2)="15",LEFT(TH!O5303,2)="15"),LEFT(TH!O5303,3)&lt;&gt;"111",'152-CT'!$J$8=TH!F5303),"x","")</f>
        <v/>
      </c>
      <c r="AC5303" s="79" t="str">
        <f>IF(AND(OR(LEFT(TH!N5303,2)="15",LEFT(TH!O5303,2)="15"),TK!$E$7=TH!F5303),"x","")</f>
        <v/>
      </c>
      <c r="AD5303" s="79" t="str">
        <f>IF(AND(N5303="1521",MONTH(C5303)='BK-NL'!$M$11),"x","")</f>
        <v/>
      </c>
    </row>
    <row r="5304" spans="1:30" ht="16.5" customHeight="1">
      <c r="A5304" s="318" t="str">
        <f>IF(B5304&lt;&gt;"",IF(AND(B5304='IN-TC'!$S$4,OR(TH!N5304="1111",TH!O5304="1111")),TH!D5304,""),"")</f>
        <v/>
      </c>
      <c r="B5304" s="60" t="str">
        <f t="shared" si="503"/>
        <v/>
      </c>
      <c r="C5304" s="61"/>
      <c r="D5304" s="61"/>
      <c r="E5304" s="61"/>
      <c r="F5304" s="69"/>
      <c r="G5304" s="766"/>
      <c r="H5304" s="69"/>
      <c r="I5304" s="385"/>
      <c r="J5304" s="392"/>
      <c r="K5304" s="385"/>
      <c r="L5304" s="392"/>
      <c r="M5304" s="62"/>
      <c r="N5304" s="63"/>
      <c r="O5304" s="63"/>
      <c r="P5304" s="79" t="str">
        <f>IF(AND('331-CT'!$E$7=TH!H5304,OR(N5304="331",O5304="331")),"x","")</f>
        <v/>
      </c>
      <c r="Q5304" s="79" t="str">
        <f>IF(AND(B5304='111'!$L$11,OR($N5304=$Q$7,$O5304=$Q$7)),"x","")</f>
        <v/>
      </c>
      <c r="R5304" s="79" t="str">
        <f>IF(AND($N5304=$Q$7,$B5304&lt;'111'!$L$11),"x","")</f>
        <v/>
      </c>
      <c r="S5304" s="79" t="str">
        <f>IF(AND($O5304=$Q$7,$B5304&lt;'111'!$L$11),"x","")</f>
        <v/>
      </c>
      <c r="T5304" s="79" t="str">
        <f>IF(ISERROR(FIND('112'!$M$9,G5304,1)),"",IF((AND(FIND('112'!$M$9,G5304,1)&gt;=1,B5304='112'!$K$9,OR($N5304='112'!$I$6,$O5304='112'!$I$6))),"x",""))</f>
        <v/>
      </c>
      <c r="U5304" s="79" t="str">
        <f>IF(ISERROR(FIND('112'!$M$9,G5304,1)),"",IF((AND(LEFT(G5304,2)=LEFT('112'!$M$9,2),B5304&lt;'112'!$K$9,$N5304='112'!$I$6)),"x",""))</f>
        <v/>
      </c>
      <c r="V5304" s="79" t="str">
        <f>IF(ISERROR(FIND('112'!$M$9,G5304,1)),"",IF((AND(RIGHT(G5304,2)=RIGHT('112'!$M$9,2),B5304&lt;'112'!$K$9,$O5304='112'!$I$6)),"x",""))</f>
        <v/>
      </c>
      <c r="W5304" s="79" t="str">
        <f>IF(AND('341-CT'!$H$9=H5304,OR(LEFT(N5304,3)=$W$7,LEFT(O5304,3)=$W$7)),"x","")</f>
        <v/>
      </c>
      <c r="X5304" s="79" t="str">
        <f>IF(OR(TH!N5304=TH!$X$7,O5304=TH!$X$7),"x","")</f>
        <v/>
      </c>
      <c r="Y5304" s="79" t="str">
        <f>IF(AND(OR(N5304="131",O5304="131"),H5304='131-CT'!$H$9),"x","")</f>
        <v/>
      </c>
      <c r="Z5304" s="79"/>
      <c r="AA5304" s="79" t="str">
        <f>IF(AND(MONTH(E5304)='IN-NX'!$J$5,'IN-NX'!$D$7=D5304),"x","")</f>
        <v/>
      </c>
      <c r="AB5304" s="79" t="str">
        <f>IF(AND(OR(LEFT(TH!N5304,2)="15",LEFT(TH!O5304,2)="15"),LEFT(TH!O5304,3)&lt;&gt;"111",'152-CT'!$J$8=TH!F5304),"x","")</f>
        <v/>
      </c>
      <c r="AC5304" s="79" t="str">
        <f>IF(AND(OR(LEFT(TH!N5304,2)="15",LEFT(TH!O5304,2)="15"),TK!$E$7=TH!F5304),"x","")</f>
        <v/>
      </c>
      <c r="AD5304" s="79" t="str">
        <f>IF(AND(N5304="1521",MONTH(C5304)='BK-NL'!$M$11),"x","")</f>
        <v/>
      </c>
    </row>
    <row r="5305" spans="1:30" ht="16.5" customHeight="1">
      <c r="A5305" s="318" t="str">
        <f>IF(B5305&lt;&gt;"",IF(AND(B5305='IN-TC'!$S$4,OR(TH!N5305="1111",TH!O5305="1111")),TH!D5305,""),"")</f>
        <v/>
      </c>
      <c r="B5305" s="60" t="str">
        <f t="shared" si="503"/>
        <v/>
      </c>
      <c r="C5305" s="61"/>
      <c r="D5305" s="61"/>
      <c r="E5305" s="61"/>
      <c r="F5305" s="69"/>
      <c r="G5305" s="766"/>
      <c r="H5305" s="69"/>
      <c r="I5305" s="385"/>
      <c r="J5305" s="392"/>
      <c r="K5305" s="385"/>
      <c r="L5305" s="392"/>
      <c r="M5305" s="62"/>
      <c r="N5305" s="63"/>
      <c r="O5305" s="63"/>
      <c r="P5305" s="79" t="str">
        <f>IF(AND('331-CT'!$E$7=TH!H5305,OR(N5305="331",O5305="331")),"x","")</f>
        <v/>
      </c>
      <c r="Q5305" s="79" t="str">
        <f>IF(AND(B5305='111'!$L$11,OR($N5305=$Q$7,$O5305=$Q$7)),"x","")</f>
        <v/>
      </c>
      <c r="R5305" s="79" t="str">
        <f>IF(AND($N5305=$Q$7,$B5305&lt;'111'!$L$11),"x","")</f>
        <v/>
      </c>
      <c r="S5305" s="79" t="str">
        <f>IF(AND($O5305=$Q$7,$B5305&lt;'111'!$L$11),"x","")</f>
        <v/>
      </c>
      <c r="T5305" s="79" t="str">
        <f>IF(ISERROR(FIND('112'!$M$9,G5305,1)),"",IF((AND(FIND('112'!$M$9,G5305,1)&gt;=1,B5305='112'!$K$9,OR($N5305='112'!$I$6,$O5305='112'!$I$6))),"x",""))</f>
        <v/>
      </c>
      <c r="U5305" s="79" t="str">
        <f>IF(ISERROR(FIND('112'!$M$9,G5305,1)),"",IF((AND(LEFT(G5305,2)=LEFT('112'!$M$9,2),B5305&lt;'112'!$K$9,$N5305='112'!$I$6)),"x",""))</f>
        <v/>
      </c>
      <c r="V5305" s="79" t="str">
        <f>IF(ISERROR(FIND('112'!$M$9,G5305,1)),"",IF((AND(RIGHT(G5305,2)=RIGHT('112'!$M$9,2),B5305&lt;'112'!$K$9,$O5305='112'!$I$6)),"x",""))</f>
        <v/>
      </c>
      <c r="W5305" s="79" t="str">
        <f>IF(AND('341-CT'!$H$9=H5305,OR(LEFT(N5305,3)=$W$7,LEFT(O5305,3)=$W$7)),"x","")</f>
        <v/>
      </c>
      <c r="X5305" s="79" t="str">
        <f>IF(OR(TH!N5305=TH!$X$7,O5305=TH!$X$7),"x","")</f>
        <v/>
      </c>
      <c r="Y5305" s="79" t="str">
        <f>IF(AND(OR(N5305="131",O5305="131"),H5305='131-CT'!$H$9),"x","")</f>
        <v/>
      </c>
      <c r="Z5305" s="79"/>
      <c r="AA5305" s="79" t="str">
        <f>IF(AND(MONTH(E5305)='IN-NX'!$J$5,'IN-NX'!$D$7=D5305),"x","")</f>
        <v/>
      </c>
      <c r="AB5305" s="79" t="str">
        <f>IF(AND(OR(LEFT(TH!N5305,2)="15",LEFT(TH!O5305,2)="15"),LEFT(TH!O5305,3)&lt;&gt;"111",'152-CT'!$J$8=TH!F5305),"x","")</f>
        <v/>
      </c>
      <c r="AC5305" s="79" t="str">
        <f>IF(AND(OR(LEFT(TH!N5305,2)="15",LEFT(TH!O5305,2)="15"),TK!$E$7=TH!F5305),"x","")</f>
        <v/>
      </c>
      <c r="AD5305" s="79" t="str">
        <f>IF(AND(N5305="1521",MONTH(C5305)='BK-NL'!$M$11),"x","")</f>
        <v/>
      </c>
    </row>
    <row r="5306" spans="1:30" ht="16.5" customHeight="1">
      <c r="A5306" s="318" t="str">
        <f>IF(B5306&lt;&gt;"",IF(AND(B5306='IN-TC'!$S$4,OR(TH!N5306="1111",TH!O5306="1111")),TH!D5306,""),"")</f>
        <v/>
      </c>
      <c r="B5306" s="60" t="str">
        <f t="shared" si="503"/>
        <v/>
      </c>
      <c r="C5306" s="61"/>
      <c r="D5306" s="61"/>
      <c r="E5306" s="61"/>
      <c r="F5306" s="69"/>
      <c r="G5306" s="766"/>
      <c r="H5306" s="69"/>
      <c r="I5306" s="385"/>
      <c r="J5306" s="392"/>
      <c r="K5306" s="385"/>
      <c r="L5306" s="392"/>
      <c r="M5306" s="62"/>
      <c r="N5306" s="63"/>
      <c r="O5306" s="63"/>
      <c r="P5306" s="79" t="str">
        <f>IF(AND('331-CT'!$E$7=TH!H5306,OR(N5306="331",O5306="331")),"x","")</f>
        <v/>
      </c>
      <c r="Q5306" s="79" t="str">
        <f>IF(AND(B5306='111'!$L$11,OR($N5306=$Q$7,$O5306=$Q$7)),"x","")</f>
        <v/>
      </c>
      <c r="R5306" s="79" t="str">
        <f>IF(AND($N5306=$Q$7,$B5306&lt;'111'!$L$11),"x","")</f>
        <v/>
      </c>
      <c r="S5306" s="79" t="str">
        <f>IF(AND($O5306=$Q$7,$B5306&lt;'111'!$L$11),"x","")</f>
        <v/>
      </c>
      <c r="T5306" s="79" t="str">
        <f>IF(ISERROR(FIND('112'!$M$9,G5306,1)),"",IF((AND(FIND('112'!$M$9,G5306,1)&gt;=1,B5306='112'!$K$9,OR($N5306='112'!$I$6,$O5306='112'!$I$6))),"x",""))</f>
        <v/>
      </c>
      <c r="U5306" s="79" t="str">
        <f>IF(ISERROR(FIND('112'!$M$9,G5306,1)),"",IF((AND(LEFT(G5306,2)=LEFT('112'!$M$9,2),B5306&lt;'112'!$K$9,$N5306='112'!$I$6)),"x",""))</f>
        <v/>
      </c>
      <c r="V5306" s="79" t="str">
        <f>IF(ISERROR(FIND('112'!$M$9,G5306,1)),"",IF((AND(RIGHT(G5306,2)=RIGHT('112'!$M$9,2),B5306&lt;'112'!$K$9,$O5306='112'!$I$6)),"x",""))</f>
        <v/>
      </c>
      <c r="W5306" s="79" t="str">
        <f>IF(AND('341-CT'!$H$9=H5306,OR(LEFT(N5306,3)=$W$7,LEFT(O5306,3)=$W$7)),"x","")</f>
        <v/>
      </c>
      <c r="X5306" s="79" t="str">
        <f>IF(OR(TH!N5306=TH!$X$7,O5306=TH!$X$7),"x","")</f>
        <v/>
      </c>
      <c r="Y5306" s="79" t="str">
        <f>IF(AND(OR(N5306="131",O5306="131"),H5306='131-CT'!$H$9),"x","")</f>
        <v/>
      </c>
      <c r="Z5306" s="79"/>
      <c r="AA5306" s="79" t="str">
        <f>IF(AND(MONTH(E5306)='IN-NX'!$J$5,'IN-NX'!$D$7=D5306),"x","")</f>
        <v/>
      </c>
      <c r="AB5306" s="79" t="str">
        <f>IF(AND(OR(LEFT(TH!N5306,2)="15",LEFT(TH!O5306,2)="15"),LEFT(TH!O5306,3)&lt;&gt;"111",'152-CT'!$J$8=TH!F5306),"x","")</f>
        <v/>
      </c>
      <c r="AC5306" s="79" t="str">
        <f>IF(AND(OR(LEFT(TH!N5306,2)="15",LEFT(TH!O5306,2)="15"),TK!$E$7=TH!F5306),"x","")</f>
        <v/>
      </c>
      <c r="AD5306" s="79" t="str">
        <f>IF(AND(N5306="1521",MONTH(C5306)='BK-NL'!$M$11),"x","")</f>
        <v/>
      </c>
    </row>
    <row r="5307" spans="1:30" ht="16.5" customHeight="1">
      <c r="A5307" s="318" t="str">
        <f>IF(B5307&lt;&gt;"",IF(AND(B5307='IN-TC'!$S$4,OR(TH!N5307="1111",TH!O5307="1111")),TH!D5307,""),"")</f>
        <v/>
      </c>
      <c r="B5307" s="60" t="str">
        <f t="shared" si="503"/>
        <v/>
      </c>
      <c r="C5307" s="61"/>
      <c r="D5307" s="61"/>
      <c r="E5307" s="61"/>
      <c r="F5307" s="69"/>
      <c r="G5307" s="766"/>
      <c r="H5307" s="69"/>
      <c r="I5307" s="385"/>
      <c r="J5307" s="392"/>
      <c r="K5307" s="385"/>
      <c r="L5307" s="392"/>
      <c r="M5307" s="62"/>
      <c r="N5307" s="63"/>
      <c r="O5307" s="63"/>
      <c r="P5307" s="79" t="str">
        <f>IF(AND('331-CT'!$E$7=TH!H5307,OR(N5307="331",O5307="331")),"x","")</f>
        <v/>
      </c>
      <c r="Q5307" s="79" t="str">
        <f>IF(AND(B5307='111'!$L$11,OR($N5307=$Q$7,$O5307=$Q$7)),"x","")</f>
        <v/>
      </c>
      <c r="R5307" s="79" t="str">
        <f>IF(AND($N5307=$Q$7,$B5307&lt;'111'!$L$11),"x","")</f>
        <v/>
      </c>
      <c r="S5307" s="79" t="str">
        <f>IF(AND($O5307=$Q$7,$B5307&lt;'111'!$L$11),"x","")</f>
        <v/>
      </c>
      <c r="T5307" s="79" t="str">
        <f>IF(ISERROR(FIND('112'!$M$9,G5307,1)),"",IF((AND(FIND('112'!$M$9,G5307,1)&gt;=1,B5307='112'!$K$9,OR($N5307='112'!$I$6,$O5307='112'!$I$6))),"x",""))</f>
        <v/>
      </c>
      <c r="U5307" s="79" t="str">
        <f>IF(ISERROR(FIND('112'!$M$9,G5307,1)),"",IF((AND(LEFT(G5307,2)=LEFT('112'!$M$9,2),B5307&lt;'112'!$K$9,$N5307='112'!$I$6)),"x",""))</f>
        <v/>
      </c>
      <c r="V5307" s="79" t="str">
        <f>IF(ISERROR(FIND('112'!$M$9,G5307,1)),"",IF((AND(RIGHT(G5307,2)=RIGHT('112'!$M$9,2),B5307&lt;'112'!$K$9,$O5307='112'!$I$6)),"x",""))</f>
        <v/>
      </c>
      <c r="W5307" s="79" t="str">
        <f>IF(AND('341-CT'!$H$9=H5307,OR(LEFT(N5307,3)=$W$7,LEFT(O5307,3)=$W$7)),"x","")</f>
        <v/>
      </c>
      <c r="X5307" s="79" t="str">
        <f>IF(OR(TH!N5307=TH!$X$7,O5307=TH!$X$7),"x","")</f>
        <v/>
      </c>
      <c r="Y5307" s="79" t="str">
        <f>IF(AND(OR(N5307="131",O5307="131"),H5307='131-CT'!$H$9),"x","")</f>
        <v/>
      </c>
      <c r="Z5307" s="79"/>
      <c r="AA5307" s="79" t="str">
        <f>IF(AND(MONTH(E5307)='IN-NX'!$J$5,'IN-NX'!$D$7=D5307),"x","")</f>
        <v/>
      </c>
      <c r="AB5307" s="79" t="str">
        <f>IF(AND(OR(LEFT(TH!N5307,2)="15",LEFT(TH!O5307,2)="15"),LEFT(TH!O5307,3)&lt;&gt;"111",'152-CT'!$J$8=TH!F5307),"x","")</f>
        <v/>
      </c>
      <c r="AC5307" s="79" t="str">
        <f>IF(AND(OR(LEFT(TH!N5307,2)="15",LEFT(TH!O5307,2)="15"),TK!$E$7=TH!F5307),"x","")</f>
        <v/>
      </c>
      <c r="AD5307" s="79" t="str">
        <f>IF(AND(N5307="1521",MONTH(C5307)='BK-NL'!$M$11),"x","")</f>
        <v/>
      </c>
    </row>
    <row r="5308" spans="1:30" ht="16.5" customHeight="1">
      <c r="A5308" s="318" t="str">
        <f>IF(B5308&lt;&gt;"",IF(AND(B5308='IN-TC'!$S$4,OR(TH!N5308="1111",TH!O5308="1111")),TH!D5308,""),"")</f>
        <v/>
      </c>
      <c r="B5308" s="60" t="str">
        <f t="shared" si="503"/>
        <v/>
      </c>
      <c r="C5308" s="61"/>
      <c r="D5308" s="61"/>
      <c r="E5308" s="61"/>
      <c r="F5308" s="69"/>
      <c r="G5308" s="766"/>
      <c r="H5308" s="69"/>
      <c r="I5308" s="385"/>
      <c r="J5308" s="392"/>
      <c r="K5308" s="385"/>
      <c r="L5308" s="392"/>
      <c r="M5308" s="62"/>
      <c r="N5308" s="63"/>
      <c r="O5308" s="63"/>
      <c r="P5308" s="79" t="str">
        <f>IF(AND('331-CT'!$E$7=TH!H5308,OR(N5308="331",O5308="331")),"x","")</f>
        <v/>
      </c>
      <c r="Q5308" s="79" t="str">
        <f>IF(AND(B5308='111'!$L$11,OR($N5308=$Q$7,$O5308=$Q$7)),"x","")</f>
        <v/>
      </c>
      <c r="R5308" s="79" t="str">
        <f>IF(AND($N5308=$Q$7,$B5308&lt;'111'!$L$11),"x","")</f>
        <v/>
      </c>
      <c r="S5308" s="79" t="str">
        <f>IF(AND($O5308=$Q$7,$B5308&lt;'111'!$L$11),"x","")</f>
        <v/>
      </c>
      <c r="T5308" s="79" t="str">
        <f>IF(ISERROR(FIND('112'!$M$9,G5308,1)),"",IF((AND(FIND('112'!$M$9,G5308,1)&gt;=1,B5308='112'!$K$9,OR($N5308='112'!$I$6,$O5308='112'!$I$6))),"x",""))</f>
        <v/>
      </c>
      <c r="U5308" s="79" t="str">
        <f>IF(ISERROR(FIND('112'!$M$9,G5308,1)),"",IF((AND(LEFT(G5308,2)=LEFT('112'!$M$9,2),B5308&lt;'112'!$K$9,$N5308='112'!$I$6)),"x",""))</f>
        <v/>
      </c>
      <c r="V5308" s="79" t="str">
        <f>IF(ISERROR(FIND('112'!$M$9,G5308,1)),"",IF((AND(RIGHT(G5308,2)=RIGHT('112'!$M$9,2),B5308&lt;'112'!$K$9,$O5308='112'!$I$6)),"x",""))</f>
        <v/>
      </c>
      <c r="W5308" s="79" t="str">
        <f>IF(AND('341-CT'!$H$9=H5308,OR(LEFT(N5308,3)=$W$7,LEFT(O5308,3)=$W$7)),"x","")</f>
        <v/>
      </c>
      <c r="X5308" s="79" t="str">
        <f>IF(OR(TH!N5308=TH!$X$7,O5308=TH!$X$7),"x","")</f>
        <v/>
      </c>
      <c r="Y5308" s="79" t="str">
        <f>IF(AND(OR(N5308="131",O5308="131"),H5308='131-CT'!$H$9),"x","")</f>
        <v/>
      </c>
      <c r="Z5308" s="79"/>
      <c r="AA5308" s="79" t="str">
        <f>IF(AND(MONTH(E5308)='IN-NX'!$J$5,'IN-NX'!$D$7=D5308),"x","")</f>
        <v/>
      </c>
      <c r="AB5308" s="79" t="str">
        <f>IF(AND(OR(LEFT(TH!N5308,2)="15",LEFT(TH!O5308,2)="15"),LEFT(TH!O5308,3)&lt;&gt;"111",'152-CT'!$J$8=TH!F5308),"x","")</f>
        <v/>
      </c>
      <c r="AC5308" s="79" t="str">
        <f>IF(AND(OR(LEFT(TH!N5308,2)="15",LEFT(TH!O5308,2)="15"),TK!$E$7=TH!F5308),"x","")</f>
        <v/>
      </c>
      <c r="AD5308" s="79" t="str">
        <f>IF(AND(N5308="1521",MONTH(C5308)='BK-NL'!$M$11),"x","")</f>
        <v/>
      </c>
    </row>
    <row r="5309" spans="1:30" ht="16.5" customHeight="1">
      <c r="A5309" s="318" t="str">
        <f>IF(B5309&lt;&gt;"",IF(AND(B5309='IN-TC'!$S$4,OR(TH!N5309="1111",TH!O5309="1111")),TH!D5309,""),"")</f>
        <v/>
      </c>
      <c r="B5309" s="60" t="str">
        <f t="shared" si="503"/>
        <v/>
      </c>
      <c r="C5309" s="61"/>
      <c r="D5309" s="61"/>
      <c r="E5309" s="61"/>
      <c r="F5309" s="69"/>
      <c r="G5309" s="766"/>
      <c r="H5309" s="69"/>
      <c r="I5309" s="385"/>
      <c r="J5309" s="392"/>
      <c r="K5309" s="385"/>
      <c r="L5309" s="392"/>
      <c r="M5309" s="62"/>
      <c r="N5309" s="63"/>
      <c r="O5309" s="63"/>
      <c r="P5309" s="79" t="str">
        <f>IF(AND('331-CT'!$E$7=TH!H5309,OR(N5309="331",O5309="331")),"x","")</f>
        <v/>
      </c>
      <c r="Q5309" s="79" t="str">
        <f>IF(AND(B5309='111'!$L$11,OR($N5309=$Q$7,$O5309=$Q$7)),"x","")</f>
        <v/>
      </c>
      <c r="R5309" s="79" t="str">
        <f>IF(AND($N5309=$Q$7,$B5309&lt;'111'!$L$11),"x","")</f>
        <v/>
      </c>
      <c r="S5309" s="79" t="str">
        <f>IF(AND($O5309=$Q$7,$B5309&lt;'111'!$L$11),"x","")</f>
        <v/>
      </c>
      <c r="T5309" s="79" t="str">
        <f>IF(ISERROR(FIND('112'!$M$9,G5309,1)),"",IF((AND(FIND('112'!$M$9,G5309,1)&gt;=1,B5309='112'!$K$9,OR($N5309='112'!$I$6,$O5309='112'!$I$6))),"x",""))</f>
        <v/>
      </c>
      <c r="U5309" s="79" t="str">
        <f>IF(ISERROR(FIND('112'!$M$9,G5309,1)),"",IF((AND(LEFT(G5309,2)=LEFT('112'!$M$9,2),B5309&lt;'112'!$K$9,$N5309='112'!$I$6)),"x",""))</f>
        <v/>
      </c>
      <c r="V5309" s="79" t="str">
        <f>IF(ISERROR(FIND('112'!$M$9,G5309,1)),"",IF((AND(RIGHT(G5309,2)=RIGHT('112'!$M$9,2),B5309&lt;'112'!$K$9,$O5309='112'!$I$6)),"x",""))</f>
        <v/>
      </c>
      <c r="W5309" s="79" t="str">
        <f>IF(AND('341-CT'!$H$9=H5309,OR(LEFT(N5309,3)=$W$7,LEFT(O5309,3)=$W$7)),"x","")</f>
        <v/>
      </c>
      <c r="X5309" s="79" t="str">
        <f>IF(OR(TH!N5309=TH!$X$7,O5309=TH!$X$7),"x","")</f>
        <v/>
      </c>
      <c r="Y5309" s="79" t="str">
        <f>IF(AND(OR(N5309="131",O5309="131"),H5309='131-CT'!$H$9),"x","")</f>
        <v/>
      </c>
      <c r="Z5309" s="79"/>
      <c r="AA5309" s="79" t="str">
        <f>IF(AND(MONTH(E5309)='IN-NX'!$J$5,'IN-NX'!$D$7=D5309),"x","")</f>
        <v/>
      </c>
      <c r="AB5309" s="79" t="str">
        <f>IF(AND(OR(LEFT(TH!N5309,2)="15",LEFT(TH!O5309,2)="15"),LEFT(TH!O5309,3)&lt;&gt;"111",'152-CT'!$J$8=TH!F5309),"x","")</f>
        <v/>
      </c>
      <c r="AC5309" s="79" t="str">
        <f>IF(AND(OR(LEFT(TH!N5309,2)="15",LEFT(TH!O5309,2)="15"),TK!$E$7=TH!F5309),"x","")</f>
        <v/>
      </c>
      <c r="AD5309" s="79" t="str">
        <f>IF(AND(N5309="1521",MONTH(C5309)='BK-NL'!$M$11),"x","")</f>
        <v/>
      </c>
    </row>
    <row r="5310" spans="1:30" ht="16.5" customHeight="1">
      <c r="A5310" s="318" t="str">
        <f>IF(B5310&lt;&gt;"",IF(AND(B5310='IN-TC'!$S$4,OR(TH!N5310="1111",TH!O5310="1111")),TH!D5310,""),"")</f>
        <v/>
      </c>
      <c r="B5310" s="60" t="str">
        <f t="shared" si="503"/>
        <v/>
      </c>
      <c r="C5310" s="61"/>
      <c r="D5310" s="61"/>
      <c r="E5310" s="61"/>
      <c r="F5310" s="69"/>
      <c r="G5310" s="766"/>
      <c r="H5310" s="69"/>
      <c r="I5310" s="385"/>
      <c r="J5310" s="392"/>
      <c r="K5310" s="385"/>
      <c r="L5310" s="392"/>
      <c r="M5310" s="62"/>
      <c r="N5310" s="63"/>
      <c r="O5310" s="63"/>
      <c r="P5310" s="79" t="str">
        <f>IF(AND('331-CT'!$E$7=TH!H5310,OR(N5310="331",O5310="331")),"x","")</f>
        <v/>
      </c>
      <c r="Q5310" s="79" t="str">
        <f>IF(AND(B5310='111'!$L$11,OR($N5310=$Q$7,$O5310=$Q$7)),"x","")</f>
        <v/>
      </c>
      <c r="R5310" s="79" t="str">
        <f>IF(AND($N5310=$Q$7,$B5310&lt;'111'!$L$11),"x","")</f>
        <v/>
      </c>
      <c r="S5310" s="79" t="str">
        <f>IF(AND($O5310=$Q$7,$B5310&lt;'111'!$L$11),"x","")</f>
        <v/>
      </c>
      <c r="T5310" s="79" t="str">
        <f>IF(ISERROR(FIND('112'!$M$9,G5310,1)),"",IF((AND(FIND('112'!$M$9,G5310,1)&gt;=1,B5310='112'!$K$9,OR($N5310='112'!$I$6,$O5310='112'!$I$6))),"x",""))</f>
        <v/>
      </c>
      <c r="U5310" s="79" t="str">
        <f>IF(ISERROR(FIND('112'!$M$9,G5310,1)),"",IF((AND(LEFT(G5310,2)=LEFT('112'!$M$9,2),B5310&lt;'112'!$K$9,$N5310='112'!$I$6)),"x",""))</f>
        <v/>
      </c>
      <c r="V5310" s="79" t="str">
        <f>IF(ISERROR(FIND('112'!$M$9,G5310,1)),"",IF((AND(RIGHT(G5310,2)=RIGHT('112'!$M$9,2),B5310&lt;'112'!$K$9,$O5310='112'!$I$6)),"x",""))</f>
        <v/>
      </c>
      <c r="W5310" s="79" t="str">
        <f>IF(AND('341-CT'!$H$9=H5310,OR(LEFT(N5310,3)=$W$7,LEFT(O5310,3)=$W$7)),"x","")</f>
        <v/>
      </c>
      <c r="X5310" s="79" t="str">
        <f>IF(OR(TH!N5310=TH!$X$7,O5310=TH!$X$7),"x","")</f>
        <v/>
      </c>
      <c r="Y5310" s="79" t="str">
        <f>IF(AND(OR(N5310="131",O5310="131"),H5310='131-CT'!$H$9),"x","")</f>
        <v/>
      </c>
      <c r="Z5310" s="79"/>
      <c r="AA5310" s="79" t="str">
        <f>IF(AND(MONTH(E5310)='IN-NX'!$J$5,'IN-NX'!$D$7=D5310),"x","")</f>
        <v/>
      </c>
      <c r="AB5310" s="79" t="str">
        <f>IF(AND(OR(LEFT(TH!N5310,2)="15",LEFT(TH!O5310,2)="15"),LEFT(TH!O5310,3)&lt;&gt;"111",'152-CT'!$J$8=TH!F5310),"x","")</f>
        <v/>
      </c>
      <c r="AC5310" s="79" t="str">
        <f>IF(AND(OR(LEFT(TH!N5310,2)="15",LEFT(TH!O5310,2)="15"),TK!$E$7=TH!F5310),"x","")</f>
        <v/>
      </c>
      <c r="AD5310" s="79" t="str">
        <f>IF(AND(N5310="1521",MONTH(C5310)='BK-NL'!$M$11),"x","")</f>
        <v/>
      </c>
    </row>
    <row r="5311" spans="1:30" ht="16.5" customHeight="1">
      <c r="A5311" s="318" t="str">
        <f>IF(B5311&lt;&gt;"",IF(AND(B5311='IN-TC'!$S$4,OR(TH!N5311="1111",TH!O5311="1111")),TH!D5311,""),"")</f>
        <v/>
      </c>
      <c r="B5311" s="60" t="str">
        <f t="shared" si="503"/>
        <v/>
      </c>
      <c r="C5311" s="61"/>
      <c r="D5311" s="61"/>
      <c r="E5311" s="61"/>
      <c r="F5311" s="69"/>
      <c r="G5311" s="766"/>
      <c r="H5311" s="69"/>
      <c r="I5311" s="385"/>
      <c r="J5311" s="392"/>
      <c r="K5311" s="385"/>
      <c r="L5311" s="392"/>
      <c r="M5311" s="62"/>
      <c r="N5311" s="63"/>
      <c r="O5311" s="63"/>
      <c r="P5311" s="79" t="str">
        <f>IF(AND('331-CT'!$E$7=TH!H5311,OR(N5311="331",O5311="331")),"x","")</f>
        <v/>
      </c>
      <c r="Q5311" s="79" t="str">
        <f>IF(AND(B5311='111'!$L$11,OR($N5311=$Q$7,$O5311=$Q$7)),"x","")</f>
        <v/>
      </c>
      <c r="R5311" s="79" t="str">
        <f>IF(AND($N5311=$Q$7,$B5311&lt;'111'!$L$11),"x","")</f>
        <v/>
      </c>
      <c r="S5311" s="79" t="str">
        <f>IF(AND($O5311=$Q$7,$B5311&lt;'111'!$L$11),"x","")</f>
        <v/>
      </c>
      <c r="T5311" s="79" t="str">
        <f>IF(ISERROR(FIND('112'!$M$9,G5311,1)),"",IF((AND(FIND('112'!$M$9,G5311,1)&gt;=1,B5311='112'!$K$9,OR($N5311='112'!$I$6,$O5311='112'!$I$6))),"x",""))</f>
        <v/>
      </c>
      <c r="U5311" s="79" t="str">
        <f>IF(ISERROR(FIND('112'!$M$9,G5311,1)),"",IF((AND(LEFT(G5311,2)=LEFT('112'!$M$9,2),B5311&lt;'112'!$K$9,$N5311='112'!$I$6)),"x",""))</f>
        <v/>
      </c>
      <c r="V5311" s="79" t="str">
        <f>IF(ISERROR(FIND('112'!$M$9,G5311,1)),"",IF((AND(RIGHT(G5311,2)=RIGHT('112'!$M$9,2),B5311&lt;'112'!$K$9,$O5311='112'!$I$6)),"x",""))</f>
        <v/>
      </c>
      <c r="W5311" s="79" t="str">
        <f>IF(AND('341-CT'!$H$9=H5311,OR(LEFT(N5311,3)=$W$7,LEFT(O5311,3)=$W$7)),"x","")</f>
        <v/>
      </c>
      <c r="X5311" s="79" t="str">
        <f>IF(OR(TH!N5311=TH!$X$7,O5311=TH!$X$7),"x","")</f>
        <v/>
      </c>
      <c r="Y5311" s="79" t="str">
        <f>IF(AND(OR(N5311="131",O5311="131"),H5311='131-CT'!$H$9),"x","")</f>
        <v/>
      </c>
      <c r="Z5311" s="79"/>
      <c r="AA5311" s="79" t="str">
        <f>IF(AND(MONTH(E5311)='IN-NX'!$J$5,'IN-NX'!$D$7=D5311),"x","")</f>
        <v/>
      </c>
      <c r="AB5311" s="79" t="str">
        <f>IF(AND(OR(LEFT(TH!N5311,2)="15",LEFT(TH!O5311,2)="15"),LEFT(TH!O5311,3)&lt;&gt;"111",'152-CT'!$J$8=TH!F5311),"x","")</f>
        <v/>
      </c>
      <c r="AC5311" s="79" t="str">
        <f>IF(AND(OR(LEFT(TH!N5311,2)="15",LEFT(TH!O5311,2)="15"),TK!$E$7=TH!F5311),"x","")</f>
        <v/>
      </c>
      <c r="AD5311" s="79" t="str">
        <f>IF(AND(N5311="1521",MONTH(C5311)='BK-NL'!$M$11),"x","")</f>
        <v/>
      </c>
    </row>
    <row r="5312" spans="1:30" ht="16.5" customHeight="1">
      <c r="A5312" s="318" t="str">
        <f>IF(B5312&lt;&gt;"",IF(AND(B5312='IN-TC'!$S$4,OR(TH!N5312="1111",TH!O5312="1111")),TH!D5312,""),"")</f>
        <v/>
      </c>
      <c r="B5312" s="60" t="str">
        <f t="shared" si="503"/>
        <v/>
      </c>
      <c r="C5312" s="61"/>
      <c r="D5312" s="61"/>
      <c r="E5312" s="61"/>
      <c r="F5312" s="69"/>
      <c r="G5312" s="766"/>
      <c r="H5312" s="69"/>
      <c r="I5312" s="385"/>
      <c r="J5312" s="392"/>
      <c r="K5312" s="385"/>
      <c r="L5312" s="392"/>
      <c r="M5312" s="62"/>
      <c r="N5312" s="63"/>
      <c r="O5312" s="63"/>
      <c r="P5312" s="79" t="str">
        <f>IF(AND('331-CT'!$E$7=TH!H5312,OR(N5312="331",O5312="331")),"x","")</f>
        <v/>
      </c>
      <c r="Q5312" s="79" t="str">
        <f>IF(AND(B5312='111'!$L$11,OR($N5312=$Q$7,$O5312=$Q$7)),"x","")</f>
        <v/>
      </c>
      <c r="R5312" s="79" t="str">
        <f>IF(AND($N5312=$Q$7,$B5312&lt;'111'!$L$11),"x","")</f>
        <v/>
      </c>
      <c r="S5312" s="79" t="str">
        <f>IF(AND($O5312=$Q$7,$B5312&lt;'111'!$L$11),"x","")</f>
        <v/>
      </c>
      <c r="T5312" s="79" t="str">
        <f>IF(ISERROR(FIND('112'!$M$9,G5312,1)),"",IF((AND(FIND('112'!$M$9,G5312,1)&gt;=1,B5312='112'!$K$9,OR($N5312='112'!$I$6,$O5312='112'!$I$6))),"x",""))</f>
        <v/>
      </c>
      <c r="U5312" s="79" t="str">
        <f>IF(ISERROR(FIND('112'!$M$9,G5312,1)),"",IF((AND(LEFT(G5312,2)=LEFT('112'!$M$9,2),B5312&lt;'112'!$K$9,$N5312='112'!$I$6)),"x",""))</f>
        <v/>
      </c>
      <c r="V5312" s="79" t="str">
        <f>IF(ISERROR(FIND('112'!$M$9,G5312,1)),"",IF((AND(RIGHT(G5312,2)=RIGHT('112'!$M$9,2),B5312&lt;'112'!$K$9,$O5312='112'!$I$6)),"x",""))</f>
        <v/>
      </c>
      <c r="W5312" s="79" t="str">
        <f>IF(AND('341-CT'!$H$9=H5312,OR(LEFT(N5312,3)=$W$7,LEFT(O5312,3)=$W$7)),"x","")</f>
        <v/>
      </c>
      <c r="X5312" s="79" t="str">
        <f>IF(OR(TH!N5312=TH!$X$7,O5312=TH!$X$7),"x","")</f>
        <v/>
      </c>
      <c r="Y5312" s="79" t="str">
        <f>IF(AND(OR(N5312="131",O5312="131"),H5312='131-CT'!$H$9),"x","")</f>
        <v/>
      </c>
      <c r="Z5312" s="79"/>
      <c r="AA5312" s="79" t="str">
        <f>IF(AND(MONTH(E5312)='IN-NX'!$J$5,'IN-NX'!$D$7=D5312),"x","")</f>
        <v/>
      </c>
      <c r="AB5312" s="79" t="str">
        <f>IF(AND(OR(LEFT(TH!N5312,2)="15",LEFT(TH!O5312,2)="15"),LEFT(TH!O5312,3)&lt;&gt;"111",'152-CT'!$J$8=TH!F5312),"x","")</f>
        <v/>
      </c>
      <c r="AC5312" s="79" t="str">
        <f>IF(AND(OR(LEFT(TH!N5312,2)="15",LEFT(TH!O5312,2)="15"),TK!$E$7=TH!F5312),"x","")</f>
        <v/>
      </c>
      <c r="AD5312" s="79" t="str">
        <f>IF(AND(N5312="1521",MONTH(C5312)='BK-NL'!$M$11),"x","")</f>
        <v/>
      </c>
    </row>
    <row r="5313" spans="1:30" ht="16.5" customHeight="1">
      <c r="A5313" s="318" t="str">
        <f>IF(B5313&lt;&gt;"",IF(AND(B5313='IN-TC'!$S$4,OR(TH!N5313="1111",TH!O5313="1111")),TH!D5313,""),"")</f>
        <v/>
      </c>
      <c r="B5313" s="60" t="str">
        <f t="shared" si="503"/>
        <v/>
      </c>
      <c r="C5313" s="61"/>
      <c r="D5313" s="61"/>
      <c r="E5313" s="61"/>
      <c r="F5313" s="69"/>
      <c r="G5313" s="766"/>
      <c r="H5313" s="69"/>
      <c r="I5313" s="385"/>
      <c r="J5313" s="392"/>
      <c r="K5313" s="385"/>
      <c r="L5313" s="392"/>
      <c r="M5313" s="62"/>
      <c r="N5313" s="63"/>
      <c r="O5313" s="63"/>
      <c r="P5313" s="79" t="str">
        <f>IF(AND('331-CT'!$E$7=TH!H5313,OR(N5313="331",O5313="331")),"x","")</f>
        <v/>
      </c>
      <c r="Q5313" s="79" t="str">
        <f>IF(AND(B5313='111'!$L$11,OR($N5313=$Q$7,$O5313=$Q$7)),"x","")</f>
        <v/>
      </c>
      <c r="R5313" s="79" t="str">
        <f>IF(AND($N5313=$Q$7,$B5313&lt;'111'!$L$11),"x","")</f>
        <v/>
      </c>
      <c r="S5313" s="79" t="str">
        <f>IF(AND($O5313=$Q$7,$B5313&lt;'111'!$L$11),"x","")</f>
        <v/>
      </c>
      <c r="T5313" s="79" t="str">
        <f>IF(ISERROR(FIND('112'!$M$9,G5313,1)),"",IF((AND(FIND('112'!$M$9,G5313,1)&gt;=1,B5313='112'!$K$9,OR($N5313='112'!$I$6,$O5313='112'!$I$6))),"x",""))</f>
        <v/>
      </c>
      <c r="U5313" s="79" t="str">
        <f>IF(ISERROR(FIND('112'!$M$9,G5313,1)),"",IF((AND(LEFT(G5313,2)=LEFT('112'!$M$9,2),B5313&lt;'112'!$K$9,$N5313='112'!$I$6)),"x",""))</f>
        <v/>
      </c>
      <c r="V5313" s="79" t="str">
        <f>IF(ISERROR(FIND('112'!$M$9,G5313,1)),"",IF((AND(RIGHT(G5313,2)=RIGHT('112'!$M$9,2),B5313&lt;'112'!$K$9,$O5313='112'!$I$6)),"x",""))</f>
        <v/>
      </c>
      <c r="W5313" s="79" t="str">
        <f>IF(AND('341-CT'!$H$9=H5313,OR(LEFT(N5313,3)=$W$7,LEFT(O5313,3)=$W$7)),"x","")</f>
        <v/>
      </c>
      <c r="X5313" s="79" t="str">
        <f>IF(OR(TH!N5313=TH!$X$7,O5313=TH!$X$7),"x","")</f>
        <v/>
      </c>
      <c r="Y5313" s="79" t="str">
        <f>IF(AND(OR(N5313="131",O5313="131"),H5313='131-CT'!$H$9),"x","")</f>
        <v/>
      </c>
      <c r="Z5313" s="79"/>
      <c r="AA5313" s="79" t="str">
        <f>IF(AND(MONTH(E5313)='IN-NX'!$J$5,'IN-NX'!$D$7=D5313),"x","")</f>
        <v/>
      </c>
      <c r="AB5313" s="79" t="str">
        <f>IF(AND(OR(LEFT(TH!N5313,2)="15",LEFT(TH!O5313,2)="15"),LEFT(TH!O5313,3)&lt;&gt;"111",'152-CT'!$J$8=TH!F5313),"x","")</f>
        <v/>
      </c>
      <c r="AC5313" s="79" t="str">
        <f>IF(AND(OR(LEFT(TH!N5313,2)="15",LEFT(TH!O5313,2)="15"),TK!$E$7=TH!F5313),"x","")</f>
        <v/>
      </c>
      <c r="AD5313" s="79" t="str">
        <f>IF(AND(N5313="1521",MONTH(C5313)='BK-NL'!$M$11),"x","")</f>
        <v/>
      </c>
    </row>
    <row r="5314" spans="1:30" ht="16.5" customHeight="1">
      <c r="A5314" s="318" t="str">
        <f>IF(B5314&lt;&gt;"",IF(AND(B5314='IN-TC'!$S$4,OR(TH!N5314="1111",TH!O5314="1111")),TH!D5314,""),"")</f>
        <v/>
      </c>
      <c r="B5314" s="60" t="str">
        <f t="shared" si="503"/>
        <v/>
      </c>
      <c r="C5314" s="61"/>
      <c r="D5314" s="61"/>
      <c r="E5314" s="61"/>
      <c r="F5314" s="69"/>
      <c r="G5314" s="766"/>
      <c r="H5314" s="69"/>
      <c r="I5314" s="385"/>
      <c r="J5314" s="392"/>
      <c r="K5314" s="385"/>
      <c r="L5314" s="392"/>
      <c r="M5314" s="62"/>
      <c r="N5314" s="63"/>
      <c r="O5314" s="63"/>
      <c r="P5314" s="79" t="str">
        <f>IF(AND('331-CT'!$E$7=TH!H5314,OR(N5314="331",O5314="331")),"x","")</f>
        <v/>
      </c>
      <c r="Q5314" s="79" t="str">
        <f>IF(AND(B5314='111'!$L$11,OR($N5314=$Q$7,$O5314=$Q$7)),"x","")</f>
        <v/>
      </c>
      <c r="R5314" s="79" t="str">
        <f>IF(AND($N5314=$Q$7,$B5314&lt;'111'!$L$11),"x","")</f>
        <v/>
      </c>
      <c r="S5314" s="79" t="str">
        <f>IF(AND($O5314=$Q$7,$B5314&lt;'111'!$L$11),"x","")</f>
        <v/>
      </c>
      <c r="T5314" s="79" t="str">
        <f>IF(ISERROR(FIND('112'!$M$9,G5314,1)),"",IF((AND(FIND('112'!$M$9,G5314,1)&gt;=1,B5314='112'!$K$9,OR($N5314='112'!$I$6,$O5314='112'!$I$6))),"x",""))</f>
        <v/>
      </c>
      <c r="U5314" s="79" t="str">
        <f>IF(ISERROR(FIND('112'!$M$9,G5314,1)),"",IF((AND(LEFT(G5314,2)=LEFT('112'!$M$9,2),B5314&lt;'112'!$K$9,$N5314='112'!$I$6)),"x",""))</f>
        <v/>
      </c>
      <c r="V5314" s="79" t="str">
        <f>IF(ISERROR(FIND('112'!$M$9,G5314,1)),"",IF((AND(RIGHT(G5314,2)=RIGHT('112'!$M$9,2),B5314&lt;'112'!$K$9,$O5314='112'!$I$6)),"x",""))</f>
        <v/>
      </c>
      <c r="W5314" s="79" t="str">
        <f>IF(AND('341-CT'!$H$9=H5314,OR(LEFT(N5314,3)=$W$7,LEFT(O5314,3)=$W$7)),"x","")</f>
        <v/>
      </c>
      <c r="X5314" s="79" t="str">
        <f>IF(OR(TH!N5314=TH!$X$7,O5314=TH!$X$7),"x","")</f>
        <v/>
      </c>
      <c r="Y5314" s="79" t="str">
        <f>IF(AND(OR(N5314="131",O5314="131"),H5314='131-CT'!$H$9),"x","")</f>
        <v/>
      </c>
      <c r="Z5314" s="79"/>
      <c r="AA5314" s="79" t="str">
        <f>IF(AND(MONTH(E5314)='IN-NX'!$J$5,'IN-NX'!$D$7=D5314),"x","")</f>
        <v/>
      </c>
      <c r="AB5314" s="79" t="str">
        <f>IF(AND(OR(LEFT(TH!N5314,2)="15",LEFT(TH!O5314,2)="15"),LEFT(TH!O5314,3)&lt;&gt;"111",'152-CT'!$J$8=TH!F5314),"x","")</f>
        <v/>
      </c>
      <c r="AC5314" s="79" t="str">
        <f>IF(AND(OR(LEFT(TH!N5314,2)="15",LEFT(TH!O5314,2)="15"),TK!$E$7=TH!F5314),"x","")</f>
        <v/>
      </c>
      <c r="AD5314" s="79" t="str">
        <f>IF(AND(N5314="1521",MONTH(C5314)='BK-NL'!$M$11),"x","")</f>
        <v/>
      </c>
    </row>
    <row r="5315" spans="1:30" ht="16.5" customHeight="1">
      <c r="A5315" s="318" t="str">
        <f>IF(B5315&lt;&gt;"",IF(AND(B5315='IN-TC'!$S$4,OR(TH!N5315="1111",TH!O5315="1111")),TH!D5315,""),"")</f>
        <v/>
      </c>
      <c r="B5315" s="60" t="str">
        <f t="shared" ref="B5315:B5378" si="504">IF(C5315&lt;&gt;"",MONTH(C5315),"")</f>
        <v/>
      </c>
      <c r="C5315" s="61"/>
      <c r="D5315" s="61"/>
      <c r="E5315" s="61"/>
      <c r="F5315" s="69"/>
      <c r="G5315" s="766"/>
      <c r="H5315" s="69"/>
      <c r="I5315" s="385"/>
      <c r="J5315" s="392"/>
      <c r="K5315" s="385"/>
      <c r="L5315" s="392"/>
      <c r="M5315" s="62"/>
      <c r="N5315" s="63"/>
      <c r="O5315" s="63"/>
      <c r="P5315" s="79" t="str">
        <f>IF(AND('331-CT'!$E$7=TH!H5315,OR(N5315="331",O5315="331")),"x","")</f>
        <v/>
      </c>
      <c r="Q5315" s="79" t="str">
        <f>IF(AND(B5315='111'!$L$11,OR($N5315=$Q$7,$O5315=$Q$7)),"x","")</f>
        <v/>
      </c>
      <c r="R5315" s="79" t="str">
        <f>IF(AND($N5315=$Q$7,$B5315&lt;'111'!$L$11),"x","")</f>
        <v/>
      </c>
      <c r="S5315" s="79" t="str">
        <f>IF(AND($O5315=$Q$7,$B5315&lt;'111'!$L$11),"x","")</f>
        <v/>
      </c>
      <c r="T5315" s="79" t="str">
        <f>IF(ISERROR(FIND('112'!$M$9,G5315,1)),"",IF((AND(FIND('112'!$M$9,G5315,1)&gt;=1,B5315='112'!$K$9,OR($N5315='112'!$I$6,$O5315='112'!$I$6))),"x",""))</f>
        <v/>
      </c>
      <c r="U5315" s="79" t="str">
        <f>IF(ISERROR(FIND('112'!$M$9,G5315,1)),"",IF((AND(LEFT(G5315,2)=LEFT('112'!$M$9,2),B5315&lt;'112'!$K$9,$N5315='112'!$I$6)),"x",""))</f>
        <v/>
      </c>
      <c r="V5315" s="79" t="str">
        <f>IF(ISERROR(FIND('112'!$M$9,G5315,1)),"",IF((AND(RIGHT(G5315,2)=RIGHT('112'!$M$9,2),B5315&lt;'112'!$K$9,$O5315='112'!$I$6)),"x",""))</f>
        <v/>
      </c>
      <c r="W5315" s="79" t="str">
        <f>IF(AND('341-CT'!$H$9=H5315,OR(LEFT(N5315,3)=$W$7,LEFT(O5315,3)=$W$7)),"x","")</f>
        <v/>
      </c>
      <c r="X5315" s="79" t="str">
        <f>IF(OR(TH!N5315=TH!$X$7,O5315=TH!$X$7),"x","")</f>
        <v/>
      </c>
      <c r="Y5315" s="79" t="str">
        <f>IF(AND(OR(N5315="131",O5315="131"),H5315='131-CT'!$H$9),"x","")</f>
        <v/>
      </c>
      <c r="Z5315" s="79"/>
      <c r="AA5315" s="79" t="str">
        <f>IF(AND(MONTH(E5315)='IN-NX'!$J$5,'IN-NX'!$D$7=D5315),"x","")</f>
        <v/>
      </c>
      <c r="AB5315" s="79" t="str">
        <f>IF(AND(OR(LEFT(TH!N5315,2)="15",LEFT(TH!O5315,2)="15"),LEFT(TH!O5315,3)&lt;&gt;"111",'152-CT'!$J$8=TH!F5315),"x","")</f>
        <v/>
      </c>
      <c r="AC5315" s="79" t="str">
        <f>IF(AND(OR(LEFT(TH!N5315,2)="15",LEFT(TH!O5315,2)="15"),TK!$E$7=TH!F5315),"x","")</f>
        <v/>
      </c>
      <c r="AD5315" s="79" t="str">
        <f>IF(AND(N5315="1521",MONTH(C5315)='BK-NL'!$M$11),"x","")</f>
        <v/>
      </c>
    </row>
    <row r="5316" spans="1:30" ht="16.5" customHeight="1">
      <c r="A5316" s="318" t="str">
        <f>IF(B5316&lt;&gt;"",IF(AND(B5316='IN-TC'!$S$4,OR(TH!N5316="1111",TH!O5316="1111")),TH!D5316,""),"")</f>
        <v/>
      </c>
      <c r="B5316" s="60" t="str">
        <f t="shared" si="504"/>
        <v/>
      </c>
      <c r="C5316" s="61"/>
      <c r="D5316" s="61"/>
      <c r="E5316" s="61"/>
      <c r="F5316" s="69"/>
      <c r="G5316" s="766"/>
      <c r="H5316" s="69"/>
      <c r="I5316" s="385"/>
      <c r="J5316" s="392"/>
      <c r="K5316" s="385"/>
      <c r="L5316" s="392"/>
      <c r="M5316" s="62"/>
      <c r="N5316" s="63"/>
      <c r="O5316" s="63"/>
      <c r="P5316" s="79" t="str">
        <f>IF(AND('331-CT'!$E$7=TH!H5316,OR(N5316="331",O5316="331")),"x","")</f>
        <v/>
      </c>
      <c r="Q5316" s="79" t="str">
        <f>IF(AND(B5316='111'!$L$11,OR($N5316=$Q$7,$O5316=$Q$7)),"x","")</f>
        <v/>
      </c>
      <c r="R5316" s="79" t="str">
        <f>IF(AND($N5316=$Q$7,$B5316&lt;'111'!$L$11),"x","")</f>
        <v/>
      </c>
      <c r="S5316" s="79" t="str">
        <f>IF(AND($O5316=$Q$7,$B5316&lt;'111'!$L$11),"x","")</f>
        <v/>
      </c>
      <c r="T5316" s="79" t="str">
        <f>IF(ISERROR(FIND('112'!$M$9,G5316,1)),"",IF((AND(FIND('112'!$M$9,G5316,1)&gt;=1,B5316='112'!$K$9,OR($N5316='112'!$I$6,$O5316='112'!$I$6))),"x",""))</f>
        <v/>
      </c>
      <c r="U5316" s="79" t="str">
        <f>IF(ISERROR(FIND('112'!$M$9,G5316,1)),"",IF((AND(LEFT(G5316,2)=LEFT('112'!$M$9,2),B5316&lt;'112'!$K$9,$N5316='112'!$I$6)),"x",""))</f>
        <v/>
      </c>
      <c r="V5316" s="79" t="str">
        <f>IF(ISERROR(FIND('112'!$M$9,G5316,1)),"",IF((AND(RIGHT(G5316,2)=RIGHT('112'!$M$9,2),B5316&lt;'112'!$K$9,$O5316='112'!$I$6)),"x",""))</f>
        <v/>
      </c>
      <c r="W5316" s="79" t="str">
        <f>IF(AND('341-CT'!$H$9=H5316,OR(LEFT(N5316,3)=$W$7,LEFT(O5316,3)=$W$7)),"x","")</f>
        <v/>
      </c>
      <c r="X5316" s="79" t="str">
        <f>IF(OR(TH!N5316=TH!$X$7,O5316=TH!$X$7),"x","")</f>
        <v/>
      </c>
      <c r="Y5316" s="79" t="str">
        <f>IF(AND(OR(N5316="131",O5316="131"),H5316='131-CT'!$H$9),"x","")</f>
        <v/>
      </c>
      <c r="Z5316" s="79"/>
      <c r="AA5316" s="79" t="str">
        <f>IF(AND(MONTH(E5316)='IN-NX'!$J$5,'IN-NX'!$D$7=D5316),"x","")</f>
        <v/>
      </c>
      <c r="AB5316" s="79" t="str">
        <f>IF(AND(OR(LEFT(TH!N5316,2)="15",LEFT(TH!O5316,2)="15"),LEFT(TH!O5316,3)&lt;&gt;"111",'152-CT'!$J$8=TH!F5316),"x","")</f>
        <v/>
      </c>
      <c r="AC5316" s="79" t="str">
        <f>IF(AND(OR(LEFT(TH!N5316,2)="15",LEFT(TH!O5316,2)="15"),TK!$E$7=TH!F5316),"x","")</f>
        <v/>
      </c>
      <c r="AD5316" s="79" t="str">
        <f>IF(AND(N5316="1521",MONTH(C5316)='BK-NL'!$M$11),"x","")</f>
        <v/>
      </c>
    </row>
    <row r="5317" spans="1:30" ht="16.5" customHeight="1">
      <c r="A5317" s="318" t="str">
        <f>IF(B5317&lt;&gt;"",IF(AND(B5317='IN-TC'!$S$4,OR(TH!N5317="1111",TH!O5317="1111")),TH!D5317,""),"")</f>
        <v/>
      </c>
      <c r="B5317" s="60" t="str">
        <f t="shared" si="504"/>
        <v/>
      </c>
      <c r="C5317" s="61"/>
      <c r="D5317" s="61"/>
      <c r="E5317" s="61"/>
      <c r="F5317" s="69"/>
      <c r="G5317" s="766"/>
      <c r="H5317" s="69"/>
      <c r="I5317" s="385"/>
      <c r="J5317" s="392"/>
      <c r="K5317" s="385"/>
      <c r="L5317" s="392"/>
      <c r="M5317" s="62"/>
      <c r="N5317" s="63"/>
      <c r="O5317" s="63"/>
      <c r="P5317" s="79" t="str">
        <f>IF(AND('331-CT'!$E$7=TH!H5317,OR(N5317="331",O5317="331")),"x","")</f>
        <v/>
      </c>
      <c r="Q5317" s="79" t="str">
        <f>IF(AND(B5317='111'!$L$11,OR($N5317=$Q$7,$O5317=$Q$7)),"x","")</f>
        <v/>
      </c>
      <c r="R5317" s="79" t="str">
        <f>IF(AND($N5317=$Q$7,$B5317&lt;'111'!$L$11),"x","")</f>
        <v/>
      </c>
      <c r="S5317" s="79" t="str">
        <f>IF(AND($O5317=$Q$7,$B5317&lt;'111'!$L$11),"x","")</f>
        <v/>
      </c>
      <c r="T5317" s="79" t="str">
        <f>IF(ISERROR(FIND('112'!$M$9,G5317,1)),"",IF((AND(FIND('112'!$M$9,G5317,1)&gt;=1,B5317='112'!$K$9,OR($N5317='112'!$I$6,$O5317='112'!$I$6))),"x",""))</f>
        <v/>
      </c>
      <c r="U5317" s="79" t="str">
        <f>IF(ISERROR(FIND('112'!$M$9,G5317,1)),"",IF((AND(LEFT(G5317,2)=LEFT('112'!$M$9,2),B5317&lt;'112'!$K$9,$N5317='112'!$I$6)),"x",""))</f>
        <v/>
      </c>
      <c r="V5317" s="79" t="str">
        <f>IF(ISERROR(FIND('112'!$M$9,G5317,1)),"",IF((AND(RIGHT(G5317,2)=RIGHT('112'!$M$9,2),B5317&lt;'112'!$K$9,$O5317='112'!$I$6)),"x",""))</f>
        <v/>
      </c>
      <c r="W5317" s="79" t="str">
        <f>IF(AND('341-CT'!$H$9=H5317,OR(LEFT(N5317,3)=$W$7,LEFT(O5317,3)=$W$7)),"x","")</f>
        <v/>
      </c>
      <c r="X5317" s="79" t="str">
        <f>IF(OR(TH!N5317=TH!$X$7,O5317=TH!$X$7),"x","")</f>
        <v/>
      </c>
      <c r="Y5317" s="79" t="str">
        <f>IF(AND(OR(N5317="131",O5317="131"),H5317='131-CT'!$H$9),"x","")</f>
        <v/>
      </c>
      <c r="Z5317" s="79"/>
      <c r="AA5317" s="79" t="str">
        <f>IF(AND(MONTH(E5317)='IN-NX'!$J$5,'IN-NX'!$D$7=D5317),"x","")</f>
        <v/>
      </c>
      <c r="AB5317" s="79" t="str">
        <f>IF(AND(OR(LEFT(TH!N5317,2)="15",LEFT(TH!O5317,2)="15"),LEFT(TH!O5317,3)&lt;&gt;"111",'152-CT'!$J$8=TH!F5317),"x","")</f>
        <v/>
      </c>
      <c r="AC5317" s="79" t="str">
        <f>IF(AND(OR(LEFT(TH!N5317,2)="15",LEFT(TH!O5317,2)="15"),TK!$E$7=TH!F5317),"x","")</f>
        <v/>
      </c>
      <c r="AD5317" s="79" t="str">
        <f>IF(AND(N5317="1521",MONTH(C5317)='BK-NL'!$M$11),"x","")</f>
        <v/>
      </c>
    </row>
    <row r="5318" spans="1:30" ht="16.5" customHeight="1">
      <c r="A5318" s="318" t="str">
        <f>IF(B5318&lt;&gt;"",IF(AND(B5318='IN-TC'!$S$4,OR(TH!N5318="1111",TH!O5318="1111")),TH!D5318,""),"")</f>
        <v/>
      </c>
      <c r="B5318" s="60" t="str">
        <f t="shared" si="504"/>
        <v/>
      </c>
      <c r="C5318" s="61"/>
      <c r="D5318" s="61"/>
      <c r="E5318" s="61"/>
      <c r="F5318" s="69"/>
      <c r="G5318" s="766"/>
      <c r="H5318" s="69"/>
      <c r="I5318" s="385"/>
      <c r="J5318" s="392"/>
      <c r="K5318" s="385"/>
      <c r="L5318" s="392"/>
      <c r="M5318" s="62"/>
      <c r="N5318" s="63"/>
      <c r="O5318" s="63"/>
      <c r="P5318" s="79" t="str">
        <f>IF(AND('331-CT'!$E$7=TH!H5318,OR(N5318="331",O5318="331")),"x","")</f>
        <v/>
      </c>
      <c r="Q5318" s="79" t="str">
        <f>IF(AND(B5318='111'!$L$11,OR($N5318=$Q$7,$O5318=$Q$7)),"x","")</f>
        <v/>
      </c>
      <c r="R5318" s="79" t="str">
        <f>IF(AND($N5318=$Q$7,$B5318&lt;'111'!$L$11),"x","")</f>
        <v/>
      </c>
      <c r="S5318" s="79" t="str">
        <f>IF(AND($O5318=$Q$7,$B5318&lt;'111'!$L$11),"x","")</f>
        <v/>
      </c>
      <c r="T5318" s="79" t="str">
        <f>IF(ISERROR(FIND('112'!$M$9,G5318,1)),"",IF((AND(FIND('112'!$M$9,G5318,1)&gt;=1,B5318='112'!$K$9,OR($N5318='112'!$I$6,$O5318='112'!$I$6))),"x",""))</f>
        <v/>
      </c>
      <c r="U5318" s="79" t="str">
        <f>IF(ISERROR(FIND('112'!$M$9,G5318,1)),"",IF((AND(LEFT(G5318,2)=LEFT('112'!$M$9,2),B5318&lt;'112'!$K$9,$N5318='112'!$I$6)),"x",""))</f>
        <v/>
      </c>
      <c r="V5318" s="79" t="str">
        <f>IF(ISERROR(FIND('112'!$M$9,G5318,1)),"",IF((AND(RIGHT(G5318,2)=RIGHT('112'!$M$9,2),B5318&lt;'112'!$K$9,$O5318='112'!$I$6)),"x",""))</f>
        <v/>
      </c>
      <c r="W5318" s="79" t="str">
        <f>IF(AND('341-CT'!$H$9=H5318,OR(LEFT(N5318,3)=$W$7,LEFT(O5318,3)=$W$7)),"x","")</f>
        <v/>
      </c>
      <c r="X5318" s="79" t="str">
        <f>IF(OR(TH!N5318=TH!$X$7,O5318=TH!$X$7),"x","")</f>
        <v/>
      </c>
      <c r="Y5318" s="79" t="str">
        <f>IF(AND(OR(N5318="131",O5318="131"),H5318='131-CT'!$H$9),"x","")</f>
        <v/>
      </c>
      <c r="Z5318" s="79"/>
      <c r="AA5318" s="79" t="str">
        <f>IF(AND(MONTH(E5318)='IN-NX'!$J$5,'IN-NX'!$D$7=D5318),"x","")</f>
        <v/>
      </c>
      <c r="AB5318" s="79" t="str">
        <f>IF(AND(OR(LEFT(TH!N5318,2)="15",LEFT(TH!O5318,2)="15"),LEFT(TH!O5318,3)&lt;&gt;"111",'152-CT'!$J$8=TH!F5318),"x","")</f>
        <v/>
      </c>
      <c r="AC5318" s="79" t="str">
        <f>IF(AND(OR(LEFT(TH!N5318,2)="15",LEFT(TH!O5318,2)="15"),TK!$E$7=TH!F5318),"x","")</f>
        <v/>
      </c>
      <c r="AD5318" s="79" t="str">
        <f>IF(AND(N5318="1521",MONTH(C5318)='BK-NL'!$M$11),"x","")</f>
        <v/>
      </c>
    </row>
    <row r="5319" spans="1:30" ht="16.5" customHeight="1">
      <c r="A5319" s="318" t="str">
        <f>IF(B5319&lt;&gt;"",IF(AND(B5319='IN-TC'!$S$4,OR(TH!N5319="1111",TH!O5319="1111")),TH!D5319,""),"")</f>
        <v/>
      </c>
      <c r="B5319" s="60" t="str">
        <f t="shared" si="504"/>
        <v/>
      </c>
      <c r="C5319" s="61"/>
      <c r="D5319" s="61"/>
      <c r="E5319" s="61"/>
      <c r="F5319" s="69"/>
      <c r="G5319" s="766"/>
      <c r="H5319" s="69"/>
      <c r="I5319" s="385"/>
      <c r="J5319" s="392"/>
      <c r="K5319" s="385"/>
      <c r="L5319" s="392"/>
      <c r="M5319" s="62"/>
      <c r="N5319" s="63"/>
      <c r="O5319" s="63"/>
      <c r="P5319" s="79" t="str">
        <f>IF(AND('331-CT'!$E$7=TH!H5319,OR(N5319="331",O5319="331")),"x","")</f>
        <v/>
      </c>
      <c r="Q5319" s="79" t="str">
        <f>IF(AND(B5319='111'!$L$11,OR($N5319=$Q$7,$O5319=$Q$7)),"x","")</f>
        <v/>
      </c>
      <c r="R5319" s="79" t="str">
        <f>IF(AND($N5319=$Q$7,$B5319&lt;'111'!$L$11),"x","")</f>
        <v/>
      </c>
      <c r="S5319" s="79" t="str">
        <f>IF(AND($O5319=$Q$7,$B5319&lt;'111'!$L$11),"x","")</f>
        <v/>
      </c>
      <c r="T5319" s="79" t="str">
        <f>IF(ISERROR(FIND('112'!$M$9,G5319,1)),"",IF((AND(FIND('112'!$M$9,G5319,1)&gt;=1,B5319='112'!$K$9,OR($N5319='112'!$I$6,$O5319='112'!$I$6))),"x",""))</f>
        <v/>
      </c>
      <c r="U5319" s="79" t="str">
        <f>IF(ISERROR(FIND('112'!$M$9,G5319,1)),"",IF((AND(LEFT(G5319,2)=LEFT('112'!$M$9,2),B5319&lt;'112'!$K$9,$N5319='112'!$I$6)),"x",""))</f>
        <v/>
      </c>
      <c r="V5319" s="79" t="str">
        <f>IF(ISERROR(FIND('112'!$M$9,G5319,1)),"",IF((AND(RIGHT(G5319,2)=RIGHT('112'!$M$9,2),B5319&lt;'112'!$K$9,$O5319='112'!$I$6)),"x",""))</f>
        <v/>
      </c>
      <c r="W5319" s="79" t="str">
        <f>IF(AND('341-CT'!$H$9=H5319,OR(LEFT(N5319,3)=$W$7,LEFT(O5319,3)=$W$7)),"x","")</f>
        <v/>
      </c>
      <c r="X5319" s="79" t="str">
        <f>IF(OR(TH!N5319=TH!$X$7,O5319=TH!$X$7),"x","")</f>
        <v/>
      </c>
      <c r="Y5319" s="79" t="str">
        <f>IF(AND(OR(N5319="131",O5319="131"),H5319='131-CT'!$H$9),"x","")</f>
        <v/>
      </c>
      <c r="Z5319" s="79"/>
      <c r="AA5319" s="79" t="str">
        <f>IF(AND(MONTH(E5319)='IN-NX'!$J$5,'IN-NX'!$D$7=D5319),"x","")</f>
        <v/>
      </c>
      <c r="AB5319" s="79" t="str">
        <f>IF(AND(OR(LEFT(TH!N5319,2)="15",LEFT(TH!O5319,2)="15"),LEFT(TH!O5319,3)&lt;&gt;"111",'152-CT'!$J$8=TH!F5319),"x","")</f>
        <v/>
      </c>
      <c r="AC5319" s="79" t="str">
        <f>IF(AND(OR(LEFT(TH!N5319,2)="15",LEFT(TH!O5319,2)="15"),TK!$E$7=TH!F5319),"x","")</f>
        <v/>
      </c>
      <c r="AD5319" s="79" t="str">
        <f>IF(AND(N5319="1521",MONTH(C5319)='BK-NL'!$M$11),"x","")</f>
        <v/>
      </c>
    </row>
    <row r="5320" spans="1:30" ht="16.5" customHeight="1">
      <c r="A5320" s="318" t="str">
        <f>IF(B5320&lt;&gt;"",IF(AND(B5320='IN-TC'!$S$4,OR(TH!N5320="1111",TH!O5320="1111")),TH!D5320,""),"")</f>
        <v/>
      </c>
      <c r="B5320" s="60" t="str">
        <f t="shared" si="504"/>
        <v/>
      </c>
      <c r="C5320" s="61"/>
      <c r="D5320" s="61"/>
      <c r="E5320" s="61"/>
      <c r="F5320" s="69"/>
      <c r="G5320" s="766"/>
      <c r="H5320" s="69"/>
      <c r="I5320" s="385"/>
      <c r="J5320" s="392"/>
      <c r="K5320" s="385"/>
      <c r="L5320" s="392"/>
      <c r="M5320" s="62"/>
      <c r="N5320" s="63"/>
      <c r="O5320" s="63"/>
      <c r="P5320" s="79" t="str">
        <f>IF(AND('331-CT'!$E$7=TH!H5320,OR(N5320="331",O5320="331")),"x","")</f>
        <v/>
      </c>
      <c r="Q5320" s="79" t="str">
        <f>IF(AND(B5320='111'!$L$11,OR($N5320=$Q$7,$O5320=$Q$7)),"x","")</f>
        <v/>
      </c>
      <c r="R5320" s="79" t="str">
        <f>IF(AND($N5320=$Q$7,$B5320&lt;'111'!$L$11),"x","")</f>
        <v/>
      </c>
      <c r="S5320" s="79" t="str">
        <f>IF(AND($O5320=$Q$7,$B5320&lt;'111'!$L$11),"x","")</f>
        <v/>
      </c>
      <c r="T5320" s="79" t="str">
        <f>IF(ISERROR(FIND('112'!$M$9,G5320,1)),"",IF((AND(FIND('112'!$M$9,G5320,1)&gt;=1,B5320='112'!$K$9,OR($N5320='112'!$I$6,$O5320='112'!$I$6))),"x",""))</f>
        <v/>
      </c>
      <c r="U5320" s="79" t="str">
        <f>IF(ISERROR(FIND('112'!$M$9,G5320,1)),"",IF((AND(LEFT(G5320,2)=LEFT('112'!$M$9,2),B5320&lt;'112'!$K$9,$N5320='112'!$I$6)),"x",""))</f>
        <v/>
      </c>
      <c r="V5320" s="79" t="str">
        <f>IF(ISERROR(FIND('112'!$M$9,G5320,1)),"",IF((AND(RIGHT(G5320,2)=RIGHT('112'!$M$9,2),B5320&lt;'112'!$K$9,$O5320='112'!$I$6)),"x",""))</f>
        <v/>
      </c>
      <c r="W5320" s="79" t="str">
        <f>IF(AND('341-CT'!$H$9=H5320,OR(LEFT(N5320,3)=$W$7,LEFT(O5320,3)=$W$7)),"x","")</f>
        <v/>
      </c>
      <c r="X5320" s="79" t="str">
        <f>IF(OR(TH!N5320=TH!$X$7,O5320=TH!$X$7),"x","")</f>
        <v/>
      </c>
      <c r="Y5320" s="79" t="str">
        <f>IF(AND(OR(N5320="131",O5320="131"),H5320='131-CT'!$H$9),"x","")</f>
        <v/>
      </c>
      <c r="Z5320" s="79"/>
      <c r="AA5320" s="79" t="str">
        <f>IF(AND(MONTH(E5320)='IN-NX'!$J$5,'IN-NX'!$D$7=D5320),"x","")</f>
        <v/>
      </c>
      <c r="AB5320" s="79" t="str">
        <f>IF(AND(OR(LEFT(TH!N5320,2)="15",LEFT(TH!O5320,2)="15"),LEFT(TH!O5320,3)&lt;&gt;"111",'152-CT'!$J$8=TH!F5320),"x","")</f>
        <v/>
      </c>
      <c r="AC5320" s="79" t="str">
        <f>IF(AND(OR(LEFT(TH!N5320,2)="15",LEFT(TH!O5320,2)="15"),TK!$E$7=TH!F5320),"x","")</f>
        <v/>
      </c>
      <c r="AD5320" s="79" t="str">
        <f>IF(AND(N5320="1521",MONTH(C5320)='BK-NL'!$M$11),"x","")</f>
        <v/>
      </c>
    </row>
    <row r="5321" spans="1:30" ht="16.5" customHeight="1">
      <c r="A5321" s="318" t="str">
        <f>IF(B5321&lt;&gt;"",IF(AND(B5321='IN-TC'!$S$4,OR(TH!N5321="1111",TH!O5321="1111")),TH!D5321,""),"")</f>
        <v/>
      </c>
      <c r="B5321" s="60" t="str">
        <f t="shared" si="504"/>
        <v/>
      </c>
      <c r="C5321" s="61"/>
      <c r="D5321" s="61"/>
      <c r="E5321" s="61"/>
      <c r="F5321" s="69"/>
      <c r="G5321" s="766"/>
      <c r="H5321" s="69"/>
      <c r="I5321" s="385"/>
      <c r="J5321" s="392"/>
      <c r="K5321" s="385"/>
      <c r="L5321" s="392"/>
      <c r="M5321" s="62"/>
      <c r="N5321" s="63"/>
      <c r="O5321" s="63"/>
      <c r="P5321" s="79" t="str">
        <f>IF(AND('331-CT'!$E$7=TH!H5321,OR(N5321="331",O5321="331")),"x","")</f>
        <v/>
      </c>
      <c r="Q5321" s="79" t="str">
        <f>IF(AND(B5321='111'!$L$11,OR($N5321=$Q$7,$O5321=$Q$7)),"x","")</f>
        <v/>
      </c>
      <c r="R5321" s="79" t="str">
        <f>IF(AND($N5321=$Q$7,$B5321&lt;'111'!$L$11),"x","")</f>
        <v/>
      </c>
      <c r="S5321" s="79" t="str">
        <f>IF(AND($O5321=$Q$7,$B5321&lt;'111'!$L$11),"x","")</f>
        <v/>
      </c>
      <c r="T5321" s="79" t="str">
        <f>IF(ISERROR(FIND('112'!$M$9,G5321,1)),"",IF((AND(FIND('112'!$M$9,G5321,1)&gt;=1,B5321='112'!$K$9,OR($N5321='112'!$I$6,$O5321='112'!$I$6))),"x",""))</f>
        <v/>
      </c>
      <c r="U5321" s="79" t="str">
        <f>IF(ISERROR(FIND('112'!$M$9,G5321,1)),"",IF((AND(LEFT(G5321,2)=LEFT('112'!$M$9,2),B5321&lt;'112'!$K$9,$N5321='112'!$I$6)),"x",""))</f>
        <v/>
      </c>
      <c r="V5321" s="79" t="str">
        <f>IF(ISERROR(FIND('112'!$M$9,G5321,1)),"",IF((AND(RIGHT(G5321,2)=RIGHT('112'!$M$9,2),B5321&lt;'112'!$K$9,$O5321='112'!$I$6)),"x",""))</f>
        <v/>
      </c>
      <c r="W5321" s="79" t="str">
        <f>IF(AND('341-CT'!$H$9=H5321,OR(LEFT(N5321,3)=$W$7,LEFT(O5321,3)=$W$7)),"x","")</f>
        <v/>
      </c>
      <c r="X5321" s="79" t="str">
        <f>IF(OR(TH!N5321=TH!$X$7,O5321=TH!$X$7),"x","")</f>
        <v/>
      </c>
      <c r="Y5321" s="79" t="str">
        <f>IF(AND(OR(N5321="131",O5321="131"),H5321='131-CT'!$H$9),"x","")</f>
        <v/>
      </c>
      <c r="Z5321" s="79"/>
      <c r="AA5321" s="79" t="str">
        <f>IF(AND(MONTH(E5321)='IN-NX'!$J$5,'IN-NX'!$D$7=D5321),"x","")</f>
        <v/>
      </c>
      <c r="AB5321" s="79" t="str">
        <f>IF(AND(OR(LEFT(TH!N5321,2)="15",LEFT(TH!O5321,2)="15"),LEFT(TH!O5321,3)&lt;&gt;"111",'152-CT'!$J$8=TH!F5321),"x","")</f>
        <v/>
      </c>
      <c r="AC5321" s="79" t="str">
        <f>IF(AND(OR(LEFT(TH!N5321,2)="15",LEFT(TH!O5321,2)="15"),TK!$E$7=TH!F5321),"x","")</f>
        <v/>
      </c>
      <c r="AD5321" s="79" t="str">
        <f>IF(AND(N5321="1521",MONTH(C5321)='BK-NL'!$M$11),"x","")</f>
        <v/>
      </c>
    </row>
    <row r="5322" spans="1:30" ht="16.5" customHeight="1">
      <c r="A5322" s="318" t="str">
        <f>IF(B5322&lt;&gt;"",IF(AND(B5322='IN-TC'!$S$4,OR(TH!N5322="1111",TH!O5322="1111")),TH!D5322,""),"")</f>
        <v/>
      </c>
      <c r="B5322" s="60" t="str">
        <f t="shared" si="504"/>
        <v/>
      </c>
      <c r="C5322" s="61"/>
      <c r="D5322" s="61"/>
      <c r="E5322" s="61"/>
      <c r="F5322" s="69"/>
      <c r="G5322" s="766"/>
      <c r="H5322" s="69"/>
      <c r="I5322" s="385"/>
      <c r="J5322" s="392"/>
      <c r="K5322" s="385"/>
      <c r="L5322" s="392"/>
      <c r="M5322" s="62"/>
      <c r="N5322" s="63"/>
      <c r="O5322" s="63"/>
      <c r="P5322" s="79" t="str">
        <f>IF(AND('331-CT'!$E$7=TH!H5322,OR(N5322="331",O5322="331")),"x","")</f>
        <v/>
      </c>
      <c r="Q5322" s="79" t="str">
        <f>IF(AND(B5322='111'!$L$11,OR($N5322=$Q$7,$O5322=$Q$7)),"x","")</f>
        <v/>
      </c>
      <c r="R5322" s="79" t="str">
        <f>IF(AND($N5322=$Q$7,$B5322&lt;'111'!$L$11),"x","")</f>
        <v/>
      </c>
      <c r="S5322" s="79" t="str">
        <f>IF(AND($O5322=$Q$7,$B5322&lt;'111'!$L$11),"x","")</f>
        <v/>
      </c>
      <c r="T5322" s="79" t="str">
        <f>IF(ISERROR(FIND('112'!$M$9,G5322,1)),"",IF((AND(FIND('112'!$M$9,G5322,1)&gt;=1,B5322='112'!$K$9,OR($N5322='112'!$I$6,$O5322='112'!$I$6))),"x",""))</f>
        <v/>
      </c>
      <c r="U5322" s="79" t="str">
        <f>IF(ISERROR(FIND('112'!$M$9,G5322,1)),"",IF((AND(LEFT(G5322,2)=LEFT('112'!$M$9,2),B5322&lt;'112'!$K$9,$N5322='112'!$I$6)),"x",""))</f>
        <v/>
      </c>
      <c r="V5322" s="79" t="str">
        <f>IF(ISERROR(FIND('112'!$M$9,G5322,1)),"",IF((AND(RIGHT(G5322,2)=RIGHT('112'!$M$9,2),B5322&lt;'112'!$K$9,$O5322='112'!$I$6)),"x",""))</f>
        <v/>
      </c>
      <c r="W5322" s="79" t="str">
        <f>IF(AND('341-CT'!$H$9=H5322,OR(LEFT(N5322,3)=$W$7,LEFT(O5322,3)=$W$7)),"x","")</f>
        <v/>
      </c>
      <c r="X5322" s="79" t="str">
        <f>IF(OR(TH!N5322=TH!$X$7,O5322=TH!$X$7),"x","")</f>
        <v/>
      </c>
      <c r="Y5322" s="79" t="str">
        <f>IF(AND(OR(N5322="131",O5322="131"),H5322='131-CT'!$H$9),"x","")</f>
        <v/>
      </c>
      <c r="Z5322" s="79"/>
      <c r="AA5322" s="79" t="str">
        <f>IF(AND(MONTH(E5322)='IN-NX'!$J$5,'IN-NX'!$D$7=D5322),"x","")</f>
        <v/>
      </c>
      <c r="AB5322" s="79" t="str">
        <f>IF(AND(OR(LEFT(TH!N5322,2)="15",LEFT(TH!O5322,2)="15"),LEFT(TH!O5322,3)&lt;&gt;"111",'152-CT'!$J$8=TH!F5322),"x","")</f>
        <v/>
      </c>
      <c r="AC5322" s="79" t="str">
        <f>IF(AND(OR(LEFT(TH!N5322,2)="15",LEFT(TH!O5322,2)="15"),TK!$E$7=TH!F5322),"x","")</f>
        <v/>
      </c>
      <c r="AD5322" s="79" t="str">
        <f>IF(AND(N5322="1521",MONTH(C5322)='BK-NL'!$M$11),"x","")</f>
        <v/>
      </c>
    </row>
    <row r="5323" spans="1:30" ht="16.5" customHeight="1">
      <c r="A5323" s="318" t="str">
        <f>IF(B5323&lt;&gt;"",IF(AND(B5323='IN-TC'!$S$4,OR(TH!N5323="1111",TH!O5323="1111")),TH!D5323,""),"")</f>
        <v/>
      </c>
      <c r="B5323" s="60" t="str">
        <f t="shared" si="504"/>
        <v/>
      </c>
      <c r="C5323" s="61"/>
      <c r="D5323" s="61"/>
      <c r="E5323" s="61"/>
      <c r="F5323" s="69"/>
      <c r="G5323" s="766"/>
      <c r="H5323" s="69"/>
      <c r="I5323" s="385"/>
      <c r="J5323" s="392"/>
      <c r="K5323" s="385"/>
      <c r="L5323" s="392"/>
      <c r="M5323" s="62"/>
      <c r="N5323" s="63"/>
      <c r="O5323" s="63"/>
      <c r="P5323" s="79" t="str">
        <f>IF(AND('331-CT'!$E$7=TH!H5323,OR(N5323="331",O5323="331")),"x","")</f>
        <v/>
      </c>
      <c r="Q5323" s="79" t="str">
        <f>IF(AND(B5323='111'!$L$11,OR($N5323=$Q$7,$O5323=$Q$7)),"x","")</f>
        <v/>
      </c>
      <c r="R5323" s="79" t="str">
        <f>IF(AND($N5323=$Q$7,$B5323&lt;'111'!$L$11),"x","")</f>
        <v/>
      </c>
      <c r="S5323" s="79" t="str">
        <f>IF(AND($O5323=$Q$7,$B5323&lt;'111'!$L$11),"x","")</f>
        <v/>
      </c>
      <c r="T5323" s="79" t="str">
        <f>IF(ISERROR(FIND('112'!$M$9,G5323,1)),"",IF((AND(FIND('112'!$M$9,G5323,1)&gt;=1,B5323='112'!$K$9,OR($N5323='112'!$I$6,$O5323='112'!$I$6))),"x",""))</f>
        <v/>
      </c>
      <c r="U5323" s="79" t="str">
        <f>IF(ISERROR(FIND('112'!$M$9,G5323,1)),"",IF((AND(LEFT(G5323,2)=LEFT('112'!$M$9,2),B5323&lt;'112'!$K$9,$N5323='112'!$I$6)),"x",""))</f>
        <v/>
      </c>
      <c r="V5323" s="79" t="str">
        <f>IF(ISERROR(FIND('112'!$M$9,G5323,1)),"",IF((AND(RIGHT(G5323,2)=RIGHT('112'!$M$9,2),B5323&lt;'112'!$K$9,$O5323='112'!$I$6)),"x",""))</f>
        <v/>
      </c>
      <c r="W5323" s="79" t="str">
        <f>IF(AND('341-CT'!$H$9=H5323,OR(LEFT(N5323,3)=$W$7,LEFT(O5323,3)=$W$7)),"x","")</f>
        <v/>
      </c>
      <c r="X5323" s="79" t="str">
        <f>IF(OR(TH!N5323=TH!$X$7,O5323=TH!$X$7),"x","")</f>
        <v/>
      </c>
      <c r="Y5323" s="79" t="str">
        <f>IF(AND(OR(N5323="131",O5323="131"),H5323='131-CT'!$H$9),"x","")</f>
        <v/>
      </c>
      <c r="Z5323" s="79"/>
      <c r="AA5323" s="79" t="str">
        <f>IF(AND(MONTH(E5323)='IN-NX'!$J$5,'IN-NX'!$D$7=D5323),"x","")</f>
        <v/>
      </c>
      <c r="AB5323" s="79" t="str">
        <f>IF(AND(OR(LEFT(TH!N5323,2)="15",LEFT(TH!O5323,2)="15"),LEFT(TH!O5323,3)&lt;&gt;"111",'152-CT'!$J$8=TH!F5323),"x","")</f>
        <v/>
      </c>
      <c r="AC5323" s="79" t="str">
        <f>IF(AND(OR(LEFT(TH!N5323,2)="15",LEFT(TH!O5323,2)="15"),TK!$E$7=TH!F5323),"x","")</f>
        <v/>
      </c>
      <c r="AD5323" s="79" t="str">
        <f>IF(AND(N5323="1521",MONTH(C5323)='BK-NL'!$M$11),"x","")</f>
        <v/>
      </c>
    </row>
    <row r="5324" spans="1:30" ht="16.5" customHeight="1">
      <c r="A5324" s="318" t="str">
        <f>IF(B5324&lt;&gt;"",IF(AND(B5324='IN-TC'!$S$4,OR(TH!N5324="1111",TH!O5324="1111")),TH!D5324,""),"")</f>
        <v/>
      </c>
      <c r="B5324" s="60" t="str">
        <f t="shared" si="504"/>
        <v/>
      </c>
      <c r="C5324" s="61"/>
      <c r="D5324" s="61"/>
      <c r="E5324" s="61"/>
      <c r="F5324" s="69"/>
      <c r="G5324" s="766"/>
      <c r="H5324" s="69"/>
      <c r="I5324" s="385"/>
      <c r="J5324" s="392"/>
      <c r="K5324" s="385"/>
      <c r="L5324" s="392"/>
      <c r="M5324" s="62"/>
      <c r="N5324" s="63"/>
      <c r="O5324" s="63"/>
      <c r="P5324" s="79" t="str">
        <f>IF(AND('331-CT'!$E$7=TH!H5324,OR(N5324="331",O5324="331")),"x","")</f>
        <v/>
      </c>
      <c r="Q5324" s="79" t="str">
        <f>IF(AND(B5324='111'!$L$11,OR($N5324=$Q$7,$O5324=$Q$7)),"x","")</f>
        <v/>
      </c>
      <c r="R5324" s="79" t="str">
        <f>IF(AND($N5324=$Q$7,$B5324&lt;'111'!$L$11),"x","")</f>
        <v/>
      </c>
      <c r="S5324" s="79" t="str">
        <f>IF(AND($O5324=$Q$7,$B5324&lt;'111'!$L$11),"x","")</f>
        <v/>
      </c>
      <c r="T5324" s="79" t="str">
        <f>IF(ISERROR(FIND('112'!$M$9,G5324,1)),"",IF((AND(FIND('112'!$M$9,G5324,1)&gt;=1,B5324='112'!$K$9,OR($N5324='112'!$I$6,$O5324='112'!$I$6))),"x",""))</f>
        <v/>
      </c>
      <c r="U5324" s="79" t="str">
        <f>IF(ISERROR(FIND('112'!$M$9,G5324,1)),"",IF((AND(LEFT(G5324,2)=LEFT('112'!$M$9,2),B5324&lt;'112'!$K$9,$N5324='112'!$I$6)),"x",""))</f>
        <v/>
      </c>
      <c r="V5324" s="79" t="str">
        <f>IF(ISERROR(FIND('112'!$M$9,G5324,1)),"",IF((AND(RIGHT(G5324,2)=RIGHT('112'!$M$9,2),B5324&lt;'112'!$K$9,$O5324='112'!$I$6)),"x",""))</f>
        <v/>
      </c>
      <c r="W5324" s="79" t="str">
        <f>IF(AND('341-CT'!$H$9=H5324,OR(LEFT(N5324,3)=$W$7,LEFT(O5324,3)=$W$7)),"x","")</f>
        <v/>
      </c>
      <c r="X5324" s="79" t="str">
        <f>IF(OR(TH!N5324=TH!$X$7,O5324=TH!$X$7),"x","")</f>
        <v/>
      </c>
      <c r="Y5324" s="79" t="str">
        <f>IF(AND(OR(N5324="131",O5324="131"),H5324='131-CT'!$H$9),"x","")</f>
        <v/>
      </c>
      <c r="Z5324" s="79"/>
      <c r="AA5324" s="79" t="str">
        <f>IF(AND(MONTH(E5324)='IN-NX'!$J$5,'IN-NX'!$D$7=D5324),"x","")</f>
        <v/>
      </c>
      <c r="AB5324" s="79" t="str">
        <f>IF(AND(OR(LEFT(TH!N5324,2)="15",LEFT(TH!O5324,2)="15"),LEFT(TH!O5324,3)&lt;&gt;"111",'152-CT'!$J$8=TH!F5324),"x","")</f>
        <v/>
      </c>
      <c r="AC5324" s="79" t="str">
        <f>IF(AND(OR(LEFT(TH!N5324,2)="15",LEFT(TH!O5324,2)="15"),TK!$E$7=TH!F5324),"x","")</f>
        <v/>
      </c>
      <c r="AD5324" s="79" t="str">
        <f>IF(AND(N5324="1521",MONTH(C5324)='BK-NL'!$M$11),"x","")</f>
        <v/>
      </c>
    </row>
    <row r="5325" spans="1:30" ht="16.5" customHeight="1">
      <c r="A5325" s="318" t="str">
        <f>IF(B5325&lt;&gt;"",IF(AND(B5325='IN-TC'!$S$4,OR(TH!N5325="1111",TH!O5325="1111")),TH!D5325,""),"")</f>
        <v/>
      </c>
      <c r="B5325" s="60" t="str">
        <f t="shared" si="504"/>
        <v/>
      </c>
      <c r="C5325" s="61"/>
      <c r="D5325" s="61"/>
      <c r="E5325" s="61"/>
      <c r="F5325" s="69"/>
      <c r="G5325" s="766"/>
      <c r="H5325" s="69"/>
      <c r="I5325" s="385"/>
      <c r="J5325" s="392"/>
      <c r="K5325" s="385"/>
      <c r="L5325" s="392"/>
      <c r="M5325" s="62"/>
      <c r="N5325" s="63"/>
      <c r="O5325" s="63"/>
      <c r="P5325" s="79" t="str">
        <f>IF(AND('331-CT'!$E$7=TH!H5325,OR(N5325="331",O5325="331")),"x","")</f>
        <v/>
      </c>
      <c r="Q5325" s="79" t="str">
        <f>IF(AND(B5325='111'!$L$11,OR($N5325=$Q$7,$O5325=$Q$7)),"x","")</f>
        <v/>
      </c>
      <c r="R5325" s="79" t="str">
        <f>IF(AND($N5325=$Q$7,$B5325&lt;'111'!$L$11),"x","")</f>
        <v/>
      </c>
      <c r="S5325" s="79" t="str">
        <f>IF(AND($O5325=$Q$7,$B5325&lt;'111'!$L$11),"x","")</f>
        <v/>
      </c>
      <c r="T5325" s="79" t="str">
        <f>IF(ISERROR(FIND('112'!$M$9,G5325,1)),"",IF((AND(FIND('112'!$M$9,G5325,1)&gt;=1,B5325='112'!$K$9,OR($N5325='112'!$I$6,$O5325='112'!$I$6))),"x",""))</f>
        <v/>
      </c>
      <c r="U5325" s="79" t="str">
        <f>IF(ISERROR(FIND('112'!$M$9,G5325,1)),"",IF((AND(LEFT(G5325,2)=LEFT('112'!$M$9,2),B5325&lt;'112'!$K$9,$N5325='112'!$I$6)),"x",""))</f>
        <v/>
      </c>
      <c r="V5325" s="79" t="str">
        <f>IF(ISERROR(FIND('112'!$M$9,G5325,1)),"",IF((AND(RIGHT(G5325,2)=RIGHT('112'!$M$9,2),B5325&lt;'112'!$K$9,$O5325='112'!$I$6)),"x",""))</f>
        <v/>
      </c>
      <c r="W5325" s="79" t="str">
        <f>IF(AND('341-CT'!$H$9=H5325,OR(LEFT(N5325,3)=$W$7,LEFT(O5325,3)=$W$7)),"x","")</f>
        <v/>
      </c>
      <c r="X5325" s="79" t="str">
        <f>IF(OR(TH!N5325=TH!$X$7,O5325=TH!$X$7),"x","")</f>
        <v/>
      </c>
      <c r="Y5325" s="79" t="str">
        <f>IF(AND(OR(N5325="131",O5325="131"),H5325='131-CT'!$H$9),"x","")</f>
        <v/>
      </c>
      <c r="Z5325" s="79"/>
      <c r="AA5325" s="79" t="str">
        <f>IF(AND(MONTH(E5325)='IN-NX'!$J$5,'IN-NX'!$D$7=D5325),"x","")</f>
        <v/>
      </c>
      <c r="AB5325" s="79" t="str">
        <f>IF(AND(OR(LEFT(TH!N5325,2)="15",LEFT(TH!O5325,2)="15"),LEFT(TH!O5325,3)&lt;&gt;"111",'152-CT'!$J$8=TH!F5325),"x","")</f>
        <v/>
      </c>
      <c r="AC5325" s="79" t="str">
        <f>IF(AND(OR(LEFT(TH!N5325,2)="15",LEFT(TH!O5325,2)="15"),TK!$E$7=TH!F5325),"x","")</f>
        <v/>
      </c>
      <c r="AD5325" s="79" t="str">
        <f>IF(AND(N5325="1521",MONTH(C5325)='BK-NL'!$M$11),"x","")</f>
        <v/>
      </c>
    </row>
    <row r="5326" spans="1:30" ht="16.5" customHeight="1">
      <c r="A5326" s="318" t="str">
        <f>IF(B5326&lt;&gt;"",IF(AND(B5326='IN-TC'!$S$4,OR(TH!N5326="1111",TH!O5326="1111")),TH!D5326,""),"")</f>
        <v/>
      </c>
      <c r="B5326" s="60" t="str">
        <f t="shared" si="504"/>
        <v/>
      </c>
      <c r="C5326" s="61"/>
      <c r="D5326" s="61"/>
      <c r="E5326" s="61"/>
      <c r="F5326" s="69"/>
      <c r="G5326" s="766"/>
      <c r="H5326" s="69"/>
      <c r="I5326" s="385"/>
      <c r="J5326" s="392"/>
      <c r="K5326" s="385"/>
      <c r="L5326" s="392"/>
      <c r="M5326" s="62"/>
      <c r="N5326" s="63"/>
      <c r="O5326" s="63"/>
      <c r="P5326" s="79" t="str">
        <f>IF(AND('331-CT'!$E$7=TH!H5326,OR(N5326="331",O5326="331")),"x","")</f>
        <v/>
      </c>
      <c r="Q5326" s="79" t="str">
        <f>IF(AND(B5326='111'!$L$11,OR($N5326=$Q$7,$O5326=$Q$7)),"x","")</f>
        <v/>
      </c>
      <c r="R5326" s="79" t="str">
        <f>IF(AND($N5326=$Q$7,$B5326&lt;'111'!$L$11),"x","")</f>
        <v/>
      </c>
      <c r="S5326" s="79" t="str">
        <f>IF(AND($O5326=$Q$7,$B5326&lt;'111'!$L$11),"x","")</f>
        <v/>
      </c>
      <c r="T5326" s="79" t="str">
        <f>IF(ISERROR(FIND('112'!$M$9,G5326,1)),"",IF((AND(FIND('112'!$M$9,G5326,1)&gt;=1,B5326='112'!$K$9,OR($N5326='112'!$I$6,$O5326='112'!$I$6))),"x",""))</f>
        <v/>
      </c>
      <c r="U5326" s="79" t="str">
        <f>IF(ISERROR(FIND('112'!$M$9,G5326,1)),"",IF((AND(LEFT(G5326,2)=LEFT('112'!$M$9,2),B5326&lt;'112'!$K$9,$N5326='112'!$I$6)),"x",""))</f>
        <v/>
      </c>
      <c r="V5326" s="79" t="str">
        <f>IF(ISERROR(FIND('112'!$M$9,G5326,1)),"",IF((AND(RIGHT(G5326,2)=RIGHT('112'!$M$9,2),B5326&lt;'112'!$K$9,$O5326='112'!$I$6)),"x",""))</f>
        <v/>
      </c>
      <c r="W5326" s="79" t="str">
        <f>IF(AND('341-CT'!$H$9=H5326,OR(LEFT(N5326,3)=$W$7,LEFT(O5326,3)=$W$7)),"x","")</f>
        <v/>
      </c>
      <c r="X5326" s="79" t="str">
        <f>IF(OR(TH!N5326=TH!$X$7,O5326=TH!$X$7),"x","")</f>
        <v/>
      </c>
      <c r="Y5326" s="79" t="str">
        <f>IF(AND(OR(N5326="131",O5326="131"),H5326='131-CT'!$H$9),"x","")</f>
        <v/>
      </c>
      <c r="Z5326" s="79"/>
      <c r="AA5326" s="79" t="str">
        <f>IF(AND(MONTH(E5326)='IN-NX'!$J$5,'IN-NX'!$D$7=D5326),"x","")</f>
        <v/>
      </c>
      <c r="AB5326" s="79" t="str">
        <f>IF(AND(OR(LEFT(TH!N5326,2)="15",LEFT(TH!O5326,2)="15"),LEFT(TH!O5326,3)&lt;&gt;"111",'152-CT'!$J$8=TH!F5326),"x","")</f>
        <v/>
      </c>
      <c r="AC5326" s="79" t="str">
        <f>IF(AND(OR(LEFT(TH!N5326,2)="15",LEFT(TH!O5326,2)="15"),TK!$E$7=TH!F5326),"x","")</f>
        <v/>
      </c>
      <c r="AD5326" s="79" t="str">
        <f>IF(AND(N5326="1521",MONTH(C5326)='BK-NL'!$M$11),"x","")</f>
        <v/>
      </c>
    </row>
    <row r="5327" spans="1:30" ht="16.5" customHeight="1">
      <c r="A5327" s="318" t="str">
        <f>IF(B5327&lt;&gt;"",IF(AND(B5327='IN-TC'!$S$4,OR(TH!N5327="1111",TH!O5327="1111")),TH!D5327,""),"")</f>
        <v/>
      </c>
      <c r="B5327" s="60" t="str">
        <f t="shared" si="504"/>
        <v/>
      </c>
      <c r="C5327" s="61"/>
      <c r="D5327" s="61"/>
      <c r="E5327" s="61"/>
      <c r="F5327" s="69"/>
      <c r="G5327" s="766"/>
      <c r="H5327" s="69"/>
      <c r="I5327" s="385"/>
      <c r="J5327" s="392"/>
      <c r="K5327" s="385"/>
      <c r="L5327" s="392"/>
      <c r="M5327" s="62"/>
      <c r="N5327" s="63"/>
      <c r="O5327" s="63"/>
      <c r="P5327" s="79" t="str">
        <f>IF(AND('331-CT'!$E$7=TH!H5327,OR(N5327="331",O5327="331")),"x","")</f>
        <v/>
      </c>
      <c r="Q5327" s="79" t="str">
        <f>IF(AND(B5327='111'!$L$11,OR($N5327=$Q$7,$O5327=$Q$7)),"x","")</f>
        <v/>
      </c>
      <c r="R5327" s="79" t="str">
        <f>IF(AND($N5327=$Q$7,$B5327&lt;'111'!$L$11),"x","")</f>
        <v/>
      </c>
      <c r="S5327" s="79" t="str">
        <f>IF(AND($O5327=$Q$7,$B5327&lt;'111'!$L$11),"x","")</f>
        <v/>
      </c>
      <c r="T5327" s="79" t="str">
        <f>IF(ISERROR(FIND('112'!$M$9,G5327,1)),"",IF((AND(FIND('112'!$M$9,G5327,1)&gt;=1,B5327='112'!$K$9,OR($N5327='112'!$I$6,$O5327='112'!$I$6))),"x",""))</f>
        <v/>
      </c>
      <c r="U5327" s="79" t="str">
        <f>IF(ISERROR(FIND('112'!$M$9,G5327,1)),"",IF((AND(LEFT(G5327,2)=LEFT('112'!$M$9,2),B5327&lt;'112'!$K$9,$N5327='112'!$I$6)),"x",""))</f>
        <v/>
      </c>
      <c r="V5327" s="79" t="str">
        <f>IF(ISERROR(FIND('112'!$M$9,G5327,1)),"",IF((AND(RIGHT(G5327,2)=RIGHT('112'!$M$9,2),B5327&lt;'112'!$K$9,$O5327='112'!$I$6)),"x",""))</f>
        <v/>
      </c>
      <c r="W5327" s="79" t="str">
        <f>IF(AND('341-CT'!$H$9=H5327,OR(LEFT(N5327,3)=$W$7,LEFT(O5327,3)=$W$7)),"x","")</f>
        <v/>
      </c>
      <c r="X5327" s="79" t="str">
        <f>IF(OR(TH!N5327=TH!$X$7,O5327=TH!$X$7),"x","")</f>
        <v/>
      </c>
      <c r="Y5327" s="79" t="str">
        <f>IF(AND(OR(N5327="131",O5327="131"),H5327='131-CT'!$H$9),"x","")</f>
        <v/>
      </c>
      <c r="Z5327" s="79"/>
      <c r="AA5327" s="79" t="str">
        <f>IF(AND(MONTH(E5327)='IN-NX'!$J$5,'IN-NX'!$D$7=D5327),"x","")</f>
        <v/>
      </c>
      <c r="AB5327" s="79" t="str">
        <f>IF(AND(OR(LEFT(TH!N5327,2)="15",LEFT(TH!O5327,2)="15"),LEFT(TH!O5327,3)&lt;&gt;"111",'152-CT'!$J$8=TH!F5327),"x","")</f>
        <v/>
      </c>
      <c r="AC5327" s="79" t="str">
        <f>IF(AND(OR(LEFT(TH!N5327,2)="15",LEFT(TH!O5327,2)="15"),TK!$E$7=TH!F5327),"x","")</f>
        <v/>
      </c>
      <c r="AD5327" s="79" t="str">
        <f>IF(AND(N5327="1521",MONTH(C5327)='BK-NL'!$M$11),"x","")</f>
        <v/>
      </c>
    </row>
    <row r="5328" spans="1:30" ht="16.5" customHeight="1">
      <c r="A5328" s="318" t="str">
        <f>IF(B5328&lt;&gt;"",IF(AND(B5328='IN-TC'!$S$4,OR(TH!N5328="1111",TH!O5328="1111")),TH!D5328,""),"")</f>
        <v/>
      </c>
      <c r="B5328" s="60" t="str">
        <f t="shared" si="504"/>
        <v/>
      </c>
      <c r="C5328" s="61"/>
      <c r="D5328" s="61"/>
      <c r="E5328" s="61"/>
      <c r="F5328" s="69"/>
      <c r="G5328" s="766"/>
      <c r="H5328" s="69"/>
      <c r="I5328" s="385"/>
      <c r="J5328" s="392"/>
      <c r="K5328" s="385"/>
      <c r="L5328" s="392"/>
      <c r="M5328" s="62"/>
      <c r="N5328" s="63"/>
      <c r="O5328" s="63"/>
      <c r="P5328" s="79" t="str">
        <f>IF(AND('331-CT'!$E$7=TH!H5328,OR(N5328="331",O5328="331")),"x","")</f>
        <v/>
      </c>
      <c r="Q5328" s="79" t="str">
        <f>IF(AND(B5328='111'!$L$11,OR($N5328=$Q$7,$O5328=$Q$7)),"x","")</f>
        <v/>
      </c>
      <c r="R5328" s="79" t="str">
        <f>IF(AND($N5328=$Q$7,$B5328&lt;'111'!$L$11),"x","")</f>
        <v/>
      </c>
      <c r="S5328" s="79" t="str">
        <f>IF(AND($O5328=$Q$7,$B5328&lt;'111'!$L$11),"x","")</f>
        <v/>
      </c>
      <c r="T5328" s="79" t="str">
        <f>IF(ISERROR(FIND('112'!$M$9,G5328,1)),"",IF((AND(FIND('112'!$M$9,G5328,1)&gt;=1,B5328='112'!$K$9,OR($N5328='112'!$I$6,$O5328='112'!$I$6))),"x",""))</f>
        <v/>
      </c>
      <c r="U5328" s="79" t="str">
        <f>IF(ISERROR(FIND('112'!$M$9,G5328,1)),"",IF((AND(LEFT(G5328,2)=LEFT('112'!$M$9,2),B5328&lt;'112'!$K$9,$N5328='112'!$I$6)),"x",""))</f>
        <v/>
      </c>
      <c r="V5328" s="79" t="str">
        <f>IF(ISERROR(FIND('112'!$M$9,G5328,1)),"",IF((AND(RIGHT(G5328,2)=RIGHT('112'!$M$9,2),B5328&lt;'112'!$K$9,$O5328='112'!$I$6)),"x",""))</f>
        <v/>
      </c>
      <c r="W5328" s="79" t="str">
        <f>IF(AND('341-CT'!$H$9=H5328,OR(LEFT(N5328,3)=$W$7,LEFT(O5328,3)=$W$7)),"x","")</f>
        <v/>
      </c>
      <c r="X5328" s="79" t="str">
        <f>IF(OR(TH!N5328=TH!$X$7,O5328=TH!$X$7),"x","")</f>
        <v/>
      </c>
      <c r="Y5328" s="79" t="str">
        <f>IF(AND(OR(N5328="131",O5328="131"),H5328='131-CT'!$H$9),"x","")</f>
        <v/>
      </c>
      <c r="Z5328" s="79"/>
      <c r="AA5328" s="79" t="str">
        <f>IF(AND(MONTH(E5328)='IN-NX'!$J$5,'IN-NX'!$D$7=D5328),"x","")</f>
        <v/>
      </c>
      <c r="AB5328" s="79" t="str">
        <f>IF(AND(OR(LEFT(TH!N5328,2)="15",LEFT(TH!O5328,2)="15"),LEFT(TH!O5328,3)&lt;&gt;"111",'152-CT'!$J$8=TH!F5328),"x","")</f>
        <v/>
      </c>
      <c r="AC5328" s="79" t="str">
        <f>IF(AND(OR(LEFT(TH!N5328,2)="15",LEFT(TH!O5328,2)="15"),TK!$E$7=TH!F5328),"x","")</f>
        <v/>
      </c>
      <c r="AD5328" s="79" t="str">
        <f>IF(AND(N5328="1521",MONTH(C5328)='BK-NL'!$M$11),"x","")</f>
        <v/>
      </c>
    </row>
    <row r="5329" spans="1:30" ht="16.5" customHeight="1">
      <c r="A5329" s="318" t="str">
        <f>IF(B5329&lt;&gt;"",IF(AND(B5329='IN-TC'!$S$4,OR(TH!N5329="1111",TH!O5329="1111")),TH!D5329,""),"")</f>
        <v/>
      </c>
      <c r="B5329" s="60" t="str">
        <f t="shared" si="504"/>
        <v/>
      </c>
      <c r="C5329" s="61"/>
      <c r="D5329" s="61"/>
      <c r="E5329" s="61"/>
      <c r="F5329" s="69"/>
      <c r="G5329" s="766"/>
      <c r="H5329" s="69"/>
      <c r="I5329" s="385"/>
      <c r="J5329" s="392"/>
      <c r="K5329" s="385"/>
      <c r="L5329" s="392"/>
      <c r="M5329" s="62"/>
      <c r="N5329" s="63"/>
      <c r="O5329" s="63"/>
      <c r="P5329" s="79" t="str">
        <f>IF(AND('331-CT'!$E$7=TH!H5329,OR(N5329="331",O5329="331")),"x","")</f>
        <v/>
      </c>
      <c r="Q5329" s="79" t="str">
        <f>IF(AND(B5329='111'!$L$11,OR($N5329=$Q$7,$O5329=$Q$7)),"x","")</f>
        <v/>
      </c>
      <c r="R5329" s="79" t="str">
        <f>IF(AND($N5329=$Q$7,$B5329&lt;'111'!$L$11),"x","")</f>
        <v/>
      </c>
      <c r="S5329" s="79" t="str">
        <f>IF(AND($O5329=$Q$7,$B5329&lt;'111'!$L$11),"x","")</f>
        <v/>
      </c>
      <c r="T5329" s="79" t="str">
        <f>IF(ISERROR(FIND('112'!$M$9,G5329,1)),"",IF((AND(FIND('112'!$M$9,G5329,1)&gt;=1,B5329='112'!$K$9,OR($N5329='112'!$I$6,$O5329='112'!$I$6))),"x",""))</f>
        <v/>
      </c>
      <c r="U5329" s="79" t="str">
        <f>IF(ISERROR(FIND('112'!$M$9,G5329,1)),"",IF((AND(LEFT(G5329,2)=LEFT('112'!$M$9,2),B5329&lt;'112'!$K$9,$N5329='112'!$I$6)),"x",""))</f>
        <v/>
      </c>
      <c r="V5329" s="79" t="str">
        <f>IF(ISERROR(FIND('112'!$M$9,G5329,1)),"",IF((AND(RIGHT(G5329,2)=RIGHT('112'!$M$9,2),B5329&lt;'112'!$K$9,$O5329='112'!$I$6)),"x",""))</f>
        <v/>
      </c>
      <c r="W5329" s="79" t="str">
        <f>IF(AND('341-CT'!$H$9=H5329,OR(LEFT(N5329,3)=$W$7,LEFT(O5329,3)=$W$7)),"x","")</f>
        <v/>
      </c>
      <c r="X5329" s="79" t="str">
        <f>IF(OR(TH!N5329=TH!$X$7,O5329=TH!$X$7),"x","")</f>
        <v/>
      </c>
      <c r="Y5329" s="79" t="str">
        <f>IF(AND(OR(N5329="131",O5329="131"),H5329='131-CT'!$H$9),"x","")</f>
        <v/>
      </c>
      <c r="Z5329" s="79"/>
      <c r="AA5329" s="79" t="str">
        <f>IF(AND(MONTH(E5329)='IN-NX'!$J$5,'IN-NX'!$D$7=D5329),"x","")</f>
        <v/>
      </c>
      <c r="AB5329" s="79" t="str">
        <f>IF(AND(OR(LEFT(TH!N5329,2)="15",LEFT(TH!O5329,2)="15"),LEFT(TH!O5329,3)&lt;&gt;"111",'152-CT'!$J$8=TH!F5329),"x","")</f>
        <v/>
      </c>
      <c r="AC5329" s="79" t="str">
        <f>IF(AND(OR(LEFT(TH!N5329,2)="15",LEFT(TH!O5329,2)="15"),TK!$E$7=TH!F5329),"x","")</f>
        <v/>
      </c>
      <c r="AD5329" s="79" t="str">
        <f>IF(AND(N5329="1521",MONTH(C5329)='BK-NL'!$M$11),"x","")</f>
        <v/>
      </c>
    </row>
    <row r="5330" spans="1:30" ht="16.5" customHeight="1">
      <c r="A5330" s="318" t="str">
        <f>IF(B5330&lt;&gt;"",IF(AND(B5330='IN-TC'!$S$4,OR(TH!N5330="1111",TH!O5330="1111")),TH!D5330,""),"")</f>
        <v/>
      </c>
      <c r="B5330" s="60" t="str">
        <f t="shared" si="504"/>
        <v/>
      </c>
      <c r="C5330" s="61"/>
      <c r="D5330" s="61"/>
      <c r="E5330" s="61"/>
      <c r="F5330" s="69"/>
      <c r="G5330" s="766"/>
      <c r="H5330" s="69"/>
      <c r="I5330" s="385"/>
      <c r="J5330" s="392"/>
      <c r="K5330" s="385"/>
      <c r="L5330" s="392"/>
      <c r="M5330" s="62"/>
      <c r="N5330" s="63"/>
      <c r="O5330" s="63"/>
      <c r="P5330" s="79" t="str">
        <f>IF(AND('331-CT'!$E$7=TH!H5330,OR(N5330="331",O5330="331")),"x","")</f>
        <v/>
      </c>
      <c r="Q5330" s="79" t="str">
        <f>IF(AND(B5330='111'!$L$11,OR($N5330=$Q$7,$O5330=$Q$7)),"x","")</f>
        <v/>
      </c>
      <c r="R5330" s="79" t="str">
        <f>IF(AND($N5330=$Q$7,$B5330&lt;'111'!$L$11),"x","")</f>
        <v/>
      </c>
      <c r="S5330" s="79" t="str">
        <f>IF(AND($O5330=$Q$7,$B5330&lt;'111'!$L$11),"x","")</f>
        <v/>
      </c>
      <c r="T5330" s="79" t="str">
        <f>IF(ISERROR(FIND('112'!$M$9,G5330,1)),"",IF((AND(FIND('112'!$M$9,G5330,1)&gt;=1,B5330='112'!$K$9,OR($N5330='112'!$I$6,$O5330='112'!$I$6))),"x",""))</f>
        <v/>
      </c>
      <c r="U5330" s="79" t="str">
        <f>IF(ISERROR(FIND('112'!$M$9,G5330,1)),"",IF((AND(LEFT(G5330,2)=LEFT('112'!$M$9,2),B5330&lt;'112'!$K$9,$N5330='112'!$I$6)),"x",""))</f>
        <v/>
      </c>
      <c r="V5330" s="79" t="str">
        <f>IF(ISERROR(FIND('112'!$M$9,G5330,1)),"",IF((AND(RIGHT(G5330,2)=RIGHT('112'!$M$9,2),B5330&lt;'112'!$K$9,$O5330='112'!$I$6)),"x",""))</f>
        <v/>
      </c>
      <c r="W5330" s="79" t="str">
        <f>IF(AND('341-CT'!$H$9=H5330,OR(LEFT(N5330,3)=$W$7,LEFT(O5330,3)=$W$7)),"x","")</f>
        <v/>
      </c>
      <c r="X5330" s="79" t="str">
        <f>IF(OR(TH!N5330=TH!$X$7,O5330=TH!$X$7),"x","")</f>
        <v/>
      </c>
      <c r="Y5330" s="79" t="str">
        <f>IF(AND(OR(N5330="131",O5330="131"),H5330='131-CT'!$H$9),"x","")</f>
        <v/>
      </c>
      <c r="Z5330" s="79"/>
      <c r="AA5330" s="79" t="str">
        <f>IF(AND(MONTH(E5330)='IN-NX'!$J$5,'IN-NX'!$D$7=D5330),"x","")</f>
        <v/>
      </c>
      <c r="AB5330" s="79" t="str">
        <f>IF(AND(OR(LEFT(TH!N5330,2)="15",LEFT(TH!O5330,2)="15"),LEFT(TH!O5330,3)&lt;&gt;"111",'152-CT'!$J$8=TH!F5330),"x","")</f>
        <v/>
      </c>
      <c r="AC5330" s="79" t="str">
        <f>IF(AND(OR(LEFT(TH!N5330,2)="15",LEFT(TH!O5330,2)="15"),TK!$E$7=TH!F5330),"x","")</f>
        <v/>
      </c>
      <c r="AD5330" s="79" t="str">
        <f>IF(AND(N5330="1521",MONTH(C5330)='BK-NL'!$M$11),"x","")</f>
        <v/>
      </c>
    </row>
    <row r="5331" spans="1:30" ht="16.5" customHeight="1">
      <c r="A5331" s="318" t="str">
        <f>IF(B5331&lt;&gt;"",IF(AND(B5331='IN-TC'!$S$4,OR(TH!N5331="1111",TH!O5331="1111")),TH!D5331,""),"")</f>
        <v/>
      </c>
      <c r="B5331" s="60" t="str">
        <f t="shared" si="504"/>
        <v/>
      </c>
      <c r="C5331" s="61"/>
      <c r="D5331" s="61"/>
      <c r="E5331" s="61"/>
      <c r="F5331" s="69"/>
      <c r="G5331" s="766"/>
      <c r="H5331" s="69"/>
      <c r="I5331" s="385"/>
      <c r="J5331" s="392"/>
      <c r="K5331" s="385"/>
      <c r="L5331" s="392"/>
      <c r="M5331" s="62"/>
      <c r="N5331" s="63"/>
      <c r="O5331" s="63"/>
      <c r="P5331" s="79" t="str">
        <f>IF(AND('331-CT'!$E$7=TH!H5331,OR(N5331="331",O5331="331")),"x","")</f>
        <v/>
      </c>
      <c r="Q5331" s="79" t="str">
        <f>IF(AND(B5331='111'!$L$11,OR($N5331=$Q$7,$O5331=$Q$7)),"x","")</f>
        <v/>
      </c>
      <c r="R5331" s="79" t="str">
        <f>IF(AND($N5331=$Q$7,$B5331&lt;'111'!$L$11),"x","")</f>
        <v/>
      </c>
      <c r="S5331" s="79" t="str">
        <f>IF(AND($O5331=$Q$7,$B5331&lt;'111'!$L$11),"x","")</f>
        <v/>
      </c>
      <c r="T5331" s="79" t="str">
        <f>IF(ISERROR(FIND('112'!$M$9,G5331,1)),"",IF((AND(FIND('112'!$M$9,G5331,1)&gt;=1,B5331='112'!$K$9,OR($N5331='112'!$I$6,$O5331='112'!$I$6))),"x",""))</f>
        <v/>
      </c>
      <c r="U5331" s="79" t="str">
        <f>IF(ISERROR(FIND('112'!$M$9,G5331,1)),"",IF((AND(LEFT(G5331,2)=LEFT('112'!$M$9,2),B5331&lt;'112'!$K$9,$N5331='112'!$I$6)),"x",""))</f>
        <v/>
      </c>
      <c r="V5331" s="79" t="str">
        <f>IF(ISERROR(FIND('112'!$M$9,G5331,1)),"",IF((AND(RIGHT(G5331,2)=RIGHT('112'!$M$9,2),B5331&lt;'112'!$K$9,$O5331='112'!$I$6)),"x",""))</f>
        <v/>
      </c>
      <c r="W5331" s="79" t="str">
        <f>IF(AND('341-CT'!$H$9=H5331,OR(LEFT(N5331,3)=$W$7,LEFT(O5331,3)=$W$7)),"x","")</f>
        <v/>
      </c>
      <c r="X5331" s="79" t="str">
        <f>IF(OR(TH!N5331=TH!$X$7,O5331=TH!$X$7),"x","")</f>
        <v/>
      </c>
      <c r="Y5331" s="79" t="str">
        <f>IF(AND(OR(N5331="131",O5331="131"),H5331='131-CT'!$H$9),"x","")</f>
        <v/>
      </c>
      <c r="Z5331" s="79"/>
      <c r="AA5331" s="79" t="str">
        <f>IF(AND(MONTH(E5331)='IN-NX'!$J$5,'IN-NX'!$D$7=D5331),"x","")</f>
        <v/>
      </c>
      <c r="AB5331" s="79" t="str">
        <f>IF(AND(OR(LEFT(TH!N5331,2)="15",LEFT(TH!O5331,2)="15"),LEFT(TH!O5331,3)&lt;&gt;"111",'152-CT'!$J$8=TH!F5331),"x","")</f>
        <v/>
      </c>
      <c r="AC5331" s="79" t="str">
        <f>IF(AND(OR(LEFT(TH!N5331,2)="15",LEFT(TH!O5331,2)="15"),TK!$E$7=TH!F5331),"x","")</f>
        <v/>
      </c>
      <c r="AD5331" s="79" t="str">
        <f>IF(AND(N5331="1521",MONTH(C5331)='BK-NL'!$M$11),"x","")</f>
        <v/>
      </c>
    </row>
    <row r="5332" spans="1:30" ht="16.5" customHeight="1">
      <c r="A5332" s="318" t="str">
        <f>IF(B5332&lt;&gt;"",IF(AND(B5332='IN-TC'!$S$4,OR(TH!N5332="1111",TH!O5332="1111")),TH!D5332,""),"")</f>
        <v/>
      </c>
      <c r="B5332" s="60" t="str">
        <f t="shared" si="504"/>
        <v/>
      </c>
      <c r="C5332" s="61"/>
      <c r="D5332" s="61"/>
      <c r="E5332" s="61"/>
      <c r="F5332" s="69"/>
      <c r="G5332" s="766"/>
      <c r="H5332" s="69"/>
      <c r="I5332" s="385"/>
      <c r="J5332" s="392"/>
      <c r="K5332" s="385"/>
      <c r="L5332" s="392"/>
      <c r="M5332" s="62"/>
      <c r="N5332" s="63"/>
      <c r="O5332" s="63"/>
      <c r="P5332" s="79" t="str">
        <f>IF(AND('331-CT'!$E$7=TH!H5332,OR(N5332="331",O5332="331")),"x","")</f>
        <v/>
      </c>
      <c r="Q5332" s="79" t="str">
        <f>IF(AND(B5332='111'!$L$11,OR($N5332=$Q$7,$O5332=$Q$7)),"x","")</f>
        <v/>
      </c>
      <c r="R5332" s="79" t="str">
        <f>IF(AND($N5332=$Q$7,$B5332&lt;'111'!$L$11),"x","")</f>
        <v/>
      </c>
      <c r="S5332" s="79" t="str">
        <f>IF(AND($O5332=$Q$7,$B5332&lt;'111'!$L$11),"x","")</f>
        <v/>
      </c>
      <c r="T5332" s="79" t="str">
        <f>IF(ISERROR(FIND('112'!$M$9,G5332,1)),"",IF((AND(FIND('112'!$M$9,G5332,1)&gt;=1,B5332='112'!$K$9,OR($N5332='112'!$I$6,$O5332='112'!$I$6))),"x",""))</f>
        <v/>
      </c>
      <c r="U5332" s="79" t="str">
        <f>IF(ISERROR(FIND('112'!$M$9,G5332,1)),"",IF((AND(LEFT(G5332,2)=LEFT('112'!$M$9,2),B5332&lt;'112'!$K$9,$N5332='112'!$I$6)),"x",""))</f>
        <v/>
      </c>
      <c r="V5332" s="79" t="str">
        <f>IF(ISERROR(FIND('112'!$M$9,G5332,1)),"",IF((AND(RIGHT(G5332,2)=RIGHT('112'!$M$9,2),B5332&lt;'112'!$K$9,$O5332='112'!$I$6)),"x",""))</f>
        <v/>
      </c>
      <c r="W5332" s="79" t="str">
        <f>IF(AND('341-CT'!$H$9=H5332,OR(LEFT(N5332,3)=$W$7,LEFT(O5332,3)=$W$7)),"x","")</f>
        <v/>
      </c>
      <c r="X5332" s="79" t="str">
        <f>IF(OR(TH!N5332=TH!$X$7,O5332=TH!$X$7),"x","")</f>
        <v/>
      </c>
      <c r="Y5332" s="79" t="str">
        <f>IF(AND(OR(N5332="131",O5332="131"),H5332='131-CT'!$H$9),"x","")</f>
        <v/>
      </c>
      <c r="Z5332" s="79"/>
      <c r="AA5332" s="79" t="str">
        <f>IF(AND(MONTH(E5332)='IN-NX'!$J$5,'IN-NX'!$D$7=D5332),"x","")</f>
        <v/>
      </c>
      <c r="AB5332" s="79" t="str">
        <f>IF(AND(OR(LEFT(TH!N5332,2)="15",LEFT(TH!O5332,2)="15"),LEFT(TH!O5332,3)&lt;&gt;"111",'152-CT'!$J$8=TH!F5332),"x","")</f>
        <v/>
      </c>
      <c r="AC5332" s="79" t="str">
        <f>IF(AND(OR(LEFT(TH!N5332,2)="15",LEFT(TH!O5332,2)="15"),TK!$E$7=TH!F5332),"x","")</f>
        <v/>
      </c>
      <c r="AD5332" s="79" t="str">
        <f>IF(AND(N5332="1521",MONTH(C5332)='BK-NL'!$M$11),"x","")</f>
        <v/>
      </c>
    </row>
    <row r="5333" spans="1:30" ht="16.5" customHeight="1">
      <c r="A5333" s="318" t="str">
        <f>IF(B5333&lt;&gt;"",IF(AND(B5333='IN-TC'!$S$4,OR(TH!N5333="1111",TH!O5333="1111")),TH!D5333,""),"")</f>
        <v/>
      </c>
      <c r="B5333" s="60" t="str">
        <f t="shared" si="504"/>
        <v/>
      </c>
      <c r="C5333" s="61"/>
      <c r="D5333" s="61"/>
      <c r="E5333" s="61"/>
      <c r="F5333" s="69"/>
      <c r="G5333" s="766"/>
      <c r="H5333" s="69"/>
      <c r="I5333" s="385"/>
      <c r="J5333" s="392"/>
      <c r="K5333" s="385"/>
      <c r="L5333" s="392"/>
      <c r="M5333" s="62"/>
      <c r="N5333" s="63"/>
      <c r="O5333" s="63"/>
      <c r="P5333" s="79" t="str">
        <f>IF(AND('331-CT'!$E$7=TH!H5333,OR(N5333="331",O5333="331")),"x","")</f>
        <v/>
      </c>
      <c r="Q5333" s="79" t="str">
        <f>IF(AND(B5333='111'!$L$11,OR($N5333=$Q$7,$O5333=$Q$7)),"x","")</f>
        <v/>
      </c>
      <c r="R5333" s="79" t="str">
        <f>IF(AND($N5333=$Q$7,$B5333&lt;'111'!$L$11),"x","")</f>
        <v/>
      </c>
      <c r="S5333" s="79" t="str">
        <f>IF(AND($O5333=$Q$7,$B5333&lt;'111'!$L$11),"x","")</f>
        <v/>
      </c>
      <c r="T5333" s="79" t="str">
        <f>IF(ISERROR(FIND('112'!$M$9,G5333,1)),"",IF((AND(FIND('112'!$M$9,G5333,1)&gt;=1,B5333='112'!$K$9,OR($N5333='112'!$I$6,$O5333='112'!$I$6))),"x",""))</f>
        <v/>
      </c>
      <c r="U5333" s="79" t="str">
        <f>IF(ISERROR(FIND('112'!$M$9,G5333,1)),"",IF((AND(LEFT(G5333,2)=LEFT('112'!$M$9,2),B5333&lt;'112'!$K$9,$N5333='112'!$I$6)),"x",""))</f>
        <v/>
      </c>
      <c r="V5333" s="79" t="str">
        <f>IF(ISERROR(FIND('112'!$M$9,G5333,1)),"",IF((AND(RIGHT(G5333,2)=RIGHT('112'!$M$9,2),B5333&lt;'112'!$K$9,$O5333='112'!$I$6)),"x",""))</f>
        <v/>
      </c>
      <c r="W5333" s="79" t="str">
        <f>IF(AND('341-CT'!$H$9=H5333,OR(LEFT(N5333,3)=$W$7,LEFT(O5333,3)=$W$7)),"x","")</f>
        <v/>
      </c>
      <c r="X5333" s="79" t="str">
        <f>IF(OR(TH!N5333=TH!$X$7,O5333=TH!$X$7),"x","")</f>
        <v/>
      </c>
      <c r="Y5333" s="79" t="str">
        <f>IF(AND(OR(N5333="131",O5333="131"),H5333='131-CT'!$H$9),"x","")</f>
        <v/>
      </c>
      <c r="Z5333" s="79"/>
      <c r="AA5333" s="79" t="str">
        <f>IF(AND(MONTH(E5333)='IN-NX'!$J$5,'IN-NX'!$D$7=D5333),"x","")</f>
        <v/>
      </c>
      <c r="AB5333" s="79" t="str">
        <f>IF(AND(OR(LEFT(TH!N5333,2)="15",LEFT(TH!O5333,2)="15"),LEFT(TH!O5333,3)&lt;&gt;"111",'152-CT'!$J$8=TH!F5333),"x","")</f>
        <v/>
      </c>
      <c r="AC5333" s="79" t="str">
        <f>IF(AND(OR(LEFT(TH!N5333,2)="15",LEFT(TH!O5333,2)="15"),TK!$E$7=TH!F5333),"x","")</f>
        <v/>
      </c>
      <c r="AD5333" s="79" t="str">
        <f>IF(AND(N5333="1521",MONTH(C5333)='BK-NL'!$M$11),"x","")</f>
        <v/>
      </c>
    </row>
    <row r="5334" spans="1:30" ht="16.5" customHeight="1">
      <c r="A5334" s="318" t="str">
        <f>IF(B5334&lt;&gt;"",IF(AND(B5334='IN-TC'!$S$4,OR(TH!N5334="1111",TH!O5334="1111")),TH!D5334,""),"")</f>
        <v/>
      </c>
      <c r="B5334" s="60" t="str">
        <f t="shared" si="504"/>
        <v/>
      </c>
      <c r="C5334" s="61"/>
      <c r="D5334" s="61"/>
      <c r="E5334" s="61"/>
      <c r="F5334" s="69"/>
      <c r="G5334" s="766"/>
      <c r="H5334" s="69"/>
      <c r="I5334" s="385"/>
      <c r="J5334" s="392"/>
      <c r="K5334" s="385"/>
      <c r="L5334" s="392"/>
      <c r="M5334" s="62"/>
      <c r="N5334" s="63"/>
      <c r="O5334" s="63"/>
      <c r="P5334" s="79" t="str">
        <f>IF(AND('331-CT'!$E$7=TH!H5334,OR(N5334="331",O5334="331")),"x","")</f>
        <v/>
      </c>
      <c r="Q5334" s="79" t="str">
        <f>IF(AND(B5334='111'!$L$11,OR($N5334=$Q$7,$O5334=$Q$7)),"x","")</f>
        <v/>
      </c>
      <c r="R5334" s="79" t="str">
        <f>IF(AND($N5334=$Q$7,$B5334&lt;'111'!$L$11),"x","")</f>
        <v/>
      </c>
      <c r="S5334" s="79" t="str">
        <f>IF(AND($O5334=$Q$7,$B5334&lt;'111'!$L$11),"x","")</f>
        <v/>
      </c>
      <c r="T5334" s="79" t="str">
        <f>IF(ISERROR(FIND('112'!$M$9,G5334,1)),"",IF((AND(FIND('112'!$M$9,G5334,1)&gt;=1,B5334='112'!$K$9,OR($N5334='112'!$I$6,$O5334='112'!$I$6))),"x",""))</f>
        <v/>
      </c>
      <c r="U5334" s="79" t="str">
        <f>IF(ISERROR(FIND('112'!$M$9,G5334,1)),"",IF((AND(LEFT(G5334,2)=LEFT('112'!$M$9,2),B5334&lt;'112'!$K$9,$N5334='112'!$I$6)),"x",""))</f>
        <v/>
      </c>
      <c r="V5334" s="79" t="str">
        <f>IF(ISERROR(FIND('112'!$M$9,G5334,1)),"",IF((AND(RIGHT(G5334,2)=RIGHT('112'!$M$9,2),B5334&lt;'112'!$K$9,$O5334='112'!$I$6)),"x",""))</f>
        <v/>
      </c>
      <c r="W5334" s="79" t="str">
        <f>IF(AND('341-CT'!$H$9=H5334,OR(LEFT(N5334,3)=$W$7,LEFT(O5334,3)=$W$7)),"x","")</f>
        <v/>
      </c>
      <c r="X5334" s="79" t="str">
        <f>IF(OR(TH!N5334=TH!$X$7,O5334=TH!$X$7),"x","")</f>
        <v/>
      </c>
      <c r="Y5334" s="79" t="str">
        <f>IF(AND(OR(N5334="131",O5334="131"),H5334='131-CT'!$H$9),"x","")</f>
        <v/>
      </c>
      <c r="Z5334" s="79"/>
      <c r="AA5334" s="79" t="str">
        <f>IF(AND(MONTH(E5334)='IN-NX'!$J$5,'IN-NX'!$D$7=D5334),"x","")</f>
        <v/>
      </c>
      <c r="AB5334" s="79" t="str">
        <f>IF(AND(OR(LEFT(TH!N5334,2)="15",LEFT(TH!O5334,2)="15"),LEFT(TH!O5334,3)&lt;&gt;"111",'152-CT'!$J$8=TH!F5334),"x","")</f>
        <v/>
      </c>
      <c r="AC5334" s="79" t="str">
        <f>IF(AND(OR(LEFT(TH!N5334,2)="15",LEFT(TH!O5334,2)="15"),TK!$E$7=TH!F5334),"x","")</f>
        <v/>
      </c>
      <c r="AD5334" s="79" t="str">
        <f>IF(AND(N5334="1521",MONTH(C5334)='BK-NL'!$M$11),"x","")</f>
        <v/>
      </c>
    </row>
    <row r="5335" spans="1:30" ht="16.5" customHeight="1">
      <c r="A5335" s="318" t="str">
        <f>IF(B5335&lt;&gt;"",IF(AND(B5335='IN-TC'!$S$4,OR(TH!N5335="1111",TH!O5335="1111")),TH!D5335,""),"")</f>
        <v/>
      </c>
      <c r="B5335" s="60" t="str">
        <f t="shared" si="504"/>
        <v/>
      </c>
      <c r="C5335" s="61"/>
      <c r="D5335" s="61"/>
      <c r="E5335" s="61"/>
      <c r="F5335" s="69"/>
      <c r="G5335" s="766"/>
      <c r="H5335" s="69"/>
      <c r="I5335" s="385"/>
      <c r="J5335" s="392"/>
      <c r="K5335" s="385"/>
      <c r="L5335" s="392"/>
      <c r="M5335" s="62"/>
      <c r="N5335" s="63"/>
      <c r="O5335" s="63"/>
      <c r="P5335" s="79" t="str">
        <f>IF(AND('331-CT'!$E$7=TH!H5335,OR(N5335="331",O5335="331")),"x","")</f>
        <v/>
      </c>
      <c r="Q5335" s="79" t="str">
        <f>IF(AND(B5335='111'!$L$11,OR($N5335=$Q$7,$O5335=$Q$7)),"x","")</f>
        <v/>
      </c>
      <c r="R5335" s="79" t="str">
        <f>IF(AND($N5335=$Q$7,$B5335&lt;'111'!$L$11),"x","")</f>
        <v/>
      </c>
      <c r="S5335" s="79" t="str">
        <f>IF(AND($O5335=$Q$7,$B5335&lt;'111'!$L$11),"x","")</f>
        <v/>
      </c>
      <c r="T5335" s="79" t="str">
        <f>IF(ISERROR(FIND('112'!$M$9,G5335,1)),"",IF((AND(FIND('112'!$M$9,G5335,1)&gt;=1,B5335='112'!$K$9,OR($N5335='112'!$I$6,$O5335='112'!$I$6))),"x",""))</f>
        <v/>
      </c>
      <c r="U5335" s="79" t="str">
        <f>IF(ISERROR(FIND('112'!$M$9,G5335,1)),"",IF((AND(LEFT(G5335,2)=LEFT('112'!$M$9,2),B5335&lt;'112'!$K$9,$N5335='112'!$I$6)),"x",""))</f>
        <v/>
      </c>
      <c r="V5335" s="79" t="str">
        <f>IF(ISERROR(FIND('112'!$M$9,G5335,1)),"",IF((AND(RIGHT(G5335,2)=RIGHT('112'!$M$9,2),B5335&lt;'112'!$K$9,$O5335='112'!$I$6)),"x",""))</f>
        <v/>
      </c>
      <c r="W5335" s="79" t="str">
        <f>IF(AND('341-CT'!$H$9=H5335,OR(LEFT(N5335,3)=$W$7,LEFT(O5335,3)=$W$7)),"x","")</f>
        <v/>
      </c>
      <c r="X5335" s="79" t="str">
        <f>IF(OR(TH!N5335=TH!$X$7,O5335=TH!$X$7),"x","")</f>
        <v/>
      </c>
      <c r="Y5335" s="79" t="str">
        <f>IF(AND(OR(N5335="131",O5335="131"),H5335='131-CT'!$H$9),"x","")</f>
        <v/>
      </c>
      <c r="Z5335" s="79"/>
      <c r="AA5335" s="79" t="str">
        <f>IF(AND(MONTH(E5335)='IN-NX'!$J$5,'IN-NX'!$D$7=D5335),"x","")</f>
        <v/>
      </c>
      <c r="AB5335" s="79" t="str">
        <f>IF(AND(OR(LEFT(TH!N5335,2)="15",LEFT(TH!O5335,2)="15"),LEFT(TH!O5335,3)&lt;&gt;"111",'152-CT'!$J$8=TH!F5335),"x","")</f>
        <v/>
      </c>
      <c r="AC5335" s="79" t="str">
        <f>IF(AND(OR(LEFT(TH!N5335,2)="15",LEFT(TH!O5335,2)="15"),TK!$E$7=TH!F5335),"x","")</f>
        <v/>
      </c>
      <c r="AD5335" s="79" t="str">
        <f>IF(AND(N5335="1521",MONTH(C5335)='BK-NL'!$M$11),"x","")</f>
        <v/>
      </c>
    </row>
    <row r="5336" spans="1:30" ht="16.5" customHeight="1">
      <c r="A5336" s="318" t="str">
        <f>IF(B5336&lt;&gt;"",IF(AND(B5336='IN-TC'!$S$4,OR(TH!N5336="1111",TH!O5336="1111")),TH!D5336,""),"")</f>
        <v/>
      </c>
      <c r="B5336" s="60" t="str">
        <f t="shared" si="504"/>
        <v/>
      </c>
      <c r="C5336" s="61"/>
      <c r="D5336" s="61"/>
      <c r="E5336" s="61"/>
      <c r="F5336" s="69"/>
      <c r="G5336" s="766"/>
      <c r="H5336" s="69"/>
      <c r="I5336" s="385"/>
      <c r="J5336" s="392"/>
      <c r="K5336" s="385"/>
      <c r="L5336" s="392"/>
      <c r="M5336" s="62"/>
      <c r="N5336" s="63"/>
      <c r="O5336" s="63"/>
      <c r="P5336" s="79" t="str">
        <f>IF(AND('331-CT'!$E$7=TH!H5336,OR(N5336="331",O5336="331")),"x","")</f>
        <v/>
      </c>
      <c r="Q5336" s="79" t="str">
        <f>IF(AND(B5336='111'!$L$11,OR($N5336=$Q$7,$O5336=$Q$7)),"x","")</f>
        <v/>
      </c>
      <c r="R5336" s="79" t="str">
        <f>IF(AND($N5336=$Q$7,$B5336&lt;'111'!$L$11),"x","")</f>
        <v/>
      </c>
      <c r="S5336" s="79" t="str">
        <f>IF(AND($O5336=$Q$7,$B5336&lt;'111'!$L$11),"x","")</f>
        <v/>
      </c>
      <c r="T5336" s="79" t="str">
        <f>IF(ISERROR(FIND('112'!$M$9,G5336,1)),"",IF((AND(FIND('112'!$M$9,G5336,1)&gt;=1,B5336='112'!$K$9,OR($N5336='112'!$I$6,$O5336='112'!$I$6))),"x",""))</f>
        <v/>
      </c>
      <c r="U5336" s="79" t="str">
        <f>IF(ISERROR(FIND('112'!$M$9,G5336,1)),"",IF((AND(LEFT(G5336,2)=LEFT('112'!$M$9,2),B5336&lt;'112'!$K$9,$N5336='112'!$I$6)),"x",""))</f>
        <v/>
      </c>
      <c r="V5336" s="79" t="str">
        <f>IF(ISERROR(FIND('112'!$M$9,G5336,1)),"",IF((AND(RIGHT(G5336,2)=RIGHT('112'!$M$9,2),B5336&lt;'112'!$K$9,$O5336='112'!$I$6)),"x",""))</f>
        <v/>
      </c>
      <c r="W5336" s="79" t="str">
        <f>IF(AND('341-CT'!$H$9=H5336,OR(LEFT(N5336,3)=$W$7,LEFT(O5336,3)=$W$7)),"x","")</f>
        <v/>
      </c>
      <c r="X5336" s="79" t="str">
        <f>IF(OR(TH!N5336=TH!$X$7,O5336=TH!$X$7),"x","")</f>
        <v/>
      </c>
      <c r="Y5336" s="79" t="str">
        <f>IF(AND(OR(N5336="131",O5336="131"),H5336='131-CT'!$H$9),"x","")</f>
        <v/>
      </c>
      <c r="Z5336" s="79"/>
      <c r="AA5336" s="79" t="str">
        <f>IF(AND(MONTH(E5336)='IN-NX'!$J$5,'IN-NX'!$D$7=D5336),"x","")</f>
        <v/>
      </c>
      <c r="AB5336" s="79" t="str">
        <f>IF(AND(OR(LEFT(TH!N5336,2)="15",LEFT(TH!O5336,2)="15"),LEFT(TH!O5336,3)&lt;&gt;"111",'152-CT'!$J$8=TH!F5336),"x","")</f>
        <v/>
      </c>
      <c r="AC5336" s="79" t="str">
        <f>IF(AND(OR(LEFT(TH!N5336,2)="15",LEFT(TH!O5336,2)="15"),TK!$E$7=TH!F5336),"x","")</f>
        <v/>
      </c>
      <c r="AD5336" s="79" t="str">
        <f>IF(AND(N5336="1521",MONTH(C5336)='BK-NL'!$M$11),"x","")</f>
        <v/>
      </c>
    </row>
    <row r="5337" spans="1:30" ht="16.5" customHeight="1">
      <c r="A5337" s="318" t="str">
        <f>IF(B5337&lt;&gt;"",IF(AND(B5337='IN-TC'!$S$4,OR(TH!N5337="1111",TH!O5337="1111")),TH!D5337,""),"")</f>
        <v/>
      </c>
      <c r="B5337" s="60" t="str">
        <f t="shared" si="504"/>
        <v/>
      </c>
      <c r="C5337" s="61"/>
      <c r="D5337" s="61"/>
      <c r="E5337" s="61"/>
      <c r="F5337" s="69"/>
      <c r="G5337" s="766"/>
      <c r="H5337" s="69"/>
      <c r="I5337" s="385"/>
      <c r="J5337" s="392"/>
      <c r="K5337" s="385"/>
      <c r="L5337" s="392"/>
      <c r="M5337" s="62"/>
      <c r="N5337" s="63"/>
      <c r="O5337" s="63"/>
      <c r="P5337" s="79" t="str">
        <f>IF(AND('331-CT'!$E$7=TH!H5337,OR(N5337="331",O5337="331")),"x","")</f>
        <v/>
      </c>
      <c r="Q5337" s="79" t="str">
        <f>IF(AND(B5337='111'!$L$11,OR($N5337=$Q$7,$O5337=$Q$7)),"x","")</f>
        <v/>
      </c>
      <c r="R5337" s="79" t="str">
        <f>IF(AND($N5337=$Q$7,$B5337&lt;'111'!$L$11),"x","")</f>
        <v/>
      </c>
      <c r="S5337" s="79" t="str">
        <f>IF(AND($O5337=$Q$7,$B5337&lt;'111'!$L$11),"x","")</f>
        <v/>
      </c>
      <c r="T5337" s="79" t="str">
        <f>IF(ISERROR(FIND('112'!$M$9,G5337,1)),"",IF((AND(FIND('112'!$M$9,G5337,1)&gt;=1,B5337='112'!$K$9,OR($N5337='112'!$I$6,$O5337='112'!$I$6))),"x",""))</f>
        <v/>
      </c>
      <c r="U5337" s="79" t="str">
        <f>IF(ISERROR(FIND('112'!$M$9,G5337,1)),"",IF((AND(LEFT(G5337,2)=LEFT('112'!$M$9,2),B5337&lt;'112'!$K$9,$N5337='112'!$I$6)),"x",""))</f>
        <v/>
      </c>
      <c r="V5337" s="79" t="str">
        <f>IF(ISERROR(FIND('112'!$M$9,G5337,1)),"",IF((AND(RIGHT(G5337,2)=RIGHT('112'!$M$9,2),B5337&lt;'112'!$K$9,$O5337='112'!$I$6)),"x",""))</f>
        <v/>
      </c>
      <c r="W5337" s="79" t="str">
        <f>IF(AND('341-CT'!$H$9=H5337,OR(LEFT(N5337,3)=$W$7,LEFT(O5337,3)=$W$7)),"x","")</f>
        <v/>
      </c>
      <c r="X5337" s="79" t="str">
        <f>IF(OR(TH!N5337=TH!$X$7,O5337=TH!$X$7),"x","")</f>
        <v/>
      </c>
      <c r="Y5337" s="79" t="str">
        <f>IF(AND(OR(N5337="131",O5337="131"),H5337='131-CT'!$H$9),"x","")</f>
        <v/>
      </c>
      <c r="Z5337" s="79"/>
      <c r="AA5337" s="79" t="str">
        <f>IF(AND(MONTH(E5337)='IN-NX'!$J$5,'IN-NX'!$D$7=D5337),"x","")</f>
        <v/>
      </c>
      <c r="AB5337" s="79" t="str">
        <f>IF(AND(OR(LEFT(TH!N5337,2)="15",LEFT(TH!O5337,2)="15"),LEFT(TH!O5337,3)&lt;&gt;"111",'152-CT'!$J$8=TH!F5337),"x","")</f>
        <v/>
      </c>
      <c r="AC5337" s="79" t="str">
        <f>IF(AND(OR(LEFT(TH!N5337,2)="15",LEFT(TH!O5337,2)="15"),TK!$E$7=TH!F5337),"x","")</f>
        <v/>
      </c>
      <c r="AD5337" s="79" t="str">
        <f>IF(AND(N5337="1521",MONTH(C5337)='BK-NL'!$M$11),"x","")</f>
        <v/>
      </c>
    </row>
    <row r="5338" spans="1:30" ht="16.5" customHeight="1">
      <c r="A5338" s="318" t="str">
        <f>IF(B5338&lt;&gt;"",IF(AND(B5338='IN-TC'!$S$4,OR(TH!N5338="1111",TH!O5338="1111")),TH!D5338,""),"")</f>
        <v/>
      </c>
      <c r="B5338" s="60" t="str">
        <f t="shared" si="504"/>
        <v/>
      </c>
      <c r="C5338" s="61"/>
      <c r="D5338" s="61"/>
      <c r="E5338" s="61"/>
      <c r="F5338" s="69"/>
      <c r="G5338" s="766"/>
      <c r="H5338" s="321"/>
      <c r="I5338" s="385"/>
      <c r="J5338" s="392"/>
      <c r="K5338" s="385"/>
      <c r="L5338" s="392"/>
      <c r="M5338" s="62"/>
      <c r="N5338" s="63"/>
      <c r="O5338" s="63"/>
      <c r="P5338" s="79" t="str">
        <f>IF(AND('331-CT'!$E$7=TH!H5338,OR(N5338="331",O5338="331")),"x","")</f>
        <v/>
      </c>
      <c r="Q5338" s="79" t="str">
        <f>IF(AND(B5338='111'!$L$11,OR($N5338=$Q$7,$O5338=$Q$7)),"x","")</f>
        <v/>
      </c>
      <c r="R5338" s="79" t="str">
        <f>IF(AND($N5338=$Q$7,$B5338&lt;'111'!$L$11),"x","")</f>
        <v/>
      </c>
      <c r="S5338" s="79" t="str">
        <f>IF(AND($O5338=$Q$7,$B5338&lt;'111'!$L$11),"x","")</f>
        <v/>
      </c>
      <c r="T5338" s="79" t="str">
        <f>IF(ISERROR(FIND('112'!$M$9,G5338,1)),"",IF((AND(FIND('112'!$M$9,G5338,1)&gt;=1,B5338='112'!$K$9,OR($N5338='112'!$I$6,$O5338='112'!$I$6))),"x",""))</f>
        <v/>
      </c>
      <c r="U5338" s="79" t="str">
        <f>IF(ISERROR(FIND('112'!$M$9,G5338,1)),"",IF((AND(LEFT(G5338,2)=LEFT('112'!$M$9,2),B5338&lt;'112'!$K$9,$N5338='112'!$I$6)),"x",""))</f>
        <v/>
      </c>
      <c r="V5338" s="79" t="str">
        <f>IF(ISERROR(FIND('112'!$M$9,G5338,1)),"",IF((AND(RIGHT(G5338,2)=RIGHT('112'!$M$9,2),B5338&lt;'112'!$K$9,$O5338='112'!$I$6)),"x",""))</f>
        <v/>
      </c>
      <c r="W5338" s="79" t="str">
        <f>IF(AND('341-CT'!$H$9=H5338,OR(LEFT(N5338,3)=$W$7,LEFT(O5338,3)=$W$7)),"x","")</f>
        <v/>
      </c>
      <c r="X5338" s="79" t="str">
        <f>IF(OR(TH!N5338=TH!$X$7,O5338=TH!$X$7),"x","")</f>
        <v/>
      </c>
      <c r="Y5338" s="79" t="str">
        <f>IF(AND(OR(N5338="131",O5338="131"),H5338='131-CT'!$H$9),"x","")</f>
        <v/>
      </c>
      <c r="Z5338" s="79"/>
      <c r="AA5338" s="79" t="str">
        <f>IF(AND(MONTH(E5338)='IN-NX'!$J$5,'IN-NX'!$D$7=D5338),"x","")</f>
        <v/>
      </c>
      <c r="AB5338" s="79" t="str">
        <f>IF(AND(OR(LEFT(TH!N5338,2)="15",LEFT(TH!O5338,2)="15"),LEFT(TH!O5338,3)&lt;&gt;"111",'152-CT'!$J$8=TH!F5338),"x","")</f>
        <v/>
      </c>
      <c r="AC5338" s="79" t="str">
        <f>IF(AND(OR(LEFT(TH!N5338,2)="15",LEFT(TH!O5338,2)="15"),TK!$E$7=TH!F5338),"x","")</f>
        <v/>
      </c>
      <c r="AD5338" s="79" t="str">
        <f>IF(AND(N5338="1521",MONTH(C5338)='BK-NL'!$M$11),"x","")</f>
        <v/>
      </c>
    </row>
    <row r="5339" spans="1:30" ht="16.5" customHeight="1">
      <c r="A5339" s="318" t="str">
        <f>IF(B5339&lt;&gt;"",IF(AND(B5339='IN-TC'!$S$4,OR(TH!N5339="1111",TH!O5339="1111")),TH!D5339,""),"")</f>
        <v/>
      </c>
      <c r="B5339" s="60" t="str">
        <f t="shared" si="504"/>
        <v/>
      </c>
      <c r="C5339" s="61"/>
      <c r="D5339" s="61"/>
      <c r="E5339" s="61"/>
      <c r="F5339" s="69"/>
      <c r="G5339" s="766"/>
      <c r="H5339" s="321"/>
      <c r="I5339" s="385"/>
      <c r="J5339" s="392"/>
      <c r="K5339" s="385"/>
      <c r="L5339" s="392"/>
      <c r="M5339" s="62"/>
      <c r="N5339" s="63"/>
      <c r="O5339" s="63"/>
      <c r="P5339" s="79" t="str">
        <f>IF(AND('331-CT'!$E$7=TH!H5339,OR(N5339="331",O5339="331")),"x","")</f>
        <v/>
      </c>
      <c r="Q5339" s="79" t="str">
        <f>IF(AND(B5339='111'!$L$11,OR($N5339=$Q$7,$O5339=$Q$7)),"x","")</f>
        <v/>
      </c>
      <c r="R5339" s="79" t="str">
        <f>IF(AND($N5339=$Q$7,$B5339&lt;'111'!$L$11),"x","")</f>
        <v/>
      </c>
      <c r="S5339" s="79" t="str">
        <f>IF(AND($O5339=$Q$7,$B5339&lt;'111'!$L$11),"x","")</f>
        <v/>
      </c>
      <c r="T5339" s="79" t="str">
        <f>IF(ISERROR(FIND('112'!$M$9,G5339,1)),"",IF((AND(FIND('112'!$M$9,G5339,1)&gt;=1,B5339='112'!$K$9,OR($N5339='112'!$I$6,$O5339='112'!$I$6))),"x",""))</f>
        <v/>
      </c>
      <c r="U5339" s="79" t="str">
        <f>IF(ISERROR(FIND('112'!$M$9,G5339,1)),"",IF((AND(LEFT(G5339,2)=LEFT('112'!$M$9,2),B5339&lt;'112'!$K$9,$N5339='112'!$I$6)),"x",""))</f>
        <v/>
      </c>
      <c r="V5339" s="79" t="str">
        <f>IF(ISERROR(FIND('112'!$M$9,G5339,1)),"",IF((AND(RIGHT(G5339,2)=RIGHT('112'!$M$9,2),B5339&lt;'112'!$K$9,$O5339='112'!$I$6)),"x",""))</f>
        <v/>
      </c>
      <c r="W5339" s="79" t="str">
        <f>IF(AND('341-CT'!$H$9=H5339,OR(LEFT(N5339,3)=$W$7,LEFT(O5339,3)=$W$7)),"x","")</f>
        <v/>
      </c>
      <c r="X5339" s="79" t="str">
        <f>IF(OR(TH!N5339=TH!$X$7,O5339=TH!$X$7),"x","")</f>
        <v/>
      </c>
      <c r="Y5339" s="79" t="str">
        <f>IF(AND(OR(N5339="131",O5339="131"),H5339='131-CT'!$H$9),"x","")</f>
        <v/>
      </c>
      <c r="Z5339" s="79"/>
      <c r="AA5339" s="79" t="str">
        <f>IF(AND(MONTH(E5339)='IN-NX'!$J$5,'IN-NX'!$D$7=D5339),"x","")</f>
        <v/>
      </c>
      <c r="AB5339" s="79" t="str">
        <f>IF(AND(OR(LEFT(TH!N5339,2)="15",LEFT(TH!O5339,2)="15"),LEFT(TH!O5339,3)&lt;&gt;"111",'152-CT'!$J$8=TH!F5339),"x","")</f>
        <v/>
      </c>
      <c r="AC5339" s="79" t="str">
        <f>IF(AND(OR(LEFT(TH!N5339,2)="15",LEFT(TH!O5339,2)="15"),TK!$E$7=TH!F5339),"x","")</f>
        <v/>
      </c>
      <c r="AD5339" s="79" t="str">
        <f>IF(AND(N5339="1521",MONTH(C5339)='BK-NL'!$M$11),"x","")</f>
        <v/>
      </c>
    </row>
    <row r="5340" spans="1:30" ht="16.5" customHeight="1">
      <c r="A5340" s="318" t="str">
        <f>IF(B5340&lt;&gt;"",IF(AND(B5340='IN-TC'!$S$4,OR(TH!N5340="1111",TH!O5340="1111")),TH!D5340,""),"")</f>
        <v/>
      </c>
      <c r="B5340" s="60" t="str">
        <f t="shared" si="504"/>
        <v/>
      </c>
      <c r="C5340" s="61"/>
      <c r="D5340" s="61"/>
      <c r="E5340" s="61"/>
      <c r="F5340" s="69"/>
      <c r="G5340" s="766"/>
      <c r="H5340" s="321"/>
      <c r="I5340" s="385"/>
      <c r="J5340" s="392"/>
      <c r="K5340" s="385"/>
      <c r="L5340" s="392"/>
      <c r="M5340" s="62"/>
      <c r="N5340" s="63"/>
      <c r="O5340" s="63"/>
      <c r="P5340" s="79" t="str">
        <f>IF(AND('331-CT'!$E$7=TH!H5340,OR(N5340="331",O5340="331")),"x","")</f>
        <v/>
      </c>
      <c r="Q5340" s="79" t="str">
        <f>IF(AND(B5340='111'!$L$11,OR($N5340=$Q$7,$O5340=$Q$7)),"x","")</f>
        <v/>
      </c>
      <c r="R5340" s="79" t="str">
        <f>IF(AND($N5340=$Q$7,$B5340&lt;'111'!$L$11),"x","")</f>
        <v/>
      </c>
      <c r="S5340" s="79" t="str">
        <f>IF(AND($O5340=$Q$7,$B5340&lt;'111'!$L$11),"x","")</f>
        <v/>
      </c>
      <c r="T5340" s="79" t="str">
        <f>IF(ISERROR(FIND('112'!$M$9,G5340,1)),"",IF((AND(FIND('112'!$M$9,G5340,1)&gt;=1,B5340='112'!$K$9,OR($N5340='112'!$I$6,$O5340='112'!$I$6))),"x",""))</f>
        <v/>
      </c>
      <c r="U5340" s="79" t="str">
        <f>IF(ISERROR(FIND('112'!$M$9,G5340,1)),"",IF((AND(LEFT(G5340,2)=LEFT('112'!$M$9,2),B5340&lt;'112'!$K$9,$N5340='112'!$I$6)),"x",""))</f>
        <v/>
      </c>
      <c r="V5340" s="79" t="str">
        <f>IF(ISERROR(FIND('112'!$M$9,G5340,1)),"",IF((AND(RIGHT(G5340,2)=RIGHT('112'!$M$9,2),B5340&lt;'112'!$K$9,$O5340='112'!$I$6)),"x",""))</f>
        <v/>
      </c>
      <c r="W5340" s="79" t="str">
        <f>IF(AND('341-CT'!$H$9=H5340,OR(LEFT(N5340,3)=$W$7,LEFT(O5340,3)=$W$7)),"x","")</f>
        <v/>
      </c>
      <c r="X5340" s="79" t="str">
        <f>IF(OR(TH!N5340=TH!$X$7,O5340=TH!$X$7),"x","")</f>
        <v/>
      </c>
      <c r="Y5340" s="79" t="str">
        <f>IF(AND(OR(N5340="131",O5340="131"),H5340='131-CT'!$H$9),"x","")</f>
        <v/>
      </c>
      <c r="Z5340" s="79"/>
      <c r="AA5340" s="79" t="str">
        <f>IF(AND(MONTH(E5340)='IN-NX'!$J$5,'IN-NX'!$D$7=D5340),"x","")</f>
        <v/>
      </c>
      <c r="AB5340" s="79" t="str">
        <f>IF(AND(OR(LEFT(TH!N5340,2)="15",LEFT(TH!O5340,2)="15"),LEFT(TH!O5340,3)&lt;&gt;"111",'152-CT'!$J$8=TH!F5340),"x","")</f>
        <v/>
      </c>
      <c r="AC5340" s="79" t="str">
        <f>IF(AND(OR(LEFT(TH!N5340,2)="15",LEFT(TH!O5340,2)="15"),TK!$E$7=TH!F5340),"x","")</f>
        <v/>
      </c>
      <c r="AD5340" s="79" t="str">
        <f>IF(AND(N5340="1521",MONTH(C5340)='BK-NL'!$M$11),"x","")</f>
        <v/>
      </c>
    </row>
    <row r="5341" spans="1:30" ht="16.5" customHeight="1">
      <c r="A5341" s="318" t="str">
        <f>IF(B5341&lt;&gt;"",IF(AND(B5341='IN-TC'!$S$4,OR(TH!N5341="1111",TH!O5341="1111")),TH!D5341,""),"")</f>
        <v/>
      </c>
      <c r="B5341" s="60" t="str">
        <f t="shared" si="504"/>
        <v/>
      </c>
      <c r="C5341" s="61"/>
      <c r="D5341" s="61"/>
      <c r="E5341" s="61"/>
      <c r="F5341" s="69"/>
      <c r="G5341" s="766"/>
      <c r="H5341" s="321"/>
      <c r="I5341" s="385"/>
      <c r="J5341" s="392"/>
      <c r="K5341" s="385"/>
      <c r="L5341" s="392"/>
      <c r="M5341" s="62"/>
      <c r="N5341" s="63"/>
      <c r="O5341" s="63"/>
      <c r="P5341" s="79" t="str">
        <f>IF(AND('331-CT'!$E$7=TH!H5341,OR(N5341="331",O5341="331")),"x","")</f>
        <v/>
      </c>
      <c r="Q5341" s="79" t="str">
        <f>IF(AND(B5341='111'!$L$11,OR($N5341=$Q$7,$O5341=$Q$7)),"x","")</f>
        <v/>
      </c>
      <c r="R5341" s="79" t="str">
        <f>IF(AND($N5341=$Q$7,$B5341&lt;'111'!$L$11),"x","")</f>
        <v/>
      </c>
      <c r="S5341" s="79" t="str">
        <f>IF(AND($O5341=$Q$7,$B5341&lt;'111'!$L$11),"x","")</f>
        <v/>
      </c>
      <c r="T5341" s="79" t="str">
        <f>IF(ISERROR(FIND('112'!$M$9,G5341,1)),"",IF((AND(FIND('112'!$M$9,G5341,1)&gt;=1,B5341='112'!$K$9,OR($N5341='112'!$I$6,$O5341='112'!$I$6))),"x",""))</f>
        <v/>
      </c>
      <c r="U5341" s="79" t="str">
        <f>IF(ISERROR(FIND('112'!$M$9,G5341,1)),"",IF((AND(LEFT(G5341,2)=LEFT('112'!$M$9,2),B5341&lt;'112'!$K$9,$N5341='112'!$I$6)),"x",""))</f>
        <v/>
      </c>
      <c r="V5341" s="79" t="str">
        <f>IF(ISERROR(FIND('112'!$M$9,G5341,1)),"",IF((AND(RIGHT(G5341,2)=RIGHT('112'!$M$9,2),B5341&lt;'112'!$K$9,$O5341='112'!$I$6)),"x",""))</f>
        <v/>
      </c>
      <c r="W5341" s="79" t="str">
        <f>IF(AND('341-CT'!$H$9=H5341,OR(LEFT(N5341,3)=$W$7,LEFT(O5341,3)=$W$7)),"x","")</f>
        <v/>
      </c>
      <c r="X5341" s="79" t="str">
        <f>IF(OR(TH!N5341=TH!$X$7,O5341=TH!$X$7),"x","")</f>
        <v/>
      </c>
      <c r="Y5341" s="79" t="str">
        <f>IF(AND(OR(N5341="131",O5341="131"),H5341='131-CT'!$H$9),"x","")</f>
        <v/>
      </c>
      <c r="Z5341" s="79"/>
      <c r="AA5341" s="79" t="str">
        <f>IF(AND(MONTH(E5341)='IN-NX'!$J$5,'IN-NX'!$D$7=D5341),"x","")</f>
        <v/>
      </c>
      <c r="AB5341" s="79" t="str">
        <f>IF(AND(OR(LEFT(TH!N5341,2)="15",LEFT(TH!O5341,2)="15"),LEFT(TH!O5341,3)&lt;&gt;"111",'152-CT'!$J$8=TH!F5341),"x","")</f>
        <v/>
      </c>
      <c r="AC5341" s="79" t="str">
        <f>IF(AND(OR(LEFT(TH!N5341,2)="15",LEFT(TH!O5341,2)="15"),TK!$E$7=TH!F5341),"x","")</f>
        <v/>
      </c>
      <c r="AD5341" s="79" t="str">
        <f>IF(AND(N5341="1521",MONTH(C5341)='BK-NL'!$M$11),"x","")</f>
        <v/>
      </c>
    </row>
    <row r="5342" spans="1:30" ht="16.5" customHeight="1">
      <c r="A5342" s="318" t="str">
        <f>IF(B5342&lt;&gt;"",IF(AND(B5342='IN-TC'!$S$4,OR(TH!N5342="1111",TH!O5342="1111")),TH!D5342,""),"")</f>
        <v/>
      </c>
      <c r="B5342" s="60" t="str">
        <f t="shared" si="504"/>
        <v/>
      </c>
      <c r="C5342" s="61"/>
      <c r="D5342" s="61"/>
      <c r="E5342" s="61"/>
      <c r="F5342" s="69"/>
      <c r="G5342" s="766"/>
      <c r="H5342" s="69"/>
      <c r="I5342" s="385"/>
      <c r="J5342" s="392"/>
      <c r="K5342" s="385"/>
      <c r="L5342" s="392"/>
      <c r="M5342" s="62"/>
      <c r="N5342" s="63"/>
      <c r="O5342" s="63"/>
      <c r="P5342" s="79" t="str">
        <f>IF(AND('331-CT'!$E$7=TH!H5342,OR(N5342="331",O5342="331")),"x","")</f>
        <v/>
      </c>
      <c r="Q5342" s="79" t="str">
        <f>IF(AND(B5342='111'!$L$11,OR($N5342=$Q$7,$O5342=$Q$7)),"x","")</f>
        <v/>
      </c>
      <c r="R5342" s="79" t="str">
        <f>IF(AND($N5342=$Q$7,$B5342&lt;'111'!$L$11),"x","")</f>
        <v/>
      </c>
      <c r="S5342" s="79" t="str">
        <f>IF(AND($O5342=$Q$7,$B5342&lt;'111'!$L$11),"x","")</f>
        <v/>
      </c>
      <c r="T5342" s="79" t="str">
        <f>IF(ISERROR(FIND('112'!$M$9,G5342,1)),"",IF((AND(FIND('112'!$M$9,G5342,1)&gt;=1,B5342='112'!$K$9,OR($N5342='112'!$I$6,$O5342='112'!$I$6))),"x",""))</f>
        <v/>
      </c>
      <c r="U5342" s="79" t="str">
        <f>IF(ISERROR(FIND('112'!$M$9,G5342,1)),"",IF((AND(LEFT(G5342,2)=LEFT('112'!$M$9,2),B5342&lt;'112'!$K$9,$N5342='112'!$I$6)),"x",""))</f>
        <v/>
      </c>
      <c r="V5342" s="79" t="str">
        <f>IF(ISERROR(FIND('112'!$M$9,G5342,1)),"",IF((AND(RIGHT(G5342,2)=RIGHT('112'!$M$9,2),B5342&lt;'112'!$K$9,$O5342='112'!$I$6)),"x",""))</f>
        <v/>
      </c>
      <c r="W5342" s="79" t="str">
        <f>IF(AND('341-CT'!$H$9=H5342,OR(LEFT(N5342,3)=$W$7,LEFT(O5342,3)=$W$7)),"x","")</f>
        <v/>
      </c>
      <c r="X5342" s="79" t="str">
        <f>IF(OR(TH!N5342=TH!$X$7,O5342=TH!$X$7),"x","")</f>
        <v/>
      </c>
      <c r="Y5342" s="79" t="str">
        <f>IF(AND(OR(N5342="131",O5342="131"),H5342='131-CT'!$H$9),"x","")</f>
        <v/>
      </c>
      <c r="Z5342" s="79"/>
      <c r="AA5342" s="79" t="str">
        <f>IF(AND(MONTH(E5342)='IN-NX'!$J$5,'IN-NX'!$D$7=D5342),"x","")</f>
        <v/>
      </c>
      <c r="AB5342" s="79" t="str">
        <f>IF(AND(OR(LEFT(TH!N5342,2)="15",LEFT(TH!O5342,2)="15"),LEFT(TH!O5342,3)&lt;&gt;"111",'152-CT'!$J$8=TH!F5342),"x","")</f>
        <v/>
      </c>
      <c r="AC5342" s="79" t="str">
        <f>IF(AND(OR(LEFT(TH!N5342,2)="15",LEFT(TH!O5342,2)="15"),TK!$E$7=TH!F5342),"x","")</f>
        <v/>
      </c>
      <c r="AD5342" s="79" t="str">
        <f>IF(AND(N5342="1521",MONTH(C5342)='BK-NL'!$M$11),"x","")</f>
        <v/>
      </c>
    </row>
    <row r="5343" spans="1:30" ht="16.5" customHeight="1">
      <c r="A5343" s="318" t="str">
        <f>IF(B5343&lt;&gt;"",IF(AND(B5343='IN-TC'!$S$4,OR(TH!N5343="1111",TH!O5343="1111")),TH!D5343,""),"")</f>
        <v/>
      </c>
      <c r="B5343" s="60" t="str">
        <f t="shared" si="504"/>
        <v/>
      </c>
      <c r="C5343" s="61"/>
      <c r="D5343" s="61"/>
      <c r="E5343" s="61"/>
      <c r="F5343" s="69"/>
      <c r="G5343" s="766"/>
      <c r="H5343" s="69"/>
      <c r="I5343" s="385"/>
      <c r="J5343" s="392"/>
      <c r="K5343" s="385"/>
      <c r="L5343" s="392"/>
      <c r="M5343" s="62"/>
      <c r="N5343" s="63"/>
      <c r="O5343" s="63"/>
      <c r="P5343" s="79" t="str">
        <f>IF(AND('331-CT'!$E$7=TH!H5343,OR(N5343="331",O5343="331")),"x","")</f>
        <v/>
      </c>
      <c r="Q5343" s="79" t="str">
        <f>IF(AND(B5343='111'!$L$11,OR($N5343=$Q$7,$O5343=$Q$7)),"x","")</f>
        <v/>
      </c>
      <c r="R5343" s="79" t="str">
        <f>IF(AND($N5343=$Q$7,$B5343&lt;'111'!$L$11),"x","")</f>
        <v/>
      </c>
      <c r="S5343" s="79" t="str">
        <f>IF(AND($O5343=$Q$7,$B5343&lt;'111'!$L$11),"x","")</f>
        <v/>
      </c>
      <c r="T5343" s="79" t="str">
        <f>IF(ISERROR(FIND('112'!$M$9,G5343,1)),"",IF((AND(FIND('112'!$M$9,G5343,1)&gt;=1,B5343='112'!$K$9,OR($N5343='112'!$I$6,$O5343='112'!$I$6))),"x",""))</f>
        <v/>
      </c>
      <c r="U5343" s="79" t="str">
        <f>IF(ISERROR(FIND('112'!$M$9,G5343,1)),"",IF((AND(LEFT(G5343,2)=LEFT('112'!$M$9,2),B5343&lt;'112'!$K$9,$N5343='112'!$I$6)),"x",""))</f>
        <v/>
      </c>
      <c r="V5343" s="79" t="str">
        <f>IF(ISERROR(FIND('112'!$M$9,G5343,1)),"",IF((AND(RIGHT(G5343,2)=RIGHT('112'!$M$9,2),B5343&lt;'112'!$K$9,$O5343='112'!$I$6)),"x",""))</f>
        <v/>
      </c>
      <c r="W5343" s="79" t="str">
        <f>IF(AND('341-CT'!$H$9=H5343,OR(LEFT(N5343,3)=$W$7,LEFT(O5343,3)=$W$7)),"x","")</f>
        <v/>
      </c>
      <c r="X5343" s="79" t="str">
        <f>IF(OR(TH!N5343=TH!$X$7,O5343=TH!$X$7),"x","")</f>
        <v/>
      </c>
      <c r="Y5343" s="79" t="str">
        <f>IF(AND(OR(N5343="131",O5343="131"),H5343='131-CT'!$H$9),"x","")</f>
        <v/>
      </c>
      <c r="Z5343" s="79"/>
      <c r="AA5343" s="79" t="str">
        <f>IF(AND(MONTH(E5343)='IN-NX'!$J$5,'IN-NX'!$D$7=D5343),"x","")</f>
        <v/>
      </c>
      <c r="AB5343" s="79" t="str">
        <f>IF(AND(OR(LEFT(TH!N5343,2)="15",LEFT(TH!O5343,2)="15"),LEFT(TH!O5343,3)&lt;&gt;"111",'152-CT'!$J$8=TH!F5343),"x","")</f>
        <v/>
      </c>
      <c r="AC5343" s="79" t="str">
        <f>IF(AND(OR(LEFT(TH!N5343,2)="15",LEFT(TH!O5343,2)="15"),TK!$E$7=TH!F5343),"x","")</f>
        <v/>
      </c>
      <c r="AD5343" s="79" t="str">
        <f>IF(AND(N5343="1521",MONTH(C5343)='BK-NL'!$M$11),"x","")</f>
        <v/>
      </c>
    </row>
    <row r="5344" spans="1:30" ht="16.5" customHeight="1">
      <c r="A5344" s="318" t="str">
        <f>IF(B5344&lt;&gt;"",IF(AND(B5344='IN-TC'!$S$4,OR(TH!N5344="1111",TH!O5344="1111")),TH!D5344,""),"")</f>
        <v/>
      </c>
      <c r="B5344" s="60" t="str">
        <f t="shared" si="504"/>
        <v/>
      </c>
      <c r="C5344" s="61"/>
      <c r="D5344" s="61"/>
      <c r="E5344" s="61"/>
      <c r="F5344" s="69"/>
      <c r="G5344" s="766"/>
      <c r="H5344" s="69"/>
      <c r="I5344" s="385"/>
      <c r="J5344" s="392"/>
      <c r="K5344" s="385"/>
      <c r="L5344" s="392"/>
      <c r="M5344" s="62"/>
      <c r="N5344" s="63"/>
      <c r="O5344" s="63"/>
      <c r="P5344" s="79" t="str">
        <f>IF(AND('331-CT'!$E$7=TH!H5344,OR(N5344="331",O5344="331")),"x","")</f>
        <v/>
      </c>
      <c r="Q5344" s="79" t="str">
        <f>IF(AND(B5344='111'!$L$11,OR($N5344=$Q$7,$O5344=$Q$7)),"x","")</f>
        <v/>
      </c>
      <c r="R5344" s="79" t="str">
        <f>IF(AND($N5344=$Q$7,$B5344&lt;'111'!$L$11),"x","")</f>
        <v/>
      </c>
      <c r="S5344" s="79" t="str">
        <f>IF(AND($O5344=$Q$7,$B5344&lt;'111'!$L$11),"x","")</f>
        <v/>
      </c>
      <c r="T5344" s="79" t="str">
        <f>IF(ISERROR(FIND('112'!$M$9,G5344,1)),"",IF((AND(FIND('112'!$M$9,G5344,1)&gt;=1,B5344='112'!$K$9,OR($N5344='112'!$I$6,$O5344='112'!$I$6))),"x",""))</f>
        <v/>
      </c>
      <c r="U5344" s="79" t="str">
        <f>IF(ISERROR(FIND('112'!$M$9,G5344,1)),"",IF((AND(LEFT(G5344,2)=LEFT('112'!$M$9,2),B5344&lt;'112'!$K$9,$N5344='112'!$I$6)),"x",""))</f>
        <v/>
      </c>
      <c r="V5344" s="79" t="str">
        <f>IF(ISERROR(FIND('112'!$M$9,G5344,1)),"",IF((AND(RIGHT(G5344,2)=RIGHT('112'!$M$9,2),B5344&lt;'112'!$K$9,$O5344='112'!$I$6)),"x",""))</f>
        <v/>
      </c>
      <c r="W5344" s="79" t="str">
        <f>IF(AND('341-CT'!$H$9=H5344,OR(LEFT(N5344,3)=$W$7,LEFT(O5344,3)=$W$7)),"x","")</f>
        <v/>
      </c>
      <c r="X5344" s="79" t="str">
        <f>IF(OR(TH!N5344=TH!$X$7,O5344=TH!$X$7),"x","")</f>
        <v/>
      </c>
      <c r="Y5344" s="79" t="str">
        <f>IF(AND(OR(N5344="131",O5344="131"),H5344='131-CT'!$H$9),"x","")</f>
        <v/>
      </c>
      <c r="Z5344" s="79"/>
      <c r="AA5344" s="79" t="str">
        <f>IF(AND(MONTH(E5344)='IN-NX'!$J$5,'IN-NX'!$D$7=D5344),"x","")</f>
        <v/>
      </c>
      <c r="AB5344" s="79" t="str">
        <f>IF(AND(OR(LEFT(TH!N5344,2)="15",LEFT(TH!O5344,2)="15"),LEFT(TH!O5344,3)&lt;&gt;"111",'152-CT'!$J$8=TH!F5344),"x","")</f>
        <v/>
      </c>
      <c r="AC5344" s="79" t="str">
        <f>IF(AND(OR(LEFT(TH!N5344,2)="15",LEFT(TH!O5344,2)="15"),TK!$E$7=TH!F5344),"x","")</f>
        <v/>
      </c>
      <c r="AD5344" s="79" t="str">
        <f>IF(AND(N5344="1521",MONTH(C5344)='BK-NL'!$M$11),"x","")</f>
        <v/>
      </c>
    </row>
    <row r="5345" spans="1:30" ht="16.5" customHeight="1">
      <c r="A5345" s="318" t="str">
        <f>IF(B5345&lt;&gt;"",IF(AND(B5345='IN-TC'!$S$4,OR(TH!N5345="1111",TH!O5345="1111")),TH!D5345,""),"")</f>
        <v/>
      </c>
      <c r="B5345" s="60" t="str">
        <f t="shared" si="504"/>
        <v/>
      </c>
      <c r="C5345" s="61"/>
      <c r="D5345" s="61"/>
      <c r="E5345" s="61"/>
      <c r="F5345" s="69"/>
      <c r="G5345" s="766"/>
      <c r="H5345" s="69"/>
      <c r="I5345" s="385"/>
      <c r="J5345" s="392"/>
      <c r="K5345" s="385"/>
      <c r="L5345" s="392"/>
      <c r="M5345" s="62"/>
      <c r="N5345" s="63"/>
      <c r="O5345" s="63"/>
      <c r="P5345" s="79" t="str">
        <f>IF(AND('331-CT'!$E$7=TH!H5345,OR(N5345="331",O5345="331")),"x","")</f>
        <v/>
      </c>
      <c r="Q5345" s="79" t="str">
        <f>IF(AND(B5345='111'!$L$11,OR($N5345=$Q$7,$O5345=$Q$7)),"x","")</f>
        <v/>
      </c>
      <c r="R5345" s="79" t="str">
        <f>IF(AND($N5345=$Q$7,$B5345&lt;'111'!$L$11),"x","")</f>
        <v/>
      </c>
      <c r="S5345" s="79" t="str">
        <f>IF(AND($O5345=$Q$7,$B5345&lt;'111'!$L$11),"x","")</f>
        <v/>
      </c>
      <c r="T5345" s="79" t="str">
        <f>IF(ISERROR(FIND('112'!$M$9,G5345,1)),"",IF((AND(FIND('112'!$M$9,G5345,1)&gt;=1,B5345='112'!$K$9,OR($N5345='112'!$I$6,$O5345='112'!$I$6))),"x",""))</f>
        <v/>
      </c>
      <c r="U5345" s="79" t="str">
        <f>IF(ISERROR(FIND('112'!$M$9,G5345,1)),"",IF((AND(LEFT(G5345,2)=LEFT('112'!$M$9,2),B5345&lt;'112'!$K$9,$N5345='112'!$I$6)),"x",""))</f>
        <v/>
      </c>
      <c r="V5345" s="79" t="str">
        <f>IF(ISERROR(FIND('112'!$M$9,G5345,1)),"",IF((AND(RIGHT(G5345,2)=RIGHT('112'!$M$9,2),B5345&lt;'112'!$K$9,$O5345='112'!$I$6)),"x",""))</f>
        <v/>
      </c>
      <c r="W5345" s="79" t="str">
        <f>IF(AND('341-CT'!$H$9=H5345,OR(LEFT(N5345,3)=$W$7,LEFT(O5345,3)=$W$7)),"x","")</f>
        <v/>
      </c>
      <c r="X5345" s="79" t="str">
        <f>IF(OR(TH!N5345=TH!$X$7,O5345=TH!$X$7),"x","")</f>
        <v/>
      </c>
      <c r="Y5345" s="79" t="str">
        <f>IF(AND(OR(N5345="131",O5345="131"),H5345='131-CT'!$H$9),"x","")</f>
        <v/>
      </c>
      <c r="Z5345" s="79"/>
      <c r="AA5345" s="79" t="str">
        <f>IF(AND(MONTH(E5345)='IN-NX'!$J$5,'IN-NX'!$D$7=D5345),"x","")</f>
        <v/>
      </c>
      <c r="AB5345" s="79" t="str">
        <f>IF(AND(OR(LEFT(TH!N5345,2)="15",LEFT(TH!O5345,2)="15"),LEFT(TH!O5345,3)&lt;&gt;"111",'152-CT'!$J$8=TH!F5345),"x","")</f>
        <v/>
      </c>
      <c r="AC5345" s="79" t="str">
        <f>IF(AND(OR(LEFT(TH!N5345,2)="15",LEFT(TH!O5345,2)="15"),TK!$E$7=TH!F5345),"x","")</f>
        <v/>
      </c>
      <c r="AD5345" s="79" t="str">
        <f>IF(AND(N5345="1521",MONTH(C5345)='BK-NL'!$M$11),"x","")</f>
        <v/>
      </c>
    </row>
    <row r="5346" spans="1:30" ht="16.5" customHeight="1">
      <c r="A5346" s="318" t="str">
        <f>IF(B5346&lt;&gt;"",IF(AND(B5346='IN-TC'!$S$4,OR(TH!N5346="1111",TH!O5346="1111")),TH!D5346,""),"")</f>
        <v/>
      </c>
      <c r="B5346" s="60" t="str">
        <f t="shared" si="504"/>
        <v/>
      </c>
      <c r="C5346" s="61"/>
      <c r="D5346" s="61"/>
      <c r="E5346" s="61"/>
      <c r="F5346" s="69"/>
      <c r="G5346" s="766"/>
      <c r="H5346" s="69"/>
      <c r="I5346" s="385"/>
      <c r="J5346" s="392"/>
      <c r="K5346" s="385"/>
      <c r="L5346" s="392"/>
      <c r="M5346" s="62"/>
      <c r="N5346" s="63"/>
      <c r="O5346" s="63"/>
      <c r="P5346" s="79" t="str">
        <f>IF(AND('331-CT'!$E$7=TH!H5346,OR(N5346="331",O5346="331")),"x","")</f>
        <v/>
      </c>
      <c r="Q5346" s="79" t="str">
        <f>IF(AND(B5346='111'!$L$11,OR($N5346=$Q$7,$O5346=$Q$7)),"x","")</f>
        <v/>
      </c>
      <c r="R5346" s="79" t="str">
        <f>IF(AND($N5346=$Q$7,$B5346&lt;'111'!$L$11),"x","")</f>
        <v/>
      </c>
      <c r="S5346" s="79" t="str">
        <f>IF(AND($O5346=$Q$7,$B5346&lt;'111'!$L$11),"x","")</f>
        <v/>
      </c>
      <c r="T5346" s="79" t="str">
        <f>IF(ISERROR(FIND('112'!$M$9,G5346,1)),"",IF((AND(FIND('112'!$M$9,G5346,1)&gt;=1,B5346='112'!$K$9,OR($N5346='112'!$I$6,$O5346='112'!$I$6))),"x",""))</f>
        <v/>
      </c>
      <c r="U5346" s="79" t="str">
        <f>IF(ISERROR(FIND('112'!$M$9,G5346,1)),"",IF((AND(LEFT(G5346,2)=LEFT('112'!$M$9,2),B5346&lt;'112'!$K$9,$N5346='112'!$I$6)),"x",""))</f>
        <v/>
      </c>
      <c r="V5346" s="79" t="str">
        <f>IF(ISERROR(FIND('112'!$M$9,G5346,1)),"",IF((AND(RIGHT(G5346,2)=RIGHT('112'!$M$9,2),B5346&lt;'112'!$K$9,$O5346='112'!$I$6)),"x",""))</f>
        <v/>
      </c>
      <c r="W5346" s="79" t="str">
        <f>IF(AND('341-CT'!$H$9=H5346,OR(LEFT(N5346,3)=$W$7,LEFT(O5346,3)=$W$7)),"x","")</f>
        <v/>
      </c>
      <c r="X5346" s="79" t="str">
        <f>IF(OR(TH!N5346=TH!$X$7,O5346=TH!$X$7),"x","")</f>
        <v/>
      </c>
      <c r="Y5346" s="79" t="str">
        <f>IF(AND(OR(N5346="131",O5346="131"),H5346='131-CT'!$H$9),"x","")</f>
        <v/>
      </c>
      <c r="Z5346" s="79"/>
      <c r="AA5346" s="79" t="str">
        <f>IF(AND(MONTH(E5346)='IN-NX'!$J$5,'IN-NX'!$D$7=D5346),"x","")</f>
        <v/>
      </c>
      <c r="AB5346" s="79" t="str">
        <f>IF(AND(OR(LEFT(TH!N5346,2)="15",LEFT(TH!O5346,2)="15"),LEFT(TH!O5346,3)&lt;&gt;"111",'152-CT'!$J$8=TH!F5346),"x","")</f>
        <v/>
      </c>
      <c r="AC5346" s="79" t="str">
        <f>IF(AND(OR(LEFT(TH!N5346,2)="15",LEFT(TH!O5346,2)="15"),TK!$E$7=TH!F5346),"x","")</f>
        <v/>
      </c>
      <c r="AD5346" s="79" t="str">
        <f>IF(AND(N5346="1521",MONTH(C5346)='BK-NL'!$M$11),"x","")</f>
        <v/>
      </c>
    </row>
    <row r="5347" spans="1:30" ht="16.5" customHeight="1">
      <c r="A5347" s="318" t="str">
        <f>IF(B5347&lt;&gt;"",IF(AND(B5347='IN-TC'!$S$4,OR(TH!N5347="1111",TH!O5347="1111")),TH!D5347,""),"")</f>
        <v/>
      </c>
      <c r="B5347" s="60" t="str">
        <f t="shared" si="504"/>
        <v/>
      </c>
      <c r="C5347" s="61"/>
      <c r="D5347" s="61"/>
      <c r="E5347" s="61"/>
      <c r="F5347" s="69"/>
      <c r="G5347" s="766"/>
      <c r="H5347" s="69"/>
      <c r="I5347" s="385"/>
      <c r="J5347" s="392"/>
      <c r="K5347" s="385"/>
      <c r="L5347" s="392"/>
      <c r="M5347" s="62"/>
      <c r="N5347" s="63"/>
      <c r="O5347" s="63"/>
      <c r="P5347" s="79" t="str">
        <f>IF(AND('331-CT'!$E$7=TH!H5347,OR(N5347="331",O5347="331")),"x","")</f>
        <v/>
      </c>
      <c r="Q5347" s="79" t="str">
        <f>IF(AND(B5347='111'!$L$11,OR($N5347=$Q$7,$O5347=$Q$7)),"x","")</f>
        <v/>
      </c>
      <c r="R5347" s="79" t="str">
        <f>IF(AND($N5347=$Q$7,$B5347&lt;'111'!$L$11),"x","")</f>
        <v/>
      </c>
      <c r="S5347" s="79" t="str">
        <f>IF(AND($O5347=$Q$7,$B5347&lt;'111'!$L$11),"x","")</f>
        <v/>
      </c>
      <c r="T5347" s="79" t="str">
        <f>IF(ISERROR(FIND('112'!$M$9,G5347,1)),"",IF((AND(FIND('112'!$M$9,G5347,1)&gt;=1,B5347='112'!$K$9,OR($N5347='112'!$I$6,$O5347='112'!$I$6))),"x",""))</f>
        <v/>
      </c>
      <c r="U5347" s="79" t="str">
        <f>IF(ISERROR(FIND('112'!$M$9,G5347,1)),"",IF((AND(LEFT(G5347,2)=LEFT('112'!$M$9,2),B5347&lt;'112'!$K$9,$N5347='112'!$I$6)),"x",""))</f>
        <v/>
      </c>
      <c r="V5347" s="79" t="str">
        <f>IF(ISERROR(FIND('112'!$M$9,G5347,1)),"",IF((AND(RIGHT(G5347,2)=RIGHT('112'!$M$9,2),B5347&lt;'112'!$K$9,$O5347='112'!$I$6)),"x",""))</f>
        <v/>
      </c>
      <c r="W5347" s="79" t="str">
        <f>IF(AND('341-CT'!$H$9=H5347,OR(LEFT(N5347,3)=$W$7,LEFT(O5347,3)=$W$7)),"x","")</f>
        <v/>
      </c>
      <c r="X5347" s="79" t="str">
        <f>IF(OR(TH!N5347=TH!$X$7,O5347=TH!$X$7),"x","")</f>
        <v/>
      </c>
      <c r="Y5347" s="79" t="str">
        <f>IF(AND(OR(N5347="131",O5347="131"),H5347='131-CT'!$H$9),"x","")</f>
        <v/>
      </c>
      <c r="Z5347" s="79"/>
      <c r="AA5347" s="79" t="str">
        <f>IF(AND(MONTH(E5347)='IN-NX'!$J$5,'IN-NX'!$D$7=D5347),"x","")</f>
        <v/>
      </c>
      <c r="AB5347" s="79" t="str">
        <f>IF(AND(OR(LEFT(TH!N5347,2)="15",LEFT(TH!O5347,2)="15"),LEFT(TH!O5347,3)&lt;&gt;"111",'152-CT'!$J$8=TH!F5347),"x","")</f>
        <v/>
      </c>
      <c r="AC5347" s="79" t="str">
        <f>IF(AND(OR(LEFT(TH!N5347,2)="15",LEFT(TH!O5347,2)="15"),TK!$E$7=TH!F5347),"x","")</f>
        <v/>
      </c>
      <c r="AD5347" s="79" t="str">
        <f>IF(AND(N5347="1521",MONTH(C5347)='BK-NL'!$M$11),"x","")</f>
        <v/>
      </c>
    </row>
    <row r="5348" spans="1:30" ht="16.5" customHeight="1">
      <c r="A5348" s="318" t="str">
        <f>IF(B5348&lt;&gt;"",IF(AND(B5348='IN-TC'!$S$4,OR(TH!N5348="1111",TH!O5348="1111")),TH!D5348,""),"")</f>
        <v/>
      </c>
      <c r="B5348" s="60" t="str">
        <f t="shared" si="504"/>
        <v/>
      </c>
      <c r="C5348" s="61"/>
      <c r="D5348" s="61"/>
      <c r="E5348" s="61"/>
      <c r="F5348" s="69"/>
      <c r="G5348" s="766"/>
      <c r="H5348" s="69"/>
      <c r="I5348" s="385"/>
      <c r="J5348" s="392"/>
      <c r="K5348" s="385"/>
      <c r="L5348" s="392"/>
      <c r="M5348" s="62"/>
      <c r="N5348" s="63"/>
      <c r="O5348" s="63"/>
      <c r="P5348" s="79" t="str">
        <f>IF(AND('331-CT'!$E$7=TH!H5348,OR(N5348="331",O5348="331")),"x","")</f>
        <v/>
      </c>
      <c r="Q5348" s="79" t="str">
        <f>IF(AND(B5348='111'!$L$11,OR($N5348=$Q$7,$O5348=$Q$7)),"x","")</f>
        <v/>
      </c>
      <c r="R5348" s="79" t="str">
        <f>IF(AND($N5348=$Q$7,$B5348&lt;'111'!$L$11),"x","")</f>
        <v/>
      </c>
      <c r="S5348" s="79" t="str">
        <f>IF(AND($O5348=$Q$7,$B5348&lt;'111'!$L$11),"x","")</f>
        <v/>
      </c>
      <c r="T5348" s="79" t="str">
        <f>IF(ISERROR(FIND('112'!$M$9,G5348,1)),"",IF((AND(FIND('112'!$M$9,G5348,1)&gt;=1,B5348='112'!$K$9,OR($N5348='112'!$I$6,$O5348='112'!$I$6))),"x",""))</f>
        <v/>
      </c>
      <c r="U5348" s="79" t="str">
        <f>IF(ISERROR(FIND('112'!$M$9,G5348,1)),"",IF((AND(LEFT(G5348,2)=LEFT('112'!$M$9,2),B5348&lt;'112'!$K$9,$N5348='112'!$I$6)),"x",""))</f>
        <v/>
      </c>
      <c r="V5348" s="79" t="str">
        <f>IF(ISERROR(FIND('112'!$M$9,G5348,1)),"",IF((AND(RIGHT(G5348,2)=RIGHT('112'!$M$9,2),B5348&lt;'112'!$K$9,$O5348='112'!$I$6)),"x",""))</f>
        <v/>
      </c>
      <c r="W5348" s="79" t="str">
        <f>IF(AND('341-CT'!$H$9=H5348,OR(LEFT(N5348,3)=$W$7,LEFT(O5348,3)=$W$7)),"x","")</f>
        <v/>
      </c>
      <c r="X5348" s="79" t="str">
        <f>IF(OR(TH!N5348=TH!$X$7,O5348=TH!$X$7),"x","")</f>
        <v/>
      </c>
      <c r="Y5348" s="79" t="str">
        <f>IF(AND(OR(N5348="131",O5348="131"),H5348='131-CT'!$H$9),"x","")</f>
        <v/>
      </c>
      <c r="Z5348" s="79"/>
      <c r="AA5348" s="79" t="str">
        <f>IF(AND(MONTH(E5348)='IN-NX'!$J$5,'IN-NX'!$D$7=D5348),"x","")</f>
        <v/>
      </c>
      <c r="AB5348" s="79" t="str">
        <f>IF(AND(OR(LEFT(TH!N5348,2)="15",LEFT(TH!O5348,2)="15"),LEFT(TH!O5348,3)&lt;&gt;"111",'152-CT'!$J$8=TH!F5348),"x","")</f>
        <v/>
      </c>
      <c r="AC5348" s="79" t="str">
        <f>IF(AND(OR(LEFT(TH!N5348,2)="15",LEFT(TH!O5348,2)="15"),TK!$E$7=TH!F5348),"x","")</f>
        <v/>
      </c>
      <c r="AD5348" s="79" t="str">
        <f>IF(AND(N5348="1521",MONTH(C5348)='BK-NL'!$M$11),"x","")</f>
        <v/>
      </c>
    </row>
    <row r="5349" spans="1:30" ht="16.5" customHeight="1">
      <c r="A5349" s="318" t="str">
        <f>IF(B5349&lt;&gt;"",IF(AND(B5349='IN-TC'!$S$4,OR(TH!N5349="1111",TH!O5349="1111")),TH!D5349,""),"")</f>
        <v/>
      </c>
      <c r="B5349" s="60" t="str">
        <f t="shared" si="504"/>
        <v/>
      </c>
      <c r="C5349" s="61"/>
      <c r="D5349" s="61"/>
      <c r="E5349" s="61"/>
      <c r="F5349" s="69"/>
      <c r="G5349" s="766"/>
      <c r="H5349" s="69"/>
      <c r="I5349" s="385"/>
      <c r="J5349" s="392"/>
      <c r="K5349" s="385"/>
      <c r="L5349" s="392"/>
      <c r="M5349" s="62"/>
      <c r="N5349" s="63"/>
      <c r="O5349" s="63"/>
      <c r="P5349" s="79" t="str">
        <f>IF(AND('331-CT'!$E$7=TH!H5349,OR(N5349="331",O5349="331")),"x","")</f>
        <v/>
      </c>
      <c r="Q5349" s="79" t="str">
        <f>IF(AND(B5349='111'!$L$11,OR($N5349=$Q$7,$O5349=$Q$7)),"x","")</f>
        <v/>
      </c>
      <c r="R5349" s="79" t="str">
        <f>IF(AND($N5349=$Q$7,$B5349&lt;'111'!$L$11),"x","")</f>
        <v/>
      </c>
      <c r="S5349" s="79" t="str">
        <f>IF(AND($O5349=$Q$7,$B5349&lt;'111'!$L$11),"x","")</f>
        <v/>
      </c>
      <c r="T5349" s="79" t="str">
        <f>IF(ISERROR(FIND('112'!$M$9,G5349,1)),"",IF((AND(FIND('112'!$M$9,G5349,1)&gt;=1,B5349='112'!$K$9,OR($N5349='112'!$I$6,$O5349='112'!$I$6))),"x",""))</f>
        <v/>
      </c>
      <c r="U5349" s="79" t="str">
        <f>IF(ISERROR(FIND('112'!$M$9,G5349,1)),"",IF((AND(LEFT(G5349,2)=LEFT('112'!$M$9,2),B5349&lt;'112'!$K$9,$N5349='112'!$I$6)),"x",""))</f>
        <v/>
      </c>
      <c r="V5349" s="79" t="str">
        <f>IF(ISERROR(FIND('112'!$M$9,G5349,1)),"",IF((AND(RIGHT(G5349,2)=RIGHT('112'!$M$9,2),B5349&lt;'112'!$K$9,$O5349='112'!$I$6)),"x",""))</f>
        <v/>
      </c>
      <c r="W5349" s="79" t="str">
        <f>IF(AND('341-CT'!$H$9=H5349,OR(LEFT(N5349,3)=$W$7,LEFT(O5349,3)=$W$7)),"x","")</f>
        <v/>
      </c>
      <c r="X5349" s="79" t="str">
        <f>IF(OR(TH!N5349=TH!$X$7,O5349=TH!$X$7),"x","")</f>
        <v/>
      </c>
      <c r="Y5349" s="79" t="str">
        <f>IF(AND(OR(N5349="131",O5349="131"),H5349='131-CT'!$H$9),"x","")</f>
        <v/>
      </c>
      <c r="Z5349" s="79"/>
      <c r="AA5349" s="79" t="str">
        <f>IF(AND(MONTH(E5349)='IN-NX'!$J$5,'IN-NX'!$D$7=D5349),"x","")</f>
        <v/>
      </c>
      <c r="AB5349" s="79" t="str">
        <f>IF(AND(OR(LEFT(TH!N5349,2)="15",LEFT(TH!O5349,2)="15"),LEFT(TH!O5349,3)&lt;&gt;"111",'152-CT'!$J$8=TH!F5349),"x","")</f>
        <v/>
      </c>
      <c r="AC5349" s="79" t="str">
        <f>IF(AND(OR(LEFT(TH!N5349,2)="15",LEFT(TH!O5349,2)="15"),TK!$E$7=TH!F5349),"x","")</f>
        <v/>
      </c>
      <c r="AD5349" s="79" t="str">
        <f>IF(AND(N5349="1521",MONTH(C5349)='BK-NL'!$M$11),"x","")</f>
        <v/>
      </c>
    </row>
    <row r="5350" spans="1:30" ht="16.5" customHeight="1">
      <c r="A5350" s="318" t="str">
        <f>IF(B5350&lt;&gt;"",IF(AND(B5350='IN-TC'!$S$4,OR(TH!N5350="1111",TH!O5350="1111")),TH!D5350,""),"")</f>
        <v/>
      </c>
      <c r="B5350" s="60" t="str">
        <f t="shared" si="504"/>
        <v/>
      </c>
      <c r="C5350" s="61"/>
      <c r="D5350" s="61"/>
      <c r="E5350" s="61"/>
      <c r="F5350" s="69"/>
      <c r="G5350" s="766"/>
      <c r="H5350" s="69"/>
      <c r="I5350" s="385"/>
      <c r="J5350" s="392"/>
      <c r="K5350" s="385"/>
      <c r="L5350" s="392"/>
      <c r="M5350" s="62"/>
      <c r="N5350" s="63"/>
      <c r="O5350" s="63"/>
      <c r="P5350" s="79" t="str">
        <f>IF(AND('331-CT'!$E$7=TH!H5350,OR(N5350="331",O5350="331")),"x","")</f>
        <v/>
      </c>
      <c r="Q5350" s="79" t="str">
        <f>IF(AND(B5350='111'!$L$11,OR($N5350=$Q$7,$O5350=$Q$7)),"x","")</f>
        <v/>
      </c>
      <c r="R5350" s="79" t="str">
        <f>IF(AND($N5350=$Q$7,$B5350&lt;'111'!$L$11),"x","")</f>
        <v/>
      </c>
      <c r="S5350" s="79" t="str">
        <f>IF(AND($O5350=$Q$7,$B5350&lt;'111'!$L$11),"x","")</f>
        <v/>
      </c>
      <c r="T5350" s="79" t="str">
        <f>IF(ISERROR(FIND('112'!$M$9,G5350,1)),"",IF((AND(FIND('112'!$M$9,G5350,1)&gt;=1,B5350='112'!$K$9,OR($N5350='112'!$I$6,$O5350='112'!$I$6))),"x",""))</f>
        <v/>
      </c>
      <c r="U5350" s="79" t="str">
        <f>IF(ISERROR(FIND('112'!$M$9,G5350,1)),"",IF((AND(LEFT(G5350,2)=LEFT('112'!$M$9,2),B5350&lt;'112'!$K$9,$N5350='112'!$I$6)),"x",""))</f>
        <v/>
      </c>
      <c r="V5350" s="79" t="str">
        <f>IF(ISERROR(FIND('112'!$M$9,G5350,1)),"",IF((AND(RIGHT(G5350,2)=RIGHT('112'!$M$9,2),B5350&lt;'112'!$K$9,$O5350='112'!$I$6)),"x",""))</f>
        <v/>
      </c>
      <c r="W5350" s="79" t="str">
        <f>IF(AND('341-CT'!$H$9=H5350,OR(LEFT(N5350,3)=$W$7,LEFT(O5350,3)=$W$7)),"x","")</f>
        <v/>
      </c>
      <c r="X5350" s="79" t="str">
        <f>IF(OR(TH!N5350=TH!$X$7,O5350=TH!$X$7),"x","")</f>
        <v/>
      </c>
      <c r="Y5350" s="79" t="str">
        <f>IF(AND(OR(N5350="131",O5350="131"),H5350='131-CT'!$H$9),"x","")</f>
        <v/>
      </c>
      <c r="Z5350" s="79"/>
      <c r="AA5350" s="79" t="str">
        <f>IF(AND(MONTH(E5350)='IN-NX'!$J$5,'IN-NX'!$D$7=D5350),"x","")</f>
        <v/>
      </c>
      <c r="AB5350" s="79" t="str">
        <f>IF(AND(OR(LEFT(TH!N5350,2)="15",LEFT(TH!O5350,2)="15"),LEFT(TH!O5350,3)&lt;&gt;"111",'152-CT'!$J$8=TH!F5350),"x","")</f>
        <v/>
      </c>
      <c r="AC5350" s="79" t="str">
        <f>IF(AND(OR(LEFT(TH!N5350,2)="15",LEFT(TH!O5350,2)="15"),TK!$E$7=TH!F5350),"x","")</f>
        <v/>
      </c>
      <c r="AD5350" s="79" t="str">
        <f>IF(AND(N5350="1521",MONTH(C5350)='BK-NL'!$M$11),"x","")</f>
        <v/>
      </c>
    </row>
    <row r="5351" spans="1:30" ht="16.5" customHeight="1">
      <c r="A5351" s="318" t="str">
        <f>IF(B5351&lt;&gt;"",IF(AND(B5351='IN-TC'!$S$4,OR(TH!N5351="1111",TH!O5351="1111")),TH!D5351,""),"")</f>
        <v/>
      </c>
      <c r="B5351" s="60" t="str">
        <f t="shared" si="504"/>
        <v/>
      </c>
      <c r="C5351" s="61"/>
      <c r="D5351" s="61"/>
      <c r="E5351" s="61"/>
      <c r="F5351" s="69"/>
      <c r="G5351" s="766"/>
      <c r="H5351" s="69"/>
      <c r="I5351" s="385"/>
      <c r="J5351" s="392"/>
      <c r="K5351" s="385"/>
      <c r="L5351" s="392"/>
      <c r="M5351" s="62"/>
      <c r="N5351" s="63"/>
      <c r="O5351" s="63"/>
      <c r="P5351" s="79" t="str">
        <f>IF(AND('331-CT'!$E$7=TH!H5351,OR(N5351="331",O5351="331")),"x","")</f>
        <v/>
      </c>
      <c r="Q5351" s="79" t="str">
        <f>IF(AND(B5351='111'!$L$11,OR($N5351=$Q$7,$O5351=$Q$7)),"x","")</f>
        <v/>
      </c>
      <c r="R5351" s="79" t="str">
        <f>IF(AND($N5351=$Q$7,$B5351&lt;'111'!$L$11),"x","")</f>
        <v/>
      </c>
      <c r="S5351" s="79" t="str">
        <f>IF(AND($O5351=$Q$7,$B5351&lt;'111'!$L$11),"x","")</f>
        <v/>
      </c>
      <c r="T5351" s="79" t="str">
        <f>IF(ISERROR(FIND('112'!$M$9,G5351,1)),"",IF((AND(FIND('112'!$M$9,G5351,1)&gt;=1,B5351='112'!$K$9,OR($N5351='112'!$I$6,$O5351='112'!$I$6))),"x",""))</f>
        <v/>
      </c>
      <c r="U5351" s="79" t="str">
        <f>IF(ISERROR(FIND('112'!$M$9,G5351,1)),"",IF((AND(LEFT(G5351,2)=LEFT('112'!$M$9,2),B5351&lt;'112'!$K$9,$N5351='112'!$I$6)),"x",""))</f>
        <v/>
      </c>
      <c r="V5351" s="79" t="str">
        <f>IF(ISERROR(FIND('112'!$M$9,G5351,1)),"",IF((AND(RIGHT(G5351,2)=RIGHT('112'!$M$9,2),B5351&lt;'112'!$K$9,$O5351='112'!$I$6)),"x",""))</f>
        <v/>
      </c>
      <c r="W5351" s="79" t="str">
        <f>IF(AND('341-CT'!$H$9=H5351,OR(LEFT(N5351,3)=$W$7,LEFT(O5351,3)=$W$7)),"x","")</f>
        <v/>
      </c>
      <c r="X5351" s="79" t="str">
        <f>IF(OR(TH!N5351=TH!$X$7,O5351=TH!$X$7),"x","")</f>
        <v/>
      </c>
      <c r="Y5351" s="79" t="str">
        <f>IF(AND(OR(N5351="131",O5351="131"),H5351='131-CT'!$H$9),"x","")</f>
        <v/>
      </c>
      <c r="Z5351" s="79"/>
      <c r="AA5351" s="79" t="str">
        <f>IF(AND(MONTH(E5351)='IN-NX'!$J$5,'IN-NX'!$D$7=D5351),"x","")</f>
        <v/>
      </c>
      <c r="AB5351" s="79" t="str">
        <f>IF(AND(OR(LEFT(TH!N5351,2)="15",LEFT(TH!O5351,2)="15"),LEFT(TH!O5351,3)&lt;&gt;"111",'152-CT'!$J$8=TH!F5351),"x","")</f>
        <v/>
      </c>
      <c r="AC5351" s="79" t="str">
        <f>IF(AND(OR(LEFT(TH!N5351,2)="15",LEFT(TH!O5351,2)="15"),TK!$E$7=TH!F5351),"x","")</f>
        <v/>
      </c>
      <c r="AD5351" s="79" t="str">
        <f>IF(AND(N5351="1521",MONTH(C5351)='BK-NL'!$M$11),"x","")</f>
        <v/>
      </c>
    </row>
    <row r="5352" spans="1:30" ht="16.5" customHeight="1">
      <c r="A5352" s="318" t="str">
        <f>IF(B5352&lt;&gt;"",IF(AND(B5352='IN-TC'!$S$4,OR(TH!N5352="1111",TH!O5352="1111")),TH!D5352,""),"")</f>
        <v/>
      </c>
      <c r="B5352" s="60" t="str">
        <f t="shared" si="504"/>
        <v/>
      </c>
      <c r="C5352" s="61"/>
      <c r="D5352" s="61"/>
      <c r="E5352" s="61"/>
      <c r="F5352" s="69"/>
      <c r="G5352" s="766"/>
      <c r="H5352" s="69"/>
      <c r="I5352" s="385"/>
      <c r="J5352" s="392"/>
      <c r="K5352" s="385"/>
      <c r="L5352" s="392"/>
      <c r="M5352" s="62"/>
      <c r="N5352" s="63"/>
      <c r="O5352" s="63"/>
      <c r="P5352" s="79" t="str">
        <f>IF(AND('331-CT'!$E$7=TH!H5352,OR(N5352="331",O5352="331")),"x","")</f>
        <v/>
      </c>
      <c r="Q5352" s="79" t="str">
        <f>IF(AND(B5352='111'!$L$11,OR($N5352=$Q$7,$O5352=$Q$7)),"x","")</f>
        <v/>
      </c>
      <c r="R5352" s="79" t="str">
        <f>IF(AND($N5352=$Q$7,$B5352&lt;'111'!$L$11),"x","")</f>
        <v/>
      </c>
      <c r="S5352" s="79" t="str">
        <f>IF(AND($O5352=$Q$7,$B5352&lt;'111'!$L$11),"x","")</f>
        <v/>
      </c>
      <c r="T5352" s="79" t="str">
        <f>IF(ISERROR(FIND('112'!$M$9,G5352,1)),"",IF((AND(FIND('112'!$M$9,G5352,1)&gt;=1,B5352='112'!$K$9,OR($N5352='112'!$I$6,$O5352='112'!$I$6))),"x",""))</f>
        <v/>
      </c>
      <c r="U5352" s="79" t="str">
        <f>IF(ISERROR(FIND('112'!$M$9,G5352,1)),"",IF((AND(LEFT(G5352,2)=LEFT('112'!$M$9,2),B5352&lt;'112'!$K$9,$N5352='112'!$I$6)),"x",""))</f>
        <v/>
      </c>
      <c r="V5352" s="79" t="str">
        <f>IF(ISERROR(FIND('112'!$M$9,G5352,1)),"",IF((AND(RIGHT(G5352,2)=RIGHT('112'!$M$9,2),B5352&lt;'112'!$K$9,$O5352='112'!$I$6)),"x",""))</f>
        <v/>
      </c>
      <c r="W5352" s="79" t="str">
        <f>IF(AND('341-CT'!$H$9=H5352,OR(LEFT(N5352,3)=$W$7,LEFT(O5352,3)=$W$7)),"x","")</f>
        <v/>
      </c>
      <c r="X5352" s="79" t="str">
        <f>IF(OR(TH!N5352=TH!$X$7,O5352=TH!$X$7),"x","")</f>
        <v/>
      </c>
      <c r="Y5352" s="79" t="str">
        <f>IF(AND(OR(N5352="131",O5352="131"),H5352='131-CT'!$H$9),"x","")</f>
        <v/>
      </c>
      <c r="Z5352" s="79"/>
      <c r="AA5352" s="79" t="str">
        <f>IF(AND(MONTH(E5352)='IN-NX'!$J$5,'IN-NX'!$D$7=D5352),"x","")</f>
        <v/>
      </c>
      <c r="AB5352" s="79" t="str">
        <f>IF(AND(OR(LEFT(TH!N5352,2)="15",LEFT(TH!O5352,2)="15"),LEFT(TH!O5352,3)&lt;&gt;"111",'152-CT'!$J$8=TH!F5352),"x","")</f>
        <v/>
      </c>
      <c r="AC5352" s="79" t="str">
        <f>IF(AND(OR(LEFT(TH!N5352,2)="15",LEFT(TH!O5352,2)="15"),TK!$E$7=TH!F5352),"x","")</f>
        <v/>
      </c>
      <c r="AD5352" s="79" t="str">
        <f>IF(AND(N5352="1521",MONTH(C5352)='BK-NL'!$M$11),"x","")</f>
        <v/>
      </c>
    </row>
    <row r="5353" spans="1:30" ht="16.5" customHeight="1">
      <c r="A5353" s="318" t="str">
        <f>IF(B5353&lt;&gt;"",IF(AND(B5353='IN-TC'!$S$4,OR(TH!N5353="1111",TH!O5353="1111")),TH!D5353,""),"")</f>
        <v/>
      </c>
      <c r="B5353" s="60" t="str">
        <f t="shared" si="504"/>
        <v/>
      </c>
      <c r="C5353" s="61"/>
      <c r="D5353" s="61"/>
      <c r="E5353" s="61"/>
      <c r="F5353" s="69"/>
      <c r="G5353" s="766"/>
      <c r="H5353" s="69"/>
      <c r="I5353" s="385"/>
      <c r="J5353" s="392"/>
      <c r="K5353" s="385"/>
      <c r="L5353" s="392"/>
      <c r="M5353" s="62"/>
      <c r="N5353" s="63"/>
      <c r="O5353" s="63"/>
      <c r="P5353" s="79" t="str">
        <f>IF(AND('331-CT'!$E$7=TH!H5353,OR(N5353="331",O5353="331")),"x","")</f>
        <v/>
      </c>
      <c r="Q5353" s="79" t="str">
        <f>IF(AND(B5353='111'!$L$11,OR($N5353=$Q$7,$O5353=$Q$7)),"x","")</f>
        <v/>
      </c>
      <c r="R5353" s="79" t="str">
        <f>IF(AND($N5353=$Q$7,$B5353&lt;'111'!$L$11),"x","")</f>
        <v/>
      </c>
      <c r="S5353" s="79" t="str">
        <f>IF(AND($O5353=$Q$7,$B5353&lt;'111'!$L$11),"x","")</f>
        <v/>
      </c>
      <c r="T5353" s="79" t="str">
        <f>IF(ISERROR(FIND('112'!$M$9,G5353,1)),"",IF((AND(FIND('112'!$M$9,G5353,1)&gt;=1,B5353='112'!$K$9,OR($N5353='112'!$I$6,$O5353='112'!$I$6))),"x",""))</f>
        <v/>
      </c>
      <c r="U5353" s="79" t="str">
        <f>IF(ISERROR(FIND('112'!$M$9,G5353,1)),"",IF((AND(LEFT(G5353,2)=LEFT('112'!$M$9,2),B5353&lt;'112'!$K$9,$N5353='112'!$I$6)),"x",""))</f>
        <v/>
      </c>
      <c r="V5353" s="79" t="str">
        <f>IF(ISERROR(FIND('112'!$M$9,G5353,1)),"",IF((AND(RIGHT(G5353,2)=RIGHT('112'!$M$9,2),B5353&lt;'112'!$K$9,$O5353='112'!$I$6)),"x",""))</f>
        <v/>
      </c>
      <c r="W5353" s="79" t="str">
        <f>IF(AND('341-CT'!$H$9=H5353,OR(LEFT(N5353,3)=$W$7,LEFT(O5353,3)=$W$7)),"x","")</f>
        <v/>
      </c>
      <c r="X5353" s="79" t="str">
        <f>IF(OR(TH!N5353=TH!$X$7,O5353=TH!$X$7),"x","")</f>
        <v/>
      </c>
      <c r="Y5353" s="79" t="str">
        <f>IF(AND(OR(N5353="131",O5353="131"),H5353='131-CT'!$H$9),"x","")</f>
        <v/>
      </c>
      <c r="Z5353" s="79"/>
      <c r="AA5353" s="79" t="str">
        <f>IF(AND(MONTH(E5353)='IN-NX'!$J$5,'IN-NX'!$D$7=D5353),"x","")</f>
        <v/>
      </c>
      <c r="AB5353" s="79" t="str">
        <f>IF(AND(OR(LEFT(TH!N5353,2)="15",LEFT(TH!O5353,2)="15"),LEFT(TH!O5353,3)&lt;&gt;"111",'152-CT'!$J$8=TH!F5353),"x","")</f>
        <v/>
      </c>
      <c r="AC5353" s="79" t="str">
        <f>IF(AND(OR(LEFT(TH!N5353,2)="15",LEFT(TH!O5353,2)="15"),TK!$E$7=TH!F5353),"x","")</f>
        <v/>
      </c>
      <c r="AD5353" s="79" t="str">
        <f>IF(AND(N5353="1521",MONTH(C5353)='BK-NL'!$M$11),"x","")</f>
        <v/>
      </c>
    </row>
    <row r="5354" spans="1:30" ht="16.5" customHeight="1">
      <c r="A5354" s="318" t="str">
        <f>IF(B5354&lt;&gt;"",IF(AND(B5354='IN-TC'!$S$4,OR(TH!N5354="1111",TH!O5354="1111")),TH!D5354,""),"")</f>
        <v/>
      </c>
      <c r="B5354" s="60" t="str">
        <f t="shared" si="504"/>
        <v/>
      </c>
      <c r="C5354" s="61"/>
      <c r="D5354" s="61"/>
      <c r="E5354" s="61"/>
      <c r="F5354" s="69"/>
      <c r="G5354" s="766"/>
      <c r="H5354" s="69"/>
      <c r="I5354" s="385"/>
      <c r="J5354" s="392"/>
      <c r="K5354" s="385"/>
      <c r="L5354" s="392"/>
      <c r="M5354" s="62"/>
      <c r="N5354" s="63"/>
      <c r="O5354" s="63"/>
      <c r="P5354" s="79" t="str">
        <f>IF(AND('331-CT'!$E$7=TH!H5354,OR(N5354="331",O5354="331")),"x","")</f>
        <v/>
      </c>
      <c r="Q5354" s="79" t="str">
        <f>IF(AND(B5354='111'!$L$11,OR($N5354=$Q$7,$O5354=$Q$7)),"x","")</f>
        <v/>
      </c>
      <c r="R5354" s="79" t="str">
        <f>IF(AND($N5354=$Q$7,$B5354&lt;'111'!$L$11),"x","")</f>
        <v/>
      </c>
      <c r="S5354" s="79" t="str">
        <f>IF(AND($O5354=$Q$7,$B5354&lt;'111'!$L$11),"x","")</f>
        <v/>
      </c>
      <c r="T5354" s="79" t="str">
        <f>IF(ISERROR(FIND('112'!$M$9,G5354,1)),"",IF((AND(FIND('112'!$M$9,G5354,1)&gt;=1,B5354='112'!$K$9,OR($N5354='112'!$I$6,$O5354='112'!$I$6))),"x",""))</f>
        <v/>
      </c>
      <c r="U5354" s="79" t="str">
        <f>IF(ISERROR(FIND('112'!$M$9,G5354,1)),"",IF((AND(LEFT(G5354,2)=LEFT('112'!$M$9,2),B5354&lt;'112'!$K$9,$N5354='112'!$I$6)),"x",""))</f>
        <v/>
      </c>
      <c r="V5354" s="79" t="str">
        <f>IF(ISERROR(FIND('112'!$M$9,G5354,1)),"",IF((AND(RIGHT(G5354,2)=RIGHT('112'!$M$9,2),B5354&lt;'112'!$K$9,$O5354='112'!$I$6)),"x",""))</f>
        <v/>
      </c>
      <c r="W5354" s="79" t="str">
        <f>IF(AND('341-CT'!$H$9=H5354,OR(LEFT(N5354,3)=$W$7,LEFT(O5354,3)=$W$7)),"x","")</f>
        <v/>
      </c>
      <c r="X5354" s="79" t="str">
        <f>IF(OR(TH!N5354=TH!$X$7,O5354=TH!$X$7),"x","")</f>
        <v/>
      </c>
      <c r="Y5354" s="79" t="str">
        <f>IF(AND(OR(N5354="131",O5354="131"),H5354='131-CT'!$H$9),"x","")</f>
        <v/>
      </c>
      <c r="Z5354" s="79"/>
      <c r="AA5354" s="79" t="str">
        <f>IF(AND(MONTH(E5354)='IN-NX'!$J$5,'IN-NX'!$D$7=D5354),"x","")</f>
        <v/>
      </c>
      <c r="AB5354" s="79" t="str">
        <f>IF(AND(OR(LEFT(TH!N5354,2)="15",LEFT(TH!O5354,2)="15"),LEFT(TH!O5354,3)&lt;&gt;"111",'152-CT'!$J$8=TH!F5354),"x","")</f>
        <v/>
      </c>
      <c r="AC5354" s="79" t="str">
        <f>IF(AND(OR(LEFT(TH!N5354,2)="15",LEFT(TH!O5354,2)="15"),TK!$E$7=TH!F5354),"x","")</f>
        <v/>
      </c>
      <c r="AD5354" s="79" t="str">
        <f>IF(AND(N5354="1521",MONTH(C5354)='BK-NL'!$M$11),"x","")</f>
        <v/>
      </c>
    </row>
    <row r="5355" spans="1:30" ht="16.5" customHeight="1">
      <c r="A5355" s="318" t="str">
        <f>IF(B5355&lt;&gt;"",IF(AND(B5355='IN-TC'!$S$4,OR(TH!N5355="1111",TH!O5355="1111")),TH!D5355,""),"")</f>
        <v/>
      </c>
      <c r="B5355" s="60" t="str">
        <f t="shared" si="504"/>
        <v/>
      </c>
      <c r="C5355" s="61"/>
      <c r="D5355" s="61"/>
      <c r="E5355" s="61"/>
      <c r="F5355" s="69"/>
      <c r="G5355" s="766"/>
      <c r="H5355" s="69"/>
      <c r="I5355" s="385"/>
      <c r="J5355" s="392"/>
      <c r="K5355" s="385"/>
      <c r="L5355" s="392"/>
      <c r="M5355" s="62"/>
      <c r="N5355" s="63"/>
      <c r="O5355" s="63"/>
      <c r="P5355" s="79" t="str">
        <f>IF(AND('331-CT'!$E$7=TH!H5355,OR(N5355="331",O5355="331")),"x","")</f>
        <v/>
      </c>
      <c r="Q5355" s="79" t="str">
        <f>IF(AND(B5355='111'!$L$11,OR($N5355=$Q$7,$O5355=$Q$7)),"x","")</f>
        <v/>
      </c>
      <c r="R5355" s="79" t="str">
        <f>IF(AND($N5355=$Q$7,$B5355&lt;'111'!$L$11),"x","")</f>
        <v/>
      </c>
      <c r="S5355" s="79" t="str">
        <f>IF(AND($O5355=$Q$7,$B5355&lt;'111'!$L$11),"x","")</f>
        <v/>
      </c>
      <c r="T5355" s="79" t="str">
        <f>IF(ISERROR(FIND('112'!$M$9,G5355,1)),"",IF((AND(FIND('112'!$M$9,G5355,1)&gt;=1,B5355='112'!$K$9,OR($N5355='112'!$I$6,$O5355='112'!$I$6))),"x",""))</f>
        <v/>
      </c>
      <c r="U5355" s="79" t="str">
        <f>IF(ISERROR(FIND('112'!$M$9,G5355,1)),"",IF((AND(LEFT(G5355,2)=LEFT('112'!$M$9,2),B5355&lt;'112'!$K$9,$N5355='112'!$I$6)),"x",""))</f>
        <v/>
      </c>
      <c r="V5355" s="79" t="str">
        <f>IF(ISERROR(FIND('112'!$M$9,G5355,1)),"",IF((AND(RIGHT(G5355,2)=RIGHT('112'!$M$9,2),B5355&lt;'112'!$K$9,$O5355='112'!$I$6)),"x",""))</f>
        <v/>
      </c>
      <c r="W5355" s="79" t="str">
        <f>IF(AND('341-CT'!$H$9=H5355,OR(LEFT(N5355,3)=$W$7,LEFT(O5355,3)=$W$7)),"x","")</f>
        <v/>
      </c>
      <c r="X5355" s="79" t="str">
        <f>IF(OR(TH!N5355=TH!$X$7,O5355=TH!$X$7),"x","")</f>
        <v/>
      </c>
      <c r="Y5355" s="79" t="str">
        <f>IF(AND(OR(N5355="131",O5355="131"),H5355='131-CT'!$H$9),"x","")</f>
        <v/>
      </c>
      <c r="Z5355" s="79"/>
      <c r="AA5355" s="79" t="str">
        <f>IF(AND(MONTH(E5355)='IN-NX'!$J$5,'IN-NX'!$D$7=D5355),"x","")</f>
        <v/>
      </c>
      <c r="AB5355" s="79" t="str">
        <f>IF(AND(OR(LEFT(TH!N5355,2)="15",LEFT(TH!O5355,2)="15"),LEFT(TH!O5355,3)&lt;&gt;"111",'152-CT'!$J$8=TH!F5355),"x","")</f>
        <v/>
      </c>
      <c r="AC5355" s="79" t="str">
        <f>IF(AND(OR(LEFT(TH!N5355,2)="15",LEFT(TH!O5355,2)="15"),TK!$E$7=TH!F5355),"x","")</f>
        <v/>
      </c>
      <c r="AD5355" s="79" t="str">
        <f>IF(AND(N5355="1521",MONTH(C5355)='BK-NL'!$M$11),"x","")</f>
        <v/>
      </c>
    </row>
    <row r="5356" spans="1:30" ht="16.5" customHeight="1">
      <c r="A5356" s="318" t="str">
        <f>IF(B5356&lt;&gt;"",IF(AND(B5356='IN-TC'!$S$4,OR(TH!N5356="1111",TH!O5356="1111")),TH!D5356,""),"")</f>
        <v/>
      </c>
      <c r="B5356" s="60" t="str">
        <f t="shared" si="504"/>
        <v/>
      </c>
      <c r="C5356" s="61"/>
      <c r="D5356" s="61"/>
      <c r="E5356" s="61"/>
      <c r="F5356" s="69"/>
      <c r="G5356" s="766"/>
      <c r="H5356" s="69"/>
      <c r="I5356" s="385"/>
      <c r="J5356" s="392"/>
      <c r="K5356" s="385"/>
      <c r="L5356" s="392"/>
      <c r="M5356" s="62"/>
      <c r="N5356" s="63"/>
      <c r="O5356" s="63"/>
      <c r="P5356" s="79" t="str">
        <f>IF(AND('331-CT'!$E$7=TH!H5356,OR(N5356="331",O5356="331")),"x","")</f>
        <v/>
      </c>
      <c r="Q5356" s="79" t="str">
        <f>IF(AND(B5356='111'!$L$11,OR($N5356=$Q$7,$O5356=$Q$7)),"x","")</f>
        <v/>
      </c>
      <c r="R5356" s="79" t="str">
        <f>IF(AND($N5356=$Q$7,$B5356&lt;'111'!$L$11),"x","")</f>
        <v/>
      </c>
      <c r="S5356" s="79" t="str">
        <f>IF(AND($O5356=$Q$7,$B5356&lt;'111'!$L$11),"x","")</f>
        <v/>
      </c>
      <c r="T5356" s="79" t="str">
        <f>IF(ISERROR(FIND('112'!$M$9,G5356,1)),"",IF((AND(FIND('112'!$M$9,G5356,1)&gt;=1,B5356='112'!$K$9,OR($N5356='112'!$I$6,$O5356='112'!$I$6))),"x",""))</f>
        <v/>
      </c>
      <c r="U5356" s="79" t="str">
        <f>IF(ISERROR(FIND('112'!$M$9,G5356,1)),"",IF((AND(LEFT(G5356,2)=LEFT('112'!$M$9,2),B5356&lt;'112'!$K$9,$N5356='112'!$I$6)),"x",""))</f>
        <v/>
      </c>
      <c r="V5356" s="79" t="str">
        <f>IF(ISERROR(FIND('112'!$M$9,G5356,1)),"",IF((AND(RIGHT(G5356,2)=RIGHT('112'!$M$9,2),B5356&lt;'112'!$K$9,$O5356='112'!$I$6)),"x",""))</f>
        <v/>
      </c>
      <c r="W5356" s="79" t="str">
        <f>IF(AND('341-CT'!$H$9=H5356,OR(LEFT(N5356,3)=$W$7,LEFT(O5356,3)=$W$7)),"x","")</f>
        <v/>
      </c>
      <c r="X5356" s="79" t="str">
        <f>IF(OR(TH!N5356=TH!$X$7,O5356=TH!$X$7),"x","")</f>
        <v/>
      </c>
      <c r="Y5356" s="79" t="str">
        <f>IF(AND(OR(N5356="131",O5356="131"),H5356='131-CT'!$H$9),"x","")</f>
        <v/>
      </c>
      <c r="Z5356" s="79"/>
      <c r="AA5356" s="79" t="str">
        <f>IF(AND(MONTH(E5356)='IN-NX'!$J$5,'IN-NX'!$D$7=D5356),"x","")</f>
        <v/>
      </c>
      <c r="AB5356" s="79" t="str">
        <f>IF(AND(OR(LEFT(TH!N5356,2)="15",LEFT(TH!O5356,2)="15"),LEFT(TH!O5356,3)&lt;&gt;"111",'152-CT'!$J$8=TH!F5356),"x","")</f>
        <v/>
      </c>
      <c r="AC5356" s="79" t="str">
        <f>IF(AND(OR(LEFT(TH!N5356,2)="15",LEFT(TH!O5356,2)="15"),TK!$E$7=TH!F5356),"x","")</f>
        <v/>
      </c>
      <c r="AD5356" s="79" t="str">
        <f>IF(AND(N5356="1521",MONTH(C5356)='BK-NL'!$M$11),"x","")</f>
        <v/>
      </c>
    </row>
    <row r="5357" spans="1:30" ht="16.5" customHeight="1">
      <c r="A5357" s="318" t="str">
        <f>IF(B5357&lt;&gt;"",IF(AND(B5357='IN-TC'!$S$4,OR(TH!N5357="1111",TH!O5357="1111")),TH!D5357,""),"")</f>
        <v/>
      </c>
      <c r="B5357" s="60" t="str">
        <f t="shared" si="504"/>
        <v/>
      </c>
      <c r="C5357" s="61"/>
      <c r="D5357" s="61"/>
      <c r="E5357" s="61"/>
      <c r="F5357" s="69"/>
      <c r="G5357" s="766"/>
      <c r="H5357" s="69"/>
      <c r="I5357" s="385"/>
      <c r="J5357" s="392"/>
      <c r="K5357" s="385"/>
      <c r="L5357" s="392"/>
      <c r="M5357" s="62"/>
      <c r="N5357" s="63"/>
      <c r="O5357" s="63"/>
      <c r="P5357" s="79" t="str">
        <f>IF(AND('331-CT'!$E$7=TH!H5357,OR(N5357="331",O5357="331")),"x","")</f>
        <v/>
      </c>
      <c r="Q5357" s="79" t="str">
        <f>IF(AND(B5357='111'!$L$11,OR($N5357=$Q$7,$O5357=$Q$7)),"x","")</f>
        <v/>
      </c>
      <c r="R5357" s="79" t="str">
        <f>IF(AND($N5357=$Q$7,$B5357&lt;'111'!$L$11),"x","")</f>
        <v/>
      </c>
      <c r="S5357" s="79" t="str">
        <f>IF(AND($O5357=$Q$7,$B5357&lt;'111'!$L$11),"x","")</f>
        <v/>
      </c>
      <c r="T5357" s="79" t="str">
        <f>IF(ISERROR(FIND('112'!$M$9,G5357,1)),"",IF((AND(FIND('112'!$M$9,G5357,1)&gt;=1,B5357='112'!$K$9,OR($N5357='112'!$I$6,$O5357='112'!$I$6))),"x",""))</f>
        <v/>
      </c>
      <c r="U5357" s="79" t="str">
        <f>IF(ISERROR(FIND('112'!$M$9,G5357,1)),"",IF((AND(LEFT(G5357,2)=LEFT('112'!$M$9,2),B5357&lt;'112'!$K$9,$N5357='112'!$I$6)),"x",""))</f>
        <v/>
      </c>
      <c r="V5357" s="79" t="str">
        <f>IF(ISERROR(FIND('112'!$M$9,G5357,1)),"",IF((AND(RIGHT(G5357,2)=RIGHT('112'!$M$9,2),B5357&lt;'112'!$K$9,$O5357='112'!$I$6)),"x",""))</f>
        <v/>
      </c>
      <c r="W5357" s="79" t="str">
        <f>IF(AND('341-CT'!$H$9=H5357,OR(LEFT(N5357,3)=$W$7,LEFT(O5357,3)=$W$7)),"x","")</f>
        <v/>
      </c>
      <c r="X5357" s="79" t="str">
        <f>IF(OR(TH!N5357=TH!$X$7,O5357=TH!$X$7),"x","")</f>
        <v/>
      </c>
      <c r="Y5357" s="79" t="str">
        <f>IF(AND(OR(N5357="131",O5357="131"),H5357='131-CT'!$H$9),"x","")</f>
        <v/>
      </c>
      <c r="Z5357" s="79"/>
      <c r="AA5357" s="79" t="str">
        <f>IF(AND(MONTH(E5357)='IN-NX'!$J$5,'IN-NX'!$D$7=D5357),"x","")</f>
        <v/>
      </c>
      <c r="AB5357" s="79" t="str">
        <f>IF(AND(OR(LEFT(TH!N5357,2)="15",LEFT(TH!O5357,2)="15"),LEFT(TH!O5357,3)&lt;&gt;"111",'152-CT'!$J$8=TH!F5357),"x","")</f>
        <v/>
      </c>
      <c r="AC5357" s="79" t="str">
        <f>IF(AND(OR(LEFT(TH!N5357,2)="15",LEFT(TH!O5357,2)="15"),TK!$E$7=TH!F5357),"x","")</f>
        <v/>
      </c>
      <c r="AD5357" s="79" t="str">
        <f>IF(AND(N5357="1521",MONTH(C5357)='BK-NL'!$M$11),"x","")</f>
        <v/>
      </c>
    </row>
    <row r="5358" spans="1:30" ht="16.5" customHeight="1">
      <c r="A5358" s="318" t="str">
        <f>IF(B5358&lt;&gt;"",IF(AND(B5358='IN-TC'!$S$4,OR(TH!N5358="1111",TH!O5358="1111")),TH!D5358,""),"")</f>
        <v/>
      </c>
      <c r="B5358" s="60" t="str">
        <f t="shared" si="504"/>
        <v/>
      </c>
      <c r="C5358" s="61"/>
      <c r="D5358" s="61"/>
      <c r="E5358" s="61"/>
      <c r="F5358" s="69"/>
      <c r="G5358" s="766"/>
      <c r="H5358" s="69"/>
      <c r="I5358" s="385"/>
      <c r="J5358" s="392"/>
      <c r="K5358" s="385"/>
      <c r="L5358" s="392"/>
      <c r="M5358" s="62"/>
      <c r="N5358" s="63"/>
      <c r="O5358" s="63"/>
      <c r="P5358" s="79" t="str">
        <f>IF(AND('331-CT'!$E$7=TH!H5358,OR(N5358="331",O5358="331")),"x","")</f>
        <v/>
      </c>
      <c r="Q5358" s="79" t="str">
        <f>IF(AND(B5358='111'!$L$11,OR($N5358=$Q$7,$O5358=$Q$7)),"x","")</f>
        <v/>
      </c>
      <c r="R5358" s="79" t="str">
        <f>IF(AND($N5358=$Q$7,$B5358&lt;'111'!$L$11),"x","")</f>
        <v/>
      </c>
      <c r="S5358" s="79" t="str">
        <f>IF(AND($O5358=$Q$7,$B5358&lt;'111'!$L$11),"x","")</f>
        <v/>
      </c>
      <c r="T5358" s="79" t="str">
        <f>IF(ISERROR(FIND('112'!$M$9,G5358,1)),"",IF((AND(FIND('112'!$M$9,G5358,1)&gt;=1,B5358='112'!$K$9,OR($N5358='112'!$I$6,$O5358='112'!$I$6))),"x",""))</f>
        <v/>
      </c>
      <c r="U5358" s="79" t="str">
        <f>IF(ISERROR(FIND('112'!$M$9,G5358,1)),"",IF((AND(LEFT(G5358,2)=LEFT('112'!$M$9,2),B5358&lt;'112'!$K$9,$N5358='112'!$I$6)),"x",""))</f>
        <v/>
      </c>
      <c r="V5358" s="79" t="str">
        <f>IF(ISERROR(FIND('112'!$M$9,G5358,1)),"",IF((AND(RIGHT(G5358,2)=RIGHT('112'!$M$9,2),B5358&lt;'112'!$K$9,$O5358='112'!$I$6)),"x",""))</f>
        <v/>
      </c>
      <c r="W5358" s="79" t="str">
        <f>IF(AND('341-CT'!$H$9=H5358,OR(LEFT(N5358,3)=$W$7,LEFT(O5358,3)=$W$7)),"x","")</f>
        <v/>
      </c>
      <c r="X5358" s="79" t="str">
        <f>IF(OR(TH!N5358=TH!$X$7,O5358=TH!$X$7),"x","")</f>
        <v/>
      </c>
      <c r="Y5358" s="79" t="str">
        <f>IF(AND(OR(N5358="131",O5358="131"),H5358='131-CT'!$H$9),"x","")</f>
        <v/>
      </c>
      <c r="Z5358" s="79"/>
      <c r="AA5358" s="79" t="str">
        <f>IF(AND(MONTH(E5358)='IN-NX'!$J$5,'IN-NX'!$D$7=D5358),"x","")</f>
        <v/>
      </c>
      <c r="AB5358" s="79" t="str">
        <f>IF(AND(OR(LEFT(TH!N5358,2)="15",LEFT(TH!O5358,2)="15"),LEFT(TH!O5358,3)&lt;&gt;"111",'152-CT'!$J$8=TH!F5358),"x","")</f>
        <v/>
      </c>
      <c r="AC5358" s="79" t="str">
        <f>IF(AND(OR(LEFT(TH!N5358,2)="15",LEFT(TH!O5358,2)="15"),TK!$E$7=TH!F5358),"x","")</f>
        <v/>
      </c>
      <c r="AD5358" s="79" t="str">
        <f>IF(AND(N5358="1521",MONTH(C5358)='BK-NL'!$M$11),"x","")</f>
        <v/>
      </c>
    </row>
    <row r="5359" spans="1:30" ht="16.5" customHeight="1">
      <c r="A5359" s="318" t="str">
        <f>IF(B5359&lt;&gt;"",IF(AND(B5359='IN-TC'!$S$4,OR(TH!N5359="1111",TH!O5359="1111")),TH!D5359,""),"")</f>
        <v/>
      </c>
      <c r="B5359" s="60" t="str">
        <f t="shared" si="504"/>
        <v/>
      </c>
      <c r="C5359" s="61"/>
      <c r="D5359" s="61"/>
      <c r="E5359" s="61"/>
      <c r="F5359" s="69"/>
      <c r="G5359" s="766"/>
      <c r="H5359" s="321"/>
      <c r="I5359" s="385"/>
      <c r="J5359" s="392"/>
      <c r="K5359" s="385"/>
      <c r="L5359" s="392"/>
      <c r="M5359" s="62"/>
      <c r="N5359" s="63"/>
      <c r="O5359" s="63"/>
      <c r="P5359" s="79" t="str">
        <f>IF(AND('331-CT'!$E$7=TH!H5359,OR(N5359="331",O5359="331")),"x","")</f>
        <v/>
      </c>
      <c r="Q5359" s="79" t="str">
        <f>IF(AND(B5359='111'!$L$11,OR($N5359=$Q$7,$O5359=$Q$7)),"x","")</f>
        <v/>
      </c>
      <c r="R5359" s="79" t="str">
        <f>IF(AND($N5359=$Q$7,$B5359&lt;'111'!$L$11),"x","")</f>
        <v/>
      </c>
      <c r="S5359" s="79" t="str">
        <f>IF(AND($O5359=$Q$7,$B5359&lt;'111'!$L$11),"x","")</f>
        <v/>
      </c>
      <c r="T5359" s="79" t="str">
        <f>IF(ISERROR(FIND('112'!$M$9,G5359,1)),"",IF((AND(FIND('112'!$M$9,G5359,1)&gt;=1,B5359='112'!$K$9,OR($N5359='112'!$I$6,$O5359='112'!$I$6))),"x",""))</f>
        <v/>
      </c>
      <c r="U5359" s="79" t="str">
        <f>IF(ISERROR(FIND('112'!$M$9,G5359,1)),"",IF((AND(LEFT(G5359,2)=LEFT('112'!$M$9,2),B5359&lt;'112'!$K$9,$N5359='112'!$I$6)),"x",""))</f>
        <v/>
      </c>
      <c r="V5359" s="79" t="str">
        <f>IF(ISERROR(FIND('112'!$M$9,G5359,1)),"",IF((AND(RIGHT(G5359,2)=RIGHT('112'!$M$9,2),B5359&lt;'112'!$K$9,$O5359='112'!$I$6)),"x",""))</f>
        <v/>
      </c>
      <c r="W5359" s="79" t="str">
        <f>IF(AND('341-CT'!$H$9=H5359,OR(LEFT(N5359,3)=$W$7,LEFT(O5359,3)=$W$7)),"x","")</f>
        <v/>
      </c>
      <c r="X5359" s="79" t="str">
        <f>IF(OR(TH!N5359=TH!$X$7,O5359=TH!$X$7),"x","")</f>
        <v/>
      </c>
      <c r="Y5359" s="79" t="str">
        <f>IF(AND(OR(N5359="131",O5359="131"),H5359='131-CT'!$H$9),"x","")</f>
        <v/>
      </c>
      <c r="Z5359" s="79"/>
      <c r="AA5359" s="79" t="str">
        <f>IF(AND(MONTH(E5359)='IN-NX'!$J$5,'IN-NX'!$D$7=D5359),"x","")</f>
        <v/>
      </c>
      <c r="AB5359" s="79" t="str">
        <f>IF(AND(OR(LEFT(TH!N5359,2)="15",LEFT(TH!O5359,2)="15"),LEFT(TH!O5359,3)&lt;&gt;"111",'152-CT'!$J$8=TH!F5359),"x","")</f>
        <v/>
      </c>
      <c r="AC5359" s="79" t="str">
        <f>IF(AND(OR(LEFT(TH!N5359,2)="15",LEFT(TH!O5359,2)="15"),TK!$E$7=TH!F5359),"x","")</f>
        <v/>
      </c>
      <c r="AD5359" s="79" t="str">
        <f>IF(AND(N5359="1521",MONTH(C5359)='BK-NL'!$M$11),"x","")</f>
        <v/>
      </c>
    </row>
    <row r="5360" spans="1:30" ht="16.5" customHeight="1">
      <c r="A5360" s="318" t="str">
        <f>IF(B5360&lt;&gt;"",IF(AND(B5360='IN-TC'!$S$4,OR(TH!N5360="1111",TH!O5360="1111")),TH!D5360,""),"")</f>
        <v/>
      </c>
      <c r="B5360" s="60" t="str">
        <f t="shared" si="504"/>
        <v/>
      </c>
      <c r="C5360" s="61"/>
      <c r="D5360" s="61"/>
      <c r="E5360" s="61"/>
      <c r="F5360" s="69"/>
      <c r="G5360" s="766"/>
      <c r="H5360" s="321"/>
      <c r="I5360" s="385"/>
      <c r="J5360" s="392"/>
      <c r="K5360" s="385"/>
      <c r="L5360" s="392"/>
      <c r="M5360" s="62"/>
      <c r="N5360" s="63"/>
      <c r="O5360" s="63"/>
      <c r="P5360" s="79" t="str">
        <f>IF(AND('331-CT'!$E$7=TH!H5360,OR(N5360="331",O5360="331")),"x","")</f>
        <v/>
      </c>
      <c r="Q5360" s="79" t="str">
        <f>IF(AND(B5360='111'!$L$11,OR($N5360=$Q$7,$O5360=$Q$7)),"x","")</f>
        <v/>
      </c>
      <c r="R5360" s="79" t="str">
        <f>IF(AND($N5360=$Q$7,$B5360&lt;'111'!$L$11),"x","")</f>
        <v/>
      </c>
      <c r="S5360" s="79" t="str">
        <f>IF(AND($O5360=$Q$7,$B5360&lt;'111'!$L$11),"x","")</f>
        <v/>
      </c>
      <c r="T5360" s="79" t="str">
        <f>IF(ISERROR(FIND('112'!$M$9,G5360,1)),"",IF((AND(FIND('112'!$M$9,G5360,1)&gt;=1,B5360='112'!$K$9,OR($N5360='112'!$I$6,$O5360='112'!$I$6))),"x",""))</f>
        <v/>
      </c>
      <c r="U5360" s="79" t="str">
        <f>IF(ISERROR(FIND('112'!$M$9,G5360,1)),"",IF((AND(LEFT(G5360,2)=LEFT('112'!$M$9,2),B5360&lt;'112'!$K$9,$N5360='112'!$I$6)),"x",""))</f>
        <v/>
      </c>
      <c r="V5360" s="79" t="str">
        <f>IF(ISERROR(FIND('112'!$M$9,G5360,1)),"",IF((AND(RIGHT(G5360,2)=RIGHT('112'!$M$9,2),B5360&lt;'112'!$K$9,$O5360='112'!$I$6)),"x",""))</f>
        <v/>
      </c>
      <c r="W5360" s="79" t="str">
        <f>IF(AND('341-CT'!$H$9=H5360,OR(LEFT(N5360,3)=$W$7,LEFT(O5360,3)=$W$7)),"x","")</f>
        <v/>
      </c>
      <c r="X5360" s="79" t="str">
        <f>IF(OR(TH!N5360=TH!$X$7,O5360=TH!$X$7),"x","")</f>
        <v/>
      </c>
      <c r="Y5360" s="79" t="str">
        <f>IF(AND(OR(N5360="131",O5360="131"),H5360='131-CT'!$H$9),"x","")</f>
        <v/>
      </c>
      <c r="Z5360" s="79"/>
      <c r="AA5360" s="79" t="str">
        <f>IF(AND(MONTH(E5360)='IN-NX'!$J$5,'IN-NX'!$D$7=D5360),"x","")</f>
        <v/>
      </c>
      <c r="AB5360" s="79" t="str">
        <f>IF(AND(OR(LEFT(TH!N5360,2)="15",LEFT(TH!O5360,2)="15"),LEFT(TH!O5360,3)&lt;&gt;"111",'152-CT'!$J$8=TH!F5360),"x","")</f>
        <v/>
      </c>
      <c r="AC5360" s="79" t="str">
        <f>IF(AND(OR(LEFT(TH!N5360,2)="15",LEFT(TH!O5360,2)="15"),TK!$E$7=TH!F5360),"x","")</f>
        <v/>
      </c>
      <c r="AD5360" s="79" t="str">
        <f>IF(AND(N5360="1521",MONTH(C5360)='BK-NL'!$M$11),"x","")</f>
        <v/>
      </c>
    </row>
    <row r="5361" spans="1:30" ht="16.5" customHeight="1">
      <c r="A5361" s="318" t="str">
        <f>IF(B5361&lt;&gt;"",IF(AND(B5361='IN-TC'!$S$4,OR(TH!N5361="1111",TH!O5361="1111")),TH!D5361,""),"")</f>
        <v/>
      </c>
      <c r="B5361" s="60" t="str">
        <f t="shared" si="504"/>
        <v/>
      </c>
      <c r="C5361" s="61"/>
      <c r="D5361" s="61"/>
      <c r="E5361" s="61"/>
      <c r="F5361" s="69"/>
      <c r="G5361" s="766"/>
      <c r="H5361" s="321"/>
      <c r="I5361" s="385"/>
      <c r="J5361" s="392"/>
      <c r="K5361" s="385"/>
      <c r="L5361" s="392"/>
      <c r="M5361" s="62"/>
      <c r="N5361" s="63"/>
      <c r="O5361" s="63"/>
      <c r="P5361" s="79" t="str">
        <f>IF(AND('331-CT'!$E$7=TH!H5361,OR(N5361="331",O5361="331")),"x","")</f>
        <v/>
      </c>
      <c r="Q5361" s="79" t="str">
        <f>IF(AND(B5361='111'!$L$11,OR($N5361=$Q$7,$O5361=$Q$7)),"x","")</f>
        <v/>
      </c>
      <c r="R5361" s="79" t="str">
        <f>IF(AND($N5361=$Q$7,$B5361&lt;'111'!$L$11),"x","")</f>
        <v/>
      </c>
      <c r="S5361" s="79" t="str">
        <f>IF(AND($O5361=$Q$7,$B5361&lt;'111'!$L$11),"x","")</f>
        <v/>
      </c>
      <c r="T5361" s="79" t="str">
        <f>IF(ISERROR(FIND('112'!$M$9,G5361,1)),"",IF((AND(FIND('112'!$M$9,G5361,1)&gt;=1,B5361='112'!$K$9,OR($N5361='112'!$I$6,$O5361='112'!$I$6))),"x",""))</f>
        <v/>
      </c>
      <c r="U5361" s="79" t="str">
        <f>IF(ISERROR(FIND('112'!$M$9,G5361,1)),"",IF((AND(LEFT(G5361,2)=LEFT('112'!$M$9,2),B5361&lt;'112'!$K$9,$N5361='112'!$I$6)),"x",""))</f>
        <v/>
      </c>
      <c r="V5361" s="79" t="str">
        <f>IF(ISERROR(FIND('112'!$M$9,G5361,1)),"",IF((AND(RIGHT(G5361,2)=RIGHT('112'!$M$9,2),B5361&lt;'112'!$K$9,$O5361='112'!$I$6)),"x",""))</f>
        <v/>
      </c>
      <c r="W5361" s="79" t="str">
        <f>IF(AND('341-CT'!$H$9=H5361,OR(LEFT(N5361,3)=$W$7,LEFT(O5361,3)=$W$7)),"x","")</f>
        <v/>
      </c>
      <c r="X5361" s="79" t="str">
        <f>IF(OR(TH!N5361=TH!$X$7,O5361=TH!$X$7),"x","")</f>
        <v/>
      </c>
      <c r="Y5361" s="79" t="str">
        <f>IF(AND(OR(N5361="131",O5361="131"),H5361='131-CT'!$H$9),"x","")</f>
        <v/>
      </c>
      <c r="Z5361" s="79"/>
      <c r="AA5361" s="79" t="str">
        <f>IF(AND(MONTH(E5361)='IN-NX'!$J$5,'IN-NX'!$D$7=D5361),"x","")</f>
        <v/>
      </c>
      <c r="AB5361" s="79" t="str">
        <f>IF(AND(OR(LEFT(TH!N5361,2)="15",LEFT(TH!O5361,2)="15"),LEFT(TH!O5361,3)&lt;&gt;"111",'152-CT'!$J$8=TH!F5361),"x","")</f>
        <v/>
      </c>
      <c r="AC5361" s="79" t="str">
        <f>IF(AND(OR(LEFT(TH!N5361,2)="15",LEFT(TH!O5361,2)="15"),TK!$E$7=TH!F5361),"x","")</f>
        <v/>
      </c>
      <c r="AD5361" s="79" t="str">
        <f>IF(AND(N5361="1521",MONTH(C5361)='BK-NL'!$M$11),"x","")</f>
        <v/>
      </c>
    </row>
    <row r="5362" spans="1:30" ht="16.5" customHeight="1">
      <c r="A5362" s="318" t="str">
        <f>IF(B5362&lt;&gt;"",IF(AND(B5362='IN-TC'!$S$4,OR(TH!N5362="1111",TH!O5362="1111")),TH!D5362,""),"")</f>
        <v/>
      </c>
      <c r="B5362" s="60" t="str">
        <f t="shared" si="504"/>
        <v/>
      </c>
      <c r="C5362" s="61"/>
      <c r="D5362" s="61"/>
      <c r="E5362" s="61"/>
      <c r="F5362" s="69"/>
      <c r="G5362" s="766"/>
      <c r="H5362" s="321"/>
      <c r="I5362" s="385"/>
      <c r="J5362" s="392"/>
      <c r="K5362" s="385"/>
      <c r="L5362" s="392"/>
      <c r="M5362" s="62"/>
      <c r="N5362" s="63"/>
      <c r="O5362" s="63"/>
      <c r="P5362" s="79" t="str">
        <f>IF(AND('331-CT'!$E$7=TH!H5362,OR(N5362="331",O5362="331")),"x","")</f>
        <v/>
      </c>
      <c r="Q5362" s="79" t="str">
        <f>IF(AND(B5362='111'!$L$11,OR($N5362=$Q$7,$O5362=$Q$7)),"x","")</f>
        <v/>
      </c>
      <c r="R5362" s="79" t="str">
        <f>IF(AND($N5362=$Q$7,$B5362&lt;'111'!$L$11),"x","")</f>
        <v/>
      </c>
      <c r="S5362" s="79" t="str">
        <f>IF(AND($O5362=$Q$7,$B5362&lt;'111'!$L$11),"x","")</f>
        <v/>
      </c>
      <c r="T5362" s="79" t="str">
        <f>IF(ISERROR(FIND('112'!$M$9,G5362,1)),"",IF((AND(FIND('112'!$M$9,G5362,1)&gt;=1,B5362='112'!$K$9,OR($N5362='112'!$I$6,$O5362='112'!$I$6))),"x",""))</f>
        <v/>
      </c>
      <c r="U5362" s="79" t="str">
        <f>IF(ISERROR(FIND('112'!$M$9,G5362,1)),"",IF((AND(LEFT(G5362,2)=LEFT('112'!$M$9,2),B5362&lt;'112'!$K$9,$N5362='112'!$I$6)),"x",""))</f>
        <v/>
      </c>
      <c r="V5362" s="79" t="str">
        <f>IF(ISERROR(FIND('112'!$M$9,G5362,1)),"",IF((AND(RIGHT(G5362,2)=RIGHT('112'!$M$9,2),B5362&lt;'112'!$K$9,$O5362='112'!$I$6)),"x",""))</f>
        <v/>
      </c>
      <c r="W5362" s="79" t="str">
        <f>IF(AND('341-CT'!$H$9=H5362,OR(LEFT(N5362,3)=$W$7,LEFT(O5362,3)=$W$7)),"x","")</f>
        <v/>
      </c>
      <c r="X5362" s="79" t="str">
        <f>IF(OR(TH!N5362=TH!$X$7,O5362=TH!$X$7),"x","")</f>
        <v/>
      </c>
      <c r="Y5362" s="79" t="str">
        <f>IF(AND(OR(N5362="131",O5362="131"),H5362='131-CT'!$H$9),"x","")</f>
        <v/>
      </c>
      <c r="Z5362" s="79"/>
      <c r="AA5362" s="79" t="str">
        <f>IF(AND(MONTH(E5362)='IN-NX'!$J$5,'IN-NX'!$D$7=D5362),"x","")</f>
        <v/>
      </c>
      <c r="AB5362" s="79" t="str">
        <f>IF(AND(OR(LEFT(TH!N5362,2)="15",LEFT(TH!O5362,2)="15"),LEFT(TH!O5362,3)&lt;&gt;"111",'152-CT'!$J$8=TH!F5362),"x","")</f>
        <v/>
      </c>
      <c r="AC5362" s="79" t="str">
        <f>IF(AND(OR(LEFT(TH!N5362,2)="15",LEFT(TH!O5362,2)="15"),TK!$E$7=TH!F5362),"x","")</f>
        <v/>
      </c>
      <c r="AD5362" s="79" t="str">
        <f>IF(AND(N5362="1521",MONTH(C5362)='BK-NL'!$M$11),"x","")</f>
        <v/>
      </c>
    </row>
    <row r="5363" spans="1:30" ht="16.5" customHeight="1">
      <c r="A5363" s="318" t="str">
        <f>IF(B5363&lt;&gt;"",IF(AND(B5363='IN-TC'!$S$4,OR(TH!N5363="1111",TH!O5363="1111")),TH!D5363,""),"")</f>
        <v/>
      </c>
      <c r="B5363" s="60" t="str">
        <f t="shared" si="504"/>
        <v/>
      </c>
      <c r="C5363" s="61"/>
      <c r="D5363" s="61"/>
      <c r="E5363" s="61"/>
      <c r="F5363" s="69"/>
      <c r="G5363" s="766"/>
      <c r="H5363" s="69"/>
      <c r="I5363" s="385"/>
      <c r="J5363" s="392"/>
      <c r="K5363" s="385"/>
      <c r="L5363" s="392"/>
      <c r="M5363" s="62"/>
      <c r="N5363" s="63"/>
      <c r="O5363" s="63"/>
      <c r="P5363" s="79" t="str">
        <f>IF(AND('331-CT'!$E$7=TH!H5363,OR(N5363="331",O5363="331")),"x","")</f>
        <v/>
      </c>
      <c r="Q5363" s="79" t="str">
        <f>IF(AND(B5363='111'!$L$11,OR($N5363=$Q$7,$O5363=$Q$7)),"x","")</f>
        <v/>
      </c>
      <c r="R5363" s="79" t="str">
        <f>IF(AND($N5363=$Q$7,$B5363&lt;'111'!$L$11),"x","")</f>
        <v/>
      </c>
      <c r="S5363" s="79" t="str">
        <f>IF(AND($O5363=$Q$7,$B5363&lt;'111'!$L$11),"x","")</f>
        <v/>
      </c>
      <c r="T5363" s="79" t="str">
        <f>IF(ISERROR(FIND('112'!$M$9,G5363,1)),"",IF((AND(FIND('112'!$M$9,G5363,1)&gt;=1,B5363='112'!$K$9,OR($N5363='112'!$I$6,$O5363='112'!$I$6))),"x",""))</f>
        <v/>
      </c>
      <c r="U5363" s="79" t="str">
        <f>IF(ISERROR(FIND('112'!$M$9,G5363,1)),"",IF((AND(LEFT(G5363,2)=LEFT('112'!$M$9,2),B5363&lt;'112'!$K$9,$N5363='112'!$I$6)),"x",""))</f>
        <v/>
      </c>
      <c r="V5363" s="79" t="str">
        <f>IF(ISERROR(FIND('112'!$M$9,G5363,1)),"",IF((AND(RIGHT(G5363,2)=RIGHT('112'!$M$9,2),B5363&lt;'112'!$K$9,$O5363='112'!$I$6)),"x",""))</f>
        <v/>
      </c>
      <c r="W5363" s="79" t="str">
        <f>IF(AND('341-CT'!$H$9=H5363,OR(LEFT(N5363,3)=$W$7,LEFT(O5363,3)=$W$7)),"x","")</f>
        <v/>
      </c>
      <c r="X5363" s="79" t="str">
        <f>IF(OR(TH!N5363=TH!$X$7,O5363=TH!$X$7),"x","")</f>
        <v/>
      </c>
      <c r="Y5363" s="79" t="str">
        <f>IF(AND(OR(N5363="131",O5363="131"),H5363='131-CT'!$H$9),"x","")</f>
        <v/>
      </c>
      <c r="Z5363" s="79"/>
      <c r="AA5363" s="79" t="str">
        <f>IF(AND(MONTH(E5363)='IN-NX'!$J$5,'IN-NX'!$D$7=D5363),"x","")</f>
        <v/>
      </c>
      <c r="AB5363" s="79" t="str">
        <f>IF(AND(OR(LEFT(TH!N5363,2)="15",LEFT(TH!O5363,2)="15"),LEFT(TH!O5363,3)&lt;&gt;"111",'152-CT'!$J$8=TH!F5363),"x","")</f>
        <v/>
      </c>
      <c r="AC5363" s="79" t="str">
        <f>IF(AND(OR(LEFT(TH!N5363,2)="15",LEFT(TH!O5363,2)="15"),TK!$E$7=TH!F5363),"x","")</f>
        <v/>
      </c>
      <c r="AD5363" s="79" t="str">
        <f>IF(AND(N5363="1521",MONTH(C5363)='BK-NL'!$M$11),"x","")</f>
        <v/>
      </c>
    </row>
    <row r="5364" spans="1:30" ht="16.5" customHeight="1">
      <c r="A5364" s="318" t="str">
        <f>IF(B5364&lt;&gt;"",IF(AND(B5364='IN-TC'!$S$4,OR(TH!N5364="1111",TH!O5364="1111")),TH!D5364,""),"")</f>
        <v/>
      </c>
      <c r="B5364" s="60" t="str">
        <f t="shared" si="504"/>
        <v/>
      </c>
      <c r="C5364" s="61"/>
      <c r="D5364" s="61"/>
      <c r="E5364" s="61"/>
      <c r="F5364" s="69"/>
      <c r="G5364" s="766"/>
      <c r="H5364" s="69"/>
      <c r="I5364" s="385"/>
      <c r="J5364" s="392"/>
      <c r="K5364" s="385"/>
      <c r="L5364" s="392"/>
      <c r="M5364" s="62"/>
      <c r="N5364" s="63"/>
      <c r="O5364" s="63"/>
      <c r="P5364" s="79" t="str">
        <f>IF(AND('331-CT'!$E$7=TH!H5364,OR(N5364="331",O5364="331")),"x","")</f>
        <v/>
      </c>
      <c r="Q5364" s="79" t="str">
        <f>IF(AND(B5364='111'!$L$11,OR($N5364=$Q$7,$O5364=$Q$7)),"x","")</f>
        <v/>
      </c>
      <c r="R5364" s="79" t="str">
        <f>IF(AND($N5364=$Q$7,$B5364&lt;'111'!$L$11),"x","")</f>
        <v/>
      </c>
      <c r="S5364" s="79" t="str">
        <f>IF(AND($O5364=$Q$7,$B5364&lt;'111'!$L$11),"x","")</f>
        <v/>
      </c>
      <c r="T5364" s="79" t="str">
        <f>IF(ISERROR(FIND('112'!$M$9,G5364,1)),"",IF((AND(FIND('112'!$M$9,G5364,1)&gt;=1,B5364='112'!$K$9,OR($N5364='112'!$I$6,$O5364='112'!$I$6))),"x",""))</f>
        <v/>
      </c>
      <c r="U5364" s="79" t="str">
        <f>IF(ISERROR(FIND('112'!$M$9,G5364,1)),"",IF((AND(LEFT(G5364,2)=LEFT('112'!$M$9,2),B5364&lt;'112'!$K$9,$N5364='112'!$I$6)),"x",""))</f>
        <v/>
      </c>
      <c r="V5364" s="79" t="str">
        <f>IF(ISERROR(FIND('112'!$M$9,G5364,1)),"",IF((AND(RIGHT(G5364,2)=RIGHT('112'!$M$9,2),B5364&lt;'112'!$K$9,$O5364='112'!$I$6)),"x",""))</f>
        <v/>
      </c>
      <c r="W5364" s="79" t="str">
        <f>IF(AND('341-CT'!$H$9=H5364,OR(LEFT(N5364,3)=$W$7,LEFT(O5364,3)=$W$7)),"x","")</f>
        <v/>
      </c>
      <c r="X5364" s="79" t="str">
        <f>IF(OR(TH!N5364=TH!$X$7,O5364=TH!$X$7),"x","")</f>
        <v/>
      </c>
      <c r="Y5364" s="79" t="str">
        <f>IF(AND(OR(N5364="131",O5364="131"),H5364='131-CT'!$H$9),"x","")</f>
        <v/>
      </c>
      <c r="Z5364" s="79"/>
      <c r="AA5364" s="79" t="str">
        <f>IF(AND(MONTH(E5364)='IN-NX'!$J$5,'IN-NX'!$D$7=D5364),"x","")</f>
        <v/>
      </c>
      <c r="AB5364" s="79" t="str">
        <f>IF(AND(OR(LEFT(TH!N5364,2)="15",LEFT(TH!O5364,2)="15"),LEFT(TH!O5364,3)&lt;&gt;"111",'152-CT'!$J$8=TH!F5364),"x","")</f>
        <v/>
      </c>
      <c r="AC5364" s="79" t="str">
        <f>IF(AND(OR(LEFT(TH!N5364,2)="15",LEFT(TH!O5364,2)="15"),TK!$E$7=TH!F5364),"x","")</f>
        <v/>
      </c>
      <c r="AD5364" s="79" t="str">
        <f>IF(AND(N5364="1521",MONTH(C5364)='BK-NL'!$M$11),"x","")</f>
        <v/>
      </c>
    </row>
    <row r="5365" spans="1:30" ht="16.5" customHeight="1">
      <c r="A5365" s="318" t="str">
        <f>IF(B5365&lt;&gt;"",IF(AND(B5365='IN-TC'!$S$4,OR(TH!N5365="1111",TH!O5365="1111")),TH!D5365,""),"")</f>
        <v/>
      </c>
      <c r="B5365" s="60" t="str">
        <f t="shared" si="504"/>
        <v/>
      </c>
      <c r="C5365" s="61"/>
      <c r="D5365" s="61"/>
      <c r="E5365" s="61"/>
      <c r="F5365" s="69"/>
      <c r="G5365" s="766"/>
      <c r="H5365" s="69"/>
      <c r="I5365" s="385"/>
      <c r="J5365" s="392"/>
      <c r="K5365" s="385"/>
      <c r="L5365" s="392"/>
      <c r="M5365" s="62"/>
      <c r="N5365" s="63"/>
      <c r="O5365" s="63"/>
      <c r="P5365" s="79" t="str">
        <f>IF(AND('331-CT'!$E$7=TH!H5365,OR(N5365="331",O5365="331")),"x","")</f>
        <v/>
      </c>
      <c r="Q5365" s="79" t="str">
        <f>IF(AND(B5365='111'!$L$11,OR($N5365=$Q$7,$O5365=$Q$7)),"x","")</f>
        <v/>
      </c>
      <c r="R5365" s="79" t="str">
        <f>IF(AND($N5365=$Q$7,$B5365&lt;'111'!$L$11),"x","")</f>
        <v/>
      </c>
      <c r="S5365" s="79" t="str">
        <f>IF(AND($O5365=$Q$7,$B5365&lt;'111'!$L$11),"x","")</f>
        <v/>
      </c>
      <c r="T5365" s="79" t="str">
        <f>IF(ISERROR(FIND('112'!$M$9,G5365,1)),"",IF((AND(FIND('112'!$M$9,G5365,1)&gt;=1,B5365='112'!$K$9,OR($N5365='112'!$I$6,$O5365='112'!$I$6))),"x",""))</f>
        <v/>
      </c>
      <c r="U5365" s="79" t="str">
        <f>IF(ISERROR(FIND('112'!$M$9,G5365,1)),"",IF((AND(LEFT(G5365,2)=LEFT('112'!$M$9,2),B5365&lt;'112'!$K$9,$N5365='112'!$I$6)),"x",""))</f>
        <v/>
      </c>
      <c r="V5365" s="79" t="str">
        <f>IF(ISERROR(FIND('112'!$M$9,G5365,1)),"",IF((AND(RIGHT(G5365,2)=RIGHT('112'!$M$9,2),B5365&lt;'112'!$K$9,$O5365='112'!$I$6)),"x",""))</f>
        <v/>
      </c>
      <c r="W5365" s="79" t="str">
        <f>IF(AND('341-CT'!$H$9=H5365,OR(LEFT(N5365,3)=$W$7,LEFT(O5365,3)=$W$7)),"x","")</f>
        <v/>
      </c>
      <c r="X5365" s="79" t="str">
        <f>IF(OR(TH!N5365=TH!$X$7,O5365=TH!$X$7),"x","")</f>
        <v/>
      </c>
      <c r="Y5365" s="79" t="str">
        <f>IF(AND(OR(N5365="131",O5365="131"),H5365='131-CT'!$H$9),"x","")</f>
        <v/>
      </c>
      <c r="Z5365" s="79"/>
      <c r="AA5365" s="79" t="str">
        <f>IF(AND(MONTH(E5365)='IN-NX'!$J$5,'IN-NX'!$D$7=D5365),"x","")</f>
        <v/>
      </c>
      <c r="AB5365" s="79" t="str">
        <f>IF(AND(OR(LEFT(TH!N5365,2)="15",LEFT(TH!O5365,2)="15"),LEFT(TH!O5365,3)&lt;&gt;"111",'152-CT'!$J$8=TH!F5365),"x","")</f>
        <v/>
      </c>
      <c r="AC5365" s="79" t="str">
        <f>IF(AND(OR(LEFT(TH!N5365,2)="15",LEFT(TH!O5365,2)="15"),TK!$E$7=TH!F5365),"x","")</f>
        <v/>
      </c>
      <c r="AD5365" s="79" t="str">
        <f>IF(AND(N5365="1521",MONTH(C5365)='BK-NL'!$M$11),"x","")</f>
        <v/>
      </c>
    </row>
    <row r="5366" spans="1:30" ht="16.5" customHeight="1">
      <c r="A5366" s="318" t="str">
        <f>IF(B5366&lt;&gt;"",IF(AND(B5366='IN-TC'!$S$4,OR(TH!N5366="1111",TH!O5366="1111")),TH!D5366,""),"")</f>
        <v/>
      </c>
      <c r="B5366" s="60" t="str">
        <f t="shared" si="504"/>
        <v/>
      </c>
      <c r="C5366" s="61"/>
      <c r="D5366" s="61"/>
      <c r="E5366" s="61"/>
      <c r="F5366" s="69"/>
      <c r="G5366" s="766"/>
      <c r="H5366" s="69"/>
      <c r="I5366" s="385"/>
      <c r="J5366" s="392"/>
      <c r="K5366" s="385"/>
      <c r="L5366" s="392"/>
      <c r="M5366" s="62"/>
      <c r="N5366" s="63"/>
      <c r="O5366" s="63"/>
      <c r="P5366" s="79" t="str">
        <f>IF(AND('331-CT'!$E$7=TH!H5366,OR(N5366="331",O5366="331")),"x","")</f>
        <v/>
      </c>
      <c r="Q5366" s="79" t="str">
        <f>IF(AND(B5366='111'!$L$11,OR($N5366=$Q$7,$O5366=$Q$7)),"x","")</f>
        <v/>
      </c>
      <c r="R5366" s="79" t="str">
        <f>IF(AND($N5366=$Q$7,$B5366&lt;'111'!$L$11),"x","")</f>
        <v/>
      </c>
      <c r="S5366" s="79" t="str">
        <f>IF(AND($O5366=$Q$7,$B5366&lt;'111'!$L$11),"x","")</f>
        <v/>
      </c>
      <c r="T5366" s="79" t="str">
        <f>IF(ISERROR(FIND('112'!$M$9,G5366,1)),"",IF((AND(FIND('112'!$M$9,G5366,1)&gt;=1,B5366='112'!$K$9,OR($N5366='112'!$I$6,$O5366='112'!$I$6))),"x",""))</f>
        <v/>
      </c>
      <c r="U5366" s="79" t="str">
        <f>IF(ISERROR(FIND('112'!$M$9,G5366,1)),"",IF((AND(LEFT(G5366,2)=LEFT('112'!$M$9,2),B5366&lt;'112'!$K$9,$N5366='112'!$I$6)),"x",""))</f>
        <v/>
      </c>
      <c r="V5366" s="79" t="str">
        <f>IF(ISERROR(FIND('112'!$M$9,G5366,1)),"",IF((AND(RIGHT(G5366,2)=RIGHT('112'!$M$9,2),B5366&lt;'112'!$K$9,$O5366='112'!$I$6)),"x",""))</f>
        <v/>
      </c>
      <c r="W5366" s="79" t="str">
        <f>IF(AND('341-CT'!$H$9=H5366,OR(LEFT(N5366,3)=$W$7,LEFT(O5366,3)=$W$7)),"x","")</f>
        <v/>
      </c>
      <c r="X5366" s="79" t="str">
        <f>IF(OR(TH!N5366=TH!$X$7,O5366=TH!$X$7),"x","")</f>
        <v/>
      </c>
      <c r="Y5366" s="79" t="str">
        <f>IF(AND(OR(N5366="131",O5366="131"),H5366='131-CT'!$H$9),"x","")</f>
        <v/>
      </c>
      <c r="Z5366" s="79"/>
      <c r="AA5366" s="79" t="str">
        <f>IF(AND(MONTH(E5366)='IN-NX'!$J$5,'IN-NX'!$D$7=D5366),"x","")</f>
        <v/>
      </c>
      <c r="AB5366" s="79" t="str">
        <f>IF(AND(OR(LEFT(TH!N5366,2)="15",LEFT(TH!O5366,2)="15"),LEFT(TH!O5366,3)&lt;&gt;"111",'152-CT'!$J$8=TH!F5366),"x","")</f>
        <v/>
      </c>
      <c r="AC5366" s="79" t="str">
        <f>IF(AND(OR(LEFT(TH!N5366,2)="15",LEFT(TH!O5366,2)="15"),TK!$E$7=TH!F5366),"x","")</f>
        <v/>
      </c>
      <c r="AD5366" s="79" t="str">
        <f>IF(AND(N5366="1521",MONTH(C5366)='BK-NL'!$M$11),"x","")</f>
        <v/>
      </c>
    </row>
    <row r="5367" spans="1:30" ht="16.5" customHeight="1">
      <c r="A5367" s="318" t="str">
        <f>IF(B5367&lt;&gt;"",IF(AND(B5367='IN-TC'!$S$4,OR(TH!N5367="1111",TH!O5367="1111")),TH!D5367,""),"")</f>
        <v/>
      </c>
      <c r="B5367" s="60" t="str">
        <f t="shared" si="504"/>
        <v/>
      </c>
      <c r="C5367" s="61"/>
      <c r="D5367" s="61"/>
      <c r="E5367" s="61"/>
      <c r="F5367" s="69"/>
      <c r="G5367" s="766"/>
      <c r="H5367" s="69"/>
      <c r="I5367" s="385"/>
      <c r="J5367" s="392"/>
      <c r="K5367" s="385"/>
      <c r="L5367" s="392"/>
      <c r="M5367" s="62"/>
      <c r="N5367" s="63"/>
      <c r="O5367" s="63"/>
      <c r="P5367" s="79" t="str">
        <f>IF(AND('331-CT'!$E$7=TH!H5367,OR(N5367="331",O5367="331")),"x","")</f>
        <v/>
      </c>
      <c r="Q5367" s="79" t="str">
        <f>IF(AND(B5367='111'!$L$11,OR($N5367=$Q$7,$O5367=$Q$7)),"x","")</f>
        <v/>
      </c>
      <c r="R5367" s="79" t="str">
        <f>IF(AND($N5367=$Q$7,$B5367&lt;'111'!$L$11),"x","")</f>
        <v/>
      </c>
      <c r="S5367" s="79" t="str">
        <f>IF(AND($O5367=$Q$7,$B5367&lt;'111'!$L$11),"x","")</f>
        <v/>
      </c>
      <c r="T5367" s="79" t="str">
        <f>IF(ISERROR(FIND('112'!$M$9,G5367,1)),"",IF((AND(FIND('112'!$M$9,G5367,1)&gt;=1,B5367='112'!$K$9,OR($N5367='112'!$I$6,$O5367='112'!$I$6))),"x",""))</f>
        <v/>
      </c>
      <c r="U5367" s="79" t="str">
        <f>IF(ISERROR(FIND('112'!$M$9,G5367,1)),"",IF((AND(LEFT(G5367,2)=LEFT('112'!$M$9,2),B5367&lt;'112'!$K$9,$N5367='112'!$I$6)),"x",""))</f>
        <v/>
      </c>
      <c r="V5367" s="79" t="str">
        <f>IF(ISERROR(FIND('112'!$M$9,G5367,1)),"",IF((AND(RIGHT(G5367,2)=RIGHT('112'!$M$9,2),B5367&lt;'112'!$K$9,$O5367='112'!$I$6)),"x",""))</f>
        <v/>
      </c>
      <c r="W5367" s="79" t="str">
        <f>IF(AND('341-CT'!$H$9=H5367,OR(LEFT(N5367,3)=$W$7,LEFT(O5367,3)=$W$7)),"x","")</f>
        <v/>
      </c>
      <c r="X5367" s="79" t="str">
        <f>IF(OR(TH!N5367=TH!$X$7,O5367=TH!$X$7),"x","")</f>
        <v/>
      </c>
      <c r="Y5367" s="79" t="str">
        <f>IF(AND(OR(N5367="131",O5367="131"),H5367='131-CT'!$H$9),"x","")</f>
        <v/>
      </c>
      <c r="Z5367" s="79"/>
      <c r="AA5367" s="79" t="str">
        <f>IF(AND(MONTH(E5367)='IN-NX'!$J$5,'IN-NX'!$D$7=D5367),"x","")</f>
        <v/>
      </c>
      <c r="AB5367" s="79" t="str">
        <f>IF(AND(OR(LEFT(TH!N5367,2)="15",LEFT(TH!O5367,2)="15"),LEFT(TH!O5367,3)&lt;&gt;"111",'152-CT'!$J$8=TH!F5367),"x","")</f>
        <v/>
      </c>
      <c r="AC5367" s="79" t="str">
        <f>IF(AND(OR(LEFT(TH!N5367,2)="15",LEFT(TH!O5367,2)="15"),TK!$E$7=TH!F5367),"x","")</f>
        <v/>
      </c>
      <c r="AD5367" s="79" t="str">
        <f>IF(AND(N5367="1521",MONTH(C5367)='BK-NL'!$M$11),"x","")</f>
        <v/>
      </c>
    </row>
    <row r="5368" spans="1:30" ht="16.5" customHeight="1">
      <c r="A5368" s="318" t="str">
        <f>IF(B5368&lt;&gt;"",IF(AND(B5368='IN-TC'!$S$4,OR(TH!N5368="1111",TH!O5368="1111")),TH!D5368,""),"")</f>
        <v/>
      </c>
      <c r="B5368" s="60" t="str">
        <f t="shared" si="504"/>
        <v/>
      </c>
      <c r="C5368" s="61"/>
      <c r="D5368" s="61"/>
      <c r="E5368" s="61"/>
      <c r="F5368" s="69"/>
      <c r="G5368" s="766"/>
      <c r="H5368" s="69"/>
      <c r="I5368" s="385"/>
      <c r="J5368" s="392"/>
      <c r="K5368" s="385"/>
      <c r="L5368" s="392"/>
      <c r="M5368" s="62"/>
      <c r="N5368" s="63"/>
      <c r="O5368" s="63"/>
      <c r="P5368" s="79" t="str">
        <f>IF(AND('331-CT'!$E$7=TH!H5368,OR(N5368="331",O5368="331")),"x","")</f>
        <v/>
      </c>
      <c r="Q5368" s="79" t="str">
        <f>IF(AND(B5368='111'!$L$11,OR($N5368=$Q$7,$O5368=$Q$7)),"x","")</f>
        <v/>
      </c>
      <c r="R5368" s="79" t="str">
        <f>IF(AND($N5368=$Q$7,$B5368&lt;'111'!$L$11),"x","")</f>
        <v/>
      </c>
      <c r="S5368" s="79" t="str">
        <f>IF(AND($O5368=$Q$7,$B5368&lt;'111'!$L$11),"x","")</f>
        <v/>
      </c>
      <c r="T5368" s="79" t="str">
        <f>IF(ISERROR(FIND('112'!$M$9,G5368,1)),"",IF((AND(FIND('112'!$M$9,G5368,1)&gt;=1,B5368='112'!$K$9,OR($N5368='112'!$I$6,$O5368='112'!$I$6))),"x",""))</f>
        <v/>
      </c>
      <c r="U5368" s="79" t="str">
        <f>IF(ISERROR(FIND('112'!$M$9,G5368,1)),"",IF((AND(LEFT(G5368,2)=LEFT('112'!$M$9,2),B5368&lt;'112'!$K$9,$N5368='112'!$I$6)),"x",""))</f>
        <v/>
      </c>
      <c r="V5368" s="79" t="str">
        <f>IF(ISERROR(FIND('112'!$M$9,G5368,1)),"",IF((AND(RIGHT(G5368,2)=RIGHT('112'!$M$9,2),B5368&lt;'112'!$K$9,$O5368='112'!$I$6)),"x",""))</f>
        <v/>
      </c>
      <c r="W5368" s="79" t="str">
        <f>IF(AND('341-CT'!$H$9=H5368,OR(LEFT(N5368,3)=$W$7,LEFT(O5368,3)=$W$7)),"x","")</f>
        <v/>
      </c>
      <c r="X5368" s="79" t="str">
        <f>IF(OR(TH!N5368=TH!$X$7,O5368=TH!$X$7),"x","")</f>
        <v/>
      </c>
      <c r="Y5368" s="79" t="str">
        <f>IF(AND(OR(N5368="131",O5368="131"),H5368='131-CT'!$H$9),"x","")</f>
        <v/>
      </c>
      <c r="Z5368" s="79"/>
      <c r="AA5368" s="79" t="str">
        <f>IF(AND(MONTH(E5368)='IN-NX'!$J$5,'IN-NX'!$D$7=D5368),"x","")</f>
        <v/>
      </c>
      <c r="AB5368" s="79" t="str">
        <f>IF(AND(OR(LEFT(TH!N5368,2)="15",LEFT(TH!O5368,2)="15"),LEFT(TH!O5368,3)&lt;&gt;"111",'152-CT'!$J$8=TH!F5368),"x","")</f>
        <v/>
      </c>
      <c r="AC5368" s="79" t="str">
        <f>IF(AND(OR(LEFT(TH!N5368,2)="15",LEFT(TH!O5368,2)="15"),TK!$E$7=TH!F5368),"x","")</f>
        <v/>
      </c>
      <c r="AD5368" s="79" t="str">
        <f>IF(AND(N5368="1521",MONTH(C5368)='BK-NL'!$M$11),"x","")</f>
        <v/>
      </c>
    </row>
    <row r="5369" spans="1:30" ht="16.5" customHeight="1">
      <c r="A5369" s="318" t="str">
        <f>IF(B5369&lt;&gt;"",IF(AND(B5369='IN-TC'!$S$4,OR(TH!N5369="1111",TH!O5369="1111")),TH!D5369,""),"")</f>
        <v/>
      </c>
      <c r="B5369" s="60" t="str">
        <f t="shared" si="504"/>
        <v/>
      </c>
      <c r="C5369" s="61"/>
      <c r="D5369" s="61"/>
      <c r="E5369" s="61"/>
      <c r="F5369" s="69"/>
      <c r="G5369" s="766"/>
      <c r="H5369" s="69"/>
      <c r="I5369" s="385"/>
      <c r="J5369" s="392"/>
      <c r="K5369" s="385"/>
      <c r="L5369" s="392"/>
      <c r="M5369" s="62"/>
      <c r="N5369" s="63"/>
      <c r="O5369" s="63"/>
      <c r="P5369" s="79" t="str">
        <f>IF(AND('331-CT'!$E$7=TH!H5369,OR(N5369="331",O5369="331")),"x","")</f>
        <v/>
      </c>
      <c r="Q5369" s="79" t="str">
        <f>IF(AND(B5369='111'!$L$11,OR($N5369=$Q$7,$O5369=$Q$7)),"x","")</f>
        <v/>
      </c>
      <c r="R5369" s="79" t="str">
        <f>IF(AND($N5369=$Q$7,$B5369&lt;'111'!$L$11),"x","")</f>
        <v/>
      </c>
      <c r="S5369" s="79" t="str">
        <f>IF(AND($O5369=$Q$7,$B5369&lt;'111'!$L$11),"x","")</f>
        <v/>
      </c>
      <c r="T5369" s="79" t="str">
        <f>IF(ISERROR(FIND('112'!$M$9,G5369,1)),"",IF((AND(FIND('112'!$M$9,G5369,1)&gt;=1,B5369='112'!$K$9,OR($N5369='112'!$I$6,$O5369='112'!$I$6))),"x",""))</f>
        <v/>
      </c>
      <c r="U5369" s="79" t="str">
        <f>IF(ISERROR(FIND('112'!$M$9,G5369,1)),"",IF((AND(LEFT(G5369,2)=LEFT('112'!$M$9,2),B5369&lt;'112'!$K$9,$N5369='112'!$I$6)),"x",""))</f>
        <v/>
      </c>
      <c r="V5369" s="79" t="str">
        <f>IF(ISERROR(FIND('112'!$M$9,G5369,1)),"",IF((AND(RIGHT(G5369,2)=RIGHT('112'!$M$9,2),B5369&lt;'112'!$K$9,$O5369='112'!$I$6)),"x",""))</f>
        <v/>
      </c>
      <c r="W5369" s="79" t="str">
        <f>IF(AND('341-CT'!$H$9=H5369,OR(LEFT(N5369,3)=$W$7,LEFT(O5369,3)=$W$7)),"x","")</f>
        <v/>
      </c>
      <c r="X5369" s="79" t="str">
        <f>IF(OR(TH!N5369=TH!$X$7,O5369=TH!$X$7),"x","")</f>
        <v/>
      </c>
      <c r="Y5369" s="79" t="str">
        <f>IF(AND(OR(N5369="131",O5369="131"),H5369='131-CT'!$H$9),"x","")</f>
        <v/>
      </c>
      <c r="Z5369" s="79"/>
      <c r="AA5369" s="79" t="str">
        <f>IF(AND(MONTH(E5369)='IN-NX'!$J$5,'IN-NX'!$D$7=D5369),"x","")</f>
        <v/>
      </c>
      <c r="AB5369" s="79" t="str">
        <f>IF(AND(OR(LEFT(TH!N5369,2)="15",LEFT(TH!O5369,2)="15"),LEFT(TH!O5369,3)&lt;&gt;"111",'152-CT'!$J$8=TH!F5369),"x","")</f>
        <v/>
      </c>
      <c r="AC5369" s="79" t="str">
        <f>IF(AND(OR(LEFT(TH!N5369,2)="15",LEFT(TH!O5369,2)="15"),TK!$E$7=TH!F5369),"x","")</f>
        <v/>
      </c>
      <c r="AD5369" s="79" t="str">
        <f>IF(AND(N5369="1521",MONTH(C5369)='BK-NL'!$M$11),"x","")</f>
        <v/>
      </c>
    </row>
    <row r="5370" spans="1:30" ht="16.5" customHeight="1">
      <c r="A5370" s="318" t="str">
        <f>IF(B5370&lt;&gt;"",IF(AND(B5370='IN-TC'!$S$4,OR(TH!N5370="1111",TH!O5370="1111")),TH!D5370,""),"")</f>
        <v/>
      </c>
      <c r="B5370" s="60" t="str">
        <f t="shared" si="504"/>
        <v/>
      </c>
      <c r="C5370" s="61"/>
      <c r="D5370" s="61"/>
      <c r="E5370" s="61"/>
      <c r="F5370" s="69"/>
      <c r="G5370" s="766"/>
      <c r="H5370" s="69"/>
      <c r="I5370" s="385"/>
      <c r="J5370" s="392"/>
      <c r="K5370" s="385"/>
      <c r="L5370" s="392"/>
      <c r="M5370" s="62"/>
      <c r="N5370" s="63"/>
      <c r="O5370" s="63"/>
      <c r="P5370" s="79" t="str">
        <f>IF(AND('331-CT'!$E$7=TH!H5370,OR(N5370="331",O5370="331")),"x","")</f>
        <v/>
      </c>
      <c r="Q5370" s="79" t="str">
        <f>IF(AND(B5370='111'!$L$11,OR($N5370=$Q$7,$O5370=$Q$7)),"x","")</f>
        <v/>
      </c>
      <c r="R5370" s="79" t="str">
        <f>IF(AND($N5370=$Q$7,$B5370&lt;'111'!$L$11),"x","")</f>
        <v/>
      </c>
      <c r="S5370" s="79" t="str">
        <f>IF(AND($O5370=$Q$7,$B5370&lt;'111'!$L$11),"x","")</f>
        <v/>
      </c>
      <c r="T5370" s="79" t="str">
        <f>IF(ISERROR(FIND('112'!$M$9,G5370,1)),"",IF((AND(FIND('112'!$M$9,G5370,1)&gt;=1,B5370='112'!$K$9,OR($N5370='112'!$I$6,$O5370='112'!$I$6))),"x",""))</f>
        <v/>
      </c>
      <c r="U5370" s="79" t="str">
        <f>IF(ISERROR(FIND('112'!$M$9,G5370,1)),"",IF((AND(LEFT(G5370,2)=LEFT('112'!$M$9,2),B5370&lt;'112'!$K$9,$N5370='112'!$I$6)),"x",""))</f>
        <v/>
      </c>
      <c r="V5370" s="79" t="str">
        <f>IF(ISERROR(FIND('112'!$M$9,G5370,1)),"",IF((AND(RIGHT(G5370,2)=RIGHT('112'!$M$9,2),B5370&lt;'112'!$K$9,$O5370='112'!$I$6)),"x",""))</f>
        <v/>
      </c>
      <c r="W5370" s="79" t="str">
        <f>IF(AND('341-CT'!$H$9=H5370,OR(LEFT(N5370,3)=$W$7,LEFT(O5370,3)=$W$7)),"x","")</f>
        <v/>
      </c>
      <c r="X5370" s="79" t="str">
        <f>IF(OR(TH!N5370=TH!$X$7,O5370=TH!$X$7),"x","")</f>
        <v/>
      </c>
      <c r="Y5370" s="79" t="str">
        <f>IF(AND(OR(N5370="131",O5370="131"),H5370='131-CT'!$H$9),"x","")</f>
        <v/>
      </c>
      <c r="Z5370" s="79"/>
      <c r="AA5370" s="79" t="str">
        <f>IF(AND(MONTH(E5370)='IN-NX'!$J$5,'IN-NX'!$D$7=D5370),"x","")</f>
        <v/>
      </c>
      <c r="AB5370" s="79" t="str">
        <f>IF(AND(OR(LEFT(TH!N5370,2)="15",LEFT(TH!O5370,2)="15"),LEFT(TH!O5370,3)&lt;&gt;"111",'152-CT'!$J$8=TH!F5370),"x","")</f>
        <v/>
      </c>
      <c r="AC5370" s="79" t="str">
        <f>IF(AND(OR(LEFT(TH!N5370,2)="15",LEFT(TH!O5370,2)="15"),TK!$E$7=TH!F5370),"x","")</f>
        <v/>
      </c>
      <c r="AD5370" s="79" t="str">
        <f>IF(AND(N5370="1521",MONTH(C5370)='BK-NL'!$M$11),"x","")</f>
        <v/>
      </c>
    </row>
    <row r="5371" spans="1:30" ht="16.5" customHeight="1">
      <c r="A5371" s="318" t="str">
        <f>IF(B5371&lt;&gt;"",IF(AND(B5371='IN-TC'!$S$4,OR(TH!N5371="1111",TH!O5371="1111")),TH!D5371,""),"")</f>
        <v/>
      </c>
      <c r="B5371" s="60" t="str">
        <f t="shared" si="504"/>
        <v/>
      </c>
      <c r="C5371" s="61"/>
      <c r="D5371" s="61"/>
      <c r="E5371" s="61"/>
      <c r="F5371" s="69"/>
      <c r="G5371" s="766"/>
      <c r="H5371" s="69"/>
      <c r="I5371" s="385"/>
      <c r="J5371" s="392"/>
      <c r="K5371" s="385"/>
      <c r="L5371" s="392"/>
      <c r="M5371" s="62"/>
      <c r="N5371" s="63"/>
      <c r="O5371" s="63"/>
      <c r="P5371" s="79" t="str">
        <f>IF(AND('331-CT'!$E$7=TH!H5371,OR(N5371="331",O5371="331")),"x","")</f>
        <v/>
      </c>
      <c r="Q5371" s="79" t="str">
        <f>IF(AND(B5371='111'!$L$11,OR($N5371=$Q$7,$O5371=$Q$7)),"x","")</f>
        <v/>
      </c>
      <c r="R5371" s="79" t="str">
        <f>IF(AND($N5371=$Q$7,$B5371&lt;'111'!$L$11),"x","")</f>
        <v/>
      </c>
      <c r="S5371" s="79" t="str">
        <f>IF(AND($O5371=$Q$7,$B5371&lt;'111'!$L$11),"x","")</f>
        <v/>
      </c>
      <c r="T5371" s="79" t="str">
        <f>IF(ISERROR(FIND('112'!$M$9,G5371,1)),"",IF((AND(FIND('112'!$M$9,G5371,1)&gt;=1,B5371='112'!$K$9,OR($N5371='112'!$I$6,$O5371='112'!$I$6))),"x",""))</f>
        <v/>
      </c>
      <c r="U5371" s="79" t="str">
        <f>IF(ISERROR(FIND('112'!$M$9,G5371,1)),"",IF((AND(LEFT(G5371,2)=LEFT('112'!$M$9,2),B5371&lt;'112'!$K$9,$N5371='112'!$I$6)),"x",""))</f>
        <v/>
      </c>
      <c r="V5371" s="79" t="str">
        <f>IF(ISERROR(FIND('112'!$M$9,G5371,1)),"",IF((AND(RIGHT(G5371,2)=RIGHT('112'!$M$9,2),B5371&lt;'112'!$K$9,$O5371='112'!$I$6)),"x",""))</f>
        <v/>
      </c>
      <c r="W5371" s="79" t="str">
        <f>IF(AND('341-CT'!$H$9=H5371,OR(LEFT(N5371,3)=$W$7,LEFT(O5371,3)=$W$7)),"x","")</f>
        <v/>
      </c>
      <c r="X5371" s="79" t="str">
        <f>IF(OR(TH!N5371=TH!$X$7,O5371=TH!$X$7),"x","")</f>
        <v/>
      </c>
      <c r="Y5371" s="79" t="str">
        <f>IF(AND(OR(N5371="131",O5371="131"),H5371='131-CT'!$H$9),"x","")</f>
        <v/>
      </c>
      <c r="Z5371" s="79"/>
      <c r="AA5371" s="79" t="str">
        <f>IF(AND(MONTH(E5371)='IN-NX'!$J$5,'IN-NX'!$D$7=D5371),"x","")</f>
        <v/>
      </c>
      <c r="AB5371" s="79" t="str">
        <f>IF(AND(OR(LEFT(TH!N5371,2)="15",LEFT(TH!O5371,2)="15"),LEFT(TH!O5371,3)&lt;&gt;"111",'152-CT'!$J$8=TH!F5371),"x","")</f>
        <v/>
      </c>
      <c r="AC5371" s="79" t="str">
        <f>IF(AND(OR(LEFT(TH!N5371,2)="15",LEFT(TH!O5371,2)="15"),TK!$E$7=TH!F5371),"x","")</f>
        <v/>
      </c>
      <c r="AD5371" s="79" t="str">
        <f>IF(AND(N5371="1521",MONTH(C5371)='BK-NL'!$M$11),"x","")</f>
        <v/>
      </c>
    </row>
    <row r="5372" spans="1:30" ht="16.5" customHeight="1">
      <c r="A5372" s="318" t="str">
        <f>IF(B5372&lt;&gt;"",IF(AND(B5372='IN-TC'!$S$4,OR(TH!N5372="1111",TH!O5372="1111")),TH!D5372,""),"")</f>
        <v/>
      </c>
      <c r="B5372" s="60" t="str">
        <f t="shared" si="504"/>
        <v/>
      </c>
      <c r="C5372" s="61"/>
      <c r="D5372" s="61"/>
      <c r="E5372" s="61"/>
      <c r="F5372" s="69"/>
      <c r="G5372" s="766"/>
      <c r="H5372" s="69"/>
      <c r="I5372" s="385"/>
      <c r="J5372" s="392"/>
      <c r="K5372" s="385"/>
      <c r="L5372" s="392"/>
      <c r="M5372" s="62"/>
      <c r="N5372" s="63"/>
      <c r="O5372" s="63"/>
      <c r="P5372" s="79" t="str">
        <f>IF(AND('331-CT'!$E$7=TH!H5372,OR(N5372="331",O5372="331")),"x","")</f>
        <v/>
      </c>
      <c r="Q5372" s="79" t="str">
        <f>IF(AND(B5372='111'!$L$11,OR($N5372=$Q$7,$O5372=$Q$7)),"x","")</f>
        <v/>
      </c>
      <c r="R5372" s="79" t="str">
        <f>IF(AND($N5372=$Q$7,$B5372&lt;'111'!$L$11),"x","")</f>
        <v/>
      </c>
      <c r="S5372" s="79" t="str">
        <f>IF(AND($O5372=$Q$7,$B5372&lt;'111'!$L$11),"x","")</f>
        <v/>
      </c>
      <c r="T5372" s="79" t="str">
        <f>IF(ISERROR(FIND('112'!$M$9,G5372,1)),"",IF((AND(FIND('112'!$M$9,G5372,1)&gt;=1,B5372='112'!$K$9,OR($N5372='112'!$I$6,$O5372='112'!$I$6))),"x",""))</f>
        <v/>
      </c>
      <c r="U5372" s="79" t="str">
        <f>IF(ISERROR(FIND('112'!$M$9,G5372,1)),"",IF((AND(LEFT(G5372,2)=LEFT('112'!$M$9,2),B5372&lt;'112'!$K$9,$N5372='112'!$I$6)),"x",""))</f>
        <v/>
      </c>
      <c r="V5372" s="79" t="str">
        <f>IF(ISERROR(FIND('112'!$M$9,G5372,1)),"",IF((AND(RIGHT(G5372,2)=RIGHT('112'!$M$9,2),B5372&lt;'112'!$K$9,$O5372='112'!$I$6)),"x",""))</f>
        <v/>
      </c>
      <c r="W5372" s="79" t="str">
        <f>IF(AND('341-CT'!$H$9=H5372,OR(LEFT(N5372,3)=$W$7,LEFT(O5372,3)=$W$7)),"x","")</f>
        <v/>
      </c>
      <c r="X5372" s="79" t="str">
        <f>IF(OR(TH!N5372=TH!$X$7,O5372=TH!$X$7),"x","")</f>
        <v/>
      </c>
      <c r="Y5372" s="79" t="str">
        <f>IF(AND(OR(N5372="131",O5372="131"),H5372='131-CT'!$H$9),"x","")</f>
        <v/>
      </c>
      <c r="Z5372" s="79"/>
      <c r="AA5372" s="79" t="str">
        <f>IF(AND(MONTH(E5372)='IN-NX'!$J$5,'IN-NX'!$D$7=D5372),"x","")</f>
        <v/>
      </c>
      <c r="AB5372" s="79" t="str">
        <f>IF(AND(OR(LEFT(TH!N5372,2)="15",LEFT(TH!O5372,2)="15"),LEFT(TH!O5372,3)&lt;&gt;"111",'152-CT'!$J$8=TH!F5372),"x","")</f>
        <v/>
      </c>
      <c r="AC5372" s="79" t="str">
        <f>IF(AND(OR(LEFT(TH!N5372,2)="15",LEFT(TH!O5372,2)="15"),TK!$E$7=TH!F5372),"x","")</f>
        <v/>
      </c>
      <c r="AD5372" s="79" t="str">
        <f>IF(AND(N5372="1521",MONTH(C5372)='BK-NL'!$M$11),"x","")</f>
        <v/>
      </c>
    </row>
    <row r="5373" spans="1:30" ht="16.5" customHeight="1">
      <c r="A5373" s="318" t="str">
        <f>IF(B5373&lt;&gt;"",IF(AND(B5373='IN-TC'!$S$4,OR(TH!N5373="1111",TH!O5373="1111")),TH!D5373,""),"")</f>
        <v/>
      </c>
      <c r="B5373" s="60" t="str">
        <f t="shared" si="504"/>
        <v/>
      </c>
      <c r="C5373" s="61"/>
      <c r="D5373" s="61"/>
      <c r="E5373" s="61"/>
      <c r="F5373" s="69"/>
      <c r="G5373" s="766"/>
      <c r="H5373" s="69"/>
      <c r="I5373" s="385"/>
      <c r="J5373" s="392"/>
      <c r="K5373" s="385"/>
      <c r="L5373" s="392"/>
      <c r="M5373" s="62"/>
      <c r="N5373" s="63"/>
      <c r="O5373" s="63"/>
      <c r="P5373" s="79" t="str">
        <f>IF(AND('331-CT'!$E$7=TH!H5373,OR(N5373="331",O5373="331")),"x","")</f>
        <v/>
      </c>
      <c r="Q5373" s="79" t="str">
        <f>IF(AND(B5373='111'!$L$11,OR($N5373=$Q$7,$O5373=$Q$7)),"x","")</f>
        <v/>
      </c>
      <c r="R5373" s="79" t="str">
        <f>IF(AND($N5373=$Q$7,$B5373&lt;'111'!$L$11),"x","")</f>
        <v/>
      </c>
      <c r="S5373" s="79" t="str">
        <f>IF(AND($O5373=$Q$7,$B5373&lt;'111'!$L$11),"x","")</f>
        <v/>
      </c>
      <c r="T5373" s="79" t="str">
        <f>IF(ISERROR(FIND('112'!$M$9,G5373,1)),"",IF((AND(FIND('112'!$M$9,G5373,1)&gt;=1,B5373='112'!$K$9,OR($N5373='112'!$I$6,$O5373='112'!$I$6))),"x",""))</f>
        <v/>
      </c>
      <c r="U5373" s="79" t="str">
        <f>IF(ISERROR(FIND('112'!$M$9,G5373,1)),"",IF((AND(LEFT(G5373,2)=LEFT('112'!$M$9,2),B5373&lt;'112'!$K$9,$N5373='112'!$I$6)),"x",""))</f>
        <v/>
      </c>
      <c r="V5373" s="79" t="str">
        <f>IF(ISERROR(FIND('112'!$M$9,G5373,1)),"",IF((AND(RIGHT(G5373,2)=RIGHT('112'!$M$9,2),B5373&lt;'112'!$K$9,$O5373='112'!$I$6)),"x",""))</f>
        <v/>
      </c>
      <c r="W5373" s="79" t="str">
        <f>IF(AND('341-CT'!$H$9=H5373,OR(LEFT(N5373,3)=$W$7,LEFT(O5373,3)=$W$7)),"x","")</f>
        <v/>
      </c>
      <c r="X5373" s="79" t="str">
        <f>IF(OR(TH!N5373=TH!$X$7,O5373=TH!$X$7),"x","")</f>
        <v/>
      </c>
      <c r="Y5373" s="79" t="str">
        <f>IF(AND(OR(N5373="131",O5373="131"),H5373='131-CT'!$H$9),"x","")</f>
        <v/>
      </c>
      <c r="Z5373" s="79"/>
      <c r="AA5373" s="79" t="str">
        <f>IF(AND(MONTH(E5373)='IN-NX'!$J$5,'IN-NX'!$D$7=D5373),"x","")</f>
        <v/>
      </c>
      <c r="AB5373" s="79" t="str">
        <f>IF(AND(OR(LEFT(TH!N5373,2)="15",LEFT(TH!O5373,2)="15"),LEFT(TH!O5373,3)&lt;&gt;"111",'152-CT'!$J$8=TH!F5373),"x","")</f>
        <v/>
      </c>
      <c r="AC5373" s="79" t="str">
        <f>IF(AND(OR(LEFT(TH!N5373,2)="15",LEFT(TH!O5373,2)="15"),TK!$E$7=TH!F5373),"x","")</f>
        <v/>
      </c>
      <c r="AD5373" s="79" t="str">
        <f>IF(AND(N5373="1521",MONTH(C5373)='BK-NL'!$M$11),"x","")</f>
        <v/>
      </c>
    </row>
    <row r="5374" spans="1:30" ht="16.5" customHeight="1">
      <c r="A5374" s="318" t="str">
        <f>IF(B5374&lt;&gt;"",IF(AND(B5374='IN-TC'!$S$4,OR(TH!N5374="1111",TH!O5374="1111")),TH!D5374,""),"")</f>
        <v/>
      </c>
      <c r="B5374" s="60" t="str">
        <f t="shared" si="504"/>
        <v/>
      </c>
      <c r="C5374" s="61"/>
      <c r="D5374" s="61"/>
      <c r="E5374" s="61"/>
      <c r="F5374" s="69"/>
      <c r="G5374" s="766"/>
      <c r="H5374" s="69"/>
      <c r="I5374" s="385"/>
      <c r="J5374" s="392"/>
      <c r="K5374" s="385"/>
      <c r="L5374" s="392"/>
      <c r="M5374" s="62"/>
      <c r="N5374" s="63"/>
      <c r="O5374" s="63"/>
      <c r="P5374" s="79" t="str">
        <f>IF(AND('331-CT'!$E$7=TH!H5374,OR(N5374="331",O5374="331")),"x","")</f>
        <v/>
      </c>
      <c r="Q5374" s="79" t="str">
        <f>IF(AND(B5374='111'!$L$11,OR($N5374=$Q$7,$O5374=$Q$7)),"x","")</f>
        <v/>
      </c>
      <c r="R5374" s="79" t="str">
        <f>IF(AND($N5374=$Q$7,$B5374&lt;'111'!$L$11),"x","")</f>
        <v/>
      </c>
      <c r="S5374" s="79" t="str">
        <f>IF(AND($O5374=$Q$7,$B5374&lt;'111'!$L$11),"x","")</f>
        <v/>
      </c>
      <c r="T5374" s="79" t="str">
        <f>IF(ISERROR(FIND('112'!$M$9,G5374,1)),"",IF((AND(FIND('112'!$M$9,G5374,1)&gt;=1,B5374='112'!$K$9,OR($N5374='112'!$I$6,$O5374='112'!$I$6))),"x",""))</f>
        <v/>
      </c>
      <c r="U5374" s="79" t="str">
        <f>IF(ISERROR(FIND('112'!$M$9,G5374,1)),"",IF((AND(LEFT(G5374,2)=LEFT('112'!$M$9,2),B5374&lt;'112'!$K$9,$N5374='112'!$I$6)),"x",""))</f>
        <v/>
      </c>
      <c r="V5374" s="79" t="str">
        <f>IF(ISERROR(FIND('112'!$M$9,G5374,1)),"",IF((AND(RIGHT(G5374,2)=RIGHT('112'!$M$9,2),B5374&lt;'112'!$K$9,$O5374='112'!$I$6)),"x",""))</f>
        <v/>
      </c>
      <c r="W5374" s="79" t="str">
        <f>IF(AND('341-CT'!$H$9=H5374,OR(LEFT(N5374,3)=$W$7,LEFT(O5374,3)=$W$7)),"x","")</f>
        <v/>
      </c>
      <c r="X5374" s="79" t="str">
        <f>IF(OR(TH!N5374=TH!$X$7,O5374=TH!$X$7),"x","")</f>
        <v/>
      </c>
      <c r="Y5374" s="79" t="str">
        <f>IF(AND(OR(N5374="131",O5374="131"),H5374='131-CT'!$H$9),"x","")</f>
        <v/>
      </c>
      <c r="Z5374" s="79"/>
      <c r="AA5374" s="79" t="str">
        <f>IF(AND(MONTH(E5374)='IN-NX'!$J$5,'IN-NX'!$D$7=D5374),"x","")</f>
        <v/>
      </c>
      <c r="AB5374" s="79" t="str">
        <f>IF(AND(OR(LEFT(TH!N5374,2)="15",LEFT(TH!O5374,2)="15"),LEFT(TH!O5374,3)&lt;&gt;"111",'152-CT'!$J$8=TH!F5374),"x","")</f>
        <v/>
      </c>
      <c r="AC5374" s="79" t="str">
        <f>IF(AND(OR(LEFT(TH!N5374,2)="15",LEFT(TH!O5374,2)="15"),TK!$E$7=TH!F5374),"x","")</f>
        <v/>
      </c>
      <c r="AD5374" s="79" t="str">
        <f>IF(AND(N5374="1521",MONTH(C5374)='BK-NL'!$M$11),"x","")</f>
        <v/>
      </c>
    </row>
    <row r="5375" spans="1:30" ht="16.5" customHeight="1">
      <c r="A5375" s="318" t="str">
        <f>IF(B5375&lt;&gt;"",IF(AND(B5375='IN-TC'!$S$4,OR(TH!N5375="1111",TH!O5375="1111")),TH!D5375,""),"")</f>
        <v/>
      </c>
      <c r="B5375" s="60" t="str">
        <f t="shared" si="504"/>
        <v/>
      </c>
      <c r="C5375" s="61"/>
      <c r="D5375" s="61"/>
      <c r="E5375" s="61"/>
      <c r="F5375" s="69"/>
      <c r="G5375" s="766"/>
      <c r="H5375" s="69"/>
      <c r="I5375" s="385"/>
      <c r="J5375" s="392"/>
      <c r="K5375" s="385"/>
      <c r="L5375" s="392"/>
      <c r="M5375" s="62"/>
      <c r="N5375" s="63"/>
      <c r="O5375" s="63"/>
      <c r="P5375" s="79" t="str">
        <f>IF(AND('331-CT'!$E$7=TH!H5375,OR(N5375="331",O5375="331")),"x","")</f>
        <v/>
      </c>
      <c r="Q5375" s="79" t="str">
        <f>IF(AND(B5375='111'!$L$11,OR($N5375=$Q$7,$O5375=$Q$7)),"x","")</f>
        <v/>
      </c>
      <c r="R5375" s="79" t="str">
        <f>IF(AND($N5375=$Q$7,$B5375&lt;'111'!$L$11),"x","")</f>
        <v/>
      </c>
      <c r="S5375" s="79" t="str">
        <f>IF(AND($O5375=$Q$7,$B5375&lt;'111'!$L$11),"x","")</f>
        <v/>
      </c>
      <c r="T5375" s="79" t="str">
        <f>IF(ISERROR(FIND('112'!$M$9,G5375,1)),"",IF((AND(FIND('112'!$M$9,G5375,1)&gt;=1,B5375='112'!$K$9,OR($N5375='112'!$I$6,$O5375='112'!$I$6))),"x",""))</f>
        <v/>
      </c>
      <c r="U5375" s="79" t="str">
        <f>IF(ISERROR(FIND('112'!$M$9,G5375,1)),"",IF((AND(LEFT(G5375,2)=LEFT('112'!$M$9,2),B5375&lt;'112'!$K$9,$N5375='112'!$I$6)),"x",""))</f>
        <v/>
      </c>
      <c r="V5375" s="79" t="str">
        <f>IF(ISERROR(FIND('112'!$M$9,G5375,1)),"",IF((AND(RIGHT(G5375,2)=RIGHT('112'!$M$9,2),B5375&lt;'112'!$K$9,$O5375='112'!$I$6)),"x",""))</f>
        <v/>
      </c>
      <c r="W5375" s="79" t="str">
        <f>IF(AND('341-CT'!$H$9=H5375,OR(LEFT(N5375,3)=$W$7,LEFT(O5375,3)=$W$7)),"x","")</f>
        <v/>
      </c>
      <c r="X5375" s="79" t="str">
        <f>IF(OR(TH!N5375=TH!$X$7,O5375=TH!$X$7),"x","")</f>
        <v/>
      </c>
      <c r="Y5375" s="79" t="str">
        <f>IF(AND(OR(N5375="131",O5375="131"),H5375='131-CT'!$H$9),"x","")</f>
        <v/>
      </c>
      <c r="Z5375" s="79"/>
      <c r="AA5375" s="79" t="str">
        <f>IF(AND(MONTH(E5375)='IN-NX'!$J$5,'IN-NX'!$D$7=D5375),"x","")</f>
        <v/>
      </c>
      <c r="AB5375" s="79" t="str">
        <f>IF(AND(OR(LEFT(TH!N5375,2)="15",LEFT(TH!O5375,2)="15"),LEFT(TH!O5375,3)&lt;&gt;"111",'152-CT'!$J$8=TH!F5375),"x","")</f>
        <v/>
      </c>
      <c r="AC5375" s="79" t="str">
        <f>IF(AND(OR(LEFT(TH!N5375,2)="15",LEFT(TH!O5375,2)="15"),TK!$E$7=TH!F5375),"x","")</f>
        <v/>
      </c>
      <c r="AD5375" s="79" t="str">
        <f>IF(AND(N5375="1521",MONTH(C5375)='BK-NL'!$M$11),"x","")</f>
        <v/>
      </c>
    </row>
    <row r="5376" spans="1:30" ht="16.5" customHeight="1">
      <c r="A5376" s="318" t="str">
        <f>IF(B5376&lt;&gt;"",IF(AND(B5376='IN-TC'!$S$4,OR(TH!N5376="1111",TH!O5376="1111")),TH!D5376,""),"")</f>
        <v/>
      </c>
      <c r="B5376" s="60" t="str">
        <f t="shared" si="504"/>
        <v/>
      </c>
      <c r="C5376" s="61"/>
      <c r="D5376" s="61"/>
      <c r="E5376" s="61"/>
      <c r="F5376" s="69"/>
      <c r="G5376" s="766"/>
      <c r="H5376" s="69"/>
      <c r="I5376" s="385"/>
      <c r="J5376" s="392"/>
      <c r="K5376" s="385"/>
      <c r="L5376" s="392"/>
      <c r="M5376" s="62"/>
      <c r="N5376" s="63"/>
      <c r="O5376" s="63"/>
      <c r="P5376" s="79" t="str">
        <f>IF(AND('331-CT'!$E$7=TH!H5376,OR(N5376="331",O5376="331")),"x","")</f>
        <v/>
      </c>
      <c r="Q5376" s="79" t="str">
        <f>IF(AND(B5376='111'!$L$11,OR($N5376=$Q$7,$O5376=$Q$7)),"x","")</f>
        <v/>
      </c>
      <c r="R5376" s="79" t="str">
        <f>IF(AND($N5376=$Q$7,$B5376&lt;'111'!$L$11),"x","")</f>
        <v/>
      </c>
      <c r="S5376" s="79" t="str">
        <f>IF(AND($O5376=$Q$7,$B5376&lt;'111'!$L$11),"x","")</f>
        <v/>
      </c>
      <c r="T5376" s="79" t="str">
        <f>IF(ISERROR(FIND('112'!$M$9,G5376,1)),"",IF((AND(FIND('112'!$M$9,G5376,1)&gt;=1,B5376='112'!$K$9,OR($N5376='112'!$I$6,$O5376='112'!$I$6))),"x",""))</f>
        <v/>
      </c>
      <c r="U5376" s="79" t="str">
        <f>IF(ISERROR(FIND('112'!$M$9,G5376,1)),"",IF((AND(LEFT(G5376,2)=LEFT('112'!$M$9,2),B5376&lt;'112'!$K$9,$N5376='112'!$I$6)),"x",""))</f>
        <v/>
      </c>
      <c r="V5376" s="79" t="str">
        <f>IF(ISERROR(FIND('112'!$M$9,G5376,1)),"",IF((AND(RIGHT(G5376,2)=RIGHT('112'!$M$9,2),B5376&lt;'112'!$K$9,$O5376='112'!$I$6)),"x",""))</f>
        <v/>
      </c>
      <c r="W5376" s="79" t="str">
        <f>IF(AND('341-CT'!$H$9=H5376,OR(LEFT(N5376,3)=$W$7,LEFT(O5376,3)=$W$7)),"x","")</f>
        <v/>
      </c>
      <c r="X5376" s="79" t="str">
        <f>IF(OR(TH!N5376=TH!$X$7,O5376=TH!$X$7),"x","")</f>
        <v/>
      </c>
      <c r="Y5376" s="79" t="str">
        <f>IF(AND(OR(N5376="131",O5376="131"),H5376='131-CT'!$H$9),"x","")</f>
        <v/>
      </c>
      <c r="Z5376" s="79"/>
      <c r="AA5376" s="79" t="str">
        <f>IF(AND(MONTH(E5376)='IN-NX'!$J$5,'IN-NX'!$D$7=D5376),"x","")</f>
        <v/>
      </c>
      <c r="AB5376" s="79" t="str">
        <f>IF(AND(OR(LEFT(TH!N5376,2)="15",LEFT(TH!O5376,2)="15"),LEFT(TH!O5376,3)&lt;&gt;"111",'152-CT'!$J$8=TH!F5376),"x","")</f>
        <v/>
      </c>
      <c r="AC5376" s="79" t="str">
        <f>IF(AND(OR(LEFT(TH!N5376,2)="15",LEFT(TH!O5376,2)="15"),TK!$E$7=TH!F5376),"x","")</f>
        <v/>
      </c>
      <c r="AD5376" s="79" t="str">
        <f>IF(AND(N5376="1521",MONTH(C5376)='BK-NL'!$M$11),"x","")</f>
        <v/>
      </c>
    </row>
    <row r="5377" spans="1:30" ht="16.5" customHeight="1">
      <c r="A5377" s="318" t="str">
        <f>IF(B5377&lt;&gt;"",IF(AND(B5377='IN-TC'!$S$4,OR(TH!N5377="1111",TH!O5377="1111")),TH!D5377,""),"")</f>
        <v/>
      </c>
      <c r="B5377" s="60" t="str">
        <f t="shared" si="504"/>
        <v/>
      </c>
      <c r="C5377" s="61"/>
      <c r="D5377" s="61"/>
      <c r="E5377" s="61"/>
      <c r="F5377" s="69"/>
      <c r="G5377" s="766"/>
      <c r="H5377" s="69"/>
      <c r="I5377" s="385"/>
      <c r="J5377" s="392"/>
      <c r="K5377" s="385"/>
      <c r="L5377" s="392"/>
      <c r="M5377" s="62"/>
      <c r="N5377" s="63"/>
      <c r="O5377" s="63"/>
      <c r="P5377" s="79" t="str">
        <f>IF(AND('331-CT'!$E$7=TH!H5377,OR(N5377="331",O5377="331")),"x","")</f>
        <v/>
      </c>
      <c r="Q5377" s="79" t="str">
        <f>IF(AND(B5377='111'!$L$11,OR($N5377=$Q$7,$O5377=$Q$7)),"x","")</f>
        <v/>
      </c>
      <c r="R5377" s="79" t="str">
        <f>IF(AND($N5377=$Q$7,$B5377&lt;'111'!$L$11),"x","")</f>
        <v/>
      </c>
      <c r="S5377" s="79" t="str">
        <f>IF(AND($O5377=$Q$7,$B5377&lt;'111'!$L$11),"x","")</f>
        <v/>
      </c>
      <c r="T5377" s="79" t="str">
        <f>IF(ISERROR(FIND('112'!$M$9,G5377,1)),"",IF((AND(FIND('112'!$M$9,G5377,1)&gt;=1,B5377='112'!$K$9,OR($N5377='112'!$I$6,$O5377='112'!$I$6))),"x",""))</f>
        <v/>
      </c>
      <c r="U5377" s="79" t="str">
        <f>IF(ISERROR(FIND('112'!$M$9,G5377,1)),"",IF((AND(LEFT(G5377,2)=LEFT('112'!$M$9,2),B5377&lt;'112'!$K$9,$N5377='112'!$I$6)),"x",""))</f>
        <v/>
      </c>
      <c r="V5377" s="79" t="str">
        <f>IF(ISERROR(FIND('112'!$M$9,G5377,1)),"",IF((AND(RIGHT(G5377,2)=RIGHT('112'!$M$9,2),B5377&lt;'112'!$K$9,$O5377='112'!$I$6)),"x",""))</f>
        <v/>
      </c>
      <c r="W5377" s="79" t="str">
        <f>IF(AND('341-CT'!$H$9=H5377,OR(LEFT(N5377,3)=$W$7,LEFT(O5377,3)=$W$7)),"x","")</f>
        <v/>
      </c>
      <c r="X5377" s="79" t="str">
        <f>IF(OR(TH!N5377=TH!$X$7,O5377=TH!$X$7),"x","")</f>
        <v/>
      </c>
      <c r="Y5377" s="79" t="str">
        <f>IF(AND(OR(N5377="131",O5377="131"),H5377='131-CT'!$H$9),"x","")</f>
        <v/>
      </c>
      <c r="Z5377" s="79"/>
      <c r="AA5377" s="79" t="str">
        <f>IF(AND(MONTH(E5377)='IN-NX'!$J$5,'IN-NX'!$D$7=D5377),"x","")</f>
        <v/>
      </c>
      <c r="AB5377" s="79" t="str">
        <f>IF(AND(OR(LEFT(TH!N5377,2)="15",LEFT(TH!O5377,2)="15"),LEFT(TH!O5377,3)&lt;&gt;"111",'152-CT'!$J$8=TH!F5377),"x","")</f>
        <v/>
      </c>
      <c r="AC5377" s="79" t="str">
        <f>IF(AND(OR(LEFT(TH!N5377,2)="15",LEFT(TH!O5377,2)="15"),TK!$E$7=TH!F5377),"x","")</f>
        <v/>
      </c>
      <c r="AD5377" s="79" t="str">
        <f>IF(AND(N5377="1521",MONTH(C5377)='BK-NL'!$M$11),"x","")</f>
        <v/>
      </c>
    </row>
    <row r="5378" spans="1:30" ht="16.5" customHeight="1">
      <c r="A5378" s="318" t="str">
        <f>IF(B5378&lt;&gt;"",IF(AND(B5378='IN-TC'!$S$4,OR(TH!N5378="1111",TH!O5378="1111")),TH!D5378,""),"")</f>
        <v/>
      </c>
      <c r="B5378" s="60" t="str">
        <f t="shared" si="504"/>
        <v/>
      </c>
      <c r="C5378" s="61"/>
      <c r="D5378" s="61"/>
      <c r="E5378" s="61"/>
      <c r="F5378" s="69"/>
      <c r="G5378" s="766"/>
      <c r="H5378" s="69"/>
      <c r="I5378" s="385"/>
      <c r="J5378" s="392"/>
      <c r="K5378" s="385"/>
      <c r="L5378" s="392"/>
      <c r="M5378" s="62"/>
      <c r="N5378" s="63"/>
      <c r="O5378" s="63"/>
      <c r="P5378" s="79" t="str">
        <f>IF(AND('331-CT'!$E$7=TH!H5378,OR(N5378="331",O5378="331")),"x","")</f>
        <v/>
      </c>
      <c r="Q5378" s="79" t="str">
        <f>IF(AND(B5378='111'!$L$11,OR($N5378=$Q$7,$O5378=$Q$7)),"x","")</f>
        <v/>
      </c>
      <c r="R5378" s="79" t="str">
        <f>IF(AND($N5378=$Q$7,$B5378&lt;'111'!$L$11),"x","")</f>
        <v/>
      </c>
      <c r="S5378" s="79" t="str">
        <f>IF(AND($O5378=$Q$7,$B5378&lt;'111'!$L$11),"x","")</f>
        <v/>
      </c>
      <c r="T5378" s="79" t="str">
        <f>IF(ISERROR(FIND('112'!$M$9,G5378,1)),"",IF((AND(FIND('112'!$M$9,G5378,1)&gt;=1,B5378='112'!$K$9,OR($N5378='112'!$I$6,$O5378='112'!$I$6))),"x",""))</f>
        <v/>
      </c>
      <c r="U5378" s="79" t="str">
        <f>IF(ISERROR(FIND('112'!$M$9,G5378,1)),"",IF((AND(LEFT(G5378,2)=LEFT('112'!$M$9,2),B5378&lt;'112'!$K$9,$N5378='112'!$I$6)),"x",""))</f>
        <v/>
      </c>
      <c r="V5378" s="79" t="str">
        <f>IF(ISERROR(FIND('112'!$M$9,G5378,1)),"",IF((AND(RIGHT(G5378,2)=RIGHT('112'!$M$9,2),B5378&lt;'112'!$K$9,$O5378='112'!$I$6)),"x",""))</f>
        <v/>
      </c>
      <c r="W5378" s="79" t="str">
        <f>IF(AND('341-CT'!$H$9=H5378,OR(LEFT(N5378,3)=$W$7,LEFT(O5378,3)=$W$7)),"x","")</f>
        <v/>
      </c>
      <c r="X5378" s="79" t="str">
        <f>IF(OR(TH!N5378=TH!$X$7,O5378=TH!$X$7),"x","")</f>
        <v/>
      </c>
      <c r="Y5378" s="79" t="str">
        <f>IF(AND(OR(N5378="131",O5378="131"),H5378='131-CT'!$H$9),"x","")</f>
        <v/>
      </c>
      <c r="Z5378" s="79"/>
      <c r="AA5378" s="79" t="str">
        <f>IF(AND(MONTH(E5378)='IN-NX'!$J$5,'IN-NX'!$D$7=D5378),"x","")</f>
        <v/>
      </c>
      <c r="AB5378" s="79" t="str">
        <f>IF(AND(OR(LEFT(TH!N5378,2)="15",LEFT(TH!O5378,2)="15"),LEFT(TH!O5378,3)&lt;&gt;"111",'152-CT'!$J$8=TH!F5378),"x","")</f>
        <v/>
      </c>
      <c r="AC5378" s="79" t="str">
        <f>IF(AND(OR(LEFT(TH!N5378,2)="15",LEFT(TH!O5378,2)="15"),TK!$E$7=TH!F5378),"x","")</f>
        <v/>
      </c>
      <c r="AD5378" s="79" t="str">
        <f>IF(AND(N5378="1521",MONTH(C5378)='BK-NL'!$M$11),"x","")</f>
        <v/>
      </c>
    </row>
    <row r="5379" spans="1:30" ht="16.5" customHeight="1">
      <c r="A5379" s="318" t="str">
        <f>IF(B5379&lt;&gt;"",IF(AND(B5379='IN-TC'!$S$4,OR(TH!N5379="1111",TH!O5379="1111")),TH!D5379,""),"")</f>
        <v/>
      </c>
      <c r="B5379" s="60" t="str">
        <f t="shared" ref="B5379:B5442" si="505">IF(C5379&lt;&gt;"",MONTH(C5379),"")</f>
        <v/>
      </c>
      <c r="C5379" s="61"/>
      <c r="D5379" s="61"/>
      <c r="E5379" s="61"/>
      <c r="F5379" s="69"/>
      <c r="G5379" s="766"/>
      <c r="H5379" s="69"/>
      <c r="I5379" s="385"/>
      <c r="J5379" s="392"/>
      <c r="K5379" s="385"/>
      <c r="L5379" s="392"/>
      <c r="M5379" s="62"/>
      <c r="N5379" s="63"/>
      <c r="O5379" s="63"/>
      <c r="P5379" s="79" t="str">
        <f>IF(AND('331-CT'!$E$7=TH!H5379,OR(N5379="331",O5379="331")),"x","")</f>
        <v/>
      </c>
      <c r="Q5379" s="79" t="str">
        <f>IF(AND(B5379='111'!$L$11,OR($N5379=$Q$7,$O5379=$Q$7)),"x","")</f>
        <v/>
      </c>
      <c r="R5379" s="79" t="str">
        <f>IF(AND($N5379=$Q$7,$B5379&lt;'111'!$L$11),"x","")</f>
        <v/>
      </c>
      <c r="S5379" s="79" t="str">
        <f>IF(AND($O5379=$Q$7,$B5379&lt;'111'!$L$11),"x","")</f>
        <v/>
      </c>
      <c r="T5379" s="79" t="str">
        <f>IF(ISERROR(FIND('112'!$M$9,G5379,1)),"",IF((AND(FIND('112'!$M$9,G5379,1)&gt;=1,B5379='112'!$K$9,OR($N5379='112'!$I$6,$O5379='112'!$I$6))),"x",""))</f>
        <v/>
      </c>
      <c r="U5379" s="79" t="str">
        <f>IF(ISERROR(FIND('112'!$M$9,G5379,1)),"",IF((AND(LEFT(G5379,2)=LEFT('112'!$M$9,2),B5379&lt;'112'!$K$9,$N5379='112'!$I$6)),"x",""))</f>
        <v/>
      </c>
      <c r="V5379" s="79" t="str">
        <f>IF(ISERROR(FIND('112'!$M$9,G5379,1)),"",IF((AND(RIGHT(G5379,2)=RIGHT('112'!$M$9,2),B5379&lt;'112'!$K$9,$O5379='112'!$I$6)),"x",""))</f>
        <v/>
      </c>
      <c r="W5379" s="79" t="str">
        <f>IF(AND('341-CT'!$H$9=H5379,OR(LEFT(N5379,3)=$W$7,LEFT(O5379,3)=$W$7)),"x","")</f>
        <v/>
      </c>
      <c r="X5379" s="79" t="str">
        <f>IF(OR(TH!N5379=TH!$X$7,O5379=TH!$X$7),"x","")</f>
        <v/>
      </c>
      <c r="Y5379" s="79" t="str">
        <f>IF(AND(OR(N5379="131",O5379="131"),H5379='131-CT'!$H$9),"x","")</f>
        <v/>
      </c>
      <c r="Z5379" s="79"/>
      <c r="AA5379" s="79" t="str">
        <f>IF(AND(MONTH(E5379)='IN-NX'!$J$5,'IN-NX'!$D$7=D5379),"x","")</f>
        <v/>
      </c>
      <c r="AB5379" s="79" t="str">
        <f>IF(AND(OR(LEFT(TH!N5379,2)="15",LEFT(TH!O5379,2)="15"),LEFT(TH!O5379,3)&lt;&gt;"111",'152-CT'!$J$8=TH!F5379),"x","")</f>
        <v/>
      </c>
      <c r="AC5379" s="79" t="str">
        <f>IF(AND(OR(LEFT(TH!N5379,2)="15",LEFT(TH!O5379,2)="15"),TK!$E$7=TH!F5379),"x","")</f>
        <v/>
      </c>
      <c r="AD5379" s="79" t="str">
        <f>IF(AND(N5379="1521",MONTH(C5379)='BK-NL'!$M$11),"x","")</f>
        <v/>
      </c>
    </row>
    <row r="5380" spans="1:30" ht="16.5" customHeight="1">
      <c r="A5380" s="318" t="str">
        <f>IF(B5380&lt;&gt;"",IF(AND(B5380='IN-TC'!$S$4,OR(TH!N5380="1111",TH!O5380="1111")),TH!D5380,""),"")</f>
        <v/>
      </c>
      <c r="B5380" s="60" t="str">
        <f t="shared" si="505"/>
        <v/>
      </c>
      <c r="C5380" s="61"/>
      <c r="D5380" s="61"/>
      <c r="E5380" s="61"/>
      <c r="F5380" s="69"/>
      <c r="G5380" s="766"/>
      <c r="H5380" s="69"/>
      <c r="I5380" s="385"/>
      <c r="J5380" s="392"/>
      <c r="K5380" s="385"/>
      <c r="L5380" s="392"/>
      <c r="M5380" s="62"/>
      <c r="N5380" s="63"/>
      <c r="O5380" s="63"/>
      <c r="P5380" s="79" t="str">
        <f>IF(AND('331-CT'!$E$7=TH!H5380,OR(N5380="331",O5380="331")),"x","")</f>
        <v/>
      </c>
      <c r="Q5380" s="79" t="str">
        <f>IF(AND(B5380='111'!$L$11,OR($N5380=$Q$7,$O5380=$Q$7)),"x","")</f>
        <v/>
      </c>
      <c r="R5380" s="79" t="str">
        <f>IF(AND($N5380=$Q$7,$B5380&lt;'111'!$L$11),"x","")</f>
        <v/>
      </c>
      <c r="S5380" s="79" t="str">
        <f>IF(AND($O5380=$Q$7,$B5380&lt;'111'!$L$11),"x","")</f>
        <v/>
      </c>
      <c r="T5380" s="79" t="str">
        <f>IF(ISERROR(FIND('112'!$M$9,G5380,1)),"",IF((AND(FIND('112'!$M$9,G5380,1)&gt;=1,B5380='112'!$K$9,OR($N5380='112'!$I$6,$O5380='112'!$I$6))),"x",""))</f>
        <v/>
      </c>
      <c r="U5380" s="79" t="str">
        <f>IF(ISERROR(FIND('112'!$M$9,G5380,1)),"",IF((AND(LEFT(G5380,2)=LEFT('112'!$M$9,2),B5380&lt;'112'!$K$9,$N5380='112'!$I$6)),"x",""))</f>
        <v/>
      </c>
      <c r="V5380" s="79" t="str">
        <f>IF(ISERROR(FIND('112'!$M$9,G5380,1)),"",IF((AND(RIGHT(G5380,2)=RIGHT('112'!$M$9,2),B5380&lt;'112'!$K$9,$O5380='112'!$I$6)),"x",""))</f>
        <v/>
      </c>
      <c r="W5380" s="79" t="str">
        <f>IF(AND('341-CT'!$H$9=H5380,OR(LEFT(N5380,3)=$W$7,LEFT(O5380,3)=$W$7)),"x","")</f>
        <v/>
      </c>
      <c r="X5380" s="79" t="str">
        <f>IF(OR(TH!N5380=TH!$X$7,O5380=TH!$X$7),"x","")</f>
        <v/>
      </c>
      <c r="Y5380" s="79" t="str">
        <f>IF(AND(OR(N5380="131",O5380="131"),H5380='131-CT'!$H$9),"x","")</f>
        <v/>
      </c>
      <c r="Z5380" s="79"/>
      <c r="AA5380" s="79" t="str">
        <f>IF(AND(MONTH(E5380)='IN-NX'!$J$5,'IN-NX'!$D$7=D5380),"x","")</f>
        <v/>
      </c>
      <c r="AB5380" s="79" t="str">
        <f>IF(AND(OR(LEFT(TH!N5380,2)="15",LEFT(TH!O5380,2)="15"),LEFT(TH!O5380,3)&lt;&gt;"111",'152-CT'!$J$8=TH!F5380),"x","")</f>
        <v/>
      </c>
      <c r="AC5380" s="79" t="str">
        <f>IF(AND(OR(LEFT(TH!N5380,2)="15",LEFT(TH!O5380,2)="15"),TK!$E$7=TH!F5380),"x","")</f>
        <v/>
      </c>
      <c r="AD5380" s="79" t="str">
        <f>IF(AND(N5380="1521",MONTH(C5380)='BK-NL'!$M$11),"x","")</f>
        <v/>
      </c>
    </row>
    <row r="5381" spans="1:30" ht="16.5" customHeight="1">
      <c r="A5381" s="318" t="str">
        <f>IF(B5381&lt;&gt;"",IF(AND(B5381='IN-TC'!$S$4,OR(TH!N5381="1111",TH!O5381="1111")),TH!D5381,""),"")</f>
        <v/>
      </c>
      <c r="B5381" s="60" t="str">
        <f t="shared" si="505"/>
        <v/>
      </c>
      <c r="C5381" s="61"/>
      <c r="D5381" s="61"/>
      <c r="E5381" s="61"/>
      <c r="F5381" s="69"/>
      <c r="G5381" s="766"/>
      <c r="H5381" s="69"/>
      <c r="I5381" s="385"/>
      <c r="J5381" s="392"/>
      <c r="K5381" s="385"/>
      <c r="L5381" s="392"/>
      <c r="M5381" s="62"/>
      <c r="N5381" s="63"/>
      <c r="O5381" s="63"/>
      <c r="P5381" s="79" t="str">
        <f>IF(AND('331-CT'!$E$7=TH!H5381,OR(N5381="331",O5381="331")),"x","")</f>
        <v/>
      </c>
      <c r="Q5381" s="79" t="str">
        <f>IF(AND(B5381='111'!$L$11,OR($N5381=$Q$7,$O5381=$Q$7)),"x","")</f>
        <v/>
      </c>
      <c r="R5381" s="79" t="str">
        <f>IF(AND($N5381=$Q$7,$B5381&lt;'111'!$L$11),"x","")</f>
        <v/>
      </c>
      <c r="S5381" s="79" t="str">
        <f>IF(AND($O5381=$Q$7,$B5381&lt;'111'!$L$11),"x","")</f>
        <v/>
      </c>
      <c r="T5381" s="79" t="str">
        <f>IF(ISERROR(FIND('112'!$M$9,G5381,1)),"",IF((AND(FIND('112'!$M$9,G5381,1)&gt;=1,B5381='112'!$K$9,OR($N5381='112'!$I$6,$O5381='112'!$I$6))),"x",""))</f>
        <v/>
      </c>
      <c r="U5381" s="79" t="str">
        <f>IF(ISERROR(FIND('112'!$M$9,G5381,1)),"",IF((AND(LEFT(G5381,2)=LEFT('112'!$M$9,2),B5381&lt;'112'!$K$9,$N5381='112'!$I$6)),"x",""))</f>
        <v/>
      </c>
      <c r="V5381" s="79" t="str">
        <f>IF(ISERROR(FIND('112'!$M$9,G5381,1)),"",IF((AND(RIGHT(G5381,2)=RIGHT('112'!$M$9,2),B5381&lt;'112'!$K$9,$O5381='112'!$I$6)),"x",""))</f>
        <v/>
      </c>
      <c r="W5381" s="79" t="str">
        <f>IF(AND('341-CT'!$H$9=H5381,OR(LEFT(N5381,3)=$W$7,LEFT(O5381,3)=$W$7)),"x","")</f>
        <v/>
      </c>
      <c r="X5381" s="79" t="str">
        <f>IF(OR(TH!N5381=TH!$X$7,O5381=TH!$X$7),"x","")</f>
        <v/>
      </c>
      <c r="Y5381" s="79" t="str">
        <f>IF(AND(OR(N5381="131",O5381="131"),H5381='131-CT'!$H$9),"x","")</f>
        <v/>
      </c>
      <c r="Z5381" s="79"/>
      <c r="AA5381" s="79" t="str">
        <f>IF(AND(MONTH(E5381)='IN-NX'!$J$5,'IN-NX'!$D$7=D5381),"x","")</f>
        <v/>
      </c>
      <c r="AB5381" s="79" t="str">
        <f>IF(AND(OR(LEFT(TH!N5381,2)="15",LEFT(TH!O5381,2)="15"),LEFT(TH!O5381,3)&lt;&gt;"111",'152-CT'!$J$8=TH!F5381),"x","")</f>
        <v/>
      </c>
      <c r="AC5381" s="79" t="str">
        <f>IF(AND(OR(LEFT(TH!N5381,2)="15",LEFT(TH!O5381,2)="15"),TK!$E$7=TH!F5381),"x","")</f>
        <v/>
      </c>
      <c r="AD5381" s="79" t="str">
        <f>IF(AND(N5381="1521",MONTH(C5381)='BK-NL'!$M$11),"x","")</f>
        <v/>
      </c>
    </row>
    <row r="5382" spans="1:30" ht="16.5" customHeight="1">
      <c r="A5382" s="318" t="str">
        <f>IF(B5382&lt;&gt;"",IF(AND(B5382='IN-TC'!$S$4,OR(TH!N5382="1111",TH!O5382="1111")),TH!D5382,""),"")</f>
        <v/>
      </c>
      <c r="B5382" s="60" t="str">
        <f t="shared" si="505"/>
        <v/>
      </c>
      <c r="C5382" s="61"/>
      <c r="D5382" s="61"/>
      <c r="E5382" s="61"/>
      <c r="F5382" s="69"/>
      <c r="G5382" s="766"/>
      <c r="H5382" s="69"/>
      <c r="I5382" s="385"/>
      <c r="J5382" s="392"/>
      <c r="K5382" s="385"/>
      <c r="L5382" s="392"/>
      <c r="M5382" s="62"/>
      <c r="N5382" s="63"/>
      <c r="O5382" s="63"/>
      <c r="P5382" s="79" t="str">
        <f>IF(AND('331-CT'!$E$7=TH!H5382,OR(N5382="331",O5382="331")),"x","")</f>
        <v/>
      </c>
      <c r="Q5382" s="79" t="str">
        <f>IF(AND(B5382='111'!$L$11,OR($N5382=$Q$7,$O5382=$Q$7)),"x","")</f>
        <v/>
      </c>
      <c r="R5382" s="79" t="str">
        <f>IF(AND($N5382=$Q$7,$B5382&lt;'111'!$L$11),"x","")</f>
        <v/>
      </c>
      <c r="S5382" s="79" t="str">
        <f>IF(AND($O5382=$Q$7,$B5382&lt;'111'!$L$11),"x","")</f>
        <v/>
      </c>
      <c r="T5382" s="79" t="str">
        <f>IF(ISERROR(FIND('112'!$M$9,G5382,1)),"",IF((AND(FIND('112'!$M$9,G5382,1)&gt;=1,B5382='112'!$K$9,OR($N5382='112'!$I$6,$O5382='112'!$I$6))),"x",""))</f>
        <v/>
      </c>
      <c r="U5382" s="79" t="str">
        <f>IF(ISERROR(FIND('112'!$M$9,G5382,1)),"",IF((AND(LEFT(G5382,2)=LEFT('112'!$M$9,2),B5382&lt;'112'!$K$9,$N5382='112'!$I$6)),"x",""))</f>
        <v/>
      </c>
      <c r="V5382" s="79" t="str">
        <f>IF(ISERROR(FIND('112'!$M$9,G5382,1)),"",IF((AND(RIGHT(G5382,2)=RIGHT('112'!$M$9,2),B5382&lt;'112'!$K$9,$O5382='112'!$I$6)),"x",""))</f>
        <v/>
      </c>
      <c r="W5382" s="79" t="str">
        <f>IF(AND('341-CT'!$H$9=H5382,OR(LEFT(N5382,3)=$W$7,LEFT(O5382,3)=$W$7)),"x","")</f>
        <v/>
      </c>
      <c r="X5382" s="79" t="str">
        <f>IF(OR(TH!N5382=TH!$X$7,O5382=TH!$X$7),"x","")</f>
        <v/>
      </c>
      <c r="Y5382" s="79" t="str">
        <f>IF(AND(OR(N5382="131",O5382="131"),H5382='131-CT'!$H$9),"x","")</f>
        <v/>
      </c>
      <c r="Z5382" s="79"/>
      <c r="AA5382" s="79" t="str">
        <f>IF(AND(MONTH(E5382)='IN-NX'!$J$5,'IN-NX'!$D$7=D5382),"x","")</f>
        <v/>
      </c>
      <c r="AB5382" s="79" t="str">
        <f>IF(AND(OR(LEFT(TH!N5382,2)="15",LEFT(TH!O5382,2)="15"),LEFT(TH!O5382,3)&lt;&gt;"111",'152-CT'!$J$8=TH!F5382),"x","")</f>
        <v/>
      </c>
      <c r="AC5382" s="79" t="str">
        <f>IF(AND(OR(LEFT(TH!N5382,2)="15",LEFT(TH!O5382,2)="15"),TK!$E$7=TH!F5382),"x","")</f>
        <v/>
      </c>
      <c r="AD5382" s="79" t="str">
        <f>IF(AND(N5382="1521",MONTH(C5382)='BK-NL'!$M$11),"x","")</f>
        <v/>
      </c>
    </row>
    <row r="5383" spans="1:30" ht="16.5" customHeight="1">
      <c r="A5383" s="318" t="str">
        <f>IF(B5383&lt;&gt;"",IF(AND(B5383='IN-TC'!$S$4,OR(TH!N5383="1111",TH!O5383="1111")),TH!D5383,""),"")</f>
        <v/>
      </c>
      <c r="B5383" s="60" t="str">
        <f t="shared" si="505"/>
        <v/>
      </c>
      <c r="C5383" s="61"/>
      <c r="D5383" s="61"/>
      <c r="E5383" s="61"/>
      <c r="F5383" s="69"/>
      <c r="G5383" s="766"/>
      <c r="H5383" s="69"/>
      <c r="I5383" s="385"/>
      <c r="J5383" s="392"/>
      <c r="K5383" s="385"/>
      <c r="L5383" s="392"/>
      <c r="M5383" s="62"/>
      <c r="N5383" s="63"/>
      <c r="O5383" s="63"/>
      <c r="P5383" s="79" t="str">
        <f>IF(AND('331-CT'!$E$7=TH!H5383,OR(N5383="331",O5383="331")),"x","")</f>
        <v/>
      </c>
      <c r="Q5383" s="79" t="str">
        <f>IF(AND(B5383='111'!$L$11,OR($N5383=$Q$7,$O5383=$Q$7)),"x","")</f>
        <v/>
      </c>
      <c r="R5383" s="79" t="str">
        <f>IF(AND($N5383=$Q$7,$B5383&lt;'111'!$L$11),"x","")</f>
        <v/>
      </c>
      <c r="S5383" s="79" t="str">
        <f>IF(AND($O5383=$Q$7,$B5383&lt;'111'!$L$11),"x","")</f>
        <v/>
      </c>
      <c r="T5383" s="79" t="str">
        <f>IF(ISERROR(FIND('112'!$M$9,G5383,1)),"",IF((AND(FIND('112'!$M$9,G5383,1)&gt;=1,B5383='112'!$K$9,OR($N5383='112'!$I$6,$O5383='112'!$I$6))),"x",""))</f>
        <v/>
      </c>
      <c r="U5383" s="79" t="str">
        <f>IF(ISERROR(FIND('112'!$M$9,G5383,1)),"",IF((AND(LEFT(G5383,2)=LEFT('112'!$M$9,2),B5383&lt;'112'!$K$9,$N5383='112'!$I$6)),"x",""))</f>
        <v/>
      </c>
      <c r="V5383" s="79" t="str">
        <f>IF(ISERROR(FIND('112'!$M$9,G5383,1)),"",IF((AND(RIGHT(G5383,2)=RIGHT('112'!$M$9,2),B5383&lt;'112'!$K$9,$O5383='112'!$I$6)),"x",""))</f>
        <v/>
      </c>
      <c r="W5383" s="79" t="str">
        <f>IF(AND('341-CT'!$H$9=H5383,OR(LEFT(N5383,3)=$W$7,LEFT(O5383,3)=$W$7)),"x","")</f>
        <v/>
      </c>
      <c r="X5383" s="79" t="str">
        <f>IF(OR(TH!N5383=TH!$X$7,O5383=TH!$X$7),"x","")</f>
        <v/>
      </c>
      <c r="Y5383" s="79" t="str">
        <f>IF(AND(OR(N5383="131",O5383="131"),H5383='131-CT'!$H$9),"x","")</f>
        <v/>
      </c>
      <c r="Z5383" s="79"/>
      <c r="AA5383" s="79" t="str">
        <f>IF(AND(MONTH(E5383)='IN-NX'!$J$5,'IN-NX'!$D$7=D5383),"x","")</f>
        <v/>
      </c>
      <c r="AB5383" s="79" t="str">
        <f>IF(AND(OR(LEFT(TH!N5383,2)="15",LEFT(TH!O5383,2)="15"),LEFT(TH!O5383,3)&lt;&gt;"111",'152-CT'!$J$8=TH!F5383),"x","")</f>
        <v/>
      </c>
      <c r="AC5383" s="79" t="str">
        <f>IF(AND(OR(LEFT(TH!N5383,2)="15",LEFT(TH!O5383,2)="15"),TK!$E$7=TH!F5383),"x","")</f>
        <v/>
      </c>
      <c r="AD5383" s="79" t="str">
        <f>IF(AND(N5383="1521",MONTH(C5383)='BK-NL'!$M$11),"x","")</f>
        <v/>
      </c>
    </row>
    <row r="5384" spans="1:30" ht="16.5" customHeight="1">
      <c r="A5384" s="318" t="str">
        <f>IF(B5384&lt;&gt;"",IF(AND(B5384='IN-TC'!$S$4,OR(TH!N5384="1111",TH!O5384="1111")),TH!D5384,""),"")</f>
        <v/>
      </c>
      <c r="B5384" s="60" t="str">
        <f t="shared" si="505"/>
        <v/>
      </c>
      <c r="C5384" s="61"/>
      <c r="D5384" s="61"/>
      <c r="E5384" s="61"/>
      <c r="F5384" s="69"/>
      <c r="G5384" s="766"/>
      <c r="H5384" s="69"/>
      <c r="I5384" s="385"/>
      <c r="J5384" s="392"/>
      <c r="K5384" s="385"/>
      <c r="L5384" s="392"/>
      <c r="M5384" s="62"/>
      <c r="N5384" s="63"/>
      <c r="O5384" s="63"/>
      <c r="P5384" s="79" t="str">
        <f>IF(AND('331-CT'!$E$7=TH!H5384,OR(N5384="331",O5384="331")),"x","")</f>
        <v/>
      </c>
      <c r="Q5384" s="79" t="str">
        <f>IF(AND(B5384='111'!$L$11,OR($N5384=$Q$7,$O5384=$Q$7)),"x","")</f>
        <v/>
      </c>
      <c r="R5384" s="79" t="str">
        <f>IF(AND($N5384=$Q$7,$B5384&lt;'111'!$L$11),"x","")</f>
        <v/>
      </c>
      <c r="S5384" s="79" t="str">
        <f>IF(AND($O5384=$Q$7,$B5384&lt;'111'!$L$11),"x","")</f>
        <v/>
      </c>
      <c r="T5384" s="79" t="str">
        <f>IF(ISERROR(FIND('112'!$M$9,G5384,1)),"",IF((AND(FIND('112'!$M$9,G5384,1)&gt;=1,B5384='112'!$K$9,OR($N5384='112'!$I$6,$O5384='112'!$I$6))),"x",""))</f>
        <v/>
      </c>
      <c r="U5384" s="79" t="str">
        <f>IF(ISERROR(FIND('112'!$M$9,G5384,1)),"",IF((AND(LEFT(G5384,2)=LEFT('112'!$M$9,2),B5384&lt;'112'!$K$9,$N5384='112'!$I$6)),"x",""))</f>
        <v/>
      </c>
      <c r="V5384" s="79" t="str">
        <f>IF(ISERROR(FIND('112'!$M$9,G5384,1)),"",IF((AND(RIGHT(G5384,2)=RIGHT('112'!$M$9,2),B5384&lt;'112'!$K$9,$O5384='112'!$I$6)),"x",""))</f>
        <v/>
      </c>
      <c r="W5384" s="79" t="str">
        <f>IF(AND('341-CT'!$H$9=H5384,OR(LEFT(N5384,3)=$W$7,LEFT(O5384,3)=$W$7)),"x","")</f>
        <v/>
      </c>
      <c r="X5384" s="79" t="str">
        <f>IF(OR(TH!N5384=TH!$X$7,O5384=TH!$X$7),"x","")</f>
        <v/>
      </c>
      <c r="Y5384" s="79" t="str">
        <f>IF(AND(OR(N5384="131",O5384="131"),H5384='131-CT'!$H$9),"x","")</f>
        <v/>
      </c>
      <c r="Z5384" s="79"/>
      <c r="AA5384" s="79" t="str">
        <f>IF(AND(MONTH(E5384)='IN-NX'!$J$5,'IN-NX'!$D$7=D5384),"x","")</f>
        <v/>
      </c>
      <c r="AB5384" s="79" t="str">
        <f>IF(AND(OR(LEFT(TH!N5384,2)="15",LEFT(TH!O5384,2)="15"),LEFT(TH!O5384,3)&lt;&gt;"111",'152-CT'!$J$8=TH!F5384),"x","")</f>
        <v/>
      </c>
      <c r="AC5384" s="79" t="str">
        <f>IF(AND(OR(LEFT(TH!N5384,2)="15",LEFT(TH!O5384,2)="15"),TK!$E$7=TH!F5384),"x","")</f>
        <v/>
      </c>
      <c r="AD5384" s="79" t="str">
        <f>IF(AND(N5384="1521",MONTH(C5384)='BK-NL'!$M$11),"x","")</f>
        <v/>
      </c>
    </row>
    <row r="5385" spans="1:30" ht="16.5" customHeight="1">
      <c r="A5385" s="318" t="str">
        <f>IF(B5385&lt;&gt;"",IF(AND(B5385='IN-TC'!$S$4,OR(TH!N5385="1111",TH!O5385="1111")),TH!D5385,""),"")</f>
        <v/>
      </c>
      <c r="B5385" s="60" t="str">
        <f t="shared" si="505"/>
        <v/>
      </c>
      <c r="C5385" s="61"/>
      <c r="D5385" s="61"/>
      <c r="E5385" s="61"/>
      <c r="F5385" s="69"/>
      <c r="G5385" s="766"/>
      <c r="H5385" s="69"/>
      <c r="I5385" s="385"/>
      <c r="J5385" s="392"/>
      <c r="K5385" s="385"/>
      <c r="L5385" s="392"/>
      <c r="M5385" s="62"/>
      <c r="N5385" s="63"/>
      <c r="O5385" s="63"/>
      <c r="P5385" s="79" t="str">
        <f>IF(AND('331-CT'!$E$7=TH!H5385,OR(N5385="331",O5385="331")),"x","")</f>
        <v/>
      </c>
      <c r="Q5385" s="79" t="str">
        <f>IF(AND(B5385='111'!$L$11,OR($N5385=$Q$7,$O5385=$Q$7)),"x","")</f>
        <v/>
      </c>
      <c r="R5385" s="79" t="str">
        <f>IF(AND($N5385=$Q$7,$B5385&lt;'111'!$L$11),"x","")</f>
        <v/>
      </c>
      <c r="S5385" s="79" t="str">
        <f>IF(AND($O5385=$Q$7,$B5385&lt;'111'!$L$11),"x","")</f>
        <v/>
      </c>
      <c r="T5385" s="79" t="str">
        <f>IF(ISERROR(FIND('112'!$M$9,G5385,1)),"",IF((AND(FIND('112'!$M$9,G5385,1)&gt;=1,B5385='112'!$K$9,OR($N5385='112'!$I$6,$O5385='112'!$I$6))),"x",""))</f>
        <v/>
      </c>
      <c r="U5385" s="79" t="str">
        <f>IF(ISERROR(FIND('112'!$M$9,G5385,1)),"",IF((AND(LEFT(G5385,2)=LEFT('112'!$M$9,2),B5385&lt;'112'!$K$9,$N5385='112'!$I$6)),"x",""))</f>
        <v/>
      </c>
      <c r="V5385" s="79" t="str">
        <f>IF(ISERROR(FIND('112'!$M$9,G5385,1)),"",IF((AND(RIGHT(G5385,2)=RIGHT('112'!$M$9,2),B5385&lt;'112'!$K$9,$O5385='112'!$I$6)),"x",""))</f>
        <v/>
      </c>
      <c r="W5385" s="79" t="str">
        <f>IF(AND('341-CT'!$H$9=H5385,OR(LEFT(N5385,3)=$W$7,LEFT(O5385,3)=$W$7)),"x","")</f>
        <v/>
      </c>
      <c r="X5385" s="79" t="str">
        <f>IF(OR(TH!N5385=TH!$X$7,O5385=TH!$X$7),"x","")</f>
        <v/>
      </c>
      <c r="Y5385" s="79" t="str">
        <f>IF(AND(OR(N5385="131",O5385="131"),H5385='131-CT'!$H$9),"x","")</f>
        <v/>
      </c>
      <c r="Z5385" s="79"/>
      <c r="AA5385" s="79" t="str">
        <f>IF(AND(MONTH(E5385)='IN-NX'!$J$5,'IN-NX'!$D$7=D5385),"x","")</f>
        <v/>
      </c>
      <c r="AB5385" s="79" t="str">
        <f>IF(AND(OR(LEFT(TH!N5385,2)="15",LEFT(TH!O5385,2)="15"),LEFT(TH!O5385,3)&lt;&gt;"111",'152-CT'!$J$8=TH!F5385),"x","")</f>
        <v/>
      </c>
      <c r="AC5385" s="79" t="str">
        <f>IF(AND(OR(LEFT(TH!N5385,2)="15",LEFT(TH!O5385,2)="15"),TK!$E$7=TH!F5385),"x","")</f>
        <v/>
      </c>
      <c r="AD5385" s="79" t="str">
        <f>IF(AND(N5385="1521",MONTH(C5385)='BK-NL'!$M$11),"x","")</f>
        <v/>
      </c>
    </row>
    <row r="5386" spans="1:30" ht="16.5" customHeight="1">
      <c r="A5386" s="318" t="str">
        <f>IF(B5386&lt;&gt;"",IF(AND(B5386='IN-TC'!$S$4,OR(TH!N5386="1111",TH!O5386="1111")),TH!D5386,""),"")</f>
        <v/>
      </c>
      <c r="B5386" s="60" t="str">
        <f t="shared" si="505"/>
        <v/>
      </c>
      <c r="C5386" s="61"/>
      <c r="D5386" s="61"/>
      <c r="E5386" s="61"/>
      <c r="F5386" s="69"/>
      <c r="G5386" s="766"/>
      <c r="H5386" s="69"/>
      <c r="I5386" s="385"/>
      <c r="J5386" s="392"/>
      <c r="K5386" s="385"/>
      <c r="L5386" s="392"/>
      <c r="M5386" s="62"/>
      <c r="N5386" s="63"/>
      <c r="O5386" s="63"/>
      <c r="P5386" s="79" t="str">
        <f>IF(AND('331-CT'!$E$7=TH!H5386,OR(N5386="331",O5386="331")),"x","")</f>
        <v/>
      </c>
      <c r="Q5386" s="79" t="str">
        <f>IF(AND(B5386='111'!$L$11,OR($N5386=$Q$7,$O5386=$Q$7)),"x","")</f>
        <v/>
      </c>
      <c r="R5386" s="79" t="str">
        <f>IF(AND($N5386=$Q$7,$B5386&lt;'111'!$L$11),"x","")</f>
        <v/>
      </c>
      <c r="S5386" s="79" t="str">
        <f>IF(AND($O5386=$Q$7,$B5386&lt;'111'!$L$11),"x","")</f>
        <v/>
      </c>
      <c r="T5386" s="79" t="str">
        <f>IF(ISERROR(FIND('112'!$M$9,G5386,1)),"",IF((AND(FIND('112'!$M$9,G5386,1)&gt;=1,B5386='112'!$K$9,OR($N5386='112'!$I$6,$O5386='112'!$I$6))),"x",""))</f>
        <v/>
      </c>
      <c r="U5386" s="79" t="str">
        <f>IF(ISERROR(FIND('112'!$M$9,G5386,1)),"",IF((AND(LEFT(G5386,2)=LEFT('112'!$M$9,2),B5386&lt;'112'!$K$9,$N5386='112'!$I$6)),"x",""))</f>
        <v/>
      </c>
      <c r="V5386" s="79" t="str">
        <f>IF(ISERROR(FIND('112'!$M$9,G5386,1)),"",IF((AND(RIGHT(G5386,2)=RIGHT('112'!$M$9,2),B5386&lt;'112'!$K$9,$O5386='112'!$I$6)),"x",""))</f>
        <v/>
      </c>
      <c r="W5386" s="79" t="str">
        <f>IF(AND('341-CT'!$H$9=H5386,OR(LEFT(N5386,3)=$W$7,LEFT(O5386,3)=$W$7)),"x","")</f>
        <v/>
      </c>
      <c r="X5386" s="79" t="str">
        <f>IF(OR(TH!N5386=TH!$X$7,O5386=TH!$X$7),"x","")</f>
        <v/>
      </c>
      <c r="Y5386" s="79" t="str">
        <f>IF(AND(OR(N5386="131",O5386="131"),H5386='131-CT'!$H$9),"x","")</f>
        <v/>
      </c>
      <c r="Z5386" s="79"/>
      <c r="AA5386" s="79" t="str">
        <f>IF(AND(MONTH(E5386)='IN-NX'!$J$5,'IN-NX'!$D$7=D5386),"x","")</f>
        <v/>
      </c>
      <c r="AB5386" s="79" t="str">
        <f>IF(AND(OR(LEFT(TH!N5386,2)="15",LEFT(TH!O5386,2)="15"),LEFT(TH!O5386,3)&lt;&gt;"111",'152-CT'!$J$8=TH!F5386),"x","")</f>
        <v/>
      </c>
      <c r="AC5386" s="79" t="str">
        <f>IF(AND(OR(LEFT(TH!N5386,2)="15",LEFT(TH!O5386,2)="15"),TK!$E$7=TH!F5386),"x","")</f>
        <v/>
      </c>
      <c r="AD5386" s="79" t="str">
        <f>IF(AND(N5386="1521",MONTH(C5386)='BK-NL'!$M$11),"x","")</f>
        <v/>
      </c>
    </row>
    <row r="5387" spans="1:30" ht="16.5" customHeight="1">
      <c r="A5387" s="318" t="str">
        <f>IF(B5387&lt;&gt;"",IF(AND(B5387='IN-TC'!$S$4,OR(TH!N5387="1111",TH!O5387="1111")),TH!D5387,""),"")</f>
        <v/>
      </c>
      <c r="B5387" s="60" t="str">
        <f t="shared" si="505"/>
        <v/>
      </c>
      <c r="C5387" s="61"/>
      <c r="D5387" s="61"/>
      <c r="E5387" s="61"/>
      <c r="F5387" s="69"/>
      <c r="G5387" s="766"/>
      <c r="H5387" s="69"/>
      <c r="I5387" s="385"/>
      <c r="J5387" s="392"/>
      <c r="K5387" s="385"/>
      <c r="L5387" s="392"/>
      <c r="M5387" s="62"/>
      <c r="N5387" s="63"/>
      <c r="O5387" s="63"/>
      <c r="P5387" s="79" t="str">
        <f>IF(AND('331-CT'!$E$7=TH!H5387,OR(N5387="331",O5387="331")),"x","")</f>
        <v/>
      </c>
      <c r="Q5387" s="79" t="str">
        <f>IF(AND(B5387='111'!$L$11,OR($N5387=$Q$7,$O5387=$Q$7)),"x","")</f>
        <v/>
      </c>
      <c r="R5387" s="79" t="str">
        <f>IF(AND($N5387=$Q$7,$B5387&lt;'111'!$L$11),"x","")</f>
        <v/>
      </c>
      <c r="S5387" s="79" t="str">
        <f>IF(AND($O5387=$Q$7,$B5387&lt;'111'!$L$11),"x","")</f>
        <v/>
      </c>
      <c r="T5387" s="79" t="str">
        <f>IF(ISERROR(FIND('112'!$M$9,G5387,1)),"",IF((AND(FIND('112'!$M$9,G5387,1)&gt;=1,B5387='112'!$K$9,OR($N5387='112'!$I$6,$O5387='112'!$I$6))),"x",""))</f>
        <v/>
      </c>
      <c r="U5387" s="79" t="str">
        <f>IF(ISERROR(FIND('112'!$M$9,G5387,1)),"",IF((AND(LEFT(G5387,2)=LEFT('112'!$M$9,2),B5387&lt;'112'!$K$9,$N5387='112'!$I$6)),"x",""))</f>
        <v/>
      </c>
      <c r="V5387" s="79" t="str">
        <f>IF(ISERROR(FIND('112'!$M$9,G5387,1)),"",IF((AND(RIGHT(G5387,2)=RIGHT('112'!$M$9,2),B5387&lt;'112'!$K$9,$O5387='112'!$I$6)),"x",""))</f>
        <v/>
      </c>
      <c r="W5387" s="79" t="str">
        <f>IF(AND('341-CT'!$H$9=H5387,OR(LEFT(N5387,3)=$W$7,LEFT(O5387,3)=$W$7)),"x","")</f>
        <v/>
      </c>
      <c r="X5387" s="79" t="str">
        <f>IF(OR(TH!N5387=TH!$X$7,O5387=TH!$X$7),"x","")</f>
        <v/>
      </c>
      <c r="Y5387" s="79" t="str">
        <f>IF(AND(OR(N5387="131",O5387="131"),H5387='131-CT'!$H$9),"x","")</f>
        <v/>
      </c>
      <c r="Z5387" s="79"/>
      <c r="AA5387" s="79" t="str">
        <f>IF(AND(MONTH(E5387)='IN-NX'!$J$5,'IN-NX'!$D$7=D5387),"x","")</f>
        <v/>
      </c>
      <c r="AB5387" s="79" t="str">
        <f>IF(AND(OR(LEFT(TH!N5387,2)="15",LEFT(TH!O5387,2)="15"),LEFT(TH!O5387,3)&lt;&gt;"111",'152-CT'!$J$8=TH!F5387),"x","")</f>
        <v/>
      </c>
      <c r="AC5387" s="79" t="str">
        <f>IF(AND(OR(LEFT(TH!N5387,2)="15",LEFT(TH!O5387,2)="15"),TK!$E$7=TH!F5387),"x","")</f>
        <v/>
      </c>
      <c r="AD5387" s="79" t="str">
        <f>IF(AND(N5387="1521",MONTH(C5387)='BK-NL'!$M$11),"x","")</f>
        <v/>
      </c>
    </row>
    <row r="5388" spans="1:30" ht="16.5" customHeight="1">
      <c r="A5388" s="318" t="str">
        <f>IF(B5388&lt;&gt;"",IF(AND(B5388='IN-TC'!$S$4,OR(TH!N5388="1111",TH!O5388="1111")),TH!D5388,""),"")</f>
        <v/>
      </c>
      <c r="B5388" s="60" t="str">
        <f t="shared" si="505"/>
        <v/>
      </c>
      <c r="C5388" s="61"/>
      <c r="D5388" s="61"/>
      <c r="E5388" s="61"/>
      <c r="F5388" s="69"/>
      <c r="G5388" s="766"/>
      <c r="H5388" s="69"/>
      <c r="I5388" s="385"/>
      <c r="J5388" s="392"/>
      <c r="K5388" s="385"/>
      <c r="L5388" s="392"/>
      <c r="M5388" s="62"/>
      <c r="N5388" s="63"/>
      <c r="O5388" s="63"/>
      <c r="P5388" s="79" t="str">
        <f>IF(AND('331-CT'!$E$7=TH!H5388,OR(N5388="331",O5388="331")),"x","")</f>
        <v/>
      </c>
      <c r="Q5388" s="79" t="str">
        <f>IF(AND(B5388='111'!$L$11,OR($N5388=$Q$7,$O5388=$Q$7)),"x","")</f>
        <v/>
      </c>
      <c r="R5388" s="79" t="str">
        <f>IF(AND($N5388=$Q$7,$B5388&lt;'111'!$L$11),"x","")</f>
        <v/>
      </c>
      <c r="S5388" s="79" t="str">
        <f>IF(AND($O5388=$Q$7,$B5388&lt;'111'!$L$11),"x","")</f>
        <v/>
      </c>
      <c r="T5388" s="79" t="str">
        <f>IF(ISERROR(FIND('112'!$M$9,G5388,1)),"",IF((AND(FIND('112'!$M$9,G5388,1)&gt;=1,B5388='112'!$K$9,OR($N5388='112'!$I$6,$O5388='112'!$I$6))),"x",""))</f>
        <v/>
      </c>
      <c r="U5388" s="79" t="str">
        <f>IF(ISERROR(FIND('112'!$M$9,G5388,1)),"",IF((AND(LEFT(G5388,2)=LEFT('112'!$M$9,2),B5388&lt;'112'!$K$9,$N5388='112'!$I$6)),"x",""))</f>
        <v/>
      </c>
      <c r="V5388" s="79" t="str">
        <f>IF(ISERROR(FIND('112'!$M$9,G5388,1)),"",IF((AND(RIGHT(G5388,2)=RIGHT('112'!$M$9,2),B5388&lt;'112'!$K$9,$O5388='112'!$I$6)),"x",""))</f>
        <v/>
      </c>
      <c r="W5388" s="79" t="str">
        <f>IF(AND('341-CT'!$H$9=H5388,OR(LEFT(N5388,3)=$W$7,LEFT(O5388,3)=$W$7)),"x","")</f>
        <v/>
      </c>
      <c r="X5388" s="79" t="str">
        <f>IF(OR(TH!N5388=TH!$X$7,O5388=TH!$X$7),"x","")</f>
        <v/>
      </c>
      <c r="Y5388" s="79" t="str">
        <f>IF(AND(OR(N5388="131",O5388="131"),H5388='131-CT'!$H$9),"x","")</f>
        <v/>
      </c>
      <c r="Z5388" s="79"/>
      <c r="AA5388" s="79" t="str">
        <f>IF(AND(MONTH(E5388)='IN-NX'!$J$5,'IN-NX'!$D$7=D5388),"x","")</f>
        <v/>
      </c>
      <c r="AB5388" s="79" t="str">
        <f>IF(AND(OR(LEFT(TH!N5388,2)="15",LEFT(TH!O5388,2)="15"),LEFT(TH!O5388,3)&lt;&gt;"111",'152-CT'!$J$8=TH!F5388),"x","")</f>
        <v/>
      </c>
      <c r="AC5388" s="79" t="str">
        <f>IF(AND(OR(LEFT(TH!N5388,2)="15",LEFT(TH!O5388,2)="15"),TK!$E$7=TH!F5388),"x","")</f>
        <v/>
      </c>
      <c r="AD5388" s="79" t="str">
        <f>IF(AND(N5388="1521",MONTH(C5388)='BK-NL'!$M$11),"x","")</f>
        <v/>
      </c>
    </row>
    <row r="5389" spans="1:30" ht="16.5" customHeight="1">
      <c r="A5389" s="318" t="str">
        <f>IF(B5389&lt;&gt;"",IF(AND(B5389='IN-TC'!$S$4,OR(TH!N5389="1111",TH!O5389="1111")),TH!D5389,""),"")</f>
        <v/>
      </c>
      <c r="B5389" s="60" t="str">
        <f t="shared" si="505"/>
        <v/>
      </c>
      <c r="C5389" s="61"/>
      <c r="D5389" s="61"/>
      <c r="E5389" s="61"/>
      <c r="F5389" s="69"/>
      <c r="G5389" s="766"/>
      <c r="H5389" s="69"/>
      <c r="I5389" s="385"/>
      <c r="J5389" s="392"/>
      <c r="K5389" s="385"/>
      <c r="L5389" s="392"/>
      <c r="M5389" s="62"/>
      <c r="N5389" s="63"/>
      <c r="O5389" s="63"/>
      <c r="P5389" s="79" t="str">
        <f>IF(AND('331-CT'!$E$7=TH!H5389,OR(N5389="331",O5389="331")),"x","")</f>
        <v/>
      </c>
      <c r="Q5389" s="79" t="str">
        <f>IF(AND(B5389='111'!$L$11,OR($N5389=$Q$7,$O5389=$Q$7)),"x","")</f>
        <v/>
      </c>
      <c r="R5389" s="79" t="str">
        <f>IF(AND($N5389=$Q$7,$B5389&lt;'111'!$L$11),"x","")</f>
        <v/>
      </c>
      <c r="S5389" s="79" t="str">
        <f>IF(AND($O5389=$Q$7,$B5389&lt;'111'!$L$11),"x","")</f>
        <v/>
      </c>
      <c r="T5389" s="79" t="str">
        <f>IF(ISERROR(FIND('112'!$M$9,G5389,1)),"",IF((AND(FIND('112'!$M$9,G5389,1)&gt;=1,B5389='112'!$K$9,OR($N5389='112'!$I$6,$O5389='112'!$I$6))),"x",""))</f>
        <v/>
      </c>
      <c r="U5389" s="79" t="str">
        <f>IF(ISERROR(FIND('112'!$M$9,G5389,1)),"",IF((AND(LEFT(G5389,2)=LEFT('112'!$M$9,2),B5389&lt;'112'!$K$9,$N5389='112'!$I$6)),"x",""))</f>
        <v/>
      </c>
      <c r="V5389" s="79" t="str">
        <f>IF(ISERROR(FIND('112'!$M$9,G5389,1)),"",IF((AND(RIGHT(G5389,2)=RIGHT('112'!$M$9,2),B5389&lt;'112'!$K$9,$O5389='112'!$I$6)),"x",""))</f>
        <v/>
      </c>
      <c r="W5389" s="79" t="str">
        <f>IF(AND('341-CT'!$H$9=H5389,OR(LEFT(N5389,3)=$W$7,LEFT(O5389,3)=$W$7)),"x","")</f>
        <v/>
      </c>
      <c r="X5389" s="79" t="str">
        <f>IF(OR(TH!N5389=TH!$X$7,O5389=TH!$X$7),"x","")</f>
        <v/>
      </c>
      <c r="Y5389" s="79" t="str">
        <f>IF(AND(OR(N5389="131",O5389="131"),H5389='131-CT'!$H$9),"x","")</f>
        <v/>
      </c>
      <c r="Z5389" s="79"/>
      <c r="AA5389" s="79" t="str">
        <f>IF(AND(MONTH(E5389)='IN-NX'!$J$5,'IN-NX'!$D$7=D5389),"x","")</f>
        <v/>
      </c>
      <c r="AB5389" s="79" t="str">
        <f>IF(AND(OR(LEFT(TH!N5389,2)="15",LEFT(TH!O5389,2)="15"),LEFT(TH!O5389,3)&lt;&gt;"111",'152-CT'!$J$8=TH!F5389),"x","")</f>
        <v/>
      </c>
      <c r="AC5389" s="79" t="str">
        <f>IF(AND(OR(LEFT(TH!N5389,2)="15",LEFT(TH!O5389,2)="15"),TK!$E$7=TH!F5389),"x","")</f>
        <v/>
      </c>
      <c r="AD5389" s="79" t="str">
        <f>IF(AND(N5389="1521",MONTH(C5389)='BK-NL'!$M$11),"x","")</f>
        <v/>
      </c>
    </row>
    <row r="5390" spans="1:30" ht="16.5" customHeight="1">
      <c r="A5390" s="318" t="str">
        <f>IF(B5390&lt;&gt;"",IF(AND(B5390='IN-TC'!$S$4,OR(TH!N5390="1111",TH!O5390="1111")),TH!D5390,""),"")</f>
        <v/>
      </c>
      <c r="B5390" s="60" t="str">
        <f t="shared" si="505"/>
        <v/>
      </c>
      <c r="C5390" s="61"/>
      <c r="D5390" s="61"/>
      <c r="E5390" s="61"/>
      <c r="F5390" s="69"/>
      <c r="G5390" s="766"/>
      <c r="H5390" s="69"/>
      <c r="I5390" s="385"/>
      <c r="J5390" s="392"/>
      <c r="K5390" s="385"/>
      <c r="L5390" s="392"/>
      <c r="M5390" s="62"/>
      <c r="N5390" s="63"/>
      <c r="O5390" s="63"/>
      <c r="P5390" s="79" t="str">
        <f>IF(AND('331-CT'!$E$7=TH!H5390,OR(N5390="331",O5390="331")),"x","")</f>
        <v/>
      </c>
      <c r="Q5390" s="79" t="str">
        <f>IF(AND(B5390='111'!$L$11,OR($N5390=$Q$7,$O5390=$Q$7)),"x","")</f>
        <v/>
      </c>
      <c r="R5390" s="79" t="str">
        <f>IF(AND($N5390=$Q$7,$B5390&lt;'111'!$L$11),"x","")</f>
        <v/>
      </c>
      <c r="S5390" s="79" t="str">
        <f>IF(AND($O5390=$Q$7,$B5390&lt;'111'!$L$11),"x","")</f>
        <v/>
      </c>
      <c r="T5390" s="79" t="str">
        <f>IF(ISERROR(FIND('112'!$M$9,G5390,1)),"",IF((AND(FIND('112'!$M$9,G5390,1)&gt;=1,B5390='112'!$K$9,OR($N5390='112'!$I$6,$O5390='112'!$I$6))),"x",""))</f>
        <v/>
      </c>
      <c r="U5390" s="79" t="str">
        <f>IF(ISERROR(FIND('112'!$M$9,G5390,1)),"",IF((AND(LEFT(G5390,2)=LEFT('112'!$M$9,2),B5390&lt;'112'!$K$9,$N5390='112'!$I$6)),"x",""))</f>
        <v/>
      </c>
      <c r="V5390" s="79" t="str">
        <f>IF(ISERROR(FIND('112'!$M$9,G5390,1)),"",IF((AND(RIGHT(G5390,2)=RIGHT('112'!$M$9,2),B5390&lt;'112'!$K$9,$O5390='112'!$I$6)),"x",""))</f>
        <v/>
      </c>
      <c r="W5390" s="79" t="str">
        <f>IF(AND('341-CT'!$H$9=H5390,OR(LEFT(N5390,3)=$W$7,LEFT(O5390,3)=$W$7)),"x","")</f>
        <v/>
      </c>
      <c r="X5390" s="79" t="str">
        <f>IF(OR(TH!N5390=TH!$X$7,O5390=TH!$X$7),"x","")</f>
        <v/>
      </c>
      <c r="Y5390" s="79" t="str">
        <f>IF(AND(OR(N5390="131",O5390="131"),H5390='131-CT'!$H$9),"x","")</f>
        <v/>
      </c>
      <c r="Z5390" s="79"/>
      <c r="AA5390" s="79" t="str">
        <f>IF(AND(MONTH(E5390)='IN-NX'!$J$5,'IN-NX'!$D$7=D5390),"x","")</f>
        <v/>
      </c>
      <c r="AB5390" s="79" t="str">
        <f>IF(AND(OR(LEFT(TH!N5390,2)="15",LEFT(TH!O5390,2)="15"),LEFT(TH!O5390,3)&lt;&gt;"111",'152-CT'!$J$8=TH!F5390),"x","")</f>
        <v/>
      </c>
      <c r="AC5390" s="79" t="str">
        <f>IF(AND(OR(LEFT(TH!N5390,2)="15",LEFT(TH!O5390,2)="15"),TK!$E$7=TH!F5390),"x","")</f>
        <v/>
      </c>
      <c r="AD5390" s="79" t="str">
        <f>IF(AND(N5390="1521",MONTH(C5390)='BK-NL'!$M$11),"x","")</f>
        <v/>
      </c>
    </row>
    <row r="5391" spans="1:30" ht="16.5" customHeight="1">
      <c r="A5391" s="318" t="str">
        <f>IF(B5391&lt;&gt;"",IF(AND(B5391='IN-TC'!$S$4,OR(TH!N5391="1111",TH!O5391="1111")),TH!D5391,""),"")</f>
        <v/>
      </c>
      <c r="B5391" s="60" t="str">
        <f t="shared" si="505"/>
        <v/>
      </c>
      <c r="C5391" s="61"/>
      <c r="D5391" s="61"/>
      <c r="E5391" s="61"/>
      <c r="F5391" s="69"/>
      <c r="G5391" s="766"/>
      <c r="H5391" s="69"/>
      <c r="I5391" s="385"/>
      <c r="J5391" s="392"/>
      <c r="K5391" s="385"/>
      <c r="L5391" s="392"/>
      <c r="M5391" s="62"/>
      <c r="N5391" s="63"/>
      <c r="O5391" s="63"/>
      <c r="P5391" s="79" t="str">
        <f>IF(AND('331-CT'!$E$7=TH!H5391,OR(N5391="331",O5391="331")),"x","")</f>
        <v/>
      </c>
      <c r="Q5391" s="79" t="str">
        <f>IF(AND(B5391='111'!$L$11,OR($N5391=$Q$7,$O5391=$Q$7)),"x","")</f>
        <v/>
      </c>
      <c r="R5391" s="79" t="str">
        <f>IF(AND($N5391=$Q$7,$B5391&lt;'111'!$L$11),"x","")</f>
        <v/>
      </c>
      <c r="S5391" s="79" t="str">
        <f>IF(AND($O5391=$Q$7,$B5391&lt;'111'!$L$11),"x","")</f>
        <v/>
      </c>
      <c r="T5391" s="79" t="str">
        <f>IF(ISERROR(FIND('112'!$M$9,G5391,1)),"",IF((AND(FIND('112'!$M$9,G5391,1)&gt;=1,B5391='112'!$K$9,OR($N5391='112'!$I$6,$O5391='112'!$I$6))),"x",""))</f>
        <v/>
      </c>
      <c r="U5391" s="79" t="str">
        <f>IF(ISERROR(FIND('112'!$M$9,G5391,1)),"",IF((AND(LEFT(G5391,2)=LEFT('112'!$M$9,2),B5391&lt;'112'!$K$9,$N5391='112'!$I$6)),"x",""))</f>
        <v/>
      </c>
      <c r="V5391" s="79" t="str">
        <f>IF(ISERROR(FIND('112'!$M$9,G5391,1)),"",IF((AND(RIGHT(G5391,2)=RIGHT('112'!$M$9,2),B5391&lt;'112'!$K$9,$O5391='112'!$I$6)),"x",""))</f>
        <v/>
      </c>
      <c r="W5391" s="79" t="str">
        <f>IF(AND('341-CT'!$H$9=H5391,OR(LEFT(N5391,3)=$W$7,LEFT(O5391,3)=$W$7)),"x","")</f>
        <v/>
      </c>
      <c r="X5391" s="79" t="str">
        <f>IF(OR(TH!N5391=TH!$X$7,O5391=TH!$X$7),"x","")</f>
        <v/>
      </c>
      <c r="Y5391" s="79" t="str">
        <f>IF(AND(OR(N5391="131",O5391="131"),H5391='131-CT'!$H$9),"x","")</f>
        <v/>
      </c>
      <c r="Z5391" s="79"/>
      <c r="AA5391" s="79" t="str">
        <f>IF(AND(MONTH(E5391)='IN-NX'!$J$5,'IN-NX'!$D$7=D5391),"x","")</f>
        <v/>
      </c>
      <c r="AB5391" s="79" t="str">
        <f>IF(AND(OR(LEFT(TH!N5391,2)="15",LEFT(TH!O5391,2)="15"),LEFT(TH!O5391,3)&lt;&gt;"111",'152-CT'!$J$8=TH!F5391),"x","")</f>
        <v/>
      </c>
      <c r="AC5391" s="79" t="str">
        <f>IF(AND(OR(LEFT(TH!N5391,2)="15",LEFT(TH!O5391,2)="15"),TK!$E$7=TH!F5391),"x","")</f>
        <v/>
      </c>
      <c r="AD5391" s="79" t="str">
        <f>IF(AND(N5391="1521",MONTH(C5391)='BK-NL'!$M$11),"x","")</f>
        <v/>
      </c>
    </row>
    <row r="5392" spans="1:30" ht="16.5" customHeight="1">
      <c r="A5392" s="318" t="str">
        <f>IF(B5392&lt;&gt;"",IF(AND(B5392='IN-TC'!$S$4,OR(TH!N5392="1111",TH!O5392="1111")),TH!D5392,""),"")</f>
        <v/>
      </c>
      <c r="B5392" s="60" t="str">
        <f t="shared" si="505"/>
        <v/>
      </c>
      <c r="C5392" s="61"/>
      <c r="D5392" s="61"/>
      <c r="E5392" s="61"/>
      <c r="F5392" s="69"/>
      <c r="G5392" s="766"/>
      <c r="H5392" s="69"/>
      <c r="I5392" s="385"/>
      <c r="J5392" s="392"/>
      <c r="K5392" s="385"/>
      <c r="L5392" s="392"/>
      <c r="M5392" s="62"/>
      <c r="N5392" s="63"/>
      <c r="O5392" s="63"/>
      <c r="P5392" s="79" t="str">
        <f>IF(AND('331-CT'!$E$7=TH!H5392,OR(N5392="331",O5392="331")),"x","")</f>
        <v/>
      </c>
      <c r="Q5392" s="79" t="str">
        <f>IF(AND(B5392='111'!$L$11,OR($N5392=$Q$7,$O5392=$Q$7)),"x","")</f>
        <v/>
      </c>
      <c r="R5392" s="79" t="str">
        <f>IF(AND($N5392=$Q$7,$B5392&lt;'111'!$L$11),"x","")</f>
        <v/>
      </c>
      <c r="S5392" s="79" t="str">
        <f>IF(AND($O5392=$Q$7,$B5392&lt;'111'!$L$11),"x","")</f>
        <v/>
      </c>
      <c r="T5392" s="79" t="str">
        <f>IF(ISERROR(FIND('112'!$M$9,G5392,1)),"",IF((AND(FIND('112'!$M$9,G5392,1)&gt;=1,B5392='112'!$K$9,OR($N5392='112'!$I$6,$O5392='112'!$I$6))),"x",""))</f>
        <v/>
      </c>
      <c r="U5392" s="79" t="str">
        <f>IF(ISERROR(FIND('112'!$M$9,G5392,1)),"",IF((AND(LEFT(G5392,2)=LEFT('112'!$M$9,2),B5392&lt;'112'!$K$9,$N5392='112'!$I$6)),"x",""))</f>
        <v/>
      </c>
      <c r="V5392" s="79" t="str">
        <f>IF(ISERROR(FIND('112'!$M$9,G5392,1)),"",IF((AND(RIGHT(G5392,2)=RIGHT('112'!$M$9,2),B5392&lt;'112'!$K$9,$O5392='112'!$I$6)),"x",""))</f>
        <v/>
      </c>
      <c r="W5392" s="79" t="str">
        <f>IF(AND('341-CT'!$H$9=H5392,OR(LEFT(N5392,3)=$W$7,LEFT(O5392,3)=$W$7)),"x","")</f>
        <v/>
      </c>
      <c r="X5392" s="79" t="str">
        <f>IF(OR(TH!N5392=TH!$X$7,O5392=TH!$X$7),"x","")</f>
        <v/>
      </c>
      <c r="Y5392" s="79" t="str">
        <f>IF(AND(OR(N5392="131",O5392="131"),H5392='131-CT'!$H$9),"x","")</f>
        <v/>
      </c>
      <c r="Z5392" s="79"/>
      <c r="AA5392" s="79" t="str">
        <f>IF(AND(MONTH(E5392)='IN-NX'!$J$5,'IN-NX'!$D$7=D5392),"x","")</f>
        <v/>
      </c>
      <c r="AB5392" s="79" t="str">
        <f>IF(AND(OR(LEFT(TH!N5392,2)="15",LEFT(TH!O5392,2)="15"),LEFT(TH!O5392,3)&lt;&gt;"111",'152-CT'!$J$8=TH!F5392),"x","")</f>
        <v/>
      </c>
      <c r="AC5392" s="79" t="str">
        <f>IF(AND(OR(LEFT(TH!N5392,2)="15",LEFT(TH!O5392,2)="15"),TK!$E$7=TH!F5392),"x","")</f>
        <v/>
      </c>
      <c r="AD5392" s="79" t="str">
        <f>IF(AND(N5392="1521",MONTH(C5392)='BK-NL'!$M$11),"x","")</f>
        <v/>
      </c>
    </row>
    <row r="5393" spans="1:30" ht="16.5" customHeight="1">
      <c r="A5393" s="318" t="str">
        <f>IF(B5393&lt;&gt;"",IF(AND(B5393='IN-TC'!$S$4,OR(TH!N5393="1111",TH!O5393="1111")),TH!D5393,""),"")</f>
        <v/>
      </c>
      <c r="B5393" s="60" t="str">
        <f t="shared" si="505"/>
        <v/>
      </c>
      <c r="C5393" s="61"/>
      <c r="D5393" s="61"/>
      <c r="E5393" s="61"/>
      <c r="F5393" s="69"/>
      <c r="G5393" s="766"/>
      <c r="H5393" s="69"/>
      <c r="I5393" s="385"/>
      <c r="J5393" s="392"/>
      <c r="K5393" s="385"/>
      <c r="L5393" s="392"/>
      <c r="M5393" s="62"/>
      <c r="N5393" s="63"/>
      <c r="O5393" s="63"/>
      <c r="P5393" s="79" t="str">
        <f>IF(AND('331-CT'!$E$7=TH!H5393,OR(N5393="331",O5393="331")),"x","")</f>
        <v/>
      </c>
      <c r="Q5393" s="79" t="str">
        <f>IF(AND(B5393='111'!$L$11,OR($N5393=$Q$7,$O5393=$Q$7)),"x","")</f>
        <v/>
      </c>
      <c r="R5393" s="79" t="str">
        <f>IF(AND($N5393=$Q$7,$B5393&lt;'111'!$L$11),"x","")</f>
        <v/>
      </c>
      <c r="S5393" s="79" t="str">
        <f>IF(AND($O5393=$Q$7,$B5393&lt;'111'!$L$11),"x","")</f>
        <v/>
      </c>
      <c r="T5393" s="79" t="str">
        <f>IF(ISERROR(FIND('112'!$M$9,G5393,1)),"",IF((AND(FIND('112'!$M$9,G5393,1)&gt;=1,B5393='112'!$K$9,OR($N5393='112'!$I$6,$O5393='112'!$I$6))),"x",""))</f>
        <v/>
      </c>
      <c r="U5393" s="79" t="str">
        <f>IF(ISERROR(FIND('112'!$M$9,G5393,1)),"",IF((AND(LEFT(G5393,2)=LEFT('112'!$M$9,2),B5393&lt;'112'!$K$9,$N5393='112'!$I$6)),"x",""))</f>
        <v/>
      </c>
      <c r="V5393" s="79" t="str">
        <f>IF(ISERROR(FIND('112'!$M$9,G5393,1)),"",IF((AND(RIGHT(G5393,2)=RIGHT('112'!$M$9,2),B5393&lt;'112'!$K$9,$O5393='112'!$I$6)),"x",""))</f>
        <v/>
      </c>
      <c r="W5393" s="79" t="str">
        <f>IF(AND('341-CT'!$H$9=H5393,OR(LEFT(N5393,3)=$W$7,LEFT(O5393,3)=$W$7)),"x","")</f>
        <v/>
      </c>
      <c r="X5393" s="79" t="str">
        <f>IF(OR(TH!N5393=TH!$X$7,O5393=TH!$X$7),"x","")</f>
        <v/>
      </c>
      <c r="Y5393" s="79" t="str">
        <f>IF(AND(OR(N5393="131",O5393="131"),H5393='131-CT'!$H$9),"x","")</f>
        <v/>
      </c>
      <c r="Z5393" s="79"/>
      <c r="AA5393" s="79" t="str">
        <f>IF(AND(MONTH(E5393)='IN-NX'!$J$5,'IN-NX'!$D$7=D5393),"x","")</f>
        <v/>
      </c>
      <c r="AB5393" s="79" t="str">
        <f>IF(AND(OR(LEFT(TH!N5393,2)="15",LEFT(TH!O5393,2)="15"),LEFT(TH!O5393,3)&lt;&gt;"111",'152-CT'!$J$8=TH!F5393),"x","")</f>
        <v/>
      </c>
      <c r="AC5393" s="79" t="str">
        <f>IF(AND(OR(LEFT(TH!N5393,2)="15",LEFT(TH!O5393,2)="15"),TK!$E$7=TH!F5393),"x","")</f>
        <v/>
      </c>
      <c r="AD5393" s="79" t="str">
        <f>IF(AND(N5393="1521",MONTH(C5393)='BK-NL'!$M$11),"x","")</f>
        <v/>
      </c>
    </row>
    <row r="5394" spans="1:30" ht="16.5" customHeight="1">
      <c r="A5394" s="318" t="str">
        <f>IF(B5394&lt;&gt;"",IF(AND(B5394='IN-TC'!$S$4,OR(TH!N5394="1111",TH!O5394="1111")),TH!D5394,""),"")</f>
        <v/>
      </c>
      <c r="B5394" s="60" t="str">
        <f t="shared" si="505"/>
        <v/>
      </c>
      <c r="C5394" s="61"/>
      <c r="D5394" s="61"/>
      <c r="E5394" s="61"/>
      <c r="F5394" s="69"/>
      <c r="G5394" s="766"/>
      <c r="H5394" s="69"/>
      <c r="I5394" s="385"/>
      <c r="J5394" s="392"/>
      <c r="K5394" s="385"/>
      <c r="L5394" s="392"/>
      <c r="M5394" s="62"/>
      <c r="N5394" s="63"/>
      <c r="O5394" s="63"/>
      <c r="P5394" s="79" t="str">
        <f>IF(AND('331-CT'!$E$7=TH!H5394,OR(N5394="331",O5394="331")),"x","")</f>
        <v/>
      </c>
      <c r="Q5394" s="79" t="str">
        <f>IF(AND(B5394='111'!$L$11,OR($N5394=$Q$7,$O5394=$Q$7)),"x","")</f>
        <v/>
      </c>
      <c r="R5394" s="79" t="str">
        <f>IF(AND($N5394=$Q$7,$B5394&lt;'111'!$L$11),"x","")</f>
        <v/>
      </c>
      <c r="S5394" s="79" t="str">
        <f>IF(AND($O5394=$Q$7,$B5394&lt;'111'!$L$11),"x","")</f>
        <v/>
      </c>
      <c r="T5394" s="79" t="str">
        <f>IF(ISERROR(FIND('112'!$M$9,G5394,1)),"",IF((AND(FIND('112'!$M$9,G5394,1)&gt;=1,B5394='112'!$K$9,OR($N5394='112'!$I$6,$O5394='112'!$I$6))),"x",""))</f>
        <v/>
      </c>
      <c r="U5394" s="79" t="str">
        <f>IF(ISERROR(FIND('112'!$M$9,G5394,1)),"",IF((AND(LEFT(G5394,2)=LEFT('112'!$M$9,2),B5394&lt;'112'!$K$9,$N5394='112'!$I$6)),"x",""))</f>
        <v/>
      </c>
      <c r="V5394" s="79" t="str">
        <f>IF(ISERROR(FIND('112'!$M$9,G5394,1)),"",IF((AND(RIGHT(G5394,2)=RIGHT('112'!$M$9,2),B5394&lt;'112'!$K$9,$O5394='112'!$I$6)),"x",""))</f>
        <v/>
      </c>
      <c r="W5394" s="79" t="str">
        <f>IF(AND('341-CT'!$H$9=H5394,OR(LEFT(N5394,3)=$W$7,LEFT(O5394,3)=$W$7)),"x","")</f>
        <v/>
      </c>
      <c r="X5394" s="79" t="str">
        <f>IF(OR(TH!N5394=TH!$X$7,O5394=TH!$X$7),"x","")</f>
        <v/>
      </c>
      <c r="Y5394" s="79" t="str">
        <f>IF(AND(OR(N5394="131",O5394="131"),H5394='131-CT'!$H$9),"x","")</f>
        <v/>
      </c>
      <c r="Z5394" s="79"/>
      <c r="AA5394" s="79" t="str">
        <f>IF(AND(MONTH(E5394)='IN-NX'!$J$5,'IN-NX'!$D$7=D5394),"x","")</f>
        <v/>
      </c>
      <c r="AB5394" s="79" t="str">
        <f>IF(AND(OR(LEFT(TH!N5394,2)="15",LEFT(TH!O5394,2)="15"),LEFT(TH!O5394,3)&lt;&gt;"111",'152-CT'!$J$8=TH!F5394),"x","")</f>
        <v/>
      </c>
      <c r="AC5394" s="79" t="str">
        <f>IF(AND(OR(LEFT(TH!N5394,2)="15",LEFT(TH!O5394,2)="15"),TK!$E$7=TH!F5394),"x","")</f>
        <v/>
      </c>
      <c r="AD5394" s="79" t="str">
        <f>IF(AND(N5394="1521",MONTH(C5394)='BK-NL'!$M$11),"x","")</f>
        <v/>
      </c>
    </row>
    <row r="5395" spans="1:30" ht="16.5" customHeight="1">
      <c r="A5395" s="318" t="str">
        <f>IF(B5395&lt;&gt;"",IF(AND(B5395='IN-TC'!$S$4,OR(TH!N5395="1111",TH!O5395="1111")),TH!D5395,""),"")</f>
        <v/>
      </c>
      <c r="B5395" s="60" t="str">
        <f t="shared" si="505"/>
        <v/>
      </c>
      <c r="C5395" s="61"/>
      <c r="D5395" s="61"/>
      <c r="E5395" s="61"/>
      <c r="F5395" s="69"/>
      <c r="G5395" s="766"/>
      <c r="H5395" s="69"/>
      <c r="I5395" s="385"/>
      <c r="J5395" s="392"/>
      <c r="K5395" s="385"/>
      <c r="L5395" s="392"/>
      <c r="M5395" s="62"/>
      <c r="N5395" s="63"/>
      <c r="O5395" s="63"/>
      <c r="P5395" s="79" t="str">
        <f>IF(AND('331-CT'!$E$7=TH!H5395,OR(N5395="331",O5395="331")),"x","")</f>
        <v/>
      </c>
      <c r="Q5395" s="79" t="str">
        <f>IF(AND(B5395='111'!$L$11,OR($N5395=$Q$7,$O5395=$Q$7)),"x","")</f>
        <v/>
      </c>
      <c r="R5395" s="79" t="str">
        <f>IF(AND($N5395=$Q$7,$B5395&lt;'111'!$L$11),"x","")</f>
        <v/>
      </c>
      <c r="S5395" s="79" t="str">
        <f>IF(AND($O5395=$Q$7,$B5395&lt;'111'!$L$11),"x","")</f>
        <v/>
      </c>
      <c r="T5395" s="79" t="str">
        <f>IF(ISERROR(FIND('112'!$M$9,G5395,1)),"",IF((AND(FIND('112'!$M$9,G5395,1)&gt;=1,B5395='112'!$K$9,OR($N5395='112'!$I$6,$O5395='112'!$I$6))),"x",""))</f>
        <v/>
      </c>
      <c r="U5395" s="79" t="str">
        <f>IF(ISERROR(FIND('112'!$M$9,G5395,1)),"",IF((AND(LEFT(G5395,2)=LEFT('112'!$M$9,2),B5395&lt;'112'!$K$9,$N5395='112'!$I$6)),"x",""))</f>
        <v/>
      </c>
      <c r="V5395" s="79" t="str">
        <f>IF(ISERROR(FIND('112'!$M$9,G5395,1)),"",IF((AND(RIGHT(G5395,2)=RIGHT('112'!$M$9,2),B5395&lt;'112'!$K$9,$O5395='112'!$I$6)),"x",""))</f>
        <v/>
      </c>
      <c r="W5395" s="79" t="str">
        <f>IF(AND('341-CT'!$H$9=H5395,OR(LEFT(N5395,3)=$W$7,LEFT(O5395,3)=$W$7)),"x","")</f>
        <v/>
      </c>
      <c r="X5395" s="79" t="str">
        <f>IF(OR(TH!N5395=TH!$X$7,O5395=TH!$X$7),"x","")</f>
        <v/>
      </c>
      <c r="Y5395" s="79" t="str">
        <f>IF(AND(OR(N5395="131",O5395="131"),H5395='131-CT'!$H$9),"x","")</f>
        <v/>
      </c>
      <c r="Z5395" s="79"/>
      <c r="AA5395" s="79" t="str">
        <f>IF(AND(MONTH(E5395)='IN-NX'!$J$5,'IN-NX'!$D$7=D5395),"x","")</f>
        <v/>
      </c>
      <c r="AB5395" s="79" t="str">
        <f>IF(AND(OR(LEFT(TH!N5395,2)="15",LEFT(TH!O5395,2)="15"),LEFT(TH!O5395,3)&lt;&gt;"111",'152-CT'!$J$8=TH!F5395),"x","")</f>
        <v/>
      </c>
      <c r="AC5395" s="79" t="str">
        <f>IF(AND(OR(LEFT(TH!N5395,2)="15",LEFT(TH!O5395,2)="15"),TK!$E$7=TH!F5395),"x","")</f>
        <v/>
      </c>
      <c r="AD5395" s="79" t="str">
        <f>IF(AND(N5395="1521",MONTH(C5395)='BK-NL'!$M$11),"x","")</f>
        <v/>
      </c>
    </row>
    <row r="5396" spans="1:30" ht="16.5" customHeight="1">
      <c r="A5396" s="318" t="str">
        <f>IF(B5396&lt;&gt;"",IF(AND(B5396='IN-TC'!$S$4,OR(TH!N5396="1111",TH!O5396="1111")),TH!D5396,""),"")</f>
        <v/>
      </c>
      <c r="B5396" s="60" t="str">
        <f t="shared" si="505"/>
        <v/>
      </c>
      <c r="C5396" s="61"/>
      <c r="D5396" s="61"/>
      <c r="E5396" s="61"/>
      <c r="F5396" s="69"/>
      <c r="G5396" s="766"/>
      <c r="H5396" s="69"/>
      <c r="I5396" s="385"/>
      <c r="J5396" s="392"/>
      <c r="K5396" s="385"/>
      <c r="L5396" s="392"/>
      <c r="M5396" s="62"/>
      <c r="N5396" s="63"/>
      <c r="O5396" s="63"/>
      <c r="P5396" s="79" t="str">
        <f>IF(AND('331-CT'!$E$7=TH!H5396,OR(N5396="331",O5396="331")),"x","")</f>
        <v/>
      </c>
      <c r="Q5396" s="79" t="str">
        <f>IF(AND(B5396='111'!$L$11,OR($N5396=$Q$7,$O5396=$Q$7)),"x","")</f>
        <v/>
      </c>
      <c r="R5396" s="79" t="str">
        <f>IF(AND($N5396=$Q$7,$B5396&lt;'111'!$L$11),"x","")</f>
        <v/>
      </c>
      <c r="S5396" s="79" t="str">
        <f>IF(AND($O5396=$Q$7,$B5396&lt;'111'!$L$11),"x","")</f>
        <v/>
      </c>
      <c r="T5396" s="79" t="str">
        <f>IF(ISERROR(FIND('112'!$M$9,G5396,1)),"",IF((AND(FIND('112'!$M$9,G5396,1)&gt;=1,B5396='112'!$K$9,OR($N5396='112'!$I$6,$O5396='112'!$I$6))),"x",""))</f>
        <v/>
      </c>
      <c r="U5396" s="79" t="str">
        <f>IF(ISERROR(FIND('112'!$M$9,G5396,1)),"",IF((AND(LEFT(G5396,2)=LEFT('112'!$M$9,2),B5396&lt;'112'!$K$9,$N5396='112'!$I$6)),"x",""))</f>
        <v/>
      </c>
      <c r="V5396" s="79" t="str">
        <f>IF(ISERROR(FIND('112'!$M$9,G5396,1)),"",IF((AND(RIGHT(G5396,2)=RIGHT('112'!$M$9,2),B5396&lt;'112'!$K$9,$O5396='112'!$I$6)),"x",""))</f>
        <v/>
      </c>
      <c r="W5396" s="79" t="str">
        <f>IF(AND('341-CT'!$H$9=H5396,OR(LEFT(N5396,3)=$W$7,LEFT(O5396,3)=$W$7)),"x","")</f>
        <v/>
      </c>
      <c r="X5396" s="79" t="str">
        <f>IF(OR(TH!N5396=TH!$X$7,O5396=TH!$X$7),"x","")</f>
        <v/>
      </c>
      <c r="Y5396" s="79" t="str">
        <f>IF(AND(OR(N5396="131",O5396="131"),H5396='131-CT'!$H$9),"x","")</f>
        <v/>
      </c>
      <c r="Z5396" s="79"/>
      <c r="AA5396" s="79" t="str">
        <f>IF(AND(MONTH(E5396)='IN-NX'!$J$5,'IN-NX'!$D$7=D5396),"x","")</f>
        <v/>
      </c>
      <c r="AB5396" s="79" t="str">
        <f>IF(AND(OR(LEFT(TH!N5396,2)="15",LEFT(TH!O5396,2)="15"),LEFT(TH!O5396,3)&lt;&gt;"111",'152-CT'!$J$8=TH!F5396),"x","")</f>
        <v/>
      </c>
      <c r="AC5396" s="79" t="str">
        <f>IF(AND(OR(LEFT(TH!N5396,2)="15",LEFT(TH!O5396,2)="15"),TK!$E$7=TH!F5396),"x","")</f>
        <v/>
      </c>
      <c r="AD5396" s="79" t="str">
        <f>IF(AND(N5396="1521",MONTH(C5396)='BK-NL'!$M$11),"x","")</f>
        <v/>
      </c>
    </row>
    <row r="5397" spans="1:30" ht="16.5" customHeight="1">
      <c r="A5397" s="318" t="str">
        <f>IF(B5397&lt;&gt;"",IF(AND(B5397='IN-TC'!$S$4,OR(TH!N5397="1111",TH!O5397="1111")),TH!D5397,""),"")</f>
        <v/>
      </c>
      <c r="B5397" s="60" t="str">
        <f t="shared" si="505"/>
        <v/>
      </c>
      <c r="C5397" s="61"/>
      <c r="D5397" s="61"/>
      <c r="E5397" s="61"/>
      <c r="F5397" s="69"/>
      <c r="G5397" s="766"/>
      <c r="H5397" s="69"/>
      <c r="I5397" s="385"/>
      <c r="J5397" s="392"/>
      <c r="K5397" s="385"/>
      <c r="L5397" s="392"/>
      <c r="M5397" s="62"/>
      <c r="N5397" s="63"/>
      <c r="O5397" s="63"/>
      <c r="P5397" s="79" t="str">
        <f>IF(AND('331-CT'!$E$7=TH!H5397,OR(N5397="331",O5397="331")),"x","")</f>
        <v/>
      </c>
      <c r="Q5397" s="79" t="str">
        <f>IF(AND(B5397='111'!$L$11,OR($N5397=$Q$7,$O5397=$Q$7)),"x","")</f>
        <v/>
      </c>
      <c r="R5397" s="79" t="str">
        <f>IF(AND($N5397=$Q$7,$B5397&lt;'111'!$L$11),"x","")</f>
        <v/>
      </c>
      <c r="S5397" s="79" t="str">
        <f>IF(AND($O5397=$Q$7,$B5397&lt;'111'!$L$11),"x","")</f>
        <v/>
      </c>
      <c r="T5397" s="79" t="str">
        <f>IF(ISERROR(FIND('112'!$M$9,G5397,1)),"",IF((AND(FIND('112'!$M$9,G5397,1)&gt;=1,B5397='112'!$K$9,OR($N5397='112'!$I$6,$O5397='112'!$I$6))),"x",""))</f>
        <v/>
      </c>
      <c r="U5397" s="79" t="str">
        <f>IF(ISERROR(FIND('112'!$M$9,G5397,1)),"",IF((AND(LEFT(G5397,2)=LEFT('112'!$M$9,2),B5397&lt;'112'!$K$9,$N5397='112'!$I$6)),"x",""))</f>
        <v/>
      </c>
      <c r="V5397" s="79" t="str">
        <f>IF(ISERROR(FIND('112'!$M$9,G5397,1)),"",IF((AND(RIGHT(G5397,2)=RIGHT('112'!$M$9,2),B5397&lt;'112'!$K$9,$O5397='112'!$I$6)),"x",""))</f>
        <v/>
      </c>
      <c r="W5397" s="79" t="str">
        <f>IF(AND('341-CT'!$H$9=H5397,OR(LEFT(N5397,3)=$W$7,LEFT(O5397,3)=$W$7)),"x","")</f>
        <v/>
      </c>
      <c r="X5397" s="79" t="str">
        <f>IF(OR(TH!N5397=TH!$X$7,O5397=TH!$X$7),"x","")</f>
        <v/>
      </c>
      <c r="Y5397" s="79" t="str">
        <f>IF(AND(OR(N5397="131",O5397="131"),H5397='131-CT'!$H$9),"x","")</f>
        <v/>
      </c>
      <c r="Z5397" s="79"/>
      <c r="AA5397" s="79" t="str">
        <f>IF(AND(MONTH(E5397)='IN-NX'!$J$5,'IN-NX'!$D$7=D5397),"x","")</f>
        <v/>
      </c>
      <c r="AB5397" s="79" t="str">
        <f>IF(AND(OR(LEFT(TH!N5397,2)="15",LEFT(TH!O5397,2)="15"),LEFT(TH!O5397,3)&lt;&gt;"111",'152-CT'!$J$8=TH!F5397),"x","")</f>
        <v/>
      </c>
      <c r="AC5397" s="79" t="str">
        <f>IF(AND(OR(LEFT(TH!N5397,2)="15",LEFT(TH!O5397,2)="15"),TK!$E$7=TH!F5397),"x","")</f>
        <v/>
      </c>
      <c r="AD5397" s="79" t="str">
        <f>IF(AND(N5397="1521",MONTH(C5397)='BK-NL'!$M$11),"x","")</f>
        <v/>
      </c>
    </row>
    <row r="5398" spans="1:30" ht="16.5" customHeight="1">
      <c r="A5398" s="318" t="str">
        <f>IF(B5398&lt;&gt;"",IF(AND(B5398='IN-TC'!$S$4,OR(TH!N5398="1111",TH!O5398="1111")),TH!D5398,""),"")</f>
        <v/>
      </c>
      <c r="B5398" s="60" t="str">
        <f t="shared" si="505"/>
        <v/>
      </c>
      <c r="C5398" s="61"/>
      <c r="D5398" s="61"/>
      <c r="E5398" s="61"/>
      <c r="F5398" s="69"/>
      <c r="G5398" s="766"/>
      <c r="H5398" s="69"/>
      <c r="I5398" s="385"/>
      <c r="J5398" s="392"/>
      <c r="K5398" s="385"/>
      <c r="L5398" s="392"/>
      <c r="M5398" s="62"/>
      <c r="N5398" s="63"/>
      <c r="O5398" s="63"/>
      <c r="P5398" s="79" t="str">
        <f>IF(AND('331-CT'!$E$7=TH!H5398,OR(N5398="331",O5398="331")),"x","")</f>
        <v/>
      </c>
      <c r="Q5398" s="79" t="str">
        <f>IF(AND(B5398='111'!$L$11,OR($N5398=$Q$7,$O5398=$Q$7)),"x","")</f>
        <v/>
      </c>
      <c r="R5398" s="79" t="str">
        <f>IF(AND($N5398=$Q$7,$B5398&lt;'111'!$L$11),"x","")</f>
        <v/>
      </c>
      <c r="S5398" s="79" t="str">
        <f>IF(AND($O5398=$Q$7,$B5398&lt;'111'!$L$11),"x","")</f>
        <v/>
      </c>
      <c r="T5398" s="79" t="str">
        <f>IF(ISERROR(FIND('112'!$M$9,G5398,1)),"",IF((AND(FIND('112'!$M$9,G5398,1)&gt;=1,B5398='112'!$K$9,OR($N5398='112'!$I$6,$O5398='112'!$I$6))),"x",""))</f>
        <v/>
      </c>
      <c r="U5398" s="79" t="str">
        <f>IF(ISERROR(FIND('112'!$M$9,G5398,1)),"",IF((AND(LEFT(G5398,2)=LEFT('112'!$M$9,2),B5398&lt;'112'!$K$9,$N5398='112'!$I$6)),"x",""))</f>
        <v/>
      </c>
      <c r="V5398" s="79" t="str">
        <f>IF(ISERROR(FIND('112'!$M$9,G5398,1)),"",IF((AND(RIGHT(G5398,2)=RIGHT('112'!$M$9,2),B5398&lt;'112'!$K$9,$O5398='112'!$I$6)),"x",""))</f>
        <v/>
      </c>
      <c r="W5398" s="79" t="str">
        <f>IF(AND('341-CT'!$H$9=H5398,OR(LEFT(N5398,3)=$W$7,LEFT(O5398,3)=$W$7)),"x","")</f>
        <v/>
      </c>
      <c r="X5398" s="79" t="str">
        <f>IF(OR(TH!N5398=TH!$X$7,O5398=TH!$X$7),"x","")</f>
        <v/>
      </c>
      <c r="Y5398" s="79" t="str">
        <f>IF(AND(OR(N5398="131",O5398="131"),H5398='131-CT'!$H$9),"x","")</f>
        <v/>
      </c>
      <c r="Z5398" s="79"/>
      <c r="AA5398" s="79" t="str">
        <f>IF(AND(MONTH(E5398)='IN-NX'!$J$5,'IN-NX'!$D$7=D5398),"x","")</f>
        <v/>
      </c>
      <c r="AB5398" s="79" t="str">
        <f>IF(AND(OR(LEFT(TH!N5398,2)="15",LEFT(TH!O5398,2)="15"),LEFT(TH!O5398,3)&lt;&gt;"111",'152-CT'!$J$8=TH!F5398),"x","")</f>
        <v/>
      </c>
      <c r="AC5398" s="79" t="str">
        <f>IF(AND(OR(LEFT(TH!N5398,2)="15",LEFT(TH!O5398,2)="15"),TK!$E$7=TH!F5398),"x","")</f>
        <v/>
      </c>
      <c r="AD5398" s="79" t="str">
        <f>IF(AND(N5398="1521",MONTH(C5398)='BK-NL'!$M$11),"x","")</f>
        <v/>
      </c>
    </row>
    <row r="5399" spans="1:30" ht="16.5" customHeight="1">
      <c r="A5399" s="318" t="str">
        <f>IF(B5399&lt;&gt;"",IF(AND(B5399='IN-TC'!$S$4,OR(TH!N5399="1111",TH!O5399="1111")),TH!D5399,""),"")</f>
        <v/>
      </c>
      <c r="B5399" s="60" t="str">
        <f t="shared" si="505"/>
        <v/>
      </c>
      <c r="C5399" s="61"/>
      <c r="D5399" s="61"/>
      <c r="E5399" s="61"/>
      <c r="F5399" s="69"/>
      <c r="G5399" s="766"/>
      <c r="H5399" s="69"/>
      <c r="I5399" s="385"/>
      <c r="J5399" s="392"/>
      <c r="K5399" s="385"/>
      <c r="L5399" s="392"/>
      <c r="M5399" s="62"/>
      <c r="N5399" s="63"/>
      <c r="O5399" s="63"/>
      <c r="P5399" s="79" t="str">
        <f>IF(AND('331-CT'!$E$7=TH!H5399,OR(N5399="331",O5399="331")),"x","")</f>
        <v/>
      </c>
      <c r="Q5399" s="79" t="str">
        <f>IF(AND(B5399='111'!$L$11,OR($N5399=$Q$7,$O5399=$Q$7)),"x","")</f>
        <v/>
      </c>
      <c r="R5399" s="79" t="str">
        <f>IF(AND($N5399=$Q$7,$B5399&lt;'111'!$L$11),"x","")</f>
        <v/>
      </c>
      <c r="S5399" s="79" t="str">
        <f>IF(AND($O5399=$Q$7,$B5399&lt;'111'!$L$11),"x","")</f>
        <v/>
      </c>
      <c r="T5399" s="79" t="str">
        <f>IF(ISERROR(FIND('112'!$M$9,G5399,1)),"",IF((AND(FIND('112'!$M$9,G5399,1)&gt;=1,B5399='112'!$K$9,OR($N5399='112'!$I$6,$O5399='112'!$I$6))),"x",""))</f>
        <v/>
      </c>
      <c r="U5399" s="79" t="str">
        <f>IF(ISERROR(FIND('112'!$M$9,G5399,1)),"",IF((AND(LEFT(G5399,2)=LEFT('112'!$M$9,2),B5399&lt;'112'!$K$9,$N5399='112'!$I$6)),"x",""))</f>
        <v/>
      </c>
      <c r="V5399" s="79" t="str">
        <f>IF(ISERROR(FIND('112'!$M$9,G5399,1)),"",IF((AND(RIGHT(G5399,2)=RIGHT('112'!$M$9,2),B5399&lt;'112'!$K$9,$O5399='112'!$I$6)),"x",""))</f>
        <v/>
      </c>
      <c r="W5399" s="79" t="str">
        <f>IF(AND('341-CT'!$H$9=H5399,OR(LEFT(N5399,3)=$W$7,LEFT(O5399,3)=$W$7)),"x","")</f>
        <v/>
      </c>
      <c r="X5399" s="79" t="str">
        <f>IF(OR(TH!N5399=TH!$X$7,O5399=TH!$X$7),"x","")</f>
        <v/>
      </c>
      <c r="Y5399" s="79" t="str">
        <f>IF(AND(OR(N5399="131",O5399="131"),H5399='131-CT'!$H$9),"x","")</f>
        <v/>
      </c>
      <c r="Z5399" s="79"/>
      <c r="AA5399" s="79" t="str">
        <f>IF(AND(MONTH(E5399)='IN-NX'!$J$5,'IN-NX'!$D$7=D5399),"x","")</f>
        <v/>
      </c>
      <c r="AB5399" s="79" t="str">
        <f>IF(AND(OR(LEFT(TH!N5399,2)="15",LEFT(TH!O5399,2)="15"),LEFT(TH!O5399,3)&lt;&gt;"111",'152-CT'!$J$8=TH!F5399),"x","")</f>
        <v/>
      </c>
      <c r="AC5399" s="79" t="str">
        <f>IF(AND(OR(LEFT(TH!N5399,2)="15",LEFT(TH!O5399,2)="15"),TK!$E$7=TH!F5399),"x","")</f>
        <v/>
      </c>
      <c r="AD5399" s="79" t="str">
        <f>IF(AND(N5399="1521",MONTH(C5399)='BK-NL'!$M$11),"x","")</f>
        <v/>
      </c>
    </row>
    <row r="5400" spans="1:30" ht="16.5" customHeight="1">
      <c r="A5400" s="318" t="str">
        <f>IF(B5400&lt;&gt;"",IF(AND(B5400='IN-TC'!$S$4,OR(TH!N5400="1111",TH!O5400="1111")),TH!D5400,""),"")</f>
        <v/>
      </c>
      <c r="B5400" s="60" t="str">
        <f t="shared" si="505"/>
        <v/>
      </c>
      <c r="C5400" s="61"/>
      <c r="D5400" s="61"/>
      <c r="E5400" s="61"/>
      <c r="F5400" s="69"/>
      <c r="G5400" s="766"/>
      <c r="H5400" s="69"/>
      <c r="I5400" s="385"/>
      <c r="J5400" s="392"/>
      <c r="K5400" s="385"/>
      <c r="L5400" s="392"/>
      <c r="M5400" s="62"/>
      <c r="N5400" s="63"/>
      <c r="O5400" s="63"/>
      <c r="P5400" s="79" t="str">
        <f>IF(AND('331-CT'!$E$7=TH!H5400,OR(N5400="331",O5400="331")),"x","")</f>
        <v/>
      </c>
      <c r="Q5400" s="79" t="str">
        <f>IF(AND(B5400='111'!$L$11,OR($N5400=$Q$7,$O5400=$Q$7)),"x","")</f>
        <v/>
      </c>
      <c r="R5400" s="79" t="str">
        <f>IF(AND($N5400=$Q$7,$B5400&lt;'111'!$L$11),"x","")</f>
        <v/>
      </c>
      <c r="S5400" s="79" t="str">
        <f>IF(AND($O5400=$Q$7,$B5400&lt;'111'!$L$11),"x","")</f>
        <v/>
      </c>
      <c r="T5400" s="79" t="str">
        <f>IF(ISERROR(FIND('112'!$M$9,G5400,1)),"",IF((AND(FIND('112'!$M$9,G5400,1)&gt;=1,B5400='112'!$K$9,OR($N5400='112'!$I$6,$O5400='112'!$I$6))),"x",""))</f>
        <v/>
      </c>
      <c r="U5400" s="79" t="str">
        <f>IF(ISERROR(FIND('112'!$M$9,G5400,1)),"",IF((AND(LEFT(G5400,2)=LEFT('112'!$M$9,2),B5400&lt;'112'!$K$9,$N5400='112'!$I$6)),"x",""))</f>
        <v/>
      </c>
      <c r="V5400" s="79" t="str">
        <f>IF(ISERROR(FIND('112'!$M$9,G5400,1)),"",IF((AND(RIGHT(G5400,2)=RIGHT('112'!$M$9,2),B5400&lt;'112'!$K$9,$O5400='112'!$I$6)),"x",""))</f>
        <v/>
      </c>
      <c r="W5400" s="79" t="str">
        <f>IF(AND('341-CT'!$H$9=H5400,OR(LEFT(N5400,3)=$W$7,LEFT(O5400,3)=$W$7)),"x","")</f>
        <v/>
      </c>
      <c r="X5400" s="79" t="str">
        <f>IF(OR(TH!N5400=TH!$X$7,O5400=TH!$X$7),"x","")</f>
        <v/>
      </c>
      <c r="Y5400" s="79" t="str">
        <f>IF(AND(OR(N5400="131",O5400="131"),H5400='131-CT'!$H$9),"x","")</f>
        <v/>
      </c>
      <c r="Z5400" s="79"/>
      <c r="AA5400" s="79" t="str">
        <f>IF(AND(MONTH(E5400)='IN-NX'!$J$5,'IN-NX'!$D$7=D5400),"x","")</f>
        <v/>
      </c>
      <c r="AB5400" s="79" t="str">
        <f>IF(AND(OR(LEFT(TH!N5400,2)="15",LEFT(TH!O5400,2)="15"),LEFT(TH!O5400,3)&lt;&gt;"111",'152-CT'!$J$8=TH!F5400),"x","")</f>
        <v/>
      </c>
      <c r="AC5400" s="79" t="str">
        <f>IF(AND(OR(LEFT(TH!N5400,2)="15",LEFT(TH!O5400,2)="15"),TK!$E$7=TH!F5400),"x","")</f>
        <v/>
      </c>
      <c r="AD5400" s="79" t="str">
        <f>IF(AND(N5400="1521",MONTH(C5400)='BK-NL'!$M$11),"x","")</f>
        <v/>
      </c>
    </row>
    <row r="5401" spans="1:30" ht="16.5" customHeight="1">
      <c r="A5401" s="318" t="str">
        <f>IF(B5401&lt;&gt;"",IF(AND(B5401='IN-TC'!$S$4,OR(TH!N5401="1111",TH!O5401="1111")),TH!D5401,""),"")</f>
        <v/>
      </c>
      <c r="B5401" s="60" t="str">
        <f t="shared" si="505"/>
        <v/>
      </c>
      <c r="C5401" s="61"/>
      <c r="D5401" s="61"/>
      <c r="E5401" s="61"/>
      <c r="F5401" s="69"/>
      <c r="G5401" s="766"/>
      <c r="H5401" s="69"/>
      <c r="I5401" s="385"/>
      <c r="J5401" s="392"/>
      <c r="K5401" s="385"/>
      <c r="L5401" s="392"/>
      <c r="M5401" s="62"/>
      <c r="N5401" s="63"/>
      <c r="O5401" s="63"/>
      <c r="P5401" s="79" t="str">
        <f>IF(AND('331-CT'!$E$7=TH!H5401,OR(N5401="331",O5401="331")),"x","")</f>
        <v/>
      </c>
      <c r="Q5401" s="79" t="str">
        <f>IF(AND(B5401='111'!$L$11,OR($N5401=$Q$7,$O5401=$Q$7)),"x","")</f>
        <v/>
      </c>
      <c r="R5401" s="79" t="str">
        <f>IF(AND($N5401=$Q$7,$B5401&lt;'111'!$L$11),"x","")</f>
        <v/>
      </c>
      <c r="S5401" s="79" t="str">
        <f>IF(AND($O5401=$Q$7,$B5401&lt;'111'!$L$11),"x","")</f>
        <v/>
      </c>
      <c r="T5401" s="79" t="str">
        <f>IF(ISERROR(FIND('112'!$M$9,G5401,1)),"",IF((AND(FIND('112'!$M$9,G5401,1)&gt;=1,B5401='112'!$K$9,OR($N5401='112'!$I$6,$O5401='112'!$I$6))),"x",""))</f>
        <v/>
      </c>
      <c r="U5401" s="79" t="str">
        <f>IF(ISERROR(FIND('112'!$M$9,G5401,1)),"",IF((AND(LEFT(G5401,2)=LEFT('112'!$M$9,2),B5401&lt;'112'!$K$9,$N5401='112'!$I$6)),"x",""))</f>
        <v/>
      </c>
      <c r="V5401" s="79" t="str">
        <f>IF(ISERROR(FIND('112'!$M$9,G5401,1)),"",IF((AND(RIGHT(G5401,2)=RIGHT('112'!$M$9,2),B5401&lt;'112'!$K$9,$O5401='112'!$I$6)),"x",""))</f>
        <v/>
      </c>
      <c r="W5401" s="79" t="str">
        <f>IF(AND('341-CT'!$H$9=H5401,OR(LEFT(N5401,3)=$W$7,LEFT(O5401,3)=$W$7)),"x","")</f>
        <v/>
      </c>
      <c r="X5401" s="79" t="str">
        <f>IF(OR(TH!N5401=TH!$X$7,O5401=TH!$X$7),"x","")</f>
        <v/>
      </c>
      <c r="Y5401" s="79" t="str">
        <f>IF(AND(OR(N5401="131",O5401="131"),H5401='131-CT'!$H$9),"x","")</f>
        <v/>
      </c>
      <c r="Z5401" s="79"/>
      <c r="AA5401" s="79" t="str">
        <f>IF(AND(MONTH(E5401)='IN-NX'!$J$5,'IN-NX'!$D$7=D5401),"x","")</f>
        <v/>
      </c>
      <c r="AB5401" s="79" t="str">
        <f>IF(AND(OR(LEFT(TH!N5401,2)="15",LEFT(TH!O5401,2)="15"),LEFT(TH!O5401,3)&lt;&gt;"111",'152-CT'!$J$8=TH!F5401),"x","")</f>
        <v/>
      </c>
      <c r="AC5401" s="79" t="str">
        <f>IF(AND(OR(LEFT(TH!N5401,2)="15",LEFT(TH!O5401,2)="15"),TK!$E$7=TH!F5401),"x","")</f>
        <v/>
      </c>
      <c r="AD5401" s="79" t="str">
        <f>IF(AND(N5401="1521",MONTH(C5401)='BK-NL'!$M$11),"x","")</f>
        <v/>
      </c>
    </row>
    <row r="5402" spans="1:30" ht="16.5" customHeight="1">
      <c r="A5402" s="318" t="str">
        <f>IF(B5402&lt;&gt;"",IF(AND(B5402='IN-TC'!$S$4,OR(TH!N5402="1111",TH!O5402="1111")),TH!D5402,""),"")</f>
        <v/>
      </c>
      <c r="B5402" s="60" t="str">
        <f t="shared" si="505"/>
        <v/>
      </c>
      <c r="C5402" s="61"/>
      <c r="D5402" s="61"/>
      <c r="E5402" s="61"/>
      <c r="F5402" s="69"/>
      <c r="G5402" s="766"/>
      <c r="H5402" s="69"/>
      <c r="I5402" s="385"/>
      <c r="J5402" s="392"/>
      <c r="K5402" s="385"/>
      <c r="L5402" s="392"/>
      <c r="M5402" s="62"/>
      <c r="N5402" s="63"/>
      <c r="O5402" s="63"/>
      <c r="P5402" s="79" t="str">
        <f>IF(AND('331-CT'!$E$7=TH!H5402,OR(N5402="331",O5402="331")),"x","")</f>
        <v/>
      </c>
      <c r="Q5402" s="79" t="str">
        <f>IF(AND(B5402='111'!$L$11,OR($N5402=$Q$7,$O5402=$Q$7)),"x","")</f>
        <v/>
      </c>
      <c r="R5402" s="79" t="str">
        <f>IF(AND($N5402=$Q$7,$B5402&lt;'111'!$L$11),"x","")</f>
        <v/>
      </c>
      <c r="S5402" s="79" t="str">
        <f>IF(AND($O5402=$Q$7,$B5402&lt;'111'!$L$11),"x","")</f>
        <v/>
      </c>
      <c r="T5402" s="79" t="str">
        <f>IF(ISERROR(FIND('112'!$M$9,G5402,1)),"",IF((AND(FIND('112'!$M$9,G5402,1)&gt;=1,B5402='112'!$K$9,OR($N5402='112'!$I$6,$O5402='112'!$I$6))),"x",""))</f>
        <v/>
      </c>
      <c r="U5402" s="79" t="str">
        <f>IF(ISERROR(FIND('112'!$M$9,G5402,1)),"",IF((AND(LEFT(G5402,2)=LEFT('112'!$M$9,2),B5402&lt;'112'!$K$9,$N5402='112'!$I$6)),"x",""))</f>
        <v/>
      </c>
      <c r="V5402" s="79" t="str">
        <f>IF(ISERROR(FIND('112'!$M$9,G5402,1)),"",IF((AND(RIGHT(G5402,2)=RIGHT('112'!$M$9,2),B5402&lt;'112'!$K$9,$O5402='112'!$I$6)),"x",""))</f>
        <v/>
      </c>
      <c r="W5402" s="79" t="str">
        <f>IF(AND('341-CT'!$H$9=H5402,OR(LEFT(N5402,3)=$W$7,LEFT(O5402,3)=$W$7)),"x","")</f>
        <v/>
      </c>
      <c r="X5402" s="79" t="str">
        <f>IF(OR(TH!N5402=TH!$X$7,O5402=TH!$X$7),"x","")</f>
        <v/>
      </c>
      <c r="Y5402" s="79" t="str">
        <f>IF(AND(OR(N5402="131",O5402="131"),H5402='131-CT'!$H$9),"x","")</f>
        <v/>
      </c>
      <c r="Z5402" s="79"/>
      <c r="AA5402" s="79" t="str">
        <f>IF(AND(MONTH(E5402)='IN-NX'!$J$5,'IN-NX'!$D$7=D5402),"x","")</f>
        <v/>
      </c>
      <c r="AB5402" s="79" t="str">
        <f>IF(AND(OR(LEFT(TH!N5402,2)="15",LEFT(TH!O5402,2)="15"),LEFT(TH!O5402,3)&lt;&gt;"111",'152-CT'!$J$8=TH!F5402),"x","")</f>
        <v/>
      </c>
      <c r="AC5402" s="79" t="str">
        <f>IF(AND(OR(LEFT(TH!N5402,2)="15",LEFT(TH!O5402,2)="15"),TK!$E$7=TH!F5402),"x","")</f>
        <v/>
      </c>
      <c r="AD5402" s="79" t="str">
        <f>IF(AND(N5402="1521",MONTH(C5402)='BK-NL'!$M$11),"x","")</f>
        <v/>
      </c>
    </row>
    <row r="5403" spans="1:30" ht="16.5" customHeight="1">
      <c r="A5403" s="318" t="str">
        <f>IF(B5403&lt;&gt;"",IF(AND(B5403='IN-TC'!$S$4,OR(TH!N5403="1111",TH!O5403="1111")),TH!D5403,""),"")</f>
        <v/>
      </c>
      <c r="B5403" s="60" t="str">
        <f t="shared" si="505"/>
        <v/>
      </c>
      <c r="C5403" s="61"/>
      <c r="D5403" s="61"/>
      <c r="E5403" s="61"/>
      <c r="F5403" s="69"/>
      <c r="G5403" s="766"/>
      <c r="H5403" s="69"/>
      <c r="I5403" s="385"/>
      <c r="J5403" s="392"/>
      <c r="K5403" s="385"/>
      <c r="L5403" s="392"/>
      <c r="M5403" s="62"/>
      <c r="N5403" s="63"/>
      <c r="O5403" s="63"/>
      <c r="P5403" s="79" t="str">
        <f>IF(AND('331-CT'!$E$7=TH!H5403,OR(N5403="331",O5403="331")),"x","")</f>
        <v/>
      </c>
      <c r="Q5403" s="79" t="str">
        <f>IF(AND(B5403='111'!$L$11,OR($N5403=$Q$7,$O5403=$Q$7)),"x","")</f>
        <v/>
      </c>
      <c r="R5403" s="79" t="str">
        <f>IF(AND($N5403=$Q$7,$B5403&lt;'111'!$L$11),"x","")</f>
        <v/>
      </c>
      <c r="S5403" s="79" t="str">
        <f>IF(AND($O5403=$Q$7,$B5403&lt;'111'!$L$11),"x","")</f>
        <v/>
      </c>
      <c r="T5403" s="79" t="str">
        <f>IF(ISERROR(FIND('112'!$M$9,G5403,1)),"",IF((AND(FIND('112'!$M$9,G5403,1)&gt;=1,B5403='112'!$K$9,OR($N5403='112'!$I$6,$O5403='112'!$I$6))),"x",""))</f>
        <v/>
      </c>
      <c r="U5403" s="79" t="str">
        <f>IF(ISERROR(FIND('112'!$M$9,G5403,1)),"",IF((AND(LEFT(G5403,2)=LEFT('112'!$M$9,2),B5403&lt;'112'!$K$9,$N5403='112'!$I$6)),"x",""))</f>
        <v/>
      </c>
      <c r="V5403" s="79" t="str">
        <f>IF(ISERROR(FIND('112'!$M$9,G5403,1)),"",IF((AND(RIGHT(G5403,2)=RIGHT('112'!$M$9,2),B5403&lt;'112'!$K$9,$O5403='112'!$I$6)),"x",""))</f>
        <v/>
      </c>
      <c r="W5403" s="79" t="str">
        <f>IF(AND('341-CT'!$H$9=H5403,OR(LEFT(N5403,3)=$W$7,LEFT(O5403,3)=$W$7)),"x","")</f>
        <v/>
      </c>
      <c r="X5403" s="79" t="str">
        <f>IF(OR(TH!N5403=TH!$X$7,O5403=TH!$X$7),"x","")</f>
        <v/>
      </c>
      <c r="Y5403" s="79" t="str">
        <f>IF(AND(OR(N5403="131",O5403="131"),H5403='131-CT'!$H$9),"x","")</f>
        <v/>
      </c>
      <c r="Z5403" s="79"/>
      <c r="AA5403" s="79" t="str">
        <f>IF(AND(MONTH(E5403)='IN-NX'!$J$5,'IN-NX'!$D$7=D5403),"x","")</f>
        <v/>
      </c>
      <c r="AB5403" s="79" t="str">
        <f>IF(AND(OR(LEFT(TH!N5403,2)="15",LEFT(TH!O5403,2)="15"),LEFT(TH!O5403,3)&lt;&gt;"111",'152-CT'!$J$8=TH!F5403),"x","")</f>
        <v/>
      </c>
      <c r="AC5403" s="79" t="str">
        <f>IF(AND(OR(LEFT(TH!N5403,2)="15",LEFT(TH!O5403,2)="15"),TK!$E$7=TH!F5403),"x","")</f>
        <v/>
      </c>
      <c r="AD5403" s="79" t="str">
        <f>IF(AND(N5403="1521",MONTH(C5403)='BK-NL'!$M$11),"x","")</f>
        <v/>
      </c>
    </row>
    <row r="5404" spans="1:30" ht="16.5" customHeight="1">
      <c r="A5404" s="318" t="str">
        <f>IF(B5404&lt;&gt;"",IF(AND(B5404='IN-TC'!$S$4,OR(TH!N5404="1111",TH!O5404="1111")),TH!D5404,""),"")</f>
        <v/>
      </c>
      <c r="B5404" s="60" t="str">
        <f t="shared" si="505"/>
        <v/>
      </c>
      <c r="C5404" s="61"/>
      <c r="D5404" s="61"/>
      <c r="E5404" s="61"/>
      <c r="F5404" s="69"/>
      <c r="G5404" s="766"/>
      <c r="H5404" s="69"/>
      <c r="I5404" s="385"/>
      <c r="J5404" s="392"/>
      <c r="K5404" s="385"/>
      <c r="L5404" s="392"/>
      <c r="M5404" s="62"/>
      <c r="N5404" s="63"/>
      <c r="O5404" s="63"/>
      <c r="P5404" s="79" t="str">
        <f>IF(AND('331-CT'!$E$7=TH!H5404,OR(N5404="331",O5404="331")),"x","")</f>
        <v/>
      </c>
      <c r="Q5404" s="79" t="str">
        <f>IF(AND(B5404='111'!$L$11,OR($N5404=$Q$7,$O5404=$Q$7)),"x","")</f>
        <v/>
      </c>
      <c r="R5404" s="79" t="str">
        <f>IF(AND($N5404=$Q$7,$B5404&lt;'111'!$L$11),"x","")</f>
        <v/>
      </c>
      <c r="S5404" s="79" t="str">
        <f>IF(AND($O5404=$Q$7,$B5404&lt;'111'!$L$11),"x","")</f>
        <v/>
      </c>
      <c r="T5404" s="79" t="str">
        <f>IF(ISERROR(FIND('112'!$M$9,G5404,1)),"",IF((AND(FIND('112'!$M$9,G5404,1)&gt;=1,B5404='112'!$K$9,OR($N5404='112'!$I$6,$O5404='112'!$I$6))),"x",""))</f>
        <v/>
      </c>
      <c r="U5404" s="79" t="str">
        <f>IF(ISERROR(FIND('112'!$M$9,G5404,1)),"",IF((AND(LEFT(G5404,2)=LEFT('112'!$M$9,2),B5404&lt;'112'!$K$9,$N5404='112'!$I$6)),"x",""))</f>
        <v/>
      </c>
      <c r="V5404" s="79" t="str">
        <f>IF(ISERROR(FIND('112'!$M$9,G5404,1)),"",IF((AND(RIGHT(G5404,2)=RIGHT('112'!$M$9,2),B5404&lt;'112'!$K$9,$O5404='112'!$I$6)),"x",""))</f>
        <v/>
      </c>
      <c r="W5404" s="79" t="str">
        <f>IF(AND('341-CT'!$H$9=H5404,OR(LEFT(N5404,3)=$W$7,LEFT(O5404,3)=$W$7)),"x","")</f>
        <v/>
      </c>
      <c r="X5404" s="79" t="str">
        <f>IF(OR(TH!N5404=TH!$X$7,O5404=TH!$X$7),"x","")</f>
        <v/>
      </c>
      <c r="Y5404" s="79" t="str">
        <f>IF(AND(OR(N5404="131",O5404="131"),H5404='131-CT'!$H$9),"x","")</f>
        <v/>
      </c>
      <c r="Z5404" s="79"/>
      <c r="AA5404" s="79" t="str">
        <f>IF(AND(MONTH(E5404)='IN-NX'!$J$5,'IN-NX'!$D$7=D5404),"x","")</f>
        <v/>
      </c>
      <c r="AB5404" s="79" t="str">
        <f>IF(AND(OR(LEFT(TH!N5404,2)="15",LEFT(TH!O5404,2)="15"),LEFT(TH!O5404,3)&lt;&gt;"111",'152-CT'!$J$8=TH!F5404),"x","")</f>
        <v/>
      </c>
      <c r="AC5404" s="79" t="str">
        <f>IF(AND(OR(LEFT(TH!N5404,2)="15",LEFT(TH!O5404,2)="15"),TK!$E$7=TH!F5404),"x","")</f>
        <v/>
      </c>
      <c r="AD5404" s="79" t="str">
        <f>IF(AND(N5404="1521",MONTH(C5404)='BK-NL'!$M$11),"x","")</f>
        <v/>
      </c>
    </row>
    <row r="5405" spans="1:30" ht="16.5" customHeight="1">
      <c r="A5405" s="318" t="str">
        <f>IF(B5405&lt;&gt;"",IF(AND(B5405='IN-TC'!$S$4,OR(TH!N5405="1111",TH!O5405="1111")),TH!D5405,""),"")</f>
        <v/>
      </c>
      <c r="B5405" s="60" t="str">
        <f t="shared" si="505"/>
        <v/>
      </c>
      <c r="C5405" s="61"/>
      <c r="D5405" s="61"/>
      <c r="E5405" s="61"/>
      <c r="F5405" s="69"/>
      <c r="G5405" s="766"/>
      <c r="H5405" s="69"/>
      <c r="I5405" s="385"/>
      <c r="J5405" s="392"/>
      <c r="K5405" s="385"/>
      <c r="L5405" s="392"/>
      <c r="M5405" s="62"/>
      <c r="N5405" s="63"/>
      <c r="O5405" s="63"/>
      <c r="P5405" s="79" t="str">
        <f>IF(AND('331-CT'!$E$7=TH!H5405,OR(N5405="331",O5405="331")),"x","")</f>
        <v/>
      </c>
      <c r="Q5405" s="79" t="str">
        <f>IF(AND(B5405='111'!$L$11,OR($N5405=$Q$7,$O5405=$Q$7)),"x","")</f>
        <v/>
      </c>
      <c r="R5405" s="79" t="str">
        <f>IF(AND($N5405=$Q$7,$B5405&lt;'111'!$L$11),"x","")</f>
        <v/>
      </c>
      <c r="S5405" s="79" t="str">
        <f>IF(AND($O5405=$Q$7,$B5405&lt;'111'!$L$11),"x","")</f>
        <v/>
      </c>
      <c r="T5405" s="79" t="str">
        <f>IF(ISERROR(FIND('112'!$M$9,G5405,1)),"",IF((AND(FIND('112'!$M$9,G5405,1)&gt;=1,B5405='112'!$K$9,OR($N5405='112'!$I$6,$O5405='112'!$I$6))),"x",""))</f>
        <v/>
      </c>
      <c r="U5405" s="79" t="str">
        <f>IF(ISERROR(FIND('112'!$M$9,G5405,1)),"",IF((AND(LEFT(G5405,2)=LEFT('112'!$M$9,2),B5405&lt;'112'!$K$9,$N5405='112'!$I$6)),"x",""))</f>
        <v/>
      </c>
      <c r="V5405" s="79" t="str">
        <f>IF(ISERROR(FIND('112'!$M$9,G5405,1)),"",IF((AND(RIGHT(G5405,2)=RIGHT('112'!$M$9,2),B5405&lt;'112'!$K$9,$O5405='112'!$I$6)),"x",""))</f>
        <v/>
      </c>
      <c r="W5405" s="79" t="str">
        <f>IF(AND('341-CT'!$H$9=H5405,OR(LEFT(N5405,3)=$W$7,LEFT(O5405,3)=$W$7)),"x","")</f>
        <v/>
      </c>
      <c r="X5405" s="79" t="str">
        <f>IF(OR(TH!N5405=TH!$X$7,O5405=TH!$X$7),"x","")</f>
        <v/>
      </c>
      <c r="Y5405" s="79" t="str">
        <f>IF(AND(OR(N5405="131",O5405="131"),H5405='131-CT'!$H$9),"x","")</f>
        <v/>
      </c>
      <c r="Z5405" s="79"/>
      <c r="AA5405" s="79" t="str">
        <f>IF(AND(MONTH(E5405)='IN-NX'!$J$5,'IN-NX'!$D$7=D5405),"x","")</f>
        <v/>
      </c>
      <c r="AB5405" s="79" t="str">
        <f>IF(AND(OR(LEFT(TH!N5405,2)="15",LEFT(TH!O5405,2)="15"),LEFT(TH!O5405,3)&lt;&gt;"111",'152-CT'!$J$8=TH!F5405),"x","")</f>
        <v/>
      </c>
      <c r="AC5405" s="79" t="str">
        <f>IF(AND(OR(LEFT(TH!N5405,2)="15",LEFT(TH!O5405,2)="15"),TK!$E$7=TH!F5405),"x","")</f>
        <v/>
      </c>
      <c r="AD5405" s="79" t="str">
        <f>IF(AND(N5405="1521",MONTH(C5405)='BK-NL'!$M$11),"x","")</f>
        <v/>
      </c>
    </row>
    <row r="5406" spans="1:30" ht="16.5" customHeight="1">
      <c r="A5406" s="318" t="str">
        <f>IF(B5406&lt;&gt;"",IF(AND(B5406='IN-TC'!$S$4,OR(TH!N5406="1111",TH!O5406="1111")),TH!D5406,""),"")</f>
        <v/>
      </c>
      <c r="B5406" s="60" t="str">
        <f t="shared" si="505"/>
        <v/>
      </c>
      <c r="C5406" s="61"/>
      <c r="D5406" s="61"/>
      <c r="E5406" s="61"/>
      <c r="F5406" s="69"/>
      <c r="G5406" s="766"/>
      <c r="H5406" s="69"/>
      <c r="I5406" s="385"/>
      <c r="J5406" s="392"/>
      <c r="K5406" s="385"/>
      <c r="L5406" s="392"/>
      <c r="M5406" s="62"/>
      <c r="N5406" s="63"/>
      <c r="O5406" s="63"/>
      <c r="P5406" s="79" t="str">
        <f>IF(AND('331-CT'!$E$7=TH!H5406,OR(N5406="331",O5406="331")),"x","")</f>
        <v/>
      </c>
      <c r="Q5406" s="79" t="str">
        <f>IF(AND(B5406='111'!$L$11,OR($N5406=$Q$7,$O5406=$Q$7)),"x","")</f>
        <v/>
      </c>
      <c r="R5406" s="79" t="str">
        <f>IF(AND($N5406=$Q$7,$B5406&lt;'111'!$L$11),"x","")</f>
        <v/>
      </c>
      <c r="S5406" s="79" t="str">
        <f>IF(AND($O5406=$Q$7,$B5406&lt;'111'!$L$11),"x","")</f>
        <v/>
      </c>
      <c r="T5406" s="79" t="str">
        <f>IF(ISERROR(FIND('112'!$M$9,G5406,1)),"",IF((AND(FIND('112'!$M$9,G5406,1)&gt;=1,B5406='112'!$K$9,OR($N5406='112'!$I$6,$O5406='112'!$I$6))),"x",""))</f>
        <v/>
      </c>
      <c r="U5406" s="79" t="str">
        <f>IF(ISERROR(FIND('112'!$M$9,G5406,1)),"",IF((AND(LEFT(G5406,2)=LEFT('112'!$M$9,2),B5406&lt;'112'!$K$9,$N5406='112'!$I$6)),"x",""))</f>
        <v/>
      </c>
      <c r="V5406" s="79" t="str">
        <f>IF(ISERROR(FIND('112'!$M$9,G5406,1)),"",IF((AND(RIGHT(G5406,2)=RIGHT('112'!$M$9,2),B5406&lt;'112'!$K$9,$O5406='112'!$I$6)),"x",""))</f>
        <v/>
      </c>
      <c r="W5406" s="79" t="str">
        <f>IF(AND('341-CT'!$H$9=H5406,OR(LEFT(N5406,3)=$W$7,LEFT(O5406,3)=$W$7)),"x","")</f>
        <v/>
      </c>
      <c r="X5406" s="79" t="str">
        <f>IF(OR(TH!N5406=TH!$X$7,O5406=TH!$X$7),"x","")</f>
        <v/>
      </c>
      <c r="Y5406" s="79" t="str">
        <f>IF(AND(OR(N5406="131",O5406="131"),H5406='131-CT'!$H$9),"x","")</f>
        <v/>
      </c>
      <c r="Z5406" s="79"/>
      <c r="AA5406" s="79" t="str">
        <f>IF(AND(MONTH(E5406)='IN-NX'!$J$5,'IN-NX'!$D$7=D5406),"x","")</f>
        <v/>
      </c>
      <c r="AB5406" s="79" t="str">
        <f>IF(AND(OR(LEFT(TH!N5406,2)="15",LEFT(TH!O5406,2)="15"),LEFT(TH!O5406,3)&lt;&gt;"111",'152-CT'!$J$8=TH!F5406),"x","")</f>
        <v/>
      </c>
      <c r="AC5406" s="79" t="str">
        <f>IF(AND(OR(LEFT(TH!N5406,2)="15",LEFT(TH!O5406,2)="15"),TK!$E$7=TH!F5406),"x","")</f>
        <v/>
      </c>
      <c r="AD5406" s="79" t="str">
        <f>IF(AND(N5406="1521",MONTH(C5406)='BK-NL'!$M$11),"x","")</f>
        <v/>
      </c>
    </row>
    <row r="5407" spans="1:30" ht="16.5" customHeight="1">
      <c r="A5407" s="318" t="str">
        <f>IF(B5407&lt;&gt;"",IF(AND(B5407='IN-TC'!$S$4,OR(TH!N5407="1111",TH!O5407="1111")),TH!D5407,""),"")</f>
        <v/>
      </c>
      <c r="B5407" s="60" t="str">
        <f t="shared" si="505"/>
        <v/>
      </c>
      <c r="C5407" s="61"/>
      <c r="D5407" s="61"/>
      <c r="E5407" s="61"/>
      <c r="F5407" s="69"/>
      <c r="G5407" s="766"/>
      <c r="H5407" s="69"/>
      <c r="I5407" s="385"/>
      <c r="J5407" s="392"/>
      <c r="K5407" s="385"/>
      <c r="L5407" s="392"/>
      <c r="M5407" s="62"/>
      <c r="N5407" s="63"/>
      <c r="O5407" s="63"/>
      <c r="P5407" s="79" t="str">
        <f>IF(AND('331-CT'!$E$7=TH!H5407,OR(N5407="331",O5407="331")),"x","")</f>
        <v/>
      </c>
      <c r="Q5407" s="79" t="str">
        <f>IF(AND(B5407='111'!$L$11,OR($N5407=$Q$7,$O5407=$Q$7)),"x","")</f>
        <v/>
      </c>
      <c r="R5407" s="79" t="str">
        <f>IF(AND($N5407=$Q$7,$B5407&lt;'111'!$L$11),"x","")</f>
        <v/>
      </c>
      <c r="S5407" s="79" t="str">
        <f>IF(AND($O5407=$Q$7,$B5407&lt;'111'!$L$11),"x","")</f>
        <v/>
      </c>
      <c r="T5407" s="79" t="str">
        <f>IF(ISERROR(FIND('112'!$M$9,G5407,1)),"",IF((AND(FIND('112'!$M$9,G5407,1)&gt;=1,B5407='112'!$K$9,OR($N5407='112'!$I$6,$O5407='112'!$I$6))),"x",""))</f>
        <v/>
      </c>
      <c r="U5407" s="79" t="str">
        <f>IF(ISERROR(FIND('112'!$M$9,G5407,1)),"",IF((AND(LEFT(G5407,2)=LEFT('112'!$M$9,2),B5407&lt;'112'!$K$9,$N5407='112'!$I$6)),"x",""))</f>
        <v/>
      </c>
      <c r="V5407" s="79" t="str">
        <f>IF(ISERROR(FIND('112'!$M$9,G5407,1)),"",IF((AND(RIGHT(G5407,2)=RIGHT('112'!$M$9,2),B5407&lt;'112'!$K$9,$O5407='112'!$I$6)),"x",""))</f>
        <v/>
      </c>
      <c r="W5407" s="79" t="str">
        <f>IF(AND('341-CT'!$H$9=H5407,OR(LEFT(N5407,3)=$W$7,LEFT(O5407,3)=$W$7)),"x","")</f>
        <v/>
      </c>
      <c r="X5407" s="79" t="str">
        <f>IF(OR(TH!N5407=TH!$X$7,O5407=TH!$X$7),"x","")</f>
        <v/>
      </c>
      <c r="Y5407" s="79" t="str">
        <f>IF(AND(OR(N5407="131",O5407="131"),H5407='131-CT'!$H$9),"x","")</f>
        <v/>
      </c>
      <c r="Z5407" s="79"/>
      <c r="AA5407" s="79" t="str">
        <f>IF(AND(MONTH(E5407)='IN-NX'!$J$5,'IN-NX'!$D$7=D5407),"x","")</f>
        <v/>
      </c>
      <c r="AB5407" s="79" t="str">
        <f>IF(AND(OR(LEFT(TH!N5407,2)="15",LEFT(TH!O5407,2)="15"),LEFT(TH!O5407,3)&lt;&gt;"111",'152-CT'!$J$8=TH!F5407),"x","")</f>
        <v/>
      </c>
      <c r="AC5407" s="79" t="str">
        <f>IF(AND(OR(LEFT(TH!N5407,2)="15",LEFT(TH!O5407,2)="15"),TK!$E$7=TH!F5407),"x","")</f>
        <v/>
      </c>
      <c r="AD5407" s="79" t="str">
        <f>IF(AND(N5407="1521",MONTH(C5407)='BK-NL'!$M$11),"x","")</f>
        <v/>
      </c>
    </row>
    <row r="5408" spans="1:30" ht="16.5" customHeight="1">
      <c r="A5408" s="318" t="str">
        <f>IF(B5408&lt;&gt;"",IF(AND(B5408='IN-TC'!$S$4,OR(TH!N5408="1111",TH!O5408="1111")),TH!D5408,""),"")</f>
        <v/>
      </c>
      <c r="B5408" s="60" t="str">
        <f t="shared" si="505"/>
        <v/>
      </c>
      <c r="C5408" s="61"/>
      <c r="D5408" s="61"/>
      <c r="E5408" s="61"/>
      <c r="F5408" s="69"/>
      <c r="G5408" s="766"/>
      <c r="H5408" s="69"/>
      <c r="I5408" s="385"/>
      <c r="J5408" s="392"/>
      <c r="K5408" s="385"/>
      <c r="L5408" s="392"/>
      <c r="M5408" s="62"/>
      <c r="N5408" s="63"/>
      <c r="O5408" s="63"/>
      <c r="P5408" s="79" t="str">
        <f>IF(AND('331-CT'!$E$7=TH!H5408,OR(N5408="331",O5408="331")),"x","")</f>
        <v/>
      </c>
      <c r="Q5408" s="79" t="str">
        <f>IF(AND(B5408='111'!$L$11,OR($N5408=$Q$7,$O5408=$Q$7)),"x","")</f>
        <v/>
      </c>
      <c r="R5408" s="79" t="str">
        <f>IF(AND($N5408=$Q$7,$B5408&lt;'111'!$L$11),"x","")</f>
        <v/>
      </c>
      <c r="S5408" s="79" t="str">
        <f>IF(AND($O5408=$Q$7,$B5408&lt;'111'!$L$11),"x","")</f>
        <v/>
      </c>
      <c r="T5408" s="79" t="str">
        <f>IF(ISERROR(FIND('112'!$M$9,G5408,1)),"",IF((AND(FIND('112'!$M$9,G5408,1)&gt;=1,B5408='112'!$K$9,OR($N5408='112'!$I$6,$O5408='112'!$I$6))),"x",""))</f>
        <v/>
      </c>
      <c r="U5408" s="79" t="str">
        <f>IF(ISERROR(FIND('112'!$M$9,G5408,1)),"",IF((AND(LEFT(G5408,2)=LEFT('112'!$M$9,2),B5408&lt;'112'!$K$9,$N5408='112'!$I$6)),"x",""))</f>
        <v/>
      </c>
      <c r="V5408" s="79" t="str">
        <f>IF(ISERROR(FIND('112'!$M$9,G5408,1)),"",IF((AND(RIGHT(G5408,2)=RIGHT('112'!$M$9,2),B5408&lt;'112'!$K$9,$O5408='112'!$I$6)),"x",""))</f>
        <v/>
      </c>
      <c r="W5408" s="79" t="str">
        <f>IF(AND('341-CT'!$H$9=H5408,OR(LEFT(N5408,3)=$W$7,LEFT(O5408,3)=$W$7)),"x","")</f>
        <v/>
      </c>
      <c r="X5408" s="79" t="str">
        <f>IF(OR(TH!N5408=TH!$X$7,O5408=TH!$X$7),"x","")</f>
        <v/>
      </c>
      <c r="Y5408" s="79" t="str">
        <f>IF(AND(OR(N5408="131",O5408="131"),H5408='131-CT'!$H$9),"x","")</f>
        <v/>
      </c>
      <c r="Z5408" s="79"/>
      <c r="AA5408" s="79" t="str">
        <f>IF(AND(MONTH(E5408)='IN-NX'!$J$5,'IN-NX'!$D$7=D5408),"x","")</f>
        <v/>
      </c>
      <c r="AB5408" s="79" t="str">
        <f>IF(AND(OR(LEFT(TH!N5408,2)="15",LEFT(TH!O5408,2)="15"),LEFT(TH!O5408,3)&lt;&gt;"111",'152-CT'!$J$8=TH!F5408),"x","")</f>
        <v/>
      </c>
      <c r="AC5408" s="79" t="str">
        <f>IF(AND(OR(LEFT(TH!N5408,2)="15",LEFT(TH!O5408,2)="15"),TK!$E$7=TH!F5408),"x","")</f>
        <v/>
      </c>
      <c r="AD5408" s="79" t="str">
        <f>IF(AND(N5408="1521",MONTH(C5408)='BK-NL'!$M$11),"x","")</f>
        <v/>
      </c>
    </row>
    <row r="5409" spans="1:30" ht="16.5" customHeight="1">
      <c r="A5409" s="318" t="str">
        <f>IF(B5409&lt;&gt;"",IF(AND(B5409='IN-TC'!$S$4,OR(TH!N5409="1111",TH!O5409="1111")),TH!D5409,""),"")</f>
        <v/>
      </c>
      <c r="B5409" s="60" t="str">
        <f t="shared" si="505"/>
        <v/>
      </c>
      <c r="C5409" s="61"/>
      <c r="D5409" s="61"/>
      <c r="E5409" s="61"/>
      <c r="F5409" s="69"/>
      <c r="G5409" s="766"/>
      <c r="H5409" s="69"/>
      <c r="I5409" s="385"/>
      <c r="J5409" s="392"/>
      <c r="K5409" s="385"/>
      <c r="L5409" s="392"/>
      <c r="M5409" s="62"/>
      <c r="N5409" s="63"/>
      <c r="O5409" s="63"/>
      <c r="P5409" s="79" t="str">
        <f>IF(AND('331-CT'!$E$7=TH!H5409,OR(N5409="331",O5409="331")),"x","")</f>
        <v/>
      </c>
      <c r="Q5409" s="79" t="str">
        <f>IF(AND(B5409='111'!$L$11,OR($N5409=$Q$7,$O5409=$Q$7)),"x","")</f>
        <v/>
      </c>
      <c r="R5409" s="79" t="str">
        <f>IF(AND($N5409=$Q$7,$B5409&lt;'111'!$L$11),"x","")</f>
        <v/>
      </c>
      <c r="S5409" s="79" t="str">
        <f>IF(AND($O5409=$Q$7,$B5409&lt;'111'!$L$11),"x","")</f>
        <v/>
      </c>
      <c r="T5409" s="79" t="str">
        <f>IF(ISERROR(FIND('112'!$M$9,G5409,1)),"",IF((AND(FIND('112'!$M$9,G5409,1)&gt;=1,B5409='112'!$K$9,OR($N5409='112'!$I$6,$O5409='112'!$I$6))),"x",""))</f>
        <v/>
      </c>
      <c r="U5409" s="79" t="str">
        <f>IF(ISERROR(FIND('112'!$M$9,G5409,1)),"",IF((AND(LEFT(G5409,2)=LEFT('112'!$M$9,2),B5409&lt;'112'!$K$9,$N5409='112'!$I$6)),"x",""))</f>
        <v/>
      </c>
      <c r="V5409" s="79" t="str">
        <f>IF(ISERROR(FIND('112'!$M$9,G5409,1)),"",IF((AND(RIGHT(G5409,2)=RIGHT('112'!$M$9,2),B5409&lt;'112'!$K$9,$O5409='112'!$I$6)),"x",""))</f>
        <v/>
      </c>
      <c r="W5409" s="79" t="str">
        <f>IF(AND('341-CT'!$H$9=H5409,OR(LEFT(N5409,3)=$W$7,LEFT(O5409,3)=$W$7)),"x","")</f>
        <v/>
      </c>
      <c r="X5409" s="79" t="str">
        <f>IF(OR(TH!N5409=TH!$X$7,O5409=TH!$X$7),"x","")</f>
        <v/>
      </c>
      <c r="Y5409" s="79" t="str">
        <f>IF(AND(OR(N5409="131",O5409="131"),H5409='131-CT'!$H$9),"x","")</f>
        <v/>
      </c>
      <c r="Z5409" s="79"/>
      <c r="AA5409" s="79" t="str">
        <f>IF(AND(MONTH(E5409)='IN-NX'!$J$5,'IN-NX'!$D$7=D5409),"x","")</f>
        <v/>
      </c>
      <c r="AB5409" s="79" t="str">
        <f>IF(AND(OR(LEFT(TH!N5409,2)="15",LEFT(TH!O5409,2)="15"),LEFT(TH!O5409,3)&lt;&gt;"111",'152-CT'!$J$8=TH!F5409),"x","")</f>
        <v/>
      </c>
      <c r="AC5409" s="79" t="str">
        <f>IF(AND(OR(LEFT(TH!N5409,2)="15",LEFT(TH!O5409,2)="15"),TK!$E$7=TH!F5409),"x","")</f>
        <v/>
      </c>
      <c r="AD5409" s="79" t="str">
        <f>IF(AND(N5409="1521",MONTH(C5409)='BK-NL'!$M$11),"x","")</f>
        <v/>
      </c>
    </row>
    <row r="5410" spans="1:30" ht="16.5" customHeight="1">
      <c r="A5410" s="318" t="str">
        <f>IF(B5410&lt;&gt;"",IF(AND(B5410='IN-TC'!$S$4,OR(TH!N5410="1111",TH!O5410="1111")),TH!D5410,""),"")</f>
        <v/>
      </c>
      <c r="B5410" s="60" t="str">
        <f t="shared" si="505"/>
        <v/>
      </c>
      <c r="C5410" s="61"/>
      <c r="D5410" s="61"/>
      <c r="E5410" s="61"/>
      <c r="F5410" s="69"/>
      <c r="G5410" s="766"/>
      <c r="H5410" s="69"/>
      <c r="I5410" s="385"/>
      <c r="J5410" s="392"/>
      <c r="K5410" s="385"/>
      <c r="L5410" s="392"/>
      <c r="M5410" s="62"/>
      <c r="N5410" s="63"/>
      <c r="O5410" s="63"/>
      <c r="P5410" s="79" t="str">
        <f>IF(AND('331-CT'!$E$7=TH!H5410,OR(N5410="331",O5410="331")),"x","")</f>
        <v/>
      </c>
      <c r="Q5410" s="79" t="str">
        <f>IF(AND(B5410='111'!$L$11,OR($N5410=$Q$7,$O5410=$Q$7)),"x","")</f>
        <v/>
      </c>
      <c r="R5410" s="79" t="str">
        <f>IF(AND($N5410=$Q$7,$B5410&lt;'111'!$L$11),"x","")</f>
        <v/>
      </c>
      <c r="S5410" s="79" t="str">
        <f>IF(AND($O5410=$Q$7,$B5410&lt;'111'!$L$11),"x","")</f>
        <v/>
      </c>
      <c r="T5410" s="79" t="str">
        <f>IF(ISERROR(FIND('112'!$M$9,G5410,1)),"",IF((AND(FIND('112'!$M$9,G5410,1)&gt;=1,B5410='112'!$K$9,OR($N5410='112'!$I$6,$O5410='112'!$I$6))),"x",""))</f>
        <v/>
      </c>
      <c r="U5410" s="79" t="str">
        <f>IF(ISERROR(FIND('112'!$M$9,G5410,1)),"",IF((AND(LEFT(G5410,2)=LEFT('112'!$M$9,2),B5410&lt;'112'!$K$9,$N5410='112'!$I$6)),"x",""))</f>
        <v/>
      </c>
      <c r="V5410" s="79" t="str">
        <f>IF(ISERROR(FIND('112'!$M$9,G5410,1)),"",IF((AND(RIGHT(G5410,2)=RIGHT('112'!$M$9,2),B5410&lt;'112'!$K$9,$O5410='112'!$I$6)),"x",""))</f>
        <v/>
      </c>
      <c r="W5410" s="79" t="str">
        <f>IF(AND('341-CT'!$H$9=H5410,OR(LEFT(N5410,3)=$W$7,LEFT(O5410,3)=$W$7)),"x","")</f>
        <v/>
      </c>
      <c r="X5410" s="79" t="str">
        <f>IF(OR(TH!N5410=TH!$X$7,O5410=TH!$X$7),"x","")</f>
        <v/>
      </c>
      <c r="Y5410" s="79" t="str">
        <f>IF(AND(OR(N5410="131",O5410="131"),H5410='131-CT'!$H$9),"x","")</f>
        <v/>
      </c>
      <c r="Z5410" s="79"/>
      <c r="AA5410" s="79" t="str">
        <f>IF(AND(MONTH(E5410)='IN-NX'!$J$5,'IN-NX'!$D$7=D5410),"x","")</f>
        <v/>
      </c>
      <c r="AB5410" s="79" t="str">
        <f>IF(AND(OR(LEFT(TH!N5410,2)="15",LEFT(TH!O5410,2)="15"),LEFT(TH!O5410,3)&lt;&gt;"111",'152-CT'!$J$8=TH!F5410),"x","")</f>
        <v/>
      </c>
      <c r="AC5410" s="79" t="str">
        <f>IF(AND(OR(LEFT(TH!N5410,2)="15",LEFT(TH!O5410,2)="15"),TK!$E$7=TH!F5410),"x","")</f>
        <v/>
      </c>
      <c r="AD5410" s="79" t="str">
        <f>IF(AND(N5410="1521",MONTH(C5410)='BK-NL'!$M$11),"x","")</f>
        <v/>
      </c>
    </row>
    <row r="5411" spans="1:30" ht="16.5" customHeight="1">
      <c r="A5411" s="318" t="str">
        <f>IF(B5411&lt;&gt;"",IF(AND(B5411='IN-TC'!$S$4,OR(TH!N5411="1111",TH!O5411="1111")),TH!D5411,""),"")</f>
        <v/>
      </c>
      <c r="B5411" s="60" t="str">
        <f t="shared" si="505"/>
        <v/>
      </c>
      <c r="C5411" s="61"/>
      <c r="D5411" s="61"/>
      <c r="E5411" s="61"/>
      <c r="F5411" s="69"/>
      <c r="G5411" s="766"/>
      <c r="H5411" s="69"/>
      <c r="I5411" s="385"/>
      <c r="J5411" s="392"/>
      <c r="K5411" s="385"/>
      <c r="L5411" s="392"/>
      <c r="M5411" s="62"/>
      <c r="N5411" s="63"/>
      <c r="O5411" s="63"/>
      <c r="P5411" s="79" t="str">
        <f>IF(AND('331-CT'!$E$7=TH!H5411,OR(N5411="331",O5411="331")),"x","")</f>
        <v/>
      </c>
      <c r="Q5411" s="79" t="str">
        <f>IF(AND(B5411='111'!$L$11,OR($N5411=$Q$7,$O5411=$Q$7)),"x","")</f>
        <v/>
      </c>
      <c r="R5411" s="79" t="str">
        <f>IF(AND($N5411=$Q$7,$B5411&lt;'111'!$L$11),"x","")</f>
        <v/>
      </c>
      <c r="S5411" s="79" t="str">
        <f>IF(AND($O5411=$Q$7,$B5411&lt;'111'!$L$11),"x","")</f>
        <v/>
      </c>
      <c r="T5411" s="79" t="str">
        <f>IF(ISERROR(FIND('112'!$M$9,G5411,1)),"",IF((AND(FIND('112'!$M$9,G5411,1)&gt;=1,B5411='112'!$K$9,OR($N5411='112'!$I$6,$O5411='112'!$I$6))),"x",""))</f>
        <v/>
      </c>
      <c r="U5411" s="79" t="str">
        <f>IF(ISERROR(FIND('112'!$M$9,G5411,1)),"",IF((AND(LEFT(G5411,2)=LEFT('112'!$M$9,2),B5411&lt;'112'!$K$9,$N5411='112'!$I$6)),"x",""))</f>
        <v/>
      </c>
      <c r="V5411" s="79" t="str">
        <f>IF(ISERROR(FIND('112'!$M$9,G5411,1)),"",IF((AND(RIGHT(G5411,2)=RIGHT('112'!$M$9,2),B5411&lt;'112'!$K$9,$O5411='112'!$I$6)),"x",""))</f>
        <v/>
      </c>
      <c r="W5411" s="79" t="str">
        <f>IF(AND('341-CT'!$H$9=H5411,OR(LEFT(N5411,3)=$W$7,LEFT(O5411,3)=$W$7)),"x","")</f>
        <v/>
      </c>
      <c r="X5411" s="79" t="str">
        <f>IF(OR(TH!N5411=TH!$X$7,O5411=TH!$X$7),"x","")</f>
        <v/>
      </c>
      <c r="Y5411" s="79" t="str">
        <f>IF(AND(OR(N5411="131",O5411="131"),H5411='131-CT'!$H$9),"x","")</f>
        <v/>
      </c>
      <c r="Z5411" s="79"/>
      <c r="AA5411" s="79" t="str">
        <f>IF(AND(MONTH(E5411)='IN-NX'!$J$5,'IN-NX'!$D$7=D5411),"x","")</f>
        <v/>
      </c>
      <c r="AB5411" s="79" t="str">
        <f>IF(AND(OR(LEFT(TH!N5411,2)="15",LEFT(TH!O5411,2)="15"),LEFT(TH!O5411,3)&lt;&gt;"111",'152-CT'!$J$8=TH!F5411),"x","")</f>
        <v/>
      </c>
      <c r="AC5411" s="79" t="str">
        <f>IF(AND(OR(LEFT(TH!N5411,2)="15",LEFT(TH!O5411,2)="15"),TK!$E$7=TH!F5411),"x","")</f>
        <v/>
      </c>
      <c r="AD5411" s="79" t="str">
        <f>IF(AND(N5411="1521",MONTH(C5411)='BK-NL'!$M$11),"x","")</f>
        <v/>
      </c>
    </row>
    <row r="5412" spans="1:30" ht="16.5" customHeight="1">
      <c r="A5412" s="318" t="str">
        <f>IF(B5412&lt;&gt;"",IF(AND(B5412='IN-TC'!$S$4,OR(TH!N5412="1111",TH!O5412="1111")),TH!D5412,""),"")</f>
        <v/>
      </c>
      <c r="B5412" s="60" t="str">
        <f t="shared" si="505"/>
        <v/>
      </c>
      <c r="C5412" s="61"/>
      <c r="D5412" s="61"/>
      <c r="E5412" s="61"/>
      <c r="F5412" s="69"/>
      <c r="G5412" s="766"/>
      <c r="H5412" s="69"/>
      <c r="I5412" s="385"/>
      <c r="J5412" s="392"/>
      <c r="K5412" s="385"/>
      <c r="L5412" s="392"/>
      <c r="M5412" s="62"/>
      <c r="N5412" s="63"/>
      <c r="O5412" s="63"/>
      <c r="P5412" s="79" t="str">
        <f>IF(AND('331-CT'!$E$7=TH!H5412,OR(N5412="331",O5412="331")),"x","")</f>
        <v/>
      </c>
      <c r="Q5412" s="79" t="str">
        <f>IF(AND(B5412='111'!$L$11,OR($N5412=$Q$7,$O5412=$Q$7)),"x","")</f>
        <v/>
      </c>
      <c r="R5412" s="79" t="str">
        <f>IF(AND($N5412=$Q$7,$B5412&lt;'111'!$L$11),"x","")</f>
        <v/>
      </c>
      <c r="S5412" s="79" t="str">
        <f>IF(AND($O5412=$Q$7,$B5412&lt;'111'!$L$11),"x","")</f>
        <v/>
      </c>
      <c r="T5412" s="79" t="str">
        <f>IF(ISERROR(FIND('112'!$M$9,G5412,1)),"",IF((AND(FIND('112'!$M$9,G5412,1)&gt;=1,B5412='112'!$K$9,OR($N5412='112'!$I$6,$O5412='112'!$I$6))),"x",""))</f>
        <v/>
      </c>
      <c r="U5412" s="79" t="str">
        <f>IF(ISERROR(FIND('112'!$M$9,G5412,1)),"",IF((AND(LEFT(G5412,2)=LEFT('112'!$M$9,2),B5412&lt;'112'!$K$9,$N5412='112'!$I$6)),"x",""))</f>
        <v/>
      </c>
      <c r="V5412" s="79" t="str">
        <f>IF(ISERROR(FIND('112'!$M$9,G5412,1)),"",IF((AND(RIGHT(G5412,2)=RIGHT('112'!$M$9,2),B5412&lt;'112'!$K$9,$O5412='112'!$I$6)),"x",""))</f>
        <v/>
      </c>
      <c r="W5412" s="79" t="str">
        <f>IF(AND('341-CT'!$H$9=H5412,OR(LEFT(N5412,3)=$W$7,LEFT(O5412,3)=$W$7)),"x","")</f>
        <v/>
      </c>
      <c r="X5412" s="79" t="str">
        <f>IF(OR(TH!N5412=TH!$X$7,O5412=TH!$X$7),"x","")</f>
        <v/>
      </c>
      <c r="Y5412" s="79" t="str">
        <f>IF(AND(OR(N5412="131",O5412="131"),H5412='131-CT'!$H$9),"x","")</f>
        <v/>
      </c>
      <c r="Z5412" s="79"/>
      <c r="AA5412" s="79" t="str">
        <f>IF(AND(MONTH(E5412)='IN-NX'!$J$5,'IN-NX'!$D$7=D5412),"x","")</f>
        <v/>
      </c>
      <c r="AB5412" s="79" t="str">
        <f>IF(AND(OR(LEFT(TH!N5412,2)="15",LEFT(TH!O5412,2)="15"),LEFT(TH!O5412,3)&lt;&gt;"111",'152-CT'!$J$8=TH!F5412),"x","")</f>
        <v/>
      </c>
      <c r="AC5412" s="79" t="str">
        <f>IF(AND(OR(LEFT(TH!N5412,2)="15",LEFT(TH!O5412,2)="15"),TK!$E$7=TH!F5412),"x","")</f>
        <v/>
      </c>
      <c r="AD5412" s="79" t="str">
        <f>IF(AND(N5412="1521",MONTH(C5412)='BK-NL'!$M$11),"x","")</f>
        <v/>
      </c>
    </row>
    <row r="5413" spans="1:30" ht="16.5" customHeight="1">
      <c r="A5413" s="318" t="str">
        <f>IF(B5413&lt;&gt;"",IF(AND(B5413='IN-TC'!$S$4,OR(TH!N5413="1111",TH!O5413="1111")),TH!D5413,""),"")</f>
        <v/>
      </c>
      <c r="B5413" s="60" t="str">
        <f t="shared" si="505"/>
        <v/>
      </c>
      <c r="C5413" s="61"/>
      <c r="D5413" s="61"/>
      <c r="E5413" s="61"/>
      <c r="F5413" s="69"/>
      <c r="G5413" s="766"/>
      <c r="H5413" s="69"/>
      <c r="I5413" s="385"/>
      <c r="J5413" s="392"/>
      <c r="K5413" s="385"/>
      <c r="L5413" s="392"/>
      <c r="M5413" s="62"/>
      <c r="N5413" s="63"/>
      <c r="O5413" s="63"/>
      <c r="P5413" s="79" t="str">
        <f>IF(AND('331-CT'!$E$7=TH!H5413,OR(N5413="331",O5413="331")),"x","")</f>
        <v/>
      </c>
      <c r="Q5413" s="79" t="str">
        <f>IF(AND(B5413='111'!$L$11,OR($N5413=$Q$7,$O5413=$Q$7)),"x","")</f>
        <v/>
      </c>
      <c r="R5413" s="79" t="str">
        <f>IF(AND($N5413=$Q$7,$B5413&lt;'111'!$L$11),"x","")</f>
        <v/>
      </c>
      <c r="S5413" s="79" t="str">
        <f>IF(AND($O5413=$Q$7,$B5413&lt;'111'!$L$11),"x","")</f>
        <v/>
      </c>
      <c r="T5413" s="79" t="str">
        <f>IF(ISERROR(FIND('112'!$M$9,G5413,1)),"",IF((AND(FIND('112'!$M$9,G5413,1)&gt;=1,B5413='112'!$K$9,OR($N5413='112'!$I$6,$O5413='112'!$I$6))),"x",""))</f>
        <v/>
      </c>
      <c r="U5413" s="79" t="str">
        <f>IF(ISERROR(FIND('112'!$M$9,G5413,1)),"",IF((AND(LEFT(G5413,2)=LEFT('112'!$M$9,2),B5413&lt;'112'!$K$9,$N5413='112'!$I$6)),"x",""))</f>
        <v/>
      </c>
      <c r="V5413" s="79" t="str">
        <f>IF(ISERROR(FIND('112'!$M$9,G5413,1)),"",IF((AND(RIGHT(G5413,2)=RIGHT('112'!$M$9,2),B5413&lt;'112'!$K$9,$O5413='112'!$I$6)),"x",""))</f>
        <v/>
      </c>
      <c r="W5413" s="79" t="str">
        <f>IF(AND('341-CT'!$H$9=H5413,OR(LEFT(N5413,3)=$W$7,LEFT(O5413,3)=$W$7)),"x","")</f>
        <v/>
      </c>
      <c r="X5413" s="79" t="str">
        <f>IF(OR(TH!N5413=TH!$X$7,O5413=TH!$X$7),"x","")</f>
        <v/>
      </c>
      <c r="Y5413" s="79" t="str">
        <f>IF(AND(OR(N5413="131",O5413="131"),H5413='131-CT'!$H$9),"x","")</f>
        <v/>
      </c>
      <c r="Z5413" s="79"/>
      <c r="AA5413" s="79" t="str">
        <f>IF(AND(MONTH(E5413)='IN-NX'!$J$5,'IN-NX'!$D$7=D5413),"x","")</f>
        <v/>
      </c>
      <c r="AB5413" s="79" t="str">
        <f>IF(AND(OR(LEFT(TH!N5413,2)="15",LEFT(TH!O5413,2)="15"),LEFT(TH!O5413,3)&lt;&gt;"111",'152-CT'!$J$8=TH!F5413),"x","")</f>
        <v/>
      </c>
      <c r="AC5413" s="79" t="str">
        <f>IF(AND(OR(LEFT(TH!N5413,2)="15",LEFT(TH!O5413,2)="15"),TK!$E$7=TH!F5413),"x","")</f>
        <v/>
      </c>
      <c r="AD5413" s="79" t="str">
        <f>IF(AND(N5413="1521",MONTH(C5413)='BK-NL'!$M$11),"x","")</f>
        <v/>
      </c>
    </row>
    <row r="5414" spans="1:30" ht="16.5" customHeight="1">
      <c r="A5414" s="318" t="str">
        <f>IF(B5414&lt;&gt;"",IF(AND(B5414='IN-TC'!$S$4,OR(TH!N5414="1111",TH!O5414="1111")),TH!D5414,""),"")</f>
        <v/>
      </c>
      <c r="B5414" s="60" t="str">
        <f t="shared" si="505"/>
        <v/>
      </c>
      <c r="C5414" s="61"/>
      <c r="D5414" s="61"/>
      <c r="E5414" s="61"/>
      <c r="F5414" s="69"/>
      <c r="G5414" s="766"/>
      <c r="H5414" s="69"/>
      <c r="I5414" s="385"/>
      <c r="J5414" s="392"/>
      <c r="K5414" s="385"/>
      <c r="L5414" s="392"/>
      <c r="M5414" s="62"/>
      <c r="N5414" s="63"/>
      <c r="O5414" s="63"/>
      <c r="P5414" s="79" t="str">
        <f>IF(AND('331-CT'!$E$7=TH!H5414,OR(N5414="331",O5414="331")),"x","")</f>
        <v/>
      </c>
      <c r="Q5414" s="79" t="str">
        <f>IF(AND(B5414='111'!$L$11,OR($N5414=$Q$7,$O5414=$Q$7)),"x","")</f>
        <v/>
      </c>
      <c r="R5414" s="79" t="str">
        <f>IF(AND($N5414=$Q$7,$B5414&lt;'111'!$L$11),"x","")</f>
        <v/>
      </c>
      <c r="S5414" s="79" t="str">
        <f>IF(AND($O5414=$Q$7,$B5414&lt;'111'!$L$11),"x","")</f>
        <v/>
      </c>
      <c r="T5414" s="79" t="str">
        <f>IF(ISERROR(FIND('112'!$M$9,G5414,1)),"",IF((AND(FIND('112'!$M$9,G5414,1)&gt;=1,B5414='112'!$K$9,OR($N5414='112'!$I$6,$O5414='112'!$I$6))),"x",""))</f>
        <v/>
      </c>
      <c r="U5414" s="79" t="str">
        <f>IF(ISERROR(FIND('112'!$M$9,G5414,1)),"",IF((AND(LEFT(G5414,2)=LEFT('112'!$M$9,2),B5414&lt;'112'!$K$9,$N5414='112'!$I$6)),"x",""))</f>
        <v/>
      </c>
      <c r="V5414" s="79" t="str">
        <f>IF(ISERROR(FIND('112'!$M$9,G5414,1)),"",IF((AND(RIGHT(G5414,2)=RIGHT('112'!$M$9,2),B5414&lt;'112'!$K$9,$O5414='112'!$I$6)),"x",""))</f>
        <v/>
      </c>
      <c r="W5414" s="79" t="str">
        <f>IF(AND('341-CT'!$H$9=H5414,OR(LEFT(N5414,3)=$W$7,LEFT(O5414,3)=$W$7)),"x","")</f>
        <v/>
      </c>
      <c r="X5414" s="79" t="str">
        <f>IF(OR(TH!N5414=TH!$X$7,O5414=TH!$X$7),"x","")</f>
        <v/>
      </c>
      <c r="Y5414" s="79" t="str">
        <f>IF(AND(OR(N5414="131",O5414="131"),H5414='131-CT'!$H$9),"x","")</f>
        <v/>
      </c>
      <c r="Z5414" s="79"/>
      <c r="AA5414" s="79" t="str">
        <f>IF(AND(MONTH(E5414)='IN-NX'!$J$5,'IN-NX'!$D$7=D5414),"x","")</f>
        <v/>
      </c>
      <c r="AB5414" s="79" t="str">
        <f>IF(AND(OR(LEFT(TH!N5414,2)="15",LEFT(TH!O5414,2)="15"),LEFT(TH!O5414,3)&lt;&gt;"111",'152-CT'!$J$8=TH!F5414),"x","")</f>
        <v/>
      </c>
      <c r="AC5414" s="79" t="str">
        <f>IF(AND(OR(LEFT(TH!N5414,2)="15",LEFT(TH!O5414,2)="15"),TK!$E$7=TH!F5414),"x","")</f>
        <v/>
      </c>
      <c r="AD5414" s="79" t="str">
        <f>IF(AND(N5414="1521",MONTH(C5414)='BK-NL'!$M$11),"x","")</f>
        <v/>
      </c>
    </row>
    <row r="5415" spans="1:30" ht="16.5" customHeight="1">
      <c r="A5415" s="318" t="str">
        <f>IF(B5415&lt;&gt;"",IF(AND(B5415='IN-TC'!$S$4,OR(TH!N5415="1111",TH!O5415="1111")),TH!D5415,""),"")</f>
        <v/>
      </c>
      <c r="B5415" s="60" t="str">
        <f t="shared" si="505"/>
        <v/>
      </c>
      <c r="C5415" s="61"/>
      <c r="D5415" s="61"/>
      <c r="E5415" s="61"/>
      <c r="F5415" s="69"/>
      <c r="G5415" s="766"/>
      <c r="H5415" s="69"/>
      <c r="I5415" s="385"/>
      <c r="J5415" s="392"/>
      <c r="K5415" s="385"/>
      <c r="L5415" s="392"/>
      <c r="M5415" s="62"/>
      <c r="N5415" s="63"/>
      <c r="O5415" s="63"/>
      <c r="P5415" s="79" t="str">
        <f>IF(AND('331-CT'!$E$7=TH!H5415,OR(N5415="331",O5415="331")),"x","")</f>
        <v/>
      </c>
      <c r="Q5415" s="79" t="str">
        <f>IF(AND(B5415='111'!$L$11,OR($N5415=$Q$7,$O5415=$Q$7)),"x","")</f>
        <v/>
      </c>
      <c r="R5415" s="79" t="str">
        <f>IF(AND($N5415=$Q$7,$B5415&lt;'111'!$L$11),"x","")</f>
        <v/>
      </c>
      <c r="S5415" s="79" t="str">
        <f>IF(AND($O5415=$Q$7,$B5415&lt;'111'!$L$11),"x","")</f>
        <v/>
      </c>
      <c r="T5415" s="79" t="str">
        <f>IF(ISERROR(FIND('112'!$M$9,G5415,1)),"",IF((AND(FIND('112'!$M$9,G5415,1)&gt;=1,B5415='112'!$K$9,OR($N5415='112'!$I$6,$O5415='112'!$I$6))),"x",""))</f>
        <v/>
      </c>
      <c r="U5415" s="79" t="str">
        <f>IF(ISERROR(FIND('112'!$M$9,G5415,1)),"",IF((AND(LEFT(G5415,2)=LEFT('112'!$M$9,2),B5415&lt;'112'!$K$9,$N5415='112'!$I$6)),"x",""))</f>
        <v/>
      </c>
      <c r="V5415" s="79" t="str">
        <f>IF(ISERROR(FIND('112'!$M$9,G5415,1)),"",IF((AND(RIGHT(G5415,2)=RIGHT('112'!$M$9,2),B5415&lt;'112'!$K$9,$O5415='112'!$I$6)),"x",""))</f>
        <v/>
      </c>
      <c r="W5415" s="79" t="str">
        <f>IF(AND('341-CT'!$H$9=H5415,OR(LEFT(N5415,3)=$W$7,LEFT(O5415,3)=$W$7)),"x","")</f>
        <v/>
      </c>
      <c r="X5415" s="79" t="str">
        <f>IF(OR(TH!N5415=TH!$X$7,O5415=TH!$X$7),"x","")</f>
        <v/>
      </c>
      <c r="Y5415" s="79" t="str">
        <f>IF(AND(OR(N5415="131",O5415="131"),H5415='131-CT'!$H$9),"x","")</f>
        <v/>
      </c>
      <c r="Z5415" s="79"/>
      <c r="AA5415" s="79" t="str">
        <f>IF(AND(MONTH(E5415)='IN-NX'!$J$5,'IN-NX'!$D$7=D5415),"x","")</f>
        <v/>
      </c>
      <c r="AB5415" s="79" t="str">
        <f>IF(AND(OR(LEFT(TH!N5415,2)="15",LEFT(TH!O5415,2)="15"),LEFT(TH!O5415,3)&lt;&gt;"111",'152-CT'!$J$8=TH!F5415),"x","")</f>
        <v/>
      </c>
      <c r="AC5415" s="79" t="str">
        <f>IF(AND(OR(LEFT(TH!N5415,2)="15",LEFT(TH!O5415,2)="15"),TK!$E$7=TH!F5415),"x","")</f>
        <v/>
      </c>
      <c r="AD5415" s="79" t="str">
        <f>IF(AND(N5415="1521",MONTH(C5415)='BK-NL'!$M$11),"x","")</f>
        <v/>
      </c>
    </row>
    <row r="5416" spans="1:30" ht="16.5" customHeight="1">
      <c r="A5416" s="318" t="str">
        <f>IF(B5416&lt;&gt;"",IF(AND(B5416='IN-TC'!$S$4,OR(TH!N5416="1111",TH!O5416="1111")),TH!D5416,""),"")</f>
        <v/>
      </c>
      <c r="B5416" s="60" t="str">
        <f t="shared" si="505"/>
        <v/>
      </c>
      <c r="C5416" s="61"/>
      <c r="D5416" s="61"/>
      <c r="E5416" s="61"/>
      <c r="F5416" s="69"/>
      <c r="G5416" s="766"/>
      <c r="H5416" s="69"/>
      <c r="I5416" s="385"/>
      <c r="J5416" s="392"/>
      <c r="K5416" s="385"/>
      <c r="L5416" s="392"/>
      <c r="M5416" s="62"/>
      <c r="N5416" s="63"/>
      <c r="O5416" s="63"/>
      <c r="P5416" s="79" t="str">
        <f>IF(AND('331-CT'!$E$7=TH!H5416,OR(N5416="331",O5416="331")),"x","")</f>
        <v/>
      </c>
      <c r="Q5416" s="79" t="str">
        <f>IF(AND(B5416='111'!$L$11,OR($N5416=$Q$7,$O5416=$Q$7)),"x","")</f>
        <v/>
      </c>
      <c r="R5416" s="79" t="str">
        <f>IF(AND($N5416=$Q$7,$B5416&lt;'111'!$L$11),"x","")</f>
        <v/>
      </c>
      <c r="S5416" s="79" t="str">
        <f>IF(AND($O5416=$Q$7,$B5416&lt;'111'!$L$11),"x","")</f>
        <v/>
      </c>
      <c r="T5416" s="79" t="str">
        <f>IF(ISERROR(FIND('112'!$M$9,G5416,1)),"",IF((AND(FIND('112'!$M$9,G5416,1)&gt;=1,B5416='112'!$K$9,OR($N5416='112'!$I$6,$O5416='112'!$I$6))),"x",""))</f>
        <v/>
      </c>
      <c r="U5416" s="79" t="str">
        <f>IF(ISERROR(FIND('112'!$M$9,G5416,1)),"",IF((AND(LEFT(G5416,2)=LEFT('112'!$M$9,2),B5416&lt;'112'!$K$9,$N5416='112'!$I$6)),"x",""))</f>
        <v/>
      </c>
      <c r="V5416" s="79" t="str">
        <f>IF(ISERROR(FIND('112'!$M$9,G5416,1)),"",IF((AND(RIGHT(G5416,2)=RIGHT('112'!$M$9,2),B5416&lt;'112'!$K$9,$O5416='112'!$I$6)),"x",""))</f>
        <v/>
      </c>
      <c r="W5416" s="79" t="str">
        <f>IF(AND('341-CT'!$H$9=H5416,OR(LEFT(N5416,3)=$W$7,LEFT(O5416,3)=$W$7)),"x","")</f>
        <v/>
      </c>
      <c r="X5416" s="79" t="str">
        <f>IF(OR(TH!N5416=TH!$X$7,O5416=TH!$X$7),"x","")</f>
        <v/>
      </c>
      <c r="Y5416" s="79" t="str">
        <f>IF(AND(OR(N5416="131",O5416="131"),H5416='131-CT'!$H$9),"x","")</f>
        <v/>
      </c>
      <c r="Z5416" s="79"/>
      <c r="AA5416" s="79" t="str">
        <f>IF(AND(MONTH(E5416)='IN-NX'!$J$5,'IN-NX'!$D$7=D5416),"x","")</f>
        <v/>
      </c>
      <c r="AB5416" s="79" t="str">
        <f>IF(AND(OR(LEFT(TH!N5416,2)="15",LEFT(TH!O5416,2)="15"),LEFT(TH!O5416,3)&lt;&gt;"111",'152-CT'!$J$8=TH!F5416),"x","")</f>
        <v/>
      </c>
      <c r="AC5416" s="79" t="str">
        <f>IF(AND(OR(LEFT(TH!N5416,2)="15",LEFT(TH!O5416,2)="15"),TK!$E$7=TH!F5416),"x","")</f>
        <v/>
      </c>
      <c r="AD5416" s="79" t="str">
        <f>IF(AND(N5416="1521",MONTH(C5416)='BK-NL'!$M$11),"x","")</f>
        <v/>
      </c>
    </row>
    <row r="5417" spans="1:30" ht="16.5" customHeight="1">
      <c r="A5417" s="318" t="str">
        <f>IF(B5417&lt;&gt;"",IF(AND(B5417='IN-TC'!$S$4,OR(TH!N5417="1111",TH!O5417="1111")),TH!D5417,""),"")</f>
        <v/>
      </c>
      <c r="B5417" s="60" t="str">
        <f t="shared" si="505"/>
        <v/>
      </c>
      <c r="C5417" s="61"/>
      <c r="D5417" s="61"/>
      <c r="E5417" s="61"/>
      <c r="F5417" s="69"/>
      <c r="G5417" s="766"/>
      <c r="H5417" s="69"/>
      <c r="I5417" s="385"/>
      <c r="J5417" s="392"/>
      <c r="K5417" s="385"/>
      <c r="L5417" s="392"/>
      <c r="M5417" s="62"/>
      <c r="N5417" s="63"/>
      <c r="O5417" s="63"/>
      <c r="P5417" s="79" t="str">
        <f>IF(AND('331-CT'!$E$7=TH!H5417,OR(N5417="331",O5417="331")),"x","")</f>
        <v/>
      </c>
      <c r="Q5417" s="79" t="str">
        <f>IF(AND(B5417='111'!$L$11,OR($N5417=$Q$7,$O5417=$Q$7)),"x","")</f>
        <v/>
      </c>
      <c r="R5417" s="79" t="str">
        <f>IF(AND($N5417=$Q$7,$B5417&lt;'111'!$L$11),"x","")</f>
        <v/>
      </c>
      <c r="S5417" s="79" t="str">
        <f>IF(AND($O5417=$Q$7,$B5417&lt;'111'!$L$11),"x","")</f>
        <v/>
      </c>
      <c r="T5417" s="79" t="str">
        <f>IF(ISERROR(FIND('112'!$M$9,G5417,1)),"",IF((AND(FIND('112'!$M$9,G5417,1)&gt;=1,B5417='112'!$K$9,OR($N5417='112'!$I$6,$O5417='112'!$I$6))),"x",""))</f>
        <v/>
      </c>
      <c r="U5417" s="79" t="str">
        <f>IF(ISERROR(FIND('112'!$M$9,G5417,1)),"",IF((AND(LEFT(G5417,2)=LEFT('112'!$M$9,2),B5417&lt;'112'!$K$9,$N5417='112'!$I$6)),"x",""))</f>
        <v/>
      </c>
      <c r="V5417" s="79" t="str">
        <f>IF(ISERROR(FIND('112'!$M$9,G5417,1)),"",IF((AND(RIGHT(G5417,2)=RIGHT('112'!$M$9,2),B5417&lt;'112'!$K$9,$O5417='112'!$I$6)),"x",""))</f>
        <v/>
      </c>
      <c r="W5417" s="79" t="str">
        <f>IF(AND('341-CT'!$H$9=H5417,OR(LEFT(N5417,3)=$W$7,LEFT(O5417,3)=$W$7)),"x","")</f>
        <v/>
      </c>
      <c r="X5417" s="79" t="str">
        <f>IF(OR(TH!N5417=TH!$X$7,O5417=TH!$X$7),"x","")</f>
        <v/>
      </c>
      <c r="Y5417" s="79" t="str">
        <f>IF(AND(OR(N5417="131",O5417="131"),H5417='131-CT'!$H$9),"x","")</f>
        <v/>
      </c>
      <c r="Z5417" s="79"/>
      <c r="AA5417" s="79" t="str">
        <f>IF(AND(MONTH(E5417)='IN-NX'!$J$5,'IN-NX'!$D$7=D5417),"x","")</f>
        <v/>
      </c>
      <c r="AB5417" s="79" t="str">
        <f>IF(AND(OR(LEFT(TH!N5417,2)="15",LEFT(TH!O5417,2)="15"),LEFT(TH!O5417,3)&lt;&gt;"111",'152-CT'!$J$8=TH!F5417),"x","")</f>
        <v/>
      </c>
      <c r="AC5417" s="79" t="str">
        <f>IF(AND(OR(LEFT(TH!N5417,2)="15",LEFT(TH!O5417,2)="15"),TK!$E$7=TH!F5417),"x","")</f>
        <v/>
      </c>
      <c r="AD5417" s="79" t="str">
        <f>IF(AND(N5417="1521",MONTH(C5417)='BK-NL'!$M$11),"x","")</f>
        <v/>
      </c>
    </row>
    <row r="5418" spans="1:30" ht="16.5" customHeight="1">
      <c r="A5418" s="318" t="str">
        <f>IF(B5418&lt;&gt;"",IF(AND(B5418='IN-TC'!$S$4,OR(TH!N5418="1111",TH!O5418="1111")),TH!D5418,""),"")</f>
        <v/>
      </c>
      <c r="B5418" s="60" t="str">
        <f t="shared" si="505"/>
        <v/>
      </c>
      <c r="C5418" s="61"/>
      <c r="D5418" s="61"/>
      <c r="E5418" s="61"/>
      <c r="F5418" s="69"/>
      <c r="G5418" s="766"/>
      <c r="H5418" s="69"/>
      <c r="I5418" s="385"/>
      <c r="J5418" s="392"/>
      <c r="K5418" s="385"/>
      <c r="L5418" s="392"/>
      <c r="M5418" s="62"/>
      <c r="N5418" s="63"/>
      <c r="O5418" s="63"/>
      <c r="P5418" s="79" t="str">
        <f>IF(AND('331-CT'!$E$7=TH!H5418,OR(N5418="331",O5418="331")),"x","")</f>
        <v/>
      </c>
      <c r="Q5418" s="79" t="str">
        <f>IF(AND(B5418='111'!$L$11,OR($N5418=$Q$7,$O5418=$Q$7)),"x","")</f>
        <v/>
      </c>
      <c r="R5418" s="79" t="str">
        <f>IF(AND($N5418=$Q$7,$B5418&lt;'111'!$L$11),"x","")</f>
        <v/>
      </c>
      <c r="S5418" s="79" t="str">
        <f>IF(AND($O5418=$Q$7,$B5418&lt;'111'!$L$11),"x","")</f>
        <v/>
      </c>
      <c r="T5418" s="79" t="str">
        <f>IF(ISERROR(FIND('112'!$M$9,G5418,1)),"",IF((AND(FIND('112'!$M$9,G5418,1)&gt;=1,B5418='112'!$K$9,OR($N5418='112'!$I$6,$O5418='112'!$I$6))),"x",""))</f>
        <v/>
      </c>
      <c r="U5418" s="79" t="str">
        <f>IF(ISERROR(FIND('112'!$M$9,G5418,1)),"",IF((AND(LEFT(G5418,2)=LEFT('112'!$M$9,2),B5418&lt;'112'!$K$9,$N5418='112'!$I$6)),"x",""))</f>
        <v/>
      </c>
      <c r="V5418" s="79" t="str">
        <f>IF(ISERROR(FIND('112'!$M$9,G5418,1)),"",IF((AND(RIGHT(G5418,2)=RIGHT('112'!$M$9,2),B5418&lt;'112'!$K$9,$O5418='112'!$I$6)),"x",""))</f>
        <v/>
      </c>
      <c r="W5418" s="79" t="str">
        <f>IF(AND('341-CT'!$H$9=H5418,OR(LEFT(N5418,3)=$W$7,LEFT(O5418,3)=$W$7)),"x","")</f>
        <v/>
      </c>
      <c r="X5418" s="79" t="str">
        <f>IF(OR(TH!N5418=TH!$X$7,O5418=TH!$X$7),"x","")</f>
        <v/>
      </c>
      <c r="Y5418" s="79" t="str">
        <f>IF(AND(OR(N5418="131",O5418="131"),H5418='131-CT'!$H$9),"x","")</f>
        <v/>
      </c>
      <c r="Z5418" s="79"/>
      <c r="AA5418" s="79" t="str">
        <f>IF(AND(MONTH(E5418)='IN-NX'!$J$5,'IN-NX'!$D$7=D5418),"x","")</f>
        <v/>
      </c>
      <c r="AB5418" s="79" t="str">
        <f>IF(AND(OR(LEFT(TH!N5418,2)="15",LEFT(TH!O5418,2)="15"),LEFT(TH!O5418,3)&lt;&gt;"111",'152-CT'!$J$8=TH!F5418),"x","")</f>
        <v/>
      </c>
      <c r="AC5418" s="79" t="str">
        <f>IF(AND(OR(LEFT(TH!N5418,2)="15",LEFT(TH!O5418,2)="15"),TK!$E$7=TH!F5418),"x","")</f>
        <v/>
      </c>
      <c r="AD5418" s="79" t="str">
        <f>IF(AND(N5418="1521",MONTH(C5418)='BK-NL'!$M$11),"x","")</f>
        <v/>
      </c>
    </row>
    <row r="5419" spans="1:30" ht="16.5" customHeight="1">
      <c r="A5419" s="318" t="str">
        <f>IF(B5419&lt;&gt;"",IF(AND(B5419='IN-TC'!$S$4,OR(TH!N5419="1111",TH!O5419="1111")),TH!D5419,""),"")</f>
        <v/>
      </c>
      <c r="B5419" s="60" t="str">
        <f t="shared" si="505"/>
        <v/>
      </c>
      <c r="C5419" s="61"/>
      <c r="D5419" s="61"/>
      <c r="E5419" s="61"/>
      <c r="F5419" s="69"/>
      <c r="G5419" s="766"/>
      <c r="H5419" s="69"/>
      <c r="I5419" s="385"/>
      <c r="J5419" s="392"/>
      <c r="K5419" s="385"/>
      <c r="L5419" s="392"/>
      <c r="M5419" s="62"/>
      <c r="N5419" s="63"/>
      <c r="O5419" s="63"/>
      <c r="P5419" s="79" t="str">
        <f>IF(AND('331-CT'!$E$7=TH!H5419,OR(N5419="331",O5419="331")),"x","")</f>
        <v/>
      </c>
      <c r="Q5419" s="79" t="str">
        <f>IF(AND(B5419='111'!$L$11,OR($N5419=$Q$7,$O5419=$Q$7)),"x","")</f>
        <v/>
      </c>
      <c r="R5419" s="79" t="str">
        <f>IF(AND($N5419=$Q$7,$B5419&lt;'111'!$L$11),"x","")</f>
        <v/>
      </c>
      <c r="S5419" s="79" t="str">
        <f>IF(AND($O5419=$Q$7,$B5419&lt;'111'!$L$11),"x","")</f>
        <v/>
      </c>
      <c r="T5419" s="79" t="str">
        <f>IF(ISERROR(FIND('112'!$M$9,G5419,1)),"",IF((AND(FIND('112'!$M$9,G5419,1)&gt;=1,B5419='112'!$K$9,OR($N5419='112'!$I$6,$O5419='112'!$I$6))),"x",""))</f>
        <v/>
      </c>
      <c r="U5419" s="79" t="str">
        <f>IF(ISERROR(FIND('112'!$M$9,G5419,1)),"",IF((AND(LEFT(G5419,2)=LEFT('112'!$M$9,2),B5419&lt;'112'!$K$9,$N5419='112'!$I$6)),"x",""))</f>
        <v/>
      </c>
      <c r="V5419" s="79" t="str">
        <f>IF(ISERROR(FIND('112'!$M$9,G5419,1)),"",IF((AND(RIGHT(G5419,2)=RIGHT('112'!$M$9,2),B5419&lt;'112'!$K$9,$O5419='112'!$I$6)),"x",""))</f>
        <v/>
      </c>
      <c r="W5419" s="79" t="str">
        <f>IF(AND('341-CT'!$H$9=H5419,OR(LEFT(N5419,3)=$W$7,LEFT(O5419,3)=$W$7)),"x","")</f>
        <v/>
      </c>
      <c r="X5419" s="79" t="str">
        <f>IF(OR(TH!N5419=TH!$X$7,O5419=TH!$X$7),"x","")</f>
        <v/>
      </c>
      <c r="Y5419" s="79" t="str">
        <f>IF(AND(OR(N5419="131",O5419="131"),H5419='131-CT'!$H$9),"x","")</f>
        <v/>
      </c>
      <c r="Z5419" s="79"/>
      <c r="AA5419" s="79" t="str">
        <f>IF(AND(MONTH(E5419)='IN-NX'!$J$5,'IN-NX'!$D$7=D5419),"x","")</f>
        <v/>
      </c>
      <c r="AB5419" s="79" t="str">
        <f>IF(AND(OR(LEFT(TH!N5419,2)="15",LEFT(TH!O5419,2)="15"),LEFT(TH!O5419,3)&lt;&gt;"111",'152-CT'!$J$8=TH!F5419),"x","")</f>
        <v/>
      </c>
      <c r="AC5419" s="79" t="str">
        <f>IF(AND(OR(LEFT(TH!N5419,2)="15",LEFT(TH!O5419,2)="15"),TK!$E$7=TH!F5419),"x","")</f>
        <v/>
      </c>
      <c r="AD5419" s="79" t="str">
        <f>IF(AND(N5419="1521",MONTH(C5419)='BK-NL'!$M$11),"x","")</f>
        <v/>
      </c>
    </row>
    <row r="5420" spans="1:30" ht="16.5" customHeight="1">
      <c r="A5420" s="318" t="str">
        <f>IF(B5420&lt;&gt;"",IF(AND(B5420='IN-TC'!$S$4,OR(TH!N5420="1111",TH!O5420="1111")),TH!D5420,""),"")</f>
        <v/>
      </c>
      <c r="B5420" s="60" t="str">
        <f t="shared" si="505"/>
        <v/>
      </c>
      <c r="C5420" s="61"/>
      <c r="D5420" s="61"/>
      <c r="E5420" s="61"/>
      <c r="F5420" s="69"/>
      <c r="G5420" s="766"/>
      <c r="H5420" s="69"/>
      <c r="I5420" s="385"/>
      <c r="J5420" s="392"/>
      <c r="K5420" s="385"/>
      <c r="L5420" s="392"/>
      <c r="M5420" s="62"/>
      <c r="N5420" s="63"/>
      <c r="O5420" s="63"/>
      <c r="P5420" s="79" t="str">
        <f>IF(AND('331-CT'!$E$7=TH!H5420,OR(N5420="331",O5420="331")),"x","")</f>
        <v/>
      </c>
      <c r="Q5420" s="79" t="str">
        <f>IF(AND(B5420='111'!$L$11,OR($N5420=$Q$7,$O5420=$Q$7)),"x","")</f>
        <v/>
      </c>
      <c r="R5420" s="79" t="str">
        <f>IF(AND($N5420=$Q$7,$B5420&lt;'111'!$L$11),"x","")</f>
        <v/>
      </c>
      <c r="S5420" s="79" t="str">
        <f>IF(AND($O5420=$Q$7,$B5420&lt;'111'!$L$11),"x","")</f>
        <v/>
      </c>
      <c r="T5420" s="79" t="str">
        <f>IF(ISERROR(FIND('112'!$M$9,G5420,1)),"",IF((AND(FIND('112'!$M$9,G5420,1)&gt;=1,B5420='112'!$K$9,OR($N5420='112'!$I$6,$O5420='112'!$I$6))),"x",""))</f>
        <v/>
      </c>
      <c r="U5420" s="79" t="str">
        <f>IF(ISERROR(FIND('112'!$M$9,G5420,1)),"",IF((AND(LEFT(G5420,2)=LEFT('112'!$M$9,2),B5420&lt;'112'!$K$9,$N5420='112'!$I$6)),"x",""))</f>
        <v/>
      </c>
      <c r="V5420" s="79" t="str">
        <f>IF(ISERROR(FIND('112'!$M$9,G5420,1)),"",IF((AND(RIGHT(G5420,2)=RIGHT('112'!$M$9,2),B5420&lt;'112'!$K$9,$O5420='112'!$I$6)),"x",""))</f>
        <v/>
      </c>
      <c r="W5420" s="79" t="str">
        <f>IF(AND('341-CT'!$H$9=H5420,OR(LEFT(N5420,3)=$W$7,LEFT(O5420,3)=$W$7)),"x","")</f>
        <v/>
      </c>
      <c r="X5420" s="79" t="str">
        <f>IF(OR(TH!N5420=TH!$X$7,O5420=TH!$X$7),"x","")</f>
        <v/>
      </c>
      <c r="Y5420" s="79" t="str">
        <f>IF(AND(OR(N5420="131",O5420="131"),H5420='131-CT'!$H$9),"x","")</f>
        <v/>
      </c>
      <c r="Z5420" s="79"/>
      <c r="AA5420" s="79" t="str">
        <f>IF(AND(MONTH(E5420)='IN-NX'!$J$5,'IN-NX'!$D$7=D5420),"x","")</f>
        <v/>
      </c>
      <c r="AB5420" s="79" t="str">
        <f>IF(AND(OR(LEFT(TH!N5420,2)="15",LEFT(TH!O5420,2)="15"),LEFT(TH!O5420,3)&lt;&gt;"111",'152-CT'!$J$8=TH!F5420),"x","")</f>
        <v/>
      </c>
      <c r="AC5420" s="79" t="str">
        <f>IF(AND(OR(LEFT(TH!N5420,2)="15",LEFT(TH!O5420,2)="15"),TK!$E$7=TH!F5420),"x","")</f>
        <v/>
      </c>
      <c r="AD5420" s="79" t="str">
        <f>IF(AND(N5420="1521",MONTH(C5420)='BK-NL'!$M$11),"x","")</f>
        <v/>
      </c>
    </row>
    <row r="5421" spans="1:30" ht="16.5" customHeight="1">
      <c r="A5421" s="318" t="str">
        <f>IF(B5421&lt;&gt;"",IF(AND(B5421='IN-TC'!$S$4,OR(TH!N5421="1111",TH!O5421="1111")),TH!D5421,""),"")</f>
        <v/>
      </c>
      <c r="B5421" s="60" t="str">
        <f t="shared" si="505"/>
        <v/>
      </c>
      <c r="C5421" s="61"/>
      <c r="D5421" s="61"/>
      <c r="E5421" s="61"/>
      <c r="F5421" s="69"/>
      <c r="G5421" s="766"/>
      <c r="H5421" s="69"/>
      <c r="I5421" s="385"/>
      <c r="J5421" s="392"/>
      <c r="K5421" s="385"/>
      <c r="L5421" s="392"/>
      <c r="M5421" s="62"/>
      <c r="N5421" s="63"/>
      <c r="O5421" s="63"/>
      <c r="P5421" s="79" t="str">
        <f>IF(AND('331-CT'!$E$7=TH!H5421,OR(N5421="331",O5421="331")),"x","")</f>
        <v/>
      </c>
      <c r="Q5421" s="79" t="str">
        <f>IF(AND(B5421='111'!$L$11,OR($N5421=$Q$7,$O5421=$Q$7)),"x","")</f>
        <v/>
      </c>
      <c r="R5421" s="79" t="str">
        <f>IF(AND($N5421=$Q$7,$B5421&lt;'111'!$L$11),"x","")</f>
        <v/>
      </c>
      <c r="S5421" s="79" t="str">
        <f>IF(AND($O5421=$Q$7,$B5421&lt;'111'!$L$11),"x","")</f>
        <v/>
      </c>
      <c r="T5421" s="79" t="str">
        <f>IF(ISERROR(FIND('112'!$M$9,G5421,1)),"",IF((AND(FIND('112'!$M$9,G5421,1)&gt;=1,B5421='112'!$K$9,OR($N5421='112'!$I$6,$O5421='112'!$I$6))),"x",""))</f>
        <v/>
      </c>
      <c r="U5421" s="79" t="str">
        <f>IF(ISERROR(FIND('112'!$M$9,G5421,1)),"",IF((AND(LEFT(G5421,2)=LEFT('112'!$M$9,2),B5421&lt;'112'!$K$9,$N5421='112'!$I$6)),"x",""))</f>
        <v/>
      </c>
      <c r="V5421" s="79" t="str">
        <f>IF(ISERROR(FIND('112'!$M$9,G5421,1)),"",IF((AND(RIGHT(G5421,2)=RIGHT('112'!$M$9,2),B5421&lt;'112'!$K$9,$O5421='112'!$I$6)),"x",""))</f>
        <v/>
      </c>
      <c r="W5421" s="79" t="str">
        <f>IF(AND('341-CT'!$H$9=H5421,OR(LEFT(N5421,3)=$W$7,LEFT(O5421,3)=$W$7)),"x","")</f>
        <v/>
      </c>
      <c r="X5421" s="79" t="str">
        <f>IF(OR(TH!N5421=TH!$X$7,O5421=TH!$X$7),"x","")</f>
        <v/>
      </c>
      <c r="Y5421" s="79" t="str">
        <f>IF(AND(OR(N5421="131",O5421="131"),H5421='131-CT'!$H$9),"x","")</f>
        <v/>
      </c>
      <c r="Z5421" s="79"/>
      <c r="AA5421" s="79" t="str">
        <f>IF(AND(MONTH(E5421)='IN-NX'!$J$5,'IN-NX'!$D$7=D5421),"x","")</f>
        <v/>
      </c>
      <c r="AB5421" s="79" t="str">
        <f>IF(AND(OR(LEFT(TH!N5421,2)="15",LEFT(TH!O5421,2)="15"),LEFT(TH!O5421,3)&lt;&gt;"111",'152-CT'!$J$8=TH!F5421),"x","")</f>
        <v/>
      </c>
      <c r="AC5421" s="79" t="str">
        <f>IF(AND(OR(LEFT(TH!N5421,2)="15",LEFT(TH!O5421,2)="15"),TK!$E$7=TH!F5421),"x","")</f>
        <v/>
      </c>
      <c r="AD5421" s="79" t="str">
        <f>IF(AND(N5421="1521",MONTH(C5421)='BK-NL'!$M$11),"x","")</f>
        <v/>
      </c>
    </row>
    <row r="5422" spans="1:30" ht="16.5" customHeight="1">
      <c r="A5422" s="318" t="str">
        <f>IF(B5422&lt;&gt;"",IF(AND(B5422='IN-TC'!$S$4,OR(TH!N5422="1111",TH!O5422="1111")),TH!D5422,""),"")</f>
        <v/>
      </c>
      <c r="B5422" s="60" t="str">
        <f t="shared" si="505"/>
        <v/>
      </c>
      <c r="C5422" s="61"/>
      <c r="D5422" s="61"/>
      <c r="E5422" s="61"/>
      <c r="F5422" s="69"/>
      <c r="G5422" s="766"/>
      <c r="H5422" s="69"/>
      <c r="I5422" s="385"/>
      <c r="J5422" s="392"/>
      <c r="K5422" s="385"/>
      <c r="L5422" s="392"/>
      <c r="M5422" s="62"/>
      <c r="N5422" s="63"/>
      <c r="O5422" s="63"/>
      <c r="P5422" s="79" t="str">
        <f>IF(AND('331-CT'!$E$7=TH!H5422,OR(N5422="331",O5422="331")),"x","")</f>
        <v/>
      </c>
      <c r="Q5422" s="79" t="str">
        <f>IF(AND(B5422='111'!$L$11,OR($N5422=$Q$7,$O5422=$Q$7)),"x","")</f>
        <v/>
      </c>
      <c r="R5422" s="79" t="str">
        <f>IF(AND($N5422=$Q$7,$B5422&lt;'111'!$L$11),"x","")</f>
        <v/>
      </c>
      <c r="S5422" s="79" t="str">
        <f>IF(AND($O5422=$Q$7,$B5422&lt;'111'!$L$11),"x","")</f>
        <v/>
      </c>
      <c r="T5422" s="79" t="str">
        <f>IF(ISERROR(FIND('112'!$M$9,G5422,1)),"",IF((AND(FIND('112'!$M$9,G5422,1)&gt;=1,B5422='112'!$K$9,OR($N5422='112'!$I$6,$O5422='112'!$I$6))),"x",""))</f>
        <v/>
      </c>
      <c r="U5422" s="79" t="str">
        <f>IF(ISERROR(FIND('112'!$M$9,G5422,1)),"",IF((AND(LEFT(G5422,2)=LEFT('112'!$M$9,2),B5422&lt;'112'!$K$9,$N5422='112'!$I$6)),"x",""))</f>
        <v/>
      </c>
      <c r="V5422" s="79" t="str">
        <f>IF(ISERROR(FIND('112'!$M$9,G5422,1)),"",IF((AND(RIGHT(G5422,2)=RIGHT('112'!$M$9,2),B5422&lt;'112'!$K$9,$O5422='112'!$I$6)),"x",""))</f>
        <v/>
      </c>
      <c r="W5422" s="79" t="str">
        <f>IF(AND('341-CT'!$H$9=H5422,OR(LEFT(N5422,3)=$W$7,LEFT(O5422,3)=$W$7)),"x","")</f>
        <v/>
      </c>
      <c r="X5422" s="79" t="str">
        <f>IF(OR(TH!N5422=TH!$X$7,O5422=TH!$X$7),"x","")</f>
        <v/>
      </c>
      <c r="Y5422" s="79" t="str">
        <f>IF(AND(OR(N5422="131",O5422="131"),H5422='131-CT'!$H$9),"x","")</f>
        <v/>
      </c>
      <c r="Z5422" s="79"/>
      <c r="AA5422" s="79" t="str">
        <f>IF(AND(MONTH(E5422)='IN-NX'!$J$5,'IN-NX'!$D$7=D5422),"x","")</f>
        <v/>
      </c>
      <c r="AB5422" s="79" t="str">
        <f>IF(AND(OR(LEFT(TH!N5422,2)="15",LEFT(TH!O5422,2)="15"),LEFT(TH!O5422,3)&lt;&gt;"111",'152-CT'!$J$8=TH!F5422),"x","")</f>
        <v/>
      </c>
      <c r="AC5422" s="79" t="str">
        <f>IF(AND(OR(LEFT(TH!N5422,2)="15",LEFT(TH!O5422,2)="15"),TK!$E$7=TH!F5422),"x","")</f>
        <v/>
      </c>
      <c r="AD5422" s="79" t="str">
        <f>IF(AND(N5422="1521",MONTH(C5422)='BK-NL'!$M$11),"x","")</f>
        <v/>
      </c>
    </row>
    <row r="5423" spans="1:30" ht="16.5" customHeight="1">
      <c r="A5423" s="318" t="str">
        <f>IF(B5423&lt;&gt;"",IF(AND(B5423='IN-TC'!$S$4,OR(TH!N5423="1111",TH!O5423="1111")),TH!D5423,""),"")</f>
        <v/>
      </c>
      <c r="B5423" s="60" t="str">
        <f t="shared" si="505"/>
        <v/>
      </c>
      <c r="C5423" s="61"/>
      <c r="D5423" s="61"/>
      <c r="E5423" s="61"/>
      <c r="F5423" s="69"/>
      <c r="G5423" s="766"/>
      <c r="H5423" s="69"/>
      <c r="I5423" s="385"/>
      <c r="J5423" s="392"/>
      <c r="K5423" s="385"/>
      <c r="L5423" s="392"/>
      <c r="M5423" s="62"/>
      <c r="N5423" s="63"/>
      <c r="O5423" s="63"/>
      <c r="P5423" s="79" t="str">
        <f>IF(AND('331-CT'!$E$7=TH!H5423,OR(N5423="331",O5423="331")),"x","")</f>
        <v/>
      </c>
      <c r="Q5423" s="79" t="str">
        <f>IF(AND(B5423='111'!$L$11,OR($N5423=$Q$7,$O5423=$Q$7)),"x","")</f>
        <v/>
      </c>
      <c r="R5423" s="79" t="str">
        <f>IF(AND($N5423=$Q$7,$B5423&lt;'111'!$L$11),"x","")</f>
        <v/>
      </c>
      <c r="S5423" s="79" t="str">
        <f>IF(AND($O5423=$Q$7,$B5423&lt;'111'!$L$11),"x","")</f>
        <v/>
      </c>
      <c r="T5423" s="79" t="str">
        <f>IF(ISERROR(FIND('112'!$M$9,G5423,1)),"",IF((AND(FIND('112'!$M$9,G5423,1)&gt;=1,B5423='112'!$K$9,OR($N5423='112'!$I$6,$O5423='112'!$I$6))),"x",""))</f>
        <v/>
      </c>
      <c r="U5423" s="79" t="str">
        <f>IF(ISERROR(FIND('112'!$M$9,G5423,1)),"",IF((AND(LEFT(G5423,2)=LEFT('112'!$M$9,2),B5423&lt;'112'!$K$9,$N5423='112'!$I$6)),"x",""))</f>
        <v/>
      </c>
      <c r="V5423" s="79" t="str">
        <f>IF(ISERROR(FIND('112'!$M$9,G5423,1)),"",IF((AND(RIGHT(G5423,2)=RIGHT('112'!$M$9,2),B5423&lt;'112'!$K$9,$O5423='112'!$I$6)),"x",""))</f>
        <v/>
      </c>
      <c r="W5423" s="79" t="str">
        <f>IF(AND('341-CT'!$H$9=H5423,OR(LEFT(N5423,3)=$W$7,LEFT(O5423,3)=$W$7)),"x","")</f>
        <v/>
      </c>
      <c r="X5423" s="79" t="str">
        <f>IF(OR(TH!N5423=TH!$X$7,O5423=TH!$X$7),"x","")</f>
        <v/>
      </c>
      <c r="Y5423" s="79" t="str">
        <f>IF(AND(OR(N5423="131",O5423="131"),H5423='131-CT'!$H$9),"x","")</f>
        <v/>
      </c>
      <c r="Z5423" s="79"/>
      <c r="AA5423" s="79" t="str">
        <f>IF(AND(MONTH(E5423)='IN-NX'!$J$5,'IN-NX'!$D$7=D5423),"x","")</f>
        <v/>
      </c>
      <c r="AB5423" s="79" t="str">
        <f>IF(AND(OR(LEFT(TH!N5423,2)="15",LEFT(TH!O5423,2)="15"),LEFT(TH!O5423,3)&lt;&gt;"111",'152-CT'!$J$8=TH!F5423),"x","")</f>
        <v/>
      </c>
      <c r="AC5423" s="79" t="str">
        <f>IF(AND(OR(LEFT(TH!N5423,2)="15",LEFT(TH!O5423,2)="15"),TK!$E$7=TH!F5423),"x","")</f>
        <v/>
      </c>
      <c r="AD5423" s="79" t="str">
        <f>IF(AND(N5423="1521",MONTH(C5423)='BK-NL'!$M$11),"x","")</f>
        <v/>
      </c>
    </row>
    <row r="5424" spans="1:30" ht="16.5" customHeight="1">
      <c r="A5424" s="318" t="str">
        <f>IF(B5424&lt;&gt;"",IF(AND(B5424='IN-TC'!$S$4,OR(TH!N5424="1111",TH!O5424="1111")),TH!D5424,""),"")</f>
        <v/>
      </c>
      <c r="B5424" s="60" t="str">
        <f t="shared" si="505"/>
        <v/>
      </c>
      <c r="C5424" s="61"/>
      <c r="D5424" s="61"/>
      <c r="E5424" s="61"/>
      <c r="F5424" s="69"/>
      <c r="G5424" s="766"/>
      <c r="H5424" s="69"/>
      <c r="I5424" s="385"/>
      <c r="J5424" s="392"/>
      <c r="K5424" s="385"/>
      <c r="L5424" s="392"/>
      <c r="M5424" s="62"/>
      <c r="N5424" s="63"/>
      <c r="O5424" s="63"/>
      <c r="P5424" s="79" t="str">
        <f>IF(AND('331-CT'!$E$7=TH!H5424,OR(N5424="331",O5424="331")),"x","")</f>
        <v/>
      </c>
      <c r="Q5424" s="79" t="str">
        <f>IF(AND(B5424='111'!$L$11,OR($N5424=$Q$7,$O5424=$Q$7)),"x","")</f>
        <v/>
      </c>
      <c r="R5424" s="79" t="str">
        <f>IF(AND($N5424=$Q$7,$B5424&lt;'111'!$L$11),"x","")</f>
        <v/>
      </c>
      <c r="S5424" s="79" t="str">
        <f>IF(AND($O5424=$Q$7,$B5424&lt;'111'!$L$11),"x","")</f>
        <v/>
      </c>
      <c r="T5424" s="79" t="str">
        <f>IF(ISERROR(FIND('112'!$M$9,G5424,1)),"",IF((AND(FIND('112'!$M$9,G5424,1)&gt;=1,B5424='112'!$K$9,OR($N5424='112'!$I$6,$O5424='112'!$I$6))),"x",""))</f>
        <v/>
      </c>
      <c r="U5424" s="79" t="str">
        <f>IF(ISERROR(FIND('112'!$M$9,G5424,1)),"",IF((AND(LEFT(G5424,2)=LEFT('112'!$M$9,2),B5424&lt;'112'!$K$9,$N5424='112'!$I$6)),"x",""))</f>
        <v/>
      </c>
      <c r="V5424" s="79" t="str">
        <f>IF(ISERROR(FIND('112'!$M$9,G5424,1)),"",IF((AND(RIGHT(G5424,2)=RIGHT('112'!$M$9,2),B5424&lt;'112'!$K$9,$O5424='112'!$I$6)),"x",""))</f>
        <v/>
      </c>
      <c r="W5424" s="79" t="str">
        <f>IF(AND('341-CT'!$H$9=H5424,OR(LEFT(N5424,3)=$W$7,LEFT(O5424,3)=$W$7)),"x","")</f>
        <v/>
      </c>
      <c r="X5424" s="79" t="str">
        <f>IF(OR(TH!N5424=TH!$X$7,O5424=TH!$X$7),"x","")</f>
        <v/>
      </c>
      <c r="Y5424" s="79" t="str">
        <f>IF(AND(OR(N5424="131",O5424="131"),H5424='131-CT'!$H$9),"x","")</f>
        <v/>
      </c>
      <c r="Z5424" s="79"/>
      <c r="AA5424" s="79" t="str">
        <f>IF(AND(MONTH(E5424)='IN-NX'!$J$5,'IN-NX'!$D$7=D5424),"x","")</f>
        <v/>
      </c>
      <c r="AB5424" s="79" t="str">
        <f>IF(AND(OR(LEFT(TH!N5424,2)="15",LEFT(TH!O5424,2)="15"),LEFT(TH!O5424,3)&lt;&gt;"111",'152-CT'!$J$8=TH!F5424),"x","")</f>
        <v/>
      </c>
      <c r="AC5424" s="79" t="str">
        <f>IF(AND(OR(LEFT(TH!N5424,2)="15",LEFT(TH!O5424,2)="15"),TK!$E$7=TH!F5424),"x","")</f>
        <v/>
      </c>
      <c r="AD5424" s="79" t="str">
        <f>IF(AND(N5424="1521",MONTH(C5424)='BK-NL'!$M$11),"x","")</f>
        <v/>
      </c>
    </row>
    <row r="5425" spans="1:30" ht="16.5" customHeight="1">
      <c r="A5425" s="318" t="str">
        <f>IF(B5425&lt;&gt;"",IF(AND(B5425='IN-TC'!$S$4,OR(TH!N5425="1111",TH!O5425="1111")),TH!D5425,""),"")</f>
        <v/>
      </c>
      <c r="B5425" s="60" t="str">
        <f t="shared" si="505"/>
        <v/>
      </c>
      <c r="C5425" s="61"/>
      <c r="D5425" s="61"/>
      <c r="E5425" s="61"/>
      <c r="F5425" s="69"/>
      <c r="G5425" s="766"/>
      <c r="H5425" s="69"/>
      <c r="I5425" s="385"/>
      <c r="J5425" s="392"/>
      <c r="K5425" s="385"/>
      <c r="L5425" s="392"/>
      <c r="M5425" s="62"/>
      <c r="N5425" s="63"/>
      <c r="O5425" s="63"/>
      <c r="P5425" s="79" t="str">
        <f>IF(AND('331-CT'!$E$7=TH!H5425,OR(N5425="331",O5425="331")),"x","")</f>
        <v/>
      </c>
      <c r="Q5425" s="79" t="str">
        <f>IF(AND(B5425='111'!$L$11,OR($N5425=$Q$7,$O5425=$Q$7)),"x","")</f>
        <v/>
      </c>
      <c r="R5425" s="79" t="str">
        <f>IF(AND($N5425=$Q$7,$B5425&lt;'111'!$L$11),"x","")</f>
        <v/>
      </c>
      <c r="S5425" s="79" t="str">
        <f>IF(AND($O5425=$Q$7,$B5425&lt;'111'!$L$11),"x","")</f>
        <v/>
      </c>
      <c r="T5425" s="79" t="str">
        <f>IF(ISERROR(FIND('112'!$M$9,G5425,1)),"",IF((AND(FIND('112'!$M$9,G5425,1)&gt;=1,B5425='112'!$K$9,OR($N5425='112'!$I$6,$O5425='112'!$I$6))),"x",""))</f>
        <v/>
      </c>
      <c r="U5425" s="79" t="str">
        <f>IF(ISERROR(FIND('112'!$M$9,G5425,1)),"",IF((AND(LEFT(G5425,2)=LEFT('112'!$M$9,2),B5425&lt;'112'!$K$9,$N5425='112'!$I$6)),"x",""))</f>
        <v/>
      </c>
      <c r="V5425" s="79" t="str">
        <f>IF(ISERROR(FIND('112'!$M$9,G5425,1)),"",IF((AND(RIGHT(G5425,2)=RIGHT('112'!$M$9,2),B5425&lt;'112'!$K$9,$O5425='112'!$I$6)),"x",""))</f>
        <v/>
      </c>
      <c r="W5425" s="79" t="str">
        <f>IF(AND('341-CT'!$H$9=H5425,OR(LEFT(N5425,3)=$W$7,LEFT(O5425,3)=$W$7)),"x","")</f>
        <v/>
      </c>
      <c r="X5425" s="79" t="str">
        <f>IF(OR(TH!N5425=TH!$X$7,O5425=TH!$X$7),"x","")</f>
        <v/>
      </c>
      <c r="Y5425" s="79" t="str">
        <f>IF(AND(OR(N5425="131",O5425="131"),H5425='131-CT'!$H$9),"x","")</f>
        <v/>
      </c>
      <c r="Z5425" s="79"/>
      <c r="AA5425" s="79" t="str">
        <f>IF(AND(MONTH(E5425)='IN-NX'!$J$5,'IN-NX'!$D$7=D5425),"x","")</f>
        <v/>
      </c>
      <c r="AB5425" s="79" t="str">
        <f>IF(AND(OR(LEFT(TH!N5425,2)="15",LEFT(TH!O5425,2)="15"),LEFT(TH!O5425,3)&lt;&gt;"111",'152-CT'!$J$8=TH!F5425),"x","")</f>
        <v/>
      </c>
      <c r="AC5425" s="79" t="str">
        <f>IF(AND(OR(LEFT(TH!N5425,2)="15",LEFT(TH!O5425,2)="15"),TK!$E$7=TH!F5425),"x","")</f>
        <v/>
      </c>
      <c r="AD5425" s="79" t="str">
        <f>IF(AND(N5425="1521",MONTH(C5425)='BK-NL'!$M$11),"x","")</f>
        <v/>
      </c>
    </row>
    <row r="5426" spans="1:30" ht="16.5" customHeight="1">
      <c r="A5426" s="318" t="str">
        <f>IF(B5426&lt;&gt;"",IF(AND(B5426='IN-TC'!$S$4,OR(TH!N5426="1111",TH!O5426="1111")),TH!D5426,""),"")</f>
        <v/>
      </c>
      <c r="B5426" s="60" t="str">
        <f t="shared" si="505"/>
        <v/>
      </c>
      <c r="C5426" s="61"/>
      <c r="D5426" s="61"/>
      <c r="E5426" s="61"/>
      <c r="F5426" s="69"/>
      <c r="G5426" s="766"/>
      <c r="H5426" s="69"/>
      <c r="I5426" s="385"/>
      <c r="J5426" s="392"/>
      <c r="K5426" s="385"/>
      <c r="L5426" s="392"/>
      <c r="M5426" s="62"/>
      <c r="N5426" s="63"/>
      <c r="O5426" s="63"/>
      <c r="P5426" s="79" t="str">
        <f>IF(AND('331-CT'!$E$7=TH!H5426,OR(N5426="331",O5426="331")),"x","")</f>
        <v/>
      </c>
      <c r="Q5426" s="79" t="str">
        <f>IF(AND(B5426='111'!$L$11,OR($N5426=$Q$7,$O5426=$Q$7)),"x","")</f>
        <v/>
      </c>
      <c r="R5426" s="79" t="str">
        <f>IF(AND($N5426=$Q$7,$B5426&lt;'111'!$L$11),"x","")</f>
        <v/>
      </c>
      <c r="S5426" s="79" t="str">
        <f>IF(AND($O5426=$Q$7,$B5426&lt;'111'!$L$11),"x","")</f>
        <v/>
      </c>
      <c r="T5426" s="79" t="str">
        <f>IF(ISERROR(FIND('112'!$M$9,G5426,1)),"",IF((AND(FIND('112'!$M$9,G5426,1)&gt;=1,B5426='112'!$K$9,OR($N5426='112'!$I$6,$O5426='112'!$I$6))),"x",""))</f>
        <v/>
      </c>
      <c r="U5426" s="79" t="str">
        <f>IF(ISERROR(FIND('112'!$M$9,G5426,1)),"",IF((AND(LEFT(G5426,2)=LEFT('112'!$M$9,2),B5426&lt;'112'!$K$9,$N5426='112'!$I$6)),"x",""))</f>
        <v/>
      </c>
      <c r="V5426" s="79" t="str">
        <f>IF(ISERROR(FIND('112'!$M$9,G5426,1)),"",IF((AND(RIGHT(G5426,2)=RIGHT('112'!$M$9,2),B5426&lt;'112'!$K$9,$O5426='112'!$I$6)),"x",""))</f>
        <v/>
      </c>
      <c r="W5426" s="79" t="str">
        <f>IF(AND('341-CT'!$H$9=H5426,OR(LEFT(N5426,3)=$W$7,LEFT(O5426,3)=$W$7)),"x","")</f>
        <v/>
      </c>
      <c r="X5426" s="79" t="str">
        <f>IF(OR(TH!N5426=TH!$X$7,O5426=TH!$X$7),"x","")</f>
        <v/>
      </c>
      <c r="Y5426" s="79" t="str">
        <f>IF(AND(OR(N5426="131",O5426="131"),H5426='131-CT'!$H$9),"x","")</f>
        <v/>
      </c>
      <c r="Z5426" s="79"/>
      <c r="AA5426" s="79" t="str">
        <f>IF(AND(MONTH(E5426)='IN-NX'!$J$5,'IN-NX'!$D$7=D5426),"x","")</f>
        <v/>
      </c>
      <c r="AB5426" s="79" t="str">
        <f>IF(AND(OR(LEFT(TH!N5426,2)="15",LEFT(TH!O5426,2)="15"),LEFT(TH!O5426,3)&lt;&gt;"111",'152-CT'!$J$8=TH!F5426),"x","")</f>
        <v/>
      </c>
      <c r="AC5426" s="79" t="str">
        <f>IF(AND(OR(LEFT(TH!N5426,2)="15",LEFT(TH!O5426,2)="15"),TK!$E$7=TH!F5426),"x","")</f>
        <v/>
      </c>
      <c r="AD5426" s="79" t="str">
        <f>IF(AND(N5426="1521",MONTH(C5426)='BK-NL'!$M$11),"x","")</f>
        <v/>
      </c>
    </row>
    <row r="5427" spans="1:30" ht="16.5" customHeight="1">
      <c r="A5427" s="318" t="str">
        <f>IF(B5427&lt;&gt;"",IF(AND(B5427='IN-TC'!$S$4,OR(TH!N5427="1111",TH!O5427="1111")),TH!D5427,""),"")</f>
        <v/>
      </c>
      <c r="B5427" s="60" t="str">
        <f t="shared" si="505"/>
        <v/>
      </c>
      <c r="C5427" s="61"/>
      <c r="D5427" s="61"/>
      <c r="E5427" s="61"/>
      <c r="F5427" s="69"/>
      <c r="G5427" s="766"/>
      <c r="H5427" s="69"/>
      <c r="I5427" s="385"/>
      <c r="J5427" s="392"/>
      <c r="K5427" s="385"/>
      <c r="L5427" s="392"/>
      <c r="M5427" s="62"/>
      <c r="N5427" s="63"/>
      <c r="O5427" s="63"/>
      <c r="P5427" s="79" t="str">
        <f>IF(AND('331-CT'!$E$7=TH!H5427,OR(N5427="331",O5427="331")),"x","")</f>
        <v/>
      </c>
      <c r="Q5427" s="79" t="str">
        <f>IF(AND(B5427='111'!$L$11,OR($N5427=$Q$7,$O5427=$Q$7)),"x","")</f>
        <v/>
      </c>
      <c r="R5427" s="79" t="str">
        <f>IF(AND($N5427=$Q$7,$B5427&lt;'111'!$L$11),"x","")</f>
        <v/>
      </c>
      <c r="S5427" s="79" t="str">
        <f>IF(AND($O5427=$Q$7,$B5427&lt;'111'!$L$11),"x","")</f>
        <v/>
      </c>
      <c r="T5427" s="79" t="str">
        <f>IF(ISERROR(FIND('112'!$M$9,G5427,1)),"",IF((AND(FIND('112'!$M$9,G5427,1)&gt;=1,B5427='112'!$K$9,OR($N5427='112'!$I$6,$O5427='112'!$I$6))),"x",""))</f>
        <v/>
      </c>
      <c r="U5427" s="79" t="str">
        <f>IF(ISERROR(FIND('112'!$M$9,G5427,1)),"",IF((AND(LEFT(G5427,2)=LEFT('112'!$M$9,2),B5427&lt;'112'!$K$9,$N5427='112'!$I$6)),"x",""))</f>
        <v/>
      </c>
      <c r="V5427" s="79" t="str">
        <f>IF(ISERROR(FIND('112'!$M$9,G5427,1)),"",IF((AND(RIGHT(G5427,2)=RIGHT('112'!$M$9,2),B5427&lt;'112'!$K$9,$O5427='112'!$I$6)),"x",""))</f>
        <v/>
      </c>
      <c r="W5427" s="79" t="str">
        <f>IF(AND('341-CT'!$H$9=H5427,OR(LEFT(N5427,3)=$W$7,LEFT(O5427,3)=$W$7)),"x","")</f>
        <v/>
      </c>
      <c r="X5427" s="79" t="str">
        <f>IF(OR(TH!N5427=TH!$X$7,O5427=TH!$X$7),"x","")</f>
        <v/>
      </c>
      <c r="Y5427" s="79" t="str">
        <f>IF(AND(OR(N5427="131",O5427="131"),H5427='131-CT'!$H$9),"x","")</f>
        <v/>
      </c>
      <c r="Z5427" s="79"/>
      <c r="AA5427" s="79" t="str">
        <f>IF(AND(MONTH(E5427)='IN-NX'!$J$5,'IN-NX'!$D$7=D5427),"x","")</f>
        <v/>
      </c>
      <c r="AB5427" s="79" t="str">
        <f>IF(AND(OR(LEFT(TH!N5427,2)="15",LEFT(TH!O5427,2)="15"),LEFT(TH!O5427,3)&lt;&gt;"111",'152-CT'!$J$8=TH!F5427),"x","")</f>
        <v/>
      </c>
      <c r="AC5427" s="79" t="str">
        <f>IF(AND(OR(LEFT(TH!N5427,2)="15",LEFT(TH!O5427,2)="15"),TK!$E$7=TH!F5427),"x","")</f>
        <v/>
      </c>
      <c r="AD5427" s="79" t="str">
        <f>IF(AND(N5427="1521",MONTH(C5427)='BK-NL'!$M$11),"x","")</f>
        <v/>
      </c>
    </row>
    <row r="5428" spans="1:30" ht="16.5" customHeight="1">
      <c r="A5428" s="318" t="str">
        <f>IF(B5428&lt;&gt;"",IF(AND(B5428='IN-TC'!$S$4,OR(TH!N5428="1111",TH!O5428="1111")),TH!D5428,""),"")</f>
        <v/>
      </c>
      <c r="B5428" s="60" t="str">
        <f t="shared" si="505"/>
        <v/>
      </c>
      <c r="C5428" s="61"/>
      <c r="D5428" s="61"/>
      <c r="E5428" s="61"/>
      <c r="F5428" s="69"/>
      <c r="G5428" s="766"/>
      <c r="H5428" s="69"/>
      <c r="I5428" s="385"/>
      <c r="J5428" s="392"/>
      <c r="K5428" s="385"/>
      <c r="L5428" s="392"/>
      <c r="M5428" s="62"/>
      <c r="N5428" s="63"/>
      <c r="O5428" s="63"/>
      <c r="P5428" s="79" t="str">
        <f>IF(AND('331-CT'!$E$7=TH!H5428,OR(N5428="331",O5428="331")),"x","")</f>
        <v/>
      </c>
      <c r="Q5428" s="79" t="str">
        <f>IF(AND(B5428='111'!$L$11,OR($N5428=$Q$7,$O5428=$Q$7)),"x","")</f>
        <v/>
      </c>
      <c r="R5428" s="79" t="str">
        <f>IF(AND($N5428=$Q$7,$B5428&lt;'111'!$L$11),"x","")</f>
        <v/>
      </c>
      <c r="S5428" s="79" t="str">
        <f>IF(AND($O5428=$Q$7,$B5428&lt;'111'!$L$11),"x","")</f>
        <v/>
      </c>
      <c r="T5428" s="79" t="str">
        <f>IF(ISERROR(FIND('112'!$M$9,G5428,1)),"",IF((AND(FIND('112'!$M$9,G5428,1)&gt;=1,B5428='112'!$K$9,OR($N5428='112'!$I$6,$O5428='112'!$I$6))),"x",""))</f>
        <v/>
      </c>
      <c r="U5428" s="79" t="str">
        <f>IF(ISERROR(FIND('112'!$M$9,G5428,1)),"",IF((AND(LEFT(G5428,2)=LEFT('112'!$M$9,2),B5428&lt;'112'!$K$9,$N5428='112'!$I$6)),"x",""))</f>
        <v/>
      </c>
      <c r="V5428" s="79" t="str">
        <f>IF(ISERROR(FIND('112'!$M$9,G5428,1)),"",IF((AND(RIGHT(G5428,2)=RIGHT('112'!$M$9,2),B5428&lt;'112'!$K$9,$O5428='112'!$I$6)),"x",""))</f>
        <v/>
      </c>
      <c r="W5428" s="79" t="str">
        <f>IF(AND('341-CT'!$H$9=H5428,OR(LEFT(N5428,3)=$W$7,LEFT(O5428,3)=$W$7)),"x","")</f>
        <v/>
      </c>
      <c r="X5428" s="79" t="str">
        <f>IF(OR(TH!N5428=TH!$X$7,O5428=TH!$X$7),"x","")</f>
        <v/>
      </c>
      <c r="Y5428" s="79" t="str">
        <f>IF(AND(OR(N5428="131",O5428="131"),H5428='131-CT'!$H$9),"x","")</f>
        <v/>
      </c>
      <c r="Z5428" s="79"/>
      <c r="AA5428" s="79" t="str">
        <f>IF(AND(MONTH(E5428)='IN-NX'!$J$5,'IN-NX'!$D$7=D5428),"x","")</f>
        <v/>
      </c>
      <c r="AB5428" s="79" t="str">
        <f>IF(AND(OR(LEFT(TH!N5428,2)="15",LEFT(TH!O5428,2)="15"),LEFT(TH!O5428,3)&lt;&gt;"111",'152-CT'!$J$8=TH!F5428),"x","")</f>
        <v/>
      </c>
      <c r="AC5428" s="79" t="str">
        <f>IF(AND(OR(LEFT(TH!N5428,2)="15",LEFT(TH!O5428,2)="15"),TK!$E$7=TH!F5428),"x","")</f>
        <v/>
      </c>
      <c r="AD5428" s="79" t="str">
        <f>IF(AND(N5428="1521",MONTH(C5428)='BK-NL'!$M$11),"x","")</f>
        <v/>
      </c>
    </row>
    <row r="5429" spans="1:30" ht="16.5" customHeight="1">
      <c r="A5429" s="318" t="str">
        <f>IF(B5429&lt;&gt;"",IF(AND(B5429='IN-TC'!$S$4,OR(TH!N5429="1111",TH!O5429="1111")),TH!D5429,""),"")</f>
        <v/>
      </c>
      <c r="B5429" s="60" t="str">
        <f t="shared" si="505"/>
        <v/>
      </c>
      <c r="C5429" s="61"/>
      <c r="D5429" s="61"/>
      <c r="E5429" s="61"/>
      <c r="F5429" s="69"/>
      <c r="G5429" s="766"/>
      <c r="H5429" s="69"/>
      <c r="I5429" s="385"/>
      <c r="J5429" s="392"/>
      <c r="K5429" s="385"/>
      <c r="L5429" s="392"/>
      <c r="M5429" s="62"/>
      <c r="N5429" s="63"/>
      <c r="O5429" s="63"/>
      <c r="P5429" s="79" t="str">
        <f>IF(AND('331-CT'!$E$7=TH!H5429,OR(N5429="331",O5429="331")),"x","")</f>
        <v/>
      </c>
      <c r="Q5429" s="79" t="str">
        <f>IF(AND(B5429='111'!$L$11,OR($N5429=$Q$7,$O5429=$Q$7)),"x","")</f>
        <v/>
      </c>
      <c r="R5429" s="79" t="str">
        <f>IF(AND($N5429=$Q$7,$B5429&lt;'111'!$L$11),"x","")</f>
        <v/>
      </c>
      <c r="S5429" s="79" t="str">
        <f>IF(AND($O5429=$Q$7,$B5429&lt;'111'!$L$11),"x","")</f>
        <v/>
      </c>
      <c r="T5429" s="79" t="str">
        <f>IF(ISERROR(FIND('112'!$M$9,G5429,1)),"",IF((AND(FIND('112'!$M$9,G5429,1)&gt;=1,B5429='112'!$K$9,OR($N5429='112'!$I$6,$O5429='112'!$I$6))),"x",""))</f>
        <v/>
      </c>
      <c r="U5429" s="79" t="str">
        <f>IF(ISERROR(FIND('112'!$M$9,G5429,1)),"",IF((AND(LEFT(G5429,2)=LEFT('112'!$M$9,2),B5429&lt;'112'!$K$9,$N5429='112'!$I$6)),"x",""))</f>
        <v/>
      </c>
      <c r="V5429" s="79" t="str">
        <f>IF(ISERROR(FIND('112'!$M$9,G5429,1)),"",IF((AND(RIGHT(G5429,2)=RIGHT('112'!$M$9,2),B5429&lt;'112'!$K$9,$O5429='112'!$I$6)),"x",""))</f>
        <v/>
      </c>
      <c r="W5429" s="79" t="str">
        <f>IF(AND('341-CT'!$H$9=H5429,OR(LEFT(N5429,3)=$W$7,LEFT(O5429,3)=$W$7)),"x","")</f>
        <v/>
      </c>
      <c r="X5429" s="79" t="str">
        <f>IF(OR(TH!N5429=TH!$X$7,O5429=TH!$X$7),"x","")</f>
        <v/>
      </c>
      <c r="Y5429" s="79" t="str">
        <f>IF(AND(OR(N5429="131",O5429="131"),H5429='131-CT'!$H$9),"x","")</f>
        <v/>
      </c>
      <c r="Z5429" s="79"/>
      <c r="AA5429" s="79" t="str">
        <f>IF(AND(MONTH(E5429)='IN-NX'!$J$5,'IN-NX'!$D$7=D5429),"x","")</f>
        <v/>
      </c>
      <c r="AB5429" s="79" t="str">
        <f>IF(AND(OR(LEFT(TH!N5429,2)="15",LEFT(TH!O5429,2)="15"),LEFT(TH!O5429,3)&lt;&gt;"111",'152-CT'!$J$8=TH!F5429),"x","")</f>
        <v/>
      </c>
      <c r="AC5429" s="79" t="str">
        <f>IF(AND(OR(LEFT(TH!N5429,2)="15",LEFT(TH!O5429,2)="15"),TK!$E$7=TH!F5429),"x","")</f>
        <v/>
      </c>
      <c r="AD5429" s="79" t="str">
        <f>IF(AND(N5429="1521",MONTH(C5429)='BK-NL'!$M$11),"x","")</f>
        <v/>
      </c>
    </row>
    <row r="5430" spans="1:30" ht="16.5" customHeight="1">
      <c r="A5430" s="318" t="str">
        <f>IF(B5430&lt;&gt;"",IF(AND(B5430='IN-TC'!$S$4,OR(TH!N5430="1111",TH!O5430="1111")),TH!D5430,""),"")</f>
        <v/>
      </c>
      <c r="B5430" s="60" t="str">
        <f t="shared" si="505"/>
        <v/>
      </c>
      <c r="C5430" s="61"/>
      <c r="D5430" s="61"/>
      <c r="E5430" s="61"/>
      <c r="F5430" s="69"/>
      <c r="G5430" s="766"/>
      <c r="H5430" s="69"/>
      <c r="I5430" s="385"/>
      <c r="J5430" s="392"/>
      <c r="K5430" s="385"/>
      <c r="L5430" s="392"/>
      <c r="M5430" s="62"/>
      <c r="N5430" s="63"/>
      <c r="O5430" s="63"/>
      <c r="P5430" s="79" t="str">
        <f>IF(AND('331-CT'!$E$7=TH!H5430,OR(N5430="331",O5430="331")),"x","")</f>
        <v/>
      </c>
      <c r="Q5430" s="79" t="str">
        <f>IF(AND(B5430='111'!$L$11,OR($N5430=$Q$7,$O5430=$Q$7)),"x","")</f>
        <v/>
      </c>
      <c r="R5430" s="79" t="str">
        <f>IF(AND($N5430=$Q$7,$B5430&lt;'111'!$L$11),"x","")</f>
        <v/>
      </c>
      <c r="S5430" s="79" t="str">
        <f>IF(AND($O5430=$Q$7,$B5430&lt;'111'!$L$11),"x","")</f>
        <v/>
      </c>
      <c r="T5430" s="79" t="str">
        <f>IF(ISERROR(FIND('112'!$M$9,G5430,1)),"",IF((AND(FIND('112'!$M$9,G5430,1)&gt;=1,B5430='112'!$K$9,OR($N5430='112'!$I$6,$O5430='112'!$I$6))),"x",""))</f>
        <v/>
      </c>
      <c r="U5430" s="79" t="str">
        <f>IF(ISERROR(FIND('112'!$M$9,G5430,1)),"",IF((AND(LEFT(G5430,2)=LEFT('112'!$M$9,2),B5430&lt;'112'!$K$9,$N5430='112'!$I$6)),"x",""))</f>
        <v/>
      </c>
      <c r="V5430" s="79" t="str">
        <f>IF(ISERROR(FIND('112'!$M$9,G5430,1)),"",IF((AND(RIGHT(G5430,2)=RIGHT('112'!$M$9,2),B5430&lt;'112'!$K$9,$O5430='112'!$I$6)),"x",""))</f>
        <v/>
      </c>
      <c r="W5430" s="79" t="str">
        <f>IF(AND('341-CT'!$H$9=H5430,OR(LEFT(N5430,3)=$W$7,LEFT(O5430,3)=$W$7)),"x","")</f>
        <v/>
      </c>
      <c r="X5430" s="79" t="str">
        <f>IF(OR(TH!N5430=TH!$X$7,O5430=TH!$X$7),"x","")</f>
        <v/>
      </c>
      <c r="Y5430" s="79" t="str">
        <f>IF(AND(OR(N5430="131",O5430="131"),H5430='131-CT'!$H$9),"x","")</f>
        <v/>
      </c>
      <c r="Z5430" s="79"/>
      <c r="AA5430" s="79" t="str">
        <f>IF(AND(MONTH(E5430)='IN-NX'!$J$5,'IN-NX'!$D$7=D5430),"x","")</f>
        <v/>
      </c>
      <c r="AB5430" s="79" t="str">
        <f>IF(AND(OR(LEFT(TH!N5430,2)="15",LEFT(TH!O5430,2)="15"),LEFT(TH!O5430,3)&lt;&gt;"111",'152-CT'!$J$8=TH!F5430),"x","")</f>
        <v/>
      </c>
      <c r="AC5430" s="79" t="str">
        <f>IF(AND(OR(LEFT(TH!N5430,2)="15",LEFT(TH!O5430,2)="15"),TK!$E$7=TH!F5430),"x","")</f>
        <v/>
      </c>
      <c r="AD5430" s="79" t="str">
        <f>IF(AND(N5430="1521",MONTH(C5430)='BK-NL'!$M$11),"x","")</f>
        <v/>
      </c>
    </row>
    <row r="5431" spans="1:30" ht="16.5" customHeight="1">
      <c r="A5431" s="318" t="str">
        <f>IF(B5431&lt;&gt;"",IF(AND(B5431='IN-TC'!$S$4,OR(TH!N5431="1111",TH!O5431="1111")),TH!D5431,""),"")</f>
        <v/>
      </c>
      <c r="B5431" s="60" t="str">
        <f t="shared" si="505"/>
        <v/>
      </c>
      <c r="C5431" s="61"/>
      <c r="D5431" s="61"/>
      <c r="E5431" s="61"/>
      <c r="F5431" s="69"/>
      <c r="G5431" s="766"/>
      <c r="H5431" s="69"/>
      <c r="I5431" s="385"/>
      <c r="J5431" s="392"/>
      <c r="K5431" s="385"/>
      <c r="L5431" s="392"/>
      <c r="M5431" s="62"/>
      <c r="N5431" s="63"/>
      <c r="O5431" s="63"/>
      <c r="P5431" s="79" t="str">
        <f>IF(AND('331-CT'!$E$7=TH!H5431,OR(N5431="331",O5431="331")),"x","")</f>
        <v/>
      </c>
      <c r="Q5431" s="79" t="str">
        <f>IF(AND(B5431='111'!$L$11,OR($N5431=$Q$7,$O5431=$Q$7)),"x","")</f>
        <v/>
      </c>
      <c r="R5431" s="79" t="str">
        <f>IF(AND($N5431=$Q$7,$B5431&lt;'111'!$L$11),"x","")</f>
        <v/>
      </c>
      <c r="S5431" s="79" t="str">
        <f>IF(AND($O5431=$Q$7,$B5431&lt;'111'!$L$11),"x","")</f>
        <v/>
      </c>
      <c r="T5431" s="79" t="str">
        <f>IF(ISERROR(FIND('112'!$M$9,G5431,1)),"",IF((AND(FIND('112'!$M$9,G5431,1)&gt;=1,B5431='112'!$K$9,OR($N5431='112'!$I$6,$O5431='112'!$I$6))),"x",""))</f>
        <v/>
      </c>
      <c r="U5431" s="79" t="str">
        <f>IF(ISERROR(FIND('112'!$M$9,G5431,1)),"",IF((AND(LEFT(G5431,2)=LEFT('112'!$M$9,2),B5431&lt;'112'!$K$9,$N5431='112'!$I$6)),"x",""))</f>
        <v/>
      </c>
      <c r="V5431" s="79" t="str">
        <f>IF(ISERROR(FIND('112'!$M$9,G5431,1)),"",IF((AND(RIGHT(G5431,2)=RIGHT('112'!$M$9,2),B5431&lt;'112'!$K$9,$O5431='112'!$I$6)),"x",""))</f>
        <v/>
      </c>
      <c r="W5431" s="79" t="str">
        <f>IF(AND('341-CT'!$H$9=H5431,OR(LEFT(N5431,3)=$W$7,LEFT(O5431,3)=$W$7)),"x","")</f>
        <v/>
      </c>
      <c r="X5431" s="79" t="str">
        <f>IF(OR(TH!N5431=TH!$X$7,O5431=TH!$X$7),"x","")</f>
        <v/>
      </c>
      <c r="Y5431" s="79" t="str">
        <f>IF(AND(OR(N5431="131",O5431="131"),H5431='131-CT'!$H$9),"x","")</f>
        <v/>
      </c>
      <c r="Z5431" s="79"/>
      <c r="AA5431" s="79" t="str">
        <f>IF(AND(MONTH(E5431)='IN-NX'!$J$5,'IN-NX'!$D$7=D5431),"x","")</f>
        <v/>
      </c>
      <c r="AB5431" s="79" t="str">
        <f>IF(AND(OR(LEFT(TH!N5431,2)="15",LEFT(TH!O5431,2)="15"),LEFT(TH!O5431,3)&lt;&gt;"111",'152-CT'!$J$8=TH!F5431),"x","")</f>
        <v/>
      </c>
      <c r="AC5431" s="79" t="str">
        <f>IF(AND(OR(LEFT(TH!N5431,2)="15",LEFT(TH!O5431,2)="15"),TK!$E$7=TH!F5431),"x","")</f>
        <v/>
      </c>
      <c r="AD5431" s="79" t="str">
        <f>IF(AND(N5431="1521",MONTH(C5431)='BK-NL'!$M$11),"x","")</f>
        <v/>
      </c>
    </row>
    <row r="5432" spans="1:30" ht="16.5" customHeight="1">
      <c r="A5432" s="318" t="str">
        <f>IF(B5432&lt;&gt;"",IF(AND(B5432='IN-TC'!$S$4,OR(TH!N5432="1111",TH!O5432="1111")),TH!D5432,""),"")</f>
        <v/>
      </c>
      <c r="B5432" s="60" t="str">
        <f t="shared" si="505"/>
        <v/>
      </c>
      <c r="C5432" s="61"/>
      <c r="D5432" s="61"/>
      <c r="E5432" s="61"/>
      <c r="F5432" s="69"/>
      <c r="G5432" s="766"/>
      <c r="H5432" s="69"/>
      <c r="I5432" s="385"/>
      <c r="J5432" s="392"/>
      <c r="K5432" s="385"/>
      <c r="L5432" s="392"/>
      <c r="M5432" s="62"/>
      <c r="N5432" s="63"/>
      <c r="O5432" s="63"/>
      <c r="P5432" s="79" t="str">
        <f>IF(AND('331-CT'!$E$7=TH!H5432,OR(N5432="331",O5432="331")),"x","")</f>
        <v/>
      </c>
      <c r="Q5432" s="79" t="str">
        <f>IF(AND(B5432='111'!$L$11,OR($N5432=$Q$7,$O5432=$Q$7)),"x","")</f>
        <v/>
      </c>
      <c r="R5432" s="79" t="str">
        <f>IF(AND($N5432=$Q$7,$B5432&lt;'111'!$L$11),"x","")</f>
        <v/>
      </c>
      <c r="S5432" s="79" t="str">
        <f>IF(AND($O5432=$Q$7,$B5432&lt;'111'!$L$11),"x","")</f>
        <v/>
      </c>
      <c r="T5432" s="79" t="str">
        <f>IF(ISERROR(FIND('112'!$M$9,G5432,1)),"",IF((AND(FIND('112'!$M$9,G5432,1)&gt;=1,B5432='112'!$K$9,OR($N5432='112'!$I$6,$O5432='112'!$I$6))),"x",""))</f>
        <v/>
      </c>
      <c r="U5432" s="79" t="str">
        <f>IF(ISERROR(FIND('112'!$M$9,G5432,1)),"",IF((AND(LEFT(G5432,2)=LEFT('112'!$M$9,2),B5432&lt;'112'!$K$9,$N5432='112'!$I$6)),"x",""))</f>
        <v/>
      </c>
      <c r="V5432" s="79" t="str">
        <f>IF(ISERROR(FIND('112'!$M$9,G5432,1)),"",IF((AND(RIGHT(G5432,2)=RIGHT('112'!$M$9,2),B5432&lt;'112'!$K$9,$O5432='112'!$I$6)),"x",""))</f>
        <v/>
      </c>
      <c r="W5432" s="79" t="str">
        <f>IF(AND('341-CT'!$H$9=H5432,OR(LEFT(N5432,3)=$W$7,LEFT(O5432,3)=$W$7)),"x","")</f>
        <v/>
      </c>
      <c r="X5432" s="79" t="str">
        <f>IF(OR(TH!N5432=TH!$X$7,O5432=TH!$X$7),"x","")</f>
        <v/>
      </c>
      <c r="Y5432" s="79" t="str">
        <f>IF(AND(OR(N5432="131",O5432="131"),H5432='131-CT'!$H$9),"x","")</f>
        <v/>
      </c>
      <c r="Z5432" s="79"/>
      <c r="AA5432" s="79" t="str">
        <f>IF(AND(MONTH(E5432)='IN-NX'!$J$5,'IN-NX'!$D$7=D5432),"x","")</f>
        <v/>
      </c>
      <c r="AB5432" s="79" t="str">
        <f>IF(AND(OR(LEFT(TH!N5432,2)="15",LEFT(TH!O5432,2)="15"),LEFT(TH!O5432,3)&lt;&gt;"111",'152-CT'!$J$8=TH!F5432),"x","")</f>
        <v/>
      </c>
      <c r="AC5432" s="79" t="str">
        <f>IF(AND(OR(LEFT(TH!N5432,2)="15",LEFT(TH!O5432,2)="15"),TK!$E$7=TH!F5432),"x","")</f>
        <v/>
      </c>
      <c r="AD5432" s="79" t="str">
        <f>IF(AND(N5432="1521",MONTH(C5432)='BK-NL'!$M$11),"x","")</f>
        <v/>
      </c>
    </row>
    <row r="5433" spans="1:30" ht="16.5" customHeight="1">
      <c r="A5433" s="318" t="str">
        <f>IF(B5433&lt;&gt;"",IF(AND(B5433='IN-TC'!$S$4,OR(TH!N5433="1111",TH!O5433="1111")),TH!D5433,""),"")</f>
        <v/>
      </c>
      <c r="B5433" s="60" t="str">
        <f t="shared" si="505"/>
        <v/>
      </c>
      <c r="C5433" s="61"/>
      <c r="D5433" s="61"/>
      <c r="E5433" s="61"/>
      <c r="F5433" s="69"/>
      <c r="G5433" s="766"/>
      <c r="H5433" s="69"/>
      <c r="I5433" s="385"/>
      <c r="J5433" s="392"/>
      <c r="K5433" s="385"/>
      <c r="L5433" s="392"/>
      <c r="M5433" s="62"/>
      <c r="N5433" s="63"/>
      <c r="O5433" s="63"/>
      <c r="P5433" s="79" t="str">
        <f>IF(AND('331-CT'!$E$7=TH!H5433,OR(N5433="331",O5433="331")),"x","")</f>
        <v/>
      </c>
      <c r="Q5433" s="79" t="str">
        <f>IF(AND(B5433='111'!$L$11,OR($N5433=$Q$7,$O5433=$Q$7)),"x","")</f>
        <v/>
      </c>
      <c r="R5433" s="79" t="str">
        <f>IF(AND($N5433=$Q$7,$B5433&lt;'111'!$L$11),"x","")</f>
        <v/>
      </c>
      <c r="S5433" s="79" t="str">
        <f>IF(AND($O5433=$Q$7,$B5433&lt;'111'!$L$11),"x","")</f>
        <v/>
      </c>
      <c r="T5433" s="79" t="str">
        <f>IF(ISERROR(FIND('112'!$M$9,G5433,1)),"",IF((AND(FIND('112'!$M$9,G5433,1)&gt;=1,B5433='112'!$K$9,OR($N5433='112'!$I$6,$O5433='112'!$I$6))),"x",""))</f>
        <v/>
      </c>
      <c r="U5433" s="79" t="str">
        <f>IF(ISERROR(FIND('112'!$M$9,G5433,1)),"",IF((AND(LEFT(G5433,2)=LEFT('112'!$M$9,2),B5433&lt;'112'!$K$9,$N5433='112'!$I$6)),"x",""))</f>
        <v/>
      </c>
      <c r="V5433" s="79" t="str">
        <f>IF(ISERROR(FIND('112'!$M$9,G5433,1)),"",IF((AND(RIGHT(G5433,2)=RIGHT('112'!$M$9,2),B5433&lt;'112'!$K$9,$O5433='112'!$I$6)),"x",""))</f>
        <v/>
      </c>
      <c r="W5433" s="79" t="str">
        <f>IF(AND('341-CT'!$H$9=H5433,OR(LEFT(N5433,3)=$W$7,LEFT(O5433,3)=$W$7)),"x","")</f>
        <v/>
      </c>
      <c r="X5433" s="79" t="str">
        <f>IF(OR(TH!N5433=TH!$X$7,O5433=TH!$X$7),"x","")</f>
        <v/>
      </c>
      <c r="Y5433" s="79" t="str">
        <f>IF(AND(OR(N5433="131",O5433="131"),H5433='131-CT'!$H$9),"x","")</f>
        <v/>
      </c>
      <c r="Z5433" s="79"/>
      <c r="AA5433" s="79" t="str">
        <f>IF(AND(MONTH(E5433)='IN-NX'!$J$5,'IN-NX'!$D$7=D5433),"x","")</f>
        <v/>
      </c>
      <c r="AB5433" s="79" t="str">
        <f>IF(AND(OR(LEFT(TH!N5433,2)="15",LEFT(TH!O5433,2)="15"),LEFT(TH!O5433,3)&lt;&gt;"111",'152-CT'!$J$8=TH!F5433),"x","")</f>
        <v/>
      </c>
      <c r="AC5433" s="79" t="str">
        <f>IF(AND(OR(LEFT(TH!N5433,2)="15",LEFT(TH!O5433,2)="15"),TK!$E$7=TH!F5433),"x","")</f>
        <v/>
      </c>
      <c r="AD5433" s="79" t="str">
        <f>IF(AND(N5433="1521",MONTH(C5433)='BK-NL'!$M$11),"x","")</f>
        <v/>
      </c>
    </row>
    <row r="5434" spans="1:30" ht="16.5" customHeight="1">
      <c r="A5434" s="318" t="str">
        <f>IF(B5434&lt;&gt;"",IF(AND(B5434='IN-TC'!$S$4,OR(TH!N5434="1111",TH!O5434="1111")),TH!D5434,""),"")</f>
        <v/>
      </c>
      <c r="B5434" s="60" t="str">
        <f t="shared" si="505"/>
        <v/>
      </c>
      <c r="C5434" s="61"/>
      <c r="D5434" s="61"/>
      <c r="E5434" s="61"/>
      <c r="F5434" s="69"/>
      <c r="G5434" s="766"/>
      <c r="H5434" s="69"/>
      <c r="I5434" s="385"/>
      <c r="J5434" s="392"/>
      <c r="K5434" s="385"/>
      <c r="L5434" s="392"/>
      <c r="M5434" s="62"/>
      <c r="N5434" s="63"/>
      <c r="O5434" s="63"/>
      <c r="P5434" s="79" t="str">
        <f>IF(AND('331-CT'!$E$7=TH!H5434,OR(N5434="331",O5434="331")),"x","")</f>
        <v/>
      </c>
      <c r="Q5434" s="79" t="str">
        <f>IF(AND(B5434='111'!$L$11,OR($N5434=$Q$7,$O5434=$Q$7)),"x","")</f>
        <v/>
      </c>
      <c r="R5434" s="79" t="str">
        <f>IF(AND($N5434=$Q$7,$B5434&lt;'111'!$L$11),"x","")</f>
        <v/>
      </c>
      <c r="S5434" s="79" t="str">
        <f>IF(AND($O5434=$Q$7,$B5434&lt;'111'!$L$11),"x","")</f>
        <v/>
      </c>
      <c r="T5434" s="79" t="str">
        <f>IF(ISERROR(FIND('112'!$M$9,G5434,1)),"",IF((AND(FIND('112'!$M$9,G5434,1)&gt;=1,B5434='112'!$K$9,OR($N5434='112'!$I$6,$O5434='112'!$I$6))),"x",""))</f>
        <v/>
      </c>
      <c r="U5434" s="79" t="str">
        <f>IF(ISERROR(FIND('112'!$M$9,G5434,1)),"",IF((AND(LEFT(G5434,2)=LEFT('112'!$M$9,2),B5434&lt;'112'!$K$9,$N5434='112'!$I$6)),"x",""))</f>
        <v/>
      </c>
      <c r="V5434" s="79" t="str">
        <f>IF(ISERROR(FIND('112'!$M$9,G5434,1)),"",IF((AND(RIGHT(G5434,2)=RIGHT('112'!$M$9,2),B5434&lt;'112'!$K$9,$O5434='112'!$I$6)),"x",""))</f>
        <v/>
      </c>
      <c r="W5434" s="79" t="str">
        <f>IF(AND('341-CT'!$H$9=H5434,OR(LEFT(N5434,3)=$W$7,LEFT(O5434,3)=$W$7)),"x","")</f>
        <v/>
      </c>
      <c r="X5434" s="79" t="str">
        <f>IF(OR(TH!N5434=TH!$X$7,O5434=TH!$X$7),"x","")</f>
        <v/>
      </c>
      <c r="Y5434" s="79" t="str">
        <f>IF(AND(OR(N5434="131",O5434="131"),H5434='131-CT'!$H$9),"x","")</f>
        <v/>
      </c>
      <c r="Z5434" s="79"/>
      <c r="AA5434" s="79" t="str">
        <f>IF(AND(MONTH(E5434)='IN-NX'!$J$5,'IN-NX'!$D$7=D5434),"x","")</f>
        <v/>
      </c>
      <c r="AB5434" s="79" t="str">
        <f>IF(AND(OR(LEFT(TH!N5434,2)="15",LEFT(TH!O5434,2)="15"),LEFT(TH!O5434,3)&lt;&gt;"111",'152-CT'!$J$8=TH!F5434),"x","")</f>
        <v/>
      </c>
      <c r="AC5434" s="79" t="str">
        <f>IF(AND(OR(LEFT(TH!N5434,2)="15",LEFT(TH!O5434,2)="15"),TK!$E$7=TH!F5434),"x","")</f>
        <v/>
      </c>
      <c r="AD5434" s="79" t="str">
        <f>IF(AND(N5434="1521",MONTH(C5434)='BK-NL'!$M$11),"x","")</f>
        <v/>
      </c>
    </row>
    <row r="5435" spans="1:30" ht="16.5" customHeight="1">
      <c r="A5435" s="318" t="str">
        <f>IF(B5435&lt;&gt;"",IF(AND(B5435='IN-TC'!$S$4,OR(TH!N5435="1111",TH!O5435="1111")),TH!D5435,""),"")</f>
        <v/>
      </c>
      <c r="B5435" s="60" t="str">
        <f t="shared" si="505"/>
        <v/>
      </c>
      <c r="C5435" s="61"/>
      <c r="D5435" s="61"/>
      <c r="E5435" s="61"/>
      <c r="F5435" s="69"/>
      <c r="G5435" s="766"/>
      <c r="H5435" s="69"/>
      <c r="I5435" s="385"/>
      <c r="J5435" s="392"/>
      <c r="K5435" s="385"/>
      <c r="L5435" s="392"/>
      <c r="M5435" s="62"/>
      <c r="N5435" s="63"/>
      <c r="O5435" s="63"/>
      <c r="P5435" s="79" t="str">
        <f>IF(AND('331-CT'!$E$7=TH!H5435,OR(N5435="331",O5435="331")),"x","")</f>
        <v/>
      </c>
      <c r="Q5435" s="79" t="str">
        <f>IF(AND(B5435='111'!$L$11,OR($N5435=$Q$7,$O5435=$Q$7)),"x","")</f>
        <v/>
      </c>
      <c r="R5435" s="79" t="str">
        <f>IF(AND($N5435=$Q$7,$B5435&lt;'111'!$L$11),"x","")</f>
        <v/>
      </c>
      <c r="S5435" s="79" t="str">
        <f>IF(AND($O5435=$Q$7,$B5435&lt;'111'!$L$11),"x","")</f>
        <v/>
      </c>
      <c r="T5435" s="79" t="str">
        <f>IF(ISERROR(FIND('112'!$M$9,G5435,1)),"",IF((AND(FIND('112'!$M$9,G5435,1)&gt;=1,B5435='112'!$K$9,OR($N5435='112'!$I$6,$O5435='112'!$I$6))),"x",""))</f>
        <v/>
      </c>
      <c r="U5435" s="79" t="str">
        <f>IF(ISERROR(FIND('112'!$M$9,G5435,1)),"",IF((AND(LEFT(G5435,2)=LEFT('112'!$M$9,2),B5435&lt;'112'!$K$9,$N5435='112'!$I$6)),"x",""))</f>
        <v/>
      </c>
      <c r="V5435" s="79" t="str">
        <f>IF(ISERROR(FIND('112'!$M$9,G5435,1)),"",IF((AND(RIGHT(G5435,2)=RIGHT('112'!$M$9,2),B5435&lt;'112'!$K$9,$O5435='112'!$I$6)),"x",""))</f>
        <v/>
      </c>
      <c r="W5435" s="79" t="str">
        <f>IF(AND('341-CT'!$H$9=H5435,OR(LEFT(N5435,3)=$W$7,LEFT(O5435,3)=$W$7)),"x","")</f>
        <v/>
      </c>
      <c r="X5435" s="79" t="str">
        <f>IF(OR(TH!N5435=TH!$X$7,O5435=TH!$X$7),"x","")</f>
        <v/>
      </c>
      <c r="Y5435" s="79" t="str">
        <f>IF(AND(OR(N5435="131",O5435="131"),H5435='131-CT'!$H$9),"x","")</f>
        <v/>
      </c>
      <c r="Z5435" s="79"/>
      <c r="AA5435" s="79" t="str">
        <f>IF(AND(MONTH(E5435)='IN-NX'!$J$5,'IN-NX'!$D$7=D5435),"x","")</f>
        <v/>
      </c>
      <c r="AB5435" s="79" t="str">
        <f>IF(AND(OR(LEFT(TH!N5435,2)="15",LEFT(TH!O5435,2)="15"),LEFT(TH!O5435,3)&lt;&gt;"111",'152-CT'!$J$8=TH!F5435),"x","")</f>
        <v/>
      </c>
      <c r="AC5435" s="79" t="str">
        <f>IF(AND(OR(LEFT(TH!N5435,2)="15",LEFT(TH!O5435,2)="15"),TK!$E$7=TH!F5435),"x","")</f>
        <v/>
      </c>
      <c r="AD5435" s="79" t="str">
        <f>IF(AND(N5435="1521",MONTH(C5435)='BK-NL'!$M$11),"x","")</f>
        <v/>
      </c>
    </row>
    <row r="5436" spans="1:30" ht="16.5" customHeight="1">
      <c r="A5436" s="318" t="str">
        <f>IF(B5436&lt;&gt;"",IF(AND(B5436='IN-TC'!$S$4,OR(TH!N5436="1111",TH!O5436="1111")),TH!D5436,""),"")</f>
        <v/>
      </c>
      <c r="B5436" s="60" t="str">
        <f t="shared" si="505"/>
        <v/>
      </c>
      <c r="C5436" s="61"/>
      <c r="D5436" s="61"/>
      <c r="E5436" s="61"/>
      <c r="F5436" s="69"/>
      <c r="G5436" s="766"/>
      <c r="H5436" s="69"/>
      <c r="I5436" s="385"/>
      <c r="J5436" s="392"/>
      <c r="K5436" s="385"/>
      <c r="L5436" s="392"/>
      <c r="M5436" s="62"/>
      <c r="N5436" s="63"/>
      <c r="O5436" s="63"/>
      <c r="P5436" s="79" t="str">
        <f>IF(AND('331-CT'!$E$7=TH!H5436,OR(N5436="331",O5436="331")),"x","")</f>
        <v/>
      </c>
      <c r="Q5436" s="79" t="str">
        <f>IF(AND(B5436='111'!$L$11,OR($N5436=$Q$7,$O5436=$Q$7)),"x","")</f>
        <v/>
      </c>
      <c r="R5436" s="79" t="str">
        <f>IF(AND($N5436=$Q$7,$B5436&lt;'111'!$L$11),"x","")</f>
        <v/>
      </c>
      <c r="S5436" s="79" t="str">
        <f>IF(AND($O5436=$Q$7,$B5436&lt;'111'!$L$11),"x","")</f>
        <v/>
      </c>
      <c r="T5436" s="79" t="str">
        <f>IF(ISERROR(FIND('112'!$M$9,G5436,1)),"",IF((AND(FIND('112'!$M$9,G5436,1)&gt;=1,B5436='112'!$K$9,OR($N5436='112'!$I$6,$O5436='112'!$I$6))),"x",""))</f>
        <v/>
      </c>
      <c r="U5436" s="79" t="str">
        <f>IF(ISERROR(FIND('112'!$M$9,G5436,1)),"",IF((AND(LEFT(G5436,2)=LEFT('112'!$M$9,2),B5436&lt;'112'!$K$9,$N5436='112'!$I$6)),"x",""))</f>
        <v/>
      </c>
      <c r="V5436" s="79" t="str">
        <f>IF(ISERROR(FIND('112'!$M$9,G5436,1)),"",IF((AND(RIGHT(G5436,2)=RIGHT('112'!$M$9,2),B5436&lt;'112'!$K$9,$O5436='112'!$I$6)),"x",""))</f>
        <v/>
      </c>
      <c r="W5436" s="79" t="str">
        <f>IF(AND('341-CT'!$H$9=H5436,OR(LEFT(N5436,3)=$W$7,LEFT(O5436,3)=$W$7)),"x","")</f>
        <v/>
      </c>
      <c r="X5436" s="79" t="str">
        <f>IF(OR(TH!N5436=TH!$X$7,O5436=TH!$X$7),"x","")</f>
        <v/>
      </c>
      <c r="Y5436" s="79" t="str">
        <f>IF(AND(OR(N5436="131",O5436="131"),H5436='131-CT'!$H$9),"x","")</f>
        <v/>
      </c>
      <c r="Z5436" s="79"/>
      <c r="AA5436" s="79" t="str">
        <f>IF(AND(MONTH(E5436)='IN-NX'!$J$5,'IN-NX'!$D$7=D5436),"x","")</f>
        <v/>
      </c>
      <c r="AB5436" s="79" t="str">
        <f>IF(AND(OR(LEFT(TH!N5436,2)="15",LEFT(TH!O5436,2)="15"),LEFT(TH!O5436,3)&lt;&gt;"111",'152-CT'!$J$8=TH!F5436),"x","")</f>
        <v/>
      </c>
      <c r="AC5436" s="79" t="str">
        <f>IF(AND(OR(LEFT(TH!N5436,2)="15",LEFT(TH!O5436,2)="15"),TK!$E$7=TH!F5436),"x","")</f>
        <v/>
      </c>
      <c r="AD5436" s="79" t="str">
        <f>IF(AND(N5436="1521",MONTH(C5436)='BK-NL'!$M$11),"x","")</f>
        <v/>
      </c>
    </row>
    <row r="5437" spans="1:30" ht="16.5" customHeight="1">
      <c r="A5437" s="318" t="str">
        <f>IF(B5437&lt;&gt;"",IF(AND(B5437='IN-TC'!$S$4,OR(TH!N5437="1111",TH!O5437="1111")),TH!D5437,""),"")</f>
        <v/>
      </c>
      <c r="B5437" s="60" t="str">
        <f t="shared" si="505"/>
        <v/>
      </c>
      <c r="C5437" s="61"/>
      <c r="D5437" s="61"/>
      <c r="E5437" s="61"/>
      <c r="F5437" s="69"/>
      <c r="G5437" s="766"/>
      <c r="H5437" s="69"/>
      <c r="I5437" s="385"/>
      <c r="J5437" s="392"/>
      <c r="K5437" s="385"/>
      <c r="L5437" s="392"/>
      <c r="M5437" s="62"/>
      <c r="N5437" s="63"/>
      <c r="O5437" s="63"/>
      <c r="P5437" s="79" t="str">
        <f>IF(AND('331-CT'!$E$7=TH!H5437,OR(N5437="331",O5437="331")),"x","")</f>
        <v/>
      </c>
      <c r="Q5437" s="79" t="str">
        <f>IF(AND(B5437='111'!$L$11,OR($N5437=$Q$7,$O5437=$Q$7)),"x","")</f>
        <v/>
      </c>
      <c r="R5437" s="79" t="str">
        <f>IF(AND($N5437=$Q$7,$B5437&lt;'111'!$L$11),"x","")</f>
        <v/>
      </c>
      <c r="S5437" s="79" t="str">
        <f>IF(AND($O5437=$Q$7,$B5437&lt;'111'!$L$11),"x","")</f>
        <v/>
      </c>
      <c r="T5437" s="79" t="str">
        <f>IF(ISERROR(FIND('112'!$M$9,G5437,1)),"",IF((AND(FIND('112'!$M$9,G5437,1)&gt;=1,B5437='112'!$K$9,OR($N5437='112'!$I$6,$O5437='112'!$I$6))),"x",""))</f>
        <v/>
      </c>
      <c r="U5437" s="79" t="str">
        <f>IF(ISERROR(FIND('112'!$M$9,G5437,1)),"",IF((AND(LEFT(G5437,2)=LEFT('112'!$M$9,2),B5437&lt;'112'!$K$9,$N5437='112'!$I$6)),"x",""))</f>
        <v/>
      </c>
      <c r="V5437" s="79" t="str">
        <f>IF(ISERROR(FIND('112'!$M$9,G5437,1)),"",IF((AND(RIGHT(G5437,2)=RIGHT('112'!$M$9,2),B5437&lt;'112'!$K$9,$O5437='112'!$I$6)),"x",""))</f>
        <v/>
      </c>
      <c r="W5437" s="79" t="str">
        <f>IF(AND('341-CT'!$H$9=H5437,OR(LEFT(N5437,3)=$W$7,LEFT(O5437,3)=$W$7)),"x","")</f>
        <v/>
      </c>
      <c r="X5437" s="79" t="str">
        <f>IF(OR(TH!N5437=TH!$X$7,O5437=TH!$X$7),"x","")</f>
        <v/>
      </c>
      <c r="Y5437" s="79" t="str">
        <f>IF(AND(OR(N5437="131",O5437="131"),H5437='131-CT'!$H$9),"x","")</f>
        <v/>
      </c>
      <c r="Z5437" s="79"/>
      <c r="AA5437" s="79" t="str">
        <f>IF(AND(MONTH(E5437)='IN-NX'!$J$5,'IN-NX'!$D$7=D5437),"x","")</f>
        <v/>
      </c>
      <c r="AB5437" s="79" t="str">
        <f>IF(AND(OR(LEFT(TH!N5437,2)="15",LEFT(TH!O5437,2)="15"),LEFT(TH!O5437,3)&lt;&gt;"111",'152-CT'!$J$8=TH!F5437),"x","")</f>
        <v/>
      </c>
      <c r="AC5437" s="79" t="str">
        <f>IF(AND(OR(LEFT(TH!N5437,2)="15",LEFT(TH!O5437,2)="15"),TK!$E$7=TH!F5437),"x","")</f>
        <v/>
      </c>
      <c r="AD5437" s="79" t="str">
        <f>IF(AND(N5437="1521",MONTH(C5437)='BK-NL'!$M$11),"x","")</f>
        <v/>
      </c>
    </row>
    <row r="5438" spans="1:30" ht="16.5" customHeight="1">
      <c r="A5438" s="318" t="str">
        <f>IF(B5438&lt;&gt;"",IF(AND(B5438='IN-TC'!$S$4,OR(TH!N5438="1111",TH!O5438="1111")),TH!D5438,""),"")</f>
        <v/>
      </c>
      <c r="B5438" s="60" t="str">
        <f t="shared" si="505"/>
        <v/>
      </c>
      <c r="C5438" s="61"/>
      <c r="D5438" s="61"/>
      <c r="E5438" s="61"/>
      <c r="F5438" s="69"/>
      <c r="G5438" s="766"/>
      <c r="H5438" s="69"/>
      <c r="I5438" s="385"/>
      <c r="J5438" s="392"/>
      <c r="K5438" s="385"/>
      <c r="L5438" s="392"/>
      <c r="M5438" s="62"/>
      <c r="N5438" s="63"/>
      <c r="O5438" s="63"/>
      <c r="P5438" s="79" t="str">
        <f>IF(AND('331-CT'!$E$7=TH!H5438,OR(N5438="331",O5438="331")),"x","")</f>
        <v/>
      </c>
      <c r="Q5438" s="79" t="str">
        <f>IF(AND(B5438='111'!$L$11,OR($N5438=$Q$7,$O5438=$Q$7)),"x","")</f>
        <v/>
      </c>
      <c r="R5438" s="79" t="str">
        <f>IF(AND($N5438=$Q$7,$B5438&lt;'111'!$L$11),"x","")</f>
        <v/>
      </c>
      <c r="S5438" s="79" t="str">
        <f>IF(AND($O5438=$Q$7,$B5438&lt;'111'!$L$11),"x","")</f>
        <v/>
      </c>
      <c r="T5438" s="79" t="str">
        <f>IF(ISERROR(FIND('112'!$M$9,G5438,1)),"",IF((AND(FIND('112'!$M$9,G5438,1)&gt;=1,B5438='112'!$K$9,OR($N5438='112'!$I$6,$O5438='112'!$I$6))),"x",""))</f>
        <v/>
      </c>
      <c r="U5438" s="79" t="str">
        <f>IF(ISERROR(FIND('112'!$M$9,G5438,1)),"",IF((AND(LEFT(G5438,2)=LEFT('112'!$M$9,2),B5438&lt;'112'!$K$9,$N5438='112'!$I$6)),"x",""))</f>
        <v/>
      </c>
      <c r="V5438" s="79" t="str">
        <f>IF(ISERROR(FIND('112'!$M$9,G5438,1)),"",IF((AND(RIGHT(G5438,2)=RIGHT('112'!$M$9,2),B5438&lt;'112'!$K$9,$O5438='112'!$I$6)),"x",""))</f>
        <v/>
      </c>
      <c r="W5438" s="79" t="str">
        <f>IF(AND('341-CT'!$H$9=H5438,OR(LEFT(N5438,3)=$W$7,LEFT(O5438,3)=$W$7)),"x","")</f>
        <v/>
      </c>
      <c r="X5438" s="79" t="str">
        <f>IF(OR(TH!N5438=TH!$X$7,O5438=TH!$X$7),"x","")</f>
        <v/>
      </c>
      <c r="Y5438" s="79" t="str">
        <f>IF(AND(OR(N5438="131",O5438="131"),H5438='131-CT'!$H$9),"x","")</f>
        <v/>
      </c>
      <c r="Z5438" s="79"/>
      <c r="AA5438" s="79" t="str">
        <f>IF(AND(MONTH(E5438)='IN-NX'!$J$5,'IN-NX'!$D$7=D5438),"x","")</f>
        <v/>
      </c>
      <c r="AB5438" s="79" t="str">
        <f>IF(AND(OR(LEFT(TH!N5438,2)="15",LEFT(TH!O5438,2)="15"),LEFT(TH!O5438,3)&lt;&gt;"111",'152-CT'!$J$8=TH!F5438),"x","")</f>
        <v/>
      </c>
      <c r="AC5438" s="79" t="str">
        <f>IF(AND(OR(LEFT(TH!N5438,2)="15",LEFT(TH!O5438,2)="15"),TK!$E$7=TH!F5438),"x","")</f>
        <v/>
      </c>
      <c r="AD5438" s="79" t="str">
        <f>IF(AND(N5438="1521",MONTH(C5438)='BK-NL'!$M$11),"x","")</f>
        <v/>
      </c>
    </row>
    <row r="5439" spans="1:30" ht="16.5" customHeight="1">
      <c r="A5439" s="318" t="str">
        <f>IF(B5439&lt;&gt;"",IF(AND(B5439='IN-TC'!$S$4,OR(TH!N5439="1111",TH!O5439="1111")),TH!D5439,""),"")</f>
        <v/>
      </c>
      <c r="B5439" s="60" t="str">
        <f t="shared" si="505"/>
        <v/>
      </c>
      <c r="C5439" s="61"/>
      <c r="D5439" s="61"/>
      <c r="E5439" s="61"/>
      <c r="F5439" s="69"/>
      <c r="G5439" s="766"/>
      <c r="H5439" s="69"/>
      <c r="I5439" s="385"/>
      <c r="J5439" s="392"/>
      <c r="K5439" s="385"/>
      <c r="L5439" s="392"/>
      <c r="M5439" s="62"/>
      <c r="N5439" s="63"/>
      <c r="O5439" s="63"/>
      <c r="P5439" s="79" t="str">
        <f>IF(AND('331-CT'!$E$7=TH!H5439,OR(N5439="331",O5439="331")),"x","")</f>
        <v/>
      </c>
      <c r="Q5439" s="79" t="str">
        <f>IF(AND(B5439='111'!$L$11,OR($N5439=$Q$7,$O5439=$Q$7)),"x","")</f>
        <v/>
      </c>
      <c r="R5439" s="79" t="str">
        <f>IF(AND($N5439=$Q$7,$B5439&lt;'111'!$L$11),"x","")</f>
        <v/>
      </c>
      <c r="S5439" s="79" t="str">
        <f>IF(AND($O5439=$Q$7,$B5439&lt;'111'!$L$11),"x","")</f>
        <v/>
      </c>
      <c r="T5439" s="79" t="str">
        <f>IF(ISERROR(FIND('112'!$M$9,G5439,1)),"",IF((AND(FIND('112'!$M$9,G5439,1)&gt;=1,B5439='112'!$K$9,OR($N5439='112'!$I$6,$O5439='112'!$I$6))),"x",""))</f>
        <v/>
      </c>
      <c r="U5439" s="79" t="str">
        <f>IF(ISERROR(FIND('112'!$M$9,G5439,1)),"",IF((AND(LEFT(G5439,2)=LEFT('112'!$M$9,2),B5439&lt;'112'!$K$9,$N5439='112'!$I$6)),"x",""))</f>
        <v/>
      </c>
      <c r="V5439" s="79" t="str">
        <f>IF(ISERROR(FIND('112'!$M$9,G5439,1)),"",IF((AND(RIGHT(G5439,2)=RIGHT('112'!$M$9,2),B5439&lt;'112'!$K$9,$O5439='112'!$I$6)),"x",""))</f>
        <v/>
      </c>
      <c r="W5439" s="79" t="str">
        <f>IF(AND('341-CT'!$H$9=H5439,OR(LEFT(N5439,3)=$W$7,LEFT(O5439,3)=$W$7)),"x","")</f>
        <v/>
      </c>
      <c r="X5439" s="79" t="str">
        <f>IF(OR(TH!N5439=TH!$X$7,O5439=TH!$X$7),"x","")</f>
        <v/>
      </c>
      <c r="Y5439" s="79" t="str">
        <f>IF(AND(OR(N5439="131",O5439="131"),H5439='131-CT'!$H$9),"x","")</f>
        <v/>
      </c>
      <c r="Z5439" s="79"/>
      <c r="AA5439" s="79" t="str">
        <f>IF(AND(MONTH(E5439)='IN-NX'!$J$5,'IN-NX'!$D$7=D5439),"x","")</f>
        <v/>
      </c>
      <c r="AB5439" s="79" t="str">
        <f>IF(AND(OR(LEFT(TH!N5439,2)="15",LEFT(TH!O5439,2)="15"),LEFT(TH!O5439,3)&lt;&gt;"111",'152-CT'!$J$8=TH!F5439),"x","")</f>
        <v/>
      </c>
      <c r="AC5439" s="79" t="str">
        <f>IF(AND(OR(LEFT(TH!N5439,2)="15",LEFT(TH!O5439,2)="15"),TK!$E$7=TH!F5439),"x","")</f>
        <v/>
      </c>
      <c r="AD5439" s="79" t="str">
        <f>IF(AND(N5439="1521",MONTH(C5439)='BK-NL'!$M$11),"x","")</f>
        <v/>
      </c>
    </row>
    <row r="5440" spans="1:30" ht="16.5" customHeight="1">
      <c r="A5440" s="318" t="str">
        <f>IF(B5440&lt;&gt;"",IF(AND(B5440='IN-TC'!$S$4,OR(TH!N5440="1111",TH!O5440="1111")),TH!D5440,""),"")</f>
        <v/>
      </c>
      <c r="B5440" s="60" t="str">
        <f t="shared" si="505"/>
        <v/>
      </c>
      <c r="C5440" s="61"/>
      <c r="D5440" s="61"/>
      <c r="E5440" s="61"/>
      <c r="F5440" s="69"/>
      <c r="G5440" s="766"/>
      <c r="H5440" s="69"/>
      <c r="I5440" s="385"/>
      <c r="J5440" s="392"/>
      <c r="K5440" s="385"/>
      <c r="L5440" s="392"/>
      <c r="M5440" s="62"/>
      <c r="N5440" s="63"/>
      <c r="O5440" s="63"/>
      <c r="P5440" s="79" t="str">
        <f>IF(AND('331-CT'!$E$7=TH!H5440,OR(N5440="331",O5440="331")),"x","")</f>
        <v/>
      </c>
      <c r="Q5440" s="79" t="str">
        <f>IF(AND(B5440='111'!$L$11,OR($N5440=$Q$7,$O5440=$Q$7)),"x","")</f>
        <v/>
      </c>
      <c r="R5440" s="79" t="str">
        <f>IF(AND($N5440=$Q$7,$B5440&lt;'111'!$L$11),"x","")</f>
        <v/>
      </c>
      <c r="S5440" s="79" t="str">
        <f>IF(AND($O5440=$Q$7,$B5440&lt;'111'!$L$11),"x","")</f>
        <v/>
      </c>
      <c r="T5440" s="79" t="str">
        <f>IF(ISERROR(FIND('112'!$M$9,G5440,1)),"",IF((AND(FIND('112'!$M$9,G5440,1)&gt;=1,B5440='112'!$K$9,OR($N5440='112'!$I$6,$O5440='112'!$I$6))),"x",""))</f>
        <v/>
      </c>
      <c r="U5440" s="79" t="str">
        <f>IF(ISERROR(FIND('112'!$M$9,G5440,1)),"",IF((AND(LEFT(G5440,2)=LEFT('112'!$M$9,2),B5440&lt;'112'!$K$9,$N5440='112'!$I$6)),"x",""))</f>
        <v/>
      </c>
      <c r="V5440" s="79" t="str">
        <f>IF(ISERROR(FIND('112'!$M$9,G5440,1)),"",IF((AND(RIGHT(G5440,2)=RIGHT('112'!$M$9,2),B5440&lt;'112'!$K$9,$O5440='112'!$I$6)),"x",""))</f>
        <v/>
      </c>
      <c r="W5440" s="79" t="str">
        <f>IF(AND('341-CT'!$H$9=H5440,OR(LEFT(N5440,3)=$W$7,LEFT(O5440,3)=$W$7)),"x","")</f>
        <v/>
      </c>
      <c r="X5440" s="79" t="str">
        <f>IF(OR(TH!N5440=TH!$X$7,O5440=TH!$X$7),"x","")</f>
        <v/>
      </c>
      <c r="Y5440" s="79" t="str">
        <f>IF(AND(OR(N5440="131",O5440="131"),H5440='131-CT'!$H$9),"x","")</f>
        <v/>
      </c>
      <c r="Z5440" s="79"/>
      <c r="AA5440" s="79" t="str">
        <f>IF(AND(MONTH(E5440)='IN-NX'!$J$5,'IN-NX'!$D$7=D5440),"x","")</f>
        <v/>
      </c>
      <c r="AB5440" s="79" t="str">
        <f>IF(AND(OR(LEFT(TH!N5440,2)="15",LEFT(TH!O5440,2)="15"),LEFT(TH!O5440,3)&lt;&gt;"111",'152-CT'!$J$8=TH!F5440),"x","")</f>
        <v/>
      </c>
      <c r="AC5440" s="79" t="str">
        <f>IF(AND(OR(LEFT(TH!N5440,2)="15",LEFT(TH!O5440,2)="15"),TK!$E$7=TH!F5440),"x","")</f>
        <v/>
      </c>
      <c r="AD5440" s="79" t="str">
        <f>IF(AND(N5440="1521",MONTH(C5440)='BK-NL'!$M$11),"x","")</f>
        <v/>
      </c>
    </row>
    <row r="5441" spans="1:30" ht="16.5" customHeight="1">
      <c r="A5441" s="318" t="str">
        <f>IF(B5441&lt;&gt;"",IF(AND(B5441='IN-TC'!$S$4,OR(TH!N5441="1111",TH!O5441="1111")),TH!D5441,""),"")</f>
        <v/>
      </c>
      <c r="B5441" s="60" t="str">
        <f t="shared" si="505"/>
        <v/>
      </c>
      <c r="C5441" s="61"/>
      <c r="D5441" s="61"/>
      <c r="E5441" s="61"/>
      <c r="F5441" s="69"/>
      <c r="G5441" s="766"/>
      <c r="H5441" s="69"/>
      <c r="I5441" s="385"/>
      <c r="J5441" s="392"/>
      <c r="K5441" s="385"/>
      <c r="L5441" s="392"/>
      <c r="M5441" s="62"/>
      <c r="N5441" s="63"/>
      <c r="O5441" s="63"/>
      <c r="P5441" s="79" t="str">
        <f>IF(AND('331-CT'!$E$7=TH!H5441,OR(N5441="331",O5441="331")),"x","")</f>
        <v/>
      </c>
      <c r="Q5441" s="79" t="str">
        <f>IF(AND(B5441='111'!$L$11,OR($N5441=$Q$7,$O5441=$Q$7)),"x","")</f>
        <v/>
      </c>
      <c r="R5441" s="79" t="str">
        <f>IF(AND($N5441=$Q$7,$B5441&lt;'111'!$L$11),"x","")</f>
        <v/>
      </c>
      <c r="S5441" s="79" t="str">
        <f>IF(AND($O5441=$Q$7,$B5441&lt;'111'!$L$11),"x","")</f>
        <v/>
      </c>
      <c r="T5441" s="79" t="str">
        <f>IF(ISERROR(FIND('112'!$M$9,G5441,1)),"",IF((AND(FIND('112'!$M$9,G5441,1)&gt;=1,B5441='112'!$K$9,OR($N5441='112'!$I$6,$O5441='112'!$I$6))),"x",""))</f>
        <v/>
      </c>
      <c r="U5441" s="79" t="str">
        <f>IF(ISERROR(FIND('112'!$M$9,G5441,1)),"",IF((AND(LEFT(G5441,2)=LEFT('112'!$M$9,2),B5441&lt;'112'!$K$9,$N5441='112'!$I$6)),"x",""))</f>
        <v/>
      </c>
      <c r="V5441" s="79" t="str">
        <f>IF(ISERROR(FIND('112'!$M$9,G5441,1)),"",IF((AND(RIGHT(G5441,2)=RIGHT('112'!$M$9,2),B5441&lt;'112'!$K$9,$O5441='112'!$I$6)),"x",""))</f>
        <v/>
      </c>
      <c r="W5441" s="79" t="str">
        <f>IF(AND('341-CT'!$H$9=H5441,OR(LEFT(N5441,3)=$W$7,LEFT(O5441,3)=$W$7)),"x","")</f>
        <v/>
      </c>
      <c r="X5441" s="79" t="str">
        <f>IF(OR(TH!N5441=TH!$X$7,O5441=TH!$X$7),"x","")</f>
        <v/>
      </c>
      <c r="Y5441" s="79" t="str">
        <f>IF(AND(OR(N5441="131",O5441="131"),H5441='131-CT'!$H$9),"x","")</f>
        <v/>
      </c>
      <c r="Z5441" s="79"/>
      <c r="AA5441" s="79" t="str">
        <f>IF(AND(MONTH(E5441)='IN-NX'!$J$5,'IN-NX'!$D$7=D5441),"x","")</f>
        <v/>
      </c>
      <c r="AB5441" s="79" t="str">
        <f>IF(AND(OR(LEFT(TH!N5441,2)="15",LEFT(TH!O5441,2)="15"),LEFT(TH!O5441,3)&lt;&gt;"111",'152-CT'!$J$8=TH!F5441),"x","")</f>
        <v/>
      </c>
      <c r="AC5441" s="79" t="str">
        <f>IF(AND(OR(LEFT(TH!N5441,2)="15",LEFT(TH!O5441,2)="15"),TK!$E$7=TH!F5441),"x","")</f>
        <v/>
      </c>
      <c r="AD5441" s="79" t="str">
        <f>IF(AND(N5441="1521",MONTH(C5441)='BK-NL'!$M$11),"x","")</f>
        <v/>
      </c>
    </row>
    <row r="5442" spans="1:30" ht="16.5" customHeight="1">
      <c r="A5442" s="318" t="str">
        <f>IF(B5442&lt;&gt;"",IF(AND(B5442='IN-TC'!$S$4,OR(TH!N5442="1111",TH!O5442="1111")),TH!D5442,""),"")</f>
        <v/>
      </c>
      <c r="B5442" s="60" t="str">
        <f t="shared" si="505"/>
        <v/>
      </c>
      <c r="C5442" s="61"/>
      <c r="D5442" s="61"/>
      <c r="E5442" s="61"/>
      <c r="F5442" s="69"/>
      <c r="G5442" s="766"/>
      <c r="H5442" s="69"/>
      <c r="I5442" s="385"/>
      <c r="J5442" s="392"/>
      <c r="K5442" s="385"/>
      <c r="L5442" s="392"/>
      <c r="M5442" s="62"/>
      <c r="N5442" s="63"/>
      <c r="O5442" s="63"/>
      <c r="P5442" s="79" t="str">
        <f>IF(AND('331-CT'!$E$7=TH!H5442,OR(N5442="331",O5442="331")),"x","")</f>
        <v/>
      </c>
      <c r="Q5442" s="79" t="str">
        <f>IF(AND(B5442='111'!$L$11,OR($N5442=$Q$7,$O5442=$Q$7)),"x","")</f>
        <v/>
      </c>
      <c r="R5442" s="79" t="str">
        <f>IF(AND($N5442=$Q$7,$B5442&lt;'111'!$L$11),"x","")</f>
        <v/>
      </c>
      <c r="S5442" s="79" t="str">
        <f>IF(AND($O5442=$Q$7,$B5442&lt;'111'!$L$11),"x","")</f>
        <v/>
      </c>
      <c r="T5442" s="79" t="str">
        <f>IF(ISERROR(FIND('112'!$M$9,G5442,1)),"",IF((AND(FIND('112'!$M$9,G5442,1)&gt;=1,B5442='112'!$K$9,OR($N5442='112'!$I$6,$O5442='112'!$I$6))),"x",""))</f>
        <v/>
      </c>
      <c r="U5442" s="79" t="str">
        <f>IF(ISERROR(FIND('112'!$M$9,G5442,1)),"",IF((AND(LEFT(G5442,2)=LEFT('112'!$M$9,2),B5442&lt;'112'!$K$9,$N5442='112'!$I$6)),"x",""))</f>
        <v/>
      </c>
      <c r="V5442" s="79" t="str">
        <f>IF(ISERROR(FIND('112'!$M$9,G5442,1)),"",IF((AND(RIGHT(G5442,2)=RIGHT('112'!$M$9,2),B5442&lt;'112'!$K$9,$O5442='112'!$I$6)),"x",""))</f>
        <v/>
      </c>
      <c r="W5442" s="79" t="str">
        <f>IF(AND('341-CT'!$H$9=H5442,OR(LEFT(N5442,3)=$W$7,LEFT(O5442,3)=$W$7)),"x","")</f>
        <v/>
      </c>
      <c r="X5442" s="79" t="str">
        <f>IF(OR(TH!N5442=TH!$X$7,O5442=TH!$X$7),"x","")</f>
        <v/>
      </c>
      <c r="Y5442" s="79" t="str">
        <f>IF(AND(OR(N5442="131",O5442="131"),H5442='131-CT'!$H$9),"x","")</f>
        <v/>
      </c>
      <c r="Z5442" s="79"/>
      <c r="AA5442" s="79" t="str">
        <f>IF(AND(MONTH(E5442)='IN-NX'!$J$5,'IN-NX'!$D$7=D5442),"x","")</f>
        <v/>
      </c>
      <c r="AB5442" s="79" t="str">
        <f>IF(AND(OR(LEFT(TH!N5442,2)="15",LEFT(TH!O5442,2)="15"),LEFT(TH!O5442,3)&lt;&gt;"111",'152-CT'!$J$8=TH!F5442),"x","")</f>
        <v/>
      </c>
      <c r="AC5442" s="79" t="str">
        <f>IF(AND(OR(LEFT(TH!N5442,2)="15",LEFT(TH!O5442,2)="15"),TK!$E$7=TH!F5442),"x","")</f>
        <v/>
      </c>
      <c r="AD5442" s="79" t="str">
        <f>IF(AND(N5442="1521",MONTH(C5442)='BK-NL'!$M$11),"x","")</f>
        <v/>
      </c>
    </row>
    <row r="5443" spans="1:30" ht="16.5" customHeight="1">
      <c r="A5443" s="318" t="str">
        <f>IF(B5443&lt;&gt;"",IF(AND(B5443='IN-TC'!$S$4,OR(TH!N5443="1111",TH!O5443="1111")),TH!D5443,""),"")</f>
        <v/>
      </c>
      <c r="B5443" s="60" t="str">
        <f t="shared" ref="B5443:B5506" si="506">IF(C5443&lt;&gt;"",MONTH(C5443),"")</f>
        <v/>
      </c>
      <c r="C5443" s="61"/>
      <c r="D5443" s="61"/>
      <c r="E5443" s="61"/>
      <c r="F5443" s="69"/>
      <c r="G5443" s="766"/>
      <c r="H5443" s="69"/>
      <c r="I5443" s="385"/>
      <c r="J5443" s="392"/>
      <c r="K5443" s="385"/>
      <c r="L5443" s="392"/>
      <c r="M5443" s="62"/>
      <c r="N5443" s="63"/>
      <c r="O5443" s="63"/>
      <c r="P5443" s="79" t="str">
        <f>IF(AND('331-CT'!$E$7=TH!H5443,OR(N5443="331",O5443="331")),"x","")</f>
        <v/>
      </c>
      <c r="Q5443" s="79" t="str">
        <f>IF(AND(B5443='111'!$L$11,OR($N5443=$Q$7,$O5443=$Q$7)),"x","")</f>
        <v/>
      </c>
      <c r="R5443" s="79" t="str">
        <f>IF(AND($N5443=$Q$7,$B5443&lt;'111'!$L$11),"x","")</f>
        <v/>
      </c>
      <c r="S5443" s="79" t="str">
        <f>IF(AND($O5443=$Q$7,$B5443&lt;'111'!$L$11),"x","")</f>
        <v/>
      </c>
      <c r="T5443" s="79" t="str">
        <f>IF(ISERROR(FIND('112'!$M$9,G5443,1)),"",IF((AND(FIND('112'!$M$9,G5443,1)&gt;=1,B5443='112'!$K$9,OR($N5443='112'!$I$6,$O5443='112'!$I$6))),"x",""))</f>
        <v/>
      </c>
      <c r="U5443" s="79" t="str">
        <f>IF(ISERROR(FIND('112'!$M$9,G5443,1)),"",IF((AND(LEFT(G5443,2)=LEFT('112'!$M$9,2),B5443&lt;'112'!$K$9,$N5443='112'!$I$6)),"x",""))</f>
        <v/>
      </c>
      <c r="V5443" s="79" t="str">
        <f>IF(ISERROR(FIND('112'!$M$9,G5443,1)),"",IF((AND(RIGHT(G5443,2)=RIGHT('112'!$M$9,2),B5443&lt;'112'!$K$9,$O5443='112'!$I$6)),"x",""))</f>
        <v/>
      </c>
      <c r="W5443" s="79" t="str">
        <f>IF(AND('341-CT'!$H$9=H5443,OR(LEFT(N5443,3)=$W$7,LEFT(O5443,3)=$W$7)),"x","")</f>
        <v/>
      </c>
      <c r="X5443" s="79" t="str">
        <f>IF(OR(TH!N5443=TH!$X$7,O5443=TH!$X$7),"x","")</f>
        <v/>
      </c>
      <c r="Y5443" s="79" t="str">
        <f>IF(AND(OR(N5443="131",O5443="131"),H5443='131-CT'!$H$9),"x","")</f>
        <v/>
      </c>
      <c r="Z5443" s="79"/>
      <c r="AA5443" s="79" t="str">
        <f>IF(AND(MONTH(E5443)='IN-NX'!$J$5,'IN-NX'!$D$7=D5443),"x","")</f>
        <v/>
      </c>
      <c r="AB5443" s="79" t="str">
        <f>IF(AND(OR(LEFT(TH!N5443,2)="15",LEFT(TH!O5443,2)="15"),LEFT(TH!O5443,3)&lt;&gt;"111",'152-CT'!$J$8=TH!F5443),"x","")</f>
        <v/>
      </c>
      <c r="AC5443" s="79" t="str">
        <f>IF(AND(OR(LEFT(TH!N5443,2)="15",LEFT(TH!O5443,2)="15"),TK!$E$7=TH!F5443),"x","")</f>
        <v/>
      </c>
      <c r="AD5443" s="79" t="str">
        <f>IF(AND(N5443="1521",MONTH(C5443)='BK-NL'!$M$11),"x","")</f>
        <v/>
      </c>
    </row>
    <row r="5444" spans="1:30" ht="16.5" customHeight="1">
      <c r="A5444" s="318" t="str">
        <f>IF(B5444&lt;&gt;"",IF(AND(B5444='IN-TC'!$S$4,OR(TH!N5444="1111",TH!O5444="1111")),TH!D5444,""),"")</f>
        <v/>
      </c>
      <c r="B5444" s="60" t="str">
        <f t="shared" si="506"/>
        <v/>
      </c>
      <c r="C5444" s="61"/>
      <c r="D5444" s="61"/>
      <c r="E5444" s="61"/>
      <c r="F5444" s="69"/>
      <c r="G5444" s="766"/>
      <c r="H5444" s="69"/>
      <c r="I5444" s="385"/>
      <c r="J5444" s="392"/>
      <c r="K5444" s="385"/>
      <c r="L5444" s="392"/>
      <c r="M5444" s="62"/>
      <c r="N5444" s="63"/>
      <c r="O5444" s="63"/>
      <c r="P5444" s="79" t="str">
        <f>IF(AND('331-CT'!$E$7=TH!H5444,OR(N5444="331",O5444="331")),"x","")</f>
        <v/>
      </c>
      <c r="Q5444" s="79" t="str">
        <f>IF(AND(B5444='111'!$L$11,OR($N5444=$Q$7,$O5444=$Q$7)),"x","")</f>
        <v/>
      </c>
      <c r="R5444" s="79" t="str">
        <f>IF(AND($N5444=$Q$7,$B5444&lt;'111'!$L$11),"x","")</f>
        <v/>
      </c>
      <c r="S5444" s="79" t="str">
        <f>IF(AND($O5444=$Q$7,$B5444&lt;'111'!$L$11),"x","")</f>
        <v/>
      </c>
      <c r="T5444" s="79" t="str">
        <f>IF(ISERROR(FIND('112'!$M$9,G5444,1)),"",IF((AND(FIND('112'!$M$9,G5444,1)&gt;=1,B5444='112'!$K$9,OR($N5444='112'!$I$6,$O5444='112'!$I$6))),"x",""))</f>
        <v/>
      </c>
      <c r="U5444" s="79" t="str">
        <f>IF(ISERROR(FIND('112'!$M$9,G5444,1)),"",IF((AND(LEFT(G5444,2)=LEFT('112'!$M$9,2),B5444&lt;'112'!$K$9,$N5444='112'!$I$6)),"x",""))</f>
        <v/>
      </c>
      <c r="V5444" s="79" t="str">
        <f>IF(ISERROR(FIND('112'!$M$9,G5444,1)),"",IF((AND(RIGHT(G5444,2)=RIGHT('112'!$M$9,2),B5444&lt;'112'!$K$9,$O5444='112'!$I$6)),"x",""))</f>
        <v/>
      </c>
      <c r="W5444" s="79" t="str">
        <f>IF(AND('341-CT'!$H$9=H5444,OR(LEFT(N5444,3)=$W$7,LEFT(O5444,3)=$W$7)),"x","")</f>
        <v/>
      </c>
      <c r="X5444" s="79" t="str">
        <f>IF(OR(TH!N5444=TH!$X$7,O5444=TH!$X$7),"x","")</f>
        <v/>
      </c>
      <c r="Y5444" s="79" t="str">
        <f>IF(AND(OR(N5444="131",O5444="131"),H5444='131-CT'!$H$9),"x","")</f>
        <v/>
      </c>
      <c r="Z5444" s="79"/>
      <c r="AA5444" s="79" t="str">
        <f>IF(AND(MONTH(E5444)='IN-NX'!$J$5,'IN-NX'!$D$7=D5444),"x","")</f>
        <v/>
      </c>
      <c r="AB5444" s="79" t="str">
        <f>IF(AND(OR(LEFT(TH!N5444,2)="15",LEFT(TH!O5444,2)="15"),LEFT(TH!O5444,3)&lt;&gt;"111",'152-CT'!$J$8=TH!F5444),"x","")</f>
        <v/>
      </c>
      <c r="AC5444" s="79" t="str">
        <f>IF(AND(OR(LEFT(TH!N5444,2)="15",LEFT(TH!O5444,2)="15"),TK!$E$7=TH!F5444),"x","")</f>
        <v/>
      </c>
      <c r="AD5444" s="79" t="str">
        <f>IF(AND(N5444="1521",MONTH(C5444)='BK-NL'!$M$11),"x","")</f>
        <v/>
      </c>
    </row>
    <row r="5445" spans="1:30" ht="16.5" customHeight="1">
      <c r="A5445" s="318" t="str">
        <f>IF(B5445&lt;&gt;"",IF(AND(B5445='IN-TC'!$S$4,OR(TH!N5445="1111",TH!O5445="1111")),TH!D5445,""),"")</f>
        <v/>
      </c>
      <c r="B5445" s="60" t="str">
        <f t="shared" si="506"/>
        <v/>
      </c>
      <c r="C5445" s="61"/>
      <c r="D5445" s="61"/>
      <c r="E5445" s="61"/>
      <c r="F5445" s="69"/>
      <c r="G5445" s="766"/>
      <c r="H5445" s="69"/>
      <c r="I5445" s="385"/>
      <c r="J5445" s="392"/>
      <c r="K5445" s="385"/>
      <c r="L5445" s="392"/>
      <c r="M5445" s="62"/>
      <c r="N5445" s="63"/>
      <c r="O5445" s="63"/>
      <c r="P5445" s="79" t="str">
        <f>IF(AND('331-CT'!$E$7=TH!H5445,OR(N5445="331",O5445="331")),"x","")</f>
        <v/>
      </c>
      <c r="Q5445" s="79" t="str">
        <f>IF(AND(B5445='111'!$L$11,OR($N5445=$Q$7,$O5445=$Q$7)),"x","")</f>
        <v/>
      </c>
      <c r="R5445" s="79" t="str">
        <f>IF(AND($N5445=$Q$7,$B5445&lt;'111'!$L$11),"x","")</f>
        <v/>
      </c>
      <c r="S5445" s="79" t="str">
        <f>IF(AND($O5445=$Q$7,$B5445&lt;'111'!$L$11),"x","")</f>
        <v/>
      </c>
      <c r="T5445" s="79" t="str">
        <f>IF(ISERROR(FIND('112'!$M$9,G5445,1)),"",IF((AND(FIND('112'!$M$9,G5445,1)&gt;=1,B5445='112'!$K$9,OR($N5445='112'!$I$6,$O5445='112'!$I$6))),"x",""))</f>
        <v/>
      </c>
      <c r="U5445" s="79" t="str">
        <f>IF(ISERROR(FIND('112'!$M$9,G5445,1)),"",IF((AND(LEFT(G5445,2)=LEFT('112'!$M$9,2),B5445&lt;'112'!$K$9,$N5445='112'!$I$6)),"x",""))</f>
        <v/>
      </c>
      <c r="V5445" s="79" t="str">
        <f>IF(ISERROR(FIND('112'!$M$9,G5445,1)),"",IF((AND(RIGHT(G5445,2)=RIGHT('112'!$M$9,2),B5445&lt;'112'!$K$9,$O5445='112'!$I$6)),"x",""))</f>
        <v/>
      </c>
      <c r="W5445" s="79" t="str">
        <f>IF(AND('341-CT'!$H$9=H5445,OR(LEFT(N5445,3)=$W$7,LEFT(O5445,3)=$W$7)),"x","")</f>
        <v/>
      </c>
      <c r="X5445" s="79" t="str">
        <f>IF(OR(TH!N5445=TH!$X$7,O5445=TH!$X$7),"x","")</f>
        <v/>
      </c>
      <c r="Y5445" s="79" t="str">
        <f>IF(AND(OR(N5445="131",O5445="131"),H5445='131-CT'!$H$9),"x","")</f>
        <v/>
      </c>
      <c r="Z5445" s="79"/>
      <c r="AA5445" s="79" t="str">
        <f>IF(AND(MONTH(E5445)='IN-NX'!$J$5,'IN-NX'!$D$7=D5445),"x","")</f>
        <v/>
      </c>
      <c r="AB5445" s="79" t="str">
        <f>IF(AND(OR(LEFT(TH!N5445,2)="15",LEFT(TH!O5445,2)="15"),LEFT(TH!O5445,3)&lt;&gt;"111",'152-CT'!$J$8=TH!F5445),"x","")</f>
        <v/>
      </c>
      <c r="AC5445" s="79" t="str">
        <f>IF(AND(OR(LEFT(TH!N5445,2)="15",LEFT(TH!O5445,2)="15"),TK!$E$7=TH!F5445),"x","")</f>
        <v/>
      </c>
      <c r="AD5445" s="79" t="str">
        <f>IF(AND(N5445="1521",MONTH(C5445)='BK-NL'!$M$11),"x","")</f>
        <v/>
      </c>
    </row>
    <row r="5446" spans="1:30" ht="16.5" customHeight="1">
      <c r="A5446" s="318" t="str">
        <f>IF(B5446&lt;&gt;"",IF(AND(B5446='IN-TC'!$S$4,OR(TH!N5446="1111",TH!O5446="1111")),TH!D5446,""),"")</f>
        <v/>
      </c>
      <c r="B5446" s="60" t="str">
        <f t="shared" si="506"/>
        <v/>
      </c>
      <c r="C5446" s="61"/>
      <c r="D5446" s="61"/>
      <c r="E5446" s="61"/>
      <c r="F5446" s="69"/>
      <c r="G5446" s="766"/>
      <c r="H5446" s="69"/>
      <c r="I5446" s="385"/>
      <c r="J5446" s="392"/>
      <c r="K5446" s="385"/>
      <c r="L5446" s="392"/>
      <c r="M5446" s="62"/>
      <c r="N5446" s="63"/>
      <c r="O5446" s="63"/>
      <c r="P5446" s="79" t="str">
        <f>IF(AND('331-CT'!$E$7=TH!H5446,OR(N5446="331",O5446="331")),"x","")</f>
        <v/>
      </c>
      <c r="Q5446" s="79" t="str">
        <f>IF(AND(B5446='111'!$L$11,OR($N5446=$Q$7,$O5446=$Q$7)),"x","")</f>
        <v/>
      </c>
      <c r="R5446" s="79" t="str">
        <f>IF(AND($N5446=$Q$7,$B5446&lt;'111'!$L$11),"x","")</f>
        <v/>
      </c>
      <c r="S5446" s="79" t="str">
        <f>IF(AND($O5446=$Q$7,$B5446&lt;'111'!$L$11),"x","")</f>
        <v/>
      </c>
      <c r="T5446" s="79" t="str">
        <f>IF(ISERROR(FIND('112'!$M$9,G5446,1)),"",IF((AND(FIND('112'!$M$9,G5446,1)&gt;=1,B5446='112'!$K$9,OR($N5446='112'!$I$6,$O5446='112'!$I$6))),"x",""))</f>
        <v/>
      </c>
      <c r="U5446" s="79" t="str">
        <f>IF(ISERROR(FIND('112'!$M$9,G5446,1)),"",IF((AND(LEFT(G5446,2)=LEFT('112'!$M$9,2),B5446&lt;'112'!$K$9,$N5446='112'!$I$6)),"x",""))</f>
        <v/>
      </c>
      <c r="V5446" s="79" t="str">
        <f>IF(ISERROR(FIND('112'!$M$9,G5446,1)),"",IF((AND(RIGHT(G5446,2)=RIGHT('112'!$M$9,2),B5446&lt;'112'!$K$9,$O5446='112'!$I$6)),"x",""))</f>
        <v/>
      </c>
      <c r="W5446" s="79" t="str">
        <f>IF(AND('341-CT'!$H$9=H5446,OR(LEFT(N5446,3)=$W$7,LEFT(O5446,3)=$W$7)),"x","")</f>
        <v/>
      </c>
      <c r="X5446" s="79" t="str">
        <f>IF(OR(TH!N5446=TH!$X$7,O5446=TH!$X$7),"x","")</f>
        <v/>
      </c>
      <c r="Y5446" s="79" t="str">
        <f>IF(AND(OR(N5446="131",O5446="131"),H5446='131-CT'!$H$9),"x","")</f>
        <v/>
      </c>
      <c r="Z5446" s="79"/>
      <c r="AA5446" s="79" t="str">
        <f>IF(AND(MONTH(E5446)='IN-NX'!$J$5,'IN-NX'!$D$7=D5446),"x","")</f>
        <v/>
      </c>
      <c r="AB5446" s="79" t="str">
        <f>IF(AND(OR(LEFT(TH!N5446,2)="15",LEFT(TH!O5446,2)="15"),LEFT(TH!O5446,3)&lt;&gt;"111",'152-CT'!$J$8=TH!F5446),"x","")</f>
        <v/>
      </c>
      <c r="AC5446" s="79" t="str">
        <f>IF(AND(OR(LEFT(TH!N5446,2)="15",LEFT(TH!O5446,2)="15"),TK!$E$7=TH!F5446),"x","")</f>
        <v/>
      </c>
      <c r="AD5446" s="79" t="str">
        <f>IF(AND(N5446="1521",MONTH(C5446)='BK-NL'!$M$11),"x","")</f>
        <v/>
      </c>
    </row>
    <row r="5447" spans="1:30" ht="16.5" customHeight="1">
      <c r="A5447" s="318" t="str">
        <f>IF(B5447&lt;&gt;"",IF(AND(B5447='IN-TC'!$S$4,OR(TH!N5447="1111",TH!O5447="1111")),TH!D5447,""),"")</f>
        <v/>
      </c>
      <c r="B5447" s="60" t="str">
        <f t="shared" si="506"/>
        <v/>
      </c>
      <c r="C5447" s="61"/>
      <c r="D5447" s="61"/>
      <c r="E5447" s="61"/>
      <c r="F5447" s="69"/>
      <c r="G5447" s="766"/>
      <c r="H5447" s="69"/>
      <c r="I5447" s="385"/>
      <c r="J5447" s="392"/>
      <c r="K5447" s="385"/>
      <c r="L5447" s="392"/>
      <c r="M5447" s="62"/>
      <c r="N5447" s="63"/>
      <c r="O5447" s="63"/>
      <c r="P5447" s="79" t="str">
        <f>IF(AND('331-CT'!$E$7=TH!H5447,OR(N5447="331",O5447="331")),"x","")</f>
        <v/>
      </c>
      <c r="Q5447" s="79" t="str">
        <f>IF(AND(B5447='111'!$L$11,OR($N5447=$Q$7,$O5447=$Q$7)),"x","")</f>
        <v/>
      </c>
      <c r="R5447" s="79" t="str">
        <f>IF(AND($N5447=$Q$7,$B5447&lt;'111'!$L$11),"x","")</f>
        <v/>
      </c>
      <c r="S5447" s="79" t="str">
        <f>IF(AND($O5447=$Q$7,$B5447&lt;'111'!$L$11),"x","")</f>
        <v/>
      </c>
      <c r="T5447" s="79" t="str">
        <f>IF(ISERROR(FIND('112'!$M$9,G5447,1)),"",IF((AND(FIND('112'!$M$9,G5447,1)&gt;=1,B5447='112'!$K$9,OR($N5447='112'!$I$6,$O5447='112'!$I$6))),"x",""))</f>
        <v/>
      </c>
      <c r="U5447" s="79" t="str">
        <f>IF(ISERROR(FIND('112'!$M$9,G5447,1)),"",IF((AND(LEFT(G5447,2)=LEFT('112'!$M$9,2),B5447&lt;'112'!$K$9,$N5447='112'!$I$6)),"x",""))</f>
        <v/>
      </c>
      <c r="V5447" s="79" t="str">
        <f>IF(ISERROR(FIND('112'!$M$9,G5447,1)),"",IF((AND(RIGHT(G5447,2)=RIGHT('112'!$M$9,2),B5447&lt;'112'!$K$9,$O5447='112'!$I$6)),"x",""))</f>
        <v/>
      </c>
      <c r="W5447" s="79" t="str">
        <f>IF(AND('341-CT'!$H$9=H5447,OR(LEFT(N5447,3)=$W$7,LEFT(O5447,3)=$W$7)),"x","")</f>
        <v/>
      </c>
      <c r="X5447" s="79" t="str">
        <f>IF(OR(TH!N5447=TH!$X$7,O5447=TH!$X$7),"x","")</f>
        <v/>
      </c>
      <c r="Y5447" s="79" t="str">
        <f>IF(AND(OR(N5447="131",O5447="131"),H5447='131-CT'!$H$9),"x","")</f>
        <v/>
      </c>
      <c r="Z5447" s="79"/>
      <c r="AA5447" s="79" t="str">
        <f>IF(AND(MONTH(E5447)='IN-NX'!$J$5,'IN-NX'!$D$7=D5447),"x","")</f>
        <v/>
      </c>
      <c r="AB5447" s="79" t="str">
        <f>IF(AND(OR(LEFT(TH!N5447,2)="15",LEFT(TH!O5447,2)="15"),LEFT(TH!O5447,3)&lt;&gt;"111",'152-CT'!$J$8=TH!F5447),"x","")</f>
        <v/>
      </c>
      <c r="AC5447" s="79" t="str">
        <f>IF(AND(OR(LEFT(TH!N5447,2)="15",LEFT(TH!O5447,2)="15"),TK!$E$7=TH!F5447),"x","")</f>
        <v/>
      </c>
      <c r="AD5447" s="79" t="str">
        <f>IF(AND(N5447="1521",MONTH(C5447)='BK-NL'!$M$11),"x","")</f>
        <v/>
      </c>
    </row>
    <row r="5448" spans="1:30" ht="16.5" customHeight="1">
      <c r="A5448" s="318" t="str">
        <f>IF(B5448&lt;&gt;"",IF(AND(B5448='IN-TC'!$S$4,OR(TH!N5448="1111",TH!O5448="1111")),TH!D5448,""),"")</f>
        <v/>
      </c>
      <c r="B5448" s="60" t="str">
        <f t="shared" si="506"/>
        <v/>
      </c>
      <c r="C5448" s="61"/>
      <c r="D5448" s="61"/>
      <c r="E5448" s="61"/>
      <c r="F5448" s="69"/>
      <c r="G5448" s="766"/>
      <c r="H5448" s="69"/>
      <c r="I5448" s="385"/>
      <c r="J5448" s="392"/>
      <c r="K5448" s="385"/>
      <c r="L5448" s="392"/>
      <c r="M5448" s="62"/>
      <c r="N5448" s="63"/>
      <c r="O5448" s="63"/>
      <c r="P5448" s="79" t="str">
        <f>IF(AND('331-CT'!$E$7=TH!H5448,OR(N5448="331",O5448="331")),"x","")</f>
        <v/>
      </c>
      <c r="Q5448" s="79" t="str">
        <f>IF(AND(B5448='111'!$L$11,OR($N5448=$Q$7,$O5448=$Q$7)),"x","")</f>
        <v/>
      </c>
      <c r="R5448" s="79" t="str">
        <f>IF(AND($N5448=$Q$7,$B5448&lt;'111'!$L$11),"x","")</f>
        <v/>
      </c>
      <c r="S5448" s="79" t="str">
        <f>IF(AND($O5448=$Q$7,$B5448&lt;'111'!$L$11),"x","")</f>
        <v/>
      </c>
      <c r="T5448" s="79" t="str">
        <f>IF(ISERROR(FIND('112'!$M$9,G5448,1)),"",IF((AND(FIND('112'!$M$9,G5448,1)&gt;=1,B5448='112'!$K$9,OR($N5448='112'!$I$6,$O5448='112'!$I$6))),"x",""))</f>
        <v/>
      </c>
      <c r="U5448" s="79" t="str">
        <f>IF(ISERROR(FIND('112'!$M$9,G5448,1)),"",IF((AND(LEFT(G5448,2)=LEFT('112'!$M$9,2),B5448&lt;'112'!$K$9,$N5448='112'!$I$6)),"x",""))</f>
        <v/>
      </c>
      <c r="V5448" s="79" t="str">
        <f>IF(ISERROR(FIND('112'!$M$9,G5448,1)),"",IF((AND(RIGHT(G5448,2)=RIGHT('112'!$M$9,2),B5448&lt;'112'!$K$9,$O5448='112'!$I$6)),"x",""))</f>
        <v/>
      </c>
      <c r="W5448" s="79" t="str">
        <f>IF(AND('341-CT'!$H$9=H5448,OR(LEFT(N5448,3)=$W$7,LEFT(O5448,3)=$W$7)),"x","")</f>
        <v/>
      </c>
      <c r="X5448" s="79" t="str">
        <f>IF(OR(TH!N5448=TH!$X$7,O5448=TH!$X$7),"x","")</f>
        <v/>
      </c>
      <c r="Y5448" s="79" t="str">
        <f>IF(AND(OR(N5448="131",O5448="131"),H5448='131-CT'!$H$9),"x","")</f>
        <v/>
      </c>
      <c r="Z5448" s="79"/>
      <c r="AA5448" s="79" t="str">
        <f>IF(AND(MONTH(E5448)='IN-NX'!$J$5,'IN-NX'!$D$7=D5448),"x","")</f>
        <v/>
      </c>
      <c r="AB5448" s="79" t="str">
        <f>IF(AND(OR(LEFT(TH!N5448,2)="15",LEFT(TH!O5448,2)="15"),LEFT(TH!O5448,3)&lt;&gt;"111",'152-CT'!$J$8=TH!F5448),"x","")</f>
        <v/>
      </c>
      <c r="AC5448" s="79" t="str">
        <f>IF(AND(OR(LEFT(TH!N5448,2)="15",LEFT(TH!O5448,2)="15"),TK!$E$7=TH!F5448),"x","")</f>
        <v/>
      </c>
      <c r="AD5448" s="79" t="str">
        <f>IF(AND(N5448="1521",MONTH(C5448)='BK-NL'!$M$11),"x","")</f>
        <v/>
      </c>
    </row>
    <row r="5449" spans="1:30" ht="16.5" customHeight="1">
      <c r="A5449" s="318" t="str">
        <f>IF(B5449&lt;&gt;"",IF(AND(B5449='IN-TC'!$S$4,OR(TH!N5449="1111",TH!O5449="1111")),TH!D5449,""),"")</f>
        <v/>
      </c>
      <c r="B5449" s="60" t="str">
        <f t="shared" si="506"/>
        <v/>
      </c>
      <c r="C5449" s="61"/>
      <c r="D5449" s="61"/>
      <c r="E5449" s="61"/>
      <c r="F5449" s="69"/>
      <c r="G5449" s="766"/>
      <c r="H5449" s="69"/>
      <c r="I5449" s="385"/>
      <c r="J5449" s="392"/>
      <c r="K5449" s="385"/>
      <c r="L5449" s="392"/>
      <c r="M5449" s="62"/>
      <c r="N5449" s="63"/>
      <c r="O5449" s="63"/>
      <c r="P5449" s="79" t="str">
        <f>IF(AND('331-CT'!$E$7=TH!H5449,OR(N5449="331",O5449="331")),"x","")</f>
        <v/>
      </c>
      <c r="Q5449" s="79" t="str">
        <f>IF(AND(B5449='111'!$L$11,OR($N5449=$Q$7,$O5449=$Q$7)),"x","")</f>
        <v/>
      </c>
      <c r="R5449" s="79" t="str">
        <f>IF(AND($N5449=$Q$7,$B5449&lt;'111'!$L$11),"x","")</f>
        <v/>
      </c>
      <c r="S5449" s="79" t="str">
        <f>IF(AND($O5449=$Q$7,$B5449&lt;'111'!$L$11),"x","")</f>
        <v/>
      </c>
      <c r="T5449" s="79" t="str">
        <f>IF(ISERROR(FIND('112'!$M$9,G5449,1)),"",IF((AND(FIND('112'!$M$9,G5449,1)&gt;=1,B5449='112'!$K$9,OR($N5449='112'!$I$6,$O5449='112'!$I$6))),"x",""))</f>
        <v/>
      </c>
      <c r="U5449" s="79" t="str">
        <f>IF(ISERROR(FIND('112'!$M$9,G5449,1)),"",IF((AND(LEFT(G5449,2)=LEFT('112'!$M$9,2),B5449&lt;'112'!$K$9,$N5449='112'!$I$6)),"x",""))</f>
        <v/>
      </c>
      <c r="V5449" s="79" t="str">
        <f>IF(ISERROR(FIND('112'!$M$9,G5449,1)),"",IF((AND(RIGHT(G5449,2)=RIGHT('112'!$M$9,2),B5449&lt;'112'!$K$9,$O5449='112'!$I$6)),"x",""))</f>
        <v/>
      </c>
      <c r="W5449" s="79" t="str">
        <f>IF(AND('341-CT'!$H$9=H5449,OR(LEFT(N5449,3)=$W$7,LEFT(O5449,3)=$W$7)),"x","")</f>
        <v/>
      </c>
      <c r="X5449" s="79" t="str">
        <f>IF(OR(TH!N5449=TH!$X$7,O5449=TH!$X$7),"x","")</f>
        <v/>
      </c>
      <c r="Y5449" s="79" t="str">
        <f>IF(AND(OR(N5449="131",O5449="131"),H5449='131-CT'!$H$9),"x","")</f>
        <v/>
      </c>
      <c r="Z5449" s="79"/>
      <c r="AA5449" s="79" t="str">
        <f>IF(AND(MONTH(E5449)='IN-NX'!$J$5,'IN-NX'!$D$7=D5449),"x","")</f>
        <v/>
      </c>
      <c r="AB5449" s="79" t="str">
        <f>IF(AND(OR(LEFT(TH!N5449,2)="15",LEFT(TH!O5449,2)="15"),LEFT(TH!O5449,3)&lt;&gt;"111",'152-CT'!$J$8=TH!F5449),"x","")</f>
        <v/>
      </c>
      <c r="AC5449" s="79" t="str">
        <f>IF(AND(OR(LEFT(TH!N5449,2)="15",LEFT(TH!O5449,2)="15"),TK!$E$7=TH!F5449),"x","")</f>
        <v/>
      </c>
      <c r="AD5449" s="79" t="str">
        <f>IF(AND(N5449="1521",MONTH(C5449)='BK-NL'!$M$11),"x","")</f>
        <v/>
      </c>
    </row>
    <row r="5450" spans="1:30" ht="16.5" customHeight="1">
      <c r="A5450" s="318" t="str">
        <f>IF(B5450&lt;&gt;"",IF(AND(B5450='IN-TC'!$S$4,OR(TH!N5450="1111",TH!O5450="1111")),TH!D5450,""),"")</f>
        <v/>
      </c>
      <c r="B5450" s="60" t="str">
        <f t="shared" si="506"/>
        <v/>
      </c>
      <c r="C5450" s="61"/>
      <c r="D5450" s="61"/>
      <c r="E5450" s="61"/>
      <c r="F5450" s="69"/>
      <c r="G5450" s="766"/>
      <c r="H5450" s="69"/>
      <c r="I5450" s="385"/>
      <c r="J5450" s="392"/>
      <c r="K5450" s="385"/>
      <c r="L5450" s="392"/>
      <c r="M5450" s="62"/>
      <c r="N5450" s="63"/>
      <c r="O5450" s="63"/>
      <c r="P5450" s="79" t="str">
        <f>IF(AND('331-CT'!$E$7=TH!H5450,OR(N5450="331",O5450="331")),"x","")</f>
        <v/>
      </c>
      <c r="Q5450" s="79" t="str">
        <f>IF(AND(B5450='111'!$L$11,OR($N5450=$Q$7,$O5450=$Q$7)),"x","")</f>
        <v/>
      </c>
      <c r="R5450" s="79" t="str">
        <f>IF(AND($N5450=$Q$7,$B5450&lt;'111'!$L$11),"x","")</f>
        <v/>
      </c>
      <c r="S5450" s="79" t="str">
        <f>IF(AND($O5450=$Q$7,$B5450&lt;'111'!$L$11),"x","")</f>
        <v/>
      </c>
      <c r="T5450" s="79" t="str">
        <f>IF(ISERROR(FIND('112'!$M$9,G5450,1)),"",IF((AND(FIND('112'!$M$9,G5450,1)&gt;=1,B5450='112'!$K$9,OR($N5450='112'!$I$6,$O5450='112'!$I$6))),"x",""))</f>
        <v/>
      </c>
      <c r="U5450" s="79" t="str">
        <f>IF(ISERROR(FIND('112'!$M$9,G5450,1)),"",IF((AND(LEFT(G5450,2)=LEFT('112'!$M$9,2),B5450&lt;'112'!$K$9,$N5450='112'!$I$6)),"x",""))</f>
        <v/>
      </c>
      <c r="V5450" s="79" t="str">
        <f>IF(ISERROR(FIND('112'!$M$9,G5450,1)),"",IF((AND(RIGHT(G5450,2)=RIGHT('112'!$M$9,2),B5450&lt;'112'!$K$9,$O5450='112'!$I$6)),"x",""))</f>
        <v/>
      </c>
      <c r="W5450" s="79" t="str">
        <f>IF(AND('341-CT'!$H$9=H5450,OR(LEFT(N5450,3)=$W$7,LEFT(O5450,3)=$W$7)),"x","")</f>
        <v/>
      </c>
      <c r="X5450" s="79" t="str">
        <f>IF(OR(TH!N5450=TH!$X$7,O5450=TH!$X$7),"x","")</f>
        <v/>
      </c>
      <c r="Y5450" s="79" t="str">
        <f>IF(AND(OR(N5450="131",O5450="131"),H5450='131-CT'!$H$9),"x","")</f>
        <v/>
      </c>
      <c r="Z5450" s="79"/>
      <c r="AA5450" s="79" t="str">
        <f>IF(AND(MONTH(E5450)='IN-NX'!$J$5,'IN-NX'!$D$7=D5450),"x","")</f>
        <v/>
      </c>
      <c r="AB5450" s="79" t="str">
        <f>IF(AND(OR(LEFT(TH!N5450,2)="15",LEFT(TH!O5450,2)="15"),LEFT(TH!O5450,3)&lt;&gt;"111",'152-CT'!$J$8=TH!F5450),"x","")</f>
        <v/>
      </c>
      <c r="AC5450" s="79" t="str">
        <f>IF(AND(OR(LEFT(TH!N5450,2)="15",LEFT(TH!O5450,2)="15"),TK!$E$7=TH!F5450),"x","")</f>
        <v/>
      </c>
      <c r="AD5450" s="79" t="str">
        <f>IF(AND(N5450="1521",MONTH(C5450)='BK-NL'!$M$11),"x","")</f>
        <v/>
      </c>
    </row>
    <row r="5451" spans="1:30" ht="16.5" customHeight="1">
      <c r="A5451" s="318" t="str">
        <f>IF(B5451&lt;&gt;"",IF(AND(B5451='IN-TC'!$S$4,OR(TH!N5451="1111",TH!O5451="1111")),TH!D5451,""),"")</f>
        <v/>
      </c>
      <c r="B5451" s="60" t="str">
        <f t="shared" si="506"/>
        <v/>
      </c>
      <c r="C5451" s="61"/>
      <c r="D5451" s="61"/>
      <c r="E5451" s="61"/>
      <c r="F5451" s="69"/>
      <c r="G5451" s="766"/>
      <c r="H5451" s="69"/>
      <c r="I5451" s="385"/>
      <c r="J5451" s="392"/>
      <c r="K5451" s="385"/>
      <c r="L5451" s="392"/>
      <c r="M5451" s="62"/>
      <c r="N5451" s="63"/>
      <c r="O5451" s="63"/>
      <c r="P5451" s="79" t="str">
        <f>IF(AND('331-CT'!$E$7=TH!H5451,OR(N5451="331",O5451="331")),"x","")</f>
        <v/>
      </c>
      <c r="Q5451" s="79" t="str">
        <f>IF(AND(B5451='111'!$L$11,OR($N5451=$Q$7,$O5451=$Q$7)),"x","")</f>
        <v/>
      </c>
      <c r="R5451" s="79" t="str">
        <f>IF(AND($N5451=$Q$7,$B5451&lt;'111'!$L$11),"x","")</f>
        <v/>
      </c>
      <c r="S5451" s="79" t="str">
        <f>IF(AND($O5451=$Q$7,$B5451&lt;'111'!$L$11),"x","")</f>
        <v/>
      </c>
      <c r="T5451" s="79" t="str">
        <f>IF(ISERROR(FIND('112'!$M$9,G5451,1)),"",IF((AND(FIND('112'!$M$9,G5451,1)&gt;=1,B5451='112'!$K$9,OR($N5451='112'!$I$6,$O5451='112'!$I$6))),"x",""))</f>
        <v/>
      </c>
      <c r="U5451" s="79" t="str">
        <f>IF(ISERROR(FIND('112'!$M$9,G5451,1)),"",IF((AND(LEFT(G5451,2)=LEFT('112'!$M$9,2),B5451&lt;'112'!$K$9,$N5451='112'!$I$6)),"x",""))</f>
        <v/>
      </c>
      <c r="V5451" s="79" t="str">
        <f>IF(ISERROR(FIND('112'!$M$9,G5451,1)),"",IF((AND(RIGHT(G5451,2)=RIGHT('112'!$M$9,2),B5451&lt;'112'!$K$9,$O5451='112'!$I$6)),"x",""))</f>
        <v/>
      </c>
      <c r="W5451" s="79" t="str">
        <f>IF(AND('341-CT'!$H$9=H5451,OR(LEFT(N5451,3)=$W$7,LEFT(O5451,3)=$W$7)),"x","")</f>
        <v/>
      </c>
      <c r="X5451" s="79" t="str">
        <f>IF(OR(TH!N5451=TH!$X$7,O5451=TH!$X$7),"x","")</f>
        <v/>
      </c>
      <c r="Y5451" s="79" t="str">
        <f>IF(AND(OR(N5451="131",O5451="131"),H5451='131-CT'!$H$9),"x","")</f>
        <v/>
      </c>
      <c r="Z5451" s="79"/>
      <c r="AA5451" s="79" t="str">
        <f>IF(AND(MONTH(E5451)='IN-NX'!$J$5,'IN-NX'!$D$7=D5451),"x","")</f>
        <v/>
      </c>
      <c r="AB5451" s="79" t="str">
        <f>IF(AND(OR(LEFT(TH!N5451,2)="15",LEFT(TH!O5451,2)="15"),LEFT(TH!O5451,3)&lt;&gt;"111",'152-CT'!$J$8=TH!F5451),"x","")</f>
        <v/>
      </c>
      <c r="AC5451" s="79" t="str">
        <f>IF(AND(OR(LEFT(TH!N5451,2)="15",LEFT(TH!O5451,2)="15"),TK!$E$7=TH!F5451),"x","")</f>
        <v/>
      </c>
      <c r="AD5451" s="79" t="str">
        <f>IF(AND(N5451="1521",MONTH(C5451)='BK-NL'!$M$11),"x","")</f>
        <v/>
      </c>
    </row>
    <row r="5452" spans="1:30" ht="16.5" customHeight="1">
      <c r="A5452" s="318" t="str">
        <f>IF(B5452&lt;&gt;"",IF(AND(B5452='IN-TC'!$S$4,OR(TH!N5452="1111",TH!O5452="1111")),TH!D5452,""),"")</f>
        <v/>
      </c>
      <c r="B5452" s="60" t="str">
        <f t="shared" si="506"/>
        <v/>
      </c>
      <c r="C5452" s="61"/>
      <c r="D5452" s="61"/>
      <c r="E5452" s="61"/>
      <c r="F5452" s="69"/>
      <c r="G5452" s="766"/>
      <c r="H5452" s="69"/>
      <c r="I5452" s="385"/>
      <c r="J5452" s="392"/>
      <c r="K5452" s="385"/>
      <c r="L5452" s="392"/>
      <c r="M5452" s="62"/>
      <c r="N5452" s="63"/>
      <c r="O5452" s="63"/>
      <c r="P5452" s="79" t="str">
        <f>IF(AND('331-CT'!$E$7=TH!H5452,OR(N5452="331",O5452="331")),"x","")</f>
        <v/>
      </c>
      <c r="Q5452" s="79" t="str">
        <f>IF(AND(B5452='111'!$L$11,OR($N5452=$Q$7,$O5452=$Q$7)),"x","")</f>
        <v/>
      </c>
      <c r="R5452" s="79" t="str">
        <f>IF(AND($N5452=$Q$7,$B5452&lt;'111'!$L$11),"x","")</f>
        <v/>
      </c>
      <c r="S5452" s="79" t="str">
        <f>IF(AND($O5452=$Q$7,$B5452&lt;'111'!$L$11),"x","")</f>
        <v/>
      </c>
      <c r="T5452" s="79" t="str">
        <f>IF(ISERROR(FIND('112'!$M$9,G5452,1)),"",IF((AND(FIND('112'!$M$9,G5452,1)&gt;=1,B5452='112'!$K$9,OR($N5452='112'!$I$6,$O5452='112'!$I$6))),"x",""))</f>
        <v/>
      </c>
      <c r="U5452" s="79" t="str">
        <f>IF(ISERROR(FIND('112'!$M$9,G5452,1)),"",IF((AND(LEFT(G5452,2)=LEFT('112'!$M$9,2),B5452&lt;'112'!$K$9,$N5452='112'!$I$6)),"x",""))</f>
        <v/>
      </c>
      <c r="V5452" s="79" t="str">
        <f>IF(ISERROR(FIND('112'!$M$9,G5452,1)),"",IF((AND(RIGHT(G5452,2)=RIGHT('112'!$M$9,2),B5452&lt;'112'!$K$9,$O5452='112'!$I$6)),"x",""))</f>
        <v/>
      </c>
      <c r="W5452" s="79" t="str">
        <f>IF(AND('341-CT'!$H$9=H5452,OR(LEFT(N5452,3)=$W$7,LEFT(O5452,3)=$W$7)),"x","")</f>
        <v/>
      </c>
      <c r="X5452" s="79" t="str">
        <f>IF(OR(TH!N5452=TH!$X$7,O5452=TH!$X$7),"x","")</f>
        <v/>
      </c>
      <c r="Y5452" s="79" t="str">
        <f>IF(AND(OR(N5452="131",O5452="131"),H5452='131-CT'!$H$9),"x","")</f>
        <v/>
      </c>
      <c r="Z5452" s="79"/>
      <c r="AA5452" s="79" t="str">
        <f>IF(AND(MONTH(E5452)='IN-NX'!$J$5,'IN-NX'!$D$7=D5452),"x","")</f>
        <v/>
      </c>
      <c r="AB5452" s="79" t="str">
        <f>IF(AND(OR(LEFT(TH!N5452,2)="15",LEFT(TH!O5452,2)="15"),LEFT(TH!O5452,3)&lt;&gt;"111",'152-CT'!$J$8=TH!F5452),"x","")</f>
        <v/>
      </c>
      <c r="AC5452" s="79" t="str">
        <f>IF(AND(OR(LEFT(TH!N5452,2)="15",LEFT(TH!O5452,2)="15"),TK!$E$7=TH!F5452),"x","")</f>
        <v/>
      </c>
      <c r="AD5452" s="79" t="str">
        <f>IF(AND(N5452="1521",MONTH(C5452)='BK-NL'!$M$11),"x","")</f>
        <v/>
      </c>
    </row>
    <row r="5453" spans="1:30" ht="16.5" customHeight="1">
      <c r="A5453" s="318" t="str">
        <f>IF(B5453&lt;&gt;"",IF(AND(B5453='IN-TC'!$S$4,OR(TH!N5453="1111",TH!O5453="1111")),TH!D5453,""),"")</f>
        <v/>
      </c>
      <c r="B5453" s="60" t="str">
        <f t="shared" si="506"/>
        <v/>
      </c>
      <c r="C5453" s="61"/>
      <c r="D5453" s="61"/>
      <c r="E5453" s="61"/>
      <c r="F5453" s="69"/>
      <c r="G5453" s="766"/>
      <c r="H5453" s="69"/>
      <c r="I5453" s="385"/>
      <c r="J5453" s="392"/>
      <c r="K5453" s="385"/>
      <c r="L5453" s="392"/>
      <c r="M5453" s="62"/>
      <c r="N5453" s="63"/>
      <c r="O5453" s="63"/>
      <c r="P5453" s="79" t="str">
        <f>IF(AND('331-CT'!$E$7=TH!H5453,OR(N5453="331",O5453="331")),"x","")</f>
        <v/>
      </c>
      <c r="Q5453" s="79" t="str">
        <f>IF(AND(B5453='111'!$L$11,OR($N5453=$Q$7,$O5453=$Q$7)),"x","")</f>
        <v/>
      </c>
      <c r="R5453" s="79" t="str">
        <f>IF(AND($N5453=$Q$7,$B5453&lt;'111'!$L$11),"x","")</f>
        <v/>
      </c>
      <c r="S5453" s="79" t="str">
        <f>IF(AND($O5453=$Q$7,$B5453&lt;'111'!$L$11),"x","")</f>
        <v/>
      </c>
      <c r="T5453" s="79" t="str">
        <f>IF(ISERROR(FIND('112'!$M$9,G5453,1)),"",IF((AND(FIND('112'!$M$9,G5453,1)&gt;=1,B5453='112'!$K$9,OR($N5453='112'!$I$6,$O5453='112'!$I$6))),"x",""))</f>
        <v/>
      </c>
      <c r="U5453" s="79" t="str">
        <f>IF(ISERROR(FIND('112'!$M$9,G5453,1)),"",IF((AND(LEFT(G5453,2)=LEFT('112'!$M$9,2),B5453&lt;'112'!$K$9,$N5453='112'!$I$6)),"x",""))</f>
        <v/>
      </c>
      <c r="V5453" s="79" t="str">
        <f>IF(ISERROR(FIND('112'!$M$9,G5453,1)),"",IF((AND(RIGHT(G5453,2)=RIGHT('112'!$M$9,2),B5453&lt;'112'!$K$9,$O5453='112'!$I$6)),"x",""))</f>
        <v/>
      </c>
      <c r="W5453" s="79" t="str">
        <f>IF(AND('341-CT'!$H$9=H5453,OR(LEFT(N5453,3)=$W$7,LEFT(O5453,3)=$W$7)),"x","")</f>
        <v/>
      </c>
      <c r="X5453" s="79" t="str">
        <f>IF(OR(TH!N5453=TH!$X$7,O5453=TH!$X$7),"x","")</f>
        <v/>
      </c>
      <c r="Y5453" s="79" t="str">
        <f>IF(AND(OR(N5453="131",O5453="131"),H5453='131-CT'!$H$9),"x","")</f>
        <v/>
      </c>
      <c r="Z5453" s="79"/>
      <c r="AA5453" s="79" t="str">
        <f>IF(AND(MONTH(E5453)='IN-NX'!$J$5,'IN-NX'!$D$7=D5453),"x","")</f>
        <v/>
      </c>
      <c r="AB5453" s="79" t="str">
        <f>IF(AND(OR(LEFT(TH!N5453,2)="15",LEFT(TH!O5453,2)="15"),LEFT(TH!O5453,3)&lt;&gt;"111",'152-CT'!$J$8=TH!F5453),"x","")</f>
        <v/>
      </c>
      <c r="AC5453" s="79" t="str">
        <f>IF(AND(OR(LEFT(TH!N5453,2)="15",LEFT(TH!O5453,2)="15"),TK!$E$7=TH!F5453),"x","")</f>
        <v/>
      </c>
      <c r="AD5453" s="79" t="str">
        <f>IF(AND(N5453="1521",MONTH(C5453)='BK-NL'!$M$11),"x","")</f>
        <v/>
      </c>
    </row>
    <row r="5454" spans="1:30" ht="16.5" customHeight="1">
      <c r="A5454" s="318" t="str">
        <f>IF(B5454&lt;&gt;"",IF(AND(B5454='IN-TC'!$S$4,OR(TH!N5454="1111",TH!O5454="1111")),TH!D5454,""),"")</f>
        <v/>
      </c>
      <c r="B5454" s="60" t="str">
        <f t="shared" si="506"/>
        <v/>
      </c>
      <c r="C5454" s="61"/>
      <c r="D5454" s="61"/>
      <c r="E5454" s="61"/>
      <c r="F5454" s="69"/>
      <c r="G5454" s="766"/>
      <c r="H5454" s="69"/>
      <c r="I5454" s="385"/>
      <c r="J5454" s="392"/>
      <c r="K5454" s="385"/>
      <c r="L5454" s="392"/>
      <c r="M5454" s="62"/>
      <c r="N5454" s="63"/>
      <c r="O5454" s="63"/>
      <c r="P5454" s="79" t="str">
        <f>IF(AND('331-CT'!$E$7=TH!H5454,OR(N5454="331",O5454="331")),"x","")</f>
        <v/>
      </c>
      <c r="Q5454" s="79" t="str">
        <f>IF(AND(B5454='111'!$L$11,OR($N5454=$Q$7,$O5454=$Q$7)),"x","")</f>
        <v/>
      </c>
      <c r="R5454" s="79" t="str">
        <f>IF(AND($N5454=$Q$7,$B5454&lt;'111'!$L$11),"x","")</f>
        <v/>
      </c>
      <c r="S5454" s="79" t="str">
        <f>IF(AND($O5454=$Q$7,$B5454&lt;'111'!$L$11),"x","")</f>
        <v/>
      </c>
      <c r="T5454" s="79" t="str">
        <f>IF(ISERROR(FIND('112'!$M$9,G5454,1)),"",IF((AND(FIND('112'!$M$9,G5454,1)&gt;=1,B5454='112'!$K$9,OR($N5454='112'!$I$6,$O5454='112'!$I$6))),"x",""))</f>
        <v/>
      </c>
      <c r="U5454" s="79" t="str">
        <f>IF(ISERROR(FIND('112'!$M$9,G5454,1)),"",IF((AND(LEFT(G5454,2)=LEFT('112'!$M$9,2),B5454&lt;'112'!$K$9,$N5454='112'!$I$6)),"x",""))</f>
        <v/>
      </c>
      <c r="V5454" s="79" t="str">
        <f>IF(ISERROR(FIND('112'!$M$9,G5454,1)),"",IF((AND(RIGHT(G5454,2)=RIGHT('112'!$M$9,2),B5454&lt;'112'!$K$9,$O5454='112'!$I$6)),"x",""))</f>
        <v/>
      </c>
      <c r="W5454" s="79" t="str">
        <f>IF(AND('341-CT'!$H$9=H5454,OR(LEFT(N5454,3)=$W$7,LEFT(O5454,3)=$W$7)),"x","")</f>
        <v/>
      </c>
      <c r="X5454" s="79" t="str">
        <f>IF(OR(TH!N5454=TH!$X$7,O5454=TH!$X$7),"x","")</f>
        <v/>
      </c>
      <c r="Y5454" s="79" t="str">
        <f>IF(AND(OR(N5454="131",O5454="131"),H5454='131-CT'!$H$9),"x","")</f>
        <v/>
      </c>
      <c r="Z5454" s="79"/>
      <c r="AA5454" s="79" t="str">
        <f>IF(AND(MONTH(E5454)='IN-NX'!$J$5,'IN-NX'!$D$7=D5454),"x","")</f>
        <v/>
      </c>
      <c r="AB5454" s="79" t="str">
        <f>IF(AND(OR(LEFT(TH!N5454,2)="15",LEFT(TH!O5454,2)="15"),LEFT(TH!O5454,3)&lt;&gt;"111",'152-CT'!$J$8=TH!F5454),"x","")</f>
        <v/>
      </c>
      <c r="AC5454" s="79" t="str">
        <f>IF(AND(OR(LEFT(TH!N5454,2)="15",LEFT(TH!O5454,2)="15"),TK!$E$7=TH!F5454),"x","")</f>
        <v/>
      </c>
      <c r="AD5454" s="79" t="str">
        <f>IF(AND(N5454="1521",MONTH(C5454)='BK-NL'!$M$11),"x","")</f>
        <v/>
      </c>
    </row>
    <row r="5455" spans="1:30" ht="16.5" customHeight="1">
      <c r="A5455" s="318" t="str">
        <f>IF(B5455&lt;&gt;"",IF(AND(B5455='IN-TC'!$S$4,OR(TH!N5455="1111",TH!O5455="1111")),TH!D5455,""),"")</f>
        <v/>
      </c>
      <c r="B5455" s="60" t="str">
        <f t="shared" si="506"/>
        <v/>
      </c>
      <c r="C5455" s="61"/>
      <c r="D5455" s="61"/>
      <c r="E5455" s="61"/>
      <c r="F5455" s="69"/>
      <c r="G5455" s="766"/>
      <c r="H5455" s="69"/>
      <c r="I5455" s="385"/>
      <c r="J5455" s="392"/>
      <c r="K5455" s="385"/>
      <c r="L5455" s="392"/>
      <c r="M5455" s="62"/>
      <c r="N5455" s="63"/>
      <c r="O5455" s="63"/>
      <c r="P5455" s="79" t="str">
        <f>IF(AND('331-CT'!$E$7=TH!H5455,OR(N5455="331",O5455="331")),"x","")</f>
        <v/>
      </c>
      <c r="Q5455" s="79" t="str">
        <f>IF(AND(B5455='111'!$L$11,OR($N5455=$Q$7,$O5455=$Q$7)),"x","")</f>
        <v/>
      </c>
      <c r="R5455" s="79" t="str">
        <f>IF(AND($N5455=$Q$7,$B5455&lt;'111'!$L$11),"x","")</f>
        <v/>
      </c>
      <c r="S5455" s="79" t="str">
        <f>IF(AND($O5455=$Q$7,$B5455&lt;'111'!$L$11),"x","")</f>
        <v/>
      </c>
      <c r="T5455" s="79" t="str">
        <f>IF(ISERROR(FIND('112'!$M$9,G5455,1)),"",IF((AND(FIND('112'!$M$9,G5455,1)&gt;=1,B5455='112'!$K$9,OR($N5455='112'!$I$6,$O5455='112'!$I$6))),"x",""))</f>
        <v/>
      </c>
      <c r="U5455" s="79" t="str">
        <f>IF(ISERROR(FIND('112'!$M$9,G5455,1)),"",IF((AND(LEFT(G5455,2)=LEFT('112'!$M$9,2),B5455&lt;'112'!$K$9,$N5455='112'!$I$6)),"x",""))</f>
        <v/>
      </c>
      <c r="V5455" s="79" t="str">
        <f>IF(ISERROR(FIND('112'!$M$9,G5455,1)),"",IF((AND(RIGHT(G5455,2)=RIGHT('112'!$M$9,2),B5455&lt;'112'!$K$9,$O5455='112'!$I$6)),"x",""))</f>
        <v/>
      </c>
      <c r="W5455" s="79" t="str">
        <f>IF(AND('341-CT'!$H$9=H5455,OR(LEFT(N5455,3)=$W$7,LEFT(O5455,3)=$W$7)),"x","")</f>
        <v/>
      </c>
      <c r="X5455" s="79" t="str">
        <f>IF(OR(TH!N5455=TH!$X$7,O5455=TH!$X$7),"x","")</f>
        <v/>
      </c>
      <c r="Y5455" s="79" t="str">
        <f>IF(AND(OR(N5455="131",O5455="131"),H5455='131-CT'!$H$9),"x","")</f>
        <v/>
      </c>
      <c r="Z5455" s="79"/>
      <c r="AA5455" s="79" t="str">
        <f>IF(AND(MONTH(E5455)='IN-NX'!$J$5,'IN-NX'!$D$7=D5455),"x","")</f>
        <v/>
      </c>
      <c r="AB5455" s="79" t="str">
        <f>IF(AND(OR(LEFT(TH!N5455,2)="15",LEFT(TH!O5455,2)="15"),LEFT(TH!O5455,3)&lt;&gt;"111",'152-CT'!$J$8=TH!F5455),"x","")</f>
        <v/>
      </c>
      <c r="AC5455" s="79" t="str">
        <f>IF(AND(OR(LEFT(TH!N5455,2)="15",LEFT(TH!O5455,2)="15"),TK!$E$7=TH!F5455),"x","")</f>
        <v/>
      </c>
      <c r="AD5455" s="79" t="str">
        <f>IF(AND(N5455="1521",MONTH(C5455)='BK-NL'!$M$11),"x","")</f>
        <v/>
      </c>
    </row>
    <row r="5456" spans="1:30" ht="16.5" customHeight="1">
      <c r="A5456" s="318" t="str">
        <f>IF(B5456&lt;&gt;"",IF(AND(B5456='IN-TC'!$S$4,OR(TH!N5456="1111",TH!O5456="1111")),TH!D5456,""),"")</f>
        <v/>
      </c>
      <c r="B5456" s="60" t="str">
        <f t="shared" si="506"/>
        <v/>
      </c>
      <c r="C5456" s="61"/>
      <c r="D5456" s="61"/>
      <c r="E5456" s="61"/>
      <c r="F5456" s="69"/>
      <c r="G5456" s="766"/>
      <c r="H5456" s="69"/>
      <c r="I5456" s="385"/>
      <c r="J5456" s="392"/>
      <c r="K5456" s="385"/>
      <c r="L5456" s="392"/>
      <c r="M5456" s="62"/>
      <c r="N5456" s="63"/>
      <c r="O5456" s="63"/>
      <c r="P5456" s="79" t="str">
        <f>IF(AND('331-CT'!$E$7=TH!H5456,OR(N5456="331",O5456="331")),"x","")</f>
        <v/>
      </c>
      <c r="Q5456" s="79" t="str">
        <f>IF(AND(B5456='111'!$L$11,OR($N5456=$Q$7,$O5456=$Q$7)),"x","")</f>
        <v/>
      </c>
      <c r="R5456" s="79" t="str">
        <f>IF(AND($N5456=$Q$7,$B5456&lt;'111'!$L$11),"x","")</f>
        <v/>
      </c>
      <c r="S5456" s="79" t="str">
        <f>IF(AND($O5456=$Q$7,$B5456&lt;'111'!$L$11),"x","")</f>
        <v/>
      </c>
      <c r="T5456" s="79" t="str">
        <f>IF(ISERROR(FIND('112'!$M$9,G5456,1)),"",IF((AND(FIND('112'!$M$9,G5456,1)&gt;=1,B5456='112'!$K$9,OR($N5456='112'!$I$6,$O5456='112'!$I$6))),"x",""))</f>
        <v/>
      </c>
      <c r="U5456" s="79" t="str">
        <f>IF(ISERROR(FIND('112'!$M$9,G5456,1)),"",IF((AND(LEFT(G5456,2)=LEFT('112'!$M$9,2),B5456&lt;'112'!$K$9,$N5456='112'!$I$6)),"x",""))</f>
        <v/>
      </c>
      <c r="V5456" s="79" t="str">
        <f>IF(ISERROR(FIND('112'!$M$9,G5456,1)),"",IF((AND(RIGHT(G5456,2)=RIGHT('112'!$M$9,2),B5456&lt;'112'!$K$9,$O5456='112'!$I$6)),"x",""))</f>
        <v/>
      </c>
      <c r="W5456" s="79" t="str">
        <f>IF(AND('341-CT'!$H$9=H5456,OR(LEFT(N5456,3)=$W$7,LEFT(O5456,3)=$W$7)),"x","")</f>
        <v/>
      </c>
      <c r="X5456" s="79" t="str">
        <f>IF(OR(TH!N5456=TH!$X$7,O5456=TH!$X$7),"x","")</f>
        <v/>
      </c>
      <c r="Y5456" s="79" t="str">
        <f>IF(AND(OR(N5456="131",O5456="131"),H5456='131-CT'!$H$9),"x","")</f>
        <v/>
      </c>
      <c r="Z5456" s="79"/>
      <c r="AA5456" s="79" t="str">
        <f>IF(AND(MONTH(E5456)='IN-NX'!$J$5,'IN-NX'!$D$7=D5456),"x","")</f>
        <v/>
      </c>
      <c r="AB5456" s="79" t="str">
        <f>IF(AND(OR(LEFT(TH!N5456,2)="15",LEFT(TH!O5456,2)="15"),LEFT(TH!O5456,3)&lt;&gt;"111",'152-CT'!$J$8=TH!F5456),"x","")</f>
        <v/>
      </c>
      <c r="AC5456" s="79" t="str">
        <f>IF(AND(OR(LEFT(TH!N5456,2)="15",LEFT(TH!O5456,2)="15"),TK!$E$7=TH!F5456),"x","")</f>
        <v/>
      </c>
      <c r="AD5456" s="79" t="str">
        <f>IF(AND(N5456="1521",MONTH(C5456)='BK-NL'!$M$11),"x","")</f>
        <v/>
      </c>
    </row>
    <row r="5457" spans="1:30" ht="16.5" customHeight="1">
      <c r="A5457" s="318" t="str">
        <f>IF(B5457&lt;&gt;"",IF(AND(B5457='IN-TC'!$S$4,OR(TH!N5457="1111",TH!O5457="1111")),TH!D5457,""),"")</f>
        <v/>
      </c>
      <c r="B5457" s="60" t="str">
        <f t="shared" si="506"/>
        <v/>
      </c>
      <c r="C5457" s="61"/>
      <c r="D5457" s="61"/>
      <c r="E5457" s="61"/>
      <c r="F5457" s="69"/>
      <c r="G5457" s="766"/>
      <c r="H5457" s="69"/>
      <c r="I5457" s="385"/>
      <c r="J5457" s="392"/>
      <c r="K5457" s="385"/>
      <c r="L5457" s="392"/>
      <c r="M5457" s="62"/>
      <c r="N5457" s="63"/>
      <c r="O5457" s="63"/>
      <c r="P5457" s="79" t="str">
        <f>IF(AND('331-CT'!$E$7=TH!H5457,OR(N5457="331",O5457="331")),"x","")</f>
        <v/>
      </c>
      <c r="Q5457" s="79" t="str">
        <f>IF(AND(B5457='111'!$L$11,OR($N5457=$Q$7,$O5457=$Q$7)),"x","")</f>
        <v/>
      </c>
      <c r="R5457" s="79" t="str">
        <f>IF(AND($N5457=$Q$7,$B5457&lt;'111'!$L$11),"x","")</f>
        <v/>
      </c>
      <c r="S5457" s="79" t="str">
        <f>IF(AND($O5457=$Q$7,$B5457&lt;'111'!$L$11),"x","")</f>
        <v/>
      </c>
      <c r="T5457" s="79" t="str">
        <f>IF(ISERROR(FIND('112'!$M$9,G5457,1)),"",IF((AND(FIND('112'!$M$9,G5457,1)&gt;=1,B5457='112'!$K$9,OR($N5457='112'!$I$6,$O5457='112'!$I$6))),"x",""))</f>
        <v/>
      </c>
      <c r="U5457" s="79" t="str">
        <f>IF(ISERROR(FIND('112'!$M$9,G5457,1)),"",IF((AND(LEFT(G5457,2)=LEFT('112'!$M$9,2),B5457&lt;'112'!$K$9,$N5457='112'!$I$6)),"x",""))</f>
        <v/>
      </c>
      <c r="V5457" s="79" t="str">
        <f>IF(ISERROR(FIND('112'!$M$9,G5457,1)),"",IF((AND(RIGHT(G5457,2)=RIGHT('112'!$M$9,2),B5457&lt;'112'!$K$9,$O5457='112'!$I$6)),"x",""))</f>
        <v/>
      </c>
      <c r="W5457" s="79" t="str">
        <f>IF(AND('341-CT'!$H$9=H5457,OR(LEFT(N5457,3)=$W$7,LEFT(O5457,3)=$W$7)),"x","")</f>
        <v/>
      </c>
      <c r="X5457" s="79" t="str">
        <f>IF(OR(TH!N5457=TH!$X$7,O5457=TH!$X$7),"x","")</f>
        <v/>
      </c>
      <c r="Y5457" s="79" t="str">
        <f>IF(AND(OR(N5457="131",O5457="131"),H5457='131-CT'!$H$9),"x","")</f>
        <v/>
      </c>
      <c r="Z5457" s="79"/>
      <c r="AA5457" s="79" t="str">
        <f>IF(AND(MONTH(E5457)='IN-NX'!$J$5,'IN-NX'!$D$7=D5457),"x","")</f>
        <v/>
      </c>
      <c r="AB5457" s="79" t="str">
        <f>IF(AND(OR(LEFT(TH!N5457,2)="15",LEFT(TH!O5457,2)="15"),LEFT(TH!O5457,3)&lt;&gt;"111",'152-CT'!$J$8=TH!F5457),"x","")</f>
        <v/>
      </c>
      <c r="AC5457" s="79" t="str">
        <f>IF(AND(OR(LEFT(TH!N5457,2)="15",LEFT(TH!O5457,2)="15"),TK!$E$7=TH!F5457),"x","")</f>
        <v/>
      </c>
      <c r="AD5457" s="79" t="str">
        <f>IF(AND(N5457="1521",MONTH(C5457)='BK-NL'!$M$11),"x","")</f>
        <v/>
      </c>
    </row>
    <row r="5458" spans="1:30" ht="16.5" customHeight="1">
      <c r="A5458" s="318" t="str">
        <f>IF(B5458&lt;&gt;"",IF(AND(B5458='IN-TC'!$S$4,OR(TH!N5458="1111",TH!O5458="1111")),TH!D5458,""),"")</f>
        <v/>
      </c>
      <c r="B5458" s="60" t="str">
        <f t="shared" si="506"/>
        <v/>
      </c>
      <c r="C5458" s="61"/>
      <c r="D5458" s="61"/>
      <c r="E5458" s="61"/>
      <c r="F5458" s="69"/>
      <c r="G5458" s="766"/>
      <c r="H5458" s="69"/>
      <c r="I5458" s="385"/>
      <c r="J5458" s="392"/>
      <c r="K5458" s="385"/>
      <c r="L5458" s="392"/>
      <c r="M5458" s="62"/>
      <c r="N5458" s="63"/>
      <c r="O5458" s="63"/>
      <c r="P5458" s="79" t="str">
        <f>IF(AND('331-CT'!$E$7=TH!H5458,OR(N5458="331",O5458="331")),"x","")</f>
        <v/>
      </c>
      <c r="Q5458" s="79" t="str">
        <f>IF(AND(B5458='111'!$L$11,OR($N5458=$Q$7,$O5458=$Q$7)),"x","")</f>
        <v/>
      </c>
      <c r="R5458" s="79" t="str">
        <f>IF(AND($N5458=$Q$7,$B5458&lt;'111'!$L$11),"x","")</f>
        <v/>
      </c>
      <c r="S5458" s="79" t="str">
        <f>IF(AND($O5458=$Q$7,$B5458&lt;'111'!$L$11),"x","")</f>
        <v/>
      </c>
      <c r="T5458" s="79" t="str">
        <f>IF(ISERROR(FIND('112'!$M$9,G5458,1)),"",IF((AND(FIND('112'!$M$9,G5458,1)&gt;=1,B5458='112'!$K$9,OR($N5458='112'!$I$6,$O5458='112'!$I$6))),"x",""))</f>
        <v/>
      </c>
      <c r="U5458" s="79" t="str">
        <f>IF(ISERROR(FIND('112'!$M$9,G5458,1)),"",IF((AND(LEFT(G5458,2)=LEFT('112'!$M$9,2),B5458&lt;'112'!$K$9,$N5458='112'!$I$6)),"x",""))</f>
        <v/>
      </c>
      <c r="V5458" s="79" t="str">
        <f>IF(ISERROR(FIND('112'!$M$9,G5458,1)),"",IF((AND(RIGHT(G5458,2)=RIGHT('112'!$M$9,2),B5458&lt;'112'!$K$9,$O5458='112'!$I$6)),"x",""))</f>
        <v/>
      </c>
      <c r="W5458" s="79" t="str">
        <f>IF(AND('341-CT'!$H$9=H5458,OR(LEFT(N5458,3)=$W$7,LEFT(O5458,3)=$W$7)),"x","")</f>
        <v/>
      </c>
      <c r="X5458" s="79" t="str">
        <f>IF(OR(TH!N5458=TH!$X$7,O5458=TH!$X$7),"x","")</f>
        <v/>
      </c>
      <c r="Y5458" s="79" t="str">
        <f>IF(AND(OR(N5458="131",O5458="131"),H5458='131-CT'!$H$9),"x","")</f>
        <v/>
      </c>
      <c r="Z5458" s="79"/>
      <c r="AA5458" s="79" t="str">
        <f>IF(AND(MONTH(E5458)='IN-NX'!$J$5,'IN-NX'!$D$7=D5458),"x","")</f>
        <v/>
      </c>
      <c r="AB5458" s="79" t="str">
        <f>IF(AND(OR(LEFT(TH!N5458,2)="15",LEFT(TH!O5458,2)="15"),LEFT(TH!O5458,3)&lt;&gt;"111",'152-CT'!$J$8=TH!F5458),"x","")</f>
        <v/>
      </c>
      <c r="AC5458" s="79" t="str">
        <f>IF(AND(OR(LEFT(TH!N5458,2)="15",LEFT(TH!O5458,2)="15"),TK!$E$7=TH!F5458),"x","")</f>
        <v/>
      </c>
      <c r="AD5458" s="79" t="str">
        <f>IF(AND(N5458="1521",MONTH(C5458)='BK-NL'!$M$11),"x","")</f>
        <v/>
      </c>
    </row>
    <row r="5459" spans="1:30" ht="16.5" customHeight="1">
      <c r="A5459" s="318" t="str">
        <f>IF(B5459&lt;&gt;"",IF(AND(B5459='IN-TC'!$S$4,OR(TH!N5459="1111",TH!O5459="1111")),TH!D5459,""),"")</f>
        <v/>
      </c>
      <c r="B5459" s="60" t="str">
        <f t="shared" si="506"/>
        <v/>
      </c>
      <c r="C5459" s="61"/>
      <c r="D5459" s="61"/>
      <c r="E5459" s="61"/>
      <c r="F5459" s="69"/>
      <c r="G5459" s="766"/>
      <c r="H5459" s="69"/>
      <c r="I5459" s="385"/>
      <c r="J5459" s="392"/>
      <c r="K5459" s="385"/>
      <c r="L5459" s="392"/>
      <c r="M5459" s="62"/>
      <c r="N5459" s="63"/>
      <c r="O5459" s="63"/>
      <c r="P5459" s="79" t="str">
        <f>IF(AND('331-CT'!$E$7=TH!H5459,OR(N5459="331",O5459="331")),"x","")</f>
        <v/>
      </c>
      <c r="Q5459" s="79" t="str">
        <f>IF(AND(B5459='111'!$L$11,OR($N5459=$Q$7,$O5459=$Q$7)),"x","")</f>
        <v/>
      </c>
      <c r="R5459" s="79" t="str">
        <f>IF(AND($N5459=$Q$7,$B5459&lt;'111'!$L$11),"x","")</f>
        <v/>
      </c>
      <c r="S5459" s="79" t="str">
        <f>IF(AND($O5459=$Q$7,$B5459&lt;'111'!$L$11),"x","")</f>
        <v/>
      </c>
      <c r="T5459" s="79" t="str">
        <f>IF(ISERROR(FIND('112'!$M$9,G5459,1)),"",IF((AND(FIND('112'!$M$9,G5459,1)&gt;=1,B5459='112'!$K$9,OR($N5459='112'!$I$6,$O5459='112'!$I$6))),"x",""))</f>
        <v/>
      </c>
      <c r="U5459" s="79" t="str">
        <f>IF(ISERROR(FIND('112'!$M$9,G5459,1)),"",IF((AND(LEFT(G5459,2)=LEFT('112'!$M$9,2),B5459&lt;'112'!$K$9,$N5459='112'!$I$6)),"x",""))</f>
        <v/>
      </c>
      <c r="V5459" s="79" t="str">
        <f>IF(ISERROR(FIND('112'!$M$9,G5459,1)),"",IF((AND(RIGHT(G5459,2)=RIGHT('112'!$M$9,2),B5459&lt;'112'!$K$9,$O5459='112'!$I$6)),"x",""))</f>
        <v/>
      </c>
      <c r="W5459" s="79" t="str">
        <f>IF(AND('341-CT'!$H$9=H5459,OR(LEFT(N5459,3)=$W$7,LEFT(O5459,3)=$W$7)),"x","")</f>
        <v/>
      </c>
      <c r="X5459" s="79" t="str">
        <f>IF(OR(TH!N5459=TH!$X$7,O5459=TH!$X$7),"x","")</f>
        <v/>
      </c>
      <c r="Y5459" s="79" t="str">
        <f>IF(AND(OR(N5459="131",O5459="131"),H5459='131-CT'!$H$9),"x","")</f>
        <v/>
      </c>
      <c r="Z5459" s="79"/>
      <c r="AA5459" s="79" t="str">
        <f>IF(AND(MONTH(E5459)='IN-NX'!$J$5,'IN-NX'!$D$7=D5459),"x","")</f>
        <v/>
      </c>
      <c r="AB5459" s="79" t="str">
        <f>IF(AND(OR(LEFT(TH!N5459,2)="15",LEFT(TH!O5459,2)="15"),LEFT(TH!O5459,3)&lt;&gt;"111",'152-CT'!$J$8=TH!F5459),"x","")</f>
        <v/>
      </c>
      <c r="AC5459" s="79" t="str">
        <f>IF(AND(OR(LEFT(TH!N5459,2)="15",LEFT(TH!O5459,2)="15"),TK!$E$7=TH!F5459),"x","")</f>
        <v/>
      </c>
      <c r="AD5459" s="79" t="str">
        <f>IF(AND(N5459="1521",MONTH(C5459)='BK-NL'!$M$11),"x","")</f>
        <v/>
      </c>
    </row>
    <row r="5460" spans="1:30" ht="16.5" customHeight="1">
      <c r="A5460" s="318" t="str">
        <f>IF(B5460&lt;&gt;"",IF(AND(B5460='IN-TC'!$S$4,OR(TH!N5460="1111",TH!O5460="1111")),TH!D5460,""),"")</f>
        <v/>
      </c>
      <c r="B5460" s="60" t="str">
        <f t="shared" si="506"/>
        <v/>
      </c>
      <c r="C5460" s="61"/>
      <c r="D5460" s="61"/>
      <c r="E5460" s="61"/>
      <c r="F5460" s="69"/>
      <c r="G5460" s="766"/>
      <c r="H5460" s="69"/>
      <c r="I5460" s="385"/>
      <c r="J5460" s="392"/>
      <c r="K5460" s="385"/>
      <c r="L5460" s="392"/>
      <c r="M5460" s="62"/>
      <c r="N5460" s="63"/>
      <c r="O5460" s="63"/>
      <c r="P5460" s="79" t="str">
        <f>IF(AND('331-CT'!$E$7=TH!H5460,OR(N5460="331",O5460="331")),"x","")</f>
        <v/>
      </c>
      <c r="Q5460" s="79" t="str">
        <f>IF(AND(B5460='111'!$L$11,OR($N5460=$Q$7,$O5460=$Q$7)),"x","")</f>
        <v/>
      </c>
      <c r="R5460" s="79" t="str">
        <f>IF(AND($N5460=$Q$7,$B5460&lt;'111'!$L$11),"x","")</f>
        <v/>
      </c>
      <c r="S5460" s="79" t="str">
        <f>IF(AND($O5460=$Q$7,$B5460&lt;'111'!$L$11),"x","")</f>
        <v/>
      </c>
      <c r="T5460" s="79" t="str">
        <f>IF(ISERROR(FIND('112'!$M$9,G5460,1)),"",IF((AND(FIND('112'!$M$9,G5460,1)&gt;=1,B5460='112'!$K$9,OR($N5460='112'!$I$6,$O5460='112'!$I$6))),"x",""))</f>
        <v/>
      </c>
      <c r="U5460" s="79" t="str">
        <f>IF(ISERROR(FIND('112'!$M$9,G5460,1)),"",IF((AND(LEFT(G5460,2)=LEFT('112'!$M$9,2),B5460&lt;'112'!$K$9,$N5460='112'!$I$6)),"x",""))</f>
        <v/>
      </c>
      <c r="V5460" s="79" t="str">
        <f>IF(ISERROR(FIND('112'!$M$9,G5460,1)),"",IF((AND(RIGHT(G5460,2)=RIGHT('112'!$M$9,2),B5460&lt;'112'!$K$9,$O5460='112'!$I$6)),"x",""))</f>
        <v/>
      </c>
      <c r="W5460" s="79" t="str">
        <f>IF(AND('341-CT'!$H$9=H5460,OR(LEFT(N5460,3)=$W$7,LEFT(O5460,3)=$W$7)),"x","")</f>
        <v/>
      </c>
      <c r="X5460" s="79" t="str">
        <f>IF(OR(TH!N5460=TH!$X$7,O5460=TH!$X$7),"x","")</f>
        <v/>
      </c>
      <c r="Y5460" s="79" t="str">
        <f>IF(AND(OR(N5460="131",O5460="131"),H5460='131-CT'!$H$9),"x","")</f>
        <v/>
      </c>
      <c r="Z5460" s="79"/>
      <c r="AA5460" s="79" t="str">
        <f>IF(AND(MONTH(E5460)='IN-NX'!$J$5,'IN-NX'!$D$7=D5460),"x","")</f>
        <v/>
      </c>
      <c r="AB5460" s="79" t="str">
        <f>IF(AND(OR(LEFT(TH!N5460,2)="15",LEFT(TH!O5460,2)="15"),LEFT(TH!O5460,3)&lt;&gt;"111",'152-CT'!$J$8=TH!F5460),"x","")</f>
        <v/>
      </c>
      <c r="AC5460" s="79" t="str">
        <f>IF(AND(OR(LEFT(TH!N5460,2)="15",LEFT(TH!O5460,2)="15"),TK!$E$7=TH!F5460),"x","")</f>
        <v/>
      </c>
      <c r="AD5460" s="79" t="str">
        <f>IF(AND(N5460="1521",MONTH(C5460)='BK-NL'!$M$11),"x","")</f>
        <v/>
      </c>
    </row>
    <row r="5461" spans="1:30" ht="16.5" customHeight="1">
      <c r="A5461" s="318" t="str">
        <f>IF(B5461&lt;&gt;"",IF(AND(B5461='IN-TC'!$S$4,OR(TH!N5461="1111",TH!O5461="1111")),TH!D5461,""),"")</f>
        <v/>
      </c>
      <c r="B5461" s="60" t="str">
        <f t="shared" si="506"/>
        <v/>
      </c>
      <c r="C5461" s="61"/>
      <c r="D5461" s="61"/>
      <c r="E5461" s="61"/>
      <c r="F5461" s="69"/>
      <c r="G5461" s="766"/>
      <c r="H5461" s="69"/>
      <c r="I5461" s="385"/>
      <c r="J5461" s="392"/>
      <c r="K5461" s="385"/>
      <c r="L5461" s="392"/>
      <c r="M5461" s="62"/>
      <c r="N5461" s="63"/>
      <c r="O5461" s="63"/>
      <c r="P5461" s="79" t="str">
        <f>IF(AND('331-CT'!$E$7=TH!H5461,OR(N5461="331",O5461="331")),"x","")</f>
        <v/>
      </c>
      <c r="Q5461" s="79" t="str">
        <f>IF(AND(B5461='111'!$L$11,OR($N5461=$Q$7,$O5461=$Q$7)),"x","")</f>
        <v/>
      </c>
      <c r="R5461" s="79" t="str">
        <f>IF(AND($N5461=$Q$7,$B5461&lt;'111'!$L$11),"x","")</f>
        <v/>
      </c>
      <c r="S5461" s="79" t="str">
        <f>IF(AND($O5461=$Q$7,$B5461&lt;'111'!$L$11),"x","")</f>
        <v/>
      </c>
      <c r="T5461" s="79" t="str">
        <f>IF(ISERROR(FIND('112'!$M$9,G5461,1)),"",IF((AND(FIND('112'!$M$9,G5461,1)&gt;=1,B5461='112'!$K$9,OR($N5461='112'!$I$6,$O5461='112'!$I$6))),"x",""))</f>
        <v/>
      </c>
      <c r="U5461" s="79" t="str">
        <f>IF(ISERROR(FIND('112'!$M$9,G5461,1)),"",IF((AND(LEFT(G5461,2)=LEFT('112'!$M$9,2),B5461&lt;'112'!$K$9,$N5461='112'!$I$6)),"x",""))</f>
        <v/>
      </c>
      <c r="V5461" s="79" t="str">
        <f>IF(ISERROR(FIND('112'!$M$9,G5461,1)),"",IF((AND(RIGHT(G5461,2)=RIGHT('112'!$M$9,2),B5461&lt;'112'!$K$9,$O5461='112'!$I$6)),"x",""))</f>
        <v/>
      </c>
      <c r="W5461" s="79" t="str">
        <f>IF(AND('341-CT'!$H$9=H5461,OR(LEFT(N5461,3)=$W$7,LEFT(O5461,3)=$W$7)),"x","")</f>
        <v/>
      </c>
      <c r="X5461" s="79" t="str">
        <f>IF(OR(TH!N5461=TH!$X$7,O5461=TH!$X$7),"x","")</f>
        <v/>
      </c>
      <c r="Y5461" s="79" t="str">
        <f>IF(AND(OR(N5461="131",O5461="131"),H5461='131-CT'!$H$9),"x","")</f>
        <v/>
      </c>
      <c r="Z5461" s="79"/>
      <c r="AA5461" s="79" t="str">
        <f>IF(AND(MONTH(E5461)='IN-NX'!$J$5,'IN-NX'!$D$7=D5461),"x","")</f>
        <v/>
      </c>
      <c r="AB5461" s="79" t="str">
        <f>IF(AND(OR(LEFT(TH!N5461,2)="15",LEFT(TH!O5461,2)="15"),LEFT(TH!O5461,3)&lt;&gt;"111",'152-CT'!$J$8=TH!F5461),"x","")</f>
        <v/>
      </c>
      <c r="AC5461" s="79" t="str">
        <f>IF(AND(OR(LEFT(TH!N5461,2)="15",LEFT(TH!O5461,2)="15"),TK!$E$7=TH!F5461),"x","")</f>
        <v/>
      </c>
      <c r="AD5461" s="79" t="str">
        <f>IF(AND(N5461="1521",MONTH(C5461)='BK-NL'!$M$11),"x","")</f>
        <v/>
      </c>
    </row>
    <row r="5462" spans="1:30" ht="16.5" customHeight="1">
      <c r="A5462" s="318" t="str">
        <f>IF(B5462&lt;&gt;"",IF(AND(B5462='IN-TC'!$S$4,OR(TH!N5462="1111",TH!O5462="1111")),TH!D5462,""),"")</f>
        <v/>
      </c>
      <c r="B5462" s="60" t="str">
        <f t="shared" si="506"/>
        <v/>
      </c>
      <c r="C5462" s="61"/>
      <c r="D5462" s="61"/>
      <c r="E5462" s="61"/>
      <c r="F5462" s="69"/>
      <c r="G5462" s="766"/>
      <c r="H5462" s="69"/>
      <c r="I5462" s="385"/>
      <c r="J5462" s="392"/>
      <c r="K5462" s="385"/>
      <c r="L5462" s="392"/>
      <c r="M5462" s="62"/>
      <c r="N5462" s="63"/>
      <c r="O5462" s="63"/>
      <c r="P5462" s="79" t="str">
        <f>IF(AND('331-CT'!$E$7=TH!H5462,OR(N5462="331",O5462="331")),"x","")</f>
        <v/>
      </c>
      <c r="Q5462" s="79" t="str">
        <f>IF(AND(B5462='111'!$L$11,OR($N5462=$Q$7,$O5462=$Q$7)),"x","")</f>
        <v/>
      </c>
      <c r="R5462" s="79" t="str">
        <f>IF(AND($N5462=$Q$7,$B5462&lt;'111'!$L$11),"x","")</f>
        <v/>
      </c>
      <c r="S5462" s="79" t="str">
        <f>IF(AND($O5462=$Q$7,$B5462&lt;'111'!$L$11),"x","")</f>
        <v/>
      </c>
      <c r="T5462" s="79" t="str">
        <f>IF(ISERROR(FIND('112'!$M$9,G5462,1)),"",IF((AND(FIND('112'!$M$9,G5462,1)&gt;=1,B5462='112'!$K$9,OR($N5462='112'!$I$6,$O5462='112'!$I$6))),"x",""))</f>
        <v/>
      </c>
      <c r="U5462" s="79" t="str">
        <f>IF(ISERROR(FIND('112'!$M$9,G5462,1)),"",IF((AND(LEFT(G5462,2)=LEFT('112'!$M$9,2),B5462&lt;'112'!$K$9,$N5462='112'!$I$6)),"x",""))</f>
        <v/>
      </c>
      <c r="V5462" s="79" t="str">
        <f>IF(ISERROR(FIND('112'!$M$9,G5462,1)),"",IF((AND(RIGHT(G5462,2)=RIGHT('112'!$M$9,2),B5462&lt;'112'!$K$9,$O5462='112'!$I$6)),"x",""))</f>
        <v/>
      </c>
      <c r="W5462" s="79" t="str">
        <f>IF(AND('341-CT'!$H$9=H5462,OR(LEFT(N5462,3)=$W$7,LEFT(O5462,3)=$W$7)),"x","")</f>
        <v/>
      </c>
      <c r="X5462" s="79" t="str">
        <f>IF(OR(TH!N5462=TH!$X$7,O5462=TH!$X$7),"x","")</f>
        <v/>
      </c>
      <c r="Y5462" s="79" t="str">
        <f>IF(AND(OR(N5462="131",O5462="131"),H5462='131-CT'!$H$9),"x","")</f>
        <v/>
      </c>
      <c r="Z5462" s="79"/>
      <c r="AA5462" s="79" t="str">
        <f>IF(AND(MONTH(E5462)='IN-NX'!$J$5,'IN-NX'!$D$7=D5462),"x","")</f>
        <v/>
      </c>
      <c r="AB5462" s="79" t="str">
        <f>IF(AND(OR(LEFT(TH!N5462,2)="15",LEFT(TH!O5462,2)="15"),LEFT(TH!O5462,3)&lt;&gt;"111",'152-CT'!$J$8=TH!F5462),"x","")</f>
        <v/>
      </c>
      <c r="AC5462" s="79" t="str">
        <f>IF(AND(OR(LEFT(TH!N5462,2)="15",LEFT(TH!O5462,2)="15"),TK!$E$7=TH!F5462),"x","")</f>
        <v/>
      </c>
      <c r="AD5462" s="79" t="str">
        <f>IF(AND(N5462="1521",MONTH(C5462)='BK-NL'!$M$11),"x","")</f>
        <v/>
      </c>
    </row>
    <row r="5463" spans="1:30" ht="16.5" customHeight="1">
      <c r="A5463" s="318" t="str">
        <f>IF(B5463&lt;&gt;"",IF(AND(B5463='IN-TC'!$S$4,OR(TH!N5463="1111",TH!O5463="1111")),TH!D5463,""),"")</f>
        <v/>
      </c>
      <c r="B5463" s="60" t="str">
        <f t="shared" si="506"/>
        <v/>
      </c>
      <c r="C5463" s="61"/>
      <c r="D5463" s="61"/>
      <c r="E5463" s="61"/>
      <c r="F5463" s="69"/>
      <c r="G5463" s="766"/>
      <c r="H5463" s="69"/>
      <c r="I5463" s="385"/>
      <c r="J5463" s="392"/>
      <c r="K5463" s="385"/>
      <c r="L5463" s="392"/>
      <c r="M5463" s="62"/>
      <c r="N5463" s="63"/>
      <c r="O5463" s="63"/>
      <c r="P5463" s="79" t="str">
        <f>IF(AND('331-CT'!$E$7=TH!H5463,OR(N5463="331",O5463="331")),"x","")</f>
        <v/>
      </c>
      <c r="Q5463" s="79" t="str">
        <f>IF(AND(B5463='111'!$L$11,OR($N5463=$Q$7,$O5463=$Q$7)),"x","")</f>
        <v/>
      </c>
      <c r="R5463" s="79" t="str">
        <f>IF(AND($N5463=$Q$7,$B5463&lt;'111'!$L$11),"x","")</f>
        <v/>
      </c>
      <c r="S5463" s="79" t="str">
        <f>IF(AND($O5463=$Q$7,$B5463&lt;'111'!$L$11),"x","")</f>
        <v/>
      </c>
      <c r="T5463" s="79" t="str">
        <f>IF(ISERROR(FIND('112'!$M$9,G5463,1)),"",IF((AND(FIND('112'!$M$9,G5463,1)&gt;=1,B5463='112'!$K$9,OR($N5463='112'!$I$6,$O5463='112'!$I$6))),"x",""))</f>
        <v/>
      </c>
      <c r="U5463" s="79" t="str">
        <f>IF(ISERROR(FIND('112'!$M$9,G5463,1)),"",IF((AND(LEFT(G5463,2)=LEFT('112'!$M$9,2),B5463&lt;'112'!$K$9,$N5463='112'!$I$6)),"x",""))</f>
        <v/>
      </c>
      <c r="V5463" s="79" t="str">
        <f>IF(ISERROR(FIND('112'!$M$9,G5463,1)),"",IF((AND(RIGHT(G5463,2)=RIGHT('112'!$M$9,2),B5463&lt;'112'!$K$9,$O5463='112'!$I$6)),"x",""))</f>
        <v/>
      </c>
      <c r="W5463" s="79" t="str">
        <f>IF(AND('341-CT'!$H$9=H5463,OR(LEFT(N5463,3)=$W$7,LEFT(O5463,3)=$W$7)),"x","")</f>
        <v/>
      </c>
      <c r="X5463" s="79" t="str">
        <f>IF(OR(TH!N5463=TH!$X$7,O5463=TH!$X$7),"x","")</f>
        <v/>
      </c>
      <c r="Y5463" s="79" t="str">
        <f>IF(AND(OR(N5463="131",O5463="131"),H5463='131-CT'!$H$9),"x","")</f>
        <v/>
      </c>
      <c r="Z5463" s="79"/>
      <c r="AA5463" s="79" t="str">
        <f>IF(AND(MONTH(E5463)='IN-NX'!$J$5,'IN-NX'!$D$7=D5463),"x","")</f>
        <v/>
      </c>
      <c r="AB5463" s="79" t="str">
        <f>IF(AND(OR(LEFT(TH!N5463,2)="15",LEFT(TH!O5463,2)="15"),LEFT(TH!O5463,3)&lt;&gt;"111",'152-CT'!$J$8=TH!F5463),"x","")</f>
        <v/>
      </c>
      <c r="AC5463" s="79" t="str">
        <f>IF(AND(OR(LEFT(TH!N5463,2)="15",LEFT(TH!O5463,2)="15"),TK!$E$7=TH!F5463),"x","")</f>
        <v/>
      </c>
      <c r="AD5463" s="79" t="str">
        <f>IF(AND(N5463="1521",MONTH(C5463)='BK-NL'!$M$11),"x","")</f>
        <v/>
      </c>
    </row>
    <row r="5464" spans="1:30" ht="16.5" customHeight="1">
      <c r="A5464" s="318" t="str">
        <f>IF(B5464&lt;&gt;"",IF(AND(B5464='IN-TC'!$S$4,OR(TH!N5464="1111",TH!O5464="1111")),TH!D5464,""),"")</f>
        <v/>
      </c>
      <c r="B5464" s="60" t="str">
        <f t="shared" si="506"/>
        <v/>
      </c>
      <c r="C5464" s="61"/>
      <c r="D5464" s="61"/>
      <c r="E5464" s="61"/>
      <c r="F5464" s="69"/>
      <c r="G5464" s="766"/>
      <c r="H5464" s="69"/>
      <c r="I5464" s="385"/>
      <c r="J5464" s="392"/>
      <c r="K5464" s="385"/>
      <c r="L5464" s="392"/>
      <c r="M5464" s="62"/>
      <c r="N5464" s="63"/>
      <c r="O5464" s="63"/>
      <c r="P5464" s="79" t="str">
        <f>IF(AND('331-CT'!$E$7=TH!H5464,OR(N5464="331",O5464="331")),"x","")</f>
        <v/>
      </c>
      <c r="Q5464" s="79" t="str">
        <f>IF(AND(B5464='111'!$L$11,OR($N5464=$Q$7,$O5464=$Q$7)),"x","")</f>
        <v/>
      </c>
      <c r="R5464" s="79" t="str">
        <f>IF(AND($N5464=$Q$7,$B5464&lt;'111'!$L$11),"x","")</f>
        <v/>
      </c>
      <c r="S5464" s="79" t="str">
        <f>IF(AND($O5464=$Q$7,$B5464&lt;'111'!$L$11),"x","")</f>
        <v/>
      </c>
      <c r="T5464" s="79" t="str">
        <f>IF(ISERROR(FIND('112'!$M$9,G5464,1)),"",IF((AND(FIND('112'!$M$9,G5464,1)&gt;=1,B5464='112'!$K$9,OR($N5464='112'!$I$6,$O5464='112'!$I$6))),"x",""))</f>
        <v/>
      </c>
      <c r="U5464" s="79" t="str">
        <f>IF(ISERROR(FIND('112'!$M$9,G5464,1)),"",IF((AND(LEFT(G5464,2)=LEFT('112'!$M$9,2),B5464&lt;'112'!$K$9,$N5464='112'!$I$6)),"x",""))</f>
        <v/>
      </c>
      <c r="V5464" s="79" t="str">
        <f>IF(ISERROR(FIND('112'!$M$9,G5464,1)),"",IF((AND(RIGHT(G5464,2)=RIGHT('112'!$M$9,2),B5464&lt;'112'!$K$9,$O5464='112'!$I$6)),"x",""))</f>
        <v/>
      </c>
      <c r="W5464" s="79" t="str">
        <f>IF(AND('341-CT'!$H$9=H5464,OR(LEFT(N5464,3)=$W$7,LEFT(O5464,3)=$W$7)),"x","")</f>
        <v/>
      </c>
      <c r="X5464" s="79" t="str">
        <f>IF(OR(TH!N5464=TH!$X$7,O5464=TH!$X$7),"x","")</f>
        <v/>
      </c>
      <c r="Y5464" s="79" t="str">
        <f>IF(AND(OR(N5464="131",O5464="131"),H5464='131-CT'!$H$9),"x","")</f>
        <v/>
      </c>
      <c r="Z5464" s="79"/>
      <c r="AA5464" s="79" t="str">
        <f>IF(AND(MONTH(E5464)='IN-NX'!$J$5,'IN-NX'!$D$7=D5464),"x","")</f>
        <v/>
      </c>
      <c r="AB5464" s="79" t="str">
        <f>IF(AND(OR(LEFT(TH!N5464,2)="15",LEFT(TH!O5464,2)="15"),LEFT(TH!O5464,3)&lt;&gt;"111",'152-CT'!$J$8=TH!F5464),"x","")</f>
        <v/>
      </c>
      <c r="AC5464" s="79" t="str">
        <f>IF(AND(OR(LEFT(TH!N5464,2)="15",LEFT(TH!O5464,2)="15"),TK!$E$7=TH!F5464),"x","")</f>
        <v/>
      </c>
      <c r="AD5464" s="79" t="str">
        <f>IF(AND(N5464="1521",MONTH(C5464)='BK-NL'!$M$11),"x","")</f>
        <v/>
      </c>
    </row>
    <row r="5465" spans="1:30" ht="16.5" customHeight="1">
      <c r="A5465" s="318" t="str">
        <f>IF(B5465&lt;&gt;"",IF(AND(B5465='IN-TC'!$S$4,OR(TH!N5465="1111",TH!O5465="1111")),TH!D5465,""),"")</f>
        <v/>
      </c>
      <c r="B5465" s="60" t="str">
        <f t="shared" si="506"/>
        <v/>
      </c>
      <c r="C5465" s="61"/>
      <c r="D5465" s="61"/>
      <c r="E5465" s="61"/>
      <c r="F5465" s="69"/>
      <c r="G5465" s="766"/>
      <c r="H5465" s="69"/>
      <c r="I5465" s="385"/>
      <c r="J5465" s="392"/>
      <c r="K5465" s="385"/>
      <c r="L5465" s="392"/>
      <c r="M5465" s="62"/>
      <c r="N5465" s="63"/>
      <c r="O5465" s="63"/>
      <c r="P5465" s="79" t="str">
        <f>IF(AND('331-CT'!$E$7=TH!H5465,OR(N5465="331",O5465="331")),"x","")</f>
        <v/>
      </c>
      <c r="Q5465" s="79" t="str">
        <f>IF(AND(B5465='111'!$L$11,OR($N5465=$Q$7,$O5465=$Q$7)),"x","")</f>
        <v/>
      </c>
      <c r="R5465" s="79" t="str">
        <f>IF(AND($N5465=$Q$7,$B5465&lt;'111'!$L$11),"x","")</f>
        <v/>
      </c>
      <c r="S5465" s="79" t="str">
        <f>IF(AND($O5465=$Q$7,$B5465&lt;'111'!$L$11),"x","")</f>
        <v/>
      </c>
      <c r="T5465" s="79" t="str">
        <f>IF(ISERROR(FIND('112'!$M$9,G5465,1)),"",IF((AND(FIND('112'!$M$9,G5465,1)&gt;=1,B5465='112'!$K$9,OR($N5465='112'!$I$6,$O5465='112'!$I$6))),"x",""))</f>
        <v/>
      </c>
      <c r="U5465" s="79" t="str">
        <f>IF(ISERROR(FIND('112'!$M$9,G5465,1)),"",IF((AND(LEFT(G5465,2)=LEFT('112'!$M$9,2),B5465&lt;'112'!$K$9,$N5465='112'!$I$6)),"x",""))</f>
        <v/>
      </c>
      <c r="V5465" s="79" t="str">
        <f>IF(ISERROR(FIND('112'!$M$9,G5465,1)),"",IF((AND(RIGHT(G5465,2)=RIGHT('112'!$M$9,2),B5465&lt;'112'!$K$9,$O5465='112'!$I$6)),"x",""))</f>
        <v/>
      </c>
      <c r="W5465" s="79" t="str">
        <f>IF(AND('341-CT'!$H$9=H5465,OR(LEFT(N5465,3)=$W$7,LEFT(O5465,3)=$W$7)),"x","")</f>
        <v/>
      </c>
      <c r="X5465" s="79" t="str">
        <f>IF(OR(TH!N5465=TH!$X$7,O5465=TH!$X$7),"x","")</f>
        <v/>
      </c>
      <c r="Y5465" s="79" t="str">
        <f>IF(AND(OR(N5465="131",O5465="131"),H5465='131-CT'!$H$9),"x","")</f>
        <v/>
      </c>
      <c r="Z5465" s="79"/>
      <c r="AA5465" s="79" t="str">
        <f>IF(AND(MONTH(E5465)='IN-NX'!$J$5,'IN-NX'!$D$7=D5465),"x","")</f>
        <v/>
      </c>
      <c r="AB5465" s="79" t="str">
        <f>IF(AND(OR(LEFT(TH!N5465,2)="15",LEFT(TH!O5465,2)="15"),LEFT(TH!O5465,3)&lt;&gt;"111",'152-CT'!$J$8=TH!F5465),"x","")</f>
        <v/>
      </c>
      <c r="AC5465" s="79" t="str">
        <f>IF(AND(OR(LEFT(TH!N5465,2)="15",LEFT(TH!O5465,2)="15"),TK!$E$7=TH!F5465),"x","")</f>
        <v/>
      </c>
      <c r="AD5465" s="79" t="str">
        <f>IF(AND(N5465="1521",MONTH(C5465)='BK-NL'!$M$11),"x","")</f>
        <v/>
      </c>
    </row>
    <row r="5466" spans="1:30" ht="16.5" customHeight="1">
      <c r="A5466" s="318" t="str">
        <f>IF(B5466&lt;&gt;"",IF(AND(B5466='IN-TC'!$S$4,OR(TH!N5466="1111",TH!O5466="1111")),TH!D5466,""),"")</f>
        <v/>
      </c>
      <c r="B5466" s="60" t="str">
        <f t="shared" si="506"/>
        <v/>
      </c>
      <c r="C5466" s="61"/>
      <c r="D5466" s="61"/>
      <c r="E5466" s="61"/>
      <c r="F5466" s="69"/>
      <c r="G5466" s="766"/>
      <c r="H5466" s="69"/>
      <c r="I5466" s="385"/>
      <c r="J5466" s="392"/>
      <c r="K5466" s="385"/>
      <c r="L5466" s="392"/>
      <c r="M5466" s="62"/>
      <c r="N5466" s="63"/>
      <c r="O5466" s="63"/>
      <c r="P5466" s="79" t="str">
        <f>IF(AND('331-CT'!$E$7=TH!H5466,OR(N5466="331",O5466="331")),"x","")</f>
        <v/>
      </c>
      <c r="Q5466" s="79" t="str">
        <f>IF(AND(B5466='111'!$L$11,OR($N5466=$Q$7,$O5466=$Q$7)),"x","")</f>
        <v/>
      </c>
      <c r="R5466" s="79" t="str">
        <f>IF(AND($N5466=$Q$7,$B5466&lt;'111'!$L$11),"x","")</f>
        <v/>
      </c>
      <c r="S5466" s="79" t="str">
        <f>IF(AND($O5466=$Q$7,$B5466&lt;'111'!$L$11),"x","")</f>
        <v/>
      </c>
      <c r="T5466" s="79" t="str">
        <f>IF(ISERROR(FIND('112'!$M$9,G5466,1)),"",IF((AND(FIND('112'!$M$9,G5466,1)&gt;=1,B5466='112'!$K$9,OR($N5466='112'!$I$6,$O5466='112'!$I$6))),"x",""))</f>
        <v/>
      </c>
      <c r="U5466" s="79" t="str">
        <f>IF(ISERROR(FIND('112'!$M$9,G5466,1)),"",IF((AND(LEFT(G5466,2)=LEFT('112'!$M$9,2),B5466&lt;'112'!$K$9,$N5466='112'!$I$6)),"x",""))</f>
        <v/>
      </c>
      <c r="V5466" s="79" t="str">
        <f>IF(ISERROR(FIND('112'!$M$9,G5466,1)),"",IF((AND(RIGHT(G5466,2)=RIGHT('112'!$M$9,2),B5466&lt;'112'!$K$9,$O5466='112'!$I$6)),"x",""))</f>
        <v/>
      </c>
      <c r="W5466" s="79" t="str">
        <f>IF(AND('341-CT'!$H$9=H5466,OR(LEFT(N5466,3)=$W$7,LEFT(O5466,3)=$W$7)),"x","")</f>
        <v/>
      </c>
      <c r="X5466" s="79" t="str">
        <f>IF(OR(TH!N5466=TH!$X$7,O5466=TH!$X$7),"x","")</f>
        <v/>
      </c>
      <c r="Y5466" s="79" t="str">
        <f>IF(AND(OR(N5466="131",O5466="131"),H5466='131-CT'!$H$9),"x","")</f>
        <v/>
      </c>
      <c r="Z5466" s="79"/>
      <c r="AA5466" s="79" t="str">
        <f>IF(AND(MONTH(E5466)='IN-NX'!$J$5,'IN-NX'!$D$7=D5466),"x","")</f>
        <v/>
      </c>
      <c r="AB5466" s="79" t="str">
        <f>IF(AND(OR(LEFT(TH!N5466,2)="15",LEFT(TH!O5466,2)="15"),LEFT(TH!O5466,3)&lt;&gt;"111",'152-CT'!$J$8=TH!F5466),"x","")</f>
        <v/>
      </c>
      <c r="AC5466" s="79" t="str">
        <f>IF(AND(OR(LEFT(TH!N5466,2)="15",LEFT(TH!O5466,2)="15"),TK!$E$7=TH!F5466),"x","")</f>
        <v/>
      </c>
      <c r="AD5466" s="79" t="str">
        <f>IF(AND(N5466="1521",MONTH(C5466)='BK-NL'!$M$11),"x","")</f>
        <v/>
      </c>
    </row>
    <row r="5467" spans="1:30" ht="16.5" customHeight="1">
      <c r="A5467" s="318" t="str">
        <f>IF(B5467&lt;&gt;"",IF(AND(B5467='IN-TC'!$S$4,OR(TH!N5467="1111",TH!O5467="1111")),TH!D5467,""),"")</f>
        <v/>
      </c>
      <c r="B5467" s="60" t="str">
        <f t="shared" si="506"/>
        <v/>
      </c>
      <c r="C5467" s="61"/>
      <c r="D5467" s="61"/>
      <c r="E5467" s="61"/>
      <c r="F5467" s="69"/>
      <c r="G5467" s="766"/>
      <c r="H5467" s="69"/>
      <c r="I5467" s="385"/>
      <c r="J5467" s="392"/>
      <c r="K5467" s="385"/>
      <c r="L5467" s="392"/>
      <c r="M5467" s="62"/>
      <c r="N5467" s="63"/>
      <c r="O5467" s="63"/>
      <c r="P5467" s="79" t="str">
        <f>IF(AND('331-CT'!$E$7=TH!H5467,OR(N5467="331",O5467="331")),"x","")</f>
        <v/>
      </c>
      <c r="Q5467" s="79" t="str">
        <f>IF(AND(B5467='111'!$L$11,OR($N5467=$Q$7,$O5467=$Q$7)),"x","")</f>
        <v/>
      </c>
      <c r="R5467" s="79" t="str">
        <f>IF(AND($N5467=$Q$7,$B5467&lt;'111'!$L$11),"x","")</f>
        <v/>
      </c>
      <c r="S5467" s="79" t="str">
        <f>IF(AND($O5467=$Q$7,$B5467&lt;'111'!$L$11),"x","")</f>
        <v/>
      </c>
      <c r="T5467" s="79" t="str">
        <f>IF(ISERROR(FIND('112'!$M$9,G5467,1)),"",IF((AND(FIND('112'!$M$9,G5467,1)&gt;=1,B5467='112'!$K$9,OR($N5467='112'!$I$6,$O5467='112'!$I$6))),"x",""))</f>
        <v/>
      </c>
      <c r="U5467" s="79" t="str">
        <f>IF(ISERROR(FIND('112'!$M$9,G5467,1)),"",IF((AND(LEFT(G5467,2)=LEFT('112'!$M$9,2),B5467&lt;'112'!$K$9,$N5467='112'!$I$6)),"x",""))</f>
        <v/>
      </c>
      <c r="V5467" s="79" t="str">
        <f>IF(ISERROR(FIND('112'!$M$9,G5467,1)),"",IF((AND(RIGHT(G5467,2)=RIGHT('112'!$M$9,2),B5467&lt;'112'!$K$9,$O5467='112'!$I$6)),"x",""))</f>
        <v/>
      </c>
      <c r="W5467" s="79" t="str">
        <f>IF(AND('341-CT'!$H$9=H5467,OR(LEFT(N5467,3)=$W$7,LEFT(O5467,3)=$W$7)),"x","")</f>
        <v/>
      </c>
      <c r="X5467" s="79" t="str">
        <f>IF(OR(TH!N5467=TH!$X$7,O5467=TH!$X$7),"x","")</f>
        <v/>
      </c>
      <c r="Y5467" s="79" t="str">
        <f>IF(AND(OR(N5467="131",O5467="131"),H5467='131-CT'!$H$9),"x","")</f>
        <v/>
      </c>
      <c r="Z5467" s="79"/>
      <c r="AA5467" s="79" t="str">
        <f>IF(AND(MONTH(E5467)='IN-NX'!$J$5,'IN-NX'!$D$7=D5467),"x","")</f>
        <v/>
      </c>
      <c r="AB5467" s="79" t="str">
        <f>IF(AND(OR(LEFT(TH!N5467,2)="15",LEFT(TH!O5467,2)="15"),LEFT(TH!O5467,3)&lt;&gt;"111",'152-CT'!$J$8=TH!F5467),"x","")</f>
        <v/>
      </c>
      <c r="AC5467" s="79" t="str">
        <f>IF(AND(OR(LEFT(TH!N5467,2)="15",LEFT(TH!O5467,2)="15"),TK!$E$7=TH!F5467),"x","")</f>
        <v/>
      </c>
      <c r="AD5467" s="79" t="str">
        <f>IF(AND(N5467="1521",MONTH(C5467)='BK-NL'!$M$11),"x","")</f>
        <v/>
      </c>
    </row>
    <row r="5468" spans="1:30" ht="16.5" customHeight="1">
      <c r="A5468" s="318" t="str">
        <f>IF(B5468&lt;&gt;"",IF(AND(B5468='IN-TC'!$S$4,OR(TH!N5468="1111",TH!O5468="1111")),TH!D5468,""),"")</f>
        <v/>
      </c>
      <c r="B5468" s="60" t="str">
        <f t="shared" si="506"/>
        <v/>
      </c>
      <c r="C5468" s="61"/>
      <c r="D5468" s="61"/>
      <c r="E5468" s="61"/>
      <c r="F5468" s="69"/>
      <c r="G5468" s="766"/>
      <c r="H5468" s="69"/>
      <c r="I5468" s="385"/>
      <c r="J5468" s="392"/>
      <c r="K5468" s="385"/>
      <c r="L5468" s="392"/>
      <c r="M5468" s="62"/>
      <c r="N5468" s="63"/>
      <c r="O5468" s="63"/>
      <c r="P5468" s="79" t="str">
        <f>IF(AND('331-CT'!$E$7=TH!H5468,OR(N5468="331",O5468="331")),"x","")</f>
        <v/>
      </c>
      <c r="Q5468" s="79" t="str">
        <f>IF(AND(B5468='111'!$L$11,OR($N5468=$Q$7,$O5468=$Q$7)),"x","")</f>
        <v/>
      </c>
      <c r="R5468" s="79" t="str">
        <f>IF(AND($N5468=$Q$7,$B5468&lt;'111'!$L$11),"x","")</f>
        <v/>
      </c>
      <c r="S5468" s="79" t="str">
        <f>IF(AND($O5468=$Q$7,$B5468&lt;'111'!$L$11),"x","")</f>
        <v/>
      </c>
      <c r="T5468" s="79" t="str">
        <f>IF(ISERROR(FIND('112'!$M$9,G5468,1)),"",IF((AND(FIND('112'!$M$9,G5468,1)&gt;=1,B5468='112'!$K$9,OR($N5468='112'!$I$6,$O5468='112'!$I$6))),"x",""))</f>
        <v/>
      </c>
      <c r="U5468" s="79" t="str">
        <f>IF(ISERROR(FIND('112'!$M$9,G5468,1)),"",IF((AND(LEFT(G5468,2)=LEFT('112'!$M$9,2),B5468&lt;'112'!$K$9,$N5468='112'!$I$6)),"x",""))</f>
        <v/>
      </c>
      <c r="V5468" s="79" t="str">
        <f>IF(ISERROR(FIND('112'!$M$9,G5468,1)),"",IF((AND(RIGHT(G5468,2)=RIGHT('112'!$M$9,2),B5468&lt;'112'!$K$9,$O5468='112'!$I$6)),"x",""))</f>
        <v/>
      </c>
      <c r="W5468" s="79" t="str">
        <f>IF(AND('341-CT'!$H$9=H5468,OR(LEFT(N5468,3)=$W$7,LEFT(O5468,3)=$W$7)),"x","")</f>
        <v/>
      </c>
      <c r="X5468" s="79" t="str">
        <f>IF(OR(TH!N5468=TH!$X$7,O5468=TH!$X$7),"x","")</f>
        <v/>
      </c>
      <c r="Y5468" s="79" t="str">
        <f>IF(AND(OR(N5468="131",O5468="131"),H5468='131-CT'!$H$9),"x","")</f>
        <v/>
      </c>
      <c r="Z5468" s="79"/>
      <c r="AA5468" s="79" t="str">
        <f>IF(AND(MONTH(E5468)='IN-NX'!$J$5,'IN-NX'!$D$7=D5468),"x","")</f>
        <v/>
      </c>
      <c r="AB5468" s="79" t="str">
        <f>IF(AND(OR(LEFT(TH!N5468,2)="15",LEFT(TH!O5468,2)="15"),LEFT(TH!O5468,3)&lt;&gt;"111",'152-CT'!$J$8=TH!F5468),"x","")</f>
        <v/>
      </c>
      <c r="AC5468" s="79" t="str">
        <f>IF(AND(OR(LEFT(TH!N5468,2)="15",LEFT(TH!O5468,2)="15"),TK!$E$7=TH!F5468),"x","")</f>
        <v/>
      </c>
      <c r="AD5468" s="79" t="str">
        <f>IF(AND(N5468="1521",MONTH(C5468)='BK-NL'!$M$11),"x","")</f>
        <v/>
      </c>
    </row>
    <row r="5469" spans="1:30" ht="16.5" customHeight="1">
      <c r="A5469" s="318" t="str">
        <f>IF(B5469&lt;&gt;"",IF(AND(B5469='IN-TC'!$S$4,OR(TH!N5469="1111",TH!O5469="1111")),TH!D5469,""),"")</f>
        <v/>
      </c>
      <c r="B5469" s="60" t="str">
        <f t="shared" si="506"/>
        <v/>
      </c>
      <c r="C5469" s="61"/>
      <c r="D5469" s="61"/>
      <c r="E5469" s="61"/>
      <c r="F5469" s="69"/>
      <c r="G5469" s="766"/>
      <c r="H5469" s="69"/>
      <c r="I5469" s="385"/>
      <c r="J5469" s="392"/>
      <c r="K5469" s="385"/>
      <c r="L5469" s="392"/>
      <c r="M5469" s="62"/>
      <c r="N5469" s="63"/>
      <c r="O5469" s="63"/>
      <c r="P5469" s="79" t="str">
        <f>IF(AND('331-CT'!$E$7=TH!H5469,OR(N5469="331",O5469="331")),"x","")</f>
        <v/>
      </c>
      <c r="Q5469" s="79" t="str">
        <f>IF(AND(B5469='111'!$L$11,OR($N5469=$Q$7,$O5469=$Q$7)),"x","")</f>
        <v/>
      </c>
      <c r="R5469" s="79" t="str">
        <f>IF(AND($N5469=$Q$7,$B5469&lt;'111'!$L$11),"x","")</f>
        <v/>
      </c>
      <c r="S5469" s="79" t="str">
        <f>IF(AND($O5469=$Q$7,$B5469&lt;'111'!$L$11),"x","")</f>
        <v/>
      </c>
      <c r="T5469" s="79" t="str">
        <f>IF(ISERROR(FIND('112'!$M$9,G5469,1)),"",IF((AND(FIND('112'!$M$9,G5469,1)&gt;=1,B5469='112'!$K$9,OR($N5469='112'!$I$6,$O5469='112'!$I$6))),"x",""))</f>
        <v/>
      </c>
      <c r="U5469" s="79" t="str">
        <f>IF(ISERROR(FIND('112'!$M$9,G5469,1)),"",IF((AND(LEFT(G5469,2)=LEFT('112'!$M$9,2),B5469&lt;'112'!$K$9,$N5469='112'!$I$6)),"x",""))</f>
        <v/>
      </c>
      <c r="V5469" s="79" t="str">
        <f>IF(ISERROR(FIND('112'!$M$9,G5469,1)),"",IF((AND(RIGHT(G5469,2)=RIGHT('112'!$M$9,2),B5469&lt;'112'!$K$9,$O5469='112'!$I$6)),"x",""))</f>
        <v/>
      </c>
      <c r="W5469" s="79" t="str">
        <f>IF(AND('341-CT'!$H$9=H5469,OR(LEFT(N5469,3)=$W$7,LEFT(O5469,3)=$W$7)),"x","")</f>
        <v/>
      </c>
      <c r="X5469" s="79" t="str">
        <f>IF(OR(TH!N5469=TH!$X$7,O5469=TH!$X$7),"x","")</f>
        <v/>
      </c>
      <c r="Y5469" s="79" t="str">
        <f>IF(AND(OR(N5469="131",O5469="131"),H5469='131-CT'!$H$9),"x","")</f>
        <v/>
      </c>
      <c r="Z5469" s="79"/>
      <c r="AA5469" s="79" t="str">
        <f>IF(AND(MONTH(E5469)='IN-NX'!$J$5,'IN-NX'!$D$7=D5469),"x","")</f>
        <v/>
      </c>
      <c r="AB5469" s="79" t="str">
        <f>IF(AND(OR(LEFT(TH!N5469,2)="15",LEFT(TH!O5469,2)="15"),LEFT(TH!O5469,3)&lt;&gt;"111",'152-CT'!$J$8=TH!F5469),"x","")</f>
        <v/>
      </c>
      <c r="AC5469" s="79" t="str">
        <f>IF(AND(OR(LEFT(TH!N5469,2)="15",LEFT(TH!O5469,2)="15"),TK!$E$7=TH!F5469),"x","")</f>
        <v/>
      </c>
      <c r="AD5469" s="79" t="str">
        <f>IF(AND(N5469="1521",MONTH(C5469)='BK-NL'!$M$11),"x","")</f>
        <v/>
      </c>
    </row>
    <row r="5470" spans="1:30" ht="16.5" customHeight="1">
      <c r="A5470" s="318" t="str">
        <f>IF(B5470&lt;&gt;"",IF(AND(B5470='IN-TC'!$S$4,OR(TH!N5470="1111",TH!O5470="1111")),TH!D5470,""),"")</f>
        <v/>
      </c>
      <c r="B5470" s="60" t="str">
        <f t="shared" si="506"/>
        <v/>
      </c>
      <c r="C5470" s="61"/>
      <c r="D5470" s="61"/>
      <c r="E5470" s="61"/>
      <c r="F5470" s="69"/>
      <c r="G5470" s="766"/>
      <c r="H5470" s="69"/>
      <c r="I5470" s="385"/>
      <c r="J5470" s="392"/>
      <c r="K5470" s="385"/>
      <c r="L5470" s="392"/>
      <c r="M5470" s="62"/>
      <c r="N5470" s="63"/>
      <c r="O5470" s="63"/>
      <c r="P5470" s="79" t="str">
        <f>IF(AND('331-CT'!$E$7=TH!H5470,OR(N5470="331",O5470="331")),"x","")</f>
        <v/>
      </c>
      <c r="Q5470" s="79" t="str">
        <f>IF(AND(B5470='111'!$L$11,OR($N5470=$Q$7,$O5470=$Q$7)),"x","")</f>
        <v/>
      </c>
      <c r="R5470" s="79" t="str">
        <f>IF(AND($N5470=$Q$7,$B5470&lt;'111'!$L$11),"x","")</f>
        <v/>
      </c>
      <c r="S5470" s="79" t="str">
        <f>IF(AND($O5470=$Q$7,$B5470&lt;'111'!$L$11),"x","")</f>
        <v/>
      </c>
      <c r="T5470" s="79" t="str">
        <f>IF(ISERROR(FIND('112'!$M$9,G5470,1)),"",IF((AND(FIND('112'!$M$9,G5470,1)&gt;=1,B5470='112'!$K$9,OR($N5470='112'!$I$6,$O5470='112'!$I$6))),"x",""))</f>
        <v/>
      </c>
      <c r="U5470" s="79" t="str">
        <f>IF(ISERROR(FIND('112'!$M$9,G5470,1)),"",IF((AND(LEFT(G5470,2)=LEFT('112'!$M$9,2),B5470&lt;'112'!$K$9,$N5470='112'!$I$6)),"x",""))</f>
        <v/>
      </c>
      <c r="V5470" s="79" t="str">
        <f>IF(ISERROR(FIND('112'!$M$9,G5470,1)),"",IF((AND(RIGHT(G5470,2)=RIGHT('112'!$M$9,2),B5470&lt;'112'!$K$9,$O5470='112'!$I$6)),"x",""))</f>
        <v/>
      </c>
      <c r="W5470" s="79" t="str">
        <f>IF(AND('341-CT'!$H$9=H5470,OR(LEFT(N5470,3)=$W$7,LEFT(O5470,3)=$W$7)),"x","")</f>
        <v/>
      </c>
      <c r="X5470" s="79" t="str">
        <f>IF(OR(TH!N5470=TH!$X$7,O5470=TH!$X$7),"x","")</f>
        <v/>
      </c>
      <c r="Y5470" s="79" t="str">
        <f>IF(AND(OR(N5470="131",O5470="131"),H5470='131-CT'!$H$9),"x","")</f>
        <v/>
      </c>
      <c r="Z5470" s="79"/>
      <c r="AA5470" s="79" t="str">
        <f>IF(AND(MONTH(E5470)='IN-NX'!$J$5,'IN-NX'!$D$7=D5470),"x","")</f>
        <v/>
      </c>
      <c r="AB5470" s="79" t="str">
        <f>IF(AND(OR(LEFT(TH!N5470,2)="15",LEFT(TH!O5470,2)="15"),LEFT(TH!O5470,3)&lt;&gt;"111",'152-CT'!$J$8=TH!F5470),"x","")</f>
        <v/>
      </c>
      <c r="AC5470" s="79" t="str">
        <f>IF(AND(OR(LEFT(TH!N5470,2)="15",LEFT(TH!O5470,2)="15"),TK!$E$7=TH!F5470),"x","")</f>
        <v/>
      </c>
      <c r="AD5470" s="79" t="str">
        <f>IF(AND(N5470="1521",MONTH(C5470)='BK-NL'!$M$11),"x","")</f>
        <v/>
      </c>
    </row>
    <row r="5471" spans="1:30" ht="16.5" customHeight="1">
      <c r="A5471" s="318" t="str">
        <f>IF(B5471&lt;&gt;"",IF(AND(B5471='IN-TC'!$S$4,OR(TH!N5471="1111",TH!O5471="1111")),TH!D5471,""),"")</f>
        <v/>
      </c>
      <c r="B5471" s="60" t="str">
        <f t="shared" si="506"/>
        <v/>
      </c>
      <c r="C5471" s="61"/>
      <c r="D5471" s="61"/>
      <c r="E5471" s="61"/>
      <c r="F5471" s="69"/>
      <c r="G5471" s="766"/>
      <c r="H5471" s="69"/>
      <c r="I5471" s="385"/>
      <c r="J5471" s="392"/>
      <c r="K5471" s="385"/>
      <c r="L5471" s="392"/>
      <c r="M5471" s="62"/>
      <c r="N5471" s="63"/>
      <c r="O5471" s="63"/>
      <c r="P5471" s="79" t="str">
        <f>IF(AND('331-CT'!$E$7=TH!H5471,OR(N5471="331",O5471="331")),"x","")</f>
        <v/>
      </c>
      <c r="Q5471" s="79" t="str">
        <f>IF(AND(B5471='111'!$L$11,OR($N5471=$Q$7,$O5471=$Q$7)),"x","")</f>
        <v/>
      </c>
      <c r="R5471" s="79" t="str">
        <f>IF(AND($N5471=$Q$7,$B5471&lt;'111'!$L$11),"x","")</f>
        <v/>
      </c>
      <c r="S5471" s="79" t="str">
        <f>IF(AND($O5471=$Q$7,$B5471&lt;'111'!$L$11),"x","")</f>
        <v/>
      </c>
      <c r="T5471" s="79" t="str">
        <f>IF(ISERROR(FIND('112'!$M$9,G5471,1)),"",IF((AND(FIND('112'!$M$9,G5471,1)&gt;=1,B5471='112'!$K$9,OR($N5471='112'!$I$6,$O5471='112'!$I$6))),"x",""))</f>
        <v/>
      </c>
      <c r="U5471" s="79" t="str">
        <f>IF(ISERROR(FIND('112'!$M$9,G5471,1)),"",IF((AND(LEFT(G5471,2)=LEFT('112'!$M$9,2),B5471&lt;'112'!$K$9,$N5471='112'!$I$6)),"x",""))</f>
        <v/>
      </c>
      <c r="V5471" s="79" t="str">
        <f>IF(ISERROR(FIND('112'!$M$9,G5471,1)),"",IF((AND(RIGHT(G5471,2)=RIGHT('112'!$M$9,2),B5471&lt;'112'!$K$9,$O5471='112'!$I$6)),"x",""))</f>
        <v/>
      </c>
      <c r="W5471" s="79" t="str">
        <f>IF(AND('341-CT'!$H$9=H5471,OR(LEFT(N5471,3)=$W$7,LEFT(O5471,3)=$W$7)),"x","")</f>
        <v/>
      </c>
      <c r="X5471" s="79" t="str">
        <f>IF(OR(TH!N5471=TH!$X$7,O5471=TH!$X$7),"x","")</f>
        <v/>
      </c>
      <c r="Y5471" s="79" t="str">
        <f>IF(AND(OR(N5471="131",O5471="131"),H5471='131-CT'!$H$9),"x","")</f>
        <v/>
      </c>
      <c r="Z5471" s="79"/>
      <c r="AA5471" s="79" t="str">
        <f>IF(AND(MONTH(E5471)='IN-NX'!$J$5,'IN-NX'!$D$7=D5471),"x","")</f>
        <v/>
      </c>
      <c r="AB5471" s="79" t="str">
        <f>IF(AND(OR(LEFT(TH!N5471,2)="15",LEFT(TH!O5471,2)="15"),LEFT(TH!O5471,3)&lt;&gt;"111",'152-CT'!$J$8=TH!F5471),"x","")</f>
        <v/>
      </c>
      <c r="AC5471" s="79" t="str">
        <f>IF(AND(OR(LEFT(TH!N5471,2)="15",LEFT(TH!O5471,2)="15"),TK!$E$7=TH!F5471),"x","")</f>
        <v/>
      </c>
      <c r="AD5471" s="79" t="str">
        <f>IF(AND(N5471="1521",MONTH(C5471)='BK-NL'!$M$11),"x","")</f>
        <v/>
      </c>
    </row>
    <row r="5472" spans="1:30" ht="16.5" customHeight="1">
      <c r="A5472" s="318" t="str">
        <f>IF(B5472&lt;&gt;"",IF(AND(B5472='IN-TC'!$S$4,OR(TH!N5472="1111",TH!O5472="1111")),TH!D5472,""),"")</f>
        <v/>
      </c>
      <c r="B5472" s="60" t="str">
        <f t="shared" si="506"/>
        <v/>
      </c>
      <c r="C5472" s="61"/>
      <c r="D5472" s="61"/>
      <c r="E5472" s="61"/>
      <c r="F5472" s="69"/>
      <c r="G5472" s="766"/>
      <c r="H5472" s="69"/>
      <c r="I5472" s="385"/>
      <c r="J5472" s="392"/>
      <c r="K5472" s="385"/>
      <c r="L5472" s="392"/>
      <c r="M5472" s="62"/>
      <c r="N5472" s="63"/>
      <c r="O5472" s="63"/>
      <c r="P5472" s="79" t="str">
        <f>IF(AND('331-CT'!$E$7=TH!H5472,OR(N5472="331",O5472="331")),"x","")</f>
        <v/>
      </c>
      <c r="Q5472" s="79" t="str">
        <f>IF(AND(B5472='111'!$L$11,OR($N5472=$Q$7,$O5472=$Q$7)),"x","")</f>
        <v/>
      </c>
      <c r="R5472" s="79" t="str">
        <f>IF(AND($N5472=$Q$7,$B5472&lt;'111'!$L$11),"x","")</f>
        <v/>
      </c>
      <c r="S5472" s="79" t="str">
        <f>IF(AND($O5472=$Q$7,$B5472&lt;'111'!$L$11),"x","")</f>
        <v/>
      </c>
      <c r="T5472" s="79" t="str">
        <f>IF(ISERROR(FIND('112'!$M$9,G5472,1)),"",IF((AND(FIND('112'!$M$9,G5472,1)&gt;=1,B5472='112'!$K$9,OR($N5472='112'!$I$6,$O5472='112'!$I$6))),"x",""))</f>
        <v/>
      </c>
      <c r="U5472" s="79" t="str">
        <f>IF(ISERROR(FIND('112'!$M$9,G5472,1)),"",IF((AND(LEFT(G5472,2)=LEFT('112'!$M$9,2),B5472&lt;'112'!$K$9,$N5472='112'!$I$6)),"x",""))</f>
        <v/>
      </c>
      <c r="V5472" s="79" t="str">
        <f>IF(ISERROR(FIND('112'!$M$9,G5472,1)),"",IF((AND(RIGHT(G5472,2)=RIGHT('112'!$M$9,2),B5472&lt;'112'!$K$9,$O5472='112'!$I$6)),"x",""))</f>
        <v/>
      </c>
      <c r="W5472" s="79" t="str">
        <f>IF(AND('341-CT'!$H$9=H5472,OR(LEFT(N5472,3)=$W$7,LEFT(O5472,3)=$W$7)),"x","")</f>
        <v/>
      </c>
      <c r="X5472" s="79" t="str">
        <f>IF(OR(TH!N5472=TH!$X$7,O5472=TH!$X$7),"x","")</f>
        <v/>
      </c>
      <c r="Y5472" s="79" t="str">
        <f>IF(AND(OR(N5472="131",O5472="131"),H5472='131-CT'!$H$9),"x","")</f>
        <v/>
      </c>
      <c r="Z5472" s="79"/>
      <c r="AA5472" s="79" t="str">
        <f>IF(AND(MONTH(E5472)='IN-NX'!$J$5,'IN-NX'!$D$7=D5472),"x","")</f>
        <v/>
      </c>
      <c r="AB5472" s="79" t="str">
        <f>IF(AND(OR(LEFT(TH!N5472,2)="15",LEFT(TH!O5472,2)="15"),LEFT(TH!O5472,3)&lt;&gt;"111",'152-CT'!$J$8=TH!F5472),"x","")</f>
        <v/>
      </c>
      <c r="AC5472" s="79" t="str">
        <f>IF(AND(OR(LEFT(TH!N5472,2)="15",LEFT(TH!O5472,2)="15"),TK!$E$7=TH!F5472),"x","")</f>
        <v/>
      </c>
      <c r="AD5472" s="79" t="str">
        <f>IF(AND(N5472="1521",MONTH(C5472)='BK-NL'!$M$11),"x","")</f>
        <v/>
      </c>
    </row>
    <row r="5473" spans="1:30" ht="16.5" customHeight="1">
      <c r="A5473" s="318" t="str">
        <f>IF(B5473&lt;&gt;"",IF(AND(B5473='IN-TC'!$S$4,OR(TH!N5473="1111",TH!O5473="1111")),TH!D5473,""),"")</f>
        <v/>
      </c>
      <c r="B5473" s="60" t="str">
        <f t="shared" si="506"/>
        <v/>
      </c>
      <c r="C5473" s="61"/>
      <c r="D5473" s="61"/>
      <c r="E5473" s="61"/>
      <c r="F5473" s="69"/>
      <c r="G5473" s="766"/>
      <c r="H5473" s="69"/>
      <c r="I5473" s="385"/>
      <c r="J5473" s="392"/>
      <c r="K5473" s="385"/>
      <c r="L5473" s="392"/>
      <c r="M5473" s="62"/>
      <c r="N5473" s="63"/>
      <c r="O5473" s="63"/>
      <c r="P5473" s="79" t="str">
        <f>IF(AND('331-CT'!$E$7=TH!H5473,OR(N5473="331",O5473="331")),"x","")</f>
        <v/>
      </c>
      <c r="Q5473" s="79" t="str">
        <f>IF(AND(B5473='111'!$L$11,OR($N5473=$Q$7,$O5473=$Q$7)),"x","")</f>
        <v/>
      </c>
      <c r="R5473" s="79" t="str">
        <f>IF(AND($N5473=$Q$7,$B5473&lt;'111'!$L$11),"x","")</f>
        <v/>
      </c>
      <c r="S5473" s="79" t="str">
        <f>IF(AND($O5473=$Q$7,$B5473&lt;'111'!$L$11),"x","")</f>
        <v/>
      </c>
      <c r="T5473" s="79" t="str">
        <f>IF(ISERROR(FIND('112'!$M$9,G5473,1)),"",IF((AND(FIND('112'!$M$9,G5473,1)&gt;=1,B5473='112'!$K$9,OR($N5473='112'!$I$6,$O5473='112'!$I$6))),"x",""))</f>
        <v/>
      </c>
      <c r="U5473" s="79" t="str">
        <f>IF(ISERROR(FIND('112'!$M$9,G5473,1)),"",IF((AND(LEFT(G5473,2)=LEFT('112'!$M$9,2),B5473&lt;'112'!$K$9,$N5473='112'!$I$6)),"x",""))</f>
        <v/>
      </c>
      <c r="V5473" s="79" t="str">
        <f>IF(ISERROR(FIND('112'!$M$9,G5473,1)),"",IF((AND(RIGHT(G5473,2)=RIGHT('112'!$M$9,2),B5473&lt;'112'!$K$9,$O5473='112'!$I$6)),"x",""))</f>
        <v/>
      </c>
      <c r="W5473" s="79" t="str">
        <f>IF(AND('341-CT'!$H$9=H5473,OR(LEFT(N5473,3)=$W$7,LEFT(O5473,3)=$W$7)),"x","")</f>
        <v/>
      </c>
      <c r="X5473" s="79" t="str">
        <f>IF(OR(TH!N5473=TH!$X$7,O5473=TH!$X$7),"x","")</f>
        <v/>
      </c>
      <c r="Y5473" s="79" t="str">
        <f>IF(AND(OR(N5473="131",O5473="131"),H5473='131-CT'!$H$9),"x","")</f>
        <v/>
      </c>
      <c r="Z5473" s="79"/>
      <c r="AA5473" s="79" t="str">
        <f>IF(AND(MONTH(E5473)='IN-NX'!$J$5,'IN-NX'!$D$7=D5473),"x","")</f>
        <v/>
      </c>
      <c r="AB5473" s="79" t="str">
        <f>IF(AND(OR(LEFT(TH!N5473,2)="15",LEFT(TH!O5473,2)="15"),LEFT(TH!O5473,3)&lt;&gt;"111",'152-CT'!$J$8=TH!F5473),"x","")</f>
        <v/>
      </c>
      <c r="AC5473" s="79" t="str">
        <f>IF(AND(OR(LEFT(TH!N5473,2)="15",LEFT(TH!O5473,2)="15"),TK!$E$7=TH!F5473),"x","")</f>
        <v/>
      </c>
      <c r="AD5473" s="79" t="str">
        <f>IF(AND(N5473="1521",MONTH(C5473)='BK-NL'!$M$11),"x","")</f>
        <v/>
      </c>
    </row>
    <row r="5474" spans="1:30" ht="16.5" customHeight="1">
      <c r="A5474" s="318" t="str">
        <f>IF(B5474&lt;&gt;"",IF(AND(B5474='IN-TC'!$S$4,OR(TH!N5474="1111",TH!O5474="1111")),TH!D5474,""),"")</f>
        <v/>
      </c>
      <c r="B5474" s="60" t="str">
        <f t="shared" si="506"/>
        <v/>
      </c>
      <c r="C5474" s="61"/>
      <c r="D5474" s="61"/>
      <c r="E5474" s="61"/>
      <c r="F5474" s="69"/>
      <c r="G5474" s="766"/>
      <c r="H5474" s="69"/>
      <c r="I5474" s="385"/>
      <c r="J5474" s="392"/>
      <c r="K5474" s="385"/>
      <c r="L5474" s="392"/>
      <c r="M5474" s="62"/>
      <c r="N5474" s="63"/>
      <c r="O5474" s="63"/>
      <c r="P5474" s="79" t="str">
        <f>IF(AND('331-CT'!$E$7=TH!H5474,OR(N5474="331",O5474="331")),"x","")</f>
        <v/>
      </c>
      <c r="Q5474" s="79" t="str">
        <f>IF(AND(B5474='111'!$L$11,OR($N5474=$Q$7,$O5474=$Q$7)),"x","")</f>
        <v/>
      </c>
      <c r="R5474" s="79" t="str">
        <f>IF(AND($N5474=$Q$7,$B5474&lt;'111'!$L$11),"x","")</f>
        <v/>
      </c>
      <c r="S5474" s="79" t="str">
        <f>IF(AND($O5474=$Q$7,$B5474&lt;'111'!$L$11),"x","")</f>
        <v/>
      </c>
      <c r="T5474" s="79" t="str">
        <f>IF(ISERROR(FIND('112'!$M$9,G5474,1)),"",IF((AND(FIND('112'!$M$9,G5474,1)&gt;=1,B5474='112'!$K$9,OR($N5474='112'!$I$6,$O5474='112'!$I$6))),"x",""))</f>
        <v/>
      </c>
      <c r="U5474" s="79" t="str">
        <f>IF(ISERROR(FIND('112'!$M$9,G5474,1)),"",IF((AND(LEFT(G5474,2)=LEFT('112'!$M$9,2),B5474&lt;'112'!$K$9,$N5474='112'!$I$6)),"x",""))</f>
        <v/>
      </c>
      <c r="V5474" s="79" t="str">
        <f>IF(ISERROR(FIND('112'!$M$9,G5474,1)),"",IF((AND(RIGHT(G5474,2)=RIGHT('112'!$M$9,2),B5474&lt;'112'!$K$9,$O5474='112'!$I$6)),"x",""))</f>
        <v/>
      </c>
      <c r="W5474" s="79" t="str">
        <f>IF(AND('341-CT'!$H$9=H5474,OR(LEFT(N5474,3)=$W$7,LEFT(O5474,3)=$W$7)),"x","")</f>
        <v/>
      </c>
      <c r="X5474" s="79" t="str">
        <f>IF(OR(TH!N5474=TH!$X$7,O5474=TH!$X$7),"x","")</f>
        <v/>
      </c>
      <c r="Y5474" s="79" t="str">
        <f>IF(AND(OR(N5474="131",O5474="131"),H5474='131-CT'!$H$9),"x","")</f>
        <v/>
      </c>
      <c r="Z5474" s="79"/>
      <c r="AA5474" s="79" t="str">
        <f>IF(AND(MONTH(E5474)='IN-NX'!$J$5,'IN-NX'!$D$7=D5474),"x","")</f>
        <v/>
      </c>
      <c r="AB5474" s="79" t="str">
        <f>IF(AND(OR(LEFT(TH!N5474,2)="15",LEFT(TH!O5474,2)="15"),LEFT(TH!O5474,3)&lt;&gt;"111",'152-CT'!$J$8=TH!F5474),"x","")</f>
        <v/>
      </c>
      <c r="AC5474" s="79" t="str">
        <f>IF(AND(OR(LEFT(TH!N5474,2)="15",LEFT(TH!O5474,2)="15"),TK!$E$7=TH!F5474),"x","")</f>
        <v/>
      </c>
      <c r="AD5474" s="79" t="str">
        <f>IF(AND(N5474="1521",MONTH(C5474)='BK-NL'!$M$11),"x","")</f>
        <v/>
      </c>
    </row>
    <row r="5475" spans="1:30" ht="16.5" customHeight="1">
      <c r="A5475" s="318" t="str">
        <f>IF(B5475&lt;&gt;"",IF(AND(B5475='IN-TC'!$S$4,OR(TH!N5475="1111",TH!O5475="1111")),TH!D5475,""),"")</f>
        <v/>
      </c>
      <c r="B5475" s="60" t="str">
        <f t="shared" si="506"/>
        <v/>
      </c>
      <c r="C5475" s="61"/>
      <c r="D5475" s="61"/>
      <c r="E5475" s="61"/>
      <c r="F5475" s="69"/>
      <c r="G5475" s="766"/>
      <c r="H5475" s="69"/>
      <c r="I5475" s="385"/>
      <c r="J5475" s="392"/>
      <c r="K5475" s="385"/>
      <c r="L5475" s="392"/>
      <c r="M5475" s="62"/>
      <c r="N5475" s="63"/>
      <c r="O5475" s="63"/>
      <c r="P5475" s="79" t="str">
        <f>IF(AND('331-CT'!$E$7=TH!H5475,OR(N5475="331",O5475="331")),"x","")</f>
        <v/>
      </c>
      <c r="Q5475" s="79" t="str">
        <f>IF(AND(B5475='111'!$L$11,OR($N5475=$Q$7,$O5475=$Q$7)),"x","")</f>
        <v/>
      </c>
      <c r="R5475" s="79" t="str">
        <f>IF(AND($N5475=$Q$7,$B5475&lt;'111'!$L$11),"x","")</f>
        <v/>
      </c>
      <c r="S5475" s="79" t="str">
        <f>IF(AND($O5475=$Q$7,$B5475&lt;'111'!$L$11),"x","")</f>
        <v/>
      </c>
      <c r="T5475" s="79" t="str">
        <f>IF(ISERROR(FIND('112'!$M$9,G5475,1)),"",IF((AND(FIND('112'!$M$9,G5475,1)&gt;=1,B5475='112'!$K$9,OR($N5475='112'!$I$6,$O5475='112'!$I$6))),"x",""))</f>
        <v/>
      </c>
      <c r="U5475" s="79" t="str">
        <f>IF(ISERROR(FIND('112'!$M$9,G5475,1)),"",IF((AND(LEFT(G5475,2)=LEFT('112'!$M$9,2),B5475&lt;'112'!$K$9,$N5475='112'!$I$6)),"x",""))</f>
        <v/>
      </c>
      <c r="V5475" s="79" t="str">
        <f>IF(ISERROR(FIND('112'!$M$9,G5475,1)),"",IF((AND(RIGHT(G5475,2)=RIGHT('112'!$M$9,2),B5475&lt;'112'!$K$9,$O5475='112'!$I$6)),"x",""))</f>
        <v/>
      </c>
      <c r="W5475" s="79" t="str">
        <f>IF(AND('341-CT'!$H$9=H5475,OR(LEFT(N5475,3)=$W$7,LEFT(O5475,3)=$W$7)),"x","")</f>
        <v/>
      </c>
      <c r="X5475" s="79" t="str">
        <f>IF(OR(TH!N5475=TH!$X$7,O5475=TH!$X$7),"x","")</f>
        <v/>
      </c>
      <c r="Y5475" s="79" t="str">
        <f>IF(AND(OR(N5475="131",O5475="131"),H5475='131-CT'!$H$9),"x","")</f>
        <v/>
      </c>
      <c r="Z5475" s="79"/>
      <c r="AA5475" s="79" t="str">
        <f>IF(AND(MONTH(E5475)='IN-NX'!$J$5,'IN-NX'!$D$7=D5475),"x","")</f>
        <v/>
      </c>
      <c r="AB5475" s="79" t="str">
        <f>IF(AND(OR(LEFT(TH!N5475,2)="15",LEFT(TH!O5475,2)="15"),LEFT(TH!O5475,3)&lt;&gt;"111",'152-CT'!$J$8=TH!F5475),"x","")</f>
        <v/>
      </c>
      <c r="AC5475" s="79" t="str">
        <f>IF(AND(OR(LEFT(TH!N5475,2)="15",LEFT(TH!O5475,2)="15"),TK!$E$7=TH!F5475),"x","")</f>
        <v/>
      </c>
      <c r="AD5475" s="79" t="str">
        <f>IF(AND(N5475="1521",MONTH(C5475)='BK-NL'!$M$11),"x","")</f>
        <v/>
      </c>
    </row>
    <row r="5476" spans="1:30" ht="16.5" customHeight="1">
      <c r="A5476" s="318" t="str">
        <f>IF(B5476&lt;&gt;"",IF(AND(B5476='IN-TC'!$S$4,OR(TH!N5476="1111",TH!O5476="1111")),TH!D5476,""),"")</f>
        <v/>
      </c>
      <c r="B5476" s="60" t="str">
        <f t="shared" si="506"/>
        <v/>
      </c>
      <c r="C5476" s="61"/>
      <c r="D5476" s="61"/>
      <c r="E5476" s="61"/>
      <c r="F5476" s="69"/>
      <c r="G5476" s="766"/>
      <c r="H5476" s="69"/>
      <c r="I5476" s="385"/>
      <c r="J5476" s="392"/>
      <c r="K5476" s="385"/>
      <c r="L5476" s="392"/>
      <c r="M5476" s="62"/>
      <c r="N5476" s="63"/>
      <c r="O5476" s="63"/>
      <c r="P5476" s="79" t="str">
        <f>IF(AND('331-CT'!$E$7=TH!H5476,OR(N5476="331",O5476="331")),"x","")</f>
        <v/>
      </c>
      <c r="Q5476" s="79" t="str">
        <f>IF(AND(B5476='111'!$L$11,OR($N5476=$Q$7,$O5476=$Q$7)),"x","")</f>
        <v/>
      </c>
      <c r="R5476" s="79" t="str">
        <f>IF(AND($N5476=$Q$7,$B5476&lt;'111'!$L$11),"x","")</f>
        <v/>
      </c>
      <c r="S5476" s="79" t="str">
        <f>IF(AND($O5476=$Q$7,$B5476&lt;'111'!$L$11),"x","")</f>
        <v/>
      </c>
      <c r="T5476" s="79" t="str">
        <f>IF(ISERROR(FIND('112'!$M$9,G5476,1)),"",IF((AND(FIND('112'!$M$9,G5476,1)&gt;=1,B5476='112'!$K$9,OR($N5476='112'!$I$6,$O5476='112'!$I$6))),"x",""))</f>
        <v/>
      </c>
      <c r="U5476" s="79" t="str">
        <f>IF(ISERROR(FIND('112'!$M$9,G5476,1)),"",IF((AND(LEFT(G5476,2)=LEFT('112'!$M$9,2),B5476&lt;'112'!$K$9,$N5476='112'!$I$6)),"x",""))</f>
        <v/>
      </c>
      <c r="V5476" s="79" t="str">
        <f>IF(ISERROR(FIND('112'!$M$9,G5476,1)),"",IF((AND(RIGHT(G5476,2)=RIGHT('112'!$M$9,2),B5476&lt;'112'!$K$9,$O5476='112'!$I$6)),"x",""))</f>
        <v/>
      </c>
      <c r="W5476" s="79" t="str">
        <f>IF(AND('341-CT'!$H$9=H5476,OR(LEFT(N5476,3)=$W$7,LEFT(O5476,3)=$W$7)),"x","")</f>
        <v/>
      </c>
      <c r="X5476" s="79" t="str">
        <f>IF(OR(TH!N5476=TH!$X$7,O5476=TH!$X$7),"x","")</f>
        <v/>
      </c>
      <c r="Y5476" s="79" t="str">
        <f>IF(AND(OR(N5476="131",O5476="131"),H5476='131-CT'!$H$9),"x","")</f>
        <v/>
      </c>
      <c r="Z5476" s="79"/>
      <c r="AA5476" s="79" t="str">
        <f>IF(AND(MONTH(E5476)='IN-NX'!$J$5,'IN-NX'!$D$7=D5476),"x","")</f>
        <v/>
      </c>
      <c r="AB5476" s="79" t="str">
        <f>IF(AND(OR(LEFT(TH!N5476,2)="15",LEFT(TH!O5476,2)="15"),LEFT(TH!O5476,3)&lt;&gt;"111",'152-CT'!$J$8=TH!F5476),"x","")</f>
        <v/>
      </c>
      <c r="AC5476" s="79" t="str">
        <f>IF(AND(OR(LEFT(TH!N5476,2)="15",LEFT(TH!O5476,2)="15"),TK!$E$7=TH!F5476),"x","")</f>
        <v/>
      </c>
      <c r="AD5476" s="79" t="str">
        <f>IF(AND(N5476="1521",MONTH(C5476)='BK-NL'!$M$11),"x","")</f>
        <v/>
      </c>
    </row>
    <row r="5477" spans="1:30" ht="16.5" customHeight="1">
      <c r="A5477" s="318" t="str">
        <f>IF(B5477&lt;&gt;"",IF(AND(B5477='IN-TC'!$S$4,OR(TH!N5477="1111",TH!O5477="1111")),TH!D5477,""),"")</f>
        <v/>
      </c>
      <c r="B5477" s="60" t="str">
        <f t="shared" si="506"/>
        <v/>
      </c>
      <c r="C5477" s="61"/>
      <c r="D5477" s="61"/>
      <c r="E5477" s="61"/>
      <c r="F5477" s="69"/>
      <c r="G5477" s="766"/>
      <c r="H5477" s="69"/>
      <c r="I5477" s="385"/>
      <c r="J5477" s="392"/>
      <c r="K5477" s="385"/>
      <c r="L5477" s="392"/>
      <c r="M5477" s="62"/>
      <c r="N5477" s="63"/>
      <c r="O5477" s="63"/>
      <c r="P5477" s="79" t="str">
        <f>IF(AND('331-CT'!$E$7=TH!H5477,OR(N5477="331",O5477="331")),"x","")</f>
        <v/>
      </c>
      <c r="Q5477" s="79" t="str">
        <f>IF(AND(B5477='111'!$L$11,OR($N5477=$Q$7,$O5477=$Q$7)),"x","")</f>
        <v/>
      </c>
      <c r="R5477" s="79" t="str">
        <f>IF(AND($N5477=$Q$7,$B5477&lt;'111'!$L$11),"x","")</f>
        <v/>
      </c>
      <c r="S5477" s="79" t="str">
        <f>IF(AND($O5477=$Q$7,$B5477&lt;'111'!$L$11),"x","")</f>
        <v/>
      </c>
      <c r="T5477" s="79" t="str">
        <f>IF(ISERROR(FIND('112'!$M$9,G5477,1)),"",IF((AND(FIND('112'!$M$9,G5477,1)&gt;=1,B5477='112'!$K$9,OR($N5477='112'!$I$6,$O5477='112'!$I$6))),"x",""))</f>
        <v/>
      </c>
      <c r="U5477" s="79" t="str">
        <f>IF(ISERROR(FIND('112'!$M$9,G5477,1)),"",IF((AND(LEFT(G5477,2)=LEFT('112'!$M$9,2),B5477&lt;'112'!$K$9,$N5477='112'!$I$6)),"x",""))</f>
        <v/>
      </c>
      <c r="V5477" s="79" t="str">
        <f>IF(ISERROR(FIND('112'!$M$9,G5477,1)),"",IF((AND(RIGHT(G5477,2)=RIGHT('112'!$M$9,2),B5477&lt;'112'!$K$9,$O5477='112'!$I$6)),"x",""))</f>
        <v/>
      </c>
      <c r="W5477" s="79" t="str">
        <f>IF(AND('341-CT'!$H$9=H5477,OR(LEFT(N5477,3)=$W$7,LEFT(O5477,3)=$W$7)),"x","")</f>
        <v/>
      </c>
      <c r="X5477" s="79" t="str">
        <f>IF(OR(TH!N5477=TH!$X$7,O5477=TH!$X$7),"x","")</f>
        <v/>
      </c>
      <c r="Y5477" s="79" t="str">
        <f>IF(AND(OR(N5477="131",O5477="131"),H5477='131-CT'!$H$9),"x","")</f>
        <v/>
      </c>
      <c r="Z5477" s="79"/>
      <c r="AA5477" s="79" t="str">
        <f>IF(AND(MONTH(E5477)='IN-NX'!$J$5,'IN-NX'!$D$7=D5477),"x","")</f>
        <v/>
      </c>
      <c r="AB5477" s="79" t="str">
        <f>IF(AND(OR(LEFT(TH!N5477,2)="15",LEFT(TH!O5477,2)="15"),LEFT(TH!O5477,3)&lt;&gt;"111",'152-CT'!$J$8=TH!F5477),"x","")</f>
        <v/>
      </c>
      <c r="AC5477" s="79" t="str">
        <f>IF(AND(OR(LEFT(TH!N5477,2)="15",LEFT(TH!O5477,2)="15"),TK!$E$7=TH!F5477),"x","")</f>
        <v/>
      </c>
      <c r="AD5477" s="79" t="str">
        <f>IF(AND(N5477="1521",MONTH(C5477)='BK-NL'!$M$11),"x","")</f>
        <v/>
      </c>
    </row>
    <row r="5478" spans="1:30" ht="16.5" customHeight="1">
      <c r="A5478" s="318" t="str">
        <f>IF(B5478&lt;&gt;"",IF(AND(B5478='IN-TC'!$S$4,OR(TH!N5478="1111",TH!O5478="1111")),TH!D5478,""),"")</f>
        <v/>
      </c>
      <c r="B5478" s="60" t="str">
        <f t="shared" si="506"/>
        <v/>
      </c>
      <c r="C5478" s="61"/>
      <c r="D5478" s="61"/>
      <c r="E5478" s="61"/>
      <c r="F5478" s="69"/>
      <c r="G5478" s="766"/>
      <c r="H5478" s="69"/>
      <c r="I5478" s="385"/>
      <c r="J5478" s="392"/>
      <c r="K5478" s="385"/>
      <c r="L5478" s="392"/>
      <c r="M5478" s="62"/>
      <c r="N5478" s="63"/>
      <c r="O5478" s="63"/>
      <c r="P5478" s="79" t="str">
        <f>IF(AND('331-CT'!$E$7=TH!H5478,OR(N5478="331",O5478="331")),"x","")</f>
        <v/>
      </c>
      <c r="Q5478" s="79" t="str">
        <f>IF(AND(B5478='111'!$L$11,OR($N5478=$Q$7,$O5478=$Q$7)),"x","")</f>
        <v/>
      </c>
      <c r="R5478" s="79" t="str">
        <f>IF(AND($N5478=$Q$7,$B5478&lt;'111'!$L$11),"x","")</f>
        <v/>
      </c>
      <c r="S5478" s="79" t="str">
        <f>IF(AND($O5478=$Q$7,$B5478&lt;'111'!$L$11),"x","")</f>
        <v/>
      </c>
      <c r="T5478" s="79" t="str">
        <f>IF(ISERROR(FIND('112'!$M$9,G5478,1)),"",IF((AND(FIND('112'!$M$9,G5478,1)&gt;=1,B5478='112'!$K$9,OR($N5478='112'!$I$6,$O5478='112'!$I$6))),"x",""))</f>
        <v/>
      </c>
      <c r="U5478" s="79" t="str">
        <f>IF(ISERROR(FIND('112'!$M$9,G5478,1)),"",IF((AND(LEFT(G5478,2)=LEFT('112'!$M$9,2),B5478&lt;'112'!$K$9,$N5478='112'!$I$6)),"x",""))</f>
        <v/>
      </c>
      <c r="V5478" s="79" t="str">
        <f>IF(ISERROR(FIND('112'!$M$9,G5478,1)),"",IF((AND(RIGHT(G5478,2)=RIGHT('112'!$M$9,2),B5478&lt;'112'!$K$9,$O5478='112'!$I$6)),"x",""))</f>
        <v/>
      </c>
      <c r="W5478" s="79" t="str">
        <f>IF(AND('341-CT'!$H$9=H5478,OR(LEFT(N5478,3)=$W$7,LEFT(O5478,3)=$W$7)),"x","")</f>
        <v/>
      </c>
      <c r="X5478" s="79" t="str">
        <f>IF(OR(TH!N5478=TH!$X$7,O5478=TH!$X$7),"x","")</f>
        <v/>
      </c>
      <c r="Y5478" s="79" t="str">
        <f>IF(AND(OR(N5478="131",O5478="131"),H5478='131-CT'!$H$9),"x","")</f>
        <v/>
      </c>
      <c r="Z5478" s="79"/>
      <c r="AA5478" s="79" t="str">
        <f>IF(AND(MONTH(E5478)='IN-NX'!$J$5,'IN-NX'!$D$7=D5478),"x","")</f>
        <v/>
      </c>
      <c r="AB5478" s="79" t="str">
        <f>IF(AND(OR(LEFT(TH!N5478,2)="15",LEFT(TH!O5478,2)="15"),LEFT(TH!O5478,3)&lt;&gt;"111",'152-CT'!$J$8=TH!F5478),"x","")</f>
        <v/>
      </c>
      <c r="AC5478" s="79" t="str">
        <f>IF(AND(OR(LEFT(TH!N5478,2)="15",LEFT(TH!O5478,2)="15"),TK!$E$7=TH!F5478),"x","")</f>
        <v/>
      </c>
      <c r="AD5478" s="79" t="str">
        <f>IF(AND(N5478="1521",MONTH(C5478)='BK-NL'!$M$11),"x","")</f>
        <v/>
      </c>
    </row>
    <row r="5479" spans="1:30" ht="16.5" customHeight="1">
      <c r="A5479" s="318" t="str">
        <f>IF(B5479&lt;&gt;"",IF(AND(B5479='IN-TC'!$S$4,OR(TH!N5479="1111",TH!O5479="1111")),TH!D5479,""),"")</f>
        <v/>
      </c>
      <c r="B5479" s="60" t="str">
        <f t="shared" si="506"/>
        <v/>
      </c>
      <c r="C5479" s="61"/>
      <c r="D5479" s="61"/>
      <c r="E5479" s="61"/>
      <c r="F5479" s="69"/>
      <c r="G5479" s="766"/>
      <c r="H5479" s="69"/>
      <c r="I5479" s="385"/>
      <c r="J5479" s="392"/>
      <c r="K5479" s="385"/>
      <c r="L5479" s="392"/>
      <c r="M5479" s="62"/>
      <c r="N5479" s="63"/>
      <c r="O5479" s="63"/>
      <c r="P5479" s="79" t="str">
        <f>IF(AND('331-CT'!$E$7=TH!H5479,OR(N5479="331",O5479="331")),"x","")</f>
        <v/>
      </c>
      <c r="Q5479" s="79" t="str">
        <f>IF(AND(B5479='111'!$L$11,OR($N5479=$Q$7,$O5479=$Q$7)),"x","")</f>
        <v/>
      </c>
      <c r="R5479" s="79" t="str">
        <f>IF(AND($N5479=$Q$7,$B5479&lt;'111'!$L$11),"x","")</f>
        <v/>
      </c>
      <c r="S5479" s="79" t="str">
        <f>IF(AND($O5479=$Q$7,$B5479&lt;'111'!$L$11),"x","")</f>
        <v/>
      </c>
      <c r="T5479" s="79" t="str">
        <f>IF(ISERROR(FIND('112'!$M$9,G5479,1)),"",IF((AND(FIND('112'!$M$9,G5479,1)&gt;=1,B5479='112'!$K$9,OR($N5479='112'!$I$6,$O5479='112'!$I$6))),"x",""))</f>
        <v/>
      </c>
      <c r="U5479" s="79" t="str">
        <f>IF(ISERROR(FIND('112'!$M$9,G5479,1)),"",IF((AND(LEFT(G5479,2)=LEFT('112'!$M$9,2),B5479&lt;'112'!$K$9,$N5479='112'!$I$6)),"x",""))</f>
        <v/>
      </c>
      <c r="V5479" s="79" t="str">
        <f>IF(ISERROR(FIND('112'!$M$9,G5479,1)),"",IF((AND(RIGHT(G5479,2)=RIGHT('112'!$M$9,2),B5479&lt;'112'!$K$9,$O5479='112'!$I$6)),"x",""))</f>
        <v/>
      </c>
      <c r="W5479" s="79" t="str">
        <f>IF(AND('341-CT'!$H$9=H5479,OR(LEFT(N5479,3)=$W$7,LEFT(O5479,3)=$W$7)),"x","")</f>
        <v/>
      </c>
      <c r="X5479" s="79" t="str">
        <f>IF(OR(TH!N5479=TH!$X$7,O5479=TH!$X$7),"x","")</f>
        <v/>
      </c>
      <c r="Y5479" s="79" t="str">
        <f>IF(AND(OR(N5479="131",O5479="131"),H5479='131-CT'!$H$9),"x","")</f>
        <v/>
      </c>
      <c r="Z5479" s="79"/>
      <c r="AA5479" s="79" t="str">
        <f>IF(AND(MONTH(E5479)='IN-NX'!$J$5,'IN-NX'!$D$7=D5479),"x","")</f>
        <v/>
      </c>
      <c r="AB5479" s="79" t="str">
        <f>IF(AND(OR(LEFT(TH!N5479,2)="15",LEFT(TH!O5479,2)="15"),LEFT(TH!O5479,3)&lt;&gt;"111",'152-CT'!$J$8=TH!F5479),"x","")</f>
        <v/>
      </c>
      <c r="AC5479" s="79" t="str">
        <f>IF(AND(OR(LEFT(TH!N5479,2)="15",LEFT(TH!O5479,2)="15"),TK!$E$7=TH!F5479),"x","")</f>
        <v/>
      </c>
      <c r="AD5479" s="79" t="str">
        <f>IF(AND(N5479="1521",MONTH(C5479)='BK-NL'!$M$11),"x","")</f>
        <v/>
      </c>
    </row>
    <row r="5480" spans="1:30" ht="16.5" customHeight="1">
      <c r="A5480" s="318" t="str">
        <f>IF(B5480&lt;&gt;"",IF(AND(B5480='IN-TC'!$S$4,OR(TH!N5480="1111",TH!O5480="1111")),TH!D5480,""),"")</f>
        <v/>
      </c>
      <c r="B5480" s="60" t="str">
        <f t="shared" si="506"/>
        <v/>
      </c>
      <c r="C5480" s="61"/>
      <c r="D5480" s="61"/>
      <c r="E5480" s="61"/>
      <c r="F5480" s="69"/>
      <c r="G5480" s="766"/>
      <c r="H5480" s="69"/>
      <c r="I5480" s="385"/>
      <c r="J5480" s="392"/>
      <c r="K5480" s="385"/>
      <c r="L5480" s="392"/>
      <c r="M5480" s="62"/>
      <c r="N5480" s="63"/>
      <c r="O5480" s="63"/>
      <c r="P5480" s="79" t="str">
        <f>IF(AND('331-CT'!$E$7=TH!H5480,OR(N5480="331",O5480="331")),"x","")</f>
        <v/>
      </c>
      <c r="Q5480" s="79" t="str">
        <f>IF(AND(B5480='111'!$L$11,OR($N5480=$Q$7,$O5480=$Q$7)),"x","")</f>
        <v/>
      </c>
      <c r="R5480" s="79" t="str">
        <f>IF(AND($N5480=$Q$7,$B5480&lt;'111'!$L$11),"x","")</f>
        <v/>
      </c>
      <c r="S5480" s="79" t="str">
        <f>IF(AND($O5480=$Q$7,$B5480&lt;'111'!$L$11),"x","")</f>
        <v/>
      </c>
      <c r="T5480" s="79" t="str">
        <f>IF(ISERROR(FIND('112'!$M$9,G5480,1)),"",IF((AND(FIND('112'!$M$9,G5480,1)&gt;=1,B5480='112'!$K$9,OR($N5480='112'!$I$6,$O5480='112'!$I$6))),"x",""))</f>
        <v/>
      </c>
      <c r="U5480" s="79" t="str">
        <f>IF(ISERROR(FIND('112'!$M$9,G5480,1)),"",IF((AND(LEFT(G5480,2)=LEFT('112'!$M$9,2),B5480&lt;'112'!$K$9,$N5480='112'!$I$6)),"x",""))</f>
        <v/>
      </c>
      <c r="V5480" s="79" t="str">
        <f>IF(ISERROR(FIND('112'!$M$9,G5480,1)),"",IF((AND(RIGHT(G5480,2)=RIGHT('112'!$M$9,2),B5480&lt;'112'!$K$9,$O5480='112'!$I$6)),"x",""))</f>
        <v/>
      </c>
      <c r="W5480" s="79" t="str">
        <f>IF(AND('341-CT'!$H$9=H5480,OR(LEFT(N5480,3)=$W$7,LEFT(O5480,3)=$W$7)),"x","")</f>
        <v/>
      </c>
      <c r="X5480" s="79" t="str">
        <f>IF(OR(TH!N5480=TH!$X$7,O5480=TH!$X$7),"x","")</f>
        <v/>
      </c>
      <c r="Y5480" s="79" t="str">
        <f>IF(AND(OR(N5480="131",O5480="131"),H5480='131-CT'!$H$9),"x","")</f>
        <v/>
      </c>
      <c r="Z5480" s="79"/>
      <c r="AA5480" s="79" t="str">
        <f>IF(AND(MONTH(E5480)='IN-NX'!$J$5,'IN-NX'!$D$7=D5480),"x","")</f>
        <v/>
      </c>
      <c r="AB5480" s="79" t="str">
        <f>IF(AND(OR(LEFT(TH!N5480,2)="15",LEFT(TH!O5480,2)="15"),LEFT(TH!O5480,3)&lt;&gt;"111",'152-CT'!$J$8=TH!F5480),"x","")</f>
        <v/>
      </c>
      <c r="AC5480" s="79" t="str">
        <f>IF(AND(OR(LEFT(TH!N5480,2)="15",LEFT(TH!O5480,2)="15"),TK!$E$7=TH!F5480),"x","")</f>
        <v/>
      </c>
      <c r="AD5480" s="79" t="str">
        <f>IF(AND(N5480="1521",MONTH(C5480)='BK-NL'!$M$11),"x","")</f>
        <v/>
      </c>
    </row>
    <row r="5481" spans="1:30" ht="16.5" customHeight="1">
      <c r="A5481" s="318" t="str">
        <f>IF(B5481&lt;&gt;"",IF(AND(B5481='IN-TC'!$S$4,OR(TH!N5481="1111",TH!O5481="1111")),TH!D5481,""),"")</f>
        <v/>
      </c>
      <c r="B5481" s="60" t="str">
        <f t="shared" si="506"/>
        <v/>
      </c>
      <c r="C5481" s="61"/>
      <c r="D5481" s="61"/>
      <c r="E5481" s="61"/>
      <c r="F5481" s="69"/>
      <c r="G5481" s="766"/>
      <c r="H5481" s="69"/>
      <c r="I5481" s="385"/>
      <c r="J5481" s="392"/>
      <c r="K5481" s="385"/>
      <c r="L5481" s="392"/>
      <c r="M5481" s="62"/>
      <c r="N5481" s="63"/>
      <c r="O5481" s="63"/>
      <c r="P5481" s="79" t="str">
        <f>IF(AND('331-CT'!$E$7=TH!H5481,OR(N5481="331",O5481="331")),"x","")</f>
        <v/>
      </c>
      <c r="Q5481" s="79" t="str">
        <f>IF(AND(B5481='111'!$L$11,OR($N5481=$Q$7,$O5481=$Q$7)),"x","")</f>
        <v/>
      </c>
      <c r="R5481" s="79" t="str">
        <f>IF(AND($N5481=$Q$7,$B5481&lt;'111'!$L$11),"x","")</f>
        <v/>
      </c>
      <c r="S5481" s="79" t="str">
        <f>IF(AND($O5481=$Q$7,$B5481&lt;'111'!$L$11),"x","")</f>
        <v/>
      </c>
      <c r="T5481" s="79" t="str">
        <f>IF(ISERROR(FIND('112'!$M$9,G5481,1)),"",IF((AND(FIND('112'!$M$9,G5481,1)&gt;=1,B5481='112'!$K$9,OR($N5481='112'!$I$6,$O5481='112'!$I$6))),"x",""))</f>
        <v/>
      </c>
      <c r="U5481" s="79" t="str">
        <f>IF(ISERROR(FIND('112'!$M$9,G5481,1)),"",IF((AND(LEFT(G5481,2)=LEFT('112'!$M$9,2),B5481&lt;'112'!$K$9,$N5481='112'!$I$6)),"x",""))</f>
        <v/>
      </c>
      <c r="V5481" s="79" t="str">
        <f>IF(ISERROR(FIND('112'!$M$9,G5481,1)),"",IF((AND(RIGHT(G5481,2)=RIGHT('112'!$M$9,2),B5481&lt;'112'!$K$9,$O5481='112'!$I$6)),"x",""))</f>
        <v/>
      </c>
      <c r="W5481" s="79" t="str">
        <f>IF(AND('341-CT'!$H$9=H5481,OR(LEFT(N5481,3)=$W$7,LEFT(O5481,3)=$W$7)),"x","")</f>
        <v/>
      </c>
      <c r="X5481" s="79" t="str">
        <f>IF(OR(TH!N5481=TH!$X$7,O5481=TH!$X$7),"x","")</f>
        <v/>
      </c>
      <c r="Y5481" s="79" t="str">
        <f>IF(AND(OR(N5481="131",O5481="131"),H5481='131-CT'!$H$9),"x","")</f>
        <v/>
      </c>
      <c r="Z5481" s="79"/>
      <c r="AA5481" s="79" t="str">
        <f>IF(AND(MONTH(E5481)='IN-NX'!$J$5,'IN-NX'!$D$7=D5481),"x","")</f>
        <v/>
      </c>
      <c r="AB5481" s="79" t="str">
        <f>IF(AND(OR(LEFT(TH!N5481,2)="15",LEFT(TH!O5481,2)="15"),LEFT(TH!O5481,3)&lt;&gt;"111",'152-CT'!$J$8=TH!F5481),"x","")</f>
        <v/>
      </c>
      <c r="AC5481" s="79" t="str">
        <f>IF(AND(OR(LEFT(TH!N5481,2)="15",LEFT(TH!O5481,2)="15"),TK!$E$7=TH!F5481),"x","")</f>
        <v/>
      </c>
      <c r="AD5481" s="79" t="str">
        <f>IF(AND(N5481="1521",MONTH(C5481)='BK-NL'!$M$11),"x","")</f>
        <v/>
      </c>
    </row>
    <row r="5482" spans="1:30" ht="16.5" customHeight="1">
      <c r="A5482" s="318" t="str">
        <f>IF(B5482&lt;&gt;"",IF(AND(B5482='IN-TC'!$S$4,OR(TH!N5482="1111",TH!O5482="1111")),TH!D5482,""),"")</f>
        <v/>
      </c>
      <c r="B5482" s="60" t="str">
        <f t="shared" si="506"/>
        <v/>
      </c>
      <c r="C5482" s="61"/>
      <c r="D5482" s="61"/>
      <c r="E5482" s="61"/>
      <c r="F5482" s="69"/>
      <c r="G5482" s="766"/>
      <c r="H5482" s="69"/>
      <c r="I5482" s="385"/>
      <c r="J5482" s="392"/>
      <c r="K5482" s="385"/>
      <c r="L5482" s="392"/>
      <c r="M5482" s="62"/>
      <c r="N5482" s="63"/>
      <c r="O5482" s="63"/>
      <c r="P5482" s="79" t="str">
        <f>IF(AND('331-CT'!$E$7=TH!H5482,OR(N5482="331",O5482="331")),"x","")</f>
        <v/>
      </c>
      <c r="Q5482" s="79" t="str">
        <f>IF(AND(B5482='111'!$L$11,OR($N5482=$Q$7,$O5482=$Q$7)),"x","")</f>
        <v/>
      </c>
      <c r="R5482" s="79" t="str">
        <f>IF(AND($N5482=$Q$7,$B5482&lt;'111'!$L$11),"x","")</f>
        <v/>
      </c>
      <c r="S5482" s="79" t="str">
        <f>IF(AND($O5482=$Q$7,$B5482&lt;'111'!$L$11),"x","")</f>
        <v/>
      </c>
      <c r="T5482" s="79" t="str">
        <f>IF(ISERROR(FIND('112'!$M$9,G5482,1)),"",IF((AND(FIND('112'!$M$9,G5482,1)&gt;=1,B5482='112'!$K$9,OR($N5482='112'!$I$6,$O5482='112'!$I$6))),"x",""))</f>
        <v/>
      </c>
      <c r="U5482" s="79" t="str">
        <f>IF(ISERROR(FIND('112'!$M$9,G5482,1)),"",IF((AND(LEFT(G5482,2)=LEFT('112'!$M$9,2),B5482&lt;'112'!$K$9,$N5482='112'!$I$6)),"x",""))</f>
        <v/>
      </c>
      <c r="V5482" s="79" t="str">
        <f>IF(ISERROR(FIND('112'!$M$9,G5482,1)),"",IF((AND(RIGHT(G5482,2)=RIGHT('112'!$M$9,2),B5482&lt;'112'!$K$9,$O5482='112'!$I$6)),"x",""))</f>
        <v/>
      </c>
      <c r="W5482" s="79" t="str">
        <f>IF(AND('341-CT'!$H$9=H5482,OR(LEFT(N5482,3)=$W$7,LEFT(O5482,3)=$W$7)),"x","")</f>
        <v/>
      </c>
      <c r="X5482" s="79" t="str">
        <f>IF(OR(TH!N5482=TH!$X$7,O5482=TH!$X$7),"x","")</f>
        <v/>
      </c>
      <c r="Y5482" s="79" t="str">
        <f>IF(AND(OR(N5482="131",O5482="131"),H5482='131-CT'!$H$9),"x","")</f>
        <v/>
      </c>
      <c r="Z5482" s="79"/>
      <c r="AA5482" s="79" t="str">
        <f>IF(AND(MONTH(E5482)='IN-NX'!$J$5,'IN-NX'!$D$7=D5482),"x","")</f>
        <v/>
      </c>
      <c r="AB5482" s="79" t="str">
        <f>IF(AND(OR(LEFT(TH!N5482,2)="15",LEFT(TH!O5482,2)="15"),LEFT(TH!O5482,3)&lt;&gt;"111",'152-CT'!$J$8=TH!F5482),"x","")</f>
        <v/>
      </c>
      <c r="AC5482" s="79" t="str">
        <f>IF(AND(OR(LEFT(TH!N5482,2)="15",LEFT(TH!O5482,2)="15"),TK!$E$7=TH!F5482),"x","")</f>
        <v/>
      </c>
      <c r="AD5482" s="79" t="str">
        <f>IF(AND(N5482="1521",MONTH(C5482)='BK-NL'!$M$11),"x","")</f>
        <v/>
      </c>
    </row>
    <row r="5483" spans="1:30" ht="16.5" customHeight="1">
      <c r="A5483" s="318" t="str">
        <f>IF(B5483&lt;&gt;"",IF(AND(B5483='IN-TC'!$S$4,OR(TH!N5483="1111",TH!O5483="1111")),TH!D5483,""),"")</f>
        <v/>
      </c>
      <c r="B5483" s="60" t="str">
        <f t="shared" si="506"/>
        <v/>
      </c>
      <c r="C5483" s="61"/>
      <c r="D5483" s="61"/>
      <c r="E5483" s="61"/>
      <c r="F5483" s="69"/>
      <c r="G5483" s="766"/>
      <c r="H5483" s="69"/>
      <c r="I5483" s="385"/>
      <c r="J5483" s="392"/>
      <c r="K5483" s="385"/>
      <c r="L5483" s="392"/>
      <c r="M5483" s="62"/>
      <c r="N5483" s="63"/>
      <c r="O5483" s="63"/>
      <c r="P5483" s="79" t="str">
        <f>IF(AND('331-CT'!$E$7=TH!H5483,OR(N5483="331",O5483="331")),"x","")</f>
        <v/>
      </c>
      <c r="Q5483" s="79" t="str">
        <f>IF(AND(B5483='111'!$L$11,OR($N5483=$Q$7,$O5483=$Q$7)),"x","")</f>
        <v/>
      </c>
      <c r="R5483" s="79" t="str">
        <f>IF(AND($N5483=$Q$7,$B5483&lt;'111'!$L$11),"x","")</f>
        <v/>
      </c>
      <c r="S5483" s="79" t="str">
        <f>IF(AND($O5483=$Q$7,$B5483&lt;'111'!$L$11),"x","")</f>
        <v/>
      </c>
      <c r="T5483" s="79" t="str">
        <f>IF(ISERROR(FIND('112'!$M$9,G5483,1)),"",IF((AND(FIND('112'!$M$9,G5483,1)&gt;=1,B5483='112'!$K$9,OR($N5483='112'!$I$6,$O5483='112'!$I$6))),"x",""))</f>
        <v/>
      </c>
      <c r="U5483" s="79" t="str">
        <f>IF(ISERROR(FIND('112'!$M$9,G5483,1)),"",IF((AND(LEFT(G5483,2)=LEFT('112'!$M$9,2),B5483&lt;'112'!$K$9,$N5483='112'!$I$6)),"x",""))</f>
        <v/>
      </c>
      <c r="V5483" s="79" t="str">
        <f>IF(ISERROR(FIND('112'!$M$9,G5483,1)),"",IF((AND(RIGHT(G5483,2)=RIGHT('112'!$M$9,2),B5483&lt;'112'!$K$9,$O5483='112'!$I$6)),"x",""))</f>
        <v/>
      </c>
      <c r="W5483" s="79" t="str">
        <f>IF(AND('341-CT'!$H$9=H5483,OR(LEFT(N5483,3)=$W$7,LEFT(O5483,3)=$W$7)),"x","")</f>
        <v/>
      </c>
      <c r="X5483" s="79" t="str">
        <f>IF(OR(TH!N5483=TH!$X$7,O5483=TH!$X$7),"x","")</f>
        <v/>
      </c>
      <c r="Y5483" s="79" t="str">
        <f>IF(AND(OR(N5483="131",O5483="131"),H5483='131-CT'!$H$9),"x","")</f>
        <v/>
      </c>
      <c r="Z5483" s="79"/>
      <c r="AA5483" s="79" t="str">
        <f>IF(AND(MONTH(E5483)='IN-NX'!$J$5,'IN-NX'!$D$7=D5483),"x","")</f>
        <v/>
      </c>
      <c r="AB5483" s="79" t="str">
        <f>IF(AND(OR(LEFT(TH!N5483,2)="15",LEFT(TH!O5483,2)="15"),LEFT(TH!O5483,3)&lt;&gt;"111",'152-CT'!$J$8=TH!F5483),"x","")</f>
        <v/>
      </c>
      <c r="AC5483" s="79" t="str">
        <f>IF(AND(OR(LEFT(TH!N5483,2)="15",LEFT(TH!O5483,2)="15"),TK!$E$7=TH!F5483),"x","")</f>
        <v/>
      </c>
      <c r="AD5483" s="79" t="str">
        <f>IF(AND(N5483="1521",MONTH(C5483)='BK-NL'!$M$11),"x","")</f>
        <v/>
      </c>
    </row>
    <row r="5484" spans="1:30" ht="16.5" customHeight="1">
      <c r="A5484" s="318" t="str">
        <f>IF(B5484&lt;&gt;"",IF(AND(B5484='IN-TC'!$S$4,OR(TH!N5484="1111",TH!O5484="1111")),TH!D5484,""),"")</f>
        <v/>
      </c>
      <c r="B5484" s="60" t="str">
        <f t="shared" si="506"/>
        <v/>
      </c>
      <c r="C5484" s="61"/>
      <c r="D5484" s="61"/>
      <c r="E5484" s="61"/>
      <c r="F5484" s="69"/>
      <c r="G5484" s="766"/>
      <c r="H5484" s="69"/>
      <c r="I5484" s="385"/>
      <c r="J5484" s="392"/>
      <c r="K5484" s="385"/>
      <c r="L5484" s="392"/>
      <c r="M5484" s="62"/>
      <c r="N5484" s="63"/>
      <c r="O5484" s="63"/>
      <c r="P5484" s="79" t="str">
        <f>IF(AND('331-CT'!$E$7=TH!H5484,OR(N5484="331",O5484="331")),"x","")</f>
        <v/>
      </c>
      <c r="Q5484" s="79" t="str">
        <f>IF(AND(B5484='111'!$L$11,OR($N5484=$Q$7,$O5484=$Q$7)),"x","")</f>
        <v/>
      </c>
      <c r="R5484" s="79" t="str">
        <f>IF(AND($N5484=$Q$7,$B5484&lt;'111'!$L$11),"x","")</f>
        <v/>
      </c>
      <c r="S5484" s="79" t="str">
        <f>IF(AND($O5484=$Q$7,$B5484&lt;'111'!$L$11),"x","")</f>
        <v/>
      </c>
      <c r="T5484" s="79" t="str">
        <f>IF(ISERROR(FIND('112'!$M$9,G5484,1)),"",IF((AND(FIND('112'!$M$9,G5484,1)&gt;=1,B5484='112'!$K$9,OR($N5484='112'!$I$6,$O5484='112'!$I$6))),"x",""))</f>
        <v/>
      </c>
      <c r="U5484" s="79" t="str">
        <f>IF(ISERROR(FIND('112'!$M$9,G5484,1)),"",IF((AND(LEFT(G5484,2)=LEFT('112'!$M$9,2),B5484&lt;'112'!$K$9,$N5484='112'!$I$6)),"x",""))</f>
        <v/>
      </c>
      <c r="V5484" s="79" t="str">
        <f>IF(ISERROR(FIND('112'!$M$9,G5484,1)),"",IF((AND(RIGHT(G5484,2)=RIGHT('112'!$M$9,2),B5484&lt;'112'!$K$9,$O5484='112'!$I$6)),"x",""))</f>
        <v/>
      </c>
      <c r="W5484" s="79" t="str">
        <f>IF(AND('341-CT'!$H$9=H5484,OR(LEFT(N5484,3)=$W$7,LEFT(O5484,3)=$W$7)),"x","")</f>
        <v/>
      </c>
      <c r="X5484" s="79" t="str">
        <f>IF(OR(TH!N5484=TH!$X$7,O5484=TH!$X$7),"x","")</f>
        <v/>
      </c>
      <c r="Y5484" s="79" t="str">
        <f>IF(AND(OR(N5484="131",O5484="131"),H5484='131-CT'!$H$9),"x","")</f>
        <v/>
      </c>
      <c r="Z5484" s="79"/>
      <c r="AA5484" s="79" t="str">
        <f>IF(AND(MONTH(E5484)='IN-NX'!$J$5,'IN-NX'!$D$7=D5484),"x","")</f>
        <v/>
      </c>
      <c r="AB5484" s="79" t="str">
        <f>IF(AND(OR(LEFT(TH!N5484,2)="15",LEFT(TH!O5484,2)="15"),LEFT(TH!O5484,3)&lt;&gt;"111",'152-CT'!$J$8=TH!F5484),"x","")</f>
        <v/>
      </c>
      <c r="AC5484" s="79" t="str">
        <f>IF(AND(OR(LEFT(TH!N5484,2)="15",LEFT(TH!O5484,2)="15"),TK!$E$7=TH!F5484),"x","")</f>
        <v/>
      </c>
      <c r="AD5484" s="79" t="str">
        <f>IF(AND(N5484="1521",MONTH(C5484)='BK-NL'!$M$11),"x","")</f>
        <v/>
      </c>
    </row>
    <row r="5485" spans="1:30" ht="16.5" customHeight="1">
      <c r="A5485" s="318" t="str">
        <f>IF(B5485&lt;&gt;"",IF(AND(B5485='IN-TC'!$S$4,OR(TH!N5485="1111",TH!O5485="1111")),TH!D5485,""),"")</f>
        <v/>
      </c>
      <c r="B5485" s="60" t="str">
        <f t="shared" si="506"/>
        <v/>
      </c>
      <c r="C5485" s="61"/>
      <c r="D5485" s="61"/>
      <c r="E5485" s="61"/>
      <c r="F5485" s="69"/>
      <c r="G5485" s="766"/>
      <c r="H5485" s="69"/>
      <c r="I5485" s="385"/>
      <c r="J5485" s="392"/>
      <c r="K5485" s="385"/>
      <c r="L5485" s="392"/>
      <c r="M5485" s="62"/>
      <c r="N5485" s="63"/>
      <c r="O5485" s="63"/>
      <c r="P5485" s="79" t="str">
        <f>IF(AND('331-CT'!$E$7=TH!H5485,OR(N5485="331",O5485="331")),"x","")</f>
        <v/>
      </c>
      <c r="Q5485" s="79" t="str">
        <f>IF(AND(B5485='111'!$L$11,OR($N5485=$Q$7,$O5485=$Q$7)),"x","")</f>
        <v/>
      </c>
      <c r="R5485" s="79" t="str">
        <f>IF(AND($N5485=$Q$7,$B5485&lt;'111'!$L$11),"x","")</f>
        <v/>
      </c>
      <c r="S5485" s="79" t="str">
        <f>IF(AND($O5485=$Q$7,$B5485&lt;'111'!$L$11),"x","")</f>
        <v/>
      </c>
      <c r="T5485" s="79" t="str">
        <f>IF(ISERROR(FIND('112'!$M$9,G5485,1)),"",IF((AND(FIND('112'!$M$9,G5485,1)&gt;=1,B5485='112'!$K$9,OR($N5485='112'!$I$6,$O5485='112'!$I$6))),"x",""))</f>
        <v/>
      </c>
      <c r="U5485" s="79" t="str">
        <f>IF(ISERROR(FIND('112'!$M$9,G5485,1)),"",IF((AND(LEFT(G5485,2)=LEFT('112'!$M$9,2),B5485&lt;'112'!$K$9,$N5485='112'!$I$6)),"x",""))</f>
        <v/>
      </c>
      <c r="V5485" s="79" t="str">
        <f>IF(ISERROR(FIND('112'!$M$9,G5485,1)),"",IF((AND(RIGHT(G5485,2)=RIGHT('112'!$M$9,2),B5485&lt;'112'!$K$9,$O5485='112'!$I$6)),"x",""))</f>
        <v/>
      </c>
      <c r="W5485" s="79" t="str">
        <f>IF(AND('341-CT'!$H$9=H5485,OR(LEFT(N5485,3)=$W$7,LEFT(O5485,3)=$W$7)),"x","")</f>
        <v/>
      </c>
      <c r="X5485" s="79" t="str">
        <f>IF(OR(TH!N5485=TH!$X$7,O5485=TH!$X$7),"x","")</f>
        <v/>
      </c>
      <c r="Y5485" s="79" t="str">
        <f>IF(AND(OR(N5485="131",O5485="131"),H5485='131-CT'!$H$9),"x","")</f>
        <v/>
      </c>
      <c r="Z5485" s="79"/>
      <c r="AA5485" s="79" t="str">
        <f>IF(AND(MONTH(E5485)='IN-NX'!$J$5,'IN-NX'!$D$7=D5485),"x","")</f>
        <v/>
      </c>
      <c r="AB5485" s="79" t="str">
        <f>IF(AND(OR(LEFT(TH!N5485,2)="15",LEFT(TH!O5485,2)="15"),LEFT(TH!O5485,3)&lt;&gt;"111",'152-CT'!$J$8=TH!F5485),"x","")</f>
        <v/>
      </c>
      <c r="AC5485" s="79" t="str">
        <f>IF(AND(OR(LEFT(TH!N5485,2)="15",LEFT(TH!O5485,2)="15"),TK!$E$7=TH!F5485),"x","")</f>
        <v/>
      </c>
      <c r="AD5485" s="79" t="str">
        <f>IF(AND(N5485="1521",MONTH(C5485)='BK-NL'!$M$11),"x","")</f>
        <v/>
      </c>
    </row>
    <row r="5486" spans="1:30" ht="16.5" customHeight="1">
      <c r="A5486" s="318" t="str">
        <f>IF(B5486&lt;&gt;"",IF(AND(B5486='IN-TC'!$S$4,OR(TH!N5486="1111",TH!O5486="1111")),TH!D5486,""),"")</f>
        <v/>
      </c>
      <c r="B5486" s="60" t="str">
        <f t="shared" si="506"/>
        <v/>
      </c>
      <c r="C5486" s="61"/>
      <c r="D5486" s="61"/>
      <c r="E5486" s="61"/>
      <c r="F5486" s="69"/>
      <c r="G5486" s="766"/>
      <c r="H5486" s="69"/>
      <c r="I5486" s="385"/>
      <c r="J5486" s="392"/>
      <c r="K5486" s="385"/>
      <c r="L5486" s="392"/>
      <c r="M5486" s="62"/>
      <c r="N5486" s="63"/>
      <c r="O5486" s="63"/>
      <c r="P5486" s="79" t="str">
        <f>IF(AND('331-CT'!$E$7=TH!H5486,OR(N5486="331",O5486="331")),"x","")</f>
        <v/>
      </c>
      <c r="Q5486" s="79" t="str">
        <f>IF(AND(B5486='111'!$L$11,OR($N5486=$Q$7,$O5486=$Q$7)),"x","")</f>
        <v/>
      </c>
      <c r="R5486" s="79" t="str">
        <f>IF(AND($N5486=$Q$7,$B5486&lt;'111'!$L$11),"x","")</f>
        <v/>
      </c>
      <c r="S5486" s="79" t="str">
        <f>IF(AND($O5486=$Q$7,$B5486&lt;'111'!$L$11),"x","")</f>
        <v/>
      </c>
      <c r="T5486" s="79" t="str">
        <f>IF(ISERROR(FIND('112'!$M$9,G5486,1)),"",IF((AND(FIND('112'!$M$9,G5486,1)&gt;=1,B5486='112'!$K$9,OR($N5486='112'!$I$6,$O5486='112'!$I$6))),"x",""))</f>
        <v/>
      </c>
      <c r="U5486" s="79" t="str">
        <f>IF(ISERROR(FIND('112'!$M$9,G5486,1)),"",IF((AND(LEFT(G5486,2)=LEFT('112'!$M$9,2),B5486&lt;'112'!$K$9,$N5486='112'!$I$6)),"x",""))</f>
        <v/>
      </c>
      <c r="V5486" s="79" t="str">
        <f>IF(ISERROR(FIND('112'!$M$9,G5486,1)),"",IF((AND(RIGHT(G5486,2)=RIGHT('112'!$M$9,2),B5486&lt;'112'!$K$9,$O5486='112'!$I$6)),"x",""))</f>
        <v/>
      </c>
      <c r="W5486" s="79" t="str">
        <f>IF(AND('341-CT'!$H$9=H5486,OR(LEFT(N5486,3)=$W$7,LEFT(O5486,3)=$W$7)),"x","")</f>
        <v/>
      </c>
      <c r="X5486" s="79" t="str">
        <f>IF(OR(TH!N5486=TH!$X$7,O5486=TH!$X$7),"x","")</f>
        <v/>
      </c>
      <c r="Y5486" s="79" t="str">
        <f>IF(AND(OR(N5486="131",O5486="131"),H5486='131-CT'!$H$9),"x","")</f>
        <v/>
      </c>
      <c r="Z5486" s="79"/>
      <c r="AA5486" s="79" t="str">
        <f>IF(AND(MONTH(E5486)='IN-NX'!$J$5,'IN-NX'!$D$7=D5486),"x","")</f>
        <v/>
      </c>
      <c r="AB5486" s="79" t="str">
        <f>IF(AND(OR(LEFT(TH!N5486,2)="15",LEFT(TH!O5486,2)="15"),LEFT(TH!O5486,3)&lt;&gt;"111",'152-CT'!$J$8=TH!F5486),"x","")</f>
        <v/>
      </c>
      <c r="AC5486" s="79" t="str">
        <f>IF(AND(OR(LEFT(TH!N5486,2)="15",LEFT(TH!O5486,2)="15"),TK!$E$7=TH!F5486),"x","")</f>
        <v/>
      </c>
      <c r="AD5486" s="79" t="str">
        <f>IF(AND(N5486="1521",MONTH(C5486)='BK-NL'!$M$11),"x","")</f>
        <v/>
      </c>
    </row>
    <row r="5487" spans="1:30" ht="16.5" customHeight="1">
      <c r="A5487" s="318" t="str">
        <f>IF(B5487&lt;&gt;"",IF(AND(B5487='IN-TC'!$S$4,OR(TH!N5487="1111",TH!O5487="1111")),TH!D5487,""),"")</f>
        <v/>
      </c>
      <c r="B5487" s="60" t="str">
        <f t="shared" si="506"/>
        <v/>
      </c>
      <c r="C5487" s="61"/>
      <c r="D5487" s="61"/>
      <c r="E5487" s="61"/>
      <c r="F5487" s="69"/>
      <c r="G5487" s="766"/>
      <c r="H5487" s="69"/>
      <c r="I5487" s="385"/>
      <c r="J5487" s="392"/>
      <c r="K5487" s="385"/>
      <c r="L5487" s="392"/>
      <c r="M5487" s="62"/>
      <c r="N5487" s="63"/>
      <c r="O5487" s="63"/>
      <c r="P5487" s="79" t="str">
        <f>IF(AND('331-CT'!$E$7=TH!H5487,OR(N5487="331",O5487="331")),"x","")</f>
        <v/>
      </c>
      <c r="Q5487" s="79" t="str">
        <f>IF(AND(B5487='111'!$L$11,OR($N5487=$Q$7,$O5487=$Q$7)),"x","")</f>
        <v/>
      </c>
      <c r="R5487" s="79" t="str">
        <f>IF(AND($N5487=$Q$7,$B5487&lt;'111'!$L$11),"x","")</f>
        <v/>
      </c>
      <c r="S5487" s="79" t="str">
        <f>IF(AND($O5487=$Q$7,$B5487&lt;'111'!$L$11),"x","")</f>
        <v/>
      </c>
      <c r="T5487" s="79" t="str">
        <f>IF(ISERROR(FIND('112'!$M$9,G5487,1)),"",IF((AND(FIND('112'!$M$9,G5487,1)&gt;=1,B5487='112'!$K$9,OR($N5487='112'!$I$6,$O5487='112'!$I$6))),"x",""))</f>
        <v/>
      </c>
      <c r="U5487" s="79" t="str">
        <f>IF(ISERROR(FIND('112'!$M$9,G5487,1)),"",IF((AND(LEFT(G5487,2)=LEFT('112'!$M$9,2),B5487&lt;'112'!$K$9,$N5487='112'!$I$6)),"x",""))</f>
        <v/>
      </c>
      <c r="V5487" s="79" t="str">
        <f>IF(ISERROR(FIND('112'!$M$9,G5487,1)),"",IF((AND(RIGHT(G5487,2)=RIGHT('112'!$M$9,2),B5487&lt;'112'!$K$9,$O5487='112'!$I$6)),"x",""))</f>
        <v/>
      </c>
      <c r="W5487" s="79" t="str">
        <f>IF(AND('341-CT'!$H$9=H5487,OR(LEFT(N5487,3)=$W$7,LEFT(O5487,3)=$W$7)),"x","")</f>
        <v/>
      </c>
      <c r="X5487" s="79" t="str">
        <f>IF(OR(TH!N5487=TH!$X$7,O5487=TH!$X$7),"x","")</f>
        <v/>
      </c>
      <c r="Y5487" s="79" t="str">
        <f>IF(AND(OR(N5487="131",O5487="131"),H5487='131-CT'!$H$9),"x","")</f>
        <v/>
      </c>
      <c r="Z5487" s="79"/>
      <c r="AA5487" s="79" t="str">
        <f>IF(AND(MONTH(E5487)='IN-NX'!$J$5,'IN-NX'!$D$7=D5487),"x","")</f>
        <v/>
      </c>
      <c r="AB5487" s="79" t="str">
        <f>IF(AND(OR(LEFT(TH!N5487,2)="15",LEFT(TH!O5487,2)="15"),LEFT(TH!O5487,3)&lt;&gt;"111",'152-CT'!$J$8=TH!F5487),"x","")</f>
        <v/>
      </c>
      <c r="AC5487" s="79" t="str">
        <f>IF(AND(OR(LEFT(TH!N5487,2)="15",LEFT(TH!O5487,2)="15"),TK!$E$7=TH!F5487),"x","")</f>
        <v/>
      </c>
      <c r="AD5487" s="79" t="str">
        <f>IF(AND(N5487="1521",MONTH(C5487)='BK-NL'!$M$11),"x","")</f>
        <v/>
      </c>
    </row>
    <row r="5488" spans="1:30" ht="16.5" customHeight="1">
      <c r="A5488" s="318" t="str">
        <f>IF(B5488&lt;&gt;"",IF(AND(B5488='IN-TC'!$S$4,OR(TH!N5488="1111",TH!O5488="1111")),TH!D5488,""),"")</f>
        <v/>
      </c>
      <c r="B5488" s="60" t="str">
        <f t="shared" si="506"/>
        <v/>
      </c>
      <c r="C5488" s="61"/>
      <c r="D5488" s="61"/>
      <c r="E5488" s="61"/>
      <c r="F5488" s="69"/>
      <c r="G5488" s="766"/>
      <c r="H5488" s="69"/>
      <c r="I5488" s="385"/>
      <c r="J5488" s="392"/>
      <c r="K5488" s="385"/>
      <c r="L5488" s="392"/>
      <c r="M5488" s="62"/>
      <c r="N5488" s="63"/>
      <c r="O5488" s="63"/>
      <c r="P5488" s="79" t="str">
        <f>IF(AND('331-CT'!$E$7=TH!H5488,OR(N5488="331",O5488="331")),"x","")</f>
        <v/>
      </c>
      <c r="Q5488" s="79" t="str">
        <f>IF(AND(B5488='111'!$L$11,OR($N5488=$Q$7,$O5488=$Q$7)),"x","")</f>
        <v/>
      </c>
      <c r="R5488" s="79" t="str">
        <f>IF(AND($N5488=$Q$7,$B5488&lt;'111'!$L$11),"x","")</f>
        <v/>
      </c>
      <c r="S5488" s="79" t="str">
        <f>IF(AND($O5488=$Q$7,$B5488&lt;'111'!$L$11),"x","")</f>
        <v/>
      </c>
      <c r="T5488" s="79" t="str">
        <f>IF(ISERROR(FIND('112'!$M$9,G5488,1)),"",IF((AND(FIND('112'!$M$9,G5488,1)&gt;=1,B5488='112'!$K$9,OR($N5488='112'!$I$6,$O5488='112'!$I$6))),"x",""))</f>
        <v/>
      </c>
      <c r="U5488" s="79" t="str">
        <f>IF(ISERROR(FIND('112'!$M$9,G5488,1)),"",IF((AND(LEFT(G5488,2)=LEFT('112'!$M$9,2),B5488&lt;'112'!$K$9,$N5488='112'!$I$6)),"x",""))</f>
        <v/>
      </c>
      <c r="V5488" s="79" t="str">
        <f>IF(ISERROR(FIND('112'!$M$9,G5488,1)),"",IF((AND(RIGHT(G5488,2)=RIGHT('112'!$M$9,2),B5488&lt;'112'!$K$9,$O5488='112'!$I$6)),"x",""))</f>
        <v/>
      </c>
      <c r="W5488" s="79" t="str">
        <f>IF(AND('341-CT'!$H$9=H5488,OR(LEFT(N5488,3)=$W$7,LEFT(O5488,3)=$W$7)),"x","")</f>
        <v/>
      </c>
      <c r="X5488" s="79" t="str">
        <f>IF(OR(TH!N5488=TH!$X$7,O5488=TH!$X$7),"x","")</f>
        <v/>
      </c>
      <c r="Y5488" s="79" t="str">
        <f>IF(AND(OR(N5488="131",O5488="131"),H5488='131-CT'!$H$9),"x","")</f>
        <v/>
      </c>
      <c r="Z5488" s="79"/>
      <c r="AA5488" s="79" t="str">
        <f>IF(AND(MONTH(E5488)='IN-NX'!$J$5,'IN-NX'!$D$7=D5488),"x","")</f>
        <v/>
      </c>
      <c r="AB5488" s="79" t="str">
        <f>IF(AND(OR(LEFT(TH!N5488,2)="15",LEFT(TH!O5488,2)="15"),LEFT(TH!O5488,3)&lt;&gt;"111",'152-CT'!$J$8=TH!F5488),"x","")</f>
        <v/>
      </c>
      <c r="AC5488" s="79" t="str">
        <f>IF(AND(OR(LEFT(TH!N5488,2)="15",LEFT(TH!O5488,2)="15"),TK!$E$7=TH!F5488),"x","")</f>
        <v/>
      </c>
      <c r="AD5488" s="79" t="str">
        <f>IF(AND(N5488="1521",MONTH(C5488)='BK-NL'!$M$11),"x","")</f>
        <v/>
      </c>
    </row>
    <row r="5489" spans="1:30" ht="16.5" customHeight="1">
      <c r="A5489" s="318" t="str">
        <f>IF(B5489&lt;&gt;"",IF(AND(B5489='IN-TC'!$S$4,OR(TH!N5489="1111",TH!O5489="1111")),TH!D5489,""),"")</f>
        <v/>
      </c>
      <c r="B5489" s="60" t="str">
        <f t="shared" si="506"/>
        <v/>
      </c>
      <c r="C5489" s="61"/>
      <c r="D5489" s="61"/>
      <c r="E5489" s="61"/>
      <c r="F5489" s="69"/>
      <c r="G5489" s="766"/>
      <c r="H5489" s="69"/>
      <c r="I5489" s="385"/>
      <c r="J5489" s="392"/>
      <c r="K5489" s="385"/>
      <c r="L5489" s="392"/>
      <c r="M5489" s="62"/>
      <c r="N5489" s="63"/>
      <c r="O5489" s="63"/>
      <c r="P5489" s="79" t="str">
        <f>IF(AND('331-CT'!$E$7=TH!H5489,OR(N5489="331",O5489="331")),"x","")</f>
        <v/>
      </c>
      <c r="Q5489" s="79" t="str">
        <f>IF(AND(B5489='111'!$L$11,OR($N5489=$Q$7,$O5489=$Q$7)),"x","")</f>
        <v/>
      </c>
      <c r="R5489" s="79" t="str">
        <f>IF(AND($N5489=$Q$7,$B5489&lt;'111'!$L$11),"x","")</f>
        <v/>
      </c>
      <c r="S5489" s="79" t="str">
        <f>IF(AND($O5489=$Q$7,$B5489&lt;'111'!$L$11),"x","")</f>
        <v/>
      </c>
      <c r="T5489" s="79" t="str">
        <f>IF(ISERROR(FIND('112'!$M$9,G5489,1)),"",IF((AND(FIND('112'!$M$9,G5489,1)&gt;=1,B5489='112'!$K$9,OR($N5489='112'!$I$6,$O5489='112'!$I$6))),"x",""))</f>
        <v/>
      </c>
      <c r="U5489" s="79" t="str">
        <f>IF(ISERROR(FIND('112'!$M$9,G5489,1)),"",IF((AND(LEFT(G5489,2)=LEFT('112'!$M$9,2),B5489&lt;'112'!$K$9,$N5489='112'!$I$6)),"x",""))</f>
        <v/>
      </c>
      <c r="V5489" s="79" t="str">
        <f>IF(ISERROR(FIND('112'!$M$9,G5489,1)),"",IF((AND(RIGHT(G5489,2)=RIGHT('112'!$M$9,2),B5489&lt;'112'!$K$9,$O5489='112'!$I$6)),"x",""))</f>
        <v/>
      </c>
      <c r="W5489" s="79" t="str">
        <f>IF(AND('341-CT'!$H$9=H5489,OR(LEFT(N5489,3)=$W$7,LEFT(O5489,3)=$W$7)),"x","")</f>
        <v/>
      </c>
      <c r="X5489" s="79" t="str">
        <f>IF(OR(TH!N5489=TH!$X$7,O5489=TH!$X$7),"x","")</f>
        <v/>
      </c>
      <c r="Y5489" s="79" t="str">
        <f>IF(AND(OR(N5489="131",O5489="131"),H5489='131-CT'!$H$9),"x","")</f>
        <v/>
      </c>
      <c r="Z5489" s="79"/>
      <c r="AA5489" s="79" t="str">
        <f>IF(AND(MONTH(E5489)='IN-NX'!$J$5,'IN-NX'!$D$7=D5489),"x","")</f>
        <v/>
      </c>
      <c r="AB5489" s="79" t="str">
        <f>IF(AND(OR(LEFT(TH!N5489,2)="15",LEFT(TH!O5489,2)="15"),LEFT(TH!O5489,3)&lt;&gt;"111",'152-CT'!$J$8=TH!F5489),"x","")</f>
        <v/>
      </c>
      <c r="AC5489" s="79" t="str">
        <f>IF(AND(OR(LEFT(TH!N5489,2)="15",LEFT(TH!O5489,2)="15"),TK!$E$7=TH!F5489),"x","")</f>
        <v/>
      </c>
      <c r="AD5489" s="79" t="str">
        <f>IF(AND(N5489="1521",MONTH(C5489)='BK-NL'!$M$11),"x","")</f>
        <v/>
      </c>
    </row>
    <row r="5490" spans="1:30" ht="16.5" customHeight="1">
      <c r="A5490" s="318" t="str">
        <f>IF(B5490&lt;&gt;"",IF(AND(B5490='IN-TC'!$S$4,OR(TH!N5490="1111",TH!O5490="1111")),TH!D5490,""),"")</f>
        <v/>
      </c>
      <c r="B5490" s="60" t="str">
        <f t="shared" si="506"/>
        <v/>
      </c>
      <c r="C5490" s="61"/>
      <c r="D5490" s="61"/>
      <c r="E5490" s="61"/>
      <c r="F5490" s="69"/>
      <c r="G5490" s="766"/>
      <c r="H5490" s="69"/>
      <c r="I5490" s="385"/>
      <c r="J5490" s="392"/>
      <c r="K5490" s="385"/>
      <c r="L5490" s="392"/>
      <c r="M5490" s="62"/>
      <c r="N5490" s="63"/>
      <c r="O5490" s="63"/>
      <c r="P5490" s="79" t="str">
        <f>IF(AND('331-CT'!$E$7=TH!H5490,OR(N5490="331",O5490="331")),"x","")</f>
        <v/>
      </c>
      <c r="Q5490" s="79" t="str">
        <f>IF(AND(B5490='111'!$L$11,OR($N5490=$Q$7,$O5490=$Q$7)),"x","")</f>
        <v/>
      </c>
      <c r="R5490" s="79" t="str">
        <f>IF(AND($N5490=$Q$7,$B5490&lt;'111'!$L$11),"x","")</f>
        <v/>
      </c>
      <c r="S5490" s="79" t="str">
        <f>IF(AND($O5490=$Q$7,$B5490&lt;'111'!$L$11),"x","")</f>
        <v/>
      </c>
      <c r="T5490" s="79" t="str">
        <f>IF(ISERROR(FIND('112'!$M$9,G5490,1)),"",IF((AND(FIND('112'!$M$9,G5490,1)&gt;=1,B5490='112'!$K$9,OR($N5490='112'!$I$6,$O5490='112'!$I$6))),"x",""))</f>
        <v/>
      </c>
      <c r="U5490" s="79" t="str">
        <f>IF(ISERROR(FIND('112'!$M$9,G5490,1)),"",IF((AND(LEFT(G5490,2)=LEFT('112'!$M$9,2),B5490&lt;'112'!$K$9,$N5490='112'!$I$6)),"x",""))</f>
        <v/>
      </c>
      <c r="V5490" s="79" t="str">
        <f>IF(ISERROR(FIND('112'!$M$9,G5490,1)),"",IF((AND(RIGHT(G5490,2)=RIGHT('112'!$M$9,2),B5490&lt;'112'!$K$9,$O5490='112'!$I$6)),"x",""))</f>
        <v/>
      </c>
      <c r="W5490" s="79" t="str">
        <f>IF(AND('341-CT'!$H$9=H5490,OR(LEFT(N5490,3)=$W$7,LEFT(O5490,3)=$W$7)),"x","")</f>
        <v/>
      </c>
      <c r="X5490" s="79" t="str">
        <f>IF(OR(TH!N5490=TH!$X$7,O5490=TH!$X$7),"x","")</f>
        <v/>
      </c>
      <c r="Y5490" s="79" t="str">
        <f>IF(AND(OR(N5490="131",O5490="131"),H5490='131-CT'!$H$9),"x","")</f>
        <v/>
      </c>
      <c r="Z5490" s="79"/>
      <c r="AA5490" s="79" t="str">
        <f>IF(AND(MONTH(E5490)='IN-NX'!$J$5,'IN-NX'!$D$7=D5490),"x","")</f>
        <v/>
      </c>
      <c r="AB5490" s="79" t="str">
        <f>IF(AND(OR(LEFT(TH!N5490,2)="15",LEFT(TH!O5490,2)="15"),LEFT(TH!O5490,3)&lt;&gt;"111",'152-CT'!$J$8=TH!F5490),"x","")</f>
        <v/>
      </c>
      <c r="AC5490" s="79" t="str">
        <f>IF(AND(OR(LEFT(TH!N5490,2)="15",LEFT(TH!O5490,2)="15"),TK!$E$7=TH!F5490),"x","")</f>
        <v/>
      </c>
      <c r="AD5490" s="79" t="str">
        <f>IF(AND(N5490="1521",MONTH(C5490)='BK-NL'!$M$11),"x","")</f>
        <v/>
      </c>
    </row>
    <row r="5491" spans="1:30" ht="16.5" customHeight="1">
      <c r="A5491" s="318" t="str">
        <f>IF(B5491&lt;&gt;"",IF(AND(B5491='IN-TC'!$S$4,OR(TH!N5491="1111",TH!O5491="1111")),TH!D5491,""),"")</f>
        <v/>
      </c>
      <c r="B5491" s="60" t="str">
        <f t="shared" si="506"/>
        <v/>
      </c>
      <c r="C5491" s="61"/>
      <c r="D5491" s="61"/>
      <c r="E5491" s="61"/>
      <c r="F5491" s="69"/>
      <c r="G5491" s="766"/>
      <c r="H5491" s="69"/>
      <c r="I5491" s="385"/>
      <c r="J5491" s="392"/>
      <c r="K5491" s="385"/>
      <c r="L5491" s="392"/>
      <c r="M5491" s="62"/>
      <c r="N5491" s="63"/>
      <c r="O5491" s="63"/>
      <c r="P5491" s="79" t="str">
        <f>IF(AND('331-CT'!$E$7=TH!H5491,OR(N5491="331",O5491="331")),"x","")</f>
        <v/>
      </c>
      <c r="Q5491" s="79" t="str">
        <f>IF(AND(B5491='111'!$L$11,OR($N5491=$Q$7,$O5491=$Q$7)),"x","")</f>
        <v/>
      </c>
      <c r="R5491" s="79" t="str">
        <f>IF(AND($N5491=$Q$7,$B5491&lt;'111'!$L$11),"x","")</f>
        <v/>
      </c>
      <c r="S5491" s="79" t="str">
        <f>IF(AND($O5491=$Q$7,$B5491&lt;'111'!$L$11),"x","")</f>
        <v/>
      </c>
      <c r="T5491" s="79" t="str">
        <f>IF(ISERROR(FIND('112'!$M$9,G5491,1)),"",IF((AND(FIND('112'!$M$9,G5491,1)&gt;=1,B5491='112'!$K$9,OR($N5491='112'!$I$6,$O5491='112'!$I$6))),"x",""))</f>
        <v/>
      </c>
      <c r="U5491" s="79" t="str">
        <f>IF(ISERROR(FIND('112'!$M$9,G5491,1)),"",IF((AND(LEFT(G5491,2)=LEFT('112'!$M$9,2),B5491&lt;'112'!$K$9,$N5491='112'!$I$6)),"x",""))</f>
        <v/>
      </c>
      <c r="V5491" s="79" t="str">
        <f>IF(ISERROR(FIND('112'!$M$9,G5491,1)),"",IF((AND(RIGHT(G5491,2)=RIGHT('112'!$M$9,2),B5491&lt;'112'!$K$9,$O5491='112'!$I$6)),"x",""))</f>
        <v/>
      </c>
      <c r="W5491" s="79" t="str">
        <f>IF(AND('341-CT'!$H$9=H5491,OR(LEFT(N5491,3)=$W$7,LEFT(O5491,3)=$W$7)),"x","")</f>
        <v/>
      </c>
      <c r="X5491" s="79" t="str">
        <f>IF(OR(TH!N5491=TH!$X$7,O5491=TH!$X$7),"x","")</f>
        <v/>
      </c>
      <c r="Y5491" s="79" t="str">
        <f>IF(AND(OR(N5491="131",O5491="131"),H5491='131-CT'!$H$9),"x","")</f>
        <v/>
      </c>
      <c r="Z5491" s="79"/>
      <c r="AA5491" s="79" t="str">
        <f>IF(AND(MONTH(E5491)='IN-NX'!$J$5,'IN-NX'!$D$7=D5491),"x","")</f>
        <v/>
      </c>
      <c r="AB5491" s="79" t="str">
        <f>IF(AND(OR(LEFT(TH!N5491,2)="15",LEFT(TH!O5491,2)="15"),LEFT(TH!O5491,3)&lt;&gt;"111",'152-CT'!$J$8=TH!F5491),"x","")</f>
        <v/>
      </c>
      <c r="AC5491" s="79" t="str">
        <f>IF(AND(OR(LEFT(TH!N5491,2)="15",LEFT(TH!O5491,2)="15"),TK!$E$7=TH!F5491),"x","")</f>
        <v/>
      </c>
      <c r="AD5491" s="79" t="str">
        <f>IF(AND(N5491="1521",MONTH(C5491)='BK-NL'!$M$11),"x","")</f>
        <v/>
      </c>
    </row>
    <row r="5492" spans="1:30" ht="16.5" customHeight="1">
      <c r="A5492" s="318" t="str">
        <f>IF(B5492&lt;&gt;"",IF(AND(B5492='IN-TC'!$S$4,OR(TH!N5492="1111",TH!O5492="1111")),TH!D5492,""),"")</f>
        <v/>
      </c>
      <c r="B5492" s="60" t="str">
        <f t="shared" si="506"/>
        <v/>
      </c>
      <c r="C5492" s="61"/>
      <c r="D5492" s="61"/>
      <c r="E5492" s="61"/>
      <c r="F5492" s="69"/>
      <c r="G5492" s="766"/>
      <c r="H5492" s="69"/>
      <c r="I5492" s="385"/>
      <c r="J5492" s="392"/>
      <c r="K5492" s="385"/>
      <c r="L5492" s="392"/>
      <c r="M5492" s="62"/>
      <c r="N5492" s="63"/>
      <c r="O5492" s="63"/>
      <c r="P5492" s="79" t="str">
        <f>IF(AND('331-CT'!$E$7=TH!H5492,OR(N5492="331",O5492="331")),"x","")</f>
        <v/>
      </c>
      <c r="Q5492" s="79" t="str">
        <f>IF(AND(B5492='111'!$L$11,OR($N5492=$Q$7,$O5492=$Q$7)),"x","")</f>
        <v/>
      </c>
      <c r="R5492" s="79" t="str">
        <f>IF(AND($N5492=$Q$7,$B5492&lt;'111'!$L$11),"x","")</f>
        <v/>
      </c>
      <c r="S5492" s="79" t="str">
        <f>IF(AND($O5492=$Q$7,$B5492&lt;'111'!$L$11),"x","")</f>
        <v/>
      </c>
      <c r="T5492" s="79" t="str">
        <f>IF(ISERROR(FIND('112'!$M$9,G5492,1)),"",IF((AND(FIND('112'!$M$9,G5492,1)&gt;=1,B5492='112'!$K$9,OR($N5492='112'!$I$6,$O5492='112'!$I$6))),"x",""))</f>
        <v/>
      </c>
      <c r="U5492" s="79" t="str">
        <f>IF(ISERROR(FIND('112'!$M$9,G5492,1)),"",IF((AND(LEFT(G5492,2)=LEFT('112'!$M$9,2),B5492&lt;'112'!$K$9,$N5492='112'!$I$6)),"x",""))</f>
        <v/>
      </c>
      <c r="V5492" s="79" t="str">
        <f>IF(ISERROR(FIND('112'!$M$9,G5492,1)),"",IF((AND(RIGHT(G5492,2)=RIGHT('112'!$M$9,2),B5492&lt;'112'!$K$9,$O5492='112'!$I$6)),"x",""))</f>
        <v/>
      </c>
      <c r="W5492" s="79" t="str">
        <f>IF(AND('341-CT'!$H$9=H5492,OR(LEFT(N5492,3)=$W$7,LEFT(O5492,3)=$W$7)),"x","")</f>
        <v/>
      </c>
      <c r="X5492" s="79" t="str">
        <f>IF(OR(TH!N5492=TH!$X$7,O5492=TH!$X$7),"x","")</f>
        <v/>
      </c>
      <c r="Y5492" s="79" t="str">
        <f>IF(AND(OR(N5492="131",O5492="131"),H5492='131-CT'!$H$9),"x","")</f>
        <v/>
      </c>
      <c r="Z5492" s="79"/>
      <c r="AA5492" s="79" t="str">
        <f>IF(AND(MONTH(E5492)='IN-NX'!$J$5,'IN-NX'!$D$7=D5492),"x","")</f>
        <v/>
      </c>
      <c r="AB5492" s="79" t="str">
        <f>IF(AND(OR(LEFT(TH!N5492,2)="15",LEFT(TH!O5492,2)="15"),LEFT(TH!O5492,3)&lt;&gt;"111",'152-CT'!$J$8=TH!F5492),"x","")</f>
        <v/>
      </c>
      <c r="AC5492" s="79" t="str">
        <f>IF(AND(OR(LEFT(TH!N5492,2)="15",LEFT(TH!O5492,2)="15"),TK!$E$7=TH!F5492),"x","")</f>
        <v/>
      </c>
      <c r="AD5492" s="79" t="str">
        <f>IF(AND(N5492="1521",MONTH(C5492)='BK-NL'!$M$11),"x","")</f>
        <v/>
      </c>
    </row>
    <row r="5493" spans="1:30" ht="16.5" customHeight="1">
      <c r="A5493" s="318" t="str">
        <f>IF(B5493&lt;&gt;"",IF(AND(B5493='IN-TC'!$S$4,OR(TH!N5493="1111",TH!O5493="1111")),TH!D5493,""),"")</f>
        <v/>
      </c>
      <c r="B5493" s="60" t="str">
        <f t="shared" si="506"/>
        <v/>
      </c>
      <c r="C5493" s="61"/>
      <c r="D5493" s="61"/>
      <c r="E5493" s="61"/>
      <c r="F5493" s="69"/>
      <c r="G5493" s="766"/>
      <c r="H5493" s="69"/>
      <c r="I5493" s="385"/>
      <c r="J5493" s="392"/>
      <c r="K5493" s="385"/>
      <c r="L5493" s="392"/>
      <c r="M5493" s="62"/>
      <c r="N5493" s="63"/>
      <c r="O5493" s="63"/>
      <c r="P5493" s="79" t="str">
        <f>IF(AND('331-CT'!$E$7=TH!H5493,OR(N5493="331",O5493="331")),"x","")</f>
        <v/>
      </c>
      <c r="Q5493" s="79" t="str">
        <f>IF(AND(B5493='111'!$L$11,OR($N5493=$Q$7,$O5493=$Q$7)),"x","")</f>
        <v/>
      </c>
      <c r="R5493" s="79" t="str">
        <f>IF(AND($N5493=$Q$7,$B5493&lt;'111'!$L$11),"x","")</f>
        <v/>
      </c>
      <c r="S5493" s="79" t="str">
        <f>IF(AND($O5493=$Q$7,$B5493&lt;'111'!$L$11),"x","")</f>
        <v/>
      </c>
      <c r="T5493" s="79" t="str">
        <f>IF(ISERROR(FIND('112'!$M$9,G5493,1)),"",IF((AND(FIND('112'!$M$9,G5493,1)&gt;=1,B5493='112'!$K$9,OR($N5493='112'!$I$6,$O5493='112'!$I$6))),"x",""))</f>
        <v/>
      </c>
      <c r="U5493" s="79" t="str">
        <f>IF(ISERROR(FIND('112'!$M$9,G5493,1)),"",IF((AND(LEFT(G5493,2)=LEFT('112'!$M$9,2),B5493&lt;'112'!$K$9,$N5493='112'!$I$6)),"x",""))</f>
        <v/>
      </c>
      <c r="V5493" s="79" t="str">
        <f>IF(ISERROR(FIND('112'!$M$9,G5493,1)),"",IF((AND(RIGHT(G5493,2)=RIGHT('112'!$M$9,2),B5493&lt;'112'!$K$9,$O5493='112'!$I$6)),"x",""))</f>
        <v/>
      </c>
      <c r="W5493" s="79" t="str">
        <f>IF(AND('341-CT'!$H$9=H5493,OR(LEFT(N5493,3)=$W$7,LEFT(O5493,3)=$W$7)),"x","")</f>
        <v/>
      </c>
      <c r="X5493" s="79" t="str">
        <f>IF(OR(TH!N5493=TH!$X$7,O5493=TH!$X$7),"x","")</f>
        <v/>
      </c>
      <c r="Y5493" s="79" t="str">
        <f>IF(AND(OR(N5493="131",O5493="131"),H5493='131-CT'!$H$9),"x","")</f>
        <v/>
      </c>
      <c r="Z5493" s="79"/>
      <c r="AA5493" s="79" t="str">
        <f>IF(AND(MONTH(E5493)='IN-NX'!$J$5,'IN-NX'!$D$7=D5493),"x","")</f>
        <v/>
      </c>
      <c r="AB5493" s="79" t="str">
        <f>IF(AND(OR(LEFT(TH!N5493,2)="15",LEFT(TH!O5493,2)="15"),LEFT(TH!O5493,3)&lt;&gt;"111",'152-CT'!$J$8=TH!F5493),"x","")</f>
        <v/>
      </c>
      <c r="AC5493" s="79" t="str">
        <f>IF(AND(OR(LEFT(TH!N5493,2)="15",LEFT(TH!O5493,2)="15"),TK!$E$7=TH!F5493),"x","")</f>
        <v/>
      </c>
      <c r="AD5493" s="79" t="str">
        <f>IF(AND(N5493="1521",MONTH(C5493)='BK-NL'!$M$11),"x","")</f>
        <v/>
      </c>
    </row>
    <row r="5494" spans="1:30" ht="16.5" customHeight="1">
      <c r="A5494" s="318" t="str">
        <f>IF(B5494&lt;&gt;"",IF(AND(B5494='IN-TC'!$S$4,OR(TH!N5494="1111",TH!O5494="1111")),TH!D5494,""),"")</f>
        <v/>
      </c>
      <c r="B5494" s="60" t="str">
        <f t="shared" si="506"/>
        <v/>
      </c>
      <c r="C5494" s="61"/>
      <c r="D5494" s="61"/>
      <c r="E5494" s="61"/>
      <c r="F5494" s="69"/>
      <c r="G5494" s="766"/>
      <c r="H5494" s="69"/>
      <c r="I5494" s="385"/>
      <c r="J5494" s="392"/>
      <c r="K5494" s="385"/>
      <c r="L5494" s="392"/>
      <c r="M5494" s="62"/>
      <c r="N5494" s="63"/>
      <c r="O5494" s="63"/>
      <c r="P5494" s="79" t="str">
        <f>IF(AND('331-CT'!$E$7=TH!H5494,OR(N5494="331",O5494="331")),"x","")</f>
        <v/>
      </c>
      <c r="Q5494" s="79" t="str">
        <f>IF(AND(B5494='111'!$L$11,OR($N5494=$Q$7,$O5494=$Q$7)),"x","")</f>
        <v/>
      </c>
      <c r="R5494" s="79" t="str">
        <f>IF(AND($N5494=$Q$7,$B5494&lt;'111'!$L$11),"x","")</f>
        <v/>
      </c>
      <c r="S5494" s="79" t="str">
        <f>IF(AND($O5494=$Q$7,$B5494&lt;'111'!$L$11),"x","")</f>
        <v/>
      </c>
      <c r="T5494" s="79" t="str">
        <f>IF(ISERROR(FIND('112'!$M$9,G5494,1)),"",IF((AND(FIND('112'!$M$9,G5494,1)&gt;=1,B5494='112'!$K$9,OR($N5494='112'!$I$6,$O5494='112'!$I$6))),"x",""))</f>
        <v/>
      </c>
      <c r="U5494" s="79" t="str">
        <f>IF(ISERROR(FIND('112'!$M$9,G5494,1)),"",IF((AND(LEFT(G5494,2)=LEFT('112'!$M$9,2),B5494&lt;'112'!$K$9,$N5494='112'!$I$6)),"x",""))</f>
        <v/>
      </c>
      <c r="V5494" s="79" t="str">
        <f>IF(ISERROR(FIND('112'!$M$9,G5494,1)),"",IF((AND(RIGHT(G5494,2)=RIGHT('112'!$M$9,2),B5494&lt;'112'!$K$9,$O5494='112'!$I$6)),"x",""))</f>
        <v/>
      </c>
      <c r="W5494" s="79" t="str">
        <f>IF(AND('341-CT'!$H$9=H5494,OR(LEFT(N5494,3)=$W$7,LEFT(O5494,3)=$W$7)),"x","")</f>
        <v/>
      </c>
      <c r="X5494" s="79" t="str">
        <f>IF(OR(TH!N5494=TH!$X$7,O5494=TH!$X$7),"x","")</f>
        <v/>
      </c>
      <c r="Y5494" s="79" t="str">
        <f>IF(AND(OR(N5494="131",O5494="131"),H5494='131-CT'!$H$9),"x","")</f>
        <v/>
      </c>
      <c r="Z5494" s="79"/>
      <c r="AA5494" s="79" t="str">
        <f>IF(AND(MONTH(E5494)='IN-NX'!$J$5,'IN-NX'!$D$7=D5494),"x","")</f>
        <v/>
      </c>
      <c r="AB5494" s="79" t="str">
        <f>IF(AND(OR(LEFT(TH!N5494,2)="15",LEFT(TH!O5494,2)="15"),LEFT(TH!O5494,3)&lt;&gt;"111",'152-CT'!$J$8=TH!F5494),"x","")</f>
        <v/>
      </c>
      <c r="AC5494" s="79" t="str">
        <f>IF(AND(OR(LEFT(TH!N5494,2)="15",LEFT(TH!O5494,2)="15"),TK!$E$7=TH!F5494),"x","")</f>
        <v/>
      </c>
      <c r="AD5494" s="79" t="str">
        <f>IF(AND(N5494="1521",MONTH(C5494)='BK-NL'!$M$11),"x","")</f>
        <v/>
      </c>
    </row>
    <row r="5495" spans="1:30" ht="16.5" customHeight="1">
      <c r="A5495" s="318" t="str">
        <f>IF(B5495&lt;&gt;"",IF(AND(B5495='IN-TC'!$S$4,OR(TH!N5495="1111",TH!O5495="1111")),TH!D5495,""),"")</f>
        <v/>
      </c>
      <c r="B5495" s="60" t="str">
        <f t="shared" si="506"/>
        <v/>
      </c>
      <c r="C5495" s="61"/>
      <c r="D5495" s="61"/>
      <c r="E5495" s="61"/>
      <c r="F5495" s="69"/>
      <c r="G5495" s="766"/>
      <c r="H5495" s="69"/>
      <c r="I5495" s="385"/>
      <c r="J5495" s="392"/>
      <c r="K5495" s="385"/>
      <c r="L5495" s="392"/>
      <c r="M5495" s="62"/>
      <c r="N5495" s="63"/>
      <c r="O5495" s="63"/>
      <c r="P5495" s="79" t="str">
        <f>IF(AND('331-CT'!$E$7=TH!H5495,OR(N5495="331",O5495="331")),"x","")</f>
        <v/>
      </c>
      <c r="Q5495" s="79" t="str">
        <f>IF(AND(B5495='111'!$L$11,OR($N5495=$Q$7,$O5495=$Q$7)),"x","")</f>
        <v/>
      </c>
      <c r="R5495" s="79" t="str">
        <f>IF(AND($N5495=$Q$7,$B5495&lt;'111'!$L$11),"x","")</f>
        <v/>
      </c>
      <c r="S5495" s="79" t="str">
        <f>IF(AND($O5495=$Q$7,$B5495&lt;'111'!$L$11),"x","")</f>
        <v/>
      </c>
      <c r="T5495" s="79" t="str">
        <f>IF(ISERROR(FIND('112'!$M$9,G5495,1)),"",IF((AND(FIND('112'!$M$9,G5495,1)&gt;=1,B5495='112'!$K$9,OR($N5495='112'!$I$6,$O5495='112'!$I$6))),"x",""))</f>
        <v/>
      </c>
      <c r="U5495" s="79" t="str">
        <f>IF(ISERROR(FIND('112'!$M$9,G5495,1)),"",IF((AND(LEFT(G5495,2)=LEFT('112'!$M$9,2),B5495&lt;'112'!$K$9,$N5495='112'!$I$6)),"x",""))</f>
        <v/>
      </c>
      <c r="V5495" s="79" t="str">
        <f>IF(ISERROR(FIND('112'!$M$9,G5495,1)),"",IF((AND(RIGHT(G5495,2)=RIGHT('112'!$M$9,2),B5495&lt;'112'!$K$9,$O5495='112'!$I$6)),"x",""))</f>
        <v/>
      </c>
      <c r="W5495" s="79" t="str">
        <f>IF(AND('341-CT'!$H$9=H5495,OR(LEFT(N5495,3)=$W$7,LEFT(O5495,3)=$W$7)),"x","")</f>
        <v/>
      </c>
      <c r="X5495" s="79" t="str">
        <f>IF(OR(TH!N5495=TH!$X$7,O5495=TH!$X$7),"x","")</f>
        <v/>
      </c>
      <c r="Y5495" s="79" t="str">
        <f>IF(AND(OR(N5495="131",O5495="131"),H5495='131-CT'!$H$9),"x","")</f>
        <v/>
      </c>
      <c r="Z5495" s="79"/>
      <c r="AA5495" s="79" t="str">
        <f>IF(AND(MONTH(E5495)='IN-NX'!$J$5,'IN-NX'!$D$7=D5495),"x","")</f>
        <v/>
      </c>
      <c r="AB5495" s="79" t="str">
        <f>IF(AND(OR(LEFT(TH!N5495,2)="15",LEFT(TH!O5495,2)="15"),LEFT(TH!O5495,3)&lt;&gt;"111",'152-CT'!$J$8=TH!F5495),"x","")</f>
        <v/>
      </c>
      <c r="AC5495" s="79" t="str">
        <f>IF(AND(OR(LEFT(TH!N5495,2)="15",LEFT(TH!O5495,2)="15"),TK!$E$7=TH!F5495),"x","")</f>
        <v/>
      </c>
      <c r="AD5495" s="79" t="str">
        <f>IF(AND(N5495="1521",MONTH(C5495)='BK-NL'!$M$11),"x","")</f>
        <v/>
      </c>
    </row>
    <row r="5496" spans="1:30" ht="16.5" customHeight="1">
      <c r="A5496" s="318" t="str">
        <f>IF(B5496&lt;&gt;"",IF(AND(B5496='IN-TC'!$S$4,OR(TH!N5496="1111",TH!O5496="1111")),TH!D5496,""),"")</f>
        <v/>
      </c>
      <c r="B5496" s="60" t="str">
        <f t="shared" si="506"/>
        <v/>
      </c>
      <c r="C5496" s="61"/>
      <c r="D5496" s="61"/>
      <c r="E5496" s="61"/>
      <c r="F5496" s="69"/>
      <c r="G5496" s="766"/>
      <c r="H5496" s="69"/>
      <c r="I5496" s="385"/>
      <c r="J5496" s="392"/>
      <c r="K5496" s="385"/>
      <c r="L5496" s="392"/>
      <c r="M5496" s="62"/>
      <c r="N5496" s="63"/>
      <c r="O5496" s="63"/>
      <c r="P5496" s="79" t="str">
        <f>IF(AND('331-CT'!$E$7=TH!H5496,OR(N5496="331",O5496="331")),"x","")</f>
        <v/>
      </c>
      <c r="Q5496" s="79" t="str">
        <f>IF(AND(B5496='111'!$L$11,OR($N5496=$Q$7,$O5496=$Q$7)),"x","")</f>
        <v/>
      </c>
      <c r="R5496" s="79" t="str">
        <f>IF(AND($N5496=$Q$7,$B5496&lt;'111'!$L$11),"x","")</f>
        <v/>
      </c>
      <c r="S5496" s="79" t="str">
        <f>IF(AND($O5496=$Q$7,$B5496&lt;'111'!$L$11),"x","")</f>
        <v/>
      </c>
      <c r="T5496" s="79" t="str">
        <f>IF(ISERROR(FIND('112'!$M$9,G5496,1)),"",IF((AND(FIND('112'!$M$9,G5496,1)&gt;=1,B5496='112'!$K$9,OR($N5496='112'!$I$6,$O5496='112'!$I$6))),"x",""))</f>
        <v/>
      </c>
      <c r="U5496" s="79" t="str">
        <f>IF(ISERROR(FIND('112'!$M$9,G5496,1)),"",IF((AND(LEFT(G5496,2)=LEFT('112'!$M$9,2),B5496&lt;'112'!$K$9,$N5496='112'!$I$6)),"x",""))</f>
        <v/>
      </c>
      <c r="V5496" s="79" t="str">
        <f>IF(ISERROR(FIND('112'!$M$9,G5496,1)),"",IF((AND(RIGHT(G5496,2)=RIGHT('112'!$M$9,2),B5496&lt;'112'!$K$9,$O5496='112'!$I$6)),"x",""))</f>
        <v/>
      </c>
      <c r="W5496" s="79" t="str">
        <f>IF(AND('341-CT'!$H$9=H5496,OR(LEFT(N5496,3)=$W$7,LEFT(O5496,3)=$W$7)),"x","")</f>
        <v/>
      </c>
      <c r="X5496" s="79" t="str">
        <f>IF(OR(TH!N5496=TH!$X$7,O5496=TH!$X$7),"x","")</f>
        <v/>
      </c>
      <c r="Y5496" s="79" t="str">
        <f>IF(AND(OR(N5496="131",O5496="131"),H5496='131-CT'!$H$9),"x","")</f>
        <v/>
      </c>
      <c r="Z5496" s="79"/>
      <c r="AA5496" s="79" t="str">
        <f>IF(AND(MONTH(E5496)='IN-NX'!$J$5,'IN-NX'!$D$7=D5496),"x","")</f>
        <v/>
      </c>
      <c r="AB5496" s="79" t="str">
        <f>IF(AND(OR(LEFT(TH!N5496,2)="15",LEFT(TH!O5496,2)="15"),LEFT(TH!O5496,3)&lt;&gt;"111",'152-CT'!$J$8=TH!F5496),"x","")</f>
        <v/>
      </c>
      <c r="AC5496" s="79" t="str">
        <f>IF(AND(OR(LEFT(TH!N5496,2)="15",LEFT(TH!O5496,2)="15"),TK!$E$7=TH!F5496),"x","")</f>
        <v/>
      </c>
      <c r="AD5496" s="79" t="str">
        <f>IF(AND(N5496="1521",MONTH(C5496)='BK-NL'!$M$11),"x","")</f>
        <v/>
      </c>
    </row>
    <row r="5497" spans="1:30" ht="16.5" customHeight="1">
      <c r="A5497" s="318" t="str">
        <f>IF(B5497&lt;&gt;"",IF(AND(B5497='IN-TC'!$S$4,OR(TH!N5497="1111",TH!O5497="1111")),TH!D5497,""),"")</f>
        <v/>
      </c>
      <c r="B5497" s="60" t="str">
        <f t="shared" si="506"/>
        <v/>
      </c>
      <c r="C5497" s="61"/>
      <c r="D5497" s="61"/>
      <c r="E5497" s="61"/>
      <c r="F5497" s="69"/>
      <c r="G5497" s="766"/>
      <c r="H5497" s="69"/>
      <c r="I5497" s="385"/>
      <c r="J5497" s="392"/>
      <c r="K5497" s="385"/>
      <c r="L5497" s="392"/>
      <c r="M5497" s="62"/>
      <c r="N5497" s="63"/>
      <c r="O5497" s="63"/>
      <c r="P5497" s="79" t="str">
        <f>IF(AND('331-CT'!$E$7=TH!H5497,OR(N5497="331",O5497="331")),"x","")</f>
        <v/>
      </c>
      <c r="Q5497" s="79" t="str">
        <f>IF(AND(B5497='111'!$L$11,OR($N5497=$Q$7,$O5497=$Q$7)),"x","")</f>
        <v/>
      </c>
      <c r="R5497" s="79" t="str">
        <f>IF(AND($N5497=$Q$7,$B5497&lt;'111'!$L$11),"x","")</f>
        <v/>
      </c>
      <c r="S5497" s="79" t="str">
        <f>IF(AND($O5497=$Q$7,$B5497&lt;'111'!$L$11),"x","")</f>
        <v/>
      </c>
      <c r="T5497" s="79" t="str">
        <f>IF(ISERROR(FIND('112'!$M$9,G5497,1)),"",IF((AND(FIND('112'!$M$9,G5497,1)&gt;=1,B5497='112'!$K$9,OR($N5497='112'!$I$6,$O5497='112'!$I$6))),"x",""))</f>
        <v/>
      </c>
      <c r="U5497" s="79" t="str">
        <f>IF(ISERROR(FIND('112'!$M$9,G5497,1)),"",IF((AND(LEFT(G5497,2)=LEFT('112'!$M$9,2),B5497&lt;'112'!$K$9,$N5497='112'!$I$6)),"x",""))</f>
        <v/>
      </c>
      <c r="V5497" s="79" t="str">
        <f>IF(ISERROR(FIND('112'!$M$9,G5497,1)),"",IF((AND(RIGHT(G5497,2)=RIGHT('112'!$M$9,2),B5497&lt;'112'!$K$9,$O5497='112'!$I$6)),"x",""))</f>
        <v/>
      </c>
      <c r="W5497" s="79" t="str">
        <f>IF(AND('341-CT'!$H$9=H5497,OR(LEFT(N5497,3)=$W$7,LEFT(O5497,3)=$W$7)),"x","")</f>
        <v/>
      </c>
      <c r="X5497" s="79" t="str">
        <f>IF(OR(TH!N5497=TH!$X$7,O5497=TH!$X$7),"x","")</f>
        <v/>
      </c>
      <c r="Y5497" s="79" t="str">
        <f>IF(AND(OR(N5497="131",O5497="131"),H5497='131-CT'!$H$9),"x","")</f>
        <v/>
      </c>
      <c r="Z5497" s="79"/>
      <c r="AA5497" s="79" t="str">
        <f>IF(AND(MONTH(E5497)='IN-NX'!$J$5,'IN-NX'!$D$7=D5497),"x","")</f>
        <v/>
      </c>
      <c r="AB5497" s="79" t="str">
        <f>IF(AND(OR(LEFT(TH!N5497,2)="15",LEFT(TH!O5497,2)="15"),LEFT(TH!O5497,3)&lt;&gt;"111",'152-CT'!$J$8=TH!F5497),"x","")</f>
        <v/>
      </c>
      <c r="AC5497" s="79" t="str">
        <f>IF(AND(OR(LEFT(TH!N5497,2)="15",LEFT(TH!O5497,2)="15"),TK!$E$7=TH!F5497),"x","")</f>
        <v/>
      </c>
      <c r="AD5497" s="79" t="str">
        <f>IF(AND(N5497="1521",MONTH(C5497)='BK-NL'!$M$11),"x","")</f>
        <v/>
      </c>
    </row>
    <row r="5498" spans="1:30" ht="16.5" customHeight="1">
      <c r="A5498" s="318" t="str">
        <f>IF(B5498&lt;&gt;"",IF(AND(B5498='IN-TC'!$S$4,OR(TH!N5498="1111",TH!O5498="1111")),TH!D5498,""),"")</f>
        <v/>
      </c>
      <c r="B5498" s="60" t="str">
        <f t="shared" si="506"/>
        <v/>
      </c>
      <c r="C5498" s="61"/>
      <c r="D5498" s="61"/>
      <c r="E5498" s="61"/>
      <c r="F5498" s="69"/>
      <c r="G5498" s="766"/>
      <c r="H5498" s="69"/>
      <c r="I5498" s="385"/>
      <c r="J5498" s="392"/>
      <c r="K5498" s="385"/>
      <c r="L5498" s="392"/>
      <c r="M5498" s="62"/>
      <c r="N5498" s="63"/>
      <c r="O5498" s="63"/>
      <c r="P5498" s="79" t="str">
        <f>IF(AND('331-CT'!$E$7=TH!H5498,OR(N5498="331",O5498="331")),"x","")</f>
        <v/>
      </c>
      <c r="Q5498" s="79" t="str">
        <f>IF(AND(B5498='111'!$L$11,OR($N5498=$Q$7,$O5498=$Q$7)),"x","")</f>
        <v/>
      </c>
      <c r="R5498" s="79" t="str">
        <f>IF(AND($N5498=$Q$7,$B5498&lt;'111'!$L$11),"x","")</f>
        <v/>
      </c>
      <c r="S5498" s="79" t="str">
        <f>IF(AND($O5498=$Q$7,$B5498&lt;'111'!$L$11),"x","")</f>
        <v/>
      </c>
      <c r="T5498" s="79" t="str">
        <f>IF(ISERROR(FIND('112'!$M$9,G5498,1)),"",IF((AND(FIND('112'!$M$9,G5498,1)&gt;=1,B5498='112'!$K$9,OR($N5498='112'!$I$6,$O5498='112'!$I$6))),"x",""))</f>
        <v/>
      </c>
      <c r="U5498" s="79" t="str">
        <f>IF(ISERROR(FIND('112'!$M$9,G5498,1)),"",IF((AND(LEFT(G5498,2)=LEFT('112'!$M$9,2),B5498&lt;'112'!$K$9,$N5498='112'!$I$6)),"x",""))</f>
        <v/>
      </c>
      <c r="V5498" s="79" t="str">
        <f>IF(ISERROR(FIND('112'!$M$9,G5498,1)),"",IF((AND(RIGHT(G5498,2)=RIGHT('112'!$M$9,2),B5498&lt;'112'!$K$9,$O5498='112'!$I$6)),"x",""))</f>
        <v/>
      </c>
      <c r="W5498" s="79" t="str">
        <f>IF(AND('341-CT'!$H$9=H5498,OR(LEFT(N5498,3)=$W$7,LEFT(O5498,3)=$W$7)),"x","")</f>
        <v/>
      </c>
      <c r="X5498" s="79" t="str">
        <f>IF(OR(TH!N5498=TH!$X$7,O5498=TH!$X$7),"x","")</f>
        <v/>
      </c>
      <c r="Y5498" s="79" t="str">
        <f>IF(AND(OR(N5498="131",O5498="131"),H5498='131-CT'!$H$9),"x","")</f>
        <v/>
      </c>
      <c r="Z5498" s="79"/>
      <c r="AA5498" s="79" t="str">
        <f>IF(AND(MONTH(E5498)='IN-NX'!$J$5,'IN-NX'!$D$7=D5498),"x","")</f>
        <v/>
      </c>
      <c r="AB5498" s="79" t="str">
        <f>IF(AND(OR(LEFT(TH!N5498,2)="15",LEFT(TH!O5498,2)="15"),LEFT(TH!O5498,3)&lt;&gt;"111",'152-CT'!$J$8=TH!F5498),"x","")</f>
        <v/>
      </c>
      <c r="AC5498" s="79" t="str">
        <f>IF(AND(OR(LEFT(TH!N5498,2)="15",LEFT(TH!O5498,2)="15"),TK!$E$7=TH!F5498),"x","")</f>
        <v/>
      </c>
      <c r="AD5498" s="79" t="str">
        <f>IF(AND(N5498="1521",MONTH(C5498)='BK-NL'!$M$11),"x","")</f>
        <v/>
      </c>
    </row>
    <row r="5499" spans="1:30" ht="16.5" customHeight="1">
      <c r="A5499" s="318" t="str">
        <f>IF(B5499&lt;&gt;"",IF(AND(B5499='IN-TC'!$S$4,OR(TH!N5499="1111",TH!O5499="1111")),TH!D5499,""),"")</f>
        <v/>
      </c>
      <c r="B5499" s="60" t="str">
        <f t="shared" si="506"/>
        <v/>
      </c>
      <c r="C5499" s="61"/>
      <c r="D5499" s="61"/>
      <c r="E5499" s="61"/>
      <c r="F5499" s="69"/>
      <c r="G5499" s="766"/>
      <c r="H5499" s="69"/>
      <c r="I5499" s="385"/>
      <c r="J5499" s="392"/>
      <c r="K5499" s="385"/>
      <c r="L5499" s="392"/>
      <c r="M5499" s="62"/>
      <c r="N5499" s="63"/>
      <c r="O5499" s="63"/>
      <c r="P5499" s="79" t="str">
        <f>IF(AND('331-CT'!$E$7=TH!H5499,OR(N5499="331",O5499="331")),"x","")</f>
        <v/>
      </c>
      <c r="Q5499" s="79" t="str">
        <f>IF(AND(B5499='111'!$L$11,OR($N5499=$Q$7,$O5499=$Q$7)),"x","")</f>
        <v/>
      </c>
      <c r="R5499" s="79" t="str">
        <f>IF(AND($N5499=$Q$7,$B5499&lt;'111'!$L$11),"x","")</f>
        <v/>
      </c>
      <c r="S5499" s="79" t="str">
        <f>IF(AND($O5499=$Q$7,$B5499&lt;'111'!$L$11),"x","")</f>
        <v/>
      </c>
      <c r="T5499" s="79" t="str">
        <f>IF(ISERROR(FIND('112'!$M$9,G5499,1)),"",IF((AND(FIND('112'!$M$9,G5499,1)&gt;=1,B5499='112'!$K$9,OR($N5499='112'!$I$6,$O5499='112'!$I$6))),"x",""))</f>
        <v/>
      </c>
      <c r="U5499" s="79" t="str">
        <f>IF(ISERROR(FIND('112'!$M$9,G5499,1)),"",IF((AND(LEFT(G5499,2)=LEFT('112'!$M$9,2),B5499&lt;'112'!$K$9,$N5499='112'!$I$6)),"x",""))</f>
        <v/>
      </c>
      <c r="V5499" s="79" t="str">
        <f>IF(ISERROR(FIND('112'!$M$9,G5499,1)),"",IF((AND(RIGHT(G5499,2)=RIGHT('112'!$M$9,2),B5499&lt;'112'!$K$9,$O5499='112'!$I$6)),"x",""))</f>
        <v/>
      </c>
      <c r="W5499" s="79" t="str">
        <f>IF(AND('341-CT'!$H$9=H5499,OR(LEFT(N5499,3)=$W$7,LEFT(O5499,3)=$W$7)),"x","")</f>
        <v/>
      </c>
      <c r="X5499" s="79" t="str">
        <f>IF(OR(TH!N5499=TH!$X$7,O5499=TH!$X$7),"x","")</f>
        <v/>
      </c>
      <c r="Y5499" s="79" t="str">
        <f>IF(AND(OR(N5499="131",O5499="131"),H5499='131-CT'!$H$9),"x","")</f>
        <v/>
      </c>
      <c r="Z5499" s="79"/>
      <c r="AA5499" s="79" t="str">
        <f>IF(AND(MONTH(E5499)='IN-NX'!$J$5,'IN-NX'!$D$7=D5499),"x","")</f>
        <v/>
      </c>
      <c r="AB5499" s="79" t="str">
        <f>IF(AND(OR(LEFT(TH!N5499,2)="15",LEFT(TH!O5499,2)="15"),LEFT(TH!O5499,3)&lt;&gt;"111",'152-CT'!$J$8=TH!F5499),"x","")</f>
        <v/>
      </c>
      <c r="AC5499" s="79" t="str">
        <f>IF(AND(OR(LEFT(TH!N5499,2)="15",LEFT(TH!O5499,2)="15"),TK!$E$7=TH!F5499),"x","")</f>
        <v/>
      </c>
      <c r="AD5499" s="79" t="str">
        <f>IF(AND(N5499="1521",MONTH(C5499)='BK-NL'!$M$11),"x","")</f>
        <v/>
      </c>
    </row>
    <row r="5500" spans="1:30" ht="16.5" customHeight="1">
      <c r="A5500" s="318" t="str">
        <f>IF(B5500&lt;&gt;"",IF(AND(B5500='IN-TC'!$S$4,OR(TH!N5500="1111",TH!O5500="1111")),TH!D5500,""),"")</f>
        <v/>
      </c>
      <c r="B5500" s="60" t="str">
        <f t="shared" si="506"/>
        <v/>
      </c>
      <c r="C5500" s="61"/>
      <c r="D5500" s="61"/>
      <c r="E5500" s="61"/>
      <c r="F5500" s="69"/>
      <c r="G5500" s="766"/>
      <c r="H5500" s="69"/>
      <c r="I5500" s="385"/>
      <c r="J5500" s="392"/>
      <c r="K5500" s="385"/>
      <c r="L5500" s="392"/>
      <c r="M5500" s="62"/>
      <c r="N5500" s="63"/>
      <c r="O5500" s="63"/>
      <c r="P5500" s="79" t="str">
        <f>IF(AND('331-CT'!$E$7=TH!H5500,OR(N5500="331",O5500="331")),"x","")</f>
        <v/>
      </c>
      <c r="Q5500" s="79" t="str">
        <f>IF(AND(B5500='111'!$L$11,OR($N5500=$Q$7,$O5500=$Q$7)),"x","")</f>
        <v/>
      </c>
      <c r="R5500" s="79" t="str">
        <f>IF(AND($N5500=$Q$7,$B5500&lt;'111'!$L$11),"x","")</f>
        <v/>
      </c>
      <c r="S5500" s="79" t="str">
        <f>IF(AND($O5500=$Q$7,$B5500&lt;'111'!$L$11),"x","")</f>
        <v/>
      </c>
      <c r="T5500" s="79" t="str">
        <f>IF(ISERROR(FIND('112'!$M$9,G5500,1)),"",IF((AND(FIND('112'!$M$9,G5500,1)&gt;=1,B5500='112'!$K$9,OR($N5500='112'!$I$6,$O5500='112'!$I$6))),"x",""))</f>
        <v/>
      </c>
      <c r="U5500" s="79" t="str">
        <f>IF(ISERROR(FIND('112'!$M$9,G5500,1)),"",IF((AND(LEFT(G5500,2)=LEFT('112'!$M$9,2),B5500&lt;'112'!$K$9,$N5500='112'!$I$6)),"x",""))</f>
        <v/>
      </c>
      <c r="V5500" s="79" t="str">
        <f>IF(ISERROR(FIND('112'!$M$9,G5500,1)),"",IF((AND(RIGHT(G5500,2)=RIGHT('112'!$M$9,2),B5500&lt;'112'!$K$9,$O5500='112'!$I$6)),"x",""))</f>
        <v/>
      </c>
      <c r="W5500" s="79" t="str">
        <f>IF(AND('341-CT'!$H$9=H5500,OR(LEFT(N5500,3)=$W$7,LEFT(O5500,3)=$W$7)),"x","")</f>
        <v/>
      </c>
      <c r="X5500" s="79" t="str">
        <f>IF(OR(TH!N5500=TH!$X$7,O5500=TH!$X$7),"x","")</f>
        <v/>
      </c>
      <c r="Y5500" s="79" t="str">
        <f>IF(AND(OR(N5500="131",O5500="131"),H5500='131-CT'!$H$9),"x","")</f>
        <v/>
      </c>
      <c r="Z5500" s="79"/>
      <c r="AA5500" s="79" t="str">
        <f>IF(AND(MONTH(E5500)='IN-NX'!$J$5,'IN-NX'!$D$7=D5500),"x","")</f>
        <v/>
      </c>
      <c r="AB5500" s="79" t="str">
        <f>IF(AND(OR(LEFT(TH!N5500,2)="15",LEFT(TH!O5500,2)="15"),LEFT(TH!O5500,3)&lt;&gt;"111",'152-CT'!$J$8=TH!F5500),"x","")</f>
        <v/>
      </c>
      <c r="AC5500" s="79" t="str">
        <f>IF(AND(OR(LEFT(TH!N5500,2)="15",LEFT(TH!O5500,2)="15"),TK!$E$7=TH!F5500),"x","")</f>
        <v/>
      </c>
      <c r="AD5500" s="79" t="str">
        <f>IF(AND(N5500="1521",MONTH(C5500)='BK-NL'!$M$11),"x","")</f>
        <v/>
      </c>
    </row>
    <row r="5501" spans="1:30" ht="16.5" customHeight="1">
      <c r="A5501" s="318" t="str">
        <f>IF(B5501&lt;&gt;"",IF(AND(B5501='IN-TC'!$S$4,OR(TH!N5501="1111",TH!O5501="1111")),TH!D5501,""),"")</f>
        <v/>
      </c>
      <c r="B5501" s="60" t="str">
        <f t="shared" si="506"/>
        <v/>
      </c>
      <c r="C5501" s="61"/>
      <c r="D5501" s="61"/>
      <c r="E5501" s="61"/>
      <c r="F5501" s="69"/>
      <c r="G5501" s="766"/>
      <c r="H5501" s="69"/>
      <c r="I5501" s="385"/>
      <c r="J5501" s="392"/>
      <c r="K5501" s="385"/>
      <c r="L5501" s="392"/>
      <c r="M5501" s="62"/>
      <c r="N5501" s="63"/>
      <c r="O5501" s="63"/>
      <c r="P5501" s="79" t="str">
        <f>IF(AND('331-CT'!$E$7=TH!H5501,OR(N5501="331",O5501="331")),"x","")</f>
        <v/>
      </c>
      <c r="Q5501" s="79" t="str">
        <f>IF(AND(B5501='111'!$L$11,OR($N5501=$Q$7,$O5501=$Q$7)),"x","")</f>
        <v/>
      </c>
      <c r="R5501" s="79" t="str">
        <f>IF(AND($N5501=$Q$7,$B5501&lt;'111'!$L$11),"x","")</f>
        <v/>
      </c>
      <c r="S5501" s="79" t="str">
        <f>IF(AND($O5501=$Q$7,$B5501&lt;'111'!$L$11),"x","")</f>
        <v/>
      </c>
      <c r="T5501" s="79" t="str">
        <f>IF(ISERROR(FIND('112'!$M$9,G5501,1)),"",IF((AND(FIND('112'!$M$9,G5501,1)&gt;=1,B5501='112'!$K$9,OR($N5501='112'!$I$6,$O5501='112'!$I$6))),"x",""))</f>
        <v/>
      </c>
      <c r="U5501" s="79" t="str">
        <f>IF(ISERROR(FIND('112'!$M$9,G5501,1)),"",IF((AND(LEFT(G5501,2)=LEFT('112'!$M$9,2),B5501&lt;'112'!$K$9,$N5501='112'!$I$6)),"x",""))</f>
        <v/>
      </c>
      <c r="V5501" s="79" t="str">
        <f>IF(ISERROR(FIND('112'!$M$9,G5501,1)),"",IF((AND(RIGHT(G5501,2)=RIGHT('112'!$M$9,2),B5501&lt;'112'!$K$9,$O5501='112'!$I$6)),"x",""))</f>
        <v/>
      </c>
      <c r="W5501" s="79" t="str">
        <f>IF(AND('341-CT'!$H$9=H5501,OR(LEFT(N5501,3)=$W$7,LEFT(O5501,3)=$W$7)),"x","")</f>
        <v/>
      </c>
      <c r="X5501" s="79" t="str">
        <f>IF(OR(TH!N5501=TH!$X$7,O5501=TH!$X$7),"x","")</f>
        <v/>
      </c>
      <c r="Y5501" s="79" t="str">
        <f>IF(AND(OR(N5501="131",O5501="131"),H5501='131-CT'!$H$9),"x","")</f>
        <v/>
      </c>
      <c r="Z5501" s="79"/>
      <c r="AA5501" s="79" t="str">
        <f>IF(AND(MONTH(E5501)='IN-NX'!$J$5,'IN-NX'!$D$7=D5501),"x","")</f>
        <v/>
      </c>
      <c r="AB5501" s="79" t="str">
        <f>IF(AND(OR(LEFT(TH!N5501,2)="15",LEFT(TH!O5501,2)="15"),LEFT(TH!O5501,3)&lt;&gt;"111",'152-CT'!$J$8=TH!F5501),"x","")</f>
        <v/>
      </c>
      <c r="AC5501" s="79" t="str">
        <f>IF(AND(OR(LEFT(TH!N5501,2)="15",LEFT(TH!O5501,2)="15"),TK!$E$7=TH!F5501),"x","")</f>
        <v/>
      </c>
      <c r="AD5501" s="79" t="str">
        <f>IF(AND(N5501="1521",MONTH(C5501)='BK-NL'!$M$11),"x","")</f>
        <v/>
      </c>
    </row>
    <row r="5502" spans="1:30" ht="16.5" customHeight="1">
      <c r="A5502" s="318" t="str">
        <f>IF(B5502&lt;&gt;"",IF(AND(B5502='IN-TC'!$S$4,OR(TH!N5502="1111",TH!O5502="1111")),TH!D5502,""),"")</f>
        <v/>
      </c>
      <c r="B5502" s="60" t="str">
        <f t="shared" si="506"/>
        <v/>
      </c>
      <c r="C5502" s="61"/>
      <c r="D5502" s="61"/>
      <c r="E5502" s="61"/>
      <c r="F5502" s="69"/>
      <c r="G5502" s="766"/>
      <c r="H5502" s="69"/>
      <c r="I5502" s="385"/>
      <c r="J5502" s="392"/>
      <c r="K5502" s="385"/>
      <c r="L5502" s="392"/>
      <c r="M5502" s="62"/>
      <c r="N5502" s="63"/>
      <c r="O5502" s="63"/>
      <c r="P5502" s="79" t="str">
        <f>IF(AND('331-CT'!$E$7=TH!H5502,OR(N5502="331",O5502="331")),"x","")</f>
        <v/>
      </c>
      <c r="Q5502" s="79" t="str">
        <f>IF(AND(B5502='111'!$L$11,OR($N5502=$Q$7,$O5502=$Q$7)),"x","")</f>
        <v/>
      </c>
      <c r="R5502" s="79" t="str">
        <f>IF(AND($N5502=$Q$7,$B5502&lt;'111'!$L$11),"x","")</f>
        <v/>
      </c>
      <c r="S5502" s="79" t="str">
        <f>IF(AND($O5502=$Q$7,$B5502&lt;'111'!$L$11),"x","")</f>
        <v/>
      </c>
      <c r="T5502" s="79" t="str">
        <f>IF(ISERROR(FIND('112'!$M$9,G5502,1)),"",IF((AND(FIND('112'!$M$9,G5502,1)&gt;=1,B5502='112'!$K$9,OR($N5502='112'!$I$6,$O5502='112'!$I$6))),"x",""))</f>
        <v/>
      </c>
      <c r="U5502" s="79" t="str">
        <f>IF(ISERROR(FIND('112'!$M$9,G5502,1)),"",IF((AND(LEFT(G5502,2)=LEFT('112'!$M$9,2),B5502&lt;'112'!$K$9,$N5502='112'!$I$6)),"x",""))</f>
        <v/>
      </c>
      <c r="V5502" s="79" t="str">
        <f>IF(ISERROR(FIND('112'!$M$9,G5502,1)),"",IF((AND(RIGHT(G5502,2)=RIGHT('112'!$M$9,2),B5502&lt;'112'!$K$9,$O5502='112'!$I$6)),"x",""))</f>
        <v/>
      </c>
      <c r="W5502" s="79" t="str">
        <f>IF(AND('341-CT'!$H$9=H5502,OR(LEFT(N5502,3)=$W$7,LEFT(O5502,3)=$W$7)),"x","")</f>
        <v/>
      </c>
      <c r="X5502" s="79" t="str">
        <f>IF(OR(TH!N5502=TH!$X$7,O5502=TH!$X$7),"x","")</f>
        <v/>
      </c>
      <c r="Y5502" s="79" t="str">
        <f>IF(AND(OR(N5502="131",O5502="131"),H5502='131-CT'!$H$9),"x","")</f>
        <v/>
      </c>
      <c r="Z5502" s="79"/>
      <c r="AA5502" s="79" t="str">
        <f>IF(AND(MONTH(E5502)='IN-NX'!$J$5,'IN-NX'!$D$7=D5502),"x","")</f>
        <v/>
      </c>
      <c r="AB5502" s="79" t="str">
        <f>IF(AND(OR(LEFT(TH!N5502,2)="15",LEFT(TH!O5502,2)="15"),LEFT(TH!O5502,3)&lt;&gt;"111",'152-CT'!$J$8=TH!F5502),"x","")</f>
        <v/>
      </c>
      <c r="AC5502" s="79" t="str">
        <f>IF(AND(OR(LEFT(TH!N5502,2)="15",LEFT(TH!O5502,2)="15"),TK!$E$7=TH!F5502),"x","")</f>
        <v/>
      </c>
      <c r="AD5502" s="79" t="str">
        <f>IF(AND(N5502="1521",MONTH(C5502)='BK-NL'!$M$11),"x","")</f>
        <v/>
      </c>
    </row>
    <row r="5503" spans="1:30" ht="16.5" customHeight="1">
      <c r="A5503" s="318" t="str">
        <f>IF(B5503&lt;&gt;"",IF(AND(B5503='IN-TC'!$S$4,OR(TH!N5503="1111",TH!O5503="1111")),TH!D5503,""),"")</f>
        <v/>
      </c>
      <c r="B5503" s="60" t="str">
        <f t="shared" si="506"/>
        <v/>
      </c>
      <c r="C5503" s="61"/>
      <c r="D5503" s="61"/>
      <c r="E5503" s="61"/>
      <c r="F5503" s="69"/>
      <c r="G5503" s="766"/>
      <c r="H5503" s="69"/>
      <c r="I5503" s="385"/>
      <c r="J5503" s="392"/>
      <c r="K5503" s="385"/>
      <c r="L5503" s="392"/>
      <c r="M5503" s="62"/>
      <c r="N5503" s="63"/>
      <c r="O5503" s="63"/>
      <c r="P5503" s="79" t="str">
        <f>IF(AND('331-CT'!$E$7=TH!H5503,OR(N5503="331",O5503="331")),"x","")</f>
        <v/>
      </c>
      <c r="Q5503" s="79" t="str">
        <f>IF(AND(B5503='111'!$L$11,OR($N5503=$Q$7,$O5503=$Q$7)),"x","")</f>
        <v/>
      </c>
      <c r="R5503" s="79" t="str">
        <f>IF(AND($N5503=$Q$7,$B5503&lt;'111'!$L$11),"x","")</f>
        <v/>
      </c>
      <c r="S5503" s="79" t="str">
        <f>IF(AND($O5503=$Q$7,$B5503&lt;'111'!$L$11),"x","")</f>
        <v/>
      </c>
      <c r="T5503" s="79" t="str">
        <f>IF(ISERROR(FIND('112'!$M$9,G5503,1)),"",IF((AND(FIND('112'!$M$9,G5503,1)&gt;=1,B5503='112'!$K$9,OR($N5503='112'!$I$6,$O5503='112'!$I$6))),"x",""))</f>
        <v/>
      </c>
      <c r="U5503" s="79" t="str">
        <f>IF(ISERROR(FIND('112'!$M$9,G5503,1)),"",IF((AND(LEFT(G5503,2)=LEFT('112'!$M$9,2),B5503&lt;'112'!$K$9,$N5503='112'!$I$6)),"x",""))</f>
        <v/>
      </c>
      <c r="V5503" s="79" t="str">
        <f>IF(ISERROR(FIND('112'!$M$9,G5503,1)),"",IF((AND(RIGHT(G5503,2)=RIGHT('112'!$M$9,2),B5503&lt;'112'!$K$9,$O5503='112'!$I$6)),"x",""))</f>
        <v/>
      </c>
      <c r="W5503" s="79" t="str">
        <f>IF(AND('341-CT'!$H$9=H5503,OR(LEFT(N5503,3)=$W$7,LEFT(O5503,3)=$W$7)),"x","")</f>
        <v/>
      </c>
      <c r="X5503" s="79" t="str">
        <f>IF(OR(TH!N5503=TH!$X$7,O5503=TH!$X$7),"x","")</f>
        <v/>
      </c>
      <c r="Y5503" s="79" t="str">
        <f>IF(AND(OR(N5503="131",O5503="131"),H5503='131-CT'!$H$9),"x","")</f>
        <v/>
      </c>
      <c r="Z5503" s="79"/>
      <c r="AA5503" s="79" t="str">
        <f>IF(AND(MONTH(E5503)='IN-NX'!$J$5,'IN-NX'!$D$7=D5503),"x","")</f>
        <v/>
      </c>
      <c r="AB5503" s="79" t="str">
        <f>IF(AND(OR(LEFT(TH!N5503,2)="15",LEFT(TH!O5503,2)="15"),LEFT(TH!O5503,3)&lt;&gt;"111",'152-CT'!$J$8=TH!F5503),"x","")</f>
        <v/>
      </c>
      <c r="AC5503" s="79" t="str">
        <f>IF(AND(OR(LEFT(TH!N5503,2)="15",LEFT(TH!O5503,2)="15"),TK!$E$7=TH!F5503),"x","")</f>
        <v/>
      </c>
      <c r="AD5503" s="79" t="str">
        <f>IF(AND(N5503="1521",MONTH(C5503)='BK-NL'!$M$11),"x","")</f>
        <v/>
      </c>
    </row>
    <row r="5504" spans="1:30" ht="16.5" customHeight="1">
      <c r="A5504" s="318" t="str">
        <f>IF(B5504&lt;&gt;"",IF(AND(B5504='IN-TC'!$S$4,OR(TH!N5504="1111",TH!O5504="1111")),TH!D5504,""),"")</f>
        <v/>
      </c>
      <c r="B5504" s="60" t="str">
        <f t="shared" si="506"/>
        <v/>
      </c>
      <c r="C5504" s="61"/>
      <c r="D5504" s="61"/>
      <c r="E5504" s="61"/>
      <c r="F5504" s="69"/>
      <c r="G5504" s="766"/>
      <c r="H5504" s="69"/>
      <c r="I5504" s="385"/>
      <c r="J5504" s="392"/>
      <c r="K5504" s="385"/>
      <c r="L5504" s="392"/>
      <c r="M5504" s="62"/>
      <c r="N5504" s="63"/>
      <c r="O5504" s="63"/>
      <c r="P5504" s="79" t="str">
        <f>IF(AND('331-CT'!$E$7=TH!H5504,OR(N5504="331",O5504="331")),"x","")</f>
        <v/>
      </c>
      <c r="Q5504" s="79" t="str">
        <f>IF(AND(B5504='111'!$L$11,OR($N5504=$Q$7,$O5504=$Q$7)),"x","")</f>
        <v/>
      </c>
      <c r="R5504" s="79" t="str">
        <f>IF(AND($N5504=$Q$7,$B5504&lt;'111'!$L$11),"x","")</f>
        <v/>
      </c>
      <c r="S5504" s="79" t="str">
        <f>IF(AND($O5504=$Q$7,$B5504&lt;'111'!$L$11),"x","")</f>
        <v/>
      </c>
      <c r="T5504" s="79" t="str">
        <f>IF(ISERROR(FIND('112'!$M$9,G5504,1)),"",IF((AND(FIND('112'!$M$9,G5504,1)&gt;=1,B5504='112'!$K$9,OR($N5504='112'!$I$6,$O5504='112'!$I$6))),"x",""))</f>
        <v/>
      </c>
      <c r="U5504" s="79" t="str">
        <f>IF(ISERROR(FIND('112'!$M$9,G5504,1)),"",IF((AND(LEFT(G5504,2)=LEFT('112'!$M$9,2),B5504&lt;'112'!$K$9,$N5504='112'!$I$6)),"x",""))</f>
        <v/>
      </c>
      <c r="V5504" s="79" t="str">
        <f>IF(ISERROR(FIND('112'!$M$9,G5504,1)),"",IF((AND(RIGHT(G5504,2)=RIGHT('112'!$M$9,2),B5504&lt;'112'!$K$9,$O5504='112'!$I$6)),"x",""))</f>
        <v/>
      </c>
      <c r="W5504" s="79" t="str">
        <f>IF(AND('341-CT'!$H$9=H5504,OR(LEFT(N5504,3)=$W$7,LEFT(O5504,3)=$W$7)),"x","")</f>
        <v/>
      </c>
      <c r="X5504" s="79" t="str">
        <f>IF(OR(TH!N5504=TH!$X$7,O5504=TH!$X$7),"x","")</f>
        <v/>
      </c>
      <c r="Y5504" s="79" t="str">
        <f>IF(AND(OR(N5504="131",O5504="131"),H5504='131-CT'!$H$9),"x","")</f>
        <v/>
      </c>
      <c r="Z5504" s="79"/>
      <c r="AA5504" s="79" t="str">
        <f>IF(AND(MONTH(E5504)='IN-NX'!$J$5,'IN-NX'!$D$7=D5504),"x","")</f>
        <v/>
      </c>
      <c r="AB5504" s="79" t="str">
        <f>IF(AND(OR(LEFT(TH!N5504,2)="15",LEFT(TH!O5504,2)="15"),LEFT(TH!O5504,3)&lt;&gt;"111",'152-CT'!$J$8=TH!F5504),"x","")</f>
        <v/>
      </c>
      <c r="AC5504" s="79" t="str">
        <f>IF(AND(OR(LEFT(TH!N5504,2)="15",LEFT(TH!O5504,2)="15"),TK!$E$7=TH!F5504),"x","")</f>
        <v/>
      </c>
      <c r="AD5504" s="79" t="str">
        <f>IF(AND(N5504="1521",MONTH(C5504)='BK-NL'!$M$11),"x","")</f>
        <v/>
      </c>
    </row>
    <row r="5505" spans="1:30" ht="16.5" customHeight="1">
      <c r="A5505" s="318" t="str">
        <f>IF(B5505&lt;&gt;"",IF(AND(B5505='IN-TC'!$S$4,OR(TH!N5505="1111",TH!O5505="1111")),TH!D5505,""),"")</f>
        <v/>
      </c>
      <c r="B5505" s="60" t="str">
        <f t="shared" si="506"/>
        <v/>
      </c>
      <c r="C5505" s="61"/>
      <c r="D5505" s="61"/>
      <c r="E5505" s="61"/>
      <c r="F5505" s="69"/>
      <c r="G5505" s="766"/>
      <c r="H5505" s="69"/>
      <c r="I5505" s="385"/>
      <c r="J5505" s="392"/>
      <c r="K5505" s="385"/>
      <c r="L5505" s="392"/>
      <c r="M5505" s="62"/>
      <c r="N5505" s="63"/>
      <c r="O5505" s="63"/>
      <c r="P5505" s="79" t="str">
        <f>IF(AND('331-CT'!$E$7=TH!H5505,OR(N5505="331",O5505="331")),"x","")</f>
        <v/>
      </c>
      <c r="Q5505" s="79" t="str">
        <f>IF(AND(B5505='111'!$L$11,OR($N5505=$Q$7,$O5505=$Q$7)),"x","")</f>
        <v/>
      </c>
      <c r="R5505" s="79" t="str">
        <f>IF(AND($N5505=$Q$7,$B5505&lt;'111'!$L$11),"x","")</f>
        <v/>
      </c>
      <c r="S5505" s="79" t="str">
        <f>IF(AND($O5505=$Q$7,$B5505&lt;'111'!$L$11),"x","")</f>
        <v/>
      </c>
      <c r="T5505" s="79" t="str">
        <f>IF(ISERROR(FIND('112'!$M$9,G5505,1)),"",IF((AND(FIND('112'!$M$9,G5505,1)&gt;=1,B5505='112'!$K$9,OR($N5505='112'!$I$6,$O5505='112'!$I$6))),"x",""))</f>
        <v/>
      </c>
      <c r="U5505" s="79" t="str">
        <f>IF(ISERROR(FIND('112'!$M$9,G5505,1)),"",IF((AND(LEFT(G5505,2)=LEFT('112'!$M$9,2),B5505&lt;'112'!$K$9,$N5505='112'!$I$6)),"x",""))</f>
        <v/>
      </c>
      <c r="V5505" s="79" t="str">
        <f>IF(ISERROR(FIND('112'!$M$9,G5505,1)),"",IF((AND(RIGHT(G5505,2)=RIGHT('112'!$M$9,2),B5505&lt;'112'!$K$9,$O5505='112'!$I$6)),"x",""))</f>
        <v/>
      </c>
      <c r="W5505" s="79" t="str">
        <f>IF(AND('341-CT'!$H$9=H5505,OR(LEFT(N5505,3)=$W$7,LEFT(O5505,3)=$W$7)),"x","")</f>
        <v/>
      </c>
      <c r="X5505" s="79" t="str">
        <f>IF(OR(TH!N5505=TH!$X$7,O5505=TH!$X$7),"x","")</f>
        <v/>
      </c>
      <c r="Y5505" s="79" t="str">
        <f>IF(AND(OR(N5505="131",O5505="131"),H5505='131-CT'!$H$9),"x","")</f>
        <v/>
      </c>
      <c r="Z5505" s="79"/>
      <c r="AA5505" s="79" t="str">
        <f>IF(AND(MONTH(E5505)='IN-NX'!$J$5,'IN-NX'!$D$7=D5505),"x","")</f>
        <v/>
      </c>
      <c r="AB5505" s="79" t="str">
        <f>IF(AND(OR(LEFT(TH!N5505,2)="15",LEFT(TH!O5505,2)="15"),LEFT(TH!O5505,3)&lt;&gt;"111",'152-CT'!$J$8=TH!F5505),"x","")</f>
        <v/>
      </c>
      <c r="AC5505" s="79" t="str">
        <f>IF(AND(OR(LEFT(TH!N5505,2)="15",LEFT(TH!O5505,2)="15"),TK!$E$7=TH!F5505),"x","")</f>
        <v/>
      </c>
      <c r="AD5505" s="79" t="str">
        <f>IF(AND(N5505="1521",MONTH(C5505)='BK-NL'!$M$11),"x","")</f>
        <v/>
      </c>
    </row>
    <row r="5506" spans="1:30" ht="16.5" customHeight="1">
      <c r="A5506" s="318" t="str">
        <f>IF(B5506&lt;&gt;"",IF(AND(B5506='IN-TC'!$S$4,OR(TH!N5506="1111",TH!O5506="1111")),TH!D5506,""),"")</f>
        <v/>
      </c>
      <c r="B5506" s="60" t="str">
        <f t="shared" si="506"/>
        <v/>
      </c>
      <c r="C5506" s="61"/>
      <c r="D5506" s="61"/>
      <c r="E5506" s="61"/>
      <c r="F5506" s="69"/>
      <c r="G5506" s="766"/>
      <c r="H5506" s="69"/>
      <c r="I5506" s="385"/>
      <c r="J5506" s="392"/>
      <c r="K5506" s="385"/>
      <c r="L5506" s="392"/>
      <c r="M5506" s="62"/>
      <c r="N5506" s="63"/>
      <c r="O5506" s="63"/>
      <c r="P5506" s="79" t="str">
        <f>IF(AND('331-CT'!$E$7=TH!H5506,OR(N5506="331",O5506="331")),"x","")</f>
        <v/>
      </c>
      <c r="Q5506" s="79" t="str">
        <f>IF(AND(B5506='111'!$L$11,OR($N5506=$Q$7,$O5506=$Q$7)),"x","")</f>
        <v/>
      </c>
      <c r="R5506" s="79" t="str">
        <f>IF(AND($N5506=$Q$7,$B5506&lt;'111'!$L$11),"x","")</f>
        <v/>
      </c>
      <c r="S5506" s="79" t="str">
        <f>IF(AND($O5506=$Q$7,$B5506&lt;'111'!$L$11),"x","")</f>
        <v/>
      </c>
      <c r="T5506" s="79" t="str">
        <f>IF(ISERROR(FIND('112'!$M$9,G5506,1)),"",IF((AND(FIND('112'!$M$9,G5506,1)&gt;=1,B5506='112'!$K$9,OR($N5506='112'!$I$6,$O5506='112'!$I$6))),"x",""))</f>
        <v/>
      </c>
      <c r="U5506" s="79" t="str">
        <f>IF(ISERROR(FIND('112'!$M$9,G5506,1)),"",IF((AND(LEFT(G5506,2)=LEFT('112'!$M$9,2),B5506&lt;'112'!$K$9,$N5506='112'!$I$6)),"x",""))</f>
        <v/>
      </c>
      <c r="V5506" s="79" t="str">
        <f>IF(ISERROR(FIND('112'!$M$9,G5506,1)),"",IF((AND(RIGHT(G5506,2)=RIGHT('112'!$M$9,2),B5506&lt;'112'!$K$9,$O5506='112'!$I$6)),"x",""))</f>
        <v/>
      </c>
      <c r="W5506" s="79" t="str">
        <f>IF(AND('341-CT'!$H$9=H5506,OR(LEFT(N5506,3)=$W$7,LEFT(O5506,3)=$W$7)),"x","")</f>
        <v/>
      </c>
      <c r="X5506" s="79" t="str">
        <f>IF(OR(TH!N5506=TH!$X$7,O5506=TH!$X$7),"x","")</f>
        <v/>
      </c>
      <c r="Y5506" s="79" t="str">
        <f>IF(AND(OR(N5506="131",O5506="131"),H5506='131-CT'!$H$9),"x","")</f>
        <v/>
      </c>
      <c r="Z5506" s="79"/>
      <c r="AA5506" s="79" t="str">
        <f>IF(AND(MONTH(E5506)='IN-NX'!$J$5,'IN-NX'!$D$7=D5506),"x","")</f>
        <v/>
      </c>
      <c r="AB5506" s="79" t="str">
        <f>IF(AND(OR(LEFT(TH!N5506,2)="15",LEFT(TH!O5506,2)="15"),LEFT(TH!O5506,3)&lt;&gt;"111",'152-CT'!$J$8=TH!F5506),"x","")</f>
        <v/>
      </c>
      <c r="AC5506" s="79" t="str">
        <f>IF(AND(OR(LEFT(TH!N5506,2)="15",LEFT(TH!O5506,2)="15"),TK!$E$7=TH!F5506),"x","")</f>
        <v/>
      </c>
      <c r="AD5506" s="79" t="str">
        <f>IF(AND(N5506="1521",MONTH(C5506)='BK-NL'!$M$11),"x","")</f>
        <v/>
      </c>
    </row>
    <row r="5507" spans="1:30" ht="16.5" customHeight="1">
      <c r="A5507" s="318" t="str">
        <f>IF(B5507&lt;&gt;"",IF(AND(B5507='IN-TC'!$S$4,OR(TH!N5507="1111",TH!O5507="1111")),TH!D5507,""),"")</f>
        <v/>
      </c>
      <c r="B5507" s="60" t="str">
        <f t="shared" ref="B5507:B5570" si="507">IF(C5507&lt;&gt;"",MONTH(C5507),"")</f>
        <v/>
      </c>
      <c r="C5507" s="61"/>
      <c r="D5507" s="61"/>
      <c r="E5507" s="61"/>
      <c r="F5507" s="69"/>
      <c r="G5507" s="766"/>
      <c r="H5507" s="69"/>
      <c r="I5507" s="385"/>
      <c r="J5507" s="392"/>
      <c r="K5507" s="385"/>
      <c r="L5507" s="392"/>
      <c r="M5507" s="62"/>
      <c r="N5507" s="63"/>
      <c r="O5507" s="63"/>
      <c r="P5507" s="79" t="str">
        <f>IF(AND('331-CT'!$E$7=TH!H5507,OR(N5507="331",O5507="331")),"x","")</f>
        <v/>
      </c>
      <c r="Q5507" s="79" t="str">
        <f>IF(AND(B5507='111'!$L$11,OR($N5507=$Q$7,$O5507=$Q$7)),"x","")</f>
        <v/>
      </c>
      <c r="R5507" s="79" t="str">
        <f>IF(AND($N5507=$Q$7,$B5507&lt;'111'!$L$11),"x","")</f>
        <v/>
      </c>
      <c r="S5507" s="79" t="str">
        <f>IF(AND($O5507=$Q$7,$B5507&lt;'111'!$L$11),"x","")</f>
        <v/>
      </c>
      <c r="T5507" s="79" t="str">
        <f>IF(ISERROR(FIND('112'!$M$9,G5507,1)),"",IF((AND(FIND('112'!$M$9,G5507,1)&gt;=1,B5507='112'!$K$9,OR($N5507='112'!$I$6,$O5507='112'!$I$6))),"x",""))</f>
        <v/>
      </c>
      <c r="U5507" s="79" t="str">
        <f>IF(ISERROR(FIND('112'!$M$9,G5507,1)),"",IF((AND(LEFT(G5507,2)=LEFT('112'!$M$9,2),B5507&lt;'112'!$K$9,$N5507='112'!$I$6)),"x",""))</f>
        <v/>
      </c>
      <c r="V5507" s="79" t="str">
        <f>IF(ISERROR(FIND('112'!$M$9,G5507,1)),"",IF((AND(RIGHT(G5507,2)=RIGHT('112'!$M$9,2),B5507&lt;'112'!$K$9,$O5507='112'!$I$6)),"x",""))</f>
        <v/>
      </c>
      <c r="W5507" s="79" t="str">
        <f>IF(AND('341-CT'!$H$9=H5507,OR(LEFT(N5507,3)=$W$7,LEFT(O5507,3)=$W$7)),"x","")</f>
        <v/>
      </c>
      <c r="X5507" s="79" t="str">
        <f>IF(OR(TH!N5507=TH!$X$7,O5507=TH!$X$7),"x","")</f>
        <v/>
      </c>
      <c r="Y5507" s="79" t="str">
        <f>IF(AND(OR(N5507="131",O5507="131"),H5507='131-CT'!$H$9),"x","")</f>
        <v/>
      </c>
      <c r="Z5507" s="79"/>
      <c r="AA5507" s="79" t="str">
        <f>IF(AND(MONTH(E5507)='IN-NX'!$J$5,'IN-NX'!$D$7=D5507),"x","")</f>
        <v/>
      </c>
      <c r="AB5507" s="79" t="str">
        <f>IF(AND(OR(LEFT(TH!N5507,2)="15",LEFT(TH!O5507,2)="15"),LEFT(TH!O5507,3)&lt;&gt;"111",'152-CT'!$J$8=TH!F5507),"x","")</f>
        <v/>
      </c>
      <c r="AC5507" s="79" t="str">
        <f>IF(AND(OR(LEFT(TH!N5507,2)="15",LEFT(TH!O5507,2)="15"),TK!$E$7=TH!F5507),"x","")</f>
        <v/>
      </c>
      <c r="AD5507" s="79" t="str">
        <f>IF(AND(N5507="1521",MONTH(C5507)='BK-NL'!$M$11),"x","")</f>
        <v/>
      </c>
    </row>
    <row r="5508" spans="1:30" ht="16.5" customHeight="1">
      <c r="A5508" s="318" t="str">
        <f>IF(B5508&lt;&gt;"",IF(AND(B5508='IN-TC'!$S$4,OR(TH!N5508="1111",TH!O5508="1111")),TH!D5508,""),"")</f>
        <v/>
      </c>
      <c r="B5508" s="60" t="str">
        <f t="shared" si="507"/>
        <v/>
      </c>
      <c r="C5508" s="61"/>
      <c r="D5508" s="61"/>
      <c r="E5508" s="61"/>
      <c r="F5508" s="69"/>
      <c r="G5508" s="766"/>
      <c r="H5508" s="69"/>
      <c r="I5508" s="385"/>
      <c r="J5508" s="392"/>
      <c r="K5508" s="385"/>
      <c r="L5508" s="392"/>
      <c r="M5508" s="62"/>
      <c r="N5508" s="63"/>
      <c r="O5508" s="63"/>
      <c r="P5508" s="79" t="str">
        <f>IF(AND('331-CT'!$E$7=TH!H5508,OR(N5508="331",O5508="331")),"x","")</f>
        <v/>
      </c>
      <c r="Q5508" s="79" t="str">
        <f>IF(AND(B5508='111'!$L$11,OR($N5508=$Q$7,$O5508=$Q$7)),"x","")</f>
        <v/>
      </c>
      <c r="R5508" s="79" t="str">
        <f>IF(AND($N5508=$Q$7,$B5508&lt;'111'!$L$11),"x","")</f>
        <v/>
      </c>
      <c r="S5508" s="79" t="str">
        <f>IF(AND($O5508=$Q$7,$B5508&lt;'111'!$L$11),"x","")</f>
        <v/>
      </c>
      <c r="T5508" s="79" t="str">
        <f>IF(ISERROR(FIND('112'!$M$9,G5508,1)),"",IF((AND(FIND('112'!$M$9,G5508,1)&gt;=1,B5508='112'!$K$9,OR($N5508='112'!$I$6,$O5508='112'!$I$6))),"x",""))</f>
        <v/>
      </c>
      <c r="U5508" s="79" t="str">
        <f>IF(ISERROR(FIND('112'!$M$9,G5508,1)),"",IF((AND(LEFT(G5508,2)=LEFT('112'!$M$9,2),B5508&lt;'112'!$K$9,$N5508='112'!$I$6)),"x",""))</f>
        <v/>
      </c>
      <c r="V5508" s="79" t="str">
        <f>IF(ISERROR(FIND('112'!$M$9,G5508,1)),"",IF((AND(RIGHT(G5508,2)=RIGHT('112'!$M$9,2),B5508&lt;'112'!$K$9,$O5508='112'!$I$6)),"x",""))</f>
        <v/>
      </c>
      <c r="W5508" s="79" t="str">
        <f>IF(AND('341-CT'!$H$9=H5508,OR(LEFT(N5508,3)=$W$7,LEFT(O5508,3)=$W$7)),"x","")</f>
        <v/>
      </c>
      <c r="X5508" s="79" t="str">
        <f>IF(OR(TH!N5508=TH!$X$7,O5508=TH!$X$7),"x","")</f>
        <v/>
      </c>
      <c r="Y5508" s="79" t="str">
        <f>IF(AND(OR(N5508="131",O5508="131"),H5508='131-CT'!$H$9),"x","")</f>
        <v/>
      </c>
      <c r="Z5508" s="79"/>
      <c r="AA5508" s="79" t="str">
        <f>IF(AND(MONTH(E5508)='IN-NX'!$J$5,'IN-NX'!$D$7=D5508),"x","")</f>
        <v/>
      </c>
      <c r="AB5508" s="79" t="str">
        <f>IF(AND(OR(LEFT(TH!N5508,2)="15",LEFT(TH!O5508,2)="15"),LEFT(TH!O5508,3)&lt;&gt;"111",'152-CT'!$J$8=TH!F5508),"x","")</f>
        <v/>
      </c>
      <c r="AC5508" s="79" t="str">
        <f>IF(AND(OR(LEFT(TH!N5508,2)="15",LEFT(TH!O5508,2)="15"),TK!$E$7=TH!F5508),"x","")</f>
        <v/>
      </c>
      <c r="AD5508" s="79" t="str">
        <f>IF(AND(N5508="1521",MONTH(C5508)='BK-NL'!$M$11),"x","")</f>
        <v/>
      </c>
    </row>
    <row r="5509" spans="1:30" ht="16.5" customHeight="1">
      <c r="A5509" s="318" t="str">
        <f>IF(B5509&lt;&gt;"",IF(AND(B5509='IN-TC'!$S$4,OR(TH!N5509="1111",TH!O5509="1111")),TH!D5509,""),"")</f>
        <v/>
      </c>
      <c r="B5509" s="60" t="str">
        <f t="shared" si="507"/>
        <v/>
      </c>
      <c r="C5509" s="61"/>
      <c r="D5509" s="61"/>
      <c r="E5509" s="61"/>
      <c r="F5509" s="69"/>
      <c r="G5509" s="766"/>
      <c r="H5509" s="69"/>
      <c r="I5509" s="385"/>
      <c r="J5509" s="392"/>
      <c r="K5509" s="385"/>
      <c r="L5509" s="392"/>
      <c r="M5509" s="62"/>
      <c r="N5509" s="63"/>
      <c r="O5509" s="63"/>
      <c r="P5509" s="79" t="str">
        <f>IF(AND('331-CT'!$E$7=TH!H5509,OR(N5509="331",O5509="331")),"x","")</f>
        <v/>
      </c>
      <c r="Q5509" s="79" t="str">
        <f>IF(AND(B5509='111'!$L$11,OR($N5509=$Q$7,$O5509=$Q$7)),"x","")</f>
        <v/>
      </c>
      <c r="R5509" s="79" t="str">
        <f>IF(AND($N5509=$Q$7,$B5509&lt;'111'!$L$11),"x","")</f>
        <v/>
      </c>
      <c r="S5509" s="79" t="str">
        <f>IF(AND($O5509=$Q$7,$B5509&lt;'111'!$L$11),"x","")</f>
        <v/>
      </c>
      <c r="T5509" s="79" t="str">
        <f>IF(ISERROR(FIND('112'!$M$9,G5509,1)),"",IF((AND(FIND('112'!$M$9,G5509,1)&gt;=1,B5509='112'!$K$9,OR($N5509='112'!$I$6,$O5509='112'!$I$6))),"x",""))</f>
        <v/>
      </c>
      <c r="U5509" s="79" t="str">
        <f>IF(ISERROR(FIND('112'!$M$9,G5509,1)),"",IF((AND(LEFT(G5509,2)=LEFT('112'!$M$9,2),B5509&lt;'112'!$K$9,$N5509='112'!$I$6)),"x",""))</f>
        <v/>
      </c>
      <c r="V5509" s="79" t="str">
        <f>IF(ISERROR(FIND('112'!$M$9,G5509,1)),"",IF((AND(RIGHT(G5509,2)=RIGHT('112'!$M$9,2),B5509&lt;'112'!$K$9,$O5509='112'!$I$6)),"x",""))</f>
        <v/>
      </c>
      <c r="W5509" s="79" t="str">
        <f>IF(AND('341-CT'!$H$9=H5509,OR(LEFT(N5509,3)=$W$7,LEFT(O5509,3)=$W$7)),"x","")</f>
        <v/>
      </c>
      <c r="X5509" s="79" t="str">
        <f>IF(OR(TH!N5509=TH!$X$7,O5509=TH!$X$7),"x","")</f>
        <v/>
      </c>
      <c r="Y5509" s="79" t="str">
        <f>IF(AND(OR(N5509="131",O5509="131"),H5509='131-CT'!$H$9),"x","")</f>
        <v/>
      </c>
      <c r="Z5509" s="79"/>
      <c r="AA5509" s="79" t="str">
        <f>IF(AND(MONTH(E5509)='IN-NX'!$J$5,'IN-NX'!$D$7=D5509),"x","")</f>
        <v/>
      </c>
      <c r="AB5509" s="79" t="str">
        <f>IF(AND(OR(LEFT(TH!N5509,2)="15",LEFT(TH!O5509,2)="15"),LEFT(TH!O5509,3)&lt;&gt;"111",'152-CT'!$J$8=TH!F5509),"x","")</f>
        <v/>
      </c>
      <c r="AC5509" s="79" t="str">
        <f>IF(AND(OR(LEFT(TH!N5509,2)="15",LEFT(TH!O5509,2)="15"),TK!$E$7=TH!F5509),"x","")</f>
        <v/>
      </c>
      <c r="AD5509" s="79" t="str">
        <f>IF(AND(N5509="1521",MONTH(C5509)='BK-NL'!$M$11),"x","")</f>
        <v/>
      </c>
    </row>
    <row r="5510" spans="1:30" ht="16.5" customHeight="1">
      <c r="A5510" s="318" t="str">
        <f>IF(B5510&lt;&gt;"",IF(AND(B5510='IN-TC'!$S$4,OR(TH!N5510="1111",TH!O5510="1111")),TH!D5510,""),"")</f>
        <v/>
      </c>
      <c r="B5510" s="60" t="str">
        <f t="shared" si="507"/>
        <v/>
      </c>
      <c r="C5510" s="61"/>
      <c r="D5510" s="61"/>
      <c r="E5510" s="61"/>
      <c r="F5510" s="64"/>
      <c r="G5510" s="766"/>
      <c r="H5510" s="69"/>
      <c r="I5510" s="385"/>
      <c r="J5510" s="392"/>
      <c r="K5510" s="385"/>
      <c r="L5510" s="392"/>
      <c r="M5510" s="62"/>
      <c r="N5510" s="63"/>
      <c r="O5510" s="63"/>
      <c r="P5510" s="79" t="str">
        <f>IF(AND('331-CT'!$E$7=TH!H5510,OR(N5510="331",O5510="331")),"x","")</f>
        <v/>
      </c>
      <c r="Q5510" s="79" t="str">
        <f>IF(AND(B5510='111'!$L$11,OR($N5510=$Q$7,$O5510=$Q$7)),"x","")</f>
        <v/>
      </c>
      <c r="R5510" s="79" t="str">
        <f>IF(AND($N5510=$Q$7,$B5510&lt;'111'!$L$11),"x","")</f>
        <v/>
      </c>
      <c r="S5510" s="79" t="str">
        <f>IF(AND($O5510=$Q$7,$B5510&lt;'111'!$L$11),"x","")</f>
        <v/>
      </c>
      <c r="T5510" s="79" t="str">
        <f>IF(ISERROR(FIND('112'!$M$9,G5510,1)),"",IF((AND(FIND('112'!$M$9,G5510,1)&gt;=1,B5510='112'!$K$9,OR($N5510='112'!$I$6,$O5510='112'!$I$6))),"x",""))</f>
        <v/>
      </c>
      <c r="U5510" s="79" t="str">
        <f>IF(ISERROR(FIND('112'!$M$9,G5510,1)),"",IF((AND(LEFT(G5510,2)=LEFT('112'!$M$9,2),B5510&lt;'112'!$K$9,$N5510='112'!$I$6)),"x",""))</f>
        <v/>
      </c>
      <c r="V5510" s="79" t="str">
        <f>IF(ISERROR(FIND('112'!$M$9,G5510,1)),"",IF((AND(RIGHT(G5510,2)=RIGHT('112'!$M$9,2),B5510&lt;'112'!$K$9,$O5510='112'!$I$6)),"x",""))</f>
        <v/>
      </c>
      <c r="W5510" s="79" t="str">
        <f>IF(AND('341-CT'!$H$9=H5510,OR(LEFT(N5510,3)=$W$7,LEFT(O5510,3)=$W$7)),"x","")</f>
        <v/>
      </c>
      <c r="X5510" s="79" t="str">
        <f>IF(OR(TH!N5510=TH!$X$7,O5510=TH!$X$7),"x","")</f>
        <v/>
      </c>
      <c r="Y5510" s="79" t="str">
        <f>IF(AND(OR(N5510="131",O5510="131"),H5510='131-CT'!$H$9),"x","")</f>
        <v/>
      </c>
      <c r="Z5510" s="79"/>
      <c r="AA5510" s="79" t="str">
        <f>IF(AND(MONTH(E5510)='IN-NX'!$J$5,'IN-NX'!$D$7=D5510),"x","")</f>
        <v/>
      </c>
      <c r="AB5510" s="79" t="str">
        <f>IF(AND(OR(LEFT(TH!N5510,2)="15",LEFT(TH!O5510,2)="15"),LEFT(TH!O5510,3)&lt;&gt;"111",'152-CT'!$J$8=TH!F5510),"x","")</f>
        <v/>
      </c>
      <c r="AC5510" s="79" t="str">
        <f>IF(AND(OR(LEFT(TH!N5510,2)="15",LEFT(TH!O5510,2)="15"),TK!$E$7=TH!F5510),"x","")</f>
        <v/>
      </c>
      <c r="AD5510" s="79" t="str">
        <f>IF(AND(N5510="1521",MONTH(C5510)='BK-NL'!$M$11),"x","")</f>
        <v/>
      </c>
    </row>
    <row r="5511" spans="1:30" ht="16.5" customHeight="1">
      <c r="A5511" s="318" t="str">
        <f>IF(B5511&lt;&gt;"",IF(AND(B5511='IN-TC'!$S$4,OR(TH!N5511="1111",TH!O5511="1111")),TH!D5511,""),"")</f>
        <v/>
      </c>
      <c r="B5511" s="60" t="str">
        <f t="shared" si="507"/>
        <v/>
      </c>
      <c r="C5511" s="61"/>
      <c r="D5511" s="61"/>
      <c r="E5511" s="61"/>
      <c r="F5511" s="64"/>
      <c r="G5511" s="766"/>
      <c r="H5511" s="69"/>
      <c r="I5511" s="385"/>
      <c r="J5511" s="392"/>
      <c r="K5511" s="385"/>
      <c r="L5511" s="392"/>
      <c r="M5511" s="62"/>
      <c r="N5511" s="63"/>
      <c r="O5511" s="63"/>
      <c r="P5511" s="79" t="str">
        <f>IF(AND('331-CT'!$E$7=TH!H5511,OR(N5511="331",O5511="331")),"x","")</f>
        <v/>
      </c>
      <c r="Q5511" s="79" t="str">
        <f>IF(AND(B5511='111'!$L$11,OR($N5511=$Q$7,$O5511=$Q$7)),"x","")</f>
        <v/>
      </c>
      <c r="R5511" s="79" t="str">
        <f>IF(AND($N5511=$Q$7,$B5511&lt;'111'!$L$11),"x","")</f>
        <v/>
      </c>
      <c r="S5511" s="79" t="str">
        <f>IF(AND($O5511=$Q$7,$B5511&lt;'111'!$L$11),"x","")</f>
        <v/>
      </c>
      <c r="T5511" s="79" t="str">
        <f>IF(ISERROR(FIND('112'!$M$9,G5511,1)),"",IF((AND(FIND('112'!$M$9,G5511,1)&gt;=1,B5511='112'!$K$9,OR($N5511='112'!$I$6,$O5511='112'!$I$6))),"x",""))</f>
        <v/>
      </c>
      <c r="U5511" s="79" t="str">
        <f>IF(ISERROR(FIND('112'!$M$9,G5511,1)),"",IF((AND(LEFT(G5511,2)=LEFT('112'!$M$9,2),B5511&lt;'112'!$K$9,$N5511='112'!$I$6)),"x",""))</f>
        <v/>
      </c>
      <c r="V5511" s="79" t="str">
        <f>IF(ISERROR(FIND('112'!$M$9,G5511,1)),"",IF((AND(RIGHT(G5511,2)=RIGHT('112'!$M$9,2),B5511&lt;'112'!$K$9,$O5511='112'!$I$6)),"x",""))</f>
        <v/>
      </c>
      <c r="W5511" s="79" t="str">
        <f>IF(AND('341-CT'!$H$9=H5511,OR(LEFT(N5511,3)=$W$7,LEFT(O5511,3)=$W$7)),"x","")</f>
        <v/>
      </c>
      <c r="X5511" s="79" t="str">
        <f>IF(OR(TH!N5511=TH!$X$7,O5511=TH!$X$7),"x","")</f>
        <v/>
      </c>
      <c r="Y5511" s="79" t="str">
        <f>IF(AND(OR(N5511="131",O5511="131"),H5511='131-CT'!$H$9),"x","")</f>
        <v/>
      </c>
      <c r="Z5511" s="79"/>
      <c r="AA5511" s="79" t="str">
        <f>IF(AND(MONTH(E5511)='IN-NX'!$J$5,'IN-NX'!$D$7=D5511),"x","")</f>
        <v/>
      </c>
      <c r="AB5511" s="79" t="str">
        <f>IF(AND(OR(LEFT(TH!N5511,2)="15",LEFT(TH!O5511,2)="15"),LEFT(TH!O5511,3)&lt;&gt;"111",'152-CT'!$J$8=TH!F5511),"x","")</f>
        <v/>
      </c>
      <c r="AC5511" s="79" t="str">
        <f>IF(AND(OR(LEFT(TH!N5511,2)="15",LEFT(TH!O5511,2)="15"),TK!$E$7=TH!F5511),"x","")</f>
        <v/>
      </c>
      <c r="AD5511" s="79" t="str">
        <f>IF(AND(N5511="1521",MONTH(C5511)='BK-NL'!$M$11),"x","")</f>
        <v/>
      </c>
    </row>
    <row r="5512" spans="1:30" ht="16.5" customHeight="1">
      <c r="A5512" s="318" t="str">
        <f>IF(B5512&lt;&gt;"",IF(AND(B5512='IN-TC'!$S$4,OR(TH!N5512="1111",TH!O5512="1111")),TH!D5512,""),"")</f>
        <v/>
      </c>
      <c r="B5512" s="60" t="str">
        <f t="shared" si="507"/>
        <v/>
      </c>
      <c r="C5512" s="61"/>
      <c r="D5512" s="61"/>
      <c r="E5512" s="61"/>
      <c r="F5512" s="64"/>
      <c r="G5512" s="64"/>
      <c r="H5512" s="321"/>
      <c r="I5512" s="387"/>
      <c r="J5512" s="394"/>
      <c r="K5512" s="387"/>
      <c r="L5512" s="394"/>
      <c r="M5512" s="62"/>
      <c r="N5512" s="63"/>
      <c r="O5512" s="63"/>
      <c r="P5512" s="79" t="str">
        <f>IF(AND('331-CT'!$E$7=TH!H5512,OR(N5512="331",O5512="331")),"x","")</f>
        <v/>
      </c>
      <c r="Q5512" s="79" t="str">
        <f>IF(AND(B5512='111'!$L$11,OR($N5512=$Q$7,$O5512=$Q$7)),"x","")</f>
        <v/>
      </c>
      <c r="R5512" s="79" t="str">
        <f>IF(AND($N5512=$Q$7,$B5512&lt;'111'!$L$11),"x","")</f>
        <v/>
      </c>
      <c r="S5512" s="79" t="str">
        <f>IF(AND($O5512=$Q$7,$B5512&lt;'111'!$L$11),"x","")</f>
        <v/>
      </c>
      <c r="T5512" s="79" t="str">
        <f>IF(ISERROR(FIND('112'!$M$9,G5512,1)),"",IF((AND(FIND('112'!$M$9,G5512,1)&gt;=1,B5512='112'!$K$9,OR($N5512='112'!$I$6,$O5512='112'!$I$6))),"x",""))</f>
        <v/>
      </c>
      <c r="U5512" s="79" t="str">
        <f>IF(ISERROR(FIND('112'!$M$9,G5512,1)),"",IF((AND(LEFT(G5512,2)=LEFT('112'!$M$9,2),B5512&lt;'112'!$K$9,$N5512='112'!$I$6)),"x",""))</f>
        <v/>
      </c>
      <c r="V5512" s="79" t="str">
        <f>IF(ISERROR(FIND('112'!$M$9,G5512,1)),"",IF((AND(RIGHT(G5512,2)=RIGHT('112'!$M$9,2),B5512&lt;'112'!$K$9,$O5512='112'!$I$6)),"x",""))</f>
        <v/>
      </c>
      <c r="W5512" s="79" t="str">
        <f>IF(AND('341-CT'!$H$9=H5512,OR(LEFT(N5512,3)=$W$7,LEFT(O5512,3)=$W$7)),"x","")</f>
        <v/>
      </c>
      <c r="X5512" s="79" t="str">
        <f>IF(OR(TH!N5512=TH!$X$7,O5512=TH!$X$7),"x","")</f>
        <v/>
      </c>
      <c r="Y5512" s="79" t="str">
        <f>IF(AND(OR(N5512="131",O5512="131"),H5512='131-CT'!$H$9),"x","")</f>
        <v/>
      </c>
      <c r="Z5512" s="79"/>
      <c r="AA5512" s="79" t="str">
        <f>IF(AND(MONTH(E5512)='IN-NX'!$J$5,'IN-NX'!$D$7=D5512),"x","")</f>
        <v/>
      </c>
      <c r="AB5512" s="79" t="str">
        <f>IF(AND(OR(LEFT(TH!N5512,2)="15",LEFT(TH!O5512,2)="15"),LEFT(TH!O5512,3)&lt;&gt;"111",'152-CT'!$J$8=TH!F5512),"x","")</f>
        <v/>
      </c>
      <c r="AC5512" s="79" t="str">
        <f>IF(AND(OR(LEFT(TH!N5512,2)="15",LEFT(TH!O5512,2)="15"),TK!$E$7=TH!F5512),"x","")</f>
        <v/>
      </c>
      <c r="AD5512" s="79" t="str">
        <f>IF(AND(N5512="1521",MONTH(C5512)='BK-NL'!$M$11),"x","")</f>
        <v/>
      </c>
    </row>
    <row r="5513" spans="1:30" ht="16.5" customHeight="1">
      <c r="A5513" s="318" t="str">
        <f>IF(B5513&lt;&gt;"",IF(AND(B5513='IN-TC'!$S$4,OR(TH!N5513="1111",TH!O5513="1111")),TH!D5513,""),"")</f>
        <v/>
      </c>
      <c r="B5513" s="60" t="str">
        <f t="shared" si="507"/>
        <v/>
      </c>
      <c r="C5513" s="61"/>
      <c r="D5513" s="61"/>
      <c r="E5513" s="61"/>
      <c r="F5513" s="64"/>
      <c r="G5513" s="64"/>
      <c r="H5513" s="69"/>
      <c r="I5513" s="385"/>
      <c r="J5513" s="392"/>
      <c r="K5513" s="385"/>
      <c r="L5513" s="392"/>
      <c r="M5513" s="62"/>
      <c r="N5513" s="63"/>
      <c r="O5513" s="63"/>
      <c r="P5513" s="79" t="str">
        <f>IF(AND('331-CT'!$E$7=TH!H5513,OR(N5513="331",O5513="331")),"x","")</f>
        <v/>
      </c>
      <c r="Q5513" s="79" t="str">
        <f>IF(AND(B5513='111'!$L$11,OR($N5513=$Q$7,$O5513=$Q$7)),"x","")</f>
        <v/>
      </c>
      <c r="R5513" s="79" t="str">
        <f>IF(AND($N5513=$Q$7,$B5513&lt;'111'!$L$11),"x","")</f>
        <v/>
      </c>
      <c r="S5513" s="79" t="str">
        <f>IF(AND($O5513=$Q$7,$B5513&lt;'111'!$L$11),"x","")</f>
        <v/>
      </c>
      <c r="T5513" s="79" t="str">
        <f>IF(ISERROR(FIND('112'!$M$9,G5513,1)),"",IF((AND(FIND('112'!$M$9,G5513,1)&gt;=1,B5513='112'!$K$9,OR($N5513='112'!$I$6,$O5513='112'!$I$6))),"x",""))</f>
        <v/>
      </c>
      <c r="U5513" s="79" t="str">
        <f>IF(ISERROR(FIND('112'!$M$9,G5513,1)),"",IF((AND(LEFT(G5513,2)=LEFT('112'!$M$9,2),B5513&lt;'112'!$K$9,$N5513='112'!$I$6)),"x",""))</f>
        <v/>
      </c>
      <c r="V5513" s="79" t="str">
        <f>IF(ISERROR(FIND('112'!$M$9,G5513,1)),"",IF((AND(RIGHT(G5513,2)=RIGHT('112'!$M$9,2),B5513&lt;'112'!$K$9,$O5513='112'!$I$6)),"x",""))</f>
        <v/>
      </c>
      <c r="W5513" s="79" t="str">
        <f>IF(AND('341-CT'!$H$9=H5513,OR(LEFT(N5513,3)=$W$7,LEFT(O5513,3)=$W$7)),"x","")</f>
        <v/>
      </c>
      <c r="X5513" s="79" t="str">
        <f>IF(OR(TH!N5513=TH!$X$7,O5513=TH!$X$7),"x","")</f>
        <v/>
      </c>
      <c r="Y5513" s="79" t="str">
        <f>IF(AND(OR(N5513="131",O5513="131"),H5513='131-CT'!$H$9),"x","")</f>
        <v/>
      </c>
      <c r="Z5513" s="79"/>
      <c r="AA5513" s="79" t="str">
        <f>IF(AND(MONTH(E5513)='IN-NX'!$J$5,'IN-NX'!$D$7=D5513),"x","")</f>
        <v/>
      </c>
      <c r="AB5513" s="79" t="str">
        <f>IF(AND(OR(LEFT(TH!N5513,2)="15",LEFT(TH!O5513,2)="15"),LEFT(TH!O5513,3)&lt;&gt;"111",'152-CT'!$J$8=TH!F5513),"x","")</f>
        <v/>
      </c>
      <c r="AC5513" s="79" t="str">
        <f>IF(AND(OR(LEFT(TH!N5513,2)="15",LEFT(TH!O5513,2)="15"),TK!$E$7=TH!F5513),"x","")</f>
        <v/>
      </c>
      <c r="AD5513" s="79" t="str">
        <f>IF(AND(N5513="1521",MONTH(C5513)='BK-NL'!$M$11),"x","")</f>
        <v/>
      </c>
    </row>
    <row r="5514" spans="1:30" ht="16.5" customHeight="1">
      <c r="A5514" s="318" t="str">
        <f>IF(B5514&lt;&gt;"",IF(AND(B5514='IN-TC'!$S$4,OR(TH!N5514="1111",TH!O5514="1111")),TH!D5514,""),"")</f>
        <v/>
      </c>
      <c r="B5514" s="60" t="str">
        <f t="shared" si="507"/>
        <v/>
      </c>
      <c r="C5514" s="61"/>
      <c r="D5514" s="61"/>
      <c r="E5514" s="61"/>
      <c r="F5514" s="64"/>
      <c r="G5514" s="64"/>
      <c r="H5514" s="69"/>
      <c r="I5514" s="385"/>
      <c r="J5514" s="392"/>
      <c r="K5514" s="385"/>
      <c r="L5514" s="392"/>
      <c r="M5514" s="62"/>
      <c r="N5514" s="63"/>
      <c r="O5514" s="63"/>
      <c r="P5514" s="79" t="str">
        <f>IF(AND('331-CT'!$E$7=TH!H5514,OR(N5514="331",O5514="331")),"x","")</f>
        <v/>
      </c>
      <c r="Q5514" s="79" t="str">
        <f>IF(AND(B5514='111'!$L$11,OR($N5514=$Q$7,$O5514=$Q$7)),"x","")</f>
        <v/>
      </c>
      <c r="R5514" s="79" t="str">
        <f>IF(AND($N5514=$Q$7,$B5514&lt;'111'!$L$11),"x","")</f>
        <v/>
      </c>
      <c r="S5514" s="79" t="str">
        <f>IF(AND($O5514=$Q$7,$B5514&lt;'111'!$L$11),"x","")</f>
        <v/>
      </c>
      <c r="T5514" s="79" t="str">
        <f>IF(ISERROR(FIND('112'!$M$9,G5514,1)),"",IF((AND(FIND('112'!$M$9,G5514,1)&gt;=1,B5514='112'!$K$9,OR($N5514='112'!$I$6,$O5514='112'!$I$6))),"x",""))</f>
        <v/>
      </c>
      <c r="U5514" s="79" t="str">
        <f>IF(ISERROR(FIND('112'!$M$9,G5514,1)),"",IF((AND(LEFT(G5514,2)=LEFT('112'!$M$9,2),B5514&lt;'112'!$K$9,$N5514='112'!$I$6)),"x",""))</f>
        <v/>
      </c>
      <c r="V5514" s="79" t="str">
        <f>IF(ISERROR(FIND('112'!$M$9,G5514,1)),"",IF((AND(RIGHT(G5514,2)=RIGHT('112'!$M$9,2),B5514&lt;'112'!$K$9,$O5514='112'!$I$6)),"x",""))</f>
        <v/>
      </c>
      <c r="W5514" s="79" t="str">
        <f>IF(AND('341-CT'!$H$9=H5514,OR(LEFT(N5514,3)=$W$7,LEFT(O5514,3)=$W$7)),"x","")</f>
        <v/>
      </c>
      <c r="X5514" s="79" t="str">
        <f>IF(OR(TH!N5514=TH!$X$7,O5514=TH!$X$7),"x","")</f>
        <v/>
      </c>
      <c r="Y5514" s="79" t="str">
        <f>IF(AND(OR(N5514="131",O5514="131"),H5514='131-CT'!$H$9),"x","")</f>
        <v/>
      </c>
      <c r="Z5514" s="79"/>
      <c r="AA5514" s="79" t="str">
        <f>IF(AND(MONTH(E5514)='IN-NX'!$J$5,'IN-NX'!$D$7=D5514),"x","")</f>
        <v/>
      </c>
      <c r="AB5514" s="79" t="str">
        <f>IF(AND(OR(LEFT(TH!N5514,2)="15",LEFT(TH!O5514,2)="15"),LEFT(TH!O5514,3)&lt;&gt;"111",'152-CT'!$J$8=TH!F5514),"x","")</f>
        <v/>
      </c>
      <c r="AC5514" s="79" t="str">
        <f>IF(AND(OR(LEFT(TH!N5514,2)="15",LEFT(TH!O5514,2)="15"),TK!$E$7=TH!F5514),"x","")</f>
        <v/>
      </c>
      <c r="AD5514" s="79" t="str">
        <f>IF(AND(N5514="1521",MONTH(C5514)='BK-NL'!$M$11),"x","")</f>
        <v/>
      </c>
    </row>
    <row r="5515" spans="1:30" ht="16.5" customHeight="1">
      <c r="A5515" s="318" t="str">
        <f>IF(B5515&lt;&gt;"",IF(AND(B5515='IN-TC'!$S$4,OR(TH!N5515="1111",TH!O5515="1111")),TH!D5515,""),"")</f>
        <v/>
      </c>
      <c r="B5515" s="60" t="str">
        <f t="shared" si="507"/>
        <v/>
      </c>
      <c r="C5515" s="61"/>
      <c r="D5515" s="61"/>
      <c r="E5515" s="61"/>
      <c r="F5515" s="64"/>
      <c r="G5515" s="64"/>
      <c r="H5515" s="321"/>
      <c r="I5515" s="387"/>
      <c r="J5515" s="394"/>
      <c r="K5515" s="387"/>
      <c r="L5515" s="394"/>
      <c r="M5515" s="62"/>
      <c r="N5515" s="63"/>
      <c r="O5515" s="63"/>
      <c r="P5515" s="79" t="str">
        <f>IF(AND('331-CT'!$E$7=TH!H5515,OR(N5515="331",O5515="331")),"x","")</f>
        <v/>
      </c>
      <c r="Q5515" s="79" t="str">
        <f>IF(AND(B5515='111'!$L$11,OR($N5515=$Q$7,$O5515=$Q$7)),"x","")</f>
        <v/>
      </c>
      <c r="R5515" s="79" t="str">
        <f>IF(AND($N5515=$Q$7,$B5515&lt;'111'!$L$11),"x","")</f>
        <v/>
      </c>
      <c r="S5515" s="79" t="str">
        <f>IF(AND($O5515=$Q$7,$B5515&lt;'111'!$L$11),"x","")</f>
        <v/>
      </c>
      <c r="T5515" s="79" t="str">
        <f>IF(ISERROR(FIND('112'!$M$9,G5515,1)),"",IF((AND(FIND('112'!$M$9,G5515,1)&gt;=1,B5515='112'!$K$9,OR($N5515='112'!$I$6,$O5515='112'!$I$6))),"x",""))</f>
        <v/>
      </c>
      <c r="U5515" s="79" t="str">
        <f>IF(ISERROR(FIND('112'!$M$9,G5515,1)),"",IF((AND(LEFT(G5515,2)=LEFT('112'!$M$9,2),B5515&lt;'112'!$K$9,$N5515='112'!$I$6)),"x",""))</f>
        <v/>
      </c>
      <c r="V5515" s="79" t="str">
        <f>IF(ISERROR(FIND('112'!$M$9,G5515,1)),"",IF((AND(RIGHT(G5515,2)=RIGHT('112'!$M$9,2),B5515&lt;'112'!$K$9,$O5515='112'!$I$6)),"x",""))</f>
        <v/>
      </c>
      <c r="W5515" s="79" t="str">
        <f>IF(AND('341-CT'!$H$9=H5515,OR(LEFT(N5515,3)=$W$7,LEFT(O5515,3)=$W$7)),"x","")</f>
        <v/>
      </c>
      <c r="X5515" s="79" t="str">
        <f>IF(OR(TH!N5515=TH!$X$7,O5515=TH!$X$7),"x","")</f>
        <v/>
      </c>
      <c r="Y5515" s="79" t="str">
        <f>IF(AND(OR(N5515="131",O5515="131"),H5515='131-CT'!$H$9),"x","")</f>
        <v/>
      </c>
      <c r="Z5515" s="79"/>
      <c r="AA5515" s="79" t="str">
        <f>IF(AND(MONTH(E5515)='IN-NX'!$J$5,'IN-NX'!$D$7=D5515),"x","")</f>
        <v/>
      </c>
      <c r="AB5515" s="79" t="str">
        <f>IF(AND(OR(LEFT(TH!N5515,2)="15",LEFT(TH!O5515,2)="15"),LEFT(TH!O5515,3)&lt;&gt;"111",'152-CT'!$J$8=TH!F5515),"x","")</f>
        <v/>
      </c>
      <c r="AC5515" s="79" t="str">
        <f>IF(AND(OR(LEFT(TH!N5515,2)="15",LEFT(TH!O5515,2)="15"),TK!$E$7=TH!F5515),"x","")</f>
        <v/>
      </c>
      <c r="AD5515" s="79" t="str">
        <f>IF(AND(N5515="1521",MONTH(C5515)='BK-NL'!$M$11),"x","")</f>
        <v/>
      </c>
    </row>
    <row r="5516" spans="1:30" ht="16.5" customHeight="1">
      <c r="A5516" s="318" t="str">
        <f>IF(B5516&lt;&gt;"",IF(AND(B5516='IN-TC'!$S$4,OR(TH!N5516="1111",TH!O5516="1111")),TH!D5516,""),"")</f>
        <v/>
      </c>
      <c r="B5516" s="60" t="str">
        <f t="shared" si="507"/>
        <v/>
      </c>
      <c r="C5516" s="61"/>
      <c r="D5516" s="61"/>
      <c r="E5516" s="61"/>
      <c r="F5516" s="64"/>
      <c r="G5516" s="64"/>
      <c r="H5516" s="69"/>
      <c r="I5516" s="385"/>
      <c r="J5516" s="392"/>
      <c r="K5516" s="385"/>
      <c r="L5516" s="392"/>
      <c r="M5516" s="62"/>
      <c r="N5516" s="63"/>
      <c r="O5516" s="63"/>
      <c r="P5516" s="79" t="str">
        <f>IF(AND('331-CT'!$E$7=TH!H5516,OR(N5516="331",O5516="331")),"x","")</f>
        <v/>
      </c>
      <c r="Q5516" s="79" t="str">
        <f>IF(AND(B5516='111'!$L$11,OR($N5516=$Q$7,$O5516=$Q$7)),"x","")</f>
        <v/>
      </c>
      <c r="R5516" s="79" t="str">
        <f>IF(AND($N5516=$Q$7,$B5516&lt;'111'!$L$11),"x","")</f>
        <v/>
      </c>
      <c r="S5516" s="79" t="str">
        <f>IF(AND($O5516=$Q$7,$B5516&lt;'111'!$L$11),"x","")</f>
        <v/>
      </c>
      <c r="T5516" s="79" t="str">
        <f>IF(ISERROR(FIND('112'!$M$9,G5516,1)),"",IF((AND(FIND('112'!$M$9,G5516,1)&gt;=1,B5516='112'!$K$9,OR($N5516='112'!$I$6,$O5516='112'!$I$6))),"x",""))</f>
        <v/>
      </c>
      <c r="U5516" s="79" t="str">
        <f>IF(ISERROR(FIND('112'!$M$9,G5516,1)),"",IF((AND(LEFT(G5516,2)=LEFT('112'!$M$9,2),B5516&lt;'112'!$K$9,$N5516='112'!$I$6)),"x",""))</f>
        <v/>
      </c>
      <c r="V5516" s="79" t="str">
        <f>IF(ISERROR(FIND('112'!$M$9,G5516,1)),"",IF((AND(RIGHT(G5516,2)=RIGHT('112'!$M$9,2),B5516&lt;'112'!$K$9,$O5516='112'!$I$6)),"x",""))</f>
        <v/>
      </c>
      <c r="W5516" s="79" t="str">
        <f>IF(AND('341-CT'!$H$9=H5516,OR(LEFT(N5516,3)=$W$7,LEFT(O5516,3)=$W$7)),"x","")</f>
        <v/>
      </c>
      <c r="X5516" s="79" t="str">
        <f>IF(OR(TH!N5516=TH!$X$7,O5516=TH!$X$7),"x","")</f>
        <v/>
      </c>
      <c r="Y5516" s="79" t="str">
        <f>IF(AND(OR(N5516="131",O5516="131"),H5516='131-CT'!$H$9),"x","")</f>
        <v/>
      </c>
      <c r="Z5516" s="79"/>
      <c r="AA5516" s="79" t="str">
        <f>IF(AND(MONTH(E5516)='IN-NX'!$J$5,'IN-NX'!$D$7=D5516),"x","")</f>
        <v/>
      </c>
      <c r="AB5516" s="79" t="str">
        <f>IF(AND(OR(LEFT(TH!N5516,2)="15",LEFT(TH!O5516,2)="15"),LEFT(TH!O5516,3)&lt;&gt;"111",'152-CT'!$J$8=TH!F5516),"x","")</f>
        <v/>
      </c>
      <c r="AC5516" s="79" t="str">
        <f>IF(AND(OR(LEFT(TH!N5516,2)="15",LEFT(TH!O5516,2)="15"),TK!$E$7=TH!F5516),"x","")</f>
        <v/>
      </c>
      <c r="AD5516" s="79" t="str">
        <f>IF(AND(N5516="1521",MONTH(C5516)='BK-NL'!$M$11),"x","")</f>
        <v/>
      </c>
    </row>
    <row r="5517" spans="1:30" ht="16.5" customHeight="1">
      <c r="A5517" s="318" t="str">
        <f>IF(B5517&lt;&gt;"",IF(AND(B5517='IN-TC'!$S$4,OR(TH!N5517="1111",TH!O5517="1111")),TH!D5517,""),"")</f>
        <v/>
      </c>
      <c r="B5517" s="60" t="str">
        <f t="shared" si="507"/>
        <v/>
      </c>
      <c r="C5517" s="61"/>
      <c r="D5517" s="61"/>
      <c r="E5517" s="61"/>
      <c r="F5517" s="64"/>
      <c r="G5517" s="64"/>
      <c r="H5517" s="69"/>
      <c r="I5517" s="385"/>
      <c r="J5517" s="392"/>
      <c r="K5517" s="385"/>
      <c r="L5517" s="392"/>
      <c r="M5517" s="62"/>
      <c r="N5517" s="63"/>
      <c r="O5517" s="63"/>
      <c r="P5517" s="79" t="str">
        <f>IF(AND('331-CT'!$E$7=TH!H5517,OR(N5517="331",O5517="331")),"x","")</f>
        <v/>
      </c>
      <c r="Q5517" s="79" t="str">
        <f>IF(AND(B5517='111'!$L$11,OR($N5517=$Q$7,$O5517=$Q$7)),"x","")</f>
        <v/>
      </c>
      <c r="R5517" s="79" t="str">
        <f>IF(AND($N5517=$Q$7,$B5517&lt;'111'!$L$11),"x","")</f>
        <v/>
      </c>
      <c r="S5517" s="79" t="str">
        <f>IF(AND($O5517=$Q$7,$B5517&lt;'111'!$L$11),"x","")</f>
        <v/>
      </c>
      <c r="T5517" s="79" t="str">
        <f>IF(ISERROR(FIND('112'!$M$9,G5517,1)),"",IF((AND(FIND('112'!$M$9,G5517,1)&gt;=1,B5517='112'!$K$9,OR($N5517='112'!$I$6,$O5517='112'!$I$6))),"x",""))</f>
        <v/>
      </c>
      <c r="U5517" s="79" t="str">
        <f>IF(ISERROR(FIND('112'!$M$9,G5517,1)),"",IF((AND(LEFT(G5517,2)=LEFT('112'!$M$9,2),B5517&lt;'112'!$K$9,$N5517='112'!$I$6)),"x",""))</f>
        <v/>
      </c>
      <c r="V5517" s="79" t="str">
        <f>IF(ISERROR(FIND('112'!$M$9,G5517,1)),"",IF((AND(RIGHT(G5517,2)=RIGHT('112'!$M$9,2),B5517&lt;'112'!$K$9,$O5517='112'!$I$6)),"x",""))</f>
        <v/>
      </c>
      <c r="W5517" s="79" t="str">
        <f>IF(AND('341-CT'!$H$9=H5517,OR(LEFT(N5517,3)=$W$7,LEFT(O5517,3)=$W$7)),"x","")</f>
        <v/>
      </c>
      <c r="X5517" s="79" t="str">
        <f>IF(OR(TH!N5517=TH!$X$7,O5517=TH!$X$7),"x","")</f>
        <v/>
      </c>
      <c r="Y5517" s="79" t="str">
        <f>IF(AND(OR(N5517="131",O5517="131"),H5517='131-CT'!$H$9),"x","")</f>
        <v/>
      </c>
      <c r="Z5517" s="79"/>
      <c r="AA5517" s="79" t="str">
        <f>IF(AND(MONTH(E5517)='IN-NX'!$J$5,'IN-NX'!$D$7=D5517),"x","")</f>
        <v/>
      </c>
      <c r="AB5517" s="79" t="str">
        <f>IF(AND(OR(LEFT(TH!N5517,2)="15",LEFT(TH!O5517,2)="15"),LEFT(TH!O5517,3)&lt;&gt;"111",'152-CT'!$J$8=TH!F5517),"x","")</f>
        <v/>
      </c>
      <c r="AC5517" s="79" t="str">
        <f>IF(AND(OR(LEFT(TH!N5517,2)="15",LEFT(TH!O5517,2)="15"),TK!$E$7=TH!F5517),"x","")</f>
        <v/>
      </c>
      <c r="AD5517" s="79" t="str">
        <f>IF(AND(N5517="1521",MONTH(C5517)='BK-NL'!$M$11),"x","")</f>
        <v/>
      </c>
    </row>
    <row r="5518" spans="1:30" ht="16.5" customHeight="1">
      <c r="A5518" s="318" t="str">
        <f>IF(B5518&lt;&gt;"",IF(AND(B5518='IN-TC'!$S$4,OR(TH!N5518="1111",TH!O5518="1111")),TH!D5518,""),"")</f>
        <v/>
      </c>
      <c r="B5518" s="60" t="str">
        <f t="shared" si="507"/>
        <v/>
      </c>
      <c r="C5518" s="61"/>
      <c r="D5518" s="61"/>
      <c r="E5518" s="61"/>
      <c r="F5518" s="136"/>
      <c r="G5518" s="767"/>
      <c r="H5518" s="69"/>
      <c r="I5518" s="385"/>
      <c r="J5518" s="392"/>
      <c r="K5518" s="385"/>
      <c r="L5518" s="392"/>
      <c r="M5518" s="62"/>
      <c r="N5518" s="63"/>
      <c r="O5518" s="63"/>
      <c r="P5518" s="79" t="str">
        <f>IF(AND('331-CT'!$E$7=TH!H5518,OR(N5518="331",O5518="331")),"x","")</f>
        <v/>
      </c>
      <c r="Q5518" s="79" t="str">
        <f>IF(AND(B5518='111'!$L$11,OR($N5518=$Q$7,$O5518=$Q$7)),"x","")</f>
        <v/>
      </c>
      <c r="R5518" s="79" t="str">
        <f>IF(AND($N5518=$Q$7,$B5518&lt;'111'!$L$11),"x","")</f>
        <v/>
      </c>
      <c r="S5518" s="79" t="str">
        <f>IF(AND($O5518=$Q$7,$B5518&lt;'111'!$L$11),"x","")</f>
        <v/>
      </c>
      <c r="T5518" s="79" t="str">
        <f>IF(ISERROR(FIND('112'!$M$9,G5518,1)),"",IF((AND(FIND('112'!$M$9,G5518,1)&gt;=1,B5518='112'!$K$9,OR($N5518='112'!$I$6,$O5518='112'!$I$6))),"x",""))</f>
        <v/>
      </c>
      <c r="U5518" s="79" t="str">
        <f>IF(ISERROR(FIND('112'!$M$9,G5518,1)),"",IF((AND(LEFT(G5518,2)=LEFT('112'!$M$9,2),B5518&lt;'112'!$K$9,$N5518='112'!$I$6)),"x",""))</f>
        <v/>
      </c>
      <c r="V5518" s="79" t="str">
        <f>IF(ISERROR(FIND('112'!$M$9,G5518,1)),"",IF((AND(RIGHT(G5518,2)=RIGHT('112'!$M$9,2),B5518&lt;'112'!$K$9,$O5518='112'!$I$6)),"x",""))</f>
        <v/>
      </c>
      <c r="W5518" s="79" t="str">
        <f>IF(AND('341-CT'!$H$9=H5518,OR(LEFT(N5518,3)=$W$7,LEFT(O5518,3)=$W$7)),"x","")</f>
        <v/>
      </c>
      <c r="X5518" s="79" t="str">
        <f>IF(OR(TH!N5518=TH!$X$7,O5518=TH!$X$7),"x","")</f>
        <v/>
      </c>
      <c r="Y5518" s="79" t="str">
        <f>IF(AND(OR(N5518="131",O5518="131"),H5518='131-CT'!$H$9),"x","")</f>
        <v/>
      </c>
      <c r="Z5518" s="79"/>
      <c r="AA5518" s="79" t="str">
        <f>IF(AND(MONTH(E5518)='IN-NX'!$J$5,'IN-NX'!$D$7=D5518),"x","")</f>
        <v/>
      </c>
      <c r="AB5518" s="79" t="str">
        <f>IF(AND(OR(LEFT(TH!N5518,2)="15",LEFT(TH!O5518,2)="15"),LEFT(TH!O5518,3)&lt;&gt;"111",'152-CT'!$J$8=TH!F5518),"x","")</f>
        <v/>
      </c>
      <c r="AC5518" s="79" t="str">
        <f>IF(AND(OR(LEFT(TH!N5518,2)="15",LEFT(TH!O5518,2)="15"),TK!$E$7=TH!F5518),"x","")</f>
        <v/>
      </c>
      <c r="AD5518" s="79" t="str">
        <f>IF(AND(N5518="1521",MONTH(C5518)='BK-NL'!$M$11),"x","")</f>
        <v/>
      </c>
    </row>
    <row r="5519" spans="1:30" ht="16.5" customHeight="1">
      <c r="A5519" s="318" t="str">
        <f>IF(B5519&lt;&gt;"",IF(AND(B5519='IN-TC'!$S$4,OR(TH!N5519="1111",TH!O5519="1111")),TH!D5519,""),"")</f>
        <v/>
      </c>
      <c r="B5519" s="60" t="str">
        <f t="shared" si="507"/>
        <v/>
      </c>
      <c r="C5519" s="61"/>
      <c r="D5519" s="61"/>
      <c r="E5519" s="61"/>
      <c r="F5519" s="64"/>
      <c r="G5519" s="766"/>
      <c r="H5519" s="69"/>
      <c r="I5519" s="385"/>
      <c r="J5519" s="392"/>
      <c r="K5519" s="385"/>
      <c r="L5519" s="392"/>
      <c r="M5519" s="62"/>
      <c r="N5519" s="63"/>
      <c r="O5519" s="63"/>
      <c r="P5519" s="79" t="str">
        <f>IF(AND('331-CT'!$E$7=TH!H5519,OR(N5519="331",O5519="331")),"x","")</f>
        <v/>
      </c>
      <c r="Q5519" s="79" t="str">
        <f>IF(AND(B5519='111'!$L$11,OR($N5519=$Q$7,$O5519=$Q$7)),"x","")</f>
        <v/>
      </c>
      <c r="R5519" s="79" t="str">
        <f>IF(AND($N5519=$Q$7,$B5519&lt;'111'!$L$11),"x","")</f>
        <v/>
      </c>
      <c r="S5519" s="79" t="str">
        <f>IF(AND($O5519=$Q$7,$B5519&lt;'111'!$L$11),"x","")</f>
        <v/>
      </c>
      <c r="T5519" s="79" t="str">
        <f>IF(ISERROR(FIND('112'!$M$9,G5519,1)),"",IF((AND(FIND('112'!$M$9,G5519,1)&gt;=1,B5519='112'!$K$9,OR($N5519='112'!$I$6,$O5519='112'!$I$6))),"x",""))</f>
        <v/>
      </c>
      <c r="U5519" s="79" t="str">
        <f>IF(ISERROR(FIND('112'!$M$9,G5519,1)),"",IF((AND(LEFT(G5519,2)=LEFT('112'!$M$9,2),B5519&lt;'112'!$K$9,$N5519='112'!$I$6)),"x",""))</f>
        <v/>
      </c>
      <c r="V5519" s="79" t="str">
        <f>IF(ISERROR(FIND('112'!$M$9,G5519,1)),"",IF((AND(RIGHT(G5519,2)=RIGHT('112'!$M$9,2),B5519&lt;'112'!$K$9,$O5519='112'!$I$6)),"x",""))</f>
        <v/>
      </c>
      <c r="W5519" s="79" t="str">
        <f>IF(AND('341-CT'!$H$9=H5519,OR(LEFT(N5519,3)=$W$7,LEFT(O5519,3)=$W$7)),"x","")</f>
        <v/>
      </c>
      <c r="X5519" s="79" t="str">
        <f>IF(OR(TH!N5519=TH!$X$7,O5519=TH!$X$7),"x","")</f>
        <v/>
      </c>
      <c r="Y5519" s="79" t="str">
        <f>IF(AND(OR(N5519="131",O5519="131"),H5519='131-CT'!$H$9),"x","")</f>
        <v/>
      </c>
      <c r="Z5519" s="79"/>
      <c r="AA5519" s="79" t="str">
        <f>IF(AND(MONTH(E5519)='IN-NX'!$J$5,'IN-NX'!$D$7=D5519),"x","")</f>
        <v/>
      </c>
      <c r="AB5519" s="79" t="str">
        <f>IF(AND(OR(LEFT(TH!N5519,2)="15",LEFT(TH!O5519,2)="15"),LEFT(TH!O5519,3)&lt;&gt;"111",'152-CT'!$J$8=TH!F5519),"x","")</f>
        <v/>
      </c>
      <c r="AC5519" s="79" t="str">
        <f>IF(AND(OR(LEFT(TH!N5519,2)="15",LEFT(TH!O5519,2)="15"),TK!$E$7=TH!F5519),"x","")</f>
        <v/>
      </c>
      <c r="AD5519" s="79" t="str">
        <f>IF(AND(N5519="1521",MONTH(C5519)='BK-NL'!$M$11),"x","")</f>
        <v/>
      </c>
    </row>
    <row r="5520" spans="1:30" ht="16.5" customHeight="1">
      <c r="A5520" s="318" t="str">
        <f>IF(B5520&lt;&gt;"",IF(AND(B5520='IN-TC'!$S$4,OR(TH!N5520="1111",TH!O5520="1111")),TH!D5520,""),"")</f>
        <v/>
      </c>
      <c r="B5520" s="60" t="str">
        <f t="shared" si="507"/>
        <v/>
      </c>
      <c r="C5520" s="61"/>
      <c r="D5520" s="61"/>
      <c r="E5520" s="61"/>
      <c r="F5520" s="136"/>
      <c r="G5520" s="766"/>
      <c r="H5520" s="69"/>
      <c r="I5520" s="385"/>
      <c r="J5520" s="392"/>
      <c r="K5520" s="385"/>
      <c r="L5520" s="392"/>
      <c r="M5520" s="62"/>
      <c r="N5520" s="63"/>
      <c r="O5520" s="63"/>
      <c r="P5520" s="79" t="str">
        <f>IF(AND('331-CT'!$E$7=TH!H5520,OR(N5520="331",O5520="331")),"x","")</f>
        <v/>
      </c>
      <c r="Q5520" s="79" t="str">
        <f>IF(AND(B5520='111'!$L$11,OR($N5520=$Q$7,$O5520=$Q$7)),"x","")</f>
        <v/>
      </c>
      <c r="R5520" s="79" t="str">
        <f>IF(AND($N5520=$Q$7,$B5520&lt;'111'!$L$11),"x","")</f>
        <v/>
      </c>
      <c r="S5520" s="79" t="str">
        <f>IF(AND($O5520=$Q$7,$B5520&lt;'111'!$L$11),"x","")</f>
        <v/>
      </c>
      <c r="T5520" s="79" t="str">
        <f>IF(ISERROR(FIND('112'!$M$9,G5520,1)),"",IF((AND(FIND('112'!$M$9,G5520,1)&gt;=1,B5520='112'!$K$9,OR($N5520='112'!$I$6,$O5520='112'!$I$6))),"x",""))</f>
        <v/>
      </c>
      <c r="U5520" s="79" t="str">
        <f>IF(ISERROR(FIND('112'!$M$9,G5520,1)),"",IF((AND(LEFT(G5520,2)=LEFT('112'!$M$9,2),B5520&lt;'112'!$K$9,$N5520='112'!$I$6)),"x",""))</f>
        <v/>
      </c>
      <c r="V5520" s="79" t="str">
        <f>IF(ISERROR(FIND('112'!$M$9,G5520,1)),"",IF((AND(RIGHT(G5520,2)=RIGHT('112'!$M$9,2),B5520&lt;'112'!$K$9,$O5520='112'!$I$6)),"x",""))</f>
        <v/>
      </c>
      <c r="W5520" s="79" t="str">
        <f>IF(AND('341-CT'!$H$9=H5520,OR(LEFT(N5520,3)=$W$7,LEFT(O5520,3)=$W$7)),"x","")</f>
        <v/>
      </c>
      <c r="X5520" s="79" t="str">
        <f>IF(OR(TH!N5520=TH!$X$7,O5520=TH!$X$7),"x","")</f>
        <v/>
      </c>
      <c r="Y5520" s="79" t="str">
        <f>IF(AND(OR(N5520="131",O5520="131"),H5520='131-CT'!$H$9),"x","")</f>
        <v/>
      </c>
      <c r="Z5520" s="79"/>
      <c r="AA5520" s="79" t="str">
        <f>IF(AND(MONTH(E5520)='IN-NX'!$J$5,'IN-NX'!$D$7=D5520),"x","")</f>
        <v/>
      </c>
      <c r="AB5520" s="79" t="str">
        <f>IF(AND(OR(LEFT(TH!N5520,2)="15",LEFT(TH!O5520,2)="15"),LEFT(TH!O5520,3)&lt;&gt;"111",'152-CT'!$J$8=TH!F5520),"x","")</f>
        <v/>
      </c>
      <c r="AC5520" s="79" t="str">
        <f>IF(AND(OR(LEFT(TH!N5520,2)="15",LEFT(TH!O5520,2)="15"),TK!$E$7=TH!F5520),"x","")</f>
        <v/>
      </c>
      <c r="AD5520" s="79" t="str">
        <f>IF(AND(N5520="1521",MONTH(C5520)='BK-NL'!$M$11),"x","")</f>
        <v/>
      </c>
    </row>
    <row r="5521" spans="1:30" ht="16.5" customHeight="1">
      <c r="A5521" s="318" t="str">
        <f>IF(B5521&lt;&gt;"",IF(AND(B5521='IN-TC'!$S$4,OR(TH!N5521="1111",TH!O5521="1111")),TH!D5521,""),"")</f>
        <v/>
      </c>
      <c r="B5521" s="60" t="str">
        <f t="shared" si="507"/>
        <v/>
      </c>
      <c r="C5521" s="61"/>
      <c r="D5521" s="61"/>
      <c r="E5521" s="61"/>
      <c r="F5521" s="69"/>
      <c r="G5521" s="64"/>
      <c r="H5521" s="69"/>
      <c r="I5521" s="385"/>
      <c r="J5521" s="392"/>
      <c r="K5521" s="385"/>
      <c r="L5521" s="392"/>
      <c r="M5521" s="62"/>
      <c r="N5521" s="63"/>
      <c r="O5521" s="63"/>
      <c r="P5521" s="79" t="str">
        <f>IF(AND('331-CT'!$E$7=TH!H5521,OR(N5521="331",O5521="331")),"x","")</f>
        <v/>
      </c>
      <c r="Q5521" s="79" t="str">
        <f>IF(AND(B5521='111'!$L$11,OR($N5521=$Q$7,$O5521=$Q$7)),"x","")</f>
        <v/>
      </c>
      <c r="R5521" s="79" t="str">
        <f>IF(AND($N5521=$Q$7,$B5521&lt;'111'!$L$11),"x","")</f>
        <v/>
      </c>
      <c r="S5521" s="79" t="str">
        <f>IF(AND($O5521=$Q$7,$B5521&lt;'111'!$L$11),"x","")</f>
        <v/>
      </c>
      <c r="T5521" s="79" t="str">
        <f>IF(ISERROR(FIND('112'!$M$9,G5521,1)),"",IF((AND(FIND('112'!$M$9,G5521,1)&gt;=1,B5521='112'!$K$9,OR($N5521='112'!$I$6,$O5521='112'!$I$6))),"x",""))</f>
        <v/>
      </c>
      <c r="U5521" s="79" t="str">
        <f>IF(ISERROR(FIND('112'!$M$9,G5521,1)),"",IF((AND(LEFT(G5521,2)=LEFT('112'!$M$9,2),B5521&lt;'112'!$K$9,$N5521='112'!$I$6)),"x",""))</f>
        <v/>
      </c>
      <c r="V5521" s="79" t="str">
        <f>IF(ISERROR(FIND('112'!$M$9,G5521,1)),"",IF((AND(RIGHT(G5521,2)=RIGHT('112'!$M$9,2),B5521&lt;'112'!$K$9,$O5521='112'!$I$6)),"x",""))</f>
        <v/>
      </c>
      <c r="W5521" s="79" t="str">
        <f>IF(AND('341-CT'!$H$9=H5521,OR(LEFT(N5521,3)=$W$7,LEFT(O5521,3)=$W$7)),"x","")</f>
        <v/>
      </c>
      <c r="X5521" s="79" t="str">
        <f>IF(OR(TH!N5521=TH!$X$7,O5521=TH!$X$7),"x","")</f>
        <v/>
      </c>
      <c r="Y5521" s="79" t="str">
        <f>IF(AND(OR(N5521="131",O5521="131"),H5521='131-CT'!$H$9),"x","")</f>
        <v/>
      </c>
      <c r="Z5521" s="79"/>
      <c r="AA5521" s="79" t="str">
        <f>IF(AND(MONTH(E5521)='IN-NX'!$J$5,'IN-NX'!$D$7=D5521),"x","")</f>
        <v/>
      </c>
      <c r="AB5521" s="79" t="str">
        <f>IF(AND(OR(LEFT(TH!N5521,2)="15",LEFT(TH!O5521,2)="15"),LEFT(TH!O5521,3)&lt;&gt;"111",'152-CT'!$J$8=TH!F5521),"x","")</f>
        <v/>
      </c>
      <c r="AC5521" s="79" t="str">
        <f>IF(AND(OR(LEFT(TH!N5521,2)="15",LEFT(TH!O5521,2)="15"),TK!$E$7=TH!F5521),"x","")</f>
        <v/>
      </c>
      <c r="AD5521" s="79" t="str">
        <f>IF(AND(N5521="1521",MONTH(C5521)='BK-NL'!$M$11),"x","")</f>
        <v/>
      </c>
    </row>
    <row r="5522" spans="1:30" ht="16.5" customHeight="1">
      <c r="A5522" s="318" t="str">
        <f>IF(B5522&lt;&gt;"",IF(AND(B5522='IN-TC'!$S$4,OR(TH!N5522="1111",TH!O5522="1111")),TH!D5522,""),"")</f>
        <v/>
      </c>
      <c r="B5522" s="60" t="str">
        <f t="shared" si="507"/>
        <v/>
      </c>
      <c r="C5522" s="61"/>
      <c r="D5522" s="61"/>
      <c r="E5522" s="61"/>
      <c r="F5522" s="64"/>
      <c r="G5522" s="64"/>
      <c r="H5522" s="70"/>
      <c r="I5522" s="385"/>
      <c r="J5522" s="392"/>
      <c r="K5522" s="385"/>
      <c r="L5522" s="392"/>
      <c r="M5522" s="62"/>
      <c r="N5522" s="63"/>
      <c r="O5522" s="63"/>
      <c r="P5522" s="79" t="str">
        <f>IF(AND('331-CT'!$E$7=TH!H5522,OR(N5522="331",O5522="331")),"x","")</f>
        <v/>
      </c>
      <c r="Q5522" s="79" t="str">
        <f>IF(AND(B5522='111'!$L$11,OR($N5522=$Q$7,$O5522=$Q$7)),"x","")</f>
        <v/>
      </c>
      <c r="R5522" s="79" t="str">
        <f>IF(AND($N5522=$Q$7,$B5522&lt;'111'!$L$11),"x","")</f>
        <v/>
      </c>
      <c r="S5522" s="79" t="str">
        <f>IF(AND($O5522=$Q$7,$B5522&lt;'111'!$L$11),"x","")</f>
        <v/>
      </c>
      <c r="T5522" s="79" t="str">
        <f>IF(ISERROR(FIND('112'!$M$9,G5522,1)),"",IF((AND(FIND('112'!$M$9,G5522,1)&gt;=1,B5522='112'!$K$9,OR($N5522='112'!$I$6,$O5522='112'!$I$6))),"x",""))</f>
        <v/>
      </c>
      <c r="U5522" s="79" t="str">
        <f>IF(ISERROR(FIND('112'!$M$9,G5522,1)),"",IF((AND(LEFT(G5522,2)=LEFT('112'!$M$9,2),B5522&lt;'112'!$K$9,$N5522='112'!$I$6)),"x",""))</f>
        <v/>
      </c>
      <c r="V5522" s="79" t="str">
        <f>IF(ISERROR(FIND('112'!$M$9,G5522,1)),"",IF((AND(RIGHT(G5522,2)=RIGHT('112'!$M$9,2),B5522&lt;'112'!$K$9,$O5522='112'!$I$6)),"x",""))</f>
        <v/>
      </c>
      <c r="W5522" s="79" t="str">
        <f>IF(AND('341-CT'!$H$9=H5522,OR(LEFT(N5522,3)=$W$7,LEFT(O5522,3)=$W$7)),"x","")</f>
        <v/>
      </c>
      <c r="X5522" s="79" t="str">
        <f>IF(OR(TH!N5522=TH!$X$7,O5522=TH!$X$7),"x","")</f>
        <v/>
      </c>
      <c r="Y5522" s="79" t="str">
        <f>IF(AND(OR(N5522="131",O5522="131"),H5522='131-CT'!$H$9),"x","")</f>
        <v/>
      </c>
      <c r="Z5522" s="79"/>
      <c r="AA5522" s="79" t="str">
        <f>IF(AND(MONTH(E5522)='IN-NX'!$J$5,'IN-NX'!$D$7=D5522),"x","")</f>
        <v/>
      </c>
      <c r="AB5522" s="79" t="str">
        <f>IF(AND(OR(LEFT(TH!N5522,2)="15",LEFT(TH!O5522,2)="15"),LEFT(TH!O5522,3)&lt;&gt;"111",'152-CT'!$J$8=TH!F5522),"x","")</f>
        <v/>
      </c>
      <c r="AC5522" s="79" t="str">
        <f>IF(AND(OR(LEFT(TH!N5522,2)="15",LEFT(TH!O5522,2)="15"),TK!$E$7=TH!F5522),"x","")</f>
        <v/>
      </c>
      <c r="AD5522" s="79" t="str">
        <f>IF(AND(N5522="1521",MONTH(C5522)='BK-NL'!$M$11),"x","")</f>
        <v/>
      </c>
    </row>
    <row r="5523" spans="1:30" ht="16.5" customHeight="1">
      <c r="A5523" s="318" t="str">
        <f>IF(B5523&lt;&gt;"",IF(AND(B5523='IN-TC'!$S$4,OR(TH!N5523="1111",TH!O5523="1111")),TH!D5523,""),"")</f>
        <v/>
      </c>
      <c r="B5523" s="60" t="str">
        <f t="shared" si="507"/>
        <v/>
      </c>
      <c r="C5523" s="61"/>
      <c r="D5523" s="61"/>
      <c r="E5523" s="61"/>
      <c r="F5523" s="64"/>
      <c r="G5523" s="766"/>
      <c r="H5523" s="69"/>
      <c r="I5523" s="385"/>
      <c r="J5523" s="392"/>
      <c r="K5523" s="385"/>
      <c r="L5523" s="392"/>
      <c r="M5523" s="62"/>
      <c r="N5523" s="63"/>
      <c r="O5523" s="63"/>
      <c r="P5523" s="79" t="str">
        <f>IF(AND('331-CT'!$E$7=TH!H5523,OR(N5523="331",O5523="331")),"x","")</f>
        <v/>
      </c>
      <c r="Q5523" s="79" t="str">
        <f>IF(AND(B5523='111'!$L$11,OR($N5523=$Q$7,$O5523=$Q$7)),"x","")</f>
        <v/>
      </c>
      <c r="R5523" s="79" t="str">
        <f>IF(AND($N5523=$Q$7,$B5523&lt;'111'!$L$11),"x","")</f>
        <v/>
      </c>
      <c r="S5523" s="79" t="str">
        <f>IF(AND($O5523=$Q$7,$B5523&lt;'111'!$L$11),"x","")</f>
        <v/>
      </c>
      <c r="T5523" s="79" t="str">
        <f>IF(ISERROR(FIND('112'!$M$9,G5523,1)),"",IF((AND(FIND('112'!$M$9,G5523,1)&gt;=1,B5523='112'!$K$9,OR($N5523='112'!$I$6,$O5523='112'!$I$6))),"x",""))</f>
        <v/>
      </c>
      <c r="U5523" s="79" t="str">
        <f>IF(ISERROR(FIND('112'!$M$9,G5523,1)),"",IF((AND(LEFT(G5523,2)=LEFT('112'!$M$9,2),B5523&lt;'112'!$K$9,$N5523='112'!$I$6)),"x",""))</f>
        <v/>
      </c>
      <c r="V5523" s="79" t="str">
        <f>IF(ISERROR(FIND('112'!$M$9,G5523,1)),"",IF((AND(RIGHT(G5523,2)=RIGHT('112'!$M$9,2),B5523&lt;'112'!$K$9,$O5523='112'!$I$6)),"x",""))</f>
        <v/>
      </c>
      <c r="W5523" s="79" t="str">
        <f>IF(AND('341-CT'!$H$9=H5523,OR(LEFT(N5523,3)=$W$7,LEFT(O5523,3)=$W$7)),"x","")</f>
        <v/>
      </c>
      <c r="X5523" s="79" t="str">
        <f>IF(OR(TH!N5523=TH!$X$7,O5523=TH!$X$7),"x","")</f>
        <v/>
      </c>
      <c r="Y5523" s="79" t="str">
        <f>IF(AND(OR(N5523="131",O5523="131"),H5523='131-CT'!$H$9),"x","")</f>
        <v/>
      </c>
      <c r="Z5523" s="79"/>
      <c r="AA5523" s="79" t="str">
        <f>IF(AND(MONTH(E5523)='IN-NX'!$J$5,'IN-NX'!$D$7=D5523),"x","")</f>
        <v/>
      </c>
      <c r="AB5523" s="79" t="str">
        <f>IF(AND(OR(LEFT(TH!N5523,2)="15",LEFT(TH!O5523,2)="15"),LEFT(TH!O5523,3)&lt;&gt;"111",'152-CT'!$J$8=TH!F5523),"x","")</f>
        <v/>
      </c>
      <c r="AC5523" s="79" t="str">
        <f>IF(AND(OR(LEFT(TH!N5523,2)="15",LEFT(TH!O5523,2)="15"),TK!$E$7=TH!F5523),"x","")</f>
        <v/>
      </c>
      <c r="AD5523" s="79" t="str">
        <f>IF(AND(N5523="1521",MONTH(C5523)='BK-NL'!$M$11),"x","")</f>
        <v/>
      </c>
    </row>
    <row r="5524" spans="1:30" ht="16.5" customHeight="1">
      <c r="A5524" s="318" t="str">
        <f>IF(B5524&lt;&gt;"",IF(AND(B5524='IN-TC'!$S$4,OR(TH!N5524="1111",TH!O5524="1111")),TH!D5524,""),"")</f>
        <v/>
      </c>
      <c r="B5524" s="60" t="str">
        <f t="shared" si="507"/>
        <v/>
      </c>
      <c r="C5524" s="61"/>
      <c r="D5524" s="61"/>
      <c r="E5524" s="61"/>
      <c r="F5524" s="64"/>
      <c r="G5524" s="768"/>
      <c r="H5524" s="321"/>
      <c r="I5524" s="387"/>
      <c r="J5524" s="394"/>
      <c r="K5524" s="387"/>
      <c r="L5524" s="394"/>
      <c r="M5524" s="62"/>
      <c r="N5524" s="63"/>
      <c r="O5524" s="63"/>
      <c r="P5524" s="79" t="str">
        <f>IF(AND('331-CT'!$E$7=TH!H5524,OR(N5524="331",O5524="331")),"x","")</f>
        <v/>
      </c>
      <c r="Q5524" s="79" t="str">
        <f>IF(AND(B5524='111'!$L$11,OR($N5524=$Q$7,$O5524=$Q$7)),"x","")</f>
        <v/>
      </c>
      <c r="R5524" s="79" t="str">
        <f>IF(AND($N5524=$Q$7,$B5524&lt;'111'!$L$11),"x","")</f>
        <v/>
      </c>
      <c r="S5524" s="79" t="str">
        <f>IF(AND($O5524=$Q$7,$B5524&lt;'111'!$L$11),"x","")</f>
        <v/>
      </c>
      <c r="T5524" s="79" t="str">
        <f>IF(ISERROR(FIND('112'!$M$9,G5524,1)),"",IF((AND(FIND('112'!$M$9,G5524,1)&gt;=1,B5524='112'!$K$9,OR($N5524='112'!$I$6,$O5524='112'!$I$6))),"x",""))</f>
        <v/>
      </c>
      <c r="U5524" s="79" t="str">
        <f>IF(ISERROR(FIND('112'!$M$9,G5524,1)),"",IF((AND(LEFT(G5524,2)=LEFT('112'!$M$9,2),B5524&lt;'112'!$K$9,$N5524='112'!$I$6)),"x",""))</f>
        <v/>
      </c>
      <c r="V5524" s="79" t="str">
        <f>IF(ISERROR(FIND('112'!$M$9,G5524,1)),"",IF((AND(RIGHT(G5524,2)=RIGHT('112'!$M$9,2),B5524&lt;'112'!$K$9,$O5524='112'!$I$6)),"x",""))</f>
        <v/>
      </c>
      <c r="W5524" s="79" t="str">
        <f>IF(AND('341-CT'!$H$9=H5524,OR(LEFT(N5524,3)=$W$7,LEFT(O5524,3)=$W$7)),"x","")</f>
        <v/>
      </c>
      <c r="X5524" s="79" t="str">
        <f>IF(OR(TH!N5524=TH!$X$7,O5524=TH!$X$7),"x","")</f>
        <v/>
      </c>
      <c r="Y5524" s="79" t="str">
        <f>IF(AND(OR(N5524="131",O5524="131"),H5524='131-CT'!$H$9),"x","")</f>
        <v/>
      </c>
      <c r="Z5524" s="79"/>
      <c r="AA5524" s="79" t="str">
        <f>IF(AND(MONTH(E5524)='IN-NX'!$J$5,'IN-NX'!$D$7=D5524),"x","")</f>
        <v/>
      </c>
      <c r="AB5524" s="79" t="str">
        <f>IF(AND(OR(LEFT(TH!N5524,2)="15",LEFT(TH!O5524,2)="15"),LEFT(TH!O5524,3)&lt;&gt;"111",'152-CT'!$J$8=TH!F5524),"x","")</f>
        <v/>
      </c>
      <c r="AC5524" s="79" t="str">
        <f>IF(AND(OR(LEFT(TH!N5524,2)="15",LEFT(TH!O5524,2)="15"),TK!$E$7=TH!F5524),"x","")</f>
        <v/>
      </c>
      <c r="AD5524" s="79" t="str">
        <f>IF(AND(N5524="1521",MONTH(C5524)='BK-NL'!$M$11),"x","")</f>
        <v/>
      </c>
    </row>
    <row r="5525" spans="1:30" ht="16.5" customHeight="1">
      <c r="A5525" s="318" t="str">
        <f>IF(B5525&lt;&gt;"",IF(AND(B5525='IN-TC'!$S$4,OR(TH!N5525="1111",TH!O5525="1111")),TH!D5525,""),"")</f>
        <v/>
      </c>
      <c r="B5525" s="60" t="str">
        <f t="shared" si="507"/>
        <v/>
      </c>
      <c r="C5525" s="61"/>
      <c r="D5525" s="61"/>
      <c r="E5525" s="61"/>
      <c r="F5525" s="64"/>
      <c r="G5525" s="768"/>
      <c r="H5525" s="321"/>
      <c r="I5525" s="387"/>
      <c r="J5525" s="394"/>
      <c r="K5525" s="387"/>
      <c r="L5525" s="394"/>
      <c r="M5525" s="62"/>
      <c r="N5525" s="63"/>
      <c r="O5525" s="63"/>
      <c r="P5525" s="79" t="str">
        <f>IF(AND('331-CT'!$E$7=TH!H5525,OR(N5525="331",O5525="331")),"x","")</f>
        <v/>
      </c>
      <c r="Q5525" s="79" t="str">
        <f>IF(AND(B5525='111'!$L$11,OR($N5525=$Q$7,$O5525=$Q$7)),"x","")</f>
        <v/>
      </c>
      <c r="R5525" s="79" t="str">
        <f>IF(AND($N5525=$Q$7,$B5525&lt;'111'!$L$11),"x","")</f>
        <v/>
      </c>
      <c r="S5525" s="79" t="str">
        <f>IF(AND($O5525=$Q$7,$B5525&lt;'111'!$L$11),"x","")</f>
        <v/>
      </c>
      <c r="T5525" s="79" t="str">
        <f>IF(ISERROR(FIND('112'!$M$9,G5525,1)),"",IF((AND(FIND('112'!$M$9,G5525,1)&gt;=1,B5525='112'!$K$9,OR($N5525='112'!$I$6,$O5525='112'!$I$6))),"x",""))</f>
        <v/>
      </c>
      <c r="U5525" s="79" t="str">
        <f>IF(ISERROR(FIND('112'!$M$9,G5525,1)),"",IF((AND(LEFT(G5525,2)=LEFT('112'!$M$9,2),B5525&lt;'112'!$K$9,$N5525='112'!$I$6)),"x",""))</f>
        <v/>
      </c>
      <c r="V5525" s="79" t="str">
        <f>IF(ISERROR(FIND('112'!$M$9,G5525,1)),"",IF((AND(RIGHT(G5525,2)=RIGHT('112'!$M$9,2),B5525&lt;'112'!$K$9,$O5525='112'!$I$6)),"x",""))</f>
        <v/>
      </c>
      <c r="W5525" s="79" t="str">
        <f>IF(AND('341-CT'!$H$9=H5525,OR(LEFT(N5525,3)=$W$7,LEFT(O5525,3)=$W$7)),"x","")</f>
        <v/>
      </c>
      <c r="X5525" s="79" t="str">
        <f>IF(OR(TH!N5525=TH!$X$7,O5525=TH!$X$7),"x","")</f>
        <v/>
      </c>
      <c r="Y5525" s="79" t="str">
        <f>IF(AND(OR(N5525="131",O5525="131"),H5525='131-CT'!$H$9),"x","")</f>
        <v/>
      </c>
      <c r="Z5525" s="79"/>
      <c r="AA5525" s="79" t="str">
        <f>IF(AND(MONTH(E5525)='IN-NX'!$J$5,'IN-NX'!$D$7=D5525),"x","")</f>
        <v/>
      </c>
      <c r="AB5525" s="79" t="str">
        <f>IF(AND(OR(LEFT(TH!N5525,2)="15",LEFT(TH!O5525,2)="15"),LEFT(TH!O5525,3)&lt;&gt;"111",'152-CT'!$J$8=TH!F5525),"x","")</f>
        <v/>
      </c>
      <c r="AC5525" s="79" t="str">
        <f>IF(AND(OR(LEFT(TH!N5525,2)="15",LEFT(TH!O5525,2)="15"),TK!$E$7=TH!F5525),"x","")</f>
        <v/>
      </c>
      <c r="AD5525" s="79" t="str">
        <f>IF(AND(N5525="1521",MONTH(C5525)='BK-NL'!$M$11),"x","")</f>
        <v/>
      </c>
    </row>
    <row r="5526" spans="1:30" ht="16.5" customHeight="1">
      <c r="A5526" s="318" t="str">
        <f>IF(B5526&lt;&gt;"",IF(AND(B5526='IN-TC'!$S$4,OR(TH!N5526="1111",TH!O5526="1111")),TH!D5526,""),"")</f>
        <v/>
      </c>
      <c r="B5526" s="60" t="str">
        <f t="shared" si="507"/>
        <v/>
      </c>
      <c r="C5526" s="61"/>
      <c r="D5526" s="61"/>
      <c r="E5526" s="61"/>
      <c r="F5526" s="64"/>
      <c r="G5526" s="64"/>
      <c r="H5526" s="69"/>
      <c r="I5526" s="385"/>
      <c r="J5526" s="392"/>
      <c r="K5526" s="385"/>
      <c r="L5526" s="392"/>
      <c r="M5526" s="62"/>
      <c r="N5526" s="63"/>
      <c r="O5526" s="63"/>
      <c r="P5526" s="79" t="str">
        <f>IF(AND('331-CT'!$E$7=TH!H5526,OR(N5526="331",O5526="331")),"x","")</f>
        <v/>
      </c>
      <c r="Q5526" s="79" t="str">
        <f>IF(AND(B5526='111'!$L$11,OR($N5526=$Q$7,$O5526=$Q$7)),"x","")</f>
        <v/>
      </c>
      <c r="R5526" s="79" t="str">
        <f>IF(AND($N5526=$Q$7,$B5526&lt;'111'!$L$11),"x","")</f>
        <v/>
      </c>
      <c r="S5526" s="79" t="str">
        <f>IF(AND($O5526=$Q$7,$B5526&lt;'111'!$L$11),"x","")</f>
        <v/>
      </c>
      <c r="T5526" s="79" t="str">
        <f>IF(ISERROR(FIND('112'!$M$9,G5526,1)),"",IF((AND(FIND('112'!$M$9,G5526,1)&gt;=1,B5526='112'!$K$9,OR($N5526='112'!$I$6,$O5526='112'!$I$6))),"x",""))</f>
        <v/>
      </c>
      <c r="U5526" s="79" t="str">
        <f>IF(ISERROR(FIND('112'!$M$9,G5526,1)),"",IF((AND(LEFT(G5526,2)=LEFT('112'!$M$9,2),B5526&lt;'112'!$K$9,$N5526='112'!$I$6)),"x",""))</f>
        <v/>
      </c>
      <c r="V5526" s="79" t="str">
        <f>IF(ISERROR(FIND('112'!$M$9,G5526,1)),"",IF((AND(RIGHT(G5526,2)=RIGHT('112'!$M$9,2),B5526&lt;'112'!$K$9,$O5526='112'!$I$6)),"x",""))</f>
        <v/>
      </c>
      <c r="W5526" s="79" t="str">
        <f>IF(AND('341-CT'!$H$9=H5526,OR(LEFT(N5526,3)=$W$7,LEFT(O5526,3)=$W$7)),"x","")</f>
        <v/>
      </c>
      <c r="X5526" s="79" t="str">
        <f>IF(OR(TH!N5526=TH!$X$7,O5526=TH!$X$7),"x","")</f>
        <v/>
      </c>
      <c r="Y5526" s="79" t="str">
        <f>IF(AND(OR(N5526="131",O5526="131"),H5526='131-CT'!$H$9),"x","")</f>
        <v/>
      </c>
      <c r="Z5526" s="79"/>
      <c r="AA5526" s="79" t="str">
        <f>IF(AND(MONTH(E5526)='IN-NX'!$J$5,'IN-NX'!$D$7=D5526),"x","")</f>
        <v/>
      </c>
      <c r="AB5526" s="79" t="str">
        <f>IF(AND(OR(LEFT(TH!N5526,2)="15",LEFT(TH!O5526,2)="15"),LEFT(TH!O5526,3)&lt;&gt;"111",'152-CT'!$J$8=TH!F5526),"x","")</f>
        <v/>
      </c>
      <c r="AC5526" s="79" t="str">
        <f>IF(AND(OR(LEFT(TH!N5526,2)="15",LEFT(TH!O5526,2)="15"),TK!$E$7=TH!F5526),"x","")</f>
        <v/>
      </c>
      <c r="AD5526" s="79" t="str">
        <f>IF(AND(N5526="1521",MONTH(C5526)='BK-NL'!$M$11),"x","")</f>
        <v/>
      </c>
    </row>
    <row r="5527" spans="1:30" ht="16.5" customHeight="1">
      <c r="A5527" s="318" t="str">
        <f>IF(B5527&lt;&gt;"",IF(AND(B5527='IN-TC'!$S$4,OR(TH!N5527="1111",TH!O5527="1111")),TH!D5527,""),"")</f>
        <v/>
      </c>
      <c r="B5527" s="60" t="str">
        <f t="shared" si="507"/>
        <v/>
      </c>
      <c r="C5527" s="61"/>
      <c r="D5527" s="61"/>
      <c r="E5527" s="61"/>
      <c r="F5527" s="64"/>
      <c r="G5527" s="766"/>
      <c r="H5527" s="69"/>
      <c r="I5527" s="385"/>
      <c r="J5527" s="392"/>
      <c r="K5527" s="385"/>
      <c r="L5527" s="392"/>
      <c r="M5527" s="62"/>
      <c r="N5527" s="63"/>
      <c r="O5527" s="63"/>
      <c r="P5527" s="79" t="str">
        <f>IF(AND('331-CT'!$E$7=TH!H5527,OR(N5527="331",O5527="331")),"x","")</f>
        <v/>
      </c>
      <c r="Q5527" s="79" t="str">
        <f>IF(AND(B5527='111'!$L$11,OR($N5527=$Q$7,$O5527=$Q$7)),"x","")</f>
        <v/>
      </c>
      <c r="R5527" s="79" t="str">
        <f>IF(AND($N5527=$Q$7,$B5527&lt;'111'!$L$11),"x","")</f>
        <v/>
      </c>
      <c r="S5527" s="79" t="str">
        <f>IF(AND($O5527=$Q$7,$B5527&lt;'111'!$L$11),"x","")</f>
        <v/>
      </c>
      <c r="T5527" s="79" t="str">
        <f>IF(ISERROR(FIND('112'!$M$9,G5527,1)),"",IF((AND(FIND('112'!$M$9,G5527,1)&gt;=1,B5527='112'!$K$9,OR($N5527='112'!$I$6,$O5527='112'!$I$6))),"x",""))</f>
        <v/>
      </c>
      <c r="U5527" s="79" t="str">
        <f>IF(ISERROR(FIND('112'!$M$9,G5527,1)),"",IF((AND(LEFT(G5527,2)=LEFT('112'!$M$9,2),B5527&lt;'112'!$K$9,$N5527='112'!$I$6)),"x",""))</f>
        <v/>
      </c>
      <c r="V5527" s="79" t="str">
        <f>IF(ISERROR(FIND('112'!$M$9,G5527,1)),"",IF((AND(RIGHT(G5527,2)=RIGHT('112'!$M$9,2),B5527&lt;'112'!$K$9,$O5527='112'!$I$6)),"x",""))</f>
        <v/>
      </c>
      <c r="W5527" s="79" t="str">
        <f>IF(AND('341-CT'!$H$9=H5527,OR(LEFT(N5527,3)=$W$7,LEFT(O5527,3)=$W$7)),"x","")</f>
        <v/>
      </c>
      <c r="X5527" s="79" t="str">
        <f>IF(OR(TH!N5527=TH!$X$7,O5527=TH!$X$7),"x","")</f>
        <v/>
      </c>
      <c r="Y5527" s="79" t="str">
        <f>IF(AND(OR(N5527="131",O5527="131"),H5527='131-CT'!$H$9),"x","")</f>
        <v/>
      </c>
      <c r="Z5527" s="79"/>
      <c r="AA5527" s="79" t="str">
        <f>IF(AND(MONTH(E5527)='IN-NX'!$J$5,'IN-NX'!$D$7=D5527),"x","")</f>
        <v/>
      </c>
      <c r="AB5527" s="79" t="str">
        <f>IF(AND(OR(LEFT(TH!N5527,2)="15",LEFT(TH!O5527,2)="15"),LEFT(TH!O5527,3)&lt;&gt;"111",'152-CT'!$J$8=TH!F5527),"x","")</f>
        <v/>
      </c>
      <c r="AC5527" s="79" t="str">
        <f>IF(AND(OR(LEFT(TH!N5527,2)="15",LEFT(TH!O5527,2)="15"),TK!$E$7=TH!F5527),"x","")</f>
        <v/>
      </c>
      <c r="AD5527" s="79" t="str">
        <f>IF(AND(N5527="1521",MONTH(C5527)='BK-NL'!$M$11),"x","")</f>
        <v/>
      </c>
    </row>
    <row r="5528" spans="1:30" ht="16.5" customHeight="1">
      <c r="A5528" s="318" t="str">
        <f>IF(B5528&lt;&gt;"",IF(AND(B5528='IN-TC'!$S$4,OR(TH!N5528="1111",TH!O5528="1111")),TH!D5528,""),"")</f>
        <v/>
      </c>
      <c r="B5528" s="60" t="str">
        <f t="shared" si="507"/>
        <v/>
      </c>
      <c r="C5528" s="61"/>
      <c r="D5528" s="61"/>
      <c r="E5528" s="61"/>
      <c r="F5528" s="64"/>
      <c r="G5528" s="766"/>
      <c r="H5528" s="69"/>
      <c r="I5528" s="385"/>
      <c r="J5528" s="392"/>
      <c r="K5528" s="385"/>
      <c r="L5528" s="392"/>
      <c r="M5528" s="62"/>
      <c r="N5528" s="63"/>
      <c r="O5528" s="63"/>
      <c r="P5528" s="79" t="str">
        <f>IF(AND('331-CT'!$E$7=TH!H5528,OR(N5528="331",O5528="331")),"x","")</f>
        <v/>
      </c>
      <c r="Q5528" s="79" t="str">
        <f>IF(AND(B5528='111'!$L$11,OR($N5528=$Q$7,$O5528=$Q$7)),"x","")</f>
        <v/>
      </c>
      <c r="R5528" s="79" t="str">
        <f>IF(AND($N5528=$Q$7,$B5528&lt;'111'!$L$11),"x","")</f>
        <v/>
      </c>
      <c r="S5528" s="79" t="str">
        <f>IF(AND($O5528=$Q$7,$B5528&lt;'111'!$L$11),"x","")</f>
        <v/>
      </c>
      <c r="T5528" s="79" t="str">
        <f>IF(ISERROR(FIND('112'!$M$9,G5528,1)),"",IF((AND(FIND('112'!$M$9,G5528,1)&gt;=1,B5528='112'!$K$9,OR($N5528='112'!$I$6,$O5528='112'!$I$6))),"x",""))</f>
        <v/>
      </c>
      <c r="U5528" s="79" t="str">
        <f>IF(ISERROR(FIND('112'!$M$9,G5528,1)),"",IF((AND(LEFT(G5528,2)=LEFT('112'!$M$9,2),B5528&lt;'112'!$K$9,$N5528='112'!$I$6)),"x",""))</f>
        <v/>
      </c>
      <c r="V5528" s="79" t="str">
        <f>IF(ISERROR(FIND('112'!$M$9,G5528,1)),"",IF((AND(RIGHT(G5528,2)=RIGHT('112'!$M$9,2),B5528&lt;'112'!$K$9,$O5528='112'!$I$6)),"x",""))</f>
        <v/>
      </c>
      <c r="W5528" s="79" t="str">
        <f>IF(AND('341-CT'!$H$9=H5528,OR(LEFT(N5528,3)=$W$7,LEFT(O5528,3)=$W$7)),"x","")</f>
        <v/>
      </c>
      <c r="X5528" s="79" t="str">
        <f>IF(OR(TH!N5528=TH!$X$7,O5528=TH!$X$7),"x","")</f>
        <v/>
      </c>
      <c r="Y5528" s="79" t="str">
        <f>IF(AND(OR(N5528="131",O5528="131"),H5528='131-CT'!$H$9),"x","")</f>
        <v/>
      </c>
      <c r="Z5528" s="79"/>
      <c r="AA5528" s="79" t="str">
        <f>IF(AND(MONTH(E5528)='IN-NX'!$J$5,'IN-NX'!$D$7=D5528),"x","")</f>
        <v/>
      </c>
      <c r="AB5528" s="79" t="str">
        <f>IF(AND(OR(LEFT(TH!N5528,2)="15",LEFT(TH!O5528,2)="15"),LEFT(TH!O5528,3)&lt;&gt;"111",'152-CT'!$J$8=TH!F5528),"x","")</f>
        <v/>
      </c>
      <c r="AC5528" s="79" t="str">
        <f>IF(AND(OR(LEFT(TH!N5528,2)="15",LEFT(TH!O5528,2)="15"),TK!$E$7=TH!F5528),"x","")</f>
        <v/>
      </c>
      <c r="AD5528" s="79" t="str">
        <f>IF(AND(N5528="1521",MONTH(C5528)='BK-NL'!$M$11),"x","")</f>
        <v/>
      </c>
    </row>
    <row r="5529" spans="1:30" ht="16.5" customHeight="1">
      <c r="A5529" s="318" t="str">
        <f>IF(B5529&lt;&gt;"",IF(AND(B5529='IN-TC'!$S$4,OR(TH!N5529="1111",TH!O5529="1111")),TH!D5529,""),"")</f>
        <v/>
      </c>
      <c r="B5529" s="60" t="str">
        <f t="shared" si="507"/>
        <v/>
      </c>
      <c r="C5529" s="61"/>
      <c r="D5529" s="61"/>
      <c r="E5529" s="61"/>
      <c r="F5529" s="64"/>
      <c r="G5529" s="766"/>
      <c r="H5529" s="69"/>
      <c r="I5529" s="385"/>
      <c r="J5529" s="392"/>
      <c r="K5529" s="385"/>
      <c r="L5529" s="392"/>
      <c r="M5529" s="62"/>
      <c r="N5529" s="63"/>
      <c r="O5529" s="63"/>
      <c r="P5529" s="79" t="str">
        <f>IF(AND('331-CT'!$E$7=TH!H5529,OR(N5529="331",O5529="331")),"x","")</f>
        <v/>
      </c>
      <c r="Q5529" s="79" t="str">
        <f>IF(AND(B5529='111'!$L$11,OR($N5529=$Q$7,$O5529=$Q$7)),"x","")</f>
        <v/>
      </c>
      <c r="R5529" s="79" t="str">
        <f>IF(AND($N5529=$Q$7,$B5529&lt;'111'!$L$11),"x","")</f>
        <v/>
      </c>
      <c r="S5529" s="79" t="str">
        <f>IF(AND($O5529=$Q$7,$B5529&lt;'111'!$L$11),"x","")</f>
        <v/>
      </c>
      <c r="T5529" s="79" t="str">
        <f>IF(ISERROR(FIND('112'!$M$9,G5529,1)),"",IF((AND(FIND('112'!$M$9,G5529,1)&gt;=1,B5529='112'!$K$9,OR($N5529='112'!$I$6,$O5529='112'!$I$6))),"x",""))</f>
        <v/>
      </c>
      <c r="U5529" s="79" t="str">
        <f>IF(ISERROR(FIND('112'!$M$9,G5529,1)),"",IF((AND(LEFT(G5529,2)=LEFT('112'!$M$9,2),B5529&lt;'112'!$K$9,$N5529='112'!$I$6)),"x",""))</f>
        <v/>
      </c>
      <c r="V5529" s="79" t="str">
        <f>IF(ISERROR(FIND('112'!$M$9,G5529,1)),"",IF((AND(RIGHT(G5529,2)=RIGHT('112'!$M$9,2),B5529&lt;'112'!$K$9,$O5529='112'!$I$6)),"x",""))</f>
        <v/>
      </c>
      <c r="W5529" s="79" t="str">
        <f>IF(AND('341-CT'!$H$9=H5529,OR(LEFT(N5529,3)=$W$7,LEFT(O5529,3)=$W$7)),"x","")</f>
        <v/>
      </c>
      <c r="X5529" s="79" t="str">
        <f>IF(OR(TH!N5529=TH!$X$7,O5529=TH!$X$7),"x","")</f>
        <v/>
      </c>
      <c r="Y5529" s="79" t="str">
        <f>IF(AND(OR(N5529="131",O5529="131"),H5529='131-CT'!$H$9),"x","")</f>
        <v/>
      </c>
      <c r="Z5529" s="79"/>
      <c r="AA5529" s="79" t="str">
        <f>IF(AND(MONTH(E5529)='IN-NX'!$J$5,'IN-NX'!$D$7=D5529),"x","")</f>
        <v/>
      </c>
      <c r="AB5529" s="79" t="str">
        <f>IF(AND(OR(LEFT(TH!N5529,2)="15",LEFT(TH!O5529,2)="15"),LEFT(TH!O5529,3)&lt;&gt;"111",'152-CT'!$J$8=TH!F5529),"x","")</f>
        <v/>
      </c>
      <c r="AC5529" s="79" t="str">
        <f>IF(AND(OR(LEFT(TH!N5529,2)="15",LEFT(TH!O5529,2)="15"),TK!$E$7=TH!F5529),"x","")</f>
        <v/>
      </c>
      <c r="AD5529" s="79" t="str">
        <f>IF(AND(N5529="1521",MONTH(C5529)='BK-NL'!$M$11),"x","")</f>
        <v/>
      </c>
    </row>
    <row r="5530" spans="1:30" ht="16.5" customHeight="1">
      <c r="A5530" s="318" t="str">
        <f>IF(B5530&lt;&gt;"",IF(AND(B5530='IN-TC'!$S$4,OR(TH!N5530="1111",TH!O5530="1111")),TH!D5530,""),"")</f>
        <v/>
      </c>
      <c r="B5530" s="60" t="str">
        <f t="shared" si="507"/>
        <v/>
      </c>
      <c r="C5530" s="61"/>
      <c r="D5530" s="61"/>
      <c r="E5530" s="61"/>
      <c r="F5530" s="64"/>
      <c r="G5530" s="766"/>
      <c r="H5530" s="69"/>
      <c r="I5530" s="385"/>
      <c r="J5530" s="392"/>
      <c r="K5530" s="385"/>
      <c r="L5530" s="392"/>
      <c r="M5530" s="62"/>
      <c r="N5530" s="63"/>
      <c r="O5530" s="63"/>
      <c r="P5530" s="79" t="str">
        <f>IF(AND('331-CT'!$E$7=TH!H5530,OR(N5530="331",O5530="331")),"x","")</f>
        <v/>
      </c>
      <c r="Q5530" s="79" t="str">
        <f>IF(AND(B5530='111'!$L$11,OR($N5530=$Q$7,$O5530=$Q$7)),"x","")</f>
        <v/>
      </c>
      <c r="R5530" s="79" t="str">
        <f>IF(AND($N5530=$Q$7,$B5530&lt;'111'!$L$11),"x","")</f>
        <v/>
      </c>
      <c r="S5530" s="79" t="str">
        <f>IF(AND($O5530=$Q$7,$B5530&lt;'111'!$L$11),"x","")</f>
        <v/>
      </c>
      <c r="T5530" s="79" t="str">
        <f>IF(ISERROR(FIND('112'!$M$9,G5530,1)),"",IF((AND(FIND('112'!$M$9,G5530,1)&gt;=1,B5530='112'!$K$9,OR($N5530='112'!$I$6,$O5530='112'!$I$6))),"x",""))</f>
        <v/>
      </c>
      <c r="U5530" s="79" t="str">
        <f>IF(ISERROR(FIND('112'!$M$9,G5530,1)),"",IF((AND(LEFT(G5530,2)=LEFT('112'!$M$9,2),B5530&lt;'112'!$K$9,$N5530='112'!$I$6)),"x",""))</f>
        <v/>
      </c>
      <c r="V5530" s="79" t="str">
        <f>IF(ISERROR(FIND('112'!$M$9,G5530,1)),"",IF((AND(RIGHT(G5530,2)=RIGHT('112'!$M$9,2),B5530&lt;'112'!$K$9,$O5530='112'!$I$6)),"x",""))</f>
        <v/>
      </c>
      <c r="W5530" s="79" t="str">
        <f>IF(AND('341-CT'!$H$9=H5530,OR(LEFT(N5530,3)=$W$7,LEFT(O5530,3)=$W$7)),"x","")</f>
        <v/>
      </c>
      <c r="X5530" s="79" t="str">
        <f>IF(OR(TH!N5530=TH!$X$7,O5530=TH!$X$7),"x","")</f>
        <v/>
      </c>
      <c r="Y5530" s="79" t="str">
        <f>IF(AND(OR(N5530="131",O5530="131"),H5530='131-CT'!$H$9),"x","")</f>
        <v/>
      </c>
      <c r="Z5530" s="79"/>
      <c r="AA5530" s="79" t="str">
        <f>IF(AND(MONTH(E5530)='IN-NX'!$J$5,'IN-NX'!$D$7=D5530),"x","")</f>
        <v/>
      </c>
      <c r="AB5530" s="79" t="str">
        <f>IF(AND(OR(LEFT(TH!N5530,2)="15",LEFT(TH!O5530,2)="15"),LEFT(TH!O5530,3)&lt;&gt;"111",'152-CT'!$J$8=TH!F5530),"x","")</f>
        <v/>
      </c>
      <c r="AC5530" s="79" t="str">
        <f>IF(AND(OR(LEFT(TH!N5530,2)="15",LEFT(TH!O5530,2)="15"),TK!$E$7=TH!F5530),"x","")</f>
        <v/>
      </c>
      <c r="AD5530" s="79" t="str">
        <f>IF(AND(N5530="1521",MONTH(C5530)='BK-NL'!$M$11),"x","")</f>
        <v/>
      </c>
    </row>
    <row r="5531" spans="1:30" ht="16.5" customHeight="1">
      <c r="A5531" s="318" t="str">
        <f>IF(B5531&lt;&gt;"",IF(AND(B5531='IN-TC'!$S$4,OR(TH!N5531="1111",TH!O5531="1111")),TH!D5531,""),"")</f>
        <v/>
      </c>
      <c r="B5531" s="60" t="str">
        <f t="shared" si="507"/>
        <v/>
      </c>
      <c r="C5531" s="61"/>
      <c r="D5531" s="61"/>
      <c r="E5531" s="61"/>
      <c r="F5531" s="64"/>
      <c r="G5531" s="64"/>
      <c r="H5531" s="69"/>
      <c r="I5531" s="385"/>
      <c r="J5531" s="392"/>
      <c r="K5531" s="385"/>
      <c r="L5531" s="392"/>
      <c r="M5531" s="62"/>
      <c r="N5531" s="63"/>
      <c r="O5531" s="63"/>
      <c r="P5531" s="79" t="str">
        <f>IF(AND('331-CT'!$E$7=TH!H5531,OR(N5531="331",O5531="331")),"x","")</f>
        <v/>
      </c>
      <c r="Q5531" s="79" t="str">
        <f>IF(AND(B5531='111'!$L$11,OR($N5531=$Q$7,$O5531=$Q$7)),"x","")</f>
        <v/>
      </c>
      <c r="R5531" s="79" t="str">
        <f>IF(AND($N5531=$Q$7,$B5531&lt;'111'!$L$11),"x","")</f>
        <v/>
      </c>
      <c r="S5531" s="79" t="str">
        <f>IF(AND($O5531=$Q$7,$B5531&lt;'111'!$L$11),"x","")</f>
        <v/>
      </c>
      <c r="T5531" s="79" t="str">
        <f>IF(ISERROR(FIND('112'!$M$9,G5531,1)),"",IF((AND(FIND('112'!$M$9,G5531,1)&gt;=1,B5531='112'!$K$9,OR($N5531='112'!$I$6,$O5531='112'!$I$6))),"x",""))</f>
        <v/>
      </c>
      <c r="U5531" s="79" t="str">
        <f>IF(ISERROR(FIND('112'!$M$9,G5531,1)),"",IF((AND(LEFT(G5531,2)=LEFT('112'!$M$9,2),B5531&lt;'112'!$K$9,$N5531='112'!$I$6)),"x",""))</f>
        <v/>
      </c>
      <c r="V5531" s="79" t="str">
        <f>IF(ISERROR(FIND('112'!$M$9,G5531,1)),"",IF((AND(RIGHT(G5531,2)=RIGHT('112'!$M$9,2),B5531&lt;'112'!$K$9,$O5531='112'!$I$6)),"x",""))</f>
        <v/>
      </c>
      <c r="W5531" s="79" t="str">
        <f>IF(AND('341-CT'!$H$9=H5531,OR(LEFT(N5531,3)=$W$7,LEFT(O5531,3)=$W$7)),"x","")</f>
        <v/>
      </c>
      <c r="X5531" s="79" t="str">
        <f>IF(OR(TH!N5531=TH!$X$7,O5531=TH!$X$7),"x","")</f>
        <v/>
      </c>
      <c r="Y5531" s="79" t="str">
        <f>IF(AND(OR(N5531="131",O5531="131"),H5531='131-CT'!$H$9),"x","")</f>
        <v/>
      </c>
      <c r="Z5531" s="79"/>
      <c r="AA5531" s="79" t="str">
        <f>IF(AND(MONTH(E5531)='IN-NX'!$J$5,'IN-NX'!$D$7=D5531),"x","")</f>
        <v/>
      </c>
      <c r="AB5531" s="79" t="str">
        <f>IF(AND(OR(LEFT(TH!N5531,2)="15",LEFT(TH!O5531,2)="15"),LEFT(TH!O5531,3)&lt;&gt;"111",'152-CT'!$J$8=TH!F5531),"x","")</f>
        <v/>
      </c>
      <c r="AC5531" s="79" t="str">
        <f>IF(AND(OR(LEFT(TH!N5531,2)="15",LEFT(TH!O5531,2)="15"),TK!$E$7=TH!F5531),"x","")</f>
        <v/>
      </c>
      <c r="AD5531" s="79" t="str">
        <f>IF(AND(N5531="1521",MONTH(C5531)='BK-NL'!$M$11),"x","")</f>
        <v/>
      </c>
    </row>
    <row r="5532" spans="1:30" ht="16.5" customHeight="1">
      <c r="A5532" s="318" t="str">
        <f>IF(B5532&lt;&gt;"",IF(AND(B5532='IN-TC'!$S$4,OR(TH!N5532="1111",TH!O5532="1111")),TH!D5532,""),"")</f>
        <v/>
      </c>
      <c r="B5532" s="60" t="str">
        <f t="shared" si="507"/>
        <v/>
      </c>
      <c r="C5532" s="61"/>
      <c r="D5532" s="61"/>
      <c r="E5532" s="61"/>
      <c r="F5532" s="64"/>
      <c r="G5532" s="64"/>
      <c r="H5532" s="321"/>
      <c r="I5532" s="387"/>
      <c r="J5532" s="394"/>
      <c r="K5532" s="387"/>
      <c r="L5532" s="394"/>
      <c r="M5532" s="62"/>
      <c r="N5532" s="63"/>
      <c r="O5532" s="63"/>
      <c r="P5532" s="79" t="str">
        <f>IF(AND('331-CT'!$E$7=TH!H5532,OR(N5532="331",O5532="331")),"x","")</f>
        <v/>
      </c>
      <c r="Q5532" s="79" t="str">
        <f>IF(AND(B5532='111'!$L$11,OR($N5532=$Q$7,$O5532=$Q$7)),"x","")</f>
        <v/>
      </c>
      <c r="R5532" s="79" t="str">
        <f>IF(AND($N5532=$Q$7,$B5532&lt;'111'!$L$11),"x","")</f>
        <v/>
      </c>
      <c r="S5532" s="79" t="str">
        <f>IF(AND($O5532=$Q$7,$B5532&lt;'111'!$L$11),"x","")</f>
        <v/>
      </c>
      <c r="T5532" s="79" t="str">
        <f>IF(ISERROR(FIND('112'!$M$9,G5532,1)),"",IF((AND(FIND('112'!$M$9,G5532,1)&gt;=1,B5532='112'!$K$9,OR($N5532='112'!$I$6,$O5532='112'!$I$6))),"x",""))</f>
        <v/>
      </c>
      <c r="U5532" s="79" t="str">
        <f>IF(ISERROR(FIND('112'!$M$9,G5532,1)),"",IF((AND(LEFT(G5532,2)=LEFT('112'!$M$9,2),B5532&lt;'112'!$K$9,$N5532='112'!$I$6)),"x",""))</f>
        <v/>
      </c>
      <c r="V5532" s="79" t="str">
        <f>IF(ISERROR(FIND('112'!$M$9,G5532,1)),"",IF((AND(RIGHT(G5532,2)=RIGHT('112'!$M$9,2),B5532&lt;'112'!$K$9,$O5532='112'!$I$6)),"x",""))</f>
        <v/>
      </c>
      <c r="W5532" s="79" t="str">
        <f>IF(AND('341-CT'!$H$9=H5532,OR(LEFT(N5532,3)=$W$7,LEFT(O5532,3)=$W$7)),"x","")</f>
        <v/>
      </c>
      <c r="X5532" s="79" t="str">
        <f>IF(OR(TH!N5532=TH!$X$7,O5532=TH!$X$7),"x","")</f>
        <v/>
      </c>
      <c r="Y5532" s="79" t="str">
        <f>IF(AND(OR(N5532="131",O5532="131"),H5532='131-CT'!$H$9),"x","")</f>
        <v/>
      </c>
      <c r="Z5532" s="79"/>
      <c r="AA5532" s="79" t="str">
        <f>IF(AND(MONTH(E5532)='IN-NX'!$J$5,'IN-NX'!$D$7=D5532),"x","")</f>
        <v/>
      </c>
      <c r="AB5532" s="79" t="str">
        <f>IF(AND(OR(LEFT(TH!N5532,2)="15",LEFT(TH!O5532,2)="15"),LEFT(TH!O5532,3)&lt;&gt;"111",'152-CT'!$J$8=TH!F5532),"x","")</f>
        <v/>
      </c>
      <c r="AC5532" s="79" t="str">
        <f>IF(AND(OR(LEFT(TH!N5532,2)="15",LEFT(TH!O5532,2)="15"),TK!$E$7=TH!F5532),"x","")</f>
        <v/>
      </c>
      <c r="AD5532" s="79" t="str">
        <f>IF(AND(N5532="1521",MONTH(C5532)='BK-NL'!$M$11),"x","")</f>
        <v/>
      </c>
    </row>
    <row r="5533" spans="1:30" ht="16.5" customHeight="1">
      <c r="A5533" s="318" t="str">
        <f>IF(B5533&lt;&gt;"",IF(AND(B5533='IN-TC'!$S$4,OR(TH!N5533="1111",TH!O5533="1111")),TH!D5533,""),"")</f>
        <v/>
      </c>
      <c r="B5533" s="60" t="str">
        <f t="shared" si="507"/>
        <v/>
      </c>
      <c r="C5533" s="61"/>
      <c r="D5533" s="61"/>
      <c r="E5533" s="61"/>
      <c r="F5533" s="64"/>
      <c r="G5533" s="64"/>
      <c r="H5533" s="69"/>
      <c r="I5533" s="385"/>
      <c r="J5533" s="392"/>
      <c r="K5533" s="385"/>
      <c r="L5533" s="392"/>
      <c r="M5533" s="62"/>
      <c r="N5533" s="63"/>
      <c r="O5533" s="63"/>
      <c r="P5533" s="79" t="str">
        <f>IF(AND('331-CT'!$E$7=TH!H5533,OR(N5533="331",O5533="331")),"x","")</f>
        <v/>
      </c>
      <c r="Q5533" s="79" t="str">
        <f>IF(AND(B5533='111'!$L$11,OR($N5533=$Q$7,$O5533=$Q$7)),"x","")</f>
        <v/>
      </c>
      <c r="R5533" s="79" t="str">
        <f>IF(AND($N5533=$Q$7,$B5533&lt;'111'!$L$11),"x","")</f>
        <v/>
      </c>
      <c r="S5533" s="79" t="str">
        <f>IF(AND($O5533=$Q$7,$B5533&lt;'111'!$L$11),"x","")</f>
        <v/>
      </c>
      <c r="T5533" s="79" t="str">
        <f>IF(ISERROR(FIND('112'!$M$9,G5533,1)),"",IF((AND(FIND('112'!$M$9,G5533,1)&gt;=1,B5533='112'!$K$9,OR($N5533='112'!$I$6,$O5533='112'!$I$6))),"x",""))</f>
        <v/>
      </c>
      <c r="U5533" s="79" t="str">
        <f>IF(ISERROR(FIND('112'!$M$9,G5533,1)),"",IF((AND(LEFT(G5533,2)=LEFT('112'!$M$9,2),B5533&lt;'112'!$K$9,$N5533='112'!$I$6)),"x",""))</f>
        <v/>
      </c>
      <c r="V5533" s="79" t="str">
        <f>IF(ISERROR(FIND('112'!$M$9,G5533,1)),"",IF((AND(RIGHT(G5533,2)=RIGHT('112'!$M$9,2),B5533&lt;'112'!$K$9,$O5533='112'!$I$6)),"x",""))</f>
        <v/>
      </c>
      <c r="W5533" s="79" t="str">
        <f>IF(AND('341-CT'!$H$9=H5533,OR(LEFT(N5533,3)=$W$7,LEFT(O5533,3)=$W$7)),"x","")</f>
        <v/>
      </c>
      <c r="X5533" s="79" t="str">
        <f>IF(OR(TH!N5533=TH!$X$7,O5533=TH!$X$7),"x","")</f>
        <v/>
      </c>
      <c r="Y5533" s="79" t="str">
        <f>IF(AND(OR(N5533="131",O5533="131"),H5533='131-CT'!$H$9),"x","")</f>
        <v/>
      </c>
      <c r="Z5533" s="79"/>
      <c r="AA5533" s="79" t="str">
        <f>IF(AND(MONTH(E5533)='IN-NX'!$J$5,'IN-NX'!$D$7=D5533),"x","")</f>
        <v/>
      </c>
      <c r="AB5533" s="79" t="str">
        <f>IF(AND(OR(LEFT(TH!N5533,2)="15",LEFT(TH!O5533,2)="15"),LEFT(TH!O5533,3)&lt;&gt;"111",'152-CT'!$J$8=TH!F5533),"x","")</f>
        <v/>
      </c>
      <c r="AC5533" s="79" t="str">
        <f>IF(AND(OR(LEFT(TH!N5533,2)="15",LEFT(TH!O5533,2)="15"),TK!$E$7=TH!F5533),"x","")</f>
        <v/>
      </c>
      <c r="AD5533" s="79" t="str">
        <f>IF(AND(N5533="1521",MONTH(C5533)='BK-NL'!$M$11),"x","")</f>
        <v/>
      </c>
    </row>
    <row r="5534" spans="1:30" ht="16.5" customHeight="1">
      <c r="A5534" s="318" t="str">
        <f>IF(B5534&lt;&gt;"",IF(AND(B5534='IN-TC'!$S$4,OR(TH!N5534="1111",TH!O5534="1111")),TH!D5534,""),"")</f>
        <v/>
      </c>
      <c r="B5534" s="60" t="str">
        <f t="shared" si="507"/>
        <v/>
      </c>
      <c r="C5534" s="61"/>
      <c r="D5534" s="61"/>
      <c r="E5534" s="61"/>
      <c r="F5534" s="64"/>
      <c r="G5534" s="64"/>
      <c r="H5534" s="69"/>
      <c r="I5534" s="385"/>
      <c r="J5534" s="392"/>
      <c r="K5534" s="385"/>
      <c r="L5534" s="392"/>
      <c r="M5534" s="62"/>
      <c r="N5534" s="63"/>
      <c r="O5534" s="63"/>
      <c r="P5534" s="79" t="str">
        <f>IF(AND('331-CT'!$E$7=TH!H5534,OR(N5534="331",O5534="331")),"x","")</f>
        <v/>
      </c>
      <c r="Q5534" s="79" t="str">
        <f>IF(AND(B5534='111'!$L$11,OR($N5534=$Q$7,$O5534=$Q$7)),"x","")</f>
        <v/>
      </c>
      <c r="R5534" s="79" t="str">
        <f>IF(AND($N5534=$Q$7,$B5534&lt;'111'!$L$11),"x","")</f>
        <v/>
      </c>
      <c r="S5534" s="79" t="str">
        <f>IF(AND($O5534=$Q$7,$B5534&lt;'111'!$L$11),"x","")</f>
        <v/>
      </c>
      <c r="T5534" s="79" t="str">
        <f>IF(ISERROR(FIND('112'!$M$9,G5534,1)),"",IF((AND(FIND('112'!$M$9,G5534,1)&gt;=1,B5534='112'!$K$9,OR($N5534='112'!$I$6,$O5534='112'!$I$6))),"x",""))</f>
        <v/>
      </c>
      <c r="U5534" s="79" t="str">
        <f>IF(ISERROR(FIND('112'!$M$9,G5534,1)),"",IF((AND(LEFT(G5534,2)=LEFT('112'!$M$9,2),B5534&lt;'112'!$K$9,$N5534='112'!$I$6)),"x",""))</f>
        <v/>
      </c>
      <c r="V5534" s="79" t="str">
        <f>IF(ISERROR(FIND('112'!$M$9,G5534,1)),"",IF((AND(RIGHT(G5534,2)=RIGHT('112'!$M$9,2),B5534&lt;'112'!$K$9,$O5534='112'!$I$6)),"x",""))</f>
        <v/>
      </c>
      <c r="W5534" s="79" t="str">
        <f>IF(AND('341-CT'!$H$9=H5534,OR(LEFT(N5534,3)=$W$7,LEFT(O5534,3)=$W$7)),"x","")</f>
        <v/>
      </c>
      <c r="X5534" s="79" t="str">
        <f>IF(OR(TH!N5534=TH!$X$7,O5534=TH!$X$7),"x","")</f>
        <v/>
      </c>
      <c r="Y5534" s="79" t="str">
        <f>IF(AND(OR(N5534="131",O5534="131"),H5534='131-CT'!$H$9),"x","")</f>
        <v/>
      </c>
      <c r="Z5534" s="79"/>
      <c r="AA5534" s="79" t="str">
        <f>IF(AND(MONTH(E5534)='IN-NX'!$J$5,'IN-NX'!$D$7=D5534),"x","")</f>
        <v/>
      </c>
      <c r="AB5534" s="79" t="str">
        <f>IF(AND(OR(LEFT(TH!N5534,2)="15",LEFT(TH!O5534,2)="15"),LEFT(TH!O5534,3)&lt;&gt;"111",'152-CT'!$J$8=TH!F5534),"x","")</f>
        <v/>
      </c>
      <c r="AC5534" s="79" t="str">
        <f>IF(AND(OR(LEFT(TH!N5534,2)="15",LEFT(TH!O5534,2)="15"),TK!$E$7=TH!F5534),"x","")</f>
        <v/>
      </c>
      <c r="AD5534" s="79" t="str">
        <f>IF(AND(N5534="1521",MONTH(C5534)='BK-NL'!$M$11),"x","")</f>
        <v/>
      </c>
    </row>
    <row r="5535" spans="1:30" ht="16.5" customHeight="1">
      <c r="A5535" s="318" t="str">
        <f>IF(B5535&lt;&gt;"",IF(AND(B5535='IN-TC'!$S$4,OR(TH!N5535="1111",TH!O5535="1111")),TH!D5535,""),"")</f>
        <v/>
      </c>
      <c r="B5535" s="60" t="str">
        <f t="shared" si="507"/>
        <v/>
      </c>
      <c r="C5535" s="61"/>
      <c r="D5535" s="61"/>
      <c r="E5535" s="61"/>
      <c r="F5535" s="64"/>
      <c r="G5535" s="64"/>
      <c r="H5535" s="69"/>
      <c r="I5535" s="385"/>
      <c r="J5535" s="392"/>
      <c r="K5535" s="385"/>
      <c r="L5535" s="392"/>
      <c r="M5535" s="62"/>
      <c r="N5535" s="63"/>
      <c r="O5535" s="63"/>
      <c r="P5535" s="79" t="str">
        <f>IF(AND('331-CT'!$E$7=TH!H5535,OR(N5535="331",O5535="331")),"x","")</f>
        <v/>
      </c>
      <c r="Q5535" s="79" t="str">
        <f>IF(AND(B5535='111'!$L$11,OR($N5535=$Q$7,$O5535=$Q$7)),"x","")</f>
        <v/>
      </c>
      <c r="R5535" s="79" t="str">
        <f>IF(AND($N5535=$Q$7,$B5535&lt;'111'!$L$11),"x","")</f>
        <v/>
      </c>
      <c r="S5535" s="79" t="str">
        <f>IF(AND($O5535=$Q$7,$B5535&lt;'111'!$L$11),"x","")</f>
        <v/>
      </c>
      <c r="T5535" s="79" t="str">
        <f>IF(ISERROR(FIND('112'!$M$9,G5535,1)),"",IF((AND(FIND('112'!$M$9,G5535,1)&gt;=1,B5535='112'!$K$9,OR($N5535='112'!$I$6,$O5535='112'!$I$6))),"x",""))</f>
        <v/>
      </c>
      <c r="U5535" s="79" t="str">
        <f>IF(ISERROR(FIND('112'!$M$9,G5535,1)),"",IF((AND(LEFT(G5535,2)=LEFT('112'!$M$9,2),B5535&lt;'112'!$K$9,$N5535='112'!$I$6)),"x",""))</f>
        <v/>
      </c>
      <c r="V5535" s="79" t="str">
        <f>IF(ISERROR(FIND('112'!$M$9,G5535,1)),"",IF((AND(RIGHT(G5535,2)=RIGHT('112'!$M$9,2),B5535&lt;'112'!$K$9,$O5535='112'!$I$6)),"x",""))</f>
        <v/>
      </c>
      <c r="W5535" s="79" t="str">
        <f>IF(AND('341-CT'!$H$9=H5535,OR(LEFT(N5535,3)=$W$7,LEFT(O5535,3)=$W$7)),"x","")</f>
        <v/>
      </c>
      <c r="X5535" s="79" t="str">
        <f>IF(OR(TH!N5535=TH!$X$7,O5535=TH!$X$7),"x","")</f>
        <v/>
      </c>
      <c r="Y5535" s="79" t="str">
        <f>IF(AND(OR(N5535="131",O5535="131"),H5535='131-CT'!$H$9),"x","")</f>
        <v/>
      </c>
      <c r="Z5535" s="79"/>
      <c r="AA5535" s="79" t="str">
        <f>IF(AND(MONTH(E5535)='IN-NX'!$J$5,'IN-NX'!$D$7=D5535),"x","")</f>
        <v/>
      </c>
      <c r="AB5535" s="79" t="str">
        <f>IF(AND(OR(LEFT(TH!N5535,2)="15",LEFT(TH!O5535,2)="15"),LEFT(TH!O5535,3)&lt;&gt;"111",'152-CT'!$J$8=TH!F5535),"x","")</f>
        <v/>
      </c>
      <c r="AC5535" s="79" t="str">
        <f>IF(AND(OR(LEFT(TH!N5535,2)="15",LEFT(TH!O5535,2)="15"),TK!$E$7=TH!F5535),"x","")</f>
        <v/>
      </c>
      <c r="AD5535" s="79" t="str">
        <f>IF(AND(N5535="1521",MONTH(C5535)='BK-NL'!$M$11),"x","")</f>
        <v/>
      </c>
    </row>
    <row r="5536" spans="1:30" ht="16.5" customHeight="1">
      <c r="A5536" s="318" t="str">
        <f>IF(B5536&lt;&gt;"",IF(AND(B5536='IN-TC'!$S$4,OR(TH!N5536="1111",TH!O5536="1111")),TH!D5536,""),"")</f>
        <v/>
      </c>
      <c r="B5536" s="60" t="str">
        <f t="shared" si="507"/>
        <v/>
      </c>
      <c r="C5536" s="61"/>
      <c r="D5536" s="61"/>
      <c r="E5536" s="61"/>
      <c r="F5536" s="64"/>
      <c r="G5536" s="64"/>
      <c r="H5536" s="69"/>
      <c r="I5536" s="385"/>
      <c r="J5536" s="392"/>
      <c r="K5536" s="385"/>
      <c r="L5536" s="392"/>
      <c r="M5536" s="62"/>
      <c r="N5536" s="63"/>
      <c r="O5536" s="63"/>
      <c r="P5536" s="79" t="str">
        <f>IF(AND('331-CT'!$E$7=TH!H5536,OR(N5536="331",O5536="331")),"x","")</f>
        <v/>
      </c>
      <c r="Q5536" s="79" t="str">
        <f>IF(AND(B5536='111'!$L$11,OR($N5536=$Q$7,$O5536=$Q$7)),"x","")</f>
        <v/>
      </c>
      <c r="R5536" s="79" t="str">
        <f>IF(AND($N5536=$Q$7,$B5536&lt;'111'!$L$11),"x","")</f>
        <v/>
      </c>
      <c r="S5536" s="79" t="str">
        <f>IF(AND($O5536=$Q$7,$B5536&lt;'111'!$L$11),"x","")</f>
        <v/>
      </c>
      <c r="T5536" s="79" t="str">
        <f>IF(ISERROR(FIND('112'!$M$9,G5536,1)),"",IF((AND(FIND('112'!$M$9,G5536,1)&gt;=1,B5536='112'!$K$9,OR($N5536='112'!$I$6,$O5536='112'!$I$6))),"x",""))</f>
        <v/>
      </c>
      <c r="U5536" s="79" t="str">
        <f>IF(ISERROR(FIND('112'!$M$9,G5536,1)),"",IF((AND(LEFT(G5536,2)=LEFT('112'!$M$9,2),B5536&lt;'112'!$K$9,$N5536='112'!$I$6)),"x",""))</f>
        <v/>
      </c>
      <c r="V5536" s="79" t="str">
        <f>IF(ISERROR(FIND('112'!$M$9,G5536,1)),"",IF((AND(RIGHT(G5536,2)=RIGHT('112'!$M$9,2),B5536&lt;'112'!$K$9,$O5536='112'!$I$6)),"x",""))</f>
        <v/>
      </c>
      <c r="W5536" s="79" t="str">
        <f>IF(AND('341-CT'!$H$9=H5536,OR(LEFT(N5536,3)=$W$7,LEFT(O5536,3)=$W$7)),"x","")</f>
        <v/>
      </c>
      <c r="X5536" s="79" t="str">
        <f>IF(OR(TH!N5536=TH!$X$7,O5536=TH!$X$7),"x","")</f>
        <v/>
      </c>
      <c r="Y5536" s="79" t="str">
        <f>IF(AND(OR(N5536="131",O5536="131"),H5536='131-CT'!$H$9),"x","")</f>
        <v/>
      </c>
      <c r="Z5536" s="79"/>
      <c r="AA5536" s="79" t="str">
        <f>IF(AND(MONTH(E5536)='IN-NX'!$J$5,'IN-NX'!$D$7=D5536),"x","")</f>
        <v/>
      </c>
      <c r="AB5536" s="79" t="str">
        <f>IF(AND(OR(LEFT(TH!N5536,2)="15",LEFT(TH!O5536,2)="15"),LEFT(TH!O5536,3)&lt;&gt;"111",'152-CT'!$J$8=TH!F5536),"x","")</f>
        <v/>
      </c>
      <c r="AC5536" s="79" t="str">
        <f>IF(AND(OR(LEFT(TH!N5536,2)="15",LEFT(TH!O5536,2)="15"),TK!$E$7=TH!F5536),"x","")</f>
        <v/>
      </c>
      <c r="AD5536" s="79" t="str">
        <f>IF(AND(N5536="1521",MONTH(C5536)='BK-NL'!$M$11),"x","")</f>
        <v/>
      </c>
    </row>
    <row r="5537" spans="1:30" ht="16.5" customHeight="1">
      <c r="A5537" s="318" t="str">
        <f>IF(B5537&lt;&gt;"",IF(AND(B5537='IN-TC'!$S$4,OR(TH!N5537="1111",TH!O5537="1111")),TH!D5537,""),"")</f>
        <v/>
      </c>
      <c r="B5537" s="60" t="str">
        <f t="shared" si="507"/>
        <v/>
      </c>
      <c r="C5537" s="61"/>
      <c r="D5537" s="61"/>
      <c r="E5537" s="61"/>
      <c r="F5537" s="64"/>
      <c r="G5537" s="64"/>
      <c r="H5537" s="69"/>
      <c r="I5537" s="385"/>
      <c r="J5537" s="392"/>
      <c r="K5537" s="385"/>
      <c r="L5537" s="392"/>
      <c r="M5537" s="62"/>
      <c r="N5537" s="63"/>
      <c r="O5537" s="63"/>
      <c r="P5537" s="79" t="str">
        <f>IF(AND('331-CT'!$E$7=TH!H5537,OR(N5537="331",O5537="331")),"x","")</f>
        <v/>
      </c>
      <c r="Q5537" s="79" t="str">
        <f>IF(AND(B5537='111'!$L$11,OR($N5537=$Q$7,$O5537=$Q$7)),"x","")</f>
        <v/>
      </c>
      <c r="R5537" s="79" t="str">
        <f>IF(AND($N5537=$Q$7,$B5537&lt;'111'!$L$11),"x","")</f>
        <v/>
      </c>
      <c r="S5537" s="79" t="str">
        <f>IF(AND($O5537=$Q$7,$B5537&lt;'111'!$L$11),"x","")</f>
        <v/>
      </c>
      <c r="T5537" s="79" t="str">
        <f>IF(ISERROR(FIND('112'!$M$9,G5537,1)),"",IF((AND(FIND('112'!$M$9,G5537,1)&gt;=1,B5537='112'!$K$9,OR($N5537='112'!$I$6,$O5537='112'!$I$6))),"x",""))</f>
        <v/>
      </c>
      <c r="U5537" s="79" t="str">
        <f>IF(ISERROR(FIND('112'!$M$9,G5537,1)),"",IF((AND(LEFT(G5537,2)=LEFT('112'!$M$9,2),B5537&lt;'112'!$K$9,$N5537='112'!$I$6)),"x",""))</f>
        <v/>
      </c>
      <c r="V5537" s="79" t="str">
        <f>IF(ISERROR(FIND('112'!$M$9,G5537,1)),"",IF((AND(RIGHT(G5537,2)=RIGHT('112'!$M$9,2),B5537&lt;'112'!$K$9,$O5537='112'!$I$6)),"x",""))</f>
        <v/>
      </c>
      <c r="W5537" s="79" t="str">
        <f>IF(AND('341-CT'!$H$9=H5537,OR(LEFT(N5537,3)=$W$7,LEFT(O5537,3)=$W$7)),"x","")</f>
        <v/>
      </c>
      <c r="X5537" s="79" t="str">
        <f>IF(OR(TH!N5537=TH!$X$7,O5537=TH!$X$7),"x","")</f>
        <v/>
      </c>
      <c r="Y5537" s="79" t="str">
        <f>IF(AND(OR(N5537="131",O5537="131"),H5537='131-CT'!$H$9),"x","")</f>
        <v/>
      </c>
      <c r="Z5537" s="79"/>
      <c r="AA5537" s="79" t="str">
        <f>IF(AND(MONTH(E5537)='IN-NX'!$J$5,'IN-NX'!$D$7=D5537),"x","")</f>
        <v/>
      </c>
      <c r="AB5537" s="79" t="str">
        <f>IF(AND(OR(LEFT(TH!N5537,2)="15",LEFT(TH!O5537,2)="15"),LEFT(TH!O5537,3)&lt;&gt;"111",'152-CT'!$J$8=TH!F5537),"x","")</f>
        <v/>
      </c>
      <c r="AC5537" s="79" t="str">
        <f>IF(AND(OR(LEFT(TH!N5537,2)="15",LEFT(TH!O5537,2)="15"),TK!$E$7=TH!F5537),"x","")</f>
        <v/>
      </c>
      <c r="AD5537" s="79" t="str">
        <f>IF(AND(N5537="1521",MONTH(C5537)='BK-NL'!$M$11),"x","")</f>
        <v/>
      </c>
    </row>
    <row r="5538" spans="1:30" ht="16.5" customHeight="1">
      <c r="A5538" s="318" t="str">
        <f>IF(B5538&lt;&gt;"",IF(AND(B5538='IN-TC'!$S$4,OR(TH!N5538="1111",TH!O5538="1111")),TH!D5538,""),"")</f>
        <v/>
      </c>
      <c r="B5538" s="60" t="str">
        <f t="shared" si="507"/>
        <v/>
      </c>
      <c r="C5538" s="61"/>
      <c r="D5538" s="61"/>
      <c r="E5538" s="61"/>
      <c r="F5538" s="84"/>
      <c r="G5538" s="64"/>
      <c r="H5538" s="69"/>
      <c r="I5538" s="385"/>
      <c r="J5538" s="392"/>
      <c r="K5538" s="385"/>
      <c r="L5538" s="392"/>
      <c r="M5538" s="62"/>
      <c r="N5538" s="63"/>
      <c r="O5538" s="63"/>
      <c r="P5538" s="79" t="str">
        <f>IF(AND('331-CT'!$E$7=TH!H5538,OR(N5538="331",O5538="331")),"x","")</f>
        <v/>
      </c>
      <c r="Q5538" s="79" t="str">
        <f>IF(AND(B5538='111'!$L$11,OR($N5538=$Q$7,$O5538=$Q$7)),"x","")</f>
        <v/>
      </c>
      <c r="R5538" s="79" t="str">
        <f>IF(AND($N5538=$Q$7,$B5538&lt;'111'!$L$11),"x","")</f>
        <v/>
      </c>
      <c r="S5538" s="79" t="str">
        <f>IF(AND($O5538=$Q$7,$B5538&lt;'111'!$L$11),"x","")</f>
        <v/>
      </c>
      <c r="T5538" s="79" t="str">
        <f>IF(ISERROR(FIND('112'!$M$9,G5538,1)),"",IF((AND(FIND('112'!$M$9,G5538,1)&gt;=1,B5538='112'!$K$9,OR($N5538='112'!$I$6,$O5538='112'!$I$6))),"x",""))</f>
        <v/>
      </c>
      <c r="U5538" s="79" t="str">
        <f>IF(ISERROR(FIND('112'!$M$9,G5538,1)),"",IF((AND(LEFT(G5538,2)=LEFT('112'!$M$9,2),B5538&lt;'112'!$K$9,$N5538='112'!$I$6)),"x",""))</f>
        <v/>
      </c>
      <c r="V5538" s="79" t="str">
        <f>IF(ISERROR(FIND('112'!$M$9,G5538,1)),"",IF((AND(RIGHT(G5538,2)=RIGHT('112'!$M$9,2),B5538&lt;'112'!$K$9,$O5538='112'!$I$6)),"x",""))</f>
        <v/>
      </c>
      <c r="W5538" s="79" t="str">
        <f>IF(AND('341-CT'!$H$9=H5538,OR(LEFT(N5538,3)=$W$7,LEFT(O5538,3)=$W$7)),"x","")</f>
        <v/>
      </c>
      <c r="X5538" s="79" t="str">
        <f>IF(OR(TH!N5538=TH!$X$7,O5538=TH!$X$7),"x","")</f>
        <v/>
      </c>
      <c r="Y5538" s="79" t="str">
        <f>IF(AND(OR(N5538="131",O5538="131"),H5538='131-CT'!$H$9),"x","")</f>
        <v/>
      </c>
      <c r="Z5538" s="79"/>
      <c r="AA5538" s="79" t="str">
        <f>IF(AND(MONTH(E5538)='IN-NX'!$J$5,'IN-NX'!$D$7=D5538),"x","")</f>
        <v/>
      </c>
      <c r="AB5538" s="79" t="str">
        <f>IF(AND(OR(LEFT(TH!N5538,2)="15",LEFT(TH!O5538,2)="15"),LEFT(TH!O5538,3)&lt;&gt;"111",'152-CT'!$J$8=TH!F5538),"x","")</f>
        <v/>
      </c>
      <c r="AC5538" s="79" t="str">
        <f>IF(AND(OR(LEFT(TH!N5538,2)="15",LEFT(TH!O5538,2)="15"),TK!$E$7=TH!F5538),"x","")</f>
        <v/>
      </c>
      <c r="AD5538" s="79" t="str">
        <f>IF(AND(N5538="1521",MONTH(C5538)='BK-NL'!$M$11),"x","")</f>
        <v/>
      </c>
    </row>
    <row r="5539" spans="1:30" ht="16.5" customHeight="1">
      <c r="A5539" s="318" t="str">
        <f>IF(B5539&lt;&gt;"",IF(AND(B5539='IN-TC'!$S$4,OR(TH!N5539="1111",TH!O5539="1111")),TH!D5539,""),"")</f>
        <v/>
      </c>
      <c r="B5539" s="60" t="str">
        <f t="shared" si="507"/>
        <v/>
      </c>
      <c r="C5539" s="61"/>
      <c r="D5539" s="61"/>
      <c r="E5539" s="61"/>
      <c r="F5539" s="64"/>
      <c r="G5539" s="64"/>
      <c r="H5539" s="69"/>
      <c r="I5539" s="385"/>
      <c r="J5539" s="392"/>
      <c r="K5539" s="385"/>
      <c r="L5539" s="392"/>
      <c r="M5539" s="62"/>
      <c r="N5539" s="63"/>
      <c r="O5539" s="63"/>
      <c r="P5539" s="79" t="str">
        <f>IF(AND('331-CT'!$E$7=TH!H5539,OR(N5539="331",O5539="331")),"x","")</f>
        <v/>
      </c>
      <c r="Q5539" s="79" t="str">
        <f>IF(AND(B5539='111'!$L$11,OR($N5539=$Q$7,$O5539=$Q$7)),"x","")</f>
        <v/>
      </c>
      <c r="R5539" s="79" t="str">
        <f>IF(AND($N5539=$Q$7,$B5539&lt;'111'!$L$11),"x","")</f>
        <v/>
      </c>
      <c r="S5539" s="79" t="str">
        <f>IF(AND($O5539=$Q$7,$B5539&lt;'111'!$L$11),"x","")</f>
        <v/>
      </c>
      <c r="T5539" s="79" t="str">
        <f>IF(ISERROR(FIND('112'!$M$9,G5539,1)),"",IF((AND(FIND('112'!$M$9,G5539,1)&gt;=1,B5539='112'!$K$9,OR($N5539='112'!$I$6,$O5539='112'!$I$6))),"x",""))</f>
        <v/>
      </c>
      <c r="U5539" s="79" t="str">
        <f>IF(ISERROR(FIND('112'!$M$9,G5539,1)),"",IF((AND(LEFT(G5539,2)=LEFT('112'!$M$9,2),B5539&lt;'112'!$K$9,$N5539='112'!$I$6)),"x",""))</f>
        <v/>
      </c>
      <c r="V5539" s="79" t="str">
        <f>IF(ISERROR(FIND('112'!$M$9,G5539,1)),"",IF((AND(RIGHT(G5539,2)=RIGHT('112'!$M$9,2),B5539&lt;'112'!$K$9,$O5539='112'!$I$6)),"x",""))</f>
        <v/>
      </c>
      <c r="W5539" s="79" t="str">
        <f>IF(AND('341-CT'!$H$9=H5539,OR(LEFT(N5539,3)=$W$7,LEFT(O5539,3)=$W$7)),"x","")</f>
        <v/>
      </c>
      <c r="X5539" s="79" t="str">
        <f>IF(OR(TH!N5539=TH!$X$7,O5539=TH!$X$7),"x","")</f>
        <v/>
      </c>
      <c r="Y5539" s="79" t="str">
        <f>IF(AND(OR(N5539="131",O5539="131"),H5539='131-CT'!$H$9),"x","")</f>
        <v/>
      </c>
      <c r="Z5539" s="79"/>
      <c r="AA5539" s="79" t="str">
        <f>IF(AND(MONTH(E5539)='IN-NX'!$J$5,'IN-NX'!$D$7=D5539),"x","")</f>
        <v/>
      </c>
      <c r="AB5539" s="79" t="str">
        <f>IF(AND(OR(LEFT(TH!N5539,2)="15",LEFT(TH!O5539,2)="15"),LEFT(TH!O5539,3)&lt;&gt;"111",'152-CT'!$J$8=TH!F5539),"x","")</f>
        <v/>
      </c>
      <c r="AC5539" s="79" t="str">
        <f>IF(AND(OR(LEFT(TH!N5539,2)="15",LEFT(TH!O5539,2)="15"),TK!$E$7=TH!F5539),"x","")</f>
        <v/>
      </c>
      <c r="AD5539" s="79" t="str">
        <f>IF(AND(N5539="1521",MONTH(C5539)='BK-NL'!$M$11),"x","")</f>
        <v/>
      </c>
    </row>
    <row r="5540" spans="1:30" ht="16.5" customHeight="1">
      <c r="A5540" s="318" t="str">
        <f>IF(B5540&lt;&gt;"",IF(AND(B5540='IN-TC'!$S$4,OR(TH!N5540="1111",TH!O5540="1111")),TH!D5540,""),"")</f>
        <v/>
      </c>
      <c r="B5540" s="60" t="str">
        <f t="shared" si="507"/>
        <v/>
      </c>
      <c r="C5540" s="61"/>
      <c r="D5540" s="61"/>
      <c r="E5540" s="61"/>
      <c r="F5540" s="64"/>
      <c r="G5540" s="64"/>
      <c r="H5540" s="70"/>
      <c r="I5540" s="388"/>
      <c r="J5540" s="395"/>
      <c r="K5540" s="388"/>
      <c r="L5540" s="395"/>
      <c r="M5540" s="62"/>
      <c r="N5540" s="63"/>
      <c r="O5540" s="63"/>
      <c r="P5540" s="79" t="str">
        <f>IF(AND('331-CT'!$E$7=TH!H5540,OR(N5540="331",O5540="331")),"x","")</f>
        <v/>
      </c>
      <c r="Q5540" s="79" t="str">
        <f>IF(AND(B5540='111'!$L$11,OR($N5540=$Q$7,$O5540=$Q$7)),"x","")</f>
        <v/>
      </c>
      <c r="R5540" s="79" t="str">
        <f>IF(AND($N5540=$Q$7,$B5540&lt;'111'!$L$11),"x","")</f>
        <v/>
      </c>
      <c r="S5540" s="79" t="str">
        <f>IF(AND($O5540=$Q$7,$B5540&lt;'111'!$L$11),"x","")</f>
        <v/>
      </c>
      <c r="T5540" s="79" t="str">
        <f>IF(ISERROR(FIND('112'!$M$9,G5540,1)),"",IF((AND(FIND('112'!$M$9,G5540,1)&gt;=1,B5540='112'!$K$9,OR($N5540='112'!$I$6,$O5540='112'!$I$6))),"x",""))</f>
        <v/>
      </c>
      <c r="U5540" s="79" t="str">
        <f>IF(ISERROR(FIND('112'!$M$9,G5540,1)),"",IF((AND(LEFT(G5540,2)=LEFT('112'!$M$9,2),B5540&lt;'112'!$K$9,$N5540='112'!$I$6)),"x",""))</f>
        <v/>
      </c>
      <c r="V5540" s="79" t="str">
        <f>IF(ISERROR(FIND('112'!$M$9,G5540,1)),"",IF((AND(RIGHT(G5540,2)=RIGHT('112'!$M$9,2),B5540&lt;'112'!$K$9,$O5540='112'!$I$6)),"x",""))</f>
        <v/>
      </c>
      <c r="W5540" s="79" t="str">
        <f>IF(AND('341-CT'!$H$9=H5540,OR(LEFT(N5540,3)=$W$7,LEFT(O5540,3)=$W$7)),"x","")</f>
        <v/>
      </c>
      <c r="X5540" s="79" t="str">
        <f>IF(OR(TH!N5540=TH!$X$7,O5540=TH!$X$7),"x","")</f>
        <v/>
      </c>
      <c r="Y5540" s="79" t="str">
        <f>IF(AND(OR(N5540="131",O5540="131"),H5540='131-CT'!$H$9),"x","")</f>
        <v/>
      </c>
      <c r="Z5540" s="79"/>
      <c r="AA5540" s="79" t="str">
        <f>IF(AND(MONTH(E5540)='IN-NX'!$J$5,'IN-NX'!$D$7=D5540),"x","")</f>
        <v/>
      </c>
      <c r="AB5540" s="79" t="str">
        <f>IF(AND(OR(LEFT(TH!N5540,2)="15",LEFT(TH!O5540,2)="15"),LEFT(TH!O5540,3)&lt;&gt;"111",'152-CT'!$J$8=TH!F5540),"x","")</f>
        <v/>
      </c>
      <c r="AC5540" s="79" t="str">
        <f>IF(AND(OR(LEFT(TH!N5540,2)="15",LEFT(TH!O5540,2)="15"),TK!$E$7=TH!F5540),"x","")</f>
        <v/>
      </c>
      <c r="AD5540" s="79" t="str">
        <f>IF(AND(N5540="1521",MONTH(C5540)='BK-NL'!$M$11),"x","")</f>
        <v/>
      </c>
    </row>
    <row r="5541" spans="1:30" ht="16.5" customHeight="1">
      <c r="A5541" s="318" t="str">
        <f>IF(B5541&lt;&gt;"",IF(AND(B5541='IN-TC'!$S$4,OR(TH!N5541="1111",TH!O5541="1111")),TH!D5541,""),"")</f>
        <v/>
      </c>
      <c r="B5541" s="60" t="str">
        <f t="shared" si="507"/>
        <v/>
      </c>
      <c r="C5541" s="61"/>
      <c r="D5541" s="61"/>
      <c r="E5541" s="61"/>
      <c r="F5541" s="64"/>
      <c r="G5541" s="64"/>
      <c r="H5541" s="69"/>
      <c r="I5541" s="385"/>
      <c r="J5541" s="392"/>
      <c r="K5541" s="385"/>
      <c r="L5541" s="392"/>
      <c r="M5541" s="62"/>
      <c r="N5541" s="63"/>
      <c r="O5541" s="63"/>
      <c r="P5541" s="79" t="str">
        <f>IF(AND('331-CT'!$E$7=TH!H5541,OR(N5541="331",O5541="331")),"x","")</f>
        <v/>
      </c>
      <c r="Q5541" s="79" t="str">
        <f>IF(AND(B5541='111'!$L$11,OR($N5541=$Q$7,$O5541=$Q$7)),"x","")</f>
        <v/>
      </c>
      <c r="R5541" s="79" t="str">
        <f>IF(AND($N5541=$Q$7,$B5541&lt;'111'!$L$11),"x","")</f>
        <v/>
      </c>
      <c r="S5541" s="79" t="str">
        <f>IF(AND($O5541=$Q$7,$B5541&lt;'111'!$L$11),"x","")</f>
        <v/>
      </c>
      <c r="T5541" s="79" t="str">
        <f>IF(ISERROR(FIND('112'!$M$9,G5541,1)),"",IF((AND(FIND('112'!$M$9,G5541,1)&gt;=1,B5541='112'!$K$9,OR($N5541='112'!$I$6,$O5541='112'!$I$6))),"x",""))</f>
        <v/>
      </c>
      <c r="U5541" s="79" t="str">
        <f>IF(ISERROR(FIND('112'!$M$9,G5541,1)),"",IF((AND(LEFT(G5541,2)=LEFT('112'!$M$9,2),B5541&lt;'112'!$K$9,$N5541='112'!$I$6)),"x",""))</f>
        <v/>
      </c>
      <c r="V5541" s="79" t="str">
        <f>IF(ISERROR(FIND('112'!$M$9,G5541,1)),"",IF((AND(RIGHT(G5541,2)=RIGHT('112'!$M$9,2),B5541&lt;'112'!$K$9,$O5541='112'!$I$6)),"x",""))</f>
        <v/>
      </c>
      <c r="W5541" s="79" t="str">
        <f>IF(AND('341-CT'!$H$9=H5541,OR(LEFT(N5541,3)=$W$7,LEFT(O5541,3)=$W$7)),"x","")</f>
        <v/>
      </c>
      <c r="X5541" s="79" t="str">
        <f>IF(OR(TH!N5541=TH!$X$7,O5541=TH!$X$7),"x","")</f>
        <v/>
      </c>
      <c r="Y5541" s="79" t="str">
        <f>IF(AND(OR(N5541="131",O5541="131"),H5541='131-CT'!$H$9),"x","")</f>
        <v/>
      </c>
      <c r="Z5541" s="79"/>
      <c r="AA5541" s="79" t="str">
        <f>IF(AND(MONTH(E5541)='IN-NX'!$J$5,'IN-NX'!$D$7=D5541),"x","")</f>
        <v/>
      </c>
      <c r="AB5541" s="79" t="str">
        <f>IF(AND(OR(LEFT(TH!N5541,2)="15",LEFT(TH!O5541,2)="15"),LEFT(TH!O5541,3)&lt;&gt;"111",'152-CT'!$J$8=TH!F5541),"x","")</f>
        <v/>
      </c>
      <c r="AC5541" s="79" t="str">
        <f>IF(AND(OR(LEFT(TH!N5541,2)="15",LEFT(TH!O5541,2)="15"),TK!$E$7=TH!F5541),"x","")</f>
        <v/>
      </c>
      <c r="AD5541" s="79" t="str">
        <f>IF(AND(N5541="1521",MONTH(C5541)='BK-NL'!$M$11),"x","")</f>
        <v/>
      </c>
    </row>
    <row r="5542" spans="1:30" ht="16.5" customHeight="1">
      <c r="A5542" s="318" t="str">
        <f>IF(B5542&lt;&gt;"",IF(AND(B5542='IN-TC'!$S$4,OR(TH!N5542="1111",TH!O5542="1111")),TH!D5542,""),"")</f>
        <v/>
      </c>
      <c r="B5542" s="60" t="str">
        <f t="shared" si="507"/>
        <v/>
      </c>
      <c r="C5542" s="61"/>
      <c r="D5542" s="61"/>
      <c r="E5542" s="61"/>
      <c r="F5542" s="64"/>
      <c r="G5542" s="64"/>
      <c r="H5542" s="69"/>
      <c r="I5542" s="385"/>
      <c r="J5542" s="392"/>
      <c r="K5542" s="385"/>
      <c r="L5542" s="392"/>
      <c r="M5542" s="62"/>
      <c r="N5542" s="63"/>
      <c r="O5542" s="63"/>
      <c r="P5542" s="79" t="str">
        <f>IF(AND('331-CT'!$E$7=TH!H5542,OR(N5542="331",O5542="331")),"x","")</f>
        <v/>
      </c>
      <c r="Q5542" s="79" t="str">
        <f>IF(AND(B5542='111'!$L$11,OR($N5542=$Q$7,$O5542=$Q$7)),"x","")</f>
        <v/>
      </c>
      <c r="R5542" s="79" t="str">
        <f>IF(AND($N5542=$Q$7,$B5542&lt;'111'!$L$11),"x","")</f>
        <v/>
      </c>
      <c r="S5542" s="79" t="str">
        <f>IF(AND($O5542=$Q$7,$B5542&lt;'111'!$L$11),"x","")</f>
        <v/>
      </c>
      <c r="T5542" s="79" t="str">
        <f>IF(ISERROR(FIND('112'!$M$9,G5542,1)),"",IF((AND(FIND('112'!$M$9,G5542,1)&gt;=1,B5542='112'!$K$9,OR($N5542='112'!$I$6,$O5542='112'!$I$6))),"x",""))</f>
        <v/>
      </c>
      <c r="U5542" s="79" t="str">
        <f>IF(ISERROR(FIND('112'!$M$9,G5542,1)),"",IF((AND(LEFT(G5542,2)=LEFT('112'!$M$9,2),B5542&lt;'112'!$K$9,$N5542='112'!$I$6)),"x",""))</f>
        <v/>
      </c>
      <c r="V5542" s="79" t="str">
        <f>IF(ISERROR(FIND('112'!$M$9,G5542,1)),"",IF((AND(RIGHT(G5542,2)=RIGHT('112'!$M$9,2),B5542&lt;'112'!$K$9,$O5542='112'!$I$6)),"x",""))</f>
        <v/>
      </c>
      <c r="W5542" s="79" t="str">
        <f>IF(AND('341-CT'!$H$9=H5542,OR(LEFT(N5542,3)=$W$7,LEFT(O5542,3)=$W$7)),"x","")</f>
        <v/>
      </c>
      <c r="X5542" s="79" t="str">
        <f>IF(OR(TH!N5542=TH!$X$7,O5542=TH!$X$7),"x","")</f>
        <v/>
      </c>
      <c r="Y5542" s="79" t="str">
        <f>IF(AND(OR(N5542="131",O5542="131"),H5542='131-CT'!$H$9),"x","")</f>
        <v/>
      </c>
      <c r="Z5542" s="79"/>
      <c r="AA5542" s="79" t="str">
        <f>IF(AND(MONTH(E5542)='IN-NX'!$J$5,'IN-NX'!$D$7=D5542),"x","")</f>
        <v/>
      </c>
      <c r="AB5542" s="79" t="str">
        <f>IF(AND(OR(LEFT(TH!N5542,2)="15",LEFT(TH!O5542,2)="15"),LEFT(TH!O5542,3)&lt;&gt;"111",'152-CT'!$J$8=TH!F5542),"x","")</f>
        <v/>
      </c>
      <c r="AC5542" s="79" t="str">
        <f>IF(AND(OR(LEFT(TH!N5542,2)="15",LEFT(TH!O5542,2)="15"),TK!$E$7=TH!F5542),"x","")</f>
        <v/>
      </c>
      <c r="AD5542" s="79" t="str">
        <f>IF(AND(N5542="1521",MONTH(C5542)='BK-NL'!$M$11),"x","")</f>
        <v/>
      </c>
    </row>
    <row r="5543" spans="1:30" ht="16.5" customHeight="1">
      <c r="A5543" s="318" t="str">
        <f>IF(B5543&lt;&gt;"",IF(AND(B5543='IN-TC'!$S$4,OR(TH!N5543="1111",TH!O5543="1111")),TH!D5543,""),"")</f>
        <v/>
      </c>
      <c r="B5543" s="60" t="str">
        <f t="shared" si="507"/>
        <v/>
      </c>
      <c r="C5543" s="61"/>
      <c r="D5543" s="61"/>
      <c r="E5543" s="61"/>
      <c r="F5543" s="64"/>
      <c r="G5543" s="64"/>
      <c r="H5543" s="64"/>
      <c r="I5543" s="385"/>
      <c r="J5543" s="392"/>
      <c r="K5543" s="385"/>
      <c r="L5543" s="392"/>
      <c r="M5543" s="62"/>
      <c r="N5543" s="63"/>
      <c r="O5543" s="63"/>
      <c r="P5543" s="79" t="str">
        <f>IF(AND('331-CT'!$E$7=TH!H5543,OR(N5543="331",O5543="331")),"x","")</f>
        <v/>
      </c>
      <c r="Q5543" s="79" t="str">
        <f>IF(AND(B5543='111'!$L$11,OR($N5543=$Q$7,$O5543=$Q$7)),"x","")</f>
        <v/>
      </c>
      <c r="R5543" s="79" t="str">
        <f>IF(AND($N5543=$Q$7,$B5543&lt;'111'!$L$11),"x","")</f>
        <v/>
      </c>
      <c r="S5543" s="79" t="str">
        <f>IF(AND($O5543=$Q$7,$B5543&lt;'111'!$L$11),"x","")</f>
        <v/>
      </c>
      <c r="T5543" s="79" t="str">
        <f>IF(ISERROR(FIND('112'!$M$9,G5543,1)),"",IF((AND(FIND('112'!$M$9,G5543,1)&gt;=1,B5543='112'!$K$9,OR($N5543='112'!$I$6,$O5543='112'!$I$6))),"x",""))</f>
        <v/>
      </c>
      <c r="U5543" s="79" t="str">
        <f>IF(ISERROR(FIND('112'!$M$9,G5543,1)),"",IF((AND(LEFT(G5543,2)=LEFT('112'!$M$9,2),B5543&lt;'112'!$K$9,$N5543='112'!$I$6)),"x",""))</f>
        <v/>
      </c>
      <c r="V5543" s="79" t="str">
        <f>IF(ISERROR(FIND('112'!$M$9,G5543,1)),"",IF((AND(RIGHT(G5543,2)=RIGHT('112'!$M$9,2),B5543&lt;'112'!$K$9,$O5543='112'!$I$6)),"x",""))</f>
        <v/>
      </c>
      <c r="W5543" s="79" t="str">
        <f>IF(AND('341-CT'!$H$9=H5543,OR(LEFT(N5543,3)=$W$7,LEFT(O5543,3)=$W$7)),"x","")</f>
        <v/>
      </c>
      <c r="X5543" s="79" t="str">
        <f>IF(OR(TH!N5543=TH!$X$7,O5543=TH!$X$7),"x","")</f>
        <v/>
      </c>
      <c r="Y5543" s="79" t="str">
        <f>IF(AND(OR(N5543="131",O5543="131"),H5543='131-CT'!$H$9),"x","")</f>
        <v/>
      </c>
      <c r="Z5543" s="79"/>
      <c r="AA5543" s="79" t="str">
        <f>IF(AND(MONTH(E5543)='IN-NX'!$J$5,'IN-NX'!$D$7=D5543),"x","")</f>
        <v/>
      </c>
      <c r="AB5543" s="79" t="str">
        <f>IF(AND(OR(LEFT(TH!N5543,2)="15",LEFT(TH!O5543,2)="15"),LEFT(TH!O5543,3)&lt;&gt;"111",'152-CT'!$J$8=TH!F5543),"x","")</f>
        <v/>
      </c>
      <c r="AC5543" s="79" t="str">
        <f>IF(AND(OR(LEFT(TH!N5543,2)="15",LEFT(TH!O5543,2)="15"),TK!$E$7=TH!F5543),"x","")</f>
        <v/>
      </c>
      <c r="AD5543" s="79" t="str">
        <f>IF(AND(N5543="1521",MONTH(C5543)='BK-NL'!$M$11),"x","")</f>
        <v/>
      </c>
    </row>
    <row r="5544" spans="1:30" ht="16.5" customHeight="1">
      <c r="A5544" s="318" t="str">
        <f>IF(B5544&lt;&gt;"",IF(AND(B5544='IN-TC'!$S$4,OR(TH!N5544="1111",TH!O5544="1111")),TH!D5544,""),"")</f>
        <v/>
      </c>
      <c r="B5544" s="60" t="str">
        <f t="shared" si="507"/>
        <v/>
      </c>
      <c r="C5544" s="61"/>
      <c r="D5544" s="61"/>
      <c r="E5544" s="61"/>
      <c r="F5544" s="64"/>
      <c r="G5544" s="64"/>
      <c r="H5544" s="64"/>
      <c r="I5544" s="385"/>
      <c r="J5544" s="392"/>
      <c r="K5544" s="385"/>
      <c r="L5544" s="392"/>
      <c r="M5544" s="62"/>
      <c r="N5544" s="63"/>
      <c r="O5544" s="63"/>
      <c r="P5544" s="79" t="str">
        <f>IF(AND('331-CT'!$E$7=TH!H5544,OR(N5544="331",O5544="331")),"x","")</f>
        <v/>
      </c>
      <c r="Q5544" s="79" t="str">
        <f>IF(AND(B5544='111'!$L$11,OR($N5544=$Q$7,$O5544=$Q$7)),"x","")</f>
        <v/>
      </c>
      <c r="R5544" s="79" t="str">
        <f>IF(AND($N5544=$Q$7,$B5544&lt;'111'!$L$11),"x","")</f>
        <v/>
      </c>
      <c r="S5544" s="79" t="str">
        <f>IF(AND($O5544=$Q$7,$B5544&lt;'111'!$L$11),"x","")</f>
        <v/>
      </c>
      <c r="T5544" s="79" t="str">
        <f>IF(ISERROR(FIND('112'!$M$9,G5544,1)),"",IF((AND(FIND('112'!$M$9,G5544,1)&gt;=1,B5544='112'!$K$9,OR($N5544='112'!$I$6,$O5544='112'!$I$6))),"x",""))</f>
        <v/>
      </c>
      <c r="U5544" s="79" t="str">
        <f>IF(ISERROR(FIND('112'!$M$9,G5544,1)),"",IF((AND(LEFT(G5544,2)=LEFT('112'!$M$9,2),B5544&lt;'112'!$K$9,$N5544='112'!$I$6)),"x",""))</f>
        <v/>
      </c>
      <c r="V5544" s="79" t="str">
        <f>IF(ISERROR(FIND('112'!$M$9,G5544,1)),"",IF((AND(RIGHT(G5544,2)=RIGHT('112'!$M$9,2),B5544&lt;'112'!$K$9,$O5544='112'!$I$6)),"x",""))</f>
        <v/>
      </c>
      <c r="W5544" s="79" t="str">
        <f>IF(AND('341-CT'!$H$9=H5544,OR(LEFT(N5544,3)=$W$7,LEFT(O5544,3)=$W$7)),"x","")</f>
        <v/>
      </c>
      <c r="X5544" s="79" t="str">
        <f>IF(OR(TH!N5544=TH!$X$7,O5544=TH!$X$7),"x","")</f>
        <v/>
      </c>
      <c r="Y5544" s="79" t="str">
        <f>IF(AND(OR(N5544="131",O5544="131"),H5544='131-CT'!$H$9),"x","")</f>
        <v/>
      </c>
      <c r="Z5544" s="79"/>
      <c r="AA5544" s="79" t="str">
        <f>IF(AND(MONTH(E5544)='IN-NX'!$J$5,'IN-NX'!$D$7=D5544),"x","")</f>
        <v/>
      </c>
      <c r="AB5544" s="79" t="str">
        <f>IF(AND(OR(LEFT(TH!N5544,2)="15",LEFT(TH!O5544,2)="15"),LEFT(TH!O5544,3)&lt;&gt;"111",'152-CT'!$J$8=TH!F5544),"x","")</f>
        <v/>
      </c>
      <c r="AC5544" s="79" t="str">
        <f>IF(AND(OR(LEFT(TH!N5544,2)="15",LEFT(TH!O5544,2)="15"),TK!$E$7=TH!F5544),"x","")</f>
        <v/>
      </c>
      <c r="AD5544" s="79" t="str">
        <f>IF(AND(N5544="1521",MONTH(C5544)='BK-NL'!$M$11),"x","")</f>
        <v/>
      </c>
    </row>
    <row r="5545" spans="1:30" ht="16.5" customHeight="1">
      <c r="A5545" s="318" t="str">
        <f>IF(B5545&lt;&gt;"",IF(AND(B5545='IN-TC'!$S$4,OR(TH!N5545="1111",TH!O5545="1111")),TH!D5545,""),"")</f>
        <v/>
      </c>
      <c r="B5545" s="60" t="str">
        <f t="shared" si="507"/>
        <v/>
      </c>
      <c r="C5545" s="61"/>
      <c r="D5545" s="61"/>
      <c r="E5545" s="61"/>
      <c r="F5545" s="64"/>
      <c r="G5545" s="766"/>
      <c r="H5545" s="69"/>
      <c r="I5545" s="385"/>
      <c r="J5545" s="392"/>
      <c r="K5545" s="385"/>
      <c r="L5545" s="392"/>
      <c r="M5545" s="62"/>
      <c r="N5545" s="63"/>
      <c r="O5545" s="63"/>
      <c r="P5545" s="79" t="str">
        <f>IF(AND('331-CT'!$E$7=TH!H5545,OR(N5545="331",O5545="331")),"x","")</f>
        <v/>
      </c>
      <c r="Q5545" s="79" t="str">
        <f>IF(AND(B5545='111'!$L$11,OR($N5545=$Q$7,$O5545=$Q$7)),"x","")</f>
        <v/>
      </c>
      <c r="R5545" s="79" t="str">
        <f>IF(AND($N5545=$Q$7,$B5545&lt;'111'!$L$11),"x","")</f>
        <v/>
      </c>
      <c r="S5545" s="79" t="str">
        <f>IF(AND($O5545=$Q$7,$B5545&lt;'111'!$L$11),"x","")</f>
        <v/>
      </c>
      <c r="T5545" s="79" t="str">
        <f>IF(ISERROR(FIND('112'!$M$9,G5545,1)),"",IF((AND(FIND('112'!$M$9,G5545,1)&gt;=1,B5545='112'!$K$9,OR($N5545='112'!$I$6,$O5545='112'!$I$6))),"x",""))</f>
        <v/>
      </c>
      <c r="U5545" s="79" t="str">
        <f>IF(ISERROR(FIND('112'!$M$9,G5545,1)),"",IF((AND(LEFT(G5545,2)=LEFT('112'!$M$9,2),B5545&lt;'112'!$K$9,$N5545='112'!$I$6)),"x",""))</f>
        <v/>
      </c>
      <c r="V5545" s="79" t="str">
        <f>IF(ISERROR(FIND('112'!$M$9,G5545,1)),"",IF((AND(RIGHT(G5545,2)=RIGHT('112'!$M$9,2),B5545&lt;'112'!$K$9,$O5545='112'!$I$6)),"x",""))</f>
        <v/>
      </c>
      <c r="W5545" s="79" t="str">
        <f>IF(AND('341-CT'!$H$9=H5545,OR(LEFT(N5545,3)=$W$7,LEFT(O5545,3)=$W$7)),"x","")</f>
        <v/>
      </c>
      <c r="X5545" s="79" t="str">
        <f>IF(OR(TH!N5545=TH!$X$7,O5545=TH!$X$7),"x","")</f>
        <v/>
      </c>
      <c r="Y5545" s="79" t="str">
        <f>IF(AND(OR(N5545="131",O5545="131"),H5545='131-CT'!$H$9),"x","")</f>
        <v/>
      </c>
      <c r="Z5545" s="79"/>
      <c r="AA5545" s="79" t="str">
        <f>IF(AND(MONTH(E5545)='IN-NX'!$J$5,'IN-NX'!$D$7=D5545),"x","")</f>
        <v/>
      </c>
      <c r="AB5545" s="79" t="str">
        <f>IF(AND(OR(LEFT(TH!N5545,2)="15",LEFT(TH!O5545,2)="15"),LEFT(TH!O5545,3)&lt;&gt;"111",'152-CT'!$J$8=TH!F5545),"x","")</f>
        <v/>
      </c>
      <c r="AC5545" s="79" t="str">
        <f>IF(AND(OR(LEFT(TH!N5545,2)="15",LEFT(TH!O5545,2)="15"),TK!$E$7=TH!F5545),"x","")</f>
        <v/>
      </c>
      <c r="AD5545" s="79" t="str">
        <f>IF(AND(N5545="1521",MONTH(C5545)='BK-NL'!$M$11),"x","")</f>
        <v/>
      </c>
    </row>
    <row r="5546" spans="1:30" ht="16.5" customHeight="1">
      <c r="A5546" s="318" t="str">
        <f>IF(B5546&lt;&gt;"",IF(AND(B5546='IN-TC'!$S$4,OR(TH!N5546="1111",TH!O5546="1111")),TH!D5546,""),"")</f>
        <v/>
      </c>
      <c r="B5546" s="60" t="str">
        <f t="shared" si="507"/>
        <v/>
      </c>
      <c r="C5546" s="61"/>
      <c r="D5546" s="61"/>
      <c r="E5546" s="61"/>
      <c r="F5546" s="64"/>
      <c r="G5546" s="766"/>
      <c r="H5546" s="69"/>
      <c r="I5546" s="385"/>
      <c r="J5546" s="392"/>
      <c r="K5546" s="385"/>
      <c r="L5546" s="392"/>
      <c r="M5546" s="62"/>
      <c r="N5546" s="63"/>
      <c r="O5546" s="63"/>
      <c r="P5546" s="79" t="str">
        <f>IF(AND('331-CT'!$E$7=TH!H5546,OR(N5546="331",O5546="331")),"x","")</f>
        <v/>
      </c>
      <c r="Q5546" s="79" t="str">
        <f>IF(AND(B5546='111'!$L$11,OR($N5546=$Q$7,$O5546=$Q$7)),"x","")</f>
        <v/>
      </c>
      <c r="R5546" s="79" t="str">
        <f>IF(AND($N5546=$Q$7,$B5546&lt;'111'!$L$11),"x","")</f>
        <v/>
      </c>
      <c r="S5546" s="79" t="str">
        <f>IF(AND($O5546=$Q$7,$B5546&lt;'111'!$L$11),"x","")</f>
        <v/>
      </c>
      <c r="T5546" s="79" t="str">
        <f>IF(ISERROR(FIND('112'!$M$9,G5546,1)),"",IF((AND(FIND('112'!$M$9,G5546,1)&gt;=1,B5546='112'!$K$9,OR($N5546='112'!$I$6,$O5546='112'!$I$6))),"x",""))</f>
        <v/>
      </c>
      <c r="U5546" s="79" t="str">
        <f>IF(ISERROR(FIND('112'!$M$9,G5546,1)),"",IF((AND(LEFT(G5546,2)=LEFT('112'!$M$9,2),B5546&lt;'112'!$K$9,$N5546='112'!$I$6)),"x",""))</f>
        <v/>
      </c>
      <c r="V5546" s="79" t="str">
        <f>IF(ISERROR(FIND('112'!$M$9,G5546,1)),"",IF((AND(RIGHT(G5546,2)=RIGHT('112'!$M$9,2),B5546&lt;'112'!$K$9,$O5546='112'!$I$6)),"x",""))</f>
        <v/>
      </c>
      <c r="W5546" s="79" t="str">
        <f>IF(AND('341-CT'!$H$9=H5546,OR(LEFT(N5546,3)=$W$7,LEFT(O5546,3)=$W$7)),"x","")</f>
        <v/>
      </c>
      <c r="X5546" s="79" t="str">
        <f>IF(OR(TH!N5546=TH!$X$7,O5546=TH!$X$7),"x","")</f>
        <v/>
      </c>
      <c r="Y5546" s="79" t="str">
        <f>IF(AND(OR(N5546="131",O5546="131"),H5546='131-CT'!$H$9),"x","")</f>
        <v/>
      </c>
      <c r="Z5546" s="79"/>
      <c r="AA5546" s="79" t="str">
        <f>IF(AND(MONTH(E5546)='IN-NX'!$J$5,'IN-NX'!$D$7=D5546),"x","")</f>
        <v/>
      </c>
      <c r="AB5546" s="79" t="str">
        <f>IF(AND(OR(LEFT(TH!N5546,2)="15",LEFT(TH!O5546,2)="15"),LEFT(TH!O5546,3)&lt;&gt;"111",'152-CT'!$J$8=TH!F5546),"x","")</f>
        <v/>
      </c>
      <c r="AC5546" s="79" t="str">
        <f>IF(AND(OR(LEFT(TH!N5546,2)="15",LEFT(TH!O5546,2)="15"),TK!$E$7=TH!F5546),"x","")</f>
        <v/>
      </c>
      <c r="AD5546" s="79" t="str">
        <f>IF(AND(N5546="1521",MONTH(C5546)='BK-NL'!$M$11),"x","")</f>
        <v/>
      </c>
    </row>
    <row r="5547" spans="1:30" ht="16.5" customHeight="1">
      <c r="A5547" s="318" t="str">
        <f>IF(B5547&lt;&gt;"",IF(AND(B5547='IN-TC'!$S$4,OR(TH!N5547="1111",TH!O5547="1111")),TH!D5547,""),"")</f>
        <v/>
      </c>
      <c r="B5547" s="60" t="str">
        <f t="shared" si="507"/>
        <v/>
      </c>
      <c r="C5547" s="61"/>
      <c r="D5547" s="61"/>
      <c r="E5547" s="61"/>
      <c r="F5547" s="64"/>
      <c r="G5547" s="64"/>
      <c r="H5547" s="321"/>
      <c r="I5547" s="385"/>
      <c r="J5547" s="392"/>
      <c r="K5547" s="385"/>
      <c r="L5547" s="392"/>
      <c r="M5547" s="62"/>
      <c r="N5547" s="63"/>
      <c r="O5547" s="63"/>
      <c r="P5547" s="79" t="str">
        <f>IF(AND('331-CT'!$E$7=TH!H5547,OR(N5547="331",O5547="331")),"x","")</f>
        <v/>
      </c>
      <c r="Q5547" s="79" t="str">
        <f>IF(AND(B5547='111'!$L$11,OR($N5547=$Q$7,$O5547=$Q$7)),"x","")</f>
        <v/>
      </c>
      <c r="R5547" s="79" t="str">
        <f>IF(AND($N5547=$Q$7,$B5547&lt;'111'!$L$11),"x","")</f>
        <v/>
      </c>
      <c r="S5547" s="79" t="str">
        <f>IF(AND($O5547=$Q$7,$B5547&lt;'111'!$L$11),"x","")</f>
        <v/>
      </c>
      <c r="T5547" s="79" t="str">
        <f>IF(ISERROR(FIND('112'!$M$9,G5547,1)),"",IF((AND(FIND('112'!$M$9,G5547,1)&gt;=1,B5547='112'!$K$9,OR($N5547='112'!$I$6,$O5547='112'!$I$6))),"x",""))</f>
        <v/>
      </c>
      <c r="U5547" s="79" t="str">
        <f>IF(ISERROR(FIND('112'!$M$9,G5547,1)),"",IF((AND(LEFT(G5547,2)=LEFT('112'!$M$9,2),B5547&lt;'112'!$K$9,$N5547='112'!$I$6)),"x",""))</f>
        <v/>
      </c>
      <c r="V5547" s="79" t="str">
        <f>IF(ISERROR(FIND('112'!$M$9,G5547,1)),"",IF((AND(RIGHT(G5547,2)=RIGHT('112'!$M$9,2),B5547&lt;'112'!$K$9,$O5547='112'!$I$6)),"x",""))</f>
        <v/>
      </c>
      <c r="W5547" s="79" t="str">
        <f>IF(AND('341-CT'!$H$9=H5547,OR(LEFT(N5547,3)=$W$7,LEFT(O5547,3)=$W$7)),"x","")</f>
        <v/>
      </c>
      <c r="X5547" s="79" t="str">
        <f>IF(OR(TH!N5547=TH!$X$7,O5547=TH!$X$7),"x","")</f>
        <v/>
      </c>
      <c r="Y5547" s="79" t="str">
        <f>IF(AND(OR(N5547="131",O5547="131"),H5547='131-CT'!$H$9),"x","")</f>
        <v/>
      </c>
      <c r="Z5547" s="79"/>
      <c r="AA5547" s="79" t="str">
        <f>IF(AND(MONTH(E5547)='IN-NX'!$J$5,'IN-NX'!$D$7=D5547),"x","")</f>
        <v/>
      </c>
      <c r="AB5547" s="79" t="str">
        <f>IF(AND(OR(LEFT(TH!N5547,2)="15",LEFT(TH!O5547,2)="15"),LEFT(TH!O5547,3)&lt;&gt;"111",'152-CT'!$J$8=TH!F5547),"x","")</f>
        <v/>
      </c>
      <c r="AC5547" s="79" t="str">
        <f>IF(AND(OR(LEFT(TH!N5547,2)="15",LEFT(TH!O5547,2)="15"),TK!$E$7=TH!F5547),"x","")</f>
        <v/>
      </c>
      <c r="AD5547" s="79" t="str">
        <f>IF(AND(N5547="1521",MONTH(C5547)='BK-NL'!$M$11),"x","")</f>
        <v/>
      </c>
    </row>
    <row r="5548" spans="1:30" ht="16.5" customHeight="1">
      <c r="A5548" s="318" t="str">
        <f>IF(B5548&lt;&gt;"",IF(AND(B5548='IN-TC'!$S$4,OR(TH!N5548="1111",TH!O5548="1111")),TH!D5548,""),"")</f>
        <v/>
      </c>
      <c r="B5548" s="60" t="str">
        <f t="shared" si="507"/>
        <v/>
      </c>
      <c r="C5548" s="61"/>
      <c r="D5548" s="61"/>
      <c r="E5548" s="61"/>
      <c r="F5548" s="64"/>
      <c r="G5548" s="64"/>
      <c r="H5548" s="321"/>
      <c r="I5548" s="385"/>
      <c r="J5548" s="392"/>
      <c r="K5548" s="385"/>
      <c r="L5548" s="392"/>
      <c r="M5548" s="62"/>
      <c r="N5548" s="63"/>
      <c r="O5548" s="63"/>
      <c r="P5548" s="79" t="str">
        <f>IF(AND('331-CT'!$E$7=TH!H5548,OR(N5548="331",O5548="331")),"x","")</f>
        <v/>
      </c>
      <c r="Q5548" s="79" t="str">
        <f>IF(AND(B5548='111'!$L$11,OR($N5548=$Q$7,$O5548=$Q$7)),"x","")</f>
        <v/>
      </c>
      <c r="R5548" s="79" t="str">
        <f>IF(AND($N5548=$Q$7,$B5548&lt;'111'!$L$11),"x","")</f>
        <v/>
      </c>
      <c r="S5548" s="79" t="str">
        <f>IF(AND($O5548=$Q$7,$B5548&lt;'111'!$L$11),"x","")</f>
        <v/>
      </c>
      <c r="T5548" s="79" t="str">
        <f>IF(ISERROR(FIND('112'!$M$9,G5548,1)),"",IF((AND(FIND('112'!$M$9,G5548,1)&gt;=1,B5548='112'!$K$9,OR($N5548='112'!$I$6,$O5548='112'!$I$6))),"x",""))</f>
        <v/>
      </c>
      <c r="U5548" s="79" t="str">
        <f>IF(ISERROR(FIND('112'!$M$9,G5548,1)),"",IF((AND(LEFT(G5548,2)=LEFT('112'!$M$9,2),B5548&lt;'112'!$K$9,$N5548='112'!$I$6)),"x",""))</f>
        <v/>
      </c>
      <c r="V5548" s="79" t="str">
        <f>IF(ISERROR(FIND('112'!$M$9,G5548,1)),"",IF((AND(RIGHT(G5548,2)=RIGHT('112'!$M$9,2),B5548&lt;'112'!$K$9,$O5548='112'!$I$6)),"x",""))</f>
        <v/>
      </c>
      <c r="W5548" s="79" t="str">
        <f>IF(AND('341-CT'!$H$9=H5548,OR(LEFT(N5548,3)=$W$7,LEFT(O5548,3)=$W$7)),"x","")</f>
        <v/>
      </c>
      <c r="X5548" s="79" t="str">
        <f>IF(OR(TH!N5548=TH!$X$7,O5548=TH!$X$7),"x","")</f>
        <v/>
      </c>
      <c r="Y5548" s="79" t="str">
        <f>IF(AND(OR(N5548="131",O5548="131"),H5548='131-CT'!$H$9),"x","")</f>
        <v/>
      </c>
      <c r="Z5548" s="79"/>
      <c r="AA5548" s="79" t="str">
        <f>IF(AND(MONTH(E5548)='IN-NX'!$J$5,'IN-NX'!$D$7=D5548),"x","")</f>
        <v/>
      </c>
      <c r="AB5548" s="79" t="str">
        <f>IF(AND(OR(LEFT(TH!N5548,2)="15",LEFT(TH!O5548,2)="15"),LEFT(TH!O5548,3)&lt;&gt;"111",'152-CT'!$J$8=TH!F5548),"x","")</f>
        <v/>
      </c>
      <c r="AC5548" s="79" t="str">
        <f>IF(AND(OR(LEFT(TH!N5548,2)="15",LEFT(TH!O5548,2)="15"),TK!$E$7=TH!F5548),"x","")</f>
        <v/>
      </c>
      <c r="AD5548" s="79" t="str">
        <f>IF(AND(N5548="1521",MONTH(C5548)='BK-NL'!$M$11),"x","")</f>
        <v/>
      </c>
    </row>
    <row r="5549" spans="1:30" ht="16.5" customHeight="1">
      <c r="A5549" s="318" t="str">
        <f>IF(B5549&lt;&gt;"",IF(AND(B5549='IN-TC'!$S$4,OR(TH!N5549="1111",TH!O5549="1111")),TH!D5549,""),"")</f>
        <v/>
      </c>
      <c r="B5549" s="60" t="str">
        <f t="shared" si="507"/>
        <v/>
      </c>
      <c r="C5549" s="61"/>
      <c r="D5549" s="61"/>
      <c r="E5549" s="61"/>
      <c r="F5549" s="64"/>
      <c r="G5549" s="64"/>
      <c r="H5549" s="321"/>
      <c r="I5549" s="385"/>
      <c r="J5549" s="392"/>
      <c r="K5549" s="385"/>
      <c r="L5549" s="392"/>
      <c r="M5549" s="62"/>
      <c r="N5549" s="63"/>
      <c r="O5549" s="63"/>
      <c r="P5549" s="79" t="str">
        <f>IF(AND('331-CT'!$E$7=TH!H5549,OR(N5549="331",O5549="331")),"x","")</f>
        <v/>
      </c>
      <c r="Q5549" s="79" t="str">
        <f>IF(AND(B5549='111'!$L$11,OR($N5549=$Q$7,$O5549=$Q$7)),"x","")</f>
        <v/>
      </c>
      <c r="R5549" s="79" t="str">
        <f>IF(AND($N5549=$Q$7,$B5549&lt;'111'!$L$11),"x","")</f>
        <v/>
      </c>
      <c r="S5549" s="79" t="str">
        <f>IF(AND($O5549=$Q$7,$B5549&lt;'111'!$L$11),"x","")</f>
        <v/>
      </c>
      <c r="T5549" s="79" t="str">
        <f>IF(ISERROR(FIND('112'!$M$9,G5549,1)),"",IF((AND(FIND('112'!$M$9,G5549,1)&gt;=1,B5549='112'!$K$9,OR($N5549='112'!$I$6,$O5549='112'!$I$6))),"x",""))</f>
        <v/>
      </c>
      <c r="U5549" s="79" t="str">
        <f>IF(ISERROR(FIND('112'!$M$9,G5549,1)),"",IF((AND(LEFT(G5549,2)=LEFT('112'!$M$9,2),B5549&lt;'112'!$K$9,$N5549='112'!$I$6)),"x",""))</f>
        <v/>
      </c>
      <c r="V5549" s="79" t="str">
        <f>IF(ISERROR(FIND('112'!$M$9,G5549,1)),"",IF((AND(RIGHT(G5549,2)=RIGHT('112'!$M$9,2),B5549&lt;'112'!$K$9,$O5549='112'!$I$6)),"x",""))</f>
        <v/>
      </c>
      <c r="W5549" s="79" t="str">
        <f>IF(AND('341-CT'!$H$9=H5549,OR(LEFT(N5549,3)=$W$7,LEFT(O5549,3)=$W$7)),"x","")</f>
        <v/>
      </c>
      <c r="X5549" s="79" t="str">
        <f>IF(OR(TH!N5549=TH!$X$7,O5549=TH!$X$7),"x","")</f>
        <v/>
      </c>
      <c r="Y5549" s="79" t="str">
        <f>IF(AND(OR(N5549="131",O5549="131"),H5549='131-CT'!$H$9),"x","")</f>
        <v/>
      </c>
      <c r="Z5549" s="79"/>
      <c r="AA5549" s="79" t="str">
        <f>IF(AND(MONTH(E5549)='IN-NX'!$J$5,'IN-NX'!$D$7=D5549),"x","")</f>
        <v/>
      </c>
      <c r="AB5549" s="79" t="str">
        <f>IF(AND(OR(LEFT(TH!N5549,2)="15",LEFT(TH!O5549,2)="15"),LEFT(TH!O5549,3)&lt;&gt;"111",'152-CT'!$J$8=TH!F5549),"x","")</f>
        <v/>
      </c>
      <c r="AC5549" s="79" t="str">
        <f>IF(AND(OR(LEFT(TH!N5549,2)="15",LEFT(TH!O5549,2)="15"),TK!$E$7=TH!F5549),"x","")</f>
        <v/>
      </c>
      <c r="AD5549" s="79" t="str">
        <f>IF(AND(N5549="1521",MONTH(C5549)='BK-NL'!$M$11),"x","")</f>
        <v/>
      </c>
    </row>
    <row r="5550" spans="1:30" ht="16.5" customHeight="1">
      <c r="A5550" s="318" t="str">
        <f>IF(B5550&lt;&gt;"",IF(AND(B5550='IN-TC'!$S$4,OR(TH!N5550="1111",TH!O5550="1111")),TH!D5550,""),"")</f>
        <v/>
      </c>
      <c r="B5550" s="60" t="str">
        <f t="shared" si="507"/>
        <v/>
      </c>
      <c r="C5550" s="61"/>
      <c r="D5550" s="61"/>
      <c r="E5550" s="61"/>
      <c r="F5550" s="64"/>
      <c r="G5550" s="64"/>
      <c r="H5550" s="321"/>
      <c r="I5550" s="385"/>
      <c r="J5550" s="392"/>
      <c r="K5550" s="385"/>
      <c r="L5550" s="392"/>
      <c r="M5550" s="62"/>
      <c r="N5550" s="63"/>
      <c r="O5550" s="63"/>
      <c r="P5550" s="79" t="str">
        <f>IF(AND('331-CT'!$E$7=TH!H5550,OR(N5550="331",O5550="331")),"x","")</f>
        <v/>
      </c>
      <c r="Q5550" s="79" t="str">
        <f>IF(AND(B5550='111'!$L$11,OR($N5550=$Q$7,$O5550=$Q$7)),"x","")</f>
        <v/>
      </c>
      <c r="R5550" s="79" t="str">
        <f>IF(AND($N5550=$Q$7,$B5550&lt;'111'!$L$11),"x","")</f>
        <v/>
      </c>
      <c r="S5550" s="79" t="str">
        <f>IF(AND($O5550=$Q$7,$B5550&lt;'111'!$L$11),"x","")</f>
        <v/>
      </c>
      <c r="T5550" s="79" t="str">
        <f>IF(ISERROR(FIND('112'!$M$9,G5550,1)),"",IF((AND(FIND('112'!$M$9,G5550,1)&gt;=1,B5550='112'!$K$9,OR($N5550='112'!$I$6,$O5550='112'!$I$6))),"x",""))</f>
        <v/>
      </c>
      <c r="U5550" s="79" t="str">
        <f>IF(ISERROR(FIND('112'!$M$9,G5550,1)),"",IF((AND(LEFT(G5550,2)=LEFT('112'!$M$9,2),B5550&lt;'112'!$K$9,$N5550='112'!$I$6)),"x",""))</f>
        <v/>
      </c>
      <c r="V5550" s="79" t="str">
        <f>IF(ISERROR(FIND('112'!$M$9,G5550,1)),"",IF((AND(RIGHT(G5550,2)=RIGHT('112'!$M$9,2),B5550&lt;'112'!$K$9,$O5550='112'!$I$6)),"x",""))</f>
        <v/>
      </c>
      <c r="W5550" s="79" t="str">
        <f>IF(AND('341-CT'!$H$9=H5550,OR(LEFT(N5550,3)=$W$7,LEFT(O5550,3)=$W$7)),"x","")</f>
        <v/>
      </c>
      <c r="X5550" s="79" t="str">
        <f>IF(OR(TH!N5550=TH!$X$7,O5550=TH!$X$7),"x","")</f>
        <v/>
      </c>
      <c r="Y5550" s="79" t="str">
        <f>IF(AND(OR(N5550="131",O5550="131"),H5550='131-CT'!$H$9),"x","")</f>
        <v/>
      </c>
      <c r="Z5550" s="79"/>
      <c r="AA5550" s="79" t="str">
        <f>IF(AND(MONTH(E5550)='IN-NX'!$J$5,'IN-NX'!$D$7=D5550),"x","")</f>
        <v/>
      </c>
      <c r="AB5550" s="79" t="str">
        <f>IF(AND(OR(LEFT(TH!N5550,2)="15",LEFT(TH!O5550,2)="15"),LEFT(TH!O5550,3)&lt;&gt;"111",'152-CT'!$J$8=TH!F5550),"x","")</f>
        <v/>
      </c>
      <c r="AC5550" s="79" t="str">
        <f>IF(AND(OR(LEFT(TH!N5550,2)="15",LEFT(TH!O5550,2)="15"),TK!$E$7=TH!F5550),"x","")</f>
        <v/>
      </c>
      <c r="AD5550" s="79" t="str">
        <f>IF(AND(N5550="1521",MONTH(C5550)='BK-NL'!$M$11),"x","")</f>
        <v/>
      </c>
    </row>
    <row r="5551" spans="1:30" ht="16.5" customHeight="1">
      <c r="A5551" s="318" t="str">
        <f>IF(B5551&lt;&gt;"",IF(AND(B5551='IN-TC'!$S$4,OR(TH!N5551="1111",TH!O5551="1111")),TH!D5551,""),"")</f>
        <v/>
      </c>
      <c r="B5551" s="60" t="str">
        <f t="shared" si="507"/>
        <v/>
      </c>
      <c r="C5551" s="61"/>
      <c r="D5551" s="61"/>
      <c r="E5551" s="61"/>
      <c r="F5551" s="69"/>
      <c r="G5551" s="64"/>
      <c r="H5551" s="69"/>
      <c r="I5551" s="385"/>
      <c r="J5551" s="392"/>
      <c r="K5551" s="385"/>
      <c r="L5551" s="392"/>
      <c r="M5551" s="62"/>
      <c r="N5551" s="63"/>
      <c r="O5551" s="63"/>
      <c r="P5551" s="79" t="str">
        <f>IF(AND('331-CT'!$E$7=TH!H5551,OR(N5551="331",O5551="331")),"x","")</f>
        <v/>
      </c>
      <c r="Q5551" s="79" t="str">
        <f>IF(AND(B5551='111'!$L$11,OR($N5551=$Q$7,$O5551=$Q$7)),"x","")</f>
        <v/>
      </c>
      <c r="R5551" s="79" t="str">
        <f>IF(AND($N5551=$Q$7,$B5551&lt;'111'!$L$11),"x","")</f>
        <v/>
      </c>
      <c r="S5551" s="79" t="str">
        <f>IF(AND($O5551=$Q$7,$B5551&lt;'111'!$L$11),"x","")</f>
        <v/>
      </c>
      <c r="T5551" s="79" t="str">
        <f>IF(ISERROR(FIND('112'!$M$9,G5551,1)),"",IF((AND(FIND('112'!$M$9,G5551,1)&gt;=1,B5551='112'!$K$9,OR($N5551='112'!$I$6,$O5551='112'!$I$6))),"x",""))</f>
        <v/>
      </c>
      <c r="U5551" s="79" t="str">
        <f>IF(ISERROR(FIND('112'!$M$9,G5551,1)),"",IF((AND(LEFT(G5551,2)=LEFT('112'!$M$9,2),B5551&lt;'112'!$K$9,$N5551='112'!$I$6)),"x",""))</f>
        <v/>
      </c>
      <c r="V5551" s="79" t="str">
        <f>IF(ISERROR(FIND('112'!$M$9,G5551,1)),"",IF((AND(RIGHT(G5551,2)=RIGHT('112'!$M$9,2),B5551&lt;'112'!$K$9,$O5551='112'!$I$6)),"x",""))</f>
        <v/>
      </c>
      <c r="W5551" s="79" t="str">
        <f>IF(AND('341-CT'!$H$9=H5551,OR(LEFT(N5551,3)=$W$7,LEFT(O5551,3)=$W$7)),"x","")</f>
        <v/>
      </c>
      <c r="X5551" s="79" t="str">
        <f>IF(OR(TH!N5551=TH!$X$7,O5551=TH!$X$7),"x","")</f>
        <v/>
      </c>
      <c r="Y5551" s="79" t="str">
        <f>IF(AND(OR(N5551="131",O5551="131"),H5551='131-CT'!$H$9),"x","")</f>
        <v/>
      </c>
      <c r="Z5551" s="79"/>
      <c r="AA5551" s="79" t="str">
        <f>IF(AND(MONTH(E5551)='IN-NX'!$J$5,'IN-NX'!$D$7=D5551),"x","")</f>
        <v/>
      </c>
      <c r="AB5551" s="79" t="str">
        <f>IF(AND(OR(LEFT(TH!N5551,2)="15",LEFT(TH!O5551,2)="15"),LEFT(TH!O5551,3)&lt;&gt;"111",'152-CT'!$J$8=TH!F5551),"x","")</f>
        <v/>
      </c>
      <c r="AC5551" s="79" t="str">
        <f>IF(AND(OR(LEFT(TH!N5551,2)="15",LEFT(TH!O5551,2)="15"),TK!$E$7=TH!F5551),"x","")</f>
        <v/>
      </c>
      <c r="AD5551" s="79" t="str">
        <f>IF(AND(N5551="1521",MONTH(C5551)='BK-NL'!$M$11),"x","")</f>
        <v/>
      </c>
    </row>
    <row r="5552" spans="1:30" ht="16.5" customHeight="1">
      <c r="A5552" s="318" t="str">
        <f>IF(B5552&lt;&gt;"",IF(AND(B5552='IN-TC'!$S$4,OR(TH!N5552="1111",TH!O5552="1111")),TH!D5552,""),"")</f>
        <v/>
      </c>
      <c r="B5552" s="60" t="str">
        <f t="shared" si="507"/>
        <v/>
      </c>
      <c r="C5552" s="61"/>
      <c r="D5552" s="61"/>
      <c r="E5552" s="61"/>
      <c r="F5552" s="64"/>
      <c r="G5552" s="64"/>
      <c r="H5552" s="321"/>
      <c r="I5552" s="387"/>
      <c r="J5552" s="394"/>
      <c r="K5552" s="387"/>
      <c r="L5552" s="394"/>
      <c r="M5552" s="62"/>
      <c r="N5552" s="63"/>
      <c r="O5552" s="63"/>
      <c r="P5552" s="79" t="str">
        <f>IF(AND('331-CT'!$E$7=TH!H5552,OR(N5552="331",O5552="331")),"x","")</f>
        <v/>
      </c>
      <c r="Q5552" s="79" t="str">
        <f>IF(AND(B5552='111'!$L$11,OR($N5552=$Q$7,$O5552=$Q$7)),"x","")</f>
        <v/>
      </c>
      <c r="R5552" s="79" t="str">
        <f>IF(AND($N5552=$Q$7,$B5552&lt;'111'!$L$11),"x","")</f>
        <v/>
      </c>
      <c r="S5552" s="79" t="str">
        <f>IF(AND($O5552=$Q$7,$B5552&lt;'111'!$L$11),"x","")</f>
        <v/>
      </c>
      <c r="T5552" s="79" t="str">
        <f>IF(ISERROR(FIND('112'!$M$9,G5552,1)),"",IF((AND(FIND('112'!$M$9,G5552,1)&gt;=1,B5552='112'!$K$9,OR($N5552='112'!$I$6,$O5552='112'!$I$6))),"x",""))</f>
        <v/>
      </c>
      <c r="U5552" s="79" t="str">
        <f>IF(ISERROR(FIND('112'!$M$9,G5552,1)),"",IF((AND(LEFT(G5552,2)=LEFT('112'!$M$9,2),B5552&lt;'112'!$K$9,$N5552='112'!$I$6)),"x",""))</f>
        <v/>
      </c>
      <c r="V5552" s="79" t="str">
        <f>IF(ISERROR(FIND('112'!$M$9,G5552,1)),"",IF((AND(RIGHT(G5552,2)=RIGHT('112'!$M$9,2),B5552&lt;'112'!$K$9,$O5552='112'!$I$6)),"x",""))</f>
        <v/>
      </c>
      <c r="W5552" s="79" t="str">
        <f>IF(AND('341-CT'!$H$9=H5552,OR(LEFT(N5552,3)=$W$7,LEFT(O5552,3)=$W$7)),"x","")</f>
        <v/>
      </c>
      <c r="X5552" s="79" t="str">
        <f>IF(OR(TH!N5552=TH!$X$7,O5552=TH!$X$7),"x","")</f>
        <v/>
      </c>
      <c r="Y5552" s="79" t="str">
        <f>IF(AND(OR(N5552="131",O5552="131"),H5552='131-CT'!$H$9),"x","")</f>
        <v/>
      </c>
      <c r="Z5552" s="79"/>
      <c r="AA5552" s="79" t="str">
        <f>IF(AND(MONTH(E5552)='IN-NX'!$J$5,'IN-NX'!$D$7=D5552),"x","")</f>
        <v/>
      </c>
      <c r="AB5552" s="79" t="str">
        <f>IF(AND(OR(LEFT(TH!N5552,2)="15",LEFT(TH!O5552,2)="15"),LEFT(TH!O5552,3)&lt;&gt;"111",'152-CT'!$J$8=TH!F5552),"x","")</f>
        <v/>
      </c>
      <c r="AC5552" s="79" t="str">
        <f>IF(AND(OR(LEFT(TH!N5552,2)="15",LEFT(TH!O5552,2)="15"),TK!$E$7=TH!F5552),"x","")</f>
        <v/>
      </c>
      <c r="AD5552" s="79" t="str">
        <f>IF(AND(N5552="1521",MONTH(C5552)='BK-NL'!$M$11),"x","")</f>
        <v/>
      </c>
    </row>
    <row r="5553" spans="1:30" ht="16.5" customHeight="1">
      <c r="A5553" s="318" t="str">
        <f>IF(B5553&lt;&gt;"",IF(AND(B5553='IN-TC'!$S$4,OR(TH!N5553="1111",TH!O5553="1111")),TH!D5553,""),"")</f>
        <v/>
      </c>
      <c r="B5553" s="60" t="str">
        <f t="shared" si="507"/>
        <v/>
      </c>
      <c r="C5553" s="61"/>
      <c r="D5553" s="61"/>
      <c r="E5553" s="61"/>
      <c r="F5553" s="64"/>
      <c r="G5553" s="64"/>
      <c r="H5553" s="69"/>
      <c r="I5553" s="385"/>
      <c r="J5553" s="392"/>
      <c r="K5553" s="385"/>
      <c r="L5553" s="392"/>
      <c r="M5553" s="62"/>
      <c r="N5553" s="63"/>
      <c r="O5553" s="63"/>
      <c r="P5553" s="79" t="str">
        <f>IF(AND('331-CT'!$E$7=TH!H5553,OR(N5553="331",O5553="331")),"x","")</f>
        <v/>
      </c>
      <c r="Q5553" s="79" t="str">
        <f>IF(AND(B5553='111'!$L$11,OR($N5553=$Q$7,$O5553=$Q$7)),"x","")</f>
        <v/>
      </c>
      <c r="R5553" s="79" t="str">
        <f>IF(AND($N5553=$Q$7,$B5553&lt;'111'!$L$11),"x","")</f>
        <v/>
      </c>
      <c r="S5553" s="79" t="str">
        <f>IF(AND($O5553=$Q$7,$B5553&lt;'111'!$L$11),"x","")</f>
        <v/>
      </c>
      <c r="T5553" s="79" t="str">
        <f>IF(ISERROR(FIND('112'!$M$9,G5553,1)),"",IF((AND(FIND('112'!$M$9,G5553,1)&gt;=1,B5553='112'!$K$9,OR($N5553='112'!$I$6,$O5553='112'!$I$6))),"x",""))</f>
        <v/>
      </c>
      <c r="U5553" s="79" t="str">
        <f>IF(ISERROR(FIND('112'!$M$9,G5553,1)),"",IF((AND(LEFT(G5553,2)=LEFT('112'!$M$9,2),B5553&lt;'112'!$K$9,$N5553='112'!$I$6)),"x",""))</f>
        <v/>
      </c>
      <c r="V5553" s="79" t="str">
        <f>IF(ISERROR(FIND('112'!$M$9,G5553,1)),"",IF((AND(RIGHT(G5553,2)=RIGHT('112'!$M$9,2),B5553&lt;'112'!$K$9,$O5553='112'!$I$6)),"x",""))</f>
        <v/>
      </c>
      <c r="W5553" s="79" t="str">
        <f>IF(AND('341-CT'!$H$9=H5553,OR(LEFT(N5553,3)=$W$7,LEFT(O5553,3)=$W$7)),"x","")</f>
        <v/>
      </c>
      <c r="X5553" s="79" t="str">
        <f>IF(OR(TH!N5553=TH!$X$7,O5553=TH!$X$7),"x","")</f>
        <v/>
      </c>
      <c r="Y5553" s="79" t="str">
        <f>IF(AND(OR(N5553="131",O5553="131"),H5553='131-CT'!$H$9),"x","")</f>
        <v/>
      </c>
      <c r="Z5553" s="79"/>
      <c r="AA5553" s="79" t="str">
        <f>IF(AND(MONTH(E5553)='IN-NX'!$J$5,'IN-NX'!$D$7=D5553),"x","")</f>
        <v/>
      </c>
      <c r="AB5553" s="79" t="str">
        <f>IF(AND(OR(LEFT(TH!N5553,2)="15",LEFT(TH!O5553,2)="15"),LEFT(TH!O5553,3)&lt;&gt;"111",'152-CT'!$J$8=TH!F5553),"x","")</f>
        <v/>
      </c>
      <c r="AC5553" s="79" t="str">
        <f>IF(AND(OR(LEFT(TH!N5553,2)="15",LEFT(TH!O5553,2)="15"),TK!$E$7=TH!F5553),"x","")</f>
        <v/>
      </c>
      <c r="AD5553" s="79" t="str">
        <f>IF(AND(N5553="1521",MONTH(C5553)='BK-NL'!$M$11),"x","")</f>
        <v/>
      </c>
    </row>
    <row r="5554" spans="1:30" ht="16.5" customHeight="1">
      <c r="A5554" s="318" t="str">
        <f>IF(B5554&lt;&gt;"",IF(AND(B5554='IN-TC'!$S$4,OR(TH!N5554="1111",TH!O5554="1111")),TH!D5554,""),"")</f>
        <v/>
      </c>
      <c r="B5554" s="60" t="str">
        <f t="shared" si="507"/>
        <v/>
      </c>
      <c r="C5554" s="61"/>
      <c r="D5554" s="61"/>
      <c r="E5554" s="61"/>
      <c r="F5554" s="64"/>
      <c r="G5554" s="64"/>
      <c r="H5554" s="69"/>
      <c r="I5554" s="385"/>
      <c r="J5554" s="392"/>
      <c r="K5554" s="385"/>
      <c r="L5554" s="392"/>
      <c r="M5554" s="62"/>
      <c r="N5554" s="63"/>
      <c r="O5554" s="63"/>
      <c r="P5554" s="79" t="str">
        <f>IF(AND('331-CT'!$E$7=TH!H5554,OR(N5554="331",O5554="331")),"x","")</f>
        <v/>
      </c>
      <c r="Q5554" s="79" t="str">
        <f>IF(AND(B5554='111'!$L$11,OR($N5554=$Q$7,$O5554=$Q$7)),"x","")</f>
        <v/>
      </c>
      <c r="R5554" s="79" t="str">
        <f>IF(AND($N5554=$Q$7,$B5554&lt;'111'!$L$11),"x","")</f>
        <v/>
      </c>
      <c r="S5554" s="79" t="str">
        <f>IF(AND($O5554=$Q$7,$B5554&lt;'111'!$L$11),"x","")</f>
        <v/>
      </c>
      <c r="T5554" s="79" t="str">
        <f>IF(ISERROR(FIND('112'!$M$9,G5554,1)),"",IF((AND(FIND('112'!$M$9,G5554,1)&gt;=1,B5554='112'!$K$9,OR($N5554='112'!$I$6,$O5554='112'!$I$6))),"x",""))</f>
        <v/>
      </c>
      <c r="U5554" s="79" t="str">
        <f>IF(ISERROR(FIND('112'!$M$9,G5554,1)),"",IF((AND(LEFT(G5554,2)=LEFT('112'!$M$9,2),B5554&lt;'112'!$K$9,$N5554='112'!$I$6)),"x",""))</f>
        <v/>
      </c>
      <c r="V5554" s="79" t="str">
        <f>IF(ISERROR(FIND('112'!$M$9,G5554,1)),"",IF((AND(RIGHT(G5554,2)=RIGHT('112'!$M$9,2),B5554&lt;'112'!$K$9,$O5554='112'!$I$6)),"x",""))</f>
        <v/>
      </c>
      <c r="W5554" s="79" t="str">
        <f>IF(AND('341-CT'!$H$9=H5554,OR(LEFT(N5554,3)=$W$7,LEFT(O5554,3)=$W$7)),"x","")</f>
        <v/>
      </c>
      <c r="X5554" s="79" t="str">
        <f>IF(OR(TH!N5554=TH!$X$7,O5554=TH!$X$7),"x","")</f>
        <v/>
      </c>
      <c r="Y5554" s="79" t="str">
        <f>IF(AND(OR(N5554="131",O5554="131"),H5554='131-CT'!$H$9),"x","")</f>
        <v/>
      </c>
      <c r="Z5554" s="79"/>
      <c r="AA5554" s="79" t="str">
        <f>IF(AND(MONTH(E5554)='IN-NX'!$J$5,'IN-NX'!$D$7=D5554),"x","")</f>
        <v/>
      </c>
      <c r="AB5554" s="79" t="str">
        <f>IF(AND(OR(LEFT(TH!N5554,2)="15",LEFT(TH!O5554,2)="15"),LEFT(TH!O5554,3)&lt;&gt;"111",'152-CT'!$J$8=TH!F5554),"x","")</f>
        <v/>
      </c>
      <c r="AC5554" s="79" t="str">
        <f>IF(AND(OR(LEFT(TH!N5554,2)="15",LEFT(TH!O5554,2)="15"),TK!$E$7=TH!F5554),"x","")</f>
        <v/>
      </c>
      <c r="AD5554" s="79" t="str">
        <f>IF(AND(N5554="1521",MONTH(C5554)='BK-NL'!$M$11),"x","")</f>
        <v/>
      </c>
    </row>
    <row r="5555" spans="1:30" ht="16.5" customHeight="1">
      <c r="A5555" s="318" t="str">
        <f>IF(B5555&lt;&gt;"",IF(AND(B5555='IN-TC'!$S$4,OR(TH!N5555="1111",TH!O5555="1111")),TH!D5555,""),"")</f>
        <v/>
      </c>
      <c r="B5555" s="60" t="str">
        <f t="shared" si="507"/>
        <v/>
      </c>
      <c r="C5555" s="61"/>
      <c r="D5555" s="61"/>
      <c r="E5555" s="61"/>
      <c r="F5555" s="64"/>
      <c r="G5555" s="64"/>
      <c r="H5555" s="321"/>
      <c r="I5555" s="387"/>
      <c r="J5555" s="394"/>
      <c r="K5555" s="387"/>
      <c r="L5555" s="394"/>
      <c r="M5555" s="62"/>
      <c r="N5555" s="63"/>
      <c r="O5555" s="63"/>
      <c r="P5555" s="79" t="str">
        <f>IF(AND('331-CT'!$E$7=TH!H5555,OR(N5555="331",O5555="331")),"x","")</f>
        <v/>
      </c>
      <c r="Q5555" s="79" t="str">
        <f>IF(AND(B5555='111'!$L$11,OR($N5555=$Q$7,$O5555=$Q$7)),"x","")</f>
        <v/>
      </c>
      <c r="R5555" s="79" t="str">
        <f>IF(AND($N5555=$Q$7,$B5555&lt;'111'!$L$11),"x","")</f>
        <v/>
      </c>
      <c r="S5555" s="79" t="str">
        <f>IF(AND($O5555=$Q$7,$B5555&lt;'111'!$L$11),"x","")</f>
        <v/>
      </c>
      <c r="T5555" s="79" t="str">
        <f>IF(ISERROR(FIND('112'!$M$9,G5555,1)),"",IF((AND(FIND('112'!$M$9,G5555,1)&gt;=1,B5555='112'!$K$9,OR($N5555='112'!$I$6,$O5555='112'!$I$6))),"x",""))</f>
        <v/>
      </c>
      <c r="U5555" s="79" t="str">
        <f>IF(ISERROR(FIND('112'!$M$9,G5555,1)),"",IF((AND(LEFT(G5555,2)=LEFT('112'!$M$9,2),B5555&lt;'112'!$K$9,$N5555='112'!$I$6)),"x",""))</f>
        <v/>
      </c>
      <c r="V5555" s="79" t="str">
        <f>IF(ISERROR(FIND('112'!$M$9,G5555,1)),"",IF((AND(RIGHT(G5555,2)=RIGHT('112'!$M$9,2),B5555&lt;'112'!$K$9,$O5555='112'!$I$6)),"x",""))</f>
        <v/>
      </c>
      <c r="W5555" s="79" t="str">
        <f>IF(AND('341-CT'!$H$9=H5555,OR(LEFT(N5555,3)=$W$7,LEFT(O5555,3)=$W$7)),"x","")</f>
        <v/>
      </c>
      <c r="X5555" s="79" t="str">
        <f>IF(OR(TH!N5555=TH!$X$7,O5555=TH!$X$7),"x","")</f>
        <v/>
      </c>
      <c r="Y5555" s="79" t="str">
        <f>IF(AND(OR(N5555="131",O5555="131"),H5555='131-CT'!$H$9),"x","")</f>
        <v/>
      </c>
      <c r="Z5555" s="79"/>
      <c r="AA5555" s="79" t="str">
        <f>IF(AND(MONTH(E5555)='IN-NX'!$J$5,'IN-NX'!$D$7=D5555),"x","")</f>
        <v/>
      </c>
      <c r="AB5555" s="79" t="str">
        <f>IF(AND(OR(LEFT(TH!N5555,2)="15",LEFT(TH!O5555,2)="15"),LEFT(TH!O5555,3)&lt;&gt;"111",'152-CT'!$J$8=TH!F5555),"x","")</f>
        <v/>
      </c>
      <c r="AC5555" s="79" t="str">
        <f>IF(AND(OR(LEFT(TH!N5555,2)="15",LEFT(TH!O5555,2)="15"),TK!$E$7=TH!F5555),"x","")</f>
        <v/>
      </c>
      <c r="AD5555" s="79" t="str">
        <f>IF(AND(N5555="1521",MONTH(C5555)='BK-NL'!$M$11),"x","")</f>
        <v/>
      </c>
    </row>
    <row r="5556" spans="1:30" ht="16.5" customHeight="1">
      <c r="A5556" s="318" t="str">
        <f>IF(B5556&lt;&gt;"",IF(AND(B5556='IN-TC'!$S$4,OR(TH!N5556="1111",TH!O5556="1111")),TH!D5556,""),"")</f>
        <v/>
      </c>
      <c r="B5556" s="60" t="str">
        <f t="shared" si="507"/>
        <v/>
      </c>
      <c r="C5556" s="61"/>
      <c r="D5556" s="61"/>
      <c r="E5556" s="61"/>
      <c r="F5556" s="64"/>
      <c r="G5556" s="64"/>
      <c r="H5556" s="69"/>
      <c r="I5556" s="385"/>
      <c r="J5556" s="392"/>
      <c r="K5556" s="385"/>
      <c r="L5556" s="392"/>
      <c r="M5556" s="62"/>
      <c r="N5556" s="63"/>
      <c r="O5556" s="63"/>
      <c r="P5556" s="79" t="str">
        <f>IF(AND('331-CT'!$E$7=TH!H5556,OR(N5556="331",O5556="331")),"x","")</f>
        <v/>
      </c>
      <c r="Q5556" s="79" t="str">
        <f>IF(AND(B5556='111'!$L$11,OR($N5556=$Q$7,$O5556=$Q$7)),"x","")</f>
        <v/>
      </c>
      <c r="R5556" s="79" t="str">
        <f>IF(AND($N5556=$Q$7,$B5556&lt;'111'!$L$11),"x","")</f>
        <v/>
      </c>
      <c r="S5556" s="79" t="str">
        <f>IF(AND($O5556=$Q$7,$B5556&lt;'111'!$L$11),"x","")</f>
        <v/>
      </c>
      <c r="T5556" s="79" t="str">
        <f>IF(ISERROR(FIND('112'!$M$9,G5556,1)),"",IF((AND(FIND('112'!$M$9,G5556,1)&gt;=1,B5556='112'!$K$9,OR($N5556='112'!$I$6,$O5556='112'!$I$6))),"x",""))</f>
        <v/>
      </c>
      <c r="U5556" s="79" t="str">
        <f>IF(ISERROR(FIND('112'!$M$9,G5556,1)),"",IF((AND(LEFT(G5556,2)=LEFT('112'!$M$9,2),B5556&lt;'112'!$K$9,$N5556='112'!$I$6)),"x",""))</f>
        <v/>
      </c>
      <c r="V5556" s="79" t="str">
        <f>IF(ISERROR(FIND('112'!$M$9,G5556,1)),"",IF((AND(RIGHT(G5556,2)=RIGHT('112'!$M$9,2),B5556&lt;'112'!$K$9,$O5556='112'!$I$6)),"x",""))</f>
        <v/>
      </c>
      <c r="W5556" s="79" t="str">
        <f>IF(AND('341-CT'!$H$9=H5556,OR(LEFT(N5556,3)=$W$7,LEFT(O5556,3)=$W$7)),"x","")</f>
        <v/>
      </c>
      <c r="X5556" s="79" t="str">
        <f>IF(OR(TH!N5556=TH!$X$7,O5556=TH!$X$7),"x","")</f>
        <v/>
      </c>
      <c r="Y5556" s="79" t="str">
        <f>IF(AND(OR(N5556="131",O5556="131"),H5556='131-CT'!$H$9),"x","")</f>
        <v/>
      </c>
      <c r="Z5556" s="79"/>
      <c r="AA5556" s="79" t="str">
        <f>IF(AND(MONTH(E5556)='IN-NX'!$J$5,'IN-NX'!$D$7=D5556),"x","")</f>
        <v/>
      </c>
      <c r="AB5556" s="79" t="str">
        <f>IF(AND(OR(LEFT(TH!N5556,2)="15",LEFT(TH!O5556,2)="15"),LEFT(TH!O5556,3)&lt;&gt;"111",'152-CT'!$J$8=TH!F5556),"x","")</f>
        <v/>
      </c>
      <c r="AC5556" s="79" t="str">
        <f>IF(AND(OR(LEFT(TH!N5556,2)="15",LEFT(TH!O5556,2)="15"),TK!$E$7=TH!F5556),"x","")</f>
        <v/>
      </c>
      <c r="AD5556" s="79" t="str">
        <f>IF(AND(N5556="1521",MONTH(C5556)='BK-NL'!$M$11),"x","")</f>
        <v/>
      </c>
    </row>
    <row r="5557" spans="1:30" ht="16.5" customHeight="1">
      <c r="A5557" s="318" t="str">
        <f>IF(B5557&lt;&gt;"",IF(AND(B5557='IN-TC'!$S$4,OR(TH!N5557="1111",TH!O5557="1111")),TH!D5557,""),"")</f>
        <v/>
      </c>
      <c r="B5557" s="60" t="str">
        <f t="shared" si="507"/>
        <v/>
      </c>
      <c r="C5557" s="61"/>
      <c r="D5557" s="61"/>
      <c r="E5557" s="61"/>
      <c r="F5557" s="64"/>
      <c r="G5557" s="64"/>
      <c r="H5557" s="69"/>
      <c r="I5557" s="385"/>
      <c r="J5557" s="392"/>
      <c r="K5557" s="385"/>
      <c r="L5557" s="392"/>
      <c r="M5557" s="62"/>
      <c r="N5557" s="63"/>
      <c r="O5557" s="63"/>
      <c r="P5557" s="79" t="str">
        <f>IF(AND('331-CT'!$E$7=TH!H5557,OR(N5557="331",O5557="331")),"x","")</f>
        <v/>
      </c>
      <c r="Q5557" s="79" t="str">
        <f>IF(AND(B5557='111'!$L$11,OR($N5557=$Q$7,$O5557=$Q$7)),"x","")</f>
        <v/>
      </c>
      <c r="R5557" s="79" t="str">
        <f>IF(AND($N5557=$Q$7,$B5557&lt;'111'!$L$11),"x","")</f>
        <v/>
      </c>
      <c r="S5557" s="79" t="str">
        <f>IF(AND($O5557=$Q$7,$B5557&lt;'111'!$L$11),"x","")</f>
        <v/>
      </c>
      <c r="T5557" s="79" t="str">
        <f>IF(ISERROR(FIND('112'!$M$9,G5557,1)),"",IF((AND(FIND('112'!$M$9,G5557,1)&gt;=1,B5557='112'!$K$9,OR($N5557='112'!$I$6,$O5557='112'!$I$6))),"x",""))</f>
        <v/>
      </c>
      <c r="U5557" s="79" t="str">
        <f>IF(ISERROR(FIND('112'!$M$9,G5557,1)),"",IF((AND(LEFT(G5557,2)=LEFT('112'!$M$9,2),B5557&lt;'112'!$K$9,$N5557='112'!$I$6)),"x",""))</f>
        <v/>
      </c>
      <c r="V5557" s="79" t="str">
        <f>IF(ISERROR(FIND('112'!$M$9,G5557,1)),"",IF((AND(RIGHT(G5557,2)=RIGHT('112'!$M$9,2),B5557&lt;'112'!$K$9,$O5557='112'!$I$6)),"x",""))</f>
        <v/>
      </c>
      <c r="W5557" s="79" t="str">
        <f>IF(AND('341-CT'!$H$9=H5557,OR(LEFT(N5557,3)=$W$7,LEFT(O5557,3)=$W$7)),"x","")</f>
        <v/>
      </c>
      <c r="X5557" s="79" t="str">
        <f>IF(OR(TH!N5557=TH!$X$7,O5557=TH!$X$7),"x","")</f>
        <v/>
      </c>
      <c r="Y5557" s="79" t="str">
        <f>IF(AND(OR(N5557="131",O5557="131"),H5557='131-CT'!$H$9),"x","")</f>
        <v/>
      </c>
      <c r="Z5557" s="79"/>
      <c r="AA5557" s="79" t="str">
        <f>IF(AND(MONTH(E5557)='IN-NX'!$J$5,'IN-NX'!$D$7=D5557),"x","")</f>
        <v/>
      </c>
      <c r="AB5557" s="79" t="str">
        <f>IF(AND(OR(LEFT(TH!N5557,2)="15",LEFT(TH!O5557,2)="15"),LEFT(TH!O5557,3)&lt;&gt;"111",'152-CT'!$J$8=TH!F5557),"x","")</f>
        <v/>
      </c>
      <c r="AC5557" s="79" t="str">
        <f>IF(AND(OR(LEFT(TH!N5557,2)="15",LEFT(TH!O5557,2)="15"),TK!$E$7=TH!F5557),"x","")</f>
        <v/>
      </c>
      <c r="AD5557" s="79" t="str">
        <f>IF(AND(N5557="1521",MONTH(C5557)='BK-NL'!$M$11),"x","")</f>
        <v/>
      </c>
    </row>
    <row r="5558" spans="1:30" ht="16.5" customHeight="1">
      <c r="A5558" s="318" t="str">
        <f>IF(B5558&lt;&gt;"",IF(AND(B5558='IN-TC'!$S$4,OR(TH!N5558="1111",TH!O5558="1111")),TH!D5558,""),"")</f>
        <v/>
      </c>
      <c r="B5558" s="60" t="str">
        <f t="shared" si="507"/>
        <v/>
      </c>
      <c r="C5558" s="61"/>
      <c r="D5558" s="61"/>
      <c r="E5558" s="61"/>
      <c r="F5558" s="64"/>
      <c r="G5558" s="64"/>
      <c r="H5558" s="69"/>
      <c r="I5558" s="385"/>
      <c r="J5558" s="392"/>
      <c r="K5558" s="385"/>
      <c r="L5558" s="392"/>
      <c r="M5558" s="62"/>
      <c r="N5558" s="63"/>
      <c r="O5558" s="63"/>
      <c r="P5558" s="79" t="str">
        <f>IF(AND('331-CT'!$E$7=TH!H5558,OR(N5558="331",O5558="331")),"x","")</f>
        <v/>
      </c>
      <c r="Q5558" s="79" t="str">
        <f>IF(AND(B5558='111'!$L$11,OR($N5558=$Q$7,$O5558=$Q$7)),"x","")</f>
        <v/>
      </c>
      <c r="R5558" s="79" t="str">
        <f>IF(AND($N5558=$Q$7,$B5558&lt;'111'!$L$11),"x","")</f>
        <v/>
      </c>
      <c r="S5558" s="79" t="str">
        <f>IF(AND($O5558=$Q$7,$B5558&lt;'111'!$L$11),"x","")</f>
        <v/>
      </c>
      <c r="T5558" s="79" t="str">
        <f>IF(ISERROR(FIND('112'!$M$9,G5558,1)),"",IF((AND(FIND('112'!$M$9,G5558,1)&gt;=1,B5558='112'!$K$9,OR($N5558='112'!$I$6,$O5558='112'!$I$6))),"x",""))</f>
        <v/>
      </c>
      <c r="U5558" s="79" t="str">
        <f>IF(ISERROR(FIND('112'!$M$9,G5558,1)),"",IF((AND(LEFT(G5558,2)=LEFT('112'!$M$9,2),B5558&lt;'112'!$K$9,$N5558='112'!$I$6)),"x",""))</f>
        <v/>
      </c>
      <c r="V5558" s="79" t="str">
        <f>IF(ISERROR(FIND('112'!$M$9,G5558,1)),"",IF((AND(RIGHT(G5558,2)=RIGHT('112'!$M$9,2),B5558&lt;'112'!$K$9,$O5558='112'!$I$6)),"x",""))</f>
        <v/>
      </c>
      <c r="W5558" s="79" t="str">
        <f>IF(AND('341-CT'!$H$9=H5558,OR(LEFT(N5558,3)=$W$7,LEFT(O5558,3)=$W$7)),"x","")</f>
        <v/>
      </c>
      <c r="X5558" s="79" t="str">
        <f>IF(OR(TH!N5558=TH!$X$7,O5558=TH!$X$7),"x","")</f>
        <v/>
      </c>
      <c r="Y5558" s="79" t="str">
        <f>IF(AND(OR(N5558="131",O5558="131"),H5558='131-CT'!$H$9),"x","")</f>
        <v/>
      </c>
      <c r="Z5558" s="79"/>
      <c r="AA5558" s="79" t="str">
        <f>IF(AND(MONTH(E5558)='IN-NX'!$J$5,'IN-NX'!$D$7=D5558),"x","")</f>
        <v/>
      </c>
      <c r="AB5558" s="79" t="str">
        <f>IF(AND(OR(LEFT(TH!N5558,2)="15",LEFT(TH!O5558,2)="15"),LEFT(TH!O5558,3)&lt;&gt;"111",'152-CT'!$J$8=TH!F5558),"x","")</f>
        <v/>
      </c>
      <c r="AC5558" s="79" t="str">
        <f>IF(AND(OR(LEFT(TH!N5558,2)="15",LEFT(TH!O5558,2)="15"),TK!$E$7=TH!F5558),"x","")</f>
        <v/>
      </c>
      <c r="AD5558" s="79" t="str">
        <f>IF(AND(N5558="1521",MONTH(C5558)='BK-NL'!$M$11),"x","")</f>
        <v/>
      </c>
    </row>
    <row r="5559" spans="1:30" ht="16.5" customHeight="1">
      <c r="A5559" s="318" t="str">
        <f>IF(B5559&lt;&gt;"",IF(AND(B5559='IN-TC'!$S$4,OR(TH!N5559="1111",TH!O5559="1111")),TH!D5559,""),"")</f>
        <v/>
      </c>
      <c r="B5559" s="60" t="str">
        <f t="shared" si="507"/>
        <v/>
      </c>
      <c r="C5559" s="61"/>
      <c r="D5559" s="61"/>
      <c r="E5559" s="61"/>
      <c r="F5559" s="64"/>
      <c r="G5559" s="766"/>
      <c r="H5559" s="69"/>
      <c r="I5559" s="385"/>
      <c r="J5559" s="392"/>
      <c r="K5559" s="385"/>
      <c r="L5559" s="392"/>
      <c r="M5559" s="62"/>
      <c r="N5559" s="63"/>
      <c r="O5559" s="63"/>
      <c r="P5559" s="79" t="str">
        <f>IF(AND('331-CT'!$E$7=TH!H5559,OR(N5559="331",O5559="331")),"x","")</f>
        <v/>
      </c>
      <c r="Q5559" s="79" t="str">
        <f>IF(AND(B5559='111'!$L$11,OR($N5559=$Q$7,$O5559=$Q$7)),"x","")</f>
        <v/>
      </c>
      <c r="R5559" s="79" t="str">
        <f>IF(AND($N5559=$Q$7,$B5559&lt;'111'!$L$11),"x","")</f>
        <v/>
      </c>
      <c r="S5559" s="79" t="str">
        <f>IF(AND($O5559=$Q$7,$B5559&lt;'111'!$L$11),"x","")</f>
        <v/>
      </c>
      <c r="T5559" s="79" t="str">
        <f>IF(ISERROR(FIND('112'!$M$9,G5559,1)),"",IF((AND(FIND('112'!$M$9,G5559,1)&gt;=1,B5559='112'!$K$9,OR($N5559='112'!$I$6,$O5559='112'!$I$6))),"x",""))</f>
        <v/>
      </c>
      <c r="U5559" s="79" t="str">
        <f>IF(ISERROR(FIND('112'!$M$9,G5559,1)),"",IF((AND(LEFT(G5559,2)=LEFT('112'!$M$9,2),B5559&lt;'112'!$K$9,$N5559='112'!$I$6)),"x",""))</f>
        <v/>
      </c>
      <c r="V5559" s="79" t="str">
        <f>IF(ISERROR(FIND('112'!$M$9,G5559,1)),"",IF((AND(RIGHT(G5559,2)=RIGHT('112'!$M$9,2),B5559&lt;'112'!$K$9,$O5559='112'!$I$6)),"x",""))</f>
        <v/>
      </c>
      <c r="W5559" s="79" t="str">
        <f>IF(AND('341-CT'!$H$9=H5559,OR(LEFT(N5559,3)=$W$7,LEFT(O5559,3)=$W$7)),"x","")</f>
        <v/>
      </c>
      <c r="X5559" s="79" t="str">
        <f>IF(OR(TH!N5559=TH!$X$7,O5559=TH!$X$7),"x","")</f>
        <v/>
      </c>
      <c r="Y5559" s="79" t="str">
        <f>IF(AND(OR(N5559="131",O5559="131"),H5559='131-CT'!$H$9),"x","")</f>
        <v/>
      </c>
      <c r="Z5559" s="79"/>
      <c r="AA5559" s="79" t="str">
        <f>IF(AND(MONTH(E5559)='IN-NX'!$J$5,'IN-NX'!$D$7=D5559),"x","")</f>
        <v/>
      </c>
      <c r="AB5559" s="79" t="str">
        <f>IF(AND(OR(LEFT(TH!N5559,2)="15",LEFT(TH!O5559,2)="15"),LEFT(TH!O5559,3)&lt;&gt;"111",'152-CT'!$J$8=TH!F5559),"x","")</f>
        <v/>
      </c>
      <c r="AC5559" s="79" t="str">
        <f>IF(AND(OR(LEFT(TH!N5559,2)="15",LEFT(TH!O5559,2)="15"),TK!$E$7=TH!F5559),"x","")</f>
        <v/>
      </c>
      <c r="AD5559" s="79" t="str">
        <f>IF(AND(N5559="1521",MONTH(C5559)='BK-NL'!$M$11),"x","")</f>
        <v/>
      </c>
    </row>
    <row r="5560" spans="1:30" ht="16.5" customHeight="1">
      <c r="A5560" s="318" t="str">
        <f>IF(B5560&lt;&gt;"",IF(AND(B5560='IN-TC'!$S$4,OR(TH!N5560="1111",TH!O5560="1111")),TH!D5560,""),"")</f>
        <v/>
      </c>
      <c r="B5560" s="60" t="str">
        <f t="shared" si="507"/>
        <v/>
      </c>
      <c r="C5560" s="61"/>
      <c r="D5560" s="61"/>
      <c r="E5560" s="61"/>
      <c r="F5560" s="64"/>
      <c r="G5560" s="64"/>
      <c r="H5560" s="69"/>
      <c r="I5560" s="385"/>
      <c r="J5560" s="392"/>
      <c r="K5560" s="385"/>
      <c r="L5560" s="392"/>
      <c r="M5560" s="62"/>
      <c r="N5560" s="63"/>
      <c r="O5560" s="63"/>
      <c r="P5560" s="79" t="str">
        <f>IF(AND('331-CT'!$E$7=TH!H5560,OR(N5560="331",O5560="331")),"x","")</f>
        <v/>
      </c>
      <c r="Q5560" s="79" t="str">
        <f>IF(AND(B5560='111'!$L$11,OR($N5560=$Q$7,$O5560=$Q$7)),"x","")</f>
        <v/>
      </c>
      <c r="R5560" s="79" t="str">
        <f>IF(AND($N5560=$Q$7,$B5560&lt;'111'!$L$11),"x","")</f>
        <v/>
      </c>
      <c r="S5560" s="79" t="str">
        <f>IF(AND($O5560=$Q$7,$B5560&lt;'111'!$L$11),"x","")</f>
        <v/>
      </c>
      <c r="T5560" s="79" t="str">
        <f>IF(ISERROR(FIND('112'!$M$9,G5560,1)),"",IF((AND(FIND('112'!$M$9,G5560,1)&gt;=1,B5560='112'!$K$9,OR($N5560='112'!$I$6,$O5560='112'!$I$6))),"x",""))</f>
        <v/>
      </c>
      <c r="U5560" s="79" t="str">
        <f>IF(ISERROR(FIND('112'!$M$9,G5560,1)),"",IF((AND(LEFT(G5560,2)=LEFT('112'!$M$9,2),B5560&lt;'112'!$K$9,$N5560='112'!$I$6)),"x",""))</f>
        <v/>
      </c>
      <c r="V5560" s="79" t="str">
        <f>IF(ISERROR(FIND('112'!$M$9,G5560,1)),"",IF((AND(RIGHT(G5560,2)=RIGHT('112'!$M$9,2),B5560&lt;'112'!$K$9,$O5560='112'!$I$6)),"x",""))</f>
        <v/>
      </c>
      <c r="W5560" s="79" t="str">
        <f>IF(AND('341-CT'!$H$9=H5560,OR(LEFT(N5560,3)=$W$7,LEFT(O5560,3)=$W$7)),"x","")</f>
        <v/>
      </c>
      <c r="X5560" s="79" t="str">
        <f>IF(OR(TH!N5560=TH!$X$7,O5560=TH!$X$7),"x","")</f>
        <v/>
      </c>
      <c r="Y5560" s="79" t="str">
        <f>IF(AND(OR(N5560="131",O5560="131"),H5560='131-CT'!$H$9),"x","")</f>
        <v/>
      </c>
      <c r="Z5560" s="79"/>
      <c r="AA5560" s="79" t="str">
        <f>IF(AND(MONTH(E5560)='IN-NX'!$J$5,'IN-NX'!$D$7=D5560),"x","")</f>
        <v/>
      </c>
      <c r="AB5560" s="79" t="str">
        <f>IF(AND(OR(LEFT(TH!N5560,2)="15",LEFT(TH!O5560,2)="15"),LEFT(TH!O5560,3)&lt;&gt;"111",'152-CT'!$J$8=TH!F5560),"x","")</f>
        <v/>
      </c>
      <c r="AC5560" s="79" t="str">
        <f>IF(AND(OR(LEFT(TH!N5560,2)="15",LEFT(TH!O5560,2)="15"),TK!$E$7=TH!F5560),"x","")</f>
        <v/>
      </c>
      <c r="AD5560" s="79" t="str">
        <f>IF(AND(N5560="1521",MONTH(C5560)='BK-NL'!$M$11),"x","")</f>
        <v/>
      </c>
    </row>
    <row r="5561" spans="1:30" ht="16.5" customHeight="1">
      <c r="A5561" s="318" t="str">
        <f>IF(B5561&lt;&gt;"",IF(AND(B5561='IN-TC'!$S$4,OR(TH!N5561="1111",TH!O5561="1111")),TH!D5561,""),"")</f>
        <v/>
      </c>
      <c r="B5561" s="60" t="str">
        <f t="shared" si="507"/>
        <v/>
      </c>
      <c r="C5561" s="61"/>
      <c r="D5561" s="61"/>
      <c r="E5561" s="61"/>
      <c r="F5561" s="64"/>
      <c r="G5561" s="766"/>
      <c r="H5561" s="69"/>
      <c r="I5561" s="385"/>
      <c r="J5561" s="392"/>
      <c r="K5561" s="385"/>
      <c r="L5561" s="392"/>
      <c r="M5561" s="62"/>
      <c r="N5561" s="63"/>
      <c r="O5561" s="63"/>
      <c r="P5561" s="79" t="str">
        <f>IF(AND('331-CT'!$E$7=TH!H5561,OR(N5561="331",O5561="331")),"x","")</f>
        <v/>
      </c>
      <c r="Q5561" s="79" t="str">
        <f>IF(AND(B5561='111'!$L$11,OR($N5561=$Q$7,$O5561=$Q$7)),"x","")</f>
        <v/>
      </c>
      <c r="R5561" s="79" t="str">
        <f>IF(AND($N5561=$Q$7,$B5561&lt;'111'!$L$11),"x","")</f>
        <v/>
      </c>
      <c r="S5561" s="79" t="str">
        <f>IF(AND($O5561=$Q$7,$B5561&lt;'111'!$L$11),"x","")</f>
        <v/>
      </c>
      <c r="T5561" s="79" t="str">
        <f>IF(ISERROR(FIND('112'!$M$9,G5561,1)),"",IF((AND(FIND('112'!$M$9,G5561,1)&gt;=1,B5561='112'!$K$9,OR($N5561='112'!$I$6,$O5561='112'!$I$6))),"x",""))</f>
        <v/>
      </c>
      <c r="U5561" s="79" t="str">
        <f>IF(ISERROR(FIND('112'!$M$9,G5561,1)),"",IF((AND(LEFT(G5561,2)=LEFT('112'!$M$9,2),B5561&lt;'112'!$K$9,$N5561='112'!$I$6)),"x",""))</f>
        <v/>
      </c>
      <c r="V5561" s="79" t="str">
        <f>IF(ISERROR(FIND('112'!$M$9,G5561,1)),"",IF((AND(RIGHT(G5561,2)=RIGHT('112'!$M$9,2),B5561&lt;'112'!$K$9,$O5561='112'!$I$6)),"x",""))</f>
        <v/>
      </c>
      <c r="W5561" s="79" t="str">
        <f>IF(AND('341-CT'!$H$9=H5561,OR(LEFT(N5561,3)=$W$7,LEFT(O5561,3)=$W$7)),"x","")</f>
        <v/>
      </c>
      <c r="X5561" s="79" t="str">
        <f>IF(OR(TH!N5561=TH!$X$7,O5561=TH!$X$7),"x","")</f>
        <v/>
      </c>
      <c r="Y5561" s="79" t="str">
        <f>IF(AND(OR(N5561="131",O5561="131"),H5561='131-CT'!$H$9),"x","")</f>
        <v/>
      </c>
      <c r="Z5561" s="79"/>
      <c r="AA5561" s="79" t="str">
        <f>IF(AND(MONTH(E5561)='IN-NX'!$J$5,'IN-NX'!$D$7=D5561),"x","")</f>
        <v/>
      </c>
      <c r="AB5561" s="79" t="str">
        <f>IF(AND(OR(LEFT(TH!N5561,2)="15",LEFT(TH!O5561,2)="15"),LEFT(TH!O5561,3)&lt;&gt;"111",'152-CT'!$J$8=TH!F5561),"x","")</f>
        <v/>
      </c>
      <c r="AC5561" s="79" t="str">
        <f>IF(AND(OR(LEFT(TH!N5561,2)="15",LEFT(TH!O5561,2)="15"),TK!$E$7=TH!F5561),"x","")</f>
        <v/>
      </c>
      <c r="AD5561" s="79" t="str">
        <f>IF(AND(N5561="1521",MONTH(C5561)='BK-NL'!$M$11),"x","")</f>
        <v/>
      </c>
    </row>
    <row r="5562" spans="1:30" ht="16.5" customHeight="1">
      <c r="A5562" s="318" t="str">
        <f>IF(B5562&lt;&gt;"",IF(AND(B5562='IN-TC'!$S$4,OR(TH!N5562="1111",TH!O5562="1111")),TH!D5562,""),"")</f>
        <v/>
      </c>
      <c r="B5562" s="60" t="str">
        <f t="shared" si="507"/>
        <v/>
      </c>
      <c r="C5562" s="61"/>
      <c r="D5562" s="61"/>
      <c r="E5562" s="61"/>
      <c r="F5562" s="64"/>
      <c r="G5562" s="766"/>
      <c r="H5562" s="69"/>
      <c r="I5562" s="385"/>
      <c r="J5562" s="392"/>
      <c r="K5562" s="385"/>
      <c r="L5562" s="392"/>
      <c r="M5562" s="62"/>
      <c r="N5562" s="63"/>
      <c r="O5562" s="63"/>
      <c r="P5562" s="79" t="str">
        <f>IF(AND('331-CT'!$E$7=TH!H5562,OR(N5562="331",O5562="331")),"x","")</f>
        <v/>
      </c>
      <c r="Q5562" s="79" t="str">
        <f>IF(AND(B5562='111'!$L$11,OR($N5562=$Q$7,$O5562=$Q$7)),"x","")</f>
        <v/>
      </c>
      <c r="R5562" s="79" t="str">
        <f>IF(AND($N5562=$Q$7,$B5562&lt;'111'!$L$11),"x","")</f>
        <v/>
      </c>
      <c r="S5562" s="79" t="str">
        <f>IF(AND($O5562=$Q$7,$B5562&lt;'111'!$L$11),"x","")</f>
        <v/>
      </c>
      <c r="T5562" s="79" t="str">
        <f>IF(ISERROR(FIND('112'!$M$9,G5562,1)),"",IF((AND(FIND('112'!$M$9,G5562,1)&gt;=1,B5562='112'!$K$9,OR($N5562='112'!$I$6,$O5562='112'!$I$6))),"x",""))</f>
        <v/>
      </c>
      <c r="U5562" s="79" t="str">
        <f>IF(ISERROR(FIND('112'!$M$9,G5562,1)),"",IF((AND(LEFT(G5562,2)=LEFT('112'!$M$9,2),B5562&lt;'112'!$K$9,$N5562='112'!$I$6)),"x",""))</f>
        <v/>
      </c>
      <c r="V5562" s="79" t="str">
        <f>IF(ISERROR(FIND('112'!$M$9,G5562,1)),"",IF((AND(RIGHT(G5562,2)=RIGHT('112'!$M$9,2),B5562&lt;'112'!$K$9,$O5562='112'!$I$6)),"x",""))</f>
        <v/>
      </c>
      <c r="W5562" s="79" t="str">
        <f>IF(AND('341-CT'!$H$9=H5562,OR(LEFT(N5562,3)=$W$7,LEFT(O5562,3)=$W$7)),"x","")</f>
        <v/>
      </c>
      <c r="X5562" s="79" t="str">
        <f>IF(OR(TH!N5562=TH!$X$7,O5562=TH!$X$7),"x","")</f>
        <v/>
      </c>
      <c r="Y5562" s="79" t="str">
        <f>IF(AND(OR(N5562="131",O5562="131"),H5562='131-CT'!$H$9),"x","")</f>
        <v/>
      </c>
      <c r="Z5562" s="79"/>
      <c r="AA5562" s="79" t="str">
        <f>IF(AND(MONTH(E5562)='IN-NX'!$J$5,'IN-NX'!$D$7=D5562),"x","")</f>
        <v/>
      </c>
      <c r="AB5562" s="79" t="str">
        <f>IF(AND(OR(LEFT(TH!N5562,2)="15",LEFT(TH!O5562,2)="15"),LEFT(TH!O5562,3)&lt;&gt;"111",'152-CT'!$J$8=TH!F5562),"x","")</f>
        <v/>
      </c>
      <c r="AC5562" s="79" t="str">
        <f>IF(AND(OR(LEFT(TH!N5562,2)="15",LEFT(TH!O5562,2)="15"),TK!$E$7=TH!F5562),"x","")</f>
        <v/>
      </c>
      <c r="AD5562" s="79" t="str">
        <f>IF(AND(N5562="1521",MONTH(C5562)='BK-NL'!$M$11),"x","")</f>
        <v/>
      </c>
    </row>
    <row r="5563" spans="1:30" ht="16.5" customHeight="1">
      <c r="A5563" s="318" t="str">
        <f>IF(B5563&lt;&gt;"",IF(AND(B5563='IN-TC'!$S$4,OR(TH!N5563="1111",TH!O5563="1111")),TH!D5563,""),"")</f>
        <v/>
      </c>
      <c r="B5563" s="60" t="str">
        <f t="shared" si="507"/>
        <v/>
      </c>
      <c r="C5563" s="61"/>
      <c r="D5563" s="61"/>
      <c r="E5563" s="61"/>
      <c r="F5563" s="64"/>
      <c r="G5563" s="766"/>
      <c r="H5563" s="69"/>
      <c r="I5563" s="385"/>
      <c r="J5563" s="392"/>
      <c r="K5563" s="385"/>
      <c r="L5563" s="392"/>
      <c r="M5563" s="62"/>
      <c r="N5563" s="63"/>
      <c r="O5563" s="63"/>
      <c r="P5563" s="79" t="str">
        <f>IF(AND('331-CT'!$E$7=TH!H5563,OR(N5563="331",O5563="331")),"x","")</f>
        <v/>
      </c>
      <c r="Q5563" s="79" t="str">
        <f>IF(AND(B5563='111'!$L$11,OR($N5563=$Q$7,$O5563=$Q$7)),"x","")</f>
        <v/>
      </c>
      <c r="R5563" s="79" t="str">
        <f>IF(AND($N5563=$Q$7,$B5563&lt;'111'!$L$11),"x","")</f>
        <v/>
      </c>
      <c r="S5563" s="79" t="str">
        <f>IF(AND($O5563=$Q$7,$B5563&lt;'111'!$L$11),"x","")</f>
        <v/>
      </c>
      <c r="T5563" s="79" t="str">
        <f>IF(ISERROR(FIND('112'!$M$9,G5563,1)),"",IF((AND(FIND('112'!$M$9,G5563,1)&gt;=1,B5563='112'!$K$9,OR($N5563='112'!$I$6,$O5563='112'!$I$6))),"x",""))</f>
        <v/>
      </c>
      <c r="U5563" s="79" t="str">
        <f>IF(ISERROR(FIND('112'!$M$9,G5563,1)),"",IF((AND(LEFT(G5563,2)=LEFT('112'!$M$9,2),B5563&lt;'112'!$K$9,$N5563='112'!$I$6)),"x",""))</f>
        <v/>
      </c>
      <c r="V5563" s="79" t="str">
        <f>IF(ISERROR(FIND('112'!$M$9,G5563,1)),"",IF((AND(RIGHT(G5563,2)=RIGHT('112'!$M$9,2),B5563&lt;'112'!$K$9,$O5563='112'!$I$6)),"x",""))</f>
        <v/>
      </c>
      <c r="W5563" s="79" t="str">
        <f>IF(AND('341-CT'!$H$9=H5563,OR(LEFT(N5563,3)=$W$7,LEFT(O5563,3)=$W$7)),"x","")</f>
        <v/>
      </c>
      <c r="X5563" s="79" t="str">
        <f>IF(OR(TH!N5563=TH!$X$7,O5563=TH!$X$7),"x","")</f>
        <v/>
      </c>
      <c r="Y5563" s="79" t="str">
        <f>IF(AND(OR(N5563="131",O5563="131"),H5563='131-CT'!$H$9),"x","")</f>
        <v/>
      </c>
      <c r="Z5563" s="79"/>
      <c r="AA5563" s="79" t="str">
        <f>IF(AND(MONTH(E5563)='IN-NX'!$J$5,'IN-NX'!$D$7=D5563),"x","")</f>
        <v/>
      </c>
      <c r="AB5563" s="79" t="str">
        <f>IF(AND(OR(LEFT(TH!N5563,2)="15",LEFT(TH!O5563,2)="15"),LEFT(TH!O5563,3)&lt;&gt;"111",'152-CT'!$J$8=TH!F5563),"x","")</f>
        <v/>
      </c>
      <c r="AC5563" s="79" t="str">
        <f>IF(AND(OR(LEFT(TH!N5563,2)="15",LEFT(TH!O5563,2)="15"),TK!$E$7=TH!F5563),"x","")</f>
        <v/>
      </c>
      <c r="AD5563" s="79" t="str">
        <f>IF(AND(N5563="1521",MONTH(C5563)='BK-NL'!$M$11),"x","")</f>
        <v/>
      </c>
    </row>
    <row r="5564" spans="1:30" ht="16.5" customHeight="1">
      <c r="A5564" s="318" t="str">
        <f>IF(B5564&lt;&gt;"",IF(AND(B5564='IN-TC'!$S$4,OR(TH!N5564="1111",TH!O5564="1111")),TH!D5564,""),"")</f>
        <v/>
      </c>
      <c r="B5564" s="60" t="str">
        <f t="shared" si="507"/>
        <v/>
      </c>
      <c r="C5564" s="61"/>
      <c r="D5564" s="61"/>
      <c r="E5564" s="61"/>
      <c r="F5564" s="64"/>
      <c r="G5564" s="766"/>
      <c r="H5564" s="69"/>
      <c r="I5564" s="385"/>
      <c r="J5564" s="392"/>
      <c r="K5564" s="385"/>
      <c r="L5564" s="392"/>
      <c r="M5564" s="62"/>
      <c r="N5564" s="63"/>
      <c r="O5564" s="63"/>
      <c r="P5564" s="79" t="str">
        <f>IF(AND('331-CT'!$E$7=TH!H5564,OR(N5564="331",O5564="331")),"x","")</f>
        <v/>
      </c>
      <c r="Q5564" s="79" t="str">
        <f>IF(AND(B5564='111'!$L$11,OR($N5564=$Q$7,$O5564=$Q$7)),"x","")</f>
        <v/>
      </c>
      <c r="R5564" s="79" t="str">
        <f>IF(AND($N5564=$Q$7,$B5564&lt;'111'!$L$11),"x","")</f>
        <v/>
      </c>
      <c r="S5564" s="79" t="str">
        <f>IF(AND($O5564=$Q$7,$B5564&lt;'111'!$L$11),"x","")</f>
        <v/>
      </c>
      <c r="T5564" s="79" t="str">
        <f>IF(ISERROR(FIND('112'!$M$9,G5564,1)),"",IF((AND(FIND('112'!$M$9,G5564,1)&gt;=1,B5564='112'!$K$9,OR($N5564='112'!$I$6,$O5564='112'!$I$6))),"x",""))</f>
        <v/>
      </c>
      <c r="U5564" s="79" t="str">
        <f>IF(ISERROR(FIND('112'!$M$9,G5564,1)),"",IF((AND(LEFT(G5564,2)=LEFT('112'!$M$9,2),B5564&lt;'112'!$K$9,$N5564='112'!$I$6)),"x",""))</f>
        <v/>
      </c>
      <c r="V5564" s="79" t="str">
        <f>IF(ISERROR(FIND('112'!$M$9,G5564,1)),"",IF((AND(RIGHT(G5564,2)=RIGHT('112'!$M$9,2),B5564&lt;'112'!$K$9,$O5564='112'!$I$6)),"x",""))</f>
        <v/>
      </c>
      <c r="W5564" s="79" t="str">
        <f>IF(AND('341-CT'!$H$9=H5564,OR(LEFT(N5564,3)=$W$7,LEFT(O5564,3)=$W$7)),"x","")</f>
        <v/>
      </c>
      <c r="X5564" s="79" t="str">
        <f>IF(OR(TH!N5564=TH!$X$7,O5564=TH!$X$7),"x","")</f>
        <v/>
      </c>
      <c r="Y5564" s="79" t="str">
        <f>IF(AND(OR(N5564="131",O5564="131"),H5564='131-CT'!$H$9),"x","")</f>
        <v/>
      </c>
      <c r="Z5564" s="79"/>
      <c r="AA5564" s="79" t="str">
        <f>IF(AND(MONTH(E5564)='IN-NX'!$J$5,'IN-NX'!$D$7=D5564),"x","")</f>
        <v/>
      </c>
      <c r="AB5564" s="79" t="str">
        <f>IF(AND(OR(LEFT(TH!N5564,2)="15",LEFT(TH!O5564,2)="15"),LEFT(TH!O5564,3)&lt;&gt;"111",'152-CT'!$J$8=TH!F5564),"x","")</f>
        <v/>
      </c>
      <c r="AC5564" s="79" t="str">
        <f>IF(AND(OR(LEFT(TH!N5564,2)="15",LEFT(TH!O5564,2)="15"),TK!$E$7=TH!F5564),"x","")</f>
        <v/>
      </c>
      <c r="AD5564" s="79" t="str">
        <f>IF(AND(N5564="1521",MONTH(C5564)='BK-NL'!$M$11),"x","")</f>
        <v/>
      </c>
    </row>
    <row r="5565" spans="1:30" ht="16.5" customHeight="1">
      <c r="A5565" s="318" t="str">
        <f>IF(B5565&lt;&gt;"",IF(AND(B5565='IN-TC'!$S$4,OR(TH!N5565="1111",TH!O5565="1111")),TH!D5565,""),"")</f>
        <v/>
      </c>
      <c r="B5565" s="60" t="str">
        <f t="shared" si="507"/>
        <v/>
      </c>
      <c r="C5565" s="61"/>
      <c r="D5565" s="61"/>
      <c r="E5565" s="61"/>
      <c r="F5565" s="64"/>
      <c r="G5565" s="64"/>
      <c r="H5565" s="64"/>
      <c r="I5565" s="388"/>
      <c r="J5565" s="395"/>
      <c r="K5565" s="388"/>
      <c r="L5565" s="395"/>
      <c r="M5565" s="62"/>
      <c r="N5565" s="63"/>
      <c r="O5565" s="63"/>
      <c r="P5565" s="79" t="str">
        <f>IF(AND('331-CT'!$E$7=TH!H5565,OR(N5565="331",O5565="331")),"x","")</f>
        <v/>
      </c>
      <c r="Q5565" s="79" t="str">
        <f>IF(AND(B5565='111'!$L$11,OR($N5565=$Q$7,$O5565=$Q$7)),"x","")</f>
        <v/>
      </c>
      <c r="R5565" s="79" t="str">
        <f>IF(AND($N5565=$Q$7,$B5565&lt;'111'!$L$11),"x","")</f>
        <v/>
      </c>
      <c r="S5565" s="79" t="str">
        <f>IF(AND($O5565=$Q$7,$B5565&lt;'111'!$L$11),"x","")</f>
        <v/>
      </c>
      <c r="T5565" s="79" t="str">
        <f>IF(ISERROR(FIND('112'!$M$9,G5565,1)),"",IF((AND(FIND('112'!$M$9,G5565,1)&gt;=1,B5565='112'!$K$9,OR($N5565='112'!$I$6,$O5565='112'!$I$6))),"x",""))</f>
        <v/>
      </c>
      <c r="U5565" s="79" t="str">
        <f>IF(ISERROR(FIND('112'!$M$9,G5565,1)),"",IF((AND(LEFT(G5565,2)=LEFT('112'!$M$9,2),B5565&lt;'112'!$K$9,$N5565='112'!$I$6)),"x",""))</f>
        <v/>
      </c>
      <c r="V5565" s="79" t="str">
        <f>IF(ISERROR(FIND('112'!$M$9,G5565,1)),"",IF((AND(RIGHT(G5565,2)=RIGHT('112'!$M$9,2),B5565&lt;'112'!$K$9,$O5565='112'!$I$6)),"x",""))</f>
        <v/>
      </c>
      <c r="W5565" s="79" t="str">
        <f>IF(AND('341-CT'!$H$9=H5565,OR(LEFT(N5565,3)=$W$7,LEFT(O5565,3)=$W$7)),"x","")</f>
        <v/>
      </c>
      <c r="X5565" s="79" t="str">
        <f>IF(OR(TH!N5565=TH!$X$7,O5565=TH!$X$7),"x","")</f>
        <v/>
      </c>
      <c r="Y5565" s="79" t="str">
        <f>IF(AND(OR(N5565="131",O5565="131"),H5565='131-CT'!$H$9),"x","")</f>
        <v/>
      </c>
      <c r="Z5565" s="79"/>
      <c r="AA5565" s="79" t="str">
        <f>IF(AND(MONTH(E5565)='IN-NX'!$J$5,'IN-NX'!$D$7=D5565),"x","")</f>
        <v/>
      </c>
      <c r="AB5565" s="79" t="str">
        <f>IF(AND(OR(LEFT(TH!N5565,2)="15",LEFT(TH!O5565,2)="15"),LEFT(TH!O5565,3)&lt;&gt;"111",'152-CT'!$J$8=TH!F5565),"x","")</f>
        <v/>
      </c>
      <c r="AC5565" s="79" t="str">
        <f>IF(AND(OR(LEFT(TH!N5565,2)="15",LEFT(TH!O5565,2)="15"),TK!$E$7=TH!F5565),"x","")</f>
        <v/>
      </c>
      <c r="AD5565" s="79" t="str">
        <f>IF(AND(N5565="1521",MONTH(C5565)='BK-NL'!$M$11),"x","")</f>
        <v/>
      </c>
    </row>
    <row r="5566" spans="1:30" ht="16.5" customHeight="1">
      <c r="A5566" s="318" t="str">
        <f>IF(B5566&lt;&gt;"",IF(AND(B5566='IN-TC'!$S$4,OR(TH!N5566="1111",TH!O5566="1111")),TH!D5566,""),"")</f>
        <v/>
      </c>
      <c r="B5566" s="60" t="str">
        <f t="shared" si="507"/>
        <v/>
      </c>
      <c r="C5566" s="61"/>
      <c r="D5566" s="61"/>
      <c r="E5566" s="61"/>
      <c r="F5566" s="64"/>
      <c r="G5566" s="64"/>
      <c r="H5566" s="64"/>
      <c r="I5566" s="388"/>
      <c r="J5566" s="395"/>
      <c r="K5566" s="388"/>
      <c r="L5566" s="395"/>
      <c r="M5566" s="62"/>
      <c r="N5566" s="63"/>
      <c r="O5566" s="63"/>
      <c r="P5566" s="79" t="str">
        <f>IF(AND('331-CT'!$E$7=TH!H5566,OR(N5566="331",O5566="331")),"x","")</f>
        <v/>
      </c>
      <c r="Q5566" s="79" t="str">
        <f>IF(AND(B5566='111'!$L$11,OR($N5566=$Q$7,$O5566=$Q$7)),"x","")</f>
        <v/>
      </c>
      <c r="R5566" s="79" t="str">
        <f>IF(AND($N5566=$Q$7,$B5566&lt;'111'!$L$11),"x","")</f>
        <v/>
      </c>
      <c r="S5566" s="79" t="str">
        <f>IF(AND($O5566=$Q$7,$B5566&lt;'111'!$L$11),"x","")</f>
        <v/>
      </c>
      <c r="T5566" s="79" t="str">
        <f>IF(ISERROR(FIND('112'!$M$9,G5566,1)),"",IF((AND(FIND('112'!$M$9,G5566,1)&gt;=1,B5566='112'!$K$9,OR($N5566='112'!$I$6,$O5566='112'!$I$6))),"x",""))</f>
        <v/>
      </c>
      <c r="U5566" s="79" t="str">
        <f>IF(ISERROR(FIND('112'!$M$9,G5566,1)),"",IF((AND(LEFT(G5566,2)=LEFT('112'!$M$9,2),B5566&lt;'112'!$K$9,$N5566='112'!$I$6)),"x",""))</f>
        <v/>
      </c>
      <c r="V5566" s="79" t="str">
        <f>IF(ISERROR(FIND('112'!$M$9,G5566,1)),"",IF((AND(RIGHT(G5566,2)=RIGHT('112'!$M$9,2),B5566&lt;'112'!$K$9,$O5566='112'!$I$6)),"x",""))</f>
        <v/>
      </c>
      <c r="W5566" s="79" t="str">
        <f>IF(AND('341-CT'!$H$9=H5566,OR(LEFT(N5566,3)=$W$7,LEFT(O5566,3)=$W$7)),"x","")</f>
        <v/>
      </c>
      <c r="X5566" s="79" t="str">
        <f>IF(OR(TH!N5566=TH!$X$7,O5566=TH!$X$7),"x","")</f>
        <v/>
      </c>
      <c r="Y5566" s="79" t="str">
        <f>IF(AND(OR(N5566="131",O5566="131"),H5566='131-CT'!$H$9),"x","")</f>
        <v/>
      </c>
      <c r="Z5566" s="79"/>
      <c r="AA5566" s="79" t="str">
        <f>IF(AND(MONTH(E5566)='IN-NX'!$J$5,'IN-NX'!$D$7=D5566),"x","")</f>
        <v/>
      </c>
      <c r="AB5566" s="79" t="str">
        <f>IF(AND(OR(LEFT(TH!N5566,2)="15",LEFT(TH!O5566,2)="15"),LEFT(TH!O5566,3)&lt;&gt;"111",'152-CT'!$J$8=TH!F5566),"x","")</f>
        <v/>
      </c>
      <c r="AC5566" s="79" t="str">
        <f>IF(AND(OR(LEFT(TH!N5566,2)="15",LEFT(TH!O5566,2)="15"),TK!$E$7=TH!F5566),"x","")</f>
        <v/>
      </c>
      <c r="AD5566" s="79" t="str">
        <f>IF(AND(N5566="1521",MONTH(C5566)='BK-NL'!$M$11),"x","")</f>
        <v/>
      </c>
    </row>
    <row r="5567" spans="1:30" ht="16.5" customHeight="1">
      <c r="A5567" s="318" t="str">
        <f>IF(B5567&lt;&gt;"",IF(AND(B5567='IN-TC'!$S$4,OR(TH!N5567="1111",TH!O5567="1111")),TH!D5567,""),"")</f>
        <v/>
      </c>
      <c r="B5567" s="60" t="str">
        <f t="shared" si="507"/>
        <v/>
      </c>
      <c r="C5567" s="61"/>
      <c r="D5567" s="61"/>
      <c r="E5567" s="61"/>
      <c r="F5567" s="64"/>
      <c r="G5567" s="64"/>
      <c r="H5567" s="69"/>
      <c r="I5567" s="385"/>
      <c r="J5567" s="392"/>
      <c r="K5567" s="385"/>
      <c r="L5567" s="392"/>
      <c r="M5567" s="62"/>
      <c r="N5567" s="63"/>
      <c r="O5567" s="63"/>
      <c r="P5567" s="79" t="str">
        <f>IF(AND('331-CT'!$E$7=TH!H5567,OR(N5567="331",O5567="331")),"x","")</f>
        <v/>
      </c>
      <c r="Q5567" s="79" t="str">
        <f>IF(AND(B5567='111'!$L$11,OR($N5567=$Q$7,$O5567=$Q$7)),"x","")</f>
        <v/>
      </c>
      <c r="R5567" s="79" t="str">
        <f>IF(AND($N5567=$Q$7,$B5567&lt;'111'!$L$11),"x","")</f>
        <v/>
      </c>
      <c r="S5567" s="79" t="str">
        <f>IF(AND($O5567=$Q$7,$B5567&lt;'111'!$L$11),"x","")</f>
        <v/>
      </c>
      <c r="T5567" s="79" t="str">
        <f>IF(ISERROR(FIND('112'!$M$9,G5567,1)),"",IF((AND(FIND('112'!$M$9,G5567,1)&gt;=1,B5567='112'!$K$9,OR($N5567='112'!$I$6,$O5567='112'!$I$6))),"x",""))</f>
        <v/>
      </c>
      <c r="U5567" s="79" t="str">
        <f>IF(ISERROR(FIND('112'!$M$9,G5567,1)),"",IF((AND(LEFT(G5567,2)=LEFT('112'!$M$9,2),B5567&lt;'112'!$K$9,$N5567='112'!$I$6)),"x",""))</f>
        <v/>
      </c>
      <c r="V5567" s="79" t="str">
        <f>IF(ISERROR(FIND('112'!$M$9,G5567,1)),"",IF((AND(RIGHT(G5567,2)=RIGHT('112'!$M$9,2),B5567&lt;'112'!$K$9,$O5567='112'!$I$6)),"x",""))</f>
        <v/>
      </c>
      <c r="W5567" s="79" t="str">
        <f>IF(AND('341-CT'!$H$9=H5567,OR(LEFT(N5567,3)=$W$7,LEFT(O5567,3)=$W$7)),"x","")</f>
        <v/>
      </c>
      <c r="X5567" s="79" t="str">
        <f>IF(OR(TH!N5567=TH!$X$7,O5567=TH!$X$7),"x","")</f>
        <v/>
      </c>
      <c r="Y5567" s="79" t="str">
        <f>IF(AND(OR(N5567="131",O5567="131"),H5567='131-CT'!$H$9),"x","")</f>
        <v/>
      </c>
      <c r="Z5567" s="79"/>
      <c r="AA5567" s="79" t="str">
        <f>IF(AND(MONTH(E5567)='IN-NX'!$J$5,'IN-NX'!$D$7=D5567),"x","")</f>
        <v/>
      </c>
      <c r="AB5567" s="79" t="str">
        <f>IF(AND(OR(LEFT(TH!N5567,2)="15",LEFT(TH!O5567,2)="15"),LEFT(TH!O5567,3)&lt;&gt;"111",'152-CT'!$J$8=TH!F5567),"x","")</f>
        <v/>
      </c>
      <c r="AC5567" s="79" t="str">
        <f>IF(AND(OR(LEFT(TH!N5567,2)="15",LEFT(TH!O5567,2)="15"),TK!$E$7=TH!F5567),"x","")</f>
        <v/>
      </c>
      <c r="AD5567" s="79" t="str">
        <f>IF(AND(N5567="1521",MONTH(C5567)='BK-NL'!$M$11),"x","")</f>
        <v/>
      </c>
    </row>
    <row r="5568" spans="1:30" ht="16.5" customHeight="1">
      <c r="A5568" s="318" t="str">
        <f>IF(B5568&lt;&gt;"",IF(AND(B5568='IN-TC'!$S$4,OR(TH!N5568="1111",TH!O5568="1111")),TH!D5568,""),"")</f>
        <v/>
      </c>
      <c r="B5568" s="60" t="str">
        <f t="shared" si="507"/>
        <v/>
      </c>
      <c r="C5568" s="61"/>
      <c r="D5568" s="61"/>
      <c r="E5568" s="61"/>
      <c r="F5568" s="69"/>
      <c r="G5568" s="64"/>
      <c r="H5568" s="69"/>
      <c r="I5568" s="385"/>
      <c r="J5568" s="392"/>
      <c r="K5568" s="385"/>
      <c r="L5568" s="392"/>
      <c r="M5568" s="62"/>
      <c r="N5568" s="63"/>
      <c r="O5568" s="63"/>
      <c r="P5568" s="79" t="str">
        <f>IF(AND('331-CT'!$E$7=TH!H5568,OR(N5568="331",O5568="331")),"x","")</f>
        <v/>
      </c>
      <c r="Q5568" s="79" t="str">
        <f>IF(AND(B5568='111'!$L$11,OR($N5568=$Q$7,$O5568=$Q$7)),"x","")</f>
        <v/>
      </c>
      <c r="R5568" s="79" t="str">
        <f>IF(AND($N5568=$Q$7,$B5568&lt;'111'!$L$11),"x","")</f>
        <v/>
      </c>
      <c r="S5568" s="79" t="str">
        <f>IF(AND($O5568=$Q$7,$B5568&lt;'111'!$L$11),"x","")</f>
        <v/>
      </c>
      <c r="T5568" s="79" t="str">
        <f>IF(ISERROR(FIND('112'!$M$9,G5568,1)),"",IF((AND(FIND('112'!$M$9,G5568,1)&gt;=1,B5568='112'!$K$9,OR($N5568='112'!$I$6,$O5568='112'!$I$6))),"x",""))</f>
        <v/>
      </c>
      <c r="U5568" s="79" t="str">
        <f>IF(ISERROR(FIND('112'!$M$9,G5568,1)),"",IF((AND(LEFT(G5568,2)=LEFT('112'!$M$9,2),B5568&lt;'112'!$K$9,$N5568='112'!$I$6)),"x",""))</f>
        <v/>
      </c>
      <c r="V5568" s="79" t="str">
        <f>IF(ISERROR(FIND('112'!$M$9,G5568,1)),"",IF((AND(RIGHT(G5568,2)=RIGHT('112'!$M$9,2),B5568&lt;'112'!$K$9,$O5568='112'!$I$6)),"x",""))</f>
        <v/>
      </c>
      <c r="W5568" s="79" t="str">
        <f>IF(AND('341-CT'!$H$9=H5568,OR(LEFT(N5568,3)=$W$7,LEFT(O5568,3)=$W$7)),"x","")</f>
        <v/>
      </c>
      <c r="X5568" s="79" t="str">
        <f>IF(OR(TH!N5568=TH!$X$7,O5568=TH!$X$7),"x","")</f>
        <v/>
      </c>
      <c r="Y5568" s="79" t="str">
        <f>IF(AND(OR(N5568="131",O5568="131"),H5568='131-CT'!$H$9),"x","")</f>
        <v/>
      </c>
      <c r="Z5568" s="79"/>
      <c r="AA5568" s="79" t="str">
        <f>IF(AND(MONTH(E5568)='IN-NX'!$J$5,'IN-NX'!$D$7=D5568),"x","")</f>
        <v/>
      </c>
      <c r="AB5568" s="79" t="str">
        <f>IF(AND(OR(LEFT(TH!N5568,2)="15",LEFT(TH!O5568,2)="15"),LEFT(TH!O5568,3)&lt;&gt;"111",'152-CT'!$J$8=TH!F5568),"x","")</f>
        <v/>
      </c>
      <c r="AC5568" s="79" t="str">
        <f>IF(AND(OR(LEFT(TH!N5568,2)="15",LEFT(TH!O5568,2)="15"),TK!$E$7=TH!F5568),"x","")</f>
        <v/>
      </c>
      <c r="AD5568" s="79" t="str">
        <f>IF(AND(N5568="1521",MONTH(C5568)='BK-NL'!$M$11),"x","")</f>
        <v/>
      </c>
    </row>
    <row r="5569" spans="1:30" ht="16.5" customHeight="1">
      <c r="A5569" s="318" t="str">
        <f>IF(B5569&lt;&gt;"",IF(AND(B5569='IN-TC'!$S$4,OR(TH!N5569="1111",TH!O5569="1111")),TH!D5569,""),"")</f>
        <v/>
      </c>
      <c r="B5569" s="60" t="str">
        <f t="shared" si="507"/>
        <v/>
      </c>
      <c r="C5569" s="61"/>
      <c r="D5569" s="61"/>
      <c r="E5569" s="61"/>
      <c r="F5569" s="64"/>
      <c r="G5569" s="64"/>
      <c r="H5569" s="64"/>
      <c r="I5569" s="387"/>
      <c r="J5569" s="394"/>
      <c r="K5569" s="387"/>
      <c r="L5569" s="394"/>
      <c r="M5569" s="62"/>
      <c r="N5569" s="63"/>
      <c r="O5569" s="63"/>
      <c r="P5569" s="79" t="str">
        <f>IF(AND('331-CT'!$E$7=TH!H5569,OR(N5569="331",O5569="331")),"x","")</f>
        <v/>
      </c>
      <c r="Q5569" s="79" t="str">
        <f>IF(AND(B5569='111'!$L$11,OR($N5569=$Q$7,$O5569=$Q$7)),"x","")</f>
        <v/>
      </c>
      <c r="R5569" s="79" t="str">
        <f>IF(AND($N5569=$Q$7,$B5569&lt;'111'!$L$11),"x","")</f>
        <v/>
      </c>
      <c r="S5569" s="79" t="str">
        <f>IF(AND($O5569=$Q$7,$B5569&lt;'111'!$L$11),"x","")</f>
        <v/>
      </c>
      <c r="T5569" s="79" t="str">
        <f>IF(ISERROR(FIND('112'!$M$9,G5569,1)),"",IF((AND(FIND('112'!$M$9,G5569,1)&gt;=1,B5569='112'!$K$9,OR($N5569='112'!$I$6,$O5569='112'!$I$6))),"x",""))</f>
        <v/>
      </c>
      <c r="U5569" s="79" t="str">
        <f>IF(ISERROR(FIND('112'!$M$9,G5569,1)),"",IF((AND(LEFT(G5569,2)=LEFT('112'!$M$9,2),B5569&lt;'112'!$K$9,$N5569='112'!$I$6)),"x",""))</f>
        <v/>
      </c>
      <c r="V5569" s="79" t="str">
        <f>IF(ISERROR(FIND('112'!$M$9,G5569,1)),"",IF((AND(RIGHT(G5569,2)=RIGHT('112'!$M$9,2),B5569&lt;'112'!$K$9,$O5569='112'!$I$6)),"x",""))</f>
        <v/>
      </c>
      <c r="W5569" s="79" t="str">
        <f>IF(AND('341-CT'!$H$9=H5569,OR(LEFT(N5569,3)=$W$7,LEFT(O5569,3)=$W$7)),"x","")</f>
        <v/>
      </c>
      <c r="X5569" s="79" t="str">
        <f>IF(OR(TH!N5569=TH!$X$7,O5569=TH!$X$7),"x","")</f>
        <v/>
      </c>
      <c r="Y5569" s="79" t="str">
        <f>IF(AND(OR(N5569="131",O5569="131"),H5569='131-CT'!$H$9),"x","")</f>
        <v/>
      </c>
      <c r="Z5569" s="79"/>
      <c r="AA5569" s="79" t="str">
        <f>IF(AND(MONTH(E5569)='IN-NX'!$J$5,'IN-NX'!$D$7=D5569),"x","")</f>
        <v/>
      </c>
      <c r="AB5569" s="79" t="str">
        <f>IF(AND(OR(LEFT(TH!N5569,2)="15",LEFT(TH!O5569,2)="15"),LEFT(TH!O5569,3)&lt;&gt;"111",'152-CT'!$J$8=TH!F5569),"x","")</f>
        <v/>
      </c>
      <c r="AC5569" s="79" t="str">
        <f>IF(AND(OR(LEFT(TH!N5569,2)="15",LEFT(TH!O5569,2)="15"),TK!$E$7=TH!F5569),"x","")</f>
        <v/>
      </c>
      <c r="AD5569" s="79" t="str">
        <f>IF(AND(N5569="1521",MONTH(C5569)='BK-NL'!$M$11),"x","")</f>
        <v/>
      </c>
    </row>
    <row r="5570" spans="1:30" ht="16.5" customHeight="1">
      <c r="A5570" s="318" t="str">
        <f>IF(B5570&lt;&gt;"",IF(AND(B5570='IN-TC'!$S$4,OR(TH!N5570="1111",TH!O5570="1111")),TH!D5570,""),"")</f>
        <v/>
      </c>
      <c r="B5570" s="60" t="str">
        <f t="shared" si="507"/>
        <v/>
      </c>
      <c r="C5570" s="61"/>
      <c r="D5570" s="61"/>
      <c r="E5570" s="61"/>
      <c r="F5570" s="64"/>
      <c r="G5570" s="64"/>
      <c r="H5570" s="64"/>
      <c r="I5570" s="385"/>
      <c r="J5570" s="392"/>
      <c r="K5570" s="385"/>
      <c r="L5570" s="392"/>
      <c r="M5570" s="62"/>
      <c r="N5570" s="63"/>
      <c r="O5570" s="63"/>
      <c r="P5570" s="79" t="str">
        <f>IF(AND('331-CT'!$E$7=TH!H5570,OR(N5570="331",O5570="331")),"x","")</f>
        <v/>
      </c>
      <c r="Q5570" s="79" t="str">
        <f>IF(AND(B5570='111'!$L$11,OR($N5570=$Q$7,$O5570=$Q$7)),"x","")</f>
        <v/>
      </c>
      <c r="R5570" s="79" t="str">
        <f>IF(AND($N5570=$Q$7,$B5570&lt;'111'!$L$11),"x","")</f>
        <v/>
      </c>
      <c r="S5570" s="79" t="str">
        <f>IF(AND($O5570=$Q$7,$B5570&lt;'111'!$L$11),"x","")</f>
        <v/>
      </c>
      <c r="T5570" s="79" t="str">
        <f>IF(ISERROR(FIND('112'!$M$9,G5570,1)),"",IF((AND(FIND('112'!$M$9,G5570,1)&gt;=1,B5570='112'!$K$9,OR($N5570='112'!$I$6,$O5570='112'!$I$6))),"x",""))</f>
        <v/>
      </c>
      <c r="U5570" s="79" t="str">
        <f>IF(ISERROR(FIND('112'!$M$9,G5570,1)),"",IF((AND(LEFT(G5570,2)=LEFT('112'!$M$9,2),B5570&lt;'112'!$K$9,$N5570='112'!$I$6)),"x",""))</f>
        <v/>
      </c>
      <c r="V5570" s="79" t="str">
        <f>IF(ISERROR(FIND('112'!$M$9,G5570,1)),"",IF((AND(RIGHT(G5570,2)=RIGHT('112'!$M$9,2),B5570&lt;'112'!$K$9,$O5570='112'!$I$6)),"x",""))</f>
        <v/>
      </c>
      <c r="W5570" s="79" t="str">
        <f>IF(AND('341-CT'!$H$9=H5570,OR(LEFT(N5570,3)=$W$7,LEFT(O5570,3)=$W$7)),"x","")</f>
        <v/>
      </c>
      <c r="X5570" s="79" t="str">
        <f>IF(OR(TH!N5570=TH!$X$7,O5570=TH!$X$7),"x","")</f>
        <v/>
      </c>
      <c r="Y5570" s="79" t="str">
        <f>IF(AND(OR(N5570="131",O5570="131"),H5570='131-CT'!$H$9),"x","")</f>
        <v/>
      </c>
      <c r="Z5570" s="79"/>
      <c r="AA5570" s="79" t="str">
        <f>IF(AND(MONTH(E5570)='IN-NX'!$J$5,'IN-NX'!$D$7=D5570),"x","")</f>
        <v/>
      </c>
      <c r="AB5570" s="79" t="str">
        <f>IF(AND(OR(LEFT(TH!N5570,2)="15",LEFT(TH!O5570,2)="15"),LEFT(TH!O5570,3)&lt;&gt;"111",'152-CT'!$J$8=TH!F5570),"x","")</f>
        <v/>
      </c>
      <c r="AC5570" s="79" t="str">
        <f>IF(AND(OR(LEFT(TH!N5570,2)="15",LEFT(TH!O5570,2)="15"),TK!$E$7=TH!F5570),"x","")</f>
        <v/>
      </c>
      <c r="AD5570" s="79" t="str">
        <f>IF(AND(N5570="1521",MONTH(C5570)='BK-NL'!$M$11),"x","")</f>
        <v/>
      </c>
    </row>
    <row r="5571" spans="1:30" ht="16.5" customHeight="1">
      <c r="A5571" s="318" t="str">
        <f>IF(B5571&lt;&gt;"",IF(AND(B5571='IN-TC'!$S$4,OR(TH!N5571="1111",TH!O5571="1111")),TH!D5571,""),"")</f>
        <v/>
      </c>
      <c r="B5571" s="60" t="str">
        <f t="shared" ref="B5571:B5634" si="508">IF(C5571&lt;&gt;"",MONTH(C5571),"")</f>
        <v/>
      </c>
      <c r="C5571" s="61"/>
      <c r="D5571" s="61"/>
      <c r="E5571" s="61"/>
      <c r="F5571" s="64"/>
      <c r="G5571" s="64"/>
      <c r="H5571" s="64"/>
      <c r="I5571" s="385"/>
      <c r="J5571" s="392"/>
      <c r="K5571" s="385"/>
      <c r="L5571" s="392"/>
      <c r="M5571" s="62"/>
      <c r="N5571" s="63"/>
      <c r="O5571" s="63"/>
      <c r="P5571" s="79" t="str">
        <f>IF(AND('331-CT'!$E$7=TH!H5571,OR(N5571="331",O5571="331")),"x","")</f>
        <v/>
      </c>
      <c r="Q5571" s="79" t="str">
        <f>IF(AND(B5571='111'!$L$11,OR($N5571=$Q$7,$O5571=$Q$7)),"x","")</f>
        <v/>
      </c>
      <c r="R5571" s="79" t="str">
        <f>IF(AND($N5571=$Q$7,$B5571&lt;'111'!$L$11),"x","")</f>
        <v/>
      </c>
      <c r="S5571" s="79" t="str">
        <f>IF(AND($O5571=$Q$7,$B5571&lt;'111'!$L$11),"x","")</f>
        <v/>
      </c>
      <c r="T5571" s="79" t="str">
        <f>IF(ISERROR(FIND('112'!$M$9,G5571,1)),"",IF((AND(FIND('112'!$M$9,G5571,1)&gt;=1,B5571='112'!$K$9,OR($N5571='112'!$I$6,$O5571='112'!$I$6))),"x",""))</f>
        <v/>
      </c>
      <c r="U5571" s="79" t="str">
        <f>IF(ISERROR(FIND('112'!$M$9,G5571,1)),"",IF((AND(LEFT(G5571,2)=LEFT('112'!$M$9,2),B5571&lt;'112'!$K$9,$N5571='112'!$I$6)),"x",""))</f>
        <v/>
      </c>
      <c r="V5571" s="79" t="str">
        <f>IF(ISERROR(FIND('112'!$M$9,G5571,1)),"",IF((AND(RIGHT(G5571,2)=RIGHT('112'!$M$9,2),B5571&lt;'112'!$K$9,$O5571='112'!$I$6)),"x",""))</f>
        <v/>
      </c>
      <c r="W5571" s="79" t="str">
        <f>IF(AND('341-CT'!$H$9=H5571,OR(LEFT(N5571,3)=$W$7,LEFT(O5571,3)=$W$7)),"x","")</f>
        <v/>
      </c>
      <c r="X5571" s="79" t="str">
        <f>IF(OR(TH!N5571=TH!$X$7,O5571=TH!$X$7),"x","")</f>
        <v/>
      </c>
      <c r="Y5571" s="79" t="str">
        <f>IF(AND(OR(N5571="131",O5571="131"),H5571='131-CT'!$H$9),"x","")</f>
        <v/>
      </c>
      <c r="Z5571" s="79"/>
      <c r="AA5571" s="79" t="str">
        <f>IF(AND(MONTH(E5571)='IN-NX'!$J$5,'IN-NX'!$D$7=D5571),"x","")</f>
        <v/>
      </c>
      <c r="AB5571" s="79" t="str">
        <f>IF(AND(OR(LEFT(TH!N5571,2)="15",LEFT(TH!O5571,2)="15"),LEFT(TH!O5571,3)&lt;&gt;"111",'152-CT'!$J$8=TH!F5571),"x","")</f>
        <v/>
      </c>
      <c r="AC5571" s="79" t="str">
        <f>IF(AND(OR(LEFT(TH!N5571,2)="15",LEFT(TH!O5571,2)="15"),TK!$E$7=TH!F5571),"x","")</f>
        <v/>
      </c>
      <c r="AD5571" s="79" t="str">
        <f>IF(AND(N5571="1521",MONTH(C5571)='BK-NL'!$M$11),"x","")</f>
        <v/>
      </c>
    </row>
    <row r="5572" spans="1:30" ht="16.5" customHeight="1">
      <c r="A5572" s="318" t="str">
        <f>IF(B5572&lt;&gt;"",IF(AND(B5572='IN-TC'!$S$4,OR(TH!N5572="1111",TH!O5572="1111")),TH!D5572,""),"")</f>
        <v/>
      </c>
      <c r="B5572" s="60" t="str">
        <f t="shared" si="508"/>
        <v/>
      </c>
      <c r="C5572" s="61"/>
      <c r="D5572" s="61"/>
      <c r="E5572" s="61"/>
      <c r="F5572" s="64"/>
      <c r="G5572" s="766"/>
      <c r="H5572" s="69"/>
      <c r="I5572" s="385"/>
      <c r="J5572" s="392"/>
      <c r="K5572" s="385"/>
      <c r="L5572" s="392"/>
      <c r="M5572" s="62"/>
      <c r="N5572" s="63"/>
      <c r="O5572" s="63"/>
      <c r="P5572" s="79" t="str">
        <f>IF(AND('331-CT'!$E$7=TH!H5572,OR(N5572="331",O5572="331")),"x","")</f>
        <v/>
      </c>
      <c r="Q5572" s="79" t="str">
        <f>IF(AND(B5572='111'!$L$11,OR($N5572=$Q$7,$O5572=$Q$7)),"x","")</f>
        <v/>
      </c>
      <c r="R5572" s="79" t="str">
        <f>IF(AND($N5572=$Q$7,$B5572&lt;'111'!$L$11),"x","")</f>
        <v/>
      </c>
      <c r="S5572" s="79" t="str">
        <f>IF(AND($O5572=$Q$7,$B5572&lt;'111'!$L$11),"x","")</f>
        <v/>
      </c>
      <c r="T5572" s="79" t="str">
        <f>IF(ISERROR(FIND('112'!$M$9,G5572,1)),"",IF((AND(FIND('112'!$M$9,G5572,1)&gt;=1,B5572='112'!$K$9,OR($N5572='112'!$I$6,$O5572='112'!$I$6))),"x",""))</f>
        <v/>
      </c>
      <c r="U5572" s="79" t="str">
        <f>IF(ISERROR(FIND('112'!$M$9,G5572,1)),"",IF((AND(LEFT(G5572,2)=LEFT('112'!$M$9,2),B5572&lt;'112'!$K$9,$N5572='112'!$I$6)),"x",""))</f>
        <v/>
      </c>
      <c r="V5572" s="79" t="str">
        <f>IF(ISERROR(FIND('112'!$M$9,G5572,1)),"",IF((AND(RIGHT(G5572,2)=RIGHT('112'!$M$9,2),B5572&lt;'112'!$K$9,$O5572='112'!$I$6)),"x",""))</f>
        <v/>
      </c>
      <c r="W5572" s="79" t="str">
        <f>IF(AND('341-CT'!$H$9=H5572,OR(LEFT(N5572,3)=$W$7,LEFT(O5572,3)=$W$7)),"x","")</f>
        <v/>
      </c>
      <c r="X5572" s="79" t="str">
        <f>IF(OR(TH!N5572=TH!$X$7,O5572=TH!$X$7),"x","")</f>
        <v/>
      </c>
      <c r="Y5572" s="79" t="str">
        <f>IF(AND(OR(N5572="131",O5572="131"),H5572='131-CT'!$H$9),"x","")</f>
        <v/>
      </c>
      <c r="Z5572" s="79"/>
      <c r="AA5572" s="79" t="str">
        <f>IF(AND(MONTH(E5572)='IN-NX'!$J$5,'IN-NX'!$D$7=D5572),"x","")</f>
        <v/>
      </c>
      <c r="AB5572" s="79" t="str">
        <f>IF(AND(OR(LEFT(TH!N5572,2)="15",LEFT(TH!O5572,2)="15"),LEFT(TH!O5572,3)&lt;&gt;"111",'152-CT'!$J$8=TH!F5572),"x","")</f>
        <v/>
      </c>
      <c r="AC5572" s="79" t="str">
        <f>IF(AND(OR(LEFT(TH!N5572,2)="15",LEFT(TH!O5572,2)="15"),TK!$E$7=TH!F5572),"x","")</f>
        <v/>
      </c>
      <c r="AD5572" s="79" t="str">
        <f>IF(AND(N5572="1521",MONTH(C5572)='BK-NL'!$M$11),"x","")</f>
        <v/>
      </c>
    </row>
    <row r="5573" spans="1:30" ht="16.5" customHeight="1">
      <c r="A5573" s="318" t="str">
        <f>IF(B5573&lt;&gt;"",IF(AND(B5573='IN-TC'!$S$4,OR(TH!N5573="1111",TH!O5573="1111")),TH!D5573,""),"")</f>
        <v/>
      </c>
      <c r="B5573" s="60" t="str">
        <f t="shared" si="508"/>
        <v/>
      </c>
      <c r="C5573" s="61"/>
      <c r="D5573" s="61"/>
      <c r="E5573" s="61"/>
      <c r="F5573" s="64"/>
      <c r="G5573" s="766"/>
      <c r="H5573" s="69"/>
      <c r="I5573" s="385"/>
      <c r="J5573" s="392"/>
      <c r="K5573" s="385"/>
      <c r="L5573" s="392"/>
      <c r="M5573" s="62"/>
      <c r="N5573" s="63"/>
      <c r="O5573" s="63"/>
      <c r="P5573" s="79" t="str">
        <f>IF(AND('331-CT'!$E$7=TH!H5573,OR(N5573="331",O5573="331")),"x","")</f>
        <v/>
      </c>
      <c r="Q5573" s="79" t="str">
        <f>IF(AND(B5573='111'!$L$11,OR($N5573=$Q$7,$O5573=$Q$7)),"x","")</f>
        <v/>
      </c>
      <c r="R5573" s="79" t="str">
        <f>IF(AND($N5573=$Q$7,$B5573&lt;'111'!$L$11),"x","")</f>
        <v/>
      </c>
      <c r="S5573" s="79" t="str">
        <f>IF(AND($O5573=$Q$7,$B5573&lt;'111'!$L$11),"x","")</f>
        <v/>
      </c>
      <c r="T5573" s="79" t="str">
        <f>IF(ISERROR(FIND('112'!$M$9,G5573,1)),"",IF((AND(FIND('112'!$M$9,G5573,1)&gt;=1,B5573='112'!$K$9,OR($N5573='112'!$I$6,$O5573='112'!$I$6))),"x",""))</f>
        <v/>
      </c>
      <c r="U5573" s="79" t="str">
        <f>IF(ISERROR(FIND('112'!$M$9,G5573,1)),"",IF((AND(LEFT(G5573,2)=LEFT('112'!$M$9,2),B5573&lt;'112'!$K$9,$N5573='112'!$I$6)),"x",""))</f>
        <v/>
      </c>
      <c r="V5573" s="79" t="str">
        <f>IF(ISERROR(FIND('112'!$M$9,G5573,1)),"",IF((AND(RIGHT(G5573,2)=RIGHT('112'!$M$9,2),B5573&lt;'112'!$K$9,$O5573='112'!$I$6)),"x",""))</f>
        <v/>
      </c>
      <c r="W5573" s="79" t="str">
        <f>IF(AND('341-CT'!$H$9=H5573,OR(LEFT(N5573,3)=$W$7,LEFT(O5573,3)=$W$7)),"x","")</f>
        <v/>
      </c>
      <c r="X5573" s="79" t="str">
        <f>IF(OR(TH!N5573=TH!$X$7,O5573=TH!$X$7),"x","")</f>
        <v/>
      </c>
      <c r="Y5573" s="79" t="str">
        <f>IF(AND(OR(N5573="131",O5573="131"),H5573='131-CT'!$H$9),"x","")</f>
        <v/>
      </c>
      <c r="Z5573" s="79"/>
      <c r="AA5573" s="79" t="str">
        <f>IF(AND(MONTH(E5573)='IN-NX'!$J$5,'IN-NX'!$D$7=D5573),"x","")</f>
        <v/>
      </c>
      <c r="AB5573" s="79" t="str">
        <f>IF(AND(OR(LEFT(TH!N5573,2)="15",LEFT(TH!O5573,2)="15"),LEFT(TH!O5573,3)&lt;&gt;"111",'152-CT'!$J$8=TH!F5573),"x","")</f>
        <v/>
      </c>
      <c r="AC5573" s="79" t="str">
        <f>IF(AND(OR(LEFT(TH!N5573,2)="15",LEFT(TH!O5573,2)="15"),TK!$E$7=TH!F5573),"x","")</f>
        <v/>
      </c>
      <c r="AD5573" s="79" t="str">
        <f>IF(AND(N5573="1521",MONTH(C5573)='BK-NL'!$M$11),"x","")</f>
        <v/>
      </c>
    </row>
    <row r="5574" spans="1:30" ht="16.5" customHeight="1">
      <c r="A5574" s="318" t="str">
        <f>IF(B5574&lt;&gt;"",IF(AND(B5574='IN-TC'!$S$4,OR(TH!N5574="1111",TH!O5574="1111")),TH!D5574,""),"")</f>
        <v/>
      </c>
      <c r="B5574" s="60" t="str">
        <f t="shared" si="508"/>
        <v/>
      </c>
      <c r="C5574" s="61"/>
      <c r="D5574" s="61"/>
      <c r="E5574" s="61"/>
      <c r="F5574" s="64"/>
      <c r="G5574" s="64"/>
      <c r="H5574" s="70"/>
      <c r="I5574" s="385"/>
      <c r="J5574" s="392"/>
      <c r="K5574" s="385"/>
      <c r="L5574" s="392"/>
      <c r="M5574" s="62"/>
      <c r="N5574" s="63"/>
      <c r="O5574" s="63"/>
      <c r="P5574" s="79" t="str">
        <f>IF(AND('331-CT'!$E$7=TH!H5574,OR(N5574="331",O5574="331")),"x","")</f>
        <v/>
      </c>
      <c r="Q5574" s="79" t="str">
        <f>IF(AND(B5574='111'!$L$11,OR($N5574=$Q$7,$O5574=$Q$7)),"x","")</f>
        <v/>
      </c>
      <c r="R5574" s="79" t="str">
        <f>IF(AND($N5574=$Q$7,$B5574&lt;'111'!$L$11),"x","")</f>
        <v/>
      </c>
      <c r="S5574" s="79" t="str">
        <f>IF(AND($O5574=$Q$7,$B5574&lt;'111'!$L$11),"x","")</f>
        <v/>
      </c>
      <c r="T5574" s="79" t="str">
        <f>IF(ISERROR(FIND('112'!$M$9,G5574,1)),"",IF((AND(FIND('112'!$M$9,G5574,1)&gt;=1,B5574='112'!$K$9,OR($N5574='112'!$I$6,$O5574='112'!$I$6))),"x",""))</f>
        <v/>
      </c>
      <c r="U5574" s="79" t="str">
        <f>IF(ISERROR(FIND('112'!$M$9,G5574,1)),"",IF((AND(LEFT(G5574,2)=LEFT('112'!$M$9,2),B5574&lt;'112'!$K$9,$N5574='112'!$I$6)),"x",""))</f>
        <v/>
      </c>
      <c r="V5574" s="79" t="str">
        <f>IF(ISERROR(FIND('112'!$M$9,G5574,1)),"",IF((AND(RIGHT(G5574,2)=RIGHT('112'!$M$9,2),B5574&lt;'112'!$K$9,$O5574='112'!$I$6)),"x",""))</f>
        <v/>
      </c>
      <c r="W5574" s="79" t="str">
        <f>IF(AND('341-CT'!$H$9=H5574,OR(LEFT(N5574,3)=$W$7,LEFT(O5574,3)=$W$7)),"x","")</f>
        <v/>
      </c>
      <c r="X5574" s="79" t="str">
        <f>IF(OR(TH!N5574=TH!$X$7,O5574=TH!$X$7),"x","")</f>
        <v/>
      </c>
      <c r="Y5574" s="79" t="str">
        <f>IF(AND(OR(N5574="131",O5574="131"),H5574='131-CT'!$H$9),"x","")</f>
        <v/>
      </c>
      <c r="Z5574" s="79"/>
      <c r="AA5574" s="79" t="str">
        <f>IF(AND(MONTH(E5574)='IN-NX'!$J$5,'IN-NX'!$D$7=D5574),"x","")</f>
        <v/>
      </c>
      <c r="AB5574" s="79" t="str">
        <f>IF(AND(OR(LEFT(TH!N5574,2)="15",LEFT(TH!O5574,2)="15"),LEFT(TH!O5574,3)&lt;&gt;"111",'152-CT'!$J$8=TH!F5574),"x","")</f>
        <v/>
      </c>
      <c r="AC5574" s="79" t="str">
        <f>IF(AND(OR(LEFT(TH!N5574,2)="15",LEFT(TH!O5574,2)="15"),TK!$E$7=TH!F5574),"x","")</f>
        <v/>
      </c>
      <c r="AD5574" s="79" t="str">
        <f>IF(AND(N5574="1521",MONTH(C5574)='BK-NL'!$M$11),"x","")</f>
        <v/>
      </c>
    </row>
    <row r="5575" spans="1:30" ht="16.5" customHeight="1">
      <c r="A5575" s="318" t="str">
        <f>IF(B5575&lt;&gt;"",IF(AND(B5575='IN-TC'!$S$4,OR(TH!N5575="1111",TH!O5575="1111")),TH!D5575,""),"")</f>
        <v/>
      </c>
      <c r="B5575" s="60" t="str">
        <f t="shared" si="508"/>
        <v/>
      </c>
      <c r="C5575" s="61"/>
      <c r="D5575" s="61"/>
      <c r="E5575" s="61"/>
      <c r="F5575" s="64"/>
      <c r="G5575" s="64"/>
      <c r="H5575" s="321"/>
      <c r="I5575" s="387"/>
      <c r="J5575" s="394"/>
      <c r="K5575" s="387"/>
      <c r="L5575" s="394"/>
      <c r="M5575" s="62"/>
      <c r="N5575" s="63"/>
      <c r="O5575" s="63"/>
      <c r="P5575" s="79" t="str">
        <f>IF(AND('331-CT'!$E$7=TH!H5575,OR(N5575="331",O5575="331")),"x","")</f>
        <v/>
      </c>
      <c r="Q5575" s="79" t="str">
        <f>IF(AND(B5575='111'!$L$11,OR($N5575=$Q$7,$O5575=$Q$7)),"x","")</f>
        <v/>
      </c>
      <c r="R5575" s="79" t="str">
        <f>IF(AND($N5575=$Q$7,$B5575&lt;'111'!$L$11),"x","")</f>
        <v/>
      </c>
      <c r="S5575" s="79" t="str">
        <f>IF(AND($O5575=$Q$7,$B5575&lt;'111'!$L$11),"x","")</f>
        <v/>
      </c>
      <c r="T5575" s="79" t="str">
        <f>IF(ISERROR(FIND('112'!$M$9,G5575,1)),"",IF((AND(FIND('112'!$M$9,G5575,1)&gt;=1,B5575='112'!$K$9,OR($N5575='112'!$I$6,$O5575='112'!$I$6))),"x",""))</f>
        <v/>
      </c>
      <c r="U5575" s="79" t="str">
        <f>IF(ISERROR(FIND('112'!$M$9,G5575,1)),"",IF((AND(LEFT(G5575,2)=LEFT('112'!$M$9,2),B5575&lt;'112'!$K$9,$N5575='112'!$I$6)),"x",""))</f>
        <v/>
      </c>
      <c r="V5575" s="79" t="str">
        <f>IF(ISERROR(FIND('112'!$M$9,G5575,1)),"",IF((AND(RIGHT(G5575,2)=RIGHT('112'!$M$9,2),B5575&lt;'112'!$K$9,$O5575='112'!$I$6)),"x",""))</f>
        <v/>
      </c>
      <c r="W5575" s="79" t="str">
        <f>IF(AND('341-CT'!$H$9=H5575,OR(LEFT(N5575,3)=$W$7,LEFT(O5575,3)=$W$7)),"x","")</f>
        <v/>
      </c>
      <c r="X5575" s="79" t="str">
        <f>IF(OR(TH!N5575=TH!$X$7,O5575=TH!$X$7),"x","")</f>
        <v/>
      </c>
      <c r="Y5575" s="79" t="str">
        <f>IF(AND(OR(N5575="131",O5575="131"),H5575='131-CT'!$H$9),"x","")</f>
        <v/>
      </c>
      <c r="Z5575" s="79"/>
      <c r="AA5575" s="79" t="str">
        <f>IF(AND(MONTH(E5575)='IN-NX'!$J$5,'IN-NX'!$D$7=D5575),"x","")</f>
        <v/>
      </c>
      <c r="AB5575" s="79" t="str">
        <f>IF(AND(OR(LEFT(TH!N5575,2)="15",LEFT(TH!O5575,2)="15"),LEFT(TH!O5575,3)&lt;&gt;"111",'152-CT'!$J$8=TH!F5575),"x","")</f>
        <v/>
      </c>
      <c r="AC5575" s="79" t="str">
        <f>IF(AND(OR(LEFT(TH!N5575,2)="15",LEFT(TH!O5575,2)="15"),TK!$E$7=TH!F5575),"x","")</f>
        <v/>
      </c>
      <c r="AD5575" s="79" t="str">
        <f>IF(AND(N5575="1521",MONTH(C5575)='BK-NL'!$M$11),"x","")</f>
        <v/>
      </c>
    </row>
    <row r="5576" spans="1:30" ht="16.5" customHeight="1">
      <c r="A5576" s="318" t="str">
        <f>IF(B5576&lt;&gt;"",IF(AND(B5576='IN-TC'!$S$4,OR(TH!N5576="1111",TH!O5576="1111")),TH!D5576,""),"")</f>
        <v/>
      </c>
      <c r="B5576" s="60" t="str">
        <f t="shared" si="508"/>
        <v/>
      </c>
      <c r="C5576" s="61"/>
      <c r="D5576" s="61"/>
      <c r="E5576" s="61"/>
      <c r="F5576" s="64"/>
      <c r="G5576" s="64"/>
      <c r="H5576" s="321"/>
      <c r="I5576" s="387"/>
      <c r="J5576" s="394"/>
      <c r="K5576" s="387"/>
      <c r="L5576" s="394"/>
      <c r="M5576" s="62"/>
      <c r="N5576" s="63"/>
      <c r="O5576" s="63"/>
      <c r="P5576" s="79" t="str">
        <f>IF(AND('331-CT'!$E$7=TH!H5576,OR(N5576="331",O5576="331")),"x","")</f>
        <v/>
      </c>
      <c r="Q5576" s="79" t="str">
        <f>IF(AND(B5576='111'!$L$11,OR($N5576=$Q$7,$O5576=$Q$7)),"x","")</f>
        <v/>
      </c>
      <c r="R5576" s="79" t="str">
        <f>IF(AND($N5576=$Q$7,$B5576&lt;'111'!$L$11),"x","")</f>
        <v/>
      </c>
      <c r="S5576" s="79" t="str">
        <f>IF(AND($O5576=$Q$7,$B5576&lt;'111'!$L$11),"x","")</f>
        <v/>
      </c>
      <c r="T5576" s="79" t="str">
        <f>IF(ISERROR(FIND('112'!$M$9,G5576,1)),"",IF((AND(FIND('112'!$M$9,G5576,1)&gt;=1,B5576='112'!$K$9,OR($N5576='112'!$I$6,$O5576='112'!$I$6))),"x",""))</f>
        <v/>
      </c>
      <c r="U5576" s="79" t="str">
        <f>IF(ISERROR(FIND('112'!$M$9,G5576,1)),"",IF((AND(LEFT(G5576,2)=LEFT('112'!$M$9,2),B5576&lt;'112'!$K$9,$N5576='112'!$I$6)),"x",""))</f>
        <v/>
      </c>
      <c r="V5576" s="79" t="str">
        <f>IF(ISERROR(FIND('112'!$M$9,G5576,1)),"",IF((AND(RIGHT(G5576,2)=RIGHT('112'!$M$9,2),B5576&lt;'112'!$K$9,$O5576='112'!$I$6)),"x",""))</f>
        <v/>
      </c>
      <c r="W5576" s="79" t="str">
        <f>IF(AND('341-CT'!$H$9=H5576,OR(LEFT(N5576,3)=$W$7,LEFT(O5576,3)=$W$7)),"x","")</f>
        <v/>
      </c>
      <c r="X5576" s="79" t="str">
        <f>IF(OR(TH!N5576=TH!$X$7,O5576=TH!$X$7),"x","")</f>
        <v/>
      </c>
      <c r="Y5576" s="79" t="str">
        <f>IF(AND(OR(N5576="131",O5576="131"),H5576='131-CT'!$H$9),"x","")</f>
        <v/>
      </c>
      <c r="Z5576" s="79"/>
      <c r="AA5576" s="79" t="str">
        <f>IF(AND(MONTH(E5576)='IN-NX'!$J$5,'IN-NX'!$D$7=D5576),"x","")</f>
        <v/>
      </c>
      <c r="AB5576" s="79" t="str">
        <f>IF(AND(OR(LEFT(TH!N5576,2)="15",LEFT(TH!O5576,2)="15"),LEFT(TH!O5576,3)&lt;&gt;"111",'152-CT'!$J$8=TH!F5576),"x","")</f>
        <v/>
      </c>
      <c r="AC5576" s="79" t="str">
        <f>IF(AND(OR(LEFT(TH!N5576,2)="15",LEFT(TH!O5576,2)="15"),TK!$E$7=TH!F5576),"x","")</f>
        <v/>
      </c>
      <c r="AD5576" s="79" t="str">
        <f>IF(AND(N5576="1521",MONTH(C5576)='BK-NL'!$M$11),"x","")</f>
        <v/>
      </c>
    </row>
    <row r="5577" spans="1:30" ht="16.5" customHeight="1">
      <c r="A5577" s="318" t="str">
        <f>IF(B5577&lt;&gt;"",IF(AND(B5577='IN-TC'!$S$4,OR(TH!N5577="1111",TH!O5577="1111")),TH!D5577,""),"")</f>
        <v/>
      </c>
      <c r="B5577" s="60" t="str">
        <f t="shared" si="508"/>
        <v/>
      </c>
      <c r="C5577" s="61"/>
      <c r="D5577" s="61"/>
      <c r="E5577" s="61"/>
      <c r="F5577" s="64"/>
      <c r="G5577" s="64"/>
      <c r="H5577" s="321"/>
      <c r="I5577" s="387"/>
      <c r="J5577" s="394"/>
      <c r="K5577" s="387"/>
      <c r="L5577" s="394"/>
      <c r="M5577" s="62"/>
      <c r="N5577" s="63"/>
      <c r="O5577" s="63"/>
      <c r="P5577" s="79" t="str">
        <f>IF(AND('331-CT'!$E$7=TH!H5577,OR(N5577="331",O5577="331")),"x","")</f>
        <v/>
      </c>
      <c r="Q5577" s="79" t="str">
        <f>IF(AND(B5577='111'!$L$11,OR($N5577=$Q$7,$O5577=$Q$7)),"x","")</f>
        <v/>
      </c>
      <c r="R5577" s="79" t="str">
        <f>IF(AND($N5577=$Q$7,$B5577&lt;'111'!$L$11),"x","")</f>
        <v/>
      </c>
      <c r="S5577" s="79" t="str">
        <f>IF(AND($O5577=$Q$7,$B5577&lt;'111'!$L$11),"x","")</f>
        <v/>
      </c>
      <c r="T5577" s="79" t="str">
        <f>IF(ISERROR(FIND('112'!$M$9,G5577,1)),"",IF((AND(FIND('112'!$M$9,G5577,1)&gt;=1,B5577='112'!$K$9,OR($N5577='112'!$I$6,$O5577='112'!$I$6))),"x",""))</f>
        <v/>
      </c>
      <c r="U5577" s="79" t="str">
        <f>IF(ISERROR(FIND('112'!$M$9,G5577,1)),"",IF((AND(LEFT(G5577,2)=LEFT('112'!$M$9,2),B5577&lt;'112'!$K$9,$N5577='112'!$I$6)),"x",""))</f>
        <v/>
      </c>
      <c r="V5577" s="79" t="str">
        <f>IF(ISERROR(FIND('112'!$M$9,G5577,1)),"",IF((AND(RIGHT(G5577,2)=RIGHT('112'!$M$9,2),B5577&lt;'112'!$K$9,$O5577='112'!$I$6)),"x",""))</f>
        <v/>
      </c>
      <c r="W5577" s="79" t="str">
        <f>IF(AND('341-CT'!$H$9=H5577,OR(LEFT(N5577,3)=$W$7,LEFT(O5577,3)=$W$7)),"x","")</f>
        <v/>
      </c>
      <c r="X5577" s="79" t="str">
        <f>IF(OR(TH!N5577=TH!$X$7,O5577=TH!$X$7),"x","")</f>
        <v/>
      </c>
      <c r="Y5577" s="79" t="str">
        <f>IF(AND(OR(N5577="131",O5577="131"),H5577='131-CT'!$H$9),"x","")</f>
        <v/>
      </c>
      <c r="Z5577" s="79"/>
      <c r="AA5577" s="79" t="str">
        <f>IF(AND(MONTH(E5577)='IN-NX'!$J$5,'IN-NX'!$D$7=D5577),"x","")</f>
        <v/>
      </c>
      <c r="AB5577" s="79" t="str">
        <f>IF(AND(OR(LEFT(TH!N5577,2)="15",LEFT(TH!O5577,2)="15"),LEFT(TH!O5577,3)&lt;&gt;"111",'152-CT'!$J$8=TH!F5577),"x","")</f>
        <v/>
      </c>
      <c r="AC5577" s="79" t="str">
        <f>IF(AND(OR(LEFT(TH!N5577,2)="15",LEFT(TH!O5577,2)="15"),TK!$E$7=TH!F5577),"x","")</f>
        <v/>
      </c>
      <c r="AD5577" s="79" t="str">
        <f>IF(AND(N5577="1521",MONTH(C5577)='BK-NL'!$M$11),"x","")</f>
        <v/>
      </c>
    </row>
    <row r="5578" spans="1:30" ht="16.5" customHeight="1">
      <c r="A5578" s="318" t="str">
        <f>IF(B5578&lt;&gt;"",IF(AND(B5578='IN-TC'!$S$4,OR(TH!N5578="1111",TH!O5578="1111")),TH!D5578,""),"")</f>
        <v/>
      </c>
      <c r="B5578" s="60" t="str">
        <f t="shared" si="508"/>
        <v/>
      </c>
      <c r="C5578" s="61"/>
      <c r="D5578" s="61"/>
      <c r="E5578" s="61"/>
      <c r="F5578" s="64"/>
      <c r="G5578" s="64"/>
      <c r="H5578" s="69"/>
      <c r="I5578" s="385"/>
      <c r="J5578" s="392"/>
      <c r="K5578" s="385"/>
      <c r="L5578" s="392"/>
      <c r="M5578" s="62"/>
      <c r="N5578" s="63"/>
      <c r="O5578" s="63"/>
      <c r="P5578" s="79" t="str">
        <f>IF(AND('331-CT'!$E$7=TH!H5578,OR(N5578="331",O5578="331")),"x","")</f>
        <v/>
      </c>
      <c r="Q5578" s="79" t="str">
        <f>IF(AND(B5578='111'!$L$11,OR($N5578=$Q$7,$O5578=$Q$7)),"x","")</f>
        <v/>
      </c>
      <c r="R5578" s="79" t="str">
        <f>IF(AND($N5578=$Q$7,$B5578&lt;'111'!$L$11),"x","")</f>
        <v/>
      </c>
      <c r="S5578" s="79" t="str">
        <f>IF(AND($O5578=$Q$7,$B5578&lt;'111'!$L$11),"x","")</f>
        <v/>
      </c>
      <c r="T5578" s="79" t="str">
        <f>IF(ISERROR(FIND('112'!$M$9,G5578,1)),"",IF((AND(FIND('112'!$M$9,G5578,1)&gt;=1,B5578='112'!$K$9,OR($N5578='112'!$I$6,$O5578='112'!$I$6))),"x",""))</f>
        <v/>
      </c>
      <c r="U5578" s="79" t="str">
        <f>IF(ISERROR(FIND('112'!$M$9,G5578,1)),"",IF((AND(LEFT(G5578,2)=LEFT('112'!$M$9,2),B5578&lt;'112'!$K$9,$N5578='112'!$I$6)),"x",""))</f>
        <v/>
      </c>
      <c r="V5578" s="79" t="str">
        <f>IF(ISERROR(FIND('112'!$M$9,G5578,1)),"",IF((AND(RIGHT(G5578,2)=RIGHT('112'!$M$9,2),B5578&lt;'112'!$K$9,$O5578='112'!$I$6)),"x",""))</f>
        <v/>
      </c>
      <c r="W5578" s="79" t="str">
        <f>IF(AND('341-CT'!$H$9=H5578,OR(LEFT(N5578,3)=$W$7,LEFT(O5578,3)=$W$7)),"x","")</f>
        <v/>
      </c>
      <c r="X5578" s="79" t="str">
        <f>IF(OR(TH!N5578=TH!$X$7,O5578=TH!$X$7),"x","")</f>
        <v/>
      </c>
      <c r="Y5578" s="79" t="str">
        <f>IF(AND(OR(N5578="131",O5578="131"),H5578='131-CT'!$H$9),"x","")</f>
        <v/>
      </c>
      <c r="Z5578" s="79"/>
      <c r="AA5578" s="79" t="str">
        <f>IF(AND(MONTH(E5578)='IN-NX'!$J$5,'IN-NX'!$D$7=D5578),"x","")</f>
        <v/>
      </c>
      <c r="AB5578" s="79" t="str">
        <f>IF(AND(OR(LEFT(TH!N5578,2)="15",LEFT(TH!O5578,2)="15"),LEFT(TH!O5578,3)&lt;&gt;"111",'152-CT'!$J$8=TH!F5578),"x","")</f>
        <v/>
      </c>
      <c r="AC5578" s="79" t="str">
        <f>IF(AND(OR(LEFT(TH!N5578,2)="15",LEFT(TH!O5578,2)="15"),TK!$E$7=TH!F5578),"x","")</f>
        <v/>
      </c>
      <c r="AD5578" s="79" t="str">
        <f>IF(AND(N5578="1521",MONTH(C5578)='BK-NL'!$M$11),"x","")</f>
        <v/>
      </c>
    </row>
    <row r="5579" spans="1:30" ht="16.5" customHeight="1">
      <c r="A5579" s="318" t="str">
        <f>IF(B5579&lt;&gt;"",IF(AND(B5579='IN-TC'!$S$4,OR(TH!N5579="1111",TH!O5579="1111")),TH!D5579,""),"")</f>
        <v/>
      </c>
      <c r="B5579" s="60" t="str">
        <f t="shared" si="508"/>
        <v/>
      </c>
      <c r="C5579" s="61"/>
      <c r="D5579" s="61"/>
      <c r="E5579" s="61"/>
      <c r="F5579" s="64"/>
      <c r="G5579" s="64"/>
      <c r="H5579" s="69"/>
      <c r="I5579" s="385"/>
      <c r="J5579" s="392"/>
      <c r="K5579" s="385"/>
      <c r="L5579" s="392"/>
      <c r="M5579" s="62"/>
      <c r="N5579" s="63"/>
      <c r="O5579" s="63"/>
      <c r="P5579" s="79" t="str">
        <f>IF(AND('331-CT'!$E$7=TH!H5579,OR(N5579="331",O5579="331")),"x","")</f>
        <v/>
      </c>
      <c r="Q5579" s="79" t="str">
        <f>IF(AND(B5579='111'!$L$11,OR($N5579=$Q$7,$O5579=$Q$7)),"x","")</f>
        <v/>
      </c>
      <c r="R5579" s="79" t="str">
        <f>IF(AND($N5579=$Q$7,$B5579&lt;'111'!$L$11),"x","")</f>
        <v/>
      </c>
      <c r="S5579" s="79" t="str">
        <f>IF(AND($O5579=$Q$7,$B5579&lt;'111'!$L$11),"x","")</f>
        <v/>
      </c>
      <c r="T5579" s="79" t="str">
        <f>IF(ISERROR(FIND('112'!$M$9,G5579,1)),"",IF((AND(FIND('112'!$M$9,G5579,1)&gt;=1,B5579='112'!$K$9,OR($N5579='112'!$I$6,$O5579='112'!$I$6))),"x",""))</f>
        <v/>
      </c>
      <c r="U5579" s="79" t="str">
        <f>IF(ISERROR(FIND('112'!$M$9,G5579,1)),"",IF((AND(LEFT(G5579,2)=LEFT('112'!$M$9,2),B5579&lt;'112'!$K$9,$N5579='112'!$I$6)),"x",""))</f>
        <v/>
      </c>
      <c r="V5579" s="79" t="str">
        <f>IF(ISERROR(FIND('112'!$M$9,G5579,1)),"",IF((AND(RIGHT(G5579,2)=RIGHT('112'!$M$9,2),B5579&lt;'112'!$K$9,$O5579='112'!$I$6)),"x",""))</f>
        <v/>
      </c>
      <c r="W5579" s="79" t="str">
        <f>IF(AND('341-CT'!$H$9=H5579,OR(LEFT(N5579,3)=$W$7,LEFT(O5579,3)=$W$7)),"x","")</f>
        <v/>
      </c>
      <c r="X5579" s="79" t="str">
        <f>IF(OR(TH!N5579=TH!$X$7,O5579=TH!$X$7),"x","")</f>
        <v/>
      </c>
      <c r="Y5579" s="79" t="str">
        <f>IF(AND(OR(N5579="131",O5579="131"),H5579='131-CT'!$H$9),"x","")</f>
        <v/>
      </c>
      <c r="Z5579" s="79"/>
      <c r="AA5579" s="79" t="str">
        <f>IF(AND(MONTH(E5579)='IN-NX'!$J$5,'IN-NX'!$D$7=D5579),"x","")</f>
        <v/>
      </c>
      <c r="AB5579" s="79" t="str">
        <f>IF(AND(OR(LEFT(TH!N5579,2)="15",LEFT(TH!O5579,2)="15"),LEFT(TH!O5579,3)&lt;&gt;"111",'152-CT'!$J$8=TH!F5579),"x","")</f>
        <v/>
      </c>
      <c r="AC5579" s="79" t="str">
        <f>IF(AND(OR(LEFT(TH!N5579,2)="15",LEFT(TH!O5579,2)="15"),TK!$E$7=TH!F5579),"x","")</f>
        <v/>
      </c>
      <c r="AD5579" s="79" t="str">
        <f>IF(AND(N5579="1521",MONTH(C5579)='BK-NL'!$M$11),"x","")</f>
        <v/>
      </c>
    </row>
    <row r="5580" spans="1:30" ht="16.5" customHeight="1">
      <c r="A5580" s="318" t="str">
        <f>IF(B5580&lt;&gt;"",IF(AND(B5580='IN-TC'!$S$4,OR(TH!N5580="1111",TH!O5580="1111")),TH!D5580,""),"")</f>
        <v/>
      </c>
      <c r="B5580" s="60" t="str">
        <f t="shared" si="508"/>
        <v/>
      </c>
      <c r="C5580" s="61"/>
      <c r="D5580" s="61"/>
      <c r="E5580" s="61"/>
      <c r="F5580" s="64"/>
      <c r="G5580" s="64"/>
      <c r="H5580" s="321"/>
      <c r="I5580" s="387"/>
      <c r="J5580" s="394"/>
      <c r="K5580" s="387"/>
      <c r="L5580" s="394"/>
      <c r="M5580" s="62"/>
      <c r="N5580" s="63"/>
      <c r="O5580" s="63"/>
      <c r="P5580" s="79" t="str">
        <f>IF(AND('331-CT'!$E$7=TH!H5580,OR(N5580="331",O5580="331")),"x","")</f>
        <v/>
      </c>
      <c r="Q5580" s="79" t="str">
        <f>IF(AND(B5580='111'!$L$11,OR($N5580=$Q$7,$O5580=$Q$7)),"x","")</f>
        <v/>
      </c>
      <c r="R5580" s="79" t="str">
        <f>IF(AND($N5580=$Q$7,$B5580&lt;'111'!$L$11),"x","")</f>
        <v/>
      </c>
      <c r="S5580" s="79" t="str">
        <f>IF(AND($O5580=$Q$7,$B5580&lt;'111'!$L$11),"x","")</f>
        <v/>
      </c>
      <c r="T5580" s="79" t="str">
        <f>IF(ISERROR(FIND('112'!$M$9,G5580,1)),"",IF((AND(FIND('112'!$M$9,G5580,1)&gt;=1,B5580='112'!$K$9,OR($N5580='112'!$I$6,$O5580='112'!$I$6))),"x",""))</f>
        <v/>
      </c>
      <c r="U5580" s="79" t="str">
        <f>IF(ISERROR(FIND('112'!$M$9,G5580,1)),"",IF((AND(LEFT(G5580,2)=LEFT('112'!$M$9,2),B5580&lt;'112'!$K$9,$N5580='112'!$I$6)),"x",""))</f>
        <v/>
      </c>
      <c r="V5580" s="79" t="str">
        <f>IF(ISERROR(FIND('112'!$M$9,G5580,1)),"",IF((AND(RIGHT(G5580,2)=RIGHT('112'!$M$9,2),B5580&lt;'112'!$K$9,$O5580='112'!$I$6)),"x",""))</f>
        <v/>
      </c>
      <c r="W5580" s="79" t="str">
        <f>IF(AND('341-CT'!$H$9=H5580,OR(LEFT(N5580,3)=$W$7,LEFT(O5580,3)=$W$7)),"x","")</f>
        <v/>
      </c>
      <c r="X5580" s="79" t="str">
        <f>IF(OR(TH!N5580=TH!$X$7,O5580=TH!$X$7),"x","")</f>
        <v/>
      </c>
      <c r="Y5580" s="79" t="str">
        <f>IF(AND(OR(N5580="131",O5580="131"),H5580='131-CT'!$H$9),"x","")</f>
        <v/>
      </c>
      <c r="Z5580" s="79"/>
      <c r="AA5580" s="79" t="str">
        <f>IF(AND(MONTH(E5580)='IN-NX'!$J$5,'IN-NX'!$D$7=D5580),"x","")</f>
        <v/>
      </c>
      <c r="AB5580" s="79" t="str">
        <f>IF(AND(OR(LEFT(TH!N5580,2)="15",LEFT(TH!O5580,2)="15"),LEFT(TH!O5580,3)&lt;&gt;"111",'152-CT'!$J$8=TH!F5580),"x","")</f>
        <v/>
      </c>
      <c r="AC5580" s="79" t="str">
        <f>IF(AND(OR(LEFT(TH!N5580,2)="15",LEFT(TH!O5580,2)="15"),TK!$E$7=TH!F5580),"x","")</f>
        <v/>
      </c>
      <c r="AD5580" s="79" t="str">
        <f>IF(AND(N5580="1521",MONTH(C5580)='BK-NL'!$M$11),"x","")</f>
        <v/>
      </c>
    </row>
    <row r="5581" spans="1:30" ht="16.5" customHeight="1">
      <c r="A5581" s="318" t="str">
        <f>IF(B5581&lt;&gt;"",IF(AND(B5581='IN-TC'!$S$4,OR(TH!N5581="1111",TH!O5581="1111")),TH!D5581,""),"")</f>
        <v/>
      </c>
      <c r="B5581" s="60" t="str">
        <f t="shared" si="508"/>
        <v/>
      </c>
      <c r="C5581" s="61"/>
      <c r="D5581" s="61"/>
      <c r="E5581" s="61"/>
      <c r="F5581" s="64"/>
      <c r="G5581" s="64"/>
      <c r="H5581" s="69"/>
      <c r="I5581" s="387"/>
      <c r="J5581" s="394"/>
      <c r="K5581" s="387"/>
      <c r="L5581" s="394"/>
      <c r="M5581" s="62"/>
      <c r="N5581" s="63"/>
      <c r="O5581" s="63"/>
      <c r="P5581" s="79" t="str">
        <f>IF(AND('331-CT'!$E$7=TH!H5581,OR(N5581="331",O5581="331")),"x","")</f>
        <v/>
      </c>
      <c r="Q5581" s="79" t="str">
        <f>IF(AND(B5581='111'!$L$11,OR($N5581=$Q$7,$O5581=$Q$7)),"x","")</f>
        <v/>
      </c>
      <c r="R5581" s="79" t="str">
        <f>IF(AND($N5581=$Q$7,$B5581&lt;'111'!$L$11),"x","")</f>
        <v/>
      </c>
      <c r="S5581" s="79" t="str">
        <f>IF(AND($O5581=$Q$7,$B5581&lt;'111'!$L$11),"x","")</f>
        <v/>
      </c>
      <c r="T5581" s="79" t="str">
        <f>IF(ISERROR(FIND('112'!$M$9,G5581,1)),"",IF((AND(FIND('112'!$M$9,G5581,1)&gt;=1,B5581='112'!$K$9,OR($N5581='112'!$I$6,$O5581='112'!$I$6))),"x",""))</f>
        <v/>
      </c>
      <c r="U5581" s="79" t="str">
        <f>IF(ISERROR(FIND('112'!$M$9,G5581,1)),"",IF((AND(LEFT(G5581,2)=LEFT('112'!$M$9,2),B5581&lt;'112'!$K$9,$N5581='112'!$I$6)),"x",""))</f>
        <v/>
      </c>
      <c r="V5581" s="79" t="str">
        <f>IF(ISERROR(FIND('112'!$M$9,G5581,1)),"",IF((AND(RIGHT(G5581,2)=RIGHT('112'!$M$9,2),B5581&lt;'112'!$K$9,$O5581='112'!$I$6)),"x",""))</f>
        <v/>
      </c>
      <c r="W5581" s="79" t="str">
        <f>IF(AND('341-CT'!$H$9=H5581,OR(LEFT(N5581,3)=$W$7,LEFT(O5581,3)=$W$7)),"x","")</f>
        <v/>
      </c>
      <c r="X5581" s="79" t="str">
        <f>IF(OR(TH!N5581=TH!$X$7,O5581=TH!$X$7),"x","")</f>
        <v/>
      </c>
      <c r="Y5581" s="79" t="str">
        <f>IF(AND(OR(N5581="131",O5581="131"),H5581='131-CT'!$H$9),"x","")</f>
        <v/>
      </c>
      <c r="Z5581" s="79"/>
      <c r="AA5581" s="79" t="str">
        <f>IF(AND(MONTH(E5581)='IN-NX'!$J$5,'IN-NX'!$D$7=D5581),"x","")</f>
        <v/>
      </c>
      <c r="AB5581" s="79" t="str">
        <f>IF(AND(OR(LEFT(TH!N5581,2)="15",LEFT(TH!O5581,2)="15"),LEFT(TH!O5581,3)&lt;&gt;"111",'152-CT'!$J$8=TH!F5581),"x","")</f>
        <v/>
      </c>
      <c r="AC5581" s="79" t="str">
        <f>IF(AND(OR(LEFT(TH!N5581,2)="15",LEFT(TH!O5581,2)="15"),TK!$E$7=TH!F5581),"x","")</f>
        <v/>
      </c>
      <c r="AD5581" s="79" t="str">
        <f>IF(AND(N5581="1521",MONTH(C5581)='BK-NL'!$M$11),"x","")</f>
        <v/>
      </c>
    </row>
    <row r="5582" spans="1:30" ht="16.5" customHeight="1">
      <c r="A5582" s="318" t="str">
        <f>IF(B5582&lt;&gt;"",IF(AND(B5582='IN-TC'!$S$4,OR(TH!N5582="1111",TH!O5582="1111")),TH!D5582,""),"")</f>
        <v/>
      </c>
      <c r="B5582" s="60" t="str">
        <f t="shared" si="508"/>
        <v/>
      </c>
      <c r="C5582" s="61"/>
      <c r="D5582" s="61"/>
      <c r="E5582" s="61"/>
      <c r="F5582" s="64"/>
      <c r="G5582" s="64"/>
      <c r="H5582" s="69"/>
      <c r="I5582" s="387"/>
      <c r="J5582" s="394"/>
      <c r="K5582" s="387"/>
      <c r="L5582" s="394"/>
      <c r="M5582" s="62"/>
      <c r="N5582" s="63"/>
      <c r="O5582" s="63"/>
      <c r="P5582" s="79" t="str">
        <f>IF(AND('331-CT'!$E$7=TH!H5582,OR(N5582="331",O5582="331")),"x","")</f>
        <v/>
      </c>
      <c r="Q5582" s="79" t="str">
        <f>IF(AND(B5582='111'!$L$11,OR($N5582=$Q$7,$O5582=$Q$7)),"x","")</f>
        <v/>
      </c>
      <c r="R5582" s="79" t="str">
        <f>IF(AND($N5582=$Q$7,$B5582&lt;'111'!$L$11),"x","")</f>
        <v/>
      </c>
      <c r="S5582" s="79" t="str">
        <f>IF(AND($O5582=$Q$7,$B5582&lt;'111'!$L$11),"x","")</f>
        <v/>
      </c>
      <c r="T5582" s="79" t="str">
        <f>IF(ISERROR(FIND('112'!$M$9,G5582,1)),"",IF((AND(FIND('112'!$M$9,G5582,1)&gt;=1,B5582='112'!$K$9,OR($N5582='112'!$I$6,$O5582='112'!$I$6))),"x",""))</f>
        <v/>
      </c>
      <c r="U5582" s="79" t="str">
        <f>IF(ISERROR(FIND('112'!$M$9,G5582,1)),"",IF((AND(LEFT(G5582,2)=LEFT('112'!$M$9,2),B5582&lt;'112'!$K$9,$N5582='112'!$I$6)),"x",""))</f>
        <v/>
      </c>
      <c r="V5582" s="79" t="str">
        <f>IF(ISERROR(FIND('112'!$M$9,G5582,1)),"",IF((AND(RIGHT(G5582,2)=RIGHT('112'!$M$9,2),B5582&lt;'112'!$K$9,$O5582='112'!$I$6)),"x",""))</f>
        <v/>
      </c>
      <c r="W5582" s="79" t="str">
        <f>IF(AND('341-CT'!$H$9=H5582,OR(LEFT(N5582,3)=$W$7,LEFT(O5582,3)=$W$7)),"x","")</f>
        <v/>
      </c>
      <c r="X5582" s="79" t="str">
        <f>IF(OR(TH!N5582=TH!$X$7,O5582=TH!$X$7),"x","")</f>
        <v/>
      </c>
      <c r="Y5582" s="79" t="str">
        <f>IF(AND(OR(N5582="131",O5582="131"),H5582='131-CT'!$H$9),"x","")</f>
        <v/>
      </c>
      <c r="Z5582" s="79"/>
      <c r="AA5582" s="79" t="str">
        <f>IF(AND(MONTH(E5582)='IN-NX'!$J$5,'IN-NX'!$D$7=D5582),"x","")</f>
        <v/>
      </c>
      <c r="AB5582" s="79" t="str">
        <f>IF(AND(OR(LEFT(TH!N5582,2)="15",LEFT(TH!O5582,2)="15"),LEFT(TH!O5582,3)&lt;&gt;"111",'152-CT'!$J$8=TH!F5582),"x","")</f>
        <v/>
      </c>
      <c r="AC5582" s="79" t="str">
        <f>IF(AND(OR(LEFT(TH!N5582,2)="15",LEFT(TH!O5582,2)="15"),TK!$E$7=TH!F5582),"x","")</f>
        <v/>
      </c>
      <c r="AD5582" s="79" t="str">
        <f>IF(AND(N5582="1521",MONTH(C5582)='BK-NL'!$M$11),"x","")</f>
        <v/>
      </c>
    </row>
    <row r="5583" spans="1:30" ht="16.5" customHeight="1">
      <c r="A5583" s="318" t="str">
        <f>IF(B5583&lt;&gt;"",IF(AND(B5583='IN-TC'!$S$4,OR(TH!N5583="1111",TH!O5583="1111")),TH!D5583,""),"")</f>
        <v/>
      </c>
      <c r="B5583" s="60" t="str">
        <f t="shared" si="508"/>
        <v/>
      </c>
      <c r="C5583" s="61"/>
      <c r="D5583" s="61"/>
      <c r="E5583" s="61"/>
      <c r="F5583" s="64"/>
      <c r="G5583" s="64"/>
      <c r="H5583" s="64"/>
      <c r="I5583" s="385"/>
      <c r="J5583" s="392"/>
      <c r="K5583" s="385"/>
      <c r="L5583" s="392"/>
      <c r="M5583" s="62"/>
      <c r="N5583" s="63"/>
      <c r="O5583" s="63"/>
      <c r="P5583" s="79" t="str">
        <f>IF(AND('331-CT'!$E$7=TH!H5583,OR(N5583="331",O5583="331")),"x","")</f>
        <v/>
      </c>
      <c r="Q5583" s="79" t="str">
        <f>IF(AND(B5583='111'!$L$11,OR($N5583=$Q$7,$O5583=$Q$7)),"x","")</f>
        <v/>
      </c>
      <c r="R5583" s="79" t="str">
        <f>IF(AND($N5583=$Q$7,$B5583&lt;'111'!$L$11),"x","")</f>
        <v/>
      </c>
      <c r="S5583" s="79" t="str">
        <f>IF(AND($O5583=$Q$7,$B5583&lt;'111'!$L$11),"x","")</f>
        <v/>
      </c>
      <c r="T5583" s="79" t="str">
        <f>IF(ISERROR(FIND('112'!$M$9,G5583,1)),"",IF((AND(FIND('112'!$M$9,G5583,1)&gt;=1,B5583='112'!$K$9,OR($N5583='112'!$I$6,$O5583='112'!$I$6))),"x",""))</f>
        <v/>
      </c>
      <c r="U5583" s="79" t="str">
        <f>IF(ISERROR(FIND('112'!$M$9,G5583,1)),"",IF((AND(LEFT(G5583,2)=LEFT('112'!$M$9,2),B5583&lt;'112'!$K$9,$N5583='112'!$I$6)),"x",""))</f>
        <v/>
      </c>
      <c r="V5583" s="79" t="str">
        <f>IF(ISERROR(FIND('112'!$M$9,G5583,1)),"",IF((AND(RIGHT(G5583,2)=RIGHT('112'!$M$9,2),B5583&lt;'112'!$K$9,$O5583='112'!$I$6)),"x",""))</f>
        <v/>
      </c>
      <c r="W5583" s="79" t="str">
        <f>IF(AND('341-CT'!$H$9=H5583,OR(LEFT(N5583,3)=$W$7,LEFT(O5583,3)=$W$7)),"x","")</f>
        <v/>
      </c>
      <c r="X5583" s="79" t="str">
        <f>IF(OR(TH!N5583=TH!$X$7,O5583=TH!$X$7),"x","")</f>
        <v/>
      </c>
      <c r="Y5583" s="79" t="str">
        <f>IF(AND(OR(N5583="131",O5583="131"),H5583='131-CT'!$H$9),"x","")</f>
        <v/>
      </c>
      <c r="Z5583" s="79"/>
      <c r="AA5583" s="79" t="str">
        <f>IF(AND(MONTH(E5583)='IN-NX'!$J$5,'IN-NX'!$D$7=D5583),"x","")</f>
        <v/>
      </c>
      <c r="AB5583" s="79" t="str">
        <f>IF(AND(OR(LEFT(TH!N5583,2)="15",LEFT(TH!O5583,2)="15"),LEFT(TH!O5583,3)&lt;&gt;"111",'152-CT'!$J$8=TH!F5583),"x","")</f>
        <v/>
      </c>
      <c r="AC5583" s="79" t="str">
        <f>IF(AND(OR(LEFT(TH!N5583,2)="15",LEFT(TH!O5583,2)="15"),TK!$E$7=TH!F5583),"x","")</f>
        <v/>
      </c>
      <c r="AD5583" s="79" t="str">
        <f>IF(AND(N5583="1521",MONTH(C5583)='BK-NL'!$M$11),"x","")</f>
        <v/>
      </c>
    </row>
    <row r="5584" spans="1:30" ht="16.5" customHeight="1">
      <c r="A5584" s="318" t="str">
        <f>IF(B5584&lt;&gt;"",IF(AND(B5584='IN-TC'!$S$4,OR(TH!N5584="1111",TH!O5584="1111")),TH!D5584,""),"")</f>
        <v/>
      </c>
      <c r="B5584" s="60" t="str">
        <f t="shared" si="508"/>
        <v/>
      </c>
      <c r="C5584" s="61"/>
      <c r="D5584" s="61"/>
      <c r="E5584" s="61"/>
      <c r="F5584" s="64"/>
      <c r="G5584" s="64"/>
      <c r="H5584" s="64"/>
      <c r="I5584" s="385"/>
      <c r="J5584" s="392"/>
      <c r="K5584" s="385"/>
      <c r="L5584" s="392"/>
      <c r="M5584" s="62"/>
      <c r="N5584" s="63"/>
      <c r="O5584" s="63"/>
      <c r="P5584" s="79" t="str">
        <f>IF(AND('331-CT'!$E$7=TH!H5584,OR(N5584="331",O5584="331")),"x","")</f>
        <v/>
      </c>
      <c r="Q5584" s="79" t="str">
        <f>IF(AND(B5584='111'!$L$11,OR($N5584=$Q$7,$O5584=$Q$7)),"x","")</f>
        <v/>
      </c>
      <c r="R5584" s="79" t="str">
        <f>IF(AND($N5584=$Q$7,$B5584&lt;'111'!$L$11),"x","")</f>
        <v/>
      </c>
      <c r="S5584" s="79" t="str">
        <f>IF(AND($O5584=$Q$7,$B5584&lt;'111'!$L$11),"x","")</f>
        <v/>
      </c>
      <c r="T5584" s="79" t="str">
        <f>IF(ISERROR(FIND('112'!$M$9,G5584,1)),"",IF((AND(FIND('112'!$M$9,G5584,1)&gt;=1,B5584='112'!$K$9,OR($N5584='112'!$I$6,$O5584='112'!$I$6))),"x",""))</f>
        <v/>
      </c>
      <c r="U5584" s="79" t="str">
        <f>IF(ISERROR(FIND('112'!$M$9,G5584,1)),"",IF((AND(LEFT(G5584,2)=LEFT('112'!$M$9,2),B5584&lt;'112'!$K$9,$N5584='112'!$I$6)),"x",""))</f>
        <v/>
      </c>
      <c r="V5584" s="79" t="str">
        <f>IF(ISERROR(FIND('112'!$M$9,G5584,1)),"",IF((AND(RIGHT(G5584,2)=RIGHT('112'!$M$9,2),B5584&lt;'112'!$K$9,$O5584='112'!$I$6)),"x",""))</f>
        <v/>
      </c>
      <c r="W5584" s="79" t="str">
        <f>IF(AND('341-CT'!$H$9=H5584,OR(LEFT(N5584,3)=$W$7,LEFT(O5584,3)=$W$7)),"x","")</f>
        <v/>
      </c>
      <c r="X5584" s="79" t="str">
        <f>IF(OR(TH!N5584=TH!$X$7,O5584=TH!$X$7),"x","")</f>
        <v/>
      </c>
      <c r="Y5584" s="79" t="str">
        <f>IF(AND(OR(N5584="131",O5584="131"),H5584='131-CT'!$H$9),"x","")</f>
        <v/>
      </c>
      <c r="Z5584" s="79"/>
      <c r="AA5584" s="79" t="str">
        <f>IF(AND(MONTH(E5584)='IN-NX'!$J$5,'IN-NX'!$D$7=D5584),"x","")</f>
        <v/>
      </c>
      <c r="AB5584" s="79" t="str">
        <f>IF(AND(OR(LEFT(TH!N5584,2)="15",LEFT(TH!O5584,2)="15"),LEFT(TH!O5584,3)&lt;&gt;"111",'152-CT'!$J$8=TH!F5584),"x","")</f>
        <v/>
      </c>
      <c r="AC5584" s="79" t="str">
        <f>IF(AND(OR(LEFT(TH!N5584,2)="15",LEFT(TH!O5584,2)="15"),TK!$E$7=TH!F5584),"x","")</f>
        <v/>
      </c>
      <c r="AD5584" s="79" t="str">
        <f>IF(AND(N5584="1521",MONTH(C5584)='BK-NL'!$M$11),"x","")</f>
        <v/>
      </c>
    </row>
    <row r="5585" spans="1:30" ht="16.5" customHeight="1">
      <c r="A5585" s="318" t="str">
        <f>IF(B5585&lt;&gt;"",IF(AND(B5585='IN-TC'!$S$4,OR(TH!N5585="1111",TH!O5585="1111")),TH!D5585,""),"")</f>
        <v/>
      </c>
      <c r="B5585" s="60" t="str">
        <f t="shared" si="508"/>
        <v/>
      </c>
      <c r="C5585" s="61"/>
      <c r="D5585" s="61"/>
      <c r="E5585" s="61"/>
      <c r="F5585" s="322"/>
      <c r="G5585" s="64"/>
      <c r="H5585" s="321"/>
      <c r="I5585" s="387"/>
      <c r="J5585" s="394"/>
      <c r="K5585" s="387"/>
      <c r="L5585" s="394"/>
      <c r="M5585" s="62"/>
      <c r="N5585" s="63"/>
      <c r="O5585" s="63"/>
      <c r="P5585" s="79" t="str">
        <f>IF(AND('331-CT'!$E$7=TH!H5585,OR(N5585="331",O5585="331")),"x","")</f>
        <v/>
      </c>
      <c r="Q5585" s="79" t="str">
        <f>IF(AND(B5585='111'!$L$11,OR($N5585=$Q$7,$O5585=$Q$7)),"x","")</f>
        <v/>
      </c>
      <c r="R5585" s="79" t="str">
        <f>IF(AND($N5585=$Q$7,$B5585&lt;'111'!$L$11),"x","")</f>
        <v/>
      </c>
      <c r="S5585" s="79" t="str">
        <f>IF(AND($O5585=$Q$7,$B5585&lt;'111'!$L$11),"x","")</f>
        <v/>
      </c>
      <c r="T5585" s="79" t="str">
        <f>IF(ISERROR(FIND('112'!$M$9,G5585,1)),"",IF((AND(FIND('112'!$M$9,G5585,1)&gt;=1,B5585='112'!$K$9,OR($N5585='112'!$I$6,$O5585='112'!$I$6))),"x",""))</f>
        <v/>
      </c>
      <c r="U5585" s="79" t="str">
        <f>IF(ISERROR(FIND('112'!$M$9,G5585,1)),"",IF((AND(LEFT(G5585,2)=LEFT('112'!$M$9,2),B5585&lt;'112'!$K$9,$N5585='112'!$I$6)),"x",""))</f>
        <v/>
      </c>
      <c r="V5585" s="79" t="str">
        <f>IF(ISERROR(FIND('112'!$M$9,G5585,1)),"",IF((AND(RIGHT(G5585,2)=RIGHT('112'!$M$9,2),B5585&lt;'112'!$K$9,$O5585='112'!$I$6)),"x",""))</f>
        <v/>
      </c>
      <c r="W5585" s="79" t="str">
        <f>IF(AND('341-CT'!$H$9=H5585,OR(LEFT(N5585,3)=$W$7,LEFT(O5585,3)=$W$7)),"x","")</f>
        <v/>
      </c>
      <c r="X5585" s="79" t="str">
        <f>IF(OR(TH!N5585=TH!$X$7,O5585=TH!$X$7),"x","")</f>
        <v/>
      </c>
      <c r="Y5585" s="79" t="str">
        <f>IF(AND(OR(N5585="131",O5585="131"),H5585='131-CT'!$H$9),"x","")</f>
        <v/>
      </c>
      <c r="Z5585" s="79"/>
      <c r="AA5585" s="79" t="str">
        <f>IF(AND(MONTH(E5585)='IN-NX'!$J$5,'IN-NX'!$D$7=D5585),"x","")</f>
        <v/>
      </c>
      <c r="AB5585" s="79" t="str">
        <f>IF(AND(OR(LEFT(TH!N5585,2)="15",LEFT(TH!O5585,2)="15"),LEFT(TH!O5585,3)&lt;&gt;"111",'152-CT'!$J$8=TH!F5585),"x","")</f>
        <v/>
      </c>
      <c r="AC5585" s="79" t="str">
        <f>IF(AND(OR(LEFT(TH!N5585,2)="15",LEFT(TH!O5585,2)="15"),TK!$E$7=TH!F5585),"x","")</f>
        <v/>
      </c>
      <c r="AD5585" s="79" t="str">
        <f>IF(AND(N5585="1521",MONTH(C5585)='BK-NL'!$M$11),"x","")</f>
        <v/>
      </c>
    </row>
    <row r="5586" spans="1:30" ht="16.5" customHeight="1">
      <c r="A5586" s="318" t="str">
        <f>IF(B5586&lt;&gt;"",IF(AND(B5586='IN-TC'!$S$4,OR(TH!N5586="1111",TH!O5586="1111")),TH!D5586,""),"")</f>
        <v/>
      </c>
      <c r="B5586" s="60" t="str">
        <f t="shared" si="508"/>
        <v/>
      </c>
      <c r="C5586" s="61"/>
      <c r="D5586" s="61"/>
      <c r="E5586" s="61"/>
      <c r="F5586" s="322"/>
      <c r="G5586" s="64"/>
      <c r="H5586" s="321"/>
      <c r="I5586" s="387"/>
      <c r="J5586" s="394"/>
      <c r="K5586" s="387"/>
      <c r="L5586" s="394"/>
      <c r="M5586" s="62"/>
      <c r="N5586" s="63"/>
      <c r="O5586" s="63"/>
      <c r="P5586" s="79" t="str">
        <f>IF(AND('331-CT'!$E$7=TH!H5586,OR(N5586="331",O5586="331")),"x","")</f>
        <v/>
      </c>
      <c r="Q5586" s="79" t="str">
        <f>IF(AND(B5586='111'!$L$11,OR($N5586=$Q$7,$O5586=$Q$7)),"x","")</f>
        <v/>
      </c>
      <c r="R5586" s="79" t="str">
        <f>IF(AND($N5586=$Q$7,$B5586&lt;'111'!$L$11),"x","")</f>
        <v/>
      </c>
      <c r="S5586" s="79" t="str">
        <f>IF(AND($O5586=$Q$7,$B5586&lt;'111'!$L$11),"x","")</f>
        <v/>
      </c>
      <c r="T5586" s="79" t="str">
        <f>IF(ISERROR(FIND('112'!$M$9,G5586,1)),"",IF((AND(FIND('112'!$M$9,G5586,1)&gt;=1,B5586='112'!$K$9,OR($N5586='112'!$I$6,$O5586='112'!$I$6))),"x",""))</f>
        <v/>
      </c>
      <c r="U5586" s="79" t="str">
        <f>IF(ISERROR(FIND('112'!$M$9,G5586,1)),"",IF((AND(LEFT(G5586,2)=LEFT('112'!$M$9,2),B5586&lt;'112'!$K$9,$N5586='112'!$I$6)),"x",""))</f>
        <v/>
      </c>
      <c r="V5586" s="79" t="str">
        <f>IF(ISERROR(FIND('112'!$M$9,G5586,1)),"",IF((AND(RIGHT(G5586,2)=RIGHT('112'!$M$9,2),B5586&lt;'112'!$K$9,$O5586='112'!$I$6)),"x",""))</f>
        <v/>
      </c>
      <c r="W5586" s="79" t="str">
        <f>IF(AND('341-CT'!$H$9=H5586,OR(LEFT(N5586,3)=$W$7,LEFT(O5586,3)=$W$7)),"x","")</f>
        <v/>
      </c>
      <c r="X5586" s="79" t="str">
        <f>IF(OR(TH!N5586=TH!$X$7,O5586=TH!$X$7),"x","")</f>
        <v/>
      </c>
      <c r="Y5586" s="79" t="str">
        <f>IF(AND(OR(N5586="131",O5586="131"),H5586='131-CT'!$H$9),"x","")</f>
        <v/>
      </c>
      <c r="Z5586" s="79"/>
      <c r="AA5586" s="79" t="str">
        <f>IF(AND(MONTH(E5586)='IN-NX'!$J$5,'IN-NX'!$D$7=D5586),"x","")</f>
        <v/>
      </c>
      <c r="AB5586" s="79" t="str">
        <f>IF(AND(OR(LEFT(TH!N5586,2)="15",LEFT(TH!O5586,2)="15"),LEFT(TH!O5586,3)&lt;&gt;"111",'152-CT'!$J$8=TH!F5586),"x","")</f>
        <v/>
      </c>
      <c r="AC5586" s="79" t="str">
        <f>IF(AND(OR(LEFT(TH!N5586,2)="15",LEFT(TH!O5586,2)="15"),TK!$E$7=TH!F5586),"x","")</f>
        <v/>
      </c>
      <c r="AD5586" s="79" t="str">
        <f>IF(AND(N5586="1521",MONTH(C5586)='BK-NL'!$M$11),"x","")</f>
        <v/>
      </c>
    </row>
    <row r="5587" spans="1:30" ht="16.5" customHeight="1">
      <c r="A5587" s="318" t="str">
        <f>IF(B5587&lt;&gt;"",IF(AND(B5587='IN-TC'!$S$4,OR(TH!N5587="1111",TH!O5587="1111")),TH!D5587,""),"")</f>
        <v/>
      </c>
      <c r="B5587" s="60" t="str">
        <f t="shared" si="508"/>
        <v/>
      </c>
      <c r="C5587" s="61"/>
      <c r="D5587" s="61"/>
      <c r="E5587" s="61"/>
      <c r="F5587" s="322"/>
      <c r="G5587" s="64"/>
      <c r="H5587" s="69"/>
      <c r="I5587" s="385"/>
      <c r="J5587" s="392"/>
      <c r="K5587" s="385"/>
      <c r="L5587" s="392"/>
      <c r="M5587" s="62"/>
      <c r="N5587" s="63"/>
      <c r="O5587" s="63"/>
      <c r="P5587" s="79" t="str">
        <f>IF(AND('331-CT'!$E$7=TH!H5587,OR(N5587="331",O5587="331")),"x","")</f>
        <v/>
      </c>
      <c r="Q5587" s="79" t="str">
        <f>IF(AND(B5587='111'!$L$11,OR($N5587=$Q$7,$O5587=$Q$7)),"x","")</f>
        <v/>
      </c>
      <c r="R5587" s="79" t="str">
        <f>IF(AND($N5587=$Q$7,$B5587&lt;'111'!$L$11),"x","")</f>
        <v/>
      </c>
      <c r="S5587" s="79" t="str">
        <f>IF(AND($O5587=$Q$7,$B5587&lt;'111'!$L$11),"x","")</f>
        <v/>
      </c>
      <c r="T5587" s="79" t="str">
        <f>IF(ISERROR(FIND('112'!$M$9,G5587,1)),"",IF((AND(FIND('112'!$M$9,G5587,1)&gt;=1,B5587='112'!$K$9,OR($N5587='112'!$I$6,$O5587='112'!$I$6))),"x",""))</f>
        <v/>
      </c>
      <c r="U5587" s="79" t="str">
        <f>IF(ISERROR(FIND('112'!$M$9,G5587,1)),"",IF((AND(LEFT(G5587,2)=LEFT('112'!$M$9,2),B5587&lt;'112'!$K$9,$N5587='112'!$I$6)),"x",""))</f>
        <v/>
      </c>
      <c r="V5587" s="79" t="str">
        <f>IF(ISERROR(FIND('112'!$M$9,G5587,1)),"",IF((AND(RIGHT(G5587,2)=RIGHT('112'!$M$9,2),B5587&lt;'112'!$K$9,$O5587='112'!$I$6)),"x",""))</f>
        <v/>
      </c>
      <c r="W5587" s="79" t="str">
        <f>IF(AND('341-CT'!$H$9=H5587,OR(LEFT(N5587,3)=$W$7,LEFT(O5587,3)=$W$7)),"x","")</f>
        <v/>
      </c>
      <c r="X5587" s="79" t="str">
        <f>IF(OR(TH!N5587=TH!$X$7,O5587=TH!$X$7),"x","")</f>
        <v/>
      </c>
      <c r="Y5587" s="79" t="str">
        <f>IF(AND(OR(N5587="131",O5587="131"),H5587='131-CT'!$H$9),"x","")</f>
        <v/>
      </c>
      <c r="Z5587" s="79"/>
      <c r="AA5587" s="79" t="str">
        <f>IF(AND(MONTH(E5587)='IN-NX'!$J$5,'IN-NX'!$D$7=D5587),"x","")</f>
        <v/>
      </c>
      <c r="AB5587" s="79" t="str">
        <f>IF(AND(OR(LEFT(TH!N5587,2)="15",LEFT(TH!O5587,2)="15"),LEFT(TH!O5587,3)&lt;&gt;"111",'152-CT'!$J$8=TH!F5587),"x","")</f>
        <v/>
      </c>
      <c r="AC5587" s="79" t="str">
        <f>IF(AND(OR(LEFT(TH!N5587,2)="15",LEFT(TH!O5587,2)="15"),TK!$E$7=TH!F5587),"x","")</f>
        <v/>
      </c>
      <c r="AD5587" s="79" t="str">
        <f>IF(AND(N5587="1521",MONTH(C5587)='BK-NL'!$M$11),"x","")</f>
        <v/>
      </c>
    </row>
    <row r="5588" spans="1:30" ht="16.5" customHeight="1">
      <c r="A5588" s="318" t="str">
        <f>IF(B5588&lt;&gt;"",IF(AND(B5588='IN-TC'!$S$4,OR(TH!N5588="1111",TH!O5588="1111")),TH!D5588,""),"")</f>
        <v/>
      </c>
      <c r="B5588" s="60" t="str">
        <f t="shared" si="508"/>
        <v/>
      </c>
      <c r="C5588" s="61"/>
      <c r="D5588" s="61"/>
      <c r="E5588" s="61"/>
      <c r="F5588" s="322"/>
      <c r="G5588" s="64"/>
      <c r="H5588" s="69"/>
      <c r="I5588" s="385"/>
      <c r="J5588" s="392"/>
      <c r="K5588" s="385"/>
      <c r="L5588" s="392"/>
      <c r="M5588" s="62"/>
      <c r="N5588" s="63"/>
      <c r="O5588" s="63"/>
      <c r="P5588" s="79" t="str">
        <f>IF(AND('331-CT'!$E$7=TH!H5588,OR(N5588="331",O5588="331")),"x","")</f>
        <v/>
      </c>
      <c r="Q5588" s="79" t="str">
        <f>IF(AND(B5588='111'!$L$11,OR($N5588=$Q$7,$O5588=$Q$7)),"x","")</f>
        <v/>
      </c>
      <c r="R5588" s="79" t="str">
        <f>IF(AND($N5588=$Q$7,$B5588&lt;'111'!$L$11),"x","")</f>
        <v/>
      </c>
      <c r="S5588" s="79" t="str">
        <f>IF(AND($O5588=$Q$7,$B5588&lt;'111'!$L$11),"x","")</f>
        <v/>
      </c>
      <c r="T5588" s="79" t="str">
        <f>IF(ISERROR(FIND('112'!$M$9,G5588,1)),"",IF((AND(FIND('112'!$M$9,G5588,1)&gt;=1,B5588='112'!$K$9,OR($N5588='112'!$I$6,$O5588='112'!$I$6))),"x",""))</f>
        <v/>
      </c>
      <c r="U5588" s="79" t="str">
        <f>IF(ISERROR(FIND('112'!$M$9,G5588,1)),"",IF((AND(LEFT(G5588,2)=LEFT('112'!$M$9,2),B5588&lt;'112'!$K$9,$N5588='112'!$I$6)),"x",""))</f>
        <v/>
      </c>
      <c r="V5588" s="79" t="str">
        <f>IF(ISERROR(FIND('112'!$M$9,G5588,1)),"",IF((AND(RIGHT(G5588,2)=RIGHT('112'!$M$9,2),B5588&lt;'112'!$K$9,$O5588='112'!$I$6)),"x",""))</f>
        <v/>
      </c>
      <c r="W5588" s="79" t="str">
        <f>IF(AND('341-CT'!$H$9=H5588,OR(LEFT(N5588,3)=$W$7,LEFT(O5588,3)=$W$7)),"x","")</f>
        <v/>
      </c>
      <c r="X5588" s="79" t="str">
        <f>IF(OR(TH!N5588=TH!$X$7,O5588=TH!$X$7),"x","")</f>
        <v/>
      </c>
      <c r="Y5588" s="79" t="str">
        <f>IF(AND(OR(N5588="131",O5588="131"),H5588='131-CT'!$H$9),"x","")</f>
        <v/>
      </c>
      <c r="Z5588" s="79"/>
      <c r="AA5588" s="79" t="str">
        <f>IF(AND(MONTH(E5588)='IN-NX'!$J$5,'IN-NX'!$D$7=D5588),"x","")</f>
        <v/>
      </c>
      <c r="AB5588" s="79" t="str">
        <f>IF(AND(OR(LEFT(TH!N5588,2)="15",LEFT(TH!O5588,2)="15"),LEFT(TH!O5588,3)&lt;&gt;"111",'152-CT'!$J$8=TH!F5588),"x","")</f>
        <v/>
      </c>
      <c r="AC5588" s="79" t="str">
        <f>IF(AND(OR(LEFT(TH!N5588,2)="15",LEFT(TH!O5588,2)="15"),TK!$E$7=TH!F5588),"x","")</f>
        <v/>
      </c>
      <c r="AD5588" s="79" t="str">
        <f>IF(AND(N5588="1521",MONTH(C5588)='BK-NL'!$M$11),"x","")</f>
        <v/>
      </c>
    </row>
    <row r="5589" spans="1:30" ht="16.5" customHeight="1">
      <c r="A5589" s="318" t="str">
        <f>IF(B5589&lt;&gt;"",IF(AND(B5589='IN-TC'!$S$4,OR(TH!N5589="1111",TH!O5589="1111")),TH!D5589,""),"")</f>
        <v/>
      </c>
      <c r="B5589" s="60" t="str">
        <f t="shared" si="508"/>
        <v/>
      </c>
      <c r="C5589" s="61"/>
      <c r="D5589" s="61"/>
      <c r="E5589" s="61"/>
      <c r="F5589" s="322"/>
      <c r="G5589" s="64"/>
      <c r="H5589" s="69"/>
      <c r="I5589" s="385"/>
      <c r="J5589" s="392"/>
      <c r="K5589" s="385"/>
      <c r="L5589" s="392"/>
      <c r="M5589" s="62"/>
      <c r="N5589" s="63"/>
      <c r="O5589" s="63"/>
      <c r="P5589" s="79" t="str">
        <f>IF(AND('331-CT'!$E$7=TH!H5589,OR(N5589="331",O5589="331")),"x","")</f>
        <v/>
      </c>
      <c r="Q5589" s="79" t="str">
        <f>IF(AND(B5589='111'!$L$11,OR($N5589=$Q$7,$O5589=$Q$7)),"x","")</f>
        <v/>
      </c>
      <c r="R5589" s="79" t="str">
        <f>IF(AND($N5589=$Q$7,$B5589&lt;'111'!$L$11),"x","")</f>
        <v/>
      </c>
      <c r="S5589" s="79" t="str">
        <f>IF(AND($O5589=$Q$7,$B5589&lt;'111'!$L$11),"x","")</f>
        <v/>
      </c>
      <c r="T5589" s="79" t="str">
        <f>IF(ISERROR(FIND('112'!$M$9,G5589,1)),"",IF((AND(FIND('112'!$M$9,G5589,1)&gt;=1,B5589='112'!$K$9,OR($N5589='112'!$I$6,$O5589='112'!$I$6))),"x",""))</f>
        <v/>
      </c>
      <c r="U5589" s="79" t="str">
        <f>IF(ISERROR(FIND('112'!$M$9,G5589,1)),"",IF((AND(LEFT(G5589,2)=LEFT('112'!$M$9,2),B5589&lt;'112'!$K$9,$N5589='112'!$I$6)),"x",""))</f>
        <v/>
      </c>
      <c r="V5589" s="79" t="str">
        <f>IF(ISERROR(FIND('112'!$M$9,G5589,1)),"",IF((AND(RIGHT(G5589,2)=RIGHT('112'!$M$9,2),B5589&lt;'112'!$K$9,$O5589='112'!$I$6)),"x",""))</f>
        <v/>
      </c>
      <c r="W5589" s="79" t="str">
        <f>IF(AND('341-CT'!$H$9=H5589,OR(LEFT(N5589,3)=$W$7,LEFT(O5589,3)=$W$7)),"x","")</f>
        <v/>
      </c>
      <c r="X5589" s="79" t="str">
        <f>IF(OR(TH!N5589=TH!$X$7,O5589=TH!$X$7),"x","")</f>
        <v/>
      </c>
      <c r="Y5589" s="79" t="str">
        <f>IF(AND(OR(N5589="131",O5589="131"),H5589='131-CT'!$H$9),"x","")</f>
        <v/>
      </c>
      <c r="Z5589" s="79"/>
      <c r="AA5589" s="79" t="str">
        <f>IF(AND(MONTH(E5589)='IN-NX'!$J$5,'IN-NX'!$D$7=D5589),"x","")</f>
        <v/>
      </c>
      <c r="AB5589" s="79" t="str">
        <f>IF(AND(OR(LEFT(TH!N5589,2)="15",LEFT(TH!O5589,2)="15"),LEFT(TH!O5589,3)&lt;&gt;"111",'152-CT'!$J$8=TH!F5589),"x","")</f>
        <v/>
      </c>
      <c r="AC5589" s="79" t="str">
        <f>IF(AND(OR(LEFT(TH!N5589,2)="15",LEFT(TH!O5589,2)="15"),TK!$E$7=TH!F5589),"x","")</f>
        <v/>
      </c>
      <c r="AD5589" s="79" t="str">
        <f>IF(AND(N5589="1521",MONTH(C5589)='BK-NL'!$M$11),"x","")</f>
        <v/>
      </c>
    </row>
    <row r="5590" spans="1:30" ht="16.5" customHeight="1">
      <c r="A5590" s="318" t="str">
        <f>IF(B5590&lt;&gt;"",IF(AND(B5590='IN-TC'!$S$4,OR(TH!N5590="1111",TH!O5590="1111")),TH!D5590,""),"")</f>
        <v/>
      </c>
      <c r="B5590" s="60" t="str">
        <f t="shared" si="508"/>
        <v/>
      </c>
      <c r="C5590" s="61"/>
      <c r="D5590" s="61"/>
      <c r="E5590" s="61"/>
      <c r="F5590" s="322"/>
      <c r="G5590" s="64"/>
      <c r="H5590" s="321"/>
      <c r="I5590" s="387"/>
      <c r="J5590" s="394"/>
      <c r="K5590" s="387"/>
      <c r="L5590" s="394"/>
      <c r="M5590" s="62"/>
      <c r="N5590" s="63"/>
      <c r="O5590" s="63"/>
      <c r="P5590" s="79" t="str">
        <f>IF(AND('331-CT'!$E$7=TH!H5590,OR(N5590="331",O5590="331")),"x","")</f>
        <v/>
      </c>
      <c r="Q5590" s="79" t="str">
        <f>IF(AND(B5590='111'!$L$11,OR($N5590=$Q$7,$O5590=$Q$7)),"x","")</f>
        <v/>
      </c>
      <c r="R5590" s="79" t="str">
        <f>IF(AND($N5590=$Q$7,$B5590&lt;'111'!$L$11),"x","")</f>
        <v/>
      </c>
      <c r="S5590" s="79" t="str">
        <f>IF(AND($O5590=$Q$7,$B5590&lt;'111'!$L$11),"x","")</f>
        <v/>
      </c>
      <c r="T5590" s="79" t="str">
        <f>IF(ISERROR(FIND('112'!$M$9,G5590,1)),"",IF((AND(FIND('112'!$M$9,G5590,1)&gt;=1,B5590='112'!$K$9,OR($N5590='112'!$I$6,$O5590='112'!$I$6))),"x",""))</f>
        <v/>
      </c>
      <c r="U5590" s="79" t="str">
        <f>IF(ISERROR(FIND('112'!$M$9,G5590,1)),"",IF((AND(LEFT(G5590,2)=LEFT('112'!$M$9,2),B5590&lt;'112'!$K$9,$N5590='112'!$I$6)),"x",""))</f>
        <v/>
      </c>
      <c r="V5590" s="79" t="str">
        <f>IF(ISERROR(FIND('112'!$M$9,G5590,1)),"",IF((AND(RIGHT(G5590,2)=RIGHT('112'!$M$9,2),B5590&lt;'112'!$K$9,$O5590='112'!$I$6)),"x",""))</f>
        <v/>
      </c>
      <c r="W5590" s="79" t="str">
        <f>IF(AND('341-CT'!$H$9=H5590,OR(LEFT(N5590,3)=$W$7,LEFT(O5590,3)=$W$7)),"x","")</f>
        <v/>
      </c>
      <c r="X5590" s="79" t="str">
        <f>IF(OR(TH!N5590=TH!$X$7,O5590=TH!$X$7),"x","")</f>
        <v/>
      </c>
      <c r="Y5590" s="79" t="str">
        <f>IF(AND(OR(N5590="131",O5590="131"),H5590='131-CT'!$H$9),"x","")</f>
        <v/>
      </c>
      <c r="Z5590" s="79"/>
      <c r="AA5590" s="79" t="str">
        <f>IF(AND(MONTH(E5590)='IN-NX'!$J$5,'IN-NX'!$D$7=D5590),"x","")</f>
        <v/>
      </c>
      <c r="AB5590" s="79" t="str">
        <f>IF(AND(OR(LEFT(TH!N5590,2)="15",LEFT(TH!O5590,2)="15"),LEFT(TH!O5590,3)&lt;&gt;"111",'152-CT'!$J$8=TH!F5590),"x","")</f>
        <v/>
      </c>
      <c r="AC5590" s="79" t="str">
        <f>IF(AND(OR(LEFT(TH!N5590,2)="15",LEFT(TH!O5590,2)="15"),TK!$E$7=TH!F5590),"x","")</f>
        <v/>
      </c>
      <c r="AD5590" s="79" t="str">
        <f>IF(AND(N5590="1521",MONTH(C5590)='BK-NL'!$M$11),"x","")</f>
        <v/>
      </c>
    </row>
    <row r="5591" spans="1:30" ht="16.5" customHeight="1">
      <c r="A5591" s="318" t="str">
        <f>IF(B5591&lt;&gt;"",IF(AND(B5591='IN-TC'!$S$4,OR(TH!N5591="1111",TH!O5591="1111")),TH!D5591,""),"")</f>
        <v/>
      </c>
      <c r="B5591" s="60" t="str">
        <f t="shared" si="508"/>
        <v/>
      </c>
      <c r="C5591" s="61"/>
      <c r="D5591" s="61"/>
      <c r="E5591" s="61"/>
      <c r="F5591" s="322"/>
      <c r="G5591" s="64"/>
      <c r="H5591" s="69"/>
      <c r="I5591" s="385"/>
      <c r="J5591" s="392"/>
      <c r="K5591" s="385"/>
      <c r="L5591" s="392"/>
      <c r="M5591" s="62"/>
      <c r="N5591" s="63"/>
      <c r="O5591" s="63"/>
      <c r="P5591" s="79" t="str">
        <f>IF(AND('331-CT'!$E$7=TH!H5591,OR(N5591="331",O5591="331")),"x","")</f>
        <v/>
      </c>
      <c r="Q5591" s="79" t="str">
        <f>IF(AND(B5591='111'!$L$11,OR($N5591=$Q$7,$O5591=$Q$7)),"x","")</f>
        <v/>
      </c>
      <c r="R5591" s="79" t="str">
        <f>IF(AND($N5591=$Q$7,$B5591&lt;'111'!$L$11),"x","")</f>
        <v/>
      </c>
      <c r="S5591" s="79" t="str">
        <f>IF(AND($O5591=$Q$7,$B5591&lt;'111'!$L$11),"x","")</f>
        <v/>
      </c>
      <c r="T5591" s="79" t="str">
        <f>IF(ISERROR(FIND('112'!$M$9,G5591,1)),"",IF((AND(FIND('112'!$M$9,G5591,1)&gt;=1,B5591='112'!$K$9,OR($N5591='112'!$I$6,$O5591='112'!$I$6))),"x",""))</f>
        <v/>
      </c>
      <c r="U5591" s="79" t="str">
        <f>IF(ISERROR(FIND('112'!$M$9,G5591,1)),"",IF((AND(LEFT(G5591,2)=LEFT('112'!$M$9,2),B5591&lt;'112'!$K$9,$N5591='112'!$I$6)),"x",""))</f>
        <v/>
      </c>
      <c r="V5591" s="79" t="str">
        <f>IF(ISERROR(FIND('112'!$M$9,G5591,1)),"",IF((AND(RIGHT(G5591,2)=RIGHT('112'!$M$9,2),B5591&lt;'112'!$K$9,$O5591='112'!$I$6)),"x",""))</f>
        <v/>
      </c>
      <c r="W5591" s="79" t="str">
        <f>IF(AND('341-CT'!$H$9=H5591,OR(LEFT(N5591,3)=$W$7,LEFT(O5591,3)=$W$7)),"x","")</f>
        <v/>
      </c>
      <c r="X5591" s="79" t="str">
        <f>IF(OR(TH!N5591=TH!$X$7,O5591=TH!$X$7),"x","")</f>
        <v/>
      </c>
      <c r="Y5591" s="79" t="str">
        <f>IF(AND(OR(N5591="131",O5591="131"),H5591='131-CT'!$H$9),"x","")</f>
        <v/>
      </c>
      <c r="Z5591" s="79"/>
      <c r="AA5591" s="79" t="str">
        <f>IF(AND(MONTH(E5591)='IN-NX'!$J$5,'IN-NX'!$D$7=D5591),"x","")</f>
        <v/>
      </c>
      <c r="AB5591" s="79" t="str">
        <f>IF(AND(OR(LEFT(TH!N5591,2)="15",LEFT(TH!O5591,2)="15"),LEFT(TH!O5591,3)&lt;&gt;"111",'152-CT'!$J$8=TH!F5591),"x","")</f>
        <v/>
      </c>
      <c r="AC5591" s="79" t="str">
        <f>IF(AND(OR(LEFT(TH!N5591,2)="15",LEFT(TH!O5591,2)="15"),TK!$E$7=TH!F5591),"x","")</f>
        <v/>
      </c>
      <c r="AD5591" s="79" t="str">
        <f>IF(AND(N5591="1521",MONTH(C5591)='BK-NL'!$M$11),"x","")</f>
        <v/>
      </c>
    </row>
    <row r="5592" spans="1:30" ht="16.5" customHeight="1">
      <c r="A5592" s="318" t="str">
        <f>IF(B5592&lt;&gt;"",IF(AND(B5592='IN-TC'!$S$4,OR(TH!N5592="1111",TH!O5592="1111")),TH!D5592,""),"")</f>
        <v/>
      </c>
      <c r="B5592" s="60" t="str">
        <f t="shared" si="508"/>
        <v/>
      </c>
      <c r="C5592" s="61"/>
      <c r="D5592" s="61"/>
      <c r="E5592" s="61"/>
      <c r="F5592" s="322"/>
      <c r="G5592" s="64"/>
      <c r="H5592" s="69"/>
      <c r="I5592" s="385"/>
      <c r="J5592" s="392"/>
      <c r="K5592" s="385"/>
      <c r="L5592" s="392"/>
      <c r="M5592" s="62"/>
      <c r="N5592" s="63"/>
      <c r="O5592" s="63"/>
      <c r="P5592" s="79" t="str">
        <f>IF(AND('331-CT'!$E$7=TH!H5592,OR(N5592="331",O5592="331")),"x","")</f>
        <v/>
      </c>
      <c r="Q5592" s="79" t="str">
        <f>IF(AND(B5592='111'!$L$11,OR($N5592=$Q$7,$O5592=$Q$7)),"x","")</f>
        <v/>
      </c>
      <c r="R5592" s="79" t="str">
        <f>IF(AND($N5592=$Q$7,$B5592&lt;'111'!$L$11),"x","")</f>
        <v/>
      </c>
      <c r="S5592" s="79" t="str">
        <f>IF(AND($O5592=$Q$7,$B5592&lt;'111'!$L$11),"x","")</f>
        <v/>
      </c>
      <c r="T5592" s="79" t="str">
        <f>IF(ISERROR(FIND('112'!$M$9,G5592,1)),"",IF((AND(FIND('112'!$M$9,G5592,1)&gt;=1,B5592='112'!$K$9,OR($N5592='112'!$I$6,$O5592='112'!$I$6))),"x",""))</f>
        <v/>
      </c>
      <c r="U5592" s="79" t="str">
        <f>IF(ISERROR(FIND('112'!$M$9,G5592,1)),"",IF((AND(LEFT(G5592,2)=LEFT('112'!$M$9,2),B5592&lt;'112'!$K$9,$N5592='112'!$I$6)),"x",""))</f>
        <v/>
      </c>
      <c r="V5592" s="79" t="str">
        <f>IF(ISERROR(FIND('112'!$M$9,G5592,1)),"",IF((AND(RIGHT(G5592,2)=RIGHT('112'!$M$9,2),B5592&lt;'112'!$K$9,$O5592='112'!$I$6)),"x",""))</f>
        <v/>
      </c>
      <c r="W5592" s="79" t="str">
        <f>IF(AND('341-CT'!$H$9=H5592,OR(LEFT(N5592,3)=$W$7,LEFT(O5592,3)=$W$7)),"x","")</f>
        <v/>
      </c>
      <c r="X5592" s="79" t="str">
        <f>IF(OR(TH!N5592=TH!$X$7,O5592=TH!$X$7),"x","")</f>
        <v/>
      </c>
      <c r="Y5592" s="79" t="str">
        <f>IF(AND(OR(N5592="131",O5592="131"),H5592='131-CT'!$H$9),"x","")</f>
        <v/>
      </c>
      <c r="Z5592" s="79"/>
      <c r="AA5592" s="79" t="str">
        <f>IF(AND(MONTH(E5592)='IN-NX'!$J$5,'IN-NX'!$D$7=D5592),"x","")</f>
        <v/>
      </c>
      <c r="AB5592" s="79" t="str">
        <f>IF(AND(OR(LEFT(TH!N5592,2)="15",LEFT(TH!O5592,2)="15"),LEFT(TH!O5592,3)&lt;&gt;"111",'152-CT'!$J$8=TH!F5592),"x","")</f>
        <v/>
      </c>
      <c r="AC5592" s="79" t="str">
        <f>IF(AND(OR(LEFT(TH!N5592,2)="15",LEFT(TH!O5592,2)="15"),TK!$E$7=TH!F5592),"x","")</f>
        <v/>
      </c>
      <c r="AD5592" s="79" t="str">
        <f>IF(AND(N5592="1521",MONTH(C5592)='BK-NL'!$M$11),"x","")</f>
        <v/>
      </c>
    </row>
    <row r="5593" spans="1:30" ht="16.5" customHeight="1">
      <c r="A5593" s="318" t="str">
        <f>IF(B5593&lt;&gt;"",IF(AND(B5593='IN-TC'!$S$4,OR(TH!N5593="1111",TH!O5593="1111")),TH!D5593,""),"")</f>
        <v/>
      </c>
      <c r="B5593" s="60" t="str">
        <f t="shared" si="508"/>
        <v/>
      </c>
      <c r="C5593" s="61"/>
      <c r="D5593" s="61"/>
      <c r="E5593" s="61"/>
      <c r="F5593" s="322"/>
      <c r="G5593" s="64"/>
      <c r="H5593" s="321"/>
      <c r="I5593" s="387"/>
      <c r="J5593" s="394"/>
      <c r="K5593" s="387"/>
      <c r="L5593" s="394"/>
      <c r="M5593" s="62"/>
      <c r="N5593" s="63"/>
      <c r="O5593" s="63"/>
      <c r="P5593" s="79" t="str">
        <f>IF(AND('331-CT'!$E$7=TH!H5593,OR(N5593="331",O5593="331")),"x","")</f>
        <v/>
      </c>
      <c r="Q5593" s="79" t="str">
        <f>IF(AND(B5593='111'!$L$11,OR($N5593=$Q$7,$O5593=$Q$7)),"x","")</f>
        <v/>
      </c>
      <c r="R5593" s="79" t="str">
        <f>IF(AND($N5593=$Q$7,$B5593&lt;'111'!$L$11),"x","")</f>
        <v/>
      </c>
      <c r="S5593" s="79" t="str">
        <f>IF(AND($O5593=$Q$7,$B5593&lt;'111'!$L$11),"x","")</f>
        <v/>
      </c>
      <c r="T5593" s="79" t="str">
        <f>IF(ISERROR(FIND('112'!$M$9,G5593,1)),"",IF((AND(FIND('112'!$M$9,G5593,1)&gt;=1,B5593='112'!$K$9,OR($N5593='112'!$I$6,$O5593='112'!$I$6))),"x",""))</f>
        <v/>
      </c>
      <c r="U5593" s="79" t="str">
        <f>IF(ISERROR(FIND('112'!$M$9,G5593,1)),"",IF((AND(LEFT(G5593,2)=LEFT('112'!$M$9,2),B5593&lt;'112'!$K$9,$N5593='112'!$I$6)),"x",""))</f>
        <v/>
      </c>
      <c r="V5593" s="79" t="str">
        <f>IF(ISERROR(FIND('112'!$M$9,G5593,1)),"",IF((AND(RIGHT(G5593,2)=RIGHT('112'!$M$9,2),B5593&lt;'112'!$K$9,$O5593='112'!$I$6)),"x",""))</f>
        <v/>
      </c>
      <c r="W5593" s="79" t="str">
        <f>IF(AND('341-CT'!$H$9=H5593,OR(LEFT(N5593,3)=$W$7,LEFT(O5593,3)=$W$7)),"x","")</f>
        <v/>
      </c>
      <c r="X5593" s="79" t="str">
        <f>IF(OR(TH!N5593=TH!$X$7,O5593=TH!$X$7),"x","")</f>
        <v/>
      </c>
      <c r="Y5593" s="79" t="str">
        <f>IF(AND(OR(N5593="131",O5593="131"),H5593='131-CT'!$H$9),"x","")</f>
        <v/>
      </c>
      <c r="Z5593" s="79"/>
      <c r="AA5593" s="79" t="str">
        <f>IF(AND(MONTH(E5593)='IN-NX'!$J$5,'IN-NX'!$D$7=D5593),"x","")</f>
        <v/>
      </c>
      <c r="AB5593" s="79" t="str">
        <f>IF(AND(OR(LEFT(TH!N5593,2)="15",LEFT(TH!O5593,2)="15"),LEFT(TH!O5593,3)&lt;&gt;"111",'152-CT'!$J$8=TH!F5593),"x","")</f>
        <v/>
      </c>
      <c r="AC5593" s="79" t="str">
        <f>IF(AND(OR(LEFT(TH!N5593,2)="15",LEFT(TH!O5593,2)="15"),TK!$E$7=TH!F5593),"x","")</f>
        <v/>
      </c>
      <c r="AD5593" s="79" t="str">
        <f>IF(AND(N5593="1521",MONTH(C5593)='BK-NL'!$M$11),"x","")</f>
        <v/>
      </c>
    </row>
    <row r="5594" spans="1:30" ht="16.5" customHeight="1">
      <c r="A5594" s="318" t="str">
        <f>IF(B5594&lt;&gt;"",IF(AND(B5594='IN-TC'!$S$4,OR(TH!N5594="1111",TH!O5594="1111")),TH!D5594,""),"")</f>
        <v/>
      </c>
      <c r="B5594" s="60" t="str">
        <f t="shared" si="508"/>
        <v/>
      </c>
      <c r="C5594" s="61"/>
      <c r="D5594" s="61"/>
      <c r="E5594" s="61"/>
      <c r="F5594" s="322"/>
      <c r="G5594" s="64"/>
      <c r="H5594" s="69"/>
      <c r="I5594" s="385"/>
      <c r="J5594" s="392"/>
      <c r="K5594" s="385"/>
      <c r="L5594" s="392"/>
      <c r="M5594" s="62"/>
      <c r="N5594" s="63"/>
      <c r="O5594" s="63"/>
      <c r="P5594" s="79" t="str">
        <f>IF(AND('331-CT'!$E$7=TH!H5594,OR(N5594="331",O5594="331")),"x","")</f>
        <v/>
      </c>
      <c r="Q5594" s="79" t="str">
        <f>IF(AND(B5594='111'!$L$11,OR($N5594=$Q$7,$O5594=$Q$7)),"x","")</f>
        <v/>
      </c>
      <c r="R5594" s="79" t="str">
        <f>IF(AND($N5594=$Q$7,$B5594&lt;'111'!$L$11),"x","")</f>
        <v/>
      </c>
      <c r="S5594" s="79" t="str">
        <f>IF(AND($O5594=$Q$7,$B5594&lt;'111'!$L$11),"x","")</f>
        <v/>
      </c>
      <c r="T5594" s="79" t="str">
        <f>IF(ISERROR(FIND('112'!$M$9,G5594,1)),"",IF((AND(FIND('112'!$M$9,G5594,1)&gt;=1,B5594='112'!$K$9,OR($N5594='112'!$I$6,$O5594='112'!$I$6))),"x",""))</f>
        <v/>
      </c>
      <c r="U5594" s="79" t="str">
        <f>IF(ISERROR(FIND('112'!$M$9,G5594,1)),"",IF((AND(LEFT(G5594,2)=LEFT('112'!$M$9,2),B5594&lt;'112'!$K$9,$N5594='112'!$I$6)),"x",""))</f>
        <v/>
      </c>
      <c r="V5594" s="79" t="str">
        <f>IF(ISERROR(FIND('112'!$M$9,G5594,1)),"",IF((AND(RIGHT(G5594,2)=RIGHT('112'!$M$9,2),B5594&lt;'112'!$K$9,$O5594='112'!$I$6)),"x",""))</f>
        <v/>
      </c>
      <c r="W5594" s="79" t="str">
        <f>IF(AND('341-CT'!$H$9=H5594,OR(LEFT(N5594,3)=$W$7,LEFT(O5594,3)=$W$7)),"x","")</f>
        <v/>
      </c>
      <c r="X5594" s="79" t="str">
        <f>IF(OR(TH!N5594=TH!$X$7,O5594=TH!$X$7),"x","")</f>
        <v/>
      </c>
      <c r="Y5594" s="79" t="str">
        <f>IF(AND(OR(N5594="131",O5594="131"),H5594='131-CT'!$H$9),"x","")</f>
        <v/>
      </c>
      <c r="Z5594" s="79"/>
      <c r="AA5594" s="79" t="str">
        <f>IF(AND(MONTH(E5594)='IN-NX'!$J$5,'IN-NX'!$D$7=D5594),"x","")</f>
        <v/>
      </c>
      <c r="AB5594" s="79" t="str">
        <f>IF(AND(OR(LEFT(TH!N5594,2)="15",LEFT(TH!O5594,2)="15"),LEFT(TH!O5594,3)&lt;&gt;"111",'152-CT'!$J$8=TH!F5594),"x","")</f>
        <v/>
      </c>
      <c r="AC5594" s="79" t="str">
        <f>IF(AND(OR(LEFT(TH!N5594,2)="15",LEFT(TH!O5594,2)="15"),TK!$E$7=TH!F5594),"x","")</f>
        <v/>
      </c>
      <c r="AD5594" s="79" t="str">
        <f>IF(AND(N5594="1521",MONTH(C5594)='BK-NL'!$M$11),"x","")</f>
        <v/>
      </c>
    </row>
    <row r="5595" spans="1:30" ht="16.5" customHeight="1">
      <c r="A5595" s="318" t="str">
        <f>IF(B5595&lt;&gt;"",IF(AND(B5595='IN-TC'!$S$4,OR(TH!N5595="1111",TH!O5595="1111")),TH!D5595,""),"")</f>
        <v/>
      </c>
      <c r="B5595" s="60" t="str">
        <f t="shared" si="508"/>
        <v/>
      </c>
      <c r="C5595" s="61"/>
      <c r="D5595" s="61"/>
      <c r="E5595" s="61"/>
      <c r="F5595" s="322"/>
      <c r="G5595" s="64"/>
      <c r="H5595" s="69"/>
      <c r="I5595" s="385"/>
      <c r="J5595" s="392"/>
      <c r="K5595" s="385"/>
      <c r="L5595" s="392"/>
      <c r="M5595" s="62"/>
      <c r="N5595" s="63"/>
      <c r="O5595" s="63"/>
      <c r="P5595" s="79" t="str">
        <f>IF(AND('331-CT'!$E$7=TH!H5595,OR(N5595="331",O5595="331")),"x","")</f>
        <v/>
      </c>
      <c r="Q5595" s="79" t="str">
        <f>IF(AND(B5595='111'!$L$11,OR($N5595=$Q$7,$O5595=$Q$7)),"x","")</f>
        <v/>
      </c>
      <c r="R5595" s="79" t="str">
        <f>IF(AND($N5595=$Q$7,$B5595&lt;'111'!$L$11),"x","")</f>
        <v/>
      </c>
      <c r="S5595" s="79" t="str">
        <f>IF(AND($O5595=$Q$7,$B5595&lt;'111'!$L$11),"x","")</f>
        <v/>
      </c>
      <c r="T5595" s="79" t="str">
        <f>IF(ISERROR(FIND('112'!$M$9,G5595,1)),"",IF((AND(FIND('112'!$M$9,G5595,1)&gt;=1,B5595='112'!$K$9,OR($N5595='112'!$I$6,$O5595='112'!$I$6))),"x",""))</f>
        <v/>
      </c>
      <c r="U5595" s="79" t="str">
        <f>IF(ISERROR(FIND('112'!$M$9,G5595,1)),"",IF((AND(LEFT(G5595,2)=LEFT('112'!$M$9,2),B5595&lt;'112'!$K$9,$N5595='112'!$I$6)),"x",""))</f>
        <v/>
      </c>
      <c r="V5595" s="79" t="str">
        <f>IF(ISERROR(FIND('112'!$M$9,G5595,1)),"",IF((AND(RIGHT(G5595,2)=RIGHT('112'!$M$9,2),B5595&lt;'112'!$K$9,$O5595='112'!$I$6)),"x",""))</f>
        <v/>
      </c>
      <c r="W5595" s="79" t="str">
        <f>IF(AND('341-CT'!$H$9=H5595,OR(LEFT(N5595,3)=$W$7,LEFT(O5595,3)=$W$7)),"x","")</f>
        <v/>
      </c>
      <c r="X5595" s="79" t="str">
        <f>IF(OR(TH!N5595=TH!$X$7,O5595=TH!$X$7),"x","")</f>
        <v/>
      </c>
      <c r="Y5595" s="79" t="str">
        <f>IF(AND(OR(N5595="131",O5595="131"),H5595='131-CT'!$H$9),"x","")</f>
        <v/>
      </c>
      <c r="Z5595" s="79"/>
      <c r="AA5595" s="79" t="str">
        <f>IF(AND(MONTH(E5595)='IN-NX'!$J$5,'IN-NX'!$D$7=D5595),"x","")</f>
        <v/>
      </c>
      <c r="AB5595" s="79" t="str">
        <f>IF(AND(OR(LEFT(TH!N5595,2)="15",LEFT(TH!O5595,2)="15"),LEFT(TH!O5595,3)&lt;&gt;"111",'152-CT'!$J$8=TH!F5595),"x","")</f>
        <v/>
      </c>
      <c r="AC5595" s="79" t="str">
        <f>IF(AND(OR(LEFT(TH!N5595,2)="15",LEFT(TH!O5595,2)="15"),TK!$E$7=TH!F5595),"x","")</f>
        <v/>
      </c>
      <c r="AD5595" s="79" t="str">
        <f>IF(AND(N5595="1521",MONTH(C5595)='BK-NL'!$M$11),"x","")</f>
        <v/>
      </c>
    </row>
    <row r="5596" spans="1:30" ht="16.5" customHeight="1">
      <c r="A5596" s="318" t="str">
        <f>IF(B5596&lt;&gt;"",IF(AND(B5596='IN-TC'!$S$4,OR(TH!N5596="1111",TH!O5596="1111")),TH!D5596,""),"")</f>
        <v/>
      </c>
      <c r="B5596" s="60" t="str">
        <f t="shared" si="508"/>
        <v/>
      </c>
      <c r="C5596" s="61"/>
      <c r="D5596" s="61"/>
      <c r="E5596" s="61"/>
      <c r="F5596" s="322"/>
      <c r="G5596" s="64"/>
      <c r="H5596" s="64"/>
      <c r="I5596" s="387"/>
      <c r="J5596" s="394"/>
      <c r="K5596" s="387"/>
      <c r="L5596" s="394"/>
      <c r="M5596" s="62"/>
      <c r="N5596" s="63"/>
      <c r="O5596" s="63"/>
      <c r="P5596" s="79" t="str">
        <f>IF(AND('331-CT'!$E$7=TH!H5596,OR(N5596="331",O5596="331")),"x","")</f>
        <v/>
      </c>
      <c r="Q5596" s="79" t="str">
        <f>IF(AND(B5596='111'!$L$11,OR($N5596=$Q$7,$O5596=$Q$7)),"x","")</f>
        <v/>
      </c>
      <c r="R5596" s="79" t="str">
        <f>IF(AND($N5596=$Q$7,$B5596&lt;'111'!$L$11),"x","")</f>
        <v/>
      </c>
      <c r="S5596" s="79" t="str">
        <f>IF(AND($O5596=$Q$7,$B5596&lt;'111'!$L$11),"x","")</f>
        <v/>
      </c>
      <c r="T5596" s="79" t="str">
        <f>IF(ISERROR(FIND('112'!$M$9,G5596,1)),"",IF((AND(FIND('112'!$M$9,G5596,1)&gt;=1,B5596='112'!$K$9,OR($N5596='112'!$I$6,$O5596='112'!$I$6))),"x",""))</f>
        <v/>
      </c>
      <c r="U5596" s="79" t="str">
        <f>IF(ISERROR(FIND('112'!$M$9,G5596,1)),"",IF((AND(LEFT(G5596,2)=LEFT('112'!$M$9,2),B5596&lt;'112'!$K$9,$N5596='112'!$I$6)),"x",""))</f>
        <v/>
      </c>
      <c r="V5596" s="79" t="str">
        <f>IF(ISERROR(FIND('112'!$M$9,G5596,1)),"",IF((AND(RIGHT(G5596,2)=RIGHT('112'!$M$9,2),B5596&lt;'112'!$K$9,$O5596='112'!$I$6)),"x",""))</f>
        <v/>
      </c>
      <c r="W5596" s="79" t="str">
        <f>IF(AND('341-CT'!$H$9=H5596,OR(LEFT(N5596,3)=$W$7,LEFT(O5596,3)=$W$7)),"x","")</f>
        <v/>
      </c>
      <c r="X5596" s="79" t="str">
        <f>IF(OR(TH!N5596=TH!$X$7,O5596=TH!$X$7),"x","")</f>
        <v/>
      </c>
      <c r="Y5596" s="79" t="str">
        <f>IF(AND(OR(N5596="131",O5596="131"),H5596='131-CT'!$H$9),"x","")</f>
        <v/>
      </c>
      <c r="Z5596" s="79"/>
      <c r="AA5596" s="79" t="str">
        <f>IF(AND(MONTH(E5596)='IN-NX'!$J$5,'IN-NX'!$D$7=D5596),"x","")</f>
        <v/>
      </c>
      <c r="AB5596" s="79" t="str">
        <f>IF(AND(OR(LEFT(TH!N5596,2)="15",LEFT(TH!O5596,2)="15"),LEFT(TH!O5596,3)&lt;&gt;"111",'152-CT'!$J$8=TH!F5596),"x","")</f>
        <v/>
      </c>
      <c r="AC5596" s="79" t="str">
        <f>IF(AND(OR(LEFT(TH!N5596,2)="15",LEFT(TH!O5596,2)="15"),TK!$E$7=TH!F5596),"x","")</f>
        <v/>
      </c>
      <c r="AD5596" s="79" t="str">
        <f>IF(AND(N5596="1521",MONTH(C5596)='BK-NL'!$M$11),"x","")</f>
        <v/>
      </c>
    </row>
    <row r="5597" spans="1:30" ht="16.5" customHeight="1">
      <c r="A5597" s="318" t="str">
        <f>IF(B5597&lt;&gt;"",IF(AND(B5597='IN-TC'!$S$4,OR(TH!N5597="1111",TH!O5597="1111")),TH!D5597,""),"")</f>
        <v/>
      </c>
      <c r="B5597" s="60" t="str">
        <f t="shared" si="508"/>
        <v/>
      </c>
      <c r="C5597" s="61"/>
      <c r="D5597" s="61"/>
      <c r="E5597" s="61"/>
      <c r="F5597" s="322"/>
      <c r="G5597" s="64"/>
      <c r="H5597" s="69"/>
      <c r="I5597" s="385"/>
      <c r="J5597" s="392"/>
      <c r="K5597" s="385"/>
      <c r="L5597" s="392"/>
      <c r="M5597" s="62"/>
      <c r="N5597" s="63"/>
      <c r="O5597" s="63"/>
      <c r="P5597" s="79" t="str">
        <f>IF(AND('331-CT'!$E$7=TH!H5597,OR(N5597="331",O5597="331")),"x","")</f>
        <v/>
      </c>
      <c r="Q5597" s="79" t="str">
        <f>IF(AND(B5597='111'!$L$11,OR($N5597=$Q$7,$O5597=$Q$7)),"x","")</f>
        <v/>
      </c>
      <c r="R5597" s="79" t="str">
        <f>IF(AND($N5597=$Q$7,$B5597&lt;'111'!$L$11),"x","")</f>
        <v/>
      </c>
      <c r="S5597" s="79" t="str">
        <f>IF(AND($O5597=$Q$7,$B5597&lt;'111'!$L$11),"x","")</f>
        <v/>
      </c>
      <c r="T5597" s="79" t="str">
        <f>IF(ISERROR(FIND('112'!$M$9,G5597,1)),"",IF((AND(FIND('112'!$M$9,G5597,1)&gt;=1,B5597='112'!$K$9,OR($N5597='112'!$I$6,$O5597='112'!$I$6))),"x",""))</f>
        <v/>
      </c>
      <c r="U5597" s="79" t="str">
        <f>IF(ISERROR(FIND('112'!$M$9,G5597,1)),"",IF((AND(LEFT(G5597,2)=LEFT('112'!$M$9,2),B5597&lt;'112'!$K$9,$N5597='112'!$I$6)),"x",""))</f>
        <v/>
      </c>
      <c r="V5597" s="79" t="str">
        <f>IF(ISERROR(FIND('112'!$M$9,G5597,1)),"",IF((AND(RIGHT(G5597,2)=RIGHT('112'!$M$9,2),B5597&lt;'112'!$K$9,$O5597='112'!$I$6)),"x",""))</f>
        <v/>
      </c>
      <c r="W5597" s="79" t="str">
        <f>IF(AND('341-CT'!$H$9=H5597,OR(LEFT(N5597,3)=$W$7,LEFT(O5597,3)=$W$7)),"x","")</f>
        <v/>
      </c>
      <c r="X5597" s="79" t="str">
        <f>IF(OR(TH!N5597=TH!$X$7,O5597=TH!$X$7),"x","")</f>
        <v/>
      </c>
      <c r="Y5597" s="79" t="str">
        <f>IF(AND(OR(N5597="131",O5597="131"),H5597='131-CT'!$H$9),"x","")</f>
        <v/>
      </c>
      <c r="Z5597" s="79"/>
      <c r="AA5597" s="79" t="str">
        <f>IF(AND(MONTH(E5597)='IN-NX'!$J$5,'IN-NX'!$D$7=D5597),"x","")</f>
        <v/>
      </c>
      <c r="AB5597" s="79" t="str">
        <f>IF(AND(OR(LEFT(TH!N5597,2)="15",LEFT(TH!O5597,2)="15"),LEFT(TH!O5597,3)&lt;&gt;"111",'152-CT'!$J$8=TH!F5597),"x","")</f>
        <v/>
      </c>
      <c r="AC5597" s="79" t="str">
        <f>IF(AND(OR(LEFT(TH!N5597,2)="15",LEFT(TH!O5597,2)="15"),TK!$E$7=TH!F5597),"x","")</f>
        <v/>
      </c>
      <c r="AD5597" s="79" t="str">
        <f>IF(AND(N5597="1521",MONTH(C5597)='BK-NL'!$M$11),"x","")</f>
        <v/>
      </c>
    </row>
    <row r="5598" spans="1:30" ht="16.5" customHeight="1">
      <c r="A5598" s="318" t="str">
        <f>IF(B5598&lt;&gt;"",IF(AND(B5598='IN-TC'!$S$4,OR(TH!N5598="1111",TH!O5598="1111")),TH!D5598,""),"")</f>
        <v/>
      </c>
      <c r="B5598" s="60" t="str">
        <f t="shared" si="508"/>
        <v/>
      </c>
      <c r="C5598" s="61"/>
      <c r="D5598" s="61"/>
      <c r="E5598" s="61"/>
      <c r="F5598" s="322"/>
      <c r="G5598" s="64"/>
      <c r="H5598" s="69"/>
      <c r="I5598" s="385"/>
      <c r="J5598" s="392"/>
      <c r="K5598" s="385"/>
      <c r="L5598" s="392"/>
      <c r="M5598" s="62"/>
      <c r="N5598" s="63"/>
      <c r="O5598" s="63"/>
      <c r="P5598" s="79" t="str">
        <f>IF(AND('331-CT'!$E$7=TH!H5598,OR(N5598="331",O5598="331")),"x","")</f>
        <v/>
      </c>
      <c r="Q5598" s="79" t="str">
        <f>IF(AND(B5598='111'!$L$11,OR($N5598=$Q$7,$O5598=$Q$7)),"x","")</f>
        <v/>
      </c>
      <c r="R5598" s="79" t="str">
        <f>IF(AND($N5598=$Q$7,$B5598&lt;'111'!$L$11),"x","")</f>
        <v/>
      </c>
      <c r="S5598" s="79" t="str">
        <f>IF(AND($O5598=$Q$7,$B5598&lt;'111'!$L$11),"x","")</f>
        <v/>
      </c>
      <c r="T5598" s="79" t="str">
        <f>IF(ISERROR(FIND('112'!$M$9,G5598,1)),"",IF((AND(FIND('112'!$M$9,G5598,1)&gt;=1,B5598='112'!$K$9,OR($N5598='112'!$I$6,$O5598='112'!$I$6))),"x",""))</f>
        <v/>
      </c>
      <c r="U5598" s="79" t="str">
        <f>IF(ISERROR(FIND('112'!$M$9,G5598,1)),"",IF((AND(LEFT(G5598,2)=LEFT('112'!$M$9,2),B5598&lt;'112'!$K$9,$N5598='112'!$I$6)),"x",""))</f>
        <v/>
      </c>
      <c r="V5598" s="79" t="str">
        <f>IF(ISERROR(FIND('112'!$M$9,G5598,1)),"",IF((AND(RIGHT(G5598,2)=RIGHT('112'!$M$9,2),B5598&lt;'112'!$K$9,$O5598='112'!$I$6)),"x",""))</f>
        <v/>
      </c>
      <c r="W5598" s="79" t="str">
        <f>IF(AND('341-CT'!$H$9=H5598,OR(LEFT(N5598,3)=$W$7,LEFT(O5598,3)=$W$7)),"x","")</f>
        <v/>
      </c>
      <c r="X5598" s="79" t="str">
        <f>IF(OR(TH!N5598=TH!$X$7,O5598=TH!$X$7),"x","")</f>
        <v/>
      </c>
      <c r="Y5598" s="79" t="str">
        <f>IF(AND(OR(N5598="131",O5598="131"),H5598='131-CT'!$H$9),"x","")</f>
        <v/>
      </c>
      <c r="Z5598" s="79"/>
      <c r="AA5598" s="79" t="str">
        <f>IF(AND(MONTH(E5598)='IN-NX'!$J$5,'IN-NX'!$D$7=D5598),"x","")</f>
        <v/>
      </c>
      <c r="AB5598" s="79" t="str">
        <f>IF(AND(OR(LEFT(TH!N5598,2)="15",LEFT(TH!O5598,2)="15"),LEFT(TH!O5598,3)&lt;&gt;"111",'152-CT'!$J$8=TH!F5598),"x","")</f>
        <v/>
      </c>
      <c r="AC5598" s="79" t="str">
        <f>IF(AND(OR(LEFT(TH!N5598,2)="15",LEFT(TH!O5598,2)="15"),TK!$E$7=TH!F5598),"x","")</f>
        <v/>
      </c>
      <c r="AD5598" s="79" t="str">
        <f>IF(AND(N5598="1521",MONTH(C5598)='BK-NL'!$M$11),"x","")</f>
        <v/>
      </c>
    </row>
    <row r="5599" spans="1:30" ht="16.5" customHeight="1">
      <c r="A5599" s="318" t="str">
        <f>IF(B5599&lt;&gt;"",IF(AND(B5599='IN-TC'!$S$4,OR(TH!N5599="1111",TH!O5599="1111")),TH!D5599,""),"")</f>
        <v/>
      </c>
      <c r="B5599" s="60" t="str">
        <f t="shared" si="508"/>
        <v/>
      </c>
      <c r="C5599" s="61"/>
      <c r="D5599" s="61"/>
      <c r="E5599" s="61"/>
      <c r="F5599" s="322"/>
      <c r="G5599" s="64"/>
      <c r="H5599" s="69"/>
      <c r="I5599" s="385"/>
      <c r="J5599" s="392"/>
      <c r="K5599" s="385"/>
      <c r="L5599" s="392"/>
      <c r="M5599" s="62"/>
      <c r="N5599" s="63"/>
      <c r="O5599" s="63"/>
      <c r="P5599" s="79" t="str">
        <f>IF(AND('331-CT'!$E$7=TH!H5599,OR(N5599="331",O5599="331")),"x","")</f>
        <v/>
      </c>
      <c r="Q5599" s="79" t="str">
        <f>IF(AND(B5599='111'!$L$11,OR($N5599=$Q$7,$O5599=$Q$7)),"x","")</f>
        <v/>
      </c>
      <c r="R5599" s="79" t="str">
        <f>IF(AND($N5599=$Q$7,$B5599&lt;'111'!$L$11),"x","")</f>
        <v/>
      </c>
      <c r="S5599" s="79" t="str">
        <f>IF(AND($O5599=$Q$7,$B5599&lt;'111'!$L$11),"x","")</f>
        <v/>
      </c>
      <c r="T5599" s="79" t="str">
        <f>IF(ISERROR(FIND('112'!$M$9,G5599,1)),"",IF((AND(FIND('112'!$M$9,G5599,1)&gt;=1,B5599='112'!$K$9,OR($N5599='112'!$I$6,$O5599='112'!$I$6))),"x",""))</f>
        <v/>
      </c>
      <c r="U5599" s="79" t="str">
        <f>IF(ISERROR(FIND('112'!$M$9,G5599,1)),"",IF((AND(LEFT(G5599,2)=LEFT('112'!$M$9,2),B5599&lt;'112'!$K$9,$N5599='112'!$I$6)),"x",""))</f>
        <v/>
      </c>
      <c r="V5599" s="79" t="str">
        <f>IF(ISERROR(FIND('112'!$M$9,G5599,1)),"",IF((AND(RIGHT(G5599,2)=RIGHT('112'!$M$9,2),B5599&lt;'112'!$K$9,$O5599='112'!$I$6)),"x",""))</f>
        <v/>
      </c>
      <c r="W5599" s="79" t="str">
        <f>IF(AND('341-CT'!$H$9=H5599,OR(LEFT(N5599,3)=$W$7,LEFT(O5599,3)=$W$7)),"x","")</f>
        <v/>
      </c>
      <c r="X5599" s="79" t="str">
        <f>IF(OR(TH!N5599=TH!$X$7,O5599=TH!$X$7),"x","")</f>
        <v/>
      </c>
      <c r="Y5599" s="79" t="str">
        <f>IF(AND(OR(N5599="131",O5599="131"),H5599='131-CT'!$H$9),"x","")</f>
        <v/>
      </c>
      <c r="Z5599" s="79"/>
      <c r="AA5599" s="79" t="str">
        <f>IF(AND(MONTH(E5599)='IN-NX'!$J$5,'IN-NX'!$D$7=D5599),"x","")</f>
        <v/>
      </c>
      <c r="AB5599" s="79" t="str">
        <f>IF(AND(OR(LEFT(TH!N5599,2)="15",LEFT(TH!O5599,2)="15"),LEFT(TH!O5599,3)&lt;&gt;"111",'152-CT'!$J$8=TH!F5599),"x","")</f>
        <v/>
      </c>
      <c r="AC5599" s="79" t="str">
        <f>IF(AND(OR(LEFT(TH!N5599,2)="15",LEFT(TH!O5599,2)="15"),TK!$E$7=TH!F5599),"x","")</f>
        <v/>
      </c>
      <c r="AD5599" s="79" t="str">
        <f>IF(AND(N5599="1521",MONTH(C5599)='BK-NL'!$M$11),"x","")</f>
        <v/>
      </c>
    </row>
    <row r="5600" spans="1:30" ht="16.5" customHeight="1">
      <c r="A5600" s="318" t="str">
        <f>IF(B5600&lt;&gt;"",IF(AND(B5600='IN-TC'!$S$4,OR(TH!N5600="1111",TH!O5600="1111")),TH!D5600,""),"")</f>
        <v/>
      </c>
      <c r="B5600" s="60" t="str">
        <f t="shared" si="508"/>
        <v/>
      </c>
      <c r="C5600" s="61"/>
      <c r="D5600" s="61"/>
      <c r="E5600" s="61"/>
      <c r="F5600" s="322"/>
      <c r="G5600" s="64"/>
      <c r="H5600" s="69"/>
      <c r="I5600" s="385"/>
      <c r="J5600" s="392"/>
      <c r="K5600" s="385"/>
      <c r="L5600" s="392"/>
      <c r="M5600" s="62"/>
      <c r="N5600" s="63"/>
      <c r="O5600" s="63"/>
      <c r="P5600" s="79" t="str">
        <f>IF(AND('331-CT'!$E$7=TH!H5600,OR(N5600="331",O5600="331")),"x","")</f>
        <v/>
      </c>
      <c r="Q5600" s="79" t="str">
        <f>IF(AND(B5600='111'!$L$11,OR($N5600=$Q$7,$O5600=$Q$7)),"x","")</f>
        <v/>
      </c>
      <c r="R5600" s="79" t="str">
        <f>IF(AND($N5600=$Q$7,$B5600&lt;'111'!$L$11),"x","")</f>
        <v/>
      </c>
      <c r="S5600" s="79" t="str">
        <f>IF(AND($O5600=$Q$7,$B5600&lt;'111'!$L$11),"x","")</f>
        <v/>
      </c>
      <c r="T5600" s="79" t="str">
        <f>IF(ISERROR(FIND('112'!$M$9,G5600,1)),"",IF((AND(FIND('112'!$M$9,G5600,1)&gt;=1,B5600='112'!$K$9,OR($N5600='112'!$I$6,$O5600='112'!$I$6))),"x",""))</f>
        <v/>
      </c>
      <c r="U5600" s="79" t="str">
        <f>IF(ISERROR(FIND('112'!$M$9,G5600,1)),"",IF((AND(LEFT(G5600,2)=LEFT('112'!$M$9,2),B5600&lt;'112'!$K$9,$N5600='112'!$I$6)),"x",""))</f>
        <v/>
      </c>
      <c r="V5600" s="79" t="str">
        <f>IF(ISERROR(FIND('112'!$M$9,G5600,1)),"",IF((AND(RIGHT(G5600,2)=RIGHT('112'!$M$9,2),B5600&lt;'112'!$K$9,$O5600='112'!$I$6)),"x",""))</f>
        <v/>
      </c>
      <c r="W5600" s="79" t="str">
        <f>IF(AND('341-CT'!$H$9=H5600,OR(LEFT(N5600,3)=$W$7,LEFT(O5600,3)=$W$7)),"x","")</f>
        <v/>
      </c>
      <c r="X5600" s="79" t="str">
        <f>IF(OR(TH!N5600=TH!$X$7,O5600=TH!$X$7),"x","")</f>
        <v/>
      </c>
      <c r="Y5600" s="79" t="str">
        <f>IF(AND(OR(N5600="131",O5600="131"),H5600='131-CT'!$H$9),"x","")</f>
        <v/>
      </c>
      <c r="Z5600" s="79"/>
      <c r="AA5600" s="79" t="str">
        <f>IF(AND(MONTH(E5600)='IN-NX'!$J$5,'IN-NX'!$D$7=D5600),"x","")</f>
        <v/>
      </c>
      <c r="AB5600" s="79" t="str">
        <f>IF(AND(OR(LEFT(TH!N5600,2)="15",LEFT(TH!O5600,2)="15"),LEFT(TH!O5600,3)&lt;&gt;"111",'152-CT'!$J$8=TH!F5600),"x","")</f>
        <v/>
      </c>
      <c r="AC5600" s="79" t="str">
        <f>IF(AND(OR(LEFT(TH!N5600,2)="15",LEFT(TH!O5600,2)="15"),TK!$E$7=TH!F5600),"x","")</f>
        <v/>
      </c>
      <c r="AD5600" s="79" t="str">
        <f>IF(AND(N5600="1521",MONTH(C5600)='BK-NL'!$M$11),"x","")</f>
        <v/>
      </c>
    </row>
    <row r="5601" spans="1:30" ht="16.5" customHeight="1">
      <c r="A5601" s="318" t="str">
        <f>IF(B5601&lt;&gt;"",IF(AND(B5601='IN-TC'!$S$4,OR(TH!N5601="1111",TH!O5601="1111")),TH!D5601,""),"")</f>
        <v/>
      </c>
      <c r="B5601" s="60" t="str">
        <f t="shared" si="508"/>
        <v/>
      </c>
      <c r="C5601" s="61"/>
      <c r="D5601" s="61"/>
      <c r="E5601" s="61"/>
      <c r="F5601" s="322"/>
      <c r="G5601" s="64"/>
      <c r="H5601" s="69"/>
      <c r="I5601" s="385"/>
      <c r="J5601" s="392"/>
      <c r="K5601" s="385"/>
      <c r="L5601" s="392"/>
      <c r="M5601" s="62"/>
      <c r="N5601" s="63"/>
      <c r="O5601" s="63"/>
      <c r="P5601" s="79" t="str">
        <f>IF(AND('331-CT'!$E$7=TH!H5601,OR(N5601="331",O5601="331")),"x","")</f>
        <v/>
      </c>
      <c r="Q5601" s="79" t="str">
        <f>IF(AND(B5601='111'!$L$11,OR($N5601=$Q$7,$O5601=$Q$7)),"x","")</f>
        <v/>
      </c>
      <c r="R5601" s="79" t="str">
        <f>IF(AND($N5601=$Q$7,$B5601&lt;'111'!$L$11),"x","")</f>
        <v/>
      </c>
      <c r="S5601" s="79" t="str">
        <f>IF(AND($O5601=$Q$7,$B5601&lt;'111'!$L$11),"x","")</f>
        <v/>
      </c>
      <c r="T5601" s="79" t="str">
        <f>IF(ISERROR(FIND('112'!$M$9,G5601,1)),"",IF((AND(FIND('112'!$M$9,G5601,1)&gt;=1,B5601='112'!$K$9,OR($N5601='112'!$I$6,$O5601='112'!$I$6))),"x",""))</f>
        <v/>
      </c>
      <c r="U5601" s="79" t="str">
        <f>IF(ISERROR(FIND('112'!$M$9,G5601,1)),"",IF((AND(LEFT(G5601,2)=LEFT('112'!$M$9,2),B5601&lt;'112'!$K$9,$N5601='112'!$I$6)),"x",""))</f>
        <v/>
      </c>
      <c r="V5601" s="79" t="str">
        <f>IF(ISERROR(FIND('112'!$M$9,G5601,1)),"",IF((AND(RIGHT(G5601,2)=RIGHT('112'!$M$9,2),B5601&lt;'112'!$K$9,$O5601='112'!$I$6)),"x",""))</f>
        <v/>
      </c>
      <c r="W5601" s="79" t="str">
        <f>IF(AND('341-CT'!$H$9=H5601,OR(LEFT(N5601,3)=$W$7,LEFT(O5601,3)=$W$7)),"x","")</f>
        <v/>
      </c>
      <c r="X5601" s="79" t="str">
        <f>IF(OR(TH!N5601=TH!$X$7,O5601=TH!$X$7),"x","")</f>
        <v/>
      </c>
      <c r="Y5601" s="79" t="str">
        <f>IF(AND(OR(N5601="131",O5601="131"),H5601='131-CT'!$H$9),"x","")</f>
        <v/>
      </c>
      <c r="Z5601" s="79"/>
      <c r="AA5601" s="79" t="str">
        <f>IF(AND(MONTH(E5601)='IN-NX'!$J$5,'IN-NX'!$D$7=D5601),"x","")</f>
        <v/>
      </c>
      <c r="AB5601" s="79" t="str">
        <f>IF(AND(OR(LEFT(TH!N5601,2)="15",LEFT(TH!O5601,2)="15"),LEFT(TH!O5601,3)&lt;&gt;"111",'152-CT'!$J$8=TH!F5601),"x","")</f>
        <v/>
      </c>
      <c r="AC5601" s="79" t="str">
        <f>IF(AND(OR(LEFT(TH!N5601,2)="15",LEFT(TH!O5601,2)="15"),TK!$E$7=TH!F5601),"x","")</f>
        <v/>
      </c>
      <c r="AD5601" s="79" t="str">
        <f>IF(AND(N5601="1521",MONTH(C5601)='BK-NL'!$M$11),"x","")</f>
        <v/>
      </c>
    </row>
    <row r="5602" spans="1:30" ht="16.5" customHeight="1">
      <c r="A5602" s="318" t="str">
        <f>IF(B5602&lt;&gt;"",IF(AND(B5602='IN-TC'!$S$4,OR(TH!N5602="1111",TH!O5602="1111")),TH!D5602,""),"")</f>
        <v/>
      </c>
      <c r="B5602" s="60" t="str">
        <f t="shared" si="508"/>
        <v/>
      </c>
      <c r="C5602" s="61"/>
      <c r="D5602" s="61"/>
      <c r="E5602" s="61"/>
      <c r="F5602" s="322"/>
      <c r="G5602" s="64"/>
      <c r="H5602" s="64"/>
      <c r="I5602" s="385"/>
      <c r="J5602" s="392"/>
      <c r="K5602" s="385"/>
      <c r="L5602" s="392"/>
      <c r="M5602" s="62"/>
      <c r="N5602" s="63"/>
      <c r="O5602" s="63"/>
      <c r="P5602" s="79" t="str">
        <f>IF(AND('331-CT'!$E$7=TH!H5602,OR(N5602="331",O5602="331")),"x","")</f>
        <v/>
      </c>
      <c r="Q5602" s="79" t="str">
        <f>IF(AND(B5602='111'!$L$11,OR($N5602=$Q$7,$O5602=$Q$7)),"x","")</f>
        <v/>
      </c>
      <c r="R5602" s="79" t="str">
        <f>IF(AND($N5602=$Q$7,$B5602&lt;'111'!$L$11),"x","")</f>
        <v/>
      </c>
      <c r="S5602" s="79" t="str">
        <f>IF(AND($O5602=$Q$7,$B5602&lt;'111'!$L$11),"x","")</f>
        <v/>
      </c>
      <c r="T5602" s="79" t="str">
        <f>IF(ISERROR(FIND('112'!$M$9,G5602,1)),"",IF((AND(FIND('112'!$M$9,G5602,1)&gt;=1,B5602='112'!$K$9,OR($N5602='112'!$I$6,$O5602='112'!$I$6))),"x",""))</f>
        <v/>
      </c>
      <c r="U5602" s="79" t="str">
        <f>IF(ISERROR(FIND('112'!$M$9,G5602,1)),"",IF((AND(LEFT(G5602,2)=LEFT('112'!$M$9,2),B5602&lt;'112'!$K$9,$N5602='112'!$I$6)),"x",""))</f>
        <v/>
      </c>
      <c r="V5602" s="79" t="str">
        <f>IF(ISERROR(FIND('112'!$M$9,G5602,1)),"",IF((AND(RIGHT(G5602,2)=RIGHT('112'!$M$9,2),B5602&lt;'112'!$K$9,$O5602='112'!$I$6)),"x",""))</f>
        <v/>
      </c>
      <c r="W5602" s="79" t="str">
        <f>IF(AND('341-CT'!$H$9=H5602,OR(LEFT(N5602,3)=$W$7,LEFT(O5602,3)=$W$7)),"x","")</f>
        <v/>
      </c>
      <c r="X5602" s="79" t="str">
        <f>IF(OR(TH!N5602=TH!$X$7,O5602=TH!$X$7),"x","")</f>
        <v/>
      </c>
      <c r="Y5602" s="79" t="str">
        <f>IF(AND(OR(N5602="131",O5602="131"),H5602='131-CT'!$H$9),"x","")</f>
        <v/>
      </c>
      <c r="Z5602" s="79"/>
      <c r="AA5602" s="79" t="str">
        <f>IF(AND(MONTH(E5602)='IN-NX'!$J$5,'IN-NX'!$D$7=D5602),"x","")</f>
        <v/>
      </c>
      <c r="AB5602" s="79" t="str">
        <f>IF(AND(OR(LEFT(TH!N5602,2)="15",LEFT(TH!O5602,2)="15"),LEFT(TH!O5602,3)&lt;&gt;"111",'152-CT'!$J$8=TH!F5602),"x","")</f>
        <v/>
      </c>
      <c r="AC5602" s="79" t="str">
        <f>IF(AND(OR(LEFT(TH!N5602,2)="15",LEFT(TH!O5602,2)="15"),TK!$E$7=TH!F5602),"x","")</f>
        <v/>
      </c>
      <c r="AD5602" s="79" t="str">
        <f>IF(AND(N5602="1521",MONTH(C5602)='BK-NL'!$M$11),"x","")</f>
        <v/>
      </c>
    </row>
    <row r="5603" spans="1:30" ht="16.5" customHeight="1">
      <c r="A5603" s="318" t="str">
        <f>IF(B5603&lt;&gt;"",IF(AND(B5603='IN-TC'!$S$4,OR(TH!N5603="1111",TH!O5603="1111")),TH!D5603,""),"")</f>
        <v/>
      </c>
      <c r="B5603" s="60" t="str">
        <f t="shared" si="508"/>
        <v/>
      </c>
      <c r="C5603" s="61"/>
      <c r="D5603" s="61"/>
      <c r="E5603" s="61"/>
      <c r="F5603" s="322"/>
      <c r="G5603" s="64"/>
      <c r="H5603" s="69"/>
      <c r="I5603" s="385"/>
      <c r="J5603" s="392"/>
      <c r="K5603" s="385"/>
      <c r="L5603" s="392"/>
      <c r="M5603" s="62"/>
      <c r="N5603" s="63"/>
      <c r="O5603" s="63"/>
      <c r="P5603" s="79" t="str">
        <f>IF(AND('331-CT'!$E$7=TH!H5603,OR(N5603="331",O5603="331")),"x","")</f>
        <v/>
      </c>
      <c r="Q5603" s="79" t="str">
        <f>IF(AND(B5603='111'!$L$11,OR($N5603=$Q$7,$O5603=$Q$7)),"x","")</f>
        <v/>
      </c>
      <c r="R5603" s="79" t="str">
        <f>IF(AND($N5603=$Q$7,$B5603&lt;'111'!$L$11),"x","")</f>
        <v/>
      </c>
      <c r="S5603" s="79" t="str">
        <f>IF(AND($O5603=$Q$7,$B5603&lt;'111'!$L$11),"x","")</f>
        <v/>
      </c>
      <c r="T5603" s="79" t="str">
        <f>IF(ISERROR(FIND('112'!$M$9,G5603,1)),"",IF((AND(FIND('112'!$M$9,G5603,1)&gt;=1,B5603='112'!$K$9,OR($N5603='112'!$I$6,$O5603='112'!$I$6))),"x",""))</f>
        <v/>
      </c>
      <c r="U5603" s="79" t="str">
        <f>IF(ISERROR(FIND('112'!$M$9,G5603,1)),"",IF((AND(LEFT(G5603,2)=LEFT('112'!$M$9,2),B5603&lt;'112'!$K$9,$N5603='112'!$I$6)),"x",""))</f>
        <v/>
      </c>
      <c r="V5603" s="79" t="str">
        <f>IF(ISERROR(FIND('112'!$M$9,G5603,1)),"",IF((AND(RIGHT(G5603,2)=RIGHT('112'!$M$9,2),B5603&lt;'112'!$K$9,$O5603='112'!$I$6)),"x",""))</f>
        <v/>
      </c>
      <c r="W5603" s="79" t="str">
        <f>IF(AND('341-CT'!$H$9=H5603,OR(LEFT(N5603,3)=$W$7,LEFT(O5603,3)=$W$7)),"x","")</f>
        <v/>
      </c>
      <c r="X5603" s="79" t="str">
        <f>IF(OR(TH!N5603=TH!$X$7,O5603=TH!$X$7),"x","")</f>
        <v/>
      </c>
      <c r="Y5603" s="79" t="str">
        <f>IF(AND(OR(N5603="131",O5603="131"),H5603='131-CT'!$H$9),"x","")</f>
        <v/>
      </c>
      <c r="Z5603" s="79"/>
      <c r="AA5603" s="79" t="str">
        <f>IF(AND(MONTH(E5603)='IN-NX'!$J$5,'IN-NX'!$D$7=D5603),"x","")</f>
        <v/>
      </c>
      <c r="AB5603" s="79" t="str">
        <f>IF(AND(OR(LEFT(TH!N5603,2)="15",LEFT(TH!O5603,2)="15"),LEFT(TH!O5603,3)&lt;&gt;"111",'152-CT'!$J$8=TH!F5603),"x","")</f>
        <v/>
      </c>
      <c r="AC5603" s="79" t="str">
        <f>IF(AND(OR(LEFT(TH!N5603,2)="15",LEFT(TH!O5603,2)="15"),TK!$E$7=TH!F5603),"x","")</f>
        <v/>
      </c>
      <c r="AD5603" s="79" t="str">
        <f>IF(AND(N5603="1521",MONTH(C5603)='BK-NL'!$M$11),"x","")</f>
        <v/>
      </c>
    </row>
    <row r="5604" spans="1:30" ht="16.5" customHeight="1">
      <c r="A5604" s="318" t="str">
        <f>IF(B5604&lt;&gt;"",IF(AND(B5604='IN-TC'!$S$4,OR(TH!N5604="1111",TH!O5604="1111")),TH!D5604,""),"")</f>
        <v/>
      </c>
      <c r="B5604" s="60" t="str">
        <f t="shared" si="508"/>
        <v/>
      </c>
      <c r="C5604" s="61"/>
      <c r="D5604" s="61"/>
      <c r="E5604" s="61"/>
      <c r="F5604" s="322"/>
      <c r="G5604" s="64"/>
      <c r="H5604" s="69"/>
      <c r="I5604" s="385"/>
      <c r="J5604" s="392"/>
      <c r="K5604" s="385"/>
      <c r="L5604" s="392"/>
      <c r="M5604" s="62"/>
      <c r="N5604" s="63"/>
      <c r="O5604" s="63"/>
      <c r="P5604" s="79" t="str">
        <f>IF(AND('331-CT'!$E$7=TH!H5604,OR(N5604="331",O5604="331")),"x","")</f>
        <v/>
      </c>
      <c r="Q5604" s="79" t="str">
        <f>IF(AND(B5604='111'!$L$11,OR($N5604=$Q$7,$O5604=$Q$7)),"x","")</f>
        <v/>
      </c>
      <c r="R5604" s="79" t="str">
        <f>IF(AND($N5604=$Q$7,$B5604&lt;'111'!$L$11),"x","")</f>
        <v/>
      </c>
      <c r="S5604" s="79" t="str">
        <f>IF(AND($O5604=$Q$7,$B5604&lt;'111'!$L$11),"x","")</f>
        <v/>
      </c>
      <c r="T5604" s="79" t="str">
        <f>IF(ISERROR(FIND('112'!$M$9,G5604,1)),"",IF((AND(FIND('112'!$M$9,G5604,1)&gt;=1,B5604='112'!$K$9,OR($N5604='112'!$I$6,$O5604='112'!$I$6))),"x",""))</f>
        <v/>
      </c>
      <c r="U5604" s="79" t="str">
        <f>IF(ISERROR(FIND('112'!$M$9,G5604,1)),"",IF((AND(LEFT(G5604,2)=LEFT('112'!$M$9,2),B5604&lt;'112'!$K$9,$N5604='112'!$I$6)),"x",""))</f>
        <v/>
      </c>
      <c r="V5604" s="79" t="str">
        <f>IF(ISERROR(FIND('112'!$M$9,G5604,1)),"",IF((AND(RIGHT(G5604,2)=RIGHT('112'!$M$9,2),B5604&lt;'112'!$K$9,$O5604='112'!$I$6)),"x",""))</f>
        <v/>
      </c>
      <c r="W5604" s="79" t="str">
        <f>IF(AND('341-CT'!$H$9=H5604,OR(LEFT(N5604,3)=$W$7,LEFT(O5604,3)=$W$7)),"x","")</f>
        <v/>
      </c>
      <c r="X5604" s="79" t="str">
        <f>IF(OR(TH!N5604=TH!$X$7,O5604=TH!$X$7),"x","")</f>
        <v/>
      </c>
      <c r="Y5604" s="79" t="str">
        <f>IF(AND(OR(N5604="131",O5604="131"),H5604='131-CT'!$H$9),"x","")</f>
        <v/>
      </c>
      <c r="Z5604" s="79"/>
      <c r="AA5604" s="79" t="str">
        <f>IF(AND(MONTH(E5604)='IN-NX'!$J$5,'IN-NX'!$D$7=D5604),"x","")</f>
        <v/>
      </c>
      <c r="AB5604" s="79" t="str">
        <f>IF(AND(OR(LEFT(TH!N5604,2)="15",LEFT(TH!O5604,2)="15"),LEFT(TH!O5604,3)&lt;&gt;"111",'152-CT'!$J$8=TH!F5604),"x","")</f>
        <v/>
      </c>
      <c r="AC5604" s="79" t="str">
        <f>IF(AND(OR(LEFT(TH!N5604,2)="15",LEFT(TH!O5604,2)="15"),TK!$E$7=TH!F5604),"x","")</f>
        <v/>
      </c>
      <c r="AD5604" s="79" t="str">
        <f>IF(AND(N5604="1521",MONTH(C5604)='BK-NL'!$M$11),"x","")</f>
        <v/>
      </c>
    </row>
    <row r="5605" spans="1:30" ht="16.5" customHeight="1">
      <c r="A5605" s="318" t="str">
        <f>IF(B5605&lt;&gt;"",IF(AND(B5605='IN-TC'!$S$4,OR(TH!N5605="1111",TH!O5605="1111")),TH!D5605,""),"")</f>
        <v/>
      </c>
      <c r="B5605" s="60" t="str">
        <f t="shared" si="508"/>
        <v/>
      </c>
      <c r="C5605" s="61"/>
      <c r="D5605" s="61"/>
      <c r="E5605" s="61"/>
      <c r="F5605" s="322"/>
      <c r="G5605" s="64"/>
      <c r="H5605" s="321"/>
      <c r="I5605" s="387"/>
      <c r="J5605" s="394"/>
      <c r="K5605" s="387"/>
      <c r="L5605" s="394"/>
      <c r="M5605" s="62"/>
      <c r="N5605" s="63"/>
      <c r="O5605" s="63"/>
      <c r="P5605" s="79" t="str">
        <f>IF(AND('331-CT'!$E$7=TH!H5605,OR(N5605="331",O5605="331")),"x","")</f>
        <v/>
      </c>
      <c r="Q5605" s="79" t="str">
        <f>IF(AND(B5605='111'!$L$11,OR($N5605=$Q$7,$O5605=$Q$7)),"x","")</f>
        <v/>
      </c>
      <c r="R5605" s="79" t="str">
        <f>IF(AND($N5605=$Q$7,$B5605&lt;'111'!$L$11),"x","")</f>
        <v/>
      </c>
      <c r="S5605" s="79" t="str">
        <f>IF(AND($O5605=$Q$7,$B5605&lt;'111'!$L$11),"x","")</f>
        <v/>
      </c>
      <c r="T5605" s="79" t="str">
        <f>IF(ISERROR(FIND('112'!$M$9,G5605,1)),"",IF((AND(FIND('112'!$M$9,G5605,1)&gt;=1,B5605='112'!$K$9,OR($N5605='112'!$I$6,$O5605='112'!$I$6))),"x",""))</f>
        <v/>
      </c>
      <c r="U5605" s="79" t="str">
        <f>IF(ISERROR(FIND('112'!$M$9,G5605,1)),"",IF((AND(LEFT(G5605,2)=LEFT('112'!$M$9,2),B5605&lt;'112'!$K$9,$N5605='112'!$I$6)),"x",""))</f>
        <v/>
      </c>
      <c r="V5605" s="79" t="str">
        <f>IF(ISERROR(FIND('112'!$M$9,G5605,1)),"",IF((AND(RIGHT(G5605,2)=RIGHT('112'!$M$9,2),B5605&lt;'112'!$K$9,$O5605='112'!$I$6)),"x",""))</f>
        <v/>
      </c>
      <c r="W5605" s="79" t="str">
        <f>IF(AND('341-CT'!$H$9=H5605,OR(LEFT(N5605,3)=$W$7,LEFT(O5605,3)=$W$7)),"x","")</f>
        <v/>
      </c>
      <c r="X5605" s="79" t="str">
        <f>IF(OR(TH!N5605=TH!$X$7,O5605=TH!$X$7),"x","")</f>
        <v/>
      </c>
      <c r="Y5605" s="79" t="str">
        <f>IF(AND(OR(N5605="131",O5605="131"),H5605='131-CT'!$H$9),"x","")</f>
        <v/>
      </c>
      <c r="Z5605" s="79"/>
      <c r="AA5605" s="79" t="str">
        <f>IF(AND(MONTH(E5605)='IN-NX'!$J$5,'IN-NX'!$D$7=D5605),"x","")</f>
        <v/>
      </c>
      <c r="AB5605" s="79" t="str">
        <f>IF(AND(OR(LEFT(TH!N5605,2)="15",LEFT(TH!O5605,2)="15"),LEFT(TH!O5605,3)&lt;&gt;"111",'152-CT'!$J$8=TH!F5605),"x","")</f>
        <v/>
      </c>
      <c r="AC5605" s="79" t="str">
        <f>IF(AND(OR(LEFT(TH!N5605,2)="15",LEFT(TH!O5605,2)="15"),TK!$E$7=TH!F5605),"x","")</f>
        <v/>
      </c>
      <c r="AD5605" s="79" t="str">
        <f>IF(AND(N5605="1521",MONTH(C5605)='BK-NL'!$M$11),"x","")</f>
        <v/>
      </c>
    </row>
    <row r="5606" spans="1:30" ht="16.5" customHeight="1">
      <c r="A5606" s="318" t="str">
        <f>IF(B5606&lt;&gt;"",IF(AND(B5606='IN-TC'!$S$4,OR(TH!N5606="1111",TH!O5606="1111")),TH!D5606,""),"")</f>
        <v/>
      </c>
      <c r="B5606" s="60" t="str">
        <f t="shared" si="508"/>
        <v/>
      </c>
      <c r="C5606" s="61"/>
      <c r="D5606" s="61"/>
      <c r="E5606" s="61"/>
      <c r="F5606" s="322"/>
      <c r="G5606" s="64"/>
      <c r="H5606" s="69"/>
      <c r="I5606" s="385"/>
      <c r="J5606" s="392"/>
      <c r="K5606" s="385"/>
      <c r="L5606" s="392"/>
      <c r="M5606" s="62"/>
      <c r="N5606" s="63"/>
      <c r="O5606" s="63"/>
      <c r="P5606" s="79" t="str">
        <f>IF(AND('331-CT'!$E$7=TH!H5606,OR(N5606="331",O5606="331")),"x","")</f>
        <v/>
      </c>
      <c r="Q5606" s="79" t="str">
        <f>IF(AND(B5606='111'!$L$11,OR($N5606=$Q$7,$O5606=$Q$7)),"x","")</f>
        <v/>
      </c>
      <c r="R5606" s="79" t="str">
        <f>IF(AND($N5606=$Q$7,$B5606&lt;'111'!$L$11),"x","")</f>
        <v/>
      </c>
      <c r="S5606" s="79" t="str">
        <f>IF(AND($O5606=$Q$7,$B5606&lt;'111'!$L$11),"x","")</f>
        <v/>
      </c>
      <c r="T5606" s="79" t="str">
        <f>IF(ISERROR(FIND('112'!$M$9,G5606,1)),"",IF((AND(FIND('112'!$M$9,G5606,1)&gt;=1,B5606='112'!$K$9,OR($N5606='112'!$I$6,$O5606='112'!$I$6))),"x",""))</f>
        <v/>
      </c>
      <c r="U5606" s="79" t="str">
        <f>IF(ISERROR(FIND('112'!$M$9,G5606,1)),"",IF((AND(LEFT(G5606,2)=LEFT('112'!$M$9,2),B5606&lt;'112'!$K$9,$N5606='112'!$I$6)),"x",""))</f>
        <v/>
      </c>
      <c r="V5606" s="79" t="str">
        <f>IF(ISERROR(FIND('112'!$M$9,G5606,1)),"",IF((AND(RIGHT(G5606,2)=RIGHT('112'!$M$9,2),B5606&lt;'112'!$K$9,$O5606='112'!$I$6)),"x",""))</f>
        <v/>
      </c>
      <c r="W5606" s="79" t="str">
        <f>IF(AND('341-CT'!$H$9=H5606,OR(LEFT(N5606,3)=$W$7,LEFT(O5606,3)=$W$7)),"x","")</f>
        <v/>
      </c>
      <c r="X5606" s="79" t="str">
        <f>IF(OR(TH!N5606=TH!$X$7,O5606=TH!$X$7),"x","")</f>
        <v/>
      </c>
      <c r="Y5606" s="79" t="str">
        <f>IF(AND(OR(N5606="131",O5606="131"),H5606='131-CT'!$H$9),"x","")</f>
        <v/>
      </c>
      <c r="Z5606" s="79"/>
      <c r="AA5606" s="79" t="str">
        <f>IF(AND(MONTH(E5606)='IN-NX'!$J$5,'IN-NX'!$D$7=D5606),"x","")</f>
        <v/>
      </c>
      <c r="AB5606" s="79" t="str">
        <f>IF(AND(OR(LEFT(TH!N5606,2)="15",LEFT(TH!O5606,2)="15"),LEFT(TH!O5606,3)&lt;&gt;"111",'152-CT'!$J$8=TH!F5606),"x","")</f>
        <v/>
      </c>
      <c r="AC5606" s="79" t="str">
        <f>IF(AND(OR(LEFT(TH!N5606,2)="15",LEFT(TH!O5606,2)="15"),TK!$E$7=TH!F5606),"x","")</f>
        <v/>
      </c>
      <c r="AD5606" s="79" t="str">
        <f>IF(AND(N5606="1521",MONTH(C5606)='BK-NL'!$M$11),"x","")</f>
        <v/>
      </c>
    </row>
    <row r="5607" spans="1:30" ht="16.5" customHeight="1">
      <c r="A5607" s="318" t="str">
        <f>IF(B5607&lt;&gt;"",IF(AND(B5607='IN-TC'!$S$4,OR(TH!N5607="1111",TH!O5607="1111")),TH!D5607,""),"")</f>
        <v/>
      </c>
      <c r="B5607" s="60" t="str">
        <f t="shared" si="508"/>
        <v/>
      </c>
      <c r="C5607" s="61"/>
      <c r="D5607" s="61"/>
      <c r="E5607" s="61"/>
      <c r="F5607" s="322"/>
      <c r="G5607" s="64"/>
      <c r="H5607" s="69"/>
      <c r="I5607" s="385"/>
      <c r="J5607" s="392"/>
      <c r="K5607" s="385"/>
      <c r="L5607" s="392"/>
      <c r="M5607" s="62"/>
      <c r="N5607" s="63"/>
      <c r="O5607" s="63"/>
      <c r="P5607" s="79" t="str">
        <f>IF(AND('331-CT'!$E$7=TH!H5607,OR(N5607="331",O5607="331")),"x","")</f>
        <v/>
      </c>
      <c r="Q5607" s="79" t="str">
        <f>IF(AND(B5607='111'!$L$11,OR($N5607=$Q$7,$O5607=$Q$7)),"x","")</f>
        <v/>
      </c>
      <c r="R5607" s="79" t="str">
        <f>IF(AND($N5607=$Q$7,$B5607&lt;'111'!$L$11),"x","")</f>
        <v/>
      </c>
      <c r="S5607" s="79" t="str">
        <f>IF(AND($O5607=$Q$7,$B5607&lt;'111'!$L$11),"x","")</f>
        <v/>
      </c>
      <c r="T5607" s="79" t="str">
        <f>IF(ISERROR(FIND('112'!$M$9,G5607,1)),"",IF((AND(FIND('112'!$M$9,G5607,1)&gt;=1,B5607='112'!$K$9,OR($N5607='112'!$I$6,$O5607='112'!$I$6))),"x",""))</f>
        <v/>
      </c>
      <c r="U5607" s="79" t="str">
        <f>IF(ISERROR(FIND('112'!$M$9,G5607,1)),"",IF((AND(LEFT(G5607,2)=LEFT('112'!$M$9,2),B5607&lt;'112'!$K$9,$N5607='112'!$I$6)),"x",""))</f>
        <v/>
      </c>
      <c r="V5607" s="79" t="str">
        <f>IF(ISERROR(FIND('112'!$M$9,G5607,1)),"",IF((AND(RIGHT(G5607,2)=RIGHT('112'!$M$9,2),B5607&lt;'112'!$K$9,$O5607='112'!$I$6)),"x",""))</f>
        <v/>
      </c>
      <c r="W5607" s="79" t="str">
        <f>IF(AND('341-CT'!$H$9=H5607,OR(LEFT(N5607,3)=$W$7,LEFT(O5607,3)=$W$7)),"x","")</f>
        <v/>
      </c>
      <c r="X5607" s="79" t="str">
        <f>IF(OR(TH!N5607=TH!$X$7,O5607=TH!$X$7),"x","")</f>
        <v/>
      </c>
      <c r="Y5607" s="79" t="str">
        <f>IF(AND(OR(N5607="131",O5607="131"),H5607='131-CT'!$H$9),"x","")</f>
        <v/>
      </c>
      <c r="Z5607" s="79"/>
      <c r="AA5607" s="79" t="str">
        <f>IF(AND(MONTH(E5607)='IN-NX'!$J$5,'IN-NX'!$D$7=D5607),"x","")</f>
        <v/>
      </c>
      <c r="AB5607" s="79" t="str">
        <f>IF(AND(OR(LEFT(TH!N5607,2)="15",LEFT(TH!O5607,2)="15"),LEFT(TH!O5607,3)&lt;&gt;"111",'152-CT'!$J$8=TH!F5607),"x","")</f>
        <v/>
      </c>
      <c r="AC5607" s="79" t="str">
        <f>IF(AND(OR(LEFT(TH!N5607,2)="15",LEFT(TH!O5607,2)="15"),TK!$E$7=TH!F5607),"x","")</f>
        <v/>
      </c>
      <c r="AD5607" s="79" t="str">
        <f>IF(AND(N5607="1521",MONTH(C5607)='BK-NL'!$M$11),"x","")</f>
        <v/>
      </c>
    </row>
    <row r="5608" spans="1:30" ht="16.5" customHeight="1">
      <c r="A5608" s="318" t="str">
        <f>IF(B5608&lt;&gt;"",IF(AND(B5608='IN-TC'!$S$4,OR(TH!N5608="1111",TH!O5608="1111")),TH!D5608,""),"")</f>
        <v/>
      </c>
      <c r="B5608" s="60" t="str">
        <f t="shared" si="508"/>
        <v/>
      </c>
      <c r="C5608" s="61"/>
      <c r="D5608" s="61"/>
      <c r="E5608" s="61"/>
      <c r="F5608" s="322"/>
      <c r="G5608" s="64"/>
      <c r="H5608" s="69"/>
      <c r="I5608" s="385"/>
      <c r="J5608" s="392"/>
      <c r="K5608" s="385"/>
      <c r="L5608" s="392"/>
      <c r="M5608" s="62"/>
      <c r="N5608" s="63"/>
      <c r="O5608" s="63"/>
      <c r="P5608" s="79" t="str">
        <f>IF(AND('331-CT'!$E$7=TH!H5608,OR(N5608="331",O5608="331")),"x","")</f>
        <v/>
      </c>
      <c r="Q5608" s="79" t="str">
        <f>IF(AND(B5608='111'!$L$11,OR($N5608=$Q$7,$O5608=$Q$7)),"x","")</f>
        <v/>
      </c>
      <c r="R5608" s="79" t="str">
        <f>IF(AND($N5608=$Q$7,$B5608&lt;'111'!$L$11),"x","")</f>
        <v/>
      </c>
      <c r="S5608" s="79" t="str">
        <f>IF(AND($O5608=$Q$7,$B5608&lt;'111'!$L$11),"x","")</f>
        <v/>
      </c>
      <c r="T5608" s="79" t="str">
        <f>IF(ISERROR(FIND('112'!$M$9,G5608,1)),"",IF((AND(FIND('112'!$M$9,G5608,1)&gt;=1,B5608='112'!$K$9,OR($N5608='112'!$I$6,$O5608='112'!$I$6))),"x",""))</f>
        <v/>
      </c>
      <c r="U5608" s="79" t="str">
        <f>IF(ISERROR(FIND('112'!$M$9,G5608,1)),"",IF((AND(LEFT(G5608,2)=LEFT('112'!$M$9,2),B5608&lt;'112'!$K$9,$N5608='112'!$I$6)),"x",""))</f>
        <v/>
      </c>
      <c r="V5608" s="79" t="str">
        <f>IF(ISERROR(FIND('112'!$M$9,G5608,1)),"",IF((AND(RIGHT(G5608,2)=RIGHT('112'!$M$9,2),B5608&lt;'112'!$K$9,$O5608='112'!$I$6)),"x",""))</f>
        <v/>
      </c>
      <c r="W5608" s="79" t="str">
        <f>IF(AND('341-CT'!$H$9=H5608,OR(LEFT(N5608,3)=$W$7,LEFT(O5608,3)=$W$7)),"x","")</f>
        <v/>
      </c>
      <c r="X5608" s="79" t="str">
        <f>IF(OR(TH!N5608=TH!$X$7,O5608=TH!$X$7),"x","")</f>
        <v/>
      </c>
      <c r="Y5608" s="79" t="str">
        <f>IF(AND(OR(N5608="131",O5608="131"),H5608='131-CT'!$H$9),"x","")</f>
        <v/>
      </c>
      <c r="Z5608" s="79"/>
      <c r="AA5608" s="79" t="str">
        <f>IF(AND(MONTH(E5608)='IN-NX'!$J$5,'IN-NX'!$D$7=D5608),"x","")</f>
        <v/>
      </c>
      <c r="AB5608" s="79" t="str">
        <f>IF(AND(OR(LEFT(TH!N5608,2)="15",LEFT(TH!O5608,2)="15"),LEFT(TH!O5608,3)&lt;&gt;"111",'152-CT'!$J$8=TH!F5608),"x","")</f>
        <v/>
      </c>
      <c r="AC5608" s="79" t="str">
        <f>IF(AND(OR(LEFT(TH!N5608,2)="15",LEFT(TH!O5608,2)="15"),TK!$E$7=TH!F5608),"x","")</f>
        <v/>
      </c>
      <c r="AD5608" s="79" t="str">
        <f>IF(AND(N5608="1521",MONTH(C5608)='BK-NL'!$M$11),"x","")</f>
        <v/>
      </c>
    </row>
    <row r="5609" spans="1:30" ht="16.5" customHeight="1">
      <c r="A5609" s="318" t="str">
        <f>IF(B5609&lt;&gt;"",IF(AND(B5609='IN-TC'!$S$4,OR(TH!N5609="1111",TH!O5609="1111")),TH!D5609,""),"")</f>
        <v/>
      </c>
      <c r="B5609" s="60" t="str">
        <f t="shared" si="508"/>
        <v/>
      </c>
      <c r="C5609" s="61"/>
      <c r="D5609" s="61"/>
      <c r="E5609" s="61"/>
      <c r="F5609" s="322"/>
      <c r="G5609" s="64"/>
      <c r="H5609" s="69"/>
      <c r="I5609" s="385"/>
      <c r="J5609" s="392"/>
      <c r="K5609" s="385"/>
      <c r="L5609" s="392"/>
      <c r="M5609" s="62"/>
      <c r="N5609" s="63"/>
      <c r="O5609" s="63"/>
      <c r="P5609" s="79" t="str">
        <f>IF(AND('331-CT'!$E$7=TH!H5609,OR(N5609="331",O5609="331")),"x","")</f>
        <v/>
      </c>
      <c r="Q5609" s="79" t="str">
        <f>IF(AND(B5609='111'!$L$11,OR($N5609=$Q$7,$O5609=$Q$7)),"x","")</f>
        <v/>
      </c>
      <c r="R5609" s="79" t="str">
        <f>IF(AND($N5609=$Q$7,$B5609&lt;'111'!$L$11),"x","")</f>
        <v/>
      </c>
      <c r="S5609" s="79" t="str">
        <f>IF(AND($O5609=$Q$7,$B5609&lt;'111'!$L$11),"x","")</f>
        <v/>
      </c>
      <c r="T5609" s="79" t="str">
        <f>IF(ISERROR(FIND('112'!$M$9,G5609,1)),"",IF((AND(FIND('112'!$M$9,G5609,1)&gt;=1,B5609='112'!$K$9,OR($N5609='112'!$I$6,$O5609='112'!$I$6))),"x",""))</f>
        <v/>
      </c>
      <c r="U5609" s="79" t="str">
        <f>IF(ISERROR(FIND('112'!$M$9,G5609,1)),"",IF((AND(LEFT(G5609,2)=LEFT('112'!$M$9,2),B5609&lt;'112'!$K$9,$N5609='112'!$I$6)),"x",""))</f>
        <v/>
      </c>
      <c r="V5609" s="79" t="str">
        <f>IF(ISERROR(FIND('112'!$M$9,G5609,1)),"",IF((AND(RIGHT(G5609,2)=RIGHT('112'!$M$9,2),B5609&lt;'112'!$K$9,$O5609='112'!$I$6)),"x",""))</f>
        <v/>
      </c>
      <c r="W5609" s="79" t="str">
        <f>IF(AND('341-CT'!$H$9=H5609,OR(LEFT(N5609,3)=$W$7,LEFT(O5609,3)=$W$7)),"x","")</f>
        <v/>
      </c>
      <c r="X5609" s="79" t="str">
        <f>IF(OR(TH!N5609=TH!$X$7,O5609=TH!$X$7),"x","")</f>
        <v/>
      </c>
      <c r="Y5609" s="79" t="str">
        <f>IF(AND(OR(N5609="131",O5609="131"),H5609='131-CT'!$H$9),"x","")</f>
        <v/>
      </c>
      <c r="Z5609" s="79"/>
      <c r="AA5609" s="79" t="str">
        <f>IF(AND(MONTH(E5609)='IN-NX'!$J$5,'IN-NX'!$D$7=D5609),"x","")</f>
        <v/>
      </c>
      <c r="AB5609" s="79" t="str">
        <f>IF(AND(OR(LEFT(TH!N5609,2)="15",LEFT(TH!O5609,2)="15"),LEFT(TH!O5609,3)&lt;&gt;"111",'152-CT'!$J$8=TH!F5609),"x","")</f>
        <v/>
      </c>
      <c r="AC5609" s="79" t="str">
        <f>IF(AND(OR(LEFT(TH!N5609,2)="15",LEFT(TH!O5609,2)="15"),TK!$E$7=TH!F5609),"x","")</f>
        <v/>
      </c>
      <c r="AD5609" s="79" t="str">
        <f>IF(AND(N5609="1521",MONTH(C5609)='BK-NL'!$M$11),"x","")</f>
        <v/>
      </c>
    </row>
    <row r="5610" spans="1:30" ht="16.5" customHeight="1">
      <c r="A5610" s="318" t="str">
        <f>IF(B5610&lt;&gt;"",IF(AND(B5610='IN-TC'!$S$4,OR(TH!N5610="1111",TH!O5610="1111")),TH!D5610,""),"")</f>
        <v/>
      </c>
      <c r="B5610" s="60" t="str">
        <f t="shared" si="508"/>
        <v/>
      </c>
      <c r="C5610" s="61"/>
      <c r="D5610" s="61"/>
      <c r="E5610" s="61"/>
      <c r="F5610" s="64"/>
      <c r="G5610" s="64"/>
      <c r="H5610" s="321"/>
      <c r="I5610" s="385"/>
      <c r="J5610" s="392"/>
      <c r="K5610" s="385"/>
      <c r="L5610" s="392"/>
      <c r="M5610" s="62"/>
      <c r="N5610" s="63"/>
      <c r="O5610" s="63"/>
      <c r="P5610" s="79" t="str">
        <f>IF(AND('331-CT'!$E$7=TH!H5610,OR(N5610="331",O5610="331")),"x","")</f>
        <v/>
      </c>
      <c r="Q5610" s="79" t="str">
        <f>IF(AND(B5610='111'!$L$11,OR($N5610=$Q$7,$O5610=$Q$7)),"x","")</f>
        <v/>
      </c>
      <c r="R5610" s="79" t="str">
        <f>IF(AND($N5610=$Q$7,$B5610&lt;'111'!$L$11),"x","")</f>
        <v/>
      </c>
      <c r="S5610" s="79" t="str">
        <f>IF(AND($O5610=$Q$7,$B5610&lt;'111'!$L$11),"x","")</f>
        <v/>
      </c>
      <c r="T5610" s="79" t="str">
        <f>IF(ISERROR(FIND('112'!$M$9,G5610,1)),"",IF((AND(FIND('112'!$M$9,G5610,1)&gt;=1,B5610='112'!$K$9,OR($N5610='112'!$I$6,$O5610='112'!$I$6))),"x",""))</f>
        <v/>
      </c>
      <c r="U5610" s="79" t="str">
        <f>IF(ISERROR(FIND('112'!$M$9,G5610,1)),"",IF((AND(LEFT(G5610,2)=LEFT('112'!$M$9,2),B5610&lt;'112'!$K$9,$N5610='112'!$I$6)),"x",""))</f>
        <v/>
      </c>
      <c r="V5610" s="79" t="str">
        <f>IF(ISERROR(FIND('112'!$M$9,G5610,1)),"",IF((AND(RIGHT(G5610,2)=RIGHT('112'!$M$9,2),B5610&lt;'112'!$K$9,$O5610='112'!$I$6)),"x",""))</f>
        <v/>
      </c>
      <c r="W5610" s="79" t="str">
        <f>IF(AND('341-CT'!$H$9=H5610,OR(LEFT(N5610,3)=$W$7,LEFT(O5610,3)=$W$7)),"x","")</f>
        <v/>
      </c>
      <c r="X5610" s="79" t="str">
        <f>IF(OR(TH!N5610=TH!$X$7,O5610=TH!$X$7),"x","")</f>
        <v/>
      </c>
      <c r="Y5610" s="79" t="str">
        <f>IF(AND(OR(N5610="131",O5610="131"),H5610='131-CT'!$H$9),"x","")</f>
        <v/>
      </c>
      <c r="Z5610" s="79"/>
      <c r="AA5610" s="79" t="str">
        <f>IF(AND(MONTH(E5610)='IN-NX'!$J$5,'IN-NX'!$D$7=D5610),"x","")</f>
        <v/>
      </c>
      <c r="AB5610" s="79" t="str">
        <f>IF(AND(OR(LEFT(TH!N5610,2)="15",LEFT(TH!O5610,2)="15"),LEFT(TH!O5610,3)&lt;&gt;"111",'152-CT'!$J$8=TH!F5610),"x","")</f>
        <v/>
      </c>
      <c r="AC5610" s="79" t="str">
        <f>IF(AND(OR(LEFT(TH!N5610,2)="15",LEFT(TH!O5610,2)="15"),TK!$E$7=TH!F5610),"x","")</f>
        <v/>
      </c>
      <c r="AD5610" s="79" t="str">
        <f>IF(AND(N5610="1521",MONTH(C5610)='BK-NL'!$M$11),"x","")</f>
        <v/>
      </c>
    </row>
    <row r="5611" spans="1:30" ht="16.5" customHeight="1">
      <c r="A5611" s="318" t="str">
        <f>IF(B5611&lt;&gt;"",IF(AND(B5611='IN-TC'!$S$4,OR(TH!N5611="1111",TH!O5611="1111")),TH!D5611,""),"")</f>
        <v/>
      </c>
      <c r="B5611" s="60" t="str">
        <f t="shared" si="508"/>
        <v/>
      </c>
      <c r="C5611" s="61"/>
      <c r="D5611" s="61"/>
      <c r="E5611" s="61"/>
      <c r="F5611" s="322"/>
      <c r="G5611" s="64"/>
      <c r="H5611" s="321"/>
      <c r="I5611" s="387"/>
      <c r="J5611" s="394"/>
      <c r="K5611" s="387"/>
      <c r="L5611" s="394"/>
      <c r="M5611" s="62"/>
      <c r="N5611" s="63"/>
      <c r="O5611" s="63"/>
      <c r="P5611" s="79" t="str">
        <f>IF(AND('331-CT'!$E$7=TH!H5611,OR(N5611="331",O5611="331")),"x","")</f>
        <v/>
      </c>
      <c r="Q5611" s="79" t="str">
        <f>IF(AND(B5611='111'!$L$11,OR($N5611=$Q$7,$O5611=$Q$7)),"x","")</f>
        <v/>
      </c>
      <c r="R5611" s="79" t="str">
        <f>IF(AND($N5611=$Q$7,$B5611&lt;'111'!$L$11),"x","")</f>
        <v/>
      </c>
      <c r="S5611" s="79" t="str">
        <f>IF(AND($O5611=$Q$7,$B5611&lt;'111'!$L$11),"x","")</f>
        <v/>
      </c>
      <c r="T5611" s="79" t="str">
        <f>IF(ISERROR(FIND('112'!$M$9,G5611,1)),"",IF((AND(FIND('112'!$M$9,G5611,1)&gt;=1,B5611='112'!$K$9,OR($N5611='112'!$I$6,$O5611='112'!$I$6))),"x",""))</f>
        <v/>
      </c>
      <c r="U5611" s="79" t="str">
        <f>IF(ISERROR(FIND('112'!$M$9,G5611,1)),"",IF((AND(LEFT(G5611,2)=LEFT('112'!$M$9,2),B5611&lt;'112'!$K$9,$N5611='112'!$I$6)),"x",""))</f>
        <v/>
      </c>
      <c r="V5611" s="79" t="str">
        <f>IF(ISERROR(FIND('112'!$M$9,G5611,1)),"",IF((AND(RIGHT(G5611,2)=RIGHT('112'!$M$9,2),B5611&lt;'112'!$K$9,$O5611='112'!$I$6)),"x",""))</f>
        <v/>
      </c>
      <c r="W5611" s="79" t="str">
        <f>IF(AND('341-CT'!$H$9=H5611,OR(LEFT(N5611,3)=$W$7,LEFT(O5611,3)=$W$7)),"x","")</f>
        <v/>
      </c>
      <c r="X5611" s="79" t="str">
        <f>IF(OR(TH!N5611=TH!$X$7,O5611=TH!$X$7),"x","")</f>
        <v/>
      </c>
      <c r="Y5611" s="79" t="str">
        <f>IF(AND(OR(N5611="131",O5611="131"),H5611='131-CT'!$H$9),"x","")</f>
        <v/>
      </c>
      <c r="Z5611" s="79"/>
      <c r="AA5611" s="79" t="str">
        <f>IF(AND(MONTH(E5611)='IN-NX'!$J$5,'IN-NX'!$D$7=D5611),"x","")</f>
        <v/>
      </c>
      <c r="AB5611" s="79" t="str">
        <f>IF(AND(OR(LEFT(TH!N5611,2)="15",LEFT(TH!O5611,2)="15"),LEFT(TH!O5611,3)&lt;&gt;"111",'152-CT'!$J$8=TH!F5611),"x","")</f>
        <v/>
      </c>
      <c r="AC5611" s="79" t="str">
        <f>IF(AND(OR(LEFT(TH!N5611,2)="15",LEFT(TH!O5611,2)="15"),TK!$E$7=TH!F5611),"x","")</f>
        <v/>
      </c>
      <c r="AD5611" s="79" t="str">
        <f>IF(AND(N5611="1521",MONTH(C5611)='BK-NL'!$M$11),"x","")</f>
        <v/>
      </c>
    </row>
    <row r="5612" spans="1:30" ht="16.5" customHeight="1">
      <c r="A5612" s="318" t="str">
        <f>IF(B5612&lt;&gt;"",IF(AND(B5612='IN-TC'!$S$4,OR(TH!N5612="1111",TH!O5612="1111")),TH!D5612,""),"")</f>
        <v/>
      </c>
      <c r="B5612" s="60" t="str">
        <f t="shared" si="508"/>
        <v/>
      </c>
      <c r="C5612" s="61"/>
      <c r="D5612" s="61"/>
      <c r="E5612" s="61"/>
      <c r="F5612" s="322"/>
      <c r="G5612" s="64"/>
      <c r="H5612" s="321"/>
      <c r="I5612" s="385"/>
      <c r="J5612" s="392"/>
      <c r="K5612" s="385"/>
      <c r="L5612" s="392"/>
      <c r="M5612" s="62"/>
      <c r="N5612" s="63"/>
      <c r="O5612" s="63"/>
      <c r="P5612" s="79" t="str">
        <f>IF(AND('331-CT'!$E$7=TH!H5612,OR(N5612="331",O5612="331")),"x","")</f>
        <v/>
      </c>
      <c r="Q5612" s="79" t="str">
        <f>IF(AND(B5612='111'!$L$11,OR($N5612=$Q$7,$O5612=$Q$7)),"x","")</f>
        <v/>
      </c>
      <c r="R5612" s="79" t="str">
        <f>IF(AND($N5612=$Q$7,$B5612&lt;'111'!$L$11),"x","")</f>
        <v/>
      </c>
      <c r="S5612" s="79" t="str">
        <f>IF(AND($O5612=$Q$7,$B5612&lt;'111'!$L$11),"x","")</f>
        <v/>
      </c>
      <c r="T5612" s="79" t="str">
        <f>IF(ISERROR(FIND('112'!$M$9,G5612,1)),"",IF((AND(FIND('112'!$M$9,G5612,1)&gt;=1,B5612='112'!$K$9,OR($N5612='112'!$I$6,$O5612='112'!$I$6))),"x",""))</f>
        <v/>
      </c>
      <c r="U5612" s="79" t="str">
        <f>IF(ISERROR(FIND('112'!$M$9,G5612,1)),"",IF((AND(LEFT(G5612,2)=LEFT('112'!$M$9,2),B5612&lt;'112'!$K$9,$N5612='112'!$I$6)),"x",""))</f>
        <v/>
      </c>
      <c r="V5612" s="79" t="str">
        <f>IF(ISERROR(FIND('112'!$M$9,G5612,1)),"",IF((AND(RIGHT(G5612,2)=RIGHT('112'!$M$9,2),B5612&lt;'112'!$K$9,$O5612='112'!$I$6)),"x",""))</f>
        <v/>
      </c>
      <c r="W5612" s="79" t="str">
        <f>IF(AND('341-CT'!$H$9=H5612,OR(LEFT(N5612,3)=$W$7,LEFT(O5612,3)=$W$7)),"x","")</f>
        <v/>
      </c>
      <c r="X5612" s="79" t="str">
        <f>IF(OR(TH!N5612=TH!$X$7,O5612=TH!$X$7),"x","")</f>
        <v/>
      </c>
      <c r="Y5612" s="79" t="str">
        <f>IF(AND(OR(N5612="131",O5612="131"),H5612='131-CT'!$H$9),"x","")</f>
        <v/>
      </c>
      <c r="Z5612" s="79"/>
      <c r="AA5612" s="79" t="str">
        <f>IF(AND(MONTH(E5612)='IN-NX'!$J$5,'IN-NX'!$D$7=D5612),"x","")</f>
        <v/>
      </c>
      <c r="AB5612" s="79" t="str">
        <f>IF(AND(OR(LEFT(TH!N5612,2)="15",LEFT(TH!O5612,2)="15"),LEFT(TH!O5612,3)&lt;&gt;"111",'152-CT'!$J$8=TH!F5612),"x","")</f>
        <v/>
      </c>
      <c r="AC5612" s="79" t="str">
        <f>IF(AND(OR(LEFT(TH!N5612,2)="15",LEFT(TH!O5612,2)="15"),TK!$E$7=TH!F5612),"x","")</f>
        <v/>
      </c>
      <c r="AD5612" s="79" t="str">
        <f>IF(AND(N5612="1521",MONTH(C5612)='BK-NL'!$M$11),"x","")</f>
        <v/>
      </c>
    </row>
    <row r="5613" spans="1:30" ht="16.5" customHeight="1">
      <c r="A5613" s="318" t="str">
        <f>IF(B5613&lt;&gt;"",IF(AND(B5613='IN-TC'!$S$4,OR(TH!N5613="1111",TH!O5613="1111")),TH!D5613,""),"")</f>
        <v/>
      </c>
      <c r="B5613" s="60" t="str">
        <f t="shared" si="508"/>
        <v/>
      </c>
      <c r="C5613" s="320"/>
      <c r="D5613" s="61"/>
      <c r="E5613" s="61"/>
      <c r="F5613" s="64"/>
      <c r="G5613" s="64"/>
      <c r="H5613" s="69"/>
      <c r="I5613" s="385"/>
      <c r="J5613" s="392"/>
      <c r="K5613" s="385"/>
      <c r="L5613" s="392"/>
      <c r="M5613" s="62"/>
      <c r="N5613" s="63"/>
      <c r="O5613" s="63"/>
      <c r="P5613" s="79" t="str">
        <f>IF(AND('331-CT'!$E$7=TH!H5613,OR(N5613="331",O5613="331")),"x","")</f>
        <v/>
      </c>
      <c r="Q5613" s="79" t="str">
        <f>IF(AND(B5613='111'!$L$11,OR($N5613=$Q$7,$O5613=$Q$7)),"x","")</f>
        <v/>
      </c>
      <c r="R5613" s="79" t="str">
        <f>IF(AND($N5613=$Q$7,$B5613&lt;'111'!$L$11),"x","")</f>
        <v/>
      </c>
      <c r="S5613" s="79" t="str">
        <f>IF(AND($O5613=$Q$7,$B5613&lt;'111'!$L$11),"x","")</f>
        <v/>
      </c>
      <c r="T5613" s="79" t="str">
        <f>IF(ISERROR(FIND('112'!$M$9,G5613,1)),"",IF((AND(FIND('112'!$M$9,G5613,1)&gt;=1,B5613='112'!$K$9,OR($N5613='112'!$I$6,$O5613='112'!$I$6))),"x",""))</f>
        <v/>
      </c>
      <c r="U5613" s="79" t="str">
        <f>IF(ISERROR(FIND('112'!$M$9,G5613,1)),"",IF((AND(LEFT(G5613,2)=LEFT('112'!$M$9,2),B5613&lt;'112'!$K$9,$N5613='112'!$I$6)),"x",""))</f>
        <v/>
      </c>
      <c r="V5613" s="79" t="str">
        <f>IF(ISERROR(FIND('112'!$M$9,G5613,1)),"",IF((AND(RIGHT(G5613,2)=RIGHT('112'!$M$9,2),B5613&lt;'112'!$K$9,$O5613='112'!$I$6)),"x",""))</f>
        <v/>
      </c>
      <c r="W5613" s="79" t="str">
        <f>IF(AND('341-CT'!$H$9=H5613,OR(LEFT(N5613,3)=$W$7,LEFT(O5613,3)=$W$7)),"x","")</f>
        <v/>
      </c>
      <c r="X5613" s="79" t="str">
        <f>IF(OR(TH!N5613=TH!$X$7,O5613=TH!$X$7),"x","")</f>
        <v/>
      </c>
      <c r="Y5613" s="79" t="str">
        <f>IF(AND(OR(N5613="131",O5613="131"),H5613='131-CT'!$H$9),"x","")</f>
        <v/>
      </c>
      <c r="Z5613" s="79"/>
      <c r="AA5613" s="79" t="str">
        <f>IF(AND(MONTH(E5613)='IN-NX'!$J$5,'IN-NX'!$D$7=D5613),"x","")</f>
        <v/>
      </c>
      <c r="AB5613" s="79" t="str">
        <f>IF(AND(OR(LEFT(TH!N5613,2)="15",LEFT(TH!O5613,2)="15"),LEFT(TH!O5613,3)&lt;&gt;"111",'152-CT'!$J$8=TH!F5613),"x","")</f>
        <v/>
      </c>
      <c r="AC5613" s="79" t="str">
        <f>IF(AND(OR(LEFT(TH!N5613,2)="15",LEFT(TH!O5613,2)="15"),TK!$E$7=TH!F5613),"x","")</f>
        <v/>
      </c>
      <c r="AD5613" s="79" t="str">
        <f>IF(AND(N5613="1521",MONTH(C5613)='BK-NL'!$M$11),"x","")</f>
        <v/>
      </c>
    </row>
    <row r="5614" spans="1:30" ht="16.5" customHeight="1">
      <c r="A5614" s="318" t="str">
        <f>IF(B5614&lt;&gt;"",IF(AND(B5614='IN-TC'!$S$4,OR(TH!N5614="1111",TH!O5614="1111")),TH!D5614,""),"")</f>
        <v/>
      </c>
      <c r="B5614" s="60" t="str">
        <f t="shared" si="508"/>
        <v/>
      </c>
      <c r="C5614" s="61"/>
      <c r="D5614" s="61"/>
      <c r="E5614" s="61"/>
      <c r="F5614" s="69"/>
      <c r="G5614" s="64"/>
      <c r="H5614" s="69"/>
      <c r="I5614" s="385"/>
      <c r="J5614" s="392"/>
      <c r="K5614" s="385"/>
      <c r="L5614" s="392"/>
      <c r="M5614" s="62"/>
      <c r="N5614" s="63"/>
      <c r="O5614" s="63"/>
      <c r="P5614" s="79" t="str">
        <f>IF(AND('331-CT'!$E$7=TH!H5614,OR(N5614="331",O5614="331")),"x","")</f>
        <v/>
      </c>
      <c r="Q5614" s="79" t="str">
        <f>IF(AND(B5614='111'!$L$11,OR($N5614=$Q$7,$O5614=$Q$7)),"x","")</f>
        <v/>
      </c>
      <c r="R5614" s="79" t="str">
        <f>IF(AND($N5614=$Q$7,$B5614&lt;'111'!$L$11),"x","")</f>
        <v/>
      </c>
      <c r="S5614" s="79" t="str">
        <f>IF(AND($O5614=$Q$7,$B5614&lt;'111'!$L$11),"x","")</f>
        <v/>
      </c>
      <c r="T5614" s="79" t="str">
        <f>IF(ISERROR(FIND('112'!$M$9,G5614,1)),"",IF((AND(FIND('112'!$M$9,G5614,1)&gt;=1,B5614='112'!$K$9,OR($N5614='112'!$I$6,$O5614='112'!$I$6))),"x",""))</f>
        <v/>
      </c>
      <c r="U5614" s="79" t="str">
        <f>IF(ISERROR(FIND('112'!$M$9,G5614,1)),"",IF((AND(LEFT(G5614,2)=LEFT('112'!$M$9,2),B5614&lt;'112'!$K$9,$N5614='112'!$I$6)),"x",""))</f>
        <v/>
      </c>
      <c r="V5614" s="79" t="str">
        <f>IF(ISERROR(FIND('112'!$M$9,G5614,1)),"",IF((AND(RIGHT(G5614,2)=RIGHT('112'!$M$9,2),B5614&lt;'112'!$K$9,$O5614='112'!$I$6)),"x",""))</f>
        <v/>
      </c>
      <c r="W5614" s="79" t="str">
        <f>IF(AND('341-CT'!$H$9=H5614,OR(LEFT(N5614,3)=$W$7,LEFT(O5614,3)=$W$7)),"x","")</f>
        <v/>
      </c>
      <c r="X5614" s="79" t="str">
        <f>IF(OR(TH!N5614=TH!$X$7,O5614=TH!$X$7),"x","")</f>
        <v/>
      </c>
      <c r="Y5614" s="79" t="str">
        <f>IF(AND(OR(N5614="131",O5614="131"),H5614='131-CT'!$H$9),"x","")</f>
        <v/>
      </c>
      <c r="Z5614" s="79"/>
      <c r="AA5614" s="79" t="str">
        <f>IF(AND(MONTH(E5614)='IN-NX'!$J$5,'IN-NX'!$D$7=D5614),"x","")</f>
        <v/>
      </c>
      <c r="AB5614" s="79" t="str">
        <f>IF(AND(OR(LEFT(TH!N5614,2)="15",LEFT(TH!O5614,2)="15"),LEFT(TH!O5614,3)&lt;&gt;"111",'152-CT'!$J$8=TH!F5614),"x","")</f>
        <v/>
      </c>
      <c r="AC5614" s="79" t="str">
        <f>IF(AND(OR(LEFT(TH!N5614,2)="15",LEFT(TH!O5614,2)="15"),TK!$E$7=TH!F5614),"x","")</f>
        <v/>
      </c>
      <c r="AD5614" s="79" t="str">
        <f>IF(AND(N5614="1521",MONTH(C5614)='BK-NL'!$M$11),"x","")</f>
        <v/>
      </c>
    </row>
    <row r="5615" spans="1:30" ht="16.5" customHeight="1">
      <c r="A5615" s="318" t="str">
        <f>IF(B5615&lt;&gt;"",IF(AND(B5615='IN-TC'!$S$4,OR(TH!N5615="1111",TH!O5615="1111")),TH!D5615,""),"")</f>
        <v/>
      </c>
      <c r="B5615" s="60" t="str">
        <f t="shared" si="508"/>
        <v/>
      </c>
      <c r="C5615" s="61"/>
      <c r="D5615" s="61"/>
      <c r="E5615" s="61"/>
      <c r="F5615" s="64"/>
      <c r="G5615" s="64"/>
      <c r="H5615" s="70"/>
      <c r="I5615" s="387"/>
      <c r="J5615" s="394"/>
      <c r="K5615" s="387"/>
      <c r="L5615" s="394"/>
      <c r="M5615" s="62"/>
      <c r="N5615" s="63"/>
      <c r="O5615" s="63"/>
      <c r="P5615" s="79" t="str">
        <f>IF(AND('331-CT'!$E$7=TH!H5615,OR(N5615="331",O5615="331")),"x","")</f>
        <v/>
      </c>
      <c r="Q5615" s="79" t="str">
        <f>IF(AND(B5615='111'!$L$11,OR($N5615=$Q$7,$O5615=$Q$7)),"x","")</f>
        <v/>
      </c>
      <c r="R5615" s="79" t="str">
        <f>IF(AND($N5615=$Q$7,$B5615&lt;'111'!$L$11),"x","")</f>
        <v/>
      </c>
      <c r="S5615" s="79" t="str">
        <f>IF(AND($O5615=$Q$7,$B5615&lt;'111'!$L$11),"x","")</f>
        <v/>
      </c>
      <c r="T5615" s="79" t="str">
        <f>IF(ISERROR(FIND('112'!$M$9,G5615,1)),"",IF((AND(FIND('112'!$M$9,G5615,1)&gt;=1,B5615='112'!$K$9,OR($N5615='112'!$I$6,$O5615='112'!$I$6))),"x",""))</f>
        <v/>
      </c>
      <c r="U5615" s="79" t="str">
        <f>IF(ISERROR(FIND('112'!$M$9,G5615,1)),"",IF((AND(LEFT(G5615,2)=LEFT('112'!$M$9,2),B5615&lt;'112'!$K$9,$N5615='112'!$I$6)),"x",""))</f>
        <v/>
      </c>
      <c r="V5615" s="79" t="str">
        <f>IF(ISERROR(FIND('112'!$M$9,G5615,1)),"",IF((AND(RIGHT(G5615,2)=RIGHT('112'!$M$9,2),B5615&lt;'112'!$K$9,$O5615='112'!$I$6)),"x",""))</f>
        <v/>
      </c>
      <c r="W5615" s="79" t="str">
        <f>IF(AND('341-CT'!$H$9=H5615,OR(LEFT(N5615,3)=$W$7,LEFT(O5615,3)=$W$7)),"x","")</f>
        <v/>
      </c>
      <c r="X5615" s="79" t="str">
        <f>IF(OR(TH!N5615=TH!$X$7,O5615=TH!$X$7),"x","")</f>
        <v/>
      </c>
      <c r="Y5615" s="79" t="str">
        <f>IF(AND(OR(N5615="131",O5615="131"),H5615='131-CT'!$H$9),"x","")</f>
        <v/>
      </c>
      <c r="Z5615" s="79"/>
      <c r="AA5615" s="79" t="str">
        <f>IF(AND(MONTH(E5615)='IN-NX'!$J$5,'IN-NX'!$D$7=D5615),"x","")</f>
        <v/>
      </c>
      <c r="AB5615" s="79" t="str">
        <f>IF(AND(OR(LEFT(TH!N5615,2)="15",LEFT(TH!O5615,2)="15"),LEFT(TH!O5615,3)&lt;&gt;"111",'152-CT'!$J$8=TH!F5615),"x","")</f>
        <v/>
      </c>
      <c r="AC5615" s="79" t="str">
        <f>IF(AND(OR(LEFT(TH!N5615,2)="15",LEFT(TH!O5615,2)="15"),TK!$E$7=TH!F5615),"x","")</f>
        <v/>
      </c>
      <c r="AD5615" s="79" t="str">
        <f>IF(AND(N5615="1521",MONTH(C5615)='BK-NL'!$M$11),"x","")</f>
        <v/>
      </c>
    </row>
    <row r="5616" spans="1:30" ht="16.5" customHeight="1">
      <c r="A5616" s="318" t="str">
        <f>IF(B5616&lt;&gt;"",IF(AND(B5616='IN-TC'!$S$4,OR(TH!N5616="1111",TH!O5616="1111")),TH!D5616,""),"")</f>
        <v/>
      </c>
      <c r="B5616" s="60" t="str">
        <f t="shared" si="508"/>
        <v/>
      </c>
      <c r="C5616" s="61"/>
      <c r="D5616" s="61"/>
      <c r="E5616" s="61"/>
      <c r="F5616" s="64"/>
      <c r="G5616" s="64"/>
      <c r="H5616" s="69"/>
      <c r="I5616" s="385"/>
      <c r="J5616" s="392"/>
      <c r="K5616" s="385"/>
      <c r="L5616" s="392"/>
      <c r="M5616" s="62"/>
      <c r="N5616" s="63"/>
      <c r="O5616" s="63"/>
      <c r="P5616" s="79" t="str">
        <f>IF(AND('331-CT'!$E$7=TH!H5616,OR(N5616="331",O5616="331")),"x","")</f>
        <v/>
      </c>
      <c r="Q5616" s="79" t="str">
        <f>IF(AND(B5616='111'!$L$11,OR($N5616=$Q$7,$O5616=$Q$7)),"x","")</f>
        <v/>
      </c>
      <c r="R5616" s="79" t="str">
        <f>IF(AND($N5616=$Q$7,$B5616&lt;'111'!$L$11),"x","")</f>
        <v/>
      </c>
      <c r="S5616" s="79" t="str">
        <f>IF(AND($O5616=$Q$7,$B5616&lt;'111'!$L$11),"x","")</f>
        <v/>
      </c>
      <c r="T5616" s="79" t="str">
        <f>IF(ISERROR(FIND('112'!$M$9,G5616,1)),"",IF((AND(FIND('112'!$M$9,G5616,1)&gt;=1,B5616='112'!$K$9,OR($N5616='112'!$I$6,$O5616='112'!$I$6))),"x",""))</f>
        <v/>
      </c>
      <c r="U5616" s="79" t="str">
        <f>IF(ISERROR(FIND('112'!$M$9,G5616,1)),"",IF((AND(LEFT(G5616,2)=LEFT('112'!$M$9,2),B5616&lt;'112'!$K$9,$N5616='112'!$I$6)),"x",""))</f>
        <v/>
      </c>
      <c r="V5616" s="79" t="str">
        <f>IF(ISERROR(FIND('112'!$M$9,G5616,1)),"",IF((AND(RIGHT(G5616,2)=RIGHT('112'!$M$9,2),B5616&lt;'112'!$K$9,$O5616='112'!$I$6)),"x",""))</f>
        <v/>
      </c>
      <c r="W5616" s="79" t="str">
        <f>IF(AND('341-CT'!$H$9=H5616,OR(LEFT(N5616,3)=$W$7,LEFT(O5616,3)=$W$7)),"x","")</f>
        <v/>
      </c>
      <c r="X5616" s="79" t="str">
        <f>IF(OR(TH!N5616=TH!$X$7,O5616=TH!$X$7),"x","")</f>
        <v/>
      </c>
      <c r="Y5616" s="79" t="str">
        <f>IF(AND(OR(N5616="131",O5616="131"),H5616='131-CT'!$H$9),"x","")</f>
        <v/>
      </c>
      <c r="Z5616" s="79"/>
      <c r="AA5616" s="79" t="str">
        <f>IF(AND(MONTH(E5616)='IN-NX'!$J$5,'IN-NX'!$D$7=D5616),"x","")</f>
        <v/>
      </c>
      <c r="AB5616" s="79" t="str">
        <f>IF(AND(OR(LEFT(TH!N5616,2)="15",LEFT(TH!O5616,2)="15"),LEFT(TH!O5616,3)&lt;&gt;"111",'152-CT'!$J$8=TH!F5616),"x","")</f>
        <v/>
      </c>
      <c r="AC5616" s="79" t="str">
        <f>IF(AND(OR(LEFT(TH!N5616,2)="15",LEFT(TH!O5616,2)="15"),TK!$E$7=TH!F5616),"x","")</f>
        <v/>
      </c>
      <c r="AD5616" s="79" t="str">
        <f>IF(AND(N5616="1521",MONTH(C5616)='BK-NL'!$M$11),"x","")</f>
        <v/>
      </c>
    </row>
    <row r="5617" spans="1:30" ht="16.5" customHeight="1">
      <c r="A5617" s="318" t="str">
        <f>IF(B5617&lt;&gt;"",IF(AND(B5617='IN-TC'!$S$4,OR(TH!N5617="1111",TH!O5617="1111")),TH!D5617,""),"")</f>
        <v/>
      </c>
      <c r="B5617" s="60" t="str">
        <f t="shared" si="508"/>
        <v/>
      </c>
      <c r="C5617" s="61"/>
      <c r="D5617" s="61"/>
      <c r="E5617" s="61"/>
      <c r="F5617" s="64"/>
      <c r="G5617" s="64"/>
      <c r="H5617" s="69"/>
      <c r="I5617" s="385"/>
      <c r="J5617" s="392"/>
      <c r="K5617" s="385"/>
      <c r="L5617" s="392"/>
      <c r="M5617" s="62"/>
      <c r="N5617" s="63"/>
      <c r="O5617" s="63"/>
      <c r="P5617" s="79" t="str">
        <f>IF(AND('331-CT'!$E$7=TH!H5617,OR(N5617="331",O5617="331")),"x","")</f>
        <v/>
      </c>
      <c r="Q5617" s="79" t="str">
        <f>IF(AND(B5617='111'!$L$11,OR($N5617=$Q$7,$O5617=$Q$7)),"x","")</f>
        <v/>
      </c>
      <c r="R5617" s="79" t="str">
        <f>IF(AND($N5617=$Q$7,$B5617&lt;'111'!$L$11),"x","")</f>
        <v/>
      </c>
      <c r="S5617" s="79" t="str">
        <f>IF(AND($O5617=$Q$7,$B5617&lt;'111'!$L$11),"x","")</f>
        <v/>
      </c>
      <c r="T5617" s="79" t="str">
        <f>IF(ISERROR(FIND('112'!$M$9,G5617,1)),"",IF((AND(FIND('112'!$M$9,G5617,1)&gt;=1,B5617='112'!$K$9,OR($N5617='112'!$I$6,$O5617='112'!$I$6))),"x",""))</f>
        <v/>
      </c>
      <c r="U5617" s="79" t="str">
        <f>IF(ISERROR(FIND('112'!$M$9,G5617,1)),"",IF((AND(LEFT(G5617,2)=LEFT('112'!$M$9,2),B5617&lt;'112'!$K$9,$N5617='112'!$I$6)),"x",""))</f>
        <v/>
      </c>
      <c r="V5617" s="79" t="str">
        <f>IF(ISERROR(FIND('112'!$M$9,G5617,1)),"",IF((AND(RIGHT(G5617,2)=RIGHT('112'!$M$9,2),B5617&lt;'112'!$K$9,$O5617='112'!$I$6)),"x",""))</f>
        <v/>
      </c>
      <c r="W5617" s="79" t="str">
        <f>IF(AND('341-CT'!$H$9=H5617,OR(LEFT(N5617,3)=$W$7,LEFT(O5617,3)=$W$7)),"x","")</f>
        <v/>
      </c>
      <c r="X5617" s="79" t="str">
        <f>IF(OR(TH!N5617=TH!$X$7,O5617=TH!$X$7),"x","")</f>
        <v/>
      </c>
      <c r="Y5617" s="79" t="str">
        <f>IF(AND(OR(N5617="131",O5617="131"),H5617='131-CT'!$H$9),"x","")</f>
        <v/>
      </c>
      <c r="Z5617" s="79"/>
      <c r="AA5617" s="79" t="str">
        <f>IF(AND(MONTH(E5617)='IN-NX'!$J$5,'IN-NX'!$D$7=D5617),"x","")</f>
        <v/>
      </c>
      <c r="AB5617" s="79" t="str">
        <f>IF(AND(OR(LEFT(TH!N5617,2)="15",LEFT(TH!O5617,2)="15"),LEFT(TH!O5617,3)&lt;&gt;"111",'152-CT'!$J$8=TH!F5617),"x","")</f>
        <v/>
      </c>
      <c r="AC5617" s="79" t="str">
        <f>IF(AND(OR(LEFT(TH!N5617,2)="15",LEFT(TH!O5617,2)="15"),TK!$E$7=TH!F5617),"x","")</f>
        <v/>
      </c>
      <c r="AD5617" s="79" t="str">
        <f>IF(AND(N5617="1521",MONTH(C5617)='BK-NL'!$M$11),"x","")</f>
        <v/>
      </c>
    </row>
    <row r="5618" spans="1:30" ht="16.5" customHeight="1">
      <c r="A5618" s="318" t="str">
        <f>IF(B5618&lt;&gt;"",IF(AND(B5618='IN-TC'!$S$4,OR(TH!N5618="1111",TH!O5618="1111")),TH!D5618,""),"")</f>
        <v/>
      </c>
      <c r="B5618" s="60" t="str">
        <f t="shared" si="508"/>
        <v/>
      </c>
      <c r="C5618" s="61"/>
      <c r="D5618" s="61"/>
      <c r="E5618" s="61"/>
      <c r="F5618" s="64"/>
      <c r="G5618" s="64"/>
      <c r="H5618" s="69"/>
      <c r="I5618" s="387"/>
      <c r="J5618" s="394"/>
      <c r="K5618" s="385"/>
      <c r="L5618" s="392"/>
      <c r="M5618" s="62"/>
      <c r="N5618" s="63"/>
      <c r="O5618" s="63"/>
      <c r="P5618" s="79" t="str">
        <f>IF(AND('331-CT'!$E$7=TH!H5618,OR(N5618="331",O5618="331")),"x","")</f>
        <v/>
      </c>
      <c r="Q5618" s="79" t="str">
        <f>IF(AND(B5618='111'!$L$11,OR($N5618=$Q$7,$O5618=$Q$7)),"x","")</f>
        <v/>
      </c>
      <c r="R5618" s="79" t="str">
        <f>IF(AND($N5618=$Q$7,$B5618&lt;'111'!$L$11),"x","")</f>
        <v/>
      </c>
      <c r="S5618" s="79" t="str">
        <f>IF(AND($O5618=$Q$7,$B5618&lt;'111'!$L$11),"x","")</f>
        <v/>
      </c>
      <c r="T5618" s="79" t="str">
        <f>IF(ISERROR(FIND('112'!$M$9,G5618,1)),"",IF((AND(FIND('112'!$M$9,G5618,1)&gt;=1,B5618='112'!$K$9,OR($N5618='112'!$I$6,$O5618='112'!$I$6))),"x",""))</f>
        <v/>
      </c>
      <c r="U5618" s="79" t="str">
        <f>IF(ISERROR(FIND('112'!$M$9,G5618,1)),"",IF((AND(LEFT(G5618,2)=LEFT('112'!$M$9,2),B5618&lt;'112'!$K$9,$N5618='112'!$I$6)),"x",""))</f>
        <v/>
      </c>
      <c r="V5618" s="79" t="str">
        <f>IF(ISERROR(FIND('112'!$M$9,G5618,1)),"",IF((AND(RIGHT(G5618,2)=RIGHT('112'!$M$9,2),B5618&lt;'112'!$K$9,$O5618='112'!$I$6)),"x",""))</f>
        <v/>
      </c>
      <c r="W5618" s="79" t="str">
        <f>IF(AND('341-CT'!$H$9=H5618,OR(LEFT(N5618,3)=$W$7,LEFT(O5618,3)=$W$7)),"x","")</f>
        <v/>
      </c>
      <c r="X5618" s="79" t="str">
        <f>IF(OR(TH!N5618=TH!$X$7,O5618=TH!$X$7),"x","")</f>
        <v/>
      </c>
      <c r="Y5618" s="79" t="str">
        <f>IF(AND(OR(N5618="131",O5618="131"),H5618='131-CT'!$H$9),"x","")</f>
        <v/>
      </c>
      <c r="Z5618" s="79"/>
      <c r="AA5618" s="79" t="str">
        <f>IF(AND(MONTH(E5618)='IN-NX'!$J$5,'IN-NX'!$D$7=D5618),"x","")</f>
        <v/>
      </c>
      <c r="AB5618" s="79" t="str">
        <f>IF(AND(OR(LEFT(TH!N5618,2)="15",LEFT(TH!O5618,2)="15"),LEFT(TH!O5618,3)&lt;&gt;"111",'152-CT'!$J$8=TH!F5618),"x","")</f>
        <v/>
      </c>
      <c r="AC5618" s="79" t="str">
        <f>IF(AND(OR(LEFT(TH!N5618,2)="15",LEFT(TH!O5618,2)="15"),TK!$E$7=TH!F5618),"x","")</f>
        <v/>
      </c>
      <c r="AD5618" s="79" t="str">
        <f>IF(AND(N5618="1521",MONTH(C5618)='BK-NL'!$M$11),"x","")</f>
        <v/>
      </c>
    </row>
    <row r="5619" spans="1:30" ht="16.5" customHeight="1">
      <c r="A5619" s="318" t="str">
        <f>IF(B5619&lt;&gt;"",IF(AND(B5619='IN-TC'!$S$4,OR(TH!N5619="1111",TH!O5619="1111")),TH!D5619,""),"")</f>
        <v/>
      </c>
      <c r="B5619" s="60" t="str">
        <f t="shared" si="508"/>
        <v/>
      </c>
      <c r="C5619" s="61"/>
      <c r="D5619" s="61"/>
      <c r="E5619" s="61"/>
      <c r="F5619" s="64"/>
      <c r="G5619" s="64"/>
      <c r="H5619" s="446"/>
      <c r="I5619" s="385"/>
      <c r="J5619" s="392"/>
      <c r="K5619" s="385"/>
      <c r="L5619" s="392"/>
      <c r="M5619" s="62"/>
      <c r="N5619" s="63"/>
      <c r="O5619" s="63"/>
      <c r="P5619" s="79" t="str">
        <f>IF(AND('331-CT'!$E$7=TH!H5619,OR(N5619="331",O5619="331")),"x","")</f>
        <v/>
      </c>
      <c r="Q5619" s="79" t="str">
        <f>IF(AND(B5619='111'!$L$11,OR($N5619=$Q$7,$O5619=$Q$7)),"x","")</f>
        <v/>
      </c>
      <c r="R5619" s="79" t="str">
        <f>IF(AND($N5619=$Q$7,$B5619&lt;'111'!$L$11),"x","")</f>
        <v/>
      </c>
      <c r="S5619" s="79" t="str">
        <f>IF(AND($O5619=$Q$7,$B5619&lt;'111'!$L$11),"x","")</f>
        <v/>
      </c>
      <c r="T5619" s="79" t="str">
        <f>IF(ISERROR(FIND('112'!$M$9,G5619,1)),"",IF((AND(FIND('112'!$M$9,G5619,1)&gt;=1,B5619='112'!$K$9,OR($N5619='112'!$I$6,$O5619='112'!$I$6))),"x",""))</f>
        <v/>
      </c>
      <c r="U5619" s="79" t="str">
        <f>IF(ISERROR(FIND('112'!$M$9,G5619,1)),"",IF((AND(LEFT(G5619,2)=LEFT('112'!$M$9,2),B5619&lt;'112'!$K$9,$N5619='112'!$I$6)),"x",""))</f>
        <v/>
      </c>
      <c r="V5619" s="79" t="str">
        <f>IF(ISERROR(FIND('112'!$M$9,G5619,1)),"",IF((AND(RIGHT(G5619,2)=RIGHT('112'!$M$9,2),B5619&lt;'112'!$K$9,$O5619='112'!$I$6)),"x",""))</f>
        <v/>
      </c>
      <c r="W5619" s="79" t="str">
        <f>IF(AND('341-CT'!$H$9=H5619,OR(LEFT(N5619,3)=$W$7,LEFT(O5619,3)=$W$7)),"x","")</f>
        <v/>
      </c>
      <c r="X5619" s="79" t="str">
        <f>IF(OR(TH!N5619=TH!$X$7,O5619=TH!$X$7),"x","")</f>
        <v/>
      </c>
      <c r="Y5619" s="79" t="str">
        <f>IF(AND(OR(N5619="131",O5619="131"),H5619='131-CT'!$H$9),"x","")</f>
        <v/>
      </c>
      <c r="Z5619" s="79"/>
      <c r="AA5619" s="79" t="str">
        <f>IF(AND(MONTH(E5619)='IN-NX'!$J$5,'IN-NX'!$D$7=D5619),"x","")</f>
        <v/>
      </c>
      <c r="AB5619" s="79" t="str">
        <f>IF(AND(OR(LEFT(TH!N5619,2)="15",LEFT(TH!O5619,2)="15"),LEFT(TH!O5619,3)&lt;&gt;"111",'152-CT'!$J$8=TH!F5619),"x","")</f>
        <v/>
      </c>
      <c r="AC5619" s="79" t="str">
        <f>IF(AND(OR(LEFT(TH!N5619,2)="15",LEFT(TH!O5619,2)="15"),TK!$E$7=TH!F5619),"x","")</f>
        <v/>
      </c>
      <c r="AD5619" s="79" t="str">
        <f>IF(AND(N5619="1521",MONTH(C5619)='BK-NL'!$M$11),"x","")</f>
        <v/>
      </c>
    </row>
    <row r="5620" spans="1:30" ht="16.5" customHeight="1">
      <c r="A5620" s="318" t="str">
        <f>IF(B5620&lt;&gt;"",IF(AND(B5620='IN-TC'!$S$4,OR(TH!N5620="1111",TH!O5620="1111")),TH!D5620,""),"")</f>
        <v/>
      </c>
      <c r="B5620" s="60" t="str">
        <f t="shared" si="508"/>
        <v/>
      </c>
      <c r="C5620" s="61"/>
      <c r="D5620" s="61"/>
      <c r="E5620" s="61"/>
      <c r="F5620" s="446"/>
      <c r="G5620" s="64"/>
      <c r="H5620" s="446"/>
      <c r="I5620" s="385"/>
      <c r="J5620" s="392"/>
      <c r="K5620" s="385"/>
      <c r="L5620" s="392"/>
      <c r="M5620" s="62"/>
      <c r="N5620" s="63"/>
      <c r="O5620" s="63"/>
      <c r="P5620" s="79" t="str">
        <f>IF(AND('331-CT'!$E$7=TH!H5620,OR(N5620="331",O5620="331")),"x","")</f>
        <v/>
      </c>
      <c r="Q5620" s="79" t="str">
        <f>IF(AND(B5620='111'!$L$11,OR($N5620=$Q$7,$O5620=$Q$7)),"x","")</f>
        <v/>
      </c>
      <c r="R5620" s="79" t="str">
        <f>IF(AND($N5620=$Q$7,$B5620&lt;'111'!$L$11),"x","")</f>
        <v/>
      </c>
      <c r="S5620" s="79" t="str">
        <f>IF(AND($O5620=$Q$7,$B5620&lt;'111'!$L$11),"x","")</f>
        <v/>
      </c>
      <c r="T5620" s="79" t="str">
        <f>IF(ISERROR(FIND('112'!$M$9,G5620,1)),"",IF((AND(FIND('112'!$M$9,G5620,1)&gt;=1,B5620='112'!$K$9,OR($N5620='112'!$I$6,$O5620='112'!$I$6))),"x",""))</f>
        <v/>
      </c>
      <c r="U5620" s="79" t="str">
        <f>IF(ISERROR(FIND('112'!$M$9,G5620,1)),"",IF((AND(LEFT(G5620,2)=LEFT('112'!$M$9,2),B5620&lt;'112'!$K$9,$N5620='112'!$I$6)),"x",""))</f>
        <v/>
      </c>
      <c r="V5620" s="79" t="str">
        <f>IF(ISERROR(FIND('112'!$M$9,G5620,1)),"",IF((AND(RIGHT(G5620,2)=RIGHT('112'!$M$9,2),B5620&lt;'112'!$K$9,$O5620='112'!$I$6)),"x",""))</f>
        <v/>
      </c>
      <c r="W5620" s="79" t="str">
        <f>IF(AND('341-CT'!$H$9=H5620,OR(LEFT(N5620,3)=$W$7,LEFT(O5620,3)=$W$7)),"x","")</f>
        <v/>
      </c>
      <c r="X5620" s="79" t="str">
        <f>IF(OR(TH!N5620=TH!$X$7,O5620=TH!$X$7),"x","")</f>
        <v/>
      </c>
      <c r="Y5620" s="79" t="str">
        <f>IF(AND(OR(N5620="131",O5620="131"),H5620='131-CT'!$H$9),"x","")</f>
        <v/>
      </c>
      <c r="Z5620" s="79"/>
      <c r="AA5620" s="79" t="str">
        <f>IF(AND(MONTH(E5620)='IN-NX'!$J$5,'IN-NX'!$D$7=D5620),"x","")</f>
        <v/>
      </c>
      <c r="AB5620" s="79" t="str">
        <f>IF(AND(OR(LEFT(TH!N5620,2)="15",LEFT(TH!O5620,2)="15"),LEFT(TH!O5620,3)&lt;&gt;"111",'152-CT'!$J$8=TH!F5620),"x","")</f>
        <v/>
      </c>
      <c r="AC5620" s="79" t="str">
        <f>IF(AND(OR(LEFT(TH!N5620,2)="15",LEFT(TH!O5620,2)="15"),TK!$E$7=TH!F5620),"x","")</f>
        <v/>
      </c>
      <c r="AD5620" s="79" t="str">
        <f>IF(AND(N5620="1521",MONTH(C5620)='BK-NL'!$M$11),"x","")</f>
        <v/>
      </c>
    </row>
    <row r="5621" spans="1:30" ht="16.5" customHeight="1">
      <c r="A5621" s="318" t="str">
        <f>IF(B5621&lt;&gt;"",IF(AND(B5621='IN-TC'!$S$4,OR(TH!N5621="1111",TH!O5621="1111")),TH!D5621,""),"")</f>
        <v/>
      </c>
      <c r="B5621" s="60" t="str">
        <f t="shared" si="508"/>
        <v/>
      </c>
      <c r="C5621" s="61"/>
      <c r="D5621" s="61"/>
      <c r="E5621" s="61"/>
      <c r="F5621" s="446"/>
      <c r="G5621" s="64"/>
      <c r="H5621" s="446"/>
      <c r="I5621" s="387"/>
      <c r="J5621" s="392"/>
      <c r="K5621" s="387"/>
      <c r="L5621" s="394"/>
      <c r="M5621" s="62"/>
      <c r="N5621" s="63"/>
      <c r="O5621" s="63"/>
      <c r="P5621" s="79" t="str">
        <f>IF(AND('331-CT'!$E$7=TH!H5621,OR(N5621="331",O5621="331")),"x","")</f>
        <v/>
      </c>
      <c r="Q5621" s="79" t="str">
        <f>IF(AND(B5621='111'!$L$11,OR($N5621=$Q$7,$O5621=$Q$7)),"x","")</f>
        <v/>
      </c>
      <c r="R5621" s="79" t="str">
        <f>IF(AND($N5621=$Q$7,$B5621&lt;'111'!$L$11),"x","")</f>
        <v/>
      </c>
      <c r="S5621" s="79" t="str">
        <f>IF(AND($O5621=$Q$7,$B5621&lt;'111'!$L$11),"x","")</f>
        <v/>
      </c>
      <c r="T5621" s="79" t="str">
        <f>IF(ISERROR(FIND('112'!$M$9,G5621,1)),"",IF((AND(FIND('112'!$M$9,G5621,1)&gt;=1,B5621='112'!$K$9,OR($N5621='112'!$I$6,$O5621='112'!$I$6))),"x",""))</f>
        <v/>
      </c>
      <c r="U5621" s="79" t="str">
        <f>IF(ISERROR(FIND('112'!$M$9,G5621,1)),"",IF((AND(LEFT(G5621,2)=LEFT('112'!$M$9,2),B5621&lt;'112'!$K$9,$N5621='112'!$I$6)),"x",""))</f>
        <v/>
      </c>
      <c r="V5621" s="79" t="str">
        <f>IF(ISERROR(FIND('112'!$M$9,G5621,1)),"",IF((AND(RIGHT(G5621,2)=RIGHT('112'!$M$9,2),B5621&lt;'112'!$K$9,$O5621='112'!$I$6)),"x",""))</f>
        <v/>
      </c>
      <c r="W5621" s="79" t="str">
        <f>IF(AND('341-CT'!$H$9=H5621,OR(LEFT(N5621,3)=$W$7,LEFT(O5621,3)=$W$7)),"x","")</f>
        <v/>
      </c>
      <c r="X5621" s="79" t="str">
        <f>IF(OR(TH!N5621=TH!$X$7,O5621=TH!$X$7),"x","")</f>
        <v/>
      </c>
      <c r="Y5621" s="79" t="str">
        <f>IF(AND(OR(N5621="131",O5621="131"),H5621='131-CT'!$H$9),"x","")</f>
        <v/>
      </c>
      <c r="Z5621" s="79"/>
      <c r="AA5621" s="79" t="str">
        <f>IF(AND(MONTH(E5621)='IN-NX'!$J$5,'IN-NX'!$D$7=D5621),"x","")</f>
        <v/>
      </c>
      <c r="AB5621" s="79" t="str">
        <f>IF(AND(OR(LEFT(TH!N5621,2)="15",LEFT(TH!O5621,2)="15"),LEFT(TH!O5621,3)&lt;&gt;"111",'152-CT'!$J$8=TH!F5621),"x","")</f>
        <v/>
      </c>
      <c r="AC5621" s="79" t="str">
        <f>IF(AND(OR(LEFT(TH!N5621,2)="15",LEFT(TH!O5621,2)="15"),TK!$E$7=TH!F5621),"x","")</f>
        <v/>
      </c>
      <c r="AD5621" s="79" t="str">
        <f>IF(AND(N5621="1521",MONTH(C5621)='BK-NL'!$M$11),"x","")</f>
        <v/>
      </c>
    </row>
    <row r="5622" spans="1:30" ht="16.5" customHeight="1">
      <c r="A5622" s="318" t="str">
        <f>IF(B5622&lt;&gt;"",IF(AND(B5622='IN-TC'!$S$4,OR(TH!N5622="1111",TH!O5622="1111")),TH!D5622,""),"")</f>
        <v/>
      </c>
      <c r="B5622" s="60" t="str">
        <f t="shared" si="508"/>
        <v/>
      </c>
      <c r="C5622" s="61"/>
      <c r="D5622" s="61"/>
      <c r="E5622" s="61"/>
      <c r="F5622" s="446"/>
      <c r="G5622" s="64"/>
      <c r="H5622" s="446"/>
      <c r="I5622" s="385"/>
      <c r="J5622" s="392"/>
      <c r="K5622" s="385"/>
      <c r="L5622" s="392"/>
      <c r="M5622" s="62"/>
      <c r="N5622" s="63"/>
      <c r="O5622" s="63"/>
      <c r="P5622" s="79" t="str">
        <f>IF(AND('331-CT'!$E$7=TH!H5622,OR(N5622="331",O5622="331")),"x","")</f>
        <v/>
      </c>
      <c r="Q5622" s="79" t="str">
        <f>IF(AND(B5622='111'!$L$11,OR($N5622=$Q$7,$O5622=$Q$7)),"x","")</f>
        <v/>
      </c>
      <c r="R5622" s="79" t="str">
        <f>IF(AND($N5622=$Q$7,$B5622&lt;'111'!$L$11),"x","")</f>
        <v/>
      </c>
      <c r="S5622" s="79" t="str">
        <f>IF(AND($O5622=$Q$7,$B5622&lt;'111'!$L$11),"x","")</f>
        <v/>
      </c>
      <c r="T5622" s="79" t="str">
        <f>IF(ISERROR(FIND('112'!$M$9,G5622,1)),"",IF((AND(FIND('112'!$M$9,G5622,1)&gt;=1,B5622='112'!$K$9,OR($N5622='112'!$I$6,$O5622='112'!$I$6))),"x",""))</f>
        <v/>
      </c>
      <c r="U5622" s="79" t="str">
        <f>IF(ISERROR(FIND('112'!$M$9,G5622,1)),"",IF((AND(LEFT(G5622,2)=LEFT('112'!$M$9,2),B5622&lt;'112'!$K$9,$N5622='112'!$I$6)),"x",""))</f>
        <v/>
      </c>
      <c r="V5622" s="79" t="str">
        <f>IF(ISERROR(FIND('112'!$M$9,G5622,1)),"",IF((AND(RIGHT(G5622,2)=RIGHT('112'!$M$9,2),B5622&lt;'112'!$K$9,$O5622='112'!$I$6)),"x",""))</f>
        <v/>
      </c>
      <c r="W5622" s="79" t="str">
        <f>IF(AND('341-CT'!$H$9=H5622,OR(LEFT(N5622,3)=$W$7,LEFT(O5622,3)=$W$7)),"x","")</f>
        <v/>
      </c>
      <c r="X5622" s="79" t="str">
        <f>IF(OR(TH!N5622=TH!$X$7,O5622=TH!$X$7),"x","")</f>
        <v/>
      </c>
      <c r="Y5622" s="79" t="str">
        <f>IF(AND(OR(N5622="131",O5622="131"),H5622='131-CT'!$H$9),"x","")</f>
        <v/>
      </c>
      <c r="Z5622" s="79"/>
      <c r="AA5622" s="79" t="str">
        <f>IF(AND(MONTH(E5622)='IN-NX'!$J$5,'IN-NX'!$D$7=D5622),"x","")</f>
        <v/>
      </c>
      <c r="AB5622" s="79" t="str">
        <f>IF(AND(OR(LEFT(TH!N5622,2)="15",LEFT(TH!O5622,2)="15"),LEFT(TH!O5622,3)&lt;&gt;"111",'152-CT'!$J$8=TH!F5622),"x","")</f>
        <v/>
      </c>
      <c r="AC5622" s="79" t="str">
        <f>IF(AND(OR(LEFT(TH!N5622,2)="15",LEFT(TH!O5622,2)="15"),TK!$E$7=TH!F5622),"x","")</f>
        <v/>
      </c>
      <c r="AD5622" s="79" t="str">
        <f>IF(AND(N5622="1521",MONTH(C5622)='BK-NL'!$M$11),"x","")</f>
        <v/>
      </c>
    </row>
    <row r="5623" spans="1:30" ht="16.5" customHeight="1">
      <c r="A5623" s="318" t="str">
        <f>IF(B5623&lt;&gt;"",IF(AND(B5623='IN-TC'!$S$4,OR(TH!N5623="1111",TH!O5623="1111")),TH!D5623,""),"")</f>
        <v/>
      </c>
      <c r="B5623" s="60" t="str">
        <f t="shared" si="508"/>
        <v/>
      </c>
      <c r="C5623" s="61"/>
      <c r="D5623" s="61"/>
      <c r="E5623" s="61"/>
      <c r="F5623" s="446"/>
      <c r="G5623" s="64"/>
      <c r="H5623" s="446"/>
      <c r="I5623" s="385"/>
      <c r="J5623" s="392"/>
      <c r="K5623" s="385"/>
      <c r="L5623" s="392"/>
      <c r="M5623" s="62"/>
      <c r="N5623" s="63"/>
      <c r="O5623" s="63"/>
      <c r="P5623" s="79" t="str">
        <f>IF(AND('331-CT'!$E$7=TH!H5623,OR(N5623="331",O5623="331")),"x","")</f>
        <v/>
      </c>
      <c r="Q5623" s="79" t="str">
        <f>IF(AND(B5623='111'!$L$11,OR($N5623=$Q$7,$O5623=$Q$7)),"x","")</f>
        <v/>
      </c>
      <c r="R5623" s="79" t="str">
        <f>IF(AND($N5623=$Q$7,$B5623&lt;'111'!$L$11),"x","")</f>
        <v/>
      </c>
      <c r="S5623" s="79" t="str">
        <f>IF(AND($O5623=$Q$7,$B5623&lt;'111'!$L$11),"x","")</f>
        <v/>
      </c>
      <c r="T5623" s="79" t="str">
        <f>IF(ISERROR(FIND('112'!$M$9,G5623,1)),"",IF((AND(FIND('112'!$M$9,G5623,1)&gt;=1,B5623='112'!$K$9,OR($N5623='112'!$I$6,$O5623='112'!$I$6))),"x",""))</f>
        <v/>
      </c>
      <c r="U5623" s="79" t="str">
        <f>IF(ISERROR(FIND('112'!$M$9,G5623,1)),"",IF((AND(LEFT(G5623,2)=LEFT('112'!$M$9,2),B5623&lt;'112'!$K$9,$N5623='112'!$I$6)),"x",""))</f>
        <v/>
      </c>
      <c r="V5623" s="79" t="str">
        <f>IF(ISERROR(FIND('112'!$M$9,G5623,1)),"",IF((AND(RIGHT(G5623,2)=RIGHT('112'!$M$9,2),B5623&lt;'112'!$K$9,$O5623='112'!$I$6)),"x",""))</f>
        <v/>
      </c>
      <c r="W5623" s="79" t="str">
        <f>IF(AND('341-CT'!$H$9=H5623,OR(LEFT(N5623,3)=$W$7,LEFT(O5623,3)=$W$7)),"x","")</f>
        <v/>
      </c>
      <c r="X5623" s="79" t="str">
        <f>IF(OR(TH!N5623=TH!$X$7,O5623=TH!$X$7),"x","")</f>
        <v/>
      </c>
      <c r="Y5623" s="79" t="str">
        <f>IF(AND(OR(N5623="131",O5623="131"),H5623='131-CT'!$H$9),"x","")</f>
        <v/>
      </c>
      <c r="Z5623" s="79"/>
      <c r="AA5623" s="79" t="str">
        <f>IF(AND(MONTH(E5623)='IN-NX'!$J$5,'IN-NX'!$D$7=D5623),"x","")</f>
        <v/>
      </c>
      <c r="AB5623" s="79" t="str">
        <f>IF(AND(OR(LEFT(TH!N5623,2)="15",LEFT(TH!O5623,2)="15"),LEFT(TH!O5623,3)&lt;&gt;"111",'152-CT'!$J$8=TH!F5623),"x","")</f>
        <v/>
      </c>
      <c r="AC5623" s="79" t="str">
        <f>IF(AND(OR(LEFT(TH!N5623,2)="15",LEFT(TH!O5623,2)="15"),TK!$E$7=TH!F5623),"x","")</f>
        <v/>
      </c>
      <c r="AD5623" s="79" t="str">
        <f>IF(AND(N5623="1521",MONTH(C5623)='BK-NL'!$M$11),"x","")</f>
        <v/>
      </c>
    </row>
    <row r="5624" spans="1:30" ht="16.5" customHeight="1">
      <c r="A5624" s="318" t="str">
        <f>IF(B5624&lt;&gt;"",IF(AND(B5624='IN-TC'!$S$4,OR(TH!N5624="1111",TH!O5624="1111")),TH!D5624,""),"")</f>
        <v/>
      </c>
      <c r="B5624" s="60" t="str">
        <f t="shared" si="508"/>
        <v/>
      </c>
      <c r="C5624" s="61"/>
      <c r="D5624" s="61"/>
      <c r="E5624" s="61"/>
      <c r="F5624" s="446"/>
      <c r="G5624" s="64"/>
      <c r="H5624" s="69"/>
      <c r="I5624" s="385"/>
      <c r="J5624" s="392"/>
      <c r="K5624" s="385"/>
      <c r="L5624" s="392"/>
      <c r="M5624" s="62"/>
      <c r="N5624" s="63"/>
      <c r="O5624" s="63"/>
      <c r="P5624" s="79" t="str">
        <f>IF(AND('331-CT'!$E$7=TH!H5624,OR(N5624="331",O5624="331")),"x","")</f>
        <v/>
      </c>
      <c r="Q5624" s="79" t="str">
        <f>IF(AND(B5624='111'!$L$11,OR($N5624=$Q$7,$O5624=$Q$7)),"x","")</f>
        <v/>
      </c>
      <c r="R5624" s="79" t="str">
        <f>IF(AND($N5624=$Q$7,$B5624&lt;'111'!$L$11),"x","")</f>
        <v/>
      </c>
      <c r="S5624" s="79" t="str">
        <f>IF(AND($O5624=$Q$7,$B5624&lt;'111'!$L$11),"x","")</f>
        <v/>
      </c>
      <c r="T5624" s="79" t="str">
        <f>IF(ISERROR(FIND('112'!$M$9,G5624,1)),"",IF((AND(FIND('112'!$M$9,G5624,1)&gt;=1,B5624='112'!$K$9,OR($N5624='112'!$I$6,$O5624='112'!$I$6))),"x",""))</f>
        <v/>
      </c>
      <c r="U5624" s="79" t="str">
        <f>IF(ISERROR(FIND('112'!$M$9,G5624,1)),"",IF((AND(LEFT(G5624,2)=LEFT('112'!$M$9,2),B5624&lt;'112'!$K$9,$N5624='112'!$I$6)),"x",""))</f>
        <v/>
      </c>
      <c r="V5624" s="79" t="str">
        <f>IF(ISERROR(FIND('112'!$M$9,G5624,1)),"",IF((AND(RIGHT(G5624,2)=RIGHT('112'!$M$9,2),B5624&lt;'112'!$K$9,$O5624='112'!$I$6)),"x",""))</f>
        <v/>
      </c>
      <c r="W5624" s="79" t="str">
        <f>IF(AND('341-CT'!$H$9=H5624,OR(LEFT(N5624,3)=$W$7,LEFT(O5624,3)=$W$7)),"x","")</f>
        <v/>
      </c>
      <c r="X5624" s="79" t="str">
        <f>IF(OR(TH!N5624=TH!$X$7,O5624=TH!$X$7),"x","")</f>
        <v/>
      </c>
      <c r="Y5624" s="79" t="str">
        <f>IF(AND(OR(N5624="131",O5624="131"),H5624='131-CT'!$H$9),"x","")</f>
        <v/>
      </c>
      <c r="Z5624" s="79"/>
      <c r="AA5624" s="79" t="str">
        <f>IF(AND(MONTH(E5624)='IN-NX'!$J$5,'IN-NX'!$D$7=D5624),"x","")</f>
        <v/>
      </c>
      <c r="AB5624" s="79" t="str">
        <f>IF(AND(OR(LEFT(TH!N5624,2)="15",LEFT(TH!O5624,2)="15"),LEFT(TH!O5624,3)&lt;&gt;"111",'152-CT'!$J$8=TH!F5624),"x","")</f>
        <v/>
      </c>
      <c r="AC5624" s="79" t="str">
        <f>IF(AND(OR(LEFT(TH!N5624,2)="15",LEFT(TH!O5624,2)="15"),TK!$E$7=TH!F5624),"x","")</f>
        <v/>
      </c>
      <c r="AD5624" s="79" t="str">
        <f>IF(AND(N5624="1521",MONTH(C5624)='BK-NL'!$M$11),"x","")</f>
        <v/>
      </c>
    </row>
    <row r="5625" spans="1:30" ht="16.5" customHeight="1">
      <c r="A5625" s="318" t="str">
        <f>IF(B5625&lt;&gt;"",IF(AND(B5625='IN-TC'!$S$4,OR(TH!N5625="1111",TH!O5625="1111")),TH!D5625,""),"")</f>
        <v/>
      </c>
      <c r="B5625" s="60" t="str">
        <f t="shared" si="508"/>
        <v/>
      </c>
      <c r="C5625" s="61"/>
      <c r="D5625" s="61"/>
      <c r="E5625" s="61"/>
      <c r="F5625" s="446"/>
      <c r="G5625" s="64"/>
      <c r="H5625" s="69"/>
      <c r="I5625" s="385"/>
      <c r="J5625" s="392"/>
      <c r="K5625" s="385"/>
      <c r="L5625" s="392"/>
      <c r="M5625" s="62"/>
      <c r="N5625" s="63"/>
      <c r="O5625" s="63"/>
      <c r="P5625" s="79" t="str">
        <f>IF(AND('331-CT'!$E$7=TH!H5625,OR(N5625="331",O5625="331")),"x","")</f>
        <v/>
      </c>
      <c r="Q5625" s="79" t="str">
        <f>IF(AND(B5625='111'!$L$11,OR($N5625=$Q$7,$O5625=$Q$7)),"x","")</f>
        <v/>
      </c>
      <c r="R5625" s="79" t="str">
        <f>IF(AND($N5625=$Q$7,$B5625&lt;'111'!$L$11),"x","")</f>
        <v/>
      </c>
      <c r="S5625" s="79" t="str">
        <f>IF(AND($O5625=$Q$7,$B5625&lt;'111'!$L$11),"x","")</f>
        <v/>
      </c>
      <c r="T5625" s="79" t="str">
        <f>IF(ISERROR(FIND('112'!$M$9,G5625,1)),"",IF((AND(FIND('112'!$M$9,G5625,1)&gt;=1,B5625='112'!$K$9,OR($N5625='112'!$I$6,$O5625='112'!$I$6))),"x",""))</f>
        <v/>
      </c>
      <c r="U5625" s="79" t="str">
        <f>IF(ISERROR(FIND('112'!$M$9,G5625,1)),"",IF((AND(LEFT(G5625,2)=LEFT('112'!$M$9,2),B5625&lt;'112'!$K$9,$N5625='112'!$I$6)),"x",""))</f>
        <v/>
      </c>
      <c r="V5625" s="79" t="str">
        <f>IF(ISERROR(FIND('112'!$M$9,G5625,1)),"",IF((AND(RIGHT(G5625,2)=RIGHT('112'!$M$9,2),B5625&lt;'112'!$K$9,$O5625='112'!$I$6)),"x",""))</f>
        <v/>
      </c>
      <c r="W5625" s="79" t="str">
        <f>IF(AND('341-CT'!$H$9=H5625,OR(LEFT(N5625,3)=$W$7,LEFT(O5625,3)=$W$7)),"x","")</f>
        <v/>
      </c>
      <c r="X5625" s="79" t="str">
        <f>IF(OR(TH!N5625=TH!$X$7,O5625=TH!$X$7),"x","")</f>
        <v/>
      </c>
      <c r="Y5625" s="79" t="str">
        <f>IF(AND(OR(N5625="131",O5625="131"),H5625='131-CT'!$H$9),"x","")</f>
        <v/>
      </c>
      <c r="Z5625" s="79"/>
      <c r="AA5625" s="79" t="str">
        <f>IF(AND(MONTH(E5625)='IN-NX'!$J$5,'IN-NX'!$D$7=D5625),"x","")</f>
        <v/>
      </c>
      <c r="AB5625" s="79" t="str">
        <f>IF(AND(OR(LEFT(TH!N5625,2)="15",LEFT(TH!O5625,2)="15"),LEFT(TH!O5625,3)&lt;&gt;"111",'152-CT'!$J$8=TH!F5625),"x","")</f>
        <v/>
      </c>
      <c r="AC5625" s="79" t="str">
        <f>IF(AND(OR(LEFT(TH!N5625,2)="15",LEFT(TH!O5625,2)="15"),TK!$E$7=TH!F5625),"x","")</f>
        <v/>
      </c>
      <c r="AD5625" s="79" t="str">
        <f>IF(AND(N5625="1521",MONTH(C5625)='BK-NL'!$M$11),"x","")</f>
        <v/>
      </c>
    </row>
    <row r="5626" spans="1:30" ht="16.5" customHeight="1">
      <c r="A5626" s="318" t="str">
        <f>IF(B5626&lt;&gt;"",IF(AND(B5626='IN-TC'!$S$4,OR(TH!N5626="1111",TH!O5626="1111")),TH!D5626,""),"")</f>
        <v/>
      </c>
      <c r="B5626" s="60" t="str">
        <f t="shared" si="508"/>
        <v/>
      </c>
      <c r="C5626" s="61"/>
      <c r="D5626" s="61"/>
      <c r="E5626" s="61"/>
      <c r="F5626" s="446"/>
      <c r="G5626" s="64"/>
      <c r="H5626" s="69"/>
      <c r="I5626" s="385"/>
      <c r="J5626" s="392"/>
      <c r="K5626" s="385"/>
      <c r="L5626" s="392"/>
      <c r="M5626" s="62"/>
      <c r="N5626" s="63"/>
      <c r="O5626" s="63"/>
      <c r="P5626" s="79" t="str">
        <f>IF(AND('331-CT'!$E$7=TH!H5626,OR(N5626="331",O5626="331")),"x","")</f>
        <v/>
      </c>
      <c r="Q5626" s="79" t="str">
        <f>IF(AND(B5626='111'!$L$11,OR($N5626=$Q$7,$O5626=$Q$7)),"x","")</f>
        <v/>
      </c>
      <c r="R5626" s="79" t="str">
        <f>IF(AND($N5626=$Q$7,$B5626&lt;'111'!$L$11),"x","")</f>
        <v/>
      </c>
      <c r="S5626" s="79" t="str">
        <f>IF(AND($O5626=$Q$7,$B5626&lt;'111'!$L$11),"x","")</f>
        <v/>
      </c>
      <c r="T5626" s="79" t="str">
        <f>IF(ISERROR(FIND('112'!$M$9,G5626,1)),"",IF((AND(FIND('112'!$M$9,G5626,1)&gt;=1,B5626='112'!$K$9,OR($N5626='112'!$I$6,$O5626='112'!$I$6))),"x",""))</f>
        <v/>
      </c>
      <c r="U5626" s="79" t="str">
        <f>IF(ISERROR(FIND('112'!$M$9,G5626,1)),"",IF((AND(LEFT(G5626,2)=LEFT('112'!$M$9,2),B5626&lt;'112'!$K$9,$N5626='112'!$I$6)),"x",""))</f>
        <v/>
      </c>
      <c r="V5626" s="79" t="str">
        <f>IF(ISERROR(FIND('112'!$M$9,G5626,1)),"",IF((AND(RIGHT(G5626,2)=RIGHT('112'!$M$9,2),B5626&lt;'112'!$K$9,$O5626='112'!$I$6)),"x",""))</f>
        <v/>
      </c>
      <c r="W5626" s="79" t="str">
        <f>IF(AND('341-CT'!$H$9=H5626,OR(LEFT(N5626,3)=$W$7,LEFT(O5626,3)=$W$7)),"x","")</f>
        <v/>
      </c>
      <c r="X5626" s="79" t="str">
        <f>IF(OR(TH!N5626=TH!$X$7,O5626=TH!$X$7),"x","")</f>
        <v/>
      </c>
      <c r="Y5626" s="79" t="str">
        <f>IF(AND(OR(N5626="131",O5626="131"),H5626='131-CT'!$H$9),"x","")</f>
        <v/>
      </c>
      <c r="Z5626" s="79"/>
      <c r="AA5626" s="79" t="str">
        <f>IF(AND(MONTH(E5626)='IN-NX'!$J$5,'IN-NX'!$D$7=D5626),"x","")</f>
        <v/>
      </c>
      <c r="AB5626" s="79" t="str">
        <f>IF(AND(OR(LEFT(TH!N5626,2)="15",LEFT(TH!O5626,2)="15"),LEFT(TH!O5626,3)&lt;&gt;"111",'152-CT'!$J$8=TH!F5626),"x","")</f>
        <v/>
      </c>
      <c r="AC5626" s="79" t="str">
        <f>IF(AND(OR(LEFT(TH!N5626,2)="15",LEFT(TH!O5626,2)="15"),TK!$E$7=TH!F5626),"x","")</f>
        <v/>
      </c>
      <c r="AD5626" s="79" t="str">
        <f>IF(AND(N5626="1521",MONTH(C5626)='BK-NL'!$M$11),"x","")</f>
        <v/>
      </c>
    </row>
    <row r="5627" spans="1:30" ht="16.5" customHeight="1">
      <c r="A5627" s="318" t="str">
        <f>IF(B5627&lt;&gt;"",IF(AND(B5627='IN-TC'!$S$4,OR(TH!N5627="1111",TH!O5627="1111")),TH!D5627,""),"")</f>
        <v/>
      </c>
      <c r="B5627" s="60" t="str">
        <f t="shared" si="508"/>
        <v/>
      </c>
      <c r="C5627" s="61"/>
      <c r="D5627" s="61"/>
      <c r="E5627" s="61"/>
      <c r="F5627" s="446"/>
      <c r="G5627" s="64"/>
      <c r="H5627" s="69"/>
      <c r="I5627" s="385"/>
      <c r="J5627" s="392"/>
      <c r="K5627" s="385"/>
      <c r="L5627" s="392"/>
      <c r="M5627" s="62"/>
      <c r="N5627" s="63"/>
      <c r="O5627" s="63"/>
      <c r="P5627" s="79" t="str">
        <f>IF(AND('331-CT'!$E$7=TH!H5627,OR(N5627="331",O5627="331")),"x","")</f>
        <v/>
      </c>
      <c r="Q5627" s="79" t="str">
        <f>IF(AND(B5627='111'!$L$11,OR($N5627=$Q$7,$O5627=$Q$7)),"x","")</f>
        <v/>
      </c>
      <c r="R5627" s="79" t="str">
        <f>IF(AND($N5627=$Q$7,$B5627&lt;'111'!$L$11),"x","")</f>
        <v/>
      </c>
      <c r="S5627" s="79" t="str">
        <f>IF(AND($O5627=$Q$7,$B5627&lt;'111'!$L$11),"x","")</f>
        <v/>
      </c>
      <c r="T5627" s="79" t="str">
        <f>IF(ISERROR(FIND('112'!$M$9,G5627,1)),"",IF((AND(FIND('112'!$M$9,G5627,1)&gt;=1,B5627='112'!$K$9,OR($N5627='112'!$I$6,$O5627='112'!$I$6))),"x",""))</f>
        <v/>
      </c>
      <c r="U5627" s="79" t="str">
        <f>IF(ISERROR(FIND('112'!$M$9,G5627,1)),"",IF((AND(LEFT(G5627,2)=LEFT('112'!$M$9,2),B5627&lt;'112'!$K$9,$N5627='112'!$I$6)),"x",""))</f>
        <v/>
      </c>
      <c r="V5627" s="79" t="str">
        <f>IF(ISERROR(FIND('112'!$M$9,G5627,1)),"",IF((AND(RIGHT(G5627,2)=RIGHT('112'!$M$9,2),B5627&lt;'112'!$K$9,$O5627='112'!$I$6)),"x",""))</f>
        <v/>
      </c>
      <c r="W5627" s="79" t="str">
        <f>IF(AND('341-CT'!$H$9=H5627,OR(LEFT(N5627,3)=$W$7,LEFT(O5627,3)=$W$7)),"x","")</f>
        <v/>
      </c>
      <c r="X5627" s="79" t="str">
        <f>IF(OR(TH!N5627=TH!$X$7,O5627=TH!$X$7),"x","")</f>
        <v/>
      </c>
      <c r="Y5627" s="79" t="str">
        <f>IF(AND(OR(N5627="131",O5627="131"),H5627='131-CT'!$H$9),"x","")</f>
        <v/>
      </c>
      <c r="Z5627" s="79"/>
      <c r="AA5627" s="79" t="str">
        <f>IF(AND(MONTH(E5627)='IN-NX'!$J$5,'IN-NX'!$D$7=D5627),"x","")</f>
        <v/>
      </c>
      <c r="AB5627" s="79" t="str">
        <f>IF(AND(OR(LEFT(TH!N5627,2)="15",LEFT(TH!O5627,2)="15"),LEFT(TH!O5627,3)&lt;&gt;"111",'152-CT'!$J$8=TH!F5627),"x","")</f>
        <v/>
      </c>
      <c r="AC5627" s="79" t="str">
        <f>IF(AND(OR(LEFT(TH!N5627,2)="15",LEFT(TH!O5627,2)="15"),TK!$E$7=TH!F5627),"x","")</f>
        <v/>
      </c>
      <c r="AD5627" s="79" t="str">
        <f>IF(AND(N5627="1521",MONTH(C5627)='BK-NL'!$M$11),"x","")</f>
        <v/>
      </c>
    </row>
    <row r="5628" spans="1:30" ht="16.5" customHeight="1">
      <c r="A5628" s="318" t="str">
        <f>IF(B5628&lt;&gt;"",IF(AND(B5628='IN-TC'!$S$4,OR(TH!N5628="1111",TH!O5628="1111")),TH!D5628,""),"")</f>
        <v/>
      </c>
      <c r="B5628" s="60" t="str">
        <f t="shared" si="508"/>
        <v/>
      </c>
      <c r="C5628" s="61"/>
      <c r="D5628" s="61"/>
      <c r="E5628" s="61"/>
      <c r="F5628" s="69"/>
      <c r="G5628" s="64"/>
      <c r="H5628" s="69"/>
      <c r="I5628" s="385"/>
      <c r="J5628" s="392"/>
      <c r="K5628" s="385"/>
      <c r="L5628" s="392"/>
      <c r="M5628" s="62"/>
      <c r="N5628" s="63"/>
      <c r="O5628" s="63"/>
      <c r="P5628" s="79" t="str">
        <f>IF(AND('331-CT'!$E$7=TH!H5628,OR(N5628="331",O5628="331")),"x","")</f>
        <v/>
      </c>
      <c r="Q5628" s="79" t="str">
        <f>IF(AND(B5628='111'!$L$11,OR($N5628=$Q$7,$O5628=$Q$7)),"x","")</f>
        <v/>
      </c>
      <c r="R5628" s="79" t="str">
        <f>IF(AND($N5628=$Q$7,$B5628&lt;'111'!$L$11),"x","")</f>
        <v/>
      </c>
      <c r="S5628" s="79" t="str">
        <f>IF(AND($O5628=$Q$7,$B5628&lt;'111'!$L$11),"x","")</f>
        <v/>
      </c>
      <c r="T5628" s="79" t="str">
        <f>IF(ISERROR(FIND('112'!$M$9,G5628,1)),"",IF((AND(FIND('112'!$M$9,G5628,1)&gt;=1,B5628='112'!$K$9,OR($N5628='112'!$I$6,$O5628='112'!$I$6))),"x",""))</f>
        <v/>
      </c>
      <c r="U5628" s="79" t="str">
        <f>IF(ISERROR(FIND('112'!$M$9,G5628,1)),"",IF((AND(LEFT(G5628,2)=LEFT('112'!$M$9,2),B5628&lt;'112'!$K$9,$N5628='112'!$I$6)),"x",""))</f>
        <v/>
      </c>
      <c r="V5628" s="79" t="str">
        <f>IF(ISERROR(FIND('112'!$M$9,G5628,1)),"",IF((AND(RIGHT(G5628,2)=RIGHT('112'!$M$9,2),B5628&lt;'112'!$K$9,$O5628='112'!$I$6)),"x",""))</f>
        <v/>
      </c>
      <c r="W5628" s="79" t="str">
        <f>IF(AND('341-CT'!$H$9=H5628,OR(LEFT(N5628,3)=$W$7,LEFT(O5628,3)=$W$7)),"x","")</f>
        <v/>
      </c>
      <c r="X5628" s="79" t="str">
        <f>IF(OR(TH!N5628=TH!$X$7,O5628=TH!$X$7),"x","")</f>
        <v/>
      </c>
      <c r="Y5628" s="79" t="str">
        <f>IF(AND(OR(N5628="131",O5628="131"),H5628='131-CT'!$H$9),"x","")</f>
        <v/>
      </c>
      <c r="Z5628" s="79"/>
      <c r="AA5628" s="79" t="str">
        <f>IF(AND(MONTH(E5628)='IN-NX'!$J$5,'IN-NX'!$D$7=D5628),"x","")</f>
        <v/>
      </c>
      <c r="AB5628" s="79" t="str">
        <f>IF(AND(OR(LEFT(TH!N5628,2)="15",LEFT(TH!O5628,2)="15"),LEFT(TH!O5628,3)&lt;&gt;"111",'152-CT'!$J$8=TH!F5628),"x","")</f>
        <v/>
      </c>
      <c r="AC5628" s="79" t="str">
        <f>IF(AND(OR(LEFT(TH!N5628,2)="15",LEFT(TH!O5628,2)="15"),TK!$E$7=TH!F5628),"x","")</f>
        <v/>
      </c>
      <c r="AD5628" s="79" t="str">
        <f>IF(AND(N5628="1521",MONTH(C5628)='BK-NL'!$M$11),"x","")</f>
        <v/>
      </c>
    </row>
    <row r="5629" spans="1:30" ht="16.5" customHeight="1">
      <c r="A5629" s="318" t="str">
        <f>IF(B5629&lt;&gt;"",IF(AND(B5629='IN-TC'!$S$4,OR(TH!N5629="1111",TH!O5629="1111")),TH!D5629,""),"")</f>
        <v/>
      </c>
      <c r="B5629" s="60" t="str">
        <f t="shared" si="508"/>
        <v/>
      </c>
      <c r="C5629" s="61"/>
      <c r="D5629" s="61"/>
      <c r="E5629" s="61"/>
      <c r="F5629" s="446"/>
      <c r="G5629" s="64"/>
      <c r="H5629" s="70"/>
      <c r="I5629" s="388"/>
      <c r="J5629" s="392"/>
      <c r="K5629" s="388"/>
      <c r="L5629" s="395"/>
      <c r="M5629" s="62"/>
      <c r="N5629" s="63"/>
      <c r="O5629" s="63"/>
      <c r="P5629" s="79" t="str">
        <f>IF(AND('331-CT'!$E$7=TH!H5629,OR(N5629="331",O5629="331")),"x","")</f>
        <v/>
      </c>
      <c r="Q5629" s="79" t="str">
        <f>IF(AND(B5629='111'!$L$11,OR($N5629=$Q$7,$O5629=$Q$7)),"x","")</f>
        <v/>
      </c>
      <c r="R5629" s="79" t="str">
        <f>IF(AND($N5629=$Q$7,$B5629&lt;'111'!$L$11),"x","")</f>
        <v/>
      </c>
      <c r="S5629" s="79" t="str">
        <f>IF(AND($O5629=$Q$7,$B5629&lt;'111'!$L$11),"x","")</f>
        <v/>
      </c>
      <c r="T5629" s="79" t="str">
        <f>IF(ISERROR(FIND('112'!$M$9,G5629,1)),"",IF((AND(FIND('112'!$M$9,G5629,1)&gt;=1,B5629='112'!$K$9,OR($N5629='112'!$I$6,$O5629='112'!$I$6))),"x",""))</f>
        <v/>
      </c>
      <c r="U5629" s="79" t="str">
        <f>IF(ISERROR(FIND('112'!$M$9,G5629,1)),"",IF((AND(LEFT(G5629,2)=LEFT('112'!$M$9,2),B5629&lt;'112'!$K$9,$N5629='112'!$I$6)),"x",""))</f>
        <v/>
      </c>
      <c r="V5629" s="79" t="str">
        <f>IF(ISERROR(FIND('112'!$M$9,G5629,1)),"",IF((AND(RIGHT(G5629,2)=RIGHT('112'!$M$9,2),B5629&lt;'112'!$K$9,$O5629='112'!$I$6)),"x",""))</f>
        <v/>
      </c>
      <c r="W5629" s="79" t="str">
        <f>IF(AND('341-CT'!$H$9=H5629,OR(LEFT(N5629,3)=$W$7,LEFT(O5629,3)=$W$7)),"x","")</f>
        <v/>
      </c>
      <c r="X5629" s="79" t="str">
        <f>IF(OR(TH!N5629=TH!$X$7,O5629=TH!$X$7),"x","")</f>
        <v/>
      </c>
      <c r="Y5629" s="79" t="str">
        <f>IF(AND(OR(N5629="131",O5629="131"),H5629='131-CT'!$H$9),"x","")</f>
        <v/>
      </c>
      <c r="Z5629" s="79"/>
      <c r="AA5629" s="79" t="str">
        <f>IF(AND(MONTH(E5629)='IN-NX'!$J$5,'IN-NX'!$D$7=D5629),"x","")</f>
        <v/>
      </c>
      <c r="AB5629" s="79" t="str">
        <f>IF(AND(OR(LEFT(TH!N5629,2)="15",LEFT(TH!O5629,2)="15"),LEFT(TH!O5629,3)&lt;&gt;"111",'152-CT'!$J$8=TH!F5629),"x","")</f>
        <v/>
      </c>
      <c r="AC5629" s="79" t="str">
        <f>IF(AND(OR(LEFT(TH!N5629,2)="15",LEFT(TH!O5629,2)="15"),TK!$E$7=TH!F5629),"x","")</f>
        <v/>
      </c>
      <c r="AD5629" s="79" t="str">
        <f>IF(AND(N5629="1521",MONTH(C5629)='BK-NL'!$M$11),"x","")</f>
        <v/>
      </c>
    </row>
    <row r="5630" spans="1:30" ht="16.5" customHeight="1">
      <c r="A5630" s="318" t="str">
        <f>IF(B5630&lt;&gt;"",IF(AND(B5630='IN-TC'!$S$4,OR(TH!N5630="1111",TH!O5630="1111")),TH!D5630,""),"")</f>
        <v/>
      </c>
      <c r="B5630" s="60" t="str">
        <f t="shared" si="508"/>
        <v/>
      </c>
      <c r="C5630" s="61"/>
      <c r="D5630" s="61"/>
      <c r="E5630" s="61"/>
      <c r="F5630" s="446"/>
      <c r="G5630" s="64"/>
      <c r="H5630" s="446"/>
      <c r="I5630" s="385"/>
      <c r="J5630" s="392"/>
      <c r="K5630" s="385"/>
      <c r="L5630" s="392"/>
      <c r="M5630" s="62"/>
      <c r="N5630" s="63"/>
      <c r="O5630" s="63"/>
      <c r="P5630" s="79" t="str">
        <f>IF(AND('331-CT'!$E$7=TH!H5630,OR(N5630="331",O5630="331")),"x","")</f>
        <v/>
      </c>
      <c r="Q5630" s="79" t="str">
        <f>IF(AND(B5630='111'!$L$11,OR($N5630=$Q$7,$O5630=$Q$7)),"x","")</f>
        <v/>
      </c>
      <c r="R5630" s="79" t="str">
        <f>IF(AND($N5630=$Q$7,$B5630&lt;'111'!$L$11),"x","")</f>
        <v/>
      </c>
      <c r="S5630" s="79" t="str">
        <f>IF(AND($O5630=$Q$7,$B5630&lt;'111'!$L$11),"x","")</f>
        <v/>
      </c>
      <c r="T5630" s="79" t="str">
        <f>IF(ISERROR(FIND('112'!$M$9,G5630,1)),"",IF((AND(FIND('112'!$M$9,G5630,1)&gt;=1,B5630='112'!$K$9,OR($N5630='112'!$I$6,$O5630='112'!$I$6))),"x",""))</f>
        <v/>
      </c>
      <c r="U5630" s="79" t="str">
        <f>IF(ISERROR(FIND('112'!$M$9,G5630,1)),"",IF((AND(LEFT(G5630,2)=LEFT('112'!$M$9,2),B5630&lt;'112'!$K$9,$N5630='112'!$I$6)),"x",""))</f>
        <v/>
      </c>
      <c r="V5630" s="79" t="str">
        <f>IF(ISERROR(FIND('112'!$M$9,G5630,1)),"",IF((AND(RIGHT(G5630,2)=RIGHT('112'!$M$9,2),B5630&lt;'112'!$K$9,$O5630='112'!$I$6)),"x",""))</f>
        <v/>
      </c>
      <c r="W5630" s="79" t="str">
        <f>IF(AND('341-CT'!$H$9=H5630,OR(LEFT(N5630,3)=$W$7,LEFT(O5630,3)=$W$7)),"x","")</f>
        <v/>
      </c>
      <c r="X5630" s="79" t="str">
        <f>IF(OR(TH!N5630=TH!$X$7,O5630=TH!$X$7),"x","")</f>
        <v/>
      </c>
      <c r="Y5630" s="79" t="str">
        <f>IF(AND(OR(N5630="131",O5630="131"),H5630='131-CT'!$H$9),"x","")</f>
        <v/>
      </c>
      <c r="Z5630" s="79"/>
      <c r="AA5630" s="79" t="str">
        <f>IF(AND(MONTH(E5630)='IN-NX'!$J$5,'IN-NX'!$D$7=D5630),"x","")</f>
        <v/>
      </c>
      <c r="AB5630" s="79" t="str">
        <f>IF(AND(OR(LEFT(TH!N5630,2)="15",LEFT(TH!O5630,2)="15"),LEFT(TH!O5630,3)&lt;&gt;"111",'152-CT'!$J$8=TH!F5630),"x","")</f>
        <v/>
      </c>
      <c r="AC5630" s="79" t="str">
        <f>IF(AND(OR(LEFT(TH!N5630,2)="15",LEFT(TH!O5630,2)="15"),TK!$E$7=TH!F5630),"x","")</f>
        <v/>
      </c>
      <c r="AD5630" s="79" t="str">
        <f>IF(AND(N5630="1521",MONTH(C5630)='BK-NL'!$M$11),"x","")</f>
        <v/>
      </c>
    </row>
    <row r="5631" spans="1:30" ht="16.5" customHeight="1">
      <c r="A5631" s="318" t="str">
        <f>IF(B5631&lt;&gt;"",IF(AND(B5631='IN-TC'!$S$4,OR(TH!N5631="1111",TH!O5631="1111")),TH!D5631,""),"")</f>
        <v/>
      </c>
      <c r="B5631" s="60" t="str">
        <f t="shared" si="508"/>
        <v/>
      </c>
      <c r="C5631" s="61"/>
      <c r="D5631" s="61"/>
      <c r="E5631" s="61"/>
      <c r="F5631" s="446"/>
      <c r="G5631" s="64"/>
      <c r="H5631" s="446"/>
      <c r="I5631" s="385"/>
      <c r="J5631" s="392"/>
      <c r="K5631" s="385"/>
      <c r="L5631" s="392"/>
      <c r="M5631" s="62"/>
      <c r="N5631" s="63"/>
      <c r="O5631" s="63"/>
      <c r="P5631" s="79" t="str">
        <f>IF(AND('331-CT'!$E$7=TH!H5631,OR(N5631="331",O5631="331")),"x","")</f>
        <v/>
      </c>
      <c r="Q5631" s="79" t="str">
        <f>IF(AND(B5631='111'!$L$11,OR($N5631=$Q$7,$O5631=$Q$7)),"x","")</f>
        <v/>
      </c>
      <c r="R5631" s="79" t="str">
        <f>IF(AND($N5631=$Q$7,$B5631&lt;'111'!$L$11),"x","")</f>
        <v/>
      </c>
      <c r="S5631" s="79" t="str">
        <f>IF(AND($O5631=$Q$7,$B5631&lt;'111'!$L$11),"x","")</f>
        <v/>
      </c>
      <c r="T5631" s="79" t="str">
        <f>IF(ISERROR(FIND('112'!$M$9,G5631,1)),"",IF((AND(FIND('112'!$M$9,G5631,1)&gt;=1,B5631='112'!$K$9,OR($N5631='112'!$I$6,$O5631='112'!$I$6))),"x",""))</f>
        <v/>
      </c>
      <c r="U5631" s="79" t="str">
        <f>IF(ISERROR(FIND('112'!$M$9,G5631,1)),"",IF((AND(LEFT(G5631,2)=LEFT('112'!$M$9,2),B5631&lt;'112'!$K$9,$N5631='112'!$I$6)),"x",""))</f>
        <v/>
      </c>
      <c r="V5631" s="79" t="str">
        <f>IF(ISERROR(FIND('112'!$M$9,G5631,1)),"",IF((AND(RIGHT(G5631,2)=RIGHT('112'!$M$9,2),B5631&lt;'112'!$K$9,$O5631='112'!$I$6)),"x",""))</f>
        <v/>
      </c>
      <c r="W5631" s="79" t="str">
        <f>IF(AND('341-CT'!$H$9=H5631,OR(LEFT(N5631,3)=$W$7,LEFT(O5631,3)=$W$7)),"x","")</f>
        <v/>
      </c>
      <c r="X5631" s="79" t="str">
        <f>IF(OR(TH!N5631=TH!$X$7,O5631=TH!$X$7),"x","")</f>
        <v/>
      </c>
      <c r="Y5631" s="79" t="str">
        <f>IF(AND(OR(N5631="131",O5631="131"),H5631='131-CT'!$H$9),"x","")</f>
        <v/>
      </c>
      <c r="Z5631" s="79"/>
      <c r="AA5631" s="79" t="str">
        <f>IF(AND(MONTH(E5631)='IN-NX'!$J$5,'IN-NX'!$D$7=D5631),"x","")</f>
        <v/>
      </c>
      <c r="AB5631" s="79" t="str">
        <f>IF(AND(OR(LEFT(TH!N5631,2)="15",LEFT(TH!O5631,2)="15"),LEFT(TH!O5631,3)&lt;&gt;"111",'152-CT'!$J$8=TH!F5631),"x","")</f>
        <v/>
      </c>
      <c r="AC5631" s="79" t="str">
        <f>IF(AND(OR(LEFT(TH!N5631,2)="15",LEFT(TH!O5631,2)="15"),TK!$E$7=TH!F5631),"x","")</f>
        <v/>
      </c>
      <c r="AD5631" s="79" t="str">
        <f>IF(AND(N5631="1521",MONTH(C5631)='BK-NL'!$M$11),"x","")</f>
        <v/>
      </c>
    </row>
    <row r="5632" spans="1:30" ht="16.5" customHeight="1">
      <c r="A5632" s="318" t="str">
        <f>IF(B5632&lt;&gt;"",IF(AND(B5632='IN-TC'!$S$4,OR(TH!N5632="1111",TH!O5632="1111")),TH!D5632,""),"")</f>
        <v/>
      </c>
      <c r="B5632" s="60" t="str">
        <f t="shared" si="508"/>
        <v/>
      </c>
      <c r="C5632" s="61"/>
      <c r="D5632" s="61"/>
      <c r="E5632" s="61"/>
      <c r="F5632" s="446"/>
      <c r="G5632" s="64"/>
      <c r="H5632" s="973"/>
      <c r="I5632" s="387"/>
      <c r="J5632" s="394"/>
      <c r="K5632" s="387"/>
      <c r="L5632" s="394"/>
      <c r="M5632" s="62"/>
      <c r="N5632" s="63"/>
      <c r="O5632" s="63"/>
      <c r="P5632" s="79" t="str">
        <f>IF(AND('331-CT'!$E$7=TH!H5632,OR(N5632="331",O5632="331")),"x","")</f>
        <v/>
      </c>
      <c r="Q5632" s="79" t="str">
        <f>IF(AND(B5632='111'!$L$11,OR($N5632=$Q$7,$O5632=$Q$7)),"x","")</f>
        <v/>
      </c>
      <c r="R5632" s="79" t="str">
        <f>IF(AND($N5632=$Q$7,$B5632&lt;'111'!$L$11),"x","")</f>
        <v/>
      </c>
      <c r="S5632" s="79" t="str">
        <f>IF(AND($O5632=$Q$7,$B5632&lt;'111'!$L$11),"x","")</f>
        <v/>
      </c>
      <c r="T5632" s="79" t="str">
        <f>IF(ISERROR(FIND('112'!$M$9,G5632,1)),"",IF((AND(FIND('112'!$M$9,G5632,1)&gt;=1,B5632='112'!$K$9,OR($N5632='112'!$I$6,$O5632='112'!$I$6))),"x",""))</f>
        <v/>
      </c>
      <c r="U5632" s="79" t="str">
        <f>IF(ISERROR(FIND('112'!$M$9,G5632,1)),"",IF((AND(LEFT(G5632,2)=LEFT('112'!$M$9,2),B5632&lt;'112'!$K$9,$N5632='112'!$I$6)),"x",""))</f>
        <v/>
      </c>
      <c r="V5632" s="79" t="str">
        <f>IF(ISERROR(FIND('112'!$M$9,G5632,1)),"",IF((AND(RIGHT(G5632,2)=RIGHT('112'!$M$9,2),B5632&lt;'112'!$K$9,$O5632='112'!$I$6)),"x",""))</f>
        <v/>
      </c>
      <c r="W5632" s="79" t="str">
        <f>IF(AND('341-CT'!$H$9=H5632,OR(LEFT(N5632,3)=$W$7,LEFT(O5632,3)=$W$7)),"x","")</f>
        <v/>
      </c>
      <c r="X5632" s="79" t="str">
        <f>IF(OR(TH!N5632=TH!$X$7,O5632=TH!$X$7),"x","")</f>
        <v/>
      </c>
      <c r="Y5632" s="79" t="str">
        <f>IF(AND(OR(N5632="131",O5632="131"),H5632='131-CT'!$H$9),"x","")</f>
        <v/>
      </c>
      <c r="Z5632" s="79"/>
      <c r="AA5632" s="79" t="str">
        <f>IF(AND(MONTH(E5632)='IN-NX'!$J$5,'IN-NX'!$D$7=D5632),"x","")</f>
        <v/>
      </c>
      <c r="AB5632" s="79" t="str">
        <f>IF(AND(OR(LEFT(TH!N5632,2)="15",LEFT(TH!O5632,2)="15"),LEFT(TH!O5632,3)&lt;&gt;"111",'152-CT'!$J$8=TH!F5632),"x","")</f>
        <v/>
      </c>
      <c r="AC5632" s="79" t="str">
        <f>IF(AND(OR(LEFT(TH!N5632,2)="15",LEFT(TH!O5632,2)="15"),TK!$E$7=TH!F5632),"x","")</f>
        <v/>
      </c>
      <c r="AD5632" s="79" t="str">
        <f>IF(AND(N5632="1521",MONTH(C5632)='BK-NL'!$M$11),"x","")</f>
        <v/>
      </c>
    </row>
    <row r="5633" spans="1:30" ht="16.5" customHeight="1">
      <c r="A5633" s="318" t="str">
        <f>IF(B5633&lt;&gt;"",IF(AND(B5633='IN-TC'!$S$4,OR(TH!N5633="1111",TH!O5633="1111")),TH!D5633,""),"")</f>
        <v/>
      </c>
      <c r="B5633" s="60" t="str">
        <f t="shared" si="508"/>
        <v/>
      </c>
      <c r="C5633" s="61"/>
      <c r="D5633" s="61"/>
      <c r="E5633" s="61"/>
      <c r="F5633" s="446"/>
      <c r="G5633" s="64"/>
      <c r="H5633" s="69"/>
      <c r="I5633" s="385"/>
      <c r="J5633" s="392"/>
      <c r="K5633" s="385"/>
      <c r="L5633" s="392"/>
      <c r="M5633" s="62"/>
      <c r="N5633" s="63"/>
      <c r="O5633" s="63"/>
      <c r="P5633" s="79" t="str">
        <f>IF(AND('331-CT'!$E$7=TH!H5633,OR(N5633="331",O5633="331")),"x","")</f>
        <v/>
      </c>
      <c r="Q5633" s="79" t="str">
        <f>IF(AND(B5633='111'!$L$11,OR($N5633=$Q$7,$O5633=$Q$7)),"x","")</f>
        <v/>
      </c>
      <c r="R5633" s="79" t="str">
        <f>IF(AND($N5633=$Q$7,$B5633&lt;'111'!$L$11),"x","")</f>
        <v/>
      </c>
      <c r="S5633" s="79" t="str">
        <f>IF(AND($O5633=$Q$7,$B5633&lt;'111'!$L$11),"x","")</f>
        <v/>
      </c>
      <c r="T5633" s="79" t="str">
        <f>IF(ISERROR(FIND('112'!$M$9,G5633,1)),"",IF((AND(FIND('112'!$M$9,G5633,1)&gt;=1,B5633='112'!$K$9,OR($N5633='112'!$I$6,$O5633='112'!$I$6))),"x",""))</f>
        <v/>
      </c>
      <c r="U5633" s="79" t="str">
        <f>IF(ISERROR(FIND('112'!$M$9,G5633,1)),"",IF((AND(LEFT(G5633,2)=LEFT('112'!$M$9,2),B5633&lt;'112'!$K$9,$N5633='112'!$I$6)),"x",""))</f>
        <v/>
      </c>
      <c r="V5633" s="79" t="str">
        <f>IF(ISERROR(FIND('112'!$M$9,G5633,1)),"",IF((AND(RIGHT(G5633,2)=RIGHT('112'!$M$9,2),B5633&lt;'112'!$K$9,$O5633='112'!$I$6)),"x",""))</f>
        <v/>
      </c>
      <c r="W5633" s="79" t="str">
        <f>IF(AND('341-CT'!$H$9=H5633,OR(LEFT(N5633,3)=$W$7,LEFT(O5633,3)=$W$7)),"x","")</f>
        <v/>
      </c>
      <c r="X5633" s="79" t="str">
        <f>IF(OR(TH!N5633=TH!$X$7,O5633=TH!$X$7),"x","")</f>
        <v/>
      </c>
      <c r="Y5633" s="79" t="str">
        <f>IF(AND(OR(N5633="131",O5633="131"),H5633='131-CT'!$H$9),"x","")</f>
        <v/>
      </c>
      <c r="Z5633" s="79"/>
      <c r="AA5633" s="79" t="str">
        <f>IF(AND(MONTH(E5633)='IN-NX'!$J$5,'IN-NX'!$D$7=D5633),"x","")</f>
        <v/>
      </c>
      <c r="AB5633" s="79" t="str">
        <f>IF(AND(OR(LEFT(TH!N5633,2)="15",LEFT(TH!O5633,2)="15"),LEFT(TH!O5633,3)&lt;&gt;"111",'152-CT'!$J$8=TH!F5633),"x","")</f>
        <v/>
      </c>
      <c r="AC5633" s="79" t="str">
        <f>IF(AND(OR(LEFT(TH!N5633,2)="15",LEFT(TH!O5633,2)="15"),TK!$E$7=TH!F5633),"x","")</f>
        <v/>
      </c>
      <c r="AD5633" s="79" t="str">
        <f>IF(AND(N5633="1521",MONTH(C5633)='BK-NL'!$M$11),"x","")</f>
        <v/>
      </c>
    </row>
    <row r="5634" spans="1:30" ht="16.5" customHeight="1">
      <c r="A5634" s="318" t="str">
        <f>IF(B5634&lt;&gt;"",IF(AND(B5634='IN-TC'!$S$4,OR(TH!N5634="1111",TH!O5634="1111")),TH!D5634,""),"")</f>
        <v/>
      </c>
      <c r="B5634" s="60" t="str">
        <f t="shared" si="508"/>
        <v/>
      </c>
      <c r="C5634" s="61"/>
      <c r="D5634" s="61"/>
      <c r="E5634" s="61"/>
      <c r="F5634" s="446"/>
      <c r="G5634" s="64"/>
      <c r="H5634" s="69"/>
      <c r="I5634" s="385"/>
      <c r="J5634" s="392"/>
      <c r="K5634" s="385"/>
      <c r="L5634" s="392"/>
      <c r="M5634" s="62"/>
      <c r="N5634" s="63"/>
      <c r="O5634" s="63"/>
      <c r="P5634" s="79" t="str">
        <f>IF(AND('331-CT'!$E$7=TH!H5634,OR(N5634="331",O5634="331")),"x","")</f>
        <v/>
      </c>
      <c r="Q5634" s="79" t="str">
        <f>IF(AND(B5634='111'!$L$11,OR($N5634=$Q$7,$O5634=$Q$7)),"x","")</f>
        <v/>
      </c>
      <c r="R5634" s="79" t="str">
        <f>IF(AND($N5634=$Q$7,$B5634&lt;'111'!$L$11),"x","")</f>
        <v/>
      </c>
      <c r="S5634" s="79" t="str">
        <f>IF(AND($O5634=$Q$7,$B5634&lt;'111'!$L$11),"x","")</f>
        <v/>
      </c>
      <c r="T5634" s="79" t="str">
        <f>IF(ISERROR(FIND('112'!$M$9,G5634,1)),"",IF((AND(FIND('112'!$M$9,G5634,1)&gt;=1,B5634='112'!$K$9,OR($N5634='112'!$I$6,$O5634='112'!$I$6))),"x",""))</f>
        <v/>
      </c>
      <c r="U5634" s="79" t="str">
        <f>IF(ISERROR(FIND('112'!$M$9,G5634,1)),"",IF((AND(LEFT(G5634,2)=LEFT('112'!$M$9,2),B5634&lt;'112'!$K$9,$N5634='112'!$I$6)),"x",""))</f>
        <v/>
      </c>
      <c r="V5634" s="79" t="str">
        <f>IF(ISERROR(FIND('112'!$M$9,G5634,1)),"",IF((AND(RIGHT(G5634,2)=RIGHT('112'!$M$9,2),B5634&lt;'112'!$K$9,$O5634='112'!$I$6)),"x",""))</f>
        <v/>
      </c>
      <c r="W5634" s="79" t="str">
        <f>IF(AND('341-CT'!$H$9=H5634,OR(LEFT(N5634,3)=$W$7,LEFT(O5634,3)=$W$7)),"x","")</f>
        <v/>
      </c>
      <c r="X5634" s="79" t="str">
        <f>IF(OR(TH!N5634=TH!$X$7,O5634=TH!$X$7),"x","")</f>
        <v/>
      </c>
      <c r="Y5634" s="79" t="str">
        <f>IF(AND(OR(N5634="131",O5634="131"),H5634='131-CT'!$H$9),"x","")</f>
        <v/>
      </c>
      <c r="Z5634" s="79"/>
      <c r="AA5634" s="79" t="str">
        <f>IF(AND(MONTH(E5634)='IN-NX'!$J$5,'IN-NX'!$D$7=D5634),"x","")</f>
        <v/>
      </c>
      <c r="AB5634" s="79" t="str">
        <f>IF(AND(OR(LEFT(TH!N5634,2)="15",LEFT(TH!O5634,2)="15"),LEFT(TH!O5634,3)&lt;&gt;"111",'152-CT'!$J$8=TH!F5634),"x","")</f>
        <v/>
      </c>
      <c r="AC5634" s="79" t="str">
        <f>IF(AND(OR(LEFT(TH!N5634,2)="15",LEFT(TH!O5634,2)="15"),TK!$E$7=TH!F5634),"x","")</f>
        <v/>
      </c>
      <c r="AD5634" s="79" t="str">
        <f>IF(AND(N5634="1521",MONTH(C5634)='BK-NL'!$M$11),"x","")</f>
        <v/>
      </c>
    </row>
    <row r="5635" spans="1:30" ht="16.5" customHeight="1">
      <c r="A5635" s="318" t="str">
        <f>IF(B5635&lt;&gt;"",IF(AND(B5635='IN-TC'!$S$4,OR(TH!N5635="1111",TH!O5635="1111")),TH!D5635,""),"")</f>
        <v/>
      </c>
      <c r="B5635" s="60" t="str">
        <f t="shared" ref="B5635:B5698" si="509">IF(C5635&lt;&gt;"",MONTH(C5635),"")</f>
        <v/>
      </c>
      <c r="C5635" s="61"/>
      <c r="D5635" s="61"/>
      <c r="E5635" s="61"/>
      <c r="F5635" s="446"/>
      <c r="G5635" s="64"/>
      <c r="H5635" s="69"/>
      <c r="I5635" s="385"/>
      <c r="J5635" s="392"/>
      <c r="K5635" s="385"/>
      <c r="L5635" s="392"/>
      <c r="M5635" s="62"/>
      <c r="N5635" s="63"/>
      <c r="O5635" s="63"/>
      <c r="P5635" s="79" t="str">
        <f>IF(AND('331-CT'!$E$7=TH!H5635,OR(N5635="331",O5635="331")),"x","")</f>
        <v/>
      </c>
      <c r="Q5635" s="79" t="str">
        <f>IF(AND(B5635='111'!$L$11,OR($N5635=$Q$7,$O5635=$Q$7)),"x","")</f>
        <v/>
      </c>
      <c r="R5635" s="79" t="str">
        <f>IF(AND($N5635=$Q$7,$B5635&lt;'111'!$L$11),"x","")</f>
        <v/>
      </c>
      <c r="S5635" s="79" t="str">
        <f>IF(AND($O5635=$Q$7,$B5635&lt;'111'!$L$11),"x","")</f>
        <v/>
      </c>
      <c r="T5635" s="79" t="str">
        <f>IF(ISERROR(FIND('112'!$M$9,G5635,1)),"",IF((AND(FIND('112'!$M$9,G5635,1)&gt;=1,B5635='112'!$K$9,OR($N5635='112'!$I$6,$O5635='112'!$I$6))),"x",""))</f>
        <v/>
      </c>
      <c r="U5635" s="79" t="str">
        <f>IF(ISERROR(FIND('112'!$M$9,G5635,1)),"",IF((AND(LEFT(G5635,2)=LEFT('112'!$M$9,2),B5635&lt;'112'!$K$9,$N5635='112'!$I$6)),"x",""))</f>
        <v/>
      </c>
      <c r="V5635" s="79" t="str">
        <f>IF(ISERROR(FIND('112'!$M$9,G5635,1)),"",IF((AND(RIGHT(G5635,2)=RIGHT('112'!$M$9,2),B5635&lt;'112'!$K$9,$O5635='112'!$I$6)),"x",""))</f>
        <v/>
      </c>
      <c r="W5635" s="79" t="str">
        <f>IF(AND('341-CT'!$H$9=H5635,OR(LEFT(N5635,3)=$W$7,LEFT(O5635,3)=$W$7)),"x","")</f>
        <v/>
      </c>
      <c r="X5635" s="79" t="str">
        <f>IF(OR(TH!N5635=TH!$X$7,O5635=TH!$X$7),"x","")</f>
        <v/>
      </c>
      <c r="Y5635" s="79" t="str">
        <f>IF(AND(OR(N5635="131",O5635="131"),H5635='131-CT'!$H$9),"x","")</f>
        <v/>
      </c>
      <c r="Z5635" s="79"/>
      <c r="AA5635" s="79" t="str">
        <f>IF(AND(MONTH(E5635)='IN-NX'!$J$5,'IN-NX'!$D$7=D5635),"x","")</f>
        <v/>
      </c>
      <c r="AB5635" s="79" t="str">
        <f>IF(AND(OR(LEFT(TH!N5635,2)="15",LEFT(TH!O5635,2)="15"),LEFT(TH!O5635,3)&lt;&gt;"111",'152-CT'!$J$8=TH!F5635),"x","")</f>
        <v/>
      </c>
      <c r="AC5635" s="79" t="str">
        <f>IF(AND(OR(LEFT(TH!N5635,2)="15",LEFT(TH!O5635,2)="15"),TK!$E$7=TH!F5635),"x","")</f>
        <v/>
      </c>
      <c r="AD5635" s="79" t="str">
        <f>IF(AND(N5635="1521",MONTH(C5635)='BK-NL'!$M$11),"x","")</f>
        <v/>
      </c>
    </row>
    <row r="5636" spans="1:30" ht="16.5" customHeight="1">
      <c r="A5636" s="318" t="str">
        <f>IF(B5636&lt;&gt;"",IF(AND(B5636='IN-TC'!$S$4,OR(TH!N5636="1111",TH!O5636="1111")),TH!D5636,""),"")</f>
        <v/>
      </c>
      <c r="B5636" s="60" t="str">
        <f t="shared" si="509"/>
        <v/>
      </c>
      <c r="C5636" s="61"/>
      <c r="D5636" s="61"/>
      <c r="E5636" s="61"/>
      <c r="F5636" s="446"/>
      <c r="G5636" s="64"/>
      <c r="H5636" s="69"/>
      <c r="I5636" s="385"/>
      <c r="J5636" s="392"/>
      <c r="K5636" s="385"/>
      <c r="L5636" s="392"/>
      <c r="M5636" s="62"/>
      <c r="N5636" s="63"/>
      <c r="O5636" s="63"/>
      <c r="P5636" s="79" t="str">
        <f>IF(AND('331-CT'!$E$7=TH!H5636,OR(N5636="331",O5636="331")),"x","")</f>
        <v/>
      </c>
      <c r="Q5636" s="79" t="str">
        <f>IF(AND(B5636='111'!$L$11,OR($N5636=$Q$7,$O5636=$Q$7)),"x","")</f>
        <v/>
      </c>
      <c r="R5636" s="79" t="str">
        <f>IF(AND($N5636=$Q$7,$B5636&lt;'111'!$L$11),"x","")</f>
        <v/>
      </c>
      <c r="S5636" s="79" t="str">
        <f>IF(AND($O5636=$Q$7,$B5636&lt;'111'!$L$11),"x","")</f>
        <v/>
      </c>
      <c r="T5636" s="79" t="str">
        <f>IF(ISERROR(FIND('112'!$M$9,G5636,1)),"",IF((AND(FIND('112'!$M$9,G5636,1)&gt;=1,B5636='112'!$K$9,OR($N5636='112'!$I$6,$O5636='112'!$I$6))),"x",""))</f>
        <v/>
      </c>
      <c r="U5636" s="79" t="str">
        <f>IF(ISERROR(FIND('112'!$M$9,G5636,1)),"",IF((AND(LEFT(G5636,2)=LEFT('112'!$M$9,2),B5636&lt;'112'!$K$9,$N5636='112'!$I$6)),"x",""))</f>
        <v/>
      </c>
      <c r="V5636" s="79" t="str">
        <f>IF(ISERROR(FIND('112'!$M$9,G5636,1)),"",IF((AND(RIGHT(G5636,2)=RIGHT('112'!$M$9,2),B5636&lt;'112'!$K$9,$O5636='112'!$I$6)),"x",""))</f>
        <v/>
      </c>
      <c r="W5636" s="79" t="str">
        <f>IF(AND('341-CT'!$H$9=H5636,OR(LEFT(N5636,3)=$W$7,LEFT(O5636,3)=$W$7)),"x","")</f>
        <v/>
      </c>
      <c r="X5636" s="79" t="str">
        <f>IF(OR(TH!N5636=TH!$X$7,O5636=TH!$X$7),"x","")</f>
        <v/>
      </c>
      <c r="Y5636" s="79" t="str">
        <f>IF(AND(OR(N5636="131",O5636="131"),H5636='131-CT'!$H$9),"x","")</f>
        <v/>
      </c>
      <c r="Z5636" s="79"/>
      <c r="AA5636" s="79" t="str">
        <f>IF(AND(MONTH(E5636)='IN-NX'!$J$5,'IN-NX'!$D$7=D5636),"x","")</f>
        <v/>
      </c>
      <c r="AB5636" s="79" t="str">
        <f>IF(AND(OR(LEFT(TH!N5636,2)="15",LEFT(TH!O5636,2)="15"),LEFT(TH!O5636,3)&lt;&gt;"111",'152-CT'!$J$8=TH!F5636),"x","")</f>
        <v/>
      </c>
      <c r="AC5636" s="79" t="str">
        <f>IF(AND(OR(LEFT(TH!N5636,2)="15",LEFT(TH!O5636,2)="15"),TK!$E$7=TH!F5636),"x","")</f>
        <v/>
      </c>
      <c r="AD5636" s="79" t="str">
        <f>IF(AND(N5636="1521",MONTH(C5636)='BK-NL'!$M$11),"x","")</f>
        <v/>
      </c>
    </row>
    <row r="5637" spans="1:30" ht="16.5" customHeight="1">
      <c r="A5637" s="318" t="str">
        <f>IF(B5637&lt;&gt;"",IF(AND(B5637='IN-TC'!$S$4,OR(TH!N5637="1111",TH!O5637="1111")),TH!D5637,""),"")</f>
        <v/>
      </c>
      <c r="B5637" s="60" t="str">
        <f t="shared" si="509"/>
        <v/>
      </c>
      <c r="C5637" s="61"/>
      <c r="D5637" s="61"/>
      <c r="E5637" s="61"/>
      <c r="F5637" s="446"/>
      <c r="G5637" s="64"/>
      <c r="H5637" s="321"/>
      <c r="I5637" s="387"/>
      <c r="J5637" s="394"/>
      <c r="K5637" s="387"/>
      <c r="L5637" s="394"/>
      <c r="M5637" s="62"/>
      <c r="N5637" s="63"/>
      <c r="O5637" s="63"/>
      <c r="P5637" s="79" t="str">
        <f>IF(AND('331-CT'!$E$7=TH!H5637,OR(N5637="331",O5637="331")),"x","")</f>
        <v/>
      </c>
      <c r="Q5637" s="79" t="str">
        <f>IF(AND(B5637='111'!$L$11,OR($N5637=$Q$7,$O5637=$Q$7)),"x","")</f>
        <v/>
      </c>
      <c r="R5637" s="79" t="str">
        <f>IF(AND($N5637=$Q$7,$B5637&lt;'111'!$L$11),"x","")</f>
        <v/>
      </c>
      <c r="S5637" s="79" t="str">
        <f>IF(AND($O5637=$Q$7,$B5637&lt;'111'!$L$11),"x","")</f>
        <v/>
      </c>
      <c r="T5637" s="79" t="str">
        <f>IF(ISERROR(FIND('112'!$M$9,G5637,1)),"",IF((AND(FIND('112'!$M$9,G5637,1)&gt;=1,B5637='112'!$K$9,OR($N5637='112'!$I$6,$O5637='112'!$I$6))),"x",""))</f>
        <v/>
      </c>
      <c r="U5637" s="79" t="str">
        <f>IF(ISERROR(FIND('112'!$M$9,G5637,1)),"",IF((AND(LEFT(G5637,2)=LEFT('112'!$M$9,2),B5637&lt;'112'!$K$9,$N5637='112'!$I$6)),"x",""))</f>
        <v/>
      </c>
      <c r="V5637" s="79" t="str">
        <f>IF(ISERROR(FIND('112'!$M$9,G5637,1)),"",IF((AND(RIGHT(G5637,2)=RIGHT('112'!$M$9,2),B5637&lt;'112'!$K$9,$O5637='112'!$I$6)),"x",""))</f>
        <v/>
      </c>
      <c r="W5637" s="79" t="str">
        <f>IF(AND('341-CT'!$H$9=H5637,OR(LEFT(N5637,3)=$W$7,LEFT(O5637,3)=$W$7)),"x","")</f>
        <v/>
      </c>
      <c r="X5637" s="79" t="str">
        <f>IF(OR(TH!N5637=TH!$X$7,O5637=TH!$X$7),"x","")</f>
        <v/>
      </c>
      <c r="Y5637" s="79" t="str">
        <f>IF(AND(OR(N5637="131",O5637="131"),H5637='131-CT'!$H$9),"x","")</f>
        <v/>
      </c>
      <c r="Z5637" s="79"/>
      <c r="AA5637" s="79" t="str">
        <f>IF(AND(MONTH(E5637)='IN-NX'!$J$5,'IN-NX'!$D$7=D5637),"x","")</f>
        <v/>
      </c>
      <c r="AB5637" s="79" t="str">
        <f>IF(AND(OR(LEFT(TH!N5637,2)="15",LEFT(TH!O5637,2)="15"),LEFT(TH!O5637,3)&lt;&gt;"111",'152-CT'!$J$8=TH!F5637),"x","")</f>
        <v/>
      </c>
      <c r="AC5637" s="79" t="str">
        <f>IF(AND(OR(LEFT(TH!N5637,2)="15",LEFT(TH!O5637,2)="15"),TK!$E$7=TH!F5637),"x","")</f>
        <v/>
      </c>
      <c r="AD5637" s="79" t="str">
        <f>IF(AND(N5637="1521",MONTH(C5637)='BK-NL'!$M$11),"x","")</f>
        <v/>
      </c>
    </row>
    <row r="5638" spans="1:30" ht="16.5" customHeight="1">
      <c r="A5638" s="318" t="str">
        <f>IF(B5638&lt;&gt;"",IF(AND(B5638='IN-TC'!$S$4,OR(TH!N5638="1111",TH!O5638="1111")),TH!D5638,""),"")</f>
        <v/>
      </c>
      <c r="B5638" s="60" t="str">
        <f t="shared" si="509"/>
        <v/>
      </c>
      <c r="C5638" s="61"/>
      <c r="D5638" s="61"/>
      <c r="E5638" s="61"/>
      <c r="F5638" s="69"/>
      <c r="G5638" s="64"/>
      <c r="H5638" s="69"/>
      <c r="I5638" s="385"/>
      <c r="J5638" s="392"/>
      <c r="K5638" s="385"/>
      <c r="L5638" s="392"/>
      <c r="M5638" s="62"/>
      <c r="N5638" s="63"/>
      <c r="O5638" s="63"/>
      <c r="P5638" s="79" t="str">
        <f>IF(AND('331-CT'!$E$7=TH!H5638,OR(N5638="331",O5638="331")),"x","")</f>
        <v/>
      </c>
      <c r="Q5638" s="79" t="str">
        <f>IF(AND(B5638='111'!$L$11,OR($N5638=$Q$7,$O5638=$Q$7)),"x","")</f>
        <v/>
      </c>
      <c r="R5638" s="79" t="str">
        <f>IF(AND($N5638=$Q$7,$B5638&lt;'111'!$L$11),"x","")</f>
        <v/>
      </c>
      <c r="S5638" s="79" t="str">
        <f>IF(AND($O5638=$Q$7,$B5638&lt;'111'!$L$11),"x","")</f>
        <v/>
      </c>
      <c r="T5638" s="79" t="str">
        <f>IF(ISERROR(FIND('112'!$M$9,G5638,1)),"",IF((AND(FIND('112'!$M$9,G5638,1)&gt;=1,B5638='112'!$K$9,OR($N5638='112'!$I$6,$O5638='112'!$I$6))),"x",""))</f>
        <v/>
      </c>
      <c r="U5638" s="79" t="str">
        <f>IF(ISERROR(FIND('112'!$M$9,G5638,1)),"",IF((AND(LEFT(G5638,2)=LEFT('112'!$M$9,2),B5638&lt;'112'!$K$9,$N5638='112'!$I$6)),"x",""))</f>
        <v/>
      </c>
      <c r="V5638" s="79" t="str">
        <f>IF(ISERROR(FIND('112'!$M$9,G5638,1)),"",IF((AND(RIGHT(G5638,2)=RIGHT('112'!$M$9,2),B5638&lt;'112'!$K$9,$O5638='112'!$I$6)),"x",""))</f>
        <v/>
      </c>
      <c r="W5638" s="79" t="str">
        <f>IF(AND('341-CT'!$H$9=H5638,OR(LEFT(N5638,3)=$W$7,LEFT(O5638,3)=$W$7)),"x","")</f>
        <v/>
      </c>
      <c r="X5638" s="79" t="str">
        <f>IF(OR(TH!N5638=TH!$X$7,O5638=TH!$X$7),"x","")</f>
        <v/>
      </c>
      <c r="Y5638" s="79" t="str">
        <f>IF(AND(OR(N5638="131",O5638="131"),H5638='131-CT'!$H$9),"x","")</f>
        <v/>
      </c>
      <c r="Z5638" s="79"/>
      <c r="AA5638" s="79" t="str">
        <f>IF(AND(MONTH(E5638)='IN-NX'!$J$5,'IN-NX'!$D$7=D5638),"x","")</f>
        <v/>
      </c>
      <c r="AB5638" s="79" t="str">
        <f>IF(AND(OR(LEFT(TH!N5638,2)="15",LEFT(TH!O5638,2)="15"),LEFT(TH!O5638,3)&lt;&gt;"111",'152-CT'!$J$8=TH!F5638),"x","")</f>
        <v/>
      </c>
      <c r="AC5638" s="79" t="str">
        <f>IF(AND(OR(LEFT(TH!N5638,2)="15",LEFT(TH!O5638,2)="15"),TK!$E$7=TH!F5638),"x","")</f>
        <v/>
      </c>
      <c r="AD5638" s="79" t="str">
        <f>IF(AND(N5638="1521",MONTH(C5638)='BK-NL'!$M$11),"x","")</f>
        <v/>
      </c>
    </row>
    <row r="5639" spans="1:30" ht="16.5" customHeight="1">
      <c r="A5639" s="318" t="str">
        <f>IF(B5639&lt;&gt;"",IF(AND(B5639='IN-TC'!$S$4,OR(TH!N5639="1111",TH!O5639="1111")),TH!D5639,""),"")</f>
        <v/>
      </c>
      <c r="B5639" s="60" t="str">
        <f t="shared" si="509"/>
        <v/>
      </c>
      <c r="C5639" s="61"/>
      <c r="D5639" s="61"/>
      <c r="E5639" s="61"/>
      <c r="F5639" s="446"/>
      <c r="G5639" s="64"/>
      <c r="H5639" s="69"/>
      <c r="I5639" s="385"/>
      <c r="J5639" s="392"/>
      <c r="K5639" s="385"/>
      <c r="L5639" s="392"/>
      <c r="M5639" s="62"/>
      <c r="N5639" s="63"/>
      <c r="O5639" s="63"/>
      <c r="P5639" s="79" t="str">
        <f>IF(AND('331-CT'!$E$7=TH!H5639,OR(N5639="331",O5639="331")),"x","")</f>
        <v/>
      </c>
      <c r="Q5639" s="79" t="str">
        <f>IF(AND(B5639='111'!$L$11,OR($N5639=$Q$7,$O5639=$Q$7)),"x","")</f>
        <v/>
      </c>
      <c r="R5639" s="79" t="str">
        <f>IF(AND($N5639=$Q$7,$B5639&lt;'111'!$L$11),"x","")</f>
        <v/>
      </c>
      <c r="S5639" s="79" t="str">
        <f>IF(AND($O5639=$Q$7,$B5639&lt;'111'!$L$11),"x","")</f>
        <v/>
      </c>
      <c r="T5639" s="79" t="str">
        <f>IF(ISERROR(FIND('112'!$M$9,G5639,1)),"",IF((AND(FIND('112'!$M$9,G5639,1)&gt;=1,B5639='112'!$K$9,OR($N5639='112'!$I$6,$O5639='112'!$I$6))),"x",""))</f>
        <v/>
      </c>
      <c r="U5639" s="79" t="str">
        <f>IF(ISERROR(FIND('112'!$M$9,G5639,1)),"",IF((AND(LEFT(G5639,2)=LEFT('112'!$M$9,2),B5639&lt;'112'!$K$9,$N5639='112'!$I$6)),"x",""))</f>
        <v/>
      </c>
      <c r="V5639" s="79" t="str">
        <f>IF(ISERROR(FIND('112'!$M$9,G5639,1)),"",IF((AND(RIGHT(G5639,2)=RIGHT('112'!$M$9,2),B5639&lt;'112'!$K$9,$O5639='112'!$I$6)),"x",""))</f>
        <v/>
      </c>
      <c r="W5639" s="79" t="str">
        <f>IF(AND('341-CT'!$H$9=H5639,OR(LEFT(N5639,3)=$W$7,LEFT(O5639,3)=$W$7)),"x","")</f>
        <v/>
      </c>
      <c r="X5639" s="79" t="str">
        <f>IF(OR(TH!N5639=TH!$X$7,O5639=TH!$X$7),"x","")</f>
        <v/>
      </c>
      <c r="Y5639" s="79" t="str">
        <f>IF(AND(OR(N5639="131",O5639="131"),H5639='131-CT'!$H$9),"x","")</f>
        <v/>
      </c>
      <c r="Z5639" s="79"/>
      <c r="AA5639" s="79" t="str">
        <f>IF(AND(MONTH(E5639)='IN-NX'!$J$5,'IN-NX'!$D$7=D5639),"x","")</f>
        <v/>
      </c>
      <c r="AB5639" s="79" t="str">
        <f>IF(AND(OR(LEFT(TH!N5639,2)="15",LEFT(TH!O5639,2)="15"),LEFT(TH!O5639,3)&lt;&gt;"111",'152-CT'!$J$8=TH!F5639),"x","")</f>
        <v/>
      </c>
      <c r="AC5639" s="79" t="str">
        <f>IF(AND(OR(LEFT(TH!N5639,2)="15",LEFT(TH!O5639,2)="15"),TK!$E$7=TH!F5639),"x","")</f>
        <v/>
      </c>
      <c r="AD5639" s="79" t="str">
        <f>IF(AND(N5639="1521",MONTH(C5639)='BK-NL'!$M$11),"x","")</f>
        <v/>
      </c>
    </row>
    <row r="5640" spans="1:30" ht="16.5" customHeight="1">
      <c r="A5640" s="318" t="str">
        <f>IF(B5640&lt;&gt;"",IF(AND(B5640='IN-TC'!$S$4,OR(TH!N5640="1111",TH!O5640="1111")),TH!D5640,""),"")</f>
        <v/>
      </c>
      <c r="B5640" s="60" t="str">
        <f t="shared" si="509"/>
        <v/>
      </c>
      <c r="C5640" s="61"/>
      <c r="D5640" s="61"/>
      <c r="E5640" s="61"/>
      <c r="F5640" s="322"/>
      <c r="G5640" s="64"/>
      <c r="H5640" s="69"/>
      <c r="I5640" s="385"/>
      <c r="J5640" s="392"/>
      <c r="K5640" s="385"/>
      <c r="L5640" s="392"/>
      <c r="M5640" s="62"/>
      <c r="N5640" s="63"/>
      <c r="O5640" s="63"/>
      <c r="P5640" s="79" t="str">
        <f>IF(AND('331-CT'!$E$7=TH!H5640,OR(N5640="331",O5640="331")),"x","")</f>
        <v/>
      </c>
      <c r="Q5640" s="79" t="str">
        <f>IF(AND(B5640='111'!$L$11,OR($N5640=$Q$7,$O5640=$Q$7)),"x","")</f>
        <v/>
      </c>
      <c r="R5640" s="79" t="str">
        <f>IF(AND($N5640=$Q$7,$B5640&lt;'111'!$L$11),"x","")</f>
        <v/>
      </c>
      <c r="S5640" s="79" t="str">
        <f>IF(AND($O5640=$Q$7,$B5640&lt;'111'!$L$11),"x","")</f>
        <v/>
      </c>
      <c r="T5640" s="79" t="str">
        <f>IF(ISERROR(FIND('112'!$M$9,G5640,1)),"",IF((AND(FIND('112'!$M$9,G5640,1)&gt;=1,B5640='112'!$K$9,OR($N5640='112'!$I$6,$O5640='112'!$I$6))),"x",""))</f>
        <v/>
      </c>
      <c r="U5640" s="79" t="str">
        <f>IF(ISERROR(FIND('112'!$M$9,G5640,1)),"",IF((AND(LEFT(G5640,2)=LEFT('112'!$M$9,2),B5640&lt;'112'!$K$9,$N5640='112'!$I$6)),"x",""))</f>
        <v/>
      </c>
      <c r="V5640" s="79" t="str">
        <f>IF(ISERROR(FIND('112'!$M$9,G5640,1)),"",IF((AND(RIGHT(G5640,2)=RIGHT('112'!$M$9,2),B5640&lt;'112'!$K$9,$O5640='112'!$I$6)),"x",""))</f>
        <v/>
      </c>
      <c r="W5640" s="79" t="str">
        <f>IF(AND('341-CT'!$H$9=H5640,OR(LEFT(N5640,3)=$W$7,LEFT(O5640,3)=$W$7)),"x","")</f>
        <v/>
      </c>
      <c r="X5640" s="79" t="str">
        <f>IF(OR(TH!N5640=TH!$X$7,O5640=TH!$X$7),"x","")</f>
        <v/>
      </c>
      <c r="Y5640" s="79" t="str">
        <f>IF(AND(OR(N5640="131",O5640="131"),H5640='131-CT'!$H$9),"x","")</f>
        <v/>
      </c>
      <c r="Z5640" s="79"/>
      <c r="AA5640" s="79" t="str">
        <f>IF(AND(MONTH(E5640)='IN-NX'!$J$5,'IN-NX'!$D$7=D5640),"x","")</f>
        <v/>
      </c>
      <c r="AB5640" s="79" t="str">
        <f>IF(AND(OR(LEFT(TH!N5640,2)="15",LEFT(TH!O5640,2)="15"),LEFT(TH!O5640,3)&lt;&gt;"111",'152-CT'!$J$8=TH!F5640),"x","")</f>
        <v/>
      </c>
      <c r="AC5640" s="79" t="str">
        <f>IF(AND(OR(LEFT(TH!N5640,2)="15",LEFT(TH!O5640,2)="15"),TK!$E$7=TH!F5640),"x","")</f>
        <v/>
      </c>
      <c r="AD5640" s="79" t="str">
        <f>IF(AND(N5640="1521",MONTH(C5640)='BK-NL'!$M$11),"x","")</f>
        <v/>
      </c>
    </row>
    <row r="5641" spans="1:30" ht="16.5" customHeight="1">
      <c r="A5641" s="318" t="str">
        <f>IF(B5641&lt;&gt;"",IF(AND(B5641='IN-TC'!$S$4,OR(TH!N5641="1111",TH!O5641="1111")),TH!D5641,""),"")</f>
        <v/>
      </c>
      <c r="B5641" s="60" t="str">
        <f t="shared" si="509"/>
        <v/>
      </c>
      <c r="C5641" s="61"/>
      <c r="D5641" s="61"/>
      <c r="E5641" s="61"/>
      <c r="F5641" s="446"/>
      <c r="G5641" s="64"/>
      <c r="H5641" s="69"/>
      <c r="I5641" s="385"/>
      <c r="J5641" s="392"/>
      <c r="K5641" s="385"/>
      <c r="L5641" s="392"/>
      <c r="M5641" s="62"/>
      <c r="N5641" s="63"/>
      <c r="O5641" s="63"/>
      <c r="P5641" s="79" t="str">
        <f>IF(AND('331-CT'!$E$7=TH!H5641,OR(N5641="331",O5641="331")),"x","")</f>
        <v/>
      </c>
      <c r="Q5641" s="79" t="str">
        <f>IF(AND(B5641='111'!$L$11,OR($N5641=$Q$7,$O5641=$Q$7)),"x","")</f>
        <v/>
      </c>
      <c r="R5641" s="79" t="str">
        <f>IF(AND($N5641=$Q$7,$B5641&lt;'111'!$L$11),"x","")</f>
        <v/>
      </c>
      <c r="S5641" s="79" t="str">
        <f>IF(AND($O5641=$Q$7,$B5641&lt;'111'!$L$11),"x","")</f>
        <v/>
      </c>
      <c r="T5641" s="79" t="str">
        <f>IF(ISERROR(FIND('112'!$M$9,G5641,1)),"",IF((AND(FIND('112'!$M$9,G5641,1)&gt;=1,B5641='112'!$K$9,OR($N5641='112'!$I$6,$O5641='112'!$I$6))),"x",""))</f>
        <v/>
      </c>
      <c r="U5641" s="79" t="str">
        <f>IF(ISERROR(FIND('112'!$M$9,G5641,1)),"",IF((AND(LEFT(G5641,2)=LEFT('112'!$M$9,2),B5641&lt;'112'!$K$9,$N5641='112'!$I$6)),"x",""))</f>
        <v/>
      </c>
      <c r="V5641" s="79" t="str">
        <f>IF(ISERROR(FIND('112'!$M$9,G5641,1)),"",IF((AND(RIGHT(G5641,2)=RIGHT('112'!$M$9,2),B5641&lt;'112'!$K$9,$O5641='112'!$I$6)),"x",""))</f>
        <v/>
      </c>
      <c r="W5641" s="79" t="str">
        <f>IF(AND('341-CT'!$H$9=H5641,OR(LEFT(N5641,3)=$W$7,LEFT(O5641,3)=$W$7)),"x","")</f>
        <v/>
      </c>
      <c r="X5641" s="79" t="str">
        <f>IF(OR(TH!N5641=TH!$X$7,O5641=TH!$X$7),"x","")</f>
        <v/>
      </c>
      <c r="Y5641" s="79" t="str">
        <f>IF(AND(OR(N5641="131",O5641="131"),H5641='131-CT'!$H$9),"x","")</f>
        <v/>
      </c>
      <c r="Z5641" s="79"/>
      <c r="AA5641" s="79" t="str">
        <f>IF(AND(MONTH(E5641)='IN-NX'!$J$5,'IN-NX'!$D$7=D5641),"x","")</f>
        <v/>
      </c>
      <c r="AB5641" s="79" t="str">
        <f>IF(AND(OR(LEFT(TH!N5641,2)="15",LEFT(TH!O5641,2)="15"),LEFT(TH!O5641,3)&lt;&gt;"111",'152-CT'!$J$8=TH!F5641),"x","")</f>
        <v/>
      </c>
      <c r="AC5641" s="79" t="str">
        <f>IF(AND(OR(LEFT(TH!N5641,2)="15",LEFT(TH!O5641,2)="15"),TK!$E$7=TH!F5641),"x","")</f>
        <v/>
      </c>
      <c r="AD5641" s="79" t="str">
        <f>IF(AND(N5641="1521",MONTH(C5641)='BK-NL'!$M$11),"x","")</f>
        <v/>
      </c>
    </row>
    <row r="5642" spans="1:30" ht="16.5" customHeight="1">
      <c r="A5642" s="318" t="str">
        <f>IF(B5642&lt;&gt;"",IF(AND(B5642='IN-TC'!$S$4,OR(TH!N5642="1111",TH!O5642="1111")),TH!D5642,""),"")</f>
        <v/>
      </c>
      <c r="B5642" s="60" t="str">
        <f t="shared" si="509"/>
        <v/>
      </c>
      <c r="C5642" s="61"/>
      <c r="D5642" s="61"/>
      <c r="E5642" s="61"/>
      <c r="F5642" s="446"/>
      <c r="G5642" s="64"/>
      <c r="H5642" s="69"/>
      <c r="I5642" s="385"/>
      <c r="J5642" s="392"/>
      <c r="K5642" s="385"/>
      <c r="L5642" s="392"/>
      <c r="M5642" s="62"/>
      <c r="N5642" s="63"/>
      <c r="O5642" s="63"/>
      <c r="P5642" s="79" t="str">
        <f>IF(AND('331-CT'!$E$7=TH!H5642,OR(N5642="331",O5642="331")),"x","")</f>
        <v/>
      </c>
      <c r="Q5642" s="79" t="str">
        <f>IF(AND(B5642='111'!$L$11,OR($N5642=$Q$7,$O5642=$Q$7)),"x","")</f>
        <v/>
      </c>
      <c r="R5642" s="79" t="str">
        <f>IF(AND($N5642=$Q$7,$B5642&lt;'111'!$L$11),"x","")</f>
        <v/>
      </c>
      <c r="S5642" s="79" t="str">
        <f>IF(AND($O5642=$Q$7,$B5642&lt;'111'!$L$11),"x","")</f>
        <v/>
      </c>
      <c r="T5642" s="79" t="str">
        <f>IF(ISERROR(FIND('112'!$M$9,G5642,1)),"",IF((AND(FIND('112'!$M$9,G5642,1)&gt;=1,B5642='112'!$K$9,OR($N5642='112'!$I$6,$O5642='112'!$I$6))),"x",""))</f>
        <v/>
      </c>
      <c r="U5642" s="79" t="str">
        <f>IF(ISERROR(FIND('112'!$M$9,G5642,1)),"",IF((AND(LEFT(G5642,2)=LEFT('112'!$M$9,2),B5642&lt;'112'!$K$9,$N5642='112'!$I$6)),"x",""))</f>
        <v/>
      </c>
      <c r="V5642" s="79" t="str">
        <f>IF(ISERROR(FIND('112'!$M$9,G5642,1)),"",IF((AND(RIGHT(G5642,2)=RIGHT('112'!$M$9,2),B5642&lt;'112'!$K$9,$O5642='112'!$I$6)),"x",""))</f>
        <v/>
      </c>
      <c r="W5642" s="79" t="str">
        <f>IF(AND('341-CT'!$H$9=H5642,OR(LEFT(N5642,3)=$W$7,LEFT(O5642,3)=$W$7)),"x","")</f>
        <v/>
      </c>
      <c r="X5642" s="79" t="str">
        <f>IF(OR(TH!N5642=TH!$X$7,O5642=TH!$X$7),"x","")</f>
        <v/>
      </c>
      <c r="Y5642" s="79" t="str">
        <f>IF(AND(OR(N5642="131",O5642="131"),H5642='131-CT'!$H$9),"x","")</f>
        <v/>
      </c>
      <c r="Z5642" s="79"/>
      <c r="AA5642" s="79" t="str">
        <f>IF(AND(MONTH(E5642)='IN-NX'!$J$5,'IN-NX'!$D$7=D5642),"x","")</f>
        <v/>
      </c>
      <c r="AB5642" s="79" t="str">
        <f>IF(AND(OR(LEFT(TH!N5642,2)="15",LEFT(TH!O5642,2)="15"),LEFT(TH!O5642,3)&lt;&gt;"111",'152-CT'!$J$8=TH!F5642),"x","")</f>
        <v/>
      </c>
      <c r="AC5642" s="79" t="str">
        <f>IF(AND(OR(LEFT(TH!N5642,2)="15",LEFT(TH!O5642,2)="15"),TK!$E$7=TH!F5642),"x","")</f>
        <v/>
      </c>
      <c r="AD5642" s="79" t="str">
        <f>IF(AND(N5642="1521",MONTH(C5642)='BK-NL'!$M$11),"x","")</f>
        <v/>
      </c>
    </row>
    <row r="5643" spans="1:30" ht="16.5" customHeight="1">
      <c r="A5643" s="318" t="str">
        <f>IF(B5643&lt;&gt;"",IF(AND(B5643='IN-TC'!$S$4,OR(TH!N5643="1111",TH!O5643="1111")),TH!D5643,""),"")</f>
        <v/>
      </c>
      <c r="B5643" s="60" t="str">
        <f t="shared" si="509"/>
        <v/>
      </c>
      <c r="C5643" s="61"/>
      <c r="D5643" s="61"/>
      <c r="E5643" s="61"/>
      <c r="F5643" s="446"/>
      <c r="G5643" s="64"/>
      <c r="H5643" s="69"/>
      <c r="I5643" s="385"/>
      <c r="J5643" s="392"/>
      <c r="K5643" s="385"/>
      <c r="L5643" s="392"/>
      <c r="M5643" s="62"/>
      <c r="N5643" s="63"/>
      <c r="O5643" s="63"/>
      <c r="P5643" s="79" t="str">
        <f>IF(AND('331-CT'!$E$7=TH!H5643,OR(N5643="331",O5643="331")),"x","")</f>
        <v/>
      </c>
      <c r="Q5643" s="79" t="str">
        <f>IF(AND(B5643='111'!$L$11,OR($N5643=$Q$7,$O5643=$Q$7)),"x","")</f>
        <v/>
      </c>
      <c r="R5643" s="79" t="str">
        <f>IF(AND($N5643=$Q$7,$B5643&lt;'111'!$L$11),"x","")</f>
        <v/>
      </c>
      <c r="S5643" s="79" t="str">
        <f>IF(AND($O5643=$Q$7,$B5643&lt;'111'!$L$11),"x","")</f>
        <v/>
      </c>
      <c r="T5643" s="79" t="str">
        <f>IF(ISERROR(FIND('112'!$M$9,G5643,1)),"",IF((AND(FIND('112'!$M$9,G5643,1)&gt;=1,B5643='112'!$K$9,OR($N5643='112'!$I$6,$O5643='112'!$I$6))),"x",""))</f>
        <v/>
      </c>
      <c r="U5643" s="79" t="str">
        <f>IF(ISERROR(FIND('112'!$M$9,G5643,1)),"",IF((AND(LEFT(G5643,2)=LEFT('112'!$M$9,2),B5643&lt;'112'!$K$9,$N5643='112'!$I$6)),"x",""))</f>
        <v/>
      </c>
      <c r="V5643" s="79" t="str">
        <f>IF(ISERROR(FIND('112'!$M$9,G5643,1)),"",IF((AND(RIGHT(G5643,2)=RIGHT('112'!$M$9,2),B5643&lt;'112'!$K$9,$O5643='112'!$I$6)),"x",""))</f>
        <v/>
      </c>
      <c r="W5643" s="79" t="str">
        <f>IF(AND('341-CT'!$H$9=H5643,OR(LEFT(N5643,3)=$W$7,LEFT(O5643,3)=$W$7)),"x","")</f>
        <v/>
      </c>
      <c r="X5643" s="79" t="str">
        <f>IF(OR(TH!N5643=TH!$X$7,O5643=TH!$X$7),"x","")</f>
        <v/>
      </c>
      <c r="Y5643" s="79" t="str">
        <f>IF(AND(OR(N5643="131",O5643="131"),H5643='131-CT'!$H$9),"x","")</f>
        <v/>
      </c>
      <c r="Z5643" s="79"/>
      <c r="AA5643" s="79" t="str">
        <f>IF(AND(MONTH(E5643)='IN-NX'!$J$5,'IN-NX'!$D$7=D5643),"x","")</f>
        <v/>
      </c>
      <c r="AB5643" s="79" t="str">
        <f>IF(AND(OR(LEFT(TH!N5643,2)="15",LEFT(TH!O5643,2)="15"),LEFT(TH!O5643,3)&lt;&gt;"111",'152-CT'!$J$8=TH!F5643),"x","")</f>
        <v/>
      </c>
      <c r="AC5643" s="79" t="str">
        <f>IF(AND(OR(LEFT(TH!N5643,2)="15",LEFT(TH!O5643,2)="15"),TK!$E$7=TH!F5643),"x","")</f>
        <v/>
      </c>
      <c r="AD5643" s="79" t="str">
        <f>IF(AND(N5643="1521",MONTH(C5643)='BK-NL'!$M$11),"x","")</f>
        <v/>
      </c>
    </row>
    <row r="5644" spans="1:30" ht="16.5" customHeight="1">
      <c r="A5644" s="318" t="str">
        <f>IF(B5644&lt;&gt;"",IF(AND(B5644='IN-TC'!$S$4,OR(TH!N5644="1111",TH!O5644="1111")),TH!D5644,""),"")</f>
        <v/>
      </c>
      <c r="B5644" s="60" t="str">
        <f t="shared" si="509"/>
        <v/>
      </c>
      <c r="C5644" s="61"/>
      <c r="D5644" s="61"/>
      <c r="E5644" s="61"/>
      <c r="F5644" s="446"/>
      <c r="G5644" s="64"/>
      <c r="H5644" s="64"/>
      <c r="I5644" s="385"/>
      <c r="J5644" s="392"/>
      <c r="K5644" s="385"/>
      <c r="L5644" s="392"/>
      <c r="M5644" s="62"/>
      <c r="N5644" s="63"/>
      <c r="O5644" s="63"/>
      <c r="P5644" s="79" t="str">
        <f>IF(AND('331-CT'!$E$7=TH!H5644,OR(N5644="331",O5644="331")),"x","")</f>
        <v/>
      </c>
      <c r="Q5644" s="79" t="str">
        <f>IF(AND(B5644='111'!$L$11,OR($N5644=$Q$7,$O5644=$Q$7)),"x","")</f>
        <v/>
      </c>
      <c r="R5644" s="79" t="str">
        <f>IF(AND($N5644=$Q$7,$B5644&lt;'111'!$L$11),"x","")</f>
        <v/>
      </c>
      <c r="S5644" s="79" t="str">
        <f>IF(AND($O5644=$Q$7,$B5644&lt;'111'!$L$11),"x","")</f>
        <v/>
      </c>
      <c r="T5644" s="79" t="str">
        <f>IF(ISERROR(FIND('112'!$M$9,G5644,1)),"",IF((AND(FIND('112'!$M$9,G5644,1)&gt;=1,B5644='112'!$K$9,OR($N5644='112'!$I$6,$O5644='112'!$I$6))),"x",""))</f>
        <v/>
      </c>
      <c r="U5644" s="79" t="str">
        <f>IF(ISERROR(FIND('112'!$M$9,G5644,1)),"",IF((AND(LEFT(G5644,2)=LEFT('112'!$M$9,2),B5644&lt;'112'!$K$9,$N5644='112'!$I$6)),"x",""))</f>
        <v/>
      </c>
      <c r="V5644" s="79" t="str">
        <f>IF(ISERROR(FIND('112'!$M$9,G5644,1)),"",IF((AND(RIGHT(G5644,2)=RIGHT('112'!$M$9,2),B5644&lt;'112'!$K$9,$O5644='112'!$I$6)),"x",""))</f>
        <v/>
      </c>
      <c r="W5644" s="79" t="str">
        <f>IF(AND('341-CT'!$H$9=H5644,OR(LEFT(N5644,3)=$W$7,LEFT(O5644,3)=$W$7)),"x","")</f>
        <v/>
      </c>
      <c r="X5644" s="79" t="str">
        <f>IF(OR(TH!N5644=TH!$X$7,O5644=TH!$X$7),"x","")</f>
        <v/>
      </c>
      <c r="Y5644" s="79" t="str">
        <f>IF(AND(OR(N5644="131",O5644="131"),H5644='131-CT'!$H$9),"x","")</f>
        <v/>
      </c>
      <c r="Z5644" s="79"/>
      <c r="AA5644" s="79" t="str">
        <f>IF(AND(MONTH(E5644)='IN-NX'!$J$5,'IN-NX'!$D$7=D5644),"x","")</f>
        <v/>
      </c>
      <c r="AB5644" s="79" t="str">
        <f>IF(AND(OR(LEFT(TH!N5644,2)="15",LEFT(TH!O5644,2)="15"),LEFT(TH!O5644,3)&lt;&gt;"111",'152-CT'!$J$8=TH!F5644),"x","")</f>
        <v/>
      </c>
      <c r="AC5644" s="79" t="str">
        <f>IF(AND(OR(LEFT(TH!N5644,2)="15",LEFT(TH!O5644,2)="15"),TK!$E$7=TH!F5644),"x","")</f>
        <v/>
      </c>
      <c r="AD5644" s="79" t="str">
        <f>IF(AND(N5644="1521",MONTH(C5644)='BK-NL'!$M$11),"x","")</f>
        <v/>
      </c>
    </row>
    <row r="5645" spans="1:30" ht="16.5" customHeight="1">
      <c r="A5645" s="318" t="str">
        <f>IF(B5645&lt;&gt;"",IF(AND(B5645='IN-TC'!$S$4,OR(TH!N5645="1111",TH!O5645="1111")),TH!D5645,""),"")</f>
        <v/>
      </c>
      <c r="B5645" s="60" t="str">
        <f t="shared" si="509"/>
        <v/>
      </c>
      <c r="C5645" s="61"/>
      <c r="D5645" s="61"/>
      <c r="E5645" s="61"/>
      <c r="F5645" s="446"/>
      <c r="G5645" s="64"/>
      <c r="H5645" s="70"/>
      <c r="I5645" s="385"/>
      <c r="J5645" s="392"/>
      <c r="K5645" s="385"/>
      <c r="L5645" s="392"/>
      <c r="M5645" s="62"/>
      <c r="N5645" s="63"/>
      <c r="O5645" s="63"/>
      <c r="P5645" s="79" t="str">
        <f>IF(AND('331-CT'!$E$7=TH!H5645,OR(N5645="331",O5645="331")),"x","")</f>
        <v/>
      </c>
      <c r="Q5645" s="79" t="str">
        <f>IF(AND(B5645='111'!$L$11,OR($N5645=$Q$7,$O5645=$Q$7)),"x","")</f>
        <v/>
      </c>
      <c r="R5645" s="79" t="str">
        <f>IF(AND($N5645=$Q$7,$B5645&lt;'111'!$L$11),"x","")</f>
        <v/>
      </c>
      <c r="S5645" s="79" t="str">
        <f>IF(AND($O5645=$Q$7,$B5645&lt;'111'!$L$11),"x","")</f>
        <v/>
      </c>
      <c r="T5645" s="79" t="str">
        <f>IF(ISERROR(FIND('112'!$M$9,G5645,1)),"",IF((AND(FIND('112'!$M$9,G5645,1)&gt;=1,B5645='112'!$K$9,OR($N5645='112'!$I$6,$O5645='112'!$I$6))),"x",""))</f>
        <v/>
      </c>
      <c r="U5645" s="79" t="str">
        <f>IF(ISERROR(FIND('112'!$M$9,G5645,1)),"",IF((AND(LEFT(G5645,2)=LEFT('112'!$M$9,2),B5645&lt;'112'!$K$9,$N5645='112'!$I$6)),"x",""))</f>
        <v/>
      </c>
      <c r="V5645" s="79" t="str">
        <f>IF(ISERROR(FIND('112'!$M$9,G5645,1)),"",IF((AND(RIGHT(G5645,2)=RIGHT('112'!$M$9,2),B5645&lt;'112'!$K$9,$O5645='112'!$I$6)),"x",""))</f>
        <v/>
      </c>
      <c r="W5645" s="79" t="str">
        <f>IF(AND('341-CT'!$H$9=H5645,OR(LEFT(N5645,3)=$W$7,LEFT(O5645,3)=$W$7)),"x","")</f>
        <v/>
      </c>
      <c r="X5645" s="79" t="str">
        <f>IF(OR(TH!N5645=TH!$X$7,O5645=TH!$X$7),"x","")</f>
        <v/>
      </c>
      <c r="Y5645" s="79" t="str">
        <f>IF(AND(OR(N5645="131",O5645="131"),H5645='131-CT'!$H$9),"x","")</f>
        <v/>
      </c>
      <c r="Z5645" s="79"/>
      <c r="AA5645" s="79" t="str">
        <f>IF(AND(MONTH(E5645)='IN-NX'!$J$5,'IN-NX'!$D$7=D5645),"x","")</f>
        <v/>
      </c>
      <c r="AB5645" s="79" t="str">
        <f>IF(AND(OR(LEFT(TH!N5645,2)="15",LEFT(TH!O5645,2)="15"),LEFT(TH!O5645,3)&lt;&gt;"111",'152-CT'!$J$8=TH!F5645),"x","")</f>
        <v/>
      </c>
      <c r="AC5645" s="79" t="str">
        <f>IF(AND(OR(LEFT(TH!N5645,2)="15",LEFT(TH!O5645,2)="15"),TK!$E$7=TH!F5645),"x","")</f>
        <v/>
      </c>
      <c r="AD5645" s="79" t="str">
        <f>IF(AND(N5645="1521",MONTH(C5645)='BK-NL'!$M$11),"x","")</f>
        <v/>
      </c>
    </row>
    <row r="5646" spans="1:30" ht="16.5" customHeight="1">
      <c r="A5646" s="318" t="str">
        <f>IF(B5646&lt;&gt;"",IF(AND(B5646='IN-TC'!$S$4,OR(TH!N5646="1111",TH!O5646="1111")),TH!D5646,""),"")</f>
        <v/>
      </c>
      <c r="B5646" s="60" t="str">
        <f t="shared" si="509"/>
        <v/>
      </c>
      <c r="C5646" s="61"/>
      <c r="D5646" s="61"/>
      <c r="E5646" s="61"/>
      <c r="F5646" s="446"/>
      <c r="G5646" s="64"/>
      <c r="H5646" s="70"/>
      <c r="I5646" s="388"/>
      <c r="J5646" s="395"/>
      <c r="K5646" s="388"/>
      <c r="L5646" s="395"/>
      <c r="M5646" s="62"/>
      <c r="N5646" s="63"/>
      <c r="O5646" s="63"/>
      <c r="P5646" s="79" t="str">
        <f>IF(AND('331-CT'!$E$7=TH!H5646,OR(N5646="331",O5646="331")),"x","")</f>
        <v/>
      </c>
      <c r="Q5646" s="79" t="str">
        <f>IF(AND(B5646='111'!$L$11,OR($N5646=$Q$7,$O5646=$Q$7)),"x","")</f>
        <v/>
      </c>
      <c r="R5646" s="79" t="str">
        <f>IF(AND($N5646=$Q$7,$B5646&lt;'111'!$L$11),"x","")</f>
        <v/>
      </c>
      <c r="S5646" s="79" t="str">
        <f>IF(AND($O5646=$Q$7,$B5646&lt;'111'!$L$11),"x","")</f>
        <v/>
      </c>
      <c r="T5646" s="79" t="str">
        <f>IF(ISERROR(FIND('112'!$M$9,G5646,1)),"",IF((AND(FIND('112'!$M$9,G5646,1)&gt;=1,B5646='112'!$K$9,OR($N5646='112'!$I$6,$O5646='112'!$I$6))),"x",""))</f>
        <v/>
      </c>
      <c r="U5646" s="79" t="str">
        <f>IF(ISERROR(FIND('112'!$M$9,G5646,1)),"",IF((AND(LEFT(G5646,2)=LEFT('112'!$M$9,2),B5646&lt;'112'!$K$9,$N5646='112'!$I$6)),"x",""))</f>
        <v/>
      </c>
      <c r="V5646" s="79" t="str">
        <f>IF(ISERROR(FIND('112'!$M$9,G5646,1)),"",IF((AND(RIGHT(G5646,2)=RIGHT('112'!$M$9,2),B5646&lt;'112'!$K$9,$O5646='112'!$I$6)),"x",""))</f>
        <v/>
      </c>
      <c r="W5646" s="79" t="str">
        <f>IF(AND('341-CT'!$H$9=H5646,OR(LEFT(N5646,3)=$W$7,LEFT(O5646,3)=$W$7)),"x","")</f>
        <v/>
      </c>
      <c r="X5646" s="79" t="str">
        <f>IF(OR(TH!N5646=TH!$X$7,O5646=TH!$X$7),"x","")</f>
        <v/>
      </c>
      <c r="Y5646" s="79" t="str">
        <f>IF(AND(OR(N5646="131",O5646="131"),H5646='131-CT'!$H$9),"x","")</f>
        <v/>
      </c>
      <c r="Z5646" s="79"/>
      <c r="AA5646" s="79" t="str">
        <f>IF(AND(MONTH(E5646)='IN-NX'!$J$5,'IN-NX'!$D$7=D5646),"x","")</f>
        <v/>
      </c>
      <c r="AB5646" s="79" t="str">
        <f>IF(AND(OR(LEFT(TH!N5646,2)="15",LEFT(TH!O5646,2)="15"),LEFT(TH!O5646,3)&lt;&gt;"111",'152-CT'!$J$8=TH!F5646),"x","")</f>
        <v/>
      </c>
      <c r="AC5646" s="79" t="str">
        <f>IF(AND(OR(LEFT(TH!N5646,2)="15",LEFT(TH!O5646,2)="15"),TK!$E$7=TH!F5646),"x","")</f>
        <v/>
      </c>
      <c r="AD5646" s="79" t="str">
        <f>IF(AND(N5646="1521",MONTH(C5646)='BK-NL'!$M$11),"x","")</f>
        <v/>
      </c>
    </row>
    <row r="5647" spans="1:30" ht="16.5" customHeight="1">
      <c r="A5647" s="318" t="str">
        <f>IF(B5647&lt;&gt;"",IF(AND(B5647='IN-TC'!$S$4,OR(TH!N5647="1111",TH!O5647="1111")),TH!D5647,""),"")</f>
        <v/>
      </c>
      <c r="B5647" s="60" t="str">
        <f t="shared" si="509"/>
        <v/>
      </c>
      <c r="C5647" s="61"/>
      <c r="D5647" s="61"/>
      <c r="E5647" s="61"/>
      <c r="F5647" s="446"/>
      <c r="G5647" s="64"/>
      <c r="H5647" s="69"/>
      <c r="I5647" s="385"/>
      <c r="J5647" s="392"/>
      <c r="K5647" s="385"/>
      <c r="L5647" s="392"/>
      <c r="M5647" s="62"/>
      <c r="N5647" s="63"/>
      <c r="O5647" s="63"/>
      <c r="P5647" s="79" t="str">
        <f>IF(AND('331-CT'!$E$7=TH!H5647,OR(N5647="331",O5647="331")),"x","")</f>
        <v/>
      </c>
      <c r="Q5647" s="79" t="str">
        <f>IF(AND(B5647='111'!$L$11,OR($N5647=$Q$7,$O5647=$Q$7)),"x","")</f>
        <v/>
      </c>
      <c r="R5647" s="79" t="str">
        <f>IF(AND($N5647=$Q$7,$B5647&lt;'111'!$L$11),"x","")</f>
        <v/>
      </c>
      <c r="S5647" s="79" t="str">
        <f>IF(AND($O5647=$Q$7,$B5647&lt;'111'!$L$11),"x","")</f>
        <v/>
      </c>
      <c r="T5647" s="79" t="str">
        <f>IF(ISERROR(FIND('112'!$M$9,G5647,1)),"",IF((AND(FIND('112'!$M$9,G5647,1)&gt;=1,B5647='112'!$K$9,OR($N5647='112'!$I$6,$O5647='112'!$I$6))),"x",""))</f>
        <v/>
      </c>
      <c r="U5647" s="79" t="str">
        <f>IF(ISERROR(FIND('112'!$M$9,G5647,1)),"",IF((AND(LEFT(G5647,2)=LEFT('112'!$M$9,2),B5647&lt;'112'!$K$9,$N5647='112'!$I$6)),"x",""))</f>
        <v/>
      </c>
      <c r="V5647" s="79" t="str">
        <f>IF(ISERROR(FIND('112'!$M$9,G5647,1)),"",IF((AND(RIGHT(G5647,2)=RIGHT('112'!$M$9,2),B5647&lt;'112'!$K$9,$O5647='112'!$I$6)),"x",""))</f>
        <v/>
      </c>
      <c r="W5647" s="79" t="str">
        <f>IF(AND('341-CT'!$H$9=H5647,OR(LEFT(N5647,3)=$W$7,LEFT(O5647,3)=$W$7)),"x","")</f>
        <v/>
      </c>
      <c r="X5647" s="79" t="str">
        <f>IF(OR(TH!N5647=TH!$X$7,O5647=TH!$X$7),"x","")</f>
        <v/>
      </c>
      <c r="Y5647" s="79" t="str">
        <f>IF(AND(OR(N5647="131",O5647="131"),H5647='131-CT'!$H$9),"x","")</f>
        <v/>
      </c>
      <c r="Z5647" s="79"/>
      <c r="AA5647" s="79" t="str">
        <f>IF(AND(MONTH(E5647)='IN-NX'!$J$5,'IN-NX'!$D$7=D5647),"x","")</f>
        <v/>
      </c>
      <c r="AB5647" s="79" t="str">
        <f>IF(AND(OR(LEFT(TH!N5647,2)="15",LEFT(TH!O5647,2)="15"),LEFT(TH!O5647,3)&lt;&gt;"111",'152-CT'!$J$8=TH!F5647),"x","")</f>
        <v/>
      </c>
      <c r="AC5647" s="79" t="str">
        <f>IF(AND(OR(LEFT(TH!N5647,2)="15",LEFT(TH!O5647,2)="15"),TK!$E$7=TH!F5647),"x","")</f>
        <v/>
      </c>
      <c r="AD5647" s="79" t="str">
        <f>IF(AND(N5647="1521",MONTH(C5647)='BK-NL'!$M$11),"x","")</f>
        <v/>
      </c>
    </row>
    <row r="5648" spans="1:30" ht="16.5" customHeight="1">
      <c r="A5648" s="318" t="str">
        <f>IF(B5648&lt;&gt;"",IF(AND(B5648='IN-TC'!$S$4,OR(TH!N5648="1111",TH!O5648="1111")),TH!D5648,""),"")</f>
        <v/>
      </c>
      <c r="B5648" s="60" t="str">
        <f t="shared" si="509"/>
        <v/>
      </c>
      <c r="C5648" s="61"/>
      <c r="D5648" s="61"/>
      <c r="E5648" s="61"/>
      <c r="F5648" s="446"/>
      <c r="G5648" s="64"/>
      <c r="H5648" s="69"/>
      <c r="I5648" s="385"/>
      <c r="J5648" s="392"/>
      <c r="K5648" s="385"/>
      <c r="L5648" s="392"/>
      <c r="M5648" s="62"/>
      <c r="N5648" s="63"/>
      <c r="O5648" s="63"/>
      <c r="P5648" s="79" t="str">
        <f>IF(AND('331-CT'!$E$7=TH!H5648,OR(N5648="331",O5648="331")),"x","")</f>
        <v/>
      </c>
      <c r="Q5648" s="79" t="str">
        <f>IF(AND(B5648='111'!$L$11,OR($N5648=$Q$7,$O5648=$Q$7)),"x","")</f>
        <v/>
      </c>
      <c r="R5648" s="79" t="str">
        <f>IF(AND($N5648=$Q$7,$B5648&lt;'111'!$L$11),"x","")</f>
        <v/>
      </c>
      <c r="S5648" s="79" t="str">
        <f>IF(AND($O5648=$Q$7,$B5648&lt;'111'!$L$11),"x","")</f>
        <v/>
      </c>
      <c r="T5648" s="79" t="str">
        <f>IF(ISERROR(FIND('112'!$M$9,G5648,1)),"",IF((AND(FIND('112'!$M$9,G5648,1)&gt;=1,B5648='112'!$K$9,OR($N5648='112'!$I$6,$O5648='112'!$I$6))),"x",""))</f>
        <v/>
      </c>
      <c r="U5648" s="79" t="str">
        <f>IF(ISERROR(FIND('112'!$M$9,G5648,1)),"",IF((AND(LEFT(G5648,2)=LEFT('112'!$M$9,2),B5648&lt;'112'!$K$9,$N5648='112'!$I$6)),"x",""))</f>
        <v/>
      </c>
      <c r="V5648" s="79" t="str">
        <f>IF(ISERROR(FIND('112'!$M$9,G5648,1)),"",IF((AND(RIGHT(G5648,2)=RIGHT('112'!$M$9,2),B5648&lt;'112'!$K$9,$O5648='112'!$I$6)),"x",""))</f>
        <v/>
      </c>
      <c r="W5648" s="79" t="str">
        <f>IF(AND('341-CT'!$H$9=H5648,OR(LEFT(N5648,3)=$W$7,LEFT(O5648,3)=$W$7)),"x","")</f>
        <v/>
      </c>
      <c r="X5648" s="79" t="str">
        <f>IF(OR(TH!N5648=TH!$X$7,O5648=TH!$X$7),"x","")</f>
        <v/>
      </c>
      <c r="Y5648" s="79" t="str">
        <f>IF(AND(OR(N5648="131",O5648="131"),H5648='131-CT'!$H$9),"x","")</f>
        <v/>
      </c>
      <c r="Z5648" s="79"/>
      <c r="AA5648" s="79" t="str">
        <f>IF(AND(MONTH(E5648)='IN-NX'!$J$5,'IN-NX'!$D$7=D5648),"x","")</f>
        <v/>
      </c>
      <c r="AB5648" s="79" t="str">
        <f>IF(AND(OR(LEFT(TH!N5648,2)="15",LEFT(TH!O5648,2)="15"),LEFT(TH!O5648,3)&lt;&gt;"111",'152-CT'!$J$8=TH!F5648),"x","")</f>
        <v/>
      </c>
      <c r="AC5648" s="79" t="str">
        <f>IF(AND(OR(LEFT(TH!N5648,2)="15",LEFT(TH!O5648,2)="15"),TK!$E$7=TH!F5648),"x","")</f>
        <v/>
      </c>
      <c r="AD5648" s="79" t="str">
        <f>IF(AND(N5648="1521",MONTH(C5648)='BK-NL'!$M$11),"x","")</f>
        <v/>
      </c>
    </row>
    <row r="5649" spans="1:30" ht="16.5" customHeight="1">
      <c r="A5649" s="318" t="str">
        <f>IF(B5649&lt;&gt;"",IF(AND(B5649='IN-TC'!$S$4,OR(TH!N5649="1111",TH!O5649="1111")),TH!D5649,""),"")</f>
        <v/>
      </c>
      <c r="B5649" s="60" t="str">
        <f t="shared" si="509"/>
        <v/>
      </c>
      <c r="C5649" s="61"/>
      <c r="D5649" s="61"/>
      <c r="E5649" s="61"/>
      <c r="F5649" s="446"/>
      <c r="G5649" s="64"/>
      <c r="H5649" s="321"/>
      <c r="I5649" s="387"/>
      <c r="J5649" s="394"/>
      <c r="K5649" s="387"/>
      <c r="L5649" s="394"/>
      <c r="M5649" s="62"/>
      <c r="N5649" s="63"/>
      <c r="O5649" s="63"/>
      <c r="P5649" s="79" t="str">
        <f>IF(AND('331-CT'!$E$7=TH!H5649,OR(N5649="331",O5649="331")),"x","")</f>
        <v/>
      </c>
      <c r="Q5649" s="79" t="str">
        <f>IF(AND(B5649='111'!$L$11,OR($N5649=$Q$7,$O5649=$Q$7)),"x","")</f>
        <v/>
      </c>
      <c r="R5649" s="79" t="str">
        <f>IF(AND($N5649=$Q$7,$B5649&lt;'111'!$L$11),"x","")</f>
        <v/>
      </c>
      <c r="S5649" s="79" t="str">
        <f>IF(AND($O5649=$Q$7,$B5649&lt;'111'!$L$11),"x","")</f>
        <v/>
      </c>
      <c r="T5649" s="79" t="str">
        <f>IF(ISERROR(FIND('112'!$M$9,G5649,1)),"",IF((AND(FIND('112'!$M$9,G5649,1)&gt;=1,B5649='112'!$K$9,OR($N5649='112'!$I$6,$O5649='112'!$I$6))),"x",""))</f>
        <v/>
      </c>
      <c r="U5649" s="79" t="str">
        <f>IF(ISERROR(FIND('112'!$M$9,G5649,1)),"",IF((AND(LEFT(G5649,2)=LEFT('112'!$M$9,2),B5649&lt;'112'!$K$9,$N5649='112'!$I$6)),"x",""))</f>
        <v/>
      </c>
      <c r="V5649" s="79" t="str">
        <f>IF(ISERROR(FIND('112'!$M$9,G5649,1)),"",IF((AND(RIGHT(G5649,2)=RIGHT('112'!$M$9,2),B5649&lt;'112'!$K$9,$O5649='112'!$I$6)),"x",""))</f>
        <v/>
      </c>
      <c r="W5649" s="79" t="str">
        <f>IF(AND('341-CT'!$H$9=H5649,OR(LEFT(N5649,3)=$W$7,LEFT(O5649,3)=$W$7)),"x","")</f>
        <v/>
      </c>
      <c r="X5649" s="79" t="str">
        <f>IF(OR(TH!N5649=TH!$X$7,O5649=TH!$X$7),"x","")</f>
        <v/>
      </c>
      <c r="Y5649" s="79" t="str">
        <f>IF(AND(OR(N5649="131",O5649="131"),H5649='131-CT'!$H$9),"x","")</f>
        <v/>
      </c>
      <c r="Z5649" s="79"/>
      <c r="AA5649" s="79" t="str">
        <f>IF(AND(MONTH(E5649)='IN-NX'!$J$5,'IN-NX'!$D$7=D5649),"x","")</f>
        <v/>
      </c>
      <c r="AB5649" s="79" t="str">
        <f>IF(AND(OR(LEFT(TH!N5649,2)="15",LEFT(TH!O5649,2)="15"),LEFT(TH!O5649,3)&lt;&gt;"111",'152-CT'!$J$8=TH!F5649),"x","")</f>
        <v/>
      </c>
      <c r="AC5649" s="79" t="str">
        <f>IF(AND(OR(LEFT(TH!N5649,2)="15",LEFT(TH!O5649,2)="15"),TK!$E$7=TH!F5649),"x","")</f>
        <v/>
      </c>
      <c r="AD5649" s="79" t="str">
        <f>IF(AND(N5649="1521",MONTH(C5649)='BK-NL'!$M$11),"x","")</f>
        <v/>
      </c>
    </row>
    <row r="5650" spans="1:30" ht="16.5" customHeight="1">
      <c r="A5650" s="318" t="str">
        <f>IF(B5650&lt;&gt;"",IF(AND(B5650='IN-TC'!$S$4,OR(TH!N5650="1111",TH!O5650="1111")),TH!D5650,""),"")</f>
        <v/>
      </c>
      <c r="B5650" s="60" t="str">
        <f t="shared" si="509"/>
        <v/>
      </c>
      <c r="C5650" s="61"/>
      <c r="D5650" s="61"/>
      <c r="E5650" s="61"/>
      <c r="F5650" s="446"/>
      <c r="G5650" s="64"/>
      <c r="H5650" s="69"/>
      <c r="I5650" s="385"/>
      <c r="J5650" s="392"/>
      <c r="K5650" s="385"/>
      <c r="L5650" s="392"/>
      <c r="M5650" s="62"/>
      <c r="N5650" s="63"/>
      <c r="O5650" s="63"/>
      <c r="P5650" s="79" t="str">
        <f>IF(AND('331-CT'!$E$7=TH!H5650,OR(N5650="331",O5650="331")),"x","")</f>
        <v/>
      </c>
      <c r="Q5650" s="79" t="str">
        <f>IF(AND(B5650='111'!$L$11,OR($N5650=$Q$7,$O5650=$Q$7)),"x","")</f>
        <v/>
      </c>
      <c r="R5650" s="79" t="str">
        <f>IF(AND($N5650=$Q$7,$B5650&lt;'111'!$L$11),"x","")</f>
        <v/>
      </c>
      <c r="S5650" s="79" t="str">
        <f>IF(AND($O5650=$Q$7,$B5650&lt;'111'!$L$11),"x","")</f>
        <v/>
      </c>
      <c r="T5650" s="79" t="str">
        <f>IF(ISERROR(FIND('112'!$M$9,G5650,1)),"",IF((AND(FIND('112'!$M$9,G5650,1)&gt;=1,B5650='112'!$K$9,OR($N5650='112'!$I$6,$O5650='112'!$I$6))),"x",""))</f>
        <v/>
      </c>
      <c r="U5650" s="79" t="str">
        <f>IF(ISERROR(FIND('112'!$M$9,G5650,1)),"",IF((AND(LEFT(G5650,2)=LEFT('112'!$M$9,2),B5650&lt;'112'!$K$9,$N5650='112'!$I$6)),"x",""))</f>
        <v/>
      </c>
      <c r="V5650" s="79" t="str">
        <f>IF(ISERROR(FIND('112'!$M$9,G5650,1)),"",IF((AND(RIGHT(G5650,2)=RIGHT('112'!$M$9,2),B5650&lt;'112'!$K$9,$O5650='112'!$I$6)),"x",""))</f>
        <v/>
      </c>
      <c r="W5650" s="79" t="str">
        <f>IF(AND('341-CT'!$H$9=H5650,OR(LEFT(N5650,3)=$W$7,LEFT(O5650,3)=$W$7)),"x","")</f>
        <v/>
      </c>
      <c r="X5650" s="79" t="str">
        <f>IF(OR(TH!N5650=TH!$X$7,O5650=TH!$X$7),"x","")</f>
        <v/>
      </c>
      <c r="Y5650" s="79" t="str">
        <f>IF(AND(OR(N5650="131",O5650="131"),H5650='131-CT'!$H$9),"x","")</f>
        <v/>
      </c>
      <c r="Z5650" s="79"/>
      <c r="AA5650" s="79" t="str">
        <f>IF(AND(MONTH(E5650)='IN-NX'!$J$5,'IN-NX'!$D$7=D5650),"x","")</f>
        <v/>
      </c>
      <c r="AB5650" s="79" t="str">
        <f>IF(AND(OR(LEFT(TH!N5650,2)="15",LEFT(TH!O5650,2)="15"),LEFT(TH!O5650,3)&lt;&gt;"111",'152-CT'!$J$8=TH!F5650),"x","")</f>
        <v/>
      </c>
      <c r="AC5650" s="79" t="str">
        <f>IF(AND(OR(LEFT(TH!N5650,2)="15",LEFT(TH!O5650,2)="15"),TK!$E$7=TH!F5650),"x","")</f>
        <v/>
      </c>
      <c r="AD5650" s="79" t="str">
        <f>IF(AND(N5650="1521",MONTH(C5650)='BK-NL'!$M$11),"x","")</f>
        <v/>
      </c>
    </row>
    <row r="5651" spans="1:30" ht="16.5" customHeight="1">
      <c r="A5651" s="318" t="str">
        <f>IF(B5651&lt;&gt;"",IF(AND(B5651='IN-TC'!$S$4,OR(TH!N5651="1111",TH!O5651="1111")),TH!D5651,""),"")</f>
        <v/>
      </c>
      <c r="B5651" s="60" t="str">
        <f t="shared" si="509"/>
        <v/>
      </c>
      <c r="C5651" s="61"/>
      <c r="D5651" s="61"/>
      <c r="E5651" s="61"/>
      <c r="F5651" s="446"/>
      <c r="G5651" s="64"/>
      <c r="H5651" s="70"/>
      <c r="I5651" s="388"/>
      <c r="J5651" s="395"/>
      <c r="K5651" s="388"/>
      <c r="L5651" s="395"/>
      <c r="M5651" s="62"/>
      <c r="N5651" s="63"/>
      <c r="O5651" s="63"/>
      <c r="P5651" s="79" t="str">
        <f>IF(AND('331-CT'!$E$7=TH!H5651,OR(N5651="331",O5651="331")),"x","")</f>
        <v/>
      </c>
      <c r="Q5651" s="79" t="str">
        <f>IF(AND(B5651='111'!$L$11,OR($N5651=$Q$7,$O5651=$Q$7)),"x","")</f>
        <v/>
      </c>
      <c r="R5651" s="79" t="str">
        <f>IF(AND($N5651=$Q$7,$B5651&lt;'111'!$L$11),"x","")</f>
        <v/>
      </c>
      <c r="S5651" s="79" t="str">
        <f>IF(AND($O5651=$Q$7,$B5651&lt;'111'!$L$11),"x","")</f>
        <v/>
      </c>
      <c r="T5651" s="79" t="str">
        <f>IF(ISERROR(FIND('112'!$M$9,G5651,1)),"",IF((AND(FIND('112'!$M$9,G5651,1)&gt;=1,B5651='112'!$K$9,OR($N5651='112'!$I$6,$O5651='112'!$I$6))),"x",""))</f>
        <v/>
      </c>
      <c r="U5651" s="79" t="str">
        <f>IF(ISERROR(FIND('112'!$M$9,G5651,1)),"",IF((AND(LEFT(G5651,2)=LEFT('112'!$M$9,2),B5651&lt;'112'!$K$9,$N5651='112'!$I$6)),"x",""))</f>
        <v/>
      </c>
      <c r="V5651" s="79" t="str">
        <f>IF(ISERROR(FIND('112'!$M$9,G5651,1)),"",IF((AND(RIGHT(G5651,2)=RIGHT('112'!$M$9,2),B5651&lt;'112'!$K$9,$O5651='112'!$I$6)),"x",""))</f>
        <v/>
      </c>
      <c r="W5651" s="79" t="str">
        <f>IF(AND('341-CT'!$H$9=H5651,OR(LEFT(N5651,3)=$W$7,LEFT(O5651,3)=$W$7)),"x","")</f>
        <v/>
      </c>
      <c r="X5651" s="79" t="str">
        <f>IF(OR(TH!N5651=TH!$X$7,O5651=TH!$X$7),"x","")</f>
        <v/>
      </c>
      <c r="Y5651" s="79" t="str">
        <f>IF(AND(OR(N5651="131",O5651="131"),H5651='131-CT'!$H$9),"x","")</f>
        <v/>
      </c>
      <c r="Z5651" s="79"/>
      <c r="AA5651" s="79" t="str">
        <f>IF(AND(MONTH(E5651)='IN-NX'!$J$5,'IN-NX'!$D$7=D5651),"x","")</f>
        <v/>
      </c>
      <c r="AB5651" s="79" t="str">
        <f>IF(AND(OR(LEFT(TH!N5651,2)="15",LEFT(TH!O5651,2)="15"),LEFT(TH!O5651,3)&lt;&gt;"111",'152-CT'!$J$8=TH!F5651),"x","")</f>
        <v/>
      </c>
      <c r="AC5651" s="79" t="str">
        <f>IF(AND(OR(LEFT(TH!N5651,2)="15",LEFT(TH!O5651,2)="15"),TK!$E$7=TH!F5651),"x","")</f>
        <v/>
      </c>
      <c r="AD5651" s="79" t="str">
        <f>IF(AND(N5651="1521",MONTH(C5651)='BK-NL'!$M$11),"x","")</f>
        <v/>
      </c>
    </row>
    <row r="5652" spans="1:30" ht="16.5" customHeight="1">
      <c r="A5652" s="318" t="str">
        <f>IF(B5652&lt;&gt;"",IF(AND(B5652='IN-TC'!$S$4,OR(TH!N5652="1111",TH!O5652="1111")),TH!D5652,""),"")</f>
        <v/>
      </c>
      <c r="B5652" s="60" t="str">
        <f t="shared" si="509"/>
        <v/>
      </c>
      <c r="C5652" s="61"/>
      <c r="D5652" s="61"/>
      <c r="E5652" s="61"/>
      <c r="F5652" s="446"/>
      <c r="G5652" s="64"/>
      <c r="H5652" s="69"/>
      <c r="I5652" s="385"/>
      <c r="J5652" s="392"/>
      <c r="K5652" s="385"/>
      <c r="L5652" s="392"/>
      <c r="M5652" s="62"/>
      <c r="N5652" s="63"/>
      <c r="O5652" s="63"/>
      <c r="P5652" s="79" t="str">
        <f>IF(AND('331-CT'!$E$7=TH!H5652,OR(N5652="331",O5652="331")),"x","")</f>
        <v/>
      </c>
      <c r="Q5652" s="79" t="str">
        <f>IF(AND(B5652='111'!$L$11,OR($N5652=$Q$7,$O5652=$Q$7)),"x","")</f>
        <v/>
      </c>
      <c r="R5652" s="79" t="str">
        <f>IF(AND($N5652=$Q$7,$B5652&lt;'111'!$L$11),"x","")</f>
        <v/>
      </c>
      <c r="S5652" s="79" t="str">
        <f>IF(AND($O5652=$Q$7,$B5652&lt;'111'!$L$11),"x","")</f>
        <v/>
      </c>
      <c r="T5652" s="79" t="str">
        <f>IF(ISERROR(FIND('112'!$M$9,G5652,1)),"",IF((AND(FIND('112'!$M$9,G5652,1)&gt;=1,B5652='112'!$K$9,OR($N5652='112'!$I$6,$O5652='112'!$I$6))),"x",""))</f>
        <v/>
      </c>
      <c r="U5652" s="79" t="str">
        <f>IF(ISERROR(FIND('112'!$M$9,G5652,1)),"",IF((AND(LEFT(G5652,2)=LEFT('112'!$M$9,2),B5652&lt;'112'!$K$9,$N5652='112'!$I$6)),"x",""))</f>
        <v/>
      </c>
      <c r="V5652" s="79" t="str">
        <f>IF(ISERROR(FIND('112'!$M$9,G5652,1)),"",IF((AND(RIGHT(G5652,2)=RIGHT('112'!$M$9,2),B5652&lt;'112'!$K$9,$O5652='112'!$I$6)),"x",""))</f>
        <v/>
      </c>
      <c r="W5652" s="79" t="str">
        <f>IF(AND('341-CT'!$H$9=H5652,OR(LEFT(N5652,3)=$W$7,LEFT(O5652,3)=$W$7)),"x","")</f>
        <v/>
      </c>
      <c r="X5652" s="79" t="str">
        <f>IF(OR(TH!N5652=TH!$X$7,O5652=TH!$X$7),"x","")</f>
        <v/>
      </c>
      <c r="Y5652" s="79" t="str">
        <f>IF(AND(OR(N5652="131",O5652="131"),H5652='131-CT'!$H$9),"x","")</f>
        <v/>
      </c>
      <c r="Z5652" s="79"/>
      <c r="AA5652" s="79" t="str">
        <f>IF(AND(MONTH(E5652)='IN-NX'!$J$5,'IN-NX'!$D$7=D5652),"x","")</f>
        <v/>
      </c>
      <c r="AB5652" s="79" t="str">
        <f>IF(AND(OR(LEFT(TH!N5652,2)="15",LEFT(TH!O5652,2)="15"),LEFT(TH!O5652,3)&lt;&gt;"111",'152-CT'!$J$8=TH!F5652),"x","")</f>
        <v/>
      </c>
      <c r="AC5652" s="79" t="str">
        <f>IF(AND(OR(LEFT(TH!N5652,2)="15",LEFT(TH!O5652,2)="15"),TK!$E$7=TH!F5652),"x","")</f>
        <v/>
      </c>
      <c r="AD5652" s="79" t="str">
        <f>IF(AND(N5652="1521",MONTH(C5652)='BK-NL'!$M$11),"x","")</f>
        <v/>
      </c>
    </row>
    <row r="5653" spans="1:30" ht="16.5" customHeight="1">
      <c r="A5653" s="318" t="str">
        <f>IF(B5653&lt;&gt;"",IF(AND(B5653='IN-TC'!$S$4,OR(TH!N5653="1111",TH!O5653="1111")),TH!D5653,""),"")</f>
        <v/>
      </c>
      <c r="B5653" s="60" t="str">
        <f t="shared" si="509"/>
        <v/>
      </c>
      <c r="C5653" s="61"/>
      <c r="D5653" s="61"/>
      <c r="E5653" s="61"/>
      <c r="F5653" s="446"/>
      <c r="G5653" s="64"/>
      <c r="H5653" s="69"/>
      <c r="I5653" s="385"/>
      <c r="J5653" s="392"/>
      <c r="K5653" s="385"/>
      <c r="L5653" s="392"/>
      <c r="M5653" s="62"/>
      <c r="N5653" s="63"/>
      <c r="O5653" s="63"/>
      <c r="P5653" s="79" t="str">
        <f>IF(AND('331-CT'!$E$7=TH!H5653,OR(N5653="331",O5653="331")),"x","")</f>
        <v/>
      </c>
      <c r="Q5653" s="79" t="str">
        <f>IF(AND(B5653='111'!$L$11,OR($N5653=$Q$7,$O5653=$Q$7)),"x","")</f>
        <v/>
      </c>
      <c r="R5653" s="79" t="str">
        <f>IF(AND($N5653=$Q$7,$B5653&lt;'111'!$L$11),"x","")</f>
        <v/>
      </c>
      <c r="S5653" s="79" t="str">
        <f>IF(AND($O5653=$Q$7,$B5653&lt;'111'!$L$11),"x","")</f>
        <v/>
      </c>
      <c r="T5653" s="79" t="str">
        <f>IF(ISERROR(FIND('112'!$M$9,G5653,1)),"",IF((AND(FIND('112'!$M$9,G5653,1)&gt;=1,B5653='112'!$K$9,OR($N5653='112'!$I$6,$O5653='112'!$I$6))),"x",""))</f>
        <v/>
      </c>
      <c r="U5653" s="79" t="str">
        <f>IF(ISERROR(FIND('112'!$M$9,G5653,1)),"",IF((AND(LEFT(G5653,2)=LEFT('112'!$M$9,2),B5653&lt;'112'!$K$9,$N5653='112'!$I$6)),"x",""))</f>
        <v/>
      </c>
      <c r="V5653" s="79" t="str">
        <f>IF(ISERROR(FIND('112'!$M$9,G5653,1)),"",IF((AND(RIGHT(G5653,2)=RIGHT('112'!$M$9,2),B5653&lt;'112'!$K$9,$O5653='112'!$I$6)),"x",""))</f>
        <v/>
      </c>
      <c r="W5653" s="79" t="str">
        <f>IF(AND('341-CT'!$H$9=H5653,OR(LEFT(N5653,3)=$W$7,LEFT(O5653,3)=$W$7)),"x","")</f>
        <v/>
      </c>
      <c r="X5653" s="79" t="str">
        <f>IF(OR(TH!N5653=TH!$X$7,O5653=TH!$X$7),"x","")</f>
        <v/>
      </c>
      <c r="Y5653" s="79" t="str">
        <f>IF(AND(OR(N5653="131",O5653="131"),H5653='131-CT'!$H$9),"x","")</f>
        <v/>
      </c>
      <c r="Z5653" s="79"/>
      <c r="AA5653" s="79" t="str">
        <f>IF(AND(MONTH(E5653)='IN-NX'!$J$5,'IN-NX'!$D$7=D5653),"x","")</f>
        <v/>
      </c>
      <c r="AB5653" s="79" t="str">
        <f>IF(AND(OR(LEFT(TH!N5653,2)="15",LEFT(TH!O5653,2)="15"),LEFT(TH!O5653,3)&lt;&gt;"111",'152-CT'!$J$8=TH!F5653),"x","")</f>
        <v/>
      </c>
      <c r="AC5653" s="79" t="str">
        <f>IF(AND(OR(LEFT(TH!N5653,2)="15",LEFT(TH!O5653,2)="15"),TK!$E$7=TH!F5653),"x","")</f>
        <v/>
      </c>
      <c r="AD5653" s="79" t="str">
        <f>IF(AND(N5653="1521",MONTH(C5653)='BK-NL'!$M$11),"x","")</f>
        <v/>
      </c>
    </row>
    <row r="5654" spans="1:30" ht="16.5" customHeight="1">
      <c r="A5654" s="318" t="str">
        <f>IF(B5654&lt;&gt;"",IF(AND(B5654='IN-TC'!$S$4,OR(TH!N5654="1111",TH!O5654="1111")),TH!D5654,""),"")</f>
        <v/>
      </c>
      <c r="B5654" s="60" t="str">
        <f t="shared" si="509"/>
        <v/>
      </c>
      <c r="C5654" s="61"/>
      <c r="D5654" s="61"/>
      <c r="E5654" s="61"/>
      <c r="F5654" s="446"/>
      <c r="G5654" s="64"/>
      <c r="H5654" s="71"/>
      <c r="I5654" s="387"/>
      <c r="J5654" s="394"/>
      <c r="K5654" s="387"/>
      <c r="L5654" s="394"/>
      <c r="M5654" s="62"/>
      <c r="N5654" s="63"/>
      <c r="O5654" s="63"/>
      <c r="P5654" s="79" t="str">
        <f>IF(AND('331-CT'!$E$7=TH!H5654,OR(N5654="331",O5654="331")),"x","")</f>
        <v/>
      </c>
      <c r="Q5654" s="79" t="str">
        <f>IF(AND(B5654='111'!$L$11,OR($N5654=$Q$7,$O5654=$Q$7)),"x","")</f>
        <v/>
      </c>
      <c r="R5654" s="79" t="str">
        <f>IF(AND($N5654=$Q$7,$B5654&lt;'111'!$L$11),"x","")</f>
        <v/>
      </c>
      <c r="S5654" s="79" t="str">
        <f>IF(AND($O5654=$Q$7,$B5654&lt;'111'!$L$11),"x","")</f>
        <v/>
      </c>
      <c r="T5654" s="79" t="str">
        <f>IF(ISERROR(FIND('112'!$M$9,G5654,1)),"",IF((AND(FIND('112'!$M$9,G5654,1)&gt;=1,B5654='112'!$K$9,OR($N5654='112'!$I$6,$O5654='112'!$I$6))),"x",""))</f>
        <v/>
      </c>
      <c r="U5654" s="79" t="str">
        <f>IF(ISERROR(FIND('112'!$M$9,G5654,1)),"",IF((AND(LEFT(G5654,2)=LEFT('112'!$M$9,2),B5654&lt;'112'!$K$9,$N5654='112'!$I$6)),"x",""))</f>
        <v/>
      </c>
      <c r="V5654" s="79" t="str">
        <f>IF(ISERROR(FIND('112'!$M$9,G5654,1)),"",IF((AND(RIGHT(G5654,2)=RIGHT('112'!$M$9,2),B5654&lt;'112'!$K$9,$O5654='112'!$I$6)),"x",""))</f>
        <v/>
      </c>
      <c r="W5654" s="79" t="str">
        <f>IF(AND('341-CT'!$H$9=H5654,OR(LEFT(N5654,3)=$W$7,LEFT(O5654,3)=$W$7)),"x","")</f>
        <v/>
      </c>
      <c r="X5654" s="79" t="str">
        <f>IF(OR(TH!N5654=TH!$X$7,O5654=TH!$X$7),"x","")</f>
        <v/>
      </c>
      <c r="Y5654" s="79" t="str">
        <f>IF(AND(OR(N5654="131",O5654="131"),H5654='131-CT'!$H$9),"x","")</f>
        <v/>
      </c>
      <c r="Z5654" s="79"/>
      <c r="AA5654" s="79" t="str">
        <f>IF(AND(MONTH(E5654)='IN-NX'!$J$5,'IN-NX'!$D$7=D5654),"x","")</f>
        <v/>
      </c>
      <c r="AB5654" s="79" t="str">
        <f>IF(AND(OR(LEFT(TH!N5654,2)="15",LEFT(TH!O5654,2)="15"),LEFT(TH!O5654,3)&lt;&gt;"111",'152-CT'!$J$8=TH!F5654),"x","")</f>
        <v/>
      </c>
      <c r="AC5654" s="79" t="str">
        <f>IF(AND(OR(LEFT(TH!N5654,2)="15",LEFT(TH!O5654,2)="15"),TK!$E$7=TH!F5654),"x","")</f>
        <v/>
      </c>
      <c r="AD5654" s="79" t="str">
        <f>IF(AND(N5654="1521",MONTH(C5654)='BK-NL'!$M$11),"x","")</f>
        <v/>
      </c>
    </row>
    <row r="5655" spans="1:30" ht="16.5" customHeight="1">
      <c r="A5655" s="318" t="str">
        <f>IF(B5655&lt;&gt;"",IF(AND(B5655='IN-TC'!$S$4,OR(TH!N5655="1111",TH!O5655="1111")),TH!D5655,""),"")</f>
        <v/>
      </c>
      <c r="B5655" s="60" t="str">
        <f t="shared" si="509"/>
        <v/>
      </c>
      <c r="C5655" s="61"/>
      <c r="D5655" s="61"/>
      <c r="E5655" s="61"/>
      <c r="F5655" s="446"/>
      <c r="G5655" s="64"/>
      <c r="H5655" s="71"/>
      <c r="I5655" s="387"/>
      <c r="J5655" s="394"/>
      <c r="K5655" s="387"/>
      <c r="L5655" s="394"/>
      <c r="M5655" s="62"/>
      <c r="N5655" s="63"/>
      <c r="O5655" s="63"/>
      <c r="P5655" s="79" t="str">
        <f>IF(AND('331-CT'!$E$7=TH!H5655,OR(N5655="331",O5655="331")),"x","")</f>
        <v/>
      </c>
      <c r="Q5655" s="79" t="str">
        <f>IF(AND(B5655='111'!$L$11,OR($N5655=$Q$7,$O5655=$Q$7)),"x","")</f>
        <v/>
      </c>
      <c r="R5655" s="79" t="str">
        <f>IF(AND($N5655=$Q$7,$B5655&lt;'111'!$L$11),"x","")</f>
        <v/>
      </c>
      <c r="S5655" s="79" t="str">
        <f>IF(AND($O5655=$Q$7,$B5655&lt;'111'!$L$11),"x","")</f>
        <v/>
      </c>
      <c r="T5655" s="79" t="str">
        <f>IF(ISERROR(FIND('112'!$M$9,G5655,1)),"",IF((AND(FIND('112'!$M$9,G5655,1)&gt;=1,B5655='112'!$K$9,OR($N5655='112'!$I$6,$O5655='112'!$I$6))),"x",""))</f>
        <v/>
      </c>
      <c r="U5655" s="79" t="str">
        <f>IF(ISERROR(FIND('112'!$M$9,G5655,1)),"",IF((AND(LEFT(G5655,2)=LEFT('112'!$M$9,2),B5655&lt;'112'!$K$9,$N5655='112'!$I$6)),"x",""))</f>
        <v/>
      </c>
      <c r="V5655" s="79" t="str">
        <f>IF(ISERROR(FIND('112'!$M$9,G5655,1)),"",IF((AND(RIGHT(G5655,2)=RIGHT('112'!$M$9,2),B5655&lt;'112'!$K$9,$O5655='112'!$I$6)),"x",""))</f>
        <v/>
      </c>
      <c r="W5655" s="79" t="str">
        <f>IF(AND('341-CT'!$H$9=H5655,OR(LEFT(N5655,3)=$W$7,LEFT(O5655,3)=$W$7)),"x","")</f>
        <v/>
      </c>
      <c r="X5655" s="79" t="str">
        <f>IF(OR(TH!N5655=TH!$X$7,O5655=TH!$X$7),"x","")</f>
        <v/>
      </c>
      <c r="Y5655" s="79" t="str">
        <f>IF(AND(OR(N5655="131",O5655="131"),H5655='131-CT'!$H$9),"x","")</f>
        <v/>
      </c>
      <c r="Z5655" s="79"/>
      <c r="AA5655" s="79" t="str">
        <f>IF(AND(MONTH(E5655)='IN-NX'!$J$5,'IN-NX'!$D$7=D5655),"x","")</f>
        <v/>
      </c>
      <c r="AB5655" s="79" t="str">
        <f>IF(AND(OR(LEFT(TH!N5655,2)="15",LEFT(TH!O5655,2)="15"),LEFT(TH!O5655,3)&lt;&gt;"111",'152-CT'!$J$8=TH!F5655),"x","")</f>
        <v/>
      </c>
      <c r="AC5655" s="79" t="str">
        <f>IF(AND(OR(LEFT(TH!N5655,2)="15",LEFT(TH!O5655,2)="15"),TK!$E$7=TH!F5655),"x","")</f>
        <v/>
      </c>
      <c r="AD5655" s="79" t="str">
        <f>IF(AND(N5655="1521",MONTH(C5655)='BK-NL'!$M$11),"x","")</f>
        <v/>
      </c>
    </row>
    <row r="5656" spans="1:30" ht="16.5" customHeight="1">
      <c r="A5656" s="318" t="str">
        <f>IF(B5656&lt;&gt;"",IF(AND(B5656='IN-TC'!$S$4,OR(TH!N5656="1111",TH!O5656="1111")),TH!D5656,""),"")</f>
        <v/>
      </c>
      <c r="B5656" s="60" t="str">
        <f t="shared" si="509"/>
        <v/>
      </c>
      <c r="C5656" s="61"/>
      <c r="D5656" s="61"/>
      <c r="E5656" s="61"/>
      <c r="F5656" s="446"/>
      <c r="G5656" s="64"/>
      <c r="H5656" s="71"/>
      <c r="I5656" s="387"/>
      <c r="J5656" s="394"/>
      <c r="K5656" s="387"/>
      <c r="L5656" s="394"/>
      <c r="M5656" s="62"/>
      <c r="N5656" s="63"/>
      <c r="O5656" s="63"/>
      <c r="P5656" s="79" t="str">
        <f>IF(AND('331-CT'!$E$7=TH!H5656,OR(N5656="331",O5656="331")),"x","")</f>
        <v/>
      </c>
      <c r="Q5656" s="79" t="str">
        <f>IF(AND(B5656='111'!$L$11,OR($N5656=$Q$7,$O5656=$Q$7)),"x","")</f>
        <v/>
      </c>
      <c r="R5656" s="79" t="str">
        <f>IF(AND($N5656=$Q$7,$B5656&lt;'111'!$L$11),"x","")</f>
        <v/>
      </c>
      <c r="S5656" s="79" t="str">
        <f>IF(AND($O5656=$Q$7,$B5656&lt;'111'!$L$11),"x","")</f>
        <v/>
      </c>
      <c r="T5656" s="79" t="str">
        <f>IF(ISERROR(FIND('112'!$M$9,G5656,1)),"",IF((AND(FIND('112'!$M$9,G5656,1)&gt;=1,B5656='112'!$K$9,OR($N5656='112'!$I$6,$O5656='112'!$I$6))),"x",""))</f>
        <v/>
      </c>
      <c r="U5656" s="79" t="str">
        <f>IF(ISERROR(FIND('112'!$M$9,G5656,1)),"",IF((AND(LEFT(G5656,2)=LEFT('112'!$M$9,2),B5656&lt;'112'!$K$9,$N5656='112'!$I$6)),"x",""))</f>
        <v/>
      </c>
      <c r="V5656" s="79" t="str">
        <f>IF(ISERROR(FIND('112'!$M$9,G5656,1)),"",IF((AND(RIGHT(G5656,2)=RIGHT('112'!$M$9,2),B5656&lt;'112'!$K$9,$O5656='112'!$I$6)),"x",""))</f>
        <v/>
      </c>
      <c r="W5656" s="79" t="str">
        <f>IF(AND('341-CT'!$H$9=H5656,OR(LEFT(N5656,3)=$W$7,LEFT(O5656,3)=$W$7)),"x","")</f>
        <v/>
      </c>
      <c r="X5656" s="79" t="str">
        <f>IF(OR(TH!N5656=TH!$X$7,O5656=TH!$X$7),"x","")</f>
        <v/>
      </c>
      <c r="Y5656" s="79" t="str">
        <f>IF(AND(OR(N5656="131",O5656="131"),H5656='131-CT'!$H$9),"x","")</f>
        <v/>
      </c>
      <c r="Z5656" s="79"/>
      <c r="AA5656" s="79" t="str">
        <f>IF(AND(MONTH(E5656)='IN-NX'!$J$5,'IN-NX'!$D$7=D5656),"x","")</f>
        <v/>
      </c>
      <c r="AB5656" s="79" t="str">
        <f>IF(AND(OR(LEFT(TH!N5656,2)="15",LEFT(TH!O5656,2)="15"),LEFT(TH!O5656,3)&lt;&gt;"111",'152-CT'!$J$8=TH!F5656),"x","")</f>
        <v/>
      </c>
      <c r="AC5656" s="79" t="str">
        <f>IF(AND(OR(LEFT(TH!N5656,2)="15",LEFT(TH!O5656,2)="15"),TK!$E$7=TH!F5656),"x","")</f>
        <v/>
      </c>
      <c r="AD5656" s="79" t="str">
        <f>IF(AND(N5656="1521",MONTH(C5656)='BK-NL'!$M$11),"x","")</f>
        <v/>
      </c>
    </row>
    <row r="5657" spans="1:30" ht="16.5" customHeight="1">
      <c r="A5657" s="318" t="str">
        <f>IF(B5657&lt;&gt;"",IF(AND(B5657='IN-TC'!$S$4,OR(TH!N5657="1111",TH!O5657="1111")),TH!D5657,""),"")</f>
        <v/>
      </c>
      <c r="B5657" s="60" t="str">
        <f t="shared" si="509"/>
        <v/>
      </c>
      <c r="C5657" s="61"/>
      <c r="D5657" s="61"/>
      <c r="E5657" s="61"/>
      <c r="F5657" s="446"/>
      <c r="G5657" s="64"/>
      <c r="H5657" s="71"/>
      <c r="I5657" s="387"/>
      <c r="J5657" s="394"/>
      <c r="K5657" s="387"/>
      <c r="L5657" s="394"/>
      <c r="M5657" s="62"/>
      <c r="N5657" s="63"/>
      <c r="O5657" s="63"/>
      <c r="P5657" s="79" t="str">
        <f>IF(AND('331-CT'!$E$7=TH!H5657,OR(N5657="331",O5657="331")),"x","")</f>
        <v/>
      </c>
      <c r="Q5657" s="79" t="str">
        <f>IF(AND(B5657='111'!$L$11,OR($N5657=$Q$7,$O5657=$Q$7)),"x","")</f>
        <v/>
      </c>
      <c r="R5657" s="79" t="str">
        <f>IF(AND($N5657=$Q$7,$B5657&lt;'111'!$L$11),"x","")</f>
        <v/>
      </c>
      <c r="S5657" s="79" t="str">
        <f>IF(AND($O5657=$Q$7,$B5657&lt;'111'!$L$11),"x","")</f>
        <v/>
      </c>
      <c r="T5657" s="79" t="str">
        <f>IF(ISERROR(FIND('112'!$M$9,G5657,1)),"",IF((AND(FIND('112'!$M$9,G5657,1)&gt;=1,B5657='112'!$K$9,OR($N5657='112'!$I$6,$O5657='112'!$I$6))),"x",""))</f>
        <v/>
      </c>
      <c r="U5657" s="79" t="str">
        <f>IF(ISERROR(FIND('112'!$M$9,G5657,1)),"",IF((AND(LEFT(G5657,2)=LEFT('112'!$M$9,2),B5657&lt;'112'!$K$9,$N5657='112'!$I$6)),"x",""))</f>
        <v/>
      </c>
      <c r="V5657" s="79" t="str">
        <f>IF(ISERROR(FIND('112'!$M$9,G5657,1)),"",IF((AND(RIGHT(G5657,2)=RIGHT('112'!$M$9,2),B5657&lt;'112'!$K$9,$O5657='112'!$I$6)),"x",""))</f>
        <v/>
      </c>
      <c r="W5657" s="79" t="str">
        <f>IF(AND('341-CT'!$H$9=H5657,OR(LEFT(N5657,3)=$W$7,LEFT(O5657,3)=$W$7)),"x","")</f>
        <v/>
      </c>
      <c r="X5657" s="79" t="str">
        <f>IF(OR(TH!N5657=TH!$X$7,O5657=TH!$X$7),"x","")</f>
        <v/>
      </c>
      <c r="Y5657" s="79" t="str">
        <f>IF(AND(OR(N5657="131",O5657="131"),H5657='131-CT'!$H$9),"x","")</f>
        <v/>
      </c>
      <c r="Z5657" s="79"/>
      <c r="AA5657" s="79" t="str">
        <f>IF(AND(MONTH(E5657)='IN-NX'!$J$5,'IN-NX'!$D$7=D5657),"x","")</f>
        <v/>
      </c>
      <c r="AB5657" s="79" t="str">
        <f>IF(AND(OR(LEFT(TH!N5657,2)="15",LEFT(TH!O5657,2)="15"),LEFT(TH!O5657,3)&lt;&gt;"111",'152-CT'!$J$8=TH!F5657),"x","")</f>
        <v/>
      </c>
      <c r="AC5657" s="79" t="str">
        <f>IF(AND(OR(LEFT(TH!N5657,2)="15",LEFT(TH!O5657,2)="15"),TK!$E$7=TH!F5657),"x","")</f>
        <v/>
      </c>
      <c r="AD5657" s="79" t="str">
        <f>IF(AND(N5657="1521",MONTH(C5657)='BK-NL'!$M$11),"x","")</f>
        <v/>
      </c>
    </row>
    <row r="5658" spans="1:30" ht="16.5" customHeight="1">
      <c r="A5658" s="318" t="str">
        <f>IF(B5658&lt;&gt;"",IF(AND(B5658='IN-TC'!$S$4,OR(TH!N5658="1111",TH!O5658="1111")),TH!D5658,""),"")</f>
        <v/>
      </c>
      <c r="B5658" s="60" t="str">
        <f t="shared" si="509"/>
        <v/>
      </c>
      <c r="C5658" s="61"/>
      <c r="D5658" s="61"/>
      <c r="E5658" s="61"/>
      <c r="F5658" s="446"/>
      <c r="G5658" s="64"/>
      <c r="H5658" s="71"/>
      <c r="I5658" s="387"/>
      <c r="J5658" s="394"/>
      <c r="K5658" s="387"/>
      <c r="L5658" s="394"/>
      <c r="M5658" s="62"/>
      <c r="N5658" s="63"/>
      <c r="O5658" s="63"/>
      <c r="P5658" s="79" t="str">
        <f>IF(AND('331-CT'!$E$7=TH!H5658,OR(N5658="331",O5658="331")),"x","")</f>
        <v/>
      </c>
      <c r="Q5658" s="79" t="str">
        <f>IF(AND(B5658='111'!$L$11,OR($N5658=$Q$7,$O5658=$Q$7)),"x","")</f>
        <v/>
      </c>
      <c r="R5658" s="79" t="str">
        <f>IF(AND($N5658=$Q$7,$B5658&lt;'111'!$L$11),"x","")</f>
        <v/>
      </c>
      <c r="S5658" s="79" t="str">
        <f>IF(AND($O5658=$Q$7,$B5658&lt;'111'!$L$11),"x","")</f>
        <v/>
      </c>
      <c r="T5658" s="79" t="str">
        <f>IF(ISERROR(FIND('112'!$M$9,G5658,1)),"",IF((AND(FIND('112'!$M$9,G5658,1)&gt;=1,B5658='112'!$K$9,OR($N5658='112'!$I$6,$O5658='112'!$I$6))),"x",""))</f>
        <v/>
      </c>
      <c r="U5658" s="79" t="str">
        <f>IF(ISERROR(FIND('112'!$M$9,G5658,1)),"",IF((AND(LEFT(G5658,2)=LEFT('112'!$M$9,2),B5658&lt;'112'!$K$9,$N5658='112'!$I$6)),"x",""))</f>
        <v/>
      </c>
      <c r="V5658" s="79" t="str">
        <f>IF(ISERROR(FIND('112'!$M$9,G5658,1)),"",IF((AND(RIGHT(G5658,2)=RIGHT('112'!$M$9,2),B5658&lt;'112'!$K$9,$O5658='112'!$I$6)),"x",""))</f>
        <v/>
      </c>
      <c r="W5658" s="79" t="str">
        <f>IF(AND('341-CT'!$H$9=H5658,OR(LEFT(N5658,3)=$W$7,LEFT(O5658,3)=$W$7)),"x","")</f>
        <v/>
      </c>
      <c r="X5658" s="79" t="str">
        <f>IF(OR(TH!N5658=TH!$X$7,O5658=TH!$X$7),"x","")</f>
        <v/>
      </c>
      <c r="Y5658" s="79" t="str">
        <f>IF(AND(OR(N5658="131",O5658="131"),H5658='131-CT'!$H$9),"x","")</f>
        <v/>
      </c>
      <c r="Z5658" s="79"/>
      <c r="AA5658" s="79" t="str">
        <f>IF(AND(MONTH(E5658)='IN-NX'!$J$5,'IN-NX'!$D$7=D5658),"x","")</f>
        <v/>
      </c>
      <c r="AB5658" s="79" t="str">
        <f>IF(AND(OR(LEFT(TH!N5658,2)="15",LEFT(TH!O5658,2)="15"),LEFT(TH!O5658,3)&lt;&gt;"111",'152-CT'!$J$8=TH!F5658),"x","")</f>
        <v/>
      </c>
      <c r="AC5658" s="79" t="str">
        <f>IF(AND(OR(LEFT(TH!N5658,2)="15",LEFT(TH!O5658,2)="15"),TK!$E$7=TH!F5658),"x","")</f>
        <v/>
      </c>
      <c r="AD5658" s="79" t="str">
        <f>IF(AND(N5658="1521",MONTH(C5658)='BK-NL'!$M$11),"x","")</f>
        <v/>
      </c>
    </row>
    <row r="5659" spans="1:30" ht="16.5" customHeight="1">
      <c r="A5659" s="318" t="str">
        <f>IF(B5659&lt;&gt;"",IF(AND(B5659='IN-TC'!$S$4,OR(TH!N5659="1111",TH!O5659="1111")),TH!D5659,""),"")</f>
        <v/>
      </c>
      <c r="B5659" s="60" t="str">
        <f t="shared" si="509"/>
        <v/>
      </c>
      <c r="C5659" s="61"/>
      <c r="D5659" s="61"/>
      <c r="E5659" s="61"/>
      <c r="F5659" s="446"/>
      <c r="G5659" s="64"/>
      <c r="H5659" s="71"/>
      <c r="I5659" s="387"/>
      <c r="J5659" s="394"/>
      <c r="K5659" s="387"/>
      <c r="L5659" s="394"/>
      <c r="M5659" s="62"/>
      <c r="N5659" s="63"/>
      <c r="O5659" s="63"/>
      <c r="P5659" s="79" t="str">
        <f>IF(AND('331-CT'!$E$7=TH!H5659,OR(N5659="331",O5659="331")),"x","")</f>
        <v/>
      </c>
      <c r="Q5659" s="79" t="str">
        <f>IF(AND(B5659='111'!$L$11,OR($N5659=$Q$7,$O5659=$Q$7)),"x","")</f>
        <v/>
      </c>
      <c r="R5659" s="79" t="str">
        <f>IF(AND($N5659=$Q$7,$B5659&lt;'111'!$L$11),"x","")</f>
        <v/>
      </c>
      <c r="S5659" s="79" t="str">
        <f>IF(AND($O5659=$Q$7,$B5659&lt;'111'!$L$11),"x","")</f>
        <v/>
      </c>
      <c r="T5659" s="79" t="str">
        <f>IF(ISERROR(FIND('112'!$M$9,G5659,1)),"",IF((AND(FIND('112'!$M$9,G5659,1)&gt;=1,B5659='112'!$K$9,OR($N5659='112'!$I$6,$O5659='112'!$I$6))),"x",""))</f>
        <v/>
      </c>
      <c r="U5659" s="79" t="str">
        <f>IF(ISERROR(FIND('112'!$M$9,G5659,1)),"",IF((AND(LEFT(G5659,2)=LEFT('112'!$M$9,2),B5659&lt;'112'!$K$9,$N5659='112'!$I$6)),"x",""))</f>
        <v/>
      </c>
      <c r="V5659" s="79" t="str">
        <f>IF(ISERROR(FIND('112'!$M$9,G5659,1)),"",IF((AND(RIGHT(G5659,2)=RIGHT('112'!$M$9,2),B5659&lt;'112'!$K$9,$O5659='112'!$I$6)),"x",""))</f>
        <v/>
      </c>
      <c r="W5659" s="79" t="str">
        <f>IF(AND('341-CT'!$H$9=H5659,OR(LEFT(N5659,3)=$W$7,LEFT(O5659,3)=$W$7)),"x","")</f>
        <v/>
      </c>
      <c r="X5659" s="79" t="str">
        <f>IF(OR(TH!N5659=TH!$X$7,O5659=TH!$X$7),"x","")</f>
        <v/>
      </c>
      <c r="Y5659" s="79" t="str">
        <f>IF(AND(OR(N5659="131",O5659="131"),H5659='131-CT'!$H$9),"x","")</f>
        <v/>
      </c>
      <c r="Z5659" s="79"/>
      <c r="AA5659" s="79" t="str">
        <f>IF(AND(MONTH(E5659)='IN-NX'!$J$5,'IN-NX'!$D$7=D5659),"x","")</f>
        <v/>
      </c>
      <c r="AB5659" s="79" t="str">
        <f>IF(AND(OR(LEFT(TH!N5659,2)="15",LEFT(TH!O5659,2)="15"),LEFT(TH!O5659,3)&lt;&gt;"111",'152-CT'!$J$8=TH!F5659),"x","")</f>
        <v/>
      </c>
      <c r="AC5659" s="79" t="str">
        <f>IF(AND(OR(LEFT(TH!N5659,2)="15",LEFT(TH!O5659,2)="15"),TK!$E$7=TH!F5659),"x","")</f>
        <v/>
      </c>
      <c r="AD5659" s="79" t="str">
        <f>IF(AND(N5659="1521",MONTH(C5659)='BK-NL'!$M$11),"x","")</f>
        <v/>
      </c>
    </row>
    <row r="5660" spans="1:30" ht="16.5" customHeight="1">
      <c r="A5660" s="318" t="str">
        <f>IF(B5660&lt;&gt;"",IF(AND(B5660='IN-TC'!$S$4,OR(TH!N5660="1111",TH!O5660="1111")),TH!D5660,""),"")</f>
        <v/>
      </c>
      <c r="B5660" s="60" t="str">
        <f t="shared" si="509"/>
        <v/>
      </c>
      <c r="C5660" s="61"/>
      <c r="D5660" s="61"/>
      <c r="E5660" s="61"/>
      <c r="F5660" s="446"/>
      <c r="G5660" s="64"/>
      <c r="H5660" s="69"/>
      <c r="I5660" s="385"/>
      <c r="J5660" s="392"/>
      <c r="K5660" s="385"/>
      <c r="L5660" s="392"/>
      <c r="M5660" s="62"/>
      <c r="N5660" s="63"/>
      <c r="O5660" s="63"/>
      <c r="P5660" s="79" t="str">
        <f>IF(AND('331-CT'!$E$7=TH!H5660,OR(N5660="331",O5660="331")),"x","")</f>
        <v/>
      </c>
      <c r="Q5660" s="79" t="str">
        <f>IF(AND(B5660='111'!$L$11,OR($N5660=$Q$7,$O5660=$Q$7)),"x","")</f>
        <v/>
      </c>
      <c r="R5660" s="79" t="str">
        <f>IF(AND($N5660=$Q$7,$B5660&lt;'111'!$L$11),"x","")</f>
        <v/>
      </c>
      <c r="S5660" s="79" t="str">
        <f>IF(AND($O5660=$Q$7,$B5660&lt;'111'!$L$11),"x","")</f>
        <v/>
      </c>
      <c r="T5660" s="79" t="str">
        <f>IF(ISERROR(FIND('112'!$M$9,G5660,1)),"",IF((AND(FIND('112'!$M$9,G5660,1)&gt;=1,B5660='112'!$K$9,OR($N5660='112'!$I$6,$O5660='112'!$I$6))),"x",""))</f>
        <v/>
      </c>
      <c r="U5660" s="79" t="str">
        <f>IF(ISERROR(FIND('112'!$M$9,G5660,1)),"",IF((AND(LEFT(G5660,2)=LEFT('112'!$M$9,2),B5660&lt;'112'!$K$9,$N5660='112'!$I$6)),"x",""))</f>
        <v/>
      </c>
      <c r="V5660" s="79" t="str">
        <f>IF(ISERROR(FIND('112'!$M$9,G5660,1)),"",IF((AND(RIGHT(G5660,2)=RIGHT('112'!$M$9,2),B5660&lt;'112'!$K$9,$O5660='112'!$I$6)),"x",""))</f>
        <v/>
      </c>
      <c r="W5660" s="79" t="str">
        <f>IF(AND('341-CT'!$H$9=H5660,OR(LEFT(N5660,3)=$W$7,LEFT(O5660,3)=$W$7)),"x","")</f>
        <v/>
      </c>
      <c r="X5660" s="79" t="str">
        <f>IF(OR(TH!N5660=TH!$X$7,O5660=TH!$X$7),"x","")</f>
        <v/>
      </c>
      <c r="Y5660" s="79" t="str">
        <f>IF(AND(OR(N5660="131",O5660="131"),H5660='131-CT'!$H$9),"x","")</f>
        <v/>
      </c>
      <c r="Z5660" s="79"/>
      <c r="AA5660" s="79" t="str">
        <f>IF(AND(MONTH(E5660)='IN-NX'!$J$5,'IN-NX'!$D$7=D5660),"x","")</f>
        <v/>
      </c>
      <c r="AB5660" s="79" t="str">
        <f>IF(AND(OR(LEFT(TH!N5660,2)="15",LEFT(TH!O5660,2)="15"),LEFT(TH!O5660,3)&lt;&gt;"111",'152-CT'!$J$8=TH!F5660),"x","")</f>
        <v/>
      </c>
      <c r="AC5660" s="79" t="str">
        <f>IF(AND(OR(LEFT(TH!N5660,2)="15",LEFT(TH!O5660,2)="15"),TK!$E$7=TH!F5660),"x","")</f>
        <v/>
      </c>
      <c r="AD5660" s="79" t="str">
        <f>IF(AND(N5660="1521",MONTH(C5660)='BK-NL'!$M$11),"x","")</f>
        <v/>
      </c>
    </row>
    <row r="5661" spans="1:30" ht="16.5" customHeight="1">
      <c r="A5661" s="318" t="str">
        <f>IF(B5661&lt;&gt;"",IF(AND(B5661='IN-TC'!$S$4,OR(TH!N5661="1111",TH!O5661="1111")),TH!D5661,""),"")</f>
        <v/>
      </c>
      <c r="B5661" s="60" t="str">
        <f t="shared" si="509"/>
        <v/>
      </c>
      <c r="C5661" s="61"/>
      <c r="D5661" s="61"/>
      <c r="E5661" s="61"/>
      <c r="F5661" s="446"/>
      <c r="G5661" s="766"/>
      <c r="H5661" s="69"/>
      <c r="I5661" s="385"/>
      <c r="J5661" s="392"/>
      <c r="K5661" s="385"/>
      <c r="L5661" s="392"/>
      <c r="M5661" s="62"/>
      <c r="N5661" s="63"/>
      <c r="O5661" s="63"/>
      <c r="P5661" s="79" t="str">
        <f>IF(AND('331-CT'!$E$7=TH!H5661,OR(N5661="331",O5661="331")),"x","")</f>
        <v/>
      </c>
      <c r="Q5661" s="79" t="str">
        <f>IF(AND(B5661='111'!$L$11,OR($N5661=$Q$7,$O5661=$Q$7)),"x","")</f>
        <v/>
      </c>
      <c r="R5661" s="79" t="str">
        <f>IF(AND($N5661=$Q$7,$B5661&lt;'111'!$L$11),"x","")</f>
        <v/>
      </c>
      <c r="S5661" s="79" t="str">
        <f>IF(AND($O5661=$Q$7,$B5661&lt;'111'!$L$11),"x","")</f>
        <v/>
      </c>
      <c r="T5661" s="79" t="str">
        <f>IF(ISERROR(FIND('112'!$M$9,G5661,1)),"",IF((AND(FIND('112'!$M$9,G5661,1)&gt;=1,B5661='112'!$K$9,OR($N5661='112'!$I$6,$O5661='112'!$I$6))),"x",""))</f>
        <v/>
      </c>
      <c r="U5661" s="79" t="str">
        <f>IF(ISERROR(FIND('112'!$M$9,G5661,1)),"",IF((AND(LEFT(G5661,2)=LEFT('112'!$M$9,2),B5661&lt;'112'!$K$9,$N5661='112'!$I$6)),"x",""))</f>
        <v/>
      </c>
      <c r="V5661" s="79" t="str">
        <f>IF(ISERROR(FIND('112'!$M$9,G5661,1)),"",IF((AND(RIGHT(G5661,2)=RIGHT('112'!$M$9,2),B5661&lt;'112'!$K$9,$O5661='112'!$I$6)),"x",""))</f>
        <v/>
      </c>
      <c r="W5661" s="79" t="str">
        <f>IF(AND('341-CT'!$H$9=H5661,OR(LEFT(N5661,3)=$W$7,LEFT(O5661,3)=$W$7)),"x","")</f>
        <v/>
      </c>
      <c r="X5661" s="79" t="str">
        <f>IF(OR(TH!N5661=TH!$X$7,O5661=TH!$X$7),"x","")</f>
        <v/>
      </c>
      <c r="Y5661" s="79" t="str">
        <f>IF(AND(OR(N5661="131",O5661="131"),H5661='131-CT'!$H$9),"x","")</f>
        <v/>
      </c>
      <c r="Z5661" s="79"/>
      <c r="AA5661" s="79" t="str">
        <f>IF(AND(MONTH(E5661)='IN-NX'!$J$5,'IN-NX'!$D$7=D5661),"x","")</f>
        <v/>
      </c>
      <c r="AB5661" s="79" t="str">
        <f>IF(AND(OR(LEFT(TH!N5661,2)="15",LEFT(TH!O5661,2)="15"),LEFT(TH!O5661,3)&lt;&gt;"111",'152-CT'!$J$8=TH!F5661),"x","")</f>
        <v/>
      </c>
      <c r="AC5661" s="79" t="str">
        <f>IF(AND(OR(LEFT(TH!N5661,2)="15",LEFT(TH!O5661,2)="15"),TK!$E$7=TH!F5661),"x","")</f>
        <v/>
      </c>
      <c r="AD5661" s="79" t="str">
        <f>IF(AND(N5661="1521",MONTH(C5661)='BK-NL'!$M$11),"x","")</f>
        <v/>
      </c>
    </row>
    <row r="5662" spans="1:30" ht="16.5" customHeight="1">
      <c r="A5662" s="318" t="str">
        <f>IF(B5662&lt;&gt;"",IF(AND(B5662='IN-TC'!$S$4,OR(TH!N5662="1111",TH!O5662="1111")),TH!D5662,""),"")</f>
        <v/>
      </c>
      <c r="B5662" s="60" t="str">
        <f t="shared" si="509"/>
        <v/>
      </c>
      <c r="C5662" s="61"/>
      <c r="D5662" s="61"/>
      <c r="E5662" s="61"/>
      <c r="F5662" s="69"/>
      <c r="G5662" s="766"/>
      <c r="H5662" s="69"/>
      <c r="I5662" s="385"/>
      <c r="J5662" s="392"/>
      <c r="K5662" s="385"/>
      <c r="L5662" s="392"/>
      <c r="M5662" s="62"/>
      <c r="N5662" s="63"/>
      <c r="O5662" s="63"/>
      <c r="P5662" s="79" t="str">
        <f>IF(AND('331-CT'!$E$7=TH!H5662,OR(N5662="331",O5662="331")),"x","")</f>
        <v/>
      </c>
      <c r="Q5662" s="79" t="str">
        <f>IF(AND(B5662='111'!$L$11,OR($N5662=$Q$7,$O5662=$Q$7)),"x","")</f>
        <v/>
      </c>
      <c r="R5662" s="79" t="str">
        <f>IF(AND($N5662=$Q$7,$B5662&lt;'111'!$L$11),"x","")</f>
        <v/>
      </c>
      <c r="S5662" s="79" t="str">
        <f>IF(AND($O5662=$Q$7,$B5662&lt;'111'!$L$11),"x","")</f>
        <v/>
      </c>
      <c r="T5662" s="79" t="str">
        <f>IF(ISERROR(FIND('112'!$M$9,G5662,1)),"",IF((AND(FIND('112'!$M$9,G5662,1)&gt;=1,B5662='112'!$K$9,OR($N5662='112'!$I$6,$O5662='112'!$I$6))),"x",""))</f>
        <v/>
      </c>
      <c r="U5662" s="79" t="str">
        <f>IF(ISERROR(FIND('112'!$M$9,G5662,1)),"",IF((AND(LEFT(G5662,2)=LEFT('112'!$M$9,2),B5662&lt;'112'!$K$9,$N5662='112'!$I$6)),"x",""))</f>
        <v/>
      </c>
      <c r="V5662" s="79" t="str">
        <f>IF(ISERROR(FIND('112'!$M$9,G5662,1)),"",IF((AND(RIGHT(G5662,2)=RIGHT('112'!$M$9,2),B5662&lt;'112'!$K$9,$O5662='112'!$I$6)),"x",""))</f>
        <v/>
      </c>
      <c r="W5662" s="79" t="str">
        <f>IF(AND('341-CT'!$H$9=H5662,OR(LEFT(N5662,3)=$W$7,LEFT(O5662,3)=$W$7)),"x","")</f>
        <v/>
      </c>
      <c r="X5662" s="79" t="str">
        <f>IF(OR(TH!N5662=TH!$X$7,O5662=TH!$X$7),"x","")</f>
        <v/>
      </c>
      <c r="Y5662" s="79" t="str">
        <f>IF(AND(OR(N5662="131",O5662="131"),H5662='131-CT'!$H$9),"x","")</f>
        <v/>
      </c>
      <c r="Z5662" s="79"/>
      <c r="AA5662" s="79" t="str">
        <f>IF(AND(MONTH(E5662)='IN-NX'!$J$5,'IN-NX'!$D$7=D5662),"x","")</f>
        <v/>
      </c>
      <c r="AB5662" s="79" t="str">
        <f>IF(AND(OR(LEFT(TH!N5662,2)="15",LEFT(TH!O5662,2)="15"),LEFT(TH!O5662,3)&lt;&gt;"111",'152-CT'!$J$8=TH!F5662),"x","")</f>
        <v/>
      </c>
      <c r="AC5662" s="79" t="str">
        <f>IF(AND(OR(LEFT(TH!N5662,2)="15",LEFT(TH!O5662,2)="15"),TK!$E$7=TH!F5662),"x","")</f>
        <v/>
      </c>
      <c r="AD5662" s="79" t="str">
        <f>IF(AND(N5662="1521",MONTH(C5662)='BK-NL'!$M$11),"x","")</f>
        <v/>
      </c>
    </row>
    <row r="5663" spans="1:30" ht="16.5" customHeight="1">
      <c r="A5663" s="318" t="str">
        <f>IF(B5663&lt;&gt;"",IF(AND(B5663='IN-TC'!$S$4,OR(TH!N5663="1111",TH!O5663="1111")),TH!D5663,""),"")</f>
        <v/>
      </c>
      <c r="B5663" s="60" t="str">
        <f t="shared" si="509"/>
        <v/>
      </c>
      <c r="C5663" s="61"/>
      <c r="D5663" s="61"/>
      <c r="E5663" s="61"/>
      <c r="F5663" s="446"/>
      <c r="G5663" s="64"/>
      <c r="H5663" s="69"/>
      <c r="I5663" s="385"/>
      <c r="J5663" s="392"/>
      <c r="K5663" s="385"/>
      <c r="L5663" s="392"/>
      <c r="M5663" s="62"/>
      <c r="N5663" s="63"/>
      <c r="O5663" s="63"/>
      <c r="P5663" s="79" t="str">
        <f>IF(AND('331-CT'!$E$7=TH!H5663,OR(N5663="331",O5663="331")),"x","")</f>
        <v/>
      </c>
      <c r="Q5663" s="79" t="str">
        <f>IF(AND(B5663='111'!$L$11,OR($N5663=$Q$7,$O5663=$Q$7)),"x","")</f>
        <v/>
      </c>
      <c r="R5663" s="79" t="str">
        <f>IF(AND($N5663=$Q$7,$B5663&lt;'111'!$L$11),"x","")</f>
        <v/>
      </c>
      <c r="S5663" s="79" t="str">
        <f>IF(AND($O5663=$Q$7,$B5663&lt;'111'!$L$11),"x","")</f>
        <v/>
      </c>
      <c r="T5663" s="79" t="str">
        <f>IF(ISERROR(FIND('112'!$M$9,G5663,1)),"",IF((AND(FIND('112'!$M$9,G5663,1)&gt;=1,B5663='112'!$K$9,OR($N5663='112'!$I$6,$O5663='112'!$I$6))),"x",""))</f>
        <v/>
      </c>
      <c r="U5663" s="79" t="str">
        <f>IF(ISERROR(FIND('112'!$M$9,G5663,1)),"",IF((AND(LEFT(G5663,2)=LEFT('112'!$M$9,2),B5663&lt;'112'!$K$9,$N5663='112'!$I$6)),"x",""))</f>
        <v/>
      </c>
      <c r="V5663" s="79" t="str">
        <f>IF(ISERROR(FIND('112'!$M$9,G5663,1)),"",IF((AND(RIGHT(G5663,2)=RIGHT('112'!$M$9,2),B5663&lt;'112'!$K$9,$O5663='112'!$I$6)),"x",""))</f>
        <v/>
      </c>
      <c r="W5663" s="79" t="str">
        <f>IF(AND('341-CT'!$H$9=H5663,OR(LEFT(N5663,3)=$W$7,LEFT(O5663,3)=$W$7)),"x","")</f>
        <v/>
      </c>
      <c r="X5663" s="79" t="str">
        <f>IF(OR(TH!N5663=TH!$X$7,O5663=TH!$X$7),"x","")</f>
        <v/>
      </c>
      <c r="Y5663" s="79" t="str">
        <f>IF(AND(OR(N5663="131",O5663="131"),H5663='131-CT'!$H$9),"x","")</f>
        <v/>
      </c>
      <c r="Z5663" s="79"/>
      <c r="AA5663" s="79" t="str">
        <f>IF(AND(MONTH(E5663)='IN-NX'!$J$5,'IN-NX'!$D$7=D5663),"x","")</f>
        <v/>
      </c>
      <c r="AB5663" s="79" t="str">
        <f>IF(AND(OR(LEFT(TH!N5663,2)="15",LEFT(TH!O5663,2)="15"),LEFT(TH!O5663,3)&lt;&gt;"111",'152-CT'!$J$8=TH!F5663),"x","")</f>
        <v/>
      </c>
      <c r="AC5663" s="79" t="str">
        <f>IF(AND(OR(LEFT(TH!N5663,2)="15",LEFT(TH!O5663,2)="15"),TK!$E$7=TH!F5663),"x","")</f>
        <v/>
      </c>
      <c r="AD5663" s="79" t="str">
        <f>IF(AND(N5663="1521",MONTH(C5663)='BK-NL'!$M$11),"x","")</f>
        <v/>
      </c>
    </row>
    <row r="5664" spans="1:30" ht="16.5" customHeight="1">
      <c r="A5664" s="318" t="str">
        <f>IF(B5664&lt;&gt;"",IF(AND(B5664='IN-TC'!$S$4,OR(TH!N5664="1111",TH!O5664="1111")),TH!D5664,""),"")</f>
        <v/>
      </c>
      <c r="B5664" s="60" t="str">
        <f t="shared" si="509"/>
        <v/>
      </c>
      <c r="C5664" s="61"/>
      <c r="D5664" s="61"/>
      <c r="E5664" s="61"/>
      <c r="F5664" s="446"/>
      <c r="G5664" s="64"/>
      <c r="H5664" s="69"/>
      <c r="I5664" s="385"/>
      <c r="J5664" s="392"/>
      <c r="K5664" s="385"/>
      <c r="L5664" s="392"/>
      <c r="M5664" s="62"/>
      <c r="N5664" s="63"/>
      <c r="O5664" s="63"/>
      <c r="P5664" s="79" t="str">
        <f>IF(AND('331-CT'!$E$7=TH!H5664,OR(N5664="331",O5664="331")),"x","")</f>
        <v/>
      </c>
      <c r="Q5664" s="79" t="str">
        <f>IF(AND(B5664='111'!$L$11,OR($N5664=$Q$7,$O5664=$Q$7)),"x","")</f>
        <v/>
      </c>
      <c r="R5664" s="79" t="str">
        <f>IF(AND($N5664=$Q$7,$B5664&lt;'111'!$L$11),"x","")</f>
        <v/>
      </c>
      <c r="S5664" s="79" t="str">
        <f>IF(AND($O5664=$Q$7,$B5664&lt;'111'!$L$11),"x","")</f>
        <v/>
      </c>
      <c r="T5664" s="79" t="str">
        <f>IF(ISERROR(FIND('112'!$M$9,G5664,1)),"",IF((AND(FIND('112'!$M$9,G5664,1)&gt;=1,B5664='112'!$K$9,OR($N5664='112'!$I$6,$O5664='112'!$I$6))),"x",""))</f>
        <v/>
      </c>
      <c r="U5664" s="79" t="str">
        <f>IF(ISERROR(FIND('112'!$M$9,G5664,1)),"",IF((AND(LEFT(G5664,2)=LEFT('112'!$M$9,2),B5664&lt;'112'!$K$9,$N5664='112'!$I$6)),"x",""))</f>
        <v/>
      </c>
      <c r="V5664" s="79" t="str">
        <f>IF(ISERROR(FIND('112'!$M$9,G5664,1)),"",IF((AND(RIGHT(G5664,2)=RIGHT('112'!$M$9,2),B5664&lt;'112'!$K$9,$O5664='112'!$I$6)),"x",""))</f>
        <v/>
      </c>
      <c r="W5664" s="79" t="str">
        <f>IF(AND('341-CT'!$H$9=H5664,OR(LEFT(N5664,3)=$W$7,LEFT(O5664,3)=$W$7)),"x","")</f>
        <v/>
      </c>
      <c r="X5664" s="79" t="str">
        <f>IF(OR(TH!N5664=TH!$X$7,O5664=TH!$X$7),"x","")</f>
        <v/>
      </c>
      <c r="Y5664" s="79" t="str">
        <f>IF(AND(OR(N5664="131",O5664="131"),H5664='131-CT'!$H$9),"x","")</f>
        <v/>
      </c>
      <c r="Z5664" s="79"/>
      <c r="AA5664" s="79" t="str">
        <f>IF(AND(MONTH(E5664)='IN-NX'!$J$5,'IN-NX'!$D$7=D5664),"x","")</f>
        <v/>
      </c>
      <c r="AB5664" s="79" t="str">
        <f>IF(AND(OR(LEFT(TH!N5664,2)="15",LEFT(TH!O5664,2)="15"),LEFT(TH!O5664,3)&lt;&gt;"111",'152-CT'!$J$8=TH!F5664),"x","")</f>
        <v/>
      </c>
      <c r="AC5664" s="79" t="str">
        <f>IF(AND(OR(LEFT(TH!N5664,2)="15",LEFT(TH!O5664,2)="15"),TK!$E$7=TH!F5664),"x","")</f>
        <v/>
      </c>
      <c r="AD5664" s="79" t="str">
        <f>IF(AND(N5664="1521",MONTH(C5664)='BK-NL'!$M$11),"x","")</f>
        <v/>
      </c>
    </row>
    <row r="5665" spans="1:30" ht="16.5" customHeight="1">
      <c r="A5665" s="318" t="str">
        <f>IF(B5665&lt;&gt;"",IF(AND(B5665='IN-TC'!$S$4,OR(TH!N5665="1111",TH!O5665="1111")),TH!D5665,""),"")</f>
        <v/>
      </c>
      <c r="B5665" s="60" t="str">
        <f t="shared" si="509"/>
        <v/>
      </c>
      <c r="C5665" s="61"/>
      <c r="D5665" s="61"/>
      <c r="E5665" s="61"/>
      <c r="F5665" s="446"/>
      <c r="G5665" s="64"/>
      <c r="H5665" s="69"/>
      <c r="I5665" s="385"/>
      <c r="J5665" s="392"/>
      <c r="K5665" s="385"/>
      <c r="L5665" s="392"/>
      <c r="M5665" s="62"/>
      <c r="N5665" s="63"/>
      <c r="O5665" s="63"/>
      <c r="P5665" s="79" t="str">
        <f>IF(AND('331-CT'!$E$7=TH!H5665,OR(N5665="331",O5665="331")),"x","")</f>
        <v/>
      </c>
      <c r="Q5665" s="79" t="str">
        <f>IF(AND(B5665='111'!$L$11,OR($N5665=$Q$7,$O5665=$Q$7)),"x","")</f>
        <v/>
      </c>
      <c r="R5665" s="79" t="str">
        <f>IF(AND($N5665=$Q$7,$B5665&lt;'111'!$L$11),"x","")</f>
        <v/>
      </c>
      <c r="S5665" s="79" t="str">
        <f>IF(AND($O5665=$Q$7,$B5665&lt;'111'!$L$11),"x","")</f>
        <v/>
      </c>
      <c r="T5665" s="79" t="str">
        <f>IF(ISERROR(FIND('112'!$M$9,G5665,1)),"",IF((AND(FIND('112'!$M$9,G5665,1)&gt;=1,B5665='112'!$K$9,OR($N5665='112'!$I$6,$O5665='112'!$I$6))),"x",""))</f>
        <v/>
      </c>
      <c r="U5665" s="79" t="str">
        <f>IF(ISERROR(FIND('112'!$M$9,G5665,1)),"",IF((AND(LEFT(G5665,2)=LEFT('112'!$M$9,2),B5665&lt;'112'!$K$9,$N5665='112'!$I$6)),"x",""))</f>
        <v/>
      </c>
      <c r="V5665" s="79" t="str">
        <f>IF(ISERROR(FIND('112'!$M$9,G5665,1)),"",IF((AND(RIGHT(G5665,2)=RIGHT('112'!$M$9,2),B5665&lt;'112'!$K$9,$O5665='112'!$I$6)),"x",""))</f>
        <v/>
      </c>
      <c r="W5665" s="79" t="str">
        <f>IF(AND('341-CT'!$H$9=H5665,OR(LEFT(N5665,3)=$W$7,LEFT(O5665,3)=$W$7)),"x","")</f>
        <v/>
      </c>
      <c r="X5665" s="79" t="str">
        <f>IF(OR(TH!N5665=TH!$X$7,O5665=TH!$X$7),"x","")</f>
        <v/>
      </c>
      <c r="Y5665" s="79" t="str">
        <f>IF(AND(OR(N5665="131",O5665="131"),H5665='131-CT'!$H$9),"x","")</f>
        <v/>
      </c>
      <c r="Z5665" s="79"/>
      <c r="AA5665" s="79" t="str">
        <f>IF(AND(MONTH(E5665)='IN-NX'!$J$5,'IN-NX'!$D$7=D5665),"x","")</f>
        <v/>
      </c>
      <c r="AB5665" s="79" t="str">
        <f>IF(AND(OR(LEFT(TH!N5665,2)="15",LEFT(TH!O5665,2)="15"),LEFT(TH!O5665,3)&lt;&gt;"111",'152-CT'!$J$8=TH!F5665),"x","")</f>
        <v/>
      </c>
      <c r="AC5665" s="79" t="str">
        <f>IF(AND(OR(LEFT(TH!N5665,2)="15",LEFT(TH!O5665,2)="15"),TK!$E$7=TH!F5665),"x","")</f>
        <v/>
      </c>
      <c r="AD5665" s="79" t="str">
        <f>IF(AND(N5665="1521",MONTH(C5665)='BK-NL'!$M$11),"x","")</f>
        <v/>
      </c>
    </row>
    <row r="5666" spans="1:30" ht="16.5" customHeight="1">
      <c r="A5666" s="318" t="str">
        <f>IF(B5666&lt;&gt;"",IF(AND(B5666='IN-TC'!$S$4,OR(TH!N5666="1111",TH!O5666="1111")),TH!D5666,""),"")</f>
        <v/>
      </c>
      <c r="B5666" s="60" t="str">
        <f t="shared" si="509"/>
        <v/>
      </c>
      <c r="C5666" s="61"/>
      <c r="D5666" s="61"/>
      <c r="E5666" s="61"/>
      <c r="F5666" s="446"/>
      <c r="G5666" s="64"/>
      <c r="H5666" s="69"/>
      <c r="I5666" s="385"/>
      <c r="J5666" s="392"/>
      <c r="K5666" s="385"/>
      <c r="L5666" s="392"/>
      <c r="M5666" s="62"/>
      <c r="N5666" s="63"/>
      <c r="O5666" s="63"/>
      <c r="P5666" s="79" t="str">
        <f>IF(AND('331-CT'!$E$7=TH!H5666,OR(N5666="331",O5666="331")),"x","")</f>
        <v/>
      </c>
      <c r="Q5666" s="79" t="str">
        <f>IF(AND(B5666='111'!$L$11,OR($N5666=$Q$7,$O5666=$Q$7)),"x","")</f>
        <v/>
      </c>
      <c r="R5666" s="79" t="str">
        <f>IF(AND($N5666=$Q$7,$B5666&lt;'111'!$L$11),"x","")</f>
        <v/>
      </c>
      <c r="S5666" s="79" t="str">
        <f>IF(AND($O5666=$Q$7,$B5666&lt;'111'!$L$11),"x","")</f>
        <v/>
      </c>
      <c r="T5666" s="79" t="str">
        <f>IF(ISERROR(FIND('112'!$M$9,G5666,1)),"",IF((AND(FIND('112'!$M$9,G5666,1)&gt;=1,B5666='112'!$K$9,OR($N5666='112'!$I$6,$O5666='112'!$I$6))),"x",""))</f>
        <v/>
      </c>
      <c r="U5666" s="79" t="str">
        <f>IF(ISERROR(FIND('112'!$M$9,G5666,1)),"",IF((AND(LEFT(G5666,2)=LEFT('112'!$M$9,2),B5666&lt;'112'!$K$9,$N5666='112'!$I$6)),"x",""))</f>
        <v/>
      </c>
      <c r="V5666" s="79" t="str">
        <f>IF(ISERROR(FIND('112'!$M$9,G5666,1)),"",IF((AND(RIGHT(G5666,2)=RIGHT('112'!$M$9,2),B5666&lt;'112'!$K$9,$O5666='112'!$I$6)),"x",""))</f>
        <v/>
      </c>
      <c r="W5666" s="79" t="str">
        <f>IF(AND('341-CT'!$H$9=H5666,OR(LEFT(N5666,3)=$W$7,LEFT(O5666,3)=$W$7)),"x","")</f>
        <v/>
      </c>
      <c r="X5666" s="79" t="str">
        <f>IF(OR(TH!N5666=TH!$X$7,O5666=TH!$X$7),"x","")</f>
        <v/>
      </c>
      <c r="Y5666" s="79" t="str">
        <f>IF(AND(OR(N5666="131",O5666="131"),H5666='131-CT'!$H$9),"x","")</f>
        <v/>
      </c>
      <c r="Z5666" s="79"/>
      <c r="AA5666" s="79" t="str">
        <f>IF(AND(MONTH(E5666)='IN-NX'!$J$5,'IN-NX'!$D$7=D5666),"x","")</f>
        <v/>
      </c>
      <c r="AB5666" s="79" t="str">
        <f>IF(AND(OR(LEFT(TH!N5666,2)="15",LEFT(TH!O5666,2)="15"),LEFT(TH!O5666,3)&lt;&gt;"111",'152-CT'!$J$8=TH!F5666),"x","")</f>
        <v/>
      </c>
      <c r="AC5666" s="79" t="str">
        <f>IF(AND(OR(LEFT(TH!N5666,2)="15",LEFT(TH!O5666,2)="15"),TK!$E$7=TH!F5666),"x","")</f>
        <v/>
      </c>
      <c r="AD5666" s="79" t="str">
        <f>IF(AND(N5666="1521",MONTH(C5666)='BK-NL'!$M$11),"x","")</f>
        <v/>
      </c>
    </row>
    <row r="5667" spans="1:30" ht="16.5" customHeight="1">
      <c r="A5667" s="318" t="str">
        <f>IF(B5667&lt;&gt;"",IF(AND(B5667='IN-TC'!$S$4,OR(TH!N5667="1111",TH!O5667="1111")),TH!D5667,""),"")</f>
        <v/>
      </c>
      <c r="B5667" s="60" t="str">
        <f t="shared" si="509"/>
        <v/>
      </c>
      <c r="C5667" s="61"/>
      <c r="D5667" s="61"/>
      <c r="E5667" s="61"/>
      <c r="F5667" s="446"/>
      <c r="G5667" s="64"/>
      <c r="H5667" s="69"/>
      <c r="I5667" s="385"/>
      <c r="J5667" s="392"/>
      <c r="K5667" s="385"/>
      <c r="L5667" s="392"/>
      <c r="M5667" s="62"/>
      <c r="N5667" s="63"/>
      <c r="O5667" s="63"/>
      <c r="P5667" s="79" t="str">
        <f>IF(AND('331-CT'!$E$7=TH!H5667,OR(N5667="331",O5667="331")),"x","")</f>
        <v/>
      </c>
      <c r="Q5667" s="79" t="str">
        <f>IF(AND(B5667='111'!$L$11,OR($N5667=$Q$7,$O5667=$Q$7)),"x","")</f>
        <v/>
      </c>
      <c r="R5667" s="79" t="str">
        <f>IF(AND($N5667=$Q$7,$B5667&lt;'111'!$L$11),"x","")</f>
        <v/>
      </c>
      <c r="S5667" s="79" t="str">
        <f>IF(AND($O5667=$Q$7,$B5667&lt;'111'!$L$11),"x","")</f>
        <v/>
      </c>
      <c r="T5667" s="79" t="str">
        <f>IF(ISERROR(FIND('112'!$M$9,G5667,1)),"",IF((AND(FIND('112'!$M$9,G5667,1)&gt;=1,B5667='112'!$K$9,OR($N5667='112'!$I$6,$O5667='112'!$I$6))),"x",""))</f>
        <v/>
      </c>
      <c r="U5667" s="79" t="str">
        <f>IF(ISERROR(FIND('112'!$M$9,G5667,1)),"",IF((AND(LEFT(G5667,2)=LEFT('112'!$M$9,2),B5667&lt;'112'!$K$9,$N5667='112'!$I$6)),"x",""))</f>
        <v/>
      </c>
      <c r="V5667" s="79" t="str">
        <f>IF(ISERROR(FIND('112'!$M$9,G5667,1)),"",IF((AND(RIGHT(G5667,2)=RIGHT('112'!$M$9,2),B5667&lt;'112'!$K$9,$O5667='112'!$I$6)),"x",""))</f>
        <v/>
      </c>
      <c r="W5667" s="79" t="str">
        <f>IF(AND('341-CT'!$H$9=H5667,OR(LEFT(N5667,3)=$W$7,LEFT(O5667,3)=$W$7)),"x","")</f>
        <v/>
      </c>
      <c r="X5667" s="79" t="str">
        <f>IF(OR(TH!N5667=TH!$X$7,O5667=TH!$X$7),"x","")</f>
        <v/>
      </c>
      <c r="Y5667" s="79" t="str">
        <f>IF(AND(OR(N5667="131",O5667="131"),H5667='131-CT'!$H$9),"x","")</f>
        <v/>
      </c>
      <c r="Z5667" s="79"/>
      <c r="AA5667" s="79" t="str">
        <f>IF(AND(MONTH(E5667)='IN-NX'!$J$5,'IN-NX'!$D$7=D5667),"x","")</f>
        <v/>
      </c>
      <c r="AB5667" s="79" t="str">
        <f>IF(AND(OR(LEFT(TH!N5667,2)="15",LEFT(TH!O5667,2)="15"),LEFT(TH!O5667,3)&lt;&gt;"111",'152-CT'!$J$8=TH!F5667),"x","")</f>
        <v/>
      </c>
      <c r="AC5667" s="79" t="str">
        <f>IF(AND(OR(LEFT(TH!N5667,2)="15",LEFT(TH!O5667,2)="15"),TK!$E$7=TH!F5667),"x","")</f>
        <v/>
      </c>
      <c r="AD5667" s="79" t="str">
        <f>IF(AND(N5667="1521",MONTH(C5667)='BK-NL'!$M$11),"x","")</f>
        <v/>
      </c>
    </row>
    <row r="5668" spans="1:30" ht="16.5" customHeight="1">
      <c r="A5668" s="318" t="str">
        <f>IF(B5668&lt;&gt;"",IF(AND(B5668='IN-TC'!$S$4,OR(TH!N5668="1111",TH!O5668="1111")),TH!D5668,""),"")</f>
        <v/>
      </c>
      <c r="B5668" s="60" t="str">
        <f t="shared" si="509"/>
        <v/>
      </c>
      <c r="C5668" s="61"/>
      <c r="D5668" s="61"/>
      <c r="E5668" s="61"/>
      <c r="F5668" s="446"/>
      <c r="G5668" s="64"/>
      <c r="H5668" s="69"/>
      <c r="I5668" s="385"/>
      <c r="J5668" s="392"/>
      <c r="K5668" s="385"/>
      <c r="L5668" s="392"/>
      <c r="M5668" s="62"/>
      <c r="N5668" s="63"/>
      <c r="O5668" s="63"/>
      <c r="P5668" s="79" t="str">
        <f>IF(AND('331-CT'!$E$7=TH!H5668,OR(N5668="331",O5668="331")),"x","")</f>
        <v/>
      </c>
      <c r="Q5668" s="79" t="str">
        <f>IF(AND(B5668='111'!$L$11,OR($N5668=$Q$7,$O5668=$Q$7)),"x","")</f>
        <v/>
      </c>
      <c r="R5668" s="79" t="str">
        <f>IF(AND($N5668=$Q$7,$B5668&lt;'111'!$L$11),"x","")</f>
        <v/>
      </c>
      <c r="S5668" s="79" t="str">
        <f>IF(AND($O5668=$Q$7,$B5668&lt;'111'!$L$11),"x","")</f>
        <v/>
      </c>
      <c r="T5668" s="79" t="str">
        <f>IF(ISERROR(FIND('112'!$M$9,G5668,1)),"",IF((AND(FIND('112'!$M$9,G5668,1)&gt;=1,B5668='112'!$K$9,OR($N5668='112'!$I$6,$O5668='112'!$I$6))),"x",""))</f>
        <v/>
      </c>
      <c r="U5668" s="79" t="str">
        <f>IF(ISERROR(FIND('112'!$M$9,G5668,1)),"",IF((AND(LEFT(G5668,2)=LEFT('112'!$M$9,2),B5668&lt;'112'!$K$9,$N5668='112'!$I$6)),"x",""))</f>
        <v/>
      </c>
      <c r="V5668" s="79" t="str">
        <f>IF(ISERROR(FIND('112'!$M$9,G5668,1)),"",IF((AND(RIGHT(G5668,2)=RIGHT('112'!$M$9,2),B5668&lt;'112'!$K$9,$O5668='112'!$I$6)),"x",""))</f>
        <v/>
      </c>
      <c r="W5668" s="79" t="str">
        <f>IF(AND('341-CT'!$H$9=H5668,OR(LEFT(N5668,3)=$W$7,LEFT(O5668,3)=$W$7)),"x","")</f>
        <v/>
      </c>
      <c r="X5668" s="79" t="str">
        <f>IF(OR(TH!N5668=TH!$X$7,O5668=TH!$X$7),"x","")</f>
        <v/>
      </c>
      <c r="Y5668" s="79" t="str">
        <f>IF(AND(OR(N5668="131",O5668="131"),H5668='131-CT'!$H$9),"x","")</f>
        <v/>
      </c>
      <c r="Z5668" s="79"/>
      <c r="AA5668" s="79" t="str">
        <f>IF(AND(MONTH(E5668)='IN-NX'!$J$5,'IN-NX'!$D$7=D5668),"x","")</f>
        <v/>
      </c>
      <c r="AB5668" s="79" t="str">
        <f>IF(AND(OR(LEFT(TH!N5668,2)="15",LEFT(TH!O5668,2)="15"),LEFT(TH!O5668,3)&lt;&gt;"111",'152-CT'!$J$8=TH!F5668),"x","")</f>
        <v/>
      </c>
      <c r="AC5668" s="79" t="str">
        <f>IF(AND(OR(LEFT(TH!N5668,2)="15",LEFT(TH!O5668,2)="15"),TK!$E$7=TH!F5668),"x","")</f>
        <v/>
      </c>
      <c r="AD5668" s="79" t="str">
        <f>IF(AND(N5668="1521",MONTH(C5668)='BK-NL'!$M$11),"x","")</f>
        <v/>
      </c>
    </row>
    <row r="5669" spans="1:30" ht="16.5" customHeight="1">
      <c r="A5669" s="318" t="str">
        <f>IF(B5669&lt;&gt;"",IF(AND(B5669='IN-TC'!$S$4,OR(TH!N5669="1111",TH!O5669="1111")),TH!D5669,""),"")</f>
        <v/>
      </c>
      <c r="B5669" s="60" t="str">
        <f t="shared" si="509"/>
        <v/>
      </c>
      <c r="C5669" s="61"/>
      <c r="D5669" s="61"/>
      <c r="E5669" s="61"/>
      <c r="F5669" s="446"/>
      <c r="G5669" s="64"/>
      <c r="H5669" s="69"/>
      <c r="I5669" s="385"/>
      <c r="J5669" s="392"/>
      <c r="K5669" s="385"/>
      <c r="L5669" s="392"/>
      <c r="M5669" s="62"/>
      <c r="N5669" s="63"/>
      <c r="O5669" s="63"/>
      <c r="P5669" s="79" t="str">
        <f>IF(AND('331-CT'!$E$7=TH!H5669,OR(N5669="331",O5669="331")),"x","")</f>
        <v/>
      </c>
      <c r="Q5669" s="79" t="str">
        <f>IF(AND(B5669='111'!$L$11,OR($N5669=$Q$7,$O5669=$Q$7)),"x","")</f>
        <v/>
      </c>
      <c r="R5669" s="79" t="str">
        <f>IF(AND($N5669=$Q$7,$B5669&lt;'111'!$L$11),"x","")</f>
        <v/>
      </c>
      <c r="S5669" s="79" t="str">
        <f>IF(AND($O5669=$Q$7,$B5669&lt;'111'!$L$11),"x","")</f>
        <v/>
      </c>
      <c r="T5669" s="79" t="str">
        <f>IF(ISERROR(FIND('112'!$M$9,G5669,1)),"",IF((AND(FIND('112'!$M$9,G5669,1)&gt;=1,B5669='112'!$K$9,OR($N5669='112'!$I$6,$O5669='112'!$I$6))),"x",""))</f>
        <v/>
      </c>
      <c r="U5669" s="79" t="str">
        <f>IF(ISERROR(FIND('112'!$M$9,G5669,1)),"",IF((AND(LEFT(G5669,2)=LEFT('112'!$M$9,2),B5669&lt;'112'!$K$9,$N5669='112'!$I$6)),"x",""))</f>
        <v/>
      </c>
      <c r="V5669" s="79" t="str">
        <f>IF(ISERROR(FIND('112'!$M$9,G5669,1)),"",IF((AND(RIGHT(G5669,2)=RIGHT('112'!$M$9,2),B5669&lt;'112'!$K$9,$O5669='112'!$I$6)),"x",""))</f>
        <v/>
      </c>
      <c r="W5669" s="79" t="str">
        <f>IF(AND('341-CT'!$H$9=H5669,OR(LEFT(N5669,3)=$W$7,LEFT(O5669,3)=$W$7)),"x","")</f>
        <v/>
      </c>
      <c r="X5669" s="79" t="str">
        <f>IF(OR(TH!N5669=TH!$X$7,O5669=TH!$X$7),"x","")</f>
        <v/>
      </c>
      <c r="Y5669" s="79" t="str">
        <f>IF(AND(OR(N5669="131",O5669="131"),H5669='131-CT'!$H$9),"x","")</f>
        <v/>
      </c>
      <c r="Z5669" s="79"/>
      <c r="AA5669" s="79" t="str">
        <f>IF(AND(MONTH(E5669)='IN-NX'!$J$5,'IN-NX'!$D$7=D5669),"x","")</f>
        <v/>
      </c>
      <c r="AB5669" s="79" t="str">
        <f>IF(AND(OR(LEFT(TH!N5669,2)="15",LEFT(TH!O5669,2)="15"),LEFT(TH!O5669,3)&lt;&gt;"111",'152-CT'!$J$8=TH!F5669),"x","")</f>
        <v/>
      </c>
      <c r="AC5669" s="79" t="str">
        <f>IF(AND(OR(LEFT(TH!N5669,2)="15",LEFT(TH!O5669,2)="15"),TK!$E$7=TH!F5669),"x","")</f>
        <v/>
      </c>
      <c r="AD5669" s="79" t="str">
        <f>IF(AND(N5669="1521",MONTH(C5669)='BK-NL'!$M$11),"x","")</f>
        <v/>
      </c>
    </row>
    <row r="5670" spans="1:30" ht="16.5" customHeight="1">
      <c r="A5670" s="318" t="str">
        <f>IF(B5670&lt;&gt;"",IF(AND(B5670='IN-TC'!$S$4,OR(TH!N5670="1111",TH!O5670="1111")),TH!D5670,""),"")</f>
        <v/>
      </c>
      <c r="B5670" s="60" t="str">
        <f t="shared" si="509"/>
        <v/>
      </c>
      <c r="C5670" s="61"/>
      <c r="D5670" s="61"/>
      <c r="E5670" s="61"/>
      <c r="F5670" s="446"/>
      <c r="G5670" s="64"/>
      <c r="H5670" s="69"/>
      <c r="I5670" s="385"/>
      <c r="J5670" s="392"/>
      <c r="K5670" s="385"/>
      <c r="L5670" s="392"/>
      <c r="M5670" s="62"/>
      <c r="N5670" s="63"/>
      <c r="O5670" s="63"/>
      <c r="P5670" s="79" t="str">
        <f>IF(AND('331-CT'!$E$7=TH!H5670,OR(N5670="331",O5670="331")),"x","")</f>
        <v/>
      </c>
      <c r="Q5670" s="79" t="str">
        <f>IF(AND(B5670='111'!$L$11,OR($N5670=$Q$7,$O5670=$Q$7)),"x","")</f>
        <v/>
      </c>
      <c r="R5670" s="79" t="str">
        <f>IF(AND($N5670=$Q$7,$B5670&lt;'111'!$L$11),"x","")</f>
        <v/>
      </c>
      <c r="S5670" s="79" t="str">
        <f>IF(AND($O5670=$Q$7,$B5670&lt;'111'!$L$11),"x","")</f>
        <v/>
      </c>
      <c r="T5670" s="79" t="str">
        <f>IF(ISERROR(FIND('112'!$M$9,G5670,1)),"",IF((AND(FIND('112'!$M$9,G5670,1)&gt;=1,B5670='112'!$K$9,OR($N5670='112'!$I$6,$O5670='112'!$I$6))),"x",""))</f>
        <v/>
      </c>
      <c r="U5670" s="79" t="str">
        <f>IF(ISERROR(FIND('112'!$M$9,G5670,1)),"",IF((AND(LEFT(G5670,2)=LEFT('112'!$M$9,2),B5670&lt;'112'!$K$9,$N5670='112'!$I$6)),"x",""))</f>
        <v/>
      </c>
      <c r="V5670" s="79" t="str">
        <f>IF(ISERROR(FIND('112'!$M$9,G5670,1)),"",IF((AND(RIGHT(G5670,2)=RIGHT('112'!$M$9,2),B5670&lt;'112'!$K$9,$O5670='112'!$I$6)),"x",""))</f>
        <v/>
      </c>
      <c r="W5670" s="79" t="str">
        <f>IF(AND('341-CT'!$H$9=H5670,OR(LEFT(N5670,3)=$W$7,LEFT(O5670,3)=$W$7)),"x","")</f>
        <v/>
      </c>
      <c r="X5670" s="79" t="str">
        <f>IF(OR(TH!N5670=TH!$X$7,O5670=TH!$X$7),"x","")</f>
        <v/>
      </c>
      <c r="Y5670" s="79" t="str">
        <f>IF(AND(OR(N5670="131",O5670="131"),H5670='131-CT'!$H$9),"x","")</f>
        <v/>
      </c>
      <c r="Z5670" s="79"/>
      <c r="AA5670" s="79" t="str">
        <f>IF(AND(MONTH(E5670)='IN-NX'!$J$5,'IN-NX'!$D$7=D5670),"x","")</f>
        <v/>
      </c>
      <c r="AB5670" s="79" t="str">
        <f>IF(AND(OR(LEFT(TH!N5670,2)="15",LEFT(TH!O5670,2)="15"),LEFT(TH!O5670,3)&lt;&gt;"111",'152-CT'!$J$8=TH!F5670),"x","")</f>
        <v/>
      </c>
      <c r="AC5670" s="79" t="str">
        <f>IF(AND(OR(LEFT(TH!N5670,2)="15",LEFT(TH!O5670,2)="15"),TK!$E$7=TH!F5670),"x","")</f>
        <v/>
      </c>
      <c r="AD5670" s="79" t="str">
        <f>IF(AND(N5670="1521",MONTH(C5670)='BK-NL'!$M$11),"x","")</f>
        <v/>
      </c>
    </row>
    <row r="5671" spans="1:30" ht="16.5" customHeight="1">
      <c r="A5671" s="318" t="str">
        <f>IF(B5671&lt;&gt;"",IF(AND(B5671='IN-TC'!$S$4,OR(TH!N5671="1111",TH!O5671="1111")),TH!D5671,""),"")</f>
        <v/>
      </c>
      <c r="B5671" s="60" t="str">
        <f t="shared" si="509"/>
        <v/>
      </c>
      <c r="C5671" s="61"/>
      <c r="D5671" s="61"/>
      <c r="E5671" s="61"/>
      <c r="F5671" s="446"/>
      <c r="G5671" s="64"/>
      <c r="H5671" s="69"/>
      <c r="I5671" s="385"/>
      <c r="J5671" s="392"/>
      <c r="K5671" s="385"/>
      <c r="L5671" s="392"/>
      <c r="M5671" s="62"/>
      <c r="N5671" s="63"/>
      <c r="O5671" s="63"/>
      <c r="P5671" s="79" t="str">
        <f>IF(AND('331-CT'!$E$7=TH!H5671,OR(N5671="331",O5671="331")),"x","")</f>
        <v/>
      </c>
      <c r="Q5671" s="79" t="str">
        <f>IF(AND(B5671='111'!$L$11,OR($N5671=$Q$7,$O5671=$Q$7)),"x","")</f>
        <v/>
      </c>
      <c r="R5671" s="79" t="str">
        <f>IF(AND($N5671=$Q$7,$B5671&lt;'111'!$L$11),"x","")</f>
        <v/>
      </c>
      <c r="S5671" s="79" t="str">
        <f>IF(AND($O5671=$Q$7,$B5671&lt;'111'!$L$11),"x","")</f>
        <v/>
      </c>
      <c r="T5671" s="79" t="str">
        <f>IF(ISERROR(FIND('112'!$M$9,G5671,1)),"",IF((AND(FIND('112'!$M$9,G5671,1)&gt;=1,B5671='112'!$K$9,OR($N5671='112'!$I$6,$O5671='112'!$I$6))),"x",""))</f>
        <v/>
      </c>
      <c r="U5671" s="79" t="str">
        <f>IF(ISERROR(FIND('112'!$M$9,G5671,1)),"",IF((AND(LEFT(G5671,2)=LEFT('112'!$M$9,2),B5671&lt;'112'!$K$9,$N5671='112'!$I$6)),"x",""))</f>
        <v/>
      </c>
      <c r="V5671" s="79" t="str">
        <f>IF(ISERROR(FIND('112'!$M$9,G5671,1)),"",IF((AND(RIGHT(G5671,2)=RIGHT('112'!$M$9,2),B5671&lt;'112'!$K$9,$O5671='112'!$I$6)),"x",""))</f>
        <v/>
      </c>
      <c r="W5671" s="79" t="str">
        <f>IF(AND('341-CT'!$H$9=H5671,OR(LEFT(N5671,3)=$W$7,LEFT(O5671,3)=$W$7)),"x","")</f>
        <v/>
      </c>
      <c r="X5671" s="79" t="str">
        <f>IF(OR(TH!N5671=TH!$X$7,O5671=TH!$X$7),"x","")</f>
        <v/>
      </c>
      <c r="Y5671" s="79" t="str">
        <f>IF(AND(OR(N5671="131",O5671="131"),H5671='131-CT'!$H$9),"x","")</f>
        <v/>
      </c>
      <c r="Z5671" s="79"/>
      <c r="AA5671" s="79" t="str">
        <f>IF(AND(MONTH(E5671)='IN-NX'!$J$5,'IN-NX'!$D$7=D5671),"x","")</f>
        <v/>
      </c>
      <c r="AB5671" s="79" t="str">
        <f>IF(AND(OR(LEFT(TH!N5671,2)="15",LEFT(TH!O5671,2)="15"),LEFT(TH!O5671,3)&lt;&gt;"111",'152-CT'!$J$8=TH!F5671),"x","")</f>
        <v/>
      </c>
      <c r="AC5671" s="79" t="str">
        <f>IF(AND(OR(LEFT(TH!N5671,2)="15",LEFT(TH!O5671,2)="15"),TK!$E$7=TH!F5671),"x","")</f>
        <v/>
      </c>
      <c r="AD5671" s="79" t="str">
        <f>IF(AND(N5671="1521",MONTH(C5671)='BK-NL'!$M$11),"x","")</f>
        <v/>
      </c>
    </row>
    <row r="5672" spans="1:30" ht="16.5" customHeight="1">
      <c r="A5672" s="318" t="str">
        <f>IF(B5672&lt;&gt;"",IF(AND(B5672='IN-TC'!$S$4,OR(TH!N5672="1111",TH!O5672="1111")),TH!D5672,""),"")</f>
        <v/>
      </c>
      <c r="B5672" s="60" t="str">
        <f t="shared" si="509"/>
        <v/>
      </c>
      <c r="C5672" s="61"/>
      <c r="D5672" s="61"/>
      <c r="E5672" s="61"/>
      <c r="F5672" s="446"/>
      <c r="G5672" s="64"/>
      <c r="H5672" s="69"/>
      <c r="I5672" s="385"/>
      <c r="J5672" s="392"/>
      <c r="K5672" s="385"/>
      <c r="L5672" s="392"/>
      <c r="M5672" s="62"/>
      <c r="N5672" s="63"/>
      <c r="O5672" s="63"/>
      <c r="P5672" s="79" t="str">
        <f>IF(AND('331-CT'!$E$7=TH!H5672,OR(N5672="331",O5672="331")),"x","")</f>
        <v/>
      </c>
      <c r="Q5672" s="79" t="str">
        <f>IF(AND(B5672='111'!$L$11,OR($N5672=$Q$7,$O5672=$Q$7)),"x","")</f>
        <v/>
      </c>
      <c r="R5672" s="79" t="str">
        <f>IF(AND($N5672=$Q$7,$B5672&lt;'111'!$L$11),"x","")</f>
        <v/>
      </c>
      <c r="S5672" s="79" t="str">
        <f>IF(AND($O5672=$Q$7,$B5672&lt;'111'!$L$11),"x","")</f>
        <v/>
      </c>
      <c r="T5672" s="79" t="str">
        <f>IF(ISERROR(FIND('112'!$M$9,G5672,1)),"",IF((AND(FIND('112'!$M$9,G5672,1)&gt;=1,B5672='112'!$K$9,OR($N5672='112'!$I$6,$O5672='112'!$I$6))),"x",""))</f>
        <v/>
      </c>
      <c r="U5672" s="79" t="str">
        <f>IF(ISERROR(FIND('112'!$M$9,G5672,1)),"",IF((AND(LEFT(G5672,2)=LEFT('112'!$M$9,2),B5672&lt;'112'!$K$9,$N5672='112'!$I$6)),"x",""))</f>
        <v/>
      </c>
      <c r="V5672" s="79" t="str">
        <f>IF(ISERROR(FIND('112'!$M$9,G5672,1)),"",IF((AND(RIGHT(G5672,2)=RIGHT('112'!$M$9,2),B5672&lt;'112'!$K$9,$O5672='112'!$I$6)),"x",""))</f>
        <v/>
      </c>
      <c r="W5672" s="79" t="str">
        <f>IF(AND('341-CT'!$H$9=H5672,OR(LEFT(N5672,3)=$W$7,LEFT(O5672,3)=$W$7)),"x","")</f>
        <v/>
      </c>
      <c r="X5672" s="79" t="str">
        <f>IF(OR(TH!N5672=TH!$X$7,O5672=TH!$X$7),"x","")</f>
        <v/>
      </c>
      <c r="Y5672" s="79" t="str">
        <f>IF(AND(OR(N5672="131",O5672="131"),H5672='131-CT'!$H$9),"x","")</f>
        <v/>
      </c>
      <c r="Z5672" s="79"/>
      <c r="AA5672" s="79" t="str">
        <f>IF(AND(MONTH(E5672)='IN-NX'!$J$5,'IN-NX'!$D$7=D5672),"x","")</f>
        <v/>
      </c>
      <c r="AB5672" s="79" t="str">
        <f>IF(AND(OR(LEFT(TH!N5672,2)="15",LEFT(TH!O5672,2)="15"),LEFT(TH!O5672,3)&lt;&gt;"111",'152-CT'!$J$8=TH!F5672),"x","")</f>
        <v/>
      </c>
      <c r="AC5672" s="79" t="str">
        <f>IF(AND(OR(LEFT(TH!N5672,2)="15",LEFT(TH!O5672,2)="15"),TK!$E$7=TH!F5672),"x","")</f>
        <v/>
      </c>
      <c r="AD5672" s="79" t="str">
        <f>IF(AND(N5672="1521",MONTH(C5672)='BK-NL'!$M$11),"x","")</f>
        <v/>
      </c>
    </row>
    <row r="5673" spans="1:30" ht="16.5" customHeight="1">
      <c r="A5673" s="318" t="str">
        <f>IF(B5673&lt;&gt;"",IF(AND(B5673='IN-TC'!$S$4,OR(TH!N5673="1111",TH!O5673="1111")),TH!D5673,""),"")</f>
        <v/>
      </c>
      <c r="B5673" s="60" t="str">
        <f t="shared" si="509"/>
        <v/>
      </c>
      <c r="C5673" s="61"/>
      <c r="D5673" s="61"/>
      <c r="E5673" s="61"/>
      <c r="F5673" s="446"/>
      <c r="G5673" s="766"/>
      <c r="H5673" s="69"/>
      <c r="I5673" s="385"/>
      <c r="J5673" s="392"/>
      <c r="K5673" s="385"/>
      <c r="L5673" s="392"/>
      <c r="M5673" s="62"/>
      <c r="N5673" s="63"/>
      <c r="O5673" s="63"/>
      <c r="P5673" s="79" t="str">
        <f>IF(AND('331-CT'!$E$7=TH!H5673,OR(N5673="331",O5673="331")),"x","")</f>
        <v/>
      </c>
      <c r="Q5673" s="79" t="str">
        <f>IF(AND(B5673='111'!$L$11,OR($N5673=$Q$7,$O5673=$Q$7)),"x","")</f>
        <v/>
      </c>
      <c r="R5673" s="79" t="str">
        <f>IF(AND($N5673=$Q$7,$B5673&lt;'111'!$L$11),"x","")</f>
        <v/>
      </c>
      <c r="S5673" s="79" t="str">
        <f>IF(AND($O5673=$Q$7,$B5673&lt;'111'!$L$11),"x","")</f>
        <v/>
      </c>
      <c r="T5673" s="79" t="str">
        <f>IF(ISERROR(FIND('112'!$M$9,G5673,1)),"",IF((AND(FIND('112'!$M$9,G5673,1)&gt;=1,B5673='112'!$K$9,OR($N5673='112'!$I$6,$O5673='112'!$I$6))),"x",""))</f>
        <v/>
      </c>
      <c r="U5673" s="79" t="str">
        <f>IF(ISERROR(FIND('112'!$M$9,G5673,1)),"",IF((AND(LEFT(G5673,2)=LEFT('112'!$M$9,2),B5673&lt;'112'!$K$9,$N5673='112'!$I$6)),"x",""))</f>
        <v/>
      </c>
      <c r="V5673" s="79" t="str">
        <f>IF(ISERROR(FIND('112'!$M$9,G5673,1)),"",IF((AND(RIGHT(G5673,2)=RIGHT('112'!$M$9,2),B5673&lt;'112'!$K$9,$O5673='112'!$I$6)),"x",""))</f>
        <v/>
      </c>
      <c r="W5673" s="79" t="str">
        <f>IF(AND('341-CT'!$H$9=H5673,OR(LEFT(N5673,3)=$W$7,LEFT(O5673,3)=$W$7)),"x","")</f>
        <v/>
      </c>
      <c r="X5673" s="79" t="str">
        <f>IF(OR(TH!N5673=TH!$X$7,O5673=TH!$X$7),"x","")</f>
        <v/>
      </c>
      <c r="Y5673" s="79" t="str">
        <f>IF(AND(OR(N5673="131",O5673="131"),H5673='131-CT'!$H$9),"x","")</f>
        <v/>
      </c>
      <c r="Z5673" s="79"/>
      <c r="AA5673" s="79" t="str">
        <f>IF(AND(MONTH(E5673)='IN-NX'!$J$5,'IN-NX'!$D$7=D5673),"x","")</f>
        <v/>
      </c>
      <c r="AB5673" s="79" t="str">
        <f>IF(AND(OR(LEFT(TH!N5673,2)="15",LEFT(TH!O5673,2)="15"),LEFT(TH!O5673,3)&lt;&gt;"111",'152-CT'!$J$8=TH!F5673),"x","")</f>
        <v/>
      </c>
      <c r="AC5673" s="79" t="str">
        <f>IF(AND(OR(LEFT(TH!N5673,2)="15",LEFT(TH!O5673,2)="15"),TK!$E$7=TH!F5673),"x","")</f>
        <v/>
      </c>
      <c r="AD5673" s="79" t="str">
        <f>IF(AND(N5673="1521",MONTH(C5673)='BK-NL'!$M$11),"x","")</f>
        <v/>
      </c>
    </row>
    <row r="5674" spans="1:30" ht="16.5" customHeight="1">
      <c r="A5674" s="318" t="str">
        <f>IF(B5674&lt;&gt;"",IF(AND(B5674='IN-TC'!$S$4,OR(TH!N5674="1111",TH!O5674="1111")),TH!D5674,""),"")</f>
        <v/>
      </c>
      <c r="B5674" s="60" t="str">
        <f t="shared" si="509"/>
        <v/>
      </c>
      <c r="C5674" s="61"/>
      <c r="D5674" s="61"/>
      <c r="E5674" s="61"/>
      <c r="F5674" s="446"/>
      <c r="G5674" s="766"/>
      <c r="H5674" s="69"/>
      <c r="I5674" s="385"/>
      <c r="J5674" s="392"/>
      <c r="K5674" s="385"/>
      <c r="L5674" s="392"/>
      <c r="M5674" s="62"/>
      <c r="N5674" s="63"/>
      <c r="O5674" s="63"/>
      <c r="P5674" s="79" t="str">
        <f>IF(AND('331-CT'!$E$7=TH!H5674,OR(N5674="331",O5674="331")),"x","")</f>
        <v/>
      </c>
      <c r="Q5674" s="79" t="str">
        <f>IF(AND(B5674='111'!$L$11,OR($N5674=$Q$7,$O5674=$Q$7)),"x","")</f>
        <v/>
      </c>
      <c r="R5674" s="79" t="str">
        <f>IF(AND($N5674=$Q$7,$B5674&lt;'111'!$L$11),"x","")</f>
        <v/>
      </c>
      <c r="S5674" s="79" t="str">
        <f>IF(AND($O5674=$Q$7,$B5674&lt;'111'!$L$11),"x","")</f>
        <v/>
      </c>
      <c r="T5674" s="79" t="str">
        <f>IF(ISERROR(FIND('112'!$M$9,G5674,1)),"",IF((AND(FIND('112'!$M$9,G5674,1)&gt;=1,B5674='112'!$K$9,OR($N5674='112'!$I$6,$O5674='112'!$I$6))),"x",""))</f>
        <v/>
      </c>
      <c r="U5674" s="79" t="str">
        <f>IF(ISERROR(FIND('112'!$M$9,G5674,1)),"",IF((AND(LEFT(G5674,2)=LEFT('112'!$M$9,2),B5674&lt;'112'!$K$9,$N5674='112'!$I$6)),"x",""))</f>
        <v/>
      </c>
      <c r="V5674" s="79" t="str">
        <f>IF(ISERROR(FIND('112'!$M$9,G5674,1)),"",IF((AND(RIGHT(G5674,2)=RIGHT('112'!$M$9,2),B5674&lt;'112'!$K$9,$O5674='112'!$I$6)),"x",""))</f>
        <v/>
      </c>
      <c r="W5674" s="79" t="str">
        <f>IF(AND('341-CT'!$H$9=H5674,OR(LEFT(N5674,3)=$W$7,LEFT(O5674,3)=$W$7)),"x","")</f>
        <v/>
      </c>
      <c r="X5674" s="79" t="str">
        <f>IF(OR(TH!N5674=TH!$X$7,O5674=TH!$X$7),"x","")</f>
        <v/>
      </c>
      <c r="Y5674" s="79" t="str">
        <f>IF(AND(OR(N5674="131",O5674="131"),H5674='131-CT'!$H$9),"x","")</f>
        <v/>
      </c>
      <c r="Z5674" s="79"/>
      <c r="AA5674" s="79" t="str">
        <f>IF(AND(MONTH(E5674)='IN-NX'!$J$5,'IN-NX'!$D$7=D5674),"x","")</f>
        <v/>
      </c>
      <c r="AB5674" s="79" t="str">
        <f>IF(AND(OR(LEFT(TH!N5674,2)="15",LEFT(TH!O5674,2)="15"),LEFT(TH!O5674,3)&lt;&gt;"111",'152-CT'!$J$8=TH!F5674),"x","")</f>
        <v/>
      </c>
      <c r="AC5674" s="79" t="str">
        <f>IF(AND(OR(LEFT(TH!N5674,2)="15",LEFT(TH!O5674,2)="15"),TK!$E$7=TH!F5674),"x","")</f>
        <v/>
      </c>
      <c r="AD5674" s="79" t="str">
        <f>IF(AND(N5674="1521",MONTH(C5674)='BK-NL'!$M$11),"x","")</f>
        <v/>
      </c>
    </row>
    <row r="5675" spans="1:30" ht="16.5" customHeight="1">
      <c r="A5675" s="318" t="str">
        <f>IF(B5675&lt;&gt;"",IF(AND(B5675='IN-TC'!$S$4,OR(TH!N5675="1111",TH!O5675="1111")),TH!D5675,""),"")</f>
        <v/>
      </c>
      <c r="B5675" s="60" t="str">
        <f t="shared" si="509"/>
        <v/>
      </c>
      <c r="C5675" s="61"/>
      <c r="D5675" s="61"/>
      <c r="E5675" s="61"/>
      <c r="F5675" s="446"/>
      <c r="G5675" s="64"/>
      <c r="H5675" s="69"/>
      <c r="I5675" s="385"/>
      <c r="J5675" s="392"/>
      <c r="K5675" s="385"/>
      <c r="L5675" s="392"/>
      <c r="M5675" s="62"/>
      <c r="N5675" s="63"/>
      <c r="O5675" s="63"/>
      <c r="P5675" s="79" t="str">
        <f>IF(AND('331-CT'!$E$7=TH!H5675,OR(N5675="331",O5675="331")),"x","")</f>
        <v/>
      </c>
      <c r="Q5675" s="79" t="str">
        <f>IF(AND(B5675='111'!$L$11,OR($N5675=$Q$7,$O5675=$Q$7)),"x","")</f>
        <v/>
      </c>
      <c r="R5675" s="79" t="str">
        <f>IF(AND($N5675=$Q$7,$B5675&lt;'111'!$L$11),"x","")</f>
        <v/>
      </c>
      <c r="S5675" s="79" t="str">
        <f>IF(AND($O5675=$Q$7,$B5675&lt;'111'!$L$11),"x","")</f>
        <v/>
      </c>
      <c r="T5675" s="79" t="str">
        <f>IF(ISERROR(FIND('112'!$M$9,G5675,1)),"",IF((AND(FIND('112'!$M$9,G5675,1)&gt;=1,B5675='112'!$K$9,OR($N5675='112'!$I$6,$O5675='112'!$I$6))),"x",""))</f>
        <v/>
      </c>
      <c r="U5675" s="79" t="str">
        <f>IF(ISERROR(FIND('112'!$M$9,G5675,1)),"",IF((AND(LEFT(G5675,2)=LEFT('112'!$M$9,2),B5675&lt;'112'!$K$9,$N5675='112'!$I$6)),"x",""))</f>
        <v/>
      </c>
      <c r="V5675" s="79" t="str">
        <f>IF(ISERROR(FIND('112'!$M$9,G5675,1)),"",IF((AND(RIGHT(G5675,2)=RIGHT('112'!$M$9,2),B5675&lt;'112'!$K$9,$O5675='112'!$I$6)),"x",""))</f>
        <v/>
      </c>
      <c r="W5675" s="79" t="str">
        <f>IF(AND('341-CT'!$H$9=H5675,OR(LEFT(N5675,3)=$W$7,LEFT(O5675,3)=$W$7)),"x","")</f>
        <v/>
      </c>
      <c r="X5675" s="79" t="str">
        <f>IF(OR(TH!N5675=TH!$X$7,O5675=TH!$X$7),"x","")</f>
        <v/>
      </c>
      <c r="Y5675" s="79" t="str">
        <f>IF(AND(OR(N5675="131",O5675="131"),H5675='131-CT'!$H$9),"x","")</f>
        <v/>
      </c>
      <c r="Z5675" s="79"/>
      <c r="AA5675" s="79" t="str">
        <f>IF(AND(MONTH(E5675)='IN-NX'!$J$5,'IN-NX'!$D$7=D5675),"x","")</f>
        <v/>
      </c>
      <c r="AB5675" s="79" t="str">
        <f>IF(AND(OR(LEFT(TH!N5675,2)="15",LEFT(TH!O5675,2)="15"),LEFT(TH!O5675,3)&lt;&gt;"111",'152-CT'!$J$8=TH!F5675),"x","")</f>
        <v/>
      </c>
      <c r="AC5675" s="79" t="str">
        <f>IF(AND(OR(LEFT(TH!N5675,2)="15",LEFT(TH!O5675,2)="15"),TK!$E$7=TH!F5675),"x","")</f>
        <v/>
      </c>
      <c r="AD5675" s="79" t="str">
        <f>IF(AND(N5675="1521",MONTH(C5675)='BK-NL'!$M$11),"x","")</f>
        <v/>
      </c>
    </row>
    <row r="5676" spans="1:30" ht="16.5" customHeight="1">
      <c r="A5676" s="318" t="str">
        <f>IF(B5676&lt;&gt;"",IF(AND(B5676='IN-TC'!$S$4,OR(TH!N5676="1111",TH!O5676="1111")),TH!D5676,""),"")</f>
        <v/>
      </c>
      <c r="B5676" s="60" t="str">
        <f t="shared" si="509"/>
        <v/>
      </c>
      <c r="C5676" s="61"/>
      <c r="D5676" s="61"/>
      <c r="E5676" s="61"/>
      <c r="F5676" s="446"/>
      <c r="G5676" s="64"/>
      <c r="H5676" s="69"/>
      <c r="I5676" s="385"/>
      <c r="J5676" s="392"/>
      <c r="K5676" s="385"/>
      <c r="L5676" s="392"/>
      <c r="M5676" s="62"/>
      <c r="N5676" s="63"/>
      <c r="O5676" s="63"/>
      <c r="P5676" s="79" t="str">
        <f>IF(AND('331-CT'!$E$7=TH!H5676,OR(N5676="331",O5676="331")),"x","")</f>
        <v/>
      </c>
      <c r="Q5676" s="79" t="str">
        <f>IF(AND(B5676='111'!$L$11,OR($N5676=$Q$7,$O5676=$Q$7)),"x","")</f>
        <v/>
      </c>
      <c r="R5676" s="79" t="str">
        <f>IF(AND($N5676=$Q$7,$B5676&lt;'111'!$L$11),"x","")</f>
        <v/>
      </c>
      <c r="S5676" s="79" t="str">
        <f>IF(AND($O5676=$Q$7,$B5676&lt;'111'!$L$11),"x","")</f>
        <v/>
      </c>
      <c r="T5676" s="79" t="str">
        <f>IF(ISERROR(FIND('112'!$M$9,G5676,1)),"",IF((AND(FIND('112'!$M$9,G5676,1)&gt;=1,B5676='112'!$K$9,OR($N5676='112'!$I$6,$O5676='112'!$I$6))),"x",""))</f>
        <v/>
      </c>
      <c r="U5676" s="79" t="str">
        <f>IF(ISERROR(FIND('112'!$M$9,G5676,1)),"",IF((AND(LEFT(G5676,2)=LEFT('112'!$M$9,2),B5676&lt;'112'!$K$9,$N5676='112'!$I$6)),"x",""))</f>
        <v/>
      </c>
      <c r="V5676" s="79" t="str">
        <f>IF(ISERROR(FIND('112'!$M$9,G5676,1)),"",IF((AND(RIGHT(G5676,2)=RIGHT('112'!$M$9,2),B5676&lt;'112'!$K$9,$O5676='112'!$I$6)),"x",""))</f>
        <v/>
      </c>
      <c r="W5676" s="79" t="str">
        <f>IF(AND('341-CT'!$H$9=H5676,OR(LEFT(N5676,3)=$W$7,LEFT(O5676,3)=$W$7)),"x","")</f>
        <v/>
      </c>
      <c r="X5676" s="79" t="str">
        <f>IF(OR(TH!N5676=TH!$X$7,O5676=TH!$X$7),"x","")</f>
        <v/>
      </c>
      <c r="Y5676" s="79" t="str">
        <f>IF(AND(OR(N5676="131",O5676="131"),H5676='131-CT'!$H$9),"x","")</f>
        <v/>
      </c>
      <c r="Z5676" s="79"/>
      <c r="AA5676" s="79" t="str">
        <f>IF(AND(MONTH(E5676)='IN-NX'!$J$5,'IN-NX'!$D$7=D5676),"x","")</f>
        <v/>
      </c>
      <c r="AB5676" s="79" t="str">
        <f>IF(AND(OR(LEFT(TH!N5676,2)="15",LEFT(TH!O5676,2)="15"),LEFT(TH!O5676,3)&lt;&gt;"111",'152-CT'!$J$8=TH!F5676),"x","")</f>
        <v/>
      </c>
      <c r="AC5676" s="79" t="str">
        <f>IF(AND(OR(LEFT(TH!N5676,2)="15",LEFT(TH!O5676,2)="15"),TK!$E$7=TH!F5676),"x","")</f>
        <v/>
      </c>
      <c r="AD5676" s="79" t="str">
        <f>IF(AND(N5676="1521",MONTH(C5676)='BK-NL'!$M$11),"x","")</f>
        <v/>
      </c>
    </row>
    <row r="5677" spans="1:30" ht="16.5" customHeight="1">
      <c r="A5677" s="318" t="str">
        <f>IF(B5677&lt;&gt;"",IF(AND(B5677='IN-TC'!$S$4,OR(TH!N5677="1111",TH!O5677="1111")),TH!D5677,""),"")</f>
        <v/>
      </c>
      <c r="B5677" s="60" t="str">
        <f t="shared" si="509"/>
        <v/>
      </c>
      <c r="C5677" s="61"/>
      <c r="D5677" s="61"/>
      <c r="E5677" s="61"/>
      <c r="F5677" s="446"/>
      <c r="G5677" s="64"/>
      <c r="H5677" s="69"/>
      <c r="I5677" s="385"/>
      <c r="J5677" s="392"/>
      <c r="K5677" s="385"/>
      <c r="L5677" s="392"/>
      <c r="M5677" s="62"/>
      <c r="N5677" s="63"/>
      <c r="O5677" s="63"/>
      <c r="P5677" s="79" t="str">
        <f>IF(AND('331-CT'!$E$7=TH!H5677,OR(N5677="331",O5677="331")),"x","")</f>
        <v/>
      </c>
      <c r="Q5677" s="79" t="str">
        <f>IF(AND(B5677='111'!$L$11,OR($N5677=$Q$7,$O5677=$Q$7)),"x","")</f>
        <v/>
      </c>
      <c r="R5677" s="79" t="str">
        <f>IF(AND($N5677=$Q$7,$B5677&lt;'111'!$L$11),"x","")</f>
        <v/>
      </c>
      <c r="S5677" s="79" t="str">
        <f>IF(AND($O5677=$Q$7,$B5677&lt;'111'!$L$11),"x","")</f>
        <v/>
      </c>
      <c r="T5677" s="79" t="str">
        <f>IF(ISERROR(FIND('112'!$M$9,G5677,1)),"",IF((AND(FIND('112'!$M$9,G5677,1)&gt;=1,B5677='112'!$K$9,OR($N5677='112'!$I$6,$O5677='112'!$I$6))),"x",""))</f>
        <v/>
      </c>
      <c r="U5677" s="79" t="str">
        <f>IF(ISERROR(FIND('112'!$M$9,G5677,1)),"",IF((AND(LEFT(G5677,2)=LEFT('112'!$M$9,2),B5677&lt;'112'!$K$9,$N5677='112'!$I$6)),"x",""))</f>
        <v/>
      </c>
      <c r="V5677" s="79" t="str">
        <f>IF(ISERROR(FIND('112'!$M$9,G5677,1)),"",IF((AND(RIGHT(G5677,2)=RIGHT('112'!$M$9,2),B5677&lt;'112'!$K$9,$O5677='112'!$I$6)),"x",""))</f>
        <v/>
      </c>
      <c r="W5677" s="79" t="str">
        <f>IF(AND('341-CT'!$H$9=H5677,OR(LEFT(N5677,3)=$W$7,LEFT(O5677,3)=$W$7)),"x","")</f>
        <v/>
      </c>
      <c r="X5677" s="79" t="str">
        <f>IF(OR(TH!N5677=TH!$X$7,O5677=TH!$X$7),"x","")</f>
        <v/>
      </c>
      <c r="Y5677" s="79" t="str">
        <f>IF(AND(OR(N5677="131",O5677="131"),H5677='131-CT'!$H$9),"x","")</f>
        <v/>
      </c>
      <c r="Z5677" s="79"/>
      <c r="AA5677" s="79" t="str">
        <f>IF(AND(MONTH(E5677)='IN-NX'!$J$5,'IN-NX'!$D$7=D5677),"x","")</f>
        <v/>
      </c>
      <c r="AB5677" s="79" t="str">
        <f>IF(AND(OR(LEFT(TH!N5677,2)="15",LEFT(TH!O5677,2)="15"),LEFT(TH!O5677,3)&lt;&gt;"111",'152-CT'!$J$8=TH!F5677),"x","")</f>
        <v/>
      </c>
      <c r="AC5677" s="79" t="str">
        <f>IF(AND(OR(LEFT(TH!N5677,2)="15",LEFT(TH!O5677,2)="15"),TK!$E$7=TH!F5677),"x","")</f>
        <v/>
      </c>
      <c r="AD5677" s="79" t="str">
        <f>IF(AND(N5677="1521",MONTH(C5677)='BK-NL'!$M$11),"x","")</f>
        <v/>
      </c>
    </row>
    <row r="5678" spans="1:30" ht="16.5" customHeight="1">
      <c r="A5678" s="318" t="str">
        <f>IF(B5678&lt;&gt;"",IF(AND(B5678='IN-TC'!$S$4,OR(TH!N5678="1111",TH!O5678="1111")),TH!D5678,""),"")</f>
        <v/>
      </c>
      <c r="B5678" s="60" t="str">
        <f t="shared" si="509"/>
        <v/>
      </c>
      <c r="C5678" s="61"/>
      <c r="D5678" s="61"/>
      <c r="E5678" s="61"/>
      <c r="F5678" s="446"/>
      <c r="G5678" s="64"/>
      <c r="H5678" s="64"/>
      <c r="I5678" s="385"/>
      <c r="J5678" s="392"/>
      <c r="K5678" s="385"/>
      <c r="L5678" s="392"/>
      <c r="M5678" s="62"/>
      <c r="N5678" s="63"/>
      <c r="O5678" s="63"/>
      <c r="P5678" s="79" t="str">
        <f>IF(AND('331-CT'!$E$7=TH!H5678,OR(N5678="331",O5678="331")),"x","")</f>
        <v/>
      </c>
      <c r="Q5678" s="79" t="str">
        <f>IF(AND(B5678='111'!$L$11,OR($N5678=$Q$7,$O5678=$Q$7)),"x","")</f>
        <v/>
      </c>
      <c r="R5678" s="79" t="str">
        <f>IF(AND($N5678=$Q$7,$B5678&lt;'111'!$L$11),"x","")</f>
        <v/>
      </c>
      <c r="S5678" s="79" t="str">
        <f>IF(AND($O5678=$Q$7,$B5678&lt;'111'!$L$11),"x","")</f>
        <v/>
      </c>
      <c r="T5678" s="79" t="str">
        <f>IF(ISERROR(FIND('112'!$M$9,G5678,1)),"",IF((AND(FIND('112'!$M$9,G5678,1)&gt;=1,B5678='112'!$K$9,OR($N5678='112'!$I$6,$O5678='112'!$I$6))),"x",""))</f>
        <v/>
      </c>
      <c r="U5678" s="79" t="str">
        <f>IF(ISERROR(FIND('112'!$M$9,G5678,1)),"",IF((AND(LEFT(G5678,2)=LEFT('112'!$M$9,2),B5678&lt;'112'!$K$9,$N5678='112'!$I$6)),"x",""))</f>
        <v/>
      </c>
      <c r="V5678" s="79" t="str">
        <f>IF(ISERROR(FIND('112'!$M$9,G5678,1)),"",IF((AND(RIGHT(G5678,2)=RIGHT('112'!$M$9,2),B5678&lt;'112'!$K$9,$O5678='112'!$I$6)),"x",""))</f>
        <v/>
      </c>
      <c r="W5678" s="79" t="str">
        <f>IF(AND('341-CT'!$H$9=H5678,OR(LEFT(N5678,3)=$W$7,LEFT(O5678,3)=$W$7)),"x","")</f>
        <v/>
      </c>
      <c r="X5678" s="79" t="str">
        <f>IF(OR(TH!N5678=TH!$X$7,O5678=TH!$X$7),"x","")</f>
        <v/>
      </c>
      <c r="Y5678" s="79" t="str">
        <f>IF(AND(OR(N5678="131",O5678="131"),H5678='131-CT'!$H$9),"x","")</f>
        <v/>
      </c>
      <c r="Z5678" s="79"/>
      <c r="AA5678" s="79" t="str">
        <f>IF(AND(MONTH(E5678)='IN-NX'!$J$5,'IN-NX'!$D$7=D5678),"x","")</f>
        <v/>
      </c>
      <c r="AB5678" s="79" t="str">
        <f>IF(AND(OR(LEFT(TH!N5678,2)="15",LEFT(TH!O5678,2)="15"),LEFT(TH!O5678,3)&lt;&gt;"111",'152-CT'!$J$8=TH!F5678),"x","")</f>
        <v/>
      </c>
      <c r="AC5678" s="79" t="str">
        <f>IF(AND(OR(LEFT(TH!N5678,2)="15",LEFT(TH!O5678,2)="15"),TK!$E$7=TH!F5678),"x","")</f>
        <v/>
      </c>
      <c r="AD5678" s="79" t="str">
        <f>IF(AND(N5678="1521",MONTH(C5678)='BK-NL'!$M$11),"x","")</f>
        <v/>
      </c>
    </row>
    <row r="5679" spans="1:30" ht="16.5" customHeight="1">
      <c r="A5679" s="318" t="str">
        <f>IF(B5679&lt;&gt;"",IF(AND(B5679='IN-TC'!$S$4,OR(TH!N5679="1111",TH!O5679="1111")),TH!D5679,""),"")</f>
        <v/>
      </c>
      <c r="B5679" s="60" t="str">
        <f t="shared" si="509"/>
        <v/>
      </c>
      <c r="C5679" s="137"/>
      <c r="D5679" s="137"/>
      <c r="E5679" s="137"/>
      <c r="F5679" s="446"/>
      <c r="G5679" s="64"/>
      <c r="H5679" s="69"/>
      <c r="I5679" s="389"/>
      <c r="J5679" s="396"/>
      <c r="K5679" s="389"/>
      <c r="L5679" s="396"/>
      <c r="M5679" s="138"/>
      <c r="N5679" s="139"/>
      <c r="O5679" s="63"/>
      <c r="P5679" s="79" t="str">
        <f>IF(AND('331-CT'!$E$7=TH!H5679,OR(N5679="331",O5679="331")),"x","")</f>
        <v/>
      </c>
      <c r="Q5679" s="79" t="str">
        <f>IF(AND(B5679='111'!$L$11,OR($N5679=$Q$7,$O5679=$Q$7)),"x","")</f>
        <v/>
      </c>
      <c r="R5679" s="79" t="str">
        <f>IF(AND($N5679=$Q$7,$B5679&lt;'111'!$L$11),"x","")</f>
        <v/>
      </c>
      <c r="S5679" s="79" t="str">
        <f>IF(AND($O5679=$Q$7,$B5679&lt;'111'!$L$11),"x","")</f>
        <v/>
      </c>
      <c r="T5679" s="79" t="str">
        <f>IF(ISERROR(FIND('112'!$M$9,G5679,1)),"",IF((AND(FIND('112'!$M$9,G5679,1)&gt;=1,B5679='112'!$K$9,OR($N5679='112'!$I$6,$O5679='112'!$I$6))),"x",""))</f>
        <v/>
      </c>
      <c r="U5679" s="79" t="str">
        <f>IF(ISERROR(FIND('112'!$M$9,G5679,1)),"",IF((AND(LEFT(G5679,2)=LEFT('112'!$M$9,2),B5679&lt;'112'!$K$9,$N5679='112'!$I$6)),"x",""))</f>
        <v/>
      </c>
      <c r="V5679" s="79" t="str">
        <f>IF(ISERROR(FIND('112'!$M$9,G5679,1)),"",IF((AND(RIGHT(G5679,2)=RIGHT('112'!$M$9,2),B5679&lt;'112'!$K$9,$O5679='112'!$I$6)),"x",""))</f>
        <v/>
      </c>
      <c r="W5679" s="79" t="str">
        <f>IF(AND('341-CT'!$H$9=H5679,OR(LEFT(N5679,3)=$W$7,LEFT(O5679,3)=$W$7)),"x","")</f>
        <v/>
      </c>
      <c r="X5679" s="79" t="str">
        <f>IF(OR(TH!N5679=TH!$X$7,O5679=TH!$X$7),"x","")</f>
        <v/>
      </c>
      <c r="Y5679" s="79" t="str">
        <f>IF(AND(OR(N5679="131",O5679="131"),H5679='131-CT'!$H$9),"x","")</f>
        <v/>
      </c>
      <c r="Z5679" s="79"/>
      <c r="AA5679" s="79" t="str">
        <f>IF(AND(MONTH(E5679)='IN-NX'!$J$5,'IN-NX'!$D$7=D5679),"x","")</f>
        <v/>
      </c>
      <c r="AB5679" s="79" t="str">
        <f>IF(AND(OR(LEFT(TH!N5679,2)="15",LEFT(TH!O5679,2)="15"),LEFT(TH!O5679,3)&lt;&gt;"111",'152-CT'!$J$8=TH!F5679),"x","")</f>
        <v/>
      </c>
      <c r="AC5679" s="79" t="str">
        <f>IF(AND(OR(LEFT(TH!N5679,2)="15",LEFT(TH!O5679,2)="15"),TK!$E$7=TH!F5679),"x","")</f>
        <v/>
      </c>
      <c r="AD5679" s="79" t="str">
        <f>IF(AND(N5679="1521",MONTH(C5679)='BK-NL'!$M$11),"x","")</f>
        <v/>
      </c>
    </row>
    <row r="5680" spans="1:30" ht="16.5" customHeight="1">
      <c r="A5680" s="318" t="str">
        <f>IF(B5680&lt;&gt;"",IF(AND(B5680='IN-TC'!$S$4,OR(TH!N5680="1111",TH!O5680="1111")),TH!D5680,""),"")</f>
        <v/>
      </c>
      <c r="B5680" s="60" t="str">
        <f t="shared" si="509"/>
        <v/>
      </c>
      <c r="C5680" s="61"/>
      <c r="D5680" s="61"/>
      <c r="E5680" s="61"/>
      <c r="F5680" s="446"/>
      <c r="G5680" s="64"/>
      <c r="H5680" s="69"/>
      <c r="I5680" s="385"/>
      <c r="J5680" s="392"/>
      <c r="K5680" s="385"/>
      <c r="L5680" s="392"/>
      <c r="M5680" s="62"/>
      <c r="N5680" s="63"/>
      <c r="O5680" s="63"/>
      <c r="P5680" s="79" t="str">
        <f>IF(AND('331-CT'!$E$7=TH!H5680,OR(N5680="331",O5680="331")),"x","")</f>
        <v/>
      </c>
      <c r="Q5680" s="79" t="str">
        <f>IF(AND(B5680='111'!$L$11,OR($N5680=$Q$7,$O5680=$Q$7)),"x","")</f>
        <v/>
      </c>
      <c r="R5680" s="79" t="str">
        <f>IF(AND($N5680=$Q$7,$B5680&lt;'111'!$L$11),"x","")</f>
        <v/>
      </c>
      <c r="S5680" s="79" t="str">
        <f>IF(AND($O5680=$Q$7,$B5680&lt;'111'!$L$11),"x","")</f>
        <v/>
      </c>
      <c r="T5680" s="79" t="str">
        <f>IF(ISERROR(FIND('112'!$M$9,G5680,1)),"",IF((AND(FIND('112'!$M$9,G5680,1)&gt;=1,B5680='112'!$K$9,OR($N5680='112'!$I$6,$O5680='112'!$I$6))),"x",""))</f>
        <v/>
      </c>
      <c r="U5680" s="79" t="str">
        <f>IF(ISERROR(FIND('112'!$M$9,G5680,1)),"",IF((AND(LEFT(G5680,2)=LEFT('112'!$M$9,2),B5680&lt;'112'!$K$9,$N5680='112'!$I$6)),"x",""))</f>
        <v/>
      </c>
      <c r="V5680" s="79" t="str">
        <f>IF(ISERROR(FIND('112'!$M$9,G5680,1)),"",IF((AND(RIGHT(G5680,2)=RIGHT('112'!$M$9,2),B5680&lt;'112'!$K$9,$O5680='112'!$I$6)),"x",""))</f>
        <v/>
      </c>
      <c r="W5680" s="79" t="str">
        <f>IF(AND('341-CT'!$H$9=H5680,OR(LEFT(N5680,3)=$W$7,LEFT(O5680,3)=$W$7)),"x","")</f>
        <v/>
      </c>
      <c r="X5680" s="79" t="str">
        <f>IF(OR(TH!N5680=TH!$X$7,O5680=TH!$X$7),"x","")</f>
        <v/>
      </c>
      <c r="Y5680" s="79" t="str">
        <f>IF(AND(OR(N5680="131",O5680="131"),H5680='131-CT'!$H$9),"x","")</f>
        <v/>
      </c>
      <c r="Z5680" s="79"/>
      <c r="AA5680" s="79" t="str">
        <f>IF(AND(MONTH(E5680)='IN-NX'!$J$5,'IN-NX'!$D$7=D5680),"x","")</f>
        <v/>
      </c>
      <c r="AB5680" s="79" t="str">
        <f>IF(AND(OR(LEFT(TH!N5680,2)="15",LEFT(TH!O5680,2)="15"),LEFT(TH!O5680,3)&lt;&gt;"111",'152-CT'!$J$8=TH!F5680),"x","")</f>
        <v/>
      </c>
      <c r="AC5680" s="79" t="str">
        <f>IF(AND(OR(LEFT(TH!N5680,2)="15",LEFT(TH!O5680,2)="15"),TK!$E$7=TH!F5680),"x","")</f>
        <v/>
      </c>
      <c r="AD5680" s="79" t="str">
        <f>IF(AND(N5680="1521",MONTH(C5680)='BK-NL'!$M$11),"x","")</f>
        <v/>
      </c>
    </row>
    <row r="5681" spans="1:30" ht="16.5" customHeight="1">
      <c r="A5681" s="318" t="str">
        <f>IF(B5681&lt;&gt;"",IF(AND(B5681='IN-TC'!$S$4,OR(TH!N5681="1111",TH!O5681="1111")),TH!D5681,""),"")</f>
        <v/>
      </c>
      <c r="B5681" s="60" t="str">
        <f t="shared" si="509"/>
        <v/>
      </c>
      <c r="C5681" s="61"/>
      <c r="D5681" s="61"/>
      <c r="E5681" s="61"/>
      <c r="F5681" s="446"/>
      <c r="G5681" s="64"/>
      <c r="H5681" s="321"/>
      <c r="I5681" s="385"/>
      <c r="J5681" s="392"/>
      <c r="K5681" s="385"/>
      <c r="L5681" s="392"/>
      <c r="M5681" s="62"/>
      <c r="N5681" s="63"/>
      <c r="O5681" s="63"/>
      <c r="P5681" s="79" t="str">
        <f>IF(AND('331-CT'!$E$7=TH!H5681,OR(N5681="331",O5681="331")),"x","")</f>
        <v/>
      </c>
      <c r="Q5681" s="79" t="str">
        <f>IF(AND(B5681='111'!$L$11,OR($N5681=$Q$7,$O5681=$Q$7)),"x","")</f>
        <v/>
      </c>
      <c r="R5681" s="79" t="str">
        <f>IF(AND($N5681=$Q$7,$B5681&lt;'111'!$L$11),"x","")</f>
        <v/>
      </c>
      <c r="S5681" s="79" t="str">
        <f>IF(AND($O5681=$Q$7,$B5681&lt;'111'!$L$11),"x","")</f>
        <v/>
      </c>
      <c r="T5681" s="79" t="str">
        <f>IF(ISERROR(FIND('112'!$M$9,G5681,1)),"",IF((AND(FIND('112'!$M$9,G5681,1)&gt;=1,B5681='112'!$K$9,OR($N5681='112'!$I$6,$O5681='112'!$I$6))),"x",""))</f>
        <v/>
      </c>
      <c r="U5681" s="79" t="str">
        <f>IF(ISERROR(FIND('112'!$M$9,G5681,1)),"",IF((AND(LEFT(G5681,2)=LEFT('112'!$M$9,2),B5681&lt;'112'!$K$9,$N5681='112'!$I$6)),"x",""))</f>
        <v/>
      </c>
      <c r="V5681" s="79" t="str">
        <f>IF(ISERROR(FIND('112'!$M$9,G5681,1)),"",IF((AND(RIGHT(G5681,2)=RIGHT('112'!$M$9,2),B5681&lt;'112'!$K$9,$O5681='112'!$I$6)),"x",""))</f>
        <v/>
      </c>
      <c r="W5681" s="79" t="str">
        <f>IF(AND('341-CT'!$H$9=H5681,OR(LEFT(N5681,3)=$W$7,LEFT(O5681,3)=$W$7)),"x","")</f>
        <v/>
      </c>
      <c r="X5681" s="79" t="str">
        <f>IF(OR(TH!N5681=TH!$X$7,O5681=TH!$X$7),"x","")</f>
        <v/>
      </c>
      <c r="Y5681" s="79" t="str">
        <f>IF(AND(OR(N5681="131",O5681="131"),H5681='131-CT'!$H$9),"x","")</f>
        <v/>
      </c>
      <c r="Z5681" s="79"/>
      <c r="AA5681" s="79" t="str">
        <f>IF(AND(MONTH(E5681)='IN-NX'!$J$5,'IN-NX'!$D$7=D5681),"x","")</f>
        <v/>
      </c>
      <c r="AB5681" s="79" t="str">
        <f>IF(AND(OR(LEFT(TH!N5681,2)="15",LEFT(TH!O5681,2)="15"),LEFT(TH!O5681,3)&lt;&gt;"111",'152-CT'!$J$8=TH!F5681),"x","")</f>
        <v/>
      </c>
      <c r="AC5681" s="79" t="str">
        <f>IF(AND(OR(LEFT(TH!N5681,2)="15",LEFT(TH!O5681,2)="15"),TK!$E$7=TH!F5681),"x","")</f>
        <v/>
      </c>
      <c r="AD5681" s="79" t="str">
        <f>IF(AND(N5681="1521",MONTH(C5681)='BK-NL'!$M$11),"x","")</f>
        <v/>
      </c>
    </row>
    <row r="5682" spans="1:30" ht="16.5" customHeight="1">
      <c r="A5682" s="318" t="str">
        <f>IF(B5682&lt;&gt;"",IF(AND(B5682='IN-TC'!$S$4,OR(TH!N5682="1111",TH!O5682="1111")),TH!D5682,""),"")</f>
        <v/>
      </c>
      <c r="B5682" s="60" t="str">
        <f t="shared" si="509"/>
        <v/>
      </c>
      <c r="C5682" s="61"/>
      <c r="D5682" s="301"/>
      <c r="E5682" s="301"/>
      <c r="F5682" s="446"/>
      <c r="G5682" s="64"/>
      <c r="H5682" s="303"/>
      <c r="I5682" s="385"/>
      <c r="J5682" s="392"/>
      <c r="K5682" s="385"/>
      <c r="L5682" s="392"/>
      <c r="M5682" s="62"/>
      <c r="N5682" s="304"/>
      <c r="O5682" s="63"/>
      <c r="P5682" s="79" t="str">
        <f>IF(AND('331-CT'!$E$7=TH!H5682,OR(N5682="331",O5682="331")),"x","")</f>
        <v/>
      </c>
      <c r="Q5682" s="79" t="str">
        <f>IF(AND(B5682='111'!$L$11,OR($N5682=$Q$7,$O5682=$Q$7)),"x","")</f>
        <v/>
      </c>
      <c r="R5682" s="79" t="str">
        <f>IF(AND($N5682=$Q$7,$B5682&lt;'111'!$L$11),"x","")</f>
        <v/>
      </c>
      <c r="S5682" s="79" t="str">
        <f>IF(AND($O5682=$Q$7,$B5682&lt;'111'!$L$11),"x","")</f>
        <v/>
      </c>
      <c r="T5682" s="79" t="str">
        <f>IF(ISERROR(FIND('112'!$M$9,G5682,1)),"",IF((AND(FIND('112'!$M$9,G5682,1)&gt;=1,B5682='112'!$K$9,OR($N5682='112'!$I$6,$O5682='112'!$I$6))),"x",""))</f>
        <v/>
      </c>
      <c r="U5682" s="79" t="str">
        <f>IF(ISERROR(FIND('112'!$M$9,G5682,1)),"",IF((AND(LEFT(G5682,2)=LEFT('112'!$M$9,2),B5682&lt;'112'!$K$9,$N5682='112'!$I$6)),"x",""))</f>
        <v/>
      </c>
      <c r="V5682" s="79" t="str">
        <f>IF(ISERROR(FIND('112'!$M$9,G5682,1)),"",IF((AND(RIGHT(G5682,2)=RIGHT('112'!$M$9,2),B5682&lt;'112'!$K$9,$O5682='112'!$I$6)),"x",""))</f>
        <v/>
      </c>
      <c r="W5682" s="79" t="str">
        <f>IF(AND('341-CT'!$H$9=H5682,OR(LEFT(N5682,3)=$W$7,LEFT(O5682,3)=$W$7)),"x","")</f>
        <v/>
      </c>
      <c r="X5682" s="79" t="str">
        <f>IF(OR(TH!N5682=TH!$X$7,O5682=TH!$X$7),"x","")</f>
        <v/>
      </c>
      <c r="Y5682" s="79" t="str">
        <f>IF(AND(OR(N5682="131",O5682="131"),H5682='131-CT'!$H$9),"x","")</f>
        <v/>
      </c>
      <c r="Z5682" s="79"/>
      <c r="AA5682" s="79" t="str">
        <f>IF(AND(MONTH(E5682)='IN-NX'!$J$5,'IN-NX'!$D$7=D5682),"x","")</f>
        <v/>
      </c>
      <c r="AB5682" s="79" t="str">
        <f>IF(AND(OR(LEFT(TH!N5682,2)="15",LEFT(TH!O5682,2)="15"),LEFT(TH!O5682,3)&lt;&gt;"111",'152-CT'!$J$8=TH!F5682),"x","")</f>
        <v/>
      </c>
      <c r="AC5682" s="79" t="str">
        <f>IF(AND(OR(LEFT(TH!N5682,2)="15",LEFT(TH!O5682,2)="15"),TK!$E$7=TH!F5682),"x","")</f>
        <v/>
      </c>
      <c r="AD5682" s="79" t="str">
        <f>IF(AND(N5682="1521",MONTH(C5682)='BK-NL'!$M$11),"x","")</f>
        <v/>
      </c>
    </row>
    <row r="5683" spans="1:30" ht="16.5" customHeight="1">
      <c r="A5683" s="318" t="str">
        <f>IF(B5683&lt;&gt;"",IF(AND(B5683='IN-TC'!$S$4,OR(TH!N5683="1111",TH!O5683="1111")),TH!D5683,""),"")</f>
        <v/>
      </c>
      <c r="B5683" s="60" t="str">
        <f t="shared" si="509"/>
        <v/>
      </c>
      <c r="C5683" s="61"/>
      <c r="D5683" s="301"/>
      <c r="E5683" s="301"/>
      <c r="F5683" s="446"/>
      <c r="G5683" s="64"/>
      <c r="H5683" s="303"/>
      <c r="I5683" s="385"/>
      <c r="J5683" s="392"/>
      <c r="K5683" s="385"/>
      <c r="L5683" s="392"/>
      <c r="M5683" s="62"/>
      <c r="N5683" s="304"/>
      <c r="O5683" s="63"/>
      <c r="P5683" s="79" t="str">
        <f>IF(AND('331-CT'!$E$7=TH!H5683,OR(N5683="331",O5683="331")),"x","")</f>
        <v/>
      </c>
      <c r="Q5683" s="79" t="str">
        <f>IF(AND(B5683='111'!$L$11,OR($N5683=$Q$7,$O5683=$Q$7)),"x","")</f>
        <v/>
      </c>
      <c r="R5683" s="79" t="str">
        <f>IF(AND($N5683=$Q$7,$B5683&lt;'111'!$L$11),"x","")</f>
        <v/>
      </c>
      <c r="S5683" s="79" t="str">
        <f>IF(AND($O5683=$Q$7,$B5683&lt;'111'!$L$11),"x","")</f>
        <v/>
      </c>
      <c r="T5683" s="79" t="str">
        <f>IF(ISERROR(FIND('112'!$M$9,G5683,1)),"",IF((AND(FIND('112'!$M$9,G5683,1)&gt;=1,B5683='112'!$K$9,OR($N5683='112'!$I$6,$O5683='112'!$I$6))),"x",""))</f>
        <v/>
      </c>
      <c r="U5683" s="79" t="str">
        <f>IF(ISERROR(FIND('112'!$M$9,G5683,1)),"",IF((AND(LEFT(G5683,2)=LEFT('112'!$M$9,2),B5683&lt;'112'!$K$9,$N5683='112'!$I$6)),"x",""))</f>
        <v/>
      </c>
      <c r="V5683" s="79" t="str">
        <f>IF(ISERROR(FIND('112'!$M$9,G5683,1)),"",IF((AND(RIGHT(G5683,2)=RIGHT('112'!$M$9,2),B5683&lt;'112'!$K$9,$O5683='112'!$I$6)),"x",""))</f>
        <v/>
      </c>
      <c r="W5683" s="79" t="str">
        <f>IF(AND('341-CT'!$H$9=H5683,OR(LEFT(N5683,3)=$W$7,LEFT(O5683,3)=$W$7)),"x","")</f>
        <v/>
      </c>
      <c r="X5683" s="79" t="str">
        <f>IF(OR(TH!N5683=TH!$X$7,O5683=TH!$X$7),"x","")</f>
        <v/>
      </c>
      <c r="Y5683" s="79" t="str">
        <f>IF(AND(OR(N5683="131",O5683="131"),H5683='131-CT'!$H$9),"x","")</f>
        <v/>
      </c>
      <c r="Z5683" s="79"/>
      <c r="AA5683" s="79" t="str">
        <f>IF(AND(MONTH(E5683)='IN-NX'!$J$5,'IN-NX'!$D$7=D5683),"x","")</f>
        <v/>
      </c>
      <c r="AB5683" s="79" t="str">
        <f>IF(AND(OR(LEFT(TH!N5683,2)="15",LEFT(TH!O5683,2)="15"),LEFT(TH!O5683,3)&lt;&gt;"111",'152-CT'!$J$8=TH!F5683),"x","")</f>
        <v/>
      </c>
      <c r="AC5683" s="79" t="str">
        <f>IF(AND(OR(LEFT(TH!N5683,2)="15",LEFT(TH!O5683,2)="15"),TK!$E$7=TH!F5683),"x","")</f>
        <v/>
      </c>
      <c r="AD5683" s="79" t="str">
        <f>IF(AND(N5683="1521",MONTH(C5683)='BK-NL'!$M$11),"x","")</f>
        <v/>
      </c>
    </row>
    <row r="5684" spans="1:30" ht="16.5" customHeight="1">
      <c r="A5684" s="318" t="str">
        <f>IF(B5684&lt;&gt;"",IF(AND(B5684='IN-TC'!$S$4,OR(TH!N5684="1111",TH!O5684="1111")),TH!D5684,""),"")</f>
        <v/>
      </c>
      <c r="B5684" s="60" t="str">
        <f t="shared" si="509"/>
        <v/>
      </c>
      <c r="C5684" s="61"/>
      <c r="D5684" s="61"/>
      <c r="E5684" s="61"/>
      <c r="F5684" s="69"/>
      <c r="G5684" s="64"/>
      <c r="H5684" s="69"/>
      <c r="I5684" s="385"/>
      <c r="J5684" s="392"/>
      <c r="K5684" s="385"/>
      <c r="L5684" s="392"/>
      <c r="M5684" s="62"/>
      <c r="N5684" s="63"/>
      <c r="O5684" s="63"/>
      <c r="P5684" s="79" t="str">
        <f>IF(AND('331-CT'!$E$7=TH!H5684,OR(N5684="331",O5684="331")),"x","")</f>
        <v/>
      </c>
      <c r="Q5684" s="79" t="str">
        <f>IF(AND(B5684='111'!$L$11,OR($N5684=$Q$7,$O5684=$Q$7)),"x","")</f>
        <v/>
      </c>
      <c r="R5684" s="79" t="str">
        <f>IF(AND($N5684=$Q$7,$B5684&lt;'111'!$L$11),"x","")</f>
        <v/>
      </c>
      <c r="S5684" s="79" t="str">
        <f>IF(AND($O5684=$Q$7,$B5684&lt;'111'!$L$11),"x","")</f>
        <v/>
      </c>
      <c r="T5684" s="79" t="str">
        <f>IF(ISERROR(FIND('112'!$M$9,G5684,1)),"",IF((AND(FIND('112'!$M$9,G5684,1)&gt;=1,B5684='112'!$K$9,OR($N5684='112'!$I$6,$O5684='112'!$I$6))),"x",""))</f>
        <v/>
      </c>
      <c r="U5684" s="79" t="str">
        <f>IF(ISERROR(FIND('112'!$M$9,G5684,1)),"",IF((AND(LEFT(G5684,2)=LEFT('112'!$M$9,2),B5684&lt;'112'!$K$9,$N5684='112'!$I$6)),"x",""))</f>
        <v/>
      </c>
      <c r="V5684" s="79" t="str">
        <f>IF(ISERROR(FIND('112'!$M$9,G5684,1)),"",IF((AND(RIGHT(G5684,2)=RIGHT('112'!$M$9,2),B5684&lt;'112'!$K$9,$O5684='112'!$I$6)),"x",""))</f>
        <v/>
      </c>
      <c r="W5684" s="79" t="str">
        <f>IF(AND('341-CT'!$H$9=H5684,OR(LEFT(N5684,3)=$W$7,LEFT(O5684,3)=$W$7)),"x","")</f>
        <v/>
      </c>
      <c r="X5684" s="79" t="str">
        <f>IF(OR(TH!N5684=TH!$X$7,O5684=TH!$X$7),"x","")</f>
        <v/>
      </c>
      <c r="Y5684" s="79" t="str">
        <f>IF(AND(OR(N5684="131",O5684="131"),H5684='131-CT'!$H$9),"x","")</f>
        <v/>
      </c>
      <c r="Z5684" s="79"/>
      <c r="AA5684" s="79" t="str">
        <f>IF(AND(MONTH(E5684)='IN-NX'!$J$5,'IN-NX'!$D$7=D5684),"x","")</f>
        <v/>
      </c>
      <c r="AB5684" s="79" t="str">
        <f>IF(AND(OR(LEFT(TH!N5684,2)="15",LEFT(TH!O5684,2)="15"),LEFT(TH!O5684,3)&lt;&gt;"111",'152-CT'!$J$8=TH!F5684),"x","")</f>
        <v/>
      </c>
      <c r="AC5684" s="79" t="str">
        <f>IF(AND(OR(LEFT(TH!N5684,2)="15",LEFT(TH!O5684,2)="15"),TK!$E$7=TH!F5684),"x","")</f>
        <v/>
      </c>
      <c r="AD5684" s="79" t="str">
        <f>IF(AND(N5684="1521",MONTH(C5684)='BK-NL'!$M$11),"x","")</f>
        <v/>
      </c>
    </row>
    <row r="5685" spans="1:30" ht="16.5" customHeight="1">
      <c r="A5685" s="318" t="str">
        <f>IF(B5685&lt;&gt;"",IF(AND(B5685='IN-TC'!$S$4,OR(TH!N5685="1111",TH!O5685="1111")),TH!D5685,""),"")</f>
        <v/>
      </c>
      <c r="B5685" s="60" t="str">
        <f t="shared" si="509"/>
        <v/>
      </c>
      <c r="C5685" s="61"/>
      <c r="D5685" s="61"/>
      <c r="E5685" s="61"/>
      <c r="F5685" s="446"/>
      <c r="G5685" s="766"/>
      <c r="H5685" s="69"/>
      <c r="I5685" s="385"/>
      <c r="J5685" s="392"/>
      <c r="K5685" s="385"/>
      <c r="L5685" s="392"/>
      <c r="M5685" s="62"/>
      <c r="N5685" s="63"/>
      <c r="O5685" s="63"/>
      <c r="P5685" s="79" t="str">
        <f>IF(AND('331-CT'!$E$7=TH!H5685,OR(N5685="331",O5685="331")),"x","")</f>
        <v/>
      </c>
      <c r="Q5685" s="79" t="str">
        <f>IF(AND(B5685='111'!$L$11,OR($N5685=$Q$7,$O5685=$Q$7)),"x","")</f>
        <v/>
      </c>
      <c r="R5685" s="79" t="str">
        <f>IF(AND($N5685=$Q$7,$B5685&lt;'111'!$L$11),"x","")</f>
        <v/>
      </c>
      <c r="S5685" s="79" t="str">
        <f>IF(AND($O5685=$Q$7,$B5685&lt;'111'!$L$11),"x","")</f>
        <v/>
      </c>
      <c r="T5685" s="79" t="str">
        <f>IF(ISERROR(FIND('112'!$M$9,G5685,1)),"",IF((AND(FIND('112'!$M$9,G5685,1)&gt;=1,B5685='112'!$K$9,OR($N5685='112'!$I$6,$O5685='112'!$I$6))),"x",""))</f>
        <v/>
      </c>
      <c r="U5685" s="79" t="str">
        <f>IF(ISERROR(FIND('112'!$M$9,G5685,1)),"",IF((AND(LEFT(G5685,2)=LEFT('112'!$M$9,2),B5685&lt;'112'!$K$9,$N5685='112'!$I$6)),"x",""))</f>
        <v/>
      </c>
      <c r="V5685" s="79" t="str">
        <f>IF(ISERROR(FIND('112'!$M$9,G5685,1)),"",IF((AND(RIGHT(G5685,2)=RIGHT('112'!$M$9,2),B5685&lt;'112'!$K$9,$O5685='112'!$I$6)),"x",""))</f>
        <v/>
      </c>
      <c r="W5685" s="79" t="str">
        <f>IF(AND('341-CT'!$H$9=H5685,OR(LEFT(N5685,3)=$W$7,LEFT(O5685,3)=$W$7)),"x","")</f>
        <v/>
      </c>
      <c r="X5685" s="79" t="str">
        <f>IF(OR(TH!N5685=TH!$X$7,O5685=TH!$X$7),"x","")</f>
        <v/>
      </c>
      <c r="Y5685" s="79" t="str">
        <f>IF(AND(OR(N5685="131",O5685="131"),H5685='131-CT'!$H$9),"x","")</f>
        <v/>
      </c>
      <c r="Z5685" s="79"/>
      <c r="AA5685" s="79" t="str">
        <f>IF(AND(MONTH(E5685)='IN-NX'!$J$5,'IN-NX'!$D$7=D5685),"x","")</f>
        <v/>
      </c>
      <c r="AB5685" s="79" t="str">
        <f>IF(AND(OR(LEFT(TH!N5685,2)="15",LEFT(TH!O5685,2)="15"),LEFT(TH!O5685,3)&lt;&gt;"111",'152-CT'!$J$8=TH!F5685),"x","")</f>
        <v/>
      </c>
      <c r="AC5685" s="79" t="str">
        <f>IF(AND(OR(LEFT(TH!N5685,2)="15",LEFT(TH!O5685,2)="15"),TK!$E$7=TH!F5685),"x","")</f>
        <v/>
      </c>
      <c r="AD5685" s="79" t="str">
        <f>IF(AND(N5685="1521",MONTH(C5685)='BK-NL'!$M$11),"x","")</f>
        <v/>
      </c>
    </row>
    <row r="5686" spans="1:30" ht="16.5" customHeight="1">
      <c r="A5686" s="318" t="str">
        <f>IF(B5686&lt;&gt;"",IF(AND(B5686='IN-TC'!$S$4,OR(TH!N5686="1111",TH!O5686="1111")),TH!D5686,""),"")</f>
        <v/>
      </c>
      <c r="B5686" s="60" t="str">
        <f t="shared" si="509"/>
        <v/>
      </c>
      <c r="C5686" s="61"/>
      <c r="D5686" s="61"/>
      <c r="E5686" s="61"/>
      <c r="F5686" s="446"/>
      <c r="G5686" s="766"/>
      <c r="H5686" s="69"/>
      <c r="I5686" s="385"/>
      <c r="J5686" s="392"/>
      <c r="K5686" s="385"/>
      <c r="L5686" s="392"/>
      <c r="M5686" s="62"/>
      <c r="N5686" s="63"/>
      <c r="O5686" s="63"/>
      <c r="P5686" s="79" t="str">
        <f>IF(AND('331-CT'!$E$7=TH!H5686,OR(N5686="331",O5686="331")),"x","")</f>
        <v/>
      </c>
      <c r="Q5686" s="79" t="str">
        <f>IF(AND(B5686='111'!$L$11,OR($N5686=$Q$7,$O5686=$Q$7)),"x","")</f>
        <v/>
      </c>
      <c r="R5686" s="79" t="str">
        <f>IF(AND($N5686=$Q$7,$B5686&lt;'111'!$L$11),"x","")</f>
        <v/>
      </c>
      <c r="S5686" s="79" t="str">
        <f>IF(AND($O5686=$Q$7,$B5686&lt;'111'!$L$11),"x","")</f>
        <v/>
      </c>
      <c r="T5686" s="79" t="str">
        <f>IF(ISERROR(FIND('112'!$M$9,G5686,1)),"",IF((AND(FIND('112'!$M$9,G5686,1)&gt;=1,B5686='112'!$K$9,OR($N5686='112'!$I$6,$O5686='112'!$I$6))),"x",""))</f>
        <v/>
      </c>
      <c r="U5686" s="79" t="str">
        <f>IF(ISERROR(FIND('112'!$M$9,G5686,1)),"",IF((AND(LEFT(G5686,2)=LEFT('112'!$M$9,2),B5686&lt;'112'!$K$9,$N5686='112'!$I$6)),"x",""))</f>
        <v/>
      </c>
      <c r="V5686" s="79" t="str">
        <f>IF(ISERROR(FIND('112'!$M$9,G5686,1)),"",IF((AND(RIGHT(G5686,2)=RIGHT('112'!$M$9,2),B5686&lt;'112'!$K$9,$O5686='112'!$I$6)),"x",""))</f>
        <v/>
      </c>
      <c r="W5686" s="79" t="str">
        <f>IF(AND('341-CT'!$H$9=H5686,OR(LEFT(N5686,3)=$W$7,LEFT(O5686,3)=$W$7)),"x","")</f>
        <v/>
      </c>
      <c r="X5686" s="79" t="str">
        <f>IF(OR(TH!N5686=TH!$X$7,O5686=TH!$X$7),"x","")</f>
        <v/>
      </c>
      <c r="Y5686" s="79" t="str">
        <f>IF(AND(OR(N5686="131",O5686="131"),H5686='131-CT'!$H$9),"x","")</f>
        <v/>
      </c>
      <c r="Z5686" s="79"/>
      <c r="AA5686" s="79" t="str">
        <f>IF(AND(MONTH(E5686)='IN-NX'!$J$5,'IN-NX'!$D$7=D5686),"x","")</f>
        <v/>
      </c>
      <c r="AB5686" s="79" t="str">
        <f>IF(AND(OR(LEFT(TH!N5686,2)="15",LEFT(TH!O5686,2)="15"),LEFT(TH!O5686,3)&lt;&gt;"111",'152-CT'!$J$8=TH!F5686),"x","")</f>
        <v/>
      </c>
      <c r="AC5686" s="79" t="str">
        <f>IF(AND(OR(LEFT(TH!N5686,2)="15",LEFT(TH!O5686,2)="15"),TK!$E$7=TH!F5686),"x","")</f>
        <v/>
      </c>
      <c r="AD5686" s="79" t="str">
        <f>IF(AND(N5686="1521",MONTH(C5686)='BK-NL'!$M$11),"x","")</f>
        <v/>
      </c>
    </row>
    <row r="5687" spans="1:30" ht="16.5" customHeight="1">
      <c r="A5687" s="318" t="str">
        <f>IF(B5687&lt;&gt;"",IF(AND(B5687='IN-TC'!$S$4,OR(TH!N5687="1111",TH!O5687="1111")),TH!D5687,""),"")</f>
        <v/>
      </c>
      <c r="B5687" s="60" t="str">
        <f t="shared" si="509"/>
        <v/>
      </c>
      <c r="C5687" s="61"/>
      <c r="D5687" s="61"/>
      <c r="E5687" s="61"/>
      <c r="F5687" s="446"/>
      <c r="G5687" s="766"/>
      <c r="H5687" s="69"/>
      <c r="I5687" s="385"/>
      <c r="J5687" s="392"/>
      <c r="K5687" s="385"/>
      <c r="L5687" s="392"/>
      <c r="M5687" s="62"/>
      <c r="N5687" s="63"/>
      <c r="O5687" s="63"/>
      <c r="P5687" s="79" t="str">
        <f>IF(AND('331-CT'!$E$7=TH!H5687,OR(N5687="331",O5687="331")),"x","")</f>
        <v/>
      </c>
      <c r="Q5687" s="79" t="str">
        <f>IF(AND(B5687='111'!$L$11,OR($N5687=$Q$7,$O5687=$Q$7)),"x","")</f>
        <v/>
      </c>
      <c r="R5687" s="79" t="str">
        <f>IF(AND($N5687=$Q$7,$B5687&lt;'111'!$L$11),"x","")</f>
        <v/>
      </c>
      <c r="S5687" s="79" t="str">
        <f>IF(AND($O5687=$Q$7,$B5687&lt;'111'!$L$11),"x","")</f>
        <v/>
      </c>
      <c r="T5687" s="79" t="str">
        <f>IF(ISERROR(FIND('112'!$M$9,G5687,1)),"",IF((AND(FIND('112'!$M$9,G5687,1)&gt;=1,B5687='112'!$K$9,OR($N5687='112'!$I$6,$O5687='112'!$I$6))),"x",""))</f>
        <v/>
      </c>
      <c r="U5687" s="79" t="str">
        <f>IF(ISERROR(FIND('112'!$M$9,G5687,1)),"",IF((AND(LEFT(G5687,2)=LEFT('112'!$M$9,2),B5687&lt;'112'!$K$9,$N5687='112'!$I$6)),"x",""))</f>
        <v/>
      </c>
      <c r="V5687" s="79" t="str">
        <f>IF(ISERROR(FIND('112'!$M$9,G5687,1)),"",IF((AND(RIGHT(G5687,2)=RIGHT('112'!$M$9,2),B5687&lt;'112'!$K$9,$O5687='112'!$I$6)),"x",""))</f>
        <v/>
      </c>
      <c r="W5687" s="79" t="str">
        <f>IF(AND('341-CT'!$H$9=H5687,OR(LEFT(N5687,3)=$W$7,LEFT(O5687,3)=$W$7)),"x","")</f>
        <v/>
      </c>
      <c r="X5687" s="79" t="str">
        <f>IF(OR(TH!N5687=TH!$X$7,O5687=TH!$X$7),"x","")</f>
        <v/>
      </c>
      <c r="Y5687" s="79" t="str">
        <f>IF(AND(OR(N5687="131",O5687="131"),H5687='131-CT'!$H$9),"x","")</f>
        <v/>
      </c>
      <c r="Z5687" s="79"/>
      <c r="AA5687" s="79" t="str">
        <f>IF(AND(MONTH(E5687)='IN-NX'!$J$5,'IN-NX'!$D$7=D5687),"x","")</f>
        <v/>
      </c>
      <c r="AB5687" s="79" t="str">
        <f>IF(AND(OR(LEFT(TH!N5687,2)="15",LEFT(TH!O5687,2)="15"),LEFT(TH!O5687,3)&lt;&gt;"111",'152-CT'!$J$8=TH!F5687),"x","")</f>
        <v/>
      </c>
      <c r="AC5687" s="79" t="str">
        <f>IF(AND(OR(LEFT(TH!N5687,2)="15",LEFT(TH!O5687,2)="15"),TK!$E$7=TH!F5687),"x","")</f>
        <v/>
      </c>
      <c r="AD5687" s="79" t="str">
        <f>IF(AND(N5687="1521",MONTH(C5687)='BK-NL'!$M$11),"x","")</f>
        <v/>
      </c>
    </row>
    <row r="5688" spans="1:30" ht="16.5" customHeight="1">
      <c r="A5688" s="318" t="str">
        <f>IF(B5688&lt;&gt;"",IF(AND(B5688='IN-TC'!$S$4,OR(TH!N5688="1111",TH!O5688="1111")),TH!D5688,""),"")</f>
        <v/>
      </c>
      <c r="B5688" s="60" t="str">
        <f t="shared" si="509"/>
        <v/>
      </c>
      <c r="C5688" s="61"/>
      <c r="D5688" s="61"/>
      <c r="E5688" s="61"/>
      <c r="F5688" s="446"/>
      <c r="G5688" s="766"/>
      <c r="H5688" s="69"/>
      <c r="I5688" s="385"/>
      <c r="J5688" s="392"/>
      <c r="K5688" s="385"/>
      <c r="L5688" s="392"/>
      <c r="M5688" s="62"/>
      <c r="N5688" s="63"/>
      <c r="O5688" s="63"/>
      <c r="P5688" s="79" t="str">
        <f>IF(AND('331-CT'!$E$7=TH!H5688,OR(N5688="331",O5688="331")),"x","")</f>
        <v/>
      </c>
      <c r="Q5688" s="79" t="str">
        <f>IF(AND(B5688='111'!$L$11,OR($N5688=$Q$7,$O5688=$Q$7)),"x","")</f>
        <v/>
      </c>
      <c r="R5688" s="79" t="str">
        <f>IF(AND($N5688=$Q$7,$B5688&lt;'111'!$L$11),"x","")</f>
        <v/>
      </c>
      <c r="S5688" s="79" t="str">
        <f>IF(AND($O5688=$Q$7,$B5688&lt;'111'!$L$11),"x","")</f>
        <v/>
      </c>
      <c r="T5688" s="79" t="str">
        <f>IF(ISERROR(FIND('112'!$M$9,G5688,1)),"",IF((AND(FIND('112'!$M$9,G5688,1)&gt;=1,B5688='112'!$K$9,OR($N5688='112'!$I$6,$O5688='112'!$I$6))),"x",""))</f>
        <v/>
      </c>
      <c r="U5688" s="79" t="str">
        <f>IF(ISERROR(FIND('112'!$M$9,G5688,1)),"",IF((AND(LEFT(G5688,2)=LEFT('112'!$M$9,2),B5688&lt;'112'!$K$9,$N5688='112'!$I$6)),"x",""))</f>
        <v/>
      </c>
      <c r="V5688" s="79" t="str">
        <f>IF(ISERROR(FIND('112'!$M$9,G5688,1)),"",IF((AND(RIGHT(G5688,2)=RIGHT('112'!$M$9,2),B5688&lt;'112'!$K$9,$O5688='112'!$I$6)),"x",""))</f>
        <v/>
      </c>
      <c r="W5688" s="79" t="str">
        <f>IF(AND('341-CT'!$H$9=H5688,OR(LEFT(N5688,3)=$W$7,LEFT(O5688,3)=$W$7)),"x","")</f>
        <v/>
      </c>
      <c r="X5688" s="79" t="str">
        <f>IF(OR(TH!N5688=TH!$X$7,O5688=TH!$X$7),"x","")</f>
        <v/>
      </c>
      <c r="Y5688" s="79" t="str">
        <f>IF(AND(OR(N5688="131",O5688="131"),H5688='131-CT'!$H$9),"x","")</f>
        <v/>
      </c>
      <c r="Z5688" s="79"/>
      <c r="AA5688" s="79" t="str">
        <f>IF(AND(MONTH(E5688)='IN-NX'!$J$5,'IN-NX'!$D$7=D5688),"x","")</f>
        <v/>
      </c>
      <c r="AB5688" s="79" t="str">
        <f>IF(AND(OR(LEFT(TH!N5688,2)="15",LEFT(TH!O5688,2)="15"),LEFT(TH!O5688,3)&lt;&gt;"111",'152-CT'!$J$8=TH!F5688),"x","")</f>
        <v/>
      </c>
      <c r="AC5688" s="79" t="str">
        <f>IF(AND(OR(LEFT(TH!N5688,2)="15",LEFT(TH!O5688,2)="15"),TK!$E$7=TH!F5688),"x","")</f>
        <v/>
      </c>
      <c r="AD5688" s="79" t="str">
        <f>IF(AND(N5688="1521",MONTH(C5688)='BK-NL'!$M$11),"x","")</f>
        <v/>
      </c>
    </row>
    <row r="5689" spans="1:30" ht="16.5" customHeight="1">
      <c r="A5689" s="318" t="str">
        <f>IF(B5689&lt;&gt;"",IF(AND(B5689='IN-TC'!$S$4,OR(TH!N5689="1111",TH!O5689="1111")),TH!D5689,""),"")</f>
        <v/>
      </c>
      <c r="B5689" s="60" t="str">
        <f t="shared" si="509"/>
        <v/>
      </c>
      <c r="C5689" s="61"/>
      <c r="D5689" s="61"/>
      <c r="E5689" s="61"/>
      <c r="F5689" s="446"/>
      <c r="G5689" s="64"/>
      <c r="H5689" s="69"/>
      <c r="I5689" s="385"/>
      <c r="J5689" s="392"/>
      <c r="K5689" s="385"/>
      <c r="L5689" s="392"/>
      <c r="M5689" s="62"/>
      <c r="N5689" s="63"/>
      <c r="O5689" s="63"/>
      <c r="P5689" s="79" t="str">
        <f>IF(AND('331-CT'!$E$7=TH!H5689,OR(N5689="331",O5689="331")),"x","")</f>
        <v/>
      </c>
      <c r="Q5689" s="79" t="str">
        <f>IF(AND(B5689='111'!$L$11,OR($N5689=$Q$7,$O5689=$Q$7)),"x","")</f>
        <v/>
      </c>
      <c r="R5689" s="79" t="str">
        <f>IF(AND($N5689=$Q$7,$B5689&lt;'111'!$L$11),"x","")</f>
        <v/>
      </c>
      <c r="S5689" s="79" t="str">
        <f>IF(AND($O5689=$Q$7,$B5689&lt;'111'!$L$11),"x","")</f>
        <v/>
      </c>
      <c r="T5689" s="79" t="str">
        <f>IF(ISERROR(FIND('112'!$M$9,G5689,1)),"",IF((AND(FIND('112'!$M$9,G5689,1)&gt;=1,B5689='112'!$K$9,OR($N5689='112'!$I$6,$O5689='112'!$I$6))),"x",""))</f>
        <v/>
      </c>
      <c r="U5689" s="79" t="str">
        <f>IF(ISERROR(FIND('112'!$M$9,G5689,1)),"",IF((AND(LEFT(G5689,2)=LEFT('112'!$M$9,2),B5689&lt;'112'!$K$9,$N5689='112'!$I$6)),"x",""))</f>
        <v/>
      </c>
      <c r="V5689" s="79" t="str">
        <f>IF(ISERROR(FIND('112'!$M$9,G5689,1)),"",IF((AND(RIGHT(G5689,2)=RIGHT('112'!$M$9,2),B5689&lt;'112'!$K$9,$O5689='112'!$I$6)),"x",""))</f>
        <v/>
      </c>
      <c r="W5689" s="79" t="str">
        <f>IF(AND('341-CT'!$H$9=H5689,OR(LEFT(N5689,3)=$W$7,LEFT(O5689,3)=$W$7)),"x","")</f>
        <v/>
      </c>
      <c r="X5689" s="79" t="str">
        <f>IF(OR(TH!N5689=TH!$X$7,O5689=TH!$X$7),"x","")</f>
        <v/>
      </c>
      <c r="Y5689" s="79" t="str">
        <f>IF(AND(OR(N5689="131",O5689="131"),H5689='131-CT'!$H$9),"x","")</f>
        <v/>
      </c>
      <c r="Z5689" s="79"/>
      <c r="AA5689" s="79" t="str">
        <f>IF(AND(MONTH(E5689)='IN-NX'!$J$5,'IN-NX'!$D$7=D5689),"x","")</f>
        <v/>
      </c>
      <c r="AB5689" s="79" t="str">
        <f>IF(AND(OR(LEFT(TH!N5689,2)="15",LEFT(TH!O5689,2)="15"),LEFT(TH!O5689,3)&lt;&gt;"111",'152-CT'!$J$8=TH!F5689),"x","")</f>
        <v/>
      </c>
      <c r="AC5689" s="79" t="str">
        <f>IF(AND(OR(LEFT(TH!N5689,2)="15",LEFT(TH!O5689,2)="15"),TK!$E$7=TH!F5689),"x","")</f>
        <v/>
      </c>
      <c r="AD5689" s="79" t="str">
        <f>IF(AND(N5689="1521",MONTH(C5689)='BK-NL'!$M$11),"x","")</f>
        <v/>
      </c>
    </row>
    <row r="5690" spans="1:30" ht="16.5" customHeight="1">
      <c r="A5690" s="318" t="str">
        <f>IF(B5690&lt;&gt;"",IF(AND(B5690='IN-TC'!$S$4,OR(TH!N5690="1111",TH!O5690="1111")),TH!D5690,""),"")</f>
        <v/>
      </c>
      <c r="B5690" s="60" t="str">
        <f t="shared" si="509"/>
        <v/>
      </c>
      <c r="C5690" s="61"/>
      <c r="D5690" s="61"/>
      <c r="E5690" s="61"/>
      <c r="F5690" s="69"/>
      <c r="G5690" s="64"/>
      <c r="H5690" s="69"/>
      <c r="I5690" s="385"/>
      <c r="J5690" s="392"/>
      <c r="K5690" s="385"/>
      <c r="L5690" s="392"/>
      <c r="M5690" s="62"/>
      <c r="N5690" s="63"/>
      <c r="O5690" s="63"/>
      <c r="P5690" s="79" t="str">
        <f>IF(AND('331-CT'!$E$7=TH!H5690,OR(N5690="331",O5690="331")),"x","")</f>
        <v/>
      </c>
      <c r="Q5690" s="79" t="str">
        <f>IF(AND(B5690='111'!$L$11,OR($N5690=$Q$7,$O5690=$Q$7)),"x","")</f>
        <v/>
      </c>
      <c r="R5690" s="79" t="str">
        <f>IF(AND($N5690=$Q$7,$B5690&lt;'111'!$L$11),"x","")</f>
        <v/>
      </c>
      <c r="S5690" s="79" t="str">
        <f>IF(AND($O5690=$Q$7,$B5690&lt;'111'!$L$11),"x","")</f>
        <v/>
      </c>
      <c r="T5690" s="79" t="str">
        <f>IF(ISERROR(FIND('112'!$M$9,G5690,1)),"",IF((AND(FIND('112'!$M$9,G5690,1)&gt;=1,B5690='112'!$K$9,OR($N5690='112'!$I$6,$O5690='112'!$I$6))),"x",""))</f>
        <v/>
      </c>
      <c r="U5690" s="79" t="str">
        <f>IF(ISERROR(FIND('112'!$M$9,G5690,1)),"",IF((AND(LEFT(G5690,2)=LEFT('112'!$M$9,2),B5690&lt;'112'!$K$9,$N5690='112'!$I$6)),"x",""))</f>
        <v/>
      </c>
      <c r="V5690" s="79" t="str">
        <f>IF(ISERROR(FIND('112'!$M$9,G5690,1)),"",IF((AND(RIGHT(G5690,2)=RIGHT('112'!$M$9,2),B5690&lt;'112'!$K$9,$O5690='112'!$I$6)),"x",""))</f>
        <v/>
      </c>
      <c r="W5690" s="79" t="str">
        <f>IF(AND('341-CT'!$H$9=H5690,OR(LEFT(N5690,3)=$W$7,LEFT(O5690,3)=$W$7)),"x","")</f>
        <v/>
      </c>
      <c r="X5690" s="79" t="str">
        <f>IF(OR(TH!N5690=TH!$X$7,O5690=TH!$X$7),"x","")</f>
        <v/>
      </c>
      <c r="Y5690" s="79" t="str">
        <f>IF(AND(OR(N5690="131",O5690="131"),H5690='131-CT'!$H$9),"x","")</f>
        <v/>
      </c>
      <c r="Z5690" s="79"/>
      <c r="AA5690" s="79" t="str">
        <f>IF(AND(MONTH(E5690)='IN-NX'!$J$5,'IN-NX'!$D$7=D5690),"x","")</f>
        <v/>
      </c>
      <c r="AB5690" s="79" t="str">
        <f>IF(AND(OR(LEFT(TH!N5690,2)="15",LEFT(TH!O5690,2)="15"),LEFT(TH!O5690,3)&lt;&gt;"111",'152-CT'!$J$8=TH!F5690),"x","")</f>
        <v/>
      </c>
      <c r="AC5690" s="79" t="str">
        <f>IF(AND(OR(LEFT(TH!N5690,2)="15",LEFT(TH!O5690,2)="15"),TK!$E$7=TH!F5690),"x","")</f>
        <v/>
      </c>
      <c r="AD5690" s="79" t="str">
        <f>IF(AND(N5690="1521",MONTH(C5690)='BK-NL'!$M$11),"x","")</f>
        <v/>
      </c>
    </row>
    <row r="5691" spans="1:30" ht="16.5" customHeight="1">
      <c r="A5691" s="318" t="str">
        <f>IF(B5691&lt;&gt;"",IF(AND(B5691='IN-TC'!$S$4,OR(TH!N5691="1111",TH!O5691="1111")),TH!D5691,""),"")</f>
        <v/>
      </c>
      <c r="B5691" s="60" t="str">
        <f t="shared" si="509"/>
        <v/>
      </c>
      <c r="C5691" s="61"/>
      <c r="D5691" s="61"/>
      <c r="E5691" s="61"/>
      <c r="F5691" s="446"/>
      <c r="G5691" s="64"/>
      <c r="H5691" s="321"/>
      <c r="I5691" s="385"/>
      <c r="J5691" s="392"/>
      <c r="K5691" s="385"/>
      <c r="L5691" s="392"/>
      <c r="M5691" s="62"/>
      <c r="N5691" s="63"/>
      <c r="O5691" s="63"/>
      <c r="P5691" s="79" t="str">
        <f>IF(AND('331-CT'!$E$7=TH!H5691,OR(N5691="331",O5691="331")),"x","")</f>
        <v/>
      </c>
      <c r="Q5691" s="79" t="str">
        <f>IF(AND(B5691='111'!$L$11,OR($N5691=$Q$7,$O5691=$Q$7)),"x","")</f>
        <v/>
      </c>
      <c r="R5691" s="79" t="str">
        <f>IF(AND($N5691=$Q$7,$B5691&lt;'111'!$L$11),"x","")</f>
        <v/>
      </c>
      <c r="S5691" s="79" t="str">
        <f>IF(AND($O5691=$Q$7,$B5691&lt;'111'!$L$11),"x","")</f>
        <v/>
      </c>
      <c r="T5691" s="79" t="str">
        <f>IF(ISERROR(FIND('112'!$M$9,G5691,1)),"",IF((AND(FIND('112'!$M$9,G5691,1)&gt;=1,B5691='112'!$K$9,OR($N5691='112'!$I$6,$O5691='112'!$I$6))),"x",""))</f>
        <v/>
      </c>
      <c r="U5691" s="79" t="str">
        <f>IF(ISERROR(FIND('112'!$M$9,G5691,1)),"",IF((AND(LEFT(G5691,2)=LEFT('112'!$M$9,2),B5691&lt;'112'!$K$9,$N5691='112'!$I$6)),"x",""))</f>
        <v/>
      </c>
      <c r="V5691" s="79" t="str">
        <f>IF(ISERROR(FIND('112'!$M$9,G5691,1)),"",IF((AND(RIGHT(G5691,2)=RIGHT('112'!$M$9,2),B5691&lt;'112'!$K$9,$O5691='112'!$I$6)),"x",""))</f>
        <v/>
      </c>
      <c r="W5691" s="79" t="str">
        <f>IF(AND('341-CT'!$H$9=H5691,OR(LEFT(N5691,3)=$W$7,LEFT(O5691,3)=$W$7)),"x","")</f>
        <v/>
      </c>
      <c r="X5691" s="79" t="str">
        <f>IF(OR(TH!N5691=TH!$X$7,O5691=TH!$X$7),"x","")</f>
        <v/>
      </c>
      <c r="Y5691" s="79" t="str">
        <f>IF(AND(OR(N5691="131",O5691="131"),H5691='131-CT'!$H$9),"x","")</f>
        <v/>
      </c>
      <c r="Z5691" s="79"/>
      <c r="AA5691" s="79" t="str">
        <f>IF(AND(MONTH(E5691)='IN-NX'!$J$5,'IN-NX'!$D$7=D5691),"x","")</f>
        <v/>
      </c>
      <c r="AB5691" s="79" t="str">
        <f>IF(AND(OR(LEFT(TH!N5691,2)="15",LEFT(TH!O5691,2)="15"),LEFT(TH!O5691,3)&lt;&gt;"111",'152-CT'!$J$8=TH!F5691),"x","")</f>
        <v/>
      </c>
      <c r="AC5691" s="79" t="str">
        <f>IF(AND(OR(LEFT(TH!N5691,2)="15",LEFT(TH!O5691,2)="15"),TK!$E$7=TH!F5691),"x","")</f>
        <v/>
      </c>
      <c r="AD5691" s="79" t="str">
        <f>IF(AND(N5691="1521",MONTH(C5691)='BK-NL'!$M$11),"x","")</f>
        <v/>
      </c>
    </row>
    <row r="5692" spans="1:30" ht="16.5" customHeight="1">
      <c r="A5692" s="318" t="str">
        <f>IF(B5692&lt;&gt;"",IF(AND(B5692='IN-TC'!$S$4,OR(TH!N5692="1111",TH!O5692="1111")),TH!D5692,""),"")</f>
        <v/>
      </c>
      <c r="B5692" s="60" t="str">
        <f t="shared" si="509"/>
        <v/>
      </c>
      <c r="C5692" s="61"/>
      <c r="D5692" s="61"/>
      <c r="E5692" s="61"/>
      <c r="F5692" s="446"/>
      <c r="G5692" s="64"/>
      <c r="H5692" s="69"/>
      <c r="I5692" s="385"/>
      <c r="J5692" s="392"/>
      <c r="K5692" s="385"/>
      <c r="L5692" s="392"/>
      <c r="M5692" s="62"/>
      <c r="N5692" s="63"/>
      <c r="O5692" s="63"/>
      <c r="P5692" s="79" t="str">
        <f>IF(AND('331-CT'!$E$7=TH!H5692,OR(N5692="331",O5692="331")),"x","")</f>
        <v/>
      </c>
      <c r="Q5692" s="79" t="str">
        <f>IF(AND(B5692='111'!$L$11,OR($N5692=$Q$7,$O5692=$Q$7)),"x","")</f>
        <v/>
      </c>
      <c r="R5692" s="79" t="str">
        <f>IF(AND($N5692=$Q$7,$B5692&lt;'111'!$L$11),"x","")</f>
        <v/>
      </c>
      <c r="S5692" s="79" t="str">
        <f>IF(AND($O5692=$Q$7,$B5692&lt;'111'!$L$11),"x","")</f>
        <v/>
      </c>
      <c r="T5692" s="79" t="str">
        <f>IF(ISERROR(FIND('112'!$M$9,G5692,1)),"",IF((AND(FIND('112'!$M$9,G5692,1)&gt;=1,B5692='112'!$K$9,OR($N5692='112'!$I$6,$O5692='112'!$I$6))),"x",""))</f>
        <v/>
      </c>
      <c r="U5692" s="79" t="str">
        <f>IF(ISERROR(FIND('112'!$M$9,G5692,1)),"",IF((AND(LEFT(G5692,2)=LEFT('112'!$M$9,2),B5692&lt;'112'!$K$9,$N5692='112'!$I$6)),"x",""))</f>
        <v/>
      </c>
      <c r="V5692" s="79" t="str">
        <f>IF(ISERROR(FIND('112'!$M$9,G5692,1)),"",IF((AND(RIGHT(G5692,2)=RIGHT('112'!$M$9,2),B5692&lt;'112'!$K$9,$O5692='112'!$I$6)),"x",""))</f>
        <v/>
      </c>
      <c r="W5692" s="79" t="str">
        <f>IF(AND('341-CT'!$H$9=H5692,OR(LEFT(N5692,3)=$W$7,LEFT(O5692,3)=$W$7)),"x","")</f>
        <v/>
      </c>
      <c r="X5692" s="79" t="str">
        <f>IF(OR(TH!N5692=TH!$X$7,O5692=TH!$X$7),"x","")</f>
        <v/>
      </c>
      <c r="Y5692" s="79" t="str">
        <f>IF(AND(OR(N5692="131",O5692="131"),H5692='131-CT'!$H$9),"x","")</f>
        <v/>
      </c>
      <c r="Z5692" s="79"/>
      <c r="AA5692" s="79" t="str">
        <f>IF(AND(MONTH(E5692)='IN-NX'!$J$5,'IN-NX'!$D$7=D5692),"x","")</f>
        <v/>
      </c>
      <c r="AB5692" s="79" t="str">
        <f>IF(AND(OR(LEFT(TH!N5692,2)="15",LEFT(TH!O5692,2)="15"),LEFT(TH!O5692,3)&lt;&gt;"111",'152-CT'!$J$8=TH!F5692),"x","")</f>
        <v/>
      </c>
      <c r="AC5692" s="79" t="str">
        <f>IF(AND(OR(LEFT(TH!N5692,2)="15",LEFT(TH!O5692,2)="15"),TK!$E$7=TH!F5692),"x","")</f>
        <v/>
      </c>
      <c r="AD5692" s="79" t="str">
        <f>IF(AND(N5692="1521",MONTH(C5692)='BK-NL'!$M$11),"x","")</f>
        <v/>
      </c>
    </row>
    <row r="5693" spans="1:30" ht="16.5" customHeight="1">
      <c r="A5693" s="318" t="str">
        <f>IF(B5693&lt;&gt;"",IF(AND(B5693='IN-TC'!$S$4,OR(TH!N5693="1111",TH!O5693="1111")),TH!D5693,""),"")</f>
        <v/>
      </c>
      <c r="B5693" s="60" t="str">
        <f t="shared" si="509"/>
        <v/>
      </c>
      <c r="C5693" s="61"/>
      <c r="D5693" s="61"/>
      <c r="E5693" s="61"/>
      <c r="F5693" s="446"/>
      <c r="G5693" s="64"/>
      <c r="H5693" s="69"/>
      <c r="I5693" s="385"/>
      <c r="J5693" s="392"/>
      <c r="K5693" s="385"/>
      <c r="L5693" s="392"/>
      <c r="M5693" s="62"/>
      <c r="N5693" s="63"/>
      <c r="O5693" s="63"/>
      <c r="P5693" s="79" t="str">
        <f>IF(AND('331-CT'!$E$7=TH!H5693,OR(N5693="331",O5693="331")),"x","")</f>
        <v/>
      </c>
      <c r="Q5693" s="79" t="str">
        <f>IF(AND(B5693='111'!$L$11,OR($N5693=$Q$7,$O5693=$Q$7)),"x","")</f>
        <v/>
      </c>
      <c r="R5693" s="79" t="str">
        <f>IF(AND($N5693=$Q$7,$B5693&lt;'111'!$L$11),"x","")</f>
        <v/>
      </c>
      <c r="S5693" s="79" t="str">
        <f>IF(AND($O5693=$Q$7,$B5693&lt;'111'!$L$11),"x","")</f>
        <v/>
      </c>
      <c r="T5693" s="79" t="str">
        <f>IF(ISERROR(FIND('112'!$M$9,G5693,1)),"",IF((AND(FIND('112'!$M$9,G5693,1)&gt;=1,B5693='112'!$K$9,OR($N5693='112'!$I$6,$O5693='112'!$I$6))),"x",""))</f>
        <v/>
      </c>
      <c r="U5693" s="79" t="str">
        <f>IF(ISERROR(FIND('112'!$M$9,G5693,1)),"",IF((AND(LEFT(G5693,2)=LEFT('112'!$M$9,2),B5693&lt;'112'!$K$9,$N5693='112'!$I$6)),"x",""))</f>
        <v/>
      </c>
      <c r="V5693" s="79" t="str">
        <f>IF(ISERROR(FIND('112'!$M$9,G5693,1)),"",IF((AND(RIGHT(G5693,2)=RIGHT('112'!$M$9,2),B5693&lt;'112'!$K$9,$O5693='112'!$I$6)),"x",""))</f>
        <v/>
      </c>
      <c r="W5693" s="79" t="str">
        <f>IF(AND('341-CT'!$H$9=H5693,OR(LEFT(N5693,3)=$W$7,LEFT(O5693,3)=$W$7)),"x","")</f>
        <v/>
      </c>
      <c r="X5693" s="79" t="str">
        <f>IF(OR(TH!N5693=TH!$X$7,O5693=TH!$X$7),"x","")</f>
        <v/>
      </c>
      <c r="Y5693" s="79" t="str">
        <f>IF(AND(OR(N5693="131",O5693="131"),H5693='131-CT'!$H$9),"x","")</f>
        <v/>
      </c>
      <c r="Z5693" s="79"/>
      <c r="AA5693" s="79" t="str">
        <f>IF(AND(MONTH(E5693)='IN-NX'!$J$5,'IN-NX'!$D$7=D5693),"x","")</f>
        <v/>
      </c>
      <c r="AB5693" s="79" t="str">
        <f>IF(AND(OR(LEFT(TH!N5693,2)="15",LEFT(TH!O5693,2)="15"),LEFT(TH!O5693,3)&lt;&gt;"111",'152-CT'!$J$8=TH!F5693),"x","")</f>
        <v/>
      </c>
      <c r="AC5693" s="79" t="str">
        <f>IF(AND(OR(LEFT(TH!N5693,2)="15",LEFT(TH!O5693,2)="15"),TK!$E$7=TH!F5693),"x","")</f>
        <v/>
      </c>
      <c r="AD5693" s="79" t="str">
        <f>IF(AND(N5693="1521",MONTH(C5693)='BK-NL'!$M$11),"x","")</f>
        <v/>
      </c>
    </row>
    <row r="5694" spans="1:30" ht="16.5" customHeight="1">
      <c r="A5694" s="318" t="str">
        <f>IF(B5694&lt;&gt;"",IF(AND(B5694='IN-TC'!$S$4,OR(TH!N5694="1111",TH!O5694="1111")),TH!D5694,""),"")</f>
        <v/>
      </c>
      <c r="B5694" s="60" t="str">
        <f t="shared" si="509"/>
        <v/>
      </c>
      <c r="C5694" s="61"/>
      <c r="D5694" s="61"/>
      <c r="E5694" s="61"/>
      <c r="F5694" s="446"/>
      <c r="G5694" s="64"/>
      <c r="H5694" s="321"/>
      <c r="I5694" s="385"/>
      <c r="J5694" s="392"/>
      <c r="K5694" s="385"/>
      <c r="L5694" s="392"/>
      <c r="M5694" s="62"/>
      <c r="N5694" s="63"/>
      <c r="O5694" s="63"/>
      <c r="P5694" s="79" t="str">
        <f>IF(AND('331-CT'!$E$7=TH!H5694,OR(N5694="331",O5694="331")),"x","")</f>
        <v/>
      </c>
      <c r="Q5694" s="79" t="str">
        <f>IF(AND(B5694='111'!$L$11,OR($N5694=$Q$7,$O5694=$Q$7)),"x","")</f>
        <v/>
      </c>
      <c r="R5694" s="79" t="str">
        <f>IF(AND($N5694=$Q$7,$B5694&lt;'111'!$L$11),"x","")</f>
        <v/>
      </c>
      <c r="S5694" s="79" t="str">
        <f>IF(AND($O5694=$Q$7,$B5694&lt;'111'!$L$11),"x","")</f>
        <v/>
      </c>
      <c r="T5694" s="79" t="str">
        <f>IF(ISERROR(FIND('112'!$M$9,G5694,1)),"",IF((AND(FIND('112'!$M$9,G5694,1)&gt;=1,B5694='112'!$K$9,OR($N5694='112'!$I$6,$O5694='112'!$I$6))),"x",""))</f>
        <v/>
      </c>
      <c r="U5694" s="79" t="str">
        <f>IF(ISERROR(FIND('112'!$M$9,G5694,1)),"",IF((AND(LEFT(G5694,2)=LEFT('112'!$M$9,2),B5694&lt;'112'!$K$9,$N5694='112'!$I$6)),"x",""))</f>
        <v/>
      </c>
      <c r="V5694" s="79" t="str">
        <f>IF(ISERROR(FIND('112'!$M$9,G5694,1)),"",IF((AND(RIGHT(G5694,2)=RIGHT('112'!$M$9,2),B5694&lt;'112'!$K$9,$O5694='112'!$I$6)),"x",""))</f>
        <v/>
      </c>
      <c r="W5694" s="79" t="str">
        <f>IF(AND('341-CT'!$H$9=H5694,OR(LEFT(N5694,3)=$W$7,LEFT(O5694,3)=$W$7)),"x","")</f>
        <v/>
      </c>
      <c r="X5694" s="79" t="str">
        <f>IF(OR(TH!N5694=TH!$X$7,O5694=TH!$X$7),"x","")</f>
        <v/>
      </c>
      <c r="Y5694" s="79" t="str">
        <f>IF(AND(OR(N5694="131",O5694="131"),H5694='131-CT'!$H$9),"x","")</f>
        <v/>
      </c>
      <c r="Z5694" s="79"/>
      <c r="AA5694" s="79" t="str">
        <f>IF(AND(MONTH(E5694)='IN-NX'!$J$5,'IN-NX'!$D$7=D5694),"x","")</f>
        <v/>
      </c>
      <c r="AB5694" s="79" t="str">
        <f>IF(AND(OR(LEFT(TH!N5694,2)="15",LEFT(TH!O5694,2)="15"),LEFT(TH!O5694,3)&lt;&gt;"111",'152-CT'!$J$8=TH!F5694),"x","")</f>
        <v/>
      </c>
      <c r="AC5694" s="79" t="str">
        <f>IF(AND(OR(LEFT(TH!N5694,2)="15",LEFT(TH!O5694,2)="15"),TK!$E$7=TH!F5694),"x","")</f>
        <v/>
      </c>
      <c r="AD5694" s="79" t="str">
        <f>IF(AND(N5694="1521",MONTH(C5694)='BK-NL'!$M$11),"x","")</f>
        <v/>
      </c>
    </row>
    <row r="5695" spans="1:30" ht="16.5" customHeight="1">
      <c r="A5695" s="318" t="str">
        <f>IF(B5695&lt;&gt;"",IF(AND(B5695='IN-TC'!$S$4,OR(TH!N5695="1111",TH!O5695="1111")),TH!D5695,""),"")</f>
        <v/>
      </c>
      <c r="B5695" s="60" t="str">
        <f t="shared" si="509"/>
        <v/>
      </c>
      <c r="C5695" s="61"/>
      <c r="D5695" s="61"/>
      <c r="E5695" s="61"/>
      <c r="F5695" s="446"/>
      <c r="G5695" s="64"/>
      <c r="H5695" s="69"/>
      <c r="I5695" s="385"/>
      <c r="J5695" s="392"/>
      <c r="K5695" s="385"/>
      <c r="L5695" s="392"/>
      <c r="M5695" s="62"/>
      <c r="N5695" s="63"/>
      <c r="O5695" s="63"/>
      <c r="P5695" s="79" t="str">
        <f>IF(AND('331-CT'!$E$7=TH!H5695,OR(N5695="331",O5695="331")),"x","")</f>
        <v/>
      </c>
      <c r="Q5695" s="79" t="str">
        <f>IF(AND(B5695='111'!$L$11,OR($N5695=$Q$7,$O5695=$Q$7)),"x","")</f>
        <v/>
      </c>
      <c r="R5695" s="79" t="str">
        <f>IF(AND($N5695=$Q$7,$B5695&lt;'111'!$L$11),"x","")</f>
        <v/>
      </c>
      <c r="S5695" s="79" t="str">
        <f>IF(AND($O5695=$Q$7,$B5695&lt;'111'!$L$11),"x","")</f>
        <v/>
      </c>
      <c r="T5695" s="79" t="str">
        <f>IF(ISERROR(FIND('112'!$M$9,G5695,1)),"",IF((AND(FIND('112'!$M$9,G5695,1)&gt;=1,B5695='112'!$K$9,OR($N5695='112'!$I$6,$O5695='112'!$I$6))),"x",""))</f>
        <v/>
      </c>
      <c r="U5695" s="79" t="str">
        <f>IF(ISERROR(FIND('112'!$M$9,G5695,1)),"",IF((AND(LEFT(G5695,2)=LEFT('112'!$M$9,2),B5695&lt;'112'!$K$9,$N5695='112'!$I$6)),"x",""))</f>
        <v/>
      </c>
      <c r="V5695" s="79" t="str">
        <f>IF(ISERROR(FIND('112'!$M$9,G5695,1)),"",IF((AND(RIGHT(G5695,2)=RIGHT('112'!$M$9,2),B5695&lt;'112'!$K$9,$O5695='112'!$I$6)),"x",""))</f>
        <v/>
      </c>
      <c r="W5695" s="79" t="str">
        <f>IF(AND('341-CT'!$H$9=H5695,OR(LEFT(N5695,3)=$W$7,LEFT(O5695,3)=$W$7)),"x","")</f>
        <v/>
      </c>
      <c r="X5695" s="79" t="str">
        <f>IF(OR(TH!N5695=TH!$X$7,O5695=TH!$X$7),"x","")</f>
        <v/>
      </c>
      <c r="Y5695" s="79" t="str">
        <f>IF(AND(OR(N5695="131",O5695="131"),H5695='131-CT'!$H$9),"x","")</f>
        <v/>
      </c>
      <c r="Z5695" s="79"/>
      <c r="AA5695" s="79" t="str">
        <f>IF(AND(MONTH(E5695)='IN-NX'!$J$5,'IN-NX'!$D$7=D5695),"x","")</f>
        <v/>
      </c>
      <c r="AB5695" s="79" t="str">
        <f>IF(AND(OR(LEFT(TH!N5695,2)="15",LEFT(TH!O5695,2)="15"),LEFT(TH!O5695,3)&lt;&gt;"111",'152-CT'!$J$8=TH!F5695),"x","")</f>
        <v/>
      </c>
      <c r="AC5695" s="79" t="str">
        <f>IF(AND(OR(LEFT(TH!N5695,2)="15",LEFT(TH!O5695,2)="15"),TK!$E$7=TH!F5695),"x","")</f>
        <v/>
      </c>
      <c r="AD5695" s="79" t="str">
        <f>IF(AND(N5695="1521",MONTH(C5695)='BK-NL'!$M$11),"x","")</f>
        <v/>
      </c>
    </row>
    <row r="5696" spans="1:30" ht="16.5" customHeight="1">
      <c r="A5696" s="318" t="str">
        <f>IF(B5696&lt;&gt;"",IF(AND(B5696='IN-TC'!$S$4,OR(TH!N5696="1111",TH!O5696="1111")),TH!D5696,""),"")</f>
        <v/>
      </c>
      <c r="B5696" s="60" t="str">
        <f t="shared" si="509"/>
        <v/>
      </c>
      <c r="C5696" s="61"/>
      <c r="D5696" s="61"/>
      <c r="E5696" s="61"/>
      <c r="F5696" s="446"/>
      <c r="G5696" s="64"/>
      <c r="H5696" s="69"/>
      <c r="I5696" s="385"/>
      <c r="J5696" s="392"/>
      <c r="K5696" s="385"/>
      <c r="L5696" s="392"/>
      <c r="M5696" s="62"/>
      <c r="N5696" s="63"/>
      <c r="O5696" s="63"/>
      <c r="P5696" s="79" t="str">
        <f>IF(AND('331-CT'!$E$7=TH!H5696,OR(N5696="331",O5696="331")),"x","")</f>
        <v/>
      </c>
      <c r="Q5696" s="79" t="str">
        <f>IF(AND(B5696='111'!$L$11,OR($N5696=$Q$7,$O5696=$Q$7)),"x","")</f>
        <v/>
      </c>
      <c r="R5696" s="79" t="str">
        <f>IF(AND($N5696=$Q$7,$B5696&lt;'111'!$L$11),"x","")</f>
        <v/>
      </c>
      <c r="S5696" s="79" t="str">
        <f>IF(AND($O5696=$Q$7,$B5696&lt;'111'!$L$11),"x","")</f>
        <v/>
      </c>
      <c r="T5696" s="79" t="str">
        <f>IF(ISERROR(FIND('112'!$M$9,G5696,1)),"",IF((AND(FIND('112'!$M$9,G5696,1)&gt;=1,B5696='112'!$K$9,OR($N5696='112'!$I$6,$O5696='112'!$I$6))),"x",""))</f>
        <v/>
      </c>
      <c r="U5696" s="79" t="str">
        <f>IF(ISERROR(FIND('112'!$M$9,G5696,1)),"",IF((AND(LEFT(G5696,2)=LEFT('112'!$M$9,2),B5696&lt;'112'!$K$9,$N5696='112'!$I$6)),"x",""))</f>
        <v/>
      </c>
      <c r="V5696" s="79" t="str">
        <f>IF(ISERROR(FIND('112'!$M$9,G5696,1)),"",IF((AND(RIGHT(G5696,2)=RIGHT('112'!$M$9,2),B5696&lt;'112'!$K$9,$O5696='112'!$I$6)),"x",""))</f>
        <v/>
      </c>
      <c r="W5696" s="79" t="str">
        <f>IF(AND('341-CT'!$H$9=H5696,OR(LEFT(N5696,3)=$W$7,LEFT(O5696,3)=$W$7)),"x","")</f>
        <v/>
      </c>
      <c r="X5696" s="79" t="str">
        <f>IF(OR(TH!N5696=TH!$X$7,O5696=TH!$X$7),"x","")</f>
        <v/>
      </c>
      <c r="Y5696" s="79" t="str">
        <f>IF(AND(OR(N5696="131",O5696="131"),H5696='131-CT'!$H$9),"x","")</f>
        <v/>
      </c>
      <c r="Z5696" s="79"/>
      <c r="AA5696" s="79" t="str">
        <f>IF(AND(MONTH(E5696)='IN-NX'!$J$5,'IN-NX'!$D$7=D5696),"x","")</f>
        <v/>
      </c>
      <c r="AB5696" s="79" t="str">
        <f>IF(AND(OR(LEFT(TH!N5696,2)="15",LEFT(TH!O5696,2)="15"),LEFT(TH!O5696,3)&lt;&gt;"111",'152-CT'!$J$8=TH!F5696),"x","")</f>
        <v/>
      </c>
      <c r="AC5696" s="79" t="str">
        <f>IF(AND(OR(LEFT(TH!N5696,2)="15",LEFT(TH!O5696,2)="15"),TK!$E$7=TH!F5696),"x","")</f>
        <v/>
      </c>
      <c r="AD5696" s="79" t="str">
        <f>IF(AND(N5696="1521",MONTH(C5696)='BK-NL'!$M$11),"x","")</f>
        <v/>
      </c>
    </row>
    <row r="5697" spans="1:30" ht="16.5" customHeight="1">
      <c r="A5697" s="318" t="str">
        <f>IF(B5697&lt;&gt;"",IF(AND(B5697='IN-TC'!$S$4,OR(TH!N5697="1111",TH!O5697="1111")),TH!D5697,""),"")</f>
        <v/>
      </c>
      <c r="B5697" s="60" t="str">
        <f t="shared" si="509"/>
        <v/>
      </c>
      <c r="C5697" s="61"/>
      <c r="D5697" s="61"/>
      <c r="E5697" s="61"/>
      <c r="F5697" s="446"/>
      <c r="G5697" s="64"/>
      <c r="H5697" s="69"/>
      <c r="I5697" s="385"/>
      <c r="J5697" s="392"/>
      <c r="K5697" s="385"/>
      <c r="L5697" s="392"/>
      <c r="M5697" s="62"/>
      <c r="N5697" s="63"/>
      <c r="O5697" s="63"/>
      <c r="P5697" s="79" t="str">
        <f>IF(AND('331-CT'!$E$7=TH!H5697,OR(N5697="331",O5697="331")),"x","")</f>
        <v/>
      </c>
      <c r="Q5697" s="79" t="str">
        <f>IF(AND(B5697='111'!$L$11,OR($N5697=$Q$7,$O5697=$Q$7)),"x","")</f>
        <v/>
      </c>
      <c r="R5697" s="79" t="str">
        <f>IF(AND($N5697=$Q$7,$B5697&lt;'111'!$L$11),"x","")</f>
        <v/>
      </c>
      <c r="S5697" s="79" t="str">
        <f>IF(AND($O5697=$Q$7,$B5697&lt;'111'!$L$11),"x","")</f>
        <v/>
      </c>
      <c r="T5697" s="79" t="str">
        <f>IF(ISERROR(FIND('112'!$M$9,G5697,1)),"",IF((AND(FIND('112'!$M$9,G5697,1)&gt;=1,B5697='112'!$K$9,OR($N5697='112'!$I$6,$O5697='112'!$I$6))),"x",""))</f>
        <v/>
      </c>
      <c r="U5697" s="79" t="str">
        <f>IF(ISERROR(FIND('112'!$M$9,G5697,1)),"",IF((AND(LEFT(G5697,2)=LEFT('112'!$M$9,2),B5697&lt;'112'!$K$9,$N5697='112'!$I$6)),"x",""))</f>
        <v/>
      </c>
      <c r="V5697" s="79" t="str">
        <f>IF(ISERROR(FIND('112'!$M$9,G5697,1)),"",IF((AND(RIGHT(G5697,2)=RIGHT('112'!$M$9,2),B5697&lt;'112'!$K$9,$O5697='112'!$I$6)),"x",""))</f>
        <v/>
      </c>
      <c r="W5697" s="79" t="str">
        <f>IF(AND('341-CT'!$H$9=H5697,OR(LEFT(N5697,3)=$W$7,LEFT(O5697,3)=$W$7)),"x","")</f>
        <v/>
      </c>
      <c r="X5697" s="79" t="str">
        <f>IF(OR(TH!N5697=TH!$X$7,O5697=TH!$X$7),"x","")</f>
        <v/>
      </c>
      <c r="Y5697" s="79" t="str">
        <f>IF(AND(OR(N5697="131",O5697="131"),H5697='131-CT'!$H$9),"x","")</f>
        <v/>
      </c>
      <c r="Z5697" s="79"/>
      <c r="AA5697" s="79" t="str">
        <f>IF(AND(MONTH(E5697)='IN-NX'!$J$5,'IN-NX'!$D$7=D5697),"x","")</f>
        <v/>
      </c>
      <c r="AB5697" s="79" t="str">
        <f>IF(AND(OR(LEFT(TH!N5697,2)="15",LEFT(TH!O5697,2)="15"),LEFT(TH!O5697,3)&lt;&gt;"111",'152-CT'!$J$8=TH!F5697),"x","")</f>
        <v/>
      </c>
      <c r="AC5697" s="79" t="str">
        <f>IF(AND(OR(LEFT(TH!N5697,2)="15",LEFT(TH!O5697,2)="15"),TK!$E$7=TH!F5697),"x","")</f>
        <v/>
      </c>
      <c r="AD5697" s="79" t="str">
        <f>IF(AND(N5697="1521",MONTH(C5697)='BK-NL'!$M$11),"x","")</f>
        <v/>
      </c>
    </row>
    <row r="5698" spans="1:30" ht="16.5" customHeight="1">
      <c r="A5698" s="318" t="str">
        <f>IF(B5698&lt;&gt;"",IF(AND(B5698='IN-TC'!$S$4,OR(TH!N5698="1111",TH!O5698="1111")),TH!D5698,""),"")</f>
        <v/>
      </c>
      <c r="B5698" s="60" t="str">
        <f t="shared" si="509"/>
        <v/>
      </c>
      <c r="C5698" s="61"/>
      <c r="D5698" s="61"/>
      <c r="E5698" s="61"/>
      <c r="F5698" s="446"/>
      <c r="G5698" s="64"/>
      <c r="H5698" s="69"/>
      <c r="I5698" s="385"/>
      <c r="J5698" s="392"/>
      <c r="K5698" s="385"/>
      <c r="L5698" s="392"/>
      <c r="M5698" s="62"/>
      <c r="N5698" s="63"/>
      <c r="O5698" s="63"/>
      <c r="P5698" s="79" t="str">
        <f>IF(AND('331-CT'!$E$7=TH!H5698,OR(N5698="331",O5698="331")),"x","")</f>
        <v/>
      </c>
      <c r="Q5698" s="79" t="str">
        <f>IF(AND(B5698='111'!$L$11,OR($N5698=$Q$7,$O5698=$Q$7)),"x","")</f>
        <v/>
      </c>
      <c r="R5698" s="79" t="str">
        <f>IF(AND($N5698=$Q$7,$B5698&lt;'111'!$L$11),"x","")</f>
        <v/>
      </c>
      <c r="S5698" s="79" t="str">
        <f>IF(AND($O5698=$Q$7,$B5698&lt;'111'!$L$11),"x","")</f>
        <v/>
      </c>
      <c r="T5698" s="79" t="str">
        <f>IF(ISERROR(FIND('112'!$M$9,G5698,1)),"",IF((AND(FIND('112'!$M$9,G5698,1)&gt;=1,B5698='112'!$K$9,OR($N5698='112'!$I$6,$O5698='112'!$I$6))),"x",""))</f>
        <v/>
      </c>
      <c r="U5698" s="79" t="str">
        <f>IF(ISERROR(FIND('112'!$M$9,G5698,1)),"",IF((AND(LEFT(G5698,2)=LEFT('112'!$M$9,2),B5698&lt;'112'!$K$9,$N5698='112'!$I$6)),"x",""))</f>
        <v/>
      </c>
      <c r="V5698" s="79" t="str">
        <f>IF(ISERROR(FIND('112'!$M$9,G5698,1)),"",IF((AND(RIGHT(G5698,2)=RIGHT('112'!$M$9,2),B5698&lt;'112'!$K$9,$O5698='112'!$I$6)),"x",""))</f>
        <v/>
      </c>
      <c r="W5698" s="79" t="str">
        <f>IF(AND('341-CT'!$H$9=H5698,OR(LEFT(N5698,3)=$W$7,LEFT(O5698,3)=$W$7)),"x","")</f>
        <v/>
      </c>
      <c r="X5698" s="79" t="str">
        <f>IF(OR(TH!N5698=TH!$X$7,O5698=TH!$X$7),"x","")</f>
        <v/>
      </c>
      <c r="Y5698" s="79" t="str">
        <f>IF(AND(OR(N5698="131",O5698="131"),H5698='131-CT'!$H$9),"x","")</f>
        <v/>
      </c>
      <c r="Z5698" s="79"/>
      <c r="AA5698" s="79" t="str">
        <f>IF(AND(MONTH(E5698)='IN-NX'!$J$5,'IN-NX'!$D$7=D5698),"x","")</f>
        <v/>
      </c>
      <c r="AB5698" s="79" t="str">
        <f>IF(AND(OR(LEFT(TH!N5698,2)="15",LEFT(TH!O5698,2)="15"),LEFT(TH!O5698,3)&lt;&gt;"111",'152-CT'!$J$8=TH!F5698),"x","")</f>
        <v/>
      </c>
      <c r="AC5698" s="79" t="str">
        <f>IF(AND(OR(LEFT(TH!N5698,2)="15",LEFT(TH!O5698,2)="15"),TK!$E$7=TH!F5698),"x","")</f>
        <v/>
      </c>
      <c r="AD5698" s="79" t="str">
        <f>IF(AND(N5698="1521",MONTH(C5698)='BK-NL'!$M$11),"x","")</f>
        <v/>
      </c>
    </row>
    <row r="5699" spans="1:30" ht="16.5" customHeight="1">
      <c r="A5699" s="318" t="str">
        <f>IF(B5699&lt;&gt;"",IF(AND(B5699='IN-TC'!$S$4,OR(TH!N5699="1111",TH!O5699="1111")),TH!D5699,""),"")</f>
        <v/>
      </c>
      <c r="B5699" s="60" t="str">
        <f t="shared" ref="B5699:B5762" si="510">IF(C5699&lt;&gt;"",MONTH(C5699),"")</f>
        <v/>
      </c>
      <c r="C5699" s="61"/>
      <c r="D5699" s="61"/>
      <c r="E5699" s="61"/>
      <c r="F5699" s="446"/>
      <c r="G5699" s="64"/>
      <c r="H5699" s="69"/>
      <c r="I5699" s="385"/>
      <c r="J5699" s="392"/>
      <c r="K5699" s="385"/>
      <c r="L5699" s="392"/>
      <c r="M5699" s="62"/>
      <c r="N5699" s="63"/>
      <c r="O5699" s="63"/>
      <c r="P5699" s="79" t="str">
        <f>IF(AND('331-CT'!$E$7=TH!H5699,OR(N5699="331",O5699="331")),"x","")</f>
        <v/>
      </c>
      <c r="Q5699" s="79" t="str">
        <f>IF(AND(B5699='111'!$L$11,OR($N5699=$Q$7,$O5699=$Q$7)),"x","")</f>
        <v/>
      </c>
      <c r="R5699" s="79" t="str">
        <f>IF(AND($N5699=$Q$7,$B5699&lt;'111'!$L$11),"x","")</f>
        <v/>
      </c>
      <c r="S5699" s="79" t="str">
        <f>IF(AND($O5699=$Q$7,$B5699&lt;'111'!$L$11),"x","")</f>
        <v/>
      </c>
      <c r="T5699" s="79" t="str">
        <f>IF(ISERROR(FIND('112'!$M$9,G5699,1)),"",IF((AND(FIND('112'!$M$9,G5699,1)&gt;=1,B5699='112'!$K$9,OR($N5699='112'!$I$6,$O5699='112'!$I$6))),"x",""))</f>
        <v/>
      </c>
      <c r="U5699" s="79" t="str">
        <f>IF(ISERROR(FIND('112'!$M$9,G5699,1)),"",IF((AND(LEFT(G5699,2)=LEFT('112'!$M$9,2),B5699&lt;'112'!$K$9,$N5699='112'!$I$6)),"x",""))</f>
        <v/>
      </c>
      <c r="V5699" s="79" t="str">
        <f>IF(ISERROR(FIND('112'!$M$9,G5699,1)),"",IF((AND(RIGHT(G5699,2)=RIGHT('112'!$M$9,2),B5699&lt;'112'!$K$9,$O5699='112'!$I$6)),"x",""))</f>
        <v/>
      </c>
      <c r="W5699" s="79" t="str">
        <f>IF(AND('341-CT'!$H$9=H5699,OR(LEFT(N5699,3)=$W$7,LEFT(O5699,3)=$W$7)),"x","")</f>
        <v/>
      </c>
      <c r="X5699" s="79" t="str">
        <f>IF(OR(TH!N5699=TH!$X$7,O5699=TH!$X$7),"x","")</f>
        <v/>
      </c>
      <c r="Y5699" s="79" t="str">
        <f>IF(AND(OR(N5699="131",O5699="131"),H5699='131-CT'!$H$9),"x","")</f>
        <v/>
      </c>
      <c r="Z5699" s="79"/>
      <c r="AA5699" s="79" t="str">
        <f>IF(AND(MONTH(E5699)='IN-NX'!$J$5,'IN-NX'!$D$7=D5699),"x","")</f>
        <v/>
      </c>
      <c r="AB5699" s="79" t="str">
        <f>IF(AND(OR(LEFT(TH!N5699,2)="15",LEFT(TH!O5699,2)="15"),LEFT(TH!O5699,3)&lt;&gt;"111",'152-CT'!$J$8=TH!F5699),"x","")</f>
        <v/>
      </c>
      <c r="AC5699" s="79" t="str">
        <f>IF(AND(OR(LEFT(TH!N5699,2)="15",LEFT(TH!O5699,2)="15"),TK!$E$7=TH!F5699),"x","")</f>
        <v/>
      </c>
      <c r="AD5699" s="79" t="str">
        <f>IF(AND(N5699="1521",MONTH(C5699)='BK-NL'!$M$11),"x","")</f>
        <v/>
      </c>
    </row>
    <row r="5700" spans="1:30" ht="16.5" customHeight="1">
      <c r="A5700" s="318" t="str">
        <f>IF(B5700&lt;&gt;"",IF(AND(B5700='IN-TC'!$S$4,OR(TH!N5700="1111",TH!O5700="1111")),TH!D5700,""),"")</f>
        <v/>
      </c>
      <c r="B5700" s="60" t="str">
        <f t="shared" si="510"/>
        <v/>
      </c>
      <c r="C5700" s="61"/>
      <c r="D5700" s="61"/>
      <c r="E5700" s="61"/>
      <c r="F5700" s="446"/>
      <c r="G5700" s="64"/>
      <c r="H5700" s="69"/>
      <c r="I5700" s="385"/>
      <c r="J5700" s="392"/>
      <c r="K5700" s="385"/>
      <c r="L5700" s="392"/>
      <c r="M5700" s="62"/>
      <c r="N5700" s="63"/>
      <c r="O5700" s="63"/>
      <c r="P5700" s="79" t="str">
        <f>IF(AND('331-CT'!$E$7=TH!H5700,OR(N5700="331",O5700="331")),"x","")</f>
        <v/>
      </c>
      <c r="Q5700" s="79" t="str">
        <f>IF(AND(B5700='111'!$L$11,OR($N5700=$Q$7,$O5700=$Q$7)),"x","")</f>
        <v/>
      </c>
      <c r="R5700" s="79" t="str">
        <f>IF(AND($N5700=$Q$7,$B5700&lt;'111'!$L$11),"x","")</f>
        <v/>
      </c>
      <c r="S5700" s="79" t="str">
        <f>IF(AND($O5700=$Q$7,$B5700&lt;'111'!$L$11),"x","")</f>
        <v/>
      </c>
      <c r="T5700" s="79" t="str">
        <f>IF(ISERROR(FIND('112'!$M$9,G5700,1)),"",IF((AND(FIND('112'!$M$9,G5700,1)&gt;=1,B5700='112'!$K$9,OR($N5700='112'!$I$6,$O5700='112'!$I$6))),"x",""))</f>
        <v/>
      </c>
      <c r="U5700" s="79" t="str">
        <f>IF(ISERROR(FIND('112'!$M$9,G5700,1)),"",IF((AND(LEFT(G5700,2)=LEFT('112'!$M$9,2),B5700&lt;'112'!$K$9,$N5700='112'!$I$6)),"x",""))</f>
        <v/>
      </c>
      <c r="V5700" s="79" t="str">
        <f>IF(ISERROR(FIND('112'!$M$9,G5700,1)),"",IF((AND(RIGHT(G5700,2)=RIGHT('112'!$M$9,2),B5700&lt;'112'!$K$9,$O5700='112'!$I$6)),"x",""))</f>
        <v/>
      </c>
      <c r="W5700" s="79" t="str">
        <f>IF(AND('341-CT'!$H$9=H5700,OR(LEFT(N5700,3)=$W$7,LEFT(O5700,3)=$W$7)),"x","")</f>
        <v/>
      </c>
      <c r="X5700" s="79" t="str">
        <f>IF(OR(TH!N5700=TH!$X$7,O5700=TH!$X$7),"x","")</f>
        <v/>
      </c>
      <c r="Y5700" s="79" t="str">
        <f>IF(AND(OR(N5700="131",O5700="131"),H5700='131-CT'!$H$9),"x","")</f>
        <v/>
      </c>
      <c r="Z5700" s="79"/>
      <c r="AA5700" s="79" t="str">
        <f>IF(AND(MONTH(E5700)='IN-NX'!$J$5,'IN-NX'!$D$7=D5700),"x","")</f>
        <v/>
      </c>
      <c r="AB5700" s="79" t="str">
        <f>IF(AND(OR(LEFT(TH!N5700,2)="15",LEFT(TH!O5700,2)="15"),LEFT(TH!O5700,3)&lt;&gt;"111",'152-CT'!$J$8=TH!F5700),"x","")</f>
        <v/>
      </c>
      <c r="AC5700" s="79" t="str">
        <f>IF(AND(OR(LEFT(TH!N5700,2)="15",LEFT(TH!O5700,2)="15"),TK!$E$7=TH!F5700),"x","")</f>
        <v/>
      </c>
      <c r="AD5700" s="79" t="str">
        <f>IF(AND(N5700="1521",MONTH(C5700)='BK-NL'!$M$11),"x","")</f>
        <v/>
      </c>
    </row>
    <row r="5701" spans="1:30" ht="16.5" customHeight="1">
      <c r="A5701" s="318" t="str">
        <f>IF(B5701&lt;&gt;"",IF(AND(B5701='IN-TC'!$S$4,OR(TH!N5701="1111",TH!O5701="1111")),TH!D5701,""),"")</f>
        <v/>
      </c>
      <c r="B5701" s="60" t="str">
        <f t="shared" si="510"/>
        <v/>
      </c>
      <c r="C5701" s="61"/>
      <c r="D5701" s="61"/>
      <c r="E5701" s="61"/>
      <c r="F5701" s="446"/>
      <c r="G5701" s="64"/>
      <c r="H5701" s="69"/>
      <c r="I5701" s="385"/>
      <c r="J5701" s="392"/>
      <c r="K5701" s="385"/>
      <c r="L5701" s="392"/>
      <c r="M5701" s="62"/>
      <c r="N5701" s="63"/>
      <c r="O5701" s="63"/>
      <c r="P5701" s="79" t="str">
        <f>IF(AND('331-CT'!$E$7=TH!H5701,OR(N5701="331",O5701="331")),"x","")</f>
        <v/>
      </c>
      <c r="Q5701" s="79" t="str">
        <f>IF(AND(B5701='111'!$L$11,OR($N5701=$Q$7,$O5701=$Q$7)),"x","")</f>
        <v/>
      </c>
      <c r="R5701" s="79" t="str">
        <f>IF(AND($N5701=$Q$7,$B5701&lt;'111'!$L$11),"x","")</f>
        <v/>
      </c>
      <c r="S5701" s="79" t="str">
        <f>IF(AND($O5701=$Q$7,$B5701&lt;'111'!$L$11),"x","")</f>
        <v/>
      </c>
      <c r="T5701" s="79" t="str">
        <f>IF(ISERROR(FIND('112'!$M$9,G5701,1)),"",IF((AND(FIND('112'!$M$9,G5701,1)&gt;=1,B5701='112'!$K$9,OR($N5701='112'!$I$6,$O5701='112'!$I$6))),"x",""))</f>
        <v/>
      </c>
      <c r="U5701" s="79" t="str">
        <f>IF(ISERROR(FIND('112'!$M$9,G5701,1)),"",IF((AND(LEFT(G5701,2)=LEFT('112'!$M$9,2),B5701&lt;'112'!$K$9,$N5701='112'!$I$6)),"x",""))</f>
        <v/>
      </c>
      <c r="V5701" s="79" t="str">
        <f>IF(ISERROR(FIND('112'!$M$9,G5701,1)),"",IF((AND(RIGHT(G5701,2)=RIGHT('112'!$M$9,2),B5701&lt;'112'!$K$9,$O5701='112'!$I$6)),"x",""))</f>
        <v/>
      </c>
      <c r="W5701" s="79" t="str">
        <f>IF(AND('341-CT'!$H$9=H5701,OR(LEFT(N5701,3)=$W$7,LEFT(O5701,3)=$W$7)),"x","")</f>
        <v/>
      </c>
      <c r="X5701" s="79" t="str">
        <f>IF(OR(TH!N5701=TH!$X$7,O5701=TH!$X$7),"x","")</f>
        <v/>
      </c>
      <c r="Y5701" s="79" t="str">
        <f>IF(AND(OR(N5701="131",O5701="131"),H5701='131-CT'!$H$9),"x","")</f>
        <v/>
      </c>
      <c r="Z5701" s="79"/>
      <c r="AA5701" s="79" t="str">
        <f>IF(AND(MONTH(E5701)='IN-NX'!$J$5,'IN-NX'!$D$7=D5701),"x","")</f>
        <v/>
      </c>
      <c r="AB5701" s="79" t="str">
        <f>IF(AND(OR(LEFT(TH!N5701,2)="15",LEFT(TH!O5701,2)="15"),LEFT(TH!O5701,3)&lt;&gt;"111",'152-CT'!$J$8=TH!F5701),"x","")</f>
        <v/>
      </c>
      <c r="AC5701" s="79" t="str">
        <f>IF(AND(OR(LEFT(TH!N5701,2)="15",LEFT(TH!O5701,2)="15"),TK!$E$7=TH!F5701),"x","")</f>
        <v/>
      </c>
      <c r="AD5701" s="79" t="str">
        <f>IF(AND(N5701="1521",MONTH(C5701)='BK-NL'!$M$11),"x","")</f>
        <v/>
      </c>
    </row>
    <row r="5702" spans="1:30" ht="16.5" customHeight="1">
      <c r="A5702" s="318" t="str">
        <f>IF(B5702&lt;&gt;"",IF(AND(B5702='IN-TC'!$S$4,OR(TH!N5702="1111",TH!O5702="1111")),TH!D5702,""),"")</f>
        <v/>
      </c>
      <c r="B5702" s="60" t="str">
        <f t="shared" si="510"/>
        <v/>
      </c>
      <c r="C5702" s="137"/>
      <c r="D5702" s="61"/>
      <c r="E5702" s="137"/>
      <c r="F5702" s="446"/>
      <c r="G5702" s="64"/>
      <c r="H5702" s="69"/>
      <c r="I5702" s="389"/>
      <c r="J5702" s="396"/>
      <c r="K5702" s="389"/>
      <c r="L5702" s="396"/>
      <c r="M5702" s="138"/>
      <c r="N5702" s="139"/>
      <c r="O5702" s="63"/>
      <c r="P5702" s="79" t="str">
        <f>IF(AND('331-CT'!$E$7=TH!H5702,OR(N5702="331",O5702="331")),"x","")</f>
        <v/>
      </c>
      <c r="Q5702" s="79" t="str">
        <f>IF(AND(B5702='111'!$L$11,OR($N5702=$Q$7,$O5702=$Q$7)),"x","")</f>
        <v/>
      </c>
      <c r="R5702" s="79" t="str">
        <f>IF(AND($N5702=$Q$7,$B5702&lt;'111'!$L$11),"x","")</f>
        <v/>
      </c>
      <c r="S5702" s="79" t="str">
        <f>IF(AND($O5702=$Q$7,$B5702&lt;'111'!$L$11),"x","")</f>
        <v/>
      </c>
      <c r="T5702" s="79" t="str">
        <f>IF(ISERROR(FIND('112'!$M$9,G5702,1)),"",IF((AND(FIND('112'!$M$9,G5702,1)&gt;=1,B5702='112'!$K$9,OR($N5702='112'!$I$6,$O5702='112'!$I$6))),"x",""))</f>
        <v/>
      </c>
      <c r="U5702" s="79" t="str">
        <f>IF(ISERROR(FIND('112'!$M$9,G5702,1)),"",IF((AND(LEFT(G5702,2)=LEFT('112'!$M$9,2),B5702&lt;'112'!$K$9,$N5702='112'!$I$6)),"x",""))</f>
        <v/>
      </c>
      <c r="V5702" s="79" t="str">
        <f>IF(ISERROR(FIND('112'!$M$9,G5702,1)),"",IF((AND(RIGHT(G5702,2)=RIGHT('112'!$M$9,2),B5702&lt;'112'!$K$9,$O5702='112'!$I$6)),"x",""))</f>
        <v/>
      </c>
      <c r="W5702" s="79" t="str">
        <f>IF(AND('341-CT'!$H$9=H5702,OR(LEFT(N5702,3)=$W$7,LEFT(O5702,3)=$W$7)),"x","")</f>
        <v/>
      </c>
      <c r="X5702" s="79" t="str">
        <f>IF(OR(TH!N5702=TH!$X$7,O5702=TH!$X$7),"x","")</f>
        <v/>
      </c>
      <c r="Y5702" s="79" t="str">
        <f>IF(AND(OR(N5702="131",O5702="131"),H5702='131-CT'!$H$9),"x","")</f>
        <v/>
      </c>
      <c r="Z5702" s="79"/>
      <c r="AA5702" s="79" t="str">
        <f>IF(AND(MONTH(E5702)='IN-NX'!$J$5,'IN-NX'!$D$7=D5702),"x","")</f>
        <v/>
      </c>
      <c r="AB5702" s="79" t="str">
        <f>IF(AND(OR(LEFT(TH!N5702,2)="15",LEFT(TH!O5702,2)="15"),LEFT(TH!O5702,3)&lt;&gt;"111",'152-CT'!$J$8=TH!F5702),"x","")</f>
        <v/>
      </c>
      <c r="AC5702" s="79" t="str">
        <f>IF(AND(OR(LEFT(TH!N5702,2)="15",LEFT(TH!O5702,2)="15"),TK!$E$7=TH!F5702),"x","")</f>
        <v/>
      </c>
      <c r="AD5702" s="79" t="str">
        <f>IF(AND(N5702="1521",MONTH(C5702)='BK-NL'!$M$11),"x","")</f>
        <v/>
      </c>
    </row>
    <row r="5703" spans="1:30" ht="16.5" customHeight="1">
      <c r="A5703" s="318" t="str">
        <f>IF(B5703&lt;&gt;"",IF(AND(B5703='IN-TC'!$S$4,OR(TH!N5703="1111",TH!O5703="1111")),TH!D5703,""),"")</f>
        <v/>
      </c>
      <c r="B5703" s="60" t="str">
        <f t="shared" si="510"/>
        <v/>
      </c>
      <c r="C5703" s="61"/>
      <c r="D5703" s="61"/>
      <c r="E5703" s="61"/>
      <c r="F5703" s="446"/>
      <c r="G5703" s="64"/>
      <c r="H5703" s="70"/>
      <c r="I5703" s="385"/>
      <c r="J5703" s="392"/>
      <c r="K5703" s="385"/>
      <c r="L5703" s="392"/>
      <c r="M5703" s="62"/>
      <c r="N5703" s="63"/>
      <c r="O5703" s="63"/>
      <c r="P5703" s="79" t="str">
        <f>IF(AND('331-CT'!$E$7=TH!H5703,OR(N5703="331",O5703="331")),"x","")</f>
        <v/>
      </c>
      <c r="Q5703" s="79" t="str">
        <f>IF(AND(B5703='111'!$L$11,OR($N5703=$Q$7,$O5703=$Q$7)),"x","")</f>
        <v/>
      </c>
      <c r="R5703" s="79" t="str">
        <f>IF(AND($N5703=$Q$7,$B5703&lt;'111'!$L$11),"x","")</f>
        <v/>
      </c>
      <c r="S5703" s="79" t="str">
        <f>IF(AND($O5703=$Q$7,$B5703&lt;'111'!$L$11),"x","")</f>
        <v/>
      </c>
      <c r="T5703" s="79" t="str">
        <f>IF(ISERROR(FIND('112'!$M$9,G5703,1)),"",IF((AND(FIND('112'!$M$9,G5703,1)&gt;=1,B5703='112'!$K$9,OR($N5703='112'!$I$6,$O5703='112'!$I$6))),"x",""))</f>
        <v/>
      </c>
      <c r="U5703" s="79" t="str">
        <f>IF(ISERROR(FIND('112'!$M$9,G5703,1)),"",IF((AND(LEFT(G5703,2)=LEFT('112'!$M$9,2),B5703&lt;'112'!$K$9,$N5703='112'!$I$6)),"x",""))</f>
        <v/>
      </c>
      <c r="V5703" s="79" t="str">
        <f>IF(ISERROR(FIND('112'!$M$9,G5703,1)),"",IF((AND(RIGHT(G5703,2)=RIGHT('112'!$M$9,2),B5703&lt;'112'!$K$9,$O5703='112'!$I$6)),"x",""))</f>
        <v/>
      </c>
      <c r="W5703" s="79" t="str">
        <f>IF(AND('341-CT'!$H$9=H5703,OR(LEFT(N5703,3)=$W$7,LEFT(O5703,3)=$W$7)),"x","")</f>
        <v/>
      </c>
      <c r="X5703" s="79" t="str">
        <f>IF(OR(TH!N5703=TH!$X$7,O5703=TH!$X$7),"x","")</f>
        <v/>
      </c>
      <c r="Y5703" s="79" t="str">
        <f>IF(AND(OR(N5703="131",O5703="131"),H5703='131-CT'!$H$9),"x","")</f>
        <v/>
      </c>
      <c r="Z5703" s="79"/>
      <c r="AA5703" s="79" t="str">
        <f>IF(AND(MONTH(E5703)='IN-NX'!$J$5,'IN-NX'!$D$7=D5703),"x","")</f>
        <v/>
      </c>
      <c r="AB5703" s="79" t="str">
        <f>IF(AND(OR(LEFT(TH!N5703,2)="15",LEFT(TH!O5703,2)="15"),LEFT(TH!O5703,3)&lt;&gt;"111",'152-CT'!$J$8=TH!F5703),"x","")</f>
        <v/>
      </c>
      <c r="AC5703" s="79" t="str">
        <f>IF(AND(OR(LEFT(TH!N5703,2)="15",LEFT(TH!O5703,2)="15"),TK!$E$7=TH!F5703),"x","")</f>
        <v/>
      </c>
      <c r="AD5703" s="79" t="str">
        <f>IF(AND(N5703="1521",MONTH(C5703)='BK-NL'!$M$11),"x","")</f>
        <v/>
      </c>
    </row>
    <row r="5704" spans="1:30" ht="16.5" customHeight="1">
      <c r="A5704" s="318" t="str">
        <f>IF(B5704&lt;&gt;"",IF(AND(B5704='IN-TC'!$S$4,OR(TH!N5704="1111",TH!O5704="1111")),TH!D5704,""),"")</f>
        <v/>
      </c>
      <c r="B5704" s="60" t="str">
        <f t="shared" si="510"/>
        <v/>
      </c>
      <c r="C5704" s="61"/>
      <c r="D5704" s="61"/>
      <c r="E5704" s="61"/>
      <c r="F5704" s="446"/>
      <c r="G5704" s="766"/>
      <c r="H5704" s="69"/>
      <c r="I5704" s="385"/>
      <c r="J5704" s="392"/>
      <c r="K5704" s="385"/>
      <c r="L5704" s="392"/>
      <c r="M5704" s="62"/>
      <c r="N5704" s="63"/>
      <c r="O5704" s="63"/>
      <c r="P5704" s="79" t="str">
        <f>IF(AND('331-CT'!$E$7=TH!H5704,OR(N5704="331",O5704="331")),"x","")</f>
        <v/>
      </c>
      <c r="Q5704" s="79" t="str">
        <f>IF(AND(B5704='111'!$L$11,OR($N5704=$Q$7,$O5704=$Q$7)),"x","")</f>
        <v/>
      </c>
      <c r="R5704" s="79" t="str">
        <f>IF(AND($N5704=$Q$7,$B5704&lt;'111'!$L$11),"x","")</f>
        <v/>
      </c>
      <c r="S5704" s="79" t="str">
        <f>IF(AND($O5704=$Q$7,$B5704&lt;'111'!$L$11),"x","")</f>
        <v/>
      </c>
      <c r="T5704" s="79" t="str">
        <f>IF(ISERROR(FIND('112'!$M$9,G5704,1)),"",IF((AND(FIND('112'!$M$9,G5704,1)&gt;=1,B5704='112'!$K$9,OR($N5704='112'!$I$6,$O5704='112'!$I$6))),"x",""))</f>
        <v/>
      </c>
      <c r="U5704" s="79" t="str">
        <f>IF(ISERROR(FIND('112'!$M$9,G5704,1)),"",IF((AND(LEFT(G5704,2)=LEFT('112'!$M$9,2),B5704&lt;'112'!$K$9,$N5704='112'!$I$6)),"x",""))</f>
        <v/>
      </c>
      <c r="V5704" s="79" t="str">
        <f>IF(ISERROR(FIND('112'!$M$9,G5704,1)),"",IF((AND(RIGHT(G5704,2)=RIGHT('112'!$M$9,2),B5704&lt;'112'!$K$9,$O5704='112'!$I$6)),"x",""))</f>
        <v/>
      </c>
      <c r="W5704" s="79" t="str">
        <f>IF(AND('341-CT'!$H$9=H5704,OR(LEFT(N5704,3)=$W$7,LEFT(O5704,3)=$W$7)),"x","")</f>
        <v/>
      </c>
      <c r="X5704" s="79" t="str">
        <f>IF(OR(TH!N5704=TH!$X$7,O5704=TH!$X$7),"x","")</f>
        <v/>
      </c>
      <c r="Y5704" s="79" t="str">
        <f>IF(AND(OR(N5704="131",O5704="131"),H5704='131-CT'!$H$9),"x","")</f>
        <v/>
      </c>
      <c r="Z5704" s="79"/>
      <c r="AA5704" s="79" t="str">
        <f>IF(AND(MONTH(E5704)='IN-NX'!$J$5,'IN-NX'!$D$7=D5704),"x","")</f>
        <v/>
      </c>
      <c r="AB5704" s="79" t="str">
        <f>IF(AND(OR(LEFT(TH!N5704,2)="15",LEFT(TH!O5704,2)="15"),LEFT(TH!O5704,3)&lt;&gt;"111",'152-CT'!$J$8=TH!F5704),"x","")</f>
        <v/>
      </c>
      <c r="AC5704" s="79" t="str">
        <f>IF(AND(OR(LEFT(TH!N5704,2)="15",LEFT(TH!O5704,2)="15"),TK!$E$7=TH!F5704),"x","")</f>
        <v/>
      </c>
      <c r="AD5704" s="79" t="str">
        <f>IF(AND(N5704="1521",MONTH(C5704)='BK-NL'!$M$11),"x","")</f>
        <v/>
      </c>
    </row>
    <row r="5705" spans="1:30" ht="16.5" customHeight="1">
      <c r="A5705" s="318" t="str">
        <f>IF(B5705&lt;&gt;"",IF(AND(B5705='IN-TC'!$S$4,OR(TH!N5705="1111",TH!O5705="1111")),TH!D5705,""),"")</f>
        <v/>
      </c>
      <c r="B5705" s="60" t="str">
        <f t="shared" si="510"/>
        <v/>
      </c>
      <c r="C5705" s="61"/>
      <c r="D5705" s="61"/>
      <c r="E5705" s="61"/>
      <c r="F5705" s="446"/>
      <c r="G5705" s="766"/>
      <c r="H5705" s="69"/>
      <c r="I5705" s="385"/>
      <c r="J5705" s="392"/>
      <c r="K5705" s="385"/>
      <c r="L5705" s="392"/>
      <c r="M5705" s="62"/>
      <c r="N5705" s="63"/>
      <c r="O5705" s="63"/>
      <c r="P5705" s="79" t="str">
        <f>IF(AND('331-CT'!$E$7=TH!H5705,OR(N5705="331",O5705="331")),"x","")</f>
        <v/>
      </c>
      <c r="Q5705" s="79" t="str">
        <f>IF(AND(B5705='111'!$L$11,OR($N5705=$Q$7,$O5705=$Q$7)),"x","")</f>
        <v/>
      </c>
      <c r="R5705" s="79" t="str">
        <f>IF(AND($N5705=$Q$7,$B5705&lt;'111'!$L$11),"x","")</f>
        <v/>
      </c>
      <c r="S5705" s="79" t="str">
        <f>IF(AND($O5705=$Q$7,$B5705&lt;'111'!$L$11),"x","")</f>
        <v/>
      </c>
      <c r="T5705" s="79" t="str">
        <f>IF(ISERROR(FIND('112'!$M$9,G5705,1)),"",IF((AND(FIND('112'!$M$9,G5705,1)&gt;=1,B5705='112'!$K$9,OR($N5705='112'!$I$6,$O5705='112'!$I$6))),"x",""))</f>
        <v/>
      </c>
      <c r="U5705" s="79" t="str">
        <f>IF(ISERROR(FIND('112'!$M$9,G5705,1)),"",IF((AND(LEFT(G5705,2)=LEFT('112'!$M$9,2),B5705&lt;'112'!$K$9,$N5705='112'!$I$6)),"x",""))</f>
        <v/>
      </c>
      <c r="V5705" s="79" t="str">
        <f>IF(ISERROR(FIND('112'!$M$9,G5705,1)),"",IF((AND(RIGHT(G5705,2)=RIGHT('112'!$M$9,2),B5705&lt;'112'!$K$9,$O5705='112'!$I$6)),"x",""))</f>
        <v/>
      </c>
      <c r="W5705" s="79" t="str">
        <f>IF(AND('341-CT'!$H$9=H5705,OR(LEFT(N5705,3)=$W$7,LEFT(O5705,3)=$W$7)),"x","")</f>
        <v/>
      </c>
      <c r="X5705" s="79" t="str">
        <f>IF(OR(TH!N5705=TH!$X$7,O5705=TH!$X$7),"x","")</f>
        <v/>
      </c>
      <c r="Y5705" s="79" t="str">
        <f>IF(AND(OR(N5705="131",O5705="131"),H5705='131-CT'!$H$9),"x","")</f>
        <v/>
      </c>
      <c r="Z5705" s="79"/>
      <c r="AA5705" s="79" t="str">
        <f>IF(AND(MONTH(E5705)='IN-NX'!$J$5,'IN-NX'!$D$7=D5705),"x","")</f>
        <v/>
      </c>
      <c r="AB5705" s="79" t="str">
        <f>IF(AND(OR(LEFT(TH!N5705,2)="15",LEFT(TH!O5705,2)="15"),LEFT(TH!O5705,3)&lt;&gt;"111",'152-CT'!$J$8=TH!F5705),"x","")</f>
        <v/>
      </c>
      <c r="AC5705" s="79" t="str">
        <f>IF(AND(OR(LEFT(TH!N5705,2)="15",LEFT(TH!O5705,2)="15"),TK!$E$7=TH!F5705),"x","")</f>
        <v/>
      </c>
      <c r="AD5705" s="79" t="str">
        <f>IF(AND(N5705="1521",MONTH(C5705)='BK-NL'!$M$11),"x","")</f>
        <v/>
      </c>
    </row>
    <row r="5706" spans="1:30" ht="16.5" customHeight="1">
      <c r="A5706" s="318" t="str">
        <f>IF(B5706&lt;&gt;"",IF(AND(B5706='IN-TC'!$S$4,OR(TH!N5706="1111",TH!O5706="1111")),TH!D5706,""),"")</f>
        <v/>
      </c>
      <c r="B5706" s="60" t="str">
        <f t="shared" si="510"/>
        <v/>
      </c>
      <c r="C5706" s="137"/>
      <c r="D5706" s="61"/>
      <c r="E5706" s="137"/>
      <c r="F5706" s="446"/>
      <c r="G5706" s="64"/>
      <c r="H5706" s="70"/>
      <c r="I5706" s="389"/>
      <c r="J5706" s="396"/>
      <c r="K5706" s="389"/>
      <c r="L5706" s="396"/>
      <c r="M5706" s="138"/>
      <c r="N5706" s="139"/>
      <c r="O5706" s="63"/>
      <c r="P5706" s="79" t="str">
        <f>IF(AND('331-CT'!$E$7=TH!H5706,OR(N5706="331",O5706="331")),"x","")</f>
        <v/>
      </c>
      <c r="Q5706" s="79" t="str">
        <f>IF(AND(B5706='111'!$L$11,OR($N5706=$Q$7,$O5706=$Q$7)),"x","")</f>
        <v/>
      </c>
      <c r="R5706" s="79" t="str">
        <f>IF(AND($N5706=$Q$7,$B5706&lt;'111'!$L$11),"x","")</f>
        <v/>
      </c>
      <c r="S5706" s="79" t="str">
        <f>IF(AND($O5706=$Q$7,$B5706&lt;'111'!$L$11),"x","")</f>
        <v/>
      </c>
      <c r="T5706" s="79" t="str">
        <f>IF(ISERROR(FIND('112'!$M$9,G5706,1)),"",IF((AND(FIND('112'!$M$9,G5706,1)&gt;=1,B5706='112'!$K$9,OR($N5706='112'!$I$6,$O5706='112'!$I$6))),"x",""))</f>
        <v/>
      </c>
      <c r="U5706" s="79" t="str">
        <f>IF(ISERROR(FIND('112'!$M$9,G5706,1)),"",IF((AND(LEFT(G5706,2)=LEFT('112'!$M$9,2),B5706&lt;'112'!$K$9,$N5706='112'!$I$6)),"x",""))</f>
        <v/>
      </c>
      <c r="V5706" s="79" t="str">
        <f>IF(ISERROR(FIND('112'!$M$9,G5706,1)),"",IF((AND(RIGHT(G5706,2)=RIGHT('112'!$M$9,2),B5706&lt;'112'!$K$9,$O5706='112'!$I$6)),"x",""))</f>
        <v/>
      </c>
      <c r="W5706" s="79" t="str">
        <f>IF(AND('341-CT'!$H$9=H5706,OR(LEFT(N5706,3)=$W$7,LEFT(O5706,3)=$W$7)),"x","")</f>
        <v/>
      </c>
      <c r="X5706" s="79" t="str">
        <f>IF(OR(TH!N5706=TH!$X$7,O5706=TH!$X$7),"x","")</f>
        <v/>
      </c>
      <c r="Y5706" s="79" t="str">
        <f>IF(AND(OR(N5706="131",O5706="131"),H5706='131-CT'!$H$9),"x","")</f>
        <v/>
      </c>
      <c r="Z5706" s="79"/>
      <c r="AA5706" s="79" t="str">
        <f>IF(AND(MONTH(E5706)='IN-NX'!$J$5,'IN-NX'!$D$7=D5706),"x","")</f>
        <v/>
      </c>
      <c r="AB5706" s="79" t="str">
        <f>IF(AND(OR(LEFT(TH!N5706,2)="15",LEFT(TH!O5706,2)="15"),LEFT(TH!O5706,3)&lt;&gt;"111",'152-CT'!$J$8=TH!F5706),"x","")</f>
        <v/>
      </c>
      <c r="AC5706" s="79" t="str">
        <f>IF(AND(OR(LEFT(TH!N5706,2)="15",LEFT(TH!O5706,2)="15"),TK!$E$7=TH!F5706),"x","")</f>
        <v/>
      </c>
      <c r="AD5706" s="79" t="str">
        <f>IF(AND(N5706="1521",MONTH(C5706)='BK-NL'!$M$11),"x","")</f>
        <v/>
      </c>
    </row>
    <row r="5707" spans="1:30" ht="16.5" customHeight="1">
      <c r="A5707" s="318" t="str">
        <f>IF(B5707&lt;&gt;"",IF(AND(B5707='IN-TC'!$S$4,OR(TH!N5707="1111",TH!O5707="1111")),TH!D5707,""),"")</f>
        <v/>
      </c>
      <c r="B5707" s="60" t="str">
        <f t="shared" si="510"/>
        <v/>
      </c>
      <c r="C5707" s="61"/>
      <c r="D5707" s="61"/>
      <c r="E5707" s="61"/>
      <c r="F5707" s="446"/>
      <c r="G5707" s="64"/>
      <c r="H5707" s="69"/>
      <c r="I5707" s="385"/>
      <c r="J5707" s="392"/>
      <c r="K5707" s="385"/>
      <c r="L5707" s="392"/>
      <c r="M5707" s="62"/>
      <c r="N5707" s="63"/>
      <c r="O5707" s="63"/>
      <c r="P5707" s="79" t="str">
        <f>IF(AND('331-CT'!$E$7=TH!H5707,OR(N5707="331",O5707="331")),"x","")</f>
        <v/>
      </c>
      <c r="Q5707" s="79" t="str">
        <f>IF(AND(B5707='111'!$L$11,OR($N5707=$Q$7,$O5707=$Q$7)),"x","")</f>
        <v/>
      </c>
      <c r="R5707" s="79" t="str">
        <f>IF(AND($N5707=$Q$7,$B5707&lt;'111'!$L$11),"x","")</f>
        <v/>
      </c>
      <c r="S5707" s="79" t="str">
        <f>IF(AND($O5707=$Q$7,$B5707&lt;'111'!$L$11),"x","")</f>
        <v/>
      </c>
      <c r="T5707" s="79" t="str">
        <f>IF(ISERROR(FIND('112'!$M$9,G5707,1)),"",IF((AND(FIND('112'!$M$9,G5707,1)&gt;=1,B5707='112'!$K$9,OR($N5707='112'!$I$6,$O5707='112'!$I$6))),"x",""))</f>
        <v/>
      </c>
      <c r="U5707" s="79" t="str">
        <f>IF(ISERROR(FIND('112'!$M$9,G5707,1)),"",IF((AND(LEFT(G5707,2)=LEFT('112'!$M$9,2),B5707&lt;'112'!$K$9,$N5707='112'!$I$6)),"x",""))</f>
        <v/>
      </c>
      <c r="V5707" s="79" t="str">
        <f>IF(ISERROR(FIND('112'!$M$9,G5707,1)),"",IF((AND(RIGHT(G5707,2)=RIGHT('112'!$M$9,2),B5707&lt;'112'!$K$9,$O5707='112'!$I$6)),"x",""))</f>
        <v/>
      </c>
      <c r="W5707" s="79" t="str">
        <f>IF(AND('341-CT'!$H$9=H5707,OR(LEFT(N5707,3)=$W$7,LEFT(O5707,3)=$W$7)),"x","")</f>
        <v/>
      </c>
      <c r="X5707" s="79" t="str">
        <f>IF(OR(TH!N5707=TH!$X$7,O5707=TH!$X$7),"x","")</f>
        <v/>
      </c>
      <c r="Y5707" s="79" t="str">
        <f>IF(AND(OR(N5707="131",O5707="131"),H5707='131-CT'!$H$9),"x","")</f>
        <v/>
      </c>
      <c r="Z5707" s="79"/>
      <c r="AA5707" s="79" t="str">
        <f>IF(AND(MONTH(E5707)='IN-NX'!$J$5,'IN-NX'!$D$7=D5707),"x","")</f>
        <v/>
      </c>
      <c r="AB5707" s="79" t="str">
        <f>IF(AND(OR(LEFT(TH!N5707,2)="15",LEFT(TH!O5707,2)="15"),LEFT(TH!O5707,3)&lt;&gt;"111",'152-CT'!$J$8=TH!F5707),"x","")</f>
        <v/>
      </c>
      <c r="AC5707" s="79" t="str">
        <f>IF(AND(OR(LEFT(TH!N5707,2)="15",LEFT(TH!O5707,2)="15"),TK!$E$7=TH!F5707),"x","")</f>
        <v/>
      </c>
      <c r="AD5707" s="79" t="str">
        <f>IF(AND(N5707="1521",MONTH(C5707)='BK-NL'!$M$11),"x","")</f>
        <v/>
      </c>
    </row>
    <row r="5708" spans="1:30" ht="16.5" customHeight="1">
      <c r="A5708" s="318" t="str">
        <f>IF(B5708&lt;&gt;"",IF(AND(B5708='IN-TC'!$S$4,OR(TH!N5708="1111",TH!O5708="1111")),TH!D5708,""),"")</f>
        <v/>
      </c>
      <c r="B5708" s="60" t="str">
        <f t="shared" si="510"/>
        <v/>
      </c>
      <c r="C5708" s="61"/>
      <c r="D5708" s="61"/>
      <c r="E5708" s="61"/>
      <c r="F5708" s="446"/>
      <c r="G5708" s="64"/>
      <c r="H5708" s="69"/>
      <c r="I5708" s="385"/>
      <c r="J5708" s="392"/>
      <c r="K5708" s="385"/>
      <c r="L5708" s="392"/>
      <c r="M5708" s="62"/>
      <c r="N5708" s="63"/>
      <c r="O5708" s="63"/>
      <c r="P5708" s="79" t="str">
        <f>IF(AND('331-CT'!$E$7=TH!H5708,OR(N5708="331",O5708="331")),"x","")</f>
        <v/>
      </c>
      <c r="Q5708" s="79" t="str">
        <f>IF(AND(B5708='111'!$L$11,OR($N5708=$Q$7,$O5708=$Q$7)),"x","")</f>
        <v/>
      </c>
      <c r="R5708" s="79" t="str">
        <f>IF(AND($N5708=$Q$7,$B5708&lt;'111'!$L$11),"x","")</f>
        <v/>
      </c>
      <c r="S5708" s="79" t="str">
        <f>IF(AND($O5708=$Q$7,$B5708&lt;'111'!$L$11),"x","")</f>
        <v/>
      </c>
      <c r="T5708" s="79" t="str">
        <f>IF(ISERROR(FIND('112'!$M$9,G5708,1)),"",IF((AND(FIND('112'!$M$9,G5708,1)&gt;=1,B5708='112'!$K$9,OR($N5708='112'!$I$6,$O5708='112'!$I$6))),"x",""))</f>
        <v/>
      </c>
      <c r="U5708" s="79" t="str">
        <f>IF(ISERROR(FIND('112'!$M$9,G5708,1)),"",IF((AND(LEFT(G5708,2)=LEFT('112'!$M$9,2),B5708&lt;'112'!$K$9,$N5708='112'!$I$6)),"x",""))</f>
        <v/>
      </c>
      <c r="V5708" s="79" t="str">
        <f>IF(ISERROR(FIND('112'!$M$9,G5708,1)),"",IF((AND(RIGHT(G5708,2)=RIGHT('112'!$M$9,2),B5708&lt;'112'!$K$9,$O5708='112'!$I$6)),"x",""))</f>
        <v/>
      </c>
      <c r="W5708" s="79" t="str">
        <f>IF(AND('341-CT'!$H$9=H5708,OR(LEFT(N5708,3)=$W$7,LEFT(O5708,3)=$W$7)),"x","")</f>
        <v/>
      </c>
      <c r="X5708" s="79" t="str">
        <f>IF(OR(TH!N5708=TH!$X$7,O5708=TH!$X$7),"x","")</f>
        <v/>
      </c>
      <c r="Y5708" s="79" t="str">
        <f>IF(AND(OR(N5708="131",O5708="131"),H5708='131-CT'!$H$9),"x","")</f>
        <v/>
      </c>
      <c r="Z5708" s="79"/>
      <c r="AA5708" s="79" t="str">
        <f>IF(AND(MONTH(E5708)='IN-NX'!$J$5,'IN-NX'!$D$7=D5708),"x","")</f>
        <v/>
      </c>
      <c r="AB5708" s="79" t="str">
        <f>IF(AND(OR(LEFT(TH!N5708,2)="15",LEFT(TH!O5708,2)="15"),LEFT(TH!O5708,3)&lt;&gt;"111",'152-CT'!$J$8=TH!F5708),"x","")</f>
        <v/>
      </c>
      <c r="AC5708" s="79" t="str">
        <f>IF(AND(OR(LEFT(TH!N5708,2)="15",LEFT(TH!O5708,2)="15"),TK!$E$7=TH!F5708),"x","")</f>
        <v/>
      </c>
      <c r="AD5708" s="79" t="str">
        <f>IF(AND(N5708="1521",MONTH(C5708)='BK-NL'!$M$11),"x","")</f>
        <v/>
      </c>
    </row>
    <row r="5709" spans="1:30" ht="16.5" customHeight="1">
      <c r="A5709" s="318" t="str">
        <f>IF(B5709&lt;&gt;"",IF(AND(B5709='IN-TC'!$S$4,OR(TH!N5709="1111",TH!O5709="1111")),TH!D5709,""),"")</f>
        <v/>
      </c>
      <c r="B5709" s="60" t="str">
        <f t="shared" si="510"/>
        <v/>
      </c>
      <c r="C5709" s="61"/>
      <c r="D5709" s="61"/>
      <c r="E5709" s="61"/>
      <c r="F5709" s="446"/>
      <c r="G5709" s="64"/>
      <c r="H5709" s="69"/>
      <c r="I5709" s="385"/>
      <c r="J5709" s="392"/>
      <c r="K5709" s="385"/>
      <c r="L5709" s="392"/>
      <c r="M5709" s="62"/>
      <c r="N5709" s="63"/>
      <c r="O5709" s="63"/>
      <c r="P5709" s="79" t="str">
        <f>IF(AND('331-CT'!$E$7=TH!H5709,OR(N5709="331",O5709="331")),"x","")</f>
        <v/>
      </c>
      <c r="Q5709" s="79" t="str">
        <f>IF(AND(B5709='111'!$L$11,OR($N5709=$Q$7,$O5709=$Q$7)),"x","")</f>
        <v/>
      </c>
      <c r="R5709" s="79" t="str">
        <f>IF(AND($N5709=$Q$7,$B5709&lt;'111'!$L$11),"x","")</f>
        <v/>
      </c>
      <c r="S5709" s="79" t="str">
        <f>IF(AND($O5709=$Q$7,$B5709&lt;'111'!$L$11),"x","")</f>
        <v/>
      </c>
      <c r="T5709" s="79" t="str">
        <f>IF(ISERROR(FIND('112'!$M$9,G5709,1)),"",IF((AND(FIND('112'!$M$9,G5709,1)&gt;=1,B5709='112'!$K$9,OR($N5709='112'!$I$6,$O5709='112'!$I$6))),"x",""))</f>
        <v/>
      </c>
      <c r="U5709" s="79" t="str">
        <f>IF(ISERROR(FIND('112'!$M$9,G5709,1)),"",IF((AND(LEFT(G5709,2)=LEFT('112'!$M$9,2),B5709&lt;'112'!$K$9,$N5709='112'!$I$6)),"x",""))</f>
        <v/>
      </c>
      <c r="V5709" s="79" t="str">
        <f>IF(ISERROR(FIND('112'!$M$9,G5709,1)),"",IF((AND(RIGHT(G5709,2)=RIGHT('112'!$M$9,2),B5709&lt;'112'!$K$9,$O5709='112'!$I$6)),"x",""))</f>
        <v/>
      </c>
      <c r="W5709" s="79" t="str">
        <f>IF(AND('341-CT'!$H$9=H5709,OR(LEFT(N5709,3)=$W$7,LEFT(O5709,3)=$W$7)),"x","")</f>
        <v/>
      </c>
      <c r="X5709" s="79" t="str">
        <f>IF(OR(TH!N5709=TH!$X$7,O5709=TH!$X$7),"x","")</f>
        <v/>
      </c>
      <c r="Y5709" s="79" t="str">
        <f>IF(AND(OR(N5709="131",O5709="131"),H5709='131-CT'!$H$9),"x","")</f>
        <v/>
      </c>
      <c r="Z5709" s="79"/>
      <c r="AA5709" s="79" t="str">
        <f>IF(AND(MONTH(E5709)='IN-NX'!$J$5,'IN-NX'!$D$7=D5709),"x","")</f>
        <v/>
      </c>
      <c r="AB5709" s="79" t="str">
        <f>IF(AND(OR(LEFT(TH!N5709,2)="15",LEFT(TH!O5709,2)="15"),LEFT(TH!O5709,3)&lt;&gt;"111",'152-CT'!$J$8=TH!F5709),"x","")</f>
        <v/>
      </c>
      <c r="AC5709" s="79" t="str">
        <f>IF(AND(OR(LEFT(TH!N5709,2)="15",LEFT(TH!O5709,2)="15"),TK!$E$7=TH!F5709),"x","")</f>
        <v/>
      </c>
      <c r="AD5709" s="79" t="str">
        <f>IF(AND(N5709="1521",MONTH(C5709)='BK-NL'!$M$11),"x","")</f>
        <v/>
      </c>
    </row>
    <row r="5710" spans="1:30" ht="16.5" customHeight="1">
      <c r="A5710" s="318" t="str">
        <f>IF(B5710&lt;&gt;"",IF(AND(B5710='IN-TC'!$S$4,OR(TH!N5710="1111",TH!O5710="1111")),TH!D5710,""),"")</f>
        <v/>
      </c>
      <c r="B5710" s="60" t="str">
        <f t="shared" si="510"/>
        <v/>
      </c>
      <c r="C5710" s="61"/>
      <c r="D5710" s="61"/>
      <c r="E5710" s="61"/>
      <c r="F5710" s="446"/>
      <c r="G5710" s="64"/>
      <c r="H5710" s="69"/>
      <c r="I5710" s="385"/>
      <c r="J5710" s="392"/>
      <c r="K5710" s="385"/>
      <c r="L5710" s="392"/>
      <c r="M5710" s="62"/>
      <c r="N5710" s="63"/>
      <c r="O5710" s="63"/>
      <c r="P5710" s="79" t="str">
        <f>IF(AND('331-CT'!$E$7=TH!H5710,OR(N5710="331",O5710="331")),"x","")</f>
        <v/>
      </c>
      <c r="Q5710" s="79" t="str">
        <f>IF(AND(B5710='111'!$L$11,OR($N5710=$Q$7,$O5710=$Q$7)),"x","")</f>
        <v/>
      </c>
      <c r="R5710" s="79" t="str">
        <f>IF(AND($N5710=$Q$7,$B5710&lt;'111'!$L$11),"x","")</f>
        <v/>
      </c>
      <c r="S5710" s="79" t="str">
        <f>IF(AND($O5710=$Q$7,$B5710&lt;'111'!$L$11),"x","")</f>
        <v/>
      </c>
      <c r="T5710" s="79" t="str">
        <f>IF(ISERROR(FIND('112'!$M$9,G5710,1)),"",IF((AND(FIND('112'!$M$9,G5710,1)&gt;=1,B5710='112'!$K$9,OR($N5710='112'!$I$6,$O5710='112'!$I$6))),"x",""))</f>
        <v/>
      </c>
      <c r="U5710" s="79" t="str">
        <f>IF(ISERROR(FIND('112'!$M$9,G5710,1)),"",IF((AND(LEFT(G5710,2)=LEFT('112'!$M$9,2),B5710&lt;'112'!$K$9,$N5710='112'!$I$6)),"x",""))</f>
        <v/>
      </c>
      <c r="V5710" s="79" t="str">
        <f>IF(ISERROR(FIND('112'!$M$9,G5710,1)),"",IF((AND(RIGHT(G5710,2)=RIGHT('112'!$M$9,2),B5710&lt;'112'!$K$9,$O5710='112'!$I$6)),"x",""))</f>
        <v/>
      </c>
      <c r="W5710" s="79" t="str">
        <f>IF(AND('341-CT'!$H$9=H5710,OR(LEFT(N5710,3)=$W$7,LEFT(O5710,3)=$W$7)),"x","")</f>
        <v/>
      </c>
      <c r="X5710" s="79" t="str">
        <f>IF(OR(TH!N5710=TH!$X$7,O5710=TH!$X$7),"x","")</f>
        <v/>
      </c>
      <c r="Y5710" s="79" t="str">
        <f>IF(AND(OR(N5710="131",O5710="131"),H5710='131-CT'!$H$9),"x","")</f>
        <v/>
      </c>
      <c r="Z5710" s="79"/>
      <c r="AA5710" s="79" t="str">
        <f>IF(AND(MONTH(E5710)='IN-NX'!$J$5,'IN-NX'!$D$7=D5710),"x","")</f>
        <v/>
      </c>
      <c r="AB5710" s="79" t="str">
        <f>IF(AND(OR(LEFT(TH!N5710,2)="15",LEFT(TH!O5710,2)="15"),LEFT(TH!O5710,3)&lt;&gt;"111",'152-CT'!$J$8=TH!F5710),"x","")</f>
        <v/>
      </c>
      <c r="AC5710" s="79" t="str">
        <f>IF(AND(OR(LEFT(TH!N5710,2)="15",LEFT(TH!O5710,2)="15"),TK!$E$7=TH!F5710),"x","")</f>
        <v/>
      </c>
      <c r="AD5710" s="79" t="str">
        <f>IF(AND(N5710="1521",MONTH(C5710)='BK-NL'!$M$11),"x","")</f>
        <v/>
      </c>
    </row>
    <row r="5711" spans="1:30" ht="16.5" customHeight="1">
      <c r="A5711" s="318" t="str">
        <f>IF(B5711&lt;&gt;"",IF(AND(B5711='IN-TC'!$S$4,OR(TH!N5711="1111",TH!O5711="1111")),TH!D5711,""),"")</f>
        <v/>
      </c>
      <c r="B5711" s="60" t="str">
        <f t="shared" si="510"/>
        <v/>
      </c>
      <c r="C5711" s="61"/>
      <c r="D5711" s="61"/>
      <c r="E5711" s="61"/>
      <c r="F5711" s="446"/>
      <c r="G5711" s="64"/>
      <c r="H5711" s="69"/>
      <c r="I5711" s="385"/>
      <c r="J5711" s="392"/>
      <c r="K5711" s="385"/>
      <c r="L5711" s="392"/>
      <c r="M5711" s="62"/>
      <c r="N5711" s="63"/>
      <c r="O5711" s="63"/>
      <c r="P5711" s="79" t="str">
        <f>IF(AND('331-CT'!$E$7=TH!H5711,OR(N5711="331",O5711="331")),"x","")</f>
        <v/>
      </c>
      <c r="Q5711" s="79" t="str">
        <f>IF(AND(B5711='111'!$L$11,OR($N5711=$Q$7,$O5711=$Q$7)),"x","")</f>
        <v/>
      </c>
      <c r="R5711" s="79" t="str">
        <f>IF(AND($N5711=$Q$7,$B5711&lt;'111'!$L$11),"x","")</f>
        <v/>
      </c>
      <c r="S5711" s="79" t="str">
        <f>IF(AND($O5711=$Q$7,$B5711&lt;'111'!$L$11),"x","")</f>
        <v/>
      </c>
      <c r="T5711" s="79" t="str">
        <f>IF(ISERROR(FIND('112'!$M$9,G5711,1)),"",IF((AND(FIND('112'!$M$9,G5711,1)&gt;=1,B5711='112'!$K$9,OR($N5711='112'!$I$6,$O5711='112'!$I$6))),"x",""))</f>
        <v/>
      </c>
      <c r="U5711" s="79" t="str">
        <f>IF(ISERROR(FIND('112'!$M$9,G5711,1)),"",IF((AND(LEFT(G5711,2)=LEFT('112'!$M$9,2),B5711&lt;'112'!$K$9,$N5711='112'!$I$6)),"x",""))</f>
        <v/>
      </c>
      <c r="V5711" s="79" t="str">
        <f>IF(ISERROR(FIND('112'!$M$9,G5711,1)),"",IF((AND(RIGHT(G5711,2)=RIGHT('112'!$M$9,2),B5711&lt;'112'!$K$9,$O5711='112'!$I$6)),"x",""))</f>
        <v/>
      </c>
      <c r="W5711" s="79" t="str">
        <f>IF(AND('341-CT'!$H$9=H5711,OR(LEFT(N5711,3)=$W$7,LEFT(O5711,3)=$W$7)),"x","")</f>
        <v/>
      </c>
      <c r="X5711" s="79" t="str">
        <f>IF(OR(TH!N5711=TH!$X$7,O5711=TH!$X$7),"x","")</f>
        <v/>
      </c>
      <c r="Y5711" s="79" t="str">
        <f>IF(AND(OR(N5711="131",O5711="131"),H5711='131-CT'!$H$9),"x","")</f>
        <v/>
      </c>
      <c r="Z5711" s="79"/>
      <c r="AA5711" s="79" t="str">
        <f>IF(AND(MONTH(E5711)='IN-NX'!$J$5,'IN-NX'!$D$7=D5711),"x","")</f>
        <v/>
      </c>
      <c r="AB5711" s="79" t="str">
        <f>IF(AND(OR(LEFT(TH!N5711,2)="15",LEFT(TH!O5711,2)="15"),LEFT(TH!O5711,3)&lt;&gt;"111",'152-CT'!$J$8=TH!F5711),"x","")</f>
        <v/>
      </c>
      <c r="AC5711" s="79" t="str">
        <f>IF(AND(OR(LEFT(TH!N5711,2)="15",LEFT(TH!O5711,2)="15"),TK!$E$7=TH!F5711),"x","")</f>
        <v/>
      </c>
      <c r="AD5711" s="79" t="str">
        <f>IF(AND(N5711="1521",MONTH(C5711)='BK-NL'!$M$11),"x","")</f>
        <v/>
      </c>
    </row>
    <row r="5712" spans="1:30" ht="16.5" customHeight="1">
      <c r="A5712" s="318" t="str">
        <f>IF(B5712&lt;&gt;"",IF(AND(B5712='IN-TC'!$S$4,OR(TH!N5712="1111",TH!O5712="1111")),TH!D5712,""),"")</f>
        <v/>
      </c>
      <c r="B5712" s="60" t="str">
        <f t="shared" si="510"/>
        <v/>
      </c>
      <c r="C5712" s="61"/>
      <c r="D5712" s="61"/>
      <c r="E5712" s="61"/>
      <c r="F5712" s="446"/>
      <c r="G5712" s="64"/>
      <c r="H5712" s="69"/>
      <c r="I5712" s="385"/>
      <c r="J5712" s="392"/>
      <c r="K5712" s="385"/>
      <c r="L5712" s="392"/>
      <c r="M5712" s="62"/>
      <c r="N5712" s="63"/>
      <c r="O5712" s="63"/>
      <c r="P5712" s="79" t="str">
        <f>IF(AND('331-CT'!$E$7=TH!H5712,OR(N5712="331",O5712="331")),"x","")</f>
        <v/>
      </c>
      <c r="Q5712" s="79" t="str">
        <f>IF(AND(B5712='111'!$L$11,OR($N5712=$Q$7,$O5712=$Q$7)),"x","")</f>
        <v/>
      </c>
      <c r="R5712" s="79" t="str">
        <f>IF(AND($N5712=$Q$7,$B5712&lt;'111'!$L$11),"x","")</f>
        <v/>
      </c>
      <c r="S5712" s="79" t="str">
        <f>IF(AND($O5712=$Q$7,$B5712&lt;'111'!$L$11),"x","")</f>
        <v/>
      </c>
      <c r="T5712" s="79" t="str">
        <f>IF(ISERROR(FIND('112'!$M$9,G5712,1)),"",IF((AND(FIND('112'!$M$9,G5712,1)&gt;=1,B5712='112'!$K$9,OR($N5712='112'!$I$6,$O5712='112'!$I$6))),"x",""))</f>
        <v/>
      </c>
      <c r="U5712" s="79" t="str">
        <f>IF(ISERROR(FIND('112'!$M$9,G5712,1)),"",IF((AND(LEFT(G5712,2)=LEFT('112'!$M$9,2),B5712&lt;'112'!$K$9,$N5712='112'!$I$6)),"x",""))</f>
        <v/>
      </c>
      <c r="V5712" s="79" t="str">
        <f>IF(ISERROR(FIND('112'!$M$9,G5712,1)),"",IF((AND(RIGHT(G5712,2)=RIGHT('112'!$M$9,2),B5712&lt;'112'!$K$9,$O5712='112'!$I$6)),"x",""))</f>
        <v/>
      </c>
      <c r="W5712" s="79" t="str">
        <f>IF(AND('341-CT'!$H$9=H5712,OR(LEFT(N5712,3)=$W$7,LEFT(O5712,3)=$W$7)),"x","")</f>
        <v/>
      </c>
      <c r="X5712" s="79" t="str">
        <f>IF(OR(TH!N5712=TH!$X$7,O5712=TH!$X$7),"x","")</f>
        <v/>
      </c>
      <c r="Y5712" s="79" t="str">
        <f>IF(AND(OR(N5712="131",O5712="131"),H5712='131-CT'!$H$9),"x","")</f>
        <v/>
      </c>
      <c r="Z5712" s="79"/>
      <c r="AA5712" s="79" t="str">
        <f>IF(AND(MONTH(E5712)='IN-NX'!$J$5,'IN-NX'!$D$7=D5712),"x","")</f>
        <v/>
      </c>
      <c r="AB5712" s="79" t="str">
        <f>IF(AND(OR(LEFT(TH!N5712,2)="15",LEFT(TH!O5712,2)="15"),LEFT(TH!O5712,3)&lt;&gt;"111",'152-CT'!$J$8=TH!F5712),"x","")</f>
        <v/>
      </c>
      <c r="AC5712" s="79" t="str">
        <f>IF(AND(OR(LEFT(TH!N5712,2)="15",LEFT(TH!O5712,2)="15"),TK!$E$7=TH!F5712),"x","")</f>
        <v/>
      </c>
      <c r="AD5712" s="79" t="str">
        <f>IF(AND(N5712="1521",MONTH(C5712)='BK-NL'!$M$11),"x","")</f>
        <v/>
      </c>
    </row>
    <row r="5713" spans="1:30" ht="16.5" customHeight="1">
      <c r="A5713" s="318" t="str">
        <f>IF(B5713&lt;&gt;"",IF(AND(B5713='IN-TC'!$S$4,OR(TH!N5713="1111",TH!O5713="1111")),TH!D5713,""),"")</f>
        <v/>
      </c>
      <c r="B5713" s="60" t="str">
        <f t="shared" si="510"/>
        <v/>
      </c>
      <c r="C5713" s="61"/>
      <c r="D5713" s="61"/>
      <c r="E5713" s="61"/>
      <c r="F5713" s="446"/>
      <c r="G5713" s="64"/>
      <c r="H5713" s="69"/>
      <c r="I5713" s="385"/>
      <c r="J5713" s="392"/>
      <c r="K5713" s="385"/>
      <c r="L5713" s="392"/>
      <c r="M5713" s="62"/>
      <c r="N5713" s="63"/>
      <c r="O5713" s="63"/>
      <c r="P5713" s="79" t="str">
        <f>IF(AND('331-CT'!$E$7=TH!H5713,OR(N5713="331",O5713="331")),"x","")</f>
        <v/>
      </c>
      <c r="Q5713" s="79" t="str">
        <f>IF(AND(B5713='111'!$L$11,OR($N5713=$Q$7,$O5713=$Q$7)),"x","")</f>
        <v/>
      </c>
      <c r="R5713" s="79" t="str">
        <f>IF(AND($N5713=$Q$7,$B5713&lt;'111'!$L$11),"x","")</f>
        <v/>
      </c>
      <c r="S5713" s="79" t="str">
        <f>IF(AND($O5713=$Q$7,$B5713&lt;'111'!$L$11),"x","")</f>
        <v/>
      </c>
      <c r="T5713" s="79" t="str">
        <f>IF(ISERROR(FIND('112'!$M$9,G5713,1)),"",IF((AND(FIND('112'!$M$9,G5713,1)&gt;=1,B5713='112'!$K$9,OR($N5713='112'!$I$6,$O5713='112'!$I$6))),"x",""))</f>
        <v/>
      </c>
      <c r="U5713" s="79" t="str">
        <f>IF(ISERROR(FIND('112'!$M$9,G5713,1)),"",IF((AND(LEFT(G5713,2)=LEFT('112'!$M$9,2),B5713&lt;'112'!$K$9,$N5713='112'!$I$6)),"x",""))</f>
        <v/>
      </c>
      <c r="V5713" s="79" t="str">
        <f>IF(ISERROR(FIND('112'!$M$9,G5713,1)),"",IF((AND(RIGHT(G5713,2)=RIGHT('112'!$M$9,2),B5713&lt;'112'!$K$9,$O5713='112'!$I$6)),"x",""))</f>
        <v/>
      </c>
      <c r="W5713" s="79" t="str">
        <f>IF(AND('341-CT'!$H$9=H5713,OR(LEFT(N5713,3)=$W$7,LEFT(O5713,3)=$W$7)),"x","")</f>
        <v/>
      </c>
      <c r="X5713" s="79" t="str">
        <f>IF(OR(TH!N5713=TH!$X$7,O5713=TH!$X$7),"x","")</f>
        <v/>
      </c>
      <c r="Y5713" s="79" t="str">
        <f>IF(AND(OR(N5713="131",O5713="131"),H5713='131-CT'!$H$9),"x","")</f>
        <v/>
      </c>
      <c r="Z5713" s="79"/>
      <c r="AA5713" s="79" t="str">
        <f>IF(AND(MONTH(E5713)='IN-NX'!$J$5,'IN-NX'!$D$7=D5713),"x","")</f>
        <v/>
      </c>
      <c r="AB5713" s="79" t="str">
        <f>IF(AND(OR(LEFT(TH!N5713,2)="15",LEFT(TH!O5713,2)="15"),LEFT(TH!O5713,3)&lt;&gt;"111",'152-CT'!$J$8=TH!F5713),"x","")</f>
        <v/>
      </c>
      <c r="AC5713" s="79" t="str">
        <f>IF(AND(OR(LEFT(TH!N5713,2)="15",LEFT(TH!O5713,2)="15"),TK!$E$7=TH!F5713),"x","")</f>
        <v/>
      </c>
      <c r="AD5713" s="79" t="str">
        <f>IF(AND(N5713="1521",MONTH(C5713)='BK-NL'!$M$11),"x","")</f>
        <v/>
      </c>
    </row>
    <row r="5714" spans="1:30" ht="16.5" customHeight="1">
      <c r="A5714" s="318" t="str">
        <f>IF(B5714&lt;&gt;"",IF(AND(B5714='IN-TC'!$S$4,OR(TH!N5714="1111",TH!O5714="1111")),TH!D5714,""),"")</f>
        <v/>
      </c>
      <c r="B5714" s="60" t="str">
        <f t="shared" si="510"/>
        <v/>
      </c>
      <c r="C5714" s="61"/>
      <c r="D5714" s="61"/>
      <c r="E5714" s="61"/>
      <c r="F5714" s="446"/>
      <c r="G5714" s="64"/>
      <c r="H5714" s="321"/>
      <c r="I5714" s="387"/>
      <c r="J5714" s="394"/>
      <c r="K5714" s="387"/>
      <c r="L5714" s="394"/>
      <c r="M5714" s="62"/>
      <c r="N5714" s="63"/>
      <c r="O5714" s="63"/>
      <c r="P5714" s="79" t="str">
        <f>IF(AND('331-CT'!$E$7=TH!H5714,OR(N5714="331",O5714="331")),"x","")</f>
        <v/>
      </c>
      <c r="Q5714" s="79" t="str">
        <f>IF(AND(B5714='111'!$L$11,OR($N5714=$Q$7,$O5714=$Q$7)),"x","")</f>
        <v/>
      </c>
      <c r="R5714" s="79" t="str">
        <f>IF(AND($N5714=$Q$7,$B5714&lt;'111'!$L$11),"x","")</f>
        <v/>
      </c>
      <c r="S5714" s="79" t="str">
        <f>IF(AND($O5714=$Q$7,$B5714&lt;'111'!$L$11),"x","")</f>
        <v/>
      </c>
      <c r="T5714" s="79" t="str">
        <f>IF(ISERROR(FIND('112'!$M$9,G5714,1)),"",IF((AND(FIND('112'!$M$9,G5714,1)&gt;=1,B5714='112'!$K$9,OR($N5714='112'!$I$6,$O5714='112'!$I$6))),"x",""))</f>
        <v/>
      </c>
      <c r="U5714" s="79" t="str">
        <f>IF(ISERROR(FIND('112'!$M$9,G5714,1)),"",IF((AND(LEFT(G5714,2)=LEFT('112'!$M$9,2),B5714&lt;'112'!$K$9,$N5714='112'!$I$6)),"x",""))</f>
        <v/>
      </c>
      <c r="V5714" s="79" t="str">
        <f>IF(ISERROR(FIND('112'!$M$9,G5714,1)),"",IF((AND(RIGHT(G5714,2)=RIGHT('112'!$M$9,2),B5714&lt;'112'!$K$9,$O5714='112'!$I$6)),"x",""))</f>
        <v/>
      </c>
      <c r="W5714" s="79" t="str">
        <f>IF(AND('341-CT'!$H$9=H5714,OR(LEFT(N5714,3)=$W$7,LEFT(O5714,3)=$W$7)),"x","")</f>
        <v/>
      </c>
      <c r="X5714" s="79" t="str">
        <f>IF(OR(TH!N5714=TH!$X$7,O5714=TH!$X$7),"x","")</f>
        <v/>
      </c>
      <c r="Y5714" s="79" t="str">
        <f>IF(AND(OR(N5714="131",O5714="131"),H5714='131-CT'!$H$9),"x","")</f>
        <v/>
      </c>
      <c r="Z5714" s="79"/>
      <c r="AA5714" s="79" t="str">
        <f>IF(AND(MONTH(E5714)='IN-NX'!$J$5,'IN-NX'!$D$7=D5714),"x","")</f>
        <v/>
      </c>
      <c r="AB5714" s="79" t="str">
        <f>IF(AND(OR(LEFT(TH!N5714,2)="15",LEFT(TH!O5714,2)="15"),LEFT(TH!O5714,3)&lt;&gt;"111",'152-CT'!$J$8=TH!F5714),"x","")</f>
        <v/>
      </c>
      <c r="AC5714" s="79" t="str">
        <f>IF(AND(OR(LEFT(TH!N5714,2)="15",LEFT(TH!O5714,2)="15"),TK!$E$7=TH!F5714),"x","")</f>
        <v/>
      </c>
      <c r="AD5714" s="79" t="str">
        <f>IF(AND(N5714="1521",MONTH(C5714)='BK-NL'!$M$11),"x","")</f>
        <v/>
      </c>
    </row>
    <row r="5715" spans="1:30" ht="16.5" customHeight="1">
      <c r="A5715" s="318" t="str">
        <f>IF(B5715&lt;&gt;"",IF(AND(B5715='IN-TC'!$S$4,OR(TH!N5715="1111",TH!O5715="1111")),TH!D5715,""),"")</f>
        <v/>
      </c>
      <c r="B5715" s="60" t="str">
        <f t="shared" si="510"/>
        <v/>
      </c>
      <c r="C5715" s="61"/>
      <c r="D5715" s="61"/>
      <c r="E5715" s="61"/>
      <c r="F5715" s="446"/>
      <c r="G5715" s="64"/>
      <c r="H5715" s="69"/>
      <c r="I5715" s="385"/>
      <c r="J5715" s="392"/>
      <c r="K5715" s="385"/>
      <c r="L5715" s="392"/>
      <c r="M5715" s="62"/>
      <c r="N5715" s="63"/>
      <c r="O5715" s="63"/>
      <c r="P5715" s="79" t="str">
        <f>IF(AND('331-CT'!$E$7=TH!H5715,OR(N5715="331",O5715="331")),"x","")</f>
        <v/>
      </c>
      <c r="Q5715" s="79" t="str">
        <f>IF(AND(B5715='111'!$L$11,OR($N5715=$Q$7,$O5715=$Q$7)),"x","")</f>
        <v/>
      </c>
      <c r="R5715" s="79" t="str">
        <f>IF(AND($N5715=$Q$7,$B5715&lt;'111'!$L$11),"x","")</f>
        <v/>
      </c>
      <c r="S5715" s="79" t="str">
        <f>IF(AND($O5715=$Q$7,$B5715&lt;'111'!$L$11),"x","")</f>
        <v/>
      </c>
      <c r="T5715" s="79" t="str">
        <f>IF(ISERROR(FIND('112'!$M$9,G5715,1)),"",IF((AND(FIND('112'!$M$9,G5715,1)&gt;=1,B5715='112'!$K$9,OR($N5715='112'!$I$6,$O5715='112'!$I$6))),"x",""))</f>
        <v/>
      </c>
      <c r="U5715" s="79" t="str">
        <f>IF(ISERROR(FIND('112'!$M$9,G5715,1)),"",IF((AND(LEFT(G5715,2)=LEFT('112'!$M$9,2),B5715&lt;'112'!$K$9,$N5715='112'!$I$6)),"x",""))</f>
        <v/>
      </c>
      <c r="V5715" s="79" t="str">
        <f>IF(ISERROR(FIND('112'!$M$9,G5715,1)),"",IF((AND(RIGHT(G5715,2)=RIGHT('112'!$M$9,2),B5715&lt;'112'!$K$9,$O5715='112'!$I$6)),"x",""))</f>
        <v/>
      </c>
      <c r="W5715" s="79" t="str">
        <f>IF(AND('341-CT'!$H$9=H5715,OR(LEFT(N5715,3)=$W$7,LEFT(O5715,3)=$W$7)),"x","")</f>
        <v/>
      </c>
      <c r="X5715" s="79" t="str">
        <f>IF(OR(TH!N5715=TH!$X$7,O5715=TH!$X$7),"x","")</f>
        <v/>
      </c>
      <c r="Y5715" s="79" t="str">
        <f>IF(AND(OR(N5715="131",O5715="131"),H5715='131-CT'!$H$9),"x","")</f>
        <v/>
      </c>
      <c r="Z5715" s="79"/>
      <c r="AA5715" s="79" t="str">
        <f>IF(AND(MONTH(E5715)='IN-NX'!$J$5,'IN-NX'!$D$7=D5715),"x","")</f>
        <v/>
      </c>
      <c r="AB5715" s="79" t="str">
        <f>IF(AND(OR(LEFT(TH!N5715,2)="15",LEFT(TH!O5715,2)="15"),LEFT(TH!O5715,3)&lt;&gt;"111",'152-CT'!$J$8=TH!F5715),"x","")</f>
        <v/>
      </c>
      <c r="AC5715" s="79" t="str">
        <f>IF(AND(OR(LEFT(TH!N5715,2)="15",LEFT(TH!O5715,2)="15"),TK!$E$7=TH!F5715),"x","")</f>
        <v/>
      </c>
      <c r="AD5715" s="79" t="str">
        <f>IF(AND(N5715="1521",MONTH(C5715)='BK-NL'!$M$11),"x","")</f>
        <v/>
      </c>
    </row>
    <row r="5716" spans="1:30" ht="16.5" customHeight="1">
      <c r="A5716" s="318" t="str">
        <f>IF(B5716&lt;&gt;"",IF(AND(B5716='IN-TC'!$S$4,OR(TH!N5716="1111",TH!O5716="1111")),TH!D5716,""),"")</f>
        <v/>
      </c>
      <c r="B5716" s="60" t="str">
        <f t="shared" si="510"/>
        <v/>
      </c>
      <c r="C5716" s="137"/>
      <c r="D5716" s="61"/>
      <c r="E5716" s="137"/>
      <c r="F5716" s="446"/>
      <c r="G5716" s="64"/>
      <c r="H5716" s="69"/>
      <c r="I5716" s="385"/>
      <c r="J5716" s="392"/>
      <c r="K5716" s="385"/>
      <c r="L5716" s="392"/>
      <c r="M5716" s="138"/>
      <c r="N5716" s="63"/>
      <c r="O5716" s="63"/>
      <c r="P5716" s="79" t="str">
        <f>IF(AND('331-CT'!$E$7=TH!H5716,OR(N5716="331",O5716="331")),"x","")</f>
        <v/>
      </c>
      <c r="Q5716" s="79" t="str">
        <f>IF(AND(B5716='111'!$L$11,OR($N5716=$Q$7,$O5716=$Q$7)),"x","")</f>
        <v/>
      </c>
      <c r="R5716" s="79" t="str">
        <f>IF(AND($N5716=$Q$7,$B5716&lt;'111'!$L$11),"x","")</f>
        <v/>
      </c>
      <c r="S5716" s="79" t="str">
        <f>IF(AND($O5716=$Q$7,$B5716&lt;'111'!$L$11),"x","")</f>
        <v/>
      </c>
      <c r="T5716" s="79" t="str">
        <f>IF(ISERROR(FIND('112'!$M$9,G5716,1)),"",IF((AND(FIND('112'!$M$9,G5716,1)&gt;=1,B5716='112'!$K$9,OR($N5716='112'!$I$6,$O5716='112'!$I$6))),"x",""))</f>
        <v/>
      </c>
      <c r="U5716" s="79" t="str">
        <f>IF(ISERROR(FIND('112'!$M$9,G5716,1)),"",IF((AND(LEFT(G5716,2)=LEFT('112'!$M$9,2),B5716&lt;'112'!$K$9,$N5716='112'!$I$6)),"x",""))</f>
        <v/>
      </c>
      <c r="V5716" s="79" t="str">
        <f>IF(ISERROR(FIND('112'!$M$9,G5716,1)),"",IF((AND(RIGHT(G5716,2)=RIGHT('112'!$M$9,2),B5716&lt;'112'!$K$9,$O5716='112'!$I$6)),"x",""))</f>
        <v/>
      </c>
      <c r="W5716" s="79" t="str">
        <f>IF(AND('341-CT'!$H$9=H5716,OR(LEFT(N5716,3)=$W$7,LEFT(O5716,3)=$W$7)),"x","")</f>
        <v/>
      </c>
      <c r="X5716" s="79" t="str">
        <f>IF(OR(TH!N5716=TH!$X$7,O5716=TH!$X$7),"x","")</f>
        <v/>
      </c>
      <c r="Y5716" s="79" t="str">
        <f>IF(AND(OR(N5716="131",O5716="131"),H5716='131-CT'!$H$9),"x","")</f>
        <v/>
      </c>
      <c r="Z5716" s="79"/>
      <c r="AA5716" s="79" t="str">
        <f>IF(AND(MONTH(E5716)='IN-NX'!$J$5,'IN-NX'!$D$7=D5716),"x","")</f>
        <v/>
      </c>
      <c r="AB5716" s="79" t="str">
        <f>IF(AND(OR(LEFT(TH!N5716,2)="15",LEFT(TH!O5716,2)="15"),LEFT(TH!O5716,3)&lt;&gt;"111",'152-CT'!$J$8=TH!F5716),"x","")</f>
        <v/>
      </c>
      <c r="AC5716" s="79" t="str">
        <f>IF(AND(OR(LEFT(TH!N5716,2)="15",LEFT(TH!O5716,2)="15"),TK!$E$7=TH!F5716),"x","")</f>
        <v/>
      </c>
      <c r="AD5716" s="79" t="str">
        <f>IF(AND(N5716="1521",MONTH(C5716)='BK-NL'!$M$11),"x","")</f>
        <v/>
      </c>
    </row>
    <row r="5717" spans="1:30" ht="16.5" customHeight="1">
      <c r="A5717" s="318" t="str">
        <f>IF(B5717&lt;&gt;"",IF(AND(B5717='IN-TC'!$S$4,OR(TH!N5717="1111",TH!O5717="1111")),TH!D5717,""),"")</f>
        <v/>
      </c>
      <c r="B5717" s="60" t="str">
        <f t="shared" si="510"/>
        <v/>
      </c>
      <c r="C5717" s="61"/>
      <c r="D5717" s="61"/>
      <c r="E5717" s="61"/>
      <c r="F5717" s="446"/>
      <c r="G5717" s="64"/>
      <c r="H5717" s="321"/>
      <c r="I5717" s="387"/>
      <c r="J5717" s="394"/>
      <c r="K5717" s="387"/>
      <c r="L5717" s="394"/>
      <c r="M5717" s="62"/>
      <c r="N5717" s="63"/>
      <c r="O5717" s="63"/>
      <c r="P5717" s="79" t="str">
        <f>IF(AND('331-CT'!$E$7=TH!H5717,OR(N5717="331",O5717="331")),"x","")</f>
        <v/>
      </c>
      <c r="Q5717" s="79" t="str">
        <f>IF(AND(B5717='111'!$L$11,OR($N5717=$Q$7,$O5717=$Q$7)),"x","")</f>
        <v/>
      </c>
      <c r="R5717" s="79" t="str">
        <f>IF(AND($N5717=$Q$7,$B5717&lt;'111'!$L$11),"x","")</f>
        <v/>
      </c>
      <c r="S5717" s="79" t="str">
        <f>IF(AND($O5717=$Q$7,$B5717&lt;'111'!$L$11),"x","")</f>
        <v/>
      </c>
      <c r="T5717" s="79" t="str">
        <f>IF(ISERROR(FIND('112'!$M$9,G5717,1)),"",IF((AND(FIND('112'!$M$9,G5717,1)&gt;=1,B5717='112'!$K$9,OR($N5717='112'!$I$6,$O5717='112'!$I$6))),"x",""))</f>
        <v/>
      </c>
      <c r="U5717" s="79" t="str">
        <f>IF(ISERROR(FIND('112'!$M$9,G5717,1)),"",IF((AND(LEFT(G5717,2)=LEFT('112'!$M$9,2),B5717&lt;'112'!$K$9,$N5717='112'!$I$6)),"x",""))</f>
        <v/>
      </c>
      <c r="V5717" s="79" t="str">
        <f>IF(ISERROR(FIND('112'!$M$9,G5717,1)),"",IF((AND(RIGHT(G5717,2)=RIGHT('112'!$M$9,2),B5717&lt;'112'!$K$9,$O5717='112'!$I$6)),"x",""))</f>
        <v/>
      </c>
      <c r="W5717" s="79" t="str">
        <f>IF(AND('341-CT'!$H$9=H5717,OR(LEFT(N5717,3)=$W$7,LEFT(O5717,3)=$W$7)),"x","")</f>
        <v/>
      </c>
      <c r="X5717" s="79" t="str">
        <f>IF(OR(TH!N5717=TH!$X$7,O5717=TH!$X$7),"x","")</f>
        <v/>
      </c>
      <c r="Y5717" s="79" t="str">
        <f>IF(AND(OR(N5717="131",O5717="131"),H5717='131-CT'!$H$9),"x","")</f>
        <v/>
      </c>
      <c r="Z5717" s="79"/>
      <c r="AA5717" s="79" t="str">
        <f>IF(AND(MONTH(E5717)='IN-NX'!$J$5,'IN-NX'!$D$7=D5717),"x","")</f>
        <v/>
      </c>
      <c r="AB5717" s="79" t="str">
        <f>IF(AND(OR(LEFT(TH!N5717,2)="15",LEFT(TH!O5717,2)="15"),LEFT(TH!O5717,3)&lt;&gt;"111",'152-CT'!$J$8=TH!F5717),"x","")</f>
        <v/>
      </c>
      <c r="AC5717" s="79" t="str">
        <f>IF(AND(OR(LEFT(TH!N5717,2)="15",LEFT(TH!O5717,2)="15"),TK!$E$7=TH!F5717),"x","")</f>
        <v/>
      </c>
      <c r="AD5717" s="79" t="str">
        <f>IF(AND(N5717="1521",MONTH(C5717)='BK-NL'!$M$11),"x","")</f>
        <v/>
      </c>
    </row>
    <row r="5718" spans="1:30" ht="16.5" customHeight="1">
      <c r="A5718" s="318" t="str">
        <f>IF(B5718&lt;&gt;"",IF(AND(B5718='IN-TC'!$S$4,OR(TH!N5718="1111",TH!O5718="1111")),TH!D5718,""),"")</f>
        <v/>
      </c>
      <c r="B5718" s="60" t="str">
        <f t="shared" si="510"/>
        <v/>
      </c>
      <c r="C5718" s="61"/>
      <c r="D5718" s="61"/>
      <c r="E5718" s="61"/>
      <c r="F5718" s="446"/>
      <c r="G5718" s="64"/>
      <c r="H5718" s="321"/>
      <c r="I5718" s="387"/>
      <c r="J5718" s="394"/>
      <c r="K5718" s="387"/>
      <c r="L5718" s="394"/>
      <c r="M5718" s="62"/>
      <c r="N5718" s="63"/>
      <c r="O5718" s="63"/>
      <c r="P5718" s="79" t="str">
        <f>IF(AND('331-CT'!$E$7=TH!H5718,OR(N5718="331",O5718="331")),"x","")</f>
        <v/>
      </c>
      <c r="Q5718" s="79" t="str">
        <f>IF(AND(B5718='111'!$L$11,OR($N5718=$Q$7,$O5718=$Q$7)),"x","")</f>
        <v/>
      </c>
      <c r="R5718" s="79" t="str">
        <f>IF(AND($N5718=$Q$7,$B5718&lt;'111'!$L$11),"x","")</f>
        <v/>
      </c>
      <c r="S5718" s="79" t="str">
        <f>IF(AND($O5718=$Q$7,$B5718&lt;'111'!$L$11),"x","")</f>
        <v/>
      </c>
      <c r="T5718" s="79" t="str">
        <f>IF(ISERROR(FIND('112'!$M$9,G5718,1)),"",IF((AND(FIND('112'!$M$9,G5718,1)&gt;=1,B5718='112'!$K$9,OR($N5718='112'!$I$6,$O5718='112'!$I$6))),"x",""))</f>
        <v/>
      </c>
      <c r="U5718" s="79" t="str">
        <f>IF(ISERROR(FIND('112'!$M$9,G5718,1)),"",IF((AND(LEFT(G5718,2)=LEFT('112'!$M$9,2),B5718&lt;'112'!$K$9,$N5718='112'!$I$6)),"x",""))</f>
        <v/>
      </c>
      <c r="V5718" s="79" t="str">
        <f>IF(ISERROR(FIND('112'!$M$9,G5718,1)),"",IF((AND(RIGHT(G5718,2)=RIGHT('112'!$M$9,2),B5718&lt;'112'!$K$9,$O5718='112'!$I$6)),"x",""))</f>
        <v/>
      </c>
      <c r="W5718" s="79" t="str">
        <f>IF(AND('341-CT'!$H$9=H5718,OR(LEFT(N5718,3)=$W$7,LEFT(O5718,3)=$W$7)),"x","")</f>
        <v/>
      </c>
      <c r="X5718" s="79" t="str">
        <f>IF(OR(TH!N5718=TH!$X$7,O5718=TH!$X$7),"x","")</f>
        <v/>
      </c>
      <c r="Y5718" s="79" t="str">
        <f>IF(AND(OR(N5718="131",O5718="131"),H5718='131-CT'!$H$9),"x","")</f>
        <v/>
      </c>
      <c r="Z5718" s="79"/>
      <c r="AA5718" s="79" t="str">
        <f>IF(AND(MONTH(E5718)='IN-NX'!$J$5,'IN-NX'!$D$7=D5718),"x","")</f>
        <v/>
      </c>
      <c r="AB5718" s="79" t="str">
        <f>IF(AND(OR(LEFT(TH!N5718,2)="15",LEFT(TH!O5718,2)="15"),LEFT(TH!O5718,3)&lt;&gt;"111",'152-CT'!$J$8=TH!F5718),"x","")</f>
        <v/>
      </c>
      <c r="AC5718" s="79" t="str">
        <f>IF(AND(OR(LEFT(TH!N5718,2)="15",LEFT(TH!O5718,2)="15"),TK!$E$7=TH!F5718),"x","")</f>
        <v/>
      </c>
      <c r="AD5718" s="79" t="str">
        <f>IF(AND(N5718="1521",MONTH(C5718)='BK-NL'!$M$11),"x","")</f>
        <v/>
      </c>
    </row>
    <row r="5719" spans="1:30" ht="16.5" customHeight="1">
      <c r="A5719" s="318" t="str">
        <f>IF(B5719&lt;&gt;"",IF(AND(B5719='IN-TC'!$S$4,OR(TH!N5719="1111",TH!O5719="1111")),TH!D5719,""),"")</f>
        <v/>
      </c>
      <c r="B5719" s="60" t="str">
        <f t="shared" si="510"/>
        <v/>
      </c>
      <c r="C5719" s="61"/>
      <c r="D5719" s="61"/>
      <c r="E5719" s="61"/>
      <c r="F5719" s="446"/>
      <c r="G5719" s="64"/>
      <c r="H5719" s="69"/>
      <c r="I5719" s="385"/>
      <c r="J5719" s="392"/>
      <c r="K5719" s="385"/>
      <c r="L5719" s="392"/>
      <c r="M5719" s="62"/>
      <c r="N5719" s="63"/>
      <c r="O5719" s="63"/>
      <c r="P5719" s="79" t="str">
        <f>IF(AND('331-CT'!$E$7=TH!H5719,OR(N5719="331",O5719="331")),"x","")</f>
        <v/>
      </c>
      <c r="Q5719" s="79" t="str">
        <f>IF(AND(B5719='111'!$L$11,OR($N5719=$Q$7,$O5719=$Q$7)),"x","")</f>
        <v/>
      </c>
      <c r="R5719" s="79" t="str">
        <f>IF(AND($N5719=$Q$7,$B5719&lt;'111'!$L$11),"x","")</f>
        <v/>
      </c>
      <c r="S5719" s="79" t="str">
        <f>IF(AND($O5719=$Q$7,$B5719&lt;'111'!$L$11),"x","")</f>
        <v/>
      </c>
      <c r="T5719" s="79" t="str">
        <f>IF(ISERROR(FIND('112'!$M$9,G5719,1)),"",IF((AND(FIND('112'!$M$9,G5719,1)&gt;=1,B5719='112'!$K$9,OR($N5719='112'!$I$6,$O5719='112'!$I$6))),"x",""))</f>
        <v/>
      </c>
      <c r="U5719" s="79" t="str">
        <f>IF(ISERROR(FIND('112'!$M$9,G5719,1)),"",IF((AND(LEFT(G5719,2)=LEFT('112'!$M$9,2),B5719&lt;'112'!$K$9,$N5719='112'!$I$6)),"x",""))</f>
        <v/>
      </c>
      <c r="V5719" s="79" t="str">
        <f>IF(ISERROR(FIND('112'!$M$9,G5719,1)),"",IF((AND(RIGHT(G5719,2)=RIGHT('112'!$M$9,2),B5719&lt;'112'!$K$9,$O5719='112'!$I$6)),"x",""))</f>
        <v/>
      </c>
      <c r="W5719" s="79" t="str">
        <f>IF(AND('341-CT'!$H$9=H5719,OR(LEFT(N5719,3)=$W$7,LEFT(O5719,3)=$W$7)),"x","")</f>
        <v/>
      </c>
      <c r="X5719" s="79" t="str">
        <f>IF(OR(TH!N5719=TH!$X$7,O5719=TH!$X$7),"x","")</f>
        <v/>
      </c>
      <c r="Y5719" s="79" t="str">
        <f>IF(AND(OR(N5719="131",O5719="131"),H5719='131-CT'!$H$9),"x","")</f>
        <v/>
      </c>
      <c r="Z5719" s="79"/>
      <c r="AA5719" s="79" t="str">
        <f>IF(AND(MONTH(E5719)='IN-NX'!$J$5,'IN-NX'!$D$7=D5719),"x","")</f>
        <v/>
      </c>
      <c r="AB5719" s="79" t="str">
        <f>IF(AND(OR(LEFT(TH!N5719,2)="15",LEFT(TH!O5719,2)="15"),LEFT(TH!O5719,3)&lt;&gt;"111",'152-CT'!$J$8=TH!F5719),"x","")</f>
        <v/>
      </c>
      <c r="AC5719" s="79" t="str">
        <f>IF(AND(OR(LEFT(TH!N5719,2)="15",LEFT(TH!O5719,2)="15"),TK!$E$7=TH!F5719),"x","")</f>
        <v/>
      </c>
      <c r="AD5719" s="79" t="str">
        <f>IF(AND(N5719="1521",MONTH(C5719)='BK-NL'!$M$11),"x","")</f>
        <v/>
      </c>
    </row>
    <row r="5720" spans="1:30" ht="16.5" customHeight="1">
      <c r="A5720" s="318" t="str">
        <f>IF(B5720&lt;&gt;"",IF(AND(B5720='IN-TC'!$S$4,OR(TH!N5720="1111",TH!O5720="1111")),TH!D5720,""),"")</f>
        <v/>
      </c>
      <c r="B5720" s="60" t="str">
        <f t="shared" si="510"/>
        <v/>
      </c>
      <c r="C5720" s="61"/>
      <c r="D5720" s="61"/>
      <c r="E5720" s="61"/>
      <c r="F5720" s="446"/>
      <c r="G5720" s="64"/>
      <c r="H5720" s="69"/>
      <c r="I5720" s="385"/>
      <c r="J5720" s="392"/>
      <c r="K5720" s="385"/>
      <c r="L5720" s="392"/>
      <c r="M5720" s="62"/>
      <c r="N5720" s="63"/>
      <c r="O5720" s="63"/>
      <c r="P5720" s="79" t="str">
        <f>IF(AND('331-CT'!$E$7=TH!H5720,OR(N5720="331",O5720="331")),"x","")</f>
        <v/>
      </c>
      <c r="Q5720" s="79" t="str">
        <f>IF(AND(B5720='111'!$L$11,OR($N5720=$Q$7,$O5720=$Q$7)),"x","")</f>
        <v/>
      </c>
      <c r="R5720" s="79" t="str">
        <f>IF(AND($N5720=$Q$7,$B5720&lt;'111'!$L$11),"x","")</f>
        <v/>
      </c>
      <c r="S5720" s="79" t="str">
        <f>IF(AND($O5720=$Q$7,$B5720&lt;'111'!$L$11),"x","")</f>
        <v/>
      </c>
      <c r="T5720" s="79" t="str">
        <f>IF(ISERROR(FIND('112'!$M$9,G5720,1)),"",IF((AND(FIND('112'!$M$9,G5720,1)&gt;=1,B5720='112'!$K$9,OR($N5720='112'!$I$6,$O5720='112'!$I$6))),"x",""))</f>
        <v/>
      </c>
      <c r="U5720" s="79" t="str">
        <f>IF(ISERROR(FIND('112'!$M$9,G5720,1)),"",IF((AND(LEFT(G5720,2)=LEFT('112'!$M$9,2),B5720&lt;'112'!$K$9,$N5720='112'!$I$6)),"x",""))</f>
        <v/>
      </c>
      <c r="V5720" s="79" t="str">
        <f>IF(ISERROR(FIND('112'!$M$9,G5720,1)),"",IF((AND(RIGHT(G5720,2)=RIGHT('112'!$M$9,2),B5720&lt;'112'!$K$9,$O5720='112'!$I$6)),"x",""))</f>
        <v/>
      </c>
      <c r="W5720" s="79" t="str">
        <f>IF(AND('341-CT'!$H$9=H5720,OR(LEFT(N5720,3)=$W$7,LEFT(O5720,3)=$W$7)),"x","")</f>
        <v/>
      </c>
      <c r="X5720" s="79" t="str">
        <f>IF(OR(TH!N5720=TH!$X$7,O5720=TH!$X$7),"x","")</f>
        <v/>
      </c>
      <c r="Y5720" s="79" t="str">
        <f>IF(AND(OR(N5720="131",O5720="131"),H5720='131-CT'!$H$9),"x","")</f>
        <v/>
      </c>
      <c r="Z5720" s="79"/>
      <c r="AA5720" s="79" t="str">
        <f>IF(AND(MONTH(E5720)='IN-NX'!$J$5,'IN-NX'!$D$7=D5720),"x","")</f>
        <v/>
      </c>
      <c r="AB5720" s="79" t="str">
        <f>IF(AND(OR(LEFT(TH!N5720,2)="15",LEFT(TH!O5720,2)="15"),LEFT(TH!O5720,3)&lt;&gt;"111",'152-CT'!$J$8=TH!F5720),"x","")</f>
        <v/>
      </c>
      <c r="AC5720" s="79" t="str">
        <f>IF(AND(OR(LEFT(TH!N5720,2)="15",LEFT(TH!O5720,2)="15"),TK!$E$7=TH!F5720),"x","")</f>
        <v/>
      </c>
      <c r="AD5720" s="79" t="str">
        <f>IF(AND(N5720="1521",MONTH(C5720)='BK-NL'!$M$11),"x","")</f>
        <v/>
      </c>
    </row>
    <row r="5721" spans="1:30" ht="16.5" customHeight="1">
      <c r="A5721" s="318" t="str">
        <f>IF(B5721&lt;&gt;"",IF(AND(B5721='IN-TC'!$S$4,OR(TH!N5721="1111",TH!O5721="1111")),TH!D5721,""),"")</f>
        <v/>
      </c>
      <c r="B5721" s="60" t="str">
        <f t="shared" si="510"/>
        <v/>
      </c>
      <c r="C5721" s="61"/>
      <c r="D5721" s="61"/>
      <c r="E5721" s="61"/>
      <c r="F5721" s="446"/>
      <c r="G5721" s="64"/>
      <c r="H5721" s="69"/>
      <c r="I5721" s="385"/>
      <c r="J5721" s="392"/>
      <c r="K5721" s="385"/>
      <c r="L5721" s="392"/>
      <c r="M5721" s="62"/>
      <c r="N5721" s="63"/>
      <c r="O5721" s="63"/>
      <c r="P5721" s="79" t="str">
        <f>IF(AND('331-CT'!$E$7=TH!H5721,OR(N5721="331",O5721="331")),"x","")</f>
        <v/>
      </c>
      <c r="Q5721" s="79" t="str">
        <f>IF(AND(B5721='111'!$L$11,OR($N5721=$Q$7,$O5721=$Q$7)),"x","")</f>
        <v/>
      </c>
      <c r="R5721" s="79" t="str">
        <f>IF(AND($N5721=$Q$7,$B5721&lt;'111'!$L$11),"x","")</f>
        <v/>
      </c>
      <c r="S5721" s="79" t="str">
        <f>IF(AND($O5721=$Q$7,$B5721&lt;'111'!$L$11),"x","")</f>
        <v/>
      </c>
      <c r="T5721" s="79" t="str">
        <f>IF(ISERROR(FIND('112'!$M$9,G5721,1)),"",IF((AND(FIND('112'!$M$9,G5721,1)&gt;=1,B5721='112'!$K$9,OR($N5721='112'!$I$6,$O5721='112'!$I$6))),"x",""))</f>
        <v/>
      </c>
      <c r="U5721" s="79" t="str">
        <f>IF(ISERROR(FIND('112'!$M$9,G5721,1)),"",IF((AND(LEFT(G5721,2)=LEFT('112'!$M$9,2),B5721&lt;'112'!$K$9,$N5721='112'!$I$6)),"x",""))</f>
        <v/>
      </c>
      <c r="V5721" s="79" t="str">
        <f>IF(ISERROR(FIND('112'!$M$9,G5721,1)),"",IF((AND(RIGHT(G5721,2)=RIGHT('112'!$M$9,2),B5721&lt;'112'!$K$9,$O5721='112'!$I$6)),"x",""))</f>
        <v/>
      </c>
      <c r="W5721" s="79" t="str">
        <f>IF(AND('341-CT'!$H$9=H5721,OR(LEFT(N5721,3)=$W$7,LEFT(O5721,3)=$W$7)),"x","")</f>
        <v/>
      </c>
      <c r="X5721" s="79" t="str">
        <f>IF(OR(TH!N5721=TH!$X$7,O5721=TH!$X$7),"x","")</f>
        <v/>
      </c>
      <c r="Y5721" s="79" t="str">
        <f>IF(AND(OR(N5721="131",O5721="131"),H5721='131-CT'!$H$9),"x","")</f>
        <v/>
      </c>
      <c r="Z5721" s="79"/>
      <c r="AA5721" s="79" t="str">
        <f>IF(AND(MONTH(E5721)='IN-NX'!$J$5,'IN-NX'!$D$7=D5721),"x","")</f>
        <v/>
      </c>
      <c r="AB5721" s="79" t="str">
        <f>IF(AND(OR(LEFT(TH!N5721,2)="15",LEFT(TH!O5721,2)="15"),LEFT(TH!O5721,3)&lt;&gt;"111",'152-CT'!$J$8=TH!F5721),"x","")</f>
        <v/>
      </c>
      <c r="AC5721" s="79" t="str">
        <f>IF(AND(OR(LEFT(TH!N5721,2)="15",LEFT(TH!O5721,2)="15"),TK!$E$7=TH!F5721),"x","")</f>
        <v/>
      </c>
      <c r="AD5721" s="79" t="str">
        <f>IF(AND(N5721="1521",MONTH(C5721)='BK-NL'!$M$11),"x","")</f>
        <v/>
      </c>
    </row>
    <row r="5722" spans="1:30" ht="16.5" customHeight="1">
      <c r="A5722" s="318" t="str">
        <f>IF(B5722&lt;&gt;"",IF(AND(B5722='IN-TC'!$S$4,OR(TH!N5722="1111",TH!O5722="1111")),TH!D5722,""),"")</f>
        <v/>
      </c>
      <c r="B5722" s="60" t="str">
        <f t="shared" si="510"/>
        <v/>
      </c>
      <c r="C5722" s="61"/>
      <c r="D5722" s="61"/>
      <c r="E5722" s="61"/>
      <c r="F5722" s="446"/>
      <c r="G5722" s="64"/>
      <c r="H5722" s="69"/>
      <c r="I5722" s="385"/>
      <c r="J5722" s="392"/>
      <c r="K5722" s="385"/>
      <c r="L5722" s="392"/>
      <c r="M5722" s="62"/>
      <c r="N5722" s="63"/>
      <c r="O5722" s="63"/>
      <c r="P5722" s="79" t="str">
        <f>IF(AND('331-CT'!$E$7=TH!H5722,OR(N5722="331",O5722="331")),"x","")</f>
        <v/>
      </c>
      <c r="Q5722" s="79" t="str">
        <f>IF(AND(B5722='111'!$L$11,OR($N5722=$Q$7,$O5722=$Q$7)),"x","")</f>
        <v/>
      </c>
      <c r="R5722" s="79" t="str">
        <f>IF(AND($N5722=$Q$7,$B5722&lt;'111'!$L$11),"x","")</f>
        <v/>
      </c>
      <c r="S5722" s="79" t="str">
        <f>IF(AND($O5722=$Q$7,$B5722&lt;'111'!$L$11),"x","")</f>
        <v/>
      </c>
      <c r="T5722" s="79" t="str">
        <f>IF(ISERROR(FIND('112'!$M$9,G5722,1)),"",IF((AND(FIND('112'!$M$9,G5722,1)&gt;=1,B5722='112'!$K$9,OR($N5722='112'!$I$6,$O5722='112'!$I$6))),"x",""))</f>
        <v/>
      </c>
      <c r="U5722" s="79" t="str">
        <f>IF(ISERROR(FIND('112'!$M$9,G5722,1)),"",IF((AND(LEFT(G5722,2)=LEFT('112'!$M$9,2),B5722&lt;'112'!$K$9,$N5722='112'!$I$6)),"x",""))</f>
        <v/>
      </c>
      <c r="V5722" s="79" t="str">
        <f>IF(ISERROR(FIND('112'!$M$9,G5722,1)),"",IF((AND(RIGHT(G5722,2)=RIGHT('112'!$M$9,2),B5722&lt;'112'!$K$9,$O5722='112'!$I$6)),"x",""))</f>
        <v/>
      </c>
      <c r="W5722" s="79" t="str">
        <f>IF(AND('341-CT'!$H$9=H5722,OR(LEFT(N5722,3)=$W$7,LEFT(O5722,3)=$W$7)),"x","")</f>
        <v/>
      </c>
      <c r="X5722" s="79" t="str">
        <f>IF(OR(TH!N5722=TH!$X$7,O5722=TH!$X$7),"x","")</f>
        <v/>
      </c>
      <c r="Y5722" s="79" t="str">
        <f>IF(AND(OR(N5722="131",O5722="131"),H5722='131-CT'!$H$9),"x","")</f>
        <v/>
      </c>
      <c r="Z5722" s="79"/>
      <c r="AA5722" s="79" t="str">
        <f>IF(AND(MONTH(E5722)='IN-NX'!$J$5,'IN-NX'!$D$7=D5722),"x","")</f>
        <v/>
      </c>
      <c r="AB5722" s="79" t="str">
        <f>IF(AND(OR(LEFT(TH!N5722,2)="15",LEFT(TH!O5722,2)="15"),LEFT(TH!O5722,3)&lt;&gt;"111",'152-CT'!$J$8=TH!F5722),"x","")</f>
        <v/>
      </c>
      <c r="AC5722" s="79" t="str">
        <f>IF(AND(OR(LEFT(TH!N5722,2)="15",LEFT(TH!O5722,2)="15"),TK!$E$7=TH!F5722),"x","")</f>
        <v/>
      </c>
      <c r="AD5722" s="79" t="str">
        <f>IF(AND(N5722="1521",MONTH(C5722)='BK-NL'!$M$11),"x","")</f>
        <v/>
      </c>
    </row>
    <row r="5723" spans="1:30" ht="16.5" customHeight="1">
      <c r="A5723" s="318" t="str">
        <f>IF(B5723&lt;&gt;"",IF(AND(B5723='IN-TC'!$S$4,OR(TH!N5723="1111",TH!O5723="1111")),TH!D5723,""),"")</f>
        <v/>
      </c>
      <c r="B5723" s="60" t="str">
        <f t="shared" si="510"/>
        <v/>
      </c>
      <c r="C5723" s="61"/>
      <c r="D5723" s="61"/>
      <c r="E5723" s="61"/>
      <c r="F5723" s="446"/>
      <c r="G5723" s="64"/>
      <c r="H5723" s="69"/>
      <c r="I5723" s="385"/>
      <c r="J5723" s="392"/>
      <c r="K5723" s="385"/>
      <c r="L5723" s="392"/>
      <c r="M5723" s="62"/>
      <c r="N5723" s="63"/>
      <c r="O5723" s="63"/>
      <c r="P5723" s="79" t="str">
        <f>IF(AND('331-CT'!$E$7=TH!H5723,OR(N5723="331",O5723="331")),"x","")</f>
        <v/>
      </c>
      <c r="Q5723" s="79" t="str">
        <f>IF(AND(B5723='111'!$L$11,OR($N5723=$Q$7,$O5723=$Q$7)),"x","")</f>
        <v/>
      </c>
      <c r="R5723" s="79" t="str">
        <f>IF(AND($N5723=$Q$7,$B5723&lt;'111'!$L$11),"x","")</f>
        <v/>
      </c>
      <c r="S5723" s="79" t="str">
        <f>IF(AND($O5723=$Q$7,$B5723&lt;'111'!$L$11),"x","")</f>
        <v/>
      </c>
      <c r="T5723" s="79" t="str">
        <f>IF(ISERROR(FIND('112'!$M$9,G5723,1)),"",IF((AND(FIND('112'!$M$9,G5723,1)&gt;=1,B5723='112'!$K$9,OR($N5723='112'!$I$6,$O5723='112'!$I$6))),"x",""))</f>
        <v/>
      </c>
      <c r="U5723" s="79" t="str">
        <f>IF(ISERROR(FIND('112'!$M$9,G5723,1)),"",IF((AND(LEFT(G5723,2)=LEFT('112'!$M$9,2),B5723&lt;'112'!$K$9,$N5723='112'!$I$6)),"x",""))</f>
        <v/>
      </c>
      <c r="V5723" s="79" t="str">
        <f>IF(ISERROR(FIND('112'!$M$9,G5723,1)),"",IF((AND(RIGHT(G5723,2)=RIGHT('112'!$M$9,2),B5723&lt;'112'!$K$9,$O5723='112'!$I$6)),"x",""))</f>
        <v/>
      </c>
      <c r="W5723" s="79" t="str">
        <f>IF(AND('341-CT'!$H$9=H5723,OR(LEFT(N5723,3)=$W$7,LEFT(O5723,3)=$W$7)),"x","")</f>
        <v/>
      </c>
      <c r="X5723" s="79" t="str">
        <f>IF(OR(TH!N5723=TH!$X$7,O5723=TH!$X$7),"x","")</f>
        <v/>
      </c>
      <c r="Y5723" s="79" t="str">
        <f>IF(AND(OR(N5723="131",O5723="131"),H5723='131-CT'!$H$9),"x","")</f>
        <v/>
      </c>
      <c r="Z5723" s="79"/>
      <c r="AA5723" s="79" t="str">
        <f>IF(AND(MONTH(E5723)='IN-NX'!$J$5,'IN-NX'!$D$7=D5723),"x","")</f>
        <v/>
      </c>
      <c r="AB5723" s="79" t="str">
        <f>IF(AND(OR(LEFT(TH!N5723,2)="15",LEFT(TH!O5723,2)="15"),LEFT(TH!O5723,3)&lt;&gt;"111",'152-CT'!$J$8=TH!F5723),"x","")</f>
        <v/>
      </c>
      <c r="AC5723" s="79" t="str">
        <f>IF(AND(OR(LEFT(TH!N5723,2)="15",LEFT(TH!O5723,2)="15"),TK!$E$7=TH!F5723),"x","")</f>
        <v/>
      </c>
      <c r="AD5723" s="79" t="str">
        <f>IF(AND(N5723="1521",MONTH(C5723)='BK-NL'!$M$11),"x","")</f>
        <v/>
      </c>
    </row>
    <row r="5724" spans="1:30" ht="16.5" customHeight="1">
      <c r="A5724" s="318" t="str">
        <f>IF(B5724&lt;&gt;"",IF(AND(B5724='IN-TC'!$S$4,OR(TH!N5724="1111",TH!O5724="1111")),TH!D5724,""),"")</f>
        <v/>
      </c>
      <c r="B5724" s="60" t="str">
        <f t="shared" si="510"/>
        <v/>
      </c>
      <c r="C5724" s="61"/>
      <c r="D5724" s="61"/>
      <c r="E5724" s="61"/>
      <c r="F5724" s="446"/>
      <c r="G5724" s="64"/>
      <c r="H5724" s="69"/>
      <c r="I5724" s="385"/>
      <c r="J5724" s="392"/>
      <c r="K5724" s="385"/>
      <c r="L5724" s="392"/>
      <c r="M5724" s="62"/>
      <c r="N5724" s="63"/>
      <c r="O5724" s="63"/>
      <c r="P5724" s="79" t="str">
        <f>IF(AND('331-CT'!$E$7=TH!H5724,OR(N5724="331",O5724="331")),"x","")</f>
        <v/>
      </c>
      <c r="Q5724" s="79" t="str">
        <f>IF(AND(B5724='111'!$L$11,OR($N5724=$Q$7,$O5724=$Q$7)),"x","")</f>
        <v/>
      </c>
      <c r="R5724" s="79" t="str">
        <f>IF(AND($N5724=$Q$7,$B5724&lt;'111'!$L$11),"x","")</f>
        <v/>
      </c>
      <c r="S5724" s="79" t="str">
        <f>IF(AND($O5724=$Q$7,$B5724&lt;'111'!$L$11),"x","")</f>
        <v/>
      </c>
      <c r="T5724" s="79" t="str">
        <f>IF(ISERROR(FIND('112'!$M$9,G5724,1)),"",IF((AND(FIND('112'!$M$9,G5724,1)&gt;=1,B5724='112'!$K$9,OR($N5724='112'!$I$6,$O5724='112'!$I$6))),"x",""))</f>
        <v/>
      </c>
      <c r="U5724" s="79" t="str">
        <f>IF(ISERROR(FIND('112'!$M$9,G5724,1)),"",IF((AND(LEFT(G5724,2)=LEFT('112'!$M$9,2),B5724&lt;'112'!$K$9,$N5724='112'!$I$6)),"x",""))</f>
        <v/>
      </c>
      <c r="V5724" s="79" t="str">
        <f>IF(ISERROR(FIND('112'!$M$9,G5724,1)),"",IF((AND(RIGHT(G5724,2)=RIGHT('112'!$M$9,2),B5724&lt;'112'!$K$9,$O5724='112'!$I$6)),"x",""))</f>
        <v/>
      </c>
      <c r="W5724" s="79" t="str">
        <f>IF(AND('341-CT'!$H$9=H5724,OR(LEFT(N5724,3)=$W$7,LEFT(O5724,3)=$W$7)),"x","")</f>
        <v/>
      </c>
      <c r="X5724" s="79" t="str">
        <f>IF(OR(TH!N5724=TH!$X$7,O5724=TH!$X$7),"x","")</f>
        <v/>
      </c>
      <c r="Y5724" s="79" t="str">
        <f>IF(AND(OR(N5724="131",O5724="131"),H5724='131-CT'!$H$9),"x","")</f>
        <v/>
      </c>
      <c r="Z5724" s="79"/>
      <c r="AA5724" s="79" t="str">
        <f>IF(AND(MONTH(E5724)='IN-NX'!$J$5,'IN-NX'!$D$7=D5724),"x","")</f>
        <v/>
      </c>
      <c r="AB5724" s="79" t="str">
        <f>IF(AND(OR(LEFT(TH!N5724,2)="15",LEFT(TH!O5724,2)="15"),LEFT(TH!O5724,3)&lt;&gt;"111",'152-CT'!$J$8=TH!F5724),"x","")</f>
        <v/>
      </c>
      <c r="AC5724" s="79" t="str">
        <f>IF(AND(OR(LEFT(TH!N5724,2)="15",LEFT(TH!O5724,2)="15"),TK!$E$7=TH!F5724),"x","")</f>
        <v/>
      </c>
      <c r="AD5724" s="79" t="str">
        <f>IF(AND(N5724="1521",MONTH(C5724)='BK-NL'!$M$11),"x","")</f>
        <v/>
      </c>
    </row>
    <row r="5725" spans="1:30" ht="16.5" customHeight="1">
      <c r="A5725" s="318" t="str">
        <f>IF(B5725&lt;&gt;"",IF(AND(B5725='IN-TC'!$S$4,OR(TH!N5725="1111",TH!O5725="1111")),TH!D5725,""),"")</f>
        <v/>
      </c>
      <c r="B5725" s="60" t="str">
        <f t="shared" si="510"/>
        <v/>
      </c>
      <c r="C5725" s="61"/>
      <c r="D5725" s="61"/>
      <c r="E5725" s="61"/>
      <c r="F5725" s="446"/>
      <c r="G5725" s="64"/>
      <c r="H5725" s="69"/>
      <c r="I5725" s="385"/>
      <c r="J5725" s="392"/>
      <c r="K5725" s="385"/>
      <c r="L5725" s="392"/>
      <c r="M5725" s="62"/>
      <c r="N5725" s="63"/>
      <c r="O5725" s="63"/>
      <c r="P5725" s="79" t="str">
        <f>IF(AND('331-CT'!$E$7=TH!H5725,OR(N5725="331",O5725="331")),"x","")</f>
        <v/>
      </c>
      <c r="Q5725" s="79" t="str">
        <f>IF(AND(B5725='111'!$L$11,OR($N5725=$Q$7,$O5725=$Q$7)),"x","")</f>
        <v/>
      </c>
      <c r="R5725" s="79" t="str">
        <f>IF(AND($N5725=$Q$7,$B5725&lt;'111'!$L$11),"x","")</f>
        <v/>
      </c>
      <c r="S5725" s="79" t="str">
        <f>IF(AND($O5725=$Q$7,$B5725&lt;'111'!$L$11),"x","")</f>
        <v/>
      </c>
      <c r="T5725" s="79" t="str">
        <f>IF(ISERROR(FIND('112'!$M$9,G5725,1)),"",IF((AND(FIND('112'!$M$9,G5725,1)&gt;=1,B5725='112'!$K$9,OR($N5725='112'!$I$6,$O5725='112'!$I$6))),"x",""))</f>
        <v/>
      </c>
      <c r="U5725" s="79" t="str">
        <f>IF(ISERROR(FIND('112'!$M$9,G5725,1)),"",IF((AND(LEFT(G5725,2)=LEFT('112'!$M$9,2),B5725&lt;'112'!$K$9,$N5725='112'!$I$6)),"x",""))</f>
        <v/>
      </c>
      <c r="V5725" s="79" t="str">
        <f>IF(ISERROR(FIND('112'!$M$9,G5725,1)),"",IF((AND(RIGHT(G5725,2)=RIGHT('112'!$M$9,2),B5725&lt;'112'!$K$9,$O5725='112'!$I$6)),"x",""))</f>
        <v/>
      </c>
      <c r="W5725" s="79" t="str">
        <f>IF(AND('341-CT'!$H$9=H5725,OR(LEFT(N5725,3)=$W$7,LEFT(O5725,3)=$W$7)),"x","")</f>
        <v/>
      </c>
      <c r="X5725" s="79" t="str">
        <f>IF(OR(TH!N5725=TH!$X$7,O5725=TH!$X$7),"x","")</f>
        <v/>
      </c>
      <c r="Y5725" s="79" t="str">
        <f>IF(AND(OR(N5725="131",O5725="131"),H5725='131-CT'!$H$9),"x","")</f>
        <v/>
      </c>
      <c r="Z5725" s="79"/>
      <c r="AA5725" s="79" t="str">
        <f>IF(AND(MONTH(E5725)='IN-NX'!$J$5,'IN-NX'!$D$7=D5725),"x","")</f>
        <v/>
      </c>
      <c r="AB5725" s="79" t="str">
        <f>IF(AND(OR(LEFT(TH!N5725,2)="15",LEFT(TH!O5725,2)="15"),LEFT(TH!O5725,3)&lt;&gt;"111",'152-CT'!$J$8=TH!F5725),"x","")</f>
        <v/>
      </c>
      <c r="AC5725" s="79" t="str">
        <f>IF(AND(OR(LEFT(TH!N5725,2)="15",LEFT(TH!O5725,2)="15"),TK!$E$7=TH!F5725),"x","")</f>
        <v/>
      </c>
      <c r="AD5725" s="79" t="str">
        <f>IF(AND(N5725="1521",MONTH(C5725)='BK-NL'!$M$11),"x","")</f>
        <v/>
      </c>
    </row>
    <row r="5726" spans="1:30" ht="16.5" customHeight="1">
      <c r="A5726" s="318" t="str">
        <f>IF(B5726&lt;&gt;"",IF(AND(B5726='IN-TC'!$S$4,OR(TH!N5726="1111",TH!O5726="1111")),TH!D5726,""),"")</f>
        <v/>
      </c>
      <c r="B5726" s="60" t="str">
        <f t="shared" si="510"/>
        <v/>
      </c>
      <c r="C5726" s="61"/>
      <c r="D5726" s="61"/>
      <c r="E5726" s="61"/>
      <c r="F5726" s="446"/>
      <c r="G5726" s="64"/>
      <c r="H5726" s="69"/>
      <c r="I5726" s="385"/>
      <c r="J5726" s="392"/>
      <c r="K5726" s="385"/>
      <c r="L5726" s="392"/>
      <c r="M5726" s="62"/>
      <c r="N5726" s="63"/>
      <c r="O5726" s="63"/>
      <c r="P5726" s="79" t="str">
        <f>IF(AND('331-CT'!$E$7=TH!H5726,OR(N5726="331",O5726="331")),"x","")</f>
        <v/>
      </c>
      <c r="Q5726" s="79" t="str">
        <f>IF(AND(B5726='111'!$L$11,OR($N5726=$Q$7,$O5726=$Q$7)),"x","")</f>
        <v/>
      </c>
      <c r="R5726" s="79" t="str">
        <f>IF(AND($N5726=$Q$7,$B5726&lt;'111'!$L$11),"x","")</f>
        <v/>
      </c>
      <c r="S5726" s="79" t="str">
        <f>IF(AND($O5726=$Q$7,$B5726&lt;'111'!$L$11),"x","")</f>
        <v/>
      </c>
      <c r="T5726" s="79" t="str">
        <f>IF(ISERROR(FIND('112'!$M$9,G5726,1)),"",IF((AND(FIND('112'!$M$9,G5726,1)&gt;=1,B5726='112'!$K$9,OR($N5726='112'!$I$6,$O5726='112'!$I$6))),"x",""))</f>
        <v/>
      </c>
      <c r="U5726" s="79" t="str">
        <f>IF(ISERROR(FIND('112'!$M$9,G5726,1)),"",IF((AND(LEFT(G5726,2)=LEFT('112'!$M$9,2),B5726&lt;'112'!$K$9,$N5726='112'!$I$6)),"x",""))</f>
        <v/>
      </c>
      <c r="V5726" s="79" t="str">
        <f>IF(ISERROR(FIND('112'!$M$9,G5726,1)),"",IF((AND(RIGHT(G5726,2)=RIGHT('112'!$M$9,2),B5726&lt;'112'!$K$9,$O5726='112'!$I$6)),"x",""))</f>
        <v/>
      </c>
      <c r="W5726" s="79" t="str">
        <f>IF(AND('341-CT'!$H$9=H5726,OR(LEFT(N5726,3)=$W$7,LEFT(O5726,3)=$W$7)),"x","")</f>
        <v/>
      </c>
      <c r="X5726" s="79" t="str">
        <f>IF(OR(TH!N5726=TH!$X$7,O5726=TH!$X$7),"x","")</f>
        <v/>
      </c>
      <c r="Y5726" s="79" t="str">
        <f>IF(AND(OR(N5726="131",O5726="131"),H5726='131-CT'!$H$9),"x","")</f>
        <v/>
      </c>
      <c r="Z5726" s="79"/>
      <c r="AA5726" s="79" t="str">
        <f>IF(AND(MONTH(E5726)='IN-NX'!$J$5,'IN-NX'!$D$7=D5726),"x","")</f>
        <v/>
      </c>
      <c r="AB5726" s="79" t="str">
        <f>IF(AND(OR(LEFT(TH!N5726,2)="15",LEFT(TH!O5726,2)="15"),LEFT(TH!O5726,3)&lt;&gt;"111",'152-CT'!$J$8=TH!F5726),"x","")</f>
        <v/>
      </c>
      <c r="AC5726" s="79" t="str">
        <f>IF(AND(OR(LEFT(TH!N5726,2)="15",LEFT(TH!O5726,2)="15"),TK!$E$7=TH!F5726),"x","")</f>
        <v/>
      </c>
      <c r="AD5726" s="79" t="str">
        <f>IF(AND(N5726="1521",MONTH(C5726)='BK-NL'!$M$11),"x","")</f>
        <v/>
      </c>
    </row>
    <row r="5727" spans="1:30" ht="16.5" customHeight="1">
      <c r="A5727" s="318" t="str">
        <f>IF(B5727&lt;&gt;"",IF(AND(B5727='IN-TC'!$S$4,OR(TH!N5727="1111",TH!O5727="1111")),TH!D5727,""),"")</f>
        <v/>
      </c>
      <c r="B5727" s="60" t="str">
        <f t="shared" si="510"/>
        <v/>
      </c>
      <c r="C5727" s="61"/>
      <c r="D5727" s="61"/>
      <c r="E5727" s="61"/>
      <c r="F5727" s="446"/>
      <c r="G5727" s="64"/>
      <c r="H5727" s="69"/>
      <c r="I5727" s="385"/>
      <c r="J5727" s="392"/>
      <c r="K5727" s="385"/>
      <c r="L5727" s="392"/>
      <c r="M5727" s="62"/>
      <c r="N5727" s="63"/>
      <c r="O5727" s="63"/>
      <c r="P5727" s="79" t="str">
        <f>IF(AND('331-CT'!$E$7=TH!H5727,OR(N5727="331",O5727="331")),"x","")</f>
        <v/>
      </c>
      <c r="Q5727" s="79" t="str">
        <f>IF(AND(B5727='111'!$L$11,OR($N5727=$Q$7,$O5727=$Q$7)),"x","")</f>
        <v/>
      </c>
      <c r="R5727" s="79" t="str">
        <f>IF(AND($N5727=$Q$7,$B5727&lt;'111'!$L$11),"x","")</f>
        <v/>
      </c>
      <c r="S5727" s="79" t="str">
        <f>IF(AND($O5727=$Q$7,$B5727&lt;'111'!$L$11),"x","")</f>
        <v/>
      </c>
      <c r="T5727" s="79" t="str">
        <f>IF(ISERROR(FIND('112'!$M$9,G5727,1)),"",IF((AND(FIND('112'!$M$9,G5727,1)&gt;=1,B5727='112'!$K$9,OR($N5727='112'!$I$6,$O5727='112'!$I$6))),"x",""))</f>
        <v/>
      </c>
      <c r="U5727" s="79" t="str">
        <f>IF(ISERROR(FIND('112'!$M$9,G5727,1)),"",IF((AND(LEFT(G5727,2)=LEFT('112'!$M$9,2),B5727&lt;'112'!$K$9,$N5727='112'!$I$6)),"x",""))</f>
        <v/>
      </c>
      <c r="V5727" s="79" t="str">
        <f>IF(ISERROR(FIND('112'!$M$9,G5727,1)),"",IF((AND(RIGHT(G5727,2)=RIGHT('112'!$M$9,2),B5727&lt;'112'!$K$9,$O5727='112'!$I$6)),"x",""))</f>
        <v/>
      </c>
      <c r="W5727" s="79" t="str">
        <f>IF(AND('341-CT'!$H$9=H5727,OR(LEFT(N5727,3)=$W$7,LEFT(O5727,3)=$W$7)),"x","")</f>
        <v/>
      </c>
      <c r="X5727" s="79" t="str">
        <f>IF(OR(TH!N5727=TH!$X$7,O5727=TH!$X$7),"x","")</f>
        <v/>
      </c>
      <c r="Y5727" s="79" t="str">
        <f>IF(AND(OR(N5727="131",O5727="131"),H5727='131-CT'!$H$9),"x","")</f>
        <v/>
      </c>
      <c r="Z5727" s="79"/>
      <c r="AA5727" s="79" t="str">
        <f>IF(AND(MONTH(E5727)='IN-NX'!$J$5,'IN-NX'!$D$7=D5727),"x","")</f>
        <v/>
      </c>
      <c r="AB5727" s="79" t="str">
        <f>IF(AND(OR(LEFT(TH!N5727,2)="15",LEFT(TH!O5727,2)="15"),LEFT(TH!O5727,3)&lt;&gt;"111",'152-CT'!$J$8=TH!F5727),"x","")</f>
        <v/>
      </c>
      <c r="AC5727" s="79" t="str">
        <f>IF(AND(OR(LEFT(TH!N5727,2)="15",LEFT(TH!O5727,2)="15"),TK!$E$7=TH!F5727),"x","")</f>
        <v/>
      </c>
      <c r="AD5727" s="79" t="str">
        <f>IF(AND(N5727="1521",MONTH(C5727)='BK-NL'!$M$11),"x","")</f>
        <v/>
      </c>
    </row>
    <row r="5728" spans="1:30" ht="16.5" customHeight="1">
      <c r="A5728" s="318" t="str">
        <f>IF(B5728&lt;&gt;"",IF(AND(B5728='IN-TC'!$S$4,OR(TH!N5728="1111",TH!O5728="1111")),TH!D5728,""),"")</f>
        <v/>
      </c>
      <c r="B5728" s="60" t="str">
        <f t="shared" si="510"/>
        <v/>
      </c>
      <c r="C5728" s="61"/>
      <c r="D5728" s="61"/>
      <c r="E5728" s="61"/>
      <c r="F5728" s="446"/>
      <c r="G5728" s="64"/>
      <c r="H5728" s="69"/>
      <c r="I5728" s="385"/>
      <c r="J5728" s="392"/>
      <c r="K5728" s="385"/>
      <c r="L5728" s="392"/>
      <c r="M5728" s="62"/>
      <c r="N5728" s="63"/>
      <c r="O5728" s="63"/>
      <c r="P5728" s="79" t="str">
        <f>IF(AND('331-CT'!$E$7=TH!H5728,OR(N5728="331",O5728="331")),"x","")</f>
        <v/>
      </c>
      <c r="Q5728" s="79" t="str">
        <f>IF(AND(B5728='111'!$L$11,OR($N5728=$Q$7,$O5728=$Q$7)),"x","")</f>
        <v/>
      </c>
      <c r="R5728" s="79" t="str">
        <f>IF(AND($N5728=$Q$7,$B5728&lt;'111'!$L$11),"x","")</f>
        <v/>
      </c>
      <c r="S5728" s="79" t="str">
        <f>IF(AND($O5728=$Q$7,$B5728&lt;'111'!$L$11),"x","")</f>
        <v/>
      </c>
      <c r="T5728" s="79" t="str">
        <f>IF(ISERROR(FIND('112'!$M$9,G5728,1)),"",IF((AND(FIND('112'!$M$9,G5728,1)&gt;=1,B5728='112'!$K$9,OR($N5728='112'!$I$6,$O5728='112'!$I$6))),"x",""))</f>
        <v/>
      </c>
      <c r="U5728" s="79" t="str">
        <f>IF(ISERROR(FIND('112'!$M$9,G5728,1)),"",IF((AND(LEFT(G5728,2)=LEFT('112'!$M$9,2),B5728&lt;'112'!$K$9,$N5728='112'!$I$6)),"x",""))</f>
        <v/>
      </c>
      <c r="V5728" s="79" t="str">
        <f>IF(ISERROR(FIND('112'!$M$9,G5728,1)),"",IF((AND(RIGHT(G5728,2)=RIGHT('112'!$M$9,2),B5728&lt;'112'!$K$9,$O5728='112'!$I$6)),"x",""))</f>
        <v/>
      </c>
      <c r="W5728" s="79" t="str">
        <f>IF(AND('341-CT'!$H$9=H5728,OR(LEFT(N5728,3)=$W$7,LEFT(O5728,3)=$W$7)),"x","")</f>
        <v/>
      </c>
      <c r="X5728" s="79" t="str">
        <f>IF(OR(TH!N5728=TH!$X$7,O5728=TH!$X$7),"x","")</f>
        <v/>
      </c>
      <c r="Y5728" s="79" t="str">
        <f>IF(AND(OR(N5728="131",O5728="131"),H5728='131-CT'!$H$9),"x","")</f>
        <v/>
      </c>
      <c r="Z5728" s="79"/>
      <c r="AA5728" s="79" t="str">
        <f>IF(AND(MONTH(E5728)='IN-NX'!$J$5,'IN-NX'!$D$7=D5728),"x","")</f>
        <v/>
      </c>
      <c r="AB5728" s="79" t="str">
        <f>IF(AND(OR(LEFT(TH!N5728,2)="15",LEFT(TH!O5728,2)="15"),LEFT(TH!O5728,3)&lt;&gt;"111",'152-CT'!$J$8=TH!F5728),"x","")</f>
        <v/>
      </c>
      <c r="AC5728" s="79" t="str">
        <f>IF(AND(OR(LEFT(TH!N5728,2)="15",LEFT(TH!O5728,2)="15"),TK!$E$7=TH!F5728),"x","")</f>
        <v/>
      </c>
      <c r="AD5728" s="79" t="str">
        <f>IF(AND(N5728="1521",MONTH(C5728)='BK-NL'!$M$11),"x","")</f>
        <v/>
      </c>
    </row>
    <row r="5729" spans="1:30" ht="16.5" customHeight="1">
      <c r="A5729" s="318" t="str">
        <f>IF(B5729&lt;&gt;"",IF(AND(B5729='IN-TC'!$S$4,OR(TH!N5729="1111",TH!O5729="1111")),TH!D5729,""),"")</f>
        <v/>
      </c>
      <c r="B5729" s="60" t="str">
        <f t="shared" si="510"/>
        <v/>
      </c>
      <c r="C5729" s="61"/>
      <c r="D5729" s="61"/>
      <c r="E5729" s="61"/>
      <c r="F5729" s="446"/>
      <c r="G5729" s="64"/>
      <c r="H5729" s="69"/>
      <c r="I5729" s="385"/>
      <c r="J5729" s="392"/>
      <c r="K5729" s="385"/>
      <c r="L5729" s="392"/>
      <c r="M5729" s="62"/>
      <c r="N5729" s="63"/>
      <c r="O5729" s="63"/>
      <c r="P5729" s="79" t="str">
        <f>IF(AND('331-CT'!$E$7=TH!H5729,OR(N5729="331",O5729="331")),"x","")</f>
        <v/>
      </c>
      <c r="Q5729" s="79" t="str">
        <f>IF(AND(B5729='111'!$L$11,OR($N5729=$Q$7,$O5729=$Q$7)),"x","")</f>
        <v/>
      </c>
      <c r="R5729" s="79" t="str">
        <f>IF(AND($N5729=$Q$7,$B5729&lt;'111'!$L$11),"x","")</f>
        <v/>
      </c>
      <c r="S5729" s="79" t="str">
        <f>IF(AND($O5729=$Q$7,$B5729&lt;'111'!$L$11),"x","")</f>
        <v/>
      </c>
      <c r="T5729" s="79" t="str">
        <f>IF(ISERROR(FIND('112'!$M$9,G5729,1)),"",IF((AND(FIND('112'!$M$9,G5729,1)&gt;=1,B5729='112'!$K$9,OR($N5729='112'!$I$6,$O5729='112'!$I$6))),"x",""))</f>
        <v/>
      </c>
      <c r="U5729" s="79" t="str">
        <f>IF(ISERROR(FIND('112'!$M$9,G5729,1)),"",IF((AND(LEFT(G5729,2)=LEFT('112'!$M$9,2),B5729&lt;'112'!$K$9,$N5729='112'!$I$6)),"x",""))</f>
        <v/>
      </c>
      <c r="V5729" s="79" t="str">
        <f>IF(ISERROR(FIND('112'!$M$9,G5729,1)),"",IF((AND(RIGHT(G5729,2)=RIGHT('112'!$M$9,2),B5729&lt;'112'!$K$9,$O5729='112'!$I$6)),"x",""))</f>
        <v/>
      </c>
      <c r="W5729" s="79" t="str">
        <f>IF(AND('341-CT'!$H$9=H5729,OR(LEFT(N5729,3)=$W$7,LEFT(O5729,3)=$W$7)),"x","")</f>
        <v/>
      </c>
      <c r="X5729" s="79" t="str">
        <f>IF(OR(TH!N5729=TH!$X$7,O5729=TH!$X$7),"x","")</f>
        <v/>
      </c>
      <c r="Y5729" s="79" t="str">
        <f>IF(AND(OR(N5729="131",O5729="131"),H5729='131-CT'!$H$9),"x","")</f>
        <v/>
      </c>
      <c r="Z5729" s="79"/>
      <c r="AA5729" s="79" t="str">
        <f>IF(AND(MONTH(E5729)='IN-NX'!$J$5,'IN-NX'!$D$7=D5729),"x","")</f>
        <v/>
      </c>
      <c r="AB5729" s="79" t="str">
        <f>IF(AND(OR(LEFT(TH!N5729,2)="15",LEFT(TH!O5729,2)="15"),LEFT(TH!O5729,3)&lt;&gt;"111",'152-CT'!$J$8=TH!F5729),"x","")</f>
        <v/>
      </c>
      <c r="AC5729" s="79" t="str">
        <f>IF(AND(OR(LEFT(TH!N5729,2)="15",LEFT(TH!O5729,2)="15"),TK!$E$7=TH!F5729),"x","")</f>
        <v/>
      </c>
      <c r="AD5729" s="79" t="str">
        <f>IF(AND(N5729="1521",MONTH(C5729)='BK-NL'!$M$11),"x","")</f>
        <v/>
      </c>
    </row>
    <row r="5730" spans="1:30" ht="16.5" customHeight="1">
      <c r="A5730" s="318" t="str">
        <f>IF(B5730&lt;&gt;"",IF(AND(B5730='IN-TC'!$S$4,OR(TH!N5730="1111",TH!O5730="1111")),TH!D5730,""),"")</f>
        <v/>
      </c>
      <c r="B5730" s="60" t="str">
        <f t="shared" si="510"/>
        <v/>
      </c>
      <c r="C5730" s="61"/>
      <c r="D5730" s="61"/>
      <c r="E5730" s="61"/>
      <c r="F5730" s="446"/>
      <c r="G5730" s="64"/>
      <c r="H5730" s="69"/>
      <c r="I5730" s="385"/>
      <c r="J5730" s="392"/>
      <c r="K5730" s="385"/>
      <c r="L5730" s="392"/>
      <c r="M5730" s="62"/>
      <c r="N5730" s="63"/>
      <c r="O5730" s="63"/>
      <c r="P5730" s="79" t="str">
        <f>IF(AND('331-CT'!$E$7=TH!H5730,OR(N5730="331",O5730="331")),"x","")</f>
        <v/>
      </c>
      <c r="Q5730" s="79" t="str">
        <f>IF(AND(B5730='111'!$L$11,OR($N5730=$Q$7,$O5730=$Q$7)),"x","")</f>
        <v/>
      </c>
      <c r="R5730" s="79" t="str">
        <f>IF(AND($N5730=$Q$7,$B5730&lt;'111'!$L$11),"x","")</f>
        <v/>
      </c>
      <c r="S5730" s="79" t="str">
        <f>IF(AND($O5730=$Q$7,$B5730&lt;'111'!$L$11),"x","")</f>
        <v/>
      </c>
      <c r="T5730" s="79" t="str">
        <f>IF(ISERROR(FIND('112'!$M$9,G5730,1)),"",IF((AND(FIND('112'!$M$9,G5730,1)&gt;=1,B5730='112'!$K$9,OR($N5730='112'!$I$6,$O5730='112'!$I$6))),"x",""))</f>
        <v/>
      </c>
      <c r="U5730" s="79" t="str">
        <f>IF(ISERROR(FIND('112'!$M$9,G5730,1)),"",IF((AND(LEFT(G5730,2)=LEFT('112'!$M$9,2),B5730&lt;'112'!$K$9,$N5730='112'!$I$6)),"x",""))</f>
        <v/>
      </c>
      <c r="V5730" s="79" t="str">
        <f>IF(ISERROR(FIND('112'!$M$9,G5730,1)),"",IF((AND(RIGHT(G5730,2)=RIGHT('112'!$M$9,2),B5730&lt;'112'!$K$9,$O5730='112'!$I$6)),"x",""))</f>
        <v/>
      </c>
      <c r="W5730" s="79" t="str">
        <f>IF(AND('341-CT'!$H$9=H5730,OR(LEFT(N5730,3)=$W$7,LEFT(O5730,3)=$W$7)),"x","")</f>
        <v/>
      </c>
      <c r="X5730" s="79" t="str">
        <f>IF(OR(TH!N5730=TH!$X$7,O5730=TH!$X$7),"x","")</f>
        <v/>
      </c>
      <c r="Y5730" s="79" t="str">
        <f>IF(AND(OR(N5730="131",O5730="131"),H5730='131-CT'!$H$9),"x","")</f>
        <v/>
      </c>
      <c r="Z5730" s="79"/>
      <c r="AA5730" s="79" t="str">
        <f>IF(AND(MONTH(E5730)='IN-NX'!$J$5,'IN-NX'!$D$7=D5730),"x","")</f>
        <v/>
      </c>
      <c r="AB5730" s="79" t="str">
        <f>IF(AND(OR(LEFT(TH!N5730,2)="15",LEFT(TH!O5730,2)="15"),LEFT(TH!O5730,3)&lt;&gt;"111",'152-CT'!$J$8=TH!F5730),"x","")</f>
        <v/>
      </c>
      <c r="AC5730" s="79" t="str">
        <f>IF(AND(OR(LEFT(TH!N5730,2)="15",LEFT(TH!O5730,2)="15"),TK!$E$7=TH!F5730),"x","")</f>
        <v/>
      </c>
      <c r="AD5730" s="79" t="str">
        <f>IF(AND(N5730="1521",MONTH(C5730)='BK-NL'!$M$11),"x","")</f>
        <v/>
      </c>
    </row>
    <row r="5731" spans="1:30" ht="16.5" customHeight="1">
      <c r="A5731" s="318" t="str">
        <f>IF(B5731&lt;&gt;"",IF(AND(B5731='IN-TC'!$S$4,OR(TH!N5731="1111",TH!O5731="1111")),TH!D5731,""),"")</f>
        <v/>
      </c>
      <c r="B5731" s="60" t="str">
        <f t="shared" si="510"/>
        <v/>
      </c>
      <c r="C5731" s="61"/>
      <c r="D5731" s="61"/>
      <c r="E5731" s="61"/>
      <c r="F5731" s="446"/>
      <c r="G5731" s="64"/>
      <c r="H5731" s="69"/>
      <c r="I5731" s="385"/>
      <c r="J5731" s="392"/>
      <c r="K5731" s="385"/>
      <c r="L5731" s="392"/>
      <c r="M5731" s="62"/>
      <c r="N5731" s="63"/>
      <c r="O5731" s="63"/>
      <c r="P5731" s="79" t="str">
        <f>IF(AND('331-CT'!$E$7=TH!H5731,OR(N5731="331",O5731="331")),"x","")</f>
        <v/>
      </c>
      <c r="Q5731" s="79" t="str">
        <f>IF(AND(B5731='111'!$L$11,OR($N5731=$Q$7,$O5731=$Q$7)),"x","")</f>
        <v/>
      </c>
      <c r="R5731" s="79" t="str">
        <f>IF(AND($N5731=$Q$7,$B5731&lt;'111'!$L$11),"x","")</f>
        <v/>
      </c>
      <c r="S5731" s="79" t="str">
        <f>IF(AND($O5731=$Q$7,$B5731&lt;'111'!$L$11),"x","")</f>
        <v/>
      </c>
      <c r="T5731" s="79" t="str">
        <f>IF(ISERROR(FIND('112'!$M$9,G5731,1)),"",IF((AND(FIND('112'!$M$9,G5731,1)&gt;=1,B5731='112'!$K$9,OR($N5731='112'!$I$6,$O5731='112'!$I$6))),"x",""))</f>
        <v/>
      </c>
      <c r="U5731" s="79" t="str">
        <f>IF(ISERROR(FIND('112'!$M$9,G5731,1)),"",IF((AND(LEFT(G5731,2)=LEFT('112'!$M$9,2),B5731&lt;'112'!$K$9,$N5731='112'!$I$6)),"x",""))</f>
        <v/>
      </c>
      <c r="V5731" s="79" t="str">
        <f>IF(ISERROR(FIND('112'!$M$9,G5731,1)),"",IF((AND(RIGHT(G5731,2)=RIGHT('112'!$M$9,2),B5731&lt;'112'!$K$9,$O5731='112'!$I$6)),"x",""))</f>
        <v/>
      </c>
      <c r="W5731" s="79" t="str">
        <f>IF(AND('341-CT'!$H$9=H5731,OR(LEFT(N5731,3)=$W$7,LEFT(O5731,3)=$W$7)),"x","")</f>
        <v/>
      </c>
      <c r="X5731" s="79" t="str">
        <f>IF(OR(TH!N5731=TH!$X$7,O5731=TH!$X$7),"x","")</f>
        <v/>
      </c>
      <c r="Y5731" s="79" t="str">
        <f>IF(AND(OR(N5731="131",O5731="131"),H5731='131-CT'!$H$9),"x","")</f>
        <v/>
      </c>
      <c r="Z5731" s="79"/>
      <c r="AA5731" s="79" t="str">
        <f>IF(AND(MONTH(E5731)='IN-NX'!$J$5,'IN-NX'!$D$7=D5731),"x","")</f>
        <v/>
      </c>
      <c r="AB5731" s="79" t="str">
        <f>IF(AND(OR(LEFT(TH!N5731,2)="15",LEFT(TH!O5731,2)="15"),LEFT(TH!O5731,3)&lt;&gt;"111",'152-CT'!$J$8=TH!F5731),"x","")</f>
        <v/>
      </c>
      <c r="AC5731" s="79" t="str">
        <f>IF(AND(OR(LEFT(TH!N5731,2)="15",LEFT(TH!O5731,2)="15"),TK!$E$7=TH!F5731),"x","")</f>
        <v/>
      </c>
      <c r="AD5731" s="79" t="str">
        <f>IF(AND(N5731="1521",MONTH(C5731)='BK-NL'!$M$11),"x","")</f>
        <v/>
      </c>
    </row>
    <row r="5732" spans="1:30" ht="16.5" customHeight="1">
      <c r="A5732" s="318" t="str">
        <f>IF(B5732&lt;&gt;"",IF(AND(B5732='IN-TC'!$S$4,OR(TH!N5732="1111",TH!O5732="1111")),TH!D5732,""),"")</f>
        <v/>
      </c>
      <c r="B5732" s="60" t="str">
        <f t="shared" si="510"/>
        <v/>
      </c>
      <c r="C5732" s="61"/>
      <c r="D5732" s="61"/>
      <c r="E5732" s="61"/>
      <c r="F5732" s="446"/>
      <c r="G5732" s="64"/>
      <c r="H5732" s="69"/>
      <c r="I5732" s="385"/>
      <c r="J5732" s="392"/>
      <c r="K5732" s="385"/>
      <c r="L5732" s="392"/>
      <c r="M5732" s="62"/>
      <c r="N5732" s="63"/>
      <c r="O5732" s="63"/>
      <c r="P5732" s="79" t="str">
        <f>IF(AND('331-CT'!$E$7=TH!H5732,OR(N5732="331",O5732="331")),"x","")</f>
        <v/>
      </c>
      <c r="Q5732" s="79" t="str">
        <f>IF(AND(B5732='111'!$L$11,OR($N5732=$Q$7,$O5732=$Q$7)),"x","")</f>
        <v/>
      </c>
      <c r="R5732" s="79" t="str">
        <f>IF(AND($N5732=$Q$7,$B5732&lt;'111'!$L$11),"x","")</f>
        <v/>
      </c>
      <c r="S5732" s="79" t="str">
        <f>IF(AND($O5732=$Q$7,$B5732&lt;'111'!$L$11),"x","")</f>
        <v/>
      </c>
      <c r="T5732" s="79" t="str">
        <f>IF(ISERROR(FIND('112'!$M$9,G5732,1)),"",IF((AND(FIND('112'!$M$9,G5732,1)&gt;=1,B5732='112'!$K$9,OR($N5732='112'!$I$6,$O5732='112'!$I$6))),"x",""))</f>
        <v/>
      </c>
      <c r="U5732" s="79" t="str">
        <f>IF(ISERROR(FIND('112'!$M$9,G5732,1)),"",IF((AND(LEFT(G5732,2)=LEFT('112'!$M$9,2),B5732&lt;'112'!$K$9,$N5732='112'!$I$6)),"x",""))</f>
        <v/>
      </c>
      <c r="V5732" s="79" t="str">
        <f>IF(ISERROR(FIND('112'!$M$9,G5732,1)),"",IF((AND(RIGHT(G5732,2)=RIGHT('112'!$M$9,2),B5732&lt;'112'!$K$9,$O5732='112'!$I$6)),"x",""))</f>
        <v/>
      </c>
      <c r="W5732" s="79" t="str">
        <f>IF(AND('341-CT'!$H$9=H5732,OR(LEFT(N5732,3)=$W$7,LEFT(O5732,3)=$W$7)),"x","")</f>
        <v/>
      </c>
      <c r="X5732" s="79" t="str">
        <f>IF(OR(TH!N5732=TH!$X$7,O5732=TH!$X$7),"x","")</f>
        <v/>
      </c>
      <c r="Y5732" s="79" t="str">
        <f>IF(AND(OR(N5732="131",O5732="131"),H5732='131-CT'!$H$9),"x","")</f>
        <v/>
      </c>
      <c r="Z5732" s="79"/>
      <c r="AA5732" s="79" t="str">
        <f>IF(AND(MONTH(E5732)='IN-NX'!$J$5,'IN-NX'!$D$7=D5732),"x","")</f>
        <v/>
      </c>
      <c r="AB5732" s="79" t="str">
        <f>IF(AND(OR(LEFT(TH!N5732,2)="15",LEFT(TH!O5732,2)="15"),LEFT(TH!O5732,3)&lt;&gt;"111",'152-CT'!$J$8=TH!F5732),"x","")</f>
        <v/>
      </c>
      <c r="AC5732" s="79" t="str">
        <f>IF(AND(OR(LEFT(TH!N5732,2)="15",LEFT(TH!O5732,2)="15"),TK!$E$7=TH!F5732),"x","")</f>
        <v/>
      </c>
      <c r="AD5732" s="79" t="str">
        <f>IF(AND(N5732="1521",MONTH(C5732)='BK-NL'!$M$11),"x","")</f>
        <v/>
      </c>
    </row>
    <row r="5733" spans="1:30" ht="16.5" customHeight="1">
      <c r="A5733" s="318" t="str">
        <f>IF(B5733&lt;&gt;"",IF(AND(B5733='IN-TC'!$S$4,OR(TH!N5733="1111",TH!O5733="1111")),TH!D5733,""),"")</f>
        <v/>
      </c>
      <c r="B5733" s="60" t="str">
        <f t="shared" si="510"/>
        <v/>
      </c>
      <c r="C5733" s="61"/>
      <c r="D5733" s="61"/>
      <c r="E5733" s="61"/>
      <c r="F5733" s="446"/>
      <c r="G5733" s="64"/>
      <c r="H5733" s="69"/>
      <c r="I5733" s="385"/>
      <c r="J5733" s="392"/>
      <c r="K5733" s="385"/>
      <c r="L5733" s="392"/>
      <c r="M5733" s="62"/>
      <c r="N5733" s="63"/>
      <c r="O5733" s="63"/>
      <c r="P5733" s="79" t="str">
        <f>IF(AND('331-CT'!$E$7=TH!H5733,OR(N5733="331",O5733="331")),"x","")</f>
        <v/>
      </c>
      <c r="Q5733" s="79" t="str">
        <f>IF(AND(B5733='111'!$L$11,OR($N5733=$Q$7,$O5733=$Q$7)),"x","")</f>
        <v/>
      </c>
      <c r="R5733" s="79" t="str">
        <f>IF(AND($N5733=$Q$7,$B5733&lt;'111'!$L$11),"x","")</f>
        <v/>
      </c>
      <c r="S5733" s="79" t="str">
        <f>IF(AND($O5733=$Q$7,$B5733&lt;'111'!$L$11),"x","")</f>
        <v/>
      </c>
      <c r="T5733" s="79" t="str">
        <f>IF(ISERROR(FIND('112'!$M$9,G5733,1)),"",IF((AND(FIND('112'!$M$9,G5733,1)&gt;=1,B5733='112'!$K$9,OR($N5733='112'!$I$6,$O5733='112'!$I$6))),"x",""))</f>
        <v/>
      </c>
      <c r="U5733" s="79" t="str">
        <f>IF(ISERROR(FIND('112'!$M$9,G5733,1)),"",IF((AND(LEFT(G5733,2)=LEFT('112'!$M$9,2),B5733&lt;'112'!$K$9,$N5733='112'!$I$6)),"x",""))</f>
        <v/>
      </c>
      <c r="V5733" s="79" t="str">
        <f>IF(ISERROR(FIND('112'!$M$9,G5733,1)),"",IF((AND(RIGHT(G5733,2)=RIGHT('112'!$M$9,2),B5733&lt;'112'!$K$9,$O5733='112'!$I$6)),"x",""))</f>
        <v/>
      </c>
      <c r="W5733" s="79" t="str">
        <f>IF(AND('341-CT'!$H$9=H5733,OR(LEFT(N5733,3)=$W$7,LEFT(O5733,3)=$W$7)),"x","")</f>
        <v/>
      </c>
      <c r="X5733" s="79" t="str">
        <f>IF(OR(TH!N5733=TH!$X$7,O5733=TH!$X$7),"x","")</f>
        <v/>
      </c>
      <c r="Y5733" s="79" t="str">
        <f>IF(AND(OR(N5733="131",O5733="131"),H5733='131-CT'!$H$9),"x","")</f>
        <v/>
      </c>
      <c r="Z5733" s="79"/>
      <c r="AA5733" s="79" t="str">
        <f>IF(AND(MONTH(E5733)='IN-NX'!$J$5,'IN-NX'!$D$7=D5733),"x","")</f>
        <v/>
      </c>
      <c r="AB5733" s="79" t="str">
        <f>IF(AND(OR(LEFT(TH!N5733,2)="15",LEFT(TH!O5733,2)="15"),LEFT(TH!O5733,3)&lt;&gt;"111",'152-CT'!$J$8=TH!F5733),"x","")</f>
        <v/>
      </c>
      <c r="AC5733" s="79" t="str">
        <f>IF(AND(OR(LEFT(TH!N5733,2)="15",LEFT(TH!O5733,2)="15"),TK!$E$7=TH!F5733),"x","")</f>
        <v/>
      </c>
      <c r="AD5733" s="79" t="str">
        <f>IF(AND(N5733="1521",MONTH(C5733)='BK-NL'!$M$11),"x","")</f>
        <v/>
      </c>
    </row>
    <row r="5734" spans="1:30" ht="16.5" customHeight="1">
      <c r="A5734" s="318" t="str">
        <f>IF(B5734&lt;&gt;"",IF(AND(B5734='IN-TC'!$S$4,OR(TH!N5734="1111",TH!O5734="1111")),TH!D5734,""),"")</f>
        <v/>
      </c>
      <c r="B5734" s="60" t="str">
        <f t="shared" si="510"/>
        <v/>
      </c>
      <c r="C5734" s="61"/>
      <c r="D5734" s="61"/>
      <c r="E5734" s="61"/>
      <c r="F5734" s="446"/>
      <c r="G5734" s="64"/>
      <c r="H5734" s="69"/>
      <c r="I5734" s="385"/>
      <c r="J5734" s="392"/>
      <c r="K5734" s="385"/>
      <c r="L5734" s="392"/>
      <c r="M5734" s="62"/>
      <c r="N5734" s="63"/>
      <c r="O5734" s="63"/>
      <c r="P5734" s="79" t="str">
        <f>IF(AND('331-CT'!$E$7=TH!H5734,OR(N5734="331",O5734="331")),"x","")</f>
        <v/>
      </c>
      <c r="Q5734" s="79" t="str">
        <f>IF(AND(B5734='111'!$L$11,OR($N5734=$Q$7,$O5734=$Q$7)),"x","")</f>
        <v/>
      </c>
      <c r="R5734" s="79" t="str">
        <f>IF(AND($N5734=$Q$7,$B5734&lt;'111'!$L$11),"x","")</f>
        <v/>
      </c>
      <c r="S5734" s="79" t="str">
        <f>IF(AND($O5734=$Q$7,$B5734&lt;'111'!$L$11),"x","")</f>
        <v/>
      </c>
      <c r="T5734" s="79" t="str">
        <f>IF(ISERROR(FIND('112'!$M$9,G5734,1)),"",IF((AND(FIND('112'!$M$9,G5734,1)&gt;=1,B5734='112'!$K$9,OR($N5734='112'!$I$6,$O5734='112'!$I$6))),"x",""))</f>
        <v/>
      </c>
      <c r="U5734" s="79" t="str">
        <f>IF(ISERROR(FIND('112'!$M$9,G5734,1)),"",IF((AND(LEFT(G5734,2)=LEFT('112'!$M$9,2),B5734&lt;'112'!$K$9,$N5734='112'!$I$6)),"x",""))</f>
        <v/>
      </c>
      <c r="V5734" s="79" t="str">
        <f>IF(ISERROR(FIND('112'!$M$9,G5734,1)),"",IF((AND(RIGHT(G5734,2)=RIGHT('112'!$M$9,2),B5734&lt;'112'!$K$9,$O5734='112'!$I$6)),"x",""))</f>
        <v/>
      </c>
      <c r="W5734" s="79" t="str">
        <f>IF(AND('341-CT'!$H$9=H5734,OR(LEFT(N5734,3)=$W$7,LEFT(O5734,3)=$W$7)),"x","")</f>
        <v/>
      </c>
      <c r="X5734" s="79" t="str">
        <f>IF(OR(TH!N5734=TH!$X$7,O5734=TH!$X$7),"x","")</f>
        <v/>
      </c>
      <c r="Y5734" s="79" t="str">
        <f>IF(AND(OR(N5734="131",O5734="131"),H5734='131-CT'!$H$9),"x","")</f>
        <v/>
      </c>
      <c r="Z5734" s="79"/>
      <c r="AA5734" s="79" t="str">
        <f>IF(AND(MONTH(E5734)='IN-NX'!$J$5,'IN-NX'!$D$7=D5734),"x","")</f>
        <v/>
      </c>
      <c r="AB5734" s="79" t="str">
        <f>IF(AND(OR(LEFT(TH!N5734,2)="15",LEFT(TH!O5734,2)="15"),LEFT(TH!O5734,3)&lt;&gt;"111",'152-CT'!$J$8=TH!F5734),"x","")</f>
        <v/>
      </c>
      <c r="AC5734" s="79" t="str">
        <f>IF(AND(OR(LEFT(TH!N5734,2)="15",LEFT(TH!O5734,2)="15"),TK!$E$7=TH!F5734),"x","")</f>
        <v/>
      </c>
      <c r="AD5734" s="79" t="str">
        <f>IF(AND(N5734="1521",MONTH(C5734)='BK-NL'!$M$11),"x","")</f>
        <v/>
      </c>
    </row>
    <row r="5735" spans="1:30" ht="16.5" customHeight="1">
      <c r="A5735" s="318" t="str">
        <f>IF(B5735&lt;&gt;"",IF(AND(B5735='IN-TC'!$S$4,OR(TH!N5735="1111",TH!O5735="1111")),TH!D5735,""),"")</f>
        <v/>
      </c>
      <c r="B5735" s="60" t="str">
        <f t="shared" si="510"/>
        <v/>
      </c>
      <c r="C5735" s="61"/>
      <c r="D5735" s="61"/>
      <c r="E5735" s="61"/>
      <c r="F5735" s="446"/>
      <c r="G5735" s="64"/>
      <c r="H5735" s="69"/>
      <c r="I5735" s="385"/>
      <c r="J5735" s="392"/>
      <c r="K5735" s="385"/>
      <c r="L5735" s="392"/>
      <c r="M5735" s="62"/>
      <c r="N5735" s="63"/>
      <c r="O5735" s="63"/>
      <c r="P5735" s="79" t="str">
        <f>IF(AND('331-CT'!$E$7=TH!H5735,OR(N5735="331",O5735="331")),"x","")</f>
        <v/>
      </c>
      <c r="Q5735" s="79" t="str">
        <f>IF(AND(B5735='111'!$L$11,OR($N5735=$Q$7,$O5735=$Q$7)),"x","")</f>
        <v/>
      </c>
      <c r="R5735" s="79" t="str">
        <f>IF(AND($N5735=$Q$7,$B5735&lt;'111'!$L$11),"x","")</f>
        <v/>
      </c>
      <c r="S5735" s="79" t="str">
        <f>IF(AND($O5735=$Q$7,$B5735&lt;'111'!$L$11),"x","")</f>
        <v/>
      </c>
      <c r="T5735" s="79" t="str">
        <f>IF(ISERROR(FIND('112'!$M$9,G5735,1)),"",IF((AND(FIND('112'!$M$9,G5735,1)&gt;=1,B5735='112'!$K$9,OR($N5735='112'!$I$6,$O5735='112'!$I$6))),"x",""))</f>
        <v/>
      </c>
      <c r="U5735" s="79" t="str">
        <f>IF(ISERROR(FIND('112'!$M$9,G5735,1)),"",IF((AND(LEFT(G5735,2)=LEFT('112'!$M$9,2),B5735&lt;'112'!$K$9,$N5735='112'!$I$6)),"x",""))</f>
        <v/>
      </c>
      <c r="V5735" s="79" t="str">
        <f>IF(ISERROR(FIND('112'!$M$9,G5735,1)),"",IF((AND(RIGHT(G5735,2)=RIGHT('112'!$M$9,2),B5735&lt;'112'!$K$9,$O5735='112'!$I$6)),"x",""))</f>
        <v/>
      </c>
      <c r="W5735" s="79" t="str">
        <f>IF(AND('341-CT'!$H$9=H5735,OR(LEFT(N5735,3)=$W$7,LEFT(O5735,3)=$W$7)),"x","")</f>
        <v/>
      </c>
      <c r="X5735" s="79" t="str">
        <f>IF(OR(TH!N5735=TH!$X$7,O5735=TH!$X$7),"x","")</f>
        <v/>
      </c>
      <c r="Y5735" s="79" t="str">
        <f>IF(AND(OR(N5735="131",O5735="131"),H5735='131-CT'!$H$9),"x","")</f>
        <v/>
      </c>
      <c r="Z5735" s="79"/>
      <c r="AA5735" s="79" t="str">
        <f>IF(AND(MONTH(E5735)='IN-NX'!$J$5,'IN-NX'!$D$7=D5735),"x","")</f>
        <v/>
      </c>
      <c r="AB5735" s="79" t="str">
        <f>IF(AND(OR(LEFT(TH!N5735,2)="15",LEFT(TH!O5735,2)="15"),LEFT(TH!O5735,3)&lt;&gt;"111",'152-CT'!$J$8=TH!F5735),"x","")</f>
        <v/>
      </c>
      <c r="AC5735" s="79" t="str">
        <f>IF(AND(OR(LEFT(TH!N5735,2)="15",LEFT(TH!O5735,2)="15"),TK!$E$7=TH!F5735),"x","")</f>
        <v/>
      </c>
      <c r="AD5735" s="79" t="str">
        <f>IF(AND(N5735="1521",MONTH(C5735)='BK-NL'!$M$11),"x","")</f>
        <v/>
      </c>
    </row>
    <row r="5736" spans="1:30" ht="16.5" customHeight="1">
      <c r="A5736" s="318" t="str">
        <f>IF(B5736&lt;&gt;"",IF(AND(B5736='IN-TC'!$S$4,OR(TH!N5736="1111",TH!O5736="1111")),TH!D5736,""),"")</f>
        <v/>
      </c>
      <c r="B5736" s="60" t="str">
        <f t="shared" si="510"/>
        <v/>
      </c>
      <c r="C5736" s="61"/>
      <c r="D5736" s="61"/>
      <c r="E5736" s="61"/>
      <c r="F5736" s="446"/>
      <c r="G5736" s="64"/>
      <c r="H5736" s="69"/>
      <c r="I5736" s="385"/>
      <c r="J5736" s="392"/>
      <c r="K5736" s="385"/>
      <c r="L5736" s="392"/>
      <c r="M5736" s="62"/>
      <c r="N5736" s="63"/>
      <c r="O5736" s="63"/>
      <c r="P5736" s="79" t="str">
        <f>IF(AND('331-CT'!$E$7=TH!H5736,OR(N5736="331",O5736="331")),"x","")</f>
        <v/>
      </c>
      <c r="Q5736" s="79" t="str">
        <f>IF(AND(B5736='111'!$L$11,OR($N5736=$Q$7,$O5736=$Q$7)),"x","")</f>
        <v/>
      </c>
      <c r="R5736" s="79" t="str">
        <f>IF(AND($N5736=$Q$7,$B5736&lt;'111'!$L$11),"x","")</f>
        <v/>
      </c>
      <c r="S5736" s="79" t="str">
        <f>IF(AND($O5736=$Q$7,$B5736&lt;'111'!$L$11),"x","")</f>
        <v/>
      </c>
      <c r="T5736" s="79" t="str">
        <f>IF(ISERROR(FIND('112'!$M$9,G5736,1)),"",IF((AND(FIND('112'!$M$9,G5736,1)&gt;=1,B5736='112'!$K$9,OR($N5736='112'!$I$6,$O5736='112'!$I$6))),"x",""))</f>
        <v/>
      </c>
      <c r="U5736" s="79" t="str">
        <f>IF(ISERROR(FIND('112'!$M$9,G5736,1)),"",IF((AND(LEFT(G5736,2)=LEFT('112'!$M$9,2),B5736&lt;'112'!$K$9,$N5736='112'!$I$6)),"x",""))</f>
        <v/>
      </c>
      <c r="V5736" s="79" t="str">
        <f>IF(ISERROR(FIND('112'!$M$9,G5736,1)),"",IF((AND(RIGHT(G5736,2)=RIGHT('112'!$M$9,2),B5736&lt;'112'!$K$9,$O5736='112'!$I$6)),"x",""))</f>
        <v/>
      </c>
      <c r="W5736" s="79" t="str">
        <f>IF(AND('341-CT'!$H$9=H5736,OR(LEFT(N5736,3)=$W$7,LEFT(O5736,3)=$W$7)),"x","")</f>
        <v/>
      </c>
      <c r="X5736" s="79" t="str">
        <f>IF(OR(TH!N5736=TH!$X$7,O5736=TH!$X$7),"x","")</f>
        <v/>
      </c>
      <c r="Y5736" s="79" t="str">
        <f>IF(AND(OR(N5736="131",O5736="131"),H5736='131-CT'!$H$9),"x","")</f>
        <v/>
      </c>
      <c r="Z5736" s="79"/>
      <c r="AA5736" s="79" t="str">
        <f>IF(AND(MONTH(E5736)='IN-NX'!$J$5,'IN-NX'!$D$7=D5736),"x","")</f>
        <v/>
      </c>
      <c r="AB5736" s="79" t="str">
        <f>IF(AND(OR(LEFT(TH!N5736,2)="15",LEFT(TH!O5736,2)="15"),LEFT(TH!O5736,3)&lt;&gt;"111",'152-CT'!$J$8=TH!F5736),"x","")</f>
        <v/>
      </c>
      <c r="AC5736" s="79" t="str">
        <f>IF(AND(OR(LEFT(TH!N5736,2)="15",LEFT(TH!O5736,2)="15"),TK!$E$7=TH!F5736),"x","")</f>
        <v/>
      </c>
      <c r="AD5736" s="79" t="str">
        <f>IF(AND(N5736="1521",MONTH(C5736)='BK-NL'!$M$11),"x","")</f>
        <v/>
      </c>
    </row>
    <row r="5737" spans="1:30" ht="16.5" customHeight="1">
      <c r="A5737" s="318" t="str">
        <f>IF(B5737&lt;&gt;"",IF(AND(B5737='IN-TC'!$S$4,OR(TH!N5737="1111",TH!O5737="1111")),TH!D5737,""),"")</f>
        <v/>
      </c>
      <c r="B5737" s="60" t="str">
        <f t="shared" si="510"/>
        <v/>
      </c>
      <c r="C5737" s="61"/>
      <c r="D5737" s="61"/>
      <c r="E5737" s="61"/>
      <c r="F5737" s="446"/>
      <c r="G5737" s="64"/>
      <c r="H5737" s="69"/>
      <c r="I5737" s="385"/>
      <c r="J5737" s="392"/>
      <c r="K5737" s="385"/>
      <c r="L5737" s="392"/>
      <c r="M5737" s="62"/>
      <c r="N5737" s="63"/>
      <c r="O5737" s="63"/>
      <c r="P5737" s="79" t="str">
        <f>IF(AND('331-CT'!$E$7=TH!H5737,OR(N5737="331",O5737="331")),"x","")</f>
        <v/>
      </c>
      <c r="Q5737" s="79" t="str">
        <f>IF(AND(B5737='111'!$L$11,OR($N5737=$Q$7,$O5737=$Q$7)),"x","")</f>
        <v/>
      </c>
      <c r="R5737" s="79" t="str">
        <f>IF(AND($N5737=$Q$7,$B5737&lt;'111'!$L$11),"x","")</f>
        <v/>
      </c>
      <c r="S5737" s="79" t="str">
        <f>IF(AND($O5737=$Q$7,$B5737&lt;'111'!$L$11),"x","")</f>
        <v/>
      </c>
      <c r="T5737" s="79" t="str">
        <f>IF(ISERROR(FIND('112'!$M$9,G5737,1)),"",IF((AND(FIND('112'!$M$9,G5737,1)&gt;=1,B5737='112'!$K$9,OR($N5737='112'!$I$6,$O5737='112'!$I$6))),"x",""))</f>
        <v/>
      </c>
      <c r="U5737" s="79" t="str">
        <f>IF(ISERROR(FIND('112'!$M$9,G5737,1)),"",IF((AND(LEFT(G5737,2)=LEFT('112'!$M$9,2),B5737&lt;'112'!$K$9,$N5737='112'!$I$6)),"x",""))</f>
        <v/>
      </c>
      <c r="V5737" s="79" t="str">
        <f>IF(ISERROR(FIND('112'!$M$9,G5737,1)),"",IF((AND(RIGHT(G5737,2)=RIGHT('112'!$M$9,2),B5737&lt;'112'!$K$9,$O5737='112'!$I$6)),"x",""))</f>
        <v/>
      </c>
      <c r="W5737" s="79" t="str">
        <f>IF(AND('341-CT'!$H$9=H5737,OR(LEFT(N5737,3)=$W$7,LEFT(O5737,3)=$W$7)),"x","")</f>
        <v/>
      </c>
      <c r="X5737" s="79" t="str">
        <f>IF(OR(TH!N5737=TH!$X$7,O5737=TH!$X$7),"x","")</f>
        <v/>
      </c>
      <c r="Y5737" s="79" t="str">
        <f>IF(AND(OR(N5737="131",O5737="131"),H5737='131-CT'!$H$9),"x","")</f>
        <v/>
      </c>
      <c r="Z5737" s="79"/>
      <c r="AA5737" s="79" t="str">
        <f>IF(AND(MONTH(E5737)='IN-NX'!$J$5,'IN-NX'!$D$7=D5737),"x","")</f>
        <v/>
      </c>
      <c r="AB5737" s="79" t="str">
        <f>IF(AND(OR(LEFT(TH!N5737,2)="15",LEFT(TH!O5737,2)="15"),LEFT(TH!O5737,3)&lt;&gt;"111",'152-CT'!$J$8=TH!F5737),"x","")</f>
        <v/>
      </c>
      <c r="AC5737" s="79" t="str">
        <f>IF(AND(OR(LEFT(TH!N5737,2)="15",LEFT(TH!O5737,2)="15"),TK!$E$7=TH!F5737),"x","")</f>
        <v/>
      </c>
      <c r="AD5737" s="79" t="str">
        <f>IF(AND(N5737="1521",MONTH(C5737)='BK-NL'!$M$11),"x","")</f>
        <v/>
      </c>
    </row>
    <row r="5738" spans="1:30" ht="16.5" customHeight="1">
      <c r="A5738" s="318" t="str">
        <f>IF(B5738&lt;&gt;"",IF(AND(B5738='IN-TC'!$S$4,OR(TH!N5738="1111",TH!O5738="1111")),TH!D5738,""),"")</f>
        <v/>
      </c>
      <c r="B5738" s="60" t="str">
        <f t="shared" si="510"/>
        <v/>
      </c>
      <c r="C5738" s="61"/>
      <c r="D5738" s="61"/>
      <c r="E5738" s="61"/>
      <c r="F5738" s="446"/>
      <c r="G5738" s="64"/>
      <c r="H5738" s="69"/>
      <c r="I5738" s="385"/>
      <c r="J5738" s="392"/>
      <c r="K5738" s="385"/>
      <c r="L5738" s="392"/>
      <c r="M5738" s="62"/>
      <c r="N5738" s="63"/>
      <c r="O5738" s="63"/>
      <c r="P5738" s="79" t="str">
        <f>IF(AND('331-CT'!$E$7=TH!H5738,OR(N5738="331",O5738="331")),"x","")</f>
        <v/>
      </c>
      <c r="Q5738" s="79" t="str">
        <f>IF(AND(B5738='111'!$L$11,OR($N5738=$Q$7,$O5738=$Q$7)),"x","")</f>
        <v/>
      </c>
      <c r="R5738" s="79" t="str">
        <f>IF(AND($N5738=$Q$7,$B5738&lt;'111'!$L$11),"x","")</f>
        <v/>
      </c>
      <c r="S5738" s="79" t="str">
        <f>IF(AND($O5738=$Q$7,$B5738&lt;'111'!$L$11),"x","")</f>
        <v/>
      </c>
      <c r="T5738" s="79" t="str">
        <f>IF(ISERROR(FIND('112'!$M$9,G5738,1)),"",IF((AND(FIND('112'!$M$9,G5738,1)&gt;=1,B5738='112'!$K$9,OR($N5738='112'!$I$6,$O5738='112'!$I$6))),"x",""))</f>
        <v/>
      </c>
      <c r="U5738" s="79" t="str">
        <f>IF(ISERROR(FIND('112'!$M$9,G5738,1)),"",IF((AND(LEFT(G5738,2)=LEFT('112'!$M$9,2),B5738&lt;'112'!$K$9,$N5738='112'!$I$6)),"x",""))</f>
        <v/>
      </c>
      <c r="V5738" s="79" t="str">
        <f>IF(ISERROR(FIND('112'!$M$9,G5738,1)),"",IF((AND(RIGHT(G5738,2)=RIGHT('112'!$M$9,2),B5738&lt;'112'!$K$9,$O5738='112'!$I$6)),"x",""))</f>
        <v/>
      </c>
      <c r="W5738" s="79" t="str">
        <f>IF(AND('341-CT'!$H$9=H5738,OR(LEFT(N5738,3)=$W$7,LEFT(O5738,3)=$W$7)),"x","")</f>
        <v/>
      </c>
      <c r="X5738" s="79" t="str">
        <f>IF(OR(TH!N5738=TH!$X$7,O5738=TH!$X$7),"x","")</f>
        <v/>
      </c>
      <c r="Y5738" s="79" t="str">
        <f>IF(AND(OR(N5738="131",O5738="131"),H5738='131-CT'!$H$9),"x","")</f>
        <v/>
      </c>
      <c r="Z5738" s="79"/>
      <c r="AA5738" s="79" t="str">
        <f>IF(AND(MONTH(E5738)='IN-NX'!$J$5,'IN-NX'!$D$7=D5738),"x","")</f>
        <v/>
      </c>
      <c r="AB5738" s="79" t="str">
        <f>IF(AND(OR(LEFT(TH!N5738,2)="15",LEFT(TH!O5738,2)="15"),LEFT(TH!O5738,3)&lt;&gt;"111",'152-CT'!$J$8=TH!F5738),"x","")</f>
        <v/>
      </c>
      <c r="AC5738" s="79" t="str">
        <f>IF(AND(OR(LEFT(TH!N5738,2)="15",LEFT(TH!O5738,2)="15"),TK!$E$7=TH!F5738),"x","")</f>
        <v/>
      </c>
      <c r="AD5738" s="79" t="str">
        <f>IF(AND(N5738="1521",MONTH(C5738)='BK-NL'!$M$11),"x","")</f>
        <v/>
      </c>
    </row>
    <row r="5739" spans="1:30" ht="16.5" customHeight="1">
      <c r="A5739" s="318" t="str">
        <f>IF(B5739&lt;&gt;"",IF(AND(B5739='IN-TC'!$S$4,OR(TH!N5739="1111",TH!O5739="1111")),TH!D5739,""),"")</f>
        <v/>
      </c>
      <c r="B5739" s="60" t="str">
        <f t="shared" si="510"/>
        <v/>
      </c>
      <c r="C5739" s="61"/>
      <c r="D5739" s="61"/>
      <c r="E5739" s="61"/>
      <c r="F5739" s="446"/>
      <c r="G5739" s="64"/>
      <c r="H5739" s="69"/>
      <c r="I5739" s="385"/>
      <c r="J5739" s="392"/>
      <c r="K5739" s="385"/>
      <c r="L5739" s="392"/>
      <c r="M5739" s="62"/>
      <c r="N5739" s="63"/>
      <c r="O5739" s="63"/>
      <c r="P5739" s="79" t="str">
        <f>IF(AND('331-CT'!$E$7=TH!H5739,OR(N5739="331",O5739="331")),"x","")</f>
        <v/>
      </c>
      <c r="Q5739" s="79" t="str">
        <f>IF(AND(B5739='111'!$L$11,OR($N5739=$Q$7,$O5739=$Q$7)),"x","")</f>
        <v/>
      </c>
      <c r="R5739" s="79" t="str">
        <f>IF(AND($N5739=$Q$7,$B5739&lt;'111'!$L$11),"x","")</f>
        <v/>
      </c>
      <c r="S5739" s="79" t="str">
        <f>IF(AND($O5739=$Q$7,$B5739&lt;'111'!$L$11),"x","")</f>
        <v/>
      </c>
      <c r="T5739" s="79" t="str">
        <f>IF(ISERROR(FIND('112'!$M$9,G5739,1)),"",IF((AND(FIND('112'!$M$9,G5739,1)&gt;=1,B5739='112'!$K$9,OR($N5739='112'!$I$6,$O5739='112'!$I$6))),"x",""))</f>
        <v/>
      </c>
      <c r="U5739" s="79" t="str">
        <f>IF(ISERROR(FIND('112'!$M$9,G5739,1)),"",IF((AND(LEFT(G5739,2)=LEFT('112'!$M$9,2),B5739&lt;'112'!$K$9,$N5739='112'!$I$6)),"x",""))</f>
        <v/>
      </c>
      <c r="V5739" s="79" t="str">
        <f>IF(ISERROR(FIND('112'!$M$9,G5739,1)),"",IF((AND(RIGHT(G5739,2)=RIGHT('112'!$M$9,2),B5739&lt;'112'!$K$9,$O5739='112'!$I$6)),"x",""))</f>
        <v/>
      </c>
      <c r="W5739" s="79" t="str">
        <f>IF(AND('341-CT'!$H$9=H5739,OR(LEFT(N5739,3)=$W$7,LEFT(O5739,3)=$W$7)),"x","")</f>
        <v/>
      </c>
      <c r="X5739" s="79" t="str">
        <f>IF(OR(TH!N5739=TH!$X$7,O5739=TH!$X$7),"x","")</f>
        <v/>
      </c>
      <c r="Y5739" s="79" t="str">
        <f>IF(AND(OR(N5739="131",O5739="131"),H5739='131-CT'!$H$9),"x","")</f>
        <v/>
      </c>
      <c r="Z5739" s="79"/>
      <c r="AA5739" s="79" t="str">
        <f>IF(AND(MONTH(E5739)='IN-NX'!$J$5,'IN-NX'!$D$7=D5739),"x","")</f>
        <v/>
      </c>
      <c r="AB5739" s="79" t="str">
        <f>IF(AND(OR(LEFT(TH!N5739,2)="15",LEFT(TH!O5739,2)="15"),LEFT(TH!O5739,3)&lt;&gt;"111",'152-CT'!$J$8=TH!F5739),"x","")</f>
        <v/>
      </c>
      <c r="AC5739" s="79" t="str">
        <f>IF(AND(OR(LEFT(TH!N5739,2)="15",LEFT(TH!O5739,2)="15"),TK!$E$7=TH!F5739),"x","")</f>
        <v/>
      </c>
      <c r="AD5739" s="79" t="str">
        <f>IF(AND(N5739="1521",MONTH(C5739)='BK-NL'!$M$11),"x","")</f>
        <v/>
      </c>
    </row>
    <row r="5740" spans="1:30" ht="16.5" customHeight="1">
      <c r="A5740" s="318" t="str">
        <f>IF(B5740&lt;&gt;"",IF(AND(B5740='IN-TC'!$S$4,OR(TH!N5740="1111",TH!O5740="1111")),TH!D5740,""),"")</f>
        <v/>
      </c>
      <c r="B5740" s="60" t="str">
        <f t="shared" si="510"/>
        <v/>
      </c>
      <c r="C5740" s="61"/>
      <c r="D5740" s="61"/>
      <c r="E5740" s="61"/>
      <c r="F5740" s="446"/>
      <c r="G5740" s="64"/>
      <c r="H5740" s="69"/>
      <c r="I5740" s="385"/>
      <c r="J5740" s="392"/>
      <c r="K5740" s="385"/>
      <c r="L5740" s="392"/>
      <c r="M5740" s="62"/>
      <c r="N5740" s="63"/>
      <c r="O5740" s="63"/>
      <c r="P5740" s="79" t="str">
        <f>IF(AND('331-CT'!$E$7=TH!H5740,OR(N5740="331",O5740="331")),"x","")</f>
        <v/>
      </c>
      <c r="Q5740" s="79" t="str">
        <f>IF(AND(B5740='111'!$L$11,OR($N5740=$Q$7,$O5740=$Q$7)),"x","")</f>
        <v/>
      </c>
      <c r="R5740" s="79" t="str">
        <f>IF(AND($N5740=$Q$7,$B5740&lt;'111'!$L$11),"x","")</f>
        <v/>
      </c>
      <c r="S5740" s="79" t="str">
        <f>IF(AND($O5740=$Q$7,$B5740&lt;'111'!$L$11),"x","")</f>
        <v/>
      </c>
      <c r="T5740" s="79" t="str">
        <f>IF(ISERROR(FIND('112'!$M$9,G5740,1)),"",IF((AND(FIND('112'!$M$9,G5740,1)&gt;=1,B5740='112'!$K$9,OR($N5740='112'!$I$6,$O5740='112'!$I$6))),"x",""))</f>
        <v/>
      </c>
      <c r="U5740" s="79" t="str">
        <f>IF(ISERROR(FIND('112'!$M$9,G5740,1)),"",IF((AND(LEFT(G5740,2)=LEFT('112'!$M$9,2),B5740&lt;'112'!$K$9,$N5740='112'!$I$6)),"x",""))</f>
        <v/>
      </c>
      <c r="V5740" s="79" t="str">
        <f>IF(ISERROR(FIND('112'!$M$9,G5740,1)),"",IF((AND(RIGHT(G5740,2)=RIGHT('112'!$M$9,2),B5740&lt;'112'!$K$9,$O5740='112'!$I$6)),"x",""))</f>
        <v/>
      </c>
      <c r="W5740" s="79" t="str">
        <f>IF(AND('341-CT'!$H$9=H5740,OR(LEFT(N5740,3)=$W$7,LEFT(O5740,3)=$W$7)),"x","")</f>
        <v/>
      </c>
      <c r="X5740" s="79" t="str">
        <f>IF(OR(TH!N5740=TH!$X$7,O5740=TH!$X$7),"x","")</f>
        <v/>
      </c>
      <c r="Y5740" s="79" t="str">
        <f>IF(AND(OR(N5740="131",O5740="131"),H5740='131-CT'!$H$9),"x","")</f>
        <v/>
      </c>
      <c r="Z5740" s="79"/>
      <c r="AA5740" s="79" t="str">
        <f>IF(AND(MONTH(E5740)='IN-NX'!$J$5,'IN-NX'!$D$7=D5740),"x","")</f>
        <v/>
      </c>
      <c r="AB5740" s="79" t="str">
        <f>IF(AND(OR(LEFT(TH!N5740,2)="15",LEFT(TH!O5740,2)="15"),LEFT(TH!O5740,3)&lt;&gt;"111",'152-CT'!$J$8=TH!F5740),"x","")</f>
        <v/>
      </c>
      <c r="AC5740" s="79" t="str">
        <f>IF(AND(OR(LEFT(TH!N5740,2)="15",LEFT(TH!O5740,2)="15"),TK!$E$7=TH!F5740),"x","")</f>
        <v/>
      </c>
      <c r="AD5740" s="79" t="str">
        <f>IF(AND(N5740="1521",MONTH(C5740)='BK-NL'!$M$11),"x","")</f>
        <v/>
      </c>
    </row>
    <row r="5741" spans="1:30" ht="16.5" customHeight="1">
      <c r="A5741" s="318" t="str">
        <f>IF(B5741&lt;&gt;"",IF(AND(B5741='IN-TC'!$S$4,OR(TH!N5741="1111",TH!O5741="1111")),TH!D5741,""),"")</f>
        <v/>
      </c>
      <c r="B5741" s="60" t="str">
        <f t="shared" si="510"/>
        <v/>
      </c>
      <c r="C5741" s="61"/>
      <c r="D5741" s="61"/>
      <c r="E5741" s="61"/>
      <c r="F5741" s="446"/>
      <c r="G5741" s="64"/>
      <c r="H5741" s="69"/>
      <c r="I5741" s="385"/>
      <c r="J5741" s="392"/>
      <c r="K5741" s="385"/>
      <c r="L5741" s="392"/>
      <c r="M5741" s="62"/>
      <c r="N5741" s="63"/>
      <c r="O5741" s="63"/>
      <c r="P5741" s="79" t="str">
        <f>IF(AND('331-CT'!$E$7=TH!H5741,OR(N5741="331",O5741="331")),"x","")</f>
        <v/>
      </c>
      <c r="Q5741" s="79" t="str">
        <f>IF(AND(B5741='111'!$L$11,OR($N5741=$Q$7,$O5741=$Q$7)),"x","")</f>
        <v/>
      </c>
      <c r="R5741" s="79" t="str">
        <f>IF(AND($N5741=$Q$7,$B5741&lt;'111'!$L$11),"x","")</f>
        <v/>
      </c>
      <c r="S5741" s="79" t="str">
        <f>IF(AND($O5741=$Q$7,$B5741&lt;'111'!$L$11),"x","")</f>
        <v/>
      </c>
      <c r="T5741" s="79" t="str">
        <f>IF(ISERROR(FIND('112'!$M$9,G5741,1)),"",IF((AND(FIND('112'!$M$9,G5741,1)&gt;=1,B5741='112'!$K$9,OR($N5741='112'!$I$6,$O5741='112'!$I$6))),"x",""))</f>
        <v/>
      </c>
      <c r="U5741" s="79" t="str">
        <f>IF(ISERROR(FIND('112'!$M$9,G5741,1)),"",IF((AND(LEFT(G5741,2)=LEFT('112'!$M$9,2),B5741&lt;'112'!$K$9,$N5741='112'!$I$6)),"x",""))</f>
        <v/>
      </c>
      <c r="V5741" s="79" t="str">
        <f>IF(ISERROR(FIND('112'!$M$9,G5741,1)),"",IF((AND(RIGHT(G5741,2)=RIGHT('112'!$M$9,2),B5741&lt;'112'!$K$9,$O5741='112'!$I$6)),"x",""))</f>
        <v/>
      </c>
      <c r="W5741" s="79" t="str">
        <f>IF(AND('341-CT'!$H$9=H5741,OR(LEFT(N5741,3)=$W$7,LEFT(O5741,3)=$W$7)),"x","")</f>
        <v/>
      </c>
      <c r="X5741" s="79" t="str">
        <f>IF(OR(TH!N5741=TH!$X$7,O5741=TH!$X$7),"x","")</f>
        <v/>
      </c>
      <c r="Y5741" s="79" t="str">
        <f>IF(AND(OR(N5741="131",O5741="131"),H5741='131-CT'!$H$9),"x","")</f>
        <v/>
      </c>
      <c r="Z5741" s="79"/>
      <c r="AA5741" s="79" t="str">
        <f>IF(AND(MONTH(E5741)='IN-NX'!$J$5,'IN-NX'!$D$7=D5741),"x","")</f>
        <v/>
      </c>
      <c r="AB5741" s="79" t="str">
        <f>IF(AND(OR(LEFT(TH!N5741,2)="15",LEFT(TH!O5741,2)="15"),LEFT(TH!O5741,3)&lt;&gt;"111",'152-CT'!$J$8=TH!F5741),"x","")</f>
        <v/>
      </c>
      <c r="AC5741" s="79" t="str">
        <f>IF(AND(OR(LEFT(TH!N5741,2)="15",LEFT(TH!O5741,2)="15"),TK!$E$7=TH!F5741),"x","")</f>
        <v/>
      </c>
      <c r="AD5741" s="79" t="str">
        <f>IF(AND(N5741="1521",MONTH(C5741)='BK-NL'!$M$11),"x","")</f>
        <v/>
      </c>
    </row>
    <row r="5742" spans="1:30" ht="16.5" customHeight="1">
      <c r="A5742" s="318" t="str">
        <f>IF(B5742&lt;&gt;"",IF(AND(B5742='IN-TC'!$S$4,OR(TH!N5742="1111",TH!O5742="1111")),TH!D5742,""),"")</f>
        <v/>
      </c>
      <c r="B5742" s="60" t="str">
        <f t="shared" si="510"/>
        <v/>
      </c>
      <c r="C5742" s="61"/>
      <c r="D5742" s="61"/>
      <c r="E5742" s="61"/>
      <c r="F5742" s="446"/>
      <c r="G5742" s="64"/>
      <c r="H5742" s="69"/>
      <c r="I5742" s="385"/>
      <c r="J5742" s="392"/>
      <c r="K5742" s="385"/>
      <c r="L5742" s="392"/>
      <c r="M5742" s="62"/>
      <c r="N5742" s="63"/>
      <c r="O5742" s="63"/>
      <c r="P5742" s="79" t="str">
        <f>IF(AND('331-CT'!$E$7=TH!H5742,OR(N5742="331",O5742="331")),"x","")</f>
        <v/>
      </c>
      <c r="Q5742" s="79" t="str">
        <f>IF(AND(B5742='111'!$L$11,OR($N5742=$Q$7,$O5742=$Q$7)),"x","")</f>
        <v/>
      </c>
      <c r="R5742" s="79" t="str">
        <f>IF(AND($N5742=$Q$7,$B5742&lt;'111'!$L$11),"x","")</f>
        <v/>
      </c>
      <c r="S5742" s="79" t="str">
        <f>IF(AND($O5742=$Q$7,$B5742&lt;'111'!$L$11),"x","")</f>
        <v/>
      </c>
      <c r="T5742" s="79" t="str">
        <f>IF(ISERROR(FIND('112'!$M$9,G5742,1)),"",IF((AND(FIND('112'!$M$9,G5742,1)&gt;=1,B5742='112'!$K$9,OR($N5742='112'!$I$6,$O5742='112'!$I$6))),"x",""))</f>
        <v/>
      </c>
      <c r="U5742" s="79" t="str">
        <f>IF(ISERROR(FIND('112'!$M$9,G5742,1)),"",IF((AND(LEFT(G5742,2)=LEFT('112'!$M$9,2),B5742&lt;'112'!$K$9,$N5742='112'!$I$6)),"x",""))</f>
        <v/>
      </c>
      <c r="V5742" s="79" t="str">
        <f>IF(ISERROR(FIND('112'!$M$9,G5742,1)),"",IF((AND(RIGHT(G5742,2)=RIGHT('112'!$M$9,2),B5742&lt;'112'!$K$9,$O5742='112'!$I$6)),"x",""))</f>
        <v/>
      </c>
      <c r="W5742" s="79" t="str">
        <f>IF(AND('341-CT'!$H$9=H5742,OR(LEFT(N5742,3)=$W$7,LEFT(O5742,3)=$W$7)),"x","")</f>
        <v/>
      </c>
      <c r="X5742" s="79" t="str">
        <f>IF(OR(TH!N5742=TH!$X$7,O5742=TH!$X$7),"x","")</f>
        <v/>
      </c>
      <c r="Y5742" s="79" t="str">
        <f>IF(AND(OR(N5742="131",O5742="131"),H5742='131-CT'!$H$9),"x","")</f>
        <v/>
      </c>
      <c r="Z5742" s="79"/>
      <c r="AA5742" s="79" t="str">
        <f>IF(AND(MONTH(E5742)='IN-NX'!$J$5,'IN-NX'!$D$7=D5742),"x","")</f>
        <v/>
      </c>
      <c r="AB5742" s="79" t="str">
        <f>IF(AND(OR(LEFT(TH!N5742,2)="15",LEFT(TH!O5742,2)="15"),LEFT(TH!O5742,3)&lt;&gt;"111",'152-CT'!$J$8=TH!F5742),"x","")</f>
        <v/>
      </c>
      <c r="AC5742" s="79" t="str">
        <f>IF(AND(OR(LEFT(TH!N5742,2)="15",LEFT(TH!O5742,2)="15"),TK!$E$7=TH!F5742),"x","")</f>
        <v/>
      </c>
      <c r="AD5742" s="79" t="str">
        <f>IF(AND(N5742="1521",MONTH(C5742)='BK-NL'!$M$11),"x","")</f>
        <v/>
      </c>
    </row>
    <row r="5743" spans="1:30" ht="16.5" customHeight="1">
      <c r="A5743" s="318" t="str">
        <f>IF(B5743&lt;&gt;"",IF(AND(B5743='IN-TC'!$S$4,OR(TH!N5743="1111",TH!O5743="1111")),TH!D5743,""),"")</f>
        <v/>
      </c>
      <c r="B5743" s="60" t="str">
        <f t="shared" si="510"/>
        <v/>
      </c>
      <c r="C5743" s="61"/>
      <c r="D5743" s="61"/>
      <c r="E5743" s="61"/>
      <c r="F5743" s="446"/>
      <c r="G5743" s="64"/>
      <c r="H5743" s="69"/>
      <c r="I5743" s="385"/>
      <c r="J5743" s="392"/>
      <c r="K5743" s="385"/>
      <c r="L5743" s="392"/>
      <c r="M5743" s="62"/>
      <c r="N5743" s="63"/>
      <c r="O5743" s="63"/>
      <c r="P5743" s="79" t="str">
        <f>IF(AND('331-CT'!$E$7=TH!H5743,OR(N5743="331",O5743="331")),"x","")</f>
        <v/>
      </c>
      <c r="Q5743" s="79" t="str">
        <f>IF(AND(B5743='111'!$L$11,OR($N5743=$Q$7,$O5743=$Q$7)),"x","")</f>
        <v/>
      </c>
      <c r="R5743" s="79" t="str">
        <f>IF(AND($N5743=$Q$7,$B5743&lt;'111'!$L$11),"x","")</f>
        <v/>
      </c>
      <c r="S5743" s="79" t="str">
        <f>IF(AND($O5743=$Q$7,$B5743&lt;'111'!$L$11),"x","")</f>
        <v/>
      </c>
      <c r="T5743" s="79" t="str">
        <f>IF(ISERROR(FIND('112'!$M$9,G5743,1)),"",IF((AND(FIND('112'!$M$9,G5743,1)&gt;=1,B5743='112'!$K$9,OR($N5743='112'!$I$6,$O5743='112'!$I$6))),"x",""))</f>
        <v/>
      </c>
      <c r="U5743" s="79" t="str">
        <f>IF(ISERROR(FIND('112'!$M$9,G5743,1)),"",IF((AND(LEFT(G5743,2)=LEFT('112'!$M$9,2),B5743&lt;'112'!$K$9,$N5743='112'!$I$6)),"x",""))</f>
        <v/>
      </c>
      <c r="V5743" s="79" t="str">
        <f>IF(ISERROR(FIND('112'!$M$9,G5743,1)),"",IF((AND(RIGHT(G5743,2)=RIGHT('112'!$M$9,2),B5743&lt;'112'!$K$9,$O5743='112'!$I$6)),"x",""))</f>
        <v/>
      </c>
      <c r="W5743" s="79" t="str">
        <f>IF(AND('341-CT'!$H$9=H5743,OR(LEFT(N5743,3)=$W$7,LEFT(O5743,3)=$W$7)),"x","")</f>
        <v/>
      </c>
      <c r="X5743" s="79" t="str">
        <f>IF(OR(TH!N5743=TH!$X$7,O5743=TH!$X$7),"x","")</f>
        <v/>
      </c>
      <c r="Y5743" s="79" t="str">
        <f>IF(AND(OR(N5743="131",O5743="131"),H5743='131-CT'!$H$9),"x","")</f>
        <v/>
      </c>
      <c r="Z5743" s="79"/>
      <c r="AA5743" s="79" t="str">
        <f>IF(AND(MONTH(E5743)='IN-NX'!$J$5,'IN-NX'!$D$7=D5743),"x","")</f>
        <v/>
      </c>
      <c r="AB5743" s="79" t="str">
        <f>IF(AND(OR(LEFT(TH!N5743,2)="15",LEFT(TH!O5743,2)="15"),LEFT(TH!O5743,3)&lt;&gt;"111",'152-CT'!$J$8=TH!F5743),"x","")</f>
        <v/>
      </c>
      <c r="AC5743" s="79" t="str">
        <f>IF(AND(OR(LEFT(TH!N5743,2)="15",LEFT(TH!O5743,2)="15"),TK!$E$7=TH!F5743),"x","")</f>
        <v/>
      </c>
      <c r="AD5743" s="79" t="str">
        <f>IF(AND(N5743="1521",MONTH(C5743)='BK-NL'!$M$11),"x","")</f>
        <v/>
      </c>
    </row>
    <row r="5744" spans="1:30" ht="16.5" customHeight="1">
      <c r="A5744" s="318" t="str">
        <f>IF(B5744&lt;&gt;"",IF(AND(B5744='IN-TC'!$S$4,OR(TH!N5744="1111",TH!O5744="1111")),TH!D5744,""),"")</f>
        <v/>
      </c>
      <c r="B5744" s="60" t="str">
        <f t="shared" si="510"/>
        <v/>
      </c>
      <c r="C5744" s="61"/>
      <c r="D5744" s="61"/>
      <c r="E5744" s="61"/>
      <c r="F5744" s="446"/>
      <c r="G5744" s="64"/>
      <c r="H5744" s="69"/>
      <c r="I5744" s="385"/>
      <c r="J5744" s="392"/>
      <c r="K5744" s="385"/>
      <c r="L5744" s="392"/>
      <c r="M5744" s="62"/>
      <c r="N5744" s="63"/>
      <c r="O5744" s="63"/>
      <c r="P5744" s="79" t="str">
        <f>IF(AND('331-CT'!$E$7=TH!H5744,OR(N5744="331",O5744="331")),"x","")</f>
        <v/>
      </c>
      <c r="Q5744" s="79" t="str">
        <f>IF(AND(B5744='111'!$L$11,OR($N5744=$Q$7,$O5744=$Q$7)),"x","")</f>
        <v/>
      </c>
      <c r="R5744" s="79" t="str">
        <f>IF(AND($N5744=$Q$7,$B5744&lt;'111'!$L$11),"x","")</f>
        <v/>
      </c>
      <c r="S5744" s="79" t="str">
        <f>IF(AND($O5744=$Q$7,$B5744&lt;'111'!$L$11),"x","")</f>
        <v/>
      </c>
      <c r="T5744" s="79" t="str">
        <f>IF(ISERROR(FIND('112'!$M$9,G5744,1)),"",IF((AND(FIND('112'!$M$9,G5744,1)&gt;=1,B5744='112'!$K$9,OR($N5744='112'!$I$6,$O5744='112'!$I$6))),"x",""))</f>
        <v/>
      </c>
      <c r="U5744" s="79" t="str">
        <f>IF(ISERROR(FIND('112'!$M$9,G5744,1)),"",IF((AND(LEFT(G5744,2)=LEFT('112'!$M$9,2),B5744&lt;'112'!$K$9,$N5744='112'!$I$6)),"x",""))</f>
        <v/>
      </c>
      <c r="V5744" s="79" t="str">
        <f>IF(ISERROR(FIND('112'!$M$9,G5744,1)),"",IF((AND(RIGHT(G5744,2)=RIGHT('112'!$M$9,2),B5744&lt;'112'!$K$9,$O5744='112'!$I$6)),"x",""))</f>
        <v/>
      </c>
      <c r="W5744" s="79" t="str">
        <f>IF(AND('341-CT'!$H$9=H5744,OR(LEFT(N5744,3)=$W$7,LEFT(O5744,3)=$W$7)),"x","")</f>
        <v/>
      </c>
      <c r="X5744" s="79" t="str">
        <f>IF(OR(TH!N5744=TH!$X$7,O5744=TH!$X$7),"x","")</f>
        <v/>
      </c>
      <c r="Y5744" s="79" t="str">
        <f>IF(AND(OR(N5744="131",O5744="131"),H5744='131-CT'!$H$9),"x","")</f>
        <v/>
      </c>
      <c r="Z5744" s="79"/>
      <c r="AA5744" s="79" t="str">
        <f>IF(AND(MONTH(E5744)='IN-NX'!$J$5,'IN-NX'!$D$7=D5744),"x","")</f>
        <v/>
      </c>
      <c r="AB5744" s="79" t="str">
        <f>IF(AND(OR(LEFT(TH!N5744,2)="15",LEFT(TH!O5744,2)="15"),LEFT(TH!O5744,3)&lt;&gt;"111",'152-CT'!$J$8=TH!F5744),"x","")</f>
        <v/>
      </c>
      <c r="AC5744" s="79" t="str">
        <f>IF(AND(OR(LEFT(TH!N5744,2)="15",LEFT(TH!O5744,2)="15"),TK!$E$7=TH!F5744),"x","")</f>
        <v/>
      </c>
      <c r="AD5744" s="79" t="str">
        <f>IF(AND(N5744="1521",MONTH(C5744)='BK-NL'!$M$11),"x","")</f>
        <v/>
      </c>
    </row>
    <row r="5745" spans="1:30" ht="16.5" customHeight="1">
      <c r="A5745" s="318" t="str">
        <f>IF(B5745&lt;&gt;"",IF(AND(B5745='IN-TC'!$S$4,OR(TH!N5745="1111",TH!O5745="1111")),TH!D5745,""),"")</f>
        <v/>
      </c>
      <c r="B5745" s="60" t="str">
        <f t="shared" si="510"/>
        <v/>
      </c>
      <c r="C5745" s="61"/>
      <c r="D5745" s="61"/>
      <c r="E5745" s="61"/>
      <c r="F5745" s="446"/>
      <c r="G5745" s="64"/>
      <c r="H5745" s="64"/>
      <c r="I5745" s="387"/>
      <c r="J5745" s="394"/>
      <c r="K5745" s="387"/>
      <c r="L5745" s="394"/>
      <c r="M5745" s="62"/>
      <c r="N5745" s="63"/>
      <c r="O5745" s="63"/>
      <c r="P5745" s="79" t="str">
        <f>IF(AND('331-CT'!$E$7=TH!H5745,OR(N5745="331",O5745="331")),"x","")</f>
        <v/>
      </c>
      <c r="Q5745" s="79" t="str">
        <f>IF(AND(B5745='111'!$L$11,OR($N5745=$Q$7,$O5745=$Q$7)),"x","")</f>
        <v/>
      </c>
      <c r="R5745" s="79" t="str">
        <f>IF(AND($N5745=$Q$7,$B5745&lt;'111'!$L$11),"x","")</f>
        <v/>
      </c>
      <c r="S5745" s="79" t="str">
        <f>IF(AND($O5745=$Q$7,$B5745&lt;'111'!$L$11),"x","")</f>
        <v/>
      </c>
      <c r="T5745" s="79" t="str">
        <f>IF(ISERROR(FIND('112'!$M$9,G5745,1)),"",IF((AND(FIND('112'!$M$9,G5745,1)&gt;=1,B5745='112'!$K$9,OR($N5745='112'!$I$6,$O5745='112'!$I$6))),"x",""))</f>
        <v/>
      </c>
      <c r="U5745" s="79" t="str">
        <f>IF(ISERROR(FIND('112'!$M$9,G5745,1)),"",IF((AND(LEFT(G5745,2)=LEFT('112'!$M$9,2),B5745&lt;'112'!$K$9,$N5745='112'!$I$6)),"x",""))</f>
        <v/>
      </c>
      <c r="V5745" s="79" t="str">
        <f>IF(ISERROR(FIND('112'!$M$9,G5745,1)),"",IF((AND(RIGHT(G5745,2)=RIGHT('112'!$M$9,2),B5745&lt;'112'!$K$9,$O5745='112'!$I$6)),"x",""))</f>
        <v/>
      </c>
      <c r="W5745" s="79" t="str">
        <f>IF(AND('341-CT'!$H$9=H5745,OR(LEFT(N5745,3)=$W$7,LEFT(O5745,3)=$W$7)),"x","")</f>
        <v/>
      </c>
      <c r="X5745" s="79" t="str">
        <f>IF(OR(TH!N5745=TH!$X$7,O5745=TH!$X$7),"x","")</f>
        <v/>
      </c>
      <c r="Y5745" s="79" t="str">
        <f>IF(AND(OR(N5745="131",O5745="131"),H5745='131-CT'!$H$9),"x","")</f>
        <v/>
      </c>
      <c r="Z5745" s="79"/>
      <c r="AA5745" s="79" t="str">
        <f>IF(AND(MONTH(E5745)='IN-NX'!$J$5,'IN-NX'!$D$7=D5745),"x","")</f>
        <v/>
      </c>
      <c r="AB5745" s="79" t="str">
        <f>IF(AND(OR(LEFT(TH!N5745,2)="15",LEFT(TH!O5745,2)="15"),LEFT(TH!O5745,3)&lt;&gt;"111",'152-CT'!$J$8=TH!F5745),"x","")</f>
        <v/>
      </c>
      <c r="AC5745" s="79" t="str">
        <f>IF(AND(OR(LEFT(TH!N5745,2)="15",LEFT(TH!O5745,2)="15"),TK!$E$7=TH!F5745),"x","")</f>
        <v/>
      </c>
      <c r="AD5745" s="79" t="str">
        <f>IF(AND(N5745="1521",MONTH(C5745)='BK-NL'!$M$11),"x","")</f>
        <v/>
      </c>
    </row>
    <row r="5746" spans="1:30" ht="16.5" customHeight="1">
      <c r="A5746" s="318" t="str">
        <f>IF(B5746&lt;&gt;"",IF(AND(B5746='IN-TC'!$S$4,OR(TH!N5746="1111",TH!O5746="1111")),TH!D5746,""),"")</f>
        <v/>
      </c>
      <c r="B5746" s="60" t="str">
        <f t="shared" si="510"/>
        <v/>
      </c>
      <c r="C5746" s="61"/>
      <c r="D5746" s="61"/>
      <c r="E5746" s="61"/>
      <c r="F5746" s="446"/>
      <c r="G5746" s="64"/>
      <c r="H5746" s="321"/>
      <c r="I5746" s="385"/>
      <c r="J5746" s="392"/>
      <c r="K5746" s="385"/>
      <c r="L5746" s="392"/>
      <c r="M5746" s="62"/>
      <c r="N5746" s="63"/>
      <c r="O5746" s="63"/>
      <c r="P5746" s="79" t="str">
        <f>IF(AND('331-CT'!$E$7=TH!H5746,OR(N5746="331",O5746="331")),"x","")</f>
        <v/>
      </c>
      <c r="Q5746" s="79" t="str">
        <f>IF(AND(B5746='111'!$L$11,OR($N5746=$Q$7,$O5746=$Q$7)),"x","")</f>
        <v/>
      </c>
      <c r="R5746" s="79" t="str">
        <f>IF(AND($N5746=$Q$7,$B5746&lt;'111'!$L$11),"x","")</f>
        <v/>
      </c>
      <c r="S5746" s="79" t="str">
        <f>IF(AND($O5746=$Q$7,$B5746&lt;'111'!$L$11),"x","")</f>
        <v/>
      </c>
      <c r="T5746" s="79" t="str">
        <f>IF(ISERROR(FIND('112'!$M$9,G5746,1)),"",IF((AND(FIND('112'!$M$9,G5746,1)&gt;=1,B5746='112'!$K$9,OR($N5746='112'!$I$6,$O5746='112'!$I$6))),"x",""))</f>
        <v/>
      </c>
      <c r="U5746" s="79" t="str">
        <f>IF(ISERROR(FIND('112'!$M$9,G5746,1)),"",IF((AND(LEFT(G5746,2)=LEFT('112'!$M$9,2),B5746&lt;'112'!$K$9,$N5746='112'!$I$6)),"x",""))</f>
        <v/>
      </c>
      <c r="V5746" s="79" t="str">
        <f>IF(ISERROR(FIND('112'!$M$9,G5746,1)),"",IF((AND(RIGHT(G5746,2)=RIGHT('112'!$M$9,2),B5746&lt;'112'!$K$9,$O5746='112'!$I$6)),"x",""))</f>
        <v/>
      </c>
      <c r="W5746" s="79" t="str">
        <f>IF(AND('341-CT'!$H$9=H5746,OR(LEFT(N5746,3)=$W$7,LEFT(O5746,3)=$W$7)),"x","")</f>
        <v/>
      </c>
      <c r="X5746" s="79" t="str">
        <f>IF(OR(TH!N5746=TH!$X$7,O5746=TH!$X$7),"x","")</f>
        <v/>
      </c>
      <c r="Y5746" s="79" t="str">
        <f>IF(AND(OR(N5746="131",O5746="131"),H5746='131-CT'!$H$9),"x","")</f>
        <v/>
      </c>
      <c r="Z5746" s="79"/>
      <c r="AA5746" s="79" t="str">
        <f>IF(AND(MONTH(E5746)='IN-NX'!$J$5,'IN-NX'!$D$7=D5746),"x","")</f>
        <v/>
      </c>
      <c r="AB5746" s="79" t="str">
        <f>IF(AND(OR(LEFT(TH!N5746,2)="15",LEFT(TH!O5746,2)="15"),LEFT(TH!O5746,3)&lt;&gt;"111",'152-CT'!$J$8=TH!F5746),"x","")</f>
        <v/>
      </c>
      <c r="AC5746" s="79" t="str">
        <f>IF(AND(OR(LEFT(TH!N5746,2)="15",LEFT(TH!O5746,2)="15"),TK!$E$7=TH!F5746),"x","")</f>
        <v/>
      </c>
      <c r="AD5746" s="79" t="str">
        <f>IF(AND(N5746="1521",MONTH(C5746)='BK-NL'!$M$11),"x","")</f>
        <v/>
      </c>
    </row>
    <row r="5747" spans="1:30" ht="16.5" customHeight="1">
      <c r="A5747" s="318" t="str">
        <f>IF(B5747&lt;&gt;"",IF(AND(B5747='IN-TC'!$S$4,OR(TH!N5747="1111",TH!O5747="1111")),TH!D5747,""),"")</f>
        <v/>
      </c>
      <c r="B5747" s="60" t="str">
        <f t="shared" si="510"/>
        <v/>
      </c>
      <c r="C5747" s="61"/>
      <c r="D5747" s="301"/>
      <c r="E5747" s="301"/>
      <c r="F5747" s="446"/>
      <c r="G5747" s="64"/>
      <c r="H5747" s="303"/>
      <c r="I5747" s="385"/>
      <c r="J5747" s="392"/>
      <c r="K5747" s="385"/>
      <c r="L5747" s="392"/>
      <c r="M5747" s="62"/>
      <c r="N5747" s="304"/>
      <c r="O5747" s="63"/>
      <c r="P5747" s="79" t="str">
        <f>IF(AND('331-CT'!$E$7=TH!H5747,OR(N5747="331",O5747="331")),"x","")</f>
        <v/>
      </c>
      <c r="Q5747" s="79" t="str">
        <f>IF(AND(B5747='111'!$L$11,OR($N5747=$Q$7,$O5747=$Q$7)),"x","")</f>
        <v/>
      </c>
      <c r="R5747" s="79" t="str">
        <f>IF(AND($N5747=$Q$7,$B5747&lt;'111'!$L$11),"x","")</f>
        <v/>
      </c>
      <c r="S5747" s="79" t="str">
        <f>IF(AND($O5747=$Q$7,$B5747&lt;'111'!$L$11),"x","")</f>
        <v/>
      </c>
      <c r="T5747" s="79" t="str">
        <f>IF(ISERROR(FIND('112'!$M$9,G5747,1)),"",IF((AND(FIND('112'!$M$9,G5747,1)&gt;=1,B5747='112'!$K$9,OR($N5747='112'!$I$6,$O5747='112'!$I$6))),"x",""))</f>
        <v/>
      </c>
      <c r="U5747" s="79" t="str">
        <f>IF(ISERROR(FIND('112'!$M$9,G5747,1)),"",IF((AND(LEFT(G5747,2)=LEFT('112'!$M$9,2),B5747&lt;'112'!$K$9,$N5747='112'!$I$6)),"x",""))</f>
        <v/>
      </c>
      <c r="V5747" s="79" t="str">
        <f>IF(ISERROR(FIND('112'!$M$9,G5747,1)),"",IF((AND(RIGHT(G5747,2)=RIGHT('112'!$M$9,2),B5747&lt;'112'!$K$9,$O5747='112'!$I$6)),"x",""))</f>
        <v/>
      </c>
      <c r="W5747" s="79" t="str">
        <f>IF(AND('341-CT'!$H$9=H5747,OR(LEFT(N5747,3)=$W$7,LEFT(O5747,3)=$W$7)),"x","")</f>
        <v/>
      </c>
      <c r="X5747" s="79" t="str">
        <f>IF(OR(TH!N5747=TH!$X$7,O5747=TH!$X$7),"x","")</f>
        <v/>
      </c>
      <c r="Y5747" s="79" t="str">
        <f>IF(AND(OR(N5747="131",O5747="131"),H5747='131-CT'!$H$9),"x","")</f>
        <v/>
      </c>
      <c r="Z5747" s="79"/>
      <c r="AA5747" s="79" t="str">
        <f>IF(AND(MONTH(E5747)='IN-NX'!$J$5,'IN-NX'!$D$7=D5747),"x","")</f>
        <v/>
      </c>
      <c r="AB5747" s="79" t="str">
        <f>IF(AND(OR(LEFT(TH!N5747,2)="15",LEFT(TH!O5747,2)="15"),LEFT(TH!O5747,3)&lt;&gt;"111",'152-CT'!$J$8=TH!F5747),"x","")</f>
        <v/>
      </c>
      <c r="AC5747" s="79" t="str">
        <f>IF(AND(OR(LEFT(TH!N5747,2)="15",LEFT(TH!O5747,2)="15"),TK!$E$7=TH!F5747),"x","")</f>
        <v/>
      </c>
      <c r="AD5747" s="79" t="str">
        <f>IF(AND(N5747="1521",MONTH(C5747)='BK-NL'!$M$11),"x","")</f>
        <v/>
      </c>
    </row>
    <row r="5748" spans="1:30" ht="16.5" customHeight="1">
      <c r="A5748" s="318" t="str">
        <f>IF(B5748&lt;&gt;"",IF(AND(B5748='IN-TC'!$S$4,OR(TH!N5748="1111",TH!O5748="1111")),TH!D5748,""),"")</f>
        <v/>
      </c>
      <c r="B5748" s="60" t="str">
        <f t="shared" si="510"/>
        <v/>
      </c>
      <c r="C5748" s="61"/>
      <c r="D5748" s="301"/>
      <c r="E5748" s="301"/>
      <c r="F5748" s="446"/>
      <c r="G5748" s="64"/>
      <c r="H5748" s="303"/>
      <c r="I5748" s="385"/>
      <c r="J5748" s="392"/>
      <c r="K5748" s="385"/>
      <c r="L5748" s="392"/>
      <c r="M5748" s="62"/>
      <c r="N5748" s="304"/>
      <c r="O5748" s="63"/>
      <c r="P5748" s="79" t="str">
        <f>IF(AND('331-CT'!$E$7=TH!H5748,OR(N5748="331",O5748="331")),"x","")</f>
        <v/>
      </c>
      <c r="Q5748" s="79" t="str">
        <f>IF(AND(B5748='111'!$L$11,OR($N5748=$Q$7,$O5748=$Q$7)),"x","")</f>
        <v/>
      </c>
      <c r="R5748" s="79" t="str">
        <f>IF(AND($N5748=$Q$7,$B5748&lt;'111'!$L$11),"x","")</f>
        <v/>
      </c>
      <c r="S5748" s="79" t="str">
        <f>IF(AND($O5748=$Q$7,$B5748&lt;'111'!$L$11),"x","")</f>
        <v/>
      </c>
      <c r="T5748" s="79" t="str">
        <f>IF(ISERROR(FIND('112'!$M$9,G5748,1)),"",IF((AND(FIND('112'!$M$9,G5748,1)&gt;=1,B5748='112'!$K$9,OR($N5748='112'!$I$6,$O5748='112'!$I$6))),"x",""))</f>
        <v/>
      </c>
      <c r="U5748" s="79" t="str">
        <f>IF(ISERROR(FIND('112'!$M$9,G5748,1)),"",IF((AND(LEFT(G5748,2)=LEFT('112'!$M$9,2),B5748&lt;'112'!$K$9,$N5748='112'!$I$6)),"x",""))</f>
        <v/>
      </c>
      <c r="V5748" s="79" t="str">
        <f>IF(ISERROR(FIND('112'!$M$9,G5748,1)),"",IF((AND(RIGHT(G5748,2)=RIGHT('112'!$M$9,2),B5748&lt;'112'!$K$9,$O5748='112'!$I$6)),"x",""))</f>
        <v/>
      </c>
      <c r="W5748" s="79" t="str">
        <f>IF(AND('341-CT'!$H$9=H5748,OR(LEFT(N5748,3)=$W$7,LEFT(O5748,3)=$W$7)),"x","")</f>
        <v/>
      </c>
      <c r="X5748" s="79" t="str">
        <f>IF(OR(TH!N5748=TH!$X$7,O5748=TH!$X$7),"x","")</f>
        <v/>
      </c>
      <c r="Y5748" s="79" t="str">
        <f>IF(AND(OR(N5748="131",O5748="131"),H5748='131-CT'!$H$9),"x","")</f>
        <v/>
      </c>
      <c r="Z5748" s="79"/>
      <c r="AA5748" s="79" t="str">
        <f>IF(AND(MONTH(E5748)='IN-NX'!$J$5,'IN-NX'!$D$7=D5748),"x","")</f>
        <v/>
      </c>
      <c r="AB5748" s="79" t="str">
        <f>IF(AND(OR(LEFT(TH!N5748,2)="15",LEFT(TH!O5748,2)="15"),LEFT(TH!O5748,3)&lt;&gt;"111",'152-CT'!$J$8=TH!F5748),"x","")</f>
        <v/>
      </c>
      <c r="AC5748" s="79" t="str">
        <f>IF(AND(OR(LEFT(TH!N5748,2)="15",LEFT(TH!O5748,2)="15"),TK!$E$7=TH!F5748),"x","")</f>
        <v/>
      </c>
      <c r="AD5748" s="79" t="str">
        <f>IF(AND(N5748="1521",MONTH(C5748)='BK-NL'!$M$11),"x","")</f>
        <v/>
      </c>
    </row>
    <row r="5749" spans="1:30" ht="16.5" customHeight="1">
      <c r="A5749" s="318" t="str">
        <f>IF(B5749&lt;&gt;"",IF(AND(B5749='IN-TC'!$S$4,OR(TH!N5749="1111",TH!O5749="1111")),TH!D5749,""),"")</f>
        <v/>
      </c>
      <c r="B5749" s="60" t="str">
        <f t="shared" si="510"/>
        <v/>
      </c>
      <c r="C5749" s="61"/>
      <c r="D5749" s="301"/>
      <c r="E5749" s="301"/>
      <c r="F5749" s="446"/>
      <c r="G5749" s="64"/>
      <c r="H5749" s="321"/>
      <c r="I5749" s="385"/>
      <c r="J5749" s="392"/>
      <c r="K5749" s="385"/>
      <c r="L5749" s="392"/>
      <c r="M5749" s="62"/>
      <c r="N5749" s="63"/>
      <c r="O5749" s="63"/>
      <c r="P5749" s="79" t="str">
        <f>IF(AND('331-CT'!$E$7=TH!H5749,OR(N5749="331",O5749="331")),"x","")</f>
        <v/>
      </c>
      <c r="Q5749" s="79" t="str">
        <f>IF(AND(B5749='111'!$L$11,OR($N5749=$Q$7,$O5749=$Q$7)),"x","")</f>
        <v/>
      </c>
      <c r="R5749" s="79" t="str">
        <f>IF(AND($N5749=$Q$7,$B5749&lt;'111'!$L$11),"x","")</f>
        <v/>
      </c>
      <c r="S5749" s="79" t="str">
        <f>IF(AND($O5749=$Q$7,$B5749&lt;'111'!$L$11),"x","")</f>
        <v/>
      </c>
      <c r="T5749" s="79" t="str">
        <f>IF(ISERROR(FIND('112'!$M$9,G5749,1)),"",IF((AND(FIND('112'!$M$9,G5749,1)&gt;=1,B5749='112'!$K$9,OR($N5749='112'!$I$6,$O5749='112'!$I$6))),"x",""))</f>
        <v/>
      </c>
      <c r="U5749" s="79" t="str">
        <f>IF(ISERROR(FIND('112'!$M$9,G5749,1)),"",IF((AND(LEFT(G5749,2)=LEFT('112'!$M$9,2),B5749&lt;'112'!$K$9,$N5749='112'!$I$6)),"x",""))</f>
        <v/>
      </c>
      <c r="V5749" s="79" t="str">
        <f>IF(ISERROR(FIND('112'!$M$9,G5749,1)),"",IF((AND(RIGHT(G5749,2)=RIGHT('112'!$M$9,2),B5749&lt;'112'!$K$9,$O5749='112'!$I$6)),"x",""))</f>
        <v/>
      </c>
      <c r="W5749" s="79" t="str">
        <f>IF(AND('341-CT'!$H$9=H5749,OR(LEFT(N5749,3)=$W$7,LEFT(O5749,3)=$W$7)),"x","")</f>
        <v/>
      </c>
      <c r="X5749" s="79" t="str">
        <f>IF(OR(TH!N5749=TH!$X$7,O5749=TH!$X$7),"x","")</f>
        <v/>
      </c>
      <c r="Y5749" s="79" t="str">
        <f>IF(AND(OR(N5749="131",O5749="131"),H5749='131-CT'!$H$9),"x","")</f>
        <v/>
      </c>
      <c r="Z5749" s="79"/>
      <c r="AA5749" s="79" t="str">
        <f>IF(AND(MONTH(E5749)='IN-NX'!$J$5,'IN-NX'!$D$7=D5749),"x","")</f>
        <v/>
      </c>
      <c r="AB5749" s="79" t="str">
        <f>IF(AND(OR(LEFT(TH!N5749,2)="15",LEFT(TH!O5749,2)="15"),LEFT(TH!O5749,3)&lt;&gt;"111",'152-CT'!$J$8=TH!F5749),"x","")</f>
        <v/>
      </c>
      <c r="AC5749" s="79" t="str">
        <f>IF(AND(OR(LEFT(TH!N5749,2)="15",LEFT(TH!O5749,2)="15"),TK!$E$7=TH!F5749),"x","")</f>
        <v/>
      </c>
      <c r="AD5749" s="79" t="str">
        <f>IF(AND(N5749="1521",MONTH(C5749)='BK-NL'!$M$11),"x","")</f>
        <v/>
      </c>
    </row>
    <row r="5750" spans="1:30" ht="16.5" customHeight="1">
      <c r="A5750" s="318" t="str">
        <f>IF(B5750&lt;&gt;"",IF(AND(B5750='IN-TC'!$S$4,OR(TH!N5750="1111",TH!O5750="1111")),TH!D5750,""),"")</f>
        <v/>
      </c>
      <c r="B5750" s="60" t="str">
        <f t="shared" si="510"/>
        <v/>
      </c>
      <c r="C5750" s="61"/>
      <c r="D5750" s="301"/>
      <c r="E5750" s="301"/>
      <c r="F5750" s="446"/>
      <c r="G5750" s="64"/>
      <c r="H5750" s="321"/>
      <c r="I5750" s="385"/>
      <c r="J5750" s="392"/>
      <c r="K5750" s="385"/>
      <c r="L5750" s="392"/>
      <c r="M5750" s="62"/>
      <c r="N5750" s="63"/>
      <c r="O5750" s="63"/>
      <c r="P5750" s="79" t="str">
        <f>IF(AND('331-CT'!$E$7=TH!H5750,OR(N5750="331",O5750="331")),"x","")</f>
        <v/>
      </c>
      <c r="Q5750" s="79" t="str">
        <f>IF(AND(B5750='111'!$L$11,OR($N5750=$Q$7,$O5750=$Q$7)),"x","")</f>
        <v/>
      </c>
      <c r="R5750" s="79" t="str">
        <f>IF(AND($N5750=$Q$7,$B5750&lt;'111'!$L$11),"x","")</f>
        <v/>
      </c>
      <c r="S5750" s="79" t="str">
        <f>IF(AND($O5750=$Q$7,$B5750&lt;'111'!$L$11),"x","")</f>
        <v/>
      </c>
      <c r="T5750" s="79" t="str">
        <f>IF(ISERROR(FIND('112'!$M$9,G5750,1)),"",IF((AND(FIND('112'!$M$9,G5750,1)&gt;=1,B5750='112'!$K$9,OR($N5750='112'!$I$6,$O5750='112'!$I$6))),"x",""))</f>
        <v/>
      </c>
      <c r="U5750" s="79" t="str">
        <f>IF(ISERROR(FIND('112'!$M$9,G5750,1)),"",IF((AND(LEFT(G5750,2)=LEFT('112'!$M$9,2),B5750&lt;'112'!$K$9,$N5750='112'!$I$6)),"x",""))</f>
        <v/>
      </c>
      <c r="V5750" s="79" t="str">
        <f>IF(ISERROR(FIND('112'!$M$9,G5750,1)),"",IF((AND(RIGHT(G5750,2)=RIGHT('112'!$M$9,2),B5750&lt;'112'!$K$9,$O5750='112'!$I$6)),"x",""))</f>
        <v/>
      </c>
      <c r="W5750" s="79" t="str">
        <f>IF(AND('341-CT'!$H$9=H5750,OR(LEFT(N5750,3)=$W$7,LEFT(O5750,3)=$W$7)),"x","")</f>
        <v/>
      </c>
      <c r="X5750" s="79" t="str">
        <f>IF(OR(TH!N5750=TH!$X$7,O5750=TH!$X$7),"x","")</f>
        <v/>
      </c>
      <c r="Y5750" s="79" t="str">
        <f>IF(AND(OR(N5750="131",O5750="131"),H5750='131-CT'!$H$9),"x","")</f>
        <v/>
      </c>
      <c r="Z5750" s="79"/>
      <c r="AA5750" s="79" t="str">
        <f>IF(AND(MONTH(E5750)='IN-NX'!$J$5,'IN-NX'!$D$7=D5750),"x","")</f>
        <v/>
      </c>
      <c r="AB5750" s="79" t="str">
        <f>IF(AND(OR(LEFT(TH!N5750,2)="15",LEFT(TH!O5750,2)="15"),LEFT(TH!O5750,3)&lt;&gt;"111",'152-CT'!$J$8=TH!F5750),"x","")</f>
        <v/>
      </c>
      <c r="AC5750" s="79" t="str">
        <f>IF(AND(OR(LEFT(TH!N5750,2)="15",LEFT(TH!O5750,2)="15"),TK!$E$7=TH!F5750),"x","")</f>
        <v/>
      </c>
      <c r="AD5750" s="79" t="str">
        <f>IF(AND(N5750="1521",MONTH(C5750)='BK-NL'!$M$11),"x","")</f>
        <v/>
      </c>
    </row>
    <row r="5751" spans="1:30" ht="16.5" customHeight="1">
      <c r="A5751" s="318" t="str">
        <f>IF(B5751&lt;&gt;"",IF(AND(B5751='IN-TC'!$S$4,OR(TH!N5751="1111",TH!O5751="1111")),TH!D5751,""),"")</f>
        <v/>
      </c>
      <c r="B5751" s="60" t="str">
        <f t="shared" si="510"/>
        <v/>
      </c>
      <c r="C5751" s="61"/>
      <c r="D5751" s="61"/>
      <c r="E5751" s="61"/>
      <c r="F5751" s="69"/>
      <c r="G5751" s="64"/>
      <c r="H5751" s="69"/>
      <c r="I5751" s="385"/>
      <c r="J5751" s="392"/>
      <c r="K5751" s="385"/>
      <c r="L5751" s="392"/>
      <c r="M5751" s="62"/>
      <c r="N5751" s="63"/>
      <c r="O5751" s="63"/>
      <c r="P5751" s="79" t="str">
        <f>IF(AND('331-CT'!$E$7=TH!H5751,OR(N5751="331",O5751="331")),"x","")</f>
        <v/>
      </c>
      <c r="Q5751" s="79" t="str">
        <f>IF(AND(B5751='111'!$L$11,OR($N5751=$Q$7,$O5751=$Q$7)),"x","")</f>
        <v/>
      </c>
      <c r="R5751" s="79" t="str">
        <f>IF(AND($N5751=$Q$7,$B5751&lt;'111'!$L$11),"x","")</f>
        <v/>
      </c>
      <c r="S5751" s="79" t="str">
        <f>IF(AND($O5751=$Q$7,$B5751&lt;'111'!$L$11),"x","")</f>
        <v/>
      </c>
      <c r="T5751" s="79" t="str">
        <f>IF(ISERROR(FIND('112'!$M$9,G5751,1)),"",IF((AND(FIND('112'!$M$9,G5751,1)&gt;=1,B5751='112'!$K$9,OR($N5751='112'!$I$6,$O5751='112'!$I$6))),"x",""))</f>
        <v/>
      </c>
      <c r="U5751" s="79" t="str">
        <f>IF(ISERROR(FIND('112'!$M$9,G5751,1)),"",IF((AND(LEFT(G5751,2)=LEFT('112'!$M$9,2),B5751&lt;'112'!$K$9,$N5751='112'!$I$6)),"x",""))</f>
        <v/>
      </c>
      <c r="V5751" s="79" t="str">
        <f>IF(ISERROR(FIND('112'!$M$9,G5751,1)),"",IF((AND(RIGHT(G5751,2)=RIGHT('112'!$M$9,2),B5751&lt;'112'!$K$9,$O5751='112'!$I$6)),"x",""))</f>
        <v/>
      </c>
      <c r="W5751" s="79" t="str">
        <f>IF(AND('341-CT'!$H$9=H5751,OR(LEFT(N5751,3)=$W$7,LEFT(O5751,3)=$W$7)),"x","")</f>
        <v/>
      </c>
      <c r="X5751" s="79" t="str">
        <f>IF(OR(TH!N5751=TH!$X$7,O5751=TH!$X$7),"x","")</f>
        <v/>
      </c>
      <c r="Y5751" s="79" t="str">
        <f>IF(AND(OR(N5751="131",O5751="131"),H5751='131-CT'!$H$9),"x","")</f>
        <v/>
      </c>
      <c r="Z5751" s="79"/>
      <c r="AA5751" s="79" t="str">
        <f>IF(AND(MONTH(E5751)='IN-NX'!$J$5,'IN-NX'!$D$7=D5751),"x","")</f>
        <v/>
      </c>
      <c r="AB5751" s="79" t="str">
        <f>IF(AND(OR(LEFT(TH!N5751,2)="15",LEFT(TH!O5751,2)="15"),LEFT(TH!O5751,3)&lt;&gt;"111",'152-CT'!$J$8=TH!F5751),"x","")</f>
        <v/>
      </c>
      <c r="AC5751" s="79" t="str">
        <f>IF(AND(OR(LEFT(TH!N5751,2)="15",LEFT(TH!O5751,2)="15"),TK!$E$7=TH!F5751),"x","")</f>
        <v/>
      </c>
      <c r="AD5751" s="79" t="str">
        <f>IF(AND(N5751="1521",MONTH(C5751)='BK-NL'!$M$11),"x","")</f>
        <v/>
      </c>
    </row>
    <row r="5752" spans="1:30" ht="16.5" customHeight="1">
      <c r="A5752" s="318" t="str">
        <f>IF(B5752&lt;&gt;"",IF(AND(B5752='IN-TC'!$S$4,OR(TH!N5752="1111",TH!O5752="1111")),TH!D5752,""),"")</f>
        <v/>
      </c>
      <c r="B5752" s="60" t="str">
        <f t="shared" si="510"/>
        <v/>
      </c>
      <c r="C5752" s="61"/>
      <c r="D5752" s="61"/>
      <c r="E5752" s="61"/>
      <c r="F5752" s="446"/>
      <c r="G5752" s="64"/>
      <c r="H5752" s="69"/>
      <c r="I5752" s="385"/>
      <c r="J5752" s="392"/>
      <c r="K5752" s="385"/>
      <c r="L5752" s="392"/>
      <c r="M5752" s="62"/>
      <c r="N5752" s="63"/>
      <c r="O5752" s="63"/>
      <c r="P5752" s="79" t="str">
        <f>IF(AND('331-CT'!$E$7=TH!H5752,OR(N5752="331",O5752="331")),"x","")</f>
        <v/>
      </c>
      <c r="Q5752" s="79" t="str">
        <f>IF(AND(B5752='111'!$L$11,OR($N5752=$Q$7,$O5752=$Q$7)),"x","")</f>
        <v/>
      </c>
      <c r="R5752" s="79" t="str">
        <f>IF(AND($N5752=$Q$7,$B5752&lt;'111'!$L$11),"x","")</f>
        <v/>
      </c>
      <c r="S5752" s="79" t="str">
        <f>IF(AND($O5752=$Q$7,$B5752&lt;'111'!$L$11),"x","")</f>
        <v/>
      </c>
      <c r="T5752" s="79" t="str">
        <f>IF(ISERROR(FIND('112'!$M$9,G5752,1)),"",IF((AND(FIND('112'!$M$9,G5752,1)&gt;=1,B5752='112'!$K$9,OR($N5752='112'!$I$6,$O5752='112'!$I$6))),"x",""))</f>
        <v/>
      </c>
      <c r="U5752" s="79" t="str">
        <f>IF(ISERROR(FIND('112'!$M$9,G5752,1)),"",IF((AND(LEFT(G5752,2)=LEFT('112'!$M$9,2),B5752&lt;'112'!$K$9,$N5752='112'!$I$6)),"x",""))</f>
        <v/>
      </c>
      <c r="V5752" s="79" t="str">
        <f>IF(ISERROR(FIND('112'!$M$9,G5752,1)),"",IF((AND(RIGHT(G5752,2)=RIGHT('112'!$M$9,2),B5752&lt;'112'!$K$9,$O5752='112'!$I$6)),"x",""))</f>
        <v/>
      </c>
      <c r="W5752" s="79" t="str">
        <f>IF(AND('341-CT'!$H$9=H5752,OR(LEFT(N5752,3)=$W$7,LEFT(O5752,3)=$W$7)),"x","")</f>
        <v/>
      </c>
      <c r="X5752" s="79" t="str">
        <f>IF(OR(TH!N5752=TH!$X$7,O5752=TH!$X$7),"x","")</f>
        <v/>
      </c>
      <c r="Y5752" s="79" t="str">
        <f>IF(AND(OR(N5752="131",O5752="131"),H5752='131-CT'!$H$9),"x","")</f>
        <v/>
      </c>
      <c r="Z5752" s="79"/>
      <c r="AA5752" s="79" t="str">
        <f>IF(AND(MONTH(E5752)='IN-NX'!$J$5,'IN-NX'!$D$7=D5752),"x","")</f>
        <v/>
      </c>
      <c r="AB5752" s="79" t="str">
        <f>IF(AND(OR(LEFT(TH!N5752,2)="15",LEFT(TH!O5752,2)="15"),LEFT(TH!O5752,3)&lt;&gt;"111",'152-CT'!$J$8=TH!F5752),"x","")</f>
        <v/>
      </c>
      <c r="AC5752" s="79" t="str">
        <f>IF(AND(OR(LEFT(TH!N5752,2)="15",LEFT(TH!O5752,2)="15"),TK!$E$7=TH!F5752),"x","")</f>
        <v/>
      </c>
      <c r="AD5752" s="79" t="str">
        <f>IF(AND(N5752="1521",MONTH(C5752)='BK-NL'!$M$11),"x","")</f>
        <v/>
      </c>
    </row>
    <row r="5753" spans="1:30" ht="16.5" customHeight="1">
      <c r="A5753" s="318" t="str">
        <f>IF(B5753&lt;&gt;"",IF(AND(B5753='IN-TC'!$S$4,OR(TH!N5753="1111",TH!O5753="1111")),TH!D5753,""),"")</f>
        <v/>
      </c>
      <c r="B5753" s="60" t="str">
        <f t="shared" si="510"/>
        <v/>
      </c>
      <c r="C5753" s="61"/>
      <c r="D5753" s="61"/>
      <c r="E5753" s="61"/>
      <c r="F5753" s="446"/>
      <c r="G5753" s="64"/>
      <c r="H5753" s="69"/>
      <c r="I5753" s="385"/>
      <c r="J5753" s="392"/>
      <c r="K5753" s="385"/>
      <c r="L5753" s="392"/>
      <c r="M5753" s="62"/>
      <c r="N5753" s="63"/>
      <c r="O5753" s="63"/>
      <c r="P5753" s="79" t="str">
        <f>IF(AND('331-CT'!$E$7=TH!H5753,OR(N5753="331",O5753="331")),"x","")</f>
        <v/>
      </c>
      <c r="Q5753" s="79" t="str">
        <f>IF(AND(B5753='111'!$L$11,OR($N5753=$Q$7,$O5753=$Q$7)),"x","")</f>
        <v/>
      </c>
      <c r="R5753" s="79" t="str">
        <f>IF(AND($N5753=$Q$7,$B5753&lt;'111'!$L$11),"x","")</f>
        <v/>
      </c>
      <c r="S5753" s="79" t="str">
        <f>IF(AND($O5753=$Q$7,$B5753&lt;'111'!$L$11),"x","")</f>
        <v/>
      </c>
      <c r="T5753" s="79" t="str">
        <f>IF(ISERROR(FIND('112'!$M$9,G5753,1)),"",IF((AND(FIND('112'!$M$9,G5753,1)&gt;=1,B5753='112'!$K$9,OR($N5753='112'!$I$6,$O5753='112'!$I$6))),"x",""))</f>
        <v/>
      </c>
      <c r="U5753" s="79" t="str">
        <f>IF(ISERROR(FIND('112'!$M$9,G5753,1)),"",IF((AND(LEFT(G5753,2)=LEFT('112'!$M$9,2),B5753&lt;'112'!$K$9,$N5753='112'!$I$6)),"x",""))</f>
        <v/>
      </c>
      <c r="V5753" s="79" t="str">
        <f>IF(ISERROR(FIND('112'!$M$9,G5753,1)),"",IF((AND(RIGHT(G5753,2)=RIGHT('112'!$M$9,2),B5753&lt;'112'!$K$9,$O5753='112'!$I$6)),"x",""))</f>
        <v/>
      </c>
      <c r="W5753" s="79" t="str">
        <f>IF(AND('341-CT'!$H$9=H5753,OR(LEFT(N5753,3)=$W$7,LEFT(O5753,3)=$W$7)),"x","")</f>
        <v/>
      </c>
      <c r="X5753" s="79" t="str">
        <f>IF(OR(TH!N5753=TH!$X$7,O5753=TH!$X$7),"x","")</f>
        <v/>
      </c>
      <c r="Y5753" s="79" t="str">
        <f>IF(AND(OR(N5753="131",O5753="131"),H5753='131-CT'!$H$9),"x","")</f>
        <v/>
      </c>
      <c r="Z5753" s="79"/>
      <c r="AA5753" s="79" t="str">
        <f>IF(AND(MONTH(E5753)='IN-NX'!$J$5,'IN-NX'!$D$7=D5753),"x","")</f>
        <v/>
      </c>
      <c r="AB5753" s="79" t="str">
        <f>IF(AND(OR(LEFT(TH!N5753,2)="15",LEFT(TH!O5753,2)="15"),LEFT(TH!O5753,3)&lt;&gt;"111",'152-CT'!$J$8=TH!F5753),"x","")</f>
        <v/>
      </c>
      <c r="AC5753" s="79" t="str">
        <f>IF(AND(OR(LEFT(TH!N5753,2)="15",LEFT(TH!O5753,2)="15"),TK!$E$7=TH!F5753),"x","")</f>
        <v/>
      </c>
      <c r="AD5753" s="79" t="str">
        <f>IF(AND(N5753="1521",MONTH(C5753)='BK-NL'!$M$11),"x","")</f>
        <v/>
      </c>
    </row>
    <row r="5754" spans="1:30" ht="16.5" customHeight="1">
      <c r="A5754" s="318" t="str">
        <f>IF(B5754&lt;&gt;"",IF(AND(B5754='IN-TC'!$S$4,OR(TH!N5754="1111",TH!O5754="1111")),TH!D5754,""),"")</f>
        <v/>
      </c>
      <c r="B5754" s="60" t="str">
        <f t="shared" si="510"/>
        <v/>
      </c>
      <c r="C5754" s="61"/>
      <c r="D5754" s="61"/>
      <c r="E5754" s="61"/>
      <c r="F5754" s="446"/>
      <c r="G5754" s="64"/>
      <c r="H5754" s="69"/>
      <c r="I5754" s="385"/>
      <c r="J5754" s="392"/>
      <c r="K5754" s="385"/>
      <c r="L5754" s="392"/>
      <c r="M5754" s="62"/>
      <c r="N5754" s="63"/>
      <c r="O5754" s="63"/>
      <c r="P5754" s="79" t="str">
        <f>IF(AND('331-CT'!$E$7=TH!H5754,OR(N5754="331",O5754="331")),"x","")</f>
        <v/>
      </c>
      <c r="Q5754" s="79" t="str">
        <f>IF(AND(B5754='111'!$L$11,OR($N5754=$Q$7,$O5754=$Q$7)),"x","")</f>
        <v/>
      </c>
      <c r="R5754" s="79" t="str">
        <f>IF(AND($N5754=$Q$7,$B5754&lt;'111'!$L$11),"x","")</f>
        <v/>
      </c>
      <c r="S5754" s="79" t="str">
        <f>IF(AND($O5754=$Q$7,$B5754&lt;'111'!$L$11),"x","")</f>
        <v/>
      </c>
      <c r="T5754" s="79" t="str">
        <f>IF(ISERROR(FIND('112'!$M$9,G5754,1)),"",IF((AND(FIND('112'!$M$9,G5754,1)&gt;=1,B5754='112'!$K$9,OR($N5754='112'!$I$6,$O5754='112'!$I$6))),"x",""))</f>
        <v/>
      </c>
      <c r="U5754" s="79" t="str">
        <f>IF(ISERROR(FIND('112'!$M$9,G5754,1)),"",IF((AND(LEFT(G5754,2)=LEFT('112'!$M$9,2),B5754&lt;'112'!$K$9,$N5754='112'!$I$6)),"x",""))</f>
        <v/>
      </c>
      <c r="V5754" s="79" t="str">
        <f>IF(ISERROR(FIND('112'!$M$9,G5754,1)),"",IF((AND(RIGHT(G5754,2)=RIGHT('112'!$M$9,2),B5754&lt;'112'!$K$9,$O5754='112'!$I$6)),"x",""))</f>
        <v/>
      </c>
      <c r="W5754" s="79" t="str">
        <f>IF(AND('341-CT'!$H$9=H5754,OR(LEFT(N5754,3)=$W$7,LEFT(O5754,3)=$W$7)),"x","")</f>
        <v/>
      </c>
      <c r="X5754" s="79" t="str">
        <f>IF(OR(TH!N5754=TH!$X$7,O5754=TH!$X$7),"x","")</f>
        <v/>
      </c>
      <c r="Y5754" s="79" t="str">
        <f>IF(AND(OR(N5754="131",O5754="131"),H5754='131-CT'!$H$9),"x","")</f>
        <v/>
      </c>
      <c r="Z5754" s="79"/>
      <c r="AA5754" s="79" t="str">
        <f>IF(AND(MONTH(E5754)='IN-NX'!$J$5,'IN-NX'!$D$7=D5754),"x","")</f>
        <v/>
      </c>
      <c r="AB5754" s="79" t="str">
        <f>IF(AND(OR(LEFT(TH!N5754,2)="15",LEFT(TH!O5754,2)="15"),LEFT(TH!O5754,3)&lt;&gt;"111",'152-CT'!$J$8=TH!F5754),"x","")</f>
        <v/>
      </c>
      <c r="AC5754" s="79" t="str">
        <f>IF(AND(OR(LEFT(TH!N5754,2)="15",LEFT(TH!O5754,2)="15"),TK!$E$7=TH!F5754),"x","")</f>
        <v/>
      </c>
      <c r="AD5754" s="79" t="str">
        <f>IF(AND(N5754="1521",MONTH(C5754)='BK-NL'!$M$11),"x","")</f>
        <v/>
      </c>
    </row>
    <row r="5755" spans="1:30" ht="16.5" customHeight="1">
      <c r="A5755" s="318" t="str">
        <f>IF(B5755&lt;&gt;"",IF(AND(B5755='IN-TC'!$S$4,OR(TH!N5755="1111",TH!O5755="1111")),TH!D5755,""),"")</f>
        <v/>
      </c>
      <c r="B5755" s="60" t="str">
        <f t="shared" si="510"/>
        <v/>
      </c>
      <c r="C5755" s="61"/>
      <c r="D5755" s="61"/>
      <c r="E5755" s="61"/>
      <c r="F5755" s="69"/>
      <c r="G5755" s="64"/>
      <c r="H5755" s="69"/>
      <c r="I5755" s="385"/>
      <c r="J5755" s="392"/>
      <c r="K5755" s="385"/>
      <c r="L5755" s="392"/>
      <c r="M5755" s="62"/>
      <c r="N5755" s="63"/>
      <c r="O5755" s="63"/>
      <c r="P5755" s="79" t="str">
        <f>IF(AND('331-CT'!$E$7=TH!H5755,OR(N5755="331",O5755="331")),"x","")</f>
        <v/>
      </c>
      <c r="Q5755" s="79" t="str">
        <f>IF(AND(B5755='111'!$L$11,OR($N5755=$Q$7,$O5755=$Q$7)),"x","")</f>
        <v/>
      </c>
      <c r="R5755" s="79" t="str">
        <f>IF(AND($N5755=$Q$7,$B5755&lt;'111'!$L$11),"x","")</f>
        <v/>
      </c>
      <c r="S5755" s="79" t="str">
        <f>IF(AND($O5755=$Q$7,$B5755&lt;'111'!$L$11),"x","")</f>
        <v/>
      </c>
      <c r="T5755" s="79" t="str">
        <f>IF(ISERROR(FIND('112'!$M$9,G5755,1)),"",IF((AND(FIND('112'!$M$9,G5755,1)&gt;=1,B5755='112'!$K$9,OR($N5755='112'!$I$6,$O5755='112'!$I$6))),"x",""))</f>
        <v/>
      </c>
      <c r="U5755" s="79" t="str">
        <f>IF(ISERROR(FIND('112'!$M$9,G5755,1)),"",IF((AND(LEFT(G5755,2)=LEFT('112'!$M$9,2),B5755&lt;'112'!$K$9,$N5755='112'!$I$6)),"x",""))</f>
        <v/>
      </c>
      <c r="V5755" s="79" t="str">
        <f>IF(ISERROR(FIND('112'!$M$9,G5755,1)),"",IF((AND(RIGHT(G5755,2)=RIGHT('112'!$M$9,2),B5755&lt;'112'!$K$9,$O5755='112'!$I$6)),"x",""))</f>
        <v/>
      </c>
      <c r="W5755" s="79" t="str">
        <f>IF(AND('341-CT'!$H$9=H5755,OR(LEFT(N5755,3)=$W$7,LEFT(O5755,3)=$W$7)),"x","")</f>
        <v/>
      </c>
      <c r="X5755" s="79" t="str">
        <f>IF(OR(TH!N5755=TH!$X$7,O5755=TH!$X$7),"x","")</f>
        <v/>
      </c>
      <c r="Y5755" s="79" t="str">
        <f>IF(AND(OR(N5755="131",O5755="131"),H5755='131-CT'!$H$9),"x","")</f>
        <v/>
      </c>
      <c r="Z5755" s="79"/>
      <c r="AA5755" s="79" t="str">
        <f>IF(AND(MONTH(E5755)='IN-NX'!$J$5,'IN-NX'!$D$7=D5755),"x","")</f>
        <v/>
      </c>
      <c r="AB5755" s="79" t="str">
        <f>IF(AND(OR(LEFT(TH!N5755,2)="15",LEFT(TH!O5755,2)="15"),LEFT(TH!O5755,3)&lt;&gt;"111",'152-CT'!$J$8=TH!F5755),"x","")</f>
        <v/>
      </c>
      <c r="AC5755" s="79" t="str">
        <f>IF(AND(OR(LEFT(TH!N5755,2)="15",LEFT(TH!O5755,2)="15"),TK!$E$7=TH!F5755),"x","")</f>
        <v/>
      </c>
      <c r="AD5755" s="79" t="str">
        <f>IF(AND(N5755="1521",MONTH(C5755)='BK-NL'!$M$11),"x","")</f>
        <v/>
      </c>
    </row>
    <row r="5756" spans="1:30" ht="16.5" customHeight="1">
      <c r="A5756" s="318" t="str">
        <f>IF(B5756&lt;&gt;"",IF(AND(B5756='IN-TC'!$S$4,OR(TH!N5756="1111",TH!O5756="1111")),TH!D5756,""),"")</f>
        <v/>
      </c>
      <c r="B5756" s="60" t="str">
        <f t="shared" si="510"/>
        <v/>
      </c>
      <c r="C5756" s="61"/>
      <c r="D5756" s="61"/>
      <c r="E5756" s="61"/>
      <c r="F5756" s="446"/>
      <c r="G5756" s="64"/>
      <c r="H5756" s="69"/>
      <c r="I5756" s="385"/>
      <c r="J5756" s="392"/>
      <c r="K5756" s="385"/>
      <c r="L5756" s="392"/>
      <c r="M5756" s="62"/>
      <c r="N5756" s="63"/>
      <c r="O5756" s="63"/>
      <c r="P5756" s="79" t="str">
        <f>IF(AND('331-CT'!$E$7=TH!H5756,OR(N5756="331",O5756="331")),"x","")</f>
        <v/>
      </c>
      <c r="Q5756" s="79" t="str">
        <f>IF(AND(B5756='111'!$L$11,OR($N5756=$Q$7,$O5756=$Q$7)),"x","")</f>
        <v/>
      </c>
      <c r="R5756" s="79" t="str">
        <f>IF(AND($N5756=$Q$7,$B5756&lt;'111'!$L$11),"x","")</f>
        <v/>
      </c>
      <c r="S5756" s="79" t="str">
        <f>IF(AND($O5756=$Q$7,$B5756&lt;'111'!$L$11),"x","")</f>
        <v/>
      </c>
      <c r="T5756" s="79" t="str">
        <f>IF(ISERROR(FIND('112'!$M$9,G5756,1)),"",IF((AND(FIND('112'!$M$9,G5756,1)&gt;=1,B5756='112'!$K$9,OR($N5756='112'!$I$6,$O5756='112'!$I$6))),"x",""))</f>
        <v/>
      </c>
      <c r="U5756" s="79" t="str">
        <f>IF(ISERROR(FIND('112'!$M$9,G5756,1)),"",IF((AND(LEFT(G5756,2)=LEFT('112'!$M$9,2),B5756&lt;'112'!$K$9,$N5756='112'!$I$6)),"x",""))</f>
        <v/>
      </c>
      <c r="V5756" s="79" t="str">
        <f>IF(ISERROR(FIND('112'!$M$9,G5756,1)),"",IF((AND(RIGHT(G5756,2)=RIGHT('112'!$M$9,2),B5756&lt;'112'!$K$9,$O5756='112'!$I$6)),"x",""))</f>
        <v/>
      </c>
      <c r="W5756" s="79" t="str">
        <f>IF(AND('341-CT'!$H$9=H5756,OR(LEFT(N5756,3)=$W$7,LEFT(O5756,3)=$W$7)),"x","")</f>
        <v/>
      </c>
      <c r="X5756" s="79" t="str">
        <f>IF(OR(TH!N5756=TH!$X$7,O5756=TH!$X$7),"x","")</f>
        <v/>
      </c>
      <c r="Y5756" s="79" t="str">
        <f>IF(AND(OR(N5756="131",O5756="131"),H5756='131-CT'!$H$9),"x","")</f>
        <v/>
      </c>
      <c r="Z5756" s="79"/>
      <c r="AA5756" s="79" t="str">
        <f>IF(AND(MONTH(E5756)='IN-NX'!$J$5,'IN-NX'!$D$7=D5756),"x","")</f>
        <v/>
      </c>
      <c r="AB5756" s="79" t="str">
        <f>IF(AND(OR(LEFT(TH!N5756,2)="15",LEFT(TH!O5756,2)="15"),LEFT(TH!O5756,3)&lt;&gt;"111",'152-CT'!$J$8=TH!F5756),"x","")</f>
        <v/>
      </c>
      <c r="AC5756" s="79" t="str">
        <f>IF(AND(OR(LEFT(TH!N5756,2)="15",LEFT(TH!O5756,2)="15"),TK!$E$7=TH!F5756),"x","")</f>
        <v/>
      </c>
      <c r="AD5756" s="79" t="str">
        <f>IF(AND(N5756="1521",MONTH(C5756)='BK-NL'!$M$11),"x","")</f>
        <v/>
      </c>
    </row>
    <row r="5757" spans="1:30" ht="16.5" customHeight="1">
      <c r="A5757" s="318" t="str">
        <f>IF(B5757&lt;&gt;"",IF(AND(B5757='IN-TC'!$S$4,OR(TH!N5757="1111",TH!O5757="1111")),TH!D5757,""),"")</f>
        <v/>
      </c>
      <c r="B5757" s="60" t="str">
        <f t="shared" si="510"/>
        <v/>
      </c>
      <c r="C5757" s="61"/>
      <c r="D5757" s="61"/>
      <c r="E5757" s="61"/>
      <c r="F5757" s="446"/>
      <c r="G5757" s="64"/>
      <c r="H5757" s="69"/>
      <c r="I5757" s="385"/>
      <c r="J5757" s="392"/>
      <c r="K5757" s="385"/>
      <c r="L5757" s="392"/>
      <c r="M5757" s="62"/>
      <c r="N5757" s="63"/>
      <c r="O5757" s="63"/>
      <c r="P5757" s="79" t="str">
        <f>IF(AND('331-CT'!$E$7=TH!H5757,OR(N5757="331",O5757="331")),"x","")</f>
        <v/>
      </c>
      <c r="Q5757" s="79" t="str">
        <f>IF(AND(B5757='111'!$L$11,OR($N5757=$Q$7,$O5757=$Q$7)),"x","")</f>
        <v/>
      </c>
      <c r="R5757" s="79" t="str">
        <f>IF(AND($N5757=$Q$7,$B5757&lt;'111'!$L$11),"x","")</f>
        <v/>
      </c>
      <c r="S5757" s="79" t="str">
        <f>IF(AND($O5757=$Q$7,$B5757&lt;'111'!$L$11),"x","")</f>
        <v/>
      </c>
      <c r="T5757" s="79" t="str">
        <f>IF(ISERROR(FIND('112'!$M$9,G5757,1)),"",IF((AND(FIND('112'!$M$9,G5757,1)&gt;=1,B5757='112'!$K$9,OR($N5757='112'!$I$6,$O5757='112'!$I$6))),"x",""))</f>
        <v/>
      </c>
      <c r="U5757" s="79" t="str">
        <f>IF(ISERROR(FIND('112'!$M$9,G5757,1)),"",IF((AND(LEFT(G5757,2)=LEFT('112'!$M$9,2),B5757&lt;'112'!$K$9,$N5757='112'!$I$6)),"x",""))</f>
        <v/>
      </c>
      <c r="V5757" s="79" t="str">
        <f>IF(ISERROR(FIND('112'!$M$9,G5757,1)),"",IF((AND(RIGHT(G5757,2)=RIGHT('112'!$M$9,2),B5757&lt;'112'!$K$9,$O5757='112'!$I$6)),"x",""))</f>
        <v/>
      </c>
      <c r="W5757" s="79" t="str">
        <f>IF(AND('341-CT'!$H$9=H5757,OR(LEFT(N5757,3)=$W$7,LEFT(O5757,3)=$W$7)),"x","")</f>
        <v/>
      </c>
      <c r="X5757" s="79" t="str">
        <f>IF(OR(TH!N5757=TH!$X$7,O5757=TH!$X$7),"x","")</f>
        <v/>
      </c>
      <c r="Y5757" s="79" t="str">
        <f>IF(AND(OR(N5757="131",O5757="131"),H5757='131-CT'!$H$9),"x","")</f>
        <v/>
      </c>
      <c r="Z5757" s="79"/>
      <c r="AA5757" s="79" t="str">
        <f>IF(AND(MONTH(E5757)='IN-NX'!$J$5,'IN-NX'!$D$7=D5757),"x","")</f>
        <v/>
      </c>
      <c r="AB5757" s="79" t="str">
        <f>IF(AND(OR(LEFT(TH!N5757,2)="15",LEFT(TH!O5757,2)="15"),LEFT(TH!O5757,3)&lt;&gt;"111",'152-CT'!$J$8=TH!F5757),"x","")</f>
        <v/>
      </c>
      <c r="AC5757" s="79" t="str">
        <f>IF(AND(OR(LEFT(TH!N5757,2)="15",LEFT(TH!O5757,2)="15"),TK!$E$7=TH!F5757),"x","")</f>
        <v/>
      </c>
      <c r="AD5757" s="79" t="str">
        <f>IF(AND(N5757="1521",MONTH(C5757)='BK-NL'!$M$11),"x","")</f>
        <v/>
      </c>
    </row>
    <row r="5758" spans="1:30" ht="16.5" customHeight="1">
      <c r="A5758" s="318" t="str">
        <f>IF(B5758&lt;&gt;"",IF(AND(B5758='IN-TC'!$S$4,OR(TH!N5758="1111",TH!O5758="1111")),TH!D5758,""),"")</f>
        <v/>
      </c>
      <c r="B5758" s="60" t="str">
        <f t="shared" si="510"/>
        <v/>
      </c>
      <c r="C5758" s="61"/>
      <c r="D5758" s="61"/>
      <c r="E5758" s="61"/>
      <c r="F5758" s="446"/>
      <c r="G5758" s="64"/>
      <c r="H5758" s="69"/>
      <c r="I5758" s="385"/>
      <c r="J5758" s="392"/>
      <c r="K5758" s="385"/>
      <c r="L5758" s="392"/>
      <c r="M5758" s="62"/>
      <c r="N5758" s="63"/>
      <c r="O5758" s="63"/>
      <c r="P5758" s="79" t="str">
        <f>IF(AND('331-CT'!$E$7=TH!H5758,OR(N5758="331",O5758="331")),"x","")</f>
        <v/>
      </c>
      <c r="Q5758" s="79" t="str">
        <f>IF(AND(B5758='111'!$L$11,OR($N5758=$Q$7,$O5758=$Q$7)),"x","")</f>
        <v/>
      </c>
      <c r="R5758" s="79" t="str">
        <f>IF(AND($N5758=$Q$7,$B5758&lt;'111'!$L$11),"x","")</f>
        <v/>
      </c>
      <c r="S5758" s="79" t="str">
        <f>IF(AND($O5758=$Q$7,$B5758&lt;'111'!$L$11),"x","")</f>
        <v/>
      </c>
      <c r="T5758" s="79" t="str">
        <f>IF(ISERROR(FIND('112'!$M$9,G5758,1)),"",IF((AND(FIND('112'!$M$9,G5758,1)&gt;=1,B5758='112'!$K$9,OR($N5758='112'!$I$6,$O5758='112'!$I$6))),"x",""))</f>
        <v/>
      </c>
      <c r="U5758" s="79" t="str">
        <f>IF(ISERROR(FIND('112'!$M$9,G5758,1)),"",IF((AND(LEFT(G5758,2)=LEFT('112'!$M$9,2),B5758&lt;'112'!$K$9,$N5758='112'!$I$6)),"x",""))</f>
        <v/>
      </c>
      <c r="V5758" s="79" t="str">
        <f>IF(ISERROR(FIND('112'!$M$9,G5758,1)),"",IF((AND(RIGHT(G5758,2)=RIGHT('112'!$M$9,2),B5758&lt;'112'!$K$9,$O5758='112'!$I$6)),"x",""))</f>
        <v/>
      </c>
      <c r="W5758" s="79" t="str">
        <f>IF(AND('341-CT'!$H$9=H5758,OR(LEFT(N5758,3)=$W$7,LEFT(O5758,3)=$W$7)),"x","")</f>
        <v/>
      </c>
      <c r="X5758" s="79" t="str">
        <f>IF(OR(TH!N5758=TH!$X$7,O5758=TH!$X$7),"x","")</f>
        <v/>
      </c>
      <c r="Y5758" s="79" t="str">
        <f>IF(AND(OR(N5758="131",O5758="131"),H5758='131-CT'!$H$9),"x","")</f>
        <v/>
      </c>
      <c r="Z5758" s="79"/>
      <c r="AA5758" s="79" t="str">
        <f>IF(AND(MONTH(E5758)='IN-NX'!$J$5,'IN-NX'!$D$7=D5758),"x","")</f>
        <v/>
      </c>
      <c r="AB5758" s="79" t="str">
        <f>IF(AND(OR(LEFT(TH!N5758,2)="15",LEFT(TH!O5758,2)="15"),LEFT(TH!O5758,3)&lt;&gt;"111",'152-CT'!$J$8=TH!F5758),"x","")</f>
        <v/>
      </c>
      <c r="AC5758" s="79" t="str">
        <f>IF(AND(OR(LEFT(TH!N5758,2)="15",LEFT(TH!O5758,2)="15"),TK!$E$7=TH!F5758),"x","")</f>
        <v/>
      </c>
      <c r="AD5758" s="79" t="str">
        <f>IF(AND(N5758="1521",MONTH(C5758)='BK-NL'!$M$11),"x","")</f>
        <v/>
      </c>
    </row>
    <row r="5759" spans="1:30" ht="16.5" customHeight="1">
      <c r="A5759" s="318" t="str">
        <f>IF(B5759&lt;&gt;"",IF(AND(B5759='IN-TC'!$S$4,OR(TH!N5759="1111",TH!O5759="1111")),TH!D5759,""),"")</f>
        <v/>
      </c>
      <c r="B5759" s="60" t="str">
        <f t="shared" si="510"/>
        <v/>
      </c>
      <c r="C5759" s="61"/>
      <c r="D5759" s="61"/>
      <c r="E5759" s="61"/>
      <c r="F5759" s="446"/>
      <c r="G5759" s="64"/>
      <c r="H5759" s="69"/>
      <c r="I5759" s="385"/>
      <c r="J5759" s="392"/>
      <c r="K5759" s="385"/>
      <c r="L5759" s="392"/>
      <c r="M5759" s="62"/>
      <c r="N5759" s="63"/>
      <c r="O5759" s="63"/>
      <c r="P5759" s="79" t="str">
        <f>IF(AND('331-CT'!$E$7=TH!H5759,OR(N5759="331",O5759="331")),"x","")</f>
        <v/>
      </c>
      <c r="Q5759" s="79" t="str">
        <f>IF(AND(B5759='111'!$L$11,OR($N5759=$Q$7,$O5759=$Q$7)),"x","")</f>
        <v/>
      </c>
      <c r="R5759" s="79" t="str">
        <f>IF(AND($N5759=$Q$7,$B5759&lt;'111'!$L$11),"x","")</f>
        <v/>
      </c>
      <c r="S5759" s="79" t="str">
        <f>IF(AND($O5759=$Q$7,$B5759&lt;'111'!$L$11),"x","")</f>
        <v/>
      </c>
      <c r="T5759" s="79" t="str">
        <f>IF(ISERROR(FIND('112'!$M$9,G5759,1)),"",IF((AND(FIND('112'!$M$9,G5759,1)&gt;=1,B5759='112'!$K$9,OR($N5759='112'!$I$6,$O5759='112'!$I$6))),"x",""))</f>
        <v/>
      </c>
      <c r="U5759" s="79" t="str">
        <f>IF(ISERROR(FIND('112'!$M$9,G5759,1)),"",IF((AND(LEFT(G5759,2)=LEFT('112'!$M$9,2),B5759&lt;'112'!$K$9,$N5759='112'!$I$6)),"x",""))</f>
        <v/>
      </c>
      <c r="V5759" s="79" t="str">
        <f>IF(ISERROR(FIND('112'!$M$9,G5759,1)),"",IF((AND(RIGHT(G5759,2)=RIGHT('112'!$M$9,2),B5759&lt;'112'!$K$9,$O5759='112'!$I$6)),"x",""))</f>
        <v/>
      </c>
      <c r="W5759" s="79" t="str">
        <f>IF(AND('341-CT'!$H$9=H5759,OR(LEFT(N5759,3)=$W$7,LEFT(O5759,3)=$W$7)),"x","")</f>
        <v/>
      </c>
      <c r="X5759" s="79" t="str">
        <f>IF(OR(TH!N5759=TH!$X$7,O5759=TH!$X$7),"x","")</f>
        <v/>
      </c>
      <c r="Y5759" s="79" t="str">
        <f>IF(AND(OR(N5759="131",O5759="131"),H5759='131-CT'!$H$9),"x","")</f>
        <v/>
      </c>
      <c r="Z5759" s="79"/>
      <c r="AA5759" s="79" t="str">
        <f>IF(AND(MONTH(E5759)='IN-NX'!$J$5,'IN-NX'!$D$7=D5759),"x","")</f>
        <v/>
      </c>
      <c r="AB5759" s="79" t="str">
        <f>IF(AND(OR(LEFT(TH!N5759,2)="15",LEFT(TH!O5759,2)="15"),LEFT(TH!O5759,3)&lt;&gt;"111",'152-CT'!$J$8=TH!F5759),"x","")</f>
        <v/>
      </c>
      <c r="AC5759" s="79" t="str">
        <f>IF(AND(OR(LEFT(TH!N5759,2)="15",LEFT(TH!O5759,2)="15"),TK!$E$7=TH!F5759),"x","")</f>
        <v/>
      </c>
      <c r="AD5759" s="79" t="str">
        <f>IF(AND(N5759="1521",MONTH(C5759)='BK-NL'!$M$11),"x","")</f>
        <v/>
      </c>
    </row>
    <row r="5760" spans="1:30" ht="16.5" customHeight="1">
      <c r="A5760" s="318" t="str">
        <f>IF(B5760&lt;&gt;"",IF(AND(B5760='IN-TC'!$S$4,OR(TH!N5760="1111",TH!O5760="1111")),TH!D5760,""),"")</f>
        <v/>
      </c>
      <c r="B5760" s="60" t="str">
        <f t="shared" si="510"/>
        <v/>
      </c>
      <c r="C5760" s="61"/>
      <c r="D5760" s="61"/>
      <c r="E5760" s="61"/>
      <c r="F5760" s="446"/>
      <c r="G5760" s="64"/>
      <c r="H5760" s="69"/>
      <c r="I5760" s="389"/>
      <c r="J5760" s="396"/>
      <c r="K5760" s="389"/>
      <c r="L5760" s="396"/>
      <c r="M5760" s="62"/>
      <c r="N5760" s="63"/>
      <c r="O5760" s="63"/>
      <c r="P5760" s="79" t="str">
        <f>IF(AND('331-CT'!$E$7=TH!H5760,OR(N5760="331",O5760="331")),"x","")</f>
        <v/>
      </c>
      <c r="Q5760" s="79" t="str">
        <f>IF(AND(B5760='111'!$L$11,OR($N5760=$Q$7,$O5760=$Q$7)),"x","")</f>
        <v/>
      </c>
      <c r="R5760" s="79" t="str">
        <f>IF(AND($N5760=$Q$7,$B5760&lt;'111'!$L$11),"x","")</f>
        <v/>
      </c>
      <c r="S5760" s="79" t="str">
        <f>IF(AND($O5760=$Q$7,$B5760&lt;'111'!$L$11),"x","")</f>
        <v/>
      </c>
      <c r="T5760" s="79" t="str">
        <f>IF(ISERROR(FIND('112'!$M$9,G5760,1)),"",IF((AND(FIND('112'!$M$9,G5760,1)&gt;=1,B5760='112'!$K$9,OR($N5760='112'!$I$6,$O5760='112'!$I$6))),"x",""))</f>
        <v/>
      </c>
      <c r="U5760" s="79" t="str">
        <f>IF(ISERROR(FIND('112'!$M$9,G5760,1)),"",IF((AND(LEFT(G5760,2)=LEFT('112'!$M$9,2),B5760&lt;'112'!$K$9,$N5760='112'!$I$6)),"x",""))</f>
        <v/>
      </c>
      <c r="V5760" s="79" t="str">
        <f>IF(ISERROR(FIND('112'!$M$9,G5760,1)),"",IF((AND(RIGHT(G5760,2)=RIGHT('112'!$M$9,2),B5760&lt;'112'!$K$9,$O5760='112'!$I$6)),"x",""))</f>
        <v/>
      </c>
      <c r="W5760" s="79" t="str">
        <f>IF(AND('341-CT'!$H$9=H5760,OR(LEFT(N5760,3)=$W$7,LEFT(O5760,3)=$W$7)),"x","")</f>
        <v/>
      </c>
      <c r="X5760" s="79" t="str">
        <f>IF(OR(TH!N5760=TH!$X$7,O5760=TH!$X$7),"x","")</f>
        <v/>
      </c>
      <c r="Y5760" s="79" t="str">
        <f>IF(AND(OR(N5760="131",O5760="131"),H5760='131-CT'!$H$9),"x","")</f>
        <v/>
      </c>
      <c r="Z5760" s="79"/>
      <c r="AA5760" s="79" t="str">
        <f>IF(AND(MONTH(E5760)='IN-NX'!$J$5,'IN-NX'!$D$7=D5760),"x","")</f>
        <v/>
      </c>
      <c r="AB5760" s="79" t="str">
        <f>IF(AND(OR(LEFT(TH!N5760,2)="15",LEFT(TH!O5760,2)="15"),LEFT(TH!O5760,3)&lt;&gt;"111",'152-CT'!$J$8=TH!F5760),"x","")</f>
        <v/>
      </c>
      <c r="AC5760" s="79" t="str">
        <f>IF(AND(OR(LEFT(TH!N5760,2)="15",LEFT(TH!O5760,2)="15"),TK!$E$7=TH!F5760),"x","")</f>
        <v/>
      </c>
      <c r="AD5760" s="79" t="str">
        <f>IF(AND(N5760="1521",MONTH(C5760)='BK-NL'!$M$11),"x","")</f>
        <v/>
      </c>
    </row>
    <row r="5761" spans="1:30" ht="16.5" customHeight="1">
      <c r="A5761" s="318" t="str">
        <f>IF(B5761&lt;&gt;"",IF(AND(B5761='IN-TC'!$S$4,OR(TH!N5761="1111",TH!O5761="1111")),TH!D5761,""),"")</f>
        <v/>
      </c>
      <c r="B5761" s="60" t="str">
        <f t="shared" si="510"/>
        <v/>
      </c>
      <c r="C5761" s="61"/>
      <c r="D5761" s="61"/>
      <c r="E5761" s="61"/>
      <c r="F5761" s="446"/>
      <c r="G5761" s="64"/>
      <c r="H5761" s="70"/>
      <c r="I5761" s="385"/>
      <c r="J5761" s="392"/>
      <c r="K5761" s="385"/>
      <c r="L5761" s="392"/>
      <c r="M5761" s="62"/>
      <c r="N5761" s="63"/>
      <c r="O5761" s="63"/>
      <c r="P5761" s="79" t="str">
        <f>IF(AND('331-CT'!$E$7=TH!H5761,OR(N5761="331",O5761="331")),"x","")</f>
        <v/>
      </c>
      <c r="Q5761" s="79" t="str">
        <f>IF(AND(B5761='111'!$L$11,OR($N5761=$Q$7,$O5761=$Q$7)),"x","")</f>
        <v/>
      </c>
      <c r="R5761" s="79" t="str">
        <f>IF(AND($N5761=$Q$7,$B5761&lt;'111'!$L$11),"x","")</f>
        <v/>
      </c>
      <c r="S5761" s="79" t="str">
        <f>IF(AND($O5761=$Q$7,$B5761&lt;'111'!$L$11),"x","")</f>
        <v/>
      </c>
      <c r="T5761" s="79" t="str">
        <f>IF(ISERROR(FIND('112'!$M$9,G5761,1)),"",IF((AND(FIND('112'!$M$9,G5761,1)&gt;=1,B5761='112'!$K$9,OR($N5761='112'!$I$6,$O5761='112'!$I$6))),"x",""))</f>
        <v/>
      </c>
      <c r="U5761" s="79" t="str">
        <f>IF(ISERROR(FIND('112'!$M$9,G5761,1)),"",IF((AND(LEFT(G5761,2)=LEFT('112'!$M$9,2),B5761&lt;'112'!$K$9,$N5761='112'!$I$6)),"x",""))</f>
        <v/>
      </c>
      <c r="V5761" s="79" t="str">
        <f>IF(ISERROR(FIND('112'!$M$9,G5761,1)),"",IF((AND(RIGHT(G5761,2)=RIGHT('112'!$M$9,2),B5761&lt;'112'!$K$9,$O5761='112'!$I$6)),"x",""))</f>
        <v/>
      </c>
      <c r="W5761" s="79" t="str">
        <f>IF(AND('341-CT'!$H$9=H5761,OR(LEFT(N5761,3)=$W$7,LEFT(O5761,3)=$W$7)),"x","")</f>
        <v/>
      </c>
      <c r="X5761" s="79" t="str">
        <f>IF(OR(TH!N5761=TH!$X$7,O5761=TH!$X$7),"x","")</f>
        <v/>
      </c>
      <c r="Y5761" s="79" t="str">
        <f>IF(AND(OR(N5761="131",O5761="131"),H5761='131-CT'!$H$9),"x","")</f>
        <v/>
      </c>
      <c r="Z5761" s="79"/>
      <c r="AA5761" s="79" t="str">
        <f>IF(AND(MONTH(E5761)='IN-NX'!$J$5,'IN-NX'!$D$7=D5761),"x","")</f>
        <v/>
      </c>
      <c r="AB5761" s="79" t="str">
        <f>IF(AND(OR(LEFT(TH!N5761,2)="15",LEFT(TH!O5761,2)="15"),LEFT(TH!O5761,3)&lt;&gt;"111",'152-CT'!$J$8=TH!F5761),"x","")</f>
        <v/>
      </c>
      <c r="AC5761" s="79" t="str">
        <f>IF(AND(OR(LEFT(TH!N5761,2)="15",LEFT(TH!O5761,2)="15"),TK!$E$7=TH!F5761),"x","")</f>
        <v/>
      </c>
      <c r="AD5761" s="79" t="str">
        <f>IF(AND(N5761="1521",MONTH(C5761)='BK-NL'!$M$11),"x","")</f>
        <v/>
      </c>
    </row>
    <row r="5762" spans="1:30" ht="16.5" customHeight="1">
      <c r="A5762" s="318" t="str">
        <f>IF(B5762&lt;&gt;"",IF(AND(B5762='IN-TC'!$S$4,OR(TH!N5762="1111",TH!O5762="1111")),TH!D5762,""),"")</f>
        <v/>
      </c>
      <c r="B5762" s="60" t="str">
        <f t="shared" si="510"/>
        <v/>
      </c>
      <c r="C5762" s="61"/>
      <c r="D5762" s="61"/>
      <c r="E5762" s="61"/>
      <c r="F5762" s="446"/>
      <c r="G5762" s="64"/>
      <c r="H5762" s="69"/>
      <c r="I5762" s="389"/>
      <c r="J5762" s="396"/>
      <c r="K5762" s="389"/>
      <c r="L5762" s="396"/>
      <c r="M5762" s="62"/>
      <c r="N5762" s="63"/>
      <c r="O5762" s="63"/>
      <c r="P5762" s="79" t="str">
        <f>IF(AND('331-CT'!$E$7=TH!H5762,OR(N5762="331",O5762="331")),"x","")</f>
        <v/>
      </c>
      <c r="Q5762" s="79" t="str">
        <f>IF(AND(B5762='111'!$L$11,OR($N5762=$Q$7,$O5762=$Q$7)),"x","")</f>
        <v/>
      </c>
      <c r="R5762" s="79" t="str">
        <f>IF(AND($N5762=$Q$7,$B5762&lt;'111'!$L$11),"x","")</f>
        <v/>
      </c>
      <c r="S5762" s="79" t="str">
        <f>IF(AND($O5762=$Q$7,$B5762&lt;'111'!$L$11),"x","")</f>
        <v/>
      </c>
      <c r="T5762" s="79" t="str">
        <f>IF(ISERROR(FIND('112'!$M$9,G5762,1)),"",IF((AND(FIND('112'!$M$9,G5762,1)&gt;=1,B5762='112'!$K$9,OR($N5762='112'!$I$6,$O5762='112'!$I$6))),"x",""))</f>
        <v/>
      </c>
      <c r="U5762" s="79" t="str">
        <f>IF(ISERROR(FIND('112'!$M$9,G5762,1)),"",IF((AND(LEFT(G5762,2)=LEFT('112'!$M$9,2),B5762&lt;'112'!$K$9,$N5762='112'!$I$6)),"x",""))</f>
        <v/>
      </c>
      <c r="V5762" s="79" t="str">
        <f>IF(ISERROR(FIND('112'!$M$9,G5762,1)),"",IF((AND(RIGHT(G5762,2)=RIGHT('112'!$M$9,2),B5762&lt;'112'!$K$9,$O5762='112'!$I$6)),"x",""))</f>
        <v/>
      </c>
      <c r="W5762" s="79" t="str">
        <f>IF(AND('341-CT'!$H$9=H5762,OR(LEFT(N5762,3)=$W$7,LEFT(O5762,3)=$W$7)),"x","")</f>
        <v/>
      </c>
      <c r="X5762" s="79" t="str">
        <f>IF(OR(TH!N5762=TH!$X$7,O5762=TH!$X$7),"x","")</f>
        <v/>
      </c>
      <c r="Y5762" s="79" t="str">
        <f>IF(AND(OR(N5762="131",O5762="131"),H5762='131-CT'!$H$9),"x","")</f>
        <v/>
      </c>
      <c r="Z5762" s="79"/>
      <c r="AA5762" s="79" t="str">
        <f>IF(AND(MONTH(E5762)='IN-NX'!$J$5,'IN-NX'!$D$7=D5762),"x","")</f>
        <v/>
      </c>
      <c r="AB5762" s="79" t="str">
        <f>IF(AND(OR(LEFT(TH!N5762,2)="15",LEFT(TH!O5762,2)="15"),LEFT(TH!O5762,3)&lt;&gt;"111",'152-CT'!$J$8=TH!F5762),"x","")</f>
        <v/>
      </c>
      <c r="AC5762" s="79" t="str">
        <f>IF(AND(OR(LEFT(TH!N5762,2)="15",LEFT(TH!O5762,2)="15"),TK!$E$7=TH!F5762),"x","")</f>
        <v/>
      </c>
      <c r="AD5762" s="79" t="str">
        <f>IF(AND(N5762="1521",MONTH(C5762)='BK-NL'!$M$11),"x","")</f>
        <v/>
      </c>
    </row>
    <row r="5763" spans="1:30" ht="16.5" customHeight="1">
      <c r="A5763" s="318" t="str">
        <f>IF(B5763&lt;&gt;"",IF(AND(B5763='IN-TC'!$S$4,OR(TH!N5763="1111",TH!O5763="1111")),TH!D5763,""),"")</f>
        <v/>
      </c>
      <c r="B5763" s="60" t="str">
        <f t="shared" ref="B5763:B5826" si="511">IF(C5763&lt;&gt;"",MONTH(C5763),"")</f>
        <v/>
      </c>
      <c r="C5763" s="61"/>
      <c r="D5763" s="61"/>
      <c r="E5763" s="61"/>
      <c r="F5763" s="446"/>
      <c r="G5763" s="64"/>
      <c r="H5763" s="321"/>
      <c r="I5763" s="387"/>
      <c r="J5763" s="394"/>
      <c r="K5763" s="387"/>
      <c r="L5763" s="394"/>
      <c r="M5763" s="62"/>
      <c r="N5763" s="63"/>
      <c r="O5763" s="63"/>
      <c r="P5763" s="79" t="str">
        <f>IF(AND('331-CT'!$E$7=TH!H5763,OR(N5763="331",O5763="331")),"x","")</f>
        <v/>
      </c>
      <c r="Q5763" s="79" t="str">
        <f>IF(AND(B5763='111'!$L$11,OR($N5763=$Q$7,$O5763=$Q$7)),"x","")</f>
        <v/>
      </c>
      <c r="R5763" s="79" t="str">
        <f>IF(AND($N5763=$Q$7,$B5763&lt;'111'!$L$11),"x","")</f>
        <v/>
      </c>
      <c r="S5763" s="79" t="str">
        <f>IF(AND($O5763=$Q$7,$B5763&lt;'111'!$L$11),"x","")</f>
        <v/>
      </c>
      <c r="T5763" s="79" t="str">
        <f>IF(ISERROR(FIND('112'!$M$9,G5763,1)),"",IF((AND(FIND('112'!$M$9,G5763,1)&gt;=1,B5763='112'!$K$9,OR($N5763='112'!$I$6,$O5763='112'!$I$6))),"x",""))</f>
        <v/>
      </c>
      <c r="U5763" s="79" t="str">
        <f>IF(ISERROR(FIND('112'!$M$9,G5763,1)),"",IF((AND(LEFT(G5763,2)=LEFT('112'!$M$9,2),B5763&lt;'112'!$K$9,$N5763='112'!$I$6)),"x",""))</f>
        <v/>
      </c>
      <c r="V5763" s="79" t="str">
        <f>IF(ISERROR(FIND('112'!$M$9,G5763,1)),"",IF((AND(RIGHT(G5763,2)=RIGHT('112'!$M$9,2),B5763&lt;'112'!$K$9,$O5763='112'!$I$6)),"x",""))</f>
        <v/>
      </c>
      <c r="W5763" s="79" t="str">
        <f>IF(AND('341-CT'!$H$9=H5763,OR(LEFT(N5763,3)=$W$7,LEFT(O5763,3)=$W$7)),"x","")</f>
        <v/>
      </c>
      <c r="X5763" s="79" t="str">
        <f>IF(OR(TH!N5763=TH!$X$7,O5763=TH!$X$7),"x","")</f>
        <v/>
      </c>
      <c r="Y5763" s="79" t="str">
        <f>IF(AND(OR(N5763="131",O5763="131"),H5763='131-CT'!$H$9),"x","")</f>
        <v/>
      </c>
      <c r="Z5763" s="79"/>
      <c r="AA5763" s="79" t="str">
        <f>IF(AND(MONTH(E5763)='IN-NX'!$J$5,'IN-NX'!$D$7=D5763),"x","")</f>
        <v/>
      </c>
      <c r="AB5763" s="79" t="str">
        <f>IF(AND(OR(LEFT(TH!N5763,2)="15",LEFT(TH!O5763,2)="15"),LEFT(TH!O5763,3)&lt;&gt;"111",'152-CT'!$J$8=TH!F5763),"x","")</f>
        <v/>
      </c>
      <c r="AC5763" s="79" t="str">
        <f>IF(AND(OR(LEFT(TH!N5763,2)="15",LEFT(TH!O5763,2)="15"),TK!$E$7=TH!F5763),"x","")</f>
        <v/>
      </c>
      <c r="AD5763" s="79" t="str">
        <f>IF(AND(N5763="1521",MONTH(C5763)='BK-NL'!$M$11),"x","")</f>
        <v/>
      </c>
    </row>
    <row r="5764" spans="1:30" ht="16.5" customHeight="1">
      <c r="A5764" s="318" t="str">
        <f>IF(B5764&lt;&gt;"",IF(AND(B5764='IN-TC'!$S$4,OR(TH!N5764="1111",TH!O5764="1111")),TH!D5764,""),"")</f>
        <v/>
      </c>
      <c r="B5764" s="60" t="str">
        <f t="shared" si="511"/>
        <v/>
      </c>
      <c r="C5764" s="61"/>
      <c r="D5764" s="61"/>
      <c r="E5764" s="61"/>
      <c r="F5764" s="446"/>
      <c r="G5764" s="64"/>
      <c r="H5764" s="69"/>
      <c r="I5764" s="385"/>
      <c r="J5764" s="392"/>
      <c r="K5764" s="385"/>
      <c r="L5764" s="392"/>
      <c r="M5764" s="62"/>
      <c r="N5764" s="63"/>
      <c r="O5764" s="63"/>
      <c r="P5764" s="79" t="str">
        <f>IF(AND('331-CT'!$E$7=TH!H5764,OR(N5764="331",O5764="331")),"x","")</f>
        <v/>
      </c>
      <c r="Q5764" s="79" t="str">
        <f>IF(AND(B5764='111'!$L$11,OR($N5764=$Q$7,$O5764=$Q$7)),"x","")</f>
        <v/>
      </c>
      <c r="R5764" s="79" t="str">
        <f>IF(AND($N5764=$Q$7,$B5764&lt;'111'!$L$11),"x","")</f>
        <v/>
      </c>
      <c r="S5764" s="79" t="str">
        <f>IF(AND($O5764=$Q$7,$B5764&lt;'111'!$L$11),"x","")</f>
        <v/>
      </c>
      <c r="T5764" s="79" t="str">
        <f>IF(ISERROR(FIND('112'!$M$9,G5764,1)),"",IF((AND(FIND('112'!$M$9,G5764,1)&gt;=1,B5764='112'!$K$9,OR($N5764='112'!$I$6,$O5764='112'!$I$6))),"x",""))</f>
        <v/>
      </c>
      <c r="U5764" s="79" t="str">
        <f>IF(ISERROR(FIND('112'!$M$9,G5764,1)),"",IF((AND(LEFT(G5764,2)=LEFT('112'!$M$9,2),B5764&lt;'112'!$K$9,$N5764='112'!$I$6)),"x",""))</f>
        <v/>
      </c>
      <c r="V5764" s="79" t="str">
        <f>IF(ISERROR(FIND('112'!$M$9,G5764,1)),"",IF((AND(RIGHT(G5764,2)=RIGHT('112'!$M$9,2),B5764&lt;'112'!$K$9,$O5764='112'!$I$6)),"x",""))</f>
        <v/>
      </c>
      <c r="W5764" s="79" t="str">
        <f>IF(AND('341-CT'!$H$9=H5764,OR(LEFT(N5764,3)=$W$7,LEFT(O5764,3)=$W$7)),"x","")</f>
        <v/>
      </c>
      <c r="X5764" s="79" t="str">
        <f>IF(OR(TH!N5764=TH!$X$7,O5764=TH!$X$7),"x","")</f>
        <v/>
      </c>
      <c r="Y5764" s="79" t="str">
        <f>IF(AND(OR(N5764="131",O5764="131"),H5764='131-CT'!$H$9),"x","")</f>
        <v/>
      </c>
      <c r="Z5764" s="79"/>
      <c r="AA5764" s="79" t="str">
        <f>IF(AND(MONTH(E5764)='IN-NX'!$J$5,'IN-NX'!$D$7=D5764),"x","")</f>
        <v/>
      </c>
      <c r="AB5764" s="79" t="str">
        <f>IF(AND(OR(LEFT(TH!N5764,2)="15",LEFT(TH!O5764,2)="15"),LEFT(TH!O5764,3)&lt;&gt;"111",'152-CT'!$J$8=TH!F5764),"x","")</f>
        <v/>
      </c>
      <c r="AC5764" s="79" t="str">
        <f>IF(AND(OR(LEFT(TH!N5764,2)="15",LEFT(TH!O5764,2)="15"),TK!$E$7=TH!F5764),"x","")</f>
        <v/>
      </c>
      <c r="AD5764" s="79" t="str">
        <f>IF(AND(N5764="1521",MONTH(C5764)='BK-NL'!$M$11),"x","")</f>
        <v/>
      </c>
    </row>
    <row r="5765" spans="1:30" ht="16.5" customHeight="1">
      <c r="A5765" s="318" t="str">
        <f>IF(B5765&lt;&gt;"",IF(AND(B5765='IN-TC'!$S$4,OR(TH!N5765="1111",TH!O5765="1111")),TH!D5765,""),"")</f>
        <v/>
      </c>
      <c r="B5765" s="60" t="str">
        <f t="shared" si="511"/>
        <v/>
      </c>
      <c r="C5765" s="61"/>
      <c r="D5765" s="61"/>
      <c r="E5765" s="61"/>
      <c r="F5765" s="446"/>
      <c r="G5765" s="64"/>
      <c r="H5765" s="69"/>
      <c r="I5765" s="385"/>
      <c r="J5765" s="392"/>
      <c r="K5765" s="385"/>
      <c r="L5765" s="392"/>
      <c r="M5765" s="62"/>
      <c r="N5765" s="63"/>
      <c r="O5765" s="63"/>
      <c r="P5765" s="79" t="str">
        <f>IF(AND('331-CT'!$E$7=TH!H5765,OR(N5765="331",O5765="331")),"x","")</f>
        <v/>
      </c>
      <c r="Q5765" s="79" t="str">
        <f>IF(AND(B5765='111'!$L$11,OR($N5765=$Q$7,$O5765=$Q$7)),"x","")</f>
        <v/>
      </c>
      <c r="R5765" s="79" t="str">
        <f>IF(AND($N5765=$Q$7,$B5765&lt;'111'!$L$11),"x","")</f>
        <v/>
      </c>
      <c r="S5765" s="79" t="str">
        <f>IF(AND($O5765=$Q$7,$B5765&lt;'111'!$L$11),"x","")</f>
        <v/>
      </c>
      <c r="T5765" s="79" t="str">
        <f>IF(ISERROR(FIND('112'!$M$9,G5765,1)),"",IF((AND(FIND('112'!$M$9,G5765,1)&gt;=1,B5765='112'!$K$9,OR($N5765='112'!$I$6,$O5765='112'!$I$6))),"x",""))</f>
        <v/>
      </c>
      <c r="U5765" s="79" t="str">
        <f>IF(ISERROR(FIND('112'!$M$9,G5765,1)),"",IF((AND(LEFT(G5765,2)=LEFT('112'!$M$9,2),B5765&lt;'112'!$K$9,$N5765='112'!$I$6)),"x",""))</f>
        <v/>
      </c>
      <c r="V5765" s="79" t="str">
        <f>IF(ISERROR(FIND('112'!$M$9,G5765,1)),"",IF((AND(RIGHT(G5765,2)=RIGHT('112'!$M$9,2),B5765&lt;'112'!$K$9,$O5765='112'!$I$6)),"x",""))</f>
        <v/>
      </c>
      <c r="W5765" s="79" t="str">
        <f>IF(AND('341-CT'!$H$9=H5765,OR(LEFT(N5765,3)=$W$7,LEFT(O5765,3)=$W$7)),"x","")</f>
        <v/>
      </c>
      <c r="X5765" s="79" t="str">
        <f>IF(OR(TH!N5765=TH!$X$7,O5765=TH!$X$7),"x","")</f>
        <v/>
      </c>
      <c r="Y5765" s="79" t="str">
        <f>IF(AND(OR(N5765="131",O5765="131"),H5765='131-CT'!$H$9),"x","")</f>
        <v/>
      </c>
      <c r="Z5765" s="79"/>
      <c r="AA5765" s="79" t="str">
        <f>IF(AND(MONTH(E5765)='IN-NX'!$J$5,'IN-NX'!$D$7=D5765),"x","")</f>
        <v/>
      </c>
      <c r="AB5765" s="79" t="str">
        <f>IF(AND(OR(LEFT(TH!N5765,2)="15",LEFT(TH!O5765,2)="15"),LEFT(TH!O5765,3)&lt;&gt;"111",'152-CT'!$J$8=TH!F5765),"x","")</f>
        <v/>
      </c>
      <c r="AC5765" s="79" t="str">
        <f>IF(AND(OR(LEFT(TH!N5765,2)="15",LEFT(TH!O5765,2)="15"),TK!$E$7=TH!F5765),"x","")</f>
        <v/>
      </c>
      <c r="AD5765" s="79" t="str">
        <f>IF(AND(N5765="1521",MONTH(C5765)='BK-NL'!$M$11),"x","")</f>
        <v/>
      </c>
    </row>
    <row r="5766" spans="1:30" ht="16.5" customHeight="1">
      <c r="A5766" s="318" t="str">
        <f>IF(B5766&lt;&gt;"",IF(AND(B5766='IN-TC'!$S$4,OR(TH!N5766="1111",TH!O5766="1111")),TH!D5766,""),"")</f>
        <v/>
      </c>
      <c r="B5766" s="60" t="str">
        <f t="shared" si="511"/>
        <v/>
      </c>
      <c r="C5766" s="61"/>
      <c r="D5766" s="61"/>
      <c r="E5766" s="61"/>
      <c r="F5766" s="446"/>
      <c r="G5766" s="64"/>
      <c r="H5766" s="69"/>
      <c r="I5766" s="385"/>
      <c r="J5766" s="392"/>
      <c r="K5766" s="385"/>
      <c r="L5766" s="392"/>
      <c r="M5766" s="62"/>
      <c r="N5766" s="63"/>
      <c r="O5766" s="63"/>
      <c r="P5766" s="79" t="str">
        <f>IF(AND('331-CT'!$E$7=TH!H5766,OR(N5766="331",O5766="331")),"x","")</f>
        <v/>
      </c>
      <c r="Q5766" s="79" t="str">
        <f>IF(AND(B5766='111'!$L$11,OR($N5766=$Q$7,$O5766=$Q$7)),"x","")</f>
        <v/>
      </c>
      <c r="R5766" s="79" t="str">
        <f>IF(AND($N5766=$Q$7,$B5766&lt;'111'!$L$11),"x","")</f>
        <v/>
      </c>
      <c r="S5766" s="79" t="str">
        <f>IF(AND($O5766=$Q$7,$B5766&lt;'111'!$L$11),"x","")</f>
        <v/>
      </c>
      <c r="T5766" s="79" t="str">
        <f>IF(ISERROR(FIND('112'!$M$9,G5766,1)),"",IF((AND(FIND('112'!$M$9,G5766,1)&gt;=1,B5766='112'!$K$9,OR($N5766='112'!$I$6,$O5766='112'!$I$6))),"x",""))</f>
        <v/>
      </c>
      <c r="U5766" s="79" t="str">
        <f>IF(ISERROR(FIND('112'!$M$9,G5766,1)),"",IF((AND(LEFT(G5766,2)=LEFT('112'!$M$9,2),B5766&lt;'112'!$K$9,$N5766='112'!$I$6)),"x",""))</f>
        <v/>
      </c>
      <c r="V5766" s="79" t="str">
        <f>IF(ISERROR(FIND('112'!$M$9,G5766,1)),"",IF((AND(RIGHT(G5766,2)=RIGHT('112'!$M$9,2),B5766&lt;'112'!$K$9,$O5766='112'!$I$6)),"x",""))</f>
        <v/>
      </c>
      <c r="W5766" s="79" t="str">
        <f>IF(AND('341-CT'!$H$9=H5766,OR(LEFT(N5766,3)=$W$7,LEFT(O5766,3)=$W$7)),"x","")</f>
        <v/>
      </c>
      <c r="X5766" s="79" t="str">
        <f>IF(OR(TH!N5766=TH!$X$7,O5766=TH!$X$7),"x","")</f>
        <v/>
      </c>
      <c r="Y5766" s="79" t="str">
        <f>IF(AND(OR(N5766="131",O5766="131"),H5766='131-CT'!$H$9),"x","")</f>
        <v/>
      </c>
      <c r="Z5766" s="79"/>
      <c r="AA5766" s="79" t="str">
        <f>IF(AND(MONTH(E5766)='IN-NX'!$J$5,'IN-NX'!$D$7=D5766),"x","")</f>
        <v/>
      </c>
      <c r="AB5766" s="79" t="str">
        <f>IF(AND(OR(LEFT(TH!N5766,2)="15",LEFT(TH!O5766,2)="15"),LEFT(TH!O5766,3)&lt;&gt;"111",'152-CT'!$J$8=TH!F5766),"x","")</f>
        <v/>
      </c>
      <c r="AC5766" s="79" t="str">
        <f>IF(AND(OR(LEFT(TH!N5766,2)="15",LEFT(TH!O5766,2)="15"),TK!$E$7=TH!F5766),"x","")</f>
        <v/>
      </c>
      <c r="AD5766" s="79" t="str">
        <f>IF(AND(N5766="1521",MONTH(C5766)='BK-NL'!$M$11),"x","")</f>
        <v/>
      </c>
    </row>
    <row r="5767" spans="1:30" ht="16.5" customHeight="1">
      <c r="A5767" s="318" t="str">
        <f>IF(B5767&lt;&gt;"",IF(AND(B5767='IN-TC'!$S$4,OR(TH!N5767="1111",TH!O5767="1111")),TH!D5767,""),"")</f>
        <v/>
      </c>
      <c r="B5767" s="60" t="str">
        <f t="shared" si="511"/>
        <v/>
      </c>
      <c r="C5767" s="61"/>
      <c r="D5767" s="61"/>
      <c r="E5767" s="61"/>
      <c r="F5767" s="446"/>
      <c r="G5767" s="64"/>
      <c r="H5767" s="64"/>
      <c r="I5767" s="385"/>
      <c r="J5767" s="392"/>
      <c r="K5767" s="385"/>
      <c r="L5767" s="392"/>
      <c r="M5767" s="62"/>
      <c r="N5767" s="63"/>
      <c r="O5767" s="63"/>
      <c r="P5767" s="79" t="str">
        <f>IF(AND('331-CT'!$E$7=TH!H5767,OR(N5767="331",O5767="331")),"x","")</f>
        <v/>
      </c>
      <c r="Q5767" s="79" t="str">
        <f>IF(AND(B5767='111'!$L$11,OR($N5767=$Q$7,$O5767=$Q$7)),"x","")</f>
        <v/>
      </c>
      <c r="R5767" s="79" t="str">
        <f>IF(AND($N5767=$Q$7,$B5767&lt;'111'!$L$11),"x","")</f>
        <v/>
      </c>
      <c r="S5767" s="79" t="str">
        <f>IF(AND($O5767=$Q$7,$B5767&lt;'111'!$L$11),"x","")</f>
        <v/>
      </c>
      <c r="T5767" s="79" t="str">
        <f>IF(ISERROR(FIND('112'!$M$9,G5767,1)),"",IF((AND(FIND('112'!$M$9,G5767,1)&gt;=1,B5767='112'!$K$9,OR($N5767='112'!$I$6,$O5767='112'!$I$6))),"x",""))</f>
        <v/>
      </c>
      <c r="U5767" s="79" t="str">
        <f>IF(ISERROR(FIND('112'!$M$9,G5767,1)),"",IF((AND(LEFT(G5767,2)=LEFT('112'!$M$9,2),B5767&lt;'112'!$K$9,$N5767='112'!$I$6)),"x",""))</f>
        <v/>
      </c>
      <c r="V5767" s="79" t="str">
        <f>IF(ISERROR(FIND('112'!$M$9,G5767,1)),"",IF((AND(RIGHT(G5767,2)=RIGHT('112'!$M$9,2),B5767&lt;'112'!$K$9,$O5767='112'!$I$6)),"x",""))</f>
        <v/>
      </c>
      <c r="W5767" s="79" t="str">
        <f>IF(AND('341-CT'!$H$9=H5767,OR(LEFT(N5767,3)=$W$7,LEFT(O5767,3)=$W$7)),"x","")</f>
        <v/>
      </c>
      <c r="X5767" s="79" t="str">
        <f>IF(OR(TH!N5767=TH!$X$7,O5767=TH!$X$7),"x","")</f>
        <v/>
      </c>
      <c r="Y5767" s="79" t="str">
        <f>IF(AND(OR(N5767="131",O5767="131"),H5767='131-CT'!$H$9),"x","")</f>
        <v/>
      </c>
      <c r="Z5767" s="79"/>
      <c r="AA5767" s="79" t="str">
        <f>IF(AND(MONTH(E5767)='IN-NX'!$J$5,'IN-NX'!$D$7=D5767),"x","")</f>
        <v/>
      </c>
      <c r="AB5767" s="79" t="str">
        <f>IF(AND(OR(LEFT(TH!N5767,2)="15",LEFT(TH!O5767,2)="15"),LEFT(TH!O5767,3)&lt;&gt;"111",'152-CT'!$J$8=TH!F5767),"x","")</f>
        <v/>
      </c>
      <c r="AC5767" s="79" t="str">
        <f>IF(AND(OR(LEFT(TH!N5767,2)="15",LEFT(TH!O5767,2)="15"),TK!$E$7=TH!F5767),"x","")</f>
        <v/>
      </c>
      <c r="AD5767" s="79" t="str">
        <f>IF(AND(N5767="1521",MONTH(C5767)='BK-NL'!$M$11),"x","")</f>
        <v/>
      </c>
    </row>
    <row r="5768" spans="1:30" ht="16.5" customHeight="1">
      <c r="A5768" s="318" t="str">
        <f>IF(B5768&lt;&gt;"",IF(AND(B5768='IN-TC'!$S$4,OR(TH!N5768="1111",TH!O5768="1111")),TH!D5768,""),"")</f>
        <v/>
      </c>
      <c r="B5768" s="60" t="str">
        <f t="shared" si="511"/>
        <v/>
      </c>
      <c r="C5768" s="61"/>
      <c r="D5768" s="61"/>
      <c r="E5768" s="61"/>
      <c r="F5768" s="446"/>
      <c r="G5768" s="64"/>
      <c r="H5768" s="69"/>
      <c r="I5768" s="385"/>
      <c r="J5768" s="392"/>
      <c r="K5768" s="385"/>
      <c r="L5768" s="392"/>
      <c r="M5768" s="62"/>
      <c r="N5768" s="63"/>
      <c r="O5768" s="63"/>
      <c r="P5768" s="79" t="str">
        <f>IF(AND('331-CT'!$E$7=TH!H5768,OR(N5768="331",O5768="331")),"x","")</f>
        <v/>
      </c>
      <c r="Q5768" s="79" t="str">
        <f>IF(AND(B5768='111'!$L$11,OR($N5768=$Q$7,$O5768=$Q$7)),"x","")</f>
        <v/>
      </c>
      <c r="R5768" s="79" t="str">
        <f>IF(AND($N5768=$Q$7,$B5768&lt;'111'!$L$11),"x","")</f>
        <v/>
      </c>
      <c r="S5768" s="79" t="str">
        <f>IF(AND($O5768=$Q$7,$B5768&lt;'111'!$L$11),"x","")</f>
        <v/>
      </c>
      <c r="T5768" s="79" t="str">
        <f>IF(ISERROR(FIND('112'!$M$9,G5768,1)),"",IF((AND(FIND('112'!$M$9,G5768,1)&gt;=1,B5768='112'!$K$9,OR($N5768='112'!$I$6,$O5768='112'!$I$6))),"x",""))</f>
        <v/>
      </c>
      <c r="U5768" s="79" t="str">
        <f>IF(ISERROR(FIND('112'!$M$9,G5768,1)),"",IF((AND(LEFT(G5768,2)=LEFT('112'!$M$9,2),B5768&lt;'112'!$K$9,$N5768='112'!$I$6)),"x",""))</f>
        <v/>
      </c>
      <c r="V5768" s="79" t="str">
        <f>IF(ISERROR(FIND('112'!$M$9,G5768,1)),"",IF((AND(RIGHT(G5768,2)=RIGHT('112'!$M$9,2),B5768&lt;'112'!$K$9,$O5768='112'!$I$6)),"x",""))</f>
        <v/>
      </c>
      <c r="W5768" s="79" t="str">
        <f>IF(AND('341-CT'!$H$9=H5768,OR(LEFT(N5768,3)=$W$7,LEFT(O5768,3)=$W$7)),"x","")</f>
        <v/>
      </c>
      <c r="X5768" s="79" t="str">
        <f>IF(OR(TH!N5768=TH!$X$7,O5768=TH!$X$7),"x","")</f>
        <v/>
      </c>
      <c r="Y5768" s="79" t="str">
        <f>IF(AND(OR(N5768="131",O5768="131"),H5768='131-CT'!$H$9),"x","")</f>
        <v/>
      </c>
      <c r="Z5768" s="79"/>
      <c r="AA5768" s="79" t="str">
        <f>IF(AND(MONTH(E5768)='IN-NX'!$J$5,'IN-NX'!$D$7=D5768),"x","")</f>
        <v/>
      </c>
      <c r="AB5768" s="79" t="str">
        <f>IF(AND(OR(LEFT(TH!N5768,2)="15",LEFT(TH!O5768,2)="15"),LEFT(TH!O5768,3)&lt;&gt;"111",'152-CT'!$J$8=TH!F5768),"x","")</f>
        <v/>
      </c>
      <c r="AC5768" s="79" t="str">
        <f>IF(AND(OR(LEFT(TH!N5768,2)="15",LEFT(TH!O5768,2)="15"),TK!$E$7=TH!F5768),"x","")</f>
        <v/>
      </c>
      <c r="AD5768" s="79" t="str">
        <f>IF(AND(N5768="1521",MONTH(C5768)='BK-NL'!$M$11),"x","")</f>
        <v/>
      </c>
    </row>
    <row r="5769" spans="1:30" ht="16.5" customHeight="1">
      <c r="A5769" s="318" t="str">
        <f>IF(B5769&lt;&gt;"",IF(AND(B5769='IN-TC'!$S$4,OR(TH!N5769="1111",TH!O5769="1111")),TH!D5769,""),"")</f>
        <v/>
      </c>
      <c r="B5769" s="60" t="str">
        <f t="shared" si="511"/>
        <v/>
      </c>
      <c r="C5769" s="61"/>
      <c r="D5769" s="61"/>
      <c r="E5769" s="61"/>
      <c r="F5769" s="446"/>
      <c r="G5769" s="64"/>
      <c r="H5769" s="69"/>
      <c r="I5769" s="385"/>
      <c r="J5769" s="392"/>
      <c r="K5769" s="385"/>
      <c r="L5769" s="392"/>
      <c r="M5769" s="62"/>
      <c r="N5769" s="63"/>
      <c r="O5769" s="63"/>
      <c r="P5769" s="79" t="str">
        <f>IF(AND('331-CT'!$E$7=TH!H5769,OR(N5769="331",O5769="331")),"x","")</f>
        <v/>
      </c>
      <c r="Q5769" s="79" t="str">
        <f>IF(AND(B5769='111'!$L$11,OR($N5769=$Q$7,$O5769=$Q$7)),"x","")</f>
        <v/>
      </c>
      <c r="R5769" s="79" t="str">
        <f>IF(AND($N5769=$Q$7,$B5769&lt;'111'!$L$11),"x","")</f>
        <v/>
      </c>
      <c r="S5769" s="79" t="str">
        <f>IF(AND($O5769=$Q$7,$B5769&lt;'111'!$L$11),"x","")</f>
        <v/>
      </c>
      <c r="T5769" s="79" t="str">
        <f>IF(ISERROR(FIND('112'!$M$9,G5769,1)),"",IF((AND(FIND('112'!$M$9,G5769,1)&gt;=1,B5769='112'!$K$9,OR($N5769='112'!$I$6,$O5769='112'!$I$6))),"x",""))</f>
        <v/>
      </c>
      <c r="U5769" s="79" t="str">
        <f>IF(ISERROR(FIND('112'!$M$9,G5769,1)),"",IF((AND(LEFT(G5769,2)=LEFT('112'!$M$9,2),B5769&lt;'112'!$K$9,$N5769='112'!$I$6)),"x",""))</f>
        <v/>
      </c>
      <c r="V5769" s="79" t="str">
        <f>IF(ISERROR(FIND('112'!$M$9,G5769,1)),"",IF((AND(RIGHT(G5769,2)=RIGHT('112'!$M$9,2),B5769&lt;'112'!$K$9,$O5769='112'!$I$6)),"x",""))</f>
        <v/>
      </c>
      <c r="W5769" s="79" t="str">
        <f>IF(AND('341-CT'!$H$9=H5769,OR(LEFT(N5769,3)=$W$7,LEFT(O5769,3)=$W$7)),"x","")</f>
        <v/>
      </c>
      <c r="X5769" s="79" t="str">
        <f>IF(OR(TH!N5769=TH!$X$7,O5769=TH!$X$7),"x","")</f>
        <v/>
      </c>
      <c r="Y5769" s="79" t="str">
        <f>IF(AND(OR(N5769="131",O5769="131"),H5769='131-CT'!$H$9),"x","")</f>
        <v/>
      </c>
      <c r="Z5769" s="79"/>
      <c r="AA5769" s="79" t="str">
        <f>IF(AND(MONTH(E5769)='IN-NX'!$J$5,'IN-NX'!$D$7=D5769),"x","")</f>
        <v/>
      </c>
      <c r="AB5769" s="79" t="str">
        <f>IF(AND(OR(LEFT(TH!N5769,2)="15",LEFT(TH!O5769,2)="15"),LEFT(TH!O5769,3)&lt;&gt;"111",'152-CT'!$J$8=TH!F5769),"x","")</f>
        <v/>
      </c>
      <c r="AC5769" s="79" t="str">
        <f>IF(AND(OR(LEFT(TH!N5769,2)="15",LEFT(TH!O5769,2)="15"),TK!$E$7=TH!F5769),"x","")</f>
        <v/>
      </c>
      <c r="AD5769" s="79" t="str">
        <f>IF(AND(N5769="1521",MONTH(C5769)='BK-NL'!$M$11),"x","")</f>
        <v/>
      </c>
    </row>
    <row r="5770" spans="1:30" ht="16.5" customHeight="1">
      <c r="A5770" s="318" t="str">
        <f>IF(B5770&lt;&gt;"",IF(AND(B5770='IN-TC'!$S$4,OR(TH!N5770="1111",TH!O5770="1111")),TH!D5770,""),"")</f>
        <v/>
      </c>
      <c r="B5770" s="60" t="str">
        <f t="shared" si="511"/>
        <v/>
      </c>
      <c r="C5770" s="61"/>
      <c r="D5770" s="61"/>
      <c r="E5770" s="61"/>
      <c r="F5770" s="446"/>
      <c r="G5770" s="64"/>
      <c r="H5770" s="69"/>
      <c r="I5770" s="385"/>
      <c r="J5770" s="392"/>
      <c r="K5770" s="385"/>
      <c r="L5770" s="392"/>
      <c r="M5770" s="62"/>
      <c r="N5770" s="63"/>
      <c r="O5770" s="63"/>
      <c r="P5770" s="79" t="str">
        <f>IF(AND('331-CT'!$E$7=TH!H5770,OR(N5770="331",O5770="331")),"x","")</f>
        <v/>
      </c>
      <c r="Q5770" s="79" t="str">
        <f>IF(AND(B5770='111'!$L$11,OR($N5770=$Q$7,$O5770=$Q$7)),"x","")</f>
        <v/>
      </c>
      <c r="R5770" s="79" t="str">
        <f>IF(AND($N5770=$Q$7,$B5770&lt;'111'!$L$11),"x","")</f>
        <v/>
      </c>
      <c r="S5770" s="79" t="str">
        <f>IF(AND($O5770=$Q$7,$B5770&lt;'111'!$L$11),"x","")</f>
        <v/>
      </c>
      <c r="T5770" s="79" t="str">
        <f>IF(ISERROR(FIND('112'!$M$9,G5770,1)),"",IF((AND(FIND('112'!$M$9,G5770,1)&gt;=1,B5770='112'!$K$9,OR($N5770='112'!$I$6,$O5770='112'!$I$6))),"x",""))</f>
        <v/>
      </c>
      <c r="U5770" s="79" t="str">
        <f>IF(ISERROR(FIND('112'!$M$9,G5770,1)),"",IF((AND(LEFT(G5770,2)=LEFT('112'!$M$9,2),B5770&lt;'112'!$K$9,$N5770='112'!$I$6)),"x",""))</f>
        <v/>
      </c>
      <c r="V5770" s="79" t="str">
        <f>IF(ISERROR(FIND('112'!$M$9,G5770,1)),"",IF((AND(RIGHT(G5770,2)=RIGHT('112'!$M$9,2),B5770&lt;'112'!$K$9,$O5770='112'!$I$6)),"x",""))</f>
        <v/>
      </c>
      <c r="W5770" s="79" t="str">
        <f>IF(AND('341-CT'!$H$9=H5770,OR(LEFT(N5770,3)=$W$7,LEFT(O5770,3)=$W$7)),"x","")</f>
        <v/>
      </c>
      <c r="X5770" s="79" t="str">
        <f>IF(OR(TH!N5770=TH!$X$7,O5770=TH!$X$7),"x","")</f>
        <v/>
      </c>
      <c r="Y5770" s="79" t="str">
        <f>IF(AND(OR(N5770="131",O5770="131"),H5770='131-CT'!$H$9),"x","")</f>
        <v/>
      </c>
      <c r="Z5770" s="79"/>
      <c r="AA5770" s="79" t="str">
        <f>IF(AND(MONTH(E5770)='IN-NX'!$J$5,'IN-NX'!$D$7=D5770),"x","")</f>
        <v/>
      </c>
      <c r="AB5770" s="79" t="str">
        <f>IF(AND(OR(LEFT(TH!N5770,2)="15",LEFT(TH!O5770,2)="15"),LEFT(TH!O5770,3)&lt;&gt;"111",'152-CT'!$J$8=TH!F5770),"x","")</f>
        <v/>
      </c>
      <c r="AC5770" s="79" t="str">
        <f>IF(AND(OR(LEFT(TH!N5770,2)="15",LEFT(TH!O5770,2)="15"),TK!$E$7=TH!F5770),"x","")</f>
        <v/>
      </c>
      <c r="AD5770" s="79" t="str">
        <f>IF(AND(N5770="1521",MONTH(C5770)='BK-NL'!$M$11),"x","")</f>
        <v/>
      </c>
    </row>
    <row r="5771" spans="1:30" ht="16.5" customHeight="1">
      <c r="A5771" s="318" t="str">
        <f>IF(B5771&lt;&gt;"",IF(AND(B5771='IN-TC'!$S$4,OR(TH!N5771="1111",TH!O5771="1111")),TH!D5771,""),"")</f>
        <v/>
      </c>
      <c r="B5771" s="60" t="str">
        <f t="shared" si="511"/>
        <v/>
      </c>
      <c r="C5771" s="61"/>
      <c r="D5771" s="61"/>
      <c r="E5771" s="61"/>
      <c r="F5771" s="446"/>
      <c r="G5771" s="64"/>
      <c r="H5771" s="69"/>
      <c r="I5771" s="385"/>
      <c r="J5771" s="392"/>
      <c r="K5771" s="385"/>
      <c r="L5771" s="392"/>
      <c r="M5771" s="62"/>
      <c r="N5771" s="63"/>
      <c r="O5771" s="63"/>
      <c r="P5771" s="79" t="str">
        <f>IF(AND('331-CT'!$E$7=TH!H5771,OR(N5771="331",O5771="331")),"x","")</f>
        <v/>
      </c>
      <c r="Q5771" s="79" t="str">
        <f>IF(AND(B5771='111'!$L$11,OR($N5771=$Q$7,$O5771=$Q$7)),"x","")</f>
        <v/>
      </c>
      <c r="R5771" s="79" t="str">
        <f>IF(AND($N5771=$Q$7,$B5771&lt;'111'!$L$11),"x","")</f>
        <v/>
      </c>
      <c r="S5771" s="79" t="str">
        <f>IF(AND($O5771=$Q$7,$B5771&lt;'111'!$L$11),"x","")</f>
        <v/>
      </c>
      <c r="T5771" s="79" t="str">
        <f>IF(ISERROR(FIND('112'!$M$9,G5771,1)),"",IF((AND(FIND('112'!$M$9,G5771,1)&gt;=1,B5771='112'!$K$9,OR($N5771='112'!$I$6,$O5771='112'!$I$6))),"x",""))</f>
        <v/>
      </c>
      <c r="U5771" s="79" t="str">
        <f>IF(ISERROR(FIND('112'!$M$9,G5771,1)),"",IF((AND(LEFT(G5771,2)=LEFT('112'!$M$9,2),B5771&lt;'112'!$K$9,$N5771='112'!$I$6)),"x",""))</f>
        <v/>
      </c>
      <c r="V5771" s="79" t="str">
        <f>IF(ISERROR(FIND('112'!$M$9,G5771,1)),"",IF((AND(RIGHT(G5771,2)=RIGHT('112'!$M$9,2),B5771&lt;'112'!$K$9,$O5771='112'!$I$6)),"x",""))</f>
        <v/>
      </c>
      <c r="W5771" s="79" t="str">
        <f>IF(AND('341-CT'!$H$9=H5771,OR(LEFT(N5771,3)=$W$7,LEFT(O5771,3)=$W$7)),"x","")</f>
        <v/>
      </c>
      <c r="X5771" s="79" t="str">
        <f>IF(OR(TH!N5771=TH!$X$7,O5771=TH!$X$7),"x","")</f>
        <v/>
      </c>
      <c r="Y5771" s="79" t="str">
        <f>IF(AND(OR(N5771="131",O5771="131"),H5771='131-CT'!$H$9),"x","")</f>
        <v/>
      </c>
      <c r="Z5771" s="79"/>
      <c r="AA5771" s="79" t="str">
        <f>IF(AND(MONTH(E5771)='IN-NX'!$J$5,'IN-NX'!$D$7=D5771),"x","")</f>
        <v/>
      </c>
      <c r="AB5771" s="79" t="str">
        <f>IF(AND(OR(LEFT(TH!N5771,2)="15",LEFT(TH!O5771,2)="15"),LEFT(TH!O5771,3)&lt;&gt;"111",'152-CT'!$J$8=TH!F5771),"x","")</f>
        <v/>
      </c>
      <c r="AC5771" s="79" t="str">
        <f>IF(AND(OR(LEFT(TH!N5771,2)="15",LEFT(TH!O5771,2)="15"),TK!$E$7=TH!F5771),"x","")</f>
        <v/>
      </c>
      <c r="AD5771" s="79" t="str">
        <f>IF(AND(N5771="1521",MONTH(C5771)='BK-NL'!$M$11),"x","")</f>
        <v/>
      </c>
    </row>
    <row r="5772" spans="1:30" ht="16.5" customHeight="1">
      <c r="A5772" s="318" t="str">
        <f>IF(B5772&lt;&gt;"",IF(AND(B5772='IN-TC'!$S$4,OR(TH!N5772="1111",TH!O5772="1111")),TH!D5772,""),"")</f>
        <v/>
      </c>
      <c r="B5772" s="60" t="str">
        <f t="shared" si="511"/>
        <v/>
      </c>
      <c r="C5772" s="61"/>
      <c r="D5772" s="61"/>
      <c r="E5772" s="61"/>
      <c r="F5772" s="446"/>
      <c r="G5772" s="64"/>
      <c r="H5772" s="69"/>
      <c r="I5772" s="385"/>
      <c r="J5772" s="392"/>
      <c r="K5772" s="385"/>
      <c r="L5772" s="392"/>
      <c r="M5772" s="62"/>
      <c r="N5772" s="63"/>
      <c r="O5772" s="63"/>
      <c r="P5772" s="79" t="str">
        <f>IF(AND('331-CT'!$E$7=TH!H5772,OR(N5772="331",O5772="331")),"x","")</f>
        <v/>
      </c>
      <c r="Q5772" s="79" t="str">
        <f>IF(AND(B5772='111'!$L$11,OR($N5772=$Q$7,$O5772=$Q$7)),"x","")</f>
        <v/>
      </c>
      <c r="R5772" s="79" t="str">
        <f>IF(AND($N5772=$Q$7,$B5772&lt;'111'!$L$11),"x","")</f>
        <v/>
      </c>
      <c r="S5772" s="79" t="str">
        <f>IF(AND($O5772=$Q$7,$B5772&lt;'111'!$L$11),"x","")</f>
        <v/>
      </c>
      <c r="T5772" s="79" t="str">
        <f>IF(ISERROR(FIND('112'!$M$9,G5772,1)),"",IF((AND(FIND('112'!$M$9,G5772,1)&gt;=1,B5772='112'!$K$9,OR($N5772='112'!$I$6,$O5772='112'!$I$6))),"x",""))</f>
        <v/>
      </c>
      <c r="U5772" s="79" t="str">
        <f>IF(ISERROR(FIND('112'!$M$9,G5772,1)),"",IF((AND(LEFT(G5772,2)=LEFT('112'!$M$9,2),B5772&lt;'112'!$K$9,$N5772='112'!$I$6)),"x",""))</f>
        <v/>
      </c>
      <c r="V5772" s="79" t="str">
        <f>IF(ISERROR(FIND('112'!$M$9,G5772,1)),"",IF((AND(RIGHT(G5772,2)=RIGHT('112'!$M$9,2),B5772&lt;'112'!$K$9,$O5772='112'!$I$6)),"x",""))</f>
        <v/>
      </c>
      <c r="W5772" s="79" t="str">
        <f>IF(AND('341-CT'!$H$9=H5772,OR(LEFT(N5772,3)=$W$7,LEFT(O5772,3)=$W$7)),"x","")</f>
        <v/>
      </c>
      <c r="X5772" s="79" t="str">
        <f>IF(OR(TH!N5772=TH!$X$7,O5772=TH!$X$7),"x","")</f>
        <v/>
      </c>
      <c r="Y5772" s="79" t="str">
        <f>IF(AND(OR(N5772="131",O5772="131"),H5772='131-CT'!$H$9),"x","")</f>
        <v/>
      </c>
      <c r="Z5772" s="79"/>
      <c r="AA5772" s="79" t="str">
        <f>IF(AND(MONTH(E5772)='IN-NX'!$J$5,'IN-NX'!$D$7=D5772),"x","")</f>
        <v/>
      </c>
      <c r="AB5772" s="79" t="str">
        <f>IF(AND(OR(LEFT(TH!N5772,2)="15",LEFT(TH!O5772,2)="15"),LEFT(TH!O5772,3)&lt;&gt;"111",'152-CT'!$J$8=TH!F5772),"x","")</f>
        <v/>
      </c>
      <c r="AC5772" s="79" t="str">
        <f>IF(AND(OR(LEFT(TH!N5772,2)="15",LEFT(TH!O5772,2)="15"),TK!$E$7=TH!F5772),"x","")</f>
        <v/>
      </c>
      <c r="AD5772" s="79" t="str">
        <f>IF(AND(N5772="1521",MONTH(C5772)='BK-NL'!$M$11),"x","")</f>
        <v/>
      </c>
    </row>
    <row r="5773" spans="1:30" ht="16.5" customHeight="1">
      <c r="A5773" s="318" t="str">
        <f>IF(B5773&lt;&gt;"",IF(AND(B5773='IN-TC'!$S$4,OR(TH!N5773="1111",TH!O5773="1111")),TH!D5773,""),"")</f>
        <v/>
      </c>
      <c r="B5773" s="60" t="str">
        <f t="shared" si="511"/>
        <v/>
      </c>
      <c r="C5773" s="61"/>
      <c r="D5773" s="61"/>
      <c r="E5773" s="61"/>
      <c r="F5773" s="69"/>
      <c r="G5773" s="64"/>
      <c r="H5773" s="69"/>
      <c r="I5773" s="385"/>
      <c r="J5773" s="392"/>
      <c r="K5773" s="385"/>
      <c r="L5773" s="392"/>
      <c r="M5773" s="62"/>
      <c r="N5773" s="63"/>
      <c r="O5773" s="63"/>
      <c r="P5773" s="79" t="str">
        <f>IF(AND('331-CT'!$E$7=TH!H5773,OR(N5773="331",O5773="331")),"x","")</f>
        <v/>
      </c>
      <c r="Q5773" s="79" t="str">
        <f>IF(AND(B5773='111'!$L$11,OR($N5773=$Q$7,$O5773=$Q$7)),"x","")</f>
        <v/>
      </c>
      <c r="R5773" s="79" t="str">
        <f>IF(AND($N5773=$Q$7,$B5773&lt;'111'!$L$11),"x","")</f>
        <v/>
      </c>
      <c r="S5773" s="79" t="str">
        <f>IF(AND($O5773=$Q$7,$B5773&lt;'111'!$L$11),"x","")</f>
        <v/>
      </c>
      <c r="T5773" s="79" t="str">
        <f>IF(ISERROR(FIND('112'!$M$9,G5773,1)),"",IF((AND(FIND('112'!$M$9,G5773,1)&gt;=1,B5773='112'!$K$9,OR($N5773='112'!$I$6,$O5773='112'!$I$6))),"x",""))</f>
        <v/>
      </c>
      <c r="U5773" s="79" t="str">
        <f>IF(ISERROR(FIND('112'!$M$9,G5773,1)),"",IF((AND(LEFT(G5773,2)=LEFT('112'!$M$9,2),B5773&lt;'112'!$K$9,$N5773='112'!$I$6)),"x",""))</f>
        <v/>
      </c>
      <c r="V5773" s="79" t="str">
        <f>IF(ISERROR(FIND('112'!$M$9,G5773,1)),"",IF((AND(RIGHT(G5773,2)=RIGHT('112'!$M$9,2),B5773&lt;'112'!$K$9,$O5773='112'!$I$6)),"x",""))</f>
        <v/>
      </c>
      <c r="W5773" s="79" t="str">
        <f>IF(AND('341-CT'!$H$9=H5773,OR(LEFT(N5773,3)=$W$7,LEFT(O5773,3)=$W$7)),"x","")</f>
        <v/>
      </c>
      <c r="X5773" s="79" t="str">
        <f>IF(OR(TH!N5773=TH!$X$7,O5773=TH!$X$7),"x","")</f>
        <v/>
      </c>
      <c r="Y5773" s="79" t="str">
        <f>IF(AND(OR(N5773="131",O5773="131"),H5773='131-CT'!$H$9),"x","")</f>
        <v/>
      </c>
      <c r="Z5773" s="79"/>
      <c r="AA5773" s="79" t="str">
        <f>IF(AND(MONTH(E5773)='IN-NX'!$J$5,'IN-NX'!$D$7=D5773),"x","")</f>
        <v/>
      </c>
      <c r="AB5773" s="79" t="str">
        <f>IF(AND(OR(LEFT(TH!N5773,2)="15",LEFT(TH!O5773,2)="15"),LEFT(TH!O5773,3)&lt;&gt;"111",'152-CT'!$J$8=TH!F5773),"x","")</f>
        <v/>
      </c>
      <c r="AC5773" s="79" t="str">
        <f>IF(AND(OR(LEFT(TH!N5773,2)="15",LEFT(TH!O5773,2)="15"),TK!$E$7=TH!F5773),"x","")</f>
        <v/>
      </c>
      <c r="AD5773" s="79" t="str">
        <f>IF(AND(N5773="1521",MONTH(C5773)='BK-NL'!$M$11),"x","")</f>
        <v/>
      </c>
    </row>
    <row r="5774" spans="1:30" ht="16.5" customHeight="1">
      <c r="A5774" s="318" t="str">
        <f>IF(B5774&lt;&gt;"",IF(AND(B5774='IN-TC'!$S$4,OR(TH!N5774="1111",TH!O5774="1111")),TH!D5774,""),"")</f>
        <v/>
      </c>
      <c r="B5774" s="60" t="str">
        <f t="shared" si="511"/>
        <v/>
      </c>
      <c r="C5774" s="61"/>
      <c r="D5774" s="61"/>
      <c r="E5774" s="61"/>
      <c r="F5774" s="446"/>
      <c r="G5774" s="766"/>
      <c r="H5774" s="69"/>
      <c r="I5774" s="385"/>
      <c r="J5774" s="392"/>
      <c r="K5774" s="385"/>
      <c r="L5774" s="392"/>
      <c r="M5774" s="62"/>
      <c r="N5774" s="63"/>
      <c r="O5774" s="63"/>
      <c r="P5774" s="79" t="str">
        <f>IF(AND('331-CT'!$E$7=TH!H5774,OR(N5774="331",O5774="331")),"x","")</f>
        <v/>
      </c>
      <c r="Q5774" s="79" t="str">
        <f>IF(AND(B5774='111'!$L$11,OR($N5774=$Q$7,$O5774=$Q$7)),"x","")</f>
        <v/>
      </c>
      <c r="R5774" s="79" t="str">
        <f>IF(AND($N5774=$Q$7,$B5774&lt;'111'!$L$11),"x","")</f>
        <v/>
      </c>
      <c r="S5774" s="79" t="str">
        <f>IF(AND($O5774=$Q$7,$B5774&lt;'111'!$L$11),"x","")</f>
        <v/>
      </c>
      <c r="T5774" s="79" t="str">
        <f>IF(ISERROR(FIND('112'!$M$9,G5774,1)),"",IF((AND(FIND('112'!$M$9,G5774,1)&gt;=1,B5774='112'!$K$9,OR($N5774='112'!$I$6,$O5774='112'!$I$6))),"x",""))</f>
        <v/>
      </c>
      <c r="U5774" s="79" t="str">
        <f>IF(ISERROR(FIND('112'!$M$9,G5774,1)),"",IF((AND(LEFT(G5774,2)=LEFT('112'!$M$9,2),B5774&lt;'112'!$K$9,$N5774='112'!$I$6)),"x",""))</f>
        <v/>
      </c>
      <c r="V5774" s="79" t="str">
        <f>IF(ISERROR(FIND('112'!$M$9,G5774,1)),"",IF((AND(RIGHT(G5774,2)=RIGHT('112'!$M$9,2),B5774&lt;'112'!$K$9,$O5774='112'!$I$6)),"x",""))</f>
        <v/>
      </c>
      <c r="W5774" s="79" t="str">
        <f>IF(AND('341-CT'!$H$9=H5774,OR(LEFT(N5774,3)=$W$7,LEFT(O5774,3)=$W$7)),"x","")</f>
        <v/>
      </c>
      <c r="X5774" s="79" t="str">
        <f>IF(OR(TH!N5774=TH!$X$7,O5774=TH!$X$7),"x","")</f>
        <v/>
      </c>
      <c r="Y5774" s="79" t="str">
        <f>IF(AND(OR(N5774="131",O5774="131"),H5774='131-CT'!$H$9),"x","")</f>
        <v/>
      </c>
      <c r="Z5774" s="79"/>
      <c r="AA5774" s="79" t="str">
        <f>IF(AND(MONTH(E5774)='IN-NX'!$J$5,'IN-NX'!$D$7=D5774),"x","")</f>
        <v/>
      </c>
      <c r="AB5774" s="79" t="str">
        <f>IF(AND(OR(LEFT(TH!N5774,2)="15",LEFT(TH!O5774,2)="15"),LEFT(TH!O5774,3)&lt;&gt;"111",'152-CT'!$J$8=TH!F5774),"x","")</f>
        <v/>
      </c>
      <c r="AC5774" s="79" t="str">
        <f>IF(AND(OR(LEFT(TH!N5774,2)="15",LEFT(TH!O5774,2)="15"),TK!$E$7=TH!F5774),"x","")</f>
        <v/>
      </c>
      <c r="AD5774" s="79" t="str">
        <f>IF(AND(N5774="1521",MONTH(C5774)='BK-NL'!$M$11),"x","")</f>
        <v/>
      </c>
    </row>
    <row r="5775" spans="1:30" ht="16.5" customHeight="1">
      <c r="A5775" s="318" t="str">
        <f>IF(B5775&lt;&gt;"",IF(AND(B5775='IN-TC'!$S$4,OR(TH!N5775="1111",TH!O5775="1111")),TH!D5775,""),"")</f>
        <v/>
      </c>
      <c r="B5775" s="60" t="str">
        <f t="shared" si="511"/>
        <v/>
      </c>
      <c r="C5775" s="61"/>
      <c r="D5775" s="61"/>
      <c r="E5775" s="61"/>
      <c r="F5775" s="446"/>
      <c r="G5775" s="766"/>
      <c r="H5775" s="69"/>
      <c r="I5775" s="385"/>
      <c r="J5775" s="392"/>
      <c r="K5775" s="385"/>
      <c r="L5775" s="392"/>
      <c r="M5775" s="62"/>
      <c r="N5775" s="63"/>
      <c r="O5775" s="63"/>
      <c r="P5775" s="79" t="str">
        <f>IF(AND('331-CT'!$E$7=TH!H5775,OR(N5775="331",O5775="331")),"x","")</f>
        <v/>
      </c>
      <c r="Q5775" s="79" t="str">
        <f>IF(AND(B5775='111'!$L$11,OR($N5775=$Q$7,$O5775=$Q$7)),"x","")</f>
        <v/>
      </c>
      <c r="R5775" s="79" t="str">
        <f>IF(AND($N5775=$Q$7,$B5775&lt;'111'!$L$11),"x","")</f>
        <v/>
      </c>
      <c r="S5775" s="79" t="str">
        <f>IF(AND($O5775=$Q$7,$B5775&lt;'111'!$L$11),"x","")</f>
        <v/>
      </c>
      <c r="T5775" s="79" t="str">
        <f>IF(ISERROR(FIND('112'!$M$9,G5775,1)),"",IF((AND(FIND('112'!$M$9,G5775,1)&gt;=1,B5775='112'!$K$9,OR($N5775='112'!$I$6,$O5775='112'!$I$6))),"x",""))</f>
        <v/>
      </c>
      <c r="U5775" s="79" t="str">
        <f>IF(ISERROR(FIND('112'!$M$9,G5775,1)),"",IF((AND(LEFT(G5775,2)=LEFT('112'!$M$9,2),B5775&lt;'112'!$K$9,$N5775='112'!$I$6)),"x",""))</f>
        <v/>
      </c>
      <c r="V5775" s="79" t="str">
        <f>IF(ISERROR(FIND('112'!$M$9,G5775,1)),"",IF((AND(RIGHT(G5775,2)=RIGHT('112'!$M$9,2),B5775&lt;'112'!$K$9,$O5775='112'!$I$6)),"x",""))</f>
        <v/>
      </c>
      <c r="W5775" s="79" t="str">
        <f>IF(AND('341-CT'!$H$9=H5775,OR(LEFT(N5775,3)=$W$7,LEFT(O5775,3)=$W$7)),"x","")</f>
        <v/>
      </c>
      <c r="X5775" s="79" t="str">
        <f>IF(OR(TH!N5775=TH!$X$7,O5775=TH!$X$7),"x","")</f>
        <v/>
      </c>
      <c r="Y5775" s="79" t="str">
        <f>IF(AND(OR(N5775="131",O5775="131"),H5775='131-CT'!$H$9),"x","")</f>
        <v/>
      </c>
      <c r="Z5775" s="79"/>
      <c r="AA5775" s="79" t="str">
        <f>IF(AND(MONTH(E5775)='IN-NX'!$J$5,'IN-NX'!$D$7=D5775),"x","")</f>
        <v/>
      </c>
      <c r="AB5775" s="79" t="str">
        <f>IF(AND(OR(LEFT(TH!N5775,2)="15",LEFT(TH!O5775,2)="15"),LEFT(TH!O5775,3)&lt;&gt;"111",'152-CT'!$J$8=TH!F5775),"x","")</f>
        <v/>
      </c>
      <c r="AC5775" s="79" t="str">
        <f>IF(AND(OR(LEFT(TH!N5775,2)="15",LEFT(TH!O5775,2)="15"),TK!$E$7=TH!F5775),"x","")</f>
        <v/>
      </c>
      <c r="AD5775" s="79" t="str">
        <f>IF(AND(N5775="1521",MONTH(C5775)='BK-NL'!$M$11),"x","")</f>
        <v/>
      </c>
    </row>
    <row r="5776" spans="1:30" ht="16.5" customHeight="1">
      <c r="A5776" s="318" t="str">
        <f>IF(B5776&lt;&gt;"",IF(AND(B5776='IN-TC'!$S$4,OR(TH!N5776="1111",TH!O5776="1111")),TH!D5776,""),"")</f>
        <v/>
      </c>
      <c r="B5776" s="60" t="str">
        <f t="shared" si="511"/>
        <v/>
      </c>
      <c r="C5776" s="61"/>
      <c r="D5776" s="61"/>
      <c r="E5776" s="61"/>
      <c r="F5776" s="446"/>
      <c r="G5776" s="64"/>
      <c r="H5776" s="64"/>
      <c r="I5776" s="385"/>
      <c r="J5776" s="392"/>
      <c r="K5776" s="385"/>
      <c r="L5776" s="392"/>
      <c r="M5776" s="62"/>
      <c r="N5776" s="63"/>
      <c r="O5776" s="63"/>
      <c r="P5776" s="79" t="str">
        <f>IF(AND('331-CT'!$E$7=TH!H5776,OR(N5776="331",O5776="331")),"x","")</f>
        <v/>
      </c>
      <c r="Q5776" s="79" t="str">
        <f>IF(AND(B5776='111'!$L$11,OR($N5776=$Q$7,$O5776=$Q$7)),"x","")</f>
        <v/>
      </c>
      <c r="R5776" s="79" t="str">
        <f>IF(AND($N5776=$Q$7,$B5776&lt;'111'!$L$11),"x","")</f>
        <v/>
      </c>
      <c r="S5776" s="79" t="str">
        <f>IF(AND($O5776=$Q$7,$B5776&lt;'111'!$L$11),"x","")</f>
        <v/>
      </c>
      <c r="T5776" s="79" t="str">
        <f>IF(ISERROR(FIND('112'!$M$9,G5776,1)),"",IF((AND(FIND('112'!$M$9,G5776,1)&gt;=1,B5776='112'!$K$9,OR($N5776='112'!$I$6,$O5776='112'!$I$6))),"x",""))</f>
        <v/>
      </c>
      <c r="U5776" s="79" t="str">
        <f>IF(ISERROR(FIND('112'!$M$9,G5776,1)),"",IF((AND(LEFT(G5776,2)=LEFT('112'!$M$9,2),B5776&lt;'112'!$K$9,$N5776='112'!$I$6)),"x",""))</f>
        <v/>
      </c>
      <c r="V5776" s="79" t="str">
        <f>IF(ISERROR(FIND('112'!$M$9,G5776,1)),"",IF((AND(RIGHT(G5776,2)=RIGHT('112'!$M$9,2),B5776&lt;'112'!$K$9,$O5776='112'!$I$6)),"x",""))</f>
        <v/>
      </c>
      <c r="W5776" s="79" t="str">
        <f>IF(AND('341-CT'!$H$9=H5776,OR(LEFT(N5776,3)=$W$7,LEFT(O5776,3)=$W$7)),"x","")</f>
        <v/>
      </c>
      <c r="X5776" s="79" t="str">
        <f>IF(OR(TH!N5776=TH!$X$7,O5776=TH!$X$7),"x","")</f>
        <v/>
      </c>
      <c r="Y5776" s="79" t="str">
        <f>IF(AND(OR(N5776="131",O5776="131"),H5776='131-CT'!$H$9),"x","")</f>
        <v/>
      </c>
      <c r="Z5776" s="79"/>
      <c r="AA5776" s="79" t="str">
        <f>IF(AND(MONTH(E5776)='IN-NX'!$J$5,'IN-NX'!$D$7=D5776),"x","")</f>
        <v/>
      </c>
      <c r="AB5776" s="79" t="str">
        <f>IF(AND(OR(LEFT(TH!N5776,2)="15",LEFT(TH!O5776,2)="15"),LEFT(TH!O5776,3)&lt;&gt;"111",'152-CT'!$J$8=TH!F5776),"x","")</f>
        <v/>
      </c>
      <c r="AC5776" s="79" t="str">
        <f>IF(AND(OR(LEFT(TH!N5776,2)="15",LEFT(TH!O5776,2)="15"),TK!$E$7=TH!F5776),"x","")</f>
        <v/>
      </c>
      <c r="AD5776" s="79" t="str">
        <f>IF(AND(N5776="1521",MONTH(C5776)='BK-NL'!$M$11),"x","")</f>
        <v/>
      </c>
    </row>
    <row r="5777" spans="1:30" ht="16.5" customHeight="1">
      <c r="A5777" s="318" t="str">
        <f>IF(B5777&lt;&gt;"",IF(AND(B5777='IN-TC'!$S$4,OR(TH!N5777="1111",TH!O5777="1111")),TH!D5777,""),"")</f>
        <v/>
      </c>
      <c r="B5777" s="60" t="str">
        <f t="shared" si="511"/>
        <v/>
      </c>
      <c r="C5777" s="61"/>
      <c r="D5777" s="301"/>
      <c r="E5777" s="61"/>
      <c r="F5777" s="446"/>
      <c r="G5777" s="766"/>
      <c r="H5777" s="69"/>
      <c r="I5777" s="385"/>
      <c r="J5777" s="392"/>
      <c r="K5777" s="385"/>
      <c r="L5777" s="392"/>
      <c r="M5777" s="62"/>
      <c r="N5777" s="63"/>
      <c r="O5777" s="63"/>
      <c r="P5777" s="79" t="str">
        <f>IF(AND('331-CT'!$E$7=TH!H5777,OR(N5777="331",O5777="331")),"x","")</f>
        <v/>
      </c>
      <c r="Q5777" s="79" t="str">
        <f>IF(AND(B5777='111'!$L$11,OR($N5777=$Q$7,$O5777=$Q$7)),"x","")</f>
        <v/>
      </c>
      <c r="R5777" s="79" t="str">
        <f>IF(AND($N5777=$Q$7,$B5777&lt;'111'!$L$11),"x","")</f>
        <v/>
      </c>
      <c r="S5777" s="79" t="str">
        <f>IF(AND($O5777=$Q$7,$B5777&lt;'111'!$L$11),"x","")</f>
        <v/>
      </c>
      <c r="T5777" s="79" t="str">
        <f>IF(ISERROR(FIND('112'!$M$9,G5777,1)),"",IF((AND(FIND('112'!$M$9,G5777,1)&gt;=1,B5777='112'!$K$9,OR($N5777='112'!$I$6,$O5777='112'!$I$6))),"x",""))</f>
        <v/>
      </c>
      <c r="U5777" s="79" t="str">
        <f>IF(ISERROR(FIND('112'!$M$9,G5777,1)),"",IF((AND(LEFT(G5777,2)=LEFT('112'!$M$9,2),B5777&lt;'112'!$K$9,$N5777='112'!$I$6)),"x",""))</f>
        <v/>
      </c>
      <c r="V5777" s="79" t="str">
        <f>IF(ISERROR(FIND('112'!$M$9,G5777,1)),"",IF((AND(RIGHT(G5777,2)=RIGHT('112'!$M$9,2),B5777&lt;'112'!$K$9,$O5777='112'!$I$6)),"x",""))</f>
        <v/>
      </c>
      <c r="W5777" s="79" t="str">
        <f>IF(AND('341-CT'!$H$9=H5777,OR(LEFT(N5777,3)=$W$7,LEFT(O5777,3)=$W$7)),"x","")</f>
        <v/>
      </c>
      <c r="X5777" s="79" t="str">
        <f>IF(OR(TH!N5777=TH!$X$7,O5777=TH!$X$7),"x","")</f>
        <v/>
      </c>
      <c r="Y5777" s="79" t="str">
        <f>IF(AND(OR(N5777="131",O5777="131"),H5777='131-CT'!$H$9),"x","")</f>
        <v/>
      </c>
      <c r="Z5777" s="79"/>
      <c r="AA5777" s="79" t="str">
        <f>IF(AND(MONTH(E5777)='IN-NX'!$J$5,'IN-NX'!$D$7=D5777),"x","")</f>
        <v/>
      </c>
      <c r="AB5777" s="79" t="str">
        <f>IF(AND(OR(LEFT(TH!N5777,2)="15",LEFT(TH!O5777,2)="15"),LEFT(TH!O5777,3)&lt;&gt;"111",'152-CT'!$J$8=TH!F5777),"x","")</f>
        <v/>
      </c>
      <c r="AC5777" s="79" t="str">
        <f>IF(AND(OR(LEFT(TH!N5777,2)="15",LEFT(TH!O5777,2)="15"),TK!$E$7=TH!F5777),"x","")</f>
        <v/>
      </c>
      <c r="AD5777" s="79" t="str">
        <f>IF(AND(N5777="1521",MONTH(C5777)='BK-NL'!$M$11),"x","")</f>
        <v/>
      </c>
    </row>
    <row r="5778" spans="1:30" ht="16.5" customHeight="1">
      <c r="A5778" s="318" t="str">
        <f>IF(B5778&lt;&gt;"",IF(AND(B5778='IN-TC'!$S$4,OR(TH!N5778="1111",TH!O5778="1111")),TH!D5778,""),"")</f>
        <v/>
      </c>
      <c r="B5778" s="60" t="str">
        <f t="shared" si="511"/>
        <v/>
      </c>
      <c r="C5778" s="61"/>
      <c r="D5778" s="301"/>
      <c r="E5778" s="61"/>
      <c r="F5778" s="446"/>
      <c r="G5778" s="64"/>
      <c r="H5778" s="69"/>
      <c r="I5778" s="385"/>
      <c r="J5778" s="392"/>
      <c r="K5778" s="385"/>
      <c r="L5778" s="392"/>
      <c r="M5778" s="62"/>
      <c r="N5778" s="63"/>
      <c r="O5778" s="63"/>
      <c r="P5778" s="79" t="str">
        <f>IF(AND('331-CT'!$E$7=TH!H5778,OR(N5778="331",O5778="331")),"x","")</f>
        <v/>
      </c>
      <c r="Q5778" s="79" t="str">
        <f>IF(AND(B5778='111'!$L$11,OR($N5778=$Q$7,$O5778=$Q$7)),"x","")</f>
        <v/>
      </c>
      <c r="R5778" s="79" t="str">
        <f>IF(AND($N5778=$Q$7,$B5778&lt;'111'!$L$11),"x","")</f>
        <v/>
      </c>
      <c r="S5778" s="79" t="str">
        <f>IF(AND($O5778=$Q$7,$B5778&lt;'111'!$L$11),"x","")</f>
        <v/>
      </c>
      <c r="T5778" s="79" t="str">
        <f>IF(ISERROR(FIND('112'!$M$9,G5778,1)),"",IF((AND(FIND('112'!$M$9,G5778,1)&gt;=1,B5778='112'!$K$9,OR($N5778='112'!$I$6,$O5778='112'!$I$6))),"x",""))</f>
        <v/>
      </c>
      <c r="U5778" s="79" t="str">
        <f>IF(ISERROR(FIND('112'!$M$9,G5778,1)),"",IF((AND(LEFT(G5778,2)=LEFT('112'!$M$9,2),B5778&lt;'112'!$K$9,$N5778='112'!$I$6)),"x",""))</f>
        <v/>
      </c>
      <c r="V5778" s="79" t="str">
        <f>IF(ISERROR(FIND('112'!$M$9,G5778,1)),"",IF((AND(RIGHT(G5778,2)=RIGHT('112'!$M$9,2),B5778&lt;'112'!$K$9,$O5778='112'!$I$6)),"x",""))</f>
        <v/>
      </c>
      <c r="W5778" s="79" t="str">
        <f>IF(AND('341-CT'!$H$9=H5778,OR(LEFT(N5778,3)=$W$7,LEFT(O5778,3)=$W$7)),"x","")</f>
        <v/>
      </c>
      <c r="X5778" s="79" t="str">
        <f>IF(OR(TH!N5778=TH!$X$7,O5778=TH!$X$7),"x","")</f>
        <v/>
      </c>
      <c r="Y5778" s="79" t="str">
        <f>IF(AND(OR(N5778="131",O5778="131"),H5778='131-CT'!$H$9),"x","")</f>
        <v/>
      </c>
      <c r="Z5778" s="79"/>
      <c r="AA5778" s="79" t="str">
        <f>IF(AND(MONTH(E5778)='IN-NX'!$J$5,'IN-NX'!$D$7=D5778),"x","")</f>
        <v/>
      </c>
      <c r="AB5778" s="79" t="str">
        <f>IF(AND(OR(LEFT(TH!N5778,2)="15",LEFT(TH!O5778,2)="15"),LEFT(TH!O5778,3)&lt;&gt;"111",'152-CT'!$J$8=TH!F5778),"x","")</f>
        <v/>
      </c>
      <c r="AC5778" s="79" t="str">
        <f>IF(AND(OR(LEFT(TH!N5778,2)="15",LEFT(TH!O5778,2)="15"),TK!$E$7=TH!F5778),"x","")</f>
        <v/>
      </c>
      <c r="AD5778" s="79" t="str">
        <f>IF(AND(N5778="1521",MONTH(C5778)='BK-NL'!$M$11),"x","")</f>
        <v/>
      </c>
    </row>
    <row r="5779" spans="1:30" ht="16.5" customHeight="1">
      <c r="A5779" s="318" t="str">
        <f>IF(B5779&lt;&gt;"",IF(AND(B5779='IN-TC'!$S$4,OR(TH!N5779="1111",TH!O5779="1111")),TH!D5779,""),"")</f>
        <v/>
      </c>
      <c r="B5779" s="60" t="str">
        <f t="shared" si="511"/>
        <v/>
      </c>
      <c r="C5779" s="61"/>
      <c r="D5779" s="61"/>
      <c r="E5779" s="61"/>
      <c r="F5779" s="446"/>
      <c r="G5779" s="64"/>
      <c r="H5779" s="69"/>
      <c r="I5779" s="385"/>
      <c r="J5779" s="392"/>
      <c r="K5779" s="385"/>
      <c r="L5779" s="392"/>
      <c r="M5779" s="62"/>
      <c r="N5779" s="63"/>
      <c r="O5779" s="63"/>
      <c r="P5779" s="79" t="str">
        <f>IF(AND('331-CT'!$E$7=TH!H5779,OR(N5779="331",O5779="331")),"x","")</f>
        <v/>
      </c>
      <c r="Q5779" s="79" t="str">
        <f>IF(AND(B5779='111'!$L$11,OR($N5779=$Q$7,$O5779=$Q$7)),"x","")</f>
        <v/>
      </c>
      <c r="R5779" s="79" t="str">
        <f>IF(AND($N5779=$Q$7,$B5779&lt;'111'!$L$11),"x","")</f>
        <v/>
      </c>
      <c r="S5779" s="79" t="str">
        <f>IF(AND($O5779=$Q$7,$B5779&lt;'111'!$L$11),"x","")</f>
        <v/>
      </c>
      <c r="T5779" s="79" t="str">
        <f>IF(ISERROR(FIND('112'!$M$9,G5779,1)),"",IF((AND(FIND('112'!$M$9,G5779,1)&gt;=1,B5779='112'!$K$9,OR($N5779='112'!$I$6,$O5779='112'!$I$6))),"x",""))</f>
        <v/>
      </c>
      <c r="U5779" s="79" t="str">
        <f>IF(ISERROR(FIND('112'!$M$9,G5779,1)),"",IF((AND(LEFT(G5779,2)=LEFT('112'!$M$9,2),B5779&lt;'112'!$K$9,$N5779='112'!$I$6)),"x",""))</f>
        <v/>
      </c>
      <c r="V5779" s="79" t="str">
        <f>IF(ISERROR(FIND('112'!$M$9,G5779,1)),"",IF((AND(RIGHT(G5779,2)=RIGHT('112'!$M$9,2),B5779&lt;'112'!$K$9,$O5779='112'!$I$6)),"x",""))</f>
        <v/>
      </c>
      <c r="W5779" s="79" t="str">
        <f>IF(AND('341-CT'!$H$9=H5779,OR(LEFT(N5779,3)=$W$7,LEFT(O5779,3)=$W$7)),"x","")</f>
        <v/>
      </c>
      <c r="X5779" s="79" t="str">
        <f>IF(OR(TH!N5779=TH!$X$7,O5779=TH!$X$7),"x","")</f>
        <v/>
      </c>
      <c r="Y5779" s="79" t="str">
        <f>IF(AND(OR(N5779="131",O5779="131"),H5779='131-CT'!$H$9),"x","")</f>
        <v/>
      </c>
      <c r="Z5779" s="79"/>
      <c r="AA5779" s="79" t="str">
        <f>IF(AND(MONTH(E5779)='IN-NX'!$J$5,'IN-NX'!$D$7=D5779),"x","")</f>
        <v/>
      </c>
      <c r="AB5779" s="79" t="str">
        <f>IF(AND(OR(LEFT(TH!N5779,2)="15",LEFT(TH!O5779,2)="15"),LEFT(TH!O5779,3)&lt;&gt;"111",'152-CT'!$J$8=TH!F5779),"x","")</f>
        <v/>
      </c>
      <c r="AC5779" s="79" t="str">
        <f>IF(AND(OR(LEFT(TH!N5779,2)="15",LEFT(TH!O5779,2)="15"),TK!$E$7=TH!F5779),"x","")</f>
        <v/>
      </c>
      <c r="AD5779" s="79" t="str">
        <f>IF(AND(N5779="1521",MONTH(C5779)='BK-NL'!$M$11),"x","")</f>
        <v/>
      </c>
    </row>
    <row r="5780" spans="1:30" ht="16.5" customHeight="1">
      <c r="A5780" s="318" t="str">
        <f>IF(B5780&lt;&gt;"",IF(AND(B5780='IN-TC'!$S$4,OR(TH!N5780="1111",TH!O5780="1111")),TH!D5780,""),"")</f>
        <v/>
      </c>
      <c r="B5780" s="60" t="str">
        <f t="shared" si="511"/>
        <v/>
      </c>
      <c r="C5780" s="61"/>
      <c r="D5780" s="61"/>
      <c r="E5780" s="61"/>
      <c r="F5780" s="446"/>
      <c r="G5780" s="64"/>
      <c r="H5780" s="69"/>
      <c r="I5780" s="385"/>
      <c r="J5780" s="392"/>
      <c r="K5780" s="385"/>
      <c r="L5780" s="392"/>
      <c r="M5780" s="62"/>
      <c r="N5780" s="63"/>
      <c r="O5780" s="63"/>
      <c r="P5780" s="79" t="str">
        <f>IF(AND('331-CT'!$E$7=TH!H5780,OR(N5780="331",O5780="331")),"x","")</f>
        <v/>
      </c>
      <c r="Q5780" s="79" t="str">
        <f>IF(AND(B5780='111'!$L$11,OR($N5780=$Q$7,$O5780=$Q$7)),"x","")</f>
        <v/>
      </c>
      <c r="R5780" s="79" t="str">
        <f>IF(AND($N5780=$Q$7,$B5780&lt;'111'!$L$11),"x","")</f>
        <v/>
      </c>
      <c r="S5780" s="79" t="str">
        <f>IF(AND($O5780=$Q$7,$B5780&lt;'111'!$L$11),"x","")</f>
        <v/>
      </c>
      <c r="T5780" s="79" t="str">
        <f>IF(ISERROR(FIND('112'!$M$9,G5780,1)),"",IF((AND(FIND('112'!$M$9,G5780,1)&gt;=1,B5780='112'!$K$9,OR($N5780='112'!$I$6,$O5780='112'!$I$6))),"x",""))</f>
        <v/>
      </c>
      <c r="U5780" s="79" t="str">
        <f>IF(ISERROR(FIND('112'!$M$9,G5780,1)),"",IF((AND(LEFT(G5780,2)=LEFT('112'!$M$9,2),B5780&lt;'112'!$K$9,$N5780='112'!$I$6)),"x",""))</f>
        <v/>
      </c>
      <c r="V5780" s="79" t="str">
        <f>IF(ISERROR(FIND('112'!$M$9,G5780,1)),"",IF((AND(RIGHT(G5780,2)=RIGHT('112'!$M$9,2),B5780&lt;'112'!$K$9,$O5780='112'!$I$6)),"x",""))</f>
        <v/>
      </c>
      <c r="W5780" s="79" t="str">
        <f>IF(AND('341-CT'!$H$9=H5780,OR(LEFT(N5780,3)=$W$7,LEFT(O5780,3)=$W$7)),"x","")</f>
        <v/>
      </c>
      <c r="X5780" s="79" t="str">
        <f>IF(OR(TH!N5780=TH!$X$7,O5780=TH!$X$7),"x","")</f>
        <v/>
      </c>
      <c r="Y5780" s="79" t="str">
        <f>IF(AND(OR(N5780="131",O5780="131"),H5780='131-CT'!$H$9),"x","")</f>
        <v/>
      </c>
      <c r="Z5780" s="79"/>
      <c r="AA5780" s="79" t="str">
        <f>IF(AND(MONTH(E5780)='IN-NX'!$J$5,'IN-NX'!$D$7=D5780),"x","")</f>
        <v/>
      </c>
      <c r="AB5780" s="79" t="str">
        <f>IF(AND(OR(LEFT(TH!N5780,2)="15",LEFT(TH!O5780,2)="15"),LEFT(TH!O5780,3)&lt;&gt;"111",'152-CT'!$J$8=TH!F5780),"x","")</f>
        <v/>
      </c>
      <c r="AC5780" s="79" t="str">
        <f>IF(AND(OR(LEFT(TH!N5780,2)="15",LEFT(TH!O5780,2)="15"),TK!$E$7=TH!F5780),"x","")</f>
        <v/>
      </c>
      <c r="AD5780" s="79" t="str">
        <f>IF(AND(N5780="1521",MONTH(C5780)='BK-NL'!$M$11),"x","")</f>
        <v/>
      </c>
    </row>
    <row r="5781" spans="1:30" ht="16.5" customHeight="1">
      <c r="A5781" s="318" t="str">
        <f>IF(B5781&lt;&gt;"",IF(AND(B5781='IN-TC'!$S$4,OR(TH!N5781="1111",TH!O5781="1111")),TH!D5781,""),"")</f>
        <v/>
      </c>
      <c r="B5781" s="60" t="str">
        <f t="shared" si="511"/>
        <v/>
      </c>
      <c r="C5781" s="61"/>
      <c r="D5781" s="61"/>
      <c r="E5781" s="61"/>
      <c r="F5781" s="446"/>
      <c r="G5781" s="64"/>
      <c r="H5781" s="69"/>
      <c r="I5781" s="385"/>
      <c r="J5781" s="392"/>
      <c r="K5781" s="385"/>
      <c r="L5781" s="392"/>
      <c r="M5781" s="62"/>
      <c r="N5781" s="63"/>
      <c r="O5781" s="63"/>
      <c r="P5781" s="79" t="str">
        <f>IF(AND('331-CT'!$E$7=TH!H5781,OR(N5781="331",O5781="331")),"x","")</f>
        <v/>
      </c>
      <c r="Q5781" s="79" t="str">
        <f>IF(AND(B5781='111'!$L$11,OR($N5781=$Q$7,$O5781=$Q$7)),"x","")</f>
        <v/>
      </c>
      <c r="R5781" s="79" t="str">
        <f>IF(AND($N5781=$Q$7,$B5781&lt;'111'!$L$11),"x","")</f>
        <v/>
      </c>
      <c r="S5781" s="79" t="str">
        <f>IF(AND($O5781=$Q$7,$B5781&lt;'111'!$L$11),"x","")</f>
        <v/>
      </c>
      <c r="T5781" s="79" t="str">
        <f>IF(ISERROR(FIND('112'!$M$9,G5781,1)),"",IF((AND(FIND('112'!$M$9,G5781,1)&gt;=1,B5781='112'!$K$9,OR($N5781='112'!$I$6,$O5781='112'!$I$6))),"x",""))</f>
        <v/>
      </c>
      <c r="U5781" s="79" t="str">
        <f>IF(ISERROR(FIND('112'!$M$9,G5781,1)),"",IF((AND(LEFT(G5781,2)=LEFT('112'!$M$9,2),B5781&lt;'112'!$K$9,$N5781='112'!$I$6)),"x",""))</f>
        <v/>
      </c>
      <c r="V5781" s="79" t="str">
        <f>IF(ISERROR(FIND('112'!$M$9,G5781,1)),"",IF((AND(RIGHT(G5781,2)=RIGHT('112'!$M$9,2),B5781&lt;'112'!$K$9,$O5781='112'!$I$6)),"x",""))</f>
        <v/>
      </c>
      <c r="W5781" s="79" t="str">
        <f>IF(AND('341-CT'!$H$9=H5781,OR(LEFT(N5781,3)=$W$7,LEFT(O5781,3)=$W$7)),"x","")</f>
        <v/>
      </c>
      <c r="X5781" s="79" t="str">
        <f>IF(OR(TH!N5781=TH!$X$7,O5781=TH!$X$7),"x","")</f>
        <v/>
      </c>
      <c r="Y5781" s="79" t="str">
        <f>IF(AND(OR(N5781="131",O5781="131"),H5781='131-CT'!$H$9),"x","")</f>
        <v/>
      </c>
      <c r="Z5781" s="79"/>
      <c r="AA5781" s="79" t="str">
        <f>IF(AND(MONTH(E5781)='IN-NX'!$J$5,'IN-NX'!$D$7=D5781),"x","")</f>
        <v/>
      </c>
      <c r="AB5781" s="79" t="str">
        <f>IF(AND(OR(LEFT(TH!N5781,2)="15",LEFT(TH!O5781,2)="15"),LEFT(TH!O5781,3)&lt;&gt;"111",'152-CT'!$J$8=TH!F5781),"x","")</f>
        <v/>
      </c>
      <c r="AC5781" s="79" t="str">
        <f>IF(AND(OR(LEFT(TH!N5781,2)="15",LEFT(TH!O5781,2)="15"),TK!$E$7=TH!F5781),"x","")</f>
        <v/>
      </c>
      <c r="AD5781" s="79" t="str">
        <f>IF(AND(N5781="1521",MONTH(C5781)='BK-NL'!$M$11),"x","")</f>
        <v/>
      </c>
    </row>
    <row r="5782" spans="1:30" ht="16.5" customHeight="1">
      <c r="A5782" s="318" t="str">
        <f>IF(B5782&lt;&gt;"",IF(AND(B5782='IN-TC'!$S$4,OR(TH!N5782="1111",TH!O5782="1111")),TH!D5782,""),"")</f>
        <v/>
      </c>
      <c r="B5782" s="60" t="str">
        <f t="shared" si="511"/>
        <v/>
      </c>
      <c r="C5782" s="61"/>
      <c r="D5782" s="61"/>
      <c r="E5782" s="61"/>
      <c r="F5782" s="446"/>
      <c r="G5782" s="64"/>
      <c r="H5782" s="69"/>
      <c r="I5782" s="385"/>
      <c r="J5782" s="392"/>
      <c r="K5782" s="385"/>
      <c r="L5782" s="392"/>
      <c r="M5782" s="62"/>
      <c r="N5782" s="63"/>
      <c r="O5782" s="63"/>
      <c r="P5782" s="79" t="str">
        <f>IF(AND('331-CT'!$E$7=TH!H5782,OR(N5782="331",O5782="331")),"x","")</f>
        <v/>
      </c>
      <c r="Q5782" s="79" t="str">
        <f>IF(AND(B5782='111'!$L$11,OR($N5782=$Q$7,$O5782=$Q$7)),"x","")</f>
        <v/>
      </c>
      <c r="R5782" s="79" t="str">
        <f>IF(AND($N5782=$Q$7,$B5782&lt;'111'!$L$11),"x","")</f>
        <v/>
      </c>
      <c r="S5782" s="79" t="str">
        <f>IF(AND($O5782=$Q$7,$B5782&lt;'111'!$L$11),"x","")</f>
        <v/>
      </c>
      <c r="T5782" s="79" t="str">
        <f>IF(ISERROR(FIND('112'!$M$9,G5782,1)),"",IF((AND(FIND('112'!$M$9,G5782,1)&gt;=1,B5782='112'!$K$9,OR($N5782='112'!$I$6,$O5782='112'!$I$6))),"x",""))</f>
        <v/>
      </c>
      <c r="U5782" s="79" t="str">
        <f>IF(ISERROR(FIND('112'!$M$9,G5782,1)),"",IF((AND(LEFT(G5782,2)=LEFT('112'!$M$9,2),B5782&lt;'112'!$K$9,$N5782='112'!$I$6)),"x",""))</f>
        <v/>
      </c>
      <c r="V5782" s="79" t="str">
        <f>IF(ISERROR(FIND('112'!$M$9,G5782,1)),"",IF((AND(RIGHT(G5782,2)=RIGHT('112'!$M$9,2),B5782&lt;'112'!$K$9,$O5782='112'!$I$6)),"x",""))</f>
        <v/>
      </c>
      <c r="W5782" s="79" t="str">
        <f>IF(AND('341-CT'!$H$9=H5782,OR(LEFT(N5782,3)=$W$7,LEFT(O5782,3)=$W$7)),"x","")</f>
        <v/>
      </c>
      <c r="X5782" s="79" t="str">
        <f>IF(OR(TH!N5782=TH!$X$7,O5782=TH!$X$7),"x","")</f>
        <v/>
      </c>
      <c r="Y5782" s="79" t="str">
        <f>IF(AND(OR(N5782="131",O5782="131"),H5782='131-CT'!$H$9),"x","")</f>
        <v/>
      </c>
      <c r="Z5782" s="79"/>
      <c r="AA5782" s="79" t="str">
        <f>IF(AND(MONTH(E5782)='IN-NX'!$J$5,'IN-NX'!$D$7=D5782),"x","")</f>
        <v/>
      </c>
      <c r="AB5782" s="79" t="str">
        <f>IF(AND(OR(LEFT(TH!N5782,2)="15",LEFT(TH!O5782,2)="15"),LEFT(TH!O5782,3)&lt;&gt;"111",'152-CT'!$J$8=TH!F5782),"x","")</f>
        <v/>
      </c>
      <c r="AC5782" s="79" t="str">
        <f>IF(AND(OR(LEFT(TH!N5782,2)="15",LEFT(TH!O5782,2)="15"),TK!$E$7=TH!F5782),"x","")</f>
        <v/>
      </c>
      <c r="AD5782" s="79" t="str">
        <f>IF(AND(N5782="1521",MONTH(C5782)='BK-NL'!$M$11),"x","")</f>
        <v/>
      </c>
    </row>
    <row r="5783" spans="1:30" ht="16.5" customHeight="1">
      <c r="A5783" s="318" t="str">
        <f>IF(B5783&lt;&gt;"",IF(AND(B5783='IN-TC'!$S$4,OR(TH!N5783="1111",TH!O5783="1111")),TH!D5783,""),"")</f>
        <v/>
      </c>
      <c r="B5783" s="60" t="str">
        <f t="shared" si="511"/>
        <v/>
      </c>
      <c r="C5783" s="61"/>
      <c r="D5783" s="61"/>
      <c r="E5783" s="61"/>
      <c r="F5783" s="446"/>
      <c r="G5783" s="64"/>
      <c r="H5783" s="69"/>
      <c r="I5783" s="385"/>
      <c r="J5783" s="392"/>
      <c r="K5783" s="385"/>
      <c r="L5783" s="392"/>
      <c r="M5783" s="62"/>
      <c r="N5783" s="63"/>
      <c r="O5783" s="63"/>
      <c r="P5783" s="79" t="str">
        <f>IF(AND('331-CT'!$E$7=TH!H5783,OR(N5783="331",O5783="331")),"x","")</f>
        <v/>
      </c>
      <c r="Q5783" s="79" t="str">
        <f>IF(AND(B5783='111'!$L$11,OR($N5783=$Q$7,$O5783=$Q$7)),"x","")</f>
        <v/>
      </c>
      <c r="R5783" s="79" t="str">
        <f>IF(AND($N5783=$Q$7,$B5783&lt;'111'!$L$11),"x","")</f>
        <v/>
      </c>
      <c r="S5783" s="79" t="str">
        <f>IF(AND($O5783=$Q$7,$B5783&lt;'111'!$L$11),"x","")</f>
        <v/>
      </c>
      <c r="T5783" s="79" t="str">
        <f>IF(ISERROR(FIND('112'!$M$9,G5783,1)),"",IF((AND(FIND('112'!$M$9,G5783,1)&gt;=1,B5783='112'!$K$9,OR($N5783='112'!$I$6,$O5783='112'!$I$6))),"x",""))</f>
        <v/>
      </c>
      <c r="U5783" s="79" t="str">
        <f>IF(ISERROR(FIND('112'!$M$9,G5783,1)),"",IF((AND(LEFT(G5783,2)=LEFT('112'!$M$9,2),B5783&lt;'112'!$K$9,$N5783='112'!$I$6)),"x",""))</f>
        <v/>
      </c>
      <c r="V5783" s="79" t="str">
        <f>IF(ISERROR(FIND('112'!$M$9,G5783,1)),"",IF((AND(RIGHT(G5783,2)=RIGHT('112'!$M$9,2),B5783&lt;'112'!$K$9,$O5783='112'!$I$6)),"x",""))</f>
        <v/>
      </c>
      <c r="W5783" s="79" t="str">
        <f>IF(AND('341-CT'!$H$9=H5783,OR(LEFT(N5783,3)=$W$7,LEFT(O5783,3)=$W$7)),"x","")</f>
        <v/>
      </c>
      <c r="X5783" s="79" t="str">
        <f>IF(OR(TH!N5783=TH!$X$7,O5783=TH!$X$7),"x","")</f>
        <v/>
      </c>
      <c r="Y5783" s="79" t="str">
        <f>IF(AND(OR(N5783="131",O5783="131"),H5783='131-CT'!$H$9),"x","")</f>
        <v/>
      </c>
      <c r="Z5783" s="79"/>
      <c r="AA5783" s="79" t="str">
        <f>IF(AND(MONTH(E5783)='IN-NX'!$J$5,'IN-NX'!$D$7=D5783),"x","")</f>
        <v/>
      </c>
      <c r="AB5783" s="79" t="str">
        <f>IF(AND(OR(LEFT(TH!N5783,2)="15",LEFT(TH!O5783,2)="15"),LEFT(TH!O5783,3)&lt;&gt;"111",'152-CT'!$J$8=TH!F5783),"x","")</f>
        <v/>
      </c>
      <c r="AC5783" s="79" t="str">
        <f>IF(AND(OR(LEFT(TH!N5783,2)="15",LEFT(TH!O5783,2)="15"),TK!$E$7=TH!F5783),"x","")</f>
        <v/>
      </c>
      <c r="AD5783" s="79" t="str">
        <f>IF(AND(N5783="1521",MONTH(C5783)='BK-NL'!$M$11),"x","")</f>
        <v/>
      </c>
    </row>
    <row r="5784" spans="1:30" ht="16.5" customHeight="1">
      <c r="A5784" s="318" t="str">
        <f>IF(B5784&lt;&gt;"",IF(AND(B5784='IN-TC'!$S$4,OR(TH!N5784="1111",TH!O5784="1111")),TH!D5784,""),"")</f>
        <v/>
      </c>
      <c r="B5784" s="60" t="str">
        <f t="shared" si="511"/>
        <v/>
      </c>
      <c r="C5784" s="61"/>
      <c r="D5784" s="61"/>
      <c r="E5784" s="61"/>
      <c r="F5784" s="446"/>
      <c r="G5784" s="64"/>
      <c r="H5784" s="69"/>
      <c r="I5784" s="385"/>
      <c r="J5784" s="392"/>
      <c r="K5784" s="385"/>
      <c r="L5784" s="392"/>
      <c r="M5784" s="62"/>
      <c r="N5784" s="63"/>
      <c r="O5784" s="63"/>
      <c r="P5784" s="79" t="str">
        <f>IF(AND('331-CT'!$E$7=TH!H5784,OR(N5784="331",O5784="331")),"x","")</f>
        <v/>
      </c>
      <c r="Q5784" s="79" t="str">
        <f>IF(AND(B5784='111'!$L$11,OR($N5784=$Q$7,$O5784=$Q$7)),"x","")</f>
        <v/>
      </c>
      <c r="R5784" s="79" t="str">
        <f>IF(AND($N5784=$Q$7,$B5784&lt;'111'!$L$11),"x","")</f>
        <v/>
      </c>
      <c r="S5784" s="79" t="str">
        <f>IF(AND($O5784=$Q$7,$B5784&lt;'111'!$L$11),"x","")</f>
        <v/>
      </c>
      <c r="T5784" s="79" t="str">
        <f>IF(ISERROR(FIND('112'!$M$9,G5784,1)),"",IF((AND(FIND('112'!$M$9,G5784,1)&gt;=1,B5784='112'!$K$9,OR($N5784='112'!$I$6,$O5784='112'!$I$6))),"x",""))</f>
        <v/>
      </c>
      <c r="U5784" s="79" t="str">
        <f>IF(ISERROR(FIND('112'!$M$9,G5784,1)),"",IF((AND(LEFT(G5784,2)=LEFT('112'!$M$9,2),B5784&lt;'112'!$K$9,$N5784='112'!$I$6)),"x",""))</f>
        <v/>
      </c>
      <c r="V5784" s="79" t="str">
        <f>IF(ISERROR(FIND('112'!$M$9,G5784,1)),"",IF((AND(RIGHT(G5784,2)=RIGHT('112'!$M$9,2),B5784&lt;'112'!$K$9,$O5784='112'!$I$6)),"x",""))</f>
        <v/>
      </c>
      <c r="W5784" s="79" t="str">
        <f>IF(AND('341-CT'!$H$9=H5784,OR(LEFT(N5784,3)=$W$7,LEFT(O5784,3)=$W$7)),"x","")</f>
        <v/>
      </c>
      <c r="X5784" s="79" t="str">
        <f>IF(OR(TH!N5784=TH!$X$7,O5784=TH!$X$7),"x","")</f>
        <v/>
      </c>
      <c r="Y5784" s="79" t="str">
        <f>IF(AND(OR(N5784="131",O5784="131"),H5784='131-CT'!$H$9),"x","")</f>
        <v/>
      </c>
      <c r="Z5784" s="79"/>
      <c r="AA5784" s="79" t="str">
        <f>IF(AND(MONTH(E5784)='IN-NX'!$J$5,'IN-NX'!$D$7=D5784),"x","")</f>
        <v/>
      </c>
      <c r="AB5784" s="79" t="str">
        <f>IF(AND(OR(LEFT(TH!N5784,2)="15",LEFT(TH!O5784,2)="15"),LEFT(TH!O5784,3)&lt;&gt;"111",'152-CT'!$J$8=TH!F5784),"x","")</f>
        <v/>
      </c>
      <c r="AC5784" s="79" t="str">
        <f>IF(AND(OR(LEFT(TH!N5784,2)="15",LEFT(TH!O5784,2)="15"),TK!$E$7=TH!F5784),"x","")</f>
        <v/>
      </c>
      <c r="AD5784" s="79" t="str">
        <f>IF(AND(N5784="1521",MONTH(C5784)='BK-NL'!$M$11),"x","")</f>
        <v/>
      </c>
    </row>
    <row r="5785" spans="1:30" ht="16.5" customHeight="1">
      <c r="A5785" s="318" t="str">
        <f>IF(B5785&lt;&gt;"",IF(AND(B5785='IN-TC'!$S$4,OR(TH!N5785="1111",TH!O5785="1111")),TH!D5785,""),"")</f>
        <v/>
      </c>
      <c r="B5785" s="60" t="str">
        <f t="shared" si="511"/>
        <v/>
      </c>
      <c r="C5785" s="61"/>
      <c r="D5785" s="61"/>
      <c r="E5785" s="61"/>
      <c r="F5785" s="446"/>
      <c r="G5785" s="64"/>
      <c r="H5785" s="69"/>
      <c r="I5785" s="385"/>
      <c r="J5785" s="392"/>
      <c r="K5785" s="385"/>
      <c r="L5785" s="392"/>
      <c r="M5785" s="62"/>
      <c r="N5785" s="63"/>
      <c r="O5785" s="63"/>
      <c r="P5785" s="79" t="str">
        <f>IF(AND('331-CT'!$E$7=TH!H5785,OR(N5785="331",O5785="331")),"x","")</f>
        <v/>
      </c>
      <c r="Q5785" s="79" t="str">
        <f>IF(AND(B5785='111'!$L$11,OR($N5785=$Q$7,$O5785=$Q$7)),"x","")</f>
        <v/>
      </c>
      <c r="R5785" s="79" t="str">
        <f>IF(AND($N5785=$Q$7,$B5785&lt;'111'!$L$11),"x","")</f>
        <v/>
      </c>
      <c r="S5785" s="79" t="str">
        <f>IF(AND($O5785=$Q$7,$B5785&lt;'111'!$L$11),"x","")</f>
        <v/>
      </c>
      <c r="T5785" s="79" t="str">
        <f>IF(ISERROR(FIND('112'!$M$9,G5785,1)),"",IF((AND(FIND('112'!$M$9,G5785,1)&gt;=1,B5785='112'!$K$9,OR($N5785='112'!$I$6,$O5785='112'!$I$6))),"x",""))</f>
        <v/>
      </c>
      <c r="U5785" s="79" t="str">
        <f>IF(ISERROR(FIND('112'!$M$9,G5785,1)),"",IF((AND(LEFT(G5785,2)=LEFT('112'!$M$9,2),B5785&lt;'112'!$K$9,$N5785='112'!$I$6)),"x",""))</f>
        <v/>
      </c>
      <c r="V5785" s="79" t="str">
        <f>IF(ISERROR(FIND('112'!$M$9,G5785,1)),"",IF((AND(RIGHT(G5785,2)=RIGHT('112'!$M$9,2),B5785&lt;'112'!$K$9,$O5785='112'!$I$6)),"x",""))</f>
        <v/>
      </c>
      <c r="W5785" s="79" t="str">
        <f>IF(AND('341-CT'!$H$9=H5785,OR(LEFT(N5785,3)=$W$7,LEFT(O5785,3)=$W$7)),"x","")</f>
        <v/>
      </c>
      <c r="X5785" s="79" t="str">
        <f>IF(OR(TH!N5785=TH!$X$7,O5785=TH!$X$7),"x","")</f>
        <v/>
      </c>
      <c r="Y5785" s="79" t="str">
        <f>IF(AND(OR(N5785="131",O5785="131"),H5785='131-CT'!$H$9),"x","")</f>
        <v/>
      </c>
      <c r="Z5785" s="79"/>
      <c r="AA5785" s="79" t="str">
        <f>IF(AND(MONTH(E5785)='IN-NX'!$J$5,'IN-NX'!$D$7=D5785),"x","")</f>
        <v/>
      </c>
      <c r="AB5785" s="79" t="str">
        <f>IF(AND(OR(LEFT(TH!N5785,2)="15",LEFT(TH!O5785,2)="15"),LEFT(TH!O5785,3)&lt;&gt;"111",'152-CT'!$J$8=TH!F5785),"x","")</f>
        <v/>
      </c>
      <c r="AC5785" s="79" t="str">
        <f>IF(AND(OR(LEFT(TH!N5785,2)="15",LEFT(TH!O5785,2)="15"),TK!$E$7=TH!F5785),"x","")</f>
        <v/>
      </c>
      <c r="AD5785" s="79" t="str">
        <f>IF(AND(N5785="1521",MONTH(C5785)='BK-NL'!$M$11),"x","")</f>
        <v/>
      </c>
    </row>
    <row r="5786" spans="1:30" ht="16.5" customHeight="1">
      <c r="A5786" s="318" t="str">
        <f>IF(B5786&lt;&gt;"",IF(AND(B5786='IN-TC'!$S$4,OR(TH!N5786="1111",TH!O5786="1111")),TH!D5786,""),"")</f>
        <v/>
      </c>
      <c r="B5786" s="60" t="str">
        <f t="shared" si="511"/>
        <v/>
      </c>
      <c r="C5786" s="61"/>
      <c r="D5786" s="61"/>
      <c r="E5786" s="61"/>
      <c r="F5786" s="446"/>
      <c r="G5786" s="64"/>
      <c r="H5786" s="69"/>
      <c r="I5786" s="385"/>
      <c r="J5786" s="392"/>
      <c r="K5786" s="385"/>
      <c r="L5786" s="392"/>
      <c r="M5786" s="62"/>
      <c r="N5786" s="63"/>
      <c r="O5786" s="63"/>
      <c r="P5786" s="79" t="str">
        <f>IF(AND('331-CT'!$E$7=TH!H5786,OR(N5786="331",O5786="331")),"x","")</f>
        <v/>
      </c>
      <c r="Q5786" s="79" t="str">
        <f>IF(AND(B5786='111'!$L$11,OR($N5786=$Q$7,$O5786=$Q$7)),"x","")</f>
        <v/>
      </c>
      <c r="R5786" s="79" t="str">
        <f>IF(AND($N5786=$Q$7,$B5786&lt;'111'!$L$11),"x","")</f>
        <v/>
      </c>
      <c r="S5786" s="79" t="str">
        <f>IF(AND($O5786=$Q$7,$B5786&lt;'111'!$L$11),"x","")</f>
        <v/>
      </c>
      <c r="T5786" s="79" t="str">
        <f>IF(ISERROR(FIND('112'!$M$9,G5786,1)),"",IF((AND(FIND('112'!$M$9,G5786,1)&gt;=1,B5786='112'!$K$9,OR($N5786='112'!$I$6,$O5786='112'!$I$6))),"x",""))</f>
        <v/>
      </c>
      <c r="U5786" s="79" t="str">
        <f>IF(ISERROR(FIND('112'!$M$9,G5786,1)),"",IF((AND(LEFT(G5786,2)=LEFT('112'!$M$9,2),B5786&lt;'112'!$K$9,$N5786='112'!$I$6)),"x",""))</f>
        <v/>
      </c>
      <c r="V5786" s="79" t="str">
        <f>IF(ISERROR(FIND('112'!$M$9,G5786,1)),"",IF((AND(RIGHT(G5786,2)=RIGHT('112'!$M$9,2),B5786&lt;'112'!$K$9,$O5786='112'!$I$6)),"x",""))</f>
        <v/>
      </c>
      <c r="W5786" s="79" t="str">
        <f>IF(AND('341-CT'!$H$9=H5786,OR(LEFT(N5786,3)=$W$7,LEFT(O5786,3)=$W$7)),"x","")</f>
        <v/>
      </c>
      <c r="X5786" s="79" t="str">
        <f>IF(OR(TH!N5786=TH!$X$7,O5786=TH!$X$7),"x","")</f>
        <v/>
      </c>
      <c r="Y5786" s="79" t="str">
        <f>IF(AND(OR(N5786="131",O5786="131"),H5786='131-CT'!$H$9),"x","")</f>
        <v/>
      </c>
      <c r="Z5786" s="79"/>
      <c r="AA5786" s="79" t="str">
        <f>IF(AND(MONTH(E5786)='IN-NX'!$J$5,'IN-NX'!$D$7=D5786),"x","")</f>
        <v/>
      </c>
      <c r="AB5786" s="79" t="str">
        <f>IF(AND(OR(LEFT(TH!N5786,2)="15",LEFT(TH!O5786,2)="15"),LEFT(TH!O5786,3)&lt;&gt;"111",'152-CT'!$J$8=TH!F5786),"x","")</f>
        <v/>
      </c>
      <c r="AC5786" s="79" t="str">
        <f>IF(AND(OR(LEFT(TH!N5786,2)="15",LEFT(TH!O5786,2)="15"),TK!$E$7=TH!F5786),"x","")</f>
        <v/>
      </c>
      <c r="AD5786" s="79" t="str">
        <f>IF(AND(N5786="1521",MONTH(C5786)='BK-NL'!$M$11),"x","")</f>
        <v/>
      </c>
    </row>
    <row r="5787" spans="1:30" ht="16.5" customHeight="1">
      <c r="A5787" s="318" t="str">
        <f>IF(B5787&lt;&gt;"",IF(AND(B5787='IN-TC'!$S$4,OR(TH!N5787="1111",TH!O5787="1111")),TH!D5787,""),"")</f>
        <v/>
      </c>
      <c r="B5787" s="60" t="str">
        <f t="shared" si="511"/>
        <v/>
      </c>
      <c r="C5787" s="61"/>
      <c r="D5787" s="61"/>
      <c r="E5787" s="61"/>
      <c r="F5787" s="446"/>
      <c r="G5787" s="64"/>
      <c r="H5787" s="69"/>
      <c r="I5787" s="385"/>
      <c r="J5787" s="392"/>
      <c r="K5787" s="385"/>
      <c r="L5787" s="392"/>
      <c r="M5787" s="62"/>
      <c r="N5787" s="63"/>
      <c r="O5787" s="63"/>
      <c r="P5787" s="79" t="str">
        <f>IF(AND('331-CT'!$E$7=TH!H5787,OR(N5787="331",O5787="331")),"x","")</f>
        <v/>
      </c>
      <c r="Q5787" s="79" t="str">
        <f>IF(AND(B5787='111'!$L$11,OR($N5787=$Q$7,$O5787=$Q$7)),"x","")</f>
        <v/>
      </c>
      <c r="R5787" s="79" t="str">
        <f>IF(AND($N5787=$Q$7,$B5787&lt;'111'!$L$11),"x","")</f>
        <v/>
      </c>
      <c r="S5787" s="79" t="str">
        <f>IF(AND($O5787=$Q$7,$B5787&lt;'111'!$L$11),"x","")</f>
        <v/>
      </c>
      <c r="T5787" s="79" t="str">
        <f>IF(ISERROR(FIND('112'!$M$9,G5787,1)),"",IF((AND(FIND('112'!$M$9,G5787,1)&gt;=1,B5787='112'!$K$9,OR($N5787='112'!$I$6,$O5787='112'!$I$6))),"x",""))</f>
        <v/>
      </c>
      <c r="U5787" s="79" t="str">
        <f>IF(ISERROR(FIND('112'!$M$9,G5787,1)),"",IF((AND(LEFT(G5787,2)=LEFT('112'!$M$9,2),B5787&lt;'112'!$K$9,$N5787='112'!$I$6)),"x",""))</f>
        <v/>
      </c>
      <c r="V5787" s="79" t="str">
        <f>IF(ISERROR(FIND('112'!$M$9,G5787,1)),"",IF((AND(RIGHT(G5787,2)=RIGHT('112'!$M$9,2),B5787&lt;'112'!$K$9,$O5787='112'!$I$6)),"x",""))</f>
        <v/>
      </c>
      <c r="W5787" s="79" t="str">
        <f>IF(AND('341-CT'!$H$9=H5787,OR(LEFT(N5787,3)=$W$7,LEFT(O5787,3)=$W$7)),"x","")</f>
        <v/>
      </c>
      <c r="X5787" s="79" t="str">
        <f>IF(OR(TH!N5787=TH!$X$7,O5787=TH!$X$7),"x","")</f>
        <v/>
      </c>
      <c r="Y5787" s="79" t="str">
        <f>IF(AND(OR(N5787="131",O5787="131"),H5787='131-CT'!$H$9),"x","")</f>
        <v/>
      </c>
      <c r="Z5787" s="79"/>
      <c r="AA5787" s="79" t="str">
        <f>IF(AND(MONTH(E5787)='IN-NX'!$J$5,'IN-NX'!$D$7=D5787),"x","")</f>
        <v/>
      </c>
      <c r="AB5787" s="79" t="str">
        <f>IF(AND(OR(LEFT(TH!N5787,2)="15",LEFT(TH!O5787,2)="15"),LEFT(TH!O5787,3)&lt;&gt;"111",'152-CT'!$J$8=TH!F5787),"x","")</f>
        <v/>
      </c>
      <c r="AC5787" s="79" t="str">
        <f>IF(AND(OR(LEFT(TH!N5787,2)="15",LEFT(TH!O5787,2)="15"),TK!$E$7=TH!F5787),"x","")</f>
        <v/>
      </c>
      <c r="AD5787" s="79" t="str">
        <f>IF(AND(N5787="1521",MONTH(C5787)='BK-NL'!$M$11),"x","")</f>
        <v/>
      </c>
    </row>
    <row r="5788" spans="1:30" ht="16.5" customHeight="1">
      <c r="A5788" s="318" t="str">
        <f>IF(B5788&lt;&gt;"",IF(AND(B5788='IN-TC'!$S$4,OR(TH!N5788="1111",TH!O5788="1111")),TH!D5788,""),"")</f>
        <v/>
      </c>
      <c r="B5788" s="60" t="str">
        <f t="shared" si="511"/>
        <v/>
      </c>
      <c r="C5788" s="301"/>
      <c r="D5788" s="301"/>
      <c r="E5788" s="301"/>
      <c r="F5788" s="446"/>
      <c r="G5788" s="766"/>
      <c r="H5788" s="69"/>
      <c r="I5788" s="385"/>
      <c r="J5788" s="392"/>
      <c r="K5788" s="385"/>
      <c r="L5788" s="392"/>
      <c r="M5788" s="62"/>
      <c r="N5788" s="63"/>
      <c r="O5788" s="63"/>
      <c r="P5788" s="79" t="str">
        <f>IF(AND('331-CT'!$E$7=TH!H5788,OR(N5788="331",O5788="331")),"x","")</f>
        <v/>
      </c>
      <c r="Q5788" s="79" t="str">
        <f>IF(AND(B5788='111'!$L$11,OR($N5788=$Q$7,$O5788=$Q$7)),"x","")</f>
        <v/>
      </c>
      <c r="R5788" s="79" t="str">
        <f>IF(AND($N5788=$Q$7,$B5788&lt;'111'!$L$11),"x","")</f>
        <v/>
      </c>
      <c r="S5788" s="79" t="str">
        <f>IF(AND($O5788=$Q$7,$B5788&lt;'111'!$L$11),"x","")</f>
        <v/>
      </c>
      <c r="T5788" s="79" t="str">
        <f>IF(ISERROR(FIND('112'!$M$9,G5788,1)),"",IF((AND(FIND('112'!$M$9,G5788,1)&gt;=1,B5788='112'!$K$9,OR($N5788='112'!$I$6,$O5788='112'!$I$6))),"x",""))</f>
        <v/>
      </c>
      <c r="U5788" s="79" t="str">
        <f>IF(ISERROR(FIND('112'!$M$9,G5788,1)),"",IF((AND(LEFT(G5788,2)=LEFT('112'!$M$9,2),B5788&lt;'112'!$K$9,$N5788='112'!$I$6)),"x",""))</f>
        <v/>
      </c>
      <c r="V5788" s="79" t="str">
        <f>IF(ISERROR(FIND('112'!$M$9,G5788,1)),"",IF((AND(RIGHT(G5788,2)=RIGHT('112'!$M$9,2),B5788&lt;'112'!$K$9,$O5788='112'!$I$6)),"x",""))</f>
        <v/>
      </c>
      <c r="W5788" s="79" t="str">
        <f>IF(AND('341-CT'!$H$9=H5788,OR(LEFT(N5788,3)=$W$7,LEFT(O5788,3)=$W$7)),"x","")</f>
        <v/>
      </c>
      <c r="X5788" s="79" t="str">
        <f>IF(OR(TH!N5788=TH!$X$7,O5788=TH!$X$7),"x","")</f>
        <v/>
      </c>
      <c r="Y5788" s="79" t="str">
        <f>IF(AND(OR(N5788="131",O5788="131"),H5788='131-CT'!$H$9),"x","")</f>
        <v/>
      </c>
      <c r="Z5788" s="79"/>
      <c r="AA5788" s="79" t="str">
        <f>IF(AND(MONTH(E5788)='IN-NX'!$J$5,'IN-NX'!$D$7=D5788),"x","")</f>
        <v/>
      </c>
      <c r="AB5788" s="79" t="str">
        <f>IF(AND(OR(LEFT(TH!N5788,2)="15",LEFT(TH!O5788,2)="15"),LEFT(TH!O5788,3)&lt;&gt;"111",'152-CT'!$J$8=TH!F5788),"x","")</f>
        <v/>
      </c>
      <c r="AC5788" s="79" t="str">
        <f>IF(AND(OR(LEFT(TH!N5788,2)="15",LEFT(TH!O5788,2)="15"),TK!$E$7=TH!F5788),"x","")</f>
        <v/>
      </c>
      <c r="AD5788" s="79" t="str">
        <f>IF(AND(N5788="1521",MONTH(C5788)='BK-NL'!$M$11),"x","")</f>
        <v/>
      </c>
    </row>
    <row r="5789" spans="1:30" ht="16.5" customHeight="1">
      <c r="A5789" s="318" t="str">
        <f>IF(B5789&lt;&gt;"",IF(AND(B5789='IN-TC'!$S$4,OR(TH!N5789="1111",TH!O5789="1111")),TH!D5789,""),"")</f>
        <v/>
      </c>
      <c r="B5789" s="60" t="str">
        <f t="shared" si="511"/>
        <v/>
      </c>
      <c r="C5789" s="301"/>
      <c r="D5789" s="301"/>
      <c r="E5789" s="301"/>
      <c r="F5789" s="446"/>
      <c r="G5789" s="766"/>
      <c r="H5789" s="69"/>
      <c r="I5789" s="385"/>
      <c r="J5789" s="392"/>
      <c r="K5789" s="385"/>
      <c r="L5789" s="392"/>
      <c r="M5789" s="62"/>
      <c r="N5789" s="63"/>
      <c r="O5789" s="63"/>
      <c r="P5789" s="79" t="str">
        <f>IF(AND('331-CT'!$E$7=TH!H5789,OR(N5789="331",O5789="331")),"x","")</f>
        <v/>
      </c>
      <c r="Q5789" s="79" t="str">
        <f>IF(AND(B5789='111'!$L$11,OR($N5789=$Q$7,$O5789=$Q$7)),"x","")</f>
        <v/>
      </c>
      <c r="R5789" s="79" t="str">
        <f>IF(AND($N5789=$Q$7,$B5789&lt;'111'!$L$11),"x","")</f>
        <v/>
      </c>
      <c r="S5789" s="79" t="str">
        <f>IF(AND($O5789=$Q$7,$B5789&lt;'111'!$L$11),"x","")</f>
        <v/>
      </c>
      <c r="T5789" s="79" t="str">
        <f>IF(ISERROR(FIND('112'!$M$9,G5789,1)),"",IF((AND(FIND('112'!$M$9,G5789,1)&gt;=1,B5789='112'!$K$9,OR($N5789='112'!$I$6,$O5789='112'!$I$6))),"x",""))</f>
        <v/>
      </c>
      <c r="U5789" s="79" t="str">
        <f>IF(ISERROR(FIND('112'!$M$9,G5789,1)),"",IF((AND(LEFT(G5789,2)=LEFT('112'!$M$9,2),B5789&lt;'112'!$K$9,$N5789='112'!$I$6)),"x",""))</f>
        <v/>
      </c>
      <c r="V5789" s="79" t="str">
        <f>IF(ISERROR(FIND('112'!$M$9,G5789,1)),"",IF((AND(RIGHT(G5789,2)=RIGHT('112'!$M$9,2),B5789&lt;'112'!$K$9,$O5789='112'!$I$6)),"x",""))</f>
        <v/>
      </c>
      <c r="W5789" s="79" t="str">
        <f>IF(AND('341-CT'!$H$9=H5789,OR(LEFT(N5789,3)=$W$7,LEFT(O5789,3)=$W$7)),"x","")</f>
        <v/>
      </c>
      <c r="X5789" s="79" t="str">
        <f>IF(OR(TH!N5789=TH!$X$7,O5789=TH!$X$7),"x","")</f>
        <v/>
      </c>
      <c r="Y5789" s="79" t="str">
        <f>IF(AND(OR(N5789="131",O5789="131"),H5789='131-CT'!$H$9),"x","")</f>
        <v/>
      </c>
      <c r="Z5789" s="79"/>
      <c r="AA5789" s="79" t="str">
        <f>IF(AND(MONTH(E5789)='IN-NX'!$J$5,'IN-NX'!$D$7=D5789),"x","")</f>
        <v/>
      </c>
      <c r="AB5789" s="79" t="str">
        <f>IF(AND(OR(LEFT(TH!N5789,2)="15",LEFT(TH!O5789,2)="15"),LEFT(TH!O5789,3)&lt;&gt;"111",'152-CT'!$J$8=TH!F5789),"x","")</f>
        <v/>
      </c>
      <c r="AC5789" s="79" t="str">
        <f>IF(AND(OR(LEFT(TH!N5789,2)="15",LEFT(TH!O5789,2)="15"),TK!$E$7=TH!F5789),"x","")</f>
        <v/>
      </c>
      <c r="AD5789" s="79" t="str">
        <f>IF(AND(N5789="1521",MONTH(C5789)='BK-NL'!$M$11),"x","")</f>
        <v/>
      </c>
    </row>
    <row r="5790" spans="1:30" ht="16.5" customHeight="1">
      <c r="A5790" s="318" t="str">
        <f>IF(B5790&lt;&gt;"",IF(AND(B5790='IN-TC'!$S$4,OR(TH!N5790="1111",TH!O5790="1111")),TH!D5790,""),"")</f>
        <v/>
      </c>
      <c r="B5790" s="60" t="str">
        <f t="shared" si="511"/>
        <v/>
      </c>
      <c r="C5790" s="301"/>
      <c r="D5790" s="301"/>
      <c r="E5790" s="301"/>
      <c r="F5790" s="446"/>
      <c r="G5790" s="64"/>
      <c r="H5790" s="69"/>
      <c r="I5790" s="385"/>
      <c r="J5790" s="392"/>
      <c r="K5790" s="385"/>
      <c r="L5790" s="392"/>
      <c r="M5790" s="62"/>
      <c r="N5790" s="63"/>
      <c r="O5790" s="63"/>
      <c r="P5790" s="79" t="str">
        <f>IF(AND('331-CT'!$E$7=TH!H5790,OR(N5790="331",O5790="331")),"x","")</f>
        <v/>
      </c>
      <c r="Q5790" s="79" t="str">
        <f>IF(AND(B5790='111'!$L$11,OR($N5790=$Q$7,$O5790=$Q$7)),"x","")</f>
        <v/>
      </c>
      <c r="R5790" s="79" t="str">
        <f>IF(AND($N5790=$Q$7,$B5790&lt;'111'!$L$11),"x","")</f>
        <v/>
      </c>
      <c r="S5790" s="79" t="str">
        <f>IF(AND($O5790=$Q$7,$B5790&lt;'111'!$L$11),"x","")</f>
        <v/>
      </c>
      <c r="T5790" s="79" t="str">
        <f>IF(ISERROR(FIND('112'!$M$9,G5790,1)),"",IF((AND(FIND('112'!$M$9,G5790,1)&gt;=1,B5790='112'!$K$9,OR($N5790='112'!$I$6,$O5790='112'!$I$6))),"x",""))</f>
        <v/>
      </c>
      <c r="U5790" s="79" t="str">
        <f>IF(ISERROR(FIND('112'!$M$9,G5790,1)),"",IF((AND(LEFT(G5790,2)=LEFT('112'!$M$9,2),B5790&lt;'112'!$K$9,$N5790='112'!$I$6)),"x",""))</f>
        <v/>
      </c>
      <c r="V5790" s="79" t="str">
        <f>IF(ISERROR(FIND('112'!$M$9,G5790,1)),"",IF((AND(RIGHT(G5790,2)=RIGHT('112'!$M$9,2),B5790&lt;'112'!$K$9,$O5790='112'!$I$6)),"x",""))</f>
        <v/>
      </c>
      <c r="W5790" s="79" t="str">
        <f>IF(AND('341-CT'!$H$9=H5790,OR(LEFT(N5790,3)=$W$7,LEFT(O5790,3)=$W$7)),"x","")</f>
        <v/>
      </c>
      <c r="X5790" s="79" t="str">
        <f>IF(OR(TH!N5790=TH!$X$7,O5790=TH!$X$7),"x","")</f>
        <v/>
      </c>
      <c r="Y5790" s="79" t="str">
        <f>IF(AND(OR(N5790="131",O5790="131"),H5790='131-CT'!$H$9),"x","")</f>
        <v/>
      </c>
      <c r="Z5790" s="79"/>
      <c r="AA5790" s="79" t="str">
        <f>IF(AND(MONTH(E5790)='IN-NX'!$J$5,'IN-NX'!$D$7=D5790),"x","")</f>
        <v/>
      </c>
      <c r="AB5790" s="79" t="str">
        <f>IF(AND(OR(LEFT(TH!N5790,2)="15",LEFT(TH!O5790,2)="15"),LEFT(TH!O5790,3)&lt;&gt;"111",'152-CT'!$J$8=TH!F5790),"x","")</f>
        <v/>
      </c>
      <c r="AC5790" s="79" t="str">
        <f>IF(AND(OR(LEFT(TH!N5790,2)="15",LEFT(TH!O5790,2)="15"),TK!$E$7=TH!F5790),"x","")</f>
        <v/>
      </c>
      <c r="AD5790" s="79" t="str">
        <f>IF(AND(N5790="1521",MONTH(C5790)='BK-NL'!$M$11),"x","")</f>
        <v/>
      </c>
    </row>
    <row r="5791" spans="1:30" ht="16.5" customHeight="1">
      <c r="A5791" s="318" t="str">
        <f>IF(B5791&lt;&gt;"",IF(AND(B5791='IN-TC'!$S$4,OR(TH!N5791="1111",TH!O5791="1111")),TH!D5791,""),"")</f>
        <v/>
      </c>
      <c r="B5791" s="60" t="str">
        <f t="shared" si="511"/>
        <v/>
      </c>
      <c r="C5791" s="301"/>
      <c r="D5791" s="301"/>
      <c r="E5791" s="301"/>
      <c r="F5791" s="446"/>
      <c r="G5791" s="64"/>
      <c r="H5791" s="69"/>
      <c r="I5791" s="385"/>
      <c r="J5791" s="392"/>
      <c r="K5791" s="385"/>
      <c r="L5791" s="392"/>
      <c r="M5791" s="62"/>
      <c r="N5791" s="63"/>
      <c r="O5791" s="63"/>
      <c r="P5791" s="79" t="str">
        <f>IF(AND('331-CT'!$E$7=TH!H5791,OR(N5791="331",O5791="331")),"x","")</f>
        <v/>
      </c>
      <c r="Q5791" s="79" t="str">
        <f>IF(AND(B5791='111'!$L$11,OR($N5791=$Q$7,$O5791=$Q$7)),"x","")</f>
        <v/>
      </c>
      <c r="R5791" s="79" t="str">
        <f>IF(AND($N5791=$Q$7,$B5791&lt;'111'!$L$11),"x","")</f>
        <v/>
      </c>
      <c r="S5791" s="79" t="str">
        <f>IF(AND($O5791=$Q$7,$B5791&lt;'111'!$L$11),"x","")</f>
        <v/>
      </c>
      <c r="T5791" s="79" t="str">
        <f>IF(ISERROR(FIND('112'!$M$9,G5791,1)),"",IF((AND(FIND('112'!$M$9,G5791,1)&gt;=1,B5791='112'!$K$9,OR($N5791='112'!$I$6,$O5791='112'!$I$6))),"x",""))</f>
        <v/>
      </c>
      <c r="U5791" s="79" t="str">
        <f>IF(ISERROR(FIND('112'!$M$9,G5791,1)),"",IF((AND(LEFT(G5791,2)=LEFT('112'!$M$9,2),B5791&lt;'112'!$K$9,$N5791='112'!$I$6)),"x",""))</f>
        <v/>
      </c>
      <c r="V5791" s="79" t="str">
        <f>IF(ISERROR(FIND('112'!$M$9,G5791,1)),"",IF((AND(RIGHT(G5791,2)=RIGHT('112'!$M$9,2),B5791&lt;'112'!$K$9,$O5791='112'!$I$6)),"x",""))</f>
        <v/>
      </c>
      <c r="W5791" s="79" t="str">
        <f>IF(AND('341-CT'!$H$9=H5791,OR(LEFT(N5791,3)=$W$7,LEFT(O5791,3)=$W$7)),"x","")</f>
        <v/>
      </c>
      <c r="X5791" s="79" t="str">
        <f>IF(OR(TH!N5791=TH!$X$7,O5791=TH!$X$7),"x","")</f>
        <v/>
      </c>
      <c r="Y5791" s="79" t="str">
        <f>IF(AND(OR(N5791="131",O5791="131"),H5791='131-CT'!$H$9),"x","")</f>
        <v/>
      </c>
      <c r="Z5791" s="79"/>
      <c r="AA5791" s="79" t="str">
        <f>IF(AND(MONTH(E5791)='IN-NX'!$J$5,'IN-NX'!$D$7=D5791),"x","")</f>
        <v/>
      </c>
      <c r="AB5791" s="79" t="str">
        <f>IF(AND(OR(LEFT(TH!N5791,2)="15",LEFT(TH!O5791,2)="15"),LEFT(TH!O5791,3)&lt;&gt;"111",'152-CT'!$J$8=TH!F5791),"x","")</f>
        <v/>
      </c>
      <c r="AC5791" s="79" t="str">
        <f>IF(AND(OR(LEFT(TH!N5791,2)="15",LEFT(TH!O5791,2)="15"),TK!$E$7=TH!F5791),"x","")</f>
        <v/>
      </c>
      <c r="AD5791" s="79" t="str">
        <f>IF(AND(N5791="1521",MONTH(C5791)='BK-NL'!$M$11),"x","")</f>
        <v/>
      </c>
    </row>
    <row r="5792" spans="1:30" ht="16.5" customHeight="1">
      <c r="A5792" s="318" t="str">
        <f>IF(B5792&lt;&gt;"",IF(AND(B5792='IN-TC'!$S$4,OR(TH!N5792="1111",TH!O5792="1111")),TH!D5792,""),"")</f>
        <v/>
      </c>
      <c r="B5792" s="60" t="str">
        <f t="shared" si="511"/>
        <v/>
      </c>
      <c r="C5792" s="301"/>
      <c r="D5792" s="301"/>
      <c r="E5792" s="301"/>
      <c r="F5792" s="446"/>
      <c r="G5792" s="766"/>
      <c r="H5792" s="69"/>
      <c r="I5792" s="385"/>
      <c r="J5792" s="392"/>
      <c r="K5792" s="385"/>
      <c r="L5792" s="392"/>
      <c r="M5792" s="62"/>
      <c r="N5792" s="63"/>
      <c r="O5792" s="63"/>
      <c r="P5792" s="79" t="str">
        <f>IF(AND('331-CT'!$E$7=TH!H5792,OR(N5792="331",O5792="331")),"x","")</f>
        <v/>
      </c>
      <c r="Q5792" s="79" t="str">
        <f>IF(AND(B5792='111'!$L$11,OR($N5792=$Q$7,$O5792=$Q$7)),"x","")</f>
        <v/>
      </c>
      <c r="R5792" s="79" t="str">
        <f>IF(AND($N5792=$Q$7,$B5792&lt;'111'!$L$11),"x","")</f>
        <v/>
      </c>
      <c r="S5792" s="79" t="str">
        <f>IF(AND($O5792=$Q$7,$B5792&lt;'111'!$L$11),"x","")</f>
        <v/>
      </c>
      <c r="T5792" s="79" t="str">
        <f>IF(ISERROR(FIND('112'!$M$9,G5792,1)),"",IF((AND(FIND('112'!$M$9,G5792,1)&gt;=1,B5792='112'!$K$9,OR($N5792='112'!$I$6,$O5792='112'!$I$6))),"x",""))</f>
        <v/>
      </c>
      <c r="U5792" s="79" t="str">
        <f>IF(ISERROR(FIND('112'!$M$9,G5792,1)),"",IF((AND(LEFT(G5792,2)=LEFT('112'!$M$9,2),B5792&lt;'112'!$K$9,$N5792='112'!$I$6)),"x",""))</f>
        <v/>
      </c>
      <c r="V5792" s="79" t="str">
        <f>IF(ISERROR(FIND('112'!$M$9,G5792,1)),"",IF((AND(RIGHT(G5792,2)=RIGHT('112'!$M$9,2),B5792&lt;'112'!$K$9,$O5792='112'!$I$6)),"x",""))</f>
        <v/>
      </c>
      <c r="W5792" s="79" t="str">
        <f>IF(AND('341-CT'!$H$9=H5792,OR(LEFT(N5792,3)=$W$7,LEFT(O5792,3)=$W$7)),"x","")</f>
        <v/>
      </c>
      <c r="X5792" s="79" t="str">
        <f>IF(OR(TH!N5792=TH!$X$7,O5792=TH!$X$7),"x","")</f>
        <v/>
      </c>
      <c r="Y5792" s="79" t="str">
        <f>IF(AND(OR(N5792="131",O5792="131"),H5792='131-CT'!$H$9),"x","")</f>
        <v/>
      </c>
      <c r="Z5792" s="79"/>
      <c r="AA5792" s="79" t="str">
        <f>IF(AND(MONTH(E5792)='IN-NX'!$J$5,'IN-NX'!$D$7=D5792),"x","")</f>
        <v/>
      </c>
      <c r="AB5792" s="79" t="str">
        <f>IF(AND(OR(LEFT(TH!N5792,2)="15",LEFT(TH!O5792,2)="15"),LEFT(TH!O5792,3)&lt;&gt;"111",'152-CT'!$J$8=TH!F5792),"x","")</f>
        <v/>
      </c>
      <c r="AC5792" s="79" t="str">
        <f>IF(AND(OR(LEFT(TH!N5792,2)="15",LEFT(TH!O5792,2)="15"),TK!$E$7=TH!F5792),"x","")</f>
        <v/>
      </c>
      <c r="AD5792" s="79" t="str">
        <f>IF(AND(N5792="1521",MONTH(C5792)='BK-NL'!$M$11),"x","")</f>
        <v/>
      </c>
    </row>
    <row r="5793" spans="1:30" ht="16.5" customHeight="1">
      <c r="A5793" s="318" t="str">
        <f>IF(B5793&lt;&gt;"",IF(AND(B5793='IN-TC'!$S$4,OR(TH!N5793="1111",TH!O5793="1111")),TH!D5793,""),"")</f>
        <v/>
      </c>
      <c r="B5793" s="60" t="str">
        <f t="shared" si="511"/>
        <v/>
      </c>
      <c r="C5793" s="301"/>
      <c r="D5793" s="301"/>
      <c r="E5793" s="301"/>
      <c r="F5793" s="446"/>
      <c r="G5793" s="766"/>
      <c r="H5793" s="69"/>
      <c r="I5793" s="385"/>
      <c r="J5793" s="392"/>
      <c r="K5793" s="385"/>
      <c r="L5793" s="392"/>
      <c r="M5793" s="62"/>
      <c r="N5793" s="63"/>
      <c r="O5793" s="63"/>
      <c r="P5793" s="79" t="str">
        <f>IF(AND('331-CT'!$E$7=TH!H5793,OR(N5793="331",O5793="331")),"x","")</f>
        <v/>
      </c>
      <c r="Q5793" s="79" t="str">
        <f>IF(AND(B5793='111'!$L$11,OR($N5793=$Q$7,$O5793=$Q$7)),"x","")</f>
        <v/>
      </c>
      <c r="R5793" s="79" t="str">
        <f>IF(AND($N5793=$Q$7,$B5793&lt;'111'!$L$11),"x","")</f>
        <v/>
      </c>
      <c r="S5793" s="79" t="str">
        <f>IF(AND($O5793=$Q$7,$B5793&lt;'111'!$L$11),"x","")</f>
        <v/>
      </c>
      <c r="T5793" s="79" t="str">
        <f>IF(ISERROR(FIND('112'!$M$9,G5793,1)),"",IF((AND(FIND('112'!$M$9,G5793,1)&gt;=1,B5793='112'!$K$9,OR($N5793='112'!$I$6,$O5793='112'!$I$6))),"x",""))</f>
        <v/>
      </c>
      <c r="U5793" s="79" t="str">
        <f>IF(ISERROR(FIND('112'!$M$9,G5793,1)),"",IF((AND(LEFT(G5793,2)=LEFT('112'!$M$9,2),B5793&lt;'112'!$K$9,$N5793='112'!$I$6)),"x",""))</f>
        <v/>
      </c>
      <c r="V5793" s="79" t="str">
        <f>IF(ISERROR(FIND('112'!$M$9,G5793,1)),"",IF((AND(RIGHT(G5793,2)=RIGHT('112'!$M$9,2),B5793&lt;'112'!$K$9,$O5793='112'!$I$6)),"x",""))</f>
        <v/>
      </c>
      <c r="W5793" s="79" t="str">
        <f>IF(AND('341-CT'!$H$9=H5793,OR(LEFT(N5793,3)=$W$7,LEFT(O5793,3)=$W$7)),"x","")</f>
        <v/>
      </c>
      <c r="X5793" s="79" t="str">
        <f>IF(OR(TH!N5793=TH!$X$7,O5793=TH!$X$7),"x","")</f>
        <v/>
      </c>
      <c r="Y5793" s="79" t="str">
        <f>IF(AND(OR(N5793="131",O5793="131"),H5793='131-CT'!$H$9),"x","")</f>
        <v/>
      </c>
      <c r="Z5793" s="79"/>
      <c r="AA5793" s="79" t="str">
        <f>IF(AND(MONTH(E5793)='IN-NX'!$J$5,'IN-NX'!$D$7=D5793),"x","")</f>
        <v/>
      </c>
      <c r="AB5793" s="79" t="str">
        <f>IF(AND(OR(LEFT(TH!N5793,2)="15",LEFT(TH!O5793,2)="15"),LEFT(TH!O5793,3)&lt;&gt;"111",'152-CT'!$J$8=TH!F5793),"x","")</f>
        <v/>
      </c>
      <c r="AC5793" s="79" t="str">
        <f>IF(AND(OR(LEFT(TH!N5793,2)="15",LEFT(TH!O5793,2)="15"),TK!$E$7=TH!F5793),"x","")</f>
        <v/>
      </c>
      <c r="AD5793" s="79" t="str">
        <f>IF(AND(N5793="1521",MONTH(C5793)='BK-NL'!$M$11),"x","")</f>
        <v/>
      </c>
    </row>
    <row r="5794" spans="1:30" ht="16.5" customHeight="1">
      <c r="A5794" s="318" t="str">
        <f>IF(B5794&lt;&gt;"",IF(AND(B5794='IN-TC'!$S$4,OR(TH!N5794="1111",TH!O5794="1111")),TH!D5794,""),"")</f>
        <v/>
      </c>
      <c r="B5794" s="60" t="str">
        <f t="shared" si="511"/>
        <v/>
      </c>
      <c r="C5794" s="301"/>
      <c r="D5794" s="301"/>
      <c r="E5794" s="301"/>
      <c r="F5794" s="446"/>
      <c r="G5794" s="766"/>
      <c r="H5794" s="69"/>
      <c r="I5794" s="385"/>
      <c r="J5794" s="392"/>
      <c r="K5794" s="385"/>
      <c r="L5794" s="392"/>
      <c r="M5794" s="62"/>
      <c r="N5794" s="63"/>
      <c r="O5794" s="63"/>
      <c r="P5794" s="79" t="str">
        <f>IF(AND('331-CT'!$E$7=TH!H5794,OR(N5794="331",O5794="331")),"x","")</f>
        <v/>
      </c>
      <c r="Q5794" s="79" t="str">
        <f>IF(AND(B5794='111'!$L$11,OR($N5794=$Q$7,$O5794=$Q$7)),"x","")</f>
        <v/>
      </c>
      <c r="R5794" s="79" t="str">
        <f>IF(AND($N5794=$Q$7,$B5794&lt;'111'!$L$11),"x","")</f>
        <v/>
      </c>
      <c r="S5794" s="79" t="str">
        <f>IF(AND($O5794=$Q$7,$B5794&lt;'111'!$L$11),"x","")</f>
        <v/>
      </c>
      <c r="T5794" s="79" t="str">
        <f>IF(ISERROR(FIND('112'!$M$9,G5794,1)),"",IF((AND(FIND('112'!$M$9,G5794,1)&gt;=1,B5794='112'!$K$9,OR($N5794='112'!$I$6,$O5794='112'!$I$6))),"x",""))</f>
        <v/>
      </c>
      <c r="U5794" s="79" t="str">
        <f>IF(ISERROR(FIND('112'!$M$9,G5794,1)),"",IF((AND(LEFT(G5794,2)=LEFT('112'!$M$9,2),B5794&lt;'112'!$K$9,$N5794='112'!$I$6)),"x",""))</f>
        <v/>
      </c>
      <c r="V5794" s="79" t="str">
        <f>IF(ISERROR(FIND('112'!$M$9,G5794,1)),"",IF((AND(RIGHT(G5794,2)=RIGHT('112'!$M$9,2),B5794&lt;'112'!$K$9,$O5794='112'!$I$6)),"x",""))</f>
        <v/>
      </c>
      <c r="W5794" s="79" t="str">
        <f>IF(AND('341-CT'!$H$9=H5794,OR(LEFT(N5794,3)=$W$7,LEFT(O5794,3)=$W$7)),"x","")</f>
        <v/>
      </c>
      <c r="X5794" s="79" t="str">
        <f>IF(OR(TH!N5794=TH!$X$7,O5794=TH!$X$7),"x","")</f>
        <v/>
      </c>
      <c r="Y5794" s="79" t="str">
        <f>IF(AND(OR(N5794="131",O5794="131"),H5794='131-CT'!$H$9),"x","")</f>
        <v/>
      </c>
      <c r="Z5794" s="79"/>
      <c r="AA5794" s="79" t="str">
        <f>IF(AND(MONTH(E5794)='IN-NX'!$J$5,'IN-NX'!$D$7=D5794),"x","")</f>
        <v/>
      </c>
      <c r="AB5794" s="79" t="str">
        <f>IF(AND(OR(LEFT(TH!N5794,2)="15",LEFT(TH!O5794,2)="15"),LEFT(TH!O5794,3)&lt;&gt;"111",'152-CT'!$J$8=TH!F5794),"x","")</f>
        <v/>
      </c>
      <c r="AC5794" s="79" t="str">
        <f>IF(AND(OR(LEFT(TH!N5794,2)="15",LEFT(TH!O5794,2)="15"),TK!$E$7=TH!F5794),"x","")</f>
        <v/>
      </c>
      <c r="AD5794" s="79" t="str">
        <f>IF(AND(N5794="1521",MONTH(C5794)='BK-NL'!$M$11),"x","")</f>
        <v/>
      </c>
    </row>
    <row r="5795" spans="1:30" ht="16.5" customHeight="1">
      <c r="A5795" s="318" t="str">
        <f>IF(B5795&lt;&gt;"",IF(AND(B5795='IN-TC'!$S$4,OR(TH!N5795="1111",TH!O5795="1111")),TH!D5795,""),"")</f>
        <v/>
      </c>
      <c r="B5795" s="60" t="str">
        <f t="shared" si="511"/>
        <v/>
      </c>
      <c r="C5795" s="301"/>
      <c r="D5795" s="301"/>
      <c r="E5795" s="301"/>
      <c r="F5795" s="446"/>
      <c r="G5795" s="766"/>
      <c r="H5795" s="69"/>
      <c r="I5795" s="385"/>
      <c r="J5795" s="392"/>
      <c r="K5795" s="385"/>
      <c r="L5795" s="392"/>
      <c r="M5795" s="62"/>
      <c r="N5795" s="63"/>
      <c r="O5795" s="63"/>
      <c r="P5795" s="79" t="str">
        <f>IF(AND('331-CT'!$E$7=TH!H5795,OR(N5795="331",O5795="331")),"x","")</f>
        <v/>
      </c>
      <c r="Q5795" s="79" t="str">
        <f>IF(AND(B5795='111'!$L$11,OR($N5795=$Q$7,$O5795=$Q$7)),"x","")</f>
        <v/>
      </c>
      <c r="R5795" s="79" t="str">
        <f>IF(AND($N5795=$Q$7,$B5795&lt;'111'!$L$11),"x","")</f>
        <v/>
      </c>
      <c r="S5795" s="79" t="str">
        <f>IF(AND($O5795=$Q$7,$B5795&lt;'111'!$L$11),"x","")</f>
        <v/>
      </c>
      <c r="T5795" s="79" t="str">
        <f>IF(ISERROR(FIND('112'!$M$9,G5795,1)),"",IF((AND(FIND('112'!$M$9,G5795,1)&gt;=1,B5795='112'!$K$9,OR($N5795='112'!$I$6,$O5795='112'!$I$6))),"x",""))</f>
        <v/>
      </c>
      <c r="U5795" s="79" t="str">
        <f>IF(ISERROR(FIND('112'!$M$9,G5795,1)),"",IF((AND(LEFT(G5795,2)=LEFT('112'!$M$9,2),B5795&lt;'112'!$K$9,$N5795='112'!$I$6)),"x",""))</f>
        <v/>
      </c>
      <c r="V5795" s="79" t="str">
        <f>IF(ISERROR(FIND('112'!$M$9,G5795,1)),"",IF((AND(RIGHT(G5795,2)=RIGHT('112'!$M$9,2),B5795&lt;'112'!$K$9,$O5795='112'!$I$6)),"x",""))</f>
        <v/>
      </c>
      <c r="W5795" s="79" t="str">
        <f>IF(AND('341-CT'!$H$9=H5795,OR(LEFT(N5795,3)=$W$7,LEFT(O5795,3)=$W$7)),"x","")</f>
        <v/>
      </c>
      <c r="X5795" s="79" t="str">
        <f>IF(OR(TH!N5795=TH!$X$7,O5795=TH!$X$7),"x","")</f>
        <v/>
      </c>
      <c r="Y5795" s="79" t="str">
        <f>IF(AND(OR(N5795="131",O5795="131"),H5795='131-CT'!$H$9),"x","")</f>
        <v/>
      </c>
      <c r="Z5795" s="79"/>
      <c r="AA5795" s="79" t="str">
        <f>IF(AND(MONTH(E5795)='IN-NX'!$J$5,'IN-NX'!$D$7=D5795),"x","")</f>
        <v/>
      </c>
      <c r="AB5795" s="79" t="str">
        <f>IF(AND(OR(LEFT(TH!N5795,2)="15",LEFT(TH!O5795,2)="15"),LEFT(TH!O5795,3)&lt;&gt;"111",'152-CT'!$J$8=TH!F5795),"x","")</f>
        <v/>
      </c>
      <c r="AC5795" s="79" t="str">
        <f>IF(AND(OR(LEFT(TH!N5795,2)="15",LEFT(TH!O5795,2)="15"),TK!$E$7=TH!F5795),"x","")</f>
        <v/>
      </c>
      <c r="AD5795" s="79" t="str">
        <f>IF(AND(N5795="1521",MONTH(C5795)='BK-NL'!$M$11),"x","")</f>
        <v/>
      </c>
    </row>
    <row r="5796" spans="1:30" ht="16.5" customHeight="1">
      <c r="A5796" s="318" t="str">
        <f>IF(B5796&lt;&gt;"",IF(AND(B5796='IN-TC'!$S$4,OR(TH!N5796="1111",TH!O5796="1111")),TH!D5796,""),"")</f>
        <v/>
      </c>
      <c r="B5796" s="60" t="str">
        <f t="shared" si="511"/>
        <v/>
      </c>
      <c r="C5796" s="301"/>
      <c r="D5796" s="301"/>
      <c r="E5796" s="301"/>
      <c r="F5796" s="446"/>
      <c r="G5796" s="766"/>
      <c r="H5796" s="69"/>
      <c r="I5796" s="385"/>
      <c r="J5796" s="392"/>
      <c r="K5796" s="385"/>
      <c r="L5796" s="392"/>
      <c r="M5796" s="62"/>
      <c r="N5796" s="63"/>
      <c r="O5796" s="63"/>
      <c r="P5796" s="79" t="str">
        <f>IF(AND('331-CT'!$E$7=TH!H5796,OR(N5796="331",O5796="331")),"x","")</f>
        <v/>
      </c>
      <c r="Q5796" s="79" t="str">
        <f>IF(AND(B5796='111'!$L$11,OR($N5796=$Q$7,$O5796=$Q$7)),"x","")</f>
        <v/>
      </c>
      <c r="R5796" s="79" t="str">
        <f>IF(AND($N5796=$Q$7,$B5796&lt;'111'!$L$11),"x","")</f>
        <v/>
      </c>
      <c r="S5796" s="79" t="str">
        <f>IF(AND($O5796=$Q$7,$B5796&lt;'111'!$L$11),"x","")</f>
        <v/>
      </c>
      <c r="T5796" s="79" t="str">
        <f>IF(ISERROR(FIND('112'!$M$9,G5796,1)),"",IF((AND(FIND('112'!$M$9,G5796,1)&gt;=1,B5796='112'!$K$9,OR($N5796='112'!$I$6,$O5796='112'!$I$6))),"x",""))</f>
        <v/>
      </c>
      <c r="U5796" s="79" t="str">
        <f>IF(ISERROR(FIND('112'!$M$9,G5796,1)),"",IF((AND(LEFT(G5796,2)=LEFT('112'!$M$9,2),B5796&lt;'112'!$K$9,$N5796='112'!$I$6)),"x",""))</f>
        <v/>
      </c>
      <c r="V5796" s="79" t="str">
        <f>IF(ISERROR(FIND('112'!$M$9,G5796,1)),"",IF((AND(RIGHT(G5796,2)=RIGHT('112'!$M$9,2),B5796&lt;'112'!$K$9,$O5796='112'!$I$6)),"x",""))</f>
        <v/>
      </c>
      <c r="W5796" s="79" t="str">
        <f>IF(AND('341-CT'!$H$9=H5796,OR(LEFT(N5796,3)=$W$7,LEFT(O5796,3)=$W$7)),"x","")</f>
        <v/>
      </c>
      <c r="X5796" s="79" t="str">
        <f>IF(OR(TH!N5796=TH!$X$7,O5796=TH!$X$7),"x","")</f>
        <v/>
      </c>
      <c r="Y5796" s="79" t="str">
        <f>IF(AND(OR(N5796="131",O5796="131"),H5796='131-CT'!$H$9),"x","")</f>
        <v/>
      </c>
      <c r="Z5796" s="79"/>
      <c r="AA5796" s="79" t="str">
        <f>IF(AND(MONTH(E5796)='IN-NX'!$J$5,'IN-NX'!$D$7=D5796),"x","")</f>
        <v/>
      </c>
      <c r="AB5796" s="79" t="str">
        <f>IF(AND(OR(LEFT(TH!N5796,2)="15",LEFT(TH!O5796,2)="15"),LEFT(TH!O5796,3)&lt;&gt;"111",'152-CT'!$J$8=TH!F5796),"x","")</f>
        <v/>
      </c>
      <c r="AC5796" s="79" t="str">
        <f>IF(AND(OR(LEFT(TH!N5796,2)="15",LEFT(TH!O5796,2)="15"),TK!$E$7=TH!F5796),"x","")</f>
        <v/>
      </c>
      <c r="AD5796" s="79" t="str">
        <f>IF(AND(N5796="1521",MONTH(C5796)='BK-NL'!$M$11),"x","")</f>
        <v/>
      </c>
    </row>
    <row r="5797" spans="1:30" ht="16.5" customHeight="1">
      <c r="A5797" s="318" t="str">
        <f>IF(B5797&lt;&gt;"",IF(AND(B5797='IN-TC'!$S$4,OR(TH!N5797="1111",TH!O5797="1111")),TH!D5797,""),"")</f>
        <v/>
      </c>
      <c r="B5797" s="60" t="str">
        <f t="shared" si="511"/>
        <v/>
      </c>
      <c r="C5797" s="301"/>
      <c r="D5797" s="301"/>
      <c r="E5797" s="301"/>
      <c r="F5797" s="446"/>
      <c r="G5797" s="766"/>
      <c r="H5797" s="69"/>
      <c r="I5797" s="385"/>
      <c r="J5797" s="392"/>
      <c r="K5797" s="385"/>
      <c r="L5797" s="392"/>
      <c r="M5797" s="62"/>
      <c r="N5797" s="63"/>
      <c r="O5797" s="63"/>
      <c r="P5797" s="79" t="str">
        <f>IF(AND('331-CT'!$E$7=TH!H5797,OR(N5797="331",O5797="331")),"x","")</f>
        <v/>
      </c>
      <c r="Q5797" s="79" t="str">
        <f>IF(AND(B5797='111'!$L$11,OR($N5797=$Q$7,$O5797=$Q$7)),"x","")</f>
        <v/>
      </c>
      <c r="R5797" s="79" t="str">
        <f>IF(AND($N5797=$Q$7,$B5797&lt;'111'!$L$11),"x","")</f>
        <v/>
      </c>
      <c r="S5797" s="79" t="str">
        <f>IF(AND($O5797=$Q$7,$B5797&lt;'111'!$L$11),"x","")</f>
        <v/>
      </c>
      <c r="T5797" s="79" t="str">
        <f>IF(ISERROR(FIND('112'!$M$9,G5797,1)),"",IF((AND(FIND('112'!$M$9,G5797,1)&gt;=1,B5797='112'!$K$9,OR($N5797='112'!$I$6,$O5797='112'!$I$6))),"x",""))</f>
        <v/>
      </c>
      <c r="U5797" s="79" t="str">
        <f>IF(ISERROR(FIND('112'!$M$9,G5797,1)),"",IF((AND(LEFT(G5797,2)=LEFT('112'!$M$9,2),B5797&lt;'112'!$K$9,$N5797='112'!$I$6)),"x",""))</f>
        <v/>
      </c>
      <c r="V5797" s="79" t="str">
        <f>IF(ISERROR(FIND('112'!$M$9,G5797,1)),"",IF((AND(RIGHT(G5797,2)=RIGHT('112'!$M$9,2),B5797&lt;'112'!$K$9,$O5797='112'!$I$6)),"x",""))</f>
        <v/>
      </c>
      <c r="W5797" s="79" t="str">
        <f>IF(AND('341-CT'!$H$9=H5797,OR(LEFT(N5797,3)=$W$7,LEFT(O5797,3)=$W$7)),"x","")</f>
        <v/>
      </c>
      <c r="X5797" s="79" t="str">
        <f>IF(OR(TH!N5797=TH!$X$7,O5797=TH!$X$7),"x","")</f>
        <v/>
      </c>
      <c r="Y5797" s="79" t="str">
        <f>IF(AND(OR(N5797="131",O5797="131"),H5797='131-CT'!$H$9),"x","")</f>
        <v/>
      </c>
      <c r="Z5797" s="79"/>
      <c r="AA5797" s="79" t="str">
        <f>IF(AND(MONTH(E5797)='IN-NX'!$J$5,'IN-NX'!$D$7=D5797),"x","")</f>
        <v/>
      </c>
      <c r="AB5797" s="79" t="str">
        <f>IF(AND(OR(LEFT(TH!N5797,2)="15",LEFT(TH!O5797,2)="15"),LEFT(TH!O5797,3)&lt;&gt;"111",'152-CT'!$J$8=TH!F5797),"x","")</f>
        <v/>
      </c>
      <c r="AC5797" s="79" t="str">
        <f>IF(AND(OR(LEFT(TH!N5797,2)="15",LEFT(TH!O5797,2)="15"),TK!$E$7=TH!F5797),"x","")</f>
        <v/>
      </c>
      <c r="AD5797" s="79" t="str">
        <f>IF(AND(N5797="1521",MONTH(C5797)='BK-NL'!$M$11),"x","")</f>
        <v/>
      </c>
    </row>
    <row r="5798" spans="1:30" ht="16.5" customHeight="1">
      <c r="A5798" s="318" t="str">
        <f>IF(B5798&lt;&gt;"",IF(AND(B5798='IN-TC'!$S$4,OR(TH!N5798="1111",TH!O5798="1111")),TH!D5798,""),"")</f>
        <v/>
      </c>
      <c r="B5798" s="60" t="str">
        <f t="shared" si="511"/>
        <v/>
      </c>
      <c r="C5798" s="301"/>
      <c r="D5798" s="301"/>
      <c r="E5798" s="301"/>
      <c r="F5798" s="446"/>
      <c r="G5798" s="302"/>
      <c r="H5798" s="303"/>
      <c r="I5798" s="385"/>
      <c r="J5798" s="392"/>
      <c r="K5798" s="385"/>
      <c r="L5798" s="392"/>
      <c r="M5798" s="62"/>
      <c r="N5798" s="63"/>
      <c r="O5798" s="63"/>
      <c r="P5798" s="79" t="str">
        <f>IF(AND('331-CT'!$E$7=TH!H5798,OR(N5798="331",O5798="331")),"x","")</f>
        <v/>
      </c>
      <c r="Q5798" s="79" t="str">
        <f>IF(AND(B5798='111'!$L$11,OR($N5798=$Q$7,$O5798=$Q$7)),"x","")</f>
        <v/>
      </c>
      <c r="R5798" s="79" t="str">
        <f>IF(AND($N5798=$Q$7,$B5798&lt;'111'!$L$11),"x","")</f>
        <v/>
      </c>
      <c r="S5798" s="79" t="str">
        <f>IF(AND($O5798=$Q$7,$B5798&lt;'111'!$L$11),"x","")</f>
        <v/>
      </c>
      <c r="T5798" s="79" t="str">
        <f>IF(ISERROR(FIND('112'!$M$9,G5798,1)),"",IF((AND(FIND('112'!$M$9,G5798,1)&gt;=1,B5798='112'!$K$9,OR($N5798='112'!$I$6,$O5798='112'!$I$6))),"x",""))</f>
        <v/>
      </c>
      <c r="U5798" s="79" t="str">
        <f>IF(ISERROR(FIND('112'!$M$9,G5798,1)),"",IF((AND(LEFT(G5798,2)=LEFT('112'!$M$9,2),B5798&lt;'112'!$K$9,$N5798='112'!$I$6)),"x",""))</f>
        <v/>
      </c>
      <c r="V5798" s="79" t="str">
        <f>IF(ISERROR(FIND('112'!$M$9,G5798,1)),"",IF((AND(RIGHT(G5798,2)=RIGHT('112'!$M$9,2),B5798&lt;'112'!$K$9,$O5798='112'!$I$6)),"x",""))</f>
        <v/>
      </c>
      <c r="W5798" s="79" t="str">
        <f>IF(AND('341-CT'!$H$9=H5798,OR(LEFT(N5798,3)=$W$7,LEFT(O5798,3)=$W$7)),"x","")</f>
        <v/>
      </c>
      <c r="X5798" s="79" t="str">
        <f>IF(OR(TH!N5798=TH!$X$7,O5798=TH!$X$7),"x","")</f>
        <v/>
      </c>
      <c r="Y5798" s="79" t="str">
        <f>IF(AND(OR(N5798="131",O5798="131"),H5798='131-CT'!$H$9),"x","")</f>
        <v/>
      </c>
      <c r="Z5798" s="79"/>
      <c r="AA5798" s="79" t="str">
        <f>IF(AND(MONTH(E5798)='IN-NX'!$J$5,'IN-NX'!$D$7=D5798),"x","")</f>
        <v/>
      </c>
      <c r="AB5798" s="79" t="str">
        <f>IF(AND(OR(LEFT(TH!N5798,2)="15",LEFT(TH!O5798,2)="15"),LEFT(TH!O5798,3)&lt;&gt;"111",'152-CT'!$J$8=TH!F5798),"x","")</f>
        <v/>
      </c>
      <c r="AC5798" s="79" t="str">
        <f>IF(AND(OR(LEFT(TH!N5798,2)="15",LEFT(TH!O5798,2)="15"),TK!$E$7=TH!F5798),"x","")</f>
        <v/>
      </c>
      <c r="AD5798" s="79" t="str">
        <f>IF(AND(N5798="1521",MONTH(C5798)='BK-NL'!$M$11),"x","")</f>
        <v/>
      </c>
    </row>
    <row r="5799" spans="1:30" ht="16.5" customHeight="1">
      <c r="A5799" s="318" t="str">
        <f>IF(B5799&lt;&gt;"",IF(AND(B5799='IN-TC'!$S$4,OR(TH!N5799="1111",TH!O5799="1111")),TH!D5799,""),"")</f>
        <v/>
      </c>
      <c r="B5799" s="60" t="str">
        <f t="shared" si="511"/>
        <v/>
      </c>
      <c r="C5799" s="301"/>
      <c r="D5799" s="301"/>
      <c r="E5799" s="301"/>
      <c r="F5799" s="446"/>
      <c r="G5799" s="769"/>
      <c r="H5799" s="303"/>
      <c r="I5799" s="385"/>
      <c r="J5799" s="392"/>
      <c r="K5799" s="385"/>
      <c r="L5799" s="392"/>
      <c r="M5799" s="62"/>
      <c r="N5799" s="304"/>
      <c r="O5799" s="63"/>
      <c r="P5799" s="79" t="str">
        <f>IF(AND('331-CT'!$E$7=TH!H5799,OR(N5799="331",O5799="331")),"x","")</f>
        <v/>
      </c>
      <c r="Q5799" s="79" t="str">
        <f>IF(AND(B5799='111'!$L$11,OR($N5799=$Q$7,$O5799=$Q$7)),"x","")</f>
        <v/>
      </c>
      <c r="R5799" s="79" t="str">
        <f>IF(AND($N5799=$Q$7,$B5799&lt;'111'!$L$11),"x","")</f>
        <v/>
      </c>
      <c r="S5799" s="79" t="str">
        <f>IF(AND($O5799=$Q$7,$B5799&lt;'111'!$L$11),"x","")</f>
        <v/>
      </c>
      <c r="T5799" s="79" t="str">
        <f>IF(ISERROR(FIND('112'!$M$9,G5799,1)),"",IF((AND(FIND('112'!$M$9,G5799,1)&gt;=1,B5799='112'!$K$9,OR($N5799='112'!$I$6,$O5799='112'!$I$6))),"x",""))</f>
        <v/>
      </c>
      <c r="U5799" s="79" t="str">
        <f>IF(ISERROR(FIND('112'!$M$9,G5799,1)),"",IF((AND(LEFT(G5799,2)=LEFT('112'!$M$9,2),B5799&lt;'112'!$K$9,$N5799='112'!$I$6)),"x",""))</f>
        <v/>
      </c>
      <c r="V5799" s="79" t="str">
        <f>IF(ISERROR(FIND('112'!$M$9,G5799,1)),"",IF((AND(RIGHT(G5799,2)=RIGHT('112'!$M$9,2),B5799&lt;'112'!$K$9,$O5799='112'!$I$6)),"x",""))</f>
        <v/>
      </c>
      <c r="W5799" s="79" t="str">
        <f>IF(AND('341-CT'!$H$9=H5799,OR(LEFT(N5799,3)=$W$7,LEFT(O5799,3)=$W$7)),"x","")</f>
        <v/>
      </c>
      <c r="X5799" s="79" t="str">
        <f>IF(OR(TH!N5799=TH!$X$7,O5799=TH!$X$7),"x","")</f>
        <v/>
      </c>
      <c r="Y5799" s="79" t="str">
        <f>IF(AND(OR(N5799="131",O5799="131"),H5799='131-CT'!$H$9),"x","")</f>
        <v/>
      </c>
      <c r="Z5799" s="79"/>
      <c r="AA5799" s="79" t="str">
        <f>IF(AND(MONTH(E5799)='IN-NX'!$J$5,'IN-NX'!$D$7=D5799),"x","")</f>
        <v/>
      </c>
      <c r="AB5799" s="79" t="str">
        <f>IF(AND(OR(LEFT(TH!N5799,2)="15",LEFT(TH!O5799,2)="15"),LEFT(TH!O5799,3)&lt;&gt;"111",'152-CT'!$J$8=TH!F5799),"x","")</f>
        <v/>
      </c>
      <c r="AC5799" s="79" t="str">
        <f>IF(AND(OR(LEFT(TH!N5799,2)="15",LEFT(TH!O5799,2)="15"),TK!$E$7=TH!F5799),"x","")</f>
        <v/>
      </c>
      <c r="AD5799" s="79" t="str">
        <f>IF(AND(N5799="1521",MONTH(C5799)='BK-NL'!$M$11),"x","")</f>
        <v/>
      </c>
    </row>
    <row r="5800" spans="1:30" ht="16.5" customHeight="1">
      <c r="A5800" s="318" t="str">
        <f>IF(B5800&lt;&gt;"",IF(AND(B5800='IN-TC'!$S$4,OR(TH!N5800="1111",TH!O5800="1111")),TH!D5800,""),"")</f>
        <v/>
      </c>
      <c r="B5800" s="60" t="str">
        <f t="shared" si="511"/>
        <v/>
      </c>
      <c r="C5800" s="301"/>
      <c r="D5800" s="301"/>
      <c r="E5800" s="301"/>
      <c r="F5800" s="446"/>
      <c r="G5800" s="769"/>
      <c r="H5800" s="303"/>
      <c r="I5800" s="385"/>
      <c r="J5800" s="392"/>
      <c r="K5800" s="385"/>
      <c r="L5800" s="392"/>
      <c r="M5800" s="62"/>
      <c r="N5800" s="304"/>
      <c r="O5800" s="63"/>
      <c r="P5800" s="79" t="str">
        <f>IF(AND('331-CT'!$E$7=TH!H5800,OR(N5800="331",O5800="331")),"x","")</f>
        <v/>
      </c>
      <c r="Q5800" s="79" t="str">
        <f>IF(AND(B5800='111'!$L$11,OR($N5800=$Q$7,$O5800=$Q$7)),"x","")</f>
        <v/>
      </c>
      <c r="R5800" s="79" t="str">
        <f>IF(AND($N5800=$Q$7,$B5800&lt;'111'!$L$11),"x","")</f>
        <v/>
      </c>
      <c r="S5800" s="79" t="str">
        <f>IF(AND($O5800=$Q$7,$B5800&lt;'111'!$L$11),"x","")</f>
        <v/>
      </c>
      <c r="T5800" s="79" t="str">
        <f>IF(ISERROR(FIND('112'!$M$9,G5800,1)),"",IF((AND(FIND('112'!$M$9,G5800,1)&gt;=1,B5800='112'!$K$9,OR($N5800='112'!$I$6,$O5800='112'!$I$6))),"x",""))</f>
        <v/>
      </c>
      <c r="U5800" s="79" t="str">
        <f>IF(ISERROR(FIND('112'!$M$9,G5800,1)),"",IF((AND(LEFT(G5800,2)=LEFT('112'!$M$9,2),B5800&lt;'112'!$K$9,$N5800='112'!$I$6)),"x",""))</f>
        <v/>
      </c>
      <c r="V5800" s="79" t="str">
        <f>IF(ISERROR(FIND('112'!$M$9,G5800,1)),"",IF((AND(RIGHT(G5800,2)=RIGHT('112'!$M$9,2),B5800&lt;'112'!$K$9,$O5800='112'!$I$6)),"x",""))</f>
        <v/>
      </c>
      <c r="W5800" s="79" t="str">
        <f>IF(AND('341-CT'!$H$9=H5800,OR(LEFT(N5800,3)=$W$7,LEFT(O5800,3)=$W$7)),"x","")</f>
        <v/>
      </c>
      <c r="X5800" s="79" t="str">
        <f>IF(OR(TH!N5800=TH!$X$7,O5800=TH!$X$7),"x","")</f>
        <v/>
      </c>
      <c r="Y5800" s="79" t="str">
        <f>IF(AND(OR(N5800="131",O5800="131"),H5800='131-CT'!$H$9),"x","")</f>
        <v/>
      </c>
      <c r="Z5800" s="79"/>
      <c r="AA5800" s="79" t="str">
        <f>IF(AND(MONTH(E5800)='IN-NX'!$J$5,'IN-NX'!$D$7=D5800),"x","")</f>
        <v/>
      </c>
      <c r="AB5800" s="79" t="str">
        <f>IF(AND(OR(LEFT(TH!N5800,2)="15",LEFT(TH!O5800,2)="15"),LEFT(TH!O5800,3)&lt;&gt;"111",'152-CT'!$J$8=TH!F5800),"x","")</f>
        <v/>
      </c>
      <c r="AC5800" s="79" t="str">
        <f>IF(AND(OR(LEFT(TH!N5800,2)="15",LEFT(TH!O5800,2)="15"),TK!$E$7=TH!F5800),"x","")</f>
        <v/>
      </c>
      <c r="AD5800" s="79" t="str">
        <f>IF(AND(N5800="1521",MONTH(C5800)='BK-NL'!$M$11),"x","")</f>
        <v/>
      </c>
    </row>
    <row r="5801" spans="1:30" ht="16.5" customHeight="1">
      <c r="A5801" s="318" t="str">
        <f>IF(B5801&lt;&gt;"",IF(AND(B5801='IN-TC'!$S$4,OR(TH!N5801="1111",TH!O5801="1111")),TH!D5801,""),"")</f>
        <v/>
      </c>
      <c r="B5801" s="60" t="str">
        <f t="shared" si="511"/>
        <v/>
      </c>
      <c r="C5801" s="301"/>
      <c r="D5801" s="301"/>
      <c r="E5801" s="301"/>
      <c r="F5801" s="446"/>
      <c r="G5801" s="769"/>
      <c r="H5801" s="303"/>
      <c r="I5801" s="385"/>
      <c r="J5801" s="392"/>
      <c r="K5801" s="385"/>
      <c r="L5801" s="392"/>
      <c r="M5801" s="62"/>
      <c r="N5801" s="304"/>
      <c r="O5801" s="63"/>
      <c r="P5801" s="79" t="str">
        <f>IF(AND('331-CT'!$E$7=TH!H5801,OR(N5801="331",O5801="331")),"x","")</f>
        <v/>
      </c>
      <c r="Q5801" s="79" t="str">
        <f>IF(AND(B5801='111'!$L$11,OR($N5801=$Q$7,$O5801=$Q$7)),"x","")</f>
        <v/>
      </c>
      <c r="R5801" s="79" t="str">
        <f>IF(AND($N5801=$Q$7,$B5801&lt;'111'!$L$11),"x","")</f>
        <v/>
      </c>
      <c r="S5801" s="79" t="str">
        <f>IF(AND($O5801=$Q$7,$B5801&lt;'111'!$L$11),"x","")</f>
        <v/>
      </c>
      <c r="T5801" s="79" t="str">
        <f>IF(ISERROR(FIND('112'!$M$9,G5801,1)),"",IF((AND(FIND('112'!$M$9,G5801,1)&gt;=1,B5801='112'!$K$9,OR($N5801='112'!$I$6,$O5801='112'!$I$6))),"x",""))</f>
        <v/>
      </c>
      <c r="U5801" s="79" t="str">
        <f>IF(ISERROR(FIND('112'!$M$9,G5801,1)),"",IF((AND(LEFT(G5801,2)=LEFT('112'!$M$9,2),B5801&lt;'112'!$K$9,$N5801='112'!$I$6)),"x",""))</f>
        <v/>
      </c>
      <c r="V5801" s="79" t="str">
        <f>IF(ISERROR(FIND('112'!$M$9,G5801,1)),"",IF((AND(RIGHT(G5801,2)=RIGHT('112'!$M$9,2),B5801&lt;'112'!$K$9,$O5801='112'!$I$6)),"x",""))</f>
        <v/>
      </c>
      <c r="W5801" s="79" t="str">
        <f>IF(AND('341-CT'!$H$9=H5801,OR(LEFT(N5801,3)=$W$7,LEFT(O5801,3)=$W$7)),"x","")</f>
        <v/>
      </c>
      <c r="X5801" s="79" t="str">
        <f>IF(OR(TH!N5801=TH!$X$7,O5801=TH!$X$7),"x","")</f>
        <v/>
      </c>
      <c r="Y5801" s="79" t="str">
        <f>IF(AND(OR(N5801="131",O5801="131"),H5801='131-CT'!$H$9),"x","")</f>
        <v/>
      </c>
      <c r="Z5801" s="79"/>
      <c r="AA5801" s="79" t="str">
        <f>IF(AND(MONTH(E5801)='IN-NX'!$J$5,'IN-NX'!$D$7=D5801),"x","")</f>
        <v/>
      </c>
      <c r="AB5801" s="79" t="str">
        <f>IF(AND(OR(LEFT(TH!N5801,2)="15",LEFT(TH!O5801,2)="15"),LEFT(TH!O5801,3)&lt;&gt;"111",'152-CT'!$J$8=TH!F5801),"x","")</f>
        <v/>
      </c>
      <c r="AC5801" s="79" t="str">
        <f>IF(AND(OR(LEFT(TH!N5801,2)="15",LEFT(TH!O5801,2)="15"),TK!$E$7=TH!F5801),"x","")</f>
        <v/>
      </c>
      <c r="AD5801" s="79" t="str">
        <f>IF(AND(N5801="1521",MONTH(C5801)='BK-NL'!$M$11),"x","")</f>
        <v/>
      </c>
    </row>
    <row r="5802" spans="1:30" ht="16.5" customHeight="1">
      <c r="A5802" s="318" t="str">
        <f>IF(B5802&lt;&gt;"",IF(AND(B5802='IN-TC'!$S$4,OR(TH!N5802="1111",TH!O5802="1111")),TH!D5802,""),"")</f>
        <v/>
      </c>
      <c r="B5802" s="60" t="str">
        <f t="shared" si="511"/>
        <v/>
      </c>
      <c r="C5802" s="301"/>
      <c r="D5802" s="301"/>
      <c r="E5802" s="301"/>
      <c r="F5802" s="446"/>
      <c r="G5802" s="769"/>
      <c r="H5802" s="303"/>
      <c r="I5802" s="385"/>
      <c r="J5802" s="392"/>
      <c r="K5802" s="385"/>
      <c r="L5802" s="392"/>
      <c r="M5802" s="62"/>
      <c r="N5802" s="304"/>
      <c r="O5802" s="63"/>
      <c r="P5802" s="79" t="str">
        <f>IF(AND('331-CT'!$E$7=TH!H5802,OR(N5802="331",O5802="331")),"x","")</f>
        <v/>
      </c>
      <c r="Q5802" s="79" t="str">
        <f>IF(AND(B5802='111'!$L$11,OR($N5802=$Q$7,$O5802=$Q$7)),"x","")</f>
        <v/>
      </c>
      <c r="R5802" s="79" t="str">
        <f>IF(AND($N5802=$Q$7,$B5802&lt;'111'!$L$11),"x","")</f>
        <v/>
      </c>
      <c r="S5802" s="79" t="str">
        <f>IF(AND($O5802=$Q$7,$B5802&lt;'111'!$L$11),"x","")</f>
        <v/>
      </c>
      <c r="T5802" s="79" t="str">
        <f>IF(ISERROR(FIND('112'!$M$9,G5802,1)),"",IF((AND(FIND('112'!$M$9,G5802,1)&gt;=1,B5802='112'!$K$9,OR($N5802='112'!$I$6,$O5802='112'!$I$6))),"x",""))</f>
        <v/>
      </c>
      <c r="U5802" s="79" t="str">
        <f>IF(ISERROR(FIND('112'!$M$9,G5802,1)),"",IF((AND(LEFT(G5802,2)=LEFT('112'!$M$9,2),B5802&lt;'112'!$K$9,$N5802='112'!$I$6)),"x",""))</f>
        <v/>
      </c>
      <c r="V5802" s="79" t="str">
        <f>IF(ISERROR(FIND('112'!$M$9,G5802,1)),"",IF((AND(RIGHT(G5802,2)=RIGHT('112'!$M$9,2),B5802&lt;'112'!$K$9,$O5802='112'!$I$6)),"x",""))</f>
        <v/>
      </c>
      <c r="W5802" s="79" t="str">
        <f>IF(AND('341-CT'!$H$9=H5802,OR(LEFT(N5802,3)=$W$7,LEFT(O5802,3)=$W$7)),"x","")</f>
        <v/>
      </c>
      <c r="X5802" s="79" t="str">
        <f>IF(OR(TH!N5802=TH!$X$7,O5802=TH!$X$7),"x","")</f>
        <v/>
      </c>
      <c r="Y5802" s="79" t="str">
        <f>IF(AND(OR(N5802="131",O5802="131"),H5802='131-CT'!$H$9),"x","")</f>
        <v/>
      </c>
      <c r="Z5802" s="79"/>
      <c r="AA5802" s="79" t="str">
        <f>IF(AND(MONTH(E5802)='IN-NX'!$J$5,'IN-NX'!$D$7=D5802),"x","")</f>
        <v/>
      </c>
      <c r="AB5802" s="79" t="str">
        <f>IF(AND(OR(LEFT(TH!N5802,2)="15",LEFT(TH!O5802,2)="15"),LEFT(TH!O5802,3)&lt;&gt;"111",'152-CT'!$J$8=TH!F5802),"x","")</f>
        <v/>
      </c>
      <c r="AC5802" s="79" t="str">
        <f>IF(AND(OR(LEFT(TH!N5802,2)="15",LEFT(TH!O5802,2)="15"),TK!$E$7=TH!F5802),"x","")</f>
        <v/>
      </c>
      <c r="AD5802" s="79" t="str">
        <f>IF(AND(N5802="1521",MONTH(C5802)='BK-NL'!$M$11),"x","")</f>
        <v/>
      </c>
    </row>
    <row r="5803" spans="1:30" ht="16.5" customHeight="1">
      <c r="A5803" s="318" t="str">
        <f>IF(B5803&lt;&gt;"",IF(AND(B5803='IN-TC'!$S$4,OR(TH!N5803="1111",TH!O5803="1111")),TH!D5803,""),"")</f>
        <v/>
      </c>
      <c r="B5803" s="60" t="str">
        <f t="shared" si="511"/>
        <v/>
      </c>
      <c r="C5803" s="61"/>
      <c r="D5803" s="301"/>
      <c r="E5803" s="61"/>
      <c r="F5803" s="446"/>
      <c r="G5803" s="64"/>
      <c r="H5803" s="321"/>
      <c r="I5803" s="385"/>
      <c r="J5803" s="392"/>
      <c r="K5803" s="385"/>
      <c r="L5803" s="392"/>
      <c r="M5803" s="62"/>
      <c r="N5803" s="63"/>
      <c r="O5803" s="63"/>
      <c r="P5803" s="79" t="str">
        <f>IF(AND('331-CT'!$E$7=TH!H5803,OR(N5803="331",O5803="331")),"x","")</f>
        <v/>
      </c>
      <c r="Q5803" s="79" t="str">
        <f>IF(AND(B5803='111'!$L$11,OR($N5803=$Q$7,$O5803=$Q$7)),"x","")</f>
        <v/>
      </c>
      <c r="R5803" s="79" t="str">
        <f>IF(AND($N5803=$Q$7,$B5803&lt;'111'!$L$11),"x","")</f>
        <v/>
      </c>
      <c r="S5803" s="79" t="str">
        <f>IF(AND($O5803=$Q$7,$B5803&lt;'111'!$L$11),"x","")</f>
        <v/>
      </c>
      <c r="T5803" s="79" t="str">
        <f>IF(ISERROR(FIND('112'!$M$9,G5803,1)),"",IF((AND(FIND('112'!$M$9,G5803,1)&gt;=1,B5803='112'!$K$9,OR($N5803='112'!$I$6,$O5803='112'!$I$6))),"x",""))</f>
        <v/>
      </c>
      <c r="U5803" s="79" t="str">
        <f>IF(ISERROR(FIND('112'!$M$9,G5803,1)),"",IF((AND(LEFT(G5803,2)=LEFT('112'!$M$9,2),B5803&lt;'112'!$K$9,$N5803='112'!$I$6)),"x",""))</f>
        <v/>
      </c>
      <c r="V5803" s="79" t="str">
        <f>IF(ISERROR(FIND('112'!$M$9,G5803,1)),"",IF((AND(RIGHT(G5803,2)=RIGHT('112'!$M$9,2),B5803&lt;'112'!$K$9,$O5803='112'!$I$6)),"x",""))</f>
        <v/>
      </c>
      <c r="W5803" s="79" t="str">
        <f>IF(AND('341-CT'!$H$9=H5803,OR(LEFT(N5803,3)=$W$7,LEFT(O5803,3)=$W$7)),"x","")</f>
        <v/>
      </c>
      <c r="X5803" s="79" t="str">
        <f>IF(OR(TH!N5803=TH!$X$7,O5803=TH!$X$7),"x","")</f>
        <v/>
      </c>
      <c r="Y5803" s="79" t="str">
        <f>IF(AND(OR(N5803="131",O5803="131"),H5803='131-CT'!$H$9),"x","")</f>
        <v/>
      </c>
      <c r="Z5803" s="79"/>
      <c r="AA5803" s="79" t="str">
        <f>IF(AND(MONTH(E5803)='IN-NX'!$J$5,'IN-NX'!$D$7=D5803),"x","")</f>
        <v/>
      </c>
      <c r="AB5803" s="79" t="str">
        <f>IF(AND(OR(LEFT(TH!N5803,2)="15",LEFT(TH!O5803,2)="15"),LEFT(TH!O5803,3)&lt;&gt;"111",'152-CT'!$J$8=TH!F5803),"x","")</f>
        <v/>
      </c>
      <c r="AC5803" s="79" t="str">
        <f>IF(AND(OR(LEFT(TH!N5803,2)="15",LEFT(TH!O5803,2)="15"),TK!$E$7=TH!F5803),"x","")</f>
        <v/>
      </c>
      <c r="AD5803" s="79" t="str">
        <f>IF(AND(N5803="1521",MONTH(C5803)='BK-NL'!$M$11),"x","")</f>
        <v/>
      </c>
    </row>
    <row r="5804" spans="1:30" ht="16.5" customHeight="1">
      <c r="A5804" s="318" t="str">
        <f>IF(B5804&lt;&gt;"",IF(AND(B5804='IN-TC'!$S$4,OR(TH!N5804="1111",TH!O5804="1111")),TH!D5804,""),"")</f>
        <v/>
      </c>
      <c r="B5804" s="60" t="str">
        <f t="shared" si="511"/>
        <v/>
      </c>
      <c r="C5804" s="61"/>
      <c r="D5804" s="301"/>
      <c r="E5804" s="61"/>
      <c r="F5804" s="446"/>
      <c r="G5804" s="64"/>
      <c r="H5804" s="69"/>
      <c r="I5804" s="385"/>
      <c r="J5804" s="392"/>
      <c r="K5804" s="385"/>
      <c r="L5804" s="392"/>
      <c r="M5804" s="62"/>
      <c r="N5804" s="63"/>
      <c r="O5804" s="63"/>
      <c r="P5804" s="79" t="str">
        <f>IF(AND('331-CT'!$E$7=TH!H5804,OR(N5804="331",O5804="331")),"x","")</f>
        <v/>
      </c>
      <c r="Q5804" s="79" t="str">
        <f>IF(AND(B5804='111'!$L$11,OR($N5804=$Q$7,$O5804=$Q$7)),"x","")</f>
        <v/>
      </c>
      <c r="R5804" s="79" t="str">
        <f>IF(AND($N5804=$Q$7,$B5804&lt;'111'!$L$11),"x","")</f>
        <v/>
      </c>
      <c r="S5804" s="79" t="str">
        <f>IF(AND($O5804=$Q$7,$B5804&lt;'111'!$L$11),"x","")</f>
        <v/>
      </c>
      <c r="T5804" s="79" t="str">
        <f>IF(ISERROR(FIND('112'!$M$9,G5804,1)),"",IF((AND(FIND('112'!$M$9,G5804,1)&gt;=1,B5804='112'!$K$9,OR($N5804='112'!$I$6,$O5804='112'!$I$6))),"x",""))</f>
        <v/>
      </c>
      <c r="U5804" s="79" t="str">
        <f>IF(ISERROR(FIND('112'!$M$9,G5804,1)),"",IF((AND(LEFT(G5804,2)=LEFT('112'!$M$9,2),B5804&lt;'112'!$K$9,$N5804='112'!$I$6)),"x",""))</f>
        <v/>
      </c>
      <c r="V5804" s="79" t="str">
        <f>IF(ISERROR(FIND('112'!$M$9,G5804,1)),"",IF((AND(RIGHT(G5804,2)=RIGHT('112'!$M$9,2),B5804&lt;'112'!$K$9,$O5804='112'!$I$6)),"x",""))</f>
        <v/>
      </c>
      <c r="W5804" s="79" t="str">
        <f>IF(AND('341-CT'!$H$9=H5804,OR(LEFT(N5804,3)=$W$7,LEFT(O5804,3)=$W$7)),"x","")</f>
        <v/>
      </c>
      <c r="X5804" s="79" t="str">
        <f>IF(OR(TH!N5804=TH!$X$7,O5804=TH!$X$7),"x","")</f>
        <v/>
      </c>
      <c r="Y5804" s="79" t="str">
        <f>IF(AND(OR(N5804="131",O5804="131"),H5804='131-CT'!$H$9),"x","")</f>
        <v/>
      </c>
      <c r="Z5804" s="79"/>
      <c r="AA5804" s="79" t="str">
        <f>IF(AND(MONTH(E5804)='IN-NX'!$J$5,'IN-NX'!$D$7=D5804),"x","")</f>
        <v/>
      </c>
      <c r="AB5804" s="79" t="str">
        <f>IF(AND(OR(LEFT(TH!N5804,2)="15",LEFT(TH!O5804,2)="15"),LEFT(TH!O5804,3)&lt;&gt;"111",'152-CT'!$J$8=TH!F5804),"x","")</f>
        <v/>
      </c>
      <c r="AC5804" s="79" t="str">
        <f>IF(AND(OR(LEFT(TH!N5804,2)="15",LEFT(TH!O5804,2)="15"),TK!$E$7=TH!F5804),"x","")</f>
        <v/>
      </c>
      <c r="AD5804" s="79" t="str">
        <f>IF(AND(N5804="1521",MONTH(C5804)='BK-NL'!$M$11),"x","")</f>
        <v/>
      </c>
    </row>
    <row r="5805" spans="1:30" ht="16.5" customHeight="1">
      <c r="A5805" s="318" t="str">
        <f>IF(B5805&lt;&gt;"",IF(AND(B5805='IN-TC'!$S$4,OR(TH!N5805="1111",TH!O5805="1111")),TH!D5805,""),"")</f>
        <v/>
      </c>
      <c r="B5805" s="60" t="str">
        <f t="shared" si="511"/>
        <v/>
      </c>
      <c r="C5805" s="61"/>
      <c r="D5805" s="301"/>
      <c r="E5805" s="61"/>
      <c r="F5805" s="446"/>
      <c r="G5805" s="64"/>
      <c r="H5805" s="69"/>
      <c r="I5805" s="385"/>
      <c r="J5805" s="392"/>
      <c r="K5805" s="385"/>
      <c r="L5805" s="392"/>
      <c r="M5805" s="62"/>
      <c r="N5805" s="63"/>
      <c r="O5805" s="63"/>
      <c r="P5805" s="79" t="str">
        <f>IF(AND('331-CT'!$E$7=TH!H5805,OR(N5805="331",O5805="331")),"x","")</f>
        <v/>
      </c>
      <c r="Q5805" s="79" t="str">
        <f>IF(AND(B5805='111'!$L$11,OR($N5805=$Q$7,$O5805=$Q$7)),"x","")</f>
        <v/>
      </c>
      <c r="R5805" s="79" t="str">
        <f>IF(AND($N5805=$Q$7,$B5805&lt;'111'!$L$11),"x","")</f>
        <v/>
      </c>
      <c r="S5805" s="79" t="str">
        <f>IF(AND($O5805=$Q$7,$B5805&lt;'111'!$L$11),"x","")</f>
        <v/>
      </c>
      <c r="T5805" s="79" t="str">
        <f>IF(ISERROR(FIND('112'!$M$9,G5805,1)),"",IF((AND(FIND('112'!$M$9,G5805,1)&gt;=1,B5805='112'!$K$9,OR($N5805='112'!$I$6,$O5805='112'!$I$6))),"x",""))</f>
        <v/>
      </c>
      <c r="U5805" s="79" t="str">
        <f>IF(ISERROR(FIND('112'!$M$9,G5805,1)),"",IF((AND(LEFT(G5805,2)=LEFT('112'!$M$9,2),B5805&lt;'112'!$K$9,$N5805='112'!$I$6)),"x",""))</f>
        <v/>
      </c>
      <c r="V5805" s="79" t="str">
        <f>IF(ISERROR(FIND('112'!$M$9,G5805,1)),"",IF((AND(RIGHT(G5805,2)=RIGHT('112'!$M$9,2),B5805&lt;'112'!$K$9,$O5805='112'!$I$6)),"x",""))</f>
        <v/>
      </c>
      <c r="W5805" s="79" t="str">
        <f>IF(AND('341-CT'!$H$9=H5805,OR(LEFT(N5805,3)=$W$7,LEFT(O5805,3)=$W$7)),"x","")</f>
        <v/>
      </c>
      <c r="X5805" s="79" t="str">
        <f>IF(OR(TH!N5805=TH!$X$7,O5805=TH!$X$7),"x","")</f>
        <v/>
      </c>
      <c r="Y5805" s="79" t="str">
        <f>IF(AND(OR(N5805="131",O5805="131"),H5805='131-CT'!$H$9),"x","")</f>
        <v/>
      </c>
      <c r="Z5805" s="79"/>
      <c r="AA5805" s="79" t="str">
        <f>IF(AND(MONTH(E5805)='IN-NX'!$J$5,'IN-NX'!$D$7=D5805),"x","")</f>
        <v/>
      </c>
      <c r="AB5805" s="79" t="str">
        <f>IF(AND(OR(LEFT(TH!N5805,2)="15",LEFT(TH!O5805,2)="15"),LEFT(TH!O5805,3)&lt;&gt;"111",'152-CT'!$J$8=TH!F5805),"x","")</f>
        <v/>
      </c>
      <c r="AC5805" s="79" t="str">
        <f>IF(AND(OR(LEFT(TH!N5805,2)="15",LEFT(TH!O5805,2)="15"),TK!$E$7=TH!F5805),"x","")</f>
        <v/>
      </c>
      <c r="AD5805" s="79" t="str">
        <f>IF(AND(N5805="1521",MONTH(C5805)='BK-NL'!$M$11),"x","")</f>
        <v/>
      </c>
    </row>
    <row r="5806" spans="1:30" ht="16.5" customHeight="1">
      <c r="A5806" s="318" t="str">
        <f>IF(B5806&lt;&gt;"",IF(AND(B5806='IN-TC'!$S$4,OR(TH!N5806="1111",TH!O5806="1111")),TH!D5806,""),"")</f>
        <v/>
      </c>
      <c r="B5806" s="60" t="str">
        <f t="shared" si="511"/>
        <v/>
      </c>
      <c r="C5806" s="61"/>
      <c r="D5806" s="61"/>
      <c r="E5806" s="61"/>
      <c r="F5806" s="446"/>
      <c r="G5806" s="64"/>
      <c r="H5806" s="69"/>
      <c r="I5806" s="385"/>
      <c r="J5806" s="392"/>
      <c r="K5806" s="385"/>
      <c r="L5806" s="392"/>
      <c r="M5806" s="62"/>
      <c r="N5806" s="63"/>
      <c r="O5806" s="63"/>
      <c r="P5806" s="79" t="str">
        <f>IF(AND('331-CT'!$E$7=TH!H5806,OR(N5806="331",O5806="331")),"x","")</f>
        <v/>
      </c>
      <c r="Q5806" s="79" t="str">
        <f>IF(AND(B5806='111'!$L$11,OR($N5806=$Q$7,$O5806=$Q$7)),"x","")</f>
        <v/>
      </c>
      <c r="R5806" s="79" t="str">
        <f>IF(AND($N5806=$Q$7,$B5806&lt;'111'!$L$11),"x","")</f>
        <v/>
      </c>
      <c r="S5806" s="79" t="str">
        <f>IF(AND($O5806=$Q$7,$B5806&lt;'111'!$L$11),"x","")</f>
        <v/>
      </c>
      <c r="T5806" s="79" t="str">
        <f>IF(ISERROR(FIND('112'!$M$9,G5806,1)),"",IF((AND(FIND('112'!$M$9,G5806,1)&gt;=1,B5806='112'!$K$9,OR($N5806='112'!$I$6,$O5806='112'!$I$6))),"x",""))</f>
        <v/>
      </c>
      <c r="U5806" s="79" t="str">
        <f>IF(ISERROR(FIND('112'!$M$9,G5806,1)),"",IF((AND(LEFT(G5806,2)=LEFT('112'!$M$9,2),B5806&lt;'112'!$K$9,$N5806='112'!$I$6)),"x",""))</f>
        <v/>
      </c>
      <c r="V5806" s="79" t="str">
        <f>IF(ISERROR(FIND('112'!$M$9,G5806,1)),"",IF((AND(RIGHT(G5806,2)=RIGHT('112'!$M$9,2),B5806&lt;'112'!$K$9,$O5806='112'!$I$6)),"x",""))</f>
        <v/>
      </c>
      <c r="W5806" s="79" t="str">
        <f>IF(AND('341-CT'!$H$9=H5806,OR(LEFT(N5806,3)=$W$7,LEFT(O5806,3)=$W$7)),"x","")</f>
        <v/>
      </c>
      <c r="X5806" s="79" t="str">
        <f>IF(OR(TH!N5806=TH!$X$7,O5806=TH!$X$7),"x","")</f>
        <v/>
      </c>
      <c r="Y5806" s="79" t="str">
        <f>IF(AND(OR(N5806="131",O5806="131"),H5806='131-CT'!$H$9),"x","")</f>
        <v/>
      </c>
      <c r="Z5806" s="79"/>
      <c r="AA5806" s="79" t="str">
        <f>IF(AND(MONTH(E5806)='IN-NX'!$J$5,'IN-NX'!$D$7=D5806),"x","")</f>
        <v/>
      </c>
      <c r="AB5806" s="79" t="str">
        <f>IF(AND(OR(LEFT(TH!N5806,2)="15",LEFT(TH!O5806,2)="15"),LEFT(TH!O5806,3)&lt;&gt;"111",'152-CT'!$J$8=TH!F5806),"x","")</f>
        <v/>
      </c>
      <c r="AC5806" s="79" t="str">
        <f>IF(AND(OR(LEFT(TH!N5806,2)="15",LEFT(TH!O5806,2)="15"),TK!$E$7=TH!F5806),"x","")</f>
        <v/>
      </c>
      <c r="AD5806" s="79" t="str">
        <f>IF(AND(N5806="1521",MONTH(C5806)='BK-NL'!$M$11),"x","")</f>
        <v/>
      </c>
    </row>
    <row r="5807" spans="1:30" ht="16.5" customHeight="1">
      <c r="A5807" s="318" t="str">
        <f>IF(B5807&lt;&gt;"",IF(AND(B5807='IN-TC'!$S$4,OR(TH!N5807="1111",TH!O5807="1111")),TH!D5807,""),"")</f>
        <v/>
      </c>
      <c r="B5807" s="60" t="str">
        <f t="shared" si="511"/>
        <v/>
      </c>
      <c r="C5807" s="301"/>
      <c r="D5807" s="301"/>
      <c r="E5807" s="301"/>
      <c r="F5807" s="446"/>
      <c r="G5807" s="769"/>
      <c r="H5807" s="69"/>
      <c r="I5807" s="385"/>
      <c r="J5807" s="392"/>
      <c r="K5807" s="385"/>
      <c r="L5807" s="392"/>
      <c r="M5807" s="62"/>
      <c r="N5807" s="304"/>
      <c r="O5807" s="63"/>
      <c r="P5807" s="79" t="str">
        <f>IF(AND('331-CT'!$E$7=TH!H5807,OR(N5807="331",O5807="331")),"x","")</f>
        <v/>
      </c>
      <c r="Q5807" s="79" t="str">
        <f>IF(AND(B5807='111'!$L$11,OR($N5807=$Q$7,$O5807=$Q$7)),"x","")</f>
        <v/>
      </c>
      <c r="R5807" s="79" t="str">
        <f>IF(AND($N5807=$Q$7,$B5807&lt;'111'!$L$11),"x","")</f>
        <v/>
      </c>
      <c r="S5807" s="79" t="str">
        <f>IF(AND($O5807=$Q$7,$B5807&lt;'111'!$L$11),"x","")</f>
        <v/>
      </c>
      <c r="T5807" s="79" t="str">
        <f>IF(ISERROR(FIND('112'!$M$9,G5807,1)),"",IF((AND(FIND('112'!$M$9,G5807,1)&gt;=1,B5807='112'!$K$9,OR($N5807='112'!$I$6,$O5807='112'!$I$6))),"x",""))</f>
        <v/>
      </c>
      <c r="U5807" s="79" t="str">
        <f>IF(ISERROR(FIND('112'!$M$9,G5807,1)),"",IF((AND(LEFT(G5807,2)=LEFT('112'!$M$9,2),B5807&lt;'112'!$K$9,$N5807='112'!$I$6)),"x",""))</f>
        <v/>
      </c>
      <c r="V5807" s="79" t="str">
        <f>IF(ISERROR(FIND('112'!$M$9,G5807,1)),"",IF((AND(RIGHT(G5807,2)=RIGHT('112'!$M$9,2),B5807&lt;'112'!$K$9,$O5807='112'!$I$6)),"x",""))</f>
        <v/>
      </c>
      <c r="W5807" s="79" t="str">
        <f>IF(AND('341-CT'!$H$9=H5807,OR(LEFT(N5807,3)=$W$7,LEFT(O5807,3)=$W$7)),"x","")</f>
        <v/>
      </c>
      <c r="X5807" s="79" t="str">
        <f>IF(OR(TH!N5807=TH!$X$7,O5807=TH!$X$7),"x","")</f>
        <v/>
      </c>
      <c r="Y5807" s="79" t="str">
        <f>IF(AND(OR(N5807="131",O5807="131"),H5807='131-CT'!$H$9),"x","")</f>
        <v/>
      </c>
      <c r="Z5807" s="79"/>
      <c r="AA5807" s="79" t="str">
        <f>IF(AND(MONTH(E5807)='IN-NX'!$J$5,'IN-NX'!$D$7=D5807),"x","")</f>
        <v/>
      </c>
      <c r="AB5807" s="79" t="str">
        <f>IF(AND(OR(LEFT(TH!N5807,2)="15",LEFT(TH!O5807,2)="15"),LEFT(TH!O5807,3)&lt;&gt;"111",'152-CT'!$J$8=TH!F5807),"x","")</f>
        <v/>
      </c>
      <c r="AC5807" s="79" t="str">
        <f>IF(AND(OR(LEFT(TH!N5807,2)="15",LEFT(TH!O5807,2)="15"),TK!$E$7=TH!F5807),"x","")</f>
        <v/>
      </c>
      <c r="AD5807" s="79" t="str">
        <f>IF(AND(N5807="1521",MONTH(C5807)='BK-NL'!$M$11),"x","")</f>
        <v/>
      </c>
    </row>
    <row r="5808" spans="1:30" ht="16.5" customHeight="1">
      <c r="A5808" s="318" t="str">
        <f>IF(B5808&lt;&gt;"",IF(AND(B5808='IN-TC'!$S$4,OR(TH!N5808="1111",TH!O5808="1111")),TH!D5808,""),"")</f>
        <v/>
      </c>
      <c r="B5808" s="60" t="str">
        <f t="shared" si="511"/>
        <v/>
      </c>
      <c r="C5808" s="301"/>
      <c r="D5808" s="301"/>
      <c r="E5808" s="301"/>
      <c r="F5808" s="446"/>
      <c r="G5808" s="769"/>
      <c r="H5808" s="69"/>
      <c r="I5808" s="385"/>
      <c r="J5808" s="392"/>
      <c r="K5808" s="385"/>
      <c r="L5808" s="392"/>
      <c r="M5808" s="62"/>
      <c r="N5808" s="304"/>
      <c r="O5808" s="63"/>
      <c r="P5808" s="79" t="str">
        <f>IF(AND('331-CT'!$E$7=TH!H5808,OR(N5808="331",O5808="331")),"x","")</f>
        <v/>
      </c>
      <c r="Q5808" s="79" t="str">
        <f>IF(AND(B5808='111'!$L$11,OR($N5808=$Q$7,$O5808=$Q$7)),"x","")</f>
        <v/>
      </c>
      <c r="R5808" s="79" t="str">
        <f>IF(AND($N5808=$Q$7,$B5808&lt;'111'!$L$11),"x","")</f>
        <v/>
      </c>
      <c r="S5808" s="79" t="str">
        <f>IF(AND($O5808=$Q$7,$B5808&lt;'111'!$L$11),"x","")</f>
        <v/>
      </c>
      <c r="T5808" s="79" t="str">
        <f>IF(ISERROR(FIND('112'!$M$9,G5808,1)),"",IF((AND(FIND('112'!$M$9,G5808,1)&gt;=1,B5808='112'!$K$9,OR($N5808='112'!$I$6,$O5808='112'!$I$6))),"x",""))</f>
        <v/>
      </c>
      <c r="U5808" s="79" t="str">
        <f>IF(ISERROR(FIND('112'!$M$9,G5808,1)),"",IF((AND(LEFT(G5808,2)=LEFT('112'!$M$9,2),B5808&lt;'112'!$K$9,$N5808='112'!$I$6)),"x",""))</f>
        <v/>
      </c>
      <c r="V5808" s="79" t="str">
        <f>IF(ISERROR(FIND('112'!$M$9,G5808,1)),"",IF((AND(RIGHT(G5808,2)=RIGHT('112'!$M$9,2),B5808&lt;'112'!$K$9,$O5808='112'!$I$6)),"x",""))</f>
        <v/>
      </c>
      <c r="W5808" s="79" t="str">
        <f>IF(AND('341-CT'!$H$9=H5808,OR(LEFT(N5808,3)=$W$7,LEFT(O5808,3)=$W$7)),"x","")</f>
        <v/>
      </c>
      <c r="X5808" s="79" t="str">
        <f>IF(OR(TH!N5808=TH!$X$7,O5808=TH!$X$7),"x","")</f>
        <v/>
      </c>
      <c r="Y5808" s="79" t="str">
        <f>IF(AND(OR(N5808="131",O5808="131"),H5808='131-CT'!$H$9),"x","")</f>
        <v/>
      </c>
      <c r="Z5808" s="79"/>
      <c r="AA5808" s="79" t="str">
        <f>IF(AND(MONTH(E5808)='IN-NX'!$J$5,'IN-NX'!$D$7=D5808),"x","")</f>
        <v/>
      </c>
      <c r="AB5808" s="79" t="str">
        <f>IF(AND(OR(LEFT(TH!N5808,2)="15",LEFT(TH!O5808,2)="15"),LEFT(TH!O5808,3)&lt;&gt;"111",'152-CT'!$J$8=TH!F5808),"x","")</f>
        <v/>
      </c>
      <c r="AC5808" s="79" t="str">
        <f>IF(AND(OR(LEFT(TH!N5808,2)="15",LEFT(TH!O5808,2)="15"),TK!$E$7=TH!F5808),"x","")</f>
        <v/>
      </c>
      <c r="AD5808" s="79" t="str">
        <f>IF(AND(N5808="1521",MONTH(C5808)='BK-NL'!$M$11),"x","")</f>
        <v/>
      </c>
    </row>
    <row r="5809" spans="1:30" ht="16.5" customHeight="1">
      <c r="A5809" s="318" t="str">
        <f>IF(B5809&lt;&gt;"",IF(AND(B5809='IN-TC'!$S$4,OR(TH!N5809="1111",TH!O5809="1111")),TH!D5809,""),"")</f>
        <v/>
      </c>
      <c r="B5809" s="60" t="str">
        <f t="shared" si="511"/>
        <v/>
      </c>
      <c r="C5809" s="301"/>
      <c r="D5809" s="301"/>
      <c r="E5809" s="301"/>
      <c r="F5809" s="446"/>
      <c r="G5809" s="769"/>
      <c r="H5809" s="69"/>
      <c r="I5809" s="385"/>
      <c r="J5809" s="392"/>
      <c r="K5809" s="385"/>
      <c r="L5809" s="392"/>
      <c r="M5809" s="62"/>
      <c r="N5809" s="304"/>
      <c r="O5809" s="63"/>
      <c r="P5809" s="79" t="str">
        <f>IF(AND('331-CT'!$E$7=TH!H5809,OR(N5809="331",O5809="331")),"x","")</f>
        <v/>
      </c>
      <c r="Q5809" s="79" t="str">
        <f>IF(AND(B5809='111'!$L$11,OR($N5809=$Q$7,$O5809=$Q$7)),"x","")</f>
        <v/>
      </c>
      <c r="R5809" s="79" t="str">
        <f>IF(AND($N5809=$Q$7,$B5809&lt;'111'!$L$11),"x","")</f>
        <v/>
      </c>
      <c r="S5809" s="79" t="str">
        <f>IF(AND($O5809=$Q$7,$B5809&lt;'111'!$L$11),"x","")</f>
        <v/>
      </c>
      <c r="T5809" s="79" t="str">
        <f>IF(ISERROR(FIND('112'!$M$9,G5809,1)),"",IF((AND(FIND('112'!$M$9,G5809,1)&gt;=1,B5809='112'!$K$9,OR($N5809='112'!$I$6,$O5809='112'!$I$6))),"x",""))</f>
        <v/>
      </c>
      <c r="U5809" s="79" t="str">
        <f>IF(ISERROR(FIND('112'!$M$9,G5809,1)),"",IF((AND(LEFT(G5809,2)=LEFT('112'!$M$9,2),B5809&lt;'112'!$K$9,$N5809='112'!$I$6)),"x",""))</f>
        <v/>
      </c>
      <c r="V5809" s="79" t="str">
        <f>IF(ISERROR(FIND('112'!$M$9,G5809,1)),"",IF((AND(RIGHT(G5809,2)=RIGHT('112'!$M$9,2),B5809&lt;'112'!$K$9,$O5809='112'!$I$6)),"x",""))</f>
        <v/>
      </c>
      <c r="W5809" s="79" t="str">
        <f>IF(AND('341-CT'!$H$9=H5809,OR(LEFT(N5809,3)=$W$7,LEFT(O5809,3)=$W$7)),"x","")</f>
        <v/>
      </c>
      <c r="X5809" s="79" t="str">
        <f>IF(OR(TH!N5809=TH!$X$7,O5809=TH!$X$7),"x","")</f>
        <v/>
      </c>
      <c r="Y5809" s="79" t="str">
        <f>IF(AND(OR(N5809="131",O5809="131"),H5809='131-CT'!$H$9),"x","")</f>
        <v/>
      </c>
      <c r="Z5809" s="79"/>
      <c r="AA5809" s="79" t="str">
        <f>IF(AND(MONTH(E5809)='IN-NX'!$J$5,'IN-NX'!$D$7=D5809),"x","")</f>
        <v/>
      </c>
      <c r="AB5809" s="79" t="str">
        <f>IF(AND(OR(LEFT(TH!N5809,2)="15",LEFT(TH!O5809,2)="15"),LEFT(TH!O5809,3)&lt;&gt;"111",'152-CT'!$J$8=TH!F5809),"x","")</f>
        <v/>
      </c>
      <c r="AC5809" s="79" t="str">
        <f>IF(AND(OR(LEFT(TH!N5809,2)="15",LEFT(TH!O5809,2)="15"),TK!$E$7=TH!F5809),"x","")</f>
        <v/>
      </c>
      <c r="AD5809" s="79" t="str">
        <f>IF(AND(N5809="1521",MONTH(C5809)='BK-NL'!$M$11),"x","")</f>
        <v/>
      </c>
    </row>
    <row r="5810" spans="1:30" ht="16.5" customHeight="1">
      <c r="A5810" s="318" t="str">
        <f>IF(B5810&lt;&gt;"",IF(AND(B5810='IN-TC'!$S$4,OR(TH!N5810="1111",TH!O5810="1111")),TH!D5810,""),"")</f>
        <v/>
      </c>
      <c r="B5810" s="60" t="str">
        <f t="shared" si="511"/>
        <v/>
      </c>
      <c r="C5810" s="301"/>
      <c r="D5810" s="301"/>
      <c r="E5810" s="301"/>
      <c r="F5810" s="446"/>
      <c r="G5810" s="769"/>
      <c r="H5810" s="69"/>
      <c r="I5810" s="385"/>
      <c r="J5810" s="392"/>
      <c r="K5810" s="385"/>
      <c r="L5810" s="392"/>
      <c r="M5810" s="62"/>
      <c r="N5810" s="304"/>
      <c r="O5810" s="63"/>
      <c r="P5810" s="79" t="str">
        <f>IF(AND('331-CT'!$E$7=TH!H5810,OR(N5810="331",O5810="331")),"x","")</f>
        <v/>
      </c>
      <c r="Q5810" s="79" t="str">
        <f>IF(AND(B5810='111'!$L$11,OR($N5810=$Q$7,$O5810=$Q$7)),"x","")</f>
        <v/>
      </c>
      <c r="R5810" s="79" t="str">
        <f>IF(AND($N5810=$Q$7,$B5810&lt;'111'!$L$11),"x","")</f>
        <v/>
      </c>
      <c r="S5810" s="79" t="str">
        <f>IF(AND($O5810=$Q$7,$B5810&lt;'111'!$L$11),"x","")</f>
        <v/>
      </c>
      <c r="T5810" s="79" t="str">
        <f>IF(ISERROR(FIND('112'!$M$9,G5810,1)),"",IF((AND(FIND('112'!$M$9,G5810,1)&gt;=1,B5810='112'!$K$9,OR($N5810='112'!$I$6,$O5810='112'!$I$6))),"x",""))</f>
        <v/>
      </c>
      <c r="U5810" s="79" t="str">
        <f>IF(ISERROR(FIND('112'!$M$9,G5810,1)),"",IF((AND(LEFT(G5810,2)=LEFT('112'!$M$9,2),B5810&lt;'112'!$K$9,$N5810='112'!$I$6)),"x",""))</f>
        <v/>
      </c>
      <c r="V5810" s="79" t="str">
        <f>IF(ISERROR(FIND('112'!$M$9,G5810,1)),"",IF((AND(RIGHT(G5810,2)=RIGHT('112'!$M$9,2),B5810&lt;'112'!$K$9,$O5810='112'!$I$6)),"x",""))</f>
        <v/>
      </c>
      <c r="W5810" s="79" t="str">
        <f>IF(AND('341-CT'!$H$9=H5810,OR(LEFT(N5810,3)=$W$7,LEFT(O5810,3)=$W$7)),"x","")</f>
        <v/>
      </c>
      <c r="X5810" s="79" t="str">
        <f>IF(OR(TH!N5810=TH!$X$7,O5810=TH!$X$7),"x","")</f>
        <v/>
      </c>
      <c r="Y5810" s="79" t="str">
        <f>IF(AND(OR(N5810="131",O5810="131"),H5810='131-CT'!$H$9),"x","")</f>
        <v/>
      </c>
      <c r="Z5810" s="79"/>
      <c r="AA5810" s="79" t="str">
        <f>IF(AND(MONTH(E5810)='IN-NX'!$J$5,'IN-NX'!$D$7=D5810),"x","")</f>
        <v/>
      </c>
      <c r="AB5810" s="79" t="str">
        <f>IF(AND(OR(LEFT(TH!N5810,2)="15",LEFT(TH!O5810,2)="15"),LEFT(TH!O5810,3)&lt;&gt;"111",'152-CT'!$J$8=TH!F5810),"x","")</f>
        <v/>
      </c>
      <c r="AC5810" s="79" t="str">
        <f>IF(AND(OR(LEFT(TH!N5810,2)="15",LEFT(TH!O5810,2)="15"),TK!$E$7=TH!F5810),"x","")</f>
        <v/>
      </c>
      <c r="AD5810" s="79" t="str">
        <f>IF(AND(N5810="1521",MONTH(C5810)='BK-NL'!$M$11),"x","")</f>
        <v/>
      </c>
    </row>
    <row r="5811" spans="1:30" ht="16.5" customHeight="1">
      <c r="A5811" s="318" t="str">
        <f>IF(B5811&lt;&gt;"",IF(AND(B5811='IN-TC'!$S$4,OR(TH!N5811="1111",TH!O5811="1111")),TH!D5811,""),"")</f>
        <v/>
      </c>
      <c r="B5811" s="60" t="str">
        <f t="shared" si="511"/>
        <v/>
      </c>
      <c r="C5811" s="301"/>
      <c r="D5811" s="301"/>
      <c r="E5811" s="301"/>
      <c r="F5811" s="446"/>
      <c r="G5811" s="769"/>
      <c r="H5811" s="69"/>
      <c r="I5811" s="385"/>
      <c r="J5811" s="392"/>
      <c r="K5811" s="385"/>
      <c r="L5811" s="392"/>
      <c r="M5811" s="62"/>
      <c r="N5811" s="304"/>
      <c r="O5811" s="63"/>
      <c r="P5811" s="79" t="str">
        <f>IF(AND('331-CT'!$E$7=TH!H5811,OR(N5811="331",O5811="331")),"x","")</f>
        <v/>
      </c>
      <c r="Q5811" s="79" t="str">
        <f>IF(AND(B5811='111'!$L$11,OR($N5811=$Q$7,$O5811=$Q$7)),"x","")</f>
        <v/>
      </c>
      <c r="R5811" s="79" t="str">
        <f>IF(AND($N5811=$Q$7,$B5811&lt;'111'!$L$11),"x","")</f>
        <v/>
      </c>
      <c r="S5811" s="79" t="str">
        <f>IF(AND($O5811=$Q$7,$B5811&lt;'111'!$L$11),"x","")</f>
        <v/>
      </c>
      <c r="T5811" s="79" t="str">
        <f>IF(ISERROR(FIND('112'!$M$9,G5811,1)),"",IF((AND(FIND('112'!$M$9,G5811,1)&gt;=1,B5811='112'!$K$9,OR($N5811='112'!$I$6,$O5811='112'!$I$6))),"x",""))</f>
        <v/>
      </c>
      <c r="U5811" s="79" t="str">
        <f>IF(ISERROR(FIND('112'!$M$9,G5811,1)),"",IF((AND(LEFT(G5811,2)=LEFT('112'!$M$9,2),B5811&lt;'112'!$K$9,$N5811='112'!$I$6)),"x",""))</f>
        <v/>
      </c>
      <c r="V5811" s="79" t="str">
        <f>IF(ISERROR(FIND('112'!$M$9,G5811,1)),"",IF((AND(RIGHT(G5811,2)=RIGHT('112'!$M$9,2),B5811&lt;'112'!$K$9,$O5811='112'!$I$6)),"x",""))</f>
        <v/>
      </c>
      <c r="W5811" s="79" t="str">
        <f>IF(AND('341-CT'!$H$9=H5811,OR(LEFT(N5811,3)=$W$7,LEFT(O5811,3)=$W$7)),"x","")</f>
        <v/>
      </c>
      <c r="X5811" s="79" t="str">
        <f>IF(OR(TH!N5811=TH!$X$7,O5811=TH!$X$7),"x","")</f>
        <v/>
      </c>
      <c r="Y5811" s="79" t="str">
        <f>IF(AND(OR(N5811="131",O5811="131"),H5811='131-CT'!$H$9),"x","")</f>
        <v/>
      </c>
      <c r="Z5811" s="79"/>
      <c r="AA5811" s="79" t="str">
        <f>IF(AND(MONTH(E5811)='IN-NX'!$J$5,'IN-NX'!$D$7=D5811),"x","")</f>
        <v/>
      </c>
      <c r="AB5811" s="79" t="str">
        <f>IF(AND(OR(LEFT(TH!N5811,2)="15",LEFT(TH!O5811,2)="15"),LEFT(TH!O5811,3)&lt;&gt;"111",'152-CT'!$J$8=TH!F5811),"x","")</f>
        <v/>
      </c>
      <c r="AC5811" s="79" t="str">
        <f>IF(AND(OR(LEFT(TH!N5811,2)="15",LEFT(TH!O5811,2)="15"),TK!$E$7=TH!F5811),"x","")</f>
        <v/>
      </c>
      <c r="AD5811" s="79" t="str">
        <f>IF(AND(N5811="1521",MONTH(C5811)='BK-NL'!$M$11),"x","")</f>
        <v/>
      </c>
    </row>
    <row r="5812" spans="1:30" ht="16.5" customHeight="1">
      <c r="A5812" s="318" t="str">
        <f>IF(B5812&lt;&gt;"",IF(AND(B5812='IN-TC'!$S$4,OR(TH!N5812="1111",TH!O5812="1111")),TH!D5812,""),"")</f>
        <v/>
      </c>
      <c r="B5812" s="60" t="str">
        <f t="shared" si="511"/>
        <v/>
      </c>
      <c r="C5812" s="301"/>
      <c r="D5812" s="301"/>
      <c r="E5812" s="301"/>
      <c r="F5812" s="446"/>
      <c r="G5812" s="769"/>
      <c r="H5812" s="69"/>
      <c r="I5812" s="385"/>
      <c r="J5812" s="392"/>
      <c r="K5812" s="385"/>
      <c r="L5812" s="392"/>
      <c r="M5812" s="62"/>
      <c r="N5812" s="304"/>
      <c r="O5812" s="63"/>
      <c r="P5812" s="79" t="str">
        <f>IF(AND('331-CT'!$E$7=TH!H5812,OR(N5812="331",O5812="331")),"x","")</f>
        <v/>
      </c>
      <c r="Q5812" s="79" t="str">
        <f>IF(AND(B5812='111'!$L$11,OR($N5812=$Q$7,$O5812=$Q$7)),"x","")</f>
        <v/>
      </c>
      <c r="R5812" s="79" t="str">
        <f>IF(AND($N5812=$Q$7,$B5812&lt;'111'!$L$11),"x","")</f>
        <v/>
      </c>
      <c r="S5812" s="79" t="str">
        <f>IF(AND($O5812=$Q$7,$B5812&lt;'111'!$L$11),"x","")</f>
        <v/>
      </c>
      <c r="T5812" s="79" t="str">
        <f>IF(ISERROR(FIND('112'!$M$9,G5812,1)),"",IF((AND(FIND('112'!$M$9,G5812,1)&gt;=1,B5812='112'!$K$9,OR($N5812='112'!$I$6,$O5812='112'!$I$6))),"x",""))</f>
        <v/>
      </c>
      <c r="U5812" s="79" t="str">
        <f>IF(ISERROR(FIND('112'!$M$9,G5812,1)),"",IF((AND(LEFT(G5812,2)=LEFT('112'!$M$9,2),B5812&lt;'112'!$K$9,$N5812='112'!$I$6)),"x",""))</f>
        <v/>
      </c>
      <c r="V5812" s="79" t="str">
        <f>IF(ISERROR(FIND('112'!$M$9,G5812,1)),"",IF((AND(RIGHT(G5812,2)=RIGHT('112'!$M$9,2),B5812&lt;'112'!$K$9,$O5812='112'!$I$6)),"x",""))</f>
        <v/>
      </c>
      <c r="W5812" s="79" t="str">
        <f>IF(AND('341-CT'!$H$9=H5812,OR(LEFT(N5812,3)=$W$7,LEFT(O5812,3)=$W$7)),"x","")</f>
        <v/>
      </c>
      <c r="X5812" s="79" t="str">
        <f>IF(OR(TH!N5812=TH!$X$7,O5812=TH!$X$7),"x","")</f>
        <v/>
      </c>
      <c r="Y5812" s="79" t="str">
        <f>IF(AND(OR(N5812="131",O5812="131"),H5812='131-CT'!$H$9),"x","")</f>
        <v/>
      </c>
      <c r="Z5812" s="79"/>
      <c r="AA5812" s="79" t="str">
        <f>IF(AND(MONTH(E5812)='IN-NX'!$J$5,'IN-NX'!$D$7=D5812),"x","")</f>
        <v/>
      </c>
      <c r="AB5812" s="79" t="str">
        <f>IF(AND(OR(LEFT(TH!N5812,2)="15",LEFT(TH!O5812,2)="15"),LEFT(TH!O5812,3)&lt;&gt;"111",'152-CT'!$J$8=TH!F5812),"x","")</f>
        <v/>
      </c>
      <c r="AC5812" s="79" t="str">
        <f>IF(AND(OR(LEFT(TH!N5812,2)="15",LEFT(TH!O5812,2)="15"),TK!$E$7=TH!F5812),"x","")</f>
        <v/>
      </c>
      <c r="AD5812" s="79" t="str">
        <f>IF(AND(N5812="1521",MONTH(C5812)='BK-NL'!$M$11),"x","")</f>
        <v/>
      </c>
    </row>
    <row r="5813" spans="1:30" ht="16.5" customHeight="1">
      <c r="A5813" s="318" t="str">
        <f>IF(B5813&lt;&gt;"",IF(AND(B5813='IN-TC'!$S$4,OR(TH!N5813="1111",TH!O5813="1111")),TH!D5813,""),"")</f>
        <v/>
      </c>
      <c r="B5813" s="60" t="str">
        <f t="shared" si="511"/>
        <v/>
      </c>
      <c r="C5813" s="301"/>
      <c r="D5813" s="301"/>
      <c r="E5813" s="301"/>
      <c r="F5813" s="446"/>
      <c r="G5813" s="769"/>
      <c r="H5813" s="69"/>
      <c r="I5813" s="385"/>
      <c r="J5813" s="392"/>
      <c r="K5813" s="385"/>
      <c r="L5813" s="392"/>
      <c r="M5813" s="62"/>
      <c r="N5813" s="304"/>
      <c r="O5813" s="63"/>
      <c r="P5813" s="79" t="str">
        <f>IF(AND('331-CT'!$E$7=TH!H5813,OR(N5813="331",O5813="331")),"x","")</f>
        <v/>
      </c>
      <c r="Q5813" s="79" t="str">
        <f>IF(AND(B5813='111'!$L$11,OR($N5813=$Q$7,$O5813=$Q$7)),"x","")</f>
        <v/>
      </c>
      <c r="R5813" s="79" t="str">
        <f>IF(AND($N5813=$Q$7,$B5813&lt;'111'!$L$11),"x","")</f>
        <v/>
      </c>
      <c r="S5813" s="79" t="str">
        <f>IF(AND($O5813=$Q$7,$B5813&lt;'111'!$L$11),"x","")</f>
        <v/>
      </c>
      <c r="T5813" s="79" t="str">
        <f>IF(ISERROR(FIND('112'!$M$9,G5813,1)),"",IF((AND(FIND('112'!$M$9,G5813,1)&gt;=1,B5813='112'!$K$9,OR($N5813='112'!$I$6,$O5813='112'!$I$6))),"x",""))</f>
        <v/>
      </c>
      <c r="U5813" s="79" t="str">
        <f>IF(ISERROR(FIND('112'!$M$9,G5813,1)),"",IF((AND(LEFT(G5813,2)=LEFT('112'!$M$9,2),B5813&lt;'112'!$K$9,$N5813='112'!$I$6)),"x",""))</f>
        <v/>
      </c>
      <c r="V5813" s="79" t="str">
        <f>IF(ISERROR(FIND('112'!$M$9,G5813,1)),"",IF((AND(RIGHT(G5813,2)=RIGHT('112'!$M$9,2),B5813&lt;'112'!$K$9,$O5813='112'!$I$6)),"x",""))</f>
        <v/>
      </c>
      <c r="W5813" s="79" t="str">
        <f>IF(AND('341-CT'!$H$9=H5813,OR(LEFT(N5813,3)=$W$7,LEFT(O5813,3)=$W$7)),"x","")</f>
        <v/>
      </c>
      <c r="X5813" s="79" t="str">
        <f>IF(OR(TH!N5813=TH!$X$7,O5813=TH!$X$7),"x","")</f>
        <v/>
      </c>
      <c r="Y5813" s="79" t="str">
        <f>IF(AND(OR(N5813="131",O5813="131"),H5813='131-CT'!$H$9),"x","")</f>
        <v/>
      </c>
      <c r="Z5813" s="79"/>
      <c r="AA5813" s="79" t="str">
        <f>IF(AND(MONTH(E5813)='IN-NX'!$J$5,'IN-NX'!$D$7=D5813),"x","")</f>
        <v/>
      </c>
      <c r="AB5813" s="79" t="str">
        <f>IF(AND(OR(LEFT(TH!N5813,2)="15",LEFT(TH!O5813,2)="15"),LEFT(TH!O5813,3)&lt;&gt;"111",'152-CT'!$J$8=TH!F5813),"x","")</f>
        <v/>
      </c>
      <c r="AC5813" s="79" t="str">
        <f>IF(AND(OR(LEFT(TH!N5813,2)="15",LEFT(TH!O5813,2)="15"),TK!$E$7=TH!F5813),"x","")</f>
        <v/>
      </c>
      <c r="AD5813" s="79" t="str">
        <f>IF(AND(N5813="1521",MONTH(C5813)='BK-NL'!$M$11),"x","")</f>
        <v/>
      </c>
    </row>
    <row r="5814" spans="1:30" ht="16.5" customHeight="1">
      <c r="A5814" s="318" t="str">
        <f>IF(B5814&lt;&gt;"",IF(AND(B5814='IN-TC'!$S$4,OR(TH!N5814="1111",TH!O5814="1111")),TH!D5814,""),"")</f>
        <v/>
      </c>
      <c r="B5814" s="60" t="str">
        <f t="shared" si="511"/>
        <v/>
      </c>
      <c r="C5814" s="301"/>
      <c r="D5814" s="301"/>
      <c r="E5814" s="301"/>
      <c r="F5814" s="446"/>
      <c r="G5814" s="769"/>
      <c r="H5814" s="69"/>
      <c r="I5814" s="385"/>
      <c r="J5814" s="392"/>
      <c r="K5814" s="385"/>
      <c r="L5814" s="392"/>
      <c r="M5814" s="62"/>
      <c r="N5814" s="304"/>
      <c r="O5814" s="63"/>
      <c r="P5814" s="79" t="str">
        <f>IF(AND('331-CT'!$E$7=TH!H5814,OR(N5814="331",O5814="331")),"x","")</f>
        <v/>
      </c>
      <c r="Q5814" s="79" t="str">
        <f>IF(AND(B5814='111'!$L$11,OR($N5814=$Q$7,$O5814=$Q$7)),"x","")</f>
        <v/>
      </c>
      <c r="R5814" s="79" t="str">
        <f>IF(AND($N5814=$Q$7,$B5814&lt;'111'!$L$11),"x","")</f>
        <v/>
      </c>
      <c r="S5814" s="79" t="str">
        <f>IF(AND($O5814=$Q$7,$B5814&lt;'111'!$L$11),"x","")</f>
        <v/>
      </c>
      <c r="T5814" s="79" t="str">
        <f>IF(ISERROR(FIND('112'!$M$9,G5814,1)),"",IF((AND(FIND('112'!$M$9,G5814,1)&gt;=1,B5814='112'!$K$9,OR($N5814='112'!$I$6,$O5814='112'!$I$6))),"x",""))</f>
        <v/>
      </c>
      <c r="U5814" s="79" t="str">
        <f>IF(ISERROR(FIND('112'!$M$9,G5814,1)),"",IF((AND(LEFT(G5814,2)=LEFT('112'!$M$9,2),B5814&lt;'112'!$K$9,$N5814='112'!$I$6)),"x",""))</f>
        <v/>
      </c>
      <c r="V5814" s="79" t="str">
        <f>IF(ISERROR(FIND('112'!$M$9,G5814,1)),"",IF((AND(RIGHT(G5814,2)=RIGHT('112'!$M$9,2),B5814&lt;'112'!$K$9,$O5814='112'!$I$6)),"x",""))</f>
        <v/>
      </c>
      <c r="W5814" s="79" t="str">
        <f>IF(AND('341-CT'!$H$9=H5814,OR(LEFT(N5814,3)=$W$7,LEFT(O5814,3)=$W$7)),"x","")</f>
        <v/>
      </c>
      <c r="X5814" s="79" t="str">
        <f>IF(OR(TH!N5814=TH!$X$7,O5814=TH!$X$7),"x","")</f>
        <v/>
      </c>
      <c r="Y5814" s="79" t="str">
        <f>IF(AND(OR(N5814="131",O5814="131"),H5814='131-CT'!$H$9),"x","")</f>
        <v/>
      </c>
      <c r="Z5814" s="79"/>
      <c r="AA5814" s="79" t="str">
        <f>IF(AND(MONTH(E5814)='IN-NX'!$J$5,'IN-NX'!$D$7=D5814),"x","")</f>
        <v/>
      </c>
      <c r="AB5814" s="79" t="str">
        <f>IF(AND(OR(LEFT(TH!N5814,2)="15",LEFT(TH!O5814,2)="15"),LEFT(TH!O5814,3)&lt;&gt;"111",'152-CT'!$J$8=TH!F5814),"x","")</f>
        <v/>
      </c>
      <c r="AC5814" s="79" t="str">
        <f>IF(AND(OR(LEFT(TH!N5814,2)="15",LEFT(TH!O5814,2)="15"),TK!$E$7=TH!F5814),"x","")</f>
        <v/>
      </c>
      <c r="AD5814" s="79" t="str">
        <f>IF(AND(N5814="1521",MONTH(C5814)='BK-NL'!$M$11),"x","")</f>
        <v/>
      </c>
    </row>
    <row r="5815" spans="1:30" ht="16.5" customHeight="1">
      <c r="A5815" s="318" t="str">
        <f>IF(B5815&lt;&gt;"",IF(AND(B5815='IN-TC'!$S$4,OR(TH!N5815="1111",TH!O5815="1111")),TH!D5815,""),"")</f>
        <v/>
      </c>
      <c r="B5815" s="60" t="str">
        <f t="shared" si="511"/>
        <v/>
      </c>
      <c r="C5815" s="301"/>
      <c r="D5815" s="301"/>
      <c r="E5815" s="301"/>
      <c r="F5815" s="446"/>
      <c r="G5815" s="769"/>
      <c r="H5815" s="303"/>
      <c r="I5815" s="387"/>
      <c r="J5815" s="394"/>
      <c r="K5815" s="387"/>
      <c r="L5815" s="394"/>
      <c r="M5815" s="62"/>
      <c r="N5815" s="304"/>
      <c r="O5815" s="63"/>
      <c r="P5815" s="79" t="str">
        <f>IF(AND('331-CT'!$E$7=TH!H5815,OR(N5815="331",O5815="331")),"x","")</f>
        <v/>
      </c>
      <c r="Q5815" s="79" t="str">
        <f>IF(AND(B5815='111'!$L$11,OR($N5815=$Q$7,$O5815=$Q$7)),"x","")</f>
        <v/>
      </c>
      <c r="R5815" s="79" t="str">
        <f>IF(AND($N5815=$Q$7,$B5815&lt;'111'!$L$11),"x","")</f>
        <v/>
      </c>
      <c r="S5815" s="79" t="str">
        <f>IF(AND($O5815=$Q$7,$B5815&lt;'111'!$L$11),"x","")</f>
        <v/>
      </c>
      <c r="T5815" s="79" t="str">
        <f>IF(ISERROR(FIND('112'!$M$9,G5815,1)),"",IF((AND(FIND('112'!$M$9,G5815,1)&gt;=1,B5815='112'!$K$9,OR($N5815='112'!$I$6,$O5815='112'!$I$6))),"x",""))</f>
        <v/>
      </c>
      <c r="U5815" s="79" t="str">
        <f>IF(ISERROR(FIND('112'!$M$9,G5815,1)),"",IF((AND(LEFT(G5815,2)=LEFT('112'!$M$9,2),B5815&lt;'112'!$K$9,$N5815='112'!$I$6)),"x",""))</f>
        <v/>
      </c>
      <c r="V5815" s="79" t="str">
        <f>IF(ISERROR(FIND('112'!$M$9,G5815,1)),"",IF((AND(RIGHT(G5815,2)=RIGHT('112'!$M$9,2),B5815&lt;'112'!$K$9,$O5815='112'!$I$6)),"x",""))</f>
        <v/>
      </c>
      <c r="W5815" s="79" t="str">
        <f>IF(AND('341-CT'!$H$9=H5815,OR(LEFT(N5815,3)=$W$7,LEFT(O5815,3)=$W$7)),"x","")</f>
        <v/>
      </c>
      <c r="X5815" s="79" t="str">
        <f>IF(OR(TH!N5815=TH!$X$7,O5815=TH!$X$7),"x","")</f>
        <v/>
      </c>
      <c r="Y5815" s="79" t="str">
        <f>IF(AND(OR(N5815="131",O5815="131"),H5815='131-CT'!$H$9),"x","")</f>
        <v/>
      </c>
      <c r="Z5815" s="79"/>
      <c r="AA5815" s="79" t="str">
        <f>IF(AND(MONTH(E5815)='IN-NX'!$J$5,'IN-NX'!$D$7=D5815),"x","")</f>
        <v/>
      </c>
      <c r="AB5815" s="79" t="str">
        <f>IF(AND(OR(LEFT(TH!N5815,2)="15",LEFT(TH!O5815,2)="15"),LEFT(TH!O5815,3)&lt;&gt;"111",'152-CT'!$J$8=TH!F5815),"x","")</f>
        <v/>
      </c>
      <c r="AC5815" s="79" t="str">
        <f>IF(AND(OR(LEFT(TH!N5815,2)="15",LEFT(TH!O5815,2)="15"),TK!$E$7=TH!F5815),"x","")</f>
        <v/>
      </c>
      <c r="AD5815" s="79" t="str">
        <f>IF(AND(N5815="1521",MONTH(C5815)='BK-NL'!$M$11),"x","")</f>
        <v/>
      </c>
    </row>
    <row r="5816" spans="1:30" ht="16.5" customHeight="1">
      <c r="A5816" s="318" t="str">
        <f>IF(B5816&lt;&gt;"",IF(AND(B5816='IN-TC'!$S$4,OR(TH!N5816="1111",TH!O5816="1111")),TH!D5816,""),"")</f>
        <v/>
      </c>
      <c r="B5816" s="60" t="str">
        <f t="shared" si="511"/>
        <v/>
      </c>
      <c r="C5816" s="301"/>
      <c r="D5816" s="301"/>
      <c r="E5816" s="301"/>
      <c r="F5816" s="446"/>
      <c r="G5816" s="769"/>
      <c r="H5816" s="303"/>
      <c r="I5816" s="385"/>
      <c r="J5816" s="392"/>
      <c r="K5816" s="385"/>
      <c r="L5816" s="392"/>
      <c r="M5816" s="62"/>
      <c r="N5816" s="304"/>
      <c r="O5816" s="63"/>
      <c r="P5816" s="79" t="str">
        <f>IF(AND('331-CT'!$E$7=TH!H5816,OR(N5816="331",O5816="331")),"x","")</f>
        <v/>
      </c>
      <c r="Q5816" s="79" t="str">
        <f>IF(AND(B5816='111'!$L$11,OR($N5816=$Q$7,$O5816=$Q$7)),"x","")</f>
        <v/>
      </c>
      <c r="R5816" s="79" t="str">
        <f>IF(AND($N5816=$Q$7,$B5816&lt;'111'!$L$11),"x","")</f>
        <v/>
      </c>
      <c r="S5816" s="79" t="str">
        <f>IF(AND($O5816=$Q$7,$B5816&lt;'111'!$L$11),"x","")</f>
        <v/>
      </c>
      <c r="T5816" s="79" t="str">
        <f>IF(ISERROR(FIND('112'!$M$9,G5816,1)),"",IF((AND(FIND('112'!$M$9,G5816,1)&gt;=1,B5816='112'!$K$9,OR($N5816='112'!$I$6,$O5816='112'!$I$6))),"x",""))</f>
        <v/>
      </c>
      <c r="U5816" s="79" t="str">
        <f>IF(ISERROR(FIND('112'!$M$9,G5816,1)),"",IF((AND(LEFT(G5816,2)=LEFT('112'!$M$9,2),B5816&lt;'112'!$K$9,$N5816='112'!$I$6)),"x",""))</f>
        <v/>
      </c>
      <c r="V5816" s="79" t="str">
        <f>IF(ISERROR(FIND('112'!$M$9,G5816,1)),"",IF((AND(RIGHT(G5816,2)=RIGHT('112'!$M$9,2),B5816&lt;'112'!$K$9,$O5816='112'!$I$6)),"x",""))</f>
        <v/>
      </c>
      <c r="W5816" s="79" t="str">
        <f>IF(AND('341-CT'!$H$9=H5816,OR(LEFT(N5816,3)=$W$7,LEFT(O5816,3)=$W$7)),"x","")</f>
        <v/>
      </c>
      <c r="X5816" s="79" t="str">
        <f>IF(OR(TH!N5816=TH!$X$7,O5816=TH!$X$7),"x","")</f>
        <v/>
      </c>
      <c r="Y5816" s="79" t="str">
        <f>IF(AND(OR(N5816="131",O5816="131"),H5816='131-CT'!$H$9),"x","")</f>
        <v/>
      </c>
      <c r="Z5816" s="79"/>
      <c r="AA5816" s="79" t="str">
        <f>IF(AND(MONTH(E5816)='IN-NX'!$J$5,'IN-NX'!$D$7=D5816),"x","")</f>
        <v/>
      </c>
      <c r="AB5816" s="79" t="str">
        <f>IF(AND(OR(LEFT(TH!N5816,2)="15",LEFT(TH!O5816,2)="15"),LEFT(TH!O5816,3)&lt;&gt;"111",'152-CT'!$J$8=TH!F5816),"x","")</f>
        <v/>
      </c>
      <c r="AC5816" s="79" t="str">
        <f>IF(AND(OR(LEFT(TH!N5816,2)="15",LEFT(TH!O5816,2)="15"),TK!$E$7=TH!F5816),"x","")</f>
        <v/>
      </c>
      <c r="AD5816" s="79" t="str">
        <f>IF(AND(N5816="1521",MONTH(C5816)='BK-NL'!$M$11),"x","")</f>
        <v/>
      </c>
    </row>
    <row r="5817" spans="1:30" ht="16.5" customHeight="1">
      <c r="A5817" s="318" t="str">
        <f>IF(B5817&lt;&gt;"",IF(AND(B5817='IN-TC'!$S$4,OR(TH!N5817="1111",TH!O5817="1111")),TH!D5817,""),"")</f>
        <v/>
      </c>
      <c r="B5817" s="60" t="str">
        <f t="shared" si="511"/>
        <v/>
      </c>
      <c r="C5817" s="301"/>
      <c r="D5817" s="301"/>
      <c r="E5817" s="301"/>
      <c r="F5817" s="446"/>
      <c r="G5817" s="769"/>
      <c r="H5817" s="69"/>
      <c r="I5817" s="385"/>
      <c r="J5817" s="392"/>
      <c r="K5817" s="385"/>
      <c r="L5817" s="392"/>
      <c r="M5817" s="62"/>
      <c r="N5817" s="304"/>
      <c r="O5817" s="63"/>
      <c r="P5817" s="79" t="str">
        <f>IF(AND('331-CT'!$E$7=TH!H5817,OR(N5817="331",O5817="331")),"x","")</f>
        <v/>
      </c>
      <c r="Q5817" s="79" t="str">
        <f>IF(AND(B5817='111'!$L$11,OR($N5817=$Q$7,$O5817=$Q$7)),"x","")</f>
        <v/>
      </c>
      <c r="R5817" s="79" t="str">
        <f>IF(AND($N5817=$Q$7,$B5817&lt;'111'!$L$11),"x","")</f>
        <v/>
      </c>
      <c r="S5817" s="79" t="str">
        <f>IF(AND($O5817=$Q$7,$B5817&lt;'111'!$L$11),"x","")</f>
        <v/>
      </c>
      <c r="T5817" s="79" t="str">
        <f>IF(ISERROR(FIND('112'!$M$9,G5817,1)),"",IF((AND(FIND('112'!$M$9,G5817,1)&gt;=1,B5817='112'!$K$9,OR($N5817='112'!$I$6,$O5817='112'!$I$6))),"x",""))</f>
        <v/>
      </c>
      <c r="U5817" s="79" t="str">
        <f>IF(ISERROR(FIND('112'!$M$9,G5817,1)),"",IF((AND(LEFT(G5817,2)=LEFT('112'!$M$9,2),B5817&lt;'112'!$K$9,$N5817='112'!$I$6)),"x",""))</f>
        <v/>
      </c>
      <c r="V5817" s="79" t="str">
        <f>IF(ISERROR(FIND('112'!$M$9,G5817,1)),"",IF((AND(RIGHT(G5817,2)=RIGHT('112'!$M$9,2),B5817&lt;'112'!$K$9,$O5817='112'!$I$6)),"x",""))</f>
        <v/>
      </c>
      <c r="W5817" s="79" t="str">
        <f>IF(AND('341-CT'!$H$9=H5817,OR(LEFT(N5817,3)=$W$7,LEFT(O5817,3)=$W$7)),"x","")</f>
        <v/>
      </c>
      <c r="X5817" s="79" t="str">
        <f>IF(OR(TH!N5817=TH!$X$7,O5817=TH!$X$7),"x","")</f>
        <v/>
      </c>
      <c r="Y5817" s="79" t="str">
        <f>IF(AND(OR(N5817="131",O5817="131"),H5817='131-CT'!$H$9),"x","")</f>
        <v/>
      </c>
      <c r="Z5817" s="79"/>
      <c r="AA5817" s="79" t="str">
        <f>IF(AND(MONTH(E5817)='IN-NX'!$J$5,'IN-NX'!$D$7=D5817),"x","")</f>
        <v/>
      </c>
      <c r="AB5817" s="79" t="str">
        <f>IF(AND(OR(LEFT(TH!N5817,2)="15",LEFT(TH!O5817,2)="15"),LEFT(TH!O5817,3)&lt;&gt;"111",'152-CT'!$J$8=TH!F5817),"x","")</f>
        <v/>
      </c>
      <c r="AC5817" s="79" t="str">
        <f>IF(AND(OR(LEFT(TH!N5817,2)="15",LEFT(TH!O5817,2)="15"),TK!$E$7=TH!F5817),"x","")</f>
        <v/>
      </c>
      <c r="AD5817" s="79" t="str">
        <f>IF(AND(N5817="1521",MONTH(C5817)='BK-NL'!$M$11),"x","")</f>
        <v/>
      </c>
    </row>
    <row r="5818" spans="1:30" ht="16.5" customHeight="1">
      <c r="A5818" s="318" t="str">
        <f>IF(B5818&lt;&gt;"",IF(AND(B5818='IN-TC'!$S$4,OR(TH!N5818="1111",TH!O5818="1111")),TH!D5818,""),"")</f>
        <v/>
      </c>
      <c r="B5818" s="60" t="str">
        <f t="shared" si="511"/>
        <v/>
      </c>
      <c r="C5818" s="301"/>
      <c r="D5818" s="301"/>
      <c r="E5818" s="301"/>
      <c r="F5818" s="446"/>
      <c r="G5818" s="769"/>
      <c r="H5818" s="69"/>
      <c r="I5818" s="385"/>
      <c r="J5818" s="392"/>
      <c r="K5818" s="385"/>
      <c r="L5818" s="392"/>
      <c r="M5818" s="62"/>
      <c r="N5818" s="304"/>
      <c r="O5818" s="63"/>
      <c r="P5818" s="79" t="str">
        <f>IF(AND('331-CT'!$E$7=TH!H5818,OR(N5818="331",O5818="331")),"x","")</f>
        <v/>
      </c>
      <c r="Q5818" s="79" t="str">
        <f>IF(AND(B5818='111'!$L$11,OR($N5818=$Q$7,$O5818=$Q$7)),"x","")</f>
        <v/>
      </c>
      <c r="R5818" s="79" t="str">
        <f>IF(AND($N5818=$Q$7,$B5818&lt;'111'!$L$11),"x","")</f>
        <v/>
      </c>
      <c r="S5818" s="79" t="str">
        <f>IF(AND($O5818=$Q$7,$B5818&lt;'111'!$L$11),"x","")</f>
        <v/>
      </c>
      <c r="T5818" s="79" t="str">
        <f>IF(ISERROR(FIND('112'!$M$9,G5818,1)),"",IF((AND(FIND('112'!$M$9,G5818,1)&gt;=1,B5818='112'!$K$9,OR($N5818='112'!$I$6,$O5818='112'!$I$6))),"x",""))</f>
        <v/>
      </c>
      <c r="U5818" s="79" t="str">
        <f>IF(ISERROR(FIND('112'!$M$9,G5818,1)),"",IF((AND(LEFT(G5818,2)=LEFT('112'!$M$9,2),B5818&lt;'112'!$K$9,$N5818='112'!$I$6)),"x",""))</f>
        <v/>
      </c>
      <c r="V5818" s="79" t="str">
        <f>IF(ISERROR(FIND('112'!$M$9,G5818,1)),"",IF((AND(RIGHT(G5818,2)=RIGHT('112'!$M$9,2),B5818&lt;'112'!$K$9,$O5818='112'!$I$6)),"x",""))</f>
        <v/>
      </c>
      <c r="W5818" s="79" t="str">
        <f>IF(AND('341-CT'!$H$9=H5818,OR(LEFT(N5818,3)=$W$7,LEFT(O5818,3)=$W$7)),"x","")</f>
        <v/>
      </c>
      <c r="X5818" s="79" t="str">
        <f>IF(OR(TH!N5818=TH!$X$7,O5818=TH!$X$7),"x","")</f>
        <v/>
      </c>
      <c r="Y5818" s="79" t="str">
        <f>IF(AND(OR(N5818="131",O5818="131"),H5818='131-CT'!$H$9),"x","")</f>
        <v/>
      </c>
      <c r="Z5818" s="79"/>
      <c r="AA5818" s="79" t="str">
        <f>IF(AND(MONTH(E5818)='IN-NX'!$J$5,'IN-NX'!$D$7=D5818),"x","")</f>
        <v/>
      </c>
      <c r="AB5818" s="79" t="str">
        <f>IF(AND(OR(LEFT(TH!N5818,2)="15",LEFT(TH!O5818,2)="15"),LEFT(TH!O5818,3)&lt;&gt;"111",'152-CT'!$J$8=TH!F5818),"x","")</f>
        <v/>
      </c>
      <c r="AC5818" s="79" t="str">
        <f>IF(AND(OR(LEFT(TH!N5818,2)="15",LEFT(TH!O5818,2)="15"),TK!$E$7=TH!F5818),"x","")</f>
        <v/>
      </c>
      <c r="AD5818" s="79" t="str">
        <f>IF(AND(N5818="1521",MONTH(C5818)='BK-NL'!$M$11),"x","")</f>
        <v/>
      </c>
    </row>
    <row r="5819" spans="1:30" ht="16.5" customHeight="1">
      <c r="A5819" s="318" t="str">
        <f>IF(B5819&lt;&gt;"",IF(AND(B5819='IN-TC'!$S$4,OR(TH!N5819="1111",TH!O5819="1111")),TH!D5819,""),"")</f>
        <v/>
      </c>
      <c r="B5819" s="60" t="str">
        <f t="shared" si="511"/>
        <v/>
      </c>
      <c r="C5819" s="301"/>
      <c r="D5819" s="301"/>
      <c r="E5819" s="301"/>
      <c r="F5819" s="446"/>
      <c r="G5819" s="769"/>
      <c r="H5819" s="303"/>
      <c r="I5819" s="385"/>
      <c r="J5819" s="392"/>
      <c r="K5819" s="385"/>
      <c r="L5819" s="392"/>
      <c r="M5819" s="62"/>
      <c r="N5819" s="304"/>
      <c r="O5819" s="63"/>
      <c r="P5819" s="79" t="str">
        <f>IF(AND('331-CT'!$E$7=TH!H5819,OR(N5819="331",O5819="331")),"x","")</f>
        <v/>
      </c>
      <c r="Q5819" s="79" t="str">
        <f>IF(AND(B5819='111'!$L$11,OR($N5819=$Q$7,$O5819=$Q$7)),"x","")</f>
        <v/>
      </c>
      <c r="R5819" s="79" t="str">
        <f>IF(AND($N5819=$Q$7,$B5819&lt;'111'!$L$11),"x","")</f>
        <v/>
      </c>
      <c r="S5819" s="79" t="str">
        <f>IF(AND($O5819=$Q$7,$B5819&lt;'111'!$L$11),"x","")</f>
        <v/>
      </c>
      <c r="T5819" s="79" t="str">
        <f>IF(ISERROR(FIND('112'!$M$9,G5819,1)),"",IF((AND(FIND('112'!$M$9,G5819,1)&gt;=1,B5819='112'!$K$9,OR($N5819='112'!$I$6,$O5819='112'!$I$6))),"x",""))</f>
        <v/>
      </c>
      <c r="U5819" s="79" t="str">
        <f>IF(ISERROR(FIND('112'!$M$9,G5819,1)),"",IF((AND(LEFT(G5819,2)=LEFT('112'!$M$9,2),B5819&lt;'112'!$K$9,$N5819='112'!$I$6)),"x",""))</f>
        <v/>
      </c>
      <c r="V5819" s="79" t="str">
        <f>IF(ISERROR(FIND('112'!$M$9,G5819,1)),"",IF((AND(RIGHT(G5819,2)=RIGHT('112'!$M$9,2),B5819&lt;'112'!$K$9,$O5819='112'!$I$6)),"x",""))</f>
        <v/>
      </c>
      <c r="W5819" s="79" t="str">
        <f>IF(AND('341-CT'!$H$9=H5819,OR(LEFT(N5819,3)=$W$7,LEFT(O5819,3)=$W$7)),"x","")</f>
        <v/>
      </c>
      <c r="X5819" s="79" t="str">
        <f>IF(OR(TH!N5819=TH!$X$7,O5819=TH!$X$7),"x","")</f>
        <v/>
      </c>
      <c r="Y5819" s="79" t="str">
        <f>IF(AND(OR(N5819="131",O5819="131"),H5819='131-CT'!$H$9),"x","")</f>
        <v/>
      </c>
      <c r="Z5819" s="79"/>
      <c r="AA5819" s="79" t="str">
        <f>IF(AND(MONTH(E5819)='IN-NX'!$J$5,'IN-NX'!$D$7=D5819),"x","")</f>
        <v/>
      </c>
      <c r="AB5819" s="79" t="str">
        <f>IF(AND(OR(LEFT(TH!N5819,2)="15",LEFT(TH!O5819,2)="15"),LEFT(TH!O5819,3)&lt;&gt;"111",'152-CT'!$J$8=TH!F5819),"x","")</f>
        <v/>
      </c>
      <c r="AC5819" s="79" t="str">
        <f>IF(AND(OR(LEFT(TH!N5819,2)="15",LEFT(TH!O5819,2)="15"),TK!$E$7=TH!F5819),"x","")</f>
        <v/>
      </c>
      <c r="AD5819" s="79" t="str">
        <f>IF(AND(N5819="1521",MONTH(C5819)='BK-NL'!$M$11),"x","")</f>
        <v/>
      </c>
    </row>
    <row r="5820" spans="1:30" ht="16.5" customHeight="1">
      <c r="A5820" s="318" t="str">
        <f>IF(B5820&lt;&gt;"",IF(AND(B5820='IN-TC'!$S$4,OR(TH!N5820="1111",TH!O5820="1111")),TH!D5820,""),"")</f>
        <v/>
      </c>
      <c r="B5820" s="60" t="str">
        <f t="shared" si="511"/>
        <v/>
      </c>
      <c r="C5820" s="301"/>
      <c r="D5820" s="301"/>
      <c r="E5820" s="301"/>
      <c r="F5820" s="446"/>
      <c r="G5820" s="769"/>
      <c r="H5820" s="303"/>
      <c r="I5820" s="385"/>
      <c r="J5820" s="392"/>
      <c r="K5820" s="385"/>
      <c r="L5820" s="392"/>
      <c r="M5820" s="62"/>
      <c r="N5820" s="304"/>
      <c r="O5820" s="63"/>
      <c r="P5820" s="79" t="str">
        <f>IF(AND('331-CT'!$E$7=TH!H5820,OR(N5820="331",O5820="331")),"x","")</f>
        <v/>
      </c>
      <c r="Q5820" s="79" t="str">
        <f>IF(AND(B5820='111'!$L$11,OR($N5820=$Q$7,$O5820=$Q$7)),"x","")</f>
        <v/>
      </c>
      <c r="R5820" s="79" t="str">
        <f>IF(AND($N5820=$Q$7,$B5820&lt;'111'!$L$11),"x","")</f>
        <v/>
      </c>
      <c r="S5820" s="79" t="str">
        <f>IF(AND($O5820=$Q$7,$B5820&lt;'111'!$L$11),"x","")</f>
        <v/>
      </c>
      <c r="T5820" s="79" t="str">
        <f>IF(ISERROR(FIND('112'!$M$9,G5820,1)),"",IF((AND(FIND('112'!$M$9,G5820,1)&gt;=1,B5820='112'!$K$9,OR($N5820='112'!$I$6,$O5820='112'!$I$6))),"x",""))</f>
        <v/>
      </c>
      <c r="U5820" s="79" t="str">
        <f>IF(ISERROR(FIND('112'!$M$9,G5820,1)),"",IF((AND(LEFT(G5820,2)=LEFT('112'!$M$9,2),B5820&lt;'112'!$K$9,$N5820='112'!$I$6)),"x",""))</f>
        <v/>
      </c>
      <c r="V5820" s="79" t="str">
        <f>IF(ISERROR(FIND('112'!$M$9,G5820,1)),"",IF((AND(RIGHT(G5820,2)=RIGHT('112'!$M$9,2),B5820&lt;'112'!$K$9,$O5820='112'!$I$6)),"x",""))</f>
        <v/>
      </c>
      <c r="W5820" s="79" t="str">
        <f>IF(AND('341-CT'!$H$9=H5820,OR(LEFT(N5820,3)=$W$7,LEFT(O5820,3)=$W$7)),"x","")</f>
        <v/>
      </c>
      <c r="X5820" s="79" t="str">
        <f>IF(OR(TH!N5820=TH!$X$7,O5820=TH!$X$7),"x","")</f>
        <v/>
      </c>
      <c r="Y5820" s="79" t="str">
        <f>IF(AND(OR(N5820="131",O5820="131"),H5820='131-CT'!$H$9),"x","")</f>
        <v/>
      </c>
      <c r="Z5820" s="79"/>
      <c r="AA5820" s="79" t="str">
        <f>IF(AND(MONTH(E5820)='IN-NX'!$J$5,'IN-NX'!$D$7=D5820),"x","")</f>
        <v/>
      </c>
      <c r="AB5820" s="79" t="str">
        <f>IF(AND(OR(LEFT(TH!N5820,2)="15",LEFT(TH!O5820,2)="15"),LEFT(TH!O5820,3)&lt;&gt;"111",'152-CT'!$J$8=TH!F5820),"x","")</f>
        <v/>
      </c>
      <c r="AC5820" s="79" t="str">
        <f>IF(AND(OR(LEFT(TH!N5820,2)="15",LEFT(TH!O5820,2)="15"),TK!$E$7=TH!F5820),"x","")</f>
        <v/>
      </c>
      <c r="AD5820" s="79" t="str">
        <f>IF(AND(N5820="1521",MONTH(C5820)='BK-NL'!$M$11),"x","")</f>
        <v/>
      </c>
    </row>
    <row r="5821" spans="1:30" ht="16.5" customHeight="1">
      <c r="A5821" s="318" t="str">
        <f>IF(B5821&lt;&gt;"",IF(AND(B5821='IN-TC'!$S$4,OR(TH!N5821="1111",TH!O5821="1111")),TH!D5821,""),"")</f>
        <v/>
      </c>
      <c r="B5821" s="60" t="str">
        <f t="shared" si="511"/>
        <v/>
      </c>
      <c r="C5821" s="301"/>
      <c r="D5821" s="301"/>
      <c r="E5821" s="301"/>
      <c r="F5821" s="446"/>
      <c r="G5821" s="769"/>
      <c r="H5821" s="303"/>
      <c r="I5821" s="387"/>
      <c r="J5821" s="394"/>
      <c r="K5821" s="387"/>
      <c r="L5821" s="394"/>
      <c r="M5821" s="62"/>
      <c r="N5821" s="304"/>
      <c r="O5821" s="63"/>
      <c r="P5821" s="79" t="str">
        <f>IF(AND('331-CT'!$E$7=TH!H5821,OR(N5821="331",O5821="331")),"x","")</f>
        <v/>
      </c>
      <c r="Q5821" s="79" t="str">
        <f>IF(AND(B5821='111'!$L$11,OR($N5821=$Q$7,$O5821=$Q$7)),"x","")</f>
        <v/>
      </c>
      <c r="R5821" s="79" t="str">
        <f>IF(AND($N5821=$Q$7,$B5821&lt;'111'!$L$11),"x","")</f>
        <v/>
      </c>
      <c r="S5821" s="79" t="str">
        <f>IF(AND($O5821=$Q$7,$B5821&lt;'111'!$L$11),"x","")</f>
        <v/>
      </c>
      <c r="T5821" s="79" t="str">
        <f>IF(ISERROR(FIND('112'!$M$9,G5821,1)),"",IF((AND(FIND('112'!$M$9,G5821,1)&gt;=1,B5821='112'!$K$9,OR($N5821='112'!$I$6,$O5821='112'!$I$6))),"x",""))</f>
        <v/>
      </c>
      <c r="U5821" s="79" t="str">
        <f>IF(ISERROR(FIND('112'!$M$9,G5821,1)),"",IF((AND(LEFT(G5821,2)=LEFT('112'!$M$9,2),B5821&lt;'112'!$K$9,$N5821='112'!$I$6)),"x",""))</f>
        <v/>
      </c>
      <c r="V5821" s="79" t="str">
        <f>IF(ISERROR(FIND('112'!$M$9,G5821,1)),"",IF((AND(RIGHT(G5821,2)=RIGHT('112'!$M$9,2),B5821&lt;'112'!$K$9,$O5821='112'!$I$6)),"x",""))</f>
        <v/>
      </c>
      <c r="W5821" s="79" t="str">
        <f>IF(AND('341-CT'!$H$9=H5821,OR(LEFT(N5821,3)=$W$7,LEFT(O5821,3)=$W$7)),"x","")</f>
        <v/>
      </c>
      <c r="X5821" s="79" t="str">
        <f>IF(OR(TH!N5821=TH!$X$7,O5821=TH!$X$7),"x","")</f>
        <v/>
      </c>
      <c r="Y5821" s="79" t="str">
        <f>IF(AND(OR(N5821="131",O5821="131"),H5821='131-CT'!$H$9),"x","")</f>
        <v/>
      </c>
      <c r="Z5821" s="79"/>
      <c r="AA5821" s="79" t="str">
        <f>IF(AND(MONTH(E5821)='IN-NX'!$J$5,'IN-NX'!$D$7=D5821),"x","")</f>
        <v/>
      </c>
      <c r="AB5821" s="79" t="str">
        <f>IF(AND(OR(LEFT(TH!N5821,2)="15",LEFT(TH!O5821,2)="15"),LEFT(TH!O5821,3)&lt;&gt;"111",'152-CT'!$J$8=TH!F5821),"x","")</f>
        <v/>
      </c>
      <c r="AC5821" s="79" t="str">
        <f>IF(AND(OR(LEFT(TH!N5821,2)="15",LEFT(TH!O5821,2)="15"),TK!$E$7=TH!F5821),"x","")</f>
        <v/>
      </c>
      <c r="AD5821" s="79" t="str">
        <f>IF(AND(N5821="1521",MONTH(C5821)='BK-NL'!$M$11),"x","")</f>
        <v/>
      </c>
    </row>
    <row r="5822" spans="1:30" ht="16.5" customHeight="1">
      <c r="A5822" s="318" t="str">
        <f>IF(B5822&lt;&gt;"",IF(AND(B5822='IN-TC'!$S$4,OR(TH!N5822="1111",TH!O5822="1111")),TH!D5822,""),"")</f>
        <v/>
      </c>
      <c r="B5822" s="60" t="str">
        <f t="shared" si="511"/>
        <v/>
      </c>
      <c r="C5822" s="301"/>
      <c r="D5822" s="301"/>
      <c r="E5822" s="301"/>
      <c r="F5822" s="446"/>
      <c r="G5822" s="769"/>
      <c r="H5822" s="303"/>
      <c r="I5822" s="385"/>
      <c r="J5822" s="392"/>
      <c r="K5822" s="385"/>
      <c r="L5822" s="392"/>
      <c r="M5822" s="62"/>
      <c r="N5822" s="304"/>
      <c r="O5822" s="63"/>
      <c r="P5822" s="79" t="str">
        <f>IF(AND('331-CT'!$E$7=TH!H5822,OR(N5822="331",O5822="331")),"x","")</f>
        <v/>
      </c>
      <c r="Q5822" s="79" t="str">
        <f>IF(AND(B5822='111'!$L$11,OR($N5822=$Q$7,$O5822=$Q$7)),"x","")</f>
        <v/>
      </c>
      <c r="R5822" s="79" t="str">
        <f>IF(AND($N5822=$Q$7,$B5822&lt;'111'!$L$11),"x","")</f>
        <v/>
      </c>
      <c r="S5822" s="79" t="str">
        <f>IF(AND($O5822=$Q$7,$B5822&lt;'111'!$L$11),"x","")</f>
        <v/>
      </c>
      <c r="T5822" s="79" t="str">
        <f>IF(ISERROR(FIND('112'!$M$9,G5822,1)),"",IF((AND(FIND('112'!$M$9,G5822,1)&gt;=1,B5822='112'!$K$9,OR($N5822='112'!$I$6,$O5822='112'!$I$6))),"x",""))</f>
        <v/>
      </c>
      <c r="U5822" s="79" t="str">
        <f>IF(ISERROR(FIND('112'!$M$9,G5822,1)),"",IF((AND(LEFT(G5822,2)=LEFT('112'!$M$9,2),B5822&lt;'112'!$K$9,$N5822='112'!$I$6)),"x",""))</f>
        <v/>
      </c>
      <c r="V5822" s="79" t="str">
        <f>IF(ISERROR(FIND('112'!$M$9,G5822,1)),"",IF((AND(RIGHT(G5822,2)=RIGHT('112'!$M$9,2),B5822&lt;'112'!$K$9,$O5822='112'!$I$6)),"x",""))</f>
        <v/>
      </c>
      <c r="W5822" s="79" t="str">
        <f>IF(AND('341-CT'!$H$9=H5822,OR(LEFT(N5822,3)=$W$7,LEFT(O5822,3)=$W$7)),"x","")</f>
        <v/>
      </c>
      <c r="X5822" s="79" t="str">
        <f>IF(OR(TH!N5822=TH!$X$7,O5822=TH!$X$7),"x","")</f>
        <v/>
      </c>
      <c r="Y5822" s="79" t="str">
        <f>IF(AND(OR(N5822="131",O5822="131"),H5822='131-CT'!$H$9),"x","")</f>
        <v/>
      </c>
      <c r="Z5822" s="79"/>
      <c r="AA5822" s="79" t="str">
        <f>IF(AND(MONTH(E5822)='IN-NX'!$J$5,'IN-NX'!$D$7=D5822),"x","")</f>
        <v/>
      </c>
      <c r="AB5822" s="79" t="str">
        <f>IF(AND(OR(LEFT(TH!N5822,2)="15",LEFT(TH!O5822,2)="15"),LEFT(TH!O5822,3)&lt;&gt;"111",'152-CT'!$J$8=TH!F5822),"x","")</f>
        <v/>
      </c>
      <c r="AC5822" s="79" t="str">
        <f>IF(AND(OR(LEFT(TH!N5822,2)="15",LEFT(TH!O5822,2)="15"),TK!$E$7=TH!F5822),"x","")</f>
        <v/>
      </c>
      <c r="AD5822" s="79" t="str">
        <f>IF(AND(N5822="1521",MONTH(C5822)='BK-NL'!$M$11),"x","")</f>
        <v/>
      </c>
    </row>
    <row r="5823" spans="1:30" ht="16.5" customHeight="1">
      <c r="A5823" s="318" t="str">
        <f>IF(B5823&lt;&gt;"",IF(AND(B5823='IN-TC'!$S$4,OR(TH!N5823="1111",TH!O5823="1111")),TH!D5823,""),"")</f>
        <v/>
      </c>
      <c r="B5823" s="60" t="str">
        <f t="shared" si="511"/>
        <v/>
      </c>
      <c r="C5823" s="301"/>
      <c r="D5823" s="61"/>
      <c r="E5823" s="301"/>
      <c r="F5823" s="446"/>
      <c r="G5823" s="302"/>
      <c r="H5823" s="321"/>
      <c r="I5823" s="385"/>
      <c r="J5823" s="392"/>
      <c r="K5823" s="385"/>
      <c r="L5823" s="392"/>
      <c r="M5823" s="62"/>
      <c r="N5823" s="304"/>
      <c r="O5823" s="63"/>
      <c r="P5823" s="79" t="str">
        <f>IF(AND('331-CT'!$E$7=TH!H5823,OR(N5823="331",O5823="331")),"x","")</f>
        <v/>
      </c>
      <c r="Q5823" s="79" t="str">
        <f>IF(AND(B5823='111'!$L$11,OR($N5823=$Q$7,$O5823=$Q$7)),"x","")</f>
        <v/>
      </c>
      <c r="R5823" s="79" t="str">
        <f>IF(AND($N5823=$Q$7,$B5823&lt;'111'!$L$11),"x","")</f>
        <v/>
      </c>
      <c r="S5823" s="79" t="str">
        <f>IF(AND($O5823=$Q$7,$B5823&lt;'111'!$L$11),"x","")</f>
        <v/>
      </c>
      <c r="T5823" s="79" t="str">
        <f>IF(ISERROR(FIND('112'!$M$9,G5823,1)),"",IF((AND(FIND('112'!$M$9,G5823,1)&gt;=1,B5823='112'!$K$9,OR($N5823='112'!$I$6,$O5823='112'!$I$6))),"x",""))</f>
        <v/>
      </c>
      <c r="U5823" s="79" t="str">
        <f>IF(ISERROR(FIND('112'!$M$9,G5823,1)),"",IF((AND(LEFT(G5823,2)=LEFT('112'!$M$9,2),B5823&lt;'112'!$K$9,$N5823='112'!$I$6)),"x",""))</f>
        <v/>
      </c>
      <c r="V5823" s="79" t="str">
        <f>IF(ISERROR(FIND('112'!$M$9,G5823,1)),"",IF((AND(RIGHT(G5823,2)=RIGHT('112'!$M$9,2),B5823&lt;'112'!$K$9,$O5823='112'!$I$6)),"x",""))</f>
        <v/>
      </c>
      <c r="W5823" s="79" t="str">
        <f>IF(AND('341-CT'!$H$9=H5823,OR(LEFT(N5823,3)=$W$7,LEFT(O5823,3)=$W$7)),"x","")</f>
        <v/>
      </c>
      <c r="X5823" s="79" t="str">
        <f>IF(OR(TH!N5823=TH!$X$7,O5823=TH!$X$7),"x","")</f>
        <v/>
      </c>
      <c r="Y5823" s="79" t="str">
        <f>IF(AND(OR(N5823="131",O5823="131"),H5823='131-CT'!$H$9),"x","")</f>
        <v/>
      </c>
      <c r="Z5823" s="79"/>
      <c r="AA5823" s="79" t="str">
        <f>IF(AND(MONTH(E5823)='IN-NX'!$J$5,'IN-NX'!$D$7=D5823),"x","")</f>
        <v/>
      </c>
      <c r="AB5823" s="79" t="str">
        <f>IF(AND(OR(LEFT(TH!N5823,2)="15",LEFT(TH!O5823,2)="15"),LEFT(TH!O5823,3)&lt;&gt;"111",'152-CT'!$J$8=TH!F5823),"x","")</f>
        <v/>
      </c>
      <c r="AC5823" s="79" t="str">
        <f>IF(AND(OR(LEFT(TH!N5823,2)="15",LEFT(TH!O5823,2)="15"),TK!$E$7=TH!F5823),"x","")</f>
        <v/>
      </c>
      <c r="AD5823" s="79" t="str">
        <f>IF(AND(N5823="1521",MONTH(C5823)='BK-NL'!$M$11),"x","")</f>
        <v/>
      </c>
    </row>
    <row r="5824" spans="1:30" ht="16.5" customHeight="1">
      <c r="A5824" s="318" t="str">
        <f>IF(B5824&lt;&gt;"",IF(AND(B5824='IN-TC'!$S$4,OR(TH!N5824="1111",TH!O5824="1111")),TH!D5824,""),"")</f>
        <v/>
      </c>
      <c r="B5824" s="60" t="str">
        <f t="shared" si="511"/>
        <v/>
      </c>
      <c r="C5824" s="301"/>
      <c r="D5824" s="61"/>
      <c r="E5824" s="301"/>
      <c r="F5824" s="69"/>
      <c r="G5824" s="302"/>
      <c r="H5824" s="69"/>
      <c r="I5824" s="385"/>
      <c r="J5824" s="392"/>
      <c r="K5824" s="385"/>
      <c r="L5824" s="392"/>
      <c r="M5824" s="62"/>
      <c r="N5824" s="304"/>
      <c r="O5824" s="63"/>
      <c r="P5824" s="79" t="str">
        <f>IF(AND('331-CT'!$E$7=TH!H5824,OR(N5824="331",O5824="331")),"x","")</f>
        <v/>
      </c>
      <c r="Q5824" s="79" t="str">
        <f>IF(AND(B5824='111'!$L$11,OR($N5824=$Q$7,$O5824=$Q$7)),"x","")</f>
        <v/>
      </c>
      <c r="R5824" s="79" t="str">
        <f>IF(AND($N5824=$Q$7,$B5824&lt;'111'!$L$11),"x","")</f>
        <v/>
      </c>
      <c r="S5824" s="79" t="str">
        <f>IF(AND($O5824=$Q$7,$B5824&lt;'111'!$L$11),"x","")</f>
        <v/>
      </c>
      <c r="T5824" s="79" t="str">
        <f>IF(ISERROR(FIND('112'!$M$9,G5824,1)),"",IF((AND(FIND('112'!$M$9,G5824,1)&gt;=1,B5824='112'!$K$9,OR($N5824='112'!$I$6,$O5824='112'!$I$6))),"x",""))</f>
        <v/>
      </c>
      <c r="U5824" s="79" t="str">
        <f>IF(ISERROR(FIND('112'!$M$9,G5824,1)),"",IF((AND(LEFT(G5824,2)=LEFT('112'!$M$9,2),B5824&lt;'112'!$K$9,$N5824='112'!$I$6)),"x",""))</f>
        <v/>
      </c>
      <c r="V5824" s="79" t="str">
        <f>IF(ISERROR(FIND('112'!$M$9,G5824,1)),"",IF((AND(RIGHT(G5824,2)=RIGHT('112'!$M$9,2),B5824&lt;'112'!$K$9,$O5824='112'!$I$6)),"x",""))</f>
        <v/>
      </c>
      <c r="W5824" s="79" t="str">
        <f>IF(AND('341-CT'!$H$9=H5824,OR(LEFT(N5824,3)=$W$7,LEFT(O5824,3)=$W$7)),"x","")</f>
        <v/>
      </c>
      <c r="X5824" s="79" t="str">
        <f>IF(OR(TH!N5824=TH!$X$7,O5824=TH!$X$7),"x","")</f>
        <v/>
      </c>
      <c r="Y5824" s="79" t="str">
        <f>IF(AND(OR(N5824="131",O5824="131"),H5824='131-CT'!$H$9),"x","")</f>
        <v/>
      </c>
      <c r="Z5824" s="79"/>
      <c r="AA5824" s="79" t="str">
        <f>IF(AND(MONTH(E5824)='IN-NX'!$J$5,'IN-NX'!$D$7=D5824),"x","")</f>
        <v/>
      </c>
      <c r="AB5824" s="79" t="str">
        <f>IF(AND(OR(LEFT(TH!N5824,2)="15",LEFT(TH!O5824,2)="15"),LEFT(TH!O5824,3)&lt;&gt;"111",'152-CT'!$J$8=TH!F5824),"x","")</f>
        <v/>
      </c>
      <c r="AC5824" s="79" t="str">
        <f>IF(AND(OR(LEFT(TH!N5824,2)="15",LEFT(TH!O5824,2)="15"),TK!$E$7=TH!F5824),"x","")</f>
        <v/>
      </c>
      <c r="AD5824" s="79" t="str">
        <f>IF(AND(N5824="1521",MONTH(C5824)='BK-NL'!$M$11),"x","")</f>
        <v/>
      </c>
    </row>
    <row r="5825" spans="1:30" ht="16.5" customHeight="1">
      <c r="A5825" s="318" t="str">
        <f>IF(B5825&lt;&gt;"",IF(AND(B5825='IN-TC'!$S$4,OR(TH!N5825="1111",TH!O5825="1111")),TH!D5825,""),"")</f>
        <v/>
      </c>
      <c r="B5825" s="60" t="str">
        <f t="shared" si="511"/>
        <v/>
      </c>
      <c r="C5825" s="301"/>
      <c r="D5825" s="61"/>
      <c r="E5825" s="301"/>
      <c r="F5825" s="69"/>
      <c r="G5825" s="302"/>
      <c r="H5825" s="321"/>
      <c r="I5825" s="385"/>
      <c r="J5825" s="392"/>
      <c r="K5825" s="385"/>
      <c r="L5825" s="392"/>
      <c r="M5825" s="62"/>
      <c r="N5825" s="304"/>
      <c r="O5825" s="304"/>
      <c r="P5825" s="79" t="str">
        <f>IF(AND('331-CT'!$E$7=TH!H5825,OR(N5825="331",O5825="331")),"x","")</f>
        <v/>
      </c>
      <c r="Q5825" s="79" t="str">
        <f>IF(AND(B5825='111'!$L$11,OR($N5825=$Q$7,$O5825=$Q$7)),"x","")</f>
        <v/>
      </c>
      <c r="R5825" s="79" t="str">
        <f>IF(AND($N5825=$Q$7,$B5825&lt;'111'!$L$11),"x","")</f>
        <v/>
      </c>
      <c r="S5825" s="79" t="str">
        <f>IF(AND($O5825=$Q$7,$B5825&lt;'111'!$L$11),"x","")</f>
        <v/>
      </c>
      <c r="T5825" s="79" t="str">
        <f>IF(ISERROR(FIND('112'!$M$9,G5825,1)),"",IF((AND(FIND('112'!$M$9,G5825,1)&gt;=1,B5825='112'!$K$9,OR($N5825='112'!$I$6,$O5825='112'!$I$6))),"x",""))</f>
        <v/>
      </c>
      <c r="U5825" s="79" t="str">
        <f>IF(ISERROR(FIND('112'!$M$9,G5825,1)),"",IF((AND(LEFT(G5825,2)=LEFT('112'!$M$9,2),B5825&lt;'112'!$K$9,$N5825='112'!$I$6)),"x",""))</f>
        <v/>
      </c>
      <c r="V5825" s="79" t="str">
        <f>IF(ISERROR(FIND('112'!$M$9,G5825,1)),"",IF((AND(RIGHT(G5825,2)=RIGHT('112'!$M$9,2),B5825&lt;'112'!$K$9,$O5825='112'!$I$6)),"x",""))</f>
        <v/>
      </c>
      <c r="W5825" s="79" t="str">
        <f>IF(AND('341-CT'!$H$9=H5825,OR(LEFT(N5825,3)=$W$7,LEFT(O5825,3)=$W$7)),"x","")</f>
        <v/>
      </c>
      <c r="X5825" s="79" t="str">
        <f>IF(OR(TH!N5825=TH!$X$7,O5825=TH!$X$7),"x","")</f>
        <v/>
      </c>
      <c r="Y5825" s="79" t="str">
        <f>IF(AND(OR(N5825="131",O5825="131"),H5825='131-CT'!$H$9),"x","")</f>
        <v/>
      </c>
      <c r="Z5825" s="79"/>
      <c r="AA5825" s="79" t="str">
        <f>IF(AND(MONTH(E5825)='IN-NX'!$J$5,'IN-NX'!$D$7=D5825),"x","")</f>
        <v/>
      </c>
      <c r="AB5825" s="79" t="str">
        <f>IF(AND(OR(LEFT(TH!N5825,2)="15",LEFT(TH!O5825,2)="15"),LEFT(TH!O5825,3)&lt;&gt;"111",'152-CT'!$J$8=TH!F5825),"x","")</f>
        <v/>
      </c>
      <c r="AC5825" s="79" t="str">
        <f>IF(AND(OR(LEFT(TH!N5825,2)="15",LEFT(TH!O5825,2)="15"),TK!$E$7=TH!F5825),"x","")</f>
        <v/>
      </c>
      <c r="AD5825" s="79" t="str">
        <f>IF(AND(N5825="1521",MONTH(C5825)='BK-NL'!$M$11),"x","")</f>
        <v/>
      </c>
    </row>
    <row r="5826" spans="1:30" ht="16.5" customHeight="1">
      <c r="A5826" s="318" t="str">
        <f>IF(B5826&lt;&gt;"",IF(AND(B5826='IN-TC'!$S$4,OR(TH!N5826="1111",TH!O5826="1111")),TH!D5826,""),"")</f>
        <v/>
      </c>
      <c r="B5826" s="60" t="str">
        <f t="shared" si="511"/>
        <v/>
      </c>
      <c r="C5826" s="301"/>
      <c r="D5826" s="301"/>
      <c r="E5826" s="301"/>
      <c r="F5826" s="69"/>
      <c r="G5826" s="302"/>
      <c r="H5826" s="321"/>
      <c r="I5826" s="385"/>
      <c r="J5826" s="392"/>
      <c r="K5826" s="385"/>
      <c r="L5826" s="392"/>
      <c r="M5826" s="62"/>
      <c r="N5826" s="304"/>
      <c r="O5826" s="63"/>
      <c r="P5826" s="79" t="str">
        <f>IF(AND('331-CT'!$E$7=TH!H5826,OR(N5826="331",O5826="331")),"x","")</f>
        <v/>
      </c>
      <c r="Q5826" s="79" t="str">
        <f>IF(AND(B5826='111'!$L$11,OR($N5826=$Q$7,$O5826=$Q$7)),"x","")</f>
        <v/>
      </c>
      <c r="R5826" s="79" t="str">
        <f>IF(AND($N5826=$Q$7,$B5826&lt;'111'!$L$11),"x","")</f>
        <v/>
      </c>
      <c r="S5826" s="79" t="str">
        <f>IF(AND($O5826=$Q$7,$B5826&lt;'111'!$L$11),"x","")</f>
        <v/>
      </c>
      <c r="T5826" s="79" t="str">
        <f>IF(ISERROR(FIND('112'!$M$9,G5826,1)),"",IF((AND(FIND('112'!$M$9,G5826,1)&gt;=1,B5826='112'!$K$9,OR($N5826='112'!$I$6,$O5826='112'!$I$6))),"x",""))</f>
        <v/>
      </c>
      <c r="U5826" s="79" t="str">
        <f>IF(ISERROR(FIND('112'!$M$9,G5826,1)),"",IF((AND(LEFT(G5826,2)=LEFT('112'!$M$9,2),B5826&lt;'112'!$K$9,$N5826='112'!$I$6)),"x",""))</f>
        <v/>
      </c>
      <c r="V5826" s="79" t="str">
        <f>IF(ISERROR(FIND('112'!$M$9,G5826,1)),"",IF((AND(RIGHT(G5826,2)=RIGHT('112'!$M$9,2),B5826&lt;'112'!$K$9,$O5826='112'!$I$6)),"x",""))</f>
        <v/>
      </c>
      <c r="W5826" s="79" t="str">
        <f>IF(AND('341-CT'!$H$9=H5826,OR(LEFT(N5826,3)=$W$7,LEFT(O5826,3)=$W$7)),"x","")</f>
        <v/>
      </c>
      <c r="X5826" s="79" t="str">
        <f>IF(OR(TH!N5826=TH!$X$7,O5826=TH!$X$7),"x","")</f>
        <v/>
      </c>
      <c r="Y5826" s="79" t="str">
        <f>IF(AND(OR(N5826="131",O5826="131"),H5826='131-CT'!$H$9),"x","")</f>
        <v/>
      </c>
      <c r="Z5826" s="79"/>
      <c r="AA5826" s="79" t="str">
        <f>IF(AND(MONTH(E5826)='IN-NX'!$J$5,'IN-NX'!$D$7=D5826),"x","")</f>
        <v/>
      </c>
      <c r="AB5826" s="79" t="str">
        <f>IF(AND(OR(LEFT(TH!N5826,2)="15",LEFT(TH!O5826,2)="15"),LEFT(TH!O5826,3)&lt;&gt;"111",'152-CT'!$J$8=TH!F5826),"x","")</f>
        <v/>
      </c>
      <c r="AC5826" s="79" t="str">
        <f>IF(AND(OR(LEFT(TH!N5826,2)="15",LEFT(TH!O5826,2)="15"),TK!$E$7=TH!F5826),"x","")</f>
        <v/>
      </c>
      <c r="AD5826" s="79" t="str">
        <f>IF(AND(N5826="1521",MONTH(C5826)='BK-NL'!$M$11),"x","")</f>
        <v/>
      </c>
    </row>
    <row r="5827" spans="1:30" ht="16.5" customHeight="1">
      <c r="A5827" s="318" t="str">
        <f>IF(B5827&lt;&gt;"",IF(AND(B5827='IN-TC'!$S$4,OR(TH!N5827="1111",TH!O5827="1111")),TH!D5827,""),"")</f>
        <v/>
      </c>
      <c r="B5827" s="60" t="str">
        <f t="shared" ref="B5827:B5890" si="512">IF(C5827&lt;&gt;"",MONTH(C5827),"")</f>
        <v/>
      </c>
      <c r="C5827" s="301"/>
      <c r="D5827" s="61"/>
      <c r="E5827" s="301"/>
      <c r="F5827" s="69"/>
      <c r="G5827" s="302"/>
      <c r="H5827" s="303"/>
      <c r="I5827" s="385"/>
      <c r="J5827" s="392"/>
      <c r="K5827" s="385"/>
      <c r="L5827" s="392"/>
      <c r="M5827" s="62"/>
      <c r="N5827" s="63"/>
      <c r="O5827" s="304"/>
      <c r="P5827" s="79" t="str">
        <f>IF(AND('331-CT'!$E$7=TH!H5827,OR(N5827="331",O5827="331")),"x","")</f>
        <v/>
      </c>
      <c r="Q5827" s="79" t="str">
        <f>IF(AND(B5827='111'!$L$11,OR($N5827=$Q$7,$O5827=$Q$7)),"x","")</f>
        <v/>
      </c>
      <c r="R5827" s="79" t="str">
        <f>IF(AND($N5827=$Q$7,$B5827&lt;'111'!$L$11),"x","")</f>
        <v/>
      </c>
      <c r="S5827" s="79" t="str">
        <f>IF(AND($O5827=$Q$7,$B5827&lt;'111'!$L$11),"x","")</f>
        <v/>
      </c>
      <c r="T5827" s="79" t="str">
        <f>IF(ISERROR(FIND('112'!$M$9,G5827,1)),"",IF((AND(FIND('112'!$M$9,G5827,1)&gt;=1,B5827='112'!$K$9,OR($N5827='112'!$I$6,$O5827='112'!$I$6))),"x",""))</f>
        <v/>
      </c>
      <c r="U5827" s="79" t="str">
        <f>IF(ISERROR(FIND('112'!$M$9,G5827,1)),"",IF((AND(LEFT(G5827,2)=LEFT('112'!$M$9,2),B5827&lt;'112'!$K$9,$N5827='112'!$I$6)),"x",""))</f>
        <v/>
      </c>
      <c r="V5827" s="79" t="str">
        <f>IF(ISERROR(FIND('112'!$M$9,G5827,1)),"",IF((AND(RIGHT(G5827,2)=RIGHT('112'!$M$9,2),B5827&lt;'112'!$K$9,$O5827='112'!$I$6)),"x",""))</f>
        <v/>
      </c>
      <c r="W5827" s="79" t="str">
        <f>IF(AND('341-CT'!$H$9=H5827,OR(LEFT(N5827,3)=$W$7,LEFT(O5827,3)=$W$7)),"x","")</f>
        <v/>
      </c>
      <c r="X5827" s="79" t="str">
        <f>IF(OR(TH!N5827=TH!$X$7,O5827=TH!$X$7),"x","")</f>
        <v/>
      </c>
      <c r="Y5827" s="79" t="str">
        <f>IF(AND(OR(N5827="131",O5827="131"),H5827='131-CT'!$H$9),"x","")</f>
        <v/>
      </c>
      <c r="Z5827" s="79"/>
      <c r="AA5827" s="79" t="str">
        <f>IF(AND(MONTH(E5827)='IN-NX'!$J$5,'IN-NX'!$D$7=D5827),"x","")</f>
        <v/>
      </c>
      <c r="AB5827" s="79" t="str">
        <f>IF(AND(OR(LEFT(TH!N5827,2)="15",LEFT(TH!O5827,2)="15"),LEFT(TH!O5827,3)&lt;&gt;"111",'152-CT'!$J$8=TH!F5827),"x","")</f>
        <v/>
      </c>
      <c r="AC5827" s="79" t="str">
        <f>IF(AND(OR(LEFT(TH!N5827,2)="15",LEFT(TH!O5827,2)="15"),TK!$E$7=TH!F5827),"x","")</f>
        <v/>
      </c>
      <c r="AD5827" s="79" t="str">
        <f>IF(AND(N5827="1521",MONTH(C5827)='BK-NL'!$M$11),"x","")</f>
        <v/>
      </c>
    </row>
    <row r="5828" spans="1:30" ht="16.5" customHeight="1">
      <c r="A5828" s="318" t="str">
        <f>IF(B5828&lt;&gt;"",IF(AND(B5828='IN-TC'!$S$4,OR(TH!N5828="1111",TH!O5828="1111")),TH!D5828,""),"")</f>
        <v/>
      </c>
      <c r="B5828" s="60" t="str">
        <f t="shared" si="512"/>
        <v/>
      </c>
      <c r="C5828" s="61"/>
      <c r="D5828" s="301"/>
      <c r="E5828" s="61"/>
      <c r="F5828" s="69"/>
      <c r="G5828" s="64"/>
      <c r="H5828" s="321"/>
      <c r="I5828" s="385"/>
      <c r="J5828" s="392"/>
      <c r="K5828" s="385"/>
      <c r="L5828" s="392"/>
      <c r="M5828" s="62"/>
      <c r="N5828" s="63"/>
      <c r="O5828" s="63"/>
      <c r="P5828" s="79" t="str">
        <f>IF(AND('331-CT'!$E$7=TH!H5828,OR(N5828="331",O5828="331")),"x","")</f>
        <v/>
      </c>
      <c r="Q5828" s="79" t="str">
        <f>IF(AND(B5828='111'!$L$11,OR($N5828=$Q$7,$O5828=$Q$7)),"x","")</f>
        <v/>
      </c>
      <c r="R5828" s="79" t="str">
        <f>IF(AND($N5828=$Q$7,$B5828&lt;'111'!$L$11),"x","")</f>
        <v/>
      </c>
      <c r="S5828" s="79" t="str">
        <f>IF(AND($O5828=$Q$7,$B5828&lt;'111'!$L$11),"x","")</f>
        <v/>
      </c>
      <c r="T5828" s="79" t="str">
        <f>IF(ISERROR(FIND('112'!$M$9,G5828,1)),"",IF((AND(FIND('112'!$M$9,G5828,1)&gt;=1,B5828='112'!$K$9,OR($N5828='112'!$I$6,$O5828='112'!$I$6))),"x",""))</f>
        <v/>
      </c>
      <c r="U5828" s="79" t="str">
        <f>IF(ISERROR(FIND('112'!$M$9,G5828,1)),"",IF((AND(LEFT(G5828,2)=LEFT('112'!$M$9,2),B5828&lt;'112'!$K$9,$N5828='112'!$I$6)),"x",""))</f>
        <v/>
      </c>
      <c r="V5828" s="79" t="str">
        <f>IF(ISERROR(FIND('112'!$M$9,G5828,1)),"",IF((AND(RIGHT(G5828,2)=RIGHT('112'!$M$9,2),B5828&lt;'112'!$K$9,$O5828='112'!$I$6)),"x",""))</f>
        <v/>
      </c>
      <c r="W5828" s="79" t="str">
        <f>IF(AND('341-CT'!$H$9=H5828,OR(LEFT(N5828,3)=$W$7,LEFT(O5828,3)=$W$7)),"x","")</f>
        <v/>
      </c>
      <c r="X5828" s="79" t="str">
        <f>IF(OR(TH!N5828=TH!$X$7,O5828=TH!$X$7),"x","")</f>
        <v/>
      </c>
      <c r="Y5828" s="79" t="str">
        <f>IF(AND(OR(N5828="131",O5828="131"),H5828='131-CT'!$H$9),"x","")</f>
        <v/>
      </c>
      <c r="Z5828" s="79"/>
      <c r="AA5828" s="79" t="str">
        <f>IF(AND(MONTH(E5828)='IN-NX'!$J$5,'IN-NX'!$D$7=D5828),"x","")</f>
        <v/>
      </c>
      <c r="AB5828" s="79" t="str">
        <f>IF(AND(OR(LEFT(TH!N5828,2)="15",LEFT(TH!O5828,2)="15"),LEFT(TH!O5828,3)&lt;&gt;"111",'152-CT'!$J$8=TH!F5828),"x","")</f>
        <v/>
      </c>
      <c r="AC5828" s="79" t="str">
        <f>IF(AND(OR(LEFT(TH!N5828,2)="15",LEFT(TH!O5828,2)="15"),TK!$E$7=TH!F5828),"x","")</f>
        <v/>
      </c>
      <c r="AD5828" s="79" t="str">
        <f>IF(AND(N5828="1521",MONTH(C5828)='BK-NL'!$M$11),"x","")</f>
        <v/>
      </c>
    </row>
    <row r="5829" spans="1:30" ht="16.5" customHeight="1">
      <c r="A5829" s="318" t="str">
        <f>IF(B5829&lt;&gt;"",IF(AND(B5829='IN-TC'!$S$4,OR(TH!N5829="1111",TH!O5829="1111")),TH!D5829,""),"")</f>
        <v/>
      </c>
      <c r="B5829" s="60" t="str">
        <f t="shared" si="512"/>
        <v/>
      </c>
      <c r="C5829" s="61"/>
      <c r="D5829" s="301"/>
      <c r="E5829" s="61"/>
      <c r="F5829" s="69"/>
      <c r="G5829" s="64"/>
      <c r="H5829" s="321"/>
      <c r="I5829" s="385"/>
      <c r="J5829" s="392"/>
      <c r="K5829" s="385"/>
      <c r="L5829" s="392"/>
      <c r="M5829" s="62"/>
      <c r="N5829" s="63"/>
      <c r="O5829" s="63"/>
      <c r="P5829" s="79" t="str">
        <f>IF(AND('331-CT'!$E$7=TH!H5829,OR(N5829="331",O5829="331")),"x","")</f>
        <v/>
      </c>
      <c r="Q5829" s="79" t="str">
        <f>IF(AND(B5829='111'!$L$11,OR($N5829=$Q$7,$O5829=$Q$7)),"x","")</f>
        <v/>
      </c>
      <c r="R5829" s="79" t="str">
        <f>IF(AND($N5829=$Q$7,$B5829&lt;'111'!$L$11),"x","")</f>
        <v/>
      </c>
      <c r="S5829" s="79" t="str">
        <f>IF(AND($O5829=$Q$7,$B5829&lt;'111'!$L$11),"x","")</f>
        <v/>
      </c>
      <c r="T5829" s="79" t="str">
        <f>IF(ISERROR(FIND('112'!$M$9,G5829,1)),"",IF((AND(FIND('112'!$M$9,G5829,1)&gt;=1,B5829='112'!$K$9,OR($N5829='112'!$I$6,$O5829='112'!$I$6))),"x",""))</f>
        <v/>
      </c>
      <c r="U5829" s="79" t="str">
        <f>IF(ISERROR(FIND('112'!$M$9,G5829,1)),"",IF((AND(LEFT(G5829,2)=LEFT('112'!$M$9,2),B5829&lt;'112'!$K$9,$N5829='112'!$I$6)),"x",""))</f>
        <v/>
      </c>
      <c r="V5829" s="79" t="str">
        <f>IF(ISERROR(FIND('112'!$M$9,G5829,1)),"",IF((AND(RIGHT(G5829,2)=RIGHT('112'!$M$9,2),B5829&lt;'112'!$K$9,$O5829='112'!$I$6)),"x",""))</f>
        <v/>
      </c>
      <c r="W5829" s="79" t="str">
        <f>IF(AND('341-CT'!$H$9=H5829,OR(LEFT(N5829,3)=$W$7,LEFT(O5829,3)=$W$7)),"x","")</f>
        <v/>
      </c>
      <c r="X5829" s="79" t="str">
        <f>IF(OR(TH!N5829=TH!$X$7,O5829=TH!$X$7),"x","")</f>
        <v/>
      </c>
      <c r="Y5829" s="79" t="str">
        <f>IF(AND(OR(N5829="131",O5829="131"),H5829='131-CT'!$H$9),"x","")</f>
        <v/>
      </c>
      <c r="Z5829" s="79"/>
      <c r="AA5829" s="79" t="str">
        <f>IF(AND(MONTH(E5829)='IN-NX'!$J$5,'IN-NX'!$D$7=D5829),"x","")</f>
        <v/>
      </c>
      <c r="AB5829" s="79" t="str">
        <f>IF(AND(OR(LEFT(TH!N5829,2)="15",LEFT(TH!O5829,2)="15"),LEFT(TH!O5829,3)&lt;&gt;"111",'152-CT'!$J$8=TH!F5829),"x","")</f>
        <v/>
      </c>
      <c r="AC5829" s="79" t="str">
        <f>IF(AND(OR(LEFT(TH!N5829,2)="15",LEFT(TH!O5829,2)="15"),TK!$E$7=TH!F5829),"x","")</f>
        <v/>
      </c>
      <c r="AD5829" s="79" t="str">
        <f>IF(AND(N5829="1521",MONTH(C5829)='BK-NL'!$M$11),"x","")</f>
        <v/>
      </c>
    </row>
    <row r="5830" spans="1:30" ht="16.5" customHeight="1">
      <c r="A5830" s="318" t="str">
        <f>IF(B5830&lt;&gt;"",IF(AND(B5830='IN-TC'!$S$4,OR(TH!N5830="1111",TH!O5830="1111")),TH!D5830,""),"")</f>
        <v/>
      </c>
      <c r="B5830" s="60" t="str">
        <f t="shared" si="512"/>
        <v/>
      </c>
      <c r="C5830" s="61"/>
      <c r="D5830" s="301"/>
      <c r="E5830" s="61"/>
      <c r="F5830" s="69"/>
      <c r="G5830" s="64"/>
      <c r="H5830" s="321"/>
      <c r="I5830" s="385"/>
      <c r="J5830" s="392"/>
      <c r="K5830" s="385"/>
      <c r="L5830" s="392"/>
      <c r="M5830" s="62"/>
      <c r="N5830" s="63"/>
      <c r="O5830" s="63"/>
      <c r="P5830" s="79" t="str">
        <f>IF(AND('331-CT'!$E$7=TH!H5830,OR(N5830="331",O5830="331")),"x","")</f>
        <v/>
      </c>
      <c r="Q5830" s="79" t="str">
        <f>IF(AND(B5830='111'!$L$11,OR($N5830=$Q$7,$O5830=$Q$7)),"x","")</f>
        <v/>
      </c>
      <c r="R5830" s="79" t="str">
        <f>IF(AND($N5830=$Q$7,$B5830&lt;'111'!$L$11),"x","")</f>
        <v/>
      </c>
      <c r="S5830" s="79" t="str">
        <f>IF(AND($O5830=$Q$7,$B5830&lt;'111'!$L$11),"x","")</f>
        <v/>
      </c>
      <c r="T5830" s="79" t="str">
        <f>IF(ISERROR(FIND('112'!$M$9,G5830,1)),"",IF((AND(FIND('112'!$M$9,G5830,1)&gt;=1,B5830='112'!$K$9,OR($N5830='112'!$I$6,$O5830='112'!$I$6))),"x",""))</f>
        <v/>
      </c>
      <c r="U5830" s="79" t="str">
        <f>IF(ISERROR(FIND('112'!$M$9,G5830,1)),"",IF((AND(LEFT(G5830,2)=LEFT('112'!$M$9,2),B5830&lt;'112'!$K$9,$N5830='112'!$I$6)),"x",""))</f>
        <v/>
      </c>
      <c r="V5830" s="79" t="str">
        <f>IF(ISERROR(FIND('112'!$M$9,G5830,1)),"",IF((AND(RIGHT(G5830,2)=RIGHT('112'!$M$9,2),B5830&lt;'112'!$K$9,$O5830='112'!$I$6)),"x",""))</f>
        <v/>
      </c>
      <c r="W5830" s="79" t="str">
        <f>IF(AND('341-CT'!$H$9=H5830,OR(LEFT(N5830,3)=$W$7,LEFT(O5830,3)=$W$7)),"x","")</f>
        <v/>
      </c>
      <c r="X5830" s="79" t="str">
        <f>IF(OR(TH!N5830=TH!$X$7,O5830=TH!$X$7),"x","")</f>
        <v/>
      </c>
      <c r="Y5830" s="79" t="str">
        <f>IF(AND(OR(N5830="131",O5830="131"),H5830='131-CT'!$H$9),"x","")</f>
        <v/>
      </c>
      <c r="Z5830" s="79"/>
      <c r="AA5830" s="79" t="str">
        <f>IF(AND(MONTH(E5830)='IN-NX'!$J$5,'IN-NX'!$D$7=D5830),"x","")</f>
        <v/>
      </c>
      <c r="AB5830" s="79" t="str">
        <f>IF(AND(OR(LEFT(TH!N5830,2)="15",LEFT(TH!O5830,2)="15"),LEFT(TH!O5830,3)&lt;&gt;"111",'152-CT'!$J$8=TH!F5830),"x","")</f>
        <v/>
      </c>
      <c r="AC5830" s="79" t="str">
        <f>IF(AND(OR(LEFT(TH!N5830,2)="15",LEFT(TH!O5830,2)="15"),TK!$E$7=TH!F5830),"x","")</f>
        <v/>
      </c>
      <c r="AD5830" s="79" t="str">
        <f>IF(AND(N5830="1521",MONTH(C5830)='BK-NL'!$M$11),"x","")</f>
        <v/>
      </c>
    </row>
    <row r="5831" spans="1:30" ht="16.5" customHeight="1">
      <c r="A5831" s="318" t="str">
        <f>IF(B5831&lt;&gt;"",IF(AND(B5831='IN-TC'!$S$4,OR(TH!N5831="1111",TH!O5831="1111")),TH!D5831,""),"")</f>
        <v/>
      </c>
      <c r="B5831" s="60" t="str">
        <f t="shared" si="512"/>
        <v/>
      </c>
      <c r="C5831" s="61"/>
      <c r="D5831" s="301"/>
      <c r="E5831" s="61"/>
      <c r="F5831" s="69"/>
      <c r="G5831" s="64"/>
      <c r="H5831" s="321"/>
      <c r="I5831" s="385"/>
      <c r="J5831" s="392"/>
      <c r="K5831" s="385"/>
      <c r="L5831" s="392"/>
      <c r="M5831" s="62"/>
      <c r="N5831" s="63"/>
      <c r="O5831" s="63"/>
      <c r="P5831" s="79" t="str">
        <f>IF(AND('331-CT'!$E$7=TH!H5831,OR(N5831="331",O5831="331")),"x","")</f>
        <v/>
      </c>
      <c r="Q5831" s="79" t="str">
        <f>IF(AND(B5831='111'!$L$11,OR($N5831=$Q$7,$O5831=$Q$7)),"x","")</f>
        <v/>
      </c>
      <c r="R5831" s="79" t="str">
        <f>IF(AND($N5831=$Q$7,$B5831&lt;'111'!$L$11),"x","")</f>
        <v/>
      </c>
      <c r="S5831" s="79" t="str">
        <f>IF(AND($O5831=$Q$7,$B5831&lt;'111'!$L$11),"x","")</f>
        <v/>
      </c>
      <c r="T5831" s="79" t="str">
        <f>IF(ISERROR(FIND('112'!$M$9,G5831,1)),"",IF((AND(FIND('112'!$M$9,G5831,1)&gt;=1,B5831='112'!$K$9,OR($N5831='112'!$I$6,$O5831='112'!$I$6))),"x",""))</f>
        <v/>
      </c>
      <c r="U5831" s="79" t="str">
        <f>IF(ISERROR(FIND('112'!$M$9,G5831,1)),"",IF((AND(LEFT(G5831,2)=LEFT('112'!$M$9,2),B5831&lt;'112'!$K$9,$N5831='112'!$I$6)),"x",""))</f>
        <v/>
      </c>
      <c r="V5831" s="79" t="str">
        <f>IF(ISERROR(FIND('112'!$M$9,G5831,1)),"",IF((AND(RIGHT(G5831,2)=RIGHT('112'!$M$9,2),B5831&lt;'112'!$K$9,$O5831='112'!$I$6)),"x",""))</f>
        <v/>
      </c>
      <c r="W5831" s="79" t="str">
        <f>IF(AND('341-CT'!$H$9=H5831,OR(LEFT(N5831,3)=$W$7,LEFT(O5831,3)=$W$7)),"x","")</f>
        <v/>
      </c>
      <c r="X5831" s="79" t="str">
        <f>IF(OR(TH!N5831=TH!$X$7,O5831=TH!$X$7),"x","")</f>
        <v/>
      </c>
      <c r="Y5831" s="79" t="str">
        <f>IF(AND(OR(N5831="131",O5831="131"),H5831='131-CT'!$H$9),"x","")</f>
        <v/>
      </c>
      <c r="Z5831" s="79"/>
      <c r="AA5831" s="79" t="str">
        <f>IF(AND(MONTH(E5831)='IN-NX'!$J$5,'IN-NX'!$D$7=D5831),"x","")</f>
        <v/>
      </c>
      <c r="AB5831" s="79" t="str">
        <f>IF(AND(OR(LEFT(TH!N5831,2)="15",LEFT(TH!O5831,2)="15"),LEFT(TH!O5831,3)&lt;&gt;"111",'152-CT'!$J$8=TH!F5831),"x","")</f>
        <v/>
      </c>
      <c r="AC5831" s="79" t="str">
        <f>IF(AND(OR(LEFT(TH!N5831,2)="15",LEFT(TH!O5831,2)="15"),TK!$E$7=TH!F5831),"x","")</f>
        <v/>
      </c>
      <c r="AD5831" s="79" t="str">
        <f>IF(AND(N5831="1521",MONTH(C5831)='BK-NL'!$M$11),"x","")</f>
        <v/>
      </c>
    </row>
    <row r="5832" spans="1:30" ht="16.5" customHeight="1">
      <c r="A5832" s="318" t="str">
        <f>IF(B5832&lt;&gt;"",IF(AND(B5832='IN-TC'!$S$4,OR(TH!N5832="1111",TH!O5832="1111")),TH!D5832,""),"")</f>
        <v/>
      </c>
      <c r="B5832" s="60" t="str">
        <f t="shared" si="512"/>
        <v/>
      </c>
      <c r="C5832" s="61"/>
      <c r="D5832" s="301"/>
      <c r="E5832" s="61"/>
      <c r="F5832" s="69"/>
      <c r="G5832" s="64"/>
      <c r="H5832" s="321"/>
      <c r="I5832" s="385"/>
      <c r="J5832" s="392"/>
      <c r="K5832" s="385"/>
      <c r="L5832" s="392"/>
      <c r="M5832" s="62"/>
      <c r="N5832" s="63"/>
      <c r="O5832" s="63"/>
      <c r="P5832" s="79" t="str">
        <f>IF(AND('331-CT'!$E$7=TH!H5832,OR(N5832="331",O5832="331")),"x","")</f>
        <v/>
      </c>
      <c r="Q5832" s="79" t="str">
        <f>IF(AND(B5832='111'!$L$11,OR($N5832=$Q$7,$O5832=$Q$7)),"x","")</f>
        <v/>
      </c>
      <c r="R5832" s="79" t="str">
        <f>IF(AND($N5832=$Q$7,$B5832&lt;'111'!$L$11),"x","")</f>
        <v/>
      </c>
      <c r="S5832" s="79" t="str">
        <f>IF(AND($O5832=$Q$7,$B5832&lt;'111'!$L$11),"x","")</f>
        <v/>
      </c>
      <c r="T5832" s="79" t="str">
        <f>IF(ISERROR(FIND('112'!$M$9,G5832,1)),"",IF((AND(FIND('112'!$M$9,G5832,1)&gt;=1,B5832='112'!$K$9,OR($N5832='112'!$I$6,$O5832='112'!$I$6))),"x",""))</f>
        <v/>
      </c>
      <c r="U5832" s="79" t="str">
        <f>IF(ISERROR(FIND('112'!$M$9,G5832,1)),"",IF((AND(LEFT(G5832,2)=LEFT('112'!$M$9,2),B5832&lt;'112'!$K$9,$N5832='112'!$I$6)),"x",""))</f>
        <v/>
      </c>
      <c r="V5832" s="79" t="str">
        <f>IF(ISERROR(FIND('112'!$M$9,G5832,1)),"",IF((AND(RIGHT(G5832,2)=RIGHT('112'!$M$9,2),B5832&lt;'112'!$K$9,$O5832='112'!$I$6)),"x",""))</f>
        <v/>
      </c>
      <c r="W5832" s="79" t="str">
        <f>IF(AND('341-CT'!$H$9=H5832,OR(LEFT(N5832,3)=$W$7,LEFT(O5832,3)=$W$7)),"x","")</f>
        <v/>
      </c>
      <c r="X5832" s="79" t="str">
        <f>IF(OR(TH!N5832=TH!$X$7,O5832=TH!$X$7),"x","")</f>
        <v/>
      </c>
      <c r="Y5832" s="79" t="str">
        <f>IF(AND(OR(N5832="131",O5832="131"),H5832='131-CT'!$H$9),"x","")</f>
        <v/>
      </c>
      <c r="Z5832" s="79"/>
      <c r="AA5832" s="79" t="str">
        <f>IF(AND(MONTH(E5832)='IN-NX'!$J$5,'IN-NX'!$D$7=D5832),"x","")</f>
        <v/>
      </c>
      <c r="AB5832" s="79" t="str">
        <f>IF(AND(OR(LEFT(TH!N5832,2)="15",LEFT(TH!O5832,2)="15"),LEFT(TH!O5832,3)&lt;&gt;"111",'152-CT'!$J$8=TH!F5832),"x","")</f>
        <v/>
      </c>
      <c r="AC5832" s="79" t="str">
        <f>IF(AND(OR(LEFT(TH!N5832,2)="15",LEFT(TH!O5832,2)="15"),TK!$E$7=TH!F5832),"x","")</f>
        <v/>
      </c>
      <c r="AD5832" s="79" t="str">
        <f>IF(AND(N5832="1521",MONTH(C5832)='BK-NL'!$M$11),"x","")</f>
        <v/>
      </c>
    </row>
    <row r="5833" spans="1:30" ht="16.5" customHeight="1">
      <c r="A5833" s="318" t="str">
        <f>IF(B5833&lt;&gt;"",IF(AND(B5833='IN-TC'!$S$4,OR(TH!N5833="1111",TH!O5833="1111")),TH!D5833,""),"")</f>
        <v/>
      </c>
      <c r="B5833" s="60" t="str">
        <f t="shared" si="512"/>
        <v/>
      </c>
      <c r="C5833" s="61"/>
      <c r="D5833" s="301"/>
      <c r="E5833" s="61"/>
      <c r="F5833" s="69"/>
      <c r="G5833" s="64"/>
      <c r="H5833" s="321"/>
      <c r="I5833" s="385"/>
      <c r="J5833" s="392"/>
      <c r="K5833" s="385"/>
      <c r="L5833" s="392"/>
      <c r="M5833" s="62"/>
      <c r="N5833" s="63"/>
      <c r="O5833" s="63"/>
      <c r="P5833" s="79" t="str">
        <f>IF(AND('331-CT'!$E$7=TH!H5833,OR(N5833="331",O5833="331")),"x","")</f>
        <v/>
      </c>
      <c r="Q5833" s="79" t="str">
        <f>IF(AND(B5833='111'!$L$11,OR($N5833=$Q$7,$O5833=$Q$7)),"x","")</f>
        <v/>
      </c>
      <c r="R5833" s="79" t="str">
        <f>IF(AND($N5833=$Q$7,$B5833&lt;'111'!$L$11),"x","")</f>
        <v/>
      </c>
      <c r="S5833" s="79" t="str">
        <f>IF(AND($O5833=$Q$7,$B5833&lt;'111'!$L$11),"x","")</f>
        <v/>
      </c>
      <c r="T5833" s="79" t="str">
        <f>IF(ISERROR(FIND('112'!$M$9,G5833,1)),"",IF((AND(FIND('112'!$M$9,G5833,1)&gt;=1,B5833='112'!$K$9,OR($N5833='112'!$I$6,$O5833='112'!$I$6))),"x",""))</f>
        <v/>
      </c>
      <c r="U5833" s="79" t="str">
        <f>IF(ISERROR(FIND('112'!$M$9,G5833,1)),"",IF((AND(LEFT(G5833,2)=LEFT('112'!$M$9,2),B5833&lt;'112'!$K$9,$N5833='112'!$I$6)),"x",""))</f>
        <v/>
      </c>
      <c r="V5833" s="79" t="str">
        <f>IF(ISERROR(FIND('112'!$M$9,G5833,1)),"",IF((AND(RIGHT(G5833,2)=RIGHT('112'!$M$9,2),B5833&lt;'112'!$K$9,$O5833='112'!$I$6)),"x",""))</f>
        <v/>
      </c>
      <c r="W5833" s="79" t="str">
        <f>IF(AND('341-CT'!$H$9=H5833,OR(LEFT(N5833,3)=$W$7,LEFT(O5833,3)=$W$7)),"x","")</f>
        <v/>
      </c>
      <c r="X5833" s="79" t="str">
        <f>IF(OR(TH!N5833=TH!$X$7,O5833=TH!$X$7),"x","")</f>
        <v/>
      </c>
      <c r="Y5833" s="79" t="str">
        <f>IF(AND(OR(N5833="131",O5833="131"),H5833='131-CT'!$H$9),"x","")</f>
        <v/>
      </c>
      <c r="Z5833" s="79"/>
      <c r="AA5833" s="79" t="str">
        <f>IF(AND(MONTH(E5833)='IN-NX'!$J$5,'IN-NX'!$D$7=D5833),"x","")</f>
        <v/>
      </c>
      <c r="AB5833" s="79" t="str">
        <f>IF(AND(OR(LEFT(TH!N5833,2)="15",LEFT(TH!O5833,2)="15"),LEFT(TH!O5833,3)&lt;&gt;"111",'152-CT'!$J$8=TH!F5833),"x","")</f>
        <v/>
      </c>
      <c r="AC5833" s="79" t="str">
        <f>IF(AND(OR(LEFT(TH!N5833,2)="15",LEFT(TH!O5833,2)="15"),TK!$E$7=TH!F5833),"x","")</f>
        <v/>
      </c>
      <c r="AD5833" s="79" t="str">
        <f>IF(AND(N5833="1521",MONTH(C5833)='BK-NL'!$M$11),"x","")</f>
        <v/>
      </c>
    </row>
    <row r="5834" spans="1:30" ht="16.5" customHeight="1">
      <c r="A5834" s="318" t="str">
        <f>IF(B5834&lt;&gt;"",IF(AND(B5834='IN-TC'!$S$4,OR(TH!N5834="1111",TH!O5834="1111")),TH!D5834,""),"")</f>
        <v/>
      </c>
      <c r="B5834" s="60" t="str">
        <f t="shared" si="512"/>
        <v/>
      </c>
      <c r="C5834" s="61"/>
      <c r="D5834" s="301"/>
      <c r="E5834" s="61"/>
      <c r="F5834" s="69"/>
      <c r="G5834" s="64"/>
      <c r="H5834" s="321"/>
      <c r="I5834" s="385"/>
      <c r="J5834" s="392"/>
      <c r="K5834" s="385"/>
      <c r="L5834" s="392"/>
      <c r="M5834" s="62"/>
      <c r="N5834" s="63"/>
      <c r="O5834" s="63"/>
      <c r="P5834" s="79" t="str">
        <f>IF(AND('331-CT'!$E$7=TH!H5834,OR(N5834="331",O5834="331")),"x","")</f>
        <v/>
      </c>
      <c r="Q5834" s="79" t="str">
        <f>IF(AND(B5834='111'!$L$11,OR($N5834=$Q$7,$O5834=$Q$7)),"x","")</f>
        <v/>
      </c>
      <c r="R5834" s="79" t="str">
        <f>IF(AND($N5834=$Q$7,$B5834&lt;'111'!$L$11),"x","")</f>
        <v/>
      </c>
      <c r="S5834" s="79" t="str">
        <f>IF(AND($O5834=$Q$7,$B5834&lt;'111'!$L$11),"x","")</f>
        <v/>
      </c>
      <c r="T5834" s="79" t="str">
        <f>IF(ISERROR(FIND('112'!$M$9,G5834,1)),"",IF((AND(FIND('112'!$M$9,G5834,1)&gt;=1,B5834='112'!$K$9,OR($N5834='112'!$I$6,$O5834='112'!$I$6))),"x",""))</f>
        <v/>
      </c>
      <c r="U5834" s="79" t="str">
        <f>IF(ISERROR(FIND('112'!$M$9,G5834,1)),"",IF((AND(LEFT(G5834,2)=LEFT('112'!$M$9,2),B5834&lt;'112'!$K$9,$N5834='112'!$I$6)),"x",""))</f>
        <v/>
      </c>
      <c r="V5834" s="79" t="str">
        <f>IF(ISERROR(FIND('112'!$M$9,G5834,1)),"",IF((AND(RIGHT(G5834,2)=RIGHT('112'!$M$9,2),B5834&lt;'112'!$K$9,$O5834='112'!$I$6)),"x",""))</f>
        <v/>
      </c>
      <c r="W5834" s="79" t="str">
        <f>IF(AND('341-CT'!$H$9=H5834,OR(LEFT(N5834,3)=$W$7,LEFT(O5834,3)=$W$7)),"x","")</f>
        <v/>
      </c>
      <c r="X5834" s="79" t="str">
        <f>IF(OR(TH!N5834=TH!$X$7,O5834=TH!$X$7),"x","")</f>
        <v/>
      </c>
      <c r="Y5834" s="79" t="str">
        <f>IF(AND(OR(N5834="131",O5834="131"),H5834='131-CT'!$H$9),"x","")</f>
        <v/>
      </c>
      <c r="Z5834" s="79"/>
      <c r="AA5834" s="79" t="str">
        <f>IF(AND(MONTH(E5834)='IN-NX'!$J$5,'IN-NX'!$D$7=D5834),"x","")</f>
        <v/>
      </c>
      <c r="AB5834" s="79" t="str">
        <f>IF(AND(OR(LEFT(TH!N5834,2)="15",LEFT(TH!O5834,2)="15"),LEFT(TH!O5834,3)&lt;&gt;"111",'152-CT'!$J$8=TH!F5834),"x","")</f>
        <v/>
      </c>
      <c r="AC5834" s="79" t="str">
        <f>IF(AND(OR(LEFT(TH!N5834,2)="15",LEFT(TH!O5834,2)="15"),TK!$E$7=TH!F5834),"x","")</f>
        <v/>
      </c>
      <c r="AD5834" s="79" t="str">
        <f>IF(AND(N5834="1521",MONTH(C5834)='BK-NL'!$M$11),"x","")</f>
        <v/>
      </c>
    </row>
    <row r="5835" spans="1:30" ht="16.5" customHeight="1">
      <c r="A5835" s="318" t="str">
        <f>IF(B5835&lt;&gt;"",IF(AND(B5835='IN-TC'!$S$4,OR(TH!N5835="1111",TH!O5835="1111")),TH!D5835,""),"")</f>
        <v/>
      </c>
      <c r="B5835" s="60" t="str">
        <f t="shared" si="512"/>
        <v/>
      </c>
      <c r="C5835" s="61"/>
      <c r="D5835" s="301"/>
      <c r="E5835" s="61"/>
      <c r="F5835" s="69"/>
      <c r="G5835" s="64"/>
      <c r="H5835" s="303"/>
      <c r="I5835" s="385"/>
      <c r="J5835" s="392"/>
      <c r="K5835" s="385"/>
      <c r="L5835" s="392"/>
      <c r="M5835" s="62"/>
      <c r="N5835" s="304"/>
      <c r="O5835" s="63"/>
      <c r="P5835" s="79" t="str">
        <f>IF(AND('331-CT'!$E$7=TH!H5835,OR(N5835="331",O5835="331")),"x","")</f>
        <v/>
      </c>
      <c r="Q5835" s="79" t="str">
        <f>IF(AND(B5835='111'!$L$11,OR($N5835=$Q$7,$O5835=$Q$7)),"x","")</f>
        <v/>
      </c>
      <c r="R5835" s="79" t="str">
        <f>IF(AND($N5835=$Q$7,$B5835&lt;'111'!$L$11),"x","")</f>
        <v/>
      </c>
      <c r="S5835" s="79" t="str">
        <f>IF(AND($O5835=$Q$7,$B5835&lt;'111'!$L$11),"x","")</f>
        <v/>
      </c>
      <c r="T5835" s="79" t="str">
        <f>IF(ISERROR(FIND('112'!$M$9,G5835,1)),"",IF((AND(FIND('112'!$M$9,G5835,1)&gt;=1,B5835='112'!$K$9,OR($N5835='112'!$I$6,$O5835='112'!$I$6))),"x",""))</f>
        <v/>
      </c>
      <c r="U5835" s="79" t="str">
        <f>IF(ISERROR(FIND('112'!$M$9,G5835,1)),"",IF((AND(LEFT(G5835,2)=LEFT('112'!$M$9,2),B5835&lt;'112'!$K$9,$N5835='112'!$I$6)),"x",""))</f>
        <v/>
      </c>
      <c r="V5835" s="79" t="str">
        <f>IF(ISERROR(FIND('112'!$M$9,G5835,1)),"",IF((AND(RIGHT(G5835,2)=RIGHT('112'!$M$9,2),B5835&lt;'112'!$K$9,$O5835='112'!$I$6)),"x",""))</f>
        <v/>
      </c>
      <c r="W5835" s="79" t="str">
        <f>IF(AND('341-CT'!$H$9=H5835,OR(LEFT(N5835,3)=$W$7,LEFT(O5835,3)=$W$7)),"x","")</f>
        <v/>
      </c>
      <c r="X5835" s="79" t="str">
        <f>IF(OR(TH!N5835=TH!$X$7,O5835=TH!$X$7),"x","")</f>
        <v/>
      </c>
      <c r="Y5835" s="79" t="str">
        <f>IF(AND(OR(N5835="131",O5835="131"),H5835='131-CT'!$H$9),"x","")</f>
        <v/>
      </c>
      <c r="Z5835" s="79"/>
      <c r="AA5835" s="79" t="str">
        <f>IF(AND(MONTH(E5835)='IN-NX'!$J$5,'IN-NX'!$D$7=D5835),"x","")</f>
        <v/>
      </c>
      <c r="AB5835" s="79" t="str">
        <f>IF(AND(OR(LEFT(TH!N5835,2)="15",LEFT(TH!O5835,2)="15"),LEFT(TH!O5835,3)&lt;&gt;"111",'152-CT'!$J$8=TH!F5835),"x","")</f>
        <v/>
      </c>
      <c r="AC5835" s="79" t="str">
        <f>IF(AND(OR(LEFT(TH!N5835,2)="15",LEFT(TH!O5835,2)="15"),TK!$E$7=TH!F5835),"x","")</f>
        <v/>
      </c>
      <c r="AD5835" s="79" t="str">
        <f>IF(AND(N5835="1521",MONTH(C5835)='BK-NL'!$M$11),"x","")</f>
        <v/>
      </c>
    </row>
    <row r="5836" spans="1:30" ht="16.5" customHeight="1">
      <c r="A5836" s="318" t="str">
        <f>IF(B5836&lt;&gt;"",IF(AND(B5836='IN-TC'!$S$4,OR(TH!N5836="1111",TH!O5836="1111")),TH!D5836,""),"")</f>
        <v/>
      </c>
      <c r="B5836" s="60" t="str">
        <f t="shared" si="512"/>
        <v/>
      </c>
      <c r="C5836" s="61"/>
      <c r="D5836" s="301"/>
      <c r="E5836" s="61"/>
      <c r="F5836" s="446"/>
      <c r="G5836" s="302"/>
      <c r="H5836" s="303"/>
      <c r="I5836" s="385"/>
      <c r="J5836" s="392"/>
      <c r="K5836" s="385"/>
      <c r="L5836" s="392"/>
      <c r="M5836" s="62"/>
      <c r="N5836" s="63"/>
      <c r="O5836" s="63"/>
      <c r="P5836" s="79" t="str">
        <f>IF(AND('331-CT'!$E$7=TH!H5836,OR(N5836="331",O5836="331")),"x","")</f>
        <v/>
      </c>
      <c r="Q5836" s="79" t="str">
        <f>IF(AND(B5836='111'!$L$11,OR($N5836=$Q$7,$O5836=$Q$7)),"x","")</f>
        <v/>
      </c>
      <c r="R5836" s="79" t="str">
        <f>IF(AND($N5836=$Q$7,$B5836&lt;'111'!$L$11),"x","")</f>
        <v/>
      </c>
      <c r="S5836" s="79" t="str">
        <f>IF(AND($O5836=$Q$7,$B5836&lt;'111'!$L$11),"x","")</f>
        <v/>
      </c>
      <c r="T5836" s="79" t="str">
        <f>IF(ISERROR(FIND('112'!$M$9,G5836,1)),"",IF((AND(FIND('112'!$M$9,G5836,1)&gt;=1,B5836='112'!$K$9,OR($N5836='112'!$I$6,$O5836='112'!$I$6))),"x",""))</f>
        <v/>
      </c>
      <c r="U5836" s="79" t="str">
        <f>IF(ISERROR(FIND('112'!$M$9,G5836,1)),"",IF((AND(LEFT(G5836,2)=LEFT('112'!$M$9,2),B5836&lt;'112'!$K$9,$N5836='112'!$I$6)),"x",""))</f>
        <v/>
      </c>
      <c r="V5836" s="79" t="str">
        <f>IF(ISERROR(FIND('112'!$M$9,G5836,1)),"",IF((AND(RIGHT(G5836,2)=RIGHT('112'!$M$9,2),B5836&lt;'112'!$K$9,$O5836='112'!$I$6)),"x",""))</f>
        <v/>
      </c>
      <c r="W5836" s="79" t="str">
        <f>IF(AND('341-CT'!$H$9=H5836,OR(LEFT(N5836,3)=$W$7,LEFT(O5836,3)=$W$7)),"x","")</f>
        <v/>
      </c>
      <c r="X5836" s="79" t="str">
        <f>IF(OR(TH!N5836=TH!$X$7,O5836=TH!$X$7),"x","")</f>
        <v/>
      </c>
      <c r="Y5836" s="79" t="str">
        <f>IF(AND(OR(N5836="131",O5836="131"),H5836='131-CT'!$H$9),"x","")</f>
        <v/>
      </c>
      <c r="Z5836" s="79"/>
      <c r="AA5836" s="79" t="str">
        <f>IF(AND(MONTH(E5836)='IN-NX'!$J$5,'IN-NX'!$D$7=D5836),"x","")</f>
        <v/>
      </c>
      <c r="AB5836" s="79" t="str">
        <f>IF(AND(OR(LEFT(TH!N5836,2)="15",LEFT(TH!O5836,2)="15"),LEFT(TH!O5836,3)&lt;&gt;"111",'152-CT'!$J$8=TH!F5836),"x","")</f>
        <v/>
      </c>
      <c r="AC5836" s="79" t="str">
        <f>IF(AND(OR(LEFT(TH!N5836,2)="15",LEFT(TH!O5836,2)="15"),TK!$E$7=TH!F5836),"x","")</f>
        <v/>
      </c>
      <c r="AD5836" s="79" t="str">
        <f>IF(AND(N5836="1521",MONTH(C5836)='BK-NL'!$M$11),"x","")</f>
        <v/>
      </c>
    </row>
    <row r="5837" spans="1:30" ht="16.5" customHeight="1">
      <c r="A5837" s="318" t="str">
        <f>IF(B5837&lt;&gt;"",IF(AND(B5837='IN-TC'!$S$4,OR(TH!N5837="1111",TH!O5837="1111")),TH!D5837,""),"")</f>
        <v/>
      </c>
      <c r="B5837" s="60" t="str">
        <f t="shared" si="512"/>
        <v/>
      </c>
      <c r="C5837" s="61"/>
      <c r="D5837" s="61"/>
      <c r="E5837" s="61"/>
      <c r="F5837" s="446"/>
      <c r="G5837" s="64"/>
      <c r="H5837" s="69"/>
      <c r="I5837" s="385"/>
      <c r="J5837" s="392"/>
      <c r="K5837" s="385"/>
      <c r="L5837" s="392"/>
      <c r="M5837" s="62"/>
      <c r="N5837" s="63"/>
      <c r="O5837" s="63"/>
      <c r="P5837" s="79" t="str">
        <f>IF(AND('331-CT'!$E$7=TH!H5837,OR(N5837="331",O5837="331")),"x","")</f>
        <v/>
      </c>
      <c r="Q5837" s="79" t="str">
        <f>IF(AND(B5837='111'!$L$11,OR($N5837=$Q$7,$O5837=$Q$7)),"x","")</f>
        <v/>
      </c>
      <c r="R5837" s="79" t="str">
        <f>IF(AND($N5837=$Q$7,$B5837&lt;'111'!$L$11),"x","")</f>
        <v/>
      </c>
      <c r="S5837" s="79" t="str">
        <f>IF(AND($O5837=$Q$7,$B5837&lt;'111'!$L$11),"x","")</f>
        <v/>
      </c>
      <c r="T5837" s="79" t="str">
        <f>IF(ISERROR(FIND('112'!$M$9,G5837,1)),"",IF((AND(FIND('112'!$M$9,G5837,1)&gt;=1,B5837='112'!$K$9,OR($N5837='112'!$I$6,$O5837='112'!$I$6))),"x",""))</f>
        <v/>
      </c>
      <c r="U5837" s="79" t="str">
        <f>IF(ISERROR(FIND('112'!$M$9,G5837,1)),"",IF((AND(LEFT(G5837,2)=LEFT('112'!$M$9,2),B5837&lt;'112'!$K$9,$N5837='112'!$I$6)),"x",""))</f>
        <v/>
      </c>
      <c r="V5837" s="79" t="str">
        <f>IF(ISERROR(FIND('112'!$M$9,G5837,1)),"",IF((AND(RIGHT(G5837,2)=RIGHT('112'!$M$9,2),B5837&lt;'112'!$K$9,$O5837='112'!$I$6)),"x",""))</f>
        <v/>
      </c>
      <c r="W5837" s="79" t="str">
        <f>IF(AND('341-CT'!$H$9=H5837,OR(LEFT(N5837,3)=$W$7,LEFT(O5837,3)=$W$7)),"x","")</f>
        <v/>
      </c>
      <c r="X5837" s="79" t="str">
        <f>IF(OR(TH!N5837=TH!$X$7,O5837=TH!$X$7),"x","")</f>
        <v/>
      </c>
      <c r="Y5837" s="79" t="str">
        <f>IF(AND(OR(N5837="131",O5837="131"),H5837='131-CT'!$H$9),"x","")</f>
        <v/>
      </c>
      <c r="Z5837" s="79"/>
      <c r="AA5837" s="79" t="str">
        <f>IF(AND(MONTH(E5837)='IN-NX'!$J$5,'IN-NX'!$D$7=D5837),"x","")</f>
        <v/>
      </c>
      <c r="AB5837" s="79" t="str">
        <f>IF(AND(OR(LEFT(TH!N5837,2)="15",LEFT(TH!O5837,2)="15"),LEFT(TH!O5837,3)&lt;&gt;"111",'152-CT'!$J$8=TH!F5837),"x","")</f>
        <v/>
      </c>
      <c r="AC5837" s="79" t="str">
        <f>IF(AND(OR(LEFT(TH!N5837,2)="15",LEFT(TH!O5837,2)="15"),TK!$E$7=TH!F5837),"x","")</f>
        <v/>
      </c>
      <c r="AD5837" s="79" t="str">
        <f>IF(AND(N5837="1521",MONTH(C5837)='BK-NL'!$M$11),"x","")</f>
        <v/>
      </c>
    </row>
    <row r="5838" spans="1:30" ht="16.5" customHeight="1">
      <c r="A5838" s="318" t="str">
        <f>IF(B5838&lt;&gt;"",IF(AND(B5838='IN-TC'!$S$4,OR(TH!N5838="1111",TH!O5838="1111")),TH!D5838,""),"")</f>
        <v/>
      </c>
      <c r="B5838" s="60" t="str">
        <f t="shared" si="512"/>
        <v/>
      </c>
      <c r="C5838" s="301"/>
      <c r="D5838" s="301"/>
      <c r="E5838" s="301"/>
      <c r="F5838" s="69"/>
      <c r="G5838" s="302"/>
      <c r="H5838" s="303"/>
      <c r="I5838" s="385"/>
      <c r="J5838" s="392"/>
      <c r="K5838" s="385"/>
      <c r="L5838" s="392"/>
      <c r="M5838" s="62"/>
      <c r="N5838" s="63"/>
      <c r="O5838" s="63"/>
      <c r="P5838" s="79" t="str">
        <f>IF(AND('331-CT'!$E$7=TH!H5838,OR(N5838="331",O5838="331")),"x","")</f>
        <v/>
      </c>
      <c r="Q5838" s="79" t="str">
        <f>IF(AND(B5838='111'!$L$11,OR($N5838=$Q$7,$O5838=$Q$7)),"x","")</f>
        <v/>
      </c>
      <c r="R5838" s="79" t="str">
        <f>IF(AND($N5838=$Q$7,$B5838&lt;'111'!$L$11),"x","")</f>
        <v/>
      </c>
      <c r="S5838" s="79" t="str">
        <f>IF(AND($O5838=$Q$7,$B5838&lt;'111'!$L$11),"x","")</f>
        <v/>
      </c>
      <c r="T5838" s="79" t="str">
        <f>IF(ISERROR(FIND('112'!$M$9,G5838,1)),"",IF((AND(FIND('112'!$M$9,G5838,1)&gt;=1,B5838='112'!$K$9,OR($N5838='112'!$I$6,$O5838='112'!$I$6))),"x",""))</f>
        <v/>
      </c>
      <c r="U5838" s="79" t="str">
        <f>IF(ISERROR(FIND('112'!$M$9,G5838,1)),"",IF((AND(LEFT(G5838,2)=LEFT('112'!$M$9,2),B5838&lt;'112'!$K$9,$N5838='112'!$I$6)),"x",""))</f>
        <v/>
      </c>
      <c r="V5838" s="79" t="str">
        <f>IF(ISERROR(FIND('112'!$M$9,G5838,1)),"",IF((AND(RIGHT(G5838,2)=RIGHT('112'!$M$9,2),B5838&lt;'112'!$K$9,$O5838='112'!$I$6)),"x",""))</f>
        <v/>
      </c>
      <c r="W5838" s="79" t="str">
        <f>IF(AND('341-CT'!$H$9=H5838,OR(LEFT(N5838,3)=$W$7,LEFT(O5838,3)=$W$7)),"x","")</f>
        <v/>
      </c>
      <c r="X5838" s="79" t="str">
        <f>IF(OR(TH!N5838=TH!$X$7,O5838=TH!$X$7),"x","")</f>
        <v/>
      </c>
      <c r="Y5838" s="79" t="str">
        <f>IF(AND(OR(N5838="131",O5838="131"),H5838='131-CT'!$H$9),"x","")</f>
        <v/>
      </c>
      <c r="Z5838" s="79"/>
      <c r="AA5838" s="79" t="str">
        <f>IF(AND(MONTH(E5838)='IN-NX'!$J$5,'IN-NX'!$D$7=D5838),"x","")</f>
        <v/>
      </c>
      <c r="AB5838" s="79" t="str">
        <f>IF(AND(OR(LEFT(TH!N5838,2)="15",LEFT(TH!O5838,2)="15"),LEFT(TH!O5838,3)&lt;&gt;"111",'152-CT'!$J$8=TH!F5838),"x","")</f>
        <v/>
      </c>
      <c r="AC5838" s="79" t="str">
        <f>IF(AND(OR(LEFT(TH!N5838,2)="15",LEFT(TH!O5838,2)="15"),TK!$E$7=TH!F5838),"x","")</f>
        <v/>
      </c>
      <c r="AD5838" s="79" t="str">
        <f>IF(AND(N5838="1521",MONTH(C5838)='BK-NL'!$M$11),"x","")</f>
        <v/>
      </c>
    </row>
    <row r="5839" spans="1:30" ht="16.5" customHeight="1">
      <c r="A5839" s="318" t="str">
        <f>IF(B5839&lt;&gt;"",IF(AND(B5839='IN-TC'!$S$4,OR(TH!N5839="1111",TH!O5839="1111")),TH!D5839,""),"")</f>
        <v/>
      </c>
      <c r="B5839" s="60" t="str">
        <f t="shared" si="512"/>
        <v/>
      </c>
      <c r="C5839" s="301"/>
      <c r="D5839" s="301"/>
      <c r="E5839" s="301"/>
      <c r="F5839" s="69"/>
      <c r="G5839" s="769"/>
      <c r="H5839" s="303"/>
      <c r="I5839" s="385"/>
      <c r="J5839" s="392"/>
      <c r="K5839" s="385"/>
      <c r="L5839" s="392"/>
      <c r="M5839" s="62"/>
      <c r="N5839" s="304"/>
      <c r="O5839" s="63"/>
      <c r="P5839" s="79" t="str">
        <f>IF(AND('331-CT'!$E$7=TH!H5839,OR(N5839="331",O5839="331")),"x","")</f>
        <v/>
      </c>
      <c r="Q5839" s="79" t="str">
        <f>IF(AND(B5839='111'!$L$11,OR($N5839=$Q$7,$O5839=$Q$7)),"x","")</f>
        <v/>
      </c>
      <c r="R5839" s="79" t="str">
        <f>IF(AND($N5839=$Q$7,$B5839&lt;'111'!$L$11),"x","")</f>
        <v/>
      </c>
      <c r="S5839" s="79" t="str">
        <f>IF(AND($O5839=$Q$7,$B5839&lt;'111'!$L$11),"x","")</f>
        <v/>
      </c>
      <c r="T5839" s="79" t="str">
        <f>IF(ISERROR(FIND('112'!$M$9,G5839,1)),"",IF((AND(FIND('112'!$M$9,G5839,1)&gt;=1,B5839='112'!$K$9,OR($N5839='112'!$I$6,$O5839='112'!$I$6))),"x",""))</f>
        <v/>
      </c>
      <c r="U5839" s="79" t="str">
        <f>IF(ISERROR(FIND('112'!$M$9,G5839,1)),"",IF((AND(LEFT(G5839,2)=LEFT('112'!$M$9,2),B5839&lt;'112'!$K$9,$N5839='112'!$I$6)),"x",""))</f>
        <v/>
      </c>
      <c r="V5839" s="79" t="str">
        <f>IF(ISERROR(FIND('112'!$M$9,G5839,1)),"",IF((AND(RIGHT(G5839,2)=RIGHT('112'!$M$9,2),B5839&lt;'112'!$K$9,$O5839='112'!$I$6)),"x",""))</f>
        <v/>
      </c>
      <c r="W5839" s="79" t="str">
        <f>IF(AND('341-CT'!$H$9=H5839,OR(LEFT(N5839,3)=$W$7,LEFT(O5839,3)=$W$7)),"x","")</f>
        <v/>
      </c>
      <c r="X5839" s="79" t="str">
        <f>IF(OR(TH!N5839=TH!$X$7,O5839=TH!$X$7),"x","")</f>
        <v/>
      </c>
      <c r="Y5839" s="79" t="str">
        <f>IF(AND(OR(N5839="131",O5839="131"),H5839='131-CT'!$H$9),"x","")</f>
        <v/>
      </c>
      <c r="Z5839" s="79"/>
      <c r="AA5839" s="79" t="str">
        <f>IF(AND(MONTH(E5839)='IN-NX'!$J$5,'IN-NX'!$D$7=D5839),"x","")</f>
        <v/>
      </c>
      <c r="AB5839" s="79" t="str">
        <f>IF(AND(OR(LEFT(TH!N5839,2)="15",LEFT(TH!O5839,2)="15"),LEFT(TH!O5839,3)&lt;&gt;"111",'152-CT'!$J$8=TH!F5839),"x","")</f>
        <v/>
      </c>
      <c r="AC5839" s="79" t="str">
        <f>IF(AND(OR(LEFT(TH!N5839,2)="15",LEFT(TH!O5839,2)="15"),TK!$E$7=TH!F5839),"x","")</f>
        <v/>
      </c>
      <c r="AD5839" s="79" t="str">
        <f>IF(AND(N5839="1521",MONTH(C5839)='BK-NL'!$M$11),"x","")</f>
        <v/>
      </c>
    </row>
    <row r="5840" spans="1:30" ht="16.5" customHeight="1">
      <c r="A5840" s="318" t="str">
        <f>IF(B5840&lt;&gt;"",IF(AND(B5840='IN-TC'!$S$4,OR(TH!N5840="1111",TH!O5840="1111")),TH!D5840,""),"")</f>
        <v/>
      </c>
      <c r="B5840" s="60" t="str">
        <f t="shared" si="512"/>
        <v/>
      </c>
      <c r="C5840" s="61"/>
      <c r="D5840" s="61"/>
      <c r="E5840" s="301"/>
      <c r="F5840" s="69"/>
      <c r="G5840" s="302"/>
      <c r="H5840" s="69"/>
      <c r="I5840" s="385"/>
      <c r="J5840" s="392"/>
      <c r="K5840" s="385"/>
      <c r="L5840" s="392"/>
      <c r="M5840" s="62"/>
      <c r="N5840" s="304"/>
      <c r="O5840" s="63"/>
      <c r="P5840" s="79" t="str">
        <f>IF(AND('331-CT'!$E$7=TH!H5840,OR(N5840="331",O5840="331")),"x","")</f>
        <v/>
      </c>
      <c r="Q5840" s="79" t="str">
        <f>IF(AND(B5840='111'!$L$11,OR($N5840=$Q$7,$O5840=$Q$7)),"x","")</f>
        <v/>
      </c>
      <c r="R5840" s="79" t="str">
        <f>IF(AND($N5840=$Q$7,$B5840&lt;'111'!$L$11),"x","")</f>
        <v/>
      </c>
      <c r="S5840" s="79" t="str">
        <f>IF(AND($O5840=$Q$7,$B5840&lt;'111'!$L$11),"x","")</f>
        <v/>
      </c>
      <c r="T5840" s="79" t="str">
        <f>IF(ISERROR(FIND('112'!$M$9,G5840,1)),"",IF((AND(FIND('112'!$M$9,G5840,1)&gt;=1,B5840='112'!$K$9,OR($N5840='112'!$I$6,$O5840='112'!$I$6))),"x",""))</f>
        <v/>
      </c>
      <c r="U5840" s="79" t="str">
        <f>IF(ISERROR(FIND('112'!$M$9,G5840,1)),"",IF((AND(LEFT(G5840,2)=LEFT('112'!$M$9,2),B5840&lt;'112'!$K$9,$N5840='112'!$I$6)),"x",""))</f>
        <v/>
      </c>
      <c r="V5840" s="79" t="str">
        <f>IF(ISERROR(FIND('112'!$M$9,G5840,1)),"",IF((AND(RIGHT(G5840,2)=RIGHT('112'!$M$9,2),B5840&lt;'112'!$K$9,$O5840='112'!$I$6)),"x",""))</f>
        <v/>
      </c>
      <c r="W5840" s="79" t="str">
        <f>IF(AND('341-CT'!$H$9=H5840,OR(LEFT(N5840,3)=$W$7,LEFT(O5840,3)=$W$7)),"x","")</f>
        <v/>
      </c>
      <c r="X5840" s="79" t="str">
        <f>IF(OR(TH!N5840=TH!$X$7,O5840=TH!$X$7),"x","")</f>
        <v/>
      </c>
      <c r="Y5840" s="79" t="str">
        <f>IF(AND(OR(N5840="131",O5840="131"),H5840='131-CT'!$H$9),"x","")</f>
        <v/>
      </c>
      <c r="Z5840" s="79"/>
      <c r="AA5840" s="79" t="str">
        <f>IF(AND(MONTH(E5840)='IN-NX'!$J$5,'IN-NX'!$D$7=D5840),"x","")</f>
        <v/>
      </c>
      <c r="AB5840" s="79" t="str">
        <f>IF(AND(OR(LEFT(TH!N5840,2)="15",LEFT(TH!O5840,2)="15"),LEFT(TH!O5840,3)&lt;&gt;"111",'152-CT'!$J$8=TH!F5840),"x","")</f>
        <v/>
      </c>
      <c r="AC5840" s="79" t="str">
        <f>IF(AND(OR(LEFT(TH!N5840,2)="15",LEFT(TH!O5840,2)="15"),TK!$E$7=TH!F5840),"x","")</f>
        <v/>
      </c>
      <c r="AD5840" s="79" t="str">
        <f>IF(AND(N5840="1521",MONTH(C5840)='BK-NL'!$M$11),"x","")</f>
        <v/>
      </c>
    </row>
    <row r="5841" spans="1:30" ht="16.5" customHeight="1">
      <c r="A5841" s="318" t="str">
        <f>IF(B5841&lt;&gt;"",IF(AND(B5841='IN-TC'!$S$4,OR(TH!N5841="1111",TH!O5841="1111")),TH!D5841,""),"")</f>
        <v/>
      </c>
      <c r="B5841" s="60" t="str">
        <f t="shared" si="512"/>
        <v/>
      </c>
      <c r="C5841" s="61"/>
      <c r="D5841" s="61"/>
      <c r="E5841" s="301"/>
      <c r="F5841" s="69"/>
      <c r="G5841" s="302"/>
      <c r="H5841" s="69"/>
      <c r="I5841" s="385"/>
      <c r="J5841" s="392"/>
      <c r="K5841" s="385"/>
      <c r="L5841" s="392"/>
      <c r="M5841" s="62"/>
      <c r="N5841" s="304"/>
      <c r="O5841" s="63"/>
      <c r="P5841" s="79" t="str">
        <f>IF(AND('331-CT'!$E$7=TH!H5841,OR(N5841="331",O5841="331")),"x","")</f>
        <v/>
      </c>
      <c r="Q5841" s="79" t="str">
        <f>IF(AND(B5841='111'!$L$11,OR($N5841=$Q$7,$O5841=$Q$7)),"x","")</f>
        <v/>
      </c>
      <c r="R5841" s="79" t="str">
        <f>IF(AND($N5841=$Q$7,$B5841&lt;'111'!$L$11),"x","")</f>
        <v/>
      </c>
      <c r="S5841" s="79" t="str">
        <f>IF(AND($O5841=$Q$7,$B5841&lt;'111'!$L$11),"x","")</f>
        <v/>
      </c>
      <c r="T5841" s="79" t="str">
        <f>IF(ISERROR(FIND('112'!$M$9,G5841,1)),"",IF((AND(FIND('112'!$M$9,G5841,1)&gt;=1,B5841='112'!$K$9,OR($N5841='112'!$I$6,$O5841='112'!$I$6))),"x",""))</f>
        <v/>
      </c>
      <c r="U5841" s="79" t="str">
        <f>IF(ISERROR(FIND('112'!$M$9,G5841,1)),"",IF((AND(LEFT(G5841,2)=LEFT('112'!$M$9,2),B5841&lt;'112'!$K$9,$N5841='112'!$I$6)),"x",""))</f>
        <v/>
      </c>
      <c r="V5841" s="79" t="str">
        <f>IF(ISERROR(FIND('112'!$M$9,G5841,1)),"",IF((AND(RIGHT(G5841,2)=RIGHT('112'!$M$9,2),B5841&lt;'112'!$K$9,$O5841='112'!$I$6)),"x",""))</f>
        <v/>
      </c>
      <c r="W5841" s="79" t="str">
        <f>IF(AND('341-CT'!$H$9=H5841,OR(LEFT(N5841,3)=$W$7,LEFT(O5841,3)=$W$7)),"x","")</f>
        <v/>
      </c>
      <c r="X5841" s="79" t="str">
        <f>IF(OR(TH!N5841=TH!$X$7,O5841=TH!$X$7),"x","")</f>
        <v/>
      </c>
      <c r="Y5841" s="79" t="str">
        <f>IF(AND(OR(N5841="131",O5841="131"),H5841='131-CT'!$H$9),"x","")</f>
        <v/>
      </c>
      <c r="Z5841" s="79"/>
      <c r="AA5841" s="79" t="str">
        <f>IF(AND(MONTH(E5841)='IN-NX'!$J$5,'IN-NX'!$D$7=D5841),"x","")</f>
        <v/>
      </c>
      <c r="AB5841" s="79" t="str">
        <f>IF(AND(OR(LEFT(TH!N5841,2)="15",LEFT(TH!O5841,2)="15"),LEFT(TH!O5841,3)&lt;&gt;"111",'152-CT'!$J$8=TH!F5841),"x","")</f>
        <v/>
      </c>
      <c r="AC5841" s="79" t="str">
        <f>IF(AND(OR(LEFT(TH!N5841,2)="15",LEFT(TH!O5841,2)="15"),TK!$E$7=TH!F5841),"x","")</f>
        <v/>
      </c>
      <c r="AD5841" s="79" t="str">
        <f>IF(AND(N5841="1521",MONTH(C5841)='BK-NL'!$M$11),"x","")</f>
        <v/>
      </c>
    </row>
    <row r="5842" spans="1:30" ht="16.5" customHeight="1">
      <c r="A5842" s="318" t="str">
        <f>IF(B5842&lt;&gt;"",IF(AND(B5842='IN-TC'!$S$4,OR(TH!N5842="1111",TH!O5842="1111")),TH!D5842,""),"")</f>
        <v/>
      </c>
      <c r="B5842" s="60" t="str">
        <f t="shared" si="512"/>
        <v/>
      </c>
      <c r="C5842" s="301"/>
      <c r="D5842" s="61"/>
      <c r="E5842" s="301"/>
      <c r="F5842" s="69"/>
      <c r="G5842" s="302"/>
      <c r="H5842" s="303"/>
      <c r="I5842" s="385"/>
      <c r="J5842" s="392"/>
      <c r="K5842" s="385"/>
      <c r="L5842" s="392"/>
      <c r="M5842" s="62"/>
      <c r="N5842" s="304"/>
      <c r="O5842" s="304"/>
      <c r="P5842" s="79" t="str">
        <f>IF(AND('331-CT'!$E$7=TH!H5842,OR(N5842="331",O5842="331")),"x","")</f>
        <v/>
      </c>
      <c r="Q5842" s="79" t="str">
        <f>IF(AND(B5842='111'!$L$11,OR($N5842=$Q$7,$O5842=$Q$7)),"x","")</f>
        <v/>
      </c>
      <c r="R5842" s="79" t="str">
        <f>IF(AND($N5842=$Q$7,$B5842&lt;'111'!$L$11),"x","")</f>
        <v/>
      </c>
      <c r="S5842" s="79" t="str">
        <f>IF(AND($O5842=$Q$7,$B5842&lt;'111'!$L$11),"x","")</f>
        <v/>
      </c>
      <c r="T5842" s="79" t="str">
        <f>IF(ISERROR(FIND('112'!$M$9,G5842,1)),"",IF((AND(FIND('112'!$M$9,G5842,1)&gt;=1,B5842='112'!$K$9,OR($N5842='112'!$I$6,$O5842='112'!$I$6))),"x",""))</f>
        <v/>
      </c>
      <c r="U5842" s="79" t="str">
        <f>IF(ISERROR(FIND('112'!$M$9,G5842,1)),"",IF((AND(LEFT(G5842,2)=LEFT('112'!$M$9,2),B5842&lt;'112'!$K$9,$N5842='112'!$I$6)),"x",""))</f>
        <v/>
      </c>
      <c r="V5842" s="79" t="str">
        <f>IF(ISERROR(FIND('112'!$M$9,G5842,1)),"",IF((AND(RIGHT(G5842,2)=RIGHT('112'!$M$9,2),B5842&lt;'112'!$K$9,$O5842='112'!$I$6)),"x",""))</f>
        <v/>
      </c>
      <c r="W5842" s="79" t="str">
        <f>IF(AND('341-CT'!$H$9=H5842,OR(LEFT(N5842,3)=$W$7,LEFT(O5842,3)=$W$7)),"x","")</f>
        <v/>
      </c>
      <c r="X5842" s="79" t="str">
        <f>IF(OR(TH!N5842=TH!$X$7,O5842=TH!$X$7),"x","")</f>
        <v/>
      </c>
      <c r="Y5842" s="79" t="str">
        <f>IF(AND(OR(N5842="131",O5842="131"),H5842='131-CT'!$H$9),"x","")</f>
        <v/>
      </c>
      <c r="Z5842" s="79"/>
      <c r="AA5842" s="79" t="str">
        <f>IF(AND(MONTH(E5842)='IN-NX'!$J$5,'IN-NX'!$D$7=D5842),"x","")</f>
        <v/>
      </c>
      <c r="AB5842" s="79" t="str">
        <f>IF(AND(OR(LEFT(TH!N5842,2)="15",LEFT(TH!O5842,2)="15"),LEFT(TH!O5842,3)&lt;&gt;"111",'152-CT'!$J$8=TH!F5842),"x","")</f>
        <v/>
      </c>
      <c r="AC5842" s="79" t="str">
        <f>IF(AND(OR(LEFT(TH!N5842,2)="15",LEFT(TH!O5842,2)="15"),TK!$E$7=TH!F5842),"x","")</f>
        <v/>
      </c>
      <c r="AD5842" s="79" t="str">
        <f>IF(AND(N5842="1521",MONTH(C5842)='BK-NL'!$M$11),"x","")</f>
        <v/>
      </c>
    </row>
    <row r="5843" spans="1:30" ht="16.5" customHeight="1">
      <c r="A5843" s="318" t="str">
        <f>IF(B5843&lt;&gt;"",IF(AND(B5843='IN-TC'!$S$4,OR(TH!N5843="1111",TH!O5843="1111")),TH!D5843,""),"")</f>
        <v/>
      </c>
      <c r="B5843" s="60" t="str">
        <f t="shared" si="512"/>
        <v/>
      </c>
      <c r="C5843" s="301"/>
      <c r="D5843" s="301"/>
      <c r="E5843" s="301"/>
      <c r="F5843" s="69"/>
      <c r="G5843" s="302"/>
      <c r="H5843" s="303"/>
      <c r="I5843" s="385"/>
      <c r="J5843" s="392"/>
      <c r="K5843" s="385"/>
      <c r="L5843" s="392"/>
      <c r="M5843" s="394"/>
      <c r="N5843" s="304"/>
      <c r="O5843" s="63"/>
      <c r="P5843" s="79" t="str">
        <f>IF(AND('331-CT'!$E$7=TH!H5843,OR(N5843="331",O5843="331")),"x","")</f>
        <v/>
      </c>
      <c r="Q5843" s="79" t="str">
        <f>IF(AND(B5843='111'!$L$11,OR($N5843=$Q$7,$O5843=$Q$7)),"x","")</f>
        <v/>
      </c>
      <c r="R5843" s="79" t="str">
        <f>IF(AND($N5843=$Q$7,$B5843&lt;'111'!$L$11),"x","")</f>
        <v/>
      </c>
      <c r="S5843" s="79" t="str">
        <f>IF(AND($O5843=$Q$7,$B5843&lt;'111'!$L$11),"x","")</f>
        <v/>
      </c>
      <c r="T5843" s="79" t="str">
        <f>IF(ISERROR(FIND('112'!$M$9,G5843,1)),"",IF((AND(FIND('112'!$M$9,G5843,1)&gt;=1,B5843='112'!$K$9,OR($N5843='112'!$I$6,$O5843='112'!$I$6))),"x",""))</f>
        <v/>
      </c>
      <c r="U5843" s="79" t="str">
        <f>IF(ISERROR(FIND('112'!$M$9,G5843,1)),"",IF((AND(LEFT(G5843,2)=LEFT('112'!$M$9,2),B5843&lt;'112'!$K$9,$N5843='112'!$I$6)),"x",""))</f>
        <v/>
      </c>
      <c r="V5843" s="79" t="str">
        <f>IF(ISERROR(FIND('112'!$M$9,G5843,1)),"",IF((AND(RIGHT(G5843,2)=RIGHT('112'!$M$9,2),B5843&lt;'112'!$K$9,$O5843='112'!$I$6)),"x",""))</f>
        <v/>
      </c>
      <c r="W5843" s="79" t="str">
        <f>IF(AND('341-CT'!$H$9=H5843,OR(LEFT(N5843,3)=$W$7,LEFT(O5843,3)=$W$7)),"x","")</f>
        <v/>
      </c>
      <c r="X5843" s="79" t="str">
        <f>IF(OR(TH!N5843=TH!$X$7,O5843=TH!$X$7),"x","")</f>
        <v/>
      </c>
      <c r="Y5843" s="79" t="str">
        <f>IF(AND(OR(N5843="131",O5843="131"),H5843='131-CT'!$H$9),"x","")</f>
        <v/>
      </c>
      <c r="Z5843" s="79"/>
      <c r="AA5843" s="79" t="str">
        <f>IF(AND(MONTH(E5843)='IN-NX'!$J$5,'IN-NX'!$D$7=D5843),"x","")</f>
        <v/>
      </c>
      <c r="AB5843" s="79" t="str">
        <f>IF(AND(OR(LEFT(TH!N5843,2)="15",LEFT(TH!O5843,2)="15"),LEFT(TH!O5843,3)&lt;&gt;"111",'152-CT'!$J$8=TH!F5843),"x","")</f>
        <v/>
      </c>
      <c r="AC5843" s="79" t="str">
        <f>IF(AND(OR(LEFT(TH!N5843,2)="15",LEFT(TH!O5843,2)="15"),TK!$E$7=TH!F5843),"x","")</f>
        <v/>
      </c>
      <c r="AD5843" s="79" t="str">
        <f>IF(AND(N5843="1521",MONTH(C5843)='BK-NL'!$M$11),"x","")</f>
        <v/>
      </c>
    </row>
    <row r="5844" spans="1:30" ht="16.5" customHeight="1">
      <c r="A5844" s="318" t="str">
        <f>IF(B5844&lt;&gt;"",IF(AND(B5844='IN-TC'!$S$4,OR(TH!N5844="1111",TH!O5844="1111")),TH!D5844,""),"")</f>
        <v/>
      </c>
      <c r="B5844" s="60" t="str">
        <f t="shared" si="512"/>
        <v/>
      </c>
      <c r="C5844" s="301"/>
      <c r="D5844" s="61"/>
      <c r="E5844" s="301"/>
      <c r="F5844" s="69"/>
      <c r="G5844" s="302"/>
      <c r="H5844" s="303"/>
      <c r="I5844" s="385"/>
      <c r="J5844" s="392"/>
      <c r="K5844" s="385"/>
      <c r="L5844" s="392"/>
      <c r="M5844" s="62"/>
      <c r="N5844" s="304"/>
      <c r="O5844" s="304"/>
      <c r="P5844" s="79" t="str">
        <f>IF(AND('331-CT'!$E$7=TH!H5844,OR(N5844="331",O5844="331")),"x","")</f>
        <v/>
      </c>
      <c r="Q5844" s="79" t="str">
        <f>IF(AND(B5844='111'!$L$11,OR($N5844=$Q$7,$O5844=$Q$7)),"x","")</f>
        <v/>
      </c>
      <c r="R5844" s="79" t="str">
        <f>IF(AND($N5844=$Q$7,$B5844&lt;'111'!$L$11),"x","")</f>
        <v/>
      </c>
      <c r="S5844" s="79" t="str">
        <f>IF(AND($O5844=$Q$7,$B5844&lt;'111'!$L$11),"x","")</f>
        <v/>
      </c>
      <c r="T5844" s="79" t="str">
        <f>IF(ISERROR(FIND('112'!$M$9,G5844,1)),"",IF((AND(FIND('112'!$M$9,G5844,1)&gt;=1,B5844='112'!$K$9,OR($N5844='112'!$I$6,$O5844='112'!$I$6))),"x",""))</f>
        <v/>
      </c>
      <c r="U5844" s="79" t="str">
        <f>IF(ISERROR(FIND('112'!$M$9,G5844,1)),"",IF((AND(LEFT(G5844,2)=LEFT('112'!$M$9,2),B5844&lt;'112'!$K$9,$N5844='112'!$I$6)),"x",""))</f>
        <v/>
      </c>
      <c r="V5844" s="79" t="str">
        <f>IF(ISERROR(FIND('112'!$M$9,G5844,1)),"",IF((AND(RIGHT(G5844,2)=RIGHT('112'!$M$9,2),B5844&lt;'112'!$K$9,$O5844='112'!$I$6)),"x",""))</f>
        <v/>
      </c>
      <c r="W5844" s="79" t="str">
        <f>IF(AND('341-CT'!$H$9=H5844,OR(LEFT(N5844,3)=$W$7,LEFT(O5844,3)=$W$7)),"x","")</f>
        <v/>
      </c>
      <c r="X5844" s="79" t="str">
        <f>IF(OR(TH!N5844=TH!$X$7,O5844=TH!$X$7),"x","")</f>
        <v/>
      </c>
      <c r="Y5844" s="79" t="str">
        <f>IF(AND(OR(N5844="131",O5844="131"),H5844='131-CT'!$H$9),"x","")</f>
        <v/>
      </c>
      <c r="Z5844" s="79"/>
      <c r="AA5844" s="79" t="str">
        <f>IF(AND(MONTH(E5844)='IN-NX'!$J$5,'IN-NX'!$D$7=D5844),"x","")</f>
        <v/>
      </c>
      <c r="AB5844" s="79" t="str">
        <f>IF(AND(OR(LEFT(TH!N5844,2)="15",LEFT(TH!O5844,2)="15"),LEFT(TH!O5844,3)&lt;&gt;"111",'152-CT'!$J$8=TH!F5844),"x","")</f>
        <v/>
      </c>
      <c r="AC5844" s="79" t="str">
        <f>IF(AND(OR(LEFT(TH!N5844,2)="15",LEFT(TH!O5844,2)="15"),TK!$E$7=TH!F5844),"x","")</f>
        <v/>
      </c>
      <c r="AD5844" s="79" t="str">
        <f>IF(AND(N5844="1521",MONTH(C5844)='BK-NL'!$M$11),"x","")</f>
        <v/>
      </c>
    </row>
    <row r="5845" spans="1:30" ht="16.5" customHeight="1">
      <c r="A5845" s="318" t="str">
        <f>IF(B5845&lt;&gt;"",IF(AND(B5845='IN-TC'!$S$4,OR(TH!N5845="1111",TH!O5845="1111")),TH!D5845,""),"")</f>
        <v/>
      </c>
      <c r="B5845" s="60" t="str">
        <f t="shared" si="512"/>
        <v/>
      </c>
      <c r="C5845" s="301"/>
      <c r="D5845" s="301"/>
      <c r="E5845" s="301"/>
      <c r="F5845" s="69"/>
      <c r="G5845" s="302"/>
      <c r="H5845" s="303"/>
      <c r="I5845" s="385"/>
      <c r="J5845" s="392"/>
      <c r="K5845" s="385"/>
      <c r="L5845" s="392"/>
      <c r="M5845" s="62"/>
      <c r="N5845" s="304"/>
      <c r="O5845" s="63"/>
      <c r="P5845" s="79" t="str">
        <f>IF(AND('331-CT'!$E$7=TH!H5845,OR(N5845="331",O5845="331")),"x","")</f>
        <v/>
      </c>
      <c r="Q5845" s="79" t="str">
        <f>IF(AND(B5845='111'!$L$11,OR($N5845=$Q$7,$O5845=$Q$7)),"x","")</f>
        <v/>
      </c>
      <c r="R5845" s="79" t="str">
        <f>IF(AND($N5845=$Q$7,$B5845&lt;'111'!$L$11),"x","")</f>
        <v/>
      </c>
      <c r="S5845" s="79" t="str">
        <f>IF(AND($O5845=$Q$7,$B5845&lt;'111'!$L$11),"x","")</f>
        <v/>
      </c>
      <c r="T5845" s="79" t="str">
        <f>IF(ISERROR(FIND('112'!$M$9,G5845,1)),"",IF((AND(FIND('112'!$M$9,G5845,1)&gt;=1,B5845='112'!$K$9,OR($N5845='112'!$I$6,$O5845='112'!$I$6))),"x",""))</f>
        <v/>
      </c>
      <c r="U5845" s="79" t="str">
        <f>IF(ISERROR(FIND('112'!$M$9,G5845,1)),"",IF((AND(LEFT(G5845,2)=LEFT('112'!$M$9,2),B5845&lt;'112'!$K$9,$N5845='112'!$I$6)),"x",""))</f>
        <v/>
      </c>
      <c r="V5845" s="79" t="str">
        <f>IF(ISERROR(FIND('112'!$M$9,G5845,1)),"",IF((AND(RIGHT(G5845,2)=RIGHT('112'!$M$9,2),B5845&lt;'112'!$K$9,$O5845='112'!$I$6)),"x",""))</f>
        <v/>
      </c>
      <c r="W5845" s="79" t="str">
        <f>IF(AND('341-CT'!$H$9=H5845,OR(LEFT(N5845,3)=$W$7,LEFT(O5845,3)=$W$7)),"x","")</f>
        <v/>
      </c>
      <c r="X5845" s="79" t="str">
        <f>IF(OR(TH!N5845=TH!$X$7,O5845=TH!$X$7),"x","")</f>
        <v/>
      </c>
      <c r="Y5845" s="79" t="str">
        <f>IF(AND(OR(N5845="131",O5845="131"),H5845='131-CT'!$H$9),"x","")</f>
        <v/>
      </c>
      <c r="Z5845" s="79"/>
      <c r="AA5845" s="79" t="str">
        <f>IF(AND(MONTH(E5845)='IN-NX'!$J$5,'IN-NX'!$D$7=D5845),"x","")</f>
        <v/>
      </c>
      <c r="AB5845" s="79" t="str">
        <f>IF(AND(OR(LEFT(TH!N5845,2)="15",LEFT(TH!O5845,2)="15"),LEFT(TH!O5845,3)&lt;&gt;"111",'152-CT'!$J$8=TH!F5845),"x","")</f>
        <v/>
      </c>
      <c r="AC5845" s="79" t="str">
        <f>IF(AND(OR(LEFT(TH!N5845,2)="15",LEFT(TH!O5845,2)="15"),TK!$E$7=TH!F5845),"x","")</f>
        <v/>
      </c>
      <c r="AD5845" s="79" t="str">
        <f>IF(AND(N5845="1521",MONTH(C5845)='BK-NL'!$M$11),"x","")</f>
        <v/>
      </c>
    </row>
    <row r="5846" spans="1:30" ht="16.5" customHeight="1">
      <c r="A5846" s="318" t="str">
        <f>IF(B5846&lt;&gt;"",IF(AND(B5846='IN-TC'!$S$4,OR(TH!N5846="1111",TH!O5846="1111")),TH!D5846,""),"")</f>
        <v/>
      </c>
      <c r="B5846" s="60" t="str">
        <f t="shared" si="512"/>
        <v/>
      </c>
      <c r="C5846" s="301"/>
      <c r="D5846" s="61"/>
      <c r="E5846" s="301"/>
      <c r="F5846" s="69"/>
      <c r="G5846" s="302"/>
      <c r="H5846" s="303"/>
      <c r="I5846" s="385"/>
      <c r="J5846" s="392"/>
      <c r="K5846" s="385"/>
      <c r="L5846" s="392"/>
      <c r="M5846" s="62"/>
      <c r="N5846" s="63"/>
      <c r="O5846" s="304"/>
      <c r="P5846" s="79" t="str">
        <f>IF(AND('331-CT'!$E$7=TH!H5846,OR(N5846="331",O5846="331")),"x","")</f>
        <v/>
      </c>
      <c r="Q5846" s="79" t="str">
        <f>IF(AND(B5846='111'!$L$11,OR($N5846=$Q$7,$O5846=$Q$7)),"x","")</f>
        <v/>
      </c>
      <c r="R5846" s="79" t="str">
        <f>IF(AND($N5846=$Q$7,$B5846&lt;'111'!$L$11),"x","")</f>
        <v/>
      </c>
      <c r="S5846" s="79" t="str">
        <f>IF(AND($O5846=$Q$7,$B5846&lt;'111'!$L$11),"x","")</f>
        <v/>
      </c>
      <c r="T5846" s="79" t="str">
        <f>IF(ISERROR(FIND('112'!$M$9,G5846,1)),"",IF((AND(FIND('112'!$M$9,G5846,1)&gt;=1,B5846='112'!$K$9,OR($N5846='112'!$I$6,$O5846='112'!$I$6))),"x",""))</f>
        <v/>
      </c>
      <c r="U5846" s="79" t="str">
        <f>IF(ISERROR(FIND('112'!$M$9,G5846,1)),"",IF((AND(LEFT(G5846,2)=LEFT('112'!$M$9,2),B5846&lt;'112'!$K$9,$N5846='112'!$I$6)),"x",""))</f>
        <v/>
      </c>
      <c r="V5846" s="79" t="str">
        <f>IF(ISERROR(FIND('112'!$M$9,G5846,1)),"",IF((AND(RIGHT(G5846,2)=RIGHT('112'!$M$9,2),B5846&lt;'112'!$K$9,$O5846='112'!$I$6)),"x",""))</f>
        <v/>
      </c>
      <c r="W5846" s="79" t="str">
        <f>IF(AND('341-CT'!$H$9=H5846,OR(LEFT(N5846,3)=$W$7,LEFT(O5846,3)=$W$7)),"x","")</f>
        <v/>
      </c>
      <c r="X5846" s="79" t="str">
        <f>IF(OR(TH!N5846=TH!$X$7,O5846=TH!$X$7),"x","")</f>
        <v/>
      </c>
      <c r="Y5846" s="79" t="str">
        <f>IF(AND(OR(N5846="131",O5846="131"),H5846='131-CT'!$H$9),"x","")</f>
        <v/>
      </c>
      <c r="Z5846" s="79"/>
      <c r="AA5846" s="79" t="str">
        <f>IF(AND(MONTH(E5846)='IN-NX'!$J$5,'IN-NX'!$D$7=D5846),"x","")</f>
        <v/>
      </c>
      <c r="AB5846" s="79" t="str">
        <f>IF(AND(OR(LEFT(TH!N5846,2)="15",LEFT(TH!O5846,2)="15"),LEFT(TH!O5846,3)&lt;&gt;"111",'152-CT'!$J$8=TH!F5846),"x","")</f>
        <v/>
      </c>
      <c r="AC5846" s="79" t="str">
        <f>IF(AND(OR(LEFT(TH!N5846,2)="15",LEFT(TH!O5846,2)="15"),TK!$E$7=TH!F5846),"x","")</f>
        <v/>
      </c>
      <c r="AD5846" s="79" t="str">
        <f>IF(AND(N5846="1521",MONTH(C5846)='BK-NL'!$M$11),"x","")</f>
        <v/>
      </c>
    </row>
    <row r="5847" spans="1:30" ht="16.5" customHeight="1">
      <c r="A5847" s="318" t="str">
        <f>IF(B5847&lt;&gt;"",IF(AND(B5847='IN-TC'!$S$4,OR(TH!N5847="1111",TH!O5847="1111")),TH!D5847,""),"")</f>
        <v/>
      </c>
      <c r="B5847" s="60" t="str">
        <f t="shared" si="512"/>
        <v/>
      </c>
      <c r="C5847" s="61"/>
      <c r="D5847" s="301"/>
      <c r="E5847" s="61"/>
      <c r="F5847" s="69"/>
      <c r="G5847" s="64"/>
      <c r="H5847" s="69"/>
      <c r="I5847" s="385"/>
      <c r="J5847" s="392"/>
      <c r="K5847" s="385"/>
      <c r="L5847" s="392"/>
      <c r="M5847" s="62"/>
      <c r="N5847" s="63"/>
      <c r="O5847" s="63"/>
      <c r="P5847" s="79" t="str">
        <f>IF(AND('331-CT'!$E$7=TH!H5847,OR(N5847="331",O5847="331")),"x","")</f>
        <v/>
      </c>
      <c r="Q5847" s="79" t="str">
        <f>IF(AND(B5847='111'!$L$11,OR($N5847=$Q$7,$O5847=$Q$7)),"x","")</f>
        <v/>
      </c>
      <c r="R5847" s="79" t="str">
        <f>IF(AND($N5847=$Q$7,$B5847&lt;'111'!$L$11),"x","")</f>
        <v/>
      </c>
      <c r="S5847" s="79" t="str">
        <f>IF(AND($O5847=$Q$7,$B5847&lt;'111'!$L$11),"x","")</f>
        <v/>
      </c>
      <c r="T5847" s="79" t="str">
        <f>IF(ISERROR(FIND('112'!$M$9,G5847,1)),"",IF((AND(FIND('112'!$M$9,G5847,1)&gt;=1,B5847='112'!$K$9,OR($N5847='112'!$I$6,$O5847='112'!$I$6))),"x",""))</f>
        <v/>
      </c>
      <c r="U5847" s="79" t="str">
        <f>IF(ISERROR(FIND('112'!$M$9,G5847,1)),"",IF((AND(LEFT(G5847,2)=LEFT('112'!$M$9,2),B5847&lt;'112'!$K$9,$N5847='112'!$I$6)),"x",""))</f>
        <v/>
      </c>
      <c r="V5847" s="79" t="str">
        <f>IF(ISERROR(FIND('112'!$M$9,G5847,1)),"",IF((AND(RIGHT(G5847,2)=RIGHT('112'!$M$9,2),B5847&lt;'112'!$K$9,$O5847='112'!$I$6)),"x",""))</f>
        <v/>
      </c>
      <c r="W5847" s="79" t="str">
        <f>IF(AND('341-CT'!$H$9=H5847,OR(LEFT(N5847,3)=$W$7,LEFT(O5847,3)=$W$7)),"x","")</f>
        <v/>
      </c>
      <c r="X5847" s="79" t="str">
        <f>IF(OR(TH!N5847=TH!$X$7,O5847=TH!$X$7),"x","")</f>
        <v/>
      </c>
      <c r="Y5847" s="79" t="str">
        <f>IF(AND(OR(N5847="131",O5847="131"),H5847='131-CT'!$H$9),"x","")</f>
        <v/>
      </c>
      <c r="Z5847" s="79"/>
      <c r="AA5847" s="79" t="str">
        <f>IF(AND(MONTH(E5847)='IN-NX'!$J$5,'IN-NX'!$D$7=D5847),"x","")</f>
        <v/>
      </c>
      <c r="AB5847" s="79" t="str">
        <f>IF(AND(OR(LEFT(TH!N5847,2)="15",LEFT(TH!O5847,2)="15"),LEFT(TH!O5847,3)&lt;&gt;"111",'152-CT'!$J$8=TH!F5847),"x","")</f>
        <v/>
      </c>
      <c r="AC5847" s="79" t="str">
        <f>IF(AND(OR(LEFT(TH!N5847,2)="15",LEFT(TH!O5847,2)="15"),TK!$E$7=TH!F5847),"x","")</f>
        <v/>
      </c>
      <c r="AD5847" s="79" t="str">
        <f>IF(AND(N5847="1521",MONTH(C5847)='BK-NL'!$M$11),"x","")</f>
        <v/>
      </c>
    </row>
    <row r="5848" spans="1:30" ht="16.5" customHeight="1">
      <c r="A5848" s="318" t="str">
        <f>IF(B5848&lt;&gt;"",IF(AND(B5848='IN-TC'!$S$4,OR(TH!N5848="1111",TH!O5848="1111")),TH!D5848,""),"")</f>
        <v/>
      </c>
      <c r="B5848" s="60" t="str">
        <f t="shared" si="512"/>
        <v/>
      </c>
      <c r="C5848" s="61"/>
      <c r="D5848" s="301"/>
      <c r="E5848" s="61"/>
      <c r="F5848" s="69"/>
      <c r="G5848" s="64"/>
      <c r="H5848" s="69"/>
      <c r="I5848" s="385"/>
      <c r="J5848" s="392"/>
      <c r="K5848" s="385"/>
      <c r="L5848" s="392"/>
      <c r="M5848" s="62"/>
      <c r="N5848" s="63"/>
      <c r="O5848" s="63"/>
      <c r="P5848" s="79" t="str">
        <f>IF(AND('331-CT'!$E$7=TH!H5848,OR(N5848="331",O5848="331")),"x","")</f>
        <v/>
      </c>
      <c r="Q5848" s="79" t="str">
        <f>IF(AND(B5848='111'!$L$11,OR($N5848=$Q$7,$O5848=$Q$7)),"x","")</f>
        <v/>
      </c>
      <c r="R5848" s="79" t="str">
        <f>IF(AND($N5848=$Q$7,$B5848&lt;'111'!$L$11),"x","")</f>
        <v/>
      </c>
      <c r="S5848" s="79" t="str">
        <f>IF(AND($O5848=$Q$7,$B5848&lt;'111'!$L$11),"x","")</f>
        <v/>
      </c>
      <c r="T5848" s="79" t="str">
        <f>IF(ISERROR(FIND('112'!$M$9,G5848,1)),"",IF((AND(FIND('112'!$M$9,G5848,1)&gt;=1,B5848='112'!$K$9,OR($N5848='112'!$I$6,$O5848='112'!$I$6))),"x",""))</f>
        <v/>
      </c>
      <c r="U5848" s="79" t="str">
        <f>IF(ISERROR(FIND('112'!$M$9,G5848,1)),"",IF((AND(LEFT(G5848,2)=LEFT('112'!$M$9,2),B5848&lt;'112'!$K$9,$N5848='112'!$I$6)),"x",""))</f>
        <v/>
      </c>
      <c r="V5848" s="79" t="str">
        <f>IF(ISERROR(FIND('112'!$M$9,G5848,1)),"",IF((AND(RIGHT(G5848,2)=RIGHT('112'!$M$9,2),B5848&lt;'112'!$K$9,$O5848='112'!$I$6)),"x",""))</f>
        <v/>
      </c>
      <c r="W5848" s="79" t="str">
        <f>IF(AND('341-CT'!$H$9=H5848,OR(LEFT(N5848,3)=$W$7,LEFT(O5848,3)=$W$7)),"x","")</f>
        <v/>
      </c>
      <c r="X5848" s="79" t="str">
        <f>IF(OR(TH!N5848=TH!$X$7,O5848=TH!$X$7),"x","")</f>
        <v/>
      </c>
      <c r="Y5848" s="79" t="str">
        <f>IF(AND(OR(N5848="131",O5848="131"),H5848='131-CT'!$H$9),"x","")</f>
        <v/>
      </c>
      <c r="Z5848" s="79"/>
      <c r="AA5848" s="79" t="str">
        <f>IF(AND(MONTH(E5848)='IN-NX'!$J$5,'IN-NX'!$D$7=D5848),"x","")</f>
        <v/>
      </c>
      <c r="AB5848" s="79" t="str">
        <f>IF(AND(OR(LEFT(TH!N5848,2)="15",LEFT(TH!O5848,2)="15"),LEFT(TH!O5848,3)&lt;&gt;"111",'152-CT'!$J$8=TH!F5848),"x","")</f>
        <v/>
      </c>
      <c r="AC5848" s="79" t="str">
        <f>IF(AND(OR(LEFT(TH!N5848,2)="15",LEFT(TH!O5848,2)="15"),TK!$E$7=TH!F5848),"x","")</f>
        <v/>
      </c>
      <c r="AD5848" s="79" t="str">
        <f>IF(AND(N5848="1521",MONTH(C5848)='BK-NL'!$M$11),"x","")</f>
        <v/>
      </c>
    </row>
    <row r="5849" spans="1:30" ht="16.5" customHeight="1">
      <c r="A5849" s="318" t="str">
        <f>IF(B5849&lt;&gt;"",IF(AND(B5849='IN-TC'!$S$4,OR(TH!N5849="1111",TH!O5849="1111")),TH!D5849,""),"")</f>
        <v/>
      </c>
      <c r="B5849" s="60" t="str">
        <f t="shared" si="512"/>
        <v/>
      </c>
      <c r="C5849" s="61"/>
      <c r="D5849" s="301"/>
      <c r="E5849" s="61"/>
      <c r="F5849" s="69"/>
      <c r="G5849" s="64"/>
      <c r="H5849" s="303"/>
      <c r="I5849" s="385"/>
      <c r="J5849" s="392"/>
      <c r="K5849" s="385"/>
      <c r="L5849" s="392"/>
      <c r="M5849" s="62"/>
      <c r="N5849" s="304"/>
      <c r="O5849" s="63"/>
      <c r="P5849" s="79" t="str">
        <f>IF(AND('331-CT'!$E$7=TH!H5849,OR(N5849="331",O5849="331")),"x","")</f>
        <v/>
      </c>
      <c r="Q5849" s="79" t="str">
        <f>IF(AND(B5849='111'!$L$11,OR($N5849=$Q$7,$O5849=$Q$7)),"x","")</f>
        <v/>
      </c>
      <c r="R5849" s="79" t="str">
        <f>IF(AND($N5849=$Q$7,$B5849&lt;'111'!$L$11),"x","")</f>
        <v/>
      </c>
      <c r="S5849" s="79" t="str">
        <f>IF(AND($O5849=$Q$7,$B5849&lt;'111'!$L$11),"x","")</f>
        <v/>
      </c>
      <c r="T5849" s="79" t="str">
        <f>IF(ISERROR(FIND('112'!$M$9,G5849,1)),"",IF((AND(FIND('112'!$M$9,G5849,1)&gt;=1,B5849='112'!$K$9,OR($N5849='112'!$I$6,$O5849='112'!$I$6))),"x",""))</f>
        <v/>
      </c>
      <c r="U5849" s="79" t="str">
        <f>IF(ISERROR(FIND('112'!$M$9,G5849,1)),"",IF((AND(LEFT(G5849,2)=LEFT('112'!$M$9,2),B5849&lt;'112'!$K$9,$N5849='112'!$I$6)),"x",""))</f>
        <v/>
      </c>
      <c r="V5849" s="79" t="str">
        <f>IF(ISERROR(FIND('112'!$M$9,G5849,1)),"",IF((AND(RIGHT(G5849,2)=RIGHT('112'!$M$9,2),B5849&lt;'112'!$K$9,$O5849='112'!$I$6)),"x",""))</f>
        <v/>
      </c>
      <c r="W5849" s="79" t="str">
        <f>IF(AND('341-CT'!$H$9=H5849,OR(LEFT(N5849,3)=$W$7,LEFT(O5849,3)=$W$7)),"x","")</f>
        <v/>
      </c>
      <c r="X5849" s="79" t="str">
        <f>IF(OR(TH!N5849=TH!$X$7,O5849=TH!$X$7),"x","")</f>
        <v/>
      </c>
      <c r="Y5849" s="79" t="str">
        <f>IF(AND(OR(N5849="131",O5849="131"),H5849='131-CT'!$H$9),"x","")</f>
        <v/>
      </c>
      <c r="Z5849" s="79"/>
      <c r="AA5849" s="79" t="str">
        <f>IF(AND(MONTH(E5849)='IN-NX'!$J$5,'IN-NX'!$D$7=D5849),"x","")</f>
        <v/>
      </c>
      <c r="AB5849" s="79" t="str">
        <f>IF(AND(OR(LEFT(TH!N5849,2)="15",LEFT(TH!O5849,2)="15"),LEFT(TH!O5849,3)&lt;&gt;"111",'152-CT'!$J$8=TH!F5849),"x","")</f>
        <v/>
      </c>
      <c r="AC5849" s="79" t="str">
        <f>IF(AND(OR(LEFT(TH!N5849,2)="15",LEFT(TH!O5849,2)="15"),TK!$E$7=TH!F5849),"x","")</f>
        <v/>
      </c>
      <c r="AD5849" s="79" t="str">
        <f>IF(AND(N5849="1521",MONTH(C5849)='BK-NL'!$M$11),"x","")</f>
        <v/>
      </c>
    </row>
    <row r="5850" spans="1:30" ht="16.5" customHeight="1">
      <c r="A5850" s="318" t="str">
        <f>IF(B5850&lt;&gt;"",IF(AND(B5850='IN-TC'!$S$4,OR(TH!N5850="1111",TH!O5850="1111")),TH!D5850,""),"")</f>
        <v/>
      </c>
      <c r="B5850" s="60" t="str">
        <f t="shared" si="512"/>
        <v/>
      </c>
      <c r="C5850" s="301"/>
      <c r="D5850" s="301"/>
      <c r="E5850" s="301"/>
      <c r="F5850" s="69"/>
      <c r="G5850" s="769"/>
      <c r="H5850" s="303"/>
      <c r="I5850" s="385"/>
      <c r="J5850" s="392"/>
      <c r="K5850" s="385"/>
      <c r="L5850" s="392"/>
      <c r="M5850" s="62"/>
      <c r="N5850" s="304"/>
      <c r="O5850" s="63"/>
      <c r="P5850" s="79" t="str">
        <f>IF(AND('331-CT'!$E$7=TH!H5850,OR(N5850="331",O5850="331")),"x","")</f>
        <v/>
      </c>
      <c r="Q5850" s="79" t="str">
        <f>IF(AND(B5850='111'!$L$11,OR($N5850=$Q$7,$O5850=$Q$7)),"x","")</f>
        <v/>
      </c>
      <c r="R5850" s="79" t="str">
        <f>IF(AND($N5850=$Q$7,$B5850&lt;'111'!$L$11),"x","")</f>
        <v/>
      </c>
      <c r="S5850" s="79" t="str">
        <f>IF(AND($O5850=$Q$7,$B5850&lt;'111'!$L$11),"x","")</f>
        <v/>
      </c>
      <c r="T5850" s="79" t="str">
        <f>IF(ISERROR(FIND('112'!$M$9,G5850,1)),"",IF((AND(FIND('112'!$M$9,G5850,1)&gt;=1,B5850='112'!$K$9,OR($N5850='112'!$I$6,$O5850='112'!$I$6))),"x",""))</f>
        <v/>
      </c>
      <c r="U5850" s="79" t="str">
        <f>IF(ISERROR(FIND('112'!$M$9,G5850,1)),"",IF((AND(LEFT(G5850,2)=LEFT('112'!$M$9,2),B5850&lt;'112'!$K$9,$N5850='112'!$I$6)),"x",""))</f>
        <v/>
      </c>
      <c r="V5850" s="79" t="str">
        <f>IF(ISERROR(FIND('112'!$M$9,G5850,1)),"",IF((AND(RIGHT(G5850,2)=RIGHT('112'!$M$9,2),B5850&lt;'112'!$K$9,$O5850='112'!$I$6)),"x",""))</f>
        <v/>
      </c>
      <c r="W5850" s="79" t="str">
        <f>IF(AND('341-CT'!$H$9=H5850,OR(LEFT(N5850,3)=$W$7,LEFT(O5850,3)=$W$7)),"x","")</f>
        <v/>
      </c>
      <c r="X5850" s="79" t="str">
        <f>IF(OR(TH!N5850=TH!$X$7,O5850=TH!$X$7),"x","")</f>
        <v/>
      </c>
      <c r="Y5850" s="79" t="str">
        <f>IF(AND(OR(N5850="131",O5850="131"),H5850='131-CT'!$H$9),"x","")</f>
        <v/>
      </c>
      <c r="Z5850" s="79"/>
      <c r="AA5850" s="79" t="str">
        <f>IF(AND(MONTH(E5850)='IN-NX'!$J$5,'IN-NX'!$D$7=D5850),"x","")</f>
        <v/>
      </c>
      <c r="AB5850" s="79" t="str">
        <f>IF(AND(OR(LEFT(TH!N5850,2)="15",LEFT(TH!O5850,2)="15"),LEFT(TH!O5850,3)&lt;&gt;"111",'152-CT'!$J$8=TH!F5850),"x","")</f>
        <v/>
      </c>
      <c r="AC5850" s="79" t="str">
        <f>IF(AND(OR(LEFT(TH!N5850,2)="15",LEFT(TH!O5850,2)="15"),TK!$E$7=TH!F5850),"x","")</f>
        <v/>
      </c>
      <c r="AD5850" s="79" t="str">
        <f>IF(AND(N5850="1521",MONTH(C5850)='BK-NL'!$M$11),"x","")</f>
        <v/>
      </c>
    </row>
    <row r="5851" spans="1:30" ht="16.5" customHeight="1">
      <c r="A5851" s="318" t="str">
        <f>IF(B5851&lt;&gt;"",IF(AND(B5851='IN-TC'!$S$4,OR(TH!N5851="1111",TH!O5851="1111")),TH!D5851,""),"")</f>
        <v/>
      </c>
      <c r="B5851" s="60" t="str">
        <f t="shared" si="512"/>
        <v/>
      </c>
      <c r="C5851" s="301"/>
      <c r="D5851" s="301"/>
      <c r="E5851" s="301"/>
      <c r="F5851" s="69"/>
      <c r="G5851" s="769"/>
      <c r="H5851" s="303"/>
      <c r="I5851" s="385"/>
      <c r="J5851" s="392"/>
      <c r="K5851" s="385"/>
      <c r="L5851" s="392"/>
      <c r="M5851" s="62"/>
      <c r="N5851" s="304"/>
      <c r="O5851" s="63"/>
      <c r="P5851" s="79" t="str">
        <f>IF(AND('331-CT'!$E$7=TH!H5851,OR(N5851="331",O5851="331")),"x","")</f>
        <v/>
      </c>
      <c r="Q5851" s="79" t="str">
        <f>IF(AND(B5851='111'!$L$11,OR($N5851=$Q$7,$O5851=$Q$7)),"x","")</f>
        <v/>
      </c>
      <c r="R5851" s="79" t="str">
        <f>IF(AND($N5851=$Q$7,$B5851&lt;'111'!$L$11),"x","")</f>
        <v/>
      </c>
      <c r="S5851" s="79" t="str">
        <f>IF(AND($O5851=$Q$7,$B5851&lt;'111'!$L$11),"x","")</f>
        <v/>
      </c>
      <c r="T5851" s="79" t="str">
        <f>IF(ISERROR(FIND('112'!$M$9,G5851,1)),"",IF((AND(FIND('112'!$M$9,G5851,1)&gt;=1,B5851='112'!$K$9,OR($N5851='112'!$I$6,$O5851='112'!$I$6))),"x",""))</f>
        <v/>
      </c>
      <c r="U5851" s="79" t="str">
        <f>IF(ISERROR(FIND('112'!$M$9,G5851,1)),"",IF((AND(LEFT(G5851,2)=LEFT('112'!$M$9,2),B5851&lt;'112'!$K$9,$N5851='112'!$I$6)),"x",""))</f>
        <v/>
      </c>
      <c r="V5851" s="79" t="str">
        <f>IF(ISERROR(FIND('112'!$M$9,G5851,1)),"",IF((AND(RIGHT(G5851,2)=RIGHT('112'!$M$9,2),B5851&lt;'112'!$K$9,$O5851='112'!$I$6)),"x",""))</f>
        <v/>
      </c>
      <c r="W5851" s="79" t="str">
        <f>IF(AND('341-CT'!$H$9=H5851,OR(LEFT(N5851,3)=$W$7,LEFT(O5851,3)=$W$7)),"x","")</f>
        <v/>
      </c>
      <c r="X5851" s="79" t="str">
        <f>IF(OR(TH!N5851=TH!$X$7,O5851=TH!$X$7),"x","")</f>
        <v/>
      </c>
      <c r="Y5851" s="79" t="str">
        <f>IF(AND(OR(N5851="131",O5851="131"),H5851='131-CT'!$H$9),"x","")</f>
        <v/>
      </c>
      <c r="Z5851" s="79"/>
      <c r="AA5851" s="79" t="str">
        <f>IF(AND(MONTH(E5851)='IN-NX'!$J$5,'IN-NX'!$D$7=D5851),"x","")</f>
        <v/>
      </c>
      <c r="AB5851" s="79" t="str">
        <f>IF(AND(OR(LEFT(TH!N5851,2)="15",LEFT(TH!O5851,2)="15"),LEFT(TH!O5851,3)&lt;&gt;"111",'152-CT'!$J$8=TH!F5851),"x","")</f>
        <v/>
      </c>
      <c r="AC5851" s="79" t="str">
        <f>IF(AND(OR(LEFT(TH!N5851,2)="15",LEFT(TH!O5851,2)="15"),TK!$E$7=TH!F5851),"x","")</f>
        <v/>
      </c>
      <c r="AD5851" s="79" t="str">
        <f>IF(AND(N5851="1521",MONTH(C5851)='BK-NL'!$M$11),"x","")</f>
        <v/>
      </c>
    </row>
    <row r="5852" spans="1:30" ht="16.5" customHeight="1">
      <c r="A5852" s="318" t="str">
        <f>IF(B5852&lt;&gt;"",IF(AND(B5852='IN-TC'!$S$4,OR(TH!N5852="1111",TH!O5852="1111")),TH!D5852,""),"")</f>
        <v/>
      </c>
      <c r="B5852" s="60" t="str">
        <f t="shared" si="512"/>
        <v/>
      </c>
      <c r="C5852" s="61"/>
      <c r="D5852" s="301"/>
      <c r="E5852" s="61"/>
      <c r="F5852" s="69"/>
      <c r="G5852" s="302"/>
      <c r="H5852" s="303"/>
      <c r="I5852" s="385"/>
      <c r="J5852" s="392"/>
      <c r="K5852" s="385"/>
      <c r="L5852" s="392"/>
      <c r="M5852" s="62"/>
      <c r="N5852" s="63"/>
      <c r="O5852" s="63"/>
      <c r="P5852" s="79" t="str">
        <f>IF(AND('331-CT'!$E$7=TH!H5852,OR(N5852="331",O5852="331")),"x","")</f>
        <v/>
      </c>
      <c r="Q5852" s="79" t="str">
        <f>IF(AND(B5852='111'!$L$11,OR($N5852=$Q$7,$O5852=$Q$7)),"x","")</f>
        <v/>
      </c>
      <c r="R5852" s="79" t="str">
        <f>IF(AND($N5852=$Q$7,$B5852&lt;'111'!$L$11),"x","")</f>
        <v/>
      </c>
      <c r="S5852" s="79" t="str">
        <f>IF(AND($O5852=$Q$7,$B5852&lt;'111'!$L$11),"x","")</f>
        <v/>
      </c>
      <c r="T5852" s="79" t="str">
        <f>IF(ISERROR(FIND('112'!$M$9,G5852,1)),"",IF((AND(FIND('112'!$M$9,G5852,1)&gt;=1,B5852='112'!$K$9,OR($N5852='112'!$I$6,$O5852='112'!$I$6))),"x",""))</f>
        <v/>
      </c>
      <c r="U5852" s="79" t="str">
        <f>IF(ISERROR(FIND('112'!$M$9,G5852,1)),"",IF((AND(LEFT(G5852,2)=LEFT('112'!$M$9,2),B5852&lt;'112'!$K$9,$N5852='112'!$I$6)),"x",""))</f>
        <v/>
      </c>
      <c r="V5852" s="79" t="str">
        <f>IF(ISERROR(FIND('112'!$M$9,G5852,1)),"",IF((AND(RIGHT(G5852,2)=RIGHT('112'!$M$9,2),B5852&lt;'112'!$K$9,$O5852='112'!$I$6)),"x",""))</f>
        <v/>
      </c>
      <c r="W5852" s="79" t="str">
        <f>IF(AND('341-CT'!$H$9=H5852,OR(LEFT(N5852,3)=$W$7,LEFT(O5852,3)=$W$7)),"x","")</f>
        <v/>
      </c>
      <c r="X5852" s="79" t="str">
        <f>IF(OR(TH!N5852=TH!$X$7,O5852=TH!$X$7),"x","")</f>
        <v/>
      </c>
      <c r="Y5852" s="79" t="str">
        <f>IF(AND(OR(N5852="131",O5852="131"),H5852='131-CT'!$H$9),"x","")</f>
        <v/>
      </c>
      <c r="Z5852" s="79"/>
      <c r="AA5852" s="79" t="str">
        <f>IF(AND(MONTH(E5852)='IN-NX'!$J$5,'IN-NX'!$D$7=D5852),"x","")</f>
        <v/>
      </c>
      <c r="AB5852" s="79" t="str">
        <f>IF(AND(OR(LEFT(TH!N5852,2)="15",LEFT(TH!O5852,2)="15"),LEFT(TH!O5852,3)&lt;&gt;"111",'152-CT'!$J$8=TH!F5852),"x","")</f>
        <v/>
      </c>
      <c r="AC5852" s="79" t="str">
        <f>IF(AND(OR(LEFT(TH!N5852,2)="15",LEFT(TH!O5852,2)="15"),TK!$E$7=TH!F5852),"x","")</f>
        <v/>
      </c>
      <c r="AD5852" s="79" t="str">
        <f>IF(AND(N5852="1521",MONTH(C5852)='BK-NL'!$M$11),"x","")</f>
        <v/>
      </c>
    </row>
    <row r="5853" spans="1:30" ht="16.5" customHeight="1">
      <c r="A5853" s="318" t="str">
        <f>IF(B5853&lt;&gt;"",IF(AND(B5853='IN-TC'!$S$4,OR(TH!N5853="1111",TH!O5853="1111")),TH!D5853,""),"")</f>
        <v/>
      </c>
      <c r="B5853" s="60" t="str">
        <f t="shared" si="512"/>
        <v/>
      </c>
      <c r="C5853" s="61"/>
      <c r="D5853" s="301"/>
      <c r="E5853" s="61"/>
      <c r="F5853" s="69"/>
      <c r="G5853" s="766"/>
      <c r="H5853" s="321"/>
      <c r="I5853" s="385"/>
      <c r="J5853" s="392"/>
      <c r="K5853" s="385"/>
      <c r="L5853" s="392"/>
      <c r="M5853" s="62"/>
      <c r="N5853" s="63"/>
      <c r="O5853" s="63"/>
      <c r="P5853" s="79" t="str">
        <f>IF(AND('331-CT'!$E$7=TH!H5853,OR(N5853="331",O5853="331")),"x","")</f>
        <v/>
      </c>
      <c r="Q5853" s="79" t="str">
        <f>IF(AND(B5853='111'!$L$11,OR($N5853=$Q$7,$O5853=$Q$7)),"x","")</f>
        <v/>
      </c>
      <c r="R5853" s="79" t="str">
        <f>IF(AND($N5853=$Q$7,$B5853&lt;'111'!$L$11),"x","")</f>
        <v/>
      </c>
      <c r="S5853" s="79" t="str">
        <f>IF(AND($O5853=$Q$7,$B5853&lt;'111'!$L$11),"x","")</f>
        <v/>
      </c>
      <c r="T5853" s="79" t="str">
        <f>IF(ISERROR(FIND('112'!$M$9,G5853,1)),"",IF((AND(FIND('112'!$M$9,G5853,1)&gt;=1,B5853='112'!$K$9,OR($N5853='112'!$I$6,$O5853='112'!$I$6))),"x",""))</f>
        <v/>
      </c>
      <c r="U5853" s="79" t="str">
        <f>IF(ISERROR(FIND('112'!$M$9,G5853,1)),"",IF((AND(LEFT(G5853,2)=LEFT('112'!$M$9,2),B5853&lt;'112'!$K$9,$N5853='112'!$I$6)),"x",""))</f>
        <v/>
      </c>
      <c r="V5853" s="79" t="str">
        <f>IF(ISERROR(FIND('112'!$M$9,G5853,1)),"",IF((AND(RIGHT(G5853,2)=RIGHT('112'!$M$9,2),B5853&lt;'112'!$K$9,$O5853='112'!$I$6)),"x",""))</f>
        <v/>
      </c>
      <c r="W5853" s="79" t="str">
        <f>IF(AND('341-CT'!$H$9=H5853,OR(LEFT(N5853,3)=$W$7,LEFT(O5853,3)=$W$7)),"x","")</f>
        <v/>
      </c>
      <c r="X5853" s="79" t="str">
        <f>IF(OR(TH!N5853=TH!$X$7,O5853=TH!$X$7),"x","")</f>
        <v/>
      </c>
      <c r="Y5853" s="79" t="str">
        <f>IF(AND(OR(N5853="131",O5853="131"),H5853='131-CT'!$H$9),"x","")</f>
        <v/>
      </c>
      <c r="Z5853" s="79"/>
      <c r="AA5853" s="79" t="str">
        <f>IF(AND(MONTH(E5853)='IN-NX'!$J$5,'IN-NX'!$D$7=D5853),"x","")</f>
        <v/>
      </c>
      <c r="AB5853" s="79" t="str">
        <f>IF(AND(OR(LEFT(TH!N5853,2)="15",LEFT(TH!O5853,2)="15"),LEFT(TH!O5853,3)&lt;&gt;"111",'152-CT'!$J$8=TH!F5853),"x","")</f>
        <v/>
      </c>
      <c r="AC5853" s="79" t="str">
        <f>IF(AND(OR(LEFT(TH!N5853,2)="15",LEFT(TH!O5853,2)="15"),TK!$E$7=TH!F5853),"x","")</f>
        <v/>
      </c>
      <c r="AD5853" s="79" t="str">
        <f>IF(AND(N5853="1521",MONTH(C5853)='BK-NL'!$M$11),"x","")</f>
        <v/>
      </c>
    </row>
    <row r="5854" spans="1:30" ht="16.5" customHeight="1">
      <c r="A5854" s="318" t="str">
        <f>IF(B5854&lt;&gt;"",IF(AND(B5854='IN-TC'!$S$4,OR(TH!N5854="1111",TH!O5854="1111")),TH!D5854,""),"")</f>
        <v/>
      </c>
      <c r="B5854" s="60" t="str">
        <f t="shared" si="512"/>
        <v/>
      </c>
      <c r="C5854" s="301"/>
      <c r="D5854" s="301"/>
      <c r="E5854" s="301"/>
      <c r="F5854" s="69"/>
      <c r="G5854" s="769"/>
      <c r="H5854" s="303"/>
      <c r="I5854" s="385"/>
      <c r="J5854" s="392"/>
      <c r="K5854" s="385"/>
      <c r="L5854" s="392"/>
      <c r="M5854" s="62"/>
      <c r="N5854" s="304"/>
      <c r="O5854" s="63"/>
      <c r="P5854" s="79" t="str">
        <f>IF(AND('331-CT'!$E$7=TH!H5854,OR(N5854="331",O5854="331")),"x","")</f>
        <v/>
      </c>
      <c r="Q5854" s="79" t="str">
        <f>IF(AND(B5854='111'!$L$11,OR($N5854=$Q$7,$O5854=$Q$7)),"x","")</f>
        <v/>
      </c>
      <c r="R5854" s="79" t="str">
        <f>IF(AND($N5854=$Q$7,$B5854&lt;'111'!$L$11),"x","")</f>
        <v/>
      </c>
      <c r="S5854" s="79" t="str">
        <f>IF(AND($O5854=$Q$7,$B5854&lt;'111'!$L$11),"x","")</f>
        <v/>
      </c>
      <c r="T5854" s="79" t="str">
        <f>IF(ISERROR(FIND('112'!$M$9,G5854,1)),"",IF((AND(FIND('112'!$M$9,G5854,1)&gt;=1,B5854='112'!$K$9,OR($N5854='112'!$I$6,$O5854='112'!$I$6))),"x",""))</f>
        <v/>
      </c>
      <c r="U5854" s="79" t="str">
        <f>IF(ISERROR(FIND('112'!$M$9,G5854,1)),"",IF((AND(LEFT(G5854,2)=LEFT('112'!$M$9,2),B5854&lt;'112'!$K$9,$N5854='112'!$I$6)),"x",""))</f>
        <v/>
      </c>
      <c r="V5854" s="79" t="str">
        <f>IF(ISERROR(FIND('112'!$M$9,G5854,1)),"",IF((AND(RIGHT(G5854,2)=RIGHT('112'!$M$9,2),B5854&lt;'112'!$K$9,$O5854='112'!$I$6)),"x",""))</f>
        <v/>
      </c>
      <c r="W5854" s="79" t="str">
        <f>IF(AND('341-CT'!$H$9=H5854,OR(LEFT(N5854,3)=$W$7,LEFT(O5854,3)=$W$7)),"x","")</f>
        <v/>
      </c>
      <c r="X5854" s="79" t="str">
        <f>IF(OR(TH!N5854=TH!$X$7,O5854=TH!$X$7),"x","")</f>
        <v/>
      </c>
      <c r="Y5854" s="79" t="str">
        <f>IF(AND(OR(N5854="131",O5854="131"),H5854='131-CT'!$H$9),"x","")</f>
        <v/>
      </c>
      <c r="Z5854" s="79"/>
      <c r="AA5854" s="79" t="str">
        <f>IF(AND(MONTH(E5854)='IN-NX'!$J$5,'IN-NX'!$D$7=D5854),"x","")</f>
        <v/>
      </c>
      <c r="AB5854" s="79" t="str">
        <f>IF(AND(OR(LEFT(TH!N5854,2)="15",LEFT(TH!O5854,2)="15"),LEFT(TH!O5854,3)&lt;&gt;"111",'152-CT'!$J$8=TH!F5854),"x","")</f>
        <v/>
      </c>
      <c r="AC5854" s="79" t="str">
        <f>IF(AND(OR(LEFT(TH!N5854,2)="15",LEFT(TH!O5854,2)="15"),TK!$E$7=TH!F5854),"x","")</f>
        <v/>
      </c>
      <c r="AD5854" s="79" t="str">
        <f>IF(AND(N5854="1521",MONTH(C5854)='BK-NL'!$M$11),"x","")</f>
        <v/>
      </c>
    </row>
    <row r="5855" spans="1:30" ht="16.5" customHeight="1">
      <c r="A5855" s="318" t="str">
        <f>IF(B5855&lt;&gt;"",IF(AND(B5855='IN-TC'!$S$4,OR(TH!N5855="1111",TH!O5855="1111")),TH!D5855,""),"")</f>
        <v/>
      </c>
      <c r="B5855" s="60" t="str">
        <f t="shared" si="512"/>
        <v/>
      </c>
      <c r="C5855" s="301"/>
      <c r="D5855" s="301"/>
      <c r="E5855" s="301"/>
      <c r="F5855" s="69"/>
      <c r="G5855" s="769"/>
      <c r="H5855" s="303"/>
      <c r="I5855" s="385"/>
      <c r="J5855" s="392"/>
      <c r="K5855" s="385"/>
      <c r="L5855" s="392"/>
      <c r="M5855" s="62"/>
      <c r="N5855" s="304"/>
      <c r="O5855" s="63"/>
      <c r="P5855" s="79" t="str">
        <f>IF(AND('331-CT'!$E$7=TH!H5855,OR(N5855="331",O5855="331")),"x","")</f>
        <v/>
      </c>
      <c r="Q5855" s="79" t="str">
        <f>IF(AND(B5855='111'!$L$11,OR($N5855=$Q$7,$O5855=$Q$7)),"x","")</f>
        <v/>
      </c>
      <c r="R5855" s="79" t="str">
        <f>IF(AND($N5855=$Q$7,$B5855&lt;'111'!$L$11),"x","")</f>
        <v/>
      </c>
      <c r="S5855" s="79" t="str">
        <f>IF(AND($O5855=$Q$7,$B5855&lt;'111'!$L$11),"x","")</f>
        <v/>
      </c>
      <c r="T5855" s="79" t="str">
        <f>IF(ISERROR(FIND('112'!$M$9,G5855,1)),"",IF((AND(FIND('112'!$M$9,G5855,1)&gt;=1,B5855='112'!$K$9,OR($N5855='112'!$I$6,$O5855='112'!$I$6))),"x",""))</f>
        <v/>
      </c>
      <c r="U5855" s="79" t="str">
        <f>IF(ISERROR(FIND('112'!$M$9,G5855,1)),"",IF((AND(LEFT(G5855,2)=LEFT('112'!$M$9,2),B5855&lt;'112'!$K$9,$N5855='112'!$I$6)),"x",""))</f>
        <v/>
      </c>
      <c r="V5855" s="79" t="str">
        <f>IF(ISERROR(FIND('112'!$M$9,G5855,1)),"",IF((AND(RIGHT(G5855,2)=RIGHT('112'!$M$9,2),B5855&lt;'112'!$K$9,$O5855='112'!$I$6)),"x",""))</f>
        <v/>
      </c>
      <c r="W5855" s="79" t="str">
        <f>IF(AND('341-CT'!$H$9=H5855,OR(LEFT(N5855,3)=$W$7,LEFT(O5855,3)=$W$7)),"x","")</f>
        <v/>
      </c>
      <c r="X5855" s="79" t="str">
        <f>IF(OR(TH!N5855=TH!$X$7,O5855=TH!$X$7),"x","")</f>
        <v/>
      </c>
      <c r="Y5855" s="79" t="str">
        <f>IF(AND(OR(N5855="131",O5855="131"),H5855='131-CT'!$H$9),"x","")</f>
        <v/>
      </c>
      <c r="Z5855" s="79"/>
      <c r="AA5855" s="79" t="str">
        <f>IF(AND(MONTH(E5855)='IN-NX'!$J$5,'IN-NX'!$D$7=D5855),"x","")</f>
        <v/>
      </c>
      <c r="AB5855" s="79" t="str">
        <f>IF(AND(OR(LEFT(TH!N5855,2)="15",LEFT(TH!O5855,2)="15"),LEFT(TH!O5855,3)&lt;&gt;"111",'152-CT'!$J$8=TH!F5855),"x","")</f>
        <v/>
      </c>
      <c r="AC5855" s="79" t="str">
        <f>IF(AND(OR(LEFT(TH!N5855,2)="15",LEFT(TH!O5855,2)="15"),TK!$E$7=TH!F5855),"x","")</f>
        <v/>
      </c>
      <c r="AD5855" s="79" t="str">
        <f>IF(AND(N5855="1521",MONTH(C5855)='BK-NL'!$M$11),"x","")</f>
        <v/>
      </c>
    </row>
    <row r="5856" spans="1:30" ht="16.5" customHeight="1">
      <c r="A5856" s="318" t="str">
        <f>IF(B5856&lt;&gt;"",IF(AND(B5856='IN-TC'!$S$4,OR(TH!N5856="1111",TH!O5856="1111")),TH!D5856,""),"")</f>
        <v/>
      </c>
      <c r="B5856" s="60" t="str">
        <f t="shared" si="512"/>
        <v/>
      </c>
      <c r="C5856" s="301"/>
      <c r="D5856" s="301"/>
      <c r="E5856" s="301"/>
      <c r="F5856" s="69"/>
      <c r="G5856" s="769"/>
      <c r="H5856" s="303"/>
      <c r="I5856" s="385"/>
      <c r="J5856" s="392"/>
      <c r="K5856" s="385"/>
      <c r="L5856" s="392"/>
      <c r="M5856" s="62"/>
      <c r="N5856" s="304"/>
      <c r="O5856" s="63"/>
      <c r="P5856" s="79" t="str">
        <f>IF(AND('331-CT'!$E$7=TH!H5856,OR(N5856="331",O5856="331")),"x","")</f>
        <v/>
      </c>
      <c r="Q5856" s="79" t="str">
        <f>IF(AND(B5856='111'!$L$11,OR($N5856=$Q$7,$O5856=$Q$7)),"x","")</f>
        <v/>
      </c>
      <c r="R5856" s="79" t="str">
        <f>IF(AND($N5856=$Q$7,$B5856&lt;'111'!$L$11),"x","")</f>
        <v/>
      </c>
      <c r="S5856" s="79" t="str">
        <f>IF(AND($O5856=$Q$7,$B5856&lt;'111'!$L$11),"x","")</f>
        <v/>
      </c>
      <c r="T5856" s="79" t="str">
        <f>IF(ISERROR(FIND('112'!$M$9,G5856,1)),"",IF((AND(FIND('112'!$M$9,G5856,1)&gt;=1,B5856='112'!$K$9,OR($N5856='112'!$I$6,$O5856='112'!$I$6))),"x",""))</f>
        <v/>
      </c>
      <c r="U5856" s="79" t="str">
        <f>IF(ISERROR(FIND('112'!$M$9,G5856,1)),"",IF((AND(LEFT(G5856,2)=LEFT('112'!$M$9,2),B5856&lt;'112'!$K$9,$N5856='112'!$I$6)),"x",""))</f>
        <v/>
      </c>
      <c r="V5856" s="79" t="str">
        <f>IF(ISERROR(FIND('112'!$M$9,G5856,1)),"",IF((AND(RIGHT(G5856,2)=RIGHT('112'!$M$9,2),B5856&lt;'112'!$K$9,$O5856='112'!$I$6)),"x",""))</f>
        <v/>
      </c>
      <c r="W5856" s="79" t="str">
        <f>IF(AND('341-CT'!$H$9=H5856,OR(LEFT(N5856,3)=$W$7,LEFT(O5856,3)=$W$7)),"x","")</f>
        <v/>
      </c>
      <c r="X5856" s="79" t="str">
        <f>IF(OR(TH!N5856=TH!$X$7,O5856=TH!$X$7),"x","")</f>
        <v/>
      </c>
      <c r="Y5856" s="79" t="str">
        <f>IF(AND(OR(N5856="131",O5856="131"),H5856='131-CT'!$H$9),"x","")</f>
        <v/>
      </c>
      <c r="Z5856" s="79"/>
      <c r="AA5856" s="79" t="str">
        <f>IF(AND(MONTH(E5856)='IN-NX'!$J$5,'IN-NX'!$D$7=D5856),"x","")</f>
        <v/>
      </c>
      <c r="AB5856" s="79" t="str">
        <f>IF(AND(OR(LEFT(TH!N5856,2)="15",LEFT(TH!O5856,2)="15"),LEFT(TH!O5856,3)&lt;&gt;"111",'152-CT'!$J$8=TH!F5856),"x","")</f>
        <v/>
      </c>
      <c r="AC5856" s="79" t="str">
        <f>IF(AND(OR(LEFT(TH!N5856,2)="15",LEFT(TH!O5856,2)="15"),TK!$E$7=TH!F5856),"x","")</f>
        <v/>
      </c>
      <c r="AD5856" s="79" t="str">
        <f>IF(AND(N5856="1521",MONTH(C5856)='BK-NL'!$M$11),"x","")</f>
        <v/>
      </c>
    </row>
    <row r="5857" spans="1:30" ht="16.5" customHeight="1">
      <c r="A5857" s="318" t="str">
        <f>IF(B5857&lt;&gt;"",IF(AND(B5857='IN-TC'!$S$4,OR(TH!N5857="1111",TH!O5857="1111")),TH!D5857,""),"")</f>
        <v/>
      </c>
      <c r="B5857" s="60" t="str">
        <f t="shared" si="512"/>
        <v/>
      </c>
      <c r="C5857" s="301"/>
      <c r="D5857" s="301"/>
      <c r="E5857" s="301"/>
      <c r="F5857" s="69"/>
      <c r="G5857" s="769"/>
      <c r="H5857" s="303"/>
      <c r="I5857" s="385"/>
      <c r="J5857" s="392"/>
      <c r="K5857" s="385"/>
      <c r="L5857" s="392"/>
      <c r="M5857" s="62"/>
      <c r="N5857" s="304"/>
      <c r="O5857" s="63"/>
      <c r="P5857" s="79" t="str">
        <f>IF(AND('331-CT'!$E$7=TH!H5857,OR(N5857="331",O5857="331")),"x","")</f>
        <v/>
      </c>
      <c r="Q5857" s="79" t="str">
        <f>IF(AND(B5857='111'!$L$11,OR($N5857=$Q$7,$O5857=$Q$7)),"x","")</f>
        <v/>
      </c>
      <c r="R5857" s="79" t="str">
        <f>IF(AND($N5857=$Q$7,$B5857&lt;'111'!$L$11),"x","")</f>
        <v/>
      </c>
      <c r="S5857" s="79" t="str">
        <f>IF(AND($O5857=$Q$7,$B5857&lt;'111'!$L$11),"x","")</f>
        <v/>
      </c>
      <c r="T5857" s="79" t="str">
        <f>IF(ISERROR(FIND('112'!$M$9,G5857,1)),"",IF((AND(FIND('112'!$M$9,G5857,1)&gt;=1,B5857='112'!$K$9,OR($N5857='112'!$I$6,$O5857='112'!$I$6))),"x",""))</f>
        <v/>
      </c>
      <c r="U5857" s="79" t="str">
        <f>IF(ISERROR(FIND('112'!$M$9,G5857,1)),"",IF((AND(LEFT(G5857,2)=LEFT('112'!$M$9,2),B5857&lt;'112'!$K$9,$N5857='112'!$I$6)),"x",""))</f>
        <v/>
      </c>
      <c r="V5857" s="79" t="str">
        <f>IF(ISERROR(FIND('112'!$M$9,G5857,1)),"",IF((AND(RIGHT(G5857,2)=RIGHT('112'!$M$9,2),B5857&lt;'112'!$K$9,$O5857='112'!$I$6)),"x",""))</f>
        <v/>
      </c>
      <c r="W5857" s="79" t="str">
        <f>IF(AND('341-CT'!$H$9=H5857,OR(LEFT(N5857,3)=$W$7,LEFT(O5857,3)=$W$7)),"x","")</f>
        <v/>
      </c>
      <c r="X5857" s="79" t="str">
        <f>IF(OR(TH!N5857=TH!$X$7,O5857=TH!$X$7),"x","")</f>
        <v/>
      </c>
      <c r="Y5857" s="79" t="str">
        <f>IF(AND(OR(N5857="131",O5857="131"),H5857='131-CT'!$H$9),"x","")</f>
        <v/>
      </c>
      <c r="Z5857" s="79"/>
      <c r="AA5857" s="79" t="str">
        <f>IF(AND(MONTH(E5857)='IN-NX'!$J$5,'IN-NX'!$D$7=D5857),"x","")</f>
        <v/>
      </c>
      <c r="AB5857" s="79" t="str">
        <f>IF(AND(OR(LEFT(TH!N5857,2)="15",LEFT(TH!O5857,2)="15"),LEFT(TH!O5857,3)&lt;&gt;"111",'152-CT'!$J$8=TH!F5857),"x","")</f>
        <v/>
      </c>
      <c r="AC5857" s="79" t="str">
        <f>IF(AND(OR(LEFT(TH!N5857,2)="15",LEFT(TH!O5857,2)="15"),TK!$E$7=TH!F5857),"x","")</f>
        <v/>
      </c>
      <c r="AD5857" s="79" t="str">
        <f>IF(AND(N5857="1521",MONTH(C5857)='BK-NL'!$M$11),"x","")</f>
        <v/>
      </c>
    </row>
    <row r="5858" spans="1:30" ht="16.5" customHeight="1">
      <c r="A5858" s="318" t="str">
        <f>IF(B5858&lt;&gt;"",IF(AND(B5858='IN-TC'!$S$4,OR(TH!N5858="1111",TH!O5858="1111")),TH!D5858,""),"")</f>
        <v/>
      </c>
      <c r="B5858" s="60" t="str">
        <f t="shared" si="512"/>
        <v/>
      </c>
      <c r="C5858" s="301"/>
      <c r="D5858" s="301"/>
      <c r="E5858" s="301"/>
      <c r="F5858" s="69"/>
      <c r="G5858" s="769"/>
      <c r="H5858" s="303"/>
      <c r="I5858" s="385"/>
      <c r="J5858" s="392"/>
      <c r="K5858" s="385"/>
      <c r="L5858" s="392"/>
      <c r="M5858" s="62"/>
      <c r="N5858" s="304"/>
      <c r="O5858" s="63"/>
      <c r="P5858" s="79" t="str">
        <f>IF(AND('331-CT'!$E$7=TH!H5858,OR(N5858="331",O5858="331")),"x","")</f>
        <v/>
      </c>
      <c r="Q5858" s="79" t="str">
        <f>IF(AND(B5858='111'!$L$11,OR($N5858=$Q$7,$O5858=$Q$7)),"x","")</f>
        <v/>
      </c>
      <c r="R5858" s="79" t="str">
        <f>IF(AND($N5858=$Q$7,$B5858&lt;'111'!$L$11),"x","")</f>
        <v/>
      </c>
      <c r="S5858" s="79" t="str">
        <f>IF(AND($O5858=$Q$7,$B5858&lt;'111'!$L$11),"x","")</f>
        <v/>
      </c>
      <c r="T5858" s="79" t="str">
        <f>IF(ISERROR(FIND('112'!$M$9,G5858,1)),"",IF((AND(FIND('112'!$M$9,G5858,1)&gt;=1,B5858='112'!$K$9,OR($N5858='112'!$I$6,$O5858='112'!$I$6))),"x",""))</f>
        <v/>
      </c>
      <c r="U5858" s="79" t="str">
        <f>IF(ISERROR(FIND('112'!$M$9,G5858,1)),"",IF((AND(LEFT(G5858,2)=LEFT('112'!$M$9,2),B5858&lt;'112'!$K$9,$N5858='112'!$I$6)),"x",""))</f>
        <v/>
      </c>
      <c r="V5858" s="79" t="str">
        <f>IF(ISERROR(FIND('112'!$M$9,G5858,1)),"",IF((AND(RIGHT(G5858,2)=RIGHT('112'!$M$9,2),B5858&lt;'112'!$K$9,$O5858='112'!$I$6)),"x",""))</f>
        <v/>
      </c>
      <c r="W5858" s="79" t="str">
        <f>IF(AND('341-CT'!$H$9=H5858,OR(LEFT(N5858,3)=$W$7,LEFT(O5858,3)=$W$7)),"x","")</f>
        <v/>
      </c>
      <c r="X5858" s="79" t="str">
        <f>IF(OR(TH!N5858=TH!$X$7,O5858=TH!$X$7),"x","")</f>
        <v/>
      </c>
      <c r="Y5858" s="79" t="str">
        <f>IF(AND(OR(N5858="131",O5858="131"),H5858='131-CT'!$H$9),"x","")</f>
        <v/>
      </c>
      <c r="Z5858" s="79"/>
      <c r="AA5858" s="79" t="str">
        <f>IF(AND(MONTH(E5858)='IN-NX'!$J$5,'IN-NX'!$D$7=D5858),"x","")</f>
        <v/>
      </c>
      <c r="AB5858" s="79" t="str">
        <f>IF(AND(OR(LEFT(TH!N5858,2)="15",LEFT(TH!O5858,2)="15"),LEFT(TH!O5858,3)&lt;&gt;"111",'152-CT'!$J$8=TH!F5858),"x","")</f>
        <v/>
      </c>
      <c r="AC5858" s="79" t="str">
        <f>IF(AND(OR(LEFT(TH!N5858,2)="15",LEFT(TH!O5858,2)="15"),TK!$E$7=TH!F5858),"x","")</f>
        <v/>
      </c>
      <c r="AD5858" s="79" t="str">
        <f>IF(AND(N5858="1521",MONTH(C5858)='BK-NL'!$M$11),"x","")</f>
        <v/>
      </c>
    </row>
    <row r="5859" spans="1:30" ht="16.5" customHeight="1">
      <c r="A5859" s="318" t="str">
        <f>IF(B5859&lt;&gt;"",IF(AND(B5859='IN-TC'!$S$4,OR(TH!N5859="1111",TH!O5859="1111")),TH!D5859,""),"")</f>
        <v/>
      </c>
      <c r="B5859" s="60" t="str">
        <f t="shared" si="512"/>
        <v/>
      </c>
      <c r="C5859" s="301"/>
      <c r="D5859" s="301"/>
      <c r="E5859" s="301"/>
      <c r="F5859" s="69"/>
      <c r="G5859" s="769"/>
      <c r="H5859" s="303"/>
      <c r="I5859" s="385"/>
      <c r="J5859" s="392"/>
      <c r="K5859" s="385"/>
      <c r="L5859" s="392"/>
      <c r="M5859" s="62"/>
      <c r="N5859" s="304"/>
      <c r="O5859" s="63"/>
      <c r="P5859" s="79" t="str">
        <f>IF(AND('331-CT'!$E$7=TH!H5859,OR(N5859="331",O5859="331")),"x","")</f>
        <v/>
      </c>
      <c r="Q5859" s="79" t="str">
        <f>IF(AND(B5859='111'!$L$11,OR($N5859=$Q$7,$O5859=$Q$7)),"x","")</f>
        <v/>
      </c>
      <c r="R5859" s="79" t="str">
        <f>IF(AND($N5859=$Q$7,$B5859&lt;'111'!$L$11),"x","")</f>
        <v/>
      </c>
      <c r="S5859" s="79" t="str">
        <f>IF(AND($O5859=$Q$7,$B5859&lt;'111'!$L$11),"x","")</f>
        <v/>
      </c>
      <c r="T5859" s="79" t="str">
        <f>IF(ISERROR(FIND('112'!$M$9,G5859,1)),"",IF((AND(FIND('112'!$M$9,G5859,1)&gt;=1,B5859='112'!$K$9,OR($N5859='112'!$I$6,$O5859='112'!$I$6))),"x",""))</f>
        <v/>
      </c>
      <c r="U5859" s="79" t="str">
        <f>IF(ISERROR(FIND('112'!$M$9,G5859,1)),"",IF((AND(LEFT(G5859,2)=LEFT('112'!$M$9,2),B5859&lt;'112'!$K$9,$N5859='112'!$I$6)),"x",""))</f>
        <v/>
      </c>
      <c r="V5859" s="79" t="str">
        <f>IF(ISERROR(FIND('112'!$M$9,G5859,1)),"",IF((AND(RIGHT(G5859,2)=RIGHT('112'!$M$9,2),B5859&lt;'112'!$K$9,$O5859='112'!$I$6)),"x",""))</f>
        <v/>
      </c>
      <c r="W5859" s="79" t="str">
        <f>IF(AND('341-CT'!$H$9=H5859,OR(LEFT(N5859,3)=$W$7,LEFT(O5859,3)=$W$7)),"x","")</f>
        <v/>
      </c>
      <c r="X5859" s="79" t="str">
        <f>IF(OR(TH!N5859=TH!$X$7,O5859=TH!$X$7),"x","")</f>
        <v/>
      </c>
      <c r="Y5859" s="79" t="str">
        <f>IF(AND(OR(N5859="131",O5859="131"),H5859='131-CT'!$H$9),"x","")</f>
        <v/>
      </c>
      <c r="Z5859" s="79"/>
      <c r="AA5859" s="79" t="str">
        <f>IF(AND(MONTH(E5859)='IN-NX'!$J$5,'IN-NX'!$D$7=D5859),"x","")</f>
        <v/>
      </c>
      <c r="AB5859" s="79" t="str">
        <f>IF(AND(OR(LEFT(TH!N5859,2)="15",LEFT(TH!O5859,2)="15"),LEFT(TH!O5859,3)&lt;&gt;"111",'152-CT'!$J$8=TH!F5859),"x","")</f>
        <v/>
      </c>
      <c r="AC5859" s="79" t="str">
        <f>IF(AND(OR(LEFT(TH!N5859,2)="15",LEFT(TH!O5859,2)="15"),TK!$E$7=TH!F5859),"x","")</f>
        <v/>
      </c>
      <c r="AD5859" s="79" t="str">
        <f>IF(AND(N5859="1521",MONTH(C5859)='BK-NL'!$M$11),"x","")</f>
        <v/>
      </c>
    </row>
    <row r="5860" spans="1:30" ht="16.5" customHeight="1">
      <c r="A5860" s="318" t="str">
        <f>IF(B5860&lt;&gt;"",IF(AND(B5860='IN-TC'!$S$4,OR(TH!N5860="1111",TH!O5860="1111")),TH!D5860,""),"")</f>
        <v/>
      </c>
      <c r="B5860" s="60" t="str">
        <f t="shared" si="512"/>
        <v/>
      </c>
      <c r="C5860" s="301"/>
      <c r="D5860" s="301"/>
      <c r="E5860" s="301"/>
      <c r="F5860" s="69"/>
      <c r="G5860" s="769"/>
      <c r="H5860" s="303"/>
      <c r="I5860" s="385"/>
      <c r="J5860" s="392"/>
      <c r="K5860" s="385"/>
      <c r="L5860" s="392"/>
      <c r="M5860" s="62"/>
      <c r="N5860" s="304"/>
      <c r="O5860" s="63"/>
      <c r="P5860" s="79" t="str">
        <f>IF(AND('331-CT'!$E$7=TH!H5860,OR(N5860="331",O5860="331")),"x","")</f>
        <v/>
      </c>
      <c r="Q5860" s="79" t="str">
        <f>IF(AND(B5860='111'!$L$11,OR($N5860=$Q$7,$O5860=$Q$7)),"x","")</f>
        <v/>
      </c>
      <c r="R5860" s="79" t="str">
        <f>IF(AND($N5860=$Q$7,$B5860&lt;'111'!$L$11),"x","")</f>
        <v/>
      </c>
      <c r="S5860" s="79" t="str">
        <f>IF(AND($O5860=$Q$7,$B5860&lt;'111'!$L$11),"x","")</f>
        <v/>
      </c>
      <c r="T5860" s="79" t="str">
        <f>IF(ISERROR(FIND('112'!$M$9,G5860,1)),"",IF((AND(FIND('112'!$M$9,G5860,1)&gt;=1,B5860='112'!$K$9,OR($N5860='112'!$I$6,$O5860='112'!$I$6))),"x",""))</f>
        <v/>
      </c>
      <c r="U5860" s="79" t="str">
        <f>IF(ISERROR(FIND('112'!$M$9,G5860,1)),"",IF((AND(LEFT(G5860,2)=LEFT('112'!$M$9,2),B5860&lt;'112'!$K$9,$N5860='112'!$I$6)),"x",""))</f>
        <v/>
      </c>
      <c r="V5860" s="79" t="str">
        <f>IF(ISERROR(FIND('112'!$M$9,G5860,1)),"",IF((AND(RIGHT(G5860,2)=RIGHT('112'!$M$9,2),B5860&lt;'112'!$K$9,$O5860='112'!$I$6)),"x",""))</f>
        <v/>
      </c>
      <c r="W5860" s="79" t="str">
        <f>IF(AND('341-CT'!$H$9=H5860,OR(LEFT(N5860,3)=$W$7,LEFT(O5860,3)=$W$7)),"x","")</f>
        <v/>
      </c>
      <c r="X5860" s="79" t="str">
        <f>IF(OR(TH!N5860=TH!$X$7,O5860=TH!$X$7),"x","")</f>
        <v/>
      </c>
      <c r="Y5860" s="79" t="str">
        <f>IF(AND(OR(N5860="131",O5860="131"),H5860='131-CT'!$H$9),"x","")</f>
        <v/>
      </c>
      <c r="Z5860" s="79"/>
      <c r="AA5860" s="79" t="str">
        <f>IF(AND(MONTH(E5860)='IN-NX'!$J$5,'IN-NX'!$D$7=D5860),"x","")</f>
        <v/>
      </c>
      <c r="AB5860" s="79" t="str">
        <f>IF(AND(OR(LEFT(TH!N5860,2)="15",LEFT(TH!O5860,2)="15"),LEFT(TH!O5860,3)&lt;&gt;"111",'152-CT'!$J$8=TH!F5860),"x","")</f>
        <v/>
      </c>
      <c r="AC5860" s="79" t="str">
        <f>IF(AND(OR(LEFT(TH!N5860,2)="15",LEFT(TH!O5860,2)="15"),TK!$E$7=TH!F5860),"x","")</f>
        <v/>
      </c>
      <c r="AD5860" s="79" t="str">
        <f>IF(AND(N5860="1521",MONTH(C5860)='BK-NL'!$M$11),"x","")</f>
        <v/>
      </c>
    </row>
    <row r="5861" spans="1:30" ht="16.5" customHeight="1">
      <c r="A5861" s="318" t="str">
        <f>IF(B5861&lt;&gt;"",IF(AND(B5861='IN-TC'!$S$4,OR(TH!N5861="1111",TH!O5861="1111")),TH!D5861,""),"")</f>
        <v/>
      </c>
      <c r="B5861" s="60" t="str">
        <f t="shared" si="512"/>
        <v/>
      </c>
      <c r="C5861" s="301"/>
      <c r="D5861" s="301"/>
      <c r="E5861" s="301"/>
      <c r="F5861" s="69"/>
      <c r="G5861" s="769"/>
      <c r="H5861" s="303"/>
      <c r="I5861" s="385"/>
      <c r="J5861" s="392"/>
      <c r="K5861" s="385"/>
      <c r="L5861" s="392"/>
      <c r="M5861" s="62"/>
      <c r="N5861" s="304"/>
      <c r="O5861" s="63"/>
      <c r="P5861" s="79" t="str">
        <f>IF(AND('331-CT'!$E$7=TH!H5861,OR(N5861="331",O5861="331")),"x","")</f>
        <v/>
      </c>
      <c r="Q5861" s="79" t="str">
        <f>IF(AND(B5861='111'!$L$11,OR($N5861=$Q$7,$O5861=$Q$7)),"x","")</f>
        <v/>
      </c>
      <c r="R5861" s="79" t="str">
        <f>IF(AND($N5861=$Q$7,$B5861&lt;'111'!$L$11),"x","")</f>
        <v/>
      </c>
      <c r="S5861" s="79" t="str">
        <f>IF(AND($O5861=$Q$7,$B5861&lt;'111'!$L$11),"x","")</f>
        <v/>
      </c>
      <c r="T5861" s="79" t="str">
        <f>IF(ISERROR(FIND('112'!$M$9,G5861,1)),"",IF((AND(FIND('112'!$M$9,G5861,1)&gt;=1,B5861='112'!$K$9,OR($N5861='112'!$I$6,$O5861='112'!$I$6))),"x",""))</f>
        <v/>
      </c>
      <c r="U5861" s="79" t="str">
        <f>IF(ISERROR(FIND('112'!$M$9,G5861,1)),"",IF((AND(LEFT(G5861,2)=LEFT('112'!$M$9,2),B5861&lt;'112'!$K$9,$N5861='112'!$I$6)),"x",""))</f>
        <v/>
      </c>
      <c r="V5861" s="79" t="str">
        <f>IF(ISERROR(FIND('112'!$M$9,G5861,1)),"",IF((AND(RIGHT(G5861,2)=RIGHT('112'!$M$9,2),B5861&lt;'112'!$K$9,$O5861='112'!$I$6)),"x",""))</f>
        <v/>
      </c>
      <c r="W5861" s="79" t="str">
        <f>IF(AND('341-CT'!$H$9=H5861,OR(LEFT(N5861,3)=$W$7,LEFT(O5861,3)=$W$7)),"x","")</f>
        <v/>
      </c>
      <c r="X5861" s="79" t="str">
        <f>IF(OR(TH!N5861=TH!$X$7,O5861=TH!$X$7),"x","")</f>
        <v/>
      </c>
      <c r="Y5861" s="79" t="str">
        <f>IF(AND(OR(N5861="131",O5861="131"),H5861='131-CT'!$H$9),"x","")</f>
        <v/>
      </c>
      <c r="Z5861" s="79"/>
      <c r="AA5861" s="79" t="str">
        <f>IF(AND(MONTH(E5861)='IN-NX'!$J$5,'IN-NX'!$D$7=D5861),"x","")</f>
        <v/>
      </c>
      <c r="AB5861" s="79" t="str">
        <f>IF(AND(OR(LEFT(TH!N5861,2)="15",LEFT(TH!O5861,2)="15"),LEFT(TH!O5861,3)&lt;&gt;"111",'152-CT'!$J$8=TH!F5861),"x","")</f>
        <v/>
      </c>
      <c r="AC5861" s="79" t="str">
        <f>IF(AND(OR(LEFT(TH!N5861,2)="15",LEFT(TH!O5861,2)="15"),TK!$E$7=TH!F5861),"x","")</f>
        <v/>
      </c>
      <c r="AD5861" s="79" t="str">
        <f>IF(AND(N5861="1521",MONTH(C5861)='BK-NL'!$M$11),"x","")</f>
        <v/>
      </c>
    </row>
    <row r="5862" spans="1:30" ht="16.5" customHeight="1">
      <c r="A5862" s="318" t="str">
        <f>IF(B5862&lt;&gt;"",IF(AND(B5862='IN-TC'!$S$4,OR(TH!N5862="1111",TH!O5862="1111")),TH!D5862,""),"")</f>
        <v/>
      </c>
      <c r="B5862" s="60" t="str">
        <f t="shared" si="512"/>
        <v/>
      </c>
      <c r="C5862" s="301"/>
      <c r="D5862" s="301"/>
      <c r="E5862" s="301"/>
      <c r="F5862" s="69"/>
      <c r="G5862" s="769"/>
      <c r="H5862" s="303"/>
      <c r="I5862" s="385"/>
      <c r="J5862" s="392"/>
      <c r="K5862" s="385"/>
      <c r="L5862" s="392"/>
      <c r="M5862" s="62"/>
      <c r="N5862" s="304"/>
      <c r="O5862" s="63"/>
      <c r="P5862" s="79" t="str">
        <f>IF(AND('331-CT'!$E$7=TH!H5862,OR(N5862="331",O5862="331")),"x","")</f>
        <v/>
      </c>
      <c r="Q5862" s="79" t="str">
        <f>IF(AND(B5862='111'!$L$11,OR($N5862=$Q$7,$O5862=$Q$7)),"x","")</f>
        <v/>
      </c>
      <c r="R5862" s="79" t="str">
        <f>IF(AND($N5862=$Q$7,$B5862&lt;'111'!$L$11),"x","")</f>
        <v/>
      </c>
      <c r="S5862" s="79" t="str">
        <f>IF(AND($O5862=$Q$7,$B5862&lt;'111'!$L$11),"x","")</f>
        <v/>
      </c>
      <c r="T5862" s="79" t="str">
        <f>IF(ISERROR(FIND('112'!$M$9,G5862,1)),"",IF((AND(FIND('112'!$M$9,G5862,1)&gt;=1,B5862='112'!$K$9,OR($N5862='112'!$I$6,$O5862='112'!$I$6))),"x",""))</f>
        <v/>
      </c>
      <c r="U5862" s="79" t="str">
        <f>IF(ISERROR(FIND('112'!$M$9,G5862,1)),"",IF((AND(LEFT(G5862,2)=LEFT('112'!$M$9,2),B5862&lt;'112'!$K$9,$N5862='112'!$I$6)),"x",""))</f>
        <v/>
      </c>
      <c r="V5862" s="79" t="str">
        <f>IF(ISERROR(FIND('112'!$M$9,G5862,1)),"",IF((AND(RIGHT(G5862,2)=RIGHT('112'!$M$9,2),B5862&lt;'112'!$K$9,$O5862='112'!$I$6)),"x",""))</f>
        <v/>
      </c>
      <c r="W5862" s="79" t="str">
        <f>IF(AND('341-CT'!$H$9=H5862,OR(LEFT(N5862,3)=$W$7,LEFT(O5862,3)=$W$7)),"x","")</f>
        <v/>
      </c>
      <c r="X5862" s="79" t="str">
        <f>IF(OR(TH!N5862=TH!$X$7,O5862=TH!$X$7),"x","")</f>
        <v/>
      </c>
      <c r="Y5862" s="79" t="str">
        <f>IF(AND(OR(N5862="131",O5862="131"),H5862='131-CT'!$H$9),"x","")</f>
        <v/>
      </c>
      <c r="Z5862" s="79"/>
      <c r="AA5862" s="79" t="str">
        <f>IF(AND(MONTH(E5862)='IN-NX'!$J$5,'IN-NX'!$D$7=D5862),"x","")</f>
        <v/>
      </c>
      <c r="AB5862" s="79" t="str">
        <f>IF(AND(OR(LEFT(TH!N5862,2)="15",LEFT(TH!O5862,2)="15"),LEFT(TH!O5862,3)&lt;&gt;"111",'152-CT'!$J$8=TH!F5862),"x","")</f>
        <v/>
      </c>
      <c r="AC5862" s="79" t="str">
        <f>IF(AND(OR(LEFT(TH!N5862,2)="15",LEFT(TH!O5862,2)="15"),TK!$E$7=TH!F5862),"x","")</f>
        <v/>
      </c>
      <c r="AD5862" s="79" t="str">
        <f>IF(AND(N5862="1521",MONTH(C5862)='BK-NL'!$M$11),"x","")</f>
        <v/>
      </c>
    </row>
    <row r="5863" spans="1:30" ht="16.5" customHeight="1">
      <c r="A5863" s="318" t="str">
        <f>IF(B5863&lt;&gt;"",IF(AND(B5863='IN-TC'!$S$4,OR(TH!N5863="1111",TH!O5863="1111")),TH!D5863,""),"")</f>
        <v/>
      </c>
      <c r="B5863" s="60" t="str">
        <f t="shared" si="512"/>
        <v/>
      </c>
      <c r="C5863" s="301"/>
      <c r="D5863" s="301"/>
      <c r="E5863" s="301"/>
      <c r="F5863" s="69"/>
      <c r="G5863" s="769"/>
      <c r="H5863" s="303"/>
      <c r="I5863" s="385"/>
      <c r="J5863" s="392"/>
      <c r="K5863" s="385"/>
      <c r="L5863" s="392"/>
      <c r="M5863" s="62"/>
      <c r="N5863" s="304"/>
      <c r="O5863" s="63"/>
      <c r="P5863" s="79" t="str">
        <f>IF(AND('331-CT'!$E$7=TH!H5863,OR(N5863="331",O5863="331")),"x","")</f>
        <v/>
      </c>
      <c r="Q5863" s="79" t="str">
        <f>IF(AND(B5863='111'!$L$11,OR($N5863=$Q$7,$O5863=$Q$7)),"x","")</f>
        <v/>
      </c>
      <c r="R5863" s="79" t="str">
        <f>IF(AND($N5863=$Q$7,$B5863&lt;'111'!$L$11),"x","")</f>
        <v/>
      </c>
      <c r="S5863" s="79" t="str">
        <f>IF(AND($O5863=$Q$7,$B5863&lt;'111'!$L$11),"x","")</f>
        <v/>
      </c>
      <c r="T5863" s="79" t="str">
        <f>IF(ISERROR(FIND('112'!$M$9,G5863,1)),"",IF((AND(FIND('112'!$M$9,G5863,1)&gt;=1,B5863='112'!$K$9,OR($N5863='112'!$I$6,$O5863='112'!$I$6))),"x",""))</f>
        <v/>
      </c>
      <c r="U5863" s="79" t="str">
        <f>IF(ISERROR(FIND('112'!$M$9,G5863,1)),"",IF((AND(LEFT(G5863,2)=LEFT('112'!$M$9,2),B5863&lt;'112'!$K$9,$N5863='112'!$I$6)),"x",""))</f>
        <v/>
      </c>
      <c r="V5863" s="79" t="str">
        <f>IF(ISERROR(FIND('112'!$M$9,G5863,1)),"",IF((AND(RIGHT(G5863,2)=RIGHT('112'!$M$9,2),B5863&lt;'112'!$K$9,$O5863='112'!$I$6)),"x",""))</f>
        <v/>
      </c>
      <c r="W5863" s="79" t="str">
        <f>IF(AND('341-CT'!$H$9=H5863,OR(LEFT(N5863,3)=$W$7,LEFT(O5863,3)=$W$7)),"x","")</f>
        <v/>
      </c>
      <c r="X5863" s="79" t="str">
        <f>IF(OR(TH!N5863=TH!$X$7,O5863=TH!$X$7),"x","")</f>
        <v/>
      </c>
      <c r="Y5863" s="79" t="str">
        <f>IF(AND(OR(N5863="131",O5863="131"),H5863='131-CT'!$H$9),"x","")</f>
        <v/>
      </c>
      <c r="Z5863" s="79"/>
      <c r="AA5863" s="79" t="str">
        <f>IF(AND(MONTH(E5863)='IN-NX'!$J$5,'IN-NX'!$D$7=D5863),"x","")</f>
        <v/>
      </c>
      <c r="AB5863" s="79" t="str">
        <f>IF(AND(OR(LEFT(TH!N5863,2)="15",LEFT(TH!O5863,2)="15"),LEFT(TH!O5863,3)&lt;&gt;"111",'152-CT'!$J$8=TH!F5863),"x","")</f>
        <v/>
      </c>
      <c r="AC5863" s="79" t="str">
        <f>IF(AND(OR(LEFT(TH!N5863,2)="15",LEFT(TH!O5863,2)="15"),TK!$E$7=TH!F5863),"x","")</f>
        <v/>
      </c>
      <c r="AD5863" s="79" t="str">
        <f>IF(AND(N5863="1521",MONTH(C5863)='BK-NL'!$M$11),"x","")</f>
        <v/>
      </c>
    </row>
    <row r="5864" spans="1:30" ht="16.5" customHeight="1">
      <c r="A5864" s="318" t="str">
        <f>IF(B5864&lt;&gt;"",IF(AND(B5864='IN-TC'!$S$4,OR(TH!N5864="1111",TH!O5864="1111")),TH!D5864,""),"")</f>
        <v/>
      </c>
      <c r="B5864" s="60" t="str">
        <f t="shared" si="512"/>
        <v/>
      </c>
      <c r="C5864" s="301"/>
      <c r="D5864" s="301"/>
      <c r="E5864" s="301"/>
      <c r="F5864" s="69"/>
      <c r="G5864" s="769"/>
      <c r="H5864" s="303"/>
      <c r="I5864" s="385"/>
      <c r="J5864" s="392"/>
      <c r="K5864" s="385"/>
      <c r="L5864" s="392"/>
      <c r="M5864" s="62"/>
      <c r="N5864" s="304"/>
      <c r="O5864" s="63"/>
      <c r="P5864" s="79" t="str">
        <f>IF(AND('331-CT'!$E$7=TH!H5864,OR(N5864="331",O5864="331")),"x","")</f>
        <v/>
      </c>
      <c r="Q5864" s="79" t="str">
        <f>IF(AND(B5864='111'!$L$11,OR($N5864=$Q$7,$O5864=$Q$7)),"x","")</f>
        <v/>
      </c>
      <c r="R5864" s="79" t="str">
        <f>IF(AND($N5864=$Q$7,$B5864&lt;'111'!$L$11),"x","")</f>
        <v/>
      </c>
      <c r="S5864" s="79" t="str">
        <f>IF(AND($O5864=$Q$7,$B5864&lt;'111'!$L$11),"x","")</f>
        <v/>
      </c>
      <c r="T5864" s="79" t="str">
        <f>IF(ISERROR(FIND('112'!$M$9,G5864,1)),"",IF((AND(FIND('112'!$M$9,G5864,1)&gt;=1,B5864='112'!$K$9,OR($N5864='112'!$I$6,$O5864='112'!$I$6))),"x",""))</f>
        <v/>
      </c>
      <c r="U5864" s="79" t="str">
        <f>IF(ISERROR(FIND('112'!$M$9,G5864,1)),"",IF((AND(LEFT(G5864,2)=LEFT('112'!$M$9,2),B5864&lt;'112'!$K$9,$N5864='112'!$I$6)),"x",""))</f>
        <v/>
      </c>
      <c r="V5864" s="79" t="str">
        <f>IF(ISERROR(FIND('112'!$M$9,G5864,1)),"",IF((AND(RIGHT(G5864,2)=RIGHT('112'!$M$9,2),B5864&lt;'112'!$K$9,$O5864='112'!$I$6)),"x",""))</f>
        <v/>
      </c>
      <c r="W5864" s="79" t="str">
        <f>IF(AND('341-CT'!$H$9=H5864,OR(LEFT(N5864,3)=$W$7,LEFT(O5864,3)=$W$7)),"x","")</f>
        <v/>
      </c>
      <c r="X5864" s="79" t="str">
        <f>IF(OR(TH!N5864=TH!$X$7,O5864=TH!$X$7),"x","")</f>
        <v/>
      </c>
      <c r="Y5864" s="79" t="str">
        <f>IF(AND(OR(N5864="131",O5864="131"),H5864='131-CT'!$H$9),"x","")</f>
        <v/>
      </c>
      <c r="Z5864" s="79"/>
      <c r="AA5864" s="79" t="str">
        <f>IF(AND(MONTH(E5864)='IN-NX'!$J$5,'IN-NX'!$D$7=D5864),"x","")</f>
        <v/>
      </c>
      <c r="AB5864" s="79" t="str">
        <f>IF(AND(OR(LEFT(TH!N5864,2)="15",LEFT(TH!O5864,2)="15"),LEFT(TH!O5864,3)&lt;&gt;"111",'152-CT'!$J$8=TH!F5864),"x","")</f>
        <v/>
      </c>
      <c r="AC5864" s="79" t="str">
        <f>IF(AND(OR(LEFT(TH!N5864,2)="15",LEFT(TH!O5864,2)="15"),TK!$E$7=TH!F5864),"x","")</f>
        <v/>
      </c>
      <c r="AD5864" s="79" t="str">
        <f>IF(AND(N5864="1521",MONTH(C5864)='BK-NL'!$M$11),"x","")</f>
        <v/>
      </c>
    </row>
    <row r="5865" spans="1:30" ht="16.5" customHeight="1">
      <c r="A5865" s="318" t="str">
        <f>IF(B5865&lt;&gt;"",IF(AND(B5865='IN-TC'!$S$4,OR(TH!N5865="1111",TH!O5865="1111")),TH!D5865,""),"")</f>
        <v/>
      </c>
      <c r="B5865" s="60" t="str">
        <f t="shared" si="512"/>
        <v/>
      </c>
      <c r="C5865" s="61"/>
      <c r="D5865" s="301"/>
      <c r="E5865" s="61"/>
      <c r="F5865" s="69"/>
      <c r="G5865" s="769"/>
      <c r="H5865" s="69"/>
      <c r="I5865" s="385"/>
      <c r="J5865" s="392"/>
      <c r="K5865" s="385"/>
      <c r="L5865" s="392"/>
      <c r="M5865" s="62"/>
      <c r="N5865" s="63"/>
      <c r="O5865" s="63"/>
      <c r="P5865" s="79" t="str">
        <f>IF(AND('331-CT'!$E$7=TH!H5865,OR(N5865="331",O5865="331")),"x","")</f>
        <v/>
      </c>
      <c r="Q5865" s="79" t="str">
        <f>IF(AND(B5865='111'!$L$11,OR($N5865=$Q$7,$O5865=$Q$7)),"x","")</f>
        <v/>
      </c>
      <c r="R5865" s="79" t="str">
        <f>IF(AND($N5865=$Q$7,$B5865&lt;'111'!$L$11),"x","")</f>
        <v/>
      </c>
      <c r="S5865" s="79" t="str">
        <f>IF(AND($O5865=$Q$7,$B5865&lt;'111'!$L$11),"x","")</f>
        <v/>
      </c>
      <c r="T5865" s="79" t="str">
        <f>IF(ISERROR(FIND('112'!$M$9,G5865,1)),"",IF((AND(FIND('112'!$M$9,G5865,1)&gt;=1,B5865='112'!$K$9,OR($N5865='112'!$I$6,$O5865='112'!$I$6))),"x",""))</f>
        <v/>
      </c>
      <c r="U5865" s="79" t="str">
        <f>IF(ISERROR(FIND('112'!$M$9,G5865,1)),"",IF((AND(LEFT(G5865,2)=LEFT('112'!$M$9,2),B5865&lt;'112'!$K$9,$N5865='112'!$I$6)),"x",""))</f>
        <v/>
      </c>
      <c r="V5865" s="79" t="str">
        <f>IF(ISERROR(FIND('112'!$M$9,G5865,1)),"",IF((AND(RIGHT(G5865,2)=RIGHT('112'!$M$9,2),B5865&lt;'112'!$K$9,$O5865='112'!$I$6)),"x",""))</f>
        <v/>
      </c>
      <c r="W5865" s="79" t="str">
        <f>IF(AND('341-CT'!$H$9=H5865,OR(LEFT(N5865,3)=$W$7,LEFT(O5865,3)=$W$7)),"x","")</f>
        <v/>
      </c>
      <c r="X5865" s="79" t="str">
        <f>IF(OR(TH!N5865=TH!$X$7,O5865=TH!$X$7),"x","")</f>
        <v/>
      </c>
      <c r="Y5865" s="79" t="str">
        <f>IF(AND(OR(N5865="131",O5865="131"),H5865='131-CT'!$H$9),"x","")</f>
        <v/>
      </c>
      <c r="Z5865" s="79"/>
      <c r="AA5865" s="79" t="str">
        <f>IF(AND(MONTH(E5865)='IN-NX'!$J$5,'IN-NX'!$D$7=D5865),"x","")</f>
        <v/>
      </c>
      <c r="AB5865" s="79" t="str">
        <f>IF(AND(OR(LEFT(TH!N5865,2)="15",LEFT(TH!O5865,2)="15"),LEFT(TH!O5865,3)&lt;&gt;"111",'152-CT'!$J$8=TH!F5865),"x","")</f>
        <v/>
      </c>
      <c r="AC5865" s="79" t="str">
        <f>IF(AND(OR(LEFT(TH!N5865,2)="15",LEFT(TH!O5865,2)="15"),TK!$E$7=TH!F5865),"x","")</f>
        <v/>
      </c>
      <c r="AD5865" s="79" t="str">
        <f>IF(AND(N5865="1521",MONTH(C5865)='BK-NL'!$M$11),"x","")</f>
        <v/>
      </c>
    </row>
    <row r="5866" spans="1:30" ht="16.5" customHeight="1">
      <c r="A5866" s="318" t="str">
        <f>IF(B5866&lt;&gt;"",IF(AND(B5866='IN-TC'!$S$4,OR(TH!N5866="1111",TH!O5866="1111")),TH!D5866,""),"")</f>
        <v/>
      </c>
      <c r="B5866" s="60" t="str">
        <f t="shared" si="512"/>
        <v/>
      </c>
      <c r="C5866" s="61"/>
      <c r="D5866" s="301"/>
      <c r="E5866" s="61"/>
      <c r="F5866" s="69"/>
      <c r="G5866" s="769"/>
      <c r="H5866" s="69"/>
      <c r="I5866" s="385"/>
      <c r="J5866" s="392"/>
      <c r="K5866" s="385"/>
      <c r="L5866" s="392"/>
      <c r="M5866" s="62"/>
      <c r="N5866" s="63"/>
      <c r="O5866" s="63"/>
      <c r="P5866" s="79" t="str">
        <f>IF(AND('331-CT'!$E$7=TH!H5866,OR(N5866="331",O5866="331")),"x","")</f>
        <v/>
      </c>
      <c r="Q5866" s="79" t="str">
        <f>IF(AND(B5866='111'!$L$11,OR($N5866=$Q$7,$O5866=$Q$7)),"x","")</f>
        <v/>
      </c>
      <c r="R5866" s="79" t="str">
        <f>IF(AND($N5866=$Q$7,$B5866&lt;'111'!$L$11),"x","")</f>
        <v/>
      </c>
      <c r="S5866" s="79" t="str">
        <f>IF(AND($O5866=$Q$7,$B5866&lt;'111'!$L$11),"x","")</f>
        <v/>
      </c>
      <c r="T5866" s="79" t="str">
        <f>IF(ISERROR(FIND('112'!$M$9,G5866,1)),"",IF((AND(FIND('112'!$M$9,G5866,1)&gt;=1,B5866='112'!$K$9,OR($N5866='112'!$I$6,$O5866='112'!$I$6))),"x",""))</f>
        <v/>
      </c>
      <c r="U5866" s="79" t="str">
        <f>IF(ISERROR(FIND('112'!$M$9,G5866,1)),"",IF((AND(LEFT(G5866,2)=LEFT('112'!$M$9,2),B5866&lt;'112'!$K$9,$N5866='112'!$I$6)),"x",""))</f>
        <v/>
      </c>
      <c r="V5866" s="79" t="str">
        <f>IF(ISERROR(FIND('112'!$M$9,G5866,1)),"",IF((AND(RIGHT(G5866,2)=RIGHT('112'!$M$9,2),B5866&lt;'112'!$K$9,$O5866='112'!$I$6)),"x",""))</f>
        <v/>
      </c>
      <c r="W5866" s="79" t="str">
        <f>IF(AND('341-CT'!$H$9=H5866,OR(LEFT(N5866,3)=$W$7,LEFT(O5866,3)=$W$7)),"x","")</f>
        <v/>
      </c>
      <c r="X5866" s="79" t="str">
        <f>IF(OR(TH!N5866=TH!$X$7,O5866=TH!$X$7),"x","")</f>
        <v/>
      </c>
      <c r="Y5866" s="79" t="str">
        <f>IF(AND(OR(N5866="131",O5866="131"),H5866='131-CT'!$H$9),"x","")</f>
        <v/>
      </c>
      <c r="Z5866" s="79"/>
      <c r="AA5866" s="79" t="str">
        <f>IF(AND(MONTH(E5866)='IN-NX'!$J$5,'IN-NX'!$D$7=D5866),"x","")</f>
        <v/>
      </c>
      <c r="AB5866" s="79" t="str">
        <f>IF(AND(OR(LEFT(TH!N5866,2)="15",LEFT(TH!O5866,2)="15"),LEFT(TH!O5866,3)&lt;&gt;"111",'152-CT'!$J$8=TH!F5866),"x","")</f>
        <v/>
      </c>
      <c r="AC5866" s="79" t="str">
        <f>IF(AND(OR(LEFT(TH!N5866,2)="15",LEFT(TH!O5866,2)="15"),TK!$E$7=TH!F5866),"x","")</f>
        <v/>
      </c>
      <c r="AD5866" s="79" t="str">
        <f>IF(AND(N5866="1521",MONTH(C5866)='BK-NL'!$M$11),"x","")</f>
        <v/>
      </c>
    </row>
    <row r="5867" spans="1:30" ht="16.5" customHeight="1">
      <c r="A5867" s="318" t="str">
        <f>IF(B5867&lt;&gt;"",IF(AND(B5867='IN-TC'!$S$4,OR(TH!N5867="1111",TH!O5867="1111")),TH!D5867,""),"")</f>
        <v/>
      </c>
      <c r="B5867" s="60" t="str">
        <f t="shared" si="512"/>
        <v/>
      </c>
      <c r="C5867" s="61"/>
      <c r="D5867" s="301"/>
      <c r="E5867" s="61"/>
      <c r="F5867" s="69"/>
      <c r="G5867" s="769"/>
      <c r="H5867" s="69"/>
      <c r="I5867" s="385"/>
      <c r="J5867" s="392"/>
      <c r="K5867" s="385"/>
      <c r="L5867" s="392"/>
      <c r="M5867" s="62"/>
      <c r="N5867" s="63"/>
      <c r="O5867" s="63"/>
      <c r="P5867" s="79" t="str">
        <f>IF(AND('331-CT'!$E$7=TH!H5867,OR(N5867="331",O5867="331")),"x","")</f>
        <v/>
      </c>
      <c r="Q5867" s="79" t="str">
        <f>IF(AND(B5867='111'!$L$11,OR($N5867=$Q$7,$O5867=$Q$7)),"x","")</f>
        <v/>
      </c>
      <c r="R5867" s="79" t="str">
        <f>IF(AND($N5867=$Q$7,$B5867&lt;'111'!$L$11),"x","")</f>
        <v/>
      </c>
      <c r="S5867" s="79" t="str">
        <f>IF(AND($O5867=$Q$7,$B5867&lt;'111'!$L$11),"x","")</f>
        <v/>
      </c>
      <c r="T5867" s="79" t="str">
        <f>IF(ISERROR(FIND('112'!$M$9,G5867,1)),"",IF((AND(FIND('112'!$M$9,G5867,1)&gt;=1,B5867='112'!$K$9,OR($N5867='112'!$I$6,$O5867='112'!$I$6))),"x",""))</f>
        <v/>
      </c>
      <c r="U5867" s="79" t="str">
        <f>IF(ISERROR(FIND('112'!$M$9,G5867,1)),"",IF((AND(LEFT(G5867,2)=LEFT('112'!$M$9,2),B5867&lt;'112'!$K$9,$N5867='112'!$I$6)),"x",""))</f>
        <v/>
      </c>
      <c r="V5867" s="79" t="str">
        <f>IF(ISERROR(FIND('112'!$M$9,G5867,1)),"",IF((AND(RIGHT(G5867,2)=RIGHT('112'!$M$9,2),B5867&lt;'112'!$K$9,$O5867='112'!$I$6)),"x",""))</f>
        <v/>
      </c>
      <c r="W5867" s="79" t="str">
        <f>IF(AND('341-CT'!$H$9=H5867,OR(LEFT(N5867,3)=$W$7,LEFT(O5867,3)=$W$7)),"x","")</f>
        <v/>
      </c>
      <c r="X5867" s="79" t="str">
        <f>IF(OR(TH!N5867=TH!$X$7,O5867=TH!$X$7),"x","")</f>
        <v/>
      </c>
      <c r="Y5867" s="79" t="str">
        <f>IF(AND(OR(N5867="131",O5867="131"),H5867='131-CT'!$H$9),"x","")</f>
        <v/>
      </c>
      <c r="Z5867" s="79"/>
      <c r="AA5867" s="79" t="str">
        <f>IF(AND(MONTH(E5867)='IN-NX'!$J$5,'IN-NX'!$D$7=D5867),"x","")</f>
        <v/>
      </c>
      <c r="AB5867" s="79" t="str">
        <f>IF(AND(OR(LEFT(TH!N5867,2)="15",LEFT(TH!O5867,2)="15"),LEFT(TH!O5867,3)&lt;&gt;"111",'152-CT'!$J$8=TH!F5867),"x","")</f>
        <v/>
      </c>
      <c r="AC5867" s="79" t="str">
        <f>IF(AND(OR(LEFT(TH!N5867,2)="15",LEFT(TH!O5867,2)="15"),TK!$E$7=TH!F5867),"x","")</f>
        <v/>
      </c>
      <c r="AD5867" s="79" t="str">
        <f>IF(AND(N5867="1521",MONTH(C5867)='BK-NL'!$M$11),"x","")</f>
        <v/>
      </c>
    </row>
    <row r="5868" spans="1:30" ht="16.5" customHeight="1">
      <c r="A5868" s="318" t="str">
        <f>IF(B5868&lt;&gt;"",IF(AND(B5868='IN-TC'!$S$4,OR(TH!N5868="1111",TH!O5868="1111")),TH!D5868,""),"")</f>
        <v/>
      </c>
      <c r="B5868" s="60" t="str">
        <f t="shared" si="512"/>
        <v/>
      </c>
      <c r="C5868" s="61"/>
      <c r="D5868" s="301"/>
      <c r="E5868" s="61"/>
      <c r="F5868" s="69"/>
      <c r="G5868" s="769"/>
      <c r="H5868" s="69"/>
      <c r="I5868" s="385"/>
      <c r="J5868" s="392"/>
      <c r="K5868" s="385"/>
      <c r="L5868" s="392"/>
      <c r="M5868" s="62"/>
      <c r="N5868" s="63"/>
      <c r="O5868" s="63"/>
      <c r="P5868" s="79" t="str">
        <f>IF(AND('331-CT'!$E$7=TH!H5868,OR(N5868="331",O5868="331")),"x","")</f>
        <v/>
      </c>
      <c r="Q5868" s="79" t="str">
        <f>IF(AND(B5868='111'!$L$11,OR($N5868=$Q$7,$O5868=$Q$7)),"x","")</f>
        <v/>
      </c>
      <c r="R5868" s="79" t="str">
        <f>IF(AND($N5868=$Q$7,$B5868&lt;'111'!$L$11),"x","")</f>
        <v/>
      </c>
      <c r="S5868" s="79" t="str">
        <f>IF(AND($O5868=$Q$7,$B5868&lt;'111'!$L$11),"x","")</f>
        <v/>
      </c>
      <c r="T5868" s="79" t="str">
        <f>IF(ISERROR(FIND('112'!$M$9,G5868,1)),"",IF((AND(FIND('112'!$M$9,G5868,1)&gt;=1,B5868='112'!$K$9,OR($N5868='112'!$I$6,$O5868='112'!$I$6))),"x",""))</f>
        <v/>
      </c>
      <c r="U5868" s="79" t="str">
        <f>IF(ISERROR(FIND('112'!$M$9,G5868,1)),"",IF((AND(LEFT(G5868,2)=LEFT('112'!$M$9,2),B5868&lt;'112'!$K$9,$N5868='112'!$I$6)),"x",""))</f>
        <v/>
      </c>
      <c r="V5868" s="79" t="str">
        <f>IF(ISERROR(FIND('112'!$M$9,G5868,1)),"",IF((AND(RIGHT(G5868,2)=RIGHT('112'!$M$9,2),B5868&lt;'112'!$K$9,$O5868='112'!$I$6)),"x",""))</f>
        <v/>
      </c>
      <c r="W5868" s="79" t="str">
        <f>IF(AND('341-CT'!$H$9=H5868,OR(LEFT(N5868,3)=$W$7,LEFT(O5868,3)=$W$7)),"x","")</f>
        <v/>
      </c>
      <c r="X5868" s="79" t="str">
        <f>IF(OR(TH!N5868=TH!$X$7,O5868=TH!$X$7),"x","")</f>
        <v/>
      </c>
      <c r="Y5868" s="79" t="str">
        <f>IF(AND(OR(N5868="131",O5868="131"),H5868='131-CT'!$H$9),"x","")</f>
        <v/>
      </c>
      <c r="Z5868" s="79"/>
      <c r="AA5868" s="79" t="str">
        <f>IF(AND(MONTH(E5868)='IN-NX'!$J$5,'IN-NX'!$D$7=D5868),"x","")</f>
        <v/>
      </c>
      <c r="AB5868" s="79" t="str">
        <f>IF(AND(OR(LEFT(TH!N5868,2)="15",LEFT(TH!O5868,2)="15"),LEFT(TH!O5868,3)&lt;&gt;"111",'152-CT'!$J$8=TH!F5868),"x","")</f>
        <v/>
      </c>
      <c r="AC5868" s="79" t="str">
        <f>IF(AND(OR(LEFT(TH!N5868,2)="15",LEFT(TH!O5868,2)="15"),TK!$E$7=TH!F5868),"x","")</f>
        <v/>
      </c>
      <c r="AD5868" s="79" t="str">
        <f>IF(AND(N5868="1521",MONTH(C5868)='BK-NL'!$M$11),"x","")</f>
        <v/>
      </c>
    </row>
    <row r="5869" spans="1:30" ht="16.5" customHeight="1">
      <c r="A5869" s="318" t="str">
        <f>IF(B5869&lt;&gt;"",IF(AND(B5869='IN-TC'!$S$4,OR(TH!N5869="1111",TH!O5869="1111")),TH!D5869,""),"")</f>
        <v/>
      </c>
      <c r="B5869" s="60" t="str">
        <f t="shared" si="512"/>
        <v/>
      </c>
      <c r="C5869" s="61"/>
      <c r="D5869" s="301"/>
      <c r="E5869" s="61"/>
      <c r="F5869" s="69"/>
      <c r="G5869" s="769"/>
      <c r="H5869" s="69"/>
      <c r="I5869" s="385"/>
      <c r="J5869" s="392"/>
      <c r="K5869" s="385"/>
      <c r="L5869" s="392"/>
      <c r="M5869" s="62"/>
      <c r="N5869" s="63"/>
      <c r="O5869" s="63"/>
      <c r="P5869" s="79" t="str">
        <f>IF(AND('331-CT'!$E$7=TH!H5869,OR(N5869="331",O5869="331")),"x","")</f>
        <v/>
      </c>
      <c r="Q5869" s="79" t="str">
        <f>IF(AND(B5869='111'!$L$11,OR($N5869=$Q$7,$O5869=$Q$7)),"x","")</f>
        <v/>
      </c>
      <c r="R5869" s="79" t="str">
        <f>IF(AND($N5869=$Q$7,$B5869&lt;'111'!$L$11),"x","")</f>
        <v/>
      </c>
      <c r="S5869" s="79" t="str">
        <f>IF(AND($O5869=$Q$7,$B5869&lt;'111'!$L$11),"x","")</f>
        <v/>
      </c>
      <c r="T5869" s="79" t="str">
        <f>IF(ISERROR(FIND('112'!$M$9,G5869,1)),"",IF((AND(FIND('112'!$M$9,G5869,1)&gt;=1,B5869='112'!$K$9,OR($N5869='112'!$I$6,$O5869='112'!$I$6))),"x",""))</f>
        <v/>
      </c>
      <c r="U5869" s="79" t="str">
        <f>IF(ISERROR(FIND('112'!$M$9,G5869,1)),"",IF((AND(LEFT(G5869,2)=LEFT('112'!$M$9,2),B5869&lt;'112'!$K$9,$N5869='112'!$I$6)),"x",""))</f>
        <v/>
      </c>
      <c r="V5869" s="79" t="str">
        <f>IF(ISERROR(FIND('112'!$M$9,G5869,1)),"",IF((AND(RIGHT(G5869,2)=RIGHT('112'!$M$9,2),B5869&lt;'112'!$K$9,$O5869='112'!$I$6)),"x",""))</f>
        <v/>
      </c>
      <c r="W5869" s="79" t="str">
        <f>IF(AND('341-CT'!$H$9=H5869,OR(LEFT(N5869,3)=$W$7,LEFT(O5869,3)=$W$7)),"x","")</f>
        <v/>
      </c>
      <c r="X5869" s="79" t="str">
        <f>IF(OR(TH!N5869=TH!$X$7,O5869=TH!$X$7),"x","")</f>
        <v/>
      </c>
      <c r="Y5869" s="79" t="str">
        <f>IF(AND(OR(N5869="131",O5869="131"),H5869='131-CT'!$H$9),"x","")</f>
        <v/>
      </c>
      <c r="Z5869" s="79"/>
      <c r="AA5869" s="79" t="str">
        <f>IF(AND(MONTH(E5869)='IN-NX'!$J$5,'IN-NX'!$D$7=D5869),"x","")</f>
        <v/>
      </c>
      <c r="AB5869" s="79" t="str">
        <f>IF(AND(OR(LEFT(TH!N5869,2)="15",LEFT(TH!O5869,2)="15"),LEFT(TH!O5869,3)&lt;&gt;"111",'152-CT'!$J$8=TH!F5869),"x","")</f>
        <v/>
      </c>
      <c r="AC5869" s="79" t="str">
        <f>IF(AND(OR(LEFT(TH!N5869,2)="15",LEFT(TH!O5869,2)="15"),TK!$E$7=TH!F5869),"x","")</f>
        <v/>
      </c>
      <c r="AD5869" s="79" t="str">
        <f>IF(AND(N5869="1521",MONTH(C5869)='BK-NL'!$M$11),"x","")</f>
        <v/>
      </c>
    </row>
    <row r="5870" spans="1:30" ht="16.5" customHeight="1">
      <c r="A5870" s="318" t="str">
        <f>IF(B5870&lt;&gt;"",IF(AND(B5870='IN-TC'!$S$4,OR(TH!N5870="1111",TH!O5870="1111")),TH!D5870,""),"")</f>
        <v/>
      </c>
      <c r="B5870" s="60" t="str">
        <f t="shared" si="512"/>
        <v/>
      </c>
      <c r="C5870" s="61"/>
      <c r="D5870" s="301"/>
      <c r="E5870" s="61"/>
      <c r="F5870" s="69"/>
      <c r="G5870" s="769"/>
      <c r="H5870" s="69"/>
      <c r="I5870" s="385"/>
      <c r="J5870" s="392"/>
      <c r="K5870" s="385"/>
      <c r="L5870" s="392"/>
      <c r="M5870" s="62"/>
      <c r="N5870" s="63"/>
      <c r="O5870" s="63"/>
      <c r="P5870" s="79" t="str">
        <f>IF(AND('331-CT'!$E$7=TH!H5870,OR(N5870="331",O5870="331")),"x","")</f>
        <v/>
      </c>
      <c r="Q5870" s="79" t="str">
        <f>IF(AND(B5870='111'!$L$11,OR($N5870=$Q$7,$O5870=$Q$7)),"x","")</f>
        <v/>
      </c>
      <c r="R5870" s="79" t="str">
        <f>IF(AND($N5870=$Q$7,$B5870&lt;'111'!$L$11),"x","")</f>
        <v/>
      </c>
      <c r="S5870" s="79" t="str">
        <f>IF(AND($O5870=$Q$7,$B5870&lt;'111'!$L$11),"x","")</f>
        <v/>
      </c>
      <c r="T5870" s="79" t="str">
        <f>IF(ISERROR(FIND('112'!$M$9,G5870,1)),"",IF((AND(FIND('112'!$M$9,G5870,1)&gt;=1,B5870='112'!$K$9,OR($N5870='112'!$I$6,$O5870='112'!$I$6))),"x",""))</f>
        <v/>
      </c>
      <c r="U5870" s="79" t="str">
        <f>IF(ISERROR(FIND('112'!$M$9,G5870,1)),"",IF((AND(LEFT(G5870,2)=LEFT('112'!$M$9,2),B5870&lt;'112'!$K$9,$N5870='112'!$I$6)),"x",""))</f>
        <v/>
      </c>
      <c r="V5870" s="79" t="str">
        <f>IF(ISERROR(FIND('112'!$M$9,G5870,1)),"",IF((AND(RIGHT(G5870,2)=RIGHT('112'!$M$9,2),B5870&lt;'112'!$K$9,$O5870='112'!$I$6)),"x",""))</f>
        <v/>
      </c>
      <c r="W5870" s="79" t="str">
        <f>IF(AND('341-CT'!$H$9=H5870,OR(LEFT(N5870,3)=$W$7,LEFT(O5870,3)=$W$7)),"x","")</f>
        <v/>
      </c>
      <c r="X5870" s="79" t="str">
        <f>IF(OR(TH!N5870=TH!$X$7,O5870=TH!$X$7),"x","")</f>
        <v/>
      </c>
      <c r="Y5870" s="79" t="str">
        <f>IF(AND(OR(N5870="131",O5870="131"),H5870='131-CT'!$H$9),"x","")</f>
        <v/>
      </c>
      <c r="Z5870" s="79"/>
      <c r="AA5870" s="79" t="str">
        <f>IF(AND(MONTH(E5870)='IN-NX'!$J$5,'IN-NX'!$D$7=D5870),"x","")</f>
        <v/>
      </c>
      <c r="AB5870" s="79" t="str">
        <f>IF(AND(OR(LEFT(TH!N5870,2)="15",LEFT(TH!O5870,2)="15"),LEFT(TH!O5870,3)&lt;&gt;"111",'152-CT'!$J$8=TH!F5870),"x","")</f>
        <v/>
      </c>
      <c r="AC5870" s="79" t="str">
        <f>IF(AND(OR(LEFT(TH!N5870,2)="15",LEFT(TH!O5870,2)="15"),TK!$E$7=TH!F5870),"x","")</f>
        <v/>
      </c>
      <c r="AD5870" s="79" t="str">
        <f>IF(AND(N5870="1521",MONTH(C5870)='BK-NL'!$M$11),"x","")</f>
        <v/>
      </c>
    </row>
    <row r="5871" spans="1:30" ht="16.5" customHeight="1">
      <c r="A5871" s="318" t="str">
        <f>IF(B5871&lt;&gt;"",IF(AND(B5871='IN-TC'!$S$4,OR(TH!N5871="1111",TH!O5871="1111")),TH!D5871,""),"")</f>
        <v/>
      </c>
      <c r="B5871" s="60" t="str">
        <f t="shared" si="512"/>
        <v/>
      </c>
      <c r="C5871" s="301"/>
      <c r="D5871" s="301"/>
      <c r="E5871" s="301"/>
      <c r="F5871" s="69"/>
      <c r="G5871" s="302"/>
      <c r="H5871" s="303"/>
      <c r="I5871" s="385"/>
      <c r="J5871" s="392"/>
      <c r="K5871" s="385"/>
      <c r="L5871" s="392"/>
      <c r="M5871" s="62"/>
      <c r="N5871" s="304"/>
      <c r="O5871" s="63"/>
      <c r="P5871" s="79" t="str">
        <f>IF(AND('331-CT'!$E$7=TH!H5871,OR(N5871="331",O5871="331")),"x","")</f>
        <v/>
      </c>
      <c r="Q5871" s="79" t="str">
        <f>IF(AND(B5871='111'!$L$11,OR($N5871=$Q$7,$O5871=$Q$7)),"x","")</f>
        <v/>
      </c>
      <c r="R5871" s="79" t="str">
        <f>IF(AND($N5871=$Q$7,$B5871&lt;'111'!$L$11),"x","")</f>
        <v/>
      </c>
      <c r="S5871" s="79" t="str">
        <f>IF(AND($O5871=$Q$7,$B5871&lt;'111'!$L$11),"x","")</f>
        <v/>
      </c>
      <c r="T5871" s="79" t="str">
        <f>IF(ISERROR(FIND('112'!$M$9,G5871,1)),"",IF((AND(FIND('112'!$M$9,G5871,1)&gt;=1,B5871='112'!$K$9,OR($N5871='112'!$I$6,$O5871='112'!$I$6))),"x",""))</f>
        <v/>
      </c>
      <c r="U5871" s="79" t="str">
        <f>IF(ISERROR(FIND('112'!$M$9,G5871,1)),"",IF((AND(LEFT(G5871,2)=LEFT('112'!$M$9,2),B5871&lt;'112'!$K$9,$N5871='112'!$I$6)),"x",""))</f>
        <v/>
      </c>
      <c r="V5871" s="79" t="str">
        <f>IF(ISERROR(FIND('112'!$M$9,G5871,1)),"",IF((AND(RIGHT(G5871,2)=RIGHT('112'!$M$9,2),B5871&lt;'112'!$K$9,$O5871='112'!$I$6)),"x",""))</f>
        <v/>
      </c>
      <c r="W5871" s="79" t="str">
        <f>IF(AND('341-CT'!$H$9=H5871,OR(LEFT(N5871,3)=$W$7,LEFT(O5871,3)=$W$7)),"x","")</f>
        <v/>
      </c>
      <c r="X5871" s="79" t="str">
        <f>IF(OR(TH!N5871=TH!$X$7,O5871=TH!$X$7),"x","")</f>
        <v/>
      </c>
      <c r="Y5871" s="79" t="str">
        <f>IF(AND(OR(N5871="131",O5871="131"),H5871='131-CT'!$H$9),"x","")</f>
        <v/>
      </c>
      <c r="Z5871" s="79"/>
      <c r="AA5871" s="79" t="str">
        <f>IF(AND(MONTH(E5871)='IN-NX'!$J$5,'IN-NX'!$D$7=D5871),"x","")</f>
        <v/>
      </c>
      <c r="AB5871" s="79" t="str">
        <f>IF(AND(OR(LEFT(TH!N5871,2)="15",LEFT(TH!O5871,2)="15"),LEFT(TH!O5871,3)&lt;&gt;"111",'152-CT'!$J$8=TH!F5871),"x","")</f>
        <v/>
      </c>
      <c r="AC5871" s="79" t="str">
        <f>IF(AND(OR(LEFT(TH!N5871,2)="15",LEFT(TH!O5871,2)="15"),TK!$E$7=TH!F5871),"x","")</f>
        <v/>
      </c>
      <c r="AD5871" s="79" t="str">
        <f>IF(AND(N5871="1521",MONTH(C5871)='BK-NL'!$M$11),"x","")</f>
        <v/>
      </c>
    </row>
    <row r="5872" spans="1:30" ht="16.5" customHeight="1">
      <c r="A5872" s="318" t="str">
        <f>IF(B5872&lt;&gt;"",IF(AND(B5872='IN-TC'!$S$4,OR(TH!N5872="1111",TH!O5872="1111")),TH!D5872,""),"")</f>
        <v/>
      </c>
      <c r="B5872" s="60" t="str">
        <f t="shared" si="512"/>
        <v/>
      </c>
      <c r="C5872" s="61"/>
      <c r="D5872" s="301"/>
      <c r="E5872" s="61"/>
      <c r="F5872" s="69"/>
      <c r="G5872" s="769"/>
      <c r="H5872" s="69"/>
      <c r="I5872" s="385"/>
      <c r="J5872" s="392"/>
      <c r="K5872" s="385"/>
      <c r="L5872" s="392"/>
      <c r="M5872" s="62"/>
      <c r="N5872" s="63"/>
      <c r="O5872" s="63"/>
      <c r="P5872" s="79" t="str">
        <f>IF(AND('331-CT'!$E$7=TH!H5872,OR(N5872="331",O5872="331")),"x","")</f>
        <v/>
      </c>
      <c r="Q5872" s="79" t="str">
        <f>IF(AND(B5872='111'!$L$11,OR($N5872=$Q$7,$O5872=$Q$7)),"x","")</f>
        <v/>
      </c>
      <c r="R5872" s="79" t="str">
        <f>IF(AND($N5872=$Q$7,$B5872&lt;'111'!$L$11),"x","")</f>
        <v/>
      </c>
      <c r="S5872" s="79" t="str">
        <f>IF(AND($O5872=$Q$7,$B5872&lt;'111'!$L$11),"x","")</f>
        <v/>
      </c>
      <c r="T5872" s="79" t="str">
        <f>IF(ISERROR(FIND('112'!$M$9,G5872,1)),"",IF((AND(FIND('112'!$M$9,G5872,1)&gt;=1,B5872='112'!$K$9,OR($N5872='112'!$I$6,$O5872='112'!$I$6))),"x",""))</f>
        <v/>
      </c>
      <c r="U5872" s="79" t="str">
        <f>IF(ISERROR(FIND('112'!$M$9,G5872,1)),"",IF((AND(LEFT(G5872,2)=LEFT('112'!$M$9,2),B5872&lt;'112'!$K$9,$N5872='112'!$I$6)),"x",""))</f>
        <v/>
      </c>
      <c r="V5872" s="79" t="str">
        <f>IF(ISERROR(FIND('112'!$M$9,G5872,1)),"",IF((AND(RIGHT(G5872,2)=RIGHT('112'!$M$9,2),B5872&lt;'112'!$K$9,$O5872='112'!$I$6)),"x",""))</f>
        <v/>
      </c>
      <c r="W5872" s="79" t="str">
        <f>IF(AND('341-CT'!$H$9=H5872,OR(LEFT(N5872,3)=$W$7,LEFT(O5872,3)=$W$7)),"x","")</f>
        <v/>
      </c>
      <c r="X5872" s="79" t="str">
        <f>IF(OR(TH!N5872=TH!$X$7,O5872=TH!$X$7),"x","")</f>
        <v/>
      </c>
      <c r="Y5872" s="79" t="str">
        <f>IF(AND(OR(N5872="131",O5872="131"),H5872='131-CT'!$H$9),"x","")</f>
        <v/>
      </c>
      <c r="Z5872" s="79"/>
      <c r="AA5872" s="79" t="str">
        <f>IF(AND(MONTH(E5872)='IN-NX'!$J$5,'IN-NX'!$D$7=D5872),"x","")</f>
        <v/>
      </c>
      <c r="AB5872" s="79" t="str">
        <f>IF(AND(OR(LEFT(TH!N5872,2)="15",LEFT(TH!O5872,2)="15"),LEFT(TH!O5872,3)&lt;&gt;"111",'152-CT'!$J$8=TH!F5872),"x","")</f>
        <v/>
      </c>
      <c r="AC5872" s="79" t="str">
        <f>IF(AND(OR(LEFT(TH!N5872,2)="15",LEFT(TH!O5872,2)="15"),TK!$E$7=TH!F5872),"x","")</f>
        <v/>
      </c>
      <c r="AD5872" s="79" t="str">
        <f>IF(AND(N5872="1521",MONTH(C5872)='BK-NL'!$M$11),"x","")</f>
        <v/>
      </c>
    </row>
    <row r="5873" spans="1:30" ht="16.5" customHeight="1">
      <c r="A5873" s="318" t="str">
        <f>IF(B5873&lt;&gt;"",IF(AND(B5873='IN-TC'!$S$4,OR(TH!N5873="1111",TH!O5873="1111")),TH!D5873,""),"")</f>
        <v/>
      </c>
      <c r="B5873" s="60" t="str">
        <f t="shared" si="512"/>
        <v/>
      </c>
      <c r="C5873" s="301"/>
      <c r="D5873" s="61"/>
      <c r="E5873" s="301"/>
      <c r="F5873" s="69"/>
      <c r="G5873" s="769"/>
      <c r="H5873" s="303"/>
      <c r="I5873" s="385"/>
      <c r="J5873" s="392"/>
      <c r="K5873" s="385"/>
      <c r="L5873" s="392"/>
      <c r="M5873" s="62"/>
      <c r="N5873" s="304"/>
      <c r="O5873" s="63"/>
      <c r="P5873" s="79" t="str">
        <f>IF(AND('331-CT'!$E$7=TH!H5873,OR(N5873="331",O5873="331")),"x","")</f>
        <v/>
      </c>
      <c r="Q5873" s="79" t="str">
        <f>IF(AND(B5873='111'!$L$11,OR($N5873=$Q$7,$O5873=$Q$7)),"x","")</f>
        <v/>
      </c>
      <c r="R5873" s="79" t="str">
        <f>IF(AND($N5873=$Q$7,$B5873&lt;'111'!$L$11),"x","")</f>
        <v/>
      </c>
      <c r="S5873" s="79" t="str">
        <f>IF(AND($O5873=$Q$7,$B5873&lt;'111'!$L$11),"x","")</f>
        <v/>
      </c>
      <c r="T5873" s="79" t="str">
        <f>IF(ISERROR(FIND('112'!$M$9,G5873,1)),"",IF((AND(FIND('112'!$M$9,G5873,1)&gt;=1,B5873='112'!$K$9,OR($N5873='112'!$I$6,$O5873='112'!$I$6))),"x",""))</f>
        <v/>
      </c>
      <c r="U5873" s="79" t="str">
        <f>IF(ISERROR(FIND('112'!$M$9,G5873,1)),"",IF((AND(LEFT(G5873,2)=LEFT('112'!$M$9,2),B5873&lt;'112'!$K$9,$N5873='112'!$I$6)),"x",""))</f>
        <v/>
      </c>
      <c r="V5873" s="79" t="str">
        <f>IF(ISERROR(FIND('112'!$M$9,G5873,1)),"",IF((AND(RIGHT(G5873,2)=RIGHT('112'!$M$9,2),B5873&lt;'112'!$K$9,$O5873='112'!$I$6)),"x",""))</f>
        <v/>
      </c>
      <c r="W5873" s="79" t="str">
        <f>IF(AND('341-CT'!$H$9=H5873,OR(LEFT(N5873,3)=$W$7,LEFT(O5873,3)=$W$7)),"x","")</f>
        <v/>
      </c>
      <c r="X5873" s="79" t="str">
        <f>IF(OR(TH!N5873=TH!$X$7,O5873=TH!$X$7),"x","")</f>
        <v/>
      </c>
      <c r="Y5873" s="79" t="str">
        <f>IF(AND(OR(N5873="131",O5873="131"),H5873='131-CT'!$H$9),"x","")</f>
        <v/>
      </c>
      <c r="Z5873" s="79"/>
      <c r="AA5873" s="79" t="str">
        <f>IF(AND(MONTH(E5873)='IN-NX'!$J$5,'IN-NX'!$D$7=D5873),"x","")</f>
        <v/>
      </c>
      <c r="AB5873" s="79" t="str">
        <f>IF(AND(OR(LEFT(TH!N5873,2)="15",LEFT(TH!O5873,2)="15"),LEFT(TH!O5873,3)&lt;&gt;"111",'152-CT'!$J$8=TH!F5873),"x","")</f>
        <v/>
      </c>
      <c r="AC5873" s="79" t="str">
        <f>IF(AND(OR(LEFT(TH!N5873,2)="15",LEFT(TH!O5873,2)="15"),TK!$E$7=TH!F5873),"x","")</f>
        <v/>
      </c>
      <c r="AD5873" s="79" t="str">
        <f>IF(AND(N5873="1521",MONTH(C5873)='BK-NL'!$M$11),"x","")</f>
        <v/>
      </c>
    </row>
    <row r="5874" spans="1:30" ht="16.5" customHeight="1">
      <c r="A5874" s="318" t="str">
        <f>IF(B5874&lt;&gt;"",IF(AND(B5874='IN-TC'!$S$4,OR(TH!N5874="1111",TH!O5874="1111")),TH!D5874,""),"")</f>
        <v/>
      </c>
      <c r="B5874" s="60" t="str">
        <f t="shared" si="512"/>
        <v/>
      </c>
      <c r="C5874" s="301"/>
      <c r="D5874" s="61"/>
      <c r="E5874" s="301"/>
      <c r="F5874" s="69"/>
      <c r="G5874" s="769"/>
      <c r="H5874" s="303"/>
      <c r="I5874" s="385"/>
      <c r="J5874" s="392"/>
      <c r="K5874" s="385"/>
      <c r="L5874" s="392"/>
      <c r="M5874" s="62"/>
      <c r="N5874" s="63"/>
      <c r="O5874" s="63"/>
      <c r="P5874" s="79" t="str">
        <f>IF(AND('331-CT'!$E$7=TH!H5874,OR(N5874="331",O5874="331")),"x","")</f>
        <v/>
      </c>
      <c r="Q5874" s="79" t="str">
        <f>IF(AND(B5874='111'!$L$11,OR($N5874=$Q$7,$O5874=$Q$7)),"x","")</f>
        <v/>
      </c>
      <c r="R5874" s="79" t="str">
        <f>IF(AND($N5874=$Q$7,$B5874&lt;'111'!$L$11),"x","")</f>
        <v/>
      </c>
      <c r="S5874" s="79" t="str">
        <f>IF(AND($O5874=$Q$7,$B5874&lt;'111'!$L$11),"x","")</f>
        <v/>
      </c>
      <c r="T5874" s="79" t="str">
        <f>IF(ISERROR(FIND('112'!$M$9,G5874,1)),"",IF((AND(FIND('112'!$M$9,G5874,1)&gt;=1,B5874='112'!$K$9,OR($N5874='112'!$I$6,$O5874='112'!$I$6))),"x",""))</f>
        <v/>
      </c>
      <c r="U5874" s="79" t="str">
        <f>IF(ISERROR(FIND('112'!$M$9,G5874,1)),"",IF((AND(LEFT(G5874,2)=LEFT('112'!$M$9,2),B5874&lt;'112'!$K$9,$N5874='112'!$I$6)),"x",""))</f>
        <v/>
      </c>
      <c r="V5874" s="79" t="str">
        <f>IF(ISERROR(FIND('112'!$M$9,G5874,1)),"",IF((AND(RIGHT(G5874,2)=RIGHT('112'!$M$9,2),B5874&lt;'112'!$K$9,$O5874='112'!$I$6)),"x",""))</f>
        <v/>
      </c>
      <c r="W5874" s="79" t="str">
        <f>IF(AND('341-CT'!$H$9=H5874,OR(LEFT(N5874,3)=$W$7,LEFT(O5874,3)=$W$7)),"x","")</f>
        <v/>
      </c>
      <c r="X5874" s="79" t="str">
        <f>IF(OR(TH!N5874=TH!$X$7,O5874=TH!$X$7),"x","")</f>
        <v/>
      </c>
      <c r="Y5874" s="79" t="str">
        <f>IF(AND(OR(N5874="131",O5874="131"),H5874='131-CT'!$H$9),"x","")</f>
        <v/>
      </c>
      <c r="Z5874" s="79"/>
      <c r="AA5874" s="79" t="str">
        <f>IF(AND(MONTH(E5874)='IN-NX'!$J$5,'IN-NX'!$D$7=D5874),"x","")</f>
        <v/>
      </c>
      <c r="AB5874" s="79" t="str">
        <f>IF(AND(OR(LEFT(TH!N5874,2)="15",LEFT(TH!O5874,2)="15"),LEFT(TH!O5874,3)&lt;&gt;"111",'152-CT'!$J$8=TH!F5874),"x","")</f>
        <v/>
      </c>
      <c r="AC5874" s="79" t="str">
        <f>IF(AND(OR(LEFT(TH!N5874,2)="15",LEFT(TH!O5874,2)="15"),TK!$E$7=TH!F5874),"x","")</f>
        <v/>
      </c>
      <c r="AD5874" s="79" t="str">
        <f>IF(AND(N5874="1521",MONTH(C5874)='BK-NL'!$M$11),"x","")</f>
        <v/>
      </c>
    </row>
    <row r="5875" spans="1:30" ht="16.5" customHeight="1">
      <c r="A5875" s="318" t="str">
        <f>IF(B5875&lt;&gt;"",IF(AND(B5875='IN-TC'!$S$4,OR(TH!N5875="1111",TH!O5875="1111")),TH!D5875,""),"")</f>
        <v/>
      </c>
      <c r="B5875" s="60" t="str">
        <f t="shared" si="512"/>
        <v/>
      </c>
      <c r="C5875" s="301"/>
      <c r="D5875" s="61"/>
      <c r="E5875" s="301"/>
      <c r="F5875" s="69"/>
      <c r="G5875" s="769"/>
      <c r="H5875" s="303"/>
      <c r="I5875" s="385"/>
      <c r="J5875" s="392"/>
      <c r="K5875" s="385"/>
      <c r="L5875" s="392"/>
      <c r="M5875" s="62"/>
      <c r="N5875" s="304"/>
      <c r="O5875" s="63"/>
      <c r="P5875" s="79" t="str">
        <f>IF(AND('331-CT'!$E$7=TH!H5875,OR(N5875="331",O5875="331")),"x","")</f>
        <v/>
      </c>
      <c r="Q5875" s="79" t="str">
        <f>IF(AND(B5875='111'!$L$11,OR($N5875=$Q$7,$O5875=$Q$7)),"x","")</f>
        <v/>
      </c>
      <c r="R5875" s="79" t="str">
        <f>IF(AND($N5875=$Q$7,$B5875&lt;'111'!$L$11),"x","")</f>
        <v/>
      </c>
      <c r="S5875" s="79" t="str">
        <f>IF(AND($O5875=$Q$7,$B5875&lt;'111'!$L$11),"x","")</f>
        <v/>
      </c>
      <c r="T5875" s="79" t="str">
        <f>IF(ISERROR(FIND('112'!$M$9,G5875,1)),"",IF((AND(FIND('112'!$M$9,G5875,1)&gt;=1,B5875='112'!$K$9,OR($N5875='112'!$I$6,$O5875='112'!$I$6))),"x",""))</f>
        <v/>
      </c>
      <c r="U5875" s="79" t="str">
        <f>IF(ISERROR(FIND('112'!$M$9,G5875,1)),"",IF((AND(LEFT(G5875,2)=LEFT('112'!$M$9,2),B5875&lt;'112'!$K$9,$N5875='112'!$I$6)),"x",""))</f>
        <v/>
      </c>
      <c r="V5875" s="79" t="str">
        <f>IF(ISERROR(FIND('112'!$M$9,G5875,1)),"",IF((AND(RIGHT(G5875,2)=RIGHT('112'!$M$9,2),B5875&lt;'112'!$K$9,$O5875='112'!$I$6)),"x",""))</f>
        <v/>
      </c>
      <c r="W5875" s="79" t="str">
        <f>IF(AND('341-CT'!$H$9=H5875,OR(LEFT(N5875,3)=$W$7,LEFT(O5875,3)=$W$7)),"x","")</f>
        <v/>
      </c>
      <c r="X5875" s="79" t="str">
        <f>IF(OR(TH!N5875=TH!$X$7,O5875=TH!$X$7),"x","")</f>
        <v/>
      </c>
      <c r="Y5875" s="79" t="str">
        <f>IF(AND(OR(N5875="131",O5875="131"),H5875='131-CT'!$H$9),"x","")</f>
        <v/>
      </c>
      <c r="Z5875" s="79"/>
      <c r="AA5875" s="79" t="str">
        <f>IF(AND(MONTH(E5875)='IN-NX'!$J$5,'IN-NX'!$D$7=D5875),"x","")</f>
        <v/>
      </c>
      <c r="AB5875" s="79" t="str">
        <f>IF(AND(OR(LEFT(TH!N5875,2)="15",LEFT(TH!O5875,2)="15"),LEFT(TH!O5875,3)&lt;&gt;"111",'152-CT'!$J$8=TH!F5875),"x","")</f>
        <v/>
      </c>
      <c r="AC5875" s="79" t="str">
        <f>IF(AND(OR(LEFT(TH!N5875,2)="15",LEFT(TH!O5875,2)="15"),TK!$E$7=TH!F5875),"x","")</f>
        <v/>
      </c>
      <c r="AD5875" s="79" t="str">
        <f>IF(AND(N5875="1521",MONTH(C5875)='BK-NL'!$M$11),"x","")</f>
        <v/>
      </c>
    </row>
    <row r="5876" spans="1:30" ht="16.5" customHeight="1">
      <c r="A5876" s="318" t="str">
        <f>IF(B5876&lt;&gt;"",IF(AND(B5876='IN-TC'!$S$4,OR(TH!N5876="1111",TH!O5876="1111")),TH!D5876,""),"")</f>
        <v/>
      </c>
      <c r="B5876" s="60" t="str">
        <f t="shared" si="512"/>
        <v/>
      </c>
      <c r="C5876" s="301"/>
      <c r="D5876" s="61"/>
      <c r="E5876" s="301"/>
      <c r="F5876" s="69"/>
      <c r="G5876" s="769"/>
      <c r="H5876" s="303"/>
      <c r="I5876" s="385"/>
      <c r="J5876" s="392"/>
      <c r="K5876" s="385"/>
      <c r="L5876" s="392"/>
      <c r="M5876" s="62"/>
      <c r="N5876" s="304"/>
      <c r="O5876" s="63"/>
      <c r="P5876" s="79" t="str">
        <f>IF(AND('331-CT'!$E$7=TH!H5876,OR(N5876="331",O5876="331")),"x","")</f>
        <v/>
      </c>
      <c r="Q5876" s="79" t="str">
        <f>IF(AND(B5876='111'!$L$11,OR($N5876=$Q$7,$O5876=$Q$7)),"x","")</f>
        <v/>
      </c>
      <c r="R5876" s="79" t="str">
        <f>IF(AND($N5876=$Q$7,$B5876&lt;'111'!$L$11),"x","")</f>
        <v/>
      </c>
      <c r="S5876" s="79" t="str">
        <f>IF(AND($O5876=$Q$7,$B5876&lt;'111'!$L$11),"x","")</f>
        <v/>
      </c>
      <c r="T5876" s="79" t="str">
        <f>IF(ISERROR(FIND('112'!$M$9,G5876,1)),"",IF((AND(FIND('112'!$M$9,G5876,1)&gt;=1,B5876='112'!$K$9,OR($N5876='112'!$I$6,$O5876='112'!$I$6))),"x",""))</f>
        <v/>
      </c>
      <c r="U5876" s="79" t="str">
        <f>IF(ISERROR(FIND('112'!$M$9,G5876,1)),"",IF((AND(LEFT(G5876,2)=LEFT('112'!$M$9,2),B5876&lt;'112'!$K$9,$N5876='112'!$I$6)),"x",""))</f>
        <v/>
      </c>
      <c r="V5876" s="79" t="str">
        <f>IF(ISERROR(FIND('112'!$M$9,G5876,1)),"",IF((AND(RIGHT(G5876,2)=RIGHT('112'!$M$9,2),B5876&lt;'112'!$K$9,$O5876='112'!$I$6)),"x",""))</f>
        <v/>
      </c>
      <c r="W5876" s="79" t="str">
        <f>IF(AND('341-CT'!$H$9=H5876,OR(LEFT(N5876,3)=$W$7,LEFT(O5876,3)=$W$7)),"x","")</f>
        <v/>
      </c>
      <c r="X5876" s="79" t="str">
        <f>IF(OR(TH!N5876=TH!$X$7,O5876=TH!$X$7),"x","")</f>
        <v/>
      </c>
      <c r="Y5876" s="79" t="str">
        <f>IF(AND(OR(N5876="131",O5876="131"),H5876='131-CT'!$H$9),"x","")</f>
        <v/>
      </c>
      <c r="Z5876" s="79"/>
      <c r="AA5876" s="79" t="str">
        <f>IF(AND(MONTH(E5876)='IN-NX'!$J$5,'IN-NX'!$D$7=D5876),"x","")</f>
        <v/>
      </c>
      <c r="AB5876" s="79" t="str">
        <f>IF(AND(OR(LEFT(TH!N5876,2)="15",LEFT(TH!O5876,2)="15"),LEFT(TH!O5876,3)&lt;&gt;"111",'152-CT'!$J$8=TH!F5876),"x","")</f>
        <v/>
      </c>
      <c r="AC5876" s="79" t="str">
        <f>IF(AND(OR(LEFT(TH!N5876,2)="15",LEFT(TH!O5876,2)="15"),TK!$E$7=TH!F5876),"x","")</f>
        <v/>
      </c>
      <c r="AD5876" s="79" t="str">
        <f>IF(AND(N5876="1521",MONTH(C5876)='BK-NL'!$M$11),"x","")</f>
        <v/>
      </c>
    </row>
    <row r="5877" spans="1:30" ht="16.5" customHeight="1">
      <c r="A5877" s="318" t="str">
        <f>IF(B5877&lt;&gt;"",IF(AND(B5877='IN-TC'!$S$4,OR(TH!N5877="1111",TH!O5877="1111")),TH!D5877,""),"")</f>
        <v/>
      </c>
      <c r="B5877" s="60" t="str">
        <f t="shared" si="512"/>
        <v/>
      </c>
      <c r="C5877" s="301"/>
      <c r="D5877" s="61"/>
      <c r="E5877" s="301"/>
      <c r="F5877" s="69"/>
      <c r="G5877" s="769"/>
      <c r="H5877" s="69"/>
      <c r="I5877" s="385"/>
      <c r="J5877" s="392"/>
      <c r="K5877" s="385"/>
      <c r="L5877" s="392"/>
      <c r="M5877" s="62"/>
      <c r="N5877" s="304"/>
      <c r="O5877" s="63"/>
      <c r="P5877" s="79" t="str">
        <f>IF(AND('331-CT'!$E$7=TH!H5877,OR(N5877="331",O5877="331")),"x","")</f>
        <v/>
      </c>
      <c r="Q5877" s="79" t="str">
        <f>IF(AND(B5877='111'!$L$11,OR($N5877=$Q$7,$O5877=$Q$7)),"x","")</f>
        <v/>
      </c>
      <c r="R5877" s="79" t="str">
        <f>IF(AND($N5877=$Q$7,$B5877&lt;'111'!$L$11),"x","")</f>
        <v/>
      </c>
      <c r="S5877" s="79" t="str">
        <f>IF(AND($O5877=$Q$7,$B5877&lt;'111'!$L$11),"x","")</f>
        <v/>
      </c>
      <c r="T5877" s="79" t="str">
        <f>IF(ISERROR(FIND('112'!$M$9,G5877,1)),"",IF((AND(FIND('112'!$M$9,G5877,1)&gt;=1,B5877='112'!$K$9,OR($N5877='112'!$I$6,$O5877='112'!$I$6))),"x",""))</f>
        <v/>
      </c>
      <c r="U5877" s="79" t="str">
        <f>IF(ISERROR(FIND('112'!$M$9,G5877,1)),"",IF((AND(LEFT(G5877,2)=LEFT('112'!$M$9,2),B5877&lt;'112'!$K$9,$N5877='112'!$I$6)),"x",""))</f>
        <v/>
      </c>
      <c r="V5877" s="79" t="str">
        <f>IF(ISERROR(FIND('112'!$M$9,G5877,1)),"",IF((AND(RIGHT(G5877,2)=RIGHT('112'!$M$9,2),B5877&lt;'112'!$K$9,$O5877='112'!$I$6)),"x",""))</f>
        <v/>
      </c>
      <c r="W5877" s="79" t="str">
        <f>IF(AND('341-CT'!$H$9=H5877,OR(LEFT(N5877,3)=$W$7,LEFT(O5877,3)=$W$7)),"x","")</f>
        <v/>
      </c>
      <c r="X5877" s="79" t="str">
        <f>IF(OR(TH!N5877=TH!$X$7,O5877=TH!$X$7),"x","")</f>
        <v/>
      </c>
      <c r="Y5877" s="79" t="str">
        <f>IF(AND(OR(N5877="131",O5877="131"),H5877='131-CT'!$H$9),"x","")</f>
        <v/>
      </c>
      <c r="Z5877" s="79"/>
      <c r="AA5877" s="79" t="str">
        <f>IF(AND(MONTH(E5877)='IN-NX'!$J$5,'IN-NX'!$D$7=D5877),"x","")</f>
        <v/>
      </c>
      <c r="AB5877" s="79" t="str">
        <f>IF(AND(OR(LEFT(TH!N5877,2)="15",LEFT(TH!O5877,2)="15"),LEFT(TH!O5877,3)&lt;&gt;"111",'152-CT'!$J$8=TH!F5877),"x","")</f>
        <v/>
      </c>
      <c r="AC5877" s="79" t="str">
        <f>IF(AND(OR(LEFT(TH!N5877,2)="15",LEFT(TH!O5877,2)="15"),TK!$E$7=TH!F5877),"x","")</f>
        <v/>
      </c>
      <c r="AD5877" s="79" t="str">
        <f>IF(AND(N5877="1521",MONTH(C5877)='BK-NL'!$M$11),"x","")</f>
        <v/>
      </c>
    </row>
    <row r="5878" spans="1:30" ht="16.5" customHeight="1">
      <c r="A5878" s="318" t="str">
        <f>IF(B5878&lt;&gt;"",IF(AND(B5878='IN-TC'!$S$4,OR(TH!N5878="1111",TH!O5878="1111")),TH!D5878,""),"")</f>
        <v/>
      </c>
      <c r="B5878" s="60" t="str">
        <f t="shared" si="512"/>
        <v/>
      </c>
      <c r="C5878" s="301"/>
      <c r="D5878" s="61"/>
      <c r="E5878" s="301"/>
      <c r="F5878" s="69"/>
      <c r="G5878" s="769"/>
      <c r="H5878" s="69"/>
      <c r="I5878" s="385"/>
      <c r="J5878" s="392"/>
      <c r="K5878" s="385"/>
      <c r="L5878" s="392"/>
      <c r="M5878" s="62"/>
      <c r="N5878" s="304"/>
      <c r="O5878" s="63"/>
      <c r="P5878" s="79" t="str">
        <f>IF(AND('331-CT'!$E$7=TH!H5878,OR(N5878="331",O5878="331")),"x","")</f>
        <v/>
      </c>
      <c r="Q5878" s="79" t="str">
        <f>IF(AND(B5878='111'!$L$11,OR($N5878=$Q$7,$O5878=$Q$7)),"x","")</f>
        <v/>
      </c>
      <c r="R5878" s="79" t="str">
        <f>IF(AND($N5878=$Q$7,$B5878&lt;'111'!$L$11),"x","")</f>
        <v/>
      </c>
      <c r="S5878" s="79" t="str">
        <f>IF(AND($O5878=$Q$7,$B5878&lt;'111'!$L$11),"x","")</f>
        <v/>
      </c>
      <c r="T5878" s="79" t="str">
        <f>IF(ISERROR(FIND('112'!$M$9,G5878,1)),"",IF((AND(FIND('112'!$M$9,G5878,1)&gt;=1,B5878='112'!$K$9,OR($N5878='112'!$I$6,$O5878='112'!$I$6))),"x",""))</f>
        <v/>
      </c>
      <c r="U5878" s="79" t="str">
        <f>IF(ISERROR(FIND('112'!$M$9,G5878,1)),"",IF((AND(LEFT(G5878,2)=LEFT('112'!$M$9,2),B5878&lt;'112'!$K$9,$N5878='112'!$I$6)),"x",""))</f>
        <v/>
      </c>
      <c r="V5878" s="79" t="str">
        <f>IF(ISERROR(FIND('112'!$M$9,G5878,1)),"",IF((AND(RIGHT(G5878,2)=RIGHT('112'!$M$9,2),B5878&lt;'112'!$K$9,$O5878='112'!$I$6)),"x",""))</f>
        <v/>
      </c>
      <c r="W5878" s="79" t="str">
        <f>IF(AND('341-CT'!$H$9=H5878,OR(LEFT(N5878,3)=$W$7,LEFT(O5878,3)=$W$7)),"x","")</f>
        <v/>
      </c>
      <c r="X5878" s="79" t="str">
        <f>IF(OR(TH!N5878=TH!$X$7,O5878=TH!$X$7),"x","")</f>
        <v/>
      </c>
      <c r="Y5878" s="79" t="str">
        <f>IF(AND(OR(N5878="131",O5878="131"),H5878='131-CT'!$H$9),"x","")</f>
        <v/>
      </c>
      <c r="Z5878" s="79"/>
      <c r="AA5878" s="79" t="str">
        <f>IF(AND(MONTH(E5878)='IN-NX'!$J$5,'IN-NX'!$D$7=D5878),"x","")</f>
        <v/>
      </c>
      <c r="AB5878" s="79" t="str">
        <f>IF(AND(OR(LEFT(TH!N5878,2)="15",LEFT(TH!O5878,2)="15"),LEFT(TH!O5878,3)&lt;&gt;"111",'152-CT'!$J$8=TH!F5878),"x","")</f>
        <v/>
      </c>
      <c r="AC5878" s="79" t="str">
        <f>IF(AND(OR(LEFT(TH!N5878,2)="15",LEFT(TH!O5878,2)="15"),TK!$E$7=TH!F5878),"x","")</f>
        <v/>
      </c>
      <c r="AD5878" s="79" t="str">
        <f>IF(AND(N5878="1521",MONTH(C5878)='BK-NL'!$M$11),"x","")</f>
        <v/>
      </c>
    </row>
    <row r="5879" spans="1:30" ht="16.5" customHeight="1">
      <c r="A5879" s="318" t="str">
        <f>IF(B5879&lt;&gt;"",IF(AND(B5879='IN-TC'!$S$4,OR(TH!N5879="1111",TH!O5879="1111")),TH!D5879,""),"")</f>
        <v/>
      </c>
      <c r="B5879" s="60" t="str">
        <f t="shared" si="512"/>
        <v/>
      </c>
      <c r="C5879" s="301"/>
      <c r="D5879" s="61"/>
      <c r="E5879" s="301"/>
      <c r="F5879" s="69"/>
      <c r="G5879" s="769"/>
      <c r="H5879" s="303"/>
      <c r="I5879" s="385"/>
      <c r="J5879" s="392"/>
      <c r="K5879" s="385"/>
      <c r="L5879" s="392"/>
      <c r="M5879" s="62"/>
      <c r="N5879" s="304"/>
      <c r="O5879" s="63"/>
      <c r="P5879" s="79" t="str">
        <f>IF(AND('331-CT'!$E$7=TH!H5879,OR(N5879="331",O5879="331")),"x","")</f>
        <v/>
      </c>
      <c r="Q5879" s="79" t="str">
        <f>IF(AND(B5879='111'!$L$11,OR($N5879=$Q$7,$O5879=$Q$7)),"x","")</f>
        <v/>
      </c>
      <c r="R5879" s="79" t="str">
        <f>IF(AND($N5879=$Q$7,$B5879&lt;'111'!$L$11),"x","")</f>
        <v/>
      </c>
      <c r="S5879" s="79" t="str">
        <f>IF(AND($O5879=$Q$7,$B5879&lt;'111'!$L$11),"x","")</f>
        <v/>
      </c>
      <c r="T5879" s="79" t="str">
        <f>IF(ISERROR(FIND('112'!$M$9,G5879,1)),"",IF((AND(FIND('112'!$M$9,G5879,1)&gt;=1,B5879='112'!$K$9,OR($N5879='112'!$I$6,$O5879='112'!$I$6))),"x",""))</f>
        <v/>
      </c>
      <c r="U5879" s="79" t="str">
        <f>IF(ISERROR(FIND('112'!$M$9,G5879,1)),"",IF((AND(LEFT(G5879,2)=LEFT('112'!$M$9,2),B5879&lt;'112'!$K$9,$N5879='112'!$I$6)),"x",""))</f>
        <v/>
      </c>
      <c r="V5879" s="79" t="str">
        <f>IF(ISERROR(FIND('112'!$M$9,G5879,1)),"",IF((AND(RIGHT(G5879,2)=RIGHT('112'!$M$9,2),B5879&lt;'112'!$K$9,$O5879='112'!$I$6)),"x",""))</f>
        <v/>
      </c>
      <c r="W5879" s="79" t="str">
        <f>IF(AND('341-CT'!$H$9=H5879,OR(LEFT(N5879,3)=$W$7,LEFT(O5879,3)=$W$7)),"x","")</f>
        <v/>
      </c>
      <c r="X5879" s="79" t="str">
        <f>IF(OR(TH!N5879=TH!$X$7,O5879=TH!$X$7),"x","")</f>
        <v/>
      </c>
      <c r="Y5879" s="79" t="str">
        <f>IF(AND(OR(N5879="131",O5879="131"),H5879='131-CT'!$H$9),"x","")</f>
        <v/>
      </c>
      <c r="Z5879" s="79"/>
      <c r="AA5879" s="79" t="str">
        <f>IF(AND(MONTH(E5879)='IN-NX'!$J$5,'IN-NX'!$D$7=D5879),"x","")</f>
        <v/>
      </c>
      <c r="AB5879" s="79" t="str">
        <f>IF(AND(OR(LEFT(TH!N5879,2)="15",LEFT(TH!O5879,2)="15"),LEFT(TH!O5879,3)&lt;&gt;"111",'152-CT'!$J$8=TH!F5879),"x","")</f>
        <v/>
      </c>
      <c r="AC5879" s="79" t="str">
        <f>IF(AND(OR(LEFT(TH!N5879,2)="15",LEFT(TH!O5879,2)="15"),TK!$E$7=TH!F5879),"x","")</f>
        <v/>
      </c>
      <c r="AD5879" s="79" t="str">
        <f>IF(AND(N5879="1521",MONTH(C5879)='BK-NL'!$M$11),"x","")</f>
        <v/>
      </c>
    </row>
    <row r="5880" spans="1:30" ht="16.5" customHeight="1">
      <c r="A5880" s="318" t="str">
        <f>IF(B5880&lt;&gt;"",IF(AND(B5880='IN-TC'!$S$4,OR(TH!N5880="1111",TH!O5880="1111")),TH!D5880,""),"")</f>
        <v/>
      </c>
      <c r="B5880" s="60" t="str">
        <f t="shared" si="512"/>
        <v/>
      </c>
      <c r="C5880" s="61"/>
      <c r="D5880" s="61"/>
      <c r="E5880" s="61"/>
      <c r="F5880" s="69"/>
      <c r="G5880" s="769"/>
      <c r="H5880" s="69"/>
      <c r="I5880" s="385"/>
      <c r="J5880" s="392"/>
      <c r="K5880" s="385"/>
      <c r="L5880" s="392"/>
      <c r="M5880" s="62"/>
      <c r="N5880" s="63"/>
      <c r="O5880" s="63"/>
      <c r="P5880" s="79" t="str">
        <f>IF(AND('331-CT'!$E$7=TH!H5880,OR(N5880="331",O5880="331")),"x","")</f>
        <v/>
      </c>
      <c r="Q5880" s="79" t="str">
        <f>IF(AND(B5880='111'!$L$11,OR($N5880=$Q$7,$O5880=$Q$7)),"x","")</f>
        <v/>
      </c>
      <c r="R5880" s="79" t="str">
        <f>IF(AND($N5880=$Q$7,$B5880&lt;'111'!$L$11),"x","")</f>
        <v/>
      </c>
      <c r="S5880" s="79" t="str">
        <f>IF(AND($O5880=$Q$7,$B5880&lt;'111'!$L$11),"x","")</f>
        <v/>
      </c>
      <c r="T5880" s="79" t="str">
        <f>IF(ISERROR(FIND('112'!$M$9,G5880,1)),"",IF((AND(FIND('112'!$M$9,G5880,1)&gt;=1,B5880='112'!$K$9,OR($N5880='112'!$I$6,$O5880='112'!$I$6))),"x",""))</f>
        <v/>
      </c>
      <c r="U5880" s="79" t="str">
        <f>IF(ISERROR(FIND('112'!$M$9,G5880,1)),"",IF((AND(LEFT(G5880,2)=LEFT('112'!$M$9,2),B5880&lt;'112'!$K$9,$N5880='112'!$I$6)),"x",""))</f>
        <v/>
      </c>
      <c r="V5880" s="79" t="str">
        <f>IF(ISERROR(FIND('112'!$M$9,G5880,1)),"",IF((AND(RIGHT(G5880,2)=RIGHT('112'!$M$9,2),B5880&lt;'112'!$K$9,$O5880='112'!$I$6)),"x",""))</f>
        <v/>
      </c>
      <c r="W5880" s="79" t="str">
        <f>IF(AND('341-CT'!$H$9=H5880,OR(LEFT(N5880,3)=$W$7,LEFT(O5880,3)=$W$7)),"x","")</f>
        <v/>
      </c>
      <c r="X5880" s="79" t="str">
        <f>IF(OR(TH!N5880=TH!$X$7,O5880=TH!$X$7),"x","")</f>
        <v/>
      </c>
      <c r="Y5880" s="79" t="str">
        <f>IF(AND(OR(N5880="131",O5880="131"),H5880='131-CT'!$H$9),"x","")</f>
        <v/>
      </c>
      <c r="Z5880" s="79"/>
      <c r="AA5880" s="79" t="str">
        <f>IF(AND(MONTH(E5880)='IN-NX'!$J$5,'IN-NX'!$D$7=D5880),"x","")</f>
        <v/>
      </c>
      <c r="AB5880" s="79" t="str">
        <f>IF(AND(OR(LEFT(TH!N5880,2)="15",LEFT(TH!O5880,2)="15"),LEFT(TH!O5880,3)&lt;&gt;"111",'152-CT'!$J$8=TH!F5880),"x","")</f>
        <v/>
      </c>
      <c r="AC5880" s="79" t="str">
        <f>IF(AND(OR(LEFT(TH!N5880,2)="15",LEFT(TH!O5880,2)="15"),TK!$E$7=TH!F5880),"x","")</f>
        <v/>
      </c>
      <c r="AD5880" s="79" t="str">
        <f>IF(AND(N5880="1521",MONTH(C5880)='BK-NL'!$M$11),"x","")</f>
        <v/>
      </c>
    </row>
    <row r="5881" spans="1:30" ht="16.5" customHeight="1">
      <c r="A5881" s="318" t="str">
        <f>IF(B5881&lt;&gt;"",IF(AND(B5881='IN-TC'!$S$4,OR(TH!N5881="1111",TH!O5881="1111")),TH!D5881,""),"")</f>
        <v/>
      </c>
      <c r="B5881" s="60" t="str">
        <f t="shared" si="512"/>
        <v/>
      </c>
      <c r="C5881" s="61"/>
      <c r="D5881" s="301"/>
      <c r="E5881" s="61"/>
      <c r="F5881" s="69"/>
      <c r="G5881" s="769"/>
      <c r="H5881" s="69"/>
      <c r="I5881" s="385"/>
      <c r="J5881" s="392"/>
      <c r="K5881" s="385"/>
      <c r="L5881" s="392"/>
      <c r="M5881" s="62"/>
      <c r="N5881" s="63"/>
      <c r="O5881" s="63"/>
      <c r="P5881" s="79" t="str">
        <f>IF(AND('331-CT'!$E$7=TH!H5881,OR(N5881="331",O5881="331")),"x","")</f>
        <v/>
      </c>
      <c r="Q5881" s="79" t="str">
        <f>IF(AND(B5881='111'!$L$11,OR($N5881=$Q$7,$O5881=$Q$7)),"x","")</f>
        <v/>
      </c>
      <c r="R5881" s="79" t="str">
        <f>IF(AND($N5881=$Q$7,$B5881&lt;'111'!$L$11),"x","")</f>
        <v/>
      </c>
      <c r="S5881" s="79" t="str">
        <f>IF(AND($O5881=$Q$7,$B5881&lt;'111'!$L$11),"x","")</f>
        <v/>
      </c>
      <c r="T5881" s="79" t="str">
        <f>IF(ISERROR(FIND('112'!$M$9,G5881,1)),"",IF((AND(FIND('112'!$M$9,G5881,1)&gt;=1,B5881='112'!$K$9,OR($N5881='112'!$I$6,$O5881='112'!$I$6))),"x",""))</f>
        <v/>
      </c>
      <c r="U5881" s="79" t="str">
        <f>IF(ISERROR(FIND('112'!$M$9,G5881,1)),"",IF((AND(LEFT(G5881,2)=LEFT('112'!$M$9,2),B5881&lt;'112'!$K$9,$N5881='112'!$I$6)),"x",""))</f>
        <v/>
      </c>
      <c r="V5881" s="79" t="str">
        <f>IF(ISERROR(FIND('112'!$M$9,G5881,1)),"",IF((AND(RIGHT(G5881,2)=RIGHT('112'!$M$9,2),B5881&lt;'112'!$K$9,$O5881='112'!$I$6)),"x",""))</f>
        <v/>
      </c>
      <c r="W5881" s="79" t="str">
        <f>IF(AND('341-CT'!$H$9=H5881,OR(LEFT(N5881,3)=$W$7,LEFT(O5881,3)=$W$7)),"x","")</f>
        <v/>
      </c>
      <c r="X5881" s="79" t="str">
        <f>IF(OR(TH!N5881=TH!$X$7,O5881=TH!$X$7),"x","")</f>
        <v/>
      </c>
      <c r="Y5881" s="79" t="str">
        <f>IF(AND(OR(N5881="131",O5881="131"),H5881='131-CT'!$H$9),"x","")</f>
        <v/>
      </c>
      <c r="Z5881" s="79"/>
      <c r="AA5881" s="79" t="str">
        <f>IF(AND(MONTH(E5881)='IN-NX'!$J$5,'IN-NX'!$D$7=D5881),"x","")</f>
        <v/>
      </c>
      <c r="AB5881" s="79" t="str">
        <f>IF(AND(OR(LEFT(TH!N5881,2)="15",LEFT(TH!O5881,2)="15"),LEFT(TH!O5881,3)&lt;&gt;"111",'152-CT'!$J$8=TH!F5881),"x","")</f>
        <v/>
      </c>
      <c r="AC5881" s="79" t="str">
        <f>IF(AND(OR(LEFT(TH!N5881,2)="15",LEFT(TH!O5881,2)="15"),TK!$E$7=TH!F5881),"x","")</f>
        <v/>
      </c>
      <c r="AD5881" s="79" t="str">
        <f>IF(AND(N5881="1521",MONTH(C5881)='BK-NL'!$M$11),"x","")</f>
        <v/>
      </c>
    </row>
    <row r="5882" spans="1:30" ht="16.5" customHeight="1">
      <c r="A5882" s="318" t="str">
        <f>IF(B5882&lt;&gt;"",IF(AND(B5882='IN-TC'!$S$4,OR(TH!N5882="1111",TH!O5882="1111")),TH!D5882,""),"")</f>
        <v/>
      </c>
      <c r="B5882" s="60" t="str">
        <f t="shared" si="512"/>
        <v/>
      </c>
      <c r="C5882" s="61"/>
      <c r="D5882" s="301"/>
      <c r="E5882" s="61"/>
      <c r="F5882" s="446"/>
      <c r="G5882" s="64"/>
      <c r="H5882" s="321"/>
      <c r="I5882" s="385"/>
      <c r="J5882" s="392"/>
      <c r="K5882" s="385"/>
      <c r="L5882" s="392"/>
      <c r="M5882" s="62"/>
      <c r="N5882" s="63"/>
      <c r="O5882" s="63"/>
      <c r="P5882" s="79" t="str">
        <f>IF(AND('331-CT'!$E$7=TH!H5882,OR(N5882="331",O5882="331")),"x","")</f>
        <v/>
      </c>
      <c r="Q5882" s="79" t="str">
        <f>IF(AND(B5882='111'!$L$11,OR($N5882=$Q$7,$O5882=$Q$7)),"x","")</f>
        <v/>
      </c>
      <c r="R5882" s="79" t="str">
        <f>IF(AND($N5882=$Q$7,$B5882&lt;'111'!$L$11),"x","")</f>
        <v/>
      </c>
      <c r="S5882" s="79" t="str">
        <f>IF(AND($O5882=$Q$7,$B5882&lt;'111'!$L$11),"x","")</f>
        <v/>
      </c>
      <c r="T5882" s="79" t="str">
        <f>IF(ISERROR(FIND('112'!$M$9,G5882,1)),"",IF((AND(FIND('112'!$M$9,G5882,1)&gt;=1,B5882='112'!$K$9,OR($N5882='112'!$I$6,$O5882='112'!$I$6))),"x",""))</f>
        <v/>
      </c>
      <c r="U5882" s="79" t="str">
        <f>IF(ISERROR(FIND('112'!$M$9,G5882,1)),"",IF((AND(LEFT(G5882,2)=LEFT('112'!$M$9,2),B5882&lt;'112'!$K$9,$N5882='112'!$I$6)),"x",""))</f>
        <v/>
      </c>
      <c r="V5882" s="79" t="str">
        <f>IF(ISERROR(FIND('112'!$M$9,G5882,1)),"",IF((AND(RIGHT(G5882,2)=RIGHT('112'!$M$9,2),B5882&lt;'112'!$K$9,$O5882='112'!$I$6)),"x",""))</f>
        <v/>
      </c>
      <c r="W5882" s="79" t="str">
        <f>IF(AND('341-CT'!$H$9=H5882,OR(LEFT(N5882,3)=$W$7,LEFT(O5882,3)=$W$7)),"x","")</f>
        <v/>
      </c>
      <c r="X5882" s="79" t="str">
        <f>IF(OR(TH!N5882=TH!$X$7,O5882=TH!$X$7),"x","")</f>
        <v/>
      </c>
      <c r="Y5882" s="79" t="str">
        <f>IF(AND(OR(N5882="131",O5882="131"),H5882='131-CT'!$H$9),"x","")</f>
        <v/>
      </c>
      <c r="Z5882" s="79"/>
      <c r="AA5882" s="79" t="str">
        <f>IF(AND(MONTH(E5882)='IN-NX'!$J$5,'IN-NX'!$D$7=D5882),"x","")</f>
        <v/>
      </c>
      <c r="AB5882" s="79" t="str">
        <f>IF(AND(OR(LEFT(TH!N5882,2)="15",LEFT(TH!O5882,2)="15"),LEFT(TH!O5882,3)&lt;&gt;"111",'152-CT'!$J$8=TH!F5882),"x","")</f>
        <v/>
      </c>
      <c r="AC5882" s="79" t="str">
        <f>IF(AND(OR(LEFT(TH!N5882,2)="15",LEFT(TH!O5882,2)="15"),TK!$E$7=TH!F5882),"x","")</f>
        <v/>
      </c>
      <c r="AD5882" s="79" t="str">
        <f>IF(AND(N5882="1521",MONTH(C5882)='BK-NL'!$M$11),"x","")</f>
        <v/>
      </c>
    </row>
    <row r="5883" spans="1:30" ht="16.5" customHeight="1">
      <c r="A5883" s="318" t="str">
        <f>IF(B5883&lt;&gt;"",IF(AND(B5883='IN-TC'!$S$4,OR(TH!N5883="1111",TH!O5883="1111")),TH!D5883,""),"")</f>
        <v/>
      </c>
      <c r="B5883" s="60" t="str">
        <f t="shared" si="512"/>
        <v/>
      </c>
      <c r="C5883" s="61"/>
      <c r="D5883" s="301"/>
      <c r="E5883" s="61"/>
      <c r="F5883" s="69"/>
      <c r="G5883" s="64"/>
      <c r="H5883" s="69"/>
      <c r="I5883" s="385"/>
      <c r="J5883" s="392"/>
      <c r="K5883" s="385"/>
      <c r="L5883" s="392"/>
      <c r="M5883" s="62"/>
      <c r="N5883" s="63"/>
      <c r="O5883" s="63"/>
      <c r="P5883" s="79" t="str">
        <f>IF(AND('331-CT'!$E$7=TH!H5883,OR(N5883="331",O5883="331")),"x","")</f>
        <v/>
      </c>
      <c r="Q5883" s="79" t="str">
        <f>IF(AND(B5883='111'!$L$11,OR($N5883=$Q$7,$O5883=$Q$7)),"x","")</f>
        <v/>
      </c>
      <c r="R5883" s="79" t="str">
        <f>IF(AND($N5883=$Q$7,$B5883&lt;'111'!$L$11),"x","")</f>
        <v/>
      </c>
      <c r="S5883" s="79" t="str">
        <f>IF(AND($O5883=$Q$7,$B5883&lt;'111'!$L$11),"x","")</f>
        <v/>
      </c>
      <c r="T5883" s="79" t="str">
        <f>IF(ISERROR(FIND('112'!$M$9,G5883,1)),"",IF((AND(FIND('112'!$M$9,G5883,1)&gt;=1,B5883='112'!$K$9,OR($N5883='112'!$I$6,$O5883='112'!$I$6))),"x",""))</f>
        <v/>
      </c>
      <c r="U5883" s="79" t="str">
        <f>IF(ISERROR(FIND('112'!$M$9,G5883,1)),"",IF((AND(LEFT(G5883,2)=LEFT('112'!$M$9,2),B5883&lt;'112'!$K$9,$N5883='112'!$I$6)),"x",""))</f>
        <v/>
      </c>
      <c r="V5883" s="79" t="str">
        <f>IF(ISERROR(FIND('112'!$M$9,G5883,1)),"",IF((AND(RIGHT(G5883,2)=RIGHT('112'!$M$9,2),B5883&lt;'112'!$K$9,$O5883='112'!$I$6)),"x",""))</f>
        <v/>
      </c>
      <c r="W5883" s="79" t="str">
        <f>IF(AND('341-CT'!$H$9=H5883,OR(LEFT(N5883,3)=$W$7,LEFT(O5883,3)=$W$7)),"x","")</f>
        <v/>
      </c>
      <c r="X5883" s="79" t="str">
        <f>IF(OR(TH!N5883=TH!$X$7,O5883=TH!$X$7),"x","")</f>
        <v/>
      </c>
      <c r="Y5883" s="79" t="str">
        <f>IF(AND(OR(N5883="131",O5883="131"),H5883='131-CT'!$H$9),"x","")</f>
        <v/>
      </c>
      <c r="Z5883" s="79"/>
      <c r="AA5883" s="79" t="str">
        <f>IF(AND(MONTH(E5883)='IN-NX'!$J$5,'IN-NX'!$D$7=D5883),"x","")</f>
        <v/>
      </c>
      <c r="AB5883" s="79" t="str">
        <f>IF(AND(OR(LEFT(TH!N5883,2)="15",LEFT(TH!O5883,2)="15"),LEFT(TH!O5883,3)&lt;&gt;"111",'152-CT'!$J$8=TH!F5883),"x","")</f>
        <v/>
      </c>
      <c r="AC5883" s="79" t="str">
        <f>IF(AND(OR(LEFT(TH!N5883,2)="15",LEFT(TH!O5883,2)="15"),TK!$E$7=TH!F5883),"x","")</f>
        <v/>
      </c>
      <c r="AD5883" s="79" t="str">
        <f>IF(AND(N5883="1521",MONTH(C5883)='BK-NL'!$M$11),"x","")</f>
        <v/>
      </c>
    </row>
    <row r="5884" spans="1:30" ht="16.5" customHeight="1">
      <c r="A5884" s="318" t="str">
        <f>IF(B5884&lt;&gt;"",IF(AND(B5884='IN-TC'!$S$4,OR(TH!N5884="1111",TH!O5884="1111")),TH!D5884,""),"")</f>
        <v/>
      </c>
      <c r="B5884" s="60" t="str">
        <f t="shared" si="512"/>
        <v/>
      </c>
      <c r="C5884" s="61"/>
      <c r="D5884" s="301"/>
      <c r="E5884" s="61"/>
      <c r="F5884" s="69"/>
      <c r="G5884" s="64"/>
      <c r="H5884" s="69"/>
      <c r="I5884" s="385"/>
      <c r="J5884" s="392"/>
      <c r="K5884" s="385"/>
      <c r="L5884" s="392"/>
      <c r="M5884" s="62"/>
      <c r="N5884" s="63"/>
      <c r="O5884" s="63"/>
      <c r="P5884" s="79" t="str">
        <f>IF(AND('331-CT'!$E$7=TH!H5884,OR(N5884="331",O5884="331")),"x","")</f>
        <v/>
      </c>
      <c r="Q5884" s="79" t="str">
        <f>IF(AND(B5884='111'!$L$11,OR($N5884=$Q$7,$O5884=$Q$7)),"x","")</f>
        <v/>
      </c>
      <c r="R5884" s="79" t="str">
        <f>IF(AND($N5884=$Q$7,$B5884&lt;'111'!$L$11),"x","")</f>
        <v/>
      </c>
      <c r="S5884" s="79" t="str">
        <f>IF(AND($O5884=$Q$7,$B5884&lt;'111'!$L$11),"x","")</f>
        <v/>
      </c>
      <c r="T5884" s="79" t="str">
        <f>IF(ISERROR(FIND('112'!$M$9,G5884,1)),"",IF((AND(FIND('112'!$M$9,G5884,1)&gt;=1,B5884='112'!$K$9,OR($N5884='112'!$I$6,$O5884='112'!$I$6))),"x",""))</f>
        <v/>
      </c>
      <c r="U5884" s="79" t="str">
        <f>IF(ISERROR(FIND('112'!$M$9,G5884,1)),"",IF((AND(LEFT(G5884,2)=LEFT('112'!$M$9,2),B5884&lt;'112'!$K$9,$N5884='112'!$I$6)),"x",""))</f>
        <v/>
      </c>
      <c r="V5884" s="79" t="str">
        <f>IF(ISERROR(FIND('112'!$M$9,G5884,1)),"",IF((AND(RIGHT(G5884,2)=RIGHT('112'!$M$9,2),B5884&lt;'112'!$K$9,$O5884='112'!$I$6)),"x",""))</f>
        <v/>
      </c>
      <c r="W5884" s="79" t="str">
        <f>IF(AND('341-CT'!$H$9=H5884,OR(LEFT(N5884,3)=$W$7,LEFT(O5884,3)=$W$7)),"x","")</f>
        <v/>
      </c>
      <c r="X5884" s="79" t="str">
        <f>IF(OR(TH!N5884=TH!$X$7,O5884=TH!$X$7),"x","")</f>
        <v/>
      </c>
      <c r="Y5884" s="79" t="str">
        <f>IF(AND(OR(N5884="131",O5884="131"),H5884='131-CT'!$H$9),"x","")</f>
        <v/>
      </c>
      <c r="Z5884" s="79"/>
      <c r="AA5884" s="79" t="str">
        <f>IF(AND(MONTH(E5884)='IN-NX'!$J$5,'IN-NX'!$D$7=D5884),"x","")</f>
        <v/>
      </c>
      <c r="AB5884" s="79" t="str">
        <f>IF(AND(OR(LEFT(TH!N5884,2)="15",LEFT(TH!O5884,2)="15"),LEFT(TH!O5884,3)&lt;&gt;"111",'152-CT'!$J$8=TH!F5884),"x","")</f>
        <v/>
      </c>
      <c r="AC5884" s="79" t="str">
        <f>IF(AND(OR(LEFT(TH!N5884,2)="15",LEFT(TH!O5884,2)="15"),TK!$E$7=TH!F5884),"x","")</f>
        <v/>
      </c>
      <c r="AD5884" s="79" t="str">
        <f>IF(AND(N5884="1521",MONTH(C5884)='BK-NL'!$M$11),"x","")</f>
        <v/>
      </c>
    </row>
    <row r="5885" spans="1:30" ht="16.5" customHeight="1">
      <c r="A5885" s="318" t="str">
        <f>IF(B5885&lt;&gt;"",IF(AND(B5885='IN-TC'!$S$4,OR(TH!N5885="1111",TH!O5885="1111")),TH!D5885,""),"")</f>
        <v/>
      </c>
      <c r="B5885" s="60" t="str">
        <f t="shared" si="512"/>
        <v/>
      </c>
      <c r="C5885" s="61"/>
      <c r="D5885" s="301"/>
      <c r="E5885" s="61"/>
      <c r="F5885" s="69"/>
      <c r="G5885" s="64"/>
      <c r="H5885" s="321"/>
      <c r="I5885" s="385"/>
      <c r="J5885" s="392"/>
      <c r="K5885" s="385"/>
      <c r="L5885" s="392"/>
      <c r="M5885" s="62"/>
      <c r="N5885" s="63"/>
      <c r="O5885" s="63"/>
      <c r="P5885" s="79" t="str">
        <f>IF(AND('331-CT'!$E$7=TH!H5885,OR(N5885="331",O5885="331")),"x","")</f>
        <v/>
      </c>
      <c r="Q5885" s="79" t="str">
        <f>IF(AND(B5885='111'!$L$11,OR($N5885=$Q$7,$O5885=$Q$7)),"x","")</f>
        <v/>
      </c>
      <c r="R5885" s="79" t="str">
        <f>IF(AND($N5885=$Q$7,$B5885&lt;'111'!$L$11),"x","")</f>
        <v/>
      </c>
      <c r="S5885" s="79" t="str">
        <f>IF(AND($O5885=$Q$7,$B5885&lt;'111'!$L$11),"x","")</f>
        <v/>
      </c>
      <c r="T5885" s="79" t="str">
        <f>IF(ISERROR(FIND('112'!$M$9,G5885,1)),"",IF((AND(FIND('112'!$M$9,G5885,1)&gt;=1,B5885='112'!$K$9,OR($N5885='112'!$I$6,$O5885='112'!$I$6))),"x",""))</f>
        <v/>
      </c>
      <c r="U5885" s="79" t="str">
        <f>IF(ISERROR(FIND('112'!$M$9,G5885,1)),"",IF((AND(LEFT(G5885,2)=LEFT('112'!$M$9,2),B5885&lt;'112'!$K$9,$N5885='112'!$I$6)),"x",""))</f>
        <v/>
      </c>
      <c r="V5885" s="79" t="str">
        <f>IF(ISERROR(FIND('112'!$M$9,G5885,1)),"",IF((AND(RIGHT(G5885,2)=RIGHT('112'!$M$9,2),B5885&lt;'112'!$K$9,$O5885='112'!$I$6)),"x",""))</f>
        <v/>
      </c>
      <c r="W5885" s="79" t="str">
        <f>IF(AND('341-CT'!$H$9=H5885,OR(LEFT(N5885,3)=$W$7,LEFT(O5885,3)=$W$7)),"x","")</f>
        <v/>
      </c>
      <c r="X5885" s="79" t="str">
        <f>IF(OR(TH!N5885=TH!$X$7,O5885=TH!$X$7),"x","")</f>
        <v/>
      </c>
      <c r="Y5885" s="79" t="str">
        <f>IF(AND(OR(N5885="131",O5885="131"),H5885='131-CT'!$H$9),"x","")</f>
        <v/>
      </c>
      <c r="Z5885" s="79"/>
      <c r="AA5885" s="79" t="str">
        <f>IF(AND(MONTH(E5885)='IN-NX'!$J$5,'IN-NX'!$D$7=D5885),"x","")</f>
        <v/>
      </c>
      <c r="AB5885" s="79" t="str">
        <f>IF(AND(OR(LEFT(TH!N5885,2)="15",LEFT(TH!O5885,2)="15"),LEFT(TH!O5885,3)&lt;&gt;"111",'152-CT'!$J$8=TH!F5885),"x","")</f>
        <v/>
      </c>
      <c r="AC5885" s="79" t="str">
        <f>IF(AND(OR(LEFT(TH!N5885,2)="15",LEFT(TH!O5885,2)="15"),TK!$E$7=TH!F5885),"x","")</f>
        <v/>
      </c>
      <c r="AD5885" s="79" t="str">
        <f>IF(AND(N5885="1521",MONTH(C5885)='BK-NL'!$M$11),"x","")</f>
        <v/>
      </c>
    </row>
    <row r="5886" spans="1:30" ht="16.5" customHeight="1">
      <c r="A5886" s="318" t="str">
        <f>IF(B5886&lt;&gt;"",IF(AND(B5886='IN-TC'!$S$4,OR(TH!N5886="1111",TH!O5886="1111")),TH!D5886,""),"")</f>
        <v/>
      </c>
      <c r="B5886" s="60" t="str">
        <f t="shared" si="512"/>
        <v/>
      </c>
      <c r="C5886" s="61"/>
      <c r="D5886" s="301"/>
      <c r="E5886" s="61"/>
      <c r="F5886" s="69"/>
      <c r="G5886" s="64"/>
      <c r="H5886" s="69"/>
      <c r="I5886" s="385"/>
      <c r="J5886" s="392"/>
      <c r="K5886" s="385"/>
      <c r="L5886" s="392"/>
      <c r="M5886" s="62"/>
      <c r="N5886" s="63"/>
      <c r="O5886" s="63"/>
      <c r="P5886" s="79" t="str">
        <f>IF(AND('331-CT'!$E$7=TH!H5886,OR(N5886="331",O5886="331")),"x","")</f>
        <v/>
      </c>
      <c r="Q5886" s="79" t="str">
        <f>IF(AND(B5886='111'!$L$11,OR($N5886=$Q$7,$O5886=$Q$7)),"x","")</f>
        <v/>
      </c>
      <c r="R5886" s="79" t="str">
        <f>IF(AND($N5886=$Q$7,$B5886&lt;'111'!$L$11),"x","")</f>
        <v/>
      </c>
      <c r="S5886" s="79" t="str">
        <f>IF(AND($O5886=$Q$7,$B5886&lt;'111'!$L$11),"x","")</f>
        <v/>
      </c>
      <c r="T5886" s="79" t="str">
        <f>IF(ISERROR(FIND('112'!$M$9,G5886,1)),"",IF((AND(FIND('112'!$M$9,G5886,1)&gt;=1,B5886='112'!$K$9,OR($N5886='112'!$I$6,$O5886='112'!$I$6))),"x",""))</f>
        <v/>
      </c>
      <c r="U5886" s="79" t="str">
        <f>IF(ISERROR(FIND('112'!$M$9,G5886,1)),"",IF((AND(LEFT(G5886,2)=LEFT('112'!$M$9,2),B5886&lt;'112'!$K$9,$N5886='112'!$I$6)),"x",""))</f>
        <v/>
      </c>
      <c r="V5886" s="79" t="str">
        <f>IF(ISERROR(FIND('112'!$M$9,G5886,1)),"",IF((AND(RIGHT(G5886,2)=RIGHT('112'!$M$9,2),B5886&lt;'112'!$K$9,$O5886='112'!$I$6)),"x",""))</f>
        <v/>
      </c>
      <c r="W5886" s="79" t="str">
        <f>IF(AND('341-CT'!$H$9=H5886,OR(LEFT(N5886,3)=$W$7,LEFT(O5886,3)=$W$7)),"x","")</f>
        <v/>
      </c>
      <c r="X5886" s="79" t="str">
        <f>IF(OR(TH!N5886=TH!$X$7,O5886=TH!$X$7),"x","")</f>
        <v/>
      </c>
      <c r="Y5886" s="79" t="str">
        <f>IF(AND(OR(N5886="131",O5886="131"),H5886='131-CT'!$H$9),"x","")</f>
        <v/>
      </c>
      <c r="Z5886" s="79"/>
      <c r="AA5886" s="79" t="str">
        <f>IF(AND(MONTH(E5886)='IN-NX'!$J$5,'IN-NX'!$D$7=D5886),"x","")</f>
        <v/>
      </c>
      <c r="AB5886" s="79" t="str">
        <f>IF(AND(OR(LEFT(TH!N5886,2)="15",LEFT(TH!O5886,2)="15"),LEFT(TH!O5886,3)&lt;&gt;"111",'152-CT'!$J$8=TH!F5886),"x","")</f>
        <v/>
      </c>
      <c r="AC5886" s="79" t="str">
        <f>IF(AND(OR(LEFT(TH!N5886,2)="15",LEFT(TH!O5886,2)="15"),TK!$E$7=TH!F5886),"x","")</f>
        <v/>
      </c>
      <c r="AD5886" s="79" t="str">
        <f>IF(AND(N5886="1521",MONTH(C5886)='BK-NL'!$M$11),"x","")</f>
        <v/>
      </c>
    </row>
    <row r="5887" spans="1:30" ht="16.5" customHeight="1">
      <c r="A5887" s="318" t="str">
        <f>IF(B5887&lt;&gt;"",IF(AND(B5887='IN-TC'!$S$4,OR(TH!N5887="1111",TH!O5887="1111")),TH!D5887,""),"")</f>
        <v/>
      </c>
      <c r="B5887" s="60" t="str">
        <f t="shared" si="512"/>
        <v/>
      </c>
      <c r="C5887" s="61"/>
      <c r="D5887" s="301"/>
      <c r="E5887" s="61"/>
      <c r="F5887" s="69"/>
      <c r="G5887" s="64"/>
      <c r="H5887" s="69"/>
      <c r="I5887" s="385"/>
      <c r="J5887" s="392"/>
      <c r="K5887" s="385"/>
      <c r="L5887" s="392"/>
      <c r="M5887" s="62"/>
      <c r="N5887" s="63"/>
      <c r="O5887" s="63"/>
      <c r="P5887" s="79" t="str">
        <f>IF(AND('331-CT'!$E$7=TH!H5887,OR(N5887="331",O5887="331")),"x","")</f>
        <v/>
      </c>
      <c r="Q5887" s="79" t="str">
        <f>IF(AND(B5887='111'!$L$11,OR($N5887=$Q$7,$O5887=$Q$7)),"x","")</f>
        <v/>
      </c>
      <c r="R5887" s="79" t="str">
        <f>IF(AND($N5887=$Q$7,$B5887&lt;'111'!$L$11),"x","")</f>
        <v/>
      </c>
      <c r="S5887" s="79" t="str">
        <f>IF(AND($O5887=$Q$7,$B5887&lt;'111'!$L$11),"x","")</f>
        <v/>
      </c>
      <c r="T5887" s="79" t="str">
        <f>IF(ISERROR(FIND('112'!$M$9,G5887,1)),"",IF((AND(FIND('112'!$M$9,G5887,1)&gt;=1,B5887='112'!$K$9,OR($N5887='112'!$I$6,$O5887='112'!$I$6))),"x",""))</f>
        <v/>
      </c>
      <c r="U5887" s="79" t="str">
        <f>IF(ISERROR(FIND('112'!$M$9,G5887,1)),"",IF((AND(LEFT(G5887,2)=LEFT('112'!$M$9,2),B5887&lt;'112'!$K$9,$N5887='112'!$I$6)),"x",""))</f>
        <v/>
      </c>
      <c r="V5887" s="79" t="str">
        <f>IF(ISERROR(FIND('112'!$M$9,G5887,1)),"",IF((AND(RIGHT(G5887,2)=RIGHT('112'!$M$9,2),B5887&lt;'112'!$K$9,$O5887='112'!$I$6)),"x",""))</f>
        <v/>
      </c>
      <c r="W5887" s="79" t="str">
        <f>IF(AND('341-CT'!$H$9=H5887,OR(LEFT(N5887,3)=$W$7,LEFT(O5887,3)=$W$7)),"x","")</f>
        <v/>
      </c>
      <c r="X5887" s="79" t="str">
        <f>IF(OR(TH!N5887=TH!$X$7,O5887=TH!$X$7),"x","")</f>
        <v/>
      </c>
      <c r="Y5887" s="79" t="str">
        <f>IF(AND(OR(N5887="131",O5887="131"),H5887='131-CT'!$H$9),"x","")</f>
        <v/>
      </c>
      <c r="Z5887" s="79"/>
      <c r="AA5887" s="79" t="str">
        <f>IF(AND(MONTH(E5887)='IN-NX'!$J$5,'IN-NX'!$D$7=D5887),"x","")</f>
        <v/>
      </c>
      <c r="AB5887" s="79" t="str">
        <f>IF(AND(OR(LEFT(TH!N5887,2)="15",LEFT(TH!O5887,2)="15"),LEFT(TH!O5887,3)&lt;&gt;"111",'152-CT'!$J$8=TH!F5887),"x","")</f>
        <v/>
      </c>
      <c r="AC5887" s="79" t="str">
        <f>IF(AND(OR(LEFT(TH!N5887,2)="15",LEFT(TH!O5887,2)="15"),TK!$E$7=TH!F5887),"x","")</f>
        <v/>
      </c>
      <c r="AD5887" s="79" t="str">
        <f>IF(AND(N5887="1521",MONTH(C5887)='BK-NL'!$M$11),"x","")</f>
        <v/>
      </c>
    </row>
    <row r="5888" spans="1:30" ht="16.5" customHeight="1">
      <c r="A5888" s="318" t="str">
        <f>IF(B5888&lt;&gt;"",IF(AND(B5888='IN-TC'!$S$4,OR(TH!N5888="1111",TH!O5888="1111")),TH!D5888,""),"")</f>
        <v/>
      </c>
      <c r="B5888" s="60" t="str">
        <f t="shared" si="512"/>
        <v/>
      </c>
      <c r="C5888" s="61"/>
      <c r="D5888" s="301"/>
      <c r="E5888" s="61"/>
      <c r="F5888" s="69"/>
      <c r="G5888" s="64"/>
      <c r="H5888" s="321"/>
      <c r="I5888" s="385"/>
      <c r="J5888" s="392"/>
      <c r="K5888" s="385"/>
      <c r="L5888" s="392"/>
      <c r="M5888" s="62"/>
      <c r="N5888" s="63"/>
      <c r="O5888" s="63"/>
      <c r="P5888" s="79" t="str">
        <f>IF(AND('331-CT'!$E$7=TH!H5888,OR(N5888="331",O5888="331")),"x","")</f>
        <v/>
      </c>
      <c r="Q5888" s="79" t="str">
        <f>IF(AND(B5888='111'!$L$11,OR($N5888=$Q$7,$O5888=$Q$7)),"x","")</f>
        <v/>
      </c>
      <c r="R5888" s="79" t="str">
        <f>IF(AND($N5888=$Q$7,$B5888&lt;'111'!$L$11),"x","")</f>
        <v/>
      </c>
      <c r="S5888" s="79" t="str">
        <f>IF(AND($O5888=$Q$7,$B5888&lt;'111'!$L$11),"x","")</f>
        <v/>
      </c>
      <c r="T5888" s="79" t="str">
        <f>IF(ISERROR(FIND('112'!$M$9,G5888,1)),"",IF((AND(FIND('112'!$M$9,G5888,1)&gt;=1,B5888='112'!$K$9,OR($N5888='112'!$I$6,$O5888='112'!$I$6))),"x",""))</f>
        <v/>
      </c>
      <c r="U5888" s="79" t="str">
        <f>IF(ISERROR(FIND('112'!$M$9,G5888,1)),"",IF((AND(LEFT(G5888,2)=LEFT('112'!$M$9,2),B5888&lt;'112'!$K$9,$N5888='112'!$I$6)),"x",""))</f>
        <v/>
      </c>
      <c r="V5888" s="79" t="str">
        <f>IF(ISERROR(FIND('112'!$M$9,G5888,1)),"",IF((AND(RIGHT(G5888,2)=RIGHT('112'!$M$9,2),B5888&lt;'112'!$K$9,$O5888='112'!$I$6)),"x",""))</f>
        <v/>
      </c>
      <c r="W5888" s="79" t="str">
        <f>IF(AND('341-CT'!$H$9=H5888,OR(LEFT(N5888,3)=$W$7,LEFT(O5888,3)=$W$7)),"x","")</f>
        <v/>
      </c>
      <c r="X5888" s="79" t="str">
        <f>IF(OR(TH!N5888=TH!$X$7,O5888=TH!$X$7),"x","")</f>
        <v/>
      </c>
      <c r="Y5888" s="79" t="str">
        <f>IF(AND(OR(N5888="131",O5888="131"),H5888='131-CT'!$H$9),"x","")</f>
        <v/>
      </c>
      <c r="Z5888" s="79"/>
      <c r="AA5888" s="79" t="str">
        <f>IF(AND(MONTH(E5888)='IN-NX'!$J$5,'IN-NX'!$D$7=D5888),"x","")</f>
        <v/>
      </c>
      <c r="AB5888" s="79" t="str">
        <f>IF(AND(OR(LEFT(TH!N5888,2)="15",LEFT(TH!O5888,2)="15"),LEFT(TH!O5888,3)&lt;&gt;"111",'152-CT'!$J$8=TH!F5888),"x","")</f>
        <v/>
      </c>
      <c r="AC5888" s="79" t="str">
        <f>IF(AND(OR(LEFT(TH!N5888,2)="15",LEFT(TH!O5888,2)="15"),TK!$E$7=TH!F5888),"x","")</f>
        <v/>
      </c>
      <c r="AD5888" s="79" t="str">
        <f>IF(AND(N5888="1521",MONTH(C5888)='BK-NL'!$M$11),"x","")</f>
        <v/>
      </c>
    </row>
    <row r="5889" spans="1:30" ht="16.5" customHeight="1">
      <c r="A5889" s="318" t="str">
        <f>IF(B5889&lt;&gt;"",IF(AND(B5889='IN-TC'!$S$4,OR(TH!N5889="1111",TH!O5889="1111")),TH!D5889,""),"")</f>
        <v/>
      </c>
      <c r="B5889" s="60" t="str">
        <f t="shared" si="512"/>
        <v/>
      </c>
      <c r="C5889" s="61"/>
      <c r="D5889" s="301"/>
      <c r="E5889" s="61"/>
      <c r="F5889" s="69"/>
      <c r="G5889" s="64"/>
      <c r="H5889" s="69"/>
      <c r="I5889" s="385"/>
      <c r="J5889" s="392"/>
      <c r="K5889" s="385"/>
      <c r="L5889" s="392"/>
      <c r="M5889" s="62"/>
      <c r="N5889" s="63"/>
      <c r="O5889" s="63"/>
      <c r="P5889" s="79" t="str">
        <f>IF(AND('331-CT'!$E$7=TH!H5889,OR(N5889="331",O5889="331")),"x","")</f>
        <v/>
      </c>
      <c r="Q5889" s="79" t="str">
        <f>IF(AND(B5889='111'!$L$11,OR($N5889=$Q$7,$O5889=$Q$7)),"x","")</f>
        <v/>
      </c>
      <c r="R5889" s="79" t="str">
        <f>IF(AND($N5889=$Q$7,$B5889&lt;'111'!$L$11),"x","")</f>
        <v/>
      </c>
      <c r="S5889" s="79" t="str">
        <f>IF(AND($O5889=$Q$7,$B5889&lt;'111'!$L$11),"x","")</f>
        <v/>
      </c>
      <c r="T5889" s="79" t="str">
        <f>IF(ISERROR(FIND('112'!$M$9,G5889,1)),"",IF((AND(FIND('112'!$M$9,G5889,1)&gt;=1,B5889='112'!$K$9,OR($N5889='112'!$I$6,$O5889='112'!$I$6))),"x",""))</f>
        <v/>
      </c>
      <c r="U5889" s="79" t="str">
        <f>IF(ISERROR(FIND('112'!$M$9,G5889,1)),"",IF((AND(LEFT(G5889,2)=LEFT('112'!$M$9,2),B5889&lt;'112'!$K$9,$N5889='112'!$I$6)),"x",""))</f>
        <v/>
      </c>
      <c r="V5889" s="79" t="str">
        <f>IF(ISERROR(FIND('112'!$M$9,G5889,1)),"",IF((AND(RIGHT(G5889,2)=RIGHT('112'!$M$9,2),B5889&lt;'112'!$K$9,$O5889='112'!$I$6)),"x",""))</f>
        <v/>
      </c>
      <c r="W5889" s="79" t="str">
        <f>IF(AND('341-CT'!$H$9=H5889,OR(LEFT(N5889,3)=$W$7,LEFT(O5889,3)=$W$7)),"x","")</f>
        <v/>
      </c>
      <c r="X5889" s="79" t="str">
        <f>IF(OR(TH!N5889=TH!$X$7,O5889=TH!$X$7),"x","")</f>
        <v/>
      </c>
      <c r="Y5889" s="79" t="str">
        <f>IF(AND(OR(N5889="131",O5889="131"),H5889='131-CT'!$H$9),"x","")</f>
        <v/>
      </c>
      <c r="Z5889" s="79"/>
      <c r="AA5889" s="79" t="str">
        <f>IF(AND(MONTH(E5889)='IN-NX'!$J$5,'IN-NX'!$D$7=D5889),"x","")</f>
        <v/>
      </c>
      <c r="AB5889" s="79" t="str">
        <f>IF(AND(OR(LEFT(TH!N5889,2)="15",LEFT(TH!O5889,2)="15"),LEFT(TH!O5889,3)&lt;&gt;"111",'152-CT'!$J$8=TH!F5889),"x","")</f>
        <v/>
      </c>
      <c r="AC5889" s="79" t="str">
        <f>IF(AND(OR(LEFT(TH!N5889,2)="15",LEFT(TH!O5889,2)="15"),TK!$E$7=TH!F5889),"x","")</f>
        <v/>
      </c>
      <c r="AD5889" s="79" t="str">
        <f>IF(AND(N5889="1521",MONTH(C5889)='BK-NL'!$M$11),"x","")</f>
        <v/>
      </c>
    </row>
    <row r="5890" spans="1:30" ht="16.5" customHeight="1">
      <c r="A5890" s="318" t="str">
        <f>IF(B5890&lt;&gt;"",IF(AND(B5890='IN-TC'!$S$4,OR(TH!N5890="1111",TH!O5890="1111")),TH!D5890,""),"")</f>
        <v/>
      </c>
      <c r="B5890" s="60" t="str">
        <f t="shared" si="512"/>
        <v/>
      </c>
      <c r="C5890" s="61"/>
      <c r="D5890" s="301"/>
      <c r="E5890" s="61"/>
      <c r="F5890" s="69"/>
      <c r="G5890" s="64"/>
      <c r="H5890" s="69"/>
      <c r="I5890" s="385"/>
      <c r="J5890" s="392"/>
      <c r="K5890" s="385"/>
      <c r="L5890" s="392"/>
      <c r="M5890" s="62"/>
      <c r="N5890" s="63"/>
      <c r="O5890" s="63"/>
      <c r="P5890" s="79" t="str">
        <f>IF(AND('331-CT'!$E$7=TH!H5890,OR(N5890="331",O5890="331")),"x","")</f>
        <v/>
      </c>
      <c r="Q5890" s="79" t="str">
        <f>IF(AND(B5890='111'!$L$11,OR($N5890=$Q$7,$O5890=$Q$7)),"x","")</f>
        <v/>
      </c>
      <c r="R5890" s="79" t="str">
        <f>IF(AND($N5890=$Q$7,$B5890&lt;'111'!$L$11),"x","")</f>
        <v/>
      </c>
      <c r="S5890" s="79" t="str">
        <f>IF(AND($O5890=$Q$7,$B5890&lt;'111'!$L$11),"x","")</f>
        <v/>
      </c>
      <c r="T5890" s="79" t="str">
        <f>IF(ISERROR(FIND('112'!$M$9,G5890,1)),"",IF((AND(FIND('112'!$M$9,G5890,1)&gt;=1,B5890='112'!$K$9,OR($N5890='112'!$I$6,$O5890='112'!$I$6))),"x",""))</f>
        <v/>
      </c>
      <c r="U5890" s="79" t="str">
        <f>IF(ISERROR(FIND('112'!$M$9,G5890,1)),"",IF((AND(LEFT(G5890,2)=LEFT('112'!$M$9,2),B5890&lt;'112'!$K$9,$N5890='112'!$I$6)),"x",""))</f>
        <v/>
      </c>
      <c r="V5890" s="79" t="str">
        <f>IF(ISERROR(FIND('112'!$M$9,G5890,1)),"",IF((AND(RIGHT(G5890,2)=RIGHT('112'!$M$9,2),B5890&lt;'112'!$K$9,$O5890='112'!$I$6)),"x",""))</f>
        <v/>
      </c>
      <c r="W5890" s="79" t="str">
        <f>IF(AND('341-CT'!$H$9=H5890,OR(LEFT(N5890,3)=$W$7,LEFT(O5890,3)=$W$7)),"x","")</f>
        <v/>
      </c>
      <c r="X5890" s="79" t="str">
        <f>IF(OR(TH!N5890=TH!$X$7,O5890=TH!$X$7),"x","")</f>
        <v/>
      </c>
      <c r="Y5890" s="79" t="str">
        <f>IF(AND(OR(N5890="131",O5890="131"),H5890='131-CT'!$H$9),"x","")</f>
        <v/>
      </c>
      <c r="Z5890" s="79"/>
      <c r="AA5890" s="79" t="str">
        <f>IF(AND(MONTH(E5890)='IN-NX'!$J$5,'IN-NX'!$D$7=D5890),"x","")</f>
        <v/>
      </c>
      <c r="AB5890" s="79" t="str">
        <f>IF(AND(OR(LEFT(TH!N5890,2)="15",LEFT(TH!O5890,2)="15"),LEFT(TH!O5890,3)&lt;&gt;"111",'152-CT'!$J$8=TH!F5890),"x","")</f>
        <v/>
      </c>
      <c r="AC5890" s="79" t="str">
        <f>IF(AND(OR(LEFT(TH!N5890,2)="15",LEFT(TH!O5890,2)="15"),TK!$E$7=TH!F5890),"x","")</f>
        <v/>
      </c>
      <c r="AD5890" s="79" t="str">
        <f>IF(AND(N5890="1521",MONTH(C5890)='BK-NL'!$M$11),"x","")</f>
        <v/>
      </c>
    </row>
    <row r="5891" spans="1:30" ht="16.5" customHeight="1">
      <c r="A5891" s="318" t="str">
        <f>IF(B5891&lt;&gt;"",IF(AND(B5891='IN-TC'!$S$4,OR(TH!N5891="1111",TH!O5891="1111")),TH!D5891,""),"")</f>
        <v/>
      </c>
      <c r="B5891" s="60" t="str">
        <f t="shared" ref="B5891:B5954" si="513">IF(C5891&lt;&gt;"",MONTH(C5891),"")</f>
        <v/>
      </c>
      <c r="C5891" s="61"/>
      <c r="D5891" s="301"/>
      <c r="E5891" s="61"/>
      <c r="F5891" s="69"/>
      <c r="G5891" s="64"/>
      <c r="H5891" s="321"/>
      <c r="I5891" s="385"/>
      <c r="J5891" s="392"/>
      <c r="K5891" s="385"/>
      <c r="L5891" s="392"/>
      <c r="M5891" s="62"/>
      <c r="N5891" s="63"/>
      <c r="O5891" s="63"/>
      <c r="P5891" s="79" t="str">
        <f>IF(AND('331-CT'!$E$7=TH!H5891,OR(N5891="331",O5891="331")),"x","")</f>
        <v/>
      </c>
      <c r="Q5891" s="79" t="str">
        <f>IF(AND(B5891='111'!$L$11,OR($N5891=$Q$7,$O5891=$Q$7)),"x","")</f>
        <v/>
      </c>
      <c r="R5891" s="79" t="str">
        <f>IF(AND($N5891=$Q$7,$B5891&lt;'111'!$L$11),"x","")</f>
        <v/>
      </c>
      <c r="S5891" s="79" t="str">
        <f>IF(AND($O5891=$Q$7,$B5891&lt;'111'!$L$11),"x","")</f>
        <v/>
      </c>
      <c r="T5891" s="79" t="str">
        <f>IF(ISERROR(FIND('112'!$M$9,G5891,1)),"",IF((AND(FIND('112'!$M$9,G5891,1)&gt;=1,B5891='112'!$K$9,OR($N5891='112'!$I$6,$O5891='112'!$I$6))),"x",""))</f>
        <v/>
      </c>
      <c r="U5891" s="79" t="str">
        <f>IF(ISERROR(FIND('112'!$M$9,G5891,1)),"",IF((AND(LEFT(G5891,2)=LEFT('112'!$M$9,2),B5891&lt;'112'!$K$9,$N5891='112'!$I$6)),"x",""))</f>
        <v/>
      </c>
      <c r="V5891" s="79" t="str">
        <f>IF(ISERROR(FIND('112'!$M$9,G5891,1)),"",IF((AND(RIGHT(G5891,2)=RIGHT('112'!$M$9,2),B5891&lt;'112'!$K$9,$O5891='112'!$I$6)),"x",""))</f>
        <v/>
      </c>
      <c r="W5891" s="79" t="str">
        <f>IF(AND('341-CT'!$H$9=H5891,OR(LEFT(N5891,3)=$W$7,LEFT(O5891,3)=$W$7)),"x","")</f>
        <v/>
      </c>
      <c r="X5891" s="79" t="str">
        <f>IF(OR(TH!N5891=TH!$X$7,O5891=TH!$X$7),"x","")</f>
        <v/>
      </c>
      <c r="Y5891" s="79" t="str">
        <f>IF(AND(OR(N5891="131",O5891="131"),H5891='131-CT'!$H$9),"x","")</f>
        <v/>
      </c>
      <c r="Z5891" s="79"/>
      <c r="AA5891" s="79" t="str">
        <f>IF(AND(MONTH(E5891)='IN-NX'!$J$5,'IN-NX'!$D$7=D5891),"x","")</f>
        <v/>
      </c>
      <c r="AB5891" s="79" t="str">
        <f>IF(AND(OR(LEFT(TH!N5891,2)="15",LEFT(TH!O5891,2)="15"),LEFT(TH!O5891,3)&lt;&gt;"111",'152-CT'!$J$8=TH!F5891),"x","")</f>
        <v/>
      </c>
      <c r="AC5891" s="79" t="str">
        <f>IF(AND(OR(LEFT(TH!N5891,2)="15",LEFT(TH!O5891,2)="15"),TK!$E$7=TH!F5891),"x","")</f>
        <v/>
      </c>
      <c r="AD5891" s="79" t="str">
        <f>IF(AND(N5891="1521",MONTH(C5891)='BK-NL'!$M$11),"x","")</f>
        <v/>
      </c>
    </row>
    <row r="5892" spans="1:30" ht="16.5" customHeight="1">
      <c r="A5892" s="318" t="str">
        <f>IF(B5892&lt;&gt;"",IF(AND(B5892='IN-TC'!$S$4,OR(TH!N5892="1111",TH!O5892="1111")),TH!D5892,""),"")</f>
        <v/>
      </c>
      <c r="B5892" s="60" t="str">
        <f t="shared" si="513"/>
        <v/>
      </c>
      <c r="C5892" s="61"/>
      <c r="D5892" s="301"/>
      <c r="E5892" s="61"/>
      <c r="F5892" s="69"/>
      <c r="G5892" s="64"/>
      <c r="H5892" s="69"/>
      <c r="I5892" s="385"/>
      <c r="J5892" s="392"/>
      <c r="K5892" s="385"/>
      <c r="L5892" s="392"/>
      <c r="M5892" s="62"/>
      <c r="N5892" s="63"/>
      <c r="O5892" s="63"/>
      <c r="P5892" s="79" t="str">
        <f>IF(AND('331-CT'!$E$7=TH!H5892,OR(N5892="331",O5892="331")),"x","")</f>
        <v/>
      </c>
      <c r="Q5892" s="79" t="str">
        <f>IF(AND(B5892='111'!$L$11,OR($N5892=$Q$7,$O5892=$Q$7)),"x","")</f>
        <v/>
      </c>
      <c r="R5892" s="79" t="str">
        <f>IF(AND($N5892=$Q$7,$B5892&lt;'111'!$L$11),"x","")</f>
        <v/>
      </c>
      <c r="S5892" s="79" t="str">
        <f>IF(AND($O5892=$Q$7,$B5892&lt;'111'!$L$11),"x","")</f>
        <v/>
      </c>
      <c r="T5892" s="79" t="str">
        <f>IF(ISERROR(FIND('112'!$M$9,G5892,1)),"",IF((AND(FIND('112'!$M$9,G5892,1)&gt;=1,B5892='112'!$K$9,OR($N5892='112'!$I$6,$O5892='112'!$I$6))),"x",""))</f>
        <v/>
      </c>
      <c r="U5892" s="79" t="str">
        <f>IF(ISERROR(FIND('112'!$M$9,G5892,1)),"",IF((AND(LEFT(G5892,2)=LEFT('112'!$M$9,2),B5892&lt;'112'!$K$9,$N5892='112'!$I$6)),"x",""))</f>
        <v/>
      </c>
      <c r="V5892" s="79" t="str">
        <f>IF(ISERROR(FIND('112'!$M$9,G5892,1)),"",IF((AND(RIGHT(G5892,2)=RIGHT('112'!$M$9,2),B5892&lt;'112'!$K$9,$O5892='112'!$I$6)),"x",""))</f>
        <v/>
      </c>
      <c r="W5892" s="79" t="str">
        <f>IF(AND('341-CT'!$H$9=H5892,OR(LEFT(N5892,3)=$W$7,LEFT(O5892,3)=$W$7)),"x","")</f>
        <v/>
      </c>
      <c r="X5892" s="79" t="str">
        <f>IF(OR(TH!N5892=TH!$X$7,O5892=TH!$X$7),"x","")</f>
        <v/>
      </c>
      <c r="Y5892" s="79" t="str">
        <f>IF(AND(OR(N5892="131",O5892="131"),H5892='131-CT'!$H$9),"x","")</f>
        <v/>
      </c>
      <c r="Z5892" s="79"/>
      <c r="AA5892" s="79" t="str">
        <f>IF(AND(MONTH(E5892)='IN-NX'!$J$5,'IN-NX'!$D$7=D5892),"x","")</f>
        <v/>
      </c>
      <c r="AB5892" s="79" t="str">
        <f>IF(AND(OR(LEFT(TH!N5892,2)="15",LEFT(TH!O5892,2)="15"),LEFT(TH!O5892,3)&lt;&gt;"111",'152-CT'!$J$8=TH!F5892),"x","")</f>
        <v/>
      </c>
      <c r="AC5892" s="79" t="str">
        <f>IF(AND(OR(LEFT(TH!N5892,2)="15",LEFT(TH!O5892,2)="15"),TK!$E$7=TH!F5892),"x","")</f>
        <v/>
      </c>
      <c r="AD5892" s="79" t="str">
        <f>IF(AND(N5892="1521",MONTH(C5892)='BK-NL'!$M$11),"x","")</f>
        <v/>
      </c>
    </row>
    <row r="5893" spans="1:30" ht="16.5" customHeight="1">
      <c r="A5893" s="318" t="str">
        <f>IF(B5893&lt;&gt;"",IF(AND(B5893='IN-TC'!$S$4,OR(TH!N5893="1111",TH!O5893="1111")),TH!D5893,""),"")</f>
        <v/>
      </c>
      <c r="B5893" s="60" t="str">
        <f t="shared" si="513"/>
        <v/>
      </c>
      <c r="C5893" s="61"/>
      <c r="D5893" s="301"/>
      <c r="E5893" s="61"/>
      <c r="F5893" s="69"/>
      <c r="G5893" s="64"/>
      <c r="H5893" s="69"/>
      <c r="I5893" s="385"/>
      <c r="J5893" s="392"/>
      <c r="K5893" s="385"/>
      <c r="L5893" s="392"/>
      <c r="M5893" s="62"/>
      <c r="N5893" s="63"/>
      <c r="O5893" s="63"/>
      <c r="P5893" s="79" t="str">
        <f>IF(AND('331-CT'!$E$7=TH!H5893,OR(N5893="331",O5893="331")),"x","")</f>
        <v/>
      </c>
      <c r="Q5893" s="79" t="str">
        <f>IF(AND(B5893='111'!$L$11,OR($N5893=$Q$7,$O5893=$Q$7)),"x","")</f>
        <v/>
      </c>
      <c r="R5893" s="79" t="str">
        <f>IF(AND($N5893=$Q$7,$B5893&lt;'111'!$L$11),"x","")</f>
        <v/>
      </c>
      <c r="S5893" s="79" t="str">
        <f>IF(AND($O5893=$Q$7,$B5893&lt;'111'!$L$11),"x","")</f>
        <v/>
      </c>
      <c r="T5893" s="79" t="str">
        <f>IF(ISERROR(FIND('112'!$M$9,G5893,1)),"",IF((AND(FIND('112'!$M$9,G5893,1)&gt;=1,B5893='112'!$K$9,OR($N5893='112'!$I$6,$O5893='112'!$I$6))),"x",""))</f>
        <v/>
      </c>
      <c r="U5893" s="79" t="str">
        <f>IF(ISERROR(FIND('112'!$M$9,G5893,1)),"",IF((AND(LEFT(G5893,2)=LEFT('112'!$M$9,2),B5893&lt;'112'!$K$9,$N5893='112'!$I$6)),"x",""))</f>
        <v/>
      </c>
      <c r="V5893" s="79" t="str">
        <f>IF(ISERROR(FIND('112'!$M$9,G5893,1)),"",IF((AND(RIGHT(G5893,2)=RIGHT('112'!$M$9,2),B5893&lt;'112'!$K$9,$O5893='112'!$I$6)),"x",""))</f>
        <v/>
      </c>
      <c r="W5893" s="79" t="str">
        <f>IF(AND('341-CT'!$H$9=H5893,OR(LEFT(N5893,3)=$W$7,LEFT(O5893,3)=$W$7)),"x","")</f>
        <v/>
      </c>
      <c r="X5893" s="79" t="str">
        <f>IF(OR(TH!N5893=TH!$X$7,O5893=TH!$X$7),"x","")</f>
        <v/>
      </c>
      <c r="Y5893" s="79" t="str">
        <f>IF(AND(OR(N5893="131",O5893="131"),H5893='131-CT'!$H$9),"x","")</f>
        <v/>
      </c>
      <c r="Z5893" s="79"/>
      <c r="AA5893" s="79" t="str">
        <f>IF(AND(MONTH(E5893)='IN-NX'!$J$5,'IN-NX'!$D$7=D5893),"x","")</f>
        <v/>
      </c>
      <c r="AB5893" s="79" t="str">
        <f>IF(AND(OR(LEFT(TH!N5893,2)="15",LEFT(TH!O5893,2)="15"),LEFT(TH!O5893,3)&lt;&gt;"111",'152-CT'!$J$8=TH!F5893),"x","")</f>
        <v/>
      </c>
      <c r="AC5893" s="79" t="str">
        <f>IF(AND(OR(LEFT(TH!N5893,2)="15",LEFT(TH!O5893,2)="15"),TK!$E$7=TH!F5893),"x","")</f>
        <v/>
      </c>
      <c r="AD5893" s="79" t="str">
        <f>IF(AND(N5893="1521",MONTH(C5893)='BK-NL'!$M$11),"x","")</f>
        <v/>
      </c>
    </row>
    <row r="5894" spans="1:30" ht="16.5" customHeight="1">
      <c r="A5894" s="318" t="str">
        <f>IF(B5894&lt;&gt;"",IF(AND(B5894='IN-TC'!$S$4,OR(TH!N5894="1111",TH!O5894="1111")),TH!D5894,""),"")</f>
        <v/>
      </c>
      <c r="B5894" s="60" t="str">
        <f t="shared" si="513"/>
        <v/>
      </c>
      <c r="C5894" s="61"/>
      <c r="D5894" s="301"/>
      <c r="E5894" s="61"/>
      <c r="F5894" s="69"/>
      <c r="G5894" s="64"/>
      <c r="H5894" s="321"/>
      <c r="I5894" s="385"/>
      <c r="J5894" s="392"/>
      <c r="K5894" s="385"/>
      <c r="L5894" s="392"/>
      <c r="M5894" s="62"/>
      <c r="N5894" s="63"/>
      <c r="O5894" s="63"/>
      <c r="P5894" s="79" t="str">
        <f>IF(AND('331-CT'!$E$7=TH!H5894,OR(N5894="331",O5894="331")),"x","")</f>
        <v/>
      </c>
      <c r="Q5894" s="79" t="str">
        <f>IF(AND(B5894='111'!$L$11,OR($N5894=$Q$7,$O5894=$Q$7)),"x","")</f>
        <v/>
      </c>
      <c r="R5894" s="79" t="str">
        <f>IF(AND($N5894=$Q$7,$B5894&lt;'111'!$L$11),"x","")</f>
        <v/>
      </c>
      <c r="S5894" s="79" t="str">
        <f>IF(AND($O5894=$Q$7,$B5894&lt;'111'!$L$11),"x","")</f>
        <v/>
      </c>
      <c r="T5894" s="79" t="str">
        <f>IF(ISERROR(FIND('112'!$M$9,G5894,1)),"",IF((AND(FIND('112'!$M$9,G5894,1)&gt;=1,B5894='112'!$K$9,OR($N5894='112'!$I$6,$O5894='112'!$I$6))),"x",""))</f>
        <v/>
      </c>
      <c r="U5894" s="79" t="str">
        <f>IF(ISERROR(FIND('112'!$M$9,G5894,1)),"",IF((AND(LEFT(G5894,2)=LEFT('112'!$M$9,2),B5894&lt;'112'!$K$9,$N5894='112'!$I$6)),"x",""))</f>
        <v/>
      </c>
      <c r="V5894" s="79" t="str">
        <f>IF(ISERROR(FIND('112'!$M$9,G5894,1)),"",IF((AND(RIGHT(G5894,2)=RIGHT('112'!$M$9,2),B5894&lt;'112'!$K$9,$O5894='112'!$I$6)),"x",""))</f>
        <v/>
      </c>
      <c r="W5894" s="79" t="str">
        <f>IF(AND('341-CT'!$H$9=H5894,OR(LEFT(N5894,3)=$W$7,LEFT(O5894,3)=$W$7)),"x","")</f>
        <v/>
      </c>
      <c r="X5894" s="79" t="str">
        <f>IF(OR(TH!N5894=TH!$X$7,O5894=TH!$X$7),"x","")</f>
        <v/>
      </c>
      <c r="Y5894" s="79" t="str">
        <f>IF(AND(OR(N5894="131",O5894="131"),H5894='131-CT'!$H$9),"x","")</f>
        <v/>
      </c>
      <c r="Z5894" s="79"/>
      <c r="AA5894" s="79" t="str">
        <f>IF(AND(MONTH(E5894)='IN-NX'!$J$5,'IN-NX'!$D$7=D5894),"x","")</f>
        <v/>
      </c>
      <c r="AB5894" s="79" t="str">
        <f>IF(AND(OR(LEFT(TH!N5894,2)="15",LEFT(TH!O5894,2)="15"),LEFT(TH!O5894,3)&lt;&gt;"111",'152-CT'!$J$8=TH!F5894),"x","")</f>
        <v/>
      </c>
      <c r="AC5894" s="79" t="str">
        <f>IF(AND(OR(LEFT(TH!N5894,2)="15",LEFT(TH!O5894,2)="15"),TK!$E$7=TH!F5894),"x","")</f>
        <v/>
      </c>
      <c r="AD5894" s="79" t="str">
        <f>IF(AND(N5894="1521",MONTH(C5894)='BK-NL'!$M$11),"x","")</f>
        <v/>
      </c>
    </row>
    <row r="5895" spans="1:30" ht="16.5" customHeight="1">
      <c r="A5895" s="318" t="str">
        <f>IF(B5895&lt;&gt;"",IF(AND(B5895='IN-TC'!$S$4,OR(TH!N5895="1111",TH!O5895="1111")),TH!D5895,""),"")</f>
        <v/>
      </c>
      <c r="B5895" s="60" t="str">
        <f t="shared" si="513"/>
        <v/>
      </c>
      <c r="C5895" s="61"/>
      <c r="D5895" s="301"/>
      <c r="E5895" s="61"/>
      <c r="F5895" s="69"/>
      <c r="G5895" s="64"/>
      <c r="H5895" s="321"/>
      <c r="I5895" s="385"/>
      <c r="J5895" s="392"/>
      <c r="K5895" s="385"/>
      <c r="L5895" s="392"/>
      <c r="M5895" s="62"/>
      <c r="N5895" s="63"/>
      <c r="O5895" s="63"/>
      <c r="P5895" s="79" t="str">
        <f>IF(AND('331-CT'!$E$7=TH!H5895,OR(N5895="331",O5895="331")),"x","")</f>
        <v/>
      </c>
      <c r="Q5895" s="79" t="str">
        <f>IF(AND(B5895='111'!$L$11,OR($N5895=$Q$7,$O5895=$Q$7)),"x","")</f>
        <v/>
      </c>
      <c r="R5895" s="79" t="str">
        <f>IF(AND($N5895=$Q$7,$B5895&lt;'111'!$L$11),"x","")</f>
        <v/>
      </c>
      <c r="S5895" s="79" t="str">
        <f>IF(AND($O5895=$Q$7,$B5895&lt;'111'!$L$11),"x","")</f>
        <v/>
      </c>
      <c r="T5895" s="79" t="str">
        <f>IF(ISERROR(FIND('112'!$M$9,G5895,1)),"",IF((AND(FIND('112'!$M$9,G5895,1)&gt;=1,B5895='112'!$K$9,OR($N5895='112'!$I$6,$O5895='112'!$I$6))),"x",""))</f>
        <v/>
      </c>
      <c r="U5895" s="79" t="str">
        <f>IF(ISERROR(FIND('112'!$M$9,G5895,1)),"",IF((AND(LEFT(G5895,2)=LEFT('112'!$M$9,2),B5895&lt;'112'!$K$9,$N5895='112'!$I$6)),"x",""))</f>
        <v/>
      </c>
      <c r="V5895" s="79" t="str">
        <f>IF(ISERROR(FIND('112'!$M$9,G5895,1)),"",IF((AND(RIGHT(G5895,2)=RIGHT('112'!$M$9,2),B5895&lt;'112'!$K$9,$O5895='112'!$I$6)),"x",""))</f>
        <v/>
      </c>
      <c r="W5895" s="79" t="str">
        <f>IF(AND('341-CT'!$H$9=H5895,OR(LEFT(N5895,3)=$W$7,LEFT(O5895,3)=$W$7)),"x","")</f>
        <v/>
      </c>
      <c r="X5895" s="79" t="str">
        <f>IF(OR(TH!N5895=TH!$X$7,O5895=TH!$X$7),"x","")</f>
        <v/>
      </c>
      <c r="Y5895" s="79" t="str">
        <f>IF(AND(OR(N5895="131",O5895="131"),H5895='131-CT'!$H$9),"x","")</f>
        <v/>
      </c>
      <c r="Z5895" s="79"/>
      <c r="AA5895" s="79" t="str">
        <f>IF(AND(MONTH(E5895)='IN-NX'!$J$5,'IN-NX'!$D$7=D5895),"x","")</f>
        <v/>
      </c>
      <c r="AB5895" s="79" t="str">
        <f>IF(AND(OR(LEFT(TH!N5895,2)="15",LEFT(TH!O5895,2)="15"),LEFT(TH!O5895,3)&lt;&gt;"111",'152-CT'!$J$8=TH!F5895),"x","")</f>
        <v/>
      </c>
      <c r="AC5895" s="79" t="str">
        <f>IF(AND(OR(LEFT(TH!N5895,2)="15",LEFT(TH!O5895,2)="15"),TK!$E$7=TH!F5895),"x","")</f>
        <v/>
      </c>
      <c r="AD5895" s="79" t="str">
        <f>IF(AND(N5895="1521",MONTH(C5895)='BK-NL'!$M$11),"x","")</f>
        <v/>
      </c>
    </row>
    <row r="5896" spans="1:30" ht="16.5" customHeight="1">
      <c r="A5896" s="318" t="str">
        <f>IF(B5896&lt;&gt;"",IF(AND(B5896='IN-TC'!$S$4,OR(TH!N5896="1111",TH!O5896="1111")),TH!D5896,""),"")</f>
        <v/>
      </c>
      <c r="B5896" s="60" t="str">
        <f t="shared" si="513"/>
        <v/>
      </c>
      <c r="C5896" s="61"/>
      <c r="D5896" s="301"/>
      <c r="E5896" s="61"/>
      <c r="F5896" s="69"/>
      <c r="G5896" s="64"/>
      <c r="H5896" s="321"/>
      <c r="I5896" s="385"/>
      <c r="J5896" s="392"/>
      <c r="K5896" s="385"/>
      <c r="L5896" s="392"/>
      <c r="M5896" s="62"/>
      <c r="N5896" s="63"/>
      <c r="O5896" s="63"/>
      <c r="P5896" s="79" t="str">
        <f>IF(AND('331-CT'!$E$7=TH!H5896,OR(N5896="331",O5896="331")),"x","")</f>
        <v/>
      </c>
      <c r="Q5896" s="79" t="str">
        <f>IF(AND(B5896='111'!$L$11,OR($N5896=$Q$7,$O5896=$Q$7)),"x","")</f>
        <v/>
      </c>
      <c r="R5896" s="79" t="str">
        <f>IF(AND($N5896=$Q$7,$B5896&lt;'111'!$L$11),"x","")</f>
        <v/>
      </c>
      <c r="S5896" s="79" t="str">
        <f>IF(AND($O5896=$Q$7,$B5896&lt;'111'!$L$11),"x","")</f>
        <v/>
      </c>
      <c r="T5896" s="79" t="str">
        <f>IF(ISERROR(FIND('112'!$M$9,G5896,1)),"",IF((AND(FIND('112'!$M$9,G5896,1)&gt;=1,B5896='112'!$K$9,OR($N5896='112'!$I$6,$O5896='112'!$I$6))),"x",""))</f>
        <v/>
      </c>
      <c r="U5896" s="79" t="str">
        <f>IF(ISERROR(FIND('112'!$M$9,G5896,1)),"",IF((AND(LEFT(G5896,2)=LEFT('112'!$M$9,2),B5896&lt;'112'!$K$9,$N5896='112'!$I$6)),"x",""))</f>
        <v/>
      </c>
      <c r="V5896" s="79" t="str">
        <f>IF(ISERROR(FIND('112'!$M$9,G5896,1)),"",IF((AND(RIGHT(G5896,2)=RIGHT('112'!$M$9,2),B5896&lt;'112'!$K$9,$O5896='112'!$I$6)),"x",""))</f>
        <v/>
      </c>
      <c r="W5896" s="79" t="str">
        <f>IF(AND('341-CT'!$H$9=H5896,OR(LEFT(N5896,3)=$W$7,LEFT(O5896,3)=$W$7)),"x","")</f>
        <v/>
      </c>
      <c r="X5896" s="79" t="str">
        <f>IF(OR(TH!N5896=TH!$X$7,O5896=TH!$X$7),"x","")</f>
        <v/>
      </c>
      <c r="Y5896" s="79" t="str">
        <f>IF(AND(OR(N5896="131",O5896="131"),H5896='131-CT'!$H$9),"x","")</f>
        <v/>
      </c>
      <c r="Z5896" s="79"/>
      <c r="AA5896" s="79" t="str">
        <f>IF(AND(MONTH(E5896)='IN-NX'!$J$5,'IN-NX'!$D$7=D5896),"x","")</f>
        <v/>
      </c>
      <c r="AB5896" s="79" t="str">
        <f>IF(AND(OR(LEFT(TH!N5896,2)="15",LEFT(TH!O5896,2)="15"),LEFT(TH!O5896,3)&lt;&gt;"111",'152-CT'!$J$8=TH!F5896),"x","")</f>
        <v/>
      </c>
      <c r="AC5896" s="79" t="str">
        <f>IF(AND(OR(LEFT(TH!N5896,2)="15",LEFT(TH!O5896,2)="15"),TK!$E$7=TH!F5896),"x","")</f>
        <v/>
      </c>
      <c r="AD5896" s="79" t="str">
        <f>IF(AND(N5896="1521",MONTH(C5896)='BK-NL'!$M$11),"x","")</f>
        <v/>
      </c>
    </row>
    <row r="5897" spans="1:30" ht="16.5" customHeight="1">
      <c r="A5897" s="318" t="str">
        <f>IF(B5897&lt;&gt;"",IF(AND(B5897='IN-TC'!$S$4,OR(TH!N5897="1111",TH!O5897="1111")),TH!D5897,""),"")</f>
        <v/>
      </c>
      <c r="B5897" s="60" t="str">
        <f t="shared" si="513"/>
        <v/>
      </c>
      <c r="C5897" s="61"/>
      <c r="D5897" s="301"/>
      <c r="E5897" s="61"/>
      <c r="F5897" s="69"/>
      <c r="G5897" s="64"/>
      <c r="H5897" s="69"/>
      <c r="I5897" s="385"/>
      <c r="J5897" s="392"/>
      <c r="K5897" s="385"/>
      <c r="L5897" s="392"/>
      <c r="M5897" s="62"/>
      <c r="N5897" s="63"/>
      <c r="O5897" s="63"/>
      <c r="P5897" s="79" t="str">
        <f>IF(AND('331-CT'!$E$7=TH!H5897,OR(N5897="331",O5897="331")),"x","")</f>
        <v/>
      </c>
      <c r="Q5897" s="79" t="str">
        <f>IF(AND(B5897='111'!$L$11,OR($N5897=$Q$7,$O5897=$Q$7)),"x","")</f>
        <v/>
      </c>
      <c r="R5897" s="79" t="str">
        <f>IF(AND($N5897=$Q$7,$B5897&lt;'111'!$L$11),"x","")</f>
        <v/>
      </c>
      <c r="S5897" s="79" t="str">
        <f>IF(AND($O5897=$Q$7,$B5897&lt;'111'!$L$11),"x","")</f>
        <v/>
      </c>
      <c r="T5897" s="79" t="str">
        <f>IF(ISERROR(FIND('112'!$M$9,G5897,1)),"",IF((AND(FIND('112'!$M$9,G5897,1)&gt;=1,B5897='112'!$K$9,OR($N5897='112'!$I$6,$O5897='112'!$I$6))),"x",""))</f>
        <v/>
      </c>
      <c r="U5897" s="79" t="str">
        <f>IF(ISERROR(FIND('112'!$M$9,G5897,1)),"",IF((AND(LEFT(G5897,2)=LEFT('112'!$M$9,2),B5897&lt;'112'!$K$9,$N5897='112'!$I$6)),"x",""))</f>
        <v/>
      </c>
      <c r="V5897" s="79" t="str">
        <f>IF(ISERROR(FIND('112'!$M$9,G5897,1)),"",IF((AND(RIGHT(G5897,2)=RIGHT('112'!$M$9,2),B5897&lt;'112'!$K$9,$O5897='112'!$I$6)),"x",""))</f>
        <v/>
      </c>
      <c r="W5897" s="79" t="str">
        <f>IF(AND('341-CT'!$H$9=H5897,OR(LEFT(N5897,3)=$W$7,LEFT(O5897,3)=$W$7)),"x","")</f>
        <v/>
      </c>
      <c r="X5897" s="79" t="str">
        <f>IF(OR(TH!N5897=TH!$X$7,O5897=TH!$X$7),"x","")</f>
        <v/>
      </c>
      <c r="Y5897" s="79" t="str">
        <f>IF(AND(OR(N5897="131",O5897="131"),H5897='131-CT'!$H$9),"x","")</f>
        <v/>
      </c>
      <c r="Z5897" s="79"/>
      <c r="AA5897" s="79" t="str">
        <f>IF(AND(MONTH(E5897)='IN-NX'!$J$5,'IN-NX'!$D$7=D5897),"x","")</f>
        <v/>
      </c>
      <c r="AB5897" s="79" t="str">
        <f>IF(AND(OR(LEFT(TH!N5897,2)="15",LEFT(TH!O5897,2)="15"),LEFT(TH!O5897,3)&lt;&gt;"111",'152-CT'!$J$8=TH!F5897),"x","")</f>
        <v/>
      </c>
      <c r="AC5897" s="79" t="str">
        <f>IF(AND(OR(LEFT(TH!N5897,2)="15",LEFT(TH!O5897,2)="15"),TK!$E$7=TH!F5897),"x","")</f>
        <v/>
      </c>
      <c r="AD5897" s="79" t="str">
        <f>IF(AND(N5897="1521",MONTH(C5897)='BK-NL'!$M$11),"x","")</f>
        <v/>
      </c>
    </row>
    <row r="5898" spans="1:30" ht="16.5" customHeight="1">
      <c r="A5898" s="318" t="str">
        <f>IF(B5898&lt;&gt;"",IF(AND(B5898='IN-TC'!$S$4,OR(TH!N5898="1111",TH!O5898="1111")),TH!D5898,""),"")</f>
        <v/>
      </c>
      <c r="B5898" s="60" t="str">
        <f t="shared" si="513"/>
        <v/>
      </c>
      <c r="C5898" s="61"/>
      <c r="D5898" s="301"/>
      <c r="E5898" s="61"/>
      <c r="F5898" s="69"/>
      <c r="G5898" s="64"/>
      <c r="H5898" s="69"/>
      <c r="I5898" s="385"/>
      <c r="J5898" s="392"/>
      <c r="K5898" s="385"/>
      <c r="L5898" s="392"/>
      <c r="M5898" s="62"/>
      <c r="N5898" s="63"/>
      <c r="O5898" s="63"/>
      <c r="P5898" s="79" t="str">
        <f>IF(AND('331-CT'!$E$7=TH!H5898,OR(N5898="331",O5898="331")),"x","")</f>
        <v/>
      </c>
      <c r="Q5898" s="79" t="str">
        <f>IF(AND(B5898='111'!$L$11,OR($N5898=$Q$7,$O5898=$Q$7)),"x","")</f>
        <v/>
      </c>
      <c r="R5898" s="79" t="str">
        <f>IF(AND($N5898=$Q$7,$B5898&lt;'111'!$L$11),"x","")</f>
        <v/>
      </c>
      <c r="S5898" s="79" t="str">
        <f>IF(AND($O5898=$Q$7,$B5898&lt;'111'!$L$11),"x","")</f>
        <v/>
      </c>
      <c r="T5898" s="79" t="str">
        <f>IF(ISERROR(FIND('112'!$M$9,G5898,1)),"",IF((AND(FIND('112'!$M$9,G5898,1)&gt;=1,B5898='112'!$K$9,OR($N5898='112'!$I$6,$O5898='112'!$I$6))),"x",""))</f>
        <v/>
      </c>
      <c r="U5898" s="79" t="str">
        <f>IF(ISERROR(FIND('112'!$M$9,G5898,1)),"",IF((AND(LEFT(G5898,2)=LEFT('112'!$M$9,2),B5898&lt;'112'!$K$9,$N5898='112'!$I$6)),"x",""))</f>
        <v/>
      </c>
      <c r="V5898" s="79" t="str">
        <f>IF(ISERROR(FIND('112'!$M$9,G5898,1)),"",IF((AND(RIGHT(G5898,2)=RIGHT('112'!$M$9,2),B5898&lt;'112'!$K$9,$O5898='112'!$I$6)),"x",""))</f>
        <v/>
      </c>
      <c r="W5898" s="79" t="str">
        <f>IF(AND('341-CT'!$H$9=H5898,OR(LEFT(N5898,3)=$W$7,LEFT(O5898,3)=$W$7)),"x","")</f>
        <v/>
      </c>
      <c r="X5898" s="79" t="str">
        <f>IF(OR(TH!N5898=TH!$X$7,O5898=TH!$X$7),"x","")</f>
        <v/>
      </c>
      <c r="Y5898" s="79" t="str">
        <f>IF(AND(OR(N5898="131",O5898="131"),H5898='131-CT'!$H$9),"x","")</f>
        <v/>
      </c>
      <c r="Z5898" s="79"/>
      <c r="AA5898" s="79" t="str">
        <f>IF(AND(MONTH(E5898)='IN-NX'!$J$5,'IN-NX'!$D$7=D5898),"x","")</f>
        <v/>
      </c>
      <c r="AB5898" s="79" t="str">
        <f>IF(AND(OR(LEFT(TH!N5898,2)="15",LEFT(TH!O5898,2)="15"),LEFT(TH!O5898,3)&lt;&gt;"111",'152-CT'!$J$8=TH!F5898),"x","")</f>
        <v/>
      </c>
      <c r="AC5898" s="79" t="str">
        <f>IF(AND(OR(LEFT(TH!N5898,2)="15",LEFT(TH!O5898,2)="15"),TK!$E$7=TH!F5898),"x","")</f>
        <v/>
      </c>
      <c r="AD5898" s="79" t="str">
        <f>IF(AND(N5898="1521",MONTH(C5898)='BK-NL'!$M$11),"x","")</f>
        <v/>
      </c>
    </row>
    <row r="5899" spans="1:30" ht="16.5" customHeight="1">
      <c r="A5899" s="318" t="str">
        <f>IF(B5899&lt;&gt;"",IF(AND(B5899='IN-TC'!$S$4,OR(TH!N5899="1111",TH!O5899="1111")),TH!D5899,""),"")</f>
        <v/>
      </c>
      <c r="B5899" s="60" t="str">
        <f t="shared" si="513"/>
        <v/>
      </c>
      <c r="C5899" s="61"/>
      <c r="D5899" s="301"/>
      <c r="E5899" s="61"/>
      <c r="F5899" s="69"/>
      <c r="G5899" s="64"/>
      <c r="H5899" s="321"/>
      <c r="I5899" s="385"/>
      <c r="J5899" s="392"/>
      <c r="K5899" s="385"/>
      <c r="L5899" s="392"/>
      <c r="M5899" s="62"/>
      <c r="N5899" s="63"/>
      <c r="O5899" s="63"/>
      <c r="P5899" s="79" t="str">
        <f>IF(AND('331-CT'!$E$7=TH!H5899,OR(N5899="331",O5899="331")),"x","")</f>
        <v/>
      </c>
      <c r="Q5899" s="79" t="str">
        <f>IF(AND(B5899='111'!$L$11,OR($N5899=$Q$7,$O5899=$Q$7)),"x","")</f>
        <v/>
      </c>
      <c r="R5899" s="79" t="str">
        <f>IF(AND($N5899=$Q$7,$B5899&lt;'111'!$L$11),"x","")</f>
        <v/>
      </c>
      <c r="S5899" s="79" t="str">
        <f>IF(AND($O5899=$Q$7,$B5899&lt;'111'!$L$11),"x","")</f>
        <v/>
      </c>
      <c r="T5899" s="79" t="str">
        <f>IF(ISERROR(FIND('112'!$M$9,G5899,1)),"",IF((AND(FIND('112'!$M$9,G5899,1)&gt;=1,B5899='112'!$K$9,OR($N5899='112'!$I$6,$O5899='112'!$I$6))),"x",""))</f>
        <v/>
      </c>
      <c r="U5899" s="79" t="str">
        <f>IF(ISERROR(FIND('112'!$M$9,G5899,1)),"",IF((AND(LEFT(G5899,2)=LEFT('112'!$M$9,2),B5899&lt;'112'!$K$9,$N5899='112'!$I$6)),"x",""))</f>
        <v/>
      </c>
      <c r="V5899" s="79" t="str">
        <f>IF(ISERROR(FIND('112'!$M$9,G5899,1)),"",IF((AND(RIGHT(G5899,2)=RIGHT('112'!$M$9,2),B5899&lt;'112'!$K$9,$O5899='112'!$I$6)),"x",""))</f>
        <v/>
      </c>
      <c r="W5899" s="79" t="str">
        <f>IF(AND('341-CT'!$H$9=H5899,OR(LEFT(N5899,3)=$W$7,LEFT(O5899,3)=$W$7)),"x","")</f>
        <v/>
      </c>
      <c r="X5899" s="79" t="str">
        <f>IF(OR(TH!N5899=TH!$X$7,O5899=TH!$X$7),"x","")</f>
        <v/>
      </c>
      <c r="Y5899" s="79" t="str">
        <f>IF(AND(OR(N5899="131",O5899="131"),H5899='131-CT'!$H$9),"x","")</f>
        <v/>
      </c>
      <c r="Z5899" s="79"/>
      <c r="AA5899" s="79" t="str">
        <f>IF(AND(MONTH(E5899)='IN-NX'!$J$5,'IN-NX'!$D$7=D5899),"x","")</f>
        <v/>
      </c>
      <c r="AB5899" s="79" t="str">
        <f>IF(AND(OR(LEFT(TH!N5899,2)="15",LEFT(TH!O5899,2)="15"),LEFT(TH!O5899,3)&lt;&gt;"111",'152-CT'!$J$8=TH!F5899),"x","")</f>
        <v/>
      </c>
      <c r="AC5899" s="79" t="str">
        <f>IF(AND(OR(LEFT(TH!N5899,2)="15",LEFT(TH!O5899,2)="15"),TK!$E$7=TH!F5899),"x","")</f>
        <v/>
      </c>
      <c r="AD5899" s="79" t="str">
        <f>IF(AND(N5899="1521",MONTH(C5899)='BK-NL'!$M$11),"x","")</f>
        <v/>
      </c>
    </row>
    <row r="5900" spans="1:30" ht="16.5" customHeight="1">
      <c r="A5900" s="318" t="str">
        <f>IF(B5900&lt;&gt;"",IF(AND(B5900='IN-TC'!$S$4,OR(TH!N5900="1111",TH!O5900="1111")),TH!D5900,""),"")</f>
        <v/>
      </c>
      <c r="B5900" s="60" t="str">
        <f t="shared" si="513"/>
        <v/>
      </c>
      <c r="C5900" s="61"/>
      <c r="D5900" s="301"/>
      <c r="E5900" s="61"/>
      <c r="F5900" s="69"/>
      <c r="G5900" s="64"/>
      <c r="H5900" s="69"/>
      <c r="I5900" s="385"/>
      <c r="J5900" s="392"/>
      <c r="K5900" s="385"/>
      <c r="L5900" s="392"/>
      <c r="M5900" s="62"/>
      <c r="N5900" s="63"/>
      <c r="O5900" s="63"/>
      <c r="P5900" s="79" t="str">
        <f>IF(AND('331-CT'!$E$7=TH!H5900,OR(N5900="331",O5900="331")),"x","")</f>
        <v/>
      </c>
      <c r="Q5900" s="79" t="str">
        <f>IF(AND(B5900='111'!$L$11,OR($N5900=$Q$7,$O5900=$Q$7)),"x","")</f>
        <v/>
      </c>
      <c r="R5900" s="79" t="str">
        <f>IF(AND($N5900=$Q$7,$B5900&lt;'111'!$L$11),"x","")</f>
        <v/>
      </c>
      <c r="S5900" s="79" t="str">
        <f>IF(AND($O5900=$Q$7,$B5900&lt;'111'!$L$11),"x","")</f>
        <v/>
      </c>
      <c r="T5900" s="79" t="str">
        <f>IF(ISERROR(FIND('112'!$M$9,G5900,1)),"",IF((AND(FIND('112'!$M$9,G5900,1)&gt;=1,B5900='112'!$K$9,OR($N5900='112'!$I$6,$O5900='112'!$I$6))),"x",""))</f>
        <v/>
      </c>
      <c r="U5900" s="79" t="str">
        <f>IF(ISERROR(FIND('112'!$M$9,G5900,1)),"",IF((AND(LEFT(G5900,2)=LEFT('112'!$M$9,2),B5900&lt;'112'!$K$9,$N5900='112'!$I$6)),"x",""))</f>
        <v/>
      </c>
      <c r="V5900" s="79" t="str">
        <f>IF(ISERROR(FIND('112'!$M$9,G5900,1)),"",IF((AND(RIGHT(G5900,2)=RIGHT('112'!$M$9,2),B5900&lt;'112'!$K$9,$O5900='112'!$I$6)),"x",""))</f>
        <v/>
      </c>
      <c r="W5900" s="79" t="str">
        <f>IF(AND('341-CT'!$H$9=H5900,OR(LEFT(N5900,3)=$W$7,LEFT(O5900,3)=$W$7)),"x","")</f>
        <v/>
      </c>
      <c r="X5900" s="79" t="str">
        <f>IF(OR(TH!N5900=TH!$X$7,O5900=TH!$X$7),"x","")</f>
        <v/>
      </c>
      <c r="Y5900" s="79" t="str">
        <f>IF(AND(OR(N5900="131",O5900="131"),H5900='131-CT'!$H$9),"x","")</f>
        <v/>
      </c>
      <c r="Z5900" s="79"/>
      <c r="AA5900" s="79" t="str">
        <f>IF(AND(MONTH(E5900)='IN-NX'!$J$5,'IN-NX'!$D$7=D5900),"x","")</f>
        <v/>
      </c>
      <c r="AB5900" s="79" t="str">
        <f>IF(AND(OR(LEFT(TH!N5900,2)="15",LEFT(TH!O5900,2)="15"),LEFT(TH!O5900,3)&lt;&gt;"111",'152-CT'!$J$8=TH!F5900),"x","")</f>
        <v/>
      </c>
      <c r="AC5900" s="79" t="str">
        <f>IF(AND(OR(LEFT(TH!N5900,2)="15",LEFT(TH!O5900,2)="15"),TK!$E$7=TH!F5900),"x","")</f>
        <v/>
      </c>
      <c r="AD5900" s="79" t="str">
        <f>IF(AND(N5900="1521",MONTH(C5900)='BK-NL'!$M$11),"x","")</f>
        <v/>
      </c>
    </row>
    <row r="5901" spans="1:30" ht="16.5" customHeight="1">
      <c r="A5901" s="318" t="str">
        <f>IF(B5901&lt;&gt;"",IF(AND(B5901='IN-TC'!$S$4,OR(TH!N5901="1111",TH!O5901="1111")),TH!D5901,""),"")</f>
        <v/>
      </c>
      <c r="B5901" s="60" t="str">
        <f t="shared" si="513"/>
        <v/>
      </c>
      <c r="C5901" s="61"/>
      <c r="D5901" s="301"/>
      <c r="E5901" s="61"/>
      <c r="F5901" s="69"/>
      <c r="G5901" s="64"/>
      <c r="H5901" s="69"/>
      <c r="I5901" s="385"/>
      <c r="J5901" s="392"/>
      <c r="K5901" s="385"/>
      <c r="L5901" s="392"/>
      <c r="M5901" s="62"/>
      <c r="N5901" s="63"/>
      <c r="O5901" s="63"/>
      <c r="P5901" s="79" t="str">
        <f>IF(AND('331-CT'!$E$7=TH!H5901,OR(N5901="331",O5901="331")),"x","")</f>
        <v/>
      </c>
      <c r="Q5901" s="79" t="str">
        <f>IF(AND(B5901='111'!$L$11,OR($N5901=$Q$7,$O5901=$Q$7)),"x","")</f>
        <v/>
      </c>
      <c r="R5901" s="79" t="str">
        <f>IF(AND($N5901=$Q$7,$B5901&lt;'111'!$L$11),"x","")</f>
        <v/>
      </c>
      <c r="S5901" s="79" t="str">
        <f>IF(AND($O5901=$Q$7,$B5901&lt;'111'!$L$11),"x","")</f>
        <v/>
      </c>
      <c r="T5901" s="79" t="str">
        <f>IF(ISERROR(FIND('112'!$M$9,G5901,1)),"",IF((AND(FIND('112'!$M$9,G5901,1)&gt;=1,B5901='112'!$K$9,OR($N5901='112'!$I$6,$O5901='112'!$I$6))),"x",""))</f>
        <v/>
      </c>
      <c r="U5901" s="79" t="str">
        <f>IF(ISERROR(FIND('112'!$M$9,G5901,1)),"",IF((AND(LEFT(G5901,2)=LEFT('112'!$M$9,2),B5901&lt;'112'!$K$9,$N5901='112'!$I$6)),"x",""))</f>
        <v/>
      </c>
      <c r="V5901" s="79" t="str">
        <f>IF(ISERROR(FIND('112'!$M$9,G5901,1)),"",IF((AND(RIGHT(G5901,2)=RIGHT('112'!$M$9,2),B5901&lt;'112'!$K$9,$O5901='112'!$I$6)),"x",""))</f>
        <v/>
      </c>
      <c r="W5901" s="79" t="str">
        <f>IF(AND('341-CT'!$H$9=H5901,OR(LEFT(N5901,3)=$W$7,LEFT(O5901,3)=$W$7)),"x","")</f>
        <v/>
      </c>
      <c r="X5901" s="79" t="str">
        <f>IF(OR(TH!N5901=TH!$X$7,O5901=TH!$X$7),"x","")</f>
        <v/>
      </c>
      <c r="Y5901" s="79" t="str">
        <f>IF(AND(OR(N5901="131",O5901="131"),H5901='131-CT'!$H$9),"x","")</f>
        <v/>
      </c>
      <c r="Z5901" s="79"/>
      <c r="AA5901" s="79" t="str">
        <f>IF(AND(MONTH(E5901)='IN-NX'!$J$5,'IN-NX'!$D$7=D5901),"x","")</f>
        <v/>
      </c>
      <c r="AB5901" s="79" t="str">
        <f>IF(AND(OR(LEFT(TH!N5901,2)="15",LEFT(TH!O5901,2)="15"),LEFT(TH!O5901,3)&lt;&gt;"111",'152-CT'!$J$8=TH!F5901),"x","")</f>
        <v/>
      </c>
      <c r="AC5901" s="79" t="str">
        <f>IF(AND(OR(LEFT(TH!N5901,2)="15",LEFT(TH!O5901,2)="15"),TK!$E$7=TH!F5901),"x","")</f>
        <v/>
      </c>
      <c r="AD5901" s="79" t="str">
        <f>IF(AND(N5901="1521",MONTH(C5901)='BK-NL'!$M$11),"x","")</f>
        <v/>
      </c>
    </row>
    <row r="5902" spans="1:30" ht="16.5" customHeight="1">
      <c r="A5902" s="318" t="str">
        <f>IF(B5902&lt;&gt;"",IF(AND(B5902='IN-TC'!$S$4,OR(TH!N5902="1111",TH!O5902="1111")),TH!D5902,""),"")</f>
        <v/>
      </c>
      <c r="B5902" s="60" t="str">
        <f t="shared" si="513"/>
        <v/>
      </c>
      <c r="C5902" s="61"/>
      <c r="D5902" s="301"/>
      <c r="E5902" s="61"/>
      <c r="F5902" s="69"/>
      <c r="G5902" s="64"/>
      <c r="H5902" s="72"/>
      <c r="I5902" s="385"/>
      <c r="J5902" s="392"/>
      <c r="K5902" s="385"/>
      <c r="L5902" s="392"/>
      <c r="M5902" s="62"/>
      <c r="N5902" s="63"/>
      <c r="O5902" s="63"/>
      <c r="P5902" s="79" t="str">
        <f>IF(AND('331-CT'!$E$7=TH!H5902,OR(N5902="331",O5902="331")),"x","")</f>
        <v/>
      </c>
      <c r="Q5902" s="79" t="str">
        <f>IF(AND(B5902='111'!$L$11,OR($N5902=$Q$7,$O5902=$Q$7)),"x","")</f>
        <v/>
      </c>
      <c r="R5902" s="79" t="str">
        <f>IF(AND($N5902=$Q$7,$B5902&lt;'111'!$L$11),"x","")</f>
        <v/>
      </c>
      <c r="S5902" s="79" t="str">
        <f>IF(AND($O5902=$Q$7,$B5902&lt;'111'!$L$11),"x","")</f>
        <v/>
      </c>
      <c r="T5902" s="79" t="str">
        <f>IF(ISERROR(FIND('112'!$M$9,G5902,1)),"",IF((AND(FIND('112'!$M$9,G5902,1)&gt;=1,B5902='112'!$K$9,OR($N5902='112'!$I$6,$O5902='112'!$I$6))),"x",""))</f>
        <v/>
      </c>
      <c r="U5902" s="79" t="str">
        <f>IF(ISERROR(FIND('112'!$M$9,G5902,1)),"",IF((AND(LEFT(G5902,2)=LEFT('112'!$M$9,2),B5902&lt;'112'!$K$9,$N5902='112'!$I$6)),"x",""))</f>
        <v/>
      </c>
      <c r="V5902" s="79" t="str">
        <f>IF(ISERROR(FIND('112'!$M$9,G5902,1)),"",IF((AND(RIGHT(G5902,2)=RIGHT('112'!$M$9,2),B5902&lt;'112'!$K$9,$O5902='112'!$I$6)),"x",""))</f>
        <v/>
      </c>
      <c r="W5902" s="79" t="str">
        <f>IF(AND('341-CT'!$H$9=H5902,OR(LEFT(N5902,3)=$W$7,LEFT(O5902,3)=$W$7)),"x","")</f>
        <v/>
      </c>
      <c r="X5902" s="79" t="str">
        <f>IF(OR(TH!N5902=TH!$X$7,O5902=TH!$X$7),"x","")</f>
        <v/>
      </c>
      <c r="Y5902" s="79" t="str">
        <f>IF(AND(OR(N5902="131",O5902="131"),H5902='131-CT'!$H$9),"x","")</f>
        <v/>
      </c>
      <c r="Z5902" s="79"/>
      <c r="AA5902" s="79" t="str">
        <f>IF(AND(MONTH(E5902)='IN-NX'!$J$5,'IN-NX'!$D$7=D5902),"x","")</f>
        <v/>
      </c>
      <c r="AB5902" s="79" t="str">
        <f>IF(AND(OR(LEFT(TH!N5902,2)="15",LEFT(TH!O5902,2)="15"),LEFT(TH!O5902,3)&lt;&gt;"111",'152-CT'!$J$8=TH!F5902),"x","")</f>
        <v/>
      </c>
      <c r="AC5902" s="79" t="str">
        <f>IF(AND(OR(LEFT(TH!N5902,2)="15",LEFT(TH!O5902,2)="15"),TK!$E$7=TH!F5902),"x","")</f>
        <v/>
      </c>
      <c r="AD5902" s="79" t="str">
        <f>IF(AND(N5902="1521",MONTH(C5902)='BK-NL'!$M$11),"x","")</f>
        <v/>
      </c>
    </row>
    <row r="5903" spans="1:30" ht="16.5" customHeight="1">
      <c r="A5903" s="318" t="str">
        <f>IF(B5903&lt;&gt;"",IF(AND(B5903='IN-TC'!$S$4,OR(TH!N5903="1111",TH!O5903="1111")),TH!D5903,""),"")</f>
        <v/>
      </c>
      <c r="B5903" s="60" t="str">
        <f t="shared" si="513"/>
        <v/>
      </c>
      <c r="C5903" s="61"/>
      <c r="D5903" s="301"/>
      <c r="E5903" s="61"/>
      <c r="F5903" s="69"/>
      <c r="G5903" s="64"/>
      <c r="H5903" s="69"/>
      <c r="I5903" s="385"/>
      <c r="J5903" s="392"/>
      <c r="K5903" s="385"/>
      <c r="L5903" s="392"/>
      <c r="M5903" s="62"/>
      <c r="N5903" s="63"/>
      <c r="O5903" s="63"/>
      <c r="P5903" s="79" t="str">
        <f>IF(AND('331-CT'!$E$7=TH!H5903,OR(N5903="331",O5903="331")),"x","")</f>
        <v/>
      </c>
      <c r="Q5903" s="79" t="str">
        <f>IF(AND(B5903='111'!$L$11,OR($N5903=$Q$7,$O5903=$Q$7)),"x","")</f>
        <v/>
      </c>
      <c r="R5903" s="79" t="str">
        <f>IF(AND($N5903=$Q$7,$B5903&lt;'111'!$L$11),"x","")</f>
        <v/>
      </c>
      <c r="S5903" s="79" t="str">
        <f>IF(AND($O5903=$Q$7,$B5903&lt;'111'!$L$11),"x","")</f>
        <v/>
      </c>
      <c r="T5903" s="79" t="str">
        <f>IF(ISERROR(FIND('112'!$M$9,G5903,1)),"",IF((AND(FIND('112'!$M$9,G5903,1)&gt;=1,B5903='112'!$K$9,OR($N5903='112'!$I$6,$O5903='112'!$I$6))),"x",""))</f>
        <v/>
      </c>
      <c r="U5903" s="79" t="str">
        <f>IF(ISERROR(FIND('112'!$M$9,G5903,1)),"",IF((AND(LEFT(G5903,2)=LEFT('112'!$M$9,2),B5903&lt;'112'!$K$9,$N5903='112'!$I$6)),"x",""))</f>
        <v/>
      </c>
      <c r="V5903" s="79" t="str">
        <f>IF(ISERROR(FIND('112'!$M$9,G5903,1)),"",IF((AND(RIGHT(G5903,2)=RIGHT('112'!$M$9,2),B5903&lt;'112'!$K$9,$O5903='112'!$I$6)),"x",""))</f>
        <v/>
      </c>
      <c r="W5903" s="79" t="str">
        <f>IF(AND('341-CT'!$H$9=H5903,OR(LEFT(N5903,3)=$W$7,LEFT(O5903,3)=$W$7)),"x","")</f>
        <v/>
      </c>
      <c r="X5903" s="79" t="str">
        <f>IF(OR(TH!N5903=TH!$X$7,O5903=TH!$X$7),"x","")</f>
        <v/>
      </c>
      <c r="Y5903" s="79" t="str">
        <f>IF(AND(OR(N5903="131",O5903="131"),H5903='131-CT'!$H$9),"x","")</f>
        <v/>
      </c>
      <c r="Z5903" s="79"/>
      <c r="AA5903" s="79" t="str">
        <f>IF(AND(MONTH(E5903)='IN-NX'!$J$5,'IN-NX'!$D$7=D5903),"x","")</f>
        <v/>
      </c>
      <c r="AB5903" s="79" t="str">
        <f>IF(AND(OR(LEFT(TH!N5903,2)="15",LEFT(TH!O5903,2)="15"),LEFT(TH!O5903,3)&lt;&gt;"111",'152-CT'!$J$8=TH!F5903),"x","")</f>
        <v/>
      </c>
      <c r="AC5903" s="79" t="str">
        <f>IF(AND(OR(LEFT(TH!N5903,2)="15",LEFT(TH!O5903,2)="15"),TK!$E$7=TH!F5903),"x","")</f>
        <v/>
      </c>
      <c r="AD5903" s="79" t="str">
        <f>IF(AND(N5903="1521",MONTH(C5903)='BK-NL'!$M$11),"x","")</f>
        <v/>
      </c>
    </row>
    <row r="5904" spans="1:30" ht="16.5" customHeight="1">
      <c r="A5904" s="318" t="str">
        <f>IF(B5904&lt;&gt;"",IF(AND(B5904='IN-TC'!$S$4,OR(TH!N5904="1111",TH!O5904="1111")),TH!D5904,""),"")</f>
        <v/>
      </c>
      <c r="B5904" s="60" t="str">
        <f t="shared" si="513"/>
        <v/>
      </c>
      <c r="C5904" s="61"/>
      <c r="D5904" s="301"/>
      <c r="E5904" s="61"/>
      <c r="F5904" s="69"/>
      <c r="G5904" s="64"/>
      <c r="H5904" s="69"/>
      <c r="I5904" s="385"/>
      <c r="J5904" s="392"/>
      <c r="K5904" s="385"/>
      <c r="L5904" s="392"/>
      <c r="M5904" s="62"/>
      <c r="N5904" s="63"/>
      <c r="O5904" s="63"/>
      <c r="P5904" s="79" t="str">
        <f>IF(AND('331-CT'!$E$7=TH!H5904,OR(N5904="331",O5904="331")),"x","")</f>
        <v/>
      </c>
      <c r="Q5904" s="79" t="str">
        <f>IF(AND(B5904='111'!$L$11,OR($N5904=$Q$7,$O5904=$Q$7)),"x","")</f>
        <v/>
      </c>
      <c r="R5904" s="79" t="str">
        <f>IF(AND($N5904=$Q$7,$B5904&lt;'111'!$L$11),"x","")</f>
        <v/>
      </c>
      <c r="S5904" s="79" t="str">
        <f>IF(AND($O5904=$Q$7,$B5904&lt;'111'!$L$11),"x","")</f>
        <v/>
      </c>
      <c r="T5904" s="79" t="str">
        <f>IF(ISERROR(FIND('112'!$M$9,G5904,1)),"",IF((AND(FIND('112'!$M$9,G5904,1)&gt;=1,B5904='112'!$K$9,OR($N5904='112'!$I$6,$O5904='112'!$I$6))),"x",""))</f>
        <v/>
      </c>
      <c r="U5904" s="79" t="str">
        <f>IF(ISERROR(FIND('112'!$M$9,G5904,1)),"",IF((AND(LEFT(G5904,2)=LEFT('112'!$M$9,2),B5904&lt;'112'!$K$9,$N5904='112'!$I$6)),"x",""))</f>
        <v/>
      </c>
      <c r="V5904" s="79" t="str">
        <f>IF(ISERROR(FIND('112'!$M$9,G5904,1)),"",IF((AND(RIGHT(G5904,2)=RIGHT('112'!$M$9,2),B5904&lt;'112'!$K$9,$O5904='112'!$I$6)),"x",""))</f>
        <v/>
      </c>
      <c r="W5904" s="79" t="str">
        <f>IF(AND('341-CT'!$H$9=H5904,OR(LEFT(N5904,3)=$W$7,LEFT(O5904,3)=$W$7)),"x","")</f>
        <v/>
      </c>
      <c r="X5904" s="79" t="str">
        <f>IF(OR(TH!N5904=TH!$X$7,O5904=TH!$X$7),"x","")</f>
        <v/>
      </c>
      <c r="Y5904" s="79" t="str">
        <f>IF(AND(OR(N5904="131",O5904="131"),H5904='131-CT'!$H$9),"x","")</f>
        <v/>
      </c>
      <c r="Z5904" s="79"/>
      <c r="AA5904" s="79" t="str">
        <f>IF(AND(MONTH(E5904)='IN-NX'!$J$5,'IN-NX'!$D$7=D5904),"x","")</f>
        <v/>
      </c>
      <c r="AB5904" s="79" t="str">
        <f>IF(AND(OR(LEFT(TH!N5904,2)="15",LEFT(TH!O5904,2)="15"),LEFT(TH!O5904,3)&lt;&gt;"111",'152-CT'!$J$8=TH!F5904),"x","")</f>
        <v/>
      </c>
      <c r="AC5904" s="79" t="str">
        <f>IF(AND(OR(LEFT(TH!N5904,2)="15",LEFT(TH!O5904,2)="15"),TK!$E$7=TH!F5904),"x","")</f>
        <v/>
      </c>
      <c r="AD5904" s="79" t="str">
        <f>IF(AND(N5904="1521",MONTH(C5904)='BK-NL'!$M$11),"x","")</f>
        <v/>
      </c>
    </row>
    <row r="5905" spans="1:30" ht="16.5" customHeight="1">
      <c r="A5905" s="318" t="str">
        <f>IF(B5905&lt;&gt;"",IF(AND(B5905='IN-TC'!$S$4,OR(TH!N5905="1111",TH!O5905="1111")),TH!D5905,""),"")</f>
        <v/>
      </c>
      <c r="B5905" s="60" t="str">
        <f t="shared" si="513"/>
        <v/>
      </c>
      <c r="C5905" s="61"/>
      <c r="D5905" s="301"/>
      <c r="E5905" s="61"/>
      <c r="F5905" s="69"/>
      <c r="G5905" s="64"/>
      <c r="H5905" s="321"/>
      <c r="I5905" s="385"/>
      <c r="J5905" s="392"/>
      <c r="K5905" s="385"/>
      <c r="L5905" s="392"/>
      <c r="M5905" s="62"/>
      <c r="N5905" s="63"/>
      <c r="O5905" s="63"/>
      <c r="P5905" s="79" t="str">
        <f>IF(AND('331-CT'!$E$7=TH!H5905,OR(N5905="331",O5905="331")),"x","")</f>
        <v/>
      </c>
      <c r="Q5905" s="79" t="str">
        <f>IF(AND(B5905='111'!$L$11,OR($N5905=$Q$7,$O5905=$Q$7)),"x","")</f>
        <v/>
      </c>
      <c r="R5905" s="79" t="str">
        <f>IF(AND($N5905=$Q$7,$B5905&lt;'111'!$L$11),"x","")</f>
        <v/>
      </c>
      <c r="S5905" s="79" t="str">
        <f>IF(AND($O5905=$Q$7,$B5905&lt;'111'!$L$11),"x","")</f>
        <v/>
      </c>
      <c r="T5905" s="79" t="str">
        <f>IF(ISERROR(FIND('112'!$M$9,G5905,1)),"",IF((AND(FIND('112'!$M$9,G5905,1)&gt;=1,B5905='112'!$K$9,OR($N5905='112'!$I$6,$O5905='112'!$I$6))),"x",""))</f>
        <v/>
      </c>
      <c r="U5905" s="79" t="str">
        <f>IF(ISERROR(FIND('112'!$M$9,G5905,1)),"",IF((AND(LEFT(G5905,2)=LEFT('112'!$M$9,2),B5905&lt;'112'!$K$9,$N5905='112'!$I$6)),"x",""))</f>
        <v/>
      </c>
      <c r="V5905" s="79" t="str">
        <f>IF(ISERROR(FIND('112'!$M$9,G5905,1)),"",IF((AND(RIGHT(G5905,2)=RIGHT('112'!$M$9,2),B5905&lt;'112'!$K$9,$O5905='112'!$I$6)),"x",""))</f>
        <v/>
      </c>
      <c r="W5905" s="79" t="str">
        <f>IF(AND('341-CT'!$H$9=H5905,OR(LEFT(N5905,3)=$W$7,LEFT(O5905,3)=$W$7)),"x","")</f>
        <v/>
      </c>
      <c r="X5905" s="79" t="str">
        <f>IF(OR(TH!N5905=TH!$X$7,O5905=TH!$X$7),"x","")</f>
        <v/>
      </c>
      <c r="Y5905" s="79" t="str">
        <f>IF(AND(OR(N5905="131",O5905="131"),H5905='131-CT'!$H$9),"x","")</f>
        <v/>
      </c>
      <c r="Z5905" s="79"/>
      <c r="AA5905" s="79" t="str">
        <f>IF(AND(MONTH(E5905)='IN-NX'!$J$5,'IN-NX'!$D$7=D5905),"x","")</f>
        <v/>
      </c>
      <c r="AB5905" s="79" t="str">
        <f>IF(AND(OR(LEFT(TH!N5905,2)="15",LEFT(TH!O5905,2)="15"),LEFT(TH!O5905,3)&lt;&gt;"111",'152-CT'!$J$8=TH!F5905),"x","")</f>
        <v/>
      </c>
      <c r="AC5905" s="79" t="str">
        <f>IF(AND(OR(LEFT(TH!N5905,2)="15",LEFT(TH!O5905,2)="15"),TK!$E$7=TH!F5905),"x","")</f>
        <v/>
      </c>
      <c r="AD5905" s="79" t="str">
        <f>IF(AND(N5905="1521",MONTH(C5905)='BK-NL'!$M$11),"x","")</f>
        <v/>
      </c>
    </row>
    <row r="5906" spans="1:30" ht="16.5" customHeight="1">
      <c r="A5906" s="318" t="str">
        <f>IF(B5906&lt;&gt;"",IF(AND(B5906='IN-TC'!$S$4,OR(TH!N5906="1111",TH!O5906="1111")),TH!D5906,""),"")</f>
        <v/>
      </c>
      <c r="B5906" s="60" t="str">
        <f t="shared" si="513"/>
        <v/>
      </c>
      <c r="C5906" s="61"/>
      <c r="D5906" s="301"/>
      <c r="E5906" s="61"/>
      <c r="F5906" s="69"/>
      <c r="G5906" s="64"/>
      <c r="H5906" s="69"/>
      <c r="I5906" s="385"/>
      <c r="J5906" s="392"/>
      <c r="K5906" s="385"/>
      <c r="L5906" s="392"/>
      <c r="M5906" s="62"/>
      <c r="N5906" s="63"/>
      <c r="O5906" s="63"/>
      <c r="P5906" s="79" t="str">
        <f>IF(AND('331-CT'!$E$7=TH!H5906,OR(N5906="331",O5906="331")),"x","")</f>
        <v/>
      </c>
      <c r="Q5906" s="79" t="str">
        <f>IF(AND(B5906='111'!$L$11,OR($N5906=$Q$7,$O5906=$Q$7)),"x","")</f>
        <v/>
      </c>
      <c r="R5906" s="79" t="str">
        <f>IF(AND($N5906=$Q$7,$B5906&lt;'111'!$L$11),"x","")</f>
        <v/>
      </c>
      <c r="S5906" s="79" t="str">
        <f>IF(AND($O5906=$Q$7,$B5906&lt;'111'!$L$11),"x","")</f>
        <v/>
      </c>
      <c r="T5906" s="79" t="str">
        <f>IF(ISERROR(FIND('112'!$M$9,G5906,1)),"",IF((AND(FIND('112'!$M$9,G5906,1)&gt;=1,B5906='112'!$K$9,OR($N5906='112'!$I$6,$O5906='112'!$I$6))),"x",""))</f>
        <v/>
      </c>
      <c r="U5906" s="79" t="str">
        <f>IF(ISERROR(FIND('112'!$M$9,G5906,1)),"",IF((AND(LEFT(G5906,2)=LEFT('112'!$M$9,2),B5906&lt;'112'!$K$9,$N5906='112'!$I$6)),"x",""))</f>
        <v/>
      </c>
      <c r="V5906" s="79" t="str">
        <f>IF(ISERROR(FIND('112'!$M$9,G5906,1)),"",IF((AND(RIGHT(G5906,2)=RIGHT('112'!$M$9,2),B5906&lt;'112'!$K$9,$O5906='112'!$I$6)),"x",""))</f>
        <v/>
      </c>
      <c r="W5906" s="79" t="str">
        <f>IF(AND('341-CT'!$H$9=H5906,OR(LEFT(N5906,3)=$W$7,LEFT(O5906,3)=$W$7)),"x","")</f>
        <v/>
      </c>
      <c r="X5906" s="79" t="str">
        <f>IF(OR(TH!N5906=TH!$X$7,O5906=TH!$X$7),"x","")</f>
        <v/>
      </c>
      <c r="Y5906" s="79" t="str">
        <f>IF(AND(OR(N5906="131",O5906="131"),H5906='131-CT'!$H$9),"x","")</f>
        <v/>
      </c>
      <c r="Z5906" s="79"/>
      <c r="AA5906" s="79" t="str">
        <f>IF(AND(MONTH(E5906)='IN-NX'!$J$5,'IN-NX'!$D$7=D5906),"x","")</f>
        <v/>
      </c>
      <c r="AB5906" s="79" t="str">
        <f>IF(AND(OR(LEFT(TH!N5906,2)="15",LEFT(TH!O5906,2)="15"),LEFT(TH!O5906,3)&lt;&gt;"111",'152-CT'!$J$8=TH!F5906),"x","")</f>
        <v/>
      </c>
      <c r="AC5906" s="79" t="str">
        <f>IF(AND(OR(LEFT(TH!N5906,2)="15",LEFT(TH!O5906,2)="15"),TK!$E$7=TH!F5906),"x","")</f>
        <v/>
      </c>
      <c r="AD5906" s="79" t="str">
        <f>IF(AND(N5906="1521",MONTH(C5906)='BK-NL'!$M$11),"x","")</f>
        <v/>
      </c>
    </row>
    <row r="5907" spans="1:30" ht="16.5" customHeight="1">
      <c r="A5907" s="318" t="str">
        <f>IF(B5907&lt;&gt;"",IF(AND(B5907='IN-TC'!$S$4,OR(TH!N5907="1111",TH!O5907="1111")),TH!D5907,""),"")</f>
        <v/>
      </c>
      <c r="B5907" s="60" t="str">
        <f t="shared" si="513"/>
        <v/>
      </c>
      <c r="C5907" s="61"/>
      <c r="D5907" s="301"/>
      <c r="E5907" s="61"/>
      <c r="F5907" s="69"/>
      <c r="G5907" s="64"/>
      <c r="H5907" s="69"/>
      <c r="I5907" s="385"/>
      <c r="J5907" s="392"/>
      <c r="K5907" s="385"/>
      <c r="L5907" s="392"/>
      <c r="M5907" s="62"/>
      <c r="N5907" s="63"/>
      <c r="O5907" s="63"/>
      <c r="P5907" s="79" t="str">
        <f>IF(AND('331-CT'!$E$7=TH!H5907,OR(N5907="331",O5907="331")),"x","")</f>
        <v/>
      </c>
      <c r="Q5907" s="79" t="str">
        <f>IF(AND(B5907='111'!$L$11,OR($N5907=$Q$7,$O5907=$Q$7)),"x","")</f>
        <v/>
      </c>
      <c r="R5907" s="79" t="str">
        <f>IF(AND($N5907=$Q$7,$B5907&lt;'111'!$L$11),"x","")</f>
        <v/>
      </c>
      <c r="S5907" s="79" t="str">
        <f>IF(AND($O5907=$Q$7,$B5907&lt;'111'!$L$11),"x","")</f>
        <v/>
      </c>
      <c r="T5907" s="79" t="str">
        <f>IF(ISERROR(FIND('112'!$M$9,G5907,1)),"",IF((AND(FIND('112'!$M$9,G5907,1)&gt;=1,B5907='112'!$K$9,OR($N5907='112'!$I$6,$O5907='112'!$I$6))),"x",""))</f>
        <v/>
      </c>
      <c r="U5907" s="79" t="str">
        <f>IF(ISERROR(FIND('112'!$M$9,G5907,1)),"",IF((AND(LEFT(G5907,2)=LEFT('112'!$M$9,2),B5907&lt;'112'!$K$9,$N5907='112'!$I$6)),"x",""))</f>
        <v/>
      </c>
      <c r="V5907" s="79" t="str">
        <f>IF(ISERROR(FIND('112'!$M$9,G5907,1)),"",IF((AND(RIGHT(G5907,2)=RIGHT('112'!$M$9,2),B5907&lt;'112'!$K$9,$O5907='112'!$I$6)),"x",""))</f>
        <v/>
      </c>
      <c r="W5907" s="79" t="str">
        <f>IF(AND('341-CT'!$H$9=H5907,OR(LEFT(N5907,3)=$W$7,LEFT(O5907,3)=$W$7)),"x","")</f>
        <v/>
      </c>
      <c r="X5907" s="79" t="str">
        <f>IF(OR(TH!N5907=TH!$X$7,O5907=TH!$X$7),"x","")</f>
        <v/>
      </c>
      <c r="Y5907" s="79" t="str">
        <f>IF(AND(OR(N5907="131",O5907="131"),H5907='131-CT'!$H$9),"x","")</f>
        <v/>
      </c>
      <c r="Z5907" s="79"/>
      <c r="AA5907" s="79" t="str">
        <f>IF(AND(MONTH(E5907)='IN-NX'!$J$5,'IN-NX'!$D$7=D5907),"x","")</f>
        <v/>
      </c>
      <c r="AB5907" s="79" t="str">
        <f>IF(AND(OR(LEFT(TH!N5907,2)="15",LEFT(TH!O5907,2)="15"),LEFT(TH!O5907,3)&lt;&gt;"111",'152-CT'!$J$8=TH!F5907),"x","")</f>
        <v/>
      </c>
      <c r="AC5907" s="79" t="str">
        <f>IF(AND(OR(LEFT(TH!N5907,2)="15",LEFT(TH!O5907,2)="15"),TK!$E$7=TH!F5907),"x","")</f>
        <v/>
      </c>
      <c r="AD5907" s="79" t="str">
        <f>IF(AND(N5907="1521",MONTH(C5907)='BK-NL'!$M$11),"x","")</f>
        <v/>
      </c>
    </row>
    <row r="5908" spans="1:30" ht="16.5" customHeight="1">
      <c r="A5908" s="318" t="str">
        <f>IF(B5908&lt;&gt;"",IF(AND(B5908='IN-TC'!$S$4,OR(TH!N5908="1111",TH!O5908="1111")),TH!D5908,""),"")</f>
        <v/>
      </c>
      <c r="B5908" s="60" t="str">
        <f t="shared" si="513"/>
        <v/>
      </c>
      <c r="C5908" s="301"/>
      <c r="D5908" s="301"/>
      <c r="E5908" s="301"/>
      <c r="F5908" s="69"/>
      <c r="G5908" s="766"/>
      <c r="H5908" s="69"/>
      <c r="I5908" s="385"/>
      <c r="J5908" s="392"/>
      <c r="K5908" s="385"/>
      <c r="L5908" s="392"/>
      <c r="M5908" s="62"/>
      <c r="N5908" s="63"/>
      <c r="O5908" s="63"/>
      <c r="P5908" s="79" t="str">
        <f>IF(AND('331-CT'!$E$7=TH!H5908,OR(N5908="331",O5908="331")),"x","")</f>
        <v/>
      </c>
      <c r="Q5908" s="79" t="str">
        <f>IF(AND(B5908='111'!$L$11,OR($N5908=$Q$7,$O5908=$Q$7)),"x","")</f>
        <v/>
      </c>
      <c r="R5908" s="79" t="str">
        <f>IF(AND($N5908=$Q$7,$B5908&lt;'111'!$L$11),"x","")</f>
        <v/>
      </c>
      <c r="S5908" s="79" t="str">
        <f>IF(AND($O5908=$Q$7,$B5908&lt;'111'!$L$11),"x","")</f>
        <v/>
      </c>
      <c r="T5908" s="79" t="str">
        <f>IF(ISERROR(FIND('112'!$M$9,G5908,1)),"",IF((AND(FIND('112'!$M$9,G5908,1)&gt;=1,B5908='112'!$K$9,OR($N5908='112'!$I$6,$O5908='112'!$I$6))),"x",""))</f>
        <v/>
      </c>
      <c r="U5908" s="79" t="str">
        <f>IF(ISERROR(FIND('112'!$M$9,G5908,1)),"",IF((AND(LEFT(G5908,2)=LEFT('112'!$M$9,2),B5908&lt;'112'!$K$9,$N5908='112'!$I$6)),"x",""))</f>
        <v/>
      </c>
      <c r="V5908" s="79" t="str">
        <f>IF(ISERROR(FIND('112'!$M$9,G5908,1)),"",IF((AND(RIGHT(G5908,2)=RIGHT('112'!$M$9,2),B5908&lt;'112'!$K$9,$O5908='112'!$I$6)),"x",""))</f>
        <v/>
      </c>
      <c r="W5908" s="79" t="str">
        <f>IF(AND('341-CT'!$H$9=H5908,OR(LEFT(N5908,3)=$W$7,LEFT(O5908,3)=$W$7)),"x","")</f>
        <v/>
      </c>
      <c r="X5908" s="79" t="str">
        <f>IF(OR(TH!N5908=TH!$X$7,O5908=TH!$X$7),"x","")</f>
        <v/>
      </c>
      <c r="Y5908" s="79" t="str">
        <f>IF(AND(OR(N5908="131",O5908="131"),H5908='131-CT'!$H$9),"x","")</f>
        <v/>
      </c>
      <c r="Z5908" s="79"/>
      <c r="AA5908" s="79" t="str">
        <f>IF(AND(MONTH(E5908)='IN-NX'!$J$5,'IN-NX'!$D$7=D5908),"x","")</f>
        <v/>
      </c>
      <c r="AB5908" s="79" t="str">
        <f>IF(AND(OR(LEFT(TH!N5908,2)="15",LEFT(TH!O5908,2)="15"),LEFT(TH!O5908,3)&lt;&gt;"111",'152-CT'!$J$8=TH!F5908),"x","")</f>
        <v/>
      </c>
      <c r="AC5908" s="79" t="str">
        <f>IF(AND(OR(LEFT(TH!N5908,2)="15",LEFT(TH!O5908,2)="15"),TK!$E$7=TH!F5908),"x","")</f>
        <v/>
      </c>
      <c r="AD5908" s="79" t="str">
        <f>IF(AND(N5908="1521",MONTH(C5908)='BK-NL'!$M$11),"x","")</f>
        <v/>
      </c>
    </row>
    <row r="5909" spans="1:30" ht="16.5" customHeight="1">
      <c r="A5909" s="318" t="str">
        <f>IF(B5909&lt;&gt;"",IF(AND(B5909='IN-TC'!$S$4,OR(TH!N5909="1111",TH!O5909="1111")),TH!D5909,""),"")</f>
        <v/>
      </c>
      <c r="B5909" s="60" t="str">
        <f t="shared" si="513"/>
        <v/>
      </c>
      <c r="C5909" s="301"/>
      <c r="D5909" s="301"/>
      <c r="E5909" s="301"/>
      <c r="F5909" s="69"/>
      <c r="G5909" s="769"/>
      <c r="H5909" s="321"/>
      <c r="I5909" s="385"/>
      <c r="J5909" s="392"/>
      <c r="K5909" s="385"/>
      <c r="L5909" s="392"/>
      <c r="M5909" s="62"/>
      <c r="N5909" s="304"/>
      <c r="O5909" s="63"/>
      <c r="P5909" s="79" t="str">
        <f>IF(AND('331-CT'!$E$7=TH!H5909,OR(N5909="331",O5909="331")),"x","")</f>
        <v/>
      </c>
      <c r="Q5909" s="79" t="str">
        <f>IF(AND(B5909='111'!$L$11,OR($N5909=$Q$7,$O5909=$Q$7)),"x","")</f>
        <v/>
      </c>
      <c r="R5909" s="79" t="str">
        <f>IF(AND($N5909=$Q$7,$B5909&lt;'111'!$L$11),"x","")</f>
        <v/>
      </c>
      <c r="S5909" s="79" t="str">
        <f>IF(AND($O5909=$Q$7,$B5909&lt;'111'!$L$11),"x","")</f>
        <v/>
      </c>
      <c r="T5909" s="79" t="str">
        <f>IF(ISERROR(FIND('112'!$M$9,G5909,1)),"",IF((AND(FIND('112'!$M$9,G5909,1)&gt;=1,B5909='112'!$K$9,OR($N5909='112'!$I$6,$O5909='112'!$I$6))),"x",""))</f>
        <v/>
      </c>
      <c r="U5909" s="79" t="str">
        <f>IF(ISERROR(FIND('112'!$M$9,G5909,1)),"",IF((AND(LEFT(G5909,2)=LEFT('112'!$M$9,2),B5909&lt;'112'!$K$9,$N5909='112'!$I$6)),"x",""))</f>
        <v/>
      </c>
      <c r="V5909" s="79" t="str">
        <f>IF(ISERROR(FIND('112'!$M$9,G5909,1)),"",IF((AND(RIGHT(G5909,2)=RIGHT('112'!$M$9,2),B5909&lt;'112'!$K$9,$O5909='112'!$I$6)),"x",""))</f>
        <v/>
      </c>
      <c r="W5909" s="79" t="str">
        <f>IF(AND('341-CT'!$H$9=H5909,OR(LEFT(N5909,3)=$W$7,LEFT(O5909,3)=$W$7)),"x","")</f>
        <v/>
      </c>
      <c r="X5909" s="79" t="str">
        <f>IF(OR(TH!N5909=TH!$X$7,O5909=TH!$X$7),"x","")</f>
        <v/>
      </c>
      <c r="Y5909" s="79" t="str">
        <f>IF(AND(OR(N5909="131",O5909="131"),H5909='131-CT'!$H$9),"x","")</f>
        <v/>
      </c>
      <c r="Z5909" s="79"/>
      <c r="AA5909" s="79" t="str">
        <f>IF(AND(MONTH(E5909)='IN-NX'!$J$5,'IN-NX'!$D$7=D5909),"x","")</f>
        <v/>
      </c>
      <c r="AB5909" s="79" t="str">
        <f>IF(AND(OR(LEFT(TH!N5909,2)="15",LEFT(TH!O5909,2)="15"),LEFT(TH!O5909,3)&lt;&gt;"111",'152-CT'!$J$8=TH!F5909),"x","")</f>
        <v/>
      </c>
      <c r="AC5909" s="79" t="str">
        <f>IF(AND(OR(LEFT(TH!N5909,2)="15",LEFT(TH!O5909,2)="15"),TK!$E$7=TH!F5909),"x","")</f>
        <v/>
      </c>
      <c r="AD5909" s="79" t="str">
        <f>IF(AND(N5909="1521",MONTH(C5909)='BK-NL'!$M$11),"x","")</f>
        <v/>
      </c>
    </row>
    <row r="5910" spans="1:30" ht="16.5" customHeight="1">
      <c r="A5910" s="318" t="str">
        <f>IF(B5910&lt;&gt;"",IF(AND(B5910='IN-TC'!$S$4,OR(TH!N5910="1111",TH!O5910="1111")),TH!D5910,""),"")</f>
        <v/>
      </c>
      <c r="B5910" s="60" t="str">
        <f t="shared" si="513"/>
        <v/>
      </c>
      <c r="C5910" s="61"/>
      <c r="D5910" s="301"/>
      <c r="E5910" s="61"/>
      <c r="F5910" s="69"/>
      <c r="G5910" s="769"/>
      <c r="H5910" s="69"/>
      <c r="I5910" s="385"/>
      <c r="J5910" s="392"/>
      <c r="K5910" s="385"/>
      <c r="L5910" s="392"/>
      <c r="M5910" s="62"/>
      <c r="N5910" s="63"/>
      <c r="O5910" s="63"/>
      <c r="P5910" s="79" t="str">
        <f>IF(AND('331-CT'!$E$7=TH!H5910,OR(N5910="331",O5910="331")),"x","")</f>
        <v/>
      </c>
      <c r="Q5910" s="79" t="str">
        <f>IF(AND(B5910='111'!$L$11,OR($N5910=$Q$7,$O5910=$Q$7)),"x","")</f>
        <v/>
      </c>
      <c r="R5910" s="79" t="str">
        <f>IF(AND($N5910=$Q$7,$B5910&lt;'111'!$L$11),"x","")</f>
        <v/>
      </c>
      <c r="S5910" s="79" t="str">
        <f>IF(AND($O5910=$Q$7,$B5910&lt;'111'!$L$11),"x","")</f>
        <v/>
      </c>
      <c r="T5910" s="79" t="str">
        <f>IF(ISERROR(FIND('112'!$M$9,G5910,1)),"",IF((AND(FIND('112'!$M$9,G5910,1)&gt;=1,B5910='112'!$K$9,OR($N5910='112'!$I$6,$O5910='112'!$I$6))),"x",""))</f>
        <v/>
      </c>
      <c r="U5910" s="79" t="str">
        <f>IF(ISERROR(FIND('112'!$M$9,G5910,1)),"",IF((AND(LEFT(G5910,2)=LEFT('112'!$M$9,2),B5910&lt;'112'!$K$9,$N5910='112'!$I$6)),"x",""))</f>
        <v/>
      </c>
      <c r="V5910" s="79" t="str">
        <f>IF(ISERROR(FIND('112'!$M$9,G5910,1)),"",IF((AND(RIGHT(G5910,2)=RIGHT('112'!$M$9,2),B5910&lt;'112'!$K$9,$O5910='112'!$I$6)),"x",""))</f>
        <v/>
      </c>
      <c r="W5910" s="79" t="str">
        <f>IF(AND('341-CT'!$H$9=H5910,OR(LEFT(N5910,3)=$W$7,LEFT(O5910,3)=$W$7)),"x","")</f>
        <v/>
      </c>
      <c r="X5910" s="79" t="str">
        <f>IF(OR(TH!N5910=TH!$X$7,O5910=TH!$X$7),"x","")</f>
        <v/>
      </c>
      <c r="Y5910" s="79" t="str">
        <f>IF(AND(OR(N5910="131",O5910="131"),H5910='131-CT'!$H$9),"x","")</f>
        <v/>
      </c>
      <c r="Z5910" s="79"/>
      <c r="AA5910" s="79" t="str">
        <f>IF(AND(MONTH(E5910)='IN-NX'!$J$5,'IN-NX'!$D$7=D5910),"x","")</f>
        <v/>
      </c>
      <c r="AB5910" s="79" t="str">
        <f>IF(AND(OR(LEFT(TH!N5910,2)="15",LEFT(TH!O5910,2)="15"),LEFT(TH!O5910,3)&lt;&gt;"111",'152-CT'!$J$8=TH!F5910),"x","")</f>
        <v/>
      </c>
      <c r="AC5910" s="79" t="str">
        <f>IF(AND(OR(LEFT(TH!N5910,2)="15",LEFT(TH!O5910,2)="15"),TK!$E$7=TH!F5910),"x","")</f>
        <v/>
      </c>
      <c r="AD5910" s="79" t="str">
        <f>IF(AND(N5910="1521",MONTH(C5910)='BK-NL'!$M$11),"x","")</f>
        <v/>
      </c>
    </row>
    <row r="5911" spans="1:30" ht="16.5" customHeight="1">
      <c r="A5911" s="318" t="str">
        <f>IF(B5911&lt;&gt;"",IF(AND(B5911='IN-TC'!$S$4,OR(TH!N5911="1111",TH!O5911="1111")),TH!D5911,""),"")</f>
        <v/>
      </c>
      <c r="B5911" s="60" t="str">
        <f t="shared" si="513"/>
        <v/>
      </c>
      <c r="C5911" s="61"/>
      <c r="D5911" s="61"/>
      <c r="E5911" s="61"/>
      <c r="F5911" s="446"/>
      <c r="G5911" s="64"/>
      <c r="H5911" s="69"/>
      <c r="I5911" s="385"/>
      <c r="J5911" s="392"/>
      <c r="K5911" s="385"/>
      <c r="L5911" s="392"/>
      <c r="M5911" s="62"/>
      <c r="N5911" s="63"/>
      <c r="O5911" s="63"/>
      <c r="P5911" s="79" t="str">
        <f>IF(AND('331-CT'!$E$7=TH!H5911,OR(N5911="331",O5911="331")),"x","")</f>
        <v/>
      </c>
      <c r="Q5911" s="79" t="str">
        <f>IF(AND(B5911='111'!$L$11,OR($N5911=$Q$7,$O5911=$Q$7)),"x","")</f>
        <v/>
      </c>
      <c r="R5911" s="79" t="str">
        <f>IF(AND($N5911=$Q$7,$B5911&lt;'111'!$L$11),"x","")</f>
        <v/>
      </c>
      <c r="S5911" s="79" t="str">
        <f>IF(AND($O5911=$Q$7,$B5911&lt;'111'!$L$11),"x","")</f>
        <v/>
      </c>
      <c r="T5911" s="79" t="str">
        <f>IF(ISERROR(FIND('112'!$M$9,G5911,1)),"",IF((AND(FIND('112'!$M$9,G5911,1)&gt;=1,B5911='112'!$K$9,OR($N5911='112'!$I$6,$O5911='112'!$I$6))),"x",""))</f>
        <v/>
      </c>
      <c r="U5911" s="79" t="str">
        <f>IF(ISERROR(FIND('112'!$M$9,G5911,1)),"",IF((AND(LEFT(G5911,2)=LEFT('112'!$M$9,2),B5911&lt;'112'!$K$9,$N5911='112'!$I$6)),"x",""))</f>
        <v/>
      </c>
      <c r="V5911" s="79" t="str">
        <f>IF(ISERROR(FIND('112'!$M$9,G5911,1)),"",IF((AND(RIGHT(G5911,2)=RIGHT('112'!$M$9,2),B5911&lt;'112'!$K$9,$O5911='112'!$I$6)),"x",""))</f>
        <v/>
      </c>
      <c r="W5911" s="79" t="str">
        <f>IF(AND('341-CT'!$H$9=H5911,OR(LEFT(N5911,3)=$W$7,LEFT(O5911,3)=$W$7)),"x","")</f>
        <v/>
      </c>
      <c r="X5911" s="79" t="str">
        <f>IF(OR(TH!N5911=TH!$X$7,O5911=TH!$X$7),"x","")</f>
        <v/>
      </c>
      <c r="Y5911" s="79" t="str">
        <f>IF(AND(OR(N5911="131",O5911="131"),H5911='131-CT'!$H$9),"x","")</f>
        <v/>
      </c>
      <c r="Z5911" s="79"/>
      <c r="AA5911" s="79" t="str">
        <f>IF(AND(MONTH(E5911)='IN-NX'!$J$5,'IN-NX'!$D$7=D5911),"x","")</f>
        <v/>
      </c>
      <c r="AB5911" s="79" t="str">
        <f>IF(AND(OR(LEFT(TH!N5911,2)="15",LEFT(TH!O5911,2)="15"),LEFT(TH!O5911,3)&lt;&gt;"111",'152-CT'!$J$8=TH!F5911),"x","")</f>
        <v/>
      </c>
      <c r="AC5911" s="79" t="str">
        <f>IF(AND(OR(LEFT(TH!N5911,2)="15",LEFT(TH!O5911,2)="15"),TK!$E$7=TH!F5911),"x","")</f>
        <v/>
      </c>
      <c r="AD5911" s="79" t="str">
        <f>IF(AND(N5911="1521",MONTH(C5911)='BK-NL'!$M$11),"x","")</f>
        <v/>
      </c>
    </row>
    <row r="5912" spans="1:30" ht="16.5" customHeight="1">
      <c r="A5912" s="318" t="str">
        <f>IF(B5912&lt;&gt;"",IF(AND(B5912='IN-TC'!$S$4,OR(TH!N5912="1111",TH!O5912="1111")),TH!D5912,""),"")</f>
        <v/>
      </c>
      <c r="B5912" s="60" t="str">
        <f t="shared" si="513"/>
        <v/>
      </c>
      <c r="C5912" s="301"/>
      <c r="D5912" s="301"/>
      <c r="E5912" s="301"/>
      <c r="F5912" s="69"/>
      <c r="G5912" s="64"/>
      <c r="H5912" s="69"/>
      <c r="I5912" s="385"/>
      <c r="J5912" s="392"/>
      <c r="K5912" s="385"/>
      <c r="L5912" s="392"/>
      <c r="M5912" s="62"/>
      <c r="N5912" s="63"/>
      <c r="O5912" s="63"/>
      <c r="P5912" s="79" t="str">
        <f>IF(AND('331-CT'!$E$7=TH!H5912,OR(N5912="331",O5912="331")),"x","")</f>
        <v/>
      </c>
      <c r="Q5912" s="79" t="str">
        <f>IF(AND(B5912='111'!$L$11,OR($N5912=$Q$7,$O5912=$Q$7)),"x","")</f>
        <v/>
      </c>
      <c r="R5912" s="79" t="str">
        <f>IF(AND($N5912=$Q$7,$B5912&lt;'111'!$L$11),"x","")</f>
        <v/>
      </c>
      <c r="S5912" s="79" t="str">
        <f>IF(AND($O5912=$Q$7,$B5912&lt;'111'!$L$11),"x","")</f>
        <v/>
      </c>
      <c r="T5912" s="79" t="str">
        <f>IF(ISERROR(FIND('112'!$M$9,G5912,1)),"",IF((AND(FIND('112'!$M$9,G5912,1)&gt;=1,B5912='112'!$K$9,OR($N5912='112'!$I$6,$O5912='112'!$I$6))),"x",""))</f>
        <v/>
      </c>
      <c r="U5912" s="79" t="str">
        <f>IF(ISERROR(FIND('112'!$M$9,G5912,1)),"",IF((AND(LEFT(G5912,2)=LEFT('112'!$M$9,2),B5912&lt;'112'!$K$9,$N5912='112'!$I$6)),"x",""))</f>
        <v/>
      </c>
      <c r="V5912" s="79" t="str">
        <f>IF(ISERROR(FIND('112'!$M$9,G5912,1)),"",IF((AND(RIGHT(G5912,2)=RIGHT('112'!$M$9,2),B5912&lt;'112'!$K$9,$O5912='112'!$I$6)),"x",""))</f>
        <v/>
      </c>
      <c r="W5912" s="79" t="str">
        <f>IF(AND('341-CT'!$H$9=H5912,OR(LEFT(N5912,3)=$W$7,LEFT(O5912,3)=$W$7)),"x","")</f>
        <v/>
      </c>
      <c r="X5912" s="79" t="str">
        <f>IF(OR(TH!N5912=TH!$X$7,O5912=TH!$X$7),"x","")</f>
        <v/>
      </c>
      <c r="Y5912" s="79" t="str">
        <f>IF(AND(OR(N5912="131",O5912="131"),H5912='131-CT'!$H$9),"x","")</f>
        <v/>
      </c>
      <c r="Z5912" s="79"/>
      <c r="AA5912" s="79" t="str">
        <f>IF(AND(MONTH(E5912)='IN-NX'!$J$5,'IN-NX'!$D$7=D5912),"x","")</f>
        <v/>
      </c>
      <c r="AB5912" s="79" t="str">
        <f>IF(AND(OR(LEFT(TH!N5912,2)="15",LEFT(TH!O5912,2)="15"),LEFT(TH!O5912,3)&lt;&gt;"111",'152-CT'!$J$8=TH!F5912),"x","")</f>
        <v/>
      </c>
      <c r="AC5912" s="79" t="str">
        <f>IF(AND(OR(LEFT(TH!N5912,2)="15",LEFT(TH!O5912,2)="15"),TK!$E$7=TH!F5912),"x","")</f>
        <v/>
      </c>
      <c r="AD5912" s="79" t="str">
        <f>IF(AND(N5912="1521",MONTH(C5912)='BK-NL'!$M$11),"x","")</f>
        <v/>
      </c>
    </row>
    <row r="5913" spans="1:30" ht="16.5" customHeight="1">
      <c r="A5913" s="318" t="str">
        <f>IF(B5913&lt;&gt;"",IF(AND(B5913='IN-TC'!$S$4,OR(TH!N5913="1111",TH!O5913="1111")),TH!D5913,""),"")</f>
        <v/>
      </c>
      <c r="B5913" s="60" t="str">
        <f t="shared" si="513"/>
        <v/>
      </c>
      <c r="C5913" s="301"/>
      <c r="D5913" s="301"/>
      <c r="E5913" s="301"/>
      <c r="F5913" s="69"/>
      <c r="G5913" s="769"/>
      <c r="H5913" s="303"/>
      <c r="I5913" s="385"/>
      <c r="J5913" s="392"/>
      <c r="K5913" s="385"/>
      <c r="L5913" s="392"/>
      <c r="M5913" s="62"/>
      <c r="N5913" s="304"/>
      <c r="O5913" s="63"/>
      <c r="P5913" s="79" t="str">
        <f>IF(AND('331-CT'!$E$7=TH!H5913,OR(N5913="331",O5913="331")),"x","")</f>
        <v/>
      </c>
      <c r="Q5913" s="79" t="str">
        <f>IF(AND(B5913='111'!$L$11,OR($N5913=$Q$7,$O5913=$Q$7)),"x","")</f>
        <v/>
      </c>
      <c r="R5913" s="79" t="str">
        <f>IF(AND($N5913=$Q$7,$B5913&lt;'111'!$L$11),"x","")</f>
        <v/>
      </c>
      <c r="S5913" s="79" t="str">
        <f>IF(AND($O5913=$Q$7,$B5913&lt;'111'!$L$11),"x","")</f>
        <v/>
      </c>
      <c r="T5913" s="79" t="str">
        <f>IF(ISERROR(FIND('112'!$M$9,G5913,1)),"",IF((AND(FIND('112'!$M$9,G5913,1)&gt;=1,B5913='112'!$K$9,OR($N5913='112'!$I$6,$O5913='112'!$I$6))),"x",""))</f>
        <v/>
      </c>
      <c r="U5913" s="79" t="str">
        <f>IF(ISERROR(FIND('112'!$M$9,G5913,1)),"",IF((AND(LEFT(G5913,2)=LEFT('112'!$M$9,2),B5913&lt;'112'!$K$9,$N5913='112'!$I$6)),"x",""))</f>
        <v/>
      </c>
      <c r="V5913" s="79" t="str">
        <f>IF(ISERROR(FIND('112'!$M$9,G5913,1)),"",IF((AND(RIGHT(G5913,2)=RIGHT('112'!$M$9,2),B5913&lt;'112'!$K$9,$O5913='112'!$I$6)),"x",""))</f>
        <v/>
      </c>
      <c r="W5913" s="79" t="str">
        <f>IF(AND('341-CT'!$H$9=H5913,OR(LEFT(N5913,3)=$W$7,LEFT(O5913,3)=$W$7)),"x","")</f>
        <v/>
      </c>
      <c r="X5913" s="79" t="str">
        <f>IF(OR(TH!N5913=TH!$X$7,O5913=TH!$X$7),"x","")</f>
        <v/>
      </c>
      <c r="Y5913" s="79" t="str">
        <f>IF(AND(OR(N5913="131",O5913="131"),H5913='131-CT'!$H$9),"x","")</f>
        <v/>
      </c>
      <c r="Z5913" s="79"/>
      <c r="AA5913" s="79" t="str">
        <f>IF(AND(MONTH(E5913)='IN-NX'!$J$5,'IN-NX'!$D$7=D5913),"x","")</f>
        <v/>
      </c>
      <c r="AB5913" s="79" t="str">
        <f>IF(AND(OR(LEFT(TH!N5913,2)="15",LEFT(TH!O5913,2)="15"),LEFT(TH!O5913,3)&lt;&gt;"111",'152-CT'!$J$8=TH!F5913),"x","")</f>
        <v/>
      </c>
      <c r="AC5913" s="79" t="str">
        <f>IF(AND(OR(LEFT(TH!N5913,2)="15",LEFT(TH!O5913,2)="15"),TK!$E$7=TH!F5913),"x","")</f>
        <v/>
      </c>
      <c r="AD5913" s="79" t="str">
        <f>IF(AND(N5913="1521",MONTH(C5913)='BK-NL'!$M$11),"x","")</f>
        <v/>
      </c>
    </row>
    <row r="5914" spans="1:30" ht="16.5" customHeight="1">
      <c r="A5914" s="318" t="str">
        <f>IF(B5914&lt;&gt;"",IF(AND(B5914='IN-TC'!$S$4,OR(TH!N5914="1111",TH!O5914="1111")),TH!D5914,""),"")</f>
        <v/>
      </c>
      <c r="B5914" s="60" t="str">
        <f t="shared" si="513"/>
        <v/>
      </c>
      <c r="C5914" s="301"/>
      <c r="D5914" s="301"/>
      <c r="E5914" s="301"/>
      <c r="F5914" s="69"/>
      <c r="G5914" s="769"/>
      <c r="H5914" s="303"/>
      <c r="I5914" s="385"/>
      <c r="J5914" s="392"/>
      <c r="K5914" s="385"/>
      <c r="L5914" s="392"/>
      <c r="M5914" s="62"/>
      <c r="N5914" s="304"/>
      <c r="O5914" s="63"/>
      <c r="P5914" s="79" t="str">
        <f>IF(AND('331-CT'!$E$7=TH!H5914,OR(N5914="331",O5914="331")),"x","")</f>
        <v/>
      </c>
      <c r="Q5914" s="79" t="str">
        <f>IF(AND(B5914='111'!$L$11,OR($N5914=$Q$7,$O5914=$Q$7)),"x","")</f>
        <v/>
      </c>
      <c r="R5914" s="79" t="str">
        <f>IF(AND($N5914=$Q$7,$B5914&lt;'111'!$L$11),"x","")</f>
        <v/>
      </c>
      <c r="S5914" s="79" t="str">
        <f>IF(AND($O5914=$Q$7,$B5914&lt;'111'!$L$11),"x","")</f>
        <v/>
      </c>
      <c r="T5914" s="79" t="str">
        <f>IF(ISERROR(FIND('112'!$M$9,G5914,1)),"",IF((AND(FIND('112'!$M$9,G5914,1)&gt;=1,B5914='112'!$K$9,OR($N5914='112'!$I$6,$O5914='112'!$I$6))),"x",""))</f>
        <v/>
      </c>
      <c r="U5914" s="79" t="str">
        <f>IF(ISERROR(FIND('112'!$M$9,G5914,1)),"",IF((AND(LEFT(G5914,2)=LEFT('112'!$M$9,2),B5914&lt;'112'!$K$9,$N5914='112'!$I$6)),"x",""))</f>
        <v/>
      </c>
      <c r="V5914" s="79" t="str">
        <f>IF(ISERROR(FIND('112'!$M$9,G5914,1)),"",IF((AND(RIGHT(G5914,2)=RIGHT('112'!$M$9,2),B5914&lt;'112'!$K$9,$O5914='112'!$I$6)),"x",""))</f>
        <v/>
      </c>
      <c r="W5914" s="79" t="str">
        <f>IF(AND('341-CT'!$H$9=H5914,OR(LEFT(N5914,3)=$W$7,LEFT(O5914,3)=$W$7)),"x","")</f>
        <v/>
      </c>
      <c r="X5914" s="79" t="str">
        <f>IF(OR(TH!N5914=TH!$X$7,O5914=TH!$X$7),"x","")</f>
        <v/>
      </c>
      <c r="Y5914" s="79" t="str">
        <f>IF(AND(OR(N5914="131",O5914="131"),H5914='131-CT'!$H$9),"x","")</f>
        <v/>
      </c>
      <c r="Z5914" s="79"/>
      <c r="AA5914" s="79" t="str">
        <f>IF(AND(MONTH(E5914)='IN-NX'!$J$5,'IN-NX'!$D$7=D5914),"x","")</f>
        <v/>
      </c>
      <c r="AB5914" s="79" t="str">
        <f>IF(AND(OR(LEFT(TH!N5914,2)="15",LEFT(TH!O5914,2)="15"),LEFT(TH!O5914,3)&lt;&gt;"111",'152-CT'!$J$8=TH!F5914),"x","")</f>
        <v/>
      </c>
      <c r="AC5914" s="79" t="str">
        <f>IF(AND(OR(LEFT(TH!N5914,2)="15",LEFT(TH!O5914,2)="15"),TK!$E$7=TH!F5914),"x","")</f>
        <v/>
      </c>
      <c r="AD5914" s="79" t="str">
        <f>IF(AND(N5914="1521",MONTH(C5914)='BK-NL'!$M$11),"x","")</f>
        <v/>
      </c>
    </row>
    <row r="5915" spans="1:30" ht="16.5" customHeight="1">
      <c r="A5915" s="318" t="str">
        <f>IF(B5915&lt;&gt;"",IF(AND(B5915='IN-TC'!$S$4,OR(TH!N5915="1111",TH!O5915="1111")),TH!D5915,""),"")</f>
        <v/>
      </c>
      <c r="B5915" s="60" t="str">
        <f t="shared" si="513"/>
        <v/>
      </c>
      <c r="C5915" s="61"/>
      <c r="D5915" s="61"/>
      <c r="E5915" s="61"/>
      <c r="F5915" s="322"/>
      <c r="G5915" s="769"/>
      <c r="H5915" s="69"/>
      <c r="I5915" s="385"/>
      <c r="J5915" s="392"/>
      <c r="K5915" s="385"/>
      <c r="L5915" s="392"/>
      <c r="M5915" s="62"/>
      <c r="N5915" s="63"/>
      <c r="O5915" s="63"/>
      <c r="P5915" s="79" t="str">
        <f>IF(AND('331-CT'!$E$7=TH!H5915,OR(N5915="331",O5915="331")),"x","")</f>
        <v/>
      </c>
      <c r="Q5915" s="79" t="str">
        <f>IF(AND(B5915='111'!$L$11,OR($N5915=$Q$7,$O5915=$Q$7)),"x","")</f>
        <v/>
      </c>
      <c r="R5915" s="79" t="str">
        <f>IF(AND($N5915=$Q$7,$B5915&lt;'111'!$L$11),"x","")</f>
        <v/>
      </c>
      <c r="S5915" s="79" t="str">
        <f>IF(AND($O5915=$Q$7,$B5915&lt;'111'!$L$11),"x","")</f>
        <v/>
      </c>
      <c r="T5915" s="79" t="str">
        <f>IF(ISERROR(FIND('112'!$M$9,G5915,1)),"",IF((AND(FIND('112'!$M$9,G5915,1)&gt;=1,B5915='112'!$K$9,OR($N5915='112'!$I$6,$O5915='112'!$I$6))),"x",""))</f>
        <v/>
      </c>
      <c r="U5915" s="79" t="str">
        <f>IF(ISERROR(FIND('112'!$M$9,G5915,1)),"",IF((AND(LEFT(G5915,2)=LEFT('112'!$M$9,2),B5915&lt;'112'!$K$9,$N5915='112'!$I$6)),"x",""))</f>
        <v/>
      </c>
      <c r="V5915" s="79" t="str">
        <f>IF(ISERROR(FIND('112'!$M$9,G5915,1)),"",IF((AND(RIGHT(G5915,2)=RIGHT('112'!$M$9,2),B5915&lt;'112'!$K$9,$O5915='112'!$I$6)),"x",""))</f>
        <v/>
      </c>
      <c r="W5915" s="79" t="str">
        <f>IF(AND('341-CT'!$H$9=H5915,OR(LEFT(N5915,3)=$W$7,LEFT(O5915,3)=$W$7)),"x","")</f>
        <v/>
      </c>
      <c r="X5915" s="79" t="str">
        <f>IF(OR(TH!N5915=TH!$X$7,O5915=TH!$X$7),"x","")</f>
        <v/>
      </c>
      <c r="Y5915" s="79" t="str">
        <f>IF(AND(OR(N5915="131",O5915="131"),H5915='131-CT'!$H$9),"x","")</f>
        <v/>
      </c>
      <c r="Z5915" s="79"/>
      <c r="AA5915" s="79" t="str">
        <f>IF(AND(MONTH(E5915)='IN-NX'!$J$5,'IN-NX'!$D$7=D5915),"x","")</f>
        <v/>
      </c>
      <c r="AB5915" s="79" t="str">
        <f>IF(AND(OR(LEFT(TH!N5915,2)="15",LEFT(TH!O5915,2)="15"),LEFT(TH!O5915,3)&lt;&gt;"111",'152-CT'!$J$8=TH!F5915),"x","")</f>
        <v/>
      </c>
      <c r="AC5915" s="79" t="str">
        <f>IF(AND(OR(LEFT(TH!N5915,2)="15",LEFT(TH!O5915,2)="15"),TK!$E$7=TH!F5915),"x","")</f>
        <v/>
      </c>
      <c r="AD5915" s="79" t="str">
        <f>IF(AND(N5915="1521",MONTH(C5915)='BK-NL'!$M$11),"x","")</f>
        <v/>
      </c>
    </row>
    <row r="5916" spans="1:30" ht="16.5" customHeight="1">
      <c r="A5916" s="318" t="str">
        <f>IF(B5916&lt;&gt;"",IF(AND(B5916='IN-TC'!$S$4,OR(TH!N5916="1111",TH!O5916="1111")),TH!D5916,""),"")</f>
        <v/>
      </c>
      <c r="B5916" s="60" t="str">
        <f t="shared" si="513"/>
        <v/>
      </c>
      <c r="C5916" s="61"/>
      <c r="D5916" s="301"/>
      <c r="E5916" s="61"/>
      <c r="F5916" s="446"/>
      <c r="G5916" s="769"/>
      <c r="H5916" s="69"/>
      <c r="I5916" s="385"/>
      <c r="J5916" s="392"/>
      <c r="K5916" s="385"/>
      <c r="L5916" s="392"/>
      <c r="M5916" s="62"/>
      <c r="N5916" s="63"/>
      <c r="O5916" s="63"/>
      <c r="P5916" s="79" t="str">
        <f>IF(AND('331-CT'!$E$7=TH!H5916,OR(N5916="331",O5916="331")),"x","")</f>
        <v/>
      </c>
      <c r="Q5916" s="79" t="str">
        <f>IF(AND(B5916='111'!$L$11,OR($N5916=$Q$7,$O5916=$Q$7)),"x","")</f>
        <v/>
      </c>
      <c r="R5916" s="79" t="str">
        <f>IF(AND($N5916=$Q$7,$B5916&lt;'111'!$L$11),"x","")</f>
        <v/>
      </c>
      <c r="S5916" s="79" t="str">
        <f>IF(AND($O5916=$Q$7,$B5916&lt;'111'!$L$11),"x","")</f>
        <v/>
      </c>
      <c r="T5916" s="79" t="str">
        <f>IF(ISERROR(FIND('112'!$M$9,G5916,1)),"",IF((AND(FIND('112'!$M$9,G5916,1)&gt;=1,B5916='112'!$K$9,OR($N5916='112'!$I$6,$O5916='112'!$I$6))),"x",""))</f>
        <v/>
      </c>
      <c r="U5916" s="79" t="str">
        <f>IF(ISERROR(FIND('112'!$M$9,G5916,1)),"",IF((AND(LEFT(G5916,2)=LEFT('112'!$M$9,2),B5916&lt;'112'!$K$9,$N5916='112'!$I$6)),"x",""))</f>
        <v/>
      </c>
      <c r="V5916" s="79" t="str">
        <f>IF(ISERROR(FIND('112'!$M$9,G5916,1)),"",IF((AND(RIGHT(G5916,2)=RIGHT('112'!$M$9,2),B5916&lt;'112'!$K$9,$O5916='112'!$I$6)),"x",""))</f>
        <v/>
      </c>
      <c r="W5916" s="79" t="str">
        <f>IF(AND('341-CT'!$H$9=H5916,OR(LEFT(N5916,3)=$W$7,LEFT(O5916,3)=$W$7)),"x","")</f>
        <v/>
      </c>
      <c r="X5916" s="79" t="str">
        <f>IF(OR(TH!N5916=TH!$X$7,O5916=TH!$X$7),"x","")</f>
        <v/>
      </c>
      <c r="Y5916" s="79" t="str">
        <f>IF(AND(OR(N5916="131",O5916="131"),H5916='131-CT'!$H$9),"x","")</f>
        <v/>
      </c>
      <c r="Z5916" s="79"/>
      <c r="AA5916" s="79" t="str">
        <f>IF(AND(MONTH(E5916)='IN-NX'!$J$5,'IN-NX'!$D$7=D5916),"x","")</f>
        <v/>
      </c>
      <c r="AB5916" s="79" t="str">
        <f>IF(AND(OR(LEFT(TH!N5916,2)="15",LEFT(TH!O5916,2)="15"),LEFT(TH!O5916,3)&lt;&gt;"111",'152-CT'!$J$8=TH!F5916),"x","")</f>
        <v/>
      </c>
      <c r="AC5916" s="79" t="str">
        <f>IF(AND(OR(LEFT(TH!N5916,2)="15",LEFT(TH!O5916,2)="15"),TK!$E$7=TH!F5916),"x","")</f>
        <v/>
      </c>
      <c r="AD5916" s="79" t="str">
        <f>IF(AND(N5916="1521",MONTH(C5916)='BK-NL'!$M$11),"x","")</f>
        <v/>
      </c>
    </row>
    <row r="5917" spans="1:30" ht="16.5" customHeight="1">
      <c r="A5917" s="318" t="str">
        <f>IF(B5917&lt;&gt;"",IF(AND(B5917='IN-TC'!$S$4,OR(TH!N5917="1111",TH!O5917="1111")),TH!D5917,""),"")</f>
        <v/>
      </c>
      <c r="B5917" s="60" t="str">
        <f t="shared" si="513"/>
        <v/>
      </c>
      <c r="C5917" s="61"/>
      <c r="D5917" s="301"/>
      <c r="E5917" s="61"/>
      <c r="F5917" s="446"/>
      <c r="G5917" s="769"/>
      <c r="H5917" s="303"/>
      <c r="I5917" s="385"/>
      <c r="J5917" s="392"/>
      <c r="K5917" s="385"/>
      <c r="L5917" s="392"/>
      <c r="M5917" s="62"/>
      <c r="N5917" s="63"/>
      <c r="O5917" s="63"/>
      <c r="P5917" s="79" t="str">
        <f>IF(AND('331-CT'!$E$7=TH!H5917,OR(N5917="331",O5917="331")),"x","")</f>
        <v/>
      </c>
      <c r="Q5917" s="79" t="str">
        <f>IF(AND(B5917='111'!$L$11,OR($N5917=$Q$7,$O5917=$Q$7)),"x","")</f>
        <v/>
      </c>
      <c r="R5917" s="79" t="str">
        <f>IF(AND($N5917=$Q$7,$B5917&lt;'111'!$L$11),"x","")</f>
        <v/>
      </c>
      <c r="S5917" s="79" t="str">
        <f>IF(AND($O5917=$Q$7,$B5917&lt;'111'!$L$11),"x","")</f>
        <v/>
      </c>
      <c r="T5917" s="79" t="str">
        <f>IF(ISERROR(FIND('112'!$M$9,G5917,1)),"",IF((AND(FIND('112'!$M$9,G5917,1)&gt;=1,B5917='112'!$K$9,OR($N5917='112'!$I$6,$O5917='112'!$I$6))),"x",""))</f>
        <v/>
      </c>
      <c r="U5917" s="79" t="str">
        <f>IF(ISERROR(FIND('112'!$M$9,G5917,1)),"",IF((AND(LEFT(G5917,2)=LEFT('112'!$M$9,2),B5917&lt;'112'!$K$9,$N5917='112'!$I$6)),"x",""))</f>
        <v/>
      </c>
      <c r="V5917" s="79" t="str">
        <f>IF(ISERROR(FIND('112'!$M$9,G5917,1)),"",IF((AND(RIGHT(G5917,2)=RIGHT('112'!$M$9,2),B5917&lt;'112'!$K$9,$O5917='112'!$I$6)),"x",""))</f>
        <v/>
      </c>
      <c r="W5917" s="79" t="str">
        <f>IF(AND('341-CT'!$H$9=H5917,OR(LEFT(N5917,3)=$W$7,LEFT(O5917,3)=$W$7)),"x","")</f>
        <v/>
      </c>
      <c r="X5917" s="79" t="str">
        <f>IF(OR(TH!N5917=TH!$X$7,O5917=TH!$X$7),"x","")</f>
        <v/>
      </c>
      <c r="Y5917" s="79" t="str">
        <f>IF(AND(OR(N5917="131",O5917="131"),H5917='131-CT'!$H$9),"x","")</f>
        <v/>
      </c>
      <c r="Z5917" s="79"/>
      <c r="AA5917" s="79" t="str">
        <f>IF(AND(MONTH(E5917)='IN-NX'!$J$5,'IN-NX'!$D$7=D5917),"x","")</f>
        <v/>
      </c>
      <c r="AB5917" s="79" t="str">
        <f>IF(AND(OR(LEFT(TH!N5917,2)="15",LEFT(TH!O5917,2)="15"),LEFT(TH!O5917,3)&lt;&gt;"111",'152-CT'!$J$8=TH!F5917),"x","")</f>
        <v/>
      </c>
      <c r="AC5917" s="79" t="str">
        <f>IF(AND(OR(LEFT(TH!N5917,2)="15",LEFT(TH!O5917,2)="15"),TK!$E$7=TH!F5917),"x","")</f>
        <v/>
      </c>
      <c r="AD5917" s="79" t="str">
        <f>IF(AND(N5917="1521",MONTH(C5917)='BK-NL'!$M$11),"x","")</f>
        <v/>
      </c>
    </row>
    <row r="5918" spans="1:30" ht="16.5" customHeight="1">
      <c r="A5918" s="318" t="str">
        <f>IF(B5918&lt;&gt;"",IF(AND(B5918='IN-TC'!$S$4,OR(TH!N5918="1111",TH!O5918="1111")),TH!D5918,""),"")</f>
        <v/>
      </c>
      <c r="B5918" s="60" t="str">
        <f t="shared" si="513"/>
        <v/>
      </c>
      <c r="C5918" s="61"/>
      <c r="D5918" s="301"/>
      <c r="E5918" s="61"/>
      <c r="F5918" s="446"/>
      <c r="G5918" s="769"/>
      <c r="H5918" s="303"/>
      <c r="I5918" s="385"/>
      <c r="J5918" s="392"/>
      <c r="K5918" s="385"/>
      <c r="L5918" s="392"/>
      <c r="M5918" s="62"/>
      <c r="N5918" s="63"/>
      <c r="O5918" s="63"/>
      <c r="P5918" s="79" t="str">
        <f>IF(AND('331-CT'!$E$7=TH!H5918,OR(N5918="331",O5918="331")),"x","")</f>
        <v/>
      </c>
      <c r="Q5918" s="79" t="str">
        <f>IF(AND(B5918='111'!$L$11,OR($N5918=$Q$7,$O5918=$Q$7)),"x","")</f>
        <v/>
      </c>
      <c r="R5918" s="79" t="str">
        <f>IF(AND($N5918=$Q$7,$B5918&lt;'111'!$L$11),"x","")</f>
        <v/>
      </c>
      <c r="S5918" s="79" t="str">
        <f>IF(AND($O5918=$Q$7,$B5918&lt;'111'!$L$11),"x","")</f>
        <v/>
      </c>
      <c r="T5918" s="79" t="str">
        <f>IF(ISERROR(FIND('112'!$M$9,G5918,1)),"",IF((AND(FIND('112'!$M$9,G5918,1)&gt;=1,B5918='112'!$K$9,OR($N5918='112'!$I$6,$O5918='112'!$I$6))),"x",""))</f>
        <v/>
      </c>
      <c r="U5918" s="79" t="str">
        <f>IF(ISERROR(FIND('112'!$M$9,G5918,1)),"",IF((AND(LEFT(G5918,2)=LEFT('112'!$M$9,2),B5918&lt;'112'!$K$9,$N5918='112'!$I$6)),"x",""))</f>
        <v/>
      </c>
      <c r="V5918" s="79" t="str">
        <f>IF(ISERROR(FIND('112'!$M$9,G5918,1)),"",IF((AND(RIGHT(G5918,2)=RIGHT('112'!$M$9,2),B5918&lt;'112'!$K$9,$O5918='112'!$I$6)),"x",""))</f>
        <v/>
      </c>
      <c r="W5918" s="79" t="str">
        <f>IF(AND('341-CT'!$H$9=H5918,OR(LEFT(N5918,3)=$W$7,LEFT(O5918,3)=$W$7)),"x","")</f>
        <v/>
      </c>
      <c r="X5918" s="79" t="str">
        <f>IF(OR(TH!N5918=TH!$X$7,O5918=TH!$X$7),"x","")</f>
        <v/>
      </c>
      <c r="Y5918" s="79" t="str">
        <f>IF(AND(OR(N5918="131",O5918="131"),H5918='131-CT'!$H$9),"x","")</f>
        <v/>
      </c>
      <c r="Z5918" s="79"/>
      <c r="AA5918" s="79" t="str">
        <f>IF(AND(MONTH(E5918)='IN-NX'!$J$5,'IN-NX'!$D$7=D5918),"x","")</f>
        <v/>
      </c>
      <c r="AB5918" s="79" t="str">
        <f>IF(AND(OR(LEFT(TH!N5918,2)="15",LEFT(TH!O5918,2)="15"),LEFT(TH!O5918,3)&lt;&gt;"111",'152-CT'!$J$8=TH!F5918),"x","")</f>
        <v/>
      </c>
      <c r="AC5918" s="79" t="str">
        <f>IF(AND(OR(LEFT(TH!N5918,2)="15",LEFT(TH!O5918,2)="15"),TK!$E$7=TH!F5918),"x","")</f>
        <v/>
      </c>
      <c r="AD5918" s="79" t="str">
        <f>IF(AND(N5918="1521",MONTH(C5918)='BK-NL'!$M$11),"x","")</f>
        <v/>
      </c>
    </row>
    <row r="5919" spans="1:30" ht="16.5" customHeight="1">
      <c r="A5919" s="318" t="str">
        <f>IF(B5919&lt;&gt;"",IF(AND(B5919='IN-TC'!$S$4,OR(TH!N5919="1111",TH!O5919="1111")),TH!D5919,""),"")</f>
        <v/>
      </c>
      <c r="B5919" s="60" t="str">
        <f t="shared" si="513"/>
        <v/>
      </c>
      <c r="C5919" s="61"/>
      <c r="D5919" s="301"/>
      <c r="E5919" s="61"/>
      <c r="F5919" s="69"/>
      <c r="G5919" s="769"/>
      <c r="H5919" s="69"/>
      <c r="I5919" s="385"/>
      <c r="J5919" s="392"/>
      <c r="K5919" s="385"/>
      <c r="L5919" s="392"/>
      <c r="M5919" s="62"/>
      <c r="N5919" s="63"/>
      <c r="O5919" s="63"/>
      <c r="P5919" s="79" t="str">
        <f>IF(AND('331-CT'!$E$7=TH!H5919,OR(N5919="331",O5919="331")),"x","")</f>
        <v/>
      </c>
      <c r="Q5919" s="79" t="str">
        <f>IF(AND(B5919='111'!$L$11,OR($N5919=$Q$7,$O5919=$Q$7)),"x","")</f>
        <v/>
      </c>
      <c r="R5919" s="79" t="str">
        <f>IF(AND($N5919=$Q$7,$B5919&lt;'111'!$L$11),"x","")</f>
        <v/>
      </c>
      <c r="S5919" s="79" t="str">
        <f>IF(AND($O5919=$Q$7,$B5919&lt;'111'!$L$11),"x","")</f>
        <v/>
      </c>
      <c r="T5919" s="79" t="str">
        <f>IF(ISERROR(FIND('112'!$M$9,G5919,1)),"",IF((AND(FIND('112'!$M$9,G5919,1)&gt;=1,B5919='112'!$K$9,OR($N5919='112'!$I$6,$O5919='112'!$I$6))),"x",""))</f>
        <v/>
      </c>
      <c r="U5919" s="79" t="str">
        <f>IF(ISERROR(FIND('112'!$M$9,G5919,1)),"",IF((AND(LEFT(G5919,2)=LEFT('112'!$M$9,2),B5919&lt;'112'!$K$9,$N5919='112'!$I$6)),"x",""))</f>
        <v/>
      </c>
      <c r="V5919" s="79" t="str">
        <f>IF(ISERROR(FIND('112'!$M$9,G5919,1)),"",IF((AND(RIGHT(G5919,2)=RIGHT('112'!$M$9,2),B5919&lt;'112'!$K$9,$O5919='112'!$I$6)),"x",""))</f>
        <v/>
      </c>
      <c r="W5919" s="79" t="str">
        <f>IF(AND('341-CT'!$H$9=H5919,OR(LEFT(N5919,3)=$W$7,LEFT(O5919,3)=$W$7)),"x","")</f>
        <v/>
      </c>
      <c r="X5919" s="79" t="str">
        <f>IF(OR(TH!N5919=TH!$X$7,O5919=TH!$X$7),"x","")</f>
        <v/>
      </c>
      <c r="Y5919" s="79" t="str">
        <f>IF(AND(OR(N5919="131",O5919="131"),H5919='131-CT'!$H$9),"x","")</f>
        <v/>
      </c>
      <c r="Z5919" s="79"/>
      <c r="AA5919" s="79" t="str">
        <f>IF(AND(MONTH(E5919)='IN-NX'!$J$5,'IN-NX'!$D$7=D5919),"x","")</f>
        <v/>
      </c>
      <c r="AB5919" s="79" t="str">
        <f>IF(AND(OR(LEFT(TH!N5919,2)="15",LEFT(TH!O5919,2)="15"),LEFT(TH!O5919,3)&lt;&gt;"111",'152-CT'!$J$8=TH!F5919),"x","")</f>
        <v/>
      </c>
      <c r="AC5919" s="79" t="str">
        <f>IF(AND(OR(LEFT(TH!N5919,2)="15",LEFT(TH!O5919,2)="15"),TK!$E$7=TH!F5919),"x","")</f>
        <v/>
      </c>
      <c r="AD5919" s="79" t="str">
        <f>IF(AND(N5919="1521",MONTH(C5919)='BK-NL'!$M$11),"x","")</f>
        <v/>
      </c>
    </row>
    <row r="5920" spans="1:30" ht="16.5" customHeight="1">
      <c r="A5920" s="318" t="str">
        <f>IF(B5920&lt;&gt;"",IF(AND(B5920='IN-TC'!$S$4,OR(TH!N5920="1111",TH!O5920="1111")),TH!D5920,""),"")</f>
        <v/>
      </c>
      <c r="B5920" s="60" t="str">
        <f t="shared" si="513"/>
        <v/>
      </c>
      <c r="C5920" s="61"/>
      <c r="D5920" s="301"/>
      <c r="E5920" s="61"/>
      <c r="F5920" s="69"/>
      <c r="G5920" s="64"/>
      <c r="H5920" s="69"/>
      <c r="I5920" s="385"/>
      <c r="J5920" s="392"/>
      <c r="K5920" s="385"/>
      <c r="L5920" s="392"/>
      <c r="M5920" s="62"/>
      <c r="N5920" s="63"/>
      <c r="O5920" s="63"/>
      <c r="P5920" s="79" t="str">
        <f>IF(AND('331-CT'!$E$7=TH!H5920,OR(N5920="331",O5920="331")),"x","")</f>
        <v/>
      </c>
      <c r="Q5920" s="79" t="str">
        <f>IF(AND(B5920='111'!$L$11,OR($N5920=$Q$7,$O5920=$Q$7)),"x","")</f>
        <v/>
      </c>
      <c r="R5920" s="79" t="str">
        <f>IF(AND($N5920=$Q$7,$B5920&lt;'111'!$L$11),"x","")</f>
        <v/>
      </c>
      <c r="S5920" s="79" t="str">
        <f>IF(AND($O5920=$Q$7,$B5920&lt;'111'!$L$11),"x","")</f>
        <v/>
      </c>
      <c r="T5920" s="79" t="str">
        <f>IF(ISERROR(FIND('112'!$M$9,G5920,1)),"",IF((AND(FIND('112'!$M$9,G5920,1)&gt;=1,B5920='112'!$K$9,OR($N5920='112'!$I$6,$O5920='112'!$I$6))),"x",""))</f>
        <v/>
      </c>
      <c r="U5920" s="79" t="str">
        <f>IF(ISERROR(FIND('112'!$M$9,G5920,1)),"",IF((AND(LEFT(G5920,2)=LEFT('112'!$M$9,2),B5920&lt;'112'!$K$9,$N5920='112'!$I$6)),"x",""))</f>
        <v/>
      </c>
      <c r="V5920" s="79" t="str">
        <f>IF(ISERROR(FIND('112'!$M$9,G5920,1)),"",IF((AND(RIGHT(G5920,2)=RIGHT('112'!$M$9,2),B5920&lt;'112'!$K$9,$O5920='112'!$I$6)),"x",""))</f>
        <v/>
      </c>
      <c r="W5920" s="79" t="str">
        <f>IF(AND('341-CT'!$H$9=H5920,OR(LEFT(N5920,3)=$W$7,LEFT(O5920,3)=$W$7)),"x","")</f>
        <v/>
      </c>
      <c r="X5920" s="79" t="str">
        <f>IF(OR(TH!N5920=TH!$X$7,O5920=TH!$X$7),"x","")</f>
        <v/>
      </c>
      <c r="Y5920" s="79" t="str">
        <f>IF(AND(OR(N5920="131",O5920="131"),H5920='131-CT'!$H$9),"x","")</f>
        <v/>
      </c>
      <c r="Z5920" s="79"/>
      <c r="AA5920" s="79" t="str">
        <f>IF(AND(MONTH(E5920)='IN-NX'!$J$5,'IN-NX'!$D$7=D5920),"x","")</f>
        <v/>
      </c>
      <c r="AB5920" s="79" t="str">
        <f>IF(AND(OR(LEFT(TH!N5920,2)="15",LEFT(TH!O5920,2)="15"),LEFT(TH!O5920,3)&lt;&gt;"111",'152-CT'!$J$8=TH!F5920),"x","")</f>
        <v/>
      </c>
      <c r="AC5920" s="79" t="str">
        <f>IF(AND(OR(LEFT(TH!N5920,2)="15",LEFT(TH!O5920,2)="15"),TK!$E$7=TH!F5920),"x","")</f>
        <v/>
      </c>
      <c r="AD5920" s="79" t="str">
        <f>IF(AND(N5920="1521",MONTH(C5920)='BK-NL'!$M$11),"x","")</f>
        <v/>
      </c>
    </row>
    <row r="5921" spans="1:30" ht="16.5" customHeight="1">
      <c r="A5921" s="318" t="str">
        <f>IF(B5921&lt;&gt;"",IF(AND(B5921='IN-TC'!$S$4,OR(TH!N5921="1111",TH!O5921="1111")),TH!D5921,""),"")</f>
        <v/>
      </c>
      <c r="B5921" s="60" t="str">
        <f t="shared" si="513"/>
        <v/>
      </c>
      <c r="C5921" s="61"/>
      <c r="D5921" s="301"/>
      <c r="E5921" s="61"/>
      <c r="F5921" s="69"/>
      <c r="G5921" s="64"/>
      <c r="H5921" s="69"/>
      <c r="I5921" s="385"/>
      <c r="J5921" s="392"/>
      <c r="K5921" s="385"/>
      <c r="L5921" s="392"/>
      <c r="M5921" s="62"/>
      <c r="N5921" s="63"/>
      <c r="O5921" s="63"/>
      <c r="P5921" s="79" t="str">
        <f>IF(AND('331-CT'!$E$7=TH!H5921,OR(N5921="331",O5921="331")),"x","")</f>
        <v/>
      </c>
      <c r="Q5921" s="79" t="str">
        <f>IF(AND(B5921='111'!$L$11,OR($N5921=$Q$7,$O5921=$Q$7)),"x","")</f>
        <v/>
      </c>
      <c r="R5921" s="79" t="str">
        <f>IF(AND($N5921=$Q$7,$B5921&lt;'111'!$L$11),"x","")</f>
        <v/>
      </c>
      <c r="S5921" s="79" t="str">
        <f>IF(AND($O5921=$Q$7,$B5921&lt;'111'!$L$11),"x","")</f>
        <v/>
      </c>
      <c r="T5921" s="79" t="str">
        <f>IF(ISERROR(FIND('112'!$M$9,G5921,1)),"",IF((AND(FIND('112'!$M$9,G5921,1)&gt;=1,B5921='112'!$K$9,OR($N5921='112'!$I$6,$O5921='112'!$I$6))),"x",""))</f>
        <v/>
      </c>
      <c r="U5921" s="79" t="str">
        <f>IF(ISERROR(FIND('112'!$M$9,G5921,1)),"",IF((AND(LEFT(G5921,2)=LEFT('112'!$M$9,2),B5921&lt;'112'!$K$9,$N5921='112'!$I$6)),"x",""))</f>
        <v/>
      </c>
      <c r="V5921" s="79" t="str">
        <f>IF(ISERROR(FIND('112'!$M$9,G5921,1)),"",IF((AND(RIGHT(G5921,2)=RIGHT('112'!$M$9,2),B5921&lt;'112'!$K$9,$O5921='112'!$I$6)),"x",""))</f>
        <v/>
      </c>
      <c r="W5921" s="79" t="str">
        <f>IF(AND('341-CT'!$H$9=H5921,OR(LEFT(N5921,3)=$W$7,LEFT(O5921,3)=$W$7)),"x","")</f>
        <v/>
      </c>
      <c r="X5921" s="79" t="str">
        <f>IF(OR(TH!N5921=TH!$X$7,O5921=TH!$X$7),"x","")</f>
        <v/>
      </c>
      <c r="Y5921" s="79" t="str">
        <f>IF(AND(OR(N5921="131",O5921="131"),H5921='131-CT'!$H$9),"x","")</f>
        <v/>
      </c>
      <c r="Z5921" s="79"/>
      <c r="AA5921" s="79" t="str">
        <f>IF(AND(MONTH(E5921)='IN-NX'!$J$5,'IN-NX'!$D$7=D5921),"x","")</f>
        <v/>
      </c>
      <c r="AB5921" s="79" t="str">
        <f>IF(AND(OR(LEFT(TH!N5921,2)="15",LEFT(TH!O5921,2)="15"),LEFT(TH!O5921,3)&lt;&gt;"111",'152-CT'!$J$8=TH!F5921),"x","")</f>
        <v/>
      </c>
      <c r="AC5921" s="79" t="str">
        <f>IF(AND(OR(LEFT(TH!N5921,2)="15",LEFT(TH!O5921,2)="15"),TK!$E$7=TH!F5921),"x","")</f>
        <v/>
      </c>
      <c r="AD5921" s="79" t="str">
        <f>IF(AND(N5921="1521",MONTH(C5921)='BK-NL'!$M$11),"x","")</f>
        <v/>
      </c>
    </row>
    <row r="5922" spans="1:30" ht="16.5" customHeight="1">
      <c r="A5922" s="318" t="str">
        <f>IF(B5922&lt;&gt;"",IF(AND(B5922='IN-TC'!$S$4,OR(TH!N5922="1111",TH!O5922="1111")),TH!D5922,""),"")</f>
        <v/>
      </c>
      <c r="B5922" s="60" t="str">
        <f t="shared" si="513"/>
        <v/>
      </c>
      <c r="C5922" s="61"/>
      <c r="D5922" s="301"/>
      <c r="E5922" s="61"/>
      <c r="F5922" s="69"/>
      <c r="G5922" s="64"/>
      <c r="H5922" s="69"/>
      <c r="I5922" s="385"/>
      <c r="J5922" s="392"/>
      <c r="K5922" s="385"/>
      <c r="L5922" s="392"/>
      <c r="M5922" s="62"/>
      <c r="N5922" s="63"/>
      <c r="O5922" s="63"/>
      <c r="P5922" s="79" t="str">
        <f>IF(AND('331-CT'!$E$7=TH!H5922,OR(N5922="331",O5922="331")),"x","")</f>
        <v/>
      </c>
      <c r="Q5922" s="79" t="str">
        <f>IF(AND(B5922='111'!$L$11,OR($N5922=$Q$7,$O5922=$Q$7)),"x","")</f>
        <v/>
      </c>
      <c r="R5922" s="79" t="str">
        <f>IF(AND($N5922=$Q$7,$B5922&lt;'111'!$L$11),"x","")</f>
        <v/>
      </c>
      <c r="S5922" s="79" t="str">
        <f>IF(AND($O5922=$Q$7,$B5922&lt;'111'!$L$11),"x","")</f>
        <v/>
      </c>
      <c r="T5922" s="79" t="str">
        <f>IF(ISERROR(FIND('112'!$M$9,G5922,1)),"",IF((AND(FIND('112'!$M$9,G5922,1)&gt;=1,B5922='112'!$K$9,OR($N5922='112'!$I$6,$O5922='112'!$I$6))),"x",""))</f>
        <v/>
      </c>
      <c r="U5922" s="79" t="str">
        <f>IF(ISERROR(FIND('112'!$M$9,G5922,1)),"",IF((AND(LEFT(G5922,2)=LEFT('112'!$M$9,2),B5922&lt;'112'!$K$9,$N5922='112'!$I$6)),"x",""))</f>
        <v/>
      </c>
      <c r="V5922" s="79" t="str">
        <f>IF(ISERROR(FIND('112'!$M$9,G5922,1)),"",IF((AND(RIGHT(G5922,2)=RIGHT('112'!$M$9,2),B5922&lt;'112'!$K$9,$O5922='112'!$I$6)),"x",""))</f>
        <v/>
      </c>
      <c r="W5922" s="79" t="str">
        <f>IF(AND('341-CT'!$H$9=H5922,OR(LEFT(N5922,3)=$W$7,LEFT(O5922,3)=$W$7)),"x","")</f>
        <v/>
      </c>
      <c r="X5922" s="79" t="str">
        <f>IF(OR(TH!N5922=TH!$X$7,O5922=TH!$X$7),"x","")</f>
        <v/>
      </c>
      <c r="Y5922" s="79" t="str">
        <f>IF(AND(OR(N5922="131",O5922="131"),H5922='131-CT'!$H$9),"x","")</f>
        <v/>
      </c>
      <c r="Z5922" s="79"/>
      <c r="AA5922" s="79" t="str">
        <f>IF(AND(MONTH(E5922)='IN-NX'!$J$5,'IN-NX'!$D$7=D5922),"x","")</f>
        <v/>
      </c>
      <c r="AB5922" s="79" t="str">
        <f>IF(AND(OR(LEFT(TH!N5922,2)="15",LEFT(TH!O5922,2)="15"),LEFT(TH!O5922,3)&lt;&gt;"111",'152-CT'!$J$8=TH!F5922),"x","")</f>
        <v/>
      </c>
      <c r="AC5922" s="79" t="str">
        <f>IF(AND(OR(LEFT(TH!N5922,2)="15",LEFT(TH!O5922,2)="15"),TK!$E$7=TH!F5922),"x","")</f>
        <v/>
      </c>
      <c r="AD5922" s="79" t="str">
        <f>IF(AND(N5922="1521",MONTH(C5922)='BK-NL'!$M$11),"x","")</f>
        <v/>
      </c>
    </row>
    <row r="5923" spans="1:30" ht="16.5" customHeight="1">
      <c r="A5923" s="318" t="str">
        <f>IF(B5923&lt;&gt;"",IF(AND(B5923='IN-TC'!$S$4,OR(TH!N5923="1111",TH!O5923="1111")),TH!D5923,""),"")</f>
        <v/>
      </c>
      <c r="B5923" s="60" t="str">
        <f t="shared" si="513"/>
        <v/>
      </c>
      <c r="C5923" s="301"/>
      <c r="D5923" s="301"/>
      <c r="E5923" s="301"/>
      <c r="F5923" s="69"/>
      <c r="G5923" s="769"/>
      <c r="H5923" s="321"/>
      <c r="I5923" s="385"/>
      <c r="J5923" s="392"/>
      <c r="K5923" s="385"/>
      <c r="L5923" s="392"/>
      <c r="M5923" s="62"/>
      <c r="N5923" s="304"/>
      <c r="O5923" s="63"/>
      <c r="P5923" s="79" t="str">
        <f>IF(AND('331-CT'!$E$7=TH!H5923,OR(N5923="331",O5923="331")),"x","")</f>
        <v/>
      </c>
      <c r="Q5923" s="79" t="str">
        <f>IF(AND(B5923='111'!$L$11,OR($N5923=$Q$7,$O5923=$Q$7)),"x","")</f>
        <v/>
      </c>
      <c r="R5923" s="79" t="str">
        <f>IF(AND($N5923=$Q$7,$B5923&lt;'111'!$L$11),"x","")</f>
        <v/>
      </c>
      <c r="S5923" s="79" t="str">
        <f>IF(AND($O5923=$Q$7,$B5923&lt;'111'!$L$11),"x","")</f>
        <v/>
      </c>
      <c r="T5923" s="79" t="str">
        <f>IF(ISERROR(FIND('112'!$M$9,G5923,1)),"",IF((AND(FIND('112'!$M$9,G5923,1)&gt;=1,B5923='112'!$K$9,OR($N5923='112'!$I$6,$O5923='112'!$I$6))),"x",""))</f>
        <v/>
      </c>
      <c r="U5923" s="79" t="str">
        <f>IF(ISERROR(FIND('112'!$M$9,G5923,1)),"",IF((AND(LEFT(G5923,2)=LEFT('112'!$M$9,2),B5923&lt;'112'!$K$9,$N5923='112'!$I$6)),"x",""))</f>
        <v/>
      </c>
      <c r="V5923" s="79" t="str">
        <f>IF(ISERROR(FIND('112'!$M$9,G5923,1)),"",IF((AND(RIGHT(G5923,2)=RIGHT('112'!$M$9,2),B5923&lt;'112'!$K$9,$O5923='112'!$I$6)),"x",""))</f>
        <v/>
      </c>
      <c r="W5923" s="79" t="str">
        <f>IF(AND('341-CT'!$H$9=H5923,OR(LEFT(N5923,3)=$W$7,LEFT(O5923,3)=$W$7)),"x","")</f>
        <v/>
      </c>
      <c r="X5923" s="79" t="str">
        <f>IF(OR(TH!N5923=TH!$X$7,O5923=TH!$X$7),"x","")</f>
        <v/>
      </c>
      <c r="Y5923" s="79" t="str">
        <f>IF(AND(OR(N5923="131",O5923="131"),H5923='131-CT'!$H$9),"x","")</f>
        <v/>
      </c>
      <c r="Z5923" s="79"/>
      <c r="AA5923" s="79" t="str">
        <f>IF(AND(MONTH(E5923)='IN-NX'!$J$5,'IN-NX'!$D$7=D5923),"x","")</f>
        <v/>
      </c>
      <c r="AB5923" s="79" t="str">
        <f>IF(AND(OR(LEFT(TH!N5923,2)="15",LEFT(TH!O5923,2)="15"),LEFT(TH!O5923,3)&lt;&gt;"111",'152-CT'!$J$8=TH!F5923),"x","")</f>
        <v/>
      </c>
      <c r="AC5923" s="79" t="str">
        <f>IF(AND(OR(LEFT(TH!N5923,2)="15",LEFT(TH!O5923,2)="15"),TK!$E$7=TH!F5923),"x","")</f>
        <v/>
      </c>
      <c r="AD5923" s="79" t="str">
        <f>IF(AND(N5923="1521",MONTH(C5923)='BK-NL'!$M$11),"x","")</f>
        <v/>
      </c>
    </row>
    <row r="5924" spans="1:30" ht="16.5" customHeight="1">
      <c r="A5924" s="318" t="str">
        <f>IF(B5924&lt;&gt;"",IF(AND(B5924='IN-TC'!$S$4,OR(TH!N5924="1111",TH!O5924="1111")),TH!D5924,""),"")</f>
        <v/>
      </c>
      <c r="B5924" s="60" t="str">
        <f t="shared" si="513"/>
        <v/>
      </c>
      <c r="C5924" s="61"/>
      <c r="D5924" s="301"/>
      <c r="E5924" s="61"/>
      <c r="F5924" s="69"/>
      <c r="G5924" s="769"/>
      <c r="H5924" s="69"/>
      <c r="I5924" s="385"/>
      <c r="J5924" s="392"/>
      <c r="K5924" s="385"/>
      <c r="L5924" s="392"/>
      <c r="M5924" s="62"/>
      <c r="N5924" s="63"/>
      <c r="O5924" s="63"/>
      <c r="P5924" s="79" t="str">
        <f>IF(AND('331-CT'!$E$7=TH!H5924,OR(N5924="331",O5924="331")),"x","")</f>
        <v/>
      </c>
      <c r="Q5924" s="79" t="str">
        <f>IF(AND(B5924='111'!$L$11,OR($N5924=$Q$7,$O5924=$Q$7)),"x","")</f>
        <v/>
      </c>
      <c r="R5924" s="79" t="str">
        <f>IF(AND($N5924=$Q$7,$B5924&lt;'111'!$L$11),"x","")</f>
        <v/>
      </c>
      <c r="S5924" s="79" t="str">
        <f>IF(AND($O5924=$Q$7,$B5924&lt;'111'!$L$11),"x","")</f>
        <v/>
      </c>
      <c r="T5924" s="79" t="str">
        <f>IF(ISERROR(FIND('112'!$M$9,G5924,1)),"",IF((AND(FIND('112'!$M$9,G5924,1)&gt;=1,B5924='112'!$K$9,OR($N5924='112'!$I$6,$O5924='112'!$I$6))),"x",""))</f>
        <v/>
      </c>
      <c r="U5924" s="79" t="str">
        <f>IF(ISERROR(FIND('112'!$M$9,G5924,1)),"",IF((AND(LEFT(G5924,2)=LEFT('112'!$M$9,2),B5924&lt;'112'!$K$9,$N5924='112'!$I$6)),"x",""))</f>
        <v/>
      </c>
      <c r="V5924" s="79" t="str">
        <f>IF(ISERROR(FIND('112'!$M$9,G5924,1)),"",IF((AND(RIGHT(G5924,2)=RIGHT('112'!$M$9,2),B5924&lt;'112'!$K$9,$O5924='112'!$I$6)),"x",""))</f>
        <v/>
      </c>
      <c r="W5924" s="79" t="str">
        <f>IF(AND('341-CT'!$H$9=H5924,OR(LEFT(N5924,3)=$W$7,LEFT(O5924,3)=$W$7)),"x","")</f>
        <v/>
      </c>
      <c r="X5924" s="79" t="str">
        <f>IF(OR(TH!N5924=TH!$X$7,O5924=TH!$X$7),"x","")</f>
        <v/>
      </c>
      <c r="Y5924" s="79" t="str">
        <f>IF(AND(OR(N5924="131",O5924="131"),H5924='131-CT'!$H$9),"x","")</f>
        <v/>
      </c>
      <c r="Z5924" s="79"/>
      <c r="AA5924" s="79" t="str">
        <f>IF(AND(MONTH(E5924)='IN-NX'!$J$5,'IN-NX'!$D$7=D5924),"x","")</f>
        <v/>
      </c>
      <c r="AB5924" s="79" t="str">
        <f>IF(AND(OR(LEFT(TH!N5924,2)="15",LEFT(TH!O5924,2)="15"),LEFT(TH!O5924,3)&lt;&gt;"111",'152-CT'!$J$8=TH!F5924),"x","")</f>
        <v/>
      </c>
      <c r="AC5924" s="79" t="str">
        <f>IF(AND(OR(LEFT(TH!N5924,2)="15",LEFT(TH!O5924,2)="15"),TK!$E$7=TH!F5924),"x","")</f>
        <v/>
      </c>
      <c r="AD5924" s="79" t="str">
        <f>IF(AND(N5924="1521",MONTH(C5924)='BK-NL'!$M$11),"x","")</f>
        <v/>
      </c>
    </row>
    <row r="5925" spans="1:30" ht="16.5" customHeight="1">
      <c r="A5925" s="318" t="str">
        <f>IF(B5925&lt;&gt;"",IF(AND(B5925='IN-TC'!$S$4,OR(TH!N5925="1111",TH!O5925="1111")),TH!D5925,""),"")</f>
        <v/>
      </c>
      <c r="B5925" s="60" t="str">
        <f t="shared" si="513"/>
        <v/>
      </c>
      <c r="C5925" s="61"/>
      <c r="D5925" s="301"/>
      <c r="E5925" s="61"/>
      <c r="F5925" s="69"/>
      <c r="G5925" s="769"/>
      <c r="H5925" s="69"/>
      <c r="I5925" s="385"/>
      <c r="J5925" s="392"/>
      <c r="K5925" s="385"/>
      <c r="L5925" s="392"/>
      <c r="M5925" s="62"/>
      <c r="N5925" s="63"/>
      <c r="O5925" s="63"/>
      <c r="P5925" s="79" t="str">
        <f>IF(AND('331-CT'!$E$7=TH!H5925,OR(N5925="331",O5925="331")),"x","")</f>
        <v/>
      </c>
      <c r="Q5925" s="79" t="str">
        <f>IF(AND(B5925='111'!$L$11,OR($N5925=$Q$7,$O5925=$Q$7)),"x","")</f>
        <v/>
      </c>
      <c r="R5925" s="79" t="str">
        <f>IF(AND($N5925=$Q$7,$B5925&lt;'111'!$L$11),"x","")</f>
        <v/>
      </c>
      <c r="S5925" s="79" t="str">
        <f>IF(AND($O5925=$Q$7,$B5925&lt;'111'!$L$11),"x","")</f>
        <v/>
      </c>
      <c r="T5925" s="79" t="str">
        <f>IF(ISERROR(FIND('112'!$M$9,G5925,1)),"",IF((AND(FIND('112'!$M$9,G5925,1)&gt;=1,B5925='112'!$K$9,OR($N5925='112'!$I$6,$O5925='112'!$I$6))),"x",""))</f>
        <v/>
      </c>
      <c r="U5925" s="79" t="str">
        <f>IF(ISERROR(FIND('112'!$M$9,G5925,1)),"",IF((AND(LEFT(G5925,2)=LEFT('112'!$M$9,2),B5925&lt;'112'!$K$9,$N5925='112'!$I$6)),"x",""))</f>
        <v/>
      </c>
      <c r="V5925" s="79" t="str">
        <f>IF(ISERROR(FIND('112'!$M$9,G5925,1)),"",IF((AND(RIGHT(G5925,2)=RIGHT('112'!$M$9,2),B5925&lt;'112'!$K$9,$O5925='112'!$I$6)),"x",""))</f>
        <v/>
      </c>
      <c r="W5925" s="79" t="str">
        <f>IF(AND('341-CT'!$H$9=H5925,OR(LEFT(N5925,3)=$W$7,LEFT(O5925,3)=$W$7)),"x","")</f>
        <v/>
      </c>
      <c r="X5925" s="79" t="str">
        <f>IF(OR(TH!N5925=TH!$X$7,O5925=TH!$X$7),"x","")</f>
        <v/>
      </c>
      <c r="Y5925" s="79" t="str">
        <f>IF(AND(OR(N5925="131",O5925="131"),H5925='131-CT'!$H$9),"x","")</f>
        <v/>
      </c>
      <c r="Z5925" s="79"/>
      <c r="AA5925" s="79" t="str">
        <f>IF(AND(MONTH(E5925)='IN-NX'!$J$5,'IN-NX'!$D$7=D5925),"x","")</f>
        <v/>
      </c>
      <c r="AB5925" s="79" t="str">
        <f>IF(AND(OR(LEFT(TH!N5925,2)="15",LEFT(TH!O5925,2)="15"),LEFT(TH!O5925,3)&lt;&gt;"111",'152-CT'!$J$8=TH!F5925),"x","")</f>
        <v/>
      </c>
      <c r="AC5925" s="79" t="str">
        <f>IF(AND(OR(LEFT(TH!N5925,2)="15",LEFT(TH!O5925,2)="15"),TK!$E$7=TH!F5925),"x","")</f>
        <v/>
      </c>
      <c r="AD5925" s="79" t="str">
        <f>IF(AND(N5925="1521",MONTH(C5925)='BK-NL'!$M$11),"x","")</f>
        <v/>
      </c>
    </row>
    <row r="5926" spans="1:30" ht="16.5" customHeight="1">
      <c r="A5926" s="318" t="str">
        <f>IF(B5926&lt;&gt;"",IF(AND(B5926='IN-TC'!$S$4,OR(TH!N5926="1111",TH!O5926="1111")),TH!D5926,""),"")</f>
        <v/>
      </c>
      <c r="B5926" s="60" t="str">
        <f t="shared" si="513"/>
        <v/>
      </c>
      <c r="C5926" s="61"/>
      <c r="D5926" s="301"/>
      <c r="E5926" s="61"/>
      <c r="F5926" s="69"/>
      <c r="G5926" s="64"/>
      <c r="H5926" s="321"/>
      <c r="I5926" s="385"/>
      <c r="J5926" s="392"/>
      <c r="K5926" s="385"/>
      <c r="L5926" s="392"/>
      <c r="M5926" s="62"/>
      <c r="N5926" s="63"/>
      <c r="O5926" s="63"/>
      <c r="P5926" s="79" t="str">
        <f>IF(AND('331-CT'!$E$7=TH!H5926,OR(N5926="331",O5926="331")),"x","")</f>
        <v/>
      </c>
      <c r="Q5926" s="79" t="str">
        <f>IF(AND(B5926='111'!$L$11,OR($N5926=$Q$7,$O5926=$Q$7)),"x","")</f>
        <v/>
      </c>
      <c r="R5926" s="79" t="str">
        <f>IF(AND($N5926=$Q$7,$B5926&lt;'111'!$L$11),"x","")</f>
        <v/>
      </c>
      <c r="S5926" s="79" t="str">
        <f>IF(AND($O5926=$Q$7,$B5926&lt;'111'!$L$11),"x","")</f>
        <v/>
      </c>
      <c r="T5926" s="79" t="str">
        <f>IF(ISERROR(FIND('112'!$M$9,G5926,1)),"",IF((AND(FIND('112'!$M$9,G5926,1)&gt;=1,B5926='112'!$K$9,OR($N5926='112'!$I$6,$O5926='112'!$I$6))),"x",""))</f>
        <v/>
      </c>
      <c r="U5926" s="79" t="str">
        <f>IF(ISERROR(FIND('112'!$M$9,G5926,1)),"",IF((AND(LEFT(G5926,2)=LEFT('112'!$M$9,2),B5926&lt;'112'!$K$9,$N5926='112'!$I$6)),"x",""))</f>
        <v/>
      </c>
      <c r="V5926" s="79" t="str">
        <f>IF(ISERROR(FIND('112'!$M$9,G5926,1)),"",IF((AND(RIGHT(G5926,2)=RIGHT('112'!$M$9,2),B5926&lt;'112'!$K$9,$O5926='112'!$I$6)),"x",""))</f>
        <v/>
      </c>
      <c r="W5926" s="79" t="str">
        <f>IF(AND('341-CT'!$H$9=H5926,OR(LEFT(N5926,3)=$W$7,LEFT(O5926,3)=$W$7)),"x","")</f>
        <v/>
      </c>
      <c r="X5926" s="79" t="str">
        <f>IF(OR(TH!N5926=TH!$X$7,O5926=TH!$X$7),"x","")</f>
        <v/>
      </c>
      <c r="Y5926" s="79" t="str">
        <f>IF(AND(OR(N5926="131",O5926="131"),H5926='131-CT'!$H$9),"x","")</f>
        <v/>
      </c>
      <c r="Z5926" s="79"/>
      <c r="AA5926" s="79" t="str">
        <f>IF(AND(MONTH(E5926)='IN-NX'!$J$5,'IN-NX'!$D$7=D5926),"x","")</f>
        <v/>
      </c>
      <c r="AB5926" s="79" t="str">
        <f>IF(AND(OR(LEFT(TH!N5926,2)="15",LEFT(TH!O5926,2)="15"),LEFT(TH!O5926,3)&lt;&gt;"111",'152-CT'!$J$8=TH!F5926),"x","")</f>
        <v/>
      </c>
      <c r="AC5926" s="79" t="str">
        <f>IF(AND(OR(LEFT(TH!N5926,2)="15",LEFT(TH!O5926,2)="15"),TK!$E$7=TH!F5926),"x","")</f>
        <v/>
      </c>
      <c r="AD5926" s="79" t="str">
        <f>IF(AND(N5926="1521",MONTH(C5926)='BK-NL'!$M$11),"x","")</f>
        <v/>
      </c>
    </row>
    <row r="5927" spans="1:30" ht="16.5" customHeight="1">
      <c r="A5927" s="318" t="str">
        <f>IF(B5927&lt;&gt;"",IF(AND(B5927='IN-TC'!$S$4,OR(TH!N5927="1111",TH!O5927="1111")),TH!D5927,""),"")</f>
        <v/>
      </c>
      <c r="B5927" s="60" t="str">
        <f t="shared" si="513"/>
        <v/>
      </c>
      <c r="C5927" s="61"/>
      <c r="D5927" s="301"/>
      <c r="E5927" s="61"/>
      <c r="F5927" s="69"/>
      <c r="G5927" s="64"/>
      <c r="H5927" s="321"/>
      <c r="I5927" s="385"/>
      <c r="J5927" s="392"/>
      <c r="K5927" s="385"/>
      <c r="L5927" s="392"/>
      <c r="M5927" s="62"/>
      <c r="N5927" s="63"/>
      <c r="O5927" s="63"/>
      <c r="P5927" s="79" t="str">
        <f>IF(AND('331-CT'!$E$7=TH!H5927,OR(N5927="331",O5927="331")),"x","")</f>
        <v/>
      </c>
      <c r="Q5927" s="79" t="str">
        <f>IF(AND(B5927='111'!$L$11,OR($N5927=$Q$7,$O5927=$Q$7)),"x","")</f>
        <v/>
      </c>
      <c r="R5927" s="79" t="str">
        <f>IF(AND($N5927=$Q$7,$B5927&lt;'111'!$L$11),"x","")</f>
        <v/>
      </c>
      <c r="S5927" s="79" t="str">
        <f>IF(AND($O5927=$Q$7,$B5927&lt;'111'!$L$11),"x","")</f>
        <v/>
      </c>
      <c r="T5927" s="79" t="str">
        <f>IF(ISERROR(FIND('112'!$M$9,G5927,1)),"",IF((AND(FIND('112'!$M$9,G5927,1)&gt;=1,B5927='112'!$K$9,OR($N5927='112'!$I$6,$O5927='112'!$I$6))),"x",""))</f>
        <v/>
      </c>
      <c r="U5927" s="79" t="str">
        <f>IF(ISERROR(FIND('112'!$M$9,G5927,1)),"",IF((AND(LEFT(G5927,2)=LEFT('112'!$M$9,2),B5927&lt;'112'!$K$9,$N5927='112'!$I$6)),"x",""))</f>
        <v/>
      </c>
      <c r="V5927" s="79" t="str">
        <f>IF(ISERROR(FIND('112'!$M$9,G5927,1)),"",IF((AND(RIGHT(G5927,2)=RIGHT('112'!$M$9,2),B5927&lt;'112'!$K$9,$O5927='112'!$I$6)),"x",""))</f>
        <v/>
      </c>
      <c r="W5927" s="79" t="str">
        <f>IF(AND('341-CT'!$H$9=H5927,OR(LEFT(N5927,3)=$W$7,LEFT(O5927,3)=$W$7)),"x","")</f>
        <v/>
      </c>
      <c r="X5927" s="79" t="str">
        <f>IF(OR(TH!N5927=TH!$X$7,O5927=TH!$X$7),"x","")</f>
        <v/>
      </c>
      <c r="Y5927" s="79" t="str">
        <f>IF(AND(OR(N5927="131",O5927="131"),H5927='131-CT'!$H$9),"x","")</f>
        <v/>
      </c>
      <c r="Z5927" s="79"/>
      <c r="AA5927" s="79" t="str">
        <f>IF(AND(MONTH(E5927)='IN-NX'!$J$5,'IN-NX'!$D$7=D5927),"x","")</f>
        <v/>
      </c>
      <c r="AB5927" s="79" t="str">
        <f>IF(AND(OR(LEFT(TH!N5927,2)="15",LEFT(TH!O5927,2)="15"),LEFT(TH!O5927,3)&lt;&gt;"111",'152-CT'!$J$8=TH!F5927),"x","")</f>
        <v/>
      </c>
      <c r="AC5927" s="79" t="str">
        <f>IF(AND(OR(LEFT(TH!N5927,2)="15",LEFT(TH!O5927,2)="15"),TK!$E$7=TH!F5927),"x","")</f>
        <v/>
      </c>
      <c r="AD5927" s="79" t="str">
        <f>IF(AND(N5927="1521",MONTH(C5927)='BK-NL'!$M$11),"x","")</f>
        <v/>
      </c>
    </row>
    <row r="5928" spans="1:30" ht="16.5" customHeight="1">
      <c r="A5928" s="318" t="str">
        <f>IF(B5928&lt;&gt;"",IF(AND(B5928='IN-TC'!$S$4,OR(TH!N5928="1111",TH!O5928="1111")),TH!D5928,""),"")</f>
        <v/>
      </c>
      <c r="B5928" s="60" t="str">
        <f t="shared" si="513"/>
        <v/>
      </c>
      <c r="C5928" s="61"/>
      <c r="D5928" s="301"/>
      <c r="E5928" s="61"/>
      <c r="F5928" s="69"/>
      <c r="G5928" s="64"/>
      <c r="H5928" s="321"/>
      <c r="I5928" s="385"/>
      <c r="J5928" s="392"/>
      <c r="K5928" s="385"/>
      <c r="L5928" s="392"/>
      <c r="M5928" s="62"/>
      <c r="N5928" s="63"/>
      <c r="O5928" s="63"/>
      <c r="P5928" s="79" t="str">
        <f>IF(AND('331-CT'!$E$7=TH!H5928,OR(N5928="331",O5928="331")),"x","")</f>
        <v/>
      </c>
      <c r="Q5928" s="79" t="str">
        <f>IF(AND(B5928='111'!$L$11,OR($N5928=$Q$7,$O5928=$Q$7)),"x","")</f>
        <v/>
      </c>
      <c r="R5928" s="79" t="str">
        <f>IF(AND($N5928=$Q$7,$B5928&lt;'111'!$L$11),"x","")</f>
        <v/>
      </c>
      <c r="S5928" s="79" t="str">
        <f>IF(AND($O5928=$Q$7,$B5928&lt;'111'!$L$11),"x","")</f>
        <v/>
      </c>
      <c r="T5928" s="79" t="str">
        <f>IF(ISERROR(FIND('112'!$M$9,G5928,1)),"",IF((AND(FIND('112'!$M$9,G5928,1)&gt;=1,B5928='112'!$K$9,OR($N5928='112'!$I$6,$O5928='112'!$I$6))),"x",""))</f>
        <v/>
      </c>
      <c r="U5928" s="79" t="str">
        <f>IF(ISERROR(FIND('112'!$M$9,G5928,1)),"",IF((AND(LEFT(G5928,2)=LEFT('112'!$M$9,2),B5928&lt;'112'!$K$9,$N5928='112'!$I$6)),"x",""))</f>
        <v/>
      </c>
      <c r="V5928" s="79" t="str">
        <f>IF(ISERROR(FIND('112'!$M$9,G5928,1)),"",IF((AND(RIGHT(G5928,2)=RIGHT('112'!$M$9,2),B5928&lt;'112'!$K$9,$O5928='112'!$I$6)),"x",""))</f>
        <v/>
      </c>
      <c r="W5928" s="79" t="str">
        <f>IF(AND('341-CT'!$H$9=H5928,OR(LEFT(N5928,3)=$W$7,LEFT(O5928,3)=$W$7)),"x","")</f>
        <v/>
      </c>
      <c r="X5928" s="79" t="str">
        <f>IF(OR(TH!N5928=TH!$X$7,O5928=TH!$X$7),"x","")</f>
        <v/>
      </c>
      <c r="Y5928" s="79" t="str">
        <f>IF(AND(OR(N5928="131",O5928="131"),H5928='131-CT'!$H$9),"x","")</f>
        <v/>
      </c>
      <c r="Z5928" s="79"/>
      <c r="AA5928" s="79" t="str">
        <f>IF(AND(MONTH(E5928)='IN-NX'!$J$5,'IN-NX'!$D$7=D5928),"x","")</f>
        <v/>
      </c>
      <c r="AB5928" s="79" t="str">
        <f>IF(AND(OR(LEFT(TH!N5928,2)="15",LEFT(TH!O5928,2)="15"),LEFT(TH!O5928,3)&lt;&gt;"111",'152-CT'!$J$8=TH!F5928),"x","")</f>
        <v/>
      </c>
      <c r="AC5928" s="79" t="str">
        <f>IF(AND(OR(LEFT(TH!N5928,2)="15",LEFT(TH!O5928,2)="15"),TK!$E$7=TH!F5928),"x","")</f>
        <v/>
      </c>
      <c r="AD5928" s="79" t="str">
        <f>IF(AND(N5928="1521",MONTH(C5928)='BK-NL'!$M$11),"x","")</f>
        <v/>
      </c>
    </row>
    <row r="5929" spans="1:30" ht="16.5" customHeight="1">
      <c r="A5929" s="318" t="str">
        <f>IF(B5929&lt;&gt;"",IF(AND(B5929='IN-TC'!$S$4,OR(TH!N5929="1111",TH!O5929="1111")),TH!D5929,""),"")</f>
        <v/>
      </c>
      <c r="B5929" s="60" t="str">
        <f t="shared" si="513"/>
        <v/>
      </c>
      <c r="C5929" s="301"/>
      <c r="D5929" s="301"/>
      <c r="E5929" s="301"/>
      <c r="F5929" s="69"/>
      <c r="G5929" s="769"/>
      <c r="H5929" s="303"/>
      <c r="I5929" s="385"/>
      <c r="J5929" s="392"/>
      <c r="K5929" s="385"/>
      <c r="L5929" s="392"/>
      <c r="M5929" s="62"/>
      <c r="N5929" s="63"/>
      <c r="O5929" s="63"/>
      <c r="P5929" s="79" t="str">
        <f>IF(AND('331-CT'!$E$7=TH!H5929,OR(N5929="331",O5929="331")),"x","")</f>
        <v/>
      </c>
      <c r="Q5929" s="79" t="str">
        <f>IF(AND(B5929='111'!$L$11,OR($N5929=$Q$7,$O5929=$Q$7)),"x","")</f>
        <v/>
      </c>
      <c r="R5929" s="79" t="str">
        <f>IF(AND($N5929=$Q$7,$B5929&lt;'111'!$L$11),"x","")</f>
        <v/>
      </c>
      <c r="S5929" s="79" t="str">
        <f>IF(AND($O5929=$Q$7,$B5929&lt;'111'!$L$11),"x","")</f>
        <v/>
      </c>
      <c r="T5929" s="79" t="str">
        <f>IF(ISERROR(FIND('112'!$M$9,G5929,1)),"",IF((AND(FIND('112'!$M$9,G5929,1)&gt;=1,B5929='112'!$K$9,OR($N5929='112'!$I$6,$O5929='112'!$I$6))),"x",""))</f>
        <v/>
      </c>
      <c r="U5929" s="79" t="str">
        <f>IF(ISERROR(FIND('112'!$M$9,G5929,1)),"",IF((AND(LEFT(G5929,2)=LEFT('112'!$M$9,2),B5929&lt;'112'!$K$9,$N5929='112'!$I$6)),"x",""))</f>
        <v/>
      </c>
      <c r="V5929" s="79" t="str">
        <f>IF(ISERROR(FIND('112'!$M$9,G5929,1)),"",IF((AND(RIGHT(G5929,2)=RIGHT('112'!$M$9,2),B5929&lt;'112'!$K$9,$O5929='112'!$I$6)),"x",""))</f>
        <v/>
      </c>
      <c r="W5929" s="79" t="str">
        <f>IF(AND('341-CT'!$H$9=H5929,OR(LEFT(N5929,3)=$W$7,LEFT(O5929,3)=$W$7)),"x","")</f>
        <v/>
      </c>
      <c r="X5929" s="79" t="str">
        <f>IF(OR(TH!N5929=TH!$X$7,O5929=TH!$X$7),"x","")</f>
        <v/>
      </c>
      <c r="Y5929" s="79" t="str">
        <f>IF(AND(OR(N5929="131",O5929="131"),H5929='131-CT'!$H$9),"x","")</f>
        <v/>
      </c>
      <c r="Z5929" s="79"/>
      <c r="AA5929" s="79" t="str">
        <f>IF(AND(MONTH(E5929)='IN-NX'!$J$5,'IN-NX'!$D$7=D5929),"x","")</f>
        <v/>
      </c>
      <c r="AB5929" s="79" t="str">
        <f>IF(AND(OR(LEFT(TH!N5929,2)="15",LEFT(TH!O5929,2)="15"),LEFT(TH!O5929,3)&lt;&gt;"111",'152-CT'!$J$8=TH!F5929),"x","")</f>
        <v/>
      </c>
      <c r="AC5929" s="79" t="str">
        <f>IF(AND(OR(LEFT(TH!N5929,2)="15",LEFT(TH!O5929,2)="15"),TK!$E$7=TH!F5929),"x","")</f>
        <v/>
      </c>
      <c r="AD5929" s="79" t="str">
        <f>IF(AND(N5929="1521",MONTH(C5929)='BK-NL'!$M$11),"x","")</f>
        <v/>
      </c>
    </row>
    <row r="5930" spans="1:30" ht="16.5" customHeight="1">
      <c r="A5930" s="318" t="str">
        <f>IF(B5930&lt;&gt;"",IF(AND(B5930='IN-TC'!$S$4,OR(TH!N5930="1111",TH!O5930="1111")),TH!D5930,""),"")</f>
        <v/>
      </c>
      <c r="B5930" s="60" t="str">
        <f t="shared" si="513"/>
        <v/>
      </c>
      <c r="C5930" s="301"/>
      <c r="D5930" s="301"/>
      <c r="E5930" s="301"/>
      <c r="F5930" s="69"/>
      <c r="G5930" s="769"/>
      <c r="H5930" s="303"/>
      <c r="I5930" s="385"/>
      <c r="J5930" s="392"/>
      <c r="K5930" s="385"/>
      <c r="L5930" s="392"/>
      <c r="M5930" s="62"/>
      <c r="N5930" s="63"/>
      <c r="O5930" s="63"/>
      <c r="P5930" s="79" t="str">
        <f>IF(AND('331-CT'!$E$7=TH!H5930,OR(N5930="331",O5930="331")),"x","")</f>
        <v/>
      </c>
      <c r="Q5930" s="79" t="str">
        <f>IF(AND(B5930='111'!$L$11,OR($N5930=$Q$7,$O5930=$Q$7)),"x","")</f>
        <v/>
      </c>
      <c r="R5930" s="79" t="str">
        <f>IF(AND($N5930=$Q$7,$B5930&lt;'111'!$L$11),"x","")</f>
        <v/>
      </c>
      <c r="S5930" s="79" t="str">
        <f>IF(AND($O5930=$Q$7,$B5930&lt;'111'!$L$11),"x","")</f>
        <v/>
      </c>
      <c r="T5930" s="79" t="str">
        <f>IF(ISERROR(FIND('112'!$M$9,G5930,1)),"",IF((AND(FIND('112'!$M$9,G5930,1)&gt;=1,B5930='112'!$K$9,OR($N5930='112'!$I$6,$O5930='112'!$I$6))),"x",""))</f>
        <v/>
      </c>
      <c r="U5930" s="79" t="str">
        <f>IF(ISERROR(FIND('112'!$M$9,G5930,1)),"",IF((AND(LEFT(G5930,2)=LEFT('112'!$M$9,2),B5930&lt;'112'!$K$9,$N5930='112'!$I$6)),"x",""))</f>
        <v/>
      </c>
      <c r="V5930" s="79" t="str">
        <f>IF(ISERROR(FIND('112'!$M$9,G5930,1)),"",IF((AND(RIGHT(G5930,2)=RIGHT('112'!$M$9,2),B5930&lt;'112'!$K$9,$O5930='112'!$I$6)),"x",""))</f>
        <v/>
      </c>
      <c r="W5930" s="79" t="str">
        <f>IF(AND('341-CT'!$H$9=H5930,OR(LEFT(N5930,3)=$W$7,LEFT(O5930,3)=$W$7)),"x","")</f>
        <v/>
      </c>
      <c r="X5930" s="79" t="str">
        <f>IF(OR(TH!N5930=TH!$X$7,O5930=TH!$X$7),"x","")</f>
        <v/>
      </c>
      <c r="Y5930" s="79" t="str">
        <f>IF(AND(OR(N5930="131",O5930="131"),H5930='131-CT'!$H$9),"x","")</f>
        <v/>
      </c>
      <c r="Z5930" s="79"/>
      <c r="AA5930" s="79" t="str">
        <f>IF(AND(MONTH(E5930)='IN-NX'!$J$5,'IN-NX'!$D$7=D5930),"x","")</f>
        <v/>
      </c>
      <c r="AB5930" s="79" t="str">
        <f>IF(AND(OR(LEFT(TH!N5930,2)="15",LEFT(TH!O5930,2)="15"),LEFT(TH!O5930,3)&lt;&gt;"111",'152-CT'!$J$8=TH!F5930),"x","")</f>
        <v/>
      </c>
      <c r="AC5930" s="79" t="str">
        <f>IF(AND(OR(LEFT(TH!N5930,2)="15",LEFT(TH!O5930,2)="15"),TK!$E$7=TH!F5930),"x","")</f>
        <v/>
      </c>
      <c r="AD5930" s="79" t="str">
        <f>IF(AND(N5930="1521",MONTH(C5930)='BK-NL'!$M$11),"x","")</f>
        <v/>
      </c>
    </row>
    <row r="5931" spans="1:30" ht="16.5" customHeight="1">
      <c r="A5931" s="318" t="str">
        <f>IF(B5931&lt;&gt;"",IF(AND(B5931='IN-TC'!$S$4,OR(TH!N5931="1111",TH!O5931="1111")),TH!D5931,""),"")</f>
        <v/>
      </c>
      <c r="B5931" s="60" t="str">
        <f t="shared" si="513"/>
        <v/>
      </c>
      <c r="C5931" s="61"/>
      <c r="D5931" s="301"/>
      <c r="E5931" s="61"/>
      <c r="F5931" s="69"/>
      <c r="G5931" s="64"/>
      <c r="H5931" s="69"/>
      <c r="I5931" s="385"/>
      <c r="J5931" s="392"/>
      <c r="K5931" s="385"/>
      <c r="L5931" s="392"/>
      <c r="M5931" s="62"/>
      <c r="N5931" s="63"/>
      <c r="O5931" s="63"/>
      <c r="P5931" s="79" t="str">
        <f>IF(AND('331-CT'!$E$7=TH!H5931,OR(N5931="331",O5931="331")),"x","")</f>
        <v/>
      </c>
      <c r="Q5931" s="79" t="str">
        <f>IF(AND(B5931='111'!$L$11,OR($N5931=$Q$7,$O5931=$Q$7)),"x","")</f>
        <v/>
      </c>
      <c r="R5931" s="79" t="str">
        <f>IF(AND($N5931=$Q$7,$B5931&lt;'111'!$L$11),"x","")</f>
        <v/>
      </c>
      <c r="S5931" s="79" t="str">
        <f>IF(AND($O5931=$Q$7,$B5931&lt;'111'!$L$11),"x","")</f>
        <v/>
      </c>
      <c r="T5931" s="79" t="str">
        <f>IF(ISERROR(FIND('112'!$M$9,G5931,1)),"",IF((AND(FIND('112'!$M$9,G5931,1)&gt;=1,B5931='112'!$K$9,OR($N5931='112'!$I$6,$O5931='112'!$I$6))),"x",""))</f>
        <v/>
      </c>
      <c r="U5931" s="79" t="str">
        <f>IF(ISERROR(FIND('112'!$M$9,G5931,1)),"",IF((AND(LEFT(G5931,2)=LEFT('112'!$M$9,2),B5931&lt;'112'!$K$9,$N5931='112'!$I$6)),"x",""))</f>
        <v/>
      </c>
      <c r="V5931" s="79" t="str">
        <f>IF(ISERROR(FIND('112'!$M$9,G5931,1)),"",IF((AND(RIGHT(G5931,2)=RIGHT('112'!$M$9,2),B5931&lt;'112'!$K$9,$O5931='112'!$I$6)),"x",""))</f>
        <v/>
      </c>
      <c r="W5931" s="79" t="str">
        <f>IF(AND('341-CT'!$H$9=H5931,OR(LEFT(N5931,3)=$W$7,LEFT(O5931,3)=$W$7)),"x","")</f>
        <v/>
      </c>
      <c r="X5931" s="79" t="str">
        <f>IF(OR(TH!N5931=TH!$X$7,O5931=TH!$X$7),"x","")</f>
        <v/>
      </c>
      <c r="Y5931" s="79" t="str">
        <f>IF(AND(OR(N5931="131",O5931="131"),H5931='131-CT'!$H$9),"x","")</f>
        <v/>
      </c>
      <c r="Z5931" s="79"/>
      <c r="AA5931" s="79" t="str">
        <f>IF(AND(MONTH(E5931)='IN-NX'!$J$5,'IN-NX'!$D$7=D5931),"x","")</f>
        <v/>
      </c>
      <c r="AB5931" s="79" t="str">
        <f>IF(AND(OR(LEFT(TH!N5931,2)="15",LEFT(TH!O5931,2)="15"),LEFT(TH!O5931,3)&lt;&gt;"111",'152-CT'!$J$8=TH!F5931),"x","")</f>
        <v/>
      </c>
      <c r="AC5931" s="79" t="str">
        <f>IF(AND(OR(LEFT(TH!N5931,2)="15",LEFT(TH!O5931,2)="15"),TK!$E$7=TH!F5931),"x","")</f>
        <v/>
      </c>
      <c r="AD5931" s="79" t="str">
        <f>IF(AND(N5931="1521",MONTH(C5931)='BK-NL'!$M$11),"x","")</f>
        <v/>
      </c>
    </row>
    <row r="5932" spans="1:30" ht="16.5" customHeight="1">
      <c r="A5932" s="318" t="str">
        <f>IF(B5932&lt;&gt;"",IF(AND(B5932='IN-TC'!$S$4,OR(TH!N5932="1111",TH!O5932="1111")),TH!D5932,""),"")</f>
        <v/>
      </c>
      <c r="B5932" s="60" t="str">
        <f t="shared" si="513"/>
        <v/>
      </c>
      <c r="C5932" s="61"/>
      <c r="D5932" s="301"/>
      <c r="E5932" s="61"/>
      <c r="F5932" s="69"/>
      <c r="G5932" s="64"/>
      <c r="H5932" s="69"/>
      <c r="I5932" s="385"/>
      <c r="J5932" s="392"/>
      <c r="K5932" s="385"/>
      <c r="L5932" s="392"/>
      <c r="M5932" s="62"/>
      <c r="N5932" s="63"/>
      <c r="O5932" s="63"/>
      <c r="P5932" s="79" t="str">
        <f>IF(AND('331-CT'!$E$7=TH!H5932,OR(N5932="331",O5932="331")),"x","")</f>
        <v/>
      </c>
      <c r="Q5932" s="79" t="str">
        <f>IF(AND(B5932='111'!$L$11,OR($N5932=$Q$7,$O5932=$Q$7)),"x","")</f>
        <v/>
      </c>
      <c r="R5932" s="79" t="str">
        <f>IF(AND($N5932=$Q$7,$B5932&lt;'111'!$L$11),"x","")</f>
        <v/>
      </c>
      <c r="S5932" s="79" t="str">
        <f>IF(AND($O5932=$Q$7,$B5932&lt;'111'!$L$11),"x","")</f>
        <v/>
      </c>
      <c r="T5932" s="79" t="str">
        <f>IF(ISERROR(FIND('112'!$M$9,G5932,1)),"",IF((AND(FIND('112'!$M$9,G5932,1)&gt;=1,B5932='112'!$K$9,OR($N5932='112'!$I$6,$O5932='112'!$I$6))),"x",""))</f>
        <v/>
      </c>
      <c r="U5932" s="79" t="str">
        <f>IF(ISERROR(FIND('112'!$M$9,G5932,1)),"",IF((AND(LEFT(G5932,2)=LEFT('112'!$M$9,2),B5932&lt;'112'!$K$9,$N5932='112'!$I$6)),"x",""))</f>
        <v/>
      </c>
      <c r="V5932" s="79" t="str">
        <f>IF(ISERROR(FIND('112'!$M$9,G5932,1)),"",IF((AND(RIGHT(G5932,2)=RIGHT('112'!$M$9,2),B5932&lt;'112'!$K$9,$O5932='112'!$I$6)),"x",""))</f>
        <v/>
      </c>
      <c r="W5932" s="79" t="str">
        <f>IF(AND('341-CT'!$H$9=H5932,OR(LEFT(N5932,3)=$W$7,LEFT(O5932,3)=$W$7)),"x","")</f>
        <v/>
      </c>
      <c r="X5932" s="79" t="str">
        <f>IF(OR(TH!N5932=TH!$X$7,O5932=TH!$X$7),"x","")</f>
        <v/>
      </c>
      <c r="Y5932" s="79" t="str">
        <f>IF(AND(OR(N5932="131",O5932="131"),H5932='131-CT'!$H$9),"x","")</f>
        <v/>
      </c>
      <c r="Z5932" s="79"/>
      <c r="AA5932" s="79" t="str">
        <f>IF(AND(MONTH(E5932)='IN-NX'!$J$5,'IN-NX'!$D$7=D5932),"x","")</f>
        <v/>
      </c>
      <c r="AB5932" s="79" t="str">
        <f>IF(AND(OR(LEFT(TH!N5932,2)="15",LEFT(TH!O5932,2)="15"),LEFT(TH!O5932,3)&lt;&gt;"111",'152-CT'!$J$8=TH!F5932),"x","")</f>
        <v/>
      </c>
      <c r="AC5932" s="79" t="str">
        <f>IF(AND(OR(LEFT(TH!N5932,2)="15",LEFT(TH!O5932,2)="15"),TK!$E$7=TH!F5932),"x","")</f>
        <v/>
      </c>
      <c r="AD5932" s="79" t="str">
        <f>IF(AND(N5932="1521",MONTH(C5932)='BK-NL'!$M$11),"x","")</f>
        <v/>
      </c>
    </row>
    <row r="5933" spans="1:30" ht="16.5" customHeight="1">
      <c r="A5933" s="318" t="str">
        <f>IF(B5933&lt;&gt;"",IF(AND(B5933='IN-TC'!$S$4,OR(TH!N5933="1111",TH!O5933="1111")),TH!D5933,""),"")</f>
        <v/>
      </c>
      <c r="B5933" s="60" t="str">
        <f t="shared" si="513"/>
        <v/>
      </c>
      <c r="C5933" s="61"/>
      <c r="D5933" s="301"/>
      <c r="E5933" s="61"/>
      <c r="F5933" s="69"/>
      <c r="G5933" s="64"/>
      <c r="H5933" s="69"/>
      <c r="I5933" s="385"/>
      <c r="J5933" s="392"/>
      <c r="K5933" s="385"/>
      <c r="L5933" s="392"/>
      <c r="M5933" s="62"/>
      <c r="N5933" s="63"/>
      <c r="O5933" s="63"/>
      <c r="P5933" s="79" t="str">
        <f>IF(AND('331-CT'!$E$7=TH!H5933,OR(N5933="331",O5933="331")),"x","")</f>
        <v/>
      </c>
      <c r="Q5933" s="79" t="str">
        <f>IF(AND(B5933='111'!$L$11,OR($N5933=$Q$7,$O5933=$Q$7)),"x","")</f>
        <v/>
      </c>
      <c r="R5933" s="79" t="str">
        <f>IF(AND($N5933=$Q$7,$B5933&lt;'111'!$L$11),"x","")</f>
        <v/>
      </c>
      <c r="S5933" s="79" t="str">
        <f>IF(AND($O5933=$Q$7,$B5933&lt;'111'!$L$11),"x","")</f>
        <v/>
      </c>
      <c r="T5933" s="79" t="str">
        <f>IF(ISERROR(FIND('112'!$M$9,G5933,1)),"",IF((AND(FIND('112'!$M$9,G5933,1)&gt;=1,B5933='112'!$K$9,OR($N5933='112'!$I$6,$O5933='112'!$I$6))),"x",""))</f>
        <v/>
      </c>
      <c r="U5933" s="79" t="str">
        <f>IF(ISERROR(FIND('112'!$M$9,G5933,1)),"",IF((AND(LEFT(G5933,2)=LEFT('112'!$M$9,2),B5933&lt;'112'!$K$9,$N5933='112'!$I$6)),"x",""))</f>
        <v/>
      </c>
      <c r="V5933" s="79" t="str">
        <f>IF(ISERROR(FIND('112'!$M$9,G5933,1)),"",IF((AND(RIGHT(G5933,2)=RIGHT('112'!$M$9,2),B5933&lt;'112'!$K$9,$O5933='112'!$I$6)),"x",""))</f>
        <v/>
      </c>
      <c r="W5933" s="79" t="str">
        <f>IF(AND('341-CT'!$H$9=H5933,OR(LEFT(N5933,3)=$W$7,LEFT(O5933,3)=$W$7)),"x","")</f>
        <v/>
      </c>
      <c r="X5933" s="79" t="str">
        <f>IF(OR(TH!N5933=TH!$X$7,O5933=TH!$X$7),"x","")</f>
        <v/>
      </c>
      <c r="Y5933" s="79" t="str">
        <f>IF(AND(OR(N5933="131",O5933="131"),H5933='131-CT'!$H$9),"x","")</f>
        <v/>
      </c>
      <c r="Z5933" s="79"/>
      <c r="AA5933" s="79" t="str">
        <f>IF(AND(MONTH(E5933)='IN-NX'!$J$5,'IN-NX'!$D$7=D5933),"x","")</f>
        <v/>
      </c>
      <c r="AB5933" s="79" t="str">
        <f>IF(AND(OR(LEFT(TH!N5933,2)="15",LEFT(TH!O5933,2)="15"),LEFT(TH!O5933,3)&lt;&gt;"111",'152-CT'!$J$8=TH!F5933),"x","")</f>
        <v/>
      </c>
      <c r="AC5933" s="79" t="str">
        <f>IF(AND(OR(LEFT(TH!N5933,2)="15",LEFT(TH!O5933,2)="15"),TK!$E$7=TH!F5933),"x","")</f>
        <v/>
      </c>
      <c r="AD5933" s="79" t="str">
        <f>IF(AND(N5933="1521",MONTH(C5933)='BK-NL'!$M$11),"x","")</f>
        <v/>
      </c>
    </row>
    <row r="5934" spans="1:30" ht="16.5" customHeight="1">
      <c r="A5934" s="318" t="str">
        <f>IF(B5934&lt;&gt;"",IF(AND(B5934='IN-TC'!$S$4,OR(TH!N5934="1111",TH!O5934="1111")),TH!D5934,""),"")</f>
        <v/>
      </c>
      <c r="B5934" s="60" t="str">
        <f t="shared" si="513"/>
        <v/>
      </c>
      <c r="C5934" s="61"/>
      <c r="D5934" s="301"/>
      <c r="E5934" s="61"/>
      <c r="F5934" s="69"/>
      <c r="G5934" s="64"/>
      <c r="H5934" s="69"/>
      <c r="I5934" s="385"/>
      <c r="J5934" s="392"/>
      <c r="K5934" s="385"/>
      <c r="L5934" s="392"/>
      <c r="M5934" s="62"/>
      <c r="N5934" s="63"/>
      <c r="O5934" s="63"/>
      <c r="P5934" s="79" t="str">
        <f>IF(AND('331-CT'!$E$7=TH!H5934,OR(N5934="331",O5934="331")),"x","")</f>
        <v/>
      </c>
      <c r="Q5934" s="79" t="str">
        <f>IF(AND(B5934='111'!$L$11,OR($N5934=$Q$7,$O5934=$Q$7)),"x","")</f>
        <v/>
      </c>
      <c r="R5934" s="79" t="str">
        <f>IF(AND($N5934=$Q$7,$B5934&lt;'111'!$L$11),"x","")</f>
        <v/>
      </c>
      <c r="S5934" s="79" t="str">
        <f>IF(AND($O5934=$Q$7,$B5934&lt;'111'!$L$11),"x","")</f>
        <v/>
      </c>
      <c r="T5934" s="79" t="str">
        <f>IF(ISERROR(FIND('112'!$M$9,G5934,1)),"",IF((AND(FIND('112'!$M$9,G5934,1)&gt;=1,B5934='112'!$K$9,OR($N5934='112'!$I$6,$O5934='112'!$I$6))),"x",""))</f>
        <v/>
      </c>
      <c r="U5934" s="79" t="str">
        <f>IF(ISERROR(FIND('112'!$M$9,G5934,1)),"",IF((AND(LEFT(G5934,2)=LEFT('112'!$M$9,2),B5934&lt;'112'!$K$9,$N5934='112'!$I$6)),"x",""))</f>
        <v/>
      </c>
      <c r="V5934" s="79" t="str">
        <f>IF(ISERROR(FIND('112'!$M$9,G5934,1)),"",IF((AND(RIGHT(G5934,2)=RIGHT('112'!$M$9,2),B5934&lt;'112'!$K$9,$O5934='112'!$I$6)),"x",""))</f>
        <v/>
      </c>
      <c r="W5934" s="79" t="str">
        <f>IF(AND('341-CT'!$H$9=H5934,OR(LEFT(N5934,3)=$W$7,LEFT(O5934,3)=$W$7)),"x","")</f>
        <v/>
      </c>
      <c r="X5934" s="79" t="str">
        <f>IF(OR(TH!N5934=TH!$X$7,O5934=TH!$X$7),"x","")</f>
        <v/>
      </c>
      <c r="Y5934" s="79" t="str">
        <f>IF(AND(OR(N5934="131",O5934="131"),H5934='131-CT'!$H$9),"x","")</f>
        <v/>
      </c>
      <c r="Z5934" s="79"/>
      <c r="AA5934" s="79" t="str">
        <f>IF(AND(MONTH(E5934)='IN-NX'!$J$5,'IN-NX'!$D$7=D5934),"x","")</f>
        <v/>
      </c>
      <c r="AB5934" s="79" t="str">
        <f>IF(AND(OR(LEFT(TH!N5934,2)="15",LEFT(TH!O5934,2)="15"),LEFT(TH!O5934,3)&lt;&gt;"111",'152-CT'!$J$8=TH!F5934),"x","")</f>
        <v/>
      </c>
      <c r="AC5934" s="79" t="str">
        <f>IF(AND(OR(LEFT(TH!N5934,2)="15",LEFT(TH!O5934,2)="15"),TK!$E$7=TH!F5934),"x","")</f>
        <v/>
      </c>
      <c r="AD5934" s="79" t="str">
        <f>IF(AND(N5934="1521",MONTH(C5934)='BK-NL'!$M$11),"x","")</f>
        <v/>
      </c>
    </row>
    <row r="5935" spans="1:30" ht="16.5" customHeight="1">
      <c r="A5935" s="318" t="str">
        <f>IF(B5935&lt;&gt;"",IF(AND(B5935='IN-TC'!$S$4,OR(TH!N5935="1111",TH!O5935="1111")),TH!D5935,""),"")</f>
        <v/>
      </c>
      <c r="B5935" s="60" t="str">
        <f t="shared" si="513"/>
        <v/>
      </c>
      <c r="C5935" s="61"/>
      <c r="D5935" s="301"/>
      <c r="E5935" s="61"/>
      <c r="F5935" s="69"/>
      <c r="G5935" s="64"/>
      <c r="H5935" s="69"/>
      <c r="I5935" s="385"/>
      <c r="J5935" s="392"/>
      <c r="K5935" s="385"/>
      <c r="L5935" s="392"/>
      <c r="M5935" s="62"/>
      <c r="N5935" s="63"/>
      <c r="O5935" s="63"/>
      <c r="P5935" s="79" t="str">
        <f>IF(AND('331-CT'!$E$7=TH!H5935,OR(N5935="331",O5935="331")),"x","")</f>
        <v/>
      </c>
      <c r="Q5935" s="79" t="str">
        <f>IF(AND(B5935='111'!$L$11,OR($N5935=$Q$7,$O5935=$Q$7)),"x","")</f>
        <v/>
      </c>
      <c r="R5935" s="79" t="str">
        <f>IF(AND($N5935=$Q$7,$B5935&lt;'111'!$L$11),"x","")</f>
        <v/>
      </c>
      <c r="S5935" s="79" t="str">
        <f>IF(AND($O5935=$Q$7,$B5935&lt;'111'!$L$11),"x","")</f>
        <v/>
      </c>
      <c r="T5935" s="79" t="str">
        <f>IF(ISERROR(FIND('112'!$M$9,G5935,1)),"",IF((AND(FIND('112'!$M$9,G5935,1)&gt;=1,B5935='112'!$K$9,OR($N5935='112'!$I$6,$O5935='112'!$I$6))),"x",""))</f>
        <v/>
      </c>
      <c r="U5935" s="79" t="str">
        <f>IF(ISERROR(FIND('112'!$M$9,G5935,1)),"",IF((AND(LEFT(G5935,2)=LEFT('112'!$M$9,2),B5935&lt;'112'!$K$9,$N5935='112'!$I$6)),"x",""))</f>
        <v/>
      </c>
      <c r="V5935" s="79" t="str">
        <f>IF(ISERROR(FIND('112'!$M$9,G5935,1)),"",IF((AND(RIGHT(G5935,2)=RIGHT('112'!$M$9,2),B5935&lt;'112'!$K$9,$O5935='112'!$I$6)),"x",""))</f>
        <v/>
      </c>
      <c r="W5935" s="79" t="str">
        <f>IF(AND('341-CT'!$H$9=H5935,OR(LEFT(N5935,3)=$W$7,LEFT(O5935,3)=$W$7)),"x","")</f>
        <v/>
      </c>
      <c r="X5935" s="79" t="str">
        <f>IF(OR(TH!N5935=TH!$X$7,O5935=TH!$X$7),"x","")</f>
        <v/>
      </c>
      <c r="Y5935" s="79" t="str">
        <f>IF(AND(OR(N5935="131",O5935="131"),H5935='131-CT'!$H$9),"x","")</f>
        <v/>
      </c>
      <c r="Z5935" s="79"/>
      <c r="AA5935" s="79" t="str">
        <f>IF(AND(MONTH(E5935)='IN-NX'!$J$5,'IN-NX'!$D$7=D5935),"x","")</f>
        <v/>
      </c>
      <c r="AB5935" s="79" t="str">
        <f>IF(AND(OR(LEFT(TH!N5935,2)="15",LEFT(TH!O5935,2)="15"),LEFT(TH!O5935,3)&lt;&gt;"111",'152-CT'!$J$8=TH!F5935),"x","")</f>
        <v/>
      </c>
      <c r="AC5935" s="79" t="str">
        <f>IF(AND(OR(LEFT(TH!N5935,2)="15",LEFT(TH!O5935,2)="15"),TK!$E$7=TH!F5935),"x","")</f>
        <v/>
      </c>
      <c r="AD5935" s="79" t="str">
        <f>IF(AND(N5935="1521",MONTH(C5935)='BK-NL'!$M$11),"x","")</f>
        <v/>
      </c>
    </row>
    <row r="5936" spans="1:30" ht="16.5" customHeight="1">
      <c r="A5936" s="318" t="str">
        <f>IF(B5936&lt;&gt;"",IF(AND(B5936='IN-TC'!$S$4,OR(TH!N5936="1111",TH!O5936="1111")),TH!D5936,""),"")</f>
        <v/>
      </c>
      <c r="B5936" s="60" t="str">
        <f t="shared" si="513"/>
        <v/>
      </c>
      <c r="C5936" s="61"/>
      <c r="D5936" s="301"/>
      <c r="E5936" s="61"/>
      <c r="F5936" s="69"/>
      <c r="G5936" s="64"/>
      <c r="H5936" s="69"/>
      <c r="I5936" s="385"/>
      <c r="J5936" s="392"/>
      <c r="K5936" s="385"/>
      <c r="L5936" s="392"/>
      <c r="M5936" s="62"/>
      <c r="N5936" s="63"/>
      <c r="O5936" s="63"/>
      <c r="P5936" s="79" t="str">
        <f>IF(AND('331-CT'!$E$7=TH!H5936,OR(N5936="331",O5936="331")),"x","")</f>
        <v/>
      </c>
      <c r="Q5936" s="79" t="str">
        <f>IF(AND(B5936='111'!$L$11,OR($N5936=$Q$7,$O5936=$Q$7)),"x","")</f>
        <v/>
      </c>
      <c r="R5936" s="79" t="str">
        <f>IF(AND($N5936=$Q$7,$B5936&lt;'111'!$L$11),"x","")</f>
        <v/>
      </c>
      <c r="S5936" s="79" t="str">
        <f>IF(AND($O5936=$Q$7,$B5936&lt;'111'!$L$11),"x","")</f>
        <v/>
      </c>
      <c r="T5936" s="79" t="str">
        <f>IF(ISERROR(FIND('112'!$M$9,G5936,1)),"",IF((AND(FIND('112'!$M$9,G5936,1)&gt;=1,B5936='112'!$K$9,OR($N5936='112'!$I$6,$O5936='112'!$I$6))),"x",""))</f>
        <v/>
      </c>
      <c r="U5936" s="79" t="str">
        <f>IF(ISERROR(FIND('112'!$M$9,G5936,1)),"",IF((AND(LEFT(G5936,2)=LEFT('112'!$M$9,2),B5936&lt;'112'!$K$9,$N5936='112'!$I$6)),"x",""))</f>
        <v/>
      </c>
      <c r="V5936" s="79" t="str">
        <f>IF(ISERROR(FIND('112'!$M$9,G5936,1)),"",IF((AND(RIGHT(G5936,2)=RIGHT('112'!$M$9,2),B5936&lt;'112'!$K$9,$O5936='112'!$I$6)),"x",""))</f>
        <v/>
      </c>
      <c r="W5936" s="79" t="str">
        <f>IF(AND('341-CT'!$H$9=H5936,OR(LEFT(N5936,3)=$W$7,LEFT(O5936,3)=$W$7)),"x","")</f>
        <v/>
      </c>
      <c r="X5936" s="79" t="str">
        <f>IF(OR(TH!N5936=TH!$X$7,O5936=TH!$X$7),"x","")</f>
        <v/>
      </c>
      <c r="Y5936" s="79" t="str">
        <f>IF(AND(OR(N5936="131",O5936="131"),H5936='131-CT'!$H$9),"x","")</f>
        <v/>
      </c>
      <c r="Z5936" s="79"/>
      <c r="AA5936" s="79" t="str">
        <f>IF(AND(MONTH(E5936)='IN-NX'!$J$5,'IN-NX'!$D$7=D5936),"x","")</f>
        <v/>
      </c>
      <c r="AB5936" s="79" t="str">
        <f>IF(AND(OR(LEFT(TH!N5936,2)="15",LEFT(TH!O5936,2)="15"),LEFT(TH!O5936,3)&lt;&gt;"111",'152-CT'!$J$8=TH!F5936),"x","")</f>
        <v/>
      </c>
      <c r="AC5936" s="79" t="str">
        <f>IF(AND(OR(LEFT(TH!N5936,2)="15",LEFT(TH!O5936,2)="15"),TK!$E$7=TH!F5936),"x","")</f>
        <v/>
      </c>
      <c r="AD5936" s="79" t="str">
        <f>IF(AND(N5936="1521",MONTH(C5936)='BK-NL'!$M$11),"x","")</f>
        <v/>
      </c>
    </row>
    <row r="5937" spans="1:30" ht="16.5" customHeight="1">
      <c r="A5937" s="318" t="str">
        <f>IF(B5937&lt;&gt;"",IF(AND(B5937='IN-TC'!$S$4,OR(TH!N5937="1111",TH!O5937="1111")),TH!D5937,""),"")</f>
        <v/>
      </c>
      <c r="B5937" s="60" t="str">
        <f t="shared" si="513"/>
        <v/>
      </c>
      <c r="C5937" s="61"/>
      <c r="D5937" s="301"/>
      <c r="E5937" s="61"/>
      <c r="F5937" s="69"/>
      <c r="G5937" s="64"/>
      <c r="H5937" s="69"/>
      <c r="I5937" s="385"/>
      <c r="J5937" s="392"/>
      <c r="K5937" s="385"/>
      <c r="L5937" s="392"/>
      <c r="M5937" s="62"/>
      <c r="N5937" s="63"/>
      <c r="O5937" s="63"/>
      <c r="P5937" s="79" t="str">
        <f>IF(AND('331-CT'!$E$7=TH!H5937,OR(N5937="331",O5937="331")),"x","")</f>
        <v/>
      </c>
      <c r="Q5937" s="79" t="str">
        <f>IF(AND(B5937='111'!$L$11,OR($N5937=$Q$7,$O5937=$Q$7)),"x","")</f>
        <v/>
      </c>
      <c r="R5937" s="79" t="str">
        <f>IF(AND($N5937=$Q$7,$B5937&lt;'111'!$L$11),"x","")</f>
        <v/>
      </c>
      <c r="S5937" s="79" t="str">
        <f>IF(AND($O5937=$Q$7,$B5937&lt;'111'!$L$11),"x","")</f>
        <v/>
      </c>
      <c r="T5937" s="79" t="str">
        <f>IF(ISERROR(FIND('112'!$M$9,G5937,1)),"",IF((AND(FIND('112'!$M$9,G5937,1)&gt;=1,B5937='112'!$K$9,OR($N5937='112'!$I$6,$O5937='112'!$I$6))),"x",""))</f>
        <v/>
      </c>
      <c r="U5937" s="79" t="str">
        <f>IF(ISERROR(FIND('112'!$M$9,G5937,1)),"",IF((AND(LEFT(G5937,2)=LEFT('112'!$M$9,2),B5937&lt;'112'!$K$9,$N5937='112'!$I$6)),"x",""))</f>
        <v/>
      </c>
      <c r="V5937" s="79" t="str">
        <f>IF(ISERROR(FIND('112'!$M$9,G5937,1)),"",IF((AND(RIGHT(G5937,2)=RIGHT('112'!$M$9,2),B5937&lt;'112'!$K$9,$O5937='112'!$I$6)),"x",""))</f>
        <v/>
      </c>
      <c r="W5937" s="79" t="str">
        <f>IF(AND('341-CT'!$H$9=H5937,OR(LEFT(N5937,3)=$W$7,LEFT(O5937,3)=$W$7)),"x","")</f>
        <v/>
      </c>
      <c r="X5937" s="79" t="str">
        <f>IF(OR(TH!N5937=TH!$X$7,O5937=TH!$X$7),"x","")</f>
        <v/>
      </c>
      <c r="Y5937" s="79" t="str">
        <f>IF(AND(OR(N5937="131",O5937="131"),H5937='131-CT'!$H$9),"x","")</f>
        <v/>
      </c>
      <c r="Z5937" s="79"/>
      <c r="AA5937" s="79" t="str">
        <f>IF(AND(MONTH(E5937)='IN-NX'!$J$5,'IN-NX'!$D$7=D5937),"x","")</f>
        <v/>
      </c>
      <c r="AB5937" s="79" t="str">
        <f>IF(AND(OR(LEFT(TH!N5937,2)="15",LEFT(TH!O5937,2)="15"),LEFT(TH!O5937,3)&lt;&gt;"111",'152-CT'!$J$8=TH!F5937),"x","")</f>
        <v/>
      </c>
      <c r="AC5937" s="79" t="str">
        <f>IF(AND(OR(LEFT(TH!N5937,2)="15",LEFT(TH!O5937,2)="15"),TK!$E$7=TH!F5937),"x","")</f>
        <v/>
      </c>
      <c r="AD5937" s="79" t="str">
        <f>IF(AND(N5937="1521",MONTH(C5937)='BK-NL'!$M$11),"x","")</f>
        <v/>
      </c>
    </row>
    <row r="5938" spans="1:30" ht="16.5" customHeight="1">
      <c r="A5938" s="318" t="str">
        <f>IF(B5938&lt;&gt;"",IF(AND(B5938='IN-TC'!$S$4,OR(TH!N5938="1111",TH!O5938="1111")),TH!D5938,""),"")</f>
        <v/>
      </c>
      <c r="B5938" s="60" t="str">
        <f t="shared" si="513"/>
        <v/>
      </c>
      <c r="C5938" s="61"/>
      <c r="D5938" s="301"/>
      <c r="E5938" s="61"/>
      <c r="F5938" s="69"/>
      <c r="G5938" s="64"/>
      <c r="H5938" s="321"/>
      <c r="I5938" s="385"/>
      <c r="J5938" s="392"/>
      <c r="K5938" s="385"/>
      <c r="L5938" s="392"/>
      <c r="M5938" s="62"/>
      <c r="N5938" s="63"/>
      <c r="O5938" s="63"/>
      <c r="P5938" s="79" t="str">
        <f>IF(AND('331-CT'!$E$7=TH!H5938,OR(N5938="331",O5938="331")),"x","")</f>
        <v/>
      </c>
      <c r="Q5938" s="79" t="str">
        <f>IF(AND(B5938='111'!$L$11,OR($N5938=$Q$7,$O5938=$Q$7)),"x","")</f>
        <v/>
      </c>
      <c r="R5938" s="79" t="str">
        <f>IF(AND($N5938=$Q$7,$B5938&lt;'111'!$L$11),"x","")</f>
        <v/>
      </c>
      <c r="S5938" s="79" t="str">
        <f>IF(AND($O5938=$Q$7,$B5938&lt;'111'!$L$11),"x","")</f>
        <v/>
      </c>
      <c r="T5938" s="79" t="str">
        <f>IF(ISERROR(FIND('112'!$M$9,G5938,1)),"",IF((AND(FIND('112'!$M$9,G5938,1)&gt;=1,B5938='112'!$K$9,OR($N5938='112'!$I$6,$O5938='112'!$I$6))),"x",""))</f>
        <v/>
      </c>
      <c r="U5938" s="79" t="str">
        <f>IF(ISERROR(FIND('112'!$M$9,G5938,1)),"",IF((AND(LEFT(G5938,2)=LEFT('112'!$M$9,2),B5938&lt;'112'!$K$9,$N5938='112'!$I$6)),"x",""))</f>
        <v/>
      </c>
      <c r="V5938" s="79" t="str">
        <f>IF(ISERROR(FIND('112'!$M$9,G5938,1)),"",IF((AND(RIGHT(G5938,2)=RIGHT('112'!$M$9,2),B5938&lt;'112'!$K$9,$O5938='112'!$I$6)),"x",""))</f>
        <v/>
      </c>
      <c r="W5938" s="79" t="str">
        <f>IF(AND('341-CT'!$H$9=H5938,OR(LEFT(N5938,3)=$W$7,LEFT(O5938,3)=$W$7)),"x","")</f>
        <v/>
      </c>
      <c r="X5938" s="79" t="str">
        <f>IF(OR(TH!N5938=TH!$X$7,O5938=TH!$X$7),"x","")</f>
        <v/>
      </c>
      <c r="Y5938" s="79" t="str">
        <f>IF(AND(OR(N5938="131",O5938="131"),H5938='131-CT'!$H$9),"x","")</f>
        <v/>
      </c>
      <c r="Z5938" s="79"/>
      <c r="AA5938" s="79" t="str">
        <f>IF(AND(MONTH(E5938)='IN-NX'!$J$5,'IN-NX'!$D$7=D5938),"x","")</f>
        <v/>
      </c>
      <c r="AB5938" s="79" t="str">
        <f>IF(AND(OR(LEFT(TH!N5938,2)="15",LEFT(TH!O5938,2)="15"),LEFT(TH!O5938,3)&lt;&gt;"111",'152-CT'!$J$8=TH!F5938),"x","")</f>
        <v/>
      </c>
      <c r="AC5938" s="79" t="str">
        <f>IF(AND(OR(LEFT(TH!N5938,2)="15",LEFT(TH!O5938,2)="15"),TK!$E$7=TH!F5938),"x","")</f>
        <v/>
      </c>
      <c r="AD5938" s="79" t="str">
        <f>IF(AND(N5938="1521",MONTH(C5938)='BK-NL'!$M$11),"x","")</f>
        <v/>
      </c>
    </row>
    <row r="5939" spans="1:30" ht="16.5" customHeight="1">
      <c r="A5939" s="318" t="str">
        <f>IF(B5939&lt;&gt;"",IF(AND(B5939='IN-TC'!$S$4,OR(TH!N5939="1111",TH!O5939="1111")),TH!D5939,""),"")</f>
        <v/>
      </c>
      <c r="B5939" s="60" t="str">
        <f t="shared" si="513"/>
        <v/>
      </c>
      <c r="C5939" s="61"/>
      <c r="D5939" s="301"/>
      <c r="E5939" s="61"/>
      <c r="F5939" s="69"/>
      <c r="G5939" s="64"/>
      <c r="H5939" s="69"/>
      <c r="I5939" s="385"/>
      <c r="J5939" s="392"/>
      <c r="K5939" s="385"/>
      <c r="L5939" s="392"/>
      <c r="M5939" s="62"/>
      <c r="N5939" s="63"/>
      <c r="O5939" s="63"/>
      <c r="P5939" s="79" t="str">
        <f>IF(AND('331-CT'!$E$7=TH!H5939,OR(N5939="331",O5939="331")),"x","")</f>
        <v/>
      </c>
      <c r="Q5939" s="79" t="str">
        <f>IF(AND(B5939='111'!$L$11,OR($N5939=$Q$7,$O5939=$Q$7)),"x","")</f>
        <v/>
      </c>
      <c r="R5939" s="79" t="str">
        <f>IF(AND($N5939=$Q$7,$B5939&lt;'111'!$L$11),"x","")</f>
        <v/>
      </c>
      <c r="S5939" s="79" t="str">
        <f>IF(AND($O5939=$Q$7,$B5939&lt;'111'!$L$11),"x","")</f>
        <v/>
      </c>
      <c r="T5939" s="79" t="str">
        <f>IF(ISERROR(FIND('112'!$M$9,G5939,1)),"",IF((AND(FIND('112'!$M$9,G5939,1)&gt;=1,B5939='112'!$K$9,OR($N5939='112'!$I$6,$O5939='112'!$I$6))),"x",""))</f>
        <v/>
      </c>
      <c r="U5939" s="79" t="str">
        <f>IF(ISERROR(FIND('112'!$M$9,G5939,1)),"",IF((AND(LEFT(G5939,2)=LEFT('112'!$M$9,2),B5939&lt;'112'!$K$9,$N5939='112'!$I$6)),"x",""))</f>
        <v/>
      </c>
      <c r="V5939" s="79" t="str">
        <f>IF(ISERROR(FIND('112'!$M$9,G5939,1)),"",IF((AND(RIGHT(G5939,2)=RIGHT('112'!$M$9,2),B5939&lt;'112'!$K$9,$O5939='112'!$I$6)),"x",""))</f>
        <v/>
      </c>
      <c r="W5939" s="79" t="str">
        <f>IF(AND('341-CT'!$H$9=H5939,OR(LEFT(N5939,3)=$W$7,LEFT(O5939,3)=$W$7)),"x","")</f>
        <v/>
      </c>
      <c r="X5939" s="79" t="str">
        <f>IF(OR(TH!N5939=TH!$X$7,O5939=TH!$X$7),"x","")</f>
        <v/>
      </c>
      <c r="Y5939" s="79" t="str">
        <f>IF(AND(OR(N5939="131",O5939="131"),H5939='131-CT'!$H$9),"x","")</f>
        <v/>
      </c>
      <c r="Z5939" s="79"/>
      <c r="AA5939" s="79" t="str">
        <f>IF(AND(MONTH(E5939)='IN-NX'!$J$5,'IN-NX'!$D$7=D5939),"x","")</f>
        <v/>
      </c>
      <c r="AB5939" s="79" t="str">
        <f>IF(AND(OR(LEFT(TH!N5939,2)="15",LEFT(TH!O5939,2)="15"),LEFT(TH!O5939,3)&lt;&gt;"111",'152-CT'!$J$8=TH!F5939),"x","")</f>
        <v/>
      </c>
      <c r="AC5939" s="79" t="str">
        <f>IF(AND(OR(LEFT(TH!N5939,2)="15",LEFT(TH!O5939,2)="15"),TK!$E$7=TH!F5939),"x","")</f>
        <v/>
      </c>
      <c r="AD5939" s="79" t="str">
        <f>IF(AND(N5939="1521",MONTH(C5939)='BK-NL'!$M$11),"x","")</f>
        <v/>
      </c>
    </row>
    <row r="5940" spans="1:30" ht="16.5" customHeight="1">
      <c r="A5940" s="318" t="str">
        <f>IF(B5940&lt;&gt;"",IF(AND(B5940='IN-TC'!$S$4,OR(TH!N5940="1111",TH!O5940="1111")),TH!D5940,""),"")</f>
        <v/>
      </c>
      <c r="B5940" s="60" t="str">
        <f t="shared" si="513"/>
        <v/>
      </c>
      <c r="C5940" s="61"/>
      <c r="D5940" s="301"/>
      <c r="E5940" s="61"/>
      <c r="F5940" s="69"/>
      <c r="G5940" s="766"/>
      <c r="H5940" s="69"/>
      <c r="I5940" s="385"/>
      <c r="J5940" s="392"/>
      <c r="K5940" s="385"/>
      <c r="L5940" s="392"/>
      <c r="M5940" s="62"/>
      <c r="N5940" s="63"/>
      <c r="O5940" s="63"/>
      <c r="P5940" s="79" t="str">
        <f>IF(AND('331-CT'!$E$7=TH!H5940,OR(N5940="331",O5940="331")),"x","")</f>
        <v/>
      </c>
      <c r="Q5940" s="79" t="str">
        <f>IF(AND(B5940='111'!$L$11,OR($N5940=$Q$7,$O5940=$Q$7)),"x","")</f>
        <v/>
      </c>
      <c r="R5940" s="79" t="str">
        <f>IF(AND($N5940=$Q$7,$B5940&lt;'111'!$L$11),"x","")</f>
        <v/>
      </c>
      <c r="S5940" s="79" t="str">
        <f>IF(AND($O5940=$Q$7,$B5940&lt;'111'!$L$11),"x","")</f>
        <v/>
      </c>
      <c r="T5940" s="79" t="str">
        <f>IF(ISERROR(FIND('112'!$M$9,G5940,1)),"",IF((AND(FIND('112'!$M$9,G5940,1)&gt;=1,B5940='112'!$K$9,OR($N5940='112'!$I$6,$O5940='112'!$I$6))),"x",""))</f>
        <v/>
      </c>
      <c r="U5940" s="79" t="str">
        <f>IF(ISERROR(FIND('112'!$M$9,G5940,1)),"",IF((AND(LEFT(G5940,2)=LEFT('112'!$M$9,2),B5940&lt;'112'!$K$9,$N5940='112'!$I$6)),"x",""))</f>
        <v/>
      </c>
      <c r="V5940" s="79" t="str">
        <f>IF(ISERROR(FIND('112'!$M$9,G5940,1)),"",IF((AND(RIGHT(G5940,2)=RIGHT('112'!$M$9,2),B5940&lt;'112'!$K$9,$O5940='112'!$I$6)),"x",""))</f>
        <v/>
      </c>
      <c r="W5940" s="79" t="str">
        <f>IF(AND('341-CT'!$H$9=H5940,OR(LEFT(N5940,3)=$W$7,LEFT(O5940,3)=$W$7)),"x","")</f>
        <v/>
      </c>
      <c r="X5940" s="79" t="str">
        <f>IF(OR(TH!N5940=TH!$X$7,O5940=TH!$X$7),"x","")</f>
        <v/>
      </c>
      <c r="Y5940" s="79" t="str">
        <f>IF(AND(OR(N5940="131",O5940="131"),H5940='131-CT'!$H$9),"x","")</f>
        <v/>
      </c>
      <c r="Z5940" s="79"/>
      <c r="AA5940" s="79" t="str">
        <f>IF(AND(MONTH(E5940)='IN-NX'!$J$5,'IN-NX'!$D$7=D5940),"x","")</f>
        <v/>
      </c>
      <c r="AB5940" s="79" t="str">
        <f>IF(AND(OR(LEFT(TH!N5940,2)="15",LEFT(TH!O5940,2)="15"),LEFT(TH!O5940,3)&lt;&gt;"111",'152-CT'!$J$8=TH!F5940),"x","")</f>
        <v/>
      </c>
      <c r="AC5940" s="79" t="str">
        <f>IF(AND(OR(LEFT(TH!N5940,2)="15",LEFT(TH!O5940,2)="15"),TK!$E$7=TH!F5940),"x","")</f>
        <v/>
      </c>
      <c r="AD5940" s="79" t="str">
        <f>IF(AND(N5940="1521",MONTH(C5940)='BK-NL'!$M$11),"x","")</f>
        <v/>
      </c>
    </row>
    <row r="5941" spans="1:30" ht="16.5" customHeight="1">
      <c r="A5941" s="318" t="str">
        <f>IF(B5941&lt;&gt;"",IF(AND(B5941='IN-TC'!$S$4,OR(TH!N5941="1111",TH!O5941="1111")),TH!D5941,""),"")</f>
        <v/>
      </c>
      <c r="B5941" s="60" t="str">
        <f t="shared" si="513"/>
        <v/>
      </c>
      <c r="C5941" s="61"/>
      <c r="D5941" s="301"/>
      <c r="E5941" s="61"/>
      <c r="F5941" s="69"/>
      <c r="G5941" s="64"/>
      <c r="H5941" s="321"/>
      <c r="I5941" s="387"/>
      <c r="J5941" s="394"/>
      <c r="K5941" s="387"/>
      <c r="L5941" s="394"/>
      <c r="M5941" s="62"/>
      <c r="N5941" s="63"/>
      <c r="O5941" s="63"/>
      <c r="P5941" s="79" t="str">
        <f>IF(AND('331-CT'!$E$7=TH!H5941,OR(N5941="331",O5941="331")),"x","")</f>
        <v/>
      </c>
      <c r="Q5941" s="79" t="str">
        <f>IF(AND(B5941='111'!$L$11,OR($N5941=$Q$7,$O5941=$Q$7)),"x","")</f>
        <v/>
      </c>
      <c r="R5941" s="79" t="str">
        <f>IF(AND($N5941=$Q$7,$B5941&lt;'111'!$L$11),"x","")</f>
        <v/>
      </c>
      <c r="S5941" s="79" t="str">
        <f>IF(AND($O5941=$Q$7,$B5941&lt;'111'!$L$11),"x","")</f>
        <v/>
      </c>
      <c r="T5941" s="79" t="str">
        <f>IF(ISERROR(FIND('112'!$M$9,G5941,1)),"",IF((AND(FIND('112'!$M$9,G5941,1)&gt;=1,B5941='112'!$K$9,OR($N5941='112'!$I$6,$O5941='112'!$I$6))),"x",""))</f>
        <v/>
      </c>
      <c r="U5941" s="79" t="str">
        <f>IF(ISERROR(FIND('112'!$M$9,G5941,1)),"",IF((AND(LEFT(G5941,2)=LEFT('112'!$M$9,2),B5941&lt;'112'!$K$9,$N5941='112'!$I$6)),"x",""))</f>
        <v/>
      </c>
      <c r="V5941" s="79" t="str">
        <f>IF(ISERROR(FIND('112'!$M$9,G5941,1)),"",IF((AND(RIGHT(G5941,2)=RIGHT('112'!$M$9,2),B5941&lt;'112'!$K$9,$O5941='112'!$I$6)),"x",""))</f>
        <v/>
      </c>
      <c r="W5941" s="79" t="str">
        <f>IF(AND('341-CT'!$H$9=H5941,OR(LEFT(N5941,3)=$W$7,LEFT(O5941,3)=$W$7)),"x","")</f>
        <v/>
      </c>
      <c r="X5941" s="79" t="str">
        <f>IF(OR(TH!N5941=TH!$X$7,O5941=TH!$X$7),"x","")</f>
        <v/>
      </c>
      <c r="Y5941" s="79" t="str">
        <f>IF(AND(OR(N5941="131",O5941="131"),H5941='131-CT'!$H$9),"x","")</f>
        <v/>
      </c>
      <c r="Z5941" s="79"/>
      <c r="AA5941" s="79" t="str">
        <f>IF(AND(MONTH(E5941)='IN-NX'!$J$5,'IN-NX'!$D$7=D5941),"x","")</f>
        <v/>
      </c>
      <c r="AB5941" s="79" t="str">
        <f>IF(AND(OR(LEFT(TH!N5941,2)="15",LEFT(TH!O5941,2)="15"),LEFT(TH!O5941,3)&lt;&gt;"111",'152-CT'!$J$8=TH!F5941),"x","")</f>
        <v/>
      </c>
      <c r="AC5941" s="79" t="str">
        <f>IF(AND(OR(LEFT(TH!N5941,2)="15",LEFT(TH!O5941,2)="15"),TK!$E$7=TH!F5941),"x","")</f>
        <v/>
      </c>
      <c r="AD5941" s="79" t="str">
        <f>IF(AND(N5941="1521",MONTH(C5941)='BK-NL'!$M$11),"x","")</f>
        <v/>
      </c>
    </row>
    <row r="5942" spans="1:30" ht="16.5" customHeight="1">
      <c r="A5942" s="318" t="str">
        <f>IF(B5942&lt;&gt;"",IF(AND(B5942='IN-TC'!$S$4,OR(TH!N5942="1111",TH!O5942="1111")),TH!D5942,""),"")</f>
        <v/>
      </c>
      <c r="B5942" s="60" t="str">
        <f t="shared" si="513"/>
        <v/>
      </c>
      <c r="C5942" s="61"/>
      <c r="D5942" s="301"/>
      <c r="E5942" s="61"/>
      <c r="F5942" s="69"/>
      <c r="G5942" s="64"/>
      <c r="H5942" s="69"/>
      <c r="I5942" s="385"/>
      <c r="J5942" s="392"/>
      <c r="K5942" s="385"/>
      <c r="L5942" s="392"/>
      <c r="M5942" s="62"/>
      <c r="N5942" s="63"/>
      <c r="O5942" s="63"/>
      <c r="P5942" s="79" t="str">
        <f>IF(AND('331-CT'!$E$7=TH!H5942,OR(N5942="331",O5942="331")),"x","")</f>
        <v/>
      </c>
      <c r="Q5942" s="79" t="str">
        <f>IF(AND(B5942='111'!$L$11,OR($N5942=$Q$7,$O5942=$Q$7)),"x","")</f>
        <v/>
      </c>
      <c r="R5942" s="79" t="str">
        <f>IF(AND($N5942=$Q$7,$B5942&lt;'111'!$L$11),"x","")</f>
        <v/>
      </c>
      <c r="S5942" s="79" t="str">
        <f>IF(AND($O5942=$Q$7,$B5942&lt;'111'!$L$11),"x","")</f>
        <v/>
      </c>
      <c r="T5942" s="79" t="str">
        <f>IF(ISERROR(FIND('112'!$M$9,G5942,1)),"",IF((AND(FIND('112'!$M$9,G5942,1)&gt;=1,B5942='112'!$K$9,OR($N5942='112'!$I$6,$O5942='112'!$I$6))),"x",""))</f>
        <v/>
      </c>
      <c r="U5942" s="79" t="str">
        <f>IF(ISERROR(FIND('112'!$M$9,G5942,1)),"",IF((AND(LEFT(G5942,2)=LEFT('112'!$M$9,2),B5942&lt;'112'!$K$9,$N5942='112'!$I$6)),"x",""))</f>
        <v/>
      </c>
      <c r="V5942" s="79" t="str">
        <f>IF(ISERROR(FIND('112'!$M$9,G5942,1)),"",IF((AND(RIGHT(G5942,2)=RIGHT('112'!$M$9,2),B5942&lt;'112'!$K$9,$O5942='112'!$I$6)),"x",""))</f>
        <v/>
      </c>
      <c r="W5942" s="79" t="str">
        <f>IF(AND('341-CT'!$H$9=H5942,OR(LEFT(N5942,3)=$W$7,LEFT(O5942,3)=$W$7)),"x","")</f>
        <v/>
      </c>
      <c r="X5942" s="79" t="str">
        <f>IF(OR(TH!N5942=TH!$X$7,O5942=TH!$X$7),"x","")</f>
        <v/>
      </c>
      <c r="Y5942" s="79" t="str">
        <f>IF(AND(OR(N5942="131",O5942="131"),H5942='131-CT'!$H$9),"x","")</f>
        <v/>
      </c>
      <c r="Z5942" s="79"/>
      <c r="AA5942" s="79" t="str">
        <f>IF(AND(MONTH(E5942)='IN-NX'!$J$5,'IN-NX'!$D$7=D5942),"x","")</f>
        <v/>
      </c>
      <c r="AB5942" s="79" t="str">
        <f>IF(AND(OR(LEFT(TH!N5942,2)="15",LEFT(TH!O5942,2)="15"),LEFT(TH!O5942,3)&lt;&gt;"111",'152-CT'!$J$8=TH!F5942),"x","")</f>
        <v/>
      </c>
      <c r="AC5942" s="79" t="str">
        <f>IF(AND(OR(LEFT(TH!N5942,2)="15",LEFT(TH!O5942,2)="15"),TK!$E$7=TH!F5942),"x","")</f>
        <v/>
      </c>
      <c r="AD5942" s="79" t="str">
        <f>IF(AND(N5942="1521",MONTH(C5942)='BK-NL'!$M$11),"x","")</f>
        <v/>
      </c>
    </row>
    <row r="5943" spans="1:30" ht="16.5" customHeight="1">
      <c r="A5943" s="318" t="str">
        <f>IF(B5943&lt;&gt;"",IF(AND(B5943='IN-TC'!$S$4,OR(TH!N5943="1111",TH!O5943="1111")),TH!D5943,""),"")</f>
        <v/>
      </c>
      <c r="B5943" s="60" t="str">
        <f t="shared" si="513"/>
        <v/>
      </c>
      <c r="C5943" s="61"/>
      <c r="D5943" s="301"/>
      <c r="E5943" s="61"/>
      <c r="F5943" s="69"/>
      <c r="G5943" s="64"/>
      <c r="H5943" s="69"/>
      <c r="I5943" s="385"/>
      <c r="J5943" s="392"/>
      <c r="K5943" s="385"/>
      <c r="L5943" s="392"/>
      <c r="M5943" s="62"/>
      <c r="N5943" s="63"/>
      <c r="O5943" s="63"/>
      <c r="P5943" s="79" t="str">
        <f>IF(AND('331-CT'!$E$7=TH!H5943,OR(N5943="331",O5943="331")),"x","")</f>
        <v/>
      </c>
      <c r="Q5943" s="79" t="str">
        <f>IF(AND(B5943='111'!$L$11,OR($N5943=$Q$7,$O5943=$Q$7)),"x","")</f>
        <v/>
      </c>
      <c r="R5943" s="79" t="str">
        <f>IF(AND($N5943=$Q$7,$B5943&lt;'111'!$L$11),"x","")</f>
        <v/>
      </c>
      <c r="S5943" s="79" t="str">
        <f>IF(AND($O5943=$Q$7,$B5943&lt;'111'!$L$11),"x","")</f>
        <v/>
      </c>
      <c r="T5943" s="79" t="str">
        <f>IF(ISERROR(FIND('112'!$M$9,G5943,1)),"",IF((AND(FIND('112'!$M$9,G5943,1)&gt;=1,B5943='112'!$K$9,OR($N5943='112'!$I$6,$O5943='112'!$I$6))),"x",""))</f>
        <v/>
      </c>
      <c r="U5943" s="79" t="str">
        <f>IF(ISERROR(FIND('112'!$M$9,G5943,1)),"",IF((AND(LEFT(G5943,2)=LEFT('112'!$M$9,2),B5943&lt;'112'!$K$9,$N5943='112'!$I$6)),"x",""))</f>
        <v/>
      </c>
      <c r="V5943" s="79" t="str">
        <f>IF(ISERROR(FIND('112'!$M$9,G5943,1)),"",IF((AND(RIGHT(G5943,2)=RIGHT('112'!$M$9,2),B5943&lt;'112'!$K$9,$O5943='112'!$I$6)),"x",""))</f>
        <v/>
      </c>
      <c r="W5943" s="79" t="str">
        <f>IF(AND('341-CT'!$H$9=H5943,OR(LEFT(N5943,3)=$W$7,LEFT(O5943,3)=$W$7)),"x","")</f>
        <v/>
      </c>
      <c r="X5943" s="79" t="str">
        <f>IF(OR(TH!N5943=TH!$X$7,O5943=TH!$X$7),"x","")</f>
        <v/>
      </c>
      <c r="Y5943" s="79" t="str">
        <f>IF(AND(OR(N5943="131",O5943="131"),H5943='131-CT'!$H$9),"x","")</f>
        <v/>
      </c>
      <c r="Z5943" s="79"/>
      <c r="AA5943" s="79" t="str">
        <f>IF(AND(MONTH(E5943)='IN-NX'!$J$5,'IN-NX'!$D$7=D5943),"x","")</f>
        <v/>
      </c>
      <c r="AB5943" s="79" t="str">
        <f>IF(AND(OR(LEFT(TH!N5943,2)="15",LEFT(TH!O5943,2)="15"),LEFT(TH!O5943,3)&lt;&gt;"111",'152-CT'!$J$8=TH!F5943),"x","")</f>
        <v/>
      </c>
      <c r="AC5943" s="79" t="str">
        <f>IF(AND(OR(LEFT(TH!N5943,2)="15",LEFT(TH!O5943,2)="15"),TK!$E$7=TH!F5943),"x","")</f>
        <v/>
      </c>
      <c r="AD5943" s="79" t="str">
        <f>IF(AND(N5943="1521",MONTH(C5943)='BK-NL'!$M$11),"x","")</f>
        <v/>
      </c>
    </row>
    <row r="5944" spans="1:30" ht="16.5" customHeight="1">
      <c r="A5944" s="318" t="str">
        <f>IF(B5944&lt;&gt;"",IF(AND(B5944='IN-TC'!$S$4,OR(TH!N5944="1111",TH!O5944="1111")),TH!D5944,""),"")</f>
        <v/>
      </c>
      <c r="B5944" s="60" t="str">
        <f t="shared" si="513"/>
        <v/>
      </c>
      <c r="C5944" s="301"/>
      <c r="D5944" s="61"/>
      <c r="E5944" s="61"/>
      <c r="F5944" s="69"/>
      <c r="G5944" s="64"/>
      <c r="H5944" s="69"/>
      <c r="I5944" s="385"/>
      <c r="J5944" s="392"/>
      <c r="K5944" s="385"/>
      <c r="L5944" s="392"/>
      <c r="M5944" s="62"/>
      <c r="N5944" s="63"/>
      <c r="O5944" s="63"/>
      <c r="P5944" s="79" t="str">
        <f>IF(AND('331-CT'!$E$7=TH!H5944,OR(N5944="331",O5944="331")),"x","")</f>
        <v/>
      </c>
      <c r="Q5944" s="79" t="str">
        <f>IF(AND(B5944='111'!$L$11,OR($N5944=$Q$7,$O5944=$Q$7)),"x","")</f>
        <v/>
      </c>
      <c r="R5944" s="79" t="str">
        <f>IF(AND($N5944=$Q$7,$B5944&lt;'111'!$L$11),"x","")</f>
        <v/>
      </c>
      <c r="S5944" s="79" t="str">
        <f>IF(AND($O5944=$Q$7,$B5944&lt;'111'!$L$11),"x","")</f>
        <v/>
      </c>
      <c r="T5944" s="79" t="str">
        <f>IF(ISERROR(FIND('112'!$M$9,G5944,1)),"",IF((AND(FIND('112'!$M$9,G5944,1)&gt;=1,B5944='112'!$K$9,OR($N5944='112'!$I$6,$O5944='112'!$I$6))),"x",""))</f>
        <v/>
      </c>
      <c r="U5944" s="79" t="str">
        <f>IF(ISERROR(FIND('112'!$M$9,G5944,1)),"",IF((AND(LEFT(G5944,2)=LEFT('112'!$M$9,2),B5944&lt;'112'!$K$9,$N5944='112'!$I$6)),"x",""))</f>
        <v/>
      </c>
      <c r="V5944" s="79" t="str">
        <f>IF(ISERROR(FIND('112'!$M$9,G5944,1)),"",IF((AND(RIGHT(G5944,2)=RIGHT('112'!$M$9,2),B5944&lt;'112'!$K$9,$O5944='112'!$I$6)),"x",""))</f>
        <v/>
      </c>
      <c r="W5944" s="79" t="str">
        <f>IF(AND('341-CT'!$H$9=H5944,OR(LEFT(N5944,3)=$W$7,LEFT(O5944,3)=$W$7)),"x","")</f>
        <v/>
      </c>
      <c r="X5944" s="79" t="str">
        <f>IF(OR(TH!N5944=TH!$X$7,O5944=TH!$X$7),"x","")</f>
        <v/>
      </c>
      <c r="Y5944" s="79" t="str">
        <f>IF(AND(OR(N5944="131",O5944="131"),H5944='131-CT'!$H$9),"x","")</f>
        <v/>
      </c>
      <c r="Z5944" s="79"/>
      <c r="AA5944" s="79" t="str">
        <f>IF(AND(MONTH(E5944)='IN-NX'!$J$5,'IN-NX'!$D$7=D5944),"x","")</f>
        <v/>
      </c>
      <c r="AB5944" s="79" t="str">
        <f>IF(AND(OR(LEFT(TH!N5944,2)="15",LEFT(TH!O5944,2)="15"),LEFT(TH!O5944,3)&lt;&gt;"111",'152-CT'!$J$8=TH!F5944),"x","")</f>
        <v/>
      </c>
      <c r="AC5944" s="79" t="str">
        <f>IF(AND(OR(LEFT(TH!N5944,2)="15",LEFT(TH!O5944,2)="15"),TK!$E$7=TH!F5944),"x","")</f>
        <v/>
      </c>
      <c r="AD5944" s="79" t="str">
        <f>IF(AND(N5944="1521",MONTH(C5944)='BK-NL'!$M$11),"x","")</f>
        <v/>
      </c>
    </row>
    <row r="5945" spans="1:30" ht="16.5" customHeight="1">
      <c r="A5945" s="318" t="str">
        <f>IF(B5945&lt;&gt;"",IF(AND(B5945='IN-TC'!$S$4,OR(TH!N5945="1111",TH!O5945="1111")),TH!D5945,""),"")</f>
        <v/>
      </c>
      <c r="B5945" s="60" t="str">
        <f t="shared" si="513"/>
        <v/>
      </c>
      <c r="C5945" s="61"/>
      <c r="D5945" s="61"/>
      <c r="E5945" s="61"/>
      <c r="F5945" s="69"/>
      <c r="G5945" s="766"/>
      <c r="H5945" s="69"/>
      <c r="I5945" s="385"/>
      <c r="J5945" s="392"/>
      <c r="K5945" s="385"/>
      <c r="L5945" s="392"/>
      <c r="M5945" s="62"/>
      <c r="N5945" s="63"/>
      <c r="O5945" s="63"/>
      <c r="P5945" s="79" t="str">
        <f>IF(AND('331-CT'!$E$7=TH!H5945,OR(N5945="331",O5945="331")),"x","")</f>
        <v/>
      </c>
      <c r="Q5945" s="79" t="str">
        <f>IF(AND(B5945='111'!$L$11,OR($N5945=$Q$7,$O5945=$Q$7)),"x","")</f>
        <v/>
      </c>
      <c r="R5945" s="79" t="str">
        <f>IF(AND($N5945=$Q$7,$B5945&lt;'111'!$L$11),"x","")</f>
        <v/>
      </c>
      <c r="S5945" s="79" t="str">
        <f>IF(AND($O5945=$Q$7,$B5945&lt;'111'!$L$11),"x","")</f>
        <v/>
      </c>
      <c r="T5945" s="79" t="str">
        <f>IF(ISERROR(FIND('112'!$M$9,G5945,1)),"",IF((AND(FIND('112'!$M$9,G5945,1)&gt;=1,B5945='112'!$K$9,OR($N5945='112'!$I$6,$O5945='112'!$I$6))),"x",""))</f>
        <v/>
      </c>
      <c r="U5945" s="79" t="str">
        <f>IF(ISERROR(FIND('112'!$M$9,G5945,1)),"",IF((AND(LEFT(G5945,2)=LEFT('112'!$M$9,2),B5945&lt;'112'!$K$9,$N5945='112'!$I$6)),"x",""))</f>
        <v/>
      </c>
      <c r="V5945" s="79" t="str">
        <f>IF(ISERROR(FIND('112'!$M$9,G5945,1)),"",IF((AND(RIGHT(G5945,2)=RIGHT('112'!$M$9,2),B5945&lt;'112'!$K$9,$O5945='112'!$I$6)),"x",""))</f>
        <v/>
      </c>
      <c r="W5945" s="79" t="str">
        <f>IF(AND('341-CT'!$H$9=H5945,OR(LEFT(N5945,3)=$W$7,LEFT(O5945,3)=$W$7)),"x","")</f>
        <v/>
      </c>
      <c r="X5945" s="79" t="str">
        <f>IF(OR(TH!N5945=TH!$X$7,O5945=TH!$X$7),"x","")</f>
        <v/>
      </c>
      <c r="Y5945" s="79" t="str">
        <f>IF(AND(OR(N5945="131",O5945="131"),H5945='131-CT'!$H$9),"x","")</f>
        <v/>
      </c>
      <c r="Z5945" s="79"/>
      <c r="AA5945" s="79" t="str">
        <f>IF(AND(MONTH(E5945)='IN-NX'!$J$5,'IN-NX'!$D$7=D5945),"x","")</f>
        <v/>
      </c>
      <c r="AB5945" s="79" t="str">
        <f>IF(AND(OR(LEFT(TH!N5945,2)="15",LEFT(TH!O5945,2)="15"),LEFT(TH!O5945,3)&lt;&gt;"111",'152-CT'!$J$8=TH!F5945),"x","")</f>
        <v/>
      </c>
      <c r="AC5945" s="79" t="str">
        <f>IF(AND(OR(LEFT(TH!N5945,2)="15",LEFT(TH!O5945,2)="15"),TK!$E$7=TH!F5945),"x","")</f>
        <v/>
      </c>
      <c r="AD5945" s="79" t="str">
        <f>IF(AND(N5945="1521",MONTH(C5945)='BK-NL'!$M$11),"x","")</f>
        <v/>
      </c>
    </row>
    <row r="5946" spans="1:30" ht="16.5" customHeight="1">
      <c r="A5946" s="318" t="str">
        <f>IF(B5946&lt;&gt;"",IF(AND(B5946='IN-TC'!$S$4,OR(TH!N5946="1111",TH!O5946="1111")),TH!D5946,""),"")</f>
        <v/>
      </c>
      <c r="B5946" s="60" t="str">
        <f t="shared" si="513"/>
        <v/>
      </c>
      <c r="C5946" s="61"/>
      <c r="D5946" s="61"/>
      <c r="E5946" s="61"/>
      <c r="F5946" s="69"/>
      <c r="G5946" s="769"/>
      <c r="H5946" s="69"/>
      <c r="I5946" s="385"/>
      <c r="J5946" s="392"/>
      <c r="K5946" s="385"/>
      <c r="L5946" s="392"/>
      <c r="M5946" s="62"/>
      <c r="N5946" s="63"/>
      <c r="O5946" s="63"/>
      <c r="P5946" s="79" t="str">
        <f>IF(AND('331-CT'!$E$7=TH!H5946,OR(N5946="331",O5946="331")),"x","")</f>
        <v/>
      </c>
      <c r="Q5946" s="79" t="str">
        <f>IF(AND(B5946='111'!$L$11,OR($N5946=$Q$7,$O5946=$Q$7)),"x","")</f>
        <v/>
      </c>
      <c r="R5946" s="79" t="str">
        <f>IF(AND($N5946=$Q$7,$B5946&lt;'111'!$L$11),"x","")</f>
        <v/>
      </c>
      <c r="S5946" s="79" t="str">
        <f>IF(AND($O5946=$Q$7,$B5946&lt;'111'!$L$11),"x","")</f>
        <v/>
      </c>
      <c r="T5946" s="79" t="str">
        <f>IF(ISERROR(FIND('112'!$M$9,G5946,1)),"",IF((AND(FIND('112'!$M$9,G5946,1)&gt;=1,B5946='112'!$K$9,OR($N5946='112'!$I$6,$O5946='112'!$I$6))),"x",""))</f>
        <v/>
      </c>
      <c r="U5946" s="79" t="str">
        <f>IF(ISERROR(FIND('112'!$M$9,G5946,1)),"",IF((AND(LEFT(G5946,2)=LEFT('112'!$M$9,2),B5946&lt;'112'!$K$9,$N5946='112'!$I$6)),"x",""))</f>
        <v/>
      </c>
      <c r="V5946" s="79" t="str">
        <f>IF(ISERROR(FIND('112'!$M$9,G5946,1)),"",IF((AND(RIGHT(G5946,2)=RIGHT('112'!$M$9,2),B5946&lt;'112'!$K$9,$O5946='112'!$I$6)),"x",""))</f>
        <v/>
      </c>
      <c r="W5946" s="79" t="str">
        <f>IF(AND('341-CT'!$H$9=H5946,OR(LEFT(N5946,3)=$W$7,LEFT(O5946,3)=$W$7)),"x","")</f>
        <v/>
      </c>
      <c r="X5946" s="79" t="str">
        <f>IF(OR(TH!N5946=TH!$X$7,O5946=TH!$X$7),"x","")</f>
        <v/>
      </c>
      <c r="Y5946" s="79" t="str">
        <f>IF(AND(OR(N5946="131",O5946="131"),H5946='131-CT'!$H$9),"x","")</f>
        <v/>
      </c>
      <c r="Z5946" s="79"/>
      <c r="AA5946" s="79" t="str">
        <f>IF(AND(MONTH(E5946)='IN-NX'!$J$5,'IN-NX'!$D$7=D5946),"x","")</f>
        <v/>
      </c>
      <c r="AB5946" s="79" t="str">
        <f>IF(AND(OR(LEFT(TH!N5946,2)="15",LEFT(TH!O5946,2)="15"),LEFT(TH!O5946,3)&lt;&gt;"111",'152-CT'!$J$8=TH!F5946),"x","")</f>
        <v/>
      </c>
      <c r="AC5946" s="79" t="str">
        <f>IF(AND(OR(LEFT(TH!N5946,2)="15",LEFT(TH!O5946,2)="15"),TK!$E$7=TH!F5946),"x","")</f>
        <v/>
      </c>
      <c r="AD5946" s="79" t="str">
        <f>IF(AND(N5946="1521",MONTH(C5946)='BK-NL'!$M$11),"x","")</f>
        <v/>
      </c>
    </row>
    <row r="5947" spans="1:30" ht="16.5" customHeight="1">
      <c r="A5947" s="318" t="str">
        <f>IF(B5947&lt;&gt;"",IF(AND(B5947='IN-TC'!$S$4,OR(TH!N5947="1111",TH!O5947="1111")),TH!D5947,""),"")</f>
        <v/>
      </c>
      <c r="B5947" s="60" t="str">
        <f t="shared" si="513"/>
        <v/>
      </c>
      <c r="C5947" s="61"/>
      <c r="D5947" s="61"/>
      <c r="E5947" s="61"/>
      <c r="F5947" s="69"/>
      <c r="G5947" s="769"/>
      <c r="H5947" s="69"/>
      <c r="I5947" s="385"/>
      <c r="J5947" s="392"/>
      <c r="K5947" s="385"/>
      <c r="L5947" s="392"/>
      <c r="M5947" s="62"/>
      <c r="N5947" s="63"/>
      <c r="O5947" s="63"/>
      <c r="P5947" s="79" t="str">
        <f>IF(AND('331-CT'!$E$7=TH!H5947,OR(N5947="331",O5947="331")),"x","")</f>
        <v/>
      </c>
      <c r="Q5947" s="79" t="str">
        <f>IF(AND(B5947='111'!$L$11,OR($N5947=$Q$7,$O5947=$Q$7)),"x","")</f>
        <v/>
      </c>
      <c r="R5947" s="79" t="str">
        <f>IF(AND($N5947=$Q$7,$B5947&lt;'111'!$L$11),"x","")</f>
        <v/>
      </c>
      <c r="S5947" s="79" t="str">
        <f>IF(AND($O5947=$Q$7,$B5947&lt;'111'!$L$11),"x","")</f>
        <v/>
      </c>
      <c r="T5947" s="79" t="str">
        <f>IF(ISERROR(FIND('112'!$M$9,G5947,1)),"",IF((AND(FIND('112'!$M$9,G5947,1)&gt;=1,B5947='112'!$K$9,OR($N5947='112'!$I$6,$O5947='112'!$I$6))),"x",""))</f>
        <v/>
      </c>
      <c r="U5947" s="79" t="str">
        <f>IF(ISERROR(FIND('112'!$M$9,G5947,1)),"",IF((AND(LEFT(G5947,2)=LEFT('112'!$M$9,2),B5947&lt;'112'!$K$9,$N5947='112'!$I$6)),"x",""))</f>
        <v/>
      </c>
      <c r="V5947" s="79" t="str">
        <f>IF(ISERROR(FIND('112'!$M$9,G5947,1)),"",IF((AND(RIGHT(G5947,2)=RIGHT('112'!$M$9,2),B5947&lt;'112'!$K$9,$O5947='112'!$I$6)),"x",""))</f>
        <v/>
      </c>
      <c r="W5947" s="79" t="str">
        <f>IF(AND('341-CT'!$H$9=H5947,OR(LEFT(N5947,3)=$W$7,LEFT(O5947,3)=$W$7)),"x","")</f>
        <v/>
      </c>
      <c r="X5947" s="79" t="str">
        <f>IF(OR(TH!N5947=TH!$X$7,O5947=TH!$X$7),"x","")</f>
        <v/>
      </c>
      <c r="Y5947" s="79" t="str">
        <f>IF(AND(OR(N5947="131",O5947="131"),H5947='131-CT'!$H$9),"x","")</f>
        <v/>
      </c>
      <c r="Z5947" s="79"/>
      <c r="AA5947" s="79" t="str">
        <f>IF(AND(MONTH(E5947)='IN-NX'!$J$5,'IN-NX'!$D$7=D5947),"x","")</f>
        <v/>
      </c>
      <c r="AB5947" s="79" t="str">
        <f>IF(AND(OR(LEFT(TH!N5947,2)="15",LEFT(TH!O5947,2)="15"),LEFT(TH!O5947,3)&lt;&gt;"111",'152-CT'!$J$8=TH!F5947),"x","")</f>
        <v/>
      </c>
      <c r="AC5947" s="79" t="str">
        <f>IF(AND(OR(LEFT(TH!N5947,2)="15",LEFT(TH!O5947,2)="15"),TK!$E$7=TH!F5947),"x","")</f>
        <v/>
      </c>
      <c r="AD5947" s="79" t="str">
        <f>IF(AND(N5947="1521",MONTH(C5947)='BK-NL'!$M$11),"x","")</f>
        <v/>
      </c>
    </row>
    <row r="5948" spans="1:30" ht="16.5" customHeight="1">
      <c r="A5948" s="318" t="str">
        <f>IF(B5948&lt;&gt;"",IF(AND(B5948='IN-TC'!$S$4,OR(TH!N5948="1111",TH!O5948="1111")),TH!D5948,""),"")</f>
        <v/>
      </c>
      <c r="B5948" s="60" t="str">
        <f t="shared" si="513"/>
        <v/>
      </c>
      <c r="C5948" s="61"/>
      <c r="D5948" s="301"/>
      <c r="E5948" s="61"/>
      <c r="F5948" s="69"/>
      <c r="G5948" s="769"/>
      <c r="H5948" s="69"/>
      <c r="I5948" s="385"/>
      <c r="J5948" s="392"/>
      <c r="K5948" s="385"/>
      <c r="L5948" s="392"/>
      <c r="M5948" s="62"/>
      <c r="N5948" s="63"/>
      <c r="O5948" s="63"/>
      <c r="P5948" s="79" t="str">
        <f>IF(AND('331-CT'!$E$7=TH!H5948,OR(N5948="331",O5948="331")),"x","")</f>
        <v/>
      </c>
      <c r="Q5948" s="79" t="str">
        <f>IF(AND(B5948='111'!$L$11,OR($N5948=$Q$7,$O5948=$Q$7)),"x","")</f>
        <v/>
      </c>
      <c r="R5948" s="79" t="str">
        <f>IF(AND($N5948=$Q$7,$B5948&lt;'111'!$L$11),"x","")</f>
        <v/>
      </c>
      <c r="S5948" s="79" t="str">
        <f>IF(AND($O5948=$Q$7,$B5948&lt;'111'!$L$11),"x","")</f>
        <v/>
      </c>
      <c r="T5948" s="79" t="str">
        <f>IF(ISERROR(FIND('112'!$M$9,G5948,1)),"",IF((AND(FIND('112'!$M$9,G5948,1)&gt;=1,B5948='112'!$K$9,OR($N5948='112'!$I$6,$O5948='112'!$I$6))),"x",""))</f>
        <v/>
      </c>
      <c r="U5948" s="79" t="str">
        <f>IF(ISERROR(FIND('112'!$M$9,G5948,1)),"",IF((AND(LEFT(G5948,2)=LEFT('112'!$M$9,2),B5948&lt;'112'!$K$9,$N5948='112'!$I$6)),"x",""))</f>
        <v/>
      </c>
      <c r="V5948" s="79" t="str">
        <f>IF(ISERROR(FIND('112'!$M$9,G5948,1)),"",IF((AND(RIGHT(G5948,2)=RIGHT('112'!$M$9,2),B5948&lt;'112'!$K$9,$O5948='112'!$I$6)),"x",""))</f>
        <v/>
      </c>
      <c r="W5948" s="79" t="str">
        <f>IF(AND('341-CT'!$H$9=H5948,OR(LEFT(N5948,3)=$W$7,LEFT(O5948,3)=$W$7)),"x","")</f>
        <v/>
      </c>
      <c r="X5948" s="79" t="str">
        <f>IF(OR(TH!N5948=TH!$X$7,O5948=TH!$X$7),"x","")</f>
        <v/>
      </c>
      <c r="Y5948" s="79" t="str">
        <f>IF(AND(OR(N5948="131",O5948="131"),H5948='131-CT'!$H$9),"x","")</f>
        <v/>
      </c>
      <c r="Z5948" s="79"/>
      <c r="AA5948" s="79" t="str">
        <f>IF(AND(MONTH(E5948)='IN-NX'!$J$5,'IN-NX'!$D$7=D5948),"x","")</f>
        <v/>
      </c>
      <c r="AB5948" s="79" t="str">
        <f>IF(AND(OR(LEFT(TH!N5948,2)="15",LEFT(TH!O5948,2)="15"),LEFT(TH!O5948,3)&lt;&gt;"111",'152-CT'!$J$8=TH!F5948),"x","")</f>
        <v/>
      </c>
      <c r="AC5948" s="79" t="str">
        <f>IF(AND(OR(LEFT(TH!N5948,2)="15",LEFT(TH!O5948,2)="15"),TK!$E$7=TH!F5948),"x","")</f>
        <v/>
      </c>
      <c r="AD5948" s="79" t="str">
        <f>IF(AND(N5948="1521",MONTH(C5948)='BK-NL'!$M$11),"x","")</f>
        <v/>
      </c>
    </row>
    <row r="5949" spans="1:30" ht="16.5" customHeight="1">
      <c r="A5949" s="318" t="str">
        <f>IF(B5949&lt;&gt;"",IF(AND(B5949='IN-TC'!$S$4,OR(TH!N5949="1111",TH!O5949="1111")),TH!D5949,""),"")</f>
        <v/>
      </c>
      <c r="B5949" s="60" t="str">
        <f t="shared" si="513"/>
        <v/>
      </c>
      <c r="C5949" s="61"/>
      <c r="D5949" s="301"/>
      <c r="E5949" s="61"/>
      <c r="F5949" s="69"/>
      <c r="G5949" s="769"/>
      <c r="H5949" s="69"/>
      <c r="I5949" s="385"/>
      <c r="J5949" s="392"/>
      <c r="K5949" s="385"/>
      <c r="L5949" s="392"/>
      <c r="M5949" s="62"/>
      <c r="N5949" s="63"/>
      <c r="O5949" s="63"/>
      <c r="P5949" s="79" t="str">
        <f>IF(AND('331-CT'!$E$7=TH!H5949,OR(N5949="331",O5949="331")),"x","")</f>
        <v/>
      </c>
      <c r="Q5949" s="79" t="str">
        <f>IF(AND(B5949='111'!$L$11,OR($N5949=$Q$7,$O5949=$Q$7)),"x","")</f>
        <v/>
      </c>
      <c r="R5949" s="79" t="str">
        <f>IF(AND($N5949=$Q$7,$B5949&lt;'111'!$L$11),"x","")</f>
        <v/>
      </c>
      <c r="S5949" s="79" t="str">
        <f>IF(AND($O5949=$Q$7,$B5949&lt;'111'!$L$11),"x","")</f>
        <v/>
      </c>
      <c r="T5949" s="79" t="str">
        <f>IF(ISERROR(FIND('112'!$M$9,G5949,1)),"",IF((AND(FIND('112'!$M$9,G5949,1)&gt;=1,B5949='112'!$K$9,OR($N5949='112'!$I$6,$O5949='112'!$I$6))),"x",""))</f>
        <v/>
      </c>
      <c r="U5949" s="79" t="str">
        <f>IF(ISERROR(FIND('112'!$M$9,G5949,1)),"",IF((AND(LEFT(G5949,2)=LEFT('112'!$M$9,2),B5949&lt;'112'!$K$9,$N5949='112'!$I$6)),"x",""))</f>
        <v/>
      </c>
      <c r="V5949" s="79" t="str">
        <f>IF(ISERROR(FIND('112'!$M$9,G5949,1)),"",IF((AND(RIGHT(G5949,2)=RIGHT('112'!$M$9,2),B5949&lt;'112'!$K$9,$O5949='112'!$I$6)),"x",""))</f>
        <v/>
      </c>
      <c r="W5949" s="79" t="str">
        <f>IF(AND('341-CT'!$H$9=H5949,OR(LEFT(N5949,3)=$W$7,LEFT(O5949,3)=$W$7)),"x","")</f>
        <v/>
      </c>
      <c r="X5949" s="79" t="str">
        <f>IF(OR(TH!N5949=TH!$X$7,O5949=TH!$X$7),"x","")</f>
        <v/>
      </c>
      <c r="Y5949" s="79" t="str">
        <f>IF(AND(OR(N5949="131",O5949="131"),H5949='131-CT'!$H$9),"x","")</f>
        <v/>
      </c>
      <c r="Z5949" s="79"/>
      <c r="AA5949" s="79" t="str">
        <f>IF(AND(MONTH(E5949)='IN-NX'!$J$5,'IN-NX'!$D$7=D5949),"x","")</f>
        <v/>
      </c>
      <c r="AB5949" s="79" t="str">
        <f>IF(AND(OR(LEFT(TH!N5949,2)="15",LEFT(TH!O5949,2)="15"),LEFT(TH!O5949,3)&lt;&gt;"111",'152-CT'!$J$8=TH!F5949),"x","")</f>
        <v/>
      </c>
      <c r="AC5949" s="79" t="str">
        <f>IF(AND(OR(LEFT(TH!N5949,2)="15",LEFT(TH!O5949,2)="15"),TK!$E$7=TH!F5949),"x","")</f>
        <v/>
      </c>
      <c r="AD5949" s="79" t="str">
        <f>IF(AND(N5949="1521",MONTH(C5949)='BK-NL'!$M$11),"x","")</f>
        <v/>
      </c>
    </row>
    <row r="5950" spans="1:30" ht="16.5" customHeight="1">
      <c r="A5950" s="318" t="str">
        <f>IF(B5950&lt;&gt;"",IF(AND(B5950='IN-TC'!$S$4,OR(TH!N5950="1111",TH!O5950="1111")),TH!D5950,""),"")</f>
        <v/>
      </c>
      <c r="B5950" s="60" t="str">
        <f t="shared" si="513"/>
        <v/>
      </c>
      <c r="C5950" s="61"/>
      <c r="D5950" s="301"/>
      <c r="E5950" s="61"/>
      <c r="F5950" s="69"/>
      <c r="G5950" s="769"/>
      <c r="H5950" s="69"/>
      <c r="I5950" s="385"/>
      <c r="J5950" s="392"/>
      <c r="K5950" s="385"/>
      <c r="L5950" s="392"/>
      <c r="M5950" s="62"/>
      <c r="N5950" s="63"/>
      <c r="O5950" s="63"/>
      <c r="P5950" s="79" t="str">
        <f>IF(AND('331-CT'!$E$7=TH!H5950,OR(N5950="331",O5950="331")),"x","")</f>
        <v/>
      </c>
      <c r="Q5950" s="79" t="str">
        <f>IF(AND(B5950='111'!$L$11,OR($N5950=$Q$7,$O5950=$Q$7)),"x","")</f>
        <v/>
      </c>
      <c r="R5950" s="79" t="str">
        <f>IF(AND($N5950=$Q$7,$B5950&lt;'111'!$L$11),"x","")</f>
        <v/>
      </c>
      <c r="S5950" s="79" t="str">
        <f>IF(AND($O5950=$Q$7,$B5950&lt;'111'!$L$11),"x","")</f>
        <v/>
      </c>
      <c r="T5950" s="79" t="str">
        <f>IF(ISERROR(FIND('112'!$M$9,G5950,1)),"",IF((AND(FIND('112'!$M$9,G5950,1)&gt;=1,B5950='112'!$K$9,OR($N5950='112'!$I$6,$O5950='112'!$I$6))),"x",""))</f>
        <v/>
      </c>
      <c r="U5950" s="79" t="str">
        <f>IF(ISERROR(FIND('112'!$M$9,G5950,1)),"",IF((AND(LEFT(G5950,2)=LEFT('112'!$M$9,2),B5950&lt;'112'!$K$9,$N5950='112'!$I$6)),"x",""))</f>
        <v/>
      </c>
      <c r="V5950" s="79" t="str">
        <f>IF(ISERROR(FIND('112'!$M$9,G5950,1)),"",IF((AND(RIGHT(G5950,2)=RIGHT('112'!$M$9,2),B5950&lt;'112'!$K$9,$O5950='112'!$I$6)),"x",""))</f>
        <v/>
      </c>
      <c r="W5950" s="79" t="str">
        <f>IF(AND('341-CT'!$H$9=H5950,OR(LEFT(N5950,3)=$W$7,LEFT(O5950,3)=$W$7)),"x","")</f>
        <v/>
      </c>
      <c r="X5950" s="79" t="str">
        <f>IF(OR(TH!N5950=TH!$X$7,O5950=TH!$X$7),"x","")</f>
        <v/>
      </c>
      <c r="Y5950" s="79" t="str">
        <f>IF(AND(OR(N5950="131",O5950="131"),H5950='131-CT'!$H$9),"x","")</f>
        <v/>
      </c>
      <c r="Z5950" s="79"/>
      <c r="AA5950" s="79" t="str">
        <f>IF(AND(MONTH(E5950)='IN-NX'!$J$5,'IN-NX'!$D$7=D5950),"x","")</f>
        <v/>
      </c>
      <c r="AB5950" s="79" t="str">
        <f>IF(AND(OR(LEFT(TH!N5950,2)="15",LEFT(TH!O5950,2)="15"),LEFT(TH!O5950,3)&lt;&gt;"111",'152-CT'!$J$8=TH!F5950),"x","")</f>
        <v/>
      </c>
      <c r="AC5950" s="79" t="str">
        <f>IF(AND(OR(LEFT(TH!N5950,2)="15",LEFT(TH!O5950,2)="15"),TK!$E$7=TH!F5950),"x","")</f>
        <v/>
      </c>
      <c r="AD5950" s="79" t="str">
        <f>IF(AND(N5950="1521",MONTH(C5950)='BK-NL'!$M$11),"x","")</f>
        <v/>
      </c>
    </row>
    <row r="5951" spans="1:30" ht="16.5" customHeight="1">
      <c r="A5951" s="318" t="str">
        <f>IF(B5951&lt;&gt;"",IF(AND(B5951='IN-TC'!$S$4,OR(TH!N5951="1111",TH!O5951="1111")),TH!D5951,""),"")</f>
        <v/>
      </c>
      <c r="B5951" s="60" t="str">
        <f t="shared" si="513"/>
        <v/>
      </c>
      <c r="C5951" s="301"/>
      <c r="D5951" s="301"/>
      <c r="E5951" s="301"/>
      <c r="F5951" s="69"/>
      <c r="G5951" s="302"/>
      <c r="H5951" s="303"/>
      <c r="I5951" s="385"/>
      <c r="J5951" s="392"/>
      <c r="K5951" s="385"/>
      <c r="L5951" s="392"/>
      <c r="M5951" s="62"/>
      <c r="N5951" s="304"/>
      <c r="O5951" s="63"/>
      <c r="P5951" s="79" t="str">
        <f>IF(AND('331-CT'!$E$7=TH!H5951,OR(N5951="331",O5951="331")),"x","")</f>
        <v/>
      </c>
      <c r="Q5951" s="79" t="str">
        <f>IF(AND(B5951='111'!$L$11,OR($N5951=$Q$7,$O5951=$Q$7)),"x","")</f>
        <v/>
      </c>
      <c r="R5951" s="79" t="str">
        <f>IF(AND($N5951=$Q$7,$B5951&lt;'111'!$L$11),"x","")</f>
        <v/>
      </c>
      <c r="S5951" s="79" t="str">
        <f>IF(AND($O5951=$Q$7,$B5951&lt;'111'!$L$11),"x","")</f>
        <v/>
      </c>
      <c r="T5951" s="79" t="str">
        <f>IF(ISERROR(FIND('112'!$M$9,G5951,1)),"",IF((AND(FIND('112'!$M$9,G5951,1)&gt;=1,B5951='112'!$K$9,OR($N5951='112'!$I$6,$O5951='112'!$I$6))),"x",""))</f>
        <v/>
      </c>
      <c r="U5951" s="79" t="str">
        <f>IF(ISERROR(FIND('112'!$M$9,G5951,1)),"",IF((AND(LEFT(G5951,2)=LEFT('112'!$M$9,2),B5951&lt;'112'!$K$9,$N5951='112'!$I$6)),"x",""))</f>
        <v/>
      </c>
      <c r="V5951" s="79" t="str">
        <f>IF(ISERROR(FIND('112'!$M$9,G5951,1)),"",IF((AND(RIGHT(G5951,2)=RIGHT('112'!$M$9,2),B5951&lt;'112'!$K$9,$O5951='112'!$I$6)),"x",""))</f>
        <v/>
      </c>
      <c r="W5951" s="79" t="str">
        <f>IF(AND('341-CT'!$H$9=H5951,OR(LEFT(N5951,3)=$W$7,LEFT(O5951,3)=$W$7)),"x","")</f>
        <v/>
      </c>
      <c r="X5951" s="79" t="str">
        <f>IF(OR(TH!N5951=TH!$X$7,O5951=TH!$X$7),"x","")</f>
        <v/>
      </c>
      <c r="Y5951" s="79" t="str">
        <f>IF(AND(OR(N5951="131",O5951="131"),H5951='131-CT'!$H$9),"x","")</f>
        <v/>
      </c>
      <c r="Z5951" s="79"/>
      <c r="AA5951" s="79" t="str">
        <f>IF(AND(MONTH(E5951)='IN-NX'!$J$5,'IN-NX'!$D$7=D5951),"x","")</f>
        <v/>
      </c>
      <c r="AB5951" s="79" t="str">
        <f>IF(AND(OR(LEFT(TH!N5951,2)="15",LEFT(TH!O5951,2)="15"),LEFT(TH!O5951,3)&lt;&gt;"111",'152-CT'!$J$8=TH!F5951),"x","")</f>
        <v/>
      </c>
      <c r="AC5951" s="79" t="str">
        <f>IF(AND(OR(LEFT(TH!N5951,2)="15",LEFT(TH!O5951,2)="15"),TK!$E$7=TH!F5951),"x","")</f>
        <v/>
      </c>
      <c r="AD5951" s="79" t="str">
        <f>IF(AND(N5951="1521",MONTH(C5951)='BK-NL'!$M$11),"x","")</f>
        <v/>
      </c>
    </row>
    <row r="5952" spans="1:30" ht="16.5" customHeight="1">
      <c r="A5952" s="318" t="str">
        <f>IF(B5952&lt;&gt;"",IF(AND(B5952='IN-TC'!$S$4,OR(TH!N5952="1111",TH!O5952="1111")),TH!D5952,""),"")</f>
        <v/>
      </c>
      <c r="B5952" s="60" t="str">
        <f t="shared" si="513"/>
        <v/>
      </c>
      <c r="C5952" s="301"/>
      <c r="D5952" s="301"/>
      <c r="E5952" s="301"/>
      <c r="F5952" s="69"/>
      <c r="G5952" s="769"/>
      <c r="H5952" s="303"/>
      <c r="I5952" s="385"/>
      <c r="J5952" s="392"/>
      <c r="K5952" s="385"/>
      <c r="L5952" s="392"/>
      <c r="M5952" s="62"/>
      <c r="N5952" s="304"/>
      <c r="O5952" s="63"/>
      <c r="P5952" s="79" t="str">
        <f>IF(AND('331-CT'!$E$7=TH!H5952,OR(N5952="331",O5952="331")),"x","")</f>
        <v/>
      </c>
      <c r="Q5952" s="79" t="str">
        <f>IF(AND(B5952='111'!$L$11,OR($N5952=$Q$7,$O5952=$Q$7)),"x","")</f>
        <v/>
      </c>
      <c r="R5952" s="79" t="str">
        <f>IF(AND($N5952=$Q$7,$B5952&lt;'111'!$L$11),"x","")</f>
        <v/>
      </c>
      <c r="S5952" s="79" t="str">
        <f>IF(AND($O5952=$Q$7,$B5952&lt;'111'!$L$11),"x","")</f>
        <v/>
      </c>
      <c r="T5952" s="79" t="str">
        <f>IF(ISERROR(FIND('112'!$M$9,G5952,1)),"",IF((AND(FIND('112'!$M$9,G5952,1)&gt;=1,B5952='112'!$K$9,OR($N5952='112'!$I$6,$O5952='112'!$I$6))),"x",""))</f>
        <v/>
      </c>
      <c r="U5952" s="79" t="str">
        <f>IF(ISERROR(FIND('112'!$M$9,G5952,1)),"",IF((AND(LEFT(G5952,2)=LEFT('112'!$M$9,2),B5952&lt;'112'!$K$9,$N5952='112'!$I$6)),"x",""))</f>
        <v/>
      </c>
      <c r="V5952" s="79" t="str">
        <f>IF(ISERROR(FIND('112'!$M$9,G5952,1)),"",IF((AND(RIGHT(G5952,2)=RIGHT('112'!$M$9,2),B5952&lt;'112'!$K$9,$O5952='112'!$I$6)),"x",""))</f>
        <v/>
      </c>
      <c r="W5952" s="79" t="str">
        <f>IF(AND('341-CT'!$H$9=H5952,OR(LEFT(N5952,3)=$W$7,LEFT(O5952,3)=$W$7)),"x","")</f>
        <v/>
      </c>
      <c r="X5952" s="79" t="str">
        <f>IF(OR(TH!N5952=TH!$X$7,O5952=TH!$X$7),"x","")</f>
        <v/>
      </c>
      <c r="Y5952" s="79" t="str">
        <f>IF(AND(OR(N5952="131",O5952="131"),H5952='131-CT'!$H$9),"x","")</f>
        <v/>
      </c>
      <c r="Z5952" s="79"/>
      <c r="AA5952" s="79" t="str">
        <f>IF(AND(MONTH(E5952)='IN-NX'!$J$5,'IN-NX'!$D$7=D5952),"x","")</f>
        <v/>
      </c>
      <c r="AB5952" s="79" t="str">
        <f>IF(AND(OR(LEFT(TH!N5952,2)="15",LEFT(TH!O5952,2)="15"),LEFT(TH!O5952,3)&lt;&gt;"111",'152-CT'!$J$8=TH!F5952),"x","")</f>
        <v/>
      </c>
      <c r="AC5952" s="79" t="str">
        <f>IF(AND(OR(LEFT(TH!N5952,2)="15",LEFT(TH!O5952,2)="15"),TK!$E$7=TH!F5952),"x","")</f>
        <v/>
      </c>
      <c r="AD5952" s="79" t="str">
        <f>IF(AND(N5952="1521",MONTH(C5952)='BK-NL'!$M$11),"x","")</f>
        <v/>
      </c>
    </row>
    <row r="5953" spans="1:30" ht="16.5" customHeight="1">
      <c r="A5953" s="318" t="str">
        <f>IF(B5953&lt;&gt;"",IF(AND(B5953='IN-TC'!$S$4,OR(TH!N5953="1111",TH!O5953="1111")),TH!D5953,""),"")</f>
        <v/>
      </c>
      <c r="B5953" s="60" t="str">
        <f t="shared" si="513"/>
        <v/>
      </c>
      <c r="C5953" s="301"/>
      <c r="D5953" s="301"/>
      <c r="E5953" s="301"/>
      <c r="F5953" s="69"/>
      <c r="G5953" s="769"/>
      <c r="H5953" s="303"/>
      <c r="I5953" s="385"/>
      <c r="J5953" s="392"/>
      <c r="K5953" s="385"/>
      <c r="L5953" s="392"/>
      <c r="M5953" s="62"/>
      <c r="N5953" s="304"/>
      <c r="O5953" s="63"/>
      <c r="P5953" s="79" t="str">
        <f>IF(AND('331-CT'!$E$7=TH!H5953,OR(N5953="331",O5953="331")),"x","")</f>
        <v/>
      </c>
      <c r="Q5953" s="79" t="str">
        <f>IF(AND(B5953='111'!$L$11,OR($N5953=$Q$7,$O5953=$Q$7)),"x","")</f>
        <v/>
      </c>
      <c r="R5953" s="79" t="str">
        <f>IF(AND($N5953=$Q$7,$B5953&lt;'111'!$L$11),"x","")</f>
        <v/>
      </c>
      <c r="S5953" s="79" t="str">
        <f>IF(AND($O5953=$Q$7,$B5953&lt;'111'!$L$11),"x","")</f>
        <v/>
      </c>
      <c r="T5953" s="79" t="str">
        <f>IF(ISERROR(FIND('112'!$M$9,G5953,1)),"",IF((AND(FIND('112'!$M$9,G5953,1)&gt;=1,B5953='112'!$K$9,OR($N5953='112'!$I$6,$O5953='112'!$I$6))),"x",""))</f>
        <v/>
      </c>
      <c r="U5953" s="79" t="str">
        <f>IF(ISERROR(FIND('112'!$M$9,G5953,1)),"",IF((AND(LEFT(G5953,2)=LEFT('112'!$M$9,2),B5953&lt;'112'!$K$9,$N5953='112'!$I$6)),"x",""))</f>
        <v/>
      </c>
      <c r="V5953" s="79" t="str">
        <f>IF(ISERROR(FIND('112'!$M$9,G5953,1)),"",IF((AND(RIGHT(G5953,2)=RIGHT('112'!$M$9,2),B5953&lt;'112'!$K$9,$O5953='112'!$I$6)),"x",""))</f>
        <v/>
      </c>
      <c r="W5953" s="79" t="str">
        <f>IF(AND('341-CT'!$H$9=H5953,OR(LEFT(N5953,3)=$W$7,LEFT(O5953,3)=$W$7)),"x","")</f>
        <v/>
      </c>
      <c r="X5953" s="79" t="str">
        <f>IF(OR(TH!N5953=TH!$X$7,O5953=TH!$X$7),"x","")</f>
        <v/>
      </c>
      <c r="Y5953" s="79" t="str">
        <f>IF(AND(OR(N5953="131",O5953="131"),H5953='131-CT'!$H$9),"x","")</f>
        <v/>
      </c>
      <c r="Z5953" s="79"/>
      <c r="AA5953" s="79" t="str">
        <f>IF(AND(MONTH(E5953)='IN-NX'!$J$5,'IN-NX'!$D$7=D5953),"x","")</f>
        <v/>
      </c>
      <c r="AB5953" s="79" t="str">
        <f>IF(AND(OR(LEFT(TH!N5953,2)="15",LEFT(TH!O5953,2)="15"),LEFT(TH!O5953,3)&lt;&gt;"111",'152-CT'!$J$8=TH!F5953),"x","")</f>
        <v/>
      </c>
      <c r="AC5953" s="79" t="str">
        <f>IF(AND(OR(LEFT(TH!N5953,2)="15",LEFT(TH!O5953,2)="15"),TK!$E$7=TH!F5953),"x","")</f>
        <v/>
      </c>
      <c r="AD5953" s="79" t="str">
        <f>IF(AND(N5953="1521",MONTH(C5953)='BK-NL'!$M$11),"x","")</f>
        <v/>
      </c>
    </row>
    <row r="5954" spans="1:30" ht="16.5" customHeight="1">
      <c r="A5954" s="318" t="str">
        <f>IF(B5954&lt;&gt;"",IF(AND(B5954='IN-TC'!$S$4,OR(TH!N5954="1111",TH!O5954="1111")),TH!D5954,""),"")</f>
        <v/>
      </c>
      <c r="B5954" s="60" t="str">
        <f t="shared" si="513"/>
        <v/>
      </c>
      <c r="C5954" s="61"/>
      <c r="D5954" s="61"/>
      <c r="E5954" s="61"/>
      <c r="F5954" s="69"/>
      <c r="G5954" s="769"/>
      <c r="H5954" s="321"/>
      <c r="I5954" s="385"/>
      <c r="J5954" s="392"/>
      <c r="K5954" s="385"/>
      <c r="L5954" s="392"/>
      <c r="M5954" s="62"/>
      <c r="N5954" s="63"/>
      <c r="O5954" s="63"/>
      <c r="P5954" s="79" t="str">
        <f>IF(AND('331-CT'!$E$7=TH!H5954,OR(N5954="331",O5954="331")),"x","")</f>
        <v/>
      </c>
      <c r="Q5954" s="79" t="str">
        <f>IF(AND(B5954='111'!$L$11,OR($N5954=$Q$7,$O5954=$Q$7)),"x","")</f>
        <v/>
      </c>
      <c r="R5954" s="79" t="str">
        <f>IF(AND($N5954=$Q$7,$B5954&lt;'111'!$L$11),"x","")</f>
        <v/>
      </c>
      <c r="S5954" s="79" t="str">
        <f>IF(AND($O5954=$Q$7,$B5954&lt;'111'!$L$11),"x","")</f>
        <v/>
      </c>
      <c r="T5954" s="79" t="str">
        <f>IF(ISERROR(FIND('112'!$M$9,G5954,1)),"",IF((AND(FIND('112'!$M$9,G5954,1)&gt;=1,B5954='112'!$K$9,OR($N5954='112'!$I$6,$O5954='112'!$I$6))),"x",""))</f>
        <v/>
      </c>
      <c r="U5954" s="79" t="str">
        <f>IF(ISERROR(FIND('112'!$M$9,G5954,1)),"",IF((AND(LEFT(G5954,2)=LEFT('112'!$M$9,2),B5954&lt;'112'!$K$9,$N5954='112'!$I$6)),"x",""))</f>
        <v/>
      </c>
      <c r="V5954" s="79" t="str">
        <f>IF(ISERROR(FIND('112'!$M$9,G5954,1)),"",IF((AND(RIGHT(G5954,2)=RIGHT('112'!$M$9,2),B5954&lt;'112'!$K$9,$O5954='112'!$I$6)),"x",""))</f>
        <v/>
      </c>
      <c r="W5954" s="79" t="str">
        <f>IF(AND('341-CT'!$H$9=H5954,OR(LEFT(N5954,3)=$W$7,LEFT(O5954,3)=$W$7)),"x","")</f>
        <v/>
      </c>
      <c r="X5954" s="79" t="str">
        <f>IF(OR(TH!N5954=TH!$X$7,O5954=TH!$X$7),"x","")</f>
        <v/>
      </c>
      <c r="Y5954" s="79" t="str">
        <f>IF(AND(OR(N5954="131",O5954="131"),H5954='131-CT'!$H$9),"x","")</f>
        <v/>
      </c>
      <c r="Z5954" s="79"/>
      <c r="AA5954" s="79" t="str">
        <f>IF(AND(MONTH(E5954)='IN-NX'!$J$5,'IN-NX'!$D$7=D5954),"x","")</f>
        <v/>
      </c>
      <c r="AB5954" s="79" t="str">
        <f>IF(AND(OR(LEFT(TH!N5954,2)="15",LEFT(TH!O5954,2)="15"),LEFT(TH!O5954,3)&lt;&gt;"111",'152-CT'!$J$8=TH!F5954),"x","")</f>
        <v/>
      </c>
      <c r="AC5954" s="79" t="str">
        <f>IF(AND(OR(LEFT(TH!N5954,2)="15",LEFT(TH!O5954,2)="15"),TK!$E$7=TH!F5954),"x","")</f>
        <v/>
      </c>
      <c r="AD5954" s="79" t="str">
        <f>IF(AND(N5954="1521",MONTH(C5954)='BK-NL'!$M$11),"x","")</f>
        <v/>
      </c>
    </row>
    <row r="5955" spans="1:30" ht="16.5" customHeight="1">
      <c r="A5955" s="318" t="str">
        <f>IF(B5955&lt;&gt;"",IF(AND(B5955='IN-TC'!$S$4,OR(TH!N5955="1111",TH!O5955="1111")),TH!D5955,""),"")</f>
        <v/>
      </c>
      <c r="B5955" s="60" t="str">
        <f t="shared" ref="B5955:B6018" si="514">IF(C5955&lt;&gt;"",MONTH(C5955),"")</f>
        <v/>
      </c>
      <c r="C5955" s="61"/>
      <c r="D5955" s="61"/>
      <c r="E5955" s="61"/>
      <c r="F5955" s="69"/>
      <c r="G5955" s="769"/>
      <c r="H5955" s="69"/>
      <c r="I5955" s="385"/>
      <c r="J5955" s="392"/>
      <c r="K5955" s="385"/>
      <c r="L5955" s="392"/>
      <c r="M5955" s="62"/>
      <c r="N5955" s="63"/>
      <c r="O5955" s="63"/>
      <c r="P5955" s="79" t="str">
        <f>IF(AND('331-CT'!$E$7=TH!H5955,OR(N5955="331",O5955="331")),"x","")</f>
        <v/>
      </c>
      <c r="Q5955" s="79" t="str">
        <f>IF(AND(B5955='111'!$L$11,OR($N5955=$Q$7,$O5955=$Q$7)),"x","")</f>
        <v/>
      </c>
      <c r="R5955" s="79" t="str">
        <f>IF(AND($N5955=$Q$7,$B5955&lt;'111'!$L$11),"x","")</f>
        <v/>
      </c>
      <c r="S5955" s="79" t="str">
        <f>IF(AND($O5955=$Q$7,$B5955&lt;'111'!$L$11),"x","")</f>
        <v/>
      </c>
      <c r="T5955" s="79" t="str">
        <f>IF(ISERROR(FIND('112'!$M$9,G5955,1)),"",IF((AND(FIND('112'!$M$9,G5955,1)&gt;=1,B5955='112'!$K$9,OR($N5955='112'!$I$6,$O5955='112'!$I$6))),"x",""))</f>
        <v/>
      </c>
      <c r="U5955" s="79" t="str">
        <f>IF(ISERROR(FIND('112'!$M$9,G5955,1)),"",IF((AND(LEFT(G5955,2)=LEFT('112'!$M$9,2),B5955&lt;'112'!$K$9,$N5955='112'!$I$6)),"x",""))</f>
        <v/>
      </c>
      <c r="V5955" s="79" t="str">
        <f>IF(ISERROR(FIND('112'!$M$9,G5955,1)),"",IF((AND(RIGHT(G5955,2)=RIGHT('112'!$M$9,2),B5955&lt;'112'!$K$9,$O5955='112'!$I$6)),"x",""))</f>
        <v/>
      </c>
      <c r="W5955" s="79" t="str">
        <f>IF(AND('341-CT'!$H$9=H5955,OR(LEFT(N5955,3)=$W$7,LEFT(O5955,3)=$W$7)),"x","")</f>
        <v/>
      </c>
      <c r="X5955" s="79" t="str">
        <f>IF(OR(TH!N5955=TH!$X$7,O5955=TH!$X$7),"x","")</f>
        <v/>
      </c>
      <c r="Y5955" s="79" t="str">
        <f>IF(AND(OR(N5955="131",O5955="131"),H5955='131-CT'!$H$9),"x","")</f>
        <v/>
      </c>
      <c r="Z5955" s="79"/>
      <c r="AA5955" s="79" t="str">
        <f>IF(AND(MONTH(E5955)='IN-NX'!$J$5,'IN-NX'!$D$7=D5955),"x","")</f>
        <v/>
      </c>
      <c r="AB5955" s="79" t="str">
        <f>IF(AND(OR(LEFT(TH!N5955,2)="15",LEFT(TH!O5955,2)="15"),LEFT(TH!O5955,3)&lt;&gt;"111",'152-CT'!$J$8=TH!F5955),"x","")</f>
        <v/>
      </c>
      <c r="AC5955" s="79" t="str">
        <f>IF(AND(OR(LEFT(TH!N5955,2)="15",LEFT(TH!O5955,2)="15"),TK!$E$7=TH!F5955),"x","")</f>
        <v/>
      </c>
      <c r="AD5955" s="79" t="str">
        <f>IF(AND(N5955="1521",MONTH(C5955)='BK-NL'!$M$11),"x","")</f>
        <v/>
      </c>
    </row>
    <row r="5956" spans="1:30" ht="16.5" customHeight="1">
      <c r="A5956" s="318" t="str">
        <f>IF(B5956&lt;&gt;"",IF(AND(B5956='IN-TC'!$S$4,OR(TH!N5956="1111",TH!O5956="1111")),TH!D5956,""),"")</f>
        <v/>
      </c>
      <c r="B5956" s="60" t="str">
        <f t="shared" si="514"/>
        <v/>
      </c>
      <c r="C5956" s="61"/>
      <c r="D5956" s="61"/>
      <c r="E5956" s="61"/>
      <c r="F5956" s="69"/>
      <c r="G5956" s="769"/>
      <c r="H5956" s="69"/>
      <c r="I5956" s="385"/>
      <c r="J5956" s="392"/>
      <c r="K5956" s="385"/>
      <c r="L5956" s="392"/>
      <c r="M5956" s="62"/>
      <c r="N5956" s="63"/>
      <c r="O5956" s="63"/>
      <c r="P5956" s="79" t="str">
        <f>IF(AND('331-CT'!$E$7=TH!H5956,OR(N5956="331",O5956="331")),"x","")</f>
        <v/>
      </c>
      <c r="Q5956" s="79" t="str">
        <f>IF(AND(B5956='111'!$L$11,OR($N5956=$Q$7,$O5956=$Q$7)),"x","")</f>
        <v/>
      </c>
      <c r="R5956" s="79" t="str">
        <f>IF(AND($N5956=$Q$7,$B5956&lt;'111'!$L$11),"x","")</f>
        <v/>
      </c>
      <c r="S5956" s="79" t="str">
        <f>IF(AND($O5956=$Q$7,$B5956&lt;'111'!$L$11),"x","")</f>
        <v/>
      </c>
      <c r="T5956" s="79" t="str">
        <f>IF(ISERROR(FIND('112'!$M$9,G5956,1)),"",IF((AND(FIND('112'!$M$9,G5956,1)&gt;=1,B5956='112'!$K$9,OR($N5956='112'!$I$6,$O5956='112'!$I$6))),"x",""))</f>
        <v/>
      </c>
      <c r="U5956" s="79" t="str">
        <f>IF(ISERROR(FIND('112'!$M$9,G5956,1)),"",IF((AND(LEFT(G5956,2)=LEFT('112'!$M$9,2),B5956&lt;'112'!$K$9,$N5956='112'!$I$6)),"x",""))</f>
        <v/>
      </c>
      <c r="V5956" s="79" t="str">
        <f>IF(ISERROR(FIND('112'!$M$9,G5956,1)),"",IF((AND(RIGHT(G5956,2)=RIGHT('112'!$M$9,2),B5956&lt;'112'!$K$9,$O5956='112'!$I$6)),"x",""))</f>
        <v/>
      </c>
      <c r="W5956" s="79" t="str">
        <f>IF(AND('341-CT'!$H$9=H5956,OR(LEFT(N5956,3)=$W$7,LEFT(O5956,3)=$W$7)),"x","")</f>
        <v/>
      </c>
      <c r="X5956" s="79" t="str">
        <f>IF(OR(TH!N5956=TH!$X$7,O5956=TH!$X$7),"x","")</f>
        <v/>
      </c>
      <c r="Y5956" s="79" t="str">
        <f>IF(AND(OR(N5956="131",O5956="131"),H5956='131-CT'!$H$9),"x","")</f>
        <v/>
      </c>
      <c r="Z5956" s="79"/>
      <c r="AA5956" s="79" t="str">
        <f>IF(AND(MONTH(E5956)='IN-NX'!$J$5,'IN-NX'!$D$7=D5956),"x","")</f>
        <v/>
      </c>
      <c r="AB5956" s="79" t="str">
        <f>IF(AND(OR(LEFT(TH!N5956,2)="15",LEFT(TH!O5956,2)="15"),LEFT(TH!O5956,3)&lt;&gt;"111",'152-CT'!$J$8=TH!F5956),"x","")</f>
        <v/>
      </c>
      <c r="AC5956" s="79" t="str">
        <f>IF(AND(OR(LEFT(TH!N5956,2)="15",LEFT(TH!O5956,2)="15"),TK!$E$7=TH!F5956),"x","")</f>
        <v/>
      </c>
      <c r="AD5956" s="79" t="str">
        <f>IF(AND(N5956="1521",MONTH(C5956)='BK-NL'!$M$11),"x","")</f>
        <v/>
      </c>
    </row>
    <row r="5957" spans="1:30" ht="16.5" customHeight="1">
      <c r="A5957" s="318" t="str">
        <f>IF(B5957&lt;&gt;"",IF(AND(B5957='IN-TC'!$S$4,OR(TH!N5957="1111",TH!O5957="1111")),TH!D5957,""),"")</f>
        <v/>
      </c>
      <c r="B5957" s="60" t="str">
        <f t="shared" si="514"/>
        <v/>
      </c>
      <c r="C5957" s="61"/>
      <c r="D5957" s="301"/>
      <c r="E5957" s="61"/>
      <c r="F5957" s="69"/>
      <c r="G5957" s="64"/>
      <c r="H5957" s="321"/>
      <c r="I5957" s="385"/>
      <c r="J5957" s="392"/>
      <c r="K5957" s="385"/>
      <c r="L5957" s="392"/>
      <c r="M5957" s="62"/>
      <c r="N5957" s="63"/>
      <c r="O5957" s="63"/>
      <c r="P5957" s="79" t="str">
        <f>IF(AND('331-CT'!$E$7=TH!H5957,OR(N5957="331",O5957="331")),"x","")</f>
        <v/>
      </c>
      <c r="Q5957" s="79" t="str">
        <f>IF(AND(B5957='111'!$L$11,OR($N5957=$Q$7,$O5957=$Q$7)),"x","")</f>
        <v/>
      </c>
      <c r="R5957" s="79" t="str">
        <f>IF(AND($N5957=$Q$7,$B5957&lt;'111'!$L$11),"x","")</f>
        <v/>
      </c>
      <c r="S5957" s="79" t="str">
        <f>IF(AND($O5957=$Q$7,$B5957&lt;'111'!$L$11),"x","")</f>
        <v/>
      </c>
      <c r="T5957" s="79" t="str">
        <f>IF(ISERROR(FIND('112'!$M$9,G5957,1)),"",IF((AND(FIND('112'!$M$9,G5957,1)&gt;=1,B5957='112'!$K$9,OR($N5957='112'!$I$6,$O5957='112'!$I$6))),"x",""))</f>
        <v/>
      </c>
      <c r="U5957" s="79" t="str">
        <f>IF(ISERROR(FIND('112'!$M$9,G5957,1)),"",IF((AND(LEFT(G5957,2)=LEFT('112'!$M$9,2),B5957&lt;'112'!$K$9,$N5957='112'!$I$6)),"x",""))</f>
        <v/>
      </c>
      <c r="V5957" s="79" t="str">
        <f>IF(ISERROR(FIND('112'!$M$9,G5957,1)),"",IF((AND(RIGHT(G5957,2)=RIGHT('112'!$M$9,2),B5957&lt;'112'!$K$9,$O5957='112'!$I$6)),"x",""))</f>
        <v/>
      </c>
      <c r="W5957" s="79" t="str">
        <f>IF(AND('341-CT'!$H$9=H5957,OR(LEFT(N5957,3)=$W$7,LEFT(O5957,3)=$W$7)),"x","")</f>
        <v/>
      </c>
      <c r="X5957" s="79" t="str">
        <f>IF(OR(TH!N5957=TH!$X$7,O5957=TH!$X$7),"x","")</f>
        <v/>
      </c>
      <c r="Y5957" s="79" t="str">
        <f>IF(AND(OR(N5957="131",O5957="131"),H5957='131-CT'!$H$9),"x","")</f>
        <v/>
      </c>
      <c r="Z5957" s="79"/>
      <c r="AA5957" s="79" t="str">
        <f>IF(AND(MONTH(E5957)='IN-NX'!$J$5,'IN-NX'!$D$7=D5957),"x","")</f>
        <v/>
      </c>
      <c r="AB5957" s="79" t="str">
        <f>IF(AND(OR(LEFT(TH!N5957,2)="15",LEFT(TH!O5957,2)="15"),LEFT(TH!O5957,3)&lt;&gt;"111",'152-CT'!$J$8=TH!F5957),"x","")</f>
        <v/>
      </c>
      <c r="AC5957" s="79" t="str">
        <f>IF(AND(OR(LEFT(TH!N5957,2)="15",LEFT(TH!O5957,2)="15"),TK!$E$7=TH!F5957),"x","")</f>
        <v/>
      </c>
      <c r="AD5957" s="79" t="str">
        <f>IF(AND(N5957="1521",MONTH(C5957)='BK-NL'!$M$11),"x","")</f>
        <v/>
      </c>
    </row>
    <row r="5958" spans="1:30" ht="16.5" customHeight="1">
      <c r="A5958" s="318" t="str">
        <f>IF(B5958&lt;&gt;"",IF(AND(B5958='IN-TC'!$S$4,OR(TH!N5958="1111",TH!O5958="1111")),TH!D5958,""),"")</f>
        <v/>
      </c>
      <c r="B5958" s="60" t="str">
        <f t="shared" si="514"/>
        <v/>
      </c>
      <c r="C5958" s="61"/>
      <c r="D5958" s="301"/>
      <c r="E5958" s="61"/>
      <c r="F5958" s="69"/>
      <c r="G5958" s="64"/>
      <c r="H5958" s="69"/>
      <c r="I5958" s="385"/>
      <c r="J5958" s="392"/>
      <c r="K5958" s="385"/>
      <c r="L5958" s="392"/>
      <c r="M5958" s="62"/>
      <c r="N5958" s="63"/>
      <c r="O5958" s="63"/>
      <c r="P5958" s="79" t="str">
        <f>IF(AND('331-CT'!$E$7=TH!H5958,OR(N5958="331",O5958="331")),"x","")</f>
        <v/>
      </c>
      <c r="Q5958" s="79" t="str">
        <f>IF(AND(B5958='111'!$L$11,OR($N5958=$Q$7,$O5958=$Q$7)),"x","")</f>
        <v/>
      </c>
      <c r="R5958" s="79" t="str">
        <f>IF(AND($N5958=$Q$7,$B5958&lt;'111'!$L$11),"x","")</f>
        <v/>
      </c>
      <c r="S5958" s="79" t="str">
        <f>IF(AND($O5958=$Q$7,$B5958&lt;'111'!$L$11),"x","")</f>
        <v/>
      </c>
      <c r="T5958" s="79" t="str">
        <f>IF(ISERROR(FIND('112'!$M$9,G5958,1)),"",IF((AND(FIND('112'!$M$9,G5958,1)&gt;=1,B5958='112'!$K$9,OR($N5958='112'!$I$6,$O5958='112'!$I$6))),"x",""))</f>
        <v/>
      </c>
      <c r="U5958" s="79" t="str">
        <f>IF(ISERROR(FIND('112'!$M$9,G5958,1)),"",IF((AND(LEFT(G5958,2)=LEFT('112'!$M$9,2),B5958&lt;'112'!$K$9,$N5958='112'!$I$6)),"x",""))</f>
        <v/>
      </c>
      <c r="V5958" s="79" t="str">
        <f>IF(ISERROR(FIND('112'!$M$9,G5958,1)),"",IF((AND(RIGHT(G5958,2)=RIGHT('112'!$M$9,2),B5958&lt;'112'!$K$9,$O5958='112'!$I$6)),"x",""))</f>
        <v/>
      </c>
      <c r="W5958" s="79" t="str">
        <f>IF(AND('341-CT'!$H$9=H5958,OR(LEFT(N5958,3)=$W$7,LEFT(O5958,3)=$W$7)),"x","")</f>
        <v/>
      </c>
      <c r="X5958" s="79" t="str">
        <f>IF(OR(TH!N5958=TH!$X$7,O5958=TH!$X$7),"x","")</f>
        <v/>
      </c>
      <c r="Y5958" s="79" t="str">
        <f>IF(AND(OR(N5958="131",O5958="131"),H5958='131-CT'!$H$9),"x","")</f>
        <v/>
      </c>
      <c r="Z5958" s="79"/>
      <c r="AA5958" s="79" t="str">
        <f>IF(AND(MONTH(E5958)='IN-NX'!$J$5,'IN-NX'!$D$7=D5958),"x","")</f>
        <v/>
      </c>
      <c r="AB5958" s="79" t="str">
        <f>IF(AND(OR(LEFT(TH!N5958,2)="15",LEFT(TH!O5958,2)="15"),LEFT(TH!O5958,3)&lt;&gt;"111",'152-CT'!$J$8=TH!F5958),"x","")</f>
        <v/>
      </c>
      <c r="AC5958" s="79" t="str">
        <f>IF(AND(OR(LEFT(TH!N5958,2)="15",LEFT(TH!O5958,2)="15"),TK!$E$7=TH!F5958),"x","")</f>
        <v/>
      </c>
      <c r="AD5958" s="79" t="str">
        <f>IF(AND(N5958="1521",MONTH(C5958)='BK-NL'!$M$11),"x","")</f>
        <v/>
      </c>
    </row>
    <row r="5959" spans="1:30" ht="16.5" customHeight="1">
      <c r="A5959" s="318" t="str">
        <f>IF(B5959&lt;&gt;"",IF(AND(B5959='IN-TC'!$S$4,OR(TH!N5959="1111",TH!O5959="1111")),TH!D5959,""),"")</f>
        <v/>
      </c>
      <c r="B5959" s="60" t="str">
        <f t="shared" si="514"/>
        <v/>
      </c>
      <c r="C5959" s="61"/>
      <c r="D5959" s="301"/>
      <c r="E5959" s="61"/>
      <c r="F5959" s="69"/>
      <c r="G5959" s="64"/>
      <c r="H5959" s="69"/>
      <c r="I5959" s="385"/>
      <c r="J5959" s="392"/>
      <c r="K5959" s="385"/>
      <c r="L5959" s="392"/>
      <c r="M5959" s="62"/>
      <c r="N5959" s="63"/>
      <c r="O5959" s="63"/>
      <c r="P5959" s="79" t="str">
        <f>IF(AND('331-CT'!$E$7=TH!H5959,OR(N5959="331",O5959="331")),"x","")</f>
        <v/>
      </c>
      <c r="Q5959" s="79" t="str">
        <f>IF(AND(B5959='111'!$L$11,OR($N5959=$Q$7,$O5959=$Q$7)),"x","")</f>
        <v/>
      </c>
      <c r="R5959" s="79" t="str">
        <f>IF(AND($N5959=$Q$7,$B5959&lt;'111'!$L$11),"x","")</f>
        <v/>
      </c>
      <c r="S5959" s="79" t="str">
        <f>IF(AND($O5959=$Q$7,$B5959&lt;'111'!$L$11),"x","")</f>
        <v/>
      </c>
      <c r="T5959" s="79" t="str">
        <f>IF(ISERROR(FIND('112'!$M$9,G5959,1)),"",IF((AND(FIND('112'!$M$9,G5959,1)&gt;=1,B5959='112'!$K$9,OR($N5959='112'!$I$6,$O5959='112'!$I$6))),"x",""))</f>
        <v/>
      </c>
      <c r="U5959" s="79" t="str">
        <f>IF(ISERROR(FIND('112'!$M$9,G5959,1)),"",IF((AND(LEFT(G5959,2)=LEFT('112'!$M$9,2),B5959&lt;'112'!$K$9,$N5959='112'!$I$6)),"x",""))</f>
        <v/>
      </c>
      <c r="V5959" s="79" t="str">
        <f>IF(ISERROR(FIND('112'!$M$9,G5959,1)),"",IF((AND(RIGHT(G5959,2)=RIGHT('112'!$M$9,2),B5959&lt;'112'!$K$9,$O5959='112'!$I$6)),"x",""))</f>
        <v/>
      </c>
      <c r="W5959" s="79" t="str">
        <f>IF(AND('341-CT'!$H$9=H5959,OR(LEFT(N5959,3)=$W$7,LEFT(O5959,3)=$W$7)),"x","")</f>
        <v/>
      </c>
      <c r="X5959" s="79" t="str">
        <f>IF(OR(TH!N5959=TH!$X$7,O5959=TH!$X$7),"x","")</f>
        <v/>
      </c>
      <c r="Y5959" s="79" t="str">
        <f>IF(AND(OR(N5959="131",O5959="131"),H5959='131-CT'!$H$9),"x","")</f>
        <v/>
      </c>
      <c r="Z5959" s="79"/>
      <c r="AA5959" s="79" t="str">
        <f>IF(AND(MONTH(E5959)='IN-NX'!$J$5,'IN-NX'!$D$7=D5959),"x","")</f>
        <v/>
      </c>
      <c r="AB5959" s="79" t="str">
        <f>IF(AND(OR(LEFT(TH!N5959,2)="15",LEFT(TH!O5959,2)="15"),LEFT(TH!O5959,3)&lt;&gt;"111",'152-CT'!$J$8=TH!F5959),"x","")</f>
        <v/>
      </c>
      <c r="AC5959" s="79" t="str">
        <f>IF(AND(OR(LEFT(TH!N5959,2)="15",LEFT(TH!O5959,2)="15"),TK!$E$7=TH!F5959),"x","")</f>
        <v/>
      </c>
      <c r="AD5959" s="79" t="str">
        <f>IF(AND(N5959="1521",MONTH(C5959)='BK-NL'!$M$11),"x","")</f>
        <v/>
      </c>
    </row>
    <row r="5960" spans="1:30" ht="16.5" customHeight="1">
      <c r="A5960" s="318" t="str">
        <f>IF(B5960&lt;&gt;"",IF(AND(B5960='IN-TC'!$S$4,OR(TH!N5960="1111",TH!O5960="1111")),TH!D5960,""),"")</f>
        <v/>
      </c>
      <c r="B5960" s="60" t="str">
        <f t="shared" si="514"/>
        <v/>
      </c>
      <c r="C5960" s="61"/>
      <c r="D5960" s="301"/>
      <c r="E5960" s="61"/>
      <c r="F5960" s="69"/>
      <c r="G5960" s="64"/>
      <c r="H5960" s="321"/>
      <c r="I5960" s="387"/>
      <c r="J5960" s="394"/>
      <c r="K5960" s="387"/>
      <c r="L5960" s="394"/>
      <c r="M5960" s="62"/>
      <c r="N5960" s="63"/>
      <c r="O5960" s="63"/>
      <c r="P5960" s="79" t="str">
        <f>IF(AND('331-CT'!$E$7=TH!H5960,OR(N5960="331",O5960="331")),"x","")</f>
        <v/>
      </c>
      <c r="Q5960" s="79" t="str">
        <f>IF(AND(B5960='111'!$L$11,OR($N5960=$Q$7,$O5960=$Q$7)),"x","")</f>
        <v/>
      </c>
      <c r="R5960" s="79" t="str">
        <f>IF(AND($N5960=$Q$7,$B5960&lt;'111'!$L$11),"x","")</f>
        <v/>
      </c>
      <c r="S5960" s="79" t="str">
        <f>IF(AND($O5960=$Q$7,$B5960&lt;'111'!$L$11),"x","")</f>
        <v/>
      </c>
      <c r="T5960" s="79" t="str">
        <f>IF(ISERROR(FIND('112'!$M$9,G5960,1)),"",IF((AND(FIND('112'!$M$9,G5960,1)&gt;=1,B5960='112'!$K$9,OR($N5960='112'!$I$6,$O5960='112'!$I$6))),"x",""))</f>
        <v/>
      </c>
      <c r="U5960" s="79" t="str">
        <f>IF(ISERROR(FIND('112'!$M$9,G5960,1)),"",IF((AND(LEFT(G5960,2)=LEFT('112'!$M$9,2),B5960&lt;'112'!$K$9,$N5960='112'!$I$6)),"x",""))</f>
        <v/>
      </c>
      <c r="V5960" s="79" t="str">
        <f>IF(ISERROR(FIND('112'!$M$9,G5960,1)),"",IF((AND(RIGHT(G5960,2)=RIGHT('112'!$M$9,2),B5960&lt;'112'!$K$9,$O5960='112'!$I$6)),"x",""))</f>
        <v/>
      </c>
      <c r="W5960" s="79" t="str">
        <f>IF(AND('341-CT'!$H$9=H5960,OR(LEFT(N5960,3)=$W$7,LEFT(O5960,3)=$W$7)),"x","")</f>
        <v/>
      </c>
      <c r="X5960" s="79" t="str">
        <f>IF(OR(TH!N5960=TH!$X$7,O5960=TH!$X$7),"x","")</f>
        <v/>
      </c>
      <c r="Y5960" s="79" t="str">
        <f>IF(AND(OR(N5960="131",O5960="131"),H5960='131-CT'!$H$9),"x","")</f>
        <v/>
      </c>
      <c r="Z5960" s="79"/>
      <c r="AA5960" s="79" t="str">
        <f>IF(AND(MONTH(E5960)='IN-NX'!$J$5,'IN-NX'!$D$7=D5960),"x","")</f>
        <v/>
      </c>
      <c r="AB5960" s="79" t="str">
        <f>IF(AND(OR(LEFT(TH!N5960,2)="15",LEFT(TH!O5960,2)="15"),LEFT(TH!O5960,3)&lt;&gt;"111",'152-CT'!$J$8=TH!F5960),"x","")</f>
        <v/>
      </c>
      <c r="AC5960" s="79" t="str">
        <f>IF(AND(OR(LEFT(TH!N5960,2)="15",LEFT(TH!O5960,2)="15"),TK!$E$7=TH!F5960),"x","")</f>
        <v/>
      </c>
      <c r="AD5960" s="79" t="str">
        <f>IF(AND(N5960="1521",MONTH(C5960)='BK-NL'!$M$11),"x","")</f>
        <v/>
      </c>
    </row>
    <row r="5961" spans="1:30" ht="16.5" customHeight="1">
      <c r="A5961" s="318" t="str">
        <f>IF(B5961&lt;&gt;"",IF(AND(B5961='IN-TC'!$S$4,OR(TH!N5961="1111",TH!O5961="1111")),TH!D5961,""),"")</f>
        <v/>
      </c>
      <c r="B5961" s="60" t="str">
        <f t="shared" si="514"/>
        <v/>
      </c>
      <c r="C5961" s="61"/>
      <c r="D5961" s="61"/>
      <c r="E5961" s="61"/>
      <c r="F5961" s="69"/>
      <c r="G5961" s="64"/>
      <c r="H5961" s="69"/>
      <c r="I5961" s="385"/>
      <c r="J5961" s="392"/>
      <c r="K5961" s="385"/>
      <c r="L5961" s="392"/>
      <c r="M5961" s="62"/>
      <c r="N5961" s="63"/>
      <c r="O5961" s="63"/>
      <c r="P5961" s="79" t="str">
        <f>IF(AND('331-CT'!$E$7=TH!H5961,OR(N5961="331",O5961="331")),"x","")</f>
        <v/>
      </c>
      <c r="Q5961" s="79" t="str">
        <f>IF(AND(B5961='111'!$L$11,OR($N5961=$Q$7,$O5961=$Q$7)),"x","")</f>
        <v/>
      </c>
      <c r="R5961" s="79" t="str">
        <f>IF(AND($N5961=$Q$7,$B5961&lt;'111'!$L$11),"x","")</f>
        <v/>
      </c>
      <c r="S5961" s="79" t="str">
        <f>IF(AND($O5961=$Q$7,$B5961&lt;'111'!$L$11),"x","")</f>
        <v/>
      </c>
      <c r="T5961" s="79" t="str">
        <f>IF(ISERROR(FIND('112'!$M$9,G5961,1)),"",IF((AND(FIND('112'!$M$9,G5961,1)&gt;=1,B5961='112'!$K$9,OR($N5961='112'!$I$6,$O5961='112'!$I$6))),"x",""))</f>
        <v/>
      </c>
      <c r="U5961" s="79" t="str">
        <f>IF(ISERROR(FIND('112'!$M$9,G5961,1)),"",IF((AND(LEFT(G5961,2)=LEFT('112'!$M$9,2),B5961&lt;'112'!$K$9,$N5961='112'!$I$6)),"x",""))</f>
        <v/>
      </c>
      <c r="V5961" s="79" t="str">
        <f>IF(ISERROR(FIND('112'!$M$9,G5961,1)),"",IF((AND(RIGHT(G5961,2)=RIGHT('112'!$M$9,2),B5961&lt;'112'!$K$9,$O5961='112'!$I$6)),"x",""))</f>
        <v/>
      </c>
      <c r="W5961" s="79" t="str">
        <f>IF(AND('341-CT'!$H$9=H5961,OR(LEFT(N5961,3)=$W$7,LEFT(O5961,3)=$W$7)),"x","")</f>
        <v/>
      </c>
      <c r="X5961" s="79" t="str">
        <f>IF(OR(TH!N5961=TH!$X$7,O5961=TH!$X$7),"x","")</f>
        <v/>
      </c>
      <c r="Y5961" s="79" t="str">
        <f>IF(AND(OR(N5961="131",O5961="131"),H5961='131-CT'!$H$9),"x","")</f>
        <v/>
      </c>
      <c r="Z5961" s="79"/>
      <c r="AA5961" s="79" t="str">
        <f>IF(AND(MONTH(E5961)='IN-NX'!$J$5,'IN-NX'!$D$7=D5961),"x","")</f>
        <v/>
      </c>
      <c r="AB5961" s="79" t="str">
        <f>IF(AND(OR(LEFT(TH!N5961,2)="15",LEFT(TH!O5961,2)="15"),LEFT(TH!O5961,3)&lt;&gt;"111",'152-CT'!$J$8=TH!F5961),"x","")</f>
        <v/>
      </c>
      <c r="AC5961" s="79" t="str">
        <f>IF(AND(OR(LEFT(TH!N5961,2)="15",LEFT(TH!O5961,2)="15"),TK!$E$7=TH!F5961),"x","")</f>
        <v/>
      </c>
      <c r="AD5961" s="79" t="str">
        <f>IF(AND(N5961="1521",MONTH(C5961)='BK-NL'!$M$11),"x","")</f>
        <v/>
      </c>
    </row>
    <row r="5962" spans="1:30" ht="16.5" customHeight="1">
      <c r="A5962" s="318" t="str">
        <f>IF(B5962&lt;&gt;"",IF(AND(B5962='IN-TC'!$S$4,OR(TH!N5962="1111",TH!O5962="1111")),TH!D5962,""),"")</f>
        <v/>
      </c>
      <c r="B5962" s="60" t="str">
        <f t="shared" si="514"/>
        <v/>
      </c>
      <c r="C5962" s="61"/>
      <c r="D5962" s="61"/>
      <c r="E5962" s="61"/>
      <c r="F5962" s="69"/>
      <c r="G5962" s="64"/>
      <c r="H5962" s="69"/>
      <c r="I5962" s="385"/>
      <c r="J5962" s="392"/>
      <c r="K5962" s="385"/>
      <c r="L5962" s="392"/>
      <c r="M5962" s="62"/>
      <c r="N5962" s="63"/>
      <c r="O5962" s="63"/>
      <c r="P5962" s="79" t="str">
        <f>IF(AND('331-CT'!$E$7=TH!H5962,OR(N5962="331",O5962="331")),"x","")</f>
        <v/>
      </c>
      <c r="Q5962" s="79" t="str">
        <f>IF(AND(B5962='111'!$L$11,OR($N5962=$Q$7,$O5962=$Q$7)),"x","")</f>
        <v/>
      </c>
      <c r="R5962" s="79" t="str">
        <f>IF(AND($N5962=$Q$7,$B5962&lt;'111'!$L$11),"x","")</f>
        <v/>
      </c>
      <c r="S5962" s="79" t="str">
        <f>IF(AND($O5962=$Q$7,$B5962&lt;'111'!$L$11),"x","")</f>
        <v/>
      </c>
      <c r="T5962" s="79" t="str">
        <f>IF(ISERROR(FIND('112'!$M$9,G5962,1)),"",IF((AND(FIND('112'!$M$9,G5962,1)&gt;=1,B5962='112'!$K$9,OR($N5962='112'!$I$6,$O5962='112'!$I$6))),"x",""))</f>
        <v/>
      </c>
      <c r="U5962" s="79" t="str">
        <f>IF(ISERROR(FIND('112'!$M$9,G5962,1)),"",IF((AND(LEFT(G5962,2)=LEFT('112'!$M$9,2),B5962&lt;'112'!$K$9,$N5962='112'!$I$6)),"x",""))</f>
        <v/>
      </c>
      <c r="V5962" s="79" t="str">
        <f>IF(ISERROR(FIND('112'!$M$9,G5962,1)),"",IF((AND(RIGHT(G5962,2)=RIGHT('112'!$M$9,2),B5962&lt;'112'!$K$9,$O5962='112'!$I$6)),"x",""))</f>
        <v/>
      </c>
      <c r="W5962" s="79" t="str">
        <f>IF(AND('341-CT'!$H$9=H5962,OR(LEFT(N5962,3)=$W$7,LEFT(O5962,3)=$W$7)),"x","")</f>
        <v/>
      </c>
      <c r="X5962" s="79" t="str">
        <f>IF(OR(TH!N5962=TH!$X$7,O5962=TH!$X$7),"x","")</f>
        <v/>
      </c>
      <c r="Y5962" s="79" t="str">
        <f>IF(AND(OR(N5962="131",O5962="131"),H5962='131-CT'!$H$9),"x","")</f>
        <v/>
      </c>
      <c r="Z5962" s="79"/>
      <c r="AA5962" s="79" t="str">
        <f>IF(AND(MONTH(E5962)='IN-NX'!$J$5,'IN-NX'!$D$7=D5962),"x","")</f>
        <v/>
      </c>
      <c r="AB5962" s="79" t="str">
        <f>IF(AND(OR(LEFT(TH!N5962,2)="15",LEFT(TH!O5962,2)="15"),LEFT(TH!O5962,3)&lt;&gt;"111",'152-CT'!$J$8=TH!F5962),"x","")</f>
        <v/>
      </c>
      <c r="AC5962" s="79" t="str">
        <f>IF(AND(OR(LEFT(TH!N5962,2)="15",LEFT(TH!O5962,2)="15"),TK!$E$7=TH!F5962),"x","")</f>
        <v/>
      </c>
      <c r="AD5962" s="79" t="str">
        <f>IF(AND(N5962="1521",MONTH(C5962)='BK-NL'!$M$11),"x","")</f>
        <v/>
      </c>
    </row>
    <row r="5963" spans="1:30" ht="16.5" customHeight="1">
      <c r="A5963" s="318" t="str">
        <f>IF(B5963&lt;&gt;"",IF(AND(B5963='IN-TC'!$S$4,OR(TH!N5963="1111",TH!O5963="1111")),TH!D5963,""),"")</f>
        <v/>
      </c>
      <c r="B5963" s="60" t="str">
        <f t="shared" si="514"/>
        <v/>
      </c>
      <c r="C5963" s="61"/>
      <c r="D5963" s="61"/>
      <c r="E5963" s="61"/>
      <c r="F5963" s="69"/>
      <c r="G5963" s="766"/>
      <c r="H5963" s="69"/>
      <c r="I5963" s="385"/>
      <c r="J5963" s="392"/>
      <c r="K5963" s="385"/>
      <c r="L5963" s="392"/>
      <c r="M5963" s="62"/>
      <c r="N5963" s="63"/>
      <c r="O5963" s="63"/>
      <c r="P5963" s="79" t="str">
        <f>IF(AND('331-CT'!$E$7=TH!H5963,OR(N5963="331",O5963="331")),"x","")</f>
        <v/>
      </c>
      <c r="Q5963" s="79" t="str">
        <f>IF(AND(B5963='111'!$L$11,OR($N5963=$Q$7,$O5963=$Q$7)),"x","")</f>
        <v/>
      </c>
      <c r="R5963" s="79" t="str">
        <f>IF(AND($N5963=$Q$7,$B5963&lt;'111'!$L$11),"x","")</f>
        <v/>
      </c>
      <c r="S5963" s="79" t="str">
        <f>IF(AND($O5963=$Q$7,$B5963&lt;'111'!$L$11),"x","")</f>
        <v/>
      </c>
      <c r="T5963" s="79" t="str">
        <f>IF(ISERROR(FIND('112'!$M$9,G5963,1)),"",IF((AND(FIND('112'!$M$9,G5963,1)&gt;=1,B5963='112'!$K$9,OR($N5963='112'!$I$6,$O5963='112'!$I$6))),"x",""))</f>
        <v/>
      </c>
      <c r="U5963" s="79" t="str">
        <f>IF(ISERROR(FIND('112'!$M$9,G5963,1)),"",IF((AND(LEFT(G5963,2)=LEFT('112'!$M$9,2),B5963&lt;'112'!$K$9,$N5963='112'!$I$6)),"x",""))</f>
        <v/>
      </c>
      <c r="V5963" s="79" t="str">
        <f>IF(ISERROR(FIND('112'!$M$9,G5963,1)),"",IF((AND(RIGHT(G5963,2)=RIGHT('112'!$M$9,2),B5963&lt;'112'!$K$9,$O5963='112'!$I$6)),"x",""))</f>
        <v/>
      </c>
      <c r="W5963" s="79" t="str">
        <f>IF(AND('341-CT'!$H$9=H5963,OR(LEFT(N5963,3)=$W$7,LEFT(O5963,3)=$W$7)),"x","")</f>
        <v/>
      </c>
      <c r="X5963" s="79" t="str">
        <f>IF(OR(TH!N5963=TH!$X$7,O5963=TH!$X$7),"x","")</f>
        <v/>
      </c>
      <c r="Y5963" s="79" t="str">
        <f>IF(AND(OR(N5963="131",O5963="131"),H5963='131-CT'!$H$9),"x","")</f>
        <v/>
      </c>
      <c r="Z5963" s="79"/>
      <c r="AA5963" s="79" t="str">
        <f>IF(AND(MONTH(E5963)='IN-NX'!$J$5,'IN-NX'!$D$7=D5963),"x","")</f>
        <v/>
      </c>
      <c r="AB5963" s="79" t="str">
        <f>IF(AND(OR(LEFT(TH!N5963,2)="15",LEFT(TH!O5963,2)="15"),LEFT(TH!O5963,3)&lt;&gt;"111",'152-CT'!$J$8=TH!F5963),"x","")</f>
        <v/>
      </c>
      <c r="AC5963" s="79" t="str">
        <f>IF(AND(OR(LEFT(TH!N5963,2)="15",LEFT(TH!O5963,2)="15"),TK!$E$7=TH!F5963),"x","")</f>
        <v/>
      </c>
      <c r="AD5963" s="79" t="str">
        <f>IF(AND(N5963="1521",MONTH(C5963)='BK-NL'!$M$11),"x","")</f>
        <v/>
      </c>
    </row>
    <row r="5964" spans="1:30" ht="16.5" customHeight="1">
      <c r="A5964" s="318" t="str">
        <f>IF(B5964&lt;&gt;"",IF(AND(B5964='IN-TC'!$S$4,OR(TH!N5964="1111",TH!O5964="1111")),TH!D5964,""),"")</f>
        <v/>
      </c>
      <c r="B5964" s="60" t="str">
        <f t="shared" si="514"/>
        <v/>
      </c>
      <c r="C5964" s="61"/>
      <c r="D5964" s="61"/>
      <c r="E5964" s="61"/>
      <c r="F5964" s="69"/>
      <c r="G5964" s="766"/>
      <c r="H5964" s="69"/>
      <c r="I5964" s="385"/>
      <c r="J5964" s="392"/>
      <c r="K5964" s="385"/>
      <c r="L5964" s="392"/>
      <c r="M5964" s="62"/>
      <c r="N5964" s="63"/>
      <c r="O5964" s="63"/>
      <c r="P5964" s="79" t="str">
        <f>IF(AND('331-CT'!$E$7=TH!H5964,OR(N5964="331",O5964="331")),"x","")</f>
        <v/>
      </c>
      <c r="Q5964" s="79" t="str">
        <f>IF(AND(B5964='111'!$L$11,OR($N5964=$Q$7,$O5964=$Q$7)),"x","")</f>
        <v/>
      </c>
      <c r="R5964" s="79" t="str">
        <f>IF(AND($N5964=$Q$7,$B5964&lt;'111'!$L$11),"x","")</f>
        <v/>
      </c>
      <c r="S5964" s="79" t="str">
        <f>IF(AND($O5964=$Q$7,$B5964&lt;'111'!$L$11),"x","")</f>
        <v/>
      </c>
      <c r="T5964" s="79" t="str">
        <f>IF(ISERROR(FIND('112'!$M$9,G5964,1)),"",IF((AND(FIND('112'!$M$9,G5964,1)&gt;=1,B5964='112'!$K$9,OR($N5964='112'!$I$6,$O5964='112'!$I$6))),"x",""))</f>
        <v/>
      </c>
      <c r="U5964" s="79" t="str">
        <f>IF(ISERROR(FIND('112'!$M$9,G5964,1)),"",IF((AND(LEFT(G5964,2)=LEFT('112'!$M$9,2),B5964&lt;'112'!$K$9,$N5964='112'!$I$6)),"x",""))</f>
        <v/>
      </c>
      <c r="V5964" s="79" t="str">
        <f>IF(ISERROR(FIND('112'!$M$9,G5964,1)),"",IF((AND(RIGHT(G5964,2)=RIGHT('112'!$M$9,2),B5964&lt;'112'!$K$9,$O5964='112'!$I$6)),"x",""))</f>
        <v/>
      </c>
      <c r="W5964" s="79" t="str">
        <f>IF(AND('341-CT'!$H$9=H5964,OR(LEFT(N5964,3)=$W$7,LEFT(O5964,3)=$W$7)),"x","")</f>
        <v/>
      </c>
      <c r="X5964" s="79" t="str">
        <f>IF(OR(TH!N5964=TH!$X$7,O5964=TH!$X$7),"x","")</f>
        <v/>
      </c>
      <c r="Y5964" s="79" t="str">
        <f>IF(AND(OR(N5964="131",O5964="131"),H5964='131-CT'!$H$9),"x","")</f>
        <v/>
      </c>
      <c r="Z5964" s="79"/>
      <c r="AA5964" s="79" t="str">
        <f>IF(AND(MONTH(E5964)='IN-NX'!$J$5,'IN-NX'!$D$7=D5964),"x","")</f>
        <v/>
      </c>
      <c r="AB5964" s="79" t="str">
        <f>IF(AND(OR(LEFT(TH!N5964,2)="15",LEFT(TH!O5964,2)="15"),LEFT(TH!O5964,3)&lt;&gt;"111",'152-CT'!$J$8=TH!F5964),"x","")</f>
        <v/>
      </c>
      <c r="AC5964" s="79" t="str">
        <f>IF(AND(OR(LEFT(TH!N5964,2)="15",LEFT(TH!O5964,2)="15"),TK!$E$7=TH!F5964),"x","")</f>
        <v/>
      </c>
      <c r="AD5964" s="79" t="str">
        <f>IF(AND(N5964="1521",MONTH(C5964)='BK-NL'!$M$11),"x","")</f>
        <v/>
      </c>
    </row>
    <row r="5965" spans="1:30" ht="16.5" customHeight="1">
      <c r="A5965" s="318" t="str">
        <f>IF(B5965&lt;&gt;"",IF(AND(B5965='IN-TC'!$S$4,OR(TH!N5965="1111",TH!O5965="1111")),TH!D5965,""),"")</f>
        <v/>
      </c>
      <c r="B5965" s="60" t="str">
        <f t="shared" si="514"/>
        <v/>
      </c>
      <c r="C5965" s="61"/>
      <c r="D5965" s="61"/>
      <c r="E5965" s="61"/>
      <c r="F5965" s="69"/>
      <c r="G5965" s="766"/>
      <c r="H5965" s="69"/>
      <c r="I5965" s="385"/>
      <c r="J5965" s="392"/>
      <c r="K5965" s="385"/>
      <c r="L5965" s="392"/>
      <c r="M5965" s="62"/>
      <c r="N5965" s="304"/>
      <c r="O5965" s="63"/>
      <c r="P5965" s="79" t="str">
        <f>IF(AND('331-CT'!$E$7=TH!H5965,OR(N5965="331",O5965="331")),"x","")</f>
        <v/>
      </c>
      <c r="Q5965" s="79" t="str">
        <f>IF(AND(B5965='111'!$L$11,OR($N5965=$Q$7,$O5965=$Q$7)),"x","")</f>
        <v/>
      </c>
      <c r="R5965" s="79" t="str">
        <f>IF(AND($N5965=$Q$7,$B5965&lt;'111'!$L$11),"x","")</f>
        <v/>
      </c>
      <c r="S5965" s="79" t="str">
        <f>IF(AND($O5965=$Q$7,$B5965&lt;'111'!$L$11),"x","")</f>
        <v/>
      </c>
      <c r="T5965" s="79" t="str">
        <f>IF(ISERROR(FIND('112'!$M$9,G5965,1)),"",IF((AND(FIND('112'!$M$9,G5965,1)&gt;=1,B5965='112'!$K$9,OR($N5965='112'!$I$6,$O5965='112'!$I$6))),"x",""))</f>
        <v/>
      </c>
      <c r="U5965" s="79" t="str">
        <f>IF(ISERROR(FIND('112'!$M$9,G5965,1)),"",IF((AND(LEFT(G5965,2)=LEFT('112'!$M$9,2),B5965&lt;'112'!$K$9,$N5965='112'!$I$6)),"x",""))</f>
        <v/>
      </c>
      <c r="V5965" s="79" t="str">
        <f>IF(ISERROR(FIND('112'!$M$9,G5965,1)),"",IF((AND(RIGHT(G5965,2)=RIGHT('112'!$M$9,2),B5965&lt;'112'!$K$9,$O5965='112'!$I$6)),"x",""))</f>
        <v/>
      </c>
      <c r="W5965" s="79" t="str">
        <f>IF(AND('341-CT'!$H$9=H5965,OR(LEFT(N5965,3)=$W$7,LEFT(O5965,3)=$W$7)),"x","")</f>
        <v/>
      </c>
      <c r="X5965" s="79" t="str">
        <f>IF(OR(TH!N5965=TH!$X$7,O5965=TH!$X$7),"x","")</f>
        <v/>
      </c>
      <c r="Y5965" s="79" t="str">
        <f>IF(AND(OR(N5965="131",O5965="131"),H5965='131-CT'!$H$9),"x","")</f>
        <v/>
      </c>
      <c r="Z5965" s="79"/>
      <c r="AA5965" s="79" t="str">
        <f>IF(AND(MONTH(E5965)='IN-NX'!$J$5,'IN-NX'!$D$7=D5965),"x","")</f>
        <v/>
      </c>
      <c r="AB5965" s="79" t="str">
        <f>IF(AND(OR(LEFT(TH!N5965,2)="15",LEFT(TH!O5965,2)="15"),LEFT(TH!O5965,3)&lt;&gt;"111",'152-CT'!$J$8=TH!F5965),"x","")</f>
        <v/>
      </c>
      <c r="AC5965" s="79" t="str">
        <f>IF(AND(OR(LEFT(TH!N5965,2)="15",LEFT(TH!O5965,2)="15"),TK!$E$7=TH!F5965),"x","")</f>
        <v/>
      </c>
      <c r="AD5965" s="79" t="str">
        <f>IF(AND(N5965="1521",MONTH(C5965)='BK-NL'!$M$11),"x","")</f>
        <v/>
      </c>
    </row>
    <row r="5966" spans="1:30" ht="16.5" customHeight="1">
      <c r="A5966" s="318" t="str">
        <f>IF(B5966&lt;&gt;"",IF(AND(B5966='IN-TC'!$S$4,OR(TH!N5966="1111",TH!O5966="1111")),TH!D5966,""),"")</f>
        <v/>
      </c>
      <c r="B5966" s="60" t="str">
        <f t="shared" si="514"/>
        <v/>
      </c>
      <c r="C5966" s="61"/>
      <c r="D5966" s="61"/>
      <c r="E5966" s="61"/>
      <c r="F5966" s="69"/>
      <c r="G5966" s="766"/>
      <c r="H5966" s="69"/>
      <c r="I5966" s="385"/>
      <c r="J5966" s="392"/>
      <c r="K5966" s="385"/>
      <c r="L5966" s="392"/>
      <c r="M5966" s="62"/>
      <c r="N5966" s="63"/>
      <c r="O5966" s="63"/>
      <c r="P5966" s="79" t="str">
        <f>IF(AND('331-CT'!$E$7=TH!H5966,OR(N5966="331",O5966="331")),"x","")</f>
        <v/>
      </c>
      <c r="Q5966" s="79" t="str">
        <f>IF(AND(B5966='111'!$L$11,OR($N5966=$Q$7,$O5966=$Q$7)),"x","")</f>
        <v/>
      </c>
      <c r="R5966" s="79" t="str">
        <f>IF(AND($N5966=$Q$7,$B5966&lt;'111'!$L$11),"x","")</f>
        <v/>
      </c>
      <c r="S5966" s="79" t="str">
        <f>IF(AND($O5966=$Q$7,$B5966&lt;'111'!$L$11),"x","")</f>
        <v/>
      </c>
      <c r="T5966" s="79" t="str">
        <f>IF(ISERROR(FIND('112'!$M$9,G5966,1)),"",IF((AND(FIND('112'!$M$9,G5966,1)&gt;=1,B5966='112'!$K$9,OR($N5966='112'!$I$6,$O5966='112'!$I$6))),"x",""))</f>
        <v/>
      </c>
      <c r="U5966" s="79" t="str">
        <f>IF(ISERROR(FIND('112'!$M$9,G5966,1)),"",IF((AND(LEFT(G5966,2)=LEFT('112'!$M$9,2),B5966&lt;'112'!$K$9,$N5966='112'!$I$6)),"x",""))</f>
        <v/>
      </c>
      <c r="V5966" s="79" t="str">
        <f>IF(ISERROR(FIND('112'!$M$9,G5966,1)),"",IF((AND(RIGHT(G5966,2)=RIGHT('112'!$M$9,2),B5966&lt;'112'!$K$9,$O5966='112'!$I$6)),"x",""))</f>
        <v/>
      </c>
      <c r="W5966" s="79" t="str">
        <f>IF(AND('341-CT'!$H$9=H5966,OR(LEFT(N5966,3)=$W$7,LEFT(O5966,3)=$W$7)),"x","")</f>
        <v/>
      </c>
      <c r="X5966" s="79" t="str">
        <f>IF(OR(TH!N5966=TH!$X$7,O5966=TH!$X$7),"x","")</f>
        <v/>
      </c>
      <c r="Y5966" s="79" t="str">
        <f>IF(AND(OR(N5966="131",O5966="131"),H5966='131-CT'!$H$9),"x","")</f>
        <v/>
      </c>
      <c r="Z5966" s="79"/>
      <c r="AA5966" s="79" t="str">
        <f>IF(AND(MONTH(E5966)='IN-NX'!$J$5,'IN-NX'!$D$7=D5966),"x","")</f>
        <v/>
      </c>
      <c r="AB5966" s="79" t="str">
        <f>IF(AND(OR(LEFT(TH!N5966,2)="15",LEFT(TH!O5966,2)="15"),LEFT(TH!O5966,3)&lt;&gt;"111",'152-CT'!$J$8=TH!F5966),"x","")</f>
        <v/>
      </c>
      <c r="AC5966" s="79" t="str">
        <f>IF(AND(OR(LEFT(TH!N5966,2)="15",LEFT(TH!O5966,2)="15"),TK!$E$7=TH!F5966),"x","")</f>
        <v/>
      </c>
      <c r="AD5966" s="79" t="str">
        <f>IF(AND(N5966="1521",MONTH(C5966)='BK-NL'!$M$11),"x","")</f>
        <v/>
      </c>
    </row>
    <row r="5967" spans="1:30" ht="16.5" customHeight="1">
      <c r="A5967" s="318" t="str">
        <f>IF(B5967&lt;&gt;"",IF(AND(B5967='IN-TC'!$S$4,OR(TH!N5967="1111",TH!O5967="1111")),TH!D5967,""),"")</f>
        <v/>
      </c>
      <c r="B5967" s="60" t="str">
        <f t="shared" si="514"/>
        <v/>
      </c>
      <c r="C5967" s="61"/>
      <c r="D5967" s="61"/>
      <c r="E5967" s="61"/>
      <c r="F5967" s="69"/>
      <c r="G5967" s="766"/>
      <c r="H5967" s="69"/>
      <c r="I5967" s="385"/>
      <c r="J5967" s="392"/>
      <c r="K5967" s="385"/>
      <c r="L5967" s="392"/>
      <c r="M5967" s="62"/>
      <c r="N5967" s="63"/>
      <c r="O5967" s="63"/>
      <c r="P5967" s="79" t="str">
        <f>IF(AND('331-CT'!$E$7=TH!H5967,OR(N5967="331",O5967="331")),"x","")</f>
        <v/>
      </c>
      <c r="Q5967" s="79" t="str">
        <f>IF(AND(B5967='111'!$L$11,OR($N5967=$Q$7,$O5967=$Q$7)),"x","")</f>
        <v/>
      </c>
      <c r="R5967" s="79" t="str">
        <f>IF(AND($N5967=$Q$7,$B5967&lt;'111'!$L$11),"x","")</f>
        <v/>
      </c>
      <c r="S5967" s="79" t="str">
        <f>IF(AND($O5967=$Q$7,$B5967&lt;'111'!$L$11),"x","")</f>
        <v/>
      </c>
      <c r="T5967" s="79" t="str">
        <f>IF(ISERROR(FIND('112'!$M$9,G5967,1)),"",IF((AND(FIND('112'!$M$9,G5967,1)&gt;=1,B5967='112'!$K$9,OR($N5967='112'!$I$6,$O5967='112'!$I$6))),"x",""))</f>
        <v/>
      </c>
      <c r="U5967" s="79" t="str">
        <f>IF(ISERROR(FIND('112'!$M$9,G5967,1)),"",IF((AND(LEFT(G5967,2)=LEFT('112'!$M$9,2),B5967&lt;'112'!$K$9,$N5967='112'!$I$6)),"x",""))</f>
        <v/>
      </c>
      <c r="V5967" s="79" t="str">
        <f>IF(ISERROR(FIND('112'!$M$9,G5967,1)),"",IF((AND(RIGHT(G5967,2)=RIGHT('112'!$M$9,2),B5967&lt;'112'!$K$9,$O5967='112'!$I$6)),"x",""))</f>
        <v/>
      </c>
      <c r="W5967" s="79" t="str">
        <f>IF(AND('341-CT'!$H$9=H5967,OR(LEFT(N5967,3)=$W$7,LEFT(O5967,3)=$W$7)),"x","")</f>
        <v/>
      </c>
      <c r="X5967" s="79" t="str">
        <f>IF(OR(TH!N5967=TH!$X$7,O5967=TH!$X$7),"x","")</f>
        <v/>
      </c>
      <c r="Y5967" s="79" t="str">
        <f>IF(AND(OR(N5967="131",O5967="131"),H5967='131-CT'!$H$9),"x","")</f>
        <v/>
      </c>
      <c r="Z5967" s="79"/>
      <c r="AA5967" s="79" t="str">
        <f>IF(AND(MONTH(E5967)='IN-NX'!$J$5,'IN-NX'!$D$7=D5967),"x","")</f>
        <v/>
      </c>
      <c r="AB5967" s="79" t="str">
        <f>IF(AND(OR(LEFT(TH!N5967,2)="15",LEFT(TH!O5967,2)="15"),LEFT(TH!O5967,3)&lt;&gt;"111",'152-CT'!$J$8=TH!F5967),"x","")</f>
        <v/>
      </c>
      <c r="AC5967" s="79" t="str">
        <f>IF(AND(OR(LEFT(TH!N5967,2)="15",LEFT(TH!O5967,2)="15"),TK!$E$7=TH!F5967),"x","")</f>
        <v/>
      </c>
      <c r="AD5967" s="79" t="str">
        <f>IF(AND(N5967="1521",MONTH(C5967)='BK-NL'!$M$11),"x","")</f>
        <v/>
      </c>
    </row>
    <row r="5968" spans="1:30" ht="16.5" customHeight="1">
      <c r="A5968" s="318" t="str">
        <f>IF(B5968&lt;&gt;"",IF(AND(B5968='IN-TC'!$S$4,OR(TH!N5968="1111",TH!O5968="1111")),TH!D5968,""),"")</f>
        <v/>
      </c>
      <c r="B5968" s="60" t="str">
        <f t="shared" si="514"/>
        <v/>
      </c>
      <c r="C5968" s="61"/>
      <c r="D5968" s="61"/>
      <c r="E5968" s="61"/>
      <c r="F5968" s="69"/>
      <c r="G5968" s="766"/>
      <c r="H5968" s="69"/>
      <c r="I5968" s="385"/>
      <c r="J5968" s="392"/>
      <c r="K5968" s="385"/>
      <c r="L5968" s="392"/>
      <c r="M5968" s="62"/>
      <c r="N5968" s="63"/>
      <c r="O5968" s="63"/>
      <c r="P5968" s="79" t="str">
        <f>IF(AND('331-CT'!$E$7=TH!H5968,OR(N5968="331",O5968="331")),"x","")</f>
        <v/>
      </c>
      <c r="Q5968" s="79" t="str">
        <f>IF(AND(B5968='111'!$L$11,OR($N5968=$Q$7,$O5968=$Q$7)),"x","")</f>
        <v/>
      </c>
      <c r="R5968" s="79" t="str">
        <f>IF(AND($N5968=$Q$7,$B5968&lt;'111'!$L$11),"x","")</f>
        <v/>
      </c>
      <c r="S5968" s="79" t="str">
        <f>IF(AND($O5968=$Q$7,$B5968&lt;'111'!$L$11),"x","")</f>
        <v/>
      </c>
      <c r="T5968" s="79" t="str">
        <f>IF(ISERROR(FIND('112'!$M$9,G5968,1)),"",IF((AND(FIND('112'!$M$9,G5968,1)&gt;=1,B5968='112'!$K$9,OR($N5968='112'!$I$6,$O5968='112'!$I$6))),"x",""))</f>
        <v/>
      </c>
      <c r="U5968" s="79" t="str">
        <f>IF(ISERROR(FIND('112'!$M$9,G5968,1)),"",IF((AND(LEFT(G5968,2)=LEFT('112'!$M$9,2),B5968&lt;'112'!$K$9,$N5968='112'!$I$6)),"x",""))</f>
        <v/>
      </c>
      <c r="V5968" s="79" t="str">
        <f>IF(ISERROR(FIND('112'!$M$9,G5968,1)),"",IF((AND(RIGHT(G5968,2)=RIGHT('112'!$M$9,2),B5968&lt;'112'!$K$9,$O5968='112'!$I$6)),"x",""))</f>
        <v/>
      </c>
      <c r="W5968" s="79" t="str">
        <f>IF(AND('341-CT'!$H$9=H5968,OR(LEFT(N5968,3)=$W$7,LEFT(O5968,3)=$W$7)),"x","")</f>
        <v/>
      </c>
      <c r="X5968" s="79" t="str">
        <f>IF(OR(TH!N5968=TH!$X$7,O5968=TH!$X$7),"x","")</f>
        <v/>
      </c>
      <c r="Y5968" s="79" t="str">
        <f>IF(AND(OR(N5968="131",O5968="131"),H5968='131-CT'!$H$9),"x","")</f>
        <v/>
      </c>
      <c r="Z5968" s="79"/>
      <c r="AA5968" s="79" t="str">
        <f>IF(AND(MONTH(E5968)='IN-NX'!$J$5,'IN-NX'!$D$7=D5968),"x","")</f>
        <v/>
      </c>
      <c r="AB5968" s="79" t="str">
        <f>IF(AND(OR(LEFT(TH!N5968,2)="15",LEFT(TH!O5968,2)="15"),LEFT(TH!O5968,3)&lt;&gt;"111",'152-CT'!$J$8=TH!F5968),"x","")</f>
        <v/>
      </c>
      <c r="AC5968" s="79" t="str">
        <f>IF(AND(OR(LEFT(TH!N5968,2)="15",LEFT(TH!O5968,2)="15"),TK!$E$7=TH!F5968),"x","")</f>
        <v/>
      </c>
      <c r="AD5968" s="79" t="str">
        <f>IF(AND(N5968="1521",MONTH(C5968)='BK-NL'!$M$11),"x","")</f>
        <v/>
      </c>
    </row>
    <row r="5969" spans="1:30" ht="16.5" customHeight="1">
      <c r="A5969" s="318" t="str">
        <f>IF(B5969&lt;&gt;"",IF(AND(B5969='IN-TC'!$S$4,OR(TH!N5969="1111",TH!O5969="1111")),TH!D5969,""),"")</f>
        <v/>
      </c>
      <c r="B5969" s="60" t="str">
        <f t="shared" si="514"/>
        <v/>
      </c>
      <c r="C5969" s="61"/>
      <c r="D5969" s="61"/>
      <c r="E5969" s="61"/>
      <c r="F5969" s="69"/>
      <c r="G5969" s="766"/>
      <c r="H5969" s="69"/>
      <c r="I5969" s="385"/>
      <c r="J5969" s="392"/>
      <c r="K5969" s="385"/>
      <c r="L5969" s="392"/>
      <c r="M5969" s="62"/>
      <c r="N5969" s="63"/>
      <c r="O5969" s="63"/>
      <c r="P5969" s="79" t="str">
        <f>IF(AND('331-CT'!$E$7=TH!H5969,OR(N5969="331",O5969="331")),"x","")</f>
        <v/>
      </c>
      <c r="Q5969" s="79" t="str">
        <f>IF(AND(B5969='111'!$L$11,OR($N5969=$Q$7,$O5969=$Q$7)),"x","")</f>
        <v/>
      </c>
      <c r="R5969" s="79" t="str">
        <f>IF(AND($N5969=$Q$7,$B5969&lt;'111'!$L$11),"x","")</f>
        <v/>
      </c>
      <c r="S5969" s="79" t="str">
        <f>IF(AND($O5969=$Q$7,$B5969&lt;'111'!$L$11),"x","")</f>
        <v/>
      </c>
      <c r="T5969" s="79" t="str">
        <f>IF(ISERROR(FIND('112'!$M$9,G5969,1)),"",IF((AND(FIND('112'!$M$9,G5969,1)&gt;=1,B5969='112'!$K$9,OR($N5969='112'!$I$6,$O5969='112'!$I$6))),"x",""))</f>
        <v/>
      </c>
      <c r="U5969" s="79" t="str">
        <f>IF(ISERROR(FIND('112'!$M$9,G5969,1)),"",IF((AND(LEFT(G5969,2)=LEFT('112'!$M$9,2),B5969&lt;'112'!$K$9,$N5969='112'!$I$6)),"x",""))</f>
        <v/>
      </c>
      <c r="V5969" s="79" t="str">
        <f>IF(ISERROR(FIND('112'!$M$9,G5969,1)),"",IF((AND(RIGHT(G5969,2)=RIGHT('112'!$M$9,2),B5969&lt;'112'!$K$9,$O5969='112'!$I$6)),"x",""))</f>
        <v/>
      </c>
      <c r="W5969" s="79" t="str">
        <f>IF(AND('341-CT'!$H$9=H5969,OR(LEFT(N5969,3)=$W$7,LEFT(O5969,3)=$W$7)),"x","")</f>
        <v/>
      </c>
      <c r="X5969" s="79" t="str">
        <f>IF(OR(TH!N5969=TH!$X$7,O5969=TH!$X$7),"x","")</f>
        <v/>
      </c>
      <c r="Y5969" s="79" t="str">
        <f>IF(AND(OR(N5969="131",O5969="131"),H5969='131-CT'!$H$9),"x","")</f>
        <v/>
      </c>
      <c r="Z5969" s="79"/>
      <c r="AA5969" s="79" t="str">
        <f>IF(AND(MONTH(E5969)='IN-NX'!$J$5,'IN-NX'!$D$7=D5969),"x","")</f>
        <v/>
      </c>
      <c r="AB5969" s="79" t="str">
        <f>IF(AND(OR(LEFT(TH!N5969,2)="15",LEFT(TH!O5969,2)="15"),LEFT(TH!O5969,3)&lt;&gt;"111",'152-CT'!$J$8=TH!F5969),"x","")</f>
        <v/>
      </c>
      <c r="AC5969" s="79" t="str">
        <f>IF(AND(OR(LEFT(TH!N5969,2)="15",LEFT(TH!O5969,2)="15"),TK!$E$7=TH!F5969),"x","")</f>
        <v/>
      </c>
      <c r="AD5969" s="79" t="str">
        <f>IF(AND(N5969="1521",MONTH(C5969)='BK-NL'!$M$11),"x","")</f>
        <v/>
      </c>
    </row>
    <row r="5970" spans="1:30" ht="16.5" customHeight="1">
      <c r="A5970" s="318" t="str">
        <f>IF(B5970&lt;&gt;"",IF(AND(B5970='IN-TC'!$S$4,OR(TH!N5970="1111",TH!O5970="1111")),TH!D5970,""),"")</f>
        <v/>
      </c>
      <c r="B5970" s="60" t="str">
        <f t="shared" si="514"/>
        <v/>
      </c>
      <c r="C5970" s="61"/>
      <c r="D5970" s="301"/>
      <c r="E5970" s="61"/>
      <c r="F5970" s="69"/>
      <c r="G5970" s="64"/>
      <c r="H5970" s="69"/>
      <c r="I5970" s="385"/>
      <c r="J5970" s="392"/>
      <c r="K5970" s="385"/>
      <c r="L5970" s="392"/>
      <c r="M5970" s="62"/>
      <c r="N5970" s="63"/>
      <c r="O5970" s="63"/>
      <c r="P5970" s="79" t="str">
        <f>IF(AND('331-CT'!$E$7=TH!H5970,OR(N5970="331",O5970="331")),"x","")</f>
        <v/>
      </c>
      <c r="Q5970" s="79" t="str">
        <f>IF(AND(B5970='111'!$L$11,OR($N5970=$Q$7,$O5970=$Q$7)),"x","")</f>
        <v/>
      </c>
      <c r="R5970" s="79" t="str">
        <f>IF(AND($N5970=$Q$7,$B5970&lt;'111'!$L$11),"x","")</f>
        <v/>
      </c>
      <c r="S5970" s="79" t="str">
        <f>IF(AND($O5970=$Q$7,$B5970&lt;'111'!$L$11),"x","")</f>
        <v/>
      </c>
      <c r="T5970" s="79" t="str">
        <f>IF(ISERROR(FIND('112'!$M$9,G5970,1)),"",IF((AND(FIND('112'!$M$9,G5970,1)&gt;=1,B5970='112'!$K$9,OR($N5970='112'!$I$6,$O5970='112'!$I$6))),"x",""))</f>
        <v/>
      </c>
      <c r="U5970" s="79" t="str">
        <f>IF(ISERROR(FIND('112'!$M$9,G5970,1)),"",IF((AND(LEFT(G5970,2)=LEFT('112'!$M$9,2),B5970&lt;'112'!$K$9,$N5970='112'!$I$6)),"x",""))</f>
        <v/>
      </c>
      <c r="V5970" s="79" t="str">
        <f>IF(ISERROR(FIND('112'!$M$9,G5970,1)),"",IF((AND(RIGHT(G5970,2)=RIGHT('112'!$M$9,2),B5970&lt;'112'!$K$9,$O5970='112'!$I$6)),"x",""))</f>
        <v/>
      </c>
      <c r="W5970" s="79" t="str">
        <f>IF(AND('341-CT'!$H$9=H5970,OR(LEFT(N5970,3)=$W$7,LEFT(O5970,3)=$W$7)),"x","")</f>
        <v/>
      </c>
      <c r="X5970" s="79" t="str">
        <f>IF(OR(TH!N5970=TH!$X$7,O5970=TH!$X$7),"x","")</f>
        <v/>
      </c>
      <c r="Y5970" s="79" t="str">
        <f>IF(AND(OR(N5970="131",O5970="131"),H5970='131-CT'!$H$9),"x","")</f>
        <v/>
      </c>
      <c r="Z5970" s="79"/>
      <c r="AA5970" s="79" t="str">
        <f>IF(AND(MONTH(E5970)='IN-NX'!$J$5,'IN-NX'!$D$7=D5970),"x","")</f>
        <v/>
      </c>
      <c r="AB5970" s="79" t="str">
        <f>IF(AND(OR(LEFT(TH!N5970,2)="15",LEFT(TH!O5970,2)="15"),LEFT(TH!O5970,3)&lt;&gt;"111",'152-CT'!$J$8=TH!F5970),"x","")</f>
        <v/>
      </c>
      <c r="AC5970" s="79" t="str">
        <f>IF(AND(OR(LEFT(TH!N5970,2)="15",LEFT(TH!O5970,2)="15"),TK!$E$7=TH!F5970),"x","")</f>
        <v/>
      </c>
      <c r="AD5970" s="79" t="str">
        <f>IF(AND(N5970="1521",MONTH(C5970)='BK-NL'!$M$11),"x","")</f>
        <v/>
      </c>
    </row>
    <row r="5971" spans="1:30" ht="16.5" customHeight="1">
      <c r="A5971" s="318" t="str">
        <f>IF(B5971&lt;&gt;"",IF(AND(B5971='IN-TC'!$S$4,OR(TH!N5971="1111",TH!O5971="1111")),TH!D5971,""),"")</f>
        <v/>
      </c>
      <c r="B5971" s="60" t="str">
        <f t="shared" si="514"/>
        <v/>
      </c>
      <c r="C5971" s="61"/>
      <c r="D5971" s="301"/>
      <c r="E5971" s="61"/>
      <c r="F5971" s="69"/>
      <c r="G5971" s="64"/>
      <c r="H5971" s="69"/>
      <c r="I5971" s="385"/>
      <c r="J5971" s="392"/>
      <c r="K5971" s="385"/>
      <c r="L5971" s="392"/>
      <c r="M5971" s="62"/>
      <c r="N5971" s="63"/>
      <c r="O5971" s="63"/>
      <c r="P5971" s="79" t="str">
        <f>IF(AND('331-CT'!$E$7=TH!H5971,OR(N5971="331",O5971="331")),"x","")</f>
        <v/>
      </c>
      <c r="Q5971" s="79" t="str">
        <f>IF(AND(B5971='111'!$L$11,OR($N5971=$Q$7,$O5971=$Q$7)),"x","")</f>
        <v/>
      </c>
      <c r="R5971" s="79" t="str">
        <f>IF(AND($N5971=$Q$7,$B5971&lt;'111'!$L$11),"x","")</f>
        <v/>
      </c>
      <c r="S5971" s="79" t="str">
        <f>IF(AND($O5971=$Q$7,$B5971&lt;'111'!$L$11),"x","")</f>
        <v/>
      </c>
      <c r="T5971" s="79" t="str">
        <f>IF(ISERROR(FIND('112'!$M$9,G5971,1)),"",IF((AND(FIND('112'!$M$9,G5971,1)&gt;=1,B5971='112'!$K$9,OR($N5971='112'!$I$6,$O5971='112'!$I$6))),"x",""))</f>
        <v/>
      </c>
      <c r="U5971" s="79" t="str">
        <f>IF(ISERROR(FIND('112'!$M$9,G5971,1)),"",IF((AND(LEFT(G5971,2)=LEFT('112'!$M$9,2),B5971&lt;'112'!$K$9,$N5971='112'!$I$6)),"x",""))</f>
        <v/>
      </c>
      <c r="V5971" s="79" t="str">
        <f>IF(ISERROR(FIND('112'!$M$9,G5971,1)),"",IF((AND(RIGHT(G5971,2)=RIGHT('112'!$M$9,2),B5971&lt;'112'!$K$9,$O5971='112'!$I$6)),"x",""))</f>
        <v/>
      </c>
      <c r="W5971" s="79" t="str">
        <f>IF(AND('341-CT'!$H$9=H5971,OR(LEFT(N5971,3)=$W$7,LEFT(O5971,3)=$W$7)),"x","")</f>
        <v/>
      </c>
      <c r="X5971" s="79" t="str">
        <f>IF(OR(TH!N5971=TH!$X$7,O5971=TH!$X$7),"x","")</f>
        <v/>
      </c>
      <c r="Y5971" s="79" t="str">
        <f>IF(AND(OR(N5971="131",O5971="131"),H5971='131-CT'!$H$9),"x","")</f>
        <v/>
      </c>
      <c r="Z5971" s="79"/>
      <c r="AA5971" s="79" t="str">
        <f>IF(AND(MONTH(E5971)='IN-NX'!$J$5,'IN-NX'!$D$7=D5971),"x","")</f>
        <v/>
      </c>
      <c r="AB5971" s="79" t="str">
        <f>IF(AND(OR(LEFT(TH!N5971,2)="15",LEFT(TH!O5971,2)="15"),LEFT(TH!O5971,3)&lt;&gt;"111",'152-CT'!$J$8=TH!F5971),"x","")</f>
        <v/>
      </c>
      <c r="AC5971" s="79" t="str">
        <f>IF(AND(OR(LEFT(TH!N5971,2)="15",LEFT(TH!O5971,2)="15"),TK!$E$7=TH!F5971),"x","")</f>
        <v/>
      </c>
      <c r="AD5971" s="79" t="str">
        <f>IF(AND(N5971="1521",MONTH(C5971)='BK-NL'!$M$11),"x","")</f>
        <v/>
      </c>
    </row>
    <row r="5972" spans="1:30" ht="16.5" customHeight="1">
      <c r="A5972" s="318" t="str">
        <f>IF(B5972&lt;&gt;"",IF(AND(B5972='IN-TC'!$S$4,OR(TH!N5972="1111",TH!O5972="1111")),TH!D5972,""),"")</f>
        <v/>
      </c>
      <c r="B5972" s="60" t="str">
        <f t="shared" si="514"/>
        <v/>
      </c>
      <c r="C5972" s="61"/>
      <c r="D5972" s="301"/>
      <c r="E5972" s="61"/>
      <c r="F5972" s="69"/>
      <c r="G5972" s="64"/>
      <c r="H5972" s="69"/>
      <c r="I5972" s="385"/>
      <c r="J5972" s="392"/>
      <c r="K5972" s="385"/>
      <c r="L5972" s="392"/>
      <c r="M5972" s="62"/>
      <c r="N5972" s="63"/>
      <c r="O5972" s="63"/>
      <c r="P5972" s="79" t="str">
        <f>IF(AND('331-CT'!$E$7=TH!H5972,OR(N5972="331",O5972="331")),"x","")</f>
        <v/>
      </c>
      <c r="Q5972" s="79" t="str">
        <f>IF(AND(B5972='111'!$L$11,OR($N5972=$Q$7,$O5972=$Q$7)),"x","")</f>
        <v/>
      </c>
      <c r="R5972" s="79" t="str">
        <f>IF(AND($N5972=$Q$7,$B5972&lt;'111'!$L$11),"x","")</f>
        <v/>
      </c>
      <c r="S5972" s="79" t="str">
        <f>IF(AND($O5972=$Q$7,$B5972&lt;'111'!$L$11),"x","")</f>
        <v/>
      </c>
      <c r="T5972" s="79" t="str">
        <f>IF(ISERROR(FIND('112'!$M$9,G5972,1)),"",IF((AND(FIND('112'!$M$9,G5972,1)&gt;=1,B5972='112'!$K$9,OR($N5972='112'!$I$6,$O5972='112'!$I$6))),"x",""))</f>
        <v/>
      </c>
      <c r="U5972" s="79" t="str">
        <f>IF(ISERROR(FIND('112'!$M$9,G5972,1)),"",IF((AND(LEFT(G5972,2)=LEFT('112'!$M$9,2),B5972&lt;'112'!$K$9,$N5972='112'!$I$6)),"x",""))</f>
        <v/>
      </c>
      <c r="V5972" s="79" t="str">
        <f>IF(ISERROR(FIND('112'!$M$9,G5972,1)),"",IF((AND(RIGHT(G5972,2)=RIGHT('112'!$M$9,2),B5972&lt;'112'!$K$9,$O5972='112'!$I$6)),"x",""))</f>
        <v/>
      </c>
      <c r="W5972" s="79" t="str">
        <f>IF(AND('341-CT'!$H$9=H5972,OR(LEFT(N5972,3)=$W$7,LEFT(O5972,3)=$W$7)),"x","")</f>
        <v/>
      </c>
      <c r="X5972" s="79" t="str">
        <f>IF(OR(TH!N5972=TH!$X$7,O5972=TH!$X$7),"x","")</f>
        <v/>
      </c>
      <c r="Y5972" s="79" t="str">
        <f>IF(AND(OR(N5972="131",O5972="131"),H5972='131-CT'!$H$9),"x","")</f>
        <v/>
      </c>
      <c r="Z5972" s="79"/>
      <c r="AA5972" s="79" t="str">
        <f>IF(AND(MONTH(E5972)='IN-NX'!$J$5,'IN-NX'!$D$7=D5972),"x","")</f>
        <v/>
      </c>
      <c r="AB5972" s="79" t="str">
        <f>IF(AND(OR(LEFT(TH!N5972,2)="15",LEFT(TH!O5972,2)="15"),LEFT(TH!O5972,3)&lt;&gt;"111",'152-CT'!$J$8=TH!F5972),"x","")</f>
        <v/>
      </c>
      <c r="AC5972" s="79" t="str">
        <f>IF(AND(OR(LEFT(TH!N5972,2)="15",LEFT(TH!O5972,2)="15"),TK!$E$7=TH!F5972),"x","")</f>
        <v/>
      </c>
      <c r="AD5972" s="79" t="str">
        <f>IF(AND(N5972="1521",MONTH(C5972)='BK-NL'!$M$11),"x","")</f>
        <v/>
      </c>
    </row>
    <row r="5973" spans="1:30" ht="16.5" customHeight="1">
      <c r="A5973" s="318" t="str">
        <f>IF(B5973&lt;&gt;"",IF(AND(B5973='IN-TC'!$S$4,OR(TH!N5973="1111",TH!O5973="1111")),TH!D5973,""),"")</f>
        <v/>
      </c>
      <c r="B5973" s="60" t="str">
        <f t="shared" si="514"/>
        <v/>
      </c>
      <c r="C5973" s="61"/>
      <c r="D5973" s="61"/>
      <c r="E5973" s="61"/>
      <c r="F5973" s="69"/>
      <c r="G5973" s="766"/>
      <c r="H5973" s="69"/>
      <c r="I5973" s="385"/>
      <c r="J5973" s="392"/>
      <c r="K5973" s="385"/>
      <c r="L5973" s="392"/>
      <c r="M5973" s="62"/>
      <c r="N5973" s="63"/>
      <c r="O5973" s="63"/>
      <c r="P5973" s="79" t="str">
        <f>IF(AND('331-CT'!$E$7=TH!H5973,OR(N5973="331",O5973="331")),"x","")</f>
        <v/>
      </c>
      <c r="Q5973" s="79" t="str">
        <f>IF(AND(B5973='111'!$L$11,OR($N5973=$Q$7,$O5973=$Q$7)),"x","")</f>
        <v/>
      </c>
      <c r="R5973" s="79" t="str">
        <f>IF(AND($N5973=$Q$7,$B5973&lt;'111'!$L$11),"x","")</f>
        <v/>
      </c>
      <c r="S5973" s="79" t="str">
        <f>IF(AND($O5973=$Q$7,$B5973&lt;'111'!$L$11),"x","")</f>
        <v/>
      </c>
      <c r="T5973" s="79" t="str">
        <f>IF(ISERROR(FIND('112'!$M$9,G5973,1)),"",IF((AND(FIND('112'!$M$9,G5973,1)&gt;=1,B5973='112'!$K$9,OR($N5973='112'!$I$6,$O5973='112'!$I$6))),"x",""))</f>
        <v/>
      </c>
      <c r="U5973" s="79" t="str">
        <f>IF(ISERROR(FIND('112'!$M$9,G5973,1)),"",IF((AND(LEFT(G5973,2)=LEFT('112'!$M$9,2),B5973&lt;'112'!$K$9,$N5973='112'!$I$6)),"x",""))</f>
        <v/>
      </c>
      <c r="V5973" s="79" t="str">
        <f>IF(ISERROR(FIND('112'!$M$9,G5973,1)),"",IF((AND(RIGHT(G5973,2)=RIGHT('112'!$M$9,2),B5973&lt;'112'!$K$9,$O5973='112'!$I$6)),"x",""))</f>
        <v/>
      </c>
      <c r="W5973" s="79" t="str">
        <f>IF(AND('341-CT'!$H$9=H5973,OR(LEFT(N5973,3)=$W$7,LEFT(O5973,3)=$W$7)),"x","")</f>
        <v/>
      </c>
      <c r="X5973" s="79" t="str">
        <f>IF(OR(TH!N5973=TH!$X$7,O5973=TH!$X$7),"x","")</f>
        <v/>
      </c>
      <c r="Y5973" s="79" t="str">
        <f>IF(AND(OR(N5973="131",O5973="131"),H5973='131-CT'!$H$9),"x","")</f>
        <v/>
      </c>
      <c r="Z5973" s="79"/>
      <c r="AA5973" s="79" t="str">
        <f>IF(AND(MONTH(E5973)='IN-NX'!$J$5,'IN-NX'!$D$7=D5973),"x","")</f>
        <v/>
      </c>
      <c r="AB5973" s="79" t="str">
        <f>IF(AND(OR(LEFT(TH!N5973,2)="15",LEFT(TH!O5973,2)="15"),LEFT(TH!O5973,3)&lt;&gt;"111",'152-CT'!$J$8=TH!F5973),"x","")</f>
        <v/>
      </c>
      <c r="AC5973" s="79" t="str">
        <f>IF(AND(OR(LEFT(TH!N5973,2)="15",LEFT(TH!O5973,2)="15"),TK!$E$7=TH!F5973),"x","")</f>
        <v/>
      </c>
      <c r="AD5973" s="79" t="str">
        <f>IF(AND(N5973="1521",MONTH(C5973)='BK-NL'!$M$11),"x","")</f>
        <v/>
      </c>
    </row>
    <row r="5974" spans="1:30" ht="16.5" customHeight="1">
      <c r="A5974" s="318" t="str">
        <f>IF(B5974&lt;&gt;"",IF(AND(B5974='IN-TC'!$S$4,OR(TH!N5974="1111",TH!O5974="1111")),TH!D5974,""),"")</f>
        <v/>
      </c>
      <c r="B5974" s="60" t="str">
        <f t="shared" si="514"/>
        <v/>
      </c>
      <c r="C5974" s="61"/>
      <c r="D5974" s="61"/>
      <c r="E5974" s="61"/>
      <c r="F5974" s="69"/>
      <c r="G5974" s="766"/>
      <c r="H5974" s="69"/>
      <c r="I5974" s="385"/>
      <c r="J5974" s="392"/>
      <c r="K5974" s="385"/>
      <c r="L5974" s="392"/>
      <c r="M5974" s="62"/>
      <c r="N5974" s="63"/>
      <c r="O5974" s="63"/>
      <c r="P5974" s="79" t="str">
        <f>IF(AND('331-CT'!$E$7=TH!H5974,OR(N5974="331",O5974="331")),"x","")</f>
        <v/>
      </c>
      <c r="Q5974" s="79" t="str">
        <f>IF(AND(B5974='111'!$L$11,OR($N5974=$Q$7,$O5974=$Q$7)),"x","")</f>
        <v/>
      </c>
      <c r="R5974" s="79" t="str">
        <f>IF(AND($N5974=$Q$7,$B5974&lt;'111'!$L$11),"x","")</f>
        <v/>
      </c>
      <c r="S5974" s="79" t="str">
        <f>IF(AND($O5974=$Q$7,$B5974&lt;'111'!$L$11),"x","")</f>
        <v/>
      </c>
      <c r="T5974" s="79" t="str">
        <f>IF(ISERROR(FIND('112'!$M$9,G5974,1)),"",IF((AND(FIND('112'!$M$9,G5974,1)&gt;=1,B5974='112'!$K$9,OR($N5974='112'!$I$6,$O5974='112'!$I$6))),"x",""))</f>
        <v/>
      </c>
      <c r="U5974" s="79" t="str">
        <f>IF(ISERROR(FIND('112'!$M$9,G5974,1)),"",IF((AND(LEFT(G5974,2)=LEFT('112'!$M$9,2),B5974&lt;'112'!$K$9,$N5974='112'!$I$6)),"x",""))</f>
        <v/>
      </c>
      <c r="V5974" s="79" t="str">
        <f>IF(ISERROR(FIND('112'!$M$9,G5974,1)),"",IF((AND(RIGHT(G5974,2)=RIGHT('112'!$M$9,2),B5974&lt;'112'!$K$9,$O5974='112'!$I$6)),"x",""))</f>
        <v/>
      </c>
      <c r="W5974" s="79" t="str">
        <f>IF(AND('341-CT'!$H$9=H5974,OR(LEFT(N5974,3)=$W$7,LEFT(O5974,3)=$W$7)),"x","")</f>
        <v/>
      </c>
      <c r="X5974" s="79" t="str">
        <f>IF(OR(TH!N5974=TH!$X$7,O5974=TH!$X$7),"x","")</f>
        <v/>
      </c>
      <c r="Y5974" s="79" t="str">
        <f>IF(AND(OR(N5974="131",O5974="131"),H5974='131-CT'!$H$9),"x","")</f>
        <v/>
      </c>
      <c r="Z5974" s="79"/>
      <c r="AA5974" s="79" t="str">
        <f>IF(AND(MONTH(E5974)='IN-NX'!$J$5,'IN-NX'!$D$7=D5974),"x","")</f>
        <v/>
      </c>
      <c r="AB5974" s="79" t="str">
        <f>IF(AND(OR(LEFT(TH!N5974,2)="15",LEFT(TH!O5974,2)="15"),LEFT(TH!O5974,3)&lt;&gt;"111",'152-CT'!$J$8=TH!F5974),"x","")</f>
        <v/>
      </c>
      <c r="AC5974" s="79" t="str">
        <f>IF(AND(OR(LEFT(TH!N5974,2)="15",LEFT(TH!O5974,2)="15"),TK!$E$7=TH!F5974),"x","")</f>
        <v/>
      </c>
      <c r="AD5974" s="79" t="str">
        <f>IF(AND(N5974="1521",MONTH(C5974)='BK-NL'!$M$11),"x","")</f>
        <v/>
      </c>
    </row>
    <row r="5975" spans="1:30" ht="16.5" customHeight="1">
      <c r="A5975" s="318" t="str">
        <f>IF(B5975&lt;&gt;"",IF(AND(B5975='IN-TC'!$S$4,OR(TH!N5975="1111",TH!O5975="1111")),TH!D5975,""),"")</f>
        <v/>
      </c>
      <c r="B5975" s="60" t="str">
        <f t="shared" si="514"/>
        <v/>
      </c>
      <c r="C5975" s="61"/>
      <c r="D5975" s="61"/>
      <c r="E5975" s="61"/>
      <c r="F5975" s="69"/>
      <c r="G5975" s="766"/>
      <c r="H5975" s="69"/>
      <c r="I5975" s="385"/>
      <c r="J5975" s="392"/>
      <c r="K5975" s="385"/>
      <c r="L5975" s="392"/>
      <c r="M5975" s="62"/>
      <c r="N5975" s="63"/>
      <c r="O5975" s="63"/>
      <c r="P5975" s="79" t="str">
        <f>IF(AND('331-CT'!$E$7=TH!H5975,OR(N5975="331",O5975="331")),"x","")</f>
        <v/>
      </c>
      <c r="Q5975" s="79" t="str">
        <f>IF(AND(B5975='111'!$L$11,OR($N5975=$Q$7,$O5975=$Q$7)),"x","")</f>
        <v/>
      </c>
      <c r="R5975" s="79" t="str">
        <f>IF(AND($N5975=$Q$7,$B5975&lt;'111'!$L$11),"x","")</f>
        <v/>
      </c>
      <c r="S5975" s="79" t="str">
        <f>IF(AND($O5975=$Q$7,$B5975&lt;'111'!$L$11),"x","")</f>
        <v/>
      </c>
      <c r="T5975" s="79" t="str">
        <f>IF(ISERROR(FIND('112'!$M$9,G5975,1)),"",IF((AND(FIND('112'!$M$9,G5975,1)&gt;=1,B5975='112'!$K$9,OR($N5975='112'!$I$6,$O5975='112'!$I$6))),"x",""))</f>
        <v/>
      </c>
      <c r="U5975" s="79" t="str">
        <f>IF(ISERROR(FIND('112'!$M$9,G5975,1)),"",IF((AND(LEFT(G5975,2)=LEFT('112'!$M$9,2),B5975&lt;'112'!$K$9,$N5975='112'!$I$6)),"x",""))</f>
        <v/>
      </c>
      <c r="V5975" s="79" t="str">
        <f>IF(ISERROR(FIND('112'!$M$9,G5975,1)),"",IF((AND(RIGHT(G5975,2)=RIGHT('112'!$M$9,2),B5975&lt;'112'!$K$9,$O5975='112'!$I$6)),"x",""))</f>
        <v/>
      </c>
      <c r="W5975" s="79" t="str">
        <f>IF(AND('341-CT'!$H$9=H5975,OR(LEFT(N5975,3)=$W$7,LEFT(O5975,3)=$W$7)),"x","")</f>
        <v/>
      </c>
      <c r="X5975" s="79" t="str">
        <f>IF(OR(TH!N5975=TH!$X$7,O5975=TH!$X$7),"x","")</f>
        <v/>
      </c>
      <c r="Y5975" s="79" t="str">
        <f>IF(AND(OR(N5975="131",O5975="131"),H5975='131-CT'!$H$9),"x","")</f>
        <v/>
      </c>
      <c r="Z5975" s="79"/>
      <c r="AA5975" s="79" t="str">
        <f>IF(AND(MONTH(E5975)='IN-NX'!$J$5,'IN-NX'!$D$7=D5975),"x","")</f>
        <v/>
      </c>
      <c r="AB5975" s="79" t="str">
        <f>IF(AND(OR(LEFT(TH!N5975,2)="15",LEFT(TH!O5975,2)="15"),LEFT(TH!O5975,3)&lt;&gt;"111",'152-CT'!$J$8=TH!F5975),"x","")</f>
        <v/>
      </c>
      <c r="AC5975" s="79" t="str">
        <f>IF(AND(OR(LEFT(TH!N5975,2)="15",LEFT(TH!O5975,2)="15"),TK!$E$7=TH!F5975),"x","")</f>
        <v/>
      </c>
      <c r="AD5975" s="79" t="str">
        <f>IF(AND(N5975="1521",MONTH(C5975)='BK-NL'!$M$11),"x","")</f>
        <v/>
      </c>
    </row>
    <row r="5976" spans="1:30" ht="16.5" customHeight="1">
      <c r="A5976" s="318" t="str">
        <f>IF(B5976&lt;&gt;"",IF(AND(B5976='IN-TC'!$S$4,OR(TH!N5976="1111",TH!O5976="1111")),TH!D5976,""),"")</f>
        <v/>
      </c>
      <c r="B5976" s="60" t="str">
        <f t="shared" si="514"/>
        <v/>
      </c>
      <c r="C5976" s="61"/>
      <c r="D5976" s="61"/>
      <c r="E5976" s="61"/>
      <c r="F5976" s="69"/>
      <c r="G5976" s="766"/>
      <c r="H5976" s="69"/>
      <c r="I5976" s="385"/>
      <c r="J5976" s="392"/>
      <c r="K5976" s="385"/>
      <c r="L5976" s="392"/>
      <c r="M5976" s="62"/>
      <c r="N5976" s="63"/>
      <c r="O5976" s="63"/>
      <c r="P5976" s="79" t="str">
        <f>IF(AND('331-CT'!$E$7=TH!H5976,OR(N5976="331",O5976="331")),"x","")</f>
        <v/>
      </c>
      <c r="Q5976" s="79" t="str">
        <f>IF(AND(B5976='111'!$L$11,OR($N5976=$Q$7,$O5976=$Q$7)),"x","")</f>
        <v/>
      </c>
      <c r="R5976" s="79" t="str">
        <f>IF(AND($N5976=$Q$7,$B5976&lt;'111'!$L$11),"x","")</f>
        <v/>
      </c>
      <c r="S5976" s="79" t="str">
        <f>IF(AND($O5976=$Q$7,$B5976&lt;'111'!$L$11),"x","")</f>
        <v/>
      </c>
      <c r="T5976" s="79" t="str">
        <f>IF(ISERROR(FIND('112'!$M$9,G5976,1)),"",IF((AND(FIND('112'!$M$9,G5976,1)&gt;=1,B5976='112'!$K$9,OR($N5976='112'!$I$6,$O5976='112'!$I$6))),"x",""))</f>
        <v/>
      </c>
      <c r="U5976" s="79" t="str">
        <f>IF(ISERROR(FIND('112'!$M$9,G5976,1)),"",IF((AND(LEFT(G5976,2)=LEFT('112'!$M$9,2),B5976&lt;'112'!$K$9,$N5976='112'!$I$6)),"x",""))</f>
        <v/>
      </c>
      <c r="V5976" s="79" t="str">
        <f>IF(ISERROR(FIND('112'!$M$9,G5976,1)),"",IF((AND(RIGHT(G5976,2)=RIGHT('112'!$M$9,2),B5976&lt;'112'!$K$9,$O5976='112'!$I$6)),"x",""))</f>
        <v/>
      </c>
      <c r="W5976" s="79" t="str">
        <f>IF(AND('341-CT'!$H$9=H5976,OR(LEFT(N5976,3)=$W$7,LEFT(O5976,3)=$W$7)),"x","")</f>
        <v/>
      </c>
      <c r="X5976" s="79" t="str">
        <f>IF(OR(TH!N5976=TH!$X$7,O5976=TH!$X$7),"x","")</f>
        <v/>
      </c>
      <c r="Y5976" s="79" t="str">
        <f>IF(AND(OR(N5976="131",O5976="131"),H5976='131-CT'!$H$9),"x","")</f>
        <v/>
      </c>
      <c r="Z5976" s="79"/>
      <c r="AA5976" s="79" t="str">
        <f>IF(AND(MONTH(E5976)='IN-NX'!$J$5,'IN-NX'!$D$7=D5976),"x","")</f>
        <v/>
      </c>
      <c r="AB5976" s="79" t="str">
        <f>IF(AND(OR(LEFT(TH!N5976,2)="15",LEFT(TH!O5976,2)="15"),LEFT(TH!O5976,3)&lt;&gt;"111",'152-CT'!$J$8=TH!F5976),"x","")</f>
        <v/>
      </c>
      <c r="AC5976" s="79" t="str">
        <f>IF(AND(OR(LEFT(TH!N5976,2)="15",LEFT(TH!O5976,2)="15"),TK!$E$7=TH!F5976),"x","")</f>
        <v/>
      </c>
      <c r="AD5976" s="79" t="str">
        <f>IF(AND(N5976="1521",MONTH(C5976)='BK-NL'!$M$11),"x","")</f>
        <v/>
      </c>
    </row>
    <row r="5977" spans="1:30" ht="16.5" customHeight="1">
      <c r="A5977" s="318" t="str">
        <f>IF(B5977&lt;&gt;"",IF(AND(B5977='IN-TC'!$S$4,OR(TH!N5977="1111",TH!O5977="1111")),TH!D5977,""),"")</f>
        <v/>
      </c>
      <c r="B5977" s="60" t="str">
        <f t="shared" si="514"/>
        <v/>
      </c>
      <c r="C5977" s="61"/>
      <c r="D5977" s="61"/>
      <c r="E5977" s="61"/>
      <c r="F5977" s="69"/>
      <c r="G5977" s="766"/>
      <c r="H5977" s="69"/>
      <c r="I5977" s="385"/>
      <c r="J5977" s="392"/>
      <c r="K5977" s="385"/>
      <c r="L5977" s="392"/>
      <c r="M5977" s="62"/>
      <c r="N5977" s="63"/>
      <c r="O5977" s="63"/>
      <c r="P5977" s="79" t="str">
        <f>IF(AND('331-CT'!$E$7=TH!H5977,OR(N5977="331",O5977="331")),"x","")</f>
        <v/>
      </c>
      <c r="Q5977" s="79" t="str">
        <f>IF(AND(B5977='111'!$L$11,OR($N5977=$Q$7,$O5977=$Q$7)),"x","")</f>
        <v/>
      </c>
      <c r="R5977" s="79" t="str">
        <f>IF(AND($N5977=$Q$7,$B5977&lt;'111'!$L$11),"x","")</f>
        <v/>
      </c>
      <c r="S5977" s="79" t="str">
        <f>IF(AND($O5977=$Q$7,$B5977&lt;'111'!$L$11),"x","")</f>
        <v/>
      </c>
      <c r="T5977" s="79" t="str">
        <f>IF(ISERROR(FIND('112'!$M$9,G5977,1)),"",IF((AND(FIND('112'!$M$9,G5977,1)&gt;=1,B5977='112'!$K$9,OR($N5977='112'!$I$6,$O5977='112'!$I$6))),"x",""))</f>
        <v/>
      </c>
      <c r="U5977" s="79" t="str">
        <f>IF(ISERROR(FIND('112'!$M$9,G5977,1)),"",IF((AND(LEFT(G5977,2)=LEFT('112'!$M$9,2),B5977&lt;'112'!$K$9,$N5977='112'!$I$6)),"x",""))</f>
        <v/>
      </c>
      <c r="V5977" s="79" t="str">
        <f>IF(ISERROR(FIND('112'!$M$9,G5977,1)),"",IF((AND(RIGHT(G5977,2)=RIGHT('112'!$M$9,2),B5977&lt;'112'!$K$9,$O5977='112'!$I$6)),"x",""))</f>
        <v/>
      </c>
      <c r="W5977" s="79" t="str">
        <f>IF(AND('341-CT'!$H$9=H5977,OR(LEFT(N5977,3)=$W$7,LEFT(O5977,3)=$W$7)),"x","")</f>
        <v/>
      </c>
      <c r="X5977" s="79" t="str">
        <f>IF(OR(TH!N5977=TH!$X$7,O5977=TH!$X$7),"x","")</f>
        <v/>
      </c>
      <c r="Y5977" s="79" t="str">
        <f>IF(AND(OR(N5977="131",O5977="131"),H5977='131-CT'!$H$9),"x","")</f>
        <v/>
      </c>
      <c r="Z5977" s="79"/>
      <c r="AA5977" s="79" t="str">
        <f>IF(AND(MONTH(E5977)='IN-NX'!$J$5,'IN-NX'!$D$7=D5977),"x","")</f>
        <v/>
      </c>
      <c r="AB5977" s="79" t="str">
        <f>IF(AND(OR(LEFT(TH!N5977,2)="15",LEFT(TH!O5977,2)="15"),LEFT(TH!O5977,3)&lt;&gt;"111",'152-CT'!$J$8=TH!F5977),"x","")</f>
        <v/>
      </c>
      <c r="AC5977" s="79" t="str">
        <f>IF(AND(OR(LEFT(TH!N5977,2)="15",LEFT(TH!O5977,2)="15"),TK!$E$7=TH!F5977),"x","")</f>
        <v/>
      </c>
      <c r="AD5977" s="79" t="str">
        <f>IF(AND(N5977="1521",MONTH(C5977)='BK-NL'!$M$11),"x","")</f>
        <v/>
      </c>
    </row>
    <row r="5978" spans="1:30" ht="16.5" customHeight="1">
      <c r="A5978" s="318" t="str">
        <f>IF(B5978&lt;&gt;"",IF(AND(B5978='IN-TC'!$S$4,OR(TH!N5978="1111",TH!O5978="1111")),TH!D5978,""),"")</f>
        <v/>
      </c>
      <c r="B5978" s="60" t="str">
        <f t="shared" si="514"/>
        <v/>
      </c>
      <c r="C5978" s="61"/>
      <c r="D5978" s="61"/>
      <c r="E5978" s="61"/>
      <c r="F5978" s="69"/>
      <c r="G5978" s="766"/>
      <c r="H5978" s="69"/>
      <c r="I5978" s="385"/>
      <c r="J5978" s="392"/>
      <c r="K5978" s="385"/>
      <c r="L5978" s="392"/>
      <c r="M5978" s="62"/>
      <c r="N5978" s="63"/>
      <c r="O5978" s="63"/>
      <c r="P5978" s="79" t="str">
        <f>IF(AND('331-CT'!$E$7=TH!H5978,OR(N5978="331",O5978="331")),"x","")</f>
        <v/>
      </c>
      <c r="Q5978" s="79" t="str">
        <f>IF(AND(B5978='111'!$L$11,OR($N5978=$Q$7,$O5978=$Q$7)),"x","")</f>
        <v/>
      </c>
      <c r="R5978" s="79" t="str">
        <f>IF(AND($N5978=$Q$7,$B5978&lt;'111'!$L$11),"x","")</f>
        <v/>
      </c>
      <c r="S5978" s="79" t="str">
        <f>IF(AND($O5978=$Q$7,$B5978&lt;'111'!$L$11),"x","")</f>
        <v/>
      </c>
      <c r="T5978" s="79" t="str">
        <f>IF(ISERROR(FIND('112'!$M$9,G5978,1)),"",IF((AND(FIND('112'!$M$9,G5978,1)&gt;=1,B5978='112'!$K$9,OR($N5978='112'!$I$6,$O5978='112'!$I$6))),"x",""))</f>
        <v/>
      </c>
      <c r="U5978" s="79" t="str">
        <f>IF(ISERROR(FIND('112'!$M$9,G5978,1)),"",IF((AND(LEFT(G5978,2)=LEFT('112'!$M$9,2),B5978&lt;'112'!$K$9,$N5978='112'!$I$6)),"x",""))</f>
        <v/>
      </c>
      <c r="V5978" s="79" t="str">
        <f>IF(ISERROR(FIND('112'!$M$9,G5978,1)),"",IF((AND(RIGHT(G5978,2)=RIGHT('112'!$M$9,2),B5978&lt;'112'!$K$9,$O5978='112'!$I$6)),"x",""))</f>
        <v/>
      </c>
      <c r="W5978" s="79" t="str">
        <f>IF(AND('341-CT'!$H$9=H5978,OR(LEFT(N5978,3)=$W$7,LEFT(O5978,3)=$W$7)),"x","")</f>
        <v/>
      </c>
      <c r="X5978" s="79" t="str">
        <f>IF(OR(TH!N5978=TH!$X$7,O5978=TH!$X$7),"x","")</f>
        <v/>
      </c>
      <c r="Y5978" s="79" t="str">
        <f>IF(AND(OR(N5978="131",O5978="131"),H5978='131-CT'!$H$9),"x","")</f>
        <v/>
      </c>
      <c r="Z5978" s="79"/>
      <c r="AA5978" s="79" t="str">
        <f>IF(AND(MONTH(E5978)='IN-NX'!$J$5,'IN-NX'!$D$7=D5978),"x","")</f>
        <v/>
      </c>
      <c r="AB5978" s="79" t="str">
        <f>IF(AND(OR(LEFT(TH!N5978,2)="15",LEFT(TH!O5978,2)="15"),LEFT(TH!O5978,3)&lt;&gt;"111",'152-CT'!$J$8=TH!F5978),"x","")</f>
        <v/>
      </c>
      <c r="AC5978" s="79" t="str">
        <f>IF(AND(OR(LEFT(TH!N5978,2)="15",LEFT(TH!O5978,2)="15"),TK!$E$7=TH!F5978),"x","")</f>
        <v/>
      </c>
      <c r="AD5978" s="79" t="str">
        <f>IF(AND(N5978="1521",MONTH(C5978)='BK-NL'!$M$11),"x","")</f>
        <v/>
      </c>
    </row>
    <row r="5979" spans="1:30" ht="16.5" customHeight="1">
      <c r="A5979" s="318" t="str">
        <f>IF(B5979&lt;&gt;"",IF(AND(B5979='IN-TC'!$S$4,OR(TH!N5979="1111",TH!O5979="1111")),TH!D5979,""),"")</f>
        <v/>
      </c>
      <c r="B5979" s="60" t="str">
        <f t="shared" si="514"/>
        <v/>
      </c>
      <c r="C5979" s="61"/>
      <c r="D5979" s="61"/>
      <c r="E5979" s="61"/>
      <c r="F5979" s="69"/>
      <c r="G5979" s="766"/>
      <c r="H5979" s="321"/>
      <c r="I5979" s="385"/>
      <c r="J5979" s="392"/>
      <c r="K5979" s="385"/>
      <c r="L5979" s="392"/>
      <c r="M5979" s="62"/>
      <c r="N5979" s="63"/>
      <c r="O5979" s="63"/>
      <c r="P5979" s="79" t="str">
        <f>IF(AND('331-CT'!$E$7=TH!H5979,OR(N5979="331",O5979="331")),"x","")</f>
        <v/>
      </c>
      <c r="Q5979" s="79" t="str">
        <f>IF(AND(B5979='111'!$L$11,OR($N5979=$Q$7,$O5979=$Q$7)),"x","")</f>
        <v/>
      </c>
      <c r="R5979" s="79" t="str">
        <f>IF(AND($N5979=$Q$7,$B5979&lt;'111'!$L$11),"x","")</f>
        <v/>
      </c>
      <c r="S5979" s="79" t="str">
        <f>IF(AND($O5979=$Q$7,$B5979&lt;'111'!$L$11),"x","")</f>
        <v/>
      </c>
      <c r="T5979" s="79" t="str">
        <f>IF(ISERROR(FIND('112'!$M$9,G5979,1)),"",IF((AND(FIND('112'!$M$9,G5979,1)&gt;=1,B5979='112'!$K$9,OR($N5979='112'!$I$6,$O5979='112'!$I$6))),"x",""))</f>
        <v/>
      </c>
      <c r="U5979" s="79" t="str">
        <f>IF(ISERROR(FIND('112'!$M$9,G5979,1)),"",IF((AND(LEFT(G5979,2)=LEFT('112'!$M$9,2),B5979&lt;'112'!$K$9,$N5979='112'!$I$6)),"x",""))</f>
        <v/>
      </c>
      <c r="V5979" s="79" t="str">
        <f>IF(ISERROR(FIND('112'!$M$9,G5979,1)),"",IF((AND(RIGHT(G5979,2)=RIGHT('112'!$M$9,2),B5979&lt;'112'!$K$9,$O5979='112'!$I$6)),"x",""))</f>
        <v/>
      </c>
      <c r="W5979" s="79" t="str">
        <f>IF(AND('341-CT'!$H$9=H5979,OR(LEFT(N5979,3)=$W$7,LEFT(O5979,3)=$W$7)),"x","")</f>
        <v/>
      </c>
      <c r="X5979" s="79" t="str">
        <f>IF(OR(TH!N5979=TH!$X$7,O5979=TH!$X$7),"x","")</f>
        <v/>
      </c>
      <c r="Y5979" s="79" t="str">
        <f>IF(AND(OR(N5979="131",O5979="131"),H5979='131-CT'!$H$9),"x","")</f>
        <v/>
      </c>
      <c r="Z5979" s="79"/>
      <c r="AA5979" s="79" t="str">
        <f>IF(AND(MONTH(E5979)='IN-NX'!$J$5,'IN-NX'!$D$7=D5979),"x","")</f>
        <v/>
      </c>
      <c r="AB5979" s="79" t="str">
        <f>IF(AND(OR(LEFT(TH!N5979,2)="15",LEFT(TH!O5979,2)="15"),LEFT(TH!O5979,3)&lt;&gt;"111",'152-CT'!$J$8=TH!F5979),"x","")</f>
        <v/>
      </c>
      <c r="AC5979" s="79" t="str">
        <f>IF(AND(OR(LEFT(TH!N5979,2)="15",LEFT(TH!O5979,2)="15"),TK!$E$7=TH!F5979),"x","")</f>
        <v/>
      </c>
      <c r="AD5979" s="79" t="str">
        <f>IF(AND(N5979="1521",MONTH(C5979)='BK-NL'!$M$11),"x","")</f>
        <v/>
      </c>
    </row>
    <row r="5980" spans="1:30" ht="16.5" customHeight="1">
      <c r="A5980" s="318" t="str">
        <f>IF(B5980&lt;&gt;"",IF(AND(B5980='IN-TC'!$S$4,OR(TH!N5980="1111",TH!O5980="1111")),TH!D5980,""),"")</f>
        <v/>
      </c>
      <c r="B5980" s="60" t="str">
        <f t="shared" si="514"/>
        <v/>
      </c>
      <c r="C5980" s="61"/>
      <c r="D5980" s="61"/>
      <c r="E5980" s="61"/>
      <c r="F5980" s="69"/>
      <c r="G5980" s="766"/>
      <c r="H5980" s="321"/>
      <c r="I5980" s="385"/>
      <c r="J5980" s="392"/>
      <c r="K5980" s="385"/>
      <c r="L5980" s="392"/>
      <c r="M5980" s="62"/>
      <c r="N5980" s="63"/>
      <c r="O5980" s="63"/>
      <c r="P5980" s="79" t="str">
        <f>IF(AND('331-CT'!$E$7=TH!H5980,OR(N5980="331",O5980="331")),"x","")</f>
        <v/>
      </c>
      <c r="Q5980" s="79" t="str">
        <f>IF(AND(B5980='111'!$L$11,OR($N5980=$Q$7,$O5980=$Q$7)),"x","")</f>
        <v/>
      </c>
      <c r="R5980" s="79" t="str">
        <f>IF(AND($N5980=$Q$7,$B5980&lt;'111'!$L$11),"x","")</f>
        <v/>
      </c>
      <c r="S5980" s="79" t="str">
        <f>IF(AND($O5980=$Q$7,$B5980&lt;'111'!$L$11),"x","")</f>
        <v/>
      </c>
      <c r="T5980" s="79" t="str">
        <f>IF(ISERROR(FIND('112'!$M$9,G5980,1)),"",IF((AND(FIND('112'!$M$9,G5980,1)&gt;=1,B5980='112'!$K$9,OR($N5980='112'!$I$6,$O5980='112'!$I$6))),"x",""))</f>
        <v/>
      </c>
      <c r="U5980" s="79" t="str">
        <f>IF(ISERROR(FIND('112'!$M$9,G5980,1)),"",IF((AND(LEFT(G5980,2)=LEFT('112'!$M$9,2),B5980&lt;'112'!$K$9,$N5980='112'!$I$6)),"x",""))</f>
        <v/>
      </c>
      <c r="V5980" s="79" t="str">
        <f>IF(ISERROR(FIND('112'!$M$9,G5980,1)),"",IF((AND(RIGHT(G5980,2)=RIGHT('112'!$M$9,2),B5980&lt;'112'!$K$9,$O5980='112'!$I$6)),"x",""))</f>
        <v/>
      </c>
      <c r="W5980" s="79" t="str">
        <f>IF(AND('341-CT'!$H$9=H5980,OR(LEFT(N5980,3)=$W$7,LEFT(O5980,3)=$W$7)),"x","")</f>
        <v/>
      </c>
      <c r="X5980" s="79" t="str">
        <f>IF(OR(TH!N5980=TH!$X$7,O5980=TH!$X$7),"x","")</f>
        <v/>
      </c>
      <c r="Y5980" s="79" t="str">
        <f>IF(AND(OR(N5980="131",O5980="131"),H5980='131-CT'!$H$9),"x","")</f>
        <v/>
      </c>
      <c r="Z5980" s="79"/>
      <c r="AA5980" s="79" t="str">
        <f>IF(AND(MONTH(E5980)='IN-NX'!$J$5,'IN-NX'!$D$7=D5980),"x","")</f>
        <v/>
      </c>
      <c r="AB5980" s="79" t="str">
        <f>IF(AND(OR(LEFT(TH!N5980,2)="15",LEFT(TH!O5980,2)="15"),LEFT(TH!O5980,3)&lt;&gt;"111",'152-CT'!$J$8=TH!F5980),"x","")</f>
        <v/>
      </c>
      <c r="AC5980" s="79" t="str">
        <f>IF(AND(OR(LEFT(TH!N5980,2)="15",LEFT(TH!O5980,2)="15"),TK!$E$7=TH!F5980),"x","")</f>
        <v/>
      </c>
      <c r="AD5980" s="79" t="str">
        <f>IF(AND(N5980="1521",MONTH(C5980)='BK-NL'!$M$11),"x","")</f>
        <v/>
      </c>
    </row>
    <row r="5981" spans="1:30" ht="16.5" customHeight="1">
      <c r="A5981" s="318" t="str">
        <f>IF(B5981&lt;&gt;"",IF(AND(B5981='IN-TC'!$S$4,OR(TH!N5981="1111",TH!O5981="1111")),TH!D5981,""),"")</f>
        <v/>
      </c>
      <c r="B5981" s="60" t="str">
        <f t="shared" si="514"/>
        <v/>
      </c>
      <c r="C5981" s="61"/>
      <c r="D5981" s="61"/>
      <c r="E5981" s="61"/>
      <c r="F5981" s="69"/>
      <c r="G5981" s="766"/>
      <c r="H5981" s="321"/>
      <c r="I5981" s="385"/>
      <c r="J5981" s="392"/>
      <c r="K5981" s="385"/>
      <c r="L5981" s="392"/>
      <c r="M5981" s="62"/>
      <c r="N5981" s="63"/>
      <c r="O5981" s="63"/>
      <c r="P5981" s="79" t="str">
        <f>IF(AND('331-CT'!$E$7=TH!H5981,OR(N5981="331",O5981="331")),"x","")</f>
        <v/>
      </c>
      <c r="Q5981" s="79" t="str">
        <f>IF(AND(B5981='111'!$L$11,OR($N5981=$Q$7,$O5981=$Q$7)),"x","")</f>
        <v/>
      </c>
      <c r="R5981" s="79" t="str">
        <f>IF(AND($N5981=$Q$7,$B5981&lt;'111'!$L$11),"x","")</f>
        <v/>
      </c>
      <c r="S5981" s="79" t="str">
        <f>IF(AND($O5981=$Q$7,$B5981&lt;'111'!$L$11),"x","")</f>
        <v/>
      </c>
      <c r="T5981" s="79" t="str">
        <f>IF(ISERROR(FIND('112'!$M$9,G5981,1)),"",IF((AND(FIND('112'!$M$9,G5981,1)&gt;=1,B5981='112'!$K$9,OR($N5981='112'!$I$6,$O5981='112'!$I$6))),"x",""))</f>
        <v/>
      </c>
      <c r="U5981" s="79" t="str">
        <f>IF(ISERROR(FIND('112'!$M$9,G5981,1)),"",IF((AND(LEFT(G5981,2)=LEFT('112'!$M$9,2),B5981&lt;'112'!$K$9,$N5981='112'!$I$6)),"x",""))</f>
        <v/>
      </c>
      <c r="V5981" s="79" t="str">
        <f>IF(ISERROR(FIND('112'!$M$9,G5981,1)),"",IF((AND(RIGHT(G5981,2)=RIGHT('112'!$M$9,2),B5981&lt;'112'!$K$9,$O5981='112'!$I$6)),"x",""))</f>
        <v/>
      </c>
      <c r="W5981" s="79" t="str">
        <f>IF(AND('341-CT'!$H$9=H5981,OR(LEFT(N5981,3)=$W$7,LEFT(O5981,3)=$W$7)),"x","")</f>
        <v/>
      </c>
      <c r="X5981" s="79" t="str">
        <f>IF(OR(TH!N5981=TH!$X$7,O5981=TH!$X$7),"x","")</f>
        <v/>
      </c>
      <c r="Y5981" s="79" t="str">
        <f>IF(AND(OR(N5981="131",O5981="131"),H5981='131-CT'!$H$9),"x","")</f>
        <v/>
      </c>
      <c r="Z5981" s="79"/>
      <c r="AA5981" s="79" t="str">
        <f>IF(AND(MONTH(E5981)='IN-NX'!$J$5,'IN-NX'!$D$7=D5981),"x","")</f>
        <v/>
      </c>
      <c r="AB5981" s="79" t="str">
        <f>IF(AND(OR(LEFT(TH!N5981,2)="15",LEFT(TH!O5981,2)="15"),LEFT(TH!O5981,3)&lt;&gt;"111",'152-CT'!$J$8=TH!F5981),"x","")</f>
        <v/>
      </c>
      <c r="AC5981" s="79" t="str">
        <f>IF(AND(OR(LEFT(TH!N5981,2)="15",LEFT(TH!O5981,2)="15"),TK!$E$7=TH!F5981),"x","")</f>
        <v/>
      </c>
      <c r="AD5981" s="79" t="str">
        <f>IF(AND(N5981="1521",MONTH(C5981)='BK-NL'!$M$11),"x","")</f>
        <v/>
      </c>
    </row>
    <row r="5982" spans="1:30" ht="16.5" customHeight="1">
      <c r="A5982" s="318" t="str">
        <f>IF(B5982&lt;&gt;"",IF(AND(B5982='IN-TC'!$S$4,OR(TH!N5982="1111",TH!O5982="1111")),TH!D5982,""),"")</f>
        <v/>
      </c>
      <c r="B5982" s="60" t="str">
        <f t="shared" si="514"/>
        <v/>
      </c>
      <c r="C5982" s="301"/>
      <c r="D5982" s="301"/>
      <c r="E5982" s="301"/>
      <c r="F5982" s="69"/>
      <c r="G5982" s="769"/>
      <c r="H5982" s="303"/>
      <c r="I5982" s="385"/>
      <c r="J5982" s="392"/>
      <c r="K5982" s="385"/>
      <c r="L5982" s="392"/>
      <c r="M5982" s="62"/>
      <c r="N5982" s="304"/>
      <c r="O5982" s="304"/>
      <c r="P5982" s="79" t="str">
        <f>IF(AND('331-CT'!$E$7=TH!H5982,OR(N5982="331",O5982="331")),"x","")</f>
        <v/>
      </c>
      <c r="Q5982" s="79" t="str">
        <f>IF(AND(B5982='111'!$L$11,OR($N5982=$Q$7,$O5982=$Q$7)),"x","")</f>
        <v/>
      </c>
      <c r="R5982" s="79" t="str">
        <f>IF(AND($N5982=$Q$7,$B5982&lt;'111'!$L$11),"x","")</f>
        <v/>
      </c>
      <c r="S5982" s="79" t="str">
        <f>IF(AND($O5982=$Q$7,$B5982&lt;'111'!$L$11),"x","")</f>
        <v/>
      </c>
      <c r="T5982" s="79" t="str">
        <f>IF(ISERROR(FIND('112'!$M$9,G5982,1)),"",IF((AND(FIND('112'!$M$9,G5982,1)&gt;=1,B5982='112'!$K$9,OR($N5982='112'!$I$6,$O5982='112'!$I$6))),"x",""))</f>
        <v/>
      </c>
      <c r="U5982" s="79" t="str">
        <f>IF(ISERROR(FIND('112'!$M$9,G5982,1)),"",IF((AND(LEFT(G5982,2)=LEFT('112'!$M$9,2),B5982&lt;'112'!$K$9,$N5982='112'!$I$6)),"x",""))</f>
        <v/>
      </c>
      <c r="V5982" s="79" t="str">
        <f>IF(ISERROR(FIND('112'!$M$9,G5982,1)),"",IF((AND(RIGHT(G5982,2)=RIGHT('112'!$M$9,2),B5982&lt;'112'!$K$9,$O5982='112'!$I$6)),"x",""))</f>
        <v/>
      </c>
      <c r="W5982" s="79" t="str">
        <f>IF(AND('341-CT'!$H$9=H5982,OR(LEFT(N5982,3)=$W$7,LEFT(O5982,3)=$W$7)),"x","")</f>
        <v/>
      </c>
      <c r="X5982" s="79" t="str">
        <f>IF(OR(TH!N5982=TH!$X$7,O5982=TH!$X$7),"x","")</f>
        <v/>
      </c>
      <c r="Y5982" s="79" t="str">
        <f>IF(AND(OR(N5982="131",O5982="131"),H5982='131-CT'!$H$9),"x","")</f>
        <v/>
      </c>
      <c r="Z5982" s="79"/>
      <c r="AA5982" s="79" t="str">
        <f>IF(AND(MONTH(E5982)='IN-NX'!$J$5,'IN-NX'!$D$7=D5982),"x","")</f>
        <v/>
      </c>
      <c r="AB5982" s="79" t="str">
        <f>IF(AND(OR(LEFT(TH!N5982,2)="15",LEFT(TH!O5982,2)="15"),LEFT(TH!O5982,3)&lt;&gt;"111",'152-CT'!$J$8=TH!F5982),"x","")</f>
        <v/>
      </c>
      <c r="AC5982" s="79" t="str">
        <f>IF(AND(OR(LEFT(TH!N5982,2)="15",LEFT(TH!O5982,2)="15"),TK!$E$7=TH!F5982),"x","")</f>
        <v/>
      </c>
      <c r="AD5982" s="79" t="str">
        <f>IF(AND(N5982="1521",MONTH(C5982)='BK-NL'!$M$11),"x","")</f>
        <v/>
      </c>
    </row>
    <row r="5983" spans="1:30" ht="16.5" customHeight="1">
      <c r="A5983" s="318" t="str">
        <f>IF(B5983&lt;&gt;"",IF(AND(B5983='IN-TC'!$S$4,OR(TH!N5983="1111",TH!O5983="1111")),TH!D5983,""),"")</f>
        <v/>
      </c>
      <c r="B5983" s="60" t="str">
        <f t="shared" si="514"/>
        <v/>
      </c>
      <c r="C5983" s="61"/>
      <c r="D5983" s="61"/>
      <c r="E5983" s="61"/>
      <c r="F5983" s="446"/>
      <c r="G5983" s="64"/>
      <c r="H5983" s="69"/>
      <c r="I5983" s="385"/>
      <c r="J5983" s="392"/>
      <c r="K5983" s="385"/>
      <c r="L5983" s="392"/>
      <c r="M5983" s="62"/>
      <c r="N5983" s="63"/>
      <c r="O5983" s="63"/>
      <c r="P5983" s="79" t="str">
        <f>IF(AND('331-CT'!$E$7=TH!H5983,OR(N5983="331",O5983="331")),"x","")</f>
        <v/>
      </c>
      <c r="Q5983" s="79" t="str">
        <f>IF(AND(B5983='111'!$L$11,OR($N5983=$Q$7,$O5983=$Q$7)),"x","")</f>
        <v/>
      </c>
      <c r="R5983" s="79" t="str">
        <f>IF(AND($N5983=$Q$7,$B5983&lt;'111'!$L$11),"x","")</f>
        <v/>
      </c>
      <c r="S5983" s="79" t="str">
        <f>IF(AND($O5983=$Q$7,$B5983&lt;'111'!$L$11),"x","")</f>
        <v/>
      </c>
      <c r="T5983" s="79" t="str">
        <f>IF(ISERROR(FIND('112'!$M$9,G5983,1)),"",IF((AND(FIND('112'!$M$9,G5983,1)&gt;=1,B5983='112'!$K$9,OR($N5983='112'!$I$6,$O5983='112'!$I$6))),"x",""))</f>
        <v/>
      </c>
      <c r="U5983" s="79" t="str">
        <f>IF(ISERROR(FIND('112'!$M$9,G5983,1)),"",IF((AND(LEFT(G5983,2)=LEFT('112'!$M$9,2),B5983&lt;'112'!$K$9,$N5983='112'!$I$6)),"x",""))</f>
        <v/>
      </c>
      <c r="V5983" s="79" t="str">
        <f>IF(ISERROR(FIND('112'!$M$9,G5983,1)),"",IF((AND(RIGHT(G5983,2)=RIGHT('112'!$M$9,2),B5983&lt;'112'!$K$9,$O5983='112'!$I$6)),"x",""))</f>
        <v/>
      </c>
      <c r="W5983" s="79" t="str">
        <f>IF(AND('341-CT'!$H$9=H5983,OR(LEFT(N5983,3)=$W$7,LEFT(O5983,3)=$W$7)),"x","")</f>
        <v/>
      </c>
      <c r="X5983" s="79" t="str">
        <f>IF(OR(TH!N5983=TH!$X$7,O5983=TH!$X$7),"x","")</f>
        <v/>
      </c>
      <c r="Y5983" s="79" t="str">
        <f>IF(AND(OR(N5983="131",O5983="131"),H5983='131-CT'!$H$9),"x","")</f>
        <v/>
      </c>
      <c r="Z5983" s="79"/>
      <c r="AA5983" s="79" t="str">
        <f>IF(AND(MONTH(E5983)='IN-NX'!$J$5,'IN-NX'!$D$7=D5983),"x","")</f>
        <v/>
      </c>
      <c r="AB5983" s="79" t="str">
        <f>IF(AND(OR(LEFT(TH!N5983,2)="15",LEFT(TH!O5983,2)="15"),LEFT(TH!O5983,3)&lt;&gt;"111",'152-CT'!$J$8=TH!F5983),"x","")</f>
        <v/>
      </c>
      <c r="AC5983" s="79" t="str">
        <f>IF(AND(OR(LEFT(TH!N5983,2)="15",LEFT(TH!O5983,2)="15"),TK!$E$7=TH!F5983),"x","")</f>
        <v/>
      </c>
      <c r="AD5983" s="79" t="str">
        <f>IF(AND(N5983="1521",MONTH(C5983)='BK-NL'!$M$11),"x","")</f>
        <v/>
      </c>
    </row>
    <row r="5984" spans="1:30" ht="16.5" customHeight="1">
      <c r="A5984" s="318" t="str">
        <f>IF(B5984&lt;&gt;"",IF(AND(B5984='IN-TC'!$S$4,OR(TH!N5984="1111",TH!O5984="1111")),TH!D5984,""),"")</f>
        <v/>
      </c>
      <c r="B5984" s="60" t="str">
        <f t="shared" si="514"/>
        <v/>
      </c>
      <c r="C5984" s="61"/>
      <c r="D5984" s="61"/>
      <c r="E5984" s="61"/>
      <c r="F5984" s="446"/>
      <c r="G5984" s="64"/>
      <c r="H5984" s="69"/>
      <c r="I5984" s="385"/>
      <c r="J5984" s="392"/>
      <c r="K5984" s="385"/>
      <c r="L5984" s="392"/>
      <c r="M5984" s="62"/>
      <c r="N5984" s="63"/>
      <c r="O5984" s="63"/>
      <c r="P5984" s="79" t="str">
        <f>IF(AND('331-CT'!$E$7=TH!H5984,OR(N5984="331",O5984="331")),"x","")</f>
        <v/>
      </c>
      <c r="Q5984" s="79" t="str">
        <f>IF(AND(B5984='111'!$L$11,OR($N5984=$Q$7,$O5984=$Q$7)),"x","")</f>
        <v/>
      </c>
      <c r="R5984" s="79" t="str">
        <f>IF(AND($N5984=$Q$7,$B5984&lt;'111'!$L$11),"x","")</f>
        <v/>
      </c>
      <c r="S5984" s="79" t="str">
        <f>IF(AND($O5984=$Q$7,$B5984&lt;'111'!$L$11),"x","")</f>
        <v/>
      </c>
      <c r="T5984" s="79" t="str">
        <f>IF(ISERROR(FIND('112'!$M$9,G5984,1)),"",IF((AND(FIND('112'!$M$9,G5984,1)&gt;=1,B5984='112'!$K$9,OR($N5984='112'!$I$6,$O5984='112'!$I$6))),"x",""))</f>
        <v/>
      </c>
      <c r="U5984" s="79" t="str">
        <f>IF(ISERROR(FIND('112'!$M$9,G5984,1)),"",IF((AND(LEFT(G5984,2)=LEFT('112'!$M$9,2),B5984&lt;'112'!$K$9,$N5984='112'!$I$6)),"x",""))</f>
        <v/>
      </c>
      <c r="V5984" s="79" t="str">
        <f>IF(ISERROR(FIND('112'!$M$9,G5984,1)),"",IF((AND(RIGHT(G5984,2)=RIGHT('112'!$M$9,2),B5984&lt;'112'!$K$9,$O5984='112'!$I$6)),"x",""))</f>
        <v/>
      </c>
      <c r="W5984" s="79" t="str">
        <f>IF(AND('341-CT'!$H$9=H5984,OR(LEFT(N5984,3)=$W$7,LEFT(O5984,3)=$W$7)),"x","")</f>
        <v/>
      </c>
      <c r="X5984" s="79" t="str">
        <f>IF(OR(TH!N5984=TH!$X$7,O5984=TH!$X$7),"x","")</f>
        <v/>
      </c>
      <c r="Y5984" s="79" t="str">
        <f>IF(AND(OR(N5984="131",O5984="131"),H5984='131-CT'!$H$9),"x","")</f>
        <v/>
      </c>
      <c r="Z5984" s="79"/>
      <c r="AA5984" s="79" t="str">
        <f>IF(AND(MONTH(E5984)='IN-NX'!$J$5,'IN-NX'!$D$7=D5984),"x","")</f>
        <v/>
      </c>
      <c r="AB5984" s="79" t="str">
        <f>IF(AND(OR(LEFT(TH!N5984,2)="15",LEFT(TH!O5984,2)="15"),LEFT(TH!O5984,3)&lt;&gt;"111",'152-CT'!$J$8=TH!F5984),"x","")</f>
        <v/>
      </c>
      <c r="AC5984" s="79" t="str">
        <f>IF(AND(OR(LEFT(TH!N5984,2)="15",LEFT(TH!O5984,2)="15"),TK!$E$7=TH!F5984),"x","")</f>
        <v/>
      </c>
      <c r="AD5984" s="79" t="str">
        <f>IF(AND(N5984="1521",MONTH(C5984)='BK-NL'!$M$11),"x","")</f>
        <v/>
      </c>
    </row>
    <row r="5985" spans="1:30" ht="16.5" customHeight="1">
      <c r="A5985" s="318" t="str">
        <f>IF(B5985&lt;&gt;"",IF(AND(B5985='IN-TC'!$S$4,OR(TH!N5985="1111",TH!O5985="1111")),TH!D5985,""),"")</f>
        <v/>
      </c>
      <c r="B5985" s="60" t="str">
        <f t="shared" si="514"/>
        <v/>
      </c>
      <c r="C5985" s="61"/>
      <c r="D5985" s="61"/>
      <c r="E5985" s="61"/>
      <c r="F5985" s="446"/>
      <c r="G5985" s="64"/>
      <c r="H5985" s="321"/>
      <c r="I5985" s="387"/>
      <c r="J5985" s="394"/>
      <c r="K5985" s="387"/>
      <c r="L5985" s="394"/>
      <c r="M5985" s="62"/>
      <c r="N5985" s="63"/>
      <c r="O5985" s="63"/>
      <c r="P5985" s="79" t="str">
        <f>IF(AND('331-CT'!$E$7=TH!H5985,OR(N5985="331",O5985="331")),"x","")</f>
        <v/>
      </c>
      <c r="Q5985" s="79" t="str">
        <f>IF(AND(B5985='111'!$L$11,OR($N5985=$Q$7,$O5985=$Q$7)),"x","")</f>
        <v/>
      </c>
      <c r="R5985" s="79" t="str">
        <f>IF(AND($N5985=$Q$7,$B5985&lt;'111'!$L$11),"x","")</f>
        <v/>
      </c>
      <c r="S5985" s="79" t="str">
        <f>IF(AND($O5985=$Q$7,$B5985&lt;'111'!$L$11),"x","")</f>
        <v/>
      </c>
      <c r="T5985" s="79" t="str">
        <f>IF(ISERROR(FIND('112'!$M$9,G5985,1)),"",IF((AND(FIND('112'!$M$9,G5985,1)&gt;=1,B5985='112'!$K$9,OR($N5985='112'!$I$6,$O5985='112'!$I$6))),"x",""))</f>
        <v/>
      </c>
      <c r="U5985" s="79" t="str">
        <f>IF(ISERROR(FIND('112'!$M$9,G5985,1)),"",IF((AND(LEFT(G5985,2)=LEFT('112'!$M$9,2),B5985&lt;'112'!$K$9,$N5985='112'!$I$6)),"x",""))</f>
        <v/>
      </c>
      <c r="V5985" s="79" t="str">
        <f>IF(ISERROR(FIND('112'!$M$9,G5985,1)),"",IF((AND(RIGHT(G5985,2)=RIGHT('112'!$M$9,2),B5985&lt;'112'!$K$9,$O5985='112'!$I$6)),"x",""))</f>
        <v/>
      </c>
      <c r="W5985" s="79" t="str">
        <f>IF(AND('341-CT'!$H$9=H5985,OR(LEFT(N5985,3)=$W$7,LEFT(O5985,3)=$W$7)),"x","")</f>
        <v/>
      </c>
      <c r="X5985" s="79" t="str">
        <f>IF(OR(TH!N5985=TH!$X$7,O5985=TH!$X$7),"x","")</f>
        <v/>
      </c>
      <c r="Y5985" s="79" t="str">
        <f>IF(AND(OR(N5985="131",O5985="131"),H5985='131-CT'!$H$9),"x","")</f>
        <v/>
      </c>
      <c r="Z5985" s="79"/>
      <c r="AA5985" s="79" t="str">
        <f>IF(AND(MONTH(E5985)='IN-NX'!$J$5,'IN-NX'!$D$7=D5985),"x","")</f>
        <v/>
      </c>
      <c r="AB5985" s="79" t="str">
        <f>IF(AND(OR(LEFT(TH!N5985,2)="15",LEFT(TH!O5985,2)="15"),LEFT(TH!O5985,3)&lt;&gt;"111",'152-CT'!$J$8=TH!F5985),"x","")</f>
        <v/>
      </c>
      <c r="AC5985" s="79" t="str">
        <f>IF(AND(OR(LEFT(TH!N5985,2)="15",LEFT(TH!O5985,2)="15"),TK!$E$7=TH!F5985),"x","")</f>
        <v/>
      </c>
      <c r="AD5985" s="79" t="str">
        <f>IF(AND(N5985="1521",MONTH(C5985)='BK-NL'!$M$11),"x","")</f>
        <v/>
      </c>
    </row>
    <row r="5986" spans="1:30" ht="16.5" customHeight="1">
      <c r="A5986" s="318" t="str">
        <f>IF(B5986&lt;&gt;"",IF(AND(B5986='IN-TC'!$S$4,OR(TH!N5986="1111",TH!O5986="1111")),TH!D5986,""),"")</f>
        <v/>
      </c>
      <c r="B5986" s="60" t="str">
        <f t="shared" si="514"/>
        <v/>
      </c>
      <c r="C5986" s="301"/>
      <c r="D5986" s="61"/>
      <c r="E5986" s="301"/>
      <c r="F5986" s="446"/>
      <c r="G5986" s="769"/>
      <c r="H5986" s="303"/>
      <c r="I5986" s="385"/>
      <c r="J5986" s="392"/>
      <c r="K5986" s="385"/>
      <c r="L5986" s="392"/>
      <c r="M5986" s="62"/>
      <c r="N5986" s="304"/>
      <c r="O5986" s="63"/>
      <c r="P5986" s="79" t="str">
        <f>IF(AND('331-CT'!$E$7=TH!H5986,OR(N5986="331",O5986="331")),"x","")</f>
        <v/>
      </c>
      <c r="Q5986" s="79" t="str">
        <f>IF(AND(B5986='111'!$L$11,OR($N5986=$Q$7,$O5986=$Q$7)),"x","")</f>
        <v/>
      </c>
      <c r="R5986" s="79" t="str">
        <f>IF(AND($N5986=$Q$7,$B5986&lt;'111'!$L$11),"x","")</f>
        <v/>
      </c>
      <c r="S5986" s="79" t="str">
        <f>IF(AND($O5986=$Q$7,$B5986&lt;'111'!$L$11),"x","")</f>
        <v/>
      </c>
      <c r="T5986" s="79" t="str">
        <f>IF(ISERROR(FIND('112'!$M$9,G5986,1)),"",IF((AND(FIND('112'!$M$9,G5986,1)&gt;=1,B5986='112'!$K$9,OR($N5986='112'!$I$6,$O5986='112'!$I$6))),"x",""))</f>
        <v/>
      </c>
      <c r="U5986" s="79" t="str">
        <f>IF(ISERROR(FIND('112'!$M$9,G5986,1)),"",IF((AND(LEFT(G5986,2)=LEFT('112'!$M$9,2),B5986&lt;'112'!$K$9,$N5986='112'!$I$6)),"x",""))</f>
        <v/>
      </c>
      <c r="V5986" s="79" t="str">
        <f>IF(ISERROR(FIND('112'!$M$9,G5986,1)),"",IF((AND(RIGHT(G5986,2)=RIGHT('112'!$M$9,2),B5986&lt;'112'!$K$9,$O5986='112'!$I$6)),"x",""))</f>
        <v/>
      </c>
      <c r="W5986" s="79" t="str">
        <f>IF(AND('341-CT'!$H$9=H5986,OR(LEFT(N5986,3)=$W$7,LEFT(O5986,3)=$W$7)),"x","")</f>
        <v/>
      </c>
      <c r="X5986" s="79" t="str">
        <f>IF(OR(TH!N5986=TH!$X$7,O5986=TH!$X$7),"x","")</f>
        <v/>
      </c>
      <c r="Y5986" s="79" t="str">
        <f>IF(AND(OR(N5986="131",O5986="131"),H5986='131-CT'!$H$9),"x","")</f>
        <v/>
      </c>
      <c r="Z5986" s="79"/>
      <c r="AA5986" s="79" t="str">
        <f>IF(AND(MONTH(E5986)='IN-NX'!$J$5,'IN-NX'!$D$7=D5986),"x","")</f>
        <v/>
      </c>
      <c r="AB5986" s="79" t="str">
        <f>IF(AND(OR(LEFT(TH!N5986,2)="15",LEFT(TH!O5986,2)="15"),LEFT(TH!O5986,3)&lt;&gt;"111",'152-CT'!$J$8=TH!F5986),"x","")</f>
        <v/>
      </c>
      <c r="AC5986" s="79" t="str">
        <f>IF(AND(OR(LEFT(TH!N5986,2)="15",LEFT(TH!O5986,2)="15"),TK!$E$7=TH!F5986),"x","")</f>
        <v/>
      </c>
      <c r="AD5986" s="79" t="str">
        <f>IF(AND(N5986="1521",MONTH(C5986)='BK-NL'!$M$11),"x","")</f>
        <v/>
      </c>
    </row>
    <row r="5987" spans="1:30" ht="16.5" customHeight="1">
      <c r="A5987" s="318" t="str">
        <f>IF(B5987&lt;&gt;"",IF(AND(B5987='IN-TC'!$S$4,OR(TH!N5987="1111",TH!O5987="1111")),TH!D5987,""),"")</f>
        <v/>
      </c>
      <c r="B5987" s="60" t="str">
        <f t="shared" si="514"/>
        <v/>
      </c>
      <c r="C5987" s="301"/>
      <c r="D5987" s="61"/>
      <c r="E5987" s="301"/>
      <c r="F5987" s="446"/>
      <c r="G5987" s="769"/>
      <c r="H5987" s="303"/>
      <c r="I5987" s="385"/>
      <c r="J5987" s="392"/>
      <c r="K5987" s="385"/>
      <c r="L5987" s="392"/>
      <c r="M5987" s="62"/>
      <c r="N5987" s="304"/>
      <c r="O5987" s="63"/>
      <c r="P5987" s="79" t="str">
        <f>IF(AND('331-CT'!$E$7=TH!H5987,OR(N5987="331",O5987="331")),"x","")</f>
        <v/>
      </c>
      <c r="Q5987" s="79" t="str">
        <f>IF(AND(B5987='111'!$L$11,OR($N5987=$Q$7,$O5987=$Q$7)),"x","")</f>
        <v/>
      </c>
      <c r="R5987" s="79" t="str">
        <f>IF(AND($N5987=$Q$7,$B5987&lt;'111'!$L$11),"x","")</f>
        <v/>
      </c>
      <c r="S5987" s="79" t="str">
        <f>IF(AND($O5987=$Q$7,$B5987&lt;'111'!$L$11),"x","")</f>
        <v/>
      </c>
      <c r="T5987" s="79" t="str">
        <f>IF(ISERROR(FIND('112'!$M$9,G5987,1)),"",IF((AND(FIND('112'!$M$9,G5987,1)&gt;=1,B5987='112'!$K$9,OR($N5987='112'!$I$6,$O5987='112'!$I$6))),"x",""))</f>
        <v/>
      </c>
      <c r="U5987" s="79" t="str">
        <f>IF(ISERROR(FIND('112'!$M$9,G5987,1)),"",IF((AND(LEFT(G5987,2)=LEFT('112'!$M$9,2),B5987&lt;'112'!$K$9,$N5987='112'!$I$6)),"x",""))</f>
        <v/>
      </c>
      <c r="V5987" s="79" t="str">
        <f>IF(ISERROR(FIND('112'!$M$9,G5987,1)),"",IF((AND(RIGHT(G5987,2)=RIGHT('112'!$M$9,2),B5987&lt;'112'!$K$9,$O5987='112'!$I$6)),"x",""))</f>
        <v/>
      </c>
      <c r="W5987" s="79" t="str">
        <f>IF(AND('341-CT'!$H$9=H5987,OR(LEFT(N5987,3)=$W$7,LEFT(O5987,3)=$W$7)),"x","")</f>
        <v/>
      </c>
      <c r="X5987" s="79" t="str">
        <f>IF(OR(TH!N5987=TH!$X$7,O5987=TH!$X$7),"x","")</f>
        <v/>
      </c>
      <c r="Y5987" s="79" t="str">
        <f>IF(AND(OR(N5987="131",O5987="131"),H5987='131-CT'!$H$9),"x","")</f>
        <v/>
      </c>
      <c r="Z5987" s="79"/>
      <c r="AA5987" s="79" t="str">
        <f>IF(AND(MONTH(E5987)='IN-NX'!$J$5,'IN-NX'!$D$7=D5987),"x","")</f>
        <v/>
      </c>
      <c r="AB5987" s="79" t="str">
        <f>IF(AND(OR(LEFT(TH!N5987,2)="15",LEFT(TH!O5987,2)="15"),LEFT(TH!O5987,3)&lt;&gt;"111",'152-CT'!$J$8=TH!F5987),"x","")</f>
        <v/>
      </c>
      <c r="AC5987" s="79" t="str">
        <f>IF(AND(OR(LEFT(TH!N5987,2)="15",LEFT(TH!O5987,2)="15"),TK!$E$7=TH!F5987),"x","")</f>
        <v/>
      </c>
      <c r="AD5987" s="79" t="str">
        <f>IF(AND(N5987="1521",MONTH(C5987)='BK-NL'!$M$11),"x","")</f>
        <v/>
      </c>
    </row>
    <row r="5988" spans="1:30" ht="16.5" customHeight="1">
      <c r="A5988" s="318" t="str">
        <f>IF(B5988&lt;&gt;"",IF(AND(B5988='IN-TC'!$S$4,OR(TH!N5988="1111",TH!O5988="1111")),TH!D5988,""),"")</f>
        <v/>
      </c>
      <c r="B5988" s="60" t="str">
        <f t="shared" si="514"/>
        <v/>
      </c>
      <c r="C5988" s="61"/>
      <c r="D5988" s="61"/>
      <c r="E5988" s="61"/>
      <c r="F5988" s="69"/>
      <c r="G5988" s="766"/>
      <c r="H5988" s="321"/>
      <c r="I5988" s="385"/>
      <c r="J5988" s="392"/>
      <c r="K5988" s="385"/>
      <c r="L5988" s="392"/>
      <c r="M5988" s="62"/>
      <c r="N5988" s="63"/>
      <c r="O5988" s="63"/>
      <c r="P5988" s="79" t="str">
        <f>IF(AND('331-CT'!$E$7=TH!H5988,OR(N5988="331",O5988="331")),"x","")</f>
        <v/>
      </c>
      <c r="Q5988" s="79" t="str">
        <f>IF(AND(B5988='111'!$L$11,OR($N5988=$Q$7,$O5988=$Q$7)),"x","")</f>
        <v/>
      </c>
      <c r="R5988" s="79" t="str">
        <f>IF(AND($N5988=$Q$7,$B5988&lt;'111'!$L$11),"x","")</f>
        <v/>
      </c>
      <c r="S5988" s="79" t="str">
        <f>IF(AND($O5988=$Q$7,$B5988&lt;'111'!$L$11),"x","")</f>
        <v/>
      </c>
      <c r="T5988" s="79" t="str">
        <f>IF(ISERROR(FIND('112'!$M$9,G5988,1)),"",IF((AND(FIND('112'!$M$9,G5988,1)&gt;=1,B5988='112'!$K$9,OR($N5988='112'!$I$6,$O5988='112'!$I$6))),"x",""))</f>
        <v/>
      </c>
      <c r="U5988" s="79" t="str">
        <f>IF(ISERROR(FIND('112'!$M$9,G5988,1)),"",IF((AND(LEFT(G5988,2)=LEFT('112'!$M$9,2),B5988&lt;'112'!$K$9,$N5988='112'!$I$6)),"x",""))</f>
        <v/>
      </c>
      <c r="V5988" s="79" t="str">
        <f>IF(ISERROR(FIND('112'!$M$9,G5988,1)),"",IF((AND(RIGHT(G5988,2)=RIGHT('112'!$M$9,2),B5988&lt;'112'!$K$9,$O5988='112'!$I$6)),"x",""))</f>
        <v/>
      </c>
      <c r="W5988" s="79" t="str">
        <f>IF(AND('341-CT'!$H$9=H5988,OR(LEFT(N5988,3)=$W$7,LEFT(O5988,3)=$W$7)),"x","")</f>
        <v/>
      </c>
      <c r="X5988" s="79" t="str">
        <f>IF(OR(TH!N5988=TH!$X$7,O5988=TH!$X$7),"x","")</f>
        <v/>
      </c>
      <c r="Y5988" s="79" t="str">
        <f>IF(AND(OR(N5988="131",O5988="131"),H5988='131-CT'!$H$9),"x","")</f>
        <v/>
      </c>
      <c r="Z5988" s="79"/>
      <c r="AA5988" s="79" t="str">
        <f>IF(AND(MONTH(E5988)='IN-NX'!$J$5,'IN-NX'!$D$7=D5988),"x","")</f>
        <v/>
      </c>
      <c r="AB5988" s="79" t="str">
        <f>IF(AND(OR(LEFT(TH!N5988,2)="15",LEFT(TH!O5988,2)="15"),LEFT(TH!O5988,3)&lt;&gt;"111",'152-CT'!$J$8=TH!F5988),"x","")</f>
        <v/>
      </c>
      <c r="AC5988" s="79" t="str">
        <f>IF(AND(OR(LEFT(TH!N5988,2)="15",LEFT(TH!O5988,2)="15"),TK!$E$7=TH!F5988),"x","")</f>
        <v/>
      </c>
      <c r="AD5988" s="79" t="str">
        <f>IF(AND(N5988="1521",MONTH(C5988)='BK-NL'!$M$11),"x","")</f>
        <v/>
      </c>
    </row>
    <row r="5989" spans="1:30" ht="16.5" customHeight="1">
      <c r="A5989" s="318" t="str">
        <f>IF(B5989&lt;&gt;"",IF(AND(B5989='IN-TC'!$S$4,OR(TH!N5989="1111",TH!O5989="1111")),TH!D5989,""),"")</f>
        <v/>
      </c>
      <c r="B5989" s="60" t="str">
        <f t="shared" si="514"/>
        <v/>
      </c>
      <c r="C5989" s="61"/>
      <c r="D5989" s="61"/>
      <c r="E5989" s="61"/>
      <c r="F5989" s="69"/>
      <c r="G5989" s="766"/>
      <c r="H5989" s="321"/>
      <c r="I5989" s="385"/>
      <c r="J5989" s="392"/>
      <c r="K5989" s="385"/>
      <c r="L5989" s="392"/>
      <c r="M5989" s="62"/>
      <c r="N5989" s="63"/>
      <c r="O5989" s="63"/>
      <c r="P5989" s="79" t="str">
        <f>IF(AND('331-CT'!$E$7=TH!H5989,OR(N5989="331",O5989="331")),"x","")</f>
        <v/>
      </c>
      <c r="Q5989" s="79" t="str">
        <f>IF(AND(B5989='111'!$L$11,OR($N5989=$Q$7,$O5989=$Q$7)),"x","")</f>
        <v/>
      </c>
      <c r="R5989" s="79" t="str">
        <f>IF(AND($N5989=$Q$7,$B5989&lt;'111'!$L$11),"x","")</f>
        <v/>
      </c>
      <c r="S5989" s="79" t="str">
        <f>IF(AND($O5989=$Q$7,$B5989&lt;'111'!$L$11),"x","")</f>
        <v/>
      </c>
      <c r="T5989" s="79" t="str">
        <f>IF(ISERROR(FIND('112'!$M$9,G5989,1)),"",IF((AND(FIND('112'!$M$9,G5989,1)&gt;=1,B5989='112'!$K$9,OR($N5989='112'!$I$6,$O5989='112'!$I$6))),"x",""))</f>
        <v/>
      </c>
      <c r="U5989" s="79" t="str">
        <f>IF(ISERROR(FIND('112'!$M$9,G5989,1)),"",IF((AND(LEFT(G5989,2)=LEFT('112'!$M$9,2),B5989&lt;'112'!$K$9,$N5989='112'!$I$6)),"x",""))</f>
        <v/>
      </c>
      <c r="V5989" s="79" t="str">
        <f>IF(ISERROR(FIND('112'!$M$9,G5989,1)),"",IF((AND(RIGHT(G5989,2)=RIGHT('112'!$M$9,2),B5989&lt;'112'!$K$9,$O5989='112'!$I$6)),"x",""))</f>
        <v/>
      </c>
      <c r="W5989" s="79" t="str">
        <f>IF(AND('341-CT'!$H$9=H5989,OR(LEFT(N5989,3)=$W$7,LEFT(O5989,3)=$W$7)),"x","")</f>
        <v/>
      </c>
      <c r="X5989" s="79" t="str">
        <f>IF(OR(TH!N5989=TH!$X$7,O5989=TH!$X$7),"x","")</f>
        <v/>
      </c>
      <c r="Y5989" s="79" t="str">
        <f>IF(AND(OR(N5989="131",O5989="131"),H5989='131-CT'!$H$9),"x","")</f>
        <v/>
      </c>
      <c r="Z5989" s="79"/>
      <c r="AA5989" s="79" t="str">
        <f>IF(AND(MONTH(E5989)='IN-NX'!$J$5,'IN-NX'!$D$7=D5989),"x","")</f>
        <v/>
      </c>
      <c r="AB5989" s="79" t="str">
        <f>IF(AND(OR(LEFT(TH!N5989,2)="15",LEFT(TH!O5989,2)="15"),LEFT(TH!O5989,3)&lt;&gt;"111",'152-CT'!$J$8=TH!F5989),"x","")</f>
        <v/>
      </c>
      <c r="AC5989" s="79" t="str">
        <f>IF(AND(OR(LEFT(TH!N5989,2)="15",LEFT(TH!O5989,2)="15"),TK!$E$7=TH!F5989),"x","")</f>
        <v/>
      </c>
      <c r="AD5989" s="79" t="str">
        <f>IF(AND(N5989="1521",MONTH(C5989)='BK-NL'!$M$11),"x","")</f>
        <v/>
      </c>
    </row>
    <row r="5990" spans="1:30" ht="16.5" customHeight="1">
      <c r="A5990" s="318" t="str">
        <f>IF(B5990&lt;&gt;"",IF(AND(B5990='IN-TC'!$S$4,OR(TH!N5990="1111",TH!O5990="1111")),TH!D5990,""),"")</f>
        <v/>
      </c>
      <c r="B5990" s="60" t="str">
        <f t="shared" si="514"/>
        <v/>
      </c>
      <c r="C5990" s="61"/>
      <c r="D5990" s="61"/>
      <c r="E5990" s="61"/>
      <c r="F5990" s="69"/>
      <c r="G5990" s="766"/>
      <c r="H5990" s="69"/>
      <c r="I5990" s="385"/>
      <c r="J5990" s="392"/>
      <c r="K5990" s="385"/>
      <c r="L5990" s="392"/>
      <c r="M5990" s="62"/>
      <c r="N5990" s="63"/>
      <c r="O5990" s="63"/>
      <c r="P5990" s="79" t="str">
        <f>IF(AND('331-CT'!$E$7=TH!H5990,OR(N5990="331",O5990="331")),"x","")</f>
        <v/>
      </c>
      <c r="Q5990" s="79" t="str">
        <f>IF(AND(B5990='111'!$L$11,OR($N5990=$Q$7,$O5990=$Q$7)),"x","")</f>
        <v/>
      </c>
      <c r="R5990" s="79" t="str">
        <f>IF(AND($N5990=$Q$7,$B5990&lt;'111'!$L$11),"x","")</f>
        <v/>
      </c>
      <c r="S5990" s="79" t="str">
        <f>IF(AND($O5990=$Q$7,$B5990&lt;'111'!$L$11),"x","")</f>
        <v/>
      </c>
      <c r="T5990" s="79" t="str">
        <f>IF(ISERROR(FIND('112'!$M$9,G5990,1)),"",IF((AND(FIND('112'!$M$9,G5990,1)&gt;=1,B5990='112'!$K$9,OR($N5990='112'!$I$6,$O5990='112'!$I$6))),"x",""))</f>
        <v/>
      </c>
      <c r="U5990" s="79" t="str">
        <f>IF(ISERROR(FIND('112'!$M$9,G5990,1)),"",IF((AND(LEFT(G5990,2)=LEFT('112'!$M$9,2),B5990&lt;'112'!$K$9,$N5990='112'!$I$6)),"x",""))</f>
        <v/>
      </c>
      <c r="V5990" s="79" t="str">
        <f>IF(ISERROR(FIND('112'!$M$9,G5990,1)),"",IF((AND(RIGHT(G5990,2)=RIGHT('112'!$M$9,2),B5990&lt;'112'!$K$9,$O5990='112'!$I$6)),"x",""))</f>
        <v/>
      </c>
      <c r="W5990" s="79" t="str">
        <f>IF(AND('341-CT'!$H$9=H5990,OR(LEFT(N5990,3)=$W$7,LEFT(O5990,3)=$W$7)),"x","")</f>
        <v/>
      </c>
      <c r="X5990" s="79" t="str">
        <f>IF(OR(TH!N5990=TH!$X$7,O5990=TH!$X$7),"x","")</f>
        <v/>
      </c>
      <c r="Y5990" s="79" t="str">
        <f>IF(AND(OR(N5990="131",O5990="131"),H5990='131-CT'!$H$9),"x","")</f>
        <v/>
      </c>
      <c r="Z5990" s="79"/>
      <c r="AA5990" s="79" t="str">
        <f>IF(AND(MONTH(E5990)='IN-NX'!$J$5,'IN-NX'!$D$7=D5990),"x","")</f>
        <v/>
      </c>
      <c r="AB5990" s="79" t="str">
        <f>IF(AND(OR(LEFT(TH!N5990,2)="15",LEFT(TH!O5990,2)="15"),LEFT(TH!O5990,3)&lt;&gt;"111",'152-CT'!$J$8=TH!F5990),"x","")</f>
        <v/>
      </c>
      <c r="AC5990" s="79" t="str">
        <f>IF(AND(OR(LEFT(TH!N5990,2)="15",LEFT(TH!O5990,2)="15"),TK!$E$7=TH!F5990),"x","")</f>
        <v/>
      </c>
      <c r="AD5990" s="79" t="str">
        <f>IF(AND(N5990="1521",MONTH(C5990)='BK-NL'!$M$11),"x","")</f>
        <v/>
      </c>
    </row>
    <row r="5991" spans="1:30" ht="16.5" customHeight="1">
      <c r="A5991" s="318" t="str">
        <f>IF(B5991&lt;&gt;"",IF(AND(B5991='IN-TC'!$S$4,OR(TH!N5991="1111",TH!O5991="1111")),TH!D5991,""),"")</f>
        <v/>
      </c>
      <c r="B5991" s="60" t="str">
        <f t="shared" si="514"/>
        <v/>
      </c>
      <c r="C5991" s="61"/>
      <c r="D5991" s="61"/>
      <c r="E5991" s="61"/>
      <c r="F5991" s="69"/>
      <c r="G5991" s="766"/>
      <c r="H5991" s="69"/>
      <c r="I5991" s="385"/>
      <c r="J5991" s="392"/>
      <c r="K5991" s="385"/>
      <c r="L5991" s="392"/>
      <c r="M5991" s="62"/>
      <c r="N5991" s="63"/>
      <c r="O5991" s="63"/>
      <c r="P5991" s="79" t="str">
        <f>IF(AND('331-CT'!$E$7=TH!H5991,OR(N5991="331",O5991="331")),"x","")</f>
        <v/>
      </c>
      <c r="Q5991" s="79" t="str">
        <f>IF(AND(B5991='111'!$L$11,OR($N5991=$Q$7,$O5991=$Q$7)),"x","")</f>
        <v/>
      </c>
      <c r="R5991" s="79" t="str">
        <f>IF(AND($N5991=$Q$7,$B5991&lt;'111'!$L$11),"x","")</f>
        <v/>
      </c>
      <c r="S5991" s="79" t="str">
        <f>IF(AND($O5991=$Q$7,$B5991&lt;'111'!$L$11),"x","")</f>
        <v/>
      </c>
      <c r="T5991" s="79" t="str">
        <f>IF(ISERROR(FIND('112'!$M$9,G5991,1)),"",IF((AND(FIND('112'!$M$9,G5991,1)&gt;=1,B5991='112'!$K$9,OR($N5991='112'!$I$6,$O5991='112'!$I$6))),"x",""))</f>
        <v/>
      </c>
      <c r="U5991" s="79" t="str">
        <f>IF(ISERROR(FIND('112'!$M$9,G5991,1)),"",IF((AND(LEFT(G5991,2)=LEFT('112'!$M$9,2),B5991&lt;'112'!$K$9,$N5991='112'!$I$6)),"x",""))</f>
        <v/>
      </c>
      <c r="V5991" s="79" t="str">
        <f>IF(ISERROR(FIND('112'!$M$9,G5991,1)),"",IF((AND(RIGHT(G5991,2)=RIGHT('112'!$M$9,2),B5991&lt;'112'!$K$9,$O5991='112'!$I$6)),"x",""))</f>
        <v/>
      </c>
      <c r="W5991" s="79" t="str">
        <f>IF(AND('341-CT'!$H$9=H5991,OR(LEFT(N5991,3)=$W$7,LEFT(O5991,3)=$W$7)),"x","")</f>
        <v/>
      </c>
      <c r="X5991" s="79" t="str">
        <f>IF(OR(TH!N5991=TH!$X$7,O5991=TH!$X$7),"x","")</f>
        <v/>
      </c>
      <c r="Y5991" s="79" t="str">
        <f>IF(AND(OR(N5991="131",O5991="131"),H5991='131-CT'!$H$9),"x","")</f>
        <v/>
      </c>
      <c r="Z5991" s="79"/>
      <c r="AA5991" s="79" t="str">
        <f>IF(AND(MONTH(E5991)='IN-NX'!$J$5,'IN-NX'!$D$7=D5991),"x","")</f>
        <v/>
      </c>
      <c r="AB5991" s="79" t="str">
        <f>IF(AND(OR(LEFT(TH!N5991,2)="15",LEFT(TH!O5991,2)="15"),LEFT(TH!O5991,3)&lt;&gt;"111",'152-CT'!$J$8=TH!F5991),"x","")</f>
        <v/>
      </c>
      <c r="AC5991" s="79" t="str">
        <f>IF(AND(OR(LEFT(TH!N5991,2)="15",LEFT(TH!O5991,2)="15"),TK!$E$7=TH!F5991),"x","")</f>
        <v/>
      </c>
      <c r="AD5991" s="79" t="str">
        <f>IF(AND(N5991="1521",MONTH(C5991)='BK-NL'!$M$11),"x","")</f>
        <v/>
      </c>
    </row>
    <row r="5992" spans="1:30" ht="16.5" customHeight="1">
      <c r="A5992" s="318" t="str">
        <f>IF(B5992&lt;&gt;"",IF(AND(B5992='IN-TC'!$S$4,OR(TH!N5992="1111",TH!O5992="1111")),TH!D5992,""),"")</f>
        <v/>
      </c>
      <c r="B5992" s="60" t="str">
        <f t="shared" si="514"/>
        <v/>
      </c>
      <c r="C5992" s="61"/>
      <c r="D5992" s="61"/>
      <c r="E5992" s="61"/>
      <c r="F5992" s="69"/>
      <c r="G5992" s="766"/>
      <c r="H5992" s="69"/>
      <c r="I5992" s="385"/>
      <c r="J5992" s="392"/>
      <c r="K5992" s="385"/>
      <c r="L5992" s="392"/>
      <c r="M5992" s="62"/>
      <c r="N5992" s="63"/>
      <c r="O5992" s="63"/>
      <c r="P5992" s="79" t="str">
        <f>IF(AND('331-CT'!$E$7=TH!H5992,OR(N5992="331",O5992="331")),"x","")</f>
        <v/>
      </c>
      <c r="Q5992" s="79" t="str">
        <f>IF(AND(B5992='111'!$L$11,OR($N5992=$Q$7,$O5992=$Q$7)),"x","")</f>
        <v/>
      </c>
      <c r="R5992" s="79" t="str">
        <f>IF(AND($N5992=$Q$7,$B5992&lt;'111'!$L$11),"x","")</f>
        <v/>
      </c>
      <c r="S5992" s="79" t="str">
        <f>IF(AND($O5992=$Q$7,$B5992&lt;'111'!$L$11),"x","")</f>
        <v/>
      </c>
      <c r="T5992" s="79" t="str">
        <f>IF(ISERROR(FIND('112'!$M$9,G5992,1)),"",IF((AND(FIND('112'!$M$9,G5992,1)&gt;=1,B5992='112'!$K$9,OR($N5992='112'!$I$6,$O5992='112'!$I$6))),"x",""))</f>
        <v/>
      </c>
      <c r="U5992" s="79" t="str">
        <f>IF(ISERROR(FIND('112'!$M$9,G5992,1)),"",IF((AND(LEFT(G5992,2)=LEFT('112'!$M$9,2),B5992&lt;'112'!$K$9,$N5992='112'!$I$6)),"x",""))</f>
        <v/>
      </c>
      <c r="V5992" s="79" t="str">
        <f>IF(ISERROR(FIND('112'!$M$9,G5992,1)),"",IF((AND(RIGHT(G5992,2)=RIGHT('112'!$M$9,2),B5992&lt;'112'!$K$9,$O5992='112'!$I$6)),"x",""))</f>
        <v/>
      </c>
      <c r="W5992" s="79" t="str">
        <f>IF(AND('341-CT'!$H$9=H5992,OR(LEFT(N5992,3)=$W$7,LEFT(O5992,3)=$W$7)),"x","")</f>
        <v/>
      </c>
      <c r="X5992" s="79" t="str">
        <f>IF(OR(TH!N5992=TH!$X$7,O5992=TH!$X$7),"x","")</f>
        <v/>
      </c>
      <c r="Y5992" s="79" t="str">
        <f>IF(AND(OR(N5992="131",O5992="131"),H5992='131-CT'!$H$9),"x","")</f>
        <v/>
      </c>
      <c r="Z5992" s="79"/>
      <c r="AA5992" s="79" t="str">
        <f>IF(AND(MONTH(E5992)='IN-NX'!$J$5,'IN-NX'!$D$7=D5992),"x","")</f>
        <v/>
      </c>
      <c r="AB5992" s="79" t="str">
        <f>IF(AND(OR(LEFT(TH!N5992,2)="15",LEFT(TH!O5992,2)="15"),LEFT(TH!O5992,3)&lt;&gt;"111",'152-CT'!$J$8=TH!F5992),"x","")</f>
        <v/>
      </c>
      <c r="AC5992" s="79" t="str">
        <f>IF(AND(OR(LEFT(TH!N5992,2)="15",LEFT(TH!O5992,2)="15"),TK!$E$7=TH!F5992),"x","")</f>
        <v/>
      </c>
      <c r="AD5992" s="79" t="str">
        <f>IF(AND(N5992="1521",MONTH(C5992)='BK-NL'!$M$11),"x","")</f>
        <v/>
      </c>
    </row>
    <row r="5993" spans="1:30" ht="16.5" customHeight="1">
      <c r="A5993" s="318" t="str">
        <f>IF(B5993&lt;&gt;"",IF(AND(B5993='IN-TC'!$S$4,OR(TH!N5993="1111",TH!O5993="1111")),TH!D5993,""),"")</f>
        <v/>
      </c>
      <c r="B5993" s="60" t="str">
        <f t="shared" si="514"/>
        <v/>
      </c>
      <c r="C5993" s="61"/>
      <c r="D5993" s="61"/>
      <c r="E5993" s="61"/>
      <c r="F5993" s="446"/>
      <c r="G5993" s="64"/>
      <c r="H5993" s="69"/>
      <c r="I5993" s="385"/>
      <c r="J5993" s="392"/>
      <c r="K5993" s="385"/>
      <c r="L5993" s="392"/>
      <c r="M5993" s="62"/>
      <c r="N5993" s="63"/>
      <c r="O5993" s="63"/>
      <c r="P5993" s="79" t="str">
        <f>IF(AND('331-CT'!$E$7=TH!H5993,OR(N5993="331",O5993="331")),"x","")</f>
        <v/>
      </c>
      <c r="Q5993" s="79" t="str">
        <f>IF(AND(B5993='111'!$L$11,OR($N5993=$Q$7,$O5993=$Q$7)),"x","")</f>
        <v/>
      </c>
      <c r="R5993" s="79" t="str">
        <f>IF(AND($N5993=$Q$7,$B5993&lt;'111'!$L$11),"x","")</f>
        <v/>
      </c>
      <c r="S5993" s="79" t="str">
        <f>IF(AND($O5993=$Q$7,$B5993&lt;'111'!$L$11),"x","")</f>
        <v/>
      </c>
      <c r="T5993" s="79" t="str">
        <f>IF(ISERROR(FIND('112'!$M$9,G5993,1)),"",IF((AND(FIND('112'!$M$9,G5993,1)&gt;=1,B5993='112'!$K$9,OR($N5993='112'!$I$6,$O5993='112'!$I$6))),"x",""))</f>
        <v/>
      </c>
      <c r="U5993" s="79" t="str">
        <f>IF(ISERROR(FIND('112'!$M$9,G5993,1)),"",IF((AND(LEFT(G5993,2)=LEFT('112'!$M$9,2),B5993&lt;'112'!$K$9,$N5993='112'!$I$6)),"x",""))</f>
        <v/>
      </c>
      <c r="V5993" s="79" t="str">
        <f>IF(ISERROR(FIND('112'!$M$9,G5993,1)),"",IF((AND(RIGHT(G5993,2)=RIGHT('112'!$M$9,2),B5993&lt;'112'!$K$9,$O5993='112'!$I$6)),"x",""))</f>
        <v/>
      </c>
      <c r="W5993" s="79" t="str">
        <f>IF(AND('341-CT'!$H$9=H5993,OR(LEFT(N5993,3)=$W$7,LEFT(O5993,3)=$W$7)),"x","")</f>
        <v/>
      </c>
      <c r="X5993" s="79" t="str">
        <f>IF(OR(TH!N5993=TH!$X$7,O5993=TH!$X$7),"x","")</f>
        <v/>
      </c>
      <c r="Y5993" s="79" t="str">
        <f>IF(AND(OR(N5993="131",O5993="131"),H5993='131-CT'!$H$9),"x","")</f>
        <v/>
      </c>
      <c r="Z5993" s="79"/>
      <c r="AA5993" s="79" t="str">
        <f>IF(AND(MONTH(E5993)='IN-NX'!$J$5,'IN-NX'!$D$7=D5993),"x","")</f>
        <v/>
      </c>
      <c r="AB5993" s="79" t="str">
        <f>IF(AND(OR(LEFT(TH!N5993,2)="15",LEFT(TH!O5993,2)="15"),LEFT(TH!O5993,3)&lt;&gt;"111",'152-CT'!$J$8=TH!F5993),"x","")</f>
        <v/>
      </c>
      <c r="AC5993" s="79" t="str">
        <f>IF(AND(OR(LEFT(TH!N5993,2)="15",LEFT(TH!O5993,2)="15"),TK!$E$7=TH!F5993),"x","")</f>
        <v/>
      </c>
      <c r="AD5993" s="79" t="str">
        <f>IF(AND(N5993="1521",MONTH(C5993)='BK-NL'!$M$11),"x","")</f>
        <v/>
      </c>
    </row>
    <row r="5994" spans="1:30" ht="16.5" customHeight="1">
      <c r="A5994" s="318" t="str">
        <f>IF(B5994&lt;&gt;"",IF(AND(B5994='IN-TC'!$S$4,OR(TH!N5994="1111",TH!O5994="1111")),TH!D5994,""),"")</f>
        <v/>
      </c>
      <c r="B5994" s="60" t="str">
        <f t="shared" si="514"/>
        <v/>
      </c>
      <c r="C5994" s="61"/>
      <c r="D5994" s="61"/>
      <c r="E5994" s="61"/>
      <c r="F5994" s="446"/>
      <c r="G5994" s="64"/>
      <c r="H5994" s="69"/>
      <c r="I5994" s="385"/>
      <c r="J5994" s="392"/>
      <c r="K5994" s="385"/>
      <c r="L5994" s="392"/>
      <c r="M5994" s="62"/>
      <c r="N5994" s="63"/>
      <c r="O5994" s="63"/>
      <c r="P5994" s="79" t="str">
        <f>IF(AND('331-CT'!$E$7=TH!H5994,OR(N5994="331",O5994="331")),"x","")</f>
        <v/>
      </c>
      <c r="Q5994" s="79" t="str">
        <f>IF(AND(B5994='111'!$L$11,OR($N5994=$Q$7,$O5994=$Q$7)),"x","")</f>
        <v/>
      </c>
      <c r="R5994" s="79" t="str">
        <f>IF(AND($N5994=$Q$7,$B5994&lt;'111'!$L$11),"x","")</f>
        <v/>
      </c>
      <c r="S5994" s="79" t="str">
        <f>IF(AND($O5994=$Q$7,$B5994&lt;'111'!$L$11),"x","")</f>
        <v/>
      </c>
      <c r="T5994" s="79" t="str">
        <f>IF(ISERROR(FIND('112'!$M$9,G5994,1)),"",IF((AND(FIND('112'!$M$9,G5994,1)&gt;=1,B5994='112'!$K$9,OR($N5994='112'!$I$6,$O5994='112'!$I$6))),"x",""))</f>
        <v/>
      </c>
      <c r="U5994" s="79" t="str">
        <f>IF(ISERROR(FIND('112'!$M$9,G5994,1)),"",IF((AND(LEFT(G5994,2)=LEFT('112'!$M$9,2),B5994&lt;'112'!$K$9,$N5994='112'!$I$6)),"x",""))</f>
        <v/>
      </c>
      <c r="V5994" s="79" t="str">
        <f>IF(ISERROR(FIND('112'!$M$9,G5994,1)),"",IF((AND(RIGHT(G5994,2)=RIGHT('112'!$M$9,2),B5994&lt;'112'!$K$9,$O5994='112'!$I$6)),"x",""))</f>
        <v/>
      </c>
      <c r="W5994" s="79" t="str">
        <f>IF(AND('341-CT'!$H$9=H5994,OR(LEFT(N5994,3)=$W$7,LEFT(O5994,3)=$W$7)),"x","")</f>
        <v/>
      </c>
      <c r="X5994" s="79" t="str">
        <f>IF(OR(TH!N5994=TH!$X$7,O5994=TH!$X$7),"x","")</f>
        <v/>
      </c>
      <c r="Y5994" s="79" t="str">
        <f>IF(AND(OR(N5994="131",O5994="131"),H5994='131-CT'!$H$9),"x","")</f>
        <v/>
      </c>
      <c r="Z5994" s="79"/>
      <c r="AA5994" s="79" t="str">
        <f>IF(AND(MONTH(E5994)='IN-NX'!$J$5,'IN-NX'!$D$7=D5994),"x","")</f>
        <v/>
      </c>
      <c r="AB5994" s="79" t="str">
        <f>IF(AND(OR(LEFT(TH!N5994,2)="15",LEFT(TH!O5994,2)="15"),LEFT(TH!O5994,3)&lt;&gt;"111",'152-CT'!$J$8=TH!F5994),"x","")</f>
        <v/>
      </c>
      <c r="AC5994" s="79" t="str">
        <f>IF(AND(OR(LEFT(TH!N5994,2)="15",LEFT(TH!O5994,2)="15"),TK!$E$7=TH!F5994),"x","")</f>
        <v/>
      </c>
      <c r="AD5994" s="79" t="str">
        <f>IF(AND(N5994="1521",MONTH(C5994)='BK-NL'!$M$11),"x","")</f>
        <v/>
      </c>
    </row>
    <row r="5995" spans="1:30" ht="16.5" customHeight="1">
      <c r="A5995" s="318" t="str">
        <f>IF(B5995&lt;&gt;"",IF(AND(B5995='IN-TC'!$S$4,OR(TH!N5995="1111",TH!O5995="1111")),TH!D5995,""),"")</f>
        <v/>
      </c>
      <c r="B5995" s="60" t="str">
        <f t="shared" si="514"/>
        <v/>
      </c>
      <c r="C5995" s="61"/>
      <c r="D5995" s="61"/>
      <c r="E5995" s="61"/>
      <c r="F5995" s="446"/>
      <c r="G5995" s="64"/>
      <c r="H5995" s="69"/>
      <c r="I5995" s="385"/>
      <c r="J5995" s="392"/>
      <c r="K5995" s="385"/>
      <c r="L5995" s="392"/>
      <c r="M5995" s="62"/>
      <c r="N5995" s="63"/>
      <c r="O5995" s="63"/>
      <c r="P5995" s="79" t="str">
        <f>IF(AND('331-CT'!$E$7=TH!H5995,OR(N5995="331",O5995="331")),"x","")</f>
        <v/>
      </c>
      <c r="Q5995" s="79" t="str">
        <f>IF(AND(B5995='111'!$L$11,OR($N5995=$Q$7,$O5995=$Q$7)),"x","")</f>
        <v/>
      </c>
      <c r="R5995" s="79" t="str">
        <f>IF(AND($N5995=$Q$7,$B5995&lt;'111'!$L$11),"x","")</f>
        <v/>
      </c>
      <c r="S5995" s="79" t="str">
        <f>IF(AND($O5995=$Q$7,$B5995&lt;'111'!$L$11),"x","")</f>
        <v/>
      </c>
      <c r="T5995" s="79" t="str">
        <f>IF(ISERROR(FIND('112'!$M$9,G5995,1)),"",IF((AND(FIND('112'!$M$9,G5995,1)&gt;=1,B5995='112'!$K$9,OR($N5995='112'!$I$6,$O5995='112'!$I$6))),"x",""))</f>
        <v/>
      </c>
      <c r="U5995" s="79" t="str">
        <f>IF(ISERROR(FIND('112'!$M$9,G5995,1)),"",IF((AND(LEFT(G5995,2)=LEFT('112'!$M$9,2),B5995&lt;'112'!$K$9,$N5995='112'!$I$6)),"x",""))</f>
        <v/>
      </c>
      <c r="V5995" s="79" t="str">
        <f>IF(ISERROR(FIND('112'!$M$9,G5995,1)),"",IF((AND(RIGHT(G5995,2)=RIGHT('112'!$M$9,2),B5995&lt;'112'!$K$9,$O5995='112'!$I$6)),"x",""))</f>
        <v/>
      </c>
      <c r="W5995" s="79" t="str">
        <f>IF(AND('341-CT'!$H$9=H5995,OR(LEFT(N5995,3)=$W$7,LEFT(O5995,3)=$W$7)),"x","")</f>
        <v/>
      </c>
      <c r="X5995" s="79" t="str">
        <f>IF(OR(TH!N5995=TH!$X$7,O5995=TH!$X$7),"x","")</f>
        <v/>
      </c>
      <c r="Y5995" s="79" t="str">
        <f>IF(AND(OR(N5995="131",O5995="131"),H5995='131-CT'!$H$9),"x","")</f>
        <v/>
      </c>
      <c r="Z5995" s="79"/>
      <c r="AA5995" s="79" t="str">
        <f>IF(AND(MONTH(E5995)='IN-NX'!$J$5,'IN-NX'!$D$7=D5995),"x","")</f>
        <v/>
      </c>
      <c r="AB5995" s="79" t="str">
        <f>IF(AND(OR(LEFT(TH!N5995,2)="15",LEFT(TH!O5995,2)="15"),LEFT(TH!O5995,3)&lt;&gt;"111",'152-CT'!$J$8=TH!F5995),"x","")</f>
        <v/>
      </c>
      <c r="AC5995" s="79" t="str">
        <f>IF(AND(OR(LEFT(TH!N5995,2)="15",LEFT(TH!O5995,2)="15"),TK!$E$7=TH!F5995),"x","")</f>
        <v/>
      </c>
      <c r="AD5995" s="79" t="str">
        <f>IF(AND(N5995="1521",MONTH(C5995)='BK-NL'!$M$11),"x","")</f>
        <v/>
      </c>
    </row>
    <row r="5996" spans="1:30" ht="16.5" customHeight="1">
      <c r="A5996" s="318" t="str">
        <f>IF(B5996&lt;&gt;"",IF(AND(B5996='IN-TC'!$S$4,OR(TH!N5996="1111",TH!O5996="1111")),TH!D5996,""),"")</f>
        <v/>
      </c>
      <c r="B5996" s="60" t="str">
        <f t="shared" si="514"/>
        <v/>
      </c>
      <c r="C5996" s="61"/>
      <c r="D5996" s="61"/>
      <c r="E5996" s="61"/>
      <c r="F5996" s="69"/>
      <c r="G5996" s="766"/>
      <c r="H5996" s="69"/>
      <c r="I5996" s="385"/>
      <c r="J5996" s="392"/>
      <c r="K5996" s="385"/>
      <c r="L5996" s="392"/>
      <c r="M5996" s="62"/>
      <c r="N5996" s="304"/>
      <c r="O5996" s="63"/>
      <c r="P5996" s="79" t="str">
        <f>IF(AND('331-CT'!$E$7=TH!H5996,OR(N5996="331",O5996="331")),"x","")</f>
        <v/>
      </c>
      <c r="Q5996" s="79" t="str">
        <f>IF(AND(B5996='111'!$L$11,OR($N5996=$Q$7,$O5996=$Q$7)),"x","")</f>
        <v/>
      </c>
      <c r="R5996" s="79" t="str">
        <f>IF(AND($N5996=$Q$7,$B5996&lt;'111'!$L$11),"x","")</f>
        <v/>
      </c>
      <c r="S5996" s="79" t="str">
        <f>IF(AND($O5996=$Q$7,$B5996&lt;'111'!$L$11),"x","")</f>
        <v/>
      </c>
      <c r="T5996" s="79" t="str">
        <f>IF(ISERROR(FIND('112'!$M$9,G5996,1)),"",IF((AND(FIND('112'!$M$9,G5996,1)&gt;=1,B5996='112'!$K$9,OR($N5996='112'!$I$6,$O5996='112'!$I$6))),"x",""))</f>
        <v/>
      </c>
      <c r="U5996" s="79" t="str">
        <f>IF(ISERROR(FIND('112'!$M$9,G5996,1)),"",IF((AND(LEFT(G5996,2)=LEFT('112'!$M$9,2),B5996&lt;'112'!$K$9,$N5996='112'!$I$6)),"x",""))</f>
        <v/>
      </c>
      <c r="V5996" s="79" t="str">
        <f>IF(ISERROR(FIND('112'!$M$9,G5996,1)),"",IF((AND(RIGHT(G5996,2)=RIGHT('112'!$M$9,2),B5996&lt;'112'!$K$9,$O5996='112'!$I$6)),"x",""))</f>
        <v/>
      </c>
      <c r="W5996" s="79" t="str">
        <f>IF(AND('341-CT'!$H$9=H5996,OR(LEFT(N5996,3)=$W$7,LEFT(O5996,3)=$W$7)),"x","")</f>
        <v/>
      </c>
      <c r="X5996" s="79" t="str">
        <f>IF(OR(TH!N5996=TH!$X$7,O5996=TH!$X$7),"x","")</f>
        <v/>
      </c>
      <c r="Y5996" s="79" t="str">
        <f>IF(AND(OR(N5996="131",O5996="131"),H5996='131-CT'!$H$9),"x","")</f>
        <v/>
      </c>
      <c r="Z5996" s="79"/>
      <c r="AA5996" s="79" t="str">
        <f>IF(AND(MONTH(E5996)='IN-NX'!$J$5,'IN-NX'!$D$7=D5996),"x","")</f>
        <v/>
      </c>
      <c r="AB5996" s="79" t="str">
        <f>IF(AND(OR(LEFT(TH!N5996,2)="15",LEFT(TH!O5996,2)="15"),LEFT(TH!O5996,3)&lt;&gt;"111",'152-CT'!$J$8=TH!F5996),"x","")</f>
        <v/>
      </c>
      <c r="AC5996" s="79" t="str">
        <f>IF(AND(OR(LEFT(TH!N5996,2)="15",LEFT(TH!O5996,2)="15"),TK!$E$7=TH!F5996),"x","")</f>
        <v/>
      </c>
      <c r="AD5996" s="79" t="str">
        <f>IF(AND(N5996="1521",MONTH(C5996)='BK-NL'!$M$11),"x","")</f>
        <v/>
      </c>
    </row>
    <row r="5997" spans="1:30" ht="16.5" customHeight="1">
      <c r="A5997" s="318" t="str">
        <f>IF(B5997&lt;&gt;"",IF(AND(B5997='IN-TC'!$S$4,OR(TH!N5997="1111",TH!O5997="1111")),TH!D5997,""),"")</f>
        <v/>
      </c>
      <c r="B5997" s="60" t="str">
        <f t="shared" si="514"/>
        <v/>
      </c>
      <c r="C5997" s="61"/>
      <c r="D5997" s="61"/>
      <c r="E5997" s="61"/>
      <c r="F5997" s="69"/>
      <c r="G5997" s="766"/>
      <c r="H5997" s="69"/>
      <c r="I5997" s="385"/>
      <c r="J5997" s="392"/>
      <c r="K5997" s="385"/>
      <c r="L5997" s="392"/>
      <c r="M5997" s="62"/>
      <c r="N5997" s="304"/>
      <c r="O5997" s="63"/>
      <c r="P5997" s="79" t="str">
        <f>IF(AND('331-CT'!$E$7=TH!H5997,OR(N5997="331",O5997="331")),"x","")</f>
        <v/>
      </c>
      <c r="Q5997" s="79" t="str">
        <f>IF(AND(B5997='111'!$L$11,OR($N5997=$Q$7,$O5997=$Q$7)),"x","")</f>
        <v/>
      </c>
      <c r="R5997" s="79" t="str">
        <f>IF(AND($N5997=$Q$7,$B5997&lt;'111'!$L$11),"x","")</f>
        <v/>
      </c>
      <c r="S5997" s="79" t="str">
        <f>IF(AND($O5997=$Q$7,$B5997&lt;'111'!$L$11),"x","")</f>
        <v/>
      </c>
      <c r="T5997" s="79" t="str">
        <f>IF(ISERROR(FIND('112'!$M$9,G5997,1)),"",IF((AND(FIND('112'!$M$9,G5997,1)&gt;=1,B5997='112'!$K$9,OR($N5997='112'!$I$6,$O5997='112'!$I$6))),"x",""))</f>
        <v/>
      </c>
      <c r="U5997" s="79" t="str">
        <f>IF(ISERROR(FIND('112'!$M$9,G5997,1)),"",IF((AND(LEFT(G5997,2)=LEFT('112'!$M$9,2),B5997&lt;'112'!$K$9,$N5997='112'!$I$6)),"x",""))</f>
        <v/>
      </c>
      <c r="V5997" s="79" t="str">
        <f>IF(ISERROR(FIND('112'!$M$9,G5997,1)),"",IF((AND(RIGHT(G5997,2)=RIGHT('112'!$M$9,2),B5997&lt;'112'!$K$9,$O5997='112'!$I$6)),"x",""))</f>
        <v/>
      </c>
      <c r="W5997" s="79" t="str">
        <f>IF(AND('341-CT'!$H$9=H5997,OR(LEFT(N5997,3)=$W$7,LEFT(O5997,3)=$W$7)),"x","")</f>
        <v/>
      </c>
      <c r="X5997" s="79" t="str">
        <f>IF(OR(TH!N5997=TH!$X$7,O5997=TH!$X$7),"x","")</f>
        <v/>
      </c>
      <c r="Y5997" s="79" t="str">
        <f>IF(AND(OR(N5997="131",O5997="131"),H5997='131-CT'!$H$9),"x","")</f>
        <v/>
      </c>
      <c r="Z5997" s="79"/>
      <c r="AA5997" s="79" t="str">
        <f>IF(AND(MONTH(E5997)='IN-NX'!$J$5,'IN-NX'!$D$7=D5997),"x","")</f>
        <v/>
      </c>
      <c r="AB5997" s="79" t="str">
        <f>IF(AND(OR(LEFT(TH!N5997,2)="15",LEFT(TH!O5997,2)="15"),LEFT(TH!O5997,3)&lt;&gt;"111",'152-CT'!$J$8=TH!F5997),"x","")</f>
        <v/>
      </c>
      <c r="AC5997" s="79" t="str">
        <f>IF(AND(OR(LEFT(TH!N5997,2)="15",LEFT(TH!O5997,2)="15"),TK!$E$7=TH!F5997),"x","")</f>
        <v/>
      </c>
      <c r="AD5997" s="79" t="str">
        <f>IF(AND(N5997="1521",MONTH(C5997)='BK-NL'!$M$11),"x","")</f>
        <v/>
      </c>
    </row>
    <row r="5998" spans="1:30" ht="16.5" customHeight="1">
      <c r="A5998" s="318" t="str">
        <f>IF(B5998&lt;&gt;"",IF(AND(B5998='IN-TC'!$S$4,OR(TH!N5998="1111",TH!O5998="1111")),TH!D5998,""),"")</f>
        <v/>
      </c>
      <c r="B5998" s="60" t="str">
        <f t="shared" si="514"/>
        <v/>
      </c>
      <c r="C5998" s="61"/>
      <c r="D5998" s="61"/>
      <c r="E5998" s="61"/>
      <c r="F5998" s="69"/>
      <c r="G5998" s="64"/>
      <c r="H5998" s="926"/>
      <c r="I5998" s="385"/>
      <c r="J5998" s="392"/>
      <c r="K5998" s="385"/>
      <c r="L5998" s="392"/>
      <c r="M5998" s="62"/>
      <c r="N5998" s="63"/>
      <c r="O5998" s="63"/>
      <c r="P5998" s="79" t="str">
        <f>IF(AND('331-CT'!$E$7=TH!H5998,OR(N5998="331",O5998="331")),"x","")</f>
        <v/>
      </c>
      <c r="Q5998" s="79" t="str">
        <f>IF(AND(B5998='111'!$L$11,OR($N5998=$Q$7,$O5998=$Q$7)),"x","")</f>
        <v/>
      </c>
      <c r="R5998" s="79" t="str">
        <f>IF(AND($N5998=$Q$7,$B5998&lt;'111'!$L$11),"x","")</f>
        <v/>
      </c>
      <c r="S5998" s="79" t="str">
        <f>IF(AND($O5998=$Q$7,$B5998&lt;'111'!$L$11),"x","")</f>
        <v/>
      </c>
      <c r="T5998" s="79" t="str">
        <f>IF(ISERROR(FIND('112'!$M$9,G5998,1)),"",IF((AND(FIND('112'!$M$9,G5998,1)&gt;=1,B5998='112'!$K$9,OR($N5998='112'!$I$6,$O5998='112'!$I$6))),"x",""))</f>
        <v/>
      </c>
      <c r="U5998" s="79" t="str">
        <f>IF(ISERROR(FIND('112'!$M$9,G5998,1)),"",IF((AND(LEFT(G5998,2)=LEFT('112'!$M$9,2),B5998&lt;'112'!$K$9,$N5998='112'!$I$6)),"x",""))</f>
        <v/>
      </c>
      <c r="V5998" s="79" t="str">
        <f>IF(ISERROR(FIND('112'!$M$9,G5998,1)),"",IF((AND(RIGHT(G5998,2)=RIGHT('112'!$M$9,2),B5998&lt;'112'!$K$9,$O5998='112'!$I$6)),"x",""))</f>
        <v/>
      </c>
      <c r="W5998" s="79" t="str">
        <f>IF(AND('341-CT'!$H$9=H5998,OR(LEFT(N5998,3)=$W$7,LEFT(O5998,3)=$W$7)),"x","")</f>
        <v/>
      </c>
      <c r="X5998" s="79" t="str">
        <f>IF(OR(TH!N5998=TH!$X$7,O5998=TH!$X$7),"x","")</f>
        <v/>
      </c>
      <c r="Y5998" s="79" t="str">
        <f>IF(AND(OR(N5998="131",O5998="131"),H5998='131-CT'!$H$9),"x","")</f>
        <v/>
      </c>
      <c r="Z5998" s="79"/>
      <c r="AA5998" s="79" t="str">
        <f>IF(AND(MONTH(E5998)='IN-NX'!$J$5,'IN-NX'!$D$7=D5998),"x","")</f>
        <v/>
      </c>
      <c r="AB5998" s="79" t="str">
        <f>IF(AND(OR(LEFT(TH!N5998,2)="15",LEFT(TH!O5998,2)="15"),LEFT(TH!O5998,3)&lt;&gt;"111",'152-CT'!$J$8=TH!F5998),"x","")</f>
        <v/>
      </c>
      <c r="AC5998" s="79" t="str">
        <f>IF(AND(OR(LEFT(TH!N5998,2)="15",LEFT(TH!O5998,2)="15"),TK!$E$7=TH!F5998),"x","")</f>
        <v/>
      </c>
      <c r="AD5998" s="79" t="str">
        <f>IF(AND(N5998="1521",MONTH(C5998)='BK-NL'!$M$11),"x","")</f>
        <v/>
      </c>
    </row>
    <row r="5999" spans="1:30" ht="16.5" customHeight="1">
      <c r="A5999" s="318" t="str">
        <f>IF(B5999&lt;&gt;"",IF(AND(B5999='IN-TC'!$S$4,OR(TH!N5999="1111",TH!O5999="1111")),TH!D5999,""),"")</f>
        <v/>
      </c>
      <c r="B5999" s="60" t="str">
        <f t="shared" si="514"/>
        <v/>
      </c>
      <c r="C5999" s="61"/>
      <c r="D5999" s="61"/>
      <c r="E5999" s="61"/>
      <c r="F5999" s="69"/>
      <c r="G5999" s="766"/>
      <c r="H5999" s="303"/>
      <c r="I5999" s="385"/>
      <c r="J5999" s="392"/>
      <c r="K5999" s="385"/>
      <c r="L5999" s="392"/>
      <c r="M5999" s="62"/>
      <c r="N5999" s="304"/>
      <c r="O5999" s="63"/>
      <c r="P5999" s="79" t="str">
        <f>IF(AND('331-CT'!$E$7=TH!H5999,OR(N5999="331",O5999="331")),"x","")</f>
        <v/>
      </c>
      <c r="Q5999" s="79" t="str">
        <f>IF(AND(B5999='111'!$L$11,OR($N5999=$Q$7,$O5999=$Q$7)),"x","")</f>
        <v/>
      </c>
      <c r="R5999" s="79" t="str">
        <f>IF(AND($N5999=$Q$7,$B5999&lt;'111'!$L$11),"x","")</f>
        <v/>
      </c>
      <c r="S5999" s="79" t="str">
        <f>IF(AND($O5999=$Q$7,$B5999&lt;'111'!$L$11),"x","")</f>
        <v/>
      </c>
      <c r="T5999" s="79" t="str">
        <f>IF(ISERROR(FIND('112'!$M$9,G5999,1)),"",IF((AND(FIND('112'!$M$9,G5999,1)&gt;=1,B5999='112'!$K$9,OR($N5999='112'!$I$6,$O5999='112'!$I$6))),"x",""))</f>
        <v/>
      </c>
      <c r="U5999" s="79" t="str">
        <f>IF(ISERROR(FIND('112'!$M$9,G5999,1)),"",IF((AND(LEFT(G5999,2)=LEFT('112'!$M$9,2),B5999&lt;'112'!$K$9,$N5999='112'!$I$6)),"x",""))</f>
        <v/>
      </c>
      <c r="V5999" s="79" t="str">
        <f>IF(ISERROR(FIND('112'!$M$9,G5999,1)),"",IF((AND(RIGHT(G5999,2)=RIGHT('112'!$M$9,2),B5999&lt;'112'!$K$9,$O5999='112'!$I$6)),"x",""))</f>
        <v/>
      </c>
      <c r="W5999" s="79" t="str">
        <f>IF(AND('341-CT'!$H$9=H5999,OR(LEFT(N5999,3)=$W$7,LEFT(O5999,3)=$W$7)),"x","")</f>
        <v/>
      </c>
      <c r="X5999" s="79" t="str">
        <f>IF(OR(TH!N5999=TH!$X$7,O5999=TH!$X$7),"x","")</f>
        <v/>
      </c>
      <c r="Y5999" s="79" t="str">
        <f>IF(AND(OR(N5999="131",O5999="131"),H5999='131-CT'!$H$9),"x","")</f>
        <v/>
      </c>
      <c r="Z5999" s="79"/>
      <c r="AA5999" s="79" t="str">
        <f>IF(AND(MONTH(E5999)='IN-NX'!$J$5,'IN-NX'!$D$7=D5999),"x","")</f>
        <v/>
      </c>
      <c r="AB5999" s="79" t="str">
        <f>IF(AND(OR(LEFT(TH!N5999,2)="15",LEFT(TH!O5999,2)="15"),LEFT(TH!O5999,3)&lt;&gt;"111",'152-CT'!$J$8=TH!F5999),"x","")</f>
        <v/>
      </c>
      <c r="AC5999" s="79" t="str">
        <f>IF(AND(OR(LEFT(TH!N5999,2)="15",LEFT(TH!O5999,2)="15"),TK!$E$7=TH!F5999),"x","")</f>
        <v/>
      </c>
      <c r="AD5999" s="79" t="str">
        <f>IF(AND(N5999="1521",MONTH(C5999)='BK-NL'!$M$11),"x","")</f>
        <v/>
      </c>
    </row>
    <row r="6000" spans="1:30" ht="16.5" customHeight="1">
      <c r="A6000" s="318" t="str">
        <f>IF(B6000&lt;&gt;"",IF(AND(B6000='IN-TC'!$S$4,OR(TH!N6000="1111",TH!O6000="1111")),TH!D6000,""),"")</f>
        <v/>
      </c>
      <c r="B6000" s="60" t="str">
        <f t="shared" si="514"/>
        <v/>
      </c>
      <c r="C6000" s="61"/>
      <c r="D6000" s="61"/>
      <c r="E6000" s="61"/>
      <c r="F6000" s="69"/>
      <c r="G6000" s="766"/>
      <c r="H6000" s="303"/>
      <c r="I6000" s="385"/>
      <c r="J6000" s="392"/>
      <c r="K6000" s="385"/>
      <c r="L6000" s="392"/>
      <c r="M6000" s="62"/>
      <c r="N6000" s="304"/>
      <c r="O6000" s="63"/>
      <c r="P6000" s="79" t="str">
        <f>IF(AND('331-CT'!$E$7=TH!H6000,OR(N6000="331",O6000="331")),"x","")</f>
        <v/>
      </c>
      <c r="Q6000" s="79" t="str">
        <f>IF(AND(B6000='111'!$L$11,OR($N6000=$Q$7,$O6000=$Q$7)),"x","")</f>
        <v/>
      </c>
      <c r="R6000" s="79" t="str">
        <f>IF(AND($N6000=$Q$7,$B6000&lt;'111'!$L$11),"x","")</f>
        <v/>
      </c>
      <c r="S6000" s="79" t="str">
        <f>IF(AND($O6000=$Q$7,$B6000&lt;'111'!$L$11),"x","")</f>
        <v/>
      </c>
      <c r="T6000" s="79" t="str">
        <f>IF(ISERROR(FIND('112'!$M$9,G6000,1)),"",IF((AND(FIND('112'!$M$9,G6000,1)&gt;=1,B6000='112'!$K$9,OR($N6000='112'!$I$6,$O6000='112'!$I$6))),"x",""))</f>
        <v/>
      </c>
      <c r="U6000" s="79" t="str">
        <f>IF(ISERROR(FIND('112'!$M$9,G6000,1)),"",IF((AND(LEFT(G6000,2)=LEFT('112'!$M$9,2),B6000&lt;'112'!$K$9,$N6000='112'!$I$6)),"x",""))</f>
        <v/>
      </c>
      <c r="V6000" s="79" t="str">
        <f>IF(ISERROR(FIND('112'!$M$9,G6000,1)),"",IF((AND(RIGHT(G6000,2)=RIGHT('112'!$M$9,2),B6000&lt;'112'!$K$9,$O6000='112'!$I$6)),"x",""))</f>
        <v/>
      </c>
      <c r="W6000" s="79" t="str">
        <f>IF(AND('341-CT'!$H$9=H6000,OR(LEFT(N6000,3)=$W$7,LEFT(O6000,3)=$W$7)),"x","")</f>
        <v/>
      </c>
      <c r="X6000" s="79" t="str">
        <f>IF(OR(TH!N6000=TH!$X$7,O6000=TH!$X$7),"x","")</f>
        <v/>
      </c>
      <c r="Y6000" s="79" t="str">
        <f>IF(AND(OR(N6000="131",O6000="131"),H6000='131-CT'!$H$9),"x","")</f>
        <v/>
      </c>
      <c r="Z6000" s="79"/>
      <c r="AA6000" s="79" t="str">
        <f>IF(AND(MONTH(E6000)='IN-NX'!$J$5,'IN-NX'!$D$7=D6000),"x","")</f>
        <v/>
      </c>
      <c r="AB6000" s="79" t="str">
        <f>IF(AND(OR(LEFT(TH!N6000,2)="15",LEFT(TH!O6000,2)="15"),LEFT(TH!O6000,3)&lt;&gt;"111",'152-CT'!$J$8=TH!F6000),"x","")</f>
        <v/>
      </c>
      <c r="AC6000" s="79" t="str">
        <f>IF(AND(OR(LEFT(TH!N6000,2)="15",LEFT(TH!O6000,2)="15"),TK!$E$7=TH!F6000),"x","")</f>
        <v/>
      </c>
      <c r="AD6000" s="79" t="str">
        <f>IF(AND(N6000="1521",MONTH(C6000)='BK-NL'!$M$11),"x","")</f>
        <v/>
      </c>
    </row>
    <row r="6001" spans="1:30" ht="16.5" customHeight="1">
      <c r="A6001" s="318" t="str">
        <f>IF(B6001&lt;&gt;"",IF(AND(B6001='IN-TC'!$S$4,OR(TH!N6001="1111",TH!O6001="1111")),TH!D6001,""),"")</f>
        <v/>
      </c>
      <c r="B6001" s="60" t="str">
        <f t="shared" si="514"/>
        <v/>
      </c>
      <c r="C6001" s="301"/>
      <c r="D6001" s="61"/>
      <c r="E6001" s="301"/>
      <c r="F6001" s="69"/>
      <c r="G6001" s="769"/>
      <c r="H6001" s="303"/>
      <c r="I6001" s="385"/>
      <c r="J6001" s="392"/>
      <c r="K6001" s="385"/>
      <c r="L6001" s="392"/>
      <c r="M6001" s="62"/>
      <c r="N6001" s="304"/>
      <c r="O6001" s="63"/>
      <c r="P6001" s="79" t="str">
        <f>IF(AND('331-CT'!$E$7=TH!H6001,OR(N6001="331",O6001="331")),"x","")</f>
        <v/>
      </c>
      <c r="Q6001" s="79" t="str">
        <f>IF(AND(B6001='111'!$L$11,OR($N6001=$Q$7,$O6001=$Q$7)),"x","")</f>
        <v/>
      </c>
      <c r="R6001" s="79" t="str">
        <f>IF(AND($N6001=$Q$7,$B6001&lt;'111'!$L$11),"x","")</f>
        <v/>
      </c>
      <c r="S6001" s="79" t="str">
        <f>IF(AND($O6001=$Q$7,$B6001&lt;'111'!$L$11),"x","")</f>
        <v/>
      </c>
      <c r="T6001" s="79" t="str">
        <f>IF(ISERROR(FIND('112'!$M$9,G6001,1)),"",IF((AND(FIND('112'!$M$9,G6001,1)&gt;=1,B6001='112'!$K$9,OR($N6001='112'!$I$6,$O6001='112'!$I$6))),"x",""))</f>
        <v/>
      </c>
      <c r="U6001" s="79" t="str">
        <f>IF(ISERROR(FIND('112'!$M$9,G6001,1)),"",IF((AND(LEFT(G6001,2)=LEFT('112'!$M$9,2),B6001&lt;'112'!$K$9,$N6001='112'!$I$6)),"x",""))</f>
        <v/>
      </c>
      <c r="V6001" s="79" t="str">
        <f>IF(ISERROR(FIND('112'!$M$9,G6001,1)),"",IF((AND(RIGHT(G6001,2)=RIGHT('112'!$M$9,2),B6001&lt;'112'!$K$9,$O6001='112'!$I$6)),"x",""))</f>
        <v/>
      </c>
      <c r="W6001" s="79" t="str">
        <f>IF(AND('341-CT'!$H$9=H6001,OR(LEFT(N6001,3)=$W$7,LEFT(O6001,3)=$W$7)),"x","")</f>
        <v/>
      </c>
      <c r="X6001" s="79" t="str">
        <f>IF(OR(TH!N6001=TH!$X$7,O6001=TH!$X$7),"x","")</f>
        <v/>
      </c>
      <c r="Y6001" s="79" t="str">
        <f>IF(AND(OR(N6001="131",O6001="131"),H6001='131-CT'!$H$9),"x","")</f>
        <v/>
      </c>
      <c r="Z6001" s="79"/>
      <c r="AA6001" s="79" t="str">
        <f>IF(AND(MONTH(E6001)='IN-NX'!$J$5,'IN-NX'!$D$7=D6001),"x","")</f>
        <v/>
      </c>
      <c r="AB6001" s="79" t="str">
        <f>IF(AND(OR(LEFT(TH!N6001,2)="15",LEFT(TH!O6001,2)="15"),LEFT(TH!O6001,3)&lt;&gt;"111",'152-CT'!$J$8=TH!F6001),"x","")</f>
        <v/>
      </c>
      <c r="AC6001" s="79" t="str">
        <f>IF(AND(OR(LEFT(TH!N6001,2)="15",LEFT(TH!O6001,2)="15"),TK!$E$7=TH!F6001),"x","")</f>
        <v/>
      </c>
      <c r="AD6001" s="79" t="str">
        <f>IF(AND(N6001="1521",MONTH(C6001)='BK-NL'!$M$11),"x","")</f>
        <v/>
      </c>
    </row>
    <row r="6002" spans="1:30" ht="16.5" customHeight="1">
      <c r="A6002" s="318" t="str">
        <f>IF(B6002&lt;&gt;"",IF(AND(B6002='IN-TC'!$S$4,OR(TH!N6002="1111",TH!O6002="1111")),TH!D6002,""),"")</f>
        <v/>
      </c>
      <c r="B6002" s="60" t="str">
        <f t="shared" si="514"/>
        <v/>
      </c>
      <c r="C6002" s="61"/>
      <c r="D6002" s="61"/>
      <c r="E6002" s="61"/>
      <c r="F6002" s="446"/>
      <c r="G6002" s="64"/>
      <c r="H6002" s="69"/>
      <c r="I6002" s="385"/>
      <c r="J6002" s="392"/>
      <c r="K6002" s="385"/>
      <c r="L6002" s="392"/>
      <c r="M6002" s="62"/>
      <c r="N6002" s="63"/>
      <c r="O6002" s="63"/>
      <c r="P6002" s="79" t="str">
        <f>IF(AND('331-CT'!$E$7=TH!H6002,OR(N6002="331",O6002="331")),"x","")</f>
        <v/>
      </c>
      <c r="Q6002" s="79" t="str">
        <f>IF(AND(B6002='111'!$L$11,OR($N6002=$Q$7,$O6002=$Q$7)),"x","")</f>
        <v/>
      </c>
      <c r="R6002" s="79" t="str">
        <f>IF(AND($N6002=$Q$7,$B6002&lt;'111'!$L$11),"x","")</f>
        <v/>
      </c>
      <c r="S6002" s="79" t="str">
        <f>IF(AND($O6002=$Q$7,$B6002&lt;'111'!$L$11),"x","")</f>
        <v/>
      </c>
      <c r="T6002" s="79" t="str">
        <f>IF(ISERROR(FIND('112'!$M$9,G6002,1)),"",IF((AND(FIND('112'!$M$9,G6002,1)&gt;=1,B6002='112'!$K$9,OR($N6002='112'!$I$6,$O6002='112'!$I$6))),"x",""))</f>
        <v/>
      </c>
      <c r="U6002" s="79" t="str">
        <f>IF(ISERROR(FIND('112'!$M$9,G6002,1)),"",IF((AND(LEFT(G6002,2)=LEFT('112'!$M$9,2),B6002&lt;'112'!$K$9,$N6002='112'!$I$6)),"x",""))</f>
        <v/>
      </c>
      <c r="V6002" s="79" t="str">
        <f>IF(ISERROR(FIND('112'!$M$9,G6002,1)),"",IF((AND(RIGHT(G6002,2)=RIGHT('112'!$M$9,2),B6002&lt;'112'!$K$9,$O6002='112'!$I$6)),"x",""))</f>
        <v/>
      </c>
      <c r="W6002" s="79" t="str">
        <f>IF(AND('341-CT'!$H$9=H6002,OR(LEFT(N6002,3)=$W$7,LEFT(O6002,3)=$W$7)),"x","")</f>
        <v/>
      </c>
      <c r="X6002" s="79" t="str">
        <f>IF(OR(TH!N6002=TH!$X$7,O6002=TH!$X$7),"x","")</f>
        <v/>
      </c>
      <c r="Y6002" s="79" t="str">
        <f>IF(AND(OR(N6002="131",O6002="131"),H6002='131-CT'!$H$9),"x","")</f>
        <v/>
      </c>
      <c r="Z6002" s="79"/>
      <c r="AA6002" s="79" t="str">
        <f>IF(AND(MONTH(E6002)='IN-NX'!$J$5,'IN-NX'!$D$7=D6002),"x","")</f>
        <v/>
      </c>
      <c r="AB6002" s="79" t="str">
        <f>IF(AND(OR(LEFT(TH!N6002,2)="15",LEFT(TH!O6002,2)="15"),LEFT(TH!O6002,3)&lt;&gt;"111",'152-CT'!$J$8=TH!F6002),"x","")</f>
        <v/>
      </c>
      <c r="AC6002" s="79" t="str">
        <f>IF(AND(OR(LEFT(TH!N6002,2)="15",LEFT(TH!O6002,2)="15"),TK!$E$7=TH!F6002),"x","")</f>
        <v/>
      </c>
      <c r="AD6002" s="79" t="str">
        <f>IF(AND(N6002="1521",MONTH(C6002)='BK-NL'!$M$11),"x","")</f>
        <v/>
      </c>
    </row>
    <row r="6003" spans="1:30" ht="16.5" customHeight="1">
      <c r="A6003" s="318" t="str">
        <f>IF(B6003&lt;&gt;"",IF(AND(B6003='IN-TC'!$S$4,OR(TH!N6003="1111",TH!O6003="1111")),TH!D6003,""),"")</f>
        <v/>
      </c>
      <c r="B6003" s="60" t="str">
        <f t="shared" si="514"/>
        <v/>
      </c>
      <c r="C6003" s="61"/>
      <c r="D6003" s="61"/>
      <c r="E6003" s="61"/>
      <c r="F6003" s="69"/>
      <c r="G6003" s="766"/>
      <c r="H6003" s="69"/>
      <c r="I6003" s="385"/>
      <c r="J6003" s="392"/>
      <c r="K6003" s="385"/>
      <c r="L6003" s="392"/>
      <c r="M6003" s="62"/>
      <c r="N6003" s="63"/>
      <c r="O6003" s="63"/>
      <c r="P6003" s="79" t="str">
        <f>IF(AND('331-CT'!$E$7=TH!H6003,OR(N6003="331",O6003="331")),"x","")</f>
        <v/>
      </c>
      <c r="Q6003" s="79" t="str">
        <f>IF(AND(B6003='111'!$L$11,OR($N6003=$Q$7,$O6003=$Q$7)),"x","")</f>
        <v/>
      </c>
      <c r="R6003" s="79" t="str">
        <f>IF(AND($N6003=$Q$7,$B6003&lt;'111'!$L$11),"x","")</f>
        <v/>
      </c>
      <c r="S6003" s="79" t="str">
        <f>IF(AND($O6003=$Q$7,$B6003&lt;'111'!$L$11),"x","")</f>
        <v/>
      </c>
      <c r="T6003" s="79" t="str">
        <f>IF(ISERROR(FIND('112'!$M$9,G6003,1)),"",IF((AND(FIND('112'!$M$9,G6003,1)&gt;=1,B6003='112'!$K$9,OR($N6003='112'!$I$6,$O6003='112'!$I$6))),"x",""))</f>
        <v/>
      </c>
      <c r="U6003" s="79" t="str">
        <f>IF(ISERROR(FIND('112'!$M$9,G6003,1)),"",IF((AND(LEFT(G6003,2)=LEFT('112'!$M$9,2),B6003&lt;'112'!$K$9,$N6003='112'!$I$6)),"x",""))</f>
        <v/>
      </c>
      <c r="V6003" s="79" t="str">
        <f>IF(ISERROR(FIND('112'!$M$9,G6003,1)),"",IF((AND(RIGHT(G6003,2)=RIGHT('112'!$M$9,2),B6003&lt;'112'!$K$9,$O6003='112'!$I$6)),"x",""))</f>
        <v/>
      </c>
      <c r="W6003" s="79" t="str">
        <f>IF(AND('341-CT'!$H$9=H6003,OR(LEFT(N6003,3)=$W$7,LEFT(O6003,3)=$W$7)),"x","")</f>
        <v/>
      </c>
      <c r="X6003" s="79" t="str">
        <f>IF(OR(TH!N6003=TH!$X$7,O6003=TH!$X$7),"x","")</f>
        <v/>
      </c>
      <c r="Y6003" s="79" t="str">
        <f>IF(AND(OR(N6003="131",O6003="131"),H6003='131-CT'!$H$9),"x","")</f>
        <v/>
      </c>
      <c r="Z6003" s="79"/>
      <c r="AA6003" s="79" t="str">
        <f>IF(AND(MONTH(E6003)='IN-NX'!$J$5,'IN-NX'!$D$7=D6003),"x","")</f>
        <v/>
      </c>
      <c r="AB6003" s="79" t="str">
        <f>IF(AND(OR(LEFT(TH!N6003,2)="15",LEFT(TH!O6003,2)="15"),LEFT(TH!O6003,3)&lt;&gt;"111",'152-CT'!$J$8=TH!F6003),"x","")</f>
        <v/>
      </c>
      <c r="AC6003" s="79" t="str">
        <f>IF(AND(OR(LEFT(TH!N6003,2)="15",LEFT(TH!O6003,2)="15"),TK!$E$7=TH!F6003),"x","")</f>
        <v/>
      </c>
      <c r="AD6003" s="79" t="str">
        <f>IF(AND(N6003="1521",MONTH(C6003)='BK-NL'!$M$11),"x","")</f>
        <v/>
      </c>
    </row>
    <row r="6004" spans="1:30" ht="16.5" customHeight="1">
      <c r="A6004" s="318" t="str">
        <f>IF(B6004&lt;&gt;"",IF(AND(B6004='IN-TC'!$S$4,OR(TH!N6004="1111",TH!O6004="1111")),TH!D6004,""),"")</f>
        <v/>
      </c>
      <c r="B6004" s="60" t="str">
        <f t="shared" si="514"/>
        <v/>
      </c>
      <c r="C6004" s="61"/>
      <c r="D6004" s="61"/>
      <c r="E6004" s="61"/>
      <c r="F6004" s="69"/>
      <c r="G6004" s="766"/>
      <c r="H6004" s="69"/>
      <c r="I6004" s="385"/>
      <c r="J6004" s="392"/>
      <c r="K6004" s="385"/>
      <c r="L6004" s="392"/>
      <c r="M6004" s="62"/>
      <c r="N6004" s="63"/>
      <c r="O6004" s="63"/>
      <c r="P6004" s="79" t="str">
        <f>IF(AND('331-CT'!$E$7=TH!H6004,OR(N6004="331",O6004="331")),"x","")</f>
        <v/>
      </c>
      <c r="Q6004" s="79" t="str">
        <f>IF(AND(B6004='111'!$L$11,OR($N6004=$Q$7,$O6004=$Q$7)),"x","")</f>
        <v/>
      </c>
      <c r="R6004" s="79" t="str">
        <f>IF(AND($N6004=$Q$7,$B6004&lt;'111'!$L$11),"x","")</f>
        <v/>
      </c>
      <c r="S6004" s="79" t="str">
        <f>IF(AND($O6004=$Q$7,$B6004&lt;'111'!$L$11),"x","")</f>
        <v/>
      </c>
      <c r="T6004" s="79" t="str">
        <f>IF(ISERROR(FIND('112'!$M$9,G6004,1)),"",IF((AND(FIND('112'!$M$9,G6004,1)&gt;=1,B6004='112'!$K$9,OR($N6004='112'!$I$6,$O6004='112'!$I$6))),"x",""))</f>
        <v/>
      </c>
      <c r="U6004" s="79" t="str">
        <f>IF(ISERROR(FIND('112'!$M$9,G6004,1)),"",IF((AND(LEFT(G6004,2)=LEFT('112'!$M$9,2),B6004&lt;'112'!$K$9,$N6004='112'!$I$6)),"x",""))</f>
        <v/>
      </c>
      <c r="V6004" s="79" t="str">
        <f>IF(ISERROR(FIND('112'!$M$9,G6004,1)),"",IF((AND(RIGHT(G6004,2)=RIGHT('112'!$M$9,2),B6004&lt;'112'!$K$9,$O6004='112'!$I$6)),"x",""))</f>
        <v/>
      </c>
      <c r="W6004" s="79" t="str">
        <f>IF(AND('341-CT'!$H$9=H6004,OR(LEFT(N6004,3)=$W$7,LEFT(O6004,3)=$W$7)),"x","")</f>
        <v/>
      </c>
      <c r="X6004" s="79" t="str">
        <f>IF(OR(TH!N6004=TH!$X$7,O6004=TH!$X$7),"x","")</f>
        <v/>
      </c>
      <c r="Y6004" s="79" t="str">
        <f>IF(AND(OR(N6004="131",O6004="131"),H6004='131-CT'!$H$9),"x","")</f>
        <v/>
      </c>
      <c r="Z6004" s="79"/>
      <c r="AA6004" s="79" t="str">
        <f>IF(AND(MONTH(E6004)='IN-NX'!$J$5,'IN-NX'!$D$7=D6004),"x","")</f>
        <v/>
      </c>
      <c r="AB6004" s="79" t="str">
        <f>IF(AND(OR(LEFT(TH!N6004,2)="15",LEFT(TH!O6004,2)="15"),LEFT(TH!O6004,3)&lt;&gt;"111",'152-CT'!$J$8=TH!F6004),"x","")</f>
        <v/>
      </c>
      <c r="AC6004" s="79" t="str">
        <f>IF(AND(OR(LEFT(TH!N6004,2)="15",LEFT(TH!O6004,2)="15"),TK!$E$7=TH!F6004),"x","")</f>
        <v/>
      </c>
      <c r="AD6004" s="79" t="str">
        <f>IF(AND(N6004="1521",MONTH(C6004)='BK-NL'!$M$11),"x","")</f>
        <v/>
      </c>
    </row>
    <row r="6005" spans="1:30" ht="16.5" customHeight="1">
      <c r="A6005" s="318" t="str">
        <f>IF(B6005&lt;&gt;"",IF(AND(B6005='IN-TC'!$S$4,OR(TH!N6005="1111",TH!O6005="1111")),TH!D6005,""),"")</f>
        <v/>
      </c>
      <c r="B6005" s="60" t="str">
        <f t="shared" si="514"/>
        <v/>
      </c>
      <c r="C6005" s="61"/>
      <c r="D6005" s="61"/>
      <c r="E6005" s="61"/>
      <c r="F6005" s="69"/>
      <c r="G6005" s="766"/>
      <c r="H6005" s="69"/>
      <c r="I6005" s="385"/>
      <c r="J6005" s="392"/>
      <c r="K6005" s="385"/>
      <c r="L6005" s="392"/>
      <c r="M6005" s="62"/>
      <c r="N6005" s="63"/>
      <c r="O6005" s="63"/>
      <c r="P6005" s="79" t="str">
        <f>IF(AND('331-CT'!$E$7=TH!H6005,OR(N6005="331",O6005="331")),"x","")</f>
        <v/>
      </c>
      <c r="Q6005" s="79" t="str">
        <f>IF(AND(B6005='111'!$L$11,OR($N6005=$Q$7,$O6005=$Q$7)),"x","")</f>
        <v/>
      </c>
      <c r="R6005" s="79" t="str">
        <f>IF(AND($N6005=$Q$7,$B6005&lt;'111'!$L$11),"x","")</f>
        <v/>
      </c>
      <c r="S6005" s="79" t="str">
        <f>IF(AND($O6005=$Q$7,$B6005&lt;'111'!$L$11),"x","")</f>
        <v/>
      </c>
      <c r="T6005" s="79" t="str">
        <f>IF(ISERROR(FIND('112'!$M$9,G6005,1)),"",IF((AND(FIND('112'!$M$9,G6005,1)&gt;=1,B6005='112'!$K$9,OR($N6005='112'!$I$6,$O6005='112'!$I$6))),"x",""))</f>
        <v/>
      </c>
      <c r="U6005" s="79" t="str">
        <f>IF(ISERROR(FIND('112'!$M$9,G6005,1)),"",IF((AND(LEFT(G6005,2)=LEFT('112'!$M$9,2),B6005&lt;'112'!$K$9,$N6005='112'!$I$6)),"x",""))</f>
        <v/>
      </c>
      <c r="V6005" s="79" t="str">
        <f>IF(ISERROR(FIND('112'!$M$9,G6005,1)),"",IF((AND(RIGHT(G6005,2)=RIGHT('112'!$M$9,2),B6005&lt;'112'!$K$9,$O6005='112'!$I$6)),"x",""))</f>
        <v/>
      </c>
      <c r="W6005" s="79" t="str">
        <f>IF(AND('341-CT'!$H$9=H6005,OR(LEFT(N6005,3)=$W$7,LEFT(O6005,3)=$W$7)),"x","")</f>
        <v/>
      </c>
      <c r="X6005" s="79" t="str">
        <f>IF(OR(TH!N6005=TH!$X$7,O6005=TH!$X$7),"x","")</f>
        <v/>
      </c>
      <c r="Y6005" s="79" t="str">
        <f>IF(AND(OR(N6005="131",O6005="131"),H6005='131-CT'!$H$9),"x","")</f>
        <v/>
      </c>
      <c r="Z6005" s="79"/>
      <c r="AA6005" s="79" t="str">
        <f>IF(AND(MONTH(E6005)='IN-NX'!$J$5,'IN-NX'!$D$7=D6005),"x","")</f>
        <v/>
      </c>
      <c r="AB6005" s="79" t="str">
        <f>IF(AND(OR(LEFT(TH!N6005,2)="15",LEFT(TH!O6005,2)="15"),LEFT(TH!O6005,3)&lt;&gt;"111",'152-CT'!$J$8=TH!F6005),"x","")</f>
        <v/>
      </c>
      <c r="AC6005" s="79" t="str">
        <f>IF(AND(OR(LEFT(TH!N6005,2)="15",LEFT(TH!O6005,2)="15"),TK!$E$7=TH!F6005),"x","")</f>
        <v/>
      </c>
      <c r="AD6005" s="79" t="str">
        <f>IF(AND(N6005="1521",MONTH(C6005)='BK-NL'!$M$11),"x","")</f>
        <v/>
      </c>
    </row>
    <row r="6006" spans="1:30" ht="16.5" customHeight="1">
      <c r="A6006" s="318" t="str">
        <f>IF(B6006&lt;&gt;"",IF(AND(B6006='IN-TC'!$S$4,OR(TH!N6006="1111",TH!O6006="1111")),TH!D6006,""),"")</f>
        <v/>
      </c>
      <c r="B6006" s="60" t="str">
        <f t="shared" si="514"/>
        <v/>
      </c>
      <c r="C6006" s="61"/>
      <c r="D6006" s="61"/>
      <c r="E6006" s="61"/>
      <c r="F6006" s="69"/>
      <c r="G6006" s="766"/>
      <c r="H6006" s="69"/>
      <c r="I6006" s="385"/>
      <c r="J6006" s="392"/>
      <c r="K6006" s="385"/>
      <c r="L6006" s="392"/>
      <c r="M6006" s="62"/>
      <c r="N6006" s="63"/>
      <c r="O6006" s="63"/>
      <c r="P6006" s="79" t="str">
        <f>IF(AND('331-CT'!$E$7=TH!H6006,OR(N6006="331",O6006="331")),"x","")</f>
        <v/>
      </c>
      <c r="Q6006" s="79" t="str">
        <f>IF(AND(B6006='111'!$L$11,OR($N6006=$Q$7,$O6006=$Q$7)),"x","")</f>
        <v/>
      </c>
      <c r="R6006" s="79" t="str">
        <f>IF(AND($N6006=$Q$7,$B6006&lt;'111'!$L$11),"x","")</f>
        <v/>
      </c>
      <c r="S6006" s="79" t="str">
        <f>IF(AND($O6006=$Q$7,$B6006&lt;'111'!$L$11),"x","")</f>
        <v/>
      </c>
      <c r="T6006" s="79" t="str">
        <f>IF(ISERROR(FIND('112'!$M$9,G6006,1)),"",IF((AND(FIND('112'!$M$9,G6006,1)&gt;=1,B6006='112'!$K$9,OR($N6006='112'!$I$6,$O6006='112'!$I$6))),"x",""))</f>
        <v/>
      </c>
      <c r="U6006" s="79" t="str">
        <f>IF(ISERROR(FIND('112'!$M$9,G6006,1)),"",IF((AND(LEFT(G6006,2)=LEFT('112'!$M$9,2),B6006&lt;'112'!$K$9,$N6006='112'!$I$6)),"x",""))</f>
        <v/>
      </c>
      <c r="V6006" s="79" t="str">
        <f>IF(ISERROR(FIND('112'!$M$9,G6006,1)),"",IF((AND(RIGHT(G6006,2)=RIGHT('112'!$M$9,2),B6006&lt;'112'!$K$9,$O6006='112'!$I$6)),"x",""))</f>
        <v/>
      </c>
      <c r="W6006" s="79" t="str">
        <f>IF(AND('341-CT'!$H$9=H6006,OR(LEFT(N6006,3)=$W$7,LEFT(O6006,3)=$W$7)),"x","")</f>
        <v/>
      </c>
      <c r="X6006" s="79" t="str">
        <f>IF(OR(TH!N6006=TH!$X$7,O6006=TH!$X$7),"x","")</f>
        <v/>
      </c>
      <c r="Y6006" s="79" t="str">
        <f>IF(AND(OR(N6006="131",O6006="131"),H6006='131-CT'!$H$9),"x","")</f>
        <v/>
      </c>
      <c r="Z6006" s="79"/>
      <c r="AA6006" s="79" t="str">
        <f>IF(AND(MONTH(E6006)='IN-NX'!$J$5,'IN-NX'!$D$7=D6006),"x","")</f>
        <v/>
      </c>
      <c r="AB6006" s="79" t="str">
        <f>IF(AND(OR(LEFT(TH!N6006,2)="15",LEFT(TH!O6006,2)="15"),LEFT(TH!O6006,3)&lt;&gt;"111",'152-CT'!$J$8=TH!F6006),"x","")</f>
        <v/>
      </c>
      <c r="AC6006" s="79" t="str">
        <f>IF(AND(OR(LEFT(TH!N6006,2)="15",LEFT(TH!O6006,2)="15"),TK!$E$7=TH!F6006),"x","")</f>
        <v/>
      </c>
      <c r="AD6006" s="79" t="str">
        <f>IF(AND(N6006="1521",MONTH(C6006)='BK-NL'!$M$11),"x","")</f>
        <v/>
      </c>
    </row>
    <row r="6007" spans="1:30" ht="16.5" customHeight="1">
      <c r="A6007" s="318" t="str">
        <f>IF(B6007&lt;&gt;"",IF(AND(B6007='IN-TC'!$S$4,OR(TH!N6007="1111",TH!O6007="1111")),TH!D6007,""),"")</f>
        <v/>
      </c>
      <c r="B6007" s="60" t="str">
        <f t="shared" si="514"/>
        <v/>
      </c>
      <c r="C6007" s="61"/>
      <c r="D6007" s="61"/>
      <c r="E6007" s="61"/>
      <c r="F6007" s="69"/>
      <c r="G6007" s="64"/>
      <c r="H6007" s="69"/>
      <c r="I6007" s="385"/>
      <c r="J6007" s="392"/>
      <c r="K6007" s="385"/>
      <c r="L6007" s="392"/>
      <c r="M6007" s="62"/>
      <c r="N6007" s="63"/>
      <c r="O6007" s="63"/>
      <c r="P6007" s="79" t="str">
        <f>IF(AND('331-CT'!$E$7=TH!H6007,OR(N6007="331",O6007="331")),"x","")</f>
        <v/>
      </c>
      <c r="Q6007" s="79" t="str">
        <f>IF(AND(B6007='111'!$L$11,OR($N6007=$Q$7,$O6007=$Q$7)),"x","")</f>
        <v/>
      </c>
      <c r="R6007" s="79" t="str">
        <f>IF(AND($N6007=$Q$7,$B6007&lt;'111'!$L$11),"x","")</f>
        <v/>
      </c>
      <c r="S6007" s="79" t="str">
        <f>IF(AND($O6007=$Q$7,$B6007&lt;'111'!$L$11),"x","")</f>
        <v/>
      </c>
      <c r="T6007" s="79" t="str">
        <f>IF(ISERROR(FIND('112'!$M$9,G6007,1)),"",IF((AND(FIND('112'!$M$9,G6007,1)&gt;=1,B6007='112'!$K$9,OR($N6007='112'!$I$6,$O6007='112'!$I$6))),"x",""))</f>
        <v/>
      </c>
      <c r="U6007" s="79" t="str">
        <f>IF(ISERROR(FIND('112'!$M$9,G6007,1)),"",IF((AND(LEFT(G6007,2)=LEFT('112'!$M$9,2),B6007&lt;'112'!$K$9,$N6007='112'!$I$6)),"x",""))</f>
        <v/>
      </c>
      <c r="V6007" s="79" t="str">
        <f>IF(ISERROR(FIND('112'!$M$9,G6007,1)),"",IF((AND(RIGHT(G6007,2)=RIGHT('112'!$M$9,2),B6007&lt;'112'!$K$9,$O6007='112'!$I$6)),"x",""))</f>
        <v/>
      </c>
      <c r="W6007" s="79" t="str">
        <f>IF(AND('341-CT'!$H$9=H6007,OR(LEFT(N6007,3)=$W$7,LEFT(O6007,3)=$W$7)),"x","")</f>
        <v/>
      </c>
      <c r="X6007" s="79" t="str">
        <f>IF(OR(TH!N6007=TH!$X$7,O6007=TH!$X$7),"x","")</f>
        <v/>
      </c>
      <c r="Y6007" s="79" t="str">
        <f>IF(AND(OR(N6007="131",O6007="131"),H6007='131-CT'!$H$9),"x","")</f>
        <v/>
      </c>
      <c r="Z6007" s="79"/>
      <c r="AA6007" s="79" t="str">
        <f>IF(AND(MONTH(E6007)='IN-NX'!$J$5,'IN-NX'!$D$7=D6007),"x","")</f>
        <v/>
      </c>
      <c r="AB6007" s="79" t="str">
        <f>IF(AND(OR(LEFT(TH!N6007,2)="15",LEFT(TH!O6007,2)="15"),LEFT(TH!O6007,3)&lt;&gt;"111",'152-CT'!$J$8=TH!F6007),"x","")</f>
        <v/>
      </c>
      <c r="AC6007" s="79" t="str">
        <f>IF(AND(OR(LEFT(TH!N6007,2)="15",LEFT(TH!O6007,2)="15"),TK!$E$7=TH!F6007),"x","")</f>
        <v/>
      </c>
      <c r="AD6007" s="79" t="str">
        <f>IF(AND(N6007="1521",MONTH(C6007)='BK-NL'!$M$11),"x","")</f>
        <v/>
      </c>
    </row>
    <row r="6008" spans="1:30" ht="16.5" customHeight="1">
      <c r="A6008" s="318" t="str">
        <f>IF(B6008&lt;&gt;"",IF(AND(B6008='IN-TC'!$S$4,OR(TH!N6008="1111",TH!O6008="1111")),TH!D6008,""),"")</f>
        <v/>
      </c>
      <c r="B6008" s="60" t="str">
        <f t="shared" si="514"/>
        <v/>
      </c>
      <c r="C6008" s="61"/>
      <c r="D6008" s="61"/>
      <c r="E6008" s="61"/>
      <c r="F6008" s="69"/>
      <c r="G6008" s="766"/>
      <c r="H6008" s="69"/>
      <c r="I6008" s="385"/>
      <c r="J6008" s="392"/>
      <c r="K6008" s="385"/>
      <c r="L6008" s="392"/>
      <c r="M6008" s="62"/>
      <c r="N6008" s="63"/>
      <c r="O6008" s="63"/>
      <c r="P6008" s="79" t="str">
        <f>IF(AND('331-CT'!$E$7=TH!H6008,OR(N6008="331",O6008="331")),"x","")</f>
        <v/>
      </c>
      <c r="Q6008" s="79" t="str">
        <f>IF(AND(B6008='111'!$L$11,OR($N6008=$Q$7,$O6008=$Q$7)),"x","")</f>
        <v/>
      </c>
      <c r="R6008" s="79" t="str">
        <f>IF(AND($N6008=$Q$7,$B6008&lt;'111'!$L$11),"x","")</f>
        <v/>
      </c>
      <c r="S6008" s="79" t="str">
        <f>IF(AND($O6008=$Q$7,$B6008&lt;'111'!$L$11),"x","")</f>
        <v/>
      </c>
      <c r="T6008" s="79" t="str">
        <f>IF(ISERROR(FIND('112'!$M$9,G6008,1)),"",IF((AND(FIND('112'!$M$9,G6008,1)&gt;=1,B6008='112'!$K$9,OR($N6008='112'!$I$6,$O6008='112'!$I$6))),"x",""))</f>
        <v/>
      </c>
      <c r="U6008" s="79" t="str">
        <f>IF(ISERROR(FIND('112'!$M$9,G6008,1)),"",IF((AND(LEFT(G6008,2)=LEFT('112'!$M$9,2),B6008&lt;'112'!$K$9,$N6008='112'!$I$6)),"x",""))</f>
        <v/>
      </c>
      <c r="V6008" s="79" t="str">
        <f>IF(ISERROR(FIND('112'!$M$9,G6008,1)),"",IF((AND(RIGHT(G6008,2)=RIGHT('112'!$M$9,2),B6008&lt;'112'!$K$9,$O6008='112'!$I$6)),"x",""))</f>
        <v/>
      </c>
      <c r="W6008" s="79" t="str">
        <f>IF(AND('341-CT'!$H$9=H6008,OR(LEFT(N6008,3)=$W$7,LEFT(O6008,3)=$W$7)),"x","")</f>
        <v/>
      </c>
      <c r="X6008" s="79" t="str">
        <f>IF(OR(TH!N6008=TH!$X$7,O6008=TH!$X$7),"x","")</f>
        <v/>
      </c>
      <c r="Y6008" s="79" t="str">
        <f>IF(AND(OR(N6008="131",O6008="131"),H6008='131-CT'!$H$9),"x","")</f>
        <v/>
      </c>
      <c r="Z6008" s="79"/>
      <c r="AA6008" s="79" t="str">
        <f>IF(AND(MONTH(E6008)='IN-NX'!$J$5,'IN-NX'!$D$7=D6008),"x","")</f>
        <v/>
      </c>
      <c r="AB6008" s="79" t="str">
        <f>IF(AND(OR(LEFT(TH!N6008,2)="15",LEFT(TH!O6008,2)="15"),LEFT(TH!O6008,3)&lt;&gt;"111",'152-CT'!$J$8=TH!F6008),"x","")</f>
        <v/>
      </c>
      <c r="AC6008" s="79" t="str">
        <f>IF(AND(OR(LEFT(TH!N6008,2)="15",LEFT(TH!O6008,2)="15"),TK!$E$7=TH!F6008),"x","")</f>
        <v/>
      </c>
      <c r="AD6008" s="79" t="str">
        <f>IF(AND(N6008="1521",MONTH(C6008)='BK-NL'!$M$11),"x","")</f>
        <v/>
      </c>
    </row>
    <row r="6009" spans="1:30" ht="16.5" customHeight="1">
      <c r="A6009" s="318" t="str">
        <f>IF(B6009&lt;&gt;"",IF(AND(B6009='IN-TC'!$S$4,OR(TH!N6009="1111",TH!O6009="1111")),TH!D6009,""),"")</f>
        <v/>
      </c>
      <c r="B6009" s="60" t="str">
        <f t="shared" si="514"/>
        <v/>
      </c>
      <c r="C6009" s="61"/>
      <c r="D6009" s="61"/>
      <c r="E6009" s="61"/>
      <c r="F6009" s="69"/>
      <c r="G6009" s="766"/>
      <c r="H6009" s="69"/>
      <c r="I6009" s="385"/>
      <c r="J6009" s="392"/>
      <c r="K6009" s="385"/>
      <c r="L6009" s="392"/>
      <c r="M6009" s="62"/>
      <c r="N6009" s="63"/>
      <c r="O6009" s="63"/>
      <c r="P6009" s="79" t="str">
        <f>IF(AND('331-CT'!$E$7=TH!H6009,OR(N6009="331",O6009="331")),"x","")</f>
        <v/>
      </c>
      <c r="Q6009" s="79" t="str">
        <f>IF(AND(B6009='111'!$L$11,OR($N6009=$Q$7,$O6009=$Q$7)),"x","")</f>
        <v/>
      </c>
      <c r="R6009" s="79" t="str">
        <f>IF(AND($N6009=$Q$7,$B6009&lt;'111'!$L$11),"x","")</f>
        <v/>
      </c>
      <c r="S6009" s="79" t="str">
        <f>IF(AND($O6009=$Q$7,$B6009&lt;'111'!$L$11),"x","")</f>
        <v/>
      </c>
      <c r="T6009" s="79" t="str">
        <f>IF(ISERROR(FIND('112'!$M$9,G6009,1)),"",IF((AND(FIND('112'!$M$9,G6009,1)&gt;=1,B6009='112'!$K$9,OR($N6009='112'!$I$6,$O6009='112'!$I$6))),"x",""))</f>
        <v/>
      </c>
      <c r="U6009" s="79" t="str">
        <f>IF(ISERROR(FIND('112'!$M$9,G6009,1)),"",IF((AND(LEFT(G6009,2)=LEFT('112'!$M$9,2),B6009&lt;'112'!$K$9,$N6009='112'!$I$6)),"x",""))</f>
        <v/>
      </c>
      <c r="V6009" s="79" t="str">
        <f>IF(ISERROR(FIND('112'!$M$9,G6009,1)),"",IF((AND(RIGHT(G6009,2)=RIGHT('112'!$M$9,2),B6009&lt;'112'!$K$9,$O6009='112'!$I$6)),"x",""))</f>
        <v/>
      </c>
      <c r="W6009" s="79" t="str">
        <f>IF(AND('341-CT'!$H$9=H6009,OR(LEFT(N6009,3)=$W$7,LEFT(O6009,3)=$W$7)),"x","")</f>
        <v/>
      </c>
      <c r="X6009" s="79" t="str">
        <f>IF(OR(TH!N6009=TH!$X$7,O6009=TH!$X$7),"x","")</f>
        <v/>
      </c>
      <c r="Y6009" s="79" t="str">
        <f>IF(AND(OR(N6009="131",O6009="131"),H6009='131-CT'!$H$9),"x","")</f>
        <v/>
      </c>
      <c r="Z6009" s="79"/>
      <c r="AA6009" s="79" t="str">
        <f>IF(AND(MONTH(E6009)='IN-NX'!$J$5,'IN-NX'!$D$7=D6009),"x","")</f>
        <v/>
      </c>
      <c r="AB6009" s="79" t="str">
        <f>IF(AND(OR(LEFT(TH!N6009,2)="15",LEFT(TH!O6009,2)="15"),LEFT(TH!O6009,3)&lt;&gt;"111",'152-CT'!$J$8=TH!F6009),"x","")</f>
        <v/>
      </c>
      <c r="AC6009" s="79" t="str">
        <f>IF(AND(OR(LEFT(TH!N6009,2)="15",LEFT(TH!O6009,2)="15"),TK!$E$7=TH!F6009),"x","")</f>
        <v/>
      </c>
      <c r="AD6009" s="79" t="str">
        <f>IF(AND(N6009="1521",MONTH(C6009)='BK-NL'!$M$11),"x","")</f>
        <v/>
      </c>
    </row>
    <row r="6010" spans="1:30" ht="16.5" customHeight="1">
      <c r="A6010" s="318" t="str">
        <f>IF(B6010&lt;&gt;"",IF(AND(B6010='IN-TC'!$S$4,OR(TH!N6010="1111",TH!O6010="1111")),TH!D6010,""),"")</f>
        <v/>
      </c>
      <c r="B6010" s="60" t="str">
        <f t="shared" si="514"/>
        <v/>
      </c>
      <c r="C6010" s="61"/>
      <c r="D6010" s="61"/>
      <c r="E6010" s="61"/>
      <c r="F6010" s="69"/>
      <c r="G6010" s="766"/>
      <c r="H6010" s="69"/>
      <c r="I6010" s="385"/>
      <c r="J6010" s="392"/>
      <c r="K6010" s="385"/>
      <c r="L6010" s="392"/>
      <c r="M6010" s="62"/>
      <c r="N6010" s="63"/>
      <c r="O6010" s="63"/>
      <c r="P6010" s="79" t="str">
        <f>IF(AND('331-CT'!$E$7=TH!H6010,OR(N6010="331",O6010="331")),"x","")</f>
        <v/>
      </c>
      <c r="Q6010" s="79" t="str">
        <f>IF(AND(B6010='111'!$L$11,OR($N6010=$Q$7,$O6010=$Q$7)),"x","")</f>
        <v/>
      </c>
      <c r="R6010" s="79" t="str">
        <f>IF(AND($N6010=$Q$7,$B6010&lt;'111'!$L$11),"x","")</f>
        <v/>
      </c>
      <c r="S6010" s="79" t="str">
        <f>IF(AND($O6010=$Q$7,$B6010&lt;'111'!$L$11),"x","")</f>
        <v/>
      </c>
      <c r="T6010" s="79" t="str">
        <f>IF(ISERROR(FIND('112'!$M$9,G6010,1)),"",IF((AND(FIND('112'!$M$9,G6010,1)&gt;=1,B6010='112'!$K$9,OR($N6010='112'!$I$6,$O6010='112'!$I$6))),"x",""))</f>
        <v/>
      </c>
      <c r="U6010" s="79" t="str">
        <f>IF(ISERROR(FIND('112'!$M$9,G6010,1)),"",IF((AND(LEFT(G6010,2)=LEFT('112'!$M$9,2),B6010&lt;'112'!$K$9,$N6010='112'!$I$6)),"x",""))</f>
        <v/>
      </c>
      <c r="V6010" s="79" t="str">
        <f>IF(ISERROR(FIND('112'!$M$9,G6010,1)),"",IF((AND(RIGHT(G6010,2)=RIGHT('112'!$M$9,2),B6010&lt;'112'!$K$9,$O6010='112'!$I$6)),"x",""))</f>
        <v/>
      </c>
      <c r="W6010" s="79" t="str">
        <f>IF(AND('341-CT'!$H$9=H6010,OR(LEFT(N6010,3)=$W$7,LEFT(O6010,3)=$W$7)),"x","")</f>
        <v/>
      </c>
      <c r="X6010" s="79" t="str">
        <f>IF(OR(TH!N6010=TH!$X$7,O6010=TH!$X$7),"x","")</f>
        <v/>
      </c>
      <c r="Y6010" s="79" t="str">
        <f>IF(AND(OR(N6010="131",O6010="131"),H6010='131-CT'!$H$9),"x","")</f>
        <v/>
      </c>
      <c r="Z6010" s="79"/>
      <c r="AA6010" s="79" t="str">
        <f>IF(AND(MONTH(E6010)='IN-NX'!$J$5,'IN-NX'!$D$7=D6010),"x","")</f>
        <v/>
      </c>
      <c r="AB6010" s="79" t="str">
        <f>IF(AND(OR(LEFT(TH!N6010,2)="15",LEFT(TH!O6010,2)="15"),LEFT(TH!O6010,3)&lt;&gt;"111",'152-CT'!$J$8=TH!F6010),"x","")</f>
        <v/>
      </c>
      <c r="AC6010" s="79" t="str">
        <f>IF(AND(OR(LEFT(TH!N6010,2)="15",LEFT(TH!O6010,2)="15"),TK!$E$7=TH!F6010),"x","")</f>
        <v/>
      </c>
      <c r="AD6010" s="79" t="str">
        <f>IF(AND(N6010="1521",MONTH(C6010)='BK-NL'!$M$11),"x","")</f>
        <v/>
      </c>
    </row>
    <row r="6011" spans="1:30" ht="16.5" customHeight="1">
      <c r="A6011" s="318" t="str">
        <f>IF(B6011&lt;&gt;"",IF(AND(B6011='IN-TC'!$S$4,OR(TH!N6011="1111",TH!O6011="1111")),TH!D6011,""),"")</f>
        <v/>
      </c>
      <c r="B6011" s="60" t="str">
        <f t="shared" si="514"/>
        <v/>
      </c>
      <c r="C6011" s="61"/>
      <c r="D6011" s="61"/>
      <c r="E6011" s="61"/>
      <c r="F6011" s="69"/>
      <c r="G6011" s="64"/>
      <c r="H6011" s="69"/>
      <c r="I6011" s="385"/>
      <c r="J6011" s="392"/>
      <c r="K6011" s="385"/>
      <c r="L6011" s="392"/>
      <c r="M6011" s="62"/>
      <c r="N6011" s="63"/>
      <c r="O6011" s="63"/>
      <c r="P6011" s="79" t="str">
        <f>IF(AND('331-CT'!$E$7=TH!H6011,OR(N6011="331",O6011="331")),"x","")</f>
        <v/>
      </c>
      <c r="Q6011" s="79" t="str">
        <f>IF(AND(B6011='111'!$L$11,OR($N6011=$Q$7,$O6011=$Q$7)),"x","")</f>
        <v/>
      </c>
      <c r="R6011" s="79" t="str">
        <f>IF(AND($N6011=$Q$7,$B6011&lt;'111'!$L$11),"x","")</f>
        <v/>
      </c>
      <c r="S6011" s="79" t="str">
        <f>IF(AND($O6011=$Q$7,$B6011&lt;'111'!$L$11),"x","")</f>
        <v/>
      </c>
      <c r="T6011" s="79" t="str">
        <f>IF(ISERROR(FIND('112'!$M$9,G6011,1)),"",IF((AND(FIND('112'!$M$9,G6011,1)&gt;=1,B6011='112'!$K$9,OR($N6011='112'!$I$6,$O6011='112'!$I$6))),"x",""))</f>
        <v/>
      </c>
      <c r="U6011" s="79" t="str">
        <f>IF(ISERROR(FIND('112'!$M$9,G6011,1)),"",IF((AND(LEFT(G6011,2)=LEFT('112'!$M$9,2),B6011&lt;'112'!$K$9,$N6011='112'!$I$6)),"x",""))</f>
        <v/>
      </c>
      <c r="V6011" s="79" t="str">
        <f>IF(ISERROR(FIND('112'!$M$9,G6011,1)),"",IF((AND(RIGHT(G6011,2)=RIGHT('112'!$M$9,2),B6011&lt;'112'!$K$9,$O6011='112'!$I$6)),"x",""))</f>
        <v/>
      </c>
      <c r="W6011" s="79" t="str">
        <f>IF(AND('341-CT'!$H$9=H6011,OR(LEFT(N6011,3)=$W$7,LEFT(O6011,3)=$W$7)),"x","")</f>
        <v/>
      </c>
      <c r="X6011" s="79" t="str">
        <f>IF(OR(TH!N6011=TH!$X$7,O6011=TH!$X$7),"x","")</f>
        <v/>
      </c>
      <c r="Y6011" s="79" t="str">
        <f>IF(AND(OR(N6011="131",O6011="131"),H6011='131-CT'!$H$9),"x","")</f>
        <v/>
      </c>
      <c r="Z6011" s="79"/>
      <c r="AA6011" s="79" t="str">
        <f>IF(AND(MONTH(E6011)='IN-NX'!$J$5,'IN-NX'!$D$7=D6011),"x","")</f>
        <v/>
      </c>
      <c r="AB6011" s="79" t="str">
        <f>IF(AND(OR(LEFT(TH!N6011,2)="15",LEFT(TH!O6011,2)="15"),LEFT(TH!O6011,3)&lt;&gt;"111",'152-CT'!$J$8=TH!F6011),"x","")</f>
        <v/>
      </c>
      <c r="AC6011" s="79" t="str">
        <f>IF(AND(OR(LEFT(TH!N6011,2)="15",LEFT(TH!O6011,2)="15"),TK!$E$7=TH!F6011),"x","")</f>
        <v/>
      </c>
      <c r="AD6011" s="79" t="str">
        <f>IF(AND(N6011="1521",MONTH(C6011)='BK-NL'!$M$11),"x","")</f>
        <v/>
      </c>
    </row>
    <row r="6012" spans="1:30" ht="16.5" customHeight="1">
      <c r="A6012" s="318" t="str">
        <f>IF(B6012&lt;&gt;"",IF(AND(B6012='IN-TC'!$S$4,OR(TH!N6012="1111",TH!O6012="1111")),TH!D6012,""),"")</f>
        <v/>
      </c>
      <c r="B6012" s="60" t="str">
        <f t="shared" si="514"/>
        <v/>
      </c>
      <c r="C6012" s="61"/>
      <c r="D6012" s="61"/>
      <c r="E6012" s="61"/>
      <c r="F6012" s="69"/>
      <c r="G6012" s="766"/>
      <c r="H6012" s="321"/>
      <c r="I6012" s="385"/>
      <c r="J6012" s="392"/>
      <c r="K6012" s="385"/>
      <c r="L6012" s="392"/>
      <c r="M6012" s="62"/>
      <c r="N6012" s="63"/>
      <c r="O6012" s="63"/>
      <c r="P6012" s="79" t="str">
        <f>IF(AND('331-CT'!$E$7=TH!H6012,OR(N6012="331",O6012="331")),"x","")</f>
        <v/>
      </c>
      <c r="Q6012" s="79" t="str">
        <f>IF(AND(B6012='111'!$L$11,OR($N6012=$Q$7,$O6012=$Q$7)),"x","")</f>
        <v/>
      </c>
      <c r="R6012" s="79" t="str">
        <f>IF(AND($N6012=$Q$7,$B6012&lt;'111'!$L$11),"x","")</f>
        <v/>
      </c>
      <c r="S6012" s="79" t="str">
        <f>IF(AND($O6012=$Q$7,$B6012&lt;'111'!$L$11),"x","")</f>
        <v/>
      </c>
      <c r="T6012" s="79" t="str">
        <f>IF(ISERROR(FIND('112'!$M$9,G6012,1)),"",IF((AND(FIND('112'!$M$9,G6012,1)&gt;=1,B6012='112'!$K$9,OR($N6012='112'!$I$6,$O6012='112'!$I$6))),"x",""))</f>
        <v/>
      </c>
      <c r="U6012" s="79" t="str">
        <f>IF(ISERROR(FIND('112'!$M$9,G6012,1)),"",IF((AND(LEFT(G6012,2)=LEFT('112'!$M$9,2),B6012&lt;'112'!$K$9,$N6012='112'!$I$6)),"x",""))</f>
        <v/>
      </c>
      <c r="V6012" s="79" t="str">
        <f>IF(ISERROR(FIND('112'!$M$9,G6012,1)),"",IF((AND(RIGHT(G6012,2)=RIGHT('112'!$M$9,2),B6012&lt;'112'!$K$9,$O6012='112'!$I$6)),"x",""))</f>
        <v/>
      </c>
      <c r="W6012" s="79" t="str">
        <f>IF(AND('341-CT'!$H$9=H6012,OR(LEFT(N6012,3)=$W$7,LEFT(O6012,3)=$W$7)),"x","")</f>
        <v/>
      </c>
      <c r="X6012" s="79" t="str">
        <f>IF(OR(TH!N6012=TH!$X$7,O6012=TH!$X$7),"x","")</f>
        <v/>
      </c>
      <c r="Y6012" s="79" t="str">
        <f>IF(AND(OR(N6012="131",O6012="131"),H6012='131-CT'!$H$9),"x","")</f>
        <v/>
      </c>
      <c r="Z6012" s="79"/>
      <c r="AA6012" s="79" t="str">
        <f>IF(AND(MONTH(E6012)='IN-NX'!$J$5,'IN-NX'!$D$7=D6012),"x","")</f>
        <v/>
      </c>
      <c r="AB6012" s="79" t="str">
        <f>IF(AND(OR(LEFT(TH!N6012,2)="15",LEFT(TH!O6012,2)="15"),LEFT(TH!O6012,3)&lt;&gt;"111",'152-CT'!$J$8=TH!F6012),"x","")</f>
        <v/>
      </c>
      <c r="AC6012" s="79" t="str">
        <f>IF(AND(OR(LEFT(TH!N6012,2)="15",LEFT(TH!O6012,2)="15"),TK!$E$7=TH!F6012),"x","")</f>
        <v/>
      </c>
      <c r="AD6012" s="79" t="str">
        <f>IF(AND(N6012="1521",MONTH(C6012)='BK-NL'!$M$11),"x","")</f>
        <v/>
      </c>
    </row>
    <row r="6013" spans="1:30" ht="16.5" customHeight="1">
      <c r="A6013" s="318" t="str">
        <f>IF(B6013&lt;&gt;"",IF(AND(B6013='IN-TC'!$S$4,OR(TH!N6013="1111",TH!O6013="1111")),TH!D6013,""),"")</f>
        <v/>
      </c>
      <c r="B6013" s="60" t="str">
        <f t="shared" si="514"/>
        <v/>
      </c>
      <c r="C6013" s="61"/>
      <c r="D6013" s="61"/>
      <c r="E6013" s="61"/>
      <c r="F6013" s="69"/>
      <c r="G6013" s="766"/>
      <c r="H6013" s="321"/>
      <c r="I6013" s="385"/>
      <c r="J6013" s="392"/>
      <c r="K6013" s="385"/>
      <c r="L6013" s="392"/>
      <c r="M6013" s="62"/>
      <c r="N6013" s="63"/>
      <c r="O6013" s="63"/>
      <c r="P6013" s="79" t="str">
        <f>IF(AND('331-CT'!$E$7=TH!H6013,OR(N6013="331",O6013="331")),"x","")</f>
        <v/>
      </c>
      <c r="Q6013" s="79" t="str">
        <f>IF(AND(B6013='111'!$L$11,OR($N6013=$Q$7,$O6013=$Q$7)),"x","")</f>
        <v/>
      </c>
      <c r="R6013" s="79" t="str">
        <f>IF(AND($N6013=$Q$7,$B6013&lt;'111'!$L$11),"x","")</f>
        <v/>
      </c>
      <c r="S6013" s="79" t="str">
        <f>IF(AND($O6013=$Q$7,$B6013&lt;'111'!$L$11),"x","")</f>
        <v/>
      </c>
      <c r="T6013" s="79" t="str">
        <f>IF(ISERROR(FIND('112'!$M$9,G6013,1)),"",IF((AND(FIND('112'!$M$9,G6013,1)&gt;=1,B6013='112'!$K$9,OR($N6013='112'!$I$6,$O6013='112'!$I$6))),"x",""))</f>
        <v/>
      </c>
      <c r="U6013" s="79" t="str">
        <f>IF(ISERROR(FIND('112'!$M$9,G6013,1)),"",IF((AND(LEFT(G6013,2)=LEFT('112'!$M$9,2),B6013&lt;'112'!$K$9,$N6013='112'!$I$6)),"x",""))</f>
        <v/>
      </c>
      <c r="V6013" s="79" t="str">
        <f>IF(ISERROR(FIND('112'!$M$9,G6013,1)),"",IF((AND(RIGHT(G6013,2)=RIGHT('112'!$M$9,2),B6013&lt;'112'!$K$9,$O6013='112'!$I$6)),"x",""))</f>
        <v/>
      </c>
      <c r="W6013" s="79" t="str">
        <f>IF(AND('341-CT'!$H$9=H6013,OR(LEFT(N6013,3)=$W$7,LEFT(O6013,3)=$W$7)),"x","")</f>
        <v/>
      </c>
      <c r="X6013" s="79" t="str">
        <f>IF(OR(TH!N6013=TH!$X$7,O6013=TH!$X$7),"x","")</f>
        <v/>
      </c>
      <c r="Y6013" s="79" t="str">
        <f>IF(AND(OR(N6013="131",O6013="131"),H6013='131-CT'!$H$9),"x","")</f>
        <v/>
      </c>
      <c r="Z6013" s="79"/>
      <c r="AA6013" s="79" t="str">
        <f>IF(AND(MONTH(E6013)='IN-NX'!$J$5,'IN-NX'!$D$7=D6013),"x","")</f>
        <v/>
      </c>
      <c r="AB6013" s="79" t="str">
        <f>IF(AND(OR(LEFT(TH!N6013,2)="15",LEFT(TH!O6013,2)="15"),LEFT(TH!O6013,3)&lt;&gt;"111",'152-CT'!$J$8=TH!F6013),"x","")</f>
        <v/>
      </c>
      <c r="AC6013" s="79" t="str">
        <f>IF(AND(OR(LEFT(TH!N6013,2)="15",LEFT(TH!O6013,2)="15"),TK!$E$7=TH!F6013),"x","")</f>
        <v/>
      </c>
      <c r="AD6013" s="79" t="str">
        <f>IF(AND(N6013="1521",MONTH(C6013)='BK-NL'!$M$11),"x","")</f>
        <v/>
      </c>
    </row>
    <row r="6014" spans="1:30" ht="16.5" customHeight="1">
      <c r="A6014" s="318" t="str">
        <f>IF(B6014&lt;&gt;"",IF(AND(B6014='IN-TC'!$S$4,OR(TH!N6014="1111",TH!O6014="1111")),TH!D6014,""),"")</f>
        <v/>
      </c>
      <c r="B6014" s="60" t="str">
        <f t="shared" si="514"/>
        <v/>
      </c>
      <c r="C6014" s="61"/>
      <c r="D6014" s="61"/>
      <c r="E6014" s="61"/>
      <c r="F6014" s="69"/>
      <c r="G6014" s="64"/>
      <c r="H6014" s="69"/>
      <c r="I6014" s="385"/>
      <c r="J6014" s="392"/>
      <c r="K6014" s="385"/>
      <c r="L6014" s="392"/>
      <c r="M6014" s="62"/>
      <c r="N6014" s="63"/>
      <c r="O6014" s="63"/>
      <c r="P6014" s="79" t="str">
        <f>IF(AND('331-CT'!$E$7=TH!H6014,OR(N6014="331",O6014="331")),"x","")</f>
        <v/>
      </c>
      <c r="Q6014" s="79" t="str">
        <f>IF(AND(B6014='111'!$L$11,OR($N6014=$Q$7,$O6014=$Q$7)),"x","")</f>
        <v/>
      </c>
      <c r="R6014" s="79" t="str">
        <f>IF(AND($N6014=$Q$7,$B6014&lt;'111'!$L$11),"x","")</f>
        <v/>
      </c>
      <c r="S6014" s="79" t="str">
        <f>IF(AND($O6014=$Q$7,$B6014&lt;'111'!$L$11),"x","")</f>
        <v/>
      </c>
      <c r="T6014" s="79" t="str">
        <f>IF(ISERROR(FIND('112'!$M$9,G6014,1)),"",IF((AND(FIND('112'!$M$9,G6014,1)&gt;=1,B6014='112'!$K$9,OR($N6014='112'!$I$6,$O6014='112'!$I$6))),"x",""))</f>
        <v/>
      </c>
      <c r="U6014" s="79" t="str">
        <f>IF(ISERROR(FIND('112'!$M$9,G6014,1)),"",IF((AND(LEFT(G6014,2)=LEFT('112'!$M$9,2),B6014&lt;'112'!$K$9,$N6014='112'!$I$6)),"x",""))</f>
        <v/>
      </c>
      <c r="V6014" s="79" t="str">
        <f>IF(ISERROR(FIND('112'!$M$9,G6014,1)),"",IF((AND(RIGHT(G6014,2)=RIGHT('112'!$M$9,2),B6014&lt;'112'!$K$9,$O6014='112'!$I$6)),"x",""))</f>
        <v/>
      </c>
      <c r="W6014" s="79" t="str">
        <f>IF(AND('341-CT'!$H$9=H6014,OR(LEFT(N6014,3)=$W$7,LEFT(O6014,3)=$W$7)),"x","")</f>
        <v/>
      </c>
      <c r="X6014" s="79" t="str">
        <f>IF(OR(TH!N6014=TH!$X$7,O6014=TH!$X$7),"x","")</f>
        <v/>
      </c>
      <c r="Y6014" s="79" t="str">
        <f>IF(AND(OR(N6014="131",O6014="131"),H6014='131-CT'!$H$9),"x","")</f>
        <v/>
      </c>
      <c r="Z6014" s="79"/>
      <c r="AA6014" s="79" t="str">
        <f>IF(AND(MONTH(E6014)='IN-NX'!$J$5,'IN-NX'!$D$7=D6014),"x","")</f>
        <v/>
      </c>
      <c r="AB6014" s="79" t="str">
        <f>IF(AND(OR(LEFT(TH!N6014,2)="15",LEFT(TH!O6014,2)="15"),LEFT(TH!O6014,3)&lt;&gt;"111",'152-CT'!$J$8=TH!F6014),"x","")</f>
        <v/>
      </c>
      <c r="AC6014" s="79" t="str">
        <f>IF(AND(OR(LEFT(TH!N6014,2)="15",LEFT(TH!O6014,2)="15"),TK!$E$7=TH!F6014),"x","")</f>
        <v/>
      </c>
      <c r="AD6014" s="79" t="str">
        <f>IF(AND(N6014="1521",MONTH(C6014)='BK-NL'!$M$11),"x","")</f>
        <v/>
      </c>
    </row>
    <row r="6015" spans="1:30" ht="16.5" customHeight="1">
      <c r="A6015" s="318" t="str">
        <f>IF(B6015&lt;&gt;"",IF(AND(B6015='IN-TC'!$S$4,OR(TH!N6015="1111",TH!O6015="1111")),TH!D6015,""),"")</f>
        <v/>
      </c>
      <c r="B6015" s="60" t="str">
        <f t="shared" si="514"/>
        <v/>
      </c>
      <c r="C6015" s="61"/>
      <c r="D6015" s="61"/>
      <c r="E6015" s="61"/>
      <c r="F6015" s="69"/>
      <c r="G6015" s="766"/>
      <c r="H6015" s="69"/>
      <c r="I6015" s="385"/>
      <c r="J6015" s="392"/>
      <c r="K6015" s="385"/>
      <c r="L6015" s="392"/>
      <c r="M6015" s="62"/>
      <c r="N6015" s="63"/>
      <c r="O6015" s="63"/>
      <c r="P6015" s="79" t="str">
        <f>IF(AND('331-CT'!$E$7=TH!H6015,OR(N6015="331",O6015="331")),"x","")</f>
        <v/>
      </c>
      <c r="Q6015" s="79" t="str">
        <f>IF(AND(B6015='111'!$L$11,OR($N6015=$Q$7,$O6015=$Q$7)),"x","")</f>
        <v/>
      </c>
      <c r="R6015" s="79" t="str">
        <f>IF(AND($N6015=$Q$7,$B6015&lt;'111'!$L$11),"x","")</f>
        <v/>
      </c>
      <c r="S6015" s="79" t="str">
        <f>IF(AND($O6015=$Q$7,$B6015&lt;'111'!$L$11),"x","")</f>
        <v/>
      </c>
      <c r="T6015" s="79" t="str">
        <f>IF(ISERROR(FIND('112'!$M$9,G6015,1)),"",IF((AND(FIND('112'!$M$9,G6015,1)&gt;=1,B6015='112'!$K$9,OR($N6015='112'!$I$6,$O6015='112'!$I$6))),"x",""))</f>
        <v/>
      </c>
      <c r="U6015" s="79" t="str">
        <f>IF(ISERROR(FIND('112'!$M$9,G6015,1)),"",IF((AND(LEFT(G6015,2)=LEFT('112'!$M$9,2),B6015&lt;'112'!$K$9,$N6015='112'!$I$6)),"x",""))</f>
        <v/>
      </c>
      <c r="V6015" s="79" t="str">
        <f>IF(ISERROR(FIND('112'!$M$9,G6015,1)),"",IF((AND(RIGHT(G6015,2)=RIGHT('112'!$M$9,2),B6015&lt;'112'!$K$9,$O6015='112'!$I$6)),"x",""))</f>
        <v/>
      </c>
      <c r="W6015" s="79" t="str">
        <f>IF(AND('341-CT'!$H$9=H6015,OR(LEFT(N6015,3)=$W$7,LEFT(O6015,3)=$W$7)),"x","")</f>
        <v/>
      </c>
      <c r="X6015" s="79" t="str">
        <f>IF(OR(TH!N6015=TH!$X$7,O6015=TH!$X$7),"x","")</f>
        <v/>
      </c>
      <c r="Y6015" s="79" t="str">
        <f>IF(AND(OR(N6015="131",O6015="131"),H6015='131-CT'!$H$9),"x","")</f>
        <v/>
      </c>
      <c r="Z6015" s="79"/>
      <c r="AA6015" s="79" t="str">
        <f>IF(AND(MONTH(E6015)='IN-NX'!$J$5,'IN-NX'!$D$7=D6015),"x","")</f>
        <v/>
      </c>
      <c r="AB6015" s="79" t="str">
        <f>IF(AND(OR(LEFT(TH!N6015,2)="15",LEFT(TH!O6015,2)="15"),LEFT(TH!O6015,3)&lt;&gt;"111",'152-CT'!$J$8=TH!F6015),"x","")</f>
        <v/>
      </c>
      <c r="AC6015" s="79" t="str">
        <f>IF(AND(OR(LEFT(TH!N6015,2)="15",LEFT(TH!O6015,2)="15"),TK!$E$7=TH!F6015),"x","")</f>
        <v/>
      </c>
      <c r="AD6015" s="79" t="str">
        <f>IF(AND(N6015="1521",MONTH(C6015)='BK-NL'!$M$11),"x","")</f>
        <v/>
      </c>
    </row>
    <row r="6016" spans="1:30" ht="16.5" customHeight="1">
      <c r="A6016" s="318" t="str">
        <f>IF(B6016&lt;&gt;"",IF(AND(B6016='IN-TC'!$S$4,OR(TH!N6016="1111",TH!O6016="1111")),TH!D6016,""),"")</f>
        <v/>
      </c>
      <c r="B6016" s="60" t="str">
        <f t="shared" si="514"/>
        <v/>
      </c>
      <c r="C6016" s="61"/>
      <c r="D6016" s="61"/>
      <c r="E6016" s="61"/>
      <c r="F6016" s="69"/>
      <c r="G6016" s="766"/>
      <c r="H6016" s="69"/>
      <c r="I6016" s="385"/>
      <c r="J6016" s="392"/>
      <c r="K6016" s="385"/>
      <c r="L6016" s="392"/>
      <c r="M6016" s="62"/>
      <c r="N6016" s="63"/>
      <c r="O6016" s="63"/>
      <c r="P6016" s="79" t="str">
        <f>IF(AND('331-CT'!$E$7=TH!H6016,OR(N6016="331",O6016="331")),"x","")</f>
        <v/>
      </c>
      <c r="Q6016" s="79" t="str">
        <f>IF(AND(B6016='111'!$L$11,OR($N6016=$Q$7,$O6016=$Q$7)),"x","")</f>
        <v/>
      </c>
      <c r="R6016" s="79" t="str">
        <f>IF(AND($N6016=$Q$7,$B6016&lt;'111'!$L$11),"x","")</f>
        <v/>
      </c>
      <c r="S6016" s="79" t="str">
        <f>IF(AND($O6016=$Q$7,$B6016&lt;'111'!$L$11),"x","")</f>
        <v/>
      </c>
      <c r="T6016" s="79" t="str">
        <f>IF(ISERROR(FIND('112'!$M$9,G6016,1)),"",IF((AND(FIND('112'!$M$9,G6016,1)&gt;=1,B6016='112'!$K$9,OR($N6016='112'!$I$6,$O6016='112'!$I$6))),"x",""))</f>
        <v/>
      </c>
      <c r="U6016" s="79" t="str">
        <f>IF(ISERROR(FIND('112'!$M$9,G6016,1)),"",IF((AND(LEFT(G6016,2)=LEFT('112'!$M$9,2),B6016&lt;'112'!$K$9,$N6016='112'!$I$6)),"x",""))</f>
        <v/>
      </c>
      <c r="V6016" s="79" t="str">
        <f>IF(ISERROR(FIND('112'!$M$9,G6016,1)),"",IF((AND(RIGHT(G6016,2)=RIGHT('112'!$M$9,2),B6016&lt;'112'!$K$9,$O6016='112'!$I$6)),"x",""))</f>
        <v/>
      </c>
      <c r="W6016" s="79" t="str">
        <f>IF(AND('341-CT'!$H$9=H6016,OR(LEFT(N6016,3)=$W$7,LEFT(O6016,3)=$W$7)),"x","")</f>
        <v/>
      </c>
      <c r="X6016" s="79" t="str">
        <f>IF(OR(TH!N6016=TH!$X$7,O6016=TH!$X$7),"x","")</f>
        <v/>
      </c>
      <c r="Y6016" s="79" t="str">
        <f>IF(AND(OR(N6016="131",O6016="131"),H6016='131-CT'!$H$9),"x","")</f>
        <v/>
      </c>
      <c r="Z6016" s="79"/>
      <c r="AA6016" s="79" t="str">
        <f>IF(AND(MONTH(E6016)='IN-NX'!$J$5,'IN-NX'!$D$7=D6016),"x","")</f>
        <v/>
      </c>
      <c r="AB6016" s="79" t="str">
        <f>IF(AND(OR(LEFT(TH!N6016,2)="15",LEFT(TH!O6016,2)="15"),LEFT(TH!O6016,3)&lt;&gt;"111",'152-CT'!$J$8=TH!F6016),"x","")</f>
        <v/>
      </c>
      <c r="AC6016" s="79" t="str">
        <f>IF(AND(OR(LEFT(TH!N6016,2)="15",LEFT(TH!O6016,2)="15"),TK!$E$7=TH!F6016),"x","")</f>
        <v/>
      </c>
      <c r="AD6016" s="79" t="str">
        <f>IF(AND(N6016="1521",MONTH(C6016)='BK-NL'!$M$11),"x","")</f>
        <v/>
      </c>
    </row>
    <row r="6017" spans="1:30" ht="16.5" customHeight="1">
      <c r="A6017" s="318" t="str">
        <f>IF(B6017&lt;&gt;"",IF(AND(B6017='IN-TC'!$S$4,OR(TH!N6017="1111",TH!O6017="1111")),TH!D6017,""),"")</f>
        <v/>
      </c>
      <c r="B6017" s="60" t="str">
        <f t="shared" si="514"/>
        <v/>
      </c>
      <c r="C6017" s="61"/>
      <c r="D6017" s="61"/>
      <c r="E6017" s="61"/>
      <c r="F6017" s="446"/>
      <c r="G6017" s="64"/>
      <c r="H6017" s="69"/>
      <c r="I6017" s="385"/>
      <c r="J6017" s="392"/>
      <c r="K6017" s="385"/>
      <c r="L6017" s="392"/>
      <c r="M6017" s="62"/>
      <c r="N6017" s="63"/>
      <c r="O6017" s="63"/>
      <c r="P6017" s="79" t="str">
        <f>IF(AND('331-CT'!$E$7=TH!H6017,OR(N6017="331",O6017="331")),"x","")</f>
        <v/>
      </c>
      <c r="Q6017" s="79" t="str">
        <f>IF(AND(B6017='111'!$L$11,OR($N6017=$Q$7,$O6017=$Q$7)),"x","")</f>
        <v/>
      </c>
      <c r="R6017" s="79" t="str">
        <f>IF(AND($N6017=$Q$7,$B6017&lt;'111'!$L$11),"x","")</f>
        <v/>
      </c>
      <c r="S6017" s="79" t="str">
        <f>IF(AND($O6017=$Q$7,$B6017&lt;'111'!$L$11),"x","")</f>
        <v/>
      </c>
      <c r="T6017" s="79" t="str">
        <f>IF(ISERROR(FIND('112'!$M$9,G6017,1)),"",IF((AND(FIND('112'!$M$9,G6017,1)&gt;=1,B6017='112'!$K$9,OR($N6017='112'!$I$6,$O6017='112'!$I$6))),"x",""))</f>
        <v/>
      </c>
      <c r="U6017" s="79" t="str">
        <f>IF(ISERROR(FIND('112'!$M$9,G6017,1)),"",IF((AND(LEFT(G6017,2)=LEFT('112'!$M$9,2),B6017&lt;'112'!$K$9,$N6017='112'!$I$6)),"x",""))</f>
        <v/>
      </c>
      <c r="V6017" s="79" t="str">
        <f>IF(ISERROR(FIND('112'!$M$9,G6017,1)),"",IF((AND(RIGHT(G6017,2)=RIGHT('112'!$M$9,2),B6017&lt;'112'!$K$9,$O6017='112'!$I$6)),"x",""))</f>
        <v/>
      </c>
      <c r="W6017" s="79" t="str">
        <f>IF(AND('341-CT'!$H$9=H6017,OR(LEFT(N6017,3)=$W$7,LEFT(O6017,3)=$W$7)),"x","")</f>
        <v/>
      </c>
      <c r="X6017" s="79" t="str">
        <f>IF(OR(TH!N6017=TH!$X$7,O6017=TH!$X$7),"x","")</f>
        <v/>
      </c>
      <c r="Y6017" s="79" t="str">
        <f>IF(AND(OR(N6017="131",O6017="131"),H6017='131-CT'!$H$9),"x","")</f>
        <v/>
      </c>
      <c r="Z6017" s="79"/>
      <c r="AA6017" s="79" t="str">
        <f>IF(AND(MONTH(E6017)='IN-NX'!$J$5,'IN-NX'!$D$7=D6017),"x","")</f>
        <v/>
      </c>
      <c r="AB6017" s="79" t="str">
        <f>IF(AND(OR(LEFT(TH!N6017,2)="15",LEFT(TH!O6017,2)="15"),LEFT(TH!O6017,3)&lt;&gt;"111",'152-CT'!$J$8=TH!F6017),"x","")</f>
        <v/>
      </c>
      <c r="AC6017" s="79" t="str">
        <f>IF(AND(OR(LEFT(TH!N6017,2)="15",LEFT(TH!O6017,2)="15"),TK!$E$7=TH!F6017),"x","")</f>
        <v/>
      </c>
      <c r="AD6017" s="79" t="str">
        <f>IF(AND(N6017="1521",MONTH(C6017)='BK-NL'!$M$11),"x","")</f>
        <v/>
      </c>
    </row>
    <row r="6018" spans="1:30" ht="16.5" customHeight="1">
      <c r="A6018" s="318" t="str">
        <f>IF(B6018&lt;&gt;"",IF(AND(B6018='IN-TC'!$S$4,OR(TH!N6018="1111",TH!O6018="1111")),TH!D6018,""),"")</f>
        <v/>
      </c>
      <c r="B6018" s="60" t="str">
        <f t="shared" si="514"/>
        <v/>
      </c>
      <c r="C6018" s="61"/>
      <c r="D6018" s="61"/>
      <c r="E6018" s="61"/>
      <c r="F6018" s="69"/>
      <c r="G6018" s="766"/>
      <c r="H6018" s="69"/>
      <c r="I6018" s="385"/>
      <c r="J6018" s="392"/>
      <c r="K6018" s="385"/>
      <c r="L6018" s="392"/>
      <c r="M6018" s="920"/>
      <c r="N6018" s="63"/>
      <c r="O6018" s="63"/>
      <c r="P6018" s="79" t="str">
        <f>IF(AND('331-CT'!$E$7=TH!H6018,OR(N6018="331",O6018="331")),"x","")</f>
        <v/>
      </c>
      <c r="Q6018" s="79" t="str">
        <f>IF(AND(B6018='111'!$L$11,OR($N6018=$Q$7,$O6018=$Q$7)),"x","")</f>
        <v/>
      </c>
      <c r="R6018" s="79" t="str">
        <f>IF(AND($N6018=$Q$7,$B6018&lt;'111'!$L$11),"x","")</f>
        <v/>
      </c>
      <c r="S6018" s="79" t="str">
        <f>IF(AND($O6018=$Q$7,$B6018&lt;'111'!$L$11),"x","")</f>
        <v/>
      </c>
      <c r="T6018" s="79" t="str">
        <f>IF(ISERROR(FIND('112'!$M$9,G6018,1)),"",IF((AND(FIND('112'!$M$9,G6018,1)&gt;=1,B6018='112'!$K$9,OR($N6018='112'!$I$6,$O6018='112'!$I$6))),"x",""))</f>
        <v/>
      </c>
      <c r="U6018" s="79" t="str">
        <f>IF(ISERROR(FIND('112'!$M$9,G6018,1)),"",IF((AND(LEFT(G6018,2)=LEFT('112'!$M$9,2),B6018&lt;'112'!$K$9,$N6018='112'!$I$6)),"x",""))</f>
        <v/>
      </c>
      <c r="V6018" s="79" t="str">
        <f>IF(ISERROR(FIND('112'!$M$9,G6018,1)),"",IF((AND(RIGHT(G6018,2)=RIGHT('112'!$M$9,2),B6018&lt;'112'!$K$9,$O6018='112'!$I$6)),"x",""))</f>
        <v/>
      </c>
      <c r="W6018" s="79" t="str">
        <f>IF(AND('341-CT'!$H$9=H6018,OR(LEFT(N6018,3)=$W$7,LEFT(O6018,3)=$W$7)),"x","")</f>
        <v/>
      </c>
      <c r="X6018" s="79" t="str">
        <f>IF(OR(TH!N6018=TH!$X$7,O6018=TH!$X$7),"x","")</f>
        <v/>
      </c>
      <c r="Y6018" s="79" t="str">
        <f>IF(AND(OR(N6018="131",O6018="131"),H6018='131-CT'!$H$9),"x","")</f>
        <v/>
      </c>
      <c r="Z6018" s="79"/>
      <c r="AA6018" s="79" t="str">
        <f>IF(AND(MONTH(E6018)='IN-NX'!$J$5,'IN-NX'!$D$7=D6018),"x","")</f>
        <v/>
      </c>
      <c r="AB6018" s="79" t="str">
        <f>IF(AND(OR(LEFT(TH!N6018,2)="15",LEFT(TH!O6018,2)="15"),LEFT(TH!O6018,3)&lt;&gt;"111",'152-CT'!$J$8=TH!F6018),"x","")</f>
        <v/>
      </c>
      <c r="AC6018" s="79" t="str">
        <f>IF(AND(OR(LEFT(TH!N6018,2)="15",LEFT(TH!O6018,2)="15"),TK!$E$7=TH!F6018),"x","")</f>
        <v/>
      </c>
      <c r="AD6018" s="79" t="str">
        <f>IF(AND(N6018="1521",MONTH(C6018)='BK-NL'!$M$11),"x","")</f>
        <v/>
      </c>
    </row>
    <row r="6019" spans="1:30" ht="16.5" customHeight="1">
      <c r="A6019" s="318" t="str">
        <f>IF(B6019&lt;&gt;"",IF(AND(B6019='IN-TC'!$S$4,OR(TH!N6019="1111",TH!O6019="1111")),TH!D6019,""),"")</f>
        <v/>
      </c>
      <c r="B6019" s="60" t="str">
        <f t="shared" ref="B6019:B6082" si="515">IF(C6019&lt;&gt;"",MONTH(C6019),"")</f>
        <v/>
      </c>
      <c r="C6019" s="61"/>
      <c r="D6019" s="61"/>
      <c r="E6019" s="61"/>
      <c r="F6019" s="69"/>
      <c r="G6019" s="766"/>
      <c r="H6019" s="69"/>
      <c r="I6019" s="385"/>
      <c r="J6019" s="392"/>
      <c r="K6019" s="385"/>
      <c r="L6019" s="392"/>
      <c r="M6019" s="62"/>
      <c r="N6019" s="63"/>
      <c r="O6019" s="63"/>
      <c r="P6019" s="79" t="str">
        <f>IF(AND('331-CT'!$E$7=TH!H6019,OR(N6019="331",O6019="331")),"x","")</f>
        <v/>
      </c>
      <c r="Q6019" s="79" t="str">
        <f>IF(AND(B6019='111'!$L$11,OR($N6019=$Q$7,$O6019=$Q$7)),"x","")</f>
        <v/>
      </c>
      <c r="R6019" s="79" t="str">
        <f>IF(AND($N6019=$Q$7,$B6019&lt;'111'!$L$11),"x","")</f>
        <v/>
      </c>
      <c r="S6019" s="79" t="str">
        <f>IF(AND($O6019=$Q$7,$B6019&lt;'111'!$L$11),"x","")</f>
        <v/>
      </c>
      <c r="T6019" s="79" t="str">
        <f>IF(ISERROR(FIND('112'!$M$9,G6019,1)),"",IF((AND(FIND('112'!$M$9,G6019,1)&gt;=1,B6019='112'!$K$9,OR($N6019='112'!$I$6,$O6019='112'!$I$6))),"x",""))</f>
        <v/>
      </c>
      <c r="U6019" s="79" t="str">
        <f>IF(ISERROR(FIND('112'!$M$9,G6019,1)),"",IF((AND(LEFT(G6019,2)=LEFT('112'!$M$9,2),B6019&lt;'112'!$K$9,$N6019='112'!$I$6)),"x",""))</f>
        <v/>
      </c>
      <c r="V6019" s="79" t="str">
        <f>IF(ISERROR(FIND('112'!$M$9,G6019,1)),"",IF((AND(RIGHT(G6019,2)=RIGHT('112'!$M$9,2),B6019&lt;'112'!$K$9,$O6019='112'!$I$6)),"x",""))</f>
        <v/>
      </c>
      <c r="W6019" s="79" t="str">
        <f>IF(AND('341-CT'!$H$9=H6019,OR(LEFT(N6019,3)=$W$7,LEFT(O6019,3)=$W$7)),"x","")</f>
        <v/>
      </c>
      <c r="X6019" s="79" t="str">
        <f>IF(OR(TH!N6019=TH!$X$7,O6019=TH!$X$7),"x","")</f>
        <v/>
      </c>
      <c r="Y6019" s="79" t="str">
        <f>IF(AND(OR(N6019="131",O6019="131"),H6019='131-CT'!$H$9),"x","")</f>
        <v/>
      </c>
      <c r="Z6019" s="79"/>
      <c r="AA6019" s="79" t="str">
        <f>IF(AND(MONTH(E6019)='IN-NX'!$J$5,'IN-NX'!$D$7=D6019),"x","")</f>
        <v/>
      </c>
      <c r="AB6019" s="79" t="str">
        <f>IF(AND(OR(LEFT(TH!N6019,2)="15",LEFT(TH!O6019,2)="15"),LEFT(TH!O6019,3)&lt;&gt;"111",'152-CT'!$J$8=TH!F6019),"x","")</f>
        <v/>
      </c>
      <c r="AC6019" s="79" t="str">
        <f>IF(AND(OR(LEFT(TH!N6019,2)="15",LEFT(TH!O6019,2)="15"),TK!$E$7=TH!F6019),"x","")</f>
        <v/>
      </c>
      <c r="AD6019" s="79" t="str">
        <f>IF(AND(N6019="1521",MONTH(C6019)='BK-NL'!$M$11),"x","")</f>
        <v/>
      </c>
    </row>
    <row r="6020" spans="1:30" ht="16.5" customHeight="1">
      <c r="A6020" s="318" t="str">
        <f>IF(B6020&lt;&gt;"",IF(AND(B6020='IN-TC'!$S$4,OR(TH!N6020="1111",TH!O6020="1111")),TH!D6020,""),"")</f>
        <v/>
      </c>
      <c r="B6020" s="60" t="str">
        <f t="shared" si="515"/>
        <v/>
      </c>
      <c r="C6020" s="61"/>
      <c r="D6020" s="61"/>
      <c r="E6020" s="61"/>
      <c r="F6020" s="69"/>
      <c r="G6020" s="766"/>
      <c r="H6020" s="69"/>
      <c r="I6020" s="385"/>
      <c r="J6020" s="392"/>
      <c r="K6020" s="385"/>
      <c r="L6020" s="392"/>
      <c r="M6020" s="62"/>
      <c r="N6020" s="63"/>
      <c r="O6020" s="63"/>
      <c r="P6020" s="79" t="str">
        <f>IF(AND('331-CT'!$E$7=TH!H6020,OR(N6020="331",O6020="331")),"x","")</f>
        <v/>
      </c>
      <c r="Q6020" s="79" t="str">
        <f>IF(AND(B6020='111'!$L$11,OR($N6020=$Q$7,$O6020=$Q$7)),"x","")</f>
        <v/>
      </c>
      <c r="R6020" s="79" t="str">
        <f>IF(AND($N6020=$Q$7,$B6020&lt;'111'!$L$11),"x","")</f>
        <v/>
      </c>
      <c r="S6020" s="79" t="str">
        <f>IF(AND($O6020=$Q$7,$B6020&lt;'111'!$L$11),"x","")</f>
        <v/>
      </c>
      <c r="T6020" s="79" t="str">
        <f>IF(ISERROR(FIND('112'!$M$9,G6020,1)),"",IF((AND(FIND('112'!$M$9,G6020,1)&gt;=1,B6020='112'!$K$9,OR($N6020='112'!$I$6,$O6020='112'!$I$6))),"x",""))</f>
        <v/>
      </c>
      <c r="U6020" s="79" t="str">
        <f>IF(ISERROR(FIND('112'!$M$9,G6020,1)),"",IF((AND(LEFT(G6020,2)=LEFT('112'!$M$9,2),B6020&lt;'112'!$K$9,$N6020='112'!$I$6)),"x",""))</f>
        <v/>
      </c>
      <c r="V6020" s="79" t="str">
        <f>IF(ISERROR(FIND('112'!$M$9,G6020,1)),"",IF((AND(RIGHT(G6020,2)=RIGHT('112'!$M$9,2),B6020&lt;'112'!$K$9,$O6020='112'!$I$6)),"x",""))</f>
        <v/>
      </c>
      <c r="W6020" s="79" t="str">
        <f>IF(AND('341-CT'!$H$9=H6020,OR(LEFT(N6020,3)=$W$7,LEFT(O6020,3)=$W$7)),"x","")</f>
        <v/>
      </c>
      <c r="X6020" s="79" t="str">
        <f>IF(OR(TH!N6020=TH!$X$7,O6020=TH!$X$7),"x","")</f>
        <v/>
      </c>
      <c r="Y6020" s="79" t="str">
        <f>IF(AND(OR(N6020="131",O6020="131"),H6020='131-CT'!$H$9),"x","")</f>
        <v/>
      </c>
      <c r="Z6020" s="79"/>
      <c r="AA6020" s="79" t="str">
        <f>IF(AND(MONTH(E6020)='IN-NX'!$J$5,'IN-NX'!$D$7=D6020),"x","")</f>
        <v/>
      </c>
      <c r="AB6020" s="79" t="str">
        <f>IF(AND(OR(LEFT(TH!N6020,2)="15",LEFT(TH!O6020,2)="15"),LEFT(TH!O6020,3)&lt;&gt;"111",'152-CT'!$J$8=TH!F6020),"x","")</f>
        <v/>
      </c>
      <c r="AC6020" s="79" t="str">
        <f>IF(AND(OR(LEFT(TH!N6020,2)="15",LEFT(TH!O6020,2)="15"),TK!$E$7=TH!F6020),"x","")</f>
        <v/>
      </c>
      <c r="AD6020" s="79" t="str">
        <f>IF(AND(N6020="1521",MONTH(C6020)='BK-NL'!$M$11),"x","")</f>
        <v/>
      </c>
    </row>
    <row r="6021" spans="1:30" ht="16.5" customHeight="1">
      <c r="A6021" s="318" t="str">
        <f>IF(B6021&lt;&gt;"",IF(AND(B6021='IN-TC'!$S$4,OR(TH!N6021="1111",TH!O6021="1111")),TH!D6021,""),"")</f>
        <v/>
      </c>
      <c r="B6021" s="60" t="str">
        <f t="shared" si="515"/>
        <v/>
      </c>
      <c r="C6021" s="61"/>
      <c r="D6021" s="61"/>
      <c r="E6021" s="61"/>
      <c r="F6021" s="446"/>
      <c r="G6021" s="64"/>
      <c r="H6021" s="69"/>
      <c r="I6021" s="385"/>
      <c r="J6021" s="392"/>
      <c r="K6021" s="385"/>
      <c r="L6021" s="392"/>
      <c r="M6021" s="62"/>
      <c r="N6021" s="63"/>
      <c r="O6021" s="63"/>
      <c r="P6021" s="79" t="str">
        <f>IF(AND('331-CT'!$E$7=TH!H6021,OR(N6021="331",O6021="331")),"x","")</f>
        <v/>
      </c>
      <c r="Q6021" s="79" t="str">
        <f>IF(AND(B6021='111'!$L$11,OR($N6021=$Q$7,$O6021=$Q$7)),"x","")</f>
        <v/>
      </c>
      <c r="R6021" s="79" t="str">
        <f>IF(AND($N6021=$Q$7,$B6021&lt;'111'!$L$11),"x","")</f>
        <v/>
      </c>
      <c r="S6021" s="79" t="str">
        <f>IF(AND($O6021=$Q$7,$B6021&lt;'111'!$L$11),"x","")</f>
        <v/>
      </c>
      <c r="T6021" s="79" t="str">
        <f>IF(ISERROR(FIND('112'!$M$9,G6021,1)),"",IF((AND(FIND('112'!$M$9,G6021,1)&gt;=1,B6021='112'!$K$9,OR($N6021='112'!$I$6,$O6021='112'!$I$6))),"x",""))</f>
        <v/>
      </c>
      <c r="U6021" s="79" t="str">
        <f>IF(ISERROR(FIND('112'!$M$9,G6021,1)),"",IF((AND(LEFT(G6021,2)=LEFT('112'!$M$9,2),B6021&lt;'112'!$K$9,$N6021='112'!$I$6)),"x",""))</f>
        <v/>
      </c>
      <c r="V6021" s="79" t="str">
        <f>IF(ISERROR(FIND('112'!$M$9,G6021,1)),"",IF((AND(RIGHT(G6021,2)=RIGHT('112'!$M$9,2),B6021&lt;'112'!$K$9,$O6021='112'!$I$6)),"x",""))</f>
        <v/>
      </c>
      <c r="W6021" s="79" t="str">
        <f>IF(AND('341-CT'!$H$9=H6021,OR(LEFT(N6021,3)=$W$7,LEFT(O6021,3)=$W$7)),"x","")</f>
        <v/>
      </c>
      <c r="X6021" s="79" t="str">
        <f>IF(OR(TH!N6021=TH!$X$7,O6021=TH!$X$7),"x","")</f>
        <v/>
      </c>
      <c r="Y6021" s="79" t="str">
        <f>IF(AND(OR(N6021="131",O6021="131"),H6021='131-CT'!$H$9),"x","")</f>
        <v/>
      </c>
      <c r="Z6021" s="79"/>
      <c r="AA6021" s="79" t="str">
        <f>IF(AND(MONTH(E6021)='IN-NX'!$J$5,'IN-NX'!$D$7=D6021),"x","")</f>
        <v/>
      </c>
      <c r="AB6021" s="79" t="str">
        <f>IF(AND(OR(LEFT(TH!N6021,2)="15",LEFT(TH!O6021,2)="15"),LEFT(TH!O6021,3)&lt;&gt;"111",'152-CT'!$J$8=TH!F6021),"x","")</f>
        <v/>
      </c>
      <c r="AC6021" s="79" t="str">
        <f>IF(AND(OR(LEFT(TH!N6021,2)="15",LEFT(TH!O6021,2)="15"),TK!$E$7=TH!F6021),"x","")</f>
        <v/>
      </c>
      <c r="AD6021" s="79" t="str">
        <f>IF(AND(N6021="1521",MONTH(C6021)='BK-NL'!$M$11),"x","")</f>
        <v/>
      </c>
    </row>
    <row r="6022" spans="1:30" ht="16.5" customHeight="1">
      <c r="A6022" s="318" t="str">
        <f>IF(B6022&lt;&gt;"",IF(AND(B6022='IN-TC'!$S$4,OR(TH!N6022="1111",TH!O6022="1111")),TH!D6022,""),"")</f>
        <v/>
      </c>
      <c r="B6022" s="60" t="str">
        <f t="shared" si="515"/>
        <v/>
      </c>
      <c r="C6022" s="61"/>
      <c r="D6022" s="61"/>
      <c r="E6022" s="61"/>
      <c r="F6022" s="446"/>
      <c r="G6022" s="64"/>
      <c r="H6022" s="69"/>
      <c r="I6022" s="385"/>
      <c r="J6022" s="392"/>
      <c r="K6022" s="385"/>
      <c r="L6022" s="392"/>
      <c r="M6022" s="62"/>
      <c r="N6022" s="63"/>
      <c r="O6022" s="63"/>
      <c r="P6022" s="79" t="str">
        <f>IF(AND('331-CT'!$E$7=TH!H6022,OR(N6022="331",O6022="331")),"x","")</f>
        <v/>
      </c>
      <c r="Q6022" s="79" t="str">
        <f>IF(AND(B6022='111'!$L$11,OR($N6022=$Q$7,$O6022=$Q$7)),"x","")</f>
        <v/>
      </c>
      <c r="R6022" s="79" t="str">
        <f>IF(AND($N6022=$Q$7,$B6022&lt;'111'!$L$11),"x","")</f>
        <v/>
      </c>
      <c r="S6022" s="79" t="str">
        <f>IF(AND($O6022=$Q$7,$B6022&lt;'111'!$L$11),"x","")</f>
        <v/>
      </c>
      <c r="T6022" s="79" t="str">
        <f>IF(ISERROR(FIND('112'!$M$9,G6022,1)),"",IF((AND(FIND('112'!$M$9,G6022,1)&gt;=1,B6022='112'!$K$9,OR($N6022='112'!$I$6,$O6022='112'!$I$6))),"x",""))</f>
        <v/>
      </c>
      <c r="U6022" s="79" t="str">
        <f>IF(ISERROR(FIND('112'!$M$9,G6022,1)),"",IF((AND(LEFT(G6022,2)=LEFT('112'!$M$9,2),B6022&lt;'112'!$K$9,$N6022='112'!$I$6)),"x",""))</f>
        <v/>
      </c>
      <c r="V6022" s="79" t="str">
        <f>IF(ISERROR(FIND('112'!$M$9,G6022,1)),"",IF((AND(RIGHT(G6022,2)=RIGHT('112'!$M$9,2),B6022&lt;'112'!$K$9,$O6022='112'!$I$6)),"x",""))</f>
        <v/>
      </c>
      <c r="W6022" s="79" t="str">
        <f>IF(AND('341-CT'!$H$9=H6022,OR(LEFT(N6022,3)=$W$7,LEFT(O6022,3)=$W$7)),"x","")</f>
        <v/>
      </c>
      <c r="X6022" s="79" t="str">
        <f>IF(OR(TH!N6022=TH!$X$7,O6022=TH!$X$7),"x","")</f>
        <v/>
      </c>
      <c r="Y6022" s="79" t="str">
        <f>IF(AND(OR(N6022="131",O6022="131"),H6022='131-CT'!$H$9),"x","")</f>
        <v/>
      </c>
      <c r="Z6022" s="79"/>
      <c r="AA6022" s="79" t="str">
        <f>IF(AND(MONTH(E6022)='IN-NX'!$J$5,'IN-NX'!$D$7=D6022),"x","")</f>
        <v/>
      </c>
      <c r="AB6022" s="79" t="str">
        <f>IF(AND(OR(LEFT(TH!N6022,2)="15",LEFT(TH!O6022,2)="15"),LEFT(TH!O6022,3)&lt;&gt;"111",'152-CT'!$J$8=TH!F6022),"x","")</f>
        <v/>
      </c>
      <c r="AC6022" s="79" t="str">
        <f>IF(AND(OR(LEFT(TH!N6022,2)="15",LEFT(TH!O6022,2)="15"),TK!$E$7=TH!F6022),"x","")</f>
        <v/>
      </c>
      <c r="AD6022" s="79" t="str">
        <f>IF(AND(N6022="1521",MONTH(C6022)='BK-NL'!$M$11),"x","")</f>
        <v/>
      </c>
    </row>
    <row r="6023" spans="1:30" ht="16.5" customHeight="1">
      <c r="A6023" s="318" t="str">
        <f>IF(B6023&lt;&gt;"",IF(AND(B6023='IN-TC'!$S$4,OR(TH!N6023="1111",TH!O6023="1111")),TH!D6023,""),"")</f>
        <v/>
      </c>
      <c r="B6023" s="60" t="str">
        <f t="shared" si="515"/>
        <v/>
      </c>
      <c r="C6023" s="61"/>
      <c r="D6023" s="61"/>
      <c r="E6023" s="61"/>
      <c r="F6023" s="69"/>
      <c r="G6023" s="64"/>
      <c r="H6023" s="69"/>
      <c r="I6023" s="385"/>
      <c r="J6023" s="392"/>
      <c r="K6023" s="385"/>
      <c r="L6023" s="392"/>
      <c r="M6023" s="62"/>
      <c r="N6023" s="63"/>
      <c r="O6023" s="63"/>
      <c r="P6023" s="79" t="str">
        <f>IF(AND('331-CT'!$E$7=TH!H6023,OR(N6023="331",O6023="331")),"x","")</f>
        <v/>
      </c>
      <c r="Q6023" s="79" t="str">
        <f>IF(AND(B6023='111'!$L$11,OR($N6023=$Q$7,$O6023=$Q$7)),"x","")</f>
        <v/>
      </c>
      <c r="R6023" s="79" t="str">
        <f>IF(AND($N6023=$Q$7,$B6023&lt;'111'!$L$11),"x","")</f>
        <v/>
      </c>
      <c r="S6023" s="79" t="str">
        <f>IF(AND($O6023=$Q$7,$B6023&lt;'111'!$L$11),"x","")</f>
        <v/>
      </c>
      <c r="T6023" s="79" t="str">
        <f>IF(ISERROR(FIND('112'!$M$9,G6023,1)),"",IF((AND(FIND('112'!$M$9,G6023,1)&gt;=1,B6023='112'!$K$9,OR($N6023='112'!$I$6,$O6023='112'!$I$6))),"x",""))</f>
        <v/>
      </c>
      <c r="U6023" s="79" t="str">
        <f>IF(ISERROR(FIND('112'!$M$9,G6023,1)),"",IF((AND(LEFT(G6023,2)=LEFT('112'!$M$9,2),B6023&lt;'112'!$K$9,$N6023='112'!$I$6)),"x",""))</f>
        <v/>
      </c>
      <c r="V6023" s="79" t="str">
        <f>IF(ISERROR(FIND('112'!$M$9,G6023,1)),"",IF((AND(RIGHT(G6023,2)=RIGHT('112'!$M$9,2),B6023&lt;'112'!$K$9,$O6023='112'!$I$6)),"x",""))</f>
        <v/>
      </c>
      <c r="W6023" s="79" t="str">
        <f>IF(AND('341-CT'!$H$9=H6023,OR(LEFT(N6023,3)=$W$7,LEFT(O6023,3)=$W$7)),"x","")</f>
        <v/>
      </c>
      <c r="X6023" s="79" t="str">
        <f>IF(OR(TH!N6023=TH!$X$7,O6023=TH!$X$7),"x","")</f>
        <v/>
      </c>
      <c r="Y6023" s="79" t="str">
        <f>IF(AND(OR(N6023="131",O6023="131"),H6023='131-CT'!$H$9),"x","")</f>
        <v/>
      </c>
      <c r="Z6023" s="79"/>
      <c r="AA6023" s="79" t="str">
        <f>IF(AND(MONTH(E6023)='IN-NX'!$J$5,'IN-NX'!$D$7=D6023),"x","")</f>
        <v/>
      </c>
      <c r="AB6023" s="79" t="str">
        <f>IF(AND(OR(LEFT(TH!N6023,2)="15",LEFT(TH!O6023,2)="15"),LEFT(TH!O6023,3)&lt;&gt;"111",'152-CT'!$J$8=TH!F6023),"x","")</f>
        <v/>
      </c>
      <c r="AC6023" s="79" t="str">
        <f>IF(AND(OR(LEFT(TH!N6023,2)="15",LEFT(TH!O6023,2)="15"),TK!$E$7=TH!F6023),"x","")</f>
        <v/>
      </c>
      <c r="AD6023" s="79" t="str">
        <f>IF(AND(N6023="1521",MONTH(C6023)='BK-NL'!$M$11),"x","")</f>
        <v/>
      </c>
    </row>
    <row r="6024" spans="1:30" ht="16.5" customHeight="1">
      <c r="A6024" s="318" t="str">
        <f>IF(B6024&lt;&gt;"",IF(AND(B6024='IN-TC'!$S$4,OR(TH!N6024="1111",TH!O6024="1111")),TH!D6024,""),"")</f>
        <v/>
      </c>
      <c r="B6024" s="60" t="str">
        <f t="shared" si="515"/>
        <v/>
      </c>
      <c r="C6024" s="61"/>
      <c r="D6024" s="61"/>
      <c r="E6024" s="61"/>
      <c r="F6024" s="69"/>
      <c r="G6024" s="64"/>
      <c r="H6024" s="69"/>
      <c r="I6024" s="385"/>
      <c r="J6024" s="392"/>
      <c r="K6024" s="385"/>
      <c r="L6024" s="392"/>
      <c r="M6024" s="62"/>
      <c r="N6024" s="63"/>
      <c r="O6024" s="63"/>
      <c r="P6024" s="79" t="str">
        <f>IF(AND('331-CT'!$E$7=TH!H6024,OR(N6024="331",O6024="331")),"x","")</f>
        <v/>
      </c>
      <c r="Q6024" s="79" t="str">
        <f>IF(AND(B6024='111'!$L$11,OR($N6024=$Q$7,$O6024=$Q$7)),"x","")</f>
        <v/>
      </c>
      <c r="R6024" s="79" t="str">
        <f>IF(AND($N6024=$Q$7,$B6024&lt;'111'!$L$11),"x","")</f>
        <v/>
      </c>
      <c r="S6024" s="79" t="str">
        <f>IF(AND($O6024=$Q$7,$B6024&lt;'111'!$L$11),"x","")</f>
        <v/>
      </c>
      <c r="T6024" s="79" t="str">
        <f>IF(ISERROR(FIND('112'!$M$9,G6024,1)),"",IF((AND(FIND('112'!$M$9,G6024,1)&gt;=1,B6024='112'!$K$9,OR($N6024='112'!$I$6,$O6024='112'!$I$6))),"x",""))</f>
        <v/>
      </c>
      <c r="U6024" s="79" t="str">
        <f>IF(ISERROR(FIND('112'!$M$9,G6024,1)),"",IF((AND(LEFT(G6024,2)=LEFT('112'!$M$9,2),B6024&lt;'112'!$K$9,$N6024='112'!$I$6)),"x",""))</f>
        <v/>
      </c>
      <c r="V6024" s="79" t="str">
        <f>IF(ISERROR(FIND('112'!$M$9,G6024,1)),"",IF((AND(RIGHT(G6024,2)=RIGHT('112'!$M$9,2),B6024&lt;'112'!$K$9,$O6024='112'!$I$6)),"x",""))</f>
        <v/>
      </c>
      <c r="W6024" s="79" t="str">
        <f>IF(AND('341-CT'!$H$9=H6024,OR(LEFT(N6024,3)=$W$7,LEFT(O6024,3)=$W$7)),"x","")</f>
        <v/>
      </c>
      <c r="X6024" s="79" t="str">
        <f>IF(OR(TH!N6024=TH!$X$7,O6024=TH!$X$7),"x","")</f>
        <v/>
      </c>
      <c r="Y6024" s="79" t="str">
        <f>IF(AND(OR(N6024="131",O6024="131"),H6024='131-CT'!$H$9),"x","")</f>
        <v/>
      </c>
      <c r="Z6024" s="79"/>
      <c r="AA6024" s="79" t="str">
        <f>IF(AND(MONTH(E6024)='IN-NX'!$J$5,'IN-NX'!$D$7=D6024),"x","")</f>
        <v/>
      </c>
      <c r="AB6024" s="79" t="str">
        <f>IF(AND(OR(LEFT(TH!N6024,2)="15",LEFT(TH!O6024,2)="15"),LEFT(TH!O6024,3)&lt;&gt;"111",'152-CT'!$J$8=TH!F6024),"x","")</f>
        <v/>
      </c>
      <c r="AC6024" s="79" t="str">
        <f>IF(AND(OR(LEFT(TH!N6024,2)="15",LEFT(TH!O6024,2)="15"),TK!$E$7=TH!F6024),"x","")</f>
        <v/>
      </c>
      <c r="AD6024" s="79" t="str">
        <f>IF(AND(N6024="1521",MONTH(C6024)='BK-NL'!$M$11),"x","")</f>
        <v/>
      </c>
    </row>
    <row r="6025" spans="1:30" ht="16.5" customHeight="1">
      <c r="A6025" s="318" t="str">
        <f>IF(B6025&lt;&gt;"",IF(AND(B6025='IN-TC'!$S$4,OR(TH!N6025="1111",TH!O6025="1111")),TH!D6025,""),"")</f>
        <v/>
      </c>
      <c r="B6025" s="60" t="str">
        <f t="shared" si="515"/>
        <v/>
      </c>
      <c r="C6025" s="61"/>
      <c r="D6025" s="61"/>
      <c r="E6025" s="61"/>
      <c r="F6025" s="69"/>
      <c r="G6025" s="64"/>
      <c r="H6025" s="69"/>
      <c r="I6025" s="385"/>
      <c r="J6025" s="392"/>
      <c r="K6025" s="385"/>
      <c r="L6025" s="392"/>
      <c r="M6025" s="62"/>
      <c r="N6025" s="63"/>
      <c r="O6025" s="63"/>
      <c r="P6025" s="79" t="str">
        <f>IF(AND('331-CT'!$E$7=TH!H6025,OR(N6025="331",O6025="331")),"x","")</f>
        <v/>
      </c>
      <c r="Q6025" s="79" t="str">
        <f>IF(AND(B6025='111'!$L$11,OR($N6025=$Q$7,$O6025=$Q$7)),"x","")</f>
        <v/>
      </c>
      <c r="R6025" s="79" t="str">
        <f>IF(AND($N6025=$Q$7,$B6025&lt;'111'!$L$11),"x","")</f>
        <v/>
      </c>
      <c r="S6025" s="79" t="str">
        <f>IF(AND($O6025=$Q$7,$B6025&lt;'111'!$L$11),"x","")</f>
        <v/>
      </c>
      <c r="T6025" s="79" t="str">
        <f>IF(ISERROR(FIND('112'!$M$9,G6025,1)),"",IF((AND(FIND('112'!$M$9,G6025,1)&gt;=1,B6025='112'!$K$9,OR($N6025='112'!$I$6,$O6025='112'!$I$6))),"x",""))</f>
        <v/>
      </c>
      <c r="U6025" s="79" t="str">
        <f>IF(ISERROR(FIND('112'!$M$9,G6025,1)),"",IF((AND(LEFT(G6025,2)=LEFT('112'!$M$9,2),B6025&lt;'112'!$K$9,$N6025='112'!$I$6)),"x",""))</f>
        <v/>
      </c>
      <c r="V6025" s="79" t="str">
        <f>IF(ISERROR(FIND('112'!$M$9,G6025,1)),"",IF((AND(RIGHT(G6025,2)=RIGHT('112'!$M$9,2),B6025&lt;'112'!$K$9,$O6025='112'!$I$6)),"x",""))</f>
        <v/>
      </c>
      <c r="W6025" s="79" t="str">
        <f>IF(AND('341-CT'!$H$9=H6025,OR(LEFT(N6025,3)=$W$7,LEFT(O6025,3)=$W$7)),"x","")</f>
        <v/>
      </c>
      <c r="X6025" s="79" t="str">
        <f>IF(OR(TH!N6025=TH!$X$7,O6025=TH!$X$7),"x","")</f>
        <v/>
      </c>
      <c r="Y6025" s="79" t="str">
        <f>IF(AND(OR(N6025="131",O6025="131"),H6025='131-CT'!$H$9),"x","")</f>
        <v/>
      </c>
      <c r="Z6025" s="79"/>
      <c r="AA6025" s="79" t="str">
        <f>IF(AND(MONTH(E6025)='IN-NX'!$J$5,'IN-NX'!$D$7=D6025),"x","")</f>
        <v/>
      </c>
      <c r="AB6025" s="79" t="str">
        <f>IF(AND(OR(LEFT(TH!N6025,2)="15",LEFT(TH!O6025,2)="15"),LEFT(TH!O6025,3)&lt;&gt;"111",'152-CT'!$J$8=TH!F6025),"x","")</f>
        <v/>
      </c>
      <c r="AC6025" s="79" t="str">
        <f>IF(AND(OR(LEFT(TH!N6025,2)="15",LEFT(TH!O6025,2)="15"),TK!$E$7=TH!F6025),"x","")</f>
        <v/>
      </c>
      <c r="AD6025" s="79" t="str">
        <f>IF(AND(N6025="1521",MONTH(C6025)='BK-NL'!$M$11),"x","")</f>
        <v/>
      </c>
    </row>
    <row r="6026" spans="1:30" ht="16.5" customHeight="1">
      <c r="A6026" s="318" t="str">
        <f>IF(B6026&lt;&gt;"",IF(AND(B6026='IN-TC'!$S$4,OR(TH!N6026="1111",TH!O6026="1111")),TH!D6026,""),"")</f>
        <v/>
      </c>
      <c r="B6026" s="60" t="str">
        <f t="shared" si="515"/>
        <v/>
      </c>
      <c r="C6026" s="61"/>
      <c r="D6026" s="61"/>
      <c r="E6026" s="61"/>
      <c r="F6026" s="69"/>
      <c r="G6026" s="64"/>
      <c r="H6026" s="69"/>
      <c r="I6026" s="385"/>
      <c r="J6026" s="392"/>
      <c r="K6026" s="385"/>
      <c r="L6026" s="392"/>
      <c r="M6026" s="62"/>
      <c r="N6026" s="63"/>
      <c r="O6026" s="63"/>
      <c r="P6026" s="79" t="str">
        <f>IF(AND('331-CT'!$E$7=TH!H6026,OR(N6026="331",O6026="331")),"x","")</f>
        <v/>
      </c>
      <c r="Q6026" s="79" t="str">
        <f>IF(AND(B6026='111'!$L$11,OR($N6026=$Q$7,$O6026=$Q$7)),"x","")</f>
        <v/>
      </c>
      <c r="R6026" s="79" t="str">
        <f>IF(AND($N6026=$Q$7,$B6026&lt;'111'!$L$11),"x","")</f>
        <v/>
      </c>
      <c r="S6026" s="79" t="str">
        <f>IF(AND($O6026=$Q$7,$B6026&lt;'111'!$L$11),"x","")</f>
        <v/>
      </c>
      <c r="T6026" s="79" t="str">
        <f>IF(ISERROR(FIND('112'!$M$9,G6026,1)),"",IF((AND(FIND('112'!$M$9,G6026,1)&gt;=1,B6026='112'!$K$9,OR($N6026='112'!$I$6,$O6026='112'!$I$6))),"x",""))</f>
        <v/>
      </c>
      <c r="U6026" s="79" t="str">
        <f>IF(ISERROR(FIND('112'!$M$9,G6026,1)),"",IF((AND(LEFT(G6026,2)=LEFT('112'!$M$9,2),B6026&lt;'112'!$K$9,$N6026='112'!$I$6)),"x",""))</f>
        <v/>
      </c>
      <c r="V6026" s="79" t="str">
        <f>IF(ISERROR(FIND('112'!$M$9,G6026,1)),"",IF((AND(RIGHT(G6026,2)=RIGHT('112'!$M$9,2),B6026&lt;'112'!$K$9,$O6026='112'!$I$6)),"x",""))</f>
        <v/>
      </c>
      <c r="W6026" s="79" t="str">
        <f>IF(AND('341-CT'!$H$9=H6026,OR(LEFT(N6026,3)=$W$7,LEFT(O6026,3)=$W$7)),"x","")</f>
        <v/>
      </c>
      <c r="X6026" s="79" t="str">
        <f>IF(OR(TH!N6026=TH!$X$7,O6026=TH!$X$7),"x","")</f>
        <v/>
      </c>
      <c r="Y6026" s="79" t="str">
        <f>IF(AND(OR(N6026="131",O6026="131"),H6026='131-CT'!$H$9),"x","")</f>
        <v/>
      </c>
      <c r="Z6026" s="79"/>
      <c r="AA6026" s="79" t="str">
        <f>IF(AND(MONTH(E6026)='IN-NX'!$J$5,'IN-NX'!$D$7=D6026),"x","")</f>
        <v/>
      </c>
      <c r="AB6026" s="79" t="str">
        <f>IF(AND(OR(LEFT(TH!N6026,2)="15",LEFT(TH!O6026,2)="15"),LEFT(TH!O6026,3)&lt;&gt;"111",'152-CT'!$J$8=TH!F6026),"x","")</f>
        <v/>
      </c>
      <c r="AC6026" s="79" t="str">
        <f>IF(AND(OR(LEFT(TH!N6026,2)="15",LEFT(TH!O6026,2)="15"),TK!$E$7=TH!F6026),"x","")</f>
        <v/>
      </c>
      <c r="AD6026" s="79" t="str">
        <f>IF(AND(N6026="1521",MONTH(C6026)='BK-NL'!$M$11),"x","")</f>
        <v/>
      </c>
    </row>
    <row r="6027" spans="1:30" ht="16.5" customHeight="1">
      <c r="A6027" s="318" t="str">
        <f>IF(B6027&lt;&gt;"",IF(AND(B6027='IN-TC'!$S$4,OR(TH!N6027="1111",TH!O6027="1111")),TH!D6027,""),"")</f>
        <v/>
      </c>
      <c r="B6027" s="60" t="str">
        <f t="shared" si="515"/>
        <v/>
      </c>
      <c r="C6027" s="61"/>
      <c r="D6027" s="61"/>
      <c r="E6027" s="61"/>
      <c r="F6027" s="69"/>
      <c r="G6027" s="64"/>
      <c r="H6027" s="69"/>
      <c r="I6027" s="385"/>
      <c r="J6027" s="392"/>
      <c r="K6027" s="385"/>
      <c r="L6027" s="392"/>
      <c r="M6027" s="62"/>
      <c r="N6027" s="63"/>
      <c r="O6027" s="63"/>
      <c r="P6027" s="79" t="str">
        <f>IF(AND('331-CT'!$E$7=TH!H6027,OR(N6027="331",O6027="331")),"x","")</f>
        <v/>
      </c>
      <c r="Q6027" s="79" t="str">
        <f>IF(AND(B6027='111'!$L$11,OR($N6027=$Q$7,$O6027=$Q$7)),"x","")</f>
        <v/>
      </c>
      <c r="R6027" s="79" t="str">
        <f>IF(AND($N6027=$Q$7,$B6027&lt;'111'!$L$11),"x","")</f>
        <v/>
      </c>
      <c r="S6027" s="79" t="str">
        <f>IF(AND($O6027=$Q$7,$B6027&lt;'111'!$L$11),"x","")</f>
        <v/>
      </c>
      <c r="T6027" s="79" t="str">
        <f>IF(ISERROR(FIND('112'!$M$9,G6027,1)),"",IF((AND(FIND('112'!$M$9,G6027,1)&gt;=1,B6027='112'!$K$9,OR($N6027='112'!$I$6,$O6027='112'!$I$6))),"x",""))</f>
        <v/>
      </c>
      <c r="U6027" s="79" t="str">
        <f>IF(ISERROR(FIND('112'!$M$9,G6027,1)),"",IF((AND(LEFT(G6027,2)=LEFT('112'!$M$9,2),B6027&lt;'112'!$K$9,$N6027='112'!$I$6)),"x",""))</f>
        <v/>
      </c>
      <c r="V6027" s="79" t="str">
        <f>IF(ISERROR(FIND('112'!$M$9,G6027,1)),"",IF((AND(RIGHT(G6027,2)=RIGHT('112'!$M$9,2),B6027&lt;'112'!$K$9,$O6027='112'!$I$6)),"x",""))</f>
        <v/>
      </c>
      <c r="W6027" s="79" t="str">
        <f>IF(AND('341-CT'!$H$9=H6027,OR(LEFT(N6027,3)=$W$7,LEFT(O6027,3)=$W$7)),"x","")</f>
        <v/>
      </c>
      <c r="X6027" s="79" t="str">
        <f>IF(OR(TH!N6027=TH!$X$7,O6027=TH!$X$7),"x","")</f>
        <v/>
      </c>
      <c r="Y6027" s="79" t="str">
        <f>IF(AND(OR(N6027="131",O6027="131"),H6027='131-CT'!$H$9),"x","")</f>
        <v/>
      </c>
      <c r="Z6027" s="79"/>
      <c r="AA6027" s="79" t="str">
        <f>IF(AND(MONTH(E6027)='IN-NX'!$J$5,'IN-NX'!$D$7=D6027),"x","")</f>
        <v/>
      </c>
      <c r="AB6027" s="79" t="str">
        <f>IF(AND(OR(LEFT(TH!N6027,2)="15",LEFT(TH!O6027,2)="15"),LEFT(TH!O6027,3)&lt;&gt;"111",'152-CT'!$J$8=TH!F6027),"x","")</f>
        <v/>
      </c>
      <c r="AC6027" s="79" t="str">
        <f>IF(AND(OR(LEFT(TH!N6027,2)="15",LEFT(TH!O6027,2)="15"),TK!$E$7=TH!F6027),"x","")</f>
        <v/>
      </c>
      <c r="AD6027" s="79" t="str">
        <f>IF(AND(N6027="1521",MONTH(C6027)='BK-NL'!$M$11),"x","")</f>
        <v/>
      </c>
    </row>
    <row r="6028" spans="1:30" ht="16.5" customHeight="1">
      <c r="A6028" s="318" t="str">
        <f>IF(B6028&lt;&gt;"",IF(AND(B6028='IN-TC'!$S$4,OR(TH!N6028="1111",TH!O6028="1111")),TH!D6028,""),"")</f>
        <v/>
      </c>
      <c r="B6028" s="60" t="str">
        <f t="shared" si="515"/>
        <v/>
      </c>
      <c r="C6028" s="61"/>
      <c r="D6028" s="61"/>
      <c r="E6028" s="61"/>
      <c r="F6028" s="69"/>
      <c r="G6028" s="64"/>
      <c r="H6028" s="321"/>
      <c r="I6028" s="387"/>
      <c r="J6028" s="394"/>
      <c r="K6028" s="387"/>
      <c r="L6028" s="394"/>
      <c r="M6028" s="62"/>
      <c r="N6028" s="63"/>
      <c r="O6028" s="63"/>
      <c r="P6028" s="79" t="str">
        <f>IF(AND('331-CT'!$E$7=TH!H6028,OR(N6028="331",O6028="331")),"x","")</f>
        <v/>
      </c>
      <c r="Q6028" s="79" t="str">
        <f>IF(AND(B6028='111'!$L$11,OR($N6028=$Q$7,$O6028=$Q$7)),"x","")</f>
        <v/>
      </c>
      <c r="R6028" s="79" t="str">
        <f>IF(AND($N6028=$Q$7,$B6028&lt;'111'!$L$11),"x","")</f>
        <v/>
      </c>
      <c r="S6028" s="79" t="str">
        <f>IF(AND($O6028=$Q$7,$B6028&lt;'111'!$L$11),"x","")</f>
        <v/>
      </c>
      <c r="T6028" s="79" t="str">
        <f>IF(ISERROR(FIND('112'!$M$9,G6028,1)),"",IF((AND(FIND('112'!$M$9,G6028,1)&gt;=1,B6028='112'!$K$9,OR($N6028='112'!$I$6,$O6028='112'!$I$6))),"x",""))</f>
        <v/>
      </c>
      <c r="U6028" s="79" t="str">
        <f>IF(ISERROR(FIND('112'!$M$9,G6028,1)),"",IF((AND(LEFT(G6028,2)=LEFT('112'!$M$9,2),B6028&lt;'112'!$K$9,$N6028='112'!$I$6)),"x",""))</f>
        <v/>
      </c>
      <c r="V6028" s="79" t="str">
        <f>IF(ISERROR(FIND('112'!$M$9,G6028,1)),"",IF((AND(RIGHT(G6028,2)=RIGHT('112'!$M$9,2),B6028&lt;'112'!$K$9,$O6028='112'!$I$6)),"x",""))</f>
        <v/>
      </c>
      <c r="W6028" s="79" t="str">
        <f>IF(AND('341-CT'!$H$9=H6028,OR(LEFT(N6028,3)=$W$7,LEFT(O6028,3)=$W$7)),"x","")</f>
        <v/>
      </c>
      <c r="X6028" s="79" t="str">
        <f>IF(OR(TH!N6028=TH!$X$7,O6028=TH!$X$7),"x","")</f>
        <v/>
      </c>
      <c r="Y6028" s="79" t="str">
        <f>IF(AND(OR(N6028="131",O6028="131"),H6028='131-CT'!$H$9),"x","")</f>
        <v/>
      </c>
      <c r="Z6028" s="79"/>
      <c r="AA6028" s="79" t="str">
        <f>IF(AND(MONTH(E6028)='IN-NX'!$J$5,'IN-NX'!$D$7=D6028),"x","")</f>
        <v/>
      </c>
      <c r="AB6028" s="79" t="str">
        <f>IF(AND(OR(LEFT(TH!N6028,2)="15",LEFT(TH!O6028,2)="15"),LEFT(TH!O6028,3)&lt;&gt;"111",'152-CT'!$J$8=TH!F6028),"x","")</f>
        <v/>
      </c>
      <c r="AC6028" s="79" t="str">
        <f>IF(AND(OR(LEFT(TH!N6028,2)="15",LEFT(TH!O6028,2)="15"),TK!$E$7=TH!F6028),"x","")</f>
        <v/>
      </c>
      <c r="AD6028" s="79" t="str">
        <f>IF(AND(N6028="1521",MONTH(C6028)='BK-NL'!$M$11),"x","")</f>
        <v/>
      </c>
    </row>
    <row r="6029" spans="1:30" ht="16.5" customHeight="1">
      <c r="A6029" s="318" t="str">
        <f>IF(B6029&lt;&gt;"",IF(AND(B6029='IN-TC'!$S$4,OR(TH!N6029="1111",TH!O6029="1111")),TH!D6029,""),"")</f>
        <v/>
      </c>
      <c r="B6029" s="60" t="str">
        <f t="shared" si="515"/>
        <v/>
      </c>
      <c r="C6029" s="61"/>
      <c r="D6029" s="61"/>
      <c r="E6029" s="61"/>
      <c r="F6029" s="69"/>
      <c r="G6029" s="64"/>
      <c r="H6029" s="69"/>
      <c r="I6029" s="385"/>
      <c r="J6029" s="392"/>
      <c r="K6029" s="385"/>
      <c r="L6029" s="392"/>
      <c r="M6029" s="62"/>
      <c r="N6029" s="63"/>
      <c r="O6029" s="63"/>
      <c r="P6029" s="79" t="str">
        <f>IF(AND('331-CT'!$E$7=TH!H6029,OR(N6029="331",O6029="331")),"x","")</f>
        <v/>
      </c>
      <c r="Q6029" s="79" t="str">
        <f>IF(AND(B6029='111'!$L$11,OR($N6029=$Q$7,$O6029=$Q$7)),"x","")</f>
        <v/>
      </c>
      <c r="R6029" s="79" t="str">
        <f>IF(AND($N6029=$Q$7,$B6029&lt;'111'!$L$11),"x","")</f>
        <v/>
      </c>
      <c r="S6029" s="79" t="str">
        <f>IF(AND($O6029=$Q$7,$B6029&lt;'111'!$L$11),"x","")</f>
        <v/>
      </c>
      <c r="T6029" s="79" t="str">
        <f>IF(ISERROR(FIND('112'!$M$9,G6029,1)),"",IF((AND(FIND('112'!$M$9,G6029,1)&gt;=1,B6029='112'!$K$9,OR($N6029='112'!$I$6,$O6029='112'!$I$6))),"x",""))</f>
        <v/>
      </c>
      <c r="U6029" s="79" t="str">
        <f>IF(ISERROR(FIND('112'!$M$9,G6029,1)),"",IF((AND(LEFT(G6029,2)=LEFT('112'!$M$9,2),B6029&lt;'112'!$K$9,$N6029='112'!$I$6)),"x",""))</f>
        <v/>
      </c>
      <c r="V6029" s="79" t="str">
        <f>IF(ISERROR(FIND('112'!$M$9,G6029,1)),"",IF((AND(RIGHT(G6029,2)=RIGHT('112'!$M$9,2),B6029&lt;'112'!$K$9,$O6029='112'!$I$6)),"x",""))</f>
        <v/>
      </c>
      <c r="W6029" s="79" t="str">
        <f>IF(AND('341-CT'!$H$9=H6029,OR(LEFT(N6029,3)=$W$7,LEFT(O6029,3)=$W$7)),"x","")</f>
        <v/>
      </c>
      <c r="X6029" s="79" t="str">
        <f>IF(OR(TH!N6029=TH!$X$7,O6029=TH!$X$7),"x","")</f>
        <v/>
      </c>
      <c r="Y6029" s="79" t="str">
        <f>IF(AND(OR(N6029="131",O6029="131"),H6029='131-CT'!$H$9),"x","")</f>
        <v/>
      </c>
      <c r="Z6029" s="79"/>
      <c r="AA6029" s="79" t="str">
        <f>IF(AND(MONTH(E6029)='IN-NX'!$J$5,'IN-NX'!$D$7=D6029),"x","")</f>
        <v/>
      </c>
      <c r="AB6029" s="79" t="str">
        <f>IF(AND(OR(LEFT(TH!N6029,2)="15",LEFT(TH!O6029,2)="15"),LEFT(TH!O6029,3)&lt;&gt;"111",'152-CT'!$J$8=TH!F6029),"x","")</f>
        <v/>
      </c>
      <c r="AC6029" s="79" t="str">
        <f>IF(AND(OR(LEFT(TH!N6029,2)="15",LEFT(TH!O6029,2)="15"),TK!$E$7=TH!F6029),"x","")</f>
        <v/>
      </c>
      <c r="AD6029" s="79" t="str">
        <f>IF(AND(N6029="1521",MONTH(C6029)='BK-NL'!$M$11),"x","")</f>
        <v/>
      </c>
    </row>
    <row r="6030" spans="1:30" ht="16.5" customHeight="1">
      <c r="A6030" s="318" t="str">
        <f>IF(B6030&lt;&gt;"",IF(AND(B6030='IN-TC'!$S$4,OR(TH!N6030="1111",TH!O6030="1111")),TH!D6030,""),"")</f>
        <v/>
      </c>
      <c r="B6030" s="60" t="str">
        <f t="shared" si="515"/>
        <v/>
      </c>
      <c r="C6030" s="61"/>
      <c r="D6030" s="61"/>
      <c r="E6030" s="61"/>
      <c r="F6030" s="69"/>
      <c r="G6030" s="64"/>
      <c r="H6030" s="69"/>
      <c r="I6030" s="385"/>
      <c r="J6030" s="392"/>
      <c r="K6030" s="385"/>
      <c r="L6030" s="392"/>
      <c r="M6030" s="62"/>
      <c r="N6030" s="63"/>
      <c r="O6030" s="63"/>
      <c r="P6030" s="79" t="str">
        <f>IF(AND('331-CT'!$E$7=TH!H6030,OR(N6030="331",O6030="331")),"x","")</f>
        <v/>
      </c>
      <c r="Q6030" s="79" t="str">
        <f>IF(AND(B6030='111'!$L$11,OR($N6030=$Q$7,$O6030=$Q$7)),"x","")</f>
        <v/>
      </c>
      <c r="R6030" s="79" t="str">
        <f>IF(AND($N6030=$Q$7,$B6030&lt;'111'!$L$11),"x","")</f>
        <v/>
      </c>
      <c r="S6030" s="79" t="str">
        <f>IF(AND($O6030=$Q$7,$B6030&lt;'111'!$L$11),"x","")</f>
        <v/>
      </c>
      <c r="T6030" s="79" t="str">
        <f>IF(ISERROR(FIND('112'!$M$9,G6030,1)),"",IF((AND(FIND('112'!$M$9,G6030,1)&gt;=1,B6030='112'!$K$9,OR($N6030='112'!$I$6,$O6030='112'!$I$6))),"x",""))</f>
        <v/>
      </c>
      <c r="U6030" s="79" t="str">
        <f>IF(ISERROR(FIND('112'!$M$9,G6030,1)),"",IF((AND(LEFT(G6030,2)=LEFT('112'!$M$9,2),B6030&lt;'112'!$K$9,$N6030='112'!$I$6)),"x",""))</f>
        <v/>
      </c>
      <c r="V6030" s="79" t="str">
        <f>IF(ISERROR(FIND('112'!$M$9,G6030,1)),"",IF((AND(RIGHT(G6030,2)=RIGHT('112'!$M$9,2),B6030&lt;'112'!$K$9,$O6030='112'!$I$6)),"x",""))</f>
        <v/>
      </c>
      <c r="W6030" s="79" t="str">
        <f>IF(AND('341-CT'!$H$9=H6030,OR(LEFT(N6030,3)=$W$7,LEFT(O6030,3)=$W$7)),"x","")</f>
        <v/>
      </c>
      <c r="X6030" s="79" t="str">
        <f>IF(OR(TH!N6030=TH!$X$7,O6030=TH!$X$7),"x","")</f>
        <v/>
      </c>
      <c r="Y6030" s="79" t="str">
        <f>IF(AND(OR(N6030="131",O6030="131"),H6030='131-CT'!$H$9),"x","")</f>
        <v/>
      </c>
      <c r="Z6030" s="79"/>
      <c r="AA6030" s="79" t="str">
        <f>IF(AND(MONTH(E6030)='IN-NX'!$J$5,'IN-NX'!$D$7=D6030),"x","")</f>
        <v/>
      </c>
      <c r="AB6030" s="79" t="str">
        <f>IF(AND(OR(LEFT(TH!N6030,2)="15",LEFT(TH!O6030,2)="15"),LEFT(TH!O6030,3)&lt;&gt;"111",'152-CT'!$J$8=TH!F6030),"x","")</f>
        <v/>
      </c>
      <c r="AC6030" s="79" t="str">
        <f>IF(AND(OR(LEFT(TH!N6030,2)="15",LEFT(TH!O6030,2)="15"),TK!$E$7=TH!F6030),"x","")</f>
        <v/>
      </c>
      <c r="AD6030" s="79" t="str">
        <f>IF(AND(N6030="1521",MONTH(C6030)='BK-NL'!$M$11),"x","")</f>
        <v/>
      </c>
    </row>
    <row r="6031" spans="1:30" ht="16.5" customHeight="1">
      <c r="A6031" s="318" t="str">
        <f>IF(B6031&lt;&gt;"",IF(AND(B6031='IN-TC'!$S$4,OR(TH!N6031="1111",TH!O6031="1111")),TH!D6031,""),"")</f>
        <v/>
      </c>
      <c r="B6031" s="60" t="str">
        <f t="shared" si="515"/>
        <v/>
      </c>
      <c r="C6031" s="61"/>
      <c r="D6031" s="61"/>
      <c r="E6031" s="61"/>
      <c r="F6031" s="69"/>
      <c r="G6031" s="64"/>
      <c r="H6031" s="321"/>
      <c r="I6031" s="387"/>
      <c r="J6031" s="394"/>
      <c r="K6031" s="387"/>
      <c r="L6031" s="394"/>
      <c r="M6031" s="62"/>
      <c r="N6031" s="63"/>
      <c r="O6031" s="63"/>
      <c r="P6031" s="79" t="str">
        <f>IF(AND('331-CT'!$E$7=TH!H6031,OR(N6031="331",O6031="331")),"x","")</f>
        <v/>
      </c>
      <c r="Q6031" s="79" t="str">
        <f>IF(AND(B6031='111'!$L$11,OR($N6031=$Q$7,$O6031=$Q$7)),"x","")</f>
        <v/>
      </c>
      <c r="R6031" s="79" t="str">
        <f>IF(AND($N6031=$Q$7,$B6031&lt;'111'!$L$11),"x","")</f>
        <v/>
      </c>
      <c r="S6031" s="79" t="str">
        <f>IF(AND($O6031=$Q$7,$B6031&lt;'111'!$L$11),"x","")</f>
        <v/>
      </c>
      <c r="T6031" s="79" t="str">
        <f>IF(ISERROR(FIND('112'!$M$9,G6031,1)),"",IF((AND(FIND('112'!$M$9,G6031,1)&gt;=1,B6031='112'!$K$9,OR($N6031='112'!$I$6,$O6031='112'!$I$6))),"x",""))</f>
        <v/>
      </c>
      <c r="U6031" s="79" t="str">
        <f>IF(ISERROR(FIND('112'!$M$9,G6031,1)),"",IF((AND(LEFT(G6031,2)=LEFT('112'!$M$9,2),B6031&lt;'112'!$K$9,$N6031='112'!$I$6)),"x",""))</f>
        <v/>
      </c>
      <c r="V6031" s="79" t="str">
        <f>IF(ISERROR(FIND('112'!$M$9,G6031,1)),"",IF((AND(RIGHT(G6031,2)=RIGHT('112'!$M$9,2),B6031&lt;'112'!$K$9,$O6031='112'!$I$6)),"x",""))</f>
        <v/>
      </c>
      <c r="W6031" s="79" t="str">
        <f>IF(AND('341-CT'!$H$9=H6031,OR(LEFT(N6031,3)=$W$7,LEFT(O6031,3)=$W$7)),"x","")</f>
        <v/>
      </c>
      <c r="X6031" s="79" t="str">
        <f>IF(OR(TH!N6031=TH!$X$7,O6031=TH!$X$7),"x","")</f>
        <v/>
      </c>
      <c r="Y6031" s="79" t="str">
        <f>IF(AND(OR(N6031="131",O6031="131"),H6031='131-CT'!$H$9),"x","")</f>
        <v/>
      </c>
      <c r="Z6031" s="79"/>
      <c r="AA6031" s="79" t="str">
        <f>IF(AND(MONTH(E6031)='IN-NX'!$J$5,'IN-NX'!$D$7=D6031),"x","")</f>
        <v/>
      </c>
      <c r="AB6031" s="79" t="str">
        <f>IF(AND(OR(LEFT(TH!N6031,2)="15",LEFT(TH!O6031,2)="15"),LEFT(TH!O6031,3)&lt;&gt;"111",'152-CT'!$J$8=TH!F6031),"x","")</f>
        <v/>
      </c>
      <c r="AC6031" s="79" t="str">
        <f>IF(AND(OR(LEFT(TH!N6031,2)="15",LEFT(TH!O6031,2)="15"),TK!$E$7=TH!F6031),"x","")</f>
        <v/>
      </c>
      <c r="AD6031" s="79" t="str">
        <f>IF(AND(N6031="1521",MONTH(C6031)='BK-NL'!$M$11),"x","")</f>
        <v/>
      </c>
    </row>
    <row r="6032" spans="1:30" ht="16.5" customHeight="1">
      <c r="A6032" s="318" t="str">
        <f>IF(B6032&lt;&gt;"",IF(AND(B6032='IN-TC'!$S$4,OR(TH!N6032="1111",TH!O6032="1111")),TH!D6032,""),"")</f>
        <v/>
      </c>
      <c r="B6032" s="60" t="str">
        <f t="shared" si="515"/>
        <v/>
      </c>
      <c r="C6032" s="61"/>
      <c r="D6032" s="61"/>
      <c r="E6032" s="61"/>
      <c r="F6032" s="69"/>
      <c r="G6032" s="64"/>
      <c r="H6032" s="69"/>
      <c r="I6032" s="385"/>
      <c r="J6032" s="392"/>
      <c r="K6032" s="385"/>
      <c r="L6032" s="392"/>
      <c r="M6032" s="62"/>
      <c r="N6032" s="63"/>
      <c r="O6032" s="63"/>
      <c r="P6032" s="79" t="str">
        <f>IF(AND('331-CT'!$E$7=TH!H6032,OR(N6032="331",O6032="331")),"x","")</f>
        <v/>
      </c>
      <c r="Q6032" s="79" t="str">
        <f>IF(AND(B6032='111'!$L$11,OR($N6032=$Q$7,$O6032=$Q$7)),"x","")</f>
        <v/>
      </c>
      <c r="R6032" s="79" t="str">
        <f>IF(AND($N6032=$Q$7,$B6032&lt;'111'!$L$11),"x","")</f>
        <v/>
      </c>
      <c r="S6032" s="79" t="str">
        <f>IF(AND($O6032=$Q$7,$B6032&lt;'111'!$L$11),"x","")</f>
        <v/>
      </c>
      <c r="T6032" s="79" t="str">
        <f>IF(ISERROR(FIND('112'!$M$9,G6032,1)),"",IF((AND(FIND('112'!$M$9,G6032,1)&gt;=1,B6032='112'!$K$9,OR($N6032='112'!$I$6,$O6032='112'!$I$6))),"x",""))</f>
        <v/>
      </c>
      <c r="U6032" s="79" t="str">
        <f>IF(ISERROR(FIND('112'!$M$9,G6032,1)),"",IF((AND(LEFT(G6032,2)=LEFT('112'!$M$9,2),B6032&lt;'112'!$K$9,$N6032='112'!$I$6)),"x",""))</f>
        <v/>
      </c>
      <c r="V6032" s="79" t="str">
        <f>IF(ISERROR(FIND('112'!$M$9,G6032,1)),"",IF((AND(RIGHT(G6032,2)=RIGHT('112'!$M$9,2),B6032&lt;'112'!$K$9,$O6032='112'!$I$6)),"x",""))</f>
        <v/>
      </c>
      <c r="W6032" s="79" t="str">
        <f>IF(AND('341-CT'!$H$9=H6032,OR(LEFT(N6032,3)=$W$7,LEFT(O6032,3)=$W$7)),"x","")</f>
        <v/>
      </c>
      <c r="X6032" s="79" t="str">
        <f>IF(OR(TH!N6032=TH!$X$7,O6032=TH!$X$7),"x","")</f>
        <v/>
      </c>
      <c r="Y6032" s="79" t="str">
        <f>IF(AND(OR(N6032="131",O6032="131"),H6032='131-CT'!$H$9),"x","")</f>
        <v/>
      </c>
      <c r="Z6032" s="79"/>
      <c r="AA6032" s="79" t="str">
        <f>IF(AND(MONTH(E6032)='IN-NX'!$J$5,'IN-NX'!$D$7=D6032),"x","")</f>
        <v/>
      </c>
      <c r="AB6032" s="79" t="str">
        <f>IF(AND(OR(LEFT(TH!N6032,2)="15",LEFT(TH!O6032,2)="15"),LEFT(TH!O6032,3)&lt;&gt;"111",'152-CT'!$J$8=TH!F6032),"x","")</f>
        <v/>
      </c>
      <c r="AC6032" s="79" t="str">
        <f>IF(AND(OR(LEFT(TH!N6032,2)="15",LEFT(TH!O6032,2)="15"),TK!$E$7=TH!F6032),"x","")</f>
        <v/>
      </c>
      <c r="AD6032" s="79" t="str">
        <f>IF(AND(N6032="1521",MONTH(C6032)='BK-NL'!$M$11),"x","")</f>
        <v/>
      </c>
    </row>
    <row r="6033" spans="1:30" ht="16.5" customHeight="1">
      <c r="A6033" s="318" t="str">
        <f>IF(B6033&lt;&gt;"",IF(AND(B6033='IN-TC'!$S$4,OR(TH!N6033="1111",TH!O6033="1111")),TH!D6033,""),"")</f>
        <v/>
      </c>
      <c r="B6033" s="60" t="str">
        <f t="shared" si="515"/>
        <v/>
      </c>
      <c r="C6033" s="61"/>
      <c r="D6033" s="61"/>
      <c r="E6033" s="61"/>
      <c r="F6033" s="69"/>
      <c r="G6033" s="64"/>
      <c r="H6033" s="69"/>
      <c r="I6033" s="385"/>
      <c r="J6033" s="392"/>
      <c r="K6033" s="385"/>
      <c r="L6033" s="392"/>
      <c r="M6033" s="62"/>
      <c r="N6033" s="63"/>
      <c r="O6033" s="63"/>
      <c r="P6033" s="79" t="str">
        <f>IF(AND('331-CT'!$E$7=TH!H6033,OR(N6033="331",O6033="331")),"x","")</f>
        <v/>
      </c>
      <c r="Q6033" s="79" t="str">
        <f>IF(AND(B6033='111'!$L$11,OR($N6033=$Q$7,$O6033=$Q$7)),"x","")</f>
        <v/>
      </c>
      <c r="R6033" s="79" t="str">
        <f>IF(AND($N6033=$Q$7,$B6033&lt;'111'!$L$11),"x","")</f>
        <v/>
      </c>
      <c r="S6033" s="79" t="str">
        <f>IF(AND($O6033=$Q$7,$B6033&lt;'111'!$L$11),"x","")</f>
        <v/>
      </c>
      <c r="T6033" s="79" t="str">
        <f>IF(ISERROR(FIND('112'!$M$9,G6033,1)),"",IF((AND(FIND('112'!$M$9,G6033,1)&gt;=1,B6033='112'!$K$9,OR($N6033='112'!$I$6,$O6033='112'!$I$6))),"x",""))</f>
        <v/>
      </c>
      <c r="U6033" s="79" t="str">
        <f>IF(ISERROR(FIND('112'!$M$9,G6033,1)),"",IF((AND(LEFT(G6033,2)=LEFT('112'!$M$9,2),B6033&lt;'112'!$K$9,$N6033='112'!$I$6)),"x",""))</f>
        <v/>
      </c>
      <c r="V6033" s="79" t="str">
        <f>IF(ISERROR(FIND('112'!$M$9,G6033,1)),"",IF((AND(RIGHT(G6033,2)=RIGHT('112'!$M$9,2),B6033&lt;'112'!$K$9,$O6033='112'!$I$6)),"x",""))</f>
        <v/>
      </c>
      <c r="W6033" s="79" t="str">
        <f>IF(AND('341-CT'!$H$9=H6033,OR(LEFT(N6033,3)=$W$7,LEFT(O6033,3)=$W$7)),"x","")</f>
        <v/>
      </c>
      <c r="X6033" s="79" t="str">
        <f>IF(OR(TH!N6033=TH!$X$7,O6033=TH!$X$7),"x","")</f>
        <v/>
      </c>
      <c r="Y6033" s="79" t="str">
        <f>IF(AND(OR(N6033="131",O6033="131"),H6033='131-CT'!$H$9),"x","")</f>
        <v/>
      </c>
      <c r="Z6033" s="79"/>
      <c r="AA6033" s="79" t="str">
        <f>IF(AND(MONTH(E6033)='IN-NX'!$J$5,'IN-NX'!$D$7=D6033),"x","")</f>
        <v/>
      </c>
      <c r="AB6033" s="79" t="str">
        <f>IF(AND(OR(LEFT(TH!N6033,2)="15",LEFT(TH!O6033,2)="15"),LEFT(TH!O6033,3)&lt;&gt;"111",'152-CT'!$J$8=TH!F6033),"x","")</f>
        <v/>
      </c>
      <c r="AC6033" s="79" t="str">
        <f>IF(AND(OR(LEFT(TH!N6033,2)="15",LEFT(TH!O6033,2)="15"),TK!$E$7=TH!F6033),"x","")</f>
        <v/>
      </c>
      <c r="AD6033" s="79" t="str">
        <f>IF(AND(N6033="1521",MONTH(C6033)='BK-NL'!$M$11),"x","")</f>
        <v/>
      </c>
    </row>
    <row r="6034" spans="1:30" ht="16.5" customHeight="1">
      <c r="A6034" s="318" t="str">
        <f>IF(B6034&lt;&gt;"",IF(AND(B6034='IN-TC'!$S$4,OR(TH!N6034="1111",TH!O6034="1111")),TH!D6034,""),"")</f>
        <v/>
      </c>
      <c r="B6034" s="60" t="str">
        <f t="shared" si="515"/>
        <v/>
      </c>
      <c r="C6034" s="61"/>
      <c r="D6034" s="61"/>
      <c r="E6034" s="61"/>
      <c r="F6034" s="69"/>
      <c r="G6034" s="64"/>
      <c r="H6034" s="69"/>
      <c r="I6034" s="385"/>
      <c r="J6034" s="392"/>
      <c r="K6034" s="385"/>
      <c r="L6034" s="392"/>
      <c r="M6034" s="62"/>
      <c r="N6034" s="63"/>
      <c r="O6034" s="63"/>
      <c r="P6034" s="79" t="str">
        <f>IF(AND('331-CT'!$E$7=TH!H6034,OR(N6034="331",O6034="331")),"x","")</f>
        <v/>
      </c>
      <c r="Q6034" s="79" t="str">
        <f>IF(AND(B6034='111'!$L$11,OR($N6034=$Q$7,$O6034=$Q$7)),"x","")</f>
        <v/>
      </c>
      <c r="R6034" s="79" t="str">
        <f>IF(AND($N6034=$Q$7,$B6034&lt;'111'!$L$11),"x","")</f>
        <v/>
      </c>
      <c r="S6034" s="79" t="str">
        <f>IF(AND($O6034=$Q$7,$B6034&lt;'111'!$L$11),"x","")</f>
        <v/>
      </c>
      <c r="T6034" s="79" t="str">
        <f>IF(ISERROR(FIND('112'!$M$9,G6034,1)),"",IF((AND(FIND('112'!$M$9,G6034,1)&gt;=1,B6034='112'!$K$9,OR($N6034='112'!$I$6,$O6034='112'!$I$6))),"x",""))</f>
        <v/>
      </c>
      <c r="U6034" s="79" t="str">
        <f>IF(ISERROR(FIND('112'!$M$9,G6034,1)),"",IF((AND(LEFT(G6034,2)=LEFT('112'!$M$9,2),B6034&lt;'112'!$K$9,$N6034='112'!$I$6)),"x",""))</f>
        <v/>
      </c>
      <c r="V6034" s="79" t="str">
        <f>IF(ISERROR(FIND('112'!$M$9,G6034,1)),"",IF((AND(RIGHT(G6034,2)=RIGHT('112'!$M$9,2),B6034&lt;'112'!$K$9,$O6034='112'!$I$6)),"x",""))</f>
        <v/>
      </c>
      <c r="W6034" s="79" t="str">
        <f>IF(AND('341-CT'!$H$9=H6034,OR(LEFT(N6034,3)=$W$7,LEFT(O6034,3)=$W$7)),"x","")</f>
        <v/>
      </c>
      <c r="X6034" s="79" t="str">
        <f>IF(OR(TH!N6034=TH!$X$7,O6034=TH!$X$7),"x","")</f>
        <v/>
      </c>
      <c r="Y6034" s="79" t="str">
        <f>IF(AND(OR(N6034="131",O6034="131"),H6034='131-CT'!$H$9),"x","")</f>
        <v/>
      </c>
      <c r="Z6034" s="79"/>
      <c r="AA6034" s="79" t="str">
        <f>IF(AND(MONTH(E6034)='IN-NX'!$J$5,'IN-NX'!$D$7=D6034),"x","")</f>
        <v/>
      </c>
      <c r="AB6034" s="79" t="str">
        <f>IF(AND(OR(LEFT(TH!N6034,2)="15",LEFT(TH!O6034,2)="15"),LEFT(TH!O6034,3)&lt;&gt;"111",'152-CT'!$J$8=TH!F6034),"x","")</f>
        <v/>
      </c>
      <c r="AC6034" s="79" t="str">
        <f>IF(AND(OR(LEFT(TH!N6034,2)="15",LEFT(TH!O6034,2)="15"),TK!$E$7=TH!F6034),"x","")</f>
        <v/>
      </c>
      <c r="AD6034" s="79" t="str">
        <f>IF(AND(N6034="1521",MONTH(C6034)='BK-NL'!$M$11),"x","")</f>
        <v/>
      </c>
    </row>
    <row r="6035" spans="1:30" ht="16.5" customHeight="1">
      <c r="A6035" s="318" t="str">
        <f>IF(B6035&lt;&gt;"",IF(AND(B6035='IN-TC'!$S$4,OR(TH!N6035="1111",TH!O6035="1111")),TH!D6035,""),"")</f>
        <v/>
      </c>
      <c r="B6035" s="60" t="str">
        <f t="shared" si="515"/>
        <v/>
      </c>
      <c r="C6035" s="61"/>
      <c r="D6035" s="61"/>
      <c r="E6035" s="61"/>
      <c r="F6035" s="69"/>
      <c r="G6035" s="64"/>
      <c r="H6035" s="69"/>
      <c r="I6035" s="385"/>
      <c r="J6035" s="392"/>
      <c r="K6035" s="385"/>
      <c r="L6035" s="392"/>
      <c r="M6035" s="62"/>
      <c r="N6035" s="63"/>
      <c r="O6035" s="63"/>
      <c r="P6035" s="79" t="str">
        <f>IF(AND('331-CT'!$E$7=TH!H6035,OR(N6035="331",O6035="331")),"x","")</f>
        <v/>
      </c>
      <c r="Q6035" s="79" t="str">
        <f>IF(AND(B6035='111'!$L$11,OR($N6035=$Q$7,$O6035=$Q$7)),"x","")</f>
        <v/>
      </c>
      <c r="R6035" s="79" t="str">
        <f>IF(AND($N6035=$Q$7,$B6035&lt;'111'!$L$11),"x","")</f>
        <v/>
      </c>
      <c r="S6035" s="79" t="str">
        <f>IF(AND($O6035=$Q$7,$B6035&lt;'111'!$L$11),"x","")</f>
        <v/>
      </c>
      <c r="T6035" s="79" t="str">
        <f>IF(ISERROR(FIND('112'!$M$9,G6035,1)),"",IF((AND(FIND('112'!$M$9,G6035,1)&gt;=1,B6035='112'!$K$9,OR($N6035='112'!$I$6,$O6035='112'!$I$6))),"x",""))</f>
        <v/>
      </c>
      <c r="U6035" s="79" t="str">
        <f>IF(ISERROR(FIND('112'!$M$9,G6035,1)),"",IF((AND(LEFT(G6035,2)=LEFT('112'!$M$9,2),B6035&lt;'112'!$K$9,$N6035='112'!$I$6)),"x",""))</f>
        <v/>
      </c>
      <c r="V6035" s="79" t="str">
        <f>IF(ISERROR(FIND('112'!$M$9,G6035,1)),"",IF((AND(RIGHT(G6035,2)=RIGHT('112'!$M$9,2),B6035&lt;'112'!$K$9,$O6035='112'!$I$6)),"x",""))</f>
        <v/>
      </c>
      <c r="W6035" s="79" t="str">
        <f>IF(AND('341-CT'!$H$9=H6035,OR(LEFT(N6035,3)=$W$7,LEFT(O6035,3)=$W$7)),"x","")</f>
        <v/>
      </c>
      <c r="X6035" s="79" t="str">
        <f>IF(OR(TH!N6035=TH!$X$7,O6035=TH!$X$7),"x","")</f>
        <v/>
      </c>
      <c r="Y6035" s="79" t="str">
        <f>IF(AND(OR(N6035="131",O6035="131"),H6035='131-CT'!$H$9),"x","")</f>
        <v/>
      </c>
      <c r="Z6035" s="79"/>
      <c r="AA6035" s="79" t="str">
        <f>IF(AND(MONTH(E6035)='IN-NX'!$J$5,'IN-NX'!$D$7=D6035),"x","")</f>
        <v/>
      </c>
      <c r="AB6035" s="79" t="str">
        <f>IF(AND(OR(LEFT(TH!N6035,2)="15",LEFT(TH!O6035,2)="15"),LEFT(TH!O6035,3)&lt;&gt;"111",'152-CT'!$J$8=TH!F6035),"x","")</f>
        <v/>
      </c>
      <c r="AC6035" s="79" t="str">
        <f>IF(AND(OR(LEFT(TH!N6035,2)="15",LEFT(TH!O6035,2)="15"),TK!$E$7=TH!F6035),"x","")</f>
        <v/>
      </c>
      <c r="AD6035" s="79" t="str">
        <f>IF(AND(N6035="1521",MONTH(C6035)='BK-NL'!$M$11),"x","")</f>
        <v/>
      </c>
    </row>
    <row r="6036" spans="1:30" ht="16.5" customHeight="1">
      <c r="A6036" s="318" t="str">
        <f>IF(B6036&lt;&gt;"",IF(AND(B6036='IN-TC'!$S$4,OR(TH!N6036="1111",TH!O6036="1111")),TH!D6036,""),"")</f>
        <v/>
      </c>
      <c r="B6036" s="60" t="str">
        <f t="shared" si="515"/>
        <v/>
      </c>
      <c r="C6036" s="61"/>
      <c r="D6036" s="61"/>
      <c r="E6036" s="61"/>
      <c r="F6036" s="69"/>
      <c r="G6036" s="64"/>
      <c r="H6036" s="321"/>
      <c r="I6036" s="387"/>
      <c r="J6036" s="394"/>
      <c r="K6036" s="387"/>
      <c r="L6036" s="394"/>
      <c r="M6036" s="62"/>
      <c r="N6036" s="63"/>
      <c r="O6036" s="63"/>
      <c r="P6036" s="79" t="str">
        <f>IF(AND('331-CT'!$E$7=TH!H6036,OR(N6036="331",O6036="331")),"x","")</f>
        <v/>
      </c>
      <c r="Q6036" s="79" t="str">
        <f>IF(AND(B6036='111'!$L$11,OR($N6036=$Q$7,$O6036=$Q$7)),"x","")</f>
        <v/>
      </c>
      <c r="R6036" s="79" t="str">
        <f>IF(AND($N6036=$Q$7,$B6036&lt;'111'!$L$11),"x","")</f>
        <v/>
      </c>
      <c r="S6036" s="79" t="str">
        <f>IF(AND($O6036=$Q$7,$B6036&lt;'111'!$L$11),"x","")</f>
        <v/>
      </c>
      <c r="T6036" s="79" t="str">
        <f>IF(ISERROR(FIND('112'!$M$9,G6036,1)),"",IF((AND(FIND('112'!$M$9,G6036,1)&gt;=1,B6036='112'!$K$9,OR($N6036='112'!$I$6,$O6036='112'!$I$6))),"x",""))</f>
        <v/>
      </c>
      <c r="U6036" s="79" t="str">
        <f>IF(ISERROR(FIND('112'!$M$9,G6036,1)),"",IF((AND(LEFT(G6036,2)=LEFT('112'!$M$9,2),B6036&lt;'112'!$K$9,$N6036='112'!$I$6)),"x",""))</f>
        <v/>
      </c>
      <c r="V6036" s="79" t="str">
        <f>IF(ISERROR(FIND('112'!$M$9,G6036,1)),"",IF((AND(RIGHT(G6036,2)=RIGHT('112'!$M$9,2),B6036&lt;'112'!$K$9,$O6036='112'!$I$6)),"x",""))</f>
        <v/>
      </c>
      <c r="W6036" s="79" t="str">
        <f>IF(AND('341-CT'!$H$9=H6036,OR(LEFT(N6036,3)=$W$7,LEFT(O6036,3)=$W$7)),"x","")</f>
        <v/>
      </c>
      <c r="X6036" s="79" t="str">
        <f>IF(OR(TH!N6036=TH!$X$7,O6036=TH!$X$7),"x","")</f>
        <v/>
      </c>
      <c r="Y6036" s="79" t="str">
        <f>IF(AND(OR(N6036="131",O6036="131"),H6036='131-CT'!$H$9),"x","")</f>
        <v/>
      </c>
      <c r="Z6036" s="79"/>
      <c r="AA6036" s="79" t="str">
        <f>IF(AND(MONTH(E6036)='IN-NX'!$J$5,'IN-NX'!$D$7=D6036),"x","")</f>
        <v/>
      </c>
      <c r="AB6036" s="79" t="str">
        <f>IF(AND(OR(LEFT(TH!N6036,2)="15",LEFT(TH!O6036,2)="15"),LEFT(TH!O6036,3)&lt;&gt;"111",'152-CT'!$J$8=TH!F6036),"x","")</f>
        <v/>
      </c>
      <c r="AC6036" s="79" t="str">
        <f>IF(AND(OR(LEFT(TH!N6036,2)="15",LEFT(TH!O6036,2)="15"),TK!$E$7=TH!F6036),"x","")</f>
        <v/>
      </c>
      <c r="AD6036" s="79" t="str">
        <f>IF(AND(N6036="1521",MONTH(C6036)='BK-NL'!$M$11),"x","")</f>
        <v/>
      </c>
    </row>
    <row r="6037" spans="1:30" ht="16.5" customHeight="1">
      <c r="A6037" s="318" t="str">
        <f>IF(B6037&lt;&gt;"",IF(AND(B6037='IN-TC'!$S$4,OR(TH!N6037="1111",TH!O6037="1111")),TH!D6037,""),"")</f>
        <v/>
      </c>
      <c r="B6037" s="60" t="str">
        <f t="shared" si="515"/>
        <v/>
      </c>
      <c r="C6037" s="61"/>
      <c r="D6037" s="61"/>
      <c r="E6037" s="61"/>
      <c r="F6037" s="69"/>
      <c r="G6037" s="64"/>
      <c r="H6037" s="321"/>
      <c r="I6037" s="385"/>
      <c r="J6037" s="392"/>
      <c r="K6037" s="385"/>
      <c r="L6037" s="392"/>
      <c r="M6037" s="62"/>
      <c r="N6037" s="63"/>
      <c r="O6037" s="63"/>
      <c r="P6037" s="79" t="str">
        <f>IF(AND('331-CT'!$E$7=TH!H6037,OR(N6037="331",O6037="331")),"x","")</f>
        <v/>
      </c>
      <c r="Q6037" s="79" t="str">
        <f>IF(AND(B6037='111'!$L$11,OR($N6037=$Q$7,$O6037=$Q$7)),"x","")</f>
        <v/>
      </c>
      <c r="R6037" s="79" t="str">
        <f>IF(AND($N6037=$Q$7,$B6037&lt;'111'!$L$11),"x","")</f>
        <v/>
      </c>
      <c r="S6037" s="79" t="str">
        <f>IF(AND($O6037=$Q$7,$B6037&lt;'111'!$L$11),"x","")</f>
        <v/>
      </c>
      <c r="T6037" s="79" t="str">
        <f>IF(ISERROR(FIND('112'!$M$9,G6037,1)),"",IF((AND(FIND('112'!$M$9,G6037,1)&gt;=1,B6037='112'!$K$9,OR($N6037='112'!$I$6,$O6037='112'!$I$6))),"x",""))</f>
        <v/>
      </c>
      <c r="U6037" s="79" t="str">
        <f>IF(ISERROR(FIND('112'!$M$9,G6037,1)),"",IF((AND(LEFT(G6037,2)=LEFT('112'!$M$9,2),B6037&lt;'112'!$K$9,$N6037='112'!$I$6)),"x",""))</f>
        <v/>
      </c>
      <c r="V6037" s="79" t="str">
        <f>IF(ISERROR(FIND('112'!$M$9,G6037,1)),"",IF((AND(RIGHT(G6037,2)=RIGHT('112'!$M$9,2),B6037&lt;'112'!$K$9,$O6037='112'!$I$6)),"x",""))</f>
        <v/>
      </c>
      <c r="W6037" s="79" t="str">
        <f>IF(AND('341-CT'!$H$9=H6037,OR(LEFT(N6037,3)=$W$7,LEFT(O6037,3)=$W$7)),"x","")</f>
        <v/>
      </c>
      <c r="X6037" s="79" t="str">
        <f>IF(OR(TH!N6037=TH!$X$7,O6037=TH!$X$7),"x","")</f>
        <v/>
      </c>
      <c r="Y6037" s="79" t="str">
        <f>IF(AND(OR(N6037="131",O6037="131"),H6037='131-CT'!$H$9),"x","")</f>
        <v/>
      </c>
      <c r="Z6037" s="79"/>
      <c r="AA6037" s="79" t="str">
        <f>IF(AND(MONTH(E6037)='IN-NX'!$J$5,'IN-NX'!$D$7=D6037),"x","")</f>
        <v/>
      </c>
      <c r="AB6037" s="79" t="str">
        <f>IF(AND(OR(LEFT(TH!N6037,2)="15",LEFT(TH!O6037,2)="15"),LEFT(TH!O6037,3)&lt;&gt;"111",'152-CT'!$J$8=TH!F6037),"x","")</f>
        <v/>
      </c>
      <c r="AC6037" s="79" t="str">
        <f>IF(AND(OR(LEFT(TH!N6037,2)="15",LEFT(TH!O6037,2)="15"),TK!$E$7=TH!F6037),"x","")</f>
        <v/>
      </c>
      <c r="AD6037" s="79" t="str">
        <f>IF(AND(N6037="1521",MONTH(C6037)='BK-NL'!$M$11),"x","")</f>
        <v/>
      </c>
    </row>
    <row r="6038" spans="1:30" ht="16.5" customHeight="1">
      <c r="A6038" s="318" t="str">
        <f>IF(B6038&lt;&gt;"",IF(AND(B6038='IN-TC'!$S$4,OR(TH!N6038="1111",TH!O6038="1111")),TH!D6038,""),"")</f>
        <v/>
      </c>
      <c r="B6038" s="60" t="str">
        <f t="shared" si="515"/>
        <v/>
      </c>
      <c r="C6038" s="61"/>
      <c r="D6038" s="61"/>
      <c r="E6038" s="61"/>
      <c r="F6038" s="69"/>
      <c r="G6038" s="64"/>
      <c r="H6038" s="321"/>
      <c r="I6038" s="385"/>
      <c r="J6038" s="392"/>
      <c r="K6038" s="385"/>
      <c r="L6038" s="392"/>
      <c r="M6038" s="62"/>
      <c r="N6038" s="63"/>
      <c r="O6038" s="63"/>
      <c r="P6038" s="79" t="str">
        <f>IF(AND('331-CT'!$E$7=TH!H6038,OR(N6038="331",O6038="331")),"x","")</f>
        <v/>
      </c>
      <c r="Q6038" s="79" t="str">
        <f>IF(AND(B6038='111'!$L$11,OR($N6038=$Q$7,$O6038=$Q$7)),"x","")</f>
        <v/>
      </c>
      <c r="R6038" s="79" t="str">
        <f>IF(AND($N6038=$Q$7,$B6038&lt;'111'!$L$11),"x","")</f>
        <v/>
      </c>
      <c r="S6038" s="79" t="str">
        <f>IF(AND($O6038=$Q$7,$B6038&lt;'111'!$L$11),"x","")</f>
        <v/>
      </c>
      <c r="T6038" s="79" t="str">
        <f>IF(ISERROR(FIND('112'!$M$9,G6038,1)),"",IF((AND(FIND('112'!$M$9,G6038,1)&gt;=1,B6038='112'!$K$9,OR($N6038='112'!$I$6,$O6038='112'!$I$6))),"x",""))</f>
        <v/>
      </c>
      <c r="U6038" s="79" t="str">
        <f>IF(ISERROR(FIND('112'!$M$9,G6038,1)),"",IF((AND(LEFT(G6038,2)=LEFT('112'!$M$9,2),B6038&lt;'112'!$K$9,$N6038='112'!$I$6)),"x",""))</f>
        <v/>
      </c>
      <c r="V6038" s="79" t="str">
        <f>IF(ISERROR(FIND('112'!$M$9,G6038,1)),"",IF((AND(RIGHT(G6038,2)=RIGHT('112'!$M$9,2),B6038&lt;'112'!$K$9,$O6038='112'!$I$6)),"x",""))</f>
        <v/>
      </c>
      <c r="W6038" s="79" t="str">
        <f>IF(AND('341-CT'!$H$9=H6038,OR(LEFT(N6038,3)=$W$7,LEFT(O6038,3)=$W$7)),"x","")</f>
        <v/>
      </c>
      <c r="X6038" s="79" t="str">
        <f>IF(OR(TH!N6038=TH!$X$7,O6038=TH!$X$7),"x","")</f>
        <v/>
      </c>
      <c r="Y6038" s="79" t="str">
        <f>IF(AND(OR(N6038="131",O6038="131"),H6038='131-CT'!$H$9),"x","")</f>
        <v/>
      </c>
      <c r="Z6038" s="79"/>
      <c r="AA6038" s="79" t="str">
        <f>IF(AND(MONTH(E6038)='IN-NX'!$J$5,'IN-NX'!$D$7=D6038),"x","")</f>
        <v/>
      </c>
      <c r="AB6038" s="79" t="str">
        <f>IF(AND(OR(LEFT(TH!N6038,2)="15",LEFT(TH!O6038,2)="15"),LEFT(TH!O6038,3)&lt;&gt;"111",'152-CT'!$J$8=TH!F6038),"x","")</f>
        <v/>
      </c>
      <c r="AC6038" s="79" t="str">
        <f>IF(AND(OR(LEFT(TH!N6038,2)="15",LEFT(TH!O6038,2)="15"),TK!$E$7=TH!F6038),"x","")</f>
        <v/>
      </c>
      <c r="AD6038" s="79" t="str">
        <f>IF(AND(N6038="1521",MONTH(C6038)='BK-NL'!$M$11),"x","")</f>
        <v/>
      </c>
    </row>
    <row r="6039" spans="1:30" ht="16.5" customHeight="1">
      <c r="A6039" s="318" t="str">
        <f>IF(B6039&lt;&gt;"",IF(AND(B6039='IN-TC'!$S$4,OR(TH!N6039="1111",TH!O6039="1111")),TH!D6039,""),"")</f>
        <v/>
      </c>
      <c r="B6039" s="60" t="str">
        <f t="shared" si="515"/>
        <v/>
      </c>
      <c r="C6039" s="61"/>
      <c r="D6039" s="61"/>
      <c r="E6039" s="61"/>
      <c r="F6039" s="69"/>
      <c r="G6039" s="64"/>
      <c r="H6039" s="321"/>
      <c r="I6039" s="385"/>
      <c r="J6039" s="392"/>
      <c r="K6039" s="385"/>
      <c r="L6039" s="392"/>
      <c r="M6039" s="62"/>
      <c r="N6039" s="63"/>
      <c r="O6039" s="63"/>
      <c r="P6039" s="79" t="str">
        <f>IF(AND('331-CT'!$E$7=TH!H6039,OR(N6039="331",O6039="331")),"x","")</f>
        <v/>
      </c>
      <c r="Q6039" s="79" t="str">
        <f>IF(AND(B6039='111'!$L$11,OR($N6039=$Q$7,$O6039=$Q$7)),"x","")</f>
        <v/>
      </c>
      <c r="R6039" s="79" t="str">
        <f>IF(AND($N6039=$Q$7,$B6039&lt;'111'!$L$11),"x","")</f>
        <v/>
      </c>
      <c r="S6039" s="79" t="str">
        <f>IF(AND($O6039=$Q$7,$B6039&lt;'111'!$L$11),"x","")</f>
        <v/>
      </c>
      <c r="T6039" s="79" t="str">
        <f>IF(ISERROR(FIND('112'!$M$9,G6039,1)),"",IF((AND(FIND('112'!$M$9,G6039,1)&gt;=1,B6039='112'!$K$9,OR($N6039='112'!$I$6,$O6039='112'!$I$6))),"x",""))</f>
        <v/>
      </c>
      <c r="U6039" s="79" t="str">
        <f>IF(ISERROR(FIND('112'!$M$9,G6039,1)),"",IF((AND(LEFT(G6039,2)=LEFT('112'!$M$9,2),B6039&lt;'112'!$K$9,$N6039='112'!$I$6)),"x",""))</f>
        <v/>
      </c>
      <c r="V6039" s="79" t="str">
        <f>IF(ISERROR(FIND('112'!$M$9,G6039,1)),"",IF((AND(RIGHT(G6039,2)=RIGHT('112'!$M$9,2),B6039&lt;'112'!$K$9,$O6039='112'!$I$6)),"x",""))</f>
        <v/>
      </c>
      <c r="W6039" s="79" t="str">
        <f>IF(AND('341-CT'!$H$9=H6039,OR(LEFT(N6039,3)=$W$7,LEFT(O6039,3)=$W$7)),"x","")</f>
        <v/>
      </c>
      <c r="X6039" s="79" t="str">
        <f>IF(OR(TH!N6039=TH!$X$7,O6039=TH!$X$7),"x","")</f>
        <v/>
      </c>
      <c r="Y6039" s="79" t="str">
        <f>IF(AND(OR(N6039="131",O6039="131"),H6039='131-CT'!$H$9),"x","")</f>
        <v/>
      </c>
      <c r="Z6039" s="79"/>
      <c r="AA6039" s="79" t="str">
        <f>IF(AND(MONTH(E6039)='IN-NX'!$J$5,'IN-NX'!$D$7=D6039),"x","")</f>
        <v/>
      </c>
      <c r="AB6039" s="79" t="str">
        <f>IF(AND(OR(LEFT(TH!N6039,2)="15",LEFT(TH!O6039,2)="15"),LEFT(TH!O6039,3)&lt;&gt;"111",'152-CT'!$J$8=TH!F6039),"x","")</f>
        <v/>
      </c>
      <c r="AC6039" s="79" t="str">
        <f>IF(AND(OR(LEFT(TH!N6039,2)="15",LEFT(TH!O6039,2)="15"),TK!$E$7=TH!F6039),"x","")</f>
        <v/>
      </c>
      <c r="AD6039" s="79" t="str">
        <f>IF(AND(N6039="1521",MONTH(C6039)='BK-NL'!$M$11),"x","")</f>
        <v/>
      </c>
    </row>
    <row r="6040" spans="1:30" ht="16.5" customHeight="1">
      <c r="A6040" s="318" t="str">
        <f>IF(B6040&lt;&gt;"",IF(AND(B6040='IN-TC'!$S$4,OR(TH!N6040="1111",TH!O6040="1111")),TH!D6040,""),"")</f>
        <v/>
      </c>
      <c r="B6040" s="60" t="str">
        <f t="shared" si="515"/>
        <v/>
      </c>
      <c r="C6040" s="61"/>
      <c r="D6040" s="61"/>
      <c r="E6040" s="61"/>
      <c r="F6040" s="69"/>
      <c r="G6040" s="64"/>
      <c r="H6040" s="321"/>
      <c r="I6040" s="385"/>
      <c r="J6040" s="392"/>
      <c r="K6040" s="385"/>
      <c r="L6040" s="392"/>
      <c r="M6040" s="62"/>
      <c r="N6040" s="63"/>
      <c r="O6040" s="63"/>
      <c r="P6040" s="79" t="str">
        <f>IF(AND('331-CT'!$E$7=TH!H6040,OR(N6040="331",O6040="331")),"x","")</f>
        <v/>
      </c>
      <c r="Q6040" s="79" t="str">
        <f>IF(AND(B6040='111'!$L$11,OR($N6040=$Q$7,$O6040=$Q$7)),"x","")</f>
        <v/>
      </c>
      <c r="R6040" s="79" t="str">
        <f>IF(AND($N6040=$Q$7,$B6040&lt;'111'!$L$11),"x","")</f>
        <v/>
      </c>
      <c r="S6040" s="79" t="str">
        <f>IF(AND($O6040=$Q$7,$B6040&lt;'111'!$L$11),"x","")</f>
        <v/>
      </c>
      <c r="T6040" s="79" t="str">
        <f>IF(ISERROR(FIND('112'!$M$9,G6040,1)),"",IF((AND(FIND('112'!$M$9,G6040,1)&gt;=1,B6040='112'!$K$9,OR($N6040='112'!$I$6,$O6040='112'!$I$6))),"x",""))</f>
        <v/>
      </c>
      <c r="U6040" s="79" t="str">
        <f>IF(ISERROR(FIND('112'!$M$9,G6040,1)),"",IF((AND(LEFT(G6040,2)=LEFT('112'!$M$9,2),B6040&lt;'112'!$K$9,$N6040='112'!$I$6)),"x",""))</f>
        <v/>
      </c>
      <c r="V6040" s="79" t="str">
        <f>IF(ISERROR(FIND('112'!$M$9,G6040,1)),"",IF((AND(RIGHT(G6040,2)=RIGHT('112'!$M$9,2),B6040&lt;'112'!$K$9,$O6040='112'!$I$6)),"x",""))</f>
        <v/>
      </c>
      <c r="W6040" s="79" t="str">
        <f>IF(AND('341-CT'!$H$9=H6040,OR(LEFT(N6040,3)=$W$7,LEFT(O6040,3)=$W$7)),"x","")</f>
        <v/>
      </c>
      <c r="X6040" s="79" t="str">
        <f>IF(OR(TH!N6040=TH!$X$7,O6040=TH!$X$7),"x","")</f>
        <v/>
      </c>
      <c r="Y6040" s="79" t="str">
        <f>IF(AND(OR(N6040="131",O6040="131"),H6040='131-CT'!$H$9),"x","")</f>
        <v/>
      </c>
      <c r="Z6040" s="79"/>
      <c r="AA6040" s="79" t="str">
        <f>IF(AND(MONTH(E6040)='IN-NX'!$J$5,'IN-NX'!$D$7=D6040),"x","")</f>
        <v/>
      </c>
      <c r="AB6040" s="79" t="str">
        <f>IF(AND(OR(LEFT(TH!N6040,2)="15",LEFT(TH!O6040,2)="15"),LEFT(TH!O6040,3)&lt;&gt;"111",'152-CT'!$J$8=TH!F6040),"x","")</f>
        <v/>
      </c>
      <c r="AC6040" s="79" t="str">
        <f>IF(AND(OR(LEFT(TH!N6040,2)="15",LEFT(TH!O6040,2)="15"),TK!$E$7=TH!F6040),"x","")</f>
        <v/>
      </c>
      <c r="AD6040" s="79" t="str">
        <f>IF(AND(N6040="1521",MONTH(C6040)='BK-NL'!$M$11),"x","")</f>
        <v/>
      </c>
    </row>
    <row r="6041" spans="1:30" ht="16.5" customHeight="1">
      <c r="A6041" s="318" t="str">
        <f>IF(B6041&lt;&gt;"",IF(AND(B6041='IN-TC'!$S$4,OR(TH!N6041="1111",TH!O6041="1111")),TH!D6041,""),"")</f>
        <v/>
      </c>
      <c r="B6041" s="60" t="str">
        <f t="shared" si="515"/>
        <v/>
      </c>
      <c r="C6041" s="61"/>
      <c r="D6041" s="61"/>
      <c r="E6041" s="61"/>
      <c r="F6041" s="69"/>
      <c r="G6041" s="64"/>
      <c r="H6041" s="321"/>
      <c r="I6041" s="387"/>
      <c r="J6041" s="394"/>
      <c r="K6041" s="387"/>
      <c r="L6041" s="394"/>
      <c r="M6041" s="62"/>
      <c r="N6041" s="63"/>
      <c r="O6041" s="63"/>
      <c r="P6041" s="79" t="str">
        <f>IF(AND('331-CT'!$E$7=TH!H6041,OR(N6041="331",O6041="331")),"x","")</f>
        <v/>
      </c>
      <c r="Q6041" s="79" t="str">
        <f>IF(AND(B6041='111'!$L$11,OR($N6041=$Q$7,$O6041=$Q$7)),"x","")</f>
        <v/>
      </c>
      <c r="R6041" s="79" t="str">
        <f>IF(AND($N6041=$Q$7,$B6041&lt;'111'!$L$11),"x","")</f>
        <v/>
      </c>
      <c r="S6041" s="79" t="str">
        <f>IF(AND($O6041=$Q$7,$B6041&lt;'111'!$L$11),"x","")</f>
        <v/>
      </c>
      <c r="T6041" s="79" t="str">
        <f>IF(ISERROR(FIND('112'!$M$9,G6041,1)),"",IF((AND(FIND('112'!$M$9,G6041,1)&gt;=1,B6041='112'!$K$9,OR($N6041='112'!$I$6,$O6041='112'!$I$6))),"x",""))</f>
        <v/>
      </c>
      <c r="U6041" s="79" t="str">
        <f>IF(ISERROR(FIND('112'!$M$9,G6041,1)),"",IF((AND(LEFT(G6041,2)=LEFT('112'!$M$9,2),B6041&lt;'112'!$K$9,$N6041='112'!$I$6)),"x",""))</f>
        <v/>
      </c>
      <c r="V6041" s="79" t="str">
        <f>IF(ISERROR(FIND('112'!$M$9,G6041,1)),"",IF((AND(RIGHT(G6041,2)=RIGHT('112'!$M$9,2),B6041&lt;'112'!$K$9,$O6041='112'!$I$6)),"x",""))</f>
        <v/>
      </c>
      <c r="W6041" s="79" t="str">
        <f>IF(AND('341-CT'!$H$9=H6041,OR(LEFT(N6041,3)=$W$7,LEFT(O6041,3)=$W$7)),"x","")</f>
        <v/>
      </c>
      <c r="X6041" s="79" t="str">
        <f>IF(OR(TH!N6041=TH!$X$7,O6041=TH!$X$7),"x","")</f>
        <v/>
      </c>
      <c r="Y6041" s="79" t="str">
        <f>IF(AND(OR(N6041="131",O6041="131"),H6041='131-CT'!$H$9),"x","")</f>
        <v/>
      </c>
      <c r="Z6041" s="79"/>
      <c r="AA6041" s="79" t="str">
        <f>IF(AND(MONTH(E6041)='IN-NX'!$J$5,'IN-NX'!$D$7=D6041),"x","")</f>
        <v/>
      </c>
      <c r="AB6041" s="79" t="str">
        <f>IF(AND(OR(LEFT(TH!N6041,2)="15",LEFT(TH!O6041,2)="15"),LEFT(TH!O6041,3)&lt;&gt;"111",'152-CT'!$J$8=TH!F6041),"x","")</f>
        <v/>
      </c>
      <c r="AC6041" s="79" t="str">
        <f>IF(AND(OR(LEFT(TH!N6041,2)="15",LEFT(TH!O6041,2)="15"),TK!$E$7=TH!F6041),"x","")</f>
        <v/>
      </c>
      <c r="AD6041" s="79" t="str">
        <f>IF(AND(N6041="1521",MONTH(C6041)='BK-NL'!$M$11),"x","")</f>
        <v/>
      </c>
    </row>
    <row r="6042" spans="1:30" ht="16.5" customHeight="1">
      <c r="A6042" s="318" t="str">
        <f>IF(B6042&lt;&gt;"",IF(AND(B6042='IN-TC'!$S$4,OR(TH!N6042="1111",TH!O6042="1111")),TH!D6042,""),"")</f>
        <v/>
      </c>
      <c r="B6042" s="60" t="str">
        <f t="shared" si="515"/>
        <v/>
      </c>
      <c r="C6042" s="61"/>
      <c r="D6042" s="61"/>
      <c r="E6042" s="61"/>
      <c r="F6042" s="69"/>
      <c r="G6042" s="64"/>
      <c r="H6042" s="321"/>
      <c r="I6042" s="385"/>
      <c r="J6042" s="392"/>
      <c r="K6042" s="385"/>
      <c r="L6042" s="392"/>
      <c r="M6042" s="62"/>
      <c r="N6042" s="63"/>
      <c r="O6042" s="63"/>
      <c r="P6042" s="79" t="str">
        <f>IF(AND('331-CT'!$E$7=TH!H6042,OR(N6042="331",O6042="331")),"x","")</f>
        <v/>
      </c>
      <c r="Q6042" s="79" t="str">
        <f>IF(AND(B6042='111'!$L$11,OR($N6042=$Q$7,$O6042=$Q$7)),"x","")</f>
        <v/>
      </c>
      <c r="R6042" s="79" t="str">
        <f>IF(AND($N6042=$Q$7,$B6042&lt;'111'!$L$11),"x","")</f>
        <v/>
      </c>
      <c r="S6042" s="79" t="str">
        <f>IF(AND($O6042=$Q$7,$B6042&lt;'111'!$L$11),"x","")</f>
        <v/>
      </c>
      <c r="T6042" s="79" t="str">
        <f>IF(ISERROR(FIND('112'!$M$9,G6042,1)),"",IF((AND(FIND('112'!$M$9,G6042,1)&gt;=1,B6042='112'!$K$9,OR($N6042='112'!$I$6,$O6042='112'!$I$6))),"x",""))</f>
        <v/>
      </c>
      <c r="U6042" s="79" t="str">
        <f>IF(ISERROR(FIND('112'!$M$9,G6042,1)),"",IF((AND(LEFT(G6042,2)=LEFT('112'!$M$9,2),B6042&lt;'112'!$K$9,$N6042='112'!$I$6)),"x",""))</f>
        <v/>
      </c>
      <c r="V6042" s="79" t="str">
        <f>IF(ISERROR(FIND('112'!$M$9,G6042,1)),"",IF((AND(RIGHT(G6042,2)=RIGHT('112'!$M$9,2),B6042&lt;'112'!$K$9,$O6042='112'!$I$6)),"x",""))</f>
        <v/>
      </c>
      <c r="W6042" s="79" t="str">
        <f>IF(AND('341-CT'!$H$9=H6042,OR(LEFT(N6042,3)=$W$7,LEFT(O6042,3)=$W$7)),"x","")</f>
        <v/>
      </c>
      <c r="X6042" s="79" t="str">
        <f>IF(OR(TH!N6042=TH!$X$7,O6042=TH!$X$7),"x","")</f>
        <v/>
      </c>
      <c r="Y6042" s="79" t="str">
        <f>IF(AND(OR(N6042="131",O6042="131"),H6042='131-CT'!$H$9),"x","")</f>
        <v/>
      </c>
      <c r="Z6042" s="79"/>
      <c r="AA6042" s="79" t="str">
        <f>IF(AND(MONTH(E6042)='IN-NX'!$J$5,'IN-NX'!$D$7=D6042),"x","")</f>
        <v/>
      </c>
      <c r="AB6042" s="79" t="str">
        <f>IF(AND(OR(LEFT(TH!N6042,2)="15",LEFT(TH!O6042,2)="15"),LEFT(TH!O6042,3)&lt;&gt;"111",'152-CT'!$J$8=TH!F6042),"x","")</f>
        <v/>
      </c>
      <c r="AC6042" s="79" t="str">
        <f>IF(AND(OR(LEFT(TH!N6042,2)="15",LEFT(TH!O6042,2)="15"),TK!$E$7=TH!F6042),"x","")</f>
        <v/>
      </c>
      <c r="AD6042" s="79" t="str">
        <f>IF(AND(N6042="1521",MONTH(C6042)='BK-NL'!$M$11),"x","")</f>
        <v/>
      </c>
    </row>
    <row r="6043" spans="1:30" ht="16.5" customHeight="1">
      <c r="A6043" s="318" t="str">
        <f>IF(B6043&lt;&gt;"",IF(AND(B6043='IN-TC'!$S$4,OR(TH!N6043="1111",TH!O6043="1111")),TH!D6043,""),"")</f>
        <v/>
      </c>
      <c r="B6043" s="60" t="str">
        <f t="shared" si="515"/>
        <v/>
      </c>
      <c r="C6043" s="61"/>
      <c r="D6043" s="61"/>
      <c r="E6043" s="61"/>
      <c r="F6043" s="69"/>
      <c r="G6043" s="64"/>
      <c r="H6043" s="321"/>
      <c r="I6043" s="385"/>
      <c r="J6043" s="392"/>
      <c r="K6043" s="385"/>
      <c r="L6043" s="392"/>
      <c r="M6043" s="62"/>
      <c r="N6043" s="63"/>
      <c r="O6043" s="63"/>
      <c r="P6043" s="79" t="str">
        <f>IF(AND('331-CT'!$E$7=TH!H6043,OR(N6043="331",O6043="331")),"x","")</f>
        <v/>
      </c>
      <c r="Q6043" s="79" t="str">
        <f>IF(AND(B6043='111'!$L$11,OR($N6043=$Q$7,$O6043=$Q$7)),"x","")</f>
        <v/>
      </c>
      <c r="R6043" s="79" t="str">
        <f>IF(AND($N6043=$Q$7,$B6043&lt;'111'!$L$11),"x","")</f>
        <v/>
      </c>
      <c r="S6043" s="79" t="str">
        <f>IF(AND($O6043=$Q$7,$B6043&lt;'111'!$L$11),"x","")</f>
        <v/>
      </c>
      <c r="T6043" s="79" t="str">
        <f>IF(ISERROR(FIND('112'!$M$9,G6043,1)),"",IF((AND(FIND('112'!$M$9,G6043,1)&gt;=1,B6043='112'!$K$9,OR($N6043='112'!$I$6,$O6043='112'!$I$6))),"x",""))</f>
        <v/>
      </c>
      <c r="U6043" s="79" t="str">
        <f>IF(ISERROR(FIND('112'!$M$9,G6043,1)),"",IF((AND(LEFT(G6043,2)=LEFT('112'!$M$9,2),B6043&lt;'112'!$K$9,$N6043='112'!$I$6)),"x",""))</f>
        <v/>
      </c>
      <c r="V6043" s="79" t="str">
        <f>IF(ISERROR(FIND('112'!$M$9,G6043,1)),"",IF((AND(RIGHT(G6043,2)=RIGHT('112'!$M$9,2),B6043&lt;'112'!$K$9,$O6043='112'!$I$6)),"x",""))</f>
        <v/>
      </c>
      <c r="W6043" s="79" t="str">
        <f>IF(AND('341-CT'!$H$9=H6043,OR(LEFT(N6043,3)=$W$7,LEFT(O6043,3)=$W$7)),"x","")</f>
        <v/>
      </c>
      <c r="X6043" s="79" t="str">
        <f>IF(OR(TH!N6043=TH!$X$7,O6043=TH!$X$7),"x","")</f>
        <v/>
      </c>
      <c r="Y6043" s="79" t="str">
        <f>IF(AND(OR(N6043="131",O6043="131"),H6043='131-CT'!$H$9),"x","")</f>
        <v/>
      </c>
      <c r="Z6043" s="79"/>
      <c r="AA6043" s="79" t="str">
        <f>IF(AND(MONTH(E6043)='IN-NX'!$J$5,'IN-NX'!$D$7=D6043),"x","")</f>
        <v/>
      </c>
      <c r="AB6043" s="79" t="str">
        <f>IF(AND(OR(LEFT(TH!N6043,2)="15",LEFT(TH!O6043,2)="15"),LEFT(TH!O6043,3)&lt;&gt;"111",'152-CT'!$J$8=TH!F6043),"x","")</f>
        <v/>
      </c>
      <c r="AC6043" s="79" t="str">
        <f>IF(AND(OR(LEFT(TH!N6043,2)="15",LEFT(TH!O6043,2)="15"),TK!$E$7=TH!F6043),"x","")</f>
        <v/>
      </c>
      <c r="AD6043" s="79" t="str">
        <f>IF(AND(N6043="1521",MONTH(C6043)='BK-NL'!$M$11),"x","")</f>
        <v/>
      </c>
    </row>
    <row r="6044" spans="1:30" ht="16.5" customHeight="1">
      <c r="A6044" s="318" t="str">
        <f>IF(B6044&lt;&gt;"",IF(AND(B6044='IN-TC'!$S$4,OR(TH!N6044="1111",TH!O6044="1111")),TH!D6044,""),"")</f>
        <v/>
      </c>
      <c r="B6044" s="60" t="str">
        <f t="shared" si="515"/>
        <v/>
      </c>
      <c r="C6044" s="61"/>
      <c r="D6044" s="61"/>
      <c r="E6044" s="61"/>
      <c r="F6044" s="69"/>
      <c r="G6044" s="64"/>
      <c r="H6044" s="321"/>
      <c r="I6044" s="385"/>
      <c r="J6044" s="392"/>
      <c r="K6044" s="385"/>
      <c r="L6044" s="392"/>
      <c r="M6044" s="62"/>
      <c r="N6044" s="63"/>
      <c r="O6044" s="63"/>
      <c r="P6044" s="79" t="str">
        <f>IF(AND('331-CT'!$E$7=TH!H6044,OR(N6044="331",O6044="331")),"x","")</f>
        <v/>
      </c>
      <c r="Q6044" s="79" t="str">
        <f>IF(AND(B6044='111'!$L$11,OR($N6044=$Q$7,$O6044=$Q$7)),"x","")</f>
        <v/>
      </c>
      <c r="R6044" s="79" t="str">
        <f>IF(AND($N6044=$Q$7,$B6044&lt;'111'!$L$11),"x","")</f>
        <v/>
      </c>
      <c r="S6044" s="79" t="str">
        <f>IF(AND($O6044=$Q$7,$B6044&lt;'111'!$L$11),"x","")</f>
        <v/>
      </c>
      <c r="T6044" s="79" t="str">
        <f>IF(ISERROR(FIND('112'!$M$9,G6044,1)),"",IF((AND(FIND('112'!$M$9,G6044,1)&gt;=1,B6044='112'!$K$9,OR($N6044='112'!$I$6,$O6044='112'!$I$6))),"x",""))</f>
        <v/>
      </c>
      <c r="U6044" s="79" t="str">
        <f>IF(ISERROR(FIND('112'!$M$9,G6044,1)),"",IF((AND(LEFT(G6044,2)=LEFT('112'!$M$9,2),B6044&lt;'112'!$K$9,$N6044='112'!$I$6)),"x",""))</f>
        <v/>
      </c>
      <c r="V6044" s="79" t="str">
        <f>IF(ISERROR(FIND('112'!$M$9,G6044,1)),"",IF((AND(RIGHT(G6044,2)=RIGHT('112'!$M$9,2),B6044&lt;'112'!$K$9,$O6044='112'!$I$6)),"x",""))</f>
        <v/>
      </c>
      <c r="W6044" s="79" t="str">
        <f>IF(AND('341-CT'!$H$9=H6044,OR(LEFT(N6044,3)=$W$7,LEFT(O6044,3)=$W$7)),"x","")</f>
        <v/>
      </c>
      <c r="X6044" s="79" t="str">
        <f>IF(OR(TH!N6044=TH!$X$7,O6044=TH!$X$7),"x","")</f>
        <v/>
      </c>
      <c r="Y6044" s="79" t="str">
        <f>IF(AND(OR(N6044="131",O6044="131"),H6044='131-CT'!$H$9),"x","")</f>
        <v/>
      </c>
      <c r="Z6044" s="79"/>
      <c r="AA6044" s="79" t="str">
        <f>IF(AND(MONTH(E6044)='IN-NX'!$J$5,'IN-NX'!$D$7=D6044),"x","")</f>
        <v/>
      </c>
      <c r="AB6044" s="79" t="str">
        <f>IF(AND(OR(LEFT(TH!N6044,2)="15",LEFT(TH!O6044,2)="15"),LEFT(TH!O6044,3)&lt;&gt;"111",'152-CT'!$J$8=TH!F6044),"x","")</f>
        <v/>
      </c>
      <c r="AC6044" s="79" t="str">
        <f>IF(AND(OR(LEFT(TH!N6044,2)="15",LEFT(TH!O6044,2)="15"),TK!$E$7=TH!F6044),"x","")</f>
        <v/>
      </c>
      <c r="AD6044" s="79" t="str">
        <f>IF(AND(N6044="1521",MONTH(C6044)='BK-NL'!$M$11),"x","")</f>
        <v/>
      </c>
    </row>
    <row r="6045" spans="1:30" ht="16.5" customHeight="1">
      <c r="A6045" s="318" t="str">
        <f>IF(B6045&lt;&gt;"",IF(AND(B6045='IN-TC'!$S$4,OR(TH!N6045="1111",TH!O6045="1111")),TH!D6045,""),"")</f>
        <v/>
      </c>
      <c r="B6045" s="60" t="str">
        <f t="shared" si="515"/>
        <v/>
      </c>
      <c r="C6045" s="61"/>
      <c r="D6045" s="61"/>
      <c r="E6045" s="61"/>
      <c r="F6045" s="69"/>
      <c r="G6045" s="64"/>
      <c r="H6045" s="321"/>
      <c r="I6045" s="385"/>
      <c r="J6045" s="392"/>
      <c r="K6045" s="385"/>
      <c r="L6045" s="392"/>
      <c r="M6045" s="62"/>
      <c r="N6045" s="63"/>
      <c r="O6045" s="63"/>
      <c r="P6045" s="79" t="str">
        <f>IF(AND('331-CT'!$E$7=TH!H6045,OR(N6045="331",O6045="331")),"x","")</f>
        <v/>
      </c>
      <c r="Q6045" s="79" t="str">
        <f>IF(AND(B6045='111'!$L$11,OR($N6045=$Q$7,$O6045=$Q$7)),"x","")</f>
        <v/>
      </c>
      <c r="R6045" s="79" t="str">
        <f>IF(AND($N6045=$Q$7,$B6045&lt;'111'!$L$11),"x","")</f>
        <v/>
      </c>
      <c r="S6045" s="79" t="str">
        <f>IF(AND($O6045=$Q$7,$B6045&lt;'111'!$L$11),"x","")</f>
        <v/>
      </c>
      <c r="T6045" s="79" t="str">
        <f>IF(ISERROR(FIND('112'!$M$9,G6045,1)),"",IF((AND(FIND('112'!$M$9,G6045,1)&gt;=1,B6045='112'!$K$9,OR($N6045='112'!$I$6,$O6045='112'!$I$6))),"x",""))</f>
        <v/>
      </c>
      <c r="U6045" s="79" t="str">
        <f>IF(ISERROR(FIND('112'!$M$9,G6045,1)),"",IF((AND(LEFT(G6045,2)=LEFT('112'!$M$9,2),B6045&lt;'112'!$K$9,$N6045='112'!$I$6)),"x",""))</f>
        <v/>
      </c>
      <c r="V6045" s="79" t="str">
        <f>IF(ISERROR(FIND('112'!$M$9,G6045,1)),"",IF((AND(RIGHT(G6045,2)=RIGHT('112'!$M$9,2),B6045&lt;'112'!$K$9,$O6045='112'!$I$6)),"x",""))</f>
        <v/>
      </c>
      <c r="W6045" s="79" t="str">
        <f>IF(AND('341-CT'!$H$9=H6045,OR(LEFT(N6045,3)=$W$7,LEFT(O6045,3)=$W$7)),"x","")</f>
        <v/>
      </c>
      <c r="X6045" s="79" t="str">
        <f>IF(OR(TH!N6045=TH!$X$7,O6045=TH!$X$7),"x","")</f>
        <v/>
      </c>
      <c r="Y6045" s="79" t="str">
        <f>IF(AND(OR(N6045="131",O6045="131"),H6045='131-CT'!$H$9),"x","")</f>
        <v/>
      </c>
      <c r="Z6045" s="79"/>
      <c r="AA6045" s="79" t="str">
        <f>IF(AND(MONTH(E6045)='IN-NX'!$J$5,'IN-NX'!$D$7=D6045),"x","")</f>
        <v/>
      </c>
      <c r="AB6045" s="79" t="str">
        <f>IF(AND(OR(LEFT(TH!N6045,2)="15",LEFT(TH!O6045,2)="15"),LEFT(TH!O6045,3)&lt;&gt;"111",'152-CT'!$J$8=TH!F6045),"x","")</f>
        <v/>
      </c>
      <c r="AC6045" s="79" t="str">
        <f>IF(AND(OR(LEFT(TH!N6045,2)="15",LEFT(TH!O6045,2)="15"),TK!$E$7=TH!F6045),"x","")</f>
        <v/>
      </c>
      <c r="AD6045" s="79" t="str">
        <f>IF(AND(N6045="1521",MONTH(C6045)='BK-NL'!$M$11),"x","")</f>
        <v/>
      </c>
    </row>
    <row r="6046" spans="1:30" ht="16.5" customHeight="1">
      <c r="A6046" s="318" t="str">
        <f>IF(B6046&lt;&gt;"",IF(AND(B6046='IN-TC'!$S$4,OR(TH!N6046="1111",TH!O6046="1111")),TH!D6046,""),"")</f>
        <v/>
      </c>
      <c r="B6046" s="60" t="str">
        <f t="shared" si="515"/>
        <v/>
      </c>
      <c r="C6046" s="61"/>
      <c r="D6046" s="61"/>
      <c r="E6046" s="61"/>
      <c r="F6046" s="69"/>
      <c r="G6046" s="64"/>
      <c r="H6046" s="321"/>
      <c r="I6046" s="387"/>
      <c r="J6046" s="394"/>
      <c r="K6046" s="387"/>
      <c r="L6046" s="394"/>
      <c r="M6046" s="62"/>
      <c r="N6046" s="63"/>
      <c r="O6046" s="63"/>
      <c r="P6046" s="79" t="str">
        <f>IF(AND('331-CT'!$E$7=TH!H6046,OR(N6046="331",O6046="331")),"x","")</f>
        <v/>
      </c>
      <c r="Q6046" s="79" t="str">
        <f>IF(AND(B6046='111'!$L$11,OR($N6046=$Q$7,$O6046=$Q$7)),"x","")</f>
        <v/>
      </c>
      <c r="R6046" s="79" t="str">
        <f>IF(AND($N6046=$Q$7,$B6046&lt;'111'!$L$11),"x","")</f>
        <v/>
      </c>
      <c r="S6046" s="79" t="str">
        <f>IF(AND($O6046=$Q$7,$B6046&lt;'111'!$L$11),"x","")</f>
        <v/>
      </c>
      <c r="T6046" s="79" t="str">
        <f>IF(ISERROR(FIND('112'!$M$9,G6046,1)),"",IF((AND(FIND('112'!$M$9,G6046,1)&gt;=1,B6046='112'!$K$9,OR($N6046='112'!$I$6,$O6046='112'!$I$6))),"x",""))</f>
        <v/>
      </c>
      <c r="U6046" s="79" t="str">
        <f>IF(ISERROR(FIND('112'!$M$9,G6046,1)),"",IF((AND(LEFT(G6046,2)=LEFT('112'!$M$9,2),B6046&lt;'112'!$K$9,$N6046='112'!$I$6)),"x",""))</f>
        <v/>
      </c>
      <c r="V6046" s="79" t="str">
        <f>IF(ISERROR(FIND('112'!$M$9,G6046,1)),"",IF((AND(RIGHT(G6046,2)=RIGHT('112'!$M$9,2),B6046&lt;'112'!$K$9,$O6046='112'!$I$6)),"x",""))</f>
        <v/>
      </c>
      <c r="W6046" s="79" t="str">
        <f>IF(AND('341-CT'!$H$9=H6046,OR(LEFT(N6046,3)=$W$7,LEFT(O6046,3)=$W$7)),"x","")</f>
        <v/>
      </c>
      <c r="X6046" s="79" t="str">
        <f>IF(OR(TH!N6046=TH!$X$7,O6046=TH!$X$7),"x","")</f>
        <v/>
      </c>
      <c r="Y6046" s="79" t="str">
        <f>IF(AND(OR(N6046="131",O6046="131"),H6046='131-CT'!$H$9),"x","")</f>
        <v/>
      </c>
      <c r="Z6046" s="79"/>
      <c r="AA6046" s="79" t="str">
        <f>IF(AND(MONTH(E6046)='IN-NX'!$J$5,'IN-NX'!$D$7=D6046),"x","")</f>
        <v/>
      </c>
      <c r="AB6046" s="79" t="str">
        <f>IF(AND(OR(LEFT(TH!N6046,2)="15",LEFT(TH!O6046,2)="15"),LEFT(TH!O6046,3)&lt;&gt;"111",'152-CT'!$J$8=TH!F6046),"x","")</f>
        <v/>
      </c>
      <c r="AC6046" s="79" t="str">
        <f>IF(AND(OR(LEFT(TH!N6046,2)="15",LEFT(TH!O6046,2)="15"),TK!$E$7=TH!F6046),"x","")</f>
        <v/>
      </c>
      <c r="AD6046" s="79" t="str">
        <f>IF(AND(N6046="1521",MONTH(C6046)='BK-NL'!$M$11),"x","")</f>
        <v/>
      </c>
    </row>
    <row r="6047" spans="1:30" ht="16.5" customHeight="1">
      <c r="A6047" s="318" t="str">
        <f>IF(B6047&lt;&gt;"",IF(AND(B6047='IN-TC'!$S$4,OR(TH!N6047="1111",TH!O6047="1111")),TH!D6047,""),"")</f>
        <v/>
      </c>
      <c r="B6047" s="60" t="str">
        <f t="shared" si="515"/>
        <v/>
      </c>
      <c r="C6047" s="61"/>
      <c r="D6047" s="61"/>
      <c r="E6047" s="61"/>
      <c r="F6047" s="69"/>
      <c r="G6047" s="64"/>
      <c r="H6047" s="321"/>
      <c r="I6047" s="385"/>
      <c r="J6047" s="392"/>
      <c r="K6047" s="385"/>
      <c r="L6047" s="392"/>
      <c r="M6047" s="62"/>
      <c r="N6047" s="63"/>
      <c r="O6047" s="63"/>
      <c r="P6047" s="79" t="str">
        <f>IF(AND('331-CT'!$E$7=TH!H6047,OR(N6047="331",O6047="331")),"x","")</f>
        <v/>
      </c>
      <c r="Q6047" s="79" t="str">
        <f>IF(AND(B6047='111'!$L$11,OR($N6047=$Q$7,$O6047=$Q$7)),"x","")</f>
        <v/>
      </c>
      <c r="R6047" s="79" t="str">
        <f>IF(AND($N6047=$Q$7,$B6047&lt;'111'!$L$11),"x","")</f>
        <v/>
      </c>
      <c r="S6047" s="79" t="str">
        <f>IF(AND($O6047=$Q$7,$B6047&lt;'111'!$L$11),"x","")</f>
        <v/>
      </c>
      <c r="T6047" s="79" t="str">
        <f>IF(ISERROR(FIND('112'!$M$9,G6047,1)),"",IF((AND(FIND('112'!$M$9,G6047,1)&gt;=1,B6047='112'!$K$9,OR($N6047='112'!$I$6,$O6047='112'!$I$6))),"x",""))</f>
        <v/>
      </c>
      <c r="U6047" s="79" t="str">
        <f>IF(ISERROR(FIND('112'!$M$9,G6047,1)),"",IF((AND(LEFT(G6047,2)=LEFT('112'!$M$9,2),B6047&lt;'112'!$K$9,$N6047='112'!$I$6)),"x",""))</f>
        <v/>
      </c>
      <c r="V6047" s="79" t="str">
        <f>IF(ISERROR(FIND('112'!$M$9,G6047,1)),"",IF((AND(RIGHT(G6047,2)=RIGHT('112'!$M$9,2),B6047&lt;'112'!$K$9,$O6047='112'!$I$6)),"x",""))</f>
        <v/>
      </c>
      <c r="W6047" s="79" t="str">
        <f>IF(AND('341-CT'!$H$9=H6047,OR(LEFT(N6047,3)=$W$7,LEFT(O6047,3)=$W$7)),"x","")</f>
        <v/>
      </c>
      <c r="X6047" s="79" t="str">
        <f>IF(OR(TH!N6047=TH!$X$7,O6047=TH!$X$7),"x","")</f>
        <v/>
      </c>
      <c r="Y6047" s="79" t="str">
        <f>IF(AND(OR(N6047="131",O6047="131"),H6047='131-CT'!$H$9),"x","")</f>
        <v/>
      </c>
      <c r="Z6047" s="79"/>
      <c r="AA6047" s="79" t="str">
        <f>IF(AND(MONTH(E6047)='IN-NX'!$J$5,'IN-NX'!$D$7=D6047),"x","")</f>
        <v/>
      </c>
      <c r="AB6047" s="79" t="str">
        <f>IF(AND(OR(LEFT(TH!N6047,2)="15",LEFT(TH!O6047,2)="15"),LEFT(TH!O6047,3)&lt;&gt;"111",'152-CT'!$J$8=TH!F6047),"x","")</f>
        <v/>
      </c>
      <c r="AC6047" s="79" t="str">
        <f>IF(AND(OR(LEFT(TH!N6047,2)="15",LEFT(TH!O6047,2)="15"),TK!$E$7=TH!F6047),"x","")</f>
        <v/>
      </c>
      <c r="AD6047" s="79" t="str">
        <f>IF(AND(N6047="1521",MONTH(C6047)='BK-NL'!$M$11),"x","")</f>
        <v/>
      </c>
    </row>
    <row r="6048" spans="1:30" ht="16.5" customHeight="1">
      <c r="A6048" s="318" t="str">
        <f>IF(B6048&lt;&gt;"",IF(AND(B6048='IN-TC'!$S$4,OR(TH!N6048="1111",TH!O6048="1111")),TH!D6048,""),"")</f>
        <v/>
      </c>
      <c r="B6048" s="60" t="str">
        <f t="shared" si="515"/>
        <v/>
      </c>
      <c r="C6048" s="61"/>
      <c r="D6048" s="61"/>
      <c r="E6048" s="61"/>
      <c r="F6048" s="69"/>
      <c r="G6048" s="64"/>
      <c r="H6048" s="321"/>
      <c r="I6048" s="385"/>
      <c r="J6048" s="392"/>
      <c r="K6048" s="385"/>
      <c r="L6048" s="392"/>
      <c r="M6048" s="62"/>
      <c r="N6048" s="63"/>
      <c r="O6048" s="63"/>
      <c r="P6048" s="79" t="str">
        <f>IF(AND('331-CT'!$E$7=TH!H6048,OR(N6048="331",O6048="331")),"x","")</f>
        <v/>
      </c>
      <c r="Q6048" s="79" t="str">
        <f>IF(AND(B6048='111'!$L$11,OR($N6048=$Q$7,$O6048=$Q$7)),"x","")</f>
        <v/>
      </c>
      <c r="R6048" s="79" t="str">
        <f>IF(AND($N6048=$Q$7,$B6048&lt;'111'!$L$11),"x","")</f>
        <v/>
      </c>
      <c r="S6048" s="79" t="str">
        <f>IF(AND($O6048=$Q$7,$B6048&lt;'111'!$L$11),"x","")</f>
        <v/>
      </c>
      <c r="T6048" s="79" t="str">
        <f>IF(ISERROR(FIND('112'!$M$9,G6048,1)),"",IF((AND(FIND('112'!$M$9,G6048,1)&gt;=1,B6048='112'!$K$9,OR($N6048='112'!$I$6,$O6048='112'!$I$6))),"x",""))</f>
        <v/>
      </c>
      <c r="U6048" s="79" t="str">
        <f>IF(ISERROR(FIND('112'!$M$9,G6048,1)),"",IF((AND(LEFT(G6048,2)=LEFT('112'!$M$9,2),B6048&lt;'112'!$K$9,$N6048='112'!$I$6)),"x",""))</f>
        <v/>
      </c>
      <c r="V6048" s="79" t="str">
        <f>IF(ISERROR(FIND('112'!$M$9,G6048,1)),"",IF((AND(RIGHT(G6048,2)=RIGHT('112'!$M$9,2),B6048&lt;'112'!$K$9,$O6048='112'!$I$6)),"x",""))</f>
        <v/>
      </c>
      <c r="W6048" s="79" t="str">
        <f>IF(AND('341-CT'!$H$9=H6048,OR(LEFT(N6048,3)=$W$7,LEFT(O6048,3)=$W$7)),"x","")</f>
        <v/>
      </c>
      <c r="X6048" s="79" t="str">
        <f>IF(OR(TH!N6048=TH!$X$7,O6048=TH!$X$7),"x","")</f>
        <v/>
      </c>
      <c r="Y6048" s="79" t="str">
        <f>IF(AND(OR(N6048="131",O6048="131"),H6048='131-CT'!$H$9),"x","")</f>
        <v/>
      </c>
      <c r="Z6048" s="79"/>
      <c r="AA6048" s="79" t="str">
        <f>IF(AND(MONTH(E6048)='IN-NX'!$J$5,'IN-NX'!$D$7=D6048),"x","")</f>
        <v/>
      </c>
      <c r="AB6048" s="79" t="str">
        <f>IF(AND(OR(LEFT(TH!N6048,2)="15",LEFT(TH!O6048,2)="15"),LEFT(TH!O6048,3)&lt;&gt;"111",'152-CT'!$J$8=TH!F6048),"x","")</f>
        <v/>
      </c>
      <c r="AC6048" s="79" t="str">
        <f>IF(AND(OR(LEFT(TH!N6048,2)="15",LEFT(TH!O6048,2)="15"),TK!$E$7=TH!F6048),"x","")</f>
        <v/>
      </c>
      <c r="AD6048" s="79" t="str">
        <f>IF(AND(N6048="1521",MONTH(C6048)='BK-NL'!$M$11),"x","")</f>
        <v/>
      </c>
    </row>
    <row r="6049" spans="1:30" ht="16.5" customHeight="1">
      <c r="A6049" s="318" t="str">
        <f>IF(B6049&lt;&gt;"",IF(AND(B6049='IN-TC'!$S$4,OR(TH!N6049="1111",TH!O6049="1111")),TH!D6049,""),"")</f>
        <v/>
      </c>
      <c r="B6049" s="60" t="str">
        <f t="shared" si="515"/>
        <v/>
      </c>
      <c r="C6049" s="61"/>
      <c r="D6049" s="61"/>
      <c r="E6049" s="61"/>
      <c r="F6049" s="69"/>
      <c r="G6049" s="64"/>
      <c r="H6049" s="321"/>
      <c r="I6049" s="385"/>
      <c r="J6049" s="392"/>
      <c r="K6049" s="385"/>
      <c r="L6049" s="392"/>
      <c r="M6049" s="62"/>
      <c r="N6049" s="63"/>
      <c r="O6049" s="63"/>
      <c r="P6049" s="79" t="str">
        <f>IF(AND('331-CT'!$E$7=TH!H6049,OR(N6049="331",O6049="331")),"x","")</f>
        <v/>
      </c>
      <c r="Q6049" s="79" t="str">
        <f>IF(AND(B6049='111'!$L$11,OR($N6049=$Q$7,$O6049=$Q$7)),"x","")</f>
        <v/>
      </c>
      <c r="R6049" s="79" t="str">
        <f>IF(AND($N6049=$Q$7,$B6049&lt;'111'!$L$11),"x","")</f>
        <v/>
      </c>
      <c r="S6049" s="79" t="str">
        <f>IF(AND($O6049=$Q$7,$B6049&lt;'111'!$L$11),"x","")</f>
        <v/>
      </c>
      <c r="T6049" s="79" t="str">
        <f>IF(ISERROR(FIND('112'!$M$9,G6049,1)),"",IF((AND(FIND('112'!$M$9,G6049,1)&gt;=1,B6049='112'!$K$9,OR($N6049='112'!$I$6,$O6049='112'!$I$6))),"x",""))</f>
        <v/>
      </c>
      <c r="U6049" s="79" t="str">
        <f>IF(ISERROR(FIND('112'!$M$9,G6049,1)),"",IF((AND(LEFT(G6049,2)=LEFT('112'!$M$9,2),B6049&lt;'112'!$K$9,$N6049='112'!$I$6)),"x",""))</f>
        <v/>
      </c>
      <c r="V6049" s="79" t="str">
        <f>IF(ISERROR(FIND('112'!$M$9,G6049,1)),"",IF((AND(RIGHT(G6049,2)=RIGHT('112'!$M$9,2),B6049&lt;'112'!$K$9,$O6049='112'!$I$6)),"x",""))</f>
        <v/>
      </c>
      <c r="W6049" s="79" t="str">
        <f>IF(AND('341-CT'!$H$9=H6049,OR(LEFT(N6049,3)=$W$7,LEFT(O6049,3)=$W$7)),"x","")</f>
        <v/>
      </c>
      <c r="X6049" s="79" t="str">
        <f>IF(OR(TH!N6049=TH!$X$7,O6049=TH!$X$7),"x","")</f>
        <v/>
      </c>
      <c r="Y6049" s="79" t="str">
        <f>IF(AND(OR(N6049="131",O6049="131"),H6049='131-CT'!$H$9),"x","")</f>
        <v/>
      </c>
      <c r="Z6049" s="79"/>
      <c r="AA6049" s="79" t="str">
        <f>IF(AND(MONTH(E6049)='IN-NX'!$J$5,'IN-NX'!$D$7=D6049),"x","")</f>
        <v/>
      </c>
      <c r="AB6049" s="79" t="str">
        <f>IF(AND(OR(LEFT(TH!N6049,2)="15",LEFT(TH!O6049,2)="15"),LEFT(TH!O6049,3)&lt;&gt;"111",'152-CT'!$J$8=TH!F6049),"x","")</f>
        <v/>
      </c>
      <c r="AC6049" s="79" t="str">
        <f>IF(AND(OR(LEFT(TH!N6049,2)="15",LEFT(TH!O6049,2)="15"),TK!$E$7=TH!F6049),"x","")</f>
        <v/>
      </c>
      <c r="AD6049" s="79" t="str">
        <f>IF(AND(N6049="1521",MONTH(C6049)='BK-NL'!$M$11),"x","")</f>
        <v/>
      </c>
    </row>
    <row r="6050" spans="1:30" ht="16.5" customHeight="1">
      <c r="A6050" s="318" t="str">
        <f>IF(B6050&lt;&gt;"",IF(AND(B6050='IN-TC'!$S$4,OR(TH!N6050="1111",TH!O6050="1111")),TH!D6050,""),"")</f>
        <v/>
      </c>
      <c r="B6050" s="60" t="str">
        <f t="shared" si="515"/>
        <v/>
      </c>
      <c r="C6050" s="61"/>
      <c r="D6050" s="61"/>
      <c r="E6050" s="61"/>
      <c r="F6050" s="69"/>
      <c r="G6050" s="64"/>
      <c r="H6050" s="321"/>
      <c r="I6050" s="385"/>
      <c r="J6050" s="392"/>
      <c r="K6050" s="385"/>
      <c r="L6050" s="392"/>
      <c r="M6050" s="62"/>
      <c r="N6050" s="63"/>
      <c r="O6050" s="63"/>
      <c r="P6050" s="79" t="str">
        <f>IF(AND('331-CT'!$E$7=TH!H6050,OR(N6050="331",O6050="331")),"x","")</f>
        <v/>
      </c>
      <c r="Q6050" s="79" t="str">
        <f>IF(AND(B6050='111'!$L$11,OR($N6050=$Q$7,$O6050=$Q$7)),"x","")</f>
        <v/>
      </c>
      <c r="R6050" s="79" t="str">
        <f>IF(AND($N6050=$Q$7,$B6050&lt;'111'!$L$11),"x","")</f>
        <v/>
      </c>
      <c r="S6050" s="79" t="str">
        <f>IF(AND($O6050=$Q$7,$B6050&lt;'111'!$L$11),"x","")</f>
        <v/>
      </c>
      <c r="T6050" s="79" t="str">
        <f>IF(ISERROR(FIND('112'!$M$9,G6050,1)),"",IF((AND(FIND('112'!$M$9,G6050,1)&gt;=1,B6050='112'!$K$9,OR($N6050='112'!$I$6,$O6050='112'!$I$6))),"x",""))</f>
        <v/>
      </c>
      <c r="U6050" s="79" t="str">
        <f>IF(ISERROR(FIND('112'!$M$9,G6050,1)),"",IF((AND(LEFT(G6050,2)=LEFT('112'!$M$9,2),B6050&lt;'112'!$K$9,$N6050='112'!$I$6)),"x",""))</f>
        <v/>
      </c>
      <c r="V6050" s="79" t="str">
        <f>IF(ISERROR(FIND('112'!$M$9,G6050,1)),"",IF((AND(RIGHT(G6050,2)=RIGHT('112'!$M$9,2),B6050&lt;'112'!$K$9,$O6050='112'!$I$6)),"x",""))</f>
        <v/>
      </c>
      <c r="W6050" s="79" t="str">
        <f>IF(AND('341-CT'!$H$9=H6050,OR(LEFT(N6050,3)=$W$7,LEFT(O6050,3)=$W$7)),"x","")</f>
        <v/>
      </c>
      <c r="X6050" s="79" t="str">
        <f>IF(OR(TH!N6050=TH!$X$7,O6050=TH!$X$7),"x","")</f>
        <v/>
      </c>
      <c r="Y6050" s="79" t="str">
        <f>IF(AND(OR(N6050="131",O6050="131"),H6050='131-CT'!$H$9),"x","")</f>
        <v/>
      </c>
      <c r="Z6050" s="79"/>
      <c r="AA6050" s="79" t="str">
        <f>IF(AND(MONTH(E6050)='IN-NX'!$J$5,'IN-NX'!$D$7=D6050),"x","")</f>
        <v/>
      </c>
      <c r="AB6050" s="79" t="str">
        <f>IF(AND(OR(LEFT(TH!N6050,2)="15",LEFT(TH!O6050,2)="15"),LEFT(TH!O6050,3)&lt;&gt;"111",'152-CT'!$J$8=TH!F6050),"x","")</f>
        <v/>
      </c>
      <c r="AC6050" s="79" t="str">
        <f>IF(AND(OR(LEFT(TH!N6050,2)="15",LEFT(TH!O6050,2)="15"),TK!$E$7=TH!F6050),"x","")</f>
        <v/>
      </c>
      <c r="AD6050" s="79" t="str">
        <f>IF(AND(N6050="1521",MONTH(C6050)='BK-NL'!$M$11),"x","")</f>
        <v/>
      </c>
    </row>
    <row r="6051" spans="1:30" ht="16.5" customHeight="1">
      <c r="A6051" s="318" t="str">
        <f>IF(B6051&lt;&gt;"",IF(AND(B6051='IN-TC'!$S$4,OR(TH!N6051="1111",TH!O6051="1111")),TH!D6051,""),"")</f>
        <v/>
      </c>
      <c r="B6051" s="60" t="str">
        <f t="shared" si="515"/>
        <v/>
      </c>
      <c r="C6051" s="61"/>
      <c r="D6051" s="61"/>
      <c r="E6051" s="61"/>
      <c r="F6051" s="69"/>
      <c r="G6051" s="64"/>
      <c r="H6051" s="321"/>
      <c r="I6051" s="387"/>
      <c r="J6051" s="394"/>
      <c r="K6051" s="387"/>
      <c r="L6051" s="394"/>
      <c r="M6051" s="62"/>
      <c r="N6051" s="63"/>
      <c r="O6051" s="63"/>
      <c r="P6051" s="79" t="str">
        <f>IF(AND('331-CT'!$E$7=TH!H6051,OR(N6051="331",O6051="331")),"x","")</f>
        <v/>
      </c>
      <c r="Q6051" s="79" t="str">
        <f>IF(AND(B6051='111'!$L$11,OR($N6051=$Q$7,$O6051=$Q$7)),"x","")</f>
        <v/>
      </c>
      <c r="R6051" s="79" t="str">
        <f>IF(AND($N6051=$Q$7,$B6051&lt;'111'!$L$11),"x","")</f>
        <v/>
      </c>
      <c r="S6051" s="79" t="str">
        <f>IF(AND($O6051=$Q$7,$B6051&lt;'111'!$L$11),"x","")</f>
        <v/>
      </c>
      <c r="T6051" s="79" t="str">
        <f>IF(ISERROR(FIND('112'!$M$9,G6051,1)),"",IF((AND(FIND('112'!$M$9,G6051,1)&gt;=1,B6051='112'!$K$9,OR($N6051='112'!$I$6,$O6051='112'!$I$6))),"x",""))</f>
        <v/>
      </c>
      <c r="U6051" s="79" t="str">
        <f>IF(ISERROR(FIND('112'!$M$9,G6051,1)),"",IF((AND(LEFT(G6051,2)=LEFT('112'!$M$9,2),B6051&lt;'112'!$K$9,$N6051='112'!$I$6)),"x",""))</f>
        <v/>
      </c>
      <c r="V6051" s="79" t="str">
        <f>IF(ISERROR(FIND('112'!$M$9,G6051,1)),"",IF((AND(RIGHT(G6051,2)=RIGHT('112'!$M$9,2),B6051&lt;'112'!$K$9,$O6051='112'!$I$6)),"x",""))</f>
        <v/>
      </c>
      <c r="W6051" s="79" t="str">
        <f>IF(AND('341-CT'!$H$9=H6051,OR(LEFT(N6051,3)=$W$7,LEFT(O6051,3)=$W$7)),"x","")</f>
        <v/>
      </c>
      <c r="X6051" s="79" t="str">
        <f>IF(OR(TH!N6051=TH!$X$7,O6051=TH!$X$7),"x","")</f>
        <v/>
      </c>
      <c r="Y6051" s="79" t="str">
        <f>IF(AND(OR(N6051="131",O6051="131"),H6051='131-CT'!$H$9),"x","")</f>
        <v/>
      </c>
      <c r="Z6051" s="79"/>
      <c r="AA6051" s="79" t="str">
        <f>IF(AND(MONTH(E6051)='IN-NX'!$J$5,'IN-NX'!$D$7=D6051),"x","")</f>
        <v/>
      </c>
      <c r="AB6051" s="79" t="str">
        <f>IF(AND(OR(LEFT(TH!N6051,2)="15",LEFT(TH!O6051,2)="15"),LEFT(TH!O6051,3)&lt;&gt;"111",'152-CT'!$J$8=TH!F6051),"x","")</f>
        <v/>
      </c>
      <c r="AC6051" s="79" t="str">
        <f>IF(AND(OR(LEFT(TH!N6051,2)="15",LEFT(TH!O6051,2)="15"),TK!$E$7=TH!F6051),"x","")</f>
        <v/>
      </c>
      <c r="AD6051" s="79" t="str">
        <f>IF(AND(N6051="1521",MONTH(C6051)='BK-NL'!$M$11),"x","")</f>
        <v/>
      </c>
    </row>
    <row r="6052" spans="1:30" ht="16.5" customHeight="1">
      <c r="A6052" s="318" t="str">
        <f>IF(B6052&lt;&gt;"",IF(AND(B6052='IN-TC'!$S$4,OR(TH!N6052="1111",TH!O6052="1111")),TH!D6052,""),"")</f>
        <v/>
      </c>
      <c r="B6052" s="60" t="str">
        <f t="shared" si="515"/>
        <v/>
      </c>
      <c r="C6052" s="61"/>
      <c r="D6052" s="61"/>
      <c r="E6052" s="61"/>
      <c r="F6052" s="69"/>
      <c r="G6052" s="64"/>
      <c r="H6052" s="321"/>
      <c r="I6052" s="385"/>
      <c r="J6052" s="392"/>
      <c r="K6052" s="385"/>
      <c r="L6052" s="392"/>
      <c r="M6052" s="62"/>
      <c r="N6052" s="63"/>
      <c r="O6052" s="63"/>
      <c r="P6052" s="79" t="str">
        <f>IF(AND('331-CT'!$E$7=TH!H6052,OR(N6052="331",O6052="331")),"x","")</f>
        <v/>
      </c>
      <c r="Q6052" s="79" t="str">
        <f>IF(AND(B6052='111'!$L$11,OR($N6052=$Q$7,$O6052=$Q$7)),"x","")</f>
        <v/>
      </c>
      <c r="R6052" s="79" t="str">
        <f>IF(AND($N6052=$Q$7,$B6052&lt;'111'!$L$11),"x","")</f>
        <v/>
      </c>
      <c r="S6052" s="79" t="str">
        <f>IF(AND($O6052=$Q$7,$B6052&lt;'111'!$L$11),"x","")</f>
        <v/>
      </c>
      <c r="T6052" s="79" t="str">
        <f>IF(ISERROR(FIND('112'!$M$9,G6052,1)),"",IF((AND(FIND('112'!$M$9,G6052,1)&gt;=1,B6052='112'!$K$9,OR($N6052='112'!$I$6,$O6052='112'!$I$6))),"x",""))</f>
        <v/>
      </c>
      <c r="U6052" s="79" t="str">
        <f>IF(ISERROR(FIND('112'!$M$9,G6052,1)),"",IF((AND(LEFT(G6052,2)=LEFT('112'!$M$9,2),B6052&lt;'112'!$K$9,$N6052='112'!$I$6)),"x",""))</f>
        <v/>
      </c>
      <c r="V6052" s="79" t="str">
        <f>IF(ISERROR(FIND('112'!$M$9,G6052,1)),"",IF((AND(RIGHT(G6052,2)=RIGHT('112'!$M$9,2),B6052&lt;'112'!$K$9,$O6052='112'!$I$6)),"x",""))</f>
        <v/>
      </c>
      <c r="W6052" s="79" t="str">
        <f>IF(AND('341-CT'!$H$9=H6052,OR(LEFT(N6052,3)=$W$7,LEFT(O6052,3)=$W$7)),"x","")</f>
        <v/>
      </c>
      <c r="X6052" s="79" t="str">
        <f>IF(OR(TH!N6052=TH!$X$7,O6052=TH!$X$7),"x","")</f>
        <v/>
      </c>
      <c r="Y6052" s="79" t="str">
        <f>IF(AND(OR(N6052="131",O6052="131"),H6052='131-CT'!$H$9),"x","")</f>
        <v/>
      </c>
      <c r="Z6052" s="79"/>
      <c r="AA6052" s="79" t="str">
        <f>IF(AND(MONTH(E6052)='IN-NX'!$J$5,'IN-NX'!$D$7=D6052),"x","")</f>
        <v/>
      </c>
      <c r="AB6052" s="79" t="str">
        <f>IF(AND(OR(LEFT(TH!N6052,2)="15",LEFT(TH!O6052,2)="15"),LEFT(TH!O6052,3)&lt;&gt;"111",'152-CT'!$J$8=TH!F6052),"x","")</f>
        <v/>
      </c>
      <c r="AC6052" s="79" t="str">
        <f>IF(AND(OR(LEFT(TH!N6052,2)="15",LEFT(TH!O6052,2)="15"),TK!$E$7=TH!F6052),"x","")</f>
        <v/>
      </c>
      <c r="AD6052" s="79" t="str">
        <f>IF(AND(N6052="1521",MONTH(C6052)='BK-NL'!$M$11),"x","")</f>
        <v/>
      </c>
    </row>
    <row r="6053" spans="1:30" ht="16.5" customHeight="1">
      <c r="A6053" s="318" t="str">
        <f>IF(B6053&lt;&gt;"",IF(AND(B6053='IN-TC'!$S$4,OR(TH!N6053="1111",TH!O6053="1111")),TH!D6053,""),"")</f>
        <v/>
      </c>
      <c r="B6053" s="60" t="str">
        <f t="shared" si="515"/>
        <v/>
      </c>
      <c r="C6053" s="61"/>
      <c r="D6053" s="61"/>
      <c r="E6053" s="61"/>
      <c r="F6053" s="69"/>
      <c r="G6053" s="64"/>
      <c r="H6053" s="321"/>
      <c r="I6053" s="385"/>
      <c r="J6053" s="392"/>
      <c r="K6053" s="385"/>
      <c r="L6053" s="392"/>
      <c r="M6053" s="62"/>
      <c r="N6053" s="63"/>
      <c r="O6053" s="63"/>
      <c r="P6053" s="79" t="str">
        <f>IF(AND('331-CT'!$E$7=TH!H6053,OR(N6053="331",O6053="331")),"x","")</f>
        <v/>
      </c>
      <c r="Q6053" s="79" t="str">
        <f>IF(AND(B6053='111'!$L$11,OR($N6053=$Q$7,$O6053=$Q$7)),"x","")</f>
        <v/>
      </c>
      <c r="R6053" s="79" t="str">
        <f>IF(AND($N6053=$Q$7,$B6053&lt;'111'!$L$11),"x","")</f>
        <v/>
      </c>
      <c r="S6053" s="79" t="str">
        <f>IF(AND($O6053=$Q$7,$B6053&lt;'111'!$L$11),"x","")</f>
        <v/>
      </c>
      <c r="T6053" s="79" t="str">
        <f>IF(ISERROR(FIND('112'!$M$9,G6053,1)),"",IF((AND(FIND('112'!$M$9,G6053,1)&gt;=1,B6053='112'!$K$9,OR($N6053='112'!$I$6,$O6053='112'!$I$6))),"x",""))</f>
        <v/>
      </c>
      <c r="U6053" s="79" t="str">
        <f>IF(ISERROR(FIND('112'!$M$9,G6053,1)),"",IF((AND(LEFT(G6053,2)=LEFT('112'!$M$9,2),B6053&lt;'112'!$K$9,$N6053='112'!$I$6)),"x",""))</f>
        <v/>
      </c>
      <c r="V6053" s="79" t="str">
        <f>IF(ISERROR(FIND('112'!$M$9,G6053,1)),"",IF((AND(RIGHT(G6053,2)=RIGHT('112'!$M$9,2),B6053&lt;'112'!$K$9,$O6053='112'!$I$6)),"x",""))</f>
        <v/>
      </c>
      <c r="W6053" s="79" t="str">
        <f>IF(AND('341-CT'!$H$9=H6053,OR(LEFT(N6053,3)=$W$7,LEFT(O6053,3)=$W$7)),"x","")</f>
        <v/>
      </c>
      <c r="X6053" s="79" t="str">
        <f>IF(OR(TH!N6053=TH!$X$7,O6053=TH!$X$7),"x","")</f>
        <v/>
      </c>
      <c r="Y6053" s="79" t="str">
        <f>IF(AND(OR(N6053="131",O6053="131"),H6053='131-CT'!$H$9),"x","")</f>
        <v/>
      </c>
      <c r="Z6053" s="79"/>
      <c r="AA6053" s="79" t="str">
        <f>IF(AND(MONTH(E6053)='IN-NX'!$J$5,'IN-NX'!$D$7=D6053),"x","")</f>
        <v/>
      </c>
      <c r="AB6053" s="79" t="str">
        <f>IF(AND(OR(LEFT(TH!N6053,2)="15",LEFT(TH!O6053,2)="15"),LEFT(TH!O6053,3)&lt;&gt;"111",'152-CT'!$J$8=TH!F6053),"x","")</f>
        <v/>
      </c>
      <c r="AC6053" s="79" t="str">
        <f>IF(AND(OR(LEFT(TH!N6053,2)="15",LEFT(TH!O6053,2)="15"),TK!$E$7=TH!F6053),"x","")</f>
        <v/>
      </c>
      <c r="AD6053" s="79" t="str">
        <f>IF(AND(N6053="1521",MONTH(C6053)='BK-NL'!$M$11),"x","")</f>
        <v/>
      </c>
    </row>
    <row r="6054" spans="1:30" ht="16.5" customHeight="1">
      <c r="A6054" s="318" t="str">
        <f>IF(B6054&lt;&gt;"",IF(AND(B6054='IN-TC'!$S$4,OR(TH!N6054="1111",TH!O6054="1111")),TH!D6054,""),"")</f>
        <v/>
      </c>
      <c r="B6054" s="60" t="str">
        <f t="shared" si="515"/>
        <v/>
      </c>
      <c r="C6054" s="61"/>
      <c r="D6054" s="61"/>
      <c r="E6054" s="61"/>
      <c r="F6054" s="69"/>
      <c r="G6054" s="64"/>
      <c r="H6054" s="321"/>
      <c r="I6054" s="385"/>
      <c r="J6054" s="392"/>
      <c r="K6054" s="385"/>
      <c r="L6054" s="392"/>
      <c r="M6054" s="62"/>
      <c r="N6054" s="63"/>
      <c r="O6054" s="63"/>
      <c r="P6054" s="79" t="str">
        <f>IF(AND('331-CT'!$E$7=TH!H6054,OR(N6054="331",O6054="331")),"x","")</f>
        <v/>
      </c>
      <c r="Q6054" s="79" t="str">
        <f>IF(AND(B6054='111'!$L$11,OR($N6054=$Q$7,$O6054=$Q$7)),"x","")</f>
        <v/>
      </c>
      <c r="R6054" s="79" t="str">
        <f>IF(AND($N6054=$Q$7,$B6054&lt;'111'!$L$11),"x","")</f>
        <v/>
      </c>
      <c r="S6054" s="79" t="str">
        <f>IF(AND($O6054=$Q$7,$B6054&lt;'111'!$L$11),"x","")</f>
        <v/>
      </c>
      <c r="T6054" s="79" t="str">
        <f>IF(ISERROR(FIND('112'!$M$9,G6054,1)),"",IF((AND(FIND('112'!$M$9,G6054,1)&gt;=1,B6054='112'!$K$9,OR($N6054='112'!$I$6,$O6054='112'!$I$6))),"x",""))</f>
        <v/>
      </c>
      <c r="U6054" s="79" t="str">
        <f>IF(ISERROR(FIND('112'!$M$9,G6054,1)),"",IF((AND(LEFT(G6054,2)=LEFT('112'!$M$9,2),B6054&lt;'112'!$K$9,$N6054='112'!$I$6)),"x",""))</f>
        <v/>
      </c>
      <c r="V6054" s="79" t="str">
        <f>IF(ISERROR(FIND('112'!$M$9,G6054,1)),"",IF((AND(RIGHT(G6054,2)=RIGHT('112'!$M$9,2),B6054&lt;'112'!$K$9,$O6054='112'!$I$6)),"x",""))</f>
        <v/>
      </c>
      <c r="W6054" s="79" t="str">
        <f>IF(AND('341-CT'!$H$9=H6054,OR(LEFT(N6054,3)=$W$7,LEFT(O6054,3)=$W$7)),"x","")</f>
        <v/>
      </c>
      <c r="X6054" s="79" t="str">
        <f>IF(OR(TH!N6054=TH!$X$7,O6054=TH!$X$7),"x","")</f>
        <v/>
      </c>
      <c r="Y6054" s="79" t="str">
        <f>IF(AND(OR(N6054="131",O6054="131"),H6054='131-CT'!$H$9),"x","")</f>
        <v/>
      </c>
      <c r="Z6054" s="79"/>
      <c r="AA6054" s="79" t="str">
        <f>IF(AND(MONTH(E6054)='IN-NX'!$J$5,'IN-NX'!$D$7=D6054),"x","")</f>
        <v/>
      </c>
      <c r="AB6054" s="79" t="str">
        <f>IF(AND(OR(LEFT(TH!N6054,2)="15",LEFT(TH!O6054,2)="15"),LEFT(TH!O6054,3)&lt;&gt;"111",'152-CT'!$J$8=TH!F6054),"x","")</f>
        <v/>
      </c>
      <c r="AC6054" s="79" t="str">
        <f>IF(AND(OR(LEFT(TH!N6054,2)="15",LEFT(TH!O6054,2)="15"),TK!$E$7=TH!F6054),"x","")</f>
        <v/>
      </c>
      <c r="AD6054" s="79" t="str">
        <f>IF(AND(N6054="1521",MONTH(C6054)='BK-NL'!$M$11),"x","")</f>
        <v/>
      </c>
    </row>
    <row r="6055" spans="1:30" ht="16.5" customHeight="1">
      <c r="A6055" s="318" t="str">
        <f>IF(B6055&lt;&gt;"",IF(AND(B6055='IN-TC'!$S$4,OR(TH!N6055="1111",TH!O6055="1111")),TH!D6055,""),"")</f>
        <v/>
      </c>
      <c r="B6055" s="60" t="str">
        <f t="shared" si="515"/>
        <v/>
      </c>
      <c r="C6055" s="61"/>
      <c r="D6055" s="61"/>
      <c r="E6055" s="61"/>
      <c r="F6055" s="69"/>
      <c r="G6055" s="64"/>
      <c r="H6055" s="321"/>
      <c r="I6055" s="385"/>
      <c r="J6055" s="392"/>
      <c r="K6055" s="385"/>
      <c r="L6055" s="392"/>
      <c r="M6055" s="62"/>
      <c r="N6055" s="63"/>
      <c r="O6055" s="63"/>
      <c r="P6055" s="79" t="str">
        <f>IF(AND('331-CT'!$E$7=TH!H6055,OR(N6055="331",O6055="331")),"x","")</f>
        <v/>
      </c>
      <c r="Q6055" s="79" t="str">
        <f>IF(AND(B6055='111'!$L$11,OR($N6055=$Q$7,$O6055=$Q$7)),"x","")</f>
        <v/>
      </c>
      <c r="R6055" s="79" t="str">
        <f>IF(AND($N6055=$Q$7,$B6055&lt;'111'!$L$11),"x","")</f>
        <v/>
      </c>
      <c r="S6055" s="79" t="str">
        <f>IF(AND($O6055=$Q$7,$B6055&lt;'111'!$L$11),"x","")</f>
        <v/>
      </c>
      <c r="T6055" s="79" t="str">
        <f>IF(ISERROR(FIND('112'!$M$9,G6055,1)),"",IF((AND(FIND('112'!$M$9,G6055,1)&gt;=1,B6055='112'!$K$9,OR($N6055='112'!$I$6,$O6055='112'!$I$6))),"x",""))</f>
        <v/>
      </c>
      <c r="U6055" s="79" t="str">
        <f>IF(ISERROR(FIND('112'!$M$9,G6055,1)),"",IF((AND(LEFT(G6055,2)=LEFT('112'!$M$9,2),B6055&lt;'112'!$K$9,$N6055='112'!$I$6)),"x",""))</f>
        <v/>
      </c>
      <c r="V6055" s="79" t="str">
        <f>IF(ISERROR(FIND('112'!$M$9,G6055,1)),"",IF((AND(RIGHT(G6055,2)=RIGHT('112'!$M$9,2),B6055&lt;'112'!$K$9,$O6055='112'!$I$6)),"x",""))</f>
        <v/>
      </c>
      <c r="W6055" s="79" t="str">
        <f>IF(AND('341-CT'!$H$9=H6055,OR(LEFT(N6055,3)=$W$7,LEFT(O6055,3)=$W$7)),"x","")</f>
        <v/>
      </c>
      <c r="X6055" s="79" t="str">
        <f>IF(OR(TH!N6055=TH!$X$7,O6055=TH!$X$7),"x","")</f>
        <v/>
      </c>
      <c r="Y6055" s="79" t="str">
        <f>IF(AND(OR(N6055="131",O6055="131"),H6055='131-CT'!$H$9),"x","")</f>
        <v/>
      </c>
      <c r="Z6055" s="79"/>
      <c r="AA6055" s="79" t="str">
        <f>IF(AND(MONTH(E6055)='IN-NX'!$J$5,'IN-NX'!$D$7=D6055),"x","")</f>
        <v/>
      </c>
      <c r="AB6055" s="79" t="str">
        <f>IF(AND(OR(LEFT(TH!N6055,2)="15",LEFT(TH!O6055,2)="15"),LEFT(TH!O6055,3)&lt;&gt;"111",'152-CT'!$J$8=TH!F6055),"x","")</f>
        <v/>
      </c>
      <c r="AC6055" s="79" t="str">
        <f>IF(AND(OR(LEFT(TH!N6055,2)="15",LEFT(TH!O6055,2)="15"),TK!$E$7=TH!F6055),"x","")</f>
        <v/>
      </c>
      <c r="AD6055" s="79" t="str">
        <f>IF(AND(N6055="1521",MONTH(C6055)='BK-NL'!$M$11),"x","")</f>
        <v/>
      </c>
    </row>
    <row r="6056" spans="1:30" ht="16.5" customHeight="1">
      <c r="A6056" s="318" t="str">
        <f>IF(B6056&lt;&gt;"",IF(AND(B6056='IN-TC'!$S$4,OR(TH!N6056="1111",TH!O6056="1111")),TH!D6056,""),"")</f>
        <v/>
      </c>
      <c r="B6056" s="60" t="str">
        <f t="shared" si="515"/>
        <v/>
      </c>
      <c r="C6056" s="61"/>
      <c r="D6056" s="61"/>
      <c r="E6056" s="61"/>
      <c r="F6056" s="69"/>
      <c r="G6056" s="64"/>
      <c r="H6056" s="321"/>
      <c r="I6056" s="387"/>
      <c r="J6056" s="394"/>
      <c r="K6056" s="387"/>
      <c r="L6056" s="394"/>
      <c r="M6056" s="62"/>
      <c r="N6056" s="63"/>
      <c r="O6056" s="63"/>
      <c r="P6056" s="79" t="str">
        <f>IF(AND('331-CT'!$E$7=TH!H6056,OR(N6056="331",O6056="331")),"x","")</f>
        <v/>
      </c>
      <c r="Q6056" s="79" t="str">
        <f>IF(AND(B6056='111'!$L$11,OR($N6056=$Q$7,$O6056=$Q$7)),"x","")</f>
        <v/>
      </c>
      <c r="R6056" s="79" t="str">
        <f>IF(AND($N6056=$Q$7,$B6056&lt;'111'!$L$11),"x","")</f>
        <v/>
      </c>
      <c r="S6056" s="79" t="str">
        <f>IF(AND($O6056=$Q$7,$B6056&lt;'111'!$L$11),"x","")</f>
        <v/>
      </c>
      <c r="T6056" s="79" t="str">
        <f>IF(ISERROR(FIND('112'!$M$9,G6056,1)),"",IF((AND(FIND('112'!$M$9,G6056,1)&gt;=1,B6056='112'!$K$9,OR($N6056='112'!$I$6,$O6056='112'!$I$6))),"x",""))</f>
        <v/>
      </c>
      <c r="U6056" s="79" t="str">
        <f>IF(ISERROR(FIND('112'!$M$9,G6056,1)),"",IF((AND(LEFT(G6056,2)=LEFT('112'!$M$9,2),B6056&lt;'112'!$K$9,$N6056='112'!$I$6)),"x",""))</f>
        <v/>
      </c>
      <c r="V6056" s="79" t="str">
        <f>IF(ISERROR(FIND('112'!$M$9,G6056,1)),"",IF((AND(RIGHT(G6056,2)=RIGHT('112'!$M$9,2),B6056&lt;'112'!$K$9,$O6056='112'!$I$6)),"x",""))</f>
        <v/>
      </c>
      <c r="W6056" s="79" t="str">
        <f>IF(AND('341-CT'!$H$9=H6056,OR(LEFT(N6056,3)=$W$7,LEFT(O6056,3)=$W$7)),"x","")</f>
        <v/>
      </c>
      <c r="X6056" s="79" t="str">
        <f>IF(OR(TH!N6056=TH!$X$7,O6056=TH!$X$7),"x","")</f>
        <v/>
      </c>
      <c r="Y6056" s="79" t="str">
        <f>IF(AND(OR(N6056="131",O6056="131"),H6056='131-CT'!$H$9),"x","")</f>
        <v/>
      </c>
      <c r="Z6056" s="79"/>
      <c r="AA6056" s="79" t="str">
        <f>IF(AND(MONTH(E6056)='IN-NX'!$J$5,'IN-NX'!$D$7=D6056),"x","")</f>
        <v/>
      </c>
      <c r="AB6056" s="79" t="str">
        <f>IF(AND(OR(LEFT(TH!N6056,2)="15",LEFT(TH!O6056,2)="15"),LEFT(TH!O6056,3)&lt;&gt;"111",'152-CT'!$J$8=TH!F6056),"x","")</f>
        <v/>
      </c>
      <c r="AC6056" s="79" t="str">
        <f>IF(AND(OR(LEFT(TH!N6056,2)="15",LEFT(TH!O6056,2)="15"),TK!$E$7=TH!F6056),"x","")</f>
        <v/>
      </c>
      <c r="AD6056" s="79" t="str">
        <f>IF(AND(N6056="1521",MONTH(C6056)='BK-NL'!$M$11),"x","")</f>
        <v/>
      </c>
    </row>
    <row r="6057" spans="1:30" ht="16.5" customHeight="1">
      <c r="A6057" s="318" t="str">
        <f>IF(B6057&lt;&gt;"",IF(AND(B6057='IN-TC'!$S$4,OR(TH!N6057="1111",TH!O6057="1111")),TH!D6057,""),"")</f>
        <v/>
      </c>
      <c r="B6057" s="60" t="str">
        <f t="shared" si="515"/>
        <v/>
      </c>
      <c r="C6057" s="61"/>
      <c r="D6057" s="61"/>
      <c r="E6057" s="61"/>
      <c r="F6057" s="69"/>
      <c r="G6057" s="64"/>
      <c r="H6057" s="321"/>
      <c r="I6057" s="385"/>
      <c r="J6057" s="392"/>
      <c r="K6057" s="385"/>
      <c r="L6057" s="392"/>
      <c r="M6057" s="62"/>
      <c r="N6057" s="63"/>
      <c r="O6057" s="63"/>
      <c r="P6057" s="79" t="str">
        <f>IF(AND('331-CT'!$E$7=TH!H6057,OR(N6057="331",O6057="331")),"x","")</f>
        <v/>
      </c>
      <c r="Q6057" s="79" t="str">
        <f>IF(AND(B6057='111'!$L$11,OR($N6057=$Q$7,$O6057=$Q$7)),"x","")</f>
        <v/>
      </c>
      <c r="R6057" s="79" t="str">
        <f>IF(AND($N6057=$Q$7,$B6057&lt;'111'!$L$11),"x","")</f>
        <v/>
      </c>
      <c r="S6057" s="79" t="str">
        <f>IF(AND($O6057=$Q$7,$B6057&lt;'111'!$L$11),"x","")</f>
        <v/>
      </c>
      <c r="T6057" s="79" t="str">
        <f>IF(ISERROR(FIND('112'!$M$9,G6057,1)),"",IF((AND(FIND('112'!$M$9,G6057,1)&gt;=1,B6057='112'!$K$9,OR($N6057='112'!$I$6,$O6057='112'!$I$6))),"x",""))</f>
        <v/>
      </c>
      <c r="U6057" s="79" t="str">
        <f>IF(ISERROR(FIND('112'!$M$9,G6057,1)),"",IF((AND(LEFT(G6057,2)=LEFT('112'!$M$9,2),B6057&lt;'112'!$K$9,$N6057='112'!$I$6)),"x",""))</f>
        <v/>
      </c>
      <c r="V6057" s="79" t="str">
        <f>IF(ISERROR(FIND('112'!$M$9,G6057,1)),"",IF((AND(RIGHT(G6057,2)=RIGHT('112'!$M$9,2),B6057&lt;'112'!$K$9,$O6057='112'!$I$6)),"x",""))</f>
        <v/>
      </c>
      <c r="W6057" s="79" t="str">
        <f>IF(AND('341-CT'!$H$9=H6057,OR(LEFT(N6057,3)=$W$7,LEFT(O6057,3)=$W$7)),"x","")</f>
        <v/>
      </c>
      <c r="X6057" s="79" t="str">
        <f>IF(OR(TH!N6057=TH!$X$7,O6057=TH!$X$7),"x","")</f>
        <v/>
      </c>
      <c r="Y6057" s="79" t="str">
        <f>IF(AND(OR(N6057="131",O6057="131"),H6057='131-CT'!$H$9),"x","")</f>
        <v/>
      </c>
      <c r="Z6057" s="79"/>
      <c r="AA6057" s="79" t="str">
        <f>IF(AND(MONTH(E6057)='IN-NX'!$J$5,'IN-NX'!$D$7=D6057),"x","")</f>
        <v/>
      </c>
      <c r="AB6057" s="79" t="str">
        <f>IF(AND(OR(LEFT(TH!N6057,2)="15",LEFT(TH!O6057,2)="15"),LEFT(TH!O6057,3)&lt;&gt;"111",'152-CT'!$J$8=TH!F6057),"x","")</f>
        <v/>
      </c>
      <c r="AC6057" s="79" t="str">
        <f>IF(AND(OR(LEFT(TH!N6057,2)="15",LEFT(TH!O6057,2)="15"),TK!$E$7=TH!F6057),"x","")</f>
        <v/>
      </c>
      <c r="AD6057" s="79" t="str">
        <f>IF(AND(N6057="1521",MONTH(C6057)='BK-NL'!$M$11),"x","")</f>
        <v/>
      </c>
    </row>
    <row r="6058" spans="1:30" ht="16.5" customHeight="1">
      <c r="A6058" s="318" t="str">
        <f>IF(B6058&lt;&gt;"",IF(AND(B6058='IN-TC'!$S$4,OR(TH!N6058="1111",TH!O6058="1111")),TH!D6058,""),"")</f>
        <v/>
      </c>
      <c r="B6058" s="60" t="str">
        <f t="shared" si="515"/>
        <v/>
      </c>
      <c r="C6058" s="61"/>
      <c r="D6058" s="61"/>
      <c r="E6058" s="61"/>
      <c r="F6058" s="69"/>
      <c r="G6058" s="64"/>
      <c r="H6058" s="321"/>
      <c r="I6058" s="385"/>
      <c r="J6058" s="392"/>
      <c r="K6058" s="385"/>
      <c r="L6058" s="392"/>
      <c r="M6058" s="62"/>
      <c r="N6058" s="63"/>
      <c r="O6058" s="63"/>
      <c r="P6058" s="79" t="str">
        <f>IF(AND('331-CT'!$E$7=TH!H6058,OR(N6058="331",O6058="331")),"x","")</f>
        <v/>
      </c>
      <c r="Q6058" s="79" t="str">
        <f>IF(AND(B6058='111'!$L$11,OR($N6058=$Q$7,$O6058=$Q$7)),"x","")</f>
        <v/>
      </c>
      <c r="R6058" s="79" t="str">
        <f>IF(AND($N6058=$Q$7,$B6058&lt;'111'!$L$11),"x","")</f>
        <v/>
      </c>
      <c r="S6058" s="79" t="str">
        <f>IF(AND($O6058=$Q$7,$B6058&lt;'111'!$L$11),"x","")</f>
        <v/>
      </c>
      <c r="T6058" s="79" t="str">
        <f>IF(ISERROR(FIND('112'!$M$9,G6058,1)),"",IF((AND(FIND('112'!$M$9,G6058,1)&gt;=1,B6058='112'!$K$9,OR($N6058='112'!$I$6,$O6058='112'!$I$6))),"x",""))</f>
        <v/>
      </c>
      <c r="U6058" s="79" t="str">
        <f>IF(ISERROR(FIND('112'!$M$9,G6058,1)),"",IF((AND(LEFT(G6058,2)=LEFT('112'!$M$9,2),B6058&lt;'112'!$K$9,$N6058='112'!$I$6)),"x",""))</f>
        <v/>
      </c>
      <c r="V6058" s="79" t="str">
        <f>IF(ISERROR(FIND('112'!$M$9,G6058,1)),"",IF((AND(RIGHT(G6058,2)=RIGHT('112'!$M$9,2),B6058&lt;'112'!$K$9,$O6058='112'!$I$6)),"x",""))</f>
        <v/>
      </c>
      <c r="W6058" s="79" t="str">
        <f>IF(AND('341-CT'!$H$9=H6058,OR(LEFT(N6058,3)=$W$7,LEFT(O6058,3)=$W$7)),"x","")</f>
        <v/>
      </c>
      <c r="X6058" s="79" t="str">
        <f>IF(OR(TH!N6058=TH!$X$7,O6058=TH!$X$7),"x","")</f>
        <v/>
      </c>
      <c r="Y6058" s="79" t="str">
        <f>IF(AND(OR(N6058="131",O6058="131"),H6058='131-CT'!$H$9),"x","")</f>
        <v/>
      </c>
      <c r="Z6058" s="79"/>
      <c r="AA6058" s="79" t="str">
        <f>IF(AND(MONTH(E6058)='IN-NX'!$J$5,'IN-NX'!$D$7=D6058),"x","")</f>
        <v/>
      </c>
      <c r="AB6058" s="79" t="str">
        <f>IF(AND(OR(LEFT(TH!N6058,2)="15",LEFT(TH!O6058,2)="15"),LEFT(TH!O6058,3)&lt;&gt;"111",'152-CT'!$J$8=TH!F6058),"x","")</f>
        <v/>
      </c>
      <c r="AC6058" s="79" t="str">
        <f>IF(AND(OR(LEFT(TH!N6058,2)="15",LEFT(TH!O6058,2)="15"),TK!$E$7=TH!F6058),"x","")</f>
        <v/>
      </c>
      <c r="AD6058" s="79" t="str">
        <f>IF(AND(N6058="1521",MONTH(C6058)='BK-NL'!$M$11),"x","")</f>
        <v/>
      </c>
    </row>
    <row r="6059" spans="1:30" ht="16.5" customHeight="1">
      <c r="A6059" s="318" t="str">
        <f>IF(B6059&lt;&gt;"",IF(AND(B6059='IN-TC'!$S$4,OR(TH!N6059="1111",TH!O6059="1111")),TH!D6059,""),"")</f>
        <v/>
      </c>
      <c r="B6059" s="60" t="str">
        <f t="shared" si="515"/>
        <v/>
      </c>
      <c r="C6059" s="61"/>
      <c r="D6059" s="61"/>
      <c r="E6059" s="61"/>
      <c r="F6059" s="69"/>
      <c r="G6059" s="64"/>
      <c r="H6059" s="321"/>
      <c r="I6059" s="387"/>
      <c r="J6059" s="394"/>
      <c r="K6059" s="387"/>
      <c r="L6059" s="394"/>
      <c r="M6059" s="62"/>
      <c r="N6059" s="63"/>
      <c r="O6059" s="63"/>
      <c r="P6059" s="79" t="str">
        <f>IF(AND('331-CT'!$E$7=TH!H6059,OR(N6059="331",O6059="331")),"x","")</f>
        <v/>
      </c>
      <c r="Q6059" s="79" t="str">
        <f>IF(AND(B6059='111'!$L$11,OR($N6059=$Q$7,$O6059=$Q$7)),"x","")</f>
        <v/>
      </c>
      <c r="R6059" s="79" t="str">
        <f>IF(AND($N6059=$Q$7,$B6059&lt;'111'!$L$11),"x","")</f>
        <v/>
      </c>
      <c r="S6059" s="79" t="str">
        <f>IF(AND($O6059=$Q$7,$B6059&lt;'111'!$L$11),"x","")</f>
        <v/>
      </c>
      <c r="T6059" s="79" t="str">
        <f>IF(ISERROR(FIND('112'!$M$9,G6059,1)),"",IF((AND(FIND('112'!$M$9,G6059,1)&gt;=1,B6059='112'!$K$9,OR($N6059='112'!$I$6,$O6059='112'!$I$6))),"x",""))</f>
        <v/>
      </c>
      <c r="U6059" s="79" t="str">
        <f>IF(ISERROR(FIND('112'!$M$9,G6059,1)),"",IF((AND(LEFT(G6059,2)=LEFT('112'!$M$9,2),B6059&lt;'112'!$K$9,$N6059='112'!$I$6)),"x",""))</f>
        <v/>
      </c>
      <c r="V6059" s="79" t="str">
        <f>IF(ISERROR(FIND('112'!$M$9,G6059,1)),"",IF((AND(RIGHT(G6059,2)=RIGHT('112'!$M$9,2),B6059&lt;'112'!$K$9,$O6059='112'!$I$6)),"x",""))</f>
        <v/>
      </c>
      <c r="W6059" s="79" t="str">
        <f>IF(AND('341-CT'!$H$9=H6059,OR(LEFT(N6059,3)=$W$7,LEFT(O6059,3)=$W$7)),"x","")</f>
        <v/>
      </c>
      <c r="X6059" s="79" t="str">
        <f>IF(OR(TH!N6059=TH!$X$7,O6059=TH!$X$7),"x","")</f>
        <v/>
      </c>
      <c r="Y6059" s="79" t="str">
        <f>IF(AND(OR(N6059="131",O6059="131"),H6059='131-CT'!$H$9),"x","")</f>
        <v/>
      </c>
      <c r="Z6059" s="79"/>
      <c r="AA6059" s="79" t="str">
        <f>IF(AND(MONTH(E6059)='IN-NX'!$J$5,'IN-NX'!$D$7=D6059),"x","")</f>
        <v/>
      </c>
      <c r="AB6059" s="79" t="str">
        <f>IF(AND(OR(LEFT(TH!N6059,2)="15",LEFT(TH!O6059,2)="15"),LEFT(TH!O6059,3)&lt;&gt;"111",'152-CT'!$J$8=TH!F6059),"x","")</f>
        <v/>
      </c>
      <c r="AC6059" s="79" t="str">
        <f>IF(AND(OR(LEFT(TH!N6059,2)="15",LEFT(TH!O6059,2)="15"),TK!$E$7=TH!F6059),"x","")</f>
        <v/>
      </c>
      <c r="AD6059" s="79" t="str">
        <f>IF(AND(N6059="1521",MONTH(C6059)='BK-NL'!$M$11),"x","")</f>
        <v/>
      </c>
    </row>
    <row r="6060" spans="1:30" ht="16.5" customHeight="1">
      <c r="A6060" s="318" t="str">
        <f>IF(B6060&lt;&gt;"",IF(AND(B6060='IN-TC'!$S$4,OR(TH!N6060="1111",TH!O6060="1111")),TH!D6060,""),"")</f>
        <v/>
      </c>
      <c r="B6060" s="60" t="str">
        <f t="shared" si="515"/>
        <v/>
      </c>
      <c r="C6060" s="61"/>
      <c r="D6060" s="61"/>
      <c r="E6060" s="61"/>
      <c r="F6060" s="69"/>
      <c r="G6060" s="64"/>
      <c r="H6060" s="321"/>
      <c r="I6060" s="385"/>
      <c r="J6060" s="392"/>
      <c r="K6060" s="385"/>
      <c r="L6060" s="392"/>
      <c r="M6060" s="62"/>
      <c r="N6060" s="63"/>
      <c r="O6060" s="63"/>
      <c r="P6060" s="79" t="str">
        <f>IF(AND('331-CT'!$E$7=TH!H6060,OR(N6060="331",O6060="331")),"x","")</f>
        <v/>
      </c>
      <c r="Q6060" s="79" t="str">
        <f>IF(AND(B6060='111'!$L$11,OR($N6060=$Q$7,$O6060=$Q$7)),"x","")</f>
        <v/>
      </c>
      <c r="R6060" s="79" t="str">
        <f>IF(AND($N6060=$Q$7,$B6060&lt;'111'!$L$11),"x","")</f>
        <v/>
      </c>
      <c r="S6060" s="79" t="str">
        <f>IF(AND($O6060=$Q$7,$B6060&lt;'111'!$L$11),"x","")</f>
        <v/>
      </c>
      <c r="T6060" s="79" t="str">
        <f>IF(ISERROR(FIND('112'!$M$9,G6060,1)),"",IF((AND(FIND('112'!$M$9,G6060,1)&gt;=1,B6060='112'!$K$9,OR($N6060='112'!$I$6,$O6060='112'!$I$6))),"x",""))</f>
        <v/>
      </c>
      <c r="U6060" s="79" t="str">
        <f>IF(ISERROR(FIND('112'!$M$9,G6060,1)),"",IF((AND(LEFT(G6060,2)=LEFT('112'!$M$9,2),B6060&lt;'112'!$K$9,$N6060='112'!$I$6)),"x",""))</f>
        <v/>
      </c>
      <c r="V6060" s="79" t="str">
        <f>IF(ISERROR(FIND('112'!$M$9,G6060,1)),"",IF((AND(RIGHT(G6060,2)=RIGHT('112'!$M$9,2),B6060&lt;'112'!$K$9,$O6060='112'!$I$6)),"x",""))</f>
        <v/>
      </c>
      <c r="W6060" s="79" t="str">
        <f>IF(AND('341-CT'!$H$9=H6060,OR(LEFT(N6060,3)=$W$7,LEFT(O6060,3)=$W$7)),"x","")</f>
        <v/>
      </c>
      <c r="X6060" s="79" t="str">
        <f>IF(OR(TH!N6060=TH!$X$7,O6060=TH!$X$7),"x","")</f>
        <v/>
      </c>
      <c r="Y6060" s="79" t="str">
        <f>IF(AND(OR(N6060="131",O6060="131"),H6060='131-CT'!$H$9),"x","")</f>
        <v/>
      </c>
      <c r="Z6060" s="79"/>
      <c r="AA6060" s="79" t="str">
        <f>IF(AND(MONTH(E6060)='IN-NX'!$J$5,'IN-NX'!$D$7=D6060),"x","")</f>
        <v/>
      </c>
      <c r="AB6060" s="79" t="str">
        <f>IF(AND(OR(LEFT(TH!N6060,2)="15",LEFT(TH!O6060,2)="15"),LEFT(TH!O6060,3)&lt;&gt;"111",'152-CT'!$J$8=TH!F6060),"x","")</f>
        <v/>
      </c>
      <c r="AC6060" s="79" t="str">
        <f>IF(AND(OR(LEFT(TH!N6060,2)="15",LEFT(TH!O6060,2)="15"),TK!$E$7=TH!F6060),"x","")</f>
        <v/>
      </c>
      <c r="AD6060" s="79" t="str">
        <f>IF(AND(N6060="1521",MONTH(C6060)='BK-NL'!$M$11),"x","")</f>
        <v/>
      </c>
    </row>
    <row r="6061" spans="1:30" ht="16.5" customHeight="1">
      <c r="A6061" s="318" t="str">
        <f>IF(B6061&lt;&gt;"",IF(AND(B6061='IN-TC'!$S$4,OR(TH!N6061="1111",TH!O6061="1111")),TH!D6061,""),"")</f>
        <v/>
      </c>
      <c r="B6061" s="60" t="str">
        <f t="shared" si="515"/>
        <v/>
      </c>
      <c r="C6061" s="61"/>
      <c r="D6061" s="61"/>
      <c r="E6061" s="61"/>
      <c r="F6061" s="69"/>
      <c r="G6061" s="64"/>
      <c r="H6061" s="321"/>
      <c r="I6061" s="385"/>
      <c r="J6061" s="392"/>
      <c r="K6061" s="385"/>
      <c r="L6061" s="392"/>
      <c r="M6061" s="62"/>
      <c r="N6061" s="63"/>
      <c r="O6061" s="63"/>
      <c r="P6061" s="79" t="str">
        <f>IF(AND('331-CT'!$E$7=TH!H6061,OR(N6061="331",O6061="331")),"x","")</f>
        <v/>
      </c>
      <c r="Q6061" s="79" t="str">
        <f>IF(AND(B6061='111'!$L$11,OR($N6061=$Q$7,$O6061=$Q$7)),"x","")</f>
        <v/>
      </c>
      <c r="R6061" s="79" t="str">
        <f>IF(AND($N6061=$Q$7,$B6061&lt;'111'!$L$11),"x","")</f>
        <v/>
      </c>
      <c r="S6061" s="79" t="str">
        <f>IF(AND($O6061=$Q$7,$B6061&lt;'111'!$L$11),"x","")</f>
        <v/>
      </c>
      <c r="T6061" s="79" t="str">
        <f>IF(ISERROR(FIND('112'!$M$9,G6061,1)),"",IF((AND(FIND('112'!$M$9,G6061,1)&gt;=1,B6061='112'!$K$9,OR($N6061='112'!$I$6,$O6061='112'!$I$6))),"x",""))</f>
        <v/>
      </c>
      <c r="U6061" s="79" t="str">
        <f>IF(ISERROR(FIND('112'!$M$9,G6061,1)),"",IF((AND(LEFT(G6061,2)=LEFT('112'!$M$9,2),B6061&lt;'112'!$K$9,$N6061='112'!$I$6)),"x",""))</f>
        <v/>
      </c>
      <c r="V6061" s="79" t="str">
        <f>IF(ISERROR(FIND('112'!$M$9,G6061,1)),"",IF((AND(RIGHT(G6061,2)=RIGHT('112'!$M$9,2),B6061&lt;'112'!$K$9,$O6061='112'!$I$6)),"x",""))</f>
        <v/>
      </c>
      <c r="W6061" s="79" t="str">
        <f>IF(AND('341-CT'!$H$9=H6061,OR(LEFT(N6061,3)=$W$7,LEFT(O6061,3)=$W$7)),"x","")</f>
        <v/>
      </c>
      <c r="X6061" s="79" t="str">
        <f>IF(OR(TH!N6061=TH!$X$7,O6061=TH!$X$7),"x","")</f>
        <v/>
      </c>
      <c r="Y6061" s="79" t="str">
        <f>IF(AND(OR(N6061="131",O6061="131"),H6061='131-CT'!$H$9),"x","")</f>
        <v/>
      </c>
      <c r="Z6061" s="79"/>
      <c r="AA6061" s="79" t="str">
        <f>IF(AND(MONTH(E6061)='IN-NX'!$J$5,'IN-NX'!$D$7=D6061),"x","")</f>
        <v/>
      </c>
      <c r="AB6061" s="79" t="str">
        <f>IF(AND(OR(LEFT(TH!N6061,2)="15",LEFT(TH!O6061,2)="15"),LEFT(TH!O6061,3)&lt;&gt;"111",'152-CT'!$J$8=TH!F6061),"x","")</f>
        <v/>
      </c>
      <c r="AC6061" s="79" t="str">
        <f>IF(AND(OR(LEFT(TH!N6061,2)="15",LEFT(TH!O6061,2)="15"),TK!$E$7=TH!F6061),"x","")</f>
        <v/>
      </c>
      <c r="AD6061" s="79" t="str">
        <f>IF(AND(N6061="1521",MONTH(C6061)='BK-NL'!$M$11),"x","")</f>
        <v/>
      </c>
    </row>
    <row r="6062" spans="1:30" ht="16.5" customHeight="1">
      <c r="A6062" s="318" t="str">
        <f>IF(B6062&lt;&gt;"",IF(AND(B6062='IN-TC'!$S$4,OR(TH!N6062="1111",TH!O6062="1111")),TH!D6062,""),"")</f>
        <v/>
      </c>
      <c r="B6062" s="60" t="str">
        <f t="shared" si="515"/>
        <v/>
      </c>
      <c r="C6062" s="61"/>
      <c r="D6062" s="61"/>
      <c r="E6062" s="61"/>
      <c r="F6062" s="69"/>
      <c r="G6062" s="64"/>
      <c r="H6062" s="321"/>
      <c r="I6062" s="385"/>
      <c r="J6062" s="392"/>
      <c r="K6062" s="385"/>
      <c r="L6062" s="392"/>
      <c r="M6062" s="62"/>
      <c r="N6062" s="63"/>
      <c r="O6062" s="63"/>
      <c r="P6062" s="79" t="str">
        <f>IF(AND('331-CT'!$E$7=TH!H6062,OR(N6062="331",O6062="331")),"x","")</f>
        <v/>
      </c>
      <c r="Q6062" s="79" t="str">
        <f>IF(AND(B6062='111'!$L$11,OR($N6062=$Q$7,$O6062=$Q$7)),"x","")</f>
        <v/>
      </c>
      <c r="R6062" s="79" t="str">
        <f>IF(AND($N6062=$Q$7,$B6062&lt;'111'!$L$11),"x","")</f>
        <v/>
      </c>
      <c r="S6062" s="79" t="str">
        <f>IF(AND($O6062=$Q$7,$B6062&lt;'111'!$L$11),"x","")</f>
        <v/>
      </c>
      <c r="T6062" s="79" t="str">
        <f>IF(ISERROR(FIND('112'!$M$9,G6062,1)),"",IF((AND(FIND('112'!$M$9,G6062,1)&gt;=1,B6062='112'!$K$9,OR($N6062='112'!$I$6,$O6062='112'!$I$6))),"x",""))</f>
        <v/>
      </c>
      <c r="U6062" s="79" t="str">
        <f>IF(ISERROR(FIND('112'!$M$9,G6062,1)),"",IF((AND(LEFT(G6062,2)=LEFT('112'!$M$9,2),B6062&lt;'112'!$K$9,$N6062='112'!$I$6)),"x",""))</f>
        <v/>
      </c>
      <c r="V6062" s="79" t="str">
        <f>IF(ISERROR(FIND('112'!$M$9,G6062,1)),"",IF((AND(RIGHT(G6062,2)=RIGHT('112'!$M$9,2),B6062&lt;'112'!$K$9,$O6062='112'!$I$6)),"x",""))</f>
        <v/>
      </c>
      <c r="W6062" s="79" t="str">
        <f>IF(AND('341-CT'!$H$9=H6062,OR(LEFT(N6062,3)=$W$7,LEFT(O6062,3)=$W$7)),"x","")</f>
        <v/>
      </c>
      <c r="X6062" s="79" t="str">
        <f>IF(OR(TH!N6062=TH!$X$7,O6062=TH!$X$7),"x","")</f>
        <v/>
      </c>
      <c r="Y6062" s="79" t="str">
        <f>IF(AND(OR(N6062="131",O6062="131"),H6062='131-CT'!$H$9),"x","")</f>
        <v/>
      </c>
      <c r="Z6062" s="79"/>
      <c r="AA6062" s="79" t="str">
        <f>IF(AND(MONTH(E6062)='IN-NX'!$J$5,'IN-NX'!$D$7=D6062),"x","")</f>
        <v/>
      </c>
      <c r="AB6062" s="79" t="str">
        <f>IF(AND(OR(LEFT(TH!N6062,2)="15",LEFT(TH!O6062,2)="15"),LEFT(TH!O6062,3)&lt;&gt;"111",'152-CT'!$J$8=TH!F6062),"x","")</f>
        <v/>
      </c>
      <c r="AC6062" s="79" t="str">
        <f>IF(AND(OR(LEFT(TH!N6062,2)="15",LEFT(TH!O6062,2)="15"),TK!$E$7=TH!F6062),"x","")</f>
        <v/>
      </c>
      <c r="AD6062" s="79" t="str">
        <f>IF(AND(N6062="1521",MONTH(C6062)='BK-NL'!$M$11),"x","")</f>
        <v/>
      </c>
    </row>
    <row r="6063" spans="1:30" ht="16.5" customHeight="1">
      <c r="A6063" s="318" t="str">
        <f>IF(B6063&lt;&gt;"",IF(AND(B6063='IN-TC'!$S$4,OR(TH!N6063="1111",TH!O6063="1111")),TH!D6063,""),"")</f>
        <v/>
      </c>
      <c r="B6063" s="60" t="str">
        <f t="shared" si="515"/>
        <v/>
      </c>
      <c r="C6063" s="61"/>
      <c r="D6063" s="61"/>
      <c r="E6063" s="61"/>
      <c r="F6063" s="69"/>
      <c r="G6063" s="64"/>
      <c r="H6063" s="321"/>
      <c r="I6063" s="385"/>
      <c r="J6063" s="392"/>
      <c r="K6063" s="385"/>
      <c r="L6063" s="392"/>
      <c r="M6063" s="62"/>
      <c r="N6063" s="63"/>
      <c r="O6063" s="63"/>
      <c r="P6063" s="79" t="str">
        <f>IF(AND('331-CT'!$E$7=TH!H6063,OR(N6063="331",O6063="331")),"x","")</f>
        <v/>
      </c>
      <c r="Q6063" s="79" t="str">
        <f>IF(AND(B6063='111'!$L$11,OR($N6063=$Q$7,$O6063=$Q$7)),"x","")</f>
        <v/>
      </c>
      <c r="R6063" s="79" t="str">
        <f>IF(AND($N6063=$Q$7,$B6063&lt;'111'!$L$11),"x","")</f>
        <v/>
      </c>
      <c r="S6063" s="79" t="str">
        <f>IF(AND($O6063=$Q$7,$B6063&lt;'111'!$L$11),"x","")</f>
        <v/>
      </c>
      <c r="T6063" s="79" t="str">
        <f>IF(ISERROR(FIND('112'!$M$9,G6063,1)),"",IF((AND(FIND('112'!$M$9,G6063,1)&gt;=1,B6063='112'!$K$9,OR($N6063='112'!$I$6,$O6063='112'!$I$6))),"x",""))</f>
        <v/>
      </c>
      <c r="U6063" s="79" t="str">
        <f>IF(ISERROR(FIND('112'!$M$9,G6063,1)),"",IF((AND(LEFT(G6063,2)=LEFT('112'!$M$9,2),B6063&lt;'112'!$K$9,$N6063='112'!$I$6)),"x",""))</f>
        <v/>
      </c>
      <c r="V6063" s="79" t="str">
        <f>IF(ISERROR(FIND('112'!$M$9,G6063,1)),"",IF((AND(RIGHT(G6063,2)=RIGHT('112'!$M$9,2),B6063&lt;'112'!$K$9,$O6063='112'!$I$6)),"x",""))</f>
        <v/>
      </c>
      <c r="W6063" s="79" t="str">
        <f>IF(AND('341-CT'!$H$9=H6063,OR(LEFT(N6063,3)=$W$7,LEFT(O6063,3)=$W$7)),"x","")</f>
        <v/>
      </c>
      <c r="X6063" s="79" t="str">
        <f>IF(OR(TH!N6063=TH!$X$7,O6063=TH!$X$7),"x","")</f>
        <v/>
      </c>
      <c r="Y6063" s="79" t="str">
        <f>IF(AND(OR(N6063="131",O6063="131"),H6063='131-CT'!$H$9),"x","")</f>
        <v/>
      </c>
      <c r="Z6063" s="79"/>
      <c r="AA6063" s="79" t="str">
        <f>IF(AND(MONTH(E6063)='IN-NX'!$J$5,'IN-NX'!$D$7=D6063),"x","")</f>
        <v/>
      </c>
      <c r="AB6063" s="79" t="str">
        <f>IF(AND(OR(LEFT(TH!N6063,2)="15",LEFT(TH!O6063,2)="15"),LEFT(TH!O6063,3)&lt;&gt;"111",'152-CT'!$J$8=TH!F6063),"x","")</f>
        <v/>
      </c>
      <c r="AC6063" s="79" t="str">
        <f>IF(AND(OR(LEFT(TH!N6063,2)="15",LEFT(TH!O6063,2)="15"),TK!$E$7=TH!F6063),"x","")</f>
        <v/>
      </c>
      <c r="AD6063" s="79" t="str">
        <f>IF(AND(N6063="1521",MONTH(C6063)='BK-NL'!$M$11),"x","")</f>
        <v/>
      </c>
    </row>
    <row r="6064" spans="1:30" ht="16.5" customHeight="1">
      <c r="A6064" s="318" t="str">
        <f>IF(B6064&lt;&gt;"",IF(AND(B6064='IN-TC'!$S$4,OR(TH!N6064="1111",TH!O6064="1111")),TH!D6064,""),"")</f>
        <v/>
      </c>
      <c r="B6064" s="60" t="str">
        <f t="shared" si="515"/>
        <v/>
      </c>
      <c r="C6064" s="61"/>
      <c r="D6064" s="61"/>
      <c r="E6064" s="61"/>
      <c r="F6064" s="69"/>
      <c r="G6064" s="64"/>
      <c r="H6064" s="321"/>
      <c r="I6064" s="387"/>
      <c r="J6064" s="394"/>
      <c r="K6064" s="387"/>
      <c r="L6064" s="394"/>
      <c r="M6064" s="62"/>
      <c r="N6064" s="63"/>
      <c r="O6064" s="63"/>
      <c r="P6064" s="79" t="str">
        <f>IF(AND('331-CT'!$E$7=TH!H6064,OR(N6064="331",O6064="331")),"x","")</f>
        <v/>
      </c>
      <c r="Q6064" s="79" t="str">
        <f>IF(AND(B6064='111'!$L$11,OR($N6064=$Q$7,$O6064=$Q$7)),"x","")</f>
        <v/>
      </c>
      <c r="R6064" s="79" t="str">
        <f>IF(AND($N6064=$Q$7,$B6064&lt;'111'!$L$11),"x","")</f>
        <v/>
      </c>
      <c r="S6064" s="79" t="str">
        <f>IF(AND($O6064=$Q$7,$B6064&lt;'111'!$L$11),"x","")</f>
        <v/>
      </c>
      <c r="T6064" s="79" t="str">
        <f>IF(ISERROR(FIND('112'!$M$9,G6064,1)),"",IF((AND(FIND('112'!$M$9,G6064,1)&gt;=1,B6064='112'!$K$9,OR($N6064='112'!$I$6,$O6064='112'!$I$6))),"x",""))</f>
        <v/>
      </c>
      <c r="U6064" s="79" t="str">
        <f>IF(ISERROR(FIND('112'!$M$9,G6064,1)),"",IF((AND(LEFT(G6064,2)=LEFT('112'!$M$9,2),B6064&lt;'112'!$K$9,$N6064='112'!$I$6)),"x",""))</f>
        <v/>
      </c>
      <c r="V6064" s="79" t="str">
        <f>IF(ISERROR(FIND('112'!$M$9,G6064,1)),"",IF((AND(RIGHT(G6064,2)=RIGHT('112'!$M$9,2),B6064&lt;'112'!$K$9,$O6064='112'!$I$6)),"x",""))</f>
        <v/>
      </c>
      <c r="W6064" s="79" t="str">
        <f>IF(AND('341-CT'!$H$9=H6064,OR(LEFT(N6064,3)=$W$7,LEFT(O6064,3)=$W$7)),"x","")</f>
        <v/>
      </c>
      <c r="X6064" s="79" t="str">
        <f>IF(OR(TH!N6064=TH!$X$7,O6064=TH!$X$7),"x","")</f>
        <v/>
      </c>
      <c r="Y6064" s="79" t="str">
        <f>IF(AND(OR(N6064="131",O6064="131"),H6064='131-CT'!$H$9),"x","")</f>
        <v/>
      </c>
      <c r="Z6064" s="79"/>
      <c r="AA6064" s="79" t="str">
        <f>IF(AND(MONTH(E6064)='IN-NX'!$J$5,'IN-NX'!$D$7=D6064),"x","")</f>
        <v/>
      </c>
      <c r="AB6064" s="79" t="str">
        <f>IF(AND(OR(LEFT(TH!N6064,2)="15",LEFT(TH!O6064,2)="15"),LEFT(TH!O6064,3)&lt;&gt;"111",'152-CT'!$J$8=TH!F6064),"x","")</f>
        <v/>
      </c>
      <c r="AC6064" s="79" t="str">
        <f>IF(AND(OR(LEFT(TH!N6064,2)="15",LEFT(TH!O6064,2)="15"),TK!$E$7=TH!F6064),"x","")</f>
        <v/>
      </c>
      <c r="AD6064" s="79" t="str">
        <f>IF(AND(N6064="1521",MONTH(C6064)='BK-NL'!$M$11),"x","")</f>
        <v/>
      </c>
    </row>
    <row r="6065" spans="1:30" ht="16.5" customHeight="1">
      <c r="A6065" s="318" t="str">
        <f>IF(B6065&lt;&gt;"",IF(AND(B6065='IN-TC'!$S$4,OR(TH!N6065="1111",TH!O6065="1111")),TH!D6065,""),"")</f>
        <v/>
      </c>
      <c r="B6065" s="60" t="str">
        <f t="shared" si="515"/>
        <v/>
      </c>
      <c r="C6065" s="61"/>
      <c r="D6065" s="61"/>
      <c r="E6065" s="61"/>
      <c r="F6065" s="69"/>
      <c r="G6065" s="64"/>
      <c r="H6065" s="321"/>
      <c r="I6065" s="385"/>
      <c r="J6065" s="392"/>
      <c r="K6065" s="385"/>
      <c r="L6065" s="392"/>
      <c r="M6065" s="62"/>
      <c r="N6065" s="63"/>
      <c r="O6065" s="63"/>
      <c r="P6065" s="79" t="str">
        <f>IF(AND('331-CT'!$E$7=TH!H6065,OR(N6065="331",O6065="331")),"x","")</f>
        <v/>
      </c>
      <c r="Q6065" s="79" t="str">
        <f>IF(AND(B6065='111'!$L$11,OR($N6065=$Q$7,$O6065=$Q$7)),"x","")</f>
        <v/>
      </c>
      <c r="R6065" s="79" t="str">
        <f>IF(AND($N6065=$Q$7,$B6065&lt;'111'!$L$11),"x","")</f>
        <v/>
      </c>
      <c r="S6065" s="79" t="str">
        <f>IF(AND($O6065=$Q$7,$B6065&lt;'111'!$L$11),"x","")</f>
        <v/>
      </c>
      <c r="T6065" s="79" t="str">
        <f>IF(ISERROR(FIND('112'!$M$9,G6065,1)),"",IF((AND(FIND('112'!$M$9,G6065,1)&gt;=1,B6065='112'!$K$9,OR($N6065='112'!$I$6,$O6065='112'!$I$6))),"x",""))</f>
        <v/>
      </c>
      <c r="U6065" s="79" t="str">
        <f>IF(ISERROR(FIND('112'!$M$9,G6065,1)),"",IF((AND(LEFT(G6065,2)=LEFT('112'!$M$9,2),B6065&lt;'112'!$K$9,$N6065='112'!$I$6)),"x",""))</f>
        <v/>
      </c>
      <c r="V6065" s="79" t="str">
        <f>IF(ISERROR(FIND('112'!$M$9,G6065,1)),"",IF((AND(RIGHT(G6065,2)=RIGHT('112'!$M$9,2),B6065&lt;'112'!$K$9,$O6065='112'!$I$6)),"x",""))</f>
        <v/>
      </c>
      <c r="W6065" s="79" t="str">
        <f>IF(AND('341-CT'!$H$9=H6065,OR(LEFT(N6065,3)=$W$7,LEFT(O6065,3)=$W$7)),"x","")</f>
        <v/>
      </c>
      <c r="X6065" s="79" t="str">
        <f>IF(OR(TH!N6065=TH!$X$7,O6065=TH!$X$7),"x","")</f>
        <v/>
      </c>
      <c r="Y6065" s="79" t="str">
        <f>IF(AND(OR(N6065="131",O6065="131"),H6065='131-CT'!$H$9),"x","")</f>
        <v/>
      </c>
      <c r="Z6065" s="79"/>
      <c r="AA6065" s="79" t="str">
        <f>IF(AND(MONTH(E6065)='IN-NX'!$J$5,'IN-NX'!$D$7=D6065),"x","")</f>
        <v/>
      </c>
      <c r="AB6065" s="79" t="str">
        <f>IF(AND(OR(LEFT(TH!N6065,2)="15",LEFT(TH!O6065,2)="15"),LEFT(TH!O6065,3)&lt;&gt;"111",'152-CT'!$J$8=TH!F6065),"x","")</f>
        <v/>
      </c>
      <c r="AC6065" s="79" t="str">
        <f>IF(AND(OR(LEFT(TH!N6065,2)="15",LEFT(TH!O6065,2)="15"),TK!$E$7=TH!F6065),"x","")</f>
        <v/>
      </c>
      <c r="AD6065" s="79" t="str">
        <f>IF(AND(N6065="1521",MONTH(C6065)='BK-NL'!$M$11),"x","")</f>
        <v/>
      </c>
    </row>
    <row r="6066" spans="1:30" ht="16.5" customHeight="1">
      <c r="A6066" s="318" t="str">
        <f>IF(B6066&lt;&gt;"",IF(AND(B6066='IN-TC'!$S$4,OR(TH!N6066="1111",TH!O6066="1111")),TH!D6066,""),"")</f>
        <v/>
      </c>
      <c r="B6066" s="60" t="str">
        <f t="shared" si="515"/>
        <v/>
      </c>
      <c r="C6066" s="61"/>
      <c r="D6066" s="61"/>
      <c r="E6066" s="61"/>
      <c r="F6066" s="69"/>
      <c r="G6066" s="64"/>
      <c r="H6066" s="321"/>
      <c r="I6066" s="385"/>
      <c r="J6066" s="392"/>
      <c r="K6066" s="385"/>
      <c r="L6066" s="392"/>
      <c r="M6066" s="62"/>
      <c r="N6066" s="63"/>
      <c r="O6066" s="63"/>
      <c r="P6066" s="79" t="str">
        <f>IF(AND('331-CT'!$E$7=TH!H6066,OR(N6066="331",O6066="331")),"x","")</f>
        <v/>
      </c>
      <c r="Q6066" s="79" t="str">
        <f>IF(AND(B6066='111'!$L$11,OR($N6066=$Q$7,$O6066=$Q$7)),"x","")</f>
        <v/>
      </c>
      <c r="R6066" s="79" t="str">
        <f>IF(AND($N6066=$Q$7,$B6066&lt;'111'!$L$11),"x","")</f>
        <v/>
      </c>
      <c r="S6066" s="79" t="str">
        <f>IF(AND($O6066=$Q$7,$B6066&lt;'111'!$L$11),"x","")</f>
        <v/>
      </c>
      <c r="T6066" s="79" t="str">
        <f>IF(ISERROR(FIND('112'!$M$9,G6066,1)),"",IF((AND(FIND('112'!$M$9,G6066,1)&gt;=1,B6066='112'!$K$9,OR($N6066='112'!$I$6,$O6066='112'!$I$6))),"x",""))</f>
        <v/>
      </c>
      <c r="U6066" s="79" t="str">
        <f>IF(ISERROR(FIND('112'!$M$9,G6066,1)),"",IF((AND(LEFT(G6066,2)=LEFT('112'!$M$9,2),B6066&lt;'112'!$K$9,$N6066='112'!$I$6)),"x",""))</f>
        <v/>
      </c>
      <c r="V6066" s="79" t="str">
        <f>IF(ISERROR(FIND('112'!$M$9,G6066,1)),"",IF((AND(RIGHT(G6066,2)=RIGHT('112'!$M$9,2),B6066&lt;'112'!$K$9,$O6066='112'!$I$6)),"x",""))</f>
        <v/>
      </c>
      <c r="W6066" s="79" t="str">
        <f>IF(AND('341-CT'!$H$9=H6066,OR(LEFT(N6066,3)=$W$7,LEFT(O6066,3)=$W$7)),"x","")</f>
        <v/>
      </c>
      <c r="X6066" s="79" t="str">
        <f>IF(OR(TH!N6066=TH!$X$7,O6066=TH!$X$7),"x","")</f>
        <v/>
      </c>
      <c r="Y6066" s="79" t="str">
        <f>IF(AND(OR(N6066="131",O6066="131"),H6066='131-CT'!$H$9),"x","")</f>
        <v/>
      </c>
      <c r="Z6066" s="79"/>
      <c r="AA6066" s="79" t="str">
        <f>IF(AND(MONTH(E6066)='IN-NX'!$J$5,'IN-NX'!$D$7=D6066),"x","")</f>
        <v/>
      </c>
      <c r="AB6066" s="79" t="str">
        <f>IF(AND(OR(LEFT(TH!N6066,2)="15",LEFT(TH!O6066,2)="15"),LEFT(TH!O6066,3)&lt;&gt;"111",'152-CT'!$J$8=TH!F6066),"x","")</f>
        <v/>
      </c>
      <c r="AC6066" s="79" t="str">
        <f>IF(AND(OR(LEFT(TH!N6066,2)="15",LEFT(TH!O6066,2)="15"),TK!$E$7=TH!F6066),"x","")</f>
        <v/>
      </c>
      <c r="AD6066" s="79" t="str">
        <f>IF(AND(N6066="1521",MONTH(C6066)='BK-NL'!$M$11),"x","")</f>
        <v/>
      </c>
    </row>
    <row r="6067" spans="1:30" ht="16.5" customHeight="1">
      <c r="A6067" s="318" t="str">
        <f>IF(B6067&lt;&gt;"",IF(AND(B6067='IN-TC'!$S$4,OR(TH!N6067="1111",TH!O6067="1111")),TH!D6067,""),"")</f>
        <v/>
      </c>
      <c r="B6067" s="60" t="str">
        <f t="shared" si="515"/>
        <v/>
      </c>
      <c r="C6067" s="61"/>
      <c r="D6067" s="61"/>
      <c r="E6067" s="61"/>
      <c r="F6067" s="69"/>
      <c r="G6067" s="64"/>
      <c r="H6067" s="321"/>
      <c r="I6067" s="385"/>
      <c r="J6067" s="392"/>
      <c r="K6067" s="385"/>
      <c r="L6067" s="392"/>
      <c r="M6067" s="62"/>
      <c r="N6067" s="63"/>
      <c r="O6067" s="63"/>
      <c r="P6067" s="79" t="str">
        <f>IF(AND('331-CT'!$E$7=TH!H6067,OR(N6067="331",O6067="331")),"x","")</f>
        <v/>
      </c>
      <c r="Q6067" s="79" t="str">
        <f>IF(AND(B6067='111'!$L$11,OR($N6067=$Q$7,$O6067=$Q$7)),"x","")</f>
        <v/>
      </c>
      <c r="R6067" s="79" t="str">
        <f>IF(AND($N6067=$Q$7,$B6067&lt;'111'!$L$11),"x","")</f>
        <v/>
      </c>
      <c r="S6067" s="79" t="str">
        <f>IF(AND($O6067=$Q$7,$B6067&lt;'111'!$L$11),"x","")</f>
        <v/>
      </c>
      <c r="T6067" s="79" t="str">
        <f>IF(ISERROR(FIND('112'!$M$9,G6067,1)),"",IF((AND(FIND('112'!$M$9,G6067,1)&gt;=1,B6067='112'!$K$9,OR($N6067='112'!$I$6,$O6067='112'!$I$6))),"x",""))</f>
        <v/>
      </c>
      <c r="U6067" s="79" t="str">
        <f>IF(ISERROR(FIND('112'!$M$9,G6067,1)),"",IF((AND(LEFT(G6067,2)=LEFT('112'!$M$9,2),B6067&lt;'112'!$K$9,$N6067='112'!$I$6)),"x",""))</f>
        <v/>
      </c>
      <c r="V6067" s="79" t="str">
        <f>IF(ISERROR(FIND('112'!$M$9,G6067,1)),"",IF((AND(RIGHT(G6067,2)=RIGHT('112'!$M$9,2),B6067&lt;'112'!$K$9,$O6067='112'!$I$6)),"x",""))</f>
        <v/>
      </c>
      <c r="W6067" s="79" t="str">
        <f>IF(AND('341-CT'!$H$9=H6067,OR(LEFT(N6067,3)=$W$7,LEFT(O6067,3)=$W$7)),"x","")</f>
        <v/>
      </c>
      <c r="X6067" s="79" t="str">
        <f>IF(OR(TH!N6067=TH!$X$7,O6067=TH!$X$7),"x","")</f>
        <v/>
      </c>
      <c r="Y6067" s="79" t="str">
        <f>IF(AND(OR(N6067="131",O6067="131"),H6067='131-CT'!$H$9),"x","")</f>
        <v/>
      </c>
      <c r="Z6067" s="79"/>
      <c r="AA6067" s="79" t="str">
        <f>IF(AND(MONTH(E6067)='IN-NX'!$J$5,'IN-NX'!$D$7=D6067),"x","")</f>
        <v/>
      </c>
      <c r="AB6067" s="79" t="str">
        <f>IF(AND(OR(LEFT(TH!N6067,2)="15",LEFT(TH!O6067,2)="15"),LEFT(TH!O6067,3)&lt;&gt;"111",'152-CT'!$J$8=TH!F6067),"x","")</f>
        <v/>
      </c>
      <c r="AC6067" s="79" t="str">
        <f>IF(AND(OR(LEFT(TH!N6067,2)="15",LEFT(TH!O6067,2)="15"),TK!$E$7=TH!F6067),"x","")</f>
        <v/>
      </c>
      <c r="AD6067" s="79" t="str">
        <f>IF(AND(N6067="1521",MONTH(C6067)='BK-NL'!$M$11),"x","")</f>
        <v/>
      </c>
    </row>
    <row r="6068" spans="1:30" ht="16.5" customHeight="1">
      <c r="A6068" s="318" t="str">
        <f>IF(B6068&lt;&gt;"",IF(AND(B6068='IN-TC'!$S$4,OR(TH!N6068="1111",TH!O6068="1111")),TH!D6068,""),"")</f>
        <v/>
      </c>
      <c r="B6068" s="60" t="str">
        <f t="shared" si="515"/>
        <v/>
      </c>
      <c r="C6068" s="61"/>
      <c r="D6068" s="61"/>
      <c r="E6068" s="61"/>
      <c r="F6068" s="69"/>
      <c r="G6068" s="64"/>
      <c r="H6068" s="321"/>
      <c r="I6068" s="385"/>
      <c r="J6068" s="392"/>
      <c r="K6068" s="385"/>
      <c r="L6068" s="392"/>
      <c r="M6068" s="62"/>
      <c r="N6068" s="63"/>
      <c r="O6068" s="63"/>
      <c r="P6068" s="79" t="str">
        <f>IF(AND('331-CT'!$E$7=TH!H6068,OR(N6068="331",O6068="331")),"x","")</f>
        <v/>
      </c>
      <c r="Q6068" s="79" t="str">
        <f>IF(AND(B6068='111'!$L$11,OR($N6068=$Q$7,$O6068=$Q$7)),"x","")</f>
        <v/>
      </c>
      <c r="R6068" s="79" t="str">
        <f>IF(AND($N6068=$Q$7,$B6068&lt;'111'!$L$11),"x","")</f>
        <v/>
      </c>
      <c r="S6068" s="79" t="str">
        <f>IF(AND($O6068=$Q$7,$B6068&lt;'111'!$L$11),"x","")</f>
        <v/>
      </c>
      <c r="T6068" s="79" t="str">
        <f>IF(ISERROR(FIND('112'!$M$9,G6068,1)),"",IF((AND(FIND('112'!$M$9,G6068,1)&gt;=1,B6068='112'!$K$9,OR($N6068='112'!$I$6,$O6068='112'!$I$6))),"x",""))</f>
        <v/>
      </c>
      <c r="U6068" s="79" t="str">
        <f>IF(ISERROR(FIND('112'!$M$9,G6068,1)),"",IF((AND(LEFT(G6068,2)=LEFT('112'!$M$9,2),B6068&lt;'112'!$K$9,$N6068='112'!$I$6)),"x",""))</f>
        <v/>
      </c>
      <c r="V6068" s="79" t="str">
        <f>IF(ISERROR(FIND('112'!$M$9,G6068,1)),"",IF((AND(RIGHT(G6068,2)=RIGHT('112'!$M$9,2),B6068&lt;'112'!$K$9,$O6068='112'!$I$6)),"x",""))</f>
        <v/>
      </c>
      <c r="W6068" s="79" t="str">
        <f>IF(AND('341-CT'!$H$9=H6068,OR(LEFT(N6068,3)=$W$7,LEFT(O6068,3)=$W$7)),"x","")</f>
        <v/>
      </c>
      <c r="X6068" s="79" t="str">
        <f>IF(OR(TH!N6068=TH!$X$7,O6068=TH!$X$7),"x","")</f>
        <v/>
      </c>
      <c r="Y6068" s="79" t="str">
        <f>IF(AND(OR(N6068="131",O6068="131"),H6068='131-CT'!$H$9),"x","")</f>
        <v/>
      </c>
      <c r="Z6068" s="79"/>
      <c r="AA6068" s="79" t="str">
        <f>IF(AND(MONTH(E6068)='IN-NX'!$J$5,'IN-NX'!$D$7=D6068),"x","")</f>
        <v/>
      </c>
      <c r="AB6068" s="79" t="str">
        <f>IF(AND(OR(LEFT(TH!N6068,2)="15",LEFT(TH!O6068,2)="15"),LEFT(TH!O6068,3)&lt;&gt;"111",'152-CT'!$J$8=TH!F6068),"x","")</f>
        <v/>
      </c>
      <c r="AC6068" s="79" t="str">
        <f>IF(AND(OR(LEFT(TH!N6068,2)="15",LEFT(TH!O6068,2)="15"),TK!$E$7=TH!F6068),"x","")</f>
        <v/>
      </c>
      <c r="AD6068" s="79" t="str">
        <f>IF(AND(N6068="1521",MONTH(C6068)='BK-NL'!$M$11),"x","")</f>
        <v/>
      </c>
    </row>
    <row r="6069" spans="1:30" ht="16.5" customHeight="1">
      <c r="A6069" s="318" t="str">
        <f>IF(B6069&lt;&gt;"",IF(AND(B6069='IN-TC'!$S$4,OR(TH!N6069="1111",TH!O6069="1111")),TH!D6069,""),"")</f>
        <v/>
      </c>
      <c r="B6069" s="60" t="str">
        <f t="shared" si="515"/>
        <v/>
      </c>
      <c r="C6069" s="61"/>
      <c r="D6069" s="61"/>
      <c r="E6069" s="61"/>
      <c r="F6069" s="69"/>
      <c r="G6069" s="64"/>
      <c r="H6069" s="321"/>
      <c r="I6069" s="387"/>
      <c r="J6069" s="394"/>
      <c r="K6069" s="387"/>
      <c r="L6069" s="394"/>
      <c r="M6069" s="62"/>
      <c r="N6069" s="63"/>
      <c r="O6069" s="63"/>
      <c r="P6069" s="79" t="str">
        <f>IF(AND('331-CT'!$E$7=TH!H6069,OR(N6069="331",O6069="331")),"x","")</f>
        <v/>
      </c>
      <c r="Q6069" s="79" t="str">
        <f>IF(AND(B6069='111'!$L$11,OR($N6069=$Q$7,$O6069=$Q$7)),"x","")</f>
        <v/>
      </c>
      <c r="R6069" s="79" t="str">
        <f>IF(AND($N6069=$Q$7,$B6069&lt;'111'!$L$11),"x","")</f>
        <v/>
      </c>
      <c r="S6069" s="79" t="str">
        <f>IF(AND($O6069=$Q$7,$B6069&lt;'111'!$L$11),"x","")</f>
        <v/>
      </c>
      <c r="T6069" s="79" t="str">
        <f>IF(ISERROR(FIND('112'!$M$9,G6069,1)),"",IF((AND(FIND('112'!$M$9,G6069,1)&gt;=1,B6069='112'!$K$9,OR($N6069='112'!$I$6,$O6069='112'!$I$6))),"x",""))</f>
        <v/>
      </c>
      <c r="U6069" s="79" t="str">
        <f>IF(ISERROR(FIND('112'!$M$9,G6069,1)),"",IF((AND(LEFT(G6069,2)=LEFT('112'!$M$9,2),B6069&lt;'112'!$K$9,$N6069='112'!$I$6)),"x",""))</f>
        <v/>
      </c>
      <c r="V6069" s="79" t="str">
        <f>IF(ISERROR(FIND('112'!$M$9,G6069,1)),"",IF((AND(RIGHT(G6069,2)=RIGHT('112'!$M$9,2),B6069&lt;'112'!$K$9,$O6069='112'!$I$6)),"x",""))</f>
        <v/>
      </c>
      <c r="W6069" s="79" t="str">
        <f>IF(AND('341-CT'!$H$9=H6069,OR(LEFT(N6069,3)=$W$7,LEFT(O6069,3)=$W$7)),"x","")</f>
        <v/>
      </c>
      <c r="X6069" s="79" t="str">
        <f>IF(OR(TH!N6069=TH!$X$7,O6069=TH!$X$7),"x","")</f>
        <v/>
      </c>
      <c r="Y6069" s="79" t="str">
        <f>IF(AND(OR(N6069="131",O6069="131"),H6069='131-CT'!$H$9),"x","")</f>
        <v/>
      </c>
      <c r="Z6069" s="79"/>
      <c r="AA6069" s="79" t="str">
        <f>IF(AND(MONTH(E6069)='IN-NX'!$J$5,'IN-NX'!$D$7=D6069),"x","")</f>
        <v/>
      </c>
      <c r="AB6069" s="79" t="str">
        <f>IF(AND(OR(LEFT(TH!N6069,2)="15",LEFT(TH!O6069,2)="15"),LEFT(TH!O6069,3)&lt;&gt;"111",'152-CT'!$J$8=TH!F6069),"x","")</f>
        <v/>
      </c>
      <c r="AC6069" s="79" t="str">
        <f>IF(AND(OR(LEFT(TH!N6069,2)="15",LEFT(TH!O6069,2)="15"),TK!$E$7=TH!F6069),"x","")</f>
        <v/>
      </c>
      <c r="AD6069" s="79" t="str">
        <f>IF(AND(N6069="1521",MONTH(C6069)='BK-NL'!$M$11),"x","")</f>
        <v/>
      </c>
    </row>
    <row r="6070" spans="1:30" ht="16.5" customHeight="1">
      <c r="A6070" s="318" t="str">
        <f>IF(B6070&lt;&gt;"",IF(AND(B6070='IN-TC'!$S$4,OR(TH!N6070="1111",TH!O6070="1111")),TH!D6070,""),"")</f>
        <v/>
      </c>
      <c r="B6070" s="60" t="str">
        <f t="shared" si="515"/>
        <v/>
      </c>
      <c r="C6070" s="61"/>
      <c r="D6070" s="61"/>
      <c r="E6070" s="61"/>
      <c r="F6070" s="69"/>
      <c r="G6070" s="64"/>
      <c r="H6070" s="321"/>
      <c r="I6070" s="385"/>
      <c r="J6070" s="392"/>
      <c r="K6070" s="385"/>
      <c r="L6070" s="392"/>
      <c r="M6070" s="62"/>
      <c r="N6070" s="63"/>
      <c r="O6070" s="63"/>
      <c r="P6070" s="79" t="str">
        <f>IF(AND('331-CT'!$E$7=TH!H6070,OR(N6070="331",O6070="331")),"x","")</f>
        <v/>
      </c>
      <c r="Q6070" s="79" t="str">
        <f>IF(AND(B6070='111'!$L$11,OR($N6070=$Q$7,$O6070=$Q$7)),"x","")</f>
        <v/>
      </c>
      <c r="R6070" s="79" t="str">
        <f>IF(AND($N6070=$Q$7,$B6070&lt;'111'!$L$11),"x","")</f>
        <v/>
      </c>
      <c r="S6070" s="79" t="str">
        <f>IF(AND($O6070=$Q$7,$B6070&lt;'111'!$L$11),"x","")</f>
        <v/>
      </c>
      <c r="T6070" s="79" t="str">
        <f>IF(ISERROR(FIND('112'!$M$9,G6070,1)),"",IF((AND(FIND('112'!$M$9,G6070,1)&gt;=1,B6070='112'!$K$9,OR($N6070='112'!$I$6,$O6070='112'!$I$6))),"x",""))</f>
        <v/>
      </c>
      <c r="U6070" s="79" t="str">
        <f>IF(ISERROR(FIND('112'!$M$9,G6070,1)),"",IF((AND(LEFT(G6070,2)=LEFT('112'!$M$9,2),B6070&lt;'112'!$K$9,$N6070='112'!$I$6)),"x",""))</f>
        <v/>
      </c>
      <c r="V6070" s="79" t="str">
        <f>IF(ISERROR(FIND('112'!$M$9,G6070,1)),"",IF((AND(RIGHT(G6070,2)=RIGHT('112'!$M$9,2),B6070&lt;'112'!$K$9,$O6070='112'!$I$6)),"x",""))</f>
        <v/>
      </c>
      <c r="W6070" s="79" t="str">
        <f>IF(AND('341-CT'!$H$9=H6070,OR(LEFT(N6070,3)=$W$7,LEFT(O6070,3)=$W$7)),"x","")</f>
        <v/>
      </c>
      <c r="X6070" s="79" t="str">
        <f>IF(OR(TH!N6070=TH!$X$7,O6070=TH!$X$7),"x","")</f>
        <v/>
      </c>
      <c r="Y6070" s="79" t="str">
        <f>IF(AND(OR(N6070="131",O6070="131"),H6070='131-CT'!$H$9),"x","")</f>
        <v/>
      </c>
      <c r="Z6070" s="79"/>
      <c r="AA6070" s="79" t="str">
        <f>IF(AND(MONTH(E6070)='IN-NX'!$J$5,'IN-NX'!$D$7=D6070),"x","")</f>
        <v/>
      </c>
      <c r="AB6070" s="79" t="str">
        <f>IF(AND(OR(LEFT(TH!N6070,2)="15",LEFT(TH!O6070,2)="15"),LEFT(TH!O6070,3)&lt;&gt;"111",'152-CT'!$J$8=TH!F6070),"x","")</f>
        <v/>
      </c>
      <c r="AC6070" s="79" t="str">
        <f>IF(AND(OR(LEFT(TH!N6070,2)="15",LEFT(TH!O6070,2)="15"),TK!$E$7=TH!F6070),"x","")</f>
        <v/>
      </c>
      <c r="AD6070" s="79" t="str">
        <f>IF(AND(N6070="1521",MONTH(C6070)='BK-NL'!$M$11),"x","")</f>
        <v/>
      </c>
    </row>
    <row r="6071" spans="1:30" ht="16.5" customHeight="1">
      <c r="A6071" s="318" t="str">
        <f>IF(B6071&lt;&gt;"",IF(AND(B6071='IN-TC'!$S$4,OR(TH!N6071="1111",TH!O6071="1111")),TH!D6071,""),"")</f>
        <v/>
      </c>
      <c r="B6071" s="60" t="str">
        <f t="shared" si="515"/>
        <v/>
      </c>
      <c r="C6071" s="61"/>
      <c r="D6071" s="61"/>
      <c r="E6071" s="61"/>
      <c r="F6071" s="69"/>
      <c r="G6071" s="64"/>
      <c r="H6071" s="321"/>
      <c r="I6071" s="385"/>
      <c r="J6071" s="392"/>
      <c r="K6071" s="385"/>
      <c r="L6071" s="392"/>
      <c r="M6071" s="62"/>
      <c r="N6071" s="63"/>
      <c r="O6071" s="63"/>
      <c r="P6071" s="79" t="str">
        <f>IF(AND('331-CT'!$E$7=TH!H6071,OR(N6071="331",O6071="331")),"x","")</f>
        <v/>
      </c>
      <c r="Q6071" s="79" t="str">
        <f>IF(AND(B6071='111'!$L$11,OR($N6071=$Q$7,$O6071=$Q$7)),"x","")</f>
        <v/>
      </c>
      <c r="R6071" s="79" t="str">
        <f>IF(AND($N6071=$Q$7,$B6071&lt;'111'!$L$11),"x","")</f>
        <v/>
      </c>
      <c r="S6071" s="79" t="str">
        <f>IF(AND($O6071=$Q$7,$B6071&lt;'111'!$L$11),"x","")</f>
        <v/>
      </c>
      <c r="T6071" s="79" t="str">
        <f>IF(ISERROR(FIND('112'!$M$9,G6071,1)),"",IF((AND(FIND('112'!$M$9,G6071,1)&gt;=1,B6071='112'!$K$9,OR($N6071='112'!$I$6,$O6071='112'!$I$6))),"x",""))</f>
        <v/>
      </c>
      <c r="U6071" s="79" t="str">
        <f>IF(ISERROR(FIND('112'!$M$9,G6071,1)),"",IF((AND(LEFT(G6071,2)=LEFT('112'!$M$9,2),B6071&lt;'112'!$K$9,$N6071='112'!$I$6)),"x",""))</f>
        <v/>
      </c>
      <c r="V6071" s="79" t="str">
        <f>IF(ISERROR(FIND('112'!$M$9,G6071,1)),"",IF((AND(RIGHT(G6071,2)=RIGHT('112'!$M$9,2),B6071&lt;'112'!$K$9,$O6071='112'!$I$6)),"x",""))</f>
        <v/>
      </c>
      <c r="W6071" s="79" t="str">
        <f>IF(AND('341-CT'!$H$9=H6071,OR(LEFT(N6071,3)=$W$7,LEFT(O6071,3)=$W$7)),"x","")</f>
        <v/>
      </c>
      <c r="X6071" s="79" t="str">
        <f>IF(OR(TH!N6071=TH!$X$7,O6071=TH!$X$7),"x","")</f>
        <v/>
      </c>
      <c r="Y6071" s="79" t="str">
        <f>IF(AND(OR(N6071="131",O6071="131"),H6071='131-CT'!$H$9),"x","")</f>
        <v/>
      </c>
      <c r="Z6071" s="79"/>
      <c r="AA6071" s="79" t="str">
        <f>IF(AND(MONTH(E6071)='IN-NX'!$J$5,'IN-NX'!$D$7=D6071),"x","")</f>
        <v/>
      </c>
      <c r="AB6071" s="79" t="str">
        <f>IF(AND(OR(LEFT(TH!N6071,2)="15",LEFT(TH!O6071,2)="15"),LEFT(TH!O6071,3)&lt;&gt;"111",'152-CT'!$J$8=TH!F6071),"x","")</f>
        <v/>
      </c>
      <c r="AC6071" s="79" t="str">
        <f>IF(AND(OR(LEFT(TH!N6071,2)="15",LEFT(TH!O6071,2)="15"),TK!$E$7=TH!F6071),"x","")</f>
        <v/>
      </c>
      <c r="AD6071" s="79" t="str">
        <f>IF(AND(N6071="1521",MONTH(C6071)='BK-NL'!$M$11),"x","")</f>
        <v/>
      </c>
    </row>
    <row r="6072" spans="1:30" ht="16.5" customHeight="1">
      <c r="A6072" s="318" t="str">
        <f>IF(B6072&lt;&gt;"",IF(AND(B6072='IN-TC'!$S$4,OR(TH!N6072="1111",TH!O6072="1111")),TH!D6072,""),"")</f>
        <v/>
      </c>
      <c r="B6072" s="60" t="str">
        <f t="shared" si="515"/>
        <v/>
      </c>
      <c r="C6072" s="61"/>
      <c r="D6072" s="61"/>
      <c r="E6072" s="61"/>
      <c r="F6072" s="69"/>
      <c r="G6072" s="64"/>
      <c r="H6072" s="321"/>
      <c r="I6072" s="387"/>
      <c r="J6072" s="394"/>
      <c r="K6072" s="387"/>
      <c r="L6072" s="394"/>
      <c r="M6072" s="62"/>
      <c r="N6072" s="63"/>
      <c r="O6072" s="63"/>
      <c r="P6072" s="79" t="str">
        <f>IF(AND('331-CT'!$E$7=TH!H6072,OR(N6072="331",O6072="331")),"x","")</f>
        <v/>
      </c>
      <c r="Q6072" s="79" t="str">
        <f>IF(AND(B6072='111'!$L$11,OR($N6072=$Q$7,$O6072=$Q$7)),"x","")</f>
        <v/>
      </c>
      <c r="R6072" s="79" t="str">
        <f>IF(AND($N6072=$Q$7,$B6072&lt;'111'!$L$11),"x","")</f>
        <v/>
      </c>
      <c r="S6072" s="79" t="str">
        <f>IF(AND($O6072=$Q$7,$B6072&lt;'111'!$L$11),"x","")</f>
        <v/>
      </c>
      <c r="T6072" s="79" t="str">
        <f>IF(ISERROR(FIND('112'!$M$9,G6072,1)),"",IF((AND(FIND('112'!$M$9,G6072,1)&gt;=1,B6072='112'!$K$9,OR($N6072='112'!$I$6,$O6072='112'!$I$6))),"x",""))</f>
        <v/>
      </c>
      <c r="U6072" s="79" t="str">
        <f>IF(ISERROR(FIND('112'!$M$9,G6072,1)),"",IF((AND(LEFT(G6072,2)=LEFT('112'!$M$9,2),B6072&lt;'112'!$K$9,$N6072='112'!$I$6)),"x",""))</f>
        <v/>
      </c>
      <c r="V6072" s="79" t="str">
        <f>IF(ISERROR(FIND('112'!$M$9,G6072,1)),"",IF((AND(RIGHT(G6072,2)=RIGHT('112'!$M$9,2),B6072&lt;'112'!$K$9,$O6072='112'!$I$6)),"x",""))</f>
        <v/>
      </c>
      <c r="W6072" s="79" t="str">
        <f>IF(AND('341-CT'!$H$9=H6072,OR(LEFT(N6072,3)=$W$7,LEFT(O6072,3)=$W$7)),"x","")</f>
        <v/>
      </c>
      <c r="X6072" s="79" t="str">
        <f>IF(OR(TH!N6072=TH!$X$7,O6072=TH!$X$7),"x","")</f>
        <v/>
      </c>
      <c r="Y6072" s="79" t="str">
        <f>IF(AND(OR(N6072="131",O6072="131"),H6072='131-CT'!$H$9),"x","")</f>
        <v/>
      </c>
      <c r="Z6072" s="79"/>
      <c r="AA6072" s="79" t="str">
        <f>IF(AND(MONTH(E6072)='IN-NX'!$J$5,'IN-NX'!$D$7=D6072),"x","")</f>
        <v/>
      </c>
      <c r="AB6072" s="79" t="str">
        <f>IF(AND(OR(LEFT(TH!N6072,2)="15",LEFT(TH!O6072,2)="15"),LEFT(TH!O6072,3)&lt;&gt;"111",'152-CT'!$J$8=TH!F6072),"x","")</f>
        <v/>
      </c>
      <c r="AC6072" s="79" t="str">
        <f>IF(AND(OR(LEFT(TH!N6072,2)="15",LEFT(TH!O6072,2)="15"),TK!$E$7=TH!F6072),"x","")</f>
        <v/>
      </c>
      <c r="AD6072" s="79" t="str">
        <f>IF(AND(N6072="1521",MONTH(C6072)='BK-NL'!$M$11),"x","")</f>
        <v/>
      </c>
    </row>
    <row r="6073" spans="1:30" ht="16.5" customHeight="1">
      <c r="A6073" s="318" t="str">
        <f>IF(B6073&lt;&gt;"",IF(AND(B6073='IN-TC'!$S$4,OR(TH!N6073="1111",TH!O6073="1111")),TH!D6073,""),"")</f>
        <v/>
      </c>
      <c r="B6073" s="60" t="str">
        <f t="shared" si="515"/>
        <v/>
      </c>
      <c r="C6073" s="61"/>
      <c r="D6073" s="61"/>
      <c r="E6073" s="61"/>
      <c r="F6073" s="69"/>
      <c r="G6073" s="64"/>
      <c r="H6073" s="321"/>
      <c r="I6073" s="385"/>
      <c r="J6073" s="392"/>
      <c r="K6073" s="385"/>
      <c r="L6073" s="392"/>
      <c r="M6073" s="62"/>
      <c r="N6073" s="63"/>
      <c r="O6073" s="63"/>
      <c r="P6073" s="79" t="str">
        <f>IF(AND('331-CT'!$E$7=TH!H6073,OR(N6073="331",O6073="331")),"x","")</f>
        <v/>
      </c>
      <c r="Q6073" s="79" t="str">
        <f>IF(AND(B6073='111'!$L$11,OR($N6073=$Q$7,$O6073=$Q$7)),"x","")</f>
        <v/>
      </c>
      <c r="R6073" s="79" t="str">
        <f>IF(AND($N6073=$Q$7,$B6073&lt;'111'!$L$11),"x","")</f>
        <v/>
      </c>
      <c r="S6073" s="79" t="str">
        <f>IF(AND($O6073=$Q$7,$B6073&lt;'111'!$L$11),"x","")</f>
        <v/>
      </c>
      <c r="T6073" s="79" t="str">
        <f>IF(ISERROR(FIND('112'!$M$9,G6073,1)),"",IF((AND(FIND('112'!$M$9,G6073,1)&gt;=1,B6073='112'!$K$9,OR($N6073='112'!$I$6,$O6073='112'!$I$6))),"x",""))</f>
        <v/>
      </c>
      <c r="U6073" s="79" t="str">
        <f>IF(ISERROR(FIND('112'!$M$9,G6073,1)),"",IF((AND(LEFT(G6073,2)=LEFT('112'!$M$9,2),B6073&lt;'112'!$K$9,$N6073='112'!$I$6)),"x",""))</f>
        <v/>
      </c>
      <c r="V6073" s="79" t="str">
        <f>IF(ISERROR(FIND('112'!$M$9,G6073,1)),"",IF((AND(RIGHT(G6073,2)=RIGHT('112'!$M$9,2),B6073&lt;'112'!$K$9,$O6073='112'!$I$6)),"x",""))</f>
        <v/>
      </c>
      <c r="W6073" s="79" t="str">
        <f>IF(AND('341-CT'!$H$9=H6073,OR(LEFT(N6073,3)=$W$7,LEFT(O6073,3)=$W$7)),"x","")</f>
        <v/>
      </c>
      <c r="X6073" s="79" t="str">
        <f>IF(OR(TH!N6073=TH!$X$7,O6073=TH!$X$7),"x","")</f>
        <v/>
      </c>
      <c r="Y6073" s="79" t="str">
        <f>IF(AND(OR(N6073="131",O6073="131"),H6073='131-CT'!$H$9),"x","")</f>
        <v/>
      </c>
      <c r="Z6073" s="79"/>
      <c r="AA6073" s="79" t="str">
        <f>IF(AND(MONTH(E6073)='IN-NX'!$J$5,'IN-NX'!$D$7=D6073),"x","")</f>
        <v/>
      </c>
      <c r="AB6073" s="79" t="str">
        <f>IF(AND(OR(LEFT(TH!N6073,2)="15",LEFT(TH!O6073,2)="15"),LEFT(TH!O6073,3)&lt;&gt;"111",'152-CT'!$J$8=TH!F6073),"x","")</f>
        <v/>
      </c>
      <c r="AC6073" s="79" t="str">
        <f>IF(AND(OR(LEFT(TH!N6073,2)="15",LEFT(TH!O6073,2)="15"),TK!$E$7=TH!F6073),"x","")</f>
        <v/>
      </c>
      <c r="AD6073" s="79" t="str">
        <f>IF(AND(N6073="1521",MONTH(C6073)='BK-NL'!$M$11),"x","")</f>
        <v/>
      </c>
    </row>
    <row r="6074" spans="1:30" ht="16.5" customHeight="1">
      <c r="A6074" s="318" t="str">
        <f>IF(B6074&lt;&gt;"",IF(AND(B6074='IN-TC'!$S$4,OR(TH!N6074="1111",TH!O6074="1111")),TH!D6074,""),"")</f>
        <v/>
      </c>
      <c r="B6074" s="60" t="str">
        <f t="shared" si="515"/>
        <v/>
      </c>
      <c r="C6074" s="61"/>
      <c r="D6074" s="61"/>
      <c r="E6074" s="61"/>
      <c r="F6074" s="69"/>
      <c r="G6074" s="64"/>
      <c r="H6074" s="321"/>
      <c r="I6074" s="385"/>
      <c r="J6074" s="392"/>
      <c r="K6074" s="385"/>
      <c r="L6074" s="392"/>
      <c r="M6074" s="62"/>
      <c r="N6074" s="63"/>
      <c r="O6074" s="63"/>
      <c r="P6074" s="79" t="str">
        <f>IF(AND('331-CT'!$E$7=TH!H6074,OR(N6074="331",O6074="331")),"x","")</f>
        <v/>
      </c>
      <c r="Q6074" s="79" t="str">
        <f>IF(AND(B6074='111'!$L$11,OR($N6074=$Q$7,$O6074=$Q$7)),"x","")</f>
        <v/>
      </c>
      <c r="R6074" s="79" t="str">
        <f>IF(AND($N6074=$Q$7,$B6074&lt;'111'!$L$11),"x","")</f>
        <v/>
      </c>
      <c r="S6074" s="79" t="str">
        <f>IF(AND($O6074=$Q$7,$B6074&lt;'111'!$L$11),"x","")</f>
        <v/>
      </c>
      <c r="T6074" s="79" t="str">
        <f>IF(ISERROR(FIND('112'!$M$9,G6074,1)),"",IF((AND(FIND('112'!$M$9,G6074,1)&gt;=1,B6074='112'!$K$9,OR($N6074='112'!$I$6,$O6074='112'!$I$6))),"x",""))</f>
        <v/>
      </c>
      <c r="U6074" s="79" t="str">
        <f>IF(ISERROR(FIND('112'!$M$9,G6074,1)),"",IF((AND(LEFT(G6074,2)=LEFT('112'!$M$9,2),B6074&lt;'112'!$K$9,$N6074='112'!$I$6)),"x",""))</f>
        <v/>
      </c>
      <c r="V6074" s="79" t="str">
        <f>IF(ISERROR(FIND('112'!$M$9,G6074,1)),"",IF((AND(RIGHT(G6074,2)=RIGHT('112'!$M$9,2),B6074&lt;'112'!$K$9,$O6074='112'!$I$6)),"x",""))</f>
        <v/>
      </c>
      <c r="W6074" s="79" t="str">
        <f>IF(AND('341-CT'!$H$9=H6074,OR(LEFT(N6074,3)=$W$7,LEFT(O6074,3)=$W$7)),"x","")</f>
        <v/>
      </c>
      <c r="X6074" s="79" t="str">
        <f>IF(OR(TH!N6074=TH!$X$7,O6074=TH!$X$7),"x","")</f>
        <v/>
      </c>
      <c r="Y6074" s="79" t="str">
        <f>IF(AND(OR(N6074="131",O6074="131"),H6074='131-CT'!$H$9),"x","")</f>
        <v/>
      </c>
      <c r="Z6074" s="79"/>
      <c r="AA6074" s="79" t="str">
        <f>IF(AND(MONTH(E6074)='IN-NX'!$J$5,'IN-NX'!$D$7=D6074),"x","")</f>
        <v/>
      </c>
      <c r="AB6074" s="79" t="str">
        <f>IF(AND(OR(LEFT(TH!N6074,2)="15",LEFT(TH!O6074,2)="15"),LEFT(TH!O6074,3)&lt;&gt;"111",'152-CT'!$J$8=TH!F6074),"x","")</f>
        <v/>
      </c>
      <c r="AC6074" s="79" t="str">
        <f>IF(AND(OR(LEFT(TH!N6074,2)="15",LEFT(TH!O6074,2)="15"),TK!$E$7=TH!F6074),"x","")</f>
        <v/>
      </c>
      <c r="AD6074" s="79" t="str">
        <f>IF(AND(N6074="1521",MONTH(C6074)='BK-NL'!$M$11),"x","")</f>
        <v/>
      </c>
    </row>
    <row r="6075" spans="1:30" ht="16.5" customHeight="1">
      <c r="A6075" s="318" t="str">
        <f>IF(B6075&lt;&gt;"",IF(AND(B6075='IN-TC'!$S$4,OR(TH!N6075="1111",TH!O6075="1111")),TH!D6075,""),"")</f>
        <v/>
      </c>
      <c r="B6075" s="60" t="str">
        <f t="shared" si="515"/>
        <v/>
      </c>
      <c r="C6075" s="61"/>
      <c r="D6075" s="61"/>
      <c r="E6075" s="61"/>
      <c r="F6075" s="69"/>
      <c r="G6075" s="64"/>
      <c r="H6075" s="321"/>
      <c r="I6075" s="385"/>
      <c r="J6075" s="392"/>
      <c r="K6075" s="385"/>
      <c r="L6075" s="392"/>
      <c r="M6075" s="62"/>
      <c r="N6075" s="63"/>
      <c r="O6075" s="63"/>
      <c r="P6075" s="79" t="str">
        <f>IF(AND('331-CT'!$E$7=TH!H6075,OR(N6075="331",O6075="331")),"x","")</f>
        <v/>
      </c>
      <c r="Q6075" s="79" t="str">
        <f>IF(AND(B6075='111'!$L$11,OR($N6075=$Q$7,$O6075=$Q$7)),"x","")</f>
        <v/>
      </c>
      <c r="R6075" s="79" t="str">
        <f>IF(AND($N6075=$Q$7,$B6075&lt;'111'!$L$11),"x","")</f>
        <v/>
      </c>
      <c r="S6075" s="79" t="str">
        <f>IF(AND($O6075=$Q$7,$B6075&lt;'111'!$L$11),"x","")</f>
        <v/>
      </c>
      <c r="T6075" s="79" t="str">
        <f>IF(ISERROR(FIND('112'!$M$9,G6075,1)),"",IF((AND(FIND('112'!$M$9,G6075,1)&gt;=1,B6075='112'!$K$9,OR($N6075='112'!$I$6,$O6075='112'!$I$6))),"x",""))</f>
        <v/>
      </c>
      <c r="U6075" s="79" t="str">
        <f>IF(ISERROR(FIND('112'!$M$9,G6075,1)),"",IF((AND(LEFT(G6075,2)=LEFT('112'!$M$9,2),B6075&lt;'112'!$K$9,$N6075='112'!$I$6)),"x",""))</f>
        <v/>
      </c>
      <c r="V6075" s="79" t="str">
        <f>IF(ISERROR(FIND('112'!$M$9,G6075,1)),"",IF((AND(RIGHT(G6075,2)=RIGHT('112'!$M$9,2),B6075&lt;'112'!$K$9,$O6075='112'!$I$6)),"x",""))</f>
        <v/>
      </c>
      <c r="W6075" s="79" t="str">
        <f>IF(AND('341-CT'!$H$9=H6075,OR(LEFT(N6075,3)=$W$7,LEFT(O6075,3)=$W$7)),"x","")</f>
        <v/>
      </c>
      <c r="X6075" s="79" t="str">
        <f>IF(OR(TH!N6075=TH!$X$7,O6075=TH!$X$7),"x","")</f>
        <v/>
      </c>
      <c r="Y6075" s="79" t="str">
        <f>IF(AND(OR(N6075="131",O6075="131"),H6075='131-CT'!$H$9),"x","")</f>
        <v/>
      </c>
      <c r="Z6075" s="79"/>
      <c r="AA6075" s="79" t="str">
        <f>IF(AND(MONTH(E6075)='IN-NX'!$J$5,'IN-NX'!$D$7=D6075),"x","")</f>
        <v/>
      </c>
      <c r="AB6075" s="79" t="str">
        <f>IF(AND(OR(LEFT(TH!N6075,2)="15",LEFT(TH!O6075,2)="15"),LEFT(TH!O6075,3)&lt;&gt;"111",'152-CT'!$J$8=TH!F6075),"x","")</f>
        <v/>
      </c>
      <c r="AC6075" s="79" t="str">
        <f>IF(AND(OR(LEFT(TH!N6075,2)="15",LEFT(TH!O6075,2)="15"),TK!$E$7=TH!F6075),"x","")</f>
        <v/>
      </c>
      <c r="AD6075" s="79" t="str">
        <f>IF(AND(N6075="1521",MONTH(C6075)='BK-NL'!$M$11),"x","")</f>
        <v/>
      </c>
    </row>
    <row r="6076" spans="1:30" ht="16.5" customHeight="1">
      <c r="A6076" s="318" t="str">
        <f>IF(B6076&lt;&gt;"",IF(AND(B6076='IN-TC'!$S$4,OR(TH!N6076="1111",TH!O6076="1111")),TH!D6076,""),"")</f>
        <v/>
      </c>
      <c r="B6076" s="60" t="str">
        <f t="shared" si="515"/>
        <v/>
      </c>
      <c r="C6076" s="61"/>
      <c r="D6076" s="61"/>
      <c r="E6076" s="61"/>
      <c r="F6076" s="69"/>
      <c r="G6076" s="64"/>
      <c r="H6076" s="321"/>
      <c r="I6076" s="385"/>
      <c r="J6076" s="392"/>
      <c r="K6076" s="385"/>
      <c r="L6076" s="392"/>
      <c r="M6076" s="62"/>
      <c r="N6076" s="63"/>
      <c r="O6076" s="63"/>
      <c r="P6076" s="79" t="str">
        <f>IF(AND('331-CT'!$E$7=TH!H6076,OR(N6076="331",O6076="331")),"x","")</f>
        <v/>
      </c>
      <c r="Q6076" s="79" t="str">
        <f>IF(AND(B6076='111'!$L$11,OR($N6076=$Q$7,$O6076=$Q$7)),"x","")</f>
        <v/>
      </c>
      <c r="R6076" s="79" t="str">
        <f>IF(AND($N6076=$Q$7,$B6076&lt;'111'!$L$11),"x","")</f>
        <v/>
      </c>
      <c r="S6076" s="79" t="str">
        <f>IF(AND($O6076=$Q$7,$B6076&lt;'111'!$L$11),"x","")</f>
        <v/>
      </c>
      <c r="T6076" s="79" t="str">
        <f>IF(ISERROR(FIND('112'!$M$9,G6076,1)),"",IF((AND(FIND('112'!$M$9,G6076,1)&gt;=1,B6076='112'!$K$9,OR($N6076='112'!$I$6,$O6076='112'!$I$6))),"x",""))</f>
        <v/>
      </c>
      <c r="U6076" s="79" t="str">
        <f>IF(ISERROR(FIND('112'!$M$9,G6076,1)),"",IF((AND(LEFT(G6076,2)=LEFT('112'!$M$9,2),B6076&lt;'112'!$K$9,$N6076='112'!$I$6)),"x",""))</f>
        <v/>
      </c>
      <c r="V6076" s="79" t="str">
        <f>IF(ISERROR(FIND('112'!$M$9,G6076,1)),"",IF((AND(RIGHT(G6076,2)=RIGHT('112'!$M$9,2),B6076&lt;'112'!$K$9,$O6076='112'!$I$6)),"x",""))</f>
        <v/>
      </c>
      <c r="W6076" s="79" t="str">
        <f>IF(AND('341-CT'!$H$9=H6076,OR(LEFT(N6076,3)=$W$7,LEFT(O6076,3)=$W$7)),"x","")</f>
        <v/>
      </c>
      <c r="X6076" s="79" t="str">
        <f>IF(OR(TH!N6076=TH!$X$7,O6076=TH!$X$7),"x","")</f>
        <v/>
      </c>
      <c r="Y6076" s="79" t="str">
        <f>IF(AND(OR(N6076="131",O6076="131"),H6076='131-CT'!$H$9),"x","")</f>
        <v/>
      </c>
      <c r="Z6076" s="79"/>
      <c r="AA6076" s="79" t="str">
        <f>IF(AND(MONTH(E6076)='IN-NX'!$J$5,'IN-NX'!$D$7=D6076),"x","")</f>
        <v/>
      </c>
      <c r="AB6076" s="79" t="str">
        <f>IF(AND(OR(LEFT(TH!N6076,2)="15",LEFT(TH!O6076,2)="15"),LEFT(TH!O6076,3)&lt;&gt;"111",'152-CT'!$J$8=TH!F6076),"x","")</f>
        <v/>
      </c>
      <c r="AC6076" s="79" t="str">
        <f>IF(AND(OR(LEFT(TH!N6076,2)="15",LEFT(TH!O6076,2)="15"),TK!$E$7=TH!F6076),"x","")</f>
        <v/>
      </c>
      <c r="AD6076" s="79" t="str">
        <f>IF(AND(N6076="1521",MONTH(C6076)='BK-NL'!$M$11),"x","")</f>
        <v/>
      </c>
    </row>
    <row r="6077" spans="1:30" ht="16.5" customHeight="1">
      <c r="A6077" s="318" t="str">
        <f>IF(B6077&lt;&gt;"",IF(AND(B6077='IN-TC'!$S$4,OR(TH!N6077="1111",TH!O6077="1111")),TH!D6077,""),"")</f>
        <v/>
      </c>
      <c r="B6077" s="60" t="str">
        <f t="shared" si="515"/>
        <v/>
      </c>
      <c r="C6077" s="61"/>
      <c r="D6077" s="61"/>
      <c r="E6077" s="61"/>
      <c r="F6077" s="69"/>
      <c r="G6077" s="64"/>
      <c r="H6077" s="321"/>
      <c r="I6077" s="387"/>
      <c r="J6077" s="394"/>
      <c r="K6077" s="387"/>
      <c r="L6077" s="394"/>
      <c r="M6077" s="62"/>
      <c r="N6077" s="63"/>
      <c r="O6077" s="63"/>
      <c r="P6077" s="79" t="str">
        <f>IF(AND('331-CT'!$E$7=TH!H6077,OR(N6077="331",O6077="331")),"x","")</f>
        <v/>
      </c>
      <c r="Q6077" s="79" t="str">
        <f>IF(AND(B6077='111'!$L$11,OR($N6077=$Q$7,$O6077=$Q$7)),"x","")</f>
        <v/>
      </c>
      <c r="R6077" s="79" t="str">
        <f>IF(AND($N6077=$Q$7,$B6077&lt;'111'!$L$11),"x","")</f>
        <v/>
      </c>
      <c r="S6077" s="79" t="str">
        <f>IF(AND($O6077=$Q$7,$B6077&lt;'111'!$L$11),"x","")</f>
        <v/>
      </c>
      <c r="T6077" s="79" t="str">
        <f>IF(ISERROR(FIND('112'!$M$9,G6077,1)),"",IF((AND(FIND('112'!$M$9,G6077,1)&gt;=1,B6077='112'!$K$9,OR($N6077='112'!$I$6,$O6077='112'!$I$6))),"x",""))</f>
        <v/>
      </c>
      <c r="U6077" s="79" t="str">
        <f>IF(ISERROR(FIND('112'!$M$9,G6077,1)),"",IF((AND(LEFT(G6077,2)=LEFT('112'!$M$9,2),B6077&lt;'112'!$K$9,$N6077='112'!$I$6)),"x",""))</f>
        <v/>
      </c>
      <c r="V6077" s="79" t="str">
        <f>IF(ISERROR(FIND('112'!$M$9,G6077,1)),"",IF((AND(RIGHT(G6077,2)=RIGHT('112'!$M$9,2),B6077&lt;'112'!$K$9,$O6077='112'!$I$6)),"x",""))</f>
        <v/>
      </c>
      <c r="W6077" s="79" t="str">
        <f>IF(AND('341-CT'!$H$9=H6077,OR(LEFT(N6077,3)=$W$7,LEFT(O6077,3)=$W$7)),"x","")</f>
        <v/>
      </c>
      <c r="X6077" s="79" t="str">
        <f>IF(OR(TH!N6077=TH!$X$7,O6077=TH!$X$7),"x","")</f>
        <v/>
      </c>
      <c r="Y6077" s="79" t="str">
        <f>IF(AND(OR(N6077="131",O6077="131"),H6077='131-CT'!$H$9),"x","")</f>
        <v/>
      </c>
      <c r="Z6077" s="79"/>
      <c r="AA6077" s="79" t="str">
        <f>IF(AND(MONTH(E6077)='IN-NX'!$J$5,'IN-NX'!$D$7=D6077),"x","")</f>
        <v/>
      </c>
      <c r="AB6077" s="79" t="str">
        <f>IF(AND(OR(LEFT(TH!N6077,2)="15",LEFT(TH!O6077,2)="15"),LEFT(TH!O6077,3)&lt;&gt;"111",'152-CT'!$J$8=TH!F6077),"x","")</f>
        <v/>
      </c>
      <c r="AC6077" s="79" t="str">
        <f>IF(AND(OR(LEFT(TH!N6077,2)="15",LEFT(TH!O6077,2)="15"),TK!$E$7=TH!F6077),"x","")</f>
        <v/>
      </c>
      <c r="AD6077" s="79" t="str">
        <f>IF(AND(N6077="1521",MONTH(C6077)='BK-NL'!$M$11),"x","")</f>
        <v/>
      </c>
    </row>
    <row r="6078" spans="1:30" ht="16.5" customHeight="1">
      <c r="A6078" s="318" t="str">
        <f>IF(B6078&lt;&gt;"",IF(AND(B6078='IN-TC'!$S$4,OR(TH!N6078="1111",TH!O6078="1111")),TH!D6078,""),"")</f>
        <v/>
      </c>
      <c r="B6078" s="60" t="str">
        <f t="shared" si="515"/>
        <v/>
      </c>
      <c r="C6078" s="61"/>
      <c r="D6078" s="61"/>
      <c r="E6078" s="61"/>
      <c r="F6078" s="69"/>
      <c r="G6078" s="64"/>
      <c r="H6078" s="321"/>
      <c r="I6078" s="385"/>
      <c r="J6078" s="392"/>
      <c r="K6078" s="385"/>
      <c r="L6078" s="392"/>
      <c r="M6078" s="62"/>
      <c r="N6078" s="63"/>
      <c r="O6078" s="63"/>
      <c r="P6078" s="79" t="str">
        <f>IF(AND('331-CT'!$E$7=TH!H6078,OR(N6078="331",O6078="331")),"x","")</f>
        <v/>
      </c>
      <c r="Q6078" s="79" t="str">
        <f>IF(AND(B6078='111'!$L$11,OR($N6078=$Q$7,$O6078=$Q$7)),"x","")</f>
        <v/>
      </c>
      <c r="R6078" s="79" t="str">
        <f>IF(AND($N6078=$Q$7,$B6078&lt;'111'!$L$11),"x","")</f>
        <v/>
      </c>
      <c r="S6078" s="79" t="str">
        <f>IF(AND($O6078=$Q$7,$B6078&lt;'111'!$L$11),"x","")</f>
        <v/>
      </c>
      <c r="T6078" s="79" t="str">
        <f>IF(ISERROR(FIND('112'!$M$9,G6078,1)),"",IF((AND(FIND('112'!$M$9,G6078,1)&gt;=1,B6078='112'!$K$9,OR($N6078='112'!$I$6,$O6078='112'!$I$6))),"x",""))</f>
        <v/>
      </c>
      <c r="U6078" s="79" t="str">
        <f>IF(ISERROR(FIND('112'!$M$9,G6078,1)),"",IF((AND(LEFT(G6078,2)=LEFT('112'!$M$9,2),B6078&lt;'112'!$K$9,$N6078='112'!$I$6)),"x",""))</f>
        <v/>
      </c>
      <c r="V6078" s="79" t="str">
        <f>IF(ISERROR(FIND('112'!$M$9,G6078,1)),"",IF((AND(RIGHT(G6078,2)=RIGHT('112'!$M$9,2),B6078&lt;'112'!$K$9,$O6078='112'!$I$6)),"x",""))</f>
        <v/>
      </c>
      <c r="W6078" s="79" t="str">
        <f>IF(AND('341-CT'!$H$9=H6078,OR(LEFT(N6078,3)=$W$7,LEFT(O6078,3)=$W$7)),"x","")</f>
        <v/>
      </c>
      <c r="X6078" s="79" t="str">
        <f>IF(OR(TH!N6078=TH!$X$7,O6078=TH!$X$7),"x","")</f>
        <v/>
      </c>
      <c r="Y6078" s="79" t="str">
        <f>IF(AND(OR(N6078="131",O6078="131"),H6078='131-CT'!$H$9),"x","")</f>
        <v/>
      </c>
      <c r="Z6078" s="79"/>
      <c r="AA6078" s="79" t="str">
        <f>IF(AND(MONTH(E6078)='IN-NX'!$J$5,'IN-NX'!$D$7=D6078),"x","")</f>
        <v/>
      </c>
      <c r="AB6078" s="79" t="str">
        <f>IF(AND(OR(LEFT(TH!N6078,2)="15",LEFT(TH!O6078,2)="15"),LEFT(TH!O6078,3)&lt;&gt;"111",'152-CT'!$J$8=TH!F6078),"x","")</f>
        <v/>
      </c>
      <c r="AC6078" s="79" t="str">
        <f>IF(AND(OR(LEFT(TH!N6078,2)="15",LEFT(TH!O6078,2)="15"),TK!$E$7=TH!F6078),"x","")</f>
        <v/>
      </c>
      <c r="AD6078" s="79" t="str">
        <f>IF(AND(N6078="1521",MONTH(C6078)='BK-NL'!$M$11),"x","")</f>
        <v/>
      </c>
    </row>
    <row r="6079" spans="1:30" ht="16.5" customHeight="1">
      <c r="A6079" s="318" t="str">
        <f>IF(B6079&lt;&gt;"",IF(AND(B6079='IN-TC'!$S$4,OR(TH!N6079="1111",TH!O6079="1111")),TH!D6079,""),"")</f>
        <v/>
      </c>
      <c r="B6079" s="60" t="str">
        <f t="shared" si="515"/>
        <v/>
      </c>
      <c r="C6079" s="61"/>
      <c r="D6079" s="61"/>
      <c r="E6079" s="61"/>
      <c r="F6079" s="69"/>
      <c r="G6079" s="64"/>
      <c r="H6079" s="321"/>
      <c r="I6079" s="385"/>
      <c r="J6079" s="392"/>
      <c r="K6079" s="385"/>
      <c r="L6079" s="392"/>
      <c r="M6079" s="62"/>
      <c r="N6079" s="63"/>
      <c r="O6079" s="63"/>
      <c r="P6079" s="79" t="str">
        <f>IF(AND('331-CT'!$E$7=TH!H6079,OR(N6079="331",O6079="331")),"x","")</f>
        <v/>
      </c>
      <c r="Q6079" s="79" t="str">
        <f>IF(AND(B6079='111'!$L$11,OR($N6079=$Q$7,$O6079=$Q$7)),"x","")</f>
        <v/>
      </c>
      <c r="R6079" s="79" t="str">
        <f>IF(AND($N6079=$Q$7,$B6079&lt;'111'!$L$11),"x","")</f>
        <v/>
      </c>
      <c r="S6079" s="79" t="str">
        <f>IF(AND($O6079=$Q$7,$B6079&lt;'111'!$L$11),"x","")</f>
        <v/>
      </c>
      <c r="T6079" s="79" t="str">
        <f>IF(ISERROR(FIND('112'!$M$9,G6079,1)),"",IF((AND(FIND('112'!$M$9,G6079,1)&gt;=1,B6079='112'!$K$9,OR($N6079='112'!$I$6,$O6079='112'!$I$6))),"x",""))</f>
        <v/>
      </c>
      <c r="U6079" s="79" t="str">
        <f>IF(ISERROR(FIND('112'!$M$9,G6079,1)),"",IF((AND(LEFT(G6079,2)=LEFT('112'!$M$9,2),B6079&lt;'112'!$K$9,$N6079='112'!$I$6)),"x",""))</f>
        <v/>
      </c>
      <c r="V6079" s="79" t="str">
        <f>IF(ISERROR(FIND('112'!$M$9,G6079,1)),"",IF((AND(RIGHT(G6079,2)=RIGHT('112'!$M$9,2),B6079&lt;'112'!$K$9,$O6079='112'!$I$6)),"x",""))</f>
        <v/>
      </c>
      <c r="W6079" s="79" t="str">
        <f>IF(AND('341-CT'!$H$9=H6079,OR(LEFT(N6079,3)=$W$7,LEFT(O6079,3)=$W$7)),"x","")</f>
        <v/>
      </c>
      <c r="X6079" s="79" t="str">
        <f>IF(OR(TH!N6079=TH!$X$7,O6079=TH!$X$7),"x","")</f>
        <v/>
      </c>
      <c r="Y6079" s="79" t="str">
        <f>IF(AND(OR(N6079="131",O6079="131"),H6079='131-CT'!$H$9),"x","")</f>
        <v/>
      </c>
      <c r="Z6079" s="79"/>
      <c r="AA6079" s="79" t="str">
        <f>IF(AND(MONTH(E6079)='IN-NX'!$J$5,'IN-NX'!$D$7=D6079),"x","")</f>
        <v/>
      </c>
      <c r="AB6079" s="79" t="str">
        <f>IF(AND(OR(LEFT(TH!N6079,2)="15",LEFT(TH!O6079,2)="15"),LEFT(TH!O6079,3)&lt;&gt;"111",'152-CT'!$J$8=TH!F6079),"x","")</f>
        <v/>
      </c>
      <c r="AC6079" s="79" t="str">
        <f>IF(AND(OR(LEFT(TH!N6079,2)="15",LEFT(TH!O6079,2)="15"),TK!$E$7=TH!F6079),"x","")</f>
        <v/>
      </c>
      <c r="AD6079" s="79" t="str">
        <f>IF(AND(N6079="1521",MONTH(C6079)='BK-NL'!$M$11),"x","")</f>
        <v/>
      </c>
    </row>
    <row r="6080" spans="1:30" ht="16.5" customHeight="1">
      <c r="A6080" s="318" t="str">
        <f>IF(B6080&lt;&gt;"",IF(AND(B6080='IN-TC'!$S$4,OR(TH!N6080="1111",TH!O6080="1111")),TH!D6080,""),"")</f>
        <v/>
      </c>
      <c r="B6080" s="60" t="str">
        <f t="shared" si="515"/>
        <v/>
      </c>
      <c r="C6080" s="61"/>
      <c r="D6080" s="61"/>
      <c r="E6080" s="61"/>
      <c r="F6080" s="69"/>
      <c r="G6080" s="64"/>
      <c r="H6080" s="321"/>
      <c r="I6080" s="385"/>
      <c r="J6080" s="392"/>
      <c r="K6080" s="385"/>
      <c r="L6080" s="392"/>
      <c r="M6080" s="62"/>
      <c r="N6080" s="63"/>
      <c r="O6080" s="63"/>
      <c r="P6080" s="79" t="str">
        <f>IF(AND('331-CT'!$E$7=TH!H6080,OR(N6080="331",O6080="331")),"x","")</f>
        <v/>
      </c>
      <c r="Q6080" s="79" t="str">
        <f>IF(AND(B6080='111'!$L$11,OR($N6080=$Q$7,$O6080=$Q$7)),"x","")</f>
        <v/>
      </c>
      <c r="R6080" s="79" t="str">
        <f>IF(AND($N6080=$Q$7,$B6080&lt;'111'!$L$11),"x","")</f>
        <v/>
      </c>
      <c r="S6080" s="79" t="str">
        <f>IF(AND($O6080=$Q$7,$B6080&lt;'111'!$L$11),"x","")</f>
        <v/>
      </c>
      <c r="T6080" s="79" t="str">
        <f>IF(ISERROR(FIND('112'!$M$9,G6080,1)),"",IF((AND(FIND('112'!$M$9,G6080,1)&gt;=1,B6080='112'!$K$9,OR($N6080='112'!$I$6,$O6080='112'!$I$6))),"x",""))</f>
        <v/>
      </c>
      <c r="U6080" s="79" t="str">
        <f>IF(ISERROR(FIND('112'!$M$9,G6080,1)),"",IF((AND(LEFT(G6080,2)=LEFT('112'!$M$9,2),B6080&lt;'112'!$K$9,$N6080='112'!$I$6)),"x",""))</f>
        <v/>
      </c>
      <c r="V6080" s="79" t="str">
        <f>IF(ISERROR(FIND('112'!$M$9,G6080,1)),"",IF((AND(RIGHT(G6080,2)=RIGHT('112'!$M$9,2),B6080&lt;'112'!$K$9,$O6080='112'!$I$6)),"x",""))</f>
        <v/>
      </c>
      <c r="W6080" s="79" t="str">
        <f>IF(AND('341-CT'!$H$9=H6080,OR(LEFT(N6080,3)=$W$7,LEFT(O6080,3)=$W$7)),"x","")</f>
        <v/>
      </c>
      <c r="X6080" s="79" t="str">
        <f>IF(OR(TH!N6080=TH!$X$7,O6080=TH!$X$7),"x","")</f>
        <v/>
      </c>
      <c r="Y6080" s="79" t="str">
        <f>IF(AND(OR(N6080="131",O6080="131"),H6080='131-CT'!$H$9),"x","")</f>
        <v/>
      </c>
      <c r="Z6080" s="79"/>
      <c r="AA6080" s="79" t="str">
        <f>IF(AND(MONTH(E6080)='IN-NX'!$J$5,'IN-NX'!$D$7=D6080),"x","")</f>
        <v/>
      </c>
      <c r="AB6080" s="79" t="str">
        <f>IF(AND(OR(LEFT(TH!N6080,2)="15",LEFT(TH!O6080,2)="15"),LEFT(TH!O6080,3)&lt;&gt;"111",'152-CT'!$J$8=TH!F6080),"x","")</f>
        <v/>
      </c>
      <c r="AC6080" s="79" t="str">
        <f>IF(AND(OR(LEFT(TH!N6080,2)="15",LEFT(TH!O6080,2)="15"),TK!$E$7=TH!F6080),"x","")</f>
        <v/>
      </c>
      <c r="AD6080" s="79" t="str">
        <f>IF(AND(N6080="1521",MONTH(C6080)='BK-NL'!$M$11),"x","")</f>
        <v/>
      </c>
    </row>
    <row r="6081" spans="1:30" ht="16.5" customHeight="1">
      <c r="A6081" s="318" t="str">
        <f>IF(B6081&lt;&gt;"",IF(AND(B6081='IN-TC'!$S$4,OR(TH!N6081="1111",TH!O6081="1111")),TH!D6081,""),"")</f>
        <v/>
      </c>
      <c r="B6081" s="60" t="str">
        <f t="shared" si="515"/>
        <v/>
      </c>
      <c r="C6081" s="61"/>
      <c r="D6081" s="61"/>
      <c r="E6081" s="61"/>
      <c r="F6081" s="69"/>
      <c r="G6081" s="64"/>
      <c r="H6081" s="321"/>
      <c r="I6081" s="385"/>
      <c r="J6081" s="392"/>
      <c r="K6081" s="385"/>
      <c r="L6081" s="392"/>
      <c r="M6081" s="62"/>
      <c r="N6081" s="63"/>
      <c r="O6081" s="63"/>
      <c r="P6081" s="79" t="str">
        <f>IF(AND('331-CT'!$E$7=TH!H6081,OR(N6081="331",O6081="331")),"x","")</f>
        <v/>
      </c>
      <c r="Q6081" s="79" t="str">
        <f>IF(AND(B6081='111'!$L$11,OR($N6081=$Q$7,$O6081=$Q$7)),"x","")</f>
        <v/>
      </c>
      <c r="R6081" s="79" t="str">
        <f>IF(AND($N6081=$Q$7,$B6081&lt;'111'!$L$11),"x","")</f>
        <v/>
      </c>
      <c r="S6081" s="79" t="str">
        <f>IF(AND($O6081=$Q$7,$B6081&lt;'111'!$L$11),"x","")</f>
        <v/>
      </c>
      <c r="T6081" s="79" t="str">
        <f>IF(ISERROR(FIND('112'!$M$9,G6081,1)),"",IF((AND(FIND('112'!$M$9,G6081,1)&gt;=1,B6081='112'!$K$9,OR($N6081='112'!$I$6,$O6081='112'!$I$6))),"x",""))</f>
        <v/>
      </c>
      <c r="U6081" s="79" t="str">
        <f>IF(ISERROR(FIND('112'!$M$9,G6081,1)),"",IF((AND(LEFT(G6081,2)=LEFT('112'!$M$9,2),B6081&lt;'112'!$K$9,$N6081='112'!$I$6)),"x",""))</f>
        <v/>
      </c>
      <c r="V6081" s="79" t="str">
        <f>IF(ISERROR(FIND('112'!$M$9,G6081,1)),"",IF((AND(RIGHT(G6081,2)=RIGHT('112'!$M$9,2),B6081&lt;'112'!$K$9,$O6081='112'!$I$6)),"x",""))</f>
        <v/>
      </c>
      <c r="W6081" s="79" t="str">
        <f>IF(AND('341-CT'!$H$9=H6081,OR(LEFT(N6081,3)=$W$7,LEFT(O6081,3)=$W$7)),"x","")</f>
        <v/>
      </c>
      <c r="X6081" s="79" t="str">
        <f>IF(OR(TH!N6081=TH!$X$7,O6081=TH!$X$7),"x","")</f>
        <v/>
      </c>
      <c r="Y6081" s="79" t="str">
        <f>IF(AND(OR(N6081="131",O6081="131"),H6081='131-CT'!$H$9),"x","")</f>
        <v/>
      </c>
      <c r="Z6081" s="79"/>
      <c r="AA6081" s="79" t="str">
        <f>IF(AND(MONTH(E6081)='IN-NX'!$J$5,'IN-NX'!$D$7=D6081),"x","")</f>
        <v/>
      </c>
      <c r="AB6081" s="79" t="str">
        <f>IF(AND(OR(LEFT(TH!N6081,2)="15",LEFT(TH!O6081,2)="15"),LEFT(TH!O6081,3)&lt;&gt;"111",'152-CT'!$J$8=TH!F6081),"x","")</f>
        <v/>
      </c>
      <c r="AC6081" s="79" t="str">
        <f>IF(AND(OR(LEFT(TH!N6081,2)="15",LEFT(TH!O6081,2)="15"),TK!$E$7=TH!F6081),"x","")</f>
        <v/>
      </c>
      <c r="AD6081" s="79" t="str">
        <f>IF(AND(N6081="1521",MONTH(C6081)='BK-NL'!$M$11),"x","")</f>
        <v/>
      </c>
    </row>
    <row r="6082" spans="1:30" ht="16.5" customHeight="1">
      <c r="A6082" s="318" t="str">
        <f>IF(B6082&lt;&gt;"",IF(AND(B6082='IN-TC'!$S$4,OR(TH!N6082="1111",TH!O6082="1111")),TH!D6082,""),"")</f>
        <v/>
      </c>
      <c r="B6082" s="60" t="str">
        <f t="shared" si="515"/>
        <v/>
      </c>
      <c r="C6082" s="61"/>
      <c r="D6082" s="61"/>
      <c r="E6082" s="61"/>
      <c r="F6082" s="69"/>
      <c r="G6082" s="64"/>
      <c r="H6082" s="321"/>
      <c r="I6082" s="387"/>
      <c r="J6082" s="394"/>
      <c r="K6082" s="387"/>
      <c r="L6082" s="394"/>
      <c r="M6082" s="62"/>
      <c r="N6082" s="63"/>
      <c r="O6082" s="63"/>
      <c r="P6082" s="79" t="str">
        <f>IF(AND('331-CT'!$E$7=TH!H6082,OR(N6082="331",O6082="331")),"x","")</f>
        <v/>
      </c>
      <c r="Q6082" s="79" t="str">
        <f>IF(AND(B6082='111'!$L$11,OR($N6082=$Q$7,$O6082=$Q$7)),"x","")</f>
        <v/>
      </c>
      <c r="R6082" s="79" t="str">
        <f>IF(AND($N6082=$Q$7,$B6082&lt;'111'!$L$11),"x","")</f>
        <v/>
      </c>
      <c r="S6082" s="79" t="str">
        <f>IF(AND($O6082=$Q$7,$B6082&lt;'111'!$L$11),"x","")</f>
        <v/>
      </c>
      <c r="T6082" s="79" t="str">
        <f>IF(ISERROR(FIND('112'!$M$9,G6082,1)),"",IF((AND(FIND('112'!$M$9,G6082,1)&gt;=1,B6082='112'!$K$9,OR($N6082='112'!$I$6,$O6082='112'!$I$6))),"x",""))</f>
        <v/>
      </c>
      <c r="U6082" s="79" t="str">
        <f>IF(ISERROR(FIND('112'!$M$9,G6082,1)),"",IF((AND(LEFT(G6082,2)=LEFT('112'!$M$9,2),B6082&lt;'112'!$K$9,$N6082='112'!$I$6)),"x",""))</f>
        <v/>
      </c>
      <c r="V6082" s="79" t="str">
        <f>IF(ISERROR(FIND('112'!$M$9,G6082,1)),"",IF((AND(RIGHT(G6082,2)=RIGHT('112'!$M$9,2),B6082&lt;'112'!$K$9,$O6082='112'!$I$6)),"x",""))</f>
        <v/>
      </c>
      <c r="W6082" s="79" t="str">
        <f>IF(AND('341-CT'!$H$9=H6082,OR(LEFT(N6082,3)=$W$7,LEFT(O6082,3)=$W$7)),"x","")</f>
        <v/>
      </c>
      <c r="X6082" s="79" t="str">
        <f>IF(OR(TH!N6082=TH!$X$7,O6082=TH!$X$7),"x","")</f>
        <v/>
      </c>
      <c r="Y6082" s="79" t="str">
        <f>IF(AND(OR(N6082="131",O6082="131"),H6082='131-CT'!$H$9),"x","")</f>
        <v/>
      </c>
      <c r="Z6082" s="79"/>
      <c r="AA6082" s="79" t="str">
        <f>IF(AND(MONTH(E6082)='IN-NX'!$J$5,'IN-NX'!$D$7=D6082),"x","")</f>
        <v/>
      </c>
      <c r="AB6082" s="79" t="str">
        <f>IF(AND(OR(LEFT(TH!N6082,2)="15",LEFT(TH!O6082,2)="15"),LEFT(TH!O6082,3)&lt;&gt;"111",'152-CT'!$J$8=TH!F6082),"x","")</f>
        <v/>
      </c>
      <c r="AC6082" s="79" t="str">
        <f>IF(AND(OR(LEFT(TH!N6082,2)="15",LEFT(TH!O6082,2)="15"),TK!$E$7=TH!F6082),"x","")</f>
        <v/>
      </c>
      <c r="AD6082" s="79" t="str">
        <f>IF(AND(N6082="1521",MONTH(C6082)='BK-NL'!$M$11),"x","")</f>
        <v/>
      </c>
    </row>
    <row r="6083" spans="1:30" ht="16.5" customHeight="1">
      <c r="A6083" s="318" t="str">
        <f>IF(B6083&lt;&gt;"",IF(AND(B6083='IN-TC'!$S$4,OR(TH!N6083="1111",TH!O6083="1111")),TH!D6083,""),"")</f>
        <v/>
      </c>
      <c r="B6083" s="60" t="str">
        <f t="shared" ref="B6083:B6146" si="516">IF(C6083&lt;&gt;"",MONTH(C6083),"")</f>
        <v/>
      </c>
      <c r="C6083" s="61"/>
      <c r="D6083" s="61"/>
      <c r="E6083" s="61"/>
      <c r="F6083" s="69"/>
      <c r="G6083" s="64"/>
      <c r="H6083" s="321"/>
      <c r="I6083" s="385"/>
      <c r="J6083" s="392"/>
      <c r="K6083" s="385"/>
      <c r="L6083" s="392"/>
      <c r="M6083" s="62"/>
      <c r="N6083" s="63"/>
      <c r="O6083" s="63"/>
      <c r="P6083" s="79" t="str">
        <f>IF(AND('331-CT'!$E$7=TH!H6083,OR(N6083="331",O6083="331")),"x","")</f>
        <v/>
      </c>
      <c r="Q6083" s="79" t="str">
        <f>IF(AND(B6083='111'!$L$11,OR($N6083=$Q$7,$O6083=$Q$7)),"x","")</f>
        <v/>
      </c>
      <c r="R6083" s="79" t="str">
        <f>IF(AND($N6083=$Q$7,$B6083&lt;'111'!$L$11),"x","")</f>
        <v/>
      </c>
      <c r="S6083" s="79" t="str">
        <f>IF(AND($O6083=$Q$7,$B6083&lt;'111'!$L$11),"x","")</f>
        <v/>
      </c>
      <c r="T6083" s="79" t="str">
        <f>IF(ISERROR(FIND('112'!$M$9,G6083,1)),"",IF((AND(FIND('112'!$M$9,G6083,1)&gt;=1,B6083='112'!$K$9,OR($N6083='112'!$I$6,$O6083='112'!$I$6))),"x",""))</f>
        <v/>
      </c>
      <c r="U6083" s="79" t="str">
        <f>IF(ISERROR(FIND('112'!$M$9,G6083,1)),"",IF((AND(LEFT(G6083,2)=LEFT('112'!$M$9,2),B6083&lt;'112'!$K$9,$N6083='112'!$I$6)),"x",""))</f>
        <v/>
      </c>
      <c r="V6083" s="79" t="str">
        <f>IF(ISERROR(FIND('112'!$M$9,G6083,1)),"",IF((AND(RIGHT(G6083,2)=RIGHT('112'!$M$9,2),B6083&lt;'112'!$K$9,$O6083='112'!$I$6)),"x",""))</f>
        <v/>
      </c>
      <c r="W6083" s="79" t="str">
        <f>IF(AND('341-CT'!$H$9=H6083,OR(LEFT(N6083,3)=$W$7,LEFT(O6083,3)=$W$7)),"x","")</f>
        <v/>
      </c>
      <c r="X6083" s="79" t="str">
        <f>IF(OR(TH!N6083=TH!$X$7,O6083=TH!$X$7),"x","")</f>
        <v/>
      </c>
      <c r="Y6083" s="79" t="str">
        <f>IF(AND(OR(N6083="131",O6083="131"),H6083='131-CT'!$H$9),"x","")</f>
        <v/>
      </c>
      <c r="Z6083" s="79"/>
      <c r="AA6083" s="79" t="str">
        <f>IF(AND(MONTH(E6083)='IN-NX'!$J$5,'IN-NX'!$D$7=D6083),"x","")</f>
        <v/>
      </c>
      <c r="AB6083" s="79" t="str">
        <f>IF(AND(OR(LEFT(TH!N6083,2)="15",LEFT(TH!O6083,2)="15"),LEFT(TH!O6083,3)&lt;&gt;"111",'152-CT'!$J$8=TH!F6083),"x","")</f>
        <v/>
      </c>
      <c r="AC6083" s="79" t="str">
        <f>IF(AND(OR(LEFT(TH!N6083,2)="15",LEFT(TH!O6083,2)="15"),TK!$E$7=TH!F6083),"x","")</f>
        <v/>
      </c>
      <c r="AD6083" s="79" t="str">
        <f>IF(AND(N6083="1521",MONTH(C6083)='BK-NL'!$M$11),"x","")</f>
        <v/>
      </c>
    </row>
    <row r="6084" spans="1:30" ht="16.5" customHeight="1">
      <c r="A6084" s="318" t="str">
        <f>IF(B6084&lt;&gt;"",IF(AND(B6084='IN-TC'!$S$4,OR(TH!N6084="1111",TH!O6084="1111")),TH!D6084,""),"")</f>
        <v/>
      </c>
      <c r="B6084" s="60" t="str">
        <f t="shared" si="516"/>
        <v/>
      </c>
      <c r="C6084" s="61"/>
      <c r="D6084" s="61"/>
      <c r="E6084" s="61"/>
      <c r="F6084" s="69"/>
      <c r="G6084" s="64"/>
      <c r="H6084" s="321"/>
      <c r="I6084" s="385"/>
      <c r="J6084" s="392"/>
      <c r="K6084" s="385"/>
      <c r="L6084" s="392"/>
      <c r="M6084" s="62"/>
      <c r="N6084" s="63"/>
      <c r="O6084" s="63"/>
      <c r="P6084" s="79" t="str">
        <f>IF(AND('331-CT'!$E$7=TH!H6084,OR(N6084="331",O6084="331")),"x","")</f>
        <v/>
      </c>
      <c r="Q6084" s="79" t="str">
        <f>IF(AND(B6084='111'!$L$11,OR($N6084=$Q$7,$O6084=$Q$7)),"x","")</f>
        <v/>
      </c>
      <c r="R6084" s="79" t="str">
        <f>IF(AND($N6084=$Q$7,$B6084&lt;'111'!$L$11),"x","")</f>
        <v/>
      </c>
      <c r="S6084" s="79" t="str">
        <f>IF(AND($O6084=$Q$7,$B6084&lt;'111'!$L$11),"x","")</f>
        <v/>
      </c>
      <c r="T6084" s="79" t="str">
        <f>IF(ISERROR(FIND('112'!$M$9,G6084,1)),"",IF((AND(FIND('112'!$M$9,G6084,1)&gt;=1,B6084='112'!$K$9,OR($N6084='112'!$I$6,$O6084='112'!$I$6))),"x",""))</f>
        <v/>
      </c>
      <c r="U6084" s="79" t="str">
        <f>IF(ISERROR(FIND('112'!$M$9,G6084,1)),"",IF((AND(LEFT(G6084,2)=LEFT('112'!$M$9,2),B6084&lt;'112'!$K$9,$N6084='112'!$I$6)),"x",""))</f>
        <v/>
      </c>
      <c r="V6084" s="79" t="str">
        <f>IF(ISERROR(FIND('112'!$M$9,G6084,1)),"",IF((AND(RIGHT(G6084,2)=RIGHT('112'!$M$9,2),B6084&lt;'112'!$K$9,$O6084='112'!$I$6)),"x",""))</f>
        <v/>
      </c>
      <c r="W6084" s="79" t="str">
        <f>IF(AND('341-CT'!$H$9=H6084,OR(LEFT(N6084,3)=$W$7,LEFT(O6084,3)=$W$7)),"x","")</f>
        <v/>
      </c>
      <c r="X6084" s="79" t="str">
        <f>IF(OR(TH!N6084=TH!$X$7,O6084=TH!$X$7),"x","")</f>
        <v/>
      </c>
      <c r="Y6084" s="79" t="str">
        <f>IF(AND(OR(N6084="131",O6084="131"),H6084='131-CT'!$H$9),"x","")</f>
        <v/>
      </c>
      <c r="Z6084" s="79"/>
      <c r="AA6084" s="79" t="str">
        <f>IF(AND(MONTH(E6084)='IN-NX'!$J$5,'IN-NX'!$D$7=D6084),"x","")</f>
        <v/>
      </c>
      <c r="AB6084" s="79" t="str">
        <f>IF(AND(OR(LEFT(TH!N6084,2)="15",LEFT(TH!O6084,2)="15"),LEFT(TH!O6084,3)&lt;&gt;"111",'152-CT'!$J$8=TH!F6084),"x","")</f>
        <v/>
      </c>
      <c r="AC6084" s="79" t="str">
        <f>IF(AND(OR(LEFT(TH!N6084,2)="15",LEFT(TH!O6084,2)="15"),TK!$E$7=TH!F6084),"x","")</f>
        <v/>
      </c>
      <c r="AD6084" s="79" t="str">
        <f>IF(AND(N6084="1521",MONTH(C6084)='BK-NL'!$M$11),"x","")</f>
        <v/>
      </c>
    </row>
    <row r="6085" spans="1:30" ht="16.5" customHeight="1">
      <c r="A6085" s="318" t="str">
        <f>IF(B6085&lt;&gt;"",IF(AND(B6085='IN-TC'!$S$4,OR(TH!N6085="1111",TH!O6085="1111")),TH!D6085,""),"")</f>
        <v/>
      </c>
      <c r="B6085" s="60" t="str">
        <f t="shared" si="516"/>
        <v/>
      </c>
      <c r="C6085" s="61"/>
      <c r="D6085" s="61"/>
      <c r="E6085" s="61"/>
      <c r="F6085" s="69"/>
      <c r="G6085" s="64"/>
      <c r="H6085" s="321"/>
      <c r="I6085" s="385"/>
      <c r="J6085" s="392"/>
      <c r="K6085" s="385"/>
      <c r="L6085" s="392"/>
      <c r="M6085" s="62"/>
      <c r="N6085" s="63"/>
      <c r="O6085" s="63"/>
      <c r="P6085" s="79" t="str">
        <f>IF(AND('331-CT'!$E$7=TH!H6085,OR(N6085="331",O6085="331")),"x","")</f>
        <v/>
      </c>
      <c r="Q6085" s="79" t="str">
        <f>IF(AND(B6085='111'!$L$11,OR($N6085=$Q$7,$O6085=$Q$7)),"x","")</f>
        <v/>
      </c>
      <c r="R6085" s="79" t="str">
        <f>IF(AND($N6085=$Q$7,$B6085&lt;'111'!$L$11),"x","")</f>
        <v/>
      </c>
      <c r="S6085" s="79" t="str">
        <f>IF(AND($O6085=$Q$7,$B6085&lt;'111'!$L$11),"x","")</f>
        <v/>
      </c>
      <c r="T6085" s="79" t="str">
        <f>IF(ISERROR(FIND('112'!$M$9,G6085,1)),"",IF((AND(FIND('112'!$M$9,G6085,1)&gt;=1,B6085='112'!$K$9,OR($N6085='112'!$I$6,$O6085='112'!$I$6))),"x",""))</f>
        <v/>
      </c>
      <c r="U6085" s="79" t="str">
        <f>IF(ISERROR(FIND('112'!$M$9,G6085,1)),"",IF((AND(LEFT(G6085,2)=LEFT('112'!$M$9,2),B6085&lt;'112'!$K$9,$N6085='112'!$I$6)),"x",""))</f>
        <v/>
      </c>
      <c r="V6085" s="79" t="str">
        <f>IF(ISERROR(FIND('112'!$M$9,G6085,1)),"",IF((AND(RIGHT(G6085,2)=RIGHT('112'!$M$9,2),B6085&lt;'112'!$K$9,$O6085='112'!$I$6)),"x",""))</f>
        <v/>
      </c>
      <c r="W6085" s="79" t="str">
        <f>IF(AND('341-CT'!$H$9=H6085,OR(LEFT(N6085,3)=$W$7,LEFT(O6085,3)=$W$7)),"x","")</f>
        <v/>
      </c>
      <c r="X6085" s="79" t="str">
        <f>IF(OR(TH!N6085=TH!$X$7,O6085=TH!$X$7),"x","")</f>
        <v/>
      </c>
      <c r="Y6085" s="79" t="str">
        <f>IF(AND(OR(N6085="131",O6085="131"),H6085='131-CT'!$H$9),"x","")</f>
        <v/>
      </c>
      <c r="Z6085" s="79"/>
      <c r="AA6085" s="79" t="str">
        <f>IF(AND(MONTH(E6085)='IN-NX'!$J$5,'IN-NX'!$D$7=D6085),"x","")</f>
        <v/>
      </c>
      <c r="AB6085" s="79" t="str">
        <f>IF(AND(OR(LEFT(TH!N6085,2)="15",LEFT(TH!O6085,2)="15"),LEFT(TH!O6085,3)&lt;&gt;"111",'152-CT'!$J$8=TH!F6085),"x","")</f>
        <v/>
      </c>
      <c r="AC6085" s="79" t="str">
        <f>IF(AND(OR(LEFT(TH!N6085,2)="15",LEFT(TH!O6085,2)="15"),TK!$E$7=TH!F6085),"x","")</f>
        <v/>
      </c>
      <c r="AD6085" s="79" t="str">
        <f>IF(AND(N6085="1521",MONTH(C6085)='BK-NL'!$M$11),"x","")</f>
        <v/>
      </c>
    </row>
    <row r="6086" spans="1:30" ht="16.5" customHeight="1">
      <c r="A6086" s="318" t="str">
        <f>IF(B6086&lt;&gt;"",IF(AND(B6086='IN-TC'!$S$4,OR(TH!N6086="1111",TH!O6086="1111")),TH!D6086,""),"")</f>
        <v/>
      </c>
      <c r="B6086" s="60" t="str">
        <f t="shared" si="516"/>
        <v/>
      </c>
      <c r="C6086" s="61"/>
      <c r="D6086" s="61"/>
      <c r="E6086" s="61"/>
      <c r="F6086" s="69"/>
      <c r="G6086" s="64"/>
      <c r="H6086" s="321"/>
      <c r="I6086" s="387"/>
      <c r="J6086" s="394"/>
      <c r="K6086" s="387"/>
      <c r="L6086" s="394"/>
      <c r="M6086" s="62"/>
      <c r="N6086" s="63"/>
      <c r="O6086" s="63"/>
      <c r="P6086" s="79" t="str">
        <f>IF(AND('331-CT'!$E$7=TH!H6086,OR(N6086="331",O6086="331")),"x","")</f>
        <v/>
      </c>
      <c r="Q6086" s="79" t="str">
        <f>IF(AND(B6086='111'!$L$11,OR($N6086=$Q$7,$O6086=$Q$7)),"x","")</f>
        <v/>
      </c>
      <c r="R6086" s="79" t="str">
        <f>IF(AND($N6086=$Q$7,$B6086&lt;'111'!$L$11),"x","")</f>
        <v/>
      </c>
      <c r="S6086" s="79" t="str">
        <f>IF(AND($O6086=$Q$7,$B6086&lt;'111'!$L$11),"x","")</f>
        <v/>
      </c>
      <c r="T6086" s="79" t="str">
        <f>IF(ISERROR(FIND('112'!$M$9,G6086,1)),"",IF((AND(FIND('112'!$M$9,G6086,1)&gt;=1,B6086='112'!$K$9,OR($N6086='112'!$I$6,$O6086='112'!$I$6))),"x",""))</f>
        <v/>
      </c>
      <c r="U6086" s="79" t="str">
        <f>IF(ISERROR(FIND('112'!$M$9,G6086,1)),"",IF((AND(LEFT(G6086,2)=LEFT('112'!$M$9,2),B6086&lt;'112'!$K$9,$N6086='112'!$I$6)),"x",""))</f>
        <v/>
      </c>
      <c r="V6086" s="79" t="str">
        <f>IF(ISERROR(FIND('112'!$M$9,G6086,1)),"",IF((AND(RIGHT(G6086,2)=RIGHT('112'!$M$9,2),B6086&lt;'112'!$K$9,$O6086='112'!$I$6)),"x",""))</f>
        <v/>
      </c>
      <c r="W6086" s="79" t="str">
        <f>IF(AND('341-CT'!$H$9=H6086,OR(LEFT(N6086,3)=$W$7,LEFT(O6086,3)=$W$7)),"x","")</f>
        <v/>
      </c>
      <c r="X6086" s="79" t="str">
        <f>IF(OR(TH!N6086=TH!$X$7,O6086=TH!$X$7),"x","")</f>
        <v/>
      </c>
      <c r="Y6086" s="79" t="str">
        <f>IF(AND(OR(N6086="131",O6086="131"),H6086='131-CT'!$H$9),"x","")</f>
        <v/>
      </c>
      <c r="Z6086" s="79"/>
      <c r="AA6086" s="79" t="str">
        <f>IF(AND(MONTH(E6086)='IN-NX'!$J$5,'IN-NX'!$D$7=D6086),"x","")</f>
        <v/>
      </c>
      <c r="AB6086" s="79" t="str">
        <f>IF(AND(OR(LEFT(TH!N6086,2)="15",LEFT(TH!O6086,2)="15"),LEFT(TH!O6086,3)&lt;&gt;"111",'152-CT'!$J$8=TH!F6086),"x","")</f>
        <v/>
      </c>
      <c r="AC6086" s="79" t="str">
        <f>IF(AND(OR(LEFT(TH!N6086,2)="15",LEFT(TH!O6086,2)="15"),TK!$E$7=TH!F6086),"x","")</f>
        <v/>
      </c>
      <c r="AD6086" s="79" t="str">
        <f>IF(AND(N6086="1521",MONTH(C6086)='BK-NL'!$M$11),"x","")</f>
        <v/>
      </c>
    </row>
    <row r="6087" spans="1:30" ht="16.5" customHeight="1">
      <c r="A6087" s="318" t="str">
        <f>IF(B6087&lt;&gt;"",IF(AND(B6087='IN-TC'!$S$4,OR(TH!N6087="1111",TH!O6087="1111")),TH!D6087,""),"")</f>
        <v/>
      </c>
      <c r="B6087" s="60" t="str">
        <f t="shared" si="516"/>
        <v/>
      </c>
      <c r="C6087" s="61"/>
      <c r="D6087" s="61"/>
      <c r="E6087" s="61"/>
      <c r="F6087" s="69"/>
      <c r="G6087" s="64"/>
      <c r="H6087" s="321"/>
      <c r="I6087" s="385"/>
      <c r="J6087" s="392"/>
      <c r="K6087" s="385"/>
      <c r="L6087" s="392"/>
      <c r="M6087" s="62"/>
      <c r="N6087" s="63"/>
      <c r="O6087" s="63"/>
      <c r="P6087" s="79" t="str">
        <f>IF(AND('331-CT'!$E$7=TH!H6087,OR(N6087="331",O6087="331")),"x","")</f>
        <v/>
      </c>
      <c r="Q6087" s="79" t="str">
        <f>IF(AND(B6087='111'!$L$11,OR($N6087=$Q$7,$O6087=$Q$7)),"x","")</f>
        <v/>
      </c>
      <c r="R6087" s="79" t="str">
        <f>IF(AND($N6087=$Q$7,$B6087&lt;'111'!$L$11),"x","")</f>
        <v/>
      </c>
      <c r="S6087" s="79" t="str">
        <f>IF(AND($O6087=$Q$7,$B6087&lt;'111'!$L$11),"x","")</f>
        <v/>
      </c>
      <c r="T6087" s="79" t="str">
        <f>IF(ISERROR(FIND('112'!$M$9,G6087,1)),"",IF((AND(FIND('112'!$M$9,G6087,1)&gt;=1,B6087='112'!$K$9,OR($N6087='112'!$I$6,$O6087='112'!$I$6))),"x",""))</f>
        <v/>
      </c>
      <c r="U6087" s="79" t="str">
        <f>IF(ISERROR(FIND('112'!$M$9,G6087,1)),"",IF((AND(LEFT(G6087,2)=LEFT('112'!$M$9,2),B6087&lt;'112'!$K$9,$N6087='112'!$I$6)),"x",""))</f>
        <v/>
      </c>
      <c r="V6087" s="79" t="str">
        <f>IF(ISERROR(FIND('112'!$M$9,G6087,1)),"",IF((AND(RIGHT(G6087,2)=RIGHT('112'!$M$9,2),B6087&lt;'112'!$K$9,$O6087='112'!$I$6)),"x",""))</f>
        <v/>
      </c>
      <c r="W6087" s="79" t="str">
        <f>IF(AND('341-CT'!$H$9=H6087,OR(LEFT(N6087,3)=$W$7,LEFT(O6087,3)=$W$7)),"x","")</f>
        <v/>
      </c>
      <c r="X6087" s="79" t="str">
        <f>IF(OR(TH!N6087=TH!$X$7,O6087=TH!$X$7),"x","")</f>
        <v/>
      </c>
      <c r="Y6087" s="79" t="str">
        <f>IF(AND(OR(N6087="131",O6087="131"),H6087='131-CT'!$H$9),"x","")</f>
        <v/>
      </c>
      <c r="Z6087" s="79"/>
      <c r="AA6087" s="79" t="str">
        <f>IF(AND(MONTH(E6087)='IN-NX'!$J$5,'IN-NX'!$D$7=D6087),"x","")</f>
        <v/>
      </c>
      <c r="AB6087" s="79" t="str">
        <f>IF(AND(OR(LEFT(TH!N6087,2)="15",LEFT(TH!O6087,2)="15"),LEFT(TH!O6087,3)&lt;&gt;"111",'152-CT'!$J$8=TH!F6087),"x","")</f>
        <v/>
      </c>
      <c r="AC6087" s="79" t="str">
        <f>IF(AND(OR(LEFT(TH!N6087,2)="15",LEFT(TH!O6087,2)="15"),TK!$E$7=TH!F6087),"x","")</f>
        <v/>
      </c>
      <c r="AD6087" s="79" t="str">
        <f>IF(AND(N6087="1521",MONTH(C6087)='BK-NL'!$M$11),"x","")</f>
        <v/>
      </c>
    </row>
    <row r="6088" spans="1:30" ht="16.5" customHeight="1">
      <c r="A6088" s="318" t="str">
        <f>IF(B6088&lt;&gt;"",IF(AND(B6088='IN-TC'!$S$4,OR(TH!N6088="1111",TH!O6088="1111")),TH!D6088,""),"")</f>
        <v/>
      </c>
      <c r="B6088" s="60" t="str">
        <f t="shared" si="516"/>
        <v/>
      </c>
      <c r="C6088" s="61"/>
      <c r="D6088" s="61"/>
      <c r="E6088" s="61"/>
      <c r="F6088" s="69"/>
      <c r="G6088" s="64"/>
      <c r="H6088" s="321"/>
      <c r="I6088" s="385"/>
      <c r="J6088" s="392"/>
      <c r="K6088" s="385"/>
      <c r="L6088" s="392"/>
      <c r="M6088" s="62"/>
      <c r="N6088" s="63"/>
      <c r="O6088" s="63"/>
      <c r="P6088" s="79" t="str">
        <f>IF(AND('331-CT'!$E$7=TH!H6088,OR(N6088="331",O6088="331")),"x","")</f>
        <v/>
      </c>
      <c r="Q6088" s="79" t="str">
        <f>IF(AND(B6088='111'!$L$11,OR($N6088=$Q$7,$O6088=$Q$7)),"x","")</f>
        <v/>
      </c>
      <c r="R6088" s="79" t="str">
        <f>IF(AND($N6088=$Q$7,$B6088&lt;'111'!$L$11),"x","")</f>
        <v/>
      </c>
      <c r="S6088" s="79" t="str">
        <f>IF(AND($O6088=$Q$7,$B6088&lt;'111'!$L$11),"x","")</f>
        <v/>
      </c>
      <c r="T6088" s="79" t="str">
        <f>IF(ISERROR(FIND('112'!$M$9,G6088,1)),"",IF((AND(FIND('112'!$M$9,G6088,1)&gt;=1,B6088='112'!$K$9,OR($N6088='112'!$I$6,$O6088='112'!$I$6))),"x",""))</f>
        <v/>
      </c>
      <c r="U6088" s="79" t="str">
        <f>IF(ISERROR(FIND('112'!$M$9,G6088,1)),"",IF((AND(LEFT(G6088,2)=LEFT('112'!$M$9,2),B6088&lt;'112'!$K$9,$N6088='112'!$I$6)),"x",""))</f>
        <v/>
      </c>
      <c r="V6088" s="79" t="str">
        <f>IF(ISERROR(FIND('112'!$M$9,G6088,1)),"",IF((AND(RIGHT(G6088,2)=RIGHT('112'!$M$9,2),B6088&lt;'112'!$K$9,$O6088='112'!$I$6)),"x",""))</f>
        <v/>
      </c>
      <c r="W6088" s="79" t="str">
        <f>IF(AND('341-CT'!$H$9=H6088,OR(LEFT(N6088,3)=$W$7,LEFT(O6088,3)=$W$7)),"x","")</f>
        <v/>
      </c>
      <c r="X6088" s="79" t="str">
        <f>IF(OR(TH!N6088=TH!$X$7,O6088=TH!$X$7),"x","")</f>
        <v/>
      </c>
      <c r="Y6088" s="79" t="str">
        <f>IF(AND(OR(N6088="131",O6088="131"),H6088='131-CT'!$H$9),"x","")</f>
        <v/>
      </c>
      <c r="Z6088" s="79"/>
      <c r="AA6088" s="79" t="str">
        <f>IF(AND(MONTH(E6088)='IN-NX'!$J$5,'IN-NX'!$D$7=D6088),"x","")</f>
        <v/>
      </c>
      <c r="AB6088" s="79" t="str">
        <f>IF(AND(OR(LEFT(TH!N6088,2)="15",LEFT(TH!O6088,2)="15"),LEFT(TH!O6088,3)&lt;&gt;"111",'152-CT'!$J$8=TH!F6088),"x","")</f>
        <v/>
      </c>
      <c r="AC6088" s="79" t="str">
        <f>IF(AND(OR(LEFT(TH!N6088,2)="15",LEFT(TH!O6088,2)="15"),TK!$E$7=TH!F6088),"x","")</f>
        <v/>
      </c>
      <c r="AD6088" s="79" t="str">
        <f>IF(AND(N6088="1521",MONTH(C6088)='BK-NL'!$M$11),"x","")</f>
        <v/>
      </c>
    </row>
    <row r="6089" spans="1:30" ht="16.5" customHeight="1">
      <c r="A6089" s="318" t="str">
        <f>IF(B6089&lt;&gt;"",IF(AND(B6089='IN-TC'!$S$4,OR(TH!N6089="1111",TH!O6089="1111")),TH!D6089,""),"")</f>
        <v/>
      </c>
      <c r="B6089" s="60" t="str">
        <f t="shared" si="516"/>
        <v/>
      </c>
      <c r="C6089" s="61"/>
      <c r="D6089" s="61"/>
      <c r="E6089" s="61"/>
      <c r="F6089" s="69"/>
      <c r="G6089" s="64"/>
      <c r="H6089" s="321"/>
      <c r="I6089" s="385"/>
      <c r="J6089" s="392"/>
      <c r="K6089" s="385"/>
      <c r="L6089" s="392"/>
      <c r="M6089" s="62"/>
      <c r="N6089" s="63"/>
      <c r="O6089" s="63"/>
      <c r="P6089" s="79" t="str">
        <f>IF(AND('331-CT'!$E$7=TH!H6089,OR(N6089="331",O6089="331")),"x","")</f>
        <v/>
      </c>
      <c r="Q6089" s="79" t="str">
        <f>IF(AND(B6089='111'!$L$11,OR($N6089=$Q$7,$O6089=$Q$7)),"x","")</f>
        <v/>
      </c>
      <c r="R6089" s="79" t="str">
        <f>IF(AND($N6089=$Q$7,$B6089&lt;'111'!$L$11),"x","")</f>
        <v/>
      </c>
      <c r="S6089" s="79" t="str">
        <f>IF(AND($O6089=$Q$7,$B6089&lt;'111'!$L$11),"x","")</f>
        <v/>
      </c>
      <c r="T6089" s="79" t="str">
        <f>IF(ISERROR(FIND('112'!$M$9,G6089,1)),"",IF((AND(FIND('112'!$M$9,G6089,1)&gt;=1,B6089='112'!$K$9,OR($N6089='112'!$I$6,$O6089='112'!$I$6))),"x",""))</f>
        <v/>
      </c>
      <c r="U6089" s="79" t="str">
        <f>IF(ISERROR(FIND('112'!$M$9,G6089,1)),"",IF((AND(LEFT(G6089,2)=LEFT('112'!$M$9,2),B6089&lt;'112'!$K$9,$N6089='112'!$I$6)),"x",""))</f>
        <v/>
      </c>
      <c r="V6089" s="79" t="str">
        <f>IF(ISERROR(FIND('112'!$M$9,G6089,1)),"",IF((AND(RIGHT(G6089,2)=RIGHT('112'!$M$9,2),B6089&lt;'112'!$K$9,$O6089='112'!$I$6)),"x",""))</f>
        <v/>
      </c>
      <c r="W6089" s="79" t="str">
        <f>IF(AND('341-CT'!$H$9=H6089,OR(LEFT(N6089,3)=$W$7,LEFT(O6089,3)=$W$7)),"x","")</f>
        <v/>
      </c>
      <c r="X6089" s="79" t="str">
        <f>IF(OR(TH!N6089=TH!$X$7,O6089=TH!$X$7),"x","")</f>
        <v/>
      </c>
      <c r="Y6089" s="79" t="str">
        <f>IF(AND(OR(N6089="131",O6089="131"),H6089='131-CT'!$H$9),"x","")</f>
        <v/>
      </c>
      <c r="Z6089" s="79"/>
      <c r="AA6089" s="79" t="str">
        <f>IF(AND(MONTH(E6089)='IN-NX'!$J$5,'IN-NX'!$D$7=D6089),"x","")</f>
        <v/>
      </c>
      <c r="AB6089" s="79" t="str">
        <f>IF(AND(OR(LEFT(TH!N6089,2)="15",LEFT(TH!O6089,2)="15"),LEFT(TH!O6089,3)&lt;&gt;"111",'152-CT'!$J$8=TH!F6089),"x","")</f>
        <v/>
      </c>
      <c r="AC6089" s="79" t="str">
        <f>IF(AND(OR(LEFT(TH!N6089,2)="15",LEFT(TH!O6089,2)="15"),TK!$E$7=TH!F6089),"x","")</f>
        <v/>
      </c>
      <c r="AD6089" s="79" t="str">
        <f>IF(AND(N6089="1521",MONTH(C6089)='BK-NL'!$M$11),"x","")</f>
        <v/>
      </c>
    </row>
    <row r="6090" spans="1:30" ht="16.5" customHeight="1">
      <c r="A6090" s="318" t="str">
        <f>IF(B6090&lt;&gt;"",IF(AND(B6090='IN-TC'!$S$4,OR(TH!N6090="1111",TH!O6090="1111")),TH!D6090,""),"")</f>
        <v/>
      </c>
      <c r="B6090" s="60" t="str">
        <f t="shared" si="516"/>
        <v/>
      </c>
      <c r="C6090" s="61"/>
      <c r="D6090" s="61"/>
      <c r="E6090" s="61"/>
      <c r="F6090" s="69"/>
      <c r="G6090" s="64"/>
      <c r="H6090" s="321"/>
      <c r="I6090" s="385"/>
      <c r="J6090" s="392"/>
      <c r="K6090" s="385"/>
      <c r="L6090" s="392"/>
      <c r="M6090" s="62"/>
      <c r="N6090" s="63"/>
      <c r="O6090" s="63"/>
      <c r="P6090" s="79" t="str">
        <f>IF(AND('331-CT'!$E$7=TH!H6090,OR(N6090="331",O6090="331")),"x","")</f>
        <v/>
      </c>
      <c r="Q6090" s="79" t="str">
        <f>IF(AND(B6090='111'!$L$11,OR($N6090=$Q$7,$O6090=$Q$7)),"x","")</f>
        <v/>
      </c>
      <c r="R6090" s="79" t="str">
        <f>IF(AND($N6090=$Q$7,$B6090&lt;'111'!$L$11),"x","")</f>
        <v/>
      </c>
      <c r="S6090" s="79" t="str">
        <f>IF(AND($O6090=$Q$7,$B6090&lt;'111'!$L$11),"x","")</f>
        <v/>
      </c>
      <c r="T6090" s="79" t="str">
        <f>IF(ISERROR(FIND('112'!$M$9,G6090,1)),"",IF((AND(FIND('112'!$M$9,G6090,1)&gt;=1,B6090='112'!$K$9,OR($N6090='112'!$I$6,$O6090='112'!$I$6))),"x",""))</f>
        <v/>
      </c>
      <c r="U6090" s="79" t="str">
        <f>IF(ISERROR(FIND('112'!$M$9,G6090,1)),"",IF((AND(LEFT(G6090,2)=LEFT('112'!$M$9,2),B6090&lt;'112'!$K$9,$N6090='112'!$I$6)),"x",""))</f>
        <v/>
      </c>
      <c r="V6090" s="79" t="str">
        <f>IF(ISERROR(FIND('112'!$M$9,G6090,1)),"",IF((AND(RIGHT(G6090,2)=RIGHT('112'!$M$9,2),B6090&lt;'112'!$K$9,$O6090='112'!$I$6)),"x",""))</f>
        <v/>
      </c>
      <c r="W6090" s="79" t="str">
        <f>IF(AND('341-CT'!$H$9=H6090,OR(LEFT(N6090,3)=$W$7,LEFT(O6090,3)=$W$7)),"x","")</f>
        <v/>
      </c>
      <c r="X6090" s="79" t="str">
        <f>IF(OR(TH!N6090=TH!$X$7,O6090=TH!$X$7),"x","")</f>
        <v/>
      </c>
      <c r="Y6090" s="79" t="str">
        <f>IF(AND(OR(N6090="131",O6090="131"),H6090='131-CT'!$H$9),"x","")</f>
        <v/>
      </c>
      <c r="Z6090" s="79"/>
      <c r="AA6090" s="79" t="str">
        <f>IF(AND(MONTH(E6090)='IN-NX'!$J$5,'IN-NX'!$D$7=D6090),"x","")</f>
        <v/>
      </c>
      <c r="AB6090" s="79" t="str">
        <f>IF(AND(OR(LEFT(TH!N6090,2)="15",LEFT(TH!O6090,2)="15"),LEFT(TH!O6090,3)&lt;&gt;"111",'152-CT'!$J$8=TH!F6090),"x","")</f>
        <v/>
      </c>
      <c r="AC6090" s="79" t="str">
        <f>IF(AND(OR(LEFT(TH!N6090,2)="15",LEFT(TH!O6090,2)="15"),TK!$E$7=TH!F6090),"x","")</f>
        <v/>
      </c>
      <c r="AD6090" s="79" t="str">
        <f>IF(AND(N6090="1521",MONTH(C6090)='BK-NL'!$M$11),"x","")</f>
        <v/>
      </c>
    </row>
    <row r="6091" spans="1:30" ht="16.5" customHeight="1">
      <c r="A6091" s="318" t="str">
        <f>IF(B6091&lt;&gt;"",IF(AND(B6091='IN-TC'!$S$4,OR(TH!N6091="1111",TH!O6091="1111")),TH!D6091,""),"")</f>
        <v/>
      </c>
      <c r="B6091" s="60" t="str">
        <f t="shared" si="516"/>
        <v/>
      </c>
      <c r="C6091" s="61"/>
      <c r="D6091" s="61"/>
      <c r="E6091" s="61"/>
      <c r="F6091" s="69"/>
      <c r="G6091" s="64"/>
      <c r="H6091" s="321"/>
      <c r="I6091" s="387"/>
      <c r="J6091" s="394"/>
      <c r="K6091" s="387"/>
      <c r="L6091" s="394"/>
      <c r="M6091" s="62"/>
      <c r="N6091" s="63"/>
      <c r="O6091" s="63"/>
      <c r="P6091" s="79" t="str">
        <f>IF(AND('331-CT'!$E$7=TH!H6091,OR(N6091="331",O6091="331")),"x","")</f>
        <v/>
      </c>
      <c r="Q6091" s="79" t="str">
        <f>IF(AND(B6091='111'!$L$11,OR($N6091=$Q$7,$O6091=$Q$7)),"x","")</f>
        <v/>
      </c>
      <c r="R6091" s="79" t="str">
        <f>IF(AND($N6091=$Q$7,$B6091&lt;'111'!$L$11),"x","")</f>
        <v/>
      </c>
      <c r="S6091" s="79" t="str">
        <f>IF(AND($O6091=$Q$7,$B6091&lt;'111'!$L$11),"x","")</f>
        <v/>
      </c>
      <c r="T6091" s="79" t="str">
        <f>IF(ISERROR(FIND('112'!$M$9,G6091,1)),"",IF((AND(FIND('112'!$M$9,G6091,1)&gt;=1,B6091='112'!$K$9,OR($N6091='112'!$I$6,$O6091='112'!$I$6))),"x",""))</f>
        <v/>
      </c>
      <c r="U6091" s="79" t="str">
        <f>IF(ISERROR(FIND('112'!$M$9,G6091,1)),"",IF((AND(LEFT(G6091,2)=LEFT('112'!$M$9,2),B6091&lt;'112'!$K$9,$N6091='112'!$I$6)),"x",""))</f>
        <v/>
      </c>
      <c r="V6091" s="79" t="str">
        <f>IF(ISERROR(FIND('112'!$M$9,G6091,1)),"",IF((AND(RIGHT(G6091,2)=RIGHT('112'!$M$9,2),B6091&lt;'112'!$K$9,$O6091='112'!$I$6)),"x",""))</f>
        <v/>
      </c>
      <c r="W6091" s="79" t="str">
        <f>IF(AND('341-CT'!$H$9=H6091,OR(LEFT(N6091,3)=$W$7,LEFT(O6091,3)=$W$7)),"x","")</f>
        <v/>
      </c>
      <c r="X6091" s="79" t="str">
        <f>IF(OR(TH!N6091=TH!$X$7,O6091=TH!$X$7),"x","")</f>
        <v/>
      </c>
      <c r="Y6091" s="79" t="str">
        <f>IF(AND(OR(N6091="131",O6091="131"),H6091='131-CT'!$H$9),"x","")</f>
        <v/>
      </c>
      <c r="Z6091" s="79"/>
      <c r="AA6091" s="79" t="str">
        <f>IF(AND(MONTH(E6091)='IN-NX'!$J$5,'IN-NX'!$D$7=D6091),"x","")</f>
        <v/>
      </c>
      <c r="AB6091" s="79" t="str">
        <f>IF(AND(OR(LEFT(TH!N6091,2)="15",LEFT(TH!O6091,2)="15"),LEFT(TH!O6091,3)&lt;&gt;"111",'152-CT'!$J$8=TH!F6091),"x","")</f>
        <v/>
      </c>
      <c r="AC6091" s="79" t="str">
        <f>IF(AND(OR(LEFT(TH!N6091,2)="15",LEFT(TH!O6091,2)="15"),TK!$E$7=TH!F6091),"x","")</f>
        <v/>
      </c>
      <c r="AD6091" s="79" t="str">
        <f>IF(AND(N6091="1521",MONTH(C6091)='BK-NL'!$M$11),"x","")</f>
        <v/>
      </c>
    </row>
    <row r="6092" spans="1:30" ht="16.5" customHeight="1">
      <c r="A6092" s="318" t="str">
        <f>IF(B6092&lt;&gt;"",IF(AND(B6092='IN-TC'!$S$4,OR(TH!N6092="1111",TH!O6092="1111")),TH!D6092,""),"")</f>
        <v/>
      </c>
      <c r="B6092" s="60" t="str">
        <f t="shared" si="516"/>
        <v/>
      </c>
      <c r="C6092" s="61"/>
      <c r="D6092" s="61"/>
      <c r="E6092" s="61"/>
      <c r="F6092" s="69"/>
      <c r="G6092" s="64"/>
      <c r="H6092" s="321"/>
      <c r="I6092" s="385"/>
      <c r="J6092" s="392"/>
      <c r="K6092" s="385"/>
      <c r="L6092" s="392"/>
      <c r="M6092" s="62"/>
      <c r="N6092" s="63"/>
      <c r="O6092" s="63"/>
      <c r="P6092" s="79" t="str">
        <f>IF(AND('331-CT'!$E$7=TH!H6092,OR(N6092="331",O6092="331")),"x","")</f>
        <v/>
      </c>
      <c r="Q6092" s="79" t="str">
        <f>IF(AND(B6092='111'!$L$11,OR($N6092=$Q$7,$O6092=$Q$7)),"x","")</f>
        <v/>
      </c>
      <c r="R6092" s="79" t="str">
        <f>IF(AND($N6092=$Q$7,$B6092&lt;'111'!$L$11),"x","")</f>
        <v/>
      </c>
      <c r="S6092" s="79" t="str">
        <f>IF(AND($O6092=$Q$7,$B6092&lt;'111'!$L$11),"x","")</f>
        <v/>
      </c>
      <c r="T6092" s="79" t="str">
        <f>IF(ISERROR(FIND('112'!$M$9,G6092,1)),"",IF((AND(FIND('112'!$M$9,G6092,1)&gt;=1,B6092='112'!$K$9,OR($N6092='112'!$I$6,$O6092='112'!$I$6))),"x",""))</f>
        <v/>
      </c>
      <c r="U6092" s="79" t="str">
        <f>IF(ISERROR(FIND('112'!$M$9,G6092,1)),"",IF((AND(LEFT(G6092,2)=LEFT('112'!$M$9,2),B6092&lt;'112'!$K$9,$N6092='112'!$I$6)),"x",""))</f>
        <v/>
      </c>
      <c r="V6092" s="79" t="str">
        <f>IF(ISERROR(FIND('112'!$M$9,G6092,1)),"",IF((AND(RIGHT(G6092,2)=RIGHT('112'!$M$9,2),B6092&lt;'112'!$K$9,$O6092='112'!$I$6)),"x",""))</f>
        <v/>
      </c>
      <c r="W6092" s="79" t="str">
        <f>IF(AND('341-CT'!$H$9=H6092,OR(LEFT(N6092,3)=$W$7,LEFT(O6092,3)=$W$7)),"x","")</f>
        <v/>
      </c>
      <c r="X6092" s="79" t="str">
        <f>IF(OR(TH!N6092=TH!$X$7,O6092=TH!$X$7),"x","")</f>
        <v/>
      </c>
      <c r="Y6092" s="79" t="str">
        <f>IF(AND(OR(N6092="131",O6092="131"),H6092='131-CT'!$H$9),"x","")</f>
        <v/>
      </c>
      <c r="Z6092" s="79"/>
      <c r="AA6092" s="79" t="str">
        <f>IF(AND(MONTH(E6092)='IN-NX'!$J$5,'IN-NX'!$D$7=D6092),"x","")</f>
        <v/>
      </c>
      <c r="AB6092" s="79" t="str">
        <f>IF(AND(OR(LEFT(TH!N6092,2)="15",LEFT(TH!O6092,2)="15"),LEFT(TH!O6092,3)&lt;&gt;"111",'152-CT'!$J$8=TH!F6092),"x","")</f>
        <v/>
      </c>
      <c r="AC6092" s="79" t="str">
        <f>IF(AND(OR(LEFT(TH!N6092,2)="15",LEFT(TH!O6092,2)="15"),TK!$E$7=TH!F6092),"x","")</f>
        <v/>
      </c>
      <c r="AD6092" s="79" t="str">
        <f>IF(AND(N6092="1521",MONTH(C6092)='BK-NL'!$M$11),"x","")</f>
        <v/>
      </c>
    </row>
    <row r="6093" spans="1:30" ht="16.5" customHeight="1">
      <c r="A6093" s="318" t="str">
        <f>IF(B6093&lt;&gt;"",IF(AND(B6093='IN-TC'!$S$4,OR(TH!N6093="1111",TH!O6093="1111")),TH!D6093,""),"")</f>
        <v/>
      </c>
      <c r="B6093" s="60" t="str">
        <f t="shared" si="516"/>
        <v/>
      </c>
      <c r="C6093" s="61"/>
      <c r="D6093" s="61"/>
      <c r="E6093" s="61"/>
      <c r="F6093" s="69"/>
      <c r="G6093" s="64"/>
      <c r="H6093" s="321"/>
      <c r="I6093" s="385"/>
      <c r="J6093" s="392"/>
      <c r="K6093" s="385"/>
      <c r="L6093" s="392"/>
      <c r="M6093" s="62"/>
      <c r="N6093" s="63"/>
      <c r="O6093" s="63"/>
      <c r="P6093" s="79" t="str">
        <f>IF(AND('331-CT'!$E$7=TH!H6093,OR(N6093="331",O6093="331")),"x","")</f>
        <v/>
      </c>
      <c r="Q6093" s="79" t="str">
        <f>IF(AND(B6093='111'!$L$11,OR($N6093=$Q$7,$O6093=$Q$7)),"x","")</f>
        <v/>
      </c>
      <c r="R6093" s="79" t="str">
        <f>IF(AND($N6093=$Q$7,$B6093&lt;'111'!$L$11),"x","")</f>
        <v/>
      </c>
      <c r="S6093" s="79" t="str">
        <f>IF(AND($O6093=$Q$7,$B6093&lt;'111'!$L$11),"x","")</f>
        <v/>
      </c>
      <c r="T6093" s="79" t="str">
        <f>IF(ISERROR(FIND('112'!$M$9,G6093,1)),"",IF((AND(FIND('112'!$M$9,G6093,1)&gt;=1,B6093='112'!$K$9,OR($N6093='112'!$I$6,$O6093='112'!$I$6))),"x",""))</f>
        <v/>
      </c>
      <c r="U6093" s="79" t="str">
        <f>IF(ISERROR(FIND('112'!$M$9,G6093,1)),"",IF((AND(LEFT(G6093,2)=LEFT('112'!$M$9,2),B6093&lt;'112'!$K$9,$N6093='112'!$I$6)),"x",""))</f>
        <v/>
      </c>
      <c r="V6093" s="79" t="str">
        <f>IF(ISERROR(FIND('112'!$M$9,G6093,1)),"",IF((AND(RIGHT(G6093,2)=RIGHT('112'!$M$9,2),B6093&lt;'112'!$K$9,$O6093='112'!$I$6)),"x",""))</f>
        <v/>
      </c>
      <c r="W6093" s="79" t="str">
        <f>IF(AND('341-CT'!$H$9=H6093,OR(LEFT(N6093,3)=$W$7,LEFT(O6093,3)=$W$7)),"x","")</f>
        <v/>
      </c>
      <c r="X6093" s="79" t="str">
        <f>IF(OR(TH!N6093=TH!$X$7,O6093=TH!$X$7),"x","")</f>
        <v/>
      </c>
      <c r="Y6093" s="79" t="str">
        <f>IF(AND(OR(N6093="131",O6093="131"),H6093='131-CT'!$H$9),"x","")</f>
        <v/>
      </c>
      <c r="Z6093" s="79"/>
      <c r="AA6093" s="79" t="str">
        <f>IF(AND(MONTH(E6093)='IN-NX'!$J$5,'IN-NX'!$D$7=D6093),"x","")</f>
        <v/>
      </c>
      <c r="AB6093" s="79" t="str">
        <f>IF(AND(OR(LEFT(TH!N6093,2)="15",LEFT(TH!O6093,2)="15"),LEFT(TH!O6093,3)&lt;&gt;"111",'152-CT'!$J$8=TH!F6093),"x","")</f>
        <v/>
      </c>
      <c r="AC6093" s="79" t="str">
        <f>IF(AND(OR(LEFT(TH!N6093,2)="15",LEFT(TH!O6093,2)="15"),TK!$E$7=TH!F6093),"x","")</f>
        <v/>
      </c>
      <c r="AD6093" s="79" t="str">
        <f>IF(AND(N6093="1521",MONTH(C6093)='BK-NL'!$M$11),"x","")</f>
        <v/>
      </c>
    </row>
    <row r="6094" spans="1:30" ht="16.5" customHeight="1">
      <c r="A6094" s="318" t="str">
        <f>IF(B6094&lt;&gt;"",IF(AND(B6094='IN-TC'!$S$4,OR(TH!N6094="1111",TH!O6094="1111")),TH!D6094,""),"")</f>
        <v/>
      </c>
      <c r="B6094" s="60" t="str">
        <f t="shared" si="516"/>
        <v/>
      </c>
      <c r="C6094" s="61"/>
      <c r="D6094" s="61"/>
      <c r="E6094" s="61"/>
      <c r="F6094" s="69"/>
      <c r="G6094" s="64"/>
      <c r="H6094" s="321"/>
      <c r="I6094" s="385"/>
      <c r="J6094" s="392"/>
      <c r="K6094" s="385"/>
      <c r="L6094" s="392"/>
      <c r="M6094" s="62"/>
      <c r="N6094" s="63"/>
      <c r="O6094" s="63"/>
      <c r="P6094" s="79" t="str">
        <f>IF(AND('331-CT'!$E$7=TH!H6094,OR(N6094="331",O6094="331")),"x","")</f>
        <v/>
      </c>
      <c r="Q6094" s="79" t="str">
        <f>IF(AND(B6094='111'!$L$11,OR($N6094=$Q$7,$O6094=$Q$7)),"x","")</f>
        <v/>
      </c>
      <c r="R6094" s="79" t="str">
        <f>IF(AND($N6094=$Q$7,$B6094&lt;'111'!$L$11),"x","")</f>
        <v/>
      </c>
      <c r="S6094" s="79" t="str">
        <f>IF(AND($O6094=$Q$7,$B6094&lt;'111'!$L$11),"x","")</f>
        <v/>
      </c>
      <c r="T6094" s="79" t="str">
        <f>IF(ISERROR(FIND('112'!$M$9,G6094,1)),"",IF((AND(FIND('112'!$M$9,G6094,1)&gt;=1,B6094='112'!$K$9,OR($N6094='112'!$I$6,$O6094='112'!$I$6))),"x",""))</f>
        <v/>
      </c>
      <c r="U6094" s="79" t="str">
        <f>IF(ISERROR(FIND('112'!$M$9,G6094,1)),"",IF((AND(LEFT(G6094,2)=LEFT('112'!$M$9,2),B6094&lt;'112'!$K$9,$N6094='112'!$I$6)),"x",""))</f>
        <v/>
      </c>
      <c r="V6094" s="79" t="str">
        <f>IF(ISERROR(FIND('112'!$M$9,G6094,1)),"",IF((AND(RIGHT(G6094,2)=RIGHT('112'!$M$9,2),B6094&lt;'112'!$K$9,$O6094='112'!$I$6)),"x",""))</f>
        <v/>
      </c>
      <c r="W6094" s="79" t="str">
        <f>IF(AND('341-CT'!$H$9=H6094,OR(LEFT(N6094,3)=$W$7,LEFT(O6094,3)=$W$7)),"x","")</f>
        <v/>
      </c>
      <c r="X6094" s="79" t="str">
        <f>IF(OR(TH!N6094=TH!$X$7,O6094=TH!$X$7),"x","")</f>
        <v/>
      </c>
      <c r="Y6094" s="79" t="str">
        <f>IF(AND(OR(N6094="131",O6094="131"),H6094='131-CT'!$H$9),"x","")</f>
        <v/>
      </c>
      <c r="Z6094" s="79"/>
      <c r="AA6094" s="79" t="str">
        <f>IF(AND(MONTH(E6094)='IN-NX'!$J$5,'IN-NX'!$D$7=D6094),"x","")</f>
        <v/>
      </c>
      <c r="AB6094" s="79" t="str">
        <f>IF(AND(OR(LEFT(TH!N6094,2)="15",LEFT(TH!O6094,2)="15"),LEFT(TH!O6094,3)&lt;&gt;"111",'152-CT'!$J$8=TH!F6094),"x","")</f>
        <v/>
      </c>
      <c r="AC6094" s="79" t="str">
        <f>IF(AND(OR(LEFT(TH!N6094,2)="15",LEFT(TH!O6094,2)="15"),TK!$E$7=TH!F6094),"x","")</f>
        <v/>
      </c>
      <c r="AD6094" s="79" t="str">
        <f>IF(AND(N6094="1521",MONTH(C6094)='BK-NL'!$M$11),"x","")</f>
        <v/>
      </c>
    </row>
    <row r="6095" spans="1:30" ht="16.5" customHeight="1">
      <c r="A6095" s="318" t="str">
        <f>IF(B6095&lt;&gt;"",IF(AND(B6095='IN-TC'!$S$4,OR(TH!N6095="1111",TH!O6095="1111")),TH!D6095,""),"")</f>
        <v/>
      </c>
      <c r="B6095" s="60" t="str">
        <f t="shared" si="516"/>
        <v/>
      </c>
      <c r="C6095" s="61"/>
      <c r="D6095" s="61"/>
      <c r="E6095" s="61"/>
      <c r="F6095" s="69"/>
      <c r="G6095" s="64"/>
      <c r="H6095" s="321"/>
      <c r="I6095" s="387"/>
      <c r="J6095" s="394"/>
      <c r="K6095" s="387"/>
      <c r="L6095" s="394"/>
      <c r="M6095" s="62"/>
      <c r="N6095" s="63"/>
      <c r="O6095" s="63"/>
      <c r="P6095" s="79" t="str">
        <f>IF(AND('331-CT'!$E$7=TH!H6095,OR(N6095="331",O6095="331")),"x","")</f>
        <v/>
      </c>
      <c r="Q6095" s="79" t="str">
        <f>IF(AND(B6095='111'!$L$11,OR($N6095=$Q$7,$O6095=$Q$7)),"x","")</f>
        <v/>
      </c>
      <c r="R6095" s="79" t="str">
        <f>IF(AND($N6095=$Q$7,$B6095&lt;'111'!$L$11),"x","")</f>
        <v/>
      </c>
      <c r="S6095" s="79" t="str">
        <f>IF(AND($O6095=$Q$7,$B6095&lt;'111'!$L$11),"x","")</f>
        <v/>
      </c>
      <c r="T6095" s="79" t="str">
        <f>IF(ISERROR(FIND('112'!$M$9,G6095,1)),"",IF((AND(FIND('112'!$M$9,G6095,1)&gt;=1,B6095='112'!$K$9,OR($N6095='112'!$I$6,$O6095='112'!$I$6))),"x",""))</f>
        <v/>
      </c>
      <c r="U6095" s="79" t="str">
        <f>IF(ISERROR(FIND('112'!$M$9,G6095,1)),"",IF((AND(LEFT(G6095,2)=LEFT('112'!$M$9,2),B6095&lt;'112'!$K$9,$N6095='112'!$I$6)),"x",""))</f>
        <v/>
      </c>
      <c r="V6095" s="79" t="str">
        <f>IF(ISERROR(FIND('112'!$M$9,G6095,1)),"",IF((AND(RIGHT(G6095,2)=RIGHT('112'!$M$9,2),B6095&lt;'112'!$K$9,$O6095='112'!$I$6)),"x",""))</f>
        <v/>
      </c>
      <c r="W6095" s="79" t="str">
        <f>IF(AND('341-CT'!$H$9=H6095,OR(LEFT(N6095,3)=$W$7,LEFT(O6095,3)=$W$7)),"x","")</f>
        <v/>
      </c>
      <c r="X6095" s="79" t="str">
        <f>IF(OR(TH!N6095=TH!$X$7,O6095=TH!$X$7),"x","")</f>
        <v/>
      </c>
      <c r="Y6095" s="79" t="str">
        <f>IF(AND(OR(N6095="131",O6095="131"),H6095='131-CT'!$H$9),"x","")</f>
        <v/>
      </c>
      <c r="Z6095" s="79"/>
      <c r="AA6095" s="79" t="str">
        <f>IF(AND(MONTH(E6095)='IN-NX'!$J$5,'IN-NX'!$D$7=D6095),"x","")</f>
        <v/>
      </c>
      <c r="AB6095" s="79" t="str">
        <f>IF(AND(OR(LEFT(TH!N6095,2)="15",LEFT(TH!O6095,2)="15"),LEFT(TH!O6095,3)&lt;&gt;"111",'152-CT'!$J$8=TH!F6095),"x","")</f>
        <v/>
      </c>
      <c r="AC6095" s="79" t="str">
        <f>IF(AND(OR(LEFT(TH!N6095,2)="15",LEFT(TH!O6095,2)="15"),TK!$E$7=TH!F6095),"x","")</f>
        <v/>
      </c>
      <c r="AD6095" s="79" t="str">
        <f>IF(AND(N6095="1521",MONTH(C6095)='BK-NL'!$M$11),"x","")</f>
        <v/>
      </c>
    </row>
    <row r="6096" spans="1:30" ht="16.5" customHeight="1">
      <c r="A6096" s="318" t="str">
        <f>IF(B6096&lt;&gt;"",IF(AND(B6096='IN-TC'!$S$4,OR(TH!N6096="1111",TH!O6096="1111")),TH!D6096,""),"")</f>
        <v/>
      </c>
      <c r="B6096" s="60" t="str">
        <f t="shared" si="516"/>
        <v/>
      </c>
      <c r="C6096" s="61"/>
      <c r="D6096" s="61"/>
      <c r="E6096" s="61"/>
      <c r="F6096" s="69"/>
      <c r="G6096" s="64"/>
      <c r="H6096" s="321"/>
      <c r="I6096" s="385"/>
      <c r="J6096" s="392"/>
      <c r="K6096" s="385"/>
      <c r="L6096" s="392"/>
      <c r="M6096" s="62"/>
      <c r="N6096" s="63"/>
      <c r="O6096" s="63"/>
      <c r="P6096" s="79" t="str">
        <f>IF(AND('331-CT'!$E$7=TH!H6096,OR(N6096="331",O6096="331")),"x","")</f>
        <v/>
      </c>
      <c r="Q6096" s="79" t="str">
        <f>IF(AND(B6096='111'!$L$11,OR($N6096=$Q$7,$O6096=$Q$7)),"x","")</f>
        <v/>
      </c>
      <c r="R6096" s="79" t="str">
        <f>IF(AND($N6096=$Q$7,$B6096&lt;'111'!$L$11),"x","")</f>
        <v/>
      </c>
      <c r="S6096" s="79" t="str">
        <f>IF(AND($O6096=$Q$7,$B6096&lt;'111'!$L$11),"x","")</f>
        <v/>
      </c>
      <c r="T6096" s="79" t="str">
        <f>IF(ISERROR(FIND('112'!$M$9,G6096,1)),"",IF((AND(FIND('112'!$M$9,G6096,1)&gt;=1,B6096='112'!$K$9,OR($N6096='112'!$I$6,$O6096='112'!$I$6))),"x",""))</f>
        <v/>
      </c>
      <c r="U6096" s="79" t="str">
        <f>IF(ISERROR(FIND('112'!$M$9,G6096,1)),"",IF((AND(LEFT(G6096,2)=LEFT('112'!$M$9,2),B6096&lt;'112'!$K$9,$N6096='112'!$I$6)),"x",""))</f>
        <v/>
      </c>
      <c r="V6096" s="79" t="str">
        <f>IF(ISERROR(FIND('112'!$M$9,G6096,1)),"",IF((AND(RIGHT(G6096,2)=RIGHT('112'!$M$9,2),B6096&lt;'112'!$K$9,$O6096='112'!$I$6)),"x",""))</f>
        <v/>
      </c>
      <c r="W6096" s="79" t="str">
        <f>IF(AND('341-CT'!$H$9=H6096,OR(LEFT(N6096,3)=$W$7,LEFT(O6096,3)=$W$7)),"x","")</f>
        <v/>
      </c>
      <c r="X6096" s="79" t="str">
        <f>IF(OR(TH!N6096=TH!$X$7,O6096=TH!$X$7),"x","")</f>
        <v/>
      </c>
      <c r="Y6096" s="79" t="str">
        <f>IF(AND(OR(N6096="131",O6096="131"),H6096='131-CT'!$H$9),"x","")</f>
        <v/>
      </c>
      <c r="Z6096" s="79"/>
      <c r="AA6096" s="79" t="str">
        <f>IF(AND(MONTH(E6096)='IN-NX'!$J$5,'IN-NX'!$D$7=D6096),"x","")</f>
        <v/>
      </c>
      <c r="AB6096" s="79" t="str">
        <f>IF(AND(OR(LEFT(TH!N6096,2)="15",LEFT(TH!O6096,2)="15"),LEFT(TH!O6096,3)&lt;&gt;"111",'152-CT'!$J$8=TH!F6096),"x","")</f>
        <v/>
      </c>
      <c r="AC6096" s="79" t="str">
        <f>IF(AND(OR(LEFT(TH!N6096,2)="15",LEFT(TH!O6096,2)="15"),TK!$E$7=TH!F6096),"x","")</f>
        <v/>
      </c>
      <c r="AD6096" s="79" t="str">
        <f>IF(AND(N6096="1521",MONTH(C6096)='BK-NL'!$M$11),"x","")</f>
        <v/>
      </c>
    </row>
    <row r="6097" spans="1:30" ht="16.5" customHeight="1">
      <c r="A6097" s="318" t="str">
        <f>IF(B6097&lt;&gt;"",IF(AND(B6097='IN-TC'!$S$4,OR(TH!N6097="1111",TH!O6097="1111")),TH!D6097,""),"")</f>
        <v/>
      </c>
      <c r="B6097" s="60" t="str">
        <f t="shared" si="516"/>
        <v/>
      </c>
      <c r="C6097" s="61"/>
      <c r="D6097" s="61"/>
      <c r="E6097" s="61"/>
      <c r="F6097" s="69"/>
      <c r="G6097" s="64"/>
      <c r="H6097" s="321"/>
      <c r="I6097" s="385"/>
      <c r="J6097" s="392"/>
      <c r="K6097" s="385"/>
      <c r="L6097" s="392"/>
      <c r="M6097" s="62"/>
      <c r="N6097" s="63"/>
      <c r="O6097" s="63"/>
      <c r="P6097" s="79" t="str">
        <f>IF(AND('331-CT'!$E$7=TH!H6097,OR(N6097="331",O6097="331")),"x","")</f>
        <v/>
      </c>
      <c r="Q6097" s="79" t="str">
        <f>IF(AND(B6097='111'!$L$11,OR($N6097=$Q$7,$O6097=$Q$7)),"x","")</f>
        <v/>
      </c>
      <c r="R6097" s="79" t="str">
        <f>IF(AND($N6097=$Q$7,$B6097&lt;'111'!$L$11),"x","")</f>
        <v/>
      </c>
      <c r="S6097" s="79" t="str">
        <f>IF(AND($O6097=$Q$7,$B6097&lt;'111'!$L$11),"x","")</f>
        <v/>
      </c>
      <c r="T6097" s="79" t="str">
        <f>IF(ISERROR(FIND('112'!$M$9,G6097,1)),"",IF((AND(FIND('112'!$M$9,G6097,1)&gt;=1,B6097='112'!$K$9,OR($N6097='112'!$I$6,$O6097='112'!$I$6))),"x",""))</f>
        <v/>
      </c>
      <c r="U6097" s="79" t="str">
        <f>IF(ISERROR(FIND('112'!$M$9,G6097,1)),"",IF((AND(LEFT(G6097,2)=LEFT('112'!$M$9,2),B6097&lt;'112'!$K$9,$N6097='112'!$I$6)),"x",""))</f>
        <v/>
      </c>
      <c r="V6097" s="79" t="str">
        <f>IF(ISERROR(FIND('112'!$M$9,G6097,1)),"",IF((AND(RIGHT(G6097,2)=RIGHT('112'!$M$9,2),B6097&lt;'112'!$K$9,$O6097='112'!$I$6)),"x",""))</f>
        <v/>
      </c>
      <c r="W6097" s="79" t="str">
        <f>IF(AND('341-CT'!$H$9=H6097,OR(LEFT(N6097,3)=$W$7,LEFT(O6097,3)=$W$7)),"x","")</f>
        <v/>
      </c>
      <c r="X6097" s="79" t="str">
        <f>IF(OR(TH!N6097=TH!$X$7,O6097=TH!$X$7),"x","")</f>
        <v/>
      </c>
      <c r="Y6097" s="79" t="str">
        <f>IF(AND(OR(N6097="131",O6097="131"),H6097='131-CT'!$H$9),"x","")</f>
        <v/>
      </c>
      <c r="Z6097" s="79"/>
      <c r="AA6097" s="79" t="str">
        <f>IF(AND(MONTH(E6097)='IN-NX'!$J$5,'IN-NX'!$D$7=D6097),"x","")</f>
        <v/>
      </c>
      <c r="AB6097" s="79" t="str">
        <f>IF(AND(OR(LEFT(TH!N6097,2)="15",LEFT(TH!O6097,2)="15"),LEFT(TH!O6097,3)&lt;&gt;"111",'152-CT'!$J$8=TH!F6097),"x","")</f>
        <v/>
      </c>
      <c r="AC6097" s="79" t="str">
        <f>IF(AND(OR(LEFT(TH!N6097,2)="15",LEFT(TH!O6097,2)="15"),TK!$E$7=TH!F6097),"x","")</f>
        <v/>
      </c>
      <c r="AD6097" s="79" t="str">
        <f>IF(AND(N6097="1521",MONTH(C6097)='BK-NL'!$M$11),"x","")</f>
        <v/>
      </c>
    </row>
    <row r="6098" spans="1:30" ht="16.5" customHeight="1">
      <c r="A6098" s="318" t="str">
        <f>IF(B6098&lt;&gt;"",IF(AND(B6098='IN-TC'!$S$4,OR(TH!N6098="1111",TH!O6098="1111")),TH!D6098,""),"")</f>
        <v/>
      </c>
      <c r="B6098" s="60" t="str">
        <f t="shared" si="516"/>
        <v/>
      </c>
      <c r="C6098" s="61"/>
      <c r="D6098" s="61"/>
      <c r="E6098" s="61"/>
      <c r="F6098" s="69"/>
      <c r="G6098" s="64"/>
      <c r="H6098" s="321"/>
      <c r="I6098" s="385"/>
      <c r="J6098" s="392"/>
      <c r="K6098" s="385"/>
      <c r="L6098" s="392"/>
      <c r="M6098" s="62"/>
      <c r="N6098" s="63"/>
      <c r="O6098" s="63"/>
      <c r="P6098" s="79" t="str">
        <f>IF(AND('331-CT'!$E$7=TH!H6098,OR(N6098="331",O6098="331")),"x","")</f>
        <v/>
      </c>
      <c r="Q6098" s="79" t="str">
        <f>IF(AND(B6098='111'!$L$11,OR($N6098=$Q$7,$O6098=$Q$7)),"x","")</f>
        <v/>
      </c>
      <c r="R6098" s="79" t="str">
        <f>IF(AND($N6098=$Q$7,$B6098&lt;'111'!$L$11),"x","")</f>
        <v/>
      </c>
      <c r="S6098" s="79" t="str">
        <f>IF(AND($O6098=$Q$7,$B6098&lt;'111'!$L$11),"x","")</f>
        <v/>
      </c>
      <c r="T6098" s="79" t="str">
        <f>IF(ISERROR(FIND('112'!$M$9,G6098,1)),"",IF((AND(FIND('112'!$M$9,G6098,1)&gt;=1,B6098='112'!$K$9,OR($N6098='112'!$I$6,$O6098='112'!$I$6))),"x",""))</f>
        <v/>
      </c>
      <c r="U6098" s="79" t="str">
        <f>IF(ISERROR(FIND('112'!$M$9,G6098,1)),"",IF((AND(LEFT(G6098,2)=LEFT('112'!$M$9,2),B6098&lt;'112'!$K$9,$N6098='112'!$I$6)),"x",""))</f>
        <v/>
      </c>
      <c r="V6098" s="79" t="str">
        <f>IF(ISERROR(FIND('112'!$M$9,G6098,1)),"",IF((AND(RIGHT(G6098,2)=RIGHT('112'!$M$9,2),B6098&lt;'112'!$K$9,$O6098='112'!$I$6)),"x",""))</f>
        <v/>
      </c>
      <c r="W6098" s="79" t="str">
        <f>IF(AND('341-CT'!$H$9=H6098,OR(LEFT(N6098,3)=$W$7,LEFT(O6098,3)=$W$7)),"x","")</f>
        <v/>
      </c>
      <c r="X6098" s="79" t="str">
        <f>IF(OR(TH!N6098=TH!$X$7,O6098=TH!$X$7),"x","")</f>
        <v/>
      </c>
      <c r="Y6098" s="79" t="str">
        <f>IF(AND(OR(N6098="131",O6098="131"),H6098='131-CT'!$H$9),"x","")</f>
        <v/>
      </c>
      <c r="Z6098" s="79"/>
      <c r="AA6098" s="79" t="str">
        <f>IF(AND(MONTH(E6098)='IN-NX'!$J$5,'IN-NX'!$D$7=D6098),"x","")</f>
        <v/>
      </c>
      <c r="AB6098" s="79" t="str">
        <f>IF(AND(OR(LEFT(TH!N6098,2)="15",LEFT(TH!O6098,2)="15"),LEFT(TH!O6098,3)&lt;&gt;"111",'152-CT'!$J$8=TH!F6098),"x","")</f>
        <v/>
      </c>
      <c r="AC6098" s="79" t="str">
        <f>IF(AND(OR(LEFT(TH!N6098,2)="15",LEFT(TH!O6098,2)="15"),TK!$E$7=TH!F6098),"x","")</f>
        <v/>
      </c>
      <c r="AD6098" s="79" t="str">
        <f>IF(AND(N6098="1521",MONTH(C6098)='BK-NL'!$M$11),"x","")</f>
        <v/>
      </c>
    </row>
    <row r="6099" spans="1:30" ht="16.5" customHeight="1">
      <c r="A6099" s="318" t="str">
        <f>IF(B6099&lt;&gt;"",IF(AND(B6099='IN-TC'!$S$4,OR(TH!N6099="1111",TH!O6099="1111")),TH!D6099,""),"")</f>
        <v/>
      </c>
      <c r="B6099" s="60" t="str">
        <f t="shared" si="516"/>
        <v/>
      </c>
      <c r="C6099" s="61"/>
      <c r="D6099" s="61"/>
      <c r="E6099" s="61"/>
      <c r="F6099" s="69"/>
      <c r="G6099" s="64"/>
      <c r="H6099" s="321"/>
      <c r="I6099" s="385"/>
      <c r="J6099" s="392"/>
      <c r="K6099" s="385"/>
      <c r="L6099" s="392"/>
      <c r="M6099" s="62"/>
      <c r="N6099" s="63"/>
      <c r="O6099" s="63"/>
      <c r="P6099" s="79" t="str">
        <f>IF(AND('331-CT'!$E$7=TH!H6099,OR(N6099="331",O6099="331")),"x","")</f>
        <v/>
      </c>
      <c r="Q6099" s="79" t="str">
        <f>IF(AND(B6099='111'!$L$11,OR($N6099=$Q$7,$O6099=$Q$7)),"x","")</f>
        <v/>
      </c>
      <c r="R6099" s="79" t="str">
        <f>IF(AND($N6099=$Q$7,$B6099&lt;'111'!$L$11),"x","")</f>
        <v/>
      </c>
      <c r="S6099" s="79" t="str">
        <f>IF(AND($O6099=$Q$7,$B6099&lt;'111'!$L$11),"x","")</f>
        <v/>
      </c>
      <c r="T6099" s="79" t="str">
        <f>IF(ISERROR(FIND('112'!$M$9,G6099,1)),"",IF((AND(FIND('112'!$M$9,G6099,1)&gt;=1,B6099='112'!$K$9,OR($N6099='112'!$I$6,$O6099='112'!$I$6))),"x",""))</f>
        <v/>
      </c>
      <c r="U6099" s="79" t="str">
        <f>IF(ISERROR(FIND('112'!$M$9,G6099,1)),"",IF((AND(LEFT(G6099,2)=LEFT('112'!$M$9,2),B6099&lt;'112'!$K$9,$N6099='112'!$I$6)),"x",""))</f>
        <v/>
      </c>
      <c r="V6099" s="79" t="str">
        <f>IF(ISERROR(FIND('112'!$M$9,G6099,1)),"",IF((AND(RIGHT(G6099,2)=RIGHT('112'!$M$9,2),B6099&lt;'112'!$K$9,$O6099='112'!$I$6)),"x",""))</f>
        <v/>
      </c>
      <c r="W6099" s="79" t="str">
        <f>IF(AND('341-CT'!$H$9=H6099,OR(LEFT(N6099,3)=$W$7,LEFT(O6099,3)=$W$7)),"x","")</f>
        <v/>
      </c>
      <c r="X6099" s="79" t="str">
        <f>IF(OR(TH!N6099=TH!$X$7,O6099=TH!$X$7),"x","")</f>
        <v/>
      </c>
      <c r="Y6099" s="79" t="str">
        <f>IF(AND(OR(N6099="131",O6099="131"),H6099='131-CT'!$H$9),"x","")</f>
        <v/>
      </c>
      <c r="Z6099" s="79"/>
      <c r="AA6099" s="79" t="str">
        <f>IF(AND(MONTH(E6099)='IN-NX'!$J$5,'IN-NX'!$D$7=D6099),"x","")</f>
        <v/>
      </c>
      <c r="AB6099" s="79" t="str">
        <f>IF(AND(OR(LEFT(TH!N6099,2)="15",LEFT(TH!O6099,2)="15"),LEFT(TH!O6099,3)&lt;&gt;"111",'152-CT'!$J$8=TH!F6099),"x","")</f>
        <v/>
      </c>
      <c r="AC6099" s="79" t="str">
        <f>IF(AND(OR(LEFT(TH!N6099,2)="15",LEFT(TH!O6099,2)="15"),TK!$E$7=TH!F6099),"x","")</f>
        <v/>
      </c>
      <c r="AD6099" s="79" t="str">
        <f>IF(AND(N6099="1521",MONTH(C6099)='BK-NL'!$M$11),"x","")</f>
        <v/>
      </c>
    </row>
    <row r="6100" spans="1:30" ht="16.5" customHeight="1">
      <c r="A6100" s="318" t="str">
        <f>IF(B6100&lt;&gt;"",IF(AND(B6100='IN-TC'!$S$4,OR(TH!N6100="1111",TH!O6100="1111")),TH!D6100,""),"")</f>
        <v/>
      </c>
      <c r="B6100" s="60" t="str">
        <f t="shared" si="516"/>
        <v/>
      </c>
      <c r="C6100" s="61"/>
      <c r="D6100" s="61"/>
      <c r="E6100" s="61"/>
      <c r="F6100" s="69"/>
      <c r="G6100" s="64"/>
      <c r="H6100" s="321"/>
      <c r="I6100" s="387"/>
      <c r="J6100" s="394"/>
      <c r="K6100" s="387"/>
      <c r="L6100" s="394"/>
      <c r="M6100" s="62"/>
      <c r="N6100" s="63"/>
      <c r="O6100" s="63"/>
      <c r="P6100" s="79" t="str">
        <f>IF(AND('331-CT'!$E$7=TH!H6100,OR(N6100="331",O6100="331")),"x","")</f>
        <v/>
      </c>
      <c r="Q6100" s="79" t="str">
        <f>IF(AND(B6100='111'!$L$11,OR($N6100=$Q$7,$O6100=$Q$7)),"x","")</f>
        <v/>
      </c>
      <c r="R6100" s="79" t="str">
        <f>IF(AND($N6100=$Q$7,$B6100&lt;'111'!$L$11),"x","")</f>
        <v/>
      </c>
      <c r="S6100" s="79" t="str">
        <f>IF(AND($O6100=$Q$7,$B6100&lt;'111'!$L$11),"x","")</f>
        <v/>
      </c>
      <c r="T6100" s="79" t="str">
        <f>IF(ISERROR(FIND('112'!$M$9,G6100,1)),"",IF((AND(FIND('112'!$M$9,G6100,1)&gt;=1,B6100='112'!$K$9,OR($N6100='112'!$I$6,$O6100='112'!$I$6))),"x",""))</f>
        <v/>
      </c>
      <c r="U6100" s="79" t="str">
        <f>IF(ISERROR(FIND('112'!$M$9,G6100,1)),"",IF((AND(LEFT(G6100,2)=LEFT('112'!$M$9,2),B6100&lt;'112'!$K$9,$N6100='112'!$I$6)),"x",""))</f>
        <v/>
      </c>
      <c r="V6100" s="79" t="str">
        <f>IF(ISERROR(FIND('112'!$M$9,G6100,1)),"",IF((AND(RIGHT(G6100,2)=RIGHT('112'!$M$9,2),B6100&lt;'112'!$K$9,$O6100='112'!$I$6)),"x",""))</f>
        <v/>
      </c>
      <c r="W6100" s="79" t="str">
        <f>IF(AND('341-CT'!$H$9=H6100,OR(LEFT(N6100,3)=$W$7,LEFT(O6100,3)=$W$7)),"x","")</f>
        <v/>
      </c>
      <c r="X6100" s="79" t="str">
        <f>IF(OR(TH!N6100=TH!$X$7,O6100=TH!$X$7),"x","")</f>
        <v/>
      </c>
      <c r="Y6100" s="79" t="str">
        <f>IF(AND(OR(N6100="131",O6100="131"),H6100='131-CT'!$H$9),"x","")</f>
        <v/>
      </c>
      <c r="Z6100" s="79"/>
      <c r="AA6100" s="79" t="str">
        <f>IF(AND(MONTH(E6100)='IN-NX'!$J$5,'IN-NX'!$D$7=D6100),"x","")</f>
        <v/>
      </c>
      <c r="AB6100" s="79" t="str">
        <f>IF(AND(OR(LEFT(TH!N6100,2)="15",LEFT(TH!O6100,2)="15"),LEFT(TH!O6100,3)&lt;&gt;"111",'152-CT'!$J$8=TH!F6100),"x","")</f>
        <v/>
      </c>
      <c r="AC6100" s="79" t="str">
        <f>IF(AND(OR(LEFT(TH!N6100,2)="15",LEFT(TH!O6100,2)="15"),TK!$E$7=TH!F6100),"x","")</f>
        <v/>
      </c>
      <c r="AD6100" s="79" t="str">
        <f>IF(AND(N6100="1521",MONTH(C6100)='BK-NL'!$M$11),"x","")</f>
        <v/>
      </c>
    </row>
    <row r="6101" spans="1:30" ht="16.5" customHeight="1">
      <c r="A6101" s="318" t="str">
        <f>IF(B6101&lt;&gt;"",IF(AND(B6101='IN-TC'!$S$4,OR(TH!N6101="1111",TH!O6101="1111")),TH!D6101,""),"")</f>
        <v/>
      </c>
      <c r="B6101" s="60" t="str">
        <f t="shared" si="516"/>
        <v/>
      </c>
      <c r="C6101" s="61"/>
      <c r="D6101" s="61"/>
      <c r="E6101" s="61"/>
      <c r="F6101" s="69"/>
      <c r="G6101" s="64"/>
      <c r="H6101" s="321"/>
      <c r="I6101" s="385"/>
      <c r="J6101" s="392"/>
      <c r="K6101" s="385"/>
      <c r="L6101" s="392"/>
      <c r="M6101" s="62"/>
      <c r="N6101" s="63"/>
      <c r="O6101" s="63"/>
      <c r="P6101" s="79" t="str">
        <f>IF(AND('331-CT'!$E$7=TH!H6101,OR(N6101="331",O6101="331")),"x","")</f>
        <v/>
      </c>
      <c r="Q6101" s="79" t="str">
        <f>IF(AND(B6101='111'!$L$11,OR($N6101=$Q$7,$O6101=$Q$7)),"x","")</f>
        <v/>
      </c>
      <c r="R6101" s="79" t="str">
        <f>IF(AND($N6101=$Q$7,$B6101&lt;'111'!$L$11),"x","")</f>
        <v/>
      </c>
      <c r="S6101" s="79" t="str">
        <f>IF(AND($O6101=$Q$7,$B6101&lt;'111'!$L$11),"x","")</f>
        <v/>
      </c>
      <c r="T6101" s="79" t="str">
        <f>IF(ISERROR(FIND('112'!$M$9,G6101,1)),"",IF((AND(FIND('112'!$M$9,G6101,1)&gt;=1,B6101='112'!$K$9,OR($N6101='112'!$I$6,$O6101='112'!$I$6))),"x",""))</f>
        <v/>
      </c>
      <c r="U6101" s="79" t="str">
        <f>IF(ISERROR(FIND('112'!$M$9,G6101,1)),"",IF((AND(LEFT(G6101,2)=LEFT('112'!$M$9,2),B6101&lt;'112'!$K$9,$N6101='112'!$I$6)),"x",""))</f>
        <v/>
      </c>
      <c r="V6101" s="79" t="str">
        <f>IF(ISERROR(FIND('112'!$M$9,G6101,1)),"",IF((AND(RIGHT(G6101,2)=RIGHT('112'!$M$9,2),B6101&lt;'112'!$K$9,$O6101='112'!$I$6)),"x",""))</f>
        <v/>
      </c>
      <c r="W6101" s="79" t="str">
        <f>IF(AND('341-CT'!$H$9=H6101,OR(LEFT(N6101,3)=$W$7,LEFT(O6101,3)=$W$7)),"x","")</f>
        <v/>
      </c>
      <c r="X6101" s="79" t="str">
        <f>IF(OR(TH!N6101=TH!$X$7,O6101=TH!$X$7),"x","")</f>
        <v/>
      </c>
      <c r="Y6101" s="79" t="str">
        <f>IF(AND(OR(N6101="131",O6101="131"),H6101='131-CT'!$H$9),"x","")</f>
        <v/>
      </c>
      <c r="Z6101" s="79"/>
      <c r="AA6101" s="79" t="str">
        <f>IF(AND(MONTH(E6101)='IN-NX'!$J$5,'IN-NX'!$D$7=D6101),"x","")</f>
        <v/>
      </c>
      <c r="AB6101" s="79" t="str">
        <f>IF(AND(OR(LEFT(TH!N6101,2)="15",LEFT(TH!O6101,2)="15"),LEFT(TH!O6101,3)&lt;&gt;"111",'152-CT'!$J$8=TH!F6101),"x","")</f>
        <v/>
      </c>
      <c r="AC6101" s="79" t="str">
        <f>IF(AND(OR(LEFT(TH!N6101,2)="15",LEFT(TH!O6101,2)="15"),TK!$E$7=TH!F6101),"x","")</f>
        <v/>
      </c>
      <c r="AD6101" s="79" t="str">
        <f>IF(AND(N6101="1521",MONTH(C6101)='BK-NL'!$M$11),"x","")</f>
        <v/>
      </c>
    </row>
    <row r="6102" spans="1:30" ht="16.5" customHeight="1">
      <c r="A6102" s="318" t="str">
        <f>IF(B6102&lt;&gt;"",IF(AND(B6102='IN-TC'!$S$4,OR(TH!N6102="1111",TH!O6102="1111")),TH!D6102,""),"")</f>
        <v/>
      </c>
      <c r="B6102" s="60" t="str">
        <f t="shared" si="516"/>
        <v/>
      </c>
      <c r="C6102" s="61"/>
      <c r="D6102" s="61"/>
      <c r="E6102" s="61"/>
      <c r="F6102" s="69"/>
      <c r="G6102" s="64"/>
      <c r="H6102" s="321"/>
      <c r="I6102" s="387"/>
      <c r="J6102" s="394"/>
      <c r="K6102" s="387"/>
      <c r="L6102" s="394"/>
      <c r="M6102" s="62"/>
      <c r="N6102" s="63"/>
      <c r="O6102" s="63"/>
      <c r="P6102" s="79" t="str">
        <f>IF(AND('331-CT'!$E$7=TH!H6102,OR(N6102="331",O6102="331")),"x","")</f>
        <v/>
      </c>
      <c r="Q6102" s="79" t="str">
        <f>IF(AND(B6102='111'!$L$11,OR($N6102=$Q$7,$O6102=$Q$7)),"x","")</f>
        <v/>
      </c>
      <c r="R6102" s="79" t="str">
        <f>IF(AND($N6102=$Q$7,$B6102&lt;'111'!$L$11),"x","")</f>
        <v/>
      </c>
      <c r="S6102" s="79" t="str">
        <f>IF(AND($O6102=$Q$7,$B6102&lt;'111'!$L$11),"x","")</f>
        <v/>
      </c>
      <c r="T6102" s="79" t="str">
        <f>IF(ISERROR(FIND('112'!$M$9,G6102,1)),"",IF((AND(FIND('112'!$M$9,G6102,1)&gt;=1,B6102='112'!$K$9,OR($N6102='112'!$I$6,$O6102='112'!$I$6))),"x",""))</f>
        <v/>
      </c>
      <c r="U6102" s="79" t="str">
        <f>IF(ISERROR(FIND('112'!$M$9,G6102,1)),"",IF((AND(LEFT(G6102,2)=LEFT('112'!$M$9,2),B6102&lt;'112'!$K$9,$N6102='112'!$I$6)),"x",""))</f>
        <v/>
      </c>
      <c r="V6102" s="79" t="str">
        <f>IF(ISERROR(FIND('112'!$M$9,G6102,1)),"",IF((AND(RIGHT(G6102,2)=RIGHT('112'!$M$9,2),B6102&lt;'112'!$K$9,$O6102='112'!$I$6)),"x",""))</f>
        <v/>
      </c>
      <c r="W6102" s="79" t="str">
        <f>IF(AND('341-CT'!$H$9=H6102,OR(LEFT(N6102,3)=$W$7,LEFT(O6102,3)=$W$7)),"x","")</f>
        <v/>
      </c>
      <c r="X6102" s="79" t="str">
        <f>IF(OR(TH!N6102=TH!$X$7,O6102=TH!$X$7),"x","")</f>
        <v/>
      </c>
      <c r="Y6102" s="79" t="str">
        <f>IF(AND(OR(N6102="131",O6102="131"),H6102='131-CT'!$H$9),"x","")</f>
        <v/>
      </c>
      <c r="Z6102" s="79"/>
      <c r="AA6102" s="79" t="str">
        <f>IF(AND(MONTH(E6102)='IN-NX'!$J$5,'IN-NX'!$D$7=D6102),"x","")</f>
        <v/>
      </c>
      <c r="AB6102" s="79" t="str">
        <f>IF(AND(OR(LEFT(TH!N6102,2)="15",LEFT(TH!O6102,2)="15"),LEFT(TH!O6102,3)&lt;&gt;"111",'152-CT'!$J$8=TH!F6102),"x","")</f>
        <v/>
      </c>
      <c r="AC6102" s="79" t="str">
        <f>IF(AND(OR(LEFT(TH!N6102,2)="15",LEFT(TH!O6102,2)="15"),TK!$E$7=TH!F6102),"x","")</f>
        <v/>
      </c>
      <c r="AD6102" s="79" t="str">
        <f>IF(AND(N6102="1521",MONTH(C6102)='BK-NL'!$M$11),"x","")</f>
        <v/>
      </c>
    </row>
    <row r="6103" spans="1:30" ht="16.5" customHeight="1">
      <c r="A6103" s="318" t="str">
        <f>IF(B6103&lt;&gt;"",IF(AND(B6103='IN-TC'!$S$4,OR(TH!N6103="1111",TH!O6103="1111")),TH!D6103,""),"")</f>
        <v/>
      </c>
      <c r="B6103" s="60" t="str">
        <f t="shared" si="516"/>
        <v/>
      </c>
      <c r="C6103" s="61"/>
      <c r="D6103" s="61"/>
      <c r="E6103" s="61"/>
      <c r="F6103" s="69"/>
      <c r="G6103" s="64"/>
      <c r="H6103" s="321"/>
      <c r="I6103" s="387"/>
      <c r="J6103" s="394"/>
      <c r="K6103" s="387"/>
      <c r="L6103" s="394"/>
      <c r="M6103" s="62"/>
      <c r="N6103" s="63"/>
      <c r="O6103" s="63"/>
      <c r="P6103" s="79" t="str">
        <f>IF(AND('331-CT'!$E$7=TH!H6103,OR(N6103="331",O6103="331")),"x","")</f>
        <v/>
      </c>
      <c r="Q6103" s="79" t="str">
        <f>IF(AND(B6103='111'!$L$11,OR($N6103=$Q$7,$O6103=$Q$7)),"x","")</f>
        <v/>
      </c>
      <c r="R6103" s="79" t="str">
        <f>IF(AND($N6103=$Q$7,$B6103&lt;'111'!$L$11),"x","")</f>
        <v/>
      </c>
      <c r="S6103" s="79" t="str">
        <f>IF(AND($O6103=$Q$7,$B6103&lt;'111'!$L$11),"x","")</f>
        <v/>
      </c>
      <c r="T6103" s="79" t="str">
        <f>IF(ISERROR(FIND('112'!$M$9,G6103,1)),"",IF((AND(FIND('112'!$M$9,G6103,1)&gt;=1,B6103='112'!$K$9,OR($N6103='112'!$I$6,$O6103='112'!$I$6))),"x",""))</f>
        <v/>
      </c>
      <c r="U6103" s="79" t="str">
        <f>IF(ISERROR(FIND('112'!$M$9,G6103,1)),"",IF((AND(LEFT(G6103,2)=LEFT('112'!$M$9,2),B6103&lt;'112'!$K$9,$N6103='112'!$I$6)),"x",""))</f>
        <v/>
      </c>
      <c r="V6103" s="79" t="str">
        <f>IF(ISERROR(FIND('112'!$M$9,G6103,1)),"",IF((AND(RIGHT(G6103,2)=RIGHT('112'!$M$9,2),B6103&lt;'112'!$K$9,$O6103='112'!$I$6)),"x",""))</f>
        <v/>
      </c>
      <c r="W6103" s="79" t="str">
        <f>IF(AND('341-CT'!$H$9=H6103,OR(LEFT(N6103,3)=$W$7,LEFT(O6103,3)=$W$7)),"x","")</f>
        <v/>
      </c>
      <c r="X6103" s="79" t="str">
        <f>IF(OR(TH!N6103=TH!$X$7,O6103=TH!$X$7),"x","")</f>
        <v/>
      </c>
      <c r="Y6103" s="79" t="str">
        <f>IF(AND(OR(N6103="131",O6103="131"),H6103='131-CT'!$H$9),"x","")</f>
        <v/>
      </c>
      <c r="Z6103" s="79"/>
      <c r="AA6103" s="79" t="str">
        <f>IF(AND(MONTH(E6103)='IN-NX'!$J$5,'IN-NX'!$D$7=D6103),"x","")</f>
        <v/>
      </c>
      <c r="AB6103" s="79" t="str">
        <f>IF(AND(OR(LEFT(TH!N6103,2)="15",LEFT(TH!O6103,2)="15"),LEFT(TH!O6103,3)&lt;&gt;"111",'152-CT'!$J$8=TH!F6103),"x","")</f>
        <v/>
      </c>
      <c r="AC6103" s="79" t="str">
        <f>IF(AND(OR(LEFT(TH!N6103,2)="15",LEFT(TH!O6103,2)="15"),TK!$E$7=TH!F6103),"x","")</f>
        <v/>
      </c>
      <c r="AD6103" s="79" t="str">
        <f>IF(AND(N6103="1521",MONTH(C6103)='BK-NL'!$M$11),"x","")</f>
        <v/>
      </c>
    </row>
    <row r="6104" spans="1:30" ht="16.5" customHeight="1">
      <c r="A6104" s="318" t="str">
        <f>IF(B6104&lt;&gt;"",IF(AND(B6104='IN-TC'!$S$4,OR(TH!N6104="1111",TH!O6104="1111")),TH!D6104,""),"")</f>
        <v/>
      </c>
      <c r="B6104" s="60" t="str">
        <f t="shared" si="516"/>
        <v/>
      </c>
      <c r="C6104" s="61"/>
      <c r="D6104" s="61"/>
      <c r="E6104" s="61"/>
      <c r="F6104" s="69"/>
      <c r="G6104" s="64"/>
      <c r="H6104" s="321"/>
      <c r="I6104" s="385"/>
      <c r="J6104" s="392"/>
      <c r="K6104" s="385"/>
      <c r="L6104" s="392"/>
      <c r="M6104" s="62"/>
      <c r="N6104" s="63"/>
      <c r="O6104" s="63"/>
      <c r="P6104" s="79" t="str">
        <f>IF(AND('331-CT'!$E$7=TH!H6104,OR(N6104="331",O6104="331")),"x","")</f>
        <v/>
      </c>
      <c r="Q6104" s="79" t="str">
        <f>IF(AND(B6104='111'!$L$11,OR($N6104=$Q$7,$O6104=$Q$7)),"x","")</f>
        <v/>
      </c>
      <c r="R6104" s="79" t="str">
        <f>IF(AND($N6104=$Q$7,$B6104&lt;'111'!$L$11),"x","")</f>
        <v/>
      </c>
      <c r="S6104" s="79" t="str">
        <f>IF(AND($O6104=$Q$7,$B6104&lt;'111'!$L$11),"x","")</f>
        <v/>
      </c>
      <c r="T6104" s="79" t="str">
        <f>IF(ISERROR(FIND('112'!$M$9,G6104,1)),"",IF((AND(FIND('112'!$M$9,G6104,1)&gt;=1,B6104='112'!$K$9,OR($N6104='112'!$I$6,$O6104='112'!$I$6))),"x",""))</f>
        <v/>
      </c>
      <c r="U6104" s="79" t="str">
        <f>IF(ISERROR(FIND('112'!$M$9,G6104,1)),"",IF((AND(LEFT(G6104,2)=LEFT('112'!$M$9,2),B6104&lt;'112'!$K$9,$N6104='112'!$I$6)),"x",""))</f>
        <v/>
      </c>
      <c r="V6104" s="79" t="str">
        <f>IF(ISERROR(FIND('112'!$M$9,G6104,1)),"",IF((AND(RIGHT(G6104,2)=RIGHT('112'!$M$9,2),B6104&lt;'112'!$K$9,$O6104='112'!$I$6)),"x",""))</f>
        <v/>
      </c>
      <c r="W6104" s="79" t="str">
        <f>IF(AND('341-CT'!$H$9=H6104,OR(LEFT(N6104,3)=$W$7,LEFT(O6104,3)=$W$7)),"x","")</f>
        <v/>
      </c>
      <c r="X6104" s="79" t="str">
        <f>IF(OR(TH!N6104=TH!$X$7,O6104=TH!$X$7),"x","")</f>
        <v/>
      </c>
      <c r="Y6104" s="79" t="str">
        <f>IF(AND(OR(N6104="131",O6104="131"),H6104='131-CT'!$H$9),"x","")</f>
        <v/>
      </c>
      <c r="Z6104" s="79"/>
      <c r="AA6104" s="79" t="str">
        <f>IF(AND(MONTH(E6104)='IN-NX'!$J$5,'IN-NX'!$D$7=D6104),"x","")</f>
        <v/>
      </c>
      <c r="AB6104" s="79" t="str">
        <f>IF(AND(OR(LEFT(TH!N6104,2)="15",LEFT(TH!O6104,2)="15"),LEFT(TH!O6104,3)&lt;&gt;"111",'152-CT'!$J$8=TH!F6104),"x","")</f>
        <v/>
      </c>
      <c r="AC6104" s="79" t="str">
        <f>IF(AND(OR(LEFT(TH!N6104,2)="15",LEFT(TH!O6104,2)="15"),TK!$E$7=TH!F6104),"x","")</f>
        <v/>
      </c>
      <c r="AD6104" s="79" t="str">
        <f>IF(AND(N6104="1521",MONTH(C6104)='BK-NL'!$M$11),"x","")</f>
        <v/>
      </c>
    </row>
    <row r="6105" spans="1:30" ht="16.5" customHeight="1">
      <c r="A6105" s="318" t="str">
        <f>IF(B6105&lt;&gt;"",IF(AND(B6105='IN-TC'!$S$4,OR(TH!N6105="1111",TH!O6105="1111")),TH!D6105,""),"")</f>
        <v/>
      </c>
      <c r="B6105" s="60" t="str">
        <f t="shared" si="516"/>
        <v/>
      </c>
      <c r="C6105" s="61"/>
      <c r="D6105" s="61"/>
      <c r="E6105" s="61"/>
      <c r="F6105" s="69"/>
      <c r="G6105" s="64"/>
      <c r="H6105" s="321"/>
      <c r="I6105" s="385"/>
      <c r="J6105" s="392"/>
      <c r="K6105" s="385"/>
      <c r="L6105" s="392"/>
      <c r="M6105" s="62"/>
      <c r="N6105" s="63"/>
      <c r="O6105" s="63"/>
      <c r="P6105" s="79" t="str">
        <f>IF(AND('331-CT'!$E$7=TH!H6105,OR(N6105="331",O6105="331")),"x","")</f>
        <v/>
      </c>
      <c r="Q6105" s="79" t="str">
        <f>IF(AND(B6105='111'!$L$11,OR($N6105=$Q$7,$O6105=$Q$7)),"x","")</f>
        <v/>
      </c>
      <c r="R6105" s="79" t="str">
        <f>IF(AND($N6105=$Q$7,$B6105&lt;'111'!$L$11),"x","")</f>
        <v/>
      </c>
      <c r="S6105" s="79" t="str">
        <f>IF(AND($O6105=$Q$7,$B6105&lt;'111'!$L$11),"x","")</f>
        <v/>
      </c>
      <c r="T6105" s="79" t="str">
        <f>IF(ISERROR(FIND('112'!$M$9,G6105,1)),"",IF((AND(FIND('112'!$M$9,G6105,1)&gt;=1,B6105='112'!$K$9,OR($N6105='112'!$I$6,$O6105='112'!$I$6))),"x",""))</f>
        <v/>
      </c>
      <c r="U6105" s="79" t="str">
        <f>IF(ISERROR(FIND('112'!$M$9,G6105,1)),"",IF((AND(LEFT(G6105,2)=LEFT('112'!$M$9,2),B6105&lt;'112'!$K$9,$N6105='112'!$I$6)),"x",""))</f>
        <v/>
      </c>
      <c r="V6105" s="79" t="str">
        <f>IF(ISERROR(FIND('112'!$M$9,G6105,1)),"",IF((AND(RIGHT(G6105,2)=RIGHT('112'!$M$9,2),B6105&lt;'112'!$K$9,$O6105='112'!$I$6)),"x",""))</f>
        <v/>
      </c>
      <c r="W6105" s="79" t="str">
        <f>IF(AND('341-CT'!$H$9=H6105,OR(LEFT(N6105,3)=$W$7,LEFT(O6105,3)=$W$7)),"x","")</f>
        <v/>
      </c>
      <c r="X6105" s="79" t="str">
        <f>IF(OR(TH!N6105=TH!$X$7,O6105=TH!$X$7),"x","")</f>
        <v/>
      </c>
      <c r="Y6105" s="79" t="str">
        <f>IF(AND(OR(N6105="131",O6105="131"),H6105='131-CT'!$H$9),"x","")</f>
        <v/>
      </c>
      <c r="Z6105" s="79"/>
      <c r="AA6105" s="79" t="str">
        <f>IF(AND(MONTH(E6105)='IN-NX'!$J$5,'IN-NX'!$D$7=D6105),"x","")</f>
        <v/>
      </c>
      <c r="AB6105" s="79" t="str">
        <f>IF(AND(OR(LEFT(TH!N6105,2)="15",LEFT(TH!O6105,2)="15"),LEFT(TH!O6105,3)&lt;&gt;"111",'152-CT'!$J$8=TH!F6105),"x","")</f>
        <v/>
      </c>
      <c r="AC6105" s="79" t="str">
        <f>IF(AND(OR(LEFT(TH!N6105,2)="15",LEFT(TH!O6105,2)="15"),TK!$E$7=TH!F6105),"x","")</f>
        <v/>
      </c>
      <c r="AD6105" s="79" t="str">
        <f>IF(AND(N6105="1521",MONTH(C6105)='BK-NL'!$M$11),"x","")</f>
        <v/>
      </c>
    </row>
    <row r="6106" spans="1:30" ht="16.5" customHeight="1">
      <c r="A6106" s="318" t="str">
        <f>IF(B6106&lt;&gt;"",IF(AND(B6106='IN-TC'!$S$4,OR(TH!N6106="1111",TH!O6106="1111")),TH!D6106,""),"")</f>
        <v/>
      </c>
      <c r="B6106" s="60" t="str">
        <f t="shared" si="516"/>
        <v/>
      </c>
      <c r="C6106" s="61"/>
      <c r="D6106" s="61"/>
      <c r="E6106" s="61"/>
      <c r="F6106" s="69"/>
      <c r="G6106" s="64"/>
      <c r="H6106" s="321"/>
      <c r="I6106" s="385"/>
      <c r="J6106" s="392"/>
      <c r="K6106" s="385"/>
      <c r="L6106" s="392"/>
      <c r="M6106" s="62"/>
      <c r="N6106" s="63"/>
      <c r="O6106" s="63"/>
      <c r="P6106" s="79" t="str">
        <f>IF(AND('331-CT'!$E$7=TH!H6106,OR(N6106="331",O6106="331")),"x","")</f>
        <v/>
      </c>
      <c r="Q6106" s="79" t="str">
        <f>IF(AND(B6106='111'!$L$11,OR($N6106=$Q$7,$O6106=$Q$7)),"x","")</f>
        <v/>
      </c>
      <c r="R6106" s="79" t="str">
        <f>IF(AND($N6106=$Q$7,$B6106&lt;'111'!$L$11),"x","")</f>
        <v/>
      </c>
      <c r="S6106" s="79" t="str">
        <f>IF(AND($O6106=$Q$7,$B6106&lt;'111'!$L$11),"x","")</f>
        <v/>
      </c>
      <c r="T6106" s="79" t="str">
        <f>IF(ISERROR(FIND('112'!$M$9,G6106,1)),"",IF((AND(FIND('112'!$M$9,G6106,1)&gt;=1,B6106='112'!$K$9,OR($N6106='112'!$I$6,$O6106='112'!$I$6))),"x",""))</f>
        <v/>
      </c>
      <c r="U6106" s="79" t="str">
        <f>IF(ISERROR(FIND('112'!$M$9,G6106,1)),"",IF((AND(LEFT(G6106,2)=LEFT('112'!$M$9,2),B6106&lt;'112'!$K$9,$N6106='112'!$I$6)),"x",""))</f>
        <v/>
      </c>
      <c r="V6106" s="79" t="str">
        <f>IF(ISERROR(FIND('112'!$M$9,G6106,1)),"",IF((AND(RIGHT(G6106,2)=RIGHT('112'!$M$9,2),B6106&lt;'112'!$K$9,$O6106='112'!$I$6)),"x",""))</f>
        <v/>
      </c>
      <c r="W6106" s="79" t="str">
        <f>IF(AND('341-CT'!$H$9=H6106,OR(LEFT(N6106,3)=$W$7,LEFT(O6106,3)=$W$7)),"x","")</f>
        <v/>
      </c>
      <c r="X6106" s="79" t="str">
        <f>IF(OR(TH!N6106=TH!$X$7,O6106=TH!$X$7),"x","")</f>
        <v/>
      </c>
      <c r="Y6106" s="79" t="str">
        <f>IF(AND(OR(N6106="131",O6106="131"),H6106='131-CT'!$H$9),"x","")</f>
        <v/>
      </c>
      <c r="Z6106" s="79"/>
      <c r="AA6106" s="79" t="str">
        <f>IF(AND(MONTH(E6106)='IN-NX'!$J$5,'IN-NX'!$D$7=D6106),"x","")</f>
        <v/>
      </c>
      <c r="AB6106" s="79" t="str">
        <f>IF(AND(OR(LEFT(TH!N6106,2)="15",LEFT(TH!O6106,2)="15"),LEFT(TH!O6106,3)&lt;&gt;"111",'152-CT'!$J$8=TH!F6106),"x","")</f>
        <v/>
      </c>
      <c r="AC6106" s="79" t="str">
        <f>IF(AND(OR(LEFT(TH!N6106,2)="15",LEFT(TH!O6106,2)="15"),TK!$E$7=TH!F6106),"x","")</f>
        <v/>
      </c>
      <c r="AD6106" s="79" t="str">
        <f>IF(AND(N6106="1521",MONTH(C6106)='BK-NL'!$M$11),"x","")</f>
        <v/>
      </c>
    </row>
    <row r="6107" spans="1:30" ht="16.5" customHeight="1">
      <c r="A6107" s="318" t="str">
        <f>IF(B6107&lt;&gt;"",IF(AND(B6107='IN-TC'!$S$4,OR(TH!N6107="1111",TH!O6107="1111")),TH!D6107,""),"")</f>
        <v/>
      </c>
      <c r="B6107" s="60" t="str">
        <f t="shared" si="516"/>
        <v/>
      </c>
      <c r="C6107" s="61"/>
      <c r="D6107" s="61"/>
      <c r="E6107" s="61"/>
      <c r="F6107" s="69"/>
      <c r="G6107" s="64"/>
      <c r="H6107" s="321"/>
      <c r="I6107" s="387"/>
      <c r="J6107" s="394"/>
      <c r="K6107" s="387"/>
      <c r="L6107" s="394"/>
      <c r="M6107" s="62"/>
      <c r="N6107" s="63"/>
      <c r="O6107" s="63"/>
      <c r="P6107" s="79" t="str">
        <f>IF(AND('331-CT'!$E$7=TH!H6107,OR(N6107="331",O6107="331")),"x","")</f>
        <v/>
      </c>
      <c r="Q6107" s="79" t="str">
        <f>IF(AND(B6107='111'!$L$11,OR($N6107=$Q$7,$O6107=$Q$7)),"x","")</f>
        <v/>
      </c>
      <c r="R6107" s="79" t="str">
        <f>IF(AND($N6107=$Q$7,$B6107&lt;'111'!$L$11),"x","")</f>
        <v/>
      </c>
      <c r="S6107" s="79" t="str">
        <f>IF(AND($O6107=$Q$7,$B6107&lt;'111'!$L$11),"x","")</f>
        <v/>
      </c>
      <c r="T6107" s="79" t="str">
        <f>IF(ISERROR(FIND('112'!$M$9,G6107,1)),"",IF((AND(FIND('112'!$M$9,G6107,1)&gt;=1,B6107='112'!$K$9,OR($N6107='112'!$I$6,$O6107='112'!$I$6))),"x",""))</f>
        <v/>
      </c>
      <c r="U6107" s="79" t="str">
        <f>IF(ISERROR(FIND('112'!$M$9,G6107,1)),"",IF((AND(LEFT(G6107,2)=LEFT('112'!$M$9,2),B6107&lt;'112'!$K$9,$N6107='112'!$I$6)),"x",""))</f>
        <v/>
      </c>
      <c r="V6107" s="79" t="str">
        <f>IF(ISERROR(FIND('112'!$M$9,G6107,1)),"",IF((AND(RIGHT(G6107,2)=RIGHT('112'!$M$9,2),B6107&lt;'112'!$K$9,$O6107='112'!$I$6)),"x",""))</f>
        <v/>
      </c>
      <c r="W6107" s="79" t="str">
        <f>IF(AND('341-CT'!$H$9=H6107,OR(LEFT(N6107,3)=$W$7,LEFT(O6107,3)=$W$7)),"x","")</f>
        <v/>
      </c>
      <c r="X6107" s="79" t="str">
        <f>IF(OR(TH!N6107=TH!$X$7,O6107=TH!$X$7),"x","")</f>
        <v/>
      </c>
      <c r="Y6107" s="79" t="str">
        <f>IF(AND(OR(N6107="131",O6107="131"),H6107='131-CT'!$H$9),"x","")</f>
        <v/>
      </c>
      <c r="Z6107" s="79"/>
      <c r="AA6107" s="79" t="str">
        <f>IF(AND(MONTH(E6107)='IN-NX'!$J$5,'IN-NX'!$D$7=D6107),"x","")</f>
        <v/>
      </c>
      <c r="AB6107" s="79" t="str">
        <f>IF(AND(OR(LEFT(TH!N6107,2)="15",LEFT(TH!O6107,2)="15"),LEFT(TH!O6107,3)&lt;&gt;"111",'152-CT'!$J$8=TH!F6107),"x","")</f>
        <v/>
      </c>
      <c r="AC6107" s="79" t="str">
        <f>IF(AND(OR(LEFT(TH!N6107,2)="15",LEFT(TH!O6107,2)="15"),TK!$E$7=TH!F6107),"x","")</f>
        <v/>
      </c>
      <c r="AD6107" s="79" t="str">
        <f>IF(AND(N6107="1521",MONTH(C6107)='BK-NL'!$M$11),"x","")</f>
        <v/>
      </c>
    </row>
    <row r="6108" spans="1:30" ht="16.5" customHeight="1">
      <c r="A6108" s="318" t="str">
        <f>IF(B6108&lt;&gt;"",IF(AND(B6108='IN-TC'!$S$4,OR(TH!N6108="1111",TH!O6108="1111")),TH!D6108,""),"")</f>
        <v/>
      </c>
      <c r="B6108" s="60" t="str">
        <f t="shared" si="516"/>
        <v/>
      </c>
      <c r="C6108" s="61"/>
      <c r="D6108" s="61"/>
      <c r="E6108" s="61"/>
      <c r="F6108" s="69"/>
      <c r="G6108" s="64"/>
      <c r="H6108" s="321"/>
      <c r="I6108" s="385"/>
      <c r="J6108" s="392"/>
      <c r="K6108" s="385"/>
      <c r="L6108" s="392"/>
      <c r="M6108" s="62"/>
      <c r="N6108" s="63"/>
      <c r="O6108" s="63"/>
      <c r="P6108" s="79" t="str">
        <f>IF(AND('331-CT'!$E$7=TH!H6108,OR(N6108="331",O6108="331")),"x","")</f>
        <v/>
      </c>
      <c r="Q6108" s="79" t="str">
        <f>IF(AND(B6108='111'!$L$11,OR($N6108=$Q$7,$O6108=$Q$7)),"x","")</f>
        <v/>
      </c>
      <c r="R6108" s="79" t="str">
        <f>IF(AND($N6108=$Q$7,$B6108&lt;'111'!$L$11),"x","")</f>
        <v/>
      </c>
      <c r="S6108" s="79" t="str">
        <f>IF(AND($O6108=$Q$7,$B6108&lt;'111'!$L$11),"x","")</f>
        <v/>
      </c>
      <c r="T6108" s="79" t="str">
        <f>IF(ISERROR(FIND('112'!$M$9,G6108,1)),"",IF((AND(FIND('112'!$M$9,G6108,1)&gt;=1,B6108='112'!$K$9,OR($N6108='112'!$I$6,$O6108='112'!$I$6))),"x",""))</f>
        <v/>
      </c>
      <c r="U6108" s="79" t="str">
        <f>IF(ISERROR(FIND('112'!$M$9,G6108,1)),"",IF((AND(LEFT(G6108,2)=LEFT('112'!$M$9,2),B6108&lt;'112'!$K$9,$N6108='112'!$I$6)),"x",""))</f>
        <v/>
      </c>
      <c r="V6108" s="79" t="str">
        <f>IF(ISERROR(FIND('112'!$M$9,G6108,1)),"",IF((AND(RIGHT(G6108,2)=RIGHT('112'!$M$9,2),B6108&lt;'112'!$K$9,$O6108='112'!$I$6)),"x",""))</f>
        <v/>
      </c>
      <c r="W6108" s="79" t="str">
        <f>IF(AND('341-CT'!$H$9=H6108,OR(LEFT(N6108,3)=$W$7,LEFT(O6108,3)=$W$7)),"x","")</f>
        <v/>
      </c>
      <c r="X6108" s="79" t="str">
        <f>IF(OR(TH!N6108=TH!$X$7,O6108=TH!$X$7),"x","")</f>
        <v/>
      </c>
      <c r="Y6108" s="79" t="str">
        <f>IF(AND(OR(N6108="131",O6108="131"),H6108='131-CT'!$H$9),"x","")</f>
        <v/>
      </c>
      <c r="Z6108" s="79"/>
      <c r="AA6108" s="79" t="str">
        <f>IF(AND(MONTH(E6108)='IN-NX'!$J$5,'IN-NX'!$D$7=D6108),"x","")</f>
        <v/>
      </c>
      <c r="AB6108" s="79" t="str">
        <f>IF(AND(OR(LEFT(TH!N6108,2)="15",LEFT(TH!O6108,2)="15"),LEFT(TH!O6108,3)&lt;&gt;"111",'152-CT'!$J$8=TH!F6108),"x","")</f>
        <v/>
      </c>
      <c r="AC6108" s="79" t="str">
        <f>IF(AND(OR(LEFT(TH!N6108,2)="15",LEFT(TH!O6108,2)="15"),TK!$E$7=TH!F6108),"x","")</f>
        <v/>
      </c>
      <c r="AD6108" s="79" t="str">
        <f>IF(AND(N6108="1521",MONTH(C6108)='BK-NL'!$M$11),"x","")</f>
        <v/>
      </c>
    </row>
    <row r="6109" spans="1:30" ht="16.5" customHeight="1">
      <c r="A6109" s="318" t="str">
        <f>IF(B6109&lt;&gt;"",IF(AND(B6109='IN-TC'!$S$4,OR(TH!N6109="1111",TH!O6109="1111")),TH!D6109,""),"")</f>
        <v/>
      </c>
      <c r="B6109" s="60" t="str">
        <f t="shared" si="516"/>
        <v/>
      </c>
      <c r="C6109" s="61"/>
      <c r="D6109" s="61"/>
      <c r="E6109" s="61"/>
      <c r="F6109" s="69"/>
      <c r="G6109" s="64"/>
      <c r="H6109" s="69"/>
      <c r="I6109" s="385"/>
      <c r="J6109" s="392"/>
      <c r="K6109" s="385"/>
      <c r="L6109" s="392"/>
      <c r="M6109" s="62"/>
      <c r="N6109" s="63"/>
      <c r="O6109" s="63"/>
      <c r="P6109" s="79" t="str">
        <f>IF(AND('331-CT'!$E$7=TH!H6109,OR(N6109="331",O6109="331")),"x","")</f>
        <v/>
      </c>
      <c r="Q6109" s="79" t="str">
        <f>IF(AND(B6109='111'!$L$11,OR($N6109=$Q$7,$O6109=$Q$7)),"x","")</f>
        <v/>
      </c>
      <c r="R6109" s="79" t="str">
        <f>IF(AND($N6109=$Q$7,$B6109&lt;'111'!$L$11),"x","")</f>
        <v/>
      </c>
      <c r="S6109" s="79" t="str">
        <f>IF(AND($O6109=$Q$7,$B6109&lt;'111'!$L$11),"x","")</f>
        <v/>
      </c>
      <c r="T6109" s="79" t="str">
        <f>IF(ISERROR(FIND('112'!$M$9,G6109,1)),"",IF((AND(FIND('112'!$M$9,G6109,1)&gt;=1,B6109='112'!$K$9,OR($N6109='112'!$I$6,$O6109='112'!$I$6))),"x",""))</f>
        <v/>
      </c>
      <c r="U6109" s="79" t="str">
        <f>IF(ISERROR(FIND('112'!$M$9,G6109,1)),"",IF((AND(LEFT(G6109,2)=LEFT('112'!$M$9,2),B6109&lt;'112'!$K$9,$N6109='112'!$I$6)),"x",""))</f>
        <v/>
      </c>
      <c r="V6109" s="79" t="str">
        <f>IF(ISERROR(FIND('112'!$M$9,G6109,1)),"",IF((AND(RIGHT(G6109,2)=RIGHT('112'!$M$9,2),B6109&lt;'112'!$K$9,$O6109='112'!$I$6)),"x",""))</f>
        <v/>
      </c>
      <c r="W6109" s="79" t="str">
        <f>IF(AND('341-CT'!$H$9=H6109,OR(LEFT(N6109,3)=$W$7,LEFT(O6109,3)=$W$7)),"x","")</f>
        <v/>
      </c>
      <c r="X6109" s="79" t="str">
        <f>IF(OR(TH!N6109=TH!$X$7,O6109=TH!$X$7),"x","")</f>
        <v/>
      </c>
      <c r="Y6109" s="79" t="str">
        <f>IF(AND(OR(N6109="131",O6109="131"),H6109='131-CT'!$H$9),"x","")</f>
        <v/>
      </c>
      <c r="Z6109" s="79"/>
      <c r="AA6109" s="79" t="str">
        <f>IF(AND(MONTH(E6109)='IN-NX'!$J$5,'IN-NX'!$D$7=D6109),"x","")</f>
        <v/>
      </c>
      <c r="AB6109" s="79" t="str">
        <f>IF(AND(OR(LEFT(TH!N6109,2)="15",LEFT(TH!O6109,2)="15"),LEFT(TH!O6109,3)&lt;&gt;"111",'152-CT'!$J$8=TH!F6109),"x","")</f>
        <v/>
      </c>
      <c r="AC6109" s="79" t="str">
        <f>IF(AND(OR(LEFT(TH!N6109,2)="15",LEFT(TH!O6109,2)="15"),TK!$E$7=TH!F6109),"x","")</f>
        <v/>
      </c>
      <c r="AD6109" s="79" t="str">
        <f>IF(AND(N6109="1521",MONTH(C6109)='BK-NL'!$M$11),"x","")</f>
        <v/>
      </c>
    </row>
    <row r="6110" spans="1:30" ht="16.5" customHeight="1">
      <c r="A6110" s="318" t="str">
        <f>IF(B6110&lt;&gt;"",IF(AND(B6110='IN-TC'!$S$4,OR(TH!N6110="1111",TH!O6110="1111")),TH!D6110,""),"")</f>
        <v/>
      </c>
      <c r="B6110" s="60" t="str">
        <f t="shared" si="516"/>
        <v/>
      </c>
      <c r="C6110" s="61"/>
      <c r="D6110" s="61"/>
      <c r="E6110" s="61"/>
      <c r="F6110" s="69"/>
      <c r="G6110" s="64"/>
      <c r="H6110" s="69"/>
      <c r="I6110" s="385"/>
      <c r="J6110" s="392"/>
      <c r="K6110" s="385"/>
      <c r="L6110" s="392"/>
      <c r="M6110" s="62"/>
      <c r="N6110" s="63"/>
      <c r="O6110" s="63"/>
      <c r="P6110" s="79" t="str">
        <f>IF(AND('331-CT'!$E$7=TH!H6110,OR(N6110="331",O6110="331")),"x","")</f>
        <v/>
      </c>
      <c r="Q6110" s="79" t="str">
        <f>IF(AND(B6110='111'!$L$11,OR($N6110=$Q$7,$O6110=$Q$7)),"x","")</f>
        <v/>
      </c>
      <c r="R6110" s="79" t="str">
        <f>IF(AND($N6110=$Q$7,$B6110&lt;'111'!$L$11),"x","")</f>
        <v/>
      </c>
      <c r="S6110" s="79" t="str">
        <f>IF(AND($O6110=$Q$7,$B6110&lt;'111'!$L$11),"x","")</f>
        <v/>
      </c>
      <c r="T6110" s="79" t="str">
        <f>IF(ISERROR(FIND('112'!$M$9,G6110,1)),"",IF((AND(FIND('112'!$M$9,G6110,1)&gt;=1,B6110='112'!$K$9,OR($N6110='112'!$I$6,$O6110='112'!$I$6))),"x",""))</f>
        <v/>
      </c>
      <c r="U6110" s="79" t="str">
        <f>IF(ISERROR(FIND('112'!$M$9,G6110,1)),"",IF((AND(LEFT(G6110,2)=LEFT('112'!$M$9,2),B6110&lt;'112'!$K$9,$N6110='112'!$I$6)),"x",""))</f>
        <v/>
      </c>
      <c r="V6110" s="79" t="str">
        <f>IF(ISERROR(FIND('112'!$M$9,G6110,1)),"",IF((AND(RIGHT(G6110,2)=RIGHT('112'!$M$9,2),B6110&lt;'112'!$K$9,$O6110='112'!$I$6)),"x",""))</f>
        <v/>
      </c>
      <c r="W6110" s="79" t="str">
        <f>IF(AND('341-CT'!$H$9=H6110,OR(LEFT(N6110,3)=$W$7,LEFT(O6110,3)=$W$7)),"x","")</f>
        <v/>
      </c>
      <c r="X6110" s="79" t="str">
        <f>IF(OR(TH!N6110=TH!$X$7,O6110=TH!$X$7),"x","")</f>
        <v/>
      </c>
      <c r="Y6110" s="79" t="str">
        <f>IF(AND(OR(N6110="131",O6110="131"),H6110='131-CT'!$H$9),"x","")</f>
        <v/>
      </c>
      <c r="Z6110" s="79"/>
      <c r="AA6110" s="79" t="str">
        <f>IF(AND(MONTH(E6110)='IN-NX'!$J$5,'IN-NX'!$D$7=D6110),"x","")</f>
        <v/>
      </c>
      <c r="AB6110" s="79" t="str">
        <f>IF(AND(OR(LEFT(TH!N6110,2)="15",LEFT(TH!O6110,2)="15"),LEFT(TH!O6110,3)&lt;&gt;"111",'152-CT'!$J$8=TH!F6110),"x","")</f>
        <v/>
      </c>
      <c r="AC6110" s="79" t="str">
        <f>IF(AND(OR(LEFT(TH!N6110,2)="15",LEFT(TH!O6110,2)="15"),TK!$E$7=TH!F6110),"x","")</f>
        <v/>
      </c>
      <c r="AD6110" s="79" t="str">
        <f>IF(AND(N6110="1521",MONTH(C6110)='BK-NL'!$M$11),"x","")</f>
        <v/>
      </c>
    </row>
    <row r="6111" spans="1:30" ht="16.5" customHeight="1">
      <c r="A6111" s="318" t="str">
        <f>IF(B6111&lt;&gt;"",IF(AND(B6111='IN-TC'!$S$4,OR(TH!N6111="1111",TH!O6111="1111")),TH!D6111,""),"")</f>
        <v/>
      </c>
      <c r="B6111" s="60" t="str">
        <f t="shared" si="516"/>
        <v/>
      </c>
      <c r="C6111" s="61"/>
      <c r="D6111" s="61"/>
      <c r="E6111" s="61"/>
      <c r="F6111" s="69"/>
      <c r="G6111" s="64"/>
      <c r="H6111" s="69"/>
      <c r="I6111" s="385"/>
      <c r="J6111" s="392"/>
      <c r="K6111" s="385"/>
      <c r="L6111" s="392"/>
      <c r="M6111" s="62"/>
      <c r="N6111" s="63"/>
      <c r="O6111" s="63"/>
      <c r="P6111" s="79" t="str">
        <f>IF(AND('331-CT'!$E$7=TH!H6111,OR(N6111="331",O6111="331")),"x","")</f>
        <v/>
      </c>
      <c r="Q6111" s="79" t="str">
        <f>IF(AND(B6111='111'!$L$11,OR($N6111=$Q$7,$O6111=$Q$7)),"x","")</f>
        <v/>
      </c>
      <c r="R6111" s="79" t="str">
        <f>IF(AND($N6111=$Q$7,$B6111&lt;'111'!$L$11),"x","")</f>
        <v/>
      </c>
      <c r="S6111" s="79" t="str">
        <f>IF(AND($O6111=$Q$7,$B6111&lt;'111'!$L$11),"x","")</f>
        <v/>
      </c>
      <c r="T6111" s="79" t="str">
        <f>IF(ISERROR(FIND('112'!$M$9,G6111,1)),"",IF((AND(FIND('112'!$M$9,G6111,1)&gt;=1,B6111='112'!$K$9,OR($N6111='112'!$I$6,$O6111='112'!$I$6))),"x",""))</f>
        <v/>
      </c>
      <c r="U6111" s="79" t="str">
        <f>IF(ISERROR(FIND('112'!$M$9,G6111,1)),"",IF((AND(LEFT(G6111,2)=LEFT('112'!$M$9,2),B6111&lt;'112'!$K$9,$N6111='112'!$I$6)),"x",""))</f>
        <v/>
      </c>
      <c r="V6111" s="79" t="str">
        <f>IF(ISERROR(FIND('112'!$M$9,G6111,1)),"",IF((AND(RIGHT(G6111,2)=RIGHT('112'!$M$9,2),B6111&lt;'112'!$K$9,$O6111='112'!$I$6)),"x",""))</f>
        <v/>
      </c>
      <c r="W6111" s="79" t="str">
        <f>IF(AND('341-CT'!$H$9=H6111,OR(LEFT(N6111,3)=$W$7,LEFT(O6111,3)=$W$7)),"x","")</f>
        <v/>
      </c>
      <c r="X6111" s="79" t="str">
        <f>IF(OR(TH!N6111=TH!$X$7,O6111=TH!$X$7),"x","")</f>
        <v/>
      </c>
      <c r="Y6111" s="79" t="str">
        <f>IF(AND(OR(N6111="131",O6111="131"),H6111='131-CT'!$H$9),"x","")</f>
        <v/>
      </c>
      <c r="Z6111" s="79"/>
      <c r="AA6111" s="79" t="str">
        <f>IF(AND(MONTH(E6111)='IN-NX'!$J$5,'IN-NX'!$D$7=D6111),"x","")</f>
        <v/>
      </c>
      <c r="AB6111" s="79" t="str">
        <f>IF(AND(OR(LEFT(TH!N6111,2)="15",LEFT(TH!O6111,2)="15"),LEFT(TH!O6111,3)&lt;&gt;"111",'152-CT'!$J$8=TH!F6111),"x","")</f>
        <v/>
      </c>
      <c r="AC6111" s="79" t="str">
        <f>IF(AND(OR(LEFT(TH!N6111,2)="15",LEFT(TH!O6111,2)="15"),TK!$E$7=TH!F6111),"x","")</f>
        <v/>
      </c>
      <c r="AD6111" s="79" t="str">
        <f>IF(AND(N6111="1521",MONTH(C6111)='BK-NL'!$M$11),"x","")</f>
        <v/>
      </c>
    </row>
    <row r="6112" spans="1:30" ht="16.5" customHeight="1">
      <c r="A6112" s="318" t="str">
        <f>IF(B6112&lt;&gt;"",IF(AND(B6112='IN-TC'!$S$4,OR(TH!N6112="1111",TH!O6112="1111")),TH!D6112,""),"")</f>
        <v/>
      </c>
      <c r="B6112" s="60" t="str">
        <f t="shared" si="516"/>
        <v/>
      </c>
      <c r="C6112" s="61"/>
      <c r="D6112" s="61"/>
      <c r="E6112" s="61"/>
      <c r="F6112" s="69"/>
      <c r="G6112" s="64"/>
      <c r="H6112" s="69"/>
      <c r="I6112" s="387"/>
      <c r="J6112" s="394"/>
      <c r="K6112" s="387"/>
      <c r="L6112" s="394"/>
      <c r="M6112" s="62"/>
      <c r="N6112" s="63"/>
      <c r="O6112" s="63"/>
      <c r="P6112" s="79" t="str">
        <f>IF(AND('331-CT'!$E$7=TH!H6112,OR(N6112="331",O6112="331")),"x","")</f>
        <v/>
      </c>
      <c r="Q6112" s="79" t="str">
        <f>IF(AND(B6112='111'!$L$11,OR($N6112=$Q$7,$O6112=$Q$7)),"x","")</f>
        <v/>
      </c>
      <c r="R6112" s="79" t="str">
        <f>IF(AND($N6112=$Q$7,$B6112&lt;'111'!$L$11),"x","")</f>
        <v/>
      </c>
      <c r="S6112" s="79" t="str">
        <f>IF(AND($O6112=$Q$7,$B6112&lt;'111'!$L$11),"x","")</f>
        <v/>
      </c>
      <c r="T6112" s="79" t="str">
        <f>IF(ISERROR(FIND('112'!$M$9,G6112,1)),"",IF((AND(FIND('112'!$M$9,G6112,1)&gt;=1,B6112='112'!$K$9,OR($N6112='112'!$I$6,$O6112='112'!$I$6))),"x",""))</f>
        <v/>
      </c>
      <c r="U6112" s="79" t="str">
        <f>IF(ISERROR(FIND('112'!$M$9,G6112,1)),"",IF((AND(LEFT(G6112,2)=LEFT('112'!$M$9,2),B6112&lt;'112'!$K$9,$N6112='112'!$I$6)),"x",""))</f>
        <v/>
      </c>
      <c r="V6112" s="79" t="str">
        <f>IF(ISERROR(FIND('112'!$M$9,G6112,1)),"",IF((AND(RIGHT(G6112,2)=RIGHT('112'!$M$9,2),B6112&lt;'112'!$K$9,$O6112='112'!$I$6)),"x",""))</f>
        <v/>
      </c>
      <c r="W6112" s="79" t="str">
        <f>IF(AND('341-CT'!$H$9=H6112,OR(LEFT(N6112,3)=$W$7,LEFT(O6112,3)=$W$7)),"x","")</f>
        <v/>
      </c>
      <c r="X6112" s="79" t="str">
        <f>IF(OR(TH!N6112=TH!$X$7,O6112=TH!$X$7),"x","")</f>
        <v/>
      </c>
      <c r="Y6112" s="79" t="str">
        <f>IF(AND(OR(N6112="131",O6112="131"),H6112='131-CT'!$H$9),"x","")</f>
        <v/>
      </c>
      <c r="Z6112" s="79"/>
      <c r="AA6112" s="79" t="str">
        <f>IF(AND(MONTH(E6112)='IN-NX'!$J$5,'IN-NX'!$D$7=D6112),"x","")</f>
        <v/>
      </c>
      <c r="AB6112" s="79" t="str">
        <f>IF(AND(OR(LEFT(TH!N6112,2)="15",LEFT(TH!O6112,2)="15"),LEFT(TH!O6112,3)&lt;&gt;"111",'152-CT'!$J$8=TH!F6112),"x","")</f>
        <v/>
      </c>
      <c r="AC6112" s="79" t="str">
        <f>IF(AND(OR(LEFT(TH!N6112,2)="15",LEFT(TH!O6112,2)="15"),TK!$E$7=TH!F6112),"x","")</f>
        <v/>
      </c>
      <c r="AD6112" s="79" t="str">
        <f>IF(AND(N6112="1521",MONTH(C6112)='BK-NL'!$M$11),"x","")</f>
        <v/>
      </c>
    </row>
    <row r="6113" spans="1:30" ht="16.5" customHeight="1">
      <c r="A6113" s="318" t="str">
        <f>IF(B6113&lt;&gt;"",IF(AND(B6113='IN-TC'!$S$4,OR(TH!N6113="1111",TH!O6113="1111")),TH!D6113,""),"")</f>
        <v/>
      </c>
      <c r="B6113" s="60" t="str">
        <f t="shared" si="516"/>
        <v/>
      </c>
      <c r="C6113" s="61"/>
      <c r="D6113" s="61"/>
      <c r="E6113" s="61"/>
      <c r="F6113" s="69"/>
      <c r="G6113" s="64"/>
      <c r="H6113" s="321"/>
      <c r="I6113" s="385"/>
      <c r="J6113" s="392"/>
      <c r="K6113" s="385"/>
      <c r="L6113" s="392"/>
      <c r="M6113" s="62"/>
      <c r="N6113" s="63"/>
      <c r="O6113" s="63"/>
      <c r="P6113" s="79" t="str">
        <f>IF(AND('331-CT'!$E$7=TH!H6113,OR(N6113="331",O6113="331")),"x","")</f>
        <v/>
      </c>
      <c r="Q6113" s="79" t="str">
        <f>IF(AND(B6113='111'!$L$11,OR($N6113=$Q$7,$O6113=$Q$7)),"x","")</f>
        <v/>
      </c>
      <c r="R6113" s="79" t="str">
        <f>IF(AND($N6113=$Q$7,$B6113&lt;'111'!$L$11),"x","")</f>
        <v/>
      </c>
      <c r="S6113" s="79" t="str">
        <f>IF(AND($O6113=$Q$7,$B6113&lt;'111'!$L$11),"x","")</f>
        <v/>
      </c>
      <c r="T6113" s="79" t="str">
        <f>IF(ISERROR(FIND('112'!$M$9,G6113,1)),"",IF((AND(FIND('112'!$M$9,G6113,1)&gt;=1,B6113='112'!$K$9,OR($N6113='112'!$I$6,$O6113='112'!$I$6))),"x",""))</f>
        <v/>
      </c>
      <c r="U6113" s="79" t="str">
        <f>IF(ISERROR(FIND('112'!$M$9,G6113,1)),"",IF((AND(LEFT(G6113,2)=LEFT('112'!$M$9,2),B6113&lt;'112'!$K$9,$N6113='112'!$I$6)),"x",""))</f>
        <v/>
      </c>
      <c r="V6113" s="79" t="str">
        <f>IF(ISERROR(FIND('112'!$M$9,G6113,1)),"",IF((AND(RIGHT(G6113,2)=RIGHT('112'!$M$9,2),B6113&lt;'112'!$K$9,$O6113='112'!$I$6)),"x",""))</f>
        <v/>
      </c>
      <c r="W6113" s="79" t="str">
        <f>IF(AND('341-CT'!$H$9=H6113,OR(LEFT(N6113,3)=$W$7,LEFT(O6113,3)=$W$7)),"x","")</f>
        <v/>
      </c>
      <c r="X6113" s="79" t="str">
        <f>IF(OR(TH!N6113=TH!$X$7,O6113=TH!$X$7),"x","")</f>
        <v/>
      </c>
      <c r="Y6113" s="79" t="str">
        <f>IF(AND(OR(N6113="131",O6113="131"),H6113='131-CT'!$H$9),"x","")</f>
        <v/>
      </c>
      <c r="Z6113" s="79"/>
      <c r="AA6113" s="79" t="str">
        <f>IF(AND(MONTH(E6113)='IN-NX'!$J$5,'IN-NX'!$D$7=D6113),"x","")</f>
        <v/>
      </c>
      <c r="AB6113" s="79" t="str">
        <f>IF(AND(OR(LEFT(TH!N6113,2)="15",LEFT(TH!O6113,2)="15"),LEFT(TH!O6113,3)&lt;&gt;"111",'152-CT'!$J$8=TH!F6113),"x","")</f>
        <v/>
      </c>
      <c r="AC6113" s="79" t="str">
        <f>IF(AND(OR(LEFT(TH!N6113,2)="15",LEFT(TH!O6113,2)="15"),TK!$E$7=TH!F6113),"x","")</f>
        <v/>
      </c>
      <c r="AD6113" s="79" t="str">
        <f>IF(AND(N6113="1521",MONTH(C6113)='BK-NL'!$M$11),"x","")</f>
        <v/>
      </c>
    </row>
    <row r="6114" spans="1:30" ht="16.5" customHeight="1">
      <c r="A6114" s="318" t="str">
        <f>IF(B6114&lt;&gt;"",IF(AND(B6114='IN-TC'!$S$4,OR(TH!N6114="1111",TH!O6114="1111")),TH!D6114,""),"")</f>
        <v/>
      </c>
      <c r="B6114" s="60" t="str">
        <f t="shared" si="516"/>
        <v/>
      </c>
      <c r="C6114" s="61"/>
      <c r="D6114" s="61"/>
      <c r="E6114" s="61"/>
      <c r="F6114" s="69"/>
      <c r="G6114" s="64"/>
      <c r="H6114" s="321"/>
      <c r="I6114" s="385"/>
      <c r="J6114" s="392"/>
      <c r="K6114" s="385"/>
      <c r="L6114" s="392"/>
      <c r="M6114" s="62"/>
      <c r="N6114" s="63"/>
      <c r="O6114" s="63"/>
      <c r="P6114" s="79" t="str">
        <f>IF(AND('331-CT'!$E$7=TH!H6114,OR(N6114="331",O6114="331")),"x","")</f>
        <v/>
      </c>
      <c r="Q6114" s="79" t="str">
        <f>IF(AND(B6114='111'!$L$11,OR($N6114=$Q$7,$O6114=$Q$7)),"x","")</f>
        <v/>
      </c>
      <c r="R6114" s="79" t="str">
        <f>IF(AND($N6114=$Q$7,$B6114&lt;'111'!$L$11),"x","")</f>
        <v/>
      </c>
      <c r="S6114" s="79" t="str">
        <f>IF(AND($O6114=$Q$7,$B6114&lt;'111'!$L$11),"x","")</f>
        <v/>
      </c>
      <c r="T6114" s="79" t="str">
        <f>IF(ISERROR(FIND('112'!$M$9,G6114,1)),"",IF((AND(FIND('112'!$M$9,G6114,1)&gt;=1,B6114='112'!$K$9,OR($N6114='112'!$I$6,$O6114='112'!$I$6))),"x",""))</f>
        <v/>
      </c>
      <c r="U6114" s="79" t="str">
        <f>IF(ISERROR(FIND('112'!$M$9,G6114,1)),"",IF((AND(LEFT(G6114,2)=LEFT('112'!$M$9,2),B6114&lt;'112'!$K$9,$N6114='112'!$I$6)),"x",""))</f>
        <v/>
      </c>
      <c r="V6114" s="79" t="str">
        <f>IF(ISERROR(FIND('112'!$M$9,G6114,1)),"",IF((AND(RIGHT(G6114,2)=RIGHT('112'!$M$9,2),B6114&lt;'112'!$K$9,$O6114='112'!$I$6)),"x",""))</f>
        <v/>
      </c>
      <c r="W6114" s="79" t="str">
        <f>IF(AND('341-CT'!$H$9=H6114,OR(LEFT(N6114,3)=$W$7,LEFT(O6114,3)=$W$7)),"x","")</f>
        <v/>
      </c>
      <c r="X6114" s="79" t="str">
        <f>IF(OR(TH!N6114=TH!$X$7,O6114=TH!$X$7),"x","")</f>
        <v/>
      </c>
      <c r="Y6114" s="79" t="str">
        <f>IF(AND(OR(N6114="131",O6114="131"),H6114='131-CT'!$H$9),"x","")</f>
        <v/>
      </c>
      <c r="Z6114" s="79"/>
      <c r="AA6114" s="79" t="str">
        <f>IF(AND(MONTH(E6114)='IN-NX'!$J$5,'IN-NX'!$D$7=D6114),"x","")</f>
        <v/>
      </c>
      <c r="AB6114" s="79" t="str">
        <f>IF(AND(OR(LEFT(TH!N6114,2)="15",LEFT(TH!O6114,2)="15"),LEFT(TH!O6114,3)&lt;&gt;"111",'152-CT'!$J$8=TH!F6114),"x","")</f>
        <v/>
      </c>
      <c r="AC6114" s="79" t="str">
        <f>IF(AND(OR(LEFT(TH!N6114,2)="15",LEFT(TH!O6114,2)="15"),TK!$E$7=TH!F6114),"x","")</f>
        <v/>
      </c>
      <c r="AD6114" s="79" t="str">
        <f>IF(AND(N6114="1521",MONTH(C6114)='BK-NL'!$M$11),"x","")</f>
        <v/>
      </c>
    </row>
    <row r="6115" spans="1:30" ht="16.5" customHeight="1">
      <c r="A6115" s="318" t="str">
        <f>IF(B6115&lt;&gt;"",IF(AND(B6115='IN-TC'!$S$4,OR(TH!N6115="1111",TH!O6115="1111")),TH!D6115,""),"")</f>
        <v/>
      </c>
      <c r="B6115" s="60" t="str">
        <f t="shared" si="516"/>
        <v/>
      </c>
      <c r="C6115" s="61"/>
      <c r="D6115" s="61"/>
      <c r="E6115" s="61"/>
      <c r="F6115" s="69"/>
      <c r="G6115" s="64"/>
      <c r="H6115" s="321"/>
      <c r="I6115" s="385"/>
      <c r="J6115" s="392"/>
      <c r="K6115" s="385"/>
      <c r="L6115" s="392"/>
      <c r="M6115" s="62"/>
      <c r="N6115" s="63"/>
      <c r="O6115" s="63"/>
      <c r="P6115" s="79" t="str">
        <f>IF(AND('331-CT'!$E$7=TH!H6115,OR(N6115="331",O6115="331")),"x","")</f>
        <v/>
      </c>
      <c r="Q6115" s="79" t="str">
        <f>IF(AND(B6115='111'!$L$11,OR($N6115=$Q$7,$O6115=$Q$7)),"x","")</f>
        <v/>
      </c>
      <c r="R6115" s="79" t="str">
        <f>IF(AND($N6115=$Q$7,$B6115&lt;'111'!$L$11),"x","")</f>
        <v/>
      </c>
      <c r="S6115" s="79" t="str">
        <f>IF(AND($O6115=$Q$7,$B6115&lt;'111'!$L$11),"x","")</f>
        <v/>
      </c>
      <c r="T6115" s="79" t="str">
        <f>IF(ISERROR(FIND('112'!$M$9,G6115,1)),"",IF((AND(FIND('112'!$M$9,G6115,1)&gt;=1,B6115='112'!$K$9,OR($N6115='112'!$I$6,$O6115='112'!$I$6))),"x",""))</f>
        <v/>
      </c>
      <c r="U6115" s="79" t="str">
        <f>IF(ISERROR(FIND('112'!$M$9,G6115,1)),"",IF((AND(LEFT(G6115,2)=LEFT('112'!$M$9,2),B6115&lt;'112'!$K$9,$N6115='112'!$I$6)),"x",""))</f>
        <v/>
      </c>
      <c r="V6115" s="79" t="str">
        <f>IF(ISERROR(FIND('112'!$M$9,G6115,1)),"",IF((AND(RIGHT(G6115,2)=RIGHT('112'!$M$9,2),B6115&lt;'112'!$K$9,$O6115='112'!$I$6)),"x",""))</f>
        <v/>
      </c>
      <c r="W6115" s="79" t="str">
        <f>IF(AND('341-CT'!$H$9=H6115,OR(LEFT(N6115,3)=$W$7,LEFT(O6115,3)=$W$7)),"x","")</f>
        <v/>
      </c>
      <c r="X6115" s="79" t="str">
        <f>IF(OR(TH!N6115=TH!$X$7,O6115=TH!$X$7),"x","")</f>
        <v/>
      </c>
      <c r="Y6115" s="79" t="str">
        <f>IF(AND(OR(N6115="131",O6115="131"),H6115='131-CT'!$H$9),"x","")</f>
        <v/>
      </c>
      <c r="Z6115" s="79"/>
      <c r="AA6115" s="79" t="str">
        <f>IF(AND(MONTH(E6115)='IN-NX'!$J$5,'IN-NX'!$D$7=D6115),"x","")</f>
        <v/>
      </c>
      <c r="AB6115" s="79" t="str">
        <f>IF(AND(OR(LEFT(TH!N6115,2)="15",LEFT(TH!O6115,2)="15"),LEFT(TH!O6115,3)&lt;&gt;"111",'152-CT'!$J$8=TH!F6115),"x","")</f>
        <v/>
      </c>
      <c r="AC6115" s="79" t="str">
        <f>IF(AND(OR(LEFT(TH!N6115,2)="15",LEFT(TH!O6115,2)="15"),TK!$E$7=TH!F6115),"x","")</f>
        <v/>
      </c>
      <c r="AD6115" s="79" t="str">
        <f>IF(AND(N6115="1521",MONTH(C6115)='BK-NL'!$M$11),"x","")</f>
        <v/>
      </c>
    </row>
    <row r="6116" spans="1:30" ht="16.5" customHeight="1">
      <c r="A6116" s="318" t="str">
        <f>IF(B6116&lt;&gt;"",IF(AND(B6116='IN-TC'!$S$4,OR(TH!N6116="1111",TH!O6116="1111")),TH!D6116,""),"")</f>
        <v/>
      </c>
      <c r="B6116" s="60" t="str">
        <f t="shared" si="516"/>
        <v/>
      </c>
      <c r="C6116" s="61"/>
      <c r="D6116" s="61"/>
      <c r="E6116" s="61"/>
      <c r="F6116" s="69"/>
      <c r="G6116" s="64"/>
      <c r="H6116" s="321"/>
      <c r="I6116" s="385"/>
      <c r="J6116" s="392"/>
      <c r="K6116" s="385"/>
      <c r="L6116" s="392"/>
      <c r="M6116" s="62"/>
      <c r="N6116" s="63"/>
      <c r="O6116" s="63"/>
      <c r="P6116" s="79" t="str">
        <f>IF(AND('331-CT'!$E$7=TH!H6116,OR(N6116="331",O6116="331")),"x","")</f>
        <v/>
      </c>
      <c r="Q6116" s="79" t="str">
        <f>IF(AND(B6116='111'!$L$11,OR($N6116=$Q$7,$O6116=$Q$7)),"x","")</f>
        <v/>
      </c>
      <c r="R6116" s="79" t="str">
        <f>IF(AND($N6116=$Q$7,$B6116&lt;'111'!$L$11),"x","")</f>
        <v/>
      </c>
      <c r="S6116" s="79" t="str">
        <f>IF(AND($O6116=$Q$7,$B6116&lt;'111'!$L$11),"x","")</f>
        <v/>
      </c>
      <c r="T6116" s="79" t="str">
        <f>IF(ISERROR(FIND('112'!$M$9,G6116,1)),"",IF((AND(FIND('112'!$M$9,G6116,1)&gt;=1,B6116='112'!$K$9,OR($N6116='112'!$I$6,$O6116='112'!$I$6))),"x",""))</f>
        <v/>
      </c>
      <c r="U6116" s="79" t="str">
        <f>IF(ISERROR(FIND('112'!$M$9,G6116,1)),"",IF((AND(LEFT(G6116,2)=LEFT('112'!$M$9,2),B6116&lt;'112'!$K$9,$N6116='112'!$I$6)),"x",""))</f>
        <v/>
      </c>
      <c r="V6116" s="79" t="str">
        <f>IF(ISERROR(FIND('112'!$M$9,G6116,1)),"",IF((AND(RIGHT(G6116,2)=RIGHT('112'!$M$9,2),B6116&lt;'112'!$K$9,$O6116='112'!$I$6)),"x",""))</f>
        <v/>
      </c>
      <c r="W6116" s="79" t="str">
        <f>IF(AND('341-CT'!$H$9=H6116,OR(LEFT(N6116,3)=$W$7,LEFT(O6116,3)=$W$7)),"x","")</f>
        <v/>
      </c>
      <c r="X6116" s="79" t="str">
        <f>IF(OR(TH!N6116=TH!$X$7,O6116=TH!$X$7),"x","")</f>
        <v/>
      </c>
      <c r="Y6116" s="79" t="str">
        <f>IF(AND(OR(N6116="131",O6116="131"),H6116='131-CT'!$H$9),"x","")</f>
        <v/>
      </c>
      <c r="Z6116" s="79"/>
      <c r="AA6116" s="79" t="str">
        <f>IF(AND(MONTH(E6116)='IN-NX'!$J$5,'IN-NX'!$D$7=D6116),"x","")</f>
        <v/>
      </c>
      <c r="AB6116" s="79" t="str">
        <f>IF(AND(OR(LEFT(TH!N6116,2)="15",LEFT(TH!O6116,2)="15"),LEFT(TH!O6116,3)&lt;&gt;"111",'152-CT'!$J$8=TH!F6116),"x","")</f>
        <v/>
      </c>
      <c r="AC6116" s="79" t="str">
        <f>IF(AND(OR(LEFT(TH!N6116,2)="15",LEFT(TH!O6116,2)="15"),TK!$E$7=TH!F6116),"x","")</f>
        <v/>
      </c>
      <c r="AD6116" s="79" t="str">
        <f>IF(AND(N6116="1521",MONTH(C6116)='BK-NL'!$M$11),"x","")</f>
        <v/>
      </c>
    </row>
    <row r="6117" spans="1:30" ht="16.5" customHeight="1">
      <c r="A6117" s="318" t="str">
        <f>IF(B6117&lt;&gt;"",IF(AND(B6117='IN-TC'!$S$4,OR(TH!N6117="1111",TH!O6117="1111")),TH!D6117,""),"")</f>
        <v/>
      </c>
      <c r="B6117" s="60" t="str">
        <f t="shared" si="516"/>
        <v/>
      </c>
      <c r="C6117" s="61"/>
      <c r="D6117" s="61"/>
      <c r="E6117" s="61"/>
      <c r="F6117" s="69"/>
      <c r="G6117" s="64"/>
      <c r="H6117" s="321"/>
      <c r="I6117" s="385"/>
      <c r="J6117" s="392"/>
      <c r="K6117" s="385"/>
      <c r="L6117" s="392"/>
      <c r="M6117" s="62"/>
      <c r="N6117" s="63"/>
      <c r="O6117" s="63"/>
      <c r="P6117" s="79" t="str">
        <f>IF(AND('331-CT'!$E$7=TH!H6117,OR(N6117="331",O6117="331")),"x","")</f>
        <v/>
      </c>
      <c r="Q6117" s="79" t="str">
        <f>IF(AND(B6117='111'!$L$11,OR($N6117=$Q$7,$O6117=$Q$7)),"x","")</f>
        <v/>
      </c>
      <c r="R6117" s="79" t="str">
        <f>IF(AND($N6117=$Q$7,$B6117&lt;'111'!$L$11),"x","")</f>
        <v/>
      </c>
      <c r="S6117" s="79" t="str">
        <f>IF(AND($O6117=$Q$7,$B6117&lt;'111'!$L$11),"x","")</f>
        <v/>
      </c>
      <c r="T6117" s="79" t="str">
        <f>IF(ISERROR(FIND('112'!$M$9,G6117,1)),"",IF((AND(FIND('112'!$M$9,G6117,1)&gt;=1,B6117='112'!$K$9,OR($N6117='112'!$I$6,$O6117='112'!$I$6))),"x",""))</f>
        <v/>
      </c>
      <c r="U6117" s="79" t="str">
        <f>IF(ISERROR(FIND('112'!$M$9,G6117,1)),"",IF((AND(LEFT(G6117,2)=LEFT('112'!$M$9,2),B6117&lt;'112'!$K$9,$N6117='112'!$I$6)),"x",""))</f>
        <v/>
      </c>
      <c r="V6117" s="79" t="str">
        <f>IF(ISERROR(FIND('112'!$M$9,G6117,1)),"",IF((AND(RIGHT(G6117,2)=RIGHT('112'!$M$9,2),B6117&lt;'112'!$K$9,$O6117='112'!$I$6)),"x",""))</f>
        <v/>
      </c>
      <c r="W6117" s="79" t="str">
        <f>IF(AND('341-CT'!$H$9=H6117,OR(LEFT(N6117,3)=$W$7,LEFT(O6117,3)=$W$7)),"x","")</f>
        <v/>
      </c>
      <c r="X6117" s="79" t="str">
        <f>IF(OR(TH!N6117=TH!$X$7,O6117=TH!$X$7),"x","")</f>
        <v/>
      </c>
      <c r="Y6117" s="79" t="str">
        <f>IF(AND(OR(N6117="131",O6117="131"),H6117='131-CT'!$H$9),"x","")</f>
        <v/>
      </c>
      <c r="Z6117" s="79"/>
      <c r="AA6117" s="79" t="str">
        <f>IF(AND(MONTH(E6117)='IN-NX'!$J$5,'IN-NX'!$D$7=D6117),"x","")</f>
        <v/>
      </c>
      <c r="AB6117" s="79" t="str">
        <f>IF(AND(OR(LEFT(TH!N6117,2)="15",LEFT(TH!O6117,2)="15"),LEFT(TH!O6117,3)&lt;&gt;"111",'152-CT'!$J$8=TH!F6117),"x","")</f>
        <v/>
      </c>
      <c r="AC6117" s="79" t="str">
        <f>IF(AND(OR(LEFT(TH!N6117,2)="15",LEFT(TH!O6117,2)="15"),TK!$E$7=TH!F6117),"x","")</f>
        <v/>
      </c>
      <c r="AD6117" s="79" t="str">
        <f>IF(AND(N6117="1521",MONTH(C6117)='BK-NL'!$M$11),"x","")</f>
        <v/>
      </c>
    </row>
    <row r="6118" spans="1:30" ht="16.5" customHeight="1">
      <c r="A6118" s="318" t="str">
        <f>IF(B6118&lt;&gt;"",IF(AND(B6118='IN-TC'!$S$4,OR(TH!N6118="1111",TH!O6118="1111")),TH!D6118,""),"")</f>
        <v/>
      </c>
      <c r="B6118" s="60" t="str">
        <f t="shared" si="516"/>
        <v/>
      </c>
      <c r="C6118" s="61"/>
      <c r="D6118" s="61"/>
      <c r="E6118" s="61"/>
      <c r="F6118" s="69"/>
      <c r="G6118" s="64"/>
      <c r="H6118" s="69"/>
      <c r="I6118" s="385"/>
      <c r="J6118" s="392"/>
      <c r="K6118" s="385"/>
      <c r="L6118" s="392"/>
      <c r="M6118" s="62"/>
      <c r="N6118" s="63"/>
      <c r="O6118" s="63"/>
      <c r="P6118" s="79" t="str">
        <f>IF(AND('331-CT'!$E$7=TH!H6118,OR(N6118="331",O6118="331")),"x","")</f>
        <v/>
      </c>
      <c r="Q6118" s="79" t="str">
        <f>IF(AND(B6118='111'!$L$11,OR($N6118=$Q$7,$O6118=$Q$7)),"x","")</f>
        <v/>
      </c>
      <c r="R6118" s="79" t="str">
        <f>IF(AND($N6118=$Q$7,$B6118&lt;'111'!$L$11),"x","")</f>
        <v/>
      </c>
      <c r="S6118" s="79" t="str">
        <f>IF(AND($O6118=$Q$7,$B6118&lt;'111'!$L$11),"x","")</f>
        <v/>
      </c>
      <c r="T6118" s="79" t="str">
        <f>IF(ISERROR(FIND('112'!$M$9,G6118,1)),"",IF((AND(FIND('112'!$M$9,G6118,1)&gt;=1,B6118='112'!$K$9,OR($N6118='112'!$I$6,$O6118='112'!$I$6))),"x",""))</f>
        <v/>
      </c>
      <c r="U6118" s="79" t="str">
        <f>IF(ISERROR(FIND('112'!$M$9,G6118,1)),"",IF((AND(LEFT(G6118,2)=LEFT('112'!$M$9,2),B6118&lt;'112'!$K$9,$N6118='112'!$I$6)),"x",""))</f>
        <v/>
      </c>
      <c r="V6118" s="79" t="str">
        <f>IF(ISERROR(FIND('112'!$M$9,G6118,1)),"",IF((AND(RIGHT(G6118,2)=RIGHT('112'!$M$9,2),B6118&lt;'112'!$K$9,$O6118='112'!$I$6)),"x",""))</f>
        <v/>
      </c>
      <c r="W6118" s="79" t="str">
        <f>IF(AND('341-CT'!$H$9=H6118,OR(LEFT(N6118,3)=$W$7,LEFT(O6118,3)=$W$7)),"x","")</f>
        <v/>
      </c>
      <c r="X6118" s="79" t="str">
        <f>IF(OR(TH!N6118=TH!$X$7,O6118=TH!$X$7),"x","")</f>
        <v/>
      </c>
      <c r="Y6118" s="79" t="str">
        <f>IF(AND(OR(N6118="131",O6118="131"),H6118='131-CT'!$H$9),"x","")</f>
        <v/>
      </c>
      <c r="Z6118" s="79"/>
      <c r="AA6118" s="79" t="str">
        <f>IF(AND(MONTH(E6118)='IN-NX'!$J$5,'IN-NX'!$D$7=D6118),"x","")</f>
        <v/>
      </c>
      <c r="AB6118" s="79" t="str">
        <f>IF(AND(OR(LEFT(TH!N6118,2)="15",LEFT(TH!O6118,2)="15"),LEFT(TH!O6118,3)&lt;&gt;"111",'152-CT'!$J$8=TH!F6118),"x","")</f>
        <v/>
      </c>
      <c r="AC6118" s="79" t="str">
        <f>IF(AND(OR(LEFT(TH!N6118,2)="15",LEFT(TH!O6118,2)="15"),TK!$E$7=TH!F6118),"x","")</f>
        <v/>
      </c>
      <c r="AD6118" s="79" t="str">
        <f>IF(AND(N6118="1521",MONTH(C6118)='BK-NL'!$M$11),"x","")</f>
        <v/>
      </c>
    </row>
    <row r="6119" spans="1:30" ht="16.5" customHeight="1">
      <c r="A6119" s="318" t="str">
        <f>IF(B6119&lt;&gt;"",IF(AND(B6119='IN-TC'!$S$4,OR(TH!N6119="1111",TH!O6119="1111")),TH!D6119,""),"")</f>
        <v/>
      </c>
      <c r="B6119" s="60" t="str">
        <f t="shared" si="516"/>
        <v/>
      </c>
      <c r="C6119" s="61"/>
      <c r="D6119" s="61"/>
      <c r="E6119" s="61"/>
      <c r="F6119" s="69"/>
      <c r="G6119" s="64"/>
      <c r="H6119" s="69"/>
      <c r="I6119" s="387"/>
      <c r="J6119" s="394"/>
      <c r="K6119" s="387"/>
      <c r="L6119" s="394"/>
      <c r="M6119" s="62"/>
      <c r="N6119" s="63"/>
      <c r="O6119" s="63"/>
      <c r="P6119" s="79" t="str">
        <f>IF(AND('331-CT'!$E$7=TH!H6119,OR(N6119="331",O6119="331")),"x","")</f>
        <v/>
      </c>
      <c r="Q6119" s="79" t="str">
        <f>IF(AND(B6119='111'!$L$11,OR($N6119=$Q$7,$O6119=$Q$7)),"x","")</f>
        <v/>
      </c>
      <c r="R6119" s="79" t="str">
        <f>IF(AND($N6119=$Q$7,$B6119&lt;'111'!$L$11),"x","")</f>
        <v/>
      </c>
      <c r="S6119" s="79" t="str">
        <f>IF(AND($O6119=$Q$7,$B6119&lt;'111'!$L$11),"x","")</f>
        <v/>
      </c>
      <c r="T6119" s="79" t="str">
        <f>IF(ISERROR(FIND('112'!$M$9,G6119,1)),"",IF((AND(FIND('112'!$M$9,G6119,1)&gt;=1,B6119='112'!$K$9,OR($N6119='112'!$I$6,$O6119='112'!$I$6))),"x",""))</f>
        <v/>
      </c>
      <c r="U6119" s="79" t="str">
        <f>IF(ISERROR(FIND('112'!$M$9,G6119,1)),"",IF((AND(LEFT(G6119,2)=LEFT('112'!$M$9,2),B6119&lt;'112'!$K$9,$N6119='112'!$I$6)),"x",""))</f>
        <v/>
      </c>
      <c r="V6119" s="79" t="str">
        <f>IF(ISERROR(FIND('112'!$M$9,G6119,1)),"",IF((AND(RIGHT(G6119,2)=RIGHT('112'!$M$9,2),B6119&lt;'112'!$K$9,$O6119='112'!$I$6)),"x",""))</f>
        <v/>
      </c>
      <c r="W6119" s="79" t="str">
        <f>IF(AND('341-CT'!$H$9=H6119,OR(LEFT(N6119,3)=$W$7,LEFT(O6119,3)=$W$7)),"x","")</f>
        <v/>
      </c>
      <c r="X6119" s="79" t="str">
        <f>IF(OR(TH!N6119=TH!$X$7,O6119=TH!$X$7),"x","")</f>
        <v/>
      </c>
      <c r="Y6119" s="79" t="str">
        <f>IF(AND(OR(N6119="131",O6119="131"),H6119='131-CT'!$H$9),"x","")</f>
        <v/>
      </c>
      <c r="Z6119" s="79"/>
      <c r="AA6119" s="79" t="str">
        <f>IF(AND(MONTH(E6119)='IN-NX'!$J$5,'IN-NX'!$D$7=D6119),"x","")</f>
        <v/>
      </c>
      <c r="AB6119" s="79" t="str">
        <f>IF(AND(OR(LEFT(TH!N6119,2)="15",LEFT(TH!O6119,2)="15"),LEFT(TH!O6119,3)&lt;&gt;"111",'152-CT'!$J$8=TH!F6119),"x","")</f>
        <v/>
      </c>
      <c r="AC6119" s="79" t="str">
        <f>IF(AND(OR(LEFT(TH!N6119,2)="15",LEFT(TH!O6119,2)="15"),TK!$E$7=TH!F6119),"x","")</f>
        <v/>
      </c>
      <c r="AD6119" s="79" t="str">
        <f>IF(AND(N6119="1521",MONTH(C6119)='BK-NL'!$M$11),"x","")</f>
        <v/>
      </c>
    </row>
    <row r="6120" spans="1:30" ht="16.5" customHeight="1">
      <c r="A6120" s="318" t="str">
        <f>IF(B6120&lt;&gt;"",IF(AND(B6120='IN-TC'!$S$4,OR(TH!N6120="1111",TH!O6120="1111")),TH!D6120,""),"")</f>
        <v/>
      </c>
      <c r="B6120" s="60" t="str">
        <f t="shared" si="516"/>
        <v/>
      </c>
      <c r="C6120" s="61"/>
      <c r="D6120" s="61"/>
      <c r="E6120" s="61"/>
      <c r="F6120" s="69"/>
      <c r="G6120" s="64"/>
      <c r="H6120" s="69"/>
      <c r="I6120" s="385"/>
      <c r="J6120" s="392"/>
      <c r="K6120" s="385"/>
      <c r="L6120" s="392"/>
      <c r="M6120" s="62"/>
      <c r="N6120" s="63"/>
      <c r="O6120" s="63"/>
      <c r="P6120" s="79" t="str">
        <f>IF(AND('331-CT'!$E$7=TH!H6120,OR(N6120="331",O6120="331")),"x","")</f>
        <v/>
      </c>
      <c r="Q6120" s="79" t="str">
        <f>IF(AND(B6120='111'!$L$11,OR($N6120=$Q$7,$O6120=$Q$7)),"x","")</f>
        <v/>
      </c>
      <c r="R6120" s="79" t="str">
        <f>IF(AND($N6120=$Q$7,$B6120&lt;'111'!$L$11),"x","")</f>
        <v/>
      </c>
      <c r="S6120" s="79" t="str">
        <f>IF(AND($O6120=$Q$7,$B6120&lt;'111'!$L$11),"x","")</f>
        <v/>
      </c>
      <c r="T6120" s="79" t="str">
        <f>IF(ISERROR(FIND('112'!$M$9,G6120,1)),"",IF((AND(FIND('112'!$M$9,G6120,1)&gt;=1,B6120='112'!$K$9,OR($N6120='112'!$I$6,$O6120='112'!$I$6))),"x",""))</f>
        <v/>
      </c>
      <c r="U6120" s="79" t="str">
        <f>IF(ISERROR(FIND('112'!$M$9,G6120,1)),"",IF((AND(LEFT(G6120,2)=LEFT('112'!$M$9,2),B6120&lt;'112'!$K$9,$N6120='112'!$I$6)),"x",""))</f>
        <v/>
      </c>
      <c r="V6120" s="79" t="str">
        <f>IF(ISERROR(FIND('112'!$M$9,G6120,1)),"",IF((AND(RIGHT(G6120,2)=RIGHT('112'!$M$9,2),B6120&lt;'112'!$K$9,$O6120='112'!$I$6)),"x",""))</f>
        <v/>
      </c>
      <c r="W6120" s="79" t="str">
        <f>IF(AND('341-CT'!$H$9=H6120,OR(LEFT(N6120,3)=$W$7,LEFT(O6120,3)=$W$7)),"x","")</f>
        <v/>
      </c>
      <c r="X6120" s="79" t="str">
        <f>IF(OR(TH!N6120=TH!$X$7,O6120=TH!$X$7),"x","")</f>
        <v/>
      </c>
      <c r="Y6120" s="79" t="str">
        <f>IF(AND(OR(N6120="131",O6120="131"),H6120='131-CT'!$H$9),"x","")</f>
        <v/>
      </c>
      <c r="Z6120" s="79"/>
      <c r="AA6120" s="79" t="str">
        <f>IF(AND(MONTH(E6120)='IN-NX'!$J$5,'IN-NX'!$D$7=D6120),"x","")</f>
        <v/>
      </c>
      <c r="AB6120" s="79" t="str">
        <f>IF(AND(OR(LEFT(TH!N6120,2)="15",LEFT(TH!O6120,2)="15"),LEFT(TH!O6120,3)&lt;&gt;"111",'152-CT'!$J$8=TH!F6120),"x","")</f>
        <v/>
      </c>
      <c r="AC6120" s="79" t="str">
        <f>IF(AND(OR(LEFT(TH!N6120,2)="15",LEFT(TH!O6120,2)="15"),TK!$E$7=TH!F6120),"x","")</f>
        <v/>
      </c>
      <c r="AD6120" s="79" t="str">
        <f>IF(AND(N6120="1521",MONTH(C6120)='BK-NL'!$M$11),"x","")</f>
        <v/>
      </c>
    </row>
    <row r="6121" spans="1:30" ht="16.5" customHeight="1">
      <c r="A6121" s="318" t="str">
        <f>IF(B6121&lt;&gt;"",IF(AND(B6121='IN-TC'!$S$4,OR(TH!N6121="1111",TH!O6121="1111")),TH!D6121,""),"")</f>
        <v/>
      </c>
      <c r="B6121" s="60" t="str">
        <f t="shared" si="516"/>
        <v/>
      </c>
      <c r="C6121" s="61"/>
      <c r="D6121" s="61"/>
      <c r="E6121" s="61"/>
      <c r="F6121" s="69"/>
      <c r="G6121" s="64"/>
      <c r="H6121" s="69"/>
      <c r="I6121" s="385"/>
      <c r="J6121" s="392"/>
      <c r="K6121" s="385"/>
      <c r="L6121" s="392"/>
      <c r="M6121" s="62"/>
      <c r="N6121" s="63"/>
      <c r="O6121" s="63"/>
      <c r="P6121" s="79" t="str">
        <f>IF(AND('331-CT'!$E$7=TH!H6121,OR(N6121="331",O6121="331")),"x","")</f>
        <v/>
      </c>
      <c r="Q6121" s="79" t="str">
        <f>IF(AND(B6121='111'!$L$11,OR($N6121=$Q$7,$O6121=$Q$7)),"x","")</f>
        <v/>
      </c>
      <c r="R6121" s="79" t="str">
        <f>IF(AND($N6121=$Q$7,$B6121&lt;'111'!$L$11),"x","")</f>
        <v/>
      </c>
      <c r="S6121" s="79" t="str">
        <f>IF(AND($O6121=$Q$7,$B6121&lt;'111'!$L$11),"x","")</f>
        <v/>
      </c>
      <c r="T6121" s="79" t="str">
        <f>IF(ISERROR(FIND('112'!$M$9,G6121,1)),"",IF((AND(FIND('112'!$M$9,G6121,1)&gt;=1,B6121='112'!$K$9,OR($N6121='112'!$I$6,$O6121='112'!$I$6))),"x",""))</f>
        <v/>
      </c>
      <c r="U6121" s="79" t="str">
        <f>IF(ISERROR(FIND('112'!$M$9,G6121,1)),"",IF((AND(LEFT(G6121,2)=LEFT('112'!$M$9,2),B6121&lt;'112'!$K$9,$N6121='112'!$I$6)),"x",""))</f>
        <v/>
      </c>
      <c r="V6121" s="79" t="str">
        <f>IF(ISERROR(FIND('112'!$M$9,G6121,1)),"",IF((AND(RIGHT(G6121,2)=RIGHT('112'!$M$9,2),B6121&lt;'112'!$K$9,$O6121='112'!$I$6)),"x",""))</f>
        <v/>
      </c>
      <c r="W6121" s="79" t="str">
        <f>IF(AND('341-CT'!$H$9=H6121,OR(LEFT(N6121,3)=$W$7,LEFT(O6121,3)=$W$7)),"x","")</f>
        <v/>
      </c>
      <c r="X6121" s="79" t="str">
        <f>IF(OR(TH!N6121=TH!$X$7,O6121=TH!$X$7),"x","")</f>
        <v/>
      </c>
      <c r="Y6121" s="79" t="str">
        <f>IF(AND(OR(N6121="131",O6121="131"),H6121='131-CT'!$H$9),"x","")</f>
        <v/>
      </c>
      <c r="Z6121" s="79"/>
      <c r="AA6121" s="79" t="str">
        <f>IF(AND(MONTH(E6121)='IN-NX'!$J$5,'IN-NX'!$D$7=D6121),"x","")</f>
        <v/>
      </c>
      <c r="AB6121" s="79" t="str">
        <f>IF(AND(OR(LEFT(TH!N6121,2)="15",LEFT(TH!O6121,2)="15"),LEFT(TH!O6121,3)&lt;&gt;"111",'152-CT'!$J$8=TH!F6121),"x","")</f>
        <v/>
      </c>
      <c r="AC6121" s="79" t="str">
        <f>IF(AND(OR(LEFT(TH!N6121,2)="15",LEFT(TH!O6121,2)="15"),TK!$E$7=TH!F6121),"x","")</f>
        <v/>
      </c>
      <c r="AD6121" s="79" t="str">
        <f>IF(AND(N6121="1521",MONTH(C6121)='BK-NL'!$M$11),"x","")</f>
        <v/>
      </c>
    </row>
    <row r="6122" spans="1:30" ht="16.5" customHeight="1">
      <c r="A6122" s="318" t="str">
        <f>IF(B6122&lt;&gt;"",IF(AND(B6122='IN-TC'!$S$4,OR(TH!N6122="1111",TH!O6122="1111")),TH!D6122,""),"")</f>
        <v/>
      </c>
      <c r="B6122" s="60" t="str">
        <f t="shared" si="516"/>
        <v/>
      </c>
      <c r="C6122" s="61"/>
      <c r="D6122" s="61"/>
      <c r="E6122" s="61"/>
      <c r="F6122" s="69"/>
      <c r="G6122" s="64"/>
      <c r="H6122" s="69"/>
      <c r="I6122" s="385"/>
      <c r="J6122" s="392"/>
      <c r="K6122" s="385"/>
      <c r="L6122" s="392"/>
      <c r="M6122" s="62"/>
      <c r="N6122" s="63"/>
      <c r="O6122" s="63"/>
      <c r="P6122" s="79" t="str">
        <f>IF(AND('331-CT'!$E$7=TH!H6122,OR(N6122="331",O6122="331")),"x","")</f>
        <v/>
      </c>
      <c r="Q6122" s="79" t="str">
        <f>IF(AND(B6122='111'!$L$11,OR($N6122=$Q$7,$O6122=$Q$7)),"x","")</f>
        <v/>
      </c>
      <c r="R6122" s="79" t="str">
        <f>IF(AND($N6122=$Q$7,$B6122&lt;'111'!$L$11),"x","")</f>
        <v/>
      </c>
      <c r="S6122" s="79" t="str">
        <f>IF(AND($O6122=$Q$7,$B6122&lt;'111'!$L$11),"x","")</f>
        <v/>
      </c>
      <c r="T6122" s="79" t="str">
        <f>IF(ISERROR(FIND('112'!$M$9,G6122,1)),"",IF((AND(FIND('112'!$M$9,G6122,1)&gt;=1,B6122='112'!$K$9,OR($N6122='112'!$I$6,$O6122='112'!$I$6))),"x",""))</f>
        <v/>
      </c>
      <c r="U6122" s="79" t="str">
        <f>IF(ISERROR(FIND('112'!$M$9,G6122,1)),"",IF((AND(LEFT(G6122,2)=LEFT('112'!$M$9,2),B6122&lt;'112'!$K$9,$N6122='112'!$I$6)),"x",""))</f>
        <v/>
      </c>
      <c r="V6122" s="79" t="str">
        <f>IF(ISERROR(FIND('112'!$M$9,G6122,1)),"",IF((AND(RIGHT(G6122,2)=RIGHT('112'!$M$9,2),B6122&lt;'112'!$K$9,$O6122='112'!$I$6)),"x",""))</f>
        <v/>
      </c>
      <c r="W6122" s="79" t="str">
        <f>IF(AND('341-CT'!$H$9=H6122,OR(LEFT(N6122,3)=$W$7,LEFT(O6122,3)=$W$7)),"x","")</f>
        <v/>
      </c>
      <c r="X6122" s="79" t="str">
        <f>IF(OR(TH!N6122=TH!$X$7,O6122=TH!$X$7),"x","")</f>
        <v/>
      </c>
      <c r="Y6122" s="79" t="str">
        <f>IF(AND(OR(N6122="131",O6122="131"),H6122='131-CT'!$H$9),"x","")</f>
        <v/>
      </c>
      <c r="Z6122" s="79"/>
      <c r="AA6122" s="79" t="str">
        <f>IF(AND(MONTH(E6122)='IN-NX'!$J$5,'IN-NX'!$D$7=D6122),"x","")</f>
        <v/>
      </c>
      <c r="AB6122" s="79" t="str">
        <f>IF(AND(OR(LEFT(TH!N6122,2)="15",LEFT(TH!O6122,2)="15"),LEFT(TH!O6122,3)&lt;&gt;"111",'152-CT'!$J$8=TH!F6122),"x","")</f>
        <v/>
      </c>
      <c r="AC6122" s="79" t="str">
        <f>IF(AND(OR(LEFT(TH!N6122,2)="15",LEFT(TH!O6122,2)="15"),TK!$E$7=TH!F6122),"x","")</f>
        <v/>
      </c>
      <c r="AD6122" s="79" t="str">
        <f>IF(AND(N6122="1521",MONTH(C6122)='BK-NL'!$M$11),"x","")</f>
        <v/>
      </c>
    </row>
    <row r="6123" spans="1:30" ht="16.5" customHeight="1">
      <c r="A6123" s="318" t="str">
        <f>IF(B6123&lt;&gt;"",IF(AND(B6123='IN-TC'!$S$4,OR(TH!N6123="1111",TH!O6123="1111")),TH!D6123,""),"")</f>
        <v/>
      </c>
      <c r="B6123" s="60" t="str">
        <f t="shared" si="516"/>
        <v/>
      </c>
      <c r="C6123" s="61"/>
      <c r="D6123" s="61"/>
      <c r="E6123" s="61"/>
      <c r="F6123" s="69"/>
      <c r="G6123" s="64"/>
      <c r="H6123" s="69"/>
      <c r="I6123" s="387"/>
      <c r="J6123" s="394"/>
      <c r="K6123" s="387"/>
      <c r="L6123" s="394"/>
      <c r="M6123" s="62"/>
      <c r="N6123" s="63"/>
      <c r="O6123" s="63"/>
      <c r="P6123" s="79" t="str">
        <f>IF(AND('331-CT'!$E$7=TH!H6123,OR(N6123="331",O6123="331")),"x","")</f>
        <v/>
      </c>
      <c r="Q6123" s="79" t="str">
        <f>IF(AND(B6123='111'!$L$11,OR($N6123=$Q$7,$O6123=$Q$7)),"x","")</f>
        <v/>
      </c>
      <c r="R6123" s="79" t="str">
        <f>IF(AND($N6123=$Q$7,$B6123&lt;'111'!$L$11),"x","")</f>
        <v/>
      </c>
      <c r="S6123" s="79" t="str">
        <f>IF(AND($O6123=$Q$7,$B6123&lt;'111'!$L$11),"x","")</f>
        <v/>
      </c>
      <c r="T6123" s="79" t="str">
        <f>IF(ISERROR(FIND('112'!$M$9,G6123,1)),"",IF((AND(FIND('112'!$M$9,G6123,1)&gt;=1,B6123='112'!$K$9,OR($N6123='112'!$I$6,$O6123='112'!$I$6))),"x",""))</f>
        <v/>
      </c>
      <c r="U6123" s="79" t="str">
        <f>IF(ISERROR(FIND('112'!$M$9,G6123,1)),"",IF((AND(LEFT(G6123,2)=LEFT('112'!$M$9,2),B6123&lt;'112'!$K$9,$N6123='112'!$I$6)),"x",""))</f>
        <v/>
      </c>
      <c r="V6123" s="79" t="str">
        <f>IF(ISERROR(FIND('112'!$M$9,G6123,1)),"",IF((AND(RIGHT(G6123,2)=RIGHT('112'!$M$9,2),B6123&lt;'112'!$K$9,$O6123='112'!$I$6)),"x",""))</f>
        <v/>
      </c>
      <c r="W6123" s="79" t="str">
        <f>IF(AND('341-CT'!$H$9=H6123,OR(LEFT(N6123,3)=$W$7,LEFT(O6123,3)=$W$7)),"x","")</f>
        <v/>
      </c>
      <c r="X6123" s="79" t="str">
        <f>IF(OR(TH!N6123=TH!$X$7,O6123=TH!$X$7),"x","")</f>
        <v/>
      </c>
      <c r="Y6123" s="79" t="str">
        <f>IF(AND(OR(N6123="131",O6123="131"),H6123='131-CT'!$H$9),"x","")</f>
        <v/>
      </c>
      <c r="Z6123" s="79"/>
      <c r="AA6123" s="79" t="str">
        <f>IF(AND(MONTH(E6123)='IN-NX'!$J$5,'IN-NX'!$D$7=D6123),"x","")</f>
        <v/>
      </c>
      <c r="AB6123" s="79" t="str">
        <f>IF(AND(OR(LEFT(TH!N6123,2)="15",LEFT(TH!O6123,2)="15"),LEFT(TH!O6123,3)&lt;&gt;"111",'152-CT'!$J$8=TH!F6123),"x","")</f>
        <v/>
      </c>
      <c r="AC6123" s="79" t="str">
        <f>IF(AND(OR(LEFT(TH!N6123,2)="15",LEFT(TH!O6123,2)="15"),TK!$E$7=TH!F6123),"x","")</f>
        <v/>
      </c>
      <c r="AD6123" s="79" t="str">
        <f>IF(AND(N6123="1521",MONTH(C6123)='BK-NL'!$M$11),"x","")</f>
        <v/>
      </c>
    </row>
    <row r="6124" spans="1:30" ht="16.5" customHeight="1">
      <c r="A6124" s="318" t="str">
        <f>IF(B6124&lt;&gt;"",IF(AND(B6124='IN-TC'!$S$4,OR(TH!N6124="1111",TH!O6124="1111")),TH!D6124,""),"")</f>
        <v/>
      </c>
      <c r="B6124" s="60" t="str">
        <f t="shared" si="516"/>
        <v/>
      </c>
      <c r="C6124" s="61"/>
      <c r="D6124" s="61"/>
      <c r="E6124" s="61"/>
      <c r="F6124" s="69"/>
      <c r="G6124" s="64"/>
      <c r="H6124" s="321"/>
      <c r="I6124" s="385"/>
      <c r="J6124" s="392"/>
      <c r="K6124" s="385"/>
      <c r="L6124" s="392"/>
      <c r="M6124" s="62"/>
      <c r="N6124" s="63"/>
      <c r="O6124" s="63"/>
      <c r="P6124" s="79" t="str">
        <f>IF(AND('331-CT'!$E$7=TH!H6124,OR(N6124="331",O6124="331")),"x","")</f>
        <v/>
      </c>
      <c r="Q6124" s="79" t="str">
        <f>IF(AND(B6124='111'!$L$11,OR($N6124=$Q$7,$O6124=$Q$7)),"x","")</f>
        <v/>
      </c>
      <c r="R6124" s="79" t="str">
        <f>IF(AND($N6124=$Q$7,$B6124&lt;'111'!$L$11),"x","")</f>
        <v/>
      </c>
      <c r="S6124" s="79" t="str">
        <f>IF(AND($O6124=$Q$7,$B6124&lt;'111'!$L$11),"x","")</f>
        <v/>
      </c>
      <c r="T6124" s="79" t="str">
        <f>IF(ISERROR(FIND('112'!$M$9,G6124,1)),"",IF((AND(FIND('112'!$M$9,G6124,1)&gt;=1,B6124='112'!$K$9,OR($N6124='112'!$I$6,$O6124='112'!$I$6))),"x",""))</f>
        <v/>
      </c>
      <c r="U6124" s="79" t="str">
        <f>IF(ISERROR(FIND('112'!$M$9,G6124,1)),"",IF((AND(LEFT(G6124,2)=LEFT('112'!$M$9,2),B6124&lt;'112'!$K$9,$N6124='112'!$I$6)),"x",""))</f>
        <v/>
      </c>
      <c r="V6124" s="79" t="str">
        <f>IF(ISERROR(FIND('112'!$M$9,G6124,1)),"",IF((AND(RIGHT(G6124,2)=RIGHT('112'!$M$9,2),B6124&lt;'112'!$K$9,$O6124='112'!$I$6)),"x",""))</f>
        <v/>
      </c>
      <c r="W6124" s="79" t="str">
        <f>IF(AND('341-CT'!$H$9=H6124,OR(LEFT(N6124,3)=$W$7,LEFT(O6124,3)=$W$7)),"x","")</f>
        <v/>
      </c>
      <c r="X6124" s="79" t="str">
        <f>IF(OR(TH!N6124=TH!$X$7,O6124=TH!$X$7),"x","")</f>
        <v/>
      </c>
      <c r="Y6124" s="79" t="str">
        <f>IF(AND(OR(N6124="131",O6124="131"),H6124='131-CT'!$H$9),"x","")</f>
        <v/>
      </c>
      <c r="Z6124" s="79"/>
      <c r="AA6124" s="79" t="str">
        <f>IF(AND(MONTH(E6124)='IN-NX'!$J$5,'IN-NX'!$D$7=D6124),"x","")</f>
        <v/>
      </c>
      <c r="AB6124" s="79" t="str">
        <f>IF(AND(OR(LEFT(TH!N6124,2)="15",LEFT(TH!O6124,2)="15"),LEFT(TH!O6124,3)&lt;&gt;"111",'152-CT'!$J$8=TH!F6124),"x","")</f>
        <v/>
      </c>
      <c r="AC6124" s="79" t="str">
        <f>IF(AND(OR(LEFT(TH!N6124,2)="15",LEFT(TH!O6124,2)="15"),TK!$E$7=TH!F6124),"x","")</f>
        <v/>
      </c>
      <c r="AD6124" s="79" t="str">
        <f>IF(AND(N6124="1521",MONTH(C6124)='BK-NL'!$M$11),"x","")</f>
        <v/>
      </c>
    </row>
    <row r="6125" spans="1:30" ht="16.5" customHeight="1">
      <c r="A6125" s="318" t="str">
        <f>IF(B6125&lt;&gt;"",IF(AND(B6125='IN-TC'!$S$4,OR(TH!N6125="1111",TH!O6125="1111")),TH!D6125,""),"")</f>
        <v/>
      </c>
      <c r="B6125" s="60" t="str">
        <f t="shared" si="516"/>
        <v/>
      </c>
      <c r="C6125" s="61"/>
      <c r="D6125" s="61"/>
      <c r="E6125" s="61"/>
      <c r="F6125" s="69"/>
      <c r="G6125" s="64"/>
      <c r="H6125" s="321"/>
      <c r="I6125" s="385"/>
      <c r="J6125" s="392"/>
      <c r="K6125" s="385"/>
      <c r="L6125" s="392"/>
      <c r="M6125" s="62"/>
      <c r="N6125" s="63"/>
      <c r="O6125" s="63"/>
      <c r="P6125" s="79" t="str">
        <f>IF(AND('331-CT'!$E$7=TH!H6125,OR(N6125="331",O6125="331")),"x","")</f>
        <v/>
      </c>
      <c r="Q6125" s="79" t="str">
        <f>IF(AND(B6125='111'!$L$11,OR($N6125=$Q$7,$O6125=$Q$7)),"x","")</f>
        <v/>
      </c>
      <c r="R6125" s="79" t="str">
        <f>IF(AND($N6125=$Q$7,$B6125&lt;'111'!$L$11),"x","")</f>
        <v/>
      </c>
      <c r="S6125" s="79" t="str">
        <f>IF(AND($O6125=$Q$7,$B6125&lt;'111'!$L$11),"x","")</f>
        <v/>
      </c>
      <c r="T6125" s="79" t="str">
        <f>IF(ISERROR(FIND('112'!$M$9,G6125,1)),"",IF((AND(FIND('112'!$M$9,G6125,1)&gt;=1,B6125='112'!$K$9,OR($N6125='112'!$I$6,$O6125='112'!$I$6))),"x",""))</f>
        <v/>
      </c>
      <c r="U6125" s="79" t="str">
        <f>IF(ISERROR(FIND('112'!$M$9,G6125,1)),"",IF((AND(LEFT(G6125,2)=LEFT('112'!$M$9,2),B6125&lt;'112'!$K$9,$N6125='112'!$I$6)),"x",""))</f>
        <v/>
      </c>
      <c r="V6125" s="79" t="str">
        <f>IF(ISERROR(FIND('112'!$M$9,G6125,1)),"",IF((AND(RIGHT(G6125,2)=RIGHT('112'!$M$9,2),B6125&lt;'112'!$K$9,$O6125='112'!$I$6)),"x",""))</f>
        <v/>
      </c>
      <c r="W6125" s="79" t="str">
        <f>IF(AND('341-CT'!$H$9=H6125,OR(LEFT(N6125,3)=$W$7,LEFT(O6125,3)=$W$7)),"x","")</f>
        <v/>
      </c>
      <c r="X6125" s="79" t="str">
        <f>IF(OR(TH!N6125=TH!$X$7,O6125=TH!$X$7),"x","")</f>
        <v/>
      </c>
      <c r="Y6125" s="79" t="str">
        <f>IF(AND(OR(N6125="131",O6125="131"),H6125='131-CT'!$H$9),"x","")</f>
        <v/>
      </c>
      <c r="Z6125" s="79"/>
      <c r="AA6125" s="79" t="str">
        <f>IF(AND(MONTH(E6125)='IN-NX'!$J$5,'IN-NX'!$D$7=D6125),"x","")</f>
        <v/>
      </c>
      <c r="AB6125" s="79" t="str">
        <f>IF(AND(OR(LEFT(TH!N6125,2)="15",LEFT(TH!O6125,2)="15"),LEFT(TH!O6125,3)&lt;&gt;"111",'152-CT'!$J$8=TH!F6125),"x","")</f>
        <v/>
      </c>
      <c r="AC6125" s="79" t="str">
        <f>IF(AND(OR(LEFT(TH!N6125,2)="15",LEFT(TH!O6125,2)="15"),TK!$E$7=TH!F6125),"x","")</f>
        <v/>
      </c>
      <c r="AD6125" s="79" t="str">
        <f>IF(AND(N6125="1521",MONTH(C6125)='BK-NL'!$M$11),"x","")</f>
        <v/>
      </c>
    </row>
    <row r="6126" spans="1:30" ht="16.5" customHeight="1">
      <c r="A6126" s="318" t="str">
        <f>IF(B6126&lt;&gt;"",IF(AND(B6126='IN-TC'!$S$4,OR(TH!N6126="1111",TH!O6126="1111")),TH!D6126,""),"")</f>
        <v/>
      </c>
      <c r="B6126" s="60" t="str">
        <f t="shared" si="516"/>
        <v/>
      </c>
      <c r="C6126" s="61"/>
      <c r="D6126" s="61"/>
      <c r="E6126" s="61"/>
      <c r="F6126" s="69"/>
      <c r="G6126" s="64"/>
      <c r="H6126" s="321"/>
      <c r="I6126" s="385"/>
      <c r="J6126" s="392"/>
      <c r="K6126" s="385"/>
      <c r="L6126" s="392"/>
      <c r="M6126" s="62"/>
      <c r="N6126" s="63"/>
      <c r="O6126" s="63"/>
      <c r="P6126" s="79" t="str">
        <f>IF(AND('331-CT'!$E$7=TH!H6126,OR(N6126="331",O6126="331")),"x","")</f>
        <v/>
      </c>
      <c r="Q6126" s="79" t="str">
        <f>IF(AND(B6126='111'!$L$11,OR($N6126=$Q$7,$O6126=$Q$7)),"x","")</f>
        <v/>
      </c>
      <c r="R6126" s="79" t="str">
        <f>IF(AND($N6126=$Q$7,$B6126&lt;'111'!$L$11),"x","")</f>
        <v/>
      </c>
      <c r="S6126" s="79" t="str">
        <f>IF(AND($O6126=$Q$7,$B6126&lt;'111'!$L$11),"x","")</f>
        <v/>
      </c>
      <c r="T6126" s="79" t="str">
        <f>IF(ISERROR(FIND('112'!$M$9,G6126,1)),"",IF((AND(FIND('112'!$M$9,G6126,1)&gt;=1,B6126='112'!$K$9,OR($N6126='112'!$I$6,$O6126='112'!$I$6))),"x",""))</f>
        <v/>
      </c>
      <c r="U6126" s="79" t="str">
        <f>IF(ISERROR(FIND('112'!$M$9,G6126,1)),"",IF((AND(LEFT(G6126,2)=LEFT('112'!$M$9,2),B6126&lt;'112'!$K$9,$N6126='112'!$I$6)),"x",""))</f>
        <v/>
      </c>
      <c r="V6126" s="79" t="str">
        <f>IF(ISERROR(FIND('112'!$M$9,G6126,1)),"",IF((AND(RIGHT(G6126,2)=RIGHT('112'!$M$9,2),B6126&lt;'112'!$K$9,$O6126='112'!$I$6)),"x",""))</f>
        <v/>
      </c>
      <c r="W6126" s="79" t="str">
        <f>IF(AND('341-CT'!$H$9=H6126,OR(LEFT(N6126,3)=$W$7,LEFT(O6126,3)=$W$7)),"x","")</f>
        <v/>
      </c>
      <c r="X6126" s="79" t="str">
        <f>IF(OR(TH!N6126=TH!$X$7,O6126=TH!$X$7),"x","")</f>
        <v/>
      </c>
      <c r="Y6126" s="79" t="str">
        <f>IF(AND(OR(N6126="131",O6126="131"),H6126='131-CT'!$H$9),"x","")</f>
        <v/>
      </c>
      <c r="Z6126" s="79"/>
      <c r="AA6126" s="79" t="str">
        <f>IF(AND(MONTH(E6126)='IN-NX'!$J$5,'IN-NX'!$D$7=D6126),"x","")</f>
        <v/>
      </c>
      <c r="AB6126" s="79" t="str">
        <f>IF(AND(OR(LEFT(TH!N6126,2)="15",LEFT(TH!O6126,2)="15"),LEFT(TH!O6126,3)&lt;&gt;"111",'152-CT'!$J$8=TH!F6126),"x","")</f>
        <v/>
      </c>
      <c r="AC6126" s="79" t="str">
        <f>IF(AND(OR(LEFT(TH!N6126,2)="15",LEFT(TH!O6126,2)="15"),TK!$E$7=TH!F6126),"x","")</f>
        <v/>
      </c>
      <c r="AD6126" s="79" t="str">
        <f>IF(AND(N6126="1521",MONTH(C6126)='BK-NL'!$M$11),"x","")</f>
        <v/>
      </c>
    </row>
    <row r="6127" spans="1:30" ht="16.5" customHeight="1">
      <c r="A6127" s="318" t="str">
        <f>IF(B6127&lt;&gt;"",IF(AND(B6127='IN-TC'!$S$4,OR(TH!N6127="1111",TH!O6127="1111")),TH!D6127,""),"")</f>
        <v/>
      </c>
      <c r="B6127" s="60" t="str">
        <f t="shared" si="516"/>
        <v/>
      </c>
      <c r="C6127" s="61"/>
      <c r="D6127" s="61"/>
      <c r="E6127" s="61"/>
      <c r="F6127" s="69"/>
      <c r="G6127" s="64"/>
      <c r="H6127" s="321"/>
      <c r="I6127" s="385"/>
      <c r="J6127" s="392"/>
      <c r="K6127" s="385"/>
      <c r="L6127" s="392"/>
      <c r="M6127" s="62"/>
      <c r="N6127" s="63"/>
      <c r="O6127" s="63"/>
      <c r="P6127" s="79" t="str">
        <f>IF(AND('331-CT'!$E$7=TH!H6127,OR(N6127="331",O6127="331")),"x","")</f>
        <v/>
      </c>
      <c r="Q6127" s="79" t="str">
        <f>IF(AND(B6127='111'!$L$11,OR($N6127=$Q$7,$O6127=$Q$7)),"x","")</f>
        <v/>
      </c>
      <c r="R6127" s="79" t="str">
        <f>IF(AND($N6127=$Q$7,$B6127&lt;'111'!$L$11),"x","")</f>
        <v/>
      </c>
      <c r="S6127" s="79" t="str">
        <f>IF(AND($O6127=$Q$7,$B6127&lt;'111'!$L$11),"x","")</f>
        <v/>
      </c>
      <c r="T6127" s="79" t="str">
        <f>IF(ISERROR(FIND('112'!$M$9,G6127,1)),"",IF((AND(FIND('112'!$M$9,G6127,1)&gt;=1,B6127='112'!$K$9,OR($N6127='112'!$I$6,$O6127='112'!$I$6))),"x",""))</f>
        <v/>
      </c>
      <c r="U6127" s="79" t="str">
        <f>IF(ISERROR(FIND('112'!$M$9,G6127,1)),"",IF((AND(LEFT(G6127,2)=LEFT('112'!$M$9,2),B6127&lt;'112'!$K$9,$N6127='112'!$I$6)),"x",""))</f>
        <v/>
      </c>
      <c r="V6127" s="79" t="str">
        <f>IF(ISERROR(FIND('112'!$M$9,G6127,1)),"",IF((AND(RIGHT(G6127,2)=RIGHT('112'!$M$9,2),B6127&lt;'112'!$K$9,$O6127='112'!$I$6)),"x",""))</f>
        <v/>
      </c>
      <c r="W6127" s="79" t="str">
        <f>IF(AND('341-CT'!$H$9=H6127,OR(LEFT(N6127,3)=$W$7,LEFT(O6127,3)=$W$7)),"x","")</f>
        <v/>
      </c>
      <c r="X6127" s="79" t="str">
        <f>IF(OR(TH!N6127=TH!$X$7,O6127=TH!$X$7),"x","")</f>
        <v/>
      </c>
      <c r="Y6127" s="79" t="str">
        <f>IF(AND(OR(N6127="131",O6127="131"),H6127='131-CT'!$H$9),"x","")</f>
        <v/>
      </c>
      <c r="Z6127" s="79"/>
      <c r="AA6127" s="79" t="str">
        <f>IF(AND(MONTH(E6127)='IN-NX'!$J$5,'IN-NX'!$D$7=D6127),"x","")</f>
        <v/>
      </c>
      <c r="AB6127" s="79" t="str">
        <f>IF(AND(OR(LEFT(TH!N6127,2)="15",LEFT(TH!O6127,2)="15"),LEFT(TH!O6127,3)&lt;&gt;"111",'152-CT'!$J$8=TH!F6127),"x","")</f>
        <v/>
      </c>
      <c r="AC6127" s="79" t="str">
        <f>IF(AND(OR(LEFT(TH!N6127,2)="15",LEFT(TH!O6127,2)="15"),TK!$E$7=TH!F6127),"x","")</f>
        <v/>
      </c>
      <c r="AD6127" s="79" t="str">
        <f>IF(AND(N6127="1521",MONTH(C6127)='BK-NL'!$M$11),"x","")</f>
        <v/>
      </c>
    </row>
    <row r="6128" spans="1:30" ht="16.5" customHeight="1">
      <c r="A6128" s="318" t="str">
        <f>IF(B6128&lt;&gt;"",IF(AND(B6128='IN-TC'!$S$4,OR(TH!N6128="1111",TH!O6128="1111")),TH!D6128,""),"")</f>
        <v/>
      </c>
      <c r="B6128" s="60" t="str">
        <f t="shared" si="516"/>
        <v/>
      </c>
      <c r="C6128" s="61"/>
      <c r="D6128" s="61"/>
      <c r="E6128" s="61"/>
      <c r="F6128" s="69"/>
      <c r="G6128" s="64"/>
      <c r="H6128" s="321"/>
      <c r="I6128" s="385"/>
      <c r="J6128" s="392"/>
      <c r="K6128" s="385"/>
      <c r="L6128" s="392"/>
      <c r="M6128" s="62"/>
      <c r="N6128" s="63"/>
      <c r="O6128" s="63"/>
      <c r="P6128" s="79" t="str">
        <f>IF(AND('331-CT'!$E$7=TH!H6128,OR(N6128="331",O6128="331")),"x","")</f>
        <v/>
      </c>
      <c r="Q6128" s="79" t="str">
        <f>IF(AND(B6128='111'!$L$11,OR($N6128=$Q$7,$O6128=$Q$7)),"x","")</f>
        <v/>
      </c>
      <c r="R6128" s="79" t="str">
        <f>IF(AND($N6128=$Q$7,$B6128&lt;'111'!$L$11),"x","")</f>
        <v/>
      </c>
      <c r="S6128" s="79" t="str">
        <f>IF(AND($O6128=$Q$7,$B6128&lt;'111'!$L$11),"x","")</f>
        <v/>
      </c>
      <c r="T6128" s="79" t="str">
        <f>IF(ISERROR(FIND('112'!$M$9,G6128,1)),"",IF((AND(FIND('112'!$M$9,G6128,1)&gt;=1,B6128='112'!$K$9,OR($N6128='112'!$I$6,$O6128='112'!$I$6))),"x",""))</f>
        <v/>
      </c>
      <c r="U6128" s="79" t="str">
        <f>IF(ISERROR(FIND('112'!$M$9,G6128,1)),"",IF((AND(LEFT(G6128,2)=LEFT('112'!$M$9,2),B6128&lt;'112'!$K$9,$N6128='112'!$I$6)),"x",""))</f>
        <v/>
      </c>
      <c r="V6128" s="79" t="str">
        <f>IF(ISERROR(FIND('112'!$M$9,G6128,1)),"",IF((AND(RIGHT(G6128,2)=RIGHT('112'!$M$9,2),B6128&lt;'112'!$K$9,$O6128='112'!$I$6)),"x",""))</f>
        <v/>
      </c>
      <c r="W6128" s="79" t="str">
        <f>IF(AND('341-CT'!$H$9=H6128,OR(LEFT(N6128,3)=$W$7,LEFT(O6128,3)=$W$7)),"x","")</f>
        <v/>
      </c>
      <c r="X6128" s="79" t="str">
        <f>IF(OR(TH!N6128=TH!$X$7,O6128=TH!$X$7),"x","")</f>
        <v/>
      </c>
      <c r="Y6128" s="79" t="str">
        <f>IF(AND(OR(N6128="131",O6128="131"),H6128='131-CT'!$H$9),"x","")</f>
        <v/>
      </c>
      <c r="Z6128" s="79"/>
      <c r="AA6128" s="79" t="str">
        <f>IF(AND(MONTH(E6128)='IN-NX'!$J$5,'IN-NX'!$D$7=D6128),"x","")</f>
        <v/>
      </c>
      <c r="AB6128" s="79" t="str">
        <f>IF(AND(OR(LEFT(TH!N6128,2)="15",LEFT(TH!O6128,2)="15"),LEFT(TH!O6128,3)&lt;&gt;"111",'152-CT'!$J$8=TH!F6128),"x","")</f>
        <v/>
      </c>
      <c r="AC6128" s="79" t="str">
        <f>IF(AND(OR(LEFT(TH!N6128,2)="15",LEFT(TH!O6128,2)="15"),TK!$E$7=TH!F6128),"x","")</f>
        <v/>
      </c>
      <c r="AD6128" s="79" t="str">
        <f>IF(AND(N6128="1521",MONTH(C6128)='BK-NL'!$M$11),"x","")</f>
        <v/>
      </c>
    </row>
    <row r="6129" spans="1:30" ht="16.5" customHeight="1">
      <c r="A6129" s="318" t="str">
        <f>IF(B6129&lt;&gt;"",IF(AND(B6129='IN-TC'!$S$4,OR(TH!N6129="1111",TH!O6129="1111")),TH!D6129,""),"")</f>
        <v/>
      </c>
      <c r="B6129" s="60" t="str">
        <f t="shared" si="516"/>
        <v/>
      </c>
      <c r="C6129" s="61"/>
      <c r="D6129" s="61"/>
      <c r="E6129" s="61"/>
      <c r="F6129" s="69"/>
      <c r="G6129" s="64"/>
      <c r="H6129" s="321"/>
      <c r="I6129" s="385"/>
      <c r="J6129" s="392"/>
      <c r="K6129" s="385"/>
      <c r="L6129" s="392"/>
      <c r="M6129" s="62"/>
      <c r="N6129" s="63"/>
      <c r="O6129" s="63"/>
      <c r="P6129" s="79" t="str">
        <f>IF(AND('331-CT'!$E$7=TH!H6129,OR(N6129="331",O6129="331")),"x","")</f>
        <v/>
      </c>
      <c r="Q6129" s="79" t="str">
        <f>IF(AND(B6129='111'!$L$11,OR($N6129=$Q$7,$O6129=$Q$7)),"x","")</f>
        <v/>
      </c>
      <c r="R6129" s="79" t="str">
        <f>IF(AND($N6129=$Q$7,$B6129&lt;'111'!$L$11),"x","")</f>
        <v/>
      </c>
      <c r="S6129" s="79" t="str">
        <f>IF(AND($O6129=$Q$7,$B6129&lt;'111'!$L$11),"x","")</f>
        <v/>
      </c>
      <c r="T6129" s="79" t="str">
        <f>IF(ISERROR(FIND('112'!$M$9,G6129,1)),"",IF((AND(FIND('112'!$M$9,G6129,1)&gt;=1,B6129='112'!$K$9,OR($N6129='112'!$I$6,$O6129='112'!$I$6))),"x",""))</f>
        <v/>
      </c>
      <c r="U6129" s="79" t="str">
        <f>IF(ISERROR(FIND('112'!$M$9,G6129,1)),"",IF((AND(LEFT(G6129,2)=LEFT('112'!$M$9,2),B6129&lt;'112'!$K$9,$N6129='112'!$I$6)),"x",""))</f>
        <v/>
      </c>
      <c r="V6129" s="79" t="str">
        <f>IF(ISERROR(FIND('112'!$M$9,G6129,1)),"",IF((AND(RIGHT(G6129,2)=RIGHT('112'!$M$9,2),B6129&lt;'112'!$K$9,$O6129='112'!$I$6)),"x",""))</f>
        <v/>
      </c>
      <c r="W6129" s="79" t="str">
        <f>IF(AND('341-CT'!$H$9=H6129,OR(LEFT(N6129,3)=$W$7,LEFT(O6129,3)=$W$7)),"x","")</f>
        <v/>
      </c>
      <c r="X6129" s="79" t="str">
        <f>IF(OR(TH!N6129=TH!$X$7,O6129=TH!$X$7),"x","")</f>
        <v/>
      </c>
      <c r="Y6129" s="79" t="str">
        <f>IF(AND(OR(N6129="131",O6129="131"),H6129='131-CT'!$H$9),"x","")</f>
        <v/>
      </c>
      <c r="Z6129" s="79"/>
      <c r="AA6129" s="79" t="str">
        <f>IF(AND(MONTH(E6129)='IN-NX'!$J$5,'IN-NX'!$D$7=D6129),"x","")</f>
        <v/>
      </c>
      <c r="AB6129" s="79" t="str">
        <f>IF(AND(OR(LEFT(TH!N6129,2)="15",LEFT(TH!O6129,2)="15"),LEFT(TH!O6129,3)&lt;&gt;"111",'152-CT'!$J$8=TH!F6129),"x","")</f>
        <v/>
      </c>
      <c r="AC6129" s="79" t="str">
        <f>IF(AND(OR(LEFT(TH!N6129,2)="15",LEFT(TH!O6129,2)="15"),TK!$E$7=TH!F6129),"x","")</f>
        <v/>
      </c>
      <c r="AD6129" s="79" t="str">
        <f>IF(AND(N6129="1521",MONTH(C6129)='BK-NL'!$M$11),"x","")</f>
        <v/>
      </c>
    </row>
    <row r="6130" spans="1:30" ht="16.5" customHeight="1">
      <c r="A6130" s="318" t="str">
        <f>IF(B6130&lt;&gt;"",IF(AND(B6130='IN-TC'!$S$4,OR(TH!N6130="1111",TH!O6130="1111")),TH!D6130,""),"")</f>
        <v/>
      </c>
      <c r="B6130" s="60" t="str">
        <f t="shared" si="516"/>
        <v/>
      </c>
      <c r="C6130" s="61"/>
      <c r="D6130" s="61"/>
      <c r="E6130" s="61"/>
      <c r="F6130" s="69"/>
      <c r="G6130" s="64"/>
      <c r="H6130" s="321"/>
      <c r="I6130" s="385"/>
      <c r="J6130" s="392"/>
      <c r="K6130" s="385"/>
      <c r="L6130" s="392"/>
      <c r="M6130" s="62"/>
      <c r="N6130" s="63"/>
      <c r="O6130" s="63"/>
      <c r="P6130" s="79" t="str">
        <f>IF(AND('331-CT'!$E$7=TH!H6130,OR(N6130="331",O6130="331")),"x","")</f>
        <v/>
      </c>
      <c r="Q6130" s="79" t="str">
        <f>IF(AND(B6130='111'!$L$11,OR($N6130=$Q$7,$O6130=$Q$7)),"x","")</f>
        <v/>
      </c>
      <c r="R6130" s="79" t="str">
        <f>IF(AND($N6130=$Q$7,$B6130&lt;'111'!$L$11),"x","")</f>
        <v/>
      </c>
      <c r="S6130" s="79" t="str">
        <f>IF(AND($O6130=$Q$7,$B6130&lt;'111'!$L$11),"x","")</f>
        <v/>
      </c>
      <c r="T6130" s="79" t="str">
        <f>IF(ISERROR(FIND('112'!$M$9,G6130,1)),"",IF((AND(FIND('112'!$M$9,G6130,1)&gt;=1,B6130='112'!$K$9,OR($N6130='112'!$I$6,$O6130='112'!$I$6))),"x",""))</f>
        <v/>
      </c>
      <c r="U6130" s="79" t="str">
        <f>IF(ISERROR(FIND('112'!$M$9,G6130,1)),"",IF((AND(LEFT(G6130,2)=LEFT('112'!$M$9,2),B6130&lt;'112'!$K$9,$N6130='112'!$I$6)),"x",""))</f>
        <v/>
      </c>
      <c r="V6130" s="79" t="str">
        <f>IF(ISERROR(FIND('112'!$M$9,G6130,1)),"",IF((AND(RIGHT(G6130,2)=RIGHT('112'!$M$9,2),B6130&lt;'112'!$K$9,$O6130='112'!$I$6)),"x",""))</f>
        <v/>
      </c>
      <c r="W6130" s="79" t="str">
        <f>IF(AND('341-CT'!$H$9=H6130,OR(LEFT(N6130,3)=$W$7,LEFT(O6130,3)=$W$7)),"x","")</f>
        <v/>
      </c>
      <c r="X6130" s="79" t="str">
        <f>IF(OR(TH!N6130=TH!$X$7,O6130=TH!$X$7),"x","")</f>
        <v/>
      </c>
      <c r="Y6130" s="79" t="str">
        <f>IF(AND(OR(N6130="131",O6130="131"),H6130='131-CT'!$H$9),"x","")</f>
        <v/>
      </c>
      <c r="Z6130" s="79"/>
      <c r="AA6130" s="79" t="str">
        <f>IF(AND(MONTH(E6130)='IN-NX'!$J$5,'IN-NX'!$D$7=D6130),"x","")</f>
        <v/>
      </c>
      <c r="AB6130" s="79" t="str">
        <f>IF(AND(OR(LEFT(TH!N6130,2)="15",LEFT(TH!O6130,2)="15"),LEFT(TH!O6130,3)&lt;&gt;"111",'152-CT'!$J$8=TH!F6130),"x","")</f>
        <v/>
      </c>
      <c r="AC6130" s="79" t="str">
        <f>IF(AND(OR(LEFT(TH!N6130,2)="15",LEFT(TH!O6130,2)="15"),TK!$E$7=TH!F6130),"x","")</f>
        <v/>
      </c>
      <c r="AD6130" s="79" t="str">
        <f>IF(AND(N6130="1521",MONTH(C6130)='BK-NL'!$M$11),"x","")</f>
        <v/>
      </c>
    </row>
    <row r="6131" spans="1:30" ht="16.5" customHeight="1">
      <c r="A6131" s="318" t="str">
        <f>IF(B6131&lt;&gt;"",IF(AND(B6131='IN-TC'!$S$4,OR(TH!N6131="1111",TH!O6131="1111")),TH!D6131,""),"")</f>
        <v/>
      </c>
      <c r="B6131" s="60" t="str">
        <f t="shared" si="516"/>
        <v/>
      </c>
      <c r="C6131" s="61"/>
      <c r="D6131" s="61"/>
      <c r="E6131" s="61"/>
      <c r="F6131" s="69"/>
      <c r="G6131" s="64"/>
      <c r="H6131" s="321"/>
      <c r="I6131" s="385"/>
      <c r="J6131" s="392"/>
      <c r="K6131" s="385"/>
      <c r="L6131" s="392"/>
      <c r="M6131" s="62"/>
      <c r="N6131" s="63"/>
      <c r="O6131" s="63"/>
      <c r="P6131" s="79" t="str">
        <f>IF(AND('331-CT'!$E$7=TH!H6131,OR(N6131="331",O6131="331")),"x","")</f>
        <v/>
      </c>
      <c r="Q6131" s="79" t="str">
        <f>IF(AND(B6131='111'!$L$11,OR($N6131=$Q$7,$O6131=$Q$7)),"x","")</f>
        <v/>
      </c>
      <c r="R6131" s="79" t="str">
        <f>IF(AND($N6131=$Q$7,$B6131&lt;'111'!$L$11),"x","")</f>
        <v/>
      </c>
      <c r="S6131" s="79" t="str">
        <f>IF(AND($O6131=$Q$7,$B6131&lt;'111'!$L$11),"x","")</f>
        <v/>
      </c>
      <c r="T6131" s="79" t="str">
        <f>IF(ISERROR(FIND('112'!$M$9,G6131,1)),"",IF((AND(FIND('112'!$M$9,G6131,1)&gt;=1,B6131='112'!$K$9,OR($N6131='112'!$I$6,$O6131='112'!$I$6))),"x",""))</f>
        <v/>
      </c>
      <c r="U6131" s="79" t="str">
        <f>IF(ISERROR(FIND('112'!$M$9,G6131,1)),"",IF((AND(LEFT(G6131,2)=LEFT('112'!$M$9,2),B6131&lt;'112'!$K$9,$N6131='112'!$I$6)),"x",""))</f>
        <v/>
      </c>
      <c r="V6131" s="79" t="str">
        <f>IF(ISERROR(FIND('112'!$M$9,G6131,1)),"",IF((AND(RIGHT(G6131,2)=RIGHT('112'!$M$9,2),B6131&lt;'112'!$K$9,$O6131='112'!$I$6)),"x",""))</f>
        <v/>
      </c>
      <c r="W6131" s="79" t="str">
        <f>IF(AND('341-CT'!$H$9=H6131,OR(LEFT(N6131,3)=$W$7,LEFT(O6131,3)=$W$7)),"x","")</f>
        <v/>
      </c>
      <c r="X6131" s="79" t="str">
        <f>IF(OR(TH!N6131=TH!$X$7,O6131=TH!$X$7),"x","")</f>
        <v/>
      </c>
      <c r="Y6131" s="79" t="str">
        <f>IF(AND(OR(N6131="131",O6131="131"),H6131='131-CT'!$H$9),"x","")</f>
        <v/>
      </c>
      <c r="Z6131" s="79"/>
      <c r="AA6131" s="79" t="str">
        <f>IF(AND(MONTH(E6131)='IN-NX'!$J$5,'IN-NX'!$D$7=D6131),"x","")</f>
        <v/>
      </c>
      <c r="AB6131" s="79" t="str">
        <f>IF(AND(OR(LEFT(TH!N6131,2)="15",LEFT(TH!O6131,2)="15"),LEFT(TH!O6131,3)&lt;&gt;"111",'152-CT'!$J$8=TH!F6131),"x","")</f>
        <v/>
      </c>
      <c r="AC6131" s="79" t="str">
        <f>IF(AND(OR(LEFT(TH!N6131,2)="15",LEFT(TH!O6131,2)="15"),TK!$E$7=TH!F6131),"x","")</f>
        <v/>
      </c>
      <c r="AD6131" s="79" t="str">
        <f>IF(AND(N6131="1521",MONTH(C6131)='BK-NL'!$M$11),"x","")</f>
        <v/>
      </c>
    </row>
    <row r="6132" spans="1:30" ht="16.5" customHeight="1">
      <c r="A6132" s="318" t="str">
        <f>IF(B6132&lt;&gt;"",IF(AND(B6132='IN-TC'!$S$4,OR(TH!N6132="1111",TH!O6132="1111")),TH!D6132,""),"")</f>
        <v/>
      </c>
      <c r="B6132" s="60" t="str">
        <f t="shared" si="516"/>
        <v/>
      </c>
      <c r="C6132" s="61"/>
      <c r="D6132" s="61"/>
      <c r="E6132" s="61"/>
      <c r="F6132" s="69"/>
      <c r="G6132" s="64"/>
      <c r="H6132" s="321"/>
      <c r="I6132" s="385"/>
      <c r="J6132" s="392"/>
      <c r="K6132" s="385"/>
      <c r="L6132" s="392"/>
      <c r="M6132" s="62"/>
      <c r="N6132" s="63"/>
      <c r="O6132" s="63"/>
      <c r="P6132" s="79" t="str">
        <f>IF(AND('331-CT'!$E$7=TH!H6132,OR(N6132="331",O6132="331")),"x","")</f>
        <v/>
      </c>
      <c r="Q6132" s="79" t="str">
        <f>IF(AND(B6132='111'!$L$11,OR($N6132=$Q$7,$O6132=$Q$7)),"x","")</f>
        <v/>
      </c>
      <c r="R6132" s="79" t="str">
        <f>IF(AND($N6132=$Q$7,$B6132&lt;'111'!$L$11),"x","")</f>
        <v/>
      </c>
      <c r="S6132" s="79" t="str">
        <f>IF(AND($O6132=$Q$7,$B6132&lt;'111'!$L$11),"x","")</f>
        <v/>
      </c>
      <c r="T6132" s="79" t="str">
        <f>IF(ISERROR(FIND('112'!$M$9,G6132,1)),"",IF((AND(FIND('112'!$M$9,G6132,1)&gt;=1,B6132='112'!$K$9,OR($N6132='112'!$I$6,$O6132='112'!$I$6))),"x",""))</f>
        <v/>
      </c>
      <c r="U6132" s="79" t="str">
        <f>IF(ISERROR(FIND('112'!$M$9,G6132,1)),"",IF((AND(LEFT(G6132,2)=LEFT('112'!$M$9,2),B6132&lt;'112'!$K$9,$N6132='112'!$I$6)),"x",""))</f>
        <v/>
      </c>
      <c r="V6132" s="79" t="str">
        <f>IF(ISERROR(FIND('112'!$M$9,G6132,1)),"",IF((AND(RIGHT(G6132,2)=RIGHT('112'!$M$9,2),B6132&lt;'112'!$K$9,$O6132='112'!$I$6)),"x",""))</f>
        <v/>
      </c>
      <c r="W6132" s="79" t="str">
        <f>IF(AND('341-CT'!$H$9=H6132,OR(LEFT(N6132,3)=$W$7,LEFT(O6132,3)=$W$7)),"x","")</f>
        <v/>
      </c>
      <c r="X6132" s="79" t="str">
        <f>IF(OR(TH!N6132=TH!$X$7,O6132=TH!$X$7),"x","")</f>
        <v/>
      </c>
      <c r="Y6132" s="79" t="str">
        <f>IF(AND(OR(N6132="131",O6132="131"),H6132='131-CT'!$H$9),"x","")</f>
        <v/>
      </c>
      <c r="Z6132" s="79"/>
      <c r="AA6132" s="79" t="str">
        <f>IF(AND(MONTH(E6132)='IN-NX'!$J$5,'IN-NX'!$D$7=D6132),"x","")</f>
        <v/>
      </c>
      <c r="AB6132" s="79" t="str">
        <f>IF(AND(OR(LEFT(TH!N6132,2)="15",LEFT(TH!O6132,2)="15"),LEFT(TH!O6132,3)&lt;&gt;"111",'152-CT'!$J$8=TH!F6132),"x","")</f>
        <v/>
      </c>
      <c r="AC6132" s="79" t="str">
        <f>IF(AND(OR(LEFT(TH!N6132,2)="15",LEFT(TH!O6132,2)="15"),TK!$E$7=TH!F6132),"x","")</f>
        <v/>
      </c>
      <c r="AD6132" s="79" t="str">
        <f>IF(AND(N6132="1521",MONTH(C6132)='BK-NL'!$M$11),"x","")</f>
        <v/>
      </c>
    </row>
    <row r="6133" spans="1:30" ht="16.5" customHeight="1">
      <c r="A6133" s="318" t="str">
        <f>IF(B6133&lt;&gt;"",IF(AND(B6133='IN-TC'!$S$4,OR(TH!N6133="1111",TH!O6133="1111")),TH!D6133,""),"")</f>
        <v/>
      </c>
      <c r="B6133" s="60" t="str">
        <f t="shared" si="516"/>
        <v/>
      </c>
      <c r="C6133" s="61"/>
      <c r="D6133" s="61"/>
      <c r="E6133" s="61"/>
      <c r="F6133" s="69"/>
      <c r="G6133" s="64"/>
      <c r="H6133" s="321"/>
      <c r="I6133" s="385"/>
      <c r="J6133" s="392"/>
      <c r="K6133" s="385"/>
      <c r="L6133" s="392"/>
      <c r="M6133" s="62"/>
      <c r="N6133" s="63"/>
      <c r="O6133" s="63"/>
      <c r="P6133" s="79" t="str">
        <f>IF(AND('331-CT'!$E$7=TH!H6133,OR(N6133="331",O6133="331")),"x","")</f>
        <v/>
      </c>
      <c r="Q6133" s="79" t="str">
        <f>IF(AND(B6133='111'!$L$11,OR($N6133=$Q$7,$O6133=$Q$7)),"x","")</f>
        <v/>
      </c>
      <c r="R6133" s="79" t="str">
        <f>IF(AND($N6133=$Q$7,$B6133&lt;'111'!$L$11),"x","")</f>
        <v/>
      </c>
      <c r="S6133" s="79" t="str">
        <f>IF(AND($O6133=$Q$7,$B6133&lt;'111'!$L$11),"x","")</f>
        <v/>
      </c>
      <c r="T6133" s="79" t="str">
        <f>IF(ISERROR(FIND('112'!$M$9,G6133,1)),"",IF((AND(FIND('112'!$M$9,G6133,1)&gt;=1,B6133='112'!$K$9,OR($N6133='112'!$I$6,$O6133='112'!$I$6))),"x",""))</f>
        <v/>
      </c>
      <c r="U6133" s="79" t="str">
        <f>IF(ISERROR(FIND('112'!$M$9,G6133,1)),"",IF((AND(LEFT(G6133,2)=LEFT('112'!$M$9,2),B6133&lt;'112'!$K$9,$N6133='112'!$I$6)),"x",""))</f>
        <v/>
      </c>
      <c r="V6133" s="79" t="str">
        <f>IF(ISERROR(FIND('112'!$M$9,G6133,1)),"",IF((AND(RIGHT(G6133,2)=RIGHT('112'!$M$9,2),B6133&lt;'112'!$K$9,$O6133='112'!$I$6)),"x",""))</f>
        <v/>
      </c>
      <c r="W6133" s="79" t="str">
        <f>IF(AND('341-CT'!$H$9=H6133,OR(LEFT(N6133,3)=$W$7,LEFT(O6133,3)=$W$7)),"x","")</f>
        <v/>
      </c>
      <c r="X6133" s="79" t="str">
        <f>IF(OR(TH!N6133=TH!$X$7,O6133=TH!$X$7),"x","")</f>
        <v/>
      </c>
      <c r="Y6133" s="79" t="str">
        <f>IF(AND(OR(N6133="131",O6133="131"),H6133='131-CT'!$H$9),"x","")</f>
        <v/>
      </c>
      <c r="Z6133" s="79"/>
      <c r="AA6133" s="79" t="str">
        <f>IF(AND(MONTH(E6133)='IN-NX'!$J$5,'IN-NX'!$D$7=D6133),"x","")</f>
        <v/>
      </c>
      <c r="AB6133" s="79" t="str">
        <f>IF(AND(OR(LEFT(TH!N6133,2)="15",LEFT(TH!O6133,2)="15"),LEFT(TH!O6133,3)&lt;&gt;"111",'152-CT'!$J$8=TH!F6133),"x","")</f>
        <v/>
      </c>
      <c r="AC6133" s="79" t="str">
        <f>IF(AND(OR(LEFT(TH!N6133,2)="15",LEFT(TH!O6133,2)="15"),TK!$E$7=TH!F6133),"x","")</f>
        <v/>
      </c>
      <c r="AD6133" s="79" t="str">
        <f>IF(AND(N6133="1521",MONTH(C6133)='BK-NL'!$M$11),"x","")</f>
        <v/>
      </c>
    </row>
    <row r="6134" spans="1:30" ht="16.5" customHeight="1">
      <c r="A6134" s="318" t="str">
        <f>IF(B6134&lt;&gt;"",IF(AND(B6134='IN-TC'!$S$4,OR(TH!N6134="1111",TH!O6134="1111")),TH!D6134,""),"")</f>
        <v/>
      </c>
      <c r="B6134" s="60" t="str">
        <f t="shared" si="516"/>
        <v/>
      </c>
      <c r="C6134" s="61"/>
      <c r="D6134" s="61"/>
      <c r="E6134" s="61"/>
      <c r="F6134" s="69"/>
      <c r="G6134" s="64"/>
      <c r="H6134" s="321"/>
      <c r="I6134" s="385"/>
      <c r="J6134" s="392"/>
      <c r="K6134" s="385"/>
      <c r="L6134" s="392"/>
      <c r="M6134" s="62"/>
      <c r="N6134" s="63"/>
      <c r="O6134" s="63"/>
      <c r="P6134" s="79" t="str">
        <f>IF(AND('331-CT'!$E$7=TH!H6134,OR(N6134="331",O6134="331")),"x","")</f>
        <v/>
      </c>
      <c r="Q6134" s="79" t="str">
        <f>IF(AND(B6134='111'!$L$11,OR($N6134=$Q$7,$O6134=$Q$7)),"x","")</f>
        <v/>
      </c>
      <c r="R6134" s="79" t="str">
        <f>IF(AND($N6134=$Q$7,$B6134&lt;'111'!$L$11),"x","")</f>
        <v/>
      </c>
      <c r="S6134" s="79" t="str">
        <f>IF(AND($O6134=$Q$7,$B6134&lt;'111'!$L$11),"x","")</f>
        <v/>
      </c>
      <c r="T6134" s="79" t="str">
        <f>IF(ISERROR(FIND('112'!$M$9,G6134,1)),"",IF((AND(FIND('112'!$M$9,G6134,1)&gt;=1,B6134='112'!$K$9,OR($N6134='112'!$I$6,$O6134='112'!$I$6))),"x",""))</f>
        <v/>
      </c>
      <c r="U6134" s="79" t="str">
        <f>IF(ISERROR(FIND('112'!$M$9,G6134,1)),"",IF((AND(LEFT(G6134,2)=LEFT('112'!$M$9,2),B6134&lt;'112'!$K$9,$N6134='112'!$I$6)),"x",""))</f>
        <v/>
      </c>
      <c r="V6134" s="79" t="str">
        <f>IF(ISERROR(FIND('112'!$M$9,G6134,1)),"",IF((AND(RIGHT(G6134,2)=RIGHT('112'!$M$9,2),B6134&lt;'112'!$K$9,$O6134='112'!$I$6)),"x",""))</f>
        <v/>
      </c>
      <c r="W6134" s="79" t="str">
        <f>IF(AND('341-CT'!$H$9=H6134,OR(LEFT(N6134,3)=$W$7,LEFT(O6134,3)=$W$7)),"x","")</f>
        <v/>
      </c>
      <c r="X6134" s="79" t="str">
        <f>IF(OR(TH!N6134=TH!$X$7,O6134=TH!$X$7),"x","")</f>
        <v/>
      </c>
      <c r="Y6134" s="79" t="str">
        <f>IF(AND(OR(N6134="131",O6134="131"),H6134='131-CT'!$H$9),"x","")</f>
        <v/>
      </c>
      <c r="Z6134" s="79"/>
      <c r="AA6134" s="79" t="str">
        <f>IF(AND(MONTH(E6134)='IN-NX'!$J$5,'IN-NX'!$D$7=D6134),"x","")</f>
        <v/>
      </c>
      <c r="AB6134" s="79" t="str">
        <f>IF(AND(OR(LEFT(TH!N6134,2)="15",LEFT(TH!O6134,2)="15"),LEFT(TH!O6134,3)&lt;&gt;"111",'152-CT'!$J$8=TH!F6134),"x","")</f>
        <v/>
      </c>
      <c r="AC6134" s="79" t="str">
        <f>IF(AND(OR(LEFT(TH!N6134,2)="15",LEFT(TH!O6134,2)="15"),TK!$E$7=TH!F6134),"x","")</f>
        <v/>
      </c>
      <c r="AD6134" s="79" t="str">
        <f>IF(AND(N6134="1521",MONTH(C6134)='BK-NL'!$M$11),"x","")</f>
        <v/>
      </c>
    </row>
    <row r="6135" spans="1:30" ht="16.5" customHeight="1">
      <c r="A6135" s="318" t="str">
        <f>IF(B6135&lt;&gt;"",IF(AND(B6135='IN-TC'!$S$4,OR(TH!N6135="1111",TH!O6135="1111")),TH!D6135,""),"")</f>
        <v/>
      </c>
      <c r="B6135" s="60" t="str">
        <f t="shared" si="516"/>
        <v/>
      </c>
      <c r="C6135" s="61"/>
      <c r="D6135" s="61"/>
      <c r="E6135" s="61"/>
      <c r="F6135" s="69"/>
      <c r="G6135" s="64"/>
      <c r="H6135" s="321"/>
      <c r="I6135" s="385"/>
      <c r="J6135" s="392"/>
      <c r="K6135" s="385"/>
      <c r="L6135" s="392"/>
      <c r="M6135" s="62"/>
      <c r="N6135" s="63"/>
      <c r="O6135" s="63"/>
      <c r="P6135" s="79" t="str">
        <f>IF(AND('331-CT'!$E$7=TH!H6135,OR(N6135="331",O6135="331")),"x","")</f>
        <v/>
      </c>
      <c r="Q6135" s="79" t="str">
        <f>IF(AND(B6135='111'!$L$11,OR($N6135=$Q$7,$O6135=$Q$7)),"x","")</f>
        <v/>
      </c>
      <c r="R6135" s="79" t="str">
        <f>IF(AND($N6135=$Q$7,$B6135&lt;'111'!$L$11),"x","")</f>
        <v/>
      </c>
      <c r="S6135" s="79" t="str">
        <f>IF(AND($O6135=$Q$7,$B6135&lt;'111'!$L$11),"x","")</f>
        <v/>
      </c>
      <c r="T6135" s="79" t="str">
        <f>IF(ISERROR(FIND('112'!$M$9,G6135,1)),"",IF((AND(FIND('112'!$M$9,G6135,1)&gt;=1,B6135='112'!$K$9,OR($N6135='112'!$I$6,$O6135='112'!$I$6))),"x",""))</f>
        <v/>
      </c>
      <c r="U6135" s="79" t="str">
        <f>IF(ISERROR(FIND('112'!$M$9,G6135,1)),"",IF((AND(LEFT(G6135,2)=LEFT('112'!$M$9,2),B6135&lt;'112'!$K$9,$N6135='112'!$I$6)),"x",""))</f>
        <v/>
      </c>
      <c r="V6135" s="79" t="str">
        <f>IF(ISERROR(FIND('112'!$M$9,G6135,1)),"",IF((AND(RIGHT(G6135,2)=RIGHT('112'!$M$9,2),B6135&lt;'112'!$K$9,$O6135='112'!$I$6)),"x",""))</f>
        <v/>
      </c>
      <c r="W6135" s="79" t="str">
        <f>IF(AND('341-CT'!$H$9=H6135,OR(LEFT(N6135,3)=$W$7,LEFT(O6135,3)=$W$7)),"x","")</f>
        <v/>
      </c>
      <c r="X6135" s="79" t="str">
        <f>IF(OR(TH!N6135=TH!$X$7,O6135=TH!$X$7),"x","")</f>
        <v/>
      </c>
      <c r="Y6135" s="79" t="str">
        <f>IF(AND(OR(N6135="131",O6135="131"),H6135='131-CT'!$H$9),"x","")</f>
        <v/>
      </c>
      <c r="Z6135" s="79"/>
      <c r="AA6135" s="79" t="str">
        <f>IF(AND(MONTH(E6135)='IN-NX'!$J$5,'IN-NX'!$D$7=D6135),"x","")</f>
        <v/>
      </c>
      <c r="AB6135" s="79" t="str">
        <f>IF(AND(OR(LEFT(TH!N6135,2)="15",LEFT(TH!O6135,2)="15"),LEFT(TH!O6135,3)&lt;&gt;"111",'152-CT'!$J$8=TH!F6135),"x","")</f>
        <v/>
      </c>
      <c r="AC6135" s="79" t="str">
        <f>IF(AND(OR(LEFT(TH!N6135,2)="15",LEFT(TH!O6135,2)="15"),TK!$E$7=TH!F6135),"x","")</f>
        <v/>
      </c>
      <c r="AD6135" s="79" t="str">
        <f>IF(AND(N6135="1521",MONTH(C6135)='BK-NL'!$M$11),"x","")</f>
        <v/>
      </c>
    </row>
    <row r="6136" spans="1:30" ht="16.5" customHeight="1">
      <c r="A6136" s="318" t="str">
        <f>IF(B6136&lt;&gt;"",IF(AND(B6136='IN-TC'!$S$4,OR(TH!N6136="1111",TH!O6136="1111")),TH!D6136,""),"")</f>
        <v/>
      </c>
      <c r="B6136" s="60" t="str">
        <f t="shared" si="516"/>
        <v/>
      </c>
      <c r="C6136" s="61"/>
      <c r="D6136" s="61"/>
      <c r="E6136" s="61"/>
      <c r="F6136" s="69"/>
      <c r="G6136" s="64"/>
      <c r="H6136" s="321"/>
      <c r="I6136" s="385"/>
      <c r="J6136" s="392"/>
      <c r="K6136" s="385"/>
      <c r="L6136" s="392"/>
      <c r="M6136" s="62"/>
      <c r="N6136" s="63"/>
      <c r="O6136" s="63"/>
      <c r="P6136" s="79" t="str">
        <f>IF(AND('331-CT'!$E$7=TH!H6136,OR(N6136="331",O6136="331")),"x","")</f>
        <v/>
      </c>
      <c r="Q6136" s="79" t="str">
        <f>IF(AND(B6136='111'!$L$11,OR($N6136=$Q$7,$O6136=$Q$7)),"x","")</f>
        <v/>
      </c>
      <c r="R6136" s="79" t="str">
        <f>IF(AND($N6136=$Q$7,$B6136&lt;'111'!$L$11),"x","")</f>
        <v/>
      </c>
      <c r="S6136" s="79" t="str">
        <f>IF(AND($O6136=$Q$7,$B6136&lt;'111'!$L$11),"x","")</f>
        <v/>
      </c>
      <c r="T6136" s="79" t="str">
        <f>IF(ISERROR(FIND('112'!$M$9,G6136,1)),"",IF((AND(FIND('112'!$M$9,G6136,1)&gt;=1,B6136='112'!$K$9,OR($N6136='112'!$I$6,$O6136='112'!$I$6))),"x",""))</f>
        <v/>
      </c>
      <c r="U6136" s="79" t="str">
        <f>IF(ISERROR(FIND('112'!$M$9,G6136,1)),"",IF((AND(LEFT(G6136,2)=LEFT('112'!$M$9,2),B6136&lt;'112'!$K$9,$N6136='112'!$I$6)),"x",""))</f>
        <v/>
      </c>
      <c r="V6136" s="79" t="str">
        <f>IF(ISERROR(FIND('112'!$M$9,G6136,1)),"",IF((AND(RIGHT(G6136,2)=RIGHT('112'!$M$9,2),B6136&lt;'112'!$K$9,$O6136='112'!$I$6)),"x",""))</f>
        <v/>
      </c>
      <c r="W6136" s="79" t="str">
        <f>IF(AND('341-CT'!$H$9=H6136,OR(LEFT(N6136,3)=$W$7,LEFT(O6136,3)=$W$7)),"x","")</f>
        <v/>
      </c>
      <c r="X6136" s="79" t="str">
        <f>IF(OR(TH!N6136=TH!$X$7,O6136=TH!$X$7),"x","")</f>
        <v/>
      </c>
      <c r="Y6136" s="79" t="str">
        <f>IF(AND(OR(N6136="131",O6136="131"),H6136='131-CT'!$H$9),"x","")</f>
        <v/>
      </c>
      <c r="Z6136" s="79"/>
      <c r="AA6136" s="79" t="str">
        <f>IF(AND(MONTH(E6136)='IN-NX'!$J$5,'IN-NX'!$D$7=D6136),"x","")</f>
        <v/>
      </c>
      <c r="AB6136" s="79" t="str">
        <f>IF(AND(OR(LEFT(TH!N6136,2)="15",LEFT(TH!O6136,2)="15"),LEFT(TH!O6136,3)&lt;&gt;"111",'152-CT'!$J$8=TH!F6136),"x","")</f>
        <v/>
      </c>
      <c r="AC6136" s="79" t="str">
        <f>IF(AND(OR(LEFT(TH!N6136,2)="15",LEFT(TH!O6136,2)="15"),TK!$E$7=TH!F6136),"x","")</f>
        <v/>
      </c>
      <c r="AD6136" s="79" t="str">
        <f>IF(AND(N6136="1521",MONTH(C6136)='BK-NL'!$M$11),"x","")</f>
        <v/>
      </c>
    </row>
    <row r="6137" spans="1:30" ht="16.5" customHeight="1">
      <c r="A6137" s="318" t="str">
        <f>IF(B6137&lt;&gt;"",IF(AND(B6137='IN-TC'!$S$4,OR(TH!N6137="1111",TH!O6137="1111")),TH!D6137,""),"")</f>
        <v/>
      </c>
      <c r="B6137" s="60" t="str">
        <f t="shared" si="516"/>
        <v/>
      </c>
      <c r="C6137" s="61"/>
      <c r="D6137" s="61"/>
      <c r="E6137" s="61"/>
      <c r="F6137" s="69"/>
      <c r="G6137" s="64"/>
      <c r="H6137" s="70"/>
      <c r="I6137" s="385"/>
      <c r="J6137" s="392"/>
      <c r="K6137" s="385"/>
      <c r="L6137" s="392"/>
      <c r="M6137" s="62"/>
      <c r="N6137" s="63"/>
      <c r="O6137" s="63"/>
      <c r="P6137" s="79" t="str">
        <f>IF(AND('331-CT'!$E$7=TH!H6137,OR(N6137="331",O6137="331")),"x","")</f>
        <v/>
      </c>
      <c r="Q6137" s="79" t="str">
        <f>IF(AND(B6137='111'!$L$11,OR($N6137=$Q$7,$O6137=$Q$7)),"x","")</f>
        <v/>
      </c>
      <c r="R6137" s="79" t="str">
        <f>IF(AND($N6137=$Q$7,$B6137&lt;'111'!$L$11),"x","")</f>
        <v/>
      </c>
      <c r="S6137" s="79" t="str">
        <f>IF(AND($O6137=$Q$7,$B6137&lt;'111'!$L$11),"x","")</f>
        <v/>
      </c>
      <c r="T6137" s="79" t="str">
        <f>IF(ISERROR(FIND('112'!$M$9,G6137,1)),"",IF((AND(FIND('112'!$M$9,G6137,1)&gt;=1,B6137='112'!$K$9,OR($N6137='112'!$I$6,$O6137='112'!$I$6))),"x",""))</f>
        <v/>
      </c>
      <c r="U6137" s="79" t="str">
        <f>IF(ISERROR(FIND('112'!$M$9,G6137,1)),"",IF((AND(LEFT(G6137,2)=LEFT('112'!$M$9,2),B6137&lt;'112'!$K$9,$N6137='112'!$I$6)),"x",""))</f>
        <v/>
      </c>
      <c r="V6137" s="79" t="str">
        <f>IF(ISERROR(FIND('112'!$M$9,G6137,1)),"",IF((AND(RIGHT(G6137,2)=RIGHT('112'!$M$9,2),B6137&lt;'112'!$K$9,$O6137='112'!$I$6)),"x",""))</f>
        <v/>
      </c>
      <c r="W6137" s="79" t="str">
        <f>IF(AND('341-CT'!$H$9=H6137,OR(LEFT(N6137,3)=$W$7,LEFT(O6137,3)=$W$7)),"x","")</f>
        <v/>
      </c>
      <c r="X6137" s="79" t="str">
        <f>IF(OR(TH!N6137=TH!$X$7,O6137=TH!$X$7),"x","")</f>
        <v/>
      </c>
      <c r="Y6137" s="79" t="str">
        <f>IF(AND(OR(N6137="131",O6137="131"),H6137='131-CT'!$H$9),"x","")</f>
        <v/>
      </c>
      <c r="Z6137" s="79"/>
      <c r="AA6137" s="79" t="str">
        <f>IF(AND(MONTH(E6137)='IN-NX'!$J$5,'IN-NX'!$D$7=D6137),"x","")</f>
        <v/>
      </c>
      <c r="AB6137" s="79" t="str">
        <f>IF(AND(OR(LEFT(TH!N6137,2)="15",LEFT(TH!O6137,2)="15"),LEFT(TH!O6137,3)&lt;&gt;"111",'152-CT'!$J$8=TH!F6137),"x","")</f>
        <v/>
      </c>
      <c r="AC6137" s="79" t="str">
        <f>IF(AND(OR(LEFT(TH!N6137,2)="15",LEFT(TH!O6137,2)="15"),TK!$E$7=TH!F6137),"x","")</f>
        <v/>
      </c>
      <c r="AD6137" s="79" t="str">
        <f>IF(AND(N6137="1521",MONTH(C6137)='BK-NL'!$M$11),"x","")</f>
        <v/>
      </c>
    </row>
    <row r="6138" spans="1:30" ht="16.5" customHeight="1">
      <c r="A6138" s="318" t="str">
        <f>IF(B6138&lt;&gt;"",IF(AND(B6138='IN-TC'!$S$4,OR(TH!N6138="1111",TH!O6138="1111")),TH!D6138,""),"")</f>
        <v/>
      </c>
      <c r="B6138" s="60" t="str">
        <f t="shared" si="516"/>
        <v/>
      </c>
      <c r="C6138" s="61"/>
      <c r="D6138" s="61"/>
      <c r="E6138" s="61"/>
      <c r="F6138" s="69"/>
      <c r="G6138" s="64"/>
      <c r="H6138" s="69"/>
      <c r="I6138" s="385"/>
      <c r="J6138" s="392"/>
      <c r="K6138" s="385"/>
      <c r="L6138" s="392"/>
      <c r="M6138" s="62"/>
      <c r="N6138" s="63"/>
      <c r="O6138" s="63"/>
      <c r="P6138" s="79" t="str">
        <f>IF(AND('331-CT'!$E$7=TH!H6138,OR(N6138="331",O6138="331")),"x","")</f>
        <v/>
      </c>
      <c r="Q6138" s="79" t="str">
        <f>IF(AND(B6138='111'!$L$11,OR($N6138=$Q$7,$O6138=$Q$7)),"x","")</f>
        <v/>
      </c>
      <c r="R6138" s="79" t="str">
        <f>IF(AND($N6138=$Q$7,$B6138&lt;'111'!$L$11),"x","")</f>
        <v/>
      </c>
      <c r="S6138" s="79" t="str">
        <f>IF(AND($O6138=$Q$7,$B6138&lt;'111'!$L$11),"x","")</f>
        <v/>
      </c>
      <c r="T6138" s="79" t="str">
        <f>IF(ISERROR(FIND('112'!$M$9,G6138,1)),"",IF((AND(FIND('112'!$M$9,G6138,1)&gt;=1,B6138='112'!$K$9,OR($N6138='112'!$I$6,$O6138='112'!$I$6))),"x",""))</f>
        <v/>
      </c>
      <c r="U6138" s="79" t="str">
        <f>IF(ISERROR(FIND('112'!$M$9,G6138,1)),"",IF((AND(LEFT(G6138,2)=LEFT('112'!$M$9,2),B6138&lt;'112'!$K$9,$N6138='112'!$I$6)),"x",""))</f>
        <v/>
      </c>
      <c r="V6138" s="79" t="str">
        <f>IF(ISERROR(FIND('112'!$M$9,G6138,1)),"",IF((AND(RIGHT(G6138,2)=RIGHT('112'!$M$9,2),B6138&lt;'112'!$K$9,$O6138='112'!$I$6)),"x",""))</f>
        <v/>
      </c>
      <c r="W6138" s="79" t="str">
        <f>IF(AND('341-CT'!$H$9=H6138,OR(LEFT(N6138,3)=$W$7,LEFT(O6138,3)=$W$7)),"x","")</f>
        <v/>
      </c>
      <c r="X6138" s="79" t="str">
        <f>IF(OR(TH!N6138=TH!$X$7,O6138=TH!$X$7),"x","")</f>
        <v/>
      </c>
      <c r="Y6138" s="79" t="str">
        <f>IF(AND(OR(N6138="131",O6138="131"),H6138='131-CT'!$H$9),"x","")</f>
        <v/>
      </c>
      <c r="Z6138" s="79"/>
      <c r="AA6138" s="79" t="str">
        <f>IF(AND(MONTH(E6138)='IN-NX'!$J$5,'IN-NX'!$D$7=D6138),"x","")</f>
        <v/>
      </c>
      <c r="AB6138" s="79" t="str">
        <f>IF(AND(OR(LEFT(TH!N6138,2)="15",LEFT(TH!O6138,2)="15"),LEFT(TH!O6138,3)&lt;&gt;"111",'152-CT'!$J$8=TH!F6138),"x","")</f>
        <v/>
      </c>
      <c r="AC6138" s="79" t="str">
        <f>IF(AND(OR(LEFT(TH!N6138,2)="15",LEFT(TH!O6138,2)="15"),TK!$E$7=TH!F6138),"x","")</f>
        <v/>
      </c>
      <c r="AD6138" s="79" t="str">
        <f>IF(AND(N6138="1521",MONTH(C6138)='BK-NL'!$M$11),"x","")</f>
        <v/>
      </c>
    </row>
    <row r="6139" spans="1:30" ht="16.5" customHeight="1">
      <c r="A6139" s="318" t="str">
        <f>IF(B6139&lt;&gt;"",IF(AND(B6139='IN-TC'!$S$4,OR(TH!N6139="1111",TH!O6139="1111")),TH!D6139,""),"")</f>
        <v/>
      </c>
      <c r="B6139" s="60" t="str">
        <f t="shared" si="516"/>
        <v/>
      </c>
      <c r="C6139" s="61"/>
      <c r="D6139" s="61"/>
      <c r="E6139" s="61"/>
      <c r="F6139" s="69"/>
      <c r="G6139" s="64"/>
      <c r="H6139" s="69"/>
      <c r="I6139" s="385"/>
      <c r="J6139" s="392"/>
      <c r="K6139" s="385"/>
      <c r="L6139" s="392"/>
      <c r="M6139" s="62"/>
      <c r="N6139" s="63"/>
      <c r="O6139" s="63"/>
      <c r="P6139" s="79" t="str">
        <f>IF(AND('331-CT'!$E$7=TH!H6139,OR(N6139="331",O6139="331")),"x","")</f>
        <v/>
      </c>
      <c r="Q6139" s="79" t="str">
        <f>IF(AND(B6139='111'!$L$11,OR($N6139=$Q$7,$O6139=$Q$7)),"x","")</f>
        <v/>
      </c>
      <c r="R6139" s="79" t="str">
        <f>IF(AND($N6139=$Q$7,$B6139&lt;'111'!$L$11),"x","")</f>
        <v/>
      </c>
      <c r="S6139" s="79" t="str">
        <f>IF(AND($O6139=$Q$7,$B6139&lt;'111'!$L$11),"x","")</f>
        <v/>
      </c>
      <c r="T6139" s="79" t="str">
        <f>IF(ISERROR(FIND('112'!$M$9,G6139,1)),"",IF((AND(FIND('112'!$M$9,G6139,1)&gt;=1,B6139='112'!$K$9,OR($N6139='112'!$I$6,$O6139='112'!$I$6))),"x",""))</f>
        <v/>
      </c>
      <c r="U6139" s="79" t="str">
        <f>IF(ISERROR(FIND('112'!$M$9,G6139,1)),"",IF((AND(LEFT(G6139,2)=LEFT('112'!$M$9,2),B6139&lt;'112'!$K$9,$N6139='112'!$I$6)),"x",""))</f>
        <v/>
      </c>
      <c r="V6139" s="79" t="str">
        <f>IF(ISERROR(FIND('112'!$M$9,G6139,1)),"",IF((AND(RIGHT(G6139,2)=RIGHT('112'!$M$9,2),B6139&lt;'112'!$K$9,$O6139='112'!$I$6)),"x",""))</f>
        <v/>
      </c>
      <c r="W6139" s="79" t="str">
        <f>IF(AND('341-CT'!$H$9=H6139,OR(LEFT(N6139,3)=$W$7,LEFT(O6139,3)=$W$7)),"x","")</f>
        <v/>
      </c>
      <c r="X6139" s="79" t="str">
        <f>IF(OR(TH!N6139=TH!$X$7,O6139=TH!$X$7),"x","")</f>
        <v/>
      </c>
      <c r="Y6139" s="79" t="str">
        <f>IF(AND(OR(N6139="131",O6139="131"),H6139='131-CT'!$H$9),"x","")</f>
        <v/>
      </c>
      <c r="Z6139" s="79"/>
      <c r="AA6139" s="79" t="str">
        <f>IF(AND(MONTH(E6139)='IN-NX'!$J$5,'IN-NX'!$D$7=D6139),"x","")</f>
        <v/>
      </c>
      <c r="AB6139" s="79" t="str">
        <f>IF(AND(OR(LEFT(TH!N6139,2)="15",LEFT(TH!O6139,2)="15"),LEFT(TH!O6139,3)&lt;&gt;"111",'152-CT'!$J$8=TH!F6139),"x","")</f>
        <v/>
      </c>
      <c r="AC6139" s="79" t="str">
        <f>IF(AND(OR(LEFT(TH!N6139,2)="15",LEFT(TH!O6139,2)="15"),TK!$E$7=TH!F6139),"x","")</f>
        <v/>
      </c>
      <c r="AD6139" s="79" t="str">
        <f>IF(AND(N6139="1521",MONTH(C6139)='BK-NL'!$M$11),"x","")</f>
        <v/>
      </c>
    </row>
    <row r="6140" spans="1:30" ht="16.5" customHeight="1">
      <c r="A6140" s="318" t="str">
        <f>IF(B6140&lt;&gt;"",IF(AND(B6140='IN-TC'!$S$4,OR(TH!N6140="1111",TH!O6140="1111")),TH!D6140,""),"")</f>
        <v/>
      </c>
      <c r="B6140" s="60" t="str">
        <f t="shared" si="516"/>
        <v/>
      </c>
      <c r="C6140" s="61"/>
      <c r="D6140" s="61"/>
      <c r="E6140" s="61"/>
      <c r="F6140" s="69"/>
      <c r="G6140" s="64"/>
      <c r="H6140" s="69"/>
      <c r="I6140" s="385"/>
      <c r="J6140" s="392"/>
      <c r="K6140" s="385"/>
      <c r="L6140" s="392"/>
      <c r="M6140" s="62"/>
      <c r="N6140" s="63"/>
      <c r="O6140" s="63"/>
      <c r="P6140" s="79" t="str">
        <f>IF(AND('331-CT'!$E$7=TH!H6140,OR(N6140="331",O6140="331")),"x","")</f>
        <v/>
      </c>
      <c r="Q6140" s="79" t="str">
        <f>IF(AND(B6140='111'!$L$11,OR($N6140=$Q$7,$O6140=$Q$7)),"x","")</f>
        <v/>
      </c>
      <c r="R6140" s="79" t="str">
        <f>IF(AND($N6140=$Q$7,$B6140&lt;'111'!$L$11),"x","")</f>
        <v/>
      </c>
      <c r="S6140" s="79" t="str">
        <f>IF(AND($O6140=$Q$7,$B6140&lt;'111'!$L$11),"x","")</f>
        <v/>
      </c>
      <c r="T6140" s="79" t="str">
        <f>IF(ISERROR(FIND('112'!$M$9,G6140,1)),"",IF((AND(FIND('112'!$M$9,G6140,1)&gt;=1,B6140='112'!$K$9,OR($N6140='112'!$I$6,$O6140='112'!$I$6))),"x",""))</f>
        <v/>
      </c>
      <c r="U6140" s="79" t="str">
        <f>IF(ISERROR(FIND('112'!$M$9,G6140,1)),"",IF((AND(LEFT(G6140,2)=LEFT('112'!$M$9,2),B6140&lt;'112'!$K$9,$N6140='112'!$I$6)),"x",""))</f>
        <v/>
      </c>
      <c r="V6140" s="79" t="str">
        <f>IF(ISERROR(FIND('112'!$M$9,G6140,1)),"",IF((AND(RIGHT(G6140,2)=RIGHT('112'!$M$9,2),B6140&lt;'112'!$K$9,$O6140='112'!$I$6)),"x",""))</f>
        <v/>
      </c>
      <c r="W6140" s="79" t="str">
        <f>IF(AND('341-CT'!$H$9=H6140,OR(LEFT(N6140,3)=$W$7,LEFT(O6140,3)=$W$7)),"x","")</f>
        <v/>
      </c>
      <c r="X6140" s="79" t="str">
        <f>IF(OR(TH!N6140=TH!$X$7,O6140=TH!$X$7),"x","")</f>
        <v/>
      </c>
      <c r="Y6140" s="79" t="str">
        <f>IF(AND(OR(N6140="131",O6140="131"),H6140='131-CT'!$H$9),"x","")</f>
        <v/>
      </c>
      <c r="Z6140" s="79"/>
      <c r="AA6140" s="79" t="str">
        <f>IF(AND(MONTH(E6140)='IN-NX'!$J$5,'IN-NX'!$D$7=D6140),"x","")</f>
        <v/>
      </c>
      <c r="AB6140" s="79" t="str">
        <f>IF(AND(OR(LEFT(TH!N6140,2)="15",LEFT(TH!O6140,2)="15"),LEFT(TH!O6140,3)&lt;&gt;"111",'152-CT'!$J$8=TH!F6140),"x","")</f>
        <v/>
      </c>
      <c r="AC6140" s="79" t="str">
        <f>IF(AND(OR(LEFT(TH!N6140,2)="15",LEFT(TH!O6140,2)="15"),TK!$E$7=TH!F6140),"x","")</f>
        <v/>
      </c>
      <c r="AD6140" s="79" t="str">
        <f>IF(AND(N6140="1521",MONTH(C6140)='BK-NL'!$M$11),"x","")</f>
        <v/>
      </c>
    </row>
    <row r="6141" spans="1:30" ht="16.5" customHeight="1">
      <c r="A6141" s="318" t="str">
        <f>IF(B6141&lt;&gt;"",IF(AND(B6141='IN-TC'!$S$4,OR(TH!N6141="1111",TH!O6141="1111")),TH!D6141,""),"")</f>
        <v/>
      </c>
      <c r="B6141" s="60" t="str">
        <f t="shared" si="516"/>
        <v/>
      </c>
      <c r="C6141" s="61"/>
      <c r="D6141" s="61"/>
      <c r="E6141" s="61"/>
      <c r="F6141" s="69"/>
      <c r="G6141" s="64"/>
      <c r="H6141" s="69"/>
      <c r="I6141" s="387"/>
      <c r="J6141" s="394"/>
      <c r="K6141" s="387"/>
      <c r="L6141" s="394"/>
      <c r="M6141" s="62"/>
      <c r="N6141" s="63"/>
      <c r="O6141" s="63"/>
      <c r="P6141" s="79" t="str">
        <f>IF(AND('331-CT'!$E$7=TH!H6141,OR(N6141="331",O6141="331")),"x","")</f>
        <v/>
      </c>
      <c r="Q6141" s="79" t="str">
        <f>IF(AND(B6141='111'!$L$11,OR($N6141=$Q$7,$O6141=$Q$7)),"x","")</f>
        <v/>
      </c>
      <c r="R6141" s="79" t="str">
        <f>IF(AND($N6141=$Q$7,$B6141&lt;'111'!$L$11),"x","")</f>
        <v/>
      </c>
      <c r="S6141" s="79" t="str">
        <f>IF(AND($O6141=$Q$7,$B6141&lt;'111'!$L$11),"x","")</f>
        <v/>
      </c>
      <c r="T6141" s="79" t="str">
        <f>IF(ISERROR(FIND('112'!$M$9,G6141,1)),"",IF((AND(FIND('112'!$M$9,G6141,1)&gt;=1,B6141='112'!$K$9,OR($N6141='112'!$I$6,$O6141='112'!$I$6))),"x",""))</f>
        <v/>
      </c>
      <c r="U6141" s="79" t="str">
        <f>IF(ISERROR(FIND('112'!$M$9,G6141,1)),"",IF((AND(LEFT(G6141,2)=LEFT('112'!$M$9,2),B6141&lt;'112'!$K$9,$N6141='112'!$I$6)),"x",""))</f>
        <v/>
      </c>
      <c r="V6141" s="79" t="str">
        <f>IF(ISERROR(FIND('112'!$M$9,G6141,1)),"",IF((AND(RIGHT(G6141,2)=RIGHT('112'!$M$9,2),B6141&lt;'112'!$K$9,$O6141='112'!$I$6)),"x",""))</f>
        <v/>
      </c>
      <c r="W6141" s="79" t="str">
        <f>IF(AND('341-CT'!$H$9=H6141,OR(LEFT(N6141,3)=$W$7,LEFT(O6141,3)=$W$7)),"x","")</f>
        <v/>
      </c>
      <c r="X6141" s="79" t="str">
        <f>IF(OR(TH!N6141=TH!$X$7,O6141=TH!$X$7),"x","")</f>
        <v/>
      </c>
      <c r="Y6141" s="79" t="str">
        <f>IF(AND(OR(N6141="131",O6141="131"),H6141='131-CT'!$H$9),"x","")</f>
        <v/>
      </c>
      <c r="Z6141" s="79"/>
      <c r="AA6141" s="79" t="str">
        <f>IF(AND(MONTH(E6141)='IN-NX'!$J$5,'IN-NX'!$D$7=D6141),"x","")</f>
        <v/>
      </c>
      <c r="AB6141" s="79" t="str">
        <f>IF(AND(OR(LEFT(TH!N6141,2)="15",LEFT(TH!O6141,2)="15"),LEFT(TH!O6141,3)&lt;&gt;"111",'152-CT'!$J$8=TH!F6141),"x","")</f>
        <v/>
      </c>
      <c r="AC6141" s="79" t="str">
        <f>IF(AND(OR(LEFT(TH!N6141,2)="15",LEFT(TH!O6141,2)="15"),TK!$E$7=TH!F6141),"x","")</f>
        <v/>
      </c>
      <c r="AD6141" s="79" t="str">
        <f>IF(AND(N6141="1521",MONTH(C6141)='BK-NL'!$M$11),"x","")</f>
        <v/>
      </c>
    </row>
    <row r="6142" spans="1:30" ht="16.5" customHeight="1">
      <c r="A6142" s="318" t="str">
        <f>IF(B6142&lt;&gt;"",IF(AND(B6142='IN-TC'!$S$4,OR(TH!N6142="1111",TH!O6142="1111")),TH!D6142,""),"")</f>
        <v/>
      </c>
      <c r="B6142" s="60" t="str">
        <f t="shared" si="516"/>
        <v/>
      </c>
      <c r="C6142" s="61"/>
      <c r="D6142" s="61"/>
      <c r="E6142" s="61"/>
      <c r="F6142" s="69"/>
      <c r="G6142" s="64"/>
      <c r="H6142" s="321"/>
      <c r="I6142" s="385"/>
      <c r="J6142" s="392"/>
      <c r="K6142" s="385"/>
      <c r="L6142" s="392"/>
      <c r="M6142" s="62"/>
      <c r="N6142" s="63"/>
      <c r="O6142" s="63"/>
      <c r="P6142" s="79" t="str">
        <f>IF(AND('331-CT'!$E$7=TH!H6142,OR(N6142="331",O6142="331")),"x","")</f>
        <v/>
      </c>
      <c r="Q6142" s="79" t="str">
        <f>IF(AND(B6142='111'!$L$11,OR($N6142=$Q$7,$O6142=$Q$7)),"x","")</f>
        <v/>
      </c>
      <c r="R6142" s="79" t="str">
        <f>IF(AND($N6142=$Q$7,$B6142&lt;'111'!$L$11),"x","")</f>
        <v/>
      </c>
      <c r="S6142" s="79" t="str">
        <f>IF(AND($O6142=$Q$7,$B6142&lt;'111'!$L$11),"x","")</f>
        <v/>
      </c>
      <c r="T6142" s="79" t="str">
        <f>IF(ISERROR(FIND('112'!$M$9,G6142,1)),"",IF((AND(FIND('112'!$M$9,G6142,1)&gt;=1,B6142='112'!$K$9,OR($N6142='112'!$I$6,$O6142='112'!$I$6))),"x",""))</f>
        <v/>
      </c>
      <c r="U6142" s="79" t="str">
        <f>IF(ISERROR(FIND('112'!$M$9,G6142,1)),"",IF((AND(LEFT(G6142,2)=LEFT('112'!$M$9,2),B6142&lt;'112'!$K$9,$N6142='112'!$I$6)),"x",""))</f>
        <v/>
      </c>
      <c r="V6142" s="79" t="str">
        <f>IF(ISERROR(FIND('112'!$M$9,G6142,1)),"",IF((AND(RIGHT(G6142,2)=RIGHT('112'!$M$9,2),B6142&lt;'112'!$K$9,$O6142='112'!$I$6)),"x",""))</f>
        <v/>
      </c>
      <c r="W6142" s="79" t="str">
        <f>IF(AND('341-CT'!$H$9=H6142,OR(LEFT(N6142,3)=$W$7,LEFT(O6142,3)=$W$7)),"x","")</f>
        <v/>
      </c>
      <c r="X6142" s="79" t="str">
        <f>IF(OR(TH!N6142=TH!$X$7,O6142=TH!$X$7),"x","")</f>
        <v/>
      </c>
      <c r="Y6142" s="79" t="str">
        <f>IF(AND(OR(N6142="131",O6142="131"),H6142='131-CT'!$H$9),"x","")</f>
        <v/>
      </c>
      <c r="Z6142" s="79"/>
      <c r="AA6142" s="79" t="str">
        <f>IF(AND(MONTH(E6142)='IN-NX'!$J$5,'IN-NX'!$D$7=D6142),"x","")</f>
        <v/>
      </c>
      <c r="AB6142" s="79" t="str">
        <f>IF(AND(OR(LEFT(TH!N6142,2)="15",LEFT(TH!O6142,2)="15"),LEFT(TH!O6142,3)&lt;&gt;"111",'152-CT'!$J$8=TH!F6142),"x","")</f>
        <v/>
      </c>
      <c r="AC6142" s="79" t="str">
        <f>IF(AND(OR(LEFT(TH!N6142,2)="15",LEFT(TH!O6142,2)="15"),TK!$E$7=TH!F6142),"x","")</f>
        <v/>
      </c>
      <c r="AD6142" s="79" t="str">
        <f>IF(AND(N6142="1521",MONTH(C6142)='BK-NL'!$M$11),"x","")</f>
        <v/>
      </c>
    </row>
    <row r="6143" spans="1:30" ht="16.5" customHeight="1">
      <c r="A6143" s="318" t="str">
        <f>IF(B6143&lt;&gt;"",IF(AND(B6143='IN-TC'!$S$4,OR(TH!N6143="1111",TH!O6143="1111")),TH!D6143,""),"")</f>
        <v/>
      </c>
      <c r="B6143" s="60" t="str">
        <f t="shared" si="516"/>
        <v/>
      </c>
      <c r="C6143" s="61"/>
      <c r="D6143" s="61"/>
      <c r="E6143" s="61"/>
      <c r="F6143" s="69"/>
      <c r="G6143" s="64"/>
      <c r="H6143" s="321"/>
      <c r="I6143" s="385"/>
      <c r="J6143" s="392"/>
      <c r="K6143" s="385"/>
      <c r="L6143" s="392"/>
      <c r="M6143" s="62"/>
      <c r="N6143" s="63"/>
      <c r="O6143" s="63"/>
      <c r="P6143" s="79" t="str">
        <f>IF(AND('331-CT'!$E$7=TH!H6143,OR(N6143="331",O6143="331")),"x","")</f>
        <v/>
      </c>
      <c r="Q6143" s="79" t="str">
        <f>IF(AND(B6143='111'!$L$11,OR($N6143=$Q$7,$O6143=$Q$7)),"x","")</f>
        <v/>
      </c>
      <c r="R6143" s="79" t="str">
        <f>IF(AND($N6143=$Q$7,$B6143&lt;'111'!$L$11),"x","")</f>
        <v/>
      </c>
      <c r="S6143" s="79" t="str">
        <f>IF(AND($O6143=$Q$7,$B6143&lt;'111'!$L$11),"x","")</f>
        <v/>
      </c>
      <c r="T6143" s="79" t="str">
        <f>IF(ISERROR(FIND('112'!$M$9,G6143,1)),"",IF((AND(FIND('112'!$M$9,G6143,1)&gt;=1,B6143='112'!$K$9,OR($N6143='112'!$I$6,$O6143='112'!$I$6))),"x",""))</f>
        <v/>
      </c>
      <c r="U6143" s="79" t="str">
        <f>IF(ISERROR(FIND('112'!$M$9,G6143,1)),"",IF((AND(LEFT(G6143,2)=LEFT('112'!$M$9,2),B6143&lt;'112'!$K$9,$N6143='112'!$I$6)),"x",""))</f>
        <v/>
      </c>
      <c r="V6143" s="79" t="str">
        <f>IF(ISERROR(FIND('112'!$M$9,G6143,1)),"",IF((AND(RIGHT(G6143,2)=RIGHT('112'!$M$9,2),B6143&lt;'112'!$K$9,$O6143='112'!$I$6)),"x",""))</f>
        <v/>
      </c>
      <c r="W6143" s="79" t="str">
        <f>IF(AND('341-CT'!$H$9=H6143,OR(LEFT(N6143,3)=$W$7,LEFT(O6143,3)=$W$7)),"x","")</f>
        <v/>
      </c>
      <c r="X6143" s="79" t="str">
        <f>IF(OR(TH!N6143=TH!$X$7,O6143=TH!$X$7),"x","")</f>
        <v/>
      </c>
      <c r="Y6143" s="79" t="str">
        <f>IF(AND(OR(N6143="131",O6143="131"),H6143='131-CT'!$H$9),"x","")</f>
        <v/>
      </c>
      <c r="Z6143" s="79"/>
      <c r="AA6143" s="79" t="str">
        <f>IF(AND(MONTH(E6143)='IN-NX'!$J$5,'IN-NX'!$D$7=D6143),"x","")</f>
        <v/>
      </c>
      <c r="AB6143" s="79" t="str">
        <f>IF(AND(OR(LEFT(TH!N6143,2)="15",LEFT(TH!O6143,2)="15"),LEFT(TH!O6143,3)&lt;&gt;"111",'152-CT'!$J$8=TH!F6143),"x","")</f>
        <v/>
      </c>
      <c r="AC6143" s="79" t="str">
        <f>IF(AND(OR(LEFT(TH!N6143,2)="15",LEFT(TH!O6143,2)="15"),TK!$E$7=TH!F6143),"x","")</f>
        <v/>
      </c>
      <c r="AD6143" s="79" t="str">
        <f>IF(AND(N6143="1521",MONTH(C6143)='BK-NL'!$M$11),"x","")</f>
        <v/>
      </c>
    </row>
    <row r="6144" spans="1:30" ht="16.5" customHeight="1">
      <c r="A6144" s="318" t="str">
        <f>IF(B6144&lt;&gt;"",IF(AND(B6144='IN-TC'!$S$4,OR(TH!N6144="1111",TH!O6144="1111")),TH!D6144,""),"")</f>
        <v/>
      </c>
      <c r="B6144" s="60" t="str">
        <f t="shared" si="516"/>
        <v/>
      </c>
      <c r="C6144" s="61"/>
      <c r="D6144" s="61"/>
      <c r="E6144" s="61"/>
      <c r="F6144" s="69"/>
      <c r="G6144" s="64"/>
      <c r="H6144" s="321"/>
      <c r="I6144" s="385"/>
      <c r="J6144" s="392"/>
      <c r="K6144" s="385"/>
      <c r="L6144" s="392"/>
      <c r="M6144" s="62"/>
      <c r="N6144" s="63"/>
      <c r="O6144" s="63"/>
      <c r="P6144" s="79" t="str">
        <f>IF(AND('331-CT'!$E$7=TH!H6144,OR(N6144="331",O6144="331")),"x","")</f>
        <v/>
      </c>
      <c r="Q6144" s="79" t="str">
        <f>IF(AND(B6144='111'!$L$11,OR($N6144=$Q$7,$O6144=$Q$7)),"x","")</f>
        <v/>
      </c>
      <c r="R6144" s="79" t="str">
        <f>IF(AND($N6144=$Q$7,$B6144&lt;'111'!$L$11),"x","")</f>
        <v/>
      </c>
      <c r="S6144" s="79" t="str">
        <f>IF(AND($O6144=$Q$7,$B6144&lt;'111'!$L$11),"x","")</f>
        <v/>
      </c>
      <c r="T6144" s="79" t="str">
        <f>IF(ISERROR(FIND('112'!$M$9,G6144,1)),"",IF((AND(FIND('112'!$M$9,G6144,1)&gt;=1,B6144='112'!$K$9,OR($N6144='112'!$I$6,$O6144='112'!$I$6))),"x",""))</f>
        <v/>
      </c>
      <c r="U6144" s="79" t="str">
        <f>IF(ISERROR(FIND('112'!$M$9,G6144,1)),"",IF((AND(LEFT(G6144,2)=LEFT('112'!$M$9,2),B6144&lt;'112'!$K$9,$N6144='112'!$I$6)),"x",""))</f>
        <v/>
      </c>
      <c r="V6144" s="79" t="str">
        <f>IF(ISERROR(FIND('112'!$M$9,G6144,1)),"",IF((AND(RIGHT(G6144,2)=RIGHT('112'!$M$9,2),B6144&lt;'112'!$K$9,$O6144='112'!$I$6)),"x",""))</f>
        <v/>
      </c>
      <c r="W6144" s="79" t="str">
        <f>IF(AND('341-CT'!$H$9=H6144,OR(LEFT(N6144,3)=$W$7,LEFT(O6144,3)=$W$7)),"x","")</f>
        <v/>
      </c>
      <c r="X6144" s="79" t="str">
        <f>IF(OR(TH!N6144=TH!$X$7,O6144=TH!$X$7),"x","")</f>
        <v/>
      </c>
      <c r="Y6144" s="79" t="str">
        <f>IF(AND(OR(N6144="131",O6144="131"),H6144='131-CT'!$H$9),"x","")</f>
        <v/>
      </c>
      <c r="Z6144" s="79"/>
      <c r="AA6144" s="79" t="str">
        <f>IF(AND(MONTH(E6144)='IN-NX'!$J$5,'IN-NX'!$D$7=D6144),"x","")</f>
        <v/>
      </c>
      <c r="AB6144" s="79" t="str">
        <f>IF(AND(OR(LEFT(TH!N6144,2)="15",LEFT(TH!O6144,2)="15"),LEFT(TH!O6144,3)&lt;&gt;"111",'152-CT'!$J$8=TH!F6144),"x","")</f>
        <v/>
      </c>
      <c r="AC6144" s="79" t="str">
        <f>IF(AND(OR(LEFT(TH!N6144,2)="15",LEFT(TH!O6144,2)="15"),TK!$E$7=TH!F6144),"x","")</f>
        <v/>
      </c>
      <c r="AD6144" s="79" t="str">
        <f>IF(AND(N6144="1521",MONTH(C6144)='BK-NL'!$M$11),"x","")</f>
        <v/>
      </c>
    </row>
    <row r="6145" spans="1:30" ht="16.5" customHeight="1">
      <c r="A6145" s="318" t="str">
        <f>IF(B6145&lt;&gt;"",IF(AND(B6145='IN-TC'!$S$4,OR(TH!N6145="1111",TH!O6145="1111")),TH!D6145,""),"")</f>
        <v/>
      </c>
      <c r="B6145" s="60" t="str">
        <f t="shared" si="516"/>
        <v/>
      </c>
      <c r="C6145" s="61"/>
      <c r="D6145" s="61"/>
      <c r="E6145" s="61"/>
      <c r="F6145" s="69"/>
      <c r="G6145" s="64"/>
      <c r="H6145" s="321"/>
      <c r="I6145" s="385"/>
      <c r="J6145" s="392"/>
      <c r="K6145" s="385"/>
      <c r="L6145" s="392"/>
      <c r="M6145" s="62"/>
      <c r="N6145" s="63"/>
      <c r="O6145" s="63"/>
      <c r="P6145" s="79" t="str">
        <f>IF(AND('331-CT'!$E$7=TH!H6145,OR(N6145="331",O6145="331")),"x","")</f>
        <v/>
      </c>
      <c r="Q6145" s="79" t="str">
        <f>IF(AND(B6145='111'!$L$11,OR($N6145=$Q$7,$O6145=$Q$7)),"x","")</f>
        <v/>
      </c>
      <c r="R6145" s="79" t="str">
        <f>IF(AND($N6145=$Q$7,$B6145&lt;'111'!$L$11),"x","")</f>
        <v/>
      </c>
      <c r="S6145" s="79" t="str">
        <f>IF(AND($O6145=$Q$7,$B6145&lt;'111'!$L$11),"x","")</f>
        <v/>
      </c>
      <c r="T6145" s="79" t="str">
        <f>IF(ISERROR(FIND('112'!$M$9,G6145,1)),"",IF((AND(FIND('112'!$M$9,G6145,1)&gt;=1,B6145='112'!$K$9,OR($N6145='112'!$I$6,$O6145='112'!$I$6))),"x",""))</f>
        <v/>
      </c>
      <c r="U6145" s="79" t="str">
        <f>IF(ISERROR(FIND('112'!$M$9,G6145,1)),"",IF((AND(LEFT(G6145,2)=LEFT('112'!$M$9,2),B6145&lt;'112'!$K$9,$N6145='112'!$I$6)),"x",""))</f>
        <v/>
      </c>
      <c r="V6145" s="79" t="str">
        <f>IF(ISERROR(FIND('112'!$M$9,G6145,1)),"",IF((AND(RIGHT(G6145,2)=RIGHT('112'!$M$9,2),B6145&lt;'112'!$K$9,$O6145='112'!$I$6)),"x",""))</f>
        <v/>
      </c>
      <c r="W6145" s="79" t="str">
        <f>IF(AND('341-CT'!$H$9=H6145,OR(LEFT(N6145,3)=$W$7,LEFT(O6145,3)=$W$7)),"x","")</f>
        <v/>
      </c>
      <c r="X6145" s="79" t="str">
        <f>IF(OR(TH!N6145=TH!$X$7,O6145=TH!$X$7),"x","")</f>
        <v/>
      </c>
      <c r="Y6145" s="79" t="str">
        <f>IF(AND(OR(N6145="131",O6145="131"),H6145='131-CT'!$H$9),"x","")</f>
        <v/>
      </c>
      <c r="Z6145" s="79"/>
      <c r="AA6145" s="79" t="str">
        <f>IF(AND(MONTH(E6145)='IN-NX'!$J$5,'IN-NX'!$D$7=D6145),"x","")</f>
        <v/>
      </c>
      <c r="AB6145" s="79" t="str">
        <f>IF(AND(OR(LEFT(TH!N6145,2)="15",LEFT(TH!O6145,2)="15"),LEFT(TH!O6145,3)&lt;&gt;"111",'152-CT'!$J$8=TH!F6145),"x","")</f>
        <v/>
      </c>
      <c r="AC6145" s="79" t="str">
        <f>IF(AND(OR(LEFT(TH!N6145,2)="15",LEFT(TH!O6145,2)="15"),TK!$E$7=TH!F6145),"x","")</f>
        <v/>
      </c>
      <c r="AD6145" s="79" t="str">
        <f>IF(AND(N6145="1521",MONTH(C6145)='BK-NL'!$M$11),"x","")</f>
        <v/>
      </c>
    </row>
    <row r="6146" spans="1:30" ht="16.5" customHeight="1">
      <c r="A6146" s="318" t="str">
        <f>IF(B6146&lt;&gt;"",IF(AND(B6146='IN-TC'!$S$4,OR(TH!N6146="1111",TH!O6146="1111")),TH!D6146,""),"")</f>
        <v/>
      </c>
      <c r="B6146" s="60" t="str">
        <f t="shared" si="516"/>
        <v/>
      </c>
      <c r="C6146" s="61"/>
      <c r="D6146" s="61"/>
      <c r="E6146" s="61"/>
      <c r="F6146" s="69"/>
      <c r="G6146" s="64"/>
      <c r="H6146" s="321"/>
      <c r="I6146" s="385"/>
      <c r="J6146" s="392"/>
      <c r="K6146" s="385"/>
      <c r="L6146" s="392"/>
      <c r="M6146" s="62"/>
      <c r="N6146" s="63"/>
      <c r="O6146" s="63"/>
      <c r="P6146" s="79" t="str">
        <f>IF(AND('331-CT'!$E$7=TH!H6146,OR(N6146="331",O6146="331")),"x","")</f>
        <v/>
      </c>
      <c r="Q6146" s="79" t="str">
        <f>IF(AND(B6146='111'!$L$11,OR($N6146=$Q$7,$O6146=$Q$7)),"x","")</f>
        <v/>
      </c>
      <c r="R6146" s="79" t="str">
        <f>IF(AND($N6146=$Q$7,$B6146&lt;'111'!$L$11),"x","")</f>
        <v/>
      </c>
      <c r="S6146" s="79" t="str">
        <f>IF(AND($O6146=$Q$7,$B6146&lt;'111'!$L$11),"x","")</f>
        <v/>
      </c>
      <c r="T6146" s="79" t="str">
        <f>IF(ISERROR(FIND('112'!$M$9,G6146,1)),"",IF((AND(FIND('112'!$M$9,G6146,1)&gt;=1,B6146='112'!$K$9,OR($N6146='112'!$I$6,$O6146='112'!$I$6))),"x",""))</f>
        <v/>
      </c>
      <c r="U6146" s="79" t="str">
        <f>IF(ISERROR(FIND('112'!$M$9,G6146,1)),"",IF((AND(LEFT(G6146,2)=LEFT('112'!$M$9,2),B6146&lt;'112'!$K$9,$N6146='112'!$I$6)),"x",""))</f>
        <v/>
      </c>
      <c r="V6146" s="79" t="str">
        <f>IF(ISERROR(FIND('112'!$M$9,G6146,1)),"",IF((AND(RIGHT(G6146,2)=RIGHT('112'!$M$9,2),B6146&lt;'112'!$K$9,$O6146='112'!$I$6)),"x",""))</f>
        <v/>
      </c>
      <c r="W6146" s="79" t="str">
        <f>IF(AND('341-CT'!$H$9=H6146,OR(LEFT(N6146,3)=$W$7,LEFT(O6146,3)=$W$7)),"x","")</f>
        <v/>
      </c>
      <c r="X6146" s="79" t="str">
        <f>IF(OR(TH!N6146=TH!$X$7,O6146=TH!$X$7),"x","")</f>
        <v/>
      </c>
      <c r="Y6146" s="79" t="str">
        <f>IF(AND(OR(N6146="131",O6146="131"),H6146='131-CT'!$H$9),"x","")</f>
        <v/>
      </c>
      <c r="Z6146" s="79"/>
      <c r="AA6146" s="79" t="str">
        <f>IF(AND(MONTH(E6146)='IN-NX'!$J$5,'IN-NX'!$D$7=D6146),"x","")</f>
        <v/>
      </c>
      <c r="AB6146" s="79" t="str">
        <f>IF(AND(OR(LEFT(TH!N6146,2)="15",LEFT(TH!O6146,2)="15"),LEFT(TH!O6146,3)&lt;&gt;"111",'152-CT'!$J$8=TH!F6146),"x","")</f>
        <v/>
      </c>
      <c r="AC6146" s="79" t="str">
        <f>IF(AND(OR(LEFT(TH!N6146,2)="15",LEFT(TH!O6146,2)="15"),TK!$E$7=TH!F6146),"x","")</f>
        <v/>
      </c>
      <c r="AD6146" s="79" t="str">
        <f>IF(AND(N6146="1521",MONTH(C6146)='BK-NL'!$M$11),"x","")</f>
        <v/>
      </c>
    </row>
    <row r="6147" spans="1:30" ht="16.5" customHeight="1">
      <c r="A6147" s="318" t="str">
        <f>IF(B6147&lt;&gt;"",IF(AND(B6147='IN-TC'!$S$4,OR(TH!N6147="1111",TH!O6147="1111")),TH!D6147,""),"")</f>
        <v/>
      </c>
      <c r="B6147" s="60" t="str">
        <f t="shared" ref="B6147:B6210" si="517">IF(C6147&lt;&gt;"",MONTH(C6147),"")</f>
        <v/>
      </c>
      <c r="C6147" s="61"/>
      <c r="D6147" s="61"/>
      <c r="E6147" s="61"/>
      <c r="F6147" s="69"/>
      <c r="G6147" s="64"/>
      <c r="H6147" s="321"/>
      <c r="I6147" s="385"/>
      <c r="J6147" s="392"/>
      <c r="K6147" s="385"/>
      <c r="L6147" s="392"/>
      <c r="M6147" s="62"/>
      <c r="N6147" s="63"/>
      <c r="O6147" s="63"/>
      <c r="P6147" s="79" t="str">
        <f>IF(AND('331-CT'!$E$7=TH!H6147,OR(N6147="331",O6147="331")),"x","")</f>
        <v/>
      </c>
      <c r="Q6147" s="79" t="str">
        <f>IF(AND(B6147='111'!$L$11,OR($N6147=$Q$7,$O6147=$Q$7)),"x","")</f>
        <v/>
      </c>
      <c r="R6147" s="79" t="str">
        <f>IF(AND($N6147=$Q$7,$B6147&lt;'111'!$L$11),"x","")</f>
        <v/>
      </c>
      <c r="S6147" s="79" t="str">
        <f>IF(AND($O6147=$Q$7,$B6147&lt;'111'!$L$11),"x","")</f>
        <v/>
      </c>
      <c r="T6147" s="79" t="str">
        <f>IF(ISERROR(FIND('112'!$M$9,G6147,1)),"",IF((AND(FIND('112'!$M$9,G6147,1)&gt;=1,B6147='112'!$K$9,OR($N6147='112'!$I$6,$O6147='112'!$I$6))),"x",""))</f>
        <v/>
      </c>
      <c r="U6147" s="79" t="str">
        <f>IF(ISERROR(FIND('112'!$M$9,G6147,1)),"",IF((AND(LEFT(G6147,2)=LEFT('112'!$M$9,2),B6147&lt;'112'!$K$9,$N6147='112'!$I$6)),"x",""))</f>
        <v/>
      </c>
      <c r="V6147" s="79" t="str">
        <f>IF(ISERROR(FIND('112'!$M$9,G6147,1)),"",IF((AND(RIGHT(G6147,2)=RIGHT('112'!$M$9,2),B6147&lt;'112'!$K$9,$O6147='112'!$I$6)),"x",""))</f>
        <v/>
      </c>
      <c r="W6147" s="79" t="str">
        <f>IF(AND('341-CT'!$H$9=H6147,OR(LEFT(N6147,3)=$W$7,LEFT(O6147,3)=$W$7)),"x","")</f>
        <v/>
      </c>
      <c r="X6147" s="79" t="str">
        <f>IF(OR(TH!N6147=TH!$X$7,O6147=TH!$X$7),"x","")</f>
        <v/>
      </c>
      <c r="Y6147" s="79" t="str">
        <f>IF(AND(OR(N6147="131",O6147="131"),H6147='131-CT'!$H$9),"x","")</f>
        <v/>
      </c>
      <c r="Z6147" s="79"/>
      <c r="AA6147" s="79" t="str">
        <f>IF(AND(MONTH(E6147)='IN-NX'!$J$5,'IN-NX'!$D$7=D6147),"x","")</f>
        <v/>
      </c>
      <c r="AB6147" s="79" t="str">
        <f>IF(AND(OR(LEFT(TH!N6147,2)="15",LEFT(TH!O6147,2)="15"),LEFT(TH!O6147,3)&lt;&gt;"111",'152-CT'!$J$8=TH!F6147),"x","")</f>
        <v/>
      </c>
      <c r="AC6147" s="79" t="str">
        <f>IF(AND(OR(LEFT(TH!N6147,2)="15",LEFT(TH!O6147,2)="15"),TK!$E$7=TH!F6147),"x","")</f>
        <v/>
      </c>
      <c r="AD6147" s="79" t="str">
        <f>IF(AND(N6147="1521",MONTH(C6147)='BK-NL'!$M$11),"x","")</f>
        <v/>
      </c>
    </row>
    <row r="6148" spans="1:30" ht="16.5" customHeight="1">
      <c r="A6148" s="318" t="str">
        <f>IF(B6148&lt;&gt;"",IF(AND(B6148='IN-TC'!$S$4,OR(TH!N6148="1111",TH!O6148="1111")),TH!D6148,""),"")</f>
        <v/>
      </c>
      <c r="B6148" s="60" t="str">
        <f t="shared" si="517"/>
        <v/>
      </c>
      <c r="C6148" s="61"/>
      <c r="D6148" s="61"/>
      <c r="E6148" s="61"/>
      <c r="F6148" s="69"/>
      <c r="G6148" s="64"/>
      <c r="H6148" s="321"/>
      <c r="I6148" s="385"/>
      <c r="J6148" s="392"/>
      <c r="K6148" s="385"/>
      <c r="L6148" s="392"/>
      <c r="M6148" s="62"/>
      <c r="N6148" s="63"/>
      <c r="O6148" s="63"/>
      <c r="P6148" s="79" t="str">
        <f>IF(AND('331-CT'!$E$7=TH!H6148,OR(N6148="331",O6148="331")),"x","")</f>
        <v/>
      </c>
      <c r="Q6148" s="79" t="str">
        <f>IF(AND(B6148='111'!$L$11,OR($N6148=$Q$7,$O6148=$Q$7)),"x","")</f>
        <v/>
      </c>
      <c r="R6148" s="79" t="str">
        <f>IF(AND($N6148=$Q$7,$B6148&lt;'111'!$L$11),"x","")</f>
        <v/>
      </c>
      <c r="S6148" s="79" t="str">
        <f>IF(AND($O6148=$Q$7,$B6148&lt;'111'!$L$11),"x","")</f>
        <v/>
      </c>
      <c r="T6148" s="79" t="str">
        <f>IF(ISERROR(FIND('112'!$M$9,G6148,1)),"",IF((AND(FIND('112'!$M$9,G6148,1)&gt;=1,B6148='112'!$K$9,OR($N6148='112'!$I$6,$O6148='112'!$I$6))),"x",""))</f>
        <v/>
      </c>
      <c r="U6148" s="79" t="str">
        <f>IF(ISERROR(FIND('112'!$M$9,G6148,1)),"",IF((AND(LEFT(G6148,2)=LEFT('112'!$M$9,2),B6148&lt;'112'!$K$9,$N6148='112'!$I$6)),"x",""))</f>
        <v/>
      </c>
      <c r="V6148" s="79" t="str">
        <f>IF(ISERROR(FIND('112'!$M$9,G6148,1)),"",IF((AND(RIGHT(G6148,2)=RIGHT('112'!$M$9,2),B6148&lt;'112'!$K$9,$O6148='112'!$I$6)),"x",""))</f>
        <v/>
      </c>
      <c r="W6148" s="79" t="str">
        <f>IF(AND('341-CT'!$H$9=H6148,OR(LEFT(N6148,3)=$W$7,LEFT(O6148,3)=$W$7)),"x","")</f>
        <v/>
      </c>
      <c r="X6148" s="79" t="str">
        <f>IF(OR(TH!N6148=TH!$X$7,O6148=TH!$X$7),"x","")</f>
        <v/>
      </c>
      <c r="Y6148" s="79" t="str">
        <f>IF(AND(OR(N6148="131",O6148="131"),H6148='131-CT'!$H$9),"x","")</f>
        <v/>
      </c>
      <c r="Z6148" s="79"/>
      <c r="AA6148" s="79" t="str">
        <f>IF(AND(MONTH(E6148)='IN-NX'!$J$5,'IN-NX'!$D$7=D6148),"x","")</f>
        <v/>
      </c>
      <c r="AB6148" s="79" t="str">
        <f>IF(AND(OR(LEFT(TH!N6148,2)="15",LEFT(TH!O6148,2)="15"),LEFT(TH!O6148,3)&lt;&gt;"111",'152-CT'!$J$8=TH!F6148),"x","")</f>
        <v/>
      </c>
      <c r="AC6148" s="79" t="str">
        <f>IF(AND(OR(LEFT(TH!N6148,2)="15",LEFT(TH!O6148,2)="15"),TK!$E$7=TH!F6148),"x","")</f>
        <v/>
      </c>
      <c r="AD6148" s="79" t="str">
        <f>IF(AND(N6148="1521",MONTH(C6148)='BK-NL'!$M$11),"x","")</f>
        <v/>
      </c>
    </row>
    <row r="6149" spans="1:30" ht="16.5" customHeight="1">
      <c r="A6149" s="318" t="str">
        <f>IF(B6149&lt;&gt;"",IF(AND(B6149='IN-TC'!$S$4,OR(TH!N6149="1111",TH!O6149="1111")),TH!D6149,""),"")</f>
        <v/>
      </c>
      <c r="B6149" s="60" t="str">
        <f t="shared" si="517"/>
        <v/>
      </c>
      <c r="C6149" s="61"/>
      <c r="D6149" s="61"/>
      <c r="E6149" s="61"/>
      <c r="F6149" s="69"/>
      <c r="G6149" s="64"/>
      <c r="H6149" s="321"/>
      <c r="I6149" s="385"/>
      <c r="J6149" s="392"/>
      <c r="K6149" s="385"/>
      <c r="L6149" s="392"/>
      <c r="M6149" s="62"/>
      <c r="N6149" s="63"/>
      <c r="O6149" s="63"/>
      <c r="P6149" s="79" t="str">
        <f>IF(AND('331-CT'!$E$7=TH!H6149,OR(N6149="331",O6149="331")),"x","")</f>
        <v/>
      </c>
      <c r="Q6149" s="79" t="str">
        <f>IF(AND(B6149='111'!$L$11,OR($N6149=$Q$7,$O6149=$Q$7)),"x","")</f>
        <v/>
      </c>
      <c r="R6149" s="79" t="str">
        <f>IF(AND($N6149=$Q$7,$B6149&lt;'111'!$L$11),"x","")</f>
        <v/>
      </c>
      <c r="S6149" s="79" t="str">
        <f>IF(AND($O6149=$Q$7,$B6149&lt;'111'!$L$11),"x","")</f>
        <v/>
      </c>
      <c r="T6149" s="79" t="str">
        <f>IF(ISERROR(FIND('112'!$M$9,G6149,1)),"",IF((AND(FIND('112'!$M$9,G6149,1)&gt;=1,B6149='112'!$K$9,OR($N6149='112'!$I$6,$O6149='112'!$I$6))),"x",""))</f>
        <v/>
      </c>
      <c r="U6149" s="79" t="str">
        <f>IF(ISERROR(FIND('112'!$M$9,G6149,1)),"",IF((AND(LEFT(G6149,2)=LEFT('112'!$M$9,2),B6149&lt;'112'!$K$9,$N6149='112'!$I$6)),"x",""))</f>
        <v/>
      </c>
      <c r="V6149" s="79" t="str">
        <f>IF(ISERROR(FIND('112'!$M$9,G6149,1)),"",IF((AND(RIGHT(G6149,2)=RIGHT('112'!$M$9,2),B6149&lt;'112'!$K$9,$O6149='112'!$I$6)),"x",""))</f>
        <v/>
      </c>
      <c r="W6149" s="79" t="str">
        <f>IF(AND('341-CT'!$H$9=H6149,OR(LEFT(N6149,3)=$W$7,LEFT(O6149,3)=$W$7)),"x","")</f>
        <v/>
      </c>
      <c r="X6149" s="79" t="str">
        <f>IF(OR(TH!N6149=TH!$X$7,O6149=TH!$X$7),"x","")</f>
        <v/>
      </c>
      <c r="Y6149" s="79" t="str">
        <f>IF(AND(OR(N6149="131",O6149="131"),H6149='131-CT'!$H$9),"x","")</f>
        <v/>
      </c>
      <c r="Z6149" s="79"/>
      <c r="AA6149" s="79" t="str">
        <f>IF(AND(MONTH(E6149)='IN-NX'!$J$5,'IN-NX'!$D$7=D6149),"x","")</f>
        <v/>
      </c>
      <c r="AB6149" s="79" t="str">
        <f>IF(AND(OR(LEFT(TH!N6149,2)="15",LEFT(TH!O6149,2)="15"),LEFT(TH!O6149,3)&lt;&gt;"111",'152-CT'!$J$8=TH!F6149),"x","")</f>
        <v/>
      </c>
      <c r="AC6149" s="79" t="str">
        <f>IF(AND(OR(LEFT(TH!N6149,2)="15",LEFT(TH!O6149,2)="15"),TK!$E$7=TH!F6149),"x","")</f>
        <v/>
      </c>
      <c r="AD6149" s="79" t="str">
        <f>IF(AND(N6149="1521",MONTH(C6149)='BK-NL'!$M$11),"x","")</f>
        <v/>
      </c>
    </row>
    <row r="6150" spans="1:30" ht="16.5" customHeight="1">
      <c r="A6150" s="318" t="str">
        <f>IF(B6150&lt;&gt;"",IF(AND(B6150='IN-TC'!$S$4,OR(TH!N6150="1111",TH!O6150="1111")),TH!D6150,""),"")</f>
        <v/>
      </c>
      <c r="B6150" s="60" t="str">
        <f t="shared" si="517"/>
        <v/>
      </c>
      <c r="C6150" s="61"/>
      <c r="D6150" s="61"/>
      <c r="E6150" s="61"/>
      <c r="F6150" s="69"/>
      <c r="G6150" s="64"/>
      <c r="H6150" s="321"/>
      <c r="I6150" s="385"/>
      <c r="J6150" s="392"/>
      <c r="K6150" s="385"/>
      <c r="L6150" s="392"/>
      <c r="M6150" s="62"/>
      <c r="N6150" s="63"/>
      <c r="O6150" s="63"/>
      <c r="P6150" s="79" t="str">
        <f>IF(AND('331-CT'!$E$7=TH!H6150,OR(N6150="331",O6150="331")),"x","")</f>
        <v/>
      </c>
      <c r="Q6150" s="79" t="str">
        <f>IF(AND(B6150='111'!$L$11,OR($N6150=$Q$7,$O6150=$Q$7)),"x","")</f>
        <v/>
      </c>
      <c r="R6150" s="79" t="str">
        <f>IF(AND($N6150=$Q$7,$B6150&lt;'111'!$L$11),"x","")</f>
        <v/>
      </c>
      <c r="S6150" s="79" t="str">
        <f>IF(AND($O6150=$Q$7,$B6150&lt;'111'!$L$11),"x","")</f>
        <v/>
      </c>
      <c r="T6150" s="79" t="str">
        <f>IF(ISERROR(FIND('112'!$M$9,G6150,1)),"",IF((AND(FIND('112'!$M$9,G6150,1)&gt;=1,B6150='112'!$K$9,OR($N6150='112'!$I$6,$O6150='112'!$I$6))),"x",""))</f>
        <v/>
      </c>
      <c r="U6150" s="79" t="str">
        <f>IF(ISERROR(FIND('112'!$M$9,G6150,1)),"",IF((AND(LEFT(G6150,2)=LEFT('112'!$M$9,2),B6150&lt;'112'!$K$9,$N6150='112'!$I$6)),"x",""))</f>
        <v/>
      </c>
      <c r="V6150" s="79" t="str">
        <f>IF(ISERROR(FIND('112'!$M$9,G6150,1)),"",IF((AND(RIGHT(G6150,2)=RIGHT('112'!$M$9,2),B6150&lt;'112'!$K$9,$O6150='112'!$I$6)),"x",""))</f>
        <v/>
      </c>
      <c r="W6150" s="79" t="str">
        <f>IF(AND('341-CT'!$H$9=H6150,OR(LEFT(N6150,3)=$W$7,LEFT(O6150,3)=$W$7)),"x","")</f>
        <v/>
      </c>
      <c r="X6150" s="79" t="str">
        <f>IF(OR(TH!N6150=TH!$X$7,O6150=TH!$X$7),"x","")</f>
        <v/>
      </c>
      <c r="Y6150" s="79" t="str">
        <f>IF(AND(OR(N6150="131",O6150="131"),H6150='131-CT'!$H$9),"x","")</f>
        <v/>
      </c>
      <c r="Z6150" s="79"/>
      <c r="AA6150" s="79" t="str">
        <f>IF(AND(MONTH(E6150)='IN-NX'!$J$5,'IN-NX'!$D$7=D6150),"x","")</f>
        <v/>
      </c>
      <c r="AB6150" s="79" t="str">
        <f>IF(AND(OR(LEFT(TH!N6150,2)="15",LEFT(TH!O6150,2)="15"),LEFT(TH!O6150,3)&lt;&gt;"111",'152-CT'!$J$8=TH!F6150),"x","")</f>
        <v/>
      </c>
      <c r="AC6150" s="79" t="str">
        <f>IF(AND(OR(LEFT(TH!N6150,2)="15",LEFT(TH!O6150,2)="15"),TK!$E$7=TH!F6150),"x","")</f>
        <v/>
      </c>
      <c r="AD6150" s="79" t="str">
        <f>IF(AND(N6150="1521",MONTH(C6150)='BK-NL'!$M$11),"x","")</f>
        <v/>
      </c>
    </row>
    <row r="6151" spans="1:30" ht="16.5" customHeight="1">
      <c r="A6151" s="318" t="str">
        <f>IF(B6151&lt;&gt;"",IF(AND(B6151='IN-TC'!$S$4,OR(TH!N6151="1111",TH!O6151="1111")),TH!D6151,""),"")</f>
        <v/>
      </c>
      <c r="B6151" s="60" t="str">
        <f t="shared" si="517"/>
        <v/>
      </c>
      <c r="C6151" s="61"/>
      <c r="D6151" s="61"/>
      <c r="E6151" s="61"/>
      <c r="F6151" s="69"/>
      <c r="G6151" s="64"/>
      <c r="H6151" s="321"/>
      <c r="I6151" s="385"/>
      <c r="J6151" s="392"/>
      <c r="K6151" s="385"/>
      <c r="L6151" s="392"/>
      <c r="M6151" s="62"/>
      <c r="N6151" s="63"/>
      <c r="O6151" s="63"/>
      <c r="P6151" s="79" t="str">
        <f>IF(AND('331-CT'!$E$7=TH!H6151,OR(N6151="331",O6151="331")),"x","")</f>
        <v/>
      </c>
      <c r="Q6151" s="79" t="str">
        <f>IF(AND(B6151='111'!$L$11,OR($N6151=$Q$7,$O6151=$Q$7)),"x","")</f>
        <v/>
      </c>
      <c r="R6151" s="79" t="str">
        <f>IF(AND($N6151=$Q$7,$B6151&lt;'111'!$L$11),"x","")</f>
        <v/>
      </c>
      <c r="S6151" s="79" t="str">
        <f>IF(AND($O6151=$Q$7,$B6151&lt;'111'!$L$11),"x","")</f>
        <v/>
      </c>
      <c r="T6151" s="79" t="str">
        <f>IF(ISERROR(FIND('112'!$M$9,G6151,1)),"",IF((AND(FIND('112'!$M$9,G6151,1)&gt;=1,B6151='112'!$K$9,OR($N6151='112'!$I$6,$O6151='112'!$I$6))),"x",""))</f>
        <v/>
      </c>
      <c r="U6151" s="79" t="str">
        <f>IF(ISERROR(FIND('112'!$M$9,G6151,1)),"",IF((AND(LEFT(G6151,2)=LEFT('112'!$M$9,2),B6151&lt;'112'!$K$9,$N6151='112'!$I$6)),"x",""))</f>
        <v/>
      </c>
      <c r="V6151" s="79" t="str">
        <f>IF(ISERROR(FIND('112'!$M$9,G6151,1)),"",IF((AND(RIGHT(G6151,2)=RIGHT('112'!$M$9,2),B6151&lt;'112'!$K$9,$O6151='112'!$I$6)),"x",""))</f>
        <v/>
      </c>
      <c r="W6151" s="79" t="str">
        <f>IF(AND('341-CT'!$H$9=H6151,OR(LEFT(N6151,3)=$W$7,LEFT(O6151,3)=$W$7)),"x","")</f>
        <v/>
      </c>
      <c r="X6151" s="79" t="str">
        <f>IF(OR(TH!N6151=TH!$X$7,O6151=TH!$X$7),"x","")</f>
        <v/>
      </c>
      <c r="Y6151" s="79" t="str">
        <f>IF(AND(OR(N6151="131",O6151="131"),H6151='131-CT'!$H$9),"x","")</f>
        <v/>
      </c>
      <c r="Z6151" s="79"/>
      <c r="AA6151" s="79" t="str">
        <f>IF(AND(MONTH(E6151)='IN-NX'!$J$5,'IN-NX'!$D$7=D6151),"x","")</f>
        <v/>
      </c>
      <c r="AB6151" s="79" t="str">
        <f>IF(AND(OR(LEFT(TH!N6151,2)="15",LEFT(TH!O6151,2)="15"),LEFT(TH!O6151,3)&lt;&gt;"111",'152-CT'!$J$8=TH!F6151),"x","")</f>
        <v/>
      </c>
      <c r="AC6151" s="79" t="str">
        <f>IF(AND(OR(LEFT(TH!N6151,2)="15",LEFT(TH!O6151,2)="15"),TK!$E$7=TH!F6151),"x","")</f>
        <v/>
      </c>
      <c r="AD6151" s="79" t="str">
        <f>IF(AND(N6151="1521",MONTH(C6151)='BK-NL'!$M$11),"x","")</f>
        <v/>
      </c>
    </row>
    <row r="6152" spans="1:30" ht="16.5" customHeight="1">
      <c r="A6152" s="318" t="str">
        <f>IF(B6152&lt;&gt;"",IF(AND(B6152='IN-TC'!$S$4,OR(TH!N6152="1111",TH!O6152="1111")),TH!D6152,""),"")</f>
        <v/>
      </c>
      <c r="B6152" s="60" t="str">
        <f t="shared" si="517"/>
        <v/>
      </c>
      <c r="C6152" s="61"/>
      <c r="D6152" s="61"/>
      <c r="E6152" s="61"/>
      <c r="F6152" s="69"/>
      <c r="G6152" s="64"/>
      <c r="H6152" s="321"/>
      <c r="I6152" s="385"/>
      <c r="J6152" s="392"/>
      <c r="K6152" s="385"/>
      <c r="L6152" s="392"/>
      <c r="M6152" s="62"/>
      <c r="N6152" s="63"/>
      <c r="O6152" s="63"/>
      <c r="P6152" s="79" t="str">
        <f>IF(AND('331-CT'!$E$7=TH!H6152,OR(N6152="331",O6152="331")),"x","")</f>
        <v/>
      </c>
      <c r="Q6152" s="79" t="str">
        <f>IF(AND(B6152='111'!$L$11,OR($N6152=$Q$7,$O6152=$Q$7)),"x","")</f>
        <v/>
      </c>
      <c r="R6152" s="79" t="str">
        <f>IF(AND($N6152=$Q$7,$B6152&lt;'111'!$L$11),"x","")</f>
        <v/>
      </c>
      <c r="S6152" s="79" t="str">
        <f>IF(AND($O6152=$Q$7,$B6152&lt;'111'!$L$11),"x","")</f>
        <v/>
      </c>
      <c r="T6152" s="79" t="str">
        <f>IF(ISERROR(FIND('112'!$M$9,G6152,1)),"",IF((AND(FIND('112'!$M$9,G6152,1)&gt;=1,B6152='112'!$K$9,OR($N6152='112'!$I$6,$O6152='112'!$I$6))),"x",""))</f>
        <v/>
      </c>
      <c r="U6152" s="79" t="str">
        <f>IF(ISERROR(FIND('112'!$M$9,G6152,1)),"",IF((AND(LEFT(G6152,2)=LEFT('112'!$M$9,2),B6152&lt;'112'!$K$9,$N6152='112'!$I$6)),"x",""))</f>
        <v/>
      </c>
      <c r="V6152" s="79" t="str">
        <f>IF(ISERROR(FIND('112'!$M$9,G6152,1)),"",IF((AND(RIGHT(G6152,2)=RIGHT('112'!$M$9,2),B6152&lt;'112'!$K$9,$O6152='112'!$I$6)),"x",""))</f>
        <v/>
      </c>
      <c r="W6152" s="79" t="str">
        <f>IF(AND('341-CT'!$H$9=H6152,OR(LEFT(N6152,3)=$W$7,LEFT(O6152,3)=$W$7)),"x","")</f>
        <v/>
      </c>
      <c r="X6152" s="79" t="str">
        <f>IF(OR(TH!N6152=TH!$X$7,O6152=TH!$X$7),"x","")</f>
        <v/>
      </c>
      <c r="Y6152" s="79" t="str">
        <f>IF(AND(OR(N6152="131",O6152="131"),H6152='131-CT'!$H$9),"x","")</f>
        <v/>
      </c>
      <c r="Z6152" s="79"/>
      <c r="AA6152" s="79" t="str">
        <f>IF(AND(MONTH(E6152)='IN-NX'!$J$5,'IN-NX'!$D$7=D6152),"x","")</f>
        <v/>
      </c>
      <c r="AB6152" s="79" t="str">
        <f>IF(AND(OR(LEFT(TH!N6152,2)="15",LEFT(TH!O6152,2)="15"),LEFT(TH!O6152,3)&lt;&gt;"111",'152-CT'!$J$8=TH!F6152),"x","")</f>
        <v/>
      </c>
      <c r="AC6152" s="79" t="str">
        <f>IF(AND(OR(LEFT(TH!N6152,2)="15",LEFT(TH!O6152,2)="15"),TK!$E$7=TH!F6152),"x","")</f>
        <v/>
      </c>
      <c r="AD6152" s="79" t="str">
        <f>IF(AND(N6152="1521",MONTH(C6152)='BK-NL'!$M$11),"x","")</f>
        <v/>
      </c>
    </row>
    <row r="6153" spans="1:30" ht="16.5" customHeight="1">
      <c r="A6153" s="318" t="str">
        <f>IF(B6153&lt;&gt;"",IF(AND(B6153='IN-TC'!$S$4,OR(TH!N6153="1111",TH!O6153="1111")),TH!D6153,""),"")</f>
        <v/>
      </c>
      <c r="B6153" s="60" t="str">
        <f t="shared" si="517"/>
        <v/>
      </c>
      <c r="C6153" s="61"/>
      <c r="D6153" s="61"/>
      <c r="E6153" s="61"/>
      <c r="F6153" s="69"/>
      <c r="G6153" s="64"/>
      <c r="H6153" s="321"/>
      <c r="I6153" s="385"/>
      <c r="J6153" s="392"/>
      <c r="K6153" s="385"/>
      <c r="L6153" s="392"/>
      <c r="M6153" s="62"/>
      <c r="N6153" s="63"/>
      <c r="O6153" s="63"/>
      <c r="P6153" s="79" t="str">
        <f>IF(AND('331-CT'!$E$7=TH!H6153,OR(N6153="331",O6153="331")),"x","")</f>
        <v/>
      </c>
      <c r="Q6153" s="79" t="str">
        <f>IF(AND(B6153='111'!$L$11,OR($N6153=$Q$7,$O6153=$Q$7)),"x","")</f>
        <v/>
      </c>
      <c r="R6153" s="79" t="str">
        <f>IF(AND($N6153=$Q$7,$B6153&lt;'111'!$L$11),"x","")</f>
        <v/>
      </c>
      <c r="S6153" s="79" t="str">
        <f>IF(AND($O6153=$Q$7,$B6153&lt;'111'!$L$11),"x","")</f>
        <v/>
      </c>
      <c r="T6153" s="79" t="str">
        <f>IF(ISERROR(FIND('112'!$M$9,G6153,1)),"",IF((AND(FIND('112'!$M$9,G6153,1)&gt;=1,B6153='112'!$K$9,OR($N6153='112'!$I$6,$O6153='112'!$I$6))),"x",""))</f>
        <v/>
      </c>
      <c r="U6153" s="79" t="str">
        <f>IF(ISERROR(FIND('112'!$M$9,G6153,1)),"",IF((AND(LEFT(G6153,2)=LEFT('112'!$M$9,2),B6153&lt;'112'!$K$9,$N6153='112'!$I$6)),"x",""))</f>
        <v/>
      </c>
      <c r="V6153" s="79" t="str">
        <f>IF(ISERROR(FIND('112'!$M$9,G6153,1)),"",IF((AND(RIGHT(G6153,2)=RIGHT('112'!$M$9,2),B6153&lt;'112'!$K$9,$O6153='112'!$I$6)),"x",""))</f>
        <v/>
      </c>
      <c r="W6153" s="79" t="str">
        <f>IF(AND('341-CT'!$H$9=H6153,OR(LEFT(N6153,3)=$W$7,LEFT(O6153,3)=$W$7)),"x","")</f>
        <v/>
      </c>
      <c r="X6153" s="79" t="str">
        <f>IF(OR(TH!N6153=TH!$X$7,O6153=TH!$X$7),"x","")</f>
        <v/>
      </c>
      <c r="Y6153" s="79" t="str">
        <f>IF(AND(OR(N6153="131",O6153="131"),H6153='131-CT'!$H$9),"x","")</f>
        <v/>
      </c>
      <c r="Z6153" s="79"/>
      <c r="AA6153" s="79" t="str">
        <f>IF(AND(MONTH(E6153)='IN-NX'!$J$5,'IN-NX'!$D$7=D6153),"x","")</f>
        <v/>
      </c>
      <c r="AB6153" s="79" t="str">
        <f>IF(AND(OR(LEFT(TH!N6153,2)="15",LEFT(TH!O6153,2)="15"),LEFT(TH!O6153,3)&lt;&gt;"111",'152-CT'!$J$8=TH!F6153),"x","")</f>
        <v/>
      </c>
      <c r="AC6153" s="79" t="str">
        <f>IF(AND(OR(LEFT(TH!N6153,2)="15",LEFT(TH!O6153,2)="15"),TK!$E$7=TH!F6153),"x","")</f>
        <v/>
      </c>
      <c r="AD6153" s="79" t="str">
        <f>IF(AND(N6153="1521",MONTH(C6153)='BK-NL'!$M$11),"x","")</f>
        <v/>
      </c>
    </row>
    <row r="6154" spans="1:30" ht="16.5" customHeight="1">
      <c r="A6154" s="318" t="str">
        <f>IF(B6154&lt;&gt;"",IF(AND(B6154='IN-TC'!$S$4,OR(TH!N6154="1111",TH!O6154="1111")),TH!D6154,""),"")</f>
        <v/>
      </c>
      <c r="B6154" s="60" t="str">
        <f t="shared" si="517"/>
        <v/>
      </c>
      <c r="C6154" s="61"/>
      <c r="D6154" s="61"/>
      <c r="E6154" s="61"/>
      <c r="F6154" s="69"/>
      <c r="G6154" s="64"/>
      <c r="H6154" s="321"/>
      <c r="I6154" s="385"/>
      <c r="J6154" s="392"/>
      <c r="K6154" s="385"/>
      <c r="L6154" s="392"/>
      <c r="M6154" s="62"/>
      <c r="N6154" s="63"/>
      <c r="O6154" s="63"/>
      <c r="P6154" s="79" t="str">
        <f>IF(AND('331-CT'!$E$7=TH!H6154,OR(N6154="331",O6154="331")),"x","")</f>
        <v/>
      </c>
      <c r="Q6154" s="79" t="str">
        <f>IF(AND(B6154='111'!$L$11,OR($N6154=$Q$7,$O6154=$Q$7)),"x","")</f>
        <v/>
      </c>
      <c r="R6154" s="79" t="str">
        <f>IF(AND($N6154=$Q$7,$B6154&lt;'111'!$L$11),"x","")</f>
        <v/>
      </c>
      <c r="S6154" s="79" t="str">
        <f>IF(AND($O6154=$Q$7,$B6154&lt;'111'!$L$11),"x","")</f>
        <v/>
      </c>
      <c r="T6154" s="79" t="str">
        <f>IF(ISERROR(FIND('112'!$M$9,G6154,1)),"",IF((AND(FIND('112'!$M$9,G6154,1)&gt;=1,B6154='112'!$K$9,OR($N6154='112'!$I$6,$O6154='112'!$I$6))),"x",""))</f>
        <v/>
      </c>
      <c r="U6154" s="79" t="str">
        <f>IF(ISERROR(FIND('112'!$M$9,G6154,1)),"",IF((AND(LEFT(G6154,2)=LEFT('112'!$M$9,2),B6154&lt;'112'!$K$9,$N6154='112'!$I$6)),"x",""))</f>
        <v/>
      </c>
      <c r="V6154" s="79" t="str">
        <f>IF(ISERROR(FIND('112'!$M$9,G6154,1)),"",IF((AND(RIGHT(G6154,2)=RIGHT('112'!$M$9,2),B6154&lt;'112'!$K$9,$O6154='112'!$I$6)),"x",""))</f>
        <v/>
      </c>
      <c r="W6154" s="79" t="str">
        <f>IF(AND('341-CT'!$H$9=H6154,OR(LEFT(N6154,3)=$W$7,LEFT(O6154,3)=$W$7)),"x","")</f>
        <v/>
      </c>
      <c r="X6154" s="79" t="str">
        <f>IF(OR(TH!N6154=TH!$X$7,O6154=TH!$X$7),"x","")</f>
        <v/>
      </c>
      <c r="Y6154" s="79" t="str">
        <f>IF(AND(OR(N6154="131",O6154="131"),H6154='131-CT'!$H$9),"x","")</f>
        <v/>
      </c>
      <c r="Z6154" s="79"/>
      <c r="AA6154" s="79" t="str">
        <f>IF(AND(MONTH(E6154)='IN-NX'!$J$5,'IN-NX'!$D$7=D6154),"x","")</f>
        <v/>
      </c>
      <c r="AB6154" s="79" t="str">
        <f>IF(AND(OR(LEFT(TH!N6154,2)="15",LEFT(TH!O6154,2)="15"),LEFT(TH!O6154,3)&lt;&gt;"111",'152-CT'!$J$8=TH!F6154),"x","")</f>
        <v/>
      </c>
      <c r="AC6154" s="79" t="str">
        <f>IF(AND(OR(LEFT(TH!N6154,2)="15",LEFT(TH!O6154,2)="15"),TK!$E$7=TH!F6154),"x","")</f>
        <v/>
      </c>
      <c r="AD6154" s="79" t="str">
        <f>IF(AND(N6154="1521",MONTH(C6154)='BK-NL'!$M$11),"x","")</f>
        <v/>
      </c>
    </row>
    <row r="6155" spans="1:30" ht="16.5" customHeight="1">
      <c r="A6155" s="318" t="str">
        <f>IF(B6155&lt;&gt;"",IF(AND(B6155='IN-TC'!$S$4,OR(TH!N6155="1111",TH!O6155="1111")),TH!D6155,""),"")</f>
        <v/>
      </c>
      <c r="B6155" s="60" t="str">
        <f t="shared" si="517"/>
        <v/>
      </c>
      <c r="C6155" s="61"/>
      <c r="D6155" s="61"/>
      <c r="E6155" s="61"/>
      <c r="F6155" s="69"/>
      <c r="G6155" s="64"/>
      <c r="H6155" s="69"/>
      <c r="I6155" s="385"/>
      <c r="J6155" s="392"/>
      <c r="K6155" s="385"/>
      <c r="L6155" s="392"/>
      <c r="M6155" s="62"/>
      <c r="N6155" s="63"/>
      <c r="O6155" s="63"/>
      <c r="P6155" s="79" t="str">
        <f>IF(AND('331-CT'!$E$7=TH!H6155,OR(N6155="331",O6155="331")),"x","")</f>
        <v/>
      </c>
      <c r="Q6155" s="79" t="str">
        <f>IF(AND(B6155='111'!$L$11,OR($N6155=$Q$7,$O6155=$Q$7)),"x","")</f>
        <v/>
      </c>
      <c r="R6155" s="79" t="str">
        <f>IF(AND($N6155=$Q$7,$B6155&lt;'111'!$L$11),"x","")</f>
        <v/>
      </c>
      <c r="S6155" s="79" t="str">
        <f>IF(AND($O6155=$Q$7,$B6155&lt;'111'!$L$11),"x","")</f>
        <v/>
      </c>
      <c r="T6155" s="79" t="str">
        <f>IF(ISERROR(FIND('112'!$M$9,G6155,1)),"",IF((AND(FIND('112'!$M$9,G6155,1)&gt;=1,B6155='112'!$K$9,OR($N6155='112'!$I$6,$O6155='112'!$I$6))),"x",""))</f>
        <v/>
      </c>
      <c r="U6155" s="79" t="str">
        <f>IF(ISERROR(FIND('112'!$M$9,G6155,1)),"",IF((AND(LEFT(G6155,2)=LEFT('112'!$M$9,2),B6155&lt;'112'!$K$9,$N6155='112'!$I$6)),"x",""))</f>
        <v/>
      </c>
      <c r="V6155" s="79" t="str">
        <f>IF(ISERROR(FIND('112'!$M$9,G6155,1)),"",IF((AND(RIGHT(G6155,2)=RIGHT('112'!$M$9,2),B6155&lt;'112'!$K$9,$O6155='112'!$I$6)),"x",""))</f>
        <v/>
      </c>
      <c r="W6155" s="79" t="str">
        <f>IF(AND('341-CT'!$H$9=H6155,OR(LEFT(N6155,3)=$W$7,LEFT(O6155,3)=$W$7)),"x","")</f>
        <v/>
      </c>
      <c r="X6155" s="79" t="str">
        <f>IF(OR(TH!N6155=TH!$X$7,O6155=TH!$X$7),"x","")</f>
        <v/>
      </c>
      <c r="Y6155" s="79" t="str">
        <f>IF(AND(OR(N6155="131",O6155="131"),H6155='131-CT'!$H$9),"x","")</f>
        <v/>
      </c>
      <c r="Z6155" s="79"/>
      <c r="AA6155" s="79" t="str">
        <f>IF(AND(MONTH(E6155)='IN-NX'!$J$5,'IN-NX'!$D$7=D6155),"x","")</f>
        <v/>
      </c>
      <c r="AB6155" s="79" t="str">
        <f>IF(AND(OR(LEFT(TH!N6155,2)="15",LEFT(TH!O6155,2)="15"),LEFT(TH!O6155,3)&lt;&gt;"111",'152-CT'!$J$8=TH!F6155),"x","")</f>
        <v/>
      </c>
      <c r="AC6155" s="79" t="str">
        <f>IF(AND(OR(LEFT(TH!N6155,2)="15",LEFT(TH!O6155,2)="15"),TK!$E$7=TH!F6155),"x","")</f>
        <v/>
      </c>
      <c r="AD6155" s="79" t="str">
        <f>IF(AND(N6155="1521",MONTH(C6155)='BK-NL'!$M$11),"x","")</f>
        <v/>
      </c>
    </row>
    <row r="6156" spans="1:30" ht="16.5" customHeight="1">
      <c r="A6156" s="318" t="str">
        <f>IF(B6156&lt;&gt;"",IF(AND(B6156='IN-TC'!$S$4,OR(TH!N6156="1111",TH!O6156="1111")),TH!D6156,""),"")</f>
        <v/>
      </c>
      <c r="B6156" s="60" t="str">
        <f t="shared" si="517"/>
        <v/>
      </c>
      <c r="C6156" s="61"/>
      <c r="D6156" s="61"/>
      <c r="E6156" s="61"/>
      <c r="F6156" s="69"/>
      <c r="G6156" s="64"/>
      <c r="H6156" s="69"/>
      <c r="I6156" s="385"/>
      <c r="J6156" s="392"/>
      <c r="K6156" s="385"/>
      <c r="L6156" s="392"/>
      <c r="M6156" s="62"/>
      <c r="N6156" s="63"/>
      <c r="O6156" s="63"/>
      <c r="P6156" s="79" t="str">
        <f>IF(AND('331-CT'!$E$7=TH!H6156,OR(N6156="331",O6156="331")),"x","")</f>
        <v/>
      </c>
      <c r="Q6156" s="79" t="str">
        <f>IF(AND(B6156='111'!$L$11,OR($N6156=$Q$7,$O6156=$Q$7)),"x","")</f>
        <v/>
      </c>
      <c r="R6156" s="79" t="str">
        <f>IF(AND($N6156=$Q$7,$B6156&lt;'111'!$L$11),"x","")</f>
        <v/>
      </c>
      <c r="S6156" s="79" t="str">
        <f>IF(AND($O6156=$Q$7,$B6156&lt;'111'!$L$11),"x","")</f>
        <v/>
      </c>
      <c r="T6156" s="79" t="str">
        <f>IF(ISERROR(FIND('112'!$M$9,G6156,1)),"",IF((AND(FIND('112'!$M$9,G6156,1)&gt;=1,B6156='112'!$K$9,OR($N6156='112'!$I$6,$O6156='112'!$I$6))),"x",""))</f>
        <v/>
      </c>
      <c r="U6156" s="79" t="str">
        <f>IF(ISERROR(FIND('112'!$M$9,G6156,1)),"",IF((AND(LEFT(G6156,2)=LEFT('112'!$M$9,2),B6156&lt;'112'!$K$9,$N6156='112'!$I$6)),"x",""))</f>
        <v/>
      </c>
      <c r="V6156" s="79" t="str">
        <f>IF(ISERROR(FIND('112'!$M$9,G6156,1)),"",IF((AND(RIGHT(G6156,2)=RIGHT('112'!$M$9,2),B6156&lt;'112'!$K$9,$O6156='112'!$I$6)),"x",""))</f>
        <v/>
      </c>
      <c r="W6156" s="79" t="str">
        <f>IF(AND('341-CT'!$H$9=H6156,OR(LEFT(N6156,3)=$W$7,LEFT(O6156,3)=$W$7)),"x","")</f>
        <v/>
      </c>
      <c r="X6156" s="79" t="str">
        <f>IF(OR(TH!N6156=TH!$X$7,O6156=TH!$X$7),"x","")</f>
        <v/>
      </c>
      <c r="Y6156" s="79" t="str">
        <f>IF(AND(OR(N6156="131",O6156="131"),H6156='131-CT'!$H$9),"x","")</f>
        <v/>
      </c>
      <c r="Z6156" s="79"/>
      <c r="AA6156" s="79" t="str">
        <f>IF(AND(MONTH(E6156)='IN-NX'!$J$5,'IN-NX'!$D$7=D6156),"x","")</f>
        <v/>
      </c>
      <c r="AB6156" s="79" t="str">
        <f>IF(AND(OR(LEFT(TH!N6156,2)="15",LEFT(TH!O6156,2)="15"),LEFT(TH!O6156,3)&lt;&gt;"111",'152-CT'!$J$8=TH!F6156),"x","")</f>
        <v/>
      </c>
      <c r="AC6156" s="79" t="str">
        <f>IF(AND(OR(LEFT(TH!N6156,2)="15",LEFT(TH!O6156,2)="15"),TK!$E$7=TH!F6156),"x","")</f>
        <v/>
      </c>
      <c r="AD6156" s="79" t="str">
        <f>IF(AND(N6156="1521",MONTH(C6156)='BK-NL'!$M$11),"x","")</f>
        <v/>
      </c>
    </row>
    <row r="6157" spans="1:30" ht="16.5" customHeight="1">
      <c r="A6157" s="318" t="str">
        <f>IF(B6157&lt;&gt;"",IF(AND(B6157='IN-TC'!$S$4,OR(TH!N6157="1111",TH!O6157="1111")),TH!D6157,""),"")</f>
        <v/>
      </c>
      <c r="B6157" s="60" t="str">
        <f t="shared" si="517"/>
        <v/>
      </c>
      <c r="C6157" s="61"/>
      <c r="D6157" s="61"/>
      <c r="E6157" s="61"/>
      <c r="F6157" s="69"/>
      <c r="G6157" s="64"/>
      <c r="H6157" s="69"/>
      <c r="I6157" s="385"/>
      <c r="J6157" s="392"/>
      <c r="K6157" s="385"/>
      <c r="L6157" s="392"/>
      <c r="M6157" s="62"/>
      <c r="N6157" s="63"/>
      <c r="O6157" s="63"/>
      <c r="P6157" s="79" t="str">
        <f>IF(AND('331-CT'!$E$7=TH!H6157,OR(N6157="331",O6157="331")),"x","")</f>
        <v/>
      </c>
      <c r="Q6157" s="79" t="str">
        <f>IF(AND(B6157='111'!$L$11,OR($N6157=$Q$7,$O6157=$Q$7)),"x","")</f>
        <v/>
      </c>
      <c r="R6157" s="79" t="str">
        <f>IF(AND($N6157=$Q$7,$B6157&lt;'111'!$L$11),"x","")</f>
        <v/>
      </c>
      <c r="S6157" s="79" t="str">
        <f>IF(AND($O6157=$Q$7,$B6157&lt;'111'!$L$11),"x","")</f>
        <v/>
      </c>
      <c r="T6157" s="79" t="str">
        <f>IF(ISERROR(FIND('112'!$M$9,G6157,1)),"",IF((AND(FIND('112'!$M$9,G6157,1)&gt;=1,B6157='112'!$K$9,OR($N6157='112'!$I$6,$O6157='112'!$I$6))),"x",""))</f>
        <v/>
      </c>
      <c r="U6157" s="79" t="str">
        <f>IF(ISERROR(FIND('112'!$M$9,G6157,1)),"",IF((AND(LEFT(G6157,2)=LEFT('112'!$M$9,2),B6157&lt;'112'!$K$9,$N6157='112'!$I$6)),"x",""))</f>
        <v/>
      </c>
      <c r="V6157" s="79" t="str">
        <f>IF(ISERROR(FIND('112'!$M$9,G6157,1)),"",IF((AND(RIGHT(G6157,2)=RIGHT('112'!$M$9,2),B6157&lt;'112'!$K$9,$O6157='112'!$I$6)),"x",""))</f>
        <v/>
      </c>
      <c r="W6157" s="79" t="str">
        <f>IF(AND('341-CT'!$H$9=H6157,OR(LEFT(N6157,3)=$W$7,LEFT(O6157,3)=$W$7)),"x","")</f>
        <v/>
      </c>
      <c r="X6157" s="79" t="str">
        <f>IF(OR(TH!N6157=TH!$X$7,O6157=TH!$X$7),"x","")</f>
        <v/>
      </c>
      <c r="Y6157" s="79" t="str">
        <f>IF(AND(OR(N6157="131",O6157="131"),H6157='131-CT'!$H$9),"x","")</f>
        <v/>
      </c>
      <c r="Z6157" s="79"/>
      <c r="AA6157" s="79" t="str">
        <f>IF(AND(MONTH(E6157)='IN-NX'!$J$5,'IN-NX'!$D$7=D6157),"x","")</f>
        <v/>
      </c>
      <c r="AB6157" s="79" t="str">
        <f>IF(AND(OR(LEFT(TH!N6157,2)="15",LEFT(TH!O6157,2)="15"),LEFT(TH!O6157,3)&lt;&gt;"111",'152-CT'!$J$8=TH!F6157),"x","")</f>
        <v/>
      </c>
      <c r="AC6157" s="79" t="str">
        <f>IF(AND(OR(LEFT(TH!N6157,2)="15",LEFT(TH!O6157,2)="15"),TK!$E$7=TH!F6157),"x","")</f>
        <v/>
      </c>
      <c r="AD6157" s="79" t="str">
        <f>IF(AND(N6157="1521",MONTH(C6157)='BK-NL'!$M$11),"x","")</f>
        <v/>
      </c>
    </row>
    <row r="6158" spans="1:30" ht="16.5" customHeight="1">
      <c r="A6158" s="318" t="str">
        <f>IF(B6158&lt;&gt;"",IF(AND(B6158='IN-TC'!$S$4,OR(TH!N6158="1111",TH!O6158="1111")),TH!D6158,""),"")</f>
        <v/>
      </c>
      <c r="B6158" s="60" t="str">
        <f t="shared" si="517"/>
        <v/>
      </c>
      <c r="C6158" s="61"/>
      <c r="D6158" s="61"/>
      <c r="E6158" s="61"/>
      <c r="F6158" s="69"/>
      <c r="G6158" s="64"/>
      <c r="H6158" s="69"/>
      <c r="I6158" s="385"/>
      <c r="J6158" s="392"/>
      <c r="K6158" s="385"/>
      <c r="L6158" s="392"/>
      <c r="M6158" s="62"/>
      <c r="N6158" s="63"/>
      <c r="O6158" s="63"/>
      <c r="P6158" s="79" t="str">
        <f>IF(AND('331-CT'!$E$7=TH!H6158,OR(N6158="331",O6158="331")),"x","")</f>
        <v/>
      </c>
      <c r="Q6158" s="79" t="str">
        <f>IF(AND(B6158='111'!$L$11,OR($N6158=$Q$7,$O6158=$Q$7)),"x","")</f>
        <v/>
      </c>
      <c r="R6158" s="79" t="str">
        <f>IF(AND($N6158=$Q$7,$B6158&lt;'111'!$L$11),"x","")</f>
        <v/>
      </c>
      <c r="S6158" s="79" t="str">
        <f>IF(AND($O6158=$Q$7,$B6158&lt;'111'!$L$11),"x","")</f>
        <v/>
      </c>
      <c r="T6158" s="79" t="str">
        <f>IF(ISERROR(FIND('112'!$M$9,G6158,1)),"",IF((AND(FIND('112'!$M$9,G6158,1)&gt;=1,B6158='112'!$K$9,OR($N6158='112'!$I$6,$O6158='112'!$I$6))),"x",""))</f>
        <v/>
      </c>
      <c r="U6158" s="79" t="str">
        <f>IF(ISERROR(FIND('112'!$M$9,G6158,1)),"",IF((AND(LEFT(G6158,2)=LEFT('112'!$M$9,2),B6158&lt;'112'!$K$9,$N6158='112'!$I$6)),"x",""))</f>
        <v/>
      </c>
      <c r="V6158" s="79" t="str">
        <f>IF(ISERROR(FIND('112'!$M$9,G6158,1)),"",IF((AND(RIGHT(G6158,2)=RIGHT('112'!$M$9,2),B6158&lt;'112'!$K$9,$O6158='112'!$I$6)),"x",""))</f>
        <v/>
      </c>
      <c r="W6158" s="79" t="str">
        <f>IF(AND('341-CT'!$H$9=H6158,OR(LEFT(N6158,3)=$W$7,LEFT(O6158,3)=$W$7)),"x","")</f>
        <v/>
      </c>
      <c r="X6158" s="79" t="str">
        <f>IF(OR(TH!N6158=TH!$X$7,O6158=TH!$X$7),"x","")</f>
        <v/>
      </c>
      <c r="Y6158" s="79" t="str">
        <f>IF(AND(OR(N6158="131",O6158="131"),H6158='131-CT'!$H$9),"x","")</f>
        <v/>
      </c>
      <c r="Z6158" s="79"/>
      <c r="AA6158" s="79" t="str">
        <f>IF(AND(MONTH(E6158)='IN-NX'!$J$5,'IN-NX'!$D$7=D6158),"x","")</f>
        <v/>
      </c>
      <c r="AB6158" s="79" t="str">
        <f>IF(AND(OR(LEFT(TH!N6158,2)="15",LEFT(TH!O6158,2)="15"),LEFT(TH!O6158,3)&lt;&gt;"111",'152-CT'!$J$8=TH!F6158),"x","")</f>
        <v/>
      </c>
      <c r="AC6158" s="79" t="str">
        <f>IF(AND(OR(LEFT(TH!N6158,2)="15",LEFT(TH!O6158,2)="15"),TK!$E$7=TH!F6158),"x","")</f>
        <v/>
      </c>
      <c r="AD6158" s="79" t="str">
        <f>IF(AND(N6158="1521",MONTH(C6158)='BK-NL'!$M$11),"x","")</f>
        <v/>
      </c>
    </row>
    <row r="6159" spans="1:30" ht="16.5" customHeight="1">
      <c r="A6159" s="318" t="str">
        <f>IF(B6159&lt;&gt;"",IF(AND(B6159='IN-TC'!$S$4,OR(TH!N6159="1111",TH!O6159="1111")),TH!D6159,""),"")</f>
        <v/>
      </c>
      <c r="B6159" s="60" t="str">
        <f t="shared" si="517"/>
        <v/>
      </c>
      <c r="C6159" s="61"/>
      <c r="D6159" s="61"/>
      <c r="E6159" s="61"/>
      <c r="F6159" s="69"/>
      <c r="G6159" s="64"/>
      <c r="H6159" s="69"/>
      <c r="I6159" s="387"/>
      <c r="J6159" s="394"/>
      <c r="K6159" s="387"/>
      <c r="L6159" s="394"/>
      <c r="M6159" s="62"/>
      <c r="N6159" s="63"/>
      <c r="O6159" s="63"/>
      <c r="P6159" s="79" t="str">
        <f>IF(AND('331-CT'!$E$7=TH!H6159,OR(N6159="331",O6159="331")),"x","")</f>
        <v/>
      </c>
      <c r="Q6159" s="79" t="str">
        <f>IF(AND(B6159='111'!$L$11,OR($N6159=$Q$7,$O6159=$Q$7)),"x","")</f>
        <v/>
      </c>
      <c r="R6159" s="79" t="str">
        <f>IF(AND($N6159=$Q$7,$B6159&lt;'111'!$L$11),"x","")</f>
        <v/>
      </c>
      <c r="S6159" s="79" t="str">
        <f>IF(AND($O6159=$Q$7,$B6159&lt;'111'!$L$11),"x","")</f>
        <v/>
      </c>
      <c r="T6159" s="79" t="str">
        <f>IF(ISERROR(FIND('112'!$M$9,G6159,1)),"",IF((AND(FIND('112'!$M$9,G6159,1)&gt;=1,B6159='112'!$K$9,OR($N6159='112'!$I$6,$O6159='112'!$I$6))),"x",""))</f>
        <v/>
      </c>
      <c r="U6159" s="79" t="str">
        <f>IF(ISERROR(FIND('112'!$M$9,G6159,1)),"",IF((AND(LEFT(G6159,2)=LEFT('112'!$M$9,2),B6159&lt;'112'!$K$9,$N6159='112'!$I$6)),"x",""))</f>
        <v/>
      </c>
      <c r="V6159" s="79" t="str">
        <f>IF(ISERROR(FIND('112'!$M$9,G6159,1)),"",IF((AND(RIGHT(G6159,2)=RIGHT('112'!$M$9,2),B6159&lt;'112'!$K$9,$O6159='112'!$I$6)),"x",""))</f>
        <v/>
      </c>
      <c r="W6159" s="79" t="str">
        <f>IF(AND('341-CT'!$H$9=H6159,OR(LEFT(N6159,3)=$W$7,LEFT(O6159,3)=$W$7)),"x","")</f>
        <v/>
      </c>
      <c r="X6159" s="79" t="str">
        <f>IF(OR(TH!N6159=TH!$X$7,O6159=TH!$X$7),"x","")</f>
        <v/>
      </c>
      <c r="Y6159" s="79" t="str">
        <f>IF(AND(OR(N6159="131",O6159="131"),H6159='131-CT'!$H$9),"x","")</f>
        <v/>
      </c>
      <c r="Z6159" s="79"/>
      <c r="AA6159" s="79" t="str">
        <f>IF(AND(MONTH(E6159)='IN-NX'!$J$5,'IN-NX'!$D$7=D6159),"x","")</f>
        <v/>
      </c>
      <c r="AB6159" s="79" t="str">
        <f>IF(AND(OR(LEFT(TH!N6159,2)="15",LEFT(TH!O6159,2)="15"),LEFT(TH!O6159,3)&lt;&gt;"111",'152-CT'!$J$8=TH!F6159),"x","")</f>
        <v/>
      </c>
      <c r="AC6159" s="79" t="str">
        <f>IF(AND(OR(LEFT(TH!N6159,2)="15",LEFT(TH!O6159,2)="15"),TK!$E$7=TH!F6159),"x","")</f>
        <v/>
      </c>
      <c r="AD6159" s="79" t="str">
        <f>IF(AND(N6159="1521",MONTH(C6159)='BK-NL'!$M$11),"x","")</f>
        <v/>
      </c>
    </row>
    <row r="6160" spans="1:30" ht="16.5" customHeight="1">
      <c r="A6160" s="318" t="str">
        <f>IF(B6160&lt;&gt;"",IF(AND(B6160='IN-TC'!$S$4,OR(TH!N6160="1111",TH!O6160="1111")),TH!D6160,""),"")</f>
        <v/>
      </c>
      <c r="B6160" s="60" t="str">
        <f t="shared" si="517"/>
        <v/>
      </c>
      <c r="C6160" s="61"/>
      <c r="D6160" s="61"/>
      <c r="E6160" s="61"/>
      <c r="F6160" s="69"/>
      <c r="G6160" s="64"/>
      <c r="H6160" s="69"/>
      <c r="I6160" s="385"/>
      <c r="J6160" s="392"/>
      <c r="K6160" s="385"/>
      <c r="L6160" s="392"/>
      <c r="M6160" s="62"/>
      <c r="N6160" s="63"/>
      <c r="O6160" s="63"/>
      <c r="P6160" s="79" t="str">
        <f>IF(AND('331-CT'!$E$7=TH!H6160,OR(N6160="331",O6160="331")),"x","")</f>
        <v/>
      </c>
      <c r="Q6160" s="79" t="str">
        <f>IF(AND(B6160='111'!$L$11,OR($N6160=$Q$7,$O6160=$Q$7)),"x","")</f>
        <v/>
      </c>
      <c r="R6160" s="79" t="str">
        <f>IF(AND($N6160=$Q$7,$B6160&lt;'111'!$L$11),"x","")</f>
        <v/>
      </c>
      <c r="S6160" s="79" t="str">
        <f>IF(AND($O6160=$Q$7,$B6160&lt;'111'!$L$11),"x","")</f>
        <v/>
      </c>
      <c r="T6160" s="79" t="str">
        <f>IF(ISERROR(FIND('112'!$M$9,G6160,1)),"",IF((AND(FIND('112'!$M$9,G6160,1)&gt;=1,B6160='112'!$K$9,OR($N6160='112'!$I$6,$O6160='112'!$I$6))),"x",""))</f>
        <v/>
      </c>
      <c r="U6160" s="79" t="str">
        <f>IF(ISERROR(FIND('112'!$M$9,G6160,1)),"",IF((AND(LEFT(G6160,2)=LEFT('112'!$M$9,2),B6160&lt;'112'!$K$9,$N6160='112'!$I$6)),"x",""))</f>
        <v/>
      </c>
      <c r="V6160" s="79" t="str">
        <f>IF(ISERROR(FIND('112'!$M$9,G6160,1)),"",IF((AND(RIGHT(G6160,2)=RIGHT('112'!$M$9,2),B6160&lt;'112'!$K$9,$O6160='112'!$I$6)),"x",""))</f>
        <v/>
      </c>
      <c r="W6160" s="79" t="str">
        <f>IF(AND('341-CT'!$H$9=H6160,OR(LEFT(N6160,3)=$W$7,LEFT(O6160,3)=$W$7)),"x","")</f>
        <v/>
      </c>
      <c r="X6160" s="79" t="str">
        <f>IF(OR(TH!N6160=TH!$X$7,O6160=TH!$X$7),"x","")</f>
        <v/>
      </c>
      <c r="Y6160" s="79" t="str">
        <f>IF(AND(OR(N6160="131",O6160="131"),H6160='131-CT'!$H$9),"x","")</f>
        <v/>
      </c>
      <c r="Z6160" s="79"/>
      <c r="AA6160" s="79" t="str">
        <f>IF(AND(MONTH(E6160)='IN-NX'!$J$5,'IN-NX'!$D$7=D6160),"x","")</f>
        <v/>
      </c>
      <c r="AB6160" s="79" t="str">
        <f>IF(AND(OR(LEFT(TH!N6160,2)="15",LEFT(TH!O6160,2)="15"),LEFT(TH!O6160,3)&lt;&gt;"111",'152-CT'!$J$8=TH!F6160),"x","")</f>
        <v/>
      </c>
      <c r="AC6160" s="79" t="str">
        <f>IF(AND(OR(LEFT(TH!N6160,2)="15",LEFT(TH!O6160,2)="15"),TK!$E$7=TH!F6160),"x","")</f>
        <v/>
      </c>
      <c r="AD6160" s="79" t="str">
        <f>IF(AND(N6160="1521",MONTH(C6160)='BK-NL'!$M$11),"x","")</f>
        <v/>
      </c>
    </row>
    <row r="6161" spans="1:30" ht="16.5" customHeight="1">
      <c r="A6161" s="318" t="str">
        <f>IF(B6161&lt;&gt;"",IF(AND(B6161='IN-TC'!$S$4,OR(TH!N6161="1111",TH!O6161="1111")),TH!D6161,""),"")</f>
        <v/>
      </c>
      <c r="B6161" s="60" t="str">
        <f t="shared" si="517"/>
        <v/>
      </c>
      <c r="C6161" s="61"/>
      <c r="D6161" s="61"/>
      <c r="E6161" s="61"/>
      <c r="F6161" s="69"/>
      <c r="G6161" s="64"/>
      <c r="H6161" s="69"/>
      <c r="I6161" s="385"/>
      <c r="J6161" s="392"/>
      <c r="K6161" s="385"/>
      <c r="L6161" s="392"/>
      <c r="M6161" s="62"/>
      <c r="N6161" s="63"/>
      <c r="O6161" s="63"/>
      <c r="P6161" s="79" t="str">
        <f>IF(AND('331-CT'!$E$7=TH!H6161,OR(N6161="331",O6161="331")),"x","")</f>
        <v/>
      </c>
      <c r="Q6161" s="79" t="str">
        <f>IF(AND(B6161='111'!$L$11,OR($N6161=$Q$7,$O6161=$Q$7)),"x","")</f>
        <v/>
      </c>
      <c r="R6161" s="79" t="str">
        <f>IF(AND($N6161=$Q$7,$B6161&lt;'111'!$L$11),"x","")</f>
        <v/>
      </c>
      <c r="S6161" s="79" t="str">
        <f>IF(AND($O6161=$Q$7,$B6161&lt;'111'!$L$11),"x","")</f>
        <v/>
      </c>
      <c r="T6161" s="79" t="str">
        <f>IF(ISERROR(FIND('112'!$M$9,G6161,1)),"",IF((AND(FIND('112'!$M$9,G6161,1)&gt;=1,B6161='112'!$K$9,OR($N6161='112'!$I$6,$O6161='112'!$I$6))),"x",""))</f>
        <v/>
      </c>
      <c r="U6161" s="79" t="str">
        <f>IF(ISERROR(FIND('112'!$M$9,G6161,1)),"",IF((AND(LEFT(G6161,2)=LEFT('112'!$M$9,2),B6161&lt;'112'!$K$9,$N6161='112'!$I$6)),"x",""))</f>
        <v/>
      </c>
      <c r="V6161" s="79" t="str">
        <f>IF(ISERROR(FIND('112'!$M$9,G6161,1)),"",IF((AND(RIGHT(G6161,2)=RIGHT('112'!$M$9,2),B6161&lt;'112'!$K$9,$O6161='112'!$I$6)),"x",""))</f>
        <v/>
      </c>
      <c r="W6161" s="79" t="str">
        <f>IF(AND('341-CT'!$H$9=H6161,OR(LEFT(N6161,3)=$W$7,LEFT(O6161,3)=$W$7)),"x","")</f>
        <v/>
      </c>
      <c r="X6161" s="79" t="str">
        <f>IF(OR(TH!N6161=TH!$X$7,O6161=TH!$X$7),"x","")</f>
        <v/>
      </c>
      <c r="Y6161" s="79" t="str">
        <f>IF(AND(OR(N6161="131",O6161="131"),H6161='131-CT'!$H$9),"x","")</f>
        <v/>
      </c>
      <c r="Z6161" s="79"/>
      <c r="AA6161" s="79" t="str">
        <f>IF(AND(MONTH(E6161)='IN-NX'!$J$5,'IN-NX'!$D$7=D6161),"x","")</f>
        <v/>
      </c>
      <c r="AB6161" s="79" t="str">
        <f>IF(AND(OR(LEFT(TH!N6161,2)="15",LEFT(TH!O6161,2)="15"),LEFT(TH!O6161,3)&lt;&gt;"111",'152-CT'!$J$8=TH!F6161),"x","")</f>
        <v/>
      </c>
      <c r="AC6161" s="79" t="str">
        <f>IF(AND(OR(LEFT(TH!N6161,2)="15",LEFT(TH!O6161,2)="15"),TK!$E$7=TH!F6161),"x","")</f>
        <v/>
      </c>
      <c r="AD6161" s="79" t="str">
        <f>IF(AND(N6161="1521",MONTH(C6161)='BK-NL'!$M$11),"x","")</f>
        <v/>
      </c>
    </row>
    <row r="6162" spans="1:30" ht="16.5" customHeight="1">
      <c r="A6162" s="318" t="str">
        <f>IF(B6162&lt;&gt;"",IF(AND(B6162='IN-TC'!$S$4,OR(TH!N6162="1111",TH!O6162="1111")),TH!D6162,""),"")</f>
        <v/>
      </c>
      <c r="B6162" s="60" t="str">
        <f t="shared" si="517"/>
        <v/>
      </c>
      <c r="C6162" s="61"/>
      <c r="D6162" s="61"/>
      <c r="E6162" s="61"/>
      <c r="F6162" s="69"/>
      <c r="G6162" s="64"/>
      <c r="H6162" s="69"/>
      <c r="I6162" s="385"/>
      <c r="J6162" s="392"/>
      <c r="K6162" s="385"/>
      <c r="L6162" s="392"/>
      <c r="M6162" s="62"/>
      <c r="N6162" s="63"/>
      <c r="O6162" s="63"/>
      <c r="P6162" s="79" t="str">
        <f>IF(AND('331-CT'!$E$7=TH!H6162,OR(N6162="331",O6162="331")),"x","")</f>
        <v/>
      </c>
      <c r="Q6162" s="79" t="str">
        <f>IF(AND(B6162='111'!$L$11,OR($N6162=$Q$7,$O6162=$Q$7)),"x","")</f>
        <v/>
      </c>
      <c r="R6162" s="79" t="str">
        <f>IF(AND($N6162=$Q$7,$B6162&lt;'111'!$L$11),"x","")</f>
        <v/>
      </c>
      <c r="S6162" s="79" t="str">
        <f>IF(AND($O6162=$Q$7,$B6162&lt;'111'!$L$11),"x","")</f>
        <v/>
      </c>
      <c r="T6162" s="79" t="str">
        <f>IF(ISERROR(FIND('112'!$M$9,G6162,1)),"",IF((AND(FIND('112'!$M$9,G6162,1)&gt;=1,B6162='112'!$K$9,OR($N6162='112'!$I$6,$O6162='112'!$I$6))),"x",""))</f>
        <v/>
      </c>
      <c r="U6162" s="79" t="str">
        <f>IF(ISERROR(FIND('112'!$M$9,G6162,1)),"",IF((AND(LEFT(G6162,2)=LEFT('112'!$M$9,2),B6162&lt;'112'!$K$9,$N6162='112'!$I$6)),"x",""))</f>
        <v/>
      </c>
      <c r="V6162" s="79" t="str">
        <f>IF(ISERROR(FIND('112'!$M$9,G6162,1)),"",IF((AND(RIGHT(G6162,2)=RIGHT('112'!$M$9,2),B6162&lt;'112'!$K$9,$O6162='112'!$I$6)),"x",""))</f>
        <v/>
      </c>
      <c r="W6162" s="79" t="str">
        <f>IF(AND('341-CT'!$H$9=H6162,OR(LEFT(N6162,3)=$W$7,LEFT(O6162,3)=$W$7)),"x","")</f>
        <v/>
      </c>
      <c r="X6162" s="79" t="str">
        <f>IF(OR(TH!N6162=TH!$X$7,O6162=TH!$X$7),"x","")</f>
        <v/>
      </c>
      <c r="Y6162" s="79" t="str">
        <f>IF(AND(OR(N6162="131",O6162="131"),H6162='131-CT'!$H$9),"x","")</f>
        <v/>
      </c>
      <c r="Z6162" s="79"/>
      <c r="AA6162" s="79" t="str">
        <f>IF(AND(MONTH(E6162)='IN-NX'!$J$5,'IN-NX'!$D$7=D6162),"x","")</f>
        <v/>
      </c>
      <c r="AB6162" s="79" t="str">
        <f>IF(AND(OR(LEFT(TH!N6162,2)="15",LEFT(TH!O6162,2)="15"),LEFT(TH!O6162,3)&lt;&gt;"111",'152-CT'!$J$8=TH!F6162),"x","")</f>
        <v/>
      </c>
      <c r="AC6162" s="79" t="str">
        <f>IF(AND(OR(LEFT(TH!N6162,2)="15",LEFT(TH!O6162,2)="15"),TK!$E$7=TH!F6162),"x","")</f>
        <v/>
      </c>
      <c r="AD6162" s="79" t="str">
        <f>IF(AND(N6162="1521",MONTH(C6162)='BK-NL'!$M$11),"x","")</f>
        <v/>
      </c>
    </row>
    <row r="6163" spans="1:30" ht="16.5" customHeight="1">
      <c r="A6163" s="318" t="str">
        <f>IF(B6163&lt;&gt;"",IF(AND(B6163='IN-TC'!$S$4,OR(TH!N6163="1111",TH!O6163="1111")),TH!D6163,""),"")</f>
        <v/>
      </c>
      <c r="B6163" s="60" t="str">
        <f t="shared" si="517"/>
        <v/>
      </c>
      <c r="C6163" s="61"/>
      <c r="D6163" s="61"/>
      <c r="E6163" s="61"/>
      <c r="F6163" s="69"/>
      <c r="G6163" s="64"/>
      <c r="H6163" s="69"/>
      <c r="I6163" s="385"/>
      <c r="J6163" s="392"/>
      <c r="K6163" s="385"/>
      <c r="L6163" s="392"/>
      <c r="M6163" s="62"/>
      <c r="N6163" s="63"/>
      <c r="O6163" s="63"/>
      <c r="P6163" s="79" t="str">
        <f>IF(AND('331-CT'!$E$7=TH!H6163,OR(N6163="331",O6163="331")),"x","")</f>
        <v/>
      </c>
      <c r="Q6163" s="79" t="str">
        <f>IF(AND(B6163='111'!$L$11,OR($N6163=$Q$7,$O6163=$Q$7)),"x","")</f>
        <v/>
      </c>
      <c r="R6163" s="79" t="str">
        <f>IF(AND($N6163=$Q$7,$B6163&lt;'111'!$L$11),"x","")</f>
        <v/>
      </c>
      <c r="S6163" s="79" t="str">
        <f>IF(AND($O6163=$Q$7,$B6163&lt;'111'!$L$11),"x","")</f>
        <v/>
      </c>
      <c r="T6163" s="79" t="str">
        <f>IF(ISERROR(FIND('112'!$M$9,G6163,1)),"",IF((AND(FIND('112'!$M$9,G6163,1)&gt;=1,B6163='112'!$K$9,OR($N6163='112'!$I$6,$O6163='112'!$I$6))),"x",""))</f>
        <v/>
      </c>
      <c r="U6163" s="79" t="str">
        <f>IF(ISERROR(FIND('112'!$M$9,G6163,1)),"",IF((AND(LEFT(G6163,2)=LEFT('112'!$M$9,2),B6163&lt;'112'!$K$9,$N6163='112'!$I$6)),"x",""))</f>
        <v/>
      </c>
      <c r="V6163" s="79" t="str">
        <f>IF(ISERROR(FIND('112'!$M$9,G6163,1)),"",IF((AND(RIGHT(G6163,2)=RIGHT('112'!$M$9,2),B6163&lt;'112'!$K$9,$O6163='112'!$I$6)),"x",""))</f>
        <v/>
      </c>
      <c r="W6163" s="79" t="str">
        <f>IF(AND('341-CT'!$H$9=H6163,OR(LEFT(N6163,3)=$W$7,LEFT(O6163,3)=$W$7)),"x","")</f>
        <v/>
      </c>
      <c r="X6163" s="79" t="str">
        <f>IF(OR(TH!N6163=TH!$X$7,O6163=TH!$X$7),"x","")</f>
        <v/>
      </c>
      <c r="Y6163" s="79" t="str">
        <f>IF(AND(OR(N6163="131",O6163="131"),H6163='131-CT'!$H$9),"x","")</f>
        <v/>
      </c>
      <c r="Z6163" s="79"/>
      <c r="AA6163" s="79" t="str">
        <f>IF(AND(MONTH(E6163)='IN-NX'!$J$5,'IN-NX'!$D$7=D6163),"x","")</f>
        <v/>
      </c>
      <c r="AB6163" s="79" t="str">
        <f>IF(AND(OR(LEFT(TH!N6163,2)="15",LEFT(TH!O6163,2)="15"),LEFT(TH!O6163,3)&lt;&gt;"111",'152-CT'!$J$8=TH!F6163),"x","")</f>
        <v/>
      </c>
      <c r="AC6163" s="79" t="str">
        <f>IF(AND(OR(LEFT(TH!N6163,2)="15",LEFT(TH!O6163,2)="15"),TK!$E$7=TH!F6163),"x","")</f>
        <v/>
      </c>
      <c r="AD6163" s="79" t="str">
        <f>IF(AND(N6163="1521",MONTH(C6163)='BK-NL'!$M$11),"x","")</f>
        <v/>
      </c>
    </row>
    <row r="6164" spans="1:30" ht="16.5" customHeight="1">
      <c r="A6164" s="318" t="str">
        <f>IF(B6164&lt;&gt;"",IF(AND(B6164='IN-TC'!$S$4,OR(TH!N6164="1111",TH!O6164="1111")),TH!D6164,""),"")</f>
        <v/>
      </c>
      <c r="B6164" s="60" t="str">
        <f t="shared" si="517"/>
        <v/>
      </c>
      <c r="C6164" s="61"/>
      <c r="D6164" s="61"/>
      <c r="E6164" s="61"/>
      <c r="F6164" s="69"/>
      <c r="G6164" s="64"/>
      <c r="H6164" s="69"/>
      <c r="I6164" s="385"/>
      <c r="J6164" s="392"/>
      <c r="K6164" s="385"/>
      <c r="L6164" s="392"/>
      <c r="M6164" s="62"/>
      <c r="N6164" s="63"/>
      <c r="O6164" s="63"/>
      <c r="P6164" s="79" t="str">
        <f>IF(AND('331-CT'!$E$7=TH!H6164,OR(N6164="331",O6164="331")),"x","")</f>
        <v/>
      </c>
      <c r="Q6164" s="79" t="str">
        <f>IF(AND(B6164='111'!$L$11,OR($N6164=$Q$7,$O6164=$Q$7)),"x","")</f>
        <v/>
      </c>
      <c r="R6164" s="79" t="str">
        <f>IF(AND($N6164=$Q$7,$B6164&lt;'111'!$L$11),"x","")</f>
        <v/>
      </c>
      <c r="S6164" s="79" t="str">
        <f>IF(AND($O6164=$Q$7,$B6164&lt;'111'!$L$11),"x","")</f>
        <v/>
      </c>
      <c r="T6164" s="79" t="str">
        <f>IF(ISERROR(FIND('112'!$M$9,G6164,1)),"",IF((AND(FIND('112'!$M$9,G6164,1)&gt;=1,B6164='112'!$K$9,OR($N6164='112'!$I$6,$O6164='112'!$I$6))),"x",""))</f>
        <v/>
      </c>
      <c r="U6164" s="79" t="str">
        <f>IF(ISERROR(FIND('112'!$M$9,G6164,1)),"",IF((AND(LEFT(G6164,2)=LEFT('112'!$M$9,2),B6164&lt;'112'!$K$9,$N6164='112'!$I$6)),"x",""))</f>
        <v/>
      </c>
      <c r="V6164" s="79" t="str">
        <f>IF(ISERROR(FIND('112'!$M$9,G6164,1)),"",IF((AND(RIGHT(G6164,2)=RIGHT('112'!$M$9,2),B6164&lt;'112'!$K$9,$O6164='112'!$I$6)),"x",""))</f>
        <v/>
      </c>
      <c r="W6164" s="79" t="str">
        <f>IF(AND('341-CT'!$H$9=H6164,OR(LEFT(N6164,3)=$W$7,LEFT(O6164,3)=$W$7)),"x","")</f>
        <v/>
      </c>
      <c r="X6164" s="79" t="str">
        <f>IF(OR(TH!N6164=TH!$X$7,O6164=TH!$X$7),"x","")</f>
        <v/>
      </c>
      <c r="Y6164" s="79" t="str">
        <f>IF(AND(OR(N6164="131",O6164="131"),H6164='131-CT'!$H$9),"x","")</f>
        <v/>
      </c>
      <c r="Z6164" s="79"/>
      <c r="AA6164" s="79" t="str">
        <f>IF(AND(MONTH(E6164)='IN-NX'!$J$5,'IN-NX'!$D$7=D6164),"x","")</f>
        <v/>
      </c>
      <c r="AB6164" s="79" t="str">
        <f>IF(AND(OR(LEFT(TH!N6164,2)="15",LEFT(TH!O6164,2)="15"),LEFT(TH!O6164,3)&lt;&gt;"111",'152-CT'!$J$8=TH!F6164),"x","")</f>
        <v/>
      </c>
      <c r="AC6164" s="79" t="str">
        <f>IF(AND(OR(LEFT(TH!N6164,2)="15",LEFT(TH!O6164,2)="15"),TK!$E$7=TH!F6164),"x","")</f>
        <v/>
      </c>
      <c r="AD6164" s="79" t="str">
        <f>IF(AND(N6164="1521",MONTH(C6164)='BK-NL'!$M$11),"x","")</f>
        <v/>
      </c>
    </row>
    <row r="6165" spans="1:30" ht="16.5" customHeight="1">
      <c r="A6165" s="318" t="str">
        <f>IF(B6165&lt;&gt;"",IF(AND(B6165='IN-TC'!$S$4,OR(TH!N6165="1111",TH!O6165="1111")),TH!D6165,""),"")</f>
        <v/>
      </c>
      <c r="B6165" s="60" t="str">
        <f t="shared" si="517"/>
        <v/>
      </c>
      <c r="C6165" s="61"/>
      <c r="D6165" s="61"/>
      <c r="E6165" s="61"/>
      <c r="F6165" s="69"/>
      <c r="G6165" s="64"/>
      <c r="H6165" s="69"/>
      <c r="I6165" s="385"/>
      <c r="J6165" s="392"/>
      <c r="K6165" s="385"/>
      <c r="L6165" s="392"/>
      <c r="M6165" s="62"/>
      <c r="N6165" s="63"/>
      <c r="O6165" s="63"/>
      <c r="P6165" s="79" t="str">
        <f>IF(AND('331-CT'!$E$7=TH!H6165,OR(N6165="331",O6165="331")),"x","")</f>
        <v/>
      </c>
      <c r="Q6165" s="79" t="str">
        <f>IF(AND(B6165='111'!$L$11,OR($N6165=$Q$7,$O6165=$Q$7)),"x","")</f>
        <v/>
      </c>
      <c r="R6165" s="79" t="str">
        <f>IF(AND($N6165=$Q$7,$B6165&lt;'111'!$L$11),"x","")</f>
        <v/>
      </c>
      <c r="S6165" s="79" t="str">
        <f>IF(AND($O6165=$Q$7,$B6165&lt;'111'!$L$11),"x","")</f>
        <v/>
      </c>
      <c r="T6165" s="79" t="str">
        <f>IF(ISERROR(FIND('112'!$M$9,G6165,1)),"",IF((AND(FIND('112'!$M$9,G6165,1)&gt;=1,B6165='112'!$K$9,OR($N6165='112'!$I$6,$O6165='112'!$I$6))),"x",""))</f>
        <v/>
      </c>
      <c r="U6165" s="79" t="str">
        <f>IF(ISERROR(FIND('112'!$M$9,G6165,1)),"",IF((AND(LEFT(G6165,2)=LEFT('112'!$M$9,2),B6165&lt;'112'!$K$9,$N6165='112'!$I$6)),"x",""))</f>
        <v/>
      </c>
      <c r="V6165" s="79" t="str">
        <f>IF(ISERROR(FIND('112'!$M$9,G6165,1)),"",IF((AND(RIGHT(G6165,2)=RIGHT('112'!$M$9,2),B6165&lt;'112'!$K$9,$O6165='112'!$I$6)),"x",""))</f>
        <v/>
      </c>
      <c r="W6165" s="79" t="str">
        <f>IF(AND('341-CT'!$H$9=H6165,OR(LEFT(N6165,3)=$W$7,LEFT(O6165,3)=$W$7)),"x","")</f>
        <v/>
      </c>
      <c r="X6165" s="79" t="str">
        <f>IF(OR(TH!N6165=TH!$X$7,O6165=TH!$X$7),"x","")</f>
        <v/>
      </c>
      <c r="Y6165" s="79" t="str">
        <f>IF(AND(OR(N6165="131",O6165="131"),H6165='131-CT'!$H$9),"x","")</f>
        <v/>
      </c>
      <c r="Z6165" s="79"/>
      <c r="AA6165" s="79" t="str">
        <f>IF(AND(MONTH(E6165)='IN-NX'!$J$5,'IN-NX'!$D$7=D6165),"x","")</f>
        <v/>
      </c>
      <c r="AB6165" s="79" t="str">
        <f>IF(AND(OR(LEFT(TH!N6165,2)="15",LEFT(TH!O6165,2)="15"),LEFT(TH!O6165,3)&lt;&gt;"111",'152-CT'!$J$8=TH!F6165),"x","")</f>
        <v/>
      </c>
      <c r="AC6165" s="79" t="str">
        <f>IF(AND(OR(LEFT(TH!N6165,2)="15",LEFT(TH!O6165,2)="15"),TK!$E$7=TH!F6165),"x","")</f>
        <v/>
      </c>
      <c r="AD6165" s="79" t="str">
        <f>IF(AND(N6165="1521",MONTH(C6165)='BK-NL'!$M$11),"x","")</f>
        <v/>
      </c>
    </row>
    <row r="6166" spans="1:30" ht="16.5" customHeight="1">
      <c r="A6166" s="318" t="str">
        <f>IF(B6166&lt;&gt;"",IF(AND(B6166='IN-TC'!$S$4,OR(TH!N6166="1111",TH!O6166="1111")),TH!D6166,""),"")</f>
        <v/>
      </c>
      <c r="B6166" s="60" t="str">
        <f t="shared" si="517"/>
        <v/>
      </c>
      <c r="C6166" s="61"/>
      <c r="D6166" s="61"/>
      <c r="E6166" s="61"/>
      <c r="F6166" s="69"/>
      <c r="G6166" s="64"/>
      <c r="H6166" s="70"/>
      <c r="I6166" s="385"/>
      <c r="J6166" s="392"/>
      <c r="K6166" s="385"/>
      <c r="L6166" s="392"/>
      <c r="M6166" s="62"/>
      <c r="N6166" s="63"/>
      <c r="O6166" s="63"/>
      <c r="P6166" s="79" t="str">
        <f>IF(AND('331-CT'!$E$7=TH!H6166,OR(N6166="331",O6166="331")),"x","")</f>
        <v/>
      </c>
      <c r="Q6166" s="79" t="str">
        <f>IF(AND(B6166='111'!$L$11,OR($N6166=$Q$7,$O6166=$Q$7)),"x","")</f>
        <v/>
      </c>
      <c r="R6166" s="79" t="str">
        <f>IF(AND($N6166=$Q$7,$B6166&lt;'111'!$L$11),"x","")</f>
        <v/>
      </c>
      <c r="S6166" s="79" t="str">
        <f>IF(AND($O6166=$Q$7,$B6166&lt;'111'!$L$11),"x","")</f>
        <v/>
      </c>
      <c r="T6166" s="79" t="str">
        <f>IF(ISERROR(FIND('112'!$M$9,G6166,1)),"",IF((AND(FIND('112'!$M$9,G6166,1)&gt;=1,B6166='112'!$K$9,OR($N6166='112'!$I$6,$O6166='112'!$I$6))),"x",""))</f>
        <v/>
      </c>
      <c r="U6166" s="79" t="str">
        <f>IF(ISERROR(FIND('112'!$M$9,G6166,1)),"",IF((AND(LEFT(G6166,2)=LEFT('112'!$M$9,2),B6166&lt;'112'!$K$9,$N6166='112'!$I$6)),"x",""))</f>
        <v/>
      </c>
      <c r="V6166" s="79" t="str">
        <f>IF(ISERROR(FIND('112'!$M$9,G6166,1)),"",IF((AND(RIGHT(G6166,2)=RIGHT('112'!$M$9,2),B6166&lt;'112'!$K$9,$O6166='112'!$I$6)),"x",""))</f>
        <v/>
      </c>
      <c r="W6166" s="79" t="str">
        <f>IF(AND('341-CT'!$H$9=H6166,OR(LEFT(N6166,3)=$W$7,LEFT(O6166,3)=$W$7)),"x","")</f>
        <v/>
      </c>
      <c r="X6166" s="79" t="str">
        <f>IF(OR(TH!N6166=TH!$X$7,O6166=TH!$X$7),"x","")</f>
        <v/>
      </c>
      <c r="Y6166" s="79" t="str">
        <f>IF(AND(OR(N6166="131",O6166="131"),H6166='131-CT'!$H$9),"x","")</f>
        <v/>
      </c>
      <c r="Z6166" s="79"/>
      <c r="AA6166" s="79" t="str">
        <f>IF(AND(MONTH(E6166)='IN-NX'!$J$5,'IN-NX'!$D$7=D6166),"x","")</f>
        <v/>
      </c>
      <c r="AB6166" s="79" t="str">
        <f>IF(AND(OR(LEFT(TH!N6166,2)="15",LEFT(TH!O6166,2)="15"),LEFT(TH!O6166,3)&lt;&gt;"111",'152-CT'!$J$8=TH!F6166),"x","")</f>
        <v/>
      </c>
      <c r="AC6166" s="79" t="str">
        <f>IF(AND(OR(LEFT(TH!N6166,2)="15",LEFT(TH!O6166,2)="15"),TK!$E$7=TH!F6166),"x","")</f>
        <v/>
      </c>
      <c r="AD6166" s="79" t="str">
        <f>IF(AND(N6166="1521",MONTH(C6166)='BK-NL'!$M$11),"x","")</f>
        <v/>
      </c>
    </row>
    <row r="6167" spans="1:30" ht="16.5" customHeight="1">
      <c r="A6167" s="318" t="str">
        <f>IF(B6167&lt;&gt;"",IF(AND(B6167='IN-TC'!$S$4,OR(TH!N6167="1111",TH!O6167="1111")),TH!D6167,""),"")</f>
        <v/>
      </c>
      <c r="B6167" s="60" t="str">
        <f t="shared" si="517"/>
        <v/>
      </c>
      <c r="C6167" s="61"/>
      <c r="D6167" s="61"/>
      <c r="E6167" s="61"/>
      <c r="F6167" s="69"/>
      <c r="G6167" s="64"/>
      <c r="H6167" s="69"/>
      <c r="I6167" s="387"/>
      <c r="J6167" s="394"/>
      <c r="K6167" s="387"/>
      <c r="L6167" s="394"/>
      <c r="M6167" s="62"/>
      <c r="N6167" s="63"/>
      <c r="O6167" s="63"/>
      <c r="P6167" s="79" t="str">
        <f>IF(AND('331-CT'!$E$7=TH!H6167,OR(N6167="331",O6167="331")),"x","")</f>
        <v/>
      </c>
      <c r="Q6167" s="79" t="str">
        <f>IF(AND(B6167='111'!$L$11,OR($N6167=$Q$7,$O6167=$Q$7)),"x","")</f>
        <v/>
      </c>
      <c r="R6167" s="79" t="str">
        <f>IF(AND($N6167=$Q$7,$B6167&lt;'111'!$L$11),"x","")</f>
        <v/>
      </c>
      <c r="S6167" s="79" t="str">
        <f>IF(AND($O6167=$Q$7,$B6167&lt;'111'!$L$11),"x","")</f>
        <v/>
      </c>
      <c r="T6167" s="79" t="str">
        <f>IF(ISERROR(FIND('112'!$M$9,G6167,1)),"",IF((AND(FIND('112'!$M$9,G6167,1)&gt;=1,B6167='112'!$K$9,OR($N6167='112'!$I$6,$O6167='112'!$I$6))),"x",""))</f>
        <v/>
      </c>
      <c r="U6167" s="79" t="str">
        <f>IF(ISERROR(FIND('112'!$M$9,G6167,1)),"",IF((AND(LEFT(G6167,2)=LEFT('112'!$M$9,2),B6167&lt;'112'!$K$9,$N6167='112'!$I$6)),"x",""))</f>
        <v/>
      </c>
      <c r="V6167" s="79" t="str">
        <f>IF(ISERROR(FIND('112'!$M$9,G6167,1)),"",IF((AND(RIGHT(G6167,2)=RIGHT('112'!$M$9,2),B6167&lt;'112'!$K$9,$O6167='112'!$I$6)),"x",""))</f>
        <v/>
      </c>
      <c r="W6167" s="79" t="str">
        <f>IF(AND('341-CT'!$H$9=H6167,OR(LEFT(N6167,3)=$W$7,LEFT(O6167,3)=$W$7)),"x","")</f>
        <v/>
      </c>
      <c r="X6167" s="79" t="str">
        <f>IF(OR(TH!N6167=TH!$X$7,O6167=TH!$X$7),"x","")</f>
        <v/>
      </c>
      <c r="Y6167" s="79" t="str">
        <f>IF(AND(OR(N6167="131",O6167="131"),H6167='131-CT'!$H$9),"x","")</f>
        <v/>
      </c>
      <c r="Z6167" s="79"/>
      <c r="AA6167" s="79" t="str">
        <f>IF(AND(MONTH(E6167)='IN-NX'!$J$5,'IN-NX'!$D$7=D6167),"x","")</f>
        <v/>
      </c>
      <c r="AB6167" s="79" t="str">
        <f>IF(AND(OR(LEFT(TH!N6167,2)="15",LEFT(TH!O6167,2)="15"),LEFT(TH!O6167,3)&lt;&gt;"111",'152-CT'!$J$8=TH!F6167),"x","")</f>
        <v/>
      </c>
      <c r="AC6167" s="79" t="str">
        <f>IF(AND(OR(LEFT(TH!N6167,2)="15",LEFT(TH!O6167,2)="15"),TK!$E$7=TH!F6167),"x","")</f>
        <v/>
      </c>
      <c r="AD6167" s="79" t="str">
        <f>IF(AND(N6167="1521",MONTH(C6167)='BK-NL'!$M$11),"x","")</f>
        <v/>
      </c>
    </row>
    <row r="6168" spans="1:30" ht="16.5" customHeight="1">
      <c r="A6168" s="318" t="str">
        <f>IF(B6168&lt;&gt;"",IF(AND(B6168='IN-TC'!$S$4,OR(TH!N6168="1111",TH!O6168="1111")),TH!D6168,""),"")</f>
        <v/>
      </c>
      <c r="B6168" s="60" t="str">
        <f t="shared" si="517"/>
        <v/>
      </c>
      <c r="C6168" s="61"/>
      <c r="D6168" s="61"/>
      <c r="E6168" s="61"/>
      <c r="F6168" s="69"/>
      <c r="G6168" s="64"/>
      <c r="H6168" s="69"/>
      <c r="I6168" s="385"/>
      <c r="J6168" s="392"/>
      <c r="K6168" s="385"/>
      <c r="L6168" s="392"/>
      <c r="M6168" s="62"/>
      <c r="N6168" s="63"/>
      <c r="O6168" s="63"/>
      <c r="P6168" s="79" t="str">
        <f>IF(AND('331-CT'!$E$7=TH!H6168,OR(N6168="331",O6168="331")),"x","")</f>
        <v/>
      </c>
      <c r="Q6168" s="79" t="str">
        <f>IF(AND(B6168='111'!$L$11,OR($N6168=$Q$7,$O6168=$Q$7)),"x","")</f>
        <v/>
      </c>
      <c r="R6168" s="79" t="str">
        <f>IF(AND($N6168=$Q$7,$B6168&lt;'111'!$L$11),"x","")</f>
        <v/>
      </c>
      <c r="S6168" s="79" t="str">
        <f>IF(AND($O6168=$Q$7,$B6168&lt;'111'!$L$11),"x","")</f>
        <v/>
      </c>
      <c r="T6168" s="79" t="str">
        <f>IF(ISERROR(FIND('112'!$M$9,G6168,1)),"",IF((AND(FIND('112'!$M$9,G6168,1)&gt;=1,B6168='112'!$K$9,OR($N6168='112'!$I$6,$O6168='112'!$I$6))),"x",""))</f>
        <v/>
      </c>
      <c r="U6168" s="79" t="str">
        <f>IF(ISERROR(FIND('112'!$M$9,G6168,1)),"",IF((AND(LEFT(G6168,2)=LEFT('112'!$M$9,2),B6168&lt;'112'!$K$9,$N6168='112'!$I$6)),"x",""))</f>
        <v/>
      </c>
      <c r="V6168" s="79" t="str">
        <f>IF(ISERROR(FIND('112'!$M$9,G6168,1)),"",IF((AND(RIGHT(G6168,2)=RIGHT('112'!$M$9,2),B6168&lt;'112'!$K$9,$O6168='112'!$I$6)),"x",""))</f>
        <v/>
      </c>
      <c r="W6168" s="79" t="str">
        <f>IF(AND('341-CT'!$H$9=H6168,OR(LEFT(N6168,3)=$W$7,LEFT(O6168,3)=$W$7)),"x","")</f>
        <v/>
      </c>
      <c r="X6168" s="79" t="str">
        <f>IF(OR(TH!N6168=TH!$X$7,O6168=TH!$X$7),"x","")</f>
        <v/>
      </c>
      <c r="Y6168" s="79" t="str">
        <f>IF(AND(OR(N6168="131",O6168="131"),H6168='131-CT'!$H$9),"x","")</f>
        <v/>
      </c>
      <c r="Z6168" s="79"/>
      <c r="AA6168" s="79" t="str">
        <f>IF(AND(MONTH(E6168)='IN-NX'!$J$5,'IN-NX'!$D$7=D6168),"x","")</f>
        <v/>
      </c>
      <c r="AB6168" s="79" t="str">
        <f>IF(AND(OR(LEFT(TH!N6168,2)="15",LEFT(TH!O6168,2)="15"),LEFT(TH!O6168,3)&lt;&gt;"111",'152-CT'!$J$8=TH!F6168),"x","")</f>
        <v/>
      </c>
      <c r="AC6168" s="79" t="str">
        <f>IF(AND(OR(LEFT(TH!N6168,2)="15",LEFT(TH!O6168,2)="15"),TK!$E$7=TH!F6168),"x","")</f>
        <v/>
      </c>
      <c r="AD6168" s="79" t="str">
        <f>IF(AND(N6168="1521",MONTH(C6168)='BK-NL'!$M$11),"x","")</f>
        <v/>
      </c>
    </row>
    <row r="6169" spans="1:30" ht="16.5" customHeight="1">
      <c r="A6169" s="318" t="str">
        <f>IF(B6169&lt;&gt;"",IF(AND(B6169='IN-TC'!$S$4,OR(TH!N6169="1111",TH!O6169="1111")),TH!D6169,""),"")</f>
        <v/>
      </c>
      <c r="B6169" s="60" t="str">
        <f t="shared" si="517"/>
        <v/>
      </c>
      <c r="C6169" s="61"/>
      <c r="D6169" s="61"/>
      <c r="E6169" s="61"/>
      <c r="F6169" s="69"/>
      <c r="G6169" s="64"/>
      <c r="H6169" s="69"/>
      <c r="I6169" s="387"/>
      <c r="J6169" s="394"/>
      <c r="K6169" s="387"/>
      <c r="L6169" s="394"/>
      <c r="M6169" s="62"/>
      <c r="N6169" s="63"/>
      <c r="O6169" s="63"/>
      <c r="P6169" s="79" t="str">
        <f>IF(AND('331-CT'!$E$7=TH!H6169,OR(N6169="331",O6169="331")),"x","")</f>
        <v/>
      </c>
      <c r="Q6169" s="79" t="str">
        <f>IF(AND(B6169='111'!$L$11,OR($N6169=$Q$7,$O6169=$Q$7)),"x","")</f>
        <v/>
      </c>
      <c r="R6169" s="79" t="str">
        <f>IF(AND($N6169=$Q$7,$B6169&lt;'111'!$L$11),"x","")</f>
        <v/>
      </c>
      <c r="S6169" s="79" t="str">
        <f>IF(AND($O6169=$Q$7,$B6169&lt;'111'!$L$11),"x","")</f>
        <v/>
      </c>
      <c r="T6169" s="79" t="str">
        <f>IF(ISERROR(FIND('112'!$M$9,G6169,1)),"",IF((AND(FIND('112'!$M$9,G6169,1)&gt;=1,B6169='112'!$K$9,OR($N6169='112'!$I$6,$O6169='112'!$I$6))),"x",""))</f>
        <v/>
      </c>
      <c r="U6169" s="79" t="str">
        <f>IF(ISERROR(FIND('112'!$M$9,G6169,1)),"",IF((AND(LEFT(G6169,2)=LEFT('112'!$M$9,2),B6169&lt;'112'!$K$9,$N6169='112'!$I$6)),"x",""))</f>
        <v/>
      </c>
      <c r="V6169" s="79" t="str">
        <f>IF(ISERROR(FIND('112'!$M$9,G6169,1)),"",IF((AND(RIGHT(G6169,2)=RIGHT('112'!$M$9,2),B6169&lt;'112'!$K$9,$O6169='112'!$I$6)),"x",""))</f>
        <v/>
      </c>
      <c r="W6169" s="79" t="str">
        <f>IF(AND('341-CT'!$H$9=H6169,OR(LEFT(N6169,3)=$W$7,LEFT(O6169,3)=$W$7)),"x","")</f>
        <v/>
      </c>
      <c r="X6169" s="79" t="str">
        <f>IF(OR(TH!N6169=TH!$X$7,O6169=TH!$X$7),"x","")</f>
        <v/>
      </c>
      <c r="Y6169" s="79" t="str">
        <f>IF(AND(OR(N6169="131",O6169="131"),H6169='131-CT'!$H$9),"x","")</f>
        <v/>
      </c>
      <c r="Z6169" s="79"/>
      <c r="AA6169" s="79" t="str">
        <f>IF(AND(MONTH(E6169)='IN-NX'!$J$5,'IN-NX'!$D$7=D6169),"x","")</f>
        <v/>
      </c>
      <c r="AB6169" s="79" t="str">
        <f>IF(AND(OR(LEFT(TH!N6169,2)="15",LEFT(TH!O6169,2)="15"),LEFT(TH!O6169,3)&lt;&gt;"111",'152-CT'!$J$8=TH!F6169),"x","")</f>
        <v/>
      </c>
      <c r="AC6169" s="79" t="str">
        <f>IF(AND(OR(LEFT(TH!N6169,2)="15",LEFT(TH!O6169,2)="15"),TK!$E$7=TH!F6169),"x","")</f>
        <v/>
      </c>
      <c r="AD6169" s="79" t="str">
        <f>IF(AND(N6169="1521",MONTH(C6169)='BK-NL'!$M$11),"x","")</f>
        <v/>
      </c>
    </row>
    <row r="6170" spans="1:30" ht="16.5" customHeight="1">
      <c r="A6170" s="318" t="str">
        <f>IF(B6170&lt;&gt;"",IF(AND(B6170='IN-TC'!$S$4,OR(TH!N6170="1111",TH!O6170="1111")),TH!D6170,""),"")</f>
        <v/>
      </c>
      <c r="B6170" s="60" t="str">
        <f t="shared" si="517"/>
        <v/>
      </c>
      <c r="C6170" s="61"/>
      <c r="D6170" s="61"/>
      <c r="E6170" s="61"/>
      <c r="F6170" s="69"/>
      <c r="G6170" s="64"/>
      <c r="H6170" s="69"/>
      <c r="I6170" s="385"/>
      <c r="J6170" s="392"/>
      <c r="K6170" s="385"/>
      <c r="L6170" s="392"/>
      <c r="M6170" s="62"/>
      <c r="N6170" s="63"/>
      <c r="O6170" s="63"/>
      <c r="P6170" s="79" t="str">
        <f>IF(AND('331-CT'!$E$7=TH!H6170,OR(N6170="331",O6170="331")),"x","")</f>
        <v/>
      </c>
      <c r="Q6170" s="79" t="str">
        <f>IF(AND(B6170='111'!$L$11,OR($N6170=$Q$7,$O6170=$Q$7)),"x","")</f>
        <v/>
      </c>
      <c r="R6170" s="79" t="str">
        <f>IF(AND($N6170=$Q$7,$B6170&lt;'111'!$L$11),"x","")</f>
        <v/>
      </c>
      <c r="S6170" s="79" t="str">
        <f>IF(AND($O6170=$Q$7,$B6170&lt;'111'!$L$11),"x","")</f>
        <v/>
      </c>
      <c r="T6170" s="79" t="str">
        <f>IF(ISERROR(FIND('112'!$M$9,G6170,1)),"",IF((AND(FIND('112'!$M$9,G6170,1)&gt;=1,B6170='112'!$K$9,OR($N6170='112'!$I$6,$O6170='112'!$I$6))),"x",""))</f>
        <v/>
      </c>
      <c r="U6170" s="79" t="str">
        <f>IF(ISERROR(FIND('112'!$M$9,G6170,1)),"",IF((AND(LEFT(G6170,2)=LEFT('112'!$M$9,2),B6170&lt;'112'!$K$9,$N6170='112'!$I$6)),"x",""))</f>
        <v/>
      </c>
      <c r="V6170" s="79" t="str">
        <f>IF(ISERROR(FIND('112'!$M$9,G6170,1)),"",IF((AND(RIGHT(G6170,2)=RIGHT('112'!$M$9,2),B6170&lt;'112'!$K$9,$O6170='112'!$I$6)),"x",""))</f>
        <v/>
      </c>
      <c r="W6170" s="79" t="str">
        <f>IF(AND('341-CT'!$H$9=H6170,OR(LEFT(N6170,3)=$W$7,LEFT(O6170,3)=$W$7)),"x","")</f>
        <v/>
      </c>
      <c r="X6170" s="79" t="str">
        <f>IF(OR(TH!N6170=TH!$X$7,O6170=TH!$X$7),"x","")</f>
        <v/>
      </c>
      <c r="Y6170" s="79" t="str">
        <f>IF(AND(OR(N6170="131",O6170="131"),H6170='131-CT'!$H$9),"x","")</f>
        <v/>
      </c>
      <c r="Z6170" s="79"/>
      <c r="AA6170" s="79" t="str">
        <f>IF(AND(MONTH(E6170)='IN-NX'!$J$5,'IN-NX'!$D$7=D6170),"x","")</f>
        <v/>
      </c>
      <c r="AB6170" s="79" t="str">
        <f>IF(AND(OR(LEFT(TH!N6170,2)="15",LEFT(TH!O6170,2)="15"),LEFT(TH!O6170,3)&lt;&gt;"111",'152-CT'!$J$8=TH!F6170),"x","")</f>
        <v/>
      </c>
      <c r="AC6170" s="79" t="str">
        <f>IF(AND(OR(LEFT(TH!N6170,2)="15",LEFT(TH!O6170,2)="15"),TK!$E$7=TH!F6170),"x","")</f>
        <v/>
      </c>
      <c r="AD6170" s="79" t="str">
        <f>IF(AND(N6170="1521",MONTH(C6170)='BK-NL'!$M$11),"x","")</f>
        <v/>
      </c>
    </row>
    <row r="6171" spans="1:30" ht="16.5" customHeight="1">
      <c r="A6171" s="318" t="str">
        <f>IF(B6171&lt;&gt;"",IF(AND(B6171='IN-TC'!$S$4,OR(TH!N6171="1111",TH!O6171="1111")),TH!D6171,""),"")</f>
        <v/>
      </c>
      <c r="B6171" s="60" t="str">
        <f t="shared" si="517"/>
        <v/>
      </c>
      <c r="C6171" s="61"/>
      <c r="D6171" s="61"/>
      <c r="E6171" s="61"/>
      <c r="F6171" s="69"/>
      <c r="G6171" s="64"/>
      <c r="H6171" s="69"/>
      <c r="I6171" s="385"/>
      <c r="J6171" s="392"/>
      <c r="K6171" s="385"/>
      <c r="L6171" s="392"/>
      <c r="M6171" s="62"/>
      <c r="N6171" s="63"/>
      <c r="O6171" s="63"/>
      <c r="P6171" s="79" t="str">
        <f>IF(AND('331-CT'!$E$7=TH!H6171,OR(N6171="331",O6171="331")),"x","")</f>
        <v/>
      </c>
      <c r="Q6171" s="79" t="str">
        <f>IF(AND(B6171='111'!$L$11,OR($N6171=$Q$7,$O6171=$Q$7)),"x","")</f>
        <v/>
      </c>
      <c r="R6171" s="79" t="str">
        <f>IF(AND($N6171=$Q$7,$B6171&lt;'111'!$L$11),"x","")</f>
        <v/>
      </c>
      <c r="S6171" s="79" t="str">
        <f>IF(AND($O6171=$Q$7,$B6171&lt;'111'!$L$11),"x","")</f>
        <v/>
      </c>
      <c r="T6171" s="79" t="str">
        <f>IF(ISERROR(FIND('112'!$M$9,G6171,1)),"",IF((AND(FIND('112'!$M$9,G6171,1)&gt;=1,B6171='112'!$K$9,OR($N6171='112'!$I$6,$O6171='112'!$I$6))),"x",""))</f>
        <v/>
      </c>
      <c r="U6171" s="79" t="str">
        <f>IF(ISERROR(FIND('112'!$M$9,G6171,1)),"",IF((AND(LEFT(G6171,2)=LEFT('112'!$M$9,2),B6171&lt;'112'!$K$9,$N6171='112'!$I$6)),"x",""))</f>
        <v/>
      </c>
      <c r="V6171" s="79" t="str">
        <f>IF(ISERROR(FIND('112'!$M$9,G6171,1)),"",IF((AND(RIGHT(G6171,2)=RIGHT('112'!$M$9,2),B6171&lt;'112'!$K$9,$O6171='112'!$I$6)),"x",""))</f>
        <v/>
      </c>
      <c r="W6171" s="79" t="str">
        <f>IF(AND('341-CT'!$H$9=H6171,OR(LEFT(N6171,3)=$W$7,LEFT(O6171,3)=$W$7)),"x","")</f>
        <v/>
      </c>
      <c r="X6171" s="79" t="str">
        <f>IF(OR(TH!N6171=TH!$X$7,O6171=TH!$X$7),"x","")</f>
        <v/>
      </c>
      <c r="Y6171" s="79" t="str">
        <f>IF(AND(OR(N6171="131",O6171="131"),H6171='131-CT'!$H$9),"x","")</f>
        <v/>
      </c>
      <c r="Z6171" s="79"/>
      <c r="AA6171" s="79" t="str">
        <f>IF(AND(MONTH(E6171)='IN-NX'!$J$5,'IN-NX'!$D$7=D6171),"x","")</f>
        <v/>
      </c>
      <c r="AB6171" s="79" t="str">
        <f>IF(AND(OR(LEFT(TH!N6171,2)="15",LEFT(TH!O6171,2)="15"),LEFT(TH!O6171,3)&lt;&gt;"111",'152-CT'!$J$8=TH!F6171),"x","")</f>
        <v/>
      </c>
      <c r="AC6171" s="79" t="str">
        <f>IF(AND(OR(LEFT(TH!N6171,2)="15",LEFT(TH!O6171,2)="15"),TK!$E$7=TH!F6171),"x","")</f>
        <v/>
      </c>
      <c r="AD6171" s="79" t="str">
        <f>IF(AND(N6171="1521",MONTH(C6171)='BK-NL'!$M$11),"x","")</f>
        <v/>
      </c>
    </row>
    <row r="6172" spans="1:30" ht="16.5" customHeight="1">
      <c r="A6172" s="318" t="str">
        <f>IF(B6172&lt;&gt;"",IF(AND(B6172='IN-TC'!$S$4,OR(TH!N6172="1111",TH!O6172="1111")),TH!D6172,""),"")</f>
        <v/>
      </c>
      <c r="B6172" s="60" t="str">
        <f t="shared" si="517"/>
        <v/>
      </c>
      <c r="C6172" s="61"/>
      <c r="D6172" s="61"/>
      <c r="E6172" s="61"/>
      <c r="F6172" s="69"/>
      <c r="G6172" s="64"/>
      <c r="H6172" s="69"/>
      <c r="I6172" s="385"/>
      <c r="J6172" s="392"/>
      <c r="K6172" s="385"/>
      <c r="L6172" s="392"/>
      <c r="M6172" s="62"/>
      <c r="N6172" s="63"/>
      <c r="O6172" s="63"/>
      <c r="P6172" s="79" t="str">
        <f>IF(AND('331-CT'!$E$7=TH!H6172,OR(N6172="331",O6172="331")),"x","")</f>
        <v/>
      </c>
      <c r="Q6172" s="79" t="str">
        <f>IF(AND(B6172='111'!$L$11,OR($N6172=$Q$7,$O6172=$Q$7)),"x","")</f>
        <v/>
      </c>
      <c r="R6172" s="79" t="str">
        <f>IF(AND($N6172=$Q$7,$B6172&lt;'111'!$L$11),"x","")</f>
        <v/>
      </c>
      <c r="S6172" s="79" t="str">
        <f>IF(AND($O6172=$Q$7,$B6172&lt;'111'!$L$11),"x","")</f>
        <v/>
      </c>
      <c r="T6172" s="79" t="str">
        <f>IF(ISERROR(FIND('112'!$M$9,G6172,1)),"",IF((AND(FIND('112'!$M$9,G6172,1)&gt;=1,B6172='112'!$K$9,OR($N6172='112'!$I$6,$O6172='112'!$I$6))),"x",""))</f>
        <v/>
      </c>
      <c r="U6172" s="79" t="str">
        <f>IF(ISERROR(FIND('112'!$M$9,G6172,1)),"",IF((AND(LEFT(G6172,2)=LEFT('112'!$M$9,2),B6172&lt;'112'!$K$9,$N6172='112'!$I$6)),"x",""))</f>
        <v/>
      </c>
      <c r="V6172" s="79" t="str">
        <f>IF(ISERROR(FIND('112'!$M$9,G6172,1)),"",IF((AND(RIGHT(G6172,2)=RIGHT('112'!$M$9,2),B6172&lt;'112'!$K$9,$O6172='112'!$I$6)),"x",""))</f>
        <v/>
      </c>
      <c r="W6172" s="79" t="str">
        <f>IF(AND('341-CT'!$H$9=H6172,OR(LEFT(N6172,3)=$W$7,LEFT(O6172,3)=$W$7)),"x","")</f>
        <v/>
      </c>
      <c r="X6172" s="79" t="str">
        <f>IF(OR(TH!N6172=TH!$X$7,O6172=TH!$X$7),"x","")</f>
        <v/>
      </c>
      <c r="Y6172" s="79" t="str">
        <f>IF(AND(OR(N6172="131",O6172="131"),H6172='131-CT'!$H$9),"x","")</f>
        <v/>
      </c>
      <c r="Z6172" s="79"/>
      <c r="AA6172" s="79" t="str">
        <f>IF(AND(MONTH(E6172)='IN-NX'!$J$5,'IN-NX'!$D$7=D6172),"x","")</f>
        <v/>
      </c>
      <c r="AB6172" s="79" t="str">
        <f>IF(AND(OR(LEFT(TH!N6172,2)="15",LEFT(TH!O6172,2)="15"),LEFT(TH!O6172,3)&lt;&gt;"111",'152-CT'!$J$8=TH!F6172),"x","")</f>
        <v/>
      </c>
      <c r="AC6172" s="79" t="str">
        <f>IF(AND(OR(LEFT(TH!N6172,2)="15",LEFT(TH!O6172,2)="15"),TK!$E$7=TH!F6172),"x","")</f>
        <v/>
      </c>
      <c r="AD6172" s="79" t="str">
        <f>IF(AND(N6172="1521",MONTH(C6172)='BK-NL'!$M$11),"x","")</f>
        <v/>
      </c>
    </row>
    <row r="6173" spans="1:30" ht="16.5" customHeight="1">
      <c r="A6173" s="318" t="str">
        <f>IF(B6173&lt;&gt;"",IF(AND(B6173='IN-TC'!$S$4,OR(TH!N6173="1111",TH!O6173="1111")),TH!D6173,""),"")</f>
        <v/>
      </c>
      <c r="B6173" s="60" t="str">
        <f t="shared" si="517"/>
        <v/>
      </c>
      <c r="C6173" s="61"/>
      <c r="D6173" s="61"/>
      <c r="E6173" s="61"/>
      <c r="F6173" s="69"/>
      <c r="G6173" s="64"/>
      <c r="H6173" s="69"/>
      <c r="I6173" s="385"/>
      <c r="J6173" s="392"/>
      <c r="K6173" s="385"/>
      <c r="L6173" s="392"/>
      <c r="M6173" s="62"/>
      <c r="N6173" s="63"/>
      <c r="O6173" s="63"/>
      <c r="P6173" s="79" t="str">
        <f>IF(AND('331-CT'!$E$7=TH!H6173,OR(N6173="331",O6173="331")),"x","")</f>
        <v/>
      </c>
      <c r="Q6173" s="79" t="str">
        <f>IF(AND(B6173='111'!$L$11,OR($N6173=$Q$7,$O6173=$Q$7)),"x","")</f>
        <v/>
      </c>
      <c r="R6173" s="79" t="str">
        <f>IF(AND($N6173=$Q$7,$B6173&lt;'111'!$L$11),"x","")</f>
        <v/>
      </c>
      <c r="S6173" s="79" t="str">
        <f>IF(AND($O6173=$Q$7,$B6173&lt;'111'!$L$11),"x","")</f>
        <v/>
      </c>
      <c r="T6173" s="79" t="str">
        <f>IF(ISERROR(FIND('112'!$M$9,G6173,1)),"",IF((AND(FIND('112'!$M$9,G6173,1)&gt;=1,B6173='112'!$K$9,OR($N6173='112'!$I$6,$O6173='112'!$I$6))),"x",""))</f>
        <v/>
      </c>
      <c r="U6173" s="79" t="str">
        <f>IF(ISERROR(FIND('112'!$M$9,G6173,1)),"",IF((AND(LEFT(G6173,2)=LEFT('112'!$M$9,2),B6173&lt;'112'!$K$9,$N6173='112'!$I$6)),"x",""))</f>
        <v/>
      </c>
      <c r="V6173" s="79" t="str">
        <f>IF(ISERROR(FIND('112'!$M$9,G6173,1)),"",IF((AND(RIGHT(G6173,2)=RIGHT('112'!$M$9,2),B6173&lt;'112'!$K$9,$O6173='112'!$I$6)),"x",""))</f>
        <v/>
      </c>
      <c r="W6173" s="79" t="str">
        <f>IF(AND('341-CT'!$H$9=H6173,OR(LEFT(N6173,3)=$W$7,LEFT(O6173,3)=$W$7)),"x","")</f>
        <v/>
      </c>
      <c r="X6173" s="79" t="str">
        <f>IF(OR(TH!N6173=TH!$X$7,O6173=TH!$X$7),"x","")</f>
        <v/>
      </c>
      <c r="Y6173" s="79" t="str">
        <f>IF(AND(OR(N6173="131",O6173="131"),H6173='131-CT'!$H$9),"x","")</f>
        <v/>
      </c>
      <c r="Z6173" s="79"/>
      <c r="AA6173" s="79" t="str">
        <f>IF(AND(MONTH(E6173)='IN-NX'!$J$5,'IN-NX'!$D$7=D6173),"x","")</f>
        <v/>
      </c>
      <c r="AB6173" s="79" t="str">
        <f>IF(AND(OR(LEFT(TH!N6173,2)="15",LEFT(TH!O6173,2)="15"),LEFT(TH!O6173,3)&lt;&gt;"111",'152-CT'!$J$8=TH!F6173),"x","")</f>
        <v/>
      </c>
      <c r="AC6173" s="79" t="str">
        <f>IF(AND(OR(LEFT(TH!N6173,2)="15",LEFT(TH!O6173,2)="15"),TK!$E$7=TH!F6173),"x","")</f>
        <v/>
      </c>
      <c r="AD6173" s="79" t="str">
        <f>IF(AND(N6173="1521",MONTH(C6173)='BK-NL'!$M$11),"x","")</f>
        <v/>
      </c>
    </row>
    <row r="6174" spans="1:30" ht="16.5" customHeight="1">
      <c r="A6174" s="318" t="str">
        <f>IF(B6174&lt;&gt;"",IF(AND(B6174='IN-TC'!$S$4,OR(TH!N6174="1111",TH!O6174="1111")),TH!D6174,""),"")</f>
        <v/>
      </c>
      <c r="B6174" s="60" t="str">
        <f t="shared" si="517"/>
        <v/>
      </c>
      <c r="C6174" s="61"/>
      <c r="D6174" s="61"/>
      <c r="E6174" s="61"/>
      <c r="F6174" s="69"/>
      <c r="G6174" s="64"/>
      <c r="H6174" s="70"/>
      <c r="I6174" s="387"/>
      <c r="J6174" s="394"/>
      <c r="K6174" s="387"/>
      <c r="L6174" s="394"/>
      <c r="M6174" s="62"/>
      <c r="N6174" s="63"/>
      <c r="O6174" s="63"/>
      <c r="P6174" s="79" t="str">
        <f>IF(AND('331-CT'!$E$7=TH!H6174,OR(N6174="331",O6174="331")),"x","")</f>
        <v/>
      </c>
      <c r="Q6174" s="79" t="str">
        <f>IF(AND(B6174='111'!$L$11,OR($N6174=$Q$7,$O6174=$Q$7)),"x","")</f>
        <v/>
      </c>
      <c r="R6174" s="79" t="str">
        <f>IF(AND($N6174=$Q$7,$B6174&lt;'111'!$L$11),"x","")</f>
        <v/>
      </c>
      <c r="S6174" s="79" t="str">
        <f>IF(AND($O6174=$Q$7,$B6174&lt;'111'!$L$11),"x","")</f>
        <v/>
      </c>
      <c r="T6174" s="79" t="str">
        <f>IF(ISERROR(FIND('112'!$M$9,G6174,1)),"",IF((AND(FIND('112'!$M$9,G6174,1)&gt;=1,B6174='112'!$K$9,OR($N6174='112'!$I$6,$O6174='112'!$I$6))),"x",""))</f>
        <v/>
      </c>
      <c r="U6174" s="79" t="str">
        <f>IF(ISERROR(FIND('112'!$M$9,G6174,1)),"",IF((AND(LEFT(G6174,2)=LEFT('112'!$M$9,2),B6174&lt;'112'!$K$9,$N6174='112'!$I$6)),"x",""))</f>
        <v/>
      </c>
      <c r="V6174" s="79" t="str">
        <f>IF(ISERROR(FIND('112'!$M$9,G6174,1)),"",IF((AND(RIGHT(G6174,2)=RIGHT('112'!$M$9,2),B6174&lt;'112'!$K$9,$O6174='112'!$I$6)),"x",""))</f>
        <v/>
      </c>
      <c r="W6174" s="79" t="str">
        <f>IF(AND('341-CT'!$H$9=H6174,OR(LEFT(N6174,3)=$W$7,LEFT(O6174,3)=$W$7)),"x","")</f>
        <v/>
      </c>
      <c r="X6174" s="79" t="str">
        <f>IF(OR(TH!N6174=TH!$X$7,O6174=TH!$X$7),"x","")</f>
        <v/>
      </c>
      <c r="Y6174" s="79" t="str">
        <f>IF(AND(OR(N6174="131",O6174="131"),H6174='131-CT'!$H$9),"x","")</f>
        <v/>
      </c>
      <c r="Z6174" s="79"/>
      <c r="AA6174" s="79" t="str">
        <f>IF(AND(MONTH(E6174)='IN-NX'!$J$5,'IN-NX'!$D$7=D6174),"x","")</f>
        <v/>
      </c>
      <c r="AB6174" s="79" t="str">
        <f>IF(AND(OR(LEFT(TH!N6174,2)="15",LEFT(TH!O6174,2)="15"),LEFT(TH!O6174,3)&lt;&gt;"111",'152-CT'!$J$8=TH!F6174),"x","")</f>
        <v/>
      </c>
      <c r="AC6174" s="79" t="str">
        <f>IF(AND(OR(LEFT(TH!N6174,2)="15",LEFT(TH!O6174,2)="15"),TK!$E$7=TH!F6174),"x","")</f>
        <v/>
      </c>
      <c r="AD6174" s="79" t="str">
        <f>IF(AND(N6174="1521",MONTH(C6174)='BK-NL'!$M$11),"x","")</f>
        <v/>
      </c>
    </row>
    <row r="6175" spans="1:30" ht="16.5" customHeight="1">
      <c r="A6175" s="318" t="str">
        <f>IF(B6175&lt;&gt;"",IF(AND(B6175='IN-TC'!$S$4,OR(TH!N6175="1111",TH!O6175="1111")),TH!D6175,""),"")</f>
        <v/>
      </c>
      <c r="B6175" s="60" t="str">
        <f t="shared" si="517"/>
        <v/>
      </c>
      <c r="C6175" s="61"/>
      <c r="D6175" s="61"/>
      <c r="E6175" s="61"/>
      <c r="F6175" s="69"/>
      <c r="G6175" s="64"/>
      <c r="H6175" s="69"/>
      <c r="I6175" s="385"/>
      <c r="J6175" s="392"/>
      <c r="K6175" s="385"/>
      <c r="L6175" s="392"/>
      <c r="M6175" s="62"/>
      <c r="N6175" s="63"/>
      <c r="O6175" s="63"/>
      <c r="P6175" s="79" t="str">
        <f>IF(AND('331-CT'!$E$7=TH!H6175,OR(N6175="331",O6175="331")),"x","")</f>
        <v/>
      </c>
      <c r="Q6175" s="79" t="str">
        <f>IF(AND(B6175='111'!$L$11,OR($N6175=$Q$7,$O6175=$Q$7)),"x","")</f>
        <v/>
      </c>
      <c r="R6175" s="79" t="str">
        <f>IF(AND($N6175=$Q$7,$B6175&lt;'111'!$L$11),"x","")</f>
        <v/>
      </c>
      <c r="S6175" s="79" t="str">
        <f>IF(AND($O6175=$Q$7,$B6175&lt;'111'!$L$11),"x","")</f>
        <v/>
      </c>
      <c r="T6175" s="79" t="str">
        <f>IF(ISERROR(FIND('112'!$M$9,G6175,1)),"",IF((AND(FIND('112'!$M$9,G6175,1)&gt;=1,B6175='112'!$K$9,OR($N6175='112'!$I$6,$O6175='112'!$I$6))),"x",""))</f>
        <v/>
      </c>
      <c r="U6175" s="79" t="str">
        <f>IF(ISERROR(FIND('112'!$M$9,G6175,1)),"",IF((AND(LEFT(G6175,2)=LEFT('112'!$M$9,2),B6175&lt;'112'!$K$9,$N6175='112'!$I$6)),"x",""))</f>
        <v/>
      </c>
      <c r="V6175" s="79" t="str">
        <f>IF(ISERROR(FIND('112'!$M$9,G6175,1)),"",IF((AND(RIGHT(G6175,2)=RIGHT('112'!$M$9,2),B6175&lt;'112'!$K$9,$O6175='112'!$I$6)),"x",""))</f>
        <v/>
      </c>
      <c r="W6175" s="79" t="str">
        <f>IF(AND('341-CT'!$H$9=H6175,OR(LEFT(N6175,3)=$W$7,LEFT(O6175,3)=$W$7)),"x","")</f>
        <v/>
      </c>
      <c r="X6175" s="79" t="str">
        <f>IF(OR(TH!N6175=TH!$X$7,O6175=TH!$X$7),"x","")</f>
        <v/>
      </c>
      <c r="Y6175" s="79" t="str">
        <f>IF(AND(OR(N6175="131",O6175="131"),H6175='131-CT'!$H$9),"x","")</f>
        <v/>
      </c>
      <c r="Z6175" s="79"/>
      <c r="AA6175" s="79" t="str">
        <f>IF(AND(MONTH(E6175)='IN-NX'!$J$5,'IN-NX'!$D$7=D6175),"x","")</f>
        <v/>
      </c>
      <c r="AB6175" s="79" t="str">
        <f>IF(AND(OR(LEFT(TH!N6175,2)="15",LEFT(TH!O6175,2)="15"),LEFT(TH!O6175,3)&lt;&gt;"111",'152-CT'!$J$8=TH!F6175),"x","")</f>
        <v/>
      </c>
      <c r="AC6175" s="79" t="str">
        <f>IF(AND(OR(LEFT(TH!N6175,2)="15",LEFT(TH!O6175,2)="15"),TK!$E$7=TH!F6175),"x","")</f>
        <v/>
      </c>
      <c r="AD6175" s="79" t="str">
        <f>IF(AND(N6175="1521",MONTH(C6175)='BK-NL'!$M$11),"x","")</f>
        <v/>
      </c>
    </row>
    <row r="6176" spans="1:30" ht="16.5" customHeight="1">
      <c r="A6176" s="318" t="str">
        <f>IF(B6176&lt;&gt;"",IF(AND(B6176='IN-TC'!$S$4,OR(TH!N6176="1111",TH!O6176="1111")),TH!D6176,""),"")</f>
        <v/>
      </c>
      <c r="B6176" s="60" t="str">
        <f t="shared" si="517"/>
        <v/>
      </c>
      <c r="C6176" s="61"/>
      <c r="D6176" s="61"/>
      <c r="E6176" s="61"/>
      <c r="F6176" s="69"/>
      <c r="G6176" s="64"/>
      <c r="H6176" s="69"/>
      <c r="I6176" s="385"/>
      <c r="J6176" s="392"/>
      <c r="K6176" s="385"/>
      <c r="L6176" s="392"/>
      <c r="M6176" s="62"/>
      <c r="N6176" s="63"/>
      <c r="O6176" s="63"/>
      <c r="P6176" s="79" t="str">
        <f>IF(AND('331-CT'!$E$7=TH!H6176,OR(N6176="331",O6176="331")),"x","")</f>
        <v/>
      </c>
      <c r="Q6176" s="79" t="str">
        <f>IF(AND(B6176='111'!$L$11,OR($N6176=$Q$7,$O6176=$Q$7)),"x","")</f>
        <v/>
      </c>
      <c r="R6176" s="79" t="str">
        <f>IF(AND($N6176=$Q$7,$B6176&lt;'111'!$L$11),"x","")</f>
        <v/>
      </c>
      <c r="S6176" s="79" t="str">
        <f>IF(AND($O6176=$Q$7,$B6176&lt;'111'!$L$11),"x","")</f>
        <v/>
      </c>
      <c r="T6176" s="79" t="str">
        <f>IF(ISERROR(FIND('112'!$M$9,G6176,1)),"",IF((AND(FIND('112'!$M$9,G6176,1)&gt;=1,B6176='112'!$K$9,OR($N6176='112'!$I$6,$O6176='112'!$I$6))),"x",""))</f>
        <v/>
      </c>
      <c r="U6176" s="79" t="str">
        <f>IF(ISERROR(FIND('112'!$M$9,G6176,1)),"",IF((AND(LEFT(G6176,2)=LEFT('112'!$M$9,2),B6176&lt;'112'!$K$9,$N6176='112'!$I$6)),"x",""))</f>
        <v/>
      </c>
      <c r="V6176" s="79" t="str">
        <f>IF(ISERROR(FIND('112'!$M$9,G6176,1)),"",IF((AND(RIGHT(G6176,2)=RIGHT('112'!$M$9,2),B6176&lt;'112'!$K$9,$O6176='112'!$I$6)),"x",""))</f>
        <v/>
      </c>
      <c r="W6176" s="79" t="str">
        <f>IF(AND('341-CT'!$H$9=H6176,OR(LEFT(N6176,3)=$W$7,LEFT(O6176,3)=$W$7)),"x","")</f>
        <v/>
      </c>
      <c r="X6176" s="79" t="str">
        <f>IF(OR(TH!N6176=TH!$X$7,O6176=TH!$X$7),"x","")</f>
        <v/>
      </c>
      <c r="Y6176" s="79" t="str">
        <f>IF(AND(OR(N6176="131",O6176="131"),H6176='131-CT'!$H$9),"x","")</f>
        <v/>
      </c>
      <c r="Z6176" s="79"/>
      <c r="AA6176" s="79" t="str">
        <f>IF(AND(MONTH(E6176)='IN-NX'!$J$5,'IN-NX'!$D$7=D6176),"x","")</f>
        <v/>
      </c>
      <c r="AB6176" s="79" t="str">
        <f>IF(AND(OR(LEFT(TH!N6176,2)="15",LEFT(TH!O6176,2)="15"),LEFT(TH!O6176,3)&lt;&gt;"111",'152-CT'!$J$8=TH!F6176),"x","")</f>
        <v/>
      </c>
      <c r="AC6176" s="79" t="str">
        <f>IF(AND(OR(LEFT(TH!N6176,2)="15",LEFT(TH!O6176,2)="15"),TK!$E$7=TH!F6176),"x","")</f>
        <v/>
      </c>
      <c r="AD6176" s="79" t="str">
        <f>IF(AND(N6176="1521",MONTH(C6176)='BK-NL'!$M$11),"x","")</f>
        <v/>
      </c>
    </row>
    <row r="6177" spans="1:30" ht="16.5" customHeight="1">
      <c r="A6177" s="318" t="str">
        <f>IF(B6177&lt;&gt;"",IF(AND(B6177='IN-TC'!$S$4,OR(TH!N6177="1111",TH!O6177="1111")),TH!D6177,""),"")</f>
        <v/>
      </c>
      <c r="B6177" s="60" t="str">
        <f t="shared" si="517"/>
        <v/>
      </c>
      <c r="C6177" s="61"/>
      <c r="D6177" s="61"/>
      <c r="E6177" s="61"/>
      <c r="F6177" s="69"/>
      <c r="G6177" s="64"/>
      <c r="H6177" s="69"/>
      <c r="I6177" s="385"/>
      <c r="J6177" s="392"/>
      <c r="K6177" s="385"/>
      <c r="L6177" s="392"/>
      <c r="M6177" s="62"/>
      <c r="N6177" s="63"/>
      <c r="O6177" s="63"/>
      <c r="P6177" s="79" t="str">
        <f>IF(AND('331-CT'!$E$7=TH!H6177,OR(N6177="331",O6177="331")),"x","")</f>
        <v/>
      </c>
      <c r="Q6177" s="79" t="str">
        <f>IF(AND(B6177='111'!$L$11,OR($N6177=$Q$7,$O6177=$Q$7)),"x","")</f>
        <v/>
      </c>
      <c r="R6177" s="79" t="str">
        <f>IF(AND($N6177=$Q$7,$B6177&lt;'111'!$L$11),"x","")</f>
        <v/>
      </c>
      <c r="S6177" s="79" t="str">
        <f>IF(AND($O6177=$Q$7,$B6177&lt;'111'!$L$11),"x","")</f>
        <v/>
      </c>
      <c r="T6177" s="79" t="str">
        <f>IF(ISERROR(FIND('112'!$M$9,G6177,1)),"",IF((AND(FIND('112'!$M$9,G6177,1)&gt;=1,B6177='112'!$K$9,OR($N6177='112'!$I$6,$O6177='112'!$I$6))),"x",""))</f>
        <v/>
      </c>
      <c r="U6177" s="79" t="str">
        <f>IF(ISERROR(FIND('112'!$M$9,G6177,1)),"",IF((AND(LEFT(G6177,2)=LEFT('112'!$M$9,2),B6177&lt;'112'!$K$9,$N6177='112'!$I$6)),"x",""))</f>
        <v/>
      </c>
      <c r="V6177" s="79" t="str">
        <f>IF(ISERROR(FIND('112'!$M$9,G6177,1)),"",IF((AND(RIGHT(G6177,2)=RIGHT('112'!$M$9,2),B6177&lt;'112'!$K$9,$O6177='112'!$I$6)),"x",""))</f>
        <v/>
      </c>
      <c r="W6177" s="79" t="str">
        <f>IF(AND('341-CT'!$H$9=H6177,OR(LEFT(N6177,3)=$W$7,LEFT(O6177,3)=$W$7)),"x","")</f>
        <v/>
      </c>
      <c r="X6177" s="79" t="str">
        <f>IF(OR(TH!N6177=TH!$X$7,O6177=TH!$X$7),"x","")</f>
        <v/>
      </c>
      <c r="Y6177" s="79" t="str">
        <f>IF(AND(OR(N6177="131",O6177="131"),H6177='131-CT'!$H$9),"x","")</f>
        <v/>
      </c>
      <c r="Z6177" s="79"/>
      <c r="AA6177" s="79" t="str">
        <f>IF(AND(MONTH(E6177)='IN-NX'!$J$5,'IN-NX'!$D$7=D6177),"x","")</f>
        <v/>
      </c>
      <c r="AB6177" s="79" t="str">
        <f>IF(AND(OR(LEFT(TH!N6177,2)="15",LEFT(TH!O6177,2)="15"),LEFT(TH!O6177,3)&lt;&gt;"111",'152-CT'!$J$8=TH!F6177),"x","")</f>
        <v/>
      </c>
      <c r="AC6177" s="79" t="str">
        <f>IF(AND(OR(LEFT(TH!N6177,2)="15",LEFT(TH!O6177,2)="15"),TK!$E$7=TH!F6177),"x","")</f>
        <v/>
      </c>
      <c r="AD6177" s="79" t="str">
        <f>IF(AND(N6177="1521",MONTH(C6177)='BK-NL'!$M$11),"x","")</f>
        <v/>
      </c>
    </row>
    <row r="6178" spans="1:30" ht="16.5" customHeight="1">
      <c r="A6178" s="318" t="str">
        <f>IF(B6178&lt;&gt;"",IF(AND(B6178='IN-TC'!$S$4,OR(TH!N6178="1111",TH!O6178="1111")),TH!D6178,""),"")</f>
        <v/>
      </c>
      <c r="B6178" s="60" t="str">
        <f t="shared" si="517"/>
        <v/>
      </c>
      <c r="C6178" s="61"/>
      <c r="D6178" s="61"/>
      <c r="E6178" s="61"/>
      <c r="F6178" s="69"/>
      <c r="G6178" s="64"/>
      <c r="H6178" s="69"/>
      <c r="I6178" s="385"/>
      <c r="J6178" s="392"/>
      <c r="K6178" s="385"/>
      <c r="L6178" s="392"/>
      <c r="M6178" s="62"/>
      <c r="N6178" s="63"/>
      <c r="O6178" s="63"/>
      <c r="P6178" s="79" t="str">
        <f>IF(AND('331-CT'!$E$7=TH!H6178,OR(N6178="331",O6178="331")),"x","")</f>
        <v/>
      </c>
      <c r="Q6178" s="79" t="str">
        <f>IF(AND(B6178='111'!$L$11,OR($N6178=$Q$7,$O6178=$Q$7)),"x","")</f>
        <v/>
      </c>
      <c r="R6178" s="79" t="str">
        <f>IF(AND($N6178=$Q$7,$B6178&lt;'111'!$L$11),"x","")</f>
        <v/>
      </c>
      <c r="S6178" s="79" t="str">
        <f>IF(AND($O6178=$Q$7,$B6178&lt;'111'!$L$11),"x","")</f>
        <v/>
      </c>
      <c r="T6178" s="79" t="str">
        <f>IF(ISERROR(FIND('112'!$M$9,G6178,1)),"",IF((AND(FIND('112'!$M$9,G6178,1)&gt;=1,B6178='112'!$K$9,OR($N6178='112'!$I$6,$O6178='112'!$I$6))),"x",""))</f>
        <v/>
      </c>
      <c r="U6178" s="79" t="str">
        <f>IF(ISERROR(FIND('112'!$M$9,G6178,1)),"",IF((AND(LEFT(G6178,2)=LEFT('112'!$M$9,2),B6178&lt;'112'!$K$9,$N6178='112'!$I$6)),"x",""))</f>
        <v/>
      </c>
      <c r="V6178" s="79" t="str">
        <f>IF(ISERROR(FIND('112'!$M$9,G6178,1)),"",IF((AND(RIGHT(G6178,2)=RIGHT('112'!$M$9,2),B6178&lt;'112'!$K$9,$O6178='112'!$I$6)),"x",""))</f>
        <v/>
      </c>
      <c r="W6178" s="79" t="str">
        <f>IF(AND('341-CT'!$H$9=H6178,OR(LEFT(N6178,3)=$W$7,LEFT(O6178,3)=$W$7)),"x","")</f>
        <v/>
      </c>
      <c r="X6178" s="79" t="str">
        <f>IF(OR(TH!N6178=TH!$X$7,O6178=TH!$X$7),"x","")</f>
        <v/>
      </c>
      <c r="Y6178" s="79" t="str">
        <f>IF(AND(OR(N6178="131",O6178="131"),H6178='131-CT'!$H$9),"x","")</f>
        <v/>
      </c>
      <c r="Z6178" s="79"/>
      <c r="AA6178" s="79" t="str">
        <f>IF(AND(MONTH(E6178)='IN-NX'!$J$5,'IN-NX'!$D$7=D6178),"x","")</f>
        <v/>
      </c>
      <c r="AB6178" s="79" t="str">
        <f>IF(AND(OR(LEFT(TH!N6178,2)="15",LEFT(TH!O6178,2)="15"),LEFT(TH!O6178,3)&lt;&gt;"111",'152-CT'!$J$8=TH!F6178),"x","")</f>
        <v/>
      </c>
      <c r="AC6178" s="79" t="str">
        <f>IF(AND(OR(LEFT(TH!N6178,2)="15",LEFT(TH!O6178,2)="15"),TK!$E$7=TH!F6178),"x","")</f>
        <v/>
      </c>
      <c r="AD6178" s="79" t="str">
        <f>IF(AND(N6178="1521",MONTH(C6178)='BK-NL'!$M$11),"x","")</f>
        <v/>
      </c>
    </row>
    <row r="6179" spans="1:30" ht="16.5" customHeight="1">
      <c r="A6179" s="318" t="str">
        <f>IF(B6179&lt;&gt;"",IF(AND(B6179='IN-TC'!$S$4,OR(TH!N6179="1111",TH!O6179="1111")),TH!D6179,""),"")</f>
        <v/>
      </c>
      <c r="B6179" s="60" t="str">
        <f t="shared" si="517"/>
        <v/>
      </c>
      <c r="C6179" s="61"/>
      <c r="D6179" s="61"/>
      <c r="E6179" s="61"/>
      <c r="F6179" s="69"/>
      <c r="G6179" s="64"/>
      <c r="H6179" s="69"/>
      <c r="I6179" s="387"/>
      <c r="J6179" s="394"/>
      <c r="K6179" s="387"/>
      <c r="L6179" s="394"/>
      <c r="M6179" s="62"/>
      <c r="N6179" s="63"/>
      <c r="O6179" s="63"/>
      <c r="P6179" s="79" t="str">
        <f>IF(AND('331-CT'!$E$7=TH!H6179,OR(N6179="331",O6179="331")),"x","")</f>
        <v/>
      </c>
      <c r="Q6179" s="79" t="str">
        <f>IF(AND(B6179='111'!$L$11,OR($N6179=$Q$7,$O6179=$Q$7)),"x","")</f>
        <v/>
      </c>
      <c r="R6179" s="79" t="str">
        <f>IF(AND($N6179=$Q$7,$B6179&lt;'111'!$L$11),"x","")</f>
        <v/>
      </c>
      <c r="S6179" s="79" t="str">
        <f>IF(AND($O6179=$Q$7,$B6179&lt;'111'!$L$11),"x","")</f>
        <v/>
      </c>
      <c r="T6179" s="79" t="str">
        <f>IF(ISERROR(FIND('112'!$M$9,G6179,1)),"",IF((AND(FIND('112'!$M$9,G6179,1)&gt;=1,B6179='112'!$K$9,OR($N6179='112'!$I$6,$O6179='112'!$I$6))),"x",""))</f>
        <v/>
      </c>
      <c r="U6179" s="79" t="str">
        <f>IF(ISERROR(FIND('112'!$M$9,G6179,1)),"",IF((AND(LEFT(G6179,2)=LEFT('112'!$M$9,2),B6179&lt;'112'!$K$9,$N6179='112'!$I$6)),"x",""))</f>
        <v/>
      </c>
      <c r="V6179" s="79" t="str">
        <f>IF(ISERROR(FIND('112'!$M$9,G6179,1)),"",IF((AND(RIGHT(G6179,2)=RIGHT('112'!$M$9,2),B6179&lt;'112'!$K$9,$O6179='112'!$I$6)),"x",""))</f>
        <v/>
      </c>
      <c r="W6179" s="79" t="str">
        <f>IF(AND('341-CT'!$H$9=H6179,OR(LEFT(N6179,3)=$W$7,LEFT(O6179,3)=$W$7)),"x","")</f>
        <v/>
      </c>
      <c r="X6179" s="79" t="str">
        <f>IF(OR(TH!N6179=TH!$X$7,O6179=TH!$X$7),"x","")</f>
        <v/>
      </c>
      <c r="Y6179" s="79" t="str">
        <f>IF(AND(OR(N6179="131",O6179="131"),H6179='131-CT'!$H$9),"x","")</f>
        <v/>
      </c>
      <c r="Z6179" s="79"/>
      <c r="AA6179" s="79" t="str">
        <f>IF(AND(MONTH(E6179)='IN-NX'!$J$5,'IN-NX'!$D$7=D6179),"x","")</f>
        <v/>
      </c>
      <c r="AB6179" s="79" t="str">
        <f>IF(AND(OR(LEFT(TH!N6179,2)="15",LEFT(TH!O6179,2)="15"),LEFT(TH!O6179,3)&lt;&gt;"111",'152-CT'!$J$8=TH!F6179),"x","")</f>
        <v/>
      </c>
      <c r="AC6179" s="79" t="str">
        <f>IF(AND(OR(LEFT(TH!N6179,2)="15",LEFT(TH!O6179,2)="15"),TK!$E$7=TH!F6179),"x","")</f>
        <v/>
      </c>
      <c r="AD6179" s="79" t="str">
        <f>IF(AND(N6179="1521",MONTH(C6179)='BK-NL'!$M$11),"x","")</f>
        <v/>
      </c>
    </row>
    <row r="6180" spans="1:30" ht="16.5" customHeight="1">
      <c r="A6180" s="318" t="str">
        <f>IF(B6180&lt;&gt;"",IF(AND(B6180='IN-TC'!$S$4,OR(TH!N6180="1111",TH!O6180="1111")),TH!D6180,""),"")</f>
        <v/>
      </c>
      <c r="B6180" s="60" t="str">
        <f t="shared" si="517"/>
        <v/>
      </c>
      <c r="C6180" s="61"/>
      <c r="D6180" s="61"/>
      <c r="E6180" s="61"/>
      <c r="F6180" s="69"/>
      <c r="G6180" s="64"/>
      <c r="H6180" s="321"/>
      <c r="I6180" s="385"/>
      <c r="J6180" s="392"/>
      <c r="K6180" s="385"/>
      <c r="L6180" s="392"/>
      <c r="M6180" s="62"/>
      <c r="N6180" s="63"/>
      <c r="O6180" s="63"/>
      <c r="P6180" s="79" t="str">
        <f>IF(AND('331-CT'!$E$7=TH!H6180,OR(N6180="331",O6180="331")),"x","")</f>
        <v/>
      </c>
      <c r="Q6180" s="79" t="str">
        <f>IF(AND(B6180='111'!$L$11,OR($N6180=$Q$7,$O6180=$Q$7)),"x","")</f>
        <v/>
      </c>
      <c r="R6180" s="79" t="str">
        <f>IF(AND($N6180=$Q$7,$B6180&lt;'111'!$L$11),"x","")</f>
        <v/>
      </c>
      <c r="S6180" s="79" t="str">
        <f>IF(AND($O6180=$Q$7,$B6180&lt;'111'!$L$11),"x","")</f>
        <v/>
      </c>
      <c r="T6180" s="79" t="str">
        <f>IF(ISERROR(FIND('112'!$M$9,G6180,1)),"",IF((AND(FIND('112'!$M$9,G6180,1)&gt;=1,B6180='112'!$K$9,OR($N6180='112'!$I$6,$O6180='112'!$I$6))),"x",""))</f>
        <v/>
      </c>
      <c r="U6180" s="79" t="str">
        <f>IF(ISERROR(FIND('112'!$M$9,G6180,1)),"",IF((AND(LEFT(G6180,2)=LEFT('112'!$M$9,2),B6180&lt;'112'!$K$9,$N6180='112'!$I$6)),"x",""))</f>
        <v/>
      </c>
      <c r="V6180" s="79" t="str">
        <f>IF(ISERROR(FIND('112'!$M$9,G6180,1)),"",IF((AND(RIGHT(G6180,2)=RIGHT('112'!$M$9,2),B6180&lt;'112'!$K$9,$O6180='112'!$I$6)),"x",""))</f>
        <v/>
      </c>
      <c r="W6180" s="79" t="str">
        <f>IF(AND('341-CT'!$H$9=H6180,OR(LEFT(N6180,3)=$W$7,LEFT(O6180,3)=$W$7)),"x","")</f>
        <v/>
      </c>
      <c r="X6180" s="79" t="str">
        <f>IF(OR(TH!N6180=TH!$X$7,O6180=TH!$X$7),"x","")</f>
        <v/>
      </c>
      <c r="Y6180" s="79" t="str">
        <f>IF(AND(OR(N6180="131",O6180="131"),H6180='131-CT'!$H$9),"x","")</f>
        <v/>
      </c>
      <c r="Z6180" s="79"/>
      <c r="AA6180" s="79" t="str">
        <f>IF(AND(MONTH(E6180)='IN-NX'!$J$5,'IN-NX'!$D$7=D6180),"x","")</f>
        <v/>
      </c>
      <c r="AB6180" s="79" t="str">
        <f>IF(AND(OR(LEFT(TH!N6180,2)="15",LEFT(TH!O6180,2)="15"),LEFT(TH!O6180,3)&lt;&gt;"111",'152-CT'!$J$8=TH!F6180),"x","")</f>
        <v/>
      </c>
      <c r="AC6180" s="79" t="str">
        <f>IF(AND(OR(LEFT(TH!N6180,2)="15",LEFT(TH!O6180,2)="15"),TK!$E$7=TH!F6180),"x","")</f>
        <v/>
      </c>
      <c r="AD6180" s="79" t="str">
        <f>IF(AND(N6180="1521",MONTH(C6180)='BK-NL'!$M$11),"x","")</f>
        <v/>
      </c>
    </row>
    <row r="6181" spans="1:30" ht="16.5" customHeight="1">
      <c r="A6181" s="318" t="str">
        <f>IF(B6181&lt;&gt;"",IF(AND(B6181='IN-TC'!$S$4,OR(TH!N6181="1111",TH!O6181="1111")),TH!D6181,""),"")</f>
        <v/>
      </c>
      <c r="B6181" s="60" t="str">
        <f t="shared" si="517"/>
        <v/>
      </c>
      <c r="C6181" s="61"/>
      <c r="D6181" s="61"/>
      <c r="E6181" s="61"/>
      <c r="F6181" s="69"/>
      <c r="G6181" s="64"/>
      <c r="H6181" s="321"/>
      <c r="I6181" s="385"/>
      <c r="J6181" s="392"/>
      <c r="K6181" s="385"/>
      <c r="L6181" s="392"/>
      <c r="M6181" s="62"/>
      <c r="N6181" s="63"/>
      <c r="O6181" s="63"/>
      <c r="P6181" s="79" t="str">
        <f>IF(AND('331-CT'!$E$7=TH!H6181,OR(N6181="331",O6181="331")),"x","")</f>
        <v/>
      </c>
      <c r="Q6181" s="79" t="str">
        <f>IF(AND(B6181='111'!$L$11,OR($N6181=$Q$7,$O6181=$Q$7)),"x","")</f>
        <v/>
      </c>
      <c r="R6181" s="79" t="str">
        <f>IF(AND($N6181=$Q$7,$B6181&lt;'111'!$L$11),"x","")</f>
        <v/>
      </c>
      <c r="S6181" s="79" t="str">
        <f>IF(AND($O6181=$Q$7,$B6181&lt;'111'!$L$11),"x","")</f>
        <v/>
      </c>
      <c r="T6181" s="79" t="str">
        <f>IF(ISERROR(FIND('112'!$M$9,G6181,1)),"",IF((AND(FIND('112'!$M$9,G6181,1)&gt;=1,B6181='112'!$K$9,OR($N6181='112'!$I$6,$O6181='112'!$I$6))),"x",""))</f>
        <v/>
      </c>
      <c r="U6181" s="79" t="str">
        <f>IF(ISERROR(FIND('112'!$M$9,G6181,1)),"",IF((AND(LEFT(G6181,2)=LEFT('112'!$M$9,2),B6181&lt;'112'!$K$9,$N6181='112'!$I$6)),"x",""))</f>
        <v/>
      </c>
      <c r="V6181" s="79" t="str">
        <f>IF(ISERROR(FIND('112'!$M$9,G6181,1)),"",IF((AND(RIGHT(G6181,2)=RIGHT('112'!$M$9,2),B6181&lt;'112'!$K$9,$O6181='112'!$I$6)),"x",""))</f>
        <v/>
      </c>
      <c r="W6181" s="79" t="str">
        <f>IF(AND('341-CT'!$H$9=H6181,OR(LEFT(N6181,3)=$W$7,LEFT(O6181,3)=$W$7)),"x","")</f>
        <v/>
      </c>
      <c r="X6181" s="79" t="str">
        <f>IF(OR(TH!N6181=TH!$X$7,O6181=TH!$X$7),"x","")</f>
        <v/>
      </c>
      <c r="Y6181" s="79" t="str">
        <f>IF(AND(OR(N6181="131",O6181="131"),H6181='131-CT'!$H$9),"x","")</f>
        <v/>
      </c>
      <c r="Z6181" s="79"/>
      <c r="AA6181" s="79" t="str">
        <f>IF(AND(MONTH(E6181)='IN-NX'!$J$5,'IN-NX'!$D$7=D6181),"x","")</f>
        <v/>
      </c>
      <c r="AB6181" s="79" t="str">
        <f>IF(AND(OR(LEFT(TH!N6181,2)="15",LEFT(TH!O6181,2)="15"),LEFT(TH!O6181,3)&lt;&gt;"111",'152-CT'!$J$8=TH!F6181),"x","")</f>
        <v/>
      </c>
      <c r="AC6181" s="79" t="str">
        <f>IF(AND(OR(LEFT(TH!N6181,2)="15",LEFT(TH!O6181,2)="15"),TK!$E$7=TH!F6181),"x","")</f>
        <v/>
      </c>
      <c r="AD6181" s="79" t="str">
        <f>IF(AND(N6181="1521",MONTH(C6181)='BK-NL'!$M$11),"x","")</f>
        <v/>
      </c>
    </row>
    <row r="6182" spans="1:30" ht="16.5" customHeight="1">
      <c r="A6182" s="318" t="str">
        <f>IF(B6182&lt;&gt;"",IF(AND(B6182='IN-TC'!$S$4,OR(TH!N6182="1111",TH!O6182="1111")),TH!D6182,""),"")</f>
        <v/>
      </c>
      <c r="B6182" s="60" t="str">
        <f t="shared" si="517"/>
        <v/>
      </c>
      <c r="C6182" s="61"/>
      <c r="D6182" s="61"/>
      <c r="E6182" s="61"/>
      <c r="F6182" s="69"/>
      <c r="G6182" s="64"/>
      <c r="H6182" s="321"/>
      <c r="I6182" s="385"/>
      <c r="J6182" s="392"/>
      <c r="K6182" s="385"/>
      <c r="L6182" s="392"/>
      <c r="M6182" s="62"/>
      <c r="N6182" s="63"/>
      <c r="O6182" s="63"/>
      <c r="P6182" s="79" t="str">
        <f>IF(AND('331-CT'!$E$7=TH!H6182,OR(N6182="331",O6182="331")),"x","")</f>
        <v/>
      </c>
      <c r="Q6182" s="79" t="str">
        <f>IF(AND(B6182='111'!$L$11,OR($N6182=$Q$7,$O6182=$Q$7)),"x","")</f>
        <v/>
      </c>
      <c r="R6182" s="79" t="str">
        <f>IF(AND($N6182=$Q$7,$B6182&lt;'111'!$L$11),"x","")</f>
        <v/>
      </c>
      <c r="S6182" s="79" t="str">
        <f>IF(AND($O6182=$Q$7,$B6182&lt;'111'!$L$11),"x","")</f>
        <v/>
      </c>
      <c r="T6182" s="79" t="str">
        <f>IF(ISERROR(FIND('112'!$M$9,G6182,1)),"",IF((AND(FIND('112'!$M$9,G6182,1)&gt;=1,B6182='112'!$K$9,OR($N6182='112'!$I$6,$O6182='112'!$I$6))),"x",""))</f>
        <v/>
      </c>
      <c r="U6182" s="79" t="str">
        <f>IF(ISERROR(FIND('112'!$M$9,G6182,1)),"",IF((AND(LEFT(G6182,2)=LEFT('112'!$M$9,2),B6182&lt;'112'!$K$9,$N6182='112'!$I$6)),"x",""))</f>
        <v/>
      </c>
      <c r="V6182" s="79" t="str">
        <f>IF(ISERROR(FIND('112'!$M$9,G6182,1)),"",IF((AND(RIGHT(G6182,2)=RIGHT('112'!$M$9,2),B6182&lt;'112'!$K$9,$O6182='112'!$I$6)),"x",""))</f>
        <v/>
      </c>
      <c r="W6182" s="79" t="str">
        <f>IF(AND('341-CT'!$H$9=H6182,OR(LEFT(N6182,3)=$W$7,LEFT(O6182,3)=$W$7)),"x","")</f>
        <v/>
      </c>
      <c r="X6182" s="79" t="str">
        <f>IF(OR(TH!N6182=TH!$X$7,O6182=TH!$X$7),"x","")</f>
        <v/>
      </c>
      <c r="Y6182" s="79" t="str">
        <f>IF(AND(OR(N6182="131",O6182="131"),H6182='131-CT'!$H$9),"x","")</f>
        <v/>
      </c>
      <c r="Z6182" s="79"/>
      <c r="AA6182" s="79" t="str">
        <f>IF(AND(MONTH(E6182)='IN-NX'!$J$5,'IN-NX'!$D$7=D6182),"x","")</f>
        <v/>
      </c>
      <c r="AB6182" s="79" t="str">
        <f>IF(AND(OR(LEFT(TH!N6182,2)="15",LEFT(TH!O6182,2)="15"),LEFT(TH!O6182,3)&lt;&gt;"111",'152-CT'!$J$8=TH!F6182),"x","")</f>
        <v/>
      </c>
      <c r="AC6182" s="79" t="str">
        <f>IF(AND(OR(LEFT(TH!N6182,2)="15",LEFT(TH!O6182,2)="15"),TK!$E$7=TH!F6182),"x","")</f>
        <v/>
      </c>
      <c r="AD6182" s="79" t="str">
        <f>IF(AND(N6182="1521",MONTH(C6182)='BK-NL'!$M$11),"x","")</f>
        <v/>
      </c>
    </row>
    <row r="6183" spans="1:30" ht="16.5" customHeight="1">
      <c r="A6183" s="318" t="str">
        <f>IF(B6183&lt;&gt;"",IF(AND(B6183='IN-TC'!$S$4,OR(TH!N6183="1111",TH!O6183="1111")),TH!D6183,""),"")</f>
        <v/>
      </c>
      <c r="B6183" s="60" t="str">
        <f t="shared" si="517"/>
        <v/>
      </c>
      <c r="C6183" s="61"/>
      <c r="D6183" s="61"/>
      <c r="E6183" s="61"/>
      <c r="F6183" s="69"/>
      <c r="G6183" s="64"/>
      <c r="H6183" s="321"/>
      <c r="I6183" s="385"/>
      <c r="J6183" s="392"/>
      <c r="K6183" s="385"/>
      <c r="L6183" s="392"/>
      <c r="M6183" s="62"/>
      <c r="N6183" s="63"/>
      <c r="O6183" s="63"/>
      <c r="P6183" s="79" t="str">
        <f>IF(AND('331-CT'!$E$7=TH!H6183,OR(N6183="331",O6183="331")),"x","")</f>
        <v/>
      </c>
      <c r="Q6183" s="79" t="str">
        <f>IF(AND(B6183='111'!$L$11,OR($N6183=$Q$7,$O6183=$Q$7)),"x","")</f>
        <v/>
      </c>
      <c r="R6183" s="79" t="str">
        <f>IF(AND($N6183=$Q$7,$B6183&lt;'111'!$L$11),"x","")</f>
        <v/>
      </c>
      <c r="S6183" s="79" t="str">
        <f>IF(AND($O6183=$Q$7,$B6183&lt;'111'!$L$11),"x","")</f>
        <v/>
      </c>
      <c r="T6183" s="79" t="str">
        <f>IF(ISERROR(FIND('112'!$M$9,G6183,1)),"",IF((AND(FIND('112'!$M$9,G6183,1)&gt;=1,B6183='112'!$K$9,OR($N6183='112'!$I$6,$O6183='112'!$I$6))),"x",""))</f>
        <v/>
      </c>
      <c r="U6183" s="79" t="str">
        <f>IF(ISERROR(FIND('112'!$M$9,G6183,1)),"",IF((AND(LEFT(G6183,2)=LEFT('112'!$M$9,2),B6183&lt;'112'!$K$9,$N6183='112'!$I$6)),"x",""))</f>
        <v/>
      </c>
      <c r="V6183" s="79" t="str">
        <f>IF(ISERROR(FIND('112'!$M$9,G6183,1)),"",IF((AND(RIGHT(G6183,2)=RIGHT('112'!$M$9,2),B6183&lt;'112'!$K$9,$O6183='112'!$I$6)),"x",""))</f>
        <v/>
      </c>
      <c r="W6183" s="79" t="str">
        <f>IF(AND('341-CT'!$H$9=H6183,OR(LEFT(N6183,3)=$W$7,LEFT(O6183,3)=$W$7)),"x","")</f>
        <v/>
      </c>
      <c r="X6183" s="79" t="str">
        <f>IF(OR(TH!N6183=TH!$X$7,O6183=TH!$X$7),"x","")</f>
        <v/>
      </c>
      <c r="Y6183" s="79" t="str">
        <f>IF(AND(OR(N6183="131",O6183="131"),H6183='131-CT'!$H$9),"x","")</f>
        <v/>
      </c>
      <c r="Z6183" s="79"/>
      <c r="AA6183" s="79" t="str">
        <f>IF(AND(MONTH(E6183)='IN-NX'!$J$5,'IN-NX'!$D$7=D6183),"x","")</f>
        <v/>
      </c>
      <c r="AB6183" s="79" t="str">
        <f>IF(AND(OR(LEFT(TH!N6183,2)="15",LEFT(TH!O6183,2)="15"),LEFT(TH!O6183,3)&lt;&gt;"111",'152-CT'!$J$8=TH!F6183),"x","")</f>
        <v/>
      </c>
      <c r="AC6183" s="79" t="str">
        <f>IF(AND(OR(LEFT(TH!N6183,2)="15",LEFT(TH!O6183,2)="15"),TK!$E$7=TH!F6183),"x","")</f>
        <v/>
      </c>
      <c r="AD6183" s="79" t="str">
        <f>IF(AND(N6183="1521",MONTH(C6183)='BK-NL'!$M$11),"x","")</f>
        <v/>
      </c>
    </row>
    <row r="6184" spans="1:30" ht="16.5" customHeight="1">
      <c r="A6184" s="318" t="str">
        <f>IF(B6184&lt;&gt;"",IF(AND(B6184='IN-TC'!$S$4,OR(TH!N6184="1111",TH!O6184="1111")),TH!D6184,""),"")</f>
        <v/>
      </c>
      <c r="B6184" s="60" t="str">
        <f t="shared" si="517"/>
        <v/>
      </c>
      <c r="C6184" s="61"/>
      <c r="D6184" s="61"/>
      <c r="E6184" s="61"/>
      <c r="F6184" s="69"/>
      <c r="G6184" s="64"/>
      <c r="H6184" s="321"/>
      <c r="I6184" s="387"/>
      <c r="J6184" s="394"/>
      <c r="K6184" s="387"/>
      <c r="L6184" s="394"/>
      <c r="M6184" s="62"/>
      <c r="N6184" s="63"/>
      <c r="O6184" s="63"/>
      <c r="P6184" s="79" t="str">
        <f>IF(AND('331-CT'!$E$7=TH!H6184,OR(N6184="331",O6184="331")),"x","")</f>
        <v/>
      </c>
      <c r="Q6184" s="79" t="str">
        <f>IF(AND(B6184='111'!$L$11,OR($N6184=$Q$7,$O6184=$Q$7)),"x","")</f>
        <v/>
      </c>
      <c r="R6184" s="79" t="str">
        <f>IF(AND($N6184=$Q$7,$B6184&lt;'111'!$L$11),"x","")</f>
        <v/>
      </c>
      <c r="S6184" s="79" t="str">
        <f>IF(AND($O6184=$Q$7,$B6184&lt;'111'!$L$11),"x","")</f>
        <v/>
      </c>
      <c r="T6184" s="79" t="str">
        <f>IF(ISERROR(FIND('112'!$M$9,G6184,1)),"",IF((AND(FIND('112'!$M$9,G6184,1)&gt;=1,B6184='112'!$K$9,OR($N6184='112'!$I$6,$O6184='112'!$I$6))),"x",""))</f>
        <v/>
      </c>
      <c r="U6184" s="79" t="str">
        <f>IF(ISERROR(FIND('112'!$M$9,G6184,1)),"",IF((AND(LEFT(G6184,2)=LEFT('112'!$M$9,2),B6184&lt;'112'!$K$9,$N6184='112'!$I$6)),"x",""))</f>
        <v/>
      </c>
      <c r="V6184" s="79" t="str">
        <f>IF(ISERROR(FIND('112'!$M$9,G6184,1)),"",IF((AND(RIGHT(G6184,2)=RIGHT('112'!$M$9,2),B6184&lt;'112'!$K$9,$O6184='112'!$I$6)),"x",""))</f>
        <v/>
      </c>
      <c r="W6184" s="79" t="str">
        <f>IF(AND('341-CT'!$H$9=H6184,OR(LEFT(N6184,3)=$W$7,LEFT(O6184,3)=$W$7)),"x","")</f>
        <v/>
      </c>
      <c r="X6184" s="79" t="str">
        <f>IF(OR(TH!N6184=TH!$X$7,O6184=TH!$X$7),"x","")</f>
        <v/>
      </c>
      <c r="Y6184" s="79" t="str">
        <f>IF(AND(OR(N6184="131",O6184="131"),H6184='131-CT'!$H$9),"x","")</f>
        <v/>
      </c>
      <c r="Z6184" s="79"/>
      <c r="AA6184" s="79" t="str">
        <f>IF(AND(MONTH(E6184)='IN-NX'!$J$5,'IN-NX'!$D$7=D6184),"x","")</f>
        <v/>
      </c>
      <c r="AB6184" s="79" t="str">
        <f>IF(AND(OR(LEFT(TH!N6184,2)="15",LEFT(TH!O6184,2)="15"),LEFT(TH!O6184,3)&lt;&gt;"111",'152-CT'!$J$8=TH!F6184),"x","")</f>
        <v/>
      </c>
      <c r="AC6184" s="79" t="str">
        <f>IF(AND(OR(LEFT(TH!N6184,2)="15",LEFT(TH!O6184,2)="15"),TK!$E$7=TH!F6184),"x","")</f>
        <v/>
      </c>
      <c r="AD6184" s="79" t="str">
        <f>IF(AND(N6184="1521",MONTH(C6184)='BK-NL'!$M$11),"x","")</f>
        <v/>
      </c>
    </row>
    <row r="6185" spans="1:30" ht="16.5" customHeight="1">
      <c r="A6185" s="318" t="str">
        <f>IF(B6185&lt;&gt;"",IF(AND(B6185='IN-TC'!$S$4,OR(TH!N6185="1111",TH!O6185="1111")),TH!D6185,""),"")</f>
        <v/>
      </c>
      <c r="B6185" s="60" t="str">
        <f t="shared" si="517"/>
        <v/>
      </c>
      <c r="C6185" s="61"/>
      <c r="D6185" s="61"/>
      <c r="E6185" s="61"/>
      <c r="F6185" s="69"/>
      <c r="G6185" s="64"/>
      <c r="H6185" s="321"/>
      <c r="I6185" s="385"/>
      <c r="J6185" s="392"/>
      <c r="K6185" s="385"/>
      <c r="L6185" s="392"/>
      <c r="M6185" s="62"/>
      <c r="N6185" s="63"/>
      <c r="O6185" s="63"/>
      <c r="P6185" s="79" t="str">
        <f>IF(AND('331-CT'!$E$7=TH!H6185,OR(N6185="331",O6185="331")),"x","")</f>
        <v/>
      </c>
      <c r="Q6185" s="79" t="str">
        <f>IF(AND(B6185='111'!$L$11,OR($N6185=$Q$7,$O6185=$Q$7)),"x","")</f>
        <v/>
      </c>
      <c r="R6185" s="79" t="str">
        <f>IF(AND($N6185=$Q$7,$B6185&lt;'111'!$L$11),"x","")</f>
        <v/>
      </c>
      <c r="S6185" s="79" t="str">
        <f>IF(AND($O6185=$Q$7,$B6185&lt;'111'!$L$11),"x","")</f>
        <v/>
      </c>
      <c r="T6185" s="79" t="str">
        <f>IF(ISERROR(FIND('112'!$M$9,G6185,1)),"",IF((AND(FIND('112'!$M$9,G6185,1)&gt;=1,B6185='112'!$K$9,OR($N6185='112'!$I$6,$O6185='112'!$I$6))),"x",""))</f>
        <v/>
      </c>
      <c r="U6185" s="79" t="str">
        <f>IF(ISERROR(FIND('112'!$M$9,G6185,1)),"",IF((AND(LEFT(G6185,2)=LEFT('112'!$M$9,2),B6185&lt;'112'!$K$9,$N6185='112'!$I$6)),"x",""))</f>
        <v/>
      </c>
      <c r="V6185" s="79" t="str">
        <f>IF(ISERROR(FIND('112'!$M$9,G6185,1)),"",IF((AND(RIGHT(G6185,2)=RIGHT('112'!$M$9,2),B6185&lt;'112'!$K$9,$O6185='112'!$I$6)),"x",""))</f>
        <v/>
      </c>
      <c r="W6185" s="79" t="str">
        <f>IF(AND('341-CT'!$H$9=H6185,OR(LEFT(N6185,3)=$W$7,LEFT(O6185,3)=$W$7)),"x","")</f>
        <v/>
      </c>
      <c r="X6185" s="79" t="str">
        <f>IF(OR(TH!N6185=TH!$X$7,O6185=TH!$X$7),"x","")</f>
        <v/>
      </c>
      <c r="Y6185" s="79" t="str">
        <f>IF(AND(OR(N6185="131",O6185="131"),H6185='131-CT'!$H$9),"x","")</f>
        <v/>
      </c>
      <c r="Z6185" s="79"/>
      <c r="AA6185" s="79" t="str">
        <f>IF(AND(MONTH(E6185)='IN-NX'!$J$5,'IN-NX'!$D$7=D6185),"x","")</f>
        <v/>
      </c>
      <c r="AB6185" s="79" t="str">
        <f>IF(AND(OR(LEFT(TH!N6185,2)="15",LEFT(TH!O6185,2)="15"),LEFT(TH!O6185,3)&lt;&gt;"111",'152-CT'!$J$8=TH!F6185),"x","")</f>
        <v/>
      </c>
      <c r="AC6185" s="79" t="str">
        <f>IF(AND(OR(LEFT(TH!N6185,2)="15",LEFT(TH!O6185,2)="15"),TK!$E$7=TH!F6185),"x","")</f>
        <v/>
      </c>
      <c r="AD6185" s="79" t="str">
        <f>IF(AND(N6185="1521",MONTH(C6185)='BK-NL'!$M$11),"x","")</f>
        <v/>
      </c>
    </row>
    <row r="6186" spans="1:30" ht="16.5" customHeight="1">
      <c r="A6186" s="318" t="str">
        <f>IF(B6186&lt;&gt;"",IF(AND(B6186='IN-TC'!$S$4,OR(TH!N6186="1111",TH!O6186="1111")),TH!D6186,""),"")</f>
        <v/>
      </c>
      <c r="B6186" s="60" t="str">
        <f t="shared" si="517"/>
        <v/>
      </c>
      <c r="C6186" s="61"/>
      <c r="D6186" s="61"/>
      <c r="E6186" s="61"/>
      <c r="F6186" s="69"/>
      <c r="G6186" s="64"/>
      <c r="H6186" s="321"/>
      <c r="I6186" s="385"/>
      <c r="J6186" s="392"/>
      <c r="K6186" s="385"/>
      <c r="L6186" s="392"/>
      <c r="M6186" s="62"/>
      <c r="N6186" s="63"/>
      <c r="O6186" s="63"/>
      <c r="P6186" s="79" t="str">
        <f>IF(AND('331-CT'!$E$7=TH!H6186,OR(N6186="331",O6186="331")),"x","")</f>
        <v/>
      </c>
      <c r="Q6186" s="79" t="str">
        <f>IF(AND(B6186='111'!$L$11,OR($N6186=$Q$7,$O6186=$Q$7)),"x","")</f>
        <v/>
      </c>
      <c r="R6186" s="79" t="str">
        <f>IF(AND($N6186=$Q$7,$B6186&lt;'111'!$L$11),"x","")</f>
        <v/>
      </c>
      <c r="S6186" s="79" t="str">
        <f>IF(AND($O6186=$Q$7,$B6186&lt;'111'!$L$11),"x","")</f>
        <v/>
      </c>
      <c r="T6186" s="79" t="str">
        <f>IF(ISERROR(FIND('112'!$M$9,G6186,1)),"",IF((AND(FIND('112'!$M$9,G6186,1)&gt;=1,B6186='112'!$K$9,OR($N6186='112'!$I$6,$O6186='112'!$I$6))),"x",""))</f>
        <v/>
      </c>
      <c r="U6186" s="79" t="str">
        <f>IF(ISERROR(FIND('112'!$M$9,G6186,1)),"",IF((AND(LEFT(G6186,2)=LEFT('112'!$M$9,2),B6186&lt;'112'!$K$9,$N6186='112'!$I$6)),"x",""))</f>
        <v/>
      </c>
      <c r="V6186" s="79" t="str">
        <f>IF(ISERROR(FIND('112'!$M$9,G6186,1)),"",IF((AND(RIGHT(G6186,2)=RIGHT('112'!$M$9,2),B6186&lt;'112'!$K$9,$O6186='112'!$I$6)),"x",""))</f>
        <v/>
      </c>
      <c r="W6186" s="79" t="str">
        <f>IF(AND('341-CT'!$H$9=H6186,OR(LEFT(N6186,3)=$W$7,LEFT(O6186,3)=$W$7)),"x","")</f>
        <v/>
      </c>
      <c r="X6186" s="79" t="str">
        <f>IF(OR(TH!N6186=TH!$X$7,O6186=TH!$X$7),"x","")</f>
        <v/>
      </c>
      <c r="Y6186" s="79" t="str">
        <f>IF(AND(OR(N6186="131",O6186="131"),H6186='131-CT'!$H$9),"x","")</f>
        <v/>
      </c>
      <c r="Z6186" s="79"/>
      <c r="AA6186" s="79" t="str">
        <f>IF(AND(MONTH(E6186)='IN-NX'!$J$5,'IN-NX'!$D$7=D6186),"x","")</f>
        <v/>
      </c>
      <c r="AB6186" s="79" t="str">
        <f>IF(AND(OR(LEFT(TH!N6186,2)="15",LEFT(TH!O6186,2)="15"),LEFT(TH!O6186,3)&lt;&gt;"111",'152-CT'!$J$8=TH!F6186),"x","")</f>
        <v/>
      </c>
      <c r="AC6186" s="79" t="str">
        <f>IF(AND(OR(LEFT(TH!N6186,2)="15",LEFT(TH!O6186,2)="15"),TK!$E$7=TH!F6186),"x","")</f>
        <v/>
      </c>
      <c r="AD6186" s="79" t="str">
        <f>IF(AND(N6186="1521",MONTH(C6186)='BK-NL'!$M$11),"x","")</f>
        <v/>
      </c>
    </row>
    <row r="6187" spans="1:30" ht="16.5" customHeight="1">
      <c r="A6187" s="318" t="str">
        <f>IF(B6187&lt;&gt;"",IF(AND(B6187='IN-TC'!$S$4,OR(TH!N6187="1111",TH!O6187="1111")),TH!D6187,""),"")</f>
        <v/>
      </c>
      <c r="B6187" s="60" t="str">
        <f t="shared" si="517"/>
        <v/>
      </c>
      <c r="C6187" s="61"/>
      <c r="D6187" s="61"/>
      <c r="E6187" s="61"/>
      <c r="F6187" s="69"/>
      <c r="G6187" s="64"/>
      <c r="H6187" s="321"/>
      <c r="I6187" s="385"/>
      <c r="J6187" s="392"/>
      <c r="K6187" s="385"/>
      <c r="L6187" s="392"/>
      <c r="M6187" s="62"/>
      <c r="N6187" s="63"/>
      <c r="O6187" s="63"/>
      <c r="P6187" s="79" t="str">
        <f>IF(AND('331-CT'!$E$7=TH!H6187,OR(N6187="331",O6187="331")),"x","")</f>
        <v/>
      </c>
      <c r="Q6187" s="79" t="str">
        <f>IF(AND(B6187='111'!$L$11,OR($N6187=$Q$7,$O6187=$Q$7)),"x","")</f>
        <v/>
      </c>
      <c r="R6187" s="79" t="str">
        <f>IF(AND($N6187=$Q$7,$B6187&lt;'111'!$L$11),"x","")</f>
        <v/>
      </c>
      <c r="S6187" s="79" t="str">
        <f>IF(AND($O6187=$Q$7,$B6187&lt;'111'!$L$11),"x","")</f>
        <v/>
      </c>
      <c r="T6187" s="79" t="str">
        <f>IF(ISERROR(FIND('112'!$M$9,G6187,1)),"",IF((AND(FIND('112'!$M$9,G6187,1)&gt;=1,B6187='112'!$K$9,OR($N6187='112'!$I$6,$O6187='112'!$I$6))),"x",""))</f>
        <v/>
      </c>
      <c r="U6187" s="79" t="str">
        <f>IF(ISERROR(FIND('112'!$M$9,G6187,1)),"",IF((AND(LEFT(G6187,2)=LEFT('112'!$M$9,2),B6187&lt;'112'!$K$9,$N6187='112'!$I$6)),"x",""))</f>
        <v/>
      </c>
      <c r="V6187" s="79" t="str">
        <f>IF(ISERROR(FIND('112'!$M$9,G6187,1)),"",IF((AND(RIGHT(G6187,2)=RIGHT('112'!$M$9,2),B6187&lt;'112'!$K$9,$O6187='112'!$I$6)),"x",""))</f>
        <v/>
      </c>
      <c r="W6187" s="79" t="str">
        <f>IF(AND('341-CT'!$H$9=H6187,OR(LEFT(N6187,3)=$W$7,LEFT(O6187,3)=$W$7)),"x","")</f>
        <v/>
      </c>
      <c r="X6187" s="79" t="str">
        <f>IF(OR(TH!N6187=TH!$X$7,O6187=TH!$X$7),"x","")</f>
        <v/>
      </c>
      <c r="Y6187" s="79" t="str">
        <f>IF(AND(OR(N6187="131",O6187="131"),H6187='131-CT'!$H$9),"x","")</f>
        <v/>
      </c>
      <c r="Z6187" s="79"/>
      <c r="AA6187" s="79" t="str">
        <f>IF(AND(MONTH(E6187)='IN-NX'!$J$5,'IN-NX'!$D$7=D6187),"x","")</f>
        <v/>
      </c>
      <c r="AB6187" s="79" t="str">
        <f>IF(AND(OR(LEFT(TH!N6187,2)="15",LEFT(TH!O6187,2)="15"),LEFT(TH!O6187,3)&lt;&gt;"111",'152-CT'!$J$8=TH!F6187),"x","")</f>
        <v/>
      </c>
      <c r="AC6187" s="79" t="str">
        <f>IF(AND(OR(LEFT(TH!N6187,2)="15",LEFT(TH!O6187,2)="15"),TK!$E$7=TH!F6187),"x","")</f>
        <v/>
      </c>
      <c r="AD6187" s="79" t="str">
        <f>IF(AND(N6187="1521",MONTH(C6187)='BK-NL'!$M$11),"x","")</f>
        <v/>
      </c>
    </row>
    <row r="6188" spans="1:30" ht="16.5" customHeight="1">
      <c r="A6188" s="318" t="str">
        <f>IF(B6188&lt;&gt;"",IF(AND(B6188='IN-TC'!$S$4,OR(TH!N6188="1111",TH!O6188="1111")),TH!D6188,""),"")</f>
        <v/>
      </c>
      <c r="B6188" s="60" t="str">
        <f t="shared" si="517"/>
        <v/>
      </c>
      <c r="C6188" s="61"/>
      <c r="D6188" s="61"/>
      <c r="E6188" s="61"/>
      <c r="F6188" s="69"/>
      <c r="G6188" s="64"/>
      <c r="H6188" s="321"/>
      <c r="I6188" s="385"/>
      <c r="J6188" s="392"/>
      <c r="K6188" s="385"/>
      <c r="L6188" s="392"/>
      <c r="M6188" s="62"/>
      <c r="N6188" s="63"/>
      <c r="O6188" s="63"/>
      <c r="P6188" s="79" t="str">
        <f>IF(AND('331-CT'!$E$7=TH!H6188,OR(N6188="331",O6188="331")),"x","")</f>
        <v/>
      </c>
      <c r="Q6188" s="79" t="str">
        <f>IF(AND(B6188='111'!$L$11,OR($N6188=$Q$7,$O6188=$Q$7)),"x","")</f>
        <v/>
      </c>
      <c r="R6188" s="79" t="str">
        <f>IF(AND($N6188=$Q$7,$B6188&lt;'111'!$L$11),"x","")</f>
        <v/>
      </c>
      <c r="S6188" s="79" t="str">
        <f>IF(AND($O6188=$Q$7,$B6188&lt;'111'!$L$11),"x","")</f>
        <v/>
      </c>
      <c r="T6188" s="79" t="str">
        <f>IF(ISERROR(FIND('112'!$M$9,G6188,1)),"",IF((AND(FIND('112'!$M$9,G6188,1)&gt;=1,B6188='112'!$K$9,OR($N6188='112'!$I$6,$O6188='112'!$I$6))),"x",""))</f>
        <v/>
      </c>
      <c r="U6188" s="79" t="str">
        <f>IF(ISERROR(FIND('112'!$M$9,G6188,1)),"",IF((AND(LEFT(G6188,2)=LEFT('112'!$M$9,2),B6188&lt;'112'!$K$9,$N6188='112'!$I$6)),"x",""))</f>
        <v/>
      </c>
      <c r="V6188" s="79" t="str">
        <f>IF(ISERROR(FIND('112'!$M$9,G6188,1)),"",IF((AND(RIGHT(G6188,2)=RIGHT('112'!$M$9,2),B6188&lt;'112'!$K$9,$O6188='112'!$I$6)),"x",""))</f>
        <v/>
      </c>
      <c r="W6188" s="79" t="str">
        <f>IF(AND('341-CT'!$H$9=H6188,OR(LEFT(N6188,3)=$W$7,LEFT(O6188,3)=$W$7)),"x","")</f>
        <v/>
      </c>
      <c r="X6188" s="79" t="str">
        <f>IF(OR(TH!N6188=TH!$X$7,O6188=TH!$X$7),"x","")</f>
        <v/>
      </c>
      <c r="Y6188" s="79" t="str">
        <f>IF(AND(OR(N6188="131",O6188="131"),H6188='131-CT'!$H$9),"x","")</f>
        <v/>
      </c>
      <c r="Z6188" s="79"/>
      <c r="AA6188" s="79" t="str">
        <f>IF(AND(MONTH(E6188)='IN-NX'!$J$5,'IN-NX'!$D$7=D6188),"x","")</f>
        <v/>
      </c>
      <c r="AB6188" s="79" t="str">
        <f>IF(AND(OR(LEFT(TH!N6188,2)="15",LEFT(TH!O6188,2)="15"),LEFT(TH!O6188,3)&lt;&gt;"111",'152-CT'!$J$8=TH!F6188),"x","")</f>
        <v/>
      </c>
      <c r="AC6188" s="79" t="str">
        <f>IF(AND(OR(LEFT(TH!N6188,2)="15",LEFT(TH!O6188,2)="15"),TK!$E$7=TH!F6188),"x","")</f>
        <v/>
      </c>
      <c r="AD6188" s="79" t="str">
        <f>IF(AND(N6188="1521",MONTH(C6188)='BK-NL'!$M$11),"x","")</f>
        <v/>
      </c>
    </row>
    <row r="6189" spans="1:30" ht="16.5" customHeight="1">
      <c r="A6189" s="318" t="str">
        <f>IF(B6189&lt;&gt;"",IF(AND(B6189='IN-TC'!$S$4,OR(TH!N6189="1111",TH!O6189="1111")),TH!D6189,""),"")</f>
        <v/>
      </c>
      <c r="B6189" s="60" t="str">
        <f t="shared" si="517"/>
        <v/>
      </c>
      <c r="C6189" s="61"/>
      <c r="D6189" s="61"/>
      <c r="E6189" s="61"/>
      <c r="F6189" s="69"/>
      <c r="G6189" s="64"/>
      <c r="H6189" s="321"/>
      <c r="I6189" s="387"/>
      <c r="J6189" s="394"/>
      <c r="K6189" s="387"/>
      <c r="L6189" s="394"/>
      <c r="M6189" s="62"/>
      <c r="N6189" s="63"/>
      <c r="O6189" s="63"/>
      <c r="P6189" s="79" t="str">
        <f>IF(AND('331-CT'!$E$7=TH!H6189,OR(N6189="331",O6189="331")),"x","")</f>
        <v/>
      </c>
      <c r="Q6189" s="79" t="str">
        <f>IF(AND(B6189='111'!$L$11,OR($N6189=$Q$7,$O6189=$Q$7)),"x","")</f>
        <v/>
      </c>
      <c r="R6189" s="79" t="str">
        <f>IF(AND($N6189=$Q$7,$B6189&lt;'111'!$L$11),"x","")</f>
        <v/>
      </c>
      <c r="S6189" s="79" t="str">
        <f>IF(AND($O6189=$Q$7,$B6189&lt;'111'!$L$11),"x","")</f>
        <v/>
      </c>
      <c r="T6189" s="79" t="str">
        <f>IF(ISERROR(FIND('112'!$M$9,G6189,1)),"",IF((AND(FIND('112'!$M$9,G6189,1)&gt;=1,B6189='112'!$K$9,OR($N6189='112'!$I$6,$O6189='112'!$I$6))),"x",""))</f>
        <v/>
      </c>
      <c r="U6189" s="79" t="str">
        <f>IF(ISERROR(FIND('112'!$M$9,G6189,1)),"",IF((AND(LEFT(G6189,2)=LEFT('112'!$M$9,2),B6189&lt;'112'!$K$9,$N6189='112'!$I$6)),"x",""))</f>
        <v/>
      </c>
      <c r="V6189" s="79" t="str">
        <f>IF(ISERROR(FIND('112'!$M$9,G6189,1)),"",IF((AND(RIGHT(G6189,2)=RIGHT('112'!$M$9,2),B6189&lt;'112'!$K$9,$O6189='112'!$I$6)),"x",""))</f>
        <v/>
      </c>
      <c r="W6189" s="79" t="str">
        <f>IF(AND('341-CT'!$H$9=H6189,OR(LEFT(N6189,3)=$W$7,LEFT(O6189,3)=$W$7)),"x","")</f>
        <v/>
      </c>
      <c r="X6189" s="79" t="str">
        <f>IF(OR(TH!N6189=TH!$X$7,O6189=TH!$X$7),"x","")</f>
        <v/>
      </c>
      <c r="Y6189" s="79" t="str">
        <f>IF(AND(OR(N6189="131",O6189="131"),H6189='131-CT'!$H$9),"x","")</f>
        <v/>
      </c>
      <c r="Z6189" s="79"/>
      <c r="AA6189" s="79" t="str">
        <f>IF(AND(MONTH(E6189)='IN-NX'!$J$5,'IN-NX'!$D$7=D6189),"x","")</f>
        <v/>
      </c>
      <c r="AB6189" s="79" t="str">
        <f>IF(AND(OR(LEFT(TH!N6189,2)="15",LEFT(TH!O6189,2)="15"),LEFT(TH!O6189,3)&lt;&gt;"111",'152-CT'!$J$8=TH!F6189),"x","")</f>
        <v/>
      </c>
      <c r="AC6189" s="79" t="str">
        <f>IF(AND(OR(LEFT(TH!N6189,2)="15",LEFT(TH!O6189,2)="15"),TK!$E$7=TH!F6189),"x","")</f>
        <v/>
      </c>
      <c r="AD6189" s="79" t="str">
        <f>IF(AND(N6189="1521",MONTH(C6189)='BK-NL'!$M$11),"x","")</f>
        <v/>
      </c>
    </row>
    <row r="6190" spans="1:30" ht="16.5" customHeight="1">
      <c r="A6190" s="318" t="str">
        <f>IF(B6190&lt;&gt;"",IF(AND(B6190='IN-TC'!$S$4,OR(TH!N6190="1111",TH!O6190="1111")),TH!D6190,""),"")</f>
        <v/>
      </c>
      <c r="B6190" s="60" t="str">
        <f t="shared" si="517"/>
        <v/>
      </c>
      <c r="C6190" s="61"/>
      <c r="D6190" s="61"/>
      <c r="E6190" s="61"/>
      <c r="F6190" s="69"/>
      <c r="G6190" s="64"/>
      <c r="H6190" s="321"/>
      <c r="I6190" s="387"/>
      <c r="J6190" s="394"/>
      <c r="K6190" s="387"/>
      <c r="L6190" s="394"/>
      <c r="M6190" s="62"/>
      <c r="N6190" s="63"/>
      <c r="O6190" s="63"/>
      <c r="P6190" s="79" t="str">
        <f>IF(AND('331-CT'!$E$7=TH!H6190,OR(N6190="331",O6190="331")),"x","")</f>
        <v/>
      </c>
      <c r="Q6190" s="79" t="str">
        <f>IF(AND(B6190='111'!$L$11,OR($N6190=$Q$7,$O6190=$Q$7)),"x","")</f>
        <v/>
      </c>
      <c r="R6190" s="79" t="str">
        <f>IF(AND($N6190=$Q$7,$B6190&lt;'111'!$L$11),"x","")</f>
        <v/>
      </c>
      <c r="S6190" s="79" t="str">
        <f>IF(AND($O6190=$Q$7,$B6190&lt;'111'!$L$11),"x","")</f>
        <v/>
      </c>
      <c r="T6190" s="79" t="str">
        <f>IF(ISERROR(FIND('112'!$M$9,G6190,1)),"",IF((AND(FIND('112'!$M$9,G6190,1)&gt;=1,B6190='112'!$K$9,OR($N6190='112'!$I$6,$O6190='112'!$I$6))),"x",""))</f>
        <v/>
      </c>
      <c r="U6190" s="79" t="str">
        <f>IF(ISERROR(FIND('112'!$M$9,G6190,1)),"",IF((AND(LEFT(G6190,2)=LEFT('112'!$M$9,2),B6190&lt;'112'!$K$9,$N6190='112'!$I$6)),"x",""))</f>
        <v/>
      </c>
      <c r="V6190" s="79" t="str">
        <f>IF(ISERROR(FIND('112'!$M$9,G6190,1)),"",IF((AND(RIGHT(G6190,2)=RIGHT('112'!$M$9,2),B6190&lt;'112'!$K$9,$O6190='112'!$I$6)),"x",""))</f>
        <v/>
      </c>
      <c r="W6190" s="79" t="str">
        <f>IF(AND('341-CT'!$H$9=H6190,OR(LEFT(N6190,3)=$W$7,LEFT(O6190,3)=$W$7)),"x","")</f>
        <v/>
      </c>
      <c r="X6190" s="79" t="str">
        <f>IF(OR(TH!N6190=TH!$X$7,O6190=TH!$X$7),"x","")</f>
        <v/>
      </c>
      <c r="Y6190" s="79" t="str">
        <f>IF(AND(OR(N6190="131",O6190="131"),H6190='131-CT'!$H$9),"x","")</f>
        <v/>
      </c>
      <c r="Z6190" s="79"/>
      <c r="AA6190" s="79" t="str">
        <f>IF(AND(MONTH(E6190)='IN-NX'!$J$5,'IN-NX'!$D$7=D6190),"x","")</f>
        <v/>
      </c>
      <c r="AB6190" s="79" t="str">
        <f>IF(AND(OR(LEFT(TH!N6190,2)="15",LEFT(TH!O6190,2)="15"),LEFT(TH!O6190,3)&lt;&gt;"111",'152-CT'!$J$8=TH!F6190),"x","")</f>
        <v/>
      </c>
      <c r="AC6190" s="79" t="str">
        <f>IF(AND(OR(LEFT(TH!N6190,2)="15",LEFT(TH!O6190,2)="15"),TK!$E$7=TH!F6190),"x","")</f>
        <v/>
      </c>
      <c r="AD6190" s="79" t="str">
        <f>IF(AND(N6190="1521",MONTH(C6190)='BK-NL'!$M$11),"x","")</f>
        <v/>
      </c>
    </row>
    <row r="6191" spans="1:30" ht="16.5" customHeight="1">
      <c r="A6191" s="318" t="str">
        <f>IF(B6191&lt;&gt;"",IF(AND(B6191='IN-TC'!$S$4,OR(TH!N6191="1111",TH!O6191="1111")),TH!D6191,""),"")</f>
        <v/>
      </c>
      <c r="B6191" s="60" t="str">
        <f t="shared" si="517"/>
        <v/>
      </c>
      <c r="C6191" s="61"/>
      <c r="D6191" s="61"/>
      <c r="E6191" s="61"/>
      <c r="F6191" s="69"/>
      <c r="G6191" s="64"/>
      <c r="H6191" s="321"/>
      <c r="I6191" s="385"/>
      <c r="J6191" s="392"/>
      <c r="K6191" s="385"/>
      <c r="L6191" s="392"/>
      <c r="M6191" s="62"/>
      <c r="N6191" s="63"/>
      <c r="O6191" s="63"/>
      <c r="P6191" s="79" t="str">
        <f>IF(AND('331-CT'!$E$7=TH!H6191,OR(N6191="331",O6191="331")),"x","")</f>
        <v/>
      </c>
      <c r="Q6191" s="79" t="str">
        <f>IF(AND(B6191='111'!$L$11,OR($N6191=$Q$7,$O6191=$Q$7)),"x","")</f>
        <v/>
      </c>
      <c r="R6191" s="79" t="str">
        <f>IF(AND($N6191=$Q$7,$B6191&lt;'111'!$L$11),"x","")</f>
        <v/>
      </c>
      <c r="S6191" s="79" t="str">
        <f>IF(AND($O6191=$Q$7,$B6191&lt;'111'!$L$11),"x","")</f>
        <v/>
      </c>
      <c r="T6191" s="79" t="str">
        <f>IF(ISERROR(FIND('112'!$M$9,G6191,1)),"",IF((AND(FIND('112'!$M$9,G6191,1)&gt;=1,B6191='112'!$K$9,OR($N6191='112'!$I$6,$O6191='112'!$I$6))),"x",""))</f>
        <v/>
      </c>
      <c r="U6191" s="79" t="str">
        <f>IF(ISERROR(FIND('112'!$M$9,G6191,1)),"",IF((AND(LEFT(G6191,2)=LEFT('112'!$M$9,2),B6191&lt;'112'!$K$9,$N6191='112'!$I$6)),"x",""))</f>
        <v/>
      </c>
      <c r="V6191" s="79" t="str">
        <f>IF(ISERROR(FIND('112'!$M$9,G6191,1)),"",IF((AND(RIGHT(G6191,2)=RIGHT('112'!$M$9,2),B6191&lt;'112'!$K$9,$O6191='112'!$I$6)),"x",""))</f>
        <v/>
      </c>
      <c r="W6191" s="79" t="str">
        <f>IF(AND('341-CT'!$H$9=H6191,OR(LEFT(N6191,3)=$W$7,LEFT(O6191,3)=$W$7)),"x","")</f>
        <v/>
      </c>
      <c r="X6191" s="79" t="str">
        <f>IF(OR(TH!N6191=TH!$X$7,O6191=TH!$X$7),"x","")</f>
        <v/>
      </c>
      <c r="Y6191" s="79" t="str">
        <f>IF(AND(OR(N6191="131",O6191="131"),H6191='131-CT'!$H$9),"x","")</f>
        <v/>
      </c>
      <c r="Z6191" s="79"/>
      <c r="AA6191" s="79" t="str">
        <f>IF(AND(MONTH(E6191)='IN-NX'!$J$5,'IN-NX'!$D$7=D6191),"x","")</f>
        <v/>
      </c>
      <c r="AB6191" s="79" t="str">
        <f>IF(AND(OR(LEFT(TH!N6191,2)="15",LEFT(TH!O6191,2)="15"),LEFT(TH!O6191,3)&lt;&gt;"111",'152-CT'!$J$8=TH!F6191),"x","")</f>
        <v/>
      </c>
      <c r="AC6191" s="79" t="str">
        <f>IF(AND(OR(LEFT(TH!N6191,2)="15",LEFT(TH!O6191,2)="15"),TK!$E$7=TH!F6191),"x","")</f>
        <v/>
      </c>
      <c r="AD6191" s="79" t="str">
        <f>IF(AND(N6191="1521",MONTH(C6191)='BK-NL'!$M$11),"x","")</f>
        <v/>
      </c>
    </row>
    <row r="6192" spans="1:30" ht="16.5" customHeight="1">
      <c r="A6192" s="318" t="str">
        <f>IF(B6192&lt;&gt;"",IF(AND(B6192='IN-TC'!$S$4,OR(TH!N6192="1111",TH!O6192="1111")),TH!D6192,""),"")</f>
        <v/>
      </c>
      <c r="B6192" s="60" t="str">
        <f t="shared" si="517"/>
        <v/>
      </c>
      <c r="C6192" s="61"/>
      <c r="D6192" s="61"/>
      <c r="E6192" s="61"/>
      <c r="F6192" s="69"/>
      <c r="G6192" s="64"/>
      <c r="H6192" s="321"/>
      <c r="I6192" s="385"/>
      <c r="J6192" s="392"/>
      <c r="K6192" s="385"/>
      <c r="L6192" s="392"/>
      <c r="M6192" s="62"/>
      <c r="N6192" s="63"/>
      <c r="O6192" s="63"/>
      <c r="P6192" s="79" t="str">
        <f>IF(AND('331-CT'!$E$7=TH!H6192,OR(N6192="331",O6192="331")),"x","")</f>
        <v/>
      </c>
      <c r="Q6192" s="79" t="str">
        <f>IF(AND(B6192='111'!$L$11,OR($N6192=$Q$7,$O6192=$Q$7)),"x","")</f>
        <v/>
      </c>
      <c r="R6192" s="79" t="str">
        <f>IF(AND($N6192=$Q$7,$B6192&lt;'111'!$L$11),"x","")</f>
        <v/>
      </c>
      <c r="S6192" s="79" t="str">
        <f>IF(AND($O6192=$Q$7,$B6192&lt;'111'!$L$11),"x","")</f>
        <v/>
      </c>
      <c r="T6192" s="79" t="str">
        <f>IF(ISERROR(FIND('112'!$M$9,G6192,1)),"",IF((AND(FIND('112'!$M$9,G6192,1)&gt;=1,B6192='112'!$K$9,OR($N6192='112'!$I$6,$O6192='112'!$I$6))),"x",""))</f>
        <v/>
      </c>
      <c r="U6192" s="79" t="str">
        <f>IF(ISERROR(FIND('112'!$M$9,G6192,1)),"",IF((AND(LEFT(G6192,2)=LEFT('112'!$M$9,2),B6192&lt;'112'!$K$9,$N6192='112'!$I$6)),"x",""))</f>
        <v/>
      </c>
      <c r="V6192" s="79" t="str">
        <f>IF(ISERROR(FIND('112'!$M$9,G6192,1)),"",IF((AND(RIGHT(G6192,2)=RIGHT('112'!$M$9,2),B6192&lt;'112'!$K$9,$O6192='112'!$I$6)),"x",""))</f>
        <v/>
      </c>
      <c r="W6192" s="79" t="str">
        <f>IF(AND('341-CT'!$H$9=H6192,OR(LEFT(N6192,3)=$W$7,LEFT(O6192,3)=$W$7)),"x","")</f>
        <v/>
      </c>
      <c r="X6192" s="79" t="str">
        <f>IF(OR(TH!N6192=TH!$X$7,O6192=TH!$X$7),"x","")</f>
        <v/>
      </c>
      <c r="Y6192" s="79" t="str">
        <f>IF(AND(OR(N6192="131",O6192="131"),H6192='131-CT'!$H$9),"x","")</f>
        <v/>
      </c>
      <c r="Z6192" s="79"/>
      <c r="AA6192" s="79" t="str">
        <f>IF(AND(MONTH(E6192)='IN-NX'!$J$5,'IN-NX'!$D$7=D6192),"x","")</f>
        <v/>
      </c>
      <c r="AB6192" s="79" t="str">
        <f>IF(AND(OR(LEFT(TH!N6192,2)="15",LEFT(TH!O6192,2)="15"),LEFT(TH!O6192,3)&lt;&gt;"111",'152-CT'!$J$8=TH!F6192),"x","")</f>
        <v/>
      </c>
      <c r="AC6192" s="79" t="str">
        <f>IF(AND(OR(LEFT(TH!N6192,2)="15",LEFT(TH!O6192,2)="15"),TK!$E$7=TH!F6192),"x","")</f>
        <v/>
      </c>
      <c r="AD6192" s="79" t="str">
        <f>IF(AND(N6192="1521",MONTH(C6192)='BK-NL'!$M$11),"x","")</f>
        <v/>
      </c>
    </row>
    <row r="6193" spans="1:30" ht="16.5" customHeight="1">
      <c r="A6193" s="318" t="str">
        <f>IF(B6193&lt;&gt;"",IF(AND(B6193='IN-TC'!$S$4,OR(TH!N6193="1111",TH!O6193="1111")),TH!D6193,""),"")</f>
        <v/>
      </c>
      <c r="B6193" s="60" t="str">
        <f t="shared" si="517"/>
        <v/>
      </c>
      <c r="C6193" s="61"/>
      <c r="D6193" s="61"/>
      <c r="E6193" s="61"/>
      <c r="F6193" s="69"/>
      <c r="G6193" s="64"/>
      <c r="H6193" s="321"/>
      <c r="I6193" s="385"/>
      <c r="J6193" s="392"/>
      <c r="K6193" s="385"/>
      <c r="L6193" s="392"/>
      <c r="M6193" s="62"/>
      <c r="N6193" s="63"/>
      <c r="O6193" s="63"/>
      <c r="P6193" s="79" t="str">
        <f>IF(AND('331-CT'!$E$7=TH!H6193,OR(N6193="331",O6193="331")),"x","")</f>
        <v/>
      </c>
      <c r="Q6193" s="79" t="str">
        <f>IF(AND(B6193='111'!$L$11,OR($N6193=$Q$7,$O6193=$Q$7)),"x","")</f>
        <v/>
      </c>
      <c r="R6193" s="79" t="str">
        <f>IF(AND($N6193=$Q$7,$B6193&lt;'111'!$L$11),"x","")</f>
        <v/>
      </c>
      <c r="S6193" s="79" t="str">
        <f>IF(AND($O6193=$Q$7,$B6193&lt;'111'!$L$11),"x","")</f>
        <v/>
      </c>
      <c r="T6193" s="79" t="str">
        <f>IF(ISERROR(FIND('112'!$M$9,G6193,1)),"",IF((AND(FIND('112'!$M$9,G6193,1)&gt;=1,B6193='112'!$K$9,OR($N6193='112'!$I$6,$O6193='112'!$I$6))),"x",""))</f>
        <v/>
      </c>
      <c r="U6193" s="79" t="str">
        <f>IF(ISERROR(FIND('112'!$M$9,G6193,1)),"",IF((AND(LEFT(G6193,2)=LEFT('112'!$M$9,2),B6193&lt;'112'!$K$9,$N6193='112'!$I$6)),"x",""))</f>
        <v/>
      </c>
      <c r="V6193" s="79" t="str">
        <f>IF(ISERROR(FIND('112'!$M$9,G6193,1)),"",IF((AND(RIGHT(G6193,2)=RIGHT('112'!$M$9,2),B6193&lt;'112'!$K$9,$O6193='112'!$I$6)),"x",""))</f>
        <v/>
      </c>
      <c r="W6193" s="79" t="str">
        <f>IF(AND('341-CT'!$H$9=H6193,OR(LEFT(N6193,3)=$W$7,LEFT(O6193,3)=$W$7)),"x","")</f>
        <v/>
      </c>
      <c r="X6193" s="79" t="str">
        <f>IF(OR(TH!N6193=TH!$X$7,O6193=TH!$X$7),"x","")</f>
        <v/>
      </c>
      <c r="Y6193" s="79" t="str">
        <f>IF(AND(OR(N6193="131",O6193="131"),H6193='131-CT'!$H$9),"x","")</f>
        <v/>
      </c>
      <c r="Z6193" s="79"/>
      <c r="AA6193" s="79" t="str">
        <f>IF(AND(MONTH(E6193)='IN-NX'!$J$5,'IN-NX'!$D$7=D6193),"x","")</f>
        <v/>
      </c>
      <c r="AB6193" s="79" t="str">
        <f>IF(AND(OR(LEFT(TH!N6193,2)="15",LEFT(TH!O6193,2)="15"),LEFT(TH!O6193,3)&lt;&gt;"111",'152-CT'!$J$8=TH!F6193),"x","")</f>
        <v/>
      </c>
      <c r="AC6193" s="79" t="str">
        <f>IF(AND(OR(LEFT(TH!N6193,2)="15",LEFT(TH!O6193,2)="15"),TK!$E$7=TH!F6193),"x","")</f>
        <v/>
      </c>
      <c r="AD6193" s="79" t="str">
        <f>IF(AND(N6193="1521",MONTH(C6193)='BK-NL'!$M$11),"x","")</f>
        <v/>
      </c>
    </row>
    <row r="6194" spans="1:30" ht="16.5" customHeight="1">
      <c r="A6194" s="318" t="str">
        <f>IF(B6194&lt;&gt;"",IF(AND(B6194='IN-TC'!$S$4,OR(TH!N6194="1111",TH!O6194="1111")),TH!D6194,""),"")</f>
        <v/>
      </c>
      <c r="B6194" s="60" t="str">
        <f t="shared" si="517"/>
        <v/>
      </c>
      <c r="C6194" s="61"/>
      <c r="D6194" s="61"/>
      <c r="E6194" s="61"/>
      <c r="F6194" s="69"/>
      <c r="G6194" s="64"/>
      <c r="H6194" s="321"/>
      <c r="I6194" s="385"/>
      <c r="J6194" s="392"/>
      <c r="K6194" s="385"/>
      <c r="L6194" s="392"/>
      <c r="M6194" s="62"/>
      <c r="N6194" s="63"/>
      <c r="O6194" s="63"/>
      <c r="P6194" s="79" t="str">
        <f>IF(AND('331-CT'!$E$7=TH!H6194,OR(N6194="331",O6194="331")),"x","")</f>
        <v/>
      </c>
      <c r="Q6194" s="79" t="str">
        <f>IF(AND(B6194='111'!$L$11,OR($N6194=$Q$7,$O6194=$Q$7)),"x","")</f>
        <v/>
      </c>
      <c r="R6194" s="79" t="str">
        <f>IF(AND($N6194=$Q$7,$B6194&lt;'111'!$L$11),"x","")</f>
        <v/>
      </c>
      <c r="S6194" s="79" t="str">
        <f>IF(AND($O6194=$Q$7,$B6194&lt;'111'!$L$11),"x","")</f>
        <v/>
      </c>
      <c r="T6194" s="79" t="str">
        <f>IF(ISERROR(FIND('112'!$M$9,G6194,1)),"",IF((AND(FIND('112'!$M$9,G6194,1)&gt;=1,B6194='112'!$K$9,OR($N6194='112'!$I$6,$O6194='112'!$I$6))),"x",""))</f>
        <v/>
      </c>
      <c r="U6194" s="79" t="str">
        <f>IF(ISERROR(FIND('112'!$M$9,G6194,1)),"",IF((AND(LEFT(G6194,2)=LEFT('112'!$M$9,2),B6194&lt;'112'!$K$9,$N6194='112'!$I$6)),"x",""))</f>
        <v/>
      </c>
      <c r="V6194" s="79" t="str">
        <f>IF(ISERROR(FIND('112'!$M$9,G6194,1)),"",IF((AND(RIGHT(G6194,2)=RIGHT('112'!$M$9,2),B6194&lt;'112'!$K$9,$O6194='112'!$I$6)),"x",""))</f>
        <v/>
      </c>
      <c r="W6194" s="79" t="str">
        <f>IF(AND('341-CT'!$H$9=H6194,OR(LEFT(N6194,3)=$W$7,LEFT(O6194,3)=$W$7)),"x","")</f>
        <v/>
      </c>
      <c r="X6194" s="79" t="str">
        <f>IF(OR(TH!N6194=TH!$X$7,O6194=TH!$X$7),"x","")</f>
        <v/>
      </c>
      <c r="Y6194" s="79" t="str">
        <f>IF(AND(OR(N6194="131",O6194="131"),H6194='131-CT'!$H$9),"x","")</f>
        <v/>
      </c>
      <c r="Z6194" s="79"/>
      <c r="AA6194" s="79" t="str">
        <f>IF(AND(MONTH(E6194)='IN-NX'!$J$5,'IN-NX'!$D$7=D6194),"x","")</f>
        <v/>
      </c>
      <c r="AB6194" s="79" t="str">
        <f>IF(AND(OR(LEFT(TH!N6194,2)="15",LEFT(TH!O6194,2)="15"),LEFT(TH!O6194,3)&lt;&gt;"111",'152-CT'!$J$8=TH!F6194),"x","")</f>
        <v/>
      </c>
      <c r="AC6194" s="79" t="str">
        <f>IF(AND(OR(LEFT(TH!N6194,2)="15",LEFT(TH!O6194,2)="15"),TK!$E$7=TH!F6194),"x","")</f>
        <v/>
      </c>
      <c r="AD6194" s="79" t="str">
        <f>IF(AND(N6194="1521",MONTH(C6194)='BK-NL'!$M$11),"x","")</f>
        <v/>
      </c>
    </row>
    <row r="6195" spans="1:30" ht="16.5" customHeight="1">
      <c r="A6195" s="318" t="str">
        <f>IF(B6195&lt;&gt;"",IF(AND(B6195='IN-TC'!$S$4,OR(TH!N6195="1111",TH!O6195="1111")),TH!D6195,""),"")</f>
        <v/>
      </c>
      <c r="B6195" s="60" t="str">
        <f t="shared" si="517"/>
        <v/>
      </c>
      <c r="C6195" s="61"/>
      <c r="D6195" s="61"/>
      <c r="E6195" s="61"/>
      <c r="F6195" s="69"/>
      <c r="G6195" s="64"/>
      <c r="H6195" s="321"/>
      <c r="I6195" s="387"/>
      <c r="J6195" s="394"/>
      <c r="K6195" s="387"/>
      <c r="L6195" s="394"/>
      <c r="M6195" s="62"/>
      <c r="N6195" s="63"/>
      <c r="O6195" s="63"/>
      <c r="P6195" s="79" t="str">
        <f>IF(AND('331-CT'!$E$7=TH!H6195,OR(N6195="331",O6195="331")),"x","")</f>
        <v/>
      </c>
      <c r="Q6195" s="79" t="str">
        <f>IF(AND(B6195='111'!$L$11,OR($N6195=$Q$7,$O6195=$Q$7)),"x","")</f>
        <v/>
      </c>
      <c r="R6195" s="79" t="str">
        <f>IF(AND($N6195=$Q$7,$B6195&lt;'111'!$L$11),"x","")</f>
        <v/>
      </c>
      <c r="S6195" s="79" t="str">
        <f>IF(AND($O6195=$Q$7,$B6195&lt;'111'!$L$11),"x","")</f>
        <v/>
      </c>
      <c r="T6195" s="79" t="str">
        <f>IF(ISERROR(FIND('112'!$M$9,G6195,1)),"",IF((AND(FIND('112'!$M$9,G6195,1)&gt;=1,B6195='112'!$K$9,OR($N6195='112'!$I$6,$O6195='112'!$I$6))),"x",""))</f>
        <v/>
      </c>
      <c r="U6195" s="79" t="str">
        <f>IF(ISERROR(FIND('112'!$M$9,G6195,1)),"",IF((AND(LEFT(G6195,2)=LEFT('112'!$M$9,2),B6195&lt;'112'!$K$9,$N6195='112'!$I$6)),"x",""))</f>
        <v/>
      </c>
      <c r="V6195" s="79" t="str">
        <f>IF(ISERROR(FIND('112'!$M$9,G6195,1)),"",IF((AND(RIGHT(G6195,2)=RIGHT('112'!$M$9,2),B6195&lt;'112'!$K$9,$O6195='112'!$I$6)),"x",""))</f>
        <v/>
      </c>
      <c r="W6195" s="79" t="str">
        <f>IF(AND('341-CT'!$H$9=H6195,OR(LEFT(N6195,3)=$W$7,LEFT(O6195,3)=$W$7)),"x","")</f>
        <v/>
      </c>
      <c r="X6195" s="79" t="str">
        <f>IF(OR(TH!N6195=TH!$X$7,O6195=TH!$X$7),"x","")</f>
        <v/>
      </c>
      <c r="Y6195" s="79" t="str">
        <f>IF(AND(OR(N6195="131",O6195="131"),H6195='131-CT'!$H$9),"x","")</f>
        <v/>
      </c>
      <c r="Z6195" s="79"/>
      <c r="AA6195" s="79" t="str">
        <f>IF(AND(MONTH(E6195)='IN-NX'!$J$5,'IN-NX'!$D$7=D6195),"x","")</f>
        <v/>
      </c>
      <c r="AB6195" s="79" t="str">
        <f>IF(AND(OR(LEFT(TH!N6195,2)="15",LEFT(TH!O6195,2)="15"),LEFT(TH!O6195,3)&lt;&gt;"111",'152-CT'!$J$8=TH!F6195),"x","")</f>
        <v/>
      </c>
      <c r="AC6195" s="79" t="str">
        <f>IF(AND(OR(LEFT(TH!N6195,2)="15",LEFT(TH!O6195,2)="15"),TK!$E$7=TH!F6195),"x","")</f>
        <v/>
      </c>
      <c r="AD6195" s="79" t="str">
        <f>IF(AND(N6195="1521",MONTH(C6195)='BK-NL'!$M$11),"x","")</f>
        <v/>
      </c>
    </row>
    <row r="6196" spans="1:30" ht="16.5" customHeight="1">
      <c r="A6196" s="318" t="str">
        <f>IF(B6196&lt;&gt;"",IF(AND(B6196='IN-TC'!$S$4,OR(TH!N6196="1111",TH!O6196="1111")),TH!D6196,""),"")</f>
        <v/>
      </c>
      <c r="B6196" s="60" t="str">
        <f t="shared" si="517"/>
        <v/>
      </c>
      <c r="C6196" s="61"/>
      <c r="D6196" s="61"/>
      <c r="E6196" s="61"/>
      <c r="F6196" s="69"/>
      <c r="G6196" s="64"/>
      <c r="H6196" s="321"/>
      <c r="I6196" s="385"/>
      <c r="J6196" s="392"/>
      <c r="K6196" s="385"/>
      <c r="L6196" s="392"/>
      <c r="M6196" s="62"/>
      <c r="N6196" s="63"/>
      <c r="O6196" s="63"/>
      <c r="P6196" s="79" t="str">
        <f>IF(AND('331-CT'!$E$7=TH!H6196,OR(N6196="331",O6196="331")),"x","")</f>
        <v/>
      </c>
      <c r="Q6196" s="79" t="str">
        <f>IF(AND(B6196='111'!$L$11,OR($N6196=$Q$7,$O6196=$Q$7)),"x","")</f>
        <v/>
      </c>
      <c r="R6196" s="79" t="str">
        <f>IF(AND($N6196=$Q$7,$B6196&lt;'111'!$L$11),"x","")</f>
        <v/>
      </c>
      <c r="S6196" s="79" t="str">
        <f>IF(AND($O6196=$Q$7,$B6196&lt;'111'!$L$11),"x","")</f>
        <v/>
      </c>
      <c r="T6196" s="79" t="str">
        <f>IF(ISERROR(FIND('112'!$M$9,G6196,1)),"",IF((AND(FIND('112'!$M$9,G6196,1)&gt;=1,B6196='112'!$K$9,OR($N6196='112'!$I$6,$O6196='112'!$I$6))),"x",""))</f>
        <v/>
      </c>
      <c r="U6196" s="79" t="str">
        <f>IF(ISERROR(FIND('112'!$M$9,G6196,1)),"",IF((AND(LEFT(G6196,2)=LEFT('112'!$M$9,2),B6196&lt;'112'!$K$9,$N6196='112'!$I$6)),"x",""))</f>
        <v/>
      </c>
      <c r="V6196" s="79" t="str">
        <f>IF(ISERROR(FIND('112'!$M$9,G6196,1)),"",IF((AND(RIGHT(G6196,2)=RIGHT('112'!$M$9,2),B6196&lt;'112'!$K$9,$O6196='112'!$I$6)),"x",""))</f>
        <v/>
      </c>
      <c r="W6196" s="79" t="str">
        <f>IF(AND('341-CT'!$H$9=H6196,OR(LEFT(N6196,3)=$W$7,LEFT(O6196,3)=$W$7)),"x","")</f>
        <v/>
      </c>
      <c r="X6196" s="79" t="str">
        <f>IF(OR(TH!N6196=TH!$X$7,O6196=TH!$X$7),"x","")</f>
        <v/>
      </c>
      <c r="Y6196" s="79" t="str">
        <f>IF(AND(OR(N6196="131",O6196="131"),H6196='131-CT'!$H$9),"x","")</f>
        <v/>
      </c>
      <c r="Z6196" s="79"/>
      <c r="AA6196" s="79" t="str">
        <f>IF(AND(MONTH(E6196)='IN-NX'!$J$5,'IN-NX'!$D$7=D6196),"x","")</f>
        <v/>
      </c>
      <c r="AB6196" s="79" t="str">
        <f>IF(AND(OR(LEFT(TH!N6196,2)="15",LEFT(TH!O6196,2)="15"),LEFT(TH!O6196,3)&lt;&gt;"111",'152-CT'!$J$8=TH!F6196),"x","")</f>
        <v/>
      </c>
      <c r="AC6196" s="79" t="str">
        <f>IF(AND(OR(LEFT(TH!N6196,2)="15",LEFT(TH!O6196,2)="15"),TK!$E$7=TH!F6196),"x","")</f>
        <v/>
      </c>
      <c r="AD6196" s="79" t="str">
        <f>IF(AND(N6196="1521",MONTH(C6196)='BK-NL'!$M$11),"x","")</f>
        <v/>
      </c>
    </row>
    <row r="6197" spans="1:30" ht="16.5" customHeight="1">
      <c r="A6197" s="318" t="str">
        <f>IF(B6197&lt;&gt;"",IF(AND(B6197='IN-TC'!$S$4,OR(TH!N6197="1111",TH!O6197="1111")),TH!D6197,""),"")</f>
        <v/>
      </c>
      <c r="B6197" s="60" t="str">
        <f t="shared" si="517"/>
        <v/>
      </c>
      <c r="C6197" s="61"/>
      <c r="D6197" s="61"/>
      <c r="E6197" s="61"/>
      <c r="F6197" s="69"/>
      <c r="G6197" s="64"/>
      <c r="H6197" s="321"/>
      <c r="I6197" s="385"/>
      <c r="J6197" s="392"/>
      <c r="K6197" s="385"/>
      <c r="L6197" s="392"/>
      <c r="M6197" s="62"/>
      <c r="N6197" s="63"/>
      <c r="O6197" s="63"/>
      <c r="P6197" s="79" t="str">
        <f>IF(AND('331-CT'!$E$7=TH!H6197,OR(N6197="331",O6197="331")),"x","")</f>
        <v/>
      </c>
      <c r="Q6197" s="79" t="str">
        <f>IF(AND(B6197='111'!$L$11,OR($N6197=$Q$7,$O6197=$Q$7)),"x","")</f>
        <v/>
      </c>
      <c r="R6197" s="79" t="str">
        <f>IF(AND($N6197=$Q$7,$B6197&lt;'111'!$L$11),"x","")</f>
        <v/>
      </c>
      <c r="S6197" s="79" t="str">
        <f>IF(AND($O6197=$Q$7,$B6197&lt;'111'!$L$11),"x","")</f>
        <v/>
      </c>
      <c r="T6197" s="79" t="str">
        <f>IF(ISERROR(FIND('112'!$M$9,G6197,1)),"",IF((AND(FIND('112'!$M$9,G6197,1)&gt;=1,B6197='112'!$K$9,OR($N6197='112'!$I$6,$O6197='112'!$I$6))),"x",""))</f>
        <v/>
      </c>
      <c r="U6197" s="79" t="str">
        <f>IF(ISERROR(FIND('112'!$M$9,G6197,1)),"",IF((AND(LEFT(G6197,2)=LEFT('112'!$M$9,2),B6197&lt;'112'!$K$9,$N6197='112'!$I$6)),"x",""))</f>
        <v/>
      </c>
      <c r="V6197" s="79" t="str">
        <f>IF(ISERROR(FIND('112'!$M$9,G6197,1)),"",IF((AND(RIGHT(G6197,2)=RIGHT('112'!$M$9,2),B6197&lt;'112'!$K$9,$O6197='112'!$I$6)),"x",""))</f>
        <v/>
      </c>
      <c r="W6197" s="79" t="str">
        <f>IF(AND('341-CT'!$H$9=H6197,OR(LEFT(N6197,3)=$W$7,LEFT(O6197,3)=$W$7)),"x","")</f>
        <v/>
      </c>
      <c r="X6197" s="79" t="str">
        <f>IF(OR(TH!N6197=TH!$X$7,O6197=TH!$X$7),"x","")</f>
        <v/>
      </c>
      <c r="Y6197" s="79" t="str">
        <f>IF(AND(OR(N6197="131",O6197="131"),H6197='131-CT'!$H$9),"x","")</f>
        <v/>
      </c>
      <c r="Z6197" s="79"/>
      <c r="AA6197" s="79" t="str">
        <f>IF(AND(MONTH(E6197)='IN-NX'!$J$5,'IN-NX'!$D$7=D6197),"x","")</f>
        <v/>
      </c>
      <c r="AB6197" s="79" t="str">
        <f>IF(AND(OR(LEFT(TH!N6197,2)="15",LEFT(TH!O6197,2)="15"),LEFT(TH!O6197,3)&lt;&gt;"111",'152-CT'!$J$8=TH!F6197),"x","")</f>
        <v/>
      </c>
      <c r="AC6197" s="79" t="str">
        <f>IF(AND(OR(LEFT(TH!N6197,2)="15",LEFT(TH!O6197,2)="15"),TK!$E$7=TH!F6197),"x","")</f>
        <v/>
      </c>
      <c r="AD6197" s="79" t="str">
        <f>IF(AND(N6197="1521",MONTH(C6197)='BK-NL'!$M$11),"x","")</f>
        <v/>
      </c>
    </row>
    <row r="6198" spans="1:30" ht="16.5" customHeight="1">
      <c r="A6198" s="318" t="str">
        <f>IF(B6198&lt;&gt;"",IF(AND(B6198='IN-TC'!$S$4,OR(TH!N6198="1111",TH!O6198="1111")),TH!D6198,""),"")</f>
        <v/>
      </c>
      <c r="B6198" s="60" t="str">
        <f t="shared" si="517"/>
        <v/>
      </c>
      <c r="C6198" s="61"/>
      <c r="D6198" s="61"/>
      <c r="E6198" s="61"/>
      <c r="F6198" s="69"/>
      <c r="G6198" s="64"/>
      <c r="H6198" s="321"/>
      <c r="I6198" s="385"/>
      <c r="J6198" s="392"/>
      <c r="K6198" s="385"/>
      <c r="L6198" s="392"/>
      <c r="M6198" s="62"/>
      <c r="N6198" s="63"/>
      <c r="O6198" s="63"/>
      <c r="P6198" s="79" t="str">
        <f>IF(AND('331-CT'!$E$7=TH!H6198,OR(N6198="331",O6198="331")),"x","")</f>
        <v/>
      </c>
      <c r="Q6198" s="79" t="str">
        <f>IF(AND(B6198='111'!$L$11,OR($N6198=$Q$7,$O6198=$Q$7)),"x","")</f>
        <v/>
      </c>
      <c r="R6198" s="79" t="str">
        <f>IF(AND($N6198=$Q$7,$B6198&lt;'111'!$L$11),"x","")</f>
        <v/>
      </c>
      <c r="S6198" s="79" t="str">
        <f>IF(AND($O6198=$Q$7,$B6198&lt;'111'!$L$11),"x","")</f>
        <v/>
      </c>
      <c r="T6198" s="79" t="str">
        <f>IF(ISERROR(FIND('112'!$M$9,G6198,1)),"",IF((AND(FIND('112'!$M$9,G6198,1)&gt;=1,B6198='112'!$K$9,OR($N6198='112'!$I$6,$O6198='112'!$I$6))),"x",""))</f>
        <v/>
      </c>
      <c r="U6198" s="79" t="str">
        <f>IF(ISERROR(FIND('112'!$M$9,G6198,1)),"",IF((AND(LEFT(G6198,2)=LEFT('112'!$M$9,2),B6198&lt;'112'!$K$9,$N6198='112'!$I$6)),"x",""))</f>
        <v/>
      </c>
      <c r="V6198" s="79" t="str">
        <f>IF(ISERROR(FIND('112'!$M$9,G6198,1)),"",IF((AND(RIGHT(G6198,2)=RIGHT('112'!$M$9,2),B6198&lt;'112'!$K$9,$O6198='112'!$I$6)),"x",""))</f>
        <v/>
      </c>
      <c r="W6198" s="79" t="str">
        <f>IF(AND('341-CT'!$H$9=H6198,OR(LEFT(N6198,3)=$W$7,LEFT(O6198,3)=$W$7)),"x","")</f>
        <v/>
      </c>
      <c r="X6198" s="79" t="str">
        <f>IF(OR(TH!N6198=TH!$X$7,O6198=TH!$X$7),"x","")</f>
        <v/>
      </c>
      <c r="Y6198" s="79" t="str">
        <f>IF(AND(OR(N6198="131",O6198="131"),H6198='131-CT'!$H$9),"x","")</f>
        <v/>
      </c>
      <c r="Z6198" s="79"/>
      <c r="AA6198" s="79" t="str">
        <f>IF(AND(MONTH(E6198)='IN-NX'!$J$5,'IN-NX'!$D$7=D6198),"x","")</f>
        <v/>
      </c>
      <c r="AB6198" s="79" t="str">
        <f>IF(AND(OR(LEFT(TH!N6198,2)="15",LEFT(TH!O6198,2)="15"),LEFT(TH!O6198,3)&lt;&gt;"111",'152-CT'!$J$8=TH!F6198),"x","")</f>
        <v/>
      </c>
      <c r="AC6198" s="79" t="str">
        <f>IF(AND(OR(LEFT(TH!N6198,2)="15",LEFT(TH!O6198,2)="15"),TK!$E$7=TH!F6198),"x","")</f>
        <v/>
      </c>
      <c r="AD6198" s="79" t="str">
        <f>IF(AND(N6198="1521",MONTH(C6198)='BK-NL'!$M$11),"x","")</f>
        <v/>
      </c>
    </row>
    <row r="6199" spans="1:30" ht="16.5" customHeight="1">
      <c r="A6199" s="318" t="str">
        <f>IF(B6199&lt;&gt;"",IF(AND(B6199='IN-TC'!$S$4,OR(TH!N6199="1111",TH!O6199="1111")),TH!D6199,""),"")</f>
        <v/>
      </c>
      <c r="B6199" s="60" t="str">
        <f t="shared" si="517"/>
        <v/>
      </c>
      <c r="C6199" s="61"/>
      <c r="D6199" s="61"/>
      <c r="E6199" s="61"/>
      <c r="F6199" s="69"/>
      <c r="G6199" s="64"/>
      <c r="H6199" s="321"/>
      <c r="I6199" s="385"/>
      <c r="J6199" s="392"/>
      <c r="K6199" s="385"/>
      <c r="L6199" s="392"/>
      <c r="M6199" s="62"/>
      <c r="N6199" s="63"/>
      <c r="O6199" s="63"/>
      <c r="P6199" s="79" t="str">
        <f>IF(AND('331-CT'!$E$7=TH!H6199,OR(N6199="331",O6199="331")),"x","")</f>
        <v/>
      </c>
      <c r="Q6199" s="79" t="str">
        <f>IF(AND(B6199='111'!$L$11,OR($N6199=$Q$7,$O6199=$Q$7)),"x","")</f>
        <v/>
      </c>
      <c r="R6199" s="79" t="str">
        <f>IF(AND($N6199=$Q$7,$B6199&lt;'111'!$L$11),"x","")</f>
        <v/>
      </c>
      <c r="S6199" s="79" t="str">
        <f>IF(AND($O6199=$Q$7,$B6199&lt;'111'!$L$11),"x","")</f>
        <v/>
      </c>
      <c r="T6199" s="79" t="str">
        <f>IF(ISERROR(FIND('112'!$M$9,G6199,1)),"",IF((AND(FIND('112'!$M$9,G6199,1)&gt;=1,B6199='112'!$K$9,OR($N6199='112'!$I$6,$O6199='112'!$I$6))),"x",""))</f>
        <v/>
      </c>
      <c r="U6199" s="79" t="str">
        <f>IF(ISERROR(FIND('112'!$M$9,G6199,1)),"",IF((AND(LEFT(G6199,2)=LEFT('112'!$M$9,2),B6199&lt;'112'!$K$9,$N6199='112'!$I$6)),"x",""))</f>
        <v/>
      </c>
      <c r="V6199" s="79" t="str">
        <f>IF(ISERROR(FIND('112'!$M$9,G6199,1)),"",IF((AND(RIGHT(G6199,2)=RIGHT('112'!$M$9,2),B6199&lt;'112'!$K$9,$O6199='112'!$I$6)),"x",""))</f>
        <v/>
      </c>
      <c r="W6199" s="79" t="str">
        <f>IF(AND('341-CT'!$H$9=H6199,OR(LEFT(N6199,3)=$W$7,LEFT(O6199,3)=$W$7)),"x","")</f>
        <v/>
      </c>
      <c r="X6199" s="79" t="str">
        <f>IF(OR(TH!N6199=TH!$X$7,O6199=TH!$X$7),"x","")</f>
        <v/>
      </c>
      <c r="Y6199" s="79" t="str">
        <f>IF(AND(OR(N6199="131",O6199="131"),H6199='131-CT'!$H$9),"x","")</f>
        <v/>
      </c>
      <c r="Z6199" s="79"/>
      <c r="AA6199" s="79" t="str">
        <f>IF(AND(MONTH(E6199)='IN-NX'!$J$5,'IN-NX'!$D$7=D6199),"x","")</f>
        <v/>
      </c>
      <c r="AB6199" s="79" t="str">
        <f>IF(AND(OR(LEFT(TH!N6199,2)="15",LEFT(TH!O6199,2)="15"),LEFT(TH!O6199,3)&lt;&gt;"111",'152-CT'!$J$8=TH!F6199),"x","")</f>
        <v/>
      </c>
      <c r="AC6199" s="79" t="str">
        <f>IF(AND(OR(LEFT(TH!N6199,2)="15",LEFT(TH!O6199,2)="15"),TK!$E$7=TH!F6199),"x","")</f>
        <v/>
      </c>
      <c r="AD6199" s="79" t="str">
        <f>IF(AND(N6199="1521",MONTH(C6199)='BK-NL'!$M$11),"x","")</f>
        <v/>
      </c>
    </row>
    <row r="6200" spans="1:30" ht="16.5" customHeight="1">
      <c r="A6200" s="318" t="str">
        <f>IF(B6200&lt;&gt;"",IF(AND(B6200='IN-TC'!$S$4,OR(TH!N6200="1111",TH!O6200="1111")),TH!D6200,""),"")</f>
        <v/>
      </c>
      <c r="B6200" s="60" t="str">
        <f t="shared" si="517"/>
        <v/>
      </c>
      <c r="C6200" s="61"/>
      <c r="D6200" s="61"/>
      <c r="E6200" s="61"/>
      <c r="F6200" s="69"/>
      <c r="G6200" s="64"/>
      <c r="H6200" s="321"/>
      <c r="I6200" s="387"/>
      <c r="J6200" s="394"/>
      <c r="K6200" s="387"/>
      <c r="L6200" s="394"/>
      <c r="M6200" s="62"/>
      <c r="N6200" s="63"/>
      <c r="O6200" s="63"/>
      <c r="P6200" s="79" t="str">
        <f>IF(AND('331-CT'!$E$7=TH!H6200,OR(N6200="331",O6200="331")),"x","")</f>
        <v/>
      </c>
      <c r="Q6200" s="79" t="str">
        <f>IF(AND(B6200='111'!$L$11,OR($N6200=$Q$7,$O6200=$Q$7)),"x","")</f>
        <v/>
      </c>
      <c r="R6200" s="79" t="str">
        <f>IF(AND($N6200=$Q$7,$B6200&lt;'111'!$L$11),"x","")</f>
        <v/>
      </c>
      <c r="S6200" s="79" t="str">
        <f>IF(AND($O6200=$Q$7,$B6200&lt;'111'!$L$11),"x","")</f>
        <v/>
      </c>
      <c r="T6200" s="79" t="str">
        <f>IF(ISERROR(FIND('112'!$M$9,G6200,1)),"",IF((AND(FIND('112'!$M$9,G6200,1)&gt;=1,B6200='112'!$K$9,OR($N6200='112'!$I$6,$O6200='112'!$I$6))),"x",""))</f>
        <v/>
      </c>
      <c r="U6200" s="79" t="str">
        <f>IF(ISERROR(FIND('112'!$M$9,G6200,1)),"",IF((AND(LEFT(G6200,2)=LEFT('112'!$M$9,2),B6200&lt;'112'!$K$9,$N6200='112'!$I$6)),"x",""))</f>
        <v/>
      </c>
      <c r="V6200" s="79" t="str">
        <f>IF(ISERROR(FIND('112'!$M$9,G6200,1)),"",IF((AND(RIGHT(G6200,2)=RIGHT('112'!$M$9,2),B6200&lt;'112'!$K$9,$O6200='112'!$I$6)),"x",""))</f>
        <v/>
      </c>
      <c r="W6200" s="79" t="str">
        <f>IF(AND('341-CT'!$H$9=H6200,OR(LEFT(N6200,3)=$W$7,LEFT(O6200,3)=$W$7)),"x","")</f>
        <v/>
      </c>
      <c r="X6200" s="79" t="str">
        <f>IF(OR(TH!N6200=TH!$X$7,O6200=TH!$X$7),"x","")</f>
        <v/>
      </c>
      <c r="Y6200" s="79" t="str">
        <f>IF(AND(OR(N6200="131",O6200="131"),H6200='131-CT'!$H$9),"x","")</f>
        <v/>
      </c>
      <c r="Z6200" s="79"/>
      <c r="AA6200" s="79" t="str">
        <f>IF(AND(MONTH(E6200)='IN-NX'!$J$5,'IN-NX'!$D$7=D6200),"x","")</f>
        <v/>
      </c>
      <c r="AB6200" s="79" t="str">
        <f>IF(AND(OR(LEFT(TH!N6200,2)="15",LEFT(TH!O6200,2)="15"),LEFT(TH!O6200,3)&lt;&gt;"111",'152-CT'!$J$8=TH!F6200),"x","")</f>
        <v/>
      </c>
      <c r="AC6200" s="79" t="str">
        <f>IF(AND(OR(LEFT(TH!N6200,2)="15",LEFT(TH!O6200,2)="15"),TK!$E$7=TH!F6200),"x","")</f>
        <v/>
      </c>
      <c r="AD6200" s="79" t="str">
        <f>IF(AND(N6200="1521",MONTH(C6200)='BK-NL'!$M$11),"x","")</f>
        <v/>
      </c>
    </row>
    <row r="6201" spans="1:30" ht="16.5" customHeight="1">
      <c r="A6201" s="318" t="str">
        <f>IF(B6201&lt;&gt;"",IF(AND(B6201='IN-TC'!$S$4,OR(TH!N6201="1111",TH!O6201="1111")),TH!D6201,""),"")</f>
        <v/>
      </c>
      <c r="B6201" s="60" t="str">
        <f t="shared" si="517"/>
        <v/>
      </c>
      <c r="C6201" s="61"/>
      <c r="D6201" s="61"/>
      <c r="E6201" s="61"/>
      <c r="F6201" s="69"/>
      <c r="G6201" s="766"/>
      <c r="H6201" s="69"/>
      <c r="I6201" s="385"/>
      <c r="J6201" s="392"/>
      <c r="K6201" s="385"/>
      <c r="L6201" s="392"/>
      <c r="M6201" s="62"/>
      <c r="N6201" s="63"/>
      <c r="O6201" s="63"/>
      <c r="P6201" s="79" t="str">
        <f>IF(AND('331-CT'!$E$7=TH!H6201,OR(N6201="331",O6201="331")),"x","")</f>
        <v/>
      </c>
      <c r="Q6201" s="79" t="str">
        <f>IF(AND(B6201='111'!$L$11,OR($N6201=$Q$7,$O6201=$Q$7)),"x","")</f>
        <v/>
      </c>
      <c r="R6201" s="79" t="str">
        <f>IF(AND($N6201=$Q$7,$B6201&lt;'111'!$L$11),"x","")</f>
        <v/>
      </c>
      <c r="S6201" s="79" t="str">
        <f>IF(AND($O6201=$Q$7,$B6201&lt;'111'!$L$11),"x","")</f>
        <v/>
      </c>
      <c r="T6201" s="79" t="str">
        <f>IF(ISERROR(FIND('112'!$M$9,G6201,1)),"",IF((AND(FIND('112'!$M$9,G6201,1)&gt;=1,B6201='112'!$K$9,OR($N6201='112'!$I$6,$O6201='112'!$I$6))),"x",""))</f>
        <v/>
      </c>
      <c r="U6201" s="79" t="str">
        <f>IF(ISERROR(FIND('112'!$M$9,G6201,1)),"",IF((AND(LEFT(G6201,2)=LEFT('112'!$M$9,2),B6201&lt;'112'!$K$9,$N6201='112'!$I$6)),"x",""))</f>
        <v/>
      </c>
      <c r="V6201" s="79" t="str">
        <f>IF(ISERROR(FIND('112'!$M$9,G6201,1)),"",IF((AND(RIGHT(G6201,2)=RIGHT('112'!$M$9,2),B6201&lt;'112'!$K$9,$O6201='112'!$I$6)),"x",""))</f>
        <v/>
      </c>
      <c r="W6201" s="79" t="str">
        <f>IF(AND('341-CT'!$H$9=H6201,OR(LEFT(N6201,3)=$W$7,LEFT(O6201,3)=$W$7)),"x","")</f>
        <v/>
      </c>
      <c r="X6201" s="79" t="str">
        <f>IF(OR(TH!N6201=TH!$X$7,O6201=TH!$X$7),"x","")</f>
        <v/>
      </c>
      <c r="Y6201" s="79" t="str">
        <f>IF(AND(OR(N6201="131",O6201="131"),H6201='131-CT'!$H$9),"x","")</f>
        <v/>
      </c>
      <c r="Z6201" s="79"/>
      <c r="AA6201" s="79" t="str">
        <f>IF(AND(MONTH(E6201)='IN-NX'!$J$5,'IN-NX'!$D$7=D6201),"x","")</f>
        <v/>
      </c>
      <c r="AB6201" s="79" t="str">
        <f>IF(AND(OR(LEFT(TH!N6201,2)="15",LEFT(TH!O6201,2)="15"),LEFT(TH!O6201,3)&lt;&gt;"111",'152-CT'!$J$8=TH!F6201),"x","")</f>
        <v/>
      </c>
      <c r="AC6201" s="79" t="str">
        <f>IF(AND(OR(LEFT(TH!N6201,2)="15",LEFT(TH!O6201,2)="15"),TK!$E$7=TH!F6201),"x","")</f>
        <v/>
      </c>
      <c r="AD6201" s="79" t="str">
        <f>IF(AND(N6201="1521",MONTH(C6201)='BK-NL'!$M$11),"x","")</f>
        <v/>
      </c>
    </row>
    <row r="6202" spans="1:30" ht="16.5" customHeight="1">
      <c r="A6202" s="318" t="str">
        <f>IF(B6202&lt;&gt;"",IF(AND(B6202='IN-TC'!$S$4,OR(TH!N6202="1111",TH!O6202="1111")),TH!D6202,""),"")</f>
        <v/>
      </c>
      <c r="B6202" s="60" t="str">
        <f t="shared" si="517"/>
        <v/>
      </c>
      <c r="C6202" s="61"/>
      <c r="D6202" s="61"/>
      <c r="E6202" s="61"/>
      <c r="F6202" s="69"/>
      <c r="G6202" s="766"/>
      <c r="H6202" s="69"/>
      <c r="I6202" s="385"/>
      <c r="J6202" s="392"/>
      <c r="K6202" s="385"/>
      <c r="L6202" s="392"/>
      <c r="M6202" s="62"/>
      <c r="N6202" s="63"/>
      <c r="O6202" s="63"/>
      <c r="P6202" s="79" t="str">
        <f>IF(AND('331-CT'!$E$7=TH!H6202,OR(N6202="331",O6202="331")),"x","")</f>
        <v/>
      </c>
      <c r="Q6202" s="79" t="str">
        <f>IF(AND(B6202='111'!$L$11,OR($N6202=$Q$7,$O6202=$Q$7)),"x","")</f>
        <v/>
      </c>
      <c r="R6202" s="79" t="str">
        <f>IF(AND($N6202=$Q$7,$B6202&lt;'111'!$L$11),"x","")</f>
        <v/>
      </c>
      <c r="S6202" s="79" t="str">
        <f>IF(AND($O6202=$Q$7,$B6202&lt;'111'!$L$11),"x","")</f>
        <v/>
      </c>
      <c r="T6202" s="79" t="str">
        <f>IF(ISERROR(FIND('112'!$M$9,G6202,1)),"",IF((AND(FIND('112'!$M$9,G6202,1)&gt;=1,B6202='112'!$K$9,OR($N6202='112'!$I$6,$O6202='112'!$I$6))),"x",""))</f>
        <v/>
      </c>
      <c r="U6202" s="79" t="str">
        <f>IF(ISERROR(FIND('112'!$M$9,G6202,1)),"",IF((AND(LEFT(G6202,2)=LEFT('112'!$M$9,2),B6202&lt;'112'!$K$9,$N6202='112'!$I$6)),"x",""))</f>
        <v/>
      </c>
      <c r="V6202" s="79" t="str">
        <f>IF(ISERROR(FIND('112'!$M$9,G6202,1)),"",IF((AND(RIGHT(G6202,2)=RIGHT('112'!$M$9,2),B6202&lt;'112'!$K$9,$O6202='112'!$I$6)),"x",""))</f>
        <v/>
      </c>
      <c r="W6202" s="79" t="str">
        <f>IF(AND('341-CT'!$H$9=H6202,OR(LEFT(N6202,3)=$W$7,LEFT(O6202,3)=$W$7)),"x","")</f>
        <v/>
      </c>
      <c r="X6202" s="79" t="str">
        <f>IF(OR(TH!N6202=TH!$X$7,O6202=TH!$X$7),"x","")</f>
        <v/>
      </c>
      <c r="Y6202" s="79" t="str">
        <f>IF(AND(OR(N6202="131",O6202="131"),H6202='131-CT'!$H$9),"x","")</f>
        <v/>
      </c>
      <c r="Z6202" s="79"/>
      <c r="AA6202" s="79" t="str">
        <f>IF(AND(MONTH(E6202)='IN-NX'!$J$5,'IN-NX'!$D$7=D6202),"x","")</f>
        <v/>
      </c>
      <c r="AB6202" s="79" t="str">
        <f>IF(AND(OR(LEFT(TH!N6202,2)="15",LEFT(TH!O6202,2)="15"),LEFT(TH!O6202,3)&lt;&gt;"111",'152-CT'!$J$8=TH!F6202),"x","")</f>
        <v/>
      </c>
      <c r="AC6202" s="79" t="str">
        <f>IF(AND(OR(LEFT(TH!N6202,2)="15",LEFT(TH!O6202,2)="15"),TK!$E$7=TH!F6202),"x","")</f>
        <v/>
      </c>
      <c r="AD6202" s="79" t="str">
        <f>IF(AND(N6202="1521",MONTH(C6202)='BK-NL'!$M$11),"x","")</f>
        <v/>
      </c>
    </row>
    <row r="6203" spans="1:30" ht="16.5" customHeight="1">
      <c r="A6203" s="318" t="str">
        <f>IF(B6203&lt;&gt;"",IF(AND(B6203='IN-TC'!$S$4,OR(TH!N6203="1111",TH!O6203="1111")),TH!D6203,""),"")</f>
        <v/>
      </c>
      <c r="B6203" s="60" t="str">
        <f t="shared" si="517"/>
        <v/>
      </c>
      <c r="C6203" s="61"/>
      <c r="D6203" s="61"/>
      <c r="E6203" s="61"/>
      <c r="F6203" s="69"/>
      <c r="G6203" s="766"/>
      <c r="H6203" s="69"/>
      <c r="I6203" s="385"/>
      <c r="J6203" s="392"/>
      <c r="K6203" s="385"/>
      <c r="L6203" s="392"/>
      <c r="M6203" s="62"/>
      <c r="N6203" s="63"/>
      <c r="O6203" s="63"/>
      <c r="P6203" s="79" t="str">
        <f>IF(AND('331-CT'!$E$7=TH!H6203,OR(N6203="331",O6203="331")),"x","")</f>
        <v/>
      </c>
      <c r="Q6203" s="79" t="str">
        <f>IF(AND(B6203='111'!$L$11,OR($N6203=$Q$7,$O6203=$Q$7)),"x","")</f>
        <v/>
      </c>
      <c r="R6203" s="79" t="str">
        <f>IF(AND($N6203=$Q$7,$B6203&lt;'111'!$L$11),"x","")</f>
        <v/>
      </c>
      <c r="S6203" s="79" t="str">
        <f>IF(AND($O6203=$Q$7,$B6203&lt;'111'!$L$11),"x","")</f>
        <v/>
      </c>
      <c r="T6203" s="79" t="str">
        <f>IF(ISERROR(FIND('112'!$M$9,G6203,1)),"",IF((AND(FIND('112'!$M$9,G6203,1)&gt;=1,B6203='112'!$K$9,OR($N6203='112'!$I$6,$O6203='112'!$I$6))),"x",""))</f>
        <v/>
      </c>
      <c r="U6203" s="79" t="str">
        <f>IF(ISERROR(FIND('112'!$M$9,G6203,1)),"",IF((AND(LEFT(G6203,2)=LEFT('112'!$M$9,2),B6203&lt;'112'!$K$9,$N6203='112'!$I$6)),"x",""))</f>
        <v/>
      </c>
      <c r="V6203" s="79" t="str">
        <f>IF(ISERROR(FIND('112'!$M$9,G6203,1)),"",IF((AND(RIGHT(G6203,2)=RIGHT('112'!$M$9,2),B6203&lt;'112'!$K$9,$O6203='112'!$I$6)),"x",""))</f>
        <v/>
      </c>
      <c r="W6203" s="79" t="str">
        <f>IF(AND('341-CT'!$H$9=H6203,OR(LEFT(N6203,3)=$W$7,LEFT(O6203,3)=$W$7)),"x","")</f>
        <v/>
      </c>
      <c r="X6203" s="79" t="str">
        <f>IF(OR(TH!N6203=TH!$X$7,O6203=TH!$X$7),"x","")</f>
        <v/>
      </c>
      <c r="Y6203" s="79" t="str">
        <f>IF(AND(OR(N6203="131",O6203="131"),H6203='131-CT'!$H$9),"x","")</f>
        <v/>
      </c>
      <c r="Z6203" s="79"/>
      <c r="AA6203" s="79" t="str">
        <f>IF(AND(MONTH(E6203)='IN-NX'!$J$5,'IN-NX'!$D$7=D6203),"x","")</f>
        <v/>
      </c>
      <c r="AB6203" s="79" t="str">
        <f>IF(AND(OR(LEFT(TH!N6203,2)="15",LEFT(TH!O6203,2)="15"),LEFT(TH!O6203,3)&lt;&gt;"111",'152-CT'!$J$8=TH!F6203),"x","")</f>
        <v/>
      </c>
      <c r="AC6203" s="79" t="str">
        <f>IF(AND(OR(LEFT(TH!N6203,2)="15",LEFT(TH!O6203,2)="15"),TK!$E$7=TH!F6203),"x","")</f>
        <v/>
      </c>
      <c r="AD6203" s="79" t="str">
        <f>IF(AND(N6203="1521",MONTH(C6203)='BK-NL'!$M$11),"x","")</f>
        <v/>
      </c>
    </row>
    <row r="6204" spans="1:30" ht="16.5" customHeight="1">
      <c r="A6204" s="318" t="str">
        <f>IF(B6204&lt;&gt;"",IF(AND(B6204='IN-TC'!$S$4,OR(TH!N6204="1111",TH!O6204="1111")),TH!D6204,""),"")</f>
        <v/>
      </c>
      <c r="B6204" s="60" t="str">
        <f t="shared" si="517"/>
        <v/>
      </c>
      <c r="C6204" s="61"/>
      <c r="D6204" s="61"/>
      <c r="E6204" s="61"/>
      <c r="F6204" s="69"/>
      <c r="G6204" s="766"/>
      <c r="H6204" s="69"/>
      <c r="I6204" s="385"/>
      <c r="J6204" s="392"/>
      <c r="K6204" s="385"/>
      <c r="L6204" s="392"/>
      <c r="M6204" s="62"/>
      <c r="N6204" s="63"/>
      <c r="O6204" s="63"/>
      <c r="P6204" s="79" t="str">
        <f>IF(AND('331-CT'!$E$7=TH!H6204,OR(N6204="331",O6204="331")),"x","")</f>
        <v/>
      </c>
      <c r="Q6204" s="79" t="str">
        <f>IF(AND(B6204='111'!$L$11,OR($N6204=$Q$7,$O6204=$Q$7)),"x","")</f>
        <v/>
      </c>
      <c r="R6204" s="79" t="str">
        <f>IF(AND($N6204=$Q$7,$B6204&lt;'111'!$L$11),"x","")</f>
        <v/>
      </c>
      <c r="S6204" s="79" t="str">
        <f>IF(AND($O6204=$Q$7,$B6204&lt;'111'!$L$11),"x","")</f>
        <v/>
      </c>
      <c r="T6204" s="79" t="str">
        <f>IF(ISERROR(FIND('112'!$M$9,G6204,1)),"",IF((AND(FIND('112'!$M$9,G6204,1)&gt;=1,B6204='112'!$K$9,OR($N6204='112'!$I$6,$O6204='112'!$I$6))),"x",""))</f>
        <v/>
      </c>
      <c r="U6204" s="79" t="str">
        <f>IF(ISERROR(FIND('112'!$M$9,G6204,1)),"",IF((AND(LEFT(G6204,2)=LEFT('112'!$M$9,2),B6204&lt;'112'!$K$9,$N6204='112'!$I$6)),"x",""))</f>
        <v/>
      </c>
      <c r="V6204" s="79" t="str">
        <f>IF(ISERROR(FIND('112'!$M$9,G6204,1)),"",IF((AND(RIGHT(G6204,2)=RIGHT('112'!$M$9,2),B6204&lt;'112'!$K$9,$O6204='112'!$I$6)),"x",""))</f>
        <v/>
      </c>
      <c r="W6204" s="79" t="str">
        <f>IF(AND('341-CT'!$H$9=H6204,OR(LEFT(N6204,3)=$W$7,LEFT(O6204,3)=$W$7)),"x","")</f>
        <v/>
      </c>
      <c r="X6204" s="79" t="str">
        <f>IF(OR(TH!N6204=TH!$X$7,O6204=TH!$X$7),"x","")</f>
        <v/>
      </c>
      <c r="Y6204" s="79" t="str">
        <f>IF(AND(OR(N6204="131",O6204="131"),H6204='131-CT'!$H$9),"x","")</f>
        <v/>
      </c>
      <c r="Z6204" s="79"/>
      <c r="AA6204" s="79" t="str">
        <f>IF(AND(MONTH(E6204)='IN-NX'!$J$5,'IN-NX'!$D$7=D6204),"x","")</f>
        <v/>
      </c>
      <c r="AB6204" s="79" t="str">
        <f>IF(AND(OR(LEFT(TH!N6204,2)="15",LEFT(TH!O6204,2)="15"),LEFT(TH!O6204,3)&lt;&gt;"111",'152-CT'!$J$8=TH!F6204),"x","")</f>
        <v/>
      </c>
      <c r="AC6204" s="79" t="str">
        <f>IF(AND(OR(LEFT(TH!N6204,2)="15",LEFT(TH!O6204,2)="15"),TK!$E$7=TH!F6204),"x","")</f>
        <v/>
      </c>
      <c r="AD6204" s="79" t="str">
        <f>IF(AND(N6204="1521",MONTH(C6204)='BK-NL'!$M$11),"x","")</f>
        <v/>
      </c>
    </row>
    <row r="6205" spans="1:30" ht="16.5" customHeight="1">
      <c r="A6205" s="318" t="str">
        <f>IF(B6205&lt;&gt;"",IF(AND(B6205='IN-TC'!$S$4,OR(TH!N6205="1111",TH!O6205="1111")),TH!D6205,""),"")</f>
        <v/>
      </c>
      <c r="B6205" s="60" t="str">
        <f t="shared" si="517"/>
        <v/>
      </c>
      <c r="C6205" s="61"/>
      <c r="D6205" s="61"/>
      <c r="E6205" s="61"/>
      <c r="F6205" s="69"/>
      <c r="G6205" s="766"/>
      <c r="H6205" s="69"/>
      <c r="I6205" s="385"/>
      <c r="J6205" s="392"/>
      <c r="K6205" s="385"/>
      <c r="L6205" s="392"/>
      <c r="M6205" s="62"/>
      <c r="N6205" s="63"/>
      <c r="O6205" s="63"/>
      <c r="P6205" s="79" t="str">
        <f>IF(AND('331-CT'!$E$7=TH!H6205,OR(N6205="331",O6205="331")),"x","")</f>
        <v/>
      </c>
      <c r="Q6205" s="79" t="str">
        <f>IF(AND(B6205='111'!$L$11,OR($N6205=$Q$7,$O6205=$Q$7)),"x","")</f>
        <v/>
      </c>
      <c r="R6205" s="79" t="str">
        <f>IF(AND($N6205=$Q$7,$B6205&lt;'111'!$L$11),"x","")</f>
        <v/>
      </c>
      <c r="S6205" s="79" t="str">
        <f>IF(AND($O6205=$Q$7,$B6205&lt;'111'!$L$11),"x","")</f>
        <v/>
      </c>
      <c r="T6205" s="79" t="str">
        <f>IF(ISERROR(FIND('112'!$M$9,G6205,1)),"",IF((AND(FIND('112'!$M$9,G6205,1)&gt;=1,B6205='112'!$K$9,OR($N6205='112'!$I$6,$O6205='112'!$I$6))),"x",""))</f>
        <v/>
      </c>
      <c r="U6205" s="79" t="str">
        <f>IF(ISERROR(FIND('112'!$M$9,G6205,1)),"",IF((AND(LEFT(G6205,2)=LEFT('112'!$M$9,2),B6205&lt;'112'!$K$9,$N6205='112'!$I$6)),"x",""))</f>
        <v/>
      </c>
      <c r="V6205" s="79" t="str">
        <f>IF(ISERROR(FIND('112'!$M$9,G6205,1)),"",IF((AND(RIGHT(G6205,2)=RIGHT('112'!$M$9,2),B6205&lt;'112'!$K$9,$O6205='112'!$I$6)),"x",""))</f>
        <v/>
      </c>
      <c r="W6205" s="79" t="str">
        <f>IF(AND('341-CT'!$H$9=H6205,OR(LEFT(N6205,3)=$W$7,LEFT(O6205,3)=$W$7)),"x","")</f>
        <v/>
      </c>
      <c r="X6205" s="79" t="str">
        <f>IF(OR(TH!N6205=TH!$X$7,O6205=TH!$X$7),"x","")</f>
        <v/>
      </c>
      <c r="Y6205" s="79" t="str">
        <f>IF(AND(OR(N6205="131",O6205="131"),H6205='131-CT'!$H$9),"x","")</f>
        <v/>
      </c>
      <c r="Z6205" s="79"/>
      <c r="AA6205" s="79" t="str">
        <f>IF(AND(MONTH(E6205)='IN-NX'!$J$5,'IN-NX'!$D$7=D6205),"x","")</f>
        <v/>
      </c>
      <c r="AB6205" s="79" t="str">
        <f>IF(AND(OR(LEFT(TH!N6205,2)="15",LEFT(TH!O6205,2)="15"),LEFT(TH!O6205,3)&lt;&gt;"111",'152-CT'!$J$8=TH!F6205),"x","")</f>
        <v/>
      </c>
      <c r="AC6205" s="79" t="str">
        <f>IF(AND(OR(LEFT(TH!N6205,2)="15",LEFT(TH!O6205,2)="15"),TK!$E$7=TH!F6205),"x","")</f>
        <v/>
      </c>
      <c r="AD6205" s="79" t="str">
        <f>IF(AND(N6205="1521",MONTH(C6205)='BK-NL'!$M$11),"x","")</f>
        <v/>
      </c>
    </row>
    <row r="6206" spans="1:30" ht="16.5" customHeight="1">
      <c r="A6206" s="318" t="str">
        <f>IF(B6206&lt;&gt;"",IF(AND(B6206='IN-TC'!$S$4,OR(TH!N6206="1111",TH!O6206="1111")),TH!D6206,""),"")</f>
        <v/>
      </c>
      <c r="B6206" s="60" t="str">
        <f t="shared" si="517"/>
        <v/>
      </c>
      <c r="C6206" s="61"/>
      <c r="D6206" s="61"/>
      <c r="E6206" s="61"/>
      <c r="F6206" s="69"/>
      <c r="G6206" s="766"/>
      <c r="H6206" s="69"/>
      <c r="I6206" s="385"/>
      <c r="J6206" s="392"/>
      <c r="K6206" s="385"/>
      <c r="L6206" s="392"/>
      <c r="M6206" s="62"/>
      <c r="N6206" s="63"/>
      <c r="O6206" s="63"/>
      <c r="P6206" s="79" t="str">
        <f>IF(AND('331-CT'!$E$7=TH!H6206,OR(N6206="331",O6206="331")),"x","")</f>
        <v/>
      </c>
      <c r="Q6206" s="79" t="str">
        <f>IF(AND(B6206='111'!$L$11,OR($N6206=$Q$7,$O6206=$Q$7)),"x","")</f>
        <v/>
      </c>
      <c r="R6206" s="79" t="str">
        <f>IF(AND($N6206=$Q$7,$B6206&lt;'111'!$L$11),"x","")</f>
        <v/>
      </c>
      <c r="S6206" s="79" t="str">
        <f>IF(AND($O6206=$Q$7,$B6206&lt;'111'!$L$11),"x","")</f>
        <v/>
      </c>
      <c r="T6206" s="79" t="str">
        <f>IF(ISERROR(FIND('112'!$M$9,G6206,1)),"",IF((AND(FIND('112'!$M$9,G6206,1)&gt;=1,B6206='112'!$K$9,OR($N6206='112'!$I$6,$O6206='112'!$I$6))),"x",""))</f>
        <v/>
      </c>
      <c r="U6206" s="79" t="str">
        <f>IF(ISERROR(FIND('112'!$M$9,G6206,1)),"",IF((AND(LEFT(G6206,2)=LEFT('112'!$M$9,2),B6206&lt;'112'!$K$9,$N6206='112'!$I$6)),"x",""))</f>
        <v/>
      </c>
      <c r="V6206" s="79" t="str">
        <f>IF(ISERROR(FIND('112'!$M$9,G6206,1)),"",IF((AND(RIGHT(G6206,2)=RIGHT('112'!$M$9,2),B6206&lt;'112'!$K$9,$O6206='112'!$I$6)),"x",""))</f>
        <v/>
      </c>
      <c r="W6206" s="79" t="str">
        <f>IF(AND('341-CT'!$H$9=H6206,OR(LEFT(N6206,3)=$W$7,LEFT(O6206,3)=$W$7)),"x","")</f>
        <v/>
      </c>
      <c r="X6206" s="79" t="str">
        <f>IF(OR(TH!N6206=TH!$X$7,O6206=TH!$X$7),"x","")</f>
        <v/>
      </c>
      <c r="Y6206" s="79" t="str">
        <f>IF(AND(OR(N6206="131",O6206="131"),H6206='131-CT'!$H$9),"x","")</f>
        <v/>
      </c>
      <c r="Z6206" s="79"/>
      <c r="AA6206" s="79" t="str">
        <f>IF(AND(MONTH(E6206)='IN-NX'!$J$5,'IN-NX'!$D$7=D6206),"x","")</f>
        <v/>
      </c>
      <c r="AB6206" s="79" t="str">
        <f>IF(AND(OR(LEFT(TH!N6206,2)="15",LEFT(TH!O6206,2)="15"),LEFT(TH!O6206,3)&lt;&gt;"111",'152-CT'!$J$8=TH!F6206),"x","")</f>
        <v/>
      </c>
      <c r="AC6206" s="79" t="str">
        <f>IF(AND(OR(LEFT(TH!N6206,2)="15",LEFT(TH!O6206,2)="15"),TK!$E$7=TH!F6206),"x","")</f>
        <v/>
      </c>
      <c r="AD6206" s="79" t="str">
        <f>IF(AND(N6206="1521",MONTH(C6206)='BK-NL'!$M$11),"x","")</f>
        <v/>
      </c>
    </row>
    <row r="6207" spans="1:30" ht="16.5" customHeight="1">
      <c r="A6207" s="318" t="str">
        <f>IF(B6207&lt;&gt;"",IF(AND(B6207='IN-TC'!$S$4,OR(TH!N6207="1111",TH!O6207="1111")),TH!D6207,""),"")</f>
        <v/>
      </c>
      <c r="B6207" s="60" t="str">
        <f t="shared" si="517"/>
        <v/>
      </c>
      <c r="C6207" s="61"/>
      <c r="D6207" s="61"/>
      <c r="E6207" s="61"/>
      <c r="F6207" s="69"/>
      <c r="G6207" s="766"/>
      <c r="H6207" s="69"/>
      <c r="I6207" s="385"/>
      <c r="J6207" s="392"/>
      <c r="K6207" s="385"/>
      <c r="L6207" s="392"/>
      <c r="M6207" s="62"/>
      <c r="N6207" s="63"/>
      <c r="O6207" s="63"/>
      <c r="P6207" s="79" t="str">
        <f>IF(AND('331-CT'!$E$7=TH!H6207,OR(N6207="331",O6207="331")),"x","")</f>
        <v/>
      </c>
      <c r="Q6207" s="79" t="str">
        <f>IF(AND(B6207='111'!$L$11,OR($N6207=$Q$7,$O6207=$Q$7)),"x","")</f>
        <v/>
      </c>
      <c r="R6207" s="79" t="str">
        <f>IF(AND($N6207=$Q$7,$B6207&lt;'111'!$L$11),"x","")</f>
        <v/>
      </c>
      <c r="S6207" s="79" t="str">
        <f>IF(AND($O6207=$Q$7,$B6207&lt;'111'!$L$11),"x","")</f>
        <v/>
      </c>
      <c r="T6207" s="79" t="str">
        <f>IF(ISERROR(FIND('112'!$M$9,G6207,1)),"",IF((AND(FIND('112'!$M$9,G6207,1)&gt;=1,B6207='112'!$K$9,OR($N6207='112'!$I$6,$O6207='112'!$I$6))),"x",""))</f>
        <v/>
      </c>
      <c r="U6207" s="79" t="str">
        <f>IF(ISERROR(FIND('112'!$M$9,G6207,1)),"",IF((AND(LEFT(G6207,2)=LEFT('112'!$M$9,2),B6207&lt;'112'!$K$9,$N6207='112'!$I$6)),"x",""))</f>
        <v/>
      </c>
      <c r="V6207" s="79" t="str">
        <f>IF(ISERROR(FIND('112'!$M$9,G6207,1)),"",IF((AND(RIGHT(G6207,2)=RIGHT('112'!$M$9,2),B6207&lt;'112'!$K$9,$O6207='112'!$I$6)),"x",""))</f>
        <v/>
      </c>
      <c r="W6207" s="79" t="str">
        <f>IF(AND('341-CT'!$H$9=H6207,OR(LEFT(N6207,3)=$W$7,LEFT(O6207,3)=$W$7)),"x","")</f>
        <v/>
      </c>
      <c r="X6207" s="79" t="str">
        <f>IF(OR(TH!N6207=TH!$X$7,O6207=TH!$X$7),"x","")</f>
        <v/>
      </c>
      <c r="Y6207" s="79" t="str">
        <f>IF(AND(OR(N6207="131",O6207="131"),H6207='131-CT'!$H$9),"x","")</f>
        <v/>
      </c>
      <c r="Z6207" s="79"/>
      <c r="AA6207" s="79" t="str">
        <f>IF(AND(MONTH(E6207)='IN-NX'!$J$5,'IN-NX'!$D$7=D6207),"x","")</f>
        <v/>
      </c>
      <c r="AB6207" s="79" t="str">
        <f>IF(AND(OR(LEFT(TH!N6207,2)="15",LEFT(TH!O6207,2)="15"),LEFT(TH!O6207,3)&lt;&gt;"111",'152-CT'!$J$8=TH!F6207),"x","")</f>
        <v/>
      </c>
      <c r="AC6207" s="79" t="str">
        <f>IF(AND(OR(LEFT(TH!N6207,2)="15",LEFT(TH!O6207,2)="15"),TK!$E$7=TH!F6207),"x","")</f>
        <v/>
      </c>
      <c r="AD6207" s="79" t="str">
        <f>IF(AND(N6207="1521",MONTH(C6207)='BK-NL'!$M$11),"x","")</f>
        <v/>
      </c>
    </row>
    <row r="6208" spans="1:30" ht="16.5" customHeight="1">
      <c r="A6208" s="318" t="str">
        <f>IF(B6208&lt;&gt;"",IF(AND(B6208='IN-TC'!$S$4,OR(TH!N6208="1111",TH!O6208="1111")),TH!D6208,""),"")</f>
        <v/>
      </c>
      <c r="B6208" s="60" t="str">
        <f t="shared" si="517"/>
        <v/>
      </c>
      <c r="C6208" s="61"/>
      <c r="D6208" s="61"/>
      <c r="E6208" s="61"/>
      <c r="F6208" s="69"/>
      <c r="G6208" s="766"/>
      <c r="H6208" s="69"/>
      <c r="I6208" s="385"/>
      <c r="J6208" s="392"/>
      <c r="K6208" s="385"/>
      <c r="L6208" s="392"/>
      <c r="M6208" s="62"/>
      <c r="N6208" s="63"/>
      <c r="O6208" s="63"/>
      <c r="P6208" s="79" t="str">
        <f>IF(AND('331-CT'!$E$7=TH!H6208,OR(N6208="331",O6208="331")),"x","")</f>
        <v/>
      </c>
      <c r="Q6208" s="79" t="str">
        <f>IF(AND(B6208='111'!$L$11,OR($N6208=$Q$7,$O6208=$Q$7)),"x","")</f>
        <v/>
      </c>
      <c r="R6208" s="79" t="str">
        <f>IF(AND($N6208=$Q$7,$B6208&lt;'111'!$L$11),"x","")</f>
        <v/>
      </c>
      <c r="S6208" s="79" t="str">
        <f>IF(AND($O6208=$Q$7,$B6208&lt;'111'!$L$11),"x","")</f>
        <v/>
      </c>
      <c r="T6208" s="79" t="str">
        <f>IF(ISERROR(FIND('112'!$M$9,G6208,1)),"",IF((AND(FIND('112'!$M$9,G6208,1)&gt;=1,B6208='112'!$K$9,OR($N6208='112'!$I$6,$O6208='112'!$I$6))),"x",""))</f>
        <v/>
      </c>
      <c r="U6208" s="79" t="str">
        <f>IF(ISERROR(FIND('112'!$M$9,G6208,1)),"",IF((AND(LEFT(G6208,2)=LEFT('112'!$M$9,2),B6208&lt;'112'!$K$9,$N6208='112'!$I$6)),"x",""))</f>
        <v/>
      </c>
      <c r="V6208" s="79" t="str">
        <f>IF(ISERROR(FIND('112'!$M$9,G6208,1)),"",IF((AND(RIGHT(G6208,2)=RIGHT('112'!$M$9,2),B6208&lt;'112'!$K$9,$O6208='112'!$I$6)),"x",""))</f>
        <v/>
      </c>
      <c r="W6208" s="79" t="str">
        <f>IF(AND('341-CT'!$H$9=H6208,OR(LEFT(N6208,3)=$W$7,LEFT(O6208,3)=$W$7)),"x","")</f>
        <v/>
      </c>
      <c r="X6208" s="79" t="str">
        <f>IF(OR(TH!N6208=TH!$X$7,O6208=TH!$X$7),"x","")</f>
        <v/>
      </c>
      <c r="Y6208" s="79" t="str">
        <f>IF(AND(OR(N6208="131",O6208="131"),H6208='131-CT'!$H$9),"x","")</f>
        <v/>
      </c>
      <c r="Z6208" s="79"/>
      <c r="AA6208" s="79" t="str">
        <f>IF(AND(MONTH(E6208)='IN-NX'!$J$5,'IN-NX'!$D$7=D6208),"x","")</f>
        <v/>
      </c>
      <c r="AB6208" s="79" t="str">
        <f>IF(AND(OR(LEFT(TH!N6208,2)="15",LEFT(TH!O6208,2)="15"),LEFT(TH!O6208,3)&lt;&gt;"111",'152-CT'!$J$8=TH!F6208),"x","")</f>
        <v/>
      </c>
      <c r="AC6208" s="79" t="str">
        <f>IF(AND(OR(LEFT(TH!N6208,2)="15",LEFT(TH!O6208,2)="15"),TK!$E$7=TH!F6208),"x","")</f>
        <v/>
      </c>
      <c r="AD6208" s="79" t="str">
        <f>IF(AND(N6208="1521",MONTH(C6208)='BK-NL'!$M$11),"x","")</f>
        <v/>
      </c>
    </row>
    <row r="6209" spans="1:30" ht="16.5" customHeight="1">
      <c r="A6209" s="318" t="str">
        <f>IF(B6209&lt;&gt;"",IF(AND(B6209='IN-TC'!$S$4,OR(TH!N6209="1111",TH!O6209="1111")),TH!D6209,""),"")</f>
        <v/>
      </c>
      <c r="B6209" s="60" t="str">
        <f t="shared" si="517"/>
        <v/>
      </c>
      <c r="C6209" s="61"/>
      <c r="D6209" s="61"/>
      <c r="E6209" s="61"/>
      <c r="F6209" s="69"/>
      <c r="G6209" s="766"/>
      <c r="H6209" s="69"/>
      <c r="I6209" s="385"/>
      <c r="J6209" s="392"/>
      <c r="K6209" s="385"/>
      <c r="L6209" s="392"/>
      <c r="M6209" s="62"/>
      <c r="N6209" s="63"/>
      <c r="O6209" s="63"/>
      <c r="P6209" s="79" t="str">
        <f>IF(AND('331-CT'!$E$7=TH!H6209,OR(N6209="331",O6209="331")),"x","")</f>
        <v/>
      </c>
      <c r="Q6209" s="79" t="str">
        <f>IF(AND(B6209='111'!$L$11,OR($N6209=$Q$7,$O6209=$Q$7)),"x","")</f>
        <v/>
      </c>
      <c r="R6209" s="79" t="str">
        <f>IF(AND($N6209=$Q$7,$B6209&lt;'111'!$L$11),"x","")</f>
        <v/>
      </c>
      <c r="S6209" s="79" t="str">
        <f>IF(AND($O6209=$Q$7,$B6209&lt;'111'!$L$11),"x","")</f>
        <v/>
      </c>
      <c r="T6209" s="79" t="str">
        <f>IF(ISERROR(FIND('112'!$M$9,G6209,1)),"",IF((AND(FIND('112'!$M$9,G6209,1)&gt;=1,B6209='112'!$K$9,OR($N6209='112'!$I$6,$O6209='112'!$I$6))),"x",""))</f>
        <v/>
      </c>
      <c r="U6209" s="79" t="str">
        <f>IF(ISERROR(FIND('112'!$M$9,G6209,1)),"",IF((AND(LEFT(G6209,2)=LEFT('112'!$M$9,2),B6209&lt;'112'!$K$9,$N6209='112'!$I$6)),"x",""))</f>
        <v/>
      </c>
      <c r="V6209" s="79" t="str">
        <f>IF(ISERROR(FIND('112'!$M$9,G6209,1)),"",IF((AND(RIGHT(G6209,2)=RIGHT('112'!$M$9,2),B6209&lt;'112'!$K$9,$O6209='112'!$I$6)),"x",""))</f>
        <v/>
      </c>
      <c r="W6209" s="79" t="str">
        <f>IF(AND('341-CT'!$H$9=H6209,OR(LEFT(N6209,3)=$W$7,LEFT(O6209,3)=$W$7)),"x","")</f>
        <v/>
      </c>
      <c r="X6209" s="79" t="str">
        <f>IF(OR(TH!N6209=TH!$X$7,O6209=TH!$X$7),"x","")</f>
        <v/>
      </c>
      <c r="Y6209" s="79" t="str">
        <f>IF(AND(OR(N6209="131",O6209="131"),H6209='131-CT'!$H$9),"x","")</f>
        <v/>
      </c>
      <c r="Z6209" s="79"/>
      <c r="AA6209" s="79" t="str">
        <f>IF(AND(MONTH(E6209)='IN-NX'!$J$5,'IN-NX'!$D$7=D6209),"x","")</f>
        <v/>
      </c>
      <c r="AB6209" s="79" t="str">
        <f>IF(AND(OR(LEFT(TH!N6209,2)="15",LEFT(TH!O6209,2)="15"),LEFT(TH!O6209,3)&lt;&gt;"111",'152-CT'!$J$8=TH!F6209),"x","")</f>
        <v/>
      </c>
      <c r="AC6209" s="79" t="str">
        <f>IF(AND(OR(LEFT(TH!N6209,2)="15",LEFT(TH!O6209,2)="15"),TK!$E$7=TH!F6209),"x","")</f>
        <v/>
      </c>
      <c r="AD6209" s="79" t="str">
        <f>IF(AND(N6209="1521",MONTH(C6209)='BK-NL'!$M$11),"x","")</f>
        <v/>
      </c>
    </row>
    <row r="6210" spans="1:30" ht="16.5" customHeight="1">
      <c r="A6210" s="318" t="str">
        <f>IF(B6210&lt;&gt;"",IF(AND(B6210='IN-TC'!$S$4,OR(TH!N6210="1111",TH!O6210="1111")),TH!D6210,""),"")</f>
        <v/>
      </c>
      <c r="B6210" s="60" t="str">
        <f t="shared" si="517"/>
        <v/>
      </c>
      <c r="C6210" s="61"/>
      <c r="D6210" s="61"/>
      <c r="E6210" s="61"/>
      <c r="F6210" s="69"/>
      <c r="G6210" s="766"/>
      <c r="H6210" s="69"/>
      <c r="I6210" s="385"/>
      <c r="J6210" s="392"/>
      <c r="K6210" s="385"/>
      <c r="L6210" s="392"/>
      <c r="M6210" s="62"/>
      <c r="N6210" s="63"/>
      <c r="O6210" s="63"/>
      <c r="P6210" s="79" t="str">
        <f>IF(AND('331-CT'!$E$7=TH!H6210,OR(N6210="331",O6210="331")),"x","")</f>
        <v/>
      </c>
      <c r="Q6210" s="79" t="str">
        <f>IF(AND(B6210='111'!$L$11,OR($N6210=$Q$7,$O6210=$Q$7)),"x","")</f>
        <v/>
      </c>
      <c r="R6210" s="79" t="str">
        <f>IF(AND($N6210=$Q$7,$B6210&lt;'111'!$L$11),"x","")</f>
        <v/>
      </c>
      <c r="S6210" s="79" t="str">
        <f>IF(AND($O6210=$Q$7,$B6210&lt;'111'!$L$11),"x","")</f>
        <v/>
      </c>
      <c r="T6210" s="79" t="str">
        <f>IF(ISERROR(FIND('112'!$M$9,G6210,1)),"",IF((AND(FIND('112'!$M$9,G6210,1)&gt;=1,B6210='112'!$K$9,OR($N6210='112'!$I$6,$O6210='112'!$I$6))),"x",""))</f>
        <v/>
      </c>
      <c r="U6210" s="79" t="str">
        <f>IF(ISERROR(FIND('112'!$M$9,G6210,1)),"",IF((AND(LEFT(G6210,2)=LEFT('112'!$M$9,2),B6210&lt;'112'!$K$9,$N6210='112'!$I$6)),"x",""))</f>
        <v/>
      </c>
      <c r="V6210" s="79" t="str">
        <f>IF(ISERROR(FIND('112'!$M$9,G6210,1)),"",IF((AND(RIGHT(G6210,2)=RIGHT('112'!$M$9,2),B6210&lt;'112'!$K$9,$O6210='112'!$I$6)),"x",""))</f>
        <v/>
      </c>
      <c r="W6210" s="79" t="str">
        <f>IF(AND('341-CT'!$H$9=H6210,OR(LEFT(N6210,3)=$W$7,LEFT(O6210,3)=$W$7)),"x","")</f>
        <v/>
      </c>
      <c r="X6210" s="79" t="str">
        <f>IF(OR(TH!N6210=TH!$X$7,O6210=TH!$X$7),"x","")</f>
        <v/>
      </c>
      <c r="Y6210" s="79" t="str">
        <f>IF(AND(OR(N6210="131",O6210="131"),H6210='131-CT'!$H$9),"x","")</f>
        <v/>
      </c>
      <c r="Z6210" s="79"/>
      <c r="AA6210" s="79" t="str">
        <f>IF(AND(MONTH(E6210)='IN-NX'!$J$5,'IN-NX'!$D$7=D6210),"x","")</f>
        <v/>
      </c>
      <c r="AB6210" s="79" t="str">
        <f>IF(AND(OR(LEFT(TH!N6210,2)="15",LEFT(TH!O6210,2)="15"),LEFT(TH!O6210,3)&lt;&gt;"111",'152-CT'!$J$8=TH!F6210),"x","")</f>
        <v/>
      </c>
      <c r="AC6210" s="79" t="str">
        <f>IF(AND(OR(LEFT(TH!N6210,2)="15",LEFT(TH!O6210,2)="15"),TK!$E$7=TH!F6210),"x","")</f>
        <v/>
      </c>
      <c r="AD6210" s="79" t="str">
        <f>IF(AND(N6210="1521",MONTH(C6210)='BK-NL'!$M$11),"x","")</f>
        <v/>
      </c>
    </row>
    <row r="6211" spans="1:30" ht="16.5" customHeight="1">
      <c r="A6211" s="318" t="str">
        <f>IF(B6211&lt;&gt;"",IF(AND(B6211='IN-TC'!$S$4,OR(TH!N6211="1111",TH!O6211="1111")),TH!D6211,""),"")</f>
        <v/>
      </c>
      <c r="B6211" s="60" t="str">
        <f t="shared" ref="B6211:B6274" si="518">IF(C6211&lt;&gt;"",MONTH(C6211),"")</f>
        <v/>
      </c>
      <c r="C6211" s="61"/>
      <c r="D6211" s="61"/>
      <c r="E6211" s="61"/>
      <c r="F6211" s="69"/>
      <c r="G6211" s="766"/>
      <c r="H6211" s="69"/>
      <c r="I6211" s="385"/>
      <c r="J6211" s="392"/>
      <c r="K6211" s="385"/>
      <c r="L6211" s="392"/>
      <c r="M6211" s="62"/>
      <c r="N6211" s="63"/>
      <c r="O6211" s="63"/>
      <c r="P6211" s="79" t="str">
        <f>IF(AND('331-CT'!$E$7=TH!H6211,OR(N6211="331",O6211="331")),"x","")</f>
        <v/>
      </c>
      <c r="Q6211" s="79" t="str">
        <f>IF(AND(B6211='111'!$L$11,OR($N6211=$Q$7,$O6211=$Q$7)),"x","")</f>
        <v/>
      </c>
      <c r="R6211" s="79" t="str">
        <f>IF(AND($N6211=$Q$7,$B6211&lt;'111'!$L$11),"x","")</f>
        <v/>
      </c>
      <c r="S6211" s="79" t="str">
        <f>IF(AND($O6211=$Q$7,$B6211&lt;'111'!$L$11),"x","")</f>
        <v/>
      </c>
      <c r="T6211" s="79" t="str">
        <f>IF(ISERROR(FIND('112'!$M$9,G6211,1)),"",IF((AND(FIND('112'!$M$9,G6211,1)&gt;=1,B6211='112'!$K$9,OR($N6211='112'!$I$6,$O6211='112'!$I$6))),"x",""))</f>
        <v/>
      </c>
      <c r="U6211" s="79" t="str">
        <f>IF(ISERROR(FIND('112'!$M$9,G6211,1)),"",IF((AND(LEFT(G6211,2)=LEFT('112'!$M$9,2),B6211&lt;'112'!$K$9,$N6211='112'!$I$6)),"x",""))</f>
        <v/>
      </c>
      <c r="V6211" s="79" t="str">
        <f>IF(ISERROR(FIND('112'!$M$9,G6211,1)),"",IF((AND(RIGHT(G6211,2)=RIGHT('112'!$M$9,2),B6211&lt;'112'!$K$9,$O6211='112'!$I$6)),"x",""))</f>
        <v/>
      </c>
      <c r="W6211" s="79" t="str">
        <f>IF(AND('341-CT'!$H$9=H6211,OR(LEFT(N6211,3)=$W$7,LEFT(O6211,3)=$W$7)),"x","")</f>
        <v/>
      </c>
      <c r="X6211" s="79" t="str">
        <f>IF(OR(TH!N6211=TH!$X$7,O6211=TH!$X$7),"x","")</f>
        <v/>
      </c>
      <c r="Y6211" s="79" t="str">
        <f>IF(AND(OR(N6211="131",O6211="131"),H6211='131-CT'!$H$9),"x","")</f>
        <v/>
      </c>
      <c r="Z6211" s="79"/>
      <c r="AA6211" s="79" t="str">
        <f>IF(AND(MONTH(E6211)='IN-NX'!$J$5,'IN-NX'!$D$7=D6211),"x","")</f>
        <v/>
      </c>
      <c r="AB6211" s="79" t="str">
        <f>IF(AND(OR(LEFT(TH!N6211,2)="15",LEFT(TH!O6211,2)="15"),LEFT(TH!O6211,3)&lt;&gt;"111",'152-CT'!$J$8=TH!F6211),"x","")</f>
        <v/>
      </c>
      <c r="AC6211" s="79" t="str">
        <f>IF(AND(OR(LEFT(TH!N6211,2)="15",LEFT(TH!O6211,2)="15"),TK!$E$7=TH!F6211),"x","")</f>
        <v/>
      </c>
      <c r="AD6211" s="79" t="str">
        <f>IF(AND(N6211="1521",MONTH(C6211)='BK-NL'!$M$11),"x","")</f>
        <v/>
      </c>
    </row>
    <row r="6212" spans="1:30" ht="16.5" customHeight="1">
      <c r="A6212" s="318" t="str">
        <f>IF(B6212&lt;&gt;"",IF(AND(B6212='IN-TC'!$S$4,OR(TH!N6212="1111",TH!O6212="1111")),TH!D6212,""),"")</f>
        <v/>
      </c>
      <c r="B6212" s="60" t="str">
        <f t="shared" si="518"/>
        <v/>
      </c>
      <c r="C6212" s="61"/>
      <c r="D6212" s="61"/>
      <c r="E6212" s="61"/>
      <c r="F6212" s="69"/>
      <c r="G6212" s="766"/>
      <c r="H6212" s="69"/>
      <c r="I6212" s="385"/>
      <c r="J6212" s="392"/>
      <c r="K6212" s="385"/>
      <c r="L6212" s="392"/>
      <c r="M6212" s="62"/>
      <c r="N6212" s="63"/>
      <c r="O6212" s="63"/>
      <c r="P6212" s="79" t="str">
        <f>IF(AND('331-CT'!$E$7=TH!H6212,OR(N6212="331",O6212="331")),"x","")</f>
        <v/>
      </c>
      <c r="Q6212" s="79" t="str">
        <f>IF(AND(B6212='111'!$L$11,OR($N6212=$Q$7,$O6212=$Q$7)),"x","")</f>
        <v/>
      </c>
      <c r="R6212" s="79" t="str">
        <f>IF(AND($N6212=$Q$7,$B6212&lt;'111'!$L$11),"x","")</f>
        <v/>
      </c>
      <c r="S6212" s="79" t="str">
        <f>IF(AND($O6212=$Q$7,$B6212&lt;'111'!$L$11),"x","")</f>
        <v/>
      </c>
      <c r="T6212" s="79" t="str">
        <f>IF(ISERROR(FIND('112'!$M$9,G6212,1)),"",IF((AND(FIND('112'!$M$9,G6212,1)&gt;=1,B6212='112'!$K$9,OR($N6212='112'!$I$6,$O6212='112'!$I$6))),"x",""))</f>
        <v/>
      </c>
      <c r="U6212" s="79" t="str">
        <f>IF(ISERROR(FIND('112'!$M$9,G6212,1)),"",IF((AND(LEFT(G6212,2)=LEFT('112'!$M$9,2),B6212&lt;'112'!$K$9,$N6212='112'!$I$6)),"x",""))</f>
        <v/>
      </c>
      <c r="V6212" s="79" t="str">
        <f>IF(ISERROR(FIND('112'!$M$9,G6212,1)),"",IF((AND(RIGHT(G6212,2)=RIGHT('112'!$M$9,2),B6212&lt;'112'!$K$9,$O6212='112'!$I$6)),"x",""))</f>
        <v/>
      </c>
      <c r="W6212" s="79" t="str">
        <f>IF(AND('341-CT'!$H$9=H6212,OR(LEFT(N6212,3)=$W$7,LEFT(O6212,3)=$W$7)),"x","")</f>
        <v/>
      </c>
      <c r="X6212" s="79" t="str">
        <f>IF(OR(TH!N6212=TH!$X$7,O6212=TH!$X$7),"x","")</f>
        <v/>
      </c>
      <c r="Y6212" s="79" t="str">
        <f>IF(AND(OR(N6212="131",O6212="131"),H6212='131-CT'!$H$9),"x","")</f>
        <v/>
      </c>
      <c r="Z6212" s="79"/>
      <c r="AA6212" s="79" t="str">
        <f>IF(AND(MONTH(E6212)='IN-NX'!$J$5,'IN-NX'!$D$7=D6212),"x","")</f>
        <v/>
      </c>
      <c r="AB6212" s="79" t="str">
        <f>IF(AND(OR(LEFT(TH!N6212,2)="15",LEFT(TH!O6212,2)="15"),LEFT(TH!O6212,3)&lt;&gt;"111",'152-CT'!$J$8=TH!F6212),"x","")</f>
        <v/>
      </c>
      <c r="AC6212" s="79" t="str">
        <f>IF(AND(OR(LEFT(TH!N6212,2)="15",LEFT(TH!O6212,2)="15"),TK!$E$7=TH!F6212),"x","")</f>
        <v/>
      </c>
      <c r="AD6212" s="79" t="str">
        <f>IF(AND(N6212="1521",MONTH(C6212)='BK-NL'!$M$11),"x","")</f>
        <v/>
      </c>
    </row>
    <row r="6213" spans="1:30" ht="16.5" customHeight="1">
      <c r="A6213" s="318" t="str">
        <f>IF(B6213&lt;&gt;"",IF(AND(B6213='IN-TC'!$S$4,OR(TH!N6213="1111",TH!O6213="1111")),TH!D6213,""),"")</f>
        <v/>
      </c>
      <c r="B6213" s="60" t="str">
        <f t="shared" si="518"/>
        <v/>
      </c>
      <c r="C6213" s="61"/>
      <c r="D6213" s="61"/>
      <c r="E6213" s="61"/>
      <c r="F6213" s="446"/>
      <c r="G6213" s="64"/>
      <c r="H6213" s="69"/>
      <c r="I6213" s="385"/>
      <c r="J6213" s="392"/>
      <c r="K6213" s="385"/>
      <c r="L6213" s="392"/>
      <c r="M6213" s="62"/>
      <c r="N6213" s="63"/>
      <c r="O6213" s="63"/>
      <c r="P6213" s="79" t="str">
        <f>IF(AND('331-CT'!$E$7=TH!H6213,OR(N6213="331",O6213="331")),"x","")</f>
        <v/>
      </c>
      <c r="Q6213" s="79" t="str">
        <f>IF(AND(B6213='111'!$L$11,OR($N6213=$Q$7,$O6213=$Q$7)),"x","")</f>
        <v/>
      </c>
      <c r="R6213" s="79" t="str">
        <f>IF(AND($N6213=$Q$7,$B6213&lt;'111'!$L$11),"x","")</f>
        <v/>
      </c>
      <c r="S6213" s="79" t="str">
        <f>IF(AND($O6213=$Q$7,$B6213&lt;'111'!$L$11),"x","")</f>
        <v/>
      </c>
      <c r="T6213" s="79" t="str">
        <f>IF(ISERROR(FIND('112'!$M$9,G6213,1)),"",IF((AND(FIND('112'!$M$9,G6213,1)&gt;=1,B6213='112'!$K$9,OR($N6213='112'!$I$6,$O6213='112'!$I$6))),"x",""))</f>
        <v/>
      </c>
      <c r="U6213" s="79" t="str">
        <f>IF(ISERROR(FIND('112'!$M$9,G6213,1)),"",IF((AND(LEFT(G6213,2)=LEFT('112'!$M$9,2),B6213&lt;'112'!$K$9,$N6213='112'!$I$6)),"x",""))</f>
        <v/>
      </c>
      <c r="V6213" s="79" t="str">
        <f>IF(ISERROR(FIND('112'!$M$9,G6213,1)),"",IF((AND(RIGHT(G6213,2)=RIGHT('112'!$M$9,2),B6213&lt;'112'!$K$9,$O6213='112'!$I$6)),"x",""))</f>
        <v/>
      </c>
      <c r="W6213" s="79" t="str">
        <f>IF(AND('341-CT'!$H$9=H6213,OR(LEFT(N6213,3)=$W$7,LEFT(O6213,3)=$W$7)),"x","")</f>
        <v/>
      </c>
      <c r="X6213" s="79" t="str">
        <f>IF(OR(TH!N6213=TH!$X$7,O6213=TH!$X$7),"x","")</f>
        <v/>
      </c>
      <c r="Y6213" s="79" t="str">
        <f>IF(AND(OR(N6213="131",O6213="131"),H6213='131-CT'!$H$9),"x","")</f>
        <v/>
      </c>
      <c r="Z6213" s="79"/>
      <c r="AA6213" s="79" t="str">
        <f>IF(AND(MONTH(E6213)='IN-NX'!$J$5,'IN-NX'!$D$7=D6213),"x","")</f>
        <v/>
      </c>
      <c r="AB6213" s="79" t="str">
        <f>IF(AND(OR(LEFT(TH!N6213,2)="15",LEFT(TH!O6213,2)="15"),LEFT(TH!O6213,3)&lt;&gt;"111",'152-CT'!$J$8=TH!F6213),"x","")</f>
        <v/>
      </c>
      <c r="AC6213" s="79" t="str">
        <f>IF(AND(OR(LEFT(TH!N6213,2)="15",LEFT(TH!O6213,2)="15"),TK!$E$7=TH!F6213),"x","")</f>
        <v/>
      </c>
      <c r="AD6213" s="79" t="str">
        <f>IF(AND(N6213="1521",MONTH(C6213)='BK-NL'!$M$11),"x","")</f>
        <v/>
      </c>
    </row>
    <row r="6214" spans="1:30" ht="16.5" customHeight="1">
      <c r="A6214" s="318" t="str">
        <f>IF(B6214&lt;&gt;"",IF(AND(B6214='IN-TC'!$S$4,OR(TH!N6214="1111",TH!O6214="1111")),TH!D6214,""),"")</f>
        <v/>
      </c>
      <c r="B6214" s="60" t="str">
        <f t="shared" si="518"/>
        <v/>
      </c>
      <c r="C6214" s="61"/>
      <c r="D6214" s="61"/>
      <c r="E6214" s="61"/>
      <c r="F6214" s="446"/>
      <c r="G6214" s="64"/>
      <c r="H6214" s="69"/>
      <c r="I6214" s="385"/>
      <c r="J6214" s="392"/>
      <c r="K6214" s="385"/>
      <c r="L6214" s="392"/>
      <c r="M6214" s="62"/>
      <c r="N6214" s="63"/>
      <c r="O6214" s="63"/>
      <c r="P6214" s="79" t="str">
        <f>IF(AND('331-CT'!$E$7=TH!H6214,OR(N6214="331",O6214="331")),"x","")</f>
        <v/>
      </c>
      <c r="Q6214" s="79" t="str">
        <f>IF(AND(B6214='111'!$L$11,OR($N6214=$Q$7,$O6214=$Q$7)),"x","")</f>
        <v/>
      </c>
      <c r="R6214" s="79" t="str">
        <f>IF(AND($N6214=$Q$7,$B6214&lt;'111'!$L$11),"x","")</f>
        <v/>
      </c>
      <c r="S6214" s="79" t="str">
        <f>IF(AND($O6214=$Q$7,$B6214&lt;'111'!$L$11),"x","")</f>
        <v/>
      </c>
      <c r="T6214" s="79" t="str">
        <f>IF(ISERROR(FIND('112'!$M$9,G6214,1)),"",IF((AND(FIND('112'!$M$9,G6214,1)&gt;=1,B6214='112'!$K$9,OR($N6214='112'!$I$6,$O6214='112'!$I$6))),"x",""))</f>
        <v/>
      </c>
      <c r="U6214" s="79" t="str">
        <f>IF(ISERROR(FIND('112'!$M$9,G6214,1)),"",IF((AND(LEFT(G6214,2)=LEFT('112'!$M$9,2),B6214&lt;'112'!$K$9,$N6214='112'!$I$6)),"x",""))</f>
        <v/>
      </c>
      <c r="V6214" s="79" t="str">
        <f>IF(ISERROR(FIND('112'!$M$9,G6214,1)),"",IF((AND(RIGHT(G6214,2)=RIGHT('112'!$M$9,2),B6214&lt;'112'!$K$9,$O6214='112'!$I$6)),"x",""))</f>
        <v/>
      </c>
      <c r="W6214" s="79" t="str">
        <f>IF(AND('341-CT'!$H$9=H6214,OR(LEFT(N6214,3)=$W$7,LEFT(O6214,3)=$W$7)),"x","")</f>
        <v/>
      </c>
      <c r="X6214" s="79" t="str">
        <f>IF(OR(TH!N6214=TH!$X$7,O6214=TH!$X$7),"x","")</f>
        <v/>
      </c>
      <c r="Y6214" s="79" t="str">
        <f>IF(AND(OR(N6214="131",O6214="131"),H6214='131-CT'!$H$9),"x","")</f>
        <v/>
      </c>
      <c r="Z6214" s="79"/>
      <c r="AA6214" s="79" t="str">
        <f>IF(AND(MONTH(E6214)='IN-NX'!$J$5,'IN-NX'!$D$7=D6214),"x","")</f>
        <v/>
      </c>
      <c r="AB6214" s="79" t="str">
        <f>IF(AND(OR(LEFT(TH!N6214,2)="15",LEFT(TH!O6214,2)="15"),LEFT(TH!O6214,3)&lt;&gt;"111",'152-CT'!$J$8=TH!F6214),"x","")</f>
        <v/>
      </c>
      <c r="AC6214" s="79" t="str">
        <f>IF(AND(OR(LEFT(TH!N6214,2)="15",LEFT(TH!O6214,2)="15"),TK!$E$7=TH!F6214),"x","")</f>
        <v/>
      </c>
      <c r="AD6214" s="79" t="str">
        <f>IF(AND(N6214="1521",MONTH(C6214)='BK-NL'!$M$11),"x","")</f>
        <v/>
      </c>
    </row>
    <row r="6215" spans="1:30" ht="16.5" customHeight="1">
      <c r="A6215" s="318" t="str">
        <f>IF(B6215&lt;&gt;"",IF(AND(B6215='IN-TC'!$S$4,OR(TH!N6215="1111",TH!O6215="1111")),TH!D6215,""),"")</f>
        <v/>
      </c>
      <c r="B6215" s="60" t="str">
        <f t="shared" si="518"/>
        <v/>
      </c>
      <c r="C6215" s="61"/>
      <c r="D6215" s="61"/>
      <c r="E6215" s="61"/>
      <c r="F6215" s="69"/>
      <c r="G6215" s="766"/>
      <c r="H6215" s="69"/>
      <c r="I6215" s="385"/>
      <c r="J6215" s="392"/>
      <c r="K6215" s="385"/>
      <c r="L6215" s="392"/>
      <c r="M6215" s="62"/>
      <c r="N6215" s="63"/>
      <c r="O6215" s="63"/>
      <c r="P6215" s="79" t="str">
        <f>IF(AND('331-CT'!$E$7=TH!H6215,OR(N6215="331",O6215="331")),"x","")</f>
        <v/>
      </c>
      <c r="Q6215" s="79" t="str">
        <f>IF(AND(B6215='111'!$L$11,OR($N6215=$Q$7,$O6215=$Q$7)),"x","")</f>
        <v/>
      </c>
      <c r="R6215" s="79" t="str">
        <f>IF(AND($N6215=$Q$7,$B6215&lt;'111'!$L$11),"x","")</f>
        <v/>
      </c>
      <c r="S6215" s="79" t="str">
        <f>IF(AND($O6215=$Q$7,$B6215&lt;'111'!$L$11),"x","")</f>
        <v/>
      </c>
      <c r="T6215" s="79" t="str">
        <f>IF(ISERROR(FIND('112'!$M$9,G6215,1)),"",IF((AND(FIND('112'!$M$9,G6215,1)&gt;=1,B6215='112'!$K$9,OR($N6215='112'!$I$6,$O6215='112'!$I$6))),"x",""))</f>
        <v/>
      </c>
      <c r="U6215" s="79" t="str">
        <f>IF(ISERROR(FIND('112'!$M$9,G6215,1)),"",IF((AND(LEFT(G6215,2)=LEFT('112'!$M$9,2),B6215&lt;'112'!$K$9,$N6215='112'!$I$6)),"x",""))</f>
        <v/>
      </c>
      <c r="V6215" s="79" t="str">
        <f>IF(ISERROR(FIND('112'!$M$9,G6215,1)),"",IF((AND(RIGHT(G6215,2)=RIGHT('112'!$M$9,2),B6215&lt;'112'!$K$9,$O6215='112'!$I$6)),"x",""))</f>
        <v/>
      </c>
      <c r="W6215" s="79" t="str">
        <f>IF(AND('341-CT'!$H$9=H6215,OR(LEFT(N6215,3)=$W$7,LEFT(O6215,3)=$W$7)),"x","")</f>
        <v/>
      </c>
      <c r="X6215" s="79" t="str">
        <f>IF(OR(TH!N6215=TH!$X$7,O6215=TH!$X$7),"x","")</f>
        <v/>
      </c>
      <c r="Y6215" s="79" t="str">
        <f>IF(AND(OR(N6215="131",O6215="131"),H6215='131-CT'!$H$9),"x","")</f>
        <v/>
      </c>
      <c r="Z6215" s="79"/>
      <c r="AA6215" s="79" t="str">
        <f>IF(AND(MONTH(E6215)='IN-NX'!$J$5,'IN-NX'!$D$7=D6215),"x","")</f>
        <v/>
      </c>
      <c r="AB6215" s="79" t="str">
        <f>IF(AND(OR(LEFT(TH!N6215,2)="15",LEFT(TH!O6215,2)="15"),LEFT(TH!O6215,3)&lt;&gt;"111",'152-CT'!$J$8=TH!F6215),"x","")</f>
        <v/>
      </c>
      <c r="AC6215" s="79" t="str">
        <f>IF(AND(OR(LEFT(TH!N6215,2)="15",LEFT(TH!O6215,2)="15"),TK!$E$7=TH!F6215),"x","")</f>
        <v/>
      </c>
      <c r="AD6215" s="79" t="str">
        <f>IF(AND(N6215="1521",MONTH(C6215)='BK-NL'!$M$11),"x","")</f>
        <v/>
      </c>
    </row>
    <row r="6216" spans="1:30" ht="16.5" customHeight="1">
      <c r="A6216" s="318" t="str">
        <f>IF(B6216&lt;&gt;"",IF(AND(B6216='IN-TC'!$S$4,OR(TH!N6216="1111",TH!O6216="1111")),TH!D6216,""),"")</f>
        <v/>
      </c>
      <c r="B6216" s="60" t="str">
        <f t="shared" si="518"/>
        <v/>
      </c>
      <c r="C6216" s="61"/>
      <c r="D6216" s="61"/>
      <c r="E6216" s="61"/>
      <c r="F6216" s="69"/>
      <c r="G6216" s="766"/>
      <c r="H6216" s="69"/>
      <c r="I6216" s="385"/>
      <c r="J6216" s="392"/>
      <c r="K6216" s="385"/>
      <c r="L6216" s="392"/>
      <c r="M6216" s="62"/>
      <c r="N6216" s="63"/>
      <c r="O6216" s="63"/>
      <c r="P6216" s="79" t="str">
        <f>IF(AND('331-CT'!$E$7=TH!H6216,OR(N6216="331",O6216="331")),"x","")</f>
        <v/>
      </c>
      <c r="Q6216" s="79" t="str">
        <f>IF(AND(B6216='111'!$L$11,OR($N6216=$Q$7,$O6216=$Q$7)),"x","")</f>
        <v/>
      </c>
      <c r="R6216" s="79" t="str">
        <f>IF(AND($N6216=$Q$7,$B6216&lt;'111'!$L$11),"x","")</f>
        <v/>
      </c>
      <c r="S6216" s="79" t="str">
        <f>IF(AND($O6216=$Q$7,$B6216&lt;'111'!$L$11),"x","")</f>
        <v/>
      </c>
      <c r="T6216" s="79" t="str">
        <f>IF(ISERROR(FIND('112'!$M$9,G6216,1)),"",IF((AND(FIND('112'!$M$9,G6216,1)&gt;=1,B6216='112'!$K$9,OR($N6216='112'!$I$6,$O6216='112'!$I$6))),"x",""))</f>
        <v/>
      </c>
      <c r="U6216" s="79" t="str">
        <f>IF(ISERROR(FIND('112'!$M$9,G6216,1)),"",IF((AND(LEFT(G6216,2)=LEFT('112'!$M$9,2),B6216&lt;'112'!$K$9,$N6216='112'!$I$6)),"x",""))</f>
        <v/>
      </c>
      <c r="V6216" s="79" t="str">
        <f>IF(ISERROR(FIND('112'!$M$9,G6216,1)),"",IF((AND(RIGHT(G6216,2)=RIGHT('112'!$M$9,2),B6216&lt;'112'!$K$9,$O6216='112'!$I$6)),"x",""))</f>
        <v/>
      </c>
      <c r="W6216" s="79" t="str">
        <f>IF(AND('341-CT'!$H$9=H6216,OR(LEFT(N6216,3)=$W$7,LEFT(O6216,3)=$W$7)),"x","")</f>
        <v/>
      </c>
      <c r="X6216" s="79" t="str">
        <f>IF(OR(TH!N6216=TH!$X$7,O6216=TH!$X$7),"x","")</f>
        <v/>
      </c>
      <c r="Y6216" s="79" t="str">
        <f>IF(AND(OR(N6216="131",O6216="131"),H6216='131-CT'!$H$9),"x","")</f>
        <v/>
      </c>
      <c r="Z6216" s="79"/>
      <c r="AA6216" s="79" t="str">
        <f>IF(AND(MONTH(E6216)='IN-NX'!$J$5,'IN-NX'!$D$7=D6216),"x","")</f>
        <v/>
      </c>
      <c r="AB6216" s="79" t="str">
        <f>IF(AND(OR(LEFT(TH!N6216,2)="15",LEFT(TH!O6216,2)="15"),LEFT(TH!O6216,3)&lt;&gt;"111",'152-CT'!$J$8=TH!F6216),"x","")</f>
        <v/>
      </c>
      <c r="AC6216" s="79" t="str">
        <f>IF(AND(OR(LEFT(TH!N6216,2)="15",LEFT(TH!O6216,2)="15"),TK!$E$7=TH!F6216),"x","")</f>
        <v/>
      </c>
      <c r="AD6216" s="79" t="str">
        <f>IF(AND(N6216="1521",MONTH(C6216)='BK-NL'!$M$11),"x","")</f>
        <v/>
      </c>
    </row>
    <row r="6217" spans="1:30" ht="16.5" customHeight="1">
      <c r="A6217" s="318" t="str">
        <f>IF(B6217&lt;&gt;"",IF(AND(B6217='IN-TC'!$S$4,OR(TH!N6217="1111",TH!O6217="1111")),TH!D6217,""),"")</f>
        <v/>
      </c>
      <c r="B6217" s="60" t="str">
        <f t="shared" si="518"/>
        <v/>
      </c>
      <c r="C6217" s="61"/>
      <c r="D6217" s="61"/>
      <c r="E6217" s="61"/>
      <c r="F6217" s="69"/>
      <c r="G6217" s="766"/>
      <c r="H6217" s="69"/>
      <c r="I6217" s="385"/>
      <c r="J6217" s="392"/>
      <c r="K6217" s="385"/>
      <c r="L6217" s="392"/>
      <c r="M6217" s="62"/>
      <c r="N6217" s="63"/>
      <c r="O6217" s="63"/>
      <c r="P6217" s="79" t="str">
        <f>IF(AND('331-CT'!$E$7=TH!H6217,OR(N6217="331",O6217="331")),"x","")</f>
        <v/>
      </c>
      <c r="Q6217" s="79" t="str">
        <f>IF(AND(B6217='111'!$L$11,OR($N6217=$Q$7,$O6217=$Q$7)),"x","")</f>
        <v/>
      </c>
      <c r="R6217" s="79" t="str">
        <f>IF(AND($N6217=$Q$7,$B6217&lt;'111'!$L$11),"x","")</f>
        <v/>
      </c>
      <c r="S6217" s="79" t="str">
        <f>IF(AND($O6217=$Q$7,$B6217&lt;'111'!$L$11),"x","")</f>
        <v/>
      </c>
      <c r="T6217" s="79" t="str">
        <f>IF(ISERROR(FIND('112'!$M$9,G6217,1)),"",IF((AND(FIND('112'!$M$9,G6217,1)&gt;=1,B6217='112'!$K$9,OR($N6217='112'!$I$6,$O6217='112'!$I$6))),"x",""))</f>
        <v/>
      </c>
      <c r="U6217" s="79" t="str">
        <f>IF(ISERROR(FIND('112'!$M$9,G6217,1)),"",IF((AND(LEFT(G6217,2)=LEFT('112'!$M$9,2),B6217&lt;'112'!$K$9,$N6217='112'!$I$6)),"x",""))</f>
        <v/>
      </c>
      <c r="V6217" s="79" t="str">
        <f>IF(ISERROR(FIND('112'!$M$9,G6217,1)),"",IF((AND(RIGHT(G6217,2)=RIGHT('112'!$M$9,2),B6217&lt;'112'!$K$9,$O6217='112'!$I$6)),"x",""))</f>
        <v/>
      </c>
      <c r="W6217" s="79" t="str">
        <f>IF(AND('341-CT'!$H$9=H6217,OR(LEFT(N6217,3)=$W$7,LEFT(O6217,3)=$W$7)),"x","")</f>
        <v/>
      </c>
      <c r="X6217" s="79" t="str">
        <f>IF(OR(TH!N6217=TH!$X$7,O6217=TH!$X$7),"x","")</f>
        <v/>
      </c>
      <c r="Y6217" s="79" t="str">
        <f>IF(AND(OR(N6217="131",O6217="131"),H6217='131-CT'!$H$9),"x","")</f>
        <v/>
      </c>
      <c r="Z6217" s="79"/>
      <c r="AA6217" s="79" t="str">
        <f>IF(AND(MONTH(E6217)='IN-NX'!$J$5,'IN-NX'!$D$7=D6217),"x","")</f>
        <v/>
      </c>
      <c r="AB6217" s="79" t="str">
        <f>IF(AND(OR(LEFT(TH!N6217,2)="15",LEFT(TH!O6217,2)="15"),LEFT(TH!O6217,3)&lt;&gt;"111",'152-CT'!$J$8=TH!F6217),"x","")</f>
        <v/>
      </c>
      <c r="AC6217" s="79" t="str">
        <f>IF(AND(OR(LEFT(TH!N6217,2)="15",LEFT(TH!O6217,2)="15"),TK!$E$7=TH!F6217),"x","")</f>
        <v/>
      </c>
      <c r="AD6217" s="79" t="str">
        <f>IF(AND(N6217="1521",MONTH(C6217)='BK-NL'!$M$11),"x","")</f>
        <v/>
      </c>
    </row>
    <row r="6218" spans="1:30" ht="16.5" customHeight="1">
      <c r="A6218" s="318" t="str">
        <f>IF(B6218&lt;&gt;"",IF(AND(B6218='IN-TC'!$S$4,OR(TH!N6218="1111",TH!O6218="1111")),TH!D6218,""),"")</f>
        <v/>
      </c>
      <c r="B6218" s="60" t="str">
        <f t="shared" si="518"/>
        <v/>
      </c>
      <c r="C6218" s="61"/>
      <c r="D6218" s="61"/>
      <c r="E6218" s="61"/>
      <c r="F6218" s="69"/>
      <c r="G6218" s="766"/>
      <c r="H6218" s="303"/>
      <c r="I6218" s="385"/>
      <c r="J6218" s="392"/>
      <c r="K6218" s="385"/>
      <c r="L6218" s="392"/>
      <c r="M6218" s="62"/>
      <c r="N6218" s="63"/>
      <c r="O6218" s="63"/>
      <c r="P6218" s="79" t="str">
        <f>IF(AND('331-CT'!$E$7=TH!H6218,OR(N6218="331",O6218="331")),"x","")</f>
        <v/>
      </c>
      <c r="Q6218" s="79" t="str">
        <f>IF(AND(B6218='111'!$L$11,OR($N6218=$Q$7,$O6218=$Q$7)),"x","")</f>
        <v/>
      </c>
      <c r="R6218" s="79" t="str">
        <f>IF(AND($N6218=$Q$7,$B6218&lt;'111'!$L$11),"x","")</f>
        <v/>
      </c>
      <c r="S6218" s="79" t="str">
        <f>IF(AND($O6218=$Q$7,$B6218&lt;'111'!$L$11),"x","")</f>
        <v/>
      </c>
      <c r="T6218" s="79" t="str">
        <f>IF(ISERROR(FIND('112'!$M$9,G6218,1)),"",IF((AND(FIND('112'!$M$9,G6218,1)&gt;=1,B6218='112'!$K$9,OR($N6218='112'!$I$6,$O6218='112'!$I$6))),"x",""))</f>
        <v/>
      </c>
      <c r="U6218" s="79" t="str">
        <f>IF(ISERROR(FIND('112'!$M$9,G6218,1)),"",IF((AND(LEFT(G6218,2)=LEFT('112'!$M$9,2),B6218&lt;'112'!$K$9,$N6218='112'!$I$6)),"x",""))</f>
        <v/>
      </c>
      <c r="V6218" s="79" t="str">
        <f>IF(ISERROR(FIND('112'!$M$9,G6218,1)),"",IF((AND(RIGHT(G6218,2)=RIGHT('112'!$M$9,2),B6218&lt;'112'!$K$9,$O6218='112'!$I$6)),"x",""))</f>
        <v/>
      </c>
      <c r="W6218" s="79" t="str">
        <f>IF(AND('341-CT'!$H$9=H6218,OR(LEFT(N6218,3)=$W$7,LEFT(O6218,3)=$W$7)),"x","")</f>
        <v/>
      </c>
      <c r="X6218" s="79" t="str">
        <f>IF(OR(TH!N6218=TH!$X$7,O6218=TH!$X$7),"x","")</f>
        <v/>
      </c>
      <c r="Y6218" s="79" t="str">
        <f>IF(AND(OR(N6218="131",O6218="131"),H6218='131-CT'!$H$9),"x","")</f>
        <v/>
      </c>
      <c r="Z6218" s="79"/>
      <c r="AA6218" s="79" t="str">
        <f>IF(AND(MONTH(E6218)='IN-NX'!$J$5,'IN-NX'!$D$7=D6218),"x","")</f>
        <v/>
      </c>
      <c r="AB6218" s="79" t="str">
        <f>IF(AND(OR(LEFT(TH!N6218,2)="15",LEFT(TH!O6218,2)="15"),LEFT(TH!O6218,3)&lt;&gt;"111",'152-CT'!$J$8=TH!F6218),"x","")</f>
        <v/>
      </c>
      <c r="AC6218" s="79" t="str">
        <f>IF(AND(OR(LEFT(TH!N6218,2)="15",LEFT(TH!O6218,2)="15"),TK!$E$7=TH!F6218),"x","")</f>
        <v/>
      </c>
      <c r="AD6218" s="79" t="str">
        <f>IF(AND(N6218="1521",MONTH(C6218)='BK-NL'!$M$11),"x","")</f>
        <v/>
      </c>
    </row>
    <row r="6219" spans="1:30" ht="16.5" customHeight="1">
      <c r="A6219" s="318" t="str">
        <f>IF(B6219&lt;&gt;"",IF(AND(B6219='IN-TC'!$S$4,OR(TH!N6219="1111",TH!O6219="1111")),TH!D6219,""),"")</f>
        <v/>
      </c>
      <c r="B6219" s="60" t="str">
        <f t="shared" si="518"/>
        <v/>
      </c>
      <c r="C6219" s="61"/>
      <c r="D6219" s="61"/>
      <c r="E6219" s="61"/>
      <c r="F6219" s="69"/>
      <c r="G6219" s="766"/>
      <c r="H6219" s="303"/>
      <c r="I6219" s="385"/>
      <c r="J6219" s="392"/>
      <c r="K6219" s="385"/>
      <c r="L6219" s="392"/>
      <c r="M6219" s="62"/>
      <c r="N6219" s="63"/>
      <c r="O6219" s="63"/>
      <c r="P6219" s="79" t="str">
        <f>IF(AND('331-CT'!$E$7=TH!H6219,OR(N6219="331",O6219="331")),"x","")</f>
        <v/>
      </c>
      <c r="Q6219" s="79" t="str">
        <f>IF(AND(B6219='111'!$L$11,OR($N6219=$Q$7,$O6219=$Q$7)),"x","")</f>
        <v/>
      </c>
      <c r="R6219" s="79" t="str">
        <f>IF(AND($N6219=$Q$7,$B6219&lt;'111'!$L$11),"x","")</f>
        <v/>
      </c>
      <c r="S6219" s="79" t="str">
        <f>IF(AND($O6219=$Q$7,$B6219&lt;'111'!$L$11),"x","")</f>
        <v/>
      </c>
      <c r="T6219" s="79" t="str">
        <f>IF(ISERROR(FIND('112'!$M$9,G6219,1)),"",IF((AND(FIND('112'!$M$9,G6219,1)&gt;=1,B6219='112'!$K$9,OR($N6219='112'!$I$6,$O6219='112'!$I$6))),"x",""))</f>
        <v/>
      </c>
      <c r="U6219" s="79" t="str">
        <f>IF(ISERROR(FIND('112'!$M$9,G6219,1)),"",IF((AND(LEFT(G6219,2)=LEFT('112'!$M$9,2),B6219&lt;'112'!$K$9,$N6219='112'!$I$6)),"x",""))</f>
        <v/>
      </c>
      <c r="V6219" s="79" t="str">
        <f>IF(ISERROR(FIND('112'!$M$9,G6219,1)),"",IF((AND(RIGHT(G6219,2)=RIGHT('112'!$M$9,2),B6219&lt;'112'!$K$9,$O6219='112'!$I$6)),"x",""))</f>
        <v/>
      </c>
      <c r="W6219" s="79" t="str">
        <f>IF(AND('341-CT'!$H$9=H6219,OR(LEFT(N6219,3)=$W$7,LEFT(O6219,3)=$W$7)),"x","")</f>
        <v/>
      </c>
      <c r="X6219" s="79" t="str">
        <f>IF(OR(TH!N6219=TH!$X$7,O6219=TH!$X$7),"x","")</f>
        <v/>
      </c>
      <c r="Y6219" s="79" t="str">
        <f>IF(AND(OR(N6219="131",O6219="131"),H6219='131-CT'!$H$9),"x","")</f>
        <v/>
      </c>
      <c r="Z6219" s="79"/>
      <c r="AA6219" s="79" t="str">
        <f>IF(AND(MONTH(E6219)='IN-NX'!$J$5,'IN-NX'!$D$7=D6219),"x","")</f>
        <v/>
      </c>
      <c r="AB6219" s="79" t="str">
        <f>IF(AND(OR(LEFT(TH!N6219,2)="15",LEFT(TH!O6219,2)="15"),LEFT(TH!O6219,3)&lt;&gt;"111",'152-CT'!$J$8=TH!F6219),"x","")</f>
        <v/>
      </c>
      <c r="AC6219" s="79" t="str">
        <f>IF(AND(OR(LEFT(TH!N6219,2)="15",LEFT(TH!O6219,2)="15"),TK!$E$7=TH!F6219),"x","")</f>
        <v/>
      </c>
      <c r="AD6219" s="79" t="str">
        <f>IF(AND(N6219="1521",MONTH(C6219)='BK-NL'!$M$11),"x","")</f>
        <v/>
      </c>
    </row>
    <row r="6220" spans="1:30" ht="16.5" customHeight="1">
      <c r="A6220" s="318" t="str">
        <f>IF(B6220&lt;&gt;"",IF(AND(B6220='IN-TC'!$S$4,OR(TH!N6220="1111",TH!O6220="1111")),TH!D6220,""),"")</f>
        <v/>
      </c>
      <c r="B6220" s="60" t="str">
        <f t="shared" si="518"/>
        <v/>
      </c>
      <c r="C6220" s="61"/>
      <c r="D6220" s="61"/>
      <c r="E6220" s="61"/>
      <c r="F6220" s="69"/>
      <c r="G6220" s="766"/>
      <c r="H6220" s="69"/>
      <c r="I6220" s="385"/>
      <c r="J6220" s="392"/>
      <c r="K6220" s="385"/>
      <c r="L6220" s="392"/>
      <c r="M6220" s="62"/>
      <c r="N6220" s="63"/>
      <c r="O6220" s="63"/>
      <c r="P6220" s="79" t="str">
        <f>IF(AND('331-CT'!$E$7=TH!H6220,OR(N6220="331",O6220="331")),"x","")</f>
        <v/>
      </c>
      <c r="Q6220" s="79" t="str">
        <f>IF(AND(B6220='111'!$L$11,OR($N6220=$Q$7,$O6220=$Q$7)),"x","")</f>
        <v/>
      </c>
      <c r="R6220" s="79" t="str">
        <f>IF(AND($N6220=$Q$7,$B6220&lt;'111'!$L$11),"x","")</f>
        <v/>
      </c>
      <c r="S6220" s="79" t="str">
        <f>IF(AND($O6220=$Q$7,$B6220&lt;'111'!$L$11),"x","")</f>
        <v/>
      </c>
      <c r="T6220" s="79" t="str">
        <f>IF(ISERROR(FIND('112'!$M$9,G6220,1)),"",IF((AND(FIND('112'!$M$9,G6220,1)&gt;=1,B6220='112'!$K$9,OR($N6220='112'!$I$6,$O6220='112'!$I$6))),"x",""))</f>
        <v/>
      </c>
      <c r="U6220" s="79" t="str">
        <f>IF(ISERROR(FIND('112'!$M$9,G6220,1)),"",IF((AND(LEFT(G6220,2)=LEFT('112'!$M$9,2),B6220&lt;'112'!$K$9,$N6220='112'!$I$6)),"x",""))</f>
        <v/>
      </c>
      <c r="V6220" s="79" t="str">
        <f>IF(ISERROR(FIND('112'!$M$9,G6220,1)),"",IF((AND(RIGHT(G6220,2)=RIGHT('112'!$M$9,2),B6220&lt;'112'!$K$9,$O6220='112'!$I$6)),"x",""))</f>
        <v/>
      </c>
      <c r="W6220" s="79" t="str">
        <f>IF(AND('341-CT'!$H$9=H6220,OR(LEFT(N6220,3)=$W$7,LEFT(O6220,3)=$W$7)),"x","")</f>
        <v/>
      </c>
      <c r="X6220" s="79" t="str">
        <f>IF(OR(TH!N6220=TH!$X$7,O6220=TH!$X$7),"x","")</f>
        <v/>
      </c>
      <c r="Y6220" s="79" t="str">
        <f>IF(AND(OR(N6220="131",O6220="131"),H6220='131-CT'!$H$9),"x","")</f>
        <v/>
      </c>
      <c r="Z6220" s="79"/>
      <c r="AA6220" s="79" t="str">
        <f>IF(AND(MONTH(E6220)='IN-NX'!$J$5,'IN-NX'!$D$7=D6220),"x","")</f>
        <v/>
      </c>
      <c r="AB6220" s="79" t="str">
        <f>IF(AND(OR(LEFT(TH!N6220,2)="15",LEFT(TH!O6220,2)="15"),LEFT(TH!O6220,3)&lt;&gt;"111",'152-CT'!$J$8=TH!F6220),"x","")</f>
        <v/>
      </c>
      <c r="AC6220" s="79" t="str">
        <f>IF(AND(OR(LEFT(TH!N6220,2)="15",LEFT(TH!O6220,2)="15"),TK!$E$7=TH!F6220),"x","")</f>
        <v/>
      </c>
      <c r="AD6220" s="79" t="str">
        <f>IF(AND(N6220="1521",MONTH(C6220)='BK-NL'!$M$11),"x","")</f>
        <v/>
      </c>
    </row>
    <row r="6221" spans="1:30" ht="16.5" customHeight="1">
      <c r="A6221" s="318" t="str">
        <f>IF(B6221&lt;&gt;"",IF(AND(B6221='IN-TC'!$S$4,OR(TH!N6221="1111",TH!O6221="1111")),TH!D6221,""),"")</f>
        <v/>
      </c>
      <c r="B6221" s="60" t="str">
        <f t="shared" si="518"/>
        <v/>
      </c>
      <c r="C6221" s="61"/>
      <c r="D6221" s="61"/>
      <c r="E6221" s="61"/>
      <c r="F6221" s="69"/>
      <c r="G6221" s="766"/>
      <c r="H6221" s="69"/>
      <c r="I6221" s="385"/>
      <c r="J6221" s="392"/>
      <c r="K6221" s="385"/>
      <c r="L6221" s="392"/>
      <c r="M6221" s="62"/>
      <c r="N6221" s="63"/>
      <c r="O6221" s="63"/>
      <c r="P6221" s="79" t="str">
        <f>IF(AND('331-CT'!$E$7=TH!H6221,OR(N6221="331",O6221="331")),"x","")</f>
        <v/>
      </c>
      <c r="Q6221" s="79" t="str">
        <f>IF(AND(B6221='111'!$L$11,OR($N6221=$Q$7,$O6221=$Q$7)),"x","")</f>
        <v/>
      </c>
      <c r="R6221" s="79" t="str">
        <f>IF(AND($N6221=$Q$7,$B6221&lt;'111'!$L$11),"x","")</f>
        <v/>
      </c>
      <c r="S6221" s="79" t="str">
        <f>IF(AND($O6221=$Q$7,$B6221&lt;'111'!$L$11),"x","")</f>
        <v/>
      </c>
      <c r="T6221" s="79" t="str">
        <f>IF(ISERROR(FIND('112'!$M$9,G6221,1)),"",IF((AND(FIND('112'!$M$9,G6221,1)&gt;=1,B6221='112'!$K$9,OR($N6221='112'!$I$6,$O6221='112'!$I$6))),"x",""))</f>
        <v/>
      </c>
      <c r="U6221" s="79" t="str">
        <f>IF(ISERROR(FIND('112'!$M$9,G6221,1)),"",IF((AND(LEFT(G6221,2)=LEFT('112'!$M$9,2),B6221&lt;'112'!$K$9,$N6221='112'!$I$6)),"x",""))</f>
        <v/>
      </c>
      <c r="V6221" s="79" t="str">
        <f>IF(ISERROR(FIND('112'!$M$9,G6221,1)),"",IF((AND(RIGHT(G6221,2)=RIGHT('112'!$M$9,2),B6221&lt;'112'!$K$9,$O6221='112'!$I$6)),"x",""))</f>
        <v/>
      </c>
      <c r="W6221" s="79" t="str">
        <f>IF(AND('341-CT'!$H$9=H6221,OR(LEFT(N6221,3)=$W$7,LEFT(O6221,3)=$W$7)),"x","")</f>
        <v/>
      </c>
      <c r="X6221" s="79" t="str">
        <f>IF(OR(TH!N6221=TH!$X$7,O6221=TH!$X$7),"x","")</f>
        <v/>
      </c>
      <c r="Y6221" s="79" t="str">
        <f>IF(AND(OR(N6221="131",O6221="131"),H6221='131-CT'!$H$9),"x","")</f>
        <v/>
      </c>
      <c r="Z6221" s="79"/>
      <c r="AA6221" s="79" t="str">
        <f>IF(AND(MONTH(E6221)='IN-NX'!$J$5,'IN-NX'!$D$7=D6221),"x","")</f>
        <v/>
      </c>
      <c r="AB6221" s="79" t="str">
        <f>IF(AND(OR(LEFT(TH!N6221,2)="15",LEFT(TH!O6221,2)="15"),LEFT(TH!O6221,3)&lt;&gt;"111",'152-CT'!$J$8=TH!F6221),"x","")</f>
        <v/>
      </c>
      <c r="AC6221" s="79" t="str">
        <f>IF(AND(OR(LEFT(TH!N6221,2)="15",LEFT(TH!O6221,2)="15"),TK!$E$7=TH!F6221),"x","")</f>
        <v/>
      </c>
      <c r="AD6221" s="79" t="str">
        <f>IF(AND(N6221="1521",MONTH(C6221)='BK-NL'!$M$11),"x","")</f>
        <v/>
      </c>
    </row>
    <row r="6222" spans="1:30" ht="16.5" customHeight="1">
      <c r="A6222" s="318" t="str">
        <f>IF(B6222&lt;&gt;"",IF(AND(B6222='IN-TC'!$S$4,OR(TH!N6222="1111",TH!O6222="1111")),TH!D6222,""),"")</f>
        <v/>
      </c>
      <c r="B6222" s="60" t="str">
        <f t="shared" si="518"/>
        <v/>
      </c>
      <c r="C6222" s="61"/>
      <c r="D6222" s="61"/>
      <c r="E6222" s="61"/>
      <c r="F6222" s="69"/>
      <c r="G6222" s="766"/>
      <c r="H6222" s="69"/>
      <c r="I6222" s="385"/>
      <c r="J6222" s="392"/>
      <c r="K6222" s="385"/>
      <c r="L6222" s="392"/>
      <c r="M6222" s="62"/>
      <c r="N6222" s="63"/>
      <c r="O6222" s="63"/>
      <c r="P6222" s="79" t="str">
        <f>IF(AND('331-CT'!$E$7=TH!H6222,OR(N6222="331",O6222="331")),"x","")</f>
        <v/>
      </c>
      <c r="Q6222" s="79" t="str">
        <f>IF(AND(B6222='111'!$L$11,OR($N6222=$Q$7,$O6222=$Q$7)),"x","")</f>
        <v/>
      </c>
      <c r="R6222" s="79" t="str">
        <f>IF(AND($N6222=$Q$7,$B6222&lt;'111'!$L$11),"x","")</f>
        <v/>
      </c>
      <c r="S6222" s="79" t="str">
        <f>IF(AND($O6222=$Q$7,$B6222&lt;'111'!$L$11),"x","")</f>
        <v/>
      </c>
      <c r="T6222" s="79" t="str">
        <f>IF(ISERROR(FIND('112'!$M$9,G6222,1)),"",IF((AND(FIND('112'!$M$9,G6222,1)&gt;=1,B6222='112'!$K$9,OR($N6222='112'!$I$6,$O6222='112'!$I$6))),"x",""))</f>
        <v/>
      </c>
      <c r="U6222" s="79" t="str">
        <f>IF(ISERROR(FIND('112'!$M$9,G6222,1)),"",IF((AND(LEFT(G6222,2)=LEFT('112'!$M$9,2),B6222&lt;'112'!$K$9,$N6222='112'!$I$6)),"x",""))</f>
        <v/>
      </c>
      <c r="V6222" s="79" t="str">
        <f>IF(ISERROR(FIND('112'!$M$9,G6222,1)),"",IF((AND(RIGHT(G6222,2)=RIGHT('112'!$M$9,2),B6222&lt;'112'!$K$9,$O6222='112'!$I$6)),"x",""))</f>
        <v/>
      </c>
      <c r="W6222" s="79" t="str">
        <f>IF(AND('341-CT'!$H$9=H6222,OR(LEFT(N6222,3)=$W$7,LEFT(O6222,3)=$W$7)),"x","")</f>
        <v/>
      </c>
      <c r="X6222" s="79" t="str">
        <f>IF(OR(TH!N6222=TH!$X$7,O6222=TH!$X$7),"x","")</f>
        <v/>
      </c>
      <c r="Y6222" s="79" t="str">
        <f>IF(AND(OR(N6222="131",O6222="131"),H6222='131-CT'!$H$9),"x","")</f>
        <v/>
      </c>
      <c r="Z6222" s="79"/>
      <c r="AA6222" s="79" t="str">
        <f>IF(AND(MONTH(E6222)='IN-NX'!$J$5,'IN-NX'!$D$7=D6222),"x","")</f>
        <v/>
      </c>
      <c r="AB6222" s="79" t="str">
        <f>IF(AND(OR(LEFT(TH!N6222,2)="15",LEFT(TH!O6222,2)="15"),LEFT(TH!O6222,3)&lt;&gt;"111",'152-CT'!$J$8=TH!F6222),"x","")</f>
        <v/>
      </c>
      <c r="AC6222" s="79" t="str">
        <f>IF(AND(OR(LEFT(TH!N6222,2)="15",LEFT(TH!O6222,2)="15"),TK!$E$7=TH!F6222),"x","")</f>
        <v/>
      </c>
      <c r="AD6222" s="79" t="str">
        <f>IF(AND(N6222="1521",MONTH(C6222)='BK-NL'!$M$11),"x","")</f>
        <v/>
      </c>
    </row>
    <row r="6223" spans="1:30" ht="16.5" customHeight="1">
      <c r="A6223" s="318" t="str">
        <f>IF(B6223&lt;&gt;"",IF(AND(B6223='IN-TC'!$S$4,OR(TH!N6223="1111",TH!O6223="1111")),TH!D6223,""),"")</f>
        <v/>
      </c>
      <c r="B6223" s="60" t="str">
        <f t="shared" si="518"/>
        <v/>
      </c>
      <c r="C6223" s="61"/>
      <c r="D6223" s="61"/>
      <c r="E6223" s="61"/>
      <c r="F6223" s="69"/>
      <c r="G6223" s="766"/>
      <c r="H6223" s="69"/>
      <c r="I6223" s="385"/>
      <c r="J6223" s="392"/>
      <c r="K6223" s="385"/>
      <c r="L6223" s="392"/>
      <c r="M6223" s="62"/>
      <c r="N6223" s="63"/>
      <c r="O6223" s="63"/>
      <c r="P6223" s="79" t="str">
        <f>IF(AND('331-CT'!$E$7=TH!H6223,OR(N6223="331",O6223="331")),"x","")</f>
        <v/>
      </c>
      <c r="Q6223" s="79" t="str">
        <f>IF(AND(B6223='111'!$L$11,OR($N6223=$Q$7,$O6223=$Q$7)),"x","")</f>
        <v/>
      </c>
      <c r="R6223" s="79" t="str">
        <f>IF(AND($N6223=$Q$7,$B6223&lt;'111'!$L$11),"x","")</f>
        <v/>
      </c>
      <c r="S6223" s="79" t="str">
        <f>IF(AND($O6223=$Q$7,$B6223&lt;'111'!$L$11),"x","")</f>
        <v/>
      </c>
      <c r="T6223" s="79" t="str">
        <f>IF(ISERROR(FIND('112'!$M$9,G6223,1)),"",IF((AND(FIND('112'!$M$9,G6223,1)&gt;=1,B6223='112'!$K$9,OR($N6223='112'!$I$6,$O6223='112'!$I$6))),"x",""))</f>
        <v/>
      </c>
      <c r="U6223" s="79" t="str">
        <f>IF(ISERROR(FIND('112'!$M$9,G6223,1)),"",IF((AND(LEFT(G6223,2)=LEFT('112'!$M$9,2),B6223&lt;'112'!$K$9,$N6223='112'!$I$6)),"x",""))</f>
        <v/>
      </c>
      <c r="V6223" s="79" t="str">
        <f>IF(ISERROR(FIND('112'!$M$9,G6223,1)),"",IF((AND(RIGHT(G6223,2)=RIGHT('112'!$M$9,2),B6223&lt;'112'!$K$9,$O6223='112'!$I$6)),"x",""))</f>
        <v/>
      </c>
      <c r="W6223" s="79" t="str">
        <f>IF(AND('341-CT'!$H$9=H6223,OR(LEFT(N6223,3)=$W$7,LEFT(O6223,3)=$W$7)),"x","")</f>
        <v/>
      </c>
      <c r="X6223" s="79" t="str">
        <f>IF(OR(TH!N6223=TH!$X$7,O6223=TH!$X$7),"x","")</f>
        <v/>
      </c>
      <c r="Y6223" s="79" t="str">
        <f>IF(AND(OR(N6223="131",O6223="131"),H6223='131-CT'!$H$9),"x","")</f>
        <v/>
      </c>
      <c r="Z6223" s="79"/>
      <c r="AA6223" s="79" t="str">
        <f>IF(AND(MONTH(E6223)='IN-NX'!$J$5,'IN-NX'!$D$7=D6223),"x","")</f>
        <v/>
      </c>
      <c r="AB6223" s="79" t="str">
        <f>IF(AND(OR(LEFT(TH!N6223,2)="15",LEFT(TH!O6223,2)="15"),LEFT(TH!O6223,3)&lt;&gt;"111",'152-CT'!$J$8=TH!F6223),"x","")</f>
        <v/>
      </c>
      <c r="AC6223" s="79" t="str">
        <f>IF(AND(OR(LEFT(TH!N6223,2)="15",LEFT(TH!O6223,2)="15"),TK!$E$7=TH!F6223),"x","")</f>
        <v/>
      </c>
      <c r="AD6223" s="79" t="str">
        <f>IF(AND(N6223="1521",MONTH(C6223)='BK-NL'!$M$11),"x","")</f>
        <v/>
      </c>
    </row>
    <row r="6224" spans="1:30" ht="16.5" customHeight="1">
      <c r="A6224" s="318" t="str">
        <f>IF(B6224&lt;&gt;"",IF(AND(B6224='IN-TC'!$S$4,OR(TH!N6224="1111",TH!O6224="1111")),TH!D6224,""),"")</f>
        <v/>
      </c>
      <c r="B6224" s="60" t="str">
        <f t="shared" si="518"/>
        <v/>
      </c>
      <c r="C6224" s="61"/>
      <c r="D6224" s="61"/>
      <c r="E6224" s="61"/>
      <c r="F6224" s="69"/>
      <c r="G6224" s="766"/>
      <c r="H6224" s="303"/>
      <c r="I6224" s="385"/>
      <c r="J6224" s="392"/>
      <c r="K6224" s="385"/>
      <c r="L6224" s="392"/>
      <c r="M6224" s="62"/>
      <c r="N6224" s="63"/>
      <c r="O6224" s="63"/>
      <c r="P6224" s="79" t="str">
        <f>IF(AND('331-CT'!$E$7=TH!H6224,OR(N6224="331",O6224="331")),"x","")</f>
        <v/>
      </c>
      <c r="Q6224" s="79" t="str">
        <f>IF(AND(B6224='111'!$L$11,OR($N6224=$Q$7,$O6224=$Q$7)),"x","")</f>
        <v/>
      </c>
      <c r="R6224" s="79" t="str">
        <f>IF(AND($N6224=$Q$7,$B6224&lt;'111'!$L$11),"x","")</f>
        <v/>
      </c>
      <c r="S6224" s="79" t="str">
        <f>IF(AND($O6224=$Q$7,$B6224&lt;'111'!$L$11),"x","")</f>
        <v/>
      </c>
      <c r="T6224" s="79" t="str">
        <f>IF(ISERROR(FIND('112'!$M$9,G6224,1)),"",IF((AND(FIND('112'!$M$9,G6224,1)&gt;=1,B6224='112'!$K$9,OR($N6224='112'!$I$6,$O6224='112'!$I$6))),"x",""))</f>
        <v/>
      </c>
      <c r="U6224" s="79" t="str">
        <f>IF(ISERROR(FIND('112'!$M$9,G6224,1)),"",IF((AND(LEFT(G6224,2)=LEFT('112'!$M$9,2),B6224&lt;'112'!$K$9,$N6224='112'!$I$6)),"x",""))</f>
        <v/>
      </c>
      <c r="V6224" s="79" t="str">
        <f>IF(ISERROR(FIND('112'!$M$9,G6224,1)),"",IF((AND(RIGHT(G6224,2)=RIGHT('112'!$M$9,2),B6224&lt;'112'!$K$9,$O6224='112'!$I$6)),"x",""))</f>
        <v/>
      </c>
      <c r="W6224" s="79" t="str">
        <f>IF(AND('341-CT'!$H$9=H6224,OR(LEFT(N6224,3)=$W$7,LEFT(O6224,3)=$W$7)),"x","")</f>
        <v/>
      </c>
      <c r="X6224" s="79" t="str">
        <f>IF(OR(TH!N6224=TH!$X$7,O6224=TH!$X$7),"x","")</f>
        <v/>
      </c>
      <c r="Y6224" s="79" t="str">
        <f>IF(AND(OR(N6224="131",O6224="131"),H6224='131-CT'!$H$9),"x","")</f>
        <v/>
      </c>
      <c r="Z6224" s="79"/>
      <c r="AA6224" s="79" t="str">
        <f>IF(AND(MONTH(E6224)='IN-NX'!$J$5,'IN-NX'!$D$7=D6224),"x","")</f>
        <v/>
      </c>
      <c r="AB6224" s="79" t="str">
        <f>IF(AND(OR(LEFT(TH!N6224,2)="15",LEFT(TH!O6224,2)="15"),LEFT(TH!O6224,3)&lt;&gt;"111",'152-CT'!$J$8=TH!F6224),"x","")</f>
        <v/>
      </c>
      <c r="AC6224" s="79" t="str">
        <f>IF(AND(OR(LEFT(TH!N6224,2)="15",LEFT(TH!O6224,2)="15"),TK!$E$7=TH!F6224),"x","")</f>
        <v/>
      </c>
      <c r="AD6224" s="79" t="str">
        <f>IF(AND(N6224="1521",MONTH(C6224)='BK-NL'!$M$11),"x","")</f>
        <v/>
      </c>
    </row>
    <row r="6225" spans="1:30" ht="16.5" customHeight="1">
      <c r="A6225" s="318" t="str">
        <f>IF(B6225&lt;&gt;"",IF(AND(B6225='IN-TC'!$S$4,OR(TH!N6225="1111",TH!O6225="1111")),TH!D6225,""),"")</f>
        <v/>
      </c>
      <c r="B6225" s="60" t="str">
        <f t="shared" si="518"/>
        <v/>
      </c>
      <c r="C6225" s="61"/>
      <c r="D6225" s="61"/>
      <c r="E6225" s="61"/>
      <c r="F6225" s="69"/>
      <c r="G6225" s="766"/>
      <c r="H6225" s="303"/>
      <c r="I6225" s="385"/>
      <c r="J6225" s="392"/>
      <c r="K6225" s="385"/>
      <c r="L6225" s="392"/>
      <c r="M6225" s="62"/>
      <c r="N6225" s="63"/>
      <c r="O6225" s="63"/>
      <c r="P6225" s="79" t="str">
        <f>IF(AND('331-CT'!$E$7=TH!H6225,OR(N6225="331",O6225="331")),"x","")</f>
        <v/>
      </c>
      <c r="Q6225" s="79" t="str">
        <f>IF(AND(B6225='111'!$L$11,OR($N6225=$Q$7,$O6225=$Q$7)),"x","")</f>
        <v/>
      </c>
      <c r="R6225" s="79" t="str">
        <f>IF(AND($N6225=$Q$7,$B6225&lt;'111'!$L$11),"x","")</f>
        <v/>
      </c>
      <c r="S6225" s="79" t="str">
        <f>IF(AND($O6225=$Q$7,$B6225&lt;'111'!$L$11),"x","")</f>
        <v/>
      </c>
      <c r="T6225" s="79" t="str">
        <f>IF(ISERROR(FIND('112'!$M$9,G6225,1)),"",IF((AND(FIND('112'!$M$9,G6225,1)&gt;=1,B6225='112'!$K$9,OR($N6225='112'!$I$6,$O6225='112'!$I$6))),"x",""))</f>
        <v/>
      </c>
      <c r="U6225" s="79" t="str">
        <f>IF(ISERROR(FIND('112'!$M$9,G6225,1)),"",IF((AND(LEFT(G6225,2)=LEFT('112'!$M$9,2),B6225&lt;'112'!$K$9,$N6225='112'!$I$6)),"x",""))</f>
        <v/>
      </c>
      <c r="V6225" s="79" t="str">
        <f>IF(ISERROR(FIND('112'!$M$9,G6225,1)),"",IF((AND(RIGHT(G6225,2)=RIGHT('112'!$M$9,2),B6225&lt;'112'!$K$9,$O6225='112'!$I$6)),"x",""))</f>
        <v/>
      </c>
      <c r="W6225" s="79" t="str">
        <f>IF(AND('341-CT'!$H$9=H6225,OR(LEFT(N6225,3)=$W$7,LEFT(O6225,3)=$W$7)),"x","")</f>
        <v/>
      </c>
      <c r="X6225" s="79" t="str">
        <f>IF(OR(TH!N6225=TH!$X$7,O6225=TH!$X$7),"x","")</f>
        <v/>
      </c>
      <c r="Y6225" s="79" t="str">
        <f>IF(AND(OR(N6225="131",O6225="131"),H6225='131-CT'!$H$9),"x","")</f>
        <v/>
      </c>
      <c r="Z6225" s="79"/>
      <c r="AA6225" s="79" t="str">
        <f>IF(AND(MONTH(E6225)='IN-NX'!$J$5,'IN-NX'!$D$7=D6225),"x","")</f>
        <v/>
      </c>
      <c r="AB6225" s="79" t="str">
        <f>IF(AND(OR(LEFT(TH!N6225,2)="15",LEFT(TH!O6225,2)="15"),LEFT(TH!O6225,3)&lt;&gt;"111",'152-CT'!$J$8=TH!F6225),"x","")</f>
        <v/>
      </c>
      <c r="AC6225" s="79" t="str">
        <f>IF(AND(OR(LEFT(TH!N6225,2)="15",LEFT(TH!O6225,2)="15"),TK!$E$7=TH!F6225),"x","")</f>
        <v/>
      </c>
      <c r="AD6225" s="79" t="str">
        <f>IF(AND(N6225="1521",MONTH(C6225)='BK-NL'!$M$11),"x","")</f>
        <v/>
      </c>
    </row>
    <row r="6226" spans="1:30" ht="16.5" customHeight="1">
      <c r="A6226" s="318" t="str">
        <f>IF(B6226&lt;&gt;"",IF(AND(B6226='IN-TC'!$S$4,OR(TH!N6226="1111",TH!O6226="1111")),TH!D6226,""),"")</f>
        <v/>
      </c>
      <c r="B6226" s="60" t="str">
        <f t="shared" si="518"/>
        <v/>
      </c>
      <c r="C6226" s="61"/>
      <c r="D6226" s="61"/>
      <c r="E6226" s="61"/>
      <c r="F6226" s="69"/>
      <c r="G6226" s="766"/>
      <c r="H6226" s="69"/>
      <c r="I6226" s="385"/>
      <c r="J6226" s="392"/>
      <c r="K6226" s="385"/>
      <c r="L6226" s="392"/>
      <c r="M6226" s="62"/>
      <c r="N6226" s="63"/>
      <c r="O6226" s="63"/>
      <c r="P6226" s="79" t="str">
        <f>IF(AND('331-CT'!$E$7=TH!H6226,OR(N6226="331",O6226="331")),"x","")</f>
        <v/>
      </c>
      <c r="Q6226" s="79" t="str">
        <f>IF(AND(B6226='111'!$L$11,OR($N6226=$Q$7,$O6226=$Q$7)),"x","")</f>
        <v/>
      </c>
      <c r="R6226" s="79" t="str">
        <f>IF(AND($N6226=$Q$7,$B6226&lt;'111'!$L$11),"x","")</f>
        <v/>
      </c>
      <c r="S6226" s="79" t="str">
        <f>IF(AND($O6226=$Q$7,$B6226&lt;'111'!$L$11),"x","")</f>
        <v/>
      </c>
      <c r="T6226" s="79" t="str">
        <f>IF(ISERROR(FIND('112'!$M$9,G6226,1)),"",IF((AND(FIND('112'!$M$9,G6226,1)&gt;=1,B6226='112'!$K$9,OR($N6226='112'!$I$6,$O6226='112'!$I$6))),"x",""))</f>
        <v/>
      </c>
      <c r="U6226" s="79" t="str">
        <f>IF(ISERROR(FIND('112'!$M$9,G6226,1)),"",IF((AND(LEFT(G6226,2)=LEFT('112'!$M$9,2),B6226&lt;'112'!$K$9,$N6226='112'!$I$6)),"x",""))</f>
        <v/>
      </c>
      <c r="V6226" s="79" t="str">
        <f>IF(ISERROR(FIND('112'!$M$9,G6226,1)),"",IF((AND(RIGHT(G6226,2)=RIGHT('112'!$M$9,2),B6226&lt;'112'!$K$9,$O6226='112'!$I$6)),"x",""))</f>
        <v/>
      </c>
      <c r="W6226" s="79" t="str">
        <f>IF(AND('341-CT'!$H$9=H6226,OR(LEFT(N6226,3)=$W$7,LEFT(O6226,3)=$W$7)),"x","")</f>
        <v/>
      </c>
      <c r="X6226" s="79" t="str">
        <f>IF(OR(TH!N6226=TH!$X$7,O6226=TH!$X$7),"x","")</f>
        <v/>
      </c>
      <c r="Y6226" s="79" t="str">
        <f>IF(AND(OR(N6226="131",O6226="131"),H6226='131-CT'!$H$9),"x","")</f>
        <v/>
      </c>
      <c r="Z6226" s="79"/>
      <c r="AA6226" s="79" t="str">
        <f>IF(AND(MONTH(E6226)='IN-NX'!$J$5,'IN-NX'!$D$7=D6226),"x","")</f>
        <v/>
      </c>
      <c r="AB6226" s="79" t="str">
        <f>IF(AND(OR(LEFT(TH!N6226,2)="15",LEFT(TH!O6226,2)="15"),LEFT(TH!O6226,3)&lt;&gt;"111",'152-CT'!$J$8=TH!F6226),"x","")</f>
        <v/>
      </c>
      <c r="AC6226" s="79" t="str">
        <f>IF(AND(OR(LEFT(TH!N6226,2)="15",LEFT(TH!O6226,2)="15"),TK!$E$7=TH!F6226),"x","")</f>
        <v/>
      </c>
      <c r="AD6226" s="79" t="str">
        <f>IF(AND(N6226="1521",MONTH(C6226)='BK-NL'!$M$11),"x","")</f>
        <v/>
      </c>
    </row>
    <row r="6227" spans="1:30" ht="16.5" customHeight="1">
      <c r="A6227" s="318" t="str">
        <f>IF(B6227&lt;&gt;"",IF(AND(B6227='IN-TC'!$S$4,OR(TH!N6227="1111",TH!O6227="1111")),TH!D6227,""),"")</f>
        <v/>
      </c>
      <c r="B6227" s="60" t="str">
        <f t="shared" si="518"/>
        <v/>
      </c>
      <c r="C6227" s="61"/>
      <c r="D6227" s="61"/>
      <c r="E6227" s="61"/>
      <c r="F6227" s="69"/>
      <c r="G6227" s="766"/>
      <c r="H6227" s="69"/>
      <c r="I6227" s="385"/>
      <c r="J6227" s="392"/>
      <c r="K6227" s="385"/>
      <c r="L6227" s="392"/>
      <c r="M6227" s="62"/>
      <c r="N6227" s="63"/>
      <c r="O6227" s="63"/>
      <c r="P6227" s="79" t="str">
        <f>IF(AND('331-CT'!$E$7=TH!H6227,OR(N6227="331",O6227="331")),"x","")</f>
        <v/>
      </c>
      <c r="Q6227" s="79" t="str">
        <f>IF(AND(B6227='111'!$L$11,OR($N6227=$Q$7,$O6227=$Q$7)),"x","")</f>
        <v/>
      </c>
      <c r="R6227" s="79" t="str">
        <f>IF(AND($N6227=$Q$7,$B6227&lt;'111'!$L$11),"x","")</f>
        <v/>
      </c>
      <c r="S6227" s="79" t="str">
        <f>IF(AND($O6227=$Q$7,$B6227&lt;'111'!$L$11),"x","")</f>
        <v/>
      </c>
      <c r="T6227" s="79" t="str">
        <f>IF(ISERROR(FIND('112'!$M$9,G6227,1)),"",IF((AND(FIND('112'!$M$9,G6227,1)&gt;=1,B6227='112'!$K$9,OR($N6227='112'!$I$6,$O6227='112'!$I$6))),"x",""))</f>
        <v/>
      </c>
      <c r="U6227" s="79" t="str">
        <f>IF(ISERROR(FIND('112'!$M$9,G6227,1)),"",IF((AND(LEFT(G6227,2)=LEFT('112'!$M$9,2),B6227&lt;'112'!$K$9,$N6227='112'!$I$6)),"x",""))</f>
        <v/>
      </c>
      <c r="V6227" s="79" t="str">
        <f>IF(ISERROR(FIND('112'!$M$9,G6227,1)),"",IF((AND(RIGHT(G6227,2)=RIGHT('112'!$M$9,2),B6227&lt;'112'!$K$9,$O6227='112'!$I$6)),"x",""))</f>
        <v/>
      </c>
      <c r="W6227" s="79" t="str">
        <f>IF(AND('341-CT'!$H$9=H6227,OR(LEFT(N6227,3)=$W$7,LEFT(O6227,3)=$W$7)),"x","")</f>
        <v/>
      </c>
      <c r="X6227" s="79" t="str">
        <f>IF(OR(TH!N6227=TH!$X$7,O6227=TH!$X$7),"x","")</f>
        <v/>
      </c>
      <c r="Y6227" s="79" t="str">
        <f>IF(AND(OR(N6227="131",O6227="131"),H6227='131-CT'!$H$9),"x","")</f>
        <v/>
      </c>
      <c r="Z6227" s="79"/>
      <c r="AA6227" s="79" t="str">
        <f>IF(AND(MONTH(E6227)='IN-NX'!$J$5,'IN-NX'!$D$7=D6227),"x","")</f>
        <v/>
      </c>
      <c r="AB6227" s="79" t="str">
        <f>IF(AND(OR(LEFT(TH!N6227,2)="15",LEFT(TH!O6227,2)="15"),LEFT(TH!O6227,3)&lt;&gt;"111",'152-CT'!$J$8=TH!F6227),"x","")</f>
        <v/>
      </c>
      <c r="AC6227" s="79" t="str">
        <f>IF(AND(OR(LEFT(TH!N6227,2)="15",LEFT(TH!O6227,2)="15"),TK!$E$7=TH!F6227),"x","")</f>
        <v/>
      </c>
      <c r="AD6227" s="79" t="str">
        <f>IF(AND(N6227="1521",MONTH(C6227)='BK-NL'!$M$11),"x","")</f>
        <v/>
      </c>
    </row>
    <row r="6228" spans="1:30" ht="16.5" customHeight="1">
      <c r="A6228" s="318" t="str">
        <f>IF(B6228&lt;&gt;"",IF(AND(B6228='IN-TC'!$S$4,OR(TH!N6228="1111",TH!O6228="1111")),TH!D6228,""),"")</f>
        <v/>
      </c>
      <c r="B6228" s="60" t="str">
        <f t="shared" si="518"/>
        <v/>
      </c>
      <c r="C6228" s="61"/>
      <c r="D6228" s="61"/>
      <c r="E6228" s="61"/>
      <c r="F6228" s="69"/>
      <c r="G6228" s="766"/>
      <c r="H6228" s="69"/>
      <c r="I6228" s="385"/>
      <c r="J6228" s="392"/>
      <c r="K6228" s="385"/>
      <c r="L6228" s="392"/>
      <c r="M6228" s="62"/>
      <c r="N6228" s="63"/>
      <c r="O6228" s="63"/>
      <c r="P6228" s="79" t="str">
        <f>IF(AND('331-CT'!$E$7=TH!H6228,OR(N6228="331",O6228="331")),"x","")</f>
        <v/>
      </c>
      <c r="Q6228" s="79" t="str">
        <f>IF(AND(B6228='111'!$L$11,OR($N6228=$Q$7,$O6228=$Q$7)),"x","")</f>
        <v/>
      </c>
      <c r="R6228" s="79" t="str">
        <f>IF(AND($N6228=$Q$7,$B6228&lt;'111'!$L$11),"x","")</f>
        <v/>
      </c>
      <c r="S6228" s="79" t="str">
        <f>IF(AND($O6228=$Q$7,$B6228&lt;'111'!$L$11),"x","")</f>
        <v/>
      </c>
      <c r="T6228" s="79" t="str">
        <f>IF(ISERROR(FIND('112'!$M$9,G6228,1)),"",IF((AND(FIND('112'!$M$9,G6228,1)&gt;=1,B6228='112'!$K$9,OR($N6228='112'!$I$6,$O6228='112'!$I$6))),"x",""))</f>
        <v/>
      </c>
      <c r="U6228" s="79" t="str">
        <f>IF(ISERROR(FIND('112'!$M$9,G6228,1)),"",IF((AND(LEFT(G6228,2)=LEFT('112'!$M$9,2),B6228&lt;'112'!$K$9,$N6228='112'!$I$6)),"x",""))</f>
        <v/>
      </c>
      <c r="V6228" s="79" t="str">
        <f>IF(ISERROR(FIND('112'!$M$9,G6228,1)),"",IF((AND(RIGHT(G6228,2)=RIGHT('112'!$M$9,2),B6228&lt;'112'!$K$9,$O6228='112'!$I$6)),"x",""))</f>
        <v/>
      </c>
      <c r="W6228" s="79" t="str">
        <f>IF(AND('341-CT'!$H$9=H6228,OR(LEFT(N6228,3)=$W$7,LEFT(O6228,3)=$W$7)),"x","")</f>
        <v/>
      </c>
      <c r="X6228" s="79" t="str">
        <f>IF(OR(TH!N6228=TH!$X$7,O6228=TH!$X$7),"x","")</f>
        <v/>
      </c>
      <c r="Y6228" s="79" t="str">
        <f>IF(AND(OR(N6228="131",O6228="131"),H6228='131-CT'!$H$9),"x","")</f>
        <v/>
      </c>
      <c r="Z6228" s="79"/>
      <c r="AA6228" s="79" t="str">
        <f>IF(AND(MONTH(E6228)='IN-NX'!$J$5,'IN-NX'!$D$7=D6228),"x","")</f>
        <v/>
      </c>
      <c r="AB6228" s="79" t="str">
        <f>IF(AND(OR(LEFT(TH!N6228,2)="15",LEFT(TH!O6228,2)="15"),LEFT(TH!O6228,3)&lt;&gt;"111",'152-CT'!$J$8=TH!F6228),"x","")</f>
        <v/>
      </c>
      <c r="AC6228" s="79" t="str">
        <f>IF(AND(OR(LEFT(TH!N6228,2)="15",LEFT(TH!O6228,2)="15"),TK!$E$7=TH!F6228),"x","")</f>
        <v/>
      </c>
      <c r="AD6228" s="79" t="str">
        <f>IF(AND(N6228="1521",MONTH(C6228)='BK-NL'!$M$11),"x","")</f>
        <v/>
      </c>
    </row>
    <row r="6229" spans="1:30" ht="16.5" customHeight="1">
      <c r="A6229" s="318" t="str">
        <f>IF(B6229&lt;&gt;"",IF(AND(B6229='IN-TC'!$S$4,OR(TH!N6229="1111",TH!O6229="1111")),TH!D6229,""),"")</f>
        <v/>
      </c>
      <c r="B6229" s="60" t="str">
        <f t="shared" si="518"/>
        <v/>
      </c>
      <c r="C6229" s="61"/>
      <c r="D6229" s="61"/>
      <c r="E6229" s="61"/>
      <c r="F6229" s="69"/>
      <c r="G6229" s="766"/>
      <c r="H6229" s="69"/>
      <c r="I6229" s="385"/>
      <c r="J6229" s="392"/>
      <c r="K6229" s="385"/>
      <c r="L6229" s="392"/>
      <c r="M6229" s="62"/>
      <c r="N6229" s="304"/>
      <c r="O6229" s="63"/>
      <c r="P6229" s="79" t="str">
        <f>IF(AND('331-CT'!$E$7=TH!H6229,OR(N6229="331",O6229="331")),"x","")</f>
        <v/>
      </c>
      <c r="Q6229" s="79" t="str">
        <f>IF(AND(B6229='111'!$L$11,OR($N6229=$Q$7,$O6229=$Q$7)),"x","")</f>
        <v/>
      </c>
      <c r="R6229" s="79" t="str">
        <f>IF(AND($N6229=$Q$7,$B6229&lt;'111'!$L$11),"x","")</f>
        <v/>
      </c>
      <c r="S6229" s="79" t="str">
        <f>IF(AND($O6229=$Q$7,$B6229&lt;'111'!$L$11),"x","")</f>
        <v/>
      </c>
      <c r="T6229" s="79" t="str">
        <f>IF(ISERROR(FIND('112'!$M$9,G6229,1)),"",IF((AND(FIND('112'!$M$9,G6229,1)&gt;=1,B6229='112'!$K$9,OR($N6229='112'!$I$6,$O6229='112'!$I$6))),"x",""))</f>
        <v/>
      </c>
      <c r="U6229" s="79" t="str">
        <f>IF(ISERROR(FIND('112'!$M$9,G6229,1)),"",IF((AND(LEFT(G6229,2)=LEFT('112'!$M$9,2),B6229&lt;'112'!$K$9,$N6229='112'!$I$6)),"x",""))</f>
        <v/>
      </c>
      <c r="V6229" s="79" t="str">
        <f>IF(ISERROR(FIND('112'!$M$9,G6229,1)),"",IF((AND(RIGHT(G6229,2)=RIGHT('112'!$M$9,2),B6229&lt;'112'!$K$9,$O6229='112'!$I$6)),"x",""))</f>
        <v/>
      </c>
      <c r="W6229" s="79" t="str">
        <f>IF(AND('341-CT'!$H$9=H6229,OR(LEFT(N6229,3)=$W$7,LEFT(O6229,3)=$W$7)),"x","")</f>
        <v/>
      </c>
      <c r="X6229" s="79" t="str">
        <f>IF(OR(TH!N6229=TH!$X$7,O6229=TH!$X$7),"x","")</f>
        <v/>
      </c>
      <c r="Y6229" s="79" t="str">
        <f>IF(AND(OR(N6229="131",O6229="131"),H6229='131-CT'!$H$9),"x","")</f>
        <v/>
      </c>
      <c r="Z6229" s="79"/>
      <c r="AA6229" s="79" t="str">
        <f>IF(AND(MONTH(E6229)='IN-NX'!$J$5,'IN-NX'!$D$7=D6229),"x","")</f>
        <v/>
      </c>
      <c r="AB6229" s="79" t="str">
        <f>IF(AND(OR(LEFT(TH!N6229,2)="15",LEFT(TH!O6229,2)="15"),LEFT(TH!O6229,3)&lt;&gt;"111",'152-CT'!$J$8=TH!F6229),"x","")</f>
        <v/>
      </c>
      <c r="AC6229" s="79" t="str">
        <f>IF(AND(OR(LEFT(TH!N6229,2)="15",LEFT(TH!O6229,2)="15"),TK!$E$7=TH!F6229),"x","")</f>
        <v/>
      </c>
      <c r="AD6229" s="79" t="str">
        <f>IF(AND(N6229="1521",MONTH(C6229)='BK-NL'!$M$11),"x","")</f>
        <v/>
      </c>
    </row>
    <row r="6230" spans="1:30" ht="16.5" customHeight="1">
      <c r="A6230" s="318" t="str">
        <f>IF(B6230&lt;&gt;"",IF(AND(B6230='IN-TC'!$S$4,OR(TH!N6230="1111",TH!O6230="1111")),TH!D6230,""),"")</f>
        <v/>
      </c>
      <c r="B6230" s="60" t="str">
        <f t="shared" si="518"/>
        <v/>
      </c>
      <c r="C6230" s="61"/>
      <c r="D6230" s="61"/>
      <c r="E6230" s="61"/>
      <c r="F6230" s="69"/>
      <c r="G6230" s="766"/>
      <c r="H6230" s="69"/>
      <c r="I6230" s="385"/>
      <c r="J6230" s="392"/>
      <c r="K6230" s="385"/>
      <c r="L6230" s="392"/>
      <c r="M6230" s="62"/>
      <c r="N6230" s="63"/>
      <c r="O6230" s="63"/>
      <c r="P6230" s="79" t="str">
        <f>IF(AND('331-CT'!$E$7=TH!H6230,OR(N6230="331",O6230="331")),"x","")</f>
        <v/>
      </c>
      <c r="Q6230" s="79" t="str">
        <f>IF(AND(B6230='111'!$L$11,OR($N6230=$Q$7,$O6230=$Q$7)),"x","")</f>
        <v/>
      </c>
      <c r="R6230" s="79" t="str">
        <f>IF(AND($N6230=$Q$7,$B6230&lt;'111'!$L$11),"x","")</f>
        <v/>
      </c>
      <c r="S6230" s="79" t="str">
        <f>IF(AND($O6230=$Q$7,$B6230&lt;'111'!$L$11),"x","")</f>
        <v/>
      </c>
      <c r="T6230" s="79" t="str">
        <f>IF(ISERROR(FIND('112'!$M$9,G6230,1)),"",IF((AND(FIND('112'!$M$9,G6230,1)&gt;=1,B6230='112'!$K$9,OR($N6230='112'!$I$6,$O6230='112'!$I$6))),"x",""))</f>
        <v/>
      </c>
      <c r="U6230" s="79" t="str">
        <f>IF(ISERROR(FIND('112'!$M$9,G6230,1)),"",IF((AND(LEFT(G6230,2)=LEFT('112'!$M$9,2),B6230&lt;'112'!$K$9,$N6230='112'!$I$6)),"x",""))</f>
        <v/>
      </c>
      <c r="V6230" s="79" t="str">
        <f>IF(ISERROR(FIND('112'!$M$9,G6230,1)),"",IF((AND(RIGHT(G6230,2)=RIGHT('112'!$M$9,2),B6230&lt;'112'!$K$9,$O6230='112'!$I$6)),"x",""))</f>
        <v/>
      </c>
      <c r="W6230" s="79" t="str">
        <f>IF(AND('341-CT'!$H$9=H6230,OR(LEFT(N6230,3)=$W$7,LEFT(O6230,3)=$W$7)),"x","")</f>
        <v/>
      </c>
      <c r="X6230" s="79" t="str">
        <f>IF(OR(TH!N6230=TH!$X$7,O6230=TH!$X$7),"x","")</f>
        <v/>
      </c>
      <c r="Y6230" s="79" t="str">
        <f>IF(AND(OR(N6230="131",O6230="131"),H6230='131-CT'!$H$9),"x","")</f>
        <v/>
      </c>
      <c r="Z6230" s="79"/>
      <c r="AA6230" s="79" t="str">
        <f>IF(AND(MONTH(E6230)='IN-NX'!$J$5,'IN-NX'!$D$7=D6230),"x","")</f>
        <v/>
      </c>
      <c r="AB6230" s="79" t="str">
        <f>IF(AND(OR(LEFT(TH!N6230,2)="15",LEFT(TH!O6230,2)="15"),LEFT(TH!O6230,3)&lt;&gt;"111",'152-CT'!$J$8=TH!F6230),"x","")</f>
        <v/>
      </c>
      <c r="AC6230" s="79" t="str">
        <f>IF(AND(OR(LEFT(TH!N6230,2)="15",LEFT(TH!O6230,2)="15"),TK!$E$7=TH!F6230),"x","")</f>
        <v/>
      </c>
      <c r="AD6230" s="79" t="str">
        <f>IF(AND(N6230="1521",MONTH(C6230)='BK-NL'!$M$11),"x","")</f>
        <v/>
      </c>
    </row>
    <row r="6231" spans="1:30" ht="16.5" customHeight="1">
      <c r="A6231" s="318" t="str">
        <f>IF(B6231&lt;&gt;"",IF(AND(B6231='IN-TC'!$S$4,OR(TH!N6231="1111",TH!O6231="1111")),TH!D6231,""),"")</f>
        <v/>
      </c>
      <c r="B6231" s="60" t="str">
        <f t="shared" si="518"/>
        <v/>
      </c>
      <c r="C6231" s="61"/>
      <c r="D6231" s="61"/>
      <c r="E6231" s="61"/>
      <c r="F6231" s="69"/>
      <c r="G6231" s="766"/>
      <c r="H6231" s="69"/>
      <c r="I6231" s="385"/>
      <c r="J6231" s="392"/>
      <c r="K6231" s="385"/>
      <c r="L6231" s="392"/>
      <c r="M6231" s="62"/>
      <c r="N6231" s="63"/>
      <c r="O6231" s="63"/>
      <c r="P6231" s="79" t="str">
        <f>IF(AND('331-CT'!$E$7=TH!H6231,OR(N6231="331",O6231="331")),"x","")</f>
        <v/>
      </c>
      <c r="Q6231" s="79" t="str">
        <f>IF(AND(B6231='111'!$L$11,OR($N6231=$Q$7,$O6231=$Q$7)),"x","")</f>
        <v/>
      </c>
      <c r="R6231" s="79" t="str">
        <f>IF(AND($N6231=$Q$7,$B6231&lt;'111'!$L$11),"x","")</f>
        <v/>
      </c>
      <c r="S6231" s="79" t="str">
        <f>IF(AND($O6231=$Q$7,$B6231&lt;'111'!$L$11),"x","")</f>
        <v/>
      </c>
      <c r="T6231" s="79" t="str">
        <f>IF(ISERROR(FIND('112'!$M$9,G6231,1)),"",IF((AND(FIND('112'!$M$9,G6231,1)&gt;=1,B6231='112'!$K$9,OR($N6231='112'!$I$6,$O6231='112'!$I$6))),"x",""))</f>
        <v/>
      </c>
      <c r="U6231" s="79" t="str">
        <f>IF(ISERROR(FIND('112'!$M$9,G6231,1)),"",IF((AND(LEFT(G6231,2)=LEFT('112'!$M$9,2),B6231&lt;'112'!$K$9,$N6231='112'!$I$6)),"x",""))</f>
        <v/>
      </c>
      <c r="V6231" s="79" t="str">
        <f>IF(ISERROR(FIND('112'!$M$9,G6231,1)),"",IF((AND(RIGHT(G6231,2)=RIGHT('112'!$M$9,2),B6231&lt;'112'!$K$9,$O6231='112'!$I$6)),"x",""))</f>
        <v/>
      </c>
      <c r="W6231" s="79" t="str">
        <f>IF(AND('341-CT'!$H$9=H6231,OR(LEFT(N6231,3)=$W$7,LEFT(O6231,3)=$W$7)),"x","")</f>
        <v/>
      </c>
      <c r="X6231" s="79" t="str">
        <f>IF(OR(TH!N6231=TH!$X$7,O6231=TH!$X$7),"x","")</f>
        <v/>
      </c>
      <c r="Y6231" s="79" t="str">
        <f>IF(AND(OR(N6231="131",O6231="131"),H6231='131-CT'!$H$9),"x","")</f>
        <v/>
      </c>
      <c r="Z6231" s="79"/>
      <c r="AA6231" s="79" t="str">
        <f>IF(AND(MONTH(E6231)='IN-NX'!$J$5,'IN-NX'!$D$7=D6231),"x","")</f>
        <v/>
      </c>
      <c r="AB6231" s="79" t="str">
        <f>IF(AND(OR(LEFT(TH!N6231,2)="15",LEFT(TH!O6231,2)="15"),LEFT(TH!O6231,3)&lt;&gt;"111",'152-CT'!$J$8=TH!F6231),"x","")</f>
        <v/>
      </c>
      <c r="AC6231" s="79" t="str">
        <f>IF(AND(OR(LEFT(TH!N6231,2)="15",LEFT(TH!O6231,2)="15"),TK!$E$7=TH!F6231),"x","")</f>
        <v/>
      </c>
      <c r="AD6231" s="79" t="str">
        <f>IF(AND(N6231="1521",MONTH(C6231)='BK-NL'!$M$11),"x","")</f>
        <v/>
      </c>
    </row>
    <row r="6232" spans="1:30" ht="16.5" customHeight="1">
      <c r="A6232" s="318" t="str">
        <f>IF(B6232&lt;&gt;"",IF(AND(B6232='IN-TC'!$S$4,OR(TH!N6232="1111",TH!O6232="1111")),TH!D6232,""),"")</f>
        <v/>
      </c>
      <c r="B6232" s="60" t="str">
        <f t="shared" si="518"/>
        <v/>
      </c>
      <c r="C6232" s="61"/>
      <c r="D6232" s="61"/>
      <c r="E6232" s="61"/>
      <c r="F6232" s="69"/>
      <c r="G6232" s="766"/>
      <c r="H6232" s="69"/>
      <c r="I6232" s="385"/>
      <c r="J6232" s="392"/>
      <c r="K6232" s="385"/>
      <c r="L6232" s="392"/>
      <c r="M6232" s="62"/>
      <c r="N6232" s="63"/>
      <c r="O6232" s="63"/>
      <c r="P6232" s="79" t="str">
        <f>IF(AND('331-CT'!$E$7=TH!H6232,OR(N6232="331",O6232="331")),"x","")</f>
        <v/>
      </c>
      <c r="Q6232" s="79" t="str">
        <f>IF(AND(B6232='111'!$L$11,OR($N6232=$Q$7,$O6232=$Q$7)),"x","")</f>
        <v/>
      </c>
      <c r="R6232" s="79" t="str">
        <f>IF(AND($N6232=$Q$7,$B6232&lt;'111'!$L$11),"x","")</f>
        <v/>
      </c>
      <c r="S6232" s="79" t="str">
        <f>IF(AND($O6232=$Q$7,$B6232&lt;'111'!$L$11),"x","")</f>
        <v/>
      </c>
      <c r="T6232" s="79" t="str">
        <f>IF(ISERROR(FIND('112'!$M$9,G6232,1)),"",IF((AND(FIND('112'!$M$9,G6232,1)&gt;=1,B6232='112'!$K$9,OR($N6232='112'!$I$6,$O6232='112'!$I$6))),"x",""))</f>
        <v/>
      </c>
      <c r="U6232" s="79" t="str">
        <f>IF(ISERROR(FIND('112'!$M$9,G6232,1)),"",IF((AND(LEFT(G6232,2)=LEFT('112'!$M$9,2),B6232&lt;'112'!$K$9,$N6232='112'!$I$6)),"x",""))</f>
        <v/>
      </c>
      <c r="V6232" s="79" t="str">
        <f>IF(ISERROR(FIND('112'!$M$9,G6232,1)),"",IF((AND(RIGHT(G6232,2)=RIGHT('112'!$M$9,2),B6232&lt;'112'!$K$9,$O6232='112'!$I$6)),"x",""))</f>
        <v/>
      </c>
      <c r="W6232" s="79" t="str">
        <f>IF(AND('341-CT'!$H$9=H6232,OR(LEFT(N6232,3)=$W$7,LEFT(O6232,3)=$W$7)),"x","")</f>
        <v/>
      </c>
      <c r="X6232" s="79" t="str">
        <f>IF(OR(TH!N6232=TH!$X$7,O6232=TH!$X$7),"x","")</f>
        <v/>
      </c>
      <c r="Y6232" s="79" t="str">
        <f>IF(AND(OR(N6232="131",O6232="131"),H6232='131-CT'!$H$9),"x","")</f>
        <v/>
      </c>
      <c r="Z6232" s="79"/>
      <c r="AA6232" s="79" t="str">
        <f>IF(AND(MONTH(E6232)='IN-NX'!$J$5,'IN-NX'!$D$7=D6232),"x","")</f>
        <v/>
      </c>
      <c r="AB6232" s="79" t="str">
        <f>IF(AND(OR(LEFT(TH!N6232,2)="15",LEFT(TH!O6232,2)="15"),LEFT(TH!O6232,3)&lt;&gt;"111",'152-CT'!$J$8=TH!F6232),"x","")</f>
        <v/>
      </c>
      <c r="AC6232" s="79" t="str">
        <f>IF(AND(OR(LEFT(TH!N6232,2)="15",LEFT(TH!O6232,2)="15"),TK!$E$7=TH!F6232),"x","")</f>
        <v/>
      </c>
      <c r="AD6232" s="79" t="str">
        <f>IF(AND(N6232="1521",MONTH(C6232)='BK-NL'!$M$11),"x","")</f>
        <v/>
      </c>
    </row>
    <row r="6233" spans="1:30" ht="16.5" customHeight="1">
      <c r="A6233" s="318" t="str">
        <f>IF(B6233&lt;&gt;"",IF(AND(B6233='IN-TC'!$S$4,OR(TH!N6233="1111",TH!O6233="1111")),TH!D6233,""),"")</f>
        <v/>
      </c>
      <c r="B6233" s="60" t="str">
        <f t="shared" si="518"/>
        <v/>
      </c>
      <c r="C6233" s="61"/>
      <c r="D6233" s="61"/>
      <c r="E6233" s="61"/>
      <c r="F6233" s="69"/>
      <c r="G6233" s="766"/>
      <c r="H6233" s="69"/>
      <c r="I6233" s="385"/>
      <c r="J6233" s="392"/>
      <c r="K6233" s="385"/>
      <c r="L6233" s="392"/>
      <c r="M6233" s="62"/>
      <c r="N6233" s="63"/>
      <c r="O6233" s="63"/>
      <c r="P6233" s="79" t="str">
        <f>IF(AND('331-CT'!$E$7=TH!H6233,OR(N6233="331",O6233="331")),"x","")</f>
        <v/>
      </c>
      <c r="Q6233" s="79" t="str">
        <f>IF(AND(B6233='111'!$L$11,OR($N6233=$Q$7,$O6233=$Q$7)),"x","")</f>
        <v/>
      </c>
      <c r="R6233" s="79" t="str">
        <f>IF(AND($N6233=$Q$7,$B6233&lt;'111'!$L$11),"x","")</f>
        <v/>
      </c>
      <c r="S6233" s="79" t="str">
        <f>IF(AND($O6233=$Q$7,$B6233&lt;'111'!$L$11),"x","")</f>
        <v/>
      </c>
      <c r="T6233" s="79" t="str">
        <f>IF(ISERROR(FIND('112'!$M$9,G6233,1)),"",IF((AND(FIND('112'!$M$9,G6233,1)&gt;=1,B6233='112'!$K$9,OR($N6233='112'!$I$6,$O6233='112'!$I$6))),"x",""))</f>
        <v/>
      </c>
      <c r="U6233" s="79" t="str">
        <f>IF(ISERROR(FIND('112'!$M$9,G6233,1)),"",IF((AND(LEFT(G6233,2)=LEFT('112'!$M$9,2),B6233&lt;'112'!$K$9,$N6233='112'!$I$6)),"x",""))</f>
        <v/>
      </c>
      <c r="V6233" s="79" t="str">
        <f>IF(ISERROR(FIND('112'!$M$9,G6233,1)),"",IF((AND(RIGHT(G6233,2)=RIGHT('112'!$M$9,2),B6233&lt;'112'!$K$9,$O6233='112'!$I$6)),"x",""))</f>
        <v/>
      </c>
      <c r="W6233" s="79" t="str">
        <f>IF(AND('341-CT'!$H$9=H6233,OR(LEFT(N6233,3)=$W$7,LEFT(O6233,3)=$W$7)),"x","")</f>
        <v/>
      </c>
      <c r="X6233" s="79" t="str">
        <f>IF(OR(TH!N6233=TH!$X$7,O6233=TH!$X$7),"x","")</f>
        <v/>
      </c>
      <c r="Y6233" s="79" t="str">
        <f>IF(AND(OR(N6233="131",O6233="131"),H6233='131-CT'!$H$9),"x","")</f>
        <v/>
      </c>
      <c r="Z6233" s="79"/>
      <c r="AA6233" s="79" t="str">
        <f>IF(AND(MONTH(E6233)='IN-NX'!$J$5,'IN-NX'!$D$7=D6233),"x","")</f>
        <v/>
      </c>
      <c r="AB6233" s="79" t="str">
        <f>IF(AND(OR(LEFT(TH!N6233,2)="15",LEFT(TH!O6233,2)="15"),LEFT(TH!O6233,3)&lt;&gt;"111",'152-CT'!$J$8=TH!F6233),"x","")</f>
        <v/>
      </c>
      <c r="AC6233" s="79" t="str">
        <f>IF(AND(OR(LEFT(TH!N6233,2)="15",LEFT(TH!O6233,2)="15"),TK!$E$7=TH!F6233),"x","")</f>
        <v/>
      </c>
      <c r="AD6233" s="79" t="str">
        <f>IF(AND(N6233="1521",MONTH(C6233)='BK-NL'!$M$11),"x","")</f>
        <v/>
      </c>
    </row>
    <row r="6234" spans="1:30" ht="16.5" customHeight="1">
      <c r="A6234" s="318" t="str">
        <f>IF(B6234&lt;&gt;"",IF(AND(B6234='IN-TC'!$S$4,OR(TH!N6234="1111",TH!O6234="1111")),TH!D6234,""),"")</f>
        <v/>
      </c>
      <c r="B6234" s="60" t="str">
        <f t="shared" si="518"/>
        <v/>
      </c>
      <c r="C6234" s="61"/>
      <c r="D6234" s="61"/>
      <c r="E6234" s="61"/>
      <c r="F6234" s="322"/>
      <c r="G6234" s="766"/>
      <c r="H6234" s="69"/>
      <c r="I6234" s="387"/>
      <c r="J6234" s="394"/>
      <c r="K6234" s="387"/>
      <c r="L6234" s="392"/>
      <c r="M6234" s="62"/>
      <c r="N6234" s="63"/>
      <c r="O6234" s="63"/>
      <c r="P6234" s="79" t="str">
        <f>IF(AND('331-CT'!$E$7=TH!H6234,OR(N6234="331",O6234="331")),"x","")</f>
        <v/>
      </c>
      <c r="Q6234" s="79" t="str">
        <f>IF(AND(B6234='111'!$L$11,OR($N6234=$Q$7,$O6234=$Q$7)),"x","")</f>
        <v/>
      </c>
      <c r="R6234" s="79" t="str">
        <f>IF(AND($N6234=$Q$7,$B6234&lt;'111'!$L$11),"x","")</f>
        <v/>
      </c>
      <c r="S6234" s="79" t="str">
        <f>IF(AND($O6234=$Q$7,$B6234&lt;'111'!$L$11),"x","")</f>
        <v/>
      </c>
      <c r="T6234" s="79" t="str">
        <f>IF(ISERROR(FIND('112'!$M$9,G6234,1)),"",IF((AND(FIND('112'!$M$9,G6234,1)&gt;=1,B6234='112'!$K$9,OR($N6234='112'!$I$6,$O6234='112'!$I$6))),"x",""))</f>
        <v/>
      </c>
      <c r="U6234" s="79" t="str">
        <f>IF(ISERROR(FIND('112'!$M$9,G6234,1)),"",IF((AND(LEFT(G6234,2)=LEFT('112'!$M$9,2),B6234&lt;'112'!$K$9,$N6234='112'!$I$6)),"x",""))</f>
        <v/>
      </c>
      <c r="V6234" s="79" t="str">
        <f>IF(ISERROR(FIND('112'!$M$9,G6234,1)),"",IF((AND(RIGHT(G6234,2)=RIGHT('112'!$M$9,2),B6234&lt;'112'!$K$9,$O6234='112'!$I$6)),"x",""))</f>
        <v/>
      </c>
      <c r="W6234" s="79" t="str">
        <f>IF(AND('341-CT'!$H$9=H6234,OR(LEFT(N6234,3)=$W$7,LEFT(O6234,3)=$W$7)),"x","")</f>
        <v/>
      </c>
      <c r="X6234" s="79" t="str">
        <f>IF(OR(TH!N6234=TH!$X$7,O6234=TH!$X$7),"x","")</f>
        <v/>
      </c>
      <c r="Y6234" s="79" t="str">
        <f>IF(AND(OR(N6234="131",O6234="131"),H6234='131-CT'!$H$9),"x","")</f>
        <v/>
      </c>
      <c r="Z6234" s="79"/>
      <c r="AA6234" s="79" t="str">
        <f>IF(AND(MONTH(E6234)='IN-NX'!$J$5,'IN-NX'!$D$7=D6234),"x","")</f>
        <v/>
      </c>
      <c r="AB6234" s="79" t="str">
        <f>IF(AND(OR(LEFT(TH!N6234,2)="15",LEFT(TH!O6234,2)="15"),LEFT(TH!O6234,3)&lt;&gt;"111",'152-CT'!$J$8=TH!F6234),"x","")</f>
        <v/>
      </c>
      <c r="AC6234" s="79" t="str">
        <f>IF(AND(OR(LEFT(TH!N6234,2)="15",LEFT(TH!O6234,2)="15"),TK!$E$7=TH!F6234),"x","")</f>
        <v/>
      </c>
      <c r="AD6234" s="79" t="str">
        <f>IF(AND(N6234="1521",MONTH(C6234)='BK-NL'!$M$11),"x","")</f>
        <v/>
      </c>
    </row>
    <row r="6235" spans="1:30" ht="16.5" customHeight="1">
      <c r="A6235" s="318" t="str">
        <f>IF(B6235&lt;&gt;"",IF(AND(B6235='IN-TC'!$S$4,OR(TH!N6235="1111",TH!O6235="1111")),TH!D6235,""),"")</f>
        <v/>
      </c>
      <c r="B6235" s="60" t="str">
        <f t="shared" si="518"/>
        <v/>
      </c>
      <c r="C6235" s="61"/>
      <c r="D6235" s="61"/>
      <c r="E6235" s="61"/>
      <c r="F6235" s="446"/>
      <c r="G6235" s="766"/>
      <c r="H6235" s="69"/>
      <c r="I6235" s="385"/>
      <c r="J6235" s="392"/>
      <c r="K6235" s="385"/>
      <c r="L6235" s="392"/>
      <c r="M6235" s="62"/>
      <c r="N6235" s="63"/>
      <c r="O6235" s="63"/>
      <c r="P6235" s="79" t="str">
        <f>IF(AND('331-CT'!$E$7=TH!H6235,OR(N6235="331",O6235="331")),"x","")</f>
        <v/>
      </c>
      <c r="Q6235" s="79" t="str">
        <f>IF(AND(B6235='111'!$L$11,OR($N6235=$Q$7,$O6235=$Q$7)),"x","")</f>
        <v/>
      </c>
      <c r="R6235" s="79" t="str">
        <f>IF(AND($N6235=$Q$7,$B6235&lt;'111'!$L$11),"x","")</f>
        <v/>
      </c>
      <c r="S6235" s="79" t="str">
        <f>IF(AND($O6235=$Q$7,$B6235&lt;'111'!$L$11),"x","")</f>
        <v/>
      </c>
      <c r="T6235" s="79" t="str">
        <f>IF(ISERROR(FIND('112'!$M$9,G6235,1)),"",IF((AND(FIND('112'!$M$9,G6235,1)&gt;=1,B6235='112'!$K$9,OR($N6235='112'!$I$6,$O6235='112'!$I$6))),"x",""))</f>
        <v/>
      </c>
      <c r="U6235" s="79" t="str">
        <f>IF(ISERROR(FIND('112'!$M$9,G6235,1)),"",IF((AND(LEFT(G6235,2)=LEFT('112'!$M$9,2),B6235&lt;'112'!$K$9,$N6235='112'!$I$6)),"x",""))</f>
        <v/>
      </c>
      <c r="V6235" s="79" t="str">
        <f>IF(ISERROR(FIND('112'!$M$9,G6235,1)),"",IF((AND(RIGHT(G6235,2)=RIGHT('112'!$M$9,2),B6235&lt;'112'!$K$9,$O6235='112'!$I$6)),"x",""))</f>
        <v/>
      </c>
      <c r="W6235" s="79" t="str">
        <f>IF(AND('341-CT'!$H$9=H6235,OR(LEFT(N6235,3)=$W$7,LEFT(O6235,3)=$W$7)),"x","")</f>
        <v/>
      </c>
      <c r="X6235" s="79" t="str">
        <f>IF(OR(TH!N6235=TH!$X$7,O6235=TH!$X$7),"x","")</f>
        <v/>
      </c>
      <c r="Y6235" s="79" t="str">
        <f>IF(AND(OR(N6235="131",O6235="131"),H6235='131-CT'!$H$9),"x","")</f>
        <v/>
      </c>
      <c r="Z6235" s="79"/>
      <c r="AA6235" s="79" t="str">
        <f>IF(AND(MONTH(E6235)='IN-NX'!$J$5,'IN-NX'!$D$7=D6235),"x","")</f>
        <v/>
      </c>
      <c r="AB6235" s="79" t="str">
        <f>IF(AND(OR(LEFT(TH!N6235,2)="15",LEFT(TH!O6235,2)="15"),LEFT(TH!O6235,3)&lt;&gt;"111",'152-CT'!$J$8=TH!F6235),"x","")</f>
        <v/>
      </c>
      <c r="AC6235" s="79" t="str">
        <f>IF(AND(OR(LEFT(TH!N6235,2)="15",LEFT(TH!O6235,2)="15"),TK!$E$7=TH!F6235),"x","")</f>
        <v/>
      </c>
      <c r="AD6235" s="79" t="str">
        <f>IF(AND(N6235="1521",MONTH(C6235)='BK-NL'!$M$11),"x","")</f>
        <v/>
      </c>
    </row>
    <row r="6236" spans="1:30" ht="16.5" customHeight="1">
      <c r="A6236" s="318" t="str">
        <f>IF(B6236&lt;&gt;"",IF(AND(B6236='IN-TC'!$S$4,OR(TH!N6236="1111",TH!O6236="1111")),TH!D6236,""),"")</f>
        <v/>
      </c>
      <c r="B6236" s="60" t="str">
        <f t="shared" si="518"/>
        <v/>
      </c>
      <c r="C6236" s="61"/>
      <c r="D6236" s="61"/>
      <c r="E6236" s="61"/>
      <c r="F6236" s="446"/>
      <c r="G6236" s="766"/>
      <c r="H6236" s="69"/>
      <c r="I6236" s="385"/>
      <c r="J6236" s="392"/>
      <c r="K6236" s="385"/>
      <c r="L6236" s="392"/>
      <c r="M6236" s="62"/>
      <c r="N6236" s="63"/>
      <c r="O6236" s="63"/>
      <c r="P6236" s="79" t="str">
        <f>IF(AND('331-CT'!$E$7=TH!H6236,OR(N6236="331",O6236="331")),"x","")</f>
        <v/>
      </c>
      <c r="Q6236" s="79" t="str">
        <f>IF(AND(B6236='111'!$L$11,OR($N6236=$Q$7,$O6236=$Q$7)),"x","")</f>
        <v/>
      </c>
      <c r="R6236" s="79" t="str">
        <f>IF(AND($N6236=$Q$7,$B6236&lt;'111'!$L$11),"x","")</f>
        <v/>
      </c>
      <c r="S6236" s="79" t="str">
        <f>IF(AND($O6236=$Q$7,$B6236&lt;'111'!$L$11),"x","")</f>
        <v/>
      </c>
      <c r="T6236" s="79" t="str">
        <f>IF(ISERROR(FIND('112'!$M$9,G6236,1)),"",IF((AND(FIND('112'!$M$9,G6236,1)&gt;=1,B6236='112'!$K$9,OR($N6236='112'!$I$6,$O6236='112'!$I$6))),"x",""))</f>
        <v/>
      </c>
      <c r="U6236" s="79" t="str">
        <f>IF(ISERROR(FIND('112'!$M$9,G6236,1)),"",IF((AND(LEFT(G6236,2)=LEFT('112'!$M$9,2),B6236&lt;'112'!$K$9,$N6236='112'!$I$6)),"x",""))</f>
        <v/>
      </c>
      <c r="V6236" s="79" t="str">
        <f>IF(ISERROR(FIND('112'!$M$9,G6236,1)),"",IF((AND(RIGHT(G6236,2)=RIGHT('112'!$M$9,2),B6236&lt;'112'!$K$9,$O6236='112'!$I$6)),"x",""))</f>
        <v/>
      </c>
      <c r="W6236" s="79" t="str">
        <f>IF(AND('341-CT'!$H$9=H6236,OR(LEFT(N6236,3)=$W$7,LEFT(O6236,3)=$W$7)),"x","")</f>
        <v/>
      </c>
      <c r="X6236" s="79" t="str">
        <f>IF(OR(TH!N6236=TH!$X$7,O6236=TH!$X$7),"x","")</f>
        <v/>
      </c>
      <c r="Y6236" s="79" t="str">
        <f>IF(AND(OR(N6236="131",O6236="131"),H6236='131-CT'!$H$9),"x","")</f>
        <v/>
      </c>
      <c r="Z6236" s="79"/>
      <c r="AA6236" s="79" t="str">
        <f>IF(AND(MONTH(E6236)='IN-NX'!$J$5,'IN-NX'!$D$7=D6236),"x","")</f>
        <v/>
      </c>
      <c r="AB6236" s="79" t="str">
        <f>IF(AND(OR(LEFT(TH!N6236,2)="15",LEFT(TH!O6236,2)="15"),LEFT(TH!O6236,3)&lt;&gt;"111",'152-CT'!$J$8=TH!F6236),"x","")</f>
        <v/>
      </c>
      <c r="AC6236" s="79" t="str">
        <f>IF(AND(OR(LEFT(TH!N6236,2)="15",LEFT(TH!O6236,2)="15"),TK!$E$7=TH!F6236),"x","")</f>
        <v/>
      </c>
      <c r="AD6236" s="79" t="str">
        <f>IF(AND(N6236="1521",MONTH(C6236)='BK-NL'!$M$11),"x","")</f>
        <v/>
      </c>
    </row>
    <row r="6237" spans="1:30" ht="16.5" customHeight="1">
      <c r="A6237" s="318" t="str">
        <f>IF(B6237&lt;&gt;"",IF(AND(B6237='IN-TC'!$S$4,OR(TH!N6237="1111",TH!O6237="1111")),TH!D6237,""),"")</f>
        <v/>
      </c>
      <c r="B6237" s="60" t="str">
        <f t="shared" si="518"/>
        <v/>
      </c>
      <c r="C6237" s="61"/>
      <c r="D6237" s="61"/>
      <c r="E6237" s="61"/>
      <c r="F6237" s="446"/>
      <c r="G6237" s="766"/>
      <c r="H6237" s="69"/>
      <c r="I6237" s="385"/>
      <c r="J6237" s="392"/>
      <c r="K6237" s="385"/>
      <c r="L6237" s="392"/>
      <c r="M6237" s="62"/>
      <c r="N6237" s="63"/>
      <c r="O6237" s="63"/>
      <c r="P6237" s="79" t="str">
        <f>IF(AND('331-CT'!$E$7=TH!H6237,OR(N6237="331",O6237="331")),"x","")</f>
        <v/>
      </c>
      <c r="Q6237" s="79" t="str">
        <f>IF(AND(B6237='111'!$L$11,OR($N6237=$Q$7,$O6237=$Q$7)),"x","")</f>
        <v/>
      </c>
      <c r="R6237" s="79" t="str">
        <f>IF(AND($N6237=$Q$7,$B6237&lt;'111'!$L$11),"x","")</f>
        <v/>
      </c>
      <c r="S6237" s="79" t="str">
        <f>IF(AND($O6237=$Q$7,$B6237&lt;'111'!$L$11),"x","")</f>
        <v/>
      </c>
      <c r="T6237" s="79" t="str">
        <f>IF(ISERROR(FIND('112'!$M$9,G6237,1)),"",IF((AND(FIND('112'!$M$9,G6237,1)&gt;=1,B6237='112'!$K$9,OR($N6237='112'!$I$6,$O6237='112'!$I$6))),"x",""))</f>
        <v/>
      </c>
      <c r="U6237" s="79" t="str">
        <f>IF(ISERROR(FIND('112'!$M$9,G6237,1)),"",IF((AND(LEFT(G6237,2)=LEFT('112'!$M$9,2),B6237&lt;'112'!$K$9,$N6237='112'!$I$6)),"x",""))</f>
        <v/>
      </c>
      <c r="V6237" s="79" t="str">
        <f>IF(ISERROR(FIND('112'!$M$9,G6237,1)),"",IF((AND(RIGHT(G6237,2)=RIGHT('112'!$M$9,2),B6237&lt;'112'!$K$9,$O6237='112'!$I$6)),"x",""))</f>
        <v/>
      </c>
      <c r="W6237" s="79" t="str">
        <f>IF(AND('341-CT'!$H$9=H6237,OR(LEFT(N6237,3)=$W$7,LEFT(O6237,3)=$W$7)),"x","")</f>
        <v/>
      </c>
      <c r="X6237" s="79" t="str">
        <f>IF(OR(TH!N6237=TH!$X$7,O6237=TH!$X$7),"x","")</f>
        <v/>
      </c>
      <c r="Y6237" s="79" t="str">
        <f>IF(AND(OR(N6237="131",O6237="131"),H6237='131-CT'!$H$9),"x","")</f>
        <v/>
      </c>
      <c r="Z6237" s="79"/>
      <c r="AA6237" s="79" t="str">
        <f>IF(AND(MONTH(E6237)='IN-NX'!$J$5,'IN-NX'!$D$7=D6237),"x","")</f>
        <v/>
      </c>
      <c r="AB6237" s="79" t="str">
        <f>IF(AND(OR(LEFT(TH!N6237,2)="15",LEFT(TH!O6237,2)="15"),LEFT(TH!O6237,3)&lt;&gt;"111",'152-CT'!$J$8=TH!F6237),"x","")</f>
        <v/>
      </c>
      <c r="AC6237" s="79" t="str">
        <f>IF(AND(OR(LEFT(TH!N6237,2)="15",LEFT(TH!O6237,2)="15"),TK!$E$7=TH!F6237),"x","")</f>
        <v/>
      </c>
      <c r="AD6237" s="79" t="str">
        <f>IF(AND(N6237="1521",MONTH(C6237)='BK-NL'!$M$11),"x","")</f>
        <v/>
      </c>
    </row>
    <row r="6238" spans="1:30" ht="16.5" customHeight="1">
      <c r="A6238" s="318" t="str">
        <f>IF(B6238&lt;&gt;"",IF(AND(B6238='IN-TC'!$S$4,OR(TH!N6238="1111",TH!O6238="1111")),TH!D6238,""),"")</f>
        <v/>
      </c>
      <c r="B6238" s="60" t="str">
        <f t="shared" si="518"/>
        <v/>
      </c>
      <c r="C6238" s="61"/>
      <c r="D6238" s="61"/>
      <c r="E6238" s="61"/>
      <c r="F6238" s="446"/>
      <c r="G6238" s="766"/>
      <c r="H6238" s="69"/>
      <c r="I6238" s="385"/>
      <c r="J6238" s="392"/>
      <c r="K6238" s="385"/>
      <c r="L6238" s="392"/>
      <c r="M6238" s="62"/>
      <c r="N6238" s="63"/>
      <c r="O6238" s="63"/>
      <c r="P6238" s="79" t="str">
        <f>IF(AND('331-CT'!$E$7=TH!H6238,OR(N6238="331",O6238="331")),"x","")</f>
        <v/>
      </c>
      <c r="Q6238" s="79" t="str">
        <f>IF(AND(B6238='111'!$L$11,OR($N6238=$Q$7,$O6238=$Q$7)),"x","")</f>
        <v/>
      </c>
      <c r="R6238" s="79" t="str">
        <f>IF(AND($N6238=$Q$7,$B6238&lt;'111'!$L$11),"x","")</f>
        <v/>
      </c>
      <c r="S6238" s="79" t="str">
        <f>IF(AND($O6238=$Q$7,$B6238&lt;'111'!$L$11),"x","")</f>
        <v/>
      </c>
      <c r="T6238" s="79" t="str">
        <f>IF(ISERROR(FIND('112'!$M$9,G6238,1)),"",IF((AND(FIND('112'!$M$9,G6238,1)&gt;=1,B6238='112'!$K$9,OR($N6238='112'!$I$6,$O6238='112'!$I$6))),"x",""))</f>
        <v/>
      </c>
      <c r="U6238" s="79" t="str">
        <f>IF(ISERROR(FIND('112'!$M$9,G6238,1)),"",IF((AND(LEFT(G6238,2)=LEFT('112'!$M$9,2),B6238&lt;'112'!$K$9,$N6238='112'!$I$6)),"x",""))</f>
        <v/>
      </c>
      <c r="V6238" s="79" t="str">
        <f>IF(ISERROR(FIND('112'!$M$9,G6238,1)),"",IF((AND(RIGHT(G6238,2)=RIGHT('112'!$M$9,2),B6238&lt;'112'!$K$9,$O6238='112'!$I$6)),"x",""))</f>
        <v/>
      </c>
      <c r="W6238" s="79" t="str">
        <f>IF(AND('341-CT'!$H$9=H6238,OR(LEFT(N6238,3)=$W$7,LEFT(O6238,3)=$W$7)),"x","")</f>
        <v/>
      </c>
      <c r="X6238" s="79" t="str">
        <f>IF(OR(TH!N6238=TH!$X$7,O6238=TH!$X$7),"x","")</f>
        <v/>
      </c>
      <c r="Y6238" s="79" t="str">
        <f>IF(AND(OR(N6238="131",O6238="131"),H6238='131-CT'!$H$9),"x","")</f>
        <v/>
      </c>
      <c r="Z6238" s="79"/>
      <c r="AA6238" s="79" t="str">
        <f>IF(AND(MONTH(E6238)='IN-NX'!$J$5,'IN-NX'!$D$7=D6238),"x","")</f>
        <v/>
      </c>
      <c r="AB6238" s="79" t="str">
        <f>IF(AND(OR(LEFT(TH!N6238,2)="15",LEFT(TH!O6238,2)="15"),LEFT(TH!O6238,3)&lt;&gt;"111",'152-CT'!$J$8=TH!F6238),"x","")</f>
        <v/>
      </c>
      <c r="AC6238" s="79" t="str">
        <f>IF(AND(OR(LEFT(TH!N6238,2)="15",LEFT(TH!O6238,2)="15"),TK!$E$7=TH!F6238),"x","")</f>
        <v/>
      </c>
      <c r="AD6238" s="79" t="str">
        <f>IF(AND(N6238="1521",MONTH(C6238)='BK-NL'!$M$11),"x","")</f>
        <v/>
      </c>
    </row>
    <row r="6239" spans="1:30" ht="16.5" customHeight="1">
      <c r="A6239" s="318" t="str">
        <f>IF(B6239&lt;&gt;"",IF(AND(B6239='IN-TC'!$S$4,OR(TH!N6239="1111",TH!O6239="1111")),TH!D6239,""),"")</f>
        <v/>
      </c>
      <c r="B6239" s="60" t="str">
        <f t="shared" si="518"/>
        <v/>
      </c>
      <c r="C6239" s="61"/>
      <c r="D6239" s="61"/>
      <c r="E6239" s="61"/>
      <c r="F6239" s="69"/>
      <c r="G6239" s="766"/>
      <c r="H6239" s="69"/>
      <c r="I6239" s="385"/>
      <c r="J6239" s="392"/>
      <c r="K6239" s="385"/>
      <c r="L6239" s="392"/>
      <c r="M6239" s="62"/>
      <c r="N6239" s="63"/>
      <c r="O6239" s="63"/>
      <c r="P6239" s="79" t="str">
        <f>IF(AND('331-CT'!$E$7=TH!H6239,OR(N6239="331",O6239="331")),"x","")</f>
        <v/>
      </c>
      <c r="Q6239" s="79" t="str">
        <f>IF(AND(B6239='111'!$L$11,OR($N6239=$Q$7,$O6239=$Q$7)),"x","")</f>
        <v/>
      </c>
      <c r="R6239" s="79" t="str">
        <f>IF(AND($N6239=$Q$7,$B6239&lt;'111'!$L$11),"x","")</f>
        <v/>
      </c>
      <c r="S6239" s="79" t="str">
        <f>IF(AND($O6239=$Q$7,$B6239&lt;'111'!$L$11),"x","")</f>
        <v/>
      </c>
      <c r="T6239" s="79" t="str">
        <f>IF(ISERROR(FIND('112'!$M$9,G6239,1)),"",IF((AND(FIND('112'!$M$9,G6239,1)&gt;=1,B6239='112'!$K$9,OR($N6239='112'!$I$6,$O6239='112'!$I$6))),"x",""))</f>
        <v/>
      </c>
      <c r="U6239" s="79" t="str">
        <f>IF(ISERROR(FIND('112'!$M$9,G6239,1)),"",IF((AND(LEFT(G6239,2)=LEFT('112'!$M$9,2),B6239&lt;'112'!$K$9,$N6239='112'!$I$6)),"x",""))</f>
        <v/>
      </c>
      <c r="V6239" s="79" t="str">
        <f>IF(ISERROR(FIND('112'!$M$9,G6239,1)),"",IF((AND(RIGHT(G6239,2)=RIGHT('112'!$M$9,2),B6239&lt;'112'!$K$9,$O6239='112'!$I$6)),"x",""))</f>
        <v/>
      </c>
      <c r="W6239" s="79" t="str">
        <f>IF(AND('341-CT'!$H$9=H6239,OR(LEFT(N6239,3)=$W$7,LEFT(O6239,3)=$W$7)),"x","")</f>
        <v/>
      </c>
      <c r="X6239" s="79" t="str">
        <f>IF(OR(TH!N6239=TH!$X$7,O6239=TH!$X$7),"x","")</f>
        <v/>
      </c>
      <c r="Y6239" s="79" t="str">
        <f>IF(AND(OR(N6239="131",O6239="131"),H6239='131-CT'!$H$9),"x","")</f>
        <v/>
      </c>
      <c r="Z6239" s="79"/>
      <c r="AA6239" s="79" t="str">
        <f>IF(AND(MONTH(E6239)='IN-NX'!$J$5,'IN-NX'!$D$7=D6239),"x","")</f>
        <v/>
      </c>
      <c r="AB6239" s="79" t="str">
        <f>IF(AND(OR(LEFT(TH!N6239,2)="15",LEFT(TH!O6239,2)="15"),LEFT(TH!O6239,3)&lt;&gt;"111",'152-CT'!$J$8=TH!F6239),"x","")</f>
        <v/>
      </c>
      <c r="AC6239" s="79" t="str">
        <f>IF(AND(OR(LEFT(TH!N6239,2)="15",LEFT(TH!O6239,2)="15"),TK!$E$7=TH!F6239),"x","")</f>
        <v/>
      </c>
      <c r="AD6239" s="79" t="str">
        <f>IF(AND(N6239="1521",MONTH(C6239)='BK-NL'!$M$11),"x","")</f>
        <v/>
      </c>
    </row>
    <row r="6240" spans="1:30" ht="16.5" customHeight="1">
      <c r="A6240" s="318" t="str">
        <f>IF(B6240&lt;&gt;"",IF(AND(B6240='IN-TC'!$S$4,OR(TH!N6240="1111",TH!O6240="1111")),TH!D6240,""),"")</f>
        <v/>
      </c>
      <c r="B6240" s="60" t="str">
        <f t="shared" si="518"/>
        <v/>
      </c>
      <c r="C6240" s="61"/>
      <c r="D6240" s="61"/>
      <c r="E6240" s="61"/>
      <c r="F6240" s="69"/>
      <c r="G6240" s="766"/>
      <c r="H6240" s="69"/>
      <c r="I6240" s="385"/>
      <c r="J6240" s="392"/>
      <c r="K6240" s="385"/>
      <c r="L6240" s="392"/>
      <c r="M6240" s="62"/>
      <c r="N6240" s="304"/>
      <c r="O6240" s="63"/>
      <c r="P6240" s="79" t="str">
        <f>IF(AND('331-CT'!$E$7=TH!H6240,OR(N6240="331",O6240="331")),"x","")</f>
        <v/>
      </c>
      <c r="Q6240" s="79" t="str">
        <f>IF(AND(B6240='111'!$L$11,OR($N6240=$Q$7,$O6240=$Q$7)),"x","")</f>
        <v/>
      </c>
      <c r="R6240" s="79" t="str">
        <f>IF(AND($N6240=$Q$7,$B6240&lt;'111'!$L$11),"x","")</f>
        <v/>
      </c>
      <c r="S6240" s="79" t="str">
        <f>IF(AND($O6240=$Q$7,$B6240&lt;'111'!$L$11),"x","")</f>
        <v/>
      </c>
      <c r="T6240" s="79" t="str">
        <f>IF(ISERROR(FIND('112'!$M$9,G6240,1)),"",IF((AND(FIND('112'!$M$9,G6240,1)&gt;=1,B6240='112'!$K$9,OR($N6240='112'!$I$6,$O6240='112'!$I$6))),"x",""))</f>
        <v/>
      </c>
      <c r="U6240" s="79" t="str">
        <f>IF(ISERROR(FIND('112'!$M$9,G6240,1)),"",IF((AND(LEFT(G6240,2)=LEFT('112'!$M$9,2),B6240&lt;'112'!$K$9,$N6240='112'!$I$6)),"x",""))</f>
        <v/>
      </c>
      <c r="V6240" s="79" t="str">
        <f>IF(ISERROR(FIND('112'!$M$9,G6240,1)),"",IF((AND(RIGHT(G6240,2)=RIGHT('112'!$M$9,2),B6240&lt;'112'!$K$9,$O6240='112'!$I$6)),"x",""))</f>
        <v/>
      </c>
      <c r="W6240" s="79" t="str">
        <f>IF(AND('341-CT'!$H$9=H6240,OR(LEFT(N6240,3)=$W$7,LEFT(O6240,3)=$W$7)),"x","")</f>
        <v/>
      </c>
      <c r="X6240" s="79" t="str">
        <f>IF(OR(TH!N6240=TH!$X$7,O6240=TH!$X$7),"x","")</f>
        <v/>
      </c>
      <c r="Y6240" s="79" t="str">
        <f>IF(AND(OR(N6240="131",O6240="131"),H6240='131-CT'!$H$9),"x","")</f>
        <v/>
      </c>
      <c r="Z6240" s="79"/>
      <c r="AA6240" s="79" t="str">
        <f>IF(AND(MONTH(E6240)='IN-NX'!$J$5,'IN-NX'!$D$7=D6240),"x","")</f>
        <v/>
      </c>
      <c r="AB6240" s="79" t="str">
        <f>IF(AND(OR(LEFT(TH!N6240,2)="15",LEFT(TH!O6240,2)="15"),LEFT(TH!O6240,3)&lt;&gt;"111",'152-CT'!$J$8=TH!F6240),"x","")</f>
        <v/>
      </c>
      <c r="AC6240" s="79" t="str">
        <f>IF(AND(OR(LEFT(TH!N6240,2)="15",LEFT(TH!O6240,2)="15"),TK!$E$7=TH!F6240),"x","")</f>
        <v/>
      </c>
      <c r="AD6240" s="79" t="str">
        <f>IF(AND(N6240="1521",MONTH(C6240)='BK-NL'!$M$11),"x","")</f>
        <v/>
      </c>
    </row>
    <row r="6241" spans="1:30" ht="16.5" customHeight="1">
      <c r="A6241" s="318" t="str">
        <f>IF(B6241&lt;&gt;"",IF(AND(B6241='IN-TC'!$S$4,OR(TH!N6241="1111",TH!O6241="1111")),TH!D6241,""),"")</f>
        <v/>
      </c>
      <c r="B6241" s="60" t="str">
        <f t="shared" si="518"/>
        <v/>
      </c>
      <c r="C6241" s="61"/>
      <c r="D6241" s="61"/>
      <c r="E6241" s="61"/>
      <c r="F6241" s="69"/>
      <c r="G6241" s="766"/>
      <c r="H6241" s="69"/>
      <c r="I6241" s="385"/>
      <c r="J6241" s="392"/>
      <c r="K6241" s="385"/>
      <c r="L6241" s="392"/>
      <c r="M6241" s="62"/>
      <c r="N6241" s="63"/>
      <c r="O6241" s="63"/>
      <c r="P6241" s="79" t="str">
        <f>IF(AND('331-CT'!$E$7=TH!H6241,OR(N6241="331",O6241="331")),"x","")</f>
        <v/>
      </c>
      <c r="Q6241" s="79" t="str">
        <f>IF(AND(B6241='111'!$L$11,OR($N6241=$Q$7,$O6241=$Q$7)),"x","")</f>
        <v/>
      </c>
      <c r="R6241" s="79" t="str">
        <f>IF(AND($N6241=$Q$7,$B6241&lt;'111'!$L$11),"x","")</f>
        <v/>
      </c>
      <c r="S6241" s="79" t="str">
        <f>IF(AND($O6241=$Q$7,$B6241&lt;'111'!$L$11),"x","")</f>
        <v/>
      </c>
      <c r="T6241" s="79" t="str">
        <f>IF(ISERROR(FIND('112'!$M$9,G6241,1)),"",IF((AND(FIND('112'!$M$9,G6241,1)&gt;=1,B6241='112'!$K$9,OR($N6241='112'!$I$6,$O6241='112'!$I$6))),"x",""))</f>
        <v/>
      </c>
      <c r="U6241" s="79" t="str">
        <f>IF(ISERROR(FIND('112'!$M$9,G6241,1)),"",IF((AND(LEFT(G6241,2)=LEFT('112'!$M$9,2),B6241&lt;'112'!$K$9,$N6241='112'!$I$6)),"x",""))</f>
        <v/>
      </c>
      <c r="V6241" s="79" t="str">
        <f>IF(ISERROR(FIND('112'!$M$9,G6241,1)),"",IF((AND(RIGHT(G6241,2)=RIGHT('112'!$M$9,2),B6241&lt;'112'!$K$9,$O6241='112'!$I$6)),"x",""))</f>
        <v/>
      </c>
      <c r="W6241" s="79" t="str">
        <f>IF(AND('341-CT'!$H$9=H6241,OR(LEFT(N6241,3)=$W$7,LEFT(O6241,3)=$W$7)),"x","")</f>
        <v/>
      </c>
      <c r="X6241" s="79" t="str">
        <f>IF(OR(TH!N6241=TH!$X$7,O6241=TH!$X$7),"x","")</f>
        <v/>
      </c>
      <c r="Y6241" s="79" t="str">
        <f>IF(AND(OR(N6241="131",O6241="131"),H6241='131-CT'!$H$9),"x","")</f>
        <v/>
      </c>
      <c r="Z6241" s="79"/>
      <c r="AA6241" s="79" t="str">
        <f>IF(AND(MONTH(E6241)='IN-NX'!$J$5,'IN-NX'!$D$7=D6241),"x","")</f>
        <v/>
      </c>
      <c r="AB6241" s="79" t="str">
        <f>IF(AND(OR(LEFT(TH!N6241,2)="15",LEFT(TH!O6241,2)="15"),LEFT(TH!O6241,3)&lt;&gt;"111",'152-CT'!$J$8=TH!F6241),"x","")</f>
        <v/>
      </c>
      <c r="AC6241" s="79" t="str">
        <f>IF(AND(OR(LEFT(TH!N6241,2)="15",LEFT(TH!O6241,2)="15"),TK!$E$7=TH!F6241),"x","")</f>
        <v/>
      </c>
      <c r="AD6241" s="79" t="str">
        <f>IF(AND(N6241="1521",MONTH(C6241)='BK-NL'!$M$11),"x","")</f>
        <v/>
      </c>
    </row>
    <row r="6242" spans="1:30" ht="16.5" customHeight="1">
      <c r="A6242" s="318" t="str">
        <f>IF(B6242&lt;&gt;"",IF(AND(B6242='IN-TC'!$S$4,OR(TH!N6242="1111",TH!O6242="1111")),TH!D6242,""),"")</f>
        <v/>
      </c>
      <c r="B6242" s="60" t="str">
        <f t="shared" si="518"/>
        <v/>
      </c>
      <c r="C6242" s="61"/>
      <c r="D6242" s="61"/>
      <c r="E6242" s="61"/>
      <c r="F6242" s="69"/>
      <c r="G6242" s="766"/>
      <c r="H6242" s="69"/>
      <c r="I6242" s="385"/>
      <c r="J6242" s="392"/>
      <c r="K6242" s="385"/>
      <c r="L6242" s="392"/>
      <c r="M6242" s="62"/>
      <c r="N6242" s="63"/>
      <c r="O6242" s="63"/>
      <c r="P6242" s="79" t="str">
        <f>IF(AND('331-CT'!$E$7=TH!H6242,OR(N6242="331",O6242="331")),"x","")</f>
        <v/>
      </c>
      <c r="Q6242" s="79" t="str">
        <f>IF(AND(B6242='111'!$L$11,OR($N6242=$Q$7,$O6242=$Q$7)),"x","")</f>
        <v/>
      </c>
      <c r="R6242" s="79" t="str">
        <f>IF(AND($N6242=$Q$7,$B6242&lt;'111'!$L$11),"x","")</f>
        <v/>
      </c>
      <c r="S6242" s="79" t="str">
        <f>IF(AND($O6242=$Q$7,$B6242&lt;'111'!$L$11),"x","")</f>
        <v/>
      </c>
      <c r="T6242" s="79" t="str">
        <f>IF(ISERROR(FIND('112'!$M$9,G6242,1)),"",IF((AND(FIND('112'!$M$9,G6242,1)&gt;=1,B6242='112'!$K$9,OR($N6242='112'!$I$6,$O6242='112'!$I$6))),"x",""))</f>
        <v/>
      </c>
      <c r="U6242" s="79" t="str">
        <f>IF(ISERROR(FIND('112'!$M$9,G6242,1)),"",IF((AND(LEFT(G6242,2)=LEFT('112'!$M$9,2),B6242&lt;'112'!$K$9,$N6242='112'!$I$6)),"x",""))</f>
        <v/>
      </c>
      <c r="V6242" s="79" t="str">
        <f>IF(ISERROR(FIND('112'!$M$9,G6242,1)),"",IF((AND(RIGHT(G6242,2)=RIGHT('112'!$M$9,2),B6242&lt;'112'!$K$9,$O6242='112'!$I$6)),"x",""))</f>
        <v/>
      </c>
      <c r="W6242" s="79" t="str">
        <f>IF(AND('341-CT'!$H$9=H6242,OR(LEFT(N6242,3)=$W$7,LEFT(O6242,3)=$W$7)),"x","")</f>
        <v/>
      </c>
      <c r="X6242" s="79" t="str">
        <f>IF(OR(TH!N6242=TH!$X$7,O6242=TH!$X$7),"x","")</f>
        <v/>
      </c>
      <c r="Y6242" s="79" t="str">
        <f>IF(AND(OR(N6242="131",O6242="131"),H6242='131-CT'!$H$9),"x","")</f>
        <v/>
      </c>
      <c r="Z6242" s="79"/>
      <c r="AA6242" s="79" t="str">
        <f>IF(AND(MONTH(E6242)='IN-NX'!$J$5,'IN-NX'!$D$7=D6242),"x","")</f>
        <v/>
      </c>
      <c r="AB6242" s="79" t="str">
        <f>IF(AND(OR(LEFT(TH!N6242,2)="15",LEFT(TH!O6242,2)="15"),LEFT(TH!O6242,3)&lt;&gt;"111",'152-CT'!$J$8=TH!F6242),"x","")</f>
        <v/>
      </c>
      <c r="AC6242" s="79" t="str">
        <f>IF(AND(OR(LEFT(TH!N6242,2)="15",LEFT(TH!O6242,2)="15"),TK!$E$7=TH!F6242),"x","")</f>
        <v/>
      </c>
      <c r="AD6242" s="79" t="str">
        <f>IF(AND(N6242="1521",MONTH(C6242)='BK-NL'!$M$11),"x","")</f>
        <v/>
      </c>
    </row>
    <row r="6243" spans="1:30" ht="16.5" customHeight="1">
      <c r="A6243" s="318" t="str">
        <f>IF(B6243&lt;&gt;"",IF(AND(B6243='IN-TC'!$S$4,OR(TH!N6243="1111",TH!O6243="1111")),TH!D6243,""),"")</f>
        <v/>
      </c>
      <c r="B6243" s="60" t="str">
        <f t="shared" si="518"/>
        <v/>
      </c>
      <c r="C6243" s="61"/>
      <c r="D6243" s="61"/>
      <c r="E6243" s="61"/>
      <c r="F6243" s="69"/>
      <c r="G6243" s="766"/>
      <c r="H6243" s="69"/>
      <c r="I6243" s="385"/>
      <c r="J6243" s="392"/>
      <c r="K6243" s="385"/>
      <c r="L6243" s="392"/>
      <c r="M6243" s="62"/>
      <c r="N6243" s="63"/>
      <c r="O6243" s="63"/>
      <c r="P6243" s="79" t="str">
        <f>IF(AND('331-CT'!$E$7=TH!H6243,OR(N6243="331",O6243="331")),"x","")</f>
        <v/>
      </c>
      <c r="Q6243" s="79" t="str">
        <f>IF(AND(B6243='111'!$L$11,OR($N6243=$Q$7,$O6243=$Q$7)),"x","")</f>
        <v/>
      </c>
      <c r="R6243" s="79" t="str">
        <f>IF(AND($N6243=$Q$7,$B6243&lt;'111'!$L$11),"x","")</f>
        <v/>
      </c>
      <c r="S6243" s="79" t="str">
        <f>IF(AND($O6243=$Q$7,$B6243&lt;'111'!$L$11),"x","")</f>
        <v/>
      </c>
      <c r="T6243" s="79" t="str">
        <f>IF(ISERROR(FIND('112'!$M$9,G6243,1)),"",IF((AND(FIND('112'!$M$9,G6243,1)&gt;=1,B6243='112'!$K$9,OR($N6243='112'!$I$6,$O6243='112'!$I$6))),"x",""))</f>
        <v/>
      </c>
      <c r="U6243" s="79" t="str">
        <f>IF(ISERROR(FIND('112'!$M$9,G6243,1)),"",IF((AND(LEFT(G6243,2)=LEFT('112'!$M$9,2),B6243&lt;'112'!$K$9,$N6243='112'!$I$6)),"x",""))</f>
        <v/>
      </c>
      <c r="V6243" s="79" t="str">
        <f>IF(ISERROR(FIND('112'!$M$9,G6243,1)),"",IF((AND(RIGHT(G6243,2)=RIGHT('112'!$M$9,2),B6243&lt;'112'!$K$9,$O6243='112'!$I$6)),"x",""))</f>
        <v/>
      </c>
      <c r="W6243" s="79" t="str">
        <f>IF(AND('341-CT'!$H$9=H6243,OR(LEFT(N6243,3)=$W$7,LEFT(O6243,3)=$W$7)),"x","")</f>
        <v/>
      </c>
      <c r="X6243" s="79" t="str">
        <f>IF(OR(TH!N6243=TH!$X$7,O6243=TH!$X$7),"x","")</f>
        <v/>
      </c>
      <c r="Y6243" s="79" t="str">
        <f>IF(AND(OR(N6243="131",O6243="131"),H6243='131-CT'!$H$9),"x","")</f>
        <v/>
      </c>
      <c r="Z6243" s="79"/>
      <c r="AA6243" s="79" t="str">
        <f>IF(AND(MONTH(E6243)='IN-NX'!$J$5,'IN-NX'!$D$7=D6243),"x","")</f>
        <v/>
      </c>
      <c r="AB6243" s="79" t="str">
        <f>IF(AND(OR(LEFT(TH!N6243,2)="15",LEFT(TH!O6243,2)="15"),LEFT(TH!O6243,3)&lt;&gt;"111",'152-CT'!$J$8=TH!F6243),"x","")</f>
        <v/>
      </c>
      <c r="AC6243" s="79" t="str">
        <f>IF(AND(OR(LEFT(TH!N6243,2)="15",LEFT(TH!O6243,2)="15"),TK!$E$7=TH!F6243),"x","")</f>
        <v/>
      </c>
      <c r="AD6243" s="79" t="str">
        <f>IF(AND(N6243="1521",MONTH(C6243)='BK-NL'!$M$11),"x","")</f>
        <v/>
      </c>
    </row>
    <row r="6244" spans="1:30" ht="16.5" customHeight="1">
      <c r="A6244" s="318" t="str">
        <f>IF(B6244&lt;&gt;"",IF(AND(B6244='IN-TC'!$S$4,OR(TH!N6244="1111",TH!O6244="1111")),TH!D6244,""),"")</f>
        <v/>
      </c>
      <c r="B6244" s="60" t="str">
        <f t="shared" si="518"/>
        <v/>
      </c>
      <c r="C6244" s="61"/>
      <c r="D6244" s="61"/>
      <c r="E6244" s="61"/>
      <c r="F6244" s="69"/>
      <c r="G6244" s="766"/>
      <c r="H6244" s="69"/>
      <c r="I6244" s="385"/>
      <c r="J6244" s="392"/>
      <c r="K6244" s="385"/>
      <c r="L6244" s="392"/>
      <c r="M6244" s="62"/>
      <c r="N6244" s="63"/>
      <c r="O6244" s="63"/>
      <c r="P6244" s="79" t="str">
        <f>IF(AND('331-CT'!$E$7=TH!H6244,OR(N6244="331",O6244="331")),"x","")</f>
        <v/>
      </c>
      <c r="Q6244" s="79" t="str">
        <f>IF(AND(B6244='111'!$L$11,OR($N6244=$Q$7,$O6244=$Q$7)),"x","")</f>
        <v/>
      </c>
      <c r="R6244" s="79" t="str">
        <f>IF(AND($N6244=$Q$7,$B6244&lt;'111'!$L$11),"x","")</f>
        <v/>
      </c>
      <c r="S6244" s="79" t="str">
        <f>IF(AND($O6244=$Q$7,$B6244&lt;'111'!$L$11),"x","")</f>
        <v/>
      </c>
      <c r="T6244" s="79" t="str">
        <f>IF(ISERROR(FIND('112'!$M$9,G6244,1)),"",IF((AND(FIND('112'!$M$9,G6244,1)&gt;=1,B6244='112'!$K$9,OR($N6244='112'!$I$6,$O6244='112'!$I$6))),"x",""))</f>
        <v/>
      </c>
      <c r="U6244" s="79" t="str">
        <f>IF(ISERROR(FIND('112'!$M$9,G6244,1)),"",IF((AND(LEFT(G6244,2)=LEFT('112'!$M$9,2),B6244&lt;'112'!$K$9,$N6244='112'!$I$6)),"x",""))</f>
        <v/>
      </c>
      <c r="V6244" s="79" t="str">
        <f>IF(ISERROR(FIND('112'!$M$9,G6244,1)),"",IF((AND(RIGHT(G6244,2)=RIGHT('112'!$M$9,2),B6244&lt;'112'!$K$9,$O6244='112'!$I$6)),"x",""))</f>
        <v/>
      </c>
      <c r="W6244" s="79" t="str">
        <f>IF(AND('341-CT'!$H$9=H6244,OR(LEFT(N6244,3)=$W$7,LEFT(O6244,3)=$W$7)),"x","")</f>
        <v/>
      </c>
      <c r="X6244" s="79" t="str">
        <f>IF(OR(TH!N6244=TH!$X$7,O6244=TH!$X$7),"x","")</f>
        <v/>
      </c>
      <c r="Y6244" s="79" t="str">
        <f>IF(AND(OR(N6244="131",O6244="131"),H6244='131-CT'!$H$9),"x","")</f>
        <v/>
      </c>
      <c r="Z6244" s="79"/>
      <c r="AA6244" s="79" t="str">
        <f>IF(AND(MONTH(E6244)='IN-NX'!$J$5,'IN-NX'!$D$7=D6244),"x","")</f>
        <v/>
      </c>
      <c r="AB6244" s="79" t="str">
        <f>IF(AND(OR(LEFT(TH!N6244,2)="15",LEFT(TH!O6244,2)="15"),LEFT(TH!O6244,3)&lt;&gt;"111",'152-CT'!$J$8=TH!F6244),"x","")</f>
        <v/>
      </c>
      <c r="AC6244" s="79" t="str">
        <f>IF(AND(OR(LEFT(TH!N6244,2)="15",LEFT(TH!O6244,2)="15"),TK!$E$7=TH!F6244),"x","")</f>
        <v/>
      </c>
      <c r="AD6244" s="79" t="str">
        <f>IF(AND(N6244="1521",MONTH(C6244)='BK-NL'!$M$11),"x","")</f>
        <v/>
      </c>
    </row>
    <row r="6245" spans="1:30" ht="16.5" customHeight="1">
      <c r="A6245" s="318" t="str">
        <f>IF(B6245&lt;&gt;"",IF(AND(B6245='IN-TC'!$S$4,OR(TH!N6245="1111",TH!O6245="1111")),TH!D6245,""),"")</f>
        <v/>
      </c>
      <c r="B6245" s="60" t="str">
        <f t="shared" si="518"/>
        <v/>
      </c>
      <c r="C6245" s="61"/>
      <c r="D6245" s="61"/>
      <c r="E6245" s="61"/>
      <c r="F6245" s="69"/>
      <c r="G6245" s="766"/>
      <c r="H6245" s="321"/>
      <c r="I6245" s="385"/>
      <c r="J6245" s="392"/>
      <c r="K6245" s="385"/>
      <c r="L6245" s="392"/>
      <c r="M6245" s="62"/>
      <c r="N6245" s="63"/>
      <c r="O6245" s="63"/>
      <c r="P6245" s="79" t="str">
        <f>IF(AND('331-CT'!$E$7=TH!H6245,OR(N6245="331",O6245="331")),"x","")</f>
        <v/>
      </c>
      <c r="Q6245" s="79" t="str">
        <f>IF(AND(B6245='111'!$L$11,OR($N6245=$Q$7,$O6245=$Q$7)),"x","")</f>
        <v/>
      </c>
      <c r="R6245" s="79" t="str">
        <f>IF(AND($N6245=$Q$7,$B6245&lt;'111'!$L$11),"x","")</f>
        <v/>
      </c>
      <c r="S6245" s="79" t="str">
        <f>IF(AND($O6245=$Q$7,$B6245&lt;'111'!$L$11),"x","")</f>
        <v/>
      </c>
      <c r="T6245" s="79" t="str">
        <f>IF(ISERROR(FIND('112'!$M$9,G6245,1)),"",IF((AND(FIND('112'!$M$9,G6245,1)&gt;=1,B6245='112'!$K$9,OR($N6245='112'!$I$6,$O6245='112'!$I$6))),"x",""))</f>
        <v/>
      </c>
      <c r="U6245" s="79" t="str">
        <f>IF(ISERROR(FIND('112'!$M$9,G6245,1)),"",IF((AND(LEFT(G6245,2)=LEFT('112'!$M$9,2),B6245&lt;'112'!$K$9,$N6245='112'!$I$6)),"x",""))</f>
        <v/>
      </c>
      <c r="V6245" s="79" t="str">
        <f>IF(ISERROR(FIND('112'!$M$9,G6245,1)),"",IF((AND(RIGHT(G6245,2)=RIGHT('112'!$M$9,2),B6245&lt;'112'!$K$9,$O6245='112'!$I$6)),"x",""))</f>
        <v/>
      </c>
      <c r="W6245" s="79" t="str">
        <f>IF(AND('341-CT'!$H$9=H6245,OR(LEFT(N6245,3)=$W$7,LEFT(O6245,3)=$W$7)),"x","")</f>
        <v/>
      </c>
      <c r="X6245" s="79" t="str">
        <f>IF(OR(TH!N6245=TH!$X$7,O6245=TH!$X$7),"x","")</f>
        <v/>
      </c>
      <c r="Y6245" s="79" t="str">
        <f>IF(AND(OR(N6245="131",O6245="131"),H6245='131-CT'!$H$9),"x","")</f>
        <v/>
      </c>
      <c r="Z6245" s="79"/>
      <c r="AA6245" s="79" t="str">
        <f>IF(AND(MONTH(E6245)='IN-NX'!$J$5,'IN-NX'!$D$7=D6245),"x","")</f>
        <v/>
      </c>
      <c r="AB6245" s="79" t="str">
        <f>IF(AND(OR(LEFT(TH!N6245,2)="15",LEFT(TH!O6245,2)="15"),LEFT(TH!O6245,3)&lt;&gt;"111",'152-CT'!$J$8=TH!F6245),"x","")</f>
        <v/>
      </c>
      <c r="AC6245" s="79" t="str">
        <f>IF(AND(OR(LEFT(TH!N6245,2)="15",LEFT(TH!O6245,2)="15"),TK!$E$7=TH!F6245),"x","")</f>
        <v/>
      </c>
      <c r="AD6245" s="79" t="str">
        <f>IF(AND(N6245="1521",MONTH(C6245)='BK-NL'!$M$11),"x","")</f>
        <v/>
      </c>
    </row>
    <row r="6246" spans="1:30" ht="16.5" customHeight="1">
      <c r="A6246" s="318" t="str">
        <f>IF(B6246&lt;&gt;"",IF(AND(B6246='IN-TC'!$S$4,OR(TH!N6246="1111",TH!O6246="1111")),TH!D6246,""),"")</f>
        <v/>
      </c>
      <c r="B6246" s="60" t="str">
        <f t="shared" si="518"/>
        <v/>
      </c>
      <c r="C6246" s="61"/>
      <c r="D6246" s="61"/>
      <c r="E6246" s="61"/>
      <c r="F6246" s="69"/>
      <c r="G6246" s="766"/>
      <c r="H6246" s="321"/>
      <c r="I6246" s="385"/>
      <c r="J6246" s="392"/>
      <c r="K6246" s="385"/>
      <c r="L6246" s="392"/>
      <c r="M6246" s="62"/>
      <c r="N6246" s="63"/>
      <c r="O6246" s="63"/>
      <c r="P6246" s="79" t="str">
        <f>IF(AND('331-CT'!$E$7=TH!H6246,OR(N6246="331",O6246="331")),"x","")</f>
        <v/>
      </c>
      <c r="Q6246" s="79" t="str">
        <f>IF(AND(B6246='111'!$L$11,OR($N6246=$Q$7,$O6246=$Q$7)),"x","")</f>
        <v/>
      </c>
      <c r="R6246" s="79" t="str">
        <f>IF(AND($N6246=$Q$7,$B6246&lt;'111'!$L$11),"x","")</f>
        <v/>
      </c>
      <c r="S6246" s="79" t="str">
        <f>IF(AND($O6246=$Q$7,$B6246&lt;'111'!$L$11),"x","")</f>
        <v/>
      </c>
      <c r="T6246" s="79" t="str">
        <f>IF(ISERROR(FIND('112'!$M$9,G6246,1)),"",IF((AND(FIND('112'!$M$9,G6246,1)&gt;=1,B6246='112'!$K$9,OR($N6246='112'!$I$6,$O6246='112'!$I$6))),"x",""))</f>
        <v/>
      </c>
      <c r="U6246" s="79" t="str">
        <f>IF(ISERROR(FIND('112'!$M$9,G6246,1)),"",IF((AND(LEFT(G6246,2)=LEFT('112'!$M$9,2),B6246&lt;'112'!$K$9,$N6246='112'!$I$6)),"x",""))</f>
        <v/>
      </c>
      <c r="V6246" s="79" t="str">
        <f>IF(ISERROR(FIND('112'!$M$9,G6246,1)),"",IF((AND(RIGHT(G6246,2)=RIGHT('112'!$M$9,2),B6246&lt;'112'!$K$9,$O6246='112'!$I$6)),"x",""))</f>
        <v/>
      </c>
      <c r="W6246" s="79" t="str">
        <f>IF(AND('341-CT'!$H$9=H6246,OR(LEFT(N6246,3)=$W$7,LEFT(O6246,3)=$W$7)),"x","")</f>
        <v/>
      </c>
      <c r="X6246" s="79" t="str">
        <f>IF(OR(TH!N6246=TH!$X$7,O6246=TH!$X$7),"x","")</f>
        <v/>
      </c>
      <c r="Y6246" s="79" t="str">
        <f>IF(AND(OR(N6246="131",O6246="131"),H6246='131-CT'!$H$9),"x","")</f>
        <v/>
      </c>
      <c r="Z6246" s="79"/>
      <c r="AA6246" s="79" t="str">
        <f>IF(AND(MONTH(E6246)='IN-NX'!$J$5,'IN-NX'!$D$7=D6246),"x","")</f>
        <v/>
      </c>
      <c r="AB6246" s="79" t="str">
        <f>IF(AND(OR(LEFT(TH!N6246,2)="15",LEFT(TH!O6246,2)="15"),LEFT(TH!O6246,3)&lt;&gt;"111",'152-CT'!$J$8=TH!F6246),"x","")</f>
        <v/>
      </c>
      <c r="AC6246" s="79" t="str">
        <f>IF(AND(OR(LEFT(TH!N6246,2)="15",LEFT(TH!O6246,2)="15"),TK!$E$7=TH!F6246),"x","")</f>
        <v/>
      </c>
      <c r="AD6246" s="79" t="str">
        <f>IF(AND(N6246="1521",MONTH(C6246)='BK-NL'!$M$11),"x","")</f>
        <v/>
      </c>
    </row>
    <row r="6247" spans="1:30" ht="16.5" customHeight="1">
      <c r="A6247" s="318" t="str">
        <f>IF(B6247&lt;&gt;"",IF(AND(B6247='IN-TC'!$S$4,OR(TH!N6247="1111",TH!O6247="1111")),TH!D6247,""),"")</f>
        <v/>
      </c>
      <c r="B6247" s="60" t="str">
        <f t="shared" si="518"/>
        <v/>
      </c>
      <c r="C6247" s="61"/>
      <c r="D6247" s="61"/>
      <c r="E6247" s="61"/>
      <c r="F6247" s="69"/>
      <c r="G6247" s="766"/>
      <c r="H6247" s="321"/>
      <c r="I6247" s="385"/>
      <c r="J6247" s="392"/>
      <c r="K6247" s="385"/>
      <c r="L6247" s="392"/>
      <c r="M6247" s="62"/>
      <c r="N6247" s="63"/>
      <c r="O6247" s="63"/>
      <c r="P6247" s="79" t="str">
        <f>IF(AND('331-CT'!$E$7=TH!H6247,OR(N6247="331",O6247="331")),"x","")</f>
        <v/>
      </c>
      <c r="Q6247" s="79" t="str">
        <f>IF(AND(B6247='111'!$L$11,OR($N6247=$Q$7,$O6247=$Q$7)),"x","")</f>
        <v/>
      </c>
      <c r="R6247" s="79" t="str">
        <f>IF(AND($N6247=$Q$7,$B6247&lt;'111'!$L$11),"x","")</f>
        <v/>
      </c>
      <c r="S6247" s="79" t="str">
        <f>IF(AND($O6247=$Q$7,$B6247&lt;'111'!$L$11),"x","")</f>
        <v/>
      </c>
      <c r="T6247" s="79" t="str">
        <f>IF(ISERROR(FIND('112'!$M$9,G6247,1)),"",IF((AND(FIND('112'!$M$9,G6247,1)&gt;=1,B6247='112'!$K$9,OR($N6247='112'!$I$6,$O6247='112'!$I$6))),"x",""))</f>
        <v/>
      </c>
      <c r="U6247" s="79" t="str">
        <f>IF(ISERROR(FIND('112'!$M$9,G6247,1)),"",IF((AND(LEFT(G6247,2)=LEFT('112'!$M$9,2),B6247&lt;'112'!$K$9,$N6247='112'!$I$6)),"x",""))</f>
        <v/>
      </c>
      <c r="V6247" s="79" t="str">
        <f>IF(ISERROR(FIND('112'!$M$9,G6247,1)),"",IF((AND(RIGHT(G6247,2)=RIGHT('112'!$M$9,2),B6247&lt;'112'!$K$9,$O6247='112'!$I$6)),"x",""))</f>
        <v/>
      </c>
      <c r="W6247" s="79" t="str">
        <f>IF(AND('341-CT'!$H$9=H6247,OR(LEFT(N6247,3)=$W$7,LEFT(O6247,3)=$W$7)),"x","")</f>
        <v/>
      </c>
      <c r="X6247" s="79" t="str">
        <f>IF(OR(TH!N6247=TH!$X$7,O6247=TH!$X$7),"x","")</f>
        <v/>
      </c>
      <c r="Y6247" s="79" t="str">
        <f>IF(AND(OR(N6247="131",O6247="131"),H6247='131-CT'!$H$9),"x","")</f>
        <v/>
      </c>
      <c r="Z6247" s="79"/>
      <c r="AA6247" s="79" t="str">
        <f>IF(AND(MONTH(E6247)='IN-NX'!$J$5,'IN-NX'!$D$7=D6247),"x","")</f>
        <v/>
      </c>
      <c r="AB6247" s="79" t="str">
        <f>IF(AND(OR(LEFT(TH!N6247,2)="15",LEFT(TH!O6247,2)="15"),LEFT(TH!O6247,3)&lt;&gt;"111",'152-CT'!$J$8=TH!F6247),"x","")</f>
        <v/>
      </c>
      <c r="AC6247" s="79" t="str">
        <f>IF(AND(OR(LEFT(TH!N6247,2)="15",LEFT(TH!O6247,2)="15"),TK!$E$7=TH!F6247),"x","")</f>
        <v/>
      </c>
      <c r="AD6247" s="79" t="str">
        <f>IF(AND(N6247="1521",MONTH(C6247)='BK-NL'!$M$11),"x","")</f>
        <v/>
      </c>
    </row>
    <row r="6248" spans="1:30" ht="16.5" customHeight="1">
      <c r="A6248" s="318" t="str">
        <f>IF(B6248&lt;&gt;"",IF(AND(B6248='IN-TC'!$S$4,OR(TH!N6248="1111",TH!O6248="1111")),TH!D6248,""),"")</f>
        <v/>
      </c>
      <c r="B6248" s="60" t="str">
        <f t="shared" si="518"/>
        <v/>
      </c>
      <c r="C6248" s="61"/>
      <c r="D6248" s="61"/>
      <c r="E6248" s="61"/>
      <c r="F6248" s="69"/>
      <c r="G6248" s="766"/>
      <c r="H6248" s="321"/>
      <c r="I6248" s="385"/>
      <c r="J6248" s="392"/>
      <c r="K6248" s="385"/>
      <c r="L6248" s="392"/>
      <c r="M6248" s="62"/>
      <c r="N6248" s="63"/>
      <c r="O6248" s="63"/>
      <c r="P6248" s="79" t="str">
        <f>IF(AND('331-CT'!$E$7=TH!H6248,OR(N6248="331",O6248="331")),"x","")</f>
        <v/>
      </c>
      <c r="Q6248" s="79" t="str">
        <f>IF(AND(B6248='111'!$L$11,OR($N6248=$Q$7,$O6248=$Q$7)),"x","")</f>
        <v/>
      </c>
      <c r="R6248" s="79" t="str">
        <f>IF(AND($N6248=$Q$7,$B6248&lt;'111'!$L$11),"x","")</f>
        <v/>
      </c>
      <c r="S6248" s="79" t="str">
        <f>IF(AND($O6248=$Q$7,$B6248&lt;'111'!$L$11),"x","")</f>
        <v/>
      </c>
      <c r="T6248" s="79" t="str">
        <f>IF(ISERROR(FIND('112'!$M$9,G6248,1)),"",IF((AND(FIND('112'!$M$9,G6248,1)&gt;=1,B6248='112'!$K$9,OR($N6248='112'!$I$6,$O6248='112'!$I$6))),"x",""))</f>
        <v/>
      </c>
      <c r="U6248" s="79" t="str">
        <f>IF(ISERROR(FIND('112'!$M$9,G6248,1)),"",IF((AND(LEFT(G6248,2)=LEFT('112'!$M$9,2),B6248&lt;'112'!$K$9,$N6248='112'!$I$6)),"x",""))</f>
        <v/>
      </c>
      <c r="V6248" s="79" t="str">
        <f>IF(ISERROR(FIND('112'!$M$9,G6248,1)),"",IF((AND(RIGHT(G6248,2)=RIGHT('112'!$M$9,2),B6248&lt;'112'!$K$9,$O6248='112'!$I$6)),"x",""))</f>
        <v/>
      </c>
      <c r="W6248" s="79" t="str">
        <f>IF(AND('341-CT'!$H$9=H6248,OR(LEFT(N6248,3)=$W$7,LEFT(O6248,3)=$W$7)),"x","")</f>
        <v/>
      </c>
      <c r="X6248" s="79" t="str">
        <f>IF(OR(TH!N6248=TH!$X$7,O6248=TH!$X$7),"x","")</f>
        <v/>
      </c>
      <c r="Y6248" s="79" t="str">
        <f>IF(AND(OR(N6248="131",O6248="131"),H6248='131-CT'!$H$9),"x","")</f>
        <v/>
      </c>
      <c r="Z6248" s="79"/>
      <c r="AA6248" s="79" t="str">
        <f>IF(AND(MONTH(E6248)='IN-NX'!$J$5,'IN-NX'!$D$7=D6248),"x","")</f>
        <v/>
      </c>
      <c r="AB6248" s="79" t="str">
        <f>IF(AND(OR(LEFT(TH!N6248,2)="15",LEFT(TH!O6248,2)="15"),LEFT(TH!O6248,3)&lt;&gt;"111",'152-CT'!$J$8=TH!F6248),"x","")</f>
        <v/>
      </c>
      <c r="AC6248" s="79" t="str">
        <f>IF(AND(OR(LEFT(TH!N6248,2)="15",LEFT(TH!O6248,2)="15"),TK!$E$7=TH!F6248),"x","")</f>
        <v/>
      </c>
      <c r="AD6248" s="79" t="str">
        <f>IF(AND(N6248="1521",MONTH(C6248)='BK-NL'!$M$11),"x","")</f>
        <v/>
      </c>
    </row>
    <row r="6249" spans="1:30" ht="16.5" customHeight="1">
      <c r="A6249" s="318" t="str">
        <f>IF(B6249&lt;&gt;"",IF(AND(B6249='IN-TC'!$S$4,OR(TH!N6249="1111",TH!O6249="1111")),TH!D6249,""),"")</f>
        <v/>
      </c>
      <c r="B6249" s="60" t="str">
        <f t="shared" si="518"/>
        <v/>
      </c>
      <c r="C6249" s="61"/>
      <c r="D6249" s="61"/>
      <c r="E6249" s="61"/>
      <c r="F6249" s="69"/>
      <c r="G6249" s="766"/>
      <c r="H6249" s="321"/>
      <c r="I6249" s="385"/>
      <c r="J6249" s="392"/>
      <c r="K6249" s="385"/>
      <c r="L6249" s="392"/>
      <c r="M6249" s="62"/>
      <c r="N6249" s="304"/>
      <c r="O6249" s="63"/>
      <c r="P6249" s="79" t="str">
        <f>IF(AND('331-CT'!$E$7=TH!H6249,OR(N6249="331",O6249="331")),"x","")</f>
        <v/>
      </c>
      <c r="Q6249" s="79" t="str">
        <f>IF(AND(B6249='111'!$L$11,OR($N6249=$Q$7,$O6249=$Q$7)),"x","")</f>
        <v/>
      </c>
      <c r="R6249" s="79" t="str">
        <f>IF(AND($N6249=$Q$7,$B6249&lt;'111'!$L$11),"x","")</f>
        <v/>
      </c>
      <c r="S6249" s="79" t="str">
        <f>IF(AND($O6249=$Q$7,$B6249&lt;'111'!$L$11),"x","")</f>
        <v/>
      </c>
      <c r="T6249" s="79" t="str">
        <f>IF(ISERROR(FIND('112'!$M$9,G6249,1)),"",IF((AND(FIND('112'!$M$9,G6249,1)&gt;=1,B6249='112'!$K$9,OR($N6249='112'!$I$6,$O6249='112'!$I$6))),"x",""))</f>
        <v/>
      </c>
      <c r="U6249" s="79" t="str">
        <f>IF(ISERROR(FIND('112'!$M$9,G6249,1)),"",IF((AND(LEFT(G6249,2)=LEFT('112'!$M$9,2),B6249&lt;'112'!$K$9,$N6249='112'!$I$6)),"x",""))</f>
        <v/>
      </c>
      <c r="V6249" s="79" t="str">
        <f>IF(ISERROR(FIND('112'!$M$9,G6249,1)),"",IF((AND(RIGHT(G6249,2)=RIGHT('112'!$M$9,2),B6249&lt;'112'!$K$9,$O6249='112'!$I$6)),"x",""))</f>
        <v/>
      </c>
      <c r="W6249" s="79" t="str">
        <f>IF(AND('341-CT'!$H$9=H6249,OR(LEFT(N6249,3)=$W$7,LEFT(O6249,3)=$W$7)),"x","")</f>
        <v/>
      </c>
      <c r="X6249" s="79" t="str">
        <f>IF(OR(TH!N6249=TH!$X$7,O6249=TH!$X$7),"x","")</f>
        <v/>
      </c>
      <c r="Y6249" s="79" t="str">
        <f>IF(AND(OR(N6249="131",O6249="131"),H6249='131-CT'!$H$9),"x","")</f>
        <v/>
      </c>
      <c r="Z6249" s="79"/>
      <c r="AA6249" s="79" t="str">
        <f>IF(AND(MONTH(E6249)='IN-NX'!$J$5,'IN-NX'!$D$7=D6249),"x","")</f>
        <v/>
      </c>
      <c r="AB6249" s="79" t="str">
        <f>IF(AND(OR(LEFT(TH!N6249,2)="15",LEFT(TH!O6249,2)="15"),LEFT(TH!O6249,3)&lt;&gt;"111",'152-CT'!$J$8=TH!F6249),"x","")</f>
        <v/>
      </c>
      <c r="AC6249" s="79" t="str">
        <f>IF(AND(OR(LEFT(TH!N6249,2)="15",LEFT(TH!O6249,2)="15"),TK!$E$7=TH!F6249),"x","")</f>
        <v/>
      </c>
      <c r="AD6249" s="79" t="str">
        <f>IF(AND(N6249="1521",MONTH(C6249)='BK-NL'!$M$11),"x","")</f>
        <v/>
      </c>
    </row>
    <row r="6250" spans="1:30" ht="16.5" customHeight="1">
      <c r="A6250" s="318" t="str">
        <f>IF(B6250&lt;&gt;"",IF(AND(B6250='IN-TC'!$S$4,OR(TH!N6250="1111",TH!O6250="1111")),TH!D6250,""),"")</f>
        <v/>
      </c>
      <c r="B6250" s="60" t="str">
        <f t="shared" si="518"/>
        <v/>
      </c>
      <c r="C6250" s="61"/>
      <c r="D6250" s="61"/>
      <c r="E6250" s="61"/>
      <c r="F6250" s="69"/>
      <c r="G6250" s="766"/>
      <c r="H6250" s="69"/>
      <c r="I6250" s="385"/>
      <c r="J6250" s="392"/>
      <c r="K6250" s="385"/>
      <c r="L6250" s="392"/>
      <c r="M6250" s="62"/>
      <c r="N6250" s="63"/>
      <c r="O6250" s="63"/>
      <c r="P6250" s="79" t="str">
        <f>IF(AND('331-CT'!$E$7=TH!H6250,OR(N6250="331",O6250="331")),"x","")</f>
        <v/>
      </c>
      <c r="Q6250" s="79" t="str">
        <f>IF(AND(B6250='111'!$L$11,OR($N6250=$Q$7,$O6250=$Q$7)),"x","")</f>
        <v/>
      </c>
      <c r="R6250" s="79" t="str">
        <f>IF(AND($N6250=$Q$7,$B6250&lt;'111'!$L$11),"x","")</f>
        <v/>
      </c>
      <c r="S6250" s="79" t="str">
        <f>IF(AND($O6250=$Q$7,$B6250&lt;'111'!$L$11),"x","")</f>
        <v/>
      </c>
      <c r="T6250" s="79" t="str">
        <f>IF(ISERROR(FIND('112'!$M$9,G6250,1)),"",IF((AND(FIND('112'!$M$9,G6250,1)&gt;=1,B6250='112'!$K$9,OR($N6250='112'!$I$6,$O6250='112'!$I$6))),"x",""))</f>
        <v/>
      </c>
      <c r="U6250" s="79" t="str">
        <f>IF(ISERROR(FIND('112'!$M$9,G6250,1)),"",IF((AND(LEFT(G6250,2)=LEFT('112'!$M$9,2),B6250&lt;'112'!$K$9,$N6250='112'!$I$6)),"x",""))</f>
        <v/>
      </c>
      <c r="V6250" s="79" t="str">
        <f>IF(ISERROR(FIND('112'!$M$9,G6250,1)),"",IF((AND(RIGHT(G6250,2)=RIGHT('112'!$M$9,2),B6250&lt;'112'!$K$9,$O6250='112'!$I$6)),"x",""))</f>
        <v/>
      </c>
      <c r="W6250" s="79" t="str">
        <f>IF(AND('341-CT'!$H$9=H6250,OR(LEFT(N6250,3)=$W$7,LEFT(O6250,3)=$W$7)),"x","")</f>
        <v/>
      </c>
      <c r="X6250" s="79" t="str">
        <f>IF(OR(TH!N6250=TH!$X$7,O6250=TH!$X$7),"x","")</f>
        <v/>
      </c>
      <c r="Y6250" s="79" t="str">
        <f>IF(AND(OR(N6250="131",O6250="131"),H6250='131-CT'!$H$9),"x","")</f>
        <v/>
      </c>
      <c r="Z6250" s="79"/>
      <c r="AA6250" s="79" t="str">
        <f>IF(AND(MONTH(E6250)='IN-NX'!$J$5,'IN-NX'!$D$7=D6250),"x","")</f>
        <v/>
      </c>
      <c r="AB6250" s="79" t="str">
        <f>IF(AND(OR(LEFT(TH!N6250,2)="15",LEFT(TH!O6250,2)="15"),LEFT(TH!O6250,3)&lt;&gt;"111",'152-CT'!$J$8=TH!F6250),"x","")</f>
        <v/>
      </c>
      <c r="AC6250" s="79" t="str">
        <f>IF(AND(OR(LEFT(TH!N6250,2)="15",LEFT(TH!O6250,2)="15"),TK!$E$7=TH!F6250),"x","")</f>
        <v/>
      </c>
      <c r="AD6250" s="79" t="str">
        <f>IF(AND(N6250="1521",MONTH(C6250)='BK-NL'!$M$11),"x","")</f>
        <v/>
      </c>
    </row>
    <row r="6251" spans="1:30" ht="16.5" customHeight="1">
      <c r="A6251" s="318" t="str">
        <f>IF(B6251&lt;&gt;"",IF(AND(B6251='IN-TC'!$S$4,OR(TH!N6251="1111",TH!O6251="1111")),TH!D6251,""),"")</f>
        <v/>
      </c>
      <c r="B6251" s="60" t="str">
        <f t="shared" si="518"/>
        <v/>
      </c>
      <c r="C6251" s="61"/>
      <c r="D6251" s="61"/>
      <c r="E6251" s="61"/>
      <c r="F6251" s="69"/>
      <c r="G6251" s="766"/>
      <c r="H6251" s="69"/>
      <c r="I6251" s="385"/>
      <c r="J6251" s="392"/>
      <c r="K6251" s="385"/>
      <c r="L6251" s="392"/>
      <c r="M6251" s="62"/>
      <c r="N6251" s="63"/>
      <c r="O6251" s="63"/>
      <c r="P6251" s="79" t="str">
        <f>IF(AND('331-CT'!$E$7=TH!H6251,OR(N6251="331",O6251="331")),"x","")</f>
        <v/>
      </c>
      <c r="Q6251" s="79" t="str">
        <f>IF(AND(B6251='111'!$L$11,OR($N6251=$Q$7,$O6251=$Q$7)),"x","")</f>
        <v/>
      </c>
      <c r="R6251" s="79" t="str">
        <f>IF(AND($N6251=$Q$7,$B6251&lt;'111'!$L$11),"x","")</f>
        <v/>
      </c>
      <c r="S6251" s="79" t="str">
        <f>IF(AND($O6251=$Q$7,$B6251&lt;'111'!$L$11),"x","")</f>
        <v/>
      </c>
      <c r="T6251" s="79" t="str">
        <f>IF(ISERROR(FIND('112'!$M$9,G6251,1)),"",IF((AND(FIND('112'!$M$9,G6251,1)&gt;=1,B6251='112'!$K$9,OR($N6251='112'!$I$6,$O6251='112'!$I$6))),"x",""))</f>
        <v/>
      </c>
      <c r="U6251" s="79" t="str">
        <f>IF(ISERROR(FIND('112'!$M$9,G6251,1)),"",IF((AND(LEFT(G6251,2)=LEFT('112'!$M$9,2),B6251&lt;'112'!$K$9,$N6251='112'!$I$6)),"x",""))</f>
        <v/>
      </c>
      <c r="V6251" s="79" t="str">
        <f>IF(ISERROR(FIND('112'!$M$9,G6251,1)),"",IF((AND(RIGHT(G6251,2)=RIGHT('112'!$M$9,2),B6251&lt;'112'!$K$9,$O6251='112'!$I$6)),"x",""))</f>
        <v/>
      </c>
      <c r="W6251" s="79" t="str">
        <f>IF(AND('341-CT'!$H$9=H6251,OR(LEFT(N6251,3)=$W$7,LEFT(O6251,3)=$W$7)),"x","")</f>
        <v/>
      </c>
      <c r="X6251" s="79" t="str">
        <f>IF(OR(TH!N6251=TH!$X$7,O6251=TH!$X$7),"x","")</f>
        <v/>
      </c>
      <c r="Y6251" s="79" t="str">
        <f>IF(AND(OR(N6251="131",O6251="131"),H6251='131-CT'!$H$9),"x","")</f>
        <v/>
      </c>
      <c r="Z6251" s="79"/>
      <c r="AA6251" s="79" t="str">
        <f>IF(AND(MONTH(E6251)='IN-NX'!$J$5,'IN-NX'!$D$7=D6251),"x","")</f>
        <v/>
      </c>
      <c r="AB6251" s="79" t="str">
        <f>IF(AND(OR(LEFT(TH!N6251,2)="15",LEFT(TH!O6251,2)="15"),LEFT(TH!O6251,3)&lt;&gt;"111",'152-CT'!$J$8=TH!F6251),"x","")</f>
        <v/>
      </c>
      <c r="AC6251" s="79" t="str">
        <f>IF(AND(OR(LEFT(TH!N6251,2)="15",LEFT(TH!O6251,2)="15"),TK!$E$7=TH!F6251),"x","")</f>
        <v/>
      </c>
      <c r="AD6251" s="79" t="str">
        <f>IF(AND(N6251="1521",MONTH(C6251)='BK-NL'!$M$11),"x","")</f>
        <v/>
      </c>
    </row>
    <row r="6252" spans="1:30" ht="16.5" customHeight="1">
      <c r="A6252" s="318" t="str">
        <f>IF(B6252&lt;&gt;"",IF(AND(B6252='IN-TC'!$S$4,OR(TH!N6252="1111",TH!O6252="1111")),TH!D6252,""),"")</f>
        <v/>
      </c>
      <c r="B6252" s="60" t="str">
        <f t="shared" si="518"/>
        <v/>
      </c>
      <c r="C6252" s="61"/>
      <c r="D6252" s="61"/>
      <c r="E6252" s="61"/>
      <c r="F6252" s="69"/>
      <c r="G6252" s="766"/>
      <c r="H6252" s="69"/>
      <c r="I6252" s="385"/>
      <c r="J6252" s="392"/>
      <c r="K6252" s="385"/>
      <c r="L6252" s="392"/>
      <c r="M6252" s="62"/>
      <c r="N6252" s="63"/>
      <c r="O6252" s="63"/>
      <c r="P6252" s="79" t="str">
        <f>IF(AND('331-CT'!$E$7=TH!H6252,OR(N6252="331",O6252="331")),"x","")</f>
        <v/>
      </c>
      <c r="Q6252" s="79" t="str">
        <f>IF(AND(B6252='111'!$L$11,OR($N6252=$Q$7,$O6252=$Q$7)),"x","")</f>
        <v/>
      </c>
      <c r="R6252" s="79" t="str">
        <f>IF(AND($N6252=$Q$7,$B6252&lt;'111'!$L$11),"x","")</f>
        <v/>
      </c>
      <c r="S6252" s="79" t="str">
        <f>IF(AND($O6252=$Q$7,$B6252&lt;'111'!$L$11),"x","")</f>
        <v/>
      </c>
      <c r="T6252" s="79" t="str">
        <f>IF(ISERROR(FIND('112'!$M$9,G6252,1)),"",IF((AND(FIND('112'!$M$9,G6252,1)&gt;=1,B6252='112'!$K$9,OR($N6252='112'!$I$6,$O6252='112'!$I$6))),"x",""))</f>
        <v/>
      </c>
      <c r="U6252" s="79" t="str">
        <f>IF(ISERROR(FIND('112'!$M$9,G6252,1)),"",IF((AND(LEFT(G6252,2)=LEFT('112'!$M$9,2),B6252&lt;'112'!$K$9,$N6252='112'!$I$6)),"x",""))</f>
        <v/>
      </c>
      <c r="V6252" s="79" t="str">
        <f>IF(ISERROR(FIND('112'!$M$9,G6252,1)),"",IF((AND(RIGHT(G6252,2)=RIGHT('112'!$M$9,2),B6252&lt;'112'!$K$9,$O6252='112'!$I$6)),"x",""))</f>
        <v/>
      </c>
      <c r="W6252" s="79" t="str">
        <f>IF(AND('341-CT'!$H$9=H6252,OR(LEFT(N6252,3)=$W$7,LEFT(O6252,3)=$W$7)),"x","")</f>
        <v/>
      </c>
      <c r="X6252" s="79" t="str">
        <f>IF(OR(TH!N6252=TH!$X$7,O6252=TH!$X$7),"x","")</f>
        <v/>
      </c>
      <c r="Y6252" s="79" t="str">
        <f>IF(AND(OR(N6252="131",O6252="131"),H6252='131-CT'!$H$9),"x","")</f>
        <v/>
      </c>
      <c r="Z6252" s="79"/>
      <c r="AA6252" s="79" t="str">
        <f>IF(AND(MONTH(E6252)='IN-NX'!$J$5,'IN-NX'!$D$7=D6252),"x","")</f>
        <v/>
      </c>
      <c r="AB6252" s="79" t="str">
        <f>IF(AND(OR(LEFT(TH!N6252,2)="15",LEFT(TH!O6252,2)="15"),LEFT(TH!O6252,3)&lt;&gt;"111",'152-CT'!$J$8=TH!F6252),"x","")</f>
        <v/>
      </c>
      <c r="AC6252" s="79" t="str">
        <f>IF(AND(OR(LEFT(TH!N6252,2)="15",LEFT(TH!O6252,2)="15"),TK!$E$7=TH!F6252),"x","")</f>
        <v/>
      </c>
      <c r="AD6252" s="79" t="str">
        <f>IF(AND(N6252="1521",MONTH(C6252)='BK-NL'!$M$11),"x","")</f>
        <v/>
      </c>
    </row>
    <row r="6253" spans="1:30" ht="16.5" customHeight="1">
      <c r="A6253" s="318" t="str">
        <f>IF(B6253&lt;&gt;"",IF(AND(B6253='IN-TC'!$S$4,OR(TH!N6253="1111",TH!O6253="1111")),TH!D6253,""),"")</f>
        <v/>
      </c>
      <c r="B6253" s="60" t="str">
        <f t="shared" si="518"/>
        <v/>
      </c>
      <c r="C6253" s="61"/>
      <c r="D6253" s="61"/>
      <c r="E6253" s="61"/>
      <c r="F6253" s="69"/>
      <c r="G6253" s="766"/>
      <c r="H6253" s="925"/>
      <c r="I6253" s="385"/>
      <c r="J6253" s="392"/>
      <c r="K6253" s="385"/>
      <c r="L6253" s="392"/>
      <c r="M6253" s="62"/>
      <c r="N6253" s="63"/>
      <c r="O6253" s="63"/>
      <c r="P6253" s="79" t="str">
        <f>IF(AND('331-CT'!$E$7=TH!H6253,OR(N6253="331",O6253="331")),"x","")</f>
        <v/>
      </c>
      <c r="Q6253" s="79" t="str">
        <f>IF(AND(B6253='111'!$L$11,OR($N6253=$Q$7,$O6253=$Q$7)),"x","")</f>
        <v/>
      </c>
      <c r="R6253" s="79" t="str">
        <f>IF(AND($N6253=$Q$7,$B6253&lt;'111'!$L$11),"x","")</f>
        <v/>
      </c>
      <c r="S6253" s="79" t="str">
        <f>IF(AND($O6253=$Q$7,$B6253&lt;'111'!$L$11),"x","")</f>
        <v/>
      </c>
      <c r="T6253" s="79" t="str">
        <f>IF(ISERROR(FIND('112'!$M$9,G6253,1)),"",IF((AND(FIND('112'!$M$9,G6253,1)&gt;=1,B6253='112'!$K$9,OR($N6253='112'!$I$6,$O6253='112'!$I$6))),"x",""))</f>
        <v/>
      </c>
      <c r="U6253" s="79" t="str">
        <f>IF(ISERROR(FIND('112'!$M$9,G6253,1)),"",IF((AND(LEFT(G6253,2)=LEFT('112'!$M$9,2),B6253&lt;'112'!$K$9,$N6253='112'!$I$6)),"x",""))</f>
        <v/>
      </c>
      <c r="V6253" s="79" t="str">
        <f>IF(ISERROR(FIND('112'!$M$9,G6253,1)),"",IF((AND(RIGHT(G6253,2)=RIGHT('112'!$M$9,2),B6253&lt;'112'!$K$9,$O6253='112'!$I$6)),"x",""))</f>
        <v/>
      </c>
      <c r="W6253" s="79" t="str">
        <f>IF(AND('341-CT'!$H$9=H6253,OR(LEFT(N6253,3)=$W$7,LEFT(O6253,3)=$W$7)),"x","")</f>
        <v/>
      </c>
      <c r="X6253" s="79" t="str">
        <f>IF(OR(TH!N6253=TH!$X$7,O6253=TH!$X$7),"x","")</f>
        <v/>
      </c>
      <c r="Y6253" s="79" t="str">
        <f>IF(AND(OR(N6253="131",O6253="131"),H6253='131-CT'!$H$9),"x","")</f>
        <v/>
      </c>
      <c r="Z6253" s="79"/>
      <c r="AA6253" s="79" t="str">
        <f>IF(AND(MONTH(E6253)='IN-NX'!$J$5,'IN-NX'!$D$7=D6253),"x","")</f>
        <v/>
      </c>
      <c r="AB6253" s="79" t="str">
        <f>IF(AND(OR(LEFT(TH!N6253,2)="15",LEFT(TH!O6253,2)="15"),LEFT(TH!O6253,3)&lt;&gt;"111",'152-CT'!$J$8=TH!F6253),"x","")</f>
        <v/>
      </c>
      <c r="AC6253" s="79" t="str">
        <f>IF(AND(OR(LEFT(TH!N6253,2)="15",LEFT(TH!O6253,2)="15"),TK!$E$7=TH!F6253),"x","")</f>
        <v/>
      </c>
      <c r="AD6253" s="79" t="str">
        <f>IF(AND(N6253="1521",MONTH(C6253)='BK-NL'!$M$11),"x","")</f>
        <v/>
      </c>
    </row>
    <row r="6254" spans="1:30" ht="16.5" customHeight="1">
      <c r="A6254" s="318" t="str">
        <f>IF(B6254&lt;&gt;"",IF(AND(B6254='IN-TC'!$S$4,OR(TH!N6254="1111",TH!O6254="1111")),TH!D6254,""),"")</f>
        <v/>
      </c>
      <c r="B6254" s="60" t="str">
        <f t="shared" si="518"/>
        <v/>
      </c>
      <c r="C6254" s="61"/>
      <c r="D6254" s="61"/>
      <c r="E6254" s="61"/>
      <c r="F6254" s="69"/>
      <c r="G6254" s="766"/>
      <c r="H6254" s="925"/>
      <c r="I6254" s="385"/>
      <c r="J6254" s="392"/>
      <c r="K6254" s="385"/>
      <c r="L6254" s="392"/>
      <c r="M6254" s="62"/>
      <c r="N6254" s="63"/>
      <c r="O6254" s="63"/>
      <c r="P6254" s="79" t="str">
        <f>IF(AND('331-CT'!$E$7=TH!H6254,OR(N6254="331",O6254="331")),"x","")</f>
        <v/>
      </c>
      <c r="Q6254" s="79" t="str">
        <f>IF(AND(B6254='111'!$L$11,OR($N6254=$Q$7,$O6254=$Q$7)),"x","")</f>
        <v/>
      </c>
      <c r="R6254" s="79" t="str">
        <f>IF(AND($N6254=$Q$7,$B6254&lt;'111'!$L$11),"x","")</f>
        <v/>
      </c>
      <c r="S6254" s="79" t="str">
        <f>IF(AND($O6254=$Q$7,$B6254&lt;'111'!$L$11),"x","")</f>
        <v/>
      </c>
      <c r="T6254" s="79" t="str">
        <f>IF(ISERROR(FIND('112'!$M$9,G6254,1)),"",IF((AND(FIND('112'!$M$9,G6254,1)&gt;=1,B6254='112'!$K$9,OR($N6254='112'!$I$6,$O6254='112'!$I$6))),"x",""))</f>
        <v/>
      </c>
      <c r="U6254" s="79" t="str">
        <f>IF(ISERROR(FIND('112'!$M$9,G6254,1)),"",IF((AND(LEFT(G6254,2)=LEFT('112'!$M$9,2),B6254&lt;'112'!$K$9,$N6254='112'!$I$6)),"x",""))</f>
        <v/>
      </c>
      <c r="V6254" s="79" t="str">
        <f>IF(ISERROR(FIND('112'!$M$9,G6254,1)),"",IF((AND(RIGHT(G6254,2)=RIGHT('112'!$M$9,2),B6254&lt;'112'!$K$9,$O6254='112'!$I$6)),"x",""))</f>
        <v/>
      </c>
      <c r="W6254" s="79" t="str">
        <f>IF(AND('341-CT'!$H$9=H6254,OR(LEFT(N6254,3)=$W$7,LEFT(O6254,3)=$W$7)),"x","")</f>
        <v/>
      </c>
      <c r="X6254" s="79" t="str">
        <f>IF(OR(TH!N6254=TH!$X$7,O6254=TH!$X$7),"x","")</f>
        <v/>
      </c>
      <c r="Y6254" s="79" t="str">
        <f>IF(AND(OR(N6254="131",O6254="131"),H6254='131-CT'!$H$9),"x","")</f>
        <v/>
      </c>
      <c r="Z6254" s="79"/>
      <c r="AA6254" s="79" t="str">
        <f>IF(AND(MONTH(E6254)='IN-NX'!$J$5,'IN-NX'!$D$7=D6254),"x","")</f>
        <v/>
      </c>
      <c r="AB6254" s="79" t="str">
        <f>IF(AND(OR(LEFT(TH!N6254,2)="15",LEFT(TH!O6254,2)="15"),LEFT(TH!O6254,3)&lt;&gt;"111",'152-CT'!$J$8=TH!F6254),"x","")</f>
        <v/>
      </c>
      <c r="AC6254" s="79" t="str">
        <f>IF(AND(OR(LEFT(TH!N6254,2)="15",LEFT(TH!O6254,2)="15"),TK!$E$7=TH!F6254),"x","")</f>
        <v/>
      </c>
      <c r="AD6254" s="79" t="str">
        <f>IF(AND(N6254="1521",MONTH(C6254)='BK-NL'!$M$11),"x","")</f>
        <v/>
      </c>
    </row>
    <row r="6255" spans="1:30" ht="16.5" customHeight="1">
      <c r="A6255" s="318" t="str">
        <f>IF(B6255&lt;&gt;"",IF(AND(B6255='IN-TC'!$S$4,OR(TH!N6255="1111",TH!O6255="1111")),TH!D6255,""),"")</f>
        <v/>
      </c>
      <c r="B6255" s="60" t="str">
        <f t="shared" si="518"/>
        <v/>
      </c>
      <c r="C6255" s="61"/>
      <c r="D6255" s="61"/>
      <c r="E6255" s="61"/>
      <c r="F6255" s="69"/>
      <c r="G6255" s="766"/>
      <c r="H6255" s="925"/>
      <c r="I6255" s="385"/>
      <c r="J6255" s="392"/>
      <c r="K6255" s="385"/>
      <c r="L6255" s="392"/>
      <c r="M6255" s="62"/>
      <c r="N6255" s="63"/>
      <c r="O6255" s="63"/>
      <c r="P6255" s="79" t="str">
        <f>IF(AND('331-CT'!$E$7=TH!H6255,OR(N6255="331",O6255="331")),"x","")</f>
        <v/>
      </c>
      <c r="Q6255" s="79" t="str">
        <f>IF(AND(B6255='111'!$L$11,OR($N6255=$Q$7,$O6255=$Q$7)),"x","")</f>
        <v/>
      </c>
      <c r="R6255" s="79" t="str">
        <f>IF(AND($N6255=$Q$7,$B6255&lt;'111'!$L$11),"x","")</f>
        <v/>
      </c>
      <c r="S6255" s="79" t="str">
        <f>IF(AND($O6255=$Q$7,$B6255&lt;'111'!$L$11),"x","")</f>
        <v/>
      </c>
      <c r="T6255" s="79" t="str">
        <f>IF(ISERROR(FIND('112'!$M$9,G6255,1)),"",IF((AND(FIND('112'!$M$9,G6255,1)&gt;=1,B6255='112'!$K$9,OR($N6255='112'!$I$6,$O6255='112'!$I$6))),"x",""))</f>
        <v/>
      </c>
      <c r="U6255" s="79" t="str">
        <f>IF(ISERROR(FIND('112'!$M$9,G6255,1)),"",IF((AND(LEFT(G6255,2)=LEFT('112'!$M$9,2),B6255&lt;'112'!$K$9,$N6255='112'!$I$6)),"x",""))</f>
        <v/>
      </c>
      <c r="V6255" s="79" t="str">
        <f>IF(ISERROR(FIND('112'!$M$9,G6255,1)),"",IF((AND(RIGHT(G6255,2)=RIGHT('112'!$M$9,2),B6255&lt;'112'!$K$9,$O6255='112'!$I$6)),"x",""))</f>
        <v/>
      </c>
      <c r="W6255" s="79" t="str">
        <f>IF(AND('341-CT'!$H$9=H6255,OR(LEFT(N6255,3)=$W$7,LEFT(O6255,3)=$W$7)),"x","")</f>
        <v/>
      </c>
      <c r="X6255" s="79" t="str">
        <f>IF(OR(TH!N6255=TH!$X$7,O6255=TH!$X$7),"x","")</f>
        <v/>
      </c>
      <c r="Y6255" s="79" t="str">
        <f>IF(AND(OR(N6255="131",O6255="131"),H6255='131-CT'!$H$9),"x","")</f>
        <v/>
      </c>
      <c r="Z6255" s="79"/>
      <c r="AA6255" s="79" t="str">
        <f>IF(AND(MONTH(E6255)='IN-NX'!$J$5,'IN-NX'!$D$7=D6255),"x","")</f>
        <v/>
      </c>
      <c r="AB6255" s="79" t="str">
        <f>IF(AND(OR(LEFT(TH!N6255,2)="15",LEFT(TH!O6255,2)="15"),LEFT(TH!O6255,3)&lt;&gt;"111",'152-CT'!$J$8=TH!F6255),"x","")</f>
        <v/>
      </c>
      <c r="AC6255" s="79" t="str">
        <f>IF(AND(OR(LEFT(TH!N6255,2)="15",LEFT(TH!O6255,2)="15"),TK!$E$7=TH!F6255),"x","")</f>
        <v/>
      </c>
      <c r="AD6255" s="79" t="str">
        <f>IF(AND(N6255="1521",MONTH(C6255)='BK-NL'!$M$11),"x","")</f>
        <v/>
      </c>
    </row>
    <row r="6256" spans="1:30" ht="16.5" customHeight="1">
      <c r="A6256" s="318" t="str">
        <f>IF(B6256&lt;&gt;"",IF(AND(B6256='IN-TC'!$S$4,OR(TH!N6256="1111",TH!O6256="1111")),TH!D6256,""),"")</f>
        <v/>
      </c>
      <c r="B6256" s="60" t="str">
        <f t="shared" si="518"/>
        <v/>
      </c>
      <c r="C6256" s="61"/>
      <c r="D6256" s="61"/>
      <c r="E6256" s="61"/>
      <c r="F6256" s="69"/>
      <c r="G6256" s="766"/>
      <c r="H6256" s="925"/>
      <c r="I6256" s="385"/>
      <c r="J6256" s="392"/>
      <c r="K6256" s="385"/>
      <c r="L6256" s="392"/>
      <c r="M6256" s="62"/>
      <c r="N6256" s="63"/>
      <c r="O6256" s="63"/>
      <c r="P6256" s="79" t="str">
        <f>IF(AND('331-CT'!$E$7=TH!H6256,OR(N6256="331",O6256="331")),"x","")</f>
        <v/>
      </c>
      <c r="Q6256" s="79" t="str">
        <f>IF(AND(B6256='111'!$L$11,OR($N6256=$Q$7,$O6256=$Q$7)),"x","")</f>
        <v/>
      </c>
      <c r="R6256" s="79" t="str">
        <f>IF(AND($N6256=$Q$7,$B6256&lt;'111'!$L$11),"x","")</f>
        <v/>
      </c>
      <c r="S6256" s="79" t="str">
        <f>IF(AND($O6256=$Q$7,$B6256&lt;'111'!$L$11),"x","")</f>
        <v/>
      </c>
      <c r="T6256" s="79" t="str">
        <f>IF(ISERROR(FIND('112'!$M$9,G6256,1)),"",IF((AND(FIND('112'!$M$9,G6256,1)&gt;=1,B6256='112'!$K$9,OR($N6256='112'!$I$6,$O6256='112'!$I$6))),"x",""))</f>
        <v/>
      </c>
      <c r="U6256" s="79" t="str">
        <f>IF(ISERROR(FIND('112'!$M$9,G6256,1)),"",IF((AND(LEFT(G6256,2)=LEFT('112'!$M$9,2),B6256&lt;'112'!$K$9,$N6256='112'!$I$6)),"x",""))</f>
        <v/>
      </c>
      <c r="V6256" s="79" t="str">
        <f>IF(ISERROR(FIND('112'!$M$9,G6256,1)),"",IF((AND(RIGHT(G6256,2)=RIGHT('112'!$M$9,2),B6256&lt;'112'!$K$9,$O6256='112'!$I$6)),"x",""))</f>
        <v/>
      </c>
      <c r="W6256" s="79" t="str">
        <f>IF(AND('341-CT'!$H$9=H6256,OR(LEFT(N6256,3)=$W$7,LEFT(O6256,3)=$W$7)),"x","")</f>
        <v/>
      </c>
      <c r="X6256" s="79" t="str">
        <f>IF(OR(TH!N6256=TH!$X$7,O6256=TH!$X$7),"x","")</f>
        <v/>
      </c>
      <c r="Y6256" s="79" t="str">
        <f>IF(AND(OR(N6256="131",O6256="131"),H6256='131-CT'!$H$9),"x","")</f>
        <v/>
      </c>
      <c r="Z6256" s="79"/>
      <c r="AA6256" s="79" t="str">
        <f>IF(AND(MONTH(E6256)='IN-NX'!$J$5,'IN-NX'!$D$7=D6256),"x","")</f>
        <v/>
      </c>
      <c r="AB6256" s="79" t="str">
        <f>IF(AND(OR(LEFT(TH!N6256,2)="15",LEFT(TH!O6256,2)="15"),LEFT(TH!O6256,3)&lt;&gt;"111",'152-CT'!$J$8=TH!F6256),"x","")</f>
        <v/>
      </c>
      <c r="AC6256" s="79" t="str">
        <f>IF(AND(OR(LEFT(TH!N6256,2)="15",LEFT(TH!O6256,2)="15"),TK!$E$7=TH!F6256),"x","")</f>
        <v/>
      </c>
      <c r="AD6256" s="79" t="str">
        <f>IF(AND(N6256="1521",MONTH(C6256)='BK-NL'!$M$11),"x","")</f>
        <v/>
      </c>
    </row>
    <row r="6257" spans="1:30" ht="16.5" customHeight="1">
      <c r="A6257" s="318" t="str">
        <f>IF(B6257&lt;&gt;"",IF(AND(B6257='IN-TC'!$S$4,OR(TH!N6257="1111",TH!O6257="1111")),TH!D6257,""),"")</f>
        <v/>
      </c>
      <c r="B6257" s="60" t="str">
        <f t="shared" si="518"/>
        <v/>
      </c>
      <c r="C6257" s="61"/>
      <c r="D6257" s="61"/>
      <c r="E6257" s="61"/>
      <c r="F6257" s="69"/>
      <c r="G6257" s="766"/>
      <c r="H6257" s="925"/>
      <c r="I6257" s="385"/>
      <c r="J6257" s="392"/>
      <c r="K6257" s="385"/>
      <c r="L6257" s="392"/>
      <c r="M6257" s="62"/>
      <c r="N6257" s="63"/>
      <c r="O6257" s="63"/>
      <c r="P6257" s="79" t="str">
        <f>IF(AND('331-CT'!$E$7=TH!H6257,OR(N6257="331",O6257="331")),"x","")</f>
        <v/>
      </c>
      <c r="Q6257" s="79" t="str">
        <f>IF(AND(B6257='111'!$L$11,OR($N6257=$Q$7,$O6257=$Q$7)),"x","")</f>
        <v/>
      </c>
      <c r="R6257" s="79" t="str">
        <f>IF(AND($N6257=$Q$7,$B6257&lt;'111'!$L$11),"x","")</f>
        <v/>
      </c>
      <c r="S6257" s="79" t="str">
        <f>IF(AND($O6257=$Q$7,$B6257&lt;'111'!$L$11),"x","")</f>
        <v/>
      </c>
      <c r="T6257" s="79" t="str">
        <f>IF(ISERROR(FIND('112'!$M$9,G6257,1)),"",IF((AND(FIND('112'!$M$9,G6257,1)&gt;=1,B6257='112'!$K$9,OR($N6257='112'!$I$6,$O6257='112'!$I$6))),"x",""))</f>
        <v/>
      </c>
      <c r="U6257" s="79" t="str">
        <f>IF(ISERROR(FIND('112'!$M$9,G6257,1)),"",IF((AND(LEFT(G6257,2)=LEFT('112'!$M$9,2),B6257&lt;'112'!$K$9,$N6257='112'!$I$6)),"x",""))</f>
        <v/>
      </c>
      <c r="V6257" s="79" t="str">
        <f>IF(ISERROR(FIND('112'!$M$9,G6257,1)),"",IF((AND(RIGHT(G6257,2)=RIGHT('112'!$M$9,2),B6257&lt;'112'!$K$9,$O6257='112'!$I$6)),"x",""))</f>
        <v/>
      </c>
      <c r="W6257" s="79" t="str">
        <f>IF(AND('341-CT'!$H$9=H6257,OR(LEFT(N6257,3)=$W$7,LEFT(O6257,3)=$W$7)),"x","")</f>
        <v/>
      </c>
      <c r="X6257" s="79" t="str">
        <f>IF(OR(TH!N6257=TH!$X$7,O6257=TH!$X$7),"x","")</f>
        <v/>
      </c>
      <c r="Y6257" s="79" t="str">
        <f>IF(AND(OR(N6257="131",O6257="131"),H6257='131-CT'!$H$9),"x","")</f>
        <v/>
      </c>
      <c r="Z6257" s="79"/>
      <c r="AA6257" s="79" t="str">
        <f>IF(AND(MONTH(E6257)='IN-NX'!$J$5,'IN-NX'!$D$7=D6257),"x","")</f>
        <v/>
      </c>
      <c r="AB6257" s="79" t="str">
        <f>IF(AND(OR(LEFT(TH!N6257,2)="15",LEFT(TH!O6257,2)="15"),LEFT(TH!O6257,3)&lt;&gt;"111",'152-CT'!$J$8=TH!F6257),"x","")</f>
        <v/>
      </c>
      <c r="AC6257" s="79" t="str">
        <f>IF(AND(OR(LEFT(TH!N6257,2)="15",LEFT(TH!O6257,2)="15"),TK!$E$7=TH!F6257),"x","")</f>
        <v/>
      </c>
      <c r="AD6257" s="79" t="str">
        <f>IF(AND(N6257="1521",MONTH(C6257)='BK-NL'!$M$11),"x","")</f>
        <v/>
      </c>
    </row>
    <row r="6258" spans="1:30" ht="16.5" customHeight="1">
      <c r="A6258" s="318" t="str">
        <f>IF(B6258&lt;&gt;"",IF(AND(B6258='IN-TC'!$S$4,OR(TH!N6258="1111",TH!O6258="1111")),TH!D6258,""),"")</f>
        <v/>
      </c>
      <c r="B6258" s="60" t="str">
        <f t="shared" si="518"/>
        <v/>
      </c>
      <c r="C6258" s="61"/>
      <c r="D6258" s="61"/>
      <c r="E6258" s="61"/>
      <c r="F6258" s="69"/>
      <c r="G6258" s="766"/>
      <c r="H6258" s="69"/>
      <c r="I6258" s="385"/>
      <c r="J6258" s="392"/>
      <c r="K6258" s="385"/>
      <c r="L6258" s="392"/>
      <c r="M6258" s="62"/>
      <c r="N6258" s="63"/>
      <c r="O6258" s="63"/>
      <c r="P6258" s="79" t="str">
        <f>IF(AND('331-CT'!$E$7=TH!H6258,OR(N6258="331",O6258="331")),"x","")</f>
        <v/>
      </c>
      <c r="Q6258" s="79" t="str">
        <f>IF(AND(B6258='111'!$L$11,OR($N6258=$Q$7,$O6258=$Q$7)),"x","")</f>
        <v/>
      </c>
      <c r="R6258" s="79" t="str">
        <f>IF(AND($N6258=$Q$7,$B6258&lt;'111'!$L$11),"x","")</f>
        <v/>
      </c>
      <c r="S6258" s="79" t="str">
        <f>IF(AND($O6258=$Q$7,$B6258&lt;'111'!$L$11),"x","")</f>
        <v/>
      </c>
      <c r="T6258" s="79" t="str">
        <f>IF(ISERROR(FIND('112'!$M$9,G6258,1)),"",IF((AND(FIND('112'!$M$9,G6258,1)&gt;=1,B6258='112'!$K$9,OR($N6258='112'!$I$6,$O6258='112'!$I$6))),"x",""))</f>
        <v/>
      </c>
      <c r="U6258" s="79" t="str">
        <f>IF(ISERROR(FIND('112'!$M$9,G6258,1)),"",IF((AND(LEFT(G6258,2)=LEFT('112'!$M$9,2),B6258&lt;'112'!$K$9,$N6258='112'!$I$6)),"x",""))</f>
        <v/>
      </c>
      <c r="V6258" s="79" t="str">
        <f>IF(ISERROR(FIND('112'!$M$9,G6258,1)),"",IF((AND(RIGHT(G6258,2)=RIGHT('112'!$M$9,2),B6258&lt;'112'!$K$9,$O6258='112'!$I$6)),"x",""))</f>
        <v/>
      </c>
      <c r="W6258" s="79" t="str">
        <f>IF(AND('341-CT'!$H$9=H6258,OR(LEFT(N6258,3)=$W$7,LEFT(O6258,3)=$W$7)),"x","")</f>
        <v/>
      </c>
      <c r="X6258" s="79" t="str">
        <f>IF(OR(TH!N6258=TH!$X$7,O6258=TH!$X$7),"x","")</f>
        <v/>
      </c>
      <c r="Y6258" s="79" t="str">
        <f>IF(AND(OR(N6258="131",O6258="131"),H6258='131-CT'!$H$9),"x","")</f>
        <v/>
      </c>
      <c r="Z6258" s="79"/>
      <c r="AA6258" s="79" t="str">
        <f>IF(AND(MONTH(E6258)='IN-NX'!$J$5,'IN-NX'!$D$7=D6258),"x","")</f>
        <v/>
      </c>
      <c r="AB6258" s="79" t="str">
        <f>IF(AND(OR(LEFT(TH!N6258,2)="15",LEFT(TH!O6258,2)="15"),LEFT(TH!O6258,3)&lt;&gt;"111",'152-CT'!$J$8=TH!F6258),"x","")</f>
        <v/>
      </c>
      <c r="AC6258" s="79" t="str">
        <f>IF(AND(OR(LEFT(TH!N6258,2)="15",LEFT(TH!O6258,2)="15"),TK!$E$7=TH!F6258),"x","")</f>
        <v/>
      </c>
      <c r="AD6258" s="79" t="str">
        <f>IF(AND(N6258="1521",MONTH(C6258)='BK-NL'!$M$11),"x","")</f>
        <v/>
      </c>
    </row>
    <row r="6259" spans="1:30" ht="16.5" customHeight="1">
      <c r="A6259" s="318" t="str">
        <f>IF(B6259&lt;&gt;"",IF(AND(B6259='IN-TC'!$S$4,OR(TH!N6259="1111",TH!O6259="1111")),TH!D6259,""),"")</f>
        <v/>
      </c>
      <c r="B6259" s="60" t="str">
        <f t="shared" si="518"/>
        <v/>
      </c>
      <c r="C6259" s="61"/>
      <c r="D6259" s="61"/>
      <c r="E6259" s="61"/>
      <c r="F6259" s="69"/>
      <c r="G6259" s="766"/>
      <c r="H6259" s="321"/>
      <c r="I6259" s="385"/>
      <c r="J6259" s="392"/>
      <c r="K6259" s="385"/>
      <c r="L6259" s="392"/>
      <c r="M6259" s="62"/>
      <c r="N6259" s="63"/>
      <c r="O6259" s="63"/>
      <c r="P6259" s="79" t="str">
        <f>IF(AND('331-CT'!$E$7=TH!H6259,OR(N6259="331",O6259="331")),"x","")</f>
        <v/>
      </c>
      <c r="Q6259" s="79" t="str">
        <f>IF(AND(B6259='111'!$L$11,OR($N6259=$Q$7,$O6259=$Q$7)),"x","")</f>
        <v/>
      </c>
      <c r="R6259" s="79" t="str">
        <f>IF(AND($N6259=$Q$7,$B6259&lt;'111'!$L$11),"x","")</f>
        <v/>
      </c>
      <c r="S6259" s="79" t="str">
        <f>IF(AND($O6259=$Q$7,$B6259&lt;'111'!$L$11),"x","")</f>
        <v/>
      </c>
      <c r="T6259" s="79" t="str">
        <f>IF(ISERROR(FIND('112'!$M$9,G6259,1)),"",IF((AND(FIND('112'!$M$9,G6259,1)&gt;=1,B6259='112'!$K$9,OR($N6259='112'!$I$6,$O6259='112'!$I$6))),"x",""))</f>
        <v/>
      </c>
      <c r="U6259" s="79" t="str">
        <f>IF(ISERROR(FIND('112'!$M$9,G6259,1)),"",IF((AND(LEFT(G6259,2)=LEFT('112'!$M$9,2),B6259&lt;'112'!$K$9,$N6259='112'!$I$6)),"x",""))</f>
        <v/>
      </c>
      <c r="V6259" s="79" t="str">
        <f>IF(ISERROR(FIND('112'!$M$9,G6259,1)),"",IF((AND(RIGHT(G6259,2)=RIGHT('112'!$M$9,2),B6259&lt;'112'!$K$9,$O6259='112'!$I$6)),"x",""))</f>
        <v/>
      </c>
      <c r="W6259" s="79" t="str">
        <f>IF(AND('341-CT'!$H$9=H6259,OR(LEFT(N6259,3)=$W$7,LEFT(O6259,3)=$W$7)),"x","")</f>
        <v/>
      </c>
      <c r="X6259" s="79" t="str">
        <f>IF(OR(TH!N6259=TH!$X$7,O6259=TH!$X$7),"x","")</f>
        <v/>
      </c>
      <c r="Y6259" s="79" t="str">
        <f>IF(AND(OR(N6259="131",O6259="131"),H6259='131-CT'!$H$9),"x","")</f>
        <v/>
      </c>
      <c r="Z6259" s="79"/>
      <c r="AA6259" s="79" t="str">
        <f>IF(AND(MONTH(E6259)='IN-NX'!$J$5,'IN-NX'!$D$7=D6259),"x","")</f>
        <v/>
      </c>
      <c r="AB6259" s="79" t="str">
        <f>IF(AND(OR(LEFT(TH!N6259,2)="15",LEFT(TH!O6259,2)="15"),LEFT(TH!O6259,3)&lt;&gt;"111",'152-CT'!$J$8=TH!F6259),"x","")</f>
        <v/>
      </c>
      <c r="AC6259" s="79" t="str">
        <f>IF(AND(OR(LEFT(TH!N6259,2)="15",LEFT(TH!O6259,2)="15"),TK!$E$7=TH!F6259),"x","")</f>
        <v/>
      </c>
      <c r="AD6259" s="79" t="str">
        <f>IF(AND(N6259="1521",MONTH(C6259)='BK-NL'!$M$11),"x","")</f>
        <v/>
      </c>
    </row>
    <row r="6260" spans="1:30" ht="16.5" customHeight="1">
      <c r="A6260" s="318" t="str">
        <f>IF(B6260&lt;&gt;"",IF(AND(B6260='IN-TC'!$S$4,OR(TH!N6260="1111",TH!O6260="1111")),TH!D6260,""),"")</f>
        <v/>
      </c>
      <c r="B6260" s="60" t="str">
        <f t="shared" si="518"/>
        <v/>
      </c>
      <c r="C6260" s="61"/>
      <c r="D6260" s="61"/>
      <c r="E6260" s="61"/>
      <c r="F6260" s="69"/>
      <c r="G6260" s="766"/>
      <c r="H6260" s="321"/>
      <c r="I6260" s="385"/>
      <c r="J6260" s="392"/>
      <c r="K6260" s="385"/>
      <c r="L6260" s="392"/>
      <c r="M6260" s="62"/>
      <c r="N6260" s="63"/>
      <c r="O6260" s="63"/>
      <c r="P6260" s="79" t="str">
        <f>IF(AND('331-CT'!$E$7=TH!H6260,OR(N6260="331",O6260="331")),"x","")</f>
        <v/>
      </c>
      <c r="Q6260" s="79" t="str">
        <f>IF(AND(B6260='111'!$L$11,OR($N6260=$Q$7,$O6260=$Q$7)),"x","")</f>
        <v/>
      </c>
      <c r="R6260" s="79" t="str">
        <f>IF(AND($N6260=$Q$7,$B6260&lt;'111'!$L$11),"x","")</f>
        <v/>
      </c>
      <c r="S6260" s="79" t="str">
        <f>IF(AND($O6260=$Q$7,$B6260&lt;'111'!$L$11),"x","")</f>
        <v/>
      </c>
      <c r="T6260" s="79" t="str">
        <f>IF(ISERROR(FIND('112'!$M$9,G6260,1)),"",IF((AND(FIND('112'!$M$9,G6260,1)&gt;=1,B6260='112'!$K$9,OR($N6260='112'!$I$6,$O6260='112'!$I$6))),"x",""))</f>
        <v/>
      </c>
      <c r="U6260" s="79" t="str">
        <f>IF(ISERROR(FIND('112'!$M$9,G6260,1)),"",IF((AND(LEFT(G6260,2)=LEFT('112'!$M$9,2),B6260&lt;'112'!$K$9,$N6260='112'!$I$6)),"x",""))</f>
        <v/>
      </c>
      <c r="V6260" s="79" t="str">
        <f>IF(ISERROR(FIND('112'!$M$9,G6260,1)),"",IF((AND(RIGHT(G6260,2)=RIGHT('112'!$M$9,2),B6260&lt;'112'!$K$9,$O6260='112'!$I$6)),"x",""))</f>
        <v/>
      </c>
      <c r="W6260" s="79" t="str">
        <f>IF(AND('341-CT'!$H$9=H6260,OR(LEFT(N6260,3)=$W$7,LEFT(O6260,3)=$W$7)),"x","")</f>
        <v/>
      </c>
      <c r="X6260" s="79" t="str">
        <f>IF(OR(TH!N6260=TH!$X$7,O6260=TH!$X$7),"x","")</f>
        <v/>
      </c>
      <c r="Y6260" s="79" t="str">
        <f>IF(AND(OR(N6260="131",O6260="131"),H6260='131-CT'!$H$9),"x","")</f>
        <v/>
      </c>
      <c r="Z6260" s="79"/>
      <c r="AA6260" s="79" t="str">
        <f>IF(AND(MONTH(E6260)='IN-NX'!$J$5,'IN-NX'!$D$7=D6260),"x","")</f>
        <v/>
      </c>
      <c r="AB6260" s="79" t="str">
        <f>IF(AND(OR(LEFT(TH!N6260,2)="15",LEFT(TH!O6260,2)="15"),LEFT(TH!O6260,3)&lt;&gt;"111",'152-CT'!$J$8=TH!F6260),"x","")</f>
        <v/>
      </c>
      <c r="AC6260" s="79" t="str">
        <f>IF(AND(OR(LEFT(TH!N6260,2)="15",LEFT(TH!O6260,2)="15"),TK!$E$7=TH!F6260),"x","")</f>
        <v/>
      </c>
      <c r="AD6260" s="79" t="str">
        <f>IF(AND(N6260="1521",MONTH(C6260)='BK-NL'!$M$11),"x","")</f>
        <v/>
      </c>
    </row>
    <row r="6261" spans="1:30" ht="16.5" customHeight="1">
      <c r="A6261" s="318" t="str">
        <f>IF(B6261&lt;&gt;"",IF(AND(B6261='IN-TC'!$S$4,OR(TH!N6261="1111",TH!O6261="1111")),TH!D6261,""),"")</f>
        <v/>
      </c>
      <c r="B6261" s="60" t="str">
        <f t="shared" si="518"/>
        <v/>
      </c>
      <c r="C6261" s="61"/>
      <c r="D6261" s="61"/>
      <c r="E6261" s="61"/>
      <c r="F6261" s="69"/>
      <c r="G6261" s="766"/>
      <c r="H6261" s="321"/>
      <c r="I6261" s="385"/>
      <c r="J6261" s="392"/>
      <c r="K6261" s="385"/>
      <c r="L6261" s="392"/>
      <c r="M6261" s="62"/>
      <c r="N6261" s="63"/>
      <c r="O6261" s="63"/>
      <c r="P6261" s="79" t="str">
        <f>IF(AND('331-CT'!$E$7=TH!H6261,OR(N6261="331",O6261="331")),"x","")</f>
        <v/>
      </c>
      <c r="Q6261" s="79" t="str">
        <f>IF(AND(B6261='111'!$L$11,OR($N6261=$Q$7,$O6261=$Q$7)),"x","")</f>
        <v/>
      </c>
      <c r="R6261" s="79" t="str">
        <f>IF(AND($N6261=$Q$7,$B6261&lt;'111'!$L$11),"x","")</f>
        <v/>
      </c>
      <c r="S6261" s="79" t="str">
        <f>IF(AND($O6261=$Q$7,$B6261&lt;'111'!$L$11),"x","")</f>
        <v/>
      </c>
      <c r="T6261" s="79" t="str">
        <f>IF(ISERROR(FIND('112'!$M$9,G6261,1)),"",IF((AND(FIND('112'!$M$9,G6261,1)&gt;=1,B6261='112'!$K$9,OR($N6261='112'!$I$6,$O6261='112'!$I$6))),"x",""))</f>
        <v/>
      </c>
      <c r="U6261" s="79" t="str">
        <f>IF(ISERROR(FIND('112'!$M$9,G6261,1)),"",IF((AND(LEFT(G6261,2)=LEFT('112'!$M$9,2),B6261&lt;'112'!$K$9,$N6261='112'!$I$6)),"x",""))</f>
        <v/>
      </c>
      <c r="V6261" s="79" t="str">
        <f>IF(ISERROR(FIND('112'!$M$9,G6261,1)),"",IF((AND(RIGHT(G6261,2)=RIGHT('112'!$M$9,2),B6261&lt;'112'!$K$9,$O6261='112'!$I$6)),"x",""))</f>
        <v/>
      </c>
      <c r="W6261" s="79" t="str">
        <f>IF(AND('341-CT'!$H$9=H6261,OR(LEFT(N6261,3)=$W$7,LEFT(O6261,3)=$W$7)),"x","")</f>
        <v/>
      </c>
      <c r="X6261" s="79" t="str">
        <f>IF(OR(TH!N6261=TH!$X$7,O6261=TH!$X$7),"x","")</f>
        <v/>
      </c>
      <c r="Y6261" s="79" t="str">
        <f>IF(AND(OR(N6261="131",O6261="131"),H6261='131-CT'!$H$9),"x","")</f>
        <v/>
      </c>
      <c r="Z6261" s="79"/>
      <c r="AA6261" s="79" t="str">
        <f>IF(AND(MONTH(E6261)='IN-NX'!$J$5,'IN-NX'!$D$7=D6261),"x","")</f>
        <v/>
      </c>
      <c r="AB6261" s="79" t="str">
        <f>IF(AND(OR(LEFT(TH!N6261,2)="15",LEFT(TH!O6261,2)="15"),LEFT(TH!O6261,3)&lt;&gt;"111",'152-CT'!$J$8=TH!F6261),"x","")</f>
        <v/>
      </c>
      <c r="AC6261" s="79" t="str">
        <f>IF(AND(OR(LEFT(TH!N6261,2)="15",LEFT(TH!O6261,2)="15"),TK!$E$7=TH!F6261),"x","")</f>
        <v/>
      </c>
      <c r="AD6261" s="79" t="str">
        <f>IF(AND(N6261="1521",MONTH(C6261)='BK-NL'!$M$11),"x","")</f>
        <v/>
      </c>
    </row>
    <row r="6262" spans="1:30" ht="16.5" customHeight="1">
      <c r="A6262" s="318" t="str">
        <f>IF(B6262&lt;&gt;"",IF(AND(B6262='IN-TC'!$S$4,OR(TH!N6262="1111",TH!O6262="1111")),TH!D6262,""),"")</f>
        <v/>
      </c>
      <c r="B6262" s="60" t="str">
        <f t="shared" si="518"/>
        <v/>
      </c>
      <c r="C6262" s="61"/>
      <c r="D6262" s="61"/>
      <c r="E6262" s="61"/>
      <c r="F6262" s="69"/>
      <c r="G6262" s="766"/>
      <c r="H6262" s="321"/>
      <c r="I6262" s="387"/>
      <c r="J6262" s="394"/>
      <c r="K6262" s="387"/>
      <c r="L6262" s="394"/>
      <c r="M6262" s="62"/>
      <c r="N6262" s="63"/>
      <c r="O6262" s="63"/>
      <c r="P6262" s="79" t="str">
        <f>IF(AND('331-CT'!$E$7=TH!H6262,OR(N6262="331",O6262="331")),"x","")</f>
        <v/>
      </c>
      <c r="Q6262" s="79" t="str">
        <f>IF(AND(B6262='111'!$L$11,OR($N6262=$Q$7,$O6262=$Q$7)),"x","")</f>
        <v/>
      </c>
      <c r="R6262" s="79" t="str">
        <f>IF(AND($N6262=$Q$7,$B6262&lt;'111'!$L$11),"x","")</f>
        <v/>
      </c>
      <c r="S6262" s="79" t="str">
        <f>IF(AND($O6262=$Q$7,$B6262&lt;'111'!$L$11),"x","")</f>
        <v/>
      </c>
      <c r="T6262" s="79" t="str">
        <f>IF(ISERROR(FIND('112'!$M$9,G6262,1)),"",IF((AND(FIND('112'!$M$9,G6262,1)&gt;=1,B6262='112'!$K$9,OR($N6262='112'!$I$6,$O6262='112'!$I$6))),"x",""))</f>
        <v/>
      </c>
      <c r="U6262" s="79" t="str">
        <f>IF(ISERROR(FIND('112'!$M$9,G6262,1)),"",IF((AND(LEFT(G6262,2)=LEFT('112'!$M$9,2),B6262&lt;'112'!$K$9,$N6262='112'!$I$6)),"x",""))</f>
        <v/>
      </c>
      <c r="V6262" s="79" t="str">
        <f>IF(ISERROR(FIND('112'!$M$9,G6262,1)),"",IF((AND(RIGHT(G6262,2)=RIGHT('112'!$M$9,2),B6262&lt;'112'!$K$9,$O6262='112'!$I$6)),"x",""))</f>
        <v/>
      </c>
      <c r="W6262" s="79" t="str">
        <f>IF(AND('341-CT'!$H$9=H6262,OR(LEFT(N6262,3)=$W$7,LEFT(O6262,3)=$W$7)),"x","")</f>
        <v/>
      </c>
      <c r="X6262" s="79" t="str">
        <f>IF(OR(TH!N6262=TH!$X$7,O6262=TH!$X$7),"x","")</f>
        <v/>
      </c>
      <c r="Y6262" s="79" t="str">
        <f>IF(AND(OR(N6262="131",O6262="131"),H6262='131-CT'!$H$9),"x","")</f>
        <v/>
      </c>
      <c r="Z6262" s="79"/>
      <c r="AA6262" s="79" t="str">
        <f>IF(AND(MONTH(E6262)='IN-NX'!$J$5,'IN-NX'!$D$7=D6262),"x","")</f>
        <v/>
      </c>
      <c r="AB6262" s="79" t="str">
        <f>IF(AND(OR(LEFT(TH!N6262,2)="15",LEFT(TH!O6262,2)="15"),LEFT(TH!O6262,3)&lt;&gt;"111",'152-CT'!$J$8=TH!F6262),"x","")</f>
        <v/>
      </c>
      <c r="AC6262" s="79" t="str">
        <f>IF(AND(OR(LEFT(TH!N6262,2)="15",LEFT(TH!O6262,2)="15"),TK!$E$7=TH!F6262),"x","")</f>
        <v/>
      </c>
      <c r="AD6262" s="79" t="str">
        <f>IF(AND(N6262="1521",MONTH(C6262)='BK-NL'!$M$11),"x","")</f>
        <v/>
      </c>
    </row>
    <row r="6263" spans="1:30" ht="16.5" customHeight="1">
      <c r="A6263" s="318" t="str">
        <f>IF(B6263&lt;&gt;"",IF(AND(B6263='IN-TC'!$S$4,OR(TH!N6263="1111",TH!O6263="1111")),TH!D6263,""),"")</f>
        <v/>
      </c>
      <c r="B6263" s="60" t="str">
        <f t="shared" si="518"/>
        <v/>
      </c>
      <c r="C6263" s="61"/>
      <c r="D6263" s="61"/>
      <c r="E6263" s="61"/>
      <c r="F6263" s="69"/>
      <c r="G6263" s="766"/>
      <c r="H6263" s="321"/>
      <c r="I6263" s="385"/>
      <c r="J6263" s="392"/>
      <c r="K6263" s="385"/>
      <c r="L6263" s="392"/>
      <c r="M6263" s="62"/>
      <c r="N6263" s="63"/>
      <c r="O6263" s="63"/>
      <c r="P6263" s="79" t="str">
        <f>IF(AND('331-CT'!$E$7=TH!H6263,OR(N6263="331",O6263="331")),"x","")</f>
        <v/>
      </c>
      <c r="Q6263" s="79" t="str">
        <f>IF(AND(B6263='111'!$L$11,OR($N6263=$Q$7,$O6263=$Q$7)),"x","")</f>
        <v/>
      </c>
      <c r="R6263" s="79" t="str">
        <f>IF(AND($N6263=$Q$7,$B6263&lt;'111'!$L$11),"x","")</f>
        <v/>
      </c>
      <c r="S6263" s="79" t="str">
        <f>IF(AND($O6263=$Q$7,$B6263&lt;'111'!$L$11),"x","")</f>
        <v/>
      </c>
      <c r="T6263" s="79" t="str">
        <f>IF(ISERROR(FIND('112'!$M$9,G6263,1)),"",IF((AND(FIND('112'!$M$9,G6263,1)&gt;=1,B6263='112'!$K$9,OR($N6263='112'!$I$6,$O6263='112'!$I$6))),"x",""))</f>
        <v/>
      </c>
      <c r="U6263" s="79" t="str">
        <f>IF(ISERROR(FIND('112'!$M$9,G6263,1)),"",IF((AND(LEFT(G6263,2)=LEFT('112'!$M$9,2),B6263&lt;'112'!$K$9,$N6263='112'!$I$6)),"x",""))</f>
        <v/>
      </c>
      <c r="V6263" s="79" t="str">
        <f>IF(ISERROR(FIND('112'!$M$9,G6263,1)),"",IF((AND(RIGHT(G6263,2)=RIGHT('112'!$M$9,2),B6263&lt;'112'!$K$9,$O6263='112'!$I$6)),"x",""))</f>
        <v/>
      </c>
      <c r="W6263" s="79" t="str">
        <f>IF(AND('341-CT'!$H$9=H6263,OR(LEFT(N6263,3)=$W$7,LEFT(O6263,3)=$W$7)),"x","")</f>
        <v/>
      </c>
      <c r="X6263" s="79" t="str">
        <f>IF(OR(TH!N6263=TH!$X$7,O6263=TH!$X$7),"x","")</f>
        <v/>
      </c>
      <c r="Y6263" s="79" t="str">
        <f>IF(AND(OR(N6263="131",O6263="131"),H6263='131-CT'!$H$9),"x","")</f>
        <v/>
      </c>
      <c r="Z6263" s="79"/>
      <c r="AA6263" s="79" t="str">
        <f>IF(AND(MONTH(E6263)='IN-NX'!$J$5,'IN-NX'!$D$7=D6263),"x","")</f>
        <v/>
      </c>
      <c r="AB6263" s="79" t="str">
        <f>IF(AND(OR(LEFT(TH!N6263,2)="15",LEFT(TH!O6263,2)="15"),LEFT(TH!O6263,3)&lt;&gt;"111",'152-CT'!$J$8=TH!F6263),"x","")</f>
        <v/>
      </c>
      <c r="AC6263" s="79" t="str">
        <f>IF(AND(OR(LEFT(TH!N6263,2)="15",LEFT(TH!O6263,2)="15"),TK!$E$7=TH!F6263),"x","")</f>
        <v/>
      </c>
      <c r="AD6263" s="79" t="str">
        <f>IF(AND(N6263="1521",MONTH(C6263)='BK-NL'!$M$11),"x","")</f>
        <v/>
      </c>
    </row>
    <row r="6264" spans="1:30" ht="16.5" customHeight="1">
      <c r="A6264" s="318" t="str">
        <f>IF(B6264&lt;&gt;"",IF(AND(B6264='IN-TC'!$S$4,OR(TH!N6264="1111",TH!O6264="1111")),TH!D6264,""),"")</f>
        <v/>
      </c>
      <c r="B6264" s="60" t="str">
        <f t="shared" si="518"/>
        <v/>
      </c>
      <c r="C6264" s="61"/>
      <c r="D6264" s="61"/>
      <c r="E6264" s="61"/>
      <c r="F6264" s="69"/>
      <c r="G6264" s="766"/>
      <c r="H6264" s="321"/>
      <c r="I6264" s="385"/>
      <c r="J6264" s="392"/>
      <c r="K6264" s="385"/>
      <c r="L6264" s="392"/>
      <c r="M6264" s="62"/>
      <c r="N6264" s="63"/>
      <c r="O6264" s="63"/>
      <c r="P6264" s="79" t="str">
        <f>IF(AND('331-CT'!$E$7=TH!H6264,OR(N6264="331",O6264="331")),"x","")</f>
        <v/>
      </c>
      <c r="Q6264" s="79" t="str">
        <f>IF(AND(B6264='111'!$L$11,OR($N6264=$Q$7,$O6264=$Q$7)),"x","")</f>
        <v/>
      </c>
      <c r="R6264" s="79" t="str">
        <f>IF(AND($N6264=$Q$7,$B6264&lt;'111'!$L$11),"x","")</f>
        <v/>
      </c>
      <c r="S6264" s="79" t="str">
        <f>IF(AND($O6264=$Q$7,$B6264&lt;'111'!$L$11),"x","")</f>
        <v/>
      </c>
      <c r="T6264" s="79" t="str">
        <f>IF(ISERROR(FIND('112'!$M$9,G6264,1)),"",IF((AND(FIND('112'!$M$9,G6264,1)&gt;=1,B6264='112'!$K$9,OR($N6264='112'!$I$6,$O6264='112'!$I$6))),"x",""))</f>
        <v/>
      </c>
      <c r="U6264" s="79" t="str">
        <f>IF(ISERROR(FIND('112'!$M$9,G6264,1)),"",IF((AND(LEFT(G6264,2)=LEFT('112'!$M$9,2),B6264&lt;'112'!$K$9,$N6264='112'!$I$6)),"x",""))</f>
        <v/>
      </c>
      <c r="V6264" s="79" t="str">
        <f>IF(ISERROR(FIND('112'!$M$9,G6264,1)),"",IF((AND(RIGHT(G6264,2)=RIGHT('112'!$M$9,2),B6264&lt;'112'!$K$9,$O6264='112'!$I$6)),"x",""))</f>
        <v/>
      </c>
      <c r="W6264" s="79" t="str">
        <f>IF(AND('341-CT'!$H$9=H6264,OR(LEFT(N6264,3)=$W$7,LEFT(O6264,3)=$W$7)),"x","")</f>
        <v/>
      </c>
      <c r="X6264" s="79" t="str">
        <f>IF(OR(TH!N6264=TH!$X$7,O6264=TH!$X$7),"x","")</f>
        <v/>
      </c>
      <c r="Y6264" s="79" t="str">
        <f>IF(AND(OR(N6264="131",O6264="131"),H6264='131-CT'!$H$9),"x","")</f>
        <v/>
      </c>
      <c r="Z6264" s="79"/>
      <c r="AA6264" s="79" t="str">
        <f>IF(AND(MONTH(E6264)='IN-NX'!$J$5,'IN-NX'!$D$7=D6264),"x","")</f>
        <v/>
      </c>
      <c r="AB6264" s="79" t="str">
        <f>IF(AND(OR(LEFT(TH!N6264,2)="15",LEFT(TH!O6264,2)="15"),LEFT(TH!O6264,3)&lt;&gt;"111",'152-CT'!$J$8=TH!F6264),"x","")</f>
        <v/>
      </c>
      <c r="AC6264" s="79" t="str">
        <f>IF(AND(OR(LEFT(TH!N6264,2)="15",LEFT(TH!O6264,2)="15"),TK!$E$7=TH!F6264),"x","")</f>
        <v/>
      </c>
      <c r="AD6264" s="79" t="str">
        <f>IF(AND(N6264="1521",MONTH(C6264)='BK-NL'!$M$11),"x","")</f>
        <v/>
      </c>
    </row>
    <row r="6265" spans="1:30" ht="16.5" customHeight="1">
      <c r="A6265" s="318" t="str">
        <f>IF(B6265&lt;&gt;"",IF(AND(B6265='IN-TC'!$S$4,OR(TH!N6265="1111",TH!O6265="1111")),TH!D6265,""),"")</f>
        <v/>
      </c>
      <c r="B6265" s="60" t="str">
        <f t="shared" si="518"/>
        <v/>
      </c>
      <c r="C6265" s="61"/>
      <c r="D6265" s="61"/>
      <c r="E6265" s="61"/>
      <c r="F6265" s="69"/>
      <c r="G6265" s="766"/>
      <c r="H6265" s="321"/>
      <c r="I6265" s="387"/>
      <c r="J6265" s="394"/>
      <c r="K6265" s="387"/>
      <c r="L6265" s="394"/>
      <c r="M6265" s="62"/>
      <c r="N6265" s="63"/>
      <c r="O6265" s="63"/>
      <c r="P6265" s="79" t="str">
        <f>IF(AND('331-CT'!$E$7=TH!H6265,OR(N6265="331",O6265="331")),"x","")</f>
        <v/>
      </c>
      <c r="Q6265" s="79" t="str">
        <f>IF(AND(B6265='111'!$L$11,OR($N6265=$Q$7,$O6265=$Q$7)),"x","")</f>
        <v/>
      </c>
      <c r="R6265" s="79" t="str">
        <f>IF(AND($N6265=$Q$7,$B6265&lt;'111'!$L$11),"x","")</f>
        <v/>
      </c>
      <c r="S6265" s="79" t="str">
        <f>IF(AND($O6265=$Q$7,$B6265&lt;'111'!$L$11),"x","")</f>
        <v/>
      </c>
      <c r="T6265" s="79" t="str">
        <f>IF(ISERROR(FIND('112'!$M$9,G6265,1)),"",IF((AND(FIND('112'!$M$9,G6265,1)&gt;=1,B6265='112'!$K$9,OR($N6265='112'!$I$6,$O6265='112'!$I$6))),"x",""))</f>
        <v/>
      </c>
      <c r="U6265" s="79" t="str">
        <f>IF(ISERROR(FIND('112'!$M$9,G6265,1)),"",IF((AND(LEFT(G6265,2)=LEFT('112'!$M$9,2),B6265&lt;'112'!$K$9,$N6265='112'!$I$6)),"x",""))</f>
        <v/>
      </c>
      <c r="V6265" s="79" t="str">
        <f>IF(ISERROR(FIND('112'!$M$9,G6265,1)),"",IF((AND(RIGHT(G6265,2)=RIGHT('112'!$M$9,2),B6265&lt;'112'!$K$9,$O6265='112'!$I$6)),"x",""))</f>
        <v/>
      </c>
      <c r="W6265" s="79" t="str">
        <f>IF(AND('341-CT'!$H$9=H6265,OR(LEFT(N6265,3)=$W$7,LEFT(O6265,3)=$W$7)),"x","")</f>
        <v/>
      </c>
      <c r="X6265" s="79" t="str">
        <f>IF(OR(TH!N6265=TH!$X$7,O6265=TH!$X$7),"x","")</f>
        <v/>
      </c>
      <c r="Y6265" s="79" t="str">
        <f>IF(AND(OR(N6265="131",O6265="131"),H6265='131-CT'!$H$9),"x","")</f>
        <v/>
      </c>
      <c r="Z6265" s="79"/>
      <c r="AA6265" s="79" t="str">
        <f>IF(AND(MONTH(E6265)='IN-NX'!$J$5,'IN-NX'!$D$7=D6265),"x","")</f>
        <v/>
      </c>
      <c r="AB6265" s="79" t="str">
        <f>IF(AND(OR(LEFT(TH!N6265,2)="15",LEFT(TH!O6265,2)="15"),LEFT(TH!O6265,3)&lt;&gt;"111",'152-CT'!$J$8=TH!F6265),"x","")</f>
        <v/>
      </c>
      <c r="AC6265" s="79" t="str">
        <f>IF(AND(OR(LEFT(TH!N6265,2)="15",LEFT(TH!O6265,2)="15"),TK!$E$7=TH!F6265),"x","")</f>
        <v/>
      </c>
      <c r="AD6265" s="79" t="str">
        <f>IF(AND(N6265="1521",MONTH(C6265)='BK-NL'!$M$11),"x","")</f>
        <v/>
      </c>
    </row>
    <row r="6266" spans="1:30" ht="16.5" customHeight="1">
      <c r="A6266" s="318" t="str">
        <f>IF(B6266&lt;&gt;"",IF(AND(B6266='IN-TC'!$S$4,OR(TH!N6266="1111",TH!O6266="1111")),TH!D6266,""),"")</f>
        <v/>
      </c>
      <c r="B6266" s="60" t="str">
        <f t="shared" si="518"/>
        <v/>
      </c>
      <c r="C6266" s="61"/>
      <c r="D6266" s="61"/>
      <c r="E6266" s="61"/>
      <c r="F6266" s="69"/>
      <c r="G6266" s="766"/>
      <c r="H6266" s="69"/>
      <c r="I6266" s="385"/>
      <c r="J6266" s="392"/>
      <c r="K6266" s="385"/>
      <c r="L6266" s="392"/>
      <c r="M6266" s="62"/>
      <c r="N6266" s="63"/>
      <c r="O6266" s="63"/>
      <c r="P6266" s="79" t="str">
        <f>IF(AND('331-CT'!$E$7=TH!H6266,OR(N6266="331",O6266="331")),"x","")</f>
        <v/>
      </c>
      <c r="Q6266" s="79" t="str">
        <f>IF(AND(B6266='111'!$L$11,OR($N6266=$Q$7,$O6266=$Q$7)),"x","")</f>
        <v/>
      </c>
      <c r="R6266" s="79" t="str">
        <f>IF(AND($N6266=$Q$7,$B6266&lt;'111'!$L$11),"x","")</f>
        <v/>
      </c>
      <c r="S6266" s="79" t="str">
        <f>IF(AND($O6266=$Q$7,$B6266&lt;'111'!$L$11),"x","")</f>
        <v/>
      </c>
      <c r="T6266" s="79" t="str">
        <f>IF(ISERROR(FIND('112'!$M$9,G6266,1)),"",IF((AND(FIND('112'!$M$9,G6266,1)&gt;=1,B6266='112'!$K$9,OR($N6266='112'!$I$6,$O6266='112'!$I$6))),"x",""))</f>
        <v/>
      </c>
      <c r="U6266" s="79" t="str">
        <f>IF(ISERROR(FIND('112'!$M$9,G6266,1)),"",IF((AND(LEFT(G6266,2)=LEFT('112'!$M$9,2),B6266&lt;'112'!$K$9,$N6266='112'!$I$6)),"x",""))</f>
        <v/>
      </c>
      <c r="V6266" s="79" t="str">
        <f>IF(ISERROR(FIND('112'!$M$9,G6266,1)),"",IF((AND(RIGHT(G6266,2)=RIGHT('112'!$M$9,2),B6266&lt;'112'!$K$9,$O6266='112'!$I$6)),"x",""))</f>
        <v/>
      </c>
      <c r="W6266" s="79" t="str">
        <f>IF(AND('341-CT'!$H$9=H6266,OR(LEFT(N6266,3)=$W$7,LEFT(O6266,3)=$W$7)),"x","")</f>
        <v/>
      </c>
      <c r="X6266" s="79" t="str">
        <f>IF(OR(TH!N6266=TH!$X$7,O6266=TH!$X$7),"x","")</f>
        <v/>
      </c>
      <c r="Y6266" s="79" t="str">
        <f>IF(AND(OR(N6266="131",O6266="131"),H6266='131-CT'!$H$9),"x","")</f>
        <v/>
      </c>
      <c r="Z6266" s="79"/>
      <c r="AA6266" s="79" t="str">
        <f>IF(AND(MONTH(E6266)='IN-NX'!$J$5,'IN-NX'!$D$7=D6266),"x","")</f>
        <v/>
      </c>
      <c r="AB6266" s="79" t="str">
        <f>IF(AND(OR(LEFT(TH!N6266,2)="15",LEFT(TH!O6266,2)="15"),LEFT(TH!O6266,3)&lt;&gt;"111",'152-CT'!$J$8=TH!F6266),"x","")</f>
        <v/>
      </c>
      <c r="AC6266" s="79" t="str">
        <f>IF(AND(OR(LEFT(TH!N6266,2)="15",LEFT(TH!O6266,2)="15"),TK!$E$7=TH!F6266),"x","")</f>
        <v/>
      </c>
      <c r="AD6266" s="79" t="str">
        <f>IF(AND(N6266="1521",MONTH(C6266)='BK-NL'!$M$11),"x","")</f>
        <v/>
      </c>
    </row>
    <row r="6267" spans="1:30" ht="16.5" customHeight="1">
      <c r="A6267" s="318" t="str">
        <f>IF(B6267&lt;&gt;"",IF(AND(B6267='IN-TC'!$S$4,OR(TH!N6267="1111",TH!O6267="1111")),TH!D6267,""),"")</f>
        <v/>
      </c>
      <c r="B6267" s="60" t="str">
        <f t="shared" si="518"/>
        <v/>
      </c>
      <c r="C6267" s="61"/>
      <c r="D6267" s="61"/>
      <c r="E6267" s="61"/>
      <c r="F6267" s="69"/>
      <c r="G6267" s="766"/>
      <c r="H6267" s="69"/>
      <c r="I6267" s="385"/>
      <c r="J6267" s="392"/>
      <c r="K6267" s="385"/>
      <c r="L6267" s="392"/>
      <c r="M6267" s="62"/>
      <c r="N6267" s="63"/>
      <c r="O6267" s="63"/>
      <c r="P6267" s="79" t="str">
        <f>IF(AND('331-CT'!$E$7=TH!H6267,OR(N6267="331",O6267="331")),"x","")</f>
        <v/>
      </c>
      <c r="Q6267" s="79" t="str">
        <f>IF(AND(B6267='111'!$L$11,OR($N6267=$Q$7,$O6267=$Q$7)),"x","")</f>
        <v/>
      </c>
      <c r="R6267" s="79" t="str">
        <f>IF(AND($N6267=$Q$7,$B6267&lt;'111'!$L$11),"x","")</f>
        <v/>
      </c>
      <c r="S6267" s="79" t="str">
        <f>IF(AND($O6267=$Q$7,$B6267&lt;'111'!$L$11),"x","")</f>
        <v/>
      </c>
      <c r="T6267" s="79" t="str">
        <f>IF(ISERROR(FIND('112'!$M$9,G6267,1)),"",IF((AND(FIND('112'!$M$9,G6267,1)&gt;=1,B6267='112'!$K$9,OR($N6267='112'!$I$6,$O6267='112'!$I$6))),"x",""))</f>
        <v/>
      </c>
      <c r="U6267" s="79" t="str">
        <f>IF(ISERROR(FIND('112'!$M$9,G6267,1)),"",IF((AND(LEFT(G6267,2)=LEFT('112'!$M$9,2),B6267&lt;'112'!$K$9,$N6267='112'!$I$6)),"x",""))</f>
        <v/>
      </c>
      <c r="V6267" s="79" t="str">
        <f>IF(ISERROR(FIND('112'!$M$9,G6267,1)),"",IF((AND(RIGHT(G6267,2)=RIGHT('112'!$M$9,2),B6267&lt;'112'!$K$9,$O6267='112'!$I$6)),"x",""))</f>
        <v/>
      </c>
      <c r="W6267" s="79" t="str">
        <f>IF(AND('341-CT'!$H$9=H6267,OR(LEFT(N6267,3)=$W$7,LEFT(O6267,3)=$W$7)),"x","")</f>
        <v/>
      </c>
      <c r="X6267" s="79" t="str">
        <f>IF(OR(TH!N6267=TH!$X$7,O6267=TH!$X$7),"x","")</f>
        <v/>
      </c>
      <c r="Y6267" s="79" t="str">
        <f>IF(AND(OR(N6267="131",O6267="131"),H6267='131-CT'!$H$9),"x","")</f>
        <v/>
      </c>
      <c r="Z6267" s="79"/>
      <c r="AA6267" s="79" t="str">
        <f>IF(AND(MONTH(E6267)='IN-NX'!$J$5,'IN-NX'!$D$7=D6267),"x","")</f>
        <v/>
      </c>
      <c r="AB6267" s="79" t="str">
        <f>IF(AND(OR(LEFT(TH!N6267,2)="15",LEFT(TH!O6267,2)="15"),LEFT(TH!O6267,3)&lt;&gt;"111",'152-CT'!$J$8=TH!F6267),"x","")</f>
        <v/>
      </c>
      <c r="AC6267" s="79" t="str">
        <f>IF(AND(OR(LEFT(TH!N6267,2)="15",LEFT(TH!O6267,2)="15"),TK!$E$7=TH!F6267),"x","")</f>
        <v/>
      </c>
      <c r="AD6267" s="79" t="str">
        <f>IF(AND(N6267="1521",MONTH(C6267)='BK-NL'!$M$11),"x","")</f>
        <v/>
      </c>
    </row>
    <row r="6268" spans="1:30" ht="16.5" customHeight="1">
      <c r="A6268" s="318" t="str">
        <f>IF(B6268&lt;&gt;"",IF(AND(B6268='IN-TC'!$S$4,OR(TH!N6268="1111",TH!O6268="1111")),TH!D6268,""),"")</f>
        <v/>
      </c>
      <c r="B6268" s="60" t="str">
        <f t="shared" si="518"/>
        <v/>
      </c>
      <c r="C6268" s="61"/>
      <c r="D6268" s="61"/>
      <c r="E6268" s="61"/>
      <c r="F6268" s="69"/>
      <c r="G6268" s="766"/>
      <c r="H6268" s="303"/>
      <c r="I6268" s="385"/>
      <c r="J6268" s="392"/>
      <c r="K6268" s="385"/>
      <c r="L6268" s="392"/>
      <c r="M6268" s="62"/>
      <c r="N6268" s="63"/>
      <c r="O6268" s="63"/>
      <c r="P6268" s="79" t="str">
        <f>IF(AND('331-CT'!$E$7=TH!H6268,OR(N6268="331",O6268="331")),"x","")</f>
        <v/>
      </c>
      <c r="Q6268" s="79" t="str">
        <f>IF(AND(B6268='111'!$L$11,OR($N6268=$Q$7,$O6268=$Q$7)),"x","")</f>
        <v/>
      </c>
      <c r="R6268" s="79" t="str">
        <f>IF(AND($N6268=$Q$7,$B6268&lt;'111'!$L$11),"x","")</f>
        <v/>
      </c>
      <c r="S6268" s="79" t="str">
        <f>IF(AND($O6268=$Q$7,$B6268&lt;'111'!$L$11),"x","")</f>
        <v/>
      </c>
      <c r="T6268" s="79" t="str">
        <f>IF(ISERROR(FIND('112'!$M$9,G6268,1)),"",IF((AND(FIND('112'!$M$9,G6268,1)&gt;=1,B6268='112'!$K$9,OR($N6268='112'!$I$6,$O6268='112'!$I$6))),"x",""))</f>
        <v/>
      </c>
      <c r="U6268" s="79" t="str">
        <f>IF(ISERROR(FIND('112'!$M$9,G6268,1)),"",IF((AND(LEFT(G6268,2)=LEFT('112'!$M$9,2),B6268&lt;'112'!$K$9,$N6268='112'!$I$6)),"x",""))</f>
        <v/>
      </c>
      <c r="V6268" s="79" t="str">
        <f>IF(ISERROR(FIND('112'!$M$9,G6268,1)),"",IF((AND(RIGHT(G6268,2)=RIGHT('112'!$M$9,2),B6268&lt;'112'!$K$9,$O6268='112'!$I$6)),"x",""))</f>
        <v/>
      </c>
      <c r="W6268" s="79" t="str">
        <f>IF(AND('341-CT'!$H$9=H6268,OR(LEFT(N6268,3)=$W$7,LEFT(O6268,3)=$W$7)),"x","")</f>
        <v/>
      </c>
      <c r="X6268" s="79" t="str">
        <f>IF(OR(TH!N6268=TH!$X$7,O6268=TH!$X$7),"x","")</f>
        <v/>
      </c>
      <c r="Y6268" s="79" t="str">
        <f>IF(AND(OR(N6268="131",O6268="131"),H6268='131-CT'!$H$9),"x","")</f>
        <v/>
      </c>
      <c r="Z6268" s="79"/>
      <c r="AA6268" s="79" t="str">
        <f>IF(AND(MONTH(E6268)='IN-NX'!$J$5,'IN-NX'!$D$7=D6268),"x","")</f>
        <v/>
      </c>
      <c r="AB6268" s="79" t="str">
        <f>IF(AND(OR(LEFT(TH!N6268,2)="15",LEFT(TH!O6268,2)="15"),LEFT(TH!O6268,3)&lt;&gt;"111",'152-CT'!$J$8=TH!F6268),"x","")</f>
        <v/>
      </c>
      <c r="AC6268" s="79" t="str">
        <f>IF(AND(OR(LEFT(TH!N6268,2)="15",LEFT(TH!O6268,2)="15"),TK!$E$7=TH!F6268),"x","")</f>
        <v/>
      </c>
      <c r="AD6268" s="79" t="str">
        <f>IF(AND(N6268="1521",MONTH(C6268)='BK-NL'!$M$11),"x","")</f>
        <v/>
      </c>
    </row>
    <row r="6269" spans="1:30" ht="16.5" customHeight="1">
      <c r="A6269" s="318" t="str">
        <f>IF(B6269&lt;&gt;"",IF(AND(B6269='IN-TC'!$S$4,OR(TH!N6269="1111",TH!O6269="1111")),TH!D6269,""),"")</f>
        <v/>
      </c>
      <c r="B6269" s="60" t="str">
        <f t="shared" si="518"/>
        <v/>
      </c>
      <c r="C6269" s="61"/>
      <c r="D6269" s="61"/>
      <c r="E6269" s="61"/>
      <c r="F6269" s="69"/>
      <c r="G6269" s="766"/>
      <c r="H6269" s="321"/>
      <c r="I6269" s="385"/>
      <c r="J6269" s="392"/>
      <c r="K6269" s="385"/>
      <c r="L6269" s="392"/>
      <c r="M6269" s="62"/>
      <c r="N6269" s="63"/>
      <c r="O6269" s="63"/>
      <c r="P6269" s="79" t="str">
        <f>IF(AND('331-CT'!$E$7=TH!H6269,OR(N6269="331",O6269="331")),"x","")</f>
        <v/>
      </c>
      <c r="Q6269" s="79" t="str">
        <f>IF(AND(B6269='111'!$L$11,OR($N6269=$Q$7,$O6269=$Q$7)),"x","")</f>
        <v/>
      </c>
      <c r="R6269" s="79" t="str">
        <f>IF(AND($N6269=$Q$7,$B6269&lt;'111'!$L$11),"x","")</f>
        <v/>
      </c>
      <c r="S6269" s="79" t="str">
        <f>IF(AND($O6269=$Q$7,$B6269&lt;'111'!$L$11),"x","")</f>
        <v/>
      </c>
      <c r="T6269" s="79" t="str">
        <f>IF(ISERROR(FIND('112'!$M$9,G6269,1)),"",IF((AND(FIND('112'!$M$9,G6269,1)&gt;=1,B6269='112'!$K$9,OR($N6269='112'!$I$6,$O6269='112'!$I$6))),"x",""))</f>
        <v/>
      </c>
      <c r="U6269" s="79" t="str">
        <f>IF(ISERROR(FIND('112'!$M$9,G6269,1)),"",IF((AND(LEFT(G6269,2)=LEFT('112'!$M$9,2),B6269&lt;'112'!$K$9,$N6269='112'!$I$6)),"x",""))</f>
        <v/>
      </c>
      <c r="V6269" s="79" t="str">
        <f>IF(ISERROR(FIND('112'!$M$9,G6269,1)),"",IF((AND(RIGHT(G6269,2)=RIGHT('112'!$M$9,2),B6269&lt;'112'!$K$9,$O6269='112'!$I$6)),"x",""))</f>
        <v/>
      </c>
      <c r="W6269" s="79" t="str">
        <f>IF(AND('341-CT'!$H$9=H6269,OR(LEFT(N6269,3)=$W$7,LEFT(O6269,3)=$W$7)),"x","")</f>
        <v/>
      </c>
      <c r="X6269" s="79" t="str">
        <f>IF(OR(TH!N6269=TH!$X$7,O6269=TH!$X$7),"x","")</f>
        <v/>
      </c>
      <c r="Y6269" s="79" t="str">
        <f>IF(AND(OR(N6269="131",O6269="131"),H6269='131-CT'!$H$9),"x","")</f>
        <v/>
      </c>
      <c r="Z6269" s="79"/>
      <c r="AA6269" s="79" t="str">
        <f>IF(AND(MONTH(E6269)='IN-NX'!$J$5,'IN-NX'!$D$7=D6269),"x","")</f>
        <v/>
      </c>
      <c r="AB6269" s="79" t="str">
        <f>IF(AND(OR(LEFT(TH!N6269,2)="15",LEFT(TH!O6269,2)="15"),LEFT(TH!O6269,3)&lt;&gt;"111",'152-CT'!$J$8=TH!F6269),"x","")</f>
        <v/>
      </c>
      <c r="AC6269" s="79" t="str">
        <f>IF(AND(OR(LEFT(TH!N6269,2)="15",LEFT(TH!O6269,2)="15"),TK!$E$7=TH!F6269),"x","")</f>
        <v/>
      </c>
      <c r="AD6269" s="79" t="str">
        <f>IF(AND(N6269="1521",MONTH(C6269)='BK-NL'!$M$11),"x","")</f>
        <v/>
      </c>
    </row>
    <row r="6270" spans="1:30" ht="16.5" customHeight="1">
      <c r="A6270" s="318" t="str">
        <f>IF(B6270&lt;&gt;"",IF(AND(B6270='IN-TC'!$S$4,OR(TH!N6270="1111",TH!O6270="1111")),TH!D6270,""),"")</f>
        <v/>
      </c>
      <c r="B6270" s="60" t="str">
        <f t="shared" si="518"/>
        <v/>
      </c>
      <c r="C6270" s="61"/>
      <c r="D6270" s="61"/>
      <c r="E6270" s="61"/>
      <c r="F6270" s="69"/>
      <c r="G6270" s="766"/>
      <c r="H6270" s="303"/>
      <c r="I6270" s="385"/>
      <c r="J6270" s="392"/>
      <c r="K6270" s="385"/>
      <c r="L6270" s="392"/>
      <c r="M6270" s="62"/>
      <c r="N6270" s="304"/>
      <c r="O6270" s="63"/>
      <c r="P6270" s="79" t="str">
        <f>IF(AND('331-CT'!$E$7=TH!H6270,OR(N6270="331",O6270="331")),"x","")</f>
        <v/>
      </c>
      <c r="Q6270" s="79" t="str">
        <f>IF(AND(B6270='111'!$L$11,OR($N6270=$Q$7,$O6270=$Q$7)),"x","")</f>
        <v/>
      </c>
      <c r="R6270" s="79" t="str">
        <f>IF(AND($N6270=$Q$7,$B6270&lt;'111'!$L$11),"x","")</f>
        <v/>
      </c>
      <c r="S6270" s="79" t="str">
        <f>IF(AND($O6270=$Q$7,$B6270&lt;'111'!$L$11),"x","")</f>
        <v/>
      </c>
      <c r="T6270" s="79" t="str">
        <f>IF(ISERROR(FIND('112'!$M$9,G6270,1)),"",IF((AND(FIND('112'!$M$9,G6270,1)&gt;=1,B6270='112'!$K$9,OR($N6270='112'!$I$6,$O6270='112'!$I$6))),"x",""))</f>
        <v/>
      </c>
      <c r="U6270" s="79" t="str">
        <f>IF(ISERROR(FIND('112'!$M$9,G6270,1)),"",IF((AND(LEFT(G6270,2)=LEFT('112'!$M$9,2),B6270&lt;'112'!$K$9,$N6270='112'!$I$6)),"x",""))</f>
        <v/>
      </c>
      <c r="V6270" s="79" t="str">
        <f>IF(ISERROR(FIND('112'!$M$9,G6270,1)),"",IF((AND(RIGHT(G6270,2)=RIGHT('112'!$M$9,2),B6270&lt;'112'!$K$9,$O6270='112'!$I$6)),"x",""))</f>
        <v/>
      </c>
      <c r="W6270" s="79" t="str">
        <f>IF(AND('341-CT'!$H$9=H6270,OR(LEFT(N6270,3)=$W$7,LEFT(O6270,3)=$W$7)),"x","")</f>
        <v/>
      </c>
      <c r="X6270" s="79" t="str">
        <f>IF(OR(TH!N6270=TH!$X$7,O6270=TH!$X$7),"x","")</f>
        <v/>
      </c>
      <c r="Y6270" s="79" t="str">
        <f>IF(AND(OR(N6270="131",O6270="131"),H6270='131-CT'!$H$9),"x","")</f>
        <v/>
      </c>
      <c r="Z6270" s="79"/>
      <c r="AA6270" s="79" t="str">
        <f>IF(AND(MONTH(E6270)='IN-NX'!$J$5,'IN-NX'!$D$7=D6270),"x","")</f>
        <v/>
      </c>
      <c r="AB6270" s="79" t="str">
        <f>IF(AND(OR(LEFT(TH!N6270,2)="15",LEFT(TH!O6270,2)="15"),LEFT(TH!O6270,3)&lt;&gt;"111",'152-CT'!$J$8=TH!F6270),"x","")</f>
        <v/>
      </c>
      <c r="AC6270" s="79" t="str">
        <f>IF(AND(OR(LEFT(TH!N6270,2)="15",LEFT(TH!O6270,2)="15"),TK!$E$7=TH!F6270),"x","")</f>
        <v/>
      </c>
      <c r="AD6270" s="79" t="str">
        <f>IF(AND(N6270="1521",MONTH(C6270)='BK-NL'!$M$11),"x","")</f>
        <v/>
      </c>
    </row>
    <row r="6271" spans="1:30" ht="16.5" customHeight="1">
      <c r="A6271" s="318" t="str">
        <f>IF(B6271&lt;&gt;"",IF(AND(B6271='IN-TC'!$S$4,OR(TH!N6271="1111",TH!O6271="1111")),TH!D6271,""),"")</f>
        <v/>
      </c>
      <c r="B6271" s="60" t="str">
        <f t="shared" si="518"/>
        <v/>
      </c>
      <c r="C6271" s="61"/>
      <c r="D6271" s="61"/>
      <c r="E6271" s="61"/>
      <c r="F6271" s="69"/>
      <c r="G6271" s="766"/>
      <c r="H6271" s="303"/>
      <c r="I6271" s="385"/>
      <c r="J6271" s="392"/>
      <c r="K6271" s="385"/>
      <c r="L6271" s="392"/>
      <c r="M6271" s="62"/>
      <c r="N6271" s="304"/>
      <c r="O6271" s="63"/>
      <c r="P6271" s="79" t="str">
        <f>IF(AND('331-CT'!$E$7=TH!H6271,OR(N6271="331",O6271="331")),"x","")</f>
        <v/>
      </c>
      <c r="Q6271" s="79" t="str">
        <f>IF(AND(B6271='111'!$L$11,OR($N6271=$Q$7,$O6271=$Q$7)),"x","")</f>
        <v/>
      </c>
      <c r="R6271" s="79" t="str">
        <f>IF(AND($N6271=$Q$7,$B6271&lt;'111'!$L$11),"x","")</f>
        <v/>
      </c>
      <c r="S6271" s="79" t="str">
        <f>IF(AND($O6271=$Q$7,$B6271&lt;'111'!$L$11),"x","")</f>
        <v/>
      </c>
      <c r="T6271" s="79" t="str">
        <f>IF(ISERROR(FIND('112'!$M$9,G6271,1)),"",IF((AND(FIND('112'!$M$9,G6271,1)&gt;=1,B6271='112'!$K$9,OR($N6271='112'!$I$6,$O6271='112'!$I$6))),"x",""))</f>
        <v/>
      </c>
      <c r="U6271" s="79" t="str">
        <f>IF(ISERROR(FIND('112'!$M$9,G6271,1)),"",IF((AND(LEFT(G6271,2)=LEFT('112'!$M$9,2),B6271&lt;'112'!$K$9,$N6271='112'!$I$6)),"x",""))</f>
        <v/>
      </c>
      <c r="V6271" s="79" t="str">
        <f>IF(ISERROR(FIND('112'!$M$9,G6271,1)),"",IF((AND(RIGHT(G6271,2)=RIGHT('112'!$M$9,2),B6271&lt;'112'!$K$9,$O6271='112'!$I$6)),"x",""))</f>
        <v/>
      </c>
      <c r="W6271" s="79" t="str">
        <f>IF(AND('341-CT'!$H$9=H6271,OR(LEFT(N6271,3)=$W$7,LEFT(O6271,3)=$W$7)),"x","")</f>
        <v/>
      </c>
      <c r="X6271" s="79" t="str">
        <f>IF(OR(TH!N6271=TH!$X$7,O6271=TH!$X$7),"x","")</f>
        <v/>
      </c>
      <c r="Y6271" s="79" t="str">
        <f>IF(AND(OR(N6271="131",O6271="131"),H6271='131-CT'!$H$9),"x","")</f>
        <v/>
      </c>
      <c r="Z6271" s="79"/>
      <c r="AA6271" s="79" t="str">
        <f>IF(AND(MONTH(E6271)='IN-NX'!$J$5,'IN-NX'!$D$7=D6271),"x","")</f>
        <v/>
      </c>
      <c r="AB6271" s="79" t="str">
        <f>IF(AND(OR(LEFT(TH!N6271,2)="15",LEFT(TH!O6271,2)="15"),LEFT(TH!O6271,3)&lt;&gt;"111",'152-CT'!$J$8=TH!F6271),"x","")</f>
        <v/>
      </c>
      <c r="AC6271" s="79" t="str">
        <f>IF(AND(OR(LEFT(TH!N6271,2)="15",LEFT(TH!O6271,2)="15"),TK!$E$7=TH!F6271),"x","")</f>
        <v/>
      </c>
      <c r="AD6271" s="79" t="str">
        <f>IF(AND(N6271="1521",MONTH(C6271)='BK-NL'!$M$11),"x","")</f>
        <v/>
      </c>
    </row>
    <row r="6272" spans="1:30" ht="16.5" customHeight="1">
      <c r="A6272" s="318" t="str">
        <f>IF(B6272&lt;&gt;"",IF(AND(B6272='IN-TC'!$S$4,OR(TH!N6272="1111",TH!O6272="1111")),TH!D6272,""),"")</f>
        <v/>
      </c>
      <c r="B6272" s="60" t="str">
        <f t="shared" si="518"/>
        <v/>
      </c>
      <c r="C6272" s="61"/>
      <c r="D6272" s="61"/>
      <c r="E6272" s="61"/>
      <c r="F6272" s="69"/>
      <c r="G6272" s="766"/>
      <c r="H6272" s="321"/>
      <c r="I6272" s="385"/>
      <c r="J6272" s="392"/>
      <c r="K6272" s="385"/>
      <c r="L6272" s="392"/>
      <c r="M6272" s="62"/>
      <c r="N6272" s="63"/>
      <c r="O6272" s="63"/>
      <c r="P6272" s="79" t="str">
        <f>IF(AND('331-CT'!$E$7=TH!H6272,OR(N6272="331",O6272="331")),"x","")</f>
        <v/>
      </c>
      <c r="Q6272" s="79" t="str">
        <f>IF(AND(B6272='111'!$L$11,OR($N6272=$Q$7,$O6272=$Q$7)),"x","")</f>
        <v/>
      </c>
      <c r="R6272" s="79" t="str">
        <f>IF(AND($N6272=$Q$7,$B6272&lt;'111'!$L$11),"x","")</f>
        <v/>
      </c>
      <c r="S6272" s="79" t="str">
        <f>IF(AND($O6272=$Q$7,$B6272&lt;'111'!$L$11),"x","")</f>
        <v/>
      </c>
      <c r="T6272" s="79" t="str">
        <f>IF(ISERROR(FIND('112'!$M$9,G6272,1)),"",IF((AND(FIND('112'!$M$9,G6272,1)&gt;=1,B6272='112'!$K$9,OR($N6272='112'!$I$6,$O6272='112'!$I$6))),"x",""))</f>
        <v/>
      </c>
      <c r="U6272" s="79" t="str">
        <f>IF(ISERROR(FIND('112'!$M$9,G6272,1)),"",IF((AND(LEFT(G6272,2)=LEFT('112'!$M$9,2),B6272&lt;'112'!$K$9,$N6272='112'!$I$6)),"x",""))</f>
        <v/>
      </c>
      <c r="V6272" s="79" t="str">
        <f>IF(ISERROR(FIND('112'!$M$9,G6272,1)),"",IF((AND(RIGHT(G6272,2)=RIGHT('112'!$M$9,2),B6272&lt;'112'!$K$9,$O6272='112'!$I$6)),"x",""))</f>
        <v/>
      </c>
      <c r="W6272" s="79" t="str">
        <f>IF(AND('341-CT'!$H$9=H6272,OR(LEFT(N6272,3)=$W$7,LEFT(O6272,3)=$W$7)),"x","")</f>
        <v/>
      </c>
      <c r="X6272" s="79" t="str">
        <f>IF(OR(TH!N6272=TH!$X$7,O6272=TH!$X$7),"x","")</f>
        <v/>
      </c>
      <c r="Y6272" s="79" t="str">
        <f>IF(AND(OR(N6272="131",O6272="131"),H6272='131-CT'!$H$9),"x","")</f>
        <v/>
      </c>
      <c r="Z6272" s="79"/>
      <c r="AA6272" s="79" t="str">
        <f>IF(AND(MONTH(E6272)='IN-NX'!$J$5,'IN-NX'!$D$7=D6272),"x","")</f>
        <v/>
      </c>
      <c r="AB6272" s="79" t="str">
        <f>IF(AND(OR(LEFT(TH!N6272,2)="15",LEFT(TH!O6272,2)="15"),LEFT(TH!O6272,3)&lt;&gt;"111",'152-CT'!$J$8=TH!F6272),"x","")</f>
        <v/>
      </c>
      <c r="AC6272" s="79" t="str">
        <f>IF(AND(OR(LEFT(TH!N6272,2)="15",LEFT(TH!O6272,2)="15"),TK!$E$7=TH!F6272),"x","")</f>
        <v/>
      </c>
      <c r="AD6272" s="79" t="str">
        <f>IF(AND(N6272="1521",MONTH(C6272)='BK-NL'!$M$11),"x","")</f>
        <v/>
      </c>
    </row>
    <row r="6273" spans="1:30" ht="16.5" customHeight="1">
      <c r="A6273" s="318" t="str">
        <f>IF(B6273&lt;&gt;"",IF(AND(B6273='IN-TC'!$S$4,OR(TH!N6273="1111",TH!O6273="1111")),TH!D6273,""),"")</f>
        <v/>
      </c>
      <c r="B6273" s="60" t="str">
        <f t="shared" si="518"/>
        <v/>
      </c>
      <c r="C6273" s="61"/>
      <c r="D6273" s="61"/>
      <c r="E6273" s="61"/>
      <c r="F6273" s="69"/>
      <c r="G6273" s="766"/>
      <c r="H6273" s="321"/>
      <c r="I6273" s="387"/>
      <c r="J6273" s="394"/>
      <c r="K6273" s="387"/>
      <c r="L6273" s="394"/>
      <c r="M6273" s="62"/>
      <c r="N6273" s="304"/>
      <c r="O6273" s="63"/>
      <c r="P6273" s="79" t="str">
        <f>IF(AND('331-CT'!$E$7=TH!H6273,OR(N6273="331",O6273="331")),"x","")</f>
        <v/>
      </c>
      <c r="Q6273" s="79" t="str">
        <f>IF(AND(B6273='111'!$L$11,OR($N6273=$Q$7,$O6273=$Q$7)),"x","")</f>
        <v/>
      </c>
      <c r="R6273" s="79" t="str">
        <f>IF(AND($N6273=$Q$7,$B6273&lt;'111'!$L$11),"x","")</f>
        <v/>
      </c>
      <c r="S6273" s="79" t="str">
        <f>IF(AND($O6273=$Q$7,$B6273&lt;'111'!$L$11),"x","")</f>
        <v/>
      </c>
      <c r="T6273" s="79" t="str">
        <f>IF(ISERROR(FIND('112'!$M$9,G6273,1)),"",IF((AND(FIND('112'!$M$9,G6273,1)&gt;=1,B6273='112'!$K$9,OR($N6273='112'!$I$6,$O6273='112'!$I$6))),"x",""))</f>
        <v/>
      </c>
      <c r="U6273" s="79" t="str">
        <f>IF(ISERROR(FIND('112'!$M$9,G6273,1)),"",IF((AND(LEFT(G6273,2)=LEFT('112'!$M$9,2),B6273&lt;'112'!$K$9,$N6273='112'!$I$6)),"x",""))</f>
        <v/>
      </c>
      <c r="V6273" s="79" t="str">
        <f>IF(ISERROR(FIND('112'!$M$9,G6273,1)),"",IF((AND(RIGHT(G6273,2)=RIGHT('112'!$M$9,2),B6273&lt;'112'!$K$9,$O6273='112'!$I$6)),"x",""))</f>
        <v/>
      </c>
      <c r="W6273" s="79" t="str">
        <f>IF(AND('341-CT'!$H$9=H6273,OR(LEFT(N6273,3)=$W$7,LEFT(O6273,3)=$W$7)),"x","")</f>
        <v/>
      </c>
      <c r="X6273" s="79" t="str">
        <f>IF(OR(TH!N6273=TH!$X$7,O6273=TH!$X$7),"x","")</f>
        <v/>
      </c>
      <c r="Y6273" s="79" t="str">
        <f>IF(AND(OR(N6273="131",O6273="131"),H6273='131-CT'!$H$9),"x","")</f>
        <v/>
      </c>
      <c r="Z6273" s="79"/>
      <c r="AA6273" s="79" t="str">
        <f>IF(AND(MONTH(E6273)='IN-NX'!$J$5,'IN-NX'!$D$7=D6273),"x","")</f>
        <v/>
      </c>
      <c r="AB6273" s="79" t="str">
        <f>IF(AND(OR(LEFT(TH!N6273,2)="15",LEFT(TH!O6273,2)="15"),LEFT(TH!O6273,3)&lt;&gt;"111",'152-CT'!$J$8=TH!F6273),"x","")</f>
        <v/>
      </c>
      <c r="AC6273" s="79" t="str">
        <f>IF(AND(OR(LEFT(TH!N6273,2)="15",LEFT(TH!O6273,2)="15"),TK!$E$7=TH!F6273),"x","")</f>
        <v/>
      </c>
      <c r="AD6273" s="79" t="str">
        <f>IF(AND(N6273="1521",MONTH(C6273)='BK-NL'!$M$11),"x","")</f>
        <v/>
      </c>
    </row>
    <row r="6274" spans="1:30" ht="16.5" customHeight="1">
      <c r="A6274" s="318" t="str">
        <f>IF(B6274&lt;&gt;"",IF(AND(B6274='IN-TC'!$S$4,OR(TH!N6274="1111",TH!O6274="1111")),TH!D6274,""),"")</f>
        <v/>
      </c>
      <c r="B6274" s="60" t="str">
        <f t="shared" si="518"/>
        <v/>
      </c>
      <c r="C6274" s="61"/>
      <c r="D6274" s="61"/>
      <c r="E6274" s="61"/>
      <c r="F6274" s="69"/>
      <c r="G6274" s="766"/>
      <c r="H6274" s="321"/>
      <c r="I6274" s="387"/>
      <c r="J6274" s="394"/>
      <c r="K6274" s="387"/>
      <c r="L6274" s="394"/>
      <c r="M6274" s="62"/>
      <c r="N6274" s="304"/>
      <c r="O6274" s="63"/>
      <c r="P6274" s="79" t="str">
        <f>IF(AND('331-CT'!$E$7=TH!H6274,OR(N6274="331",O6274="331")),"x","")</f>
        <v/>
      </c>
      <c r="Q6274" s="79" t="str">
        <f>IF(AND(B6274='111'!$L$11,OR($N6274=$Q$7,$O6274=$Q$7)),"x","")</f>
        <v/>
      </c>
      <c r="R6274" s="79" t="str">
        <f>IF(AND($N6274=$Q$7,$B6274&lt;'111'!$L$11),"x","")</f>
        <v/>
      </c>
      <c r="S6274" s="79" t="str">
        <f>IF(AND($O6274=$Q$7,$B6274&lt;'111'!$L$11),"x","")</f>
        <v/>
      </c>
      <c r="T6274" s="79" t="str">
        <f>IF(ISERROR(FIND('112'!$M$9,G6274,1)),"",IF((AND(FIND('112'!$M$9,G6274,1)&gt;=1,B6274='112'!$K$9,OR($N6274='112'!$I$6,$O6274='112'!$I$6))),"x",""))</f>
        <v/>
      </c>
      <c r="U6274" s="79" t="str">
        <f>IF(ISERROR(FIND('112'!$M$9,G6274,1)),"",IF((AND(LEFT(G6274,2)=LEFT('112'!$M$9,2),B6274&lt;'112'!$K$9,$N6274='112'!$I$6)),"x",""))</f>
        <v/>
      </c>
      <c r="V6274" s="79" t="str">
        <f>IF(ISERROR(FIND('112'!$M$9,G6274,1)),"",IF((AND(RIGHT(G6274,2)=RIGHT('112'!$M$9,2),B6274&lt;'112'!$K$9,$O6274='112'!$I$6)),"x",""))</f>
        <v/>
      </c>
      <c r="W6274" s="79" t="str">
        <f>IF(AND('341-CT'!$H$9=H6274,OR(LEFT(N6274,3)=$W$7,LEFT(O6274,3)=$W$7)),"x","")</f>
        <v/>
      </c>
      <c r="X6274" s="79" t="str">
        <f>IF(OR(TH!N6274=TH!$X$7,O6274=TH!$X$7),"x","")</f>
        <v/>
      </c>
      <c r="Y6274" s="79" t="str">
        <f>IF(AND(OR(N6274="131",O6274="131"),H6274='131-CT'!$H$9),"x","")</f>
        <v/>
      </c>
      <c r="Z6274" s="79"/>
      <c r="AA6274" s="79" t="str">
        <f>IF(AND(MONTH(E6274)='IN-NX'!$J$5,'IN-NX'!$D$7=D6274),"x","")</f>
        <v/>
      </c>
      <c r="AB6274" s="79" t="str">
        <f>IF(AND(OR(LEFT(TH!N6274,2)="15",LEFT(TH!O6274,2)="15"),LEFT(TH!O6274,3)&lt;&gt;"111",'152-CT'!$J$8=TH!F6274),"x","")</f>
        <v/>
      </c>
      <c r="AC6274" s="79" t="str">
        <f>IF(AND(OR(LEFT(TH!N6274,2)="15",LEFT(TH!O6274,2)="15"),TK!$E$7=TH!F6274),"x","")</f>
        <v/>
      </c>
      <c r="AD6274" s="79" t="str">
        <f>IF(AND(N6274="1521",MONTH(C6274)='BK-NL'!$M$11),"x","")</f>
        <v/>
      </c>
    </row>
    <row r="6275" spans="1:30" ht="16.5" customHeight="1">
      <c r="A6275" s="318" t="str">
        <f>IF(B6275&lt;&gt;"",IF(AND(B6275='IN-TC'!$S$4,OR(TH!N6275="1111",TH!O6275="1111")),TH!D6275,""),"")</f>
        <v/>
      </c>
      <c r="B6275" s="60" t="str">
        <f t="shared" ref="B6275:B6338" si="519">IF(C6275&lt;&gt;"",MONTH(C6275),"")</f>
        <v/>
      </c>
      <c r="C6275" s="61"/>
      <c r="D6275" s="61"/>
      <c r="E6275" s="61"/>
      <c r="F6275" s="69"/>
      <c r="G6275" s="766"/>
      <c r="H6275" s="72"/>
      <c r="I6275" s="385"/>
      <c r="J6275" s="392"/>
      <c r="K6275" s="385"/>
      <c r="L6275" s="392"/>
      <c r="M6275" s="62"/>
      <c r="N6275" s="63"/>
      <c r="O6275" s="63"/>
      <c r="P6275" s="79" t="str">
        <f>IF(AND('331-CT'!$E$7=TH!H6275,OR(N6275="331",O6275="331")),"x","")</f>
        <v/>
      </c>
      <c r="Q6275" s="79" t="str">
        <f>IF(AND(B6275='111'!$L$11,OR($N6275=$Q$7,$O6275=$Q$7)),"x","")</f>
        <v/>
      </c>
      <c r="R6275" s="79" t="str">
        <f>IF(AND($N6275=$Q$7,$B6275&lt;'111'!$L$11),"x","")</f>
        <v/>
      </c>
      <c r="S6275" s="79" t="str">
        <f>IF(AND($O6275=$Q$7,$B6275&lt;'111'!$L$11),"x","")</f>
        <v/>
      </c>
      <c r="T6275" s="79" t="str">
        <f>IF(ISERROR(FIND('112'!$M$9,G6275,1)),"",IF((AND(FIND('112'!$M$9,G6275,1)&gt;=1,B6275='112'!$K$9,OR($N6275='112'!$I$6,$O6275='112'!$I$6))),"x",""))</f>
        <v/>
      </c>
      <c r="U6275" s="79" t="str">
        <f>IF(ISERROR(FIND('112'!$M$9,G6275,1)),"",IF((AND(LEFT(G6275,2)=LEFT('112'!$M$9,2),B6275&lt;'112'!$K$9,$N6275='112'!$I$6)),"x",""))</f>
        <v/>
      </c>
      <c r="V6275" s="79" t="str">
        <f>IF(ISERROR(FIND('112'!$M$9,G6275,1)),"",IF((AND(RIGHT(G6275,2)=RIGHT('112'!$M$9,2),B6275&lt;'112'!$K$9,$O6275='112'!$I$6)),"x",""))</f>
        <v/>
      </c>
      <c r="W6275" s="79" t="str">
        <f>IF(AND('341-CT'!$H$9=H6275,OR(LEFT(N6275,3)=$W$7,LEFT(O6275,3)=$W$7)),"x","")</f>
        <v/>
      </c>
      <c r="X6275" s="79" t="str">
        <f>IF(OR(TH!N6275=TH!$X$7,O6275=TH!$X$7),"x","")</f>
        <v/>
      </c>
      <c r="Y6275" s="79" t="str">
        <f>IF(AND(OR(N6275="131",O6275="131"),H6275='131-CT'!$H$9),"x","")</f>
        <v/>
      </c>
      <c r="Z6275" s="79"/>
      <c r="AA6275" s="79" t="str">
        <f>IF(AND(MONTH(E6275)='IN-NX'!$J$5,'IN-NX'!$D$7=D6275),"x","")</f>
        <v/>
      </c>
      <c r="AB6275" s="79" t="str">
        <f>IF(AND(OR(LEFT(TH!N6275,2)="15",LEFT(TH!O6275,2)="15"),LEFT(TH!O6275,3)&lt;&gt;"111",'152-CT'!$J$8=TH!F6275),"x","")</f>
        <v/>
      </c>
      <c r="AC6275" s="79" t="str">
        <f>IF(AND(OR(LEFT(TH!N6275,2)="15",LEFT(TH!O6275,2)="15"),TK!$E$7=TH!F6275),"x","")</f>
        <v/>
      </c>
      <c r="AD6275" s="79" t="str">
        <f>IF(AND(N6275="1521",MONTH(C6275)='BK-NL'!$M$11),"x","")</f>
        <v/>
      </c>
    </row>
    <row r="6276" spans="1:30" ht="16.5" customHeight="1">
      <c r="A6276" s="318" t="str">
        <f>IF(B6276&lt;&gt;"",IF(AND(B6276='IN-TC'!$S$4,OR(TH!N6276="1111",TH!O6276="1111")),TH!D6276,""),"")</f>
        <v/>
      </c>
      <c r="B6276" s="60" t="str">
        <f t="shared" si="519"/>
        <v/>
      </c>
      <c r="C6276" s="61"/>
      <c r="D6276" s="61"/>
      <c r="E6276" s="61"/>
      <c r="F6276" s="69"/>
      <c r="G6276" s="766"/>
      <c r="H6276" s="303"/>
      <c r="I6276" s="385"/>
      <c r="J6276" s="392"/>
      <c r="K6276" s="385"/>
      <c r="L6276" s="392"/>
      <c r="M6276" s="62"/>
      <c r="N6276" s="304"/>
      <c r="O6276" s="63"/>
      <c r="P6276" s="79" t="str">
        <f>IF(AND('331-CT'!$E$7=TH!H6276,OR(N6276="331",O6276="331")),"x","")</f>
        <v/>
      </c>
      <c r="Q6276" s="79" t="str">
        <f>IF(AND(B6276='111'!$L$11,OR($N6276=$Q$7,$O6276=$Q$7)),"x","")</f>
        <v/>
      </c>
      <c r="R6276" s="79" t="str">
        <f>IF(AND($N6276=$Q$7,$B6276&lt;'111'!$L$11),"x","")</f>
        <v/>
      </c>
      <c r="S6276" s="79" t="str">
        <f>IF(AND($O6276=$Q$7,$B6276&lt;'111'!$L$11),"x","")</f>
        <v/>
      </c>
      <c r="T6276" s="79" t="str">
        <f>IF(ISERROR(FIND('112'!$M$9,G6276,1)),"",IF((AND(FIND('112'!$M$9,G6276,1)&gt;=1,B6276='112'!$K$9,OR($N6276='112'!$I$6,$O6276='112'!$I$6))),"x",""))</f>
        <v/>
      </c>
      <c r="U6276" s="79" t="str">
        <f>IF(ISERROR(FIND('112'!$M$9,G6276,1)),"",IF((AND(LEFT(G6276,2)=LEFT('112'!$M$9,2),B6276&lt;'112'!$K$9,$N6276='112'!$I$6)),"x",""))</f>
        <v/>
      </c>
      <c r="V6276" s="79" t="str">
        <f>IF(ISERROR(FIND('112'!$M$9,G6276,1)),"",IF((AND(RIGHT(G6276,2)=RIGHT('112'!$M$9,2),B6276&lt;'112'!$K$9,$O6276='112'!$I$6)),"x",""))</f>
        <v/>
      </c>
      <c r="W6276" s="79" t="str">
        <f>IF(AND('341-CT'!$H$9=H6276,OR(LEFT(N6276,3)=$W$7,LEFT(O6276,3)=$W$7)),"x","")</f>
        <v/>
      </c>
      <c r="X6276" s="79" t="str">
        <f>IF(OR(TH!N6276=TH!$X$7,O6276=TH!$X$7),"x","")</f>
        <v/>
      </c>
      <c r="Y6276" s="79" t="str">
        <f>IF(AND(OR(N6276="131",O6276="131"),H6276='131-CT'!$H$9),"x","")</f>
        <v/>
      </c>
      <c r="Z6276" s="79"/>
      <c r="AA6276" s="79" t="str">
        <f>IF(AND(MONTH(E6276)='IN-NX'!$J$5,'IN-NX'!$D$7=D6276),"x","")</f>
        <v/>
      </c>
      <c r="AB6276" s="79" t="str">
        <f>IF(AND(OR(LEFT(TH!N6276,2)="15",LEFT(TH!O6276,2)="15"),LEFT(TH!O6276,3)&lt;&gt;"111",'152-CT'!$J$8=TH!F6276),"x","")</f>
        <v/>
      </c>
      <c r="AC6276" s="79" t="str">
        <f>IF(AND(OR(LEFT(TH!N6276,2)="15",LEFT(TH!O6276,2)="15"),TK!$E$7=TH!F6276),"x","")</f>
        <v/>
      </c>
      <c r="AD6276" s="79" t="str">
        <f>IF(AND(N6276="1521",MONTH(C6276)='BK-NL'!$M$11),"x","")</f>
        <v/>
      </c>
    </row>
    <row r="6277" spans="1:30" ht="16.5" customHeight="1">
      <c r="A6277" s="318" t="str">
        <f>IF(B6277&lt;&gt;"",IF(AND(B6277='IN-TC'!$S$4,OR(TH!N6277="1111",TH!O6277="1111")),TH!D6277,""),"")</f>
        <v/>
      </c>
      <c r="B6277" s="60" t="str">
        <f t="shared" si="519"/>
        <v/>
      </c>
      <c r="C6277" s="61"/>
      <c r="D6277" s="61"/>
      <c r="E6277" s="61"/>
      <c r="F6277" s="69"/>
      <c r="G6277" s="766"/>
      <c r="H6277" s="303"/>
      <c r="I6277" s="385"/>
      <c r="J6277" s="392"/>
      <c r="K6277" s="385"/>
      <c r="L6277" s="392"/>
      <c r="M6277" s="62"/>
      <c r="N6277" s="304"/>
      <c r="O6277" s="63"/>
      <c r="P6277" s="79" t="str">
        <f>IF(AND('331-CT'!$E$7=TH!H6277,OR(N6277="331",O6277="331")),"x","")</f>
        <v/>
      </c>
      <c r="Q6277" s="79" t="str">
        <f>IF(AND(B6277='111'!$L$11,OR($N6277=$Q$7,$O6277=$Q$7)),"x","")</f>
        <v/>
      </c>
      <c r="R6277" s="79" t="str">
        <f>IF(AND($N6277=$Q$7,$B6277&lt;'111'!$L$11),"x","")</f>
        <v/>
      </c>
      <c r="S6277" s="79" t="str">
        <f>IF(AND($O6277=$Q$7,$B6277&lt;'111'!$L$11),"x","")</f>
        <v/>
      </c>
      <c r="T6277" s="79" t="str">
        <f>IF(ISERROR(FIND('112'!$M$9,G6277,1)),"",IF((AND(FIND('112'!$M$9,G6277,1)&gt;=1,B6277='112'!$K$9,OR($N6277='112'!$I$6,$O6277='112'!$I$6))),"x",""))</f>
        <v/>
      </c>
      <c r="U6277" s="79" t="str">
        <f>IF(ISERROR(FIND('112'!$M$9,G6277,1)),"",IF((AND(LEFT(G6277,2)=LEFT('112'!$M$9,2),B6277&lt;'112'!$K$9,$N6277='112'!$I$6)),"x",""))</f>
        <v/>
      </c>
      <c r="V6277" s="79" t="str">
        <f>IF(ISERROR(FIND('112'!$M$9,G6277,1)),"",IF((AND(RIGHT(G6277,2)=RIGHT('112'!$M$9,2),B6277&lt;'112'!$K$9,$O6277='112'!$I$6)),"x",""))</f>
        <v/>
      </c>
      <c r="W6277" s="79" t="str">
        <f>IF(AND('341-CT'!$H$9=H6277,OR(LEFT(N6277,3)=$W$7,LEFT(O6277,3)=$W$7)),"x","")</f>
        <v/>
      </c>
      <c r="X6277" s="79" t="str">
        <f>IF(OR(TH!N6277=TH!$X$7,O6277=TH!$X$7),"x","")</f>
        <v/>
      </c>
      <c r="Y6277" s="79" t="str">
        <f>IF(AND(OR(N6277="131",O6277="131"),H6277='131-CT'!$H$9),"x","")</f>
        <v/>
      </c>
      <c r="Z6277" s="79"/>
      <c r="AA6277" s="79" t="str">
        <f>IF(AND(MONTH(E6277)='IN-NX'!$J$5,'IN-NX'!$D$7=D6277),"x","")</f>
        <v/>
      </c>
      <c r="AB6277" s="79" t="str">
        <f>IF(AND(OR(LEFT(TH!N6277,2)="15",LEFT(TH!O6277,2)="15"),LEFT(TH!O6277,3)&lt;&gt;"111",'152-CT'!$J$8=TH!F6277),"x","")</f>
        <v/>
      </c>
      <c r="AC6277" s="79" t="str">
        <f>IF(AND(OR(LEFT(TH!N6277,2)="15",LEFT(TH!O6277,2)="15"),TK!$E$7=TH!F6277),"x","")</f>
        <v/>
      </c>
      <c r="AD6277" s="79" t="str">
        <f>IF(AND(N6277="1521",MONTH(C6277)='BK-NL'!$M$11),"x","")</f>
        <v/>
      </c>
    </row>
    <row r="6278" spans="1:30" ht="16.5" customHeight="1">
      <c r="A6278" s="318" t="str">
        <f>IF(B6278&lt;&gt;"",IF(AND(B6278='IN-TC'!$S$4,OR(TH!N6278="1111",TH!O6278="1111")),TH!D6278,""),"")</f>
        <v/>
      </c>
      <c r="B6278" s="60" t="str">
        <f t="shared" si="519"/>
        <v/>
      </c>
      <c r="C6278" s="61"/>
      <c r="D6278" s="61"/>
      <c r="E6278" s="61"/>
      <c r="F6278" s="69"/>
      <c r="G6278" s="766"/>
      <c r="H6278" s="69"/>
      <c r="I6278" s="385"/>
      <c r="J6278" s="392"/>
      <c r="K6278" s="385"/>
      <c r="L6278" s="392"/>
      <c r="M6278" s="62"/>
      <c r="N6278" s="63"/>
      <c r="O6278" s="63"/>
      <c r="P6278" s="79" t="str">
        <f>IF(AND('331-CT'!$E$7=TH!H6278,OR(N6278="331",O6278="331")),"x","")</f>
        <v/>
      </c>
      <c r="Q6278" s="79" t="str">
        <f>IF(AND(B6278='111'!$L$11,OR($N6278=$Q$7,$O6278=$Q$7)),"x","")</f>
        <v/>
      </c>
      <c r="R6278" s="79" t="str">
        <f>IF(AND($N6278=$Q$7,$B6278&lt;'111'!$L$11),"x","")</f>
        <v/>
      </c>
      <c r="S6278" s="79" t="str">
        <f>IF(AND($O6278=$Q$7,$B6278&lt;'111'!$L$11),"x","")</f>
        <v/>
      </c>
      <c r="T6278" s="79" t="str">
        <f>IF(ISERROR(FIND('112'!$M$9,G6278,1)),"",IF((AND(FIND('112'!$M$9,G6278,1)&gt;=1,B6278='112'!$K$9,OR($N6278='112'!$I$6,$O6278='112'!$I$6))),"x",""))</f>
        <v/>
      </c>
      <c r="U6278" s="79" t="str">
        <f>IF(ISERROR(FIND('112'!$M$9,G6278,1)),"",IF((AND(LEFT(G6278,2)=LEFT('112'!$M$9,2),B6278&lt;'112'!$K$9,$N6278='112'!$I$6)),"x",""))</f>
        <v/>
      </c>
      <c r="V6278" s="79" t="str">
        <f>IF(ISERROR(FIND('112'!$M$9,G6278,1)),"",IF((AND(RIGHT(G6278,2)=RIGHT('112'!$M$9,2),B6278&lt;'112'!$K$9,$O6278='112'!$I$6)),"x",""))</f>
        <v/>
      </c>
      <c r="W6278" s="79" t="str">
        <f>IF(AND('341-CT'!$H$9=H6278,OR(LEFT(N6278,3)=$W$7,LEFT(O6278,3)=$W$7)),"x","")</f>
        <v/>
      </c>
      <c r="X6278" s="79" t="str">
        <f>IF(OR(TH!N6278=TH!$X$7,O6278=TH!$X$7),"x","")</f>
        <v/>
      </c>
      <c r="Y6278" s="79" t="str">
        <f>IF(AND(OR(N6278="131",O6278="131"),H6278='131-CT'!$H$9),"x","")</f>
        <v/>
      </c>
      <c r="Z6278" s="79"/>
      <c r="AA6278" s="79" t="str">
        <f>IF(AND(MONTH(E6278)='IN-NX'!$J$5,'IN-NX'!$D$7=D6278),"x","")</f>
        <v/>
      </c>
      <c r="AB6278" s="79" t="str">
        <f>IF(AND(OR(LEFT(TH!N6278,2)="15",LEFT(TH!O6278,2)="15"),LEFT(TH!O6278,3)&lt;&gt;"111",'152-CT'!$J$8=TH!F6278),"x","")</f>
        <v/>
      </c>
      <c r="AC6278" s="79" t="str">
        <f>IF(AND(OR(LEFT(TH!N6278,2)="15",LEFT(TH!O6278,2)="15"),TK!$E$7=TH!F6278),"x","")</f>
        <v/>
      </c>
      <c r="AD6278" s="79" t="str">
        <f>IF(AND(N6278="1521",MONTH(C6278)='BK-NL'!$M$11),"x","")</f>
        <v/>
      </c>
    </row>
    <row r="6279" spans="1:30" ht="16.5" customHeight="1">
      <c r="A6279" s="318" t="str">
        <f>IF(B6279&lt;&gt;"",IF(AND(B6279='IN-TC'!$S$4,OR(TH!N6279="1111",TH!O6279="1111")),TH!D6279,""),"")</f>
        <v/>
      </c>
      <c r="B6279" s="60" t="str">
        <f t="shared" si="519"/>
        <v/>
      </c>
      <c r="C6279" s="61"/>
      <c r="D6279" s="61"/>
      <c r="E6279" s="61"/>
      <c r="F6279" s="69"/>
      <c r="G6279" s="766"/>
      <c r="H6279" s="303"/>
      <c r="I6279" s="385"/>
      <c r="J6279" s="392"/>
      <c r="K6279" s="385"/>
      <c r="L6279" s="392"/>
      <c r="M6279" s="62"/>
      <c r="N6279" s="304"/>
      <c r="O6279" s="63"/>
      <c r="P6279" s="79" t="str">
        <f>IF(AND('331-CT'!$E$7=TH!H6279,OR(N6279="331",O6279="331")),"x","")</f>
        <v/>
      </c>
      <c r="Q6279" s="79" t="str">
        <f>IF(AND(B6279='111'!$L$11,OR($N6279=$Q$7,$O6279=$Q$7)),"x","")</f>
        <v/>
      </c>
      <c r="R6279" s="79" t="str">
        <f>IF(AND($N6279=$Q$7,$B6279&lt;'111'!$L$11),"x","")</f>
        <v/>
      </c>
      <c r="S6279" s="79" t="str">
        <f>IF(AND($O6279=$Q$7,$B6279&lt;'111'!$L$11),"x","")</f>
        <v/>
      </c>
      <c r="T6279" s="79" t="str">
        <f>IF(ISERROR(FIND('112'!$M$9,G6279,1)),"",IF((AND(FIND('112'!$M$9,G6279,1)&gt;=1,B6279='112'!$K$9,OR($N6279='112'!$I$6,$O6279='112'!$I$6))),"x",""))</f>
        <v/>
      </c>
      <c r="U6279" s="79" t="str">
        <f>IF(ISERROR(FIND('112'!$M$9,G6279,1)),"",IF((AND(LEFT(G6279,2)=LEFT('112'!$M$9,2),B6279&lt;'112'!$K$9,$N6279='112'!$I$6)),"x",""))</f>
        <v/>
      </c>
      <c r="V6279" s="79" t="str">
        <f>IF(ISERROR(FIND('112'!$M$9,G6279,1)),"",IF((AND(RIGHT(G6279,2)=RIGHT('112'!$M$9,2),B6279&lt;'112'!$K$9,$O6279='112'!$I$6)),"x",""))</f>
        <v/>
      </c>
      <c r="W6279" s="79" t="str">
        <f>IF(AND('341-CT'!$H$9=H6279,OR(LEFT(N6279,3)=$W$7,LEFT(O6279,3)=$W$7)),"x","")</f>
        <v/>
      </c>
      <c r="X6279" s="79" t="str">
        <f>IF(OR(TH!N6279=TH!$X$7,O6279=TH!$X$7),"x","")</f>
        <v/>
      </c>
      <c r="Y6279" s="79" t="str">
        <f>IF(AND(OR(N6279="131",O6279="131"),H6279='131-CT'!$H$9),"x","")</f>
        <v/>
      </c>
      <c r="Z6279" s="79"/>
      <c r="AA6279" s="79" t="str">
        <f>IF(AND(MONTH(E6279)='IN-NX'!$J$5,'IN-NX'!$D$7=D6279),"x","")</f>
        <v/>
      </c>
      <c r="AB6279" s="79" t="str">
        <f>IF(AND(OR(LEFT(TH!N6279,2)="15",LEFT(TH!O6279,2)="15"),LEFT(TH!O6279,3)&lt;&gt;"111",'152-CT'!$J$8=TH!F6279),"x","")</f>
        <v/>
      </c>
      <c r="AC6279" s="79" t="str">
        <f>IF(AND(OR(LEFT(TH!N6279,2)="15",LEFT(TH!O6279,2)="15"),TK!$E$7=TH!F6279),"x","")</f>
        <v/>
      </c>
      <c r="AD6279" s="79" t="str">
        <f>IF(AND(N6279="1521",MONTH(C6279)='BK-NL'!$M$11),"x","")</f>
        <v/>
      </c>
    </row>
    <row r="6280" spans="1:30" ht="16.5" customHeight="1">
      <c r="A6280" s="318" t="str">
        <f>IF(B6280&lt;&gt;"",IF(AND(B6280='IN-TC'!$S$4,OR(TH!N6280="1111",TH!O6280="1111")),TH!D6280,""),"")</f>
        <v/>
      </c>
      <c r="B6280" s="60" t="str">
        <f t="shared" si="519"/>
        <v/>
      </c>
      <c r="C6280" s="61"/>
      <c r="D6280" s="61"/>
      <c r="E6280" s="61"/>
      <c r="F6280" s="69"/>
      <c r="G6280" s="766"/>
      <c r="H6280" s="303"/>
      <c r="I6280" s="385"/>
      <c r="J6280" s="392"/>
      <c r="K6280" s="385"/>
      <c r="L6280" s="392"/>
      <c r="M6280" s="62"/>
      <c r="N6280" s="304"/>
      <c r="O6280" s="63"/>
      <c r="P6280" s="79" t="str">
        <f>IF(AND('331-CT'!$E$7=TH!H6280,OR(N6280="331",O6280="331")),"x","")</f>
        <v/>
      </c>
      <c r="Q6280" s="79" t="str">
        <f>IF(AND(B6280='111'!$L$11,OR($N6280=$Q$7,$O6280=$Q$7)),"x","")</f>
        <v/>
      </c>
      <c r="R6280" s="79" t="str">
        <f>IF(AND($N6280=$Q$7,$B6280&lt;'111'!$L$11),"x","")</f>
        <v/>
      </c>
      <c r="S6280" s="79" t="str">
        <f>IF(AND($O6280=$Q$7,$B6280&lt;'111'!$L$11),"x","")</f>
        <v/>
      </c>
      <c r="T6280" s="79" t="str">
        <f>IF(ISERROR(FIND('112'!$M$9,G6280,1)),"",IF((AND(FIND('112'!$M$9,G6280,1)&gt;=1,B6280='112'!$K$9,OR($N6280='112'!$I$6,$O6280='112'!$I$6))),"x",""))</f>
        <v/>
      </c>
      <c r="U6280" s="79" t="str">
        <f>IF(ISERROR(FIND('112'!$M$9,G6280,1)),"",IF((AND(LEFT(G6280,2)=LEFT('112'!$M$9,2),B6280&lt;'112'!$K$9,$N6280='112'!$I$6)),"x",""))</f>
        <v/>
      </c>
      <c r="V6280" s="79" t="str">
        <f>IF(ISERROR(FIND('112'!$M$9,G6280,1)),"",IF((AND(RIGHT(G6280,2)=RIGHT('112'!$M$9,2),B6280&lt;'112'!$K$9,$O6280='112'!$I$6)),"x",""))</f>
        <v/>
      </c>
      <c r="W6280" s="79" t="str">
        <f>IF(AND('341-CT'!$H$9=H6280,OR(LEFT(N6280,3)=$W$7,LEFT(O6280,3)=$W$7)),"x","")</f>
        <v/>
      </c>
      <c r="X6280" s="79" t="str">
        <f>IF(OR(TH!N6280=TH!$X$7,O6280=TH!$X$7),"x","")</f>
        <v/>
      </c>
      <c r="Y6280" s="79" t="str">
        <f>IF(AND(OR(N6280="131",O6280="131"),H6280='131-CT'!$H$9),"x","")</f>
        <v/>
      </c>
      <c r="Z6280" s="79"/>
      <c r="AA6280" s="79" t="str">
        <f>IF(AND(MONTH(E6280)='IN-NX'!$J$5,'IN-NX'!$D$7=D6280),"x","")</f>
        <v/>
      </c>
      <c r="AB6280" s="79" t="str">
        <f>IF(AND(OR(LEFT(TH!N6280,2)="15",LEFT(TH!O6280,2)="15"),LEFT(TH!O6280,3)&lt;&gt;"111",'152-CT'!$J$8=TH!F6280),"x","")</f>
        <v/>
      </c>
      <c r="AC6280" s="79" t="str">
        <f>IF(AND(OR(LEFT(TH!N6280,2)="15",LEFT(TH!O6280,2)="15"),TK!$E$7=TH!F6280),"x","")</f>
        <v/>
      </c>
      <c r="AD6280" s="79" t="str">
        <f>IF(AND(N6280="1521",MONTH(C6280)='BK-NL'!$M$11),"x","")</f>
        <v/>
      </c>
    </row>
    <row r="6281" spans="1:30" ht="16.5" customHeight="1">
      <c r="A6281" s="318" t="str">
        <f>IF(B6281&lt;&gt;"",IF(AND(B6281='IN-TC'!$S$4,OR(TH!N6281="1111",TH!O6281="1111")),TH!D6281,""),"")</f>
        <v/>
      </c>
      <c r="B6281" s="60" t="str">
        <f t="shared" si="519"/>
        <v/>
      </c>
      <c r="C6281" s="61"/>
      <c r="D6281" s="61"/>
      <c r="E6281" s="61"/>
      <c r="F6281" s="69"/>
      <c r="G6281" s="766"/>
      <c r="H6281" s="321"/>
      <c r="I6281" s="385"/>
      <c r="J6281" s="392"/>
      <c r="K6281" s="385"/>
      <c r="L6281" s="392"/>
      <c r="M6281" s="62"/>
      <c r="N6281" s="63"/>
      <c r="O6281" s="63"/>
      <c r="P6281" s="79" t="str">
        <f>IF(AND('331-CT'!$E$7=TH!H6281,OR(N6281="331",O6281="331")),"x","")</f>
        <v/>
      </c>
      <c r="Q6281" s="79" t="str">
        <f>IF(AND(B6281='111'!$L$11,OR($N6281=$Q$7,$O6281=$Q$7)),"x","")</f>
        <v/>
      </c>
      <c r="R6281" s="79" t="str">
        <f>IF(AND($N6281=$Q$7,$B6281&lt;'111'!$L$11),"x","")</f>
        <v/>
      </c>
      <c r="S6281" s="79" t="str">
        <f>IF(AND($O6281=$Q$7,$B6281&lt;'111'!$L$11),"x","")</f>
        <v/>
      </c>
      <c r="T6281" s="79" t="str">
        <f>IF(ISERROR(FIND('112'!$M$9,G6281,1)),"",IF((AND(FIND('112'!$M$9,G6281,1)&gt;=1,B6281='112'!$K$9,OR($N6281='112'!$I$6,$O6281='112'!$I$6))),"x",""))</f>
        <v/>
      </c>
      <c r="U6281" s="79" t="str">
        <f>IF(ISERROR(FIND('112'!$M$9,G6281,1)),"",IF((AND(LEFT(G6281,2)=LEFT('112'!$M$9,2),B6281&lt;'112'!$K$9,$N6281='112'!$I$6)),"x",""))</f>
        <v/>
      </c>
      <c r="V6281" s="79" t="str">
        <f>IF(ISERROR(FIND('112'!$M$9,G6281,1)),"",IF((AND(RIGHT(G6281,2)=RIGHT('112'!$M$9,2),B6281&lt;'112'!$K$9,$O6281='112'!$I$6)),"x",""))</f>
        <v/>
      </c>
      <c r="W6281" s="79" t="str">
        <f>IF(AND('341-CT'!$H$9=H6281,OR(LEFT(N6281,3)=$W$7,LEFT(O6281,3)=$W$7)),"x","")</f>
        <v/>
      </c>
      <c r="X6281" s="79" t="str">
        <f>IF(OR(TH!N6281=TH!$X$7,O6281=TH!$X$7),"x","")</f>
        <v/>
      </c>
      <c r="Y6281" s="79" t="str">
        <f>IF(AND(OR(N6281="131",O6281="131"),H6281='131-CT'!$H$9),"x","")</f>
        <v/>
      </c>
      <c r="Z6281" s="79"/>
      <c r="AA6281" s="79" t="str">
        <f>IF(AND(MONTH(E6281)='IN-NX'!$J$5,'IN-NX'!$D$7=D6281),"x","")</f>
        <v/>
      </c>
      <c r="AB6281" s="79" t="str">
        <f>IF(AND(OR(LEFT(TH!N6281,2)="15",LEFT(TH!O6281,2)="15"),LEFT(TH!O6281,3)&lt;&gt;"111",'152-CT'!$J$8=TH!F6281),"x","")</f>
        <v/>
      </c>
      <c r="AC6281" s="79" t="str">
        <f>IF(AND(OR(LEFT(TH!N6281,2)="15",LEFT(TH!O6281,2)="15"),TK!$E$7=TH!F6281),"x","")</f>
        <v/>
      </c>
      <c r="AD6281" s="79" t="str">
        <f>IF(AND(N6281="1521",MONTH(C6281)='BK-NL'!$M$11),"x","")</f>
        <v/>
      </c>
    </row>
    <row r="6282" spans="1:30" ht="16.5" customHeight="1">
      <c r="A6282" s="318" t="str">
        <f>IF(B6282&lt;&gt;"",IF(AND(B6282='IN-TC'!$S$4,OR(TH!N6282="1111",TH!O6282="1111")),TH!D6282,""),"")</f>
        <v/>
      </c>
      <c r="B6282" s="60" t="str">
        <f t="shared" si="519"/>
        <v/>
      </c>
      <c r="C6282" s="61"/>
      <c r="D6282" s="61"/>
      <c r="E6282" s="61"/>
      <c r="F6282" s="69"/>
      <c r="G6282" s="766"/>
      <c r="H6282" s="69"/>
      <c r="I6282" s="385"/>
      <c r="J6282" s="392"/>
      <c r="K6282" s="385"/>
      <c r="L6282" s="392"/>
      <c r="M6282" s="62"/>
      <c r="N6282" s="304"/>
      <c r="O6282" s="63"/>
      <c r="P6282" s="79" t="str">
        <f>IF(AND('331-CT'!$E$7=TH!H6282,OR(N6282="331",O6282="331")),"x","")</f>
        <v/>
      </c>
      <c r="Q6282" s="79" t="str">
        <f>IF(AND(B6282='111'!$L$11,OR($N6282=$Q$7,$O6282=$Q$7)),"x","")</f>
        <v/>
      </c>
      <c r="R6282" s="79" t="str">
        <f>IF(AND($N6282=$Q$7,$B6282&lt;'111'!$L$11),"x","")</f>
        <v/>
      </c>
      <c r="S6282" s="79" t="str">
        <f>IF(AND($O6282=$Q$7,$B6282&lt;'111'!$L$11),"x","")</f>
        <v/>
      </c>
      <c r="T6282" s="79" t="str">
        <f>IF(ISERROR(FIND('112'!$M$9,G6282,1)),"",IF((AND(FIND('112'!$M$9,G6282,1)&gt;=1,B6282='112'!$K$9,OR($N6282='112'!$I$6,$O6282='112'!$I$6))),"x",""))</f>
        <v/>
      </c>
      <c r="U6282" s="79" t="str">
        <f>IF(ISERROR(FIND('112'!$M$9,G6282,1)),"",IF((AND(LEFT(G6282,2)=LEFT('112'!$M$9,2),B6282&lt;'112'!$K$9,$N6282='112'!$I$6)),"x",""))</f>
        <v/>
      </c>
      <c r="V6282" s="79" t="str">
        <f>IF(ISERROR(FIND('112'!$M$9,G6282,1)),"",IF((AND(RIGHT(G6282,2)=RIGHT('112'!$M$9,2),B6282&lt;'112'!$K$9,$O6282='112'!$I$6)),"x",""))</f>
        <v/>
      </c>
      <c r="W6282" s="79" t="str">
        <f>IF(AND('341-CT'!$H$9=H6282,OR(LEFT(N6282,3)=$W$7,LEFT(O6282,3)=$W$7)),"x","")</f>
        <v/>
      </c>
      <c r="X6282" s="79" t="str">
        <f>IF(OR(TH!N6282=TH!$X$7,O6282=TH!$X$7),"x","")</f>
        <v/>
      </c>
      <c r="Y6282" s="79" t="str">
        <f>IF(AND(OR(N6282="131",O6282="131"),H6282='131-CT'!$H$9),"x","")</f>
        <v/>
      </c>
      <c r="Z6282" s="79"/>
      <c r="AA6282" s="79" t="str">
        <f>IF(AND(MONTH(E6282)='IN-NX'!$J$5,'IN-NX'!$D$7=D6282),"x","")</f>
        <v/>
      </c>
      <c r="AB6282" s="79" t="str">
        <f>IF(AND(OR(LEFT(TH!N6282,2)="15",LEFT(TH!O6282,2)="15"),LEFT(TH!O6282,3)&lt;&gt;"111",'152-CT'!$J$8=TH!F6282),"x","")</f>
        <v/>
      </c>
      <c r="AC6282" s="79" t="str">
        <f>IF(AND(OR(LEFT(TH!N6282,2)="15",LEFT(TH!O6282,2)="15"),TK!$E$7=TH!F6282),"x","")</f>
        <v/>
      </c>
      <c r="AD6282" s="79" t="str">
        <f>IF(AND(N6282="1521",MONTH(C6282)='BK-NL'!$M$11),"x","")</f>
        <v/>
      </c>
    </row>
    <row r="6283" spans="1:30" ht="16.5" customHeight="1">
      <c r="A6283" s="318" t="str">
        <f>IF(B6283&lt;&gt;"",IF(AND(B6283='IN-TC'!$S$4,OR(TH!N6283="1111",TH!O6283="1111")),TH!D6283,""),"")</f>
        <v/>
      </c>
      <c r="B6283" s="60" t="str">
        <f t="shared" si="519"/>
        <v/>
      </c>
      <c r="C6283" s="61"/>
      <c r="D6283" s="61"/>
      <c r="E6283" s="61"/>
      <c r="F6283" s="69"/>
      <c r="G6283" s="766"/>
      <c r="H6283" s="69"/>
      <c r="I6283" s="385"/>
      <c r="J6283" s="392"/>
      <c r="K6283" s="385"/>
      <c r="L6283" s="392"/>
      <c r="M6283" s="62"/>
      <c r="N6283" s="304"/>
      <c r="O6283" s="63"/>
      <c r="P6283" s="79" t="str">
        <f>IF(AND('331-CT'!$E$7=TH!H6283,OR(N6283="331",O6283="331")),"x","")</f>
        <v/>
      </c>
      <c r="Q6283" s="79" t="str">
        <f>IF(AND(B6283='111'!$L$11,OR($N6283=$Q$7,$O6283=$Q$7)),"x","")</f>
        <v/>
      </c>
      <c r="R6283" s="79" t="str">
        <f>IF(AND($N6283=$Q$7,$B6283&lt;'111'!$L$11),"x","")</f>
        <v/>
      </c>
      <c r="S6283" s="79" t="str">
        <f>IF(AND($O6283=$Q$7,$B6283&lt;'111'!$L$11),"x","")</f>
        <v/>
      </c>
      <c r="T6283" s="79" t="str">
        <f>IF(ISERROR(FIND('112'!$M$9,G6283,1)),"",IF((AND(FIND('112'!$M$9,G6283,1)&gt;=1,B6283='112'!$K$9,OR($N6283='112'!$I$6,$O6283='112'!$I$6))),"x",""))</f>
        <v/>
      </c>
      <c r="U6283" s="79" t="str">
        <f>IF(ISERROR(FIND('112'!$M$9,G6283,1)),"",IF((AND(LEFT(G6283,2)=LEFT('112'!$M$9,2),B6283&lt;'112'!$K$9,$N6283='112'!$I$6)),"x",""))</f>
        <v/>
      </c>
      <c r="V6283" s="79" t="str">
        <f>IF(ISERROR(FIND('112'!$M$9,G6283,1)),"",IF((AND(RIGHT(G6283,2)=RIGHT('112'!$M$9,2),B6283&lt;'112'!$K$9,$O6283='112'!$I$6)),"x",""))</f>
        <v/>
      </c>
      <c r="W6283" s="79" t="str">
        <f>IF(AND('341-CT'!$H$9=H6283,OR(LEFT(N6283,3)=$W$7,LEFT(O6283,3)=$W$7)),"x","")</f>
        <v/>
      </c>
      <c r="X6283" s="79" t="str">
        <f>IF(OR(TH!N6283=TH!$X$7,O6283=TH!$X$7),"x","")</f>
        <v/>
      </c>
      <c r="Y6283" s="79" t="str">
        <f>IF(AND(OR(N6283="131",O6283="131"),H6283='131-CT'!$H$9),"x","")</f>
        <v/>
      </c>
      <c r="Z6283" s="79"/>
      <c r="AA6283" s="79" t="str">
        <f>IF(AND(MONTH(E6283)='IN-NX'!$J$5,'IN-NX'!$D$7=D6283),"x","")</f>
        <v/>
      </c>
      <c r="AB6283" s="79" t="str">
        <f>IF(AND(OR(LEFT(TH!N6283,2)="15",LEFT(TH!O6283,2)="15"),LEFT(TH!O6283,3)&lt;&gt;"111",'152-CT'!$J$8=TH!F6283),"x","")</f>
        <v/>
      </c>
      <c r="AC6283" s="79" t="str">
        <f>IF(AND(OR(LEFT(TH!N6283,2)="15",LEFT(TH!O6283,2)="15"),TK!$E$7=TH!F6283),"x","")</f>
        <v/>
      </c>
      <c r="AD6283" s="79" t="str">
        <f>IF(AND(N6283="1521",MONTH(C6283)='BK-NL'!$M$11),"x","")</f>
        <v/>
      </c>
    </row>
    <row r="6284" spans="1:30" ht="16.5" customHeight="1">
      <c r="A6284" s="318" t="str">
        <f>IF(B6284&lt;&gt;"",IF(AND(B6284='IN-TC'!$S$4,OR(TH!N6284="1111",TH!O6284="1111")),TH!D6284,""),"")</f>
        <v/>
      </c>
      <c r="B6284" s="60" t="str">
        <f t="shared" si="519"/>
        <v/>
      </c>
      <c r="C6284" s="61"/>
      <c r="D6284" s="61"/>
      <c r="E6284" s="61"/>
      <c r="F6284" s="69"/>
      <c r="G6284" s="766"/>
      <c r="H6284" s="303"/>
      <c r="I6284" s="385"/>
      <c r="J6284" s="392"/>
      <c r="K6284" s="385"/>
      <c r="L6284" s="392"/>
      <c r="M6284" s="62"/>
      <c r="N6284" s="63"/>
      <c r="O6284" s="63"/>
      <c r="P6284" s="79" t="str">
        <f>IF(AND('331-CT'!$E$7=TH!H6284,OR(N6284="331",O6284="331")),"x","")</f>
        <v/>
      </c>
      <c r="Q6284" s="79" t="str">
        <f>IF(AND(B6284='111'!$L$11,OR($N6284=$Q$7,$O6284=$Q$7)),"x","")</f>
        <v/>
      </c>
      <c r="R6284" s="79" t="str">
        <f>IF(AND($N6284=$Q$7,$B6284&lt;'111'!$L$11),"x","")</f>
        <v/>
      </c>
      <c r="S6284" s="79" t="str">
        <f>IF(AND($O6284=$Q$7,$B6284&lt;'111'!$L$11),"x","")</f>
        <v/>
      </c>
      <c r="T6284" s="79" t="str">
        <f>IF(ISERROR(FIND('112'!$M$9,G6284,1)),"",IF((AND(FIND('112'!$M$9,G6284,1)&gt;=1,B6284='112'!$K$9,OR($N6284='112'!$I$6,$O6284='112'!$I$6))),"x",""))</f>
        <v/>
      </c>
      <c r="U6284" s="79" t="str">
        <f>IF(ISERROR(FIND('112'!$M$9,G6284,1)),"",IF((AND(LEFT(G6284,2)=LEFT('112'!$M$9,2),B6284&lt;'112'!$K$9,$N6284='112'!$I$6)),"x",""))</f>
        <v/>
      </c>
      <c r="V6284" s="79" t="str">
        <f>IF(ISERROR(FIND('112'!$M$9,G6284,1)),"",IF((AND(RIGHT(G6284,2)=RIGHT('112'!$M$9,2),B6284&lt;'112'!$K$9,$O6284='112'!$I$6)),"x",""))</f>
        <v/>
      </c>
      <c r="W6284" s="79" t="str">
        <f>IF(AND('341-CT'!$H$9=H6284,OR(LEFT(N6284,3)=$W$7,LEFT(O6284,3)=$W$7)),"x","")</f>
        <v/>
      </c>
      <c r="X6284" s="79" t="str">
        <f>IF(OR(TH!N6284=TH!$X$7,O6284=TH!$X$7),"x","")</f>
        <v/>
      </c>
      <c r="Y6284" s="79" t="str">
        <f>IF(AND(OR(N6284="131",O6284="131"),H6284='131-CT'!$H$9),"x","")</f>
        <v/>
      </c>
      <c r="Z6284" s="79"/>
      <c r="AA6284" s="79" t="str">
        <f>IF(AND(MONTH(E6284)='IN-NX'!$J$5,'IN-NX'!$D$7=D6284),"x","")</f>
        <v/>
      </c>
      <c r="AB6284" s="79" t="str">
        <f>IF(AND(OR(LEFT(TH!N6284,2)="15",LEFT(TH!O6284,2)="15"),LEFT(TH!O6284,3)&lt;&gt;"111",'152-CT'!$J$8=TH!F6284),"x","")</f>
        <v/>
      </c>
      <c r="AC6284" s="79" t="str">
        <f>IF(AND(OR(LEFT(TH!N6284,2)="15",LEFT(TH!O6284,2)="15"),TK!$E$7=TH!F6284),"x","")</f>
        <v/>
      </c>
      <c r="AD6284" s="79" t="str">
        <f>IF(AND(N6284="1521",MONTH(C6284)='BK-NL'!$M$11),"x","")</f>
        <v/>
      </c>
    </row>
    <row r="6285" spans="1:30" ht="16.5" customHeight="1">
      <c r="A6285" s="318" t="str">
        <f>IF(B6285&lt;&gt;"",IF(AND(B6285='IN-TC'!$S$4,OR(TH!N6285="1111",TH!O6285="1111")),TH!D6285,""),"")</f>
        <v/>
      </c>
      <c r="B6285" s="60" t="str">
        <f t="shared" si="519"/>
        <v/>
      </c>
      <c r="C6285" s="61"/>
      <c r="D6285" s="61"/>
      <c r="E6285" s="61"/>
      <c r="F6285" s="69"/>
      <c r="G6285" s="766"/>
      <c r="H6285" s="925"/>
      <c r="I6285" s="385"/>
      <c r="J6285" s="392"/>
      <c r="K6285" s="385"/>
      <c r="L6285" s="392"/>
      <c r="M6285" s="62"/>
      <c r="N6285" s="63"/>
      <c r="O6285" s="63"/>
      <c r="P6285" s="79" t="str">
        <f>IF(AND('331-CT'!$E$7=TH!H6285,OR(N6285="331",O6285="331")),"x","")</f>
        <v/>
      </c>
      <c r="Q6285" s="79" t="str">
        <f>IF(AND(B6285='111'!$L$11,OR($N6285=$Q$7,$O6285=$Q$7)),"x","")</f>
        <v/>
      </c>
      <c r="R6285" s="79" t="str">
        <f>IF(AND($N6285=$Q$7,$B6285&lt;'111'!$L$11),"x","")</f>
        <v/>
      </c>
      <c r="S6285" s="79" t="str">
        <f>IF(AND($O6285=$Q$7,$B6285&lt;'111'!$L$11),"x","")</f>
        <v/>
      </c>
      <c r="T6285" s="79" t="str">
        <f>IF(ISERROR(FIND('112'!$M$9,G6285,1)),"",IF((AND(FIND('112'!$M$9,G6285,1)&gt;=1,B6285='112'!$K$9,OR($N6285='112'!$I$6,$O6285='112'!$I$6))),"x",""))</f>
        <v/>
      </c>
      <c r="U6285" s="79" t="str">
        <f>IF(ISERROR(FIND('112'!$M$9,G6285,1)),"",IF((AND(LEFT(G6285,2)=LEFT('112'!$M$9,2),B6285&lt;'112'!$K$9,$N6285='112'!$I$6)),"x",""))</f>
        <v/>
      </c>
      <c r="V6285" s="79" t="str">
        <f>IF(ISERROR(FIND('112'!$M$9,G6285,1)),"",IF((AND(RIGHT(G6285,2)=RIGHT('112'!$M$9,2),B6285&lt;'112'!$K$9,$O6285='112'!$I$6)),"x",""))</f>
        <v/>
      </c>
      <c r="W6285" s="79" t="str">
        <f>IF(AND('341-CT'!$H$9=H6285,OR(LEFT(N6285,3)=$W$7,LEFT(O6285,3)=$W$7)),"x","")</f>
        <v/>
      </c>
      <c r="X6285" s="79" t="str">
        <f>IF(OR(TH!N6285=TH!$X$7,O6285=TH!$X$7),"x","")</f>
        <v/>
      </c>
      <c r="Y6285" s="79" t="str">
        <f>IF(AND(OR(N6285="131",O6285="131"),H6285='131-CT'!$H$9),"x","")</f>
        <v/>
      </c>
      <c r="Z6285" s="79"/>
      <c r="AA6285" s="79" t="str">
        <f>IF(AND(MONTH(E6285)='IN-NX'!$J$5,'IN-NX'!$D$7=D6285),"x","")</f>
        <v/>
      </c>
      <c r="AB6285" s="79" t="str">
        <f>IF(AND(OR(LEFT(TH!N6285,2)="15",LEFT(TH!O6285,2)="15"),LEFT(TH!O6285,3)&lt;&gt;"111",'152-CT'!$J$8=TH!F6285),"x","")</f>
        <v/>
      </c>
      <c r="AC6285" s="79" t="str">
        <f>IF(AND(OR(LEFT(TH!N6285,2)="15",LEFT(TH!O6285,2)="15"),TK!$E$7=TH!F6285),"x","")</f>
        <v/>
      </c>
      <c r="AD6285" s="79" t="str">
        <f>IF(AND(N6285="1521",MONTH(C6285)='BK-NL'!$M$11),"x","")</f>
        <v/>
      </c>
    </row>
    <row r="6286" spans="1:30" ht="16.5" customHeight="1">
      <c r="A6286" s="318" t="str">
        <f>IF(B6286&lt;&gt;"",IF(AND(B6286='IN-TC'!$S$4,OR(TH!N6286="1111",TH!O6286="1111")),TH!D6286,""),"")</f>
        <v/>
      </c>
      <c r="B6286" s="60" t="str">
        <f t="shared" si="519"/>
        <v/>
      </c>
      <c r="C6286" s="61"/>
      <c r="D6286" s="61"/>
      <c r="E6286" s="61"/>
      <c r="F6286" s="69"/>
      <c r="G6286" s="766"/>
      <c r="H6286" s="925"/>
      <c r="I6286" s="385"/>
      <c r="J6286" s="392"/>
      <c r="K6286" s="385"/>
      <c r="L6286" s="392"/>
      <c r="M6286" s="62"/>
      <c r="N6286" s="304"/>
      <c r="O6286" s="63"/>
      <c r="P6286" s="79" t="str">
        <f>IF(AND('331-CT'!$E$7=TH!H6286,OR(N6286="331",O6286="331")),"x","")</f>
        <v/>
      </c>
      <c r="Q6286" s="79" t="str">
        <f>IF(AND(B6286='111'!$L$11,OR($N6286=$Q$7,$O6286=$Q$7)),"x","")</f>
        <v/>
      </c>
      <c r="R6286" s="79" t="str">
        <f>IF(AND($N6286=$Q$7,$B6286&lt;'111'!$L$11),"x","")</f>
        <v/>
      </c>
      <c r="S6286" s="79" t="str">
        <f>IF(AND($O6286=$Q$7,$B6286&lt;'111'!$L$11),"x","")</f>
        <v/>
      </c>
      <c r="T6286" s="79" t="str">
        <f>IF(ISERROR(FIND('112'!$M$9,G6286,1)),"",IF((AND(FIND('112'!$M$9,G6286,1)&gt;=1,B6286='112'!$K$9,OR($N6286='112'!$I$6,$O6286='112'!$I$6))),"x",""))</f>
        <v/>
      </c>
      <c r="U6286" s="79" t="str">
        <f>IF(ISERROR(FIND('112'!$M$9,G6286,1)),"",IF((AND(LEFT(G6286,2)=LEFT('112'!$M$9,2),B6286&lt;'112'!$K$9,$N6286='112'!$I$6)),"x",""))</f>
        <v/>
      </c>
      <c r="V6286" s="79" t="str">
        <f>IF(ISERROR(FIND('112'!$M$9,G6286,1)),"",IF((AND(RIGHT(G6286,2)=RIGHT('112'!$M$9,2),B6286&lt;'112'!$K$9,$O6286='112'!$I$6)),"x",""))</f>
        <v/>
      </c>
      <c r="W6286" s="79" t="str">
        <f>IF(AND('341-CT'!$H$9=H6286,OR(LEFT(N6286,3)=$W$7,LEFT(O6286,3)=$W$7)),"x","")</f>
        <v/>
      </c>
      <c r="X6286" s="79" t="str">
        <f>IF(OR(TH!N6286=TH!$X$7,O6286=TH!$X$7),"x","")</f>
        <v/>
      </c>
      <c r="Y6286" s="79" t="str">
        <f>IF(AND(OR(N6286="131",O6286="131"),H6286='131-CT'!$H$9),"x","")</f>
        <v/>
      </c>
      <c r="Z6286" s="79"/>
      <c r="AA6286" s="79" t="str">
        <f>IF(AND(MONTH(E6286)='IN-NX'!$J$5,'IN-NX'!$D$7=D6286),"x","")</f>
        <v/>
      </c>
      <c r="AB6286" s="79" t="str">
        <f>IF(AND(OR(LEFT(TH!N6286,2)="15",LEFT(TH!O6286,2)="15"),LEFT(TH!O6286,3)&lt;&gt;"111",'152-CT'!$J$8=TH!F6286),"x","")</f>
        <v/>
      </c>
      <c r="AC6286" s="79" t="str">
        <f>IF(AND(OR(LEFT(TH!N6286,2)="15",LEFT(TH!O6286,2)="15"),TK!$E$7=TH!F6286),"x","")</f>
        <v/>
      </c>
      <c r="AD6286" s="79" t="str">
        <f>IF(AND(N6286="1521",MONTH(C6286)='BK-NL'!$M$11),"x","")</f>
        <v/>
      </c>
    </row>
    <row r="6287" spans="1:30" ht="16.5" customHeight="1">
      <c r="A6287" s="318" t="str">
        <f>IF(B6287&lt;&gt;"",IF(AND(B6287='IN-TC'!$S$4,OR(TH!N6287="1111",TH!O6287="1111")),TH!D6287,""),"")</f>
        <v/>
      </c>
      <c r="B6287" s="60" t="str">
        <f t="shared" si="519"/>
        <v/>
      </c>
      <c r="C6287" s="61"/>
      <c r="D6287" s="61"/>
      <c r="E6287" s="61"/>
      <c r="F6287" s="69"/>
      <c r="G6287" s="766"/>
      <c r="H6287" s="925"/>
      <c r="I6287" s="385"/>
      <c r="J6287" s="392"/>
      <c r="K6287" s="385"/>
      <c r="L6287" s="392"/>
      <c r="M6287" s="62"/>
      <c r="N6287" s="63"/>
      <c r="O6287" s="63"/>
      <c r="P6287" s="79" t="str">
        <f>IF(AND('331-CT'!$E$7=TH!H6287,OR(N6287="331",O6287="331")),"x","")</f>
        <v/>
      </c>
      <c r="Q6287" s="79" t="str">
        <f>IF(AND(B6287='111'!$L$11,OR($N6287=$Q$7,$O6287=$Q$7)),"x","")</f>
        <v/>
      </c>
      <c r="R6287" s="79" t="str">
        <f>IF(AND($N6287=$Q$7,$B6287&lt;'111'!$L$11),"x","")</f>
        <v/>
      </c>
      <c r="S6287" s="79" t="str">
        <f>IF(AND($O6287=$Q$7,$B6287&lt;'111'!$L$11),"x","")</f>
        <v/>
      </c>
      <c r="T6287" s="79" t="str">
        <f>IF(ISERROR(FIND('112'!$M$9,G6287,1)),"",IF((AND(FIND('112'!$M$9,G6287,1)&gt;=1,B6287='112'!$K$9,OR($N6287='112'!$I$6,$O6287='112'!$I$6))),"x",""))</f>
        <v/>
      </c>
      <c r="U6287" s="79" t="str">
        <f>IF(ISERROR(FIND('112'!$M$9,G6287,1)),"",IF((AND(LEFT(G6287,2)=LEFT('112'!$M$9,2),B6287&lt;'112'!$K$9,$N6287='112'!$I$6)),"x",""))</f>
        <v/>
      </c>
      <c r="V6287" s="79" t="str">
        <f>IF(ISERROR(FIND('112'!$M$9,G6287,1)),"",IF((AND(RIGHT(G6287,2)=RIGHT('112'!$M$9,2),B6287&lt;'112'!$K$9,$O6287='112'!$I$6)),"x",""))</f>
        <v/>
      </c>
      <c r="W6287" s="79" t="str">
        <f>IF(AND('341-CT'!$H$9=H6287,OR(LEFT(N6287,3)=$W$7,LEFT(O6287,3)=$W$7)),"x","")</f>
        <v/>
      </c>
      <c r="X6287" s="79" t="str">
        <f>IF(OR(TH!N6287=TH!$X$7,O6287=TH!$X$7),"x","")</f>
        <v/>
      </c>
      <c r="Y6287" s="79" t="str">
        <f>IF(AND(OR(N6287="131",O6287="131"),H6287='131-CT'!$H$9),"x","")</f>
        <v/>
      </c>
      <c r="Z6287" s="79"/>
      <c r="AA6287" s="79" t="str">
        <f>IF(AND(MONTH(E6287)='IN-NX'!$J$5,'IN-NX'!$D$7=D6287),"x","")</f>
        <v/>
      </c>
      <c r="AB6287" s="79" t="str">
        <f>IF(AND(OR(LEFT(TH!N6287,2)="15",LEFT(TH!O6287,2)="15"),LEFT(TH!O6287,3)&lt;&gt;"111",'152-CT'!$J$8=TH!F6287),"x","")</f>
        <v/>
      </c>
      <c r="AC6287" s="79" t="str">
        <f>IF(AND(OR(LEFT(TH!N6287,2)="15",LEFT(TH!O6287,2)="15"),TK!$E$7=TH!F6287),"x","")</f>
        <v/>
      </c>
      <c r="AD6287" s="79" t="str">
        <f>IF(AND(N6287="1521",MONTH(C6287)='BK-NL'!$M$11),"x","")</f>
        <v/>
      </c>
    </row>
    <row r="6288" spans="1:30" ht="16.5" customHeight="1">
      <c r="A6288" s="318" t="str">
        <f>IF(B6288&lt;&gt;"",IF(AND(B6288='IN-TC'!$S$4,OR(TH!N6288="1111",TH!O6288="1111")),TH!D6288,""),"")</f>
        <v/>
      </c>
      <c r="B6288" s="60" t="str">
        <f t="shared" si="519"/>
        <v/>
      </c>
      <c r="C6288" s="61"/>
      <c r="D6288" s="61"/>
      <c r="E6288" s="61"/>
      <c r="F6288" s="69"/>
      <c r="G6288" s="766"/>
      <c r="H6288" s="925"/>
      <c r="I6288" s="385"/>
      <c r="J6288" s="392"/>
      <c r="K6288" s="385"/>
      <c r="L6288" s="392"/>
      <c r="M6288" s="62"/>
      <c r="N6288" s="304"/>
      <c r="O6288" s="63"/>
      <c r="P6288" s="79" t="str">
        <f>IF(AND('331-CT'!$E$7=TH!H6288,OR(N6288="331",O6288="331")),"x","")</f>
        <v/>
      </c>
      <c r="Q6288" s="79" t="str">
        <f>IF(AND(B6288='111'!$L$11,OR($N6288=$Q$7,$O6288=$Q$7)),"x","")</f>
        <v/>
      </c>
      <c r="R6288" s="79" t="str">
        <f>IF(AND($N6288=$Q$7,$B6288&lt;'111'!$L$11),"x","")</f>
        <v/>
      </c>
      <c r="S6288" s="79" t="str">
        <f>IF(AND($O6288=$Q$7,$B6288&lt;'111'!$L$11),"x","")</f>
        <v/>
      </c>
      <c r="T6288" s="79" t="str">
        <f>IF(ISERROR(FIND('112'!$M$9,G6288,1)),"",IF((AND(FIND('112'!$M$9,G6288,1)&gt;=1,B6288='112'!$K$9,OR($N6288='112'!$I$6,$O6288='112'!$I$6))),"x",""))</f>
        <v/>
      </c>
      <c r="U6288" s="79" t="str">
        <f>IF(ISERROR(FIND('112'!$M$9,G6288,1)),"",IF((AND(LEFT(G6288,2)=LEFT('112'!$M$9,2),B6288&lt;'112'!$K$9,$N6288='112'!$I$6)),"x",""))</f>
        <v/>
      </c>
      <c r="V6288" s="79" t="str">
        <f>IF(ISERROR(FIND('112'!$M$9,G6288,1)),"",IF((AND(RIGHT(G6288,2)=RIGHT('112'!$M$9,2),B6288&lt;'112'!$K$9,$O6288='112'!$I$6)),"x",""))</f>
        <v/>
      </c>
      <c r="W6288" s="79" t="str">
        <f>IF(AND('341-CT'!$H$9=H6288,OR(LEFT(N6288,3)=$W$7,LEFT(O6288,3)=$W$7)),"x","")</f>
        <v/>
      </c>
      <c r="X6288" s="79" t="str">
        <f>IF(OR(TH!N6288=TH!$X$7,O6288=TH!$X$7),"x","")</f>
        <v/>
      </c>
      <c r="Y6288" s="79" t="str">
        <f>IF(AND(OR(N6288="131",O6288="131"),H6288='131-CT'!$H$9),"x","")</f>
        <v/>
      </c>
      <c r="Z6288" s="79"/>
      <c r="AA6288" s="79" t="str">
        <f>IF(AND(MONTH(E6288)='IN-NX'!$J$5,'IN-NX'!$D$7=D6288),"x","")</f>
        <v/>
      </c>
      <c r="AB6288" s="79" t="str">
        <f>IF(AND(OR(LEFT(TH!N6288,2)="15",LEFT(TH!O6288,2)="15"),LEFT(TH!O6288,3)&lt;&gt;"111",'152-CT'!$J$8=TH!F6288),"x","")</f>
        <v/>
      </c>
      <c r="AC6288" s="79" t="str">
        <f>IF(AND(OR(LEFT(TH!N6288,2)="15",LEFT(TH!O6288,2)="15"),TK!$E$7=TH!F6288),"x","")</f>
        <v/>
      </c>
      <c r="AD6288" s="79" t="str">
        <f>IF(AND(N6288="1521",MONTH(C6288)='BK-NL'!$M$11),"x","")</f>
        <v/>
      </c>
    </row>
    <row r="6289" spans="1:30" ht="16.5" customHeight="1">
      <c r="A6289" s="318" t="str">
        <f>IF(B6289&lt;&gt;"",IF(AND(B6289='IN-TC'!$S$4,OR(TH!N6289="1111",TH!O6289="1111")),TH!D6289,""),"")</f>
        <v/>
      </c>
      <c r="B6289" s="60" t="str">
        <f t="shared" si="519"/>
        <v/>
      </c>
      <c r="C6289" s="61"/>
      <c r="D6289" s="61"/>
      <c r="E6289" s="61"/>
      <c r="F6289" s="69"/>
      <c r="G6289" s="766"/>
      <c r="H6289" s="925"/>
      <c r="I6289" s="385"/>
      <c r="J6289" s="392"/>
      <c r="K6289" s="385"/>
      <c r="L6289" s="392"/>
      <c r="M6289" s="62"/>
      <c r="N6289" s="304"/>
      <c r="O6289" s="63"/>
      <c r="P6289" s="79" t="str">
        <f>IF(AND('331-CT'!$E$7=TH!H6289,OR(N6289="331",O6289="331")),"x","")</f>
        <v/>
      </c>
      <c r="Q6289" s="79" t="str">
        <f>IF(AND(B6289='111'!$L$11,OR($N6289=$Q$7,$O6289=$Q$7)),"x","")</f>
        <v/>
      </c>
      <c r="R6289" s="79" t="str">
        <f>IF(AND($N6289=$Q$7,$B6289&lt;'111'!$L$11),"x","")</f>
        <v/>
      </c>
      <c r="S6289" s="79" t="str">
        <f>IF(AND($O6289=$Q$7,$B6289&lt;'111'!$L$11),"x","")</f>
        <v/>
      </c>
      <c r="T6289" s="79" t="str">
        <f>IF(ISERROR(FIND('112'!$M$9,G6289,1)),"",IF((AND(FIND('112'!$M$9,G6289,1)&gt;=1,B6289='112'!$K$9,OR($N6289='112'!$I$6,$O6289='112'!$I$6))),"x",""))</f>
        <v/>
      </c>
      <c r="U6289" s="79" t="str">
        <f>IF(ISERROR(FIND('112'!$M$9,G6289,1)),"",IF((AND(LEFT(G6289,2)=LEFT('112'!$M$9,2),B6289&lt;'112'!$K$9,$N6289='112'!$I$6)),"x",""))</f>
        <v/>
      </c>
      <c r="V6289" s="79" t="str">
        <f>IF(ISERROR(FIND('112'!$M$9,G6289,1)),"",IF((AND(RIGHT(G6289,2)=RIGHT('112'!$M$9,2),B6289&lt;'112'!$K$9,$O6289='112'!$I$6)),"x",""))</f>
        <v/>
      </c>
      <c r="W6289" s="79" t="str">
        <f>IF(AND('341-CT'!$H$9=H6289,OR(LEFT(N6289,3)=$W$7,LEFT(O6289,3)=$W$7)),"x","")</f>
        <v/>
      </c>
      <c r="X6289" s="79" t="str">
        <f>IF(OR(TH!N6289=TH!$X$7,O6289=TH!$X$7),"x","")</f>
        <v/>
      </c>
      <c r="Y6289" s="79" t="str">
        <f>IF(AND(OR(N6289="131",O6289="131"),H6289='131-CT'!$H$9),"x","")</f>
        <v/>
      </c>
      <c r="Z6289" s="79"/>
      <c r="AA6289" s="79" t="str">
        <f>IF(AND(MONTH(E6289)='IN-NX'!$J$5,'IN-NX'!$D$7=D6289),"x","")</f>
        <v/>
      </c>
      <c r="AB6289" s="79" t="str">
        <f>IF(AND(OR(LEFT(TH!N6289,2)="15",LEFT(TH!O6289,2)="15"),LEFT(TH!O6289,3)&lt;&gt;"111",'152-CT'!$J$8=TH!F6289),"x","")</f>
        <v/>
      </c>
      <c r="AC6289" s="79" t="str">
        <f>IF(AND(OR(LEFT(TH!N6289,2)="15",LEFT(TH!O6289,2)="15"),TK!$E$7=TH!F6289),"x","")</f>
        <v/>
      </c>
      <c r="AD6289" s="79" t="str">
        <f>IF(AND(N6289="1521",MONTH(C6289)='BK-NL'!$M$11),"x","")</f>
        <v/>
      </c>
    </row>
    <row r="6290" spans="1:30" ht="16.5" customHeight="1">
      <c r="A6290" s="318" t="str">
        <f>IF(B6290&lt;&gt;"",IF(AND(B6290='IN-TC'!$S$4,OR(TH!N6290="1111",TH!O6290="1111")),TH!D6290,""),"")</f>
        <v/>
      </c>
      <c r="B6290" s="60" t="str">
        <f t="shared" si="519"/>
        <v/>
      </c>
      <c r="C6290" s="61"/>
      <c r="D6290" s="61"/>
      <c r="E6290" s="61"/>
      <c r="F6290" s="69"/>
      <c r="G6290" s="766"/>
      <c r="H6290" s="925"/>
      <c r="I6290" s="385"/>
      <c r="J6290" s="392"/>
      <c r="K6290" s="385"/>
      <c r="L6290" s="392"/>
      <c r="M6290" s="62"/>
      <c r="N6290" s="304"/>
      <c r="O6290" s="63"/>
      <c r="P6290" s="79" t="str">
        <f>IF(AND('331-CT'!$E$7=TH!H6290,OR(N6290="331",O6290="331")),"x","")</f>
        <v/>
      </c>
      <c r="Q6290" s="79" t="str">
        <f>IF(AND(B6290='111'!$L$11,OR($N6290=$Q$7,$O6290=$Q$7)),"x","")</f>
        <v/>
      </c>
      <c r="R6290" s="79" t="str">
        <f>IF(AND($N6290=$Q$7,$B6290&lt;'111'!$L$11),"x","")</f>
        <v/>
      </c>
      <c r="S6290" s="79" t="str">
        <f>IF(AND($O6290=$Q$7,$B6290&lt;'111'!$L$11),"x","")</f>
        <v/>
      </c>
      <c r="T6290" s="79" t="str">
        <f>IF(ISERROR(FIND('112'!$M$9,G6290,1)),"",IF((AND(FIND('112'!$M$9,G6290,1)&gt;=1,B6290='112'!$K$9,OR($N6290='112'!$I$6,$O6290='112'!$I$6))),"x",""))</f>
        <v/>
      </c>
      <c r="U6290" s="79" t="str">
        <f>IF(ISERROR(FIND('112'!$M$9,G6290,1)),"",IF((AND(LEFT(G6290,2)=LEFT('112'!$M$9,2),B6290&lt;'112'!$K$9,$N6290='112'!$I$6)),"x",""))</f>
        <v/>
      </c>
      <c r="V6290" s="79" t="str">
        <f>IF(ISERROR(FIND('112'!$M$9,G6290,1)),"",IF((AND(RIGHT(G6290,2)=RIGHT('112'!$M$9,2),B6290&lt;'112'!$K$9,$O6290='112'!$I$6)),"x",""))</f>
        <v/>
      </c>
      <c r="W6290" s="79" t="str">
        <f>IF(AND('341-CT'!$H$9=H6290,OR(LEFT(N6290,3)=$W$7,LEFT(O6290,3)=$W$7)),"x","")</f>
        <v/>
      </c>
      <c r="X6290" s="79" t="str">
        <f>IF(OR(TH!N6290=TH!$X$7,O6290=TH!$X$7),"x","")</f>
        <v/>
      </c>
      <c r="Y6290" s="79" t="str">
        <f>IF(AND(OR(N6290="131",O6290="131"),H6290='131-CT'!$H$9),"x","")</f>
        <v/>
      </c>
      <c r="Z6290" s="79"/>
      <c r="AA6290" s="79" t="str">
        <f>IF(AND(MONTH(E6290)='IN-NX'!$J$5,'IN-NX'!$D$7=D6290),"x","")</f>
        <v/>
      </c>
      <c r="AB6290" s="79" t="str">
        <f>IF(AND(OR(LEFT(TH!N6290,2)="15",LEFT(TH!O6290,2)="15"),LEFT(TH!O6290,3)&lt;&gt;"111",'152-CT'!$J$8=TH!F6290),"x","")</f>
        <v/>
      </c>
      <c r="AC6290" s="79" t="str">
        <f>IF(AND(OR(LEFT(TH!N6290,2)="15",LEFT(TH!O6290,2)="15"),TK!$E$7=TH!F6290),"x","")</f>
        <v/>
      </c>
      <c r="AD6290" s="79" t="str">
        <f>IF(AND(N6290="1521",MONTH(C6290)='BK-NL'!$M$11),"x","")</f>
        <v/>
      </c>
    </row>
    <row r="6291" spans="1:30" ht="16.5" customHeight="1">
      <c r="A6291" s="318" t="str">
        <f>IF(B6291&lt;&gt;"",IF(AND(B6291='IN-TC'!$S$4,OR(TH!N6291="1111",TH!O6291="1111")),TH!D6291,""),"")</f>
        <v/>
      </c>
      <c r="B6291" s="60" t="str">
        <f t="shared" si="519"/>
        <v/>
      </c>
      <c r="C6291" s="61"/>
      <c r="D6291" s="61"/>
      <c r="E6291" s="61"/>
      <c r="F6291" s="69"/>
      <c r="G6291" s="766"/>
      <c r="H6291" s="925"/>
      <c r="I6291" s="385"/>
      <c r="J6291" s="392"/>
      <c r="K6291" s="385"/>
      <c r="L6291" s="392"/>
      <c r="M6291" s="62"/>
      <c r="N6291" s="304"/>
      <c r="O6291" s="63"/>
      <c r="P6291" s="79" t="str">
        <f>IF(AND('331-CT'!$E$7=TH!H6291,OR(N6291="331",O6291="331")),"x","")</f>
        <v/>
      </c>
      <c r="Q6291" s="79" t="str">
        <f>IF(AND(B6291='111'!$L$11,OR($N6291=$Q$7,$O6291=$Q$7)),"x","")</f>
        <v/>
      </c>
      <c r="R6291" s="79" t="str">
        <f>IF(AND($N6291=$Q$7,$B6291&lt;'111'!$L$11),"x","")</f>
        <v/>
      </c>
      <c r="S6291" s="79" t="str">
        <f>IF(AND($O6291=$Q$7,$B6291&lt;'111'!$L$11),"x","")</f>
        <v/>
      </c>
      <c r="T6291" s="79" t="str">
        <f>IF(ISERROR(FIND('112'!$M$9,G6291,1)),"",IF((AND(FIND('112'!$M$9,G6291,1)&gt;=1,B6291='112'!$K$9,OR($N6291='112'!$I$6,$O6291='112'!$I$6))),"x",""))</f>
        <v/>
      </c>
      <c r="U6291" s="79" t="str">
        <f>IF(ISERROR(FIND('112'!$M$9,G6291,1)),"",IF((AND(LEFT(G6291,2)=LEFT('112'!$M$9,2),B6291&lt;'112'!$K$9,$N6291='112'!$I$6)),"x",""))</f>
        <v/>
      </c>
      <c r="V6291" s="79" t="str">
        <f>IF(ISERROR(FIND('112'!$M$9,G6291,1)),"",IF((AND(RIGHT(G6291,2)=RIGHT('112'!$M$9,2),B6291&lt;'112'!$K$9,$O6291='112'!$I$6)),"x",""))</f>
        <v/>
      </c>
      <c r="W6291" s="79" t="str">
        <f>IF(AND('341-CT'!$H$9=H6291,OR(LEFT(N6291,3)=$W$7,LEFT(O6291,3)=$W$7)),"x","")</f>
        <v/>
      </c>
      <c r="X6291" s="79" t="str">
        <f>IF(OR(TH!N6291=TH!$X$7,O6291=TH!$X$7),"x","")</f>
        <v/>
      </c>
      <c r="Y6291" s="79" t="str">
        <f>IF(AND(OR(N6291="131",O6291="131"),H6291='131-CT'!$H$9),"x","")</f>
        <v/>
      </c>
      <c r="Z6291" s="79"/>
      <c r="AA6291" s="79" t="str">
        <f>IF(AND(MONTH(E6291)='IN-NX'!$J$5,'IN-NX'!$D$7=D6291),"x","")</f>
        <v/>
      </c>
      <c r="AB6291" s="79" t="str">
        <f>IF(AND(OR(LEFT(TH!N6291,2)="15",LEFT(TH!O6291,2)="15"),LEFT(TH!O6291,3)&lt;&gt;"111",'152-CT'!$J$8=TH!F6291),"x","")</f>
        <v/>
      </c>
      <c r="AC6291" s="79" t="str">
        <f>IF(AND(OR(LEFT(TH!N6291,2)="15",LEFT(TH!O6291,2)="15"),TK!$E$7=TH!F6291),"x","")</f>
        <v/>
      </c>
      <c r="AD6291" s="79" t="str">
        <f>IF(AND(N6291="1521",MONTH(C6291)='BK-NL'!$M$11),"x","")</f>
        <v/>
      </c>
    </row>
    <row r="6292" spans="1:30" ht="16.5" customHeight="1">
      <c r="A6292" s="318" t="str">
        <f>IF(B6292&lt;&gt;"",IF(AND(B6292='IN-TC'!$S$4,OR(TH!N6292="1111",TH!O6292="1111")),TH!D6292,""),"")</f>
        <v/>
      </c>
      <c r="B6292" s="60" t="str">
        <f t="shared" si="519"/>
        <v/>
      </c>
      <c r="C6292" s="301"/>
      <c r="D6292" s="61"/>
      <c r="E6292" s="301"/>
      <c r="F6292" s="69"/>
      <c r="G6292" s="769"/>
      <c r="H6292" s="303"/>
      <c r="I6292" s="387"/>
      <c r="J6292" s="394"/>
      <c r="K6292" s="387"/>
      <c r="L6292" s="394"/>
      <c r="M6292" s="62"/>
      <c r="N6292" s="304"/>
      <c r="O6292" s="63"/>
      <c r="P6292" s="79" t="str">
        <f>IF(AND('331-CT'!$E$7=TH!H6292,OR(N6292="331",O6292="331")),"x","")</f>
        <v/>
      </c>
      <c r="Q6292" s="79" t="str">
        <f>IF(AND(B6292='111'!$L$11,OR($N6292=$Q$7,$O6292=$Q$7)),"x","")</f>
        <v/>
      </c>
      <c r="R6292" s="79" t="str">
        <f>IF(AND($N6292=$Q$7,$B6292&lt;'111'!$L$11),"x","")</f>
        <v/>
      </c>
      <c r="S6292" s="79" t="str">
        <f>IF(AND($O6292=$Q$7,$B6292&lt;'111'!$L$11),"x","")</f>
        <v/>
      </c>
      <c r="T6292" s="79" t="str">
        <f>IF(ISERROR(FIND('112'!$M$9,G6292,1)),"",IF((AND(FIND('112'!$M$9,G6292,1)&gt;=1,B6292='112'!$K$9,OR($N6292='112'!$I$6,$O6292='112'!$I$6))),"x",""))</f>
        <v/>
      </c>
      <c r="U6292" s="79" t="str">
        <f>IF(ISERROR(FIND('112'!$M$9,G6292,1)),"",IF((AND(LEFT(G6292,2)=LEFT('112'!$M$9,2),B6292&lt;'112'!$K$9,$N6292='112'!$I$6)),"x",""))</f>
        <v/>
      </c>
      <c r="V6292" s="79" t="str">
        <f>IF(ISERROR(FIND('112'!$M$9,G6292,1)),"",IF((AND(RIGHT(G6292,2)=RIGHT('112'!$M$9,2),B6292&lt;'112'!$K$9,$O6292='112'!$I$6)),"x",""))</f>
        <v/>
      </c>
      <c r="W6292" s="79" t="str">
        <f>IF(AND('341-CT'!$H$9=H6292,OR(LEFT(N6292,3)=$W$7,LEFT(O6292,3)=$W$7)),"x","")</f>
        <v/>
      </c>
      <c r="X6292" s="79" t="str">
        <f>IF(OR(TH!N6292=TH!$X$7,O6292=TH!$X$7),"x","")</f>
        <v/>
      </c>
      <c r="Y6292" s="79" t="str">
        <f>IF(AND(OR(N6292="131",O6292="131"),H6292='131-CT'!$H$9),"x","")</f>
        <v/>
      </c>
      <c r="Z6292" s="79"/>
      <c r="AA6292" s="79" t="str">
        <f>IF(AND(MONTH(E6292)='IN-NX'!$J$5,'IN-NX'!$D$7=D6292),"x","")</f>
        <v/>
      </c>
      <c r="AB6292" s="79" t="str">
        <f>IF(AND(OR(LEFT(TH!N6292,2)="15",LEFT(TH!O6292,2)="15"),LEFT(TH!O6292,3)&lt;&gt;"111",'152-CT'!$J$8=TH!F6292),"x","")</f>
        <v/>
      </c>
      <c r="AC6292" s="79" t="str">
        <f>IF(AND(OR(LEFT(TH!N6292,2)="15",LEFT(TH!O6292,2)="15"),TK!$E$7=TH!F6292),"x","")</f>
        <v/>
      </c>
      <c r="AD6292" s="79" t="str">
        <f>IF(AND(N6292="1521",MONTH(C6292)='BK-NL'!$M$11),"x","")</f>
        <v/>
      </c>
    </row>
    <row r="6293" spans="1:30" ht="16.5" customHeight="1">
      <c r="A6293" s="318" t="str">
        <f>IF(B6293&lt;&gt;"",IF(AND(B6293='IN-TC'!$S$4,OR(TH!N6293="1111",TH!O6293="1111")),TH!D6293,""),"")</f>
        <v/>
      </c>
      <c r="B6293" s="60" t="str">
        <f t="shared" si="519"/>
        <v/>
      </c>
      <c r="C6293" s="61"/>
      <c r="D6293" s="61"/>
      <c r="E6293" s="61"/>
      <c r="F6293" s="446"/>
      <c r="G6293" s="64"/>
      <c r="H6293" s="69"/>
      <c r="I6293" s="385"/>
      <c r="J6293" s="392"/>
      <c r="K6293" s="385"/>
      <c r="L6293" s="392"/>
      <c r="M6293" s="62"/>
      <c r="N6293" s="63"/>
      <c r="O6293" s="63"/>
      <c r="P6293" s="79" t="str">
        <f>IF(AND('331-CT'!$E$7=TH!H6293,OR(N6293="331",O6293="331")),"x","")</f>
        <v/>
      </c>
      <c r="Q6293" s="79" t="str">
        <f>IF(AND(B6293='111'!$L$11,OR($N6293=$Q$7,$O6293=$Q$7)),"x","")</f>
        <v/>
      </c>
      <c r="R6293" s="79" t="str">
        <f>IF(AND($N6293=$Q$7,$B6293&lt;'111'!$L$11),"x","")</f>
        <v/>
      </c>
      <c r="S6293" s="79" t="str">
        <f>IF(AND($O6293=$Q$7,$B6293&lt;'111'!$L$11),"x","")</f>
        <v/>
      </c>
      <c r="T6293" s="79" t="str">
        <f>IF(ISERROR(FIND('112'!$M$9,G6293,1)),"",IF((AND(FIND('112'!$M$9,G6293,1)&gt;=1,B6293='112'!$K$9,OR($N6293='112'!$I$6,$O6293='112'!$I$6))),"x",""))</f>
        <v/>
      </c>
      <c r="U6293" s="79" t="str">
        <f>IF(ISERROR(FIND('112'!$M$9,G6293,1)),"",IF((AND(LEFT(G6293,2)=LEFT('112'!$M$9,2),B6293&lt;'112'!$K$9,$N6293='112'!$I$6)),"x",""))</f>
        <v/>
      </c>
      <c r="V6293" s="79" t="str">
        <f>IF(ISERROR(FIND('112'!$M$9,G6293,1)),"",IF((AND(RIGHT(G6293,2)=RIGHT('112'!$M$9,2),B6293&lt;'112'!$K$9,$O6293='112'!$I$6)),"x",""))</f>
        <v/>
      </c>
      <c r="W6293" s="79" t="str">
        <f>IF(AND('341-CT'!$H$9=H6293,OR(LEFT(N6293,3)=$W$7,LEFT(O6293,3)=$W$7)),"x","")</f>
        <v/>
      </c>
      <c r="X6293" s="79" t="str">
        <f>IF(OR(TH!N6293=TH!$X$7,O6293=TH!$X$7),"x","")</f>
        <v/>
      </c>
      <c r="Y6293" s="79" t="str">
        <f>IF(AND(OR(N6293="131",O6293="131"),H6293='131-CT'!$H$9),"x","")</f>
        <v/>
      </c>
      <c r="Z6293" s="79"/>
      <c r="AA6293" s="79" t="str">
        <f>IF(AND(MONTH(E6293)='IN-NX'!$J$5,'IN-NX'!$D$7=D6293),"x","")</f>
        <v/>
      </c>
      <c r="AB6293" s="79" t="str">
        <f>IF(AND(OR(LEFT(TH!N6293,2)="15",LEFT(TH!O6293,2)="15"),LEFT(TH!O6293,3)&lt;&gt;"111",'152-CT'!$J$8=TH!F6293),"x","")</f>
        <v/>
      </c>
      <c r="AC6293" s="79" t="str">
        <f>IF(AND(OR(LEFT(TH!N6293,2)="15",LEFT(TH!O6293,2)="15"),TK!$E$7=TH!F6293),"x","")</f>
        <v/>
      </c>
      <c r="AD6293" s="79" t="str">
        <f>IF(AND(N6293="1521",MONTH(C6293)='BK-NL'!$M$11),"x","")</f>
        <v/>
      </c>
    </row>
    <row r="6294" spans="1:30" ht="16.5" customHeight="1">
      <c r="A6294" s="318" t="str">
        <f>IF(B6294&lt;&gt;"",IF(AND(B6294='IN-TC'!$S$4,OR(TH!N6294="1111",TH!O6294="1111")),TH!D6294,""),"")</f>
        <v/>
      </c>
      <c r="B6294" s="60" t="str">
        <f t="shared" si="519"/>
        <v/>
      </c>
      <c r="C6294" s="61"/>
      <c r="D6294" s="61"/>
      <c r="E6294" s="61"/>
      <c r="F6294" s="446"/>
      <c r="G6294" s="64"/>
      <c r="H6294" s="69"/>
      <c r="I6294" s="385"/>
      <c r="J6294" s="392"/>
      <c r="K6294" s="385"/>
      <c r="L6294" s="392"/>
      <c r="M6294" s="62"/>
      <c r="N6294" s="63"/>
      <c r="O6294" s="63"/>
      <c r="P6294" s="79" t="str">
        <f>IF(AND('331-CT'!$E$7=TH!H6294,OR(N6294="331",O6294="331")),"x","")</f>
        <v/>
      </c>
      <c r="Q6294" s="79" t="str">
        <f>IF(AND(B6294='111'!$L$11,OR($N6294=$Q$7,$O6294=$Q$7)),"x","")</f>
        <v/>
      </c>
      <c r="R6294" s="79" t="str">
        <f>IF(AND($N6294=$Q$7,$B6294&lt;'111'!$L$11),"x","")</f>
        <v/>
      </c>
      <c r="S6294" s="79" t="str">
        <f>IF(AND($O6294=$Q$7,$B6294&lt;'111'!$L$11),"x","")</f>
        <v/>
      </c>
      <c r="T6294" s="79" t="str">
        <f>IF(ISERROR(FIND('112'!$M$9,G6294,1)),"",IF((AND(FIND('112'!$M$9,G6294,1)&gt;=1,B6294='112'!$K$9,OR($N6294='112'!$I$6,$O6294='112'!$I$6))),"x",""))</f>
        <v/>
      </c>
      <c r="U6294" s="79" t="str">
        <f>IF(ISERROR(FIND('112'!$M$9,G6294,1)),"",IF((AND(LEFT(G6294,2)=LEFT('112'!$M$9,2),B6294&lt;'112'!$K$9,$N6294='112'!$I$6)),"x",""))</f>
        <v/>
      </c>
      <c r="V6294" s="79" t="str">
        <f>IF(ISERROR(FIND('112'!$M$9,G6294,1)),"",IF((AND(RIGHT(G6294,2)=RIGHT('112'!$M$9,2),B6294&lt;'112'!$K$9,$O6294='112'!$I$6)),"x",""))</f>
        <v/>
      </c>
      <c r="W6294" s="79" t="str">
        <f>IF(AND('341-CT'!$H$9=H6294,OR(LEFT(N6294,3)=$W$7,LEFT(O6294,3)=$W$7)),"x","")</f>
        <v/>
      </c>
      <c r="X6294" s="79" t="str">
        <f>IF(OR(TH!N6294=TH!$X$7,O6294=TH!$X$7),"x","")</f>
        <v/>
      </c>
      <c r="Y6294" s="79" t="str">
        <f>IF(AND(OR(N6294="131",O6294="131"),H6294='131-CT'!$H$9),"x","")</f>
        <v/>
      </c>
      <c r="Z6294" s="79"/>
      <c r="AA6294" s="79" t="str">
        <f>IF(AND(MONTH(E6294)='IN-NX'!$J$5,'IN-NX'!$D$7=D6294),"x","")</f>
        <v/>
      </c>
      <c r="AB6294" s="79" t="str">
        <f>IF(AND(OR(LEFT(TH!N6294,2)="15",LEFT(TH!O6294,2)="15"),LEFT(TH!O6294,3)&lt;&gt;"111",'152-CT'!$J$8=TH!F6294),"x","")</f>
        <v/>
      </c>
      <c r="AC6294" s="79" t="str">
        <f>IF(AND(OR(LEFT(TH!N6294,2)="15",LEFT(TH!O6294,2)="15"),TK!$E$7=TH!F6294),"x","")</f>
        <v/>
      </c>
      <c r="AD6294" s="79" t="str">
        <f>IF(AND(N6294="1521",MONTH(C6294)='BK-NL'!$M$11),"x","")</f>
        <v/>
      </c>
    </row>
    <row r="6295" spans="1:30" ht="16.5" customHeight="1">
      <c r="A6295" s="318" t="str">
        <f>IF(B6295&lt;&gt;"",IF(AND(B6295='IN-TC'!$S$4,OR(TH!N6295="1111",TH!O6295="1111")),TH!D6295,""),"")</f>
        <v/>
      </c>
      <c r="B6295" s="60" t="str">
        <f t="shared" si="519"/>
        <v/>
      </c>
      <c r="C6295" s="61"/>
      <c r="D6295" s="61"/>
      <c r="E6295" s="61"/>
      <c r="F6295" s="69"/>
      <c r="G6295" s="766"/>
      <c r="H6295" s="69"/>
      <c r="I6295" s="387"/>
      <c r="J6295" s="394"/>
      <c r="K6295" s="387"/>
      <c r="L6295" s="394"/>
      <c r="M6295" s="62"/>
      <c r="N6295" s="304"/>
      <c r="O6295" s="63"/>
      <c r="P6295" s="79" t="str">
        <f>IF(AND('331-CT'!$E$7=TH!H6295,OR(N6295="331",O6295="331")),"x","")</f>
        <v/>
      </c>
      <c r="Q6295" s="79" t="str">
        <f>IF(AND(B6295='111'!$L$11,OR($N6295=$Q$7,$O6295=$Q$7)),"x","")</f>
        <v/>
      </c>
      <c r="R6295" s="79" t="str">
        <f>IF(AND($N6295=$Q$7,$B6295&lt;'111'!$L$11),"x","")</f>
        <v/>
      </c>
      <c r="S6295" s="79" t="str">
        <f>IF(AND($O6295=$Q$7,$B6295&lt;'111'!$L$11),"x","")</f>
        <v/>
      </c>
      <c r="T6295" s="79" t="str">
        <f>IF(ISERROR(FIND('112'!$M$9,G6295,1)),"",IF((AND(FIND('112'!$M$9,G6295,1)&gt;=1,B6295='112'!$K$9,OR($N6295='112'!$I$6,$O6295='112'!$I$6))),"x",""))</f>
        <v/>
      </c>
      <c r="U6295" s="79" t="str">
        <f>IF(ISERROR(FIND('112'!$M$9,G6295,1)),"",IF((AND(LEFT(G6295,2)=LEFT('112'!$M$9,2),B6295&lt;'112'!$K$9,$N6295='112'!$I$6)),"x",""))</f>
        <v/>
      </c>
      <c r="V6295" s="79" t="str">
        <f>IF(ISERROR(FIND('112'!$M$9,G6295,1)),"",IF((AND(RIGHT(G6295,2)=RIGHT('112'!$M$9,2),B6295&lt;'112'!$K$9,$O6295='112'!$I$6)),"x",""))</f>
        <v/>
      </c>
      <c r="W6295" s="79" t="str">
        <f>IF(AND('341-CT'!$H$9=H6295,OR(LEFT(N6295,3)=$W$7,LEFT(O6295,3)=$W$7)),"x","")</f>
        <v/>
      </c>
      <c r="X6295" s="79" t="str">
        <f>IF(OR(TH!N6295=TH!$X$7,O6295=TH!$X$7),"x","")</f>
        <v/>
      </c>
      <c r="Y6295" s="79" t="str">
        <f>IF(AND(OR(N6295="131",O6295="131"),H6295='131-CT'!$H$9),"x","")</f>
        <v/>
      </c>
      <c r="Z6295" s="79"/>
      <c r="AA6295" s="79" t="str">
        <f>IF(AND(MONTH(E6295)='IN-NX'!$J$5,'IN-NX'!$D$7=D6295),"x","")</f>
        <v/>
      </c>
      <c r="AB6295" s="79" t="str">
        <f>IF(AND(OR(LEFT(TH!N6295,2)="15",LEFT(TH!O6295,2)="15"),LEFT(TH!O6295,3)&lt;&gt;"111",'152-CT'!$J$8=TH!F6295),"x","")</f>
        <v/>
      </c>
      <c r="AC6295" s="79" t="str">
        <f>IF(AND(OR(LEFT(TH!N6295,2)="15",LEFT(TH!O6295,2)="15"),TK!$E$7=TH!F6295),"x","")</f>
        <v/>
      </c>
      <c r="AD6295" s="79" t="str">
        <f>IF(AND(N6295="1521",MONTH(C6295)='BK-NL'!$M$11),"x","")</f>
        <v/>
      </c>
    </row>
    <row r="6296" spans="1:30" ht="16.5" customHeight="1">
      <c r="A6296" s="318" t="str">
        <f>IF(B6296&lt;&gt;"",IF(AND(B6296='IN-TC'!$S$4,OR(TH!N6296="1111",TH!O6296="1111")),TH!D6296,""),"")</f>
        <v/>
      </c>
      <c r="B6296" s="60" t="str">
        <f t="shared" si="519"/>
        <v/>
      </c>
      <c r="C6296" s="61"/>
      <c r="D6296" s="301"/>
      <c r="E6296" s="61"/>
      <c r="F6296" s="69"/>
      <c r="G6296" s="766"/>
      <c r="H6296" s="321"/>
      <c r="I6296" s="387"/>
      <c r="J6296" s="394"/>
      <c r="K6296" s="387"/>
      <c r="L6296" s="394"/>
      <c r="M6296" s="62"/>
      <c r="N6296" s="304"/>
      <c r="O6296" s="63"/>
      <c r="P6296" s="79" t="str">
        <f>IF(AND('331-CT'!$E$7=TH!H6296,OR(N6296="331",O6296="331")),"x","")</f>
        <v/>
      </c>
      <c r="Q6296" s="79" t="str">
        <f>IF(AND(B6296='111'!$L$11,OR($N6296=$Q$7,$O6296=$Q$7)),"x","")</f>
        <v/>
      </c>
      <c r="R6296" s="79" t="str">
        <f>IF(AND($N6296=$Q$7,$B6296&lt;'111'!$L$11),"x","")</f>
        <v/>
      </c>
      <c r="S6296" s="79" t="str">
        <f>IF(AND($O6296=$Q$7,$B6296&lt;'111'!$L$11),"x","")</f>
        <v/>
      </c>
      <c r="T6296" s="79" t="str">
        <f>IF(ISERROR(FIND('112'!$M$9,G6296,1)),"",IF((AND(FIND('112'!$M$9,G6296,1)&gt;=1,B6296='112'!$K$9,OR($N6296='112'!$I$6,$O6296='112'!$I$6))),"x",""))</f>
        <v/>
      </c>
      <c r="U6296" s="79" t="str">
        <f>IF(ISERROR(FIND('112'!$M$9,G6296,1)),"",IF((AND(LEFT(G6296,2)=LEFT('112'!$M$9,2),B6296&lt;'112'!$K$9,$N6296='112'!$I$6)),"x",""))</f>
        <v/>
      </c>
      <c r="V6296" s="79" t="str">
        <f>IF(ISERROR(FIND('112'!$M$9,G6296,1)),"",IF((AND(RIGHT(G6296,2)=RIGHT('112'!$M$9,2),B6296&lt;'112'!$K$9,$O6296='112'!$I$6)),"x",""))</f>
        <v/>
      </c>
      <c r="W6296" s="79" t="str">
        <f>IF(AND('341-CT'!$H$9=H6296,OR(LEFT(N6296,3)=$W$7,LEFT(O6296,3)=$W$7)),"x","")</f>
        <v/>
      </c>
      <c r="X6296" s="79" t="str">
        <f>IF(OR(TH!N6296=TH!$X$7,O6296=TH!$X$7),"x","")</f>
        <v/>
      </c>
      <c r="Y6296" s="79" t="str">
        <f>IF(AND(OR(N6296="131",O6296="131"),H6296='131-CT'!$H$9),"x","")</f>
        <v/>
      </c>
      <c r="Z6296" s="79"/>
      <c r="AA6296" s="79" t="str">
        <f>IF(AND(MONTH(E6296)='IN-NX'!$J$5,'IN-NX'!$D$7=D6296),"x","")</f>
        <v/>
      </c>
      <c r="AB6296" s="79" t="str">
        <f>IF(AND(OR(LEFT(TH!N6296,2)="15",LEFT(TH!O6296,2)="15"),LEFT(TH!O6296,3)&lt;&gt;"111",'152-CT'!$J$8=TH!F6296),"x","")</f>
        <v/>
      </c>
      <c r="AC6296" s="79" t="str">
        <f>IF(AND(OR(LEFT(TH!N6296,2)="15",LEFT(TH!O6296,2)="15"),TK!$E$7=TH!F6296),"x","")</f>
        <v/>
      </c>
      <c r="AD6296" s="79" t="str">
        <f>IF(AND(N6296="1521",MONTH(C6296)='BK-NL'!$M$11),"x","")</f>
        <v/>
      </c>
    </row>
    <row r="6297" spans="1:30" ht="16.5" customHeight="1">
      <c r="A6297" s="318" t="str">
        <f>IF(B6297&lt;&gt;"",IF(AND(B6297='IN-TC'!$S$4,OR(TH!N6297="1111",TH!O6297="1111")),TH!D6297,""),"")</f>
        <v/>
      </c>
      <c r="B6297" s="60" t="str">
        <f t="shared" si="519"/>
        <v/>
      </c>
      <c r="C6297" s="61"/>
      <c r="D6297" s="301"/>
      <c r="E6297" s="61"/>
      <c r="F6297" s="69"/>
      <c r="G6297" s="766"/>
      <c r="H6297" s="321"/>
      <c r="I6297" s="387"/>
      <c r="J6297" s="394"/>
      <c r="K6297" s="387"/>
      <c r="L6297" s="394"/>
      <c r="M6297" s="62"/>
      <c r="N6297" s="304"/>
      <c r="O6297" s="63"/>
      <c r="P6297" s="79" t="str">
        <f>IF(AND('331-CT'!$E$7=TH!H6297,OR(N6297="331",O6297="331")),"x","")</f>
        <v/>
      </c>
      <c r="Q6297" s="79" t="str">
        <f>IF(AND(B6297='111'!$L$11,OR($N6297=$Q$7,$O6297=$Q$7)),"x","")</f>
        <v/>
      </c>
      <c r="R6297" s="79" t="str">
        <f>IF(AND($N6297=$Q$7,$B6297&lt;'111'!$L$11),"x","")</f>
        <v/>
      </c>
      <c r="S6297" s="79" t="str">
        <f>IF(AND($O6297=$Q$7,$B6297&lt;'111'!$L$11),"x","")</f>
        <v/>
      </c>
      <c r="T6297" s="79" t="str">
        <f>IF(ISERROR(FIND('112'!$M$9,G6297,1)),"",IF((AND(FIND('112'!$M$9,G6297,1)&gt;=1,B6297='112'!$K$9,OR($N6297='112'!$I$6,$O6297='112'!$I$6))),"x",""))</f>
        <v/>
      </c>
      <c r="U6297" s="79" t="str">
        <f>IF(ISERROR(FIND('112'!$M$9,G6297,1)),"",IF((AND(LEFT(G6297,2)=LEFT('112'!$M$9,2),B6297&lt;'112'!$K$9,$N6297='112'!$I$6)),"x",""))</f>
        <v/>
      </c>
      <c r="V6297" s="79" t="str">
        <f>IF(ISERROR(FIND('112'!$M$9,G6297,1)),"",IF((AND(RIGHT(G6297,2)=RIGHT('112'!$M$9,2),B6297&lt;'112'!$K$9,$O6297='112'!$I$6)),"x",""))</f>
        <v/>
      </c>
      <c r="W6297" s="79" t="str">
        <f>IF(AND('341-CT'!$H$9=H6297,OR(LEFT(N6297,3)=$W$7,LEFT(O6297,3)=$W$7)),"x","")</f>
        <v/>
      </c>
      <c r="X6297" s="79" t="str">
        <f>IF(OR(TH!N6297=TH!$X$7,O6297=TH!$X$7),"x","")</f>
        <v/>
      </c>
      <c r="Y6297" s="79" t="str">
        <f>IF(AND(OR(N6297="131",O6297="131"),H6297='131-CT'!$H$9),"x","")</f>
        <v/>
      </c>
      <c r="Z6297" s="79"/>
      <c r="AA6297" s="79" t="str">
        <f>IF(AND(MONTH(E6297)='IN-NX'!$J$5,'IN-NX'!$D$7=D6297),"x","")</f>
        <v/>
      </c>
      <c r="AB6297" s="79" t="str">
        <f>IF(AND(OR(LEFT(TH!N6297,2)="15",LEFT(TH!O6297,2)="15"),LEFT(TH!O6297,3)&lt;&gt;"111",'152-CT'!$J$8=TH!F6297),"x","")</f>
        <v/>
      </c>
      <c r="AC6297" s="79" t="str">
        <f>IF(AND(OR(LEFT(TH!N6297,2)="15",LEFT(TH!O6297,2)="15"),TK!$E$7=TH!F6297),"x","")</f>
        <v/>
      </c>
      <c r="AD6297" s="79" t="str">
        <f>IF(AND(N6297="1521",MONTH(C6297)='BK-NL'!$M$11),"x","")</f>
        <v/>
      </c>
    </row>
    <row r="6298" spans="1:30" ht="16.5" customHeight="1">
      <c r="A6298" s="318" t="str">
        <f>IF(B6298&lt;&gt;"",IF(AND(B6298='IN-TC'!$S$4,OR(TH!N6298="1111",TH!O6298="1111")),TH!D6298,""),"")</f>
        <v/>
      </c>
      <c r="B6298" s="60" t="str">
        <f t="shared" si="519"/>
        <v/>
      </c>
      <c r="C6298" s="301"/>
      <c r="D6298" s="301"/>
      <c r="E6298" s="301"/>
      <c r="F6298" s="69"/>
      <c r="G6298" s="769"/>
      <c r="H6298" s="303"/>
      <c r="I6298" s="385"/>
      <c r="J6298" s="392"/>
      <c r="K6298" s="385"/>
      <c r="L6298" s="392"/>
      <c r="M6298" s="62"/>
      <c r="N6298" s="304"/>
      <c r="O6298" s="63"/>
      <c r="P6298" s="79" t="str">
        <f>IF(AND('331-CT'!$E$7=TH!H6298,OR(N6298="331",O6298="331")),"x","")</f>
        <v/>
      </c>
      <c r="Q6298" s="79" t="str">
        <f>IF(AND(B6298='111'!$L$11,OR($N6298=$Q$7,$O6298=$Q$7)),"x","")</f>
        <v/>
      </c>
      <c r="R6298" s="79" t="str">
        <f>IF(AND($N6298=$Q$7,$B6298&lt;'111'!$L$11),"x","")</f>
        <v/>
      </c>
      <c r="S6298" s="79" t="str">
        <f>IF(AND($O6298=$Q$7,$B6298&lt;'111'!$L$11),"x","")</f>
        <v/>
      </c>
      <c r="T6298" s="79" t="str">
        <f>IF(ISERROR(FIND('112'!$M$9,G6298,1)),"",IF((AND(FIND('112'!$M$9,G6298,1)&gt;=1,B6298='112'!$K$9,OR($N6298='112'!$I$6,$O6298='112'!$I$6))),"x",""))</f>
        <v/>
      </c>
      <c r="U6298" s="79" t="str">
        <f>IF(ISERROR(FIND('112'!$M$9,G6298,1)),"",IF((AND(LEFT(G6298,2)=LEFT('112'!$M$9,2),B6298&lt;'112'!$K$9,$N6298='112'!$I$6)),"x",""))</f>
        <v/>
      </c>
      <c r="V6298" s="79" t="str">
        <f>IF(ISERROR(FIND('112'!$M$9,G6298,1)),"",IF((AND(RIGHT(G6298,2)=RIGHT('112'!$M$9,2),B6298&lt;'112'!$K$9,$O6298='112'!$I$6)),"x",""))</f>
        <v/>
      </c>
      <c r="W6298" s="79" t="str">
        <f>IF(AND('341-CT'!$H$9=H6298,OR(LEFT(N6298,3)=$W$7,LEFT(O6298,3)=$W$7)),"x","")</f>
        <v/>
      </c>
      <c r="X6298" s="79" t="str">
        <f>IF(OR(TH!N6298=TH!$X$7,O6298=TH!$X$7),"x","")</f>
        <v/>
      </c>
      <c r="Y6298" s="79" t="str">
        <f>IF(AND(OR(N6298="131",O6298="131"),H6298='131-CT'!$H$9),"x","")</f>
        <v/>
      </c>
      <c r="Z6298" s="79"/>
      <c r="AA6298" s="79" t="str">
        <f>IF(AND(MONTH(E6298)='IN-NX'!$J$5,'IN-NX'!$D$7=D6298),"x","")</f>
        <v/>
      </c>
      <c r="AB6298" s="79" t="str">
        <f>IF(AND(OR(LEFT(TH!N6298,2)="15",LEFT(TH!O6298,2)="15"),LEFT(TH!O6298,3)&lt;&gt;"111",'152-CT'!$J$8=TH!F6298),"x","")</f>
        <v/>
      </c>
      <c r="AC6298" s="79" t="str">
        <f>IF(AND(OR(LEFT(TH!N6298,2)="15",LEFT(TH!O6298,2)="15"),TK!$E$7=TH!F6298),"x","")</f>
        <v/>
      </c>
      <c r="AD6298" s="79" t="str">
        <f>IF(AND(N6298="1521",MONTH(C6298)='BK-NL'!$M$11),"x","")</f>
        <v/>
      </c>
    </row>
    <row r="6299" spans="1:30" ht="16.5" customHeight="1">
      <c r="A6299" s="318" t="str">
        <f>IF(B6299&lt;&gt;"",IF(AND(B6299='IN-TC'!$S$4,OR(TH!N6299="1111",TH!O6299="1111")),TH!D6299,""),"")</f>
        <v/>
      </c>
      <c r="B6299" s="60" t="str">
        <f t="shared" si="519"/>
        <v/>
      </c>
      <c r="C6299" s="301"/>
      <c r="D6299" s="301"/>
      <c r="E6299" s="301"/>
      <c r="F6299" s="69"/>
      <c r="G6299" s="769"/>
      <c r="H6299" s="303"/>
      <c r="I6299" s="385"/>
      <c r="J6299" s="392"/>
      <c r="K6299" s="385"/>
      <c r="L6299" s="392"/>
      <c r="M6299" s="62"/>
      <c r="N6299" s="304"/>
      <c r="O6299" s="63"/>
      <c r="P6299" s="79" t="str">
        <f>IF(AND('331-CT'!$E$7=TH!H6299,OR(N6299="331",O6299="331")),"x","")</f>
        <v/>
      </c>
      <c r="Q6299" s="79" t="str">
        <f>IF(AND(B6299='111'!$L$11,OR($N6299=$Q$7,$O6299=$Q$7)),"x","")</f>
        <v/>
      </c>
      <c r="R6299" s="79" t="str">
        <f>IF(AND($N6299=$Q$7,$B6299&lt;'111'!$L$11),"x","")</f>
        <v/>
      </c>
      <c r="S6299" s="79" t="str">
        <f>IF(AND($O6299=$Q$7,$B6299&lt;'111'!$L$11),"x","")</f>
        <v/>
      </c>
      <c r="T6299" s="79" t="str">
        <f>IF(ISERROR(FIND('112'!$M$9,G6299,1)),"",IF((AND(FIND('112'!$M$9,G6299,1)&gt;=1,B6299='112'!$K$9,OR($N6299='112'!$I$6,$O6299='112'!$I$6))),"x",""))</f>
        <v/>
      </c>
      <c r="U6299" s="79" t="str">
        <f>IF(ISERROR(FIND('112'!$M$9,G6299,1)),"",IF((AND(LEFT(G6299,2)=LEFT('112'!$M$9,2),B6299&lt;'112'!$K$9,$N6299='112'!$I$6)),"x",""))</f>
        <v/>
      </c>
      <c r="V6299" s="79" t="str">
        <f>IF(ISERROR(FIND('112'!$M$9,G6299,1)),"",IF((AND(RIGHT(G6299,2)=RIGHT('112'!$M$9,2),B6299&lt;'112'!$K$9,$O6299='112'!$I$6)),"x",""))</f>
        <v/>
      </c>
      <c r="W6299" s="79" t="str">
        <f>IF(AND('341-CT'!$H$9=H6299,OR(LEFT(N6299,3)=$W$7,LEFT(O6299,3)=$W$7)),"x","")</f>
        <v/>
      </c>
      <c r="X6299" s="79" t="str">
        <f>IF(OR(TH!N6299=TH!$X$7,O6299=TH!$X$7),"x","")</f>
        <v/>
      </c>
      <c r="Y6299" s="79" t="str">
        <f>IF(AND(OR(N6299="131",O6299="131"),H6299='131-CT'!$H$9),"x","")</f>
        <v/>
      </c>
      <c r="Z6299" s="79"/>
      <c r="AA6299" s="79" t="str">
        <f>IF(AND(MONTH(E6299)='IN-NX'!$J$5,'IN-NX'!$D$7=D6299),"x","")</f>
        <v/>
      </c>
      <c r="AB6299" s="79" t="str">
        <f>IF(AND(OR(LEFT(TH!N6299,2)="15",LEFT(TH!O6299,2)="15"),LEFT(TH!O6299,3)&lt;&gt;"111",'152-CT'!$J$8=TH!F6299),"x","")</f>
        <v/>
      </c>
      <c r="AC6299" s="79" t="str">
        <f>IF(AND(OR(LEFT(TH!N6299,2)="15",LEFT(TH!O6299,2)="15"),TK!$E$7=TH!F6299),"x","")</f>
        <v/>
      </c>
      <c r="AD6299" s="79" t="str">
        <f>IF(AND(N6299="1521",MONTH(C6299)='BK-NL'!$M$11),"x","")</f>
        <v/>
      </c>
    </row>
    <row r="6300" spans="1:30" ht="16.5" customHeight="1">
      <c r="A6300" s="318" t="str">
        <f>IF(B6300&lt;&gt;"",IF(AND(B6300='IN-TC'!$S$4,OR(TH!N6300="1111",TH!O6300="1111")),TH!D6300,""),"")</f>
        <v/>
      </c>
      <c r="B6300" s="60" t="str">
        <f t="shared" si="519"/>
        <v/>
      </c>
      <c r="C6300" s="61"/>
      <c r="D6300" s="61"/>
      <c r="E6300" s="61"/>
      <c r="F6300" s="446"/>
      <c r="G6300" s="64"/>
      <c r="H6300" s="69"/>
      <c r="I6300" s="385"/>
      <c r="J6300" s="392"/>
      <c r="K6300" s="385"/>
      <c r="L6300" s="392"/>
      <c r="M6300" s="62"/>
      <c r="N6300" s="63"/>
      <c r="O6300" s="63"/>
      <c r="P6300" s="79" t="str">
        <f>IF(AND('331-CT'!$E$7=TH!H6300,OR(N6300="331",O6300="331")),"x","")</f>
        <v/>
      </c>
      <c r="Q6300" s="79" t="str">
        <f>IF(AND(B6300='111'!$L$11,OR($N6300=$Q$7,$O6300=$Q$7)),"x","")</f>
        <v/>
      </c>
      <c r="R6300" s="79" t="str">
        <f>IF(AND($N6300=$Q$7,$B6300&lt;'111'!$L$11),"x","")</f>
        <v/>
      </c>
      <c r="S6300" s="79" t="str">
        <f>IF(AND($O6300=$Q$7,$B6300&lt;'111'!$L$11),"x","")</f>
        <v/>
      </c>
      <c r="T6300" s="79" t="str">
        <f>IF(ISERROR(FIND('112'!$M$9,G6300,1)),"",IF((AND(FIND('112'!$M$9,G6300,1)&gt;=1,B6300='112'!$K$9,OR($N6300='112'!$I$6,$O6300='112'!$I$6))),"x",""))</f>
        <v/>
      </c>
      <c r="U6300" s="79" t="str">
        <f>IF(ISERROR(FIND('112'!$M$9,G6300,1)),"",IF((AND(LEFT(G6300,2)=LEFT('112'!$M$9,2),B6300&lt;'112'!$K$9,$N6300='112'!$I$6)),"x",""))</f>
        <v/>
      </c>
      <c r="V6300" s="79" t="str">
        <f>IF(ISERROR(FIND('112'!$M$9,G6300,1)),"",IF((AND(RIGHT(G6300,2)=RIGHT('112'!$M$9,2),B6300&lt;'112'!$K$9,$O6300='112'!$I$6)),"x",""))</f>
        <v/>
      </c>
      <c r="W6300" s="79" t="str">
        <f>IF(AND('341-CT'!$H$9=H6300,OR(LEFT(N6300,3)=$W$7,LEFT(O6300,3)=$W$7)),"x","")</f>
        <v/>
      </c>
      <c r="X6300" s="79" t="str">
        <f>IF(OR(TH!N6300=TH!$X$7,O6300=TH!$X$7),"x","")</f>
        <v/>
      </c>
      <c r="Y6300" s="79" t="str">
        <f>IF(AND(OR(N6300="131",O6300="131"),H6300='131-CT'!$H$9),"x","")</f>
        <v/>
      </c>
      <c r="Z6300" s="79"/>
      <c r="AA6300" s="79" t="str">
        <f>IF(AND(MONTH(E6300)='IN-NX'!$J$5,'IN-NX'!$D$7=D6300),"x","")</f>
        <v/>
      </c>
      <c r="AB6300" s="79" t="str">
        <f>IF(AND(OR(LEFT(TH!N6300,2)="15",LEFT(TH!O6300,2)="15"),LEFT(TH!O6300,3)&lt;&gt;"111",'152-CT'!$J$8=TH!F6300),"x","")</f>
        <v/>
      </c>
      <c r="AC6300" s="79" t="str">
        <f>IF(AND(OR(LEFT(TH!N6300,2)="15",LEFT(TH!O6300,2)="15"),TK!$E$7=TH!F6300),"x","")</f>
        <v/>
      </c>
      <c r="AD6300" s="79" t="str">
        <f>IF(AND(N6300="1521",MONTH(C6300)='BK-NL'!$M$11),"x","")</f>
        <v/>
      </c>
    </row>
    <row r="6301" spans="1:30" ht="16.5" customHeight="1">
      <c r="A6301" s="318" t="str">
        <f>IF(B6301&lt;&gt;"",IF(AND(B6301='IN-TC'!$S$4,OR(TH!N6301="1111",TH!O6301="1111")),TH!D6301,""),"")</f>
        <v/>
      </c>
      <c r="B6301" s="60" t="str">
        <f t="shared" si="519"/>
        <v/>
      </c>
      <c r="C6301" s="61"/>
      <c r="D6301" s="61"/>
      <c r="E6301" s="61"/>
      <c r="F6301" s="446"/>
      <c r="G6301" s="64"/>
      <c r="H6301" s="69"/>
      <c r="I6301" s="385"/>
      <c r="J6301" s="392"/>
      <c r="K6301" s="385"/>
      <c r="L6301" s="392"/>
      <c r="M6301" s="62"/>
      <c r="N6301" s="63"/>
      <c r="O6301" s="63"/>
      <c r="P6301" s="79" t="str">
        <f>IF(AND('331-CT'!$E$7=TH!H6301,OR(N6301="331",O6301="331")),"x","")</f>
        <v/>
      </c>
      <c r="Q6301" s="79" t="str">
        <f>IF(AND(B6301='111'!$L$11,OR($N6301=$Q$7,$O6301=$Q$7)),"x","")</f>
        <v/>
      </c>
      <c r="R6301" s="79" t="str">
        <f>IF(AND($N6301=$Q$7,$B6301&lt;'111'!$L$11),"x","")</f>
        <v/>
      </c>
      <c r="S6301" s="79" t="str">
        <f>IF(AND($O6301=$Q$7,$B6301&lt;'111'!$L$11),"x","")</f>
        <v/>
      </c>
      <c r="T6301" s="79" t="str">
        <f>IF(ISERROR(FIND('112'!$M$9,G6301,1)),"",IF((AND(FIND('112'!$M$9,G6301,1)&gt;=1,B6301='112'!$K$9,OR($N6301='112'!$I$6,$O6301='112'!$I$6))),"x",""))</f>
        <v/>
      </c>
      <c r="U6301" s="79" t="str">
        <f>IF(ISERROR(FIND('112'!$M$9,G6301,1)),"",IF((AND(LEFT(G6301,2)=LEFT('112'!$M$9,2),B6301&lt;'112'!$K$9,$N6301='112'!$I$6)),"x",""))</f>
        <v/>
      </c>
      <c r="V6301" s="79" t="str">
        <f>IF(ISERROR(FIND('112'!$M$9,G6301,1)),"",IF((AND(RIGHT(G6301,2)=RIGHT('112'!$M$9,2),B6301&lt;'112'!$K$9,$O6301='112'!$I$6)),"x",""))</f>
        <v/>
      </c>
      <c r="W6301" s="79" t="str">
        <f>IF(AND('341-CT'!$H$9=H6301,OR(LEFT(N6301,3)=$W$7,LEFT(O6301,3)=$W$7)),"x","")</f>
        <v/>
      </c>
      <c r="X6301" s="79" t="str">
        <f>IF(OR(TH!N6301=TH!$X$7,O6301=TH!$X$7),"x","")</f>
        <v/>
      </c>
      <c r="Y6301" s="79" t="str">
        <f>IF(AND(OR(N6301="131",O6301="131"),H6301='131-CT'!$H$9),"x","")</f>
        <v/>
      </c>
      <c r="Z6301" s="79"/>
      <c r="AA6301" s="79" t="str">
        <f>IF(AND(MONTH(E6301)='IN-NX'!$J$5,'IN-NX'!$D$7=D6301),"x","")</f>
        <v/>
      </c>
      <c r="AB6301" s="79" t="str">
        <f>IF(AND(OR(LEFT(TH!N6301,2)="15",LEFT(TH!O6301,2)="15"),LEFT(TH!O6301,3)&lt;&gt;"111",'152-CT'!$J$8=TH!F6301),"x","")</f>
        <v/>
      </c>
      <c r="AC6301" s="79" t="str">
        <f>IF(AND(OR(LEFT(TH!N6301,2)="15",LEFT(TH!O6301,2)="15"),TK!$E$7=TH!F6301),"x","")</f>
        <v/>
      </c>
      <c r="AD6301" s="79" t="str">
        <f>IF(AND(N6301="1521",MONTH(C6301)='BK-NL'!$M$11),"x","")</f>
        <v/>
      </c>
    </row>
    <row r="6302" spans="1:30" ht="16.5" customHeight="1">
      <c r="A6302" s="318" t="str">
        <f>IF(B6302&lt;&gt;"",IF(AND(B6302='IN-TC'!$S$4,OR(TH!N6302="1111",TH!O6302="1111")),TH!D6302,""),"")</f>
        <v/>
      </c>
      <c r="B6302" s="60" t="str">
        <f t="shared" si="519"/>
        <v/>
      </c>
      <c r="C6302" s="301"/>
      <c r="D6302" s="301"/>
      <c r="E6302" s="301"/>
      <c r="F6302" s="69"/>
      <c r="G6302" s="769"/>
      <c r="H6302" s="303"/>
      <c r="I6302" s="385"/>
      <c r="J6302" s="392"/>
      <c r="K6302" s="385"/>
      <c r="L6302" s="392"/>
      <c r="M6302" s="62"/>
      <c r="N6302" s="304"/>
      <c r="O6302" s="63"/>
      <c r="P6302" s="79" t="str">
        <f>IF(AND('331-CT'!$E$7=TH!H6302,OR(N6302="331",O6302="331")),"x","")</f>
        <v/>
      </c>
      <c r="Q6302" s="79" t="str">
        <f>IF(AND(B6302='111'!$L$11,OR($N6302=$Q$7,$O6302=$Q$7)),"x","")</f>
        <v/>
      </c>
      <c r="R6302" s="79" t="str">
        <f>IF(AND($N6302=$Q$7,$B6302&lt;'111'!$L$11),"x","")</f>
        <v/>
      </c>
      <c r="S6302" s="79" t="str">
        <f>IF(AND($O6302=$Q$7,$B6302&lt;'111'!$L$11),"x","")</f>
        <v/>
      </c>
      <c r="T6302" s="79" t="str">
        <f>IF(ISERROR(FIND('112'!$M$9,G6302,1)),"",IF((AND(FIND('112'!$M$9,G6302,1)&gt;=1,B6302='112'!$K$9,OR($N6302='112'!$I$6,$O6302='112'!$I$6))),"x",""))</f>
        <v/>
      </c>
      <c r="U6302" s="79" t="str">
        <f>IF(ISERROR(FIND('112'!$M$9,G6302,1)),"",IF((AND(LEFT(G6302,2)=LEFT('112'!$M$9,2),B6302&lt;'112'!$K$9,$N6302='112'!$I$6)),"x",""))</f>
        <v/>
      </c>
      <c r="V6302" s="79" t="str">
        <f>IF(ISERROR(FIND('112'!$M$9,G6302,1)),"",IF((AND(RIGHT(G6302,2)=RIGHT('112'!$M$9,2),B6302&lt;'112'!$K$9,$O6302='112'!$I$6)),"x",""))</f>
        <v/>
      </c>
      <c r="W6302" s="79" t="str">
        <f>IF(AND('341-CT'!$H$9=H6302,OR(LEFT(N6302,3)=$W$7,LEFT(O6302,3)=$W$7)),"x","")</f>
        <v/>
      </c>
      <c r="X6302" s="79" t="str">
        <f>IF(OR(TH!N6302=TH!$X$7,O6302=TH!$X$7),"x","")</f>
        <v/>
      </c>
      <c r="Y6302" s="79" t="str">
        <f>IF(AND(OR(N6302="131",O6302="131"),H6302='131-CT'!$H$9),"x","")</f>
        <v/>
      </c>
      <c r="Z6302" s="79"/>
      <c r="AA6302" s="79" t="str">
        <f>IF(AND(MONTH(E6302)='IN-NX'!$J$5,'IN-NX'!$D$7=D6302),"x","")</f>
        <v/>
      </c>
      <c r="AB6302" s="79" t="str">
        <f>IF(AND(OR(LEFT(TH!N6302,2)="15",LEFT(TH!O6302,2)="15"),LEFT(TH!O6302,3)&lt;&gt;"111",'152-CT'!$J$8=TH!F6302),"x","")</f>
        <v/>
      </c>
      <c r="AC6302" s="79" t="str">
        <f>IF(AND(OR(LEFT(TH!N6302,2)="15",LEFT(TH!O6302,2)="15"),TK!$E$7=TH!F6302),"x","")</f>
        <v/>
      </c>
      <c r="AD6302" s="79" t="str">
        <f>IF(AND(N6302="1521",MONTH(C6302)='BK-NL'!$M$11),"x","")</f>
        <v/>
      </c>
    </row>
    <row r="6303" spans="1:30" ht="16.5" customHeight="1">
      <c r="A6303" s="318" t="str">
        <f>IF(B6303&lt;&gt;"",IF(AND(B6303='IN-TC'!$S$4,OR(TH!N6303="1111",TH!O6303="1111")),TH!D6303,""),"")</f>
        <v/>
      </c>
      <c r="B6303" s="60" t="str">
        <f t="shared" si="519"/>
        <v/>
      </c>
      <c r="C6303" s="301"/>
      <c r="D6303" s="301"/>
      <c r="E6303" s="301"/>
      <c r="F6303" s="69"/>
      <c r="G6303" s="769"/>
      <c r="H6303" s="303"/>
      <c r="I6303" s="385"/>
      <c r="J6303" s="392"/>
      <c r="K6303" s="385"/>
      <c r="L6303" s="392"/>
      <c r="M6303" s="62"/>
      <c r="N6303" s="304"/>
      <c r="O6303" s="63"/>
      <c r="P6303" s="79" t="str">
        <f>IF(AND('331-CT'!$E$7=TH!H6303,OR(N6303="331",O6303="331")),"x","")</f>
        <v/>
      </c>
      <c r="Q6303" s="79" t="str">
        <f>IF(AND(B6303='111'!$L$11,OR($N6303=$Q$7,$O6303=$Q$7)),"x","")</f>
        <v/>
      </c>
      <c r="R6303" s="79" t="str">
        <f>IF(AND($N6303=$Q$7,$B6303&lt;'111'!$L$11),"x","")</f>
        <v/>
      </c>
      <c r="S6303" s="79" t="str">
        <f>IF(AND($O6303=$Q$7,$B6303&lt;'111'!$L$11),"x","")</f>
        <v/>
      </c>
      <c r="T6303" s="79" t="str">
        <f>IF(ISERROR(FIND('112'!$M$9,G6303,1)),"",IF((AND(FIND('112'!$M$9,G6303,1)&gt;=1,B6303='112'!$K$9,OR($N6303='112'!$I$6,$O6303='112'!$I$6))),"x",""))</f>
        <v/>
      </c>
      <c r="U6303" s="79" t="str">
        <f>IF(ISERROR(FIND('112'!$M$9,G6303,1)),"",IF((AND(LEFT(G6303,2)=LEFT('112'!$M$9,2),B6303&lt;'112'!$K$9,$N6303='112'!$I$6)),"x",""))</f>
        <v/>
      </c>
      <c r="V6303" s="79" t="str">
        <f>IF(ISERROR(FIND('112'!$M$9,G6303,1)),"",IF((AND(RIGHT(G6303,2)=RIGHT('112'!$M$9,2),B6303&lt;'112'!$K$9,$O6303='112'!$I$6)),"x",""))</f>
        <v/>
      </c>
      <c r="W6303" s="79" t="str">
        <f>IF(AND('341-CT'!$H$9=H6303,OR(LEFT(N6303,3)=$W$7,LEFT(O6303,3)=$W$7)),"x","")</f>
        <v/>
      </c>
      <c r="X6303" s="79" t="str">
        <f>IF(OR(TH!N6303=TH!$X$7,O6303=TH!$X$7),"x","")</f>
        <v/>
      </c>
      <c r="Y6303" s="79" t="str">
        <f>IF(AND(OR(N6303="131",O6303="131"),H6303='131-CT'!$H$9),"x","")</f>
        <v/>
      </c>
      <c r="Z6303" s="79"/>
      <c r="AA6303" s="79" t="str">
        <f>IF(AND(MONTH(E6303)='IN-NX'!$J$5,'IN-NX'!$D$7=D6303),"x","")</f>
        <v/>
      </c>
      <c r="AB6303" s="79" t="str">
        <f>IF(AND(OR(LEFT(TH!N6303,2)="15",LEFT(TH!O6303,2)="15"),LEFT(TH!O6303,3)&lt;&gt;"111",'152-CT'!$J$8=TH!F6303),"x","")</f>
        <v/>
      </c>
      <c r="AC6303" s="79" t="str">
        <f>IF(AND(OR(LEFT(TH!N6303,2)="15",LEFT(TH!O6303,2)="15"),TK!$E$7=TH!F6303),"x","")</f>
        <v/>
      </c>
      <c r="AD6303" s="79" t="str">
        <f>IF(AND(N6303="1521",MONTH(C6303)='BK-NL'!$M$11),"x","")</f>
        <v/>
      </c>
    </row>
    <row r="6304" spans="1:30" ht="16.5" customHeight="1">
      <c r="A6304" s="318" t="str">
        <f>IF(B6304&lt;&gt;"",IF(AND(B6304='IN-TC'!$S$4,OR(TH!N6304="1111",TH!O6304="1111")),TH!D6304,""),"")</f>
        <v/>
      </c>
      <c r="B6304" s="60" t="str">
        <f t="shared" si="519"/>
        <v/>
      </c>
      <c r="C6304" s="301"/>
      <c r="D6304" s="301"/>
      <c r="E6304" s="301"/>
      <c r="F6304" s="69"/>
      <c r="G6304" s="769"/>
      <c r="H6304" s="303"/>
      <c r="I6304" s="385"/>
      <c r="J6304" s="392"/>
      <c r="K6304" s="385"/>
      <c r="L6304" s="392"/>
      <c r="M6304" s="62"/>
      <c r="N6304" s="304"/>
      <c r="O6304" s="63"/>
      <c r="P6304" s="79" t="str">
        <f>IF(AND('331-CT'!$E$7=TH!H6304,OR(N6304="331",O6304="331")),"x","")</f>
        <v/>
      </c>
      <c r="Q6304" s="79" t="str">
        <f>IF(AND(B6304='111'!$L$11,OR($N6304=$Q$7,$O6304=$Q$7)),"x","")</f>
        <v/>
      </c>
      <c r="R6304" s="79" t="str">
        <f>IF(AND($N6304=$Q$7,$B6304&lt;'111'!$L$11),"x","")</f>
        <v/>
      </c>
      <c r="S6304" s="79" t="str">
        <f>IF(AND($O6304=$Q$7,$B6304&lt;'111'!$L$11),"x","")</f>
        <v/>
      </c>
      <c r="T6304" s="79" t="str">
        <f>IF(ISERROR(FIND('112'!$M$9,G6304,1)),"",IF((AND(FIND('112'!$M$9,G6304,1)&gt;=1,B6304='112'!$K$9,OR($N6304='112'!$I$6,$O6304='112'!$I$6))),"x",""))</f>
        <v/>
      </c>
      <c r="U6304" s="79" t="str">
        <f>IF(ISERROR(FIND('112'!$M$9,G6304,1)),"",IF((AND(LEFT(G6304,2)=LEFT('112'!$M$9,2),B6304&lt;'112'!$K$9,$N6304='112'!$I$6)),"x",""))</f>
        <v/>
      </c>
      <c r="V6304" s="79" t="str">
        <f>IF(ISERROR(FIND('112'!$M$9,G6304,1)),"",IF((AND(RIGHT(G6304,2)=RIGHT('112'!$M$9,2),B6304&lt;'112'!$K$9,$O6304='112'!$I$6)),"x",""))</f>
        <v/>
      </c>
      <c r="W6304" s="79" t="str">
        <f>IF(AND('341-CT'!$H$9=H6304,OR(LEFT(N6304,3)=$W$7,LEFT(O6304,3)=$W$7)),"x","")</f>
        <v/>
      </c>
      <c r="X6304" s="79" t="str">
        <f>IF(OR(TH!N6304=TH!$X$7,O6304=TH!$X$7),"x","")</f>
        <v/>
      </c>
      <c r="Y6304" s="79" t="str">
        <f>IF(AND(OR(N6304="131",O6304="131"),H6304='131-CT'!$H$9),"x","")</f>
        <v/>
      </c>
      <c r="Z6304" s="79"/>
      <c r="AA6304" s="79" t="str">
        <f>IF(AND(MONTH(E6304)='IN-NX'!$J$5,'IN-NX'!$D$7=D6304),"x","")</f>
        <v/>
      </c>
      <c r="AB6304" s="79" t="str">
        <f>IF(AND(OR(LEFT(TH!N6304,2)="15",LEFT(TH!O6304,2)="15"),LEFT(TH!O6304,3)&lt;&gt;"111",'152-CT'!$J$8=TH!F6304),"x","")</f>
        <v/>
      </c>
      <c r="AC6304" s="79" t="str">
        <f>IF(AND(OR(LEFT(TH!N6304,2)="15",LEFT(TH!O6304,2)="15"),TK!$E$7=TH!F6304),"x","")</f>
        <v/>
      </c>
      <c r="AD6304" s="79" t="str">
        <f>IF(AND(N6304="1521",MONTH(C6304)='BK-NL'!$M$11),"x","")</f>
        <v/>
      </c>
    </row>
    <row r="6305" spans="1:30" ht="16.5" customHeight="1">
      <c r="A6305" s="318" t="str">
        <f>IF(B6305&lt;&gt;"",IF(AND(B6305='IN-TC'!$S$4,OR(TH!N6305="1111",TH!O6305="1111")),TH!D6305,""),"")</f>
        <v/>
      </c>
      <c r="B6305" s="60" t="str">
        <f t="shared" si="519"/>
        <v/>
      </c>
      <c r="C6305" s="301"/>
      <c r="D6305" s="301"/>
      <c r="E6305" s="301"/>
      <c r="F6305" s="69"/>
      <c r="G6305" s="769"/>
      <c r="H6305" s="303"/>
      <c r="I6305" s="385"/>
      <c r="J6305" s="392"/>
      <c r="K6305" s="385"/>
      <c r="L6305" s="392"/>
      <c r="M6305" s="62"/>
      <c r="N6305" s="304"/>
      <c r="O6305" s="63"/>
      <c r="P6305" s="79" t="str">
        <f>IF(AND('331-CT'!$E$7=TH!H6305,OR(N6305="331",O6305="331")),"x","")</f>
        <v/>
      </c>
      <c r="Q6305" s="79" t="str">
        <f>IF(AND(B6305='111'!$L$11,OR($N6305=$Q$7,$O6305=$Q$7)),"x","")</f>
        <v/>
      </c>
      <c r="R6305" s="79" t="str">
        <f>IF(AND($N6305=$Q$7,$B6305&lt;'111'!$L$11),"x","")</f>
        <v/>
      </c>
      <c r="S6305" s="79" t="str">
        <f>IF(AND($O6305=$Q$7,$B6305&lt;'111'!$L$11),"x","")</f>
        <v/>
      </c>
      <c r="T6305" s="79" t="str">
        <f>IF(ISERROR(FIND('112'!$M$9,G6305,1)),"",IF((AND(FIND('112'!$M$9,G6305,1)&gt;=1,B6305='112'!$K$9,OR($N6305='112'!$I$6,$O6305='112'!$I$6))),"x",""))</f>
        <v/>
      </c>
      <c r="U6305" s="79" t="str">
        <f>IF(ISERROR(FIND('112'!$M$9,G6305,1)),"",IF((AND(LEFT(G6305,2)=LEFT('112'!$M$9,2),B6305&lt;'112'!$K$9,$N6305='112'!$I$6)),"x",""))</f>
        <v/>
      </c>
      <c r="V6305" s="79" t="str">
        <f>IF(ISERROR(FIND('112'!$M$9,G6305,1)),"",IF((AND(RIGHT(G6305,2)=RIGHT('112'!$M$9,2),B6305&lt;'112'!$K$9,$O6305='112'!$I$6)),"x",""))</f>
        <v/>
      </c>
      <c r="W6305" s="79" t="str">
        <f>IF(AND('341-CT'!$H$9=H6305,OR(LEFT(N6305,3)=$W$7,LEFT(O6305,3)=$W$7)),"x","")</f>
        <v/>
      </c>
      <c r="X6305" s="79" t="str">
        <f>IF(OR(TH!N6305=TH!$X$7,O6305=TH!$X$7),"x","")</f>
        <v/>
      </c>
      <c r="Y6305" s="79" t="str">
        <f>IF(AND(OR(N6305="131",O6305="131"),H6305='131-CT'!$H$9),"x","")</f>
        <v/>
      </c>
      <c r="Z6305" s="79"/>
      <c r="AA6305" s="79" t="str">
        <f>IF(AND(MONTH(E6305)='IN-NX'!$J$5,'IN-NX'!$D$7=D6305),"x","")</f>
        <v/>
      </c>
      <c r="AB6305" s="79" t="str">
        <f>IF(AND(OR(LEFT(TH!N6305,2)="15",LEFT(TH!O6305,2)="15"),LEFT(TH!O6305,3)&lt;&gt;"111",'152-CT'!$J$8=TH!F6305),"x","")</f>
        <v/>
      </c>
      <c r="AC6305" s="79" t="str">
        <f>IF(AND(OR(LEFT(TH!N6305,2)="15",LEFT(TH!O6305,2)="15"),TK!$E$7=TH!F6305),"x","")</f>
        <v/>
      </c>
      <c r="AD6305" s="79" t="str">
        <f>IF(AND(N6305="1521",MONTH(C6305)='BK-NL'!$M$11),"x","")</f>
        <v/>
      </c>
    </row>
    <row r="6306" spans="1:30" ht="16.5" customHeight="1">
      <c r="A6306" s="318" t="str">
        <f>IF(B6306&lt;&gt;"",IF(AND(B6306='IN-TC'!$S$4,OR(TH!N6306="1111",TH!O6306="1111")),TH!D6306,""),"")</f>
        <v/>
      </c>
      <c r="B6306" s="60" t="str">
        <f t="shared" si="519"/>
        <v/>
      </c>
      <c r="C6306" s="61"/>
      <c r="D6306" s="61"/>
      <c r="E6306" s="61"/>
      <c r="F6306" s="446"/>
      <c r="G6306" s="64"/>
      <c r="H6306" s="69"/>
      <c r="I6306" s="385"/>
      <c r="J6306" s="392"/>
      <c r="K6306" s="385"/>
      <c r="L6306" s="392"/>
      <c r="M6306" s="62"/>
      <c r="N6306" s="63"/>
      <c r="O6306" s="63"/>
      <c r="P6306" s="79" t="str">
        <f>IF(AND('331-CT'!$E$7=TH!H6306,OR(N6306="331",O6306="331")),"x","")</f>
        <v/>
      </c>
      <c r="Q6306" s="79" t="str">
        <f>IF(AND(B6306='111'!$L$11,OR($N6306=$Q$7,$O6306=$Q$7)),"x","")</f>
        <v/>
      </c>
      <c r="R6306" s="79" t="str">
        <f>IF(AND($N6306=$Q$7,$B6306&lt;'111'!$L$11),"x","")</f>
        <v/>
      </c>
      <c r="S6306" s="79" t="str">
        <f>IF(AND($O6306=$Q$7,$B6306&lt;'111'!$L$11),"x","")</f>
        <v/>
      </c>
      <c r="T6306" s="79" t="str">
        <f>IF(ISERROR(FIND('112'!$M$9,G6306,1)),"",IF((AND(FIND('112'!$M$9,G6306,1)&gt;=1,B6306='112'!$K$9,OR($N6306='112'!$I$6,$O6306='112'!$I$6))),"x",""))</f>
        <v/>
      </c>
      <c r="U6306" s="79" t="str">
        <f>IF(ISERROR(FIND('112'!$M$9,G6306,1)),"",IF((AND(LEFT(G6306,2)=LEFT('112'!$M$9,2),B6306&lt;'112'!$K$9,$N6306='112'!$I$6)),"x",""))</f>
        <v/>
      </c>
      <c r="V6306" s="79" t="str">
        <f>IF(ISERROR(FIND('112'!$M$9,G6306,1)),"",IF((AND(RIGHT(G6306,2)=RIGHT('112'!$M$9,2),B6306&lt;'112'!$K$9,$O6306='112'!$I$6)),"x",""))</f>
        <v/>
      </c>
      <c r="W6306" s="79" t="str">
        <f>IF(AND('341-CT'!$H$9=H6306,OR(LEFT(N6306,3)=$W$7,LEFT(O6306,3)=$W$7)),"x","")</f>
        <v/>
      </c>
      <c r="X6306" s="79" t="str">
        <f>IF(OR(TH!N6306=TH!$X$7,O6306=TH!$X$7),"x","")</f>
        <v/>
      </c>
      <c r="Y6306" s="79" t="str">
        <f>IF(AND(OR(N6306="131",O6306="131"),H6306='131-CT'!$H$9),"x","")</f>
        <v/>
      </c>
      <c r="Z6306" s="79"/>
      <c r="AA6306" s="79" t="str">
        <f>IF(AND(MONTH(E6306)='IN-NX'!$J$5,'IN-NX'!$D$7=D6306),"x","")</f>
        <v/>
      </c>
      <c r="AB6306" s="79" t="str">
        <f>IF(AND(OR(LEFT(TH!N6306,2)="15",LEFT(TH!O6306,2)="15"),LEFT(TH!O6306,3)&lt;&gt;"111",'152-CT'!$J$8=TH!F6306),"x","")</f>
        <v/>
      </c>
      <c r="AC6306" s="79" t="str">
        <f>IF(AND(OR(LEFT(TH!N6306,2)="15",LEFT(TH!O6306,2)="15"),TK!$E$7=TH!F6306),"x","")</f>
        <v/>
      </c>
      <c r="AD6306" s="79" t="str">
        <f>IF(AND(N6306="1521",MONTH(C6306)='BK-NL'!$M$11),"x","")</f>
        <v/>
      </c>
    </row>
    <row r="6307" spans="1:30" ht="16.5" customHeight="1">
      <c r="A6307" s="318" t="str">
        <f>IF(B6307&lt;&gt;"",IF(AND(B6307='IN-TC'!$S$4,OR(TH!N6307="1111",TH!O6307="1111")),TH!D6307,""),"")</f>
        <v/>
      </c>
      <c r="B6307" s="60" t="str">
        <f t="shared" si="519"/>
        <v/>
      </c>
      <c r="C6307" s="61"/>
      <c r="D6307" s="61"/>
      <c r="E6307" s="61"/>
      <c r="F6307" s="446"/>
      <c r="G6307" s="64"/>
      <c r="H6307" s="69"/>
      <c r="I6307" s="385"/>
      <c r="J6307" s="392"/>
      <c r="K6307" s="385"/>
      <c r="L6307" s="392"/>
      <c r="M6307" s="62"/>
      <c r="N6307" s="63"/>
      <c r="O6307" s="63"/>
      <c r="P6307" s="79" t="str">
        <f>IF(AND('331-CT'!$E$7=TH!H6307,OR(N6307="331",O6307="331")),"x","")</f>
        <v/>
      </c>
      <c r="Q6307" s="79" t="str">
        <f>IF(AND(B6307='111'!$L$11,OR($N6307=$Q$7,$O6307=$Q$7)),"x","")</f>
        <v/>
      </c>
      <c r="R6307" s="79" t="str">
        <f>IF(AND($N6307=$Q$7,$B6307&lt;'111'!$L$11),"x","")</f>
        <v/>
      </c>
      <c r="S6307" s="79" t="str">
        <f>IF(AND($O6307=$Q$7,$B6307&lt;'111'!$L$11),"x","")</f>
        <v/>
      </c>
      <c r="T6307" s="79" t="str">
        <f>IF(ISERROR(FIND('112'!$M$9,G6307,1)),"",IF((AND(FIND('112'!$M$9,G6307,1)&gt;=1,B6307='112'!$K$9,OR($N6307='112'!$I$6,$O6307='112'!$I$6))),"x",""))</f>
        <v/>
      </c>
      <c r="U6307" s="79" t="str">
        <f>IF(ISERROR(FIND('112'!$M$9,G6307,1)),"",IF((AND(LEFT(G6307,2)=LEFT('112'!$M$9,2),B6307&lt;'112'!$K$9,$N6307='112'!$I$6)),"x",""))</f>
        <v/>
      </c>
      <c r="V6307" s="79" t="str">
        <f>IF(ISERROR(FIND('112'!$M$9,G6307,1)),"",IF((AND(RIGHT(G6307,2)=RIGHT('112'!$M$9,2),B6307&lt;'112'!$K$9,$O6307='112'!$I$6)),"x",""))</f>
        <v/>
      </c>
      <c r="W6307" s="79" t="str">
        <f>IF(AND('341-CT'!$H$9=H6307,OR(LEFT(N6307,3)=$W$7,LEFT(O6307,3)=$W$7)),"x","")</f>
        <v/>
      </c>
      <c r="X6307" s="79" t="str">
        <f>IF(OR(TH!N6307=TH!$X$7,O6307=TH!$X$7),"x","")</f>
        <v/>
      </c>
      <c r="Y6307" s="79" t="str">
        <f>IF(AND(OR(N6307="131",O6307="131"),H6307='131-CT'!$H$9),"x","")</f>
        <v/>
      </c>
      <c r="Z6307" s="79"/>
      <c r="AA6307" s="79" t="str">
        <f>IF(AND(MONTH(E6307)='IN-NX'!$J$5,'IN-NX'!$D$7=D6307),"x","")</f>
        <v/>
      </c>
      <c r="AB6307" s="79" t="str">
        <f>IF(AND(OR(LEFT(TH!N6307,2)="15",LEFT(TH!O6307,2)="15"),LEFT(TH!O6307,3)&lt;&gt;"111",'152-CT'!$J$8=TH!F6307),"x","")</f>
        <v/>
      </c>
      <c r="AC6307" s="79" t="str">
        <f>IF(AND(OR(LEFT(TH!N6307,2)="15",LEFT(TH!O6307,2)="15"),TK!$E$7=TH!F6307),"x","")</f>
        <v/>
      </c>
      <c r="AD6307" s="79" t="str">
        <f>IF(AND(N6307="1521",MONTH(C6307)='BK-NL'!$M$11),"x","")</f>
        <v/>
      </c>
    </row>
    <row r="6308" spans="1:30" ht="16.5" customHeight="1">
      <c r="A6308" s="318" t="str">
        <f>IF(B6308&lt;&gt;"",IF(AND(B6308='IN-TC'!$S$4,OR(TH!N6308="1111",TH!O6308="1111")),TH!D6308,""),"")</f>
        <v/>
      </c>
      <c r="B6308" s="60" t="str">
        <f t="shared" si="519"/>
        <v/>
      </c>
      <c r="C6308" s="301"/>
      <c r="D6308" s="301"/>
      <c r="E6308" s="301"/>
      <c r="F6308" s="69"/>
      <c r="G6308" s="769"/>
      <c r="H6308" s="302"/>
      <c r="I6308" s="385"/>
      <c r="J6308" s="392"/>
      <c r="K6308" s="385"/>
      <c r="L6308" s="392"/>
      <c r="M6308" s="62"/>
      <c r="N6308" s="304"/>
      <c r="O6308" s="63"/>
      <c r="P6308" s="79" t="str">
        <f>IF(AND('331-CT'!$E$7=TH!H6308,OR(N6308="331",O6308="331")),"x","")</f>
        <v/>
      </c>
      <c r="Q6308" s="79" t="str">
        <f>IF(AND(B6308='111'!$L$11,OR($N6308=$Q$7,$O6308=$Q$7)),"x","")</f>
        <v/>
      </c>
      <c r="R6308" s="79" t="str">
        <f>IF(AND($N6308=$Q$7,$B6308&lt;'111'!$L$11),"x","")</f>
        <v/>
      </c>
      <c r="S6308" s="79" t="str">
        <f>IF(AND($O6308=$Q$7,$B6308&lt;'111'!$L$11),"x","")</f>
        <v/>
      </c>
      <c r="T6308" s="79" t="str">
        <f>IF(ISERROR(FIND('112'!$M$9,G6308,1)),"",IF((AND(FIND('112'!$M$9,G6308,1)&gt;=1,B6308='112'!$K$9,OR($N6308='112'!$I$6,$O6308='112'!$I$6))),"x",""))</f>
        <v/>
      </c>
      <c r="U6308" s="79" t="str">
        <f>IF(ISERROR(FIND('112'!$M$9,G6308,1)),"",IF((AND(LEFT(G6308,2)=LEFT('112'!$M$9,2),B6308&lt;'112'!$K$9,$N6308='112'!$I$6)),"x",""))</f>
        <v/>
      </c>
      <c r="V6308" s="79" t="str">
        <f>IF(ISERROR(FIND('112'!$M$9,G6308,1)),"",IF((AND(RIGHT(G6308,2)=RIGHT('112'!$M$9,2),B6308&lt;'112'!$K$9,$O6308='112'!$I$6)),"x",""))</f>
        <v/>
      </c>
      <c r="W6308" s="79" t="str">
        <f>IF(AND('341-CT'!$H$9=H6308,OR(LEFT(N6308,3)=$W$7,LEFT(O6308,3)=$W$7)),"x","")</f>
        <v/>
      </c>
      <c r="X6308" s="79" t="str">
        <f>IF(OR(TH!N6308=TH!$X$7,O6308=TH!$X$7),"x","")</f>
        <v/>
      </c>
      <c r="Y6308" s="79" t="str">
        <f>IF(AND(OR(N6308="131",O6308="131"),H6308='131-CT'!$H$9),"x","")</f>
        <v/>
      </c>
      <c r="Z6308" s="79"/>
      <c r="AA6308" s="79" t="str">
        <f>IF(AND(MONTH(E6308)='IN-NX'!$J$5,'IN-NX'!$D$7=D6308),"x","")</f>
        <v/>
      </c>
      <c r="AB6308" s="79" t="str">
        <f>IF(AND(OR(LEFT(TH!N6308,2)="15",LEFT(TH!O6308,2)="15"),LEFT(TH!O6308,3)&lt;&gt;"111",'152-CT'!$J$8=TH!F6308),"x","")</f>
        <v/>
      </c>
      <c r="AC6308" s="79" t="str">
        <f>IF(AND(OR(LEFT(TH!N6308,2)="15",LEFT(TH!O6308,2)="15"),TK!$E$7=TH!F6308),"x","")</f>
        <v/>
      </c>
      <c r="AD6308" s="79" t="str">
        <f>IF(AND(N6308="1521",MONTH(C6308)='BK-NL'!$M$11),"x","")</f>
        <v/>
      </c>
    </row>
    <row r="6309" spans="1:30" ht="16.5" customHeight="1">
      <c r="A6309" s="318" t="str">
        <f>IF(B6309&lt;&gt;"",IF(AND(B6309='IN-TC'!$S$4,OR(TH!N6309="1111",TH!O6309="1111")),TH!D6309,""),"")</f>
        <v/>
      </c>
      <c r="B6309" s="60" t="str">
        <f t="shared" si="519"/>
        <v/>
      </c>
      <c r="C6309" s="301"/>
      <c r="D6309" s="301"/>
      <c r="E6309" s="301"/>
      <c r="F6309" s="69"/>
      <c r="G6309" s="769"/>
      <c r="H6309" s="302"/>
      <c r="I6309" s="385"/>
      <c r="J6309" s="392"/>
      <c r="K6309" s="385"/>
      <c r="L6309" s="392"/>
      <c r="M6309" s="62"/>
      <c r="N6309" s="304"/>
      <c r="O6309" s="63"/>
      <c r="P6309" s="79" t="str">
        <f>IF(AND('331-CT'!$E$7=TH!H6309,OR(N6309="331",O6309="331")),"x","")</f>
        <v/>
      </c>
      <c r="Q6309" s="79" t="str">
        <f>IF(AND(B6309='111'!$L$11,OR($N6309=$Q$7,$O6309=$Q$7)),"x","")</f>
        <v/>
      </c>
      <c r="R6309" s="79" t="str">
        <f>IF(AND($N6309=$Q$7,$B6309&lt;'111'!$L$11),"x","")</f>
        <v/>
      </c>
      <c r="S6309" s="79" t="str">
        <f>IF(AND($O6309=$Q$7,$B6309&lt;'111'!$L$11),"x","")</f>
        <v/>
      </c>
      <c r="T6309" s="79" t="str">
        <f>IF(ISERROR(FIND('112'!$M$9,G6309,1)),"",IF((AND(FIND('112'!$M$9,G6309,1)&gt;=1,B6309='112'!$K$9,OR($N6309='112'!$I$6,$O6309='112'!$I$6))),"x",""))</f>
        <v/>
      </c>
      <c r="U6309" s="79" t="str">
        <f>IF(ISERROR(FIND('112'!$M$9,G6309,1)),"",IF((AND(LEFT(G6309,2)=LEFT('112'!$M$9,2),B6309&lt;'112'!$K$9,$N6309='112'!$I$6)),"x",""))</f>
        <v/>
      </c>
      <c r="V6309" s="79" t="str">
        <f>IF(ISERROR(FIND('112'!$M$9,G6309,1)),"",IF((AND(RIGHT(G6309,2)=RIGHT('112'!$M$9,2),B6309&lt;'112'!$K$9,$O6309='112'!$I$6)),"x",""))</f>
        <v/>
      </c>
      <c r="W6309" s="79" t="str">
        <f>IF(AND('341-CT'!$H$9=H6309,OR(LEFT(N6309,3)=$W$7,LEFT(O6309,3)=$W$7)),"x","")</f>
        <v/>
      </c>
      <c r="X6309" s="79" t="str">
        <f>IF(OR(TH!N6309=TH!$X$7,O6309=TH!$X$7),"x","")</f>
        <v/>
      </c>
      <c r="Y6309" s="79" t="str">
        <f>IF(AND(OR(N6309="131",O6309="131"),H6309='131-CT'!$H$9),"x","")</f>
        <v/>
      </c>
      <c r="Z6309" s="79"/>
      <c r="AA6309" s="79" t="str">
        <f>IF(AND(MONTH(E6309)='IN-NX'!$J$5,'IN-NX'!$D$7=D6309),"x","")</f>
        <v/>
      </c>
      <c r="AB6309" s="79" t="str">
        <f>IF(AND(OR(LEFT(TH!N6309,2)="15",LEFT(TH!O6309,2)="15"),LEFT(TH!O6309,3)&lt;&gt;"111",'152-CT'!$J$8=TH!F6309),"x","")</f>
        <v/>
      </c>
      <c r="AC6309" s="79" t="str">
        <f>IF(AND(OR(LEFT(TH!N6309,2)="15",LEFT(TH!O6309,2)="15"),TK!$E$7=TH!F6309),"x","")</f>
        <v/>
      </c>
      <c r="AD6309" s="79" t="str">
        <f>IF(AND(N6309="1521",MONTH(C6309)='BK-NL'!$M$11),"x","")</f>
        <v/>
      </c>
    </row>
    <row r="6310" spans="1:30" ht="16.5" customHeight="1">
      <c r="A6310" s="318" t="str">
        <f>IF(B6310&lt;&gt;"",IF(AND(B6310='IN-TC'!$S$4,OR(TH!N6310="1111",TH!O6310="1111")),TH!D6310,""),"")</f>
        <v/>
      </c>
      <c r="B6310" s="60" t="str">
        <f t="shared" si="519"/>
        <v/>
      </c>
      <c r="C6310" s="301"/>
      <c r="D6310" s="301"/>
      <c r="E6310" s="301"/>
      <c r="F6310" s="69"/>
      <c r="G6310" s="769"/>
      <c r="H6310" s="302"/>
      <c r="I6310" s="385"/>
      <c r="J6310" s="392"/>
      <c r="K6310" s="385"/>
      <c r="L6310" s="392"/>
      <c r="M6310" s="62"/>
      <c r="N6310" s="304"/>
      <c r="O6310" s="63"/>
      <c r="P6310" s="79" t="str">
        <f>IF(AND('331-CT'!$E$7=TH!H6310,OR(N6310="331",O6310="331")),"x","")</f>
        <v/>
      </c>
      <c r="Q6310" s="79" t="str">
        <f>IF(AND(B6310='111'!$L$11,OR($N6310=$Q$7,$O6310=$Q$7)),"x","")</f>
        <v/>
      </c>
      <c r="R6310" s="79" t="str">
        <f>IF(AND($N6310=$Q$7,$B6310&lt;'111'!$L$11),"x","")</f>
        <v/>
      </c>
      <c r="S6310" s="79" t="str">
        <f>IF(AND($O6310=$Q$7,$B6310&lt;'111'!$L$11),"x","")</f>
        <v/>
      </c>
      <c r="T6310" s="79" t="str">
        <f>IF(ISERROR(FIND('112'!$M$9,G6310,1)),"",IF((AND(FIND('112'!$M$9,G6310,1)&gt;=1,B6310='112'!$K$9,OR($N6310='112'!$I$6,$O6310='112'!$I$6))),"x",""))</f>
        <v/>
      </c>
      <c r="U6310" s="79" t="str">
        <f>IF(ISERROR(FIND('112'!$M$9,G6310,1)),"",IF((AND(LEFT(G6310,2)=LEFT('112'!$M$9,2),B6310&lt;'112'!$K$9,$N6310='112'!$I$6)),"x",""))</f>
        <v/>
      </c>
      <c r="V6310" s="79" t="str">
        <f>IF(ISERROR(FIND('112'!$M$9,G6310,1)),"",IF((AND(RIGHT(G6310,2)=RIGHT('112'!$M$9,2),B6310&lt;'112'!$K$9,$O6310='112'!$I$6)),"x",""))</f>
        <v/>
      </c>
      <c r="W6310" s="79" t="str">
        <f>IF(AND('341-CT'!$H$9=H6310,OR(LEFT(N6310,3)=$W$7,LEFT(O6310,3)=$W$7)),"x","")</f>
        <v/>
      </c>
      <c r="X6310" s="79" t="str">
        <f>IF(OR(TH!N6310=TH!$X$7,O6310=TH!$X$7),"x","")</f>
        <v/>
      </c>
      <c r="Y6310" s="79" t="str">
        <f>IF(AND(OR(N6310="131",O6310="131"),H6310='131-CT'!$H$9),"x","")</f>
        <v/>
      </c>
      <c r="Z6310" s="79"/>
      <c r="AA6310" s="79" t="str">
        <f>IF(AND(MONTH(E6310)='IN-NX'!$J$5,'IN-NX'!$D$7=D6310),"x","")</f>
        <v/>
      </c>
      <c r="AB6310" s="79" t="str">
        <f>IF(AND(OR(LEFT(TH!N6310,2)="15",LEFT(TH!O6310,2)="15"),LEFT(TH!O6310,3)&lt;&gt;"111",'152-CT'!$J$8=TH!F6310),"x","")</f>
        <v/>
      </c>
      <c r="AC6310" s="79" t="str">
        <f>IF(AND(OR(LEFT(TH!N6310,2)="15",LEFT(TH!O6310,2)="15"),TK!$E$7=TH!F6310),"x","")</f>
        <v/>
      </c>
      <c r="AD6310" s="79" t="str">
        <f>IF(AND(N6310="1521",MONTH(C6310)='BK-NL'!$M$11),"x","")</f>
        <v/>
      </c>
    </row>
    <row r="6311" spans="1:30" ht="16.5" customHeight="1">
      <c r="A6311" s="318" t="str">
        <f>IF(B6311&lt;&gt;"",IF(AND(B6311='IN-TC'!$S$4,OR(TH!N6311="1111",TH!O6311="1111")),TH!D6311,""),"")</f>
        <v/>
      </c>
      <c r="B6311" s="60" t="str">
        <f t="shared" si="519"/>
        <v/>
      </c>
      <c r="C6311" s="301"/>
      <c r="D6311" s="301"/>
      <c r="E6311" s="301"/>
      <c r="F6311" s="69"/>
      <c r="G6311" s="769"/>
      <c r="H6311" s="302"/>
      <c r="I6311" s="385"/>
      <c r="J6311" s="392"/>
      <c r="K6311" s="385"/>
      <c r="L6311" s="392"/>
      <c r="M6311" s="62"/>
      <c r="N6311" s="304"/>
      <c r="O6311" s="63"/>
      <c r="P6311" s="79" t="str">
        <f>IF(AND('331-CT'!$E$7=TH!H6311,OR(N6311="331",O6311="331")),"x","")</f>
        <v/>
      </c>
      <c r="Q6311" s="79" t="str">
        <f>IF(AND(B6311='111'!$L$11,OR($N6311=$Q$7,$O6311=$Q$7)),"x","")</f>
        <v/>
      </c>
      <c r="R6311" s="79" t="str">
        <f>IF(AND($N6311=$Q$7,$B6311&lt;'111'!$L$11),"x","")</f>
        <v/>
      </c>
      <c r="S6311" s="79" t="str">
        <f>IF(AND($O6311=$Q$7,$B6311&lt;'111'!$L$11),"x","")</f>
        <v/>
      </c>
      <c r="T6311" s="79" t="str">
        <f>IF(ISERROR(FIND('112'!$M$9,G6311,1)),"",IF((AND(FIND('112'!$M$9,G6311,1)&gt;=1,B6311='112'!$K$9,OR($N6311='112'!$I$6,$O6311='112'!$I$6))),"x",""))</f>
        <v/>
      </c>
      <c r="U6311" s="79" t="str">
        <f>IF(ISERROR(FIND('112'!$M$9,G6311,1)),"",IF((AND(LEFT(G6311,2)=LEFT('112'!$M$9,2),B6311&lt;'112'!$K$9,$N6311='112'!$I$6)),"x",""))</f>
        <v/>
      </c>
      <c r="V6311" s="79" t="str">
        <f>IF(ISERROR(FIND('112'!$M$9,G6311,1)),"",IF((AND(RIGHT(G6311,2)=RIGHT('112'!$M$9,2),B6311&lt;'112'!$K$9,$O6311='112'!$I$6)),"x",""))</f>
        <v/>
      </c>
      <c r="W6311" s="79" t="str">
        <f>IF(AND('341-CT'!$H$9=H6311,OR(LEFT(N6311,3)=$W$7,LEFT(O6311,3)=$W$7)),"x","")</f>
        <v/>
      </c>
      <c r="X6311" s="79" t="str">
        <f>IF(OR(TH!N6311=TH!$X$7,O6311=TH!$X$7),"x","")</f>
        <v/>
      </c>
      <c r="Y6311" s="79" t="str">
        <f>IF(AND(OR(N6311="131",O6311="131"),H6311='131-CT'!$H$9),"x","")</f>
        <v/>
      </c>
      <c r="Z6311" s="79"/>
      <c r="AA6311" s="79" t="str">
        <f>IF(AND(MONTH(E6311)='IN-NX'!$J$5,'IN-NX'!$D$7=D6311),"x","")</f>
        <v/>
      </c>
      <c r="AB6311" s="79" t="str">
        <f>IF(AND(OR(LEFT(TH!N6311,2)="15",LEFT(TH!O6311,2)="15"),LEFT(TH!O6311,3)&lt;&gt;"111",'152-CT'!$J$8=TH!F6311),"x","")</f>
        <v/>
      </c>
      <c r="AC6311" s="79" t="str">
        <f>IF(AND(OR(LEFT(TH!N6311,2)="15",LEFT(TH!O6311,2)="15"),TK!$E$7=TH!F6311),"x","")</f>
        <v/>
      </c>
      <c r="AD6311" s="79" t="str">
        <f>IF(AND(N6311="1521",MONTH(C6311)='BK-NL'!$M$11),"x","")</f>
        <v/>
      </c>
    </row>
    <row r="6312" spans="1:30" ht="16.5" customHeight="1">
      <c r="A6312" s="318" t="str">
        <f>IF(B6312&lt;&gt;"",IF(AND(B6312='IN-TC'!$S$4,OR(TH!N6312="1111",TH!O6312="1111")),TH!D6312,""),"")</f>
        <v/>
      </c>
      <c r="B6312" s="60" t="str">
        <f t="shared" si="519"/>
        <v/>
      </c>
      <c r="C6312" s="301"/>
      <c r="D6312" s="301"/>
      <c r="E6312" s="301"/>
      <c r="F6312" s="69"/>
      <c r="G6312" s="769"/>
      <c r="H6312" s="303"/>
      <c r="I6312" s="385"/>
      <c r="J6312" s="392"/>
      <c r="K6312" s="385"/>
      <c r="L6312" s="392"/>
      <c r="M6312" s="62"/>
      <c r="N6312" s="304"/>
      <c r="O6312" s="63"/>
      <c r="P6312" s="79" t="str">
        <f>IF(AND('331-CT'!$E$7=TH!H6312,OR(N6312="331",O6312="331")),"x","")</f>
        <v/>
      </c>
      <c r="Q6312" s="79" t="str">
        <f>IF(AND(B6312='111'!$L$11,OR($N6312=$Q$7,$O6312=$Q$7)),"x","")</f>
        <v/>
      </c>
      <c r="R6312" s="79" t="str">
        <f>IF(AND($N6312=$Q$7,$B6312&lt;'111'!$L$11),"x","")</f>
        <v/>
      </c>
      <c r="S6312" s="79" t="str">
        <f>IF(AND($O6312=$Q$7,$B6312&lt;'111'!$L$11),"x","")</f>
        <v/>
      </c>
      <c r="T6312" s="79" t="str">
        <f>IF(ISERROR(FIND('112'!$M$9,G6312,1)),"",IF((AND(FIND('112'!$M$9,G6312,1)&gt;=1,B6312='112'!$K$9,OR($N6312='112'!$I$6,$O6312='112'!$I$6))),"x",""))</f>
        <v/>
      </c>
      <c r="U6312" s="79" t="str">
        <f>IF(ISERROR(FIND('112'!$M$9,G6312,1)),"",IF((AND(LEFT(G6312,2)=LEFT('112'!$M$9,2),B6312&lt;'112'!$K$9,$N6312='112'!$I$6)),"x",""))</f>
        <v/>
      </c>
      <c r="V6312" s="79" t="str">
        <f>IF(ISERROR(FIND('112'!$M$9,G6312,1)),"",IF((AND(RIGHT(G6312,2)=RIGHT('112'!$M$9,2),B6312&lt;'112'!$K$9,$O6312='112'!$I$6)),"x",""))</f>
        <v/>
      </c>
      <c r="W6312" s="79" t="str">
        <f>IF(AND('341-CT'!$H$9=H6312,OR(LEFT(N6312,3)=$W$7,LEFT(O6312,3)=$W$7)),"x","")</f>
        <v/>
      </c>
      <c r="X6312" s="79" t="str">
        <f>IF(OR(TH!N6312=TH!$X$7,O6312=TH!$X$7),"x","")</f>
        <v/>
      </c>
      <c r="Y6312" s="79" t="str">
        <f>IF(AND(OR(N6312="131",O6312="131"),H6312='131-CT'!$H$9),"x","")</f>
        <v/>
      </c>
      <c r="Z6312" s="79"/>
      <c r="AA6312" s="79" t="str">
        <f>IF(AND(MONTH(E6312)='IN-NX'!$J$5,'IN-NX'!$D$7=D6312),"x","")</f>
        <v/>
      </c>
      <c r="AB6312" s="79" t="str">
        <f>IF(AND(OR(LEFT(TH!N6312,2)="15",LEFT(TH!O6312,2)="15"),LEFT(TH!O6312,3)&lt;&gt;"111",'152-CT'!$J$8=TH!F6312),"x","")</f>
        <v/>
      </c>
      <c r="AC6312" s="79" t="str">
        <f>IF(AND(OR(LEFT(TH!N6312,2)="15",LEFT(TH!O6312,2)="15"),TK!$E$7=TH!F6312),"x","")</f>
        <v/>
      </c>
      <c r="AD6312" s="79" t="str">
        <f>IF(AND(N6312="1521",MONTH(C6312)='BK-NL'!$M$11),"x","")</f>
        <v/>
      </c>
    </row>
    <row r="6313" spans="1:30" ht="16.5" customHeight="1">
      <c r="A6313" s="318" t="str">
        <f>IF(B6313&lt;&gt;"",IF(AND(B6313='IN-TC'!$S$4,OR(TH!N6313="1111",TH!O6313="1111")),TH!D6313,""),"")</f>
        <v/>
      </c>
      <c r="B6313" s="60" t="str">
        <f t="shared" si="519"/>
        <v/>
      </c>
      <c r="C6313" s="301"/>
      <c r="D6313" s="301"/>
      <c r="E6313" s="301"/>
      <c r="F6313" s="69"/>
      <c r="G6313" s="769"/>
      <c r="H6313" s="303"/>
      <c r="I6313" s="385"/>
      <c r="J6313" s="392"/>
      <c r="K6313" s="385"/>
      <c r="L6313" s="392"/>
      <c r="M6313" s="62"/>
      <c r="N6313" s="304"/>
      <c r="O6313" s="63"/>
      <c r="P6313" s="79" t="str">
        <f>IF(AND('331-CT'!$E$7=TH!H6313,OR(N6313="331",O6313="331")),"x","")</f>
        <v/>
      </c>
      <c r="Q6313" s="79" t="str">
        <f>IF(AND(B6313='111'!$L$11,OR($N6313=$Q$7,$O6313=$Q$7)),"x","")</f>
        <v/>
      </c>
      <c r="R6313" s="79" t="str">
        <f>IF(AND($N6313=$Q$7,$B6313&lt;'111'!$L$11),"x","")</f>
        <v/>
      </c>
      <c r="S6313" s="79" t="str">
        <f>IF(AND($O6313=$Q$7,$B6313&lt;'111'!$L$11),"x","")</f>
        <v/>
      </c>
      <c r="T6313" s="79" t="str">
        <f>IF(ISERROR(FIND('112'!$M$9,G6313,1)),"",IF((AND(FIND('112'!$M$9,G6313,1)&gt;=1,B6313='112'!$K$9,OR($N6313='112'!$I$6,$O6313='112'!$I$6))),"x",""))</f>
        <v/>
      </c>
      <c r="U6313" s="79" t="str">
        <f>IF(ISERROR(FIND('112'!$M$9,G6313,1)),"",IF((AND(LEFT(G6313,2)=LEFT('112'!$M$9,2),B6313&lt;'112'!$K$9,$N6313='112'!$I$6)),"x",""))</f>
        <v/>
      </c>
      <c r="V6313" s="79" t="str">
        <f>IF(ISERROR(FIND('112'!$M$9,G6313,1)),"",IF((AND(RIGHT(G6313,2)=RIGHT('112'!$M$9,2),B6313&lt;'112'!$K$9,$O6313='112'!$I$6)),"x",""))</f>
        <v/>
      </c>
      <c r="W6313" s="79" t="str">
        <f>IF(AND('341-CT'!$H$9=H6313,OR(LEFT(N6313,3)=$W$7,LEFT(O6313,3)=$W$7)),"x","")</f>
        <v/>
      </c>
      <c r="X6313" s="79" t="str">
        <f>IF(OR(TH!N6313=TH!$X$7,O6313=TH!$X$7),"x","")</f>
        <v/>
      </c>
      <c r="Y6313" s="79" t="str">
        <f>IF(AND(OR(N6313="131",O6313="131"),H6313='131-CT'!$H$9),"x","")</f>
        <v/>
      </c>
      <c r="Z6313" s="79"/>
      <c r="AA6313" s="79" t="str">
        <f>IF(AND(MONTH(E6313)='IN-NX'!$J$5,'IN-NX'!$D$7=D6313),"x","")</f>
        <v/>
      </c>
      <c r="AB6313" s="79" t="str">
        <f>IF(AND(OR(LEFT(TH!N6313,2)="15",LEFT(TH!O6313,2)="15"),LEFT(TH!O6313,3)&lt;&gt;"111",'152-CT'!$J$8=TH!F6313),"x","")</f>
        <v/>
      </c>
      <c r="AC6313" s="79" t="str">
        <f>IF(AND(OR(LEFT(TH!N6313,2)="15",LEFT(TH!O6313,2)="15"),TK!$E$7=TH!F6313),"x","")</f>
        <v/>
      </c>
      <c r="AD6313" s="79" t="str">
        <f>IF(AND(N6313="1521",MONTH(C6313)='BK-NL'!$M$11),"x","")</f>
        <v/>
      </c>
    </row>
    <row r="6314" spans="1:30" ht="16.5" customHeight="1">
      <c r="A6314" s="318" t="str">
        <f>IF(B6314&lt;&gt;"",IF(AND(B6314='IN-TC'!$S$4,OR(TH!N6314="1111",TH!O6314="1111")),TH!D6314,""),"")</f>
        <v/>
      </c>
      <c r="B6314" s="60" t="str">
        <f t="shared" si="519"/>
        <v/>
      </c>
      <c r="C6314" s="301"/>
      <c r="D6314" s="301"/>
      <c r="E6314" s="301"/>
      <c r="F6314" s="69"/>
      <c r="G6314" s="769"/>
      <c r="H6314" s="303"/>
      <c r="I6314" s="385"/>
      <c r="J6314" s="392"/>
      <c r="K6314" s="385"/>
      <c r="L6314" s="392"/>
      <c r="M6314" s="62"/>
      <c r="N6314" s="304"/>
      <c r="O6314" s="63"/>
      <c r="P6314" s="79" t="str">
        <f>IF(AND('331-CT'!$E$7=TH!H6314,OR(N6314="331",O6314="331")),"x","")</f>
        <v/>
      </c>
      <c r="Q6314" s="79" t="str">
        <f>IF(AND(B6314='111'!$L$11,OR($N6314=$Q$7,$O6314=$Q$7)),"x","")</f>
        <v/>
      </c>
      <c r="R6314" s="79" t="str">
        <f>IF(AND($N6314=$Q$7,$B6314&lt;'111'!$L$11),"x","")</f>
        <v/>
      </c>
      <c r="S6314" s="79" t="str">
        <f>IF(AND($O6314=$Q$7,$B6314&lt;'111'!$L$11),"x","")</f>
        <v/>
      </c>
      <c r="T6314" s="79" t="str">
        <f>IF(ISERROR(FIND('112'!$M$9,G6314,1)),"",IF((AND(FIND('112'!$M$9,G6314,1)&gt;=1,B6314='112'!$K$9,OR($N6314='112'!$I$6,$O6314='112'!$I$6))),"x",""))</f>
        <v/>
      </c>
      <c r="U6314" s="79" t="str">
        <f>IF(ISERROR(FIND('112'!$M$9,G6314,1)),"",IF((AND(LEFT(G6314,2)=LEFT('112'!$M$9,2),B6314&lt;'112'!$K$9,$N6314='112'!$I$6)),"x",""))</f>
        <v/>
      </c>
      <c r="V6314" s="79" t="str">
        <f>IF(ISERROR(FIND('112'!$M$9,G6314,1)),"",IF((AND(RIGHT(G6314,2)=RIGHT('112'!$M$9,2),B6314&lt;'112'!$K$9,$O6314='112'!$I$6)),"x",""))</f>
        <v/>
      </c>
      <c r="W6314" s="79" t="str">
        <f>IF(AND('341-CT'!$H$9=H6314,OR(LEFT(N6314,3)=$W$7,LEFT(O6314,3)=$W$7)),"x","")</f>
        <v/>
      </c>
      <c r="X6314" s="79" t="str">
        <f>IF(OR(TH!N6314=TH!$X$7,O6314=TH!$X$7),"x","")</f>
        <v/>
      </c>
      <c r="Y6314" s="79" t="str">
        <f>IF(AND(OR(N6314="131",O6314="131"),H6314='131-CT'!$H$9),"x","")</f>
        <v/>
      </c>
      <c r="Z6314" s="79"/>
      <c r="AA6314" s="79" t="str">
        <f>IF(AND(MONTH(E6314)='IN-NX'!$J$5,'IN-NX'!$D$7=D6314),"x","")</f>
        <v/>
      </c>
      <c r="AB6314" s="79" t="str">
        <f>IF(AND(OR(LEFT(TH!N6314,2)="15",LEFT(TH!O6314,2)="15"),LEFT(TH!O6314,3)&lt;&gt;"111",'152-CT'!$J$8=TH!F6314),"x","")</f>
        <v/>
      </c>
      <c r="AC6314" s="79" t="str">
        <f>IF(AND(OR(LEFT(TH!N6314,2)="15",LEFT(TH!O6314,2)="15"),TK!$E$7=TH!F6314),"x","")</f>
        <v/>
      </c>
      <c r="AD6314" s="79" t="str">
        <f>IF(AND(N6314="1521",MONTH(C6314)='BK-NL'!$M$11),"x","")</f>
        <v/>
      </c>
    </row>
    <row r="6315" spans="1:30" ht="16.5" customHeight="1">
      <c r="A6315" s="318" t="str">
        <f>IF(B6315&lt;&gt;"",IF(AND(B6315='IN-TC'!$S$4,OR(TH!N6315="1111",TH!O6315="1111")),TH!D6315,""),"")</f>
        <v/>
      </c>
      <c r="B6315" s="60" t="str">
        <f t="shared" si="519"/>
        <v/>
      </c>
      <c r="C6315" s="301"/>
      <c r="D6315" s="301"/>
      <c r="E6315" s="301"/>
      <c r="F6315" s="69"/>
      <c r="G6315" s="769"/>
      <c r="H6315" s="303"/>
      <c r="I6315" s="385"/>
      <c r="J6315" s="392"/>
      <c r="K6315" s="385"/>
      <c r="L6315" s="392"/>
      <c r="M6315" s="62"/>
      <c r="N6315" s="304"/>
      <c r="O6315" s="63"/>
      <c r="P6315" s="79" t="str">
        <f>IF(AND('331-CT'!$E$7=TH!H6315,OR(N6315="331",O6315="331")),"x","")</f>
        <v/>
      </c>
      <c r="Q6315" s="79" t="str">
        <f>IF(AND(B6315='111'!$L$11,OR($N6315=$Q$7,$O6315=$Q$7)),"x","")</f>
        <v/>
      </c>
      <c r="R6315" s="79" t="str">
        <f>IF(AND($N6315=$Q$7,$B6315&lt;'111'!$L$11),"x","")</f>
        <v/>
      </c>
      <c r="S6315" s="79" t="str">
        <f>IF(AND($O6315=$Q$7,$B6315&lt;'111'!$L$11),"x","")</f>
        <v/>
      </c>
      <c r="T6315" s="79" t="str">
        <f>IF(ISERROR(FIND('112'!$M$9,G6315,1)),"",IF((AND(FIND('112'!$M$9,G6315,1)&gt;=1,B6315='112'!$K$9,OR($N6315='112'!$I$6,$O6315='112'!$I$6))),"x",""))</f>
        <v/>
      </c>
      <c r="U6315" s="79" t="str">
        <f>IF(ISERROR(FIND('112'!$M$9,G6315,1)),"",IF((AND(LEFT(G6315,2)=LEFT('112'!$M$9,2),B6315&lt;'112'!$K$9,$N6315='112'!$I$6)),"x",""))</f>
        <v/>
      </c>
      <c r="V6315" s="79" t="str">
        <f>IF(ISERROR(FIND('112'!$M$9,G6315,1)),"",IF((AND(RIGHT(G6315,2)=RIGHT('112'!$M$9,2),B6315&lt;'112'!$K$9,$O6315='112'!$I$6)),"x",""))</f>
        <v/>
      </c>
      <c r="W6315" s="79" t="str">
        <f>IF(AND('341-CT'!$H$9=H6315,OR(LEFT(N6315,3)=$W$7,LEFT(O6315,3)=$W$7)),"x","")</f>
        <v/>
      </c>
      <c r="X6315" s="79" t="str">
        <f>IF(OR(TH!N6315=TH!$X$7,O6315=TH!$X$7),"x","")</f>
        <v/>
      </c>
      <c r="Y6315" s="79" t="str">
        <f>IF(AND(OR(N6315="131",O6315="131"),H6315='131-CT'!$H$9),"x","")</f>
        <v/>
      </c>
      <c r="Z6315" s="79"/>
      <c r="AA6315" s="79" t="str">
        <f>IF(AND(MONTH(E6315)='IN-NX'!$J$5,'IN-NX'!$D$7=D6315),"x","")</f>
        <v/>
      </c>
      <c r="AB6315" s="79" t="str">
        <f>IF(AND(OR(LEFT(TH!N6315,2)="15",LEFT(TH!O6315,2)="15"),LEFT(TH!O6315,3)&lt;&gt;"111",'152-CT'!$J$8=TH!F6315),"x","")</f>
        <v/>
      </c>
      <c r="AC6315" s="79" t="str">
        <f>IF(AND(OR(LEFT(TH!N6315,2)="15",LEFT(TH!O6315,2)="15"),TK!$E$7=TH!F6315),"x","")</f>
        <v/>
      </c>
      <c r="AD6315" s="79" t="str">
        <f>IF(AND(N6315="1521",MONTH(C6315)='BK-NL'!$M$11),"x","")</f>
        <v/>
      </c>
    </row>
    <row r="6316" spans="1:30" ht="16.5" customHeight="1">
      <c r="A6316" s="318" t="str">
        <f>IF(B6316&lt;&gt;"",IF(AND(B6316='IN-TC'!$S$4,OR(TH!N6316="1111",TH!O6316="1111")),TH!D6316,""),"")</f>
        <v/>
      </c>
      <c r="B6316" s="60" t="str">
        <f t="shared" si="519"/>
        <v/>
      </c>
      <c r="C6316" s="301"/>
      <c r="D6316" s="301"/>
      <c r="E6316" s="301"/>
      <c r="F6316" s="69"/>
      <c r="G6316" s="769"/>
      <c r="H6316" s="303"/>
      <c r="I6316" s="385"/>
      <c r="J6316" s="392"/>
      <c r="K6316" s="385"/>
      <c r="L6316" s="392"/>
      <c r="M6316" s="62"/>
      <c r="N6316" s="304"/>
      <c r="O6316" s="63"/>
      <c r="P6316" s="79" t="str">
        <f>IF(AND('331-CT'!$E$7=TH!H6316,OR(N6316="331",O6316="331")),"x","")</f>
        <v/>
      </c>
      <c r="Q6316" s="79" t="str">
        <f>IF(AND(B6316='111'!$L$11,OR($N6316=$Q$7,$O6316=$Q$7)),"x","")</f>
        <v/>
      </c>
      <c r="R6316" s="79" t="str">
        <f>IF(AND($N6316=$Q$7,$B6316&lt;'111'!$L$11),"x","")</f>
        <v/>
      </c>
      <c r="S6316" s="79" t="str">
        <f>IF(AND($O6316=$Q$7,$B6316&lt;'111'!$L$11),"x","")</f>
        <v/>
      </c>
      <c r="T6316" s="79" t="str">
        <f>IF(ISERROR(FIND('112'!$M$9,G6316,1)),"",IF((AND(FIND('112'!$M$9,G6316,1)&gt;=1,B6316='112'!$K$9,OR($N6316='112'!$I$6,$O6316='112'!$I$6))),"x",""))</f>
        <v/>
      </c>
      <c r="U6316" s="79" t="str">
        <f>IF(ISERROR(FIND('112'!$M$9,G6316,1)),"",IF((AND(LEFT(G6316,2)=LEFT('112'!$M$9,2),B6316&lt;'112'!$K$9,$N6316='112'!$I$6)),"x",""))</f>
        <v/>
      </c>
      <c r="V6316" s="79" t="str">
        <f>IF(ISERROR(FIND('112'!$M$9,G6316,1)),"",IF((AND(RIGHT(G6316,2)=RIGHT('112'!$M$9,2),B6316&lt;'112'!$K$9,$O6316='112'!$I$6)),"x",""))</f>
        <v/>
      </c>
      <c r="W6316" s="79" t="str">
        <f>IF(AND('341-CT'!$H$9=H6316,OR(LEFT(N6316,3)=$W$7,LEFT(O6316,3)=$W$7)),"x","")</f>
        <v/>
      </c>
      <c r="X6316" s="79" t="str">
        <f>IF(OR(TH!N6316=TH!$X$7,O6316=TH!$X$7),"x","")</f>
        <v/>
      </c>
      <c r="Y6316" s="79" t="str">
        <f>IF(AND(OR(N6316="131",O6316="131"),H6316='131-CT'!$H$9),"x","")</f>
        <v/>
      </c>
      <c r="Z6316" s="79"/>
      <c r="AA6316" s="79" t="str">
        <f>IF(AND(MONTH(E6316)='IN-NX'!$J$5,'IN-NX'!$D$7=D6316),"x","")</f>
        <v/>
      </c>
      <c r="AB6316" s="79" t="str">
        <f>IF(AND(OR(LEFT(TH!N6316,2)="15",LEFT(TH!O6316,2)="15"),LEFT(TH!O6316,3)&lt;&gt;"111",'152-CT'!$J$8=TH!F6316),"x","")</f>
        <v/>
      </c>
      <c r="AC6316" s="79" t="str">
        <f>IF(AND(OR(LEFT(TH!N6316,2)="15",LEFT(TH!O6316,2)="15"),TK!$E$7=TH!F6316),"x","")</f>
        <v/>
      </c>
      <c r="AD6316" s="79" t="str">
        <f>IF(AND(N6316="1521",MONTH(C6316)='BK-NL'!$M$11),"x","")</f>
        <v/>
      </c>
    </row>
    <row r="6317" spans="1:30" ht="16.5" customHeight="1">
      <c r="A6317" s="318" t="str">
        <f>IF(B6317&lt;&gt;"",IF(AND(B6317='IN-TC'!$S$4,OR(TH!N6317="1111",TH!O6317="1111")),TH!D6317,""),"")</f>
        <v/>
      </c>
      <c r="B6317" s="60" t="str">
        <f t="shared" si="519"/>
        <v/>
      </c>
      <c r="C6317" s="301"/>
      <c r="D6317" s="301"/>
      <c r="E6317" s="301"/>
      <c r="F6317" s="69"/>
      <c r="G6317" s="769"/>
      <c r="H6317" s="303"/>
      <c r="I6317" s="385"/>
      <c r="J6317" s="392"/>
      <c r="K6317" s="385"/>
      <c r="L6317" s="392"/>
      <c r="M6317" s="62"/>
      <c r="N6317" s="304"/>
      <c r="O6317" s="63"/>
      <c r="P6317" s="79" t="str">
        <f>IF(AND('331-CT'!$E$7=TH!H6317,OR(N6317="331",O6317="331")),"x","")</f>
        <v/>
      </c>
      <c r="Q6317" s="79" t="str">
        <f>IF(AND(B6317='111'!$L$11,OR($N6317=$Q$7,$O6317=$Q$7)),"x","")</f>
        <v/>
      </c>
      <c r="R6317" s="79" t="str">
        <f>IF(AND($N6317=$Q$7,$B6317&lt;'111'!$L$11),"x","")</f>
        <v/>
      </c>
      <c r="S6317" s="79" t="str">
        <f>IF(AND($O6317=$Q$7,$B6317&lt;'111'!$L$11),"x","")</f>
        <v/>
      </c>
      <c r="T6317" s="79" t="str">
        <f>IF(ISERROR(FIND('112'!$M$9,G6317,1)),"",IF((AND(FIND('112'!$M$9,G6317,1)&gt;=1,B6317='112'!$K$9,OR($N6317='112'!$I$6,$O6317='112'!$I$6))),"x",""))</f>
        <v/>
      </c>
      <c r="U6317" s="79" t="str">
        <f>IF(ISERROR(FIND('112'!$M$9,G6317,1)),"",IF((AND(LEFT(G6317,2)=LEFT('112'!$M$9,2),B6317&lt;'112'!$K$9,$N6317='112'!$I$6)),"x",""))</f>
        <v/>
      </c>
      <c r="V6317" s="79" t="str">
        <f>IF(ISERROR(FIND('112'!$M$9,G6317,1)),"",IF((AND(RIGHT(G6317,2)=RIGHT('112'!$M$9,2),B6317&lt;'112'!$K$9,$O6317='112'!$I$6)),"x",""))</f>
        <v/>
      </c>
      <c r="W6317" s="79" t="str">
        <f>IF(AND('341-CT'!$H$9=H6317,OR(LEFT(N6317,3)=$W$7,LEFT(O6317,3)=$W$7)),"x","")</f>
        <v/>
      </c>
      <c r="X6317" s="79" t="str">
        <f>IF(OR(TH!N6317=TH!$X$7,O6317=TH!$X$7),"x","")</f>
        <v/>
      </c>
      <c r="Y6317" s="79" t="str">
        <f>IF(AND(OR(N6317="131",O6317="131"),H6317='131-CT'!$H$9),"x","")</f>
        <v/>
      </c>
      <c r="Z6317" s="79"/>
      <c r="AA6317" s="79" t="str">
        <f>IF(AND(MONTH(E6317)='IN-NX'!$J$5,'IN-NX'!$D$7=D6317),"x","")</f>
        <v/>
      </c>
      <c r="AB6317" s="79" t="str">
        <f>IF(AND(OR(LEFT(TH!N6317,2)="15",LEFT(TH!O6317,2)="15"),LEFT(TH!O6317,3)&lt;&gt;"111",'152-CT'!$J$8=TH!F6317),"x","")</f>
        <v/>
      </c>
      <c r="AC6317" s="79" t="str">
        <f>IF(AND(OR(LEFT(TH!N6317,2)="15",LEFT(TH!O6317,2)="15"),TK!$E$7=TH!F6317),"x","")</f>
        <v/>
      </c>
      <c r="AD6317" s="79" t="str">
        <f>IF(AND(N6317="1521",MONTH(C6317)='BK-NL'!$M$11),"x","")</f>
        <v/>
      </c>
    </row>
    <row r="6318" spans="1:30" ht="16.5" customHeight="1">
      <c r="A6318" s="318" t="str">
        <f>IF(B6318&lt;&gt;"",IF(AND(B6318='IN-TC'!$S$4,OR(TH!N6318="1111",TH!O6318="1111")),TH!D6318,""),"")</f>
        <v/>
      </c>
      <c r="B6318" s="60" t="str">
        <f t="shared" si="519"/>
        <v/>
      </c>
      <c r="C6318" s="301"/>
      <c r="D6318" s="301"/>
      <c r="E6318" s="301"/>
      <c r="F6318" s="69"/>
      <c r="G6318" s="769"/>
      <c r="H6318" s="303"/>
      <c r="I6318" s="385"/>
      <c r="J6318" s="392"/>
      <c r="K6318" s="385"/>
      <c r="L6318" s="392"/>
      <c r="M6318" s="62"/>
      <c r="N6318" s="304"/>
      <c r="O6318" s="63"/>
      <c r="P6318" s="79" t="str">
        <f>IF(AND('331-CT'!$E$7=TH!H6318,OR(N6318="331",O6318="331")),"x","")</f>
        <v/>
      </c>
      <c r="Q6318" s="79" t="str">
        <f>IF(AND(B6318='111'!$L$11,OR($N6318=$Q$7,$O6318=$Q$7)),"x","")</f>
        <v/>
      </c>
      <c r="R6318" s="79" t="str">
        <f>IF(AND($N6318=$Q$7,$B6318&lt;'111'!$L$11),"x","")</f>
        <v/>
      </c>
      <c r="S6318" s="79" t="str">
        <f>IF(AND($O6318=$Q$7,$B6318&lt;'111'!$L$11),"x","")</f>
        <v/>
      </c>
      <c r="T6318" s="79" t="str">
        <f>IF(ISERROR(FIND('112'!$M$9,G6318,1)),"",IF((AND(FIND('112'!$M$9,G6318,1)&gt;=1,B6318='112'!$K$9,OR($N6318='112'!$I$6,$O6318='112'!$I$6))),"x",""))</f>
        <v/>
      </c>
      <c r="U6318" s="79" t="str">
        <f>IF(ISERROR(FIND('112'!$M$9,G6318,1)),"",IF((AND(LEFT(G6318,2)=LEFT('112'!$M$9,2),B6318&lt;'112'!$K$9,$N6318='112'!$I$6)),"x",""))</f>
        <v/>
      </c>
      <c r="V6318" s="79" t="str">
        <f>IF(ISERROR(FIND('112'!$M$9,G6318,1)),"",IF((AND(RIGHT(G6318,2)=RIGHT('112'!$M$9,2),B6318&lt;'112'!$K$9,$O6318='112'!$I$6)),"x",""))</f>
        <v/>
      </c>
      <c r="W6318" s="79" t="str">
        <f>IF(AND('341-CT'!$H$9=H6318,OR(LEFT(N6318,3)=$W$7,LEFT(O6318,3)=$W$7)),"x","")</f>
        <v/>
      </c>
      <c r="X6318" s="79" t="str">
        <f>IF(OR(TH!N6318=TH!$X$7,O6318=TH!$X$7),"x","")</f>
        <v/>
      </c>
      <c r="Y6318" s="79" t="str">
        <f>IF(AND(OR(N6318="131",O6318="131"),H6318='131-CT'!$H$9),"x","")</f>
        <v/>
      </c>
      <c r="Z6318" s="79"/>
      <c r="AA6318" s="79" t="str">
        <f>IF(AND(MONTH(E6318)='IN-NX'!$J$5,'IN-NX'!$D$7=D6318),"x","")</f>
        <v/>
      </c>
      <c r="AB6318" s="79" t="str">
        <f>IF(AND(OR(LEFT(TH!N6318,2)="15",LEFT(TH!O6318,2)="15"),LEFT(TH!O6318,3)&lt;&gt;"111",'152-CT'!$J$8=TH!F6318),"x","")</f>
        <v/>
      </c>
      <c r="AC6318" s="79" t="str">
        <f>IF(AND(OR(LEFT(TH!N6318,2)="15",LEFT(TH!O6318,2)="15"),TK!$E$7=TH!F6318),"x","")</f>
        <v/>
      </c>
      <c r="AD6318" s="79" t="str">
        <f>IF(AND(N6318="1521",MONTH(C6318)='BK-NL'!$M$11),"x","")</f>
        <v/>
      </c>
    </row>
    <row r="6319" spans="1:30" ht="16.5" customHeight="1">
      <c r="A6319" s="318" t="str">
        <f>IF(B6319&lt;&gt;"",IF(AND(B6319='IN-TC'!$S$4,OR(TH!N6319="1111",TH!O6319="1111")),TH!D6319,""),"")</f>
        <v/>
      </c>
      <c r="B6319" s="60" t="str">
        <f t="shared" si="519"/>
        <v/>
      </c>
      <c r="C6319" s="301"/>
      <c r="D6319" s="301"/>
      <c r="E6319" s="301"/>
      <c r="F6319" s="69"/>
      <c r="G6319" s="769"/>
      <c r="H6319" s="303"/>
      <c r="I6319" s="385"/>
      <c r="J6319" s="392"/>
      <c r="K6319" s="385"/>
      <c r="L6319" s="392"/>
      <c r="M6319" s="62"/>
      <c r="N6319" s="304"/>
      <c r="O6319" s="63"/>
      <c r="P6319" s="79" t="str">
        <f>IF(AND('331-CT'!$E$7=TH!H6319,OR(N6319="331",O6319="331")),"x","")</f>
        <v/>
      </c>
      <c r="Q6319" s="79" t="str">
        <f>IF(AND(B6319='111'!$L$11,OR($N6319=$Q$7,$O6319=$Q$7)),"x","")</f>
        <v/>
      </c>
      <c r="R6319" s="79" t="str">
        <f>IF(AND($N6319=$Q$7,$B6319&lt;'111'!$L$11),"x","")</f>
        <v/>
      </c>
      <c r="S6319" s="79" t="str">
        <f>IF(AND($O6319=$Q$7,$B6319&lt;'111'!$L$11),"x","")</f>
        <v/>
      </c>
      <c r="T6319" s="79" t="str">
        <f>IF(ISERROR(FIND('112'!$M$9,G6319,1)),"",IF((AND(FIND('112'!$M$9,G6319,1)&gt;=1,B6319='112'!$K$9,OR($N6319='112'!$I$6,$O6319='112'!$I$6))),"x",""))</f>
        <v/>
      </c>
      <c r="U6319" s="79" t="str">
        <f>IF(ISERROR(FIND('112'!$M$9,G6319,1)),"",IF((AND(LEFT(G6319,2)=LEFT('112'!$M$9,2),B6319&lt;'112'!$K$9,$N6319='112'!$I$6)),"x",""))</f>
        <v/>
      </c>
      <c r="V6319" s="79" t="str">
        <f>IF(ISERROR(FIND('112'!$M$9,G6319,1)),"",IF((AND(RIGHT(G6319,2)=RIGHT('112'!$M$9,2),B6319&lt;'112'!$K$9,$O6319='112'!$I$6)),"x",""))</f>
        <v/>
      </c>
      <c r="W6319" s="79" t="str">
        <f>IF(AND('341-CT'!$H$9=H6319,OR(LEFT(N6319,3)=$W$7,LEFT(O6319,3)=$W$7)),"x","")</f>
        <v/>
      </c>
      <c r="X6319" s="79" t="str">
        <f>IF(OR(TH!N6319=TH!$X$7,O6319=TH!$X$7),"x","")</f>
        <v/>
      </c>
      <c r="Y6319" s="79" t="str">
        <f>IF(AND(OR(N6319="131",O6319="131"),H6319='131-CT'!$H$9),"x","")</f>
        <v/>
      </c>
      <c r="Z6319" s="79"/>
      <c r="AA6319" s="79" t="str">
        <f>IF(AND(MONTH(E6319)='IN-NX'!$J$5,'IN-NX'!$D$7=D6319),"x","")</f>
        <v/>
      </c>
      <c r="AB6319" s="79" t="str">
        <f>IF(AND(OR(LEFT(TH!N6319,2)="15",LEFT(TH!O6319,2)="15"),LEFT(TH!O6319,3)&lt;&gt;"111",'152-CT'!$J$8=TH!F6319),"x","")</f>
        <v/>
      </c>
      <c r="AC6319" s="79" t="str">
        <f>IF(AND(OR(LEFT(TH!N6319,2)="15",LEFT(TH!O6319,2)="15"),TK!$E$7=TH!F6319),"x","")</f>
        <v/>
      </c>
      <c r="AD6319" s="79" t="str">
        <f>IF(AND(N6319="1521",MONTH(C6319)='BK-NL'!$M$11),"x","")</f>
        <v/>
      </c>
    </row>
    <row r="6320" spans="1:30" ht="16.5" customHeight="1">
      <c r="A6320" s="318" t="str">
        <f>IF(B6320&lt;&gt;"",IF(AND(B6320='IN-TC'!$S$4,OR(TH!N6320="1111",TH!O6320="1111")),TH!D6320,""),"")</f>
        <v/>
      </c>
      <c r="B6320" s="60" t="str">
        <f t="shared" si="519"/>
        <v/>
      </c>
      <c r="C6320" s="301"/>
      <c r="D6320" s="301"/>
      <c r="E6320" s="301"/>
      <c r="F6320" s="69"/>
      <c r="G6320" s="769"/>
      <c r="H6320" s="303"/>
      <c r="I6320" s="385"/>
      <c r="J6320" s="392"/>
      <c r="K6320" s="385"/>
      <c r="L6320" s="392"/>
      <c r="M6320" s="62"/>
      <c r="N6320" s="304"/>
      <c r="O6320" s="63"/>
      <c r="P6320" s="79" t="str">
        <f>IF(AND('331-CT'!$E$7=TH!H6320,OR(N6320="331",O6320="331")),"x","")</f>
        <v/>
      </c>
      <c r="Q6320" s="79" t="str">
        <f>IF(AND(B6320='111'!$L$11,OR($N6320=$Q$7,$O6320=$Q$7)),"x","")</f>
        <v/>
      </c>
      <c r="R6320" s="79" t="str">
        <f>IF(AND($N6320=$Q$7,$B6320&lt;'111'!$L$11),"x","")</f>
        <v/>
      </c>
      <c r="S6320" s="79" t="str">
        <f>IF(AND($O6320=$Q$7,$B6320&lt;'111'!$L$11),"x","")</f>
        <v/>
      </c>
      <c r="T6320" s="79" t="str">
        <f>IF(ISERROR(FIND('112'!$M$9,G6320,1)),"",IF((AND(FIND('112'!$M$9,G6320,1)&gt;=1,B6320='112'!$K$9,OR($N6320='112'!$I$6,$O6320='112'!$I$6))),"x",""))</f>
        <v/>
      </c>
      <c r="U6320" s="79" t="str">
        <f>IF(ISERROR(FIND('112'!$M$9,G6320,1)),"",IF((AND(LEFT(G6320,2)=LEFT('112'!$M$9,2),B6320&lt;'112'!$K$9,$N6320='112'!$I$6)),"x",""))</f>
        <v/>
      </c>
      <c r="V6320" s="79" t="str">
        <f>IF(ISERROR(FIND('112'!$M$9,G6320,1)),"",IF((AND(RIGHT(G6320,2)=RIGHT('112'!$M$9,2),B6320&lt;'112'!$K$9,$O6320='112'!$I$6)),"x",""))</f>
        <v/>
      </c>
      <c r="W6320" s="79" t="str">
        <f>IF(AND('341-CT'!$H$9=H6320,OR(LEFT(N6320,3)=$W$7,LEFT(O6320,3)=$W$7)),"x","")</f>
        <v/>
      </c>
      <c r="X6320" s="79" t="str">
        <f>IF(OR(TH!N6320=TH!$X$7,O6320=TH!$X$7),"x","")</f>
        <v/>
      </c>
      <c r="Y6320" s="79" t="str">
        <f>IF(AND(OR(N6320="131",O6320="131"),H6320='131-CT'!$H$9),"x","")</f>
        <v/>
      </c>
      <c r="Z6320" s="79"/>
      <c r="AA6320" s="79" t="str">
        <f>IF(AND(MONTH(E6320)='IN-NX'!$J$5,'IN-NX'!$D$7=D6320),"x","")</f>
        <v/>
      </c>
      <c r="AB6320" s="79" t="str">
        <f>IF(AND(OR(LEFT(TH!N6320,2)="15",LEFT(TH!O6320,2)="15"),LEFT(TH!O6320,3)&lt;&gt;"111",'152-CT'!$J$8=TH!F6320),"x","")</f>
        <v/>
      </c>
      <c r="AC6320" s="79" t="str">
        <f>IF(AND(OR(LEFT(TH!N6320,2)="15",LEFT(TH!O6320,2)="15"),TK!$E$7=TH!F6320),"x","")</f>
        <v/>
      </c>
      <c r="AD6320" s="79" t="str">
        <f>IF(AND(N6320="1521",MONTH(C6320)='BK-NL'!$M$11),"x","")</f>
        <v/>
      </c>
    </row>
    <row r="6321" spans="1:30" ht="16.5" customHeight="1">
      <c r="A6321" s="318" t="str">
        <f>IF(B6321&lt;&gt;"",IF(AND(B6321='IN-TC'!$S$4,OR(TH!N6321="1111",TH!O6321="1111")),TH!D6321,""),"")</f>
        <v/>
      </c>
      <c r="B6321" s="60" t="str">
        <f t="shared" si="519"/>
        <v/>
      </c>
      <c r="C6321" s="301"/>
      <c r="D6321" s="301"/>
      <c r="E6321" s="301"/>
      <c r="F6321" s="69"/>
      <c r="G6321" s="769"/>
      <c r="H6321" s="303"/>
      <c r="I6321" s="385"/>
      <c r="J6321" s="392"/>
      <c r="K6321" s="385"/>
      <c r="L6321" s="392"/>
      <c r="M6321" s="62"/>
      <c r="N6321" s="304"/>
      <c r="O6321" s="63"/>
      <c r="P6321" s="79" t="str">
        <f>IF(AND('331-CT'!$E$7=TH!H6321,OR(N6321="331",O6321="331")),"x","")</f>
        <v/>
      </c>
      <c r="Q6321" s="79" t="str">
        <f>IF(AND(B6321='111'!$L$11,OR($N6321=$Q$7,$O6321=$Q$7)),"x","")</f>
        <v/>
      </c>
      <c r="R6321" s="79" t="str">
        <f>IF(AND($N6321=$Q$7,$B6321&lt;'111'!$L$11),"x","")</f>
        <v/>
      </c>
      <c r="S6321" s="79" t="str">
        <f>IF(AND($O6321=$Q$7,$B6321&lt;'111'!$L$11),"x","")</f>
        <v/>
      </c>
      <c r="T6321" s="79" t="str">
        <f>IF(ISERROR(FIND('112'!$M$9,G6321,1)),"",IF((AND(FIND('112'!$M$9,G6321,1)&gt;=1,B6321='112'!$K$9,OR($N6321='112'!$I$6,$O6321='112'!$I$6))),"x",""))</f>
        <v/>
      </c>
      <c r="U6321" s="79" t="str">
        <f>IF(ISERROR(FIND('112'!$M$9,G6321,1)),"",IF((AND(LEFT(G6321,2)=LEFT('112'!$M$9,2),B6321&lt;'112'!$K$9,$N6321='112'!$I$6)),"x",""))</f>
        <v/>
      </c>
      <c r="V6321" s="79" t="str">
        <f>IF(ISERROR(FIND('112'!$M$9,G6321,1)),"",IF((AND(RIGHT(G6321,2)=RIGHT('112'!$M$9,2),B6321&lt;'112'!$K$9,$O6321='112'!$I$6)),"x",""))</f>
        <v/>
      </c>
      <c r="W6321" s="79" t="str">
        <f>IF(AND('341-CT'!$H$9=H6321,OR(LEFT(N6321,3)=$W$7,LEFT(O6321,3)=$W$7)),"x","")</f>
        <v/>
      </c>
      <c r="X6321" s="79" t="str">
        <f>IF(OR(TH!N6321=TH!$X$7,O6321=TH!$X$7),"x","")</f>
        <v/>
      </c>
      <c r="Y6321" s="79" t="str">
        <f>IF(AND(OR(N6321="131",O6321="131"),H6321='131-CT'!$H$9),"x","")</f>
        <v/>
      </c>
      <c r="Z6321" s="79"/>
      <c r="AA6321" s="79" t="str">
        <f>IF(AND(MONTH(E6321)='IN-NX'!$J$5,'IN-NX'!$D$7=D6321),"x","")</f>
        <v/>
      </c>
      <c r="AB6321" s="79" t="str">
        <f>IF(AND(OR(LEFT(TH!N6321,2)="15",LEFT(TH!O6321,2)="15"),LEFT(TH!O6321,3)&lt;&gt;"111",'152-CT'!$J$8=TH!F6321),"x","")</f>
        <v/>
      </c>
      <c r="AC6321" s="79" t="str">
        <f>IF(AND(OR(LEFT(TH!N6321,2)="15",LEFT(TH!O6321,2)="15"),TK!$E$7=TH!F6321),"x","")</f>
        <v/>
      </c>
      <c r="AD6321" s="79" t="str">
        <f>IF(AND(N6321="1521",MONTH(C6321)='BK-NL'!$M$11),"x","")</f>
        <v/>
      </c>
    </row>
    <row r="6322" spans="1:30" ht="16.5" customHeight="1">
      <c r="A6322" s="318" t="str">
        <f>IF(B6322&lt;&gt;"",IF(AND(B6322='IN-TC'!$S$4,OR(TH!N6322="1111",TH!O6322="1111")),TH!D6322,""),"")</f>
        <v/>
      </c>
      <c r="B6322" s="60" t="str">
        <f t="shared" si="519"/>
        <v/>
      </c>
      <c r="C6322" s="301"/>
      <c r="D6322" s="301"/>
      <c r="E6322" s="301"/>
      <c r="F6322" s="69"/>
      <c r="G6322" s="769"/>
      <c r="H6322" s="302"/>
      <c r="I6322" s="385"/>
      <c r="J6322" s="392"/>
      <c r="K6322" s="385"/>
      <c r="L6322" s="392"/>
      <c r="M6322" s="62"/>
      <c r="N6322" s="304"/>
      <c r="O6322" s="63"/>
      <c r="P6322" s="79" t="str">
        <f>IF(AND('331-CT'!$E$7=TH!H6322,OR(N6322="331",O6322="331")),"x","")</f>
        <v/>
      </c>
      <c r="Q6322" s="79" t="str">
        <f>IF(AND(B6322='111'!$L$11,OR($N6322=$Q$7,$O6322=$Q$7)),"x","")</f>
        <v/>
      </c>
      <c r="R6322" s="79" t="str">
        <f>IF(AND($N6322=$Q$7,$B6322&lt;'111'!$L$11),"x","")</f>
        <v/>
      </c>
      <c r="S6322" s="79" t="str">
        <f>IF(AND($O6322=$Q$7,$B6322&lt;'111'!$L$11),"x","")</f>
        <v/>
      </c>
      <c r="T6322" s="79" t="str">
        <f>IF(ISERROR(FIND('112'!$M$9,G6322,1)),"",IF((AND(FIND('112'!$M$9,G6322,1)&gt;=1,B6322='112'!$K$9,OR($N6322='112'!$I$6,$O6322='112'!$I$6))),"x",""))</f>
        <v/>
      </c>
      <c r="U6322" s="79" t="str">
        <f>IF(ISERROR(FIND('112'!$M$9,G6322,1)),"",IF((AND(LEFT(G6322,2)=LEFT('112'!$M$9,2),B6322&lt;'112'!$K$9,$N6322='112'!$I$6)),"x",""))</f>
        <v/>
      </c>
      <c r="V6322" s="79" t="str">
        <f>IF(ISERROR(FIND('112'!$M$9,G6322,1)),"",IF((AND(RIGHT(G6322,2)=RIGHT('112'!$M$9,2),B6322&lt;'112'!$K$9,$O6322='112'!$I$6)),"x",""))</f>
        <v/>
      </c>
      <c r="W6322" s="79" t="str">
        <f>IF(AND('341-CT'!$H$9=H6322,OR(LEFT(N6322,3)=$W$7,LEFT(O6322,3)=$W$7)),"x","")</f>
        <v/>
      </c>
      <c r="X6322" s="79" t="str">
        <f>IF(OR(TH!N6322=TH!$X$7,O6322=TH!$X$7),"x","")</f>
        <v/>
      </c>
      <c r="Y6322" s="79" t="str">
        <f>IF(AND(OR(N6322="131",O6322="131"),H6322='131-CT'!$H$9),"x","")</f>
        <v/>
      </c>
      <c r="Z6322" s="79"/>
      <c r="AA6322" s="79" t="str">
        <f>IF(AND(MONTH(E6322)='IN-NX'!$J$5,'IN-NX'!$D$7=D6322),"x","")</f>
        <v/>
      </c>
      <c r="AB6322" s="79" t="str">
        <f>IF(AND(OR(LEFT(TH!N6322,2)="15",LEFT(TH!O6322,2)="15"),LEFT(TH!O6322,3)&lt;&gt;"111",'152-CT'!$J$8=TH!F6322),"x","")</f>
        <v/>
      </c>
      <c r="AC6322" s="79" t="str">
        <f>IF(AND(OR(LEFT(TH!N6322,2)="15",LEFT(TH!O6322,2)="15"),TK!$E$7=TH!F6322),"x","")</f>
        <v/>
      </c>
      <c r="AD6322" s="79" t="str">
        <f>IF(AND(N6322="1521",MONTH(C6322)='BK-NL'!$M$11),"x","")</f>
        <v/>
      </c>
    </row>
    <row r="6323" spans="1:30" ht="16.5" customHeight="1">
      <c r="A6323" s="318" t="str">
        <f>IF(B6323&lt;&gt;"",IF(AND(B6323='IN-TC'!$S$4,OR(TH!N6323="1111",TH!O6323="1111")),TH!D6323,""),"")</f>
        <v/>
      </c>
      <c r="B6323" s="60" t="str">
        <f t="shared" si="519"/>
        <v/>
      </c>
      <c r="C6323" s="301"/>
      <c r="D6323" s="301"/>
      <c r="E6323" s="301"/>
      <c r="F6323" s="69"/>
      <c r="G6323" s="769"/>
      <c r="H6323" s="302"/>
      <c r="I6323" s="385"/>
      <c r="J6323" s="392"/>
      <c r="K6323" s="385"/>
      <c r="L6323" s="392"/>
      <c r="M6323" s="62"/>
      <c r="N6323" s="304"/>
      <c r="O6323" s="63"/>
      <c r="P6323" s="79" t="str">
        <f>IF(AND('331-CT'!$E$7=TH!H6323,OR(N6323="331",O6323="331")),"x","")</f>
        <v/>
      </c>
      <c r="Q6323" s="79" t="str">
        <f>IF(AND(B6323='111'!$L$11,OR($N6323=$Q$7,$O6323=$Q$7)),"x","")</f>
        <v/>
      </c>
      <c r="R6323" s="79" t="str">
        <f>IF(AND($N6323=$Q$7,$B6323&lt;'111'!$L$11),"x","")</f>
        <v/>
      </c>
      <c r="S6323" s="79" t="str">
        <f>IF(AND($O6323=$Q$7,$B6323&lt;'111'!$L$11),"x","")</f>
        <v/>
      </c>
      <c r="T6323" s="79" t="str">
        <f>IF(ISERROR(FIND('112'!$M$9,G6323,1)),"",IF((AND(FIND('112'!$M$9,G6323,1)&gt;=1,B6323='112'!$K$9,OR($N6323='112'!$I$6,$O6323='112'!$I$6))),"x",""))</f>
        <v/>
      </c>
      <c r="U6323" s="79" t="str">
        <f>IF(ISERROR(FIND('112'!$M$9,G6323,1)),"",IF((AND(LEFT(G6323,2)=LEFT('112'!$M$9,2),B6323&lt;'112'!$K$9,$N6323='112'!$I$6)),"x",""))</f>
        <v/>
      </c>
      <c r="V6323" s="79" t="str">
        <f>IF(ISERROR(FIND('112'!$M$9,G6323,1)),"",IF((AND(RIGHT(G6323,2)=RIGHT('112'!$M$9,2),B6323&lt;'112'!$K$9,$O6323='112'!$I$6)),"x",""))</f>
        <v/>
      </c>
      <c r="W6323" s="79" t="str">
        <f>IF(AND('341-CT'!$H$9=H6323,OR(LEFT(N6323,3)=$W$7,LEFT(O6323,3)=$W$7)),"x","")</f>
        <v/>
      </c>
      <c r="X6323" s="79" t="str">
        <f>IF(OR(TH!N6323=TH!$X$7,O6323=TH!$X$7),"x","")</f>
        <v/>
      </c>
      <c r="Y6323" s="79" t="str">
        <f>IF(AND(OR(N6323="131",O6323="131"),H6323='131-CT'!$H$9),"x","")</f>
        <v/>
      </c>
      <c r="Z6323" s="79"/>
      <c r="AA6323" s="79" t="str">
        <f>IF(AND(MONTH(E6323)='IN-NX'!$J$5,'IN-NX'!$D$7=D6323),"x","")</f>
        <v/>
      </c>
      <c r="AB6323" s="79" t="str">
        <f>IF(AND(OR(LEFT(TH!N6323,2)="15",LEFT(TH!O6323,2)="15"),LEFT(TH!O6323,3)&lt;&gt;"111",'152-CT'!$J$8=TH!F6323),"x","")</f>
        <v/>
      </c>
      <c r="AC6323" s="79" t="str">
        <f>IF(AND(OR(LEFT(TH!N6323,2)="15",LEFT(TH!O6323,2)="15"),TK!$E$7=TH!F6323),"x","")</f>
        <v/>
      </c>
      <c r="AD6323" s="79" t="str">
        <f>IF(AND(N6323="1521",MONTH(C6323)='BK-NL'!$M$11),"x","")</f>
        <v/>
      </c>
    </row>
    <row r="6324" spans="1:30" ht="16.5" customHeight="1">
      <c r="A6324" s="318" t="str">
        <f>IF(B6324&lt;&gt;"",IF(AND(B6324='IN-TC'!$S$4,OR(TH!N6324="1111",TH!O6324="1111")),TH!D6324,""),"")</f>
        <v/>
      </c>
      <c r="B6324" s="60" t="str">
        <f t="shared" si="519"/>
        <v/>
      </c>
      <c r="C6324" s="61"/>
      <c r="D6324" s="301"/>
      <c r="E6324" s="61"/>
      <c r="F6324" s="69"/>
      <c r="G6324" s="766"/>
      <c r="H6324" s="321"/>
      <c r="I6324" s="387"/>
      <c r="J6324" s="394"/>
      <c r="K6324" s="387"/>
      <c r="L6324" s="394"/>
      <c r="M6324" s="62"/>
      <c r="N6324" s="304"/>
      <c r="O6324" s="63"/>
      <c r="P6324" s="79" t="str">
        <f>IF(AND('331-CT'!$E$7=TH!H6324,OR(N6324="331",O6324="331")),"x","")</f>
        <v/>
      </c>
      <c r="Q6324" s="79" t="str">
        <f>IF(AND(B6324='111'!$L$11,OR($N6324=$Q$7,$O6324=$Q$7)),"x","")</f>
        <v/>
      </c>
      <c r="R6324" s="79" t="str">
        <f>IF(AND($N6324=$Q$7,$B6324&lt;'111'!$L$11),"x","")</f>
        <v/>
      </c>
      <c r="S6324" s="79" t="str">
        <f>IF(AND($O6324=$Q$7,$B6324&lt;'111'!$L$11),"x","")</f>
        <v/>
      </c>
      <c r="T6324" s="79" t="str">
        <f>IF(ISERROR(FIND('112'!$M$9,G6324,1)),"",IF((AND(FIND('112'!$M$9,G6324,1)&gt;=1,B6324='112'!$K$9,OR($N6324='112'!$I$6,$O6324='112'!$I$6))),"x",""))</f>
        <v/>
      </c>
      <c r="U6324" s="79" t="str">
        <f>IF(ISERROR(FIND('112'!$M$9,G6324,1)),"",IF((AND(LEFT(G6324,2)=LEFT('112'!$M$9,2),B6324&lt;'112'!$K$9,$N6324='112'!$I$6)),"x",""))</f>
        <v/>
      </c>
      <c r="V6324" s="79" t="str">
        <f>IF(ISERROR(FIND('112'!$M$9,G6324,1)),"",IF((AND(RIGHT(G6324,2)=RIGHT('112'!$M$9,2),B6324&lt;'112'!$K$9,$O6324='112'!$I$6)),"x",""))</f>
        <v/>
      </c>
      <c r="W6324" s="79" t="str">
        <f>IF(AND('341-CT'!$H$9=H6324,OR(LEFT(N6324,3)=$W$7,LEFT(O6324,3)=$W$7)),"x","")</f>
        <v/>
      </c>
      <c r="X6324" s="79" t="str">
        <f>IF(OR(TH!N6324=TH!$X$7,O6324=TH!$X$7),"x","")</f>
        <v/>
      </c>
      <c r="Y6324" s="79" t="str">
        <f>IF(AND(OR(N6324="131",O6324="131"),H6324='131-CT'!$H$9),"x","")</f>
        <v/>
      </c>
      <c r="Z6324" s="79"/>
      <c r="AA6324" s="79" t="str">
        <f>IF(AND(MONTH(E6324)='IN-NX'!$J$5,'IN-NX'!$D$7=D6324),"x","")</f>
        <v/>
      </c>
      <c r="AB6324" s="79" t="str">
        <f>IF(AND(OR(LEFT(TH!N6324,2)="15",LEFT(TH!O6324,2)="15"),LEFT(TH!O6324,3)&lt;&gt;"111",'152-CT'!$J$8=TH!F6324),"x","")</f>
        <v/>
      </c>
      <c r="AC6324" s="79" t="str">
        <f>IF(AND(OR(LEFT(TH!N6324,2)="15",LEFT(TH!O6324,2)="15"),TK!$E$7=TH!F6324),"x","")</f>
        <v/>
      </c>
      <c r="AD6324" s="79" t="str">
        <f>IF(AND(N6324="1521",MONTH(C6324)='BK-NL'!$M$11),"x","")</f>
        <v/>
      </c>
    </row>
    <row r="6325" spans="1:30" ht="16.5" customHeight="1">
      <c r="A6325" s="318" t="str">
        <f>IF(B6325&lt;&gt;"",IF(AND(B6325='IN-TC'!$S$4,OR(TH!N6325="1111",TH!O6325="1111")),TH!D6325,""),"")</f>
        <v/>
      </c>
      <c r="B6325" s="60" t="str">
        <f t="shared" si="519"/>
        <v/>
      </c>
      <c r="C6325" s="61"/>
      <c r="D6325" s="301"/>
      <c r="E6325" s="61"/>
      <c r="F6325" s="69"/>
      <c r="G6325" s="766"/>
      <c r="H6325" s="321"/>
      <c r="I6325" s="387"/>
      <c r="J6325" s="394"/>
      <c r="K6325" s="387"/>
      <c r="L6325" s="394"/>
      <c r="M6325" s="62"/>
      <c r="N6325" s="304"/>
      <c r="O6325" s="63"/>
      <c r="P6325" s="79" t="str">
        <f>IF(AND('331-CT'!$E$7=TH!H6325,OR(N6325="331",O6325="331")),"x","")</f>
        <v/>
      </c>
      <c r="Q6325" s="79" t="str">
        <f>IF(AND(B6325='111'!$L$11,OR($N6325=$Q$7,$O6325=$Q$7)),"x","")</f>
        <v/>
      </c>
      <c r="R6325" s="79" t="str">
        <f>IF(AND($N6325=$Q$7,$B6325&lt;'111'!$L$11),"x","")</f>
        <v/>
      </c>
      <c r="S6325" s="79" t="str">
        <f>IF(AND($O6325=$Q$7,$B6325&lt;'111'!$L$11),"x","")</f>
        <v/>
      </c>
      <c r="T6325" s="79" t="str">
        <f>IF(ISERROR(FIND('112'!$M$9,G6325,1)),"",IF((AND(FIND('112'!$M$9,G6325,1)&gt;=1,B6325='112'!$K$9,OR($N6325='112'!$I$6,$O6325='112'!$I$6))),"x",""))</f>
        <v/>
      </c>
      <c r="U6325" s="79" t="str">
        <f>IF(ISERROR(FIND('112'!$M$9,G6325,1)),"",IF((AND(LEFT(G6325,2)=LEFT('112'!$M$9,2),B6325&lt;'112'!$K$9,$N6325='112'!$I$6)),"x",""))</f>
        <v/>
      </c>
      <c r="V6325" s="79" t="str">
        <f>IF(ISERROR(FIND('112'!$M$9,G6325,1)),"",IF((AND(RIGHT(G6325,2)=RIGHT('112'!$M$9,2),B6325&lt;'112'!$K$9,$O6325='112'!$I$6)),"x",""))</f>
        <v/>
      </c>
      <c r="W6325" s="79" t="str">
        <f>IF(AND('341-CT'!$H$9=H6325,OR(LEFT(N6325,3)=$W$7,LEFT(O6325,3)=$W$7)),"x","")</f>
        <v/>
      </c>
      <c r="X6325" s="79" t="str">
        <f>IF(OR(TH!N6325=TH!$X$7,O6325=TH!$X$7),"x","")</f>
        <v/>
      </c>
      <c r="Y6325" s="79" t="str">
        <f>IF(AND(OR(N6325="131",O6325="131"),H6325='131-CT'!$H$9),"x","")</f>
        <v/>
      </c>
      <c r="Z6325" s="79"/>
      <c r="AA6325" s="79" t="str">
        <f>IF(AND(MONTH(E6325)='IN-NX'!$J$5,'IN-NX'!$D$7=D6325),"x","")</f>
        <v/>
      </c>
      <c r="AB6325" s="79" t="str">
        <f>IF(AND(OR(LEFT(TH!N6325,2)="15",LEFT(TH!O6325,2)="15"),LEFT(TH!O6325,3)&lt;&gt;"111",'152-CT'!$J$8=TH!F6325),"x","")</f>
        <v/>
      </c>
      <c r="AC6325" s="79" t="str">
        <f>IF(AND(OR(LEFT(TH!N6325,2)="15",LEFT(TH!O6325,2)="15"),TK!$E$7=TH!F6325),"x","")</f>
        <v/>
      </c>
      <c r="AD6325" s="79" t="str">
        <f>IF(AND(N6325="1521",MONTH(C6325)='BK-NL'!$M$11),"x","")</f>
        <v/>
      </c>
    </row>
    <row r="6326" spans="1:30" ht="16.5" customHeight="1">
      <c r="A6326" s="318" t="str">
        <f>IF(B6326&lt;&gt;"",IF(AND(B6326='IN-TC'!$S$4,OR(TH!N6326="1111",TH!O6326="1111")),TH!D6326,""),"")</f>
        <v/>
      </c>
      <c r="B6326" s="60" t="str">
        <f t="shared" si="519"/>
        <v/>
      </c>
      <c r="C6326" s="301"/>
      <c r="D6326" s="301"/>
      <c r="E6326" s="301"/>
      <c r="F6326" s="69"/>
      <c r="G6326" s="769"/>
      <c r="H6326" s="303"/>
      <c r="I6326" s="385"/>
      <c r="J6326" s="392"/>
      <c r="K6326" s="385"/>
      <c r="L6326" s="392"/>
      <c r="M6326" s="62"/>
      <c r="N6326" s="304"/>
      <c r="O6326" s="63"/>
      <c r="P6326" s="79" t="str">
        <f>IF(AND('331-CT'!$E$7=TH!H6326,OR(N6326="331",O6326="331")),"x","")</f>
        <v/>
      </c>
      <c r="Q6326" s="79" t="str">
        <f>IF(AND(B6326='111'!$L$11,OR($N6326=$Q$7,$O6326=$Q$7)),"x","")</f>
        <v/>
      </c>
      <c r="R6326" s="79" t="str">
        <f>IF(AND($N6326=$Q$7,$B6326&lt;'111'!$L$11),"x","")</f>
        <v/>
      </c>
      <c r="S6326" s="79" t="str">
        <f>IF(AND($O6326=$Q$7,$B6326&lt;'111'!$L$11),"x","")</f>
        <v/>
      </c>
      <c r="T6326" s="79" t="str">
        <f>IF(ISERROR(FIND('112'!$M$9,G6326,1)),"",IF((AND(FIND('112'!$M$9,G6326,1)&gt;=1,B6326='112'!$K$9,OR($N6326='112'!$I$6,$O6326='112'!$I$6))),"x",""))</f>
        <v/>
      </c>
      <c r="U6326" s="79" t="str">
        <f>IF(ISERROR(FIND('112'!$M$9,G6326,1)),"",IF((AND(LEFT(G6326,2)=LEFT('112'!$M$9,2),B6326&lt;'112'!$K$9,$N6326='112'!$I$6)),"x",""))</f>
        <v/>
      </c>
      <c r="V6326" s="79" t="str">
        <f>IF(ISERROR(FIND('112'!$M$9,G6326,1)),"",IF((AND(RIGHT(G6326,2)=RIGHT('112'!$M$9,2),B6326&lt;'112'!$K$9,$O6326='112'!$I$6)),"x",""))</f>
        <v/>
      </c>
      <c r="W6326" s="79" t="str">
        <f>IF(AND('341-CT'!$H$9=H6326,OR(LEFT(N6326,3)=$W$7,LEFT(O6326,3)=$W$7)),"x","")</f>
        <v/>
      </c>
      <c r="X6326" s="79" t="str">
        <f>IF(OR(TH!N6326=TH!$X$7,O6326=TH!$X$7),"x","")</f>
        <v/>
      </c>
      <c r="Y6326" s="79" t="str">
        <f>IF(AND(OR(N6326="131",O6326="131"),H6326='131-CT'!$H$9),"x","")</f>
        <v/>
      </c>
      <c r="Z6326" s="79"/>
      <c r="AA6326" s="79" t="str">
        <f>IF(AND(MONTH(E6326)='IN-NX'!$J$5,'IN-NX'!$D$7=D6326),"x","")</f>
        <v/>
      </c>
      <c r="AB6326" s="79" t="str">
        <f>IF(AND(OR(LEFT(TH!N6326,2)="15",LEFT(TH!O6326,2)="15"),LEFT(TH!O6326,3)&lt;&gt;"111",'152-CT'!$J$8=TH!F6326),"x","")</f>
        <v/>
      </c>
      <c r="AC6326" s="79" t="str">
        <f>IF(AND(OR(LEFT(TH!N6326,2)="15",LEFT(TH!O6326,2)="15"),TK!$E$7=TH!F6326),"x","")</f>
        <v/>
      </c>
      <c r="AD6326" s="79" t="str">
        <f>IF(AND(N6326="1521",MONTH(C6326)='BK-NL'!$M$11),"x","")</f>
        <v/>
      </c>
    </row>
    <row r="6327" spans="1:30" ht="16.5" customHeight="1">
      <c r="A6327" s="318" t="str">
        <f>IF(B6327&lt;&gt;"",IF(AND(B6327='IN-TC'!$S$4,OR(TH!N6327="1111",TH!O6327="1111")),TH!D6327,""),"")</f>
        <v/>
      </c>
      <c r="B6327" s="60" t="str">
        <f t="shared" si="519"/>
        <v/>
      </c>
      <c r="C6327" s="301"/>
      <c r="D6327" s="301"/>
      <c r="E6327" s="301"/>
      <c r="F6327" s="69"/>
      <c r="G6327" s="769"/>
      <c r="H6327" s="303"/>
      <c r="I6327" s="385"/>
      <c r="J6327" s="392"/>
      <c r="K6327" s="385"/>
      <c r="L6327" s="392"/>
      <c r="M6327" s="62"/>
      <c r="N6327" s="304"/>
      <c r="O6327" s="63"/>
      <c r="P6327" s="79" t="str">
        <f>IF(AND('331-CT'!$E$7=TH!H6327,OR(N6327="331",O6327="331")),"x","")</f>
        <v/>
      </c>
      <c r="Q6327" s="79" t="str">
        <f>IF(AND(B6327='111'!$L$11,OR($N6327=$Q$7,$O6327=$Q$7)),"x","")</f>
        <v/>
      </c>
      <c r="R6327" s="79" t="str">
        <f>IF(AND($N6327=$Q$7,$B6327&lt;'111'!$L$11),"x","")</f>
        <v/>
      </c>
      <c r="S6327" s="79" t="str">
        <f>IF(AND($O6327=$Q$7,$B6327&lt;'111'!$L$11),"x","")</f>
        <v/>
      </c>
      <c r="T6327" s="79" t="str">
        <f>IF(ISERROR(FIND('112'!$M$9,G6327,1)),"",IF((AND(FIND('112'!$M$9,G6327,1)&gt;=1,B6327='112'!$K$9,OR($N6327='112'!$I$6,$O6327='112'!$I$6))),"x",""))</f>
        <v/>
      </c>
      <c r="U6327" s="79" t="str">
        <f>IF(ISERROR(FIND('112'!$M$9,G6327,1)),"",IF((AND(LEFT(G6327,2)=LEFT('112'!$M$9,2),B6327&lt;'112'!$K$9,$N6327='112'!$I$6)),"x",""))</f>
        <v/>
      </c>
      <c r="V6327" s="79" t="str">
        <f>IF(ISERROR(FIND('112'!$M$9,G6327,1)),"",IF((AND(RIGHT(G6327,2)=RIGHT('112'!$M$9,2),B6327&lt;'112'!$K$9,$O6327='112'!$I$6)),"x",""))</f>
        <v/>
      </c>
      <c r="W6327" s="79" t="str">
        <f>IF(AND('341-CT'!$H$9=H6327,OR(LEFT(N6327,3)=$W$7,LEFT(O6327,3)=$W$7)),"x","")</f>
        <v/>
      </c>
      <c r="X6327" s="79" t="str">
        <f>IF(OR(TH!N6327=TH!$X$7,O6327=TH!$X$7),"x","")</f>
        <v/>
      </c>
      <c r="Y6327" s="79" t="str">
        <f>IF(AND(OR(N6327="131",O6327="131"),H6327='131-CT'!$H$9),"x","")</f>
        <v/>
      </c>
      <c r="Z6327" s="79"/>
      <c r="AA6327" s="79" t="str">
        <f>IF(AND(MONTH(E6327)='IN-NX'!$J$5,'IN-NX'!$D$7=D6327),"x","")</f>
        <v/>
      </c>
      <c r="AB6327" s="79" t="str">
        <f>IF(AND(OR(LEFT(TH!N6327,2)="15",LEFT(TH!O6327,2)="15"),LEFT(TH!O6327,3)&lt;&gt;"111",'152-CT'!$J$8=TH!F6327),"x","")</f>
        <v/>
      </c>
      <c r="AC6327" s="79" t="str">
        <f>IF(AND(OR(LEFT(TH!N6327,2)="15",LEFT(TH!O6327,2)="15"),TK!$E$7=TH!F6327),"x","")</f>
        <v/>
      </c>
      <c r="AD6327" s="79" t="str">
        <f>IF(AND(N6327="1521",MONTH(C6327)='BK-NL'!$M$11),"x","")</f>
        <v/>
      </c>
    </row>
    <row r="6328" spans="1:30" ht="16.5" customHeight="1">
      <c r="A6328" s="318" t="str">
        <f>IF(B6328&lt;&gt;"",IF(AND(B6328='IN-TC'!$S$4,OR(TH!N6328="1111",TH!O6328="1111")),TH!D6328,""),"")</f>
        <v/>
      </c>
      <c r="B6328" s="60" t="str">
        <f t="shared" si="519"/>
        <v/>
      </c>
      <c r="C6328" s="301"/>
      <c r="D6328" s="301"/>
      <c r="E6328" s="301"/>
      <c r="F6328" s="69"/>
      <c r="G6328" s="769"/>
      <c r="H6328" s="303"/>
      <c r="I6328" s="385"/>
      <c r="J6328" s="392"/>
      <c r="K6328" s="385"/>
      <c r="L6328" s="392"/>
      <c r="M6328" s="62"/>
      <c r="N6328" s="304"/>
      <c r="O6328" s="63"/>
      <c r="P6328" s="79" t="str">
        <f>IF(AND('331-CT'!$E$7=TH!H6328,OR(N6328="331",O6328="331")),"x","")</f>
        <v/>
      </c>
      <c r="Q6328" s="79" t="str">
        <f>IF(AND(B6328='111'!$L$11,OR($N6328=$Q$7,$O6328=$Q$7)),"x","")</f>
        <v/>
      </c>
      <c r="R6328" s="79" t="str">
        <f>IF(AND($N6328=$Q$7,$B6328&lt;'111'!$L$11),"x","")</f>
        <v/>
      </c>
      <c r="S6328" s="79" t="str">
        <f>IF(AND($O6328=$Q$7,$B6328&lt;'111'!$L$11),"x","")</f>
        <v/>
      </c>
      <c r="T6328" s="79" t="str">
        <f>IF(ISERROR(FIND('112'!$M$9,G6328,1)),"",IF((AND(FIND('112'!$M$9,G6328,1)&gt;=1,B6328='112'!$K$9,OR($N6328='112'!$I$6,$O6328='112'!$I$6))),"x",""))</f>
        <v/>
      </c>
      <c r="U6328" s="79" t="str">
        <f>IF(ISERROR(FIND('112'!$M$9,G6328,1)),"",IF((AND(LEFT(G6328,2)=LEFT('112'!$M$9,2),B6328&lt;'112'!$K$9,$N6328='112'!$I$6)),"x",""))</f>
        <v/>
      </c>
      <c r="V6328" s="79" t="str">
        <f>IF(ISERROR(FIND('112'!$M$9,G6328,1)),"",IF((AND(RIGHT(G6328,2)=RIGHT('112'!$M$9,2),B6328&lt;'112'!$K$9,$O6328='112'!$I$6)),"x",""))</f>
        <v/>
      </c>
      <c r="W6328" s="79" t="str">
        <f>IF(AND('341-CT'!$H$9=H6328,OR(LEFT(N6328,3)=$W$7,LEFT(O6328,3)=$W$7)),"x","")</f>
        <v/>
      </c>
      <c r="X6328" s="79" t="str">
        <f>IF(OR(TH!N6328=TH!$X$7,O6328=TH!$X$7),"x","")</f>
        <v/>
      </c>
      <c r="Y6328" s="79" t="str">
        <f>IF(AND(OR(N6328="131",O6328="131"),H6328='131-CT'!$H$9),"x","")</f>
        <v/>
      </c>
      <c r="Z6328" s="79"/>
      <c r="AA6328" s="79" t="str">
        <f>IF(AND(MONTH(E6328)='IN-NX'!$J$5,'IN-NX'!$D$7=D6328),"x","")</f>
        <v/>
      </c>
      <c r="AB6328" s="79" t="str">
        <f>IF(AND(OR(LEFT(TH!N6328,2)="15",LEFT(TH!O6328,2)="15"),LEFT(TH!O6328,3)&lt;&gt;"111",'152-CT'!$J$8=TH!F6328),"x","")</f>
        <v/>
      </c>
      <c r="AC6328" s="79" t="str">
        <f>IF(AND(OR(LEFT(TH!N6328,2)="15",LEFT(TH!O6328,2)="15"),TK!$E$7=TH!F6328),"x","")</f>
        <v/>
      </c>
      <c r="AD6328" s="79" t="str">
        <f>IF(AND(N6328="1521",MONTH(C6328)='BK-NL'!$M$11),"x","")</f>
        <v/>
      </c>
    </row>
    <row r="6329" spans="1:30" ht="16.5" customHeight="1">
      <c r="A6329" s="318" t="str">
        <f>IF(B6329&lt;&gt;"",IF(AND(B6329='IN-TC'!$S$4,OR(TH!N6329="1111",TH!O6329="1111")),TH!D6329,""),"")</f>
        <v/>
      </c>
      <c r="B6329" s="60" t="str">
        <f t="shared" si="519"/>
        <v/>
      </c>
      <c r="C6329" s="301"/>
      <c r="D6329" s="301"/>
      <c r="E6329" s="301"/>
      <c r="F6329" s="69"/>
      <c r="G6329" s="769"/>
      <c r="H6329" s="303"/>
      <c r="I6329" s="385"/>
      <c r="J6329" s="392"/>
      <c r="K6329" s="385"/>
      <c r="L6329" s="392"/>
      <c r="M6329" s="62"/>
      <c r="N6329" s="304"/>
      <c r="O6329" s="63"/>
      <c r="P6329" s="79" t="str">
        <f>IF(AND('331-CT'!$E$7=TH!H6329,OR(N6329="331",O6329="331")),"x","")</f>
        <v/>
      </c>
      <c r="Q6329" s="79" t="str">
        <f>IF(AND(B6329='111'!$L$11,OR($N6329=$Q$7,$O6329=$Q$7)),"x","")</f>
        <v/>
      </c>
      <c r="R6329" s="79" t="str">
        <f>IF(AND($N6329=$Q$7,$B6329&lt;'111'!$L$11),"x","")</f>
        <v/>
      </c>
      <c r="S6329" s="79" t="str">
        <f>IF(AND($O6329=$Q$7,$B6329&lt;'111'!$L$11),"x","")</f>
        <v/>
      </c>
      <c r="T6329" s="79" t="str">
        <f>IF(ISERROR(FIND('112'!$M$9,G6329,1)),"",IF((AND(FIND('112'!$M$9,G6329,1)&gt;=1,B6329='112'!$K$9,OR($N6329='112'!$I$6,$O6329='112'!$I$6))),"x",""))</f>
        <v/>
      </c>
      <c r="U6329" s="79" t="str">
        <f>IF(ISERROR(FIND('112'!$M$9,G6329,1)),"",IF((AND(LEFT(G6329,2)=LEFT('112'!$M$9,2),B6329&lt;'112'!$K$9,$N6329='112'!$I$6)),"x",""))</f>
        <v/>
      </c>
      <c r="V6329" s="79" t="str">
        <f>IF(ISERROR(FIND('112'!$M$9,G6329,1)),"",IF((AND(RIGHT(G6329,2)=RIGHT('112'!$M$9,2),B6329&lt;'112'!$K$9,$O6329='112'!$I$6)),"x",""))</f>
        <v/>
      </c>
      <c r="W6329" s="79" t="str">
        <f>IF(AND('341-CT'!$H$9=H6329,OR(LEFT(N6329,3)=$W$7,LEFT(O6329,3)=$W$7)),"x","")</f>
        <v/>
      </c>
      <c r="X6329" s="79" t="str">
        <f>IF(OR(TH!N6329=TH!$X$7,O6329=TH!$X$7),"x","")</f>
        <v/>
      </c>
      <c r="Y6329" s="79" t="str">
        <f>IF(AND(OR(N6329="131",O6329="131"),H6329='131-CT'!$H$9),"x","")</f>
        <v/>
      </c>
      <c r="Z6329" s="79"/>
      <c r="AA6329" s="79" t="str">
        <f>IF(AND(MONTH(E6329)='IN-NX'!$J$5,'IN-NX'!$D$7=D6329),"x","")</f>
        <v/>
      </c>
      <c r="AB6329" s="79" t="str">
        <f>IF(AND(OR(LEFT(TH!N6329,2)="15",LEFT(TH!O6329,2)="15"),LEFT(TH!O6329,3)&lt;&gt;"111",'152-CT'!$J$8=TH!F6329),"x","")</f>
        <v/>
      </c>
      <c r="AC6329" s="79" t="str">
        <f>IF(AND(OR(LEFT(TH!N6329,2)="15",LEFT(TH!O6329,2)="15"),TK!$E$7=TH!F6329),"x","")</f>
        <v/>
      </c>
      <c r="AD6329" s="79" t="str">
        <f>IF(AND(N6329="1521",MONTH(C6329)='BK-NL'!$M$11),"x","")</f>
        <v/>
      </c>
    </row>
    <row r="6330" spans="1:30" ht="16.5" customHeight="1">
      <c r="A6330" s="318" t="str">
        <f>IF(B6330&lt;&gt;"",IF(AND(B6330='IN-TC'!$S$4,OR(TH!N6330="1111",TH!O6330="1111")),TH!D6330,""),"")</f>
        <v/>
      </c>
      <c r="B6330" s="60" t="str">
        <f t="shared" si="519"/>
        <v/>
      </c>
      <c r="C6330" s="301"/>
      <c r="D6330" s="301"/>
      <c r="E6330" s="301"/>
      <c r="F6330" s="69"/>
      <c r="G6330" s="769"/>
      <c r="H6330" s="303"/>
      <c r="I6330" s="385"/>
      <c r="J6330" s="392"/>
      <c r="K6330" s="385"/>
      <c r="L6330" s="392"/>
      <c r="M6330" s="62"/>
      <c r="N6330" s="304"/>
      <c r="O6330" s="63"/>
      <c r="P6330" s="79" t="str">
        <f>IF(AND('331-CT'!$E$7=TH!H6330,OR(N6330="331",O6330="331")),"x","")</f>
        <v/>
      </c>
      <c r="Q6330" s="79" t="str">
        <f>IF(AND(B6330='111'!$L$11,OR($N6330=$Q$7,$O6330=$Q$7)),"x","")</f>
        <v/>
      </c>
      <c r="R6330" s="79" t="str">
        <f>IF(AND($N6330=$Q$7,$B6330&lt;'111'!$L$11),"x","")</f>
        <v/>
      </c>
      <c r="S6330" s="79" t="str">
        <f>IF(AND($O6330=$Q$7,$B6330&lt;'111'!$L$11),"x","")</f>
        <v/>
      </c>
      <c r="T6330" s="79" t="str">
        <f>IF(ISERROR(FIND('112'!$M$9,G6330,1)),"",IF((AND(FIND('112'!$M$9,G6330,1)&gt;=1,B6330='112'!$K$9,OR($N6330='112'!$I$6,$O6330='112'!$I$6))),"x",""))</f>
        <v/>
      </c>
      <c r="U6330" s="79" t="str">
        <f>IF(ISERROR(FIND('112'!$M$9,G6330,1)),"",IF((AND(LEFT(G6330,2)=LEFT('112'!$M$9,2),B6330&lt;'112'!$K$9,$N6330='112'!$I$6)),"x",""))</f>
        <v/>
      </c>
      <c r="V6330" s="79" t="str">
        <f>IF(ISERROR(FIND('112'!$M$9,G6330,1)),"",IF((AND(RIGHT(G6330,2)=RIGHT('112'!$M$9,2),B6330&lt;'112'!$K$9,$O6330='112'!$I$6)),"x",""))</f>
        <v/>
      </c>
      <c r="W6330" s="79" t="str">
        <f>IF(AND('341-CT'!$H$9=H6330,OR(LEFT(N6330,3)=$W$7,LEFT(O6330,3)=$W$7)),"x","")</f>
        <v/>
      </c>
      <c r="X6330" s="79" t="str">
        <f>IF(OR(TH!N6330=TH!$X$7,O6330=TH!$X$7),"x","")</f>
        <v/>
      </c>
      <c r="Y6330" s="79" t="str">
        <f>IF(AND(OR(N6330="131",O6330="131"),H6330='131-CT'!$H$9),"x","")</f>
        <v/>
      </c>
      <c r="Z6330" s="79"/>
      <c r="AA6330" s="79" t="str">
        <f>IF(AND(MONTH(E6330)='IN-NX'!$J$5,'IN-NX'!$D$7=D6330),"x","")</f>
        <v/>
      </c>
      <c r="AB6330" s="79" t="str">
        <f>IF(AND(OR(LEFT(TH!N6330,2)="15",LEFT(TH!O6330,2)="15"),LEFT(TH!O6330,3)&lt;&gt;"111",'152-CT'!$J$8=TH!F6330),"x","")</f>
        <v/>
      </c>
      <c r="AC6330" s="79" t="str">
        <f>IF(AND(OR(LEFT(TH!N6330,2)="15",LEFT(TH!O6330,2)="15"),TK!$E$7=TH!F6330),"x","")</f>
        <v/>
      </c>
      <c r="AD6330" s="79" t="str">
        <f>IF(AND(N6330="1521",MONTH(C6330)='BK-NL'!$M$11),"x","")</f>
        <v/>
      </c>
    </row>
    <row r="6331" spans="1:30" ht="16.5" customHeight="1">
      <c r="A6331" s="318" t="str">
        <f>IF(B6331&lt;&gt;"",IF(AND(B6331='IN-TC'!$S$4,OR(TH!N6331="1111",TH!O6331="1111")),TH!D6331,""),"")</f>
        <v/>
      </c>
      <c r="B6331" s="60" t="str">
        <f t="shared" si="519"/>
        <v/>
      </c>
      <c r="C6331" s="301"/>
      <c r="D6331" s="301"/>
      <c r="E6331" s="301"/>
      <c r="F6331" s="69"/>
      <c r="G6331" s="302"/>
      <c r="H6331" s="72"/>
      <c r="I6331" s="385"/>
      <c r="J6331" s="392"/>
      <c r="K6331" s="385"/>
      <c r="L6331" s="392"/>
      <c r="M6331" s="62"/>
      <c r="N6331" s="304"/>
      <c r="O6331" s="63"/>
      <c r="P6331" s="79" t="str">
        <f>IF(AND('331-CT'!$E$7=TH!H6331,OR(N6331="331",O6331="331")),"x","")</f>
        <v/>
      </c>
      <c r="Q6331" s="79" t="str">
        <f>IF(AND(B6331='111'!$L$11,OR($N6331=$Q$7,$O6331=$Q$7)),"x","")</f>
        <v/>
      </c>
      <c r="R6331" s="79" t="str">
        <f>IF(AND($N6331=$Q$7,$B6331&lt;'111'!$L$11),"x","")</f>
        <v/>
      </c>
      <c r="S6331" s="79" t="str">
        <f>IF(AND($O6331=$Q$7,$B6331&lt;'111'!$L$11),"x","")</f>
        <v/>
      </c>
      <c r="T6331" s="79" t="str">
        <f>IF(ISERROR(FIND('112'!$M$9,G6331,1)),"",IF((AND(FIND('112'!$M$9,G6331,1)&gt;=1,B6331='112'!$K$9,OR($N6331='112'!$I$6,$O6331='112'!$I$6))),"x",""))</f>
        <v/>
      </c>
      <c r="U6331" s="79" t="str">
        <f>IF(ISERROR(FIND('112'!$M$9,G6331,1)),"",IF((AND(LEFT(G6331,2)=LEFT('112'!$M$9,2),B6331&lt;'112'!$K$9,$N6331='112'!$I$6)),"x",""))</f>
        <v/>
      </c>
      <c r="V6331" s="79" t="str">
        <f>IF(ISERROR(FIND('112'!$M$9,G6331,1)),"",IF((AND(RIGHT(G6331,2)=RIGHT('112'!$M$9,2),B6331&lt;'112'!$K$9,$O6331='112'!$I$6)),"x",""))</f>
        <v/>
      </c>
      <c r="W6331" s="79" t="str">
        <f>IF(AND('341-CT'!$H$9=H6331,OR(LEFT(N6331,3)=$W$7,LEFT(O6331,3)=$W$7)),"x","")</f>
        <v/>
      </c>
      <c r="X6331" s="79" t="str">
        <f>IF(OR(TH!N6331=TH!$X$7,O6331=TH!$X$7),"x","")</f>
        <v/>
      </c>
      <c r="Y6331" s="79" t="str">
        <f>IF(AND(OR(N6331="131",O6331="131"),H6331='131-CT'!$H$9),"x","")</f>
        <v/>
      </c>
      <c r="Z6331" s="79"/>
      <c r="AA6331" s="79" t="str">
        <f>IF(AND(MONTH(E6331)='IN-NX'!$J$5,'IN-NX'!$D$7=D6331),"x","")</f>
        <v/>
      </c>
      <c r="AB6331" s="79" t="str">
        <f>IF(AND(OR(LEFT(TH!N6331,2)="15",LEFT(TH!O6331,2)="15"),LEFT(TH!O6331,3)&lt;&gt;"111",'152-CT'!$J$8=TH!F6331),"x","")</f>
        <v/>
      </c>
      <c r="AC6331" s="79" t="str">
        <f>IF(AND(OR(LEFT(TH!N6331,2)="15",LEFT(TH!O6331,2)="15"),TK!$E$7=TH!F6331),"x","")</f>
        <v/>
      </c>
      <c r="AD6331" s="79" t="str">
        <f>IF(AND(N6331="1521",MONTH(C6331)='BK-NL'!$M$11),"x","")</f>
        <v/>
      </c>
    </row>
    <row r="6332" spans="1:30" ht="16.5" customHeight="1">
      <c r="A6332" s="318" t="str">
        <f>IF(B6332&lt;&gt;"",IF(AND(B6332='IN-TC'!$S$4,OR(TH!N6332="1111",TH!O6332="1111")),TH!D6332,""),"")</f>
        <v/>
      </c>
      <c r="B6332" s="60" t="str">
        <f t="shared" si="519"/>
        <v/>
      </c>
      <c r="C6332" s="301"/>
      <c r="D6332" s="301"/>
      <c r="E6332" s="301"/>
      <c r="F6332" s="69"/>
      <c r="G6332" s="302"/>
      <c r="H6332" s="303"/>
      <c r="I6332" s="385"/>
      <c r="J6332" s="392"/>
      <c r="K6332" s="385"/>
      <c r="L6332" s="392"/>
      <c r="M6332" s="62"/>
      <c r="N6332" s="304"/>
      <c r="O6332" s="63"/>
      <c r="P6332" s="79" t="str">
        <f>IF(AND('331-CT'!$E$7=TH!H6332,OR(N6332="331",O6332="331")),"x","")</f>
        <v/>
      </c>
      <c r="Q6332" s="79" t="str">
        <f>IF(AND(B6332='111'!$L$11,OR($N6332=$Q$7,$O6332=$Q$7)),"x","")</f>
        <v/>
      </c>
      <c r="R6332" s="79" t="str">
        <f>IF(AND($N6332=$Q$7,$B6332&lt;'111'!$L$11),"x","")</f>
        <v/>
      </c>
      <c r="S6332" s="79" t="str">
        <f>IF(AND($O6332=$Q$7,$B6332&lt;'111'!$L$11),"x","")</f>
        <v/>
      </c>
      <c r="T6332" s="79" t="str">
        <f>IF(ISERROR(FIND('112'!$M$9,G6332,1)),"",IF((AND(FIND('112'!$M$9,G6332,1)&gt;=1,B6332='112'!$K$9,OR($N6332='112'!$I$6,$O6332='112'!$I$6))),"x",""))</f>
        <v/>
      </c>
      <c r="U6332" s="79" t="str">
        <f>IF(ISERROR(FIND('112'!$M$9,G6332,1)),"",IF((AND(LEFT(G6332,2)=LEFT('112'!$M$9,2),B6332&lt;'112'!$K$9,$N6332='112'!$I$6)),"x",""))</f>
        <v/>
      </c>
      <c r="V6332" s="79" t="str">
        <f>IF(ISERROR(FIND('112'!$M$9,G6332,1)),"",IF((AND(RIGHT(G6332,2)=RIGHT('112'!$M$9,2),B6332&lt;'112'!$K$9,$O6332='112'!$I$6)),"x",""))</f>
        <v/>
      </c>
      <c r="W6332" s="79" t="str">
        <f>IF(AND('341-CT'!$H$9=H6332,OR(LEFT(N6332,3)=$W$7,LEFT(O6332,3)=$W$7)),"x","")</f>
        <v/>
      </c>
      <c r="X6332" s="79" t="str">
        <f>IF(OR(TH!N6332=TH!$X$7,O6332=TH!$X$7),"x","")</f>
        <v/>
      </c>
      <c r="Y6332" s="79" t="str">
        <f>IF(AND(OR(N6332="131",O6332="131"),H6332='131-CT'!$H$9),"x","")</f>
        <v/>
      </c>
      <c r="Z6332" s="79"/>
      <c r="AA6332" s="79" t="str">
        <f>IF(AND(MONTH(E6332)='IN-NX'!$J$5,'IN-NX'!$D$7=D6332),"x","")</f>
        <v/>
      </c>
      <c r="AB6332" s="79" t="str">
        <f>IF(AND(OR(LEFT(TH!N6332,2)="15",LEFT(TH!O6332,2)="15"),LEFT(TH!O6332,3)&lt;&gt;"111",'152-CT'!$J$8=TH!F6332),"x","")</f>
        <v/>
      </c>
      <c r="AC6332" s="79" t="str">
        <f>IF(AND(OR(LEFT(TH!N6332,2)="15",LEFT(TH!O6332,2)="15"),TK!$E$7=TH!F6332),"x","")</f>
        <v/>
      </c>
      <c r="AD6332" s="79" t="str">
        <f>IF(AND(N6332="1521",MONTH(C6332)='BK-NL'!$M$11),"x","")</f>
        <v/>
      </c>
    </row>
    <row r="6333" spans="1:30" ht="16.5" customHeight="1">
      <c r="A6333" s="318" t="str">
        <f>IF(B6333&lt;&gt;"",IF(AND(B6333='IN-TC'!$S$4,OR(TH!N6333="1111",TH!O6333="1111")),TH!D6333,""),"")</f>
        <v/>
      </c>
      <c r="B6333" s="60" t="str">
        <f t="shared" si="519"/>
        <v/>
      </c>
      <c r="C6333" s="301"/>
      <c r="D6333" s="301"/>
      <c r="E6333" s="301"/>
      <c r="F6333" s="69"/>
      <c r="G6333" s="766"/>
      <c r="H6333" s="303"/>
      <c r="I6333" s="385"/>
      <c r="J6333" s="392"/>
      <c r="K6333" s="385"/>
      <c r="L6333" s="392"/>
      <c r="M6333" s="62"/>
      <c r="N6333" s="304"/>
      <c r="O6333" s="63"/>
      <c r="P6333" s="79" t="str">
        <f>IF(AND('331-CT'!$E$7=TH!H6333,OR(N6333="331",O6333="331")),"x","")</f>
        <v/>
      </c>
      <c r="Q6333" s="79" t="str">
        <f>IF(AND(B6333='111'!$L$11,OR($N6333=$Q$7,$O6333=$Q$7)),"x","")</f>
        <v/>
      </c>
      <c r="R6333" s="79" t="str">
        <f>IF(AND($N6333=$Q$7,$B6333&lt;'111'!$L$11),"x","")</f>
        <v/>
      </c>
      <c r="S6333" s="79" t="str">
        <f>IF(AND($O6333=$Q$7,$B6333&lt;'111'!$L$11),"x","")</f>
        <v/>
      </c>
      <c r="T6333" s="79" t="str">
        <f>IF(ISERROR(FIND('112'!$M$9,G6333,1)),"",IF((AND(FIND('112'!$M$9,G6333,1)&gt;=1,B6333='112'!$K$9,OR($N6333='112'!$I$6,$O6333='112'!$I$6))),"x",""))</f>
        <v/>
      </c>
      <c r="U6333" s="79" t="str">
        <f>IF(ISERROR(FIND('112'!$M$9,G6333,1)),"",IF((AND(LEFT(G6333,2)=LEFT('112'!$M$9,2),B6333&lt;'112'!$K$9,$N6333='112'!$I$6)),"x",""))</f>
        <v/>
      </c>
      <c r="V6333" s="79" t="str">
        <f>IF(ISERROR(FIND('112'!$M$9,G6333,1)),"",IF((AND(RIGHT(G6333,2)=RIGHT('112'!$M$9,2),B6333&lt;'112'!$K$9,$O6333='112'!$I$6)),"x",""))</f>
        <v/>
      </c>
      <c r="W6333" s="79" t="str">
        <f>IF(AND('341-CT'!$H$9=H6333,OR(LEFT(N6333,3)=$W$7,LEFT(O6333,3)=$W$7)),"x","")</f>
        <v/>
      </c>
      <c r="X6333" s="79" t="str">
        <f>IF(OR(TH!N6333=TH!$X$7,O6333=TH!$X$7),"x","")</f>
        <v/>
      </c>
      <c r="Y6333" s="79" t="str">
        <f>IF(AND(OR(N6333="131",O6333="131"),H6333='131-CT'!$H$9),"x","")</f>
        <v/>
      </c>
      <c r="Z6333" s="79"/>
      <c r="AA6333" s="79" t="str">
        <f>IF(AND(MONTH(E6333)='IN-NX'!$J$5,'IN-NX'!$D$7=D6333),"x","")</f>
        <v/>
      </c>
      <c r="AB6333" s="79" t="str">
        <f>IF(AND(OR(LEFT(TH!N6333,2)="15",LEFT(TH!O6333,2)="15"),LEFT(TH!O6333,3)&lt;&gt;"111",'152-CT'!$J$8=TH!F6333),"x","")</f>
        <v/>
      </c>
      <c r="AC6333" s="79" t="str">
        <f>IF(AND(OR(LEFT(TH!N6333,2)="15",LEFT(TH!O6333,2)="15"),TK!$E$7=TH!F6333),"x","")</f>
        <v/>
      </c>
      <c r="AD6333" s="79" t="str">
        <f>IF(AND(N6333="1521",MONTH(C6333)='BK-NL'!$M$11),"x","")</f>
        <v/>
      </c>
    </row>
    <row r="6334" spans="1:30" ht="16.5" customHeight="1">
      <c r="A6334" s="318" t="str">
        <f>IF(B6334&lt;&gt;"",IF(AND(B6334='IN-TC'!$S$4,OR(TH!N6334="1111",TH!O6334="1111")),TH!D6334,""),"")</f>
        <v/>
      </c>
      <c r="B6334" s="60" t="str">
        <f t="shared" si="519"/>
        <v/>
      </c>
      <c r="C6334" s="301"/>
      <c r="D6334" s="301"/>
      <c r="E6334" s="301"/>
      <c r="F6334" s="69"/>
      <c r="G6334" s="766"/>
      <c r="H6334" s="303"/>
      <c r="I6334" s="385"/>
      <c r="J6334" s="392"/>
      <c r="K6334" s="385"/>
      <c r="L6334" s="392"/>
      <c r="M6334" s="62"/>
      <c r="N6334" s="304"/>
      <c r="O6334" s="63"/>
      <c r="P6334" s="79" t="str">
        <f>IF(AND('331-CT'!$E$7=TH!H6334,OR(N6334="331",O6334="331")),"x","")</f>
        <v/>
      </c>
      <c r="Q6334" s="79" t="str">
        <f>IF(AND(B6334='111'!$L$11,OR($N6334=$Q$7,$O6334=$Q$7)),"x","")</f>
        <v/>
      </c>
      <c r="R6334" s="79" t="str">
        <f>IF(AND($N6334=$Q$7,$B6334&lt;'111'!$L$11),"x","")</f>
        <v/>
      </c>
      <c r="S6334" s="79" t="str">
        <f>IF(AND($O6334=$Q$7,$B6334&lt;'111'!$L$11),"x","")</f>
        <v/>
      </c>
      <c r="T6334" s="79" t="str">
        <f>IF(ISERROR(FIND('112'!$M$9,G6334,1)),"",IF((AND(FIND('112'!$M$9,G6334,1)&gt;=1,B6334='112'!$K$9,OR($N6334='112'!$I$6,$O6334='112'!$I$6))),"x",""))</f>
        <v/>
      </c>
      <c r="U6334" s="79" t="str">
        <f>IF(ISERROR(FIND('112'!$M$9,G6334,1)),"",IF((AND(LEFT(G6334,2)=LEFT('112'!$M$9,2),B6334&lt;'112'!$K$9,$N6334='112'!$I$6)),"x",""))</f>
        <v/>
      </c>
      <c r="V6334" s="79" t="str">
        <f>IF(ISERROR(FIND('112'!$M$9,G6334,1)),"",IF((AND(RIGHT(G6334,2)=RIGHT('112'!$M$9,2),B6334&lt;'112'!$K$9,$O6334='112'!$I$6)),"x",""))</f>
        <v/>
      </c>
      <c r="W6334" s="79" t="str">
        <f>IF(AND('341-CT'!$H$9=H6334,OR(LEFT(N6334,3)=$W$7,LEFT(O6334,3)=$W$7)),"x","")</f>
        <v/>
      </c>
      <c r="X6334" s="79" t="str">
        <f>IF(OR(TH!N6334=TH!$X$7,O6334=TH!$X$7),"x","")</f>
        <v/>
      </c>
      <c r="Y6334" s="79" t="str">
        <f>IF(AND(OR(N6334="131",O6334="131"),H6334='131-CT'!$H$9),"x","")</f>
        <v/>
      </c>
      <c r="Z6334" s="79"/>
      <c r="AA6334" s="79" t="str">
        <f>IF(AND(MONTH(E6334)='IN-NX'!$J$5,'IN-NX'!$D$7=D6334),"x","")</f>
        <v/>
      </c>
      <c r="AB6334" s="79" t="str">
        <f>IF(AND(OR(LEFT(TH!N6334,2)="15",LEFT(TH!O6334,2)="15"),LEFT(TH!O6334,3)&lt;&gt;"111",'152-CT'!$J$8=TH!F6334),"x","")</f>
        <v/>
      </c>
      <c r="AC6334" s="79" t="str">
        <f>IF(AND(OR(LEFT(TH!N6334,2)="15",LEFT(TH!O6334,2)="15"),TK!$E$7=TH!F6334),"x","")</f>
        <v/>
      </c>
      <c r="AD6334" s="79" t="str">
        <f>IF(AND(N6334="1521",MONTH(C6334)='BK-NL'!$M$11),"x","")</f>
        <v/>
      </c>
    </row>
    <row r="6335" spans="1:30" ht="16.5" customHeight="1">
      <c r="A6335" s="318" t="str">
        <f>IF(B6335&lt;&gt;"",IF(AND(B6335='IN-TC'!$S$4,OR(TH!N6335="1111",TH!O6335="1111")),TH!D6335,""),"")</f>
        <v/>
      </c>
      <c r="B6335" s="60" t="str">
        <f t="shared" si="519"/>
        <v/>
      </c>
      <c r="C6335" s="61"/>
      <c r="D6335" s="61"/>
      <c r="E6335" s="61"/>
      <c r="F6335" s="69"/>
      <c r="G6335" s="766"/>
      <c r="H6335" s="321"/>
      <c r="I6335" s="385"/>
      <c r="J6335" s="392"/>
      <c r="K6335" s="385"/>
      <c r="L6335" s="392"/>
      <c r="M6335" s="62"/>
      <c r="N6335" s="63"/>
      <c r="O6335" s="63"/>
      <c r="P6335" s="79" t="str">
        <f>IF(AND('331-CT'!$E$7=TH!H6335,OR(N6335="331",O6335="331")),"x","")</f>
        <v/>
      </c>
      <c r="Q6335" s="79" t="str">
        <f>IF(AND(B6335='111'!$L$11,OR($N6335=$Q$7,$O6335=$Q$7)),"x","")</f>
        <v/>
      </c>
      <c r="R6335" s="79" t="str">
        <f>IF(AND($N6335=$Q$7,$B6335&lt;'111'!$L$11),"x","")</f>
        <v/>
      </c>
      <c r="S6335" s="79" t="str">
        <f>IF(AND($O6335=$Q$7,$B6335&lt;'111'!$L$11),"x","")</f>
        <v/>
      </c>
      <c r="T6335" s="79" t="str">
        <f>IF(ISERROR(FIND('112'!$M$9,G6335,1)),"",IF((AND(FIND('112'!$M$9,G6335,1)&gt;=1,B6335='112'!$K$9,OR($N6335='112'!$I$6,$O6335='112'!$I$6))),"x",""))</f>
        <v/>
      </c>
      <c r="U6335" s="79" t="str">
        <f>IF(ISERROR(FIND('112'!$M$9,G6335,1)),"",IF((AND(LEFT(G6335,2)=LEFT('112'!$M$9,2),B6335&lt;'112'!$K$9,$N6335='112'!$I$6)),"x",""))</f>
        <v/>
      </c>
      <c r="V6335" s="79" t="str">
        <f>IF(ISERROR(FIND('112'!$M$9,G6335,1)),"",IF((AND(RIGHT(G6335,2)=RIGHT('112'!$M$9,2),B6335&lt;'112'!$K$9,$O6335='112'!$I$6)),"x",""))</f>
        <v/>
      </c>
      <c r="W6335" s="79" t="str">
        <f>IF(AND('341-CT'!$H$9=H6335,OR(LEFT(N6335,3)=$W$7,LEFT(O6335,3)=$W$7)),"x","")</f>
        <v/>
      </c>
      <c r="X6335" s="79" t="str">
        <f>IF(OR(TH!N6335=TH!$X$7,O6335=TH!$X$7),"x","")</f>
        <v/>
      </c>
      <c r="Y6335" s="79" t="str">
        <f>IF(AND(OR(N6335="131",O6335="131"),H6335='131-CT'!$H$9),"x","")</f>
        <v/>
      </c>
      <c r="Z6335" s="79"/>
      <c r="AA6335" s="79" t="str">
        <f>IF(AND(MONTH(E6335)='IN-NX'!$J$5,'IN-NX'!$D$7=D6335),"x","")</f>
        <v/>
      </c>
      <c r="AB6335" s="79" t="str">
        <f>IF(AND(OR(LEFT(TH!N6335,2)="15",LEFT(TH!O6335,2)="15"),LEFT(TH!O6335,3)&lt;&gt;"111",'152-CT'!$J$8=TH!F6335),"x","")</f>
        <v/>
      </c>
      <c r="AC6335" s="79" t="str">
        <f>IF(AND(OR(LEFT(TH!N6335,2)="15",LEFT(TH!O6335,2)="15"),TK!$E$7=TH!F6335),"x","")</f>
        <v/>
      </c>
      <c r="AD6335" s="79" t="str">
        <f>IF(AND(N6335="1521",MONTH(C6335)='BK-NL'!$M$11),"x","")</f>
        <v/>
      </c>
    </row>
    <row r="6336" spans="1:30" ht="16.5" customHeight="1">
      <c r="A6336" s="318" t="str">
        <f>IF(B6336&lt;&gt;"",IF(AND(B6336='IN-TC'!$S$4,OR(TH!N6336="1111",TH!O6336="1111")),TH!D6336,""),"")</f>
        <v/>
      </c>
      <c r="B6336" s="60" t="str">
        <f t="shared" si="519"/>
        <v/>
      </c>
      <c r="C6336" s="61"/>
      <c r="D6336" s="61"/>
      <c r="E6336" s="61"/>
      <c r="F6336" s="69"/>
      <c r="G6336" s="766"/>
      <c r="H6336" s="321"/>
      <c r="I6336" s="385"/>
      <c r="J6336" s="392"/>
      <c r="K6336" s="385"/>
      <c r="L6336" s="392"/>
      <c r="M6336" s="62"/>
      <c r="N6336" s="63"/>
      <c r="O6336" s="63"/>
      <c r="P6336" s="79" t="str">
        <f>IF(AND('331-CT'!$E$7=TH!H6336,OR(N6336="331",O6336="331")),"x","")</f>
        <v/>
      </c>
      <c r="Q6336" s="79" t="str">
        <f>IF(AND(B6336='111'!$L$11,OR($N6336=$Q$7,$O6336=$Q$7)),"x","")</f>
        <v/>
      </c>
      <c r="R6336" s="79" t="str">
        <f>IF(AND($N6336=$Q$7,$B6336&lt;'111'!$L$11),"x","")</f>
        <v/>
      </c>
      <c r="S6336" s="79" t="str">
        <f>IF(AND($O6336=$Q$7,$B6336&lt;'111'!$L$11),"x","")</f>
        <v/>
      </c>
      <c r="T6336" s="79" t="str">
        <f>IF(ISERROR(FIND('112'!$M$9,G6336,1)),"",IF((AND(FIND('112'!$M$9,G6336,1)&gt;=1,B6336='112'!$K$9,OR($N6336='112'!$I$6,$O6336='112'!$I$6))),"x",""))</f>
        <v/>
      </c>
      <c r="U6336" s="79" t="str">
        <f>IF(ISERROR(FIND('112'!$M$9,G6336,1)),"",IF((AND(LEFT(G6336,2)=LEFT('112'!$M$9,2),B6336&lt;'112'!$K$9,$N6336='112'!$I$6)),"x",""))</f>
        <v/>
      </c>
      <c r="V6336" s="79" t="str">
        <f>IF(ISERROR(FIND('112'!$M$9,G6336,1)),"",IF((AND(RIGHT(G6336,2)=RIGHT('112'!$M$9,2),B6336&lt;'112'!$K$9,$O6336='112'!$I$6)),"x",""))</f>
        <v/>
      </c>
      <c r="W6336" s="79" t="str">
        <f>IF(AND('341-CT'!$H$9=H6336,OR(LEFT(N6336,3)=$W$7,LEFT(O6336,3)=$W$7)),"x","")</f>
        <v/>
      </c>
      <c r="X6336" s="79" t="str">
        <f>IF(OR(TH!N6336=TH!$X$7,O6336=TH!$X$7),"x","")</f>
        <v/>
      </c>
      <c r="Y6336" s="79" t="str">
        <f>IF(AND(OR(N6336="131",O6336="131"),H6336='131-CT'!$H$9),"x","")</f>
        <v/>
      </c>
      <c r="Z6336" s="79"/>
      <c r="AA6336" s="79" t="str">
        <f>IF(AND(MONTH(E6336)='IN-NX'!$J$5,'IN-NX'!$D$7=D6336),"x","")</f>
        <v/>
      </c>
      <c r="AB6336" s="79" t="str">
        <f>IF(AND(OR(LEFT(TH!N6336,2)="15",LEFT(TH!O6336,2)="15"),LEFT(TH!O6336,3)&lt;&gt;"111",'152-CT'!$J$8=TH!F6336),"x","")</f>
        <v/>
      </c>
      <c r="AC6336" s="79" t="str">
        <f>IF(AND(OR(LEFT(TH!N6336,2)="15",LEFT(TH!O6336,2)="15"),TK!$E$7=TH!F6336),"x","")</f>
        <v/>
      </c>
      <c r="AD6336" s="79" t="str">
        <f>IF(AND(N6336="1521",MONTH(C6336)='BK-NL'!$M$11),"x","")</f>
        <v/>
      </c>
    </row>
    <row r="6337" spans="1:30" ht="16.5" customHeight="1">
      <c r="A6337" s="318" t="str">
        <f>IF(B6337&lt;&gt;"",IF(AND(B6337='IN-TC'!$S$4,OR(TH!N6337="1111",TH!O6337="1111")),TH!D6337,""),"")</f>
        <v/>
      </c>
      <c r="B6337" s="60" t="str">
        <f t="shared" si="519"/>
        <v/>
      </c>
      <c r="C6337" s="61"/>
      <c r="D6337" s="61"/>
      <c r="E6337" s="61"/>
      <c r="F6337" s="69"/>
      <c r="G6337" s="766"/>
      <c r="H6337" s="321"/>
      <c r="I6337" s="385"/>
      <c r="J6337" s="392"/>
      <c r="K6337" s="385"/>
      <c r="L6337" s="392"/>
      <c r="M6337" s="62"/>
      <c r="N6337" s="63"/>
      <c r="O6337" s="63"/>
      <c r="P6337" s="79" t="str">
        <f>IF(AND('331-CT'!$E$7=TH!H6337,OR(N6337="331",O6337="331")),"x","")</f>
        <v/>
      </c>
      <c r="Q6337" s="79" t="str">
        <f>IF(AND(B6337='111'!$L$11,OR($N6337=$Q$7,$O6337=$Q$7)),"x","")</f>
        <v/>
      </c>
      <c r="R6337" s="79" t="str">
        <f>IF(AND($N6337=$Q$7,$B6337&lt;'111'!$L$11),"x","")</f>
        <v/>
      </c>
      <c r="S6337" s="79" t="str">
        <f>IF(AND($O6337=$Q$7,$B6337&lt;'111'!$L$11),"x","")</f>
        <v/>
      </c>
      <c r="T6337" s="79" t="str">
        <f>IF(ISERROR(FIND('112'!$M$9,G6337,1)),"",IF((AND(FIND('112'!$M$9,G6337,1)&gt;=1,B6337='112'!$K$9,OR($N6337='112'!$I$6,$O6337='112'!$I$6))),"x",""))</f>
        <v/>
      </c>
      <c r="U6337" s="79" t="str">
        <f>IF(ISERROR(FIND('112'!$M$9,G6337,1)),"",IF((AND(LEFT(G6337,2)=LEFT('112'!$M$9,2),B6337&lt;'112'!$K$9,$N6337='112'!$I$6)),"x",""))</f>
        <v/>
      </c>
      <c r="V6337" s="79" t="str">
        <f>IF(ISERROR(FIND('112'!$M$9,G6337,1)),"",IF((AND(RIGHT(G6337,2)=RIGHT('112'!$M$9,2),B6337&lt;'112'!$K$9,$O6337='112'!$I$6)),"x",""))</f>
        <v/>
      </c>
      <c r="W6337" s="79" t="str">
        <f>IF(AND('341-CT'!$H$9=H6337,OR(LEFT(N6337,3)=$W$7,LEFT(O6337,3)=$W$7)),"x","")</f>
        <v/>
      </c>
      <c r="X6337" s="79" t="str">
        <f>IF(OR(TH!N6337=TH!$X$7,O6337=TH!$X$7),"x","")</f>
        <v/>
      </c>
      <c r="Y6337" s="79" t="str">
        <f>IF(AND(OR(N6337="131",O6337="131"),H6337='131-CT'!$H$9),"x","")</f>
        <v/>
      </c>
      <c r="Z6337" s="79"/>
      <c r="AA6337" s="79" t="str">
        <f>IF(AND(MONTH(E6337)='IN-NX'!$J$5,'IN-NX'!$D$7=D6337),"x","")</f>
        <v/>
      </c>
      <c r="AB6337" s="79" t="str">
        <f>IF(AND(OR(LEFT(TH!N6337,2)="15",LEFT(TH!O6337,2)="15"),LEFT(TH!O6337,3)&lt;&gt;"111",'152-CT'!$J$8=TH!F6337),"x","")</f>
        <v/>
      </c>
      <c r="AC6337" s="79" t="str">
        <f>IF(AND(OR(LEFT(TH!N6337,2)="15",LEFT(TH!O6337,2)="15"),TK!$E$7=TH!F6337),"x","")</f>
        <v/>
      </c>
      <c r="AD6337" s="79" t="str">
        <f>IF(AND(N6337="1521",MONTH(C6337)='BK-NL'!$M$11),"x","")</f>
        <v/>
      </c>
    </row>
    <row r="6338" spans="1:30" ht="16.5" customHeight="1">
      <c r="A6338" s="318" t="str">
        <f>IF(B6338&lt;&gt;"",IF(AND(B6338='IN-TC'!$S$4,OR(TH!N6338="1111",TH!O6338="1111")),TH!D6338,""),"")</f>
        <v/>
      </c>
      <c r="B6338" s="60" t="str">
        <f t="shared" si="519"/>
        <v/>
      </c>
      <c r="C6338" s="61"/>
      <c r="D6338" s="61"/>
      <c r="E6338" s="61"/>
      <c r="F6338" s="69"/>
      <c r="G6338" s="766"/>
      <c r="H6338" s="321"/>
      <c r="I6338" s="385"/>
      <c r="J6338" s="392"/>
      <c r="K6338" s="385"/>
      <c r="L6338" s="392"/>
      <c r="M6338" s="62"/>
      <c r="N6338" s="63"/>
      <c r="O6338" s="63"/>
      <c r="P6338" s="79" t="str">
        <f>IF(AND('331-CT'!$E$7=TH!H6338,OR(N6338="331",O6338="331")),"x","")</f>
        <v/>
      </c>
      <c r="Q6338" s="79" t="str">
        <f>IF(AND(B6338='111'!$L$11,OR($N6338=$Q$7,$O6338=$Q$7)),"x","")</f>
        <v/>
      </c>
      <c r="R6338" s="79" t="str">
        <f>IF(AND($N6338=$Q$7,$B6338&lt;'111'!$L$11),"x","")</f>
        <v/>
      </c>
      <c r="S6338" s="79" t="str">
        <f>IF(AND($O6338=$Q$7,$B6338&lt;'111'!$L$11),"x","")</f>
        <v/>
      </c>
      <c r="T6338" s="79" t="str">
        <f>IF(ISERROR(FIND('112'!$M$9,G6338,1)),"",IF((AND(FIND('112'!$M$9,G6338,1)&gt;=1,B6338='112'!$K$9,OR($N6338='112'!$I$6,$O6338='112'!$I$6))),"x",""))</f>
        <v/>
      </c>
      <c r="U6338" s="79" t="str">
        <f>IF(ISERROR(FIND('112'!$M$9,G6338,1)),"",IF((AND(LEFT(G6338,2)=LEFT('112'!$M$9,2),B6338&lt;'112'!$K$9,$N6338='112'!$I$6)),"x",""))</f>
        <v/>
      </c>
      <c r="V6338" s="79" t="str">
        <f>IF(ISERROR(FIND('112'!$M$9,G6338,1)),"",IF((AND(RIGHT(G6338,2)=RIGHT('112'!$M$9,2),B6338&lt;'112'!$K$9,$O6338='112'!$I$6)),"x",""))</f>
        <v/>
      </c>
      <c r="W6338" s="79" t="str">
        <f>IF(AND('341-CT'!$H$9=H6338,OR(LEFT(N6338,3)=$W$7,LEFT(O6338,3)=$W$7)),"x","")</f>
        <v/>
      </c>
      <c r="X6338" s="79" t="str">
        <f>IF(OR(TH!N6338=TH!$X$7,O6338=TH!$X$7),"x","")</f>
        <v/>
      </c>
      <c r="Y6338" s="79" t="str">
        <f>IF(AND(OR(N6338="131",O6338="131"),H6338='131-CT'!$H$9),"x","")</f>
        <v/>
      </c>
      <c r="Z6338" s="79"/>
      <c r="AA6338" s="79" t="str">
        <f>IF(AND(MONTH(E6338)='IN-NX'!$J$5,'IN-NX'!$D$7=D6338),"x","")</f>
        <v/>
      </c>
      <c r="AB6338" s="79" t="str">
        <f>IF(AND(OR(LEFT(TH!N6338,2)="15",LEFT(TH!O6338,2)="15"),LEFT(TH!O6338,3)&lt;&gt;"111",'152-CT'!$J$8=TH!F6338),"x","")</f>
        <v/>
      </c>
      <c r="AC6338" s="79" t="str">
        <f>IF(AND(OR(LEFT(TH!N6338,2)="15",LEFT(TH!O6338,2)="15"),TK!$E$7=TH!F6338),"x","")</f>
        <v/>
      </c>
      <c r="AD6338" s="79" t="str">
        <f>IF(AND(N6338="1521",MONTH(C6338)='BK-NL'!$M$11),"x","")</f>
        <v/>
      </c>
    </row>
    <row r="6339" spans="1:30" ht="16.5" customHeight="1">
      <c r="A6339" s="318" t="str">
        <f>IF(B6339&lt;&gt;"",IF(AND(B6339='IN-TC'!$S$4,OR(TH!N6339="1111",TH!O6339="1111")),TH!D6339,""),"")</f>
        <v/>
      </c>
      <c r="B6339" s="60" t="str">
        <f t="shared" ref="B6339:B6402" si="520">IF(C6339&lt;&gt;"",MONTH(C6339),"")</f>
        <v/>
      </c>
      <c r="C6339" s="61"/>
      <c r="D6339" s="61"/>
      <c r="E6339" s="61"/>
      <c r="F6339" s="69"/>
      <c r="G6339" s="766"/>
      <c r="H6339" s="321"/>
      <c r="I6339" s="385"/>
      <c r="J6339" s="392"/>
      <c r="K6339" s="385"/>
      <c r="L6339" s="392"/>
      <c r="M6339" s="62"/>
      <c r="N6339" s="63"/>
      <c r="O6339" s="63"/>
      <c r="P6339" s="79" t="str">
        <f>IF(AND('331-CT'!$E$7=TH!H6339,OR(N6339="331",O6339="331")),"x","")</f>
        <v/>
      </c>
      <c r="Q6339" s="79" t="str">
        <f>IF(AND(B6339='111'!$L$11,OR($N6339=$Q$7,$O6339=$Q$7)),"x","")</f>
        <v/>
      </c>
      <c r="R6339" s="79" t="str">
        <f>IF(AND($N6339=$Q$7,$B6339&lt;'111'!$L$11),"x","")</f>
        <v/>
      </c>
      <c r="S6339" s="79" t="str">
        <f>IF(AND($O6339=$Q$7,$B6339&lt;'111'!$L$11),"x","")</f>
        <v/>
      </c>
      <c r="T6339" s="79" t="str">
        <f>IF(ISERROR(FIND('112'!$M$9,G6339,1)),"",IF((AND(FIND('112'!$M$9,G6339,1)&gt;=1,B6339='112'!$K$9,OR($N6339='112'!$I$6,$O6339='112'!$I$6))),"x",""))</f>
        <v/>
      </c>
      <c r="U6339" s="79" t="str">
        <f>IF(ISERROR(FIND('112'!$M$9,G6339,1)),"",IF((AND(LEFT(G6339,2)=LEFT('112'!$M$9,2),B6339&lt;'112'!$K$9,$N6339='112'!$I$6)),"x",""))</f>
        <v/>
      </c>
      <c r="V6339" s="79" t="str">
        <f>IF(ISERROR(FIND('112'!$M$9,G6339,1)),"",IF((AND(RIGHT(G6339,2)=RIGHT('112'!$M$9,2),B6339&lt;'112'!$K$9,$O6339='112'!$I$6)),"x",""))</f>
        <v/>
      </c>
      <c r="W6339" s="79" t="str">
        <f>IF(AND('341-CT'!$H$9=H6339,OR(LEFT(N6339,3)=$W$7,LEFT(O6339,3)=$W$7)),"x","")</f>
        <v/>
      </c>
      <c r="X6339" s="79" t="str">
        <f>IF(OR(TH!N6339=TH!$X$7,O6339=TH!$X$7),"x","")</f>
        <v/>
      </c>
      <c r="Y6339" s="79" t="str">
        <f>IF(AND(OR(N6339="131",O6339="131"),H6339='131-CT'!$H$9),"x","")</f>
        <v/>
      </c>
      <c r="Z6339" s="79"/>
      <c r="AA6339" s="79" t="str">
        <f>IF(AND(MONTH(E6339)='IN-NX'!$J$5,'IN-NX'!$D$7=D6339),"x","")</f>
        <v/>
      </c>
      <c r="AB6339" s="79" t="str">
        <f>IF(AND(OR(LEFT(TH!N6339,2)="15",LEFT(TH!O6339,2)="15"),LEFT(TH!O6339,3)&lt;&gt;"111",'152-CT'!$J$8=TH!F6339),"x","")</f>
        <v/>
      </c>
      <c r="AC6339" s="79" t="str">
        <f>IF(AND(OR(LEFT(TH!N6339,2)="15",LEFT(TH!O6339,2)="15"),TK!$E$7=TH!F6339),"x","")</f>
        <v/>
      </c>
      <c r="AD6339" s="79" t="str">
        <f>IF(AND(N6339="1521",MONTH(C6339)='BK-NL'!$M$11),"x","")</f>
        <v/>
      </c>
    </row>
    <row r="6340" spans="1:30" ht="16.5" customHeight="1">
      <c r="A6340" s="318" t="str">
        <f>IF(B6340&lt;&gt;"",IF(AND(B6340='IN-TC'!$S$4,OR(TH!N6340="1111",TH!O6340="1111")),TH!D6340,""),"")</f>
        <v/>
      </c>
      <c r="B6340" s="60" t="str">
        <f t="shared" si="520"/>
        <v/>
      </c>
      <c r="C6340" s="61"/>
      <c r="D6340" s="61"/>
      <c r="E6340" s="61"/>
      <c r="F6340" s="69"/>
      <c r="G6340" s="766"/>
      <c r="H6340" s="321"/>
      <c r="I6340" s="385"/>
      <c r="J6340" s="392"/>
      <c r="K6340" s="385"/>
      <c r="L6340" s="392"/>
      <c r="M6340" s="62"/>
      <c r="N6340" s="63"/>
      <c r="O6340" s="63"/>
      <c r="P6340" s="79" t="str">
        <f>IF(AND('331-CT'!$E$7=TH!H6340,OR(N6340="331",O6340="331")),"x","")</f>
        <v/>
      </c>
      <c r="Q6340" s="79" t="str">
        <f>IF(AND(B6340='111'!$L$11,OR($N6340=$Q$7,$O6340=$Q$7)),"x","")</f>
        <v/>
      </c>
      <c r="R6340" s="79" t="str">
        <f>IF(AND($N6340=$Q$7,$B6340&lt;'111'!$L$11),"x","")</f>
        <v/>
      </c>
      <c r="S6340" s="79" t="str">
        <f>IF(AND($O6340=$Q$7,$B6340&lt;'111'!$L$11),"x","")</f>
        <v/>
      </c>
      <c r="T6340" s="79" t="str">
        <f>IF(ISERROR(FIND('112'!$M$9,G6340,1)),"",IF((AND(FIND('112'!$M$9,G6340,1)&gt;=1,B6340='112'!$K$9,OR($N6340='112'!$I$6,$O6340='112'!$I$6))),"x",""))</f>
        <v/>
      </c>
      <c r="U6340" s="79" t="str">
        <f>IF(ISERROR(FIND('112'!$M$9,G6340,1)),"",IF((AND(LEFT(G6340,2)=LEFT('112'!$M$9,2),B6340&lt;'112'!$K$9,$N6340='112'!$I$6)),"x",""))</f>
        <v/>
      </c>
      <c r="V6340" s="79" t="str">
        <f>IF(ISERROR(FIND('112'!$M$9,G6340,1)),"",IF((AND(RIGHT(G6340,2)=RIGHT('112'!$M$9,2),B6340&lt;'112'!$K$9,$O6340='112'!$I$6)),"x",""))</f>
        <v/>
      </c>
      <c r="W6340" s="79" t="str">
        <f>IF(AND('341-CT'!$H$9=H6340,OR(LEFT(N6340,3)=$W$7,LEFT(O6340,3)=$W$7)),"x","")</f>
        <v/>
      </c>
      <c r="X6340" s="79" t="str">
        <f>IF(OR(TH!N6340=TH!$X$7,O6340=TH!$X$7),"x","")</f>
        <v/>
      </c>
      <c r="Y6340" s="79" t="str">
        <f>IF(AND(OR(N6340="131",O6340="131"),H6340='131-CT'!$H$9),"x","")</f>
        <v/>
      </c>
      <c r="Z6340" s="79"/>
      <c r="AA6340" s="79" t="str">
        <f>IF(AND(MONTH(E6340)='IN-NX'!$J$5,'IN-NX'!$D$7=D6340),"x","")</f>
        <v/>
      </c>
      <c r="AB6340" s="79" t="str">
        <f>IF(AND(OR(LEFT(TH!N6340,2)="15",LEFT(TH!O6340,2)="15"),LEFT(TH!O6340,3)&lt;&gt;"111",'152-CT'!$J$8=TH!F6340),"x","")</f>
        <v/>
      </c>
      <c r="AC6340" s="79" t="str">
        <f>IF(AND(OR(LEFT(TH!N6340,2)="15",LEFT(TH!O6340,2)="15"),TK!$E$7=TH!F6340),"x","")</f>
        <v/>
      </c>
      <c r="AD6340" s="79" t="str">
        <f>IF(AND(N6340="1521",MONTH(C6340)='BK-NL'!$M$11),"x","")</f>
        <v/>
      </c>
    </row>
    <row r="6341" spans="1:30" ht="16.5" customHeight="1">
      <c r="A6341" s="318" t="str">
        <f>IF(B6341&lt;&gt;"",IF(AND(B6341='IN-TC'!$S$4,OR(TH!N6341="1111",TH!O6341="1111")),TH!D6341,""),"")</f>
        <v/>
      </c>
      <c r="B6341" s="60" t="str">
        <f t="shared" si="520"/>
        <v/>
      </c>
      <c r="C6341" s="61"/>
      <c r="D6341" s="61"/>
      <c r="E6341" s="61"/>
      <c r="F6341" s="69"/>
      <c r="G6341" s="766"/>
      <c r="H6341" s="321"/>
      <c r="I6341" s="385"/>
      <c r="J6341" s="392"/>
      <c r="K6341" s="385"/>
      <c r="L6341" s="392"/>
      <c r="M6341" s="62"/>
      <c r="N6341" s="63"/>
      <c r="O6341" s="63"/>
      <c r="P6341" s="79" t="str">
        <f>IF(AND('331-CT'!$E$7=TH!H6341,OR(N6341="331",O6341="331")),"x","")</f>
        <v/>
      </c>
      <c r="Q6341" s="79" t="str">
        <f>IF(AND(B6341='111'!$L$11,OR($N6341=$Q$7,$O6341=$Q$7)),"x","")</f>
        <v/>
      </c>
      <c r="R6341" s="79" t="str">
        <f>IF(AND($N6341=$Q$7,$B6341&lt;'111'!$L$11),"x","")</f>
        <v/>
      </c>
      <c r="S6341" s="79" t="str">
        <f>IF(AND($O6341=$Q$7,$B6341&lt;'111'!$L$11),"x","")</f>
        <v/>
      </c>
      <c r="T6341" s="79" t="str">
        <f>IF(ISERROR(FIND('112'!$M$9,G6341,1)),"",IF((AND(FIND('112'!$M$9,G6341,1)&gt;=1,B6341='112'!$K$9,OR($N6341='112'!$I$6,$O6341='112'!$I$6))),"x",""))</f>
        <v/>
      </c>
      <c r="U6341" s="79" t="str">
        <f>IF(ISERROR(FIND('112'!$M$9,G6341,1)),"",IF((AND(LEFT(G6341,2)=LEFT('112'!$M$9,2),B6341&lt;'112'!$K$9,$N6341='112'!$I$6)),"x",""))</f>
        <v/>
      </c>
      <c r="V6341" s="79" t="str">
        <f>IF(ISERROR(FIND('112'!$M$9,G6341,1)),"",IF((AND(RIGHT(G6341,2)=RIGHT('112'!$M$9,2),B6341&lt;'112'!$K$9,$O6341='112'!$I$6)),"x",""))</f>
        <v/>
      </c>
      <c r="W6341" s="79" t="str">
        <f>IF(AND('341-CT'!$H$9=H6341,OR(LEFT(N6341,3)=$W$7,LEFT(O6341,3)=$W$7)),"x","")</f>
        <v/>
      </c>
      <c r="X6341" s="79" t="str">
        <f>IF(OR(TH!N6341=TH!$X$7,O6341=TH!$X$7),"x","")</f>
        <v/>
      </c>
      <c r="Y6341" s="79" t="str">
        <f>IF(AND(OR(N6341="131",O6341="131"),H6341='131-CT'!$H$9),"x","")</f>
        <v/>
      </c>
      <c r="Z6341" s="79"/>
      <c r="AA6341" s="79" t="str">
        <f>IF(AND(MONTH(E6341)='IN-NX'!$J$5,'IN-NX'!$D$7=D6341),"x","")</f>
        <v/>
      </c>
      <c r="AB6341" s="79" t="str">
        <f>IF(AND(OR(LEFT(TH!N6341,2)="15",LEFT(TH!O6341,2)="15"),LEFT(TH!O6341,3)&lt;&gt;"111",'152-CT'!$J$8=TH!F6341),"x","")</f>
        <v/>
      </c>
      <c r="AC6341" s="79" t="str">
        <f>IF(AND(OR(LEFT(TH!N6341,2)="15",LEFT(TH!O6341,2)="15"),TK!$E$7=TH!F6341),"x","")</f>
        <v/>
      </c>
      <c r="AD6341" s="79" t="str">
        <f>IF(AND(N6341="1521",MONTH(C6341)='BK-NL'!$M$11),"x","")</f>
        <v/>
      </c>
    </row>
    <row r="6342" spans="1:30" ht="16.5" customHeight="1">
      <c r="A6342" s="318" t="str">
        <f>IF(B6342&lt;&gt;"",IF(AND(B6342='IN-TC'!$S$4,OR(TH!N6342="1111",TH!O6342="1111")),TH!D6342,""),"")</f>
        <v/>
      </c>
      <c r="B6342" s="60" t="str">
        <f t="shared" si="520"/>
        <v/>
      </c>
      <c r="C6342" s="61"/>
      <c r="D6342" s="61"/>
      <c r="E6342" s="61"/>
      <c r="F6342" s="69"/>
      <c r="G6342" s="766"/>
      <c r="H6342" s="321"/>
      <c r="I6342" s="385"/>
      <c r="J6342" s="392"/>
      <c r="K6342" s="385"/>
      <c r="L6342" s="392"/>
      <c r="M6342" s="62"/>
      <c r="N6342" s="63"/>
      <c r="O6342" s="63"/>
      <c r="P6342" s="79" t="str">
        <f>IF(AND('331-CT'!$E$7=TH!H6342,OR(N6342="331",O6342="331")),"x","")</f>
        <v/>
      </c>
      <c r="Q6342" s="79" t="str">
        <f>IF(AND(B6342='111'!$L$11,OR($N6342=$Q$7,$O6342=$Q$7)),"x","")</f>
        <v/>
      </c>
      <c r="R6342" s="79" t="str">
        <f>IF(AND($N6342=$Q$7,$B6342&lt;'111'!$L$11),"x","")</f>
        <v/>
      </c>
      <c r="S6342" s="79" t="str">
        <f>IF(AND($O6342=$Q$7,$B6342&lt;'111'!$L$11),"x","")</f>
        <v/>
      </c>
      <c r="T6342" s="79" t="str">
        <f>IF(ISERROR(FIND('112'!$M$9,G6342,1)),"",IF((AND(FIND('112'!$M$9,G6342,1)&gt;=1,B6342='112'!$K$9,OR($N6342='112'!$I$6,$O6342='112'!$I$6))),"x",""))</f>
        <v/>
      </c>
      <c r="U6342" s="79" t="str">
        <f>IF(ISERROR(FIND('112'!$M$9,G6342,1)),"",IF((AND(LEFT(G6342,2)=LEFT('112'!$M$9,2),B6342&lt;'112'!$K$9,$N6342='112'!$I$6)),"x",""))</f>
        <v/>
      </c>
      <c r="V6342" s="79" t="str">
        <f>IF(ISERROR(FIND('112'!$M$9,G6342,1)),"",IF((AND(RIGHT(G6342,2)=RIGHT('112'!$M$9,2),B6342&lt;'112'!$K$9,$O6342='112'!$I$6)),"x",""))</f>
        <v/>
      </c>
      <c r="W6342" s="79" t="str">
        <f>IF(AND('341-CT'!$H$9=H6342,OR(LEFT(N6342,3)=$W$7,LEFT(O6342,3)=$W$7)),"x","")</f>
        <v/>
      </c>
      <c r="X6342" s="79" t="str">
        <f>IF(OR(TH!N6342=TH!$X$7,O6342=TH!$X$7),"x","")</f>
        <v/>
      </c>
      <c r="Y6342" s="79" t="str">
        <f>IF(AND(OR(N6342="131",O6342="131"),H6342='131-CT'!$H$9),"x","")</f>
        <v/>
      </c>
      <c r="Z6342" s="79"/>
      <c r="AA6342" s="79" t="str">
        <f>IF(AND(MONTH(E6342)='IN-NX'!$J$5,'IN-NX'!$D$7=D6342),"x","")</f>
        <v/>
      </c>
      <c r="AB6342" s="79" t="str">
        <f>IF(AND(OR(LEFT(TH!N6342,2)="15",LEFT(TH!O6342,2)="15"),LEFT(TH!O6342,3)&lt;&gt;"111",'152-CT'!$J$8=TH!F6342),"x","")</f>
        <v/>
      </c>
      <c r="AC6342" s="79" t="str">
        <f>IF(AND(OR(LEFT(TH!N6342,2)="15",LEFT(TH!O6342,2)="15"),TK!$E$7=TH!F6342),"x","")</f>
        <v/>
      </c>
      <c r="AD6342" s="79" t="str">
        <f>IF(AND(N6342="1521",MONTH(C6342)='BK-NL'!$M$11),"x","")</f>
        <v/>
      </c>
    </row>
    <row r="6343" spans="1:30" ht="16.5" customHeight="1">
      <c r="A6343" s="318" t="str">
        <f>IF(B6343&lt;&gt;"",IF(AND(B6343='IN-TC'!$S$4,OR(TH!N6343="1111",TH!O6343="1111")),TH!D6343,""),"")</f>
        <v/>
      </c>
      <c r="B6343" s="1163" t="str">
        <f t="shared" si="520"/>
        <v/>
      </c>
      <c r="C6343" s="61"/>
      <c r="D6343" s="61"/>
      <c r="E6343" s="61"/>
      <c r="F6343" s="69"/>
      <c r="G6343" s="766"/>
      <c r="H6343" s="321"/>
      <c r="I6343" s="385"/>
      <c r="J6343" s="392"/>
      <c r="K6343" s="385"/>
      <c r="L6343" s="392"/>
      <c r="M6343" s="62"/>
      <c r="N6343" s="63"/>
      <c r="O6343" s="63"/>
      <c r="P6343" s="79" t="str">
        <f>IF(AND('331-CT'!$E$7=TH!H6343,OR(N6343="331",O6343="331")),"x","")</f>
        <v/>
      </c>
      <c r="Q6343" s="79" t="str">
        <f>IF(AND(B6343='111'!$L$11,OR($N6343=$Q$7,$O6343=$Q$7)),"x","")</f>
        <v/>
      </c>
      <c r="R6343" s="79" t="str">
        <f>IF(AND($N6343=$Q$7,$B6343&lt;'111'!$L$11),"x","")</f>
        <v/>
      </c>
      <c r="S6343" s="79" t="str">
        <f>IF(AND($O6343=$Q$7,$B6343&lt;'111'!$L$11),"x","")</f>
        <v/>
      </c>
      <c r="T6343" s="79" t="str">
        <f>IF(ISERROR(FIND('112'!$M$9,G6343,1)),"",IF((AND(FIND('112'!$M$9,G6343,1)&gt;=1,B6343='112'!$K$9,OR($N6343='112'!$I$6,$O6343='112'!$I$6))),"x",""))</f>
        <v/>
      </c>
      <c r="U6343" s="79" t="str">
        <f>IF(ISERROR(FIND('112'!$M$9,G6343,1)),"",IF((AND(LEFT(G6343,2)=LEFT('112'!$M$9,2),B6343&lt;'112'!$K$9,$N6343='112'!$I$6)),"x",""))</f>
        <v/>
      </c>
      <c r="V6343" s="79" t="str">
        <f>IF(ISERROR(FIND('112'!$M$9,G6343,1)),"",IF((AND(RIGHT(G6343,2)=RIGHT('112'!$M$9,2),B6343&lt;'112'!$K$9,$O6343='112'!$I$6)),"x",""))</f>
        <v/>
      </c>
      <c r="W6343" s="79" t="str">
        <f>IF(AND('341-CT'!$H$9=H6343,OR(LEFT(N6343,3)=$W$7,LEFT(O6343,3)=$W$7)),"x","")</f>
        <v/>
      </c>
      <c r="X6343" s="79" t="str">
        <f>IF(OR(TH!N6343=TH!$X$7,O6343=TH!$X$7),"x","")</f>
        <v/>
      </c>
      <c r="Y6343" s="79" t="str">
        <f>IF(AND(OR(N6343="131",O6343="131"),H6343='131-CT'!$H$9),"x","")</f>
        <v/>
      </c>
      <c r="Z6343" s="79"/>
      <c r="AA6343" s="79" t="str">
        <f>IF(AND(MONTH(E6343)='IN-NX'!$J$5,'IN-NX'!$D$7=D6343),"x","")</f>
        <v/>
      </c>
      <c r="AB6343" s="79" t="str">
        <f>IF(AND(OR(LEFT(TH!N6343,2)="15",LEFT(TH!O6343,2)="15"),LEFT(TH!O6343,3)&lt;&gt;"111",'152-CT'!$J$8=TH!F6343),"x","")</f>
        <v/>
      </c>
      <c r="AC6343" s="79" t="str">
        <f>IF(AND(OR(LEFT(TH!N6343,2)="15",LEFT(TH!O6343,2)="15"),TK!$E$7=TH!F6343),"x","")</f>
        <v/>
      </c>
      <c r="AD6343" s="79" t="str">
        <f>IF(AND(N6343="1521",MONTH(C6343)='BK-NL'!$M$11),"x","")</f>
        <v/>
      </c>
    </row>
    <row r="6344" spans="1:30" ht="16.5" customHeight="1">
      <c r="A6344" s="318" t="str">
        <f>IF(B6344&lt;&gt;"",IF(AND(B6344='IN-TC'!$S$4,OR(TH!N6344="1111",TH!O6344="1111")),TH!D6344,""),"")</f>
        <v/>
      </c>
      <c r="B6344" s="1163" t="str">
        <f t="shared" si="520"/>
        <v/>
      </c>
      <c r="C6344" s="61"/>
      <c r="D6344" s="61"/>
      <c r="E6344" s="61"/>
      <c r="F6344" s="69"/>
      <c r="G6344" s="766"/>
      <c r="H6344" s="321"/>
      <c r="I6344" s="385"/>
      <c r="J6344" s="392"/>
      <c r="K6344" s="385"/>
      <c r="L6344" s="392"/>
      <c r="M6344" s="62"/>
      <c r="N6344" s="63"/>
      <c r="O6344" s="63"/>
      <c r="P6344" s="79" t="str">
        <f>IF(AND('331-CT'!$E$7=TH!H6344,OR(N6344="331",O6344="331")),"x","")</f>
        <v/>
      </c>
      <c r="Q6344" s="79" t="str">
        <f>IF(AND(B6344='111'!$L$11,OR($N6344=$Q$7,$O6344=$Q$7)),"x","")</f>
        <v/>
      </c>
      <c r="R6344" s="79" t="str">
        <f>IF(AND($N6344=$Q$7,$B6344&lt;'111'!$L$11),"x","")</f>
        <v/>
      </c>
      <c r="S6344" s="79" t="str">
        <f>IF(AND($O6344=$Q$7,$B6344&lt;'111'!$L$11),"x","")</f>
        <v/>
      </c>
      <c r="T6344" s="79" t="str">
        <f>IF(ISERROR(FIND('112'!$M$9,G6344,1)),"",IF((AND(FIND('112'!$M$9,G6344,1)&gt;=1,B6344='112'!$K$9,OR($N6344='112'!$I$6,$O6344='112'!$I$6))),"x",""))</f>
        <v/>
      </c>
      <c r="U6344" s="79" t="str">
        <f>IF(ISERROR(FIND('112'!$M$9,G6344,1)),"",IF((AND(LEFT(G6344,2)=LEFT('112'!$M$9,2),B6344&lt;'112'!$K$9,$N6344='112'!$I$6)),"x",""))</f>
        <v/>
      </c>
      <c r="V6344" s="79" t="str">
        <f>IF(ISERROR(FIND('112'!$M$9,G6344,1)),"",IF((AND(RIGHT(G6344,2)=RIGHT('112'!$M$9,2),B6344&lt;'112'!$K$9,$O6344='112'!$I$6)),"x",""))</f>
        <v/>
      </c>
      <c r="W6344" s="79" t="str">
        <f>IF(AND('341-CT'!$H$9=H6344,OR(LEFT(N6344,3)=$W$7,LEFT(O6344,3)=$W$7)),"x","")</f>
        <v/>
      </c>
      <c r="X6344" s="79" t="str">
        <f>IF(OR(TH!N6344=TH!$X$7,O6344=TH!$X$7),"x","")</f>
        <v/>
      </c>
      <c r="Y6344" s="79" t="str">
        <f>IF(AND(OR(N6344="131",O6344="131"),H6344='131-CT'!$H$9),"x","")</f>
        <v/>
      </c>
      <c r="Z6344" s="79"/>
      <c r="AA6344" s="79" t="str">
        <f>IF(AND(MONTH(E6344)='IN-NX'!$J$5,'IN-NX'!$D$7=D6344),"x","")</f>
        <v/>
      </c>
      <c r="AB6344" s="79" t="str">
        <f>IF(AND(OR(LEFT(TH!N6344,2)="15",LEFT(TH!O6344,2)="15"),LEFT(TH!O6344,3)&lt;&gt;"111",'152-CT'!$J$8=TH!F6344),"x","")</f>
        <v/>
      </c>
      <c r="AC6344" s="79" t="str">
        <f>IF(AND(OR(LEFT(TH!N6344,2)="15",LEFT(TH!O6344,2)="15"),TK!$E$7=TH!F6344),"x","")</f>
        <v/>
      </c>
      <c r="AD6344" s="79" t="str">
        <f>IF(AND(N6344="1521",MONTH(C6344)='BK-NL'!$M$11),"x","")</f>
        <v/>
      </c>
    </row>
    <row r="6345" spans="1:30" ht="16.5" customHeight="1">
      <c r="A6345" s="318" t="str">
        <f>IF(B6345&lt;&gt;"",IF(AND(B6345='IN-TC'!$S$4,OR(TH!N6345="1111",TH!O6345="1111")),TH!D6345,""),"")</f>
        <v/>
      </c>
      <c r="B6345" s="1163" t="str">
        <f t="shared" si="520"/>
        <v/>
      </c>
      <c r="C6345" s="61"/>
      <c r="D6345" s="61"/>
      <c r="E6345" s="61"/>
      <c r="F6345" s="69"/>
      <c r="G6345" s="766"/>
      <c r="H6345" s="321"/>
      <c r="I6345" s="385"/>
      <c r="J6345" s="392"/>
      <c r="K6345" s="385"/>
      <c r="L6345" s="392"/>
      <c r="M6345" s="62"/>
      <c r="N6345" s="63"/>
      <c r="O6345" s="63"/>
      <c r="P6345" s="79" t="str">
        <f>IF(AND('331-CT'!$E$7=TH!H6345,OR(N6345="331",O6345="331")),"x","")</f>
        <v/>
      </c>
      <c r="Q6345" s="79" t="str">
        <f>IF(AND(B6345='111'!$L$11,OR($N6345=$Q$7,$O6345=$Q$7)),"x","")</f>
        <v/>
      </c>
      <c r="R6345" s="79" t="str">
        <f>IF(AND($N6345=$Q$7,$B6345&lt;'111'!$L$11),"x","")</f>
        <v/>
      </c>
      <c r="S6345" s="79" t="str">
        <f>IF(AND($O6345=$Q$7,$B6345&lt;'111'!$L$11),"x","")</f>
        <v/>
      </c>
      <c r="T6345" s="79" t="str">
        <f>IF(ISERROR(FIND('112'!$M$9,G6345,1)),"",IF((AND(FIND('112'!$M$9,G6345,1)&gt;=1,B6345='112'!$K$9,OR($N6345='112'!$I$6,$O6345='112'!$I$6))),"x",""))</f>
        <v/>
      </c>
      <c r="U6345" s="79" t="str">
        <f>IF(ISERROR(FIND('112'!$M$9,G6345,1)),"",IF((AND(LEFT(G6345,2)=LEFT('112'!$M$9,2),B6345&lt;'112'!$K$9,$N6345='112'!$I$6)),"x",""))</f>
        <v/>
      </c>
      <c r="V6345" s="79" t="str">
        <f>IF(ISERROR(FIND('112'!$M$9,G6345,1)),"",IF((AND(RIGHT(G6345,2)=RIGHT('112'!$M$9,2),B6345&lt;'112'!$K$9,$O6345='112'!$I$6)),"x",""))</f>
        <v/>
      </c>
      <c r="W6345" s="79" t="str">
        <f>IF(AND('341-CT'!$H$9=H6345,OR(LEFT(N6345,3)=$W$7,LEFT(O6345,3)=$W$7)),"x","")</f>
        <v/>
      </c>
      <c r="X6345" s="79" t="str">
        <f>IF(OR(TH!N6345=TH!$X$7,O6345=TH!$X$7),"x","")</f>
        <v/>
      </c>
      <c r="Y6345" s="79" t="str">
        <f>IF(AND(OR(N6345="131",O6345="131"),H6345='131-CT'!$H$9),"x","")</f>
        <v/>
      </c>
      <c r="Z6345" s="79"/>
      <c r="AA6345" s="79" t="str">
        <f>IF(AND(MONTH(E6345)='IN-NX'!$J$5,'IN-NX'!$D$7=D6345),"x","")</f>
        <v/>
      </c>
      <c r="AB6345" s="79" t="str">
        <f>IF(AND(OR(LEFT(TH!N6345,2)="15",LEFT(TH!O6345,2)="15"),LEFT(TH!O6345,3)&lt;&gt;"111",'152-CT'!$J$8=TH!F6345),"x","")</f>
        <v/>
      </c>
      <c r="AC6345" s="79" t="str">
        <f>IF(AND(OR(LEFT(TH!N6345,2)="15",LEFT(TH!O6345,2)="15"),TK!$E$7=TH!F6345),"x","")</f>
        <v/>
      </c>
      <c r="AD6345" s="79" t="str">
        <f>IF(AND(N6345="1521",MONTH(C6345)='BK-NL'!$M$11),"x","")</f>
        <v/>
      </c>
    </row>
    <row r="6346" spans="1:30" ht="16.5" customHeight="1">
      <c r="A6346" s="318" t="str">
        <f>IF(B6346&lt;&gt;"",IF(AND(B6346='IN-TC'!$S$4,OR(TH!N6346="1111",TH!O6346="1111")),TH!D6346,""),"")</f>
        <v/>
      </c>
      <c r="B6346" s="1163" t="str">
        <f t="shared" si="520"/>
        <v/>
      </c>
      <c r="C6346" s="61"/>
      <c r="D6346" s="61"/>
      <c r="E6346" s="61"/>
      <c r="F6346" s="69"/>
      <c r="G6346" s="766"/>
      <c r="H6346" s="321"/>
      <c r="I6346" s="385"/>
      <c r="J6346" s="392"/>
      <c r="K6346" s="385"/>
      <c r="L6346" s="392"/>
      <c r="M6346" s="62"/>
      <c r="N6346" s="63"/>
      <c r="O6346" s="63"/>
      <c r="P6346" s="79" t="str">
        <f>IF(AND('331-CT'!$E$7=TH!H6346,OR(N6346="331",O6346="331")),"x","")</f>
        <v/>
      </c>
      <c r="Q6346" s="79" t="str">
        <f>IF(AND(B6346='111'!$L$11,OR($N6346=$Q$7,$O6346=$Q$7)),"x","")</f>
        <v/>
      </c>
      <c r="R6346" s="79" t="str">
        <f>IF(AND($N6346=$Q$7,$B6346&lt;'111'!$L$11),"x","")</f>
        <v/>
      </c>
      <c r="S6346" s="79" t="str">
        <f>IF(AND($O6346=$Q$7,$B6346&lt;'111'!$L$11),"x","")</f>
        <v/>
      </c>
      <c r="T6346" s="79" t="str">
        <f>IF(ISERROR(FIND('112'!$M$9,G6346,1)),"",IF((AND(FIND('112'!$M$9,G6346,1)&gt;=1,B6346='112'!$K$9,OR($N6346='112'!$I$6,$O6346='112'!$I$6))),"x",""))</f>
        <v/>
      </c>
      <c r="U6346" s="79" t="str">
        <f>IF(ISERROR(FIND('112'!$M$9,G6346,1)),"",IF((AND(LEFT(G6346,2)=LEFT('112'!$M$9,2),B6346&lt;'112'!$K$9,$N6346='112'!$I$6)),"x",""))</f>
        <v/>
      </c>
      <c r="V6346" s="79" t="str">
        <f>IF(ISERROR(FIND('112'!$M$9,G6346,1)),"",IF((AND(RIGHT(G6346,2)=RIGHT('112'!$M$9,2),B6346&lt;'112'!$K$9,$O6346='112'!$I$6)),"x",""))</f>
        <v/>
      </c>
      <c r="W6346" s="79" t="str">
        <f>IF(AND('341-CT'!$H$9=H6346,OR(LEFT(N6346,3)=$W$7,LEFT(O6346,3)=$W$7)),"x","")</f>
        <v/>
      </c>
      <c r="X6346" s="79" t="str">
        <f>IF(OR(TH!N6346=TH!$X$7,O6346=TH!$X$7),"x","")</f>
        <v/>
      </c>
      <c r="Y6346" s="79" t="str">
        <f>IF(AND(OR(N6346="131",O6346="131"),H6346='131-CT'!$H$9),"x","")</f>
        <v/>
      </c>
      <c r="Z6346" s="79"/>
      <c r="AA6346" s="79" t="str">
        <f>IF(AND(MONTH(E6346)='IN-NX'!$J$5,'IN-NX'!$D$7=D6346),"x","")</f>
        <v/>
      </c>
      <c r="AB6346" s="79" t="str">
        <f>IF(AND(OR(LEFT(TH!N6346,2)="15",LEFT(TH!O6346,2)="15"),LEFT(TH!O6346,3)&lt;&gt;"111",'152-CT'!$J$8=TH!F6346),"x","")</f>
        <v/>
      </c>
      <c r="AC6346" s="79" t="str">
        <f>IF(AND(OR(LEFT(TH!N6346,2)="15",LEFT(TH!O6346,2)="15"),TK!$E$7=TH!F6346),"x","")</f>
        <v/>
      </c>
      <c r="AD6346" s="79" t="str">
        <f>IF(AND(N6346="1521",MONTH(C6346)='BK-NL'!$M$11),"x","")</f>
        <v/>
      </c>
    </row>
    <row r="6347" spans="1:30" ht="16.5" customHeight="1">
      <c r="A6347" s="318" t="str">
        <f>IF(B6347&lt;&gt;"",IF(AND(B6347='IN-TC'!$S$4,OR(TH!N6347="1111",TH!O6347="1111")),TH!D6347,""),"")</f>
        <v/>
      </c>
      <c r="B6347" s="1163" t="str">
        <f t="shared" si="520"/>
        <v/>
      </c>
      <c r="C6347" s="61"/>
      <c r="D6347" s="61"/>
      <c r="E6347" s="301"/>
      <c r="F6347" s="69"/>
      <c r="G6347" s="766"/>
      <c r="H6347" s="925"/>
      <c r="I6347" s="385"/>
      <c r="J6347" s="392"/>
      <c r="K6347" s="385"/>
      <c r="L6347" s="392"/>
      <c r="M6347" s="62"/>
      <c r="N6347" s="63"/>
      <c r="O6347" s="63"/>
      <c r="P6347" s="79" t="str">
        <f>IF(AND('331-CT'!$E$7=TH!H6347,OR(N6347="331",O6347="331")),"x","")</f>
        <v/>
      </c>
      <c r="Q6347" s="79" t="str">
        <f>IF(AND(B6347='111'!$L$11,OR($N6347=$Q$7,$O6347=$Q$7)),"x","")</f>
        <v/>
      </c>
      <c r="R6347" s="79" t="str">
        <f>IF(AND($N6347=$Q$7,$B6347&lt;'111'!$L$11),"x","")</f>
        <v/>
      </c>
      <c r="S6347" s="79" t="str">
        <f>IF(AND($O6347=$Q$7,$B6347&lt;'111'!$L$11),"x","")</f>
        <v/>
      </c>
      <c r="T6347" s="79" t="str">
        <f>IF(ISERROR(FIND('112'!$M$9,G6347,1)),"",IF((AND(FIND('112'!$M$9,G6347,1)&gt;=1,B6347='112'!$K$9,OR($N6347='112'!$I$6,$O6347='112'!$I$6))),"x",""))</f>
        <v/>
      </c>
      <c r="U6347" s="79" t="str">
        <f>IF(ISERROR(FIND('112'!$M$9,G6347,1)),"",IF((AND(LEFT(G6347,2)=LEFT('112'!$M$9,2),B6347&lt;'112'!$K$9,$N6347='112'!$I$6)),"x",""))</f>
        <v/>
      </c>
      <c r="V6347" s="79" t="str">
        <f>IF(ISERROR(FIND('112'!$M$9,G6347,1)),"",IF((AND(RIGHT(G6347,2)=RIGHT('112'!$M$9,2),B6347&lt;'112'!$K$9,$O6347='112'!$I$6)),"x",""))</f>
        <v/>
      </c>
      <c r="W6347" s="79" t="str">
        <f>IF(AND('341-CT'!$H$9=H6347,OR(LEFT(N6347,3)=$W$7,LEFT(O6347,3)=$W$7)),"x","")</f>
        <v/>
      </c>
      <c r="X6347" s="79" t="str">
        <f>IF(OR(TH!N6347=TH!$X$7,O6347=TH!$X$7),"x","")</f>
        <v/>
      </c>
      <c r="Y6347" s="79" t="str">
        <f>IF(AND(OR(N6347="131",O6347="131"),H6347='131-CT'!$H$9),"x","")</f>
        <v/>
      </c>
      <c r="Z6347" s="79"/>
      <c r="AA6347" s="79" t="str">
        <f>IF(AND(MONTH(E6347)='IN-NX'!$J$5,'IN-NX'!$D$7=D6347),"x","")</f>
        <v/>
      </c>
      <c r="AB6347" s="79" t="str">
        <f>IF(AND(OR(LEFT(TH!N6347,2)="15",LEFT(TH!O6347,2)="15"),LEFT(TH!O6347,3)&lt;&gt;"111",'152-CT'!$J$8=TH!F6347),"x","")</f>
        <v/>
      </c>
      <c r="AC6347" s="79" t="str">
        <f>IF(AND(OR(LEFT(TH!N6347,2)="15",LEFT(TH!O6347,2)="15"),TK!$E$7=TH!F6347),"x","")</f>
        <v/>
      </c>
      <c r="AD6347" s="79" t="str">
        <f>IF(AND(N6347="1521",MONTH(C6347)='BK-NL'!$M$11),"x","")</f>
        <v/>
      </c>
    </row>
    <row r="6348" spans="1:30" ht="16.5" customHeight="1">
      <c r="A6348" s="318" t="str">
        <f>IF(B6348&lt;&gt;"",IF(AND(B6348='IN-TC'!$S$4,OR(TH!N6348="1111",TH!O6348="1111")),TH!D6348,""),"")</f>
        <v/>
      </c>
      <c r="B6348" s="1163" t="str">
        <f t="shared" si="520"/>
        <v/>
      </c>
      <c r="C6348" s="61"/>
      <c r="D6348" s="61"/>
      <c r="E6348" s="301"/>
      <c r="F6348" s="69"/>
      <c r="G6348" s="766"/>
      <c r="H6348" s="925"/>
      <c r="I6348" s="385"/>
      <c r="J6348" s="392"/>
      <c r="K6348" s="385"/>
      <c r="L6348" s="392"/>
      <c r="M6348" s="62"/>
      <c r="N6348" s="63"/>
      <c r="O6348" s="63"/>
      <c r="P6348" s="79" t="str">
        <f>IF(AND('331-CT'!$E$7=TH!H6348,OR(N6348="331",O6348="331")),"x","")</f>
        <v/>
      </c>
      <c r="Q6348" s="79" t="str">
        <f>IF(AND(B6348='111'!$L$11,OR($N6348=$Q$7,$O6348=$Q$7)),"x","")</f>
        <v/>
      </c>
      <c r="R6348" s="79" t="str">
        <f>IF(AND($N6348=$Q$7,$B6348&lt;'111'!$L$11),"x","")</f>
        <v/>
      </c>
      <c r="S6348" s="79" t="str">
        <f>IF(AND($O6348=$Q$7,$B6348&lt;'111'!$L$11),"x","")</f>
        <v/>
      </c>
      <c r="T6348" s="79" t="str">
        <f>IF(ISERROR(FIND('112'!$M$9,G6348,1)),"",IF((AND(FIND('112'!$M$9,G6348,1)&gt;=1,B6348='112'!$K$9,OR($N6348='112'!$I$6,$O6348='112'!$I$6))),"x",""))</f>
        <v/>
      </c>
      <c r="U6348" s="79" t="str">
        <f>IF(ISERROR(FIND('112'!$M$9,G6348,1)),"",IF((AND(LEFT(G6348,2)=LEFT('112'!$M$9,2),B6348&lt;'112'!$K$9,$N6348='112'!$I$6)),"x",""))</f>
        <v/>
      </c>
      <c r="V6348" s="79" t="str">
        <f>IF(ISERROR(FIND('112'!$M$9,G6348,1)),"",IF((AND(RIGHT(G6348,2)=RIGHT('112'!$M$9,2),B6348&lt;'112'!$K$9,$O6348='112'!$I$6)),"x",""))</f>
        <v/>
      </c>
      <c r="W6348" s="79" t="str">
        <f>IF(AND('341-CT'!$H$9=H6348,OR(LEFT(N6348,3)=$W$7,LEFT(O6348,3)=$W$7)),"x","")</f>
        <v/>
      </c>
      <c r="X6348" s="79" t="str">
        <f>IF(OR(TH!N6348=TH!$X$7,O6348=TH!$X$7),"x","")</f>
        <v/>
      </c>
      <c r="Y6348" s="79" t="str">
        <f>IF(AND(OR(N6348="131",O6348="131"),H6348='131-CT'!$H$9),"x","")</f>
        <v/>
      </c>
      <c r="Z6348" s="79"/>
      <c r="AA6348" s="79" t="str">
        <f>IF(AND(MONTH(E6348)='IN-NX'!$J$5,'IN-NX'!$D$7=D6348),"x","")</f>
        <v/>
      </c>
      <c r="AB6348" s="79" t="str">
        <f>IF(AND(OR(LEFT(TH!N6348,2)="15",LEFT(TH!O6348,2)="15"),LEFT(TH!O6348,3)&lt;&gt;"111",'152-CT'!$J$8=TH!F6348),"x","")</f>
        <v/>
      </c>
      <c r="AC6348" s="79" t="str">
        <f>IF(AND(OR(LEFT(TH!N6348,2)="15",LEFT(TH!O6348,2)="15"),TK!$E$7=TH!F6348),"x","")</f>
        <v/>
      </c>
      <c r="AD6348" s="79" t="str">
        <f>IF(AND(N6348="1521",MONTH(C6348)='BK-NL'!$M$11),"x","")</f>
        <v/>
      </c>
    </row>
    <row r="6349" spans="1:30" ht="16.5" customHeight="1">
      <c r="A6349" s="318" t="str">
        <f>IF(B6349&lt;&gt;"",IF(AND(B6349='IN-TC'!$S$4,OR(TH!N6349="1111",TH!O6349="1111")),TH!D6349,""),"")</f>
        <v/>
      </c>
      <c r="B6349" s="1163" t="str">
        <f t="shared" si="520"/>
        <v/>
      </c>
      <c r="C6349" s="61"/>
      <c r="D6349" s="61"/>
      <c r="E6349" s="301"/>
      <c r="F6349" s="69"/>
      <c r="G6349" s="766"/>
      <c r="H6349" s="925"/>
      <c r="I6349" s="385"/>
      <c r="J6349" s="392"/>
      <c r="K6349" s="385"/>
      <c r="L6349" s="392"/>
      <c r="M6349" s="62"/>
      <c r="N6349" s="63"/>
      <c r="O6349" s="63"/>
      <c r="P6349" s="79" t="str">
        <f>IF(AND('331-CT'!$E$7=TH!H6349,OR(N6349="331",O6349="331")),"x","")</f>
        <v/>
      </c>
      <c r="Q6349" s="79" t="str">
        <f>IF(AND(B6349='111'!$L$11,OR($N6349=$Q$7,$O6349=$Q$7)),"x","")</f>
        <v/>
      </c>
      <c r="R6349" s="79" t="str">
        <f>IF(AND($N6349=$Q$7,$B6349&lt;'111'!$L$11),"x","")</f>
        <v/>
      </c>
      <c r="S6349" s="79" t="str">
        <f>IF(AND($O6349=$Q$7,$B6349&lt;'111'!$L$11),"x","")</f>
        <v/>
      </c>
      <c r="T6349" s="79" t="str">
        <f>IF(ISERROR(FIND('112'!$M$9,G6349,1)),"",IF((AND(FIND('112'!$M$9,G6349,1)&gt;=1,B6349='112'!$K$9,OR($N6349='112'!$I$6,$O6349='112'!$I$6))),"x",""))</f>
        <v/>
      </c>
      <c r="U6349" s="79" t="str">
        <f>IF(ISERROR(FIND('112'!$M$9,G6349,1)),"",IF((AND(LEFT(G6349,2)=LEFT('112'!$M$9,2),B6349&lt;'112'!$K$9,$N6349='112'!$I$6)),"x",""))</f>
        <v/>
      </c>
      <c r="V6349" s="79" t="str">
        <f>IF(ISERROR(FIND('112'!$M$9,G6349,1)),"",IF((AND(RIGHT(G6349,2)=RIGHT('112'!$M$9,2),B6349&lt;'112'!$K$9,$O6349='112'!$I$6)),"x",""))</f>
        <v/>
      </c>
      <c r="W6349" s="79" t="str">
        <f>IF(AND('341-CT'!$H$9=H6349,OR(LEFT(N6349,3)=$W$7,LEFT(O6349,3)=$W$7)),"x","")</f>
        <v/>
      </c>
      <c r="X6349" s="79" t="str">
        <f>IF(OR(TH!N6349=TH!$X$7,O6349=TH!$X$7),"x","")</f>
        <v/>
      </c>
      <c r="Y6349" s="79" t="str">
        <f>IF(AND(OR(N6349="131",O6349="131"),H6349='131-CT'!$H$9),"x","")</f>
        <v/>
      </c>
      <c r="Z6349" s="79"/>
      <c r="AA6349" s="79" t="str">
        <f>IF(AND(MONTH(E6349)='IN-NX'!$J$5,'IN-NX'!$D$7=D6349),"x","")</f>
        <v/>
      </c>
      <c r="AB6349" s="79" t="str">
        <f>IF(AND(OR(LEFT(TH!N6349,2)="15",LEFT(TH!O6349,2)="15"),LEFT(TH!O6349,3)&lt;&gt;"111",'152-CT'!$J$8=TH!F6349),"x","")</f>
        <v/>
      </c>
      <c r="AC6349" s="79" t="str">
        <f>IF(AND(OR(LEFT(TH!N6349,2)="15",LEFT(TH!O6349,2)="15"),TK!$E$7=TH!F6349),"x","")</f>
        <v/>
      </c>
      <c r="AD6349" s="79" t="str">
        <f>IF(AND(N6349="1521",MONTH(C6349)='BK-NL'!$M$11),"x","")</f>
        <v/>
      </c>
    </row>
    <row r="6350" spans="1:30" ht="16.5" customHeight="1">
      <c r="A6350" s="318" t="str">
        <f>IF(B6350&lt;&gt;"",IF(AND(B6350='IN-TC'!$S$4,OR(TH!N6350="1111",TH!O6350="1111")),TH!D6350,""),"")</f>
        <v/>
      </c>
      <c r="B6350" s="1163" t="str">
        <f t="shared" si="520"/>
        <v/>
      </c>
      <c r="C6350" s="61"/>
      <c r="D6350" s="61"/>
      <c r="E6350" s="301"/>
      <c r="F6350" s="69"/>
      <c r="G6350" s="766"/>
      <c r="H6350" s="925"/>
      <c r="I6350" s="385"/>
      <c r="J6350" s="392"/>
      <c r="K6350" s="385"/>
      <c r="L6350" s="392"/>
      <c r="M6350" s="62"/>
      <c r="N6350" s="63"/>
      <c r="O6350" s="63"/>
      <c r="P6350" s="79" t="str">
        <f>IF(AND('331-CT'!$E$7=TH!H6350,OR(N6350="331",O6350="331")),"x","")</f>
        <v/>
      </c>
      <c r="Q6350" s="79" t="str">
        <f>IF(AND(B6350='111'!$L$11,OR($N6350=$Q$7,$O6350=$Q$7)),"x","")</f>
        <v/>
      </c>
      <c r="R6350" s="79" t="str">
        <f>IF(AND($N6350=$Q$7,$B6350&lt;'111'!$L$11),"x","")</f>
        <v/>
      </c>
      <c r="S6350" s="79" t="str">
        <f>IF(AND($O6350=$Q$7,$B6350&lt;'111'!$L$11),"x","")</f>
        <v/>
      </c>
      <c r="T6350" s="79" t="str">
        <f>IF(ISERROR(FIND('112'!$M$9,G6350,1)),"",IF((AND(FIND('112'!$M$9,G6350,1)&gt;=1,B6350='112'!$K$9,OR($N6350='112'!$I$6,$O6350='112'!$I$6))),"x",""))</f>
        <v/>
      </c>
      <c r="U6350" s="79" t="str">
        <f>IF(ISERROR(FIND('112'!$M$9,G6350,1)),"",IF((AND(LEFT(G6350,2)=LEFT('112'!$M$9,2),B6350&lt;'112'!$K$9,$N6350='112'!$I$6)),"x",""))</f>
        <v/>
      </c>
      <c r="V6350" s="79" t="str">
        <f>IF(ISERROR(FIND('112'!$M$9,G6350,1)),"",IF((AND(RIGHT(G6350,2)=RIGHT('112'!$M$9,2),B6350&lt;'112'!$K$9,$O6350='112'!$I$6)),"x",""))</f>
        <v/>
      </c>
      <c r="W6350" s="79" t="str">
        <f>IF(AND('341-CT'!$H$9=H6350,OR(LEFT(N6350,3)=$W$7,LEFT(O6350,3)=$W$7)),"x","")</f>
        <v/>
      </c>
      <c r="X6350" s="79" t="str">
        <f>IF(OR(TH!N6350=TH!$X$7,O6350=TH!$X$7),"x","")</f>
        <v/>
      </c>
      <c r="Y6350" s="79" t="str">
        <f>IF(AND(OR(N6350="131",O6350="131"),H6350='131-CT'!$H$9),"x","")</f>
        <v/>
      </c>
      <c r="Z6350" s="79"/>
      <c r="AA6350" s="79" t="str">
        <f>IF(AND(MONTH(E6350)='IN-NX'!$J$5,'IN-NX'!$D$7=D6350),"x","")</f>
        <v/>
      </c>
      <c r="AB6350" s="79" t="str">
        <f>IF(AND(OR(LEFT(TH!N6350,2)="15",LEFT(TH!O6350,2)="15"),LEFT(TH!O6350,3)&lt;&gt;"111",'152-CT'!$J$8=TH!F6350),"x","")</f>
        <v/>
      </c>
      <c r="AC6350" s="79" t="str">
        <f>IF(AND(OR(LEFT(TH!N6350,2)="15",LEFT(TH!O6350,2)="15"),TK!$E$7=TH!F6350),"x","")</f>
        <v/>
      </c>
      <c r="AD6350" s="79" t="str">
        <f>IF(AND(N6350="1521",MONTH(C6350)='BK-NL'!$M$11),"x","")</f>
        <v/>
      </c>
    </row>
    <row r="6351" spans="1:30" ht="16.5" customHeight="1">
      <c r="A6351" s="318" t="str">
        <f>IF(B6351&lt;&gt;"",IF(AND(B6351='IN-TC'!$S$4,OR(TH!N6351="1111",TH!O6351="1111")),TH!D6351,""),"")</f>
        <v/>
      </c>
      <c r="B6351" s="1163" t="str">
        <f t="shared" si="520"/>
        <v/>
      </c>
      <c r="C6351" s="61"/>
      <c r="D6351" s="61"/>
      <c r="E6351" s="301"/>
      <c r="F6351" s="69"/>
      <c r="G6351" s="766"/>
      <c r="H6351" s="321"/>
      <c r="I6351" s="385"/>
      <c r="J6351" s="392"/>
      <c r="K6351" s="385"/>
      <c r="L6351" s="392"/>
      <c r="M6351" s="62"/>
      <c r="N6351" s="63"/>
      <c r="O6351" s="63"/>
      <c r="P6351" s="79" t="str">
        <f>IF(AND('331-CT'!$E$7=TH!H6351,OR(N6351="331",O6351="331")),"x","")</f>
        <v/>
      </c>
      <c r="Q6351" s="79" t="str">
        <f>IF(AND(B6351='111'!$L$11,OR($N6351=$Q$7,$O6351=$Q$7)),"x","")</f>
        <v/>
      </c>
      <c r="R6351" s="79" t="str">
        <f>IF(AND($N6351=$Q$7,$B6351&lt;'111'!$L$11),"x","")</f>
        <v/>
      </c>
      <c r="S6351" s="79" t="str">
        <f>IF(AND($O6351=$Q$7,$B6351&lt;'111'!$L$11),"x","")</f>
        <v/>
      </c>
      <c r="T6351" s="79" t="str">
        <f>IF(ISERROR(FIND('112'!$M$9,G6351,1)),"",IF((AND(FIND('112'!$M$9,G6351,1)&gt;=1,B6351='112'!$K$9,OR($N6351='112'!$I$6,$O6351='112'!$I$6))),"x",""))</f>
        <v/>
      </c>
      <c r="U6351" s="79" t="str">
        <f>IF(ISERROR(FIND('112'!$M$9,G6351,1)),"",IF((AND(LEFT(G6351,2)=LEFT('112'!$M$9,2),B6351&lt;'112'!$K$9,$N6351='112'!$I$6)),"x",""))</f>
        <v/>
      </c>
      <c r="V6351" s="79" t="str">
        <f>IF(ISERROR(FIND('112'!$M$9,G6351,1)),"",IF((AND(RIGHT(G6351,2)=RIGHT('112'!$M$9,2),B6351&lt;'112'!$K$9,$O6351='112'!$I$6)),"x",""))</f>
        <v/>
      </c>
      <c r="W6351" s="79" t="str">
        <f>IF(AND('341-CT'!$H$9=H6351,OR(LEFT(N6351,3)=$W$7,LEFT(O6351,3)=$W$7)),"x","")</f>
        <v/>
      </c>
      <c r="X6351" s="79" t="str">
        <f>IF(OR(TH!N6351=TH!$X$7,O6351=TH!$X$7),"x","")</f>
        <v/>
      </c>
      <c r="Y6351" s="79" t="str">
        <f>IF(AND(OR(N6351="131",O6351="131"),H6351='131-CT'!$H$9),"x","")</f>
        <v/>
      </c>
      <c r="Z6351" s="79"/>
      <c r="AA6351" s="79" t="str">
        <f>IF(AND(MONTH(E6351)='IN-NX'!$J$5,'IN-NX'!$D$7=D6351),"x","")</f>
        <v/>
      </c>
      <c r="AB6351" s="79" t="str">
        <f>IF(AND(OR(LEFT(TH!N6351,2)="15",LEFT(TH!O6351,2)="15"),LEFT(TH!O6351,3)&lt;&gt;"111",'152-CT'!$J$8=TH!F6351),"x","")</f>
        <v/>
      </c>
      <c r="AC6351" s="79" t="str">
        <f>IF(AND(OR(LEFT(TH!N6351,2)="15",LEFT(TH!O6351,2)="15"),TK!$E$7=TH!F6351),"x","")</f>
        <v/>
      </c>
      <c r="AD6351" s="79" t="str">
        <f>IF(AND(N6351="1521",MONTH(C6351)='BK-NL'!$M$11),"x","")</f>
        <v/>
      </c>
    </row>
    <row r="6352" spans="1:30" ht="16.5" customHeight="1">
      <c r="A6352" s="318" t="str">
        <f>IF(B6352&lt;&gt;"",IF(AND(B6352='IN-TC'!$S$4,OR(TH!N6352="1111",TH!O6352="1111")),TH!D6352,""),"")</f>
        <v/>
      </c>
      <c r="B6352" s="1163" t="str">
        <f t="shared" si="520"/>
        <v/>
      </c>
      <c r="C6352" s="61"/>
      <c r="D6352" s="301"/>
      <c r="E6352" s="61"/>
      <c r="F6352" s="69"/>
      <c r="G6352" s="766"/>
      <c r="H6352" s="925"/>
      <c r="I6352" s="385"/>
      <c r="J6352" s="392"/>
      <c r="K6352" s="385"/>
      <c r="L6352" s="392"/>
      <c r="M6352" s="62"/>
      <c r="N6352" s="63"/>
      <c r="O6352" s="63"/>
      <c r="P6352" s="79" t="str">
        <f>IF(AND('331-CT'!$E$7=TH!H6352,OR(N6352="331",O6352="331")),"x","")</f>
        <v/>
      </c>
      <c r="Q6352" s="79" t="str">
        <f>IF(AND(B6352='111'!$L$11,OR($N6352=$Q$7,$O6352=$Q$7)),"x","")</f>
        <v/>
      </c>
      <c r="R6352" s="79" t="str">
        <f>IF(AND($N6352=$Q$7,$B6352&lt;'111'!$L$11),"x","")</f>
        <v/>
      </c>
      <c r="S6352" s="79" t="str">
        <f>IF(AND($O6352=$Q$7,$B6352&lt;'111'!$L$11),"x","")</f>
        <v/>
      </c>
      <c r="T6352" s="79" t="str">
        <f>IF(ISERROR(FIND('112'!$M$9,G6352,1)),"",IF((AND(FIND('112'!$M$9,G6352,1)&gt;=1,B6352='112'!$K$9,OR($N6352='112'!$I$6,$O6352='112'!$I$6))),"x",""))</f>
        <v/>
      </c>
      <c r="U6352" s="79" t="str">
        <f>IF(ISERROR(FIND('112'!$M$9,G6352,1)),"",IF((AND(LEFT(G6352,2)=LEFT('112'!$M$9,2),B6352&lt;'112'!$K$9,$N6352='112'!$I$6)),"x",""))</f>
        <v/>
      </c>
      <c r="V6352" s="79" t="str">
        <f>IF(ISERROR(FIND('112'!$M$9,G6352,1)),"",IF((AND(RIGHT(G6352,2)=RIGHT('112'!$M$9,2),B6352&lt;'112'!$K$9,$O6352='112'!$I$6)),"x",""))</f>
        <v/>
      </c>
      <c r="W6352" s="79" t="str">
        <f>IF(AND('341-CT'!$H$9=H6352,OR(LEFT(N6352,3)=$W$7,LEFT(O6352,3)=$W$7)),"x","")</f>
        <v/>
      </c>
      <c r="X6352" s="79" t="str">
        <f>IF(OR(TH!N6352=TH!$X$7,O6352=TH!$X$7),"x","")</f>
        <v/>
      </c>
      <c r="Y6352" s="79" t="str">
        <f>IF(AND(OR(N6352="131",O6352="131"),H6352='131-CT'!$H$9),"x","")</f>
        <v/>
      </c>
      <c r="Z6352" s="79"/>
      <c r="AA6352" s="79" t="str">
        <f>IF(AND(MONTH(E6352)='IN-NX'!$J$5,'IN-NX'!$D$7=D6352),"x","")</f>
        <v/>
      </c>
      <c r="AB6352" s="79" t="str">
        <f>IF(AND(OR(LEFT(TH!N6352,2)="15",LEFT(TH!O6352,2)="15"),LEFT(TH!O6352,3)&lt;&gt;"111",'152-CT'!$J$8=TH!F6352),"x","")</f>
        <v/>
      </c>
      <c r="AC6352" s="79" t="str">
        <f>IF(AND(OR(LEFT(TH!N6352,2)="15",LEFT(TH!O6352,2)="15"),TK!$E$7=TH!F6352),"x","")</f>
        <v/>
      </c>
      <c r="AD6352" s="79" t="str">
        <f>IF(AND(N6352="1521",MONTH(C6352)='BK-NL'!$M$11),"x","")</f>
        <v/>
      </c>
    </row>
    <row r="6353" spans="1:30" ht="16.5" customHeight="1">
      <c r="A6353" s="318" t="str">
        <f>IF(B6353&lt;&gt;"",IF(AND(B6353='IN-TC'!$S$4,OR(TH!N6353="1111",TH!O6353="1111")),TH!D6353,""),"")</f>
        <v/>
      </c>
      <c r="B6353" s="1163" t="str">
        <f t="shared" si="520"/>
        <v/>
      </c>
      <c r="C6353" s="61"/>
      <c r="D6353" s="61"/>
      <c r="E6353" s="61"/>
      <c r="F6353" s="69"/>
      <c r="G6353" s="766"/>
      <c r="H6353" s="925"/>
      <c r="I6353" s="385"/>
      <c r="J6353" s="392"/>
      <c r="K6353" s="385"/>
      <c r="L6353" s="392"/>
      <c r="M6353" s="62"/>
      <c r="N6353" s="63"/>
      <c r="O6353" s="63"/>
      <c r="P6353" s="79" t="str">
        <f>IF(AND('331-CT'!$E$7=TH!H6353,OR(N6353="331",O6353="331")),"x","")</f>
        <v/>
      </c>
      <c r="Q6353" s="79" t="str">
        <f>IF(AND(B6353='111'!$L$11,OR($N6353=$Q$7,$O6353=$Q$7)),"x","")</f>
        <v/>
      </c>
      <c r="R6353" s="79" t="str">
        <f>IF(AND($N6353=$Q$7,$B6353&lt;'111'!$L$11),"x","")</f>
        <v/>
      </c>
      <c r="S6353" s="79" t="str">
        <f>IF(AND($O6353=$Q$7,$B6353&lt;'111'!$L$11),"x","")</f>
        <v/>
      </c>
      <c r="T6353" s="79" t="str">
        <f>IF(ISERROR(FIND('112'!$M$9,G6353,1)),"",IF((AND(FIND('112'!$M$9,G6353,1)&gt;=1,B6353='112'!$K$9,OR($N6353='112'!$I$6,$O6353='112'!$I$6))),"x",""))</f>
        <v/>
      </c>
      <c r="U6353" s="79" t="str">
        <f>IF(ISERROR(FIND('112'!$M$9,G6353,1)),"",IF((AND(LEFT(G6353,2)=LEFT('112'!$M$9,2),B6353&lt;'112'!$K$9,$N6353='112'!$I$6)),"x",""))</f>
        <v/>
      </c>
      <c r="V6353" s="79" t="str">
        <f>IF(ISERROR(FIND('112'!$M$9,G6353,1)),"",IF((AND(RIGHT(G6353,2)=RIGHT('112'!$M$9,2),B6353&lt;'112'!$K$9,$O6353='112'!$I$6)),"x",""))</f>
        <v/>
      </c>
      <c r="W6353" s="79" t="str">
        <f>IF(AND('341-CT'!$H$9=H6353,OR(LEFT(N6353,3)=$W$7,LEFT(O6353,3)=$W$7)),"x","")</f>
        <v/>
      </c>
      <c r="X6353" s="79" t="str">
        <f>IF(OR(TH!N6353=TH!$X$7,O6353=TH!$X$7),"x","")</f>
        <v/>
      </c>
      <c r="Y6353" s="79" t="str">
        <f>IF(AND(OR(N6353="131",O6353="131"),H6353='131-CT'!$H$9),"x","")</f>
        <v/>
      </c>
      <c r="Z6353" s="79"/>
      <c r="AA6353" s="79" t="str">
        <f>IF(AND(MONTH(E6353)='IN-NX'!$J$5,'IN-NX'!$D$7=D6353),"x","")</f>
        <v/>
      </c>
      <c r="AB6353" s="79" t="str">
        <f>IF(AND(OR(LEFT(TH!N6353,2)="15",LEFT(TH!O6353,2)="15"),LEFT(TH!O6353,3)&lt;&gt;"111",'152-CT'!$J$8=TH!F6353),"x","")</f>
        <v/>
      </c>
      <c r="AC6353" s="79" t="str">
        <f>IF(AND(OR(LEFT(TH!N6353,2)="15",LEFT(TH!O6353,2)="15"),TK!$E$7=TH!F6353),"x","")</f>
        <v/>
      </c>
      <c r="AD6353" s="79" t="str">
        <f>IF(AND(N6353="1521",MONTH(C6353)='BK-NL'!$M$11),"x","")</f>
        <v/>
      </c>
    </row>
    <row r="6354" spans="1:30" ht="16.5" customHeight="1">
      <c r="A6354" s="318" t="str">
        <f>IF(B6354&lt;&gt;"",IF(AND(B6354='IN-TC'!$S$4,OR(TH!N6354="1111",TH!O6354="1111")),TH!D6354,""),"")</f>
        <v/>
      </c>
      <c r="B6354" s="1163" t="str">
        <f t="shared" si="520"/>
        <v/>
      </c>
      <c r="C6354" s="61"/>
      <c r="D6354" s="61"/>
      <c r="E6354" s="61"/>
      <c r="F6354" s="69"/>
      <c r="G6354" s="766"/>
      <c r="H6354" s="925"/>
      <c r="I6354" s="385"/>
      <c r="J6354" s="392"/>
      <c r="K6354" s="385"/>
      <c r="L6354" s="392"/>
      <c r="M6354" s="62"/>
      <c r="N6354" s="63"/>
      <c r="O6354" s="63"/>
      <c r="P6354" s="79" t="str">
        <f>IF(AND('331-CT'!$E$7=TH!H6354,OR(N6354="331",O6354="331")),"x","")</f>
        <v/>
      </c>
      <c r="Q6354" s="79" t="str">
        <f>IF(AND(B6354='111'!$L$11,OR($N6354=$Q$7,$O6354=$Q$7)),"x","")</f>
        <v/>
      </c>
      <c r="R6354" s="79" t="str">
        <f>IF(AND($N6354=$Q$7,$B6354&lt;'111'!$L$11),"x","")</f>
        <v/>
      </c>
      <c r="S6354" s="79" t="str">
        <f>IF(AND($O6354=$Q$7,$B6354&lt;'111'!$L$11),"x","")</f>
        <v/>
      </c>
      <c r="T6354" s="79" t="str">
        <f>IF(ISERROR(FIND('112'!$M$9,G6354,1)),"",IF((AND(FIND('112'!$M$9,G6354,1)&gt;=1,B6354='112'!$K$9,OR($N6354='112'!$I$6,$O6354='112'!$I$6))),"x",""))</f>
        <v/>
      </c>
      <c r="U6354" s="79" t="str">
        <f>IF(ISERROR(FIND('112'!$M$9,G6354,1)),"",IF((AND(LEFT(G6354,2)=LEFT('112'!$M$9,2),B6354&lt;'112'!$K$9,$N6354='112'!$I$6)),"x",""))</f>
        <v/>
      </c>
      <c r="V6354" s="79" t="str">
        <f>IF(ISERROR(FIND('112'!$M$9,G6354,1)),"",IF((AND(RIGHT(G6354,2)=RIGHT('112'!$M$9,2),B6354&lt;'112'!$K$9,$O6354='112'!$I$6)),"x",""))</f>
        <v/>
      </c>
      <c r="W6354" s="79" t="str">
        <f>IF(AND('341-CT'!$H$9=H6354,OR(LEFT(N6354,3)=$W$7,LEFT(O6354,3)=$W$7)),"x","")</f>
        <v/>
      </c>
      <c r="X6354" s="79" t="str">
        <f>IF(OR(TH!N6354=TH!$X$7,O6354=TH!$X$7),"x","")</f>
        <v/>
      </c>
      <c r="Y6354" s="79" t="str">
        <f>IF(AND(OR(N6354="131",O6354="131"),H6354='131-CT'!$H$9),"x","")</f>
        <v/>
      </c>
      <c r="Z6354" s="79"/>
      <c r="AA6354" s="79" t="str">
        <f>IF(AND(MONTH(E6354)='IN-NX'!$J$5,'IN-NX'!$D$7=D6354),"x","")</f>
        <v/>
      </c>
      <c r="AB6354" s="79" t="str">
        <f>IF(AND(OR(LEFT(TH!N6354,2)="15",LEFT(TH!O6354,2)="15"),LEFT(TH!O6354,3)&lt;&gt;"111",'152-CT'!$J$8=TH!F6354),"x","")</f>
        <v/>
      </c>
      <c r="AC6354" s="79" t="str">
        <f>IF(AND(OR(LEFT(TH!N6354,2)="15",LEFT(TH!O6354,2)="15"),TK!$E$7=TH!F6354),"x","")</f>
        <v/>
      </c>
      <c r="AD6354" s="79" t="str">
        <f>IF(AND(N6354="1521",MONTH(C6354)='BK-NL'!$M$11),"x","")</f>
        <v/>
      </c>
    </row>
    <row r="6355" spans="1:30" ht="16.5" customHeight="1">
      <c r="A6355" s="318" t="str">
        <f>IF(B6355&lt;&gt;"",IF(AND(B6355='IN-TC'!$S$4,OR(TH!N6355="1111",TH!O6355="1111")),TH!D6355,""),"")</f>
        <v/>
      </c>
      <c r="B6355" s="1163" t="str">
        <f t="shared" si="520"/>
        <v/>
      </c>
      <c r="C6355" s="61"/>
      <c r="D6355" s="61"/>
      <c r="E6355" s="61"/>
      <c r="F6355" s="69"/>
      <c r="G6355" s="766"/>
      <c r="H6355" s="925"/>
      <c r="I6355" s="385"/>
      <c r="J6355" s="392"/>
      <c r="K6355" s="385"/>
      <c r="L6355" s="392"/>
      <c r="M6355" s="62"/>
      <c r="N6355" s="63"/>
      <c r="O6355" s="63"/>
      <c r="P6355" s="79" t="str">
        <f>IF(AND('331-CT'!$E$7=TH!H6355,OR(N6355="331",O6355="331")),"x","")</f>
        <v/>
      </c>
      <c r="Q6355" s="79" t="str">
        <f>IF(AND(B6355='111'!$L$11,OR($N6355=$Q$7,$O6355=$Q$7)),"x","")</f>
        <v/>
      </c>
      <c r="R6355" s="79" t="str">
        <f>IF(AND($N6355=$Q$7,$B6355&lt;'111'!$L$11),"x","")</f>
        <v/>
      </c>
      <c r="S6355" s="79" t="str">
        <f>IF(AND($O6355=$Q$7,$B6355&lt;'111'!$L$11),"x","")</f>
        <v/>
      </c>
      <c r="T6355" s="79" t="str">
        <f>IF(ISERROR(FIND('112'!$M$9,G6355,1)),"",IF((AND(FIND('112'!$M$9,G6355,1)&gt;=1,B6355='112'!$K$9,OR($N6355='112'!$I$6,$O6355='112'!$I$6))),"x",""))</f>
        <v/>
      </c>
      <c r="U6355" s="79" t="str">
        <f>IF(ISERROR(FIND('112'!$M$9,G6355,1)),"",IF((AND(LEFT(G6355,2)=LEFT('112'!$M$9,2),B6355&lt;'112'!$K$9,$N6355='112'!$I$6)),"x",""))</f>
        <v/>
      </c>
      <c r="V6355" s="79" t="str">
        <f>IF(ISERROR(FIND('112'!$M$9,G6355,1)),"",IF((AND(RIGHT(G6355,2)=RIGHT('112'!$M$9,2),B6355&lt;'112'!$K$9,$O6355='112'!$I$6)),"x",""))</f>
        <v/>
      </c>
      <c r="W6355" s="79" t="str">
        <f>IF(AND('341-CT'!$H$9=H6355,OR(LEFT(N6355,3)=$W$7,LEFT(O6355,3)=$W$7)),"x","")</f>
        <v/>
      </c>
      <c r="X6355" s="79" t="str">
        <f>IF(OR(TH!N6355=TH!$X$7,O6355=TH!$X$7),"x","")</f>
        <v/>
      </c>
      <c r="Y6355" s="79" t="str">
        <f>IF(AND(OR(N6355="131",O6355="131"),H6355='131-CT'!$H$9),"x","")</f>
        <v/>
      </c>
      <c r="Z6355" s="79"/>
      <c r="AA6355" s="79" t="str">
        <f>IF(AND(MONTH(E6355)='IN-NX'!$J$5,'IN-NX'!$D$7=D6355),"x","")</f>
        <v/>
      </c>
      <c r="AB6355" s="79" t="str">
        <f>IF(AND(OR(LEFT(TH!N6355,2)="15",LEFT(TH!O6355,2)="15"),LEFT(TH!O6355,3)&lt;&gt;"111",'152-CT'!$J$8=TH!F6355),"x","")</f>
        <v/>
      </c>
      <c r="AC6355" s="79" t="str">
        <f>IF(AND(OR(LEFT(TH!N6355,2)="15",LEFT(TH!O6355,2)="15"),TK!$E$7=TH!F6355),"x","")</f>
        <v/>
      </c>
      <c r="AD6355" s="79" t="str">
        <f>IF(AND(N6355="1521",MONTH(C6355)='BK-NL'!$M$11),"x","")</f>
        <v/>
      </c>
    </row>
    <row r="6356" spans="1:30" ht="16.5" customHeight="1">
      <c r="A6356" s="318" t="str">
        <f>IF(B6356&lt;&gt;"",IF(AND(B6356='IN-TC'!$S$4,OR(TH!N6356="1111",TH!O6356="1111")),TH!D6356,""),"")</f>
        <v/>
      </c>
      <c r="B6356" s="1163" t="str">
        <f t="shared" si="520"/>
        <v/>
      </c>
      <c r="C6356" s="61"/>
      <c r="D6356" s="61"/>
      <c r="E6356" s="61"/>
      <c r="F6356" s="69"/>
      <c r="G6356" s="766"/>
      <c r="H6356" s="925"/>
      <c r="I6356" s="385"/>
      <c r="J6356" s="392"/>
      <c r="K6356" s="385"/>
      <c r="L6356" s="392"/>
      <c r="M6356" s="62"/>
      <c r="N6356" s="63"/>
      <c r="O6356" s="63"/>
      <c r="P6356" s="79" t="str">
        <f>IF(AND('331-CT'!$E$7=TH!H6356,OR(N6356="331",O6356="331")),"x","")</f>
        <v/>
      </c>
      <c r="Q6356" s="79" t="str">
        <f>IF(AND(B6356='111'!$L$11,OR($N6356=$Q$7,$O6356=$Q$7)),"x","")</f>
        <v/>
      </c>
      <c r="R6356" s="79" t="str">
        <f>IF(AND($N6356=$Q$7,$B6356&lt;'111'!$L$11),"x","")</f>
        <v/>
      </c>
      <c r="S6356" s="79" t="str">
        <f>IF(AND($O6356=$Q$7,$B6356&lt;'111'!$L$11),"x","")</f>
        <v/>
      </c>
      <c r="T6356" s="79" t="str">
        <f>IF(ISERROR(FIND('112'!$M$9,G6356,1)),"",IF((AND(FIND('112'!$M$9,G6356,1)&gt;=1,B6356='112'!$K$9,OR($N6356='112'!$I$6,$O6356='112'!$I$6))),"x",""))</f>
        <v/>
      </c>
      <c r="U6356" s="79" t="str">
        <f>IF(ISERROR(FIND('112'!$M$9,G6356,1)),"",IF((AND(LEFT(G6356,2)=LEFT('112'!$M$9,2),B6356&lt;'112'!$K$9,$N6356='112'!$I$6)),"x",""))</f>
        <v/>
      </c>
      <c r="V6356" s="79" t="str">
        <f>IF(ISERROR(FIND('112'!$M$9,G6356,1)),"",IF((AND(RIGHT(G6356,2)=RIGHT('112'!$M$9,2),B6356&lt;'112'!$K$9,$O6356='112'!$I$6)),"x",""))</f>
        <v/>
      </c>
      <c r="W6356" s="79" t="str">
        <f>IF(AND('341-CT'!$H$9=H6356,OR(LEFT(N6356,3)=$W$7,LEFT(O6356,3)=$W$7)),"x","")</f>
        <v/>
      </c>
      <c r="X6356" s="79" t="str">
        <f>IF(OR(TH!N6356=TH!$X$7,O6356=TH!$X$7),"x","")</f>
        <v/>
      </c>
      <c r="Y6356" s="79" t="str">
        <f>IF(AND(OR(N6356="131",O6356="131"),H6356='131-CT'!$H$9),"x","")</f>
        <v/>
      </c>
      <c r="Z6356" s="79"/>
      <c r="AA6356" s="79" t="str">
        <f>IF(AND(MONTH(E6356)='IN-NX'!$J$5,'IN-NX'!$D$7=D6356),"x","")</f>
        <v/>
      </c>
      <c r="AB6356" s="79" t="str">
        <f>IF(AND(OR(LEFT(TH!N6356,2)="15",LEFT(TH!O6356,2)="15"),LEFT(TH!O6356,3)&lt;&gt;"111",'152-CT'!$J$8=TH!F6356),"x","")</f>
        <v/>
      </c>
      <c r="AC6356" s="79" t="str">
        <f>IF(AND(OR(LEFT(TH!N6356,2)="15",LEFT(TH!O6356,2)="15"),TK!$E$7=TH!F6356),"x","")</f>
        <v/>
      </c>
      <c r="AD6356" s="79" t="str">
        <f>IF(AND(N6356="1521",MONTH(C6356)='BK-NL'!$M$11),"x","")</f>
        <v/>
      </c>
    </row>
    <row r="6357" spans="1:30" ht="16.5" customHeight="1">
      <c r="A6357" s="318" t="str">
        <f>IF(B6357&lt;&gt;"",IF(AND(B6357='IN-TC'!$S$4,OR(TH!N6357="1111",TH!O6357="1111")),TH!D6357,""),"")</f>
        <v/>
      </c>
      <c r="B6357" s="1163" t="str">
        <f t="shared" si="520"/>
        <v/>
      </c>
      <c r="C6357" s="61"/>
      <c r="D6357" s="301"/>
      <c r="E6357" s="61"/>
      <c r="F6357" s="69"/>
      <c r="G6357" s="766"/>
      <c r="H6357" s="925"/>
      <c r="I6357" s="385"/>
      <c r="J6357" s="392"/>
      <c r="K6357" s="385"/>
      <c r="L6357" s="392"/>
      <c r="M6357" s="62"/>
      <c r="N6357" s="63"/>
      <c r="O6357" s="63"/>
      <c r="P6357" s="79" t="str">
        <f>IF(AND('331-CT'!$E$7=TH!H6357,OR(N6357="331",O6357="331")),"x","")</f>
        <v/>
      </c>
      <c r="Q6357" s="79" t="str">
        <f>IF(AND(B6357='111'!$L$11,OR($N6357=$Q$7,$O6357=$Q$7)),"x","")</f>
        <v/>
      </c>
      <c r="R6357" s="79" t="str">
        <f>IF(AND($N6357=$Q$7,$B6357&lt;'111'!$L$11),"x","")</f>
        <v/>
      </c>
      <c r="S6357" s="79" t="str">
        <f>IF(AND($O6357=$Q$7,$B6357&lt;'111'!$L$11),"x","")</f>
        <v/>
      </c>
      <c r="T6357" s="79" t="str">
        <f>IF(ISERROR(FIND('112'!$M$9,G6357,1)),"",IF((AND(FIND('112'!$M$9,G6357,1)&gt;=1,B6357='112'!$K$9,OR($N6357='112'!$I$6,$O6357='112'!$I$6))),"x",""))</f>
        <v/>
      </c>
      <c r="U6357" s="79" t="str">
        <f>IF(ISERROR(FIND('112'!$M$9,G6357,1)),"",IF((AND(LEFT(G6357,2)=LEFT('112'!$M$9,2),B6357&lt;'112'!$K$9,$N6357='112'!$I$6)),"x",""))</f>
        <v/>
      </c>
      <c r="V6357" s="79" t="str">
        <f>IF(ISERROR(FIND('112'!$M$9,G6357,1)),"",IF((AND(RIGHT(G6357,2)=RIGHT('112'!$M$9,2),B6357&lt;'112'!$K$9,$O6357='112'!$I$6)),"x",""))</f>
        <v/>
      </c>
      <c r="W6357" s="79" t="str">
        <f>IF(AND('341-CT'!$H$9=H6357,OR(LEFT(N6357,3)=$W$7,LEFT(O6357,3)=$W$7)),"x","")</f>
        <v/>
      </c>
      <c r="X6357" s="79" t="str">
        <f>IF(OR(TH!N6357=TH!$X$7,O6357=TH!$X$7),"x","")</f>
        <v/>
      </c>
      <c r="Y6357" s="79" t="str">
        <f>IF(AND(OR(N6357="131",O6357="131"),H6357='131-CT'!$H$9),"x","")</f>
        <v/>
      </c>
      <c r="Z6357" s="79"/>
      <c r="AA6357" s="79" t="str">
        <f>IF(AND(MONTH(E6357)='IN-NX'!$J$5,'IN-NX'!$D$7=D6357),"x","")</f>
        <v/>
      </c>
      <c r="AB6357" s="79" t="str">
        <f>IF(AND(OR(LEFT(TH!N6357,2)="15",LEFT(TH!O6357,2)="15"),LEFT(TH!O6357,3)&lt;&gt;"111",'152-CT'!$J$8=TH!F6357),"x","")</f>
        <v/>
      </c>
      <c r="AC6357" s="79" t="str">
        <f>IF(AND(OR(LEFT(TH!N6357,2)="15",LEFT(TH!O6357,2)="15"),TK!$E$7=TH!F6357),"x","")</f>
        <v/>
      </c>
      <c r="AD6357" s="79" t="str">
        <f>IF(AND(N6357="1521",MONTH(C6357)='BK-NL'!$M$11),"x","")</f>
        <v/>
      </c>
    </row>
    <row r="6358" spans="1:30" ht="16.5" customHeight="1">
      <c r="A6358" s="318" t="str">
        <f>IF(B6358&lt;&gt;"",IF(AND(B6358='IN-TC'!$S$4,OR(TH!N6358="1111",TH!O6358="1111")),TH!D6358,""),"")</f>
        <v/>
      </c>
      <c r="B6358" s="1163" t="str">
        <f t="shared" si="520"/>
        <v/>
      </c>
      <c r="C6358" s="61"/>
      <c r="D6358" s="61"/>
      <c r="E6358" s="61"/>
      <c r="F6358" s="69"/>
      <c r="G6358" s="766"/>
      <c r="H6358" s="925"/>
      <c r="I6358" s="385"/>
      <c r="J6358" s="392"/>
      <c r="K6358" s="385"/>
      <c r="L6358" s="392"/>
      <c r="M6358" s="62"/>
      <c r="N6358" s="63"/>
      <c r="O6358" s="63"/>
      <c r="P6358" s="79" t="str">
        <f>IF(AND('331-CT'!$E$7=TH!H6358,OR(N6358="331",O6358="331")),"x","")</f>
        <v/>
      </c>
      <c r="Q6358" s="79" t="str">
        <f>IF(AND(B6358='111'!$L$11,OR($N6358=$Q$7,$O6358=$Q$7)),"x","")</f>
        <v/>
      </c>
      <c r="R6358" s="79" t="str">
        <f>IF(AND($N6358=$Q$7,$B6358&lt;'111'!$L$11),"x","")</f>
        <v/>
      </c>
      <c r="S6358" s="79" t="str">
        <f>IF(AND($O6358=$Q$7,$B6358&lt;'111'!$L$11),"x","")</f>
        <v/>
      </c>
      <c r="T6358" s="79" t="str">
        <f>IF(ISERROR(FIND('112'!$M$9,G6358,1)),"",IF((AND(FIND('112'!$M$9,G6358,1)&gt;=1,B6358='112'!$K$9,OR($N6358='112'!$I$6,$O6358='112'!$I$6))),"x",""))</f>
        <v/>
      </c>
      <c r="U6358" s="79" t="str">
        <f>IF(ISERROR(FIND('112'!$M$9,G6358,1)),"",IF((AND(LEFT(G6358,2)=LEFT('112'!$M$9,2),B6358&lt;'112'!$K$9,$N6358='112'!$I$6)),"x",""))</f>
        <v/>
      </c>
      <c r="V6358" s="79" t="str">
        <f>IF(ISERROR(FIND('112'!$M$9,G6358,1)),"",IF((AND(RIGHT(G6358,2)=RIGHT('112'!$M$9,2),B6358&lt;'112'!$K$9,$O6358='112'!$I$6)),"x",""))</f>
        <v/>
      </c>
      <c r="W6358" s="79" t="str">
        <f>IF(AND('341-CT'!$H$9=H6358,OR(LEFT(N6358,3)=$W$7,LEFT(O6358,3)=$W$7)),"x","")</f>
        <v/>
      </c>
      <c r="X6358" s="79" t="str">
        <f>IF(OR(TH!N6358=TH!$X$7,O6358=TH!$X$7),"x","")</f>
        <v/>
      </c>
      <c r="Y6358" s="79" t="str">
        <f>IF(AND(OR(N6358="131",O6358="131"),H6358='131-CT'!$H$9),"x","")</f>
        <v/>
      </c>
      <c r="Z6358" s="79"/>
      <c r="AA6358" s="79" t="str">
        <f>IF(AND(MONTH(E6358)='IN-NX'!$J$5,'IN-NX'!$D$7=D6358),"x","")</f>
        <v/>
      </c>
      <c r="AB6358" s="79" t="str">
        <f>IF(AND(OR(LEFT(TH!N6358,2)="15",LEFT(TH!O6358,2)="15"),LEFT(TH!O6358,3)&lt;&gt;"111",'152-CT'!$J$8=TH!F6358),"x","")</f>
        <v/>
      </c>
      <c r="AC6358" s="79" t="str">
        <f>IF(AND(OR(LEFT(TH!N6358,2)="15",LEFT(TH!O6358,2)="15"),TK!$E$7=TH!F6358),"x","")</f>
        <v/>
      </c>
      <c r="AD6358" s="79" t="str">
        <f>IF(AND(N6358="1521",MONTH(C6358)='BK-NL'!$M$11),"x","")</f>
        <v/>
      </c>
    </row>
    <row r="6359" spans="1:30" ht="16.5" customHeight="1">
      <c r="A6359" s="318" t="str">
        <f>IF(B6359&lt;&gt;"",IF(AND(B6359='IN-TC'!$S$4,OR(TH!N6359="1111",TH!O6359="1111")),TH!D6359,""),"")</f>
        <v/>
      </c>
      <c r="B6359" s="1163" t="str">
        <f t="shared" si="520"/>
        <v/>
      </c>
      <c r="C6359" s="61"/>
      <c r="D6359" s="61"/>
      <c r="E6359" s="61"/>
      <c r="F6359" s="69"/>
      <c r="G6359" s="766"/>
      <c r="H6359" s="925"/>
      <c r="I6359" s="385"/>
      <c r="J6359" s="392"/>
      <c r="K6359" s="385"/>
      <c r="L6359" s="392"/>
      <c r="M6359" s="62"/>
      <c r="N6359" s="63"/>
      <c r="O6359" s="63"/>
      <c r="P6359" s="79" t="str">
        <f>IF(AND('331-CT'!$E$7=TH!H6359,OR(N6359="331",O6359="331")),"x","")</f>
        <v/>
      </c>
      <c r="Q6359" s="79" t="str">
        <f>IF(AND(B6359='111'!$L$11,OR($N6359=$Q$7,$O6359=$Q$7)),"x","")</f>
        <v/>
      </c>
      <c r="R6359" s="79" t="str">
        <f>IF(AND($N6359=$Q$7,$B6359&lt;'111'!$L$11),"x","")</f>
        <v/>
      </c>
      <c r="S6359" s="79" t="str">
        <f>IF(AND($O6359=$Q$7,$B6359&lt;'111'!$L$11),"x","")</f>
        <v/>
      </c>
      <c r="T6359" s="79" t="str">
        <f>IF(ISERROR(FIND('112'!$M$9,G6359,1)),"",IF((AND(FIND('112'!$M$9,G6359,1)&gt;=1,B6359='112'!$K$9,OR($N6359='112'!$I$6,$O6359='112'!$I$6))),"x",""))</f>
        <v/>
      </c>
      <c r="U6359" s="79" t="str">
        <f>IF(ISERROR(FIND('112'!$M$9,G6359,1)),"",IF((AND(LEFT(G6359,2)=LEFT('112'!$M$9,2),B6359&lt;'112'!$K$9,$N6359='112'!$I$6)),"x",""))</f>
        <v/>
      </c>
      <c r="V6359" s="79" t="str">
        <f>IF(ISERROR(FIND('112'!$M$9,G6359,1)),"",IF((AND(RIGHT(G6359,2)=RIGHT('112'!$M$9,2),B6359&lt;'112'!$K$9,$O6359='112'!$I$6)),"x",""))</f>
        <v/>
      </c>
      <c r="W6359" s="79" t="str">
        <f>IF(AND('341-CT'!$H$9=H6359,OR(LEFT(N6359,3)=$W$7,LEFT(O6359,3)=$W$7)),"x","")</f>
        <v/>
      </c>
      <c r="X6359" s="79" t="str">
        <f>IF(OR(TH!N6359=TH!$X$7,O6359=TH!$X$7),"x","")</f>
        <v/>
      </c>
      <c r="Y6359" s="79" t="str">
        <f>IF(AND(OR(N6359="131",O6359="131"),H6359='131-CT'!$H$9),"x","")</f>
        <v/>
      </c>
      <c r="Z6359" s="79"/>
      <c r="AA6359" s="79" t="str">
        <f>IF(AND(MONTH(E6359)='IN-NX'!$J$5,'IN-NX'!$D$7=D6359),"x","")</f>
        <v/>
      </c>
      <c r="AB6359" s="79" t="str">
        <f>IF(AND(OR(LEFT(TH!N6359,2)="15",LEFT(TH!O6359,2)="15"),LEFT(TH!O6359,3)&lt;&gt;"111",'152-CT'!$J$8=TH!F6359),"x","")</f>
        <v/>
      </c>
      <c r="AC6359" s="79" t="str">
        <f>IF(AND(OR(LEFT(TH!N6359,2)="15",LEFT(TH!O6359,2)="15"),TK!$E$7=TH!F6359),"x","")</f>
        <v/>
      </c>
      <c r="AD6359" s="79" t="str">
        <f>IF(AND(N6359="1521",MONTH(C6359)='BK-NL'!$M$11),"x","")</f>
        <v/>
      </c>
    </row>
    <row r="6360" spans="1:30" ht="16.5" customHeight="1">
      <c r="A6360" s="318" t="str">
        <f>IF(B6360&lt;&gt;"",IF(AND(B6360='IN-TC'!$S$4,OR(TH!N6360="1111",TH!O6360="1111")),TH!D6360,""),"")</f>
        <v/>
      </c>
      <c r="B6360" s="1163" t="str">
        <f t="shared" si="520"/>
        <v/>
      </c>
      <c r="C6360" s="61"/>
      <c r="D6360" s="61"/>
      <c r="E6360" s="61"/>
      <c r="F6360" s="69"/>
      <c r="G6360" s="766"/>
      <c r="H6360" s="925"/>
      <c r="I6360" s="385"/>
      <c r="J6360" s="392"/>
      <c r="K6360" s="385"/>
      <c r="L6360" s="392"/>
      <c r="M6360" s="62"/>
      <c r="N6360" s="63"/>
      <c r="O6360" s="63"/>
      <c r="P6360" s="79" t="str">
        <f>IF(AND('331-CT'!$E$7=TH!H6360,OR(N6360="331",O6360="331")),"x","")</f>
        <v/>
      </c>
      <c r="Q6360" s="79" t="str">
        <f>IF(AND(B6360='111'!$L$11,OR($N6360=$Q$7,$O6360=$Q$7)),"x","")</f>
        <v/>
      </c>
      <c r="R6360" s="79" t="str">
        <f>IF(AND($N6360=$Q$7,$B6360&lt;'111'!$L$11),"x","")</f>
        <v/>
      </c>
      <c r="S6360" s="79" t="str">
        <f>IF(AND($O6360=$Q$7,$B6360&lt;'111'!$L$11),"x","")</f>
        <v/>
      </c>
      <c r="T6360" s="79" t="str">
        <f>IF(ISERROR(FIND('112'!$M$9,G6360,1)),"",IF((AND(FIND('112'!$M$9,G6360,1)&gt;=1,B6360='112'!$K$9,OR($N6360='112'!$I$6,$O6360='112'!$I$6))),"x",""))</f>
        <v/>
      </c>
      <c r="U6360" s="79" t="str">
        <f>IF(ISERROR(FIND('112'!$M$9,G6360,1)),"",IF((AND(LEFT(G6360,2)=LEFT('112'!$M$9,2),B6360&lt;'112'!$K$9,$N6360='112'!$I$6)),"x",""))</f>
        <v/>
      </c>
      <c r="V6360" s="79" t="str">
        <f>IF(ISERROR(FIND('112'!$M$9,G6360,1)),"",IF((AND(RIGHT(G6360,2)=RIGHT('112'!$M$9,2),B6360&lt;'112'!$K$9,$O6360='112'!$I$6)),"x",""))</f>
        <v/>
      </c>
      <c r="W6360" s="79" t="str">
        <f>IF(AND('341-CT'!$H$9=H6360,OR(LEFT(N6360,3)=$W$7,LEFT(O6360,3)=$W$7)),"x","")</f>
        <v/>
      </c>
      <c r="X6360" s="79" t="str">
        <f>IF(OR(TH!N6360=TH!$X$7,O6360=TH!$X$7),"x","")</f>
        <v/>
      </c>
      <c r="Y6360" s="79" t="str">
        <f>IF(AND(OR(N6360="131",O6360="131"),H6360='131-CT'!$H$9),"x","")</f>
        <v/>
      </c>
      <c r="Z6360" s="79"/>
      <c r="AA6360" s="79" t="str">
        <f>IF(AND(MONTH(E6360)='IN-NX'!$J$5,'IN-NX'!$D$7=D6360),"x","")</f>
        <v/>
      </c>
      <c r="AB6360" s="79" t="str">
        <f>IF(AND(OR(LEFT(TH!N6360,2)="15",LEFT(TH!O6360,2)="15"),LEFT(TH!O6360,3)&lt;&gt;"111",'152-CT'!$J$8=TH!F6360),"x","")</f>
        <v/>
      </c>
      <c r="AC6360" s="79" t="str">
        <f>IF(AND(OR(LEFT(TH!N6360,2)="15",LEFT(TH!O6360,2)="15"),TK!$E$7=TH!F6360),"x","")</f>
        <v/>
      </c>
      <c r="AD6360" s="79" t="str">
        <f>IF(AND(N6360="1521",MONTH(C6360)='BK-NL'!$M$11),"x","")</f>
        <v/>
      </c>
    </row>
    <row r="6361" spans="1:30" ht="16.5" customHeight="1">
      <c r="A6361" s="318" t="str">
        <f>IF(B6361&lt;&gt;"",IF(AND(B6361='IN-TC'!$S$4,OR(TH!N6361="1111",TH!O6361="1111")),TH!D6361,""),"")</f>
        <v/>
      </c>
      <c r="B6361" s="1163" t="str">
        <f t="shared" si="520"/>
        <v/>
      </c>
      <c r="C6361" s="61"/>
      <c r="D6361" s="61"/>
      <c r="E6361" s="61"/>
      <c r="F6361" s="69"/>
      <c r="G6361" s="766"/>
      <c r="H6361" s="925"/>
      <c r="I6361" s="385"/>
      <c r="J6361" s="392"/>
      <c r="K6361" s="385"/>
      <c r="L6361" s="392"/>
      <c r="M6361" s="62"/>
      <c r="N6361" s="63"/>
      <c r="O6361" s="63"/>
      <c r="P6361" s="79" t="str">
        <f>IF(AND('331-CT'!$E$7=TH!H6361,OR(N6361="331",O6361="331")),"x","")</f>
        <v/>
      </c>
      <c r="Q6361" s="79" t="str">
        <f>IF(AND(B6361='111'!$L$11,OR($N6361=$Q$7,$O6361=$Q$7)),"x","")</f>
        <v/>
      </c>
      <c r="R6361" s="79" t="str">
        <f>IF(AND($N6361=$Q$7,$B6361&lt;'111'!$L$11),"x","")</f>
        <v/>
      </c>
      <c r="S6361" s="79" t="str">
        <f>IF(AND($O6361=$Q$7,$B6361&lt;'111'!$L$11),"x","")</f>
        <v/>
      </c>
      <c r="T6361" s="79" t="str">
        <f>IF(ISERROR(FIND('112'!$M$9,G6361,1)),"",IF((AND(FIND('112'!$M$9,G6361,1)&gt;=1,B6361='112'!$K$9,OR($N6361='112'!$I$6,$O6361='112'!$I$6))),"x",""))</f>
        <v/>
      </c>
      <c r="U6361" s="79" t="str">
        <f>IF(ISERROR(FIND('112'!$M$9,G6361,1)),"",IF((AND(LEFT(G6361,2)=LEFT('112'!$M$9,2),B6361&lt;'112'!$K$9,$N6361='112'!$I$6)),"x",""))</f>
        <v/>
      </c>
      <c r="V6361" s="79" t="str">
        <f>IF(ISERROR(FIND('112'!$M$9,G6361,1)),"",IF((AND(RIGHT(G6361,2)=RIGHT('112'!$M$9,2),B6361&lt;'112'!$K$9,$O6361='112'!$I$6)),"x",""))</f>
        <v/>
      </c>
      <c r="W6361" s="79" t="str">
        <f>IF(AND('341-CT'!$H$9=H6361,OR(LEFT(N6361,3)=$W$7,LEFT(O6361,3)=$W$7)),"x","")</f>
        <v/>
      </c>
      <c r="X6361" s="79" t="str">
        <f>IF(OR(TH!N6361=TH!$X$7,O6361=TH!$X$7),"x","")</f>
        <v/>
      </c>
      <c r="Y6361" s="79" t="str">
        <f>IF(AND(OR(N6361="131",O6361="131"),H6361='131-CT'!$H$9),"x","")</f>
        <v/>
      </c>
      <c r="Z6361" s="79"/>
      <c r="AA6361" s="79" t="str">
        <f>IF(AND(MONTH(E6361)='IN-NX'!$J$5,'IN-NX'!$D$7=D6361),"x","")</f>
        <v/>
      </c>
      <c r="AB6361" s="79" t="str">
        <f>IF(AND(OR(LEFT(TH!N6361,2)="15",LEFT(TH!O6361,2)="15"),LEFT(TH!O6361,3)&lt;&gt;"111",'152-CT'!$J$8=TH!F6361),"x","")</f>
        <v/>
      </c>
      <c r="AC6361" s="79" t="str">
        <f>IF(AND(OR(LEFT(TH!N6361,2)="15",LEFT(TH!O6361,2)="15"),TK!$E$7=TH!F6361),"x","")</f>
        <v/>
      </c>
      <c r="AD6361" s="79" t="str">
        <f>IF(AND(N6361="1521",MONTH(C6361)='BK-NL'!$M$11),"x","")</f>
        <v/>
      </c>
    </row>
    <row r="6362" spans="1:30" ht="16.5" customHeight="1">
      <c r="A6362" s="318" t="str">
        <f>IF(B6362&lt;&gt;"",IF(AND(B6362='IN-TC'!$S$4,OR(TH!N6362="1111",TH!O6362="1111")),TH!D6362,""),"")</f>
        <v/>
      </c>
      <c r="B6362" s="1163" t="str">
        <f t="shared" si="520"/>
        <v/>
      </c>
      <c r="C6362" s="61"/>
      <c r="D6362" s="61"/>
      <c r="E6362" s="61"/>
      <c r="F6362" s="69"/>
      <c r="G6362" s="766"/>
      <c r="H6362" s="925"/>
      <c r="I6362" s="385"/>
      <c r="J6362" s="392"/>
      <c r="K6362" s="385"/>
      <c r="L6362" s="392"/>
      <c r="M6362" s="62"/>
      <c r="N6362" s="63"/>
      <c r="O6362" s="63"/>
      <c r="P6362" s="79" t="str">
        <f>IF(AND('331-CT'!$E$7=TH!H6362,OR(N6362="331",O6362="331")),"x","")</f>
        <v/>
      </c>
      <c r="Q6362" s="79" t="str">
        <f>IF(AND(B6362='111'!$L$11,OR($N6362=$Q$7,$O6362=$Q$7)),"x","")</f>
        <v/>
      </c>
      <c r="R6362" s="79" t="str">
        <f>IF(AND($N6362=$Q$7,$B6362&lt;'111'!$L$11),"x","")</f>
        <v/>
      </c>
      <c r="S6362" s="79" t="str">
        <f>IF(AND($O6362=$Q$7,$B6362&lt;'111'!$L$11),"x","")</f>
        <v/>
      </c>
      <c r="T6362" s="79" t="str">
        <f>IF(ISERROR(FIND('112'!$M$9,G6362,1)),"",IF((AND(FIND('112'!$M$9,G6362,1)&gt;=1,B6362='112'!$K$9,OR($N6362='112'!$I$6,$O6362='112'!$I$6))),"x",""))</f>
        <v/>
      </c>
      <c r="U6362" s="79" t="str">
        <f>IF(ISERROR(FIND('112'!$M$9,G6362,1)),"",IF((AND(LEFT(G6362,2)=LEFT('112'!$M$9,2),B6362&lt;'112'!$K$9,$N6362='112'!$I$6)),"x",""))</f>
        <v/>
      </c>
      <c r="V6362" s="79" t="str">
        <f>IF(ISERROR(FIND('112'!$M$9,G6362,1)),"",IF((AND(RIGHT(G6362,2)=RIGHT('112'!$M$9,2),B6362&lt;'112'!$K$9,$O6362='112'!$I$6)),"x",""))</f>
        <v/>
      </c>
      <c r="W6362" s="79" t="str">
        <f>IF(AND('341-CT'!$H$9=H6362,OR(LEFT(N6362,3)=$W$7,LEFT(O6362,3)=$W$7)),"x","")</f>
        <v/>
      </c>
      <c r="X6362" s="79" t="str">
        <f>IF(OR(TH!N6362=TH!$X$7,O6362=TH!$X$7),"x","")</f>
        <v/>
      </c>
      <c r="Y6362" s="79" t="str">
        <f>IF(AND(OR(N6362="131",O6362="131"),H6362='131-CT'!$H$9),"x","")</f>
        <v/>
      </c>
      <c r="Z6362" s="79"/>
      <c r="AA6362" s="79" t="str">
        <f>IF(AND(MONTH(E6362)='IN-NX'!$J$5,'IN-NX'!$D$7=D6362),"x","")</f>
        <v/>
      </c>
      <c r="AB6362" s="79" t="str">
        <f>IF(AND(OR(LEFT(TH!N6362,2)="15",LEFT(TH!O6362,2)="15"),LEFT(TH!O6362,3)&lt;&gt;"111",'152-CT'!$J$8=TH!F6362),"x","")</f>
        <v/>
      </c>
      <c r="AC6362" s="79" t="str">
        <f>IF(AND(OR(LEFT(TH!N6362,2)="15",LEFT(TH!O6362,2)="15"),TK!$E$7=TH!F6362),"x","")</f>
        <v/>
      </c>
      <c r="AD6362" s="79" t="str">
        <f>IF(AND(N6362="1521",MONTH(C6362)='BK-NL'!$M$11),"x","")</f>
        <v/>
      </c>
    </row>
    <row r="6363" spans="1:30" ht="16.5" customHeight="1">
      <c r="A6363" s="318" t="str">
        <f>IF(B6363&lt;&gt;"",IF(AND(B6363='IN-TC'!$S$4,OR(TH!N6363="1111",TH!O6363="1111")),TH!D6363,""),"")</f>
        <v/>
      </c>
      <c r="B6363" s="1163" t="str">
        <f t="shared" si="520"/>
        <v/>
      </c>
      <c r="C6363" s="61"/>
      <c r="D6363" s="61"/>
      <c r="E6363" s="61"/>
      <c r="F6363" s="69"/>
      <c r="G6363" s="766"/>
      <c r="H6363" s="925"/>
      <c r="I6363" s="385"/>
      <c r="J6363" s="392"/>
      <c r="K6363" s="385"/>
      <c r="L6363" s="392"/>
      <c r="M6363" s="62"/>
      <c r="N6363" s="63"/>
      <c r="O6363" s="63"/>
      <c r="P6363" s="79" t="str">
        <f>IF(AND('331-CT'!$E$7=TH!H6363,OR(N6363="331",O6363="331")),"x","")</f>
        <v/>
      </c>
      <c r="Q6363" s="79" t="str">
        <f>IF(AND(B6363='111'!$L$11,OR($N6363=$Q$7,$O6363=$Q$7)),"x","")</f>
        <v/>
      </c>
      <c r="R6363" s="79" t="str">
        <f>IF(AND($N6363=$Q$7,$B6363&lt;'111'!$L$11),"x","")</f>
        <v/>
      </c>
      <c r="S6363" s="79" t="str">
        <f>IF(AND($O6363=$Q$7,$B6363&lt;'111'!$L$11),"x","")</f>
        <v/>
      </c>
      <c r="T6363" s="79" t="str">
        <f>IF(ISERROR(FIND('112'!$M$9,G6363,1)),"",IF((AND(FIND('112'!$M$9,G6363,1)&gt;=1,B6363='112'!$K$9,OR($N6363='112'!$I$6,$O6363='112'!$I$6))),"x",""))</f>
        <v/>
      </c>
      <c r="U6363" s="79" t="str">
        <f>IF(ISERROR(FIND('112'!$M$9,G6363,1)),"",IF((AND(LEFT(G6363,2)=LEFT('112'!$M$9,2),B6363&lt;'112'!$K$9,$N6363='112'!$I$6)),"x",""))</f>
        <v/>
      </c>
      <c r="V6363" s="79" t="str">
        <f>IF(ISERROR(FIND('112'!$M$9,G6363,1)),"",IF((AND(RIGHT(G6363,2)=RIGHT('112'!$M$9,2),B6363&lt;'112'!$K$9,$O6363='112'!$I$6)),"x",""))</f>
        <v/>
      </c>
      <c r="W6363" s="79" t="str">
        <f>IF(AND('341-CT'!$H$9=H6363,OR(LEFT(N6363,3)=$W$7,LEFT(O6363,3)=$W$7)),"x","")</f>
        <v/>
      </c>
      <c r="X6363" s="79" t="str">
        <f>IF(OR(TH!N6363=TH!$X$7,O6363=TH!$X$7),"x","")</f>
        <v/>
      </c>
      <c r="Y6363" s="79" t="str">
        <f>IF(AND(OR(N6363="131",O6363="131"),H6363='131-CT'!$H$9),"x","")</f>
        <v/>
      </c>
      <c r="Z6363" s="79"/>
      <c r="AA6363" s="79" t="str">
        <f>IF(AND(MONTH(E6363)='IN-NX'!$J$5,'IN-NX'!$D$7=D6363),"x","")</f>
        <v/>
      </c>
      <c r="AB6363" s="79" t="str">
        <f>IF(AND(OR(LEFT(TH!N6363,2)="15",LEFT(TH!O6363,2)="15"),LEFT(TH!O6363,3)&lt;&gt;"111",'152-CT'!$J$8=TH!F6363),"x","")</f>
        <v/>
      </c>
      <c r="AC6363" s="79" t="str">
        <f>IF(AND(OR(LEFT(TH!N6363,2)="15",LEFT(TH!O6363,2)="15"),TK!$E$7=TH!F6363),"x","")</f>
        <v/>
      </c>
      <c r="AD6363" s="79" t="str">
        <f>IF(AND(N6363="1521",MONTH(C6363)='BK-NL'!$M$11),"x","")</f>
        <v/>
      </c>
    </row>
    <row r="6364" spans="1:30" ht="16.5" customHeight="1">
      <c r="A6364" s="318" t="str">
        <f>IF(B6364&lt;&gt;"",IF(AND(B6364='IN-TC'!$S$4,OR(TH!N6364="1111",TH!O6364="1111")),TH!D6364,""),"")</f>
        <v/>
      </c>
      <c r="B6364" s="1163" t="str">
        <f t="shared" si="520"/>
        <v/>
      </c>
      <c r="C6364" s="61"/>
      <c r="D6364" s="301"/>
      <c r="E6364" s="61"/>
      <c r="F6364" s="69"/>
      <c r="G6364" s="766"/>
      <c r="H6364" s="69"/>
      <c r="I6364" s="385"/>
      <c r="J6364" s="392"/>
      <c r="K6364" s="385"/>
      <c r="L6364" s="392"/>
      <c r="M6364" s="62"/>
      <c r="N6364" s="63"/>
      <c r="O6364" s="63"/>
      <c r="P6364" s="79" t="str">
        <f>IF(AND('331-CT'!$E$7=TH!H6364,OR(N6364="331",O6364="331")),"x","")</f>
        <v/>
      </c>
      <c r="Q6364" s="79" t="str">
        <f>IF(AND(B6364='111'!$L$11,OR($N6364=$Q$7,$O6364=$Q$7)),"x","")</f>
        <v/>
      </c>
      <c r="R6364" s="79" t="str">
        <f>IF(AND($N6364=$Q$7,$B6364&lt;'111'!$L$11),"x","")</f>
        <v/>
      </c>
      <c r="S6364" s="79" t="str">
        <f>IF(AND($O6364=$Q$7,$B6364&lt;'111'!$L$11),"x","")</f>
        <v/>
      </c>
      <c r="T6364" s="79" t="str">
        <f>IF(ISERROR(FIND('112'!$M$9,G6364,1)),"",IF((AND(FIND('112'!$M$9,G6364,1)&gt;=1,B6364='112'!$K$9,OR($N6364='112'!$I$6,$O6364='112'!$I$6))),"x",""))</f>
        <v/>
      </c>
      <c r="U6364" s="79" t="str">
        <f>IF(ISERROR(FIND('112'!$M$9,G6364,1)),"",IF((AND(LEFT(G6364,2)=LEFT('112'!$M$9,2),B6364&lt;'112'!$K$9,$N6364='112'!$I$6)),"x",""))</f>
        <v/>
      </c>
      <c r="V6364" s="79" t="str">
        <f>IF(ISERROR(FIND('112'!$M$9,G6364,1)),"",IF((AND(RIGHT(G6364,2)=RIGHT('112'!$M$9,2),B6364&lt;'112'!$K$9,$O6364='112'!$I$6)),"x",""))</f>
        <v/>
      </c>
      <c r="W6364" s="79" t="str">
        <f>IF(AND('341-CT'!$H$9=H6364,OR(LEFT(N6364,3)=$W$7,LEFT(O6364,3)=$W$7)),"x","")</f>
        <v/>
      </c>
      <c r="X6364" s="79" t="str">
        <f>IF(OR(TH!N6364=TH!$X$7,O6364=TH!$X$7),"x","")</f>
        <v/>
      </c>
      <c r="Y6364" s="79" t="str">
        <f>IF(AND(OR(N6364="131",O6364="131"),H6364='131-CT'!$H$9),"x","")</f>
        <v/>
      </c>
      <c r="Z6364" s="79"/>
      <c r="AA6364" s="79" t="str">
        <f>IF(AND(MONTH(E6364)='IN-NX'!$J$5,'IN-NX'!$D$7=D6364),"x","")</f>
        <v/>
      </c>
      <c r="AB6364" s="79" t="str">
        <f>IF(AND(OR(LEFT(TH!N6364,2)="15",LEFT(TH!O6364,2)="15"),LEFT(TH!O6364,3)&lt;&gt;"111",'152-CT'!$J$8=TH!F6364),"x","")</f>
        <v/>
      </c>
      <c r="AC6364" s="79" t="str">
        <f>IF(AND(OR(LEFT(TH!N6364,2)="15",LEFT(TH!O6364,2)="15"),TK!$E$7=TH!F6364),"x","")</f>
        <v/>
      </c>
      <c r="AD6364" s="79" t="str">
        <f>IF(AND(N6364="1521",MONTH(C6364)='BK-NL'!$M$11),"x","")</f>
        <v/>
      </c>
    </row>
    <row r="6365" spans="1:30" ht="16.5" customHeight="1">
      <c r="A6365" s="318" t="str">
        <f>IF(B6365&lt;&gt;"",IF(AND(B6365='IN-TC'!$S$4,OR(TH!N6365="1111",TH!O6365="1111")),TH!D6365,""),"")</f>
        <v/>
      </c>
      <c r="B6365" s="1163" t="str">
        <f t="shared" si="520"/>
        <v/>
      </c>
      <c r="C6365" s="61"/>
      <c r="D6365" s="301"/>
      <c r="E6365" s="61"/>
      <c r="F6365" s="69"/>
      <c r="G6365" s="766"/>
      <c r="H6365" s="69"/>
      <c r="I6365" s="385"/>
      <c r="J6365" s="392"/>
      <c r="K6365" s="385"/>
      <c r="L6365" s="392"/>
      <c r="M6365" s="62"/>
      <c r="N6365" s="63"/>
      <c r="O6365" s="63"/>
      <c r="P6365" s="79" t="str">
        <f>IF(AND('331-CT'!$E$7=TH!H6365,OR(N6365="331",O6365="331")),"x","")</f>
        <v/>
      </c>
      <c r="Q6365" s="79" t="str">
        <f>IF(AND(B6365='111'!$L$11,OR($N6365=$Q$7,$O6365=$Q$7)),"x","")</f>
        <v/>
      </c>
      <c r="R6365" s="79" t="str">
        <f>IF(AND($N6365=$Q$7,$B6365&lt;'111'!$L$11),"x","")</f>
        <v/>
      </c>
      <c r="S6365" s="79" t="str">
        <f>IF(AND($O6365=$Q$7,$B6365&lt;'111'!$L$11),"x","")</f>
        <v/>
      </c>
      <c r="T6365" s="79" t="str">
        <f>IF(ISERROR(FIND('112'!$M$9,G6365,1)),"",IF((AND(FIND('112'!$M$9,G6365,1)&gt;=1,B6365='112'!$K$9,OR($N6365='112'!$I$6,$O6365='112'!$I$6))),"x",""))</f>
        <v/>
      </c>
      <c r="U6365" s="79" t="str">
        <f>IF(ISERROR(FIND('112'!$M$9,G6365,1)),"",IF((AND(LEFT(G6365,2)=LEFT('112'!$M$9,2),B6365&lt;'112'!$K$9,$N6365='112'!$I$6)),"x",""))</f>
        <v/>
      </c>
      <c r="V6365" s="79" t="str">
        <f>IF(ISERROR(FIND('112'!$M$9,G6365,1)),"",IF((AND(RIGHT(G6365,2)=RIGHT('112'!$M$9,2),B6365&lt;'112'!$K$9,$O6365='112'!$I$6)),"x",""))</f>
        <v/>
      </c>
      <c r="W6365" s="79" t="str">
        <f>IF(AND('341-CT'!$H$9=H6365,OR(LEFT(N6365,3)=$W$7,LEFT(O6365,3)=$W$7)),"x","")</f>
        <v/>
      </c>
      <c r="X6365" s="79" t="str">
        <f>IF(OR(TH!N6365=TH!$X$7,O6365=TH!$X$7),"x","")</f>
        <v/>
      </c>
      <c r="Y6365" s="79" t="str">
        <f>IF(AND(OR(N6365="131",O6365="131"),H6365='131-CT'!$H$9),"x","")</f>
        <v/>
      </c>
      <c r="Z6365" s="79"/>
      <c r="AA6365" s="79" t="str">
        <f>IF(AND(MONTH(E6365)='IN-NX'!$J$5,'IN-NX'!$D$7=D6365),"x","")</f>
        <v/>
      </c>
      <c r="AB6365" s="79" t="str">
        <f>IF(AND(OR(LEFT(TH!N6365,2)="15",LEFT(TH!O6365,2)="15"),LEFT(TH!O6365,3)&lt;&gt;"111",'152-CT'!$J$8=TH!F6365),"x","")</f>
        <v/>
      </c>
      <c r="AC6365" s="79" t="str">
        <f>IF(AND(OR(LEFT(TH!N6365,2)="15",LEFT(TH!O6365,2)="15"),TK!$E$7=TH!F6365),"x","")</f>
        <v/>
      </c>
      <c r="AD6365" s="79" t="str">
        <f>IF(AND(N6365="1521",MONTH(C6365)='BK-NL'!$M$11),"x","")</f>
        <v/>
      </c>
    </row>
    <row r="6366" spans="1:30" ht="16.5" customHeight="1">
      <c r="A6366" s="318" t="str">
        <f>IF(B6366&lt;&gt;"",IF(AND(B6366='IN-TC'!$S$4,OR(TH!N6366="1111",TH!O6366="1111")),TH!D6366,""),"")</f>
        <v/>
      </c>
      <c r="B6366" s="1163" t="str">
        <f t="shared" si="520"/>
        <v/>
      </c>
      <c r="C6366" s="61"/>
      <c r="D6366" s="301"/>
      <c r="E6366" s="61"/>
      <c r="F6366" s="69"/>
      <c r="G6366" s="766"/>
      <c r="H6366" s="69"/>
      <c r="I6366" s="385"/>
      <c r="J6366" s="392"/>
      <c r="K6366" s="385"/>
      <c r="L6366" s="392"/>
      <c r="M6366" s="62"/>
      <c r="N6366" s="63"/>
      <c r="O6366" s="63"/>
      <c r="P6366" s="79" t="str">
        <f>IF(AND('331-CT'!$E$7=TH!H6366,OR(N6366="331",O6366="331")),"x","")</f>
        <v/>
      </c>
      <c r="Q6366" s="79" t="str">
        <f>IF(AND(B6366='111'!$L$11,OR($N6366=$Q$7,$O6366=$Q$7)),"x","")</f>
        <v/>
      </c>
      <c r="R6366" s="79" t="str">
        <f>IF(AND($N6366=$Q$7,$B6366&lt;'111'!$L$11),"x","")</f>
        <v/>
      </c>
      <c r="S6366" s="79" t="str">
        <f>IF(AND($O6366=$Q$7,$B6366&lt;'111'!$L$11),"x","")</f>
        <v/>
      </c>
      <c r="T6366" s="79" t="str">
        <f>IF(ISERROR(FIND('112'!$M$9,G6366,1)),"",IF((AND(FIND('112'!$M$9,G6366,1)&gt;=1,B6366='112'!$K$9,OR($N6366='112'!$I$6,$O6366='112'!$I$6))),"x",""))</f>
        <v/>
      </c>
      <c r="U6366" s="79" t="str">
        <f>IF(ISERROR(FIND('112'!$M$9,G6366,1)),"",IF((AND(LEFT(G6366,2)=LEFT('112'!$M$9,2),B6366&lt;'112'!$K$9,$N6366='112'!$I$6)),"x",""))</f>
        <v/>
      </c>
      <c r="V6366" s="79" t="str">
        <f>IF(ISERROR(FIND('112'!$M$9,G6366,1)),"",IF((AND(RIGHT(G6366,2)=RIGHT('112'!$M$9,2),B6366&lt;'112'!$K$9,$O6366='112'!$I$6)),"x",""))</f>
        <v/>
      </c>
      <c r="W6366" s="79" t="str">
        <f>IF(AND('341-CT'!$H$9=H6366,OR(LEFT(N6366,3)=$W$7,LEFT(O6366,3)=$W$7)),"x","")</f>
        <v/>
      </c>
      <c r="X6366" s="79" t="str">
        <f>IF(OR(TH!N6366=TH!$X$7,O6366=TH!$X$7),"x","")</f>
        <v/>
      </c>
      <c r="Y6366" s="79" t="str">
        <f>IF(AND(OR(N6366="131",O6366="131"),H6366='131-CT'!$H$9),"x","")</f>
        <v/>
      </c>
      <c r="Z6366" s="79"/>
      <c r="AA6366" s="79" t="str">
        <f>IF(AND(MONTH(E6366)='IN-NX'!$J$5,'IN-NX'!$D$7=D6366),"x","")</f>
        <v/>
      </c>
      <c r="AB6366" s="79" t="str">
        <f>IF(AND(OR(LEFT(TH!N6366,2)="15",LEFT(TH!O6366,2)="15"),LEFT(TH!O6366,3)&lt;&gt;"111",'152-CT'!$J$8=TH!F6366),"x","")</f>
        <v/>
      </c>
      <c r="AC6366" s="79" t="str">
        <f>IF(AND(OR(LEFT(TH!N6366,2)="15",LEFT(TH!O6366,2)="15"),TK!$E$7=TH!F6366),"x","")</f>
        <v/>
      </c>
      <c r="AD6366" s="79" t="str">
        <f>IF(AND(N6366="1521",MONTH(C6366)='BK-NL'!$M$11),"x","")</f>
        <v/>
      </c>
    </row>
    <row r="6367" spans="1:30" ht="16.5" customHeight="1">
      <c r="A6367" s="318" t="str">
        <f>IF(B6367&lt;&gt;"",IF(AND(B6367='IN-TC'!$S$4,OR(TH!N6367="1111",TH!O6367="1111")),TH!D6367,""),"")</f>
        <v/>
      </c>
      <c r="B6367" s="1163" t="str">
        <f t="shared" si="520"/>
        <v/>
      </c>
      <c r="C6367" s="61"/>
      <c r="D6367" s="301"/>
      <c r="E6367" s="61"/>
      <c r="F6367" s="69"/>
      <c r="G6367" s="766"/>
      <c r="H6367" s="321"/>
      <c r="I6367" s="385"/>
      <c r="J6367" s="392"/>
      <c r="K6367" s="385"/>
      <c r="L6367" s="392"/>
      <c r="M6367" s="62"/>
      <c r="N6367" s="63"/>
      <c r="O6367" s="63"/>
      <c r="P6367" s="79" t="str">
        <f>IF(AND('331-CT'!$E$7=TH!H6367,OR(N6367="331",O6367="331")),"x","")</f>
        <v/>
      </c>
      <c r="Q6367" s="79" t="str">
        <f>IF(AND(B6367='111'!$L$11,OR($N6367=$Q$7,$O6367=$Q$7)),"x","")</f>
        <v/>
      </c>
      <c r="R6367" s="79" t="str">
        <f>IF(AND($N6367=$Q$7,$B6367&lt;'111'!$L$11),"x","")</f>
        <v/>
      </c>
      <c r="S6367" s="79" t="str">
        <f>IF(AND($O6367=$Q$7,$B6367&lt;'111'!$L$11),"x","")</f>
        <v/>
      </c>
      <c r="T6367" s="79" t="str">
        <f>IF(ISERROR(FIND('112'!$M$9,G6367,1)),"",IF((AND(FIND('112'!$M$9,G6367,1)&gt;=1,B6367='112'!$K$9,OR($N6367='112'!$I$6,$O6367='112'!$I$6))),"x",""))</f>
        <v/>
      </c>
      <c r="U6367" s="79" t="str">
        <f>IF(ISERROR(FIND('112'!$M$9,G6367,1)),"",IF((AND(LEFT(G6367,2)=LEFT('112'!$M$9,2),B6367&lt;'112'!$K$9,$N6367='112'!$I$6)),"x",""))</f>
        <v/>
      </c>
      <c r="V6367" s="79" t="str">
        <f>IF(ISERROR(FIND('112'!$M$9,G6367,1)),"",IF((AND(RIGHT(G6367,2)=RIGHT('112'!$M$9,2),B6367&lt;'112'!$K$9,$O6367='112'!$I$6)),"x",""))</f>
        <v/>
      </c>
      <c r="W6367" s="79" t="str">
        <f>IF(AND('341-CT'!$H$9=H6367,OR(LEFT(N6367,3)=$W$7,LEFT(O6367,3)=$W$7)),"x","")</f>
        <v/>
      </c>
      <c r="X6367" s="79" t="str">
        <f>IF(OR(TH!N6367=TH!$X$7,O6367=TH!$X$7),"x","")</f>
        <v/>
      </c>
      <c r="Y6367" s="79" t="str">
        <f>IF(AND(OR(N6367="131",O6367="131"),H6367='131-CT'!$H$9),"x","")</f>
        <v/>
      </c>
      <c r="Z6367" s="79"/>
      <c r="AA6367" s="79" t="str">
        <f>IF(AND(MONTH(E6367)='IN-NX'!$J$5,'IN-NX'!$D$7=D6367),"x","")</f>
        <v/>
      </c>
      <c r="AB6367" s="79" t="str">
        <f>IF(AND(OR(LEFT(TH!N6367,2)="15",LEFT(TH!O6367,2)="15"),LEFT(TH!O6367,3)&lt;&gt;"111",'152-CT'!$J$8=TH!F6367),"x","")</f>
        <v/>
      </c>
      <c r="AC6367" s="79" t="str">
        <f>IF(AND(OR(LEFT(TH!N6367,2)="15",LEFT(TH!O6367,2)="15"),TK!$E$7=TH!F6367),"x","")</f>
        <v/>
      </c>
      <c r="AD6367" s="79" t="str">
        <f>IF(AND(N6367="1521",MONTH(C6367)='BK-NL'!$M$11),"x","")</f>
        <v/>
      </c>
    </row>
    <row r="6368" spans="1:30" ht="16.5" customHeight="1">
      <c r="A6368" s="318" t="str">
        <f>IF(B6368&lt;&gt;"",IF(AND(B6368='IN-TC'!$S$4,OR(TH!N6368="1111",TH!O6368="1111")),TH!D6368,""),"")</f>
        <v/>
      </c>
      <c r="B6368" s="1163" t="str">
        <f t="shared" si="520"/>
        <v/>
      </c>
      <c r="C6368" s="61"/>
      <c r="D6368" s="301"/>
      <c r="E6368" s="61"/>
      <c r="F6368" s="69"/>
      <c r="G6368" s="766"/>
      <c r="H6368" s="321"/>
      <c r="I6368" s="385"/>
      <c r="J6368" s="392"/>
      <c r="K6368" s="385"/>
      <c r="L6368" s="392"/>
      <c r="M6368" s="62"/>
      <c r="N6368" s="63"/>
      <c r="O6368" s="63"/>
      <c r="P6368" s="79" t="str">
        <f>IF(AND('331-CT'!$E$7=TH!H6368,OR(N6368="331",O6368="331")),"x","")</f>
        <v/>
      </c>
      <c r="Q6368" s="79" t="str">
        <f>IF(AND(B6368='111'!$L$11,OR($N6368=$Q$7,$O6368=$Q$7)),"x","")</f>
        <v/>
      </c>
      <c r="R6368" s="79" t="str">
        <f>IF(AND($N6368=$Q$7,$B6368&lt;'111'!$L$11),"x","")</f>
        <v/>
      </c>
      <c r="S6368" s="79" t="str">
        <f>IF(AND($O6368=$Q$7,$B6368&lt;'111'!$L$11),"x","")</f>
        <v/>
      </c>
      <c r="T6368" s="79" t="str">
        <f>IF(ISERROR(FIND('112'!$M$9,G6368,1)),"",IF((AND(FIND('112'!$M$9,G6368,1)&gt;=1,B6368='112'!$K$9,OR($N6368='112'!$I$6,$O6368='112'!$I$6))),"x",""))</f>
        <v/>
      </c>
      <c r="U6368" s="79" t="str">
        <f>IF(ISERROR(FIND('112'!$M$9,G6368,1)),"",IF((AND(LEFT(G6368,2)=LEFT('112'!$M$9,2),B6368&lt;'112'!$K$9,$N6368='112'!$I$6)),"x",""))</f>
        <v/>
      </c>
      <c r="V6368" s="79" t="str">
        <f>IF(ISERROR(FIND('112'!$M$9,G6368,1)),"",IF((AND(RIGHT(G6368,2)=RIGHT('112'!$M$9,2),B6368&lt;'112'!$K$9,$O6368='112'!$I$6)),"x",""))</f>
        <v/>
      </c>
      <c r="W6368" s="79" t="str">
        <f>IF(AND('341-CT'!$H$9=H6368,OR(LEFT(N6368,3)=$W$7,LEFT(O6368,3)=$W$7)),"x","")</f>
        <v/>
      </c>
      <c r="X6368" s="79" t="str">
        <f>IF(OR(TH!N6368=TH!$X$7,O6368=TH!$X$7),"x","")</f>
        <v/>
      </c>
      <c r="Y6368" s="79" t="str">
        <f>IF(AND(OR(N6368="131",O6368="131"),H6368='131-CT'!$H$9),"x","")</f>
        <v/>
      </c>
      <c r="Z6368" s="79"/>
      <c r="AA6368" s="79" t="str">
        <f>IF(AND(MONTH(E6368)='IN-NX'!$J$5,'IN-NX'!$D$7=D6368),"x","")</f>
        <v/>
      </c>
      <c r="AB6368" s="79" t="str">
        <f>IF(AND(OR(LEFT(TH!N6368,2)="15",LEFT(TH!O6368,2)="15"),LEFT(TH!O6368,3)&lt;&gt;"111",'152-CT'!$J$8=TH!F6368),"x","")</f>
        <v/>
      </c>
      <c r="AC6368" s="79" t="str">
        <f>IF(AND(OR(LEFT(TH!N6368,2)="15",LEFT(TH!O6368,2)="15"),TK!$E$7=TH!F6368),"x","")</f>
        <v/>
      </c>
      <c r="AD6368" s="79" t="str">
        <f>IF(AND(N6368="1521",MONTH(C6368)='BK-NL'!$M$11),"x","")</f>
        <v/>
      </c>
    </row>
    <row r="6369" spans="1:30" ht="16.5" customHeight="1">
      <c r="A6369" s="318" t="str">
        <f>IF(B6369&lt;&gt;"",IF(AND(B6369='IN-TC'!$S$4,OR(TH!N6369="1111",TH!O6369="1111")),TH!D6369,""),"")</f>
        <v/>
      </c>
      <c r="B6369" s="1163" t="str">
        <f t="shared" si="520"/>
        <v/>
      </c>
      <c r="C6369" s="61"/>
      <c r="D6369" s="301"/>
      <c r="E6369" s="61"/>
      <c r="F6369" s="69"/>
      <c r="G6369" s="766"/>
      <c r="H6369" s="69"/>
      <c r="I6369" s="385"/>
      <c r="J6369" s="392"/>
      <c r="K6369" s="385"/>
      <c r="L6369" s="392"/>
      <c r="M6369" s="62"/>
      <c r="N6369" s="63"/>
      <c r="O6369" s="63"/>
      <c r="P6369" s="79" t="str">
        <f>IF(AND('331-CT'!$E$7=TH!H6369,OR(N6369="331",O6369="331")),"x","")</f>
        <v/>
      </c>
      <c r="Q6369" s="79" t="str">
        <f>IF(AND(B6369='111'!$L$11,OR($N6369=$Q$7,$O6369=$Q$7)),"x","")</f>
        <v/>
      </c>
      <c r="R6369" s="79" t="str">
        <f>IF(AND($N6369=$Q$7,$B6369&lt;'111'!$L$11),"x","")</f>
        <v/>
      </c>
      <c r="S6369" s="79" t="str">
        <f>IF(AND($O6369=$Q$7,$B6369&lt;'111'!$L$11),"x","")</f>
        <v/>
      </c>
      <c r="T6369" s="79" t="str">
        <f>IF(ISERROR(FIND('112'!$M$9,G6369,1)),"",IF((AND(FIND('112'!$M$9,G6369,1)&gt;=1,B6369='112'!$K$9,OR($N6369='112'!$I$6,$O6369='112'!$I$6))),"x",""))</f>
        <v/>
      </c>
      <c r="U6369" s="79" t="str">
        <f>IF(ISERROR(FIND('112'!$M$9,G6369,1)),"",IF((AND(LEFT(G6369,2)=LEFT('112'!$M$9,2),B6369&lt;'112'!$K$9,$N6369='112'!$I$6)),"x",""))</f>
        <v/>
      </c>
      <c r="V6369" s="79" t="str">
        <f>IF(ISERROR(FIND('112'!$M$9,G6369,1)),"",IF((AND(RIGHT(G6369,2)=RIGHT('112'!$M$9,2),B6369&lt;'112'!$K$9,$O6369='112'!$I$6)),"x",""))</f>
        <v/>
      </c>
      <c r="W6369" s="79" t="str">
        <f>IF(AND('341-CT'!$H$9=H6369,OR(LEFT(N6369,3)=$W$7,LEFT(O6369,3)=$W$7)),"x","")</f>
        <v/>
      </c>
      <c r="X6369" s="79" t="str">
        <f>IF(OR(TH!N6369=TH!$X$7,O6369=TH!$X$7),"x","")</f>
        <v/>
      </c>
      <c r="Y6369" s="79" t="str">
        <f>IF(AND(OR(N6369="131",O6369="131"),H6369='131-CT'!$H$9),"x","")</f>
        <v/>
      </c>
      <c r="Z6369" s="79"/>
      <c r="AA6369" s="79" t="str">
        <f>IF(AND(MONTH(E6369)='IN-NX'!$J$5,'IN-NX'!$D$7=D6369),"x","")</f>
        <v/>
      </c>
      <c r="AB6369" s="79" t="str">
        <f>IF(AND(OR(LEFT(TH!N6369,2)="15",LEFT(TH!O6369,2)="15"),LEFT(TH!O6369,3)&lt;&gt;"111",'152-CT'!$J$8=TH!F6369),"x","")</f>
        <v/>
      </c>
      <c r="AC6369" s="79" t="str">
        <f>IF(AND(OR(LEFT(TH!N6369,2)="15",LEFT(TH!O6369,2)="15"),TK!$E$7=TH!F6369),"x","")</f>
        <v/>
      </c>
      <c r="AD6369" s="79" t="str">
        <f>IF(AND(N6369="1521",MONTH(C6369)='BK-NL'!$M$11),"x","")</f>
        <v/>
      </c>
    </row>
    <row r="6370" spans="1:30" ht="16.5" customHeight="1">
      <c r="A6370" s="318" t="str">
        <f>IF(B6370&lt;&gt;"",IF(AND(B6370='IN-TC'!$S$4,OR(TH!N6370="1111",TH!O6370="1111")),TH!D6370,""),"")</f>
        <v/>
      </c>
      <c r="B6370" s="1163" t="str">
        <f t="shared" si="520"/>
        <v/>
      </c>
      <c r="C6370" s="61"/>
      <c r="D6370" s="301"/>
      <c r="E6370" s="61"/>
      <c r="F6370" s="69"/>
      <c r="G6370" s="766"/>
      <c r="H6370" s="69"/>
      <c r="I6370" s="385"/>
      <c r="J6370" s="392"/>
      <c r="K6370" s="385"/>
      <c r="L6370" s="392"/>
      <c r="M6370" s="62"/>
      <c r="N6370" s="63"/>
      <c r="O6370" s="63"/>
      <c r="P6370" s="79" t="str">
        <f>IF(AND('331-CT'!$E$7=TH!H6370,OR(N6370="331",O6370="331")),"x","")</f>
        <v/>
      </c>
      <c r="Q6370" s="79" t="str">
        <f>IF(AND(B6370='111'!$L$11,OR($N6370=$Q$7,$O6370=$Q$7)),"x","")</f>
        <v/>
      </c>
      <c r="R6370" s="79" t="str">
        <f>IF(AND($N6370=$Q$7,$B6370&lt;'111'!$L$11),"x","")</f>
        <v/>
      </c>
      <c r="S6370" s="79" t="str">
        <f>IF(AND($O6370=$Q$7,$B6370&lt;'111'!$L$11),"x","")</f>
        <v/>
      </c>
      <c r="T6370" s="79" t="str">
        <f>IF(ISERROR(FIND('112'!$M$9,G6370,1)),"",IF((AND(FIND('112'!$M$9,G6370,1)&gt;=1,B6370='112'!$K$9,OR($N6370='112'!$I$6,$O6370='112'!$I$6))),"x",""))</f>
        <v/>
      </c>
      <c r="U6370" s="79" t="str">
        <f>IF(ISERROR(FIND('112'!$M$9,G6370,1)),"",IF((AND(LEFT(G6370,2)=LEFT('112'!$M$9,2),B6370&lt;'112'!$K$9,$N6370='112'!$I$6)),"x",""))</f>
        <v/>
      </c>
      <c r="V6370" s="79" t="str">
        <f>IF(ISERROR(FIND('112'!$M$9,G6370,1)),"",IF((AND(RIGHT(G6370,2)=RIGHT('112'!$M$9,2),B6370&lt;'112'!$K$9,$O6370='112'!$I$6)),"x",""))</f>
        <v/>
      </c>
      <c r="W6370" s="79" t="str">
        <f>IF(AND('341-CT'!$H$9=H6370,OR(LEFT(N6370,3)=$W$7,LEFT(O6370,3)=$W$7)),"x","")</f>
        <v/>
      </c>
      <c r="X6370" s="79" t="str">
        <f>IF(OR(TH!N6370=TH!$X$7,O6370=TH!$X$7),"x","")</f>
        <v/>
      </c>
      <c r="Y6370" s="79" t="str">
        <f>IF(AND(OR(N6370="131",O6370="131"),H6370='131-CT'!$H$9),"x","")</f>
        <v/>
      </c>
      <c r="Z6370" s="79"/>
      <c r="AA6370" s="79" t="str">
        <f>IF(AND(MONTH(E6370)='IN-NX'!$J$5,'IN-NX'!$D$7=D6370),"x","")</f>
        <v/>
      </c>
      <c r="AB6370" s="79" t="str">
        <f>IF(AND(OR(LEFT(TH!N6370,2)="15",LEFT(TH!O6370,2)="15"),LEFT(TH!O6370,3)&lt;&gt;"111",'152-CT'!$J$8=TH!F6370),"x","")</f>
        <v/>
      </c>
      <c r="AC6370" s="79" t="str">
        <f>IF(AND(OR(LEFT(TH!N6370,2)="15",LEFT(TH!O6370,2)="15"),TK!$E$7=TH!F6370),"x","")</f>
        <v/>
      </c>
      <c r="AD6370" s="79" t="str">
        <f>IF(AND(N6370="1521",MONTH(C6370)='BK-NL'!$M$11),"x","")</f>
        <v/>
      </c>
    </row>
    <row r="6371" spans="1:30" ht="16.5" customHeight="1">
      <c r="A6371" s="318" t="str">
        <f>IF(B6371&lt;&gt;"",IF(AND(B6371='IN-TC'!$S$4,OR(TH!N6371="1111",TH!O6371="1111")),TH!D6371,""),"")</f>
        <v/>
      </c>
      <c r="B6371" s="1163" t="str">
        <f t="shared" si="520"/>
        <v/>
      </c>
      <c r="C6371" s="61"/>
      <c r="D6371" s="301"/>
      <c r="E6371" s="61"/>
      <c r="F6371" s="69"/>
      <c r="G6371" s="766"/>
      <c r="H6371" s="321"/>
      <c r="I6371" s="385"/>
      <c r="J6371" s="392"/>
      <c r="K6371" s="385"/>
      <c r="L6371" s="392"/>
      <c r="M6371" s="62"/>
      <c r="N6371" s="63"/>
      <c r="O6371" s="63"/>
      <c r="P6371" s="79" t="str">
        <f>IF(AND('331-CT'!$E$7=TH!H6371,OR(N6371="331",O6371="331")),"x","")</f>
        <v/>
      </c>
      <c r="Q6371" s="79" t="str">
        <f>IF(AND(B6371='111'!$L$11,OR($N6371=$Q$7,$O6371=$Q$7)),"x","")</f>
        <v/>
      </c>
      <c r="R6371" s="79" t="str">
        <f>IF(AND($N6371=$Q$7,$B6371&lt;'111'!$L$11),"x","")</f>
        <v/>
      </c>
      <c r="S6371" s="79" t="str">
        <f>IF(AND($O6371=$Q$7,$B6371&lt;'111'!$L$11),"x","")</f>
        <v/>
      </c>
      <c r="T6371" s="79" t="str">
        <f>IF(ISERROR(FIND('112'!$M$9,G6371,1)),"",IF((AND(FIND('112'!$M$9,G6371,1)&gt;=1,B6371='112'!$K$9,OR($N6371='112'!$I$6,$O6371='112'!$I$6))),"x",""))</f>
        <v/>
      </c>
      <c r="U6371" s="79" t="str">
        <f>IF(ISERROR(FIND('112'!$M$9,G6371,1)),"",IF((AND(LEFT(G6371,2)=LEFT('112'!$M$9,2),B6371&lt;'112'!$K$9,$N6371='112'!$I$6)),"x",""))</f>
        <v/>
      </c>
      <c r="V6371" s="79" t="str">
        <f>IF(ISERROR(FIND('112'!$M$9,G6371,1)),"",IF((AND(RIGHT(G6371,2)=RIGHT('112'!$M$9,2),B6371&lt;'112'!$K$9,$O6371='112'!$I$6)),"x",""))</f>
        <v/>
      </c>
      <c r="W6371" s="79" t="str">
        <f>IF(AND('341-CT'!$H$9=H6371,OR(LEFT(N6371,3)=$W$7,LEFT(O6371,3)=$W$7)),"x","")</f>
        <v/>
      </c>
      <c r="X6371" s="79" t="str">
        <f>IF(OR(TH!N6371=TH!$X$7,O6371=TH!$X$7),"x","")</f>
        <v/>
      </c>
      <c r="Y6371" s="79" t="str">
        <f>IF(AND(OR(N6371="131",O6371="131"),H6371='131-CT'!$H$9),"x","")</f>
        <v/>
      </c>
      <c r="Z6371" s="79"/>
      <c r="AA6371" s="79" t="str">
        <f>IF(AND(MONTH(E6371)='IN-NX'!$J$5,'IN-NX'!$D$7=D6371),"x","")</f>
        <v/>
      </c>
      <c r="AB6371" s="79" t="str">
        <f>IF(AND(OR(LEFT(TH!N6371,2)="15",LEFT(TH!O6371,2)="15"),LEFT(TH!O6371,3)&lt;&gt;"111",'152-CT'!$J$8=TH!F6371),"x","")</f>
        <v/>
      </c>
      <c r="AC6371" s="79" t="str">
        <f>IF(AND(OR(LEFT(TH!N6371,2)="15",LEFT(TH!O6371,2)="15"),TK!$E$7=TH!F6371),"x","")</f>
        <v/>
      </c>
      <c r="AD6371" s="79" t="str">
        <f>IF(AND(N6371="1521",MONTH(C6371)='BK-NL'!$M$11),"x","")</f>
        <v/>
      </c>
    </row>
    <row r="6372" spans="1:30" ht="16.5" customHeight="1">
      <c r="A6372" s="318" t="str">
        <f>IF(B6372&lt;&gt;"",IF(AND(B6372='IN-TC'!$S$4,OR(TH!N6372="1111",TH!O6372="1111")),TH!D6372,""),"")</f>
        <v/>
      </c>
      <c r="B6372" s="1163" t="str">
        <f t="shared" si="520"/>
        <v/>
      </c>
      <c r="C6372" s="61"/>
      <c r="D6372" s="301"/>
      <c r="E6372" s="61"/>
      <c r="F6372" s="69"/>
      <c r="G6372" s="766"/>
      <c r="H6372" s="321"/>
      <c r="I6372" s="385"/>
      <c r="J6372" s="392"/>
      <c r="K6372" s="385"/>
      <c r="L6372" s="392"/>
      <c r="M6372" s="62"/>
      <c r="N6372" s="63"/>
      <c r="O6372" s="63"/>
      <c r="P6372" s="79" t="str">
        <f>IF(AND('331-CT'!$E$7=TH!H6372,OR(N6372="331",O6372="331")),"x","")</f>
        <v/>
      </c>
      <c r="Q6372" s="79" t="str">
        <f>IF(AND(B6372='111'!$L$11,OR($N6372=$Q$7,$O6372=$Q$7)),"x","")</f>
        <v/>
      </c>
      <c r="R6372" s="79" t="str">
        <f>IF(AND($N6372=$Q$7,$B6372&lt;'111'!$L$11),"x","")</f>
        <v/>
      </c>
      <c r="S6372" s="79" t="str">
        <f>IF(AND($O6372=$Q$7,$B6372&lt;'111'!$L$11),"x","")</f>
        <v/>
      </c>
      <c r="T6372" s="79" t="str">
        <f>IF(ISERROR(FIND('112'!$M$9,G6372,1)),"",IF((AND(FIND('112'!$M$9,G6372,1)&gt;=1,B6372='112'!$K$9,OR($N6372='112'!$I$6,$O6372='112'!$I$6))),"x",""))</f>
        <v/>
      </c>
      <c r="U6372" s="79" t="str">
        <f>IF(ISERROR(FIND('112'!$M$9,G6372,1)),"",IF((AND(LEFT(G6372,2)=LEFT('112'!$M$9,2),B6372&lt;'112'!$K$9,$N6372='112'!$I$6)),"x",""))</f>
        <v/>
      </c>
      <c r="V6372" s="79" t="str">
        <f>IF(ISERROR(FIND('112'!$M$9,G6372,1)),"",IF((AND(RIGHT(G6372,2)=RIGHT('112'!$M$9,2),B6372&lt;'112'!$K$9,$O6372='112'!$I$6)),"x",""))</f>
        <v/>
      </c>
      <c r="W6372" s="79" t="str">
        <f>IF(AND('341-CT'!$H$9=H6372,OR(LEFT(N6372,3)=$W$7,LEFT(O6372,3)=$W$7)),"x","")</f>
        <v/>
      </c>
      <c r="X6372" s="79" t="str">
        <f>IF(OR(TH!N6372=TH!$X$7,O6372=TH!$X$7),"x","")</f>
        <v/>
      </c>
      <c r="Y6372" s="79" t="str">
        <f>IF(AND(OR(N6372="131",O6372="131"),H6372='131-CT'!$H$9),"x","")</f>
        <v/>
      </c>
      <c r="Z6372" s="79"/>
      <c r="AA6372" s="79" t="str">
        <f>IF(AND(MONTH(E6372)='IN-NX'!$J$5,'IN-NX'!$D$7=D6372),"x","")</f>
        <v/>
      </c>
      <c r="AB6372" s="79" t="str">
        <f>IF(AND(OR(LEFT(TH!N6372,2)="15",LEFT(TH!O6372,2)="15"),LEFT(TH!O6372,3)&lt;&gt;"111",'152-CT'!$J$8=TH!F6372),"x","")</f>
        <v/>
      </c>
      <c r="AC6372" s="79" t="str">
        <f>IF(AND(OR(LEFT(TH!N6372,2)="15",LEFT(TH!O6372,2)="15"),TK!$E$7=TH!F6372),"x","")</f>
        <v/>
      </c>
      <c r="AD6372" s="79" t="str">
        <f>IF(AND(N6372="1521",MONTH(C6372)='BK-NL'!$M$11),"x","")</f>
        <v/>
      </c>
    </row>
    <row r="6373" spans="1:30" ht="16.5" customHeight="1">
      <c r="A6373" s="318" t="str">
        <f>IF(B6373&lt;&gt;"",IF(AND(B6373='IN-TC'!$S$4,OR(TH!N6373="1111",TH!O6373="1111")),TH!D6373,""),"")</f>
        <v/>
      </c>
      <c r="B6373" s="1163" t="str">
        <f t="shared" si="520"/>
        <v/>
      </c>
      <c r="C6373" s="61"/>
      <c r="D6373" s="301"/>
      <c r="E6373" s="61"/>
      <c r="F6373" s="69"/>
      <c r="G6373" s="766"/>
      <c r="H6373" s="69"/>
      <c r="I6373" s="385"/>
      <c r="J6373" s="392"/>
      <c r="K6373" s="385"/>
      <c r="L6373" s="392"/>
      <c r="M6373" s="62"/>
      <c r="N6373" s="63"/>
      <c r="O6373" s="63"/>
      <c r="P6373" s="79" t="str">
        <f>IF(AND('331-CT'!$E$7=TH!H6373,OR(N6373="331",O6373="331")),"x","")</f>
        <v/>
      </c>
      <c r="Q6373" s="79" t="str">
        <f>IF(AND(B6373='111'!$L$11,OR($N6373=$Q$7,$O6373=$Q$7)),"x","")</f>
        <v/>
      </c>
      <c r="R6373" s="79" t="str">
        <f>IF(AND($N6373=$Q$7,$B6373&lt;'111'!$L$11),"x","")</f>
        <v/>
      </c>
      <c r="S6373" s="79" t="str">
        <f>IF(AND($O6373=$Q$7,$B6373&lt;'111'!$L$11),"x","")</f>
        <v/>
      </c>
      <c r="T6373" s="79" t="str">
        <f>IF(ISERROR(FIND('112'!$M$9,G6373,1)),"",IF((AND(FIND('112'!$M$9,G6373,1)&gt;=1,B6373='112'!$K$9,OR($N6373='112'!$I$6,$O6373='112'!$I$6))),"x",""))</f>
        <v/>
      </c>
      <c r="U6373" s="79" t="str">
        <f>IF(ISERROR(FIND('112'!$M$9,G6373,1)),"",IF((AND(LEFT(G6373,2)=LEFT('112'!$M$9,2),B6373&lt;'112'!$K$9,$N6373='112'!$I$6)),"x",""))</f>
        <v/>
      </c>
      <c r="V6373" s="79" t="str">
        <f>IF(ISERROR(FIND('112'!$M$9,G6373,1)),"",IF((AND(RIGHT(G6373,2)=RIGHT('112'!$M$9,2),B6373&lt;'112'!$K$9,$O6373='112'!$I$6)),"x",""))</f>
        <v/>
      </c>
      <c r="W6373" s="79" t="str">
        <f>IF(AND('341-CT'!$H$9=H6373,OR(LEFT(N6373,3)=$W$7,LEFT(O6373,3)=$W$7)),"x","")</f>
        <v/>
      </c>
      <c r="X6373" s="79" t="str">
        <f>IF(OR(TH!N6373=TH!$X$7,O6373=TH!$X$7),"x","")</f>
        <v/>
      </c>
      <c r="Y6373" s="79" t="str">
        <f>IF(AND(OR(N6373="131",O6373="131"),H6373='131-CT'!$H$9),"x","")</f>
        <v/>
      </c>
      <c r="Z6373" s="79"/>
      <c r="AA6373" s="79" t="str">
        <f>IF(AND(MONTH(E6373)='IN-NX'!$J$5,'IN-NX'!$D$7=D6373),"x","")</f>
        <v/>
      </c>
      <c r="AB6373" s="79" t="str">
        <f>IF(AND(OR(LEFT(TH!N6373,2)="15",LEFT(TH!O6373,2)="15"),LEFT(TH!O6373,3)&lt;&gt;"111",'152-CT'!$J$8=TH!F6373),"x","")</f>
        <v/>
      </c>
      <c r="AC6373" s="79" t="str">
        <f>IF(AND(OR(LEFT(TH!N6373,2)="15",LEFT(TH!O6373,2)="15"),TK!$E$7=TH!F6373),"x","")</f>
        <v/>
      </c>
      <c r="AD6373" s="79" t="str">
        <f>IF(AND(N6373="1521",MONTH(C6373)='BK-NL'!$M$11),"x","")</f>
        <v/>
      </c>
    </row>
    <row r="6374" spans="1:30" ht="16.5" customHeight="1">
      <c r="A6374" s="318" t="str">
        <f>IF(B6374&lt;&gt;"",IF(AND(B6374='IN-TC'!$S$4,OR(TH!N6374="1111",TH!O6374="1111")),TH!D6374,""),"")</f>
        <v/>
      </c>
      <c r="B6374" s="1163" t="str">
        <f t="shared" si="520"/>
        <v/>
      </c>
      <c r="C6374" s="61"/>
      <c r="D6374" s="301"/>
      <c r="E6374" s="61"/>
      <c r="F6374" s="69"/>
      <c r="G6374" s="766"/>
      <c r="H6374" s="69"/>
      <c r="I6374" s="385"/>
      <c r="J6374" s="392"/>
      <c r="K6374" s="385"/>
      <c r="L6374" s="392"/>
      <c r="M6374" s="62"/>
      <c r="N6374" s="63"/>
      <c r="O6374" s="63"/>
      <c r="P6374" s="79" t="str">
        <f>IF(AND('331-CT'!$E$7=TH!H6374,OR(N6374="331",O6374="331")),"x","")</f>
        <v/>
      </c>
      <c r="Q6374" s="79" t="str">
        <f>IF(AND(B6374='111'!$L$11,OR($N6374=$Q$7,$O6374=$Q$7)),"x","")</f>
        <v/>
      </c>
      <c r="R6374" s="79" t="str">
        <f>IF(AND($N6374=$Q$7,$B6374&lt;'111'!$L$11),"x","")</f>
        <v/>
      </c>
      <c r="S6374" s="79" t="str">
        <f>IF(AND($O6374=$Q$7,$B6374&lt;'111'!$L$11),"x","")</f>
        <v/>
      </c>
      <c r="T6374" s="79" t="str">
        <f>IF(ISERROR(FIND('112'!$M$9,G6374,1)),"",IF((AND(FIND('112'!$M$9,G6374,1)&gt;=1,B6374='112'!$K$9,OR($N6374='112'!$I$6,$O6374='112'!$I$6))),"x",""))</f>
        <v/>
      </c>
      <c r="U6374" s="79" t="str">
        <f>IF(ISERROR(FIND('112'!$M$9,G6374,1)),"",IF((AND(LEFT(G6374,2)=LEFT('112'!$M$9,2),B6374&lt;'112'!$K$9,$N6374='112'!$I$6)),"x",""))</f>
        <v/>
      </c>
      <c r="V6374" s="79" t="str">
        <f>IF(ISERROR(FIND('112'!$M$9,G6374,1)),"",IF((AND(RIGHT(G6374,2)=RIGHT('112'!$M$9,2),B6374&lt;'112'!$K$9,$O6374='112'!$I$6)),"x",""))</f>
        <v/>
      </c>
      <c r="W6374" s="79" t="str">
        <f>IF(AND('341-CT'!$H$9=H6374,OR(LEFT(N6374,3)=$W$7,LEFT(O6374,3)=$W$7)),"x","")</f>
        <v/>
      </c>
      <c r="X6374" s="79" t="str">
        <f>IF(OR(TH!N6374=TH!$X$7,O6374=TH!$X$7),"x","")</f>
        <v/>
      </c>
      <c r="Y6374" s="79" t="str">
        <f>IF(AND(OR(N6374="131",O6374="131"),H6374='131-CT'!$H$9),"x","")</f>
        <v/>
      </c>
      <c r="Z6374" s="79"/>
      <c r="AA6374" s="79" t="str">
        <f>IF(AND(MONTH(E6374)='IN-NX'!$J$5,'IN-NX'!$D$7=D6374),"x","")</f>
        <v/>
      </c>
      <c r="AB6374" s="79" t="str">
        <f>IF(AND(OR(LEFT(TH!N6374,2)="15",LEFT(TH!O6374,2)="15"),LEFT(TH!O6374,3)&lt;&gt;"111",'152-CT'!$J$8=TH!F6374),"x","")</f>
        <v/>
      </c>
      <c r="AC6374" s="79" t="str">
        <f>IF(AND(OR(LEFT(TH!N6374,2)="15",LEFT(TH!O6374,2)="15"),TK!$E$7=TH!F6374),"x","")</f>
        <v/>
      </c>
      <c r="AD6374" s="79" t="str">
        <f>IF(AND(N6374="1521",MONTH(C6374)='BK-NL'!$M$11),"x","")</f>
        <v/>
      </c>
    </row>
    <row r="6375" spans="1:30" ht="16.5" customHeight="1">
      <c r="A6375" s="318" t="str">
        <f>IF(B6375&lt;&gt;"",IF(AND(B6375='IN-TC'!$S$4,OR(TH!N6375="1111",TH!O6375="1111")),TH!D6375,""),"")</f>
        <v/>
      </c>
      <c r="B6375" s="1163" t="str">
        <f t="shared" si="520"/>
        <v/>
      </c>
      <c r="C6375" s="61"/>
      <c r="D6375" s="301"/>
      <c r="E6375" s="61"/>
      <c r="F6375" s="69"/>
      <c r="G6375" s="766"/>
      <c r="H6375" s="69"/>
      <c r="I6375" s="385"/>
      <c r="J6375" s="392"/>
      <c r="K6375" s="385"/>
      <c r="L6375" s="392"/>
      <c r="M6375" s="62"/>
      <c r="N6375" s="63"/>
      <c r="O6375" s="63"/>
      <c r="P6375" s="79" t="str">
        <f>IF(AND('331-CT'!$E$7=TH!H6375,OR(N6375="331",O6375="331")),"x","")</f>
        <v/>
      </c>
      <c r="Q6375" s="79" t="str">
        <f>IF(AND(B6375='111'!$L$11,OR($N6375=$Q$7,$O6375=$Q$7)),"x","")</f>
        <v/>
      </c>
      <c r="R6375" s="79" t="str">
        <f>IF(AND($N6375=$Q$7,$B6375&lt;'111'!$L$11),"x","")</f>
        <v/>
      </c>
      <c r="S6375" s="79" t="str">
        <f>IF(AND($O6375=$Q$7,$B6375&lt;'111'!$L$11),"x","")</f>
        <v/>
      </c>
      <c r="T6375" s="79" t="str">
        <f>IF(ISERROR(FIND('112'!$M$9,G6375,1)),"",IF((AND(FIND('112'!$M$9,G6375,1)&gt;=1,B6375='112'!$K$9,OR($N6375='112'!$I$6,$O6375='112'!$I$6))),"x",""))</f>
        <v/>
      </c>
      <c r="U6375" s="79" t="str">
        <f>IF(ISERROR(FIND('112'!$M$9,G6375,1)),"",IF((AND(LEFT(G6375,2)=LEFT('112'!$M$9,2),B6375&lt;'112'!$K$9,$N6375='112'!$I$6)),"x",""))</f>
        <v/>
      </c>
      <c r="V6375" s="79" t="str">
        <f>IF(ISERROR(FIND('112'!$M$9,G6375,1)),"",IF((AND(RIGHT(G6375,2)=RIGHT('112'!$M$9,2),B6375&lt;'112'!$K$9,$O6375='112'!$I$6)),"x",""))</f>
        <v/>
      </c>
      <c r="W6375" s="79" t="str">
        <f>IF(AND('341-CT'!$H$9=H6375,OR(LEFT(N6375,3)=$W$7,LEFT(O6375,3)=$W$7)),"x","")</f>
        <v/>
      </c>
      <c r="X6375" s="79" t="str">
        <f>IF(OR(TH!N6375=TH!$X$7,O6375=TH!$X$7),"x","")</f>
        <v/>
      </c>
      <c r="Y6375" s="79" t="str">
        <f>IF(AND(OR(N6375="131",O6375="131"),H6375='131-CT'!$H$9),"x","")</f>
        <v/>
      </c>
      <c r="Z6375" s="79"/>
      <c r="AA6375" s="79" t="str">
        <f>IF(AND(MONTH(E6375)='IN-NX'!$J$5,'IN-NX'!$D$7=D6375),"x","")</f>
        <v/>
      </c>
      <c r="AB6375" s="79" t="str">
        <f>IF(AND(OR(LEFT(TH!N6375,2)="15",LEFT(TH!O6375,2)="15"),LEFT(TH!O6375,3)&lt;&gt;"111",'152-CT'!$J$8=TH!F6375),"x","")</f>
        <v/>
      </c>
      <c r="AC6375" s="79" t="str">
        <f>IF(AND(OR(LEFT(TH!N6375,2)="15",LEFT(TH!O6375,2)="15"),TK!$E$7=TH!F6375),"x","")</f>
        <v/>
      </c>
      <c r="AD6375" s="79" t="str">
        <f>IF(AND(N6375="1521",MONTH(C6375)='BK-NL'!$M$11),"x","")</f>
        <v/>
      </c>
    </row>
    <row r="6376" spans="1:30" ht="16.5" customHeight="1">
      <c r="A6376" s="318" t="str">
        <f>IF(B6376&lt;&gt;"",IF(AND(B6376='IN-TC'!$S$4,OR(TH!N6376="1111",TH!O6376="1111")),TH!D6376,""),"")</f>
        <v/>
      </c>
      <c r="B6376" s="1163" t="str">
        <f t="shared" si="520"/>
        <v/>
      </c>
      <c r="C6376" s="61"/>
      <c r="D6376" s="301"/>
      <c r="E6376" s="61"/>
      <c r="F6376" s="69"/>
      <c r="G6376" s="766"/>
      <c r="H6376" s="69"/>
      <c r="I6376" s="385"/>
      <c r="J6376" s="392"/>
      <c r="K6376" s="385"/>
      <c r="L6376" s="392"/>
      <c r="M6376" s="62"/>
      <c r="N6376" s="63"/>
      <c r="O6376" s="63"/>
      <c r="P6376" s="79" t="str">
        <f>IF(AND('331-CT'!$E$7=TH!H6376,OR(N6376="331",O6376="331")),"x","")</f>
        <v/>
      </c>
      <c r="Q6376" s="79" t="str">
        <f>IF(AND(B6376='111'!$L$11,OR($N6376=$Q$7,$O6376=$Q$7)),"x","")</f>
        <v/>
      </c>
      <c r="R6376" s="79" t="str">
        <f>IF(AND($N6376=$Q$7,$B6376&lt;'111'!$L$11),"x","")</f>
        <v/>
      </c>
      <c r="S6376" s="79" t="str">
        <f>IF(AND($O6376=$Q$7,$B6376&lt;'111'!$L$11),"x","")</f>
        <v/>
      </c>
      <c r="T6376" s="79" t="str">
        <f>IF(ISERROR(FIND('112'!$M$9,G6376,1)),"",IF((AND(FIND('112'!$M$9,G6376,1)&gt;=1,B6376='112'!$K$9,OR($N6376='112'!$I$6,$O6376='112'!$I$6))),"x",""))</f>
        <v/>
      </c>
      <c r="U6376" s="79" t="str">
        <f>IF(ISERROR(FIND('112'!$M$9,G6376,1)),"",IF((AND(LEFT(G6376,2)=LEFT('112'!$M$9,2),B6376&lt;'112'!$K$9,$N6376='112'!$I$6)),"x",""))</f>
        <v/>
      </c>
      <c r="V6376" s="79" t="str">
        <f>IF(ISERROR(FIND('112'!$M$9,G6376,1)),"",IF((AND(RIGHT(G6376,2)=RIGHT('112'!$M$9,2),B6376&lt;'112'!$K$9,$O6376='112'!$I$6)),"x",""))</f>
        <v/>
      </c>
      <c r="W6376" s="79" t="str">
        <f>IF(AND('341-CT'!$H$9=H6376,OR(LEFT(N6376,3)=$W$7,LEFT(O6376,3)=$W$7)),"x","")</f>
        <v/>
      </c>
      <c r="X6376" s="79" t="str">
        <f>IF(OR(TH!N6376=TH!$X$7,O6376=TH!$X$7),"x","")</f>
        <v/>
      </c>
      <c r="Y6376" s="79" t="str">
        <f>IF(AND(OR(N6376="131",O6376="131"),H6376='131-CT'!$H$9),"x","")</f>
        <v/>
      </c>
      <c r="Z6376" s="79"/>
      <c r="AA6376" s="79" t="str">
        <f>IF(AND(MONTH(E6376)='IN-NX'!$J$5,'IN-NX'!$D$7=D6376),"x","")</f>
        <v/>
      </c>
      <c r="AB6376" s="79" t="str">
        <f>IF(AND(OR(LEFT(TH!N6376,2)="15",LEFT(TH!O6376,2)="15"),LEFT(TH!O6376,3)&lt;&gt;"111",'152-CT'!$J$8=TH!F6376),"x","")</f>
        <v/>
      </c>
      <c r="AC6376" s="79" t="str">
        <f>IF(AND(OR(LEFT(TH!N6376,2)="15",LEFT(TH!O6376,2)="15"),TK!$E$7=TH!F6376),"x","")</f>
        <v/>
      </c>
      <c r="AD6376" s="79" t="str">
        <f>IF(AND(N6376="1521",MONTH(C6376)='BK-NL'!$M$11),"x","")</f>
        <v/>
      </c>
    </row>
    <row r="6377" spans="1:30" ht="16.5" customHeight="1">
      <c r="A6377" s="318" t="str">
        <f>IF(B6377&lt;&gt;"",IF(AND(B6377='IN-TC'!$S$4,OR(TH!N6377="1111",TH!O6377="1111")),TH!D6377,""),"")</f>
        <v/>
      </c>
      <c r="B6377" s="1163" t="str">
        <f t="shared" si="520"/>
        <v/>
      </c>
      <c r="C6377" s="61"/>
      <c r="D6377" s="301"/>
      <c r="E6377" s="61"/>
      <c r="F6377" s="69"/>
      <c r="G6377" s="766"/>
      <c r="H6377" s="321"/>
      <c r="I6377" s="385"/>
      <c r="J6377" s="392"/>
      <c r="K6377" s="385"/>
      <c r="L6377" s="392"/>
      <c r="M6377" s="62"/>
      <c r="N6377" s="63"/>
      <c r="O6377" s="63"/>
      <c r="P6377" s="79" t="str">
        <f>IF(AND('331-CT'!$E$7=TH!H6377,OR(N6377="331",O6377="331")),"x","")</f>
        <v/>
      </c>
      <c r="Q6377" s="79" t="str">
        <f>IF(AND(B6377='111'!$L$11,OR($N6377=$Q$7,$O6377=$Q$7)),"x","")</f>
        <v/>
      </c>
      <c r="R6377" s="79" t="str">
        <f>IF(AND($N6377=$Q$7,$B6377&lt;'111'!$L$11),"x","")</f>
        <v/>
      </c>
      <c r="S6377" s="79" t="str">
        <f>IF(AND($O6377=$Q$7,$B6377&lt;'111'!$L$11),"x","")</f>
        <v/>
      </c>
      <c r="T6377" s="79" t="str">
        <f>IF(ISERROR(FIND('112'!$M$9,G6377,1)),"",IF((AND(FIND('112'!$M$9,G6377,1)&gt;=1,B6377='112'!$K$9,OR($N6377='112'!$I$6,$O6377='112'!$I$6))),"x",""))</f>
        <v/>
      </c>
      <c r="U6377" s="79" t="str">
        <f>IF(ISERROR(FIND('112'!$M$9,G6377,1)),"",IF((AND(LEFT(G6377,2)=LEFT('112'!$M$9,2),B6377&lt;'112'!$K$9,$N6377='112'!$I$6)),"x",""))</f>
        <v/>
      </c>
      <c r="V6377" s="79" t="str">
        <f>IF(ISERROR(FIND('112'!$M$9,G6377,1)),"",IF((AND(RIGHT(G6377,2)=RIGHT('112'!$M$9,2),B6377&lt;'112'!$K$9,$O6377='112'!$I$6)),"x",""))</f>
        <v/>
      </c>
      <c r="W6377" s="79" t="str">
        <f>IF(AND('341-CT'!$H$9=H6377,OR(LEFT(N6377,3)=$W$7,LEFT(O6377,3)=$W$7)),"x","")</f>
        <v/>
      </c>
      <c r="X6377" s="79" t="str">
        <f>IF(OR(TH!N6377=TH!$X$7,O6377=TH!$X$7),"x","")</f>
        <v/>
      </c>
      <c r="Y6377" s="79" t="str">
        <f>IF(AND(OR(N6377="131",O6377="131"),H6377='131-CT'!$H$9),"x","")</f>
        <v/>
      </c>
      <c r="Z6377" s="79"/>
      <c r="AA6377" s="79" t="str">
        <f>IF(AND(MONTH(E6377)='IN-NX'!$J$5,'IN-NX'!$D$7=D6377),"x","")</f>
        <v/>
      </c>
      <c r="AB6377" s="79" t="str">
        <f>IF(AND(OR(LEFT(TH!N6377,2)="15",LEFT(TH!O6377,2)="15"),LEFT(TH!O6377,3)&lt;&gt;"111",'152-CT'!$J$8=TH!F6377),"x","")</f>
        <v/>
      </c>
      <c r="AC6377" s="79" t="str">
        <f>IF(AND(OR(LEFT(TH!N6377,2)="15",LEFT(TH!O6377,2)="15"),TK!$E$7=TH!F6377),"x","")</f>
        <v/>
      </c>
      <c r="AD6377" s="79" t="str">
        <f>IF(AND(N6377="1521",MONTH(C6377)='BK-NL'!$M$11),"x","")</f>
        <v/>
      </c>
    </row>
    <row r="6378" spans="1:30" ht="16.5" customHeight="1">
      <c r="A6378" s="318" t="str">
        <f>IF(B6378&lt;&gt;"",IF(AND(B6378='IN-TC'!$S$4,OR(TH!N6378="1111",TH!O6378="1111")),TH!D6378,""),"")</f>
        <v/>
      </c>
      <c r="B6378" s="1163" t="str">
        <f t="shared" si="520"/>
        <v/>
      </c>
      <c r="C6378" s="61"/>
      <c r="D6378" s="301"/>
      <c r="E6378" s="61"/>
      <c r="F6378" s="69"/>
      <c r="G6378" s="766"/>
      <c r="H6378" s="321"/>
      <c r="I6378" s="385"/>
      <c r="J6378" s="392"/>
      <c r="K6378" s="385"/>
      <c r="L6378" s="392"/>
      <c r="M6378" s="62"/>
      <c r="N6378" s="63"/>
      <c r="O6378" s="63"/>
      <c r="P6378" s="79" t="str">
        <f>IF(AND('331-CT'!$E$7=TH!H6378,OR(N6378="331",O6378="331")),"x","")</f>
        <v/>
      </c>
      <c r="Q6378" s="79" t="str">
        <f>IF(AND(B6378='111'!$L$11,OR($N6378=$Q$7,$O6378=$Q$7)),"x","")</f>
        <v/>
      </c>
      <c r="R6378" s="79" t="str">
        <f>IF(AND($N6378=$Q$7,$B6378&lt;'111'!$L$11),"x","")</f>
        <v/>
      </c>
      <c r="S6378" s="79" t="str">
        <f>IF(AND($O6378=$Q$7,$B6378&lt;'111'!$L$11),"x","")</f>
        <v/>
      </c>
      <c r="T6378" s="79" t="str">
        <f>IF(ISERROR(FIND('112'!$M$9,G6378,1)),"",IF((AND(FIND('112'!$M$9,G6378,1)&gt;=1,B6378='112'!$K$9,OR($N6378='112'!$I$6,$O6378='112'!$I$6))),"x",""))</f>
        <v/>
      </c>
      <c r="U6378" s="79" t="str">
        <f>IF(ISERROR(FIND('112'!$M$9,G6378,1)),"",IF((AND(LEFT(G6378,2)=LEFT('112'!$M$9,2),B6378&lt;'112'!$K$9,$N6378='112'!$I$6)),"x",""))</f>
        <v/>
      </c>
      <c r="V6378" s="79" t="str">
        <f>IF(ISERROR(FIND('112'!$M$9,G6378,1)),"",IF((AND(RIGHT(G6378,2)=RIGHT('112'!$M$9,2),B6378&lt;'112'!$K$9,$O6378='112'!$I$6)),"x",""))</f>
        <v/>
      </c>
      <c r="W6378" s="79" t="str">
        <f>IF(AND('341-CT'!$H$9=H6378,OR(LEFT(N6378,3)=$W$7,LEFT(O6378,3)=$W$7)),"x","")</f>
        <v/>
      </c>
      <c r="X6378" s="79" t="str">
        <f>IF(OR(TH!N6378=TH!$X$7,O6378=TH!$X$7),"x","")</f>
        <v/>
      </c>
      <c r="Y6378" s="79" t="str">
        <f>IF(AND(OR(N6378="131",O6378="131"),H6378='131-CT'!$H$9),"x","")</f>
        <v/>
      </c>
      <c r="Z6378" s="79"/>
      <c r="AA6378" s="79" t="str">
        <f>IF(AND(MONTH(E6378)='IN-NX'!$J$5,'IN-NX'!$D$7=D6378),"x","")</f>
        <v/>
      </c>
      <c r="AB6378" s="79" t="str">
        <f>IF(AND(OR(LEFT(TH!N6378,2)="15",LEFT(TH!O6378,2)="15"),LEFT(TH!O6378,3)&lt;&gt;"111",'152-CT'!$J$8=TH!F6378),"x","")</f>
        <v/>
      </c>
      <c r="AC6378" s="79" t="str">
        <f>IF(AND(OR(LEFT(TH!N6378,2)="15",LEFT(TH!O6378,2)="15"),TK!$E$7=TH!F6378),"x","")</f>
        <v/>
      </c>
      <c r="AD6378" s="79" t="str">
        <f>IF(AND(N6378="1521",MONTH(C6378)='BK-NL'!$M$11),"x","")</f>
        <v/>
      </c>
    </row>
    <row r="6379" spans="1:30" ht="16.5" customHeight="1">
      <c r="A6379" s="318" t="str">
        <f>IF(B6379&lt;&gt;"",IF(AND(B6379='IN-TC'!$S$4,OR(TH!N6379="1111",TH!O6379="1111")),TH!D6379,""),"")</f>
        <v/>
      </c>
      <c r="B6379" s="1163" t="str">
        <f t="shared" si="520"/>
        <v/>
      </c>
      <c r="C6379" s="61"/>
      <c r="D6379" s="301"/>
      <c r="E6379" s="61"/>
      <c r="F6379" s="69"/>
      <c r="G6379" s="766"/>
      <c r="H6379" s="69"/>
      <c r="I6379" s="385"/>
      <c r="J6379" s="392"/>
      <c r="K6379" s="385"/>
      <c r="L6379" s="392"/>
      <c r="M6379" s="62"/>
      <c r="N6379" s="63"/>
      <c r="O6379" s="63"/>
      <c r="P6379" s="79" t="str">
        <f>IF(AND('331-CT'!$E$7=TH!H6379,OR(N6379="331",O6379="331")),"x","")</f>
        <v/>
      </c>
      <c r="Q6379" s="79" t="str">
        <f>IF(AND(B6379='111'!$L$11,OR($N6379=$Q$7,$O6379=$Q$7)),"x","")</f>
        <v/>
      </c>
      <c r="R6379" s="79" t="str">
        <f>IF(AND($N6379=$Q$7,$B6379&lt;'111'!$L$11),"x","")</f>
        <v/>
      </c>
      <c r="S6379" s="79" t="str">
        <f>IF(AND($O6379=$Q$7,$B6379&lt;'111'!$L$11),"x","")</f>
        <v/>
      </c>
      <c r="T6379" s="79" t="str">
        <f>IF(ISERROR(FIND('112'!$M$9,G6379,1)),"",IF((AND(FIND('112'!$M$9,G6379,1)&gt;=1,B6379='112'!$K$9,OR($N6379='112'!$I$6,$O6379='112'!$I$6))),"x",""))</f>
        <v/>
      </c>
      <c r="U6379" s="79" t="str">
        <f>IF(ISERROR(FIND('112'!$M$9,G6379,1)),"",IF((AND(LEFT(G6379,2)=LEFT('112'!$M$9,2),B6379&lt;'112'!$K$9,$N6379='112'!$I$6)),"x",""))</f>
        <v/>
      </c>
      <c r="V6379" s="79" t="str">
        <f>IF(ISERROR(FIND('112'!$M$9,G6379,1)),"",IF((AND(RIGHT(G6379,2)=RIGHT('112'!$M$9,2),B6379&lt;'112'!$K$9,$O6379='112'!$I$6)),"x",""))</f>
        <v/>
      </c>
      <c r="W6379" s="79" t="str">
        <f>IF(AND('341-CT'!$H$9=H6379,OR(LEFT(N6379,3)=$W$7,LEFT(O6379,3)=$W$7)),"x","")</f>
        <v/>
      </c>
      <c r="X6379" s="79" t="str">
        <f>IF(OR(TH!N6379=TH!$X$7,O6379=TH!$X$7),"x","")</f>
        <v/>
      </c>
      <c r="Y6379" s="79" t="str">
        <f>IF(AND(OR(N6379="131",O6379="131"),H6379='131-CT'!$H$9),"x","")</f>
        <v/>
      </c>
      <c r="Z6379" s="79"/>
      <c r="AA6379" s="79" t="str">
        <f>IF(AND(MONTH(E6379)='IN-NX'!$J$5,'IN-NX'!$D$7=D6379),"x","")</f>
        <v/>
      </c>
      <c r="AB6379" s="79" t="str">
        <f>IF(AND(OR(LEFT(TH!N6379,2)="15",LEFT(TH!O6379,2)="15"),LEFT(TH!O6379,3)&lt;&gt;"111",'152-CT'!$J$8=TH!F6379),"x","")</f>
        <v/>
      </c>
      <c r="AC6379" s="79" t="str">
        <f>IF(AND(OR(LEFT(TH!N6379,2)="15",LEFT(TH!O6379,2)="15"),TK!$E$7=TH!F6379),"x","")</f>
        <v/>
      </c>
      <c r="AD6379" s="79" t="str">
        <f>IF(AND(N6379="1521",MONTH(C6379)='BK-NL'!$M$11),"x","")</f>
        <v/>
      </c>
    </row>
    <row r="6380" spans="1:30" ht="16.5" customHeight="1">
      <c r="A6380" s="318" t="str">
        <f>IF(B6380&lt;&gt;"",IF(AND(B6380='IN-TC'!$S$4,OR(TH!N6380="1111",TH!O6380="1111")),TH!D6380,""),"")</f>
        <v/>
      </c>
      <c r="B6380" s="1163" t="str">
        <f t="shared" si="520"/>
        <v/>
      </c>
      <c r="C6380" s="61"/>
      <c r="D6380" s="301"/>
      <c r="E6380" s="61"/>
      <c r="F6380" s="69"/>
      <c r="G6380" s="766"/>
      <c r="H6380" s="72"/>
      <c r="I6380" s="385"/>
      <c r="J6380" s="392"/>
      <c r="K6380" s="385"/>
      <c r="L6380" s="392"/>
      <c r="M6380" s="62"/>
      <c r="N6380" s="63"/>
      <c r="O6380" s="63"/>
      <c r="P6380" s="79" t="str">
        <f>IF(AND('331-CT'!$E$7=TH!H6380,OR(N6380="331",O6380="331")),"x","")</f>
        <v/>
      </c>
      <c r="Q6380" s="79" t="str">
        <f>IF(AND(B6380='111'!$L$11,OR($N6380=$Q$7,$O6380=$Q$7)),"x","")</f>
        <v/>
      </c>
      <c r="R6380" s="79" t="str">
        <f>IF(AND($N6380=$Q$7,$B6380&lt;'111'!$L$11),"x","")</f>
        <v/>
      </c>
      <c r="S6380" s="79" t="str">
        <f>IF(AND($O6380=$Q$7,$B6380&lt;'111'!$L$11),"x","")</f>
        <v/>
      </c>
      <c r="T6380" s="79" t="str">
        <f>IF(ISERROR(FIND('112'!$M$9,G6380,1)),"",IF((AND(FIND('112'!$M$9,G6380,1)&gt;=1,B6380='112'!$K$9,OR($N6380='112'!$I$6,$O6380='112'!$I$6))),"x",""))</f>
        <v/>
      </c>
      <c r="U6380" s="79" t="str">
        <f>IF(ISERROR(FIND('112'!$M$9,G6380,1)),"",IF((AND(LEFT(G6380,2)=LEFT('112'!$M$9,2),B6380&lt;'112'!$K$9,$N6380='112'!$I$6)),"x",""))</f>
        <v/>
      </c>
      <c r="V6380" s="79" t="str">
        <f>IF(ISERROR(FIND('112'!$M$9,G6380,1)),"",IF((AND(RIGHT(G6380,2)=RIGHT('112'!$M$9,2),B6380&lt;'112'!$K$9,$O6380='112'!$I$6)),"x",""))</f>
        <v/>
      </c>
      <c r="W6380" s="79" t="str">
        <f>IF(AND('341-CT'!$H$9=H6380,OR(LEFT(N6380,3)=$W$7,LEFT(O6380,3)=$W$7)),"x","")</f>
        <v/>
      </c>
      <c r="X6380" s="79" t="str">
        <f>IF(OR(TH!N6380=TH!$X$7,O6380=TH!$X$7),"x","")</f>
        <v/>
      </c>
      <c r="Y6380" s="79" t="str">
        <f>IF(AND(OR(N6380="131",O6380="131"),H6380='131-CT'!$H$9),"x","")</f>
        <v/>
      </c>
      <c r="Z6380" s="79"/>
      <c r="AA6380" s="79" t="str">
        <f>IF(AND(MONTH(E6380)='IN-NX'!$J$5,'IN-NX'!$D$7=D6380),"x","")</f>
        <v/>
      </c>
      <c r="AB6380" s="79" t="str">
        <f>IF(AND(OR(LEFT(TH!N6380,2)="15",LEFT(TH!O6380,2)="15"),LEFT(TH!O6380,3)&lt;&gt;"111",'152-CT'!$J$8=TH!F6380),"x","")</f>
        <v/>
      </c>
      <c r="AC6380" s="79" t="str">
        <f>IF(AND(OR(LEFT(TH!N6380,2)="15",LEFT(TH!O6380,2)="15"),TK!$E$7=TH!F6380),"x","")</f>
        <v/>
      </c>
      <c r="AD6380" s="79" t="str">
        <f>IF(AND(N6380="1521",MONTH(C6380)='BK-NL'!$M$11),"x","")</f>
        <v/>
      </c>
    </row>
    <row r="6381" spans="1:30" ht="16.5" customHeight="1">
      <c r="A6381" s="318" t="str">
        <f>IF(B6381&lt;&gt;"",IF(AND(B6381='IN-TC'!$S$4,OR(TH!N6381="1111",TH!O6381="1111")),TH!D6381,""),"")</f>
        <v/>
      </c>
      <c r="B6381" s="1163" t="str">
        <f t="shared" si="520"/>
        <v/>
      </c>
      <c r="C6381" s="61"/>
      <c r="D6381" s="301"/>
      <c r="E6381" s="61"/>
      <c r="F6381" s="69"/>
      <c r="G6381" s="766"/>
      <c r="H6381" s="69"/>
      <c r="I6381" s="385"/>
      <c r="J6381" s="392"/>
      <c r="K6381" s="385"/>
      <c r="L6381" s="392"/>
      <c r="M6381" s="62"/>
      <c r="N6381" s="63"/>
      <c r="O6381" s="63"/>
      <c r="P6381" s="79" t="str">
        <f>IF(AND('331-CT'!$E$7=TH!H6381,OR(N6381="331",O6381="331")),"x","")</f>
        <v/>
      </c>
      <c r="Q6381" s="79" t="str">
        <f>IF(AND(B6381='111'!$L$11,OR($N6381=$Q$7,$O6381=$Q$7)),"x","")</f>
        <v/>
      </c>
      <c r="R6381" s="79" t="str">
        <f>IF(AND($N6381=$Q$7,$B6381&lt;'111'!$L$11),"x","")</f>
        <v/>
      </c>
      <c r="S6381" s="79" t="str">
        <f>IF(AND($O6381=$Q$7,$B6381&lt;'111'!$L$11),"x","")</f>
        <v/>
      </c>
      <c r="T6381" s="79" t="str">
        <f>IF(ISERROR(FIND('112'!$M$9,G6381,1)),"",IF((AND(FIND('112'!$M$9,G6381,1)&gt;=1,B6381='112'!$K$9,OR($N6381='112'!$I$6,$O6381='112'!$I$6))),"x",""))</f>
        <v/>
      </c>
      <c r="U6381" s="79" t="str">
        <f>IF(ISERROR(FIND('112'!$M$9,G6381,1)),"",IF((AND(LEFT(G6381,2)=LEFT('112'!$M$9,2),B6381&lt;'112'!$K$9,$N6381='112'!$I$6)),"x",""))</f>
        <v/>
      </c>
      <c r="V6381" s="79" t="str">
        <f>IF(ISERROR(FIND('112'!$M$9,G6381,1)),"",IF((AND(RIGHT(G6381,2)=RIGHT('112'!$M$9,2),B6381&lt;'112'!$K$9,$O6381='112'!$I$6)),"x",""))</f>
        <v/>
      </c>
      <c r="W6381" s="79" t="str">
        <f>IF(AND('341-CT'!$H$9=H6381,OR(LEFT(N6381,3)=$W$7,LEFT(O6381,3)=$W$7)),"x","")</f>
        <v/>
      </c>
      <c r="X6381" s="79" t="str">
        <f>IF(OR(TH!N6381=TH!$X$7,O6381=TH!$X$7),"x","")</f>
        <v/>
      </c>
      <c r="Y6381" s="79" t="str">
        <f>IF(AND(OR(N6381="131",O6381="131"),H6381='131-CT'!$H$9),"x","")</f>
        <v/>
      </c>
      <c r="Z6381" s="79"/>
      <c r="AA6381" s="79" t="str">
        <f>IF(AND(MONTH(E6381)='IN-NX'!$J$5,'IN-NX'!$D$7=D6381),"x","")</f>
        <v/>
      </c>
      <c r="AB6381" s="79" t="str">
        <f>IF(AND(OR(LEFT(TH!N6381,2)="15",LEFT(TH!O6381,2)="15"),LEFT(TH!O6381,3)&lt;&gt;"111",'152-CT'!$J$8=TH!F6381),"x","")</f>
        <v/>
      </c>
      <c r="AC6381" s="79" t="str">
        <f>IF(AND(OR(LEFT(TH!N6381,2)="15",LEFT(TH!O6381,2)="15"),TK!$E$7=TH!F6381),"x","")</f>
        <v/>
      </c>
      <c r="AD6381" s="79" t="str">
        <f>IF(AND(N6381="1521",MONTH(C6381)='BK-NL'!$M$11),"x","")</f>
        <v/>
      </c>
    </row>
    <row r="6382" spans="1:30" ht="16.5" customHeight="1">
      <c r="A6382" s="318" t="str">
        <f>IF(B6382&lt;&gt;"",IF(AND(B6382='IN-TC'!$S$4,OR(TH!N6382="1111",TH!O6382="1111")),TH!D6382,""),"")</f>
        <v/>
      </c>
      <c r="B6382" s="1163" t="str">
        <f t="shared" si="520"/>
        <v/>
      </c>
      <c r="C6382" s="61"/>
      <c r="D6382" s="301"/>
      <c r="E6382" s="61"/>
      <c r="F6382" s="69"/>
      <c r="G6382" s="766"/>
      <c r="H6382" s="69"/>
      <c r="I6382" s="385"/>
      <c r="J6382" s="392"/>
      <c r="K6382" s="385"/>
      <c r="L6382" s="392"/>
      <c r="M6382" s="62"/>
      <c r="N6382" s="63"/>
      <c r="O6382" s="63"/>
      <c r="P6382" s="79" t="str">
        <f>IF(AND('331-CT'!$E$7=TH!H6382,OR(N6382="331",O6382="331")),"x","")</f>
        <v/>
      </c>
      <c r="Q6382" s="79" t="str">
        <f>IF(AND(B6382='111'!$L$11,OR($N6382=$Q$7,$O6382=$Q$7)),"x","")</f>
        <v/>
      </c>
      <c r="R6382" s="79" t="str">
        <f>IF(AND($N6382=$Q$7,$B6382&lt;'111'!$L$11),"x","")</f>
        <v/>
      </c>
      <c r="S6382" s="79" t="str">
        <f>IF(AND($O6382=$Q$7,$B6382&lt;'111'!$L$11),"x","")</f>
        <v/>
      </c>
      <c r="T6382" s="79" t="str">
        <f>IF(ISERROR(FIND('112'!$M$9,G6382,1)),"",IF((AND(FIND('112'!$M$9,G6382,1)&gt;=1,B6382='112'!$K$9,OR($N6382='112'!$I$6,$O6382='112'!$I$6))),"x",""))</f>
        <v/>
      </c>
      <c r="U6382" s="79" t="str">
        <f>IF(ISERROR(FIND('112'!$M$9,G6382,1)),"",IF((AND(LEFT(G6382,2)=LEFT('112'!$M$9,2),B6382&lt;'112'!$K$9,$N6382='112'!$I$6)),"x",""))</f>
        <v/>
      </c>
      <c r="V6382" s="79" t="str">
        <f>IF(ISERROR(FIND('112'!$M$9,G6382,1)),"",IF((AND(RIGHT(G6382,2)=RIGHT('112'!$M$9,2),B6382&lt;'112'!$K$9,$O6382='112'!$I$6)),"x",""))</f>
        <v/>
      </c>
      <c r="W6382" s="79" t="str">
        <f>IF(AND('341-CT'!$H$9=H6382,OR(LEFT(N6382,3)=$W$7,LEFT(O6382,3)=$W$7)),"x","")</f>
        <v/>
      </c>
      <c r="X6382" s="79" t="str">
        <f>IF(OR(TH!N6382=TH!$X$7,O6382=TH!$X$7),"x","")</f>
        <v/>
      </c>
      <c r="Y6382" s="79" t="str">
        <f>IF(AND(OR(N6382="131",O6382="131"),H6382='131-CT'!$H$9),"x","")</f>
        <v/>
      </c>
      <c r="Z6382" s="79"/>
      <c r="AA6382" s="79" t="str">
        <f>IF(AND(MONTH(E6382)='IN-NX'!$J$5,'IN-NX'!$D$7=D6382),"x","")</f>
        <v/>
      </c>
      <c r="AB6382" s="79" t="str">
        <f>IF(AND(OR(LEFT(TH!N6382,2)="15",LEFT(TH!O6382,2)="15"),LEFT(TH!O6382,3)&lt;&gt;"111",'152-CT'!$J$8=TH!F6382),"x","")</f>
        <v/>
      </c>
      <c r="AC6382" s="79" t="str">
        <f>IF(AND(OR(LEFT(TH!N6382,2)="15",LEFT(TH!O6382,2)="15"),TK!$E$7=TH!F6382),"x","")</f>
        <v/>
      </c>
      <c r="AD6382" s="79" t="str">
        <f>IF(AND(N6382="1521",MONTH(C6382)='BK-NL'!$M$11),"x","")</f>
        <v/>
      </c>
    </row>
    <row r="6383" spans="1:30" ht="16.5" customHeight="1">
      <c r="A6383" s="318" t="str">
        <f>IF(B6383&lt;&gt;"",IF(AND(B6383='IN-TC'!$S$4,OR(TH!N6383="1111",TH!O6383="1111")),TH!D6383,""),"")</f>
        <v/>
      </c>
      <c r="B6383" s="1163" t="str">
        <f t="shared" si="520"/>
        <v/>
      </c>
      <c r="C6383" s="61"/>
      <c r="D6383" s="301"/>
      <c r="E6383" s="61"/>
      <c r="F6383" s="69"/>
      <c r="G6383" s="766"/>
      <c r="H6383" s="69"/>
      <c r="I6383" s="385"/>
      <c r="J6383" s="392"/>
      <c r="K6383" s="385"/>
      <c r="L6383" s="392"/>
      <c r="M6383" s="62"/>
      <c r="N6383" s="63"/>
      <c r="O6383" s="63"/>
      <c r="P6383" s="79" t="str">
        <f>IF(AND('331-CT'!$E$7=TH!H6383,OR(N6383="331",O6383="331")),"x","")</f>
        <v/>
      </c>
      <c r="Q6383" s="79" t="str">
        <f>IF(AND(B6383='111'!$L$11,OR($N6383=$Q$7,$O6383=$Q$7)),"x","")</f>
        <v/>
      </c>
      <c r="R6383" s="79" t="str">
        <f>IF(AND($N6383=$Q$7,$B6383&lt;'111'!$L$11),"x","")</f>
        <v/>
      </c>
      <c r="S6383" s="79" t="str">
        <f>IF(AND($O6383=$Q$7,$B6383&lt;'111'!$L$11),"x","")</f>
        <v/>
      </c>
      <c r="T6383" s="79" t="str">
        <f>IF(ISERROR(FIND('112'!$M$9,G6383,1)),"",IF((AND(FIND('112'!$M$9,G6383,1)&gt;=1,B6383='112'!$K$9,OR($N6383='112'!$I$6,$O6383='112'!$I$6))),"x",""))</f>
        <v/>
      </c>
      <c r="U6383" s="79" t="str">
        <f>IF(ISERROR(FIND('112'!$M$9,G6383,1)),"",IF((AND(LEFT(G6383,2)=LEFT('112'!$M$9,2),B6383&lt;'112'!$K$9,$N6383='112'!$I$6)),"x",""))</f>
        <v/>
      </c>
      <c r="V6383" s="79" t="str">
        <f>IF(ISERROR(FIND('112'!$M$9,G6383,1)),"",IF((AND(RIGHT(G6383,2)=RIGHT('112'!$M$9,2),B6383&lt;'112'!$K$9,$O6383='112'!$I$6)),"x",""))</f>
        <v/>
      </c>
      <c r="W6383" s="79" t="str">
        <f>IF(AND('341-CT'!$H$9=H6383,OR(LEFT(N6383,3)=$W$7,LEFT(O6383,3)=$W$7)),"x","")</f>
        <v/>
      </c>
      <c r="X6383" s="79" t="str">
        <f>IF(OR(TH!N6383=TH!$X$7,O6383=TH!$X$7),"x","")</f>
        <v/>
      </c>
      <c r="Y6383" s="79" t="str">
        <f>IF(AND(OR(N6383="131",O6383="131"),H6383='131-CT'!$H$9),"x","")</f>
        <v/>
      </c>
      <c r="Z6383" s="79"/>
      <c r="AA6383" s="79" t="str">
        <f>IF(AND(MONTH(E6383)='IN-NX'!$J$5,'IN-NX'!$D$7=D6383),"x","")</f>
        <v/>
      </c>
      <c r="AB6383" s="79" t="str">
        <f>IF(AND(OR(LEFT(TH!N6383,2)="15",LEFT(TH!O6383,2)="15"),LEFT(TH!O6383,3)&lt;&gt;"111",'152-CT'!$J$8=TH!F6383),"x","")</f>
        <v/>
      </c>
      <c r="AC6383" s="79" t="str">
        <f>IF(AND(OR(LEFT(TH!N6383,2)="15",LEFT(TH!O6383,2)="15"),TK!$E$7=TH!F6383),"x","")</f>
        <v/>
      </c>
      <c r="AD6383" s="79" t="str">
        <f>IF(AND(N6383="1521",MONTH(C6383)='BK-NL'!$M$11),"x","")</f>
        <v/>
      </c>
    </row>
    <row r="6384" spans="1:30" ht="16.5" customHeight="1">
      <c r="A6384" s="318" t="str">
        <f>IF(B6384&lt;&gt;"",IF(AND(B6384='IN-TC'!$S$4,OR(TH!N6384="1111",TH!O6384="1111")),TH!D6384,""),"")</f>
        <v/>
      </c>
      <c r="B6384" s="1163" t="str">
        <f t="shared" si="520"/>
        <v/>
      </c>
      <c r="C6384" s="61"/>
      <c r="D6384" s="301"/>
      <c r="E6384" s="61"/>
      <c r="F6384" s="69"/>
      <c r="G6384" s="766"/>
      <c r="H6384" s="69"/>
      <c r="I6384" s="385"/>
      <c r="J6384" s="392"/>
      <c r="K6384" s="385"/>
      <c r="L6384" s="392"/>
      <c r="M6384" s="62"/>
      <c r="N6384" s="63"/>
      <c r="O6384" s="63"/>
      <c r="P6384" s="79" t="str">
        <f>IF(AND('331-CT'!$E$7=TH!H6384,OR(N6384="331",O6384="331")),"x","")</f>
        <v/>
      </c>
      <c r="Q6384" s="79" t="str">
        <f>IF(AND(B6384='111'!$L$11,OR($N6384=$Q$7,$O6384=$Q$7)),"x","")</f>
        <v/>
      </c>
      <c r="R6384" s="79" t="str">
        <f>IF(AND($N6384=$Q$7,$B6384&lt;'111'!$L$11),"x","")</f>
        <v/>
      </c>
      <c r="S6384" s="79" t="str">
        <f>IF(AND($O6384=$Q$7,$B6384&lt;'111'!$L$11),"x","")</f>
        <v/>
      </c>
      <c r="T6384" s="79" t="str">
        <f>IF(ISERROR(FIND('112'!$M$9,G6384,1)),"",IF((AND(FIND('112'!$M$9,G6384,1)&gt;=1,B6384='112'!$K$9,OR($N6384='112'!$I$6,$O6384='112'!$I$6))),"x",""))</f>
        <v/>
      </c>
      <c r="U6384" s="79" t="str">
        <f>IF(ISERROR(FIND('112'!$M$9,G6384,1)),"",IF((AND(LEFT(G6384,2)=LEFT('112'!$M$9,2),B6384&lt;'112'!$K$9,$N6384='112'!$I$6)),"x",""))</f>
        <v/>
      </c>
      <c r="V6384" s="79" t="str">
        <f>IF(ISERROR(FIND('112'!$M$9,G6384,1)),"",IF((AND(RIGHT(G6384,2)=RIGHT('112'!$M$9,2),B6384&lt;'112'!$K$9,$O6384='112'!$I$6)),"x",""))</f>
        <v/>
      </c>
      <c r="W6384" s="79" t="str">
        <f>IF(AND('341-CT'!$H$9=H6384,OR(LEFT(N6384,3)=$W$7,LEFT(O6384,3)=$W$7)),"x","")</f>
        <v/>
      </c>
      <c r="X6384" s="79" t="str">
        <f>IF(OR(TH!N6384=TH!$X$7,O6384=TH!$X$7),"x","")</f>
        <v/>
      </c>
      <c r="Y6384" s="79" t="str">
        <f>IF(AND(OR(N6384="131",O6384="131"),H6384='131-CT'!$H$9),"x","")</f>
        <v/>
      </c>
      <c r="Z6384" s="79"/>
      <c r="AA6384" s="79" t="str">
        <f>IF(AND(MONTH(E6384)='IN-NX'!$J$5,'IN-NX'!$D$7=D6384),"x","")</f>
        <v/>
      </c>
      <c r="AB6384" s="79" t="str">
        <f>IF(AND(OR(LEFT(TH!N6384,2)="15",LEFT(TH!O6384,2)="15"),LEFT(TH!O6384,3)&lt;&gt;"111",'152-CT'!$J$8=TH!F6384),"x","")</f>
        <v/>
      </c>
      <c r="AC6384" s="79" t="str">
        <f>IF(AND(OR(LEFT(TH!N6384,2)="15",LEFT(TH!O6384,2)="15"),TK!$E$7=TH!F6384),"x","")</f>
        <v/>
      </c>
      <c r="AD6384" s="79" t="str">
        <f>IF(AND(N6384="1521",MONTH(C6384)='BK-NL'!$M$11),"x","")</f>
        <v/>
      </c>
    </row>
    <row r="6385" spans="1:30" ht="16.5" customHeight="1">
      <c r="A6385" s="318" t="str">
        <f>IF(B6385&lt;&gt;"",IF(AND(B6385='IN-TC'!$S$4,OR(TH!N6385="1111",TH!O6385="1111")),TH!D6385,""),"")</f>
        <v/>
      </c>
      <c r="B6385" s="1163" t="str">
        <f t="shared" si="520"/>
        <v/>
      </c>
      <c r="C6385" s="61"/>
      <c r="D6385" s="301"/>
      <c r="E6385" s="61"/>
      <c r="F6385" s="69"/>
      <c r="G6385" s="766"/>
      <c r="H6385" s="69"/>
      <c r="I6385" s="385"/>
      <c r="J6385" s="392"/>
      <c r="K6385" s="385"/>
      <c r="L6385" s="392"/>
      <c r="M6385" s="62"/>
      <c r="N6385" s="63"/>
      <c r="O6385" s="63"/>
      <c r="P6385" s="79" t="str">
        <f>IF(AND('331-CT'!$E$7=TH!H6385,OR(N6385="331",O6385="331")),"x","")</f>
        <v/>
      </c>
      <c r="Q6385" s="79" t="str">
        <f>IF(AND(B6385='111'!$L$11,OR($N6385=$Q$7,$O6385=$Q$7)),"x","")</f>
        <v/>
      </c>
      <c r="R6385" s="79" t="str">
        <f>IF(AND($N6385=$Q$7,$B6385&lt;'111'!$L$11),"x","")</f>
        <v/>
      </c>
      <c r="S6385" s="79" t="str">
        <f>IF(AND($O6385=$Q$7,$B6385&lt;'111'!$L$11),"x","")</f>
        <v/>
      </c>
      <c r="T6385" s="79" t="str">
        <f>IF(ISERROR(FIND('112'!$M$9,G6385,1)),"",IF((AND(FIND('112'!$M$9,G6385,1)&gt;=1,B6385='112'!$K$9,OR($N6385='112'!$I$6,$O6385='112'!$I$6))),"x",""))</f>
        <v/>
      </c>
      <c r="U6385" s="79" t="str">
        <f>IF(ISERROR(FIND('112'!$M$9,G6385,1)),"",IF((AND(LEFT(G6385,2)=LEFT('112'!$M$9,2),B6385&lt;'112'!$K$9,$N6385='112'!$I$6)),"x",""))</f>
        <v/>
      </c>
      <c r="V6385" s="79" t="str">
        <f>IF(ISERROR(FIND('112'!$M$9,G6385,1)),"",IF((AND(RIGHT(G6385,2)=RIGHT('112'!$M$9,2),B6385&lt;'112'!$K$9,$O6385='112'!$I$6)),"x",""))</f>
        <v/>
      </c>
      <c r="W6385" s="79" t="str">
        <f>IF(AND('341-CT'!$H$9=H6385,OR(LEFT(N6385,3)=$W$7,LEFT(O6385,3)=$W$7)),"x","")</f>
        <v/>
      </c>
      <c r="X6385" s="79" t="str">
        <f>IF(OR(TH!N6385=TH!$X$7,O6385=TH!$X$7),"x","")</f>
        <v/>
      </c>
      <c r="Y6385" s="79" t="str">
        <f>IF(AND(OR(N6385="131",O6385="131"),H6385='131-CT'!$H$9),"x","")</f>
        <v/>
      </c>
      <c r="Z6385" s="79"/>
      <c r="AA6385" s="79" t="str">
        <f>IF(AND(MONTH(E6385)='IN-NX'!$J$5,'IN-NX'!$D$7=D6385),"x","")</f>
        <v/>
      </c>
      <c r="AB6385" s="79" t="str">
        <f>IF(AND(OR(LEFT(TH!N6385,2)="15",LEFT(TH!O6385,2)="15"),LEFT(TH!O6385,3)&lt;&gt;"111",'152-CT'!$J$8=TH!F6385),"x","")</f>
        <v/>
      </c>
      <c r="AC6385" s="79" t="str">
        <f>IF(AND(OR(LEFT(TH!N6385,2)="15",LEFT(TH!O6385,2)="15"),TK!$E$7=TH!F6385),"x","")</f>
        <v/>
      </c>
      <c r="AD6385" s="79" t="str">
        <f>IF(AND(N6385="1521",MONTH(C6385)='BK-NL'!$M$11),"x","")</f>
        <v/>
      </c>
    </row>
    <row r="6386" spans="1:30" ht="16.5" customHeight="1">
      <c r="A6386" s="318" t="str">
        <f>IF(B6386&lt;&gt;"",IF(AND(B6386='IN-TC'!$S$4,OR(TH!N6386="1111",TH!O6386="1111")),TH!D6386,""),"")</f>
        <v/>
      </c>
      <c r="B6386" s="1163" t="str">
        <f t="shared" si="520"/>
        <v/>
      </c>
      <c r="C6386" s="61"/>
      <c r="D6386" s="301"/>
      <c r="E6386" s="61"/>
      <c r="F6386" s="69"/>
      <c r="G6386" s="766"/>
      <c r="H6386" s="321"/>
      <c r="I6386" s="385"/>
      <c r="J6386" s="392"/>
      <c r="K6386" s="385"/>
      <c r="L6386" s="392"/>
      <c r="M6386" s="62"/>
      <c r="N6386" s="63"/>
      <c r="O6386" s="63"/>
      <c r="P6386" s="79" t="str">
        <f>IF(AND('331-CT'!$E$7=TH!H6386,OR(N6386="331",O6386="331")),"x","")</f>
        <v/>
      </c>
      <c r="Q6386" s="79" t="str">
        <f>IF(AND(B6386='111'!$L$11,OR($N6386=$Q$7,$O6386=$Q$7)),"x","")</f>
        <v/>
      </c>
      <c r="R6386" s="79" t="str">
        <f>IF(AND($N6386=$Q$7,$B6386&lt;'111'!$L$11),"x","")</f>
        <v/>
      </c>
      <c r="S6386" s="79" t="str">
        <f>IF(AND($O6386=$Q$7,$B6386&lt;'111'!$L$11),"x","")</f>
        <v/>
      </c>
      <c r="T6386" s="79" t="str">
        <f>IF(ISERROR(FIND('112'!$M$9,G6386,1)),"",IF((AND(FIND('112'!$M$9,G6386,1)&gt;=1,B6386='112'!$K$9,OR($N6386='112'!$I$6,$O6386='112'!$I$6))),"x",""))</f>
        <v/>
      </c>
      <c r="U6386" s="79" t="str">
        <f>IF(ISERROR(FIND('112'!$M$9,G6386,1)),"",IF((AND(LEFT(G6386,2)=LEFT('112'!$M$9,2),B6386&lt;'112'!$K$9,$N6386='112'!$I$6)),"x",""))</f>
        <v/>
      </c>
      <c r="V6386" s="79" t="str">
        <f>IF(ISERROR(FIND('112'!$M$9,G6386,1)),"",IF((AND(RIGHT(G6386,2)=RIGHT('112'!$M$9,2),B6386&lt;'112'!$K$9,$O6386='112'!$I$6)),"x",""))</f>
        <v/>
      </c>
      <c r="W6386" s="79" t="str">
        <f>IF(AND('341-CT'!$H$9=H6386,OR(LEFT(N6386,3)=$W$7,LEFT(O6386,3)=$W$7)),"x","")</f>
        <v/>
      </c>
      <c r="X6386" s="79" t="str">
        <f>IF(OR(TH!N6386=TH!$X$7,O6386=TH!$X$7),"x","")</f>
        <v/>
      </c>
      <c r="Y6386" s="79" t="str">
        <f>IF(AND(OR(N6386="131",O6386="131"),H6386='131-CT'!$H$9),"x","")</f>
        <v/>
      </c>
      <c r="Z6386" s="79"/>
      <c r="AA6386" s="79" t="str">
        <f>IF(AND(MONTH(E6386)='IN-NX'!$J$5,'IN-NX'!$D$7=D6386),"x","")</f>
        <v/>
      </c>
      <c r="AB6386" s="79" t="str">
        <f>IF(AND(OR(LEFT(TH!N6386,2)="15",LEFT(TH!O6386,2)="15"),LEFT(TH!O6386,3)&lt;&gt;"111",'152-CT'!$J$8=TH!F6386),"x","")</f>
        <v/>
      </c>
      <c r="AC6386" s="79" t="str">
        <f>IF(AND(OR(LEFT(TH!N6386,2)="15",LEFT(TH!O6386,2)="15"),TK!$E$7=TH!F6386),"x","")</f>
        <v/>
      </c>
      <c r="AD6386" s="79" t="str">
        <f>IF(AND(N6386="1521",MONTH(C6386)='BK-NL'!$M$11),"x","")</f>
        <v/>
      </c>
    </row>
    <row r="6387" spans="1:30" ht="16.5" customHeight="1">
      <c r="A6387" s="318" t="str">
        <f>IF(B6387&lt;&gt;"",IF(AND(B6387='IN-TC'!$S$4,OR(TH!N6387="1111",TH!O6387="1111")),TH!D6387,""),"")</f>
        <v/>
      </c>
      <c r="B6387" s="1163" t="str">
        <f t="shared" si="520"/>
        <v/>
      </c>
      <c r="C6387" s="61"/>
      <c r="D6387" s="301"/>
      <c r="E6387" s="61"/>
      <c r="F6387" s="69"/>
      <c r="G6387" s="766"/>
      <c r="H6387" s="321"/>
      <c r="I6387" s="385"/>
      <c r="J6387" s="392"/>
      <c r="K6387" s="385"/>
      <c r="L6387" s="392"/>
      <c r="M6387" s="62"/>
      <c r="N6387" s="63"/>
      <c r="O6387" s="63"/>
      <c r="P6387" s="79" t="str">
        <f>IF(AND('331-CT'!$E$7=TH!H6387,OR(N6387="331",O6387="331")),"x","")</f>
        <v/>
      </c>
      <c r="Q6387" s="79" t="str">
        <f>IF(AND(B6387='111'!$L$11,OR($N6387=$Q$7,$O6387=$Q$7)),"x","")</f>
        <v/>
      </c>
      <c r="R6387" s="79" t="str">
        <f>IF(AND($N6387=$Q$7,$B6387&lt;'111'!$L$11),"x","")</f>
        <v/>
      </c>
      <c r="S6387" s="79" t="str">
        <f>IF(AND($O6387=$Q$7,$B6387&lt;'111'!$L$11),"x","")</f>
        <v/>
      </c>
      <c r="T6387" s="79" t="str">
        <f>IF(ISERROR(FIND('112'!$M$9,G6387,1)),"",IF((AND(FIND('112'!$M$9,G6387,1)&gt;=1,B6387='112'!$K$9,OR($N6387='112'!$I$6,$O6387='112'!$I$6))),"x",""))</f>
        <v/>
      </c>
      <c r="U6387" s="79" t="str">
        <f>IF(ISERROR(FIND('112'!$M$9,G6387,1)),"",IF((AND(LEFT(G6387,2)=LEFT('112'!$M$9,2),B6387&lt;'112'!$K$9,$N6387='112'!$I$6)),"x",""))</f>
        <v/>
      </c>
      <c r="V6387" s="79" t="str">
        <f>IF(ISERROR(FIND('112'!$M$9,G6387,1)),"",IF((AND(RIGHT(G6387,2)=RIGHT('112'!$M$9,2),B6387&lt;'112'!$K$9,$O6387='112'!$I$6)),"x",""))</f>
        <v/>
      </c>
      <c r="W6387" s="79" t="str">
        <f>IF(AND('341-CT'!$H$9=H6387,OR(LEFT(N6387,3)=$W$7,LEFT(O6387,3)=$W$7)),"x","")</f>
        <v/>
      </c>
      <c r="X6387" s="79" t="str">
        <f>IF(OR(TH!N6387=TH!$X$7,O6387=TH!$X$7),"x","")</f>
        <v/>
      </c>
      <c r="Y6387" s="79" t="str">
        <f>IF(AND(OR(N6387="131",O6387="131"),H6387='131-CT'!$H$9),"x","")</f>
        <v/>
      </c>
      <c r="Z6387" s="79"/>
      <c r="AA6387" s="79" t="str">
        <f>IF(AND(MONTH(E6387)='IN-NX'!$J$5,'IN-NX'!$D$7=D6387),"x","")</f>
        <v/>
      </c>
      <c r="AB6387" s="79" t="str">
        <f>IF(AND(OR(LEFT(TH!N6387,2)="15",LEFT(TH!O6387,2)="15"),LEFT(TH!O6387,3)&lt;&gt;"111",'152-CT'!$J$8=TH!F6387),"x","")</f>
        <v/>
      </c>
      <c r="AC6387" s="79" t="str">
        <f>IF(AND(OR(LEFT(TH!N6387,2)="15",LEFT(TH!O6387,2)="15"),TK!$E$7=TH!F6387),"x","")</f>
        <v/>
      </c>
      <c r="AD6387" s="79" t="str">
        <f>IF(AND(N6387="1521",MONTH(C6387)='BK-NL'!$M$11),"x","")</f>
        <v/>
      </c>
    </row>
    <row r="6388" spans="1:30" ht="16.5" customHeight="1">
      <c r="A6388" s="318" t="str">
        <f>IF(B6388&lt;&gt;"",IF(AND(B6388='IN-TC'!$S$4,OR(TH!N6388="1111",TH!O6388="1111")),TH!D6388,""),"")</f>
        <v/>
      </c>
      <c r="B6388" s="1163" t="str">
        <f t="shared" si="520"/>
        <v/>
      </c>
      <c r="C6388" s="61"/>
      <c r="D6388" s="301"/>
      <c r="E6388" s="61"/>
      <c r="F6388" s="69"/>
      <c r="G6388" s="766"/>
      <c r="H6388" s="321"/>
      <c r="I6388" s="385"/>
      <c r="J6388" s="392"/>
      <c r="K6388" s="385"/>
      <c r="L6388" s="392"/>
      <c r="M6388" s="62"/>
      <c r="N6388" s="63"/>
      <c r="O6388" s="63"/>
      <c r="P6388" s="79" t="str">
        <f>IF(AND('331-CT'!$E$7=TH!H6388,OR(N6388="331",O6388="331")),"x","")</f>
        <v/>
      </c>
      <c r="Q6388" s="79" t="str">
        <f>IF(AND(B6388='111'!$L$11,OR($N6388=$Q$7,$O6388=$Q$7)),"x","")</f>
        <v/>
      </c>
      <c r="R6388" s="79" t="str">
        <f>IF(AND($N6388=$Q$7,$B6388&lt;'111'!$L$11),"x","")</f>
        <v/>
      </c>
      <c r="S6388" s="79" t="str">
        <f>IF(AND($O6388=$Q$7,$B6388&lt;'111'!$L$11),"x","")</f>
        <v/>
      </c>
      <c r="T6388" s="79" t="str">
        <f>IF(ISERROR(FIND('112'!$M$9,G6388,1)),"",IF((AND(FIND('112'!$M$9,G6388,1)&gt;=1,B6388='112'!$K$9,OR($N6388='112'!$I$6,$O6388='112'!$I$6))),"x",""))</f>
        <v/>
      </c>
      <c r="U6388" s="79" t="str">
        <f>IF(ISERROR(FIND('112'!$M$9,G6388,1)),"",IF((AND(LEFT(G6388,2)=LEFT('112'!$M$9,2),B6388&lt;'112'!$K$9,$N6388='112'!$I$6)),"x",""))</f>
        <v/>
      </c>
      <c r="V6388" s="79" t="str">
        <f>IF(ISERROR(FIND('112'!$M$9,G6388,1)),"",IF((AND(RIGHT(G6388,2)=RIGHT('112'!$M$9,2),B6388&lt;'112'!$K$9,$O6388='112'!$I$6)),"x",""))</f>
        <v/>
      </c>
      <c r="W6388" s="79" t="str">
        <f>IF(AND('341-CT'!$H$9=H6388,OR(LEFT(N6388,3)=$W$7,LEFT(O6388,3)=$W$7)),"x","")</f>
        <v/>
      </c>
      <c r="X6388" s="79" t="str">
        <f>IF(OR(TH!N6388=TH!$X$7,O6388=TH!$X$7),"x","")</f>
        <v/>
      </c>
      <c r="Y6388" s="79" t="str">
        <f>IF(AND(OR(N6388="131",O6388="131"),H6388='131-CT'!$H$9),"x","")</f>
        <v/>
      </c>
      <c r="Z6388" s="79"/>
      <c r="AA6388" s="79" t="str">
        <f>IF(AND(MONTH(E6388)='IN-NX'!$J$5,'IN-NX'!$D$7=D6388),"x","")</f>
        <v/>
      </c>
      <c r="AB6388" s="79" t="str">
        <f>IF(AND(OR(LEFT(TH!N6388,2)="15",LEFT(TH!O6388,2)="15"),LEFT(TH!O6388,3)&lt;&gt;"111",'152-CT'!$J$8=TH!F6388),"x","")</f>
        <v/>
      </c>
      <c r="AC6388" s="79" t="str">
        <f>IF(AND(OR(LEFT(TH!N6388,2)="15",LEFT(TH!O6388,2)="15"),TK!$E$7=TH!F6388),"x","")</f>
        <v/>
      </c>
      <c r="AD6388" s="79" t="str">
        <f>IF(AND(N6388="1521",MONTH(C6388)='BK-NL'!$M$11),"x","")</f>
        <v/>
      </c>
    </row>
    <row r="6389" spans="1:30" ht="16.5" customHeight="1">
      <c r="A6389" s="318" t="str">
        <f>IF(B6389&lt;&gt;"",IF(AND(B6389='IN-TC'!$S$4,OR(TH!N6389="1111",TH!O6389="1111")),TH!D6389,""),"")</f>
        <v/>
      </c>
      <c r="B6389" s="1163" t="str">
        <f t="shared" si="520"/>
        <v/>
      </c>
      <c r="C6389" s="61"/>
      <c r="D6389" s="301"/>
      <c r="E6389" s="61"/>
      <c r="F6389" s="69"/>
      <c r="G6389" s="766"/>
      <c r="H6389" s="321"/>
      <c r="I6389" s="385"/>
      <c r="J6389" s="392"/>
      <c r="K6389" s="385"/>
      <c r="L6389" s="392"/>
      <c r="M6389" s="62"/>
      <c r="N6389" s="63"/>
      <c r="O6389" s="63"/>
      <c r="P6389" s="79" t="str">
        <f>IF(AND('331-CT'!$E$7=TH!H6389,OR(N6389="331",O6389="331")),"x","")</f>
        <v/>
      </c>
      <c r="Q6389" s="79" t="str">
        <f>IF(AND(B6389='111'!$L$11,OR($N6389=$Q$7,$O6389=$Q$7)),"x","")</f>
        <v/>
      </c>
      <c r="R6389" s="79" t="str">
        <f>IF(AND($N6389=$Q$7,$B6389&lt;'111'!$L$11),"x","")</f>
        <v/>
      </c>
      <c r="S6389" s="79" t="str">
        <f>IF(AND($O6389=$Q$7,$B6389&lt;'111'!$L$11),"x","")</f>
        <v/>
      </c>
      <c r="T6389" s="79" t="str">
        <f>IF(ISERROR(FIND('112'!$M$9,G6389,1)),"",IF((AND(FIND('112'!$M$9,G6389,1)&gt;=1,B6389='112'!$K$9,OR($N6389='112'!$I$6,$O6389='112'!$I$6))),"x",""))</f>
        <v/>
      </c>
      <c r="U6389" s="79" t="str">
        <f>IF(ISERROR(FIND('112'!$M$9,G6389,1)),"",IF((AND(LEFT(G6389,2)=LEFT('112'!$M$9,2),B6389&lt;'112'!$K$9,$N6389='112'!$I$6)),"x",""))</f>
        <v/>
      </c>
      <c r="V6389" s="79" t="str">
        <f>IF(ISERROR(FIND('112'!$M$9,G6389,1)),"",IF((AND(RIGHT(G6389,2)=RIGHT('112'!$M$9,2),B6389&lt;'112'!$K$9,$O6389='112'!$I$6)),"x",""))</f>
        <v/>
      </c>
      <c r="W6389" s="79" t="str">
        <f>IF(AND('341-CT'!$H$9=H6389,OR(LEFT(N6389,3)=$W$7,LEFT(O6389,3)=$W$7)),"x","")</f>
        <v/>
      </c>
      <c r="X6389" s="79" t="str">
        <f>IF(OR(TH!N6389=TH!$X$7,O6389=TH!$X$7),"x","")</f>
        <v/>
      </c>
      <c r="Y6389" s="79" t="str">
        <f>IF(AND(OR(N6389="131",O6389="131"),H6389='131-CT'!$H$9),"x","")</f>
        <v/>
      </c>
      <c r="Z6389" s="79"/>
      <c r="AA6389" s="79" t="str">
        <f>IF(AND(MONTH(E6389)='IN-NX'!$J$5,'IN-NX'!$D$7=D6389),"x","")</f>
        <v/>
      </c>
      <c r="AB6389" s="79" t="str">
        <f>IF(AND(OR(LEFT(TH!N6389,2)="15",LEFT(TH!O6389,2)="15"),LEFT(TH!O6389,3)&lt;&gt;"111",'152-CT'!$J$8=TH!F6389),"x","")</f>
        <v/>
      </c>
      <c r="AC6389" s="79" t="str">
        <f>IF(AND(OR(LEFT(TH!N6389,2)="15",LEFT(TH!O6389,2)="15"),TK!$E$7=TH!F6389),"x","")</f>
        <v/>
      </c>
      <c r="AD6389" s="79" t="str">
        <f>IF(AND(N6389="1521",MONTH(C6389)='BK-NL'!$M$11),"x","")</f>
        <v/>
      </c>
    </row>
    <row r="6390" spans="1:30" ht="16.5" customHeight="1">
      <c r="A6390" s="318" t="str">
        <f>IF(B6390&lt;&gt;"",IF(AND(B6390='IN-TC'!$S$4,OR(TH!N6390="1111",TH!O6390="1111")),TH!D6390,""),"")</f>
        <v/>
      </c>
      <c r="B6390" s="1163" t="str">
        <f t="shared" si="520"/>
        <v/>
      </c>
      <c r="C6390" s="61"/>
      <c r="D6390" s="301"/>
      <c r="E6390" s="61"/>
      <c r="F6390" s="69"/>
      <c r="G6390" s="766"/>
      <c r="H6390" s="321"/>
      <c r="I6390" s="385"/>
      <c r="J6390" s="392"/>
      <c r="K6390" s="385"/>
      <c r="L6390" s="392"/>
      <c r="M6390" s="62"/>
      <c r="N6390" s="63"/>
      <c r="O6390" s="63"/>
      <c r="P6390" s="79" t="str">
        <f>IF(AND('331-CT'!$E$7=TH!H6390,OR(N6390="331",O6390="331")),"x","")</f>
        <v/>
      </c>
      <c r="Q6390" s="79" t="str">
        <f>IF(AND(B6390='111'!$L$11,OR($N6390=$Q$7,$O6390=$Q$7)),"x","")</f>
        <v/>
      </c>
      <c r="R6390" s="79" t="str">
        <f>IF(AND($N6390=$Q$7,$B6390&lt;'111'!$L$11),"x","")</f>
        <v/>
      </c>
      <c r="S6390" s="79" t="str">
        <f>IF(AND($O6390=$Q$7,$B6390&lt;'111'!$L$11),"x","")</f>
        <v/>
      </c>
      <c r="T6390" s="79" t="str">
        <f>IF(ISERROR(FIND('112'!$M$9,G6390,1)),"",IF((AND(FIND('112'!$M$9,G6390,1)&gt;=1,B6390='112'!$K$9,OR($N6390='112'!$I$6,$O6390='112'!$I$6))),"x",""))</f>
        <v/>
      </c>
      <c r="U6390" s="79" t="str">
        <f>IF(ISERROR(FIND('112'!$M$9,G6390,1)),"",IF((AND(LEFT(G6390,2)=LEFT('112'!$M$9,2),B6390&lt;'112'!$K$9,$N6390='112'!$I$6)),"x",""))</f>
        <v/>
      </c>
      <c r="V6390" s="79" t="str">
        <f>IF(ISERROR(FIND('112'!$M$9,G6390,1)),"",IF((AND(RIGHT(G6390,2)=RIGHT('112'!$M$9,2),B6390&lt;'112'!$K$9,$O6390='112'!$I$6)),"x",""))</f>
        <v/>
      </c>
      <c r="W6390" s="79" t="str">
        <f>IF(AND('341-CT'!$H$9=H6390,OR(LEFT(N6390,3)=$W$7,LEFT(O6390,3)=$W$7)),"x","")</f>
        <v/>
      </c>
      <c r="X6390" s="79" t="str">
        <f>IF(OR(TH!N6390=TH!$X$7,O6390=TH!$X$7),"x","")</f>
        <v/>
      </c>
      <c r="Y6390" s="79" t="str">
        <f>IF(AND(OR(N6390="131",O6390="131"),H6390='131-CT'!$H$9),"x","")</f>
        <v/>
      </c>
      <c r="Z6390" s="79"/>
      <c r="AA6390" s="79" t="str">
        <f>IF(AND(MONTH(E6390)='IN-NX'!$J$5,'IN-NX'!$D$7=D6390),"x","")</f>
        <v/>
      </c>
      <c r="AB6390" s="79" t="str">
        <f>IF(AND(OR(LEFT(TH!N6390,2)="15",LEFT(TH!O6390,2)="15"),LEFT(TH!O6390,3)&lt;&gt;"111",'152-CT'!$J$8=TH!F6390),"x","")</f>
        <v/>
      </c>
      <c r="AC6390" s="79" t="str">
        <f>IF(AND(OR(LEFT(TH!N6390,2)="15",LEFT(TH!O6390,2)="15"),TK!$E$7=TH!F6390),"x","")</f>
        <v/>
      </c>
      <c r="AD6390" s="79" t="str">
        <f>IF(AND(N6390="1521",MONTH(C6390)='BK-NL'!$M$11),"x","")</f>
        <v/>
      </c>
    </row>
    <row r="6391" spans="1:30" ht="16.5" customHeight="1">
      <c r="A6391" s="318" t="str">
        <f>IF(B6391&lt;&gt;"",IF(AND(B6391='IN-TC'!$S$4,OR(TH!N6391="1111",TH!O6391="1111")),TH!D6391,""),"")</f>
        <v/>
      </c>
      <c r="B6391" s="1163" t="str">
        <f t="shared" si="520"/>
        <v/>
      </c>
      <c r="C6391" s="61"/>
      <c r="D6391" s="301"/>
      <c r="E6391" s="61"/>
      <c r="F6391" s="69"/>
      <c r="G6391" s="766"/>
      <c r="H6391" s="925"/>
      <c r="I6391" s="385"/>
      <c r="J6391" s="392"/>
      <c r="K6391" s="385"/>
      <c r="L6391" s="392"/>
      <c r="M6391" s="62"/>
      <c r="N6391" s="63"/>
      <c r="O6391" s="63"/>
      <c r="P6391" s="79" t="str">
        <f>IF(AND('331-CT'!$E$7=TH!H6391,OR(N6391="331",O6391="331")),"x","")</f>
        <v/>
      </c>
      <c r="Q6391" s="79" t="str">
        <f>IF(AND(B6391='111'!$L$11,OR($N6391=$Q$7,$O6391=$Q$7)),"x","")</f>
        <v/>
      </c>
      <c r="R6391" s="79" t="str">
        <f>IF(AND($N6391=$Q$7,$B6391&lt;'111'!$L$11),"x","")</f>
        <v/>
      </c>
      <c r="S6391" s="79" t="str">
        <f>IF(AND($O6391=$Q$7,$B6391&lt;'111'!$L$11),"x","")</f>
        <v/>
      </c>
      <c r="T6391" s="79" t="str">
        <f>IF(ISERROR(FIND('112'!$M$9,G6391,1)),"",IF((AND(FIND('112'!$M$9,G6391,1)&gt;=1,B6391='112'!$K$9,OR($N6391='112'!$I$6,$O6391='112'!$I$6))),"x",""))</f>
        <v/>
      </c>
      <c r="U6391" s="79" t="str">
        <f>IF(ISERROR(FIND('112'!$M$9,G6391,1)),"",IF((AND(LEFT(G6391,2)=LEFT('112'!$M$9,2),B6391&lt;'112'!$K$9,$N6391='112'!$I$6)),"x",""))</f>
        <v/>
      </c>
      <c r="V6391" s="79" t="str">
        <f>IF(ISERROR(FIND('112'!$M$9,G6391,1)),"",IF((AND(RIGHT(G6391,2)=RIGHT('112'!$M$9,2),B6391&lt;'112'!$K$9,$O6391='112'!$I$6)),"x",""))</f>
        <v/>
      </c>
      <c r="W6391" s="79" t="str">
        <f>IF(AND('341-CT'!$H$9=H6391,OR(LEFT(N6391,3)=$W$7,LEFT(O6391,3)=$W$7)),"x","")</f>
        <v/>
      </c>
      <c r="X6391" s="79" t="str">
        <f>IF(OR(TH!N6391=TH!$X$7,O6391=TH!$X$7),"x","")</f>
        <v/>
      </c>
      <c r="Y6391" s="79" t="str">
        <f>IF(AND(OR(N6391="131",O6391="131"),H6391='131-CT'!$H$9),"x","")</f>
        <v/>
      </c>
      <c r="Z6391" s="79"/>
      <c r="AA6391" s="79" t="str">
        <f>IF(AND(MONTH(E6391)='IN-NX'!$J$5,'IN-NX'!$D$7=D6391),"x","")</f>
        <v/>
      </c>
      <c r="AB6391" s="79" t="str">
        <f>IF(AND(OR(LEFT(TH!N6391,2)="15",LEFT(TH!O6391,2)="15"),LEFT(TH!O6391,3)&lt;&gt;"111",'152-CT'!$J$8=TH!F6391),"x","")</f>
        <v/>
      </c>
      <c r="AC6391" s="79" t="str">
        <f>IF(AND(OR(LEFT(TH!N6391,2)="15",LEFT(TH!O6391,2)="15"),TK!$E$7=TH!F6391),"x","")</f>
        <v/>
      </c>
      <c r="AD6391" s="79" t="str">
        <f>IF(AND(N6391="1521",MONTH(C6391)='BK-NL'!$M$11),"x","")</f>
        <v/>
      </c>
    </row>
    <row r="6392" spans="1:30" ht="16.5" customHeight="1">
      <c r="A6392" s="318" t="str">
        <f>IF(B6392&lt;&gt;"",IF(AND(B6392='IN-TC'!$S$4,OR(TH!N6392="1111",TH!O6392="1111")),TH!D6392,""),"")</f>
        <v/>
      </c>
      <c r="B6392" s="1163" t="str">
        <f t="shared" si="520"/>
        <v/>
      </c>
      <c r="C6392" s="61"/>
      <c r="D6392" s="301"/>
      <c r="E6392" s="61"/>
      <c r="F6392" s="69"/>
      <c r="G6392" s="766"/>
      <c r="H6392" s="321"/>
      <c r="I6392" s="385"/>
      <c r="J6392" s="392"/>
      <c r="K6392" s="385"/>
      <c r="L6392" s="392"/>
      <c r="M6392" s="62"/>
      <c r="N6392" s="63"/>
      <c r="O6392" s="63"/>
      <c r="P6392" s="79" t="str">
        <f>IF(AND('331-CT'!$E$7=TH!H6392,OR(N6392="331",O6392="331")),"x","")</f>
        <v/>
      </c>
      <c r="Q6392" s="79" t="str">
        <f>IF(AND(B6392='111'!$L$11,OR($N6392=$Q$7,$O6392=$Q$7)),"x","")</f>
        <v/>
      </c>
      <c r="R6392" s="79" t="str">
        <f>IF(AND($N6392=$Q$7,$B6392&lt;'111'!$L$11),"x","")</f>
        <v/>
      </c>
      <c r="S6392" s="79" t="str">
        <f>IF(AND($O6392=$Q$7,$B6392&lt;'111'!$L$11),"x","")</f>
        <v/>
      </c>
      <c r="T6392" s="79" t="str">
        <f>IF(ISERROR(FIND('112'!$M$9,G6392,1)),"",IF((AND(FIND('112'!$M$9,G6392,1)&gt;=1,B6392='112'!$K$9,OR($N6392='112'!$I$6,$O6392='112'!$I$6))),"x",""))</f>
        <v/>
      </c>
      <c r="U6392" s="79" t="str">
        <f>IF(ISERROR(FIND('112'!$M$9,G6392,1)),"",IF((AND(LEFT(G6392,2)=LEFT('112'!$M$9,2),B6392&lt;'112'!$K$9,$N6392='112'!$I$6)),"x",""))</f>
        <v/>
      </c>
      <c r="V6392" s="79" t="str">
        <f>IF(ISERROR(FIND('112'!$M$9,G6392,1)),"",IF((AND(RIGHT(G6392,2)=RIGHT('112'!$M$9,2),B6392&lt;'112'!$K$9,$O6392='112'!$I$6)),"x",""))</f>
        <v/>
      </c>
      <c r="W6392" s="79" t="str">
        <f>IF(AND('341-CT'!$H$9=H6392,OR(LEFT(N6392,3)=$W$7,LEFT(O6392,3)=$W$7)),"x","")</f>
        <v/>
      </c>
      <c r="X6392" s="79" t="str">
        <f>IF(OR(TH!N6392=TH!$X$7,O6392=TH!$X$7),"x","")</f>
        <v/>
      </c>
      <c r="Y6392" s="79" t="str">
        <f>IF(AND(OR(N6392="131",O6392="131"),H6392='131-CT'!$H$9),"x","")</f>
        <v/>
      </c>
      <c r="Z6392" s="79"/>
      <c r="AA6392" s="79" t="str">
        <f>IF(AND(MONTH(E6392)='IN-NX'!$J$5,'IN-NX'!$D$7=D6392),"x","")</f>
        <v/>
      </c>
      <c r="AB6392" s="79" t="str">
        <f>IF(AND(OR(LEFT(TH!N6392,2)="15",LEFT(TH!O6392,2)="15"),LEFT(TH!O6392,3)&lt;&gt;"111",'152-CT'!$J$8=TH!F6392),"x","")</f>
        <v/>
      </c>
      <c r="AC6392" s="79" t="str">
        <f>IF(AND(OR(LEFT(TH!N6392,2)="15",LEFT(TH!O6392,2)="15"),TK!$E$7=TH!F6392),"x","")</f>
        <v/>
      </c>
      <c r="AD6392" s="79" t="str">
        <f>IF(AND(N6392="1521",MONTH(C6392)='BK-NL'!$M$11),"x","")</f>
        <v/>
      </c>
    </row>
    <row r="6393" spans="1:30" ht="16.5" customHeight="1">
      <c r="A6393" s="318" t="str">
        <f>IF(B6393&lt;&gt;"",IF(AND(B6393='IN-TC'!$S$4,OR(TH!N6393="1111",TH!O6393="1111")),TH!D6393,""),"")</f>
        <v/>
      </c>
      <c r="B6393" s="1163" t="str">
        <f t="shared" si="520"/>
        <v/>
      </c>
      <c r="C6393" s="61"/>
      <c r="D6393" s="301"/>
      <c r="E6393" s="61"/>
      <c r="F6393" s="69"/>
      <c r="G6393" s="766"/>
      <c r="H6393" s="69"/>
      <c r="I6393" s="385"/>
      <c r="J6393" s="392"/>
      <c r="K6393" s="385"/>
      <c r="L6393" s="392"/>
      <c r="M6393" s="62"/>
      <c r="N6393" s="63"/>
      <c r="O6393" s="63"/>
      <c r="P6393" s="79" t="str">
        <f>IF(AND('331-CT'!$E$7=TH!H6393,OR(N6393="331",O6393="331")),"x","")</f>
        <v/>
      </c>
      <c r="Q6393" s="79" t="str">
        <f>IF(AND(B6393='111'!$L$11,OR($N6393=$Q$7,$O6393=$Q$7)),"x","")</f>
        <v/>
      </c>
      <c r="R6393" s="79" t="str">
        <f>IF(AND($N6393=$Q$7,$B6393&lt;'111'!$L$11),"x","")</f>
        <v/>
      </c>
      <c r="S6393" s="79" t="str">
        <f>IF(AND($O6393=$Q$7,$B6393&lt;'111'!$L$11),"x","")</f>
        <v/>
      </c>
      <c r="T6393" s="79" t="str">
        <f>IF(ISERROR(FIND('112'!$M$9,G6393,1)),"",IF((AND(FIND('112'!$M$9,G6393,1)&gt;=1,B6393='112'!$K$9,OR($N6393='112'!$I$6,$O6393='112'!$I$6))),"x",""))</f>
        <v/>
      </c>
      <c r="U6393" s="79" t="str">
        <f>IF(ISERROR(FIND('112'!$M$9,G6393,1)),"",IF((AND(LEFT(G6393,2)=LEFT('112'!$M$9,2),B6393&lt;'112'!$K$9,$N6393='112'!$I$6)),"x",""))</f>
        <v/>
      </c>
      <c r="V6393" s="79" t="str">
        <f>IF(ISERROR(FIND('112'!$M$9,G6393,1)),"",IF((AND(RIGHT(G6393,2)=RIGHT('112'!$M$9,2),B6393&lt;'112'!$K$9,$O6393='112'!$I$6)),"x",""))</f>
        <v/>
      </c>
      <c r="W6393" s="79" t="str">
        <f>IF(AND('341-CT'!$H$9=H6393,OR(LEFT(N6393,3)=$W$7,LEFT(O6393,3)=$W$7)),"x","")</f>
        <v/>
      </c>
      <c r="X6393" s="79" t="str">
        <f>IF(OR(TH!N6393=TH!$X$7,O6393=TH!$X$7),"x","")</f>
        <v/>
      </c>
      <c r="Y6393" s="79" t="str">
        <f>IF(AND(OR(N6393="131",O6393="131"),H6393='131-CT'!$H$9),"x","")</f>
        <v/>
      </c>
      <c r="Z6393" s="79"/>
      <c r="AA6393" s="79" t="str">
        <f>IF(AND(MONTH(E6393)='IN-NX'!$J$5,'IN-NX'!$D$7=D6393),"x","")</f>
        <v/>
      </c>
      <c r="AB6393" s="79" t="str">
        <f>IF(AND(OR(LEFT(TH!N6393,2)="15",LEFT(TH!O6393,2)="15"),LEFT(TH!O6393,3)&lt;&gt;"111",'152-CT'!$J$8=TH!F6393),"x","")</f>
        <v/>
      </c>
      <c r="AC6393" s="79" t="str">
        <f>IF(AND(OR(LEFT(TH!N6393,2)="15",LEFT(TH!O6393,2)="15"),TK!$E$7=TH!F6393),"x","")</f>
        <v/>
      </c>
      <c r="AD6393" s="79" t="str">
        <f>IF(AND(N6393="1521",MONTH(C6393)='BK-NL'!$M$11),"x","")</f>
        <v/>
      </c>
    </row>
    <row r="6394" spans="1:30" ht="16.5" customHeight="1">
      <c r="A6394" s="318" t="str">
        <f>IF(B6394&lt;&gt;"",IF(AND(B6394='IN-TC'!$S$4,OR(TH!N6394="1111",TH!O6394="1111")),TH!D6394,""),"")</f>
        <v/>
      </c>
      <c r="B6394" s="1163" t="str">
        <f t="shared" si="520"/>
        <v/>
      </c>
      <c r="C6394" s="61"/>
      <c r="D6394" s="301"/>
      <c r="E6394" s="61"/>
      <c r="F6394" s="69"/>
      <c r="G6394" s="766"/>
      <c r="H6394" s="69"/>
      <c r="I6394" s="385"/>
      <c r="J6394" s="392"/>
      <c r="K6394" s="385"/>
      <c r="L6394" s="392"/>
      <c r="M6394" s="62"/>
      <c r="N6394" s="63"/>
      <c r="O6394" s="63"/>
      <c r="P6394" s="79" t="str">
        <f>IF(AND('331-CT'!$E$7=TH!H6394,OR(N6394="331",O6394="331")),"x","")</f>
        <v/>
      </c>
      <c r="Q6394" s="79" t="str">
        <f>IF(AND(B6394='111'!$L$11,OR($N6394=$Q$7,$O6394=$Q$7)),"x","")</f>
        <v/>
      </c>
      <c r="R6394" s="79" t="str">
        <f>IF(AND($N6394=$Q$7,$B6394&lt;'111'!$L$11),"x","")</f>
        <v/>
      </c>
      <c r="S6394" s="79" t="str">
        <f>IF(AND($O6394=$Q$7,$B6394&lt;'111'!$L$11),"x","")</f>
        <v/>
      </c>
      <c r="T6394" s="79" t="str">
        <f>IF(ISERROR(FIND('112'!$M$9,G6394,1)),"",IF((AND(FIND('112'!$M$9,G6394,1)&gt;=1,B6394='112'!$K$9,OR($N6394='112'!$I$6,$O6394='112'!$I$6))),"x",""))</f>
        <v/>
      </c>
      <c r="U6394" s="79" t="str">
        <f>IF(ISERROR(FIND('112'!$M$9,G6394,1)),"",IF((AND(LEFT(G6394,2)=LEFT('112'!$M$9,2),B6394&lt;'112'!$K$9,$N6394='112'!$I$6)),"x",""))</f>
        <v/>
      </c>
      <c r="V6394" s="79" t="str">
        <f>IF(ISERROR(FIND('112'!$M$9,G6394,1)),"",IF((AND(RIGHT(G6394,2)=RIGHT('112'!$M$9,2),B6394&lt;'112'!$K$9,$O6394='112'!$I$6)),"x",""))</f>
        <v/>
      </c>
      <c r="W6394" s="79" t="str">
        <f>IF(AND('341-CT'!$H$9=H6394,OR(LEFT(N6394,3)=$W$7,LEFT(O6394,3)=$W$7)),"x","")</f>
        <v/>
      </c>
      <c r="X6394" s="79" t="str">
        <f>IF(OR(TH!N6394=TH!$X$7,O6394=TH!$X$7),"x","")</f>
        <v/>
      </c>
      <c r="Y6394" s="79" t="str">
        <f>IF(AND(OR(N6394="131",O6394="131"),H6394='131-CT'!$H$9),"x","")</f>
        <v/>
      </c>
      <c r="Z6394" s="79"/>
      <c r="AA6394" s="79" t="str">
        <f>IF(AND(MONTH(E6394)='IN-NX'!$J$5,'IN-NX'!$D$7=D6394),"x","")</f>
        <v/>
      </c>
      <c r="AB6394" s="79" t="str">
        <f>IF(AND(OR(LEFT(TH!N6394,2)="15",LEFT(TH!O6394,2)="15"),LEFT(TH!O6394,3)&lt;&gt;"111",'152-CT'!$J$8=TH!F6394),"x","")</f>
        <v/>
      </c>
      <c r="AC6394" s="79" t="str">
        <f>IF(AND(OR(LEFT(TH!N6394,2)="15",LEFT(TH!O6394,2)="15"),TK!$E$7=TH!F6394),"x","")</f>
        <v/>
      </c>
      <c r="AD6394" s="79" t="str">
        <f>IF(AND(N6394="1521",MONTH(C6394)='BK-NL'!$M$11),"x","")</f>
        <v/>
      </c>
    </row>
    <row r="6395" spans="1:30" ht="16.5" customHeight="1">
      <c r="A6395" s="318" t="str">
        <f>IF(B6395&lt;&gt;"",IF(AND(B6395='IN-TC'!$S$4,OR(TH!N6395="1111",TH!O6395="1111")),TH!D6395,""),"")</f>
        <v/>
      </c>
      <c r="B6395" s="1163" t="str">
        <f t="shared" si="520"/>
        <v/>
      </c>
      <c r="C6395" s="61"/>
      <c r="D6395" s="301"/>
      <c r="E6395" s="61"/>
      <c r="F6395" s="69"/>
      <c r="G6395" s="766"/>
      <c r="H6395" s="925"/>
      <c r="I6395" s="385"/>
      <c r="J6395" s="392"/>
      <c r="K6395" s="385"/>
      <c r="L6395" s="392"/>
      <c r="M6395" s="62"/>
      <c r="N6395" s="63"/>
      <c r="O6395" s="63"/>
      <c r="P6395" s="79" t="str">
        <f>IF(AND('331-CT'!$E$7=TH!H6395,OR(N6395="331",O6395="331")),"x","")</f>
        <v/>
      </c>
      <c r="Q6395" s="79" t="str">
        <f>IF(AND(B6395='111'!$L$11,OR($N6395=$Q$7,$O6395=$Q$7)),"x","")</f>
        <v/>
      </c>
      <c r="R6395" s="79" t="str">
        <f>IF(AND($N6395=$Q$7,$B6395&lt;'111'!$L$11),"x","")</f>
        <v/>
      </c>
      <c r="S6395" s="79" t="str">
        <f>IF(AND($O6395=$Q$7,$B6395&lt;'111'!$L$11),"x","")</f>
        <v/>
      </c>
      <c r="T6395" s="79" t="str">
        <f>IF(ISERROR(FIND('112'!$M$9,G6395,1)),"",IF((AND(FIND('112'!$M$9,G6395,1)&gt;=1,B6395='112'!$K$9,OR($N6395='112'!$I$6,$O6395='112'!$I$6))),"x",""))</f>
        <v/>
      </c>
      <c r="U6395" s="79" t="str">
        <f>IF(ISERROR(FIND('112'!$M$9,G6395,1)),"",IF((AND(LEFT(G6395,2)=LEFT('112'!$M$9,2),B6395&lt;'112'!$K$9,$N6395='112'!$I$6)),"x",""))</f>
        <v/>
      </c>
      <c r="V6395" s="79" t="str">
        <f>IF(ISERROR(FIND('112'!$M$9,G6395,1)),"",IF((AND(RIGHT(G6395,2)=RIGHT('112'!$M$9,2),B6395&lt;'112'!$K$9,$O6395='112'!$I$6)),"x",""))</f>
        <v/>
      </c>
      <c r="W6395" s="79" t="str">
        <f>IF(AND('341-CT'!$H$9=H6395,OR(LEFT(N6395,3)=$W$7,LEFT(O6395,3)=$W$7)),"x","")</f>
        <v/>
      </c>
      <c r="X6395" s="79" t="str">
        <f>IF(OR(TH!N6395=TH!$X$7,O6395=TH!$X$7),"x","")</f>
        <v/>
      </c>
      <c r="Y6395" s="79" t="str">
        <f>IF(AND(OR(N6395="131",O6395="131"),H6395='131-CT'!$H$9),"x","")</f>
        <v/>
      </c>
      <c r="Z6395" s="79"/>
      <c r="AA6395" s="79" t="str">
        <f>IF(AND(MONTH(E6395)='IN-NX'!$J$5,'IN-NX'!$D$7=D6395),"x","")</f>
        <v/>
      </c>
      <c r="AB6395" s="79" t="str">
        <f>IF(AND(OR(LEFT(TH!N6395,2)="15",LEFT(TH!O6395,2)="15"),LEFT(TH!O6395,3)&lt;&gt;"111",'152-CT'!$J$8=TH!F6395),"x","")</f>
        <v/>
      </c>
      <c r="AC6395" s="79" t="str">
        <f>IF(AND(OR(LEFT(TH!N6395,2)="15",LEFT(TH!O6395,2)="15"),TK!$E$7=TH!F6395),"x","")</f>
        <v/>
      </c>
      <c r="AD6395" s="79" t="str">
        <f>IF(AND(N6395="1521",MONTH(C6395)='BK-NL'!$M$11),"x","")</f>
        <v/>
      </c>
    </row>
    <row r="6396" spans="1:30" ht="16.5" customHeight="1">
      <c r="A6396" s="318" t="str">
        <f>IF(B6396&lt;&gt;"",IF(AND(B6396='IN-TC'!$S$4,OR(TH!N6396="1111",TH!O6396="1111")),TH!D6396,""),"")</f>
        <v/>
      </c>
      <c r="B6396" s="1163" t="str">
        <f t="shared" si="520"/>
        <v/>
      </c>
      <c r="C6396" s="61"/>
      <c r="D6396" s="301"/>
      <c r="E6396" s="61"/>
      <c r="F6396" s="69"/>
      <c r="G6396" s="766"/>
      <c r="H6396" s="69"/>
      <c r="I6396" s="385"/>
      <c r="J6396" s="392"/>
      <c r="K6396" s="385"/>
      <c r="L6396" s="392"/>
      <c r="M6396" s="62"/>
      <c r="N6396" s="63"/>
      <c r="O6396" s="63"/>
      <c r="P6396" s="79" t="str">
        <f>IF(AND('331-CT'!$E$7=TH!H6396,OR(N6396="331",O6396="331")),"x","")</f>
        <v/>
      </c>
      <c r="Q6396" s="79" t="str">
        <f>IF(AND(B6396='111'!$L$11,OR($N6396=$Q$7,$O6396=$Q$7)),"x","")</f>
        <v/>
      </c>
      <c r="R6396" s="79" t="str">
        <f>IF(AND($N6396=$Q$7,$B6396&lt;'111'!$L$11),"x","")</f>
        <v/>
      </c>
      <c r="S6396" s="79" t="str">
        <f>IF(AND($O6396=$Q$7,$B6396&lt;'111'!$L$11),"x","")</f>
        <v/>
      </c>
      <c r="T6396" s="79" t="str">
        <f>IF(ISERROR(FIND('112'!$M$9,G6396,1)),"",IF((AND(FIND('112'!$M$9,G6396,1)&gt;=1,B6396='112'!$K$9,OR($N6396='112'!$I$6,$O6396='112'!$I$6))),"x",""))</f>
        <v/>
      </c>
      <c r="U6396" s="79" t="str">
        <f>IF(ISERROR(FIND('112'!$M$9,G6396,1)),"",IF((AND(LEFT(G6396,2)=LEFT('112'!$M$9,2),B6396&lt;'112'!$K$9,$N6396='112'!$I$6)),"x",""))</f>
        <v/>
      </c>
      <c r="V6396" s="79" t="str">
        <f>IF(ISERROR(FIND('112'!$M$9,G6396,1)),"",IF((AND(RIGHT(G6396,2)=RIGHT('112'!$M$9,2),B6396&lt;'112'!$K$9,$O6396='112'!$I$6)),"x",""))</f>
        <v/>
      </c>
      <c r="W6396" s="79" t="str">
        <f>IF(AND('341-CT'!$H$9=H6396,OR(LEFT(N6396,3)=$W$7,LEFT(O6396,3)=$W$7)),"x","")</f>
        <v/>
      </c>
      <c r="X6396" s="79" t="str">
        <f>IF(OR(TH!N6396=TH!$X$7,O6396=TH!$X$7),"x","")</f>
        <v/>
      </c>
      <c r="Y6396" s="79" t="str">
        <f>IF(AND(OR(N6396="131",O6396="131"),H6396='131-CT'!$H$9),"x","")</f>
        <v/>
      </c>
      <c r="Z6396" s="79"/>
      <c r="AA6396" s="79" t="str">
        <f>IF(AND(MONTH(E6396)='IN-NX'!$J$5,'IN-NX'!$D$7=D6396),"x","")</f>
        <v/>
      </c>
      <c r="AB6396" s="79" t="str">
        <f>IF(AND(OR(LEFT(TH!N6396,2)="15",LEFT(TH!O6396,2)="15"),LEFT(TH!O6396,3)&lt;&gt;"111",'152-CT'!$J$8=TH!F6396),"x","")</f>
        <v/>
      </c>
      <c r="AC6396" s="79" t="str">
        <f>IF(AND(OR(LEFT(TH!N6396,2)="15",LEFT(TH!O6396,2)="15"),TK!$E$7=TH!F6396),"x","")</f>
        <v/>
      </c>
      <c r="AD6396" s="79" t="str">
        <f>IF(AND(N6396="1521",MONTH(C6396)='BK-NL'!$M$11),"x","")</f>
        <v/>
      </c>
    </row>
    <row r="6397" spans="1:30" ht="16.5" customHeight="1">
      <c r="A6397" s="318" t="str">
        <f>IF(B6397&lt;&gt;"",IF(AND(B6397='IN-TC'!$S$4,OR(TH!N6397="1111",TH!O6397="1111")),TH!D6397,""),"")</f>
        <v/>
      </c>
      <c r="B6397" s="1163" t="str">
        <f t="shared" si="520"/>
        <v/>
      </c>
      <c r="C6397" s="61"/>
      <c r="D6397" s="301"/>
      <c r="E6397" s="61"/>
      <c r="F6397" s="69"/>
      <c r="G6397" s="766"/>
      <c r="H6397" s="69"/>
      <c r="I6397" s="385"/>
      <c r="J6397" s="392"/>
      <c r="K6397" s="385"/>
      <c r="L6397" s="392"/>
      <c r="M6397" s="62"/>
      <c r="N6397" s="63"/>
      <c r="O6397" s="63"/>
      <c r="P6397" s="79" t="str">
        <f>IF(AND('331-CT'!$E$7=TH!H6397,OR(N6397="331",O6397="331")),"x","")</f>
        <v/>
      </c>
      <c r="Q6397" s="79" t="str">
        <f>IF(AND(B6397='111'!$L$11,OR($N6397=$Q$7,$O6397=$Q$7)),"x","")</f>
        <v/>
      </c>
      <c r="R6397" s="79" t="str">
        <f>IF(AND($N6397=$Q$7,$B6397&lt;'111'!$L$11),"x","")</f>
        <v/>
      </c>
      <c r="S6397" s="79" t="str">
        <f>IF(AND($O6397=$Q$7,$B6397&lt;'111'!$L$11),"x","")</f>
        <v/>
      </c>
      <c r="T6397" s="79" t="str">
        <f>IF(ISERROR(FIND('112'!$M$9,G6397,1)),"",IF((AND(FIND('112'!$M$9,G6397,1)&gt;=1,B6397='112'!$K$9,OR($N6397='112'!$I$6,$O6397='112'!$I$6))),"x",""))</f>
        <v/>
      </c>
      <c r="U6397" s="79" t="str">
        <f>IF(ISERROR(FIND('112'!$M$9,G6397,1)),"",IF((AND(LEFT(G6397,2)=LEFT('112'!$M$9,2),B6397&lt;'112'!$K$9,$N6397='112'!$I$6)),"x",""))</f>
        <v/>
      </c>
      <c r="V6397" s="79" t="str">
        <f>IF(ISERROR(FIND('112'!$M$9,G6397,1)),"",IF((AND(RIGHT(G6397,2)=RIGHT('112'!$M$9,2),B6397&lt;'112'!$K$9,$O6397='112'!$I$6)),"x",""))</f>
        <v/>
      </c>
      <c r="W6397" s="79" t="str">
        <f>IF(AND('341-CT'!$H$9=H6397,OR(LEFT(N6397,3)=$W$7,LEFT(O6397,3)=$W$7)),"x","")</f>
        <v/>
      </c>
      <c r="X6397" s="79" t="str">
        <f>IF(OR(TH!N6397=TH!$X$7,O6397=TH!$X$7),"x","")</f>
        <v/>
      </c>
      <c r="Y6397" s="79" t="str">
        <f>IF(AND(OR(N6397="131",O6397="131"),H6397='131-CT'!$H$9),"x","")</f>
        <v/>
      </c>
      <c r="Z6397" s="79"/>
      <c r="AA6397" s="79" t="str">
        <f>IF(AND(MONTH(E6397)='IN-NX'!$J$5,'IN-NX'!$D$7=D6397),"x","")</f>
        <v/>
      </c>
      <c r="AB6397" s="79" t="str">
        <f>IF(AND(OR(LEFT(TH!N6397,2)="15",LEFT(TH!O6397,2)="15"),LEFT(TH!O6397,3)&lt;&gt;"111",'152-CT'!$J$8=TH!F6397),"x","")</f>
        <v/>
      </c>
      <c r="AC6397" s="79" t="str">
        <f>IF(AND(OR(LEFT(TH!N6397,2)="15",LEFT(TH!O6397,2)="15"),TK!$E$7=TH!F6397),"x","")</f>
        <v/>
      </c>
      <c r="AD6397" s="79" t="str">
        <f>IF(AND(N6397="1521",MONTH(C6397)='BK-NL'!$M$11),"x","")</f>
        <v/>
      </c>
    </row>
    <row r="6398" spans="1:30" ht="16.5" customHeight="1">
      <c r="A6398" s="318" t="str">
        <f>IF(B6398&lt;&gt;"",IF(AND(B6398='IN-TC'!$S$4,OR(TH!N6398="1111",TH!O6398="1111")),TH!D6398,""),"")</f>
        <v/>
      </c>
      <c r="B6398" s="1163" t="str">
        <f t="shared" si="520"/>
        <v/>
      </c>
      <c r="C6398" s="61"/>
      <c r="D6398" s="301"/>
      <c r="E6398" s="61"/>
      <c r="F6398" s="69"/>
      <c r="G6398" s="766"/>
      <c r="H6398" s="69"/>
      <c r="I6398" s="385"/>
      <c r="J6398" s="392"/>
      <c r="K6398" s="385"/>
      <c r="L6398" s="392"/>
      <c r="M6398" s="62"/>
      <c r="N6398" s="63"/>
      <c r="O6398" s="63"/>
      <c r="P6398" s="79" t="str">
        <f>IF(AND('331-CT'!$E$7=TH!H6398,OR(N6398="331",O6398="331")),"x","")</f>
        <v/>
      </c>
      <c r="Q6398" s="79" t="str">
        <f>IF(AND(B6398='111'!$L$11,OR($N6398=$Q$7,$O6398=$Q$7)),"x","")</f>
        <v/>
      </c>
      <c r="R6398" s="79" t="str">
        <f>IF(AND($N6398=$Q$7,$B6398&lt;'111'!$L$11),"x","")</f>
        <v/>
      </c>
      <c r="S6398" s="79" t="str">
        <f>IF(AND($O6398=$Q$7,$B6398&lt;'111'!$L$11),"x","")</f>
        <v/>
      </c>
      <c r="T6398" s="79" t="str">
        <f>IF(ISERROR(FIND('112'!$M$9,G6398,1)),"",IF((AND(FIND('112'!$M$9,G6398,1)&gt;=1,B6398='112'!$K$9,OR($N6398='112'!$I$6,$O6398='112'!$I$6))),"x",""))</f>
        <v/>
      </c>
      <c r="U6398" s="79" t="str">
        <f>IF(ISERROR(FIND('112'!$M$9,G6398,1)),"",IF((AND(LEFT(G6398,2)=LEFT('112'!$M$9,2),B6398&lt;'112'!$K$9,$N6398='112'!$I$6)),"x",""))</f>
        <v/>
      </c>
      <c r="V6398" s="79" t="str">
        <f>IF(ISERROR(FIND('112'!$M$9,G6398,1)),"",IF((AND(RIGHT(G6398,2)=RIGHT('112'!$M$9,2),B6398&lt;'112'!$K$9,$O6398='112'!$I$6)),"x",""))</f>
        <v/>
      </c>
      <c r="W6398" s="79" t="str">
        <f>IF(AND('341-CT'!$H$9=H6398,OR(LEFT(N6398,3)=$W$7,LEFT(O6398,3)=$W$7)),"x","")</f>
        <v/>
      </c>
      <c r="X6398" s="79" t="str">
        <f>IF(OR(TH!N6398=TH!$X$7,O6398=TH!$X$7),"x","")</f>
        <v/>
      </c>
      <c r="Y6398" s="79" t="str">
        <f>IF(AND(OR(N6398="131",O6398="131"),H6398='131-CT'!$H$9),"x","")</f>
        <v/>
      </c>
      <c r="Z6398" s="79"/>
      <c r="AA6398" s="79" t="str">
        <f>IF(AND(MONTH(E6398)='IN-NX'!$J$5,'IN-NX'!$D$7=D6398),"x","")</f>
        <v/>
      </c>
      <c r="AB6398" s="79" t="str">
        <f>IF(AND(OR(LEFT(TH!N6398,2)="15",LEFT(TH!O6398,2)="15"),LEFT(TH!O6398,3)&lt;&gt;"111",'152-CT'!$J$8=TH!F6398),"x","")</f>
        <v/>
      </c>
      <c r="AC6398" s="79" t="str">
        <f>IF(AND(OR(LEFT(TH!N6398,2)="15",LEFT(TH!O6398,2)="15"),TK!$E$7=TH!F6398),"x","")</f>
        <v/>
      </c>
      <c r="AD6398" s="79" t="str">
        <f>IF(AND(N6398="1521",MONTH(C6398)='BK-NL'!$M$11),"x","")</f>
        <v/>
      </c>
    </row>
    <row r="6399" spans="1:30" ht="16.5" customHeight="1">
      <c r="A6399" s="318" t="str">
        <f>IF(B6399&lt;&gt;"",IF(AND(B6399='IN-TC'!$S$4,OR(TH!N6399="1111",TH!O6399="1111")),TH!D6399,""),"")</f>
        <v/>
      </c>
      <c r="B6399" s="1163" t="str">
        <f t="shared" si="520"/>
        <v/>
      </c>
      <c r="C6399" s="61"/>
      <c r="D6399" s="301"/>
      <c r="E6399" s="61"/>
      <c r="F6399" s="69"/>
      <c r="G6399" s="766"/>
      <c r="H6399" s="69"/>
      <c r="I6399" s="385"/>
      <c r="J6399" s="392"/>
      <c r="K6399" s="385"/>
      <c r="L6399" s="392"/>
      <c r="M6399" s="62"/>
      <c r="N6399" s="63"/>
      <c r="O6399" s="63"/>
      <c r="P6399" s="79" t="str">
        <f>IF(AND('331-CT'!$E$7=TH!H6399,OR(N6399="331",O6399="331")),"x","")</f>
        <v/>
      </c>
      <c r="Q6399" s="79" t="str">
        <f>IF(AND(B6399='111'!$L$11,OR($N6399=$Q$7,$O6399=$Q$7)),"x","")</f>
        <v/>
      </c>
      <c r="R6399" s="79" t="str">
        <f>IF(AND($N6399=$Q$7,$B6399&lt;'111'!$L$11),"x","")</f>
        <v/>
      </c>
      <c r="S6399" s="79" t="str">
        <f>IF(AND($O6399=$Q$7,$B6399&lt;'111'!$L$11),"x","")</f>
        <v/>
      </c>
      <c r="T6399" s="79" t="str">
        <f>IF(ISERROR(FIND('112'!$M$9,G6399,1)),"",IF((AND(FIND('112'!$M$9,G6399,1)&gt;=1,B6399='112'!$K$9,OR($N6399='112'!$I$6,$O6399='112'!$I$6))),"x",""))</f>
        <v/>
      </c>
      <c r="U6399" s="79" t="str">
        <f>IF(ISERROR(FIND('112'!$M$9,G6399,1)),"",IF((AND(LEFT(G6399,2)=LEFT('112'!$M$9,2),B6399&lt;'112'!$K$9,$N6399='112'!$I$6)),"x",""))</f>
        <v/>
      </c>
      <c r="V6399" s="79" t="str">
        <f>IF(ISERROR(FIND('112'!$M$9,G6399,1)),"",IF((AND(RIGHT(G6399,2)=RIGHT('112'!$M$9,2),B6399&lt;'112'!$K$9,$O6399='112'!$I$6)),"x",""))</f>
        <v/>
      </c>
      <c r="W6399" s="79" t="str">
        <f>IF(AND('341-CT'!$H$9=H6399,OR(LEFT(N6399,3)=$W$7,LEFT(O6399,3)=$W$7)),"x","")</f>
        <v/>
      </c>
      <c r="X6399" s="79" t="str">
        <f>IF(OR(TH!N6399=TH!$X$7,O6399=TH!$X$7),"x","")</f>
        <v/>
      </c>
      <c r="Y6399" s="79" t="str">
        <f>IF(AND(OR(N6399="131",O6399="131"),H6399='131-CT'!$H$9),"x","")</f>
        <v/>
      </c>
      <c r="Z6399" s="79"/>
      <c r="AA6399" s="79" t="str">
        <f>IF(AND(MONTH(E6399)='IN-NX'!$J$5,'IN-NX'!$D$7=D6399),"x","")</f>
        <v/>
      </c>
      <c r="AB6399" s="79" t="str">
        <f>IF(AND(OR(LEFT(TH!N6399,2)="15",LEFT(TH!O6399,2)="15"),LEFT(TH!O6399,3)&lt;&gt;"111",'152-CT'!$J$8=TH!F6399),"x","")</f>
        <v/>
      </c>
      <c r="AC6399" s="79" t="str">
        <f>IF(AND(OR(LEFT(TH!N6399,2)="15",LEFT(TH!O6399,2)="15"),TK!$E$7=TH!F6399),"x","")</f>
        <v/>
      </c>
      <c r="AD6399" s="79" t="str">
        <f>IF(AND(N6399="1521",MONTH(C6399)='BK-NL'!$M$11),"x","")</f>
        <v/>
      </c>
    </row>
    <row r="6400" spans="1:30" ht="16.5" customHeight="1">
      <c r="A6400" s="318" t="str">
        <f>IF(B6400&lt;&gt;"",IF(AND(B6400='IN-TC'!$S$4,OR(TH!N6400="1111",TH!O6400="1111")),TH!D6400,""),"")</f>
        <v/>
      </c>
      <c r="B6400" s="1163" t="str">
        <f t="shared" si="520"/>
        <v/>
      </c>
      <c r="C6400" s="61"/>
      <c r="D6400" s="301"/>
      <c r="E6400" s="61"/>
      <c r="F6400" s="69"/>
      <c r="G6400" s="766"/>
      <c r="H6400" s="69"/>
      <c r="I6400" s="385"/>
      <c r="J6400" s="392"/>
      <c r="K6400" s="385"/>
      <c r="L6400" s="392"/>
      <c r="M6400" s="62"/>
      <c r="N6400" s="63"/>
      <c r="O6400" s="63"/>
      <c r="P6400" s="79" t="str">
        <f>IF(AND('331-CT'!$E$7=TH!H6400,OR(N6400="331",O6400="331")),"x","")</f>
        <v/>
      </c>
      <c r="Q6400" s="79" t="str">
        <f>IF(AND(B6400='111'!$L$11,OR($N6400=$Q$7,$O6400=$Q$7)),"x","")</f>
        <v/>
      </c>
      <c r="R6400" s="79" t="str">
        <f>IF(AND($N6400=$Q$7,$B6400&lt;'111'!$L$11),"x","")</f>
        <v/>
      </c>
      <c r="S6400" s="79" t="str">
        <f>IF(AND($O6400=$Q$7,$B6400&lt;'111'!$L$11),"x","")</f>
        <v/>
      </c>
      <c r="T6400" s="79" t="str">
        <f>IF(ISERROR(FIND('112'!$M$9,G6400,1)),"",IF((AND(FIND('112'!$M$9,G6400,1)&gt;=1,B6400='112'!$K$9,OR($N6400='112'!$I$6,$O6400='112'!$I$6))),"x",""))</f>
        <v/>
      </c>
      <c r="U6400" s="79" t="str">
        <f>IF(ISERROR(FIND('112'!$M$9,G6400,1)),"",IF((AND(LEFT(G6400,2)=LEFT('112'!$M$9,2),B6400&lt;'112'!$K$9,$N6400='112'!$I$6)),"x",""))</f>
        <v/>
      </c>
      <c r="V6400" s="79" t="str">
        <f>IF(ISERROR(FIND('112'!$M$9,G6400,1)),"",IF((AND(RIGHT(G6400,2)=RIGHT('112'!$M$9,2),B6400&lt;'112'!$K$9,$O6400='112'!$I$6)),"x",""))</f>
        <v/>
      </c>
      <c r="W6400" s="79" t="str">
        <f>IF(AND('341-CT'!$H$9=H6400,OR(LEFT(N6400,3)=$W$7,LEFT(O6400,3)=$W$7)),"x","")</f>
        <v/>
      </c>
      <c r="X6400" s="79" t="str">
        <f>IF(OR(TH!N6400=TH!$X$7,O6400=TH!$X$7),"x","")</f>
        <v/>
      </c>
      <c r="Y6400" s="79" t="str">
        <f>IF(AND(OR(N6400="131",O6400="131"),H6400='131-CT'!$H$9),"x","")</f>
        <v/>
      </c>
      <c r="Z6400" s="79"/>
      <c r="AA6400" s="79" t="str">
        <f>IF(AND(MONTH(E6400)='IN-NX'!$J$5,'IN-NX'!$D$7=D6400),"x","")</f>
        <v/>
      </c>
      <c r="AB6400" s="79" t="str">
        <f>IF(AND(OR(LEFT(TH!N6400,2)="15",LEFT(TH!O6400,2)="15"),LEFT(TH!O6400,3)&lt;&gt;"111",'152-CT'!$J$8=TH!F6400),"x","")</f>
        <v/>
      </c>
      <c r="AC6400" s="79" t="str">
        <f>IF(AND(OR(LEFT(TH!N6400,2)="15",LEFT(TH!O6400,2)="15"),TK!$E$7=TH!F6400),"x","")</f>
        <v/>
      </c>
      <c r="AD6400" s="79" t="str">
        <f>IF(AND(N6400="1521",MONTH(C6400)='BK-NL'!$M$11),"x","")</f>
        <v/>
      </c>
    </row>
    <row r="6401" spans="1:30" ht="16.5" customHeight="1">
      <c r="A6401" s="318" t="str">
        <f>IF(B6401&lt;&gt;"",IF(AND(B6401='IN-TC'!$S$4,OR(TH!N6401="1111",TH!O6401="1111")),TH!D6401,""),"")</f>
        <v/>
      </c>
      <c r="B6401" s="1163" t="str">
        <f t="shared" si="520"/>
        <v/>
      </c>
      <c r="C6401" s="61"/>
      <c r="D6401" s="301"/>
      <c r="E6401" s="61"/>
      <c r="F6401" s="69"/>
      <c r="G6401" s="766"/>
      <c r="H6401" s="69"/>
      <c r="I6401" s="385"/>
      <c r="J6401" s="392"/>
      <c r="K6401" s="385"/>
      <c r="L6401" s="392"/>
      <c r="M6401" s="62"/>
      <c r="N6401" s="63"/>
      <c r="O6401" s="63"/>
      <c r="P6401" s="79" t="str">
        <f>IF(AND('331-CT'!$E$7=TH!H6401,OR(N6401="331",O6401="331")),"x","")</f>
        <v/>
      </c>
      <c r="Q6401" s="79" t="str">
        <f>IF(AND(B6401='111'!$L$11,OR($N6401=$Q$7,$O6401=$Q$7)),"x","")</f>
        <v/>
      </c>
      <c r="R6401" s="79" t="str">
        <f>IF(AND($N6401=$Q$7,$B6401&lt;'111'!$L$11),"x","")</f>
        <v/>
      </c>
      <c r="S6401" s="79" t="str">
        <f>IF(AND($O6401=$Q$7,$B6401&lt;'111'!$L$11),"x","")</f>
        <v/>
      </c>
      <c r="T6401" s="79" t="str">
        <f>IF(ISERROR(FIND('112'!$M$9,G6401,1)),"",IF((AND(FIND('112'!$M$9,G6401,1)&gt;=1,B6401='112'!$K$9,OR($N6401='112'!$I$6,$O6401='112'!$I$6))),"x",""))</f>
        <v/>
      </c>
      <c r="U6401" s="79" t="str">
        <f>IF(ISERROR(FIND('112'!$M$9,G6401,1)),"",IF((AND(LEFT(G6401,2)=LEFT('112'!$M$9,2),B6401&lt;'112'!$K$9,$N6401='112'!$I$6)),"x",""))</f>
        <v/>
      </c>
      <c r="V6401" s="79" t="str">
        <f>IF(ISERROR(FIND('112'!$M$9,G6401,1)),"",IF((AND(RIGHT(G6401,2)=RIGHT('112'!$M$9,2),B6401&lt;'112'!$K$9,$O6401='112'!$I$6)),"x",""))</f>
        <v/>
      </c>
      <c r="W6401" s="79" t="str">
        <f>IF(AND('341-CT'!$H$9=H6401,OR(LEFT(N6401,3)=$W$7,LEFT(O6401,3)=$W$7)),"x","")</f>
        <v/>
      </c>
      <c r="X6401" s="79" t="str">
        <f>IF(OR(TH!N6401=TH!$X$7,O6401=TH!$X$7),"x","")</f>
        <v/>
      </c>
      <c r="Y6401" s="79" t="str">
        <f>IF(AND(OR(N6401="131",O6401="131"),H6401='131-CT'!$H$9),"x","")</f>
        <v/>
      </c>
      <c r="Z6401" s="79"/>
      <c r="AA6401" s="79" t="str">
        <f>IF(AND(MONTH(E6401)='IN-NX'!$J$5,'IN-NX'!$D$7=D6401),"x","")</f>
        <v/>
      </c>
      <c r="AB6401" s="79" t="str">
        <f>IF(AND(OR(LEFT(TH!N6401,2)="15",LEFT(TH!O6401,2)="15"),LEFT(TH!O6401,3)&lt;&gt;"111",'152-CT'!$J$8=TH!F6401),"x","")</f>
        <v/>
      </c>
      <c r="AC6401" s="79" t="str">
        <f>IF(AND(OR(LEFT(TH!N6401,2)="15",LEFT(TH!O6401,2)="15"),TK!$E$7=TH!F6401),"x","")</f>
        <v/>
      </c>
      <c r="AD6401" s="79" t="str">
        <f>IF(AND(N6401="1521",MONTH(C6401)='BK-NL'!$M$11),"x","")</f>
        <v/>
      </c>
    </row>
    <row r="6402" spans="1:30" ht="16.5" customHeight="1">
      <c r="A6402" s="318" t="str">
        <f>IF(B6402&lt;&gt;"",IF(AND(B6402='IN-TC'!$S$4,OR(TH!N6402="1111",TH!O6402="1111")),TH!D6402,""),"")</f>
        <v/>
      </c>
      <c r="B6402" s="1163" t="str">
        <f t="shared" si="520"/>
        <v/>
      </c>
      <c r="C6402" s="61"/>
      <c r="D6402" s="301"/>
      <c r="E6402" s="61"/>
      <c r="F6402" s="69"/>
      <c r="G6402" s="766"/>
      <c r="H6402" s="69"/>
      <c r="I6402" s="385"/>
      <c r="J6402" s="392"/>
      <c r="K6402" s="385"/>
      <c r="L6402" s="392"/>
      <c r="M6402" s="62"/>
      <c r="N6402" s="63"/>
      <c r="O6402" s="63"/>
      <c r="P6402" s="79" t="str">
        <f>IF(AND('331-CT'!$E$7=TH!H6402,OR(N6402="331",O6402="331")),"x","")</f>
        <v/>
      </c>
      <c r="Q6402" s="79" t="str">
        <f>IF(AND(B6402='111'!$L$11,OR($N6402=$Q$7,$O6402=$Q$7)),"x","")</f>
        <v/>
      </c>
      <c r="R6402" s="79" t="str">
        <f>IF(AND($N6402=$Q$7,$B6402&lt;'111'!$L$11),"x","")</f>
        <v/>
      </c>
      <c r="S6402" s="79" t="str">
        <f>IF(AND($O6402=$Q$7,$B6402&lt;'111'!$L$11),"x","")</f>
        <v/>
      </c>
      <c r="T6402" s="79" t="str">
        <f>IF(ISERROR(FIND('112'!$M$9,G6402,1)),"",IF((AND(FIND('112'!$M$9,G6402,1)&gt;=1,B6402='112'!$K$9,OR($N6402='112'!$I$6,$O6402='112'!$I$6))),"x",""))</f>
        <v/>
      </c>
      <c r="U6402" s="79" t="str">
        <f>IF(ISERROR(FIND('112'!$M$9,G6402,1)),"",IF((AND(LEFT(G6402,2)=LEFT('112'!$M$9,2),B6402&lt;'112'!$K$9,$N6402='112'!$I$6)),"x",""))</f>
        <v/>
      </c>
      <c r="V6402" s="79" t="str">
        <f>IF(ISERROR(FIND('112'!$M$9,G6402,1)),"",IF((AND(RIGHT(G6402,2)=RIGHT('112'!$M$9,2),B6402&lt;'112'!$K$9,$O6402='112'!$I$6)),"x",""))</f>
        <v/>
      </c>
      <c r="W6402" s="79" t="str">
        <f>IF(AND('341-CT'!$H$9=H6402,OR(LEFT(N6402,3)=$W$7,LEFT(O6402,3)=$W$7)),"x","")</f>
        <v/>
      </c>
      <c r="X6402" s="79" t="str">
        <f>IF(OR(TH!N6402=TH!$X$7,O6402=TH!$X$7),"x","")</f>
        <v/>
      </c>
      <c r="Y6402" s="79" t="str">
        <f>IF(AND(OR(N6402="131",O6402="131"),H6402='131-CT'!$H$9),"x","")</f>
        <v/>
      </c>
      <c r="Z6402" s="79"/>
      <c r="AA6402" s="79" t="str">
        <f>IF(AND(MONTH(E6402)='IN-NX'!$J$5,'IN-NX'!$D$7=D6402),"x","")</f>
        <v/>
      </c>
      <c r="AB6402" s="79" t="str">
        <f>IF(AND(OR(LEFT(TH!N6402,2)="15",LEFT(TH!O6402,2)="15"),LEFT(TH!O6402,3)&lt;&gt;"111",'152-CT'!$J$8=TH!F6402),"x","")</f>
        <v/>
      </c>
      <c r="AC6402" s="79" t="str">
        <f>IF(AND(OR(LEFT(TH!N6402,2)="15",LEFT(TH!O6402,2)="15"),TK!$E$7=TH!F6402),"x","")</f>
        <v/>
      </c>
      <c r="AD6402" s="79" t="str">
        <f>IF(AND(N6402="1521",MONTH(C6402)='BK-NL'!$M$11),"x","")</f>
        <v/>
      </c>
    </row>
    <row r="6403" spans="1:30" ht="16.5" customHeight="1">
      <c r="A6403" s="318" t="str">
        <f>IF(B6403&lt;&gt;"",IF(AND(B6403='IN-TC'!$S$4,OR(TH!N6403="1111",TH!O6403="1111")),TH!D6403,""),"")</f>
        <v/>
      </c>
      <c r="B6403" s="1163" t="str">
        <f t="shared" ref="B6403:B6466" si="521">IF(C6403&lt;&gt;"",MONTH(C6403),"")</f>
        <v/>
      </c>
      <c r="C6403" s="61"/>
      <c r="D6403" s="301"/>
      <c r="E6403" s="61"/>
      <c r="F6403" s="69"/>
      <c r="G6403" s="766"/>
      <c r="H6403" s="925"/>
      <c r="I6403" s="385"/>
      <c r="J6403" s="392"/>
      <c r="K6403" s="385"/>
      <c r="L6403" s="392"/>
      <c r="M6403" s="62"/>
      <c r="N6403" s="63"/>
      <c r="O6403" s="63"/>
      <c r="P6403" s="79" t="str">
        <f>IF(AND('331-CT'!$E$7=TH!H6403,OR(N6403="331",O6403="331")),"x","")</f>
        <v/>
      </c>
      <c r="Q6403" s="79" t="str">
        <f>IF(AND(B6403='111'!$L$11,OR($N6403=$Q$7,$O6403=$Q$7)),"x","")</f>
        <v/>
      </c>
      <c r="R6403" s="79" t="str">
        <f>IF(AND($N6403=$Q$7,$B6403&lt;'111'!$L$11),"x","")</f>
        <v/>
      </c>
      <c r="S6403" s="79" t="str">
        <f>IF(AND($O6403=$Q$7,$B6403&lt;'111'!$L$11),"x","")</f>
        <v/>
      </c>
      <c r="T6403" s="79" t="str">
        <f>IF(ISERROR(FIND('112'!$M$9,G6403,1)),"",IF((AND(FIND('112'!$M$9,G6403,1)&gt;=1,B6403='112'!$K$9,OR($N6403='112'!$I$6,$O6403='112'!$I$6))),"x",""))</f>
        <v/>
      </c>
      <c r="U6403" s="79" t="str">
        <f>IF(ISERROR(FIND('112'!$M$9,G6403,1)),"",IF((AND(LEFT(G6403,2)=LEFT('112'!$M$9,2),B6403&lt;'112'!$K$9,$N6403='112'!$I$6)),"x",""))</f>
        <v/>
      </c>
      <c r="V6403" s="79" t="str">
        <f>IF(ISERROR(FIND('112'!$M$9,G6403,1)),"",IF((AND(RIGHT(G6403,2)=RIGHT('112'!$M$9,2),B6403&lt;'112'!$K$9,$O6403='112'!$I$6)),"x",""))</f>
        <v/>
      </c>
      <c r="W6403" s="79" t="str">
        <f>IF(AND('341-CT'!$H$9=H6403,OR(LEFT(N6403,3)=$W$7,LEFT(O6403,3)=$W$7)),"x","")</f>
        <v/>
      </c>
      <c r="X6403" s="79" t="str">
        <f>IF(OR(TH!N6403=TH!$X$7,O6403=TH!$X$7),"x","")</f>
        <v/>
      </c>
      <c r="Y6403" s="79" t="str">
        <f>IF(AND(OR(N6403="131",O6403="131"),H6403='131-CT'!$H$9),"x","")</f>
        <v/>
      </c>
      <c r="Z6403" s="79"/>
      <c r="AA6403" s="79" t="str">
        <f>IF(AND(MONTH(E6403)='IN-NX'!$J$5,'IN-NX'!$D$7=D6403),"x","")</f>
        <v/>
      </c>
      <c r="AB6403" s="79" t="str">
        <f>IF(AND(OR(LEFT(TH!N6403,2)="15",LEFT(TH!O6403,2)="15"),LEFT(TH!O6403,3)&lt;&gt;"111",'152-CT'!$J$8=TH!F6403),"x","")</f>
        <v/>
      </c>
      <c r="AC6403" s="79" t="str">
        <f>IF(AND(OR(LEFT(TH!N6403,2)="15",LEFT(TH!O6403,2)="15"),TK!$E$7=TH!F6403),"x","")</f>
        <v/>
      </c>
      <c r="AD6403" s="79" t="str">
        <f>IF(AND(N6403="1521",MONTH(C6403)='BK-NL'!$M$11),"x","")</f>
        <v/>
      </c>
    </row>
    <row r="6404" spans="1:30" ht="16.5" customHeight="1">
      <c r="A6404" s="318" t="str">
        <f>IF(B6404&lt;&gt;"",IF(AND(B6404='IN-TC'!$S$4,OR(TH!N6404="1111",TH!O6404="1111")),TH!D6404,""),"")</f>
        <v/>
      </c>
      <c r="B6404" s="1163" t="str">
        <f t="shared" si="521"/>
        <v/>
      </c>
      <c r="C6404" s="61"/>
      <c r="D6404" s="301"/>
      <c r="E6404" s="61"/>
      <c r="F6404" s="69"/>
      <c r="G6404" s="766"/>
      <c r="H6404" s="69"/>
      <c r="I6404" s="385"/>
      <c r="J6404" s="392"/>
      <c r="K6404" s="385"/>
      <c r="L6404" s="392"/>
      <c r="M6404" s="62"/>
      <c r="N6404" s="63"/>
      <c r="O6404" s="63"/>
      <c r="P6404" s="79" t="str">
        <f>IF(AND('331-CT'!$E$7=TH!H6404,OR(N6404="331",O6404="331")),"x","")</f>
        <v/>
      </c>
      <c r="Q6404" s="79" t="str">
        <f>IF(AND(B6404='111'!$L$11,OR($N6404=$Q$7,$O6404=$Q$7)),"x","")</f>
        <v/>
      </c>
      <c r="R6404" s="79" t="str">
        <f>IF(AND($N6404=$Q$7,$B6404&lt;'111'!$L$11),"x","")</f>
        <v/>
      </c>
      <c r="S6404" s="79" t="str">
        <f>IF(AND($O6404=$Q$7,$B6404&lt;'111'!$L$11),"x","")</f>
        <v/>
      </c>
      <c r="T6404" s="79" t="str">
        <f>IF(ISERROR(FIND('112'!$M$9,G6404,1)),"",IF((AND(FIND('112'!$M$9,G6404,1)&gt;=1,B6404='112'!$K$9,OR($N6404='112'!$I$6,$O6404='112'!$I$6))),"x",""))</f>
        <v/>
      </c>
      <c r="U6404" s="79" t="str">
        <f>IF(ISERROR(FIND('112'!$M$9,G6404,1)),"",IF((AND(LEFT(G6404,2)=LEFT('112'!$M$9,2),B6404&lt;'112'!$K$9,$N6404='112'!$I$6)),"x",""))</f>
        <v/>
      </c>
      <c r="V6404" s="79" t="str">
        <f>IF(ISERROR(FIND('112'!$M$9,G6404,1)),"",IF((AND(RIGHT(G6404,2)=RIGHT('112'!$M$9,2),B6404&lt;'112'!$K$9,$O6404='112'!$I$6)),"x",""))</f>
        <v/>
      </c>
      <c r="W6404" s="79" t="str">
        <f>IF(AND('341-CT'!$H$9=H6404,OR(LEFT(N6404,3)=$W$7,LEFT(O6404,3)=$W$7)),"x","")</f>
        <v/>
      </c>
      <c r="X6404" s="79" t="str">
        <f>IF(OR(TH!N6404=TH!$X$7,O6404=TH!$X$7),"x","")</f>
        <v/>
      </c>
      <c r="Y6404" s="79" t="str">
        <f>IF(AND(OR(N6404="131",O6404="131"),H6404='131-CT'!$H$9),"x","")</f>
        <v/>
      </c>
      <c r="Z6404" s="79"/>
      <c r="AA6404" s="79" t="str">
        <f>IF(AND(MONTH(E6404)='IN-NX'!$J$5,'IN-NX'!$D$7=D6404),"x","")</f>
        <v/>
      </c>
      <c r="AB6404" s="79" t="str">
        <f>IF(AND(OR(LEFT(TH!N6404,2)="15",LEFT(TH!O6404,2)="15"),LEFT(TH!O6404,3)&lt;&gt;"111",'152-CT'!$J$8=TH!F6404),"x","")</f>
        <v/>
      </c>
      <c r="AC6404" s="79" t="str">
        <f>IF(AND(OR(LEFT(TH!N6404,2)="15",LEFT(TH!O6404,2)="15"),TK!$E$7=TH!F6404),"x","")</f>
        <v/>
      </c>
      <c r="AD6404" s="79" t="str">
        <f>IF(AND(N6404="1521",MONTH(C6404)='BK-NL'!$M$11),"x","")</f>
        <v/>
      </c>
    </row>
    <row r="6405" spans="1:30" ht="16.5" customHeight="1">
      <c r="A6405" s="318" t="str">
        <f>IF(B6405&lt;&gt;"",IF(AND(B6405='IN-TC'!$S$4,OR(TH!N6405="1111",TH!O6405="1111")),TH!D6405,""),"")</f>
        <v/>
      </c>
      <c r="B6405" s="1163" t="str">
        <f t="shared" si="521"/>
        <v/>
      </c>
      <c r="C6405" s="61"/>
      <c r="D6405" s="301"/>
      <c r="E6405" s="61"/>
      <c r="F6405" s="69"/>
      <c r="G6405" s="766"/>
      <c r="H6405" s="69"/>
      <c r="I6405" s="385"/>
      <c r="J6405" s="392"/>
      <c r="K6405" s="385"/>
      <c r="L6405" s="392"/>
      <c r="M6405" s="62"/>
      <c r="N6405" s="63"/>
      <c r="O6405" s="63"/>
      <c r="P6405" s="79" t="str">
        <f>IF(AND('331-CT'!$E$7=TH!H6405,OR(N6405="331",O6405="331")),"x","")</f>
        <v/>
      </c>
      <c r="Q6405" s="79" t="str">
        <f>IF(AND(B6405='111'!$L$11,OR($N6405=$Q$7,$O6405=$Q$7)),"x","")</f>
        <v/>
      </c>
      <c r="R6405" s="79" t="str">
        <f>IF(AND($N6405=$Q$7,$B6405&lt;'111'!$L$11),"x","")</f>
        <v/>
      </c>
      <c r="S6405" s="79" t="str">
        <f>IF(AND($O6405=$Q$7,$B6405&lt;'111'!$L$11),"x","")</f>
        <v/>
      </c>
      <c r="T6405" s="79" t="str">
        <f>IF(ISERROR(FIND('112'!$M$9,G6405,1)),"",IF((AND(FIND('112'!$M$9,G6405,1)&gt;=1,B6405='112'!$K$9,OR($N6405='112'!$I$6,$O6405='112'!$I$6))),"x",""))</f>
        <v/>
      </c>
      <c r="U6405" s="79" t="str">
        <f>IF(ISERROR(FIND('112'!$M$9,G6405,1)),"",IF((AND(LEFT(G6405,2)=LEFT('112'!$M$9,2),B6405&lt;'112'!$K$9,$N6405='112'!$I$6)),"x",""))</f>
        <v/>
      </c>
      <c r="V6405" s="79" t="str">
        <f>IF(ISERROR(FIND('112'!$M$9,G6405,1)),"",IF((AND(RIGHT(G6405,2)=RIGHT('112'!$M$9,2),B6405&lt;'112'!$K$9,$O6405='112'!$I$6)),"x",""))</f>
        <v/>
      </c>
      <c r="W6405" s="79" t="str">
        <f>IF(AND('341-CT'!$H$9=H6405,OR(LEFT(N6405,3)=$W$7,LEFT(O6405,3)=$W$7)),"x","")</f>
        <v/>
      </c>
      <c r="X6405" s="79" t="str">
        <f>IF(OR(TH!N6405=TH!$X$7,O6405=TH!$X$7),"x","")</f>
        <v/>
      </c>
      <c r="Y6405" s="79" t="str">
        <f>IF(AND(OR(N6405="131",O6405="131"),H6405='131-CT'!$H$9),"x","")</f>
        <v/>
      </c>
      <c r="Z6405" s="79"/>
      <c r="AA6405" s="79" t="str">
        <f>IF(AND(MONTH(E6405)='IN-NX'!$J$5,'IN-NX'!$D$7=D6405),"x","")</f>
        <v/>
      </c>
      <c r="AB6405" s="79" t="str">
        <f>IF(AND(OR(LEFT(TH!N6405,2)="15",LEFT(TH!O6405,2)="15"),LEFT(TH!O6405,3)&lt;&gt;"111",'152-CT'!$J$8=TH!F6405),"x","")</f>
        <v/>
      </c>
      <c r="AC6405" s="79" t="str">
        <f>IF(AND(OR(LEFT(TH!N6405,2)="15",LEFT(TH!O6405,2)="15"),TK!$E$7=TH!F6405),"x","")</f>
        <v/>
      </c>
      <c r="AD6405" s="79" t="str">
        <f>IF(AND(N6405="1521",MONTH(C6405)='BK-NL'!$M$11),"x","")</f>
        <v/>
      </c>
    </row>
    <row r="6406" spans="1:30" ht="16.5" customHeight="1">
      <c r="A6406" s="318" t="str">
        <f>IF(B6406&lt;&gt;"",IF(AND(B6406='IN-TC'!$S$4,OR(TH!N6406="1111",TH!O6406="1111")),TH!D6406,""),"")</f>
        <v/>
      </c>
      <c r="B6406" s="1163" t="str">
        <f t="shared" si="521"/>
        <v/>
      </c>
      <c r="C6406" s="61"/>
      <c r="D6406" s="301"/>
      <c r="E6406" s="61"/>
      <c r="F6406" s="69"/>
      <c r="G6406" s="766"/>
      <c r="H6406" s="925"/>
      <c r="I6406" s="385"/>
      <c r="J6406" s="392"/>
      <c r="K6406" s="385"/>
      <c r="L6406" s="392"/>
      <c r="M6406" s="62"/>
      <c r="N6406" s="63"/>
      <c r="O6406" s="63"/>
      <c r="P6406" s="79" t="str">
        <f>IF(AND('331-CT'!$E$7=TH!H6406,OR(N6406="331",O6406="331")),"x","")</f>
        <v/>
      </c>
      <c r="Q6406" s="79" t="str">
        <f>IF(AND(B6406='111'!$L$11,OR($N6406=$Q$7,$O6406=$Q$7)),"x","")</f>
        <v/>
      </c>
      <c r="R6406" s="79" t="str">
        <f>IF(AND($N6406=$Q$7,$B6406&lt;'111'!$L$11),"x","")</f>
        <v/>
      </c>
      <c r="S6406" s="79" t="str">
        <f>IF(AND($O6406=$Q$7,$B6406&lt;'111'!$L$11),"x","")</f>
        <v/>
      </c>
      <c r="T6406" s="79" t="str">
        <f>IF(ISERROR(FIND('112'!$M$9,G6406,1)),"",IF((AND(FIND('112'!$M$9,G6406,1)&gt;=1,B6406='112'!$K$9,OR($N6406='112'!$I$6,$O6406='112'!$I$6))),"x",""))</f>
        <v/>
      </c>
      <c r="U6406" s="79" t="str">
        <f>IF(ISERROR(FIND('112'!$M$9,G6406,1)),"",IF((AND(LEFT(G6406,2)=LEFT('112'!$M$9,2),B6406&lt;'112'!$K$9,$N6406='112'!$I$6)),"x",""))</f>
        <v/>
      </c>
      <c r="V6406" s="79" t="str">
        <f>IF(ISERROR(FIND('112'!$M$9,G6406,1)),"",IF((AND(RIGHT(G6406,2)=RIGHT('112'!$M$9,2),B6406&lt;'112'!$K$9,$O6406='112'!$I$6)),"x",""))</f>
        <v/>
      </c>
      <c r="W6406" s="79" t="str">
        <f>IF(AND('341-CT'!$H$9=H6406,OR(LEFT(N6406,3)=$W$7,LEFT(O6406,3)=$W$7)),"x","")</f>
        <v/>
      </c>
      <c r="X6406" s="79" t="str">
        <f>IF(OR(TH!N6406=TH!$X$7,O6406=TH!$X$7),"x","")</f>
        <v/>
      </c>
      <c r="Y6406" s="79" t="str">
        <f>IF(AND(OR(N6406="131",O6406="131"),H6406='131-CT'!$H$9),"x","")</f>
        <v/>
      </c>
      <c r="Z6406" s="79"/>
      <c r="AA6406" s="79" t="str">
        <f>IF(AND(MONTH(E6406)='IN-NX'!$J$5,'IN-NX'!$D$7=D6406),"x","")</f>
        <v/>
      </c>
      <c r="AB6406" s="79" t="str">
        <f>IF(AND(OR(LEFT(TH!N6406,2)="15",LEFT(TH!O6406,2)="15"),LEFT(TH!O6406,3)&lt;&gt;"111",'152-CT'!$J$8=TH!F6406),"x","")</f>
        <v/>
      </c>
      <c r="AC6406" s="79" t="str">
        <f>IF(AND(OR(LEFT(TH!N6406,2)="15",LEFT(TH!O6406,2)="15"),TK!$E$7=TH!F6406),"x","")</f>
        <v/>
      </c>
      <c r="AD6406" s="79" t="str">
        <f>IF(AND(N6406="1521",MONTH(C6406)='BK-NL'!$M$11),"x","")</f>
        <v/>
      </c>
    </row>
    <row r="6407" spans="1:30" ht="16.5" customHeight="1">
      <c r="A6407" s="318" t="str">
        <f>IF(B6407&lt;&gt;"",IF(AND(B6407='IN-TC'!$S$4,OR(TH!N6407="1111",TH!O6407="1111")),TH!D6407,""),"")</f>
        <v/>
      </c>
      <c r="B6407" s="1163" t="str">
        <f t="shared" si="521"/>
        <v/>
      </c>
      <c r="C6407" s="61"/>
      <c r="D6407" s="301"/>
      <c r="E6407" s="61"/>
      <c r="F6407" s="69"/>
      <c r="G6407" s="766"/>
      <c r="H6407" s="69"/>
      <c r="I6407" s="385"/>
      <c r="J6407" s="392"/>
      <c r="K6407" s="385"/>
      <c r="L6407" s="392"/>
      <c r="M6407" s="62"/>
      <c r="N6407" s="63"/>
      <c r="O6407" s="63"/>
      <c r="P6407" s="79" t="str">
        <f>IF(AND('331-CT'!$E$7=TH!H6407,OR(N6407="331",O6407="331")),"x","")</f>
        <v/>
      </c>
      <c r="Q6407" s="79" t="str">
        <f>IF(AND(B6407='111'!$L$11,OR($N6407=$Q$7,$O6407=$Q$7)),"x","")</f>
        <v/>
      </c>
      <c r="R6407" s="79" t="str">
        <f>IF(AND($N6407=$Q$7,$B6407&lt;'111'!$L$11),"x","")</f>
        <v/>
      </c>
      <c r="S6407" s="79" t="str">
        <f>IF(AND($O6407=$Q$7,$B6407&lt;'111'!$L$11),"x","")</f>
        <v/>
      </c>
      <c r="T6407" s="79" t="str">
        <f>IF(ISERROR(FIND('112'!$M$9,G6407,1)),"",IF((AND(FIND('112'!$M$9,G6407,1)&gt;=1,B6407='112'!$K$9,OR($N6407='112'!$I$6,$O6407='112'!$I$6))),"x",""))</f>
        <v/>
      </c>
      <c r="U6407" s="79" t="str">
        <f>IF(ISERROR(FIND('112'!$M$9,G6407,1)),"",IF((AND(LEFT(G6407,2)=LEFT('112'!$M$9,2),B6407&lt;'112'!$K$9,$N6407='112'!$I$6)),"x",""))</f>
        <v/>
      </c>
      <c r="V6407" s="79" t="str">
        <f>IF(ISERROR(FIND('112'!$M$9,G6407,1)),"",IF((AND(RIGHT(G6407,2)=RIGHT('112'!$M$9,2),B6407&lt;'112'!$K$9,$O6407='112'!$I$6)),"x",""))</f>
        <v/>
      </c>
      <c r="W6407" s="79" t="str">
        <f>IF(AND('341-CT'!$H$9=H6407,OR(LEFT(N6407,3)=$W$7,LEFT(O6407,3)=$W$7)),"x","")</f>
        <v/>
      </c>
      <c r="X6407" s="79" t="str">
        <f>IF(OR(TH!N6407=TH!$X$7,O6407=TH!$X$7),"x","")</f>
        <v/>
      </c>
      <c r="Y6407" s="79" t="str">
        <f>IF(AND(OR(N6407="131",O6407="131"),H6407='131-CT'!$H$9),"x","")</f>
        <v/>
      </c>
      <c r="Z6407" s="79"/>
      <c r="AA6407" s="79" t="str">
        <f>IF(AND(MONTH(E6407)='IN-NX'!$J$5,'IN-NX'!$D$7=D6407),"x","")</f>
        <v/>
      </c>
      <c r="AB6407" s="79" t="str">
        <f>IF(AND(OR(LEFT(TH!N6407,2)="15",LEFT(TH!O6407,2)="15"),LEFT(TH!O6407,3)&lt;&gt;"111",'152-CT'!$J$8=TH!F6407),"x","")</f>
        <v/>
      </c>
      <c r="AC6407" s="79" t="str">
        <f>IF(AND(OR(LEFT(TH!N6407,2)="15",LEFT(TH!O6407,2)="15"),TK!$E$7=TH!F6407),"x","")</f>
        <v/>
      </c>
      <c r="AD6407" s="79" t="str">
        <f>IF(AND(N6407="1521",MONTH(C6407)='BK-NL'!$M$11),"x","")</f>
        <v/>
      </c>
    </row>
    <row r="6408" spans="1:30" ht="16.5" customHeight="1">
      <c r="A6408" s="318" t="str">
        <f>IF(B6408&lt;&gt;"",IF(AND(B6408='IN-TC'!$S$4,OR(TH!N6408="1111",TH!O6408="1111")),TH!D6408,""),"")</f>
        <v/>
      </c>
      <c r="B6408" s="1163" t="str">
        <f t="shared" si="521"/>
        <v/>
      </c>
      <c r="C6408" s="61"/>
      <c r="D6408" s="301"/>
      <c r="E6408" s="61"/>
      <c r="F6408" s="69"/>
      <c r="G6408" s="766"/>
      <c r="H6408" s="69"/>
      <c r="I6408" s="385"/>
      <c r="J6408" s="392"/>
      <c r="K6408" s="385"/>
      <c r="L6408" s="392"/>
      <c r="M6408" s="62"/>
      <c r="N6408" s="63"/>
      <c r="O6408" s="63"/>
      <c r="P6408" s="79" t="str">
        <f>IF(AND('331-CT'!$E$7=TH!H6408,OR(N6408="331",O6408="331")),"x","")</f>
        <v/>
      </c>
      <c r="Q6408" s="79" t="str">
        <f>IF(AND(B6408='111'!$L$11,OR($N6408=$Q$7,$O6408=$Q$7)),"x","")</f>
        <v/>
      </c>
      <c r="R6408" s="79" t="str">
        <f>IF(AND($N6408=$Q$7,$B6408&lt;'111'!$L$11),"x","")</f>
        <v/>
      </c>
      <c r="S6408" s="79" t="str">
        <f>IF(AND($O6408=$Q$7,$B6408&lt;'111'!$L$11),"x","")</f>
        <v/>
      </c>
      <c r="T6408" s="79" t="str">
        <f>IF(ISERROR(FIND('112'!$M$9,G6408,1)),"",IF((AND(FIND('112'!$M$9,G6408,1)&gt;=1,B6408='112'!$K$9,OR($N6408='112'!$I$6,$O6408='112'!$I$6))),"x",""))</f>
        <v/>
      </c>
      <c r="U6408" s="79" t="str">
        <f>IF(ISERROR(FIND('112'!$M$9,G6408,1)),"",IF((AND(LEFT(G6408,2)=LEFT('112'!$M$9,2),B6408&lt;'112'!$K$9,$N6408='112'!$I$6)),"x",""))</f>
        <v/>
      </c>
      <c r="V6408" s="79" t="str">
        <f>IF(ISERROR(FIND('112'!$M$9,G6408,1)),"",IF((AND(RIGHT(G6408,2)=RIGHT('112'!$M$9,2),B6408&lt;'112'!$K$9,$O6408='112'!$I$6)),"x",""))</f>
        <v/>
      </c>
      <c r="W6408" s="79" t="str">
        <f>IF(AND('341-CT'!$H$9=H6408,OR(LEFT(N6408,3)=$W$7,LEFT(O6408,3)=$W$7)),"x","")</f>
        <v/>
      </c>
      <c r="X6408" s="79" t="str">
        <f>IF(OR(TH!N6408=TH!$X$7,O6408=TH!$X$7),"x","")</f>
        <v/>
      </c>
      <c r="Y6408" s="79" t="str">
        <f>IF(AND(OR(N6408="131",O6408="131"),H6408='131-CT'!$H$9),"x","")</f>
        <v/>
      </c>
      <c r="Z6408" s="79"/>
      <c r="AA6408" s="79" t="str">
        <f>IF(AND(MONTH(E6408)='IN-NX'!$J$5,'IN-NX'!$D$7=D6408),"x","")</f>
        <v/>
      </c>
      <c r="AB6408" s="79" t="str">
        <f>IF(AND(OR(LEFT(TH!N6408,2)="15",LEFT(TH!O6408,2)="15"),LEFT(TH!O6408,3)&lt;&gt;"111",'152-CT'!$J$8=TH!F6408),"x","")</f>
        <v/>
      </c>
      <c r="AC6408" s="79" t="str">
        <f>IF(AND(OR(LEFT(TH!N6408,2)="15",LEFT(TH!O6408,2)="15"),TK!$E$7=TH!F6408),"x","")</f>
        <v/>
      </c>
      <c r="AD6408" s="79" t="str">
        <f>IF(AND(N6408="1521",MONTH(C6408)='BK-NL'!$M$11),"x","")</f>
        <v/>
      </c>
    </row>
    <row r="6409" spans="1:30" ht="16.5" customHeight="1">
      <c r="A6409" s="318" t="str">
        <f>IF(B6409&lt;&gt;"",IF(AND(B6409='IN-TC'!$S$4,OR(TH!N6409="1111",TH!O6409="1111")),TH!D6409,""),"")</f>
        <v/>
      </c>
      <c r="B6409" s="1163" t="str">
        <f t="shared" si="521"/>
        <v/>
      </c>
      <c r="C6409" s="61"/>
      <c r="D6409" s="301"/>
      <c r="E6409" s="61"/>
      <c r="F6409" s="69"/>
      <c r="G6409" s="766"/>
      <c r="H6409" s="69"/>
      <c r="I6409" s="385"/>
      <c r="J6409" s="392"/>
      <c r="K6409" s="385"/>
      <c r="L6409" s="392"/>
      <c r="M6409" s="62"/>
      <c r="N6409" s="63"/>
      <c r="O6409" s="63"/>
      <c r="P6409" s="79" t="str">
        <f>IF(AND('331-CT'!$E$7=TH!H6409,OR(N6409="331",O6409="331")),"x","")</f>
        <v/>
      </c>
      <c r="Q6409" s="79" t="str">
        <f>IF(AND(B6409='111'!$L$11,OR($N6409=$Q$7,$O6409=$Q$7)),"x","")</f>
        <v/>
      </c>
      <c r="R6409" s="79" t="str">
        <f>IF(AND($N6409=$Q$7,$B6409&lt;'111'!$L$11),"x","")</f>
        <v/>
      </c>
      <c r="S6409" s="79" t="str">
        <f>IF(AND($O6409=$Q$7,$B6409&lt;'111'!$L$11),"x","")</f>
        <v/>
      </c>
      <c r="T6409" s="79" t="str">
        <f>IF(ISERROR(FIND('112'!$M$9,G6409,1)),"",IF((AND(FIND('112'!$M$9,G6409,1)&gt;=1,B6409='112'!$K$9,OR($N6409='112'!$I$6,$O6409='112'!$I$6))),"x",""))</f>
        <v/>
      </c>
      <c r="U6409" s="79" t="str">
        <f>IF(ISERROR(FIND('112'!$M$9,G6409,1)),"",IF((AND(LEFT(G6409,2)=LEFT('112'!$M$9,2),B6409&lt;'112'!$K$9,$N6409='112'!$I$6)),"x",""))</f>
        <v/>
      </c>
      <c r="V6409" s="79" t="str">
        <f>IF(ISERROR(FIND('112'!$M$9,G6409,1)),"",IF((AND(RIGHT(G6409,2)=RIGHT('112'!$M$9,2),B6409&lt;'112'!$K$9,$O6409='112'!$I$6)),"x",""))</f>
        <v/>
      </c>
      <c r="W6409" s="79" t="str">
        <f>IF(AND('341-CT'!$H$9=H6409,OR(LEFT(N6409,3)=$W$7,LEFT(O6409,3)=$W$7)),"x","")</f>
        <v/>
      </c>
      <c r="X6409" s="79" t="str">
        <f>IF(OR(TH!N6409=TH!$X$7,O6409=TH!$X$7),"x","")</f>
        <v/>
      </c>
      <c r="Y6409" s="79" t="str">
        <f>IF(AND(OR(N6409="131",O6409="131"),H6409='131-CT'!$H$9),"x","")</f>
        <v/>
      </c>
      <c r="Z6409" s="79"/>
      <c r="AA6409" s="79" t="str">
        <f>IF(AND(MONTH(E6409)='IN-NX'!$J$5,'IN-NX'!$D$7=D6409),"x","")</f>
        <v/>
      </c>
      <c r="AB6409" s="79" t="str">
        <f>IF(AND(OR(LEFT(TH!N6409,2)="15",LEFT(TH!O6409,2)="15"),LEFT(TH!O6409,3)&lt;&gt;"111",'152-CT'!$J$8=TH!F6409),"x","")</f>
        <v/>
      </c>
      <c r="AC6409" s="79" t="str">
        <f>IF(AND(OR(LEFT(TH!N6409,2)="15",LEFT(TH!O6409,2)="15"),TK!$E$7=TH!F6409),"x","")</f>
        <v/>
      </c>
      <c r="AD6409" s="79" t="str">
        <f>IF(AND(N6409="1521",MONTH(C6409)='BK-NL'!$M$11),"x","")</f>
        <v/>
      </c>
    </row>
    <row r="6410" spans="1:30" ht="16.5" customHeight="1">
      <c r="A6410" s="318" t="str">
        <f>IF(B6410&lt;&gt;"",IF(AND(B6410='IN-TC'!$S$4,OR(TH!N6410="1111",TH!O6410="1111")),TH!D6410,""),"")</f>
        <v/>
      </c>
      <c r="B6410" s="1163" t="str">
        <f t="shared" si="521"/>
        <v/>
      </c>
      <c r="C6410" s="61"/>
      <c r="D6410" s="301"/>
      <c r="E6410" s="61"/>
      <c r="F6410" s="69"/>
      <c r="G6410" s="766"/>
      <c r="H6410" s="69"/>
      <c r="I6410" s="385"/>
      <c r="J6410" s="392"/>
      <c r="K6410" s="385"/>
      <c r="L6410" s="392"/>
      <c r="M6410" s="62"/>
      <c r="N6410" s="63"/>
      <c r="O6410" s="63"/>
      <c r="P6410" s="79" t="str">
        <f>IF(AND('331-CT'!$E$7=TH!H6410,OR(N6410="331",O6410="331")),"x","")</f>
        <v/>
      </c>
      <c r="Q6410" s="79" t="str">
        <f>IF(AND(B6410='111'!$L$11,OR($N6410=$Q$7,$O6410=$Q$7)),"x","")</f>
        <v/>
      </c>
      <c r="R6410" s="79" t="str">
        <f>IF(AND($N6410=$Q$7,$B6410&lt;'111'!$L$11),"x","")</f>
        <v/>
      </c>
      <c r="S6410" s="79" t="str">
        <f>IF(AND($O6410=$Q$7,$B6410&lt;'111'!$L$11),"x","")</f>
        <v/>
      </c>
      <c r="T6410" s="79" t="str">
        <f>IF(ISERROR(FIND('112'!$M$9,G6410,1)),"",IF((AND(FIND('112'!$M$9,G6410,1)&gt;=1,B6410='112'!$K$9,OR($N6410='112'!$I$6,$O6410='112'!$I$6))),"x",""))</f>
        <v/>
      </c>
      <c r="U6410" s="79" t="str">
        <f>IF(ISERROR(FIND('112'!$M$9,G6410,1)),"",IF((AND(LEFT(G6410,2)=LEFT('112'!$M$9,2),B6410&lt;'112'!$K$9,$N6410='112'!$I$6)),"x",""))</f>
        <v/>
      </c>
      <c r="V6410" s="79" t="str">
        <f>IF(ISERROR(FIND('112'!$M$9,G6410,1)),"",IF((AND(RIGHT(G6410,2)=RIGHT('112'!$M$9,2),B6410&lt;'112'!$K$9,$O6410='112'!$I$6)),"x",""))</f>
        <v/>
      </c>
      <c r="W6410" s="79" t="str">
        <f>IF(AND('341-CT'!$H$9=H6410,OR(LEFT(N6410,3)=$W$7,LEFT(O6410,3)=$W$7)),"x","")</f>
        <v/>
      </c>
      <c r="X6410" s="79" t="str">
        <f>IF(OR(TH!N6410=TH!$X$7,O6410=TH!$X$7),"x","")</f>
        <v/>
      </c>
      <c r="Y6410" s="79" t="str">
        <f>IF(AND(OR(N6410="131",O6410="131"),H6410='131-CT'!$H$9),"x","")</f>
        <v/>
      </c>
      <c r="Z6410" s="79"/>
      <c r="AA6410" s="79" t="str">
        <f>IF(AND(MONTH(E6410)='IN-NX'!$J$5,'IN-NX'!$D$7=D6410),"x","")</f>
        <v/>
      </c>
      <c r="AB6410" s="79" t="str">
        <f>IF(AND(OR(LEFT(TH!N6410,2)="15",LEFT(TH!O6410,2)="15"),LEFT(TH!O6410,3)&lt;&gt;"111",'152-CT'!$J$8=TH!F6410),"x","")</f>
        <v/>
      </c>
      <c r="AC6410" s="79" t="str">
        <f>IF(AND(OR(LEFT(TH!N6410,2)="15",LEFT(TH!O6410,2)="15"),TK!$E$7=TH!F6410),"x","")</f>
        <v/>
      </c>
      <c r="AD6410" s="79" t="str">
        <f>IF(AND(N6410="1521",MONTH(C6410)='BK-NL'!$M$11),"x","")</f>
        <v/>
      </c>
    </row>
    <row r="6411" spans="1:30" ht="16.5" customHeight="1">
      <c r="A6411" s="318" t="str">
        <f>IF(B6411&lt;&gt;"",IF(AND(B6411='IN-TC'!$S$4,OR(TH!N6411="1111",TH!O6411="1111")),TH!D6411,""),"")</f>
        <v/>
      </c>
      <c r="B6411" s="1163" t="str">
        <f t="shared" si="521"/>
        <v/>
      </c>
      <c r="C6411" s="61"/>
      <c r="D6411" s="301"/>
      <c r="E6411" s="61"/>
      <c r="F6411" s="322"/>
      <c r="G6411" s="766"/>
      <c r="H6411" s="321"/>
      <c r="I6411" s="385"/>
      <c r="J6411" s="392"/>
      <c r="K6411" s="385"/>
      <c r="L6411" s="392"/>
      <c r="M6411" s="62"/>
      <c r="N6411" s="63"/>
      <c r="O6411" s="63"/>
      <c r="P6411" s="79" t="str">
        <f>IF(AND('331-CT'!$E$7=TH!H6411,OR(N6411="331",O6411="331")),"x","")</f>
        <v/>
      </c>
      <c r="Q6411" s="79" t="str">
        <f>IF(AND(B6411='111'!$L$11,OR($N6411=$Q$7,$O6411=$Q$7)),"x","")</f>
        <v/>
      </c>
      <c r="R6411" s="79" t="str">
        <f>IF(AND($N6411=$Q$7,$B6411&lt;'111'!$L$11),"x","")</f>
        <v/>
      </c>
      <c r="S6411" s="79" t="str">
        <f>IF(AND($O6411=$Q$7,$B6411&lt;'111'!$L$11),"x","")</f>
        <v/>
      </c>
      <c r="T6411" s="79" t="str">
        <f>IF(ISERROR(FIND('112'!$M$9,G6411,1)),"",IF((AND(FIND('112'!$M$9,G6411,1)&gt;=1,B6411='112'!$K$9,OR($N6411='112'!$I$6,$O6411='112'!$I$6))),"x",""))</f>
        <v/>
      </c>
      <c r="U6411" s="79" t="str">
        <f>IF(ISERROR(FIND('112'!$M$9,G6411,1)),"",IF((AND(LEFT(G6411,2)=LEFT('112'!$M$9,2),B6411&lt;'112'!$K$9,$N6411='112'!$I$6)),"x",""))</f>
        <v/>
      </c>
      <c r="V6411" s="79" t="str">
        <f>IF(ISERROR(FIND('112'!$M$9,G6411,1)),"",IF((AND(RIGHT(G6411,2)=RIGHT('112'!$M$9,2),B6411&lt;'112'!$K$9,$O6411='112'!$I$6)),"x",""))</f>
        <v/>
      </c>
      <c r="W6411" s="79" t="str">
        <f>IF(AND('341-CT'!$H$9=H6411,OR(LEFT(N6411,3)=$W$7,LEFT(O6411,3)=$W$7)),"x","")</f>
        <v/>
      </c>
      <c r="X6411" s="79" t="str">
        <f>IF(OR(TH!N6411=TH!$X$7,O6411=TH!$X$7),"x","")</f>
        <v/>
      </c>
      <c r="Y6411" s="79" t="str">
        <f>IF(AND(OR(N6411="131",O6411="131"),H6411='131-CT'!$H$9),"x","")</f>
        <v/>
      </c>
      <c r="Z6411" s="79"/>
      <c r="AA6411" s="79" t="str">
        <f>IF(AND(MONTH(E6411)='IN-NX'!$J$5,'IN-NX'!$D$7=D6411),"x","")</f>
        <v/>
      </c>
      <c r="AB6411" s="79" t="str">
        <f>IF(AND(OR(LEFT(TH!N6411,2)="15",LEFT(TH!O6411,2)="15"),LEFT(TH!O6411,3)&lt;&gt;"111",'152-CT'!$J$8=TH!F6411),"x","")</f>
        <v/>
      </c>
      <c r="AC6411" s="79" t="str">
        <f>IF(AND(OR(LEFT(TH!N6411,2)="15",LEFT(TH!O6411,2)="15"),TK!$E$7=TH!F6411),"x","")</f>
        <v/>
      </c>
      <c r="AD6411" s="79" t="str">
        <f>IF(AND(N6411="1521",MONTH(C6411)='BK-NL'!$M$11),"x","")</f>
        <v/>
      </c>
    </row>
    <row r="6412" spans="1:30" ht="16.5" customHeight="1">
      <c r="A6412" s="318" t="str">
        <f>IF(B6412&lt;&gt;"",IF(AND(B6412='IN-TC'!$S$4,OR(TH!N6412="1111",TH!O6412="1111")),TH!D6412,""),"")</f>
        <v/>
      </c>
      <c r="B6412" s="1163" t="str">
        <f t="shared" si="521"/>
        <v/>
      </c>
      <c r="C6412" s="61"/>
      <c r="D6412" s="301"/>
      <c r="E6412" s="61"/>
      <c r="F6412" s="446"/>
      <c r="G6412" s="766"/>
      <c r="H6412" s="321"/>
      <c r="I6412" s="385"/>
      <c r="J6412" s="392"/>
      <c r="K6412" s="385"/>
      <c r="L6412" s="392"/>
      <c r="M6412" s="62"/>
      <c r="N6412" s="63"/>
      <c r="O6412" s="63"/>
      <c r="P6412" s="79" t="str">
        <f>IF(AND('331-CT'!$E$7=TH!H6412,OR(N6412="331",O6412="331")),"x","")</f>
        <v/>
      </c>
      <c r="Q6412" s="79" t="str">
        <f>IF(AND(B6412='111'!$L$11,OR($N6412=$Q$7,$O6412=$Q$7)),"x","")</f>
        <v/>
      </c>
      <c r="R6412" s="79" t="str">
        <f>IF(AND($N6412=$Q$7,$B6412&lt;'111'!$L$11),"x","")</f>
        <v/>
      </c>
      <c r="S6412" s="79" t="str">
        <f>IF(AND($O6412=$Q$7,$B6412&lt;'111'!$L$11),"x","")</f>
        <v/>
      </c>
      <c r="T6412" s="79" t="str">
        <f>IF(ISERROR(FIND('112'!$M$9,G6412,1)),"",IF((AND(FIND('112'!$M$9,G6412,1)&gt;=1,B6412='112'!$K$9,OR($N6412='112'!$I$6,$O6412='112'!$I$6))),"x",""))</f>
        <v/>
      </c>
      <c r="U6412" s="79" t="str">
        <f>IF(ISERROR(FIND('112'!$M$9,G6412,1)),"",IF((AND(LEFT(G6412,2)=LEFT('112'!$M$9,2),B6412&lt;'112'!$K$9,$N6412='112'!$I$6)),"x",""))</f>
        <v/>
      </c>
      <c r="V6412" s="79" t="str">
        <f>IF(ISERROR(FIND('112'!$M$9,G6412,1)),"",IF((AND(RIGHT(G6412,2)=RIGHT('112'!$M$9,2),B6412&lt;'112'!$K$9,$O6412='112'!$I$6)),"x",""))</f>
        <v/>
      </c>
      <c r="W6412" s="79" t="str">
        <f>IF(AND('341-CT'!$H$9=H6412,OR(LEFT(N6412,3)=$W$7,LEFT(O6412,3)=$W$7)),"x","")</f>
        <v/>
      </c>
      <c r="X6412" s="79" t="str">
        <f>IF(OR(TH!N6412=TH!$X$7,O6412=TH!$X$7),"x","")</f>
        <v/>
      </c>
      <c r="Y6412" s="79" t="str">
        <f>IF(AND(OR(N6412="131",O6412="131"),H6412='131-CT'!$H$9),"x","")</f>
        <v/>
      </c>
      <c r="Z6412" s="79"/>
      <c r="AA6412" s="79" t="str">
        <f>IF(AND(MONTH(E6412)='IN-NX'!$J$5,'IN-NX'!$D$7=D6412),"x","")</f>
        <v/>
      </c>
      <c r="AB6412" s="79" t="str">
        <f>IF(AND(OR(LEFT(TH!N6412,2)="15",LEFT(TH!O6412,2)="15"),LEFT(TH!O6412,3)&lt;&gt;"111",'152-CT'!$J$8=TH!F6412),"x","")</f>
        <v/>
      </c>
      <c r="AC6412" s="79" t="str">
        <f>IF(AND(OR(LEFT(TH!N6412,2)="15",LEFT(TH!O6412,2)="15"),TK!$E$7=TH!F6412),"x","")</f>
        <v/>
      </c>
      <c r="AD6412" s="79" t="str">
        <f>IF(AND(N6412="1521",MONTH(C6412)='BK-NL'!$M$11),"x","")</f>
        <v/>
      </c>
    </row>
    <row r="6413" spans="1:30" ht="16.5" customHeight="1">
      <c r="A6413" s="318" t="str">
        <f>IF(B6413&lt;&gt;"",IF(AND(B6413='IN-TC'!$S$4,OR(TH!N6413="1111",TH!O6413="1111")),TH!D6413,""),"")</f>
        <v/>
      </c>
      <c r="B6413" s="1163" t="str">
        <f t="shared" si="521"/>
        <v/>
      </c>
      <c r="C6413" s="61"/>
      <c r="D6413" s="301"/>
      <c r="E6413" s="61"/>
      <c r="F6413" s="446"/>
      <c r="G6413" s="766"/>
      <c r="H6413" s="321"/>
      <c r="I6413" s="385"/>
      <c r="J6413" s="392"/>
      <c r="K6413" s="385"/>
      <c r="L6413" s="392"/>
      <c r="M6413" s="62"/>
      <c r="N6413" s="63"/>
      <c r="O6413" s="63"/>
      <c r="P6413" s="79" t="str">
        <f>IF(AND('331-CT'!$E$7=TH!H6413,OR(N6413="331",O6413="331")),"x","")</f>
        <v/>
      </c>
      <c r="Q6413" s="79" t="str">
        <f>IF(AND(B6413='111'!$L$11,OR($N6413=$Q$7,$O6413=$Q$7)),"x","")</f>
        <v/>
      </c>
      <c r="R6413" s="79" t="str">
        <f>IF(AND($N6413=$Q$7,$B6413&lt;'111'!$L$11),"x","")</f>
        <v/>
      </c>
      <c r="S6413" s="79" t="str">
        <f>IF(AND($O6413=$Q$7,$B6413&lt;'111'!$L$11),"x","")</f>
        <v/>
      </c>
      <c r="T6413" s="79" t="str">
        <f>IF(ISERROR(FIND('112'!$M$9,G6413,1)),"",IF((AND(FIND('112'!$M$9,G6413,1)&gt;=1,B6413='112'!$K$9,OR($N6413='112'!$I$6,$O6413='112'!$I$6))),"x",""))</f>
        <v/>
      </c>
      <c r="U6413" s="79" t="str">
        <f>IF(ISERROR(FIND('112'!$M$9,G6413,1)),"",IF((AND(LEFT(G6413,2)=LEFT('112'!$M$9,2),B6413&lt;'112'!$K$9,$N6413='112'!$I$6)),"x",""))</f>
        <v/>
      </c>
      <c r="V6413" s="79" t="str">
        <f>IF(ISERROR(FIND('112'!$M$9,G6413,1)),"",IF((AND(RIGHT(G6413,2)=RIGHT('112'!$M$9,2),B6413&lt;'112'!$K$9,$O6413='112'!$I$6)),"x",""))</f>
        <v/>
      </c>
      <c r="W6413" s="79" t="str">
        <f>IF(AND('341-CT'!$H$9=H6413,OR(LEFT(N6413,3)=$W$7,LEFT(O6413,3)=$W$7)),"x","")</f>
        <v/>
      </c>
      <c r="X6413" s="79" t="str">
        <f>IF(OR(TH!N6413=TH!$X$7,O6413=TH!$X$7),"x","")</f>
        <v/>
      </c>
      <c r="Y6413" s="79" t="str">
        <f>IF(AND(OR(N6413="131",O6413="131"),H6413='131-CT'!$H$9),"x","")</f>
        <v/>
      </c>
      <c r="Z6413" s="79"/>
      <c r="AA6413" s="79" t="str">
        <f>IF(AND(MONTH(E6413)='IN-NX'!$J$5,'IN-NX'!$D$7=D6413),"x","")</f>
        <v/>
      </c>
      <c r="AB6413" s="79" t="str">
        <f>IF(AND(OR(LEFT(TH!N6413,2)="15",LEFT(TH!O6413,2)="15"),LEFT(TH!O6413,3)&lt;&gt;"111",'152-CT'!$J$8=TH!F6413),"x","")</f>
        <v/>
      </c>
      <c r="AC6413" s="79" t="str">
        <f>IF(AND(OR(LEFT(TH!N6413,2)="15",LEFT(TH!O6413,2)="15"),TK!$E$7=TH!F6413),"x","")</f>
        <v/>
      </c>
      <c r="AD6413" s="79" t="str">
        <f>IF(AND(N6413="1521",MONTH(C6413)='BK-NL'!$M$11),"x","")</f>
        <v/>
      </c>
    </row>
    <row r="6414" spans="1:30" ht="16.5" customHeight="1">
      <c r="A6414" s="318" t="str">
        <f>IF(B6414&lt;&gt;"",IF(AND(B6414='IN-TC'!$S$4,OR(TH!N6414="1111",TH!O6414="1111")),TH!D6414,""),"")</f>
        <v/>
      </c>
      <c r="B6414" s="1163" t="str">
        <f t="shared" si="521"/>
        <v/>
      </c>
      <c r="C6414" s="61"/>
      <c r="D6414" s="301"/>
      <c r="E6414" s="61"/>
      <c r="F6414" s="446"/>
      <c r="G6414" s="766"/>
      <c r="H6414" s="321"/>
      <c r="I6414" s="385"/>
      <c r="J6414" s="392"/>
      <c r="K6414" s="385"/>
      <c r="L6414" s="392"/>
      <c r="M6414" s="62"/>
      <c r="N6414" s="63"/>
      <c r="O6414" s="63"/>
      <c r="P6414" s="79" t="str">
        <f>IF(AND('331-CT'!$E$7=TH!H6414,OR(N6414="331",O6414="331")),"x","")</f>
        <v/>
      </c>
      <c r="Q6414" s="79" t="str">
        <f>IF(AND(B6414='111'!$L$11,OR($N6414=$Q$7,$O6414=$Q$7)),"x","")</f>
        <v/>
      </c>
      <c r="R6414" s="79" t="str">
        <f>IF(AND($N6414=$Q$7,$B6414&lt;'111'!$L$11),"x","")</f>
        <v/>
      </c>
      <c r="S6414" s="79" t="str">
        <f>IF(AND($O6414=$Q$7,$B6414&lt;'111'!$L$11),"x","")</f>
        <v/>
      </c>
      <c r="T6414" s="79" t="str">
        <f>IF(ISERROR(FIND('112'!$M$9,G6414,1)),"",IF((AND(FIND('112'!$M$9,G6414,1)&gt;=1,B6414='112'!$K$9,OR($N6414='112'!$I$6,$O6414='112'!$I$6))),"x",""))</f>
        <v/>
      </c>
      <c r="U6414" s="79" t="str">
        <f>IF(ISERROR(FIND('112'!$M$9,G6414,1)),"",IF((AND(LEFT(G6414,2)=LEFT('112'!$M$9,2),B6414&lt;'112'!$K$9,$N6414='112'!$I$6)),"x",""))</f>
        <v/>
      </c>
      <c r="V6414" s="79" t="str">
        <f>IF(ISERROR(FIND('112'!$M$9,G6414,1)),"",IF((AND(RIGHT(G6414,2)=RIGHT('112'!$M$9,2),B6414&lt;'112'!$K$9,$O6414='112'!$I$6)),"x",""))</f>
        <v/>
      </c>
      <c r="W6414" s="79" t="str">
        <f>IF(AND('341-CT'!$H$9=H6414,OR(LEFT(N6414,3)=$W$7,LEFT(O6414,3)=$W$7)),"x","")</f>
        <v/>
      </c>
      <c r="X6414" s="79" t="str">
        <f>IF(OR(TH!N6414=TH!$X$7,O6414=TH!$X$7),"x","")</f>
        <v/>
      </c>
      <c r="Y6414" s="79" t="str">
        <f>IF(AND(OR(N6414="131",O6414="131"),H6414='131-CT'!$H$9),"x","")</f>
        <v/>
      </c>
      <c r="Z6414" s="79"/>
      <c r="AA6414" s="79" t="str">
        <f>IF(AND(MONTH(E6414)='IN-NX'!$J$5,'IN-NX'!$D$7=D6414),"x","")</f>
        <v/>
      </c>
      <c r="AB6414" s="79" t="str">
        <f>IF(AND(OR(LEFT(TH!N6414,2)="15",LEFT(TH!O6414,2)="15"),LEFT(TH!O6414,3)&lt;&gt;"111",'152-CT'!$J$8=TH!F6414),"x","")</f>
        <v/>
      </c>
      <c r="AC6414" s="79" t="str">
        <f>IF(AND(OR(LEFT(TH!N6414,2)="15",LEFT(TH!O6414,2)="15"),TK!$E$7=TH!F6414),"x","")</f>
        <v/>
      </c>
      <c r="AD6414" s="79" t="str">
        <f>IF(AND(N6414="1521",MONTH(C6414)='BK-NL'!$M$11),"x","")</f>
        <v/>
      </c>
    </row>
    <row r="6415" spans="1:30" ht="16.5" customHeight="1">
      <c r="A6415" s="318" t="str">
        <f>IF(B6415&lt;&gt;"",IF(AND(B6415='IN-TC'!$S$4,OR(TH!N6415="1111",TH!O6415="1111")),TH!D6415,""),"")</f>
        <v/>
      </c>
      <c r="B6415" s="1163" t="str">
        <f t="shared" si="521"/>
        <v/>
      </c>
      <c r="C6415" s="61"/>
      <c r="D6415" s="301"/>
      <c r="E6415" s="61"/>
      <c r="F6415" s="446"/>
      <c r="G6415" s="766"/>
      <c r="H6415" s="321"/>
      <c r="I6415" s="385"/>
      <c r="J6415" s="392"/>
      <c r="K6415" s="385"/>
      <c r="L6415" s="392"/>
      <c r="M6415" s="62"/>
      <c r="N6415" s="63"/>
      <c r="O6415" s="63"/>
      <c r="P6415" s="79" t="str">
        <f>IF(AND('331-CT'!$E$7=TH!H6415,OR(N6415="331",O6415="331")),"x","")</f>
        <v/>
      </c>
      <c r="Q6415" s="79" t="str">
        <f>IF(AND(B6415='111'!$L$11,OR($N6415=$Q$7,$O6415=$Q$7)),"x","")</f>
        <v/>
      </c>
      <c r="R6415" s="79" t="str">
        <f>IF(AND($N6415=$Q$7,$B6415&lt;'111'!$L$11),"x","")</f>
        <v/>
      </c>
      <c r="S6415" s="79" t="str">
        <f>IF(AND($O6415=$Q$7,$B6415&lt;'111'!$L$11),"x","")</f>
        <v/>
      </c>
      <c r="T6415" s="79" t="str">
        <f>IF(ISERROR(FIND('112'!$M$9,G6415,1)),"",IF((AND(FIND('112'!$M$9,G6415,1)&gt;=1,B6415='112'!$K$9,OR($N6415='112'!$I$6,$O6415='112'!$I$6))),"x",""))</f>
        <v/>
      </c>
      <c r="U6415" s="79" t="str">
        <f>IF(ISERROR(FIND('112'!$M$9,G6415,1)),"",IF((AND(LEFT(G6415,2)=LEFT('112'!$M$9,2),B6415&lt;'112'!$K$9,$N6415='112'!$I$6)),"x",""))</f>
        <v/>
      </c>
      <c r="V6415" s="79" t="str">
        <f>IF(ISERROR(FIND('112'!$M$9,G6415,1)),"",IF((AND(RIGHT(G6415,2)=RIGHT('112'!$M$9,2),B6415&lt;'112'!$K$9,$O6415='112'!$I$6)),"x",""))</f>
        <v/>
      </c>
      <c r="W6415" s="79" t="str">
        <f>IF(AND('341-CT'!$H$9=H6415,OR(LEFT(N6415,3)=$W$7,LEFT(O6415,3)=$W$7)),"x","")</f>
        <v/>
      </c>
      <c r="X6415" s="79" t="str">
        <f>IF(OR(TH!N6415=TH!$X$7,O6415=TH!$X$7),"x","")</f>
        <v/>
      </c>
      <c r="Y6415" s="79" t="str">
        <f>IF(AND(OR(N6415="131",O6415="131"),H6415='131-CT'!$H$9),"x","")</f>
        <v/>
      </c>
      <c r="Z6415" s="79"/>
      <c r="AA6415" s="79" t="str">
        <f>IF(AND(MONTH(E6415)='IN-NX'!$J$5,'IN-NX'!$D$7=D6415),"x","")</f>
        <v/>
      </c>
      <c r="AB6415" s="79" t="str">
        <f>IF(AND(OR(LEFT(TH!N6415,2)="15",LEFT(TH!O6415,2)="15"),LEFT(TH!O6415,3)&lt;&gt;"111",'152-CT'!$J$8=TH!F6415),"x","")</f>
        <v/>
      </c>
      <c r="AC6415" s="79" t="str">
        <f>IF(AND(OR(LEFT(TH!N6415,2)="15",LEFT(TH!O6415,2)="15"),TK!$E$7=TH!F6415),"x","")</f>
        <v/>
      </c>
      <c r="AD6415" s="79" t="str">
        <f>IF(AND(N6415="1521",MONTH(C6415)='BK-NL'!$M$11),"x","")</f>
        <v/>
      </c>
    </row>
    <row r="6416" spans="1:30" ht="16.5" customHeight="1">
      <c r="A6416" s="318" t="str">
        <f>IF(B6416&lt;&gt;"",IF(AND(B6416='IN-TC'!$S$4,OR(TH!N6416="1111",TH!O6416="1111")),TH!D6416,""),"")</f>
        <v/>
      </c>
      <c r="B6416" s="1163" t="str">
        <f t="shared" si="521"/>
        <v/>
      </c>
      <c r="C6416" s="61"/>
      <c r="D6416" s="61"/>
      <c r="E6416" s="61"/>
      <c r="F6416" s="69"/>
      <c r="G6416" s="64"/>
      <c r="H6416" s="69"/>
      <c r="I6416" s="385"/>
      <c r="J6416" s="392"/>
      <c r="K6416" s="385"/>
      <c r="L6416" s="392"/>
      <c r="M6416" s="62"/>
      <c r="N6416" s="63"/>
      <c r="O6416" s="63"/>
      <c r="P6416" s="79" t="str">
        <f>IF(AND('331-CT'!$E$7=TH!H6416,OR(N6416="331",O6416="331")),"x","")</f>
        <v/>
      </c>
      <c r="Q6416" s="79" t="str">
        <f>IF(AND(B6416='111'!$L$11,OR($N6416=$Q$7,$O6416=$Q$7)),"x","")</f>
        <v/>
      </c>
      <c r="R6416" s="79" t="str">
        <f>IF(AND($N6416=$Q$7,$B6416&lt;'111'!$L$11),"x","")</f>
        <v/>
      </c>
      <c r="S6416" s="79" t="str">
        <f>IF(AND($O6416=$Q$7,$B6416&lt;'111'!$L$11),"x","")</f>
        <v/>
      </c>
      <c r="T6416" s="79" t="str">
        <f>IF(ISERROR(FIND('112'!$M$9,G6416,1)),"",IF((AND(FIND('112'!$M$9,G6416,1)&gt;=1,B6416='112'!$K$9,OR($N6416='112'!$I$6,$O6416='112'!$I$6))),"x",""))</f>
        <v/>
      </c>
      <c r="U6416" s="79" t="str">
        <f>IF(ISERROR(FIND('112'!$M$9,G6416,1)),"",IF((AND(LEFT(G6416,2)=LEFT('112'!$M$9,2),B6416&lt;'112'!$K$9,$N6416='112'!$I$6)),"x",""))</f>
        <v/>
      </c>
      <c r="V6416" s="79" t="str">
        <f>IF(ISERROR(FIND('112'!$M$9,G6416,1)),"",IF((AND(RIGHT(G6416,2)=RIGHT('112'!$M$9,2),B6416&lt;'112'!$K$9,$O6416='112'!$I$6)),"x",""))</f>
        <v/>
      </c>
      <c r="W6416" s="79" t="str">
        <f>IF(AND('341-CT'!$H$9=H6416,OR(LEFT(N6416,3)=$W$7,LEFT(O6416,3)=$W$7)),"x","")</f>
        <v/>
      </c>
      <c r="X6416" s="79" t="str">
        <f>IF(OR(TH!N6416=TH!$X$7,O6416=TH!$X$7),"x","")</f>
        <v/>
      </c>
      <c r="Y6416" s="79" t="str">
        <f>IF(AND(OR(N6416="131",O6416="131"),H6416='131-CT'!$H$9),"x","")</f>
        <v/>
      </c>
      <c r="Z6416" s="79"/>
      <c r="AA6416" s="79" t="str">
        <f>IF(AND(MONTH(E6416)='IN-NX'!$J$5,'IN-NX'!$D$7=D6416),"x","")</f>
        <v/>
      </c>
      <c r="AB6416" s="79" t="str">
        <f>IF(AND(OR(LEFT(TH!N6416,2)="15",LEFT(TH!O6416,2)="15"),LEFT(TH!O6416,3)&lt;&gt;"111",'152-CT'!$J$8=TH!F6416),"x","")</f>
        <v/>
      </c>
      <c r="AC6416" s="79" t="str">
        <f>IF(AND(OR(LEFT(TH!N6416,2)="15",LEFT(TH!O6416,2)="15"),TK!$E$7=TH!F6416),"x","")</f>
        <v/>
      </c>
      <c r="AD6416" s="79" t="str">
        <f>IF(AND(N6416="1521",MONTH(C6416)='BK-NL'!$M$11),"x","")</f>
        <v/>
      </c>
    </row>
    <row r="6417" spans="1:30" ht="16.5" customHeight="1">
      <c r="A6417" s="318" t="str">
        <f>IF(B6417&lt;&gt;"",IF(AND(B6417='IN-TC'!$S$4,OR(TH!N6417="1111",TH!O6417="1111")),TH!D6417,""),"")</f>
        <v/>
      </c>
      <c r="B6417" s="1163" t="str">
        <f t="shared" si="521"/>
        <v/>
      </c>
      <c r="C6417" s="61"/>
      <c r="D6417" s="61"/>
      <c r="E6417" s="61"/>
      <c r="F6417" s="69"/>
      <c r="G6417" s="766"/>
      <c r="H6417" s="69"/>
      <c r="I6417" s="385"/>
      <c r="J6417" s="392"/>
      <c r="K6417" s="385"/>
      <c r="L6417" s="392"/>
      <c r="M6417" s="62"/>
      <c r="N6417" s="63"/>
      <c r="O6417" s="63"/>
      <c r="P6417" s="79" t="str">
        <f>IF(AND('331-CT'!$E$7=TH!H6417,OR(N6417="331",O6417="331")),"x","")</f>
        <v/>
      </c>
      <c r="Q6417" s="79" t="str">
        <f>IF(AND(B6417='111'!$L$11,OR($N6417=$Q$7,$O6417=$Q$7)),"x","")</f>
        <v/>
      </c>
      <c r="R6417" s="79" t="str">
        <f>IF(AND($N6417=$Q$7,$B6417&lt;'111'!$L$11),"x","")</f>
        <v/>
      </c>
      <c r="S6417" s="79" t="str">
        <f>IF(AND($O6417=$Q$7,$B6417&lt;'111'!$L$11),"x","")</f>
        <v/>
      </c>
      <c r="T6417" s="79" t="str">
        <f>IF(ISERROR(FIND('112'!$M$9,G6417,1)),"",IF((AND(FIND('112'!$M$9,G6417,1)&gt;=1,B6417='112'!$K$9,OR($N6417='112'!$I$6,$O6417='112'!$I$6))),"x",""))</f>
        <v/>
      </c>
      <c r="U6417" s="79" t="str">
        <f>IF(ISERROR(FIND('112'!$M$9,G6417,1)),"",IF((AND(LEFT(G6417,2)=LEFT('112'!$M$9,2),B6417&lt;'112'!$K$9,$N6417='112'!$I$6)),"x",""))</f>
        <v/>
      </c>
      <c r="V6417" s="79" t="str">
        <f>IF(ISERROR(FIND('112'!$M$9,G6417,1)),"",IF((AND(RIGHT(G6417,2)=RIGHT('112'!$M$9,2),B6417&lt;'112'!$K$9,$O6417='112'!$I$6)),"x",""))</f>
        <v/>
      </c>
      <c r="W6417" s="79" t="str">
        <f>IF(AND('341-CT'!$H$9=H6417,OR(LEFT(N6417,3)=$W$7,LEFT(O6417,3)=$W$7)),"x","")</f>
        <v/>
      </c>
      <c r="X6417" s="79" t="str">
        <f>IF(OR(TH!N6417=TH!$X$7,O6417=TH!$X$7),"x","")</f>
        <v/>
      </c>
      <c r="Y6417" s="79" t="str">
        <f>IF(AND(OR(N6417="131",O6417="131"),H6417='131-CT'!$H$9),"x","")</f>
        <v/>
      </c>
      <c r="Z6417" s="79"/>
      <c r="AA6417" s="79" t="str">
        <f>IF(AND(MONTH(E6417)='IN-NX'!$J$5,'IN-NX'!$D$7=D6417),"x","")</f>
        <v/>
      </c>
      <c r="AB6417" s="79" t="str">
        <f>IF(AND(OR(LEFT(TH!N6417,2)="15",LEFT(TH!O6417,2)="15"),LEFT(TH!O6417,3)&lt;&gt;"111",'152-CT'!$J$8=TH!F6417),"x","")</f>
        <v/>
      </c>
      <c r="AC6417" s="79" t="str">
        <f>IF(AND(OR(LEFT(TH!N6417,2)="15",LEFT(TH!O6417,2)="15"),TK!$E$7=TH!F6417),"x","")</f>
        <v/>
      </c>
      <c r="AD6417" s="79" t="str">
        <f>IF(AND(N6417="1521",MONTH(C6417)='BK-NL'!$M$11),"x","")</f>
        <v/>
      </c>
    </row>
    <row r="6418" spans="1:30" ht="16.5" customHeight="1">
      <c r="A6418" s="318" t="str">
        <f>IF(B6418&lt;&gt;"",IF(AND(B6418='IN-TC'!$S$4,OR(TH!N6418="1111",TH!O6418="1111")),TH!D6418,""),"")</f>
        <v/>
      </c>
      <c r="B6418" s="1163" t="str">
        <f t="shared" si="521"/>
        <v/>
      </c>
      <c r="C6418" s="61"/>
      <c r="D6418" s="61"/>
      <c r="E6418" s="61"/>
      <c r="F6418" s="69"/>
      <c r="G6418" s="766"/>
      <c r="H6418" s="69"/>
      <c r="I6418" s="385"/>
      <c r="J6418" s="392"/>
      <c r="K6418" s="385"/>
      <c r="L6418" s="392"/>
      <c r="M6418" s="62"/>
      <c r="N6418" s="63"/>
      <c r="O6418" s="63"/>
      <c r="P6418" s="79" t="str">
        <f>IF(AND('331-CT'!$E$7=TH!H6418,OR(N6418="331",O6418="331")),"x","")</f>
        <v/>
      </c>
      <c r="Q6418" s="79" t="str">
        <f>IF(AND(B6418='111'!$L$11,OR($N6418=$Q$7,$O6418=$Q$7)),"x","")</f>
        <v/>
      </c>
      <c r="R6418" s="79" t="str">
        <f>IF(AND($N6418=$Q$7,$B6418&lt;'111'!$L$11),"x","")</f>
        <v/>
      </c>
      <c r="S6418" s="79" t="str">
        <f>IF(AND($O6418=$Q$7,$B6418&lt;'111'!$L$11),"x","")</f>
        <v/>
      </c>
      <c r="T6418" s="79" t="str">
        <f>IF(ISERROR(FIND('112'!$M$9,G6418,1)),"",IF((AND(FIND('112'!$M$9,G6418,1)&gt;=1,B6418='112'!$K$9,OR($N6418='112'!$I$6,$O6418='112'!$I$6))),"x",""))</f>
        <v/>
      </c>
      <c r="U6418" s="79" t="str">
        <f>IF(ISERROR(FIND('112'!$M$9,G6418,1)),"",IF((AND(LEFT(G6418,2)=LEFT('112'!$M$9,2),B6418&lt;'112'!$K$9,$N6418='112'!$I$6)),"x",""))</f>
        <v/>
      </c>
      <c r="V6418" s="79" t="str">
        <f>IF(ISERROR(FIND('112'!$M$9,G6418,1)),"",IF((AND(RIGHT(G6418,2)=RIGHT('112'!$M$9,2),B6418&lt;'112'!$K$9,$O6418='112'!$I$6)),"x",""))</f>
        <v/>
      </c>
      <c r="W6418" s="79" t="str">
        <f>IF(AND('341-CT'!$H$9=H6418,OR(LEFT(N6418,3)=$W$7,LEFT(O6418,3)=$W$7)),"x","")</f>
        <v/>
      </c>
      <c r="X6418" s="79" t="str">
        <f>IF(OR(TH!N6418=TH!$X$7,O6418=TH!$X$7),"x","")</f>
        <v/>
      </c>
      <c r="Y6418" s="79" t="str">
        <f>IF(AND(OR(N6418="131",O6418="131"),H6418='131-CT'!$H$9),"x","")</f>
        <v/>
      </c>
      <c r="Z6418" s="79"/>
      <c r="AA6418" s="79" t="str">
        <f>IF(AND(MONTH(E6418)='IN-NX'!$J$5,'IN-NX'!$D$7=D6418),"x","")</f>
        <v/>
      </c>
      <c r="AB6418" s="79" t="str">
        <f>IF(AND(OR(LEFT(TH!N6418,2)="15",LEFT(TH!O6418,2)="15"),LEFT(TH!O6418,3)&lt;&gt;"111",'152-CT'!$J$8=TH!F6418),"x","")</f>
        <v/>
      </c>
      <c r="AC6418" s="79" t="str">
        <f>IF(AND(OR(LEFT(TH!N6418,2)="15",LEFT(TH!O6418,2)="15"),TK!$E$7=TH!F6418),"x","")</f>
        <v/>
      </c>
      <c r="AD6418" s="79" t="str">
        <f>IF(AND(N6418="1521",MONTH(C6418)='BK-NL'!$M$11),"x","")</f>
        <v/>
      </c>
    </row>
    <row r="6419" spans="1:30" ht="16.5" customHeight="1">
      <c r="A6419" s="318" t="str">
        <f>IF(B6419&lt;&gt;"",IF(AND(B6419='IN-TC'!$S$4,OR(TH!N6419="1111",TH!O6419="1111")),TH!D6419,""),"")</f>
        <v/>
      </c>
      <c r="B6419" s="1163" t="str">
        <f t="shared" si="521"/>
        <v/>
      </c>
      <c r="C6419" s="61"/>
      <c r="D6419" s="61"/>
      <c r="E6419" s="61"/>
      <c r="F6419" s="446"/>
      <c r="G6419" s="64"/>
      <c r="H6419" s="69"/>
      <c r="I6419" s="385"/>
      <c r="J6419" s="392"/>
      <c r="K6419" s="385"/>
      <c r="L6419" s="392"/>
      <c r="M6419" s="62"/>
      <c r="N6419" s="63"/>
      <c r="O6419" s="63"/>
      <c r="P6419" s="79" t="str">
        <f>IF(AND('331-CT'!$E$7=TH!H6419,OR(N6419="331",O6419="331")),"x","")</f>
        <v/>
      </c>
      <c r="Q6419" s="79" t="str">
        <f>IF(AND(B6419='111'!$L$11,OR($N6419=$Q$7,$O6419=$Q$7)),"x","")</f>
        <v/>
      </c>
      <c r="R6419" s="79" t="str">
        <f>IF(AND($N6419=$Q$7,$B6419&lt;'111'!$L$11),"x","")</f>
        <v/>
      </c>
      <c r="S6419" s="79" t="str">
        <f>IF(AND($O6419=$Q$7,$B6419&lt;'111'!$L$11),"x","")</f>
        <v/>
      </c>
      <c r="T6419" s="79" t="str">
        <f>IF(ISERROR(FIND('112'!$M$9,G6419,1)),"",IF((AND(FIND('112'!$M$9,G6419,1)&gt;=1,B6419='112'!$K$9,OR($N6419='112'!$I$6,$O6419='112'!$I$6))),"x",""))</f>
        <v/>
      </c>
      <c r="U6419" s="79" t="str">
        <f>IF(ISERROR(FIND('112'!$M$9,G6419,1)),"",IF((AND(LEFT(G6419,2)=LEFT('112'!$M$9,2),B6419&lt;'112'!$K$9,$N6419='112'!$I$6)),"x",""))</f>
        <v/>
      </c>
      <c r="V6419" s="79" t="str">
        <f>IF(ISERROR(FIND('112'!$M$9,G6419,1)),"",IF((AND(RIGHT(G6419,2)=RIGHT('112'!$M$9,2),B6419&lt;'112'!$K$9,$O6419='112'!$I$6)),"x",""))</f>
        <v/>
      </c>
      <c r="W6419" s="79" t="str">
        <f>IF(AND('341-CT'!$H$9=H6419,OR(LEFT(N6419,3)=$W$7,LEFT(O6419,3)=$W$7)),"x","")</f>
        <v/>
      </c>
      <c r="X6419" s="79" t="str">
        <f>IF(OR(TH!N6419=TH!$X$7,O6419=TH!$X$7),"x","")</f>
        <v/>
      </c>
      <c r="Y6419" s="79" t="str">
        <f>IF(AND(OR(N6419="131",O6419="131"),H6419='131-CT'!$H$9),"x","")</f>
        <v/>
      </c>
      <c r="Z6419" s="79"/>
      <c r="AA6419" s="79" t="str">
        <f>IF(AND(MONTH(E6419)='IN-NX'!$J$5,'IN-NX'!$D$7=D6419),"x","")</f>
        <v/>
      </c>
      <c r="AB6419" s="79" t="str">
        <f>IF(AND(OR(LEFT(TH!N6419,2)="15",LEFT(TH!O6419,2)="15"),LEFT(TH!O6419,3)&lt;&gt;"111",'152-CT'!$J$8=TH!F6419),"x","")</f>
        <v/>
      </c>
      <c r="AC6419" s="79" t="str">
        <f>IF(AND(OR(LEFT(TH!N6419,2)="15",LEFT(TH!O6419,2)="15"),TK!$E$7=TH!F6419),"x","")</f>
        <v/>
      </c>
      <c r="AD6419" s="79" t="str">
        <f>IF(AND(N6419="1521",MONTH(C6419)='BK-NL'!$M$11),"x","")</f>
        <v/>
      </c>
    </row>
    <row r="6420" spans="1:30" ht="16.5" customHeight="1">
      <c r="A6420" s="318" t="str">
        <f>IF(B6420&lt;&gt;"",IF(AND(B6420='IN-TC'!$S$4,OR(TH!N6420="1111",TH!O6420="1111")),TH!D6420,""),"")</f>
        <v/>
      </c>
      <c r="B6420" s="1163" t="str">
        <f t="shared" si="521"/>
        <v/>
      </c>
      <c r="C6420" s="61"/>
      <c r="D6420" s="61"/>
      <c r="E6420" s="61"/>
      <c r="F6420" s="446"/>
      <c r="G6420" s="64"/>
      <c r="H6420" s="69"/>
      <c r="I6420" s="385"/>
      <c r="J6420" s="392"/>
      <c r="K6420" s="385"/>
      <c r="L6420" s="392"/>
      <c r="M6420" s="62"/>
      <c r="N6420" s="63"/>
      <c r="O6420" s="63"/>
      <c r="P6420" s="79" t="str">
        <f>IF(AND('331-CT'!$E$7=TH!H6420,OR(N6420="331",O6420="331")),"x","")</f>
        <v/>
      </c>
      <c r="Q6420" s="79" t="str">
        <f>IF(AND(B6420='111'!$L$11,OR($N6420=$Q$7,$O6420=$Q$7)),"x","")</f>
        <v/>
      </c>
      <c r="R6420" s="79" t="str">
        <f>IF(AND($N6420=$Q$7,$B6420&lt;'111'!$L$11),"x","")</f>
        <v/>
      </c>
      <c r="S6420" s="79" t="str">
        <f>IF(AND($O6420=$Q$7,$B6420&lt;'111'!$L$11),"x","")</f>
        <v/>
      </c>
      <c r="T6420" s="79" t="str">
        <f>IF(ISERROR(FIND('112'!$M$9,G6420,1)),"",IF((AND(FIND('112'!$M$9,G6420,1)&gt;=1,B6420='112'!$K$9,OR($N6420='112'!$I$6,$O6420='112'!$I$6))),"x",""))</f>
        <v/>
      </c>
      <c r="U6420" s="79" t="str">
        <f>IF(ISERROR(FIND('112'!$M$9,G6420,1)),"",IF((AND(LEFT(G6420,2)=LEFT('112'!$M$9,2),B6420&lt;'112'!$K$9,$N6420='112'!$I$6)),"x",""))</f>
        <v/>
      </c>
      <c r="V6420" s="79" t="str">
        <f>IF(ISERROR(FIND('112'!$M$9,G6420,1)),"",IF((AND(RIGHT(G6420,2)=RIGHT('112'!$M$9,2),B6420&lt;'112'!$K$9,$O6420='112'!$I$6)),"x",""))</f>
        <v/>
      </c>
      <c r="W6420" s="79" t="str">
        <f>IF(AND('341-CT'!$H$9=H6420,OR(LEFT(N6420,3)=$W$7,LEFT(O6420,3)=$W$7)),"x","")</f>
        <v/>
      </c>
      <c r="X6420" s="79" t="str">
        <f>IF(OR(TH!N6420=TH!$X$7,O6420=TH!$X$7),"x","")</f>
        <v/>
      </c>
      <c r="Y6420" s="79" t="str">
        <f>IF(AND(OR(N6420="131",O6420="131"),H6420='131-CT'!$H$9),"x","")</f>
        <v/>
      </c>
      <c r="Z6420" s="79"/>
      <c r="AA6420" s="79" t="str">
        <f>IF(AND(MONTH(E6420)='IN-NX'!$J$5,'IN-NX'!$D$7=D6420),"x","")</f>
        <v/>
      </c>
      <c r="AB6420" s="79" t="str">
        <f>IF(AND(OR(LEFT(TH!N6420,2)="15",LEFT(TH!O6420,2)="15"),LEFT(TH!O6420,3)&lt;&gt;"111",'152-CT'!$J$8=TH!F6420),"x","")</f>
        <v/>
      </c>
      <c r="AC6420" s="79" t="str">
        <f>IF(AND(OR(LEFT(TH!N6420,2)="15",LEFT(TH!O6420,2)="15"),TK!$E$7=TH!F6420),"x","")</f>
        <v/>
      </c>
      <c r="AD6420" s="79" t="str">
        <f>IF(AND(N6420="1521",MONTH(C6420)='BK-NL'!$M$11),"x","")</f>
        <v/>
      </c>
    </row>
    <row r="6421" spans="1:30" ht="16.5" customHeight="1">
      <c r="A6421" s="318" t="str">
        <f>IF(B6421&lt;&gt;"",IF(AND(B6421='IN-TC'!$S$4,OR(TH!N6421="1111",TH!O6421="1111")),TH!D6421,""),"")</f>
        <v/>
      </c>
      <c r="B6421" s="1163" t="str">
        <f t="shared" si="521"/>
        <v/>
      </c>
      <c r="C6421" s="61"/>
      <c r="D6421" s="61"/>
      <c r="E6421" s="61"/>
      <c r="F6421" s="69"/>
      <c r="G6421" s="766"/>
      <c r="H6421" s="69"/>
      <c r="I6421" s="385"/>
      <c r="J6421" s="392"/>
      <c r="K6421" s="385"/>
      <c r="L6421" s="392"/>
      <c r="M6421" s="62"/>
      <c r="N6421" s="63"/>
      <c r="O6421" s="63"/>
      <c r="P6421" s="79" t="str">
        <f>IF(AND('331-CT'!$E$7=TH!H6421,OR(N6421="331",O6421="331")),"x","")</f>
        <v/>
      </c>
      <c r="Q6421" s="79" t="str">
        <f>IF(AND(B6421='111'!$L$11,OR($N6421=$Q$7,$O6421=$Q$7)),"x","")</f>
        <v/>
      </c>
      <c r="R6421" s="79" t="str">
        <f>IF(AND($N6421=$Q$7,$B6421&lt;'111'!$L$11),"x","")</f>
        <v/>
      </c>
      <c r="S6421" s="79" t="str">
        <f>IF(AND($O6421=$Q$7,$B6421&lt;'111'!$L$11),"x","")</f>
        <v/>
      </c>
      <c r="T6421" s="79" t="str">
        <f>IF(ISERROR(FIND('112'!$M$9,G6421,1)),"",IF((AND(FIND('112'!$M$9,G6421,1)&gt;=1,B6421='112'!$K$9,OR($N6421='112'!$I$6,$O6421='112'!$I$6))),"x",""))</f>
        <v/>
      </c>
      <c r="U6421" s="79" t="str">
        <f>IF(ISERROR(FIND('112'!$M$9,G6421,1)),"",IF((AND(LEFT(G6421,2)=LEFT('112'!$M$9,2),B6421&lt;'112'!$K$9,$N6421='112'!$I$6)),"x",""))</f>
        <v/>
      </c>
      <c r="V6421" s="79" t="str">
        <f>IF(ISERROR(FIND('112'!$M$9,G6421,1)),"",IF((AND(RIGHT(G6421,2)=RIGHT('112'!$M$9,2),B6421&lt;'112'!$K$9,$O6421='112'!$I$6)),"x",""))</f>
        <v/>
      </c>
      <c r="W6421" s="79" t="str">
        <f>IF(AND('341-CT'!$H$9=H6421,OR(LEFT(N6421,3)=$W$7,LEFT(O6421,3)=$W$7)),"x","")</f>
        <v/>
      </c>
      <c r="X6421" s="79" t="str">
        <f>IF(OR(TH!N6421=TH!$X$7,O6421=TH!$X$7),"x","")</f>
        <v/>
      </c>
      <c r="Y6421" s="79" t="str">
        <f>IF(AND(OR(N6421="131",O6421="131"),H6421='131-CT'!$H$9),"x","")</f>
        <v/>
      </c>
      <c r="Z6421" s="79"/>
      <c r="AA6421" s="79" t="str">
        <f>IF(AND(MONTH(E6421)='IN-NX'!$J$5,'IN-NX'!$D$7=D6421),"x","")</f>
        <v/>
      </c>
      <c r="AB6421" s="79" t="str">
        <f>IF(AND(OR(LEFT(TH!N6421,2)="15",LEFT(TH!O6421,2)="15"),LEFT(TH!O6421,3)&lt;&gt;"111",'152-CT'!$J$8=TH!F6421),"x","")</f>
        <v/>
      </c>
      <c r="AC6421" s="79" t="str">
        <f>IF(AND(OR(LEFT(TH!N6421,2)="15",LEFT(TH!O6421,2)="15"),TK!$E$7=TH!F6421),"x","")</f>
        <v/>
      </c>
      <c r="AD6421" s="79" t="str">
        <f>IF(AND(N6421="1521",MONTH(C6421)='BK-NL'!$M$11),"x","")</f>
        <v/>
      </c>
    </row>
    <row r="6422" spans="1:30" ht="16.5" customHeight="1">
      <c r="A6422" s="318" t="str">
        <f>IF(B6422&lt;&gt;"",IF(AND(B6422='IN-TC'!$S$4,OR(TH!N6422="1111",TH!O6422="1111")),TH!D6422,""),"")</f>
        <v/>
      </c>
      <c r="B6422" s="1163" t="str">
        <f t="shared" si="521"/>
        <v/>
      </c>
      <c r="C6422" s="61"/>
      <c r="D6422" s="61"/>
      <c r="E6422" s="61"/>
      <c r="F6422" s="69"/>
      <c r="G6422" s="64"/>
      <c r="H6422" s="69"/>
      <c r="I6422" s="385"/>
      <c r="J6422" s="392"/>
      <c r="K6422" s="385"/>
      <c r="L6422" s="392"/>
      <c r="M6422" s="62"/>
      <c r="N6422" s="63"/>
      <c r="O6422" s="63"/>
      <c r="P6422" s="79" t="str">
        <f>IF(AND('331-CT'!$E$7=TH!H6422,OR(N6422="331",O6422="331")),"x","")</f>
        <v/>
      </c>
      <c r="Q6422" s="79" t="str">
        <f>IF(AND(B6422='111'!$L$11,OR($N6422=$Q$7,$O6422=$Q$7)),"x","")</f>
        <v/>
      </c>
      <c r="R6422" s="79" t="str">
        <f>IF(AND($N6422=$Q$7,$B6422&lt;'111'!$L$11),"x","")</f>
        <v/>
      </c>
      <c r="S6422" s="79" t="str">
        <f>IF(AND($O6422=$Q$7,$B6422&lt;'111'!$L$11),"x","")</f>
        <v/>
      </c>
      <c r="T6422" s="79" t="str">
        <f>IF(ISERROR(FIND('112'!$M$9,G6422,1)),"",IF((AND(FIND('112'!$M$9,G6422,1)&gt;=1,B6422='112'!$K$9,OR($N6422='112'!$I$6,$O6422='112'!$I$6))),"x",""))</f>
        <v/>
      </c>
      <c r="U6422" s="79" t="str">
        <f>IF(ISERROR(FIND('112'!$M$9,G6422,1)),"",IF((AND(LEFT(G6422,2)=LEFT('112'!$M$9,2),B6422&lt;'112'!$K$9,$N6422='112'!$I$6)),"x",""))</f>
        <v/>
      </c>
      <c r="V6422" s="79" t="str">
        <f>IF(ISERROR(FIND('112'!$M$9,G6422,1)),"",IF((AND(RIGHT(G6422,2)=RIGHT('112'!$M$9,2),B6422&lt;'112'!$K$9,$O6422='112'!$I$6)),"x",""))</f>
        <v/>
      </c>
      <c r="W6422" s="79" t="str">
        <f>IF(AND('341-CT'!$H$9=H6422,OR(LEFT(N6422,3)=$W$7,LEFT(O6422,3)=$W$7)),"x","")</f>
        <v/>
      </c>
      <c r="X6422" s="79" t="str">
        <f>IF(OR(TH!N6422=TH!$X$7,O6422=TH!$X$7),"x","")</f>
        <v/>
      </c>
      <c r="Y6422" s="79" t="str">
        <f>IF(AND(OR(N6422="131",O6422="131"),H6422='131-CT'!$H$9),"x","")</f>
        <v/>
      </c>
      <c r="Z6422" s="79"/>
      <c r="AA6422" s="79" t="str">
        <f>IF(AND(MONTH(E6422)='IN-NX'!$J$5,'IN-NX'!$D$7=D6422),"x","")</f>
        <v/>
      </c>
      <c r="AB6422" s="79" t="str">
        <f>IF(AND(OR(LEFT(TH!N6422,2)="15",LEFT(TH!O6422,2)="15"),LEFT(TH!O6422,3)&lt;&gt;"111",'152-CT'!$J$8=TH!F6422),"x","")</f>
        <v/>
      </c>
      <c r="AC6422" s="79" t="str">
        <f>IF(AND(OR(LEFT(TH!N6422,2)="15",LEFT(TH!O6422,2)="15"),TK!$E$7=TH!F6422),"x","")</f>
        <v/>
      </c>
      <c r="AD6422" s="79" t="str">
        <f>IF(AND(N6422="1521",MONTH(C6422)='BK-NL'!$M$11),"x","")</f>
        <v/>
      </c>
    </row>
    <row r="6423" spans="1:30" ht="16.5" customHeight="1">
      <c r="A6423" s="318" t="str">
        <f>IF(B6423&lt;&gt;"",IF(AND(B6423='IN-TC'!$S$4,OR(TH!N6423="1111",TH!O6423="1111")),TH!D6423,""),"")</f>
        <v/>
      </c>
      <c r="B6423" s="1163" t="str">
        <f t="shared" si="521"/>
        <v/>
      </c>
      <c r="C6423" s="61"/>
      <c r="D6423" s="61"/>
      <c r="E6423" s="61"/>
      <c r="F6423" s="69"/>
      <c r="G6423" s="64"/>
      <c r="H6423" s="69"/>
      <c r="I6423" s="385"/>
      <c r="J6423" s="392"/>
      <c r="K6423" s="385"/>
      <c r="L6423" s="392"/>
      <c r="M6423" s="62"/>
      <c r="N6423" s="63"/>
      <c r="O6423" s="63"/>
      <c r="P6423" s="79" t="str">
        <f>IF(AND('331-CT'!$E$7=TH!H6423,OR(N6423="331",O6423="331")),"x","")</f>
        <v/>
      </c>
      <c r="Q6423" s="79" t="str">
        <f>IF(AND(B6423='111'!$L$11,OR($N6423=$Q$7,$O6423=$Q$7)),"x","")</f>
        <v/>
      </c>
      <c r="R6423" s="79" t="str">
        <f>IF(AND($N6423=$Q$7,$B6423&lt;'111'!$L$11),"x","")</f>
        <v/>
      </c>
      <c r="S6423" s="79" t="str">
        <f>IF(AND($O6423=$Q$7,$B6423&lt;'111'!$L$11),"x","")</f>
        <v/>
      </c>
      <c r="T6423" s="79" t="str">
        <f>IF(ISERROR(FIND('112'!$M$9,G6423,1)),"",IF((AND(FIND('112'!$M$9,G6423,1)&gt;=1,B6423='112'!$K$9,OR($N6423='112'!$I$6,$O6423='112'!$I$6))),"x",""))</f>
        <v/>
      </c>
      <c r="U6423" s="79" t="str">
        <f>IF(ISERROR(FIND('112'!$M$9,G6423,1)),"",IF((AND(LEFT(G6423,2)=LEFT('112'!$M$9,2),B6423&lt;'112'!$K$9,$N6423='112'!$I$6)),"x",""))</f>
        <v/>
      </c>
      <c r="V6423" s="79" t="str">
        <f>IF(ISERROR(FIND('112'!$M$9,G6423,1)),"",IF((AND(RIGHT(G6423,2)=RIGHT('112'!$M$9,2),B6423&lt;'112'!$K$9,$O6423='112'!$I$6)),"x",""))</f>
        <v/>
      </c>
      <c r="W6423" s="79" t="str">
        <f>IF(AND('341-CT'!$H$9=H6423,OR(LEFT(N6423,3)=$W$7,LEFT(O6423,3)=$W$7)),"x","")</f>
        <v/>
      </c>
      <c r="X6423" s="79" t="str">
        <f>IF(OR(TH!N6423=TH!$X$7,O6423=TH!$X$7),"x","")</f>
        <v/>
      </c>
      <c r="Y6423" s="79" t="str">
        <f>IF(AND(OR(N6423="131",O6423="131"),H6423='131-CT'!$H$9),"x","")</f>
        <v/>
      </c>
      <c r="Z6423" s="79"/>
      <c r="AA6423" s="79" t="str">
        <f>IF(AND(MONTH(E6423)='IN-NX'!$J$5,'IN-NX'!$D$7=D6423),"x","")</f>
        <v/>
      </c>
      <c r="AB6423" s="79" t="str">
        <f>IF(AND(OR(LEFT(TH!N6423,2)="15",LEFT(TH!O6423,2)="15"),LEFT(TH!O6423,3)&lt;&gt;"111",'152-CT'!$J$8=TH!F6423),"x","")</f>
        <v/>
      </c>
      <c r="AC6423" s="79" t="str">
        <f>IF(AND(OR(LEFT(TH!N6423,2)="15",LEFT(TH!O6423,2)="15"),TK!$E$7=TH!F6423),"x","")</f>
        <v/>
      </c>
      <c r="AD6423" s="79" t="str">
        <f>IF(AND(N6423="1521",MONTH(C6423)='BK-NL'!$M$11),"x","")</f>
        <v/>
      </c>
    </row>
    <row r="6424" spans="1:30" ht="16.5" customHeight="1">
      <c r="A6424" s="318" t="str">
        <f>IF(B6424&lt;&gt;"",IF(AND(B6424='IN-TC'!$S$4,OR(TH!N6424="1111",TH!O6424="1111")),TH!D6424,""),"")</f>
        <v/>
      </c>
      <c r="B6424" s="1163" t="str">
        <f t="shared" si="521"/>
        <v/>
      </c>
      <c r="C6424" s="61"/>
      <c r="D6424" s="61"/>
      <c r="E6424" s="61"/>
      <c r="F6424" s="69"/>
      <c r="G6424" s="64"/>
      <c r="H6424" s="69"/>
      <c r="I6424" s="385"/>
      <c r="J6424" s="392"/>
      <c r="K6424" s="385"/>
      <c r="L6424" s="392"/>
      <c r="M6424" s="62"/>
      <c r="N6424" s="63"/>
      <c r="O6424" s="63"/>
      <c r="P6424" s="79" t="str">
        <f>IF(AND('331-CT'!$E$7=TH!H6424,OR(N6424="331",O6424="331")),"x","")</f>
        <v/>
      </c>
      <c r="Q6424" s="79" t="str">
        <f>IF(AND(B6424='111'!$L$11,OR($N6424=$Q$7,$O6424=$Q$7)),"x","")</f>
        <v/>
      </c>
      <c r="R6424" s="79" t="str">
        <f>IF(AND($N6424=$Q$7,$B6424&lt;'111'!$L$11),"x","")</f>
        <v/>
      </c>
      <c r="S6424" s="79" t="str">
        <f>IF(AND($O6424=$Q$7,$B6424&lt;'111'!$L$11),"x","")</f>
        <v/>
      </c>
      <c r="T6424" s="79" t="str">
        <f>IF(ISERROR(FIND('112'!$M$9,G6424,1)),"",IF((AND(FIND('112'!$M$9,G6424,1)&gt;=1,B6424='112'!$K$9,OR($N6424='112'!$I$6,$O6424='112'!$I$6))),"x",""))</f>
        <v/>
      </c>
      <c r="U6424" s="79" t="str">
        <f>IF(ISERROR(FIND('112'!$M$9,G6424,1)),"",IF((AND(LEFT(G6424,2)=LEFT('112'!$M$9,2),B6424&lt;'112'!$K$9,$N6424='112'!$I$6)),"x",""))</f>
        <v/>
      </c>
      <c r="V6424" s="79" t="str">
        <f>IF(ISERROR(FIND('112'!$M$9,G6424,1)),"",IF((AND(RIGHT(G6424,2)=RIGHT('112'!$M$9,2),B6424&lt;'112'!$K$9,$O6424='112'!$I$6)),"x",""))</f>
        <v/>
      </c>
      <c r="W6424" s="79" t="str">
        <f>IF(AND('341-CT'!$H$9=H6424,OR(LEFT(N6424,3)=$W$7,LEFT(O6424,3)=$W$7)),"x","")</f>
        <v/>
      </c>
      <c r="X6424" s="79" t="str">
        <f>IF(OR(TH!N6424=TH!$X$7,O6424=TH!$X$7),"x","")</f>
        <v/>
      </c>
      <c r="Y6424" s="79" t="str">
        <f>IF(AND(OR(N6424="131",O6424="131"),H6424='131-CT'!$H$9),"x","")</f>
        <v/>
      </c>
      <c r="Z6424" s="79"/>
      <c r="AA6424" s="79" t="str">
        <f>IF(AND(MONTH(E6424)='IN-NX'!$J$5,'IN-NX'!$D$7=D6424),"x","")</f>
        <v/>
      </c>
      <c r="AB6424" s="79" t="str">
        <f>IF(AND(OR(LEFT(TH!N6424,2)="15",LEFT(TH!O6424,2)="15"),LEFT(TH!O6424,3)&lt;&gt;"111",'152-CT'!$J$8=TH!F6424),"x","")</f>
        <v/>
      </c>
      <c r="AC6424" s="79" t="str">
        <f>IF(AND(OR(LEFT(TH!N6424,2)="15",LEFT(TH!O6424,2)="15"),TK!$E$7=TH!F6424),"x","")</f>
        <v/>
      </c>
      <c r="AD6424" s="79" t="str">
        <f>IF(AND(N6424="1521",MONTH(C6424)='BK-NL'!$M$11),"x","")</f>
        <v/>
      </c>
    </row>
    <row r="6425" spans="1:30" ht="16.5" customHeight="1">
      <c r="A6425" s="318" t="str">
        <f>IF(B6425&lt;&gt;"",IF(AND(B6425='IN-TC'!$S$4,OR(TH!N6425="1111",TH!O6425="1111")),TH!D6425,""),"")</f>
        <v/>
      </c>
      <c r="B6425" s="1163" t="str">
        <f t="shared" si="521"/>
        <v/>
      </c>
      <c r="C6425" s="61"/>
      <c r="D6425" s="61"/>
      <c r="E6425" s="61"/>
      <c r="F6425" s="69"/>
      <c r="G6425" s="64"/>
      <c r="H6425" s="69"/>
      <c r="I6425" s="385"/>
      <c r="J6425" s="392"/>
      <c r="K6425" s="385"/>
      <c r="L6425" s="392"/>
      <c r="M6425" s="62"/>
      <c r="N6425" s="63"/>
      <c r="O6425" s="63"/>
      <c r="P6425" s="79" t="str">
        <f>IF(AND('331-CT'!$E$7=TH!H6425,OR(N6425="331",O6425="331")),"x","")</f>
        <v/>
      </c>
      <c r="Q6425" s="79" t="str">
        <f>IF(AND(B6425='111'!$L$11,OR($N6425=$Q$7,$O6425=$Q$7)),"x","")</f>
        <v/>
      </c>
      <c r="R6425" s="79" t="str">
        <f>IF(AND($N6425=$Q$7,$B6425&lt;'111'!$L$11),"x","")</f>
        <v/>
      </c>
      <c r="S6425" s="79" t="str">
        <f>IF(AND($O6425=$Q$7,$B6425&lt;'111'!$L$11),"x","")</f>
        <v/>
      </c>
      <c r="T6425" s="79" t="str">
        <f>IF(ISERROR(FIND('112'!$M$9,G6425,1)),"",IF((AND(FIND('112'!$M$9,G6425,1)&gt;=1,B6425='112'!$K$9,OR($N6425='112'!$I$6,$O6425='112'!$I$6))),"x",""))</f>
        <v/>
      </c>
      <c r="U6425" s="79" t="str">
        <f>IF(ISERROR(FIND('112'!$M$9,G6425,1)),"",IF((AND(LEFT(G6425,2)=LEFT('112'!$M$9,2),B6425&lt;'112'!$K$9,$N6425='112'!$I$6)),"x",""))</f>
        <v/>
      </c>
      <c r="V6425" s="79" t="str">
        <f>IF(ISERROR(FIND('112'!$M$9,G6425,1)),"",IF((AND(RIGHT(G6425,2)=RIGHT('112'!$M$9,2),B6425&lt;'112'!$K$9,$O6425='112'!$I$6)),"x",""))</f>
        <v/>
      </c>
      <c r="W6425" s="79" t="str">
        <f>IF(AND('341-CT'!$H$9=H6425,OR(LEFT(N6425,3)=$W$7,LEFT(O6425,3)=$W$7)),"x","")</f>
        <v/>
      </c>
      <c r="X6425" s="79" t="str">
        <f>IF(OR(TH!N6425=TH!$X$7,O6425=TH!$X$7),"x","")</f>
        <v/>
      </c>
      <c r="Y6425" s="79" t="str">
        <f>IF(AND(OR(N6425="131",O6425="131"),H6425='131-CT'!$H$9),"x","")</f>
        <v/>
      </c>
      <c r="Z6425" s="79"/>
      <c r="AA6425" s="79" t="str">
        <f>IF(AND(MONTH(E6425)='IN-NX'!$J$5,'IN-NX'!$D$7=D6425),"x","")</f>
        <v/>
      </c>
      <c r="AB6425" s="79" t="str">
        <f>IF(AND(OR(LEFT(TH!N6425,2)="15",LEFT(TH!O6425,2)="15"),LEFT(TH!O6425,3)&lt;&gt;"111",'152-CT'!$J$8=TH!F6425),"x","")</f>
        <v/>
      </c>
      <c r="AC6425" s="79" t="str">
        <f>IF(AND(OR(LEFT(TH!N6425,2)="15",LEFT(TH!O6425,2)="15"),TK!$E$7=TH!F6425),"x","")</f>
        <v/>
      </c>
      <c r="AD6425" s="79" t="str">
        <f>IF(AND(N6425="1521",MONTH(C6425)='BK-NL'!$M$11),"x","")</f>
        <v/>
      </c>
    </row>
    <row r="6426" spans="1:30" ht="16.5" customHeight="1">
      <c r="A6426" s="318" t="str">
        <f>IF(B6426&lt;&gt;"",IF(AND(B6426='IN-TC'!$S$4,OR(TH!N6426="1111",TH!O6426="1111")),TH!D6426,""),"")</f>
        <v/>
      </c>
      <c r="B6426" s="1163" t="str">
        <f t="shared" si="521"/>
        <v/>
      </c>
      <c r="C6426" s="61"/>
      <c r="D6426" s="61"/>
      <c r="E6426" s="61"/>
      <c r="F6426" s="69"/>
      <c r="G6426" s="64"/>
      <c r="H6426" s="69"/>
      <c r="I6426" s="385"/>
      <c r="J6426" s="392"/>
      <c r="K6426" s="385"/>
      <c r="L6426" s="392"/>
      <c r="M6426" s="62"/>
      <c r="N6426" s="63"/>
      <c r="O6426" s="63"/>
      <c r="P6426" s="79" t="str">
        <f>IF(AND('331-CT'!$E$7=TH!H6426,OR(N6426="331",O6426="331")),"x","")</f>
        <v/>
      </c>
      <c r="Q6426" s="79" t="str">
        <f>IF(AND(B6426='111'!$L$11,OR($N6426=$Q$7,$O6426=$Q$7)),"x","")</f>
        <v/>
      </c>
      <c r="R6426" s="79" t="str">
        <f>IF(AND($N6426=$Q$7,$B6426&lt;'111'!$L$11),"x","")</f>
        <v/>
      </c>
      <c r="S6426" s="79" t="str">
        <f>IF(AND($O6426=$Q$7,$B6426&lt;'111'!$L$11),"x","")</f>
        <v/>
      </c>
      <c r="T6426" s="79" t="str">
        <f>IF(ISERROR(FIND('112'!$M$9,G6426,1)),"",IF((AND(FIND('112'!$M$9,G6426,1)&gt;=1,B6426='112'!$K$9,OR($N6426='112'!$I$6,$O6426='112'!$I$6))),"x",""))</f>
        <v/>
      </c>
      <c r="U6426" s="79" t="str">
        <f>IF(ISERROR(FIND('112'!$M$9,G6426,1)),"",IF((AND(LEFT(G6426,2)=LEFT('112'!$M$9,2),B6426&lt;'112'!$K$9,$N6426='112'!$I$6)),"x",""))</f>
        <v/>
      </c>
      <c r="V6426" s="79" t="str">
        <f>IF(ISERROR(FIND('112'!$M$9,G6426,1)),"",IF((AND(RIGHT(G6426,2)=RIGHT('112'!$M$9,2),B6426&lt;'112'!$K$9,$O6426='112'!$I$6)),"x",""))</f>
        <v/>
      </c>
      <c r="W6426" s="79" t="str">
        <f>IF(AND('341-CT'!$H$9=H6426,OR(LEFT(N6426,3)=$W$7,LEFT(O6426,3)=$W$7)),"x","")</f>
        <v/>
      </c>
      <c r="X6426" s="79" t="str">
        <f>IF(OR(TH!N6426=TH!$X$7,O6426=TH!$X$7),"x","")</f>
        <v/>
      </c>
      <c r="Y6426" s="79" t="str">
        <f>IF(AND(OR(N6426="131",O6426="131"),H6426='131-CT'!$H$9),"x","")</f>
        <v/>
      </c>
      <c r="Z6426" s="79"/>
      <c r="AA6426" s="79" t="str">
        <f>IF(AND(MONTH(E6426)='IN-NX'!$J$5,'IN-NX'!$D$7=D6426),"x","")</f>
        <v/>
      </c>
      <c r="AB6426" s="79" t="str">
        <f>IF(AND(OR(LEFT(TH!N6426,2)="15",LEFT(TH!O6426,2)="15"),LEFT(TH!O6426,3)&lt;&gt;"111",'152-CT'!$J$8=TH!F6426),"x","")</f>
        <v/>
      </c>
      <c r="AC6426" s="79" t="str">
        <f>IF(AND(OR(LEFT(TH!N6426,2)="15",LEFT(TH!O6426,2)="15"),TK!$E$7=TH!F6426),"x","")</f>
        <v/>
      </c>
      <c r="AD6426" s="79" t="str">
        <f>IF(AND(N6426="1521",MONTH(C6426)='BK-NL'!$M$11),"x","")</f>
        <v/>
      </c>
    </row>
    <row r="6427" spans="1:30" ht="16.5" customHeight="1">
      <c r="A6427" s="318" t="str">
        <f>IF(B6427&lt;&gt;"",IF(AND(B6427='IN-TC'!$S$4,OR(TH!N6427="1111",TH!O6427="1111")),TH!D6427,""),"")</f>
        <v/>
      </c>
      <c r="B6427" s="1163" t="str">
        <f t="shared" si="521"/>
        <v/>
      </c>
      <c r="C6427" s="61"/>
      <c r="D6427" s="61"/>
      <c r="E6427" s="61"/>
      <c r="F6427" s="69"/>
      <c r="G6427" s="766"/>
      <c r="H6427" s="69"/>
      <c r="I6427" s="385"/>
      <c r="J6427" s="392"/>
      <c r="K6427" s="385"/>
      <c r="L6427" s="392"/>
      <c r="M6427" s="62"/>
      <c r="N6427" s="63"/>
      <c r="O6427" s="63"/>
      <c r="P6427" s="79" t="str">
        <f>IF(AND('331-CT'!$E$7=TH!H6427,OR(N6427="331",O6427="331")),"x","")</f>
        <v/>
      </c>
      <c r="Q6427" s="79" t="str">
        <f>IF(AND(B6427='111'!$L$11,OR($N6427=$Q$7,$O6427=$Q$7)),"x","")</f>
        <v/>
      </c>
      <c r="R6427" s="79" t="str">
        <f>IF(AND($N6427=$Q$7,$B6427&lt;'111'!$L$11),"x","")</f>
        <v/>
      </c>
      <c r="S6427" s="79" t="str">
        <f>IF(AND($O6427=$Q$7,$B6427&lt;'111'!$L$11),"x","")</f>
        <v/>
      </c>
      <c r="T6427" s="79" t="str">
        <f>IF(ISERROR(FIND('112'!$M$9,G6427,1)),"",IF((AND(FIND('112'!$M$9,G6427,1)&gt;=1,B6427='112'!$K$9,OR($N6427='112'!$I$6,$O6427='112'!$I$6))),"x",""))</f>
        <v/>
      </c>
      <c r="U6427" s="79" t="str">
        <f>IF(ISERROR(FIND('112'!$M$9,G6427,1)),"",IF((AND(LEFT(G6427,2)=LEFT('112'!$M$9,2),B6427&lt;'112'!$K$9,$N6427='112'!$I$6)),"x",""))</f>
        <v/>
      </c>
      <c r="V6427" s="79" t="str">
        <f>IF(ISERROR(FIND('112'!$M$9,G6427,1)),"",IF((AND(RIGHT(G6427,2)=RIGHT('112'!$M$9,2),B6427&lt;'112'!$K$9,$O6427='112'!$I$6)),"x",""))</f>
        <v/>
      </c>
      <c r="W6427" s="79" t="str">
        <f>IF(AND('341-CT'!$H$9=H6427,OR(LEFT(N6427,3)=$W$7,LEFT(O6427,3)=$W$7)),"x","")</f>
        <v/>
      </c>
      <c r="X6427" s="79" t="str">
        <f>IF(OR(TH!N6427=TH!$X$7,O6427=TH!$X$7),"x","")</f>
        <v/>
      </c>
      <c r="Y6427" s="79" t="str">
        <f>IF(AND(OR(N6427="131",O6427="131"),H6427='131-CT'!$H$9),"x","")</f>
        <v/>
      </c>
      <c r="Z6427" s="79"/>
      <c r="AA6427" s="79" t="str">
        <f>IF(AND(MONTH(E6427)='IN-NX'!$J$5,'IN-NX'!$D$7=D6427),"x","")</f>
        <v/>
      </c>
      <c r="AB6427" s="79" t="str">
        <f>IF(AND(OR(LEFT(TH!N6427,2)="15",LEFT(TH!O6427,2)="15"),LEFT(TH!O6427,3)&lt;&gt;"111",'152-CT'!$J$8=TH!F6427),"x","")</f>
        <v/>
      </c>
      <c r="AC6427" s="79" t="str">
        <f>IF(AND(OR(LEFT(TH!N6427,2)="15",LEFT(TH!O6427,2)="15"),TK!$E$7=TH!F6427),"x","")</f>
        <v/>
      </c>
      <c r="AD6427" s="79" t="str">
        <f>IF(AND(N6427="1521",MONTH(C6427)='BK-NL'!$M$11),"x","")</f>
        <v/>
      </c>
    </row>
    <row r="6428" spans="1:30" ht="16.5" customHeight="1">
      <c r="A6428" s="318" t="str">
        <f>IF(B6428&lt;&gt;"",IF(AND(B6428='IN-TC'!$S$4,OR(TH!N6428="1111",TH!O6428="1111")),TH!D6428,""),"")</f>
        <v/>
      </c>
      <c r="B6428" s="1163" t="str">
        <f t="shared" si="521"/>
        <v/>
      </c>
      <c r="C6428" s="61"/>
      <c r="D6428" s="61"/>
      <c r="E6428" s="61"/>
      <c r="F6428" s="69"/>
      <c r="G6428" s="766"/>
      <c r="H6428" s="69"/>
      <c r="I6428" s="385"/>
      <c r="J6428" s="392"/>
      <c r="K6428" s="385"/>
      <c r="L6428" s="392"/>
      <c r="M6428" s="62"/>
      <c r="N6428" s="63"/>
      <c r="O6428" s="63"/>
      <c r="P6428" s="79" t="str">
        <f>IF(AND('331-CT'!$E$7=TH!H6428,OR(N6428="331",O6428="331")),"x","")</f>
        <v/>
      </c>
      <c r="Q6428" s="79" t="str">
        <f>IF(AND(B6428='111'!$L$11,OR($N6428=$Q$7,$O6428=$Q$7)),"x","")</f>
        <v/>
      </c>
      <c r="R6428" s="79" t="str">
        <f>IF(AND($N6428=$Q$7,$B6428&lt;'111'!$L$11),"x","")</f>
        <v/>
      </c>
      <c r="S6428" s="79" t="str">
        <f>IF(AND($O6428=$Q$7,$B6428&lt;'111'!$L$11),"x","")</f>
        <v/>
      </c>
      <c r="T6428" s="79" t="str">
        <f>IF(ISERROR(FIND('112'!$M$9,G6428,1)),"",IF((AND(FIND('112'!$M$9,G6428,1)&gt;=1,B6428='112'!$K$9,OR($N6428='112'!$I$6,$O6428='112'!$I$6))),"x",""))</f>
        <v/>
      </c>
      <c r="U6428" s="79" t="str">
        <f>IF(ISERROR(FIND('112'!$M$9,G6428,1)),"",IF((AND(LEFT(G6428,2)=LEFT('112'!$M$9,2),B6428&lt;'112'!$K$9,$N6428='112'!$I$6)),"x",""))</f>
        <v/>
      </c>
      <c r="V6428" s="79" t="str">
        <f>IF(ISERROR(FIND('112'!$M$9,G6428,1)),"",IF((AND(RIGHT(G6428,2)=RIGHT('112'!$M$9,2),B6428&lt;'112'!$K$9,$O6428='112'!$I$6)),"x",""))</f>
        <v/>
      </c>
      <c r="W6428" s="79" t="str">
        <f>IF(AND('341-CT'!$H$9=H6428,OR(LEFT(N6428,3)=$W$7,LEFT(O6428,3)=$W$7)),"x","")</f>
        <v/>
      </c>
      <c r="X6428" s="79" t="str">
        <f>IF(OR(TH!N6428=TH!$X$7,O6428=TH!$X$7),"x","")</f>
        <v/>
      </c>
      <c r="Y6428" s="79" t="str">
        <f>IF(AND(OR(N6428="131",O6428="131"),H6428='131-CT'!$H$9),"x","")</f>
        <v/>
      </c>
      <c r="Z6428" s="79"/>
      <c r="AA6428" s="79" t="str">
        <f>IF(AND(MONTH(E6428)='IN-NX'!$J$5,'IN-NX'!$D$7=D6428),"x","")</f>
        <v/>
      </c>
      <c r="AB6428" s="79" t="str">
        <f>IF(AND(OR(LEFT(TH!N6428,2)="15",LEFT(TH!O6428,2)="15"),LEFT(TH!O6428,3)&lt;&gt;"111",'152-CT'!$J$8=TH!F6428),"x","")</f>
        <v/>
      </c>
      <c r="AC6428" s="79" t="str">
        <f>IF(AND(OR(LEFT(TH!N6428,2)="15",LEFT(TH!O6428,2)="15"),TK!$E$7=TH!F6428),"x","")</f>
        <v/>
      </c>
      <c r="AD6428" s="79" t="str">
        <f>IF(AND(N6428="1521",MONTH(C6428)='BK-NL'!$M$11),"x","")</f>
        <v/>
      </c>
    </row>
    <row r="6429" spans="1:30" ht="16.5" customHeight="1">
      <c r="A6429" s="318" t="str">
        <f>IF(B6429&lt;&gt;"",IF(AND(B6429='IN-TC'!$S$4,OR(TH!N6429="1111",TH!O6429="1111")),TH!D6429,""),"")</f>
        <v/>
      </c>
      <c r="B6429" s="1163" t="str">
        <f t="shared" si="521"/>
        <v/>
      </c>
      <c r="C6429" s="61"/>
      <c r="D6429" s="61"/>
      <c r="E6429" s="61"/>
      <c r="F6429" s="69"/>
      <c r="G6429" s="766"/>
      <c r="H6429" s="69"/>
      <c r="I6429" s="385"/>
      <c r="J6429" s="392"/>
      <c r="K6429" s="385"/>
      <c r="L6429" s="392"/>
      <c r="M6429" s="62"/>
      <c r="N6429" s="63"/>
      <c r="O6429" s="63"/>
      <c r="P6429" s="79" t="str">
        <f>IF(AND('331-CT'!$E$7=TH!H6429,OR(N6429="331",O6429="331")),"x","")</f>
        <v/>
      </c>
      <c r="Q6429" s="79" t="str">
        <f>IF(AND(B6429='111'!$L$11,OR($N6429=$Q$7,$O6429=$Q$7)),"x","")</f>
        <v/>
      </c>
      <c r="R6429" s="79" t="str">
        <f>IF(AND($N6429=$Q$7,$B6429&lt;'111'!$L$11),"x","")</f>
        <v/>
      </c>
      <c r="S6429" s="79" t="str">
        <f>IF(AND($O6429=$Q$7,$B6429&lt;'111'!$L$11),"x","")</f>
        <v/>
      </c>
      <c r="T6429" s="79" t="str">
        <f>IF(ISERROR(FIND('112'!$M$9,G6429,1)),"",IF((AND(FIND('112'!$M$9,G6429,1)&gt;=1,B6429='112'!$K$9,OR($N6429='112'!$I$6,$O6429='112'!$I$6))),"x",""))</f>
        <v/>
      </c>
      <c r="U6429" s="79" t="str">
        <f>IF(ISERROR(FIND('112'!$M$9,G6429,1)),"",IF((AND(LEFT(G6429,2)=LEFT('112'!$M$9,2),B6429&lt;'112'!$K$9,$N6429='112'!$I$6)),"x",""))</f>
        <v/>
      </c>
      <c r="V6429" s="79" t="str">
        <f>IF(ISERROR(FIND('112'!$M$9,G6429,1)),"",IF((AND(RIGHT(G6429,2)=RIGHT('112'!$M$9,2),B6429&lt;'112'!$K$9,$O6429='112'!$I$6)),"x",""))</f>
        <v/>
      </c>
      <c r="W6429" s="79" t="str">
        <f>IF(AND('341-CT'!$H$9=H6429,OR(LEFT(N6429,3)=$W$7,LEFT(O6429,3)=$W$7)),"x","")</f>
        <v/>
      </c>
      <c r="X6429" s="79" t="str">
        <f>IF(OR(TH!N6429=TH!$X$7,O6429=TH!$X$7),"x","")</f>
        <v/>
      </c>
      <c r="Y6429" s="79" t="str">
        <f>IF(AND(OR(N6429="131",O6429="131"),H6429='131-CT'!$H$9),"x","")</f>
        <v/>
      </c>
      <c r="Z6429" s="79"/>
      <c r="AA6429" s="79" t="str">
        <f>IF(AND(MONTH(E6429)='IN-NX'!$J$5,'IN-NX'!$D$7=D6429),"x","")</f>
        <v/>
      </c>
      <c r="AB6429" s="79" t="str">
        <f>IF(AND(OR(LEFT(TH!N6429,2)="15",LEFT(TH!O6429,2)="15"),LEFT(TH!O6429,3)&lt;&gt;"111",'152-CT'!$J$8=TH!F6429),"x","")</f>
        <v/>
      </c>
      <c r="AC6429" s="79" t="str">
        <f>IF(AND(OR(LEFT(TH!N6429,2)="15",LEFT(TH!O6429,2)="15"),TK!$E$7=TH!F6429),"x","")</f>
        <v/>
      </c>
      <c r="AD6429" s="79" t="str">
        <f>IF(AND(N6429="1521",MONTH(C6429)='BK-NL'!$M$11),"x","")</f>
        <v/>
      </c>
    </row>
    <row r="6430" spans="1:30" ht="16.5" customHeight="1">
      <c r="A6430" s="318" t="str">
        <f>IF(B6430&lt;&gt;"",IF(AND(B6430='IN-TC'!$S$4,OR(TH!N6430="1111",TH!O6430="1111")),TH!D6430,""),"")</f>
        <v/>
      </c>
      <c r="B6430" s="1163" t="str">
        <f t="shared" si="521"/>
        <v/>
      </c>
      <c r="C6430" s="61"/>
      <c r="D6430" s="61"/>
      <c r="E6430" s="61"/>
      <c r="F6430" s="69"/>
      <c r="G6430" s="64"/>
      <c r="H6430" s="925"/>
      <c r="I6430" s="385"/>
      <c r="J6430" s="392"/>
      <c r="K6430" s="385"/>
      <c r="L6430" s="392"/>
      <c r="M6430" s="62"/>
      <c r="N6430" s="63"/>
      <c r="O6430" s="63"/>
      <c r="P6430" s="79" t="str">
        <f>IF(AND('331-CT'!$E$7=TH!H6430,OR(N6430="331",O6430="331")),"x","")</f>
        <v/>
      </c>
      <c r="Q6430" s="79" t="str">
        <f>IF(AND(B6430='111'!$L$11,OR($N6430=$Q$7,$O6430=$Q$7)),"x","")</f>
        <v/>
      </c>
      <c r="R6430" s="79" t="str">
        <f>IF(AND($N6430=$Q$7,$B6430&lt;'111'!$L$11),"x","")</f>
        <v/>
      </c>
      <c r="S6430" s="79" t="str">
        <f>IF(AND($O6430=$Q$7,$B6430&lt;'111'!$L$11),"x","")</f>
        <v/>
      </c>
      <c r="T6430" s="79" t="str">
        <f>IF(ISERROR(FIND('112'!$M$9,G6430,1)),"",IF((AND(FIND('112'!$M$9,G6430,1)&gt;=1,B6430='112'!$K$9,OR($N6430='112'!$I$6,$O6430='112'!$I$6))),"x",""))</f>
        <v/>
      </c>
      <c r="U6430" s="79" t="str">
        <f>IF(ISERROR(FIND('112'!$M$9,G6430,1)),"",IF((AND(LEFT(G6430,2)=LEFT('112'!$M$9,2),B6430&lt;'112'!$K$9,$N6430='112'!$I$6)),"x",""))</f>
        <v/>
      </c>
      <c r="V6430" s="79" t="str">
        <f>IF(ISERROR(FIND('112'!$M$9,G6430,1)),"",IF((AND(RIGHT(G6430,2)=RIGHT('112'!$M$9,2),B6430&lt;'112'!$K$9,$O6430='112'!$I$6)),"x",""))</f>
        <v/>
      </c>
      <c r="W6430" s="79" t="str">
        <f>IF(AND('341-CT'!$H$9=H6430,OR(LEFT(N6430,3)=$W$7,LEFT(O6430,3)=$W$7)),"x","")</f>
        <v/>
      </c>
      <c r="X6430" s="79" t="str">
        <f>IF(OR(TH!N6430=TH!$X$7,O6430=TH!$X$7),"x","")</f>
        <v/>
      </c>
      <c r="Y6430" s="79" t="str">
        <f>IF(AND(OR(N6430="131",O6430="131"),H6430='131-CT'!$H$9),"x","")</f>
        <v/>
      </c>
      <c r="Z6430" s="79"/>
      <c r="AA6430" s="79" t="str">
        <f>IF(AND(MONTH(E6430)='IN-NX'!$J$5,'IN-NX'!$D$7=D6430),"x","")</f>
        <v/>
      </c>
      <c r="AB6430" s="79" t="str">
        <f>IF(AND(OR(LEFT(TH!N6430,2)="15",LEFT(TH!O6430,2)="15"),LEFT(TH!O6430,3)&lt;&gt;"111",'152-CT'!$J$8=TH!F6430),"x","")</f>
        <v/>
      </c>
      <c r="AC6430" s="79" t="str">
        <f>IF(AND(OR(LEFT(TH!N6430,2)="15",LEFT(TH!O6430,2)="15"),TK!$E$7=TH!F6430),"x","")</f>
        <v/>
      </c>
      <c r="AD6430" s="79" t="str">
        <f>IF(AND(N6430="1521",MONTH(C6430)='BK-NL'!$M$11),"x","")</f>
        <v/>
      </c>
    </row>
    <row r="6431" spans="1:30" ht="16.5" customHeight="1">
      <c r="A6431" s="318" t="str">
        <f>IF(B6431&lt;&gt;"",IF(AND(B6431='IN-TC'!$S$4,OR(TH!N6431="1111",TH!O6431="1111")),TH!D6431,""),"")</f>
        <v/>
      </c>
      <c r="B6431" s="1163" t="str">
        <f t="shared" si="521"/>
        <v/>
      </c>
      <c r="C6431" s="61"/>
      <c r="D6431" s="61"/>
      <c r="E6431" s="61"/>
      <c r="F6431" s="69"/>
      <c r="G6431" s="64"/>
      <c r="H6431" s="69"/>
      <c r="I6431" s="385"/>
      <c r="J6431" s="392"/>
      <c r="K6431" s="385"/>
      <c r="L6431" s="392"/>
      <c r="M6431" s="62"/>
      <c r="N6431" s="63"/>
      <c r="O6431" s="63"/>
      <c r="P6431" s="79" t="str">
        <f>IF(AND('331-CT'!$E$7=TH!H6431,OR(N6431="331",O6431="331")),"x","")</f>
        <v/>
      </c>
      <c r="Q6431" s="79" t="str">
        <f>IF(AND(B6431='111'!$L$11,OR($N6431=$Q$7,$O6431=$Q$7)),"x","")</f>
        <v/>
      </c>
      <c r="R6431" s="79" t="str">
        <f>IF(AND($N6431=$Q$7,$B6431&lt;'111'!$L$11),"x","")</f>
        <v/>
      </c>
      <c r="S6431" s="79" t="str">
        <f>IF(AND($O6431=$Q$7,$B6431&lt;'111'!$L$11),"x","")</f>
        <v/>
      </c>
      <c r="T6431" s="79" t="str">
        <f>IF(ISERROR(FIND('112'!$M$9,G6431,1)),"",IF((AND(FIND('112'!$M$9,G6431,1)&gt;=1,B6431='112'!$K$9,OR($N6431='112'!$I$6,$O6431='112'!$I$6))),"x",""))</f>
        <v/>
      </c>
      <c r="U6431" s="79" t="str">
        <f>IF(ISERROR(FIND('112'!$M$9,G6431,1)),"",IF((AND(LEFT(G6431,2)=LEFT('112'!$M$9,2),B6431&lt;'112'!$K$9,$N6431='112'!$I$6)),"x",""))</f>
        <v/>
      </c>
      <c r="V6431" s="79" t="str">
        <f>IF(ISERROR(FIND('112'!$M$9,G6431,1)),"",IF((AND(RIGHT(G6431,2)=RIGHT('112'!$M$9,2),B6431&lt;'112'!$K$9,$O6431='112'!$I$6)),"x",""))</f>
        <v/>
      </c>
      <c r="W6431" s="79" t="str">
        <f>IF(AND('341-CT'!$H$9=H6431,OR(LEFT(N6431,3)=$W$7,LEFT(O6431,3)=$W$7)),"x","")</f>
        <v/>
      </c>
      <c r="X6431" s="79" t="str">
        <f>IF(OR(TH!N6431=TH!$X$7,O6431=TH!$X$7),"x","")</f>
        <v/>
      </c>
      <c r="Y6431" s="79" t="str">
        <f>IF(AND(OR(N6431="131",O6431="131"),H6431='131-CT'!$H$9),"x","")</f>
        <v/>
      </c>
      <c r="Z6431" s="79"/>
      <c r="AA6431" s="79" t="str">
        <f>IF(AND(MONTH(E6431)='IN-NX'!$J$5,'IN-NX'!$D$7=D6431),"x","")</f>
        <v/>
      </c>
      <c r="AB6431" s="79" t="str">
        <f>IF(AND(OR(LEFT(TH!N6431,2)="15",LEFT(TH!O6431,2)="15"),LEFT(TH!O6431,3)&lt;&gt;"111",'152-CT'!$J$8=TH!F6431),"x","")</f>
        <v/>
      </c>
      <c r="AC6431" s="79" t="str">
        <f>IF(AND(OR(LEFT(TH!N6431,2)="15",LEFT(TH!O6431,2)="15"),TK!$E$7=TH!F6431),"x","")</f>
        <v/>
      </c>
      <c r="AD6431" s="79" t="str">
        <f>IF(AND(N6431="1521",MONTH(C6431)='BK-NL'!$M$11),"x","")</f>
        <v/>
      </c>
    </row>
    <row r="6432" spans="1:30" ht="16.5" customHeight="1">
      <c r="A6432" s="318" t="str">
        <f>IF(B6432&lt;&gt;"",IF(AND(B6432='IN-TC'!$S$4,OR(TH!N6432="1111",TH!O6432="1111")),TH!D6432,""),"")</f>
        <v/>
      </c>
      <c r="B6432" s="1163" t="str">
        <f t="shared" si="521"/>
        <v/>
      </c>
      <c r="C6432" s="61"/>
      <c r="D6432" s="61"/>
      <c r="E6432" s="61"/>
      <c r="F6432" s="69"/>
      <c r="G6432" s="64"/>
      <c r="H6432" s="69"/>
      <c r="I6432" s="385"/>
      <c r="J6432" s="392"/>
      <c r="K6432" s="385"/>
      <c r="L6432" s="392"/>
      <c r="M6432" s="62"/>
      <c r="N6432" s="63"/>
      <c r="O6432" s="63"/>
      <c r="P6432" s="79" t="str">
        <f>IF(AND('331-CT'!$E$7=TH!H6432,OR(N6432="331",O6432="331")),"x","")</f>
        <v/>
      </c>
      <c r="Q6432" s="79" t="str">
        <f>IF(AND(B6432='111'!$L$11,OR($N6432=$Q$7,$O6432=$Q$7)),"x","")</f>
        <v/>
      </c>
      <c r="R6432" s="79" t="str">
        <f>IF(AND($N6432=$Q$7,$B6432&lt;'111'!$L$11),"x","")</f>
        <v/>
      </c>
      <c r="S6432" s="79" t="str">
        <f>IF(AND($O6432=$Q$7,$B6432&lt;'111'!$L$11),"x","")</f>
        <v/>
      </c>
      <c r="T6432" s="79" t="str">
        <f>IF(ISERROR(FIND('112'!$M$9,G6432,1)),"",IF((AND(FIND('112'!$M$9,G6432,1)&gt;=1,B6432='112'!$K$9,OR($N6432='112'!$I$6,$O6432='112'!$I$6))),"x",""))</f>
        <v/>
      </c>
      <c r="U6432" s="79" t="str">
        <f>IF(ISERROR(FIND('112'!$M$9,G6432,1)),"",IF((AND(LEFT(G6432,2)=LEFT('112'!$M$9,2),B6432&lt;'112'!$K$9,$N6432='112'!$I$6)),"x",""))</f>
        <v/>
      </c>
      <c r="V6432" s="79" t="str">
        <f>IF(ISERROR(FIND('112'!$M$9,G6432,1)),"",IF((AND(RIGHT(G6432,2)=RIGHT('112'!$M$9,2),B6432&lt;'112'!$K$9,$O6432='112'!$I$6)),"x",""))</f>
        <v/>
      </c>
      <c r="W6432" s="79" t="str">
        <f>IF(AND('341-CT'!$H$9=H6432,OR(LEFT(N6432,3)=$W$7,LEFT(O6432,3)=$W$7)),"x","")</f>
        <v/>
      </c>
      <c r="X6432" s="79" t="str">
        <f>IF(OR(TH!N6432=TH!$X$7,O6432=TH!$X$7),"x","")</f>
        <v/>
      </c>
      <c r="Y6432" s="79" t="str">
        <f>IF(AND(OR(N6432="131",O6432="131"),H6432='131-CT'!$H$9),"x","")</f>
        <v/>
      </c>
      <c r="Z6432" s="79"/>
      <c r="AA6432" s="79" t="str">
        <f>IF(AND(MONTH(E6432)='IN-NX'!$J$5,'IN-NX'!$D$7=D6432),"x","")</f>
        <v/>
      </c>
      <c r="AB6432" s="79" t="str">
        <f>IF(AND(OR(LEFT(TH!N6432,2)="15",LEFT(TH!O6432,2)="15"),LEFT(TH!O6432,3)&lt;&gt;"111",'152-CT'!$J$8=TH!F6432),"x","")</f>
        <v/>
      </c>
      <c r="AC6432" s="79" t="str">
        <f>IF(AND(OR(LEFT(TH!N6432,2)="15",LEFT(TH!O6432,2)="15"),TK!$E$7=TH!F6432),"x","")</f>
        <v/>
      </c>
      <c r="AD6432" s="79" t="str">
        <f>IF(AND(N6432="1521",MONTH(C6432)='BK-NL'!$M$11),"x","")</f>
        <v/>
      </c>
    </row>
    <row r="6433" spans="1:30" ht="16.5" customHeight="1">
      <c r="A6433" s="318" t="str">
        <f>IF(B6433&lt;&gt;"",IF(AND(B6433='IN-TC'!$S$4,OR(TH!N6433="1111",TH!O6433="1111")),TH!D6433,""),"")</f>
        <v/>
      </c>
      <c r="B6433" s="1163" t="str">
        <f t="shared" si="521"/>
        <v/>
      </c>
      <c r="C6433" s="61"/>
      <c r="D6433" s="61"/>
      <c r="E6433" s="61"/>
      <c r="F6433" s="69"/>
      <c r="G6433" s="64"/>
      <c r="H6433" s="69"/>
      <c r="I6433" s="385"/>
      <c r="J6433" s="392"/>
      <c r="K6433" s="385"/>
      <c r="L6433" s="392"/>
      <c r="M6433" s="62"/>
      <c r="N6433" s="63"/>
      <c r="O6433" s="63"/>
      <c r="P6433" s="79" t="str">
        <f>IF(AND('331-CT'!$E$7=TH!H6433,OR(N6433="331",O6433="331")),"x","")</f>
        <v/>
      </c>
      <c r="Q6433" s="79" t="str">
        <f>IF(AND(B6433='111'!$L$11,OR($N6433=$Q$7,$O6433=$Q$7)),"x","")</f>
        <v/>
      </c>
      <c r="R6433" s="79" t="str">
        <f>IF(AND($N6433=$Q$7,$B6433&lt;'111'!$L$11),"x","")</f>
        <v/>
      </c>
      <c r="S6433" s="79" t="str">
        <f>IF(AND($O6433=$Q$7,$B6433&lt;'111'!$L$11),"x","")</f>
        <v/>
      </c>
      <c r="T6433" s="79" t="str">
        <f>IF(ISERROR(FIND('112'!$M$9,G6433,1)),"",IF((AND(FIND('112'!$M$9,G6433,1)&gt;=1,B6433='112'!$K$9,OR($N6433='112'!$I$6,$O6433='112'!$I$6))),"x",""))</f>
        <v/>
      </c>
      <c r="U6433" s="79" t="str">
        <f>IF(ISERROR(FIND('112'!$M$9,G6433,1)),"",IF((AND(LEFT(G6433,2)=LEFT('112'!$M$9,2),B6433&lt;'112'!$K$9,$N6433='112'!$I$6)),"x",""))</f>
        <v/>
      </c>
      <c r="V6433" s="79" t="str">
        <f>IF(ISERROR(FIND('112'!$M$9,G6433,1)),"",IF((AND(RIGHT(G6433,2)=RIGHT('112'!$M$9,2),B6433&lt;'112'!$K$9,$O6433='112'!$I$6)),"x",""))</f>
        <v/>
      </c>
      <c r="W6433" s="79" t="str">
        <f>IF(AND('341-CT'!$H$9=H6433,OR(LEFT(N6433,3)=$W$7,LEFT(O6433,3)=$W$7)),"x","")</f>
        <v/>
      </c>
      <c r="X6433" s="79" t="str">
        <f>IF(OR(TH!N6433=TH!$X$7,O6433=TH!$X$7),"x","")</f>
        <v/>
      </c>
      <c r="Y6433" s="79" t="str">
        <f>IF(AND(OR(N6433="131",O6433="131"),H6433='131-CT'!$H$9),"x","")</f>
        <v/>
      </c>
      <c r="Z6433" s="79"/>
      <c r="AA6433" s="79" t="str">
        <f>IF(AND(MONTH(E6433)='IN-NX'!$J$5,'IN-NX'!$D$7=D6433),"x","")</f>
        <v/>
      </c>
      <c r="AB6433" s="79" t="str">
        <f>IF(AND(OR(LEFT(TH!N6433,2)="15",LEFT(TH!O6433,2)="15"),LEFT(TH!O6433,3)&lt;&gt;"111",'152-CT'!$J$8=TH!F6433),"x","")</f>
        <v/>
      </c>
      <c r="AC6433" s="79" t="str">
        <f>IF(AND(OR(LEFT(TH!N6433,2)="15",LEFT(TH!O6433,2)="15"),TK!$E$7=TH!F6433),"x","")</f>
        <v/>
      </c>
      <c r="AD6433" s="79" t="str">
        <f>IF(AND(N6433="1521",MONTH(C6433)='BK-NL'!$M$11),"x","")</f>
        <v/>
      </c>
    </row>
    <row r="6434" spans="1:30" ht="16.5" customHeight="1">
      <c r="A6434" s="318" t="str">
        <f>IF(B6434&lt;&gt;"",IF(AND(B6434='IN-TC'!$S$4,OR(TH!N6434="1111",TH!O6434="1111")),TH!D6434,""),"")</f>
        <v/>
      </c>
      <c r="B6434" s="1163" t="str">
        <f t="shared" si="521"/>
        <v/>
      </c>
      <c r="C6434" s="61"/>
      <c r="D6434" s="301"/>
      <c r="E6434" s="301"/>
      <c r="F6434" s="69"/>
      <c r="G6434" s="766"/>
      <c r="H6434" s="69"/>
      <c r="I6434" s="385"/>
      <c r="J6434" s="392"/>
      <c r="K6434" s="385"/>
      <c r="L6434" s="392"/>
      <c r="M6434" s="62"/>
      <c r="N6434" s="63"/>
      <c r="O6434" s="63"/>
      <c r="P6434" s="79" t="str">
        <f>IF(AND('331-CT'!$E$7=TH!H6434,OR(N6434="331",O6434="331")),"x","")</f>
        <v/>
      </c>
      <c r="Q6434" s="79" t="str">
        <f>IF(AND(B6434='111'!$L$11,OR($N6434=$Q$7,$O6434=$Q$7)),"x","")</f>
        <v/>
      </c>
      <c r="R6434" s="79" t="str">
        <f>IF(AND($N6434=$Q$7,$B6434&lt;'111'!$L$11),"x","")</f>
        <v/>
      </c>
      <c r="S6434" s="79" t="str">
        <f>IF(AND($O6434=$Q$7,$B6434&lt;'111'!$L$11),"x","")</f>
        <v/>
      </c>
      <c r="T6434" s="79" t="str">
        <f>IF(ISERROR(FIND('112'!$M$9,G6434,1)),"",IF((AND(FIND('112'!$M$9,G6434,1)&gt;=1,B6434='112'!$K$9,OR($N6434='112'!$I$6,$O6434='112'!$I$6))),"x",""))</f>
        <v/>
      </c>
      <c r="U6434" s="79" t="str">
        <f>IF(ISERROR(FIND('112'!$M$9,G6434,1)),"",IF((AND(LEFT(G6434,2)=LEFT('112'!$M$9,2),B6434&lt;'112'!$K$9,$N6434='112'!$I$6)),"x",""))</f>
        <v/>
      </c>
      <c r="V6434" s="79" t="str">
        <f>IF(ISERROR(FIND('112'!$M$9,G6434,1)),"",IF((AND(RIGHT(G6434,2)=RIGHT('112'!$M$9,2),B6434&lt;'112'!$K$9,$O6434='112'!$I$6)),"x",""))</f>
        <v/>
      </c>
      <c r="W6434" s="79" t="str">
        <f>IF(AND('341-CT'!$H$9=H6434,OR(LEFT(N6434,3)=$W$7,LEFT(O6434,3)=$W$7)),"x","")</f>
        <v/>
      </c>
      <c r="X6434" s="79" t="str">
        <f>IF(OR(TH!N6434=TH!$X$7,O6434=TH!$X$7),"x","")</f>
        <v/>
      </c>
      <c r="Y6434" s="79" t="str">
        <f>IF(AND(OR(N6434="131",O6434="131"),H6434='131-CT'!$H$9),"x","")</f>
        <v/>
      </c>
      <c r="Z6434" s="79"/>
      <c r="AA6434" s="79" t="str">
        <f>IF(AND(MONTH(E6434)='IN-NX'!$J$5,'IN-NX'!$D$7=D6434),"x","")</f>
        <v/>
      </c>
      <c r="AB6434" s="79" t="str">
        <f>IF(AND(OR(LEFT(TH!N6434,2)="15",LEFT(TH!O6434,2)="15"),LEFT(TH!O6434,3)&lt;&gt;"111",'152-CT'!$J$8=TH!F6434),"x","")</f>
        <v/>
      </c>
      <c r="AC6434" s="79" t="str">
        <f>IF(AND(OR(LEFT(TH!N6434,2)="15",LEFT(TH!O6434,2)="15"),TK!$E$7=TH!F6434),"x","")</f>
        <v/>
      </c>
      <c r="AD6434" s="79" t="str">
        <f>IF(AND(N6434="1521",MONTH(C6434)='BK-NL'!$M$11),"x","")</f>
        <v/>
      </c>
    </row>
    <row r="6435" spans="1:30" ht="16.5" customHeight="1">
      <c r="A6435" s="318" t="str">
        <f>IF(B6435&lt;&gt;"",IF(AND(B6435='IN-TC'!$S$4,OR(TH!N6435="1111",TH!O6435="1111")),TH!D6435,""),"")</f>
        <v/>
      </c>
      <c r="B6435" s="1163" t="str">
        <f t="shared" si="521"/>
        <v/>
      </c>
      <c r="C6435" s="61"/>
      <c r="D6435" s="301"/>
      <c r="E6435" s="301"/>
      <c r="F6435" s="69"/>
      <c r="G6435" s="766"/>
      <c r="H6435" s="69"/>
      <c r="I6435" s="385"/>
      <c r="J6435" s="392"/>
      <c r="K6435" s="385"/>
      <c r="L6435" s="392"/>
      <c r="M6435" s="62"/>
      <c r="N6435" s="63"/>
      <c r="O6435" s="63"/>
      <c r="P6435" s="79" t="str">
        <f>IF(AND('331-CT'!$E$7=TH!H6435,OR(N6435="331",O6435="331")),"x","")</f>
        <v/>
      </c>
      <c r="Q6435" s="79" t="str">
        <f>IF(AND(B6435='111'!$L$11,OR($N6435=$Q$7,$O6435=$Q$7)),"x","")</f>
        <v/>
      </c>
      <c r="R6435" s="79" t="str">
        <f>IF(AND($N6435=$Q$7,$B6435&lt;'111'!$L$11),"x","")</f>
        <v/>
      </c>
      <c r="S6435" s="79" t="str">
        <f>IF(AND($O6435=$Q$7,$B6435&lt;'111'!$L$11),"x","")</f>
        <v/>
      </c>
      <c r="T6435" s="79" t="str">
        <f>IF(ISERROR(FIND('112'!$M$9,G6435,1)),"",IF((AND(FIND('112'!$M$9,G6435,1)&gt;=1,B6435='112'!$K$9,OR($N6435='112'!$I$6,$O6435='112'!$I$6))),"x",""))</f>
        <v/>
      </c>
      <c r="U6435" s="79" t="str">
        <f>IF(ISERROR(FIND('112'!$M$9,G6435,1)),"",IF((AND(LEFT(G6435,2)=LEFT('112'!$M$9,2),B6435&lt;'112'!$K$9,$N6435='112'!$I$6)),"x",""))</f>
        <v/>
      </c>
      <c r="V6435" s="79" t="str">
        <f>IF(ISERROR(FIND('112'!$M$9,G6435,1)),"",IF((AND(RIGHT(G6435,2)=RIGHT('112'!$M$9,2),B6435&lt;'112'!$K$9,$O6435='112'!$I$6)),"x",""))</f>
        <v/>
      </c>
      <c r="W6435" s="79" t="str">
        <f>IF(AND('341-CT'!$H$9=H6435,OR(LEFT(N6435,3)=$W$7,LEFT(O6435,3)=$W$7)),"x","")</f>
        <v/>
      </c>
      <c r="X6435" s="79" t="str">
        <f>IF(OR(TH!N6435=TH!$X$7,O6435=TH!$X$7),"x","")</f>
        <v/>
      </c>
      <c r="Y6435" s="79" t="str">
        <f>IF(AND(OR(N6435="131",O6435="131"),H6435='131-CT'!$H$9),"x","")</f>
        <v/>
      </c>
      <c r="Z6435" s="79"/>
      <c r="AA6435" s="79" t="str">
        <f>IF(AND(MONTH(E6435)='IN-NX'!$J$5,'IN-NX'!$D$7=D6435),"x","")</f>
        <v/>
      </c>
      <c r="AB6435" s="79" t="str">
        <f>IF(AND(OR(LEFT(TH!N6435,2)="15",LEFT(TH!O6435,2)="15"),LEFT(TH!O6435,3)&lt;&gt;"111",'152-CT'!$J$8=TH!F6435),"x","")</f>
        <v/>
      </c>
      <c r="AC6435" s="79" t="str">
        <f>IF(AND(OR(LEFT(TH!N6435,2)="15",LEFT(TH!O6435,2)="15"),TK!$E$7=TH!F6435),"x","")</f>
        <v/>
      </c>
      <c r="AD6435" s="79" t="str">
        <f>IF(AND(N6435="1521",MONTH(C6435)='BK-NL'!$M$11),"x","")</f>
        <v/>
      </c>
    </row>
    <row r="6436" spans="1:30" ht="16.5" customHeight="1">
      <c r="A6436" s="318" t="str">
        <f>IF(B6436&lt;&gt;"",IF(AND(B6436='IN-TC'!$S$4,OR(TH!N6436="1111",TH!O6436="1111")),TH!D6436,""),"")</f>
        <v/>
      </c>
      <c r="B6436" s="1163" t="str">
        <f t="shared" si="521"/>
        <v/>
      </c>
      <c r="C6436" s="61"/>
      <c r="D6436" s="61"/>
      <c r="E6436" s="61"/>
      <c r="F6436" s="69"/>
      <c r="G6436" s="64"/>
      <c r="H6436" s="69"/>
      <c r="I6436" s="385"/>
      <c r="J6436" s="392"/>
      <c r="K6436" s="385"/>
      <c r="L6436" s="392"/>
      <c r="M6436" s="62"/>
      <c r="N6436" s="63"/>
      <c r="O6436" s="63"/>
      <c r="P6436" s="79" t="str">
        <f>IF(AND('331-CT'!$E$7=TH!H6436,OR(N6436="331",O6436="331")),"x","")</f>
        <v/>
      </c>
      <c r="Q6436" s="79" t="str">
        <f>IF(AND(B6436='111'!$L$11,OR($N6436=$Q$7,$O6436=$Q$7)),"x","")</f>
        <v/>
      </c>
      <c r="R6436" s="79" t="str">
        <f>IF(AND($N6436=$Q$7,$B6436&lt;'111'!$L$11),"x","")</f>
        <v/>
      </c>
      <c r="S6436" s="79" t="str">
        <f>IF(AND($O6436=$Q$7,$B6436&lt;'111'!$L$11),"x","")</f>
        <v/>
      </c>
      <c r="T6436" s="79" t="str">
        <f>IF(ISERROR(FIND('112'!$M$9,G6436,1)),"",IF((AND(FIND('112'!$M$9,G6436,1)&gt;=1,B6436='112'!$K$9,OR($N6436='112'!$I$6,$O6436='112'!$I$6))),"x",""))</f>
        <v/>
      </c>
      <c r="U6436" s="79" t="str">
        <f>IF(ISERROR(FIND('112'!$M$9,G6436,1)),"",IF((AND(LEFT(G6436,2)=LEFT('112'!$M$9,2),B6436&lt;'112'!$K$9,$N6436='112'!$I$6)),"x",""))</f>
        <v/>
      </c>
      <c r="V6436" s="79" t="str">
        <f>IF(ISERROR(FIND('112'!$M$9,G6436,1)),"",IF((AND(RIGHT(G6436,2)=RIGHT('112'!$M$9,2),B6436&lt;'112'!$K$9,$O6436='112'!$I$6)),"x",""))</f>
        <v/>
      </c>
      <c r="W6436" s="79" t="str">
        <f>IF(AND('341-CT'!$H$9=H6436,OR(LEFT(N6436,3)=$W$7,LEFT(O6436,3)=$W$7)),"x","")</f>
        <v/>
      </c>
      <c r="X6436" s="79" t="str">
        <f>IF(OR(TH!N6436=TH!$X$7,O6436=TH!$X$7),"x","")</f>
        <v/>
      </c>
      <c r="Y6436" s="79" t="str">
        <f>IF(AND(OR(N6436="131",O6436="131"),H6436='131-CT'!$H$9),"x","")</f>
        <v/>
      </c>
      <c r="Z6436" s="79"/>
      <c r="AA6436" s="79" t="str">
        <f>IF(AND(MONTH(E6436)='IN-NX'!$J$5,'IN-NX'!$D$7=D6436),"x","")</f>
        <v/>
      </c>
      <c r="AB6436" s="79" t="str">
        <f>IF(AND(OR(LEFT(TH!N6436,2)="15",LEFT(TH!O6436,2)="15"),LEFT(TH!O6436,3)&lt;&gt;"111",'152-CT'!$J$8=TH!F6436),"x","")</f>
        <v/>
      </c>
      <c r="AC6436" s="79" t="str">
        <f>IF(AND(OR(LEFT(TH!N6436,2)="15",LEFT(TH!O6436,2)="15"),TK!$E$7=TH!F6436),"x","")</f>
        <v/>
      </c>
      <c r="AD6436" s="79" t="str">
        <f>IF(AND(N6436="1521",MONTH(C6436)='BK-NL'!$M$11),"x","")</f>
        <v/>
      </c>
    </row>
    <row r="6437" spans="1:30" ht="16.5" customHeight="1">
      <c r="A6437" s="318" t="str">
        <f>IF(B6437&lt;&gt;"",IF(AND(B6437='IN-TC'!$S$4,OR(TH!N6437="1111",TH!O6437="1111")),TH!D6437,""),"")</f>
        <v/>
      </c>
      <c r="B6437" s="1163" t="str">
        <f t="shared" si="521"/>
        <v/>
      </c>
      <c r="C6437" s="61"/>
      <c r="D6437" s="61"/>
      <c r="E6437" s="61"/>
      <c r="F6437" s="69"/>
      <c r="G6437" s="64"/>
      <c r="H6437" s="69"/>
      <c r="I6437" s="385"/>
      <c r="J6437" s="392"/>
      <c r="K6437" s="385"/>
      <c r="L6437" s="392"/>
      <c r="M6437" s="62"/>
      <c r="N6437" s="63"/>
      <c r="O6437" s="63"/>
      <c r="P6437" s="79" t="str">
        <f>IF(AND('331-CT'!$E$7=TH!H6437,OR(N6437="331",O6437="331")),"x","")</f>
        <v/>
      </c>
      <c r="Q6437" s="79" t="str">
        <f>IF(AND(B6437='111'!$L$11,OR($N6437=$Q$7,$O6437=$Q$7)),"x","")</f>
        <v/>
      </c>
      <c r="R6437" s="79" t="str">
        <f>IF(AND($N6437=$Q$7,$B6437&lt;'111'!$L$11),"x","")</f>
        <v/>
      </c>
      <c r="S6437" s="79" t="str">
        <f>IF(AND($O6437=$Q$7,$B6437&lt;'111'!$L$11),"x","")</f>
        <v/>
      </c>
      <c r="T6437" s="79" t="str">
        <f>IF(ISERROR(FIND('112'!$M$9,G6437,1)),"",IF((AND(FIND('112'!$M$9,G6437,1)&gt;=1,B6437='112'!$K$9,OR($N6437='112'!$I$6,$O6437='112'!$I$6))),"x",""))</f>
        <v/>
      </c>
      <c r="U6437" s="79" t="str">
        <f>IF(ISERROR(FIND('112'!$M$9,G6437,1)),"",IF((AND(LEFT(G6437,2)=LEFT('112'!$M$9,2),B6437&lt;'112'!$K$9,$N6437='112'!$I$6)),"x",""))</f>
        <v/>
      </c>
      <c r="V6437" s="79" t="str">
        <f>IF(ISERROR(FIND('112'!$M$9,G6437,1)),"",IF((AND(RIGHT(G6437,2)=RIGHT('112'!$M$9,2),B6437&lt;'112'!$K$9,$O6437='112'!$I$6)),"x",""))</f>
        <v/>
      </c>
      <c r="W6437" s="79" t="str">
        <f>IF(AND('341-CT'!$H$9=H6437,OR(LEFT(N6437,3)=$W$7,LEFT(O6437,3)=$W$7)),"x","")</f>
        <v/>
      </c>
      <c r="X6437" s="79" t="str">
        <f>IF(OR(TH!N6437=TH!$X$7,O6437=TH!$X$7),"x","")</f>
        <v/>
      </c>
      <c r="Y6437" s="79" t="str">
        <f>IF(AND(OR(N6437="131",O6437="131"),H6437='131-CT'!$H$9),"x","")</f>
        <v/>
      </c>
      <c r="Z6437" s="79"/>
      <c r="AA6437" s="79" t="str">
        <f>IF(AND(MONTH(E6437)='IN-NX'!$J$5,'IN-NX'!$D$7=D6437),"x","")</f>
        <v/>
      </c>
      <c r="AB6437" s="79" t="str">
        <f>IF(AND(OR(LEFT(TH!N6437,2)="15",LEFT(TH!O6437,2)="15"),LEFT(TH!O6437,3)&lt;&gt;"111",'152-CT'!$J$8=TH!F6437),"x","")</f>
        <v/>
      </c>
      <c r="AC6437" s="79" t="str">
        <f>IF(AND(OR(LEFT(TH!N6437,2)="15",LEFT(TH!O6437,2)="15"),TK!$E$7=TH!F6437),"x","")</f>
        <v/>
      </c>
      <c r="AD6437" s="79" t="str">
        <f>IF(AND(N6437="1521",MONTH(C6437)='BK-NL'!$M$11),"x","")</f>
        <v/>
      </c>
    </row>
    <row r="6438" spans="1:30" ht="16.5" customHeight="1">
      <c r="A6438" s="318" t="str">
        <f>IF(B6438&lt;&gt;"",IF(AND(B6438='IN-TC'!$S$4,OR(TH!N6438="1111",TH!O6438="1111")),TH!D6438,""),"")</f>
        <v/>
      </c>
      <c r="B6438" s="1163" t="str">
        <f t="shared" si="521"/>
        <v/>
      </c>
      <c r="C6438" s="61"/>
      <c r="D6438" s="61"/>
      <c r="E6438" s="61"/>
      <c r="F6438" s="69"/>
      <c r="G6438" s="64"/>
      <c r="H6438" s="69"/>
      <c r="I6438" s="385"/>
      <c r="J6438" s="392"/>
      <c r="K6438" s="385"/>
      <c r="L6438" s="392"/>
      <c r="M6438" s="62"/>
      <c r="N6438" s="63"/>
      <c r="O6438" s="63"/>
      <c r="P6438" s="79" t="str">
        <f>IF(AND('331-CT'!$E$7=TH!H6438,OR(N6438="331",O6438="331")),"x","")</f>
        <v/>
      </c>
      <c r="Q6438" s="79" t="str">
        <f>IF(AND(B6438='111'!$L$11,OR($N6438=$Q$7,$O6438=$Q$7)),"x","")</f>
        <v/>
      </c>
      <c r="R6438" s="79" t="str">
        <f>IF(AND($N6438=$Q$7,$B6438&lt;'111'!$L$11),"x","")</f>
        <v/>
      </c>
      <c r="S6438" s="79" t="str">
        <f>IF(AND($O6438=$Q$7,$B6438&lt;'111'!$L$11),"x","")</f>
        <v/>
      </c>
      <c r="T6438" s="79" t="str">
        <f>IF(ISERROR(FIND('112'!$M$9,G6438,1)),"",IF((AND(FIND('112'!$M$9,G6438,1)&gt;=1,B6438='112'!$K$9,OR($N6438='112'!$I$6,$O6438='112'!$I$6))),"x",""))</f>
        <v/>
      </c>
      <c r="U6438" s="79" t="str">
        <f>IF(ISERROR(FIND('112'!$M$9,G6438,1)),"",IF((AND(LEFT(G6438,2)=LEFT('112'!$M$9,2),B6438&lt;'112'!$K$9,$N6438='112'!$I$6)),"x",""))</f>
        <v/>
      </c>
      <c r="V6438" s="79" t="str">
        <f>IF(ISERROR(FIND('112'!$M$9,G6438,1)),"",IF((AND(RIGHT(G6438,2)=RIGHT('112'!$M$9,2),B6438&lt;'112'!$K$9,$O6438='112'!$I$6)),"x",""))</f>
        <v/>
      </c>
      <c r="W6438" s="79" t="str">
        <f>IF(AND('341-CT'!$H$9=H6438,OR(LEFT(N6438,3)=$W$7,LEFT(O6438,3)=$W$7)),"x","")</f>
        <v/>
      </c>
      <c r="X6438" s="79" t="str">
        <f>IF(OR(TH!N6438=TH!$X$7,O6438=TH!$X$7),"x","")</f>
        <v/>
      </c>
      <c r="Y6438" s="79" t="str">
        <f>IF(AND(OR(N6438="131",O6438="131"),H6438='131-CT'!$H$9),"x","")</f>
        <v/>
      </c>
      <c r="Z6438" s="79"/>
      <c r="AA6438" s="79" t="str">
        <f>IF(AND(MONTH(E6438)='IN-NX'!$J$5,'IN-NX'!$D$7=D6438),"x","")</f>
        <v/>
      </c>
      <c r="AB6438" s="79" t="str">
        <f>IF(AND(OR(LEFT(TH!N6438,2)="15",LEFT(TH!O6438,2)="15"),LEFT(TH!O6438,3)&lt;&gt;"111",'152-CT'!$J$8=TH!F6438),"x","")</f>
        <v/>
      </c>
      <c r="AC6438" s="79" t="str">
        <f>IF(AND(OR(LEFT(TH!N6438,2)="15",LEFT(TH!O6438,2)="15"),TK!$E$7=TH!F6438),"x","")</f>
        <v/>
      </c>
      <c r="AD6438" s="79" t="str">
        <f>IF(AND(N6438="1521",MONTH(C6438)='BK-NL'!$M$11),"x","")</f>
        <v/>
      </c>
    </row>
    <row r="6439" spans="1:30" ht="16.5" customHeight="1">
      <c r="A6439" s="318" t="str">
        <f>IF(B6439&lt;&gt;"",IF(AND(B6439='IN-TC'!$S$4,OR(TH!N6439="1111",TH!O6439="1111")),TH!D6439,""),"")</f>
        <v/>
      </c>
      <c r="B6439" s="1163" t="str">
        <f t="shared" si="521"/>
        <v/>
      </c>
      <c r="C6439" s="61"/>
      <c r="D6439" s="61"/>
      <c r="E6439" s="61"/>
      <c r="F6439" s="69"/>
      <c r="G6439" s="64"/>
      <c r="H6439" s="69"/>
      <c r="I6439" s="385"/>
      <c r="J6439" s="392"/>
      <c r="K6439" s="385"/>
      <c r="L6439" s="392"/>
      <c r="M6439" s="62"/>
      <c r="N6439" s="63"/>
      <c r="O6439" s="63"/>
      <c r="P6439" s="79" t="str">
        <f>IF(AND('331-CT'!$E$7=TH!H6439,OR(N6439="331",O6439="331")),"x","")</f>
        <v/>
      </c>
      <c r="Q6439" s="79" t="str">
        <f>IF(AND(B6439='111'!$L$11,OR($N6439=$Q$7,$O6439=$Q$7)),"x","")</f>
        <v/>
      </c>
      <c r="R6439" s="79" t="str">
        <f>IF(AND($N6439=$Q$7,$B6439&lt;'111'!$L$11),"x","")</f>
        <v/>
      </c>
      <c r="S6439" s="79" t="str">
        <f>IF(AND($O6439=$Q$7,$B6439&lt;'111'!$L$11),"x","")</f>
        <v/>
      </c>
      <c r="T6439" s="79" t="str">
        <f>IF(ISERROR(FIND('112'!$M$9,G6439,1)),"",IF((AND(FIND('112'!$M$9,G6439,1)&gt;=1,B6439='112'!$K$9,OR($N6439='112'!$I$6,$O6439='112'!$I$6))),"x",""))</f>
        <v/>
      </c>
      <c r="U6439" s="79" t="str">
        <f>IF(ISERROR(FIND('112'!$M$9,G6439,1)),"",IF((AND(LEFT(G6439,2)=LEFT('112'!$M$9,2),B6439&lt;'112'!$K$9,$N6439='112'!$I$6)),"x",""))</f>
        <v/>
      </c>
      <c r="V6439" s="79" t="str">
        <f>IF(ISERROR(FIND('112'!$M$9,G6439,1)),"",IF((AND(RIGHT(G6439,2)=RIGHT('112'!$M$9,2),B6439&lt;'112'!$K$9,$O6439='112'!$I$6)),"x",""))</f>
        <v/>
      </c>
      <c r="W6439" s="79" t="str">
        <f>IF(AND('341-CT'!$H$9=H6439,OR(LEFT(N6439,3)=$W$7,LEFT(O6439,3)=$W$7)),"x","")</f>
        <v/>
      </c>
      <c r="X6439" s="79" t="str">
        <f>IF(OR(TH!N6439=TH!$X$7,O6439=TH!$X$7),"x","")</f>
        <v/>
      </c>
      <c r="Y6439" s="79" t="str">
        <f>IF(AND(OR(N6439="131",O6439="131"),H6439='131-CT'!$H$9),"x","")</f>
        <v/>
      </c>
      <c r="Z6439" s="79"/>
      <c r="AA6439" s="79" t="str">
        <f>IF(AND(MONTH(E6439)='IN-NX'!$J$5,'IN-NX'!$D$7=D6439),"x","")</f>
        <v/>
      </c>
      <c r="AB6439" s="79" t="str">
        <f>IF(AND(OR(LEFT(TH!N6439,2)="15",LEFT(TH!O6439,2)="15"),LEFT(TH!O6439,3)&lt;&gt;"111",'152-CT'!$J$8=TH!F6439),"x","")</f>
        <v/>
      </c>
      <c r="AC6439" s="79" t="str">
        <f>IF(AND(OR(LEFT(TH!N6439,2)="15",LEFT(TH!O6439,2)="15"),TK!$E$7=TH!F6439),"x","")</f>
        <v/>
      </c>
      <c r="AD6439" s="79" t="str">
        <f>IF(AND(N6439="1521",MONTH(C6439)='BK-NL'!$M$11),"x","")</f>
        <v/>
      </c>
    </row>
    <row r="6440" spans="1:30" ht="16.5" customHeight="1">
      <c r="A6440" s="318" t="str">
        <f>IF(B6440&lt;&gt;"",IF(AND(B6440='IN-TC'!$S$4,OR(TH!N6440="1111",TH!O6440="1111")),TH!D6440,""),"")</f>
        <v/>
      </c>
      <c r="B6440" s="1163" t="str">
        <f t="shared" si="521"/>
        <v/>
      </c>
      <c r="C6440" s="61"/>
      <c r="D6440" s="61"/>
      <c r="E6440" s="61"/>
      <c r="F6440" s="69"/>
      <c r="G6440" s="64"/>
      <c r="H6440" s="69"/>
      <c r="I6440" s="385"/>
      <c r="J6440" s="392"/>
      <c r="K6440" s="385"/>
      <c r="L6440" s="392"/>
      <c r="M6440" s="62"/>
      <c r="N6440" s="63"/>
      <c r="O6440" s="63"/>
      <c r="P6440" s="79" t="str">
        <f>IF(AND('331-CT'!$E$7=TH!H6440,OR(N6440="331",O6440="331")),"x","")</f>
        <v/>
      </c>
      <c r="Q6440" s="79" t="str">
        <f>IF(AND(B6440='111'!$L$11,OR($N6440=$Q$7,$O6440=$Q$7)),"x","")</f>
        <v/>
      </c>
      <c r="R6440" s="79" t="str">
        <f>IF(AND($N6440=$Q$7,$B6440&lt;'111'!$L$11),"x","")</f>
        <v/>
      </c>
      <c r="S6440" s="79" t="str">
        <f>IF(AND($O6440=$Q$7,$B6440&lt;'111'!$L$11),"x","")</f>
        <v/>
      </c>
      <c r="T6440" s="79" t="str">
        <f>IF(ISERROR(FIND('112'!$M$9,G6440,1)),"",IF((AND(FIND('112'!$M$9,G6440,1)&gt;=1,B6440='112'!$K$9,OR($N6440='112'!$I$6,$O6440='112'!$I$6))),"x",""))</f>
        <v/>
      </c>
      <c r="U6440" s="79" t="str">
        <f>IF(ISERROR(FIND('112'!$M$9,G6440,1)),"",IF((AND(LEFT(G6440,2)=LEFT('112'!$M$9,2),B6440&lt;'112'!$K$9,$N6440='112'!$I$6)),"x",""))</f>
        <v/>
      </c>
      <c r="V6440" s="79" t="str">
        <f>IF(ISERROR(FIND('112'!$M$9,G6440,1)),"",IF((AND(RIGHT(G6440,2)=RIGHT('112'!$M$9,2),B6440&lt;'112'!$K$9,$O6440='112'!$I$6)),"x",""))</f>
        <v/>
      </c>
      <c r="W6440" s="79" t="str">
        <f>IF(AND('341-CT'!$H$9=H6440,OR(LEFT(N6440,3)=$W$7,LEFT(O6440,3)=$W$7)),"x","")</f>
        <v/>
      </c>
      <c r="X6440" s="79" t="str">
        <f>IF(OR(TH!N6440=TH!$X$7,O6440=TH!$X$7),"x","")</f>
        <v/>
      </c>
      <c r="Y6440" s="79" t="str">
        <f>IF(AND(OR(N6440="131",O6440="131"),H6440='131-CT'!$H$9),"x","")</f>
        <v/>
      </c>
      <c r="Z6440" s="79"/>
      <c r="AA6440" s="79" t="str">
        <f>IF(AND(MONTH(E6440)='IN-NX'!$J$5,'IN-NX'!$D$7=D6440),"x","")</f>
        <v/>
      </c>
      <c r="AB6440" s="79" t="str">
        <f>IF(AND(OR(LEFT(TH!N6440,2)="15",LEFT(TH!O6440,2)="15"),LEFT(TH!O6440,3)&lt;&gt;"111",'152-CT'!$J$8=TH!F6440),"x","")</f>
        <v/>
      </c>
      <c r="AC6440" s="79" t="str">
        <f>IF(AND(OR(LEFT(TH!N6440,2)="15",LEFT(TH!O6440,2)="15"),TK!$E$7=TH!F6440),"x","")</f>
        <v/>
      </c>
      <c r="AD6440" s="79" t="str">
        <f>IF(AND(N6440="1521",MONTH(C6440)='BK-NL'!$M$11),"x","")</f>
        <v/>
      </c>
    </row>
    <row r="6441" spans="1:30" ht="16.5" customHeight="1">
      <c r="A6441" s="318" t="str">
        <f>IF(B6441&lt;&gt;"",IF(AND(B6441='IN-TC'!$S$4,OR(TH!N6441="1111",TH!O6441="1111")),TH!D6441,""),"")</f>
        <v/>
      </c>
      <c r="B6441" s="1163" t="str">
        <f t="shared" si="521"/>
        <v/>
      </c>
      <c r="C6441" s="61"/>
      <c r="D6441" s="61"/>
      <c r="E6441" s="61"/>
      <c r="F6441" s="69"/>
      <c r="G6441" s="64"/>
      <c r="H6441" s="69"/>
      <c r="I6441" s="385"/>
      <c r="J6441" s="392"/>
      <c r="K6441" s="385"/>
      <c r="L6441" s="392"/>
      <c r="M6441" s="62"/>
      <c r="N6441" s="63"/>
      <c r="O6441" s="63"/>
      <c r="P6441" s="79" t="str">
        <f>IF(AND('331-CT'!$E$7=TH!H6441,OR(N6441="331",O6441="331")),"x","")</f>
        <v/>
      </c>
      <c r="Q6441" s="79" t="str">
        <f>IF(AND(B6441='111'!$L$11,OR($N6441=$Q$7,$O6441=$Q$7)),"x","")</f>
        <v/>
      </c>
      <c r="R6441" s="79" t="str">
        <f>IF(AND($N6441=$Q$7,$B6441&lt;'111'!$L$11),"x","")</f>
        <v/>
      </c>
      <c r="S6441" s="79" t="str">
        <f>IF(AND($O6441=$Q$7,$B6441&lt;'111'!$L$11),"x","")</f>
        <v/>
      </c>
      <c r="T6441" s="79" t="str">
        <f>IF(ISERROR(FIND('112'!$M$9,G6441,1)),"",IF((AND(FIND('112'!$M$9,G6441,1)&gt;=1,B6441='112'!$K$9,OR($N6441='112'!$I$6,$O6441='112'!$I$6))),"x",""))</f>
        <v/>
      </c>
      <c r="U6441" s="79" t="str">
        <f>IF(ISERROR(FIND('112'!$M$9,G6441,1)),"",IF((AND(LEFT(G6441,2)=LEFT('112'!$M$9,2),B6441&lt;'112'!$K$9,$N6441='112'!$I$6)),"x",""))</f>
        <v/>
      </c>
      <c r="V6441" s="79" t="str">
        <f>IF(ISERROR(FIND('112'!$M$9,G6441,1)),"",IF((AND(RIGHT(G6441,2)=RIGHT('112'!$M$9,2),B6441&lt;'112'!$K$9,$O6441='112'!$I$6)),"x",""))</f>
        <v/>
      </c>
      <c r="W6441" s="79" t="str">
        <f>IF(AND('341-CT'!$H$9=H6441,OR(LEFT(N6441,3)=$W$7,LEFT(O6441,3)=$W$7)),"x","")</f>
        <v/>
      </c>
      <c r="X6441" s="79" t="str">
        <f>IF(OR(TH!N6441=TH!$X$7,O6441=TH!$X$7),"x","")</f>
        <v/>
      </c>
      <c r="Y6441" s="79" t="str">
        <f>IF(AND(OR(N6441="131",O6441="131"),H6441='131-CT'!$H$9),"x","")</f>
        <v/>
      </c>
      <c r="Z6441" s="79"/>
      <c r="AA6441" s="79" t="str">
        <f>IF(AND(MONTH(E6441)='IN-NX'!$J$5,'IN-NX'!$D$7=D6441),"x","")</f>
        <v/>
      </c>
      <c r="AB6441" s="79" t="str">
        <f>IF(AND(OR(LEFT(TH!N6441,2)="15",LEFT(TH!O6441,2)="15"),LEFT(TH!O6441,3)&lt;&gt;"111",'152-CT'!$J$8=TH!F6441),"x","")</f>
        <v/>
      </c>
      <c r="AC6441" s="79" t="str">
        <f>IF(AND(OR(LEFT(TH!N6441,2)="15",LEFT(TH!O6441,2)="15"),TK!$E$7=TH!F6441),"x","")</f>
        <v/>
      </c>
      <c r="AD6441" s="79" t="str">
        <f>IF(AND(N6441="1521",MONTH(C6441)='BK-NL'!$M$11),"x","")</f>
        <v/>
      </c>
    </row>
    <row r="6442" spans="1:30" ht="16.5" customHeight="1">
      <c r="A6442" s="318" t="str">
        <f>IF(B6442&lt;&gt;"",IF(AND(B6442='IN-TC'!$S$4,OR(TH!N6442="1111",TH!O6442="1111")),TH!D6442,""),"")</f>
        <v/>
      </c>
      <c r="B6442" s="1163" t="str">
        <f t="shared" si="521"/>
        <v/>
      </c>
      <c r="C6442" s="61"/>
      <c r="D6442" s="61"/>
      <c r="E6442" s="61"/>
      <c r="F6442" s="69"/>
      <c r="G6442" s="64"/>
      <c r="H6442" s="69"/>
      <c r="I6442" s="385"/>
      <c r="J6442" s="392"/>
      <c r="K6442" s="385"/>
      <c r="L6442" s="392"/>
      <c r="M6442" s="62"/>
      <c r="N6442" s="63"/>
      <c r="O6442" s="63"/>
      <c r="P6442" s="79" t="str">
        <f>IF(AND('331-CT'!$E$7=TH!H6442,OR(N6442="331",O6442="331")),"x","")</f>
        <v/>
      </c>
      <c r="Q6442" s="79" t="str">
        <f>IF(AND(B6442='111'!$L$11,OR($N6442=$Q$7,$O6442=$Q$7)),"x","")</f>
        <v/>
      </c>
      <c r="R6442" s="79" t="str">
        <f>IF(AND($N6442=$Q$7,$B6442&lt;'111'!$L$11),"x","")</f>
        <v/>
      </c>
      <c r="S6442" s="79" t="str">
        <f>IF(AND($O6442=$Q$7,$B6442&lt;'111'!$L$11),"x","")</f>
        <v/>
      </c>
      <c r="T6442" s="79" t="str">
        <f>IF(ISERROR(FIND('112'!$M$9,G6442,1)),"",IF((AND(FIND('112'!$M$9,G6442,1)&gt;=1,B6442='112'!$K$9,OR($N6442='112'!$I$6,$O6442='112'!$I$6))),"x",""))</f>
        <v/>
      </c>
      <c r="U6442" s="79" t="str">
        <f>IF(ISERROR(FIND('112'!$M$9,G6442,1)),"",IF((AND(LEFT(G6442,2)=LEFT('112'!$M$9,2),B6442&lt;'112'!$K$9,$N6442='112'!$I$6)),"x",""))</f>
        <v/>
      </c>
      <c r="V6442" s="79" t="str">
        <f>IF(ISERROR(FIND('112'!$M$9,G6442,1)),"",IF((AND(RIGHT(G6442,2)=RIGHT('112'!$M$9,2),B6442&lt;'112'!$K$9,$O6442='112'!$I$6)),"x",""))</f>
        <v/>
      </c>
      <c r="W6442" s="79" t="str">
        <f>IF(AND('341-CT'!$H$9=H6442,OR(LEFT(N6442,3)=$W$7,LEFT(O6442,3)=$W$7)),"x","")</f>
        <v/>
      </c>
      <c r="X6442" s="79" t="str">
        <f>IF(OR(TH!N6442=TH!$X$7,O6442=TH!$X$7),"x","")</f>
        <v/>
      </c>
      <c r="Y6442" s="79" t="str">
        <f>IF(AND(OR(N6442="131",O6442="131"),H6442='131-CT'!$H$9),"x","")</f>
        <v/>
      </c>
      <c r="Z6442" s="79"/>
      <c r="AA6442" s="79" t="str">
        <f>IF(AND(MONTH(E6442)='IN-NX'!$J$5,'IN-NX'!$D$7=D6442),"x","")</f>
        <v/>
      </c>
      <c r="AB6442" s="79" t="str">
        <f>IF(AND(OR(LEFT(TH!N6442,2)="15",LEFT(TH!O6442,2)="15"),LEFT(TH!O6442,3)&lt;&gt;"111",'152-CT'!$J$8=TH!F6442),"x","")</f>
        <v/>
      </c>
      <c r="AC6442" s="79" t="str">
        <f>IF(AND(OR(LEFT(TH!N6442,2)="15",LEFT(TH!O6442,2)="15"),TK!$E$7=TH!F6442),"x","")</f>
        <v/>
      </c>
      <c r="AD6442" s="79" t="str">
        <f>IF(AND(N6442="1521",MONTH(C6442)='BK-NL'!$M$11),"x","")</f>
        <v/>
      </c>
    </row>
    <row r="6443" spans="1:30" ht="16.5" customHeight="1">
      <c r="A6443" s="318" t="str">
        <f>IF(B6443&lt;&gt;"",IF(AND(B6443='IN-TC'!$S$4,OR(TH!N6443="1111",TH!O6443="1111")),TH!D6443,""),"")</f>
        <v/>
      </c>
      <c r="B6443" s="1163" t="str">
        <f t="shared" si="521"/>
        <v/>
      </c>
      <c r="C6443" s="61"/>
      <c r="D6443" s="61"/>
      <c r="E6443" s="61"/>
      <c r="F6443" s="69"/>
      <c r="G6443" s="64"/>
      <c r="H6443" s="69"/>
      <c r="I6443" s="385"/>
      <c r="J6443" s="392"/>
      <c r="K6443" s="385"/>
      <c r="L6443" s="392"/>
      <c r="M6443" s="62"/>
      <c r="N6443" s="63"/>
      <c r="O6443" s="63"/>
      <c r="P6443" s="79" t="str">
        <f>IF(AND('331-CT'!$E$7=TH!H6443,OR(N6443="331",O6443="331")),"x","")</f>
        <v/>
      </c>
      <c r="Q6443" s="79" t="str">
        <f>IF(AND(B6443='111'!$L$11,OR($N6443=$Q$7,$O6443=$Q$7)),"x","")</f>
        <v/>
      </c>
      <c r="R6443" s="79" t="str">
        <f>IF(AND($N6443=$Q$7,$B6443&lt;'111'!$L$11),"x","")</f>
        <v/>
      </c>
      <c r="S6443" s="79" t="str">
        <f>IF(AND($O6443=$Q$7,$B6443&lt;'111'!$L$11),"x","")</f>
        <v/>
      </c>
      <c r="T6443" s="79" t="str">
        <f>IF(ISERROR(FIND('112'!$M$9,G6443,1)),"",IF((AND(FIND('112'!$M$9,G6443,1)&gt;=1,B6443='112'!$K$9,OR($N6443='112'!$I$6,$O6443='112'!$I$6))),"x",""))</f>
        <v/>
      </c>
      <c r="U6443" s="79" t="str">
        <f>IF(ISERROR(FIND('112'!$M$9,G6443,1)),"",IF((AND(LEFT(G6443,2)=LEFT('112'!$M$9,2),B6443&lt;'112'!$K$9,$N6443='112'!$I$6)),"x",""))</f>
        <v/>
      </c>
      <c r="V6443" s="79" t="str">
        <f>IF(ISERROR(FIND('112'!$M$9,G6443,1)),"",IF((AND(RIGHT(G6443,2)=RIGHT('112'!$M$9,2),B6443&lt;'112'!$K$9,$O6443='112'!$I$6)),"x",""))</f>
        <v/>
      </c>
      <c r="W6443" s="79" t="str">
        <f>IF(AND('341-CT'!$H$9=H6443,OR(LEFT(N6443,3)=$W$7,LEFT(O6443,3)=$W$7)),"x","")</f>
        <v/>
      </c>
      <c r="X6443" s="79" t="str">
        <f>IF(OR(TH!N6443=TH!$X$7,O6443=TH!$X$7),"x","")</f>
        <v/>
      </c>
      <c r="Y6443" s="79" t="str">
        <f>IF(AND(OR(N6443="131",O6443="131"),H6443='131-CT'!$H$9),"x","")</f>
        <v/>
      </c>
      <c r="Z6443" s="79"/>
      <c r="AA6443" s="79" t="str">
        <f>IF(AND(MONTH(E6443)='IN-NX'!$J$5,'IN-NX'!$D$7=D6443),"x","")</f>
        <v/>
      </c>
      <c r="AB6443" s="79" t="str">
        <f>IF(AND(OR(LEFT(TH!N6443,2)="15",LEFT(TH!O6443,2)="15"),LEFT(TH!O6443,3)&lt;&gt;"111",'152-CT'!$J$8=TH!F6443),"x","")</f>
        <v/>
      </c>
      <c r="AC6443" s="79" t="str">
        <f>IF(AND(OR(LEFT(TH!N6443,2)="15",LEFT(TH!O6443,2)="15"),TK!$E$7=TH!F6443),"x","")</f>
        <v/>
      </c>
      <c r="AD6443" s="79" t="str">
        <f>IF(AND(N6443="1521",MONTH(C6443)='BK-NL'!$M$11),"x","")</f>
        <v/>
      </c>
    </row>
    <row r="6444" spans="1:30" ht="16.5" customHeight="1">
      <c r="A6444" s="318" t="str">
        <f>IF(B6444&lt;&gt;"",IF(AND(B6444='IN-TC'!$S$4,OR(TH!N6444="1111",TH!O6444="1111")),TH!D6444,""),"")</f>
        <v/>
      </c>
      <c r="B6444" s="1163" t="str">
        <f t="shared" si="521"/>
        <v/>
      </c>
      <c r="C6444" s="61"/>
      <c r="D6444" s="61"/>
      <c r="E6444" s="61"/>
      <c r="F6444" s="69"/>
      <c r="G6444" s="64"/>
      <c r="H6444" s="69"/>
      <c r="I6444" s="385"/>
      <c r="J6444" s="392"/>
      <c r="K6444" s="385"/>
      <c r="L6444" s="392"/>
      <c r="M6444" s="62"/>
      <c r="N6444" s="63"/>
      <c r="O6444" s="63"/>
      <c r="P6444" s="79" t="str">
        <f>IF(AND('331-CT'!$E$7=TH!H6444,OR(N6444="331",O6444="331")),"x","")</f>
        <v/>
      </c>
      <c r="Q6444" s="79" t="str">
        <f>IF(AND(B6444='111'!$L$11,OR($N6444=$Q$7,$O6444=$Q$7)),"x","")</f>
        <v/>
      </c>
      <c r="R6444" s="79" t="str">
        <f>IF(AND($N6444=$Q$7,$B6444&lt;'111'!$L$11),"x","")</f>
        <v/>
      </c>
      <c r="S6444" s="79" t="str">
        <f>IF(AND($O6444=$Q$7,$B6444&lt;'111'!$L$11),"x","")</f>
        <v/>
      </c>
      <c r="T6444" s="79" t="str">
        <f>IF(ISERROR(FIND('112'!$M$9,G6444,1)),"",IF((AND(FIND('112'!$M$9,G6444,1)&gt;=1,B6444='112'!$K$9,OR($N6444='112'!$I$6,$O6444='112'!$I$6))),"x",""))</f>
        <v/>
      </c>
      <c r="U6444" s="79" t="str">
        <f>IF(ISERROR(FIND('112'!$M$9,G6444,1)),"",IF((AND(LEFT(G6444,2)=LEFT('112'!$M$9,2),B6444&lt;'112'!$K$9,$N6444='112'!$I$6)),"x",""))</f>
        <v/>
      </c>
      <c r="V6444" s="79" t="str">
        <f>IF(ISERROR(FIND('112'!$M$9,G6444,1)),"",IF((AND(RIGHT(G6444,2)=RIGHT('112'!$M$9,2),B6444&lt;'112'!$K$9,$O6444='112'!$I$6)),"x",""))</f>
        <v/>
      </c>
      <c r="W6444" s="79" t="str">
        <f>IF(AND('341-CT'!$H$9=H6444,OR(LEFT(N6444,3)=$W$7,LEFT(O6444,3)=$W$7)),"x","")</f>
        <v/>
      </c>
      <c r="X6444" s="79" t="str">
        <f>IF(OR(TH!N6444=TH!$X$7,O6444=TH!$X$7),"x","")</f>
        <v/>
      </c>
      <c r="Y6444" s="79" t="str">
        <f>IF(AND(OR(N6444="131",O6444="131"),H6444='131-CT'!$H$9),"x","")</f>
        <v/>
      </c>
      <c r="Z6444" s="79"/>
      <c r="AA6444" s="79" t="str">
        <f>IF(AND(MONTH(E6444)='IN-NX'!$J$5,'IN-NX'!$D$7=D6444),"x","")</f>
        <v/>
      </c>
      <c r="AB6444" s="79" t="str">
        <f>IF(AND(OR(LEFT(TH!N6444,2)="15",LEFT(TH!O6444,2)="15"),LEFT(TH!O6444,3)&lt;&gt;"111",'152-CT'!$J$8=TH!F6444),"x","")</f>
        <v/>
      </c>
      <c r="AC6444" s="79" t="str">
        <f>IF(AND(OR(LEFT(TH!N6444,2)="15",LEFT(TH!O6444,2)="15"),TK!$E$7=TH!F6444),"x","")</f>
        <v/>
      </c>
      <c r="AD6444" s="79" t="str">
        <f>IF(AND(N6444="1521",MONTH(C6444)='BK-NL'!$M$11),"x","")</f>
        <v/>
      </c>
    </row>
    <row r="6445" spans="1:30" ht="16.5" customHeight="1">
      <c r="A6445" s="318" t="str">
        <f>IF(B6445&lt;&gt;"",IF(AND(B6445='IN-TC'!$S$4,OR(TH!N6445="1111",TH!O6445="1111")),TH!D6445,""),"")</f>
        <v/>
      </c>
      <c r="B6445" s="1163" t="str">
        <f t="shared" si="521"/>
        <v/>
      </c>
      <c r="C6445" s="61"/>
      <c r="D6445" s="61"/>
      <c r="E6445" s="61"/>
      <c r="F6445" s="69"/>
      <c r="G6445" s="64"/>
      <c r="H6445" s="69"/>
      <c r="I6445" s="385"/>
      <c r="J6445" s="392"/>
      <c r="K6445" s="385"/>
      <c r="L6445" s="392"/>
      <c r="M6445" s="62"/>
      <c r="N6445" s="63"/>
      <c r="O6445" s="63"/>
      <c r="P6445" s="79" t="str">
        <f>IF(AND('331-CT'!$E$7=TH!H6445,OR(N6445="331",O6445="331")),"x","")</f>
        <v/>
      </c>
      <c r="Q6445" s="79" t="str">
        <f>IF(AND(B6445='111'!$L$11,OR($N6445=$Q$7,$O6445=$Q$7)),"x","")</f>
        <v/>
      </c>
      <c r="R6445" s="79" t="str">
        <f>IF(AND($N6445=$Q$7,$B6445&lt;'111'!$L$11),"x","")</f>
        <v/>
      </c>
      <c r="S6445" s="79" t="str">
        <f>IF(AND($O6445=$Q$7,$B6445&lt;'111'!$L$11),"x","")</f>
        <v/>
      </c>
      <c r="T6445" s="79" t="str">
        <f>IF(ISERROR(FIND('112'!$M$9,G6445,1)),"",IF((AND(FIND('112'!$M$9,G6445,1)&gt;=1,B6445='112'!$K$9,OR($N6445='112'!$I$6,$O6445='112'!$I$6))),"x",""))</f>
        <v/>
      </c>
      <c r="U6445" s="79" t="str">
        <f>IF(ISERROR(FIND('112'!$M$9,G6445,1)),"",IF((AND(LEFT(G6445,2)=LEFT('112'!$M$9,2),B6445&lt;'112'!$K$9,$N6445='112'!$I$6)),"x",""))</f>
        <v/>
      </c>
      <c r="V6445" s="79" t="str">
        <f>IF(ISERROR(FIND('112'!$M$9,G6445,1)),"",IF((AND(RIGHT(G6445,2)=RIGHT('112'!$M$9,2),B6445&lt;'112'!$K$9,$O6445='112'!$I$6)),"x",""))</f>
        <v/>
      </c>
      <c r="W6445" s="79" t="str">
        <f>IF(AND('341-CT'!$H$9=H6445,OR(LEFT(N6445,3)=$W$7,LEFT(O6445,3)=$W$7)),"x","")</f>
        <v/>
      </c>
      <c r="X6445" s="79" t="str">
        <f>IF(OR(TH!N6445=TH!$X$7,O6445=TH!$X$7),"x","")</f>
        <v/>
      </c>
      <c r="Y6445" s="79" t="str">
        <f>IF(AND(OR(N6445="131",O6445="131"),H6445='131-CT'!$H$9),"x","")</f>
        <v/>
      </c>
      <c r="Z6445" s="79"/>
      <c r="AA6445" s="79" t="str">
        <f>IF(AND(MONTH(E6445)='IN-NX'!$J$5,'IN-NX'!$D$7=D6445),"x","")</f>
        <v/>
      </c>
      <c r="AB6445" s="79" t="str">
        <f>IF(AND(OR(LEFT(TH!N6445,2)="15",LEFT(TH!O6445,2)="15"),LEFT(TH!O6445,3)&lt;&gt;"111",'152-CT'!$J$8=TH!F6445),"x","")</f>
        <v/>
      </c>
      <c r="AC6445" s="79" t="str">
        <f>IF(AND(OR(LEFT(TH!N6445,2)="15",LEFT(TH!O6445,2)="15"),TK!$E$7=TH!F6445),"x","")</f>
        <v/>
      </c>
      <c r="AD6445" s="79" t="str">
        <f>IF(AND(N6445="1521",MONTH(C6445)='BK-NL'!$M$11),"x","")</f>
        <v/>
      </c>
    </row>
    <row r="6446" spans="1:30" ht="16.5" customHeight="1">
      <c r="A6446" s="318" t="str">
        <f>IF(B6446&lt;&gt;"",IF(AND(B6446='IN-TC'!$S$4,OR(TH!N6446="1111",TH!O6446="1111")),TH!D6446,""),"")</f>
        <v/>
      </c>
      <c r="B6446" s="1163" t="str">
        <f t="shared" si="521"/>
        <v/>
      </c>
      <c r="C6446" s="61"/>
      <c r="D6446" s="61"/>
      <c r="E6446" s="61"/>
      <c r="F6446" s="69"/>
      <c r="G6446" s="64"/>
      <c r="H6446" s="69"/>
      <c r="I6446" s="385"/>
      <c r="J6446" s="392"/>
      <c r="K6446" s="385"/>
      <c r="L6446" s="392"/>
      <c r="M6446" s="62"/>
      <c r="N6446" s="63"/>
      <c r="O6446" s="63"/>
      <c r="P6446" s="79" t="str">
        <f>IF(AND('331-CT'!$E$7=TH!H6446,OR(N6446="331",O6446="331")),"x","")</f>
        <v/>
      </c>
      <c r="Q6446" s="79" t="str">
        <f>IF(AND(B6446='111'!$L$11,OR($N6446=$Q$7,$O6446=$Q$7)),"x","")</f>
        <v/>
      </c>
      <c r="R6446" s="79" t="str">
        <f>IF(AND($N6446=$Q$7,$B6446&lt;'111'!$L$11),"x","")</f>
        <v/>
      </c>
      <c r="S6446" s="79" t="str">
        <f>IF(AND($O6446=$Q$7,$B6446&lt;'111'!$L$11),"x","")</f>
        <v/>
      </c>
      <c r="T6446" s="79" t="str">
        <f>IF(ISERROR(FIND('112'!$M$9,G6446,1)),"",IF((AND(FIND('112'!$M$9,G6446,1)&gt;=1,B6446='112'!$K$9,OR($N6446='112'!$I$6,$O6446='112'!$I$6))),"x",""))</f>
        <v/>
      </c>
      <c r="U6446" s="79" t="str">
        <f>IF(ISERROR(FIND('112'!$M$9,G6446,1)),"",IF((AND(LEFT(G6446,2)=LEFT('112'!$M$9,2),B6446&lt;'112'!$K$9,$N6446='112'!$I$6)),"x",""))</f>
        <v/>
      </c>
      <c r="V6446" s="79" t="str">
        <f>IF(ISERROR(FIND('112'!$M$9,G6446,1)),"",IF((AND(RIGHT(G6446,2)=RIGHT('112'!$M$9,2),B6446&lt;'112'!$K$9,$O6446='112'!$I$6)),"x",""))</f>
        <v/>
      </c>
      <c r="W6446" s="79" t="str">
        <f>IF(AND('341-CT'!$H$9=H6446,OR(LEFT(N6446,3)=$W$7,LEFT(O6446,3)=$W$7)),"x","")</f>
        <v/>
      </c>
      <c r="X6446" s="79" t="str">
        <f>IF(OR(TH!N6446=TH!$X$7,O6446=TH!$X$7),"x","")</f>
        <v/>
      </c>
      <c r="Y6446" s="79" t="str">
        <f>IF(AND(OR(N6446="131",O6446="131"),H6446='131-CT'!$H$9),"x","")</f>
        <v/>
      </c>
      <c r="Z6446" s="79"/>
      <c r="AA6446" s="79" t="str">
        <f>IF(AND(MONTH(E6446)='IN-NX'!$J$5,'IN-NX'!$D$7=D6446),"x","")</f>
        <v/>
      </c>
      <c r="AB6446" s="79" t="str">
        <f>IF(AND(OR(LEFT(TH!N6446,2)="15",LEFT(TH!O6446,2)="15"),LEFT(TH!O6446,3)&lt;&gt;"111",'152-CT'!$J$8=TH!F6446),"x","")</f>
        <v/>
      </c>
      <c r="AC6446" s="79" t="str">
        <f>IF(AND(OR(LEFT(TH!N6446,2)="15",LEFT(TH!O6446,2)="15"),TK!$E$7=TH!F6446),"x","")</f>
        <v/>
      </c>
      <c r="AD6446" s="79" t="str">
        <f>IF(AND(N6446="1521",MONTH(C6446)='BK-NL'!$M$11),"x","")</f>
        <v/>
      </c>
    </row>
    <row r="6447" spans="1:30" ht="16.5" customHeight="1">
      <c r="A6447" s="318" t="str">
        <f>IF(B6447&lt;&gt;"",IF(AND(B6447='IN-TC'!$S$4,OR(TH!N6447="1111",TH!O6447="1111")),TH!D6447,""),"")</f>
        <v/>
      </c>
      <c r="B6447" s="1163" t="str">
        <f t="shared" si="521"/>
        <v/>
      </c>
      <c r="C6447" s="61"/>
      <c r="D6447" s="61"/>
      <c r="E6447" s="61"/>
      <c r="F6447" s="446"/>
      <c r="G6447" s="64"/>
      <c r="H6447" s="69"/>
      <c r="I6447" s="385"/>
      <c r="J6447" s="392"/>
      <c r="K6447" s="385"/>
      <c r="L6447" s="392"/>
      <c r="M6447" s="62"/>
      <c r="N6447" s="63"/>
      <c r="O6447" s="63"/>
      <c r="P6447" s="79" t="str">
        <f>IF(AND('331-CT'!$E$7=TH!H6447,OR(N6447="331",O6447="331")),"x","")</f>
        <v/>
      </c>
      <c r="Q6447" s="79" t="str">
        <f>IF(AND(B6447='111'!$L$11,OR($N6447=$Q$7,$O6447=$Q$7)),"x","")</f>
        <v/>
      </c>
      <c r="R6447" s="79" t="str">
        <f>IF(AND($N6447=$Q$7,$B6447&lt;'111'!$L$11),"x","")</f>
        <v/>
      </c>
      <c r="S6447" s="79" t="str">
        <f>IF(AND($O6447=$Q$7,$B6447&lt;'111'!$L$11),"x","")</f>
        <v/>
      </c>
      <c r="T6447" s="79" t="str">
        <f>IF(ISERROR(FIND('112'!$M$9,G6447,1)),"",IF((AND(FIND('112'!$M$9,G6447,1)&gt;=1,B6447='112'!$K$9,OR($N6447='112'!$I$6,$O6447='112'!$I$6))),"x",""))</f>
        <v/>
      </c>
      <c r="U6447" s="79" t="str">
        <f>IF(ISERROR(FIND('112'!$M$9,G6447,1)),"",IF((AND(LEFT(G6447,2)=LEFT('112'!$M$9,2),B6447&lt;'112'!$K$9,$N6447='112'!$I$6)),"x",""))</f>
        <v/>
      </c>
      <c r="V6447" s="79" t="str">
        <f>IF(ISERROR(FIND('112'!$M$9,G6447,1)),"",IF((AND(RIGHT(G6447,2)=RIGHT('112'!$M$9,2),B6447&lt;'112'!$K$9,$O6447='112'!$I$6)),"x",""))</f>
        <v/>
      </c>
      <c r="W6447" s="79" t="str">
        <f>IF(AND('341-CT'!$H$9=H6447,OR(LEFT(N6447,3)=$W$7,LEFT(O6447,3)=$W$7)),"x","")</f>
        <v/>
      </c>
      <c r="X6447" s="79" t="str">
        <f>IF(OR(TH!N6447=TH!$X$7,O6447=TH!$X$7),"x","")</f>
        <v/>
      </c>
      <c r="Y6447" s="79" t="str">
        <f>IF(AND(OR(N6447="131",O6447="131"),H6447='131-CT'!$H$9),"x","")</f>
        <v/>
      </c>
      <c r="Z6447" s="79"/>
      <c r="AA6447" s="79" t="str">
        <f>IF(AND(MONTH(E6447)='IN-NX'!$J$5,'IN-NX'!$D$7=D6447),"x","")</f>
        <v/>
      </c>
      <c r="AB6447" s="79" t="str">
        <f>IF(AND(OR(LEFT(TH!N6447,2)="15",LEFT(TH!O6447,2)="15"),LEFT(TH!O6447,3)&lt;&gt;"111",'152-CT'!$J$8=TH!F6447),"x","")</f>
        <v/>
      </c>
      <c r="AC6447" s="79" t="str">
        <f>IF(AND(OR(LEFT(TH!N6447,2)="15",LEFT(TH!O6447,2)="15"),TK!$E$7=TH!F6447),"x","")</f>
        <v/>
      </c>
      <c r="AD6447" s="79" t="str">
        <f>IF(AND(N6447="1521",MONTH(C6447)='BK-NL'!$M$11),"x","")</f>
        <v/>
      </c>
    </row>
    <row r="6448" spans="1:30" ht="16.5" customHeight="1">
      <c r="A6448" s="318" t="str">
        <f>IF(B6448&lt;&gt;"",IF(AND(B6448='IN-TC'!$S$4,OR(TH!N6448="1111",TH!O6448="1111")),TH!D6448,""),"")</f>
        <v/>
      </c>
      <c r="B6448" s="1163" t="str">
        <f t="shared" si="521"/>
        <v/>
      </c>
      <c r="C6448" s="61"/>
      <c r="D6448" s="61"/>
      <c r="E6448" s="61"/>
      <c r="F6448" s="69"/>
      <c r="G6448" s="64"/>
      <c r="H6448" s="925"/>
      <c r="I6448" s="385"/>
      <c r="J6448" s="392"/>
      <c r="K6448" s="385"/>
      <c r="L6448" s="392"/>
      <c r="M6448" s="62"/>
      <c r="N6448" s="63"/>
      <c r="O6448" s="63"/>
      <c r="P6448" s="79" t="str">
        <f>IF(AND('331-CT'!$E$7=TH!H6448,OR(N6448="331",O6448="331")),"x","")</f>
        <v/>
      </c>
      <c r="Q6448" s="79" t="str">
        <f>IF(AND(B6448='111'!$L$11,OR($N6448=$Q$7,$O6448=$Q$7)),"x","")</f>
        <v/>
      </c>
      <c r="R6448" s="79" t="str">
        <f>IF(AND($N6448=$Q$7,$B6448&lt;'111'!$L$11),"x","")</f>
        <v/>
      </c>
      <c r="S6448" s="79" t="str">
        <f>IF(AND($O6448=$Q$7,$B6448&lt;'111'!$L$11),"x","")</f>
        <v/>
      </c>
      <c r="T6448" s="79" t="str">
        <f>IF(ISERROR(FIND('112'!$M$9,G6448,1)),"",IF((AND(FIND('112'!$M$9,G6448,1)&gt;=1,B6448='112'!$K$9,OR($N6448='112'!$I$6,$O6448='112'!$I$6))),"x",""))</f>
        <v/>
      </c>
      <c r="U6448" s="79" t="str">
        <f>IF(ISERROR(FIND('112'!$M$9,G6448,1)),"",IF((AND(LEFT(G6448,2)=LEFT('112'!$M$9,2),B6448&lt;'112'!$K$9,$N6448='112'!$I$6)),"x",""))</f>
        <v/>
      </c>
      <c r="V6448" s="79" t="str">
        <f>IF(ISERROR(FIND('112'!$M$9,G6448,1)),"",IF((AND(RIGHT(G6448,2)=RIGHT('112'!$M$9,2),B6448&lt;'112'!$K$9,$O6448='112'!$I$6)),"x",""))</f>
        <v/>
      </c>
      <c r="W6448" s="79" t="str">
        <f>IF(AND('341-CT'!$H$9=H6448,OR(LEFT(N6448,3)=$W$7,LEFT(O6448,3)=$W$7)),"x","")</f>
        <v/>
      </c>
      <c r="X6448" s="79" t="str">
        <f>IF(OR(TH!N6448=TH!$X$7,O6448=TH!$X$7),"x","")</f>
        <v/>
      </c>
      <c r="Y6448" s="79" t="str">
        <f>IF(AND(OR(N6448="131",O6448="131"),H6448='131-CT'!$H$9),"x","")</f>
        <v/>
      </c>
      <c r="Z6448" s="79"/>
      <c r="AA6448" s="79" t="str">
        <f>IF(AND(MONTH(E6448)='IN-NX'!$J$5,'IN-NX'!$D$7=D6448),"x","")</f>
        <v/>
      </c>
      <c r="AB6448" s="79" t="str">
        <f>IF(AND(OR(LEFT(TH!N6448,2)="15",LEFT(TH!O6448,2)="15"),LEFT(TH!O6448,3)&lt;&gt;"111",'152-CT'!$J$8=TH!F6448),"x","")</f>
        <v/>
      </c>
      <c r="AC6448" s="79" t="str">
        <f>IF(AND(OR(LEFT(TH!N6448,2)="15",LEFT(TH!O6448,2)="15"),TK!$E$7=TH!F6448),"x","")</f>
        <v/>
      </c>
      <c r="AD6448" s="79" t="str">
        <f>IF(AND(N6448="1521",MONTH(C6448)='BK-NL'!$M$11),"x","")</f>
        <v/>
      </c>
    </row>
    <row r="6449" spans="1:30" ht="16.5" customHeight="1">
      <c r="A6449" s="318" t="str">
        <f>IF(B6449&lt;&gt;"",IF(AND(B6449='IN-TC'!$S$4,OR(TH!N6449="1111",TH!O6449="1111")),TH!D6449,""),"")</f>
        <v/>
      </c>
      <c r="B6449" s="1163" t="str">
        <f t="shared" si="521"/>
        <v/>
      </c>
      <c r="C6449" s="61"/>
      <c r="D6449" s="61"/>
      <c r="E6449" s="61"/>
      <c r="F6449" s="69"/>
      <c r="G6449" s="64"/>
      <c r="H6449" s="321"/>
      <c r="I6449" s="385"/>
      <c r="J6449" s="392"/>
      <c r="K6449" s="385"/>
      <c r="L6449" s="392"/>
      <c r="M6449" s="62"/>
      <c r="N6449" s="63"/>
      <c r="O6449" s="63"/>
      <c r="P6449" s="79" t="str">
        <f>IF(AND('331-CT'!$E$7=TH!H6449,OR(N6449="331",O6449="331")),"x","")</f>
        <v/>
      </c>
      <c r="Q6449" s="79" t="str">
        <f>IF(AND(B6449='111'!$L$11,OR($N6449=$Q$7,$O6449=$Q$7)),"x","")</f>
        <v/>
      </c>
      <c r="R6449" s="79" t="str">
        <f>IF(AND($N6449=$Q$7,$B6449&lt;'111'!$L$11),"x","")</f>
        <v/>
      </c>
      <c r="S6449" s="79" t="str">
        <f>IF(AND($O6449=$Q$7,$B6449&lt;'111'!$L$11),"x","")</f>
        <v/>
      </c>
      <c r="T6449" s="79" t="str">
        <f>IF(ISERROR(FIND('112'!$M$9,G6449,1)),"",IF((AND(FIND('112'!$M$9,G6449,1)&gt;=1,B6449='112'!$K$9,OR($N6449='112'!$I$6,$O6449='112'!$I$6))),"x",""))</f>
        <v/>
      </c>
      <c r="U6449" s="79" t="str">
        <f>IF(ISERROR(FIND('112'!$M$9,G6449,1)),"",IF((AND(LEFT(G6449,2)=LEFT('112'!$M$9,2),B6449&lt;'112'!$K$9,$N6449='112'!$I$6)),"x",""))</f>
        <v/>
      </c>
      <c r="V6449" s="79" t="str">
        <f>IF(ISERROR(FIND('112'!$M$9,G6449,1)),"",IF((AND(RIGHT(G6449,2)=RIGHT('112'!$M$9,2),B6449&lt;'112'!$K$9,$O6449='112'!$I$6)),"x",""))</f>
        <v/>
      </c>
      <c r="W6449" s="79" t="str">
        <f>IF(AND('341-CT'!$H$9=H6449,OR(LEFT(N6449,3)=$W$7,LEFT(O6449,3)=$W$7)),"x","")</f>
        <v/>
      </c>
      <c r="X6449" s="79" t="str">
        <f>IF(OR(TH!N6449=TH!$X$7,O6449=TH!$X$7),"x","")</f>
        <v/>
      </c>
      <c r="Y6449" s="79" t="str">
        <f>IF(AND(OR(N6449="131",O6449="131"),H6449='131-CT'!$H$9),"x","")</f>
        <v/>
      </c>
      <c r="Z6449" s="79"/>
      <c r="AA6449" s="79" t="str">
        <f>IF(AND(MONTH(E6449)='IN-NX'!$J$5,'IN-NX'!$D$7=D6449),"x","")</f>
        <v/>
      </c>
      <c r="AB6449" s="79" t="str">
        <f>IF(AND(OR(LEFT(TH!N6449,2)="15",LEFT(TH!O6449,2)="15"),LEFT(TH!O6449,3)&lt;&gt;"111",'152-CT'!$J$8=TH!F6449),"x","")</f>
        <v/>
      </c>
      <c r="AC6449" s="79" t="str">
        <f>IF(AND(OR(LEFT(TH!N6449,2)="15",LEFT(TH!O6449,2)="15"),TK!$E$7=TH!F6449),"x","")</f>
        <v/>
      </c>
      <c r="AD6449" s="79" t="str">
        <f>IF(AND(N6449="1521",MONTH(C6449)='BK-NL'!$M$11),"x","")</f>
        <v/>
      </c>
    </row>
    <row r="6450" spans="1:30" ht="16.5" customHeight="1">
      <c r="A6450" s="318" t="str">
        <f>IF(B6450&lt;&gt;"",IF(AND(B6450='IN-TC'!$S$4,OR(TH!N6450="1111",TH!O6450="1111")),TH!D6450,""),"")</f>
        <v/>
      </c>
      <c r="B6450" s="1163" t="str">
        <f t="shared" si="521"/>
        <v/>
      </c>
      <c r="C6450" s="61"/>
      <c r="D6450" s="61"/>
      <c r="E6450" s="61"/>
      <c r="F6450" s="69"/>
      <c r="G6450" s="64"/>
      <c r="H6450" s="321"/>
      <c r="I6450" s="385"/>
      <c r="J6450" s="392"/>
      <c r="K6450" s="385"/>
      <c r="L6450" s="392"/>
      <c r="M6450" s="62"/>
      <c r="N6450" s="63"/>
      <c r="O6450" s="63"/>
      <c r="P6450" s="79" t="str">
        <f>IF(AND('331-CT'!$E$7=TH!H6450,OR(N6450="331",O6450="331")),"x","")</f>
        <v/>
      </c>
      <c r="Q6450" s="79" t="str">
        <f>IF(AND(B6450='111'!$L$11,OR($N6450=$Q$7,$O6450=$Q$7)),"x","")</f>
        <v/>
      </c>
      <c r="R6450" s="79" t="str">
        <f>IF(AND($N6450=$Q$7,$B6450&lt;'111'!$L$11),"x","")</f>
        <v/>
      </c>
      <c r="S6450" s="79" t="str">
        <f>IF(AND($O6450=$Q$7,$B6450&lt;'111'!$L$11),"x","")</f>
        <v/>
      </c>
      <c r="T6450" s="79" t="str">
        <f>IF(ISERROR(FIND('112'!$M$9,G6450,1)),"",IF((AND(FIND('112'!$M$9,G6450,1)&gt;=1,B6450='112'!$K$9,OR($N6450='112'!$I$6,$O6450='112'!$I$6))),"x",""))</f>
        <v/>
      </c>
      <c r="U6450" s="79" t="str">
        <f>IF(ISERROR(FIND('112'!$M$9,G6450,1)),"",IF((AND(LEFT(G6450,2)=LEFT('112'!$M$9,2),B6450&lt;'112'!$K$9,$N6450='112'!$I$6)),"x",""))</f>
        <v/>
      </c>
      <c r="V6450" s="79" t="str">
        <f>IF(ISERROR(FIND('112'!$M$9,G6450,1)),"",IF((AND(RIGHT(G6450,2)=RIGHT('112'!$M$9,2),B6450&lt;'112'!$K$9,$O6450='112'!$I$6)),"x",""))</f>
        <v/>
      </c>
      <c r="W6450" s="79" t="str">
        <f>IF(AND('341-CT'!$H$9=H6450,OR(LEFT(N6450,3)=$W$7,LEFT(O6450,3)=$W$7)),"x","")</f>
        <v/>
      </c>
      <c r="X6450" s="79" t="str">
        <f>IF(OR(TH!N6450=TH!$X$7,O6450=TH!$X$7),"x","")</f>
        <v/>
      </c>
      <c r="Y6450" s="79" t="str">
        <f>IF(AND(OR(N6450="131",O6450="131"),H6450='131-CT'!$H$9),"x","")</f>
        <v/>
      </c>
      <c r="Z6450" s="79"/>
      <c r="AA6450" s="79" t="str">
        <f>IF(AND(MONTH(E6450)='IN-NX'!$J$5,'IN-NX'!$D$7=D6450),"x","")</f>
        <v/>
      </c>
      <c r="AB6450" s="79" t="str">
        <f>IF(AND(OR(LEFT(TH!N6450,2)="15",LEFT(TH!O6450,2)="15"),LEFT(TH!O6450,3)&lt;&gt;"111",'152-CT'!$J$8=TH!F6450),"x","")</f>
        <v/>
      </c>
      <c r="AC6450" s="79" t="str">
        <f>IF(AND(OR(LEFT(TH!N6450,2)="15",LEFT(TH!O6450,2)="15"),TK!$E$7=TH!F6450),"x","")</f>
        <v/>
      </c>
      <c r="AD6450" s="79" t="str">
        <f>IF(AND(N6450="1521",MONTH(C6450)='BK-NL'!$M$11),"x","")</f>
        <v/>
      </c>
    </row>
    <row r="6451" spans="1:30" ht="16.5" customHeight="1">
      <c r="A6451" s="318" t="str">
        <f>IF(B6451&lt;&gt;"",IF(AND(B6451='IN-TC'!$S$4,OR(TH!N6451="1111",TH!O6451="1111")),TH!D6451,""),"")</f>
        <v/>
      </c>
      <c r="B6451" s="1163" t="str">
        <f t="shared" si="521"/>
        <v/>
      </c>
      <c r="C6451" s="61"/>
      <c r="D6451" s="61"/>
      <c r="E6451" s="61"/>
      <c r="F6451" s="69"/>
      <c r="G6451" s="64"/>
      <c r="H6451" s="321"/>
      <c r="I6451" s="385"/>
      <c r="J6451" s="392"/>
      <c r="K6451" s="385"/>
      <c r="L6451" s="392"/>
      <c r="M6451" s="62"/>
      <c r="N6451" s="63"/>
      <c r="O6451" s="63"/>
      <c r="P6451" s="79" t="str">
        <f>IF(AND('331-CT'!$E$7=TH!H6451,OR(N6451="331",O6451="331")),"x","")</f>
        <v/>
      </c>
      <c r="Q6451" s="79" t="str">
        <f>IF(AND(B6451='111'!$L$11,OR($N6451=$Q$7,$O6451=$Q$7)),"x","")</f>
        <v/>
      </c>
      <c r="R6451" s="79" t="str">
        <f>IF(AND($N6451=$Q$7,$B6451&lt;'111'!$L$11),"x","")</f>
        <v/>
      </c>
      <c r="S6451" s="79" t="str">
        <f>IF(AND($O6451=$Q$7,$B6451&lt;'111'!$L$11),"x","")</f>
        <v/>
      </c>
      <c r="T6451" s="79" t="str">
        <f>IF(ISERROR(FIND('112'!$M$9,G6451,1)),"",IF((AND(FIND('112'!$M$9,G6451,1)&gt;=1,B6451='112'!$K$9,OR($N6451='112'!$I$6,$O6451='112'!$I$6))),"x",""))</f>
        <v/>
      </c>
      <c r="U6451" s="79" t="str">
        <f>IF(ISERROR(FIND('112'!$M$9,G6451,1)),"",IF((AND(LEFT(G6451,2)=LEFT('112'!$M$9,2),B6451&lt;'112'!$K$9,$N6451='112'!$I$6)),"x",""))</f>
        <v/>
      </c>
      <c r="V6451" s="79" t="str">
        <f>IF(ISERROR(FIND('112'!$M$9,G6451,1)),"",IF((AND(RIGHT(G6451,2)=RIGHT('112'!$M$9,2),B6451&lt;'112'!$K$9,$O6451='112'!$I$6)),"x",""))</f>
        <v/>
      </c>
      <c r="W6451" s="79" t="str">
        <f>IF(AND('341-CT'!$H$9=H6451,OR(LEFT(N6451,3)=$W$7,LEFT(O6451,3)=$W$7)),"x","")</f>
        <v/>
      </c>
      <c r="X6451" s="79" t="str">
        <f>IF(OR(TH!N6451=TH!$X$7,O6451=TH!$X$7),"x","")</f>
        <v/>
      </c>
      <c r="Y6451" s="79" t="str">
        <f>IF(AND(OR(N6451="131",O6451="131"),H6451='131-CT'!$H$9),"x","")</f>
        <v/>
      </c>
      <c r="Z6451" s="79"/>
      <c r="AA6451" s="79" t="str">
        <f>IF(AND(MONTH(E6451)='IN-NX'!$J$5,'IN-NX'!$D$7=D6451),"x","")</f>
        <v/>
      </c>
      <c r="AB6451" s="79" t="str">
        <f>IF(AND(OR(LEFT(TH!N6451,2)="15",LEFT(TH!O6451,2)="15"),LEFT(TH!O6451,3)&lt;&gt;"111",'152-CT'!$J$8=TH!F6451),"x","")</f>
        <v/>
      </c>
      <c r="AC6451" s="79" t="str">
        <f>IF(AND(OR(LEFT(TH!N6451,2)="15",LEFT(TH!O6451,2)="15"),TK!$E$7=TH!F6451),"x","")</f>
        <v/>
      </c>
      <c r="AD6451" s="79" t="str">
        <f>IF(AND(N6451="1521",MONTH(C6451)='BK-NL'!$M$11),"x","")</f>
        <v/>
      </c>
    </row>
    <row r="6452" spans="1:30" ht="16.5" customHeight="1">
      <c r="A6452" s="318" t="str">
        <f>IF(B6452&lt;&gt;"",IF(AND(B6452='IN-TC'!$S$4,OR(TH!N6452="1111",TH!O6452="1111")),TH!D6452,""),"")</f>
        <v/>
      </c>
      <c r="B6452" s="1163" t="str">
        <f t="shared" si="521"/>
        <v/>
      </c>
      <c r="C6452" s="61"/>
      <c r="D6452" s="61"/>
      <c r="E6452" s="61"/>
      <c r="F6452" s="69"/>
      <c r="G6452" s="64"/>
      <c r="H6452" s="321"/>
      <c r="I6452" s="385"/>
      <c r="J6452" s="392"/>
      <c r="K6452" s="385"/>
      <c r="L6452" s="392"/>
      <c r="M6452" s="62"/>
      <c r="N6452" s="63"/>
      <c r="O6452" s="63"/>
      <c r="P6452" s="79" t="str">
        <f>IF(AND('331-CT'!$E$7=TH!H6452,OR(N6452="331",O6452="331")),"x","")</f>
        <v/>
      </c>
      <c r="Q6452" s="79" t="str">
        <f>IF(AND(B6452='111'!$L$11,OR($N6452=$Q$7,$O6452=$Q$7)),"x","")</f>
        <v/>
      </c>
      <c r="R6452" s="79" t="str">
        <f>IF(AND($N6452=$Q$7,$B6452&lt;'111'!$L$11),"x","")</f>
        <v/>
      </c>
      <c r="S6452" s="79" t="str">
        <f>IF(AND($O6452=$Q$7,$B6452&lt;'111'!$L$11),"x","")</f>
        <v/>
      </c>
      <c r="T6452" s="79" t="str">
        <f>IF(ISERROR(FIND('112'!$M$9,G6452,1)),"",IF((AND(FIND('112'!$M$9,G6452,1)&gt;=1,B6452='112'!$K$9,OR($N6452='112'!$I$6,$O6452='112'!$I$6))),"x",""))</f>
        <v/>
      </c>
      <c r="U6452" s="79" t="str">
        <f>IF(ISERROR(FIND('112'!$M$9,G6452,1)),"",IF((AND(LEFT(G6452,2)=LEFT('112'!$M$9,2),B6452&lt;'112'!$K$9,$N6452='112'!$I$6)),"x",""))</f>
        <v/>
      </c>
      <c r="V6452" s="79" t="str">
        <f>IF(ISERROR(FIND('112'!$M$9,G6452,1)),"",IF((AND(RIGHT(G6452,2)=RIGHT('112'!$M$9,2),B6452&lt;'112'!$K$9,$O6452='112'!$I$6)),"x",""))</f>
        <v/>
      </c>
      <c r="W6452" s="79" t="str">
        <f>IF(AND('341-CT'!$H$9=H6452,OR(LEFT(N6452,3)=$W$7,LEFT(O6452,3)=$W$7)),"x","")</f>
        <v/>
      </c>
      <c r="X6452" s="79" t="str">
        <f>IF(OR(TH!N6452=TH!$X$7,O6452=TH!$X$7),"x","")</f>
        <v/>
      </c>
      <c r="Y6452" s="79" t="str">
        <f>IF(AND(OR(N6452="131",O6452="131"),H6452='131-CT'!$H$9),"x","")</f>
        <v/>
      </c>
      <c r="Z6452" s="79"/>
      <c r="AA6452" s="79" t="str">
        <f>IF(AND(MONTH(E6452)='IN-NX'!$J$5,'IN-NX'!$D$7=D6452),"x","")</f>
        <v/>
      </c>
      <c r="AB6452" s="79" t="str">
        <f>IF(AND(OR(LEFT(TH!N6452,2)="15",LEFT(TH!O6452,2)="15"),LEFT(TH!O6452,3)&lt;&gt;"111",'152-CT'!$J$8=TH!F6452),"x","")</f>
        <v/>
      </c>
      <c r="AC6452" s="79" t="str">
        <f>IF(AND(OR(LEFT(TH!N6452,2)="15",LEFT(TH!O6452,2)="15"),TK!$E$7=TH!F6452),"x","")</f>
        <v/>
      </c>
      <c r="AD6452" s="79" t="str">
        <f>IF(AND(N6452="1521",MONTH(C6452)='BK-NL'!$M$11),"x","")</f>
        <v/>
      </c>
    </row>
    <row r="6453" spans="1:30" ht="16.5" customHeight="1">
      <c r="A6453" s="318" t="str">
        <f>IF(B6453&lt;&gt;"",IF(AND(B6453='IN-TC'!$S$4,OR(TH!N6453="1111",TH!O6453="1111")),TH!D6453,""),"")</f>
        <v/>
      </c>
      <c r="B6453" s="1163" t="str">
        <f t="shared" si="521"/>
        <v/>
      </c>
      <c r="C6453" s="61"/>
      <c r="D6453" s="61"/>
      <c r="E6453" s="61"/>
      <c r="F6453" s="69"/>
      <c r="G6453" s="64"/>
      <c r="H6453" s="69"/>
      <c r="I6453" s="385"/>
      <c r="J6453" s="392"/>
      <c r="K6453" s="385"/>
      <c r="L6453" s="392"/>
      <c r="M6453" s="62"/>
      <c r="N6453" s="63"/>
      <c r="O6453" s="63"/>
      <c r="P6453" s="79" t="str">
        <f>IF(AND('331-CT'!$E$7=TH!H6453,OR(N6453="331",O6453="331")),"x","")</f>
        <v/>
      </c>
      <c r="Q6453" s="79" t="str">
        <f>IF(AND(B6453='111'!$L$11,OR($N6453=$Q$7,$O6453=$Q$7)),"x","")</f>
        <v/>
      </c>
      <c r="R6453" s="79" t="str">
        <f>IF(AND($N6453=$Q$7,$B6453&lt;'111'!$L$11),"x","")</f>
        <v/>
      </c>
      <c r="S6453" s="79" t="str">
        <f>IF(AND($O6453=$Q$7,$B6453&lt;'111'!$L$11),"x","")</f>
        <v/>
      </c>
      <c r="T6453" s="79" t="str">
        <f>IF(ISERROR(FIND('112'!$M$9,G6453,1)),"",IF((AND(FIND('112'!$M$9,G6453,1)&gt;=1,B6453='112'!$K$9,OR($N6453='112'!$I$6,$O6453='112'!$I$6))),"x",""))</f>
        <v/>
      </c>
      <c r="U6453" s="79" t="str">
        <f>IF(ISERROR(FIND('112'!$M$9,G6453,1)),"",IF((AND(LEFT(G6453,2)=LEFT('112'!$M$9,2),B6453&lt;'112'!$K$9,$N6453='112'!$I$6)),"x",""))</f>
        <v/>
      </c>
      <c r="V6453" s="79" t="str">
        <f>IF(ISERROR(FIND('112'!$M$9,G6453,1)),"",IF((AND(RIGHT(G6453,2)=RIGHT('112'!$M$9,2),B6453&lt;'112'!$K$9,$O6453='112'!$I$6)),"x",""))</f>
        <v/>
      </c>
      <c r="W6453" s="79" t="str">
        <f>IF(AND('341-CT'!$H$9=H6453,OR(LEFT(N6453,3)=$W$7,LEFT(O6453,3)=$W$7)),"x","")</f>
        <v/>
      </c>
      <c r="X6453" s="79" t="str">
        <f>IF(OR(TH!N6453=TH!$X$7,O6453=TH!$X$7),"x","")</f>
        <v/>
      </c>
      <c r="Y6453" s="79" t="str">
        <f>IF(AND(OR(N6453="131",O6453="131"),H6453='131-CT'!$H$9),"x","")</f>
        <v/>
      </c>
      <c r="Z6453" s="79"/>
      <c r="AA6453" s="79" t="str">
        <f>IF(AND(MONTH(E6453)='IN-NX'!$J$5,'IN-NX'!$D$7=D6453),"x","")</f>
        <v/>
      </c>
      <c r="AB6453" s="79" t="str">
        <f>IF(AND(OR(LEFT(TH!N6453,2)="15",LEFT(TH!O6453,2)="15"),LEFT(TH!O6453,3)&lt;&gt;"111",'152-CT'!$J$8=TH!F6453),"x","")</f>
        <v/>
      </c>
      <c r="AC6453" s="79" t="str">
        <f>IF(AND(OR(LEFT(TH!N6453,2)="15",LEFT(TH!O6453,2)="15"),TK!$E$7=TH!F6453),"x","")</f>
        <v/>
      </c>
      <c r="AD6453" s="79" t="str">
        <f>IF(AND(N6453="1521",MONTH(C6453)='BK-NL'!$M$11),"x","")</f>
        <v/>
      </c>
    </row>
    <row r="6454" spans="1:30" ht="16.5" customHeight="1">
      <c r="A6454" s="318" t="str">
        <f>IF(B6454&lt;&gt;"",IF(AND(B6454='IN-TC'!$S$4,OR(TH!N6454="1111",TH!O6454="1111")),TH!D6454,""),"")</f>
        <v/>
      </c>
      <c r="B6454" s="1163" t="str">
        <f t="shared" si="521"/>
        <v/>
      </c>
      <c r="C6454" s="61"/>
      <c r="D6454" s="61"/>
      <c r="E6454" s="61"/>
      <c r="F6454" s="69"/>
      <c r="G6454" s="64"/>
      <c r="H6454" s="69"/>
      <c r="I6454" s="385"/>
      <c r="J6454" s="392"/>
      <c r="K6454" s="385"/>
      <c r="L6454" s="392"/>
      <c r="M6454" s="62"/>
      <c r="N6454" s="63"/>
      <c r="O6454" s="63"/>
      <c r="P6454" s="79" t="str">
        <f>IF(AND('331-CT'!$E$7=TH!H6454,OR(N6454="331",O6454="331")),"x","")</f>
        <v/>
      </c>
      <c r="Q6454" s="79" t="str">
        <f>IF(AND(B6454='111'!$L$11,OR($N6454=$Q$7,$O6454=$Q$7)),"x","")</f>
        <v/>
      </c>
      <c r="R6454" s="79" t="str">
        <f>IF(AND($N6454=$Q$7,$B6454&lt;'111'!$L$11),"x","")</f>
        <v/>
      </c>
      <c r="S6454" s="79" t="str">
        <f>IF(AND($O6454=$Q$7,$B6454&lt;'111'!$L$11),"x","")</f>
        <v/>
      </c>
      <c r="T6454" s="79" t="str">
        <f>IF(ISERROR(FIND('112'!$M$9,G6454,1)),"",IF((AND(FIND('112'!$M$9,G6454,1)&gt;=1,B6454='112'!$K$9,OR($N6454='112'!$I$6,$O6454='112'!$I$6))),"x",""))</f>
        <v/>
      </c>
      <c r="U6454" s="79" t="str">
        <f>IF(ISERROR(FIND('112'!$M$9,G6454,1)),"",IF((AND(LEFT(G6454,2)=LEFT('112'!$M$9,2),B6454&lt;'112'!$K$9,$N6454='112'!$I$6)),"x",""))</f>
        <v/>
      </c>
      <c r="V6454" s="79" t="str">
        <f>IF(ISERROR(FIND('112'!$M$9,G6454,1)),"",IF((AND(RIGHT(G6454,2)=RIGHT('112'!$M$9,2),B6454&lt;'112'!$K$9,$O6454='112'!$I$6)),"x",""))</f>
        <v/>
      </c>
      <c r="W6454" s="79" t="str">
        <f>IF(AND('341-CT'!$H$9=H6454,OR(LEFT(N6454,3)=$W$7,LEFT(O6454,3)=$W$7)),"x","")</f>
        <v/>
      </c>
      <c r="X6454" s="79" t="str">
        <f>IF(OR(TH!N6454=TH!$X$7,O6454=TH!$X$7),"x","")</f>
        <v/>
      </c>
      <c r="Y6454" s="79" t="str">
        <f>IF(AND(OR(N6454="131",O6454="131"),H6454='131-CT'!$H$9),"x","")</f>
        <v/>
      </c>
      <c r="Z6454" s="79"/>
      <c r="AA6454" s="79" t="str">
        <f>IF(AND(MONTH(E6454)='IN-NX'!$J$5,'IN-NX'!$D$7=D6454),"x","")</f>
        <v/>
      </c>
      <c r="AB6454" s="79" t="str">
        <f>IF(AND(OR(LEFT(TH!N6454,2)="15",LEFT(TH!O6454,2)="15"),LEFT(TH!O6454,3)&lt;&gt;"111",'152-CT'!$J$8=TH!F6454),"x","")</f>
        <v/>
      </c>
      <c r="AC6454" s="79" t="str">
        <f>IF(AND(OR(LEFT(TH!N6454,2)="15",LEFT(TH!O6454,2)="15"),TK!$E$7=TH!F6454),"x","")</f>
        <v/>
      </c>
      <c r="AD6454" s="79" t="str">
        <f>IF(AND(N6454="1521",MONTH(C6454)='BK-NL'!$M$11),"x","")</f>
        <v/>
      </c>
    </row>
    <row r="6455" spans="1:30" ht="16.5" customHeight="1">
      <c r="A6455" s="318" t="str">
        <f>IF(B6455&lt;&gt;"",IF(AND(B6455='IN-TC'!$S$4,OR(TH!N6455="1111",TH!O6455="1111")),TH!D6455,""),"")</f>
        <v/>
      </c>
      <c r="B6455" s="1163" t="str">
        <f t="shared" si="521"/>
        <v/>
      </c>
      <c r="C6455" s="61"/>
      <c r="D6455" s="61"/>
      <c r="E6455" s="61"/>
      <c r="F6455" s="322"/>
      <c r="G6455" s="64"/>
      <c r="H6455" s="321"/>
      <c r="I6455" s="385"/>
      <c r="J6455" s="392"/>
      <c r="K6455" s="385"/>
      <c r="L6455" s="392"/>
      <c r="M6455" s="62"/>
      <c r="N6455" s="63"/>
      <c r="O6455" s="63"/>
      <c r="P6455" s="79" t="str">
        <f>IF(AND('331-CT'!$E$7=TH!H6455,OR(N6455="331",O6455="331")),"x","")</f>
        <v/>
      </c>
      <c r="Q6455" s="79" t="str">
        <f>IF(AND(B6455='111'!$L$11,OR($N6455=$Q$7,$O6455=$Q$7)),"x","")</f>
        <v/>
      </c>
      <c r="R6455" s="79" t="str">
        <f>IF(AND($N6455=$Q$7,$B6455&lt;'111'!$L$11),"x","")</f>
        <v/>
      </c>
      <c r="S6455" s="79" t="str">
        <f>IF(AND($O6455=$Q$7,$B6455&lt;'111'!$L$11),"x","")</f>
        <v/>
      </c>
      <c r="T6455" s="79" t="str">
        <f>IF(ISERROR(FIND('112'!$M$9,G6455,1)),"",IF((AND(FIND('112'!$M$9,G6455,1)&gt;=1,B6455='112'!$K$9,OR($N6455='112'!$I$6,$O6455='112'!$I$6))),"x",""))</f>
        <v/>
      </c>
      <c r="U6455" s="79" t="str">
        <f>IF(ISERROR(FIND('112'!$M$9,G6455,1)),"",IF((AND(LEFT(G6455,2)=LEFT('112'!$M$9,2),B6455&lt;'112'!$K$9,$N6455='112'!$I$6)),"x",""))</f>
        <v/>
      </c>
      <c r="V6455" s="79" t="str">
        <f>IF(ISERROR(FIND('112'!$M$9,G6455,1)),"",IF((AND(RIGHT(G6455,2)=RIGHT('112'!$M$9,2),B6455&lt;'112'!$K$9,$O6455='112'!$I$6)),"x",""))</f>
        <v/>
      </c>
      <c r="W6455" s="79" t="str">
        <f>IF(AND('341-CT'!$H$9=H6455,OR(LEFT(N6455,3)=$W$7,LEFT(O6455,3)=$W$7)),"x","")</f>
        <v/>
      </c>
      <c r="X6455" s="79" t="str">
        <f>IF(OR(TH!N6455=TH!$X$7,O6455=TH!$X$7),"x","")</f>
        <v/>
      </c>
      <c r="Y6455" s="79" t="str">
        <f>IF(AND(OR(N6455="131",O6455="131"),H6455='131-CT'!$H$9),"x","")</f>
        <v/>
      </c>
      <c r="Z6455" s="79"/>
      <c r="AA6455" s="79" t="str">
        <f>IF(AND(MONTH(E6455)='IN-NX'!$J$5,'IN-NX'!$D$7=D6455),"x","")</f>
        <v/>
      </c>
      <c r="AB6455" s="79" t="str">
        <f>IF(AND(OR(LEFT(TH!N6455,2)="15",LEFT(TH!O6455,2)="15"),LEFT(TH!O6455,3)&lt;&gt;"111",'152-CT'!$J$8=TH!F6455),"x","")</f>
        <v/>
      </c>
      <c r="AC6455" s="79" t="str">
        <f>IF(AND(OR(LEFT(TH!N6455,2)="15",LEFT(TH!O6455,2)="15"),TK!$E$7=TH!F6455),"x","")</f>
        <v/>
      </c>
      <c r="AD6455" s="79" t="str">
        <f>IF(AND(N6455="1521",MONTH(C6455)='BK-NL'!$M$11),"x","")</f>
        <v/>
      </c>
    </row>
    <row r="6456" spans="1:30" ht="16.5" customHeight="1">
      <c r="A6456" s="318" t="str">
        <f>IF(B6456&lt;&gt;"",IF(AND(B6456='IN-TC'!$S$4,OR(TH!N6456="1111",TH!O6456="1111")),TH!D6456,""),"")</f>
        <v/>
      </c>
      <c r="B6456" s="1163" t="str">
        <f t="shared" si="521"/>
        <v/>
      </c>
      <c r="C6456" s="61"/>
      <c r="D6456" s="61"/>
      <c r="E6456" s="61"/>
      <c r="F6456" s="69"/>
      <c r="G6456" s="64"/>
      <c r="H6456" s="69"/>
      <c r="I6456" s="385"/>
      <c r="J6456" s="392"/>
      <c r="K6456" s="385"/>
      <c r="L6456" s="392"/>
      <c r="M6456" s="62"/>
      <c r="N6456" s="63"/>
      <c r="O6456" s="63"/>
      <c r="P6456" s="79" t="str">
        <f>IF(AND('331-CT'!$E$7=TH!H6456,OR(N6456="331",O6456="331")),"x","")</f>
        <v/>
      </c>
      <c r="Q6456" s="79" t="str">
        <f>IF(AND(B6456='111'!$L$11,OR($N6456=$Q$7,$O6456=$Q$7)),"x","")</f>
        <v/>
      </c>
      <c r="R6456" s="79" t="str">
        <f>IF(AND($N6456=$Q$7,$B6456&lt;'111'!$L$11),"x","")</f>
        <v/>
      </c>
      <c r="S6456" s="79" t="str">
        <f>IF(AND($O6456=$Q$7,$B6456&lt;'111'!$L$11),"x","")</f>
        <v/>
      </c>
      <c r="T6456" s="79" t="str">
        <f>IF(ISERROR(FIND('112'!$M$9,G6456,1)),"",IF((AND(FIND('112'!$M$9,G6456,1)&gt;=1,B6456='112'!$K$9,OR($N6456='112'!$I$6,$O6456='112'!$I$6))),"x",""))</f>
        <v/>
      </c>
      <c r="U6456" s="79" t="str">
        <f>IF(ISERROR(FIND('112'!$M$9,G6456,1)),"",IF((AND(LEFT(G6456,2)=LEFT('112'!$M$9,2),B6456&lt;'112'!$K$9,$N6456='112'!$I$6)),"x",""))</f>
        <v/>
      </c>
      <c r="V6456" s="79" t="str">
        <f>IF(ISERROR(FIND('112'!$M$9,G6456,1)),"",IF((AND(RIGHT(G6456,2)=RIGHT('112'!$M$9,2),B6456&lt;'112'!$K$9,$O6456='112'!$I$6)),"x",""))</f>
        <v/>
      </c>
      <c r="W6456" s="79" t="str">
        <f>IF(AND('341-CT'!$H$9=H6456,OR(LEFT(N6456,3)=$W$7,LEFT(O6456,3)=$W$7)),"x","")</f>
        <v/>
      </c>
      <c r="X6456" s="79" t="str">
        <f>IF(OR(TH!N6456=TH!$X$7,O6456=TH!$X$7),"x","")</f>
        <v/>
      </c>
      <c r="Y6456" s="79" t="str">
        <f>IF(AND(OR(N6456="131",O6456="131"),H6456='131-CT'!$H$9),"x","")</f>
        <v/>
      </c>
      <c r="Z6456" s="79"/>
      <c r="AA6456" s="79" t="str">
        <f>IF(AND(MONTH(E6456)='IN-NX'!$J$5,'IN-NX'!$D$7=D6456),"x","")</f>
        <v/>
      </c>
      <c r="AB6456" s="79" t="str">
        <f>IF(AND(OR(LEFT(TH!N6456,2)="15",LEFT(TH!O6456,2)="15"),LEFT(TH!O6456,3)&lt;&gt;"111",'152-CT'!$J$8=TH!F6456),"x","")</f>
        <v/>
      </c>
      <c r="AC6456" s="79" t="str">
        <f>IF(AND(OR(LEFT(TH!N6456,2)="15",LEFT(TH!O6456,2)="15"),TK!$E$7=TH!F6456),"x","")</f>
        <v/>
      </c>
      <c r="AD6456" s="79" t="str">
        <f>IF(AND(N6456="1521",MONTH(C6456)='BK-NL'!$M$11),"x","")</f>
        <v/>
      </c>
    </row>
    <row r="6457" spans="1:30" ht="16.5" customHeight="1">
      <c r="A6457" s="318" t="str">
        <f>IF(B6457&lt;&gt;"",IF(AND(B6457='IN-TC'!$S$4,OR(TH!N6457="1111",TH!O6457="1111")),TH!D6457,""),"")</f>
        <v/>
      </c>
      <c r="B6457" s="1163" t="str">
        <f t="shared" si="521"/>
        <v/>
      </c>
      <c r="C6457" s="61"/>
      <c r="D6457" s="61"/>
      <c r="E6457" s="61"/>
      <c r="F6457" s="69"/>
      <c r="G6457" s="64"/>
      <c r="H6457" s="69"/>
      <c r="I6457" s="385"/>
      <c r="J6457" s="392"/>
      <c r="K6457" s="385"/>
      <c r="L6457" s="392"/>
      <c r="M6457" s="62"/>
      <c r="N6457" s="63"/>
      <c r="O6457" s="63"/>
      <c r="P6457" s="79" t="str">
        <f>IF(AND('331-CT'!$E$7=TH!H6457,OR(N6457="331",O6457="331")),"x","")</f>
        <v/>
      </c>
      <c r="Q6457" s="79" t="str">
        <f>IF(AND(B6457='111'!$L$11,OR($N6457=$Q$7,$O6457=$Q$7)),"x","")</f>
        <v/>
      </c>
      <c r="R6457" s="79" t="str">
        <f>IF(AND($N6457=$Q$7,$B6457&lt;'111'!$L$11),"x","")</f>
        <v/>
      </c>
      <c r="S6457" s="79" t="str">
        <f>IF(AND($O6457=$Q$7,$B6457&lt;'111'!$L$11),"x","")</f>
        <v/>
      </c>
      <c r="T6457" s="79" t="str">
        <f>IF(ISERROR(FIND('112'!$M$9,G6457,1)),"",IF((AND(FIND('112'!$M$9,G6457,1)&gt;=1,B6457='112'!$K$9,OR($N6457='112'!$I$6,$O6457='112'!$I$6))),"x",""))</f>
        <v/>
      </c>
      <c r="U6457" s="79" t="str">
        <f>IF(ISERROR(FIND('112'!$M$9,G6457,1)),"",IF((AND(LEFT(G6457,2)=LEFT('112'!$M$9,2),B6457&lt;'112'!$K$9,$N6457='112'!$I$6)),"x",""))</f>
        <v/>
      </c>
      <c r="V6457" s="79" t="str">
        <f>IF(ISERROR(FIND('112'!$M$9,G6457,1)),"",IF((AND(RIGHT(G6457,2)=RIGHT('112'!$M$9,2),B6457&lt;'112'!$K$9,$O6457='112'!$I$6)),"x",""))</f>
        <v/>
      </c>
      <c r="W6457" s="79" t="str">
        <f>IF(AND('341-CT'!$H$9=H6457,OR(LEFT(N6457,3)=$W$7,LEFT(O6457,3)=$W$7)),"x","")</f>
        <v/>
      </c>
      <c r="X6457" s="79" t="str">
        <f>IF(OR(TH!N6457=TH!$X$7,O6457=TH!$X$7),"x","")</f>
        <v/>
      </c>
      <c r="Y6457" s="79" t="str">
        <f>IF(AND(OR(N6457="131",O6457="131"),H6457='131-CT'!$H$9),"x","")</f>
        <v/>
      </c>
      <c r="Z6457" s="79"/>
      <c r="AA6457" s="79" t="str">
        <f>IF(AND(MONTH(E6457)='IN-NX'!$J$5,'IN-NX'!$D$7=D6457),"x","")</f>
        <v/>
      </c>
      <c r="AB6457" s="79" t="str">
        <f>IF(AND(OR(LEFT(TH!N6457,2)="15",LEFT(TH!O6457,2)="15"),LEFT(TH!O6457,3)&lt;&gt;"111",'152-CT'!$J$8=TH!F6457),"x","")</f>
        <v/>
      </c>
      <c r="AC6457" s="79" t="str">
        <f>IF(AND(OR(LEFT(TH!N6457,2)="15",LEFT(TH!O6457,2)="15"),TK!$E$7=TH!F6457),"x","")</f>
        <v/>
      </c>
      <c r="AD6457" s="79" t="str">
        <f>IF(AND(N6457="1521",MONTH(C6457)='BK-NL'!$M$11),"x","")</f>
        <v/>
      </c>
    </row>
    <row r="6458" spans="1:30" ht="16.5" customHeight="1">
      <c r="A6458" s="318" t="str">
        <f>IF(B6458&lt;&gt;"",IF(AND(B6458='IN-TC'!$S$4,OR(TH!N6458="1111",TH!O6458="1111")),TH!D6458,""),"")</f>
        <v/>
      </c>
      <c r="B6458" s="1163" t="str">
        <f t="shared" si="521"/>
        <v/>
      </c>
      <c r="C6458" s="61"/>
      <c r="D6458" s="61"/>
      <c r="E6458" s="61"/>
      <c r="F6458" s="446"/>
      <c r="G6458" s="64"/>
      <c r="H6458" s="69"/>
      <c r="I6458" s="385"/>
      <c r="J6458" s="392"/>
      <c r="K6458" s="385"/>
      <c r="L6458" s="392"/>
      <c r="M6458" s="62"/>
      <c r="N6458" s="63"/>
      <c r="O6458" s="63"/>
      <c r="P6458" s="79" t="str">
        <f>IF(AND('331-CT'!$E$7=TH!H6458,OR(N6458="331",O6458="331")),"x","")</f>
        <v/>
      </c>
      <c r="Q6458" s="79" t="str">
        <f>IF(AND(B6458='111'!$L$11,OR($N6458=$Q$7,$O6458=$Q$7)),"x","")</f>
        <v/>
      </c>
      <c r="R6458" s="79" t="str">
        <f>IF(AND($N6458=$Q$7,$B6458&lt;'111'!$L$11),"x","")</f>
        <v/>
      </c>
      <c r="S6458" s="79" t="str">
        <f>IF(AND($O6458=$Q$7,$B6458&lt;'111'!$L$11),"x","")</f>
        <v/>
      </c>
      <c r="T6458" s="79" t="str">
        <f>IF(ISERROR(FIND('112'!$M$9,G6458,1)),"",IF((AND(FIND('112'!$M$9,G6458,1)&gt;=1,B6458='112'!$K$9,OR($N6458='112'!$I$6,$O6458='112'!$I$6))),"x",""))</f>
        <v/>
      </c>
      <c r="U6458" s="79" t="str">
        <f>IF(ISERROR(FIND('112'!$M$9,G6458,1)),"",IF((AND(LEFT(G6458,2)=LEFT('112'!$M$9,2),B6458&lt;'112'!$K$9,$N6458='112'!$I$6)),"x",""))</f>
        <v/>
      </c>
      <c r="V6458" s="79" t="str">
        <f>IF(ISERROR(FIND('112'!$M$9,G6458,1)),"",IF((AND(RIGHT(G6458,2)=RIGHT('112'!$M$9,2),B6458&lt;'112'!$K$9,$O6458='112'!$I$6)),"x",""))</f>
        <v/>
      </c>
      <c r="W6458" s="79" t="str">
        <f>IF(AND('341-CT'!$H$9=H6458,OR(LEFT(N6458,3)=$W$7,LEFT(O6458,3)=$W$7)),"x","")</f>
        <v/>
      </c>
      <c r="X6458" s="79" t="str">
        <f>IF(OR(TH!N6458=TH!$X$7,O6458=TH!$X$7),"x","")</f>
        <v/>
      </c>
      <c r="Y6458" s="79" t="str">
        <f>IF(AND(OR(N6458="131",O6458="131"),H6458='131-CT'!$H$9),"x","")</f>
        <v/>
      </c>
      <c r="Z6458" s="79"/>
      <c r="AA6458" s="79" t="str">
        <f>IF(AND(MONTH(E6458)='IN-NX'!$J$5,'IN-NX'!$D$7=D6458),"x","")</f>
        <v/>
      </c>
      <c r="AB6458" s="79" t="str">
        <f>IF(AND(OR(LEFT(TH!N6458,2)="15",LEFT(TH!O6458,2)="15"),LEFT(TH!O6458,3)&lt;&gt;"111",'152-CT'!$J$8=TH!F6458),"x","")</f>
        <v/>
      </c>
      <c r="AC6458" s="79" t="str">
        <f>IF(AND(OR(LEFT(TH!N6458,2)="15",LEFT(TH!O6458,2)="15"),TK!$E$7=TH!F6458),"x","")</f>
        <v/>
      </c>
      <c r="AD6458" s="79" t="str">
        <f>IF(AND(N6458="1521",MONTH(C6458)='BK-NL'!$M$11),"x","")</f>
        <v/>
      </c>
    </row>
    <row r="6459" spans="1:30" ht="16.5" customHeight="1">
      <c r="A6459" s="318" t="str">
        <f>IF(B6459&lt;&gt;"",IF(AND(B6459='IN-TC'!$S$4,OR(TH!N6459="1111",TH!O6459="1111")),TH!D6459,""),"")</f>
        <v/>
      </c>
      <c r="B6459" s="1163" t="str">
        <f t="shared" si="521"/>
        <v/>
      </c>
      <c r="C6459" s="61"/>
      <c r="D6459" s="61"/>
      <c r="E6459" s="61"/>
      <c r="F6459" s="69"/>
      <c r="G6459" s="64"/>
      <c r="H6459" s="69"/>
      <c r="I6459" s="385"/>
      <c r="J6459" s="392"/>
      <c r="K6459" s="385"/>
      <c r="L6459" s="392"/>
      <c r="M6459" s="62"/>
      <c r="N6459" s="63"/>
      <c r="O6459" s="63"/>
      <c r="P6459" s="79" t="str">
        <f>IF(AND('331-CT'!$E$7=TH!H6459,OR(N6459="331",O6459="331")),"x","")</f>
        <v/>
      </c>
      <c r="Q6459" s="79" t="str">
        <f>IF(AND(B6459='111'!$L$11,OR($N6459=$Q$7,$O6459=$Q$7)),"x","")</f>
        <v/>
      </c>
      <c r="R6459" s="79" t="str">
        <f>IF(AND($N6459=$Q$7,$B6459&lt;'111'!$L$11),"x","")</f>
        <v/>
      </c>
      <c r="S6459" s="79" t="str">
        <f>IF(AND($O6459=$Q$7,$B6459&lt;'111'!$L$11),"x","")</f>
        <v/>
      </c>
      <c r="T6459" s="79" t="str">
        <f>IF(ISERROR(FIND('112'!$M$9,G6459,1)),"",IF((AND(FIND('112'!$M$9,G6459,1)&gt;=1,B6459='112'!$K$9,OR($N6459='112'!$I$6,$O6459='112'!$I$6))),"x",""))</f>
        <v/>
      </c>
      <c r="U6459" s="79" t="str">
        <f>IF(ISERROR(FIND('112'!$M$9,G6459,1)),"",IF((AND(LEFT(G6459,2)=LEFT('112'!$M$9,2),B6459&lt;'112'!$K$9,$N6459='112'!$I$6)),"x",""))</f>
        <v/>
      </c>
      <c r="V6459" s="79" t="str">
        <f>IF(ISERROR(FIND('112'!$M$9,G6459,1)),"",IF((AND(RIGHT(G6459,2)=RIGHT('112'!$M$9,2),B6459&lt;'112'!$K$9,$O6459='112'!$I$6)),"x",""))</f>
        <v/>
      </c>
      <c r="W6459" s="79" t="str">
        <f>IF(AND('341-CT'!$H$9=H6459,OR(LEFT(N6459,3)=$W$7,LEFT(O6459,3)=$W$7)),"x","")</f>
        <v/>
      </c>
      <c r="X6459" s="79" t="str">
        <f>IF(OR(TH!N6459=TH!$X$7,O6459=TH!$X$7),"x","")</f>
        <v/>
      </c>
      <c r="Y6459" s="79" t="str">
        <f>IF(AND(OR(N6459="131",O6459="131"),H6459='131-CT'!$H$9),"x","")</f>
        <v/>
      </c>
      <c r="Z6459" s="79"/>
      <c r="AA6459" s="79" t="str">
        <f>IF(AND(MONTH(E6459)='IN-NX'!$J$5,'IN-NX'!$D$7=D6459),"x","")</f>
        <v/>
      </c>
      <c r="AB6459" s="79" t="str">
        <f>IF(AND(OR(LEFT(TH!N6459,2)="15",LEFT(TH!O6459,2)="15"),LEFT(TH!O6459,3)&lt;&gt;"111",'152-CT'!$J$8=TH!F6459),"x","")</f>
        <v/>
      </c>
      <c r="AC6459" s="79" t="str">
        <f>IF(AND(OR(LEFT(TH!N6459,2)="15",LEFT(TH!O6459,2)="15"),TK!$E$7=TH!F6459),"x","")</f>
        <v/>
      </c>
      <c r="AD6459" s="79" t="str">
        <f>IF(AND(N6459="1521",MONTH(C6459)='BK-NL'!$M$11),"x","")</f>
        <v/>
      </c>
    </row>
    <row r="6460" spans="1:30" ht="16.5" customHeight="1">
      <c r="A6460" s="318" t="str">
        <f>IF(B6460&lt;&gt;"",IF(AND(B6460='IN-TC'!$S$4,OR(TH!N6460="1111",TH!O6460="1111")),TH!D6460,""),"")</f>
        <v/>
      </c>
      <c r="B6460" s="1163" t="str">
        <f t="shared" si="521"/>
        <v/>
      </c>
      <c r="C6460" s="61"/>
      <c r="D6460" s="61"/>
      <c r="E6460" s="61"/>
      <c r="F6460" s="69"/>
      <c r="G6460" s="766"/>
      <c r="H6460" s="69"/>
      <c r="I6460" s="385"/>
      <c r="J6460" s="392"/>
      <c r="K6460" s="385"/>
      <c r="L6460" s="392"/>
      <c r="M6460" s="62"/>
      <c r="N6460" s="63"/>
      <c r="O6460" s="63"/>
      <c r="P6460" s="79" t="str">
        <f>IF(AND('331-CT'!$E$7=TH!H6460,OR(N6460="331",O6460="331")),"x","")</f>
        <v/>
      </c>
      <c r="Q6460" s="79" t="str">
        <f>IF(AND(B6460='111'!$L$11,OR($N6460=$Q$7,$O6460=$Q$7)),"x","")</f>
        <v/>
      </c>
      <c r="R6460" s="79" t="str">
        <f>IF(AND($N6460=$Q$7,$B6460&lt;'111'!$L$11),"x","")</f>
        <v/>
      </c>
      <c r="S6460" s="79" t="str">
        <f>IF(AND($O6460=$Q$7,$B6460&lt;'111'!$L$11),"x","")</f>
        <v/>
      </c>
      <c r="T6460" s="79" t="str">
        <f>IF(ISERROR(FIND('112'!$M$9,G6460,1)),"",IF((AND(FIND('112'!$M$9,G6460,1)&gt;=1,B6460='112'!$K$9,OR($N6460='112'!$I$6,$O6460='112'!$I$6))),"x",""))</f>
        <v/>
      </c>
      <c r="U6460" s="79" t="str">
        <f>IF(ISERROR(FIND('112'!$M$9,G6460,1)),"",IF((AND(LEFT(G6460,2)=LEFT('112'!$M$9,2),B6460&lt;'112'!$K$9,$N6460='112'!$I$6)),"x",""))</f>
        <v/>
      </c>
      <c r="V6460" s="79" t="str">
        <f>IF(ISERROR(FIND('112'!$M$9,G6460,1)),"",IF((AND(RIGHT(G6460,2)=RIGHT('112'!$M$9,2),B6460&lt;'112'!$K$9,$O6460='112'!$I$6)),"x",""))</f>
        <v/>
      </c>
      <c r="W6460" s="79" t="str">
        <f>IF(AND('341-CT'!$H$9=H6460,OR(LEFT(N6460,3)=$W$7,LEFT(O6460,3)=$W$7)),"x","")</f>
        <v/>
      </c>
      <c r="X6460" s="79" t="str">
        <f>IF(OR(TH!N6460=TH!$X$7,O6460=TH!$X$7),"x","")</f>
        <v/>
      </c>
      <c r="Y6460" s="79" t="str">
        <f>IF(AND(OR(N6460="131",O6460="131"),H6460='131-CT'!$H$9),"x","")</f>
        <v/>
      </c>
      <c r="Z6460" s="79"/>
      <c r="AA6460" s="79" t="str">
        <f>IF(AND(MONTH(E6460)='IN-NX'!$J$5,'IN-NX'!$D$7=D6460),"x","")</f>
        <v/>
      </c>
      <c r="AB6460" s="79" t="str">
        <f>IF(AND(OR(LEFT(TH!N6460,2)="15",LEFT(TH!O6460,2)="15"),LEFT(TH!O6460,3)&lt;&gt;"111",'152-CT'!$J$8=TH!F6460),"x","")</f>
        <v/>
      </c>
      <c r="AC6460" s="79" t="str">
        <f>IF(AND(OR(LEFT(TH!N6460,2)="15",LEFT(TH!O6460,2)="15"),TK!$E$7=TH!F6460),"x","")</f>
        <v/>
      </c>
      <c r="AD6460" s="79" t="str">
        <f>IF(AND(N6460="1521",MONTH(C6460)='BK-NL'!$M$11),"x","")</f>
        <v/>
      </c>
    </row>
    <row r="6461" spans="1:30" ht="16.5" customHeight="1">
      <c r="A6461" s="318" t="str">
        <f>IF(B6461&lt;&gt;"",IF(AND(B6461='IN-TC'!$S$4,OR(TH!N6461="1111",TH!O6461="1111")),TH!D6461,""),"")</f>
        <v/>
      </c>
      <c r="B6461" s="1163" t="str">
        <f t="shared" si="521"/>
        <v/>
      </c>
      <c r="C6461" s="61"/>
      <c r="D6461" s="61"/>
      <c r="E6461" s="61"/>
      <c r="F6461" s="69"/>
      <c r="G6461" s="64"/>
      <c r="H6461" s="69"/>
      <c r="I6461" s="385"/>
      <c r="J6461" s="392"/>
      <c r="K6461" s="385"/>
      <c r="L6461" s="392"/>
      <c r="M6461" s="62"/>
      <c r="N6461" s="63"/>
      <c r="O6461" s="63"/>
      <c r="P6461" s="79" t="str">
        <f>IF(AND('331-CT'!$E$7=TH!H6461,OR(N6461="331",O6461="331")),"x","")</f>
        <v/>
      </c>
      <c r="Q6461" s="79" t="str">
        <f>IF(AND(B6461='111'!$L$11,OR($N6461=$Q$7,$O6461=$Q$7)),"x","")</f>
        <v/>
      </c>
      <c r="R6461" s="79" t="str">
        <f>IF(AND($N6461=$Q$7,$B6461&lt;'111'!$L$11),"x","")</f>
        <v/>
      </c>
      <c r="S6461" s="79" t="str">
        <f>IF(AND($O6461=$Q$7,$B6461&lt;'111'!$L$11),"x","")</f>
        <v/>
      </c>
      <c r="T6461" s="79" t="str">
        <f>IF(ISERROR(FIND('112'!$M$9,G6461,1)),"",IF((AND(FIND('112'!$M$9,G6461,1)&gt;=1,B6461='112'!$K$9,OR($N6461='112'!$I$6,$O6461='112'!$I$6))),"x",""))</f>
        <v/>
      </c>
      <c r="U6461" s="79" t="str">
        <f>IF(ISERROR(FIND('112'!$M$9,G6461,1)),"",IF((AND(LEFT(G6461,2)=LEFT('112'!$M$9,2),B6461&lt;'112'!$K$9,$N6461='112'!$I$6)),"x",""))</f>
        <v/>
      </c>
      <c r="V6461" s="79" t="str">
        <f>IF(ISERROR(FIND('112'!$M$9,G6461,1)),"",IF((AND(RIGHT(G6461,2)=RIGHT('112'!$M$9,2),B6461&lt;'112'!$K$9,$O6461='112'!$I$6)),"x",""))</f>
        <v/>
      </c>
      <c r="W6461" s="79" t="str">
        <f>IF(AND('341-CT'!$H$9=H6461,OR(LEFT(N6461,3)=$W$7,LEFT(O6461,3)=$W$7)),"x","")</f>
        <v/>
      </c>
      <c r="X6461" s="79" t="str">
        <f>IF(OR(TH!N6461=TH!$X$7,O6461=TH!$X$7),"x","")</f>
        <v/>
      </c>
      <c r="Y6461" s="79" t="str">
        <f>IF(AND(OR(N6461="131",O6461="131"),H6461='131-CT'!$H$9),"x","")</f>
        <v/>
      </c>
      <c r="Z6461" s="79"/>
      <c r="AA6461" s="79" t="str">
        <f>IF(AND(MONTH(E6461)='IN-NX'!$J$5,'IN-NX'!$D$7=D6461),"x","")</f>
        <v/>
      </c>
      <c r="AB6461" s="79" t="str">
        <f>IF(AND(OR(LEFT(TH!N6461,2)="15",LEFT(TH!O6461,2)="15"),LEFT(TH!O6461,3)&lt;&gt;"111",'152-CT'!$J$8=TH!F6461),"x","")</f>
        <v/>
      </c>
      <c r="AC6461" s="79" t="str">
        <f>IF(AND(OR(LEFT(TH!N6461,2)="15",LEFT(TH!O6461,2)="15"),TK!$E$7=TH!F6461),"x","")</f>
        <v/>
      </c>
      <c r="AD6461" s="79" t="str">
        <f>IF(AND(N6461="1521",MONTH(C6461)='BK-NL'!$M$11),"x","")</f>
        <v/>
      </c>
    </row>
    <row r="6462" spans="1:30" ht="16.5" customHeight="1">
      <c r="A6462" s="318" t="str">
        <f>IF(B6462&lt;&gt;"",IF(AND(B6462='IN-TC'!$S$4,OR(TH!N6462="1111",TH!O6462="1111")),TH!D6462,""),"")</f>
        <v/>
      </c>
      <c r="B6462" s="1163" t="str">
        <f t="shared" si="521"/>
        <v/>
      </c>
      <c r="C6462" s="61"/>
      <c r="D6462" s="61"/>
      <c r="E6462" s="61"/>
      <c r="F6462" s="69"/>
      <c r="G6462" s="64"/>
      <c r="H6462" s="69"/>
      <c r="I6462" s="385"/>
      <c r="J6462" s="392"/>
      <c r="K6462" s="385"/>
      <c r="L6462" s="392"/>
      <c r="M6462" s="62"/>
      <c r="N6462" s="63"/>
      <c r="O6462" s="63"/>
      <c r="P6462" s="79" t="str">
        <f>IF(AND('331-CT'!$E$7=TH!H6462,OR(N6462="331",O6462="331")),"x","")</f>
        <v/>
      </c>
      <c r="Q6462" s="79" t="str">
        <f>IF(AND(B6462='111'!$L$11,OR($N6462=$Q$7,$O6462=$Q$7)),"x","")</f>
        <v/>
      </c>
      <c r="R6462" s="79" t="str">
        <f>IF(AND($N6462=$Q$7,$B6462&lt;'111'!$L$11),"x","")</f>
        <v/>
      </c>
      <c r="S6462" s="79" t="str">
        <f>IF(AND($O6462=$Q$7,$B6462&lt;'111'!$L$11),"x","")</f>
        <v/>
      </c>
      <c r="T6462" s="79" t="str">
        <f>IF(ISERROR(FIND('112'!$M$9,G6462,1)),"",IF((AND(FIND('112'!$M$9,G6462,1)&gt;=1,B6462='112'!$K$9,OR($N6462='112'!$I$6,$O6462='112'!$I$6))),"x",""))</f>
        <v/>
      </c>
      <c r="U6462" s="79" t="str">
        <f>IF(ISERROR(FIND('112'!$M$9,G6462,1)),"",IF((AND(LEFT(G6462,2)=LEFT('112'!$M$9,2),B6462&lt;'112'!$K$9,$N6462='112'!$I$6)),"x",""))</f>
        <v/>
      </c>
      <c r="V6462" s="79" t="str">
        <f>IF(ISERROR(FIND('112'!$M$9,G6462,1)),"",IF((AND(RIGHT(G6462,2)=RIGHT('112'!$M$9,2),B6462&lt;'112'!$K$9,$O6462='112'!$I$6)),"x",""))</f>
        <v/>
      </c>
      <c r="W6462" s="79" t="str">
        <f>IF(AND('341-CT'!$H$9=H6462,OR(LEFT(N6462,3)=$W$7,LEFT(O6462,3)=$W$7)),"x","")</f>
        <v/>
      </c>
      <c r="X6462" s="79" t="str">
        <f>IF(OR(TH!N6462=TH!$X$7,O6462=TH!$X$7),"x","")</f>
        <v/>
      </c>
      <c r="Y6462" s="79" t="str">
        <f>IF(AND(OR(N6462="131",O6462="131"),H6462='131-CT'!$H$9),"x","")</f>
        <v/>
      </c>
      <c r="Z6462" s="79"/>
      <c r="AA6462" s="79" t="str">
        <f>IF(AND(MONTH(E6462)='IN-NX'!$J$5,'IN-NX'!$D$7=D6462),"x","")</f>
        <v/>
      </c>
      <c r="AB6462" s="79" t="str">
        <f>IF(AND(OR(LEFT(TH!N6462,2)="15",LEFT(TH!O6462,2)="15"),LEFT(TH!O6462,3)&lt;&gt;"111",'152-CT'!$J$8=TH!F6462),"x","")</f>
        <v/>
      </c>
      <c r="AC6462" s="79" t="str">
        <f>IF(AND(OR(LEFT(TH!N6462,2)="15",LEFT(TH!O6462,2)="15"),TK!$E$7=TH!F6462),"x","")</f>
        <v/>
      </c>
      <c r="AD6462" s="79" t="str">
        <f>IF(AND(N6462="1521",MONTH(C6462)='BK-NL'!$M$11),"x","")</f>
        <v/>
      </c>
    </row>
    <row r="6463" spans="1:30" ht="16.5" customHeight="1">
      <c r="A6463" s="318" t="str">
        <f>IF(B6463&lt;&gt;"",IF(AND(B6463='IN-TC'!$S$4,OR(TH!N6463="1111",TH!O6463="1111")),TH!D6463,""),"")</f>
        <v/>
      </c>
      <c r="B6463" s="1163" t="str">
        <f t="shared" si="521"/>
        <v/>
      </c>
      <c r="C6463" s="61"/>
      <c r="D6463" s="61"/>
      <c r="E6463" s="61"/>
      <c r="F6463" s="69"/>
      <c r="G6463" s="64"/>
      <c r="H6463" s="69"/>
      <c r="I6463" s="385"/>
      <c r="J6463" s="392"/>
      <c r="K6463" s="385"/>
      <c r="L6463" s="392"/>
      <c r="M6463" s="62"/>
      <c r="N6463" s="63"/>
      <c r="O6463" s="63"/>
      <c r="P6463" s="79" t="str">
        <f>IF(AND('331-CT'!$E$7=TH!H6463,OR(N6463="331",O6463="331")),"x","")</f>
        <v/>
      </c>
      <c r="Q6463" s="79" t="str">
        <f>IF(AND(B6463='111'!$L$11,OR($N6463=$Q$7,$O6463=$Q$7)),"x","")</f>
        <v/>
      </c>
      <c r="R6463" s="79" t="str">
        <f>IF(AND($N6463=$Q$7,$B6463&lt;'111'!$L$11),"x","")</f>
        <v/>
      </c>
      <c r="S6463" s="79" t="str">
        <f>IF(AND($O6463=$Q$7,$B6463&lt;'111'!$L$11),"x","")</f>
        <v/>
      </c>
      <c r="T6463" s="79" t="str">
        <f>IF(ISERROR(FIND('112'!$M$9,G6463,1)),"",IF((AND(FIND('112'!$M$9,G6463,1)&gt;=1,B6463='112'!$K$9,OR($N6463='112'!$I$6,$O6463='112'!$I$6))),"x",""))</f>
        <v/>
      </c>
      <c r="U6463" s="79" t="str">
        <f>IF(ISERROR(FIND('112'!$M$9,G6463,1)),"",IF((AND(LEFT(G6463,2)=LEFT('112'!$M$9,2),B6463&lt;'112'!$K$9,$N6463='112'!$I$6)),"x",""))</f>
        <v/>
      </c>
      <c r="V6463" s="79" t="str">
        <f>IF(ISERROR(FIND('112'!$M$9,G6463,1)),"",IF((AND(RIGHT(G6463,2)=RIGHT('112'!$M$9,2),B6463&lt;'112'!$K$9,$O6463='112'!$I$6)),"x",""))</f>
        <v/>
      </c>
      <c r="W6463" s="79" t="str">
        <f>IF(AND('341-CT'!$H$9=H6463,OR(LEFT(N6463,3)=$W$7,LEFT(O6463,3)=$W$7)),"x","")</f>
        <v/>
      </c>
      <c r="X6463" s="79" t="str">
        <f>IF(OR(TH!N6463=TH!$X$7,O6463=TH!$X$7),"x","")</f>
        <v/>
      </c>
      <c r="Y6463" s="79" t="str">
        <f>IF(AND(OR(N6463="131",O6463="131"),H6463='131-CT'!$H$9),"x","")</f>
        <v/>
      </c>
      <c r="Z6463" s="79"/>
      <c r="AA6463" s="79" t="str">
        <f>IF(AND(MONTH(E6463)='IN-NX'!$J$5,'IN-NX'!$D$7=D6463),"x","")</f>
        <v/>
      </c>
      <c r="AB6463" s="79" t="str">
        <f>IF(AND(OR(LEFT(TH!N6463,2)="15",LEFT(TH!O6463,2)="15"),LEFT(TH!O6463,3)&lt;&gt;"111",'152-CT'!$J$8=TH!F6463),"x","")</f>
        <v/>
      </c>
      <c r="AC6463" s="79" t="str">
        <f>IF(AND(OR(LEFT(TH!N6463,2)="15",LEFT(TH!O6463,2)="15"),TK!$E$7=TH!F6463),"x","")</f>
        <v/>
      </c>
      <c r="AD6463" s="79" t="str">
        <f>IF(AND(N6463="1521",MONTH(C6463)='BK-NL'!$M$11),"x","")</f>
        <v/>
      </c>
    </row>
    <row r="6464" spans="1:30" ht="16.5" customHeight="1">
      <c r="A6464" s="318" t="str">
        <f>IF(B6464&lt;&gt;"",IF(AND(B6464='IN-TC'!$S$4,OR(TH!N6464="1111",TH!O6464="1111")),TH!D6464,""),"")</f>
        <v/>
      </c>
      <c r="B6464" s="1163" t="str">
        <f t="shared" si="521"/>
        <v/>
      </c>
      <c r="C6464" s="61"/>
      <c r="D6464" s="61"/>
      <c r="E6464" s="61"/>
      <c r="F6464" s="69"/>
      <c r="G6464" s="64"/>
      <c r="H6464" s="69"/>
      <c r="I6464" s="385"/>
      <c r="J6464" s="392"/>
      <c r="K6464" s="385"/>
      <c r="L6464" s="392"/>
      <c r="M6464" s="62"/>
      <c r="N6464" s="63"/>
      <c r="O6464" s="63"/>
      <c r="P6464" s="79" t="str">
        <f>IF(AND('331-CT'!$E$7=TH!H6464,OR(N6464="331",O6464="331")),"x","")</f>
        <v/>
      </c>
      <c r="Q6464" s="79" t="str">
        <f>IF(AND(B6464='111'!$L$11,OR($N6464=$Q$7,$O6464=$Q$7)),"x","")</f>
        <v/>
      </c>
      <c r="R6464" s="79" t="str">
        <f>IF(AND($N6464=$Q$7,$B6464&lt;'111'!$L$11),"x","")</f>
        <v/>
      </c>
      <c r="S6464" s="79" t="str">
        <f>IF(AND($O6464=$Q$7,$B6464&lt;'111'!$L$11),"x","")</f>
        <v/>
      </c>
      <c r="T6464" s="79" t="str">
        <f>IF(ISERROR(FIND('112'!$M$9,G6464,1)),"",IF((AND(FIND('112'!$M$9,G6464,1)&gt;=1,B6464='112'!$K$9,OR($N6464='112'!$I$6,$O6464='112'!$I$6))),"x",""))</f>
        <v/>
      </c>
      <c r="U6464" s="79" t="str">
        <f>IF(ISERROR(FIND('112'!$M$9,G6464,1)),"",IF((AND(LEFT(G6464,2)=LEFT('112'!$M$9,2),B6464&lt;'112'!$K$9,$N6464='112'!$I$6)),"x",""))</f>
        <v/>
      </c>
      <c r="V6464" s="79" t="str">
        <f>IF(ISERROR(FIND('112'!$M$9,G6464,1)),"",IF((AND(RIGHT(G6464,2)=RIGHT('112'!$M$9,2),B6464&lt;'112'!$K$9,$O6464='112'!$I$6)),"x",""))</f>
        <v/>
      </c>
      <c r="W6464" s="79" t="str">
        <f>IF(AND('341-CT'!$H$9=H6464,OR(LEFT(N6464,3)=$W$7,LEFT(O6464,3)=$W$7)),"x","")</f>
        <v/>
      </c>
      <c r="X6464" s="79" t="str">
        <f>IF(OR(TH!N6464=TH!$X$7,O6464=TH!$X$7),"x","")</f>
        <v/>
      </c>
      <c r="Y6464" s="79" t="str">
        <f>IF(AND(OR(N6464="131",O6464="131"),H6464='131-CT'!$H$9),"x","")</f>
        <v/>
      </c>
      <c r="Z6464" s="79"/>
      <c r="AA6464" s="79" t="str">
        <f>IF(AND(MONTH(E6464)='IN-NX'!$J$5,'IN-NX'!$D$7=D6464),"x","")</f>
        <v/>
      </c>
      <c r="AB6464" s="79" t="str">
        <f>IF(AND(OR(LEFT(TH!N6464,2)="15",LEFT(TH!O6464,2)="15"),LEFT(TH!O6464,3)&lt;&gt;"111",'152-CT'!$J$8=TH!F6464),"x","")</f>
        <v/>
      </c>
      <c r="AC6464" s="79" t="str">
        <f>IF(AND(OR(LEFT(TH!N6464,2)="15",LEFT(TH!O6464,2)="15"),TK!$E$7=TH!F6464),"x","")</f>
        <v/>
      </c>
      <c r="AD6464" s="79" t="str">
        <f>IF(AND(N6464="1521",MONTH(C6464)='BK-NL'!$M$11),"x","")</f>
        <v/>
      </c>
    </row>
    <row r="6465" spans="1:30" ht="16.5" customHeight="1">
      <c r="A6465" s="318" t="str">
        <f>IF(B6465&lt;&gt;"",IF(AND(B6465='IN-TC'!$S$4,OR(TH!N6465="1111",TH!O6465="1111")),TH!D6465,""),"")</f>
        <v/>
      </c>
      <c r="B6465" s="1163" t="str">
        <f t="shared" si="521"/>
        <v/>
      </c>
      <c r="C6465" s="61"/>
      <c r="D6465" s="61"/>
      <c r="E6465" s="61"/>
      <c r="F6465" s="69"/>
      <c r="G6465" s="64"/>
      <c r="H6465" s="69"/>
      <c r="I6465" s="385"/>
      <c r="J6465" s="392"/>
      <c r="K6465" s="385"/>
      <c r="L6465" s="392"/>
      <c r="M6465" s="62"/>
      <c r="N6465" s="63"/>
      <c r="O6465" s="63"/>
      <c r="P6465" s="79" t="str">
        <f>IF(AND('331-CT'!$E$7=TH!H6465,OR(N6465="331",O6465="331")),"x","")</f>
        <v/>
      </c>
      <c r="Q6465" s="79" t="str">
        <f>IF(AND(B6465='111'!$L$11,OR($N6465=$Q$7,$O6465=$Q$7)),"x","")</f>
        <v/>
      </c>
      <c r="R6465" s="79" t="str">
        <f>IF(AND($N6465=$Q$7,$B6465&lt;'111'!$L$11),"x","")</f>
        <v/>
      </c>
      <c r="S6465" s="79" t="str">
        <f>IF(AND($O6465=$Q$7,$B6465&lt;'111'!$L$11),"x","")</f>
        <v/>
      </c>
      <c r="T6465" s="79" t="str">
        <f>IF(ISERROR(FIND('112'!$M$9,G6465,1)),"",IF((AND(FIND('112'!$M$9,G6465,1)&gt;=1,B6465='112'!$K$9,OR($N6465='112'!$I$6,$O6465='112'!$I$6))),"x",""))</f>
        <v/>
      </c>
      <c r="U6465" s="79" t="str">
        <f>IF(ISERROR(FIND('112'!$M$9,G6465,1)),"",IF((AND(LEFT(G6465,2)=LEFT('112'!$M$9,2),B6465&lt;'112'!$K$9,$N6465='112'!$I$6)),"x",""))</f>
        <v/>
      </c>
      <c r="V6465" s="79" t="str">
        <f>IF(ISERROR(FIND('112'!$M$9,G6465,1)),"",IF((AND(RIGHT(G6465,2)=RIGHT('112'!$M$9,2),B6465&lt;'112'!$K$9,$O6465='112'!$I$6)),"x",""))</f>
        <v/>
      </c>
      <c r="W6465" s="79" t="str">
        <f>IF(AND('341-CT'!$H$9=H6465,OR(LEFT(N6465,3)=$W$7,LEFT(O6465,3)=$W$7)),"x","")</f>
        <v/>
      </c>
      <c r="X6465" s="79" t="str">
        <f>IF(OR(TH!N6465=TH!$X$7,O6465=TH!$X$7),"x","")</f>
        <v/>
      </c>
      <c r="Y6465" s="79" t="str">
        <f>IF(AND(OR(N6465="131",O6465="131"),H6465='131-CT'!$H$9),"x","")</f>
        <v/>
      </c>
      <c r="Z6465" s="79"/>
      <c r="AA6465" s="79" t="str">
        <f>IF(AND(MONTH(E6465)='IN-NX'!$J$5,'IN-NX'!$D$7=D6465),"x","")</f>
        <v/>
      </c>
      <c r="AB6465" s="79" t="str">
        <f>IF(AND(OR(LEFT(TH!N6465,2)="15",LEFT(TH!O6465,2)="15"),LEFT(TH!O6465,3)&lt;&gt;"111",'152-CT'!$J$8=TH!F6465),"x","")</f>
        <v/>
      </c>
      <c r="AC6465" s="79" t="str">
        <f>IF(AND(OR(LEFT(TH!N6465,2)="15",LEFT(TH!O6465,2)="15"),TK!$E$7=TH!F6465),"x","")</f>
        <v/>
      </c>
      <c r="AD6465" s="79" t="str">
        <f>IF(AND(N6465="1521",MONTH(C6465)='BK-NL'!$M$11),"x","")</f>
        <v/>
      </c>
    </row>
    <row r="6466" spans="1:30" ht="16.5" customHeight="1">
      <c r="A6466" s="318" t="str">
        <f>IF(B6466&lt;&gt;"",IF(AND(B6466='IN-TC'!$S$4,OR(TH!N6466="1111",TH!O6466="1111")),TH!D6466,""),"")</f>
        <v/>
      </c>
      <c r="B6466" s="1163" t="str">
        <f t="shared" si="521"/>
        <v/>
      </c>
      <c r="C6466" s="61"/>
      <c r="D6466" s="61"/>
      <c r="E6466" s="61"/>
      <c r="F6466" s="69"/>
      <c r="G6466" s="64"/>
      <c r="H6466" s="69"/>
      <c r="I6466" s="385"/>
      <c r="J6466" s="392"/>
      <c r="K6466" s="385"/>
      <c r="L6466" s="392"/>
      <c r="M6466" s="62"/>
      <c r="N6466" s="63"/>
      <c r="O6466" s="63"/>
      <c r="P6466" s="79" t="str">
        <f>IF(AND('331-CT'!$E$7=TH!H6466,OR(N6466="331",O6466="331")),"x","")</f>
        <v/>
      </c>
      <c r="Q6466" s="79" t="str">
        <f>IF(AND(B6466='111'!$L$11,OR($N6466=$Q$7,$O6466=$Q$7)),"x","")</f>
        <v/>
      </c>
      <c r="R6466" s="79" t="str">
        <f>IF(AND($N6466=$Q$7,$B6466&lt;'111'!$L$11),"x","")</f>
        <v/>
      </c>
      <c r="S6466" s="79" t="str">
        <f>IF(AND($O6466=$Q$7,$B6466&lt;'111'!$L$11),"x","")</f>
        <v/>
      </c>
      <c r="T6466" s="79" t="str">
        <f>IF(ISERROR(FIND('112'!$M$9,G6466,1)),"",IF((AND(FIND('112'!$M$9,G6466,1)&gt;=1,B6466='112'!$K$9,OR($N6466='112'!$I$6,$O6466='112'!$I$6))),"x",""))</f>
        <v/>
      </c>
      <c r="U6466" s="79" t="str">
        <f>IF(ISERROR(FIND('112'!$M$9,G6466,1)),"",IF((AND(LEFT(G6466,2)=LEFT('112'!$M$9,2),B6466&lt;'112'!$K$9,$N6466='112'!$I$6)),"x",""))</f>
        <v/>
      </c>
      <c r="V6466" s="79" t="str">
        <f>IF(ISERROR(FIND('112'!$M$9,G6466,1)),"",IF((AND(RIGHT(G6466,2)=RIGHT('112'!$M$9,2),B6466&lt;'112'!$K$9,$O6466='112'!$I$6)),"x",""))</f>
        <v/>
      </c>
      <c r="W6466" s="79" t="str">
        <f>IF(AND('341-CT'!$H$9=H6466,OR(LEFT(N6466,3)=$W$7,LEFT(O6466,3)=$W$7)),"x","")</f>
        <v/>
      </c>
      <c r="X6466" s="79" t="str">
        <f>IF(OR(TH!N6466=TH!$X$7,O6466=TH!$X$7),"x","")</f>
        <v/>
      </c>
      <c r="Y6466" s="79" t="str">
        <f>IF(AND(OR(N6466="131",O6466="131"),H6466='131-CT'!$H$9),"x","")</f>
        <v/>
      </c>
      <c r="Z6466" s="79"/>
      <c r="AA6466" s="79" t="str">
        <f>IF(AND(MONTH(E6466)='IN-NX'!$J$5,'IN-NX'!$D$7=D6466),"x","")</f>
        <v/>
      </c>
      <c r="AB6466" s="79" t="str">
        <f>IF(AND(OR(LEFT(TH!N6466,2)="15",LEFT(TH!O6466,2)="15"),LEFT(TH!O6466,3)&lt;&gt;"111",'152-CT'!$J$8=TH!F6466),"x","")</f>
        <v/>
      </c>
      <c r="AC6466" s="79" t="str">
        <f>IF(AND(OR(LEFT(TH!N6466,2)="15",LEFT(TH!O6466,2)="15"),TK!$E$7=TH!F6466),"x","")</f>
        <v/>
      </c>
      <c r="AD6466" s="79" t="str">
        <f>IF(AND(N6466="1521",MONTH(C6466)='BK-NL'!$M$11),"x","")</f>
        <v/>
      </c>
    </row>
    <row r="6467" spans="1:30" ht="16.5" customHeight="1">
      <c r="A6467" s="318" t="str">
        <f>IF(B6467&lt;&gt;"",IF(AND(B6467='IN-TC'!$S$4,OR(TH!N6467="1111",TH!O6467="1111")),TH!D6467,""),"")</f>
        <v/>
      </c>
      <c r="B6467" s="1163" t="str">
        <f t="shared" ref="B6467:B6530" si="522">IF(C6467&lt;&gt;"",MONTH(C6467),"")</f>
        <v/>
      </c>
      <c r="C6467" s="61"/>
      <c r="D6467" s="61"/>
      <c r="E6467" s="61"/>
      <c r="F6467" s="69"/>
      <c r="G6467" s="64"/>
      <c r="H6467" s="321"/>
      <c r="I6467" s="385"/>
      <c r="J6467" s="392"/>
      <c r="K6467" s="385"/>
      <c r="L6467" s="392"/>
      <c r="M6467" s="62"/>
      <c r="N6467" s="63"/>
      <c r="O6467" s="63"/>
      <c r="P6467" s="79" t="str">
        <f>IF(AND('331-CT'!$E$7=TH!H6467,OR(N6467="331",O6467="331")),"x","")</f>
        <v/>
      </c>
      <c r="Q6467" s="79" t="str">
        <f>IF(AND(B6467='111'!$L$11,OR($N6467=$Q$7,$O6467=$Q$7)),"x","")</f>
        <v/>
      </c>
      <c r="R6467" s="79" t="str">
        <f>IF(AND($N6467=$Q$7,$B6467&lt;'111'!$L$11),"x","")</f>
        <v/>
      </c>
      <c r="S6467" s="79" t="str">
        <f>IF(AND($O6467=$Q$7,$B6467&lt;'111'!$L$11),"x","")</f>
        <v/>
      </c>
      <c r="T6467" s="79" t="str">
        <f>IF(ISERROR(FIND('112'!$M$9,G6467,1)),"",IF((AND(FIND('112'!$M$9,G6467,1)&gt;=1,B6467='112'!$K$9,OR($N6467='112'!$I$6,$O6467='112'!$I$6))),"x",""))</f>
        <v/>
      </c>
      <c r="U6467" s="79" t="str">
        <f>IF(ISERROR(FIND('112'!$M$9,G6467,1)),"",IF((AND(LEFT(G6467,2)=LEFT('112'!$M$9,2),B6467&lt;'112'!$K$9,$N6467='112'!$I$6)),"x",""))</f>
        <v/>
      </c>
      <c r="V6467" s="79" t="str">
        <f>IF(ISERROR(FIND('112'!$M$9,G6467,1)),"",IF((AND(RIGHT(G6467,2)=RIGHT('112'!$M$9,2),B6467&lt;'112'!$K$9,$O6467='112'!$I$6)),"x",""))</f>
        <v/>
      </c>
      <c r="W6467" s="79" t="str">
        <f>IF(AND('341-CT'!$H$9=H6467,OR(LEFT(N6467,3)=$W$7,LEFT(O6467,3)=$W$7)),"x","")</f>
        <v/>
      </c>
      <c r="X6467" s="79" t="str">
        <f>IF(OR(TH!N6467=TH!$X$7,O6467=TH!$X$7),"x","")</f>
        <v/>
      </c>
      <c r="Y6467" s="79" t="str">
        <f>IF(AND(OR(N6467="131",O6467="131"),H6467='131-CT'!$H$9),"x","")</f>
        <v/>
      </c>
      <c r="Z6467" s="79"/>
      <c r="AA6467" s="79" t="str">
        <f>IF(AND(MONTH(E6467)='IN-NX'!$J$5,'IN-NX'!$D$7=D6467),"x","")</f>
        <v/>
      </c>
      <c r="AB6467" s="79" t="str">
        <f>IF(AND(OR(LEFT(TH!N6467,2)="15",LEFT(TH!O6467,2)="15"),LEFT(TH!O6467,3)&lt;&gt;"111",'152-CT'!$J$8=TH!F6467),"x","")</f>
        <v/>
      </c>
      <c r="AC6467" s="79" t="str">
        <f>IF(AND(OR(LEFT(TH!N6467,2)="15",LEFT(TH!O6467,2)="15"),TK!$E$7=TH!F6467),"x","")</f>
        <v/>
      </c>
      <c r="AD6467" s="79" t="str">
        <f>IF(AND(N6467="1521",MONTH(C6467)='BK-NL'!$M$11),"x","")</f>
        <v/>
      </c>
    </row>
    <row r="6468" spans="1:30" ht="16.5" customHeight="1">
      <c r="A6468" s="318" t="str">
        <f>IF(B6468&lt;&gt;"",IF(AND(B6468='IN-TC'!$S$4,OR(TH!N6468="1111",TH!O6468="1111")),TH!D6468,""),"")</f>
        <v/>
      </c>
      <c r="B6468" s="1163" t="str">
        <f t="shared" si="522"/>
        <v/>
      </c>
      <c r="C6468" s="61"/>
      <c r="D6468" s="61"/>
      <c r="E6468" s="61"/>
      <c r="F6468" s="69"/>
      <c r="G6468" s="64"/>
      <c r="H6468" s="321"/>
      <c r="I6468" s="385"/>
      <c r="J6468" s="392"/>
      <c r="K6468" s="385"/>
      <c r="L6468" s="392"/>
      <c r="M6468" s="62"/>
      <c r="N6468" s="63"/>
      <c r="O6468" s="63"/>
      <c r="P6468" s="79" t="str">
        <f>IF(AND('331-CT'!$E$7=TH!H6468,OR(N6468="331",O6468="331")),"x","")</f>
        <v/>
      </c>
      <c r="Q6468" s="79" t="str">
        <f>IF(AND(B6468='111'!$L$11,OR($N6468=$Q$7,$O6468=$Q$7)),"x","")</f>
        <v/>
      </c>
      <c r="R6468" s="79" t="str">
        <f>IF(AND($N6468=$Q$7,$B6468&lt;'111'!$L$11),"x","")</f>
        <v/>
      </c>
      <c r="S6468" s="79" t="str">
        <f>IF(AND($O6468=$Q$7,$B6468&lt;'111'!$L$11),"x","")</f>
        <v/>
      </c>
      <c r="T6468" s="79" t="str">
        <f>IF(ISERROR(FIND('112'!$M$9,G6468,1)),"",IF((AND(FIND('112'!$M$9,G6468,1)&gt;=1,B6468='112'!$K$9,OR($N6468='112'!$I$6,$O6468='112'!$I$6))),"x",""))</f>
        <v/>
      </c>
      <c r="U6468" s="79" t="str">
        <f>IF(ISERROR(FIND('112'!$M$9,G6468,1)),"",IF((AND(LEFT(G6468,2)=LEFT('112'!$M$9,2),B6468&lt;'112'!$K$9,$N6468='112'!$I$6)),"x",""))</f>
        <v/>
      </c>
      <c r="V6468" s="79" t="str">
        <f>IF(ISERROR(FIND('112'!$M$9,G6468,1)),"",IF((AND(RIGHT(G6468,2)=RIGHT('112'!$M$9,2),B6468&lt;'112'!$K$9,$O6468='112'!$I$6)),"x",""))</f>
        <v/>
      </c>
      <c r="W6468" s="79" t="str">
        <f>IF(AND('341-CT'!$H$9=H6468,OR(LEFT(N6468,3)=$W$7,LEFT(O6468,3)=$W$7)),"x","")</f>
        <v/>
      </c>
      <c r="X6468" s="79" t="str">
        <f>IF(OR(TH!N6468=TH!$X$7,O6468=TH!$X$7),"x","")</f>
        <v/>
      </c>
      <c r="Y6468" s="79" t="str">
        <f>IF(AND(OR(N6468="131",O6468="131"),H6468='131-CT'!$H$9),"x","")</f>
        <v/>
      </c>
      <c r="Z6468" s="79"/>
      <c r="AA6468" s="79" t="str">
        <f>IF(AND(MONTH(E6468)='IN-NX'!$J$5,'IN-NX'!$D$7=D6468),"x","")</f>
        <v/>
      </c>
      <c r="AB6468" s="79" t="str">
        <f>IF(AND(OR(LEFT(TH!N6468,2)="15",LEFT(TH!O6468,2)="15"),LEFT(TH!O6468,3)&lt;&gt;"111",'152-CT'!$J$8=TH!F6468),"x","")</f>
        <v/>
      </c>
      <c r="AC6468" s="79" t="str">
        <f>IF(AND(OR(LEFT(TH!N6468,2)="15",LEFT(TH!O6468,2)="15"),TK!$E$7=TH!F6468),"x","")</f>
        <v/>
      </c>
      <c r="AD6468" s="79" t="str">
        <f>IF(AND(N6468="1521",MONTH(C6468)='BK-NL'!$M$11),"x","")</f>
        <v/>
      </c>
    </row>
    <row r="6469" spans="1:30" ht="16.5" customHeight="1">
      <c r="A6469" s="318" t="str">
        <f>IF(B6469&lt;&gt;"",IF(AND(B6469='IN-TC'!$S$4,OR(TH!N6469="1111",TH!O6469="1111")),TH!D6469,""),"")</f>
        <v/>
      </c>
      <c r="B6469" s="1163" t="str">
        <f t="shared" si="522"/>
        <v/>
      </c>
      <c r="C6469" s="61"/>
      <c r="D6469" s="61"/>
      <c r="E6469" s="61"/>
      <c r="F6469" s="69"/>
      <c r="G6469" s="64"/>
      <c r="H6469" s="321"/>
      <c r="I6469" s="385"/>
      <c r="J6469" s="392"/>
      <c r="K6469" s="385"/>
      <c r="L6469" s="392"/>
      <c r="M6469" s="62"/>
      <c r="N6469" s="63"/>
      <c r="O6469" s="63"/>
      <c r="P6469" s="79" t="str">
        <f>IF(AND('331-CT'!$E$7=TH!H6469,OR(N6469="331",O6469="331")),"x","")</f>
        <v/>
      </c>
      <c r="Q6469" s="79" t="str">
        <f>IF(AND(B6469='111'!$L$11,OR($N6469=$Q$7,$O6469=$Q$7)),"x","")</f>
        <v/>
      </c>
      <c r="R6469" s="79" t="str">
        <f>IF(AND($N6469=$Q$7,$B6469&lt;'111'!$L$11),"x","")</f>
        <v/>
      </c>
      <c r="S6469" s="79" t="str">
        <f>IF(AND($O6469=$Q$7,$B6469&lt;'111'!$L$11),"x","")</f>
        <v/>
      </c>
      <c r="T6469" s="79" t="str">
        <f>IF(ISERROR(FIND('112'!$M$9,G6469,1)),"",IF((AND(FIND('112'!$M$9,G6469,1)&gt;=1,B6469='112'!$K$9,OR($N6469='112'!$I$6,$O6469='112'!$I$6))),"x",""))</f>
        <v/>
      </c>
      <c r="U6469" s="79" t="str">
        <f>IF(ISERROR(FIND('112'!$M$9,G6469,1)),"",IF((AND(LEFT(G6469,2)=LEFT('112'!$M$9,2),B6469&lt;'112'!$K$9,$N6469='112'!$I$6)),"x",""))</f>
        <v/>
      </c>
      <c r="V6469" s="79" t="str">
        <f>IF(ISERROR(FIND('112'!$M$9,G6469,1)),"",IF((AND(RIGHT(G6469,2)=RIGHT('112'!$M$9,2),B6469&lt;'112'!$K$9,$O6469='112'!$I$6)),"x",""))</f>
        <v/>
      </c>
      <c r="W6469" s="79" t="str">
        <f>IF(AND('341-CT'!$H$9=H6469,OR(LEFT(N6469,3)=$W$7,LEFT(O6469,3)=$W$7)),"x","")</f>
        <v/>
      </c>
      <c r="X6469" s="79" t="str">
        <f>IF(OR(TH!N6469=TH!$X$7,O6469=TH!$X$7),"x","")</f>
        <v/>
      </c>
      <c r="Y6469" s="79" t="str">
        <f>IF(AND(OR(N6469="131",O6469="131"),H6469='131-CT'!$H$9),"x","")</f>
        <v/>
      </c>
      <c r="Z6469" s="79"/>
      <c r="AA6469" s="79" t="str">
        <f>IF(AND(MONTH(E6469)='IN-NX'!$J$5,'IN-NX'!$D$7=D6469),"x","")</f>
        <v/>
      </c>
      <c r="AB6469" s="79" t="str">
        <f>IF(AND(OR(LEFT(TH!N6469,2)="15",LEFT(TH!O6469,2)="15"),LEFT(TH!O6469,3)&lt;&gt;"111",'152-CT'!$J$8=TH!F6469),"x","")</f>
        <v/>
      </c>
      <c r="AC6469" s="79" t="str">
        <f>IF(AND(OR(LEFT(TH!N6469,2)="15",LEFT(TH!O6469,2)="15"),TK!$E$7=TH!F6469),"x","")</f>
        <v/>
      </c>
      <c r="AD6469" s="79" t="str">
        <f>IF(AND(N6469="1521",MONTH(C6469)='BK-NL'!$M$11),"x","")</f>
        <v/>
      </c>
    </row>
    <row r="6470" spans="1:30" ht="16.5" customHeight="1">
      <c r="A6470" s="318" t="str">
        <f>IF(B6470&lt;&gt;"",IF(AND(B6470='IN-TC'!$S$4,OR(TH!N6470="1111",TH!O6470="1111")),TH!D6470,""),"")</f>
        <v/>
      </c>
      <c r="B6470" s="1163" t="str">
        <f t="shared" si="522"/>
        <v/>
      </c>
      <c r="C6470" s="61"/>
      <c r="D6470" s="61"/>
      <c r="E6470" s="61"/>
      <c r="F6470" s="69"/>
      <c r="G6470" s="64"/>
      <c r="H6470" s="321"/>
      <c r="I6470" s="385"/>
      <c r="J6470" s="392"/>
      <c r="K6470" s="385"/>
      <c r="L6470" s="392"/>
      <c r="M6470" s="62"/>
      <c r="N6470" s="63"/>
      <c r="O6470" s="63"/>
      <c r="P6470" s="79" t="str">
        <f>IF(AND('331-CT'!$E$7=TH!H6470,OR(N6470="331",O6470="331")),"x","")</f>
        <v/>
      </c>
      <c r="Q6470" s="79" t="str">
        <f>IF(AND(B6470='111'!$L$11,OR($N6470=$Q$7,$O6470=$Q$7)),"x","")</f>
        <v/>
      </c>
      <c r="R6470" s="79" t="str">
        <f>IF(AND($N6470=$Q$7,$B6470&lt;'111'!$L$11),"x","")</f>
        <v/>
      </c>
      <c r="S6470" s="79" t="str">
        <f>IF(AND($O6470=$Q$7,$B6470&lt;'111'!$L$11),"x","")</f>
        <v/>
      </c>
      <c r="T6470" s="79" t="str">
        <f>IF(ISERROR(FIND('112'!$M$9,G6470,1)),"",IF((AND(FIND('112'!$M$9,G6470,1)&gt;=1,B6470='112'!$K$9,OR($N6470='112'!$I$6,$O6470='112'!$I$6))),"x",""))</f>
        <v/>
      </c>
      <c r="U6470" s="79" t="str">
        <f>IF(ISERROR(FIND('112'!$M$9,G6470,1)),"",IF((AND(LEFT(G6470,2)=LEFT('112'!$M$9,2),B6470&lt;'112'!$K$9,$N6470='112'!$I$6)),"x",""))</f>
        <v/>
      </c>
      <c r="V6470" s="79" t="str">
        <f>IF(ISERROR(FIND('112'!$M$9,G6470,1)),"",IF((AND(RIGHT(G6470,2)=RIGHT('112'!$M$9,2),B6470&lt;'112'!$K$9,$O6470='112'!$I$6)),"x",""))</f>
        <v/>
      </c>
      <c r="W6470" s="79" t="str">
        <f>IF(AND('341-CT'!$H$9=H6470,OR(LEFT(N6470,3)=$W$7,LEFT(O6470,3)=$W$7)),"x","")</f>
        <v/>
      </c>
      <c r="X6470" s="79" t="str">
        <f>IF(OR(TH!N6470=TH!$X$7,O6470=TH!$X$7),"x","")</f>
        <v/>
      </c>
      <c r="Y6470" s="79" t="str">
        <f>IF(AND(OR(N6470="131",O6470="131"),H6470='131-CT'!$H$9),"x","")</f>
        <v/>
      </c>
      <c r="Z6470" s="79"/>
      <c r="AA6470" s="79" t="str">
        <f>IF(AND(MONTH(E6470)='IN-NX'!$J$5,'IN-NX'!$D$7=D6470),"x","")</f>
        <v/>
      </c>
      <c r="AB6470" s="79" t="str">
        <f>IF(AND(OR(LEFT(TH!N6470,2)="15",LEFT(TH!O6470,2)="15"),LEFT(TH!O6470,3)&lt;&gt;"111",'152-CT'!$J$8=TH!F6470),"x","")</f>
        <v/>
      </c>
      <c r="AC6470" s="79" t="str">
        <f>IF(AND(OR(LEFT(TH!N6470,2)="15",LEFT(TH!O6470,2)="15"),TK!$E$7=TH!F6470),"x","")</f>
        <v/>
      </c>
      <c r="AD6470" s="79" t="str">
        <f>IF(AND(N6470="1521",MONTH(C6470)='BK-NL'!$M$11),"x","")</f>
        <v/>
      </c>
    </row>
    <row r="6471" spans="1:30" ht="16.5" customHeight="1">
      <c r="A6471" s="318" t="str">
        <f>IF(B6471&lt;&gt;"",IF(AND(B6471='IN-TC'!$S$4,OR(TH!N6471="1111",TH!O6471="1111")),TH!D6471,""),"")</f>
        <v/>
      </c>
      <c r="B6471" s="1163" t="str">
        <f t="shared" si="522"/>
        <v/>
      </c>
      <c r="C6471" s="61"/>
      <c r="D6471" s="61"/>
      <c r="E6471" s="61"/>
      <c r="F6471" s="69"/>
      <c r="G6471" s="64"/>
      <c r="H6471" s="69"/>
      <c r="I6471" s="385"/>
      <c r="J6471" s="392"/>
      <c r="K6471" s="385"/>
      <c r="L6471" s="392"/>
      <c r="M6471" s="62"/>
      <c r="N6471" s="63"/>
      <c r="O6471" s="63"/>
      <c r="P6471" s="79" t="str">
        <f>IF(AND('331-CT'!$E$7=TH!H6471,OR(N6471="331",O6471="331")),"x","")</f>
        <v/>
      </c>
      <c r="Q6471" s="79" t="str">
        <f>IF(AND(B6471='111'!$L$11,OR($N6471=$Q$7,$O6471=$Q$7)),"x","")</f>
        <v/>
      </c>
      <c r="R6471" s="79" t="str">
        <f>IF(AND($N6471=$Q$7,$B6471&lt;'111'!$L$11),"x","")</f>
        <v/>
      </c>
      <c r="S6471" s="79" t="str">
        <f>IF(AND($O6471=$Q$7,$B6471&lt;'111'!$L$11),"x","")</f>
        <v/>
      </c>
      <c r="T6471" s="79" t="str">
        <f>IF(ISERROR(FIND('112'!$M$9,G6471,1)),"",IF((AND(FIND('112'!$M$9,G6471,1)&gt;=1,B6471='112'!$K$9,OR($N6471='112'!$I$6,$O6471='112'!$I$6))),"x",""))</f>
        <v/>
      </c>
      <c r="U6471" s="79" t="str">
        <f>IF(ISERROR(FIND('112'!$M$9,G6471,1)),"",IF((AND(LEFT(G6471,2)=LEFT('112'!$M$9,2),B6471&lt;'112'!$K$9,$N6471='112'!$I$6)),"x",""))</f>
        <v/>
      </c>
      <c r="V6471" s="79" t="str">
        <f>IF(ISERROR(FIND('112'!$M$9,G6471,1)),"",IF((AND(RIGHT(G6471,2)=RIGHT('112'!$M$9,2),B6471&lt;'112'!$K$9,$O6471='112'!$I$6)),"x",""))</f>
        <v/>
      </c>
      <c r="W6471" s="79" t="str">
        <f>IF(AND('341-CT'!$H$9=H6471,OR(LEFT(N6471,3)=$W$7,LEFT(O6471,3)=$W$7)),"x","")</f>
        <v/>
      </c>
      <c r="X6471" s="79" t="str">
        <f>IF(OR(TH!N6471=TH!$X$7,O6471=TH!$X$7),"x","")</f>
        <v/>
      </c>
      <c r="Y6471" s="79" t="str">
        <f>IF(AND(OR(N6471="131",O6471="131"),H6471='131-CT'!$H$9),"x","")</f>
        <v/>
      </c>
      <c r="Z6471" s="79"/>
      <c r="AA6471" s="79" t="str">
        <f>IF(AND(MONTH(E6471)='IN-NX'!$J$5,'IN-NX'!$D$7=D6471),"x","")</f>
        <v/>
      </c>
      <c r="AB6471" s="79" t="str">
        <f>IF(AND(OR(LEFT(TH!N6471,2)="15",LEFT(TH!O6471,2)="15"),LEFT(TH!O6471,3)&lt;&gt;"111",'152-CT'!$J$8=TH!F6471),"x","")</f>
        <v/>
      </c>
      <c r="AC6471" s="79" t="str">
        <f>IF(AND(OR(LEFT(TH!N6471,2)="15",LEFT(TH!O6471,2)="15"),TK!$E$7=TH!F6471),"x","")</f>
        <v/>
      </c>
      <c r="AD6471" s="79" t="str">
        <f>IF(AND(N6471="1521",MONTH(C6471)='BK-NL'!$M$11),"x","")</f>
        <v/>
      </c>
    </row>
    <row r="6472" spans="1:30" ht="16.5" customHeight="1">
      <c r="A6472" s="318" t="str">
        <f>IF(B6472&lt;&gt;"",IF(AND(B6472='IN-TC'!$S$4,OR(TH!N6472="1111",TH!O6472="1111")),TH!D6472,""),"")</f>
        <v/>
      </c>
      <c r="B6472" s="1163" t="str">
        <f t="shared" si="522"/>
        <v/>
      </c>
      <c r="C6472" s="61"/>
      <c r="D6472" s="61"/>
      <c r="E6472" s="61"/>
      <c r="F6472" s="69"/>
      <c r="G6472" s="64"/>
      <c r="H6472" s="69"/>
      <c r="I6472" s="385"/>
      <c r="J6472" s="392"/>
      <c r="K6472" s="385"/>
      <c r="L6472" s="392"/>
      <c r="M6472" s="62"/>
      <c r="N6472" s="63"/>
      <c r="O6472" s="63"/>
      <c r="P6472" s="79" t="str">
        <f>IF(AND('331-CT'!$E$7=TH!H6472,OR(N6472="331",O6472="331")),"x","")</f>
        <v/>
      </c>
      <c r="Q6472" s="79" t="str">
        <f>IF(AND(B6472='111'!$L$11,OR($N6472=$Q$7,$O6472=$Q$7)),"x","")</f>
        <v/>
      </c>
      <c r="R6472" s="79" t="str">
        <f>IF(AND($N6472=$Q$7,$B6472&lt;'111'!$L$11),"x","")</f>
        <v/>
      </c>
      <c r="S6472" s="79" t="str">
        <f>IF(AND($O6472=$Q$7,$B6472&lt;'111'!$L$11),"x","")</f>
        <v/>
      </c>
      <c r="T6472" s="79" t="str">
        <f>IF(ISERROR(FIND('112'!$M$9,G6472,1)),"",IF((AND(FIND('112'!$M$9,G6472,1)&gt;=1,B6472='112'!$K$9,OR($N6472='112'!$I$6,$O6472='112'!$I$6))),"x",""))</f>
        <v/>
      </c>
      <c r="U6472" s="79" t="str">
        <f>IF(ISERROR(FIND('112'!$M$9,G6472,1)),"",IF((AND(LEFT(G6472,2)=LEFT('112'!$M$9,2),B6472&lt;'112'!$K$9,$N6472='112'!$I$6)),"x",""))</f>
        <v/>
      </c>
      <c r="V6472" s="79" t="str">
        <f>IF(ISERROR(FIND('112'!$M$9,G6472,1)),"",IF((AND(RIGHT(G6472,2)=RIGHT('112'!$M$9,2),B6472&lt;'112'!$K$9,$O6472='112'!$I$6)),"x",""))</f>
        <v/>
      </c>
      <c r="W6472" s="79" t="str">
        <f>IF(AND('341-CT'!$H$9=H6472,OR(LEFT(N6472,3)=$W$7,LEFT(O6472,3)=$W$7)),"x","")</f>
        <v/>
      </c>
      <c r="X6472" s="79" t="str">
        <f>IF(OR(TH!N6472=TH!$X$7,O6472=TH!$X$7),"x","")</f>
        <v/>
      </c>
      <c r="Y6472" s="79" t="str">
        <f>IF(AND(OR(N6472="131",O6472="131"),H6472='131-CT'!$H$9),"x","")</f>
        <v/>
      </c>
      <c r="Z6472" s="79"/>
      <c r="AA6472" s="79" t="str">
        <f>IF(AND(MONTH(E6472)='IN-NX'!$J$5,'IN-NX'!$D$7=D6472),"x","")</f>
        <v/>
      </c>
      <c r="AB6472" s="79" t="str">
        <f>IF(AND(OR(LEFT(TH!N6472,2)="15",LEFT(TH!O6472,2)="15"),LEFT(TH!O6472,3)&lt;&gt;"111",'152-CT'!$J$8=TH!F6472),"x","")</f>
        <v/>
      </c>
      <c r="AC6472" s="79" t="str">
        <f>IF(AND(OR(LEFT(TH!N6472,2)="15",LEFT(TH!O6472,2)="15"),TK!$E$7=TH!F6472),"x","")</f>
        <v/>
      </c>
      <c r="AD6472" s="79" t="str">
        <f>IF(AND(N6472="1521",MONTH(C6472)='BK-NL'!$M$11),"x","")</f>
        <v/>
      </c>
    </row>
    <row r="6473" spans="1:30" ht="16.5" customHeight="1">
      <c r="A6473" s="318" t="str">
        <f>IF(B6473&lt;&gt;"",IF(AND(B6473='IN-TC'!$S$4,OR(TH!N6473="1111",TH!O6473="1111")),TH!D6473,""),"")</f>
        <v/>
      </c>
      <c r="B6473" s="1163" t="str">
        <f t="shared" si="522"/>
        <v/>
      </c>
      <c r="C6473" s="61"/>
      <c r="D6473" s="61"/>
      <c r="E6473" s="61"/>
      <c r="F6473" s="69"/>
      <c r="G6473" s="64"/>
      <c r="H6473" s="69"/>
      <c r="I6473" s="385"/>
      <c r="J6473" s="392"/>
      <c r="K6473" s="385"/>
      <c r="L6473" s="392"/>
      <c r="M6473" s="62"/>
      <c r="N6473" s="63"/>
      <c r="O6473" s="63"/>
      <c r="P6473" s="79" t="str">
        <f>IF(AND('331-CT'!$E$7=TH!H6473,OR(N6473="331",O6473="331")),"x","")</f>
        <v/>
      </c>
      <c r="Q6473" s="79" t="str">
        <f>IF(AND(B6473='111'!$L$11,OR($N6473=$Q$7,$O6473=$Q$7)),"x","")</f>
        <v/>
      </c>
      <c r="R6473" s="79" t="str">
        <f>IF(AND($N6473=$Q$7,$B6473&lt;'111'!$L$11),"x","")</f>
        <v/>
      </c>
      <c r="S6473" s="79" t="str">
        <f>IF(AND($O6473=$Q$7,$B6473&lt;'111'!$L$11),"x","")</f>
        <v/>
      </c>
      <c r="T6473" s="79" t="str">
        <f>IF(ISERROR(FIND('112'!$M$9,G6473,1)),"",IF((AND(FIND('112'!$M$9,G6473,1)&gt;=1,B6473='112'!$K$9,OR($N6473='112'!$I$6,$O6473='112'!$I$6))),"x",""))</f>
        <v/>
      </c>
      <c r="U6473" s="79" t="str">
        <f>IF(ISERROR(FIND('112'!$M$9,G6473,1)),"",IF((AND(LEFT(G6473,2)=LEFT('112'!$M$9,2),B6473&lt;'112'!$K$9,$N6473='112'!$I$6)),"x",""))</f>
        <v/>
      </c>
      <c r="V6473" s="79" t="str">
        <f>IF(ISERROR(FIND('112'!$M$9,G6473,1)),"",IF((AND(RIGHT(G6473,2)=RIGHT('112'!$M$9,2),B6473&lt;'112'!$K$9,$O6473='112'!$I$6)),"x",""))</f>
        <v/>
      </c>
      <c r="W6473" s="79" t="str">
        <f>IF(AND('341-CT'!$H$9=H6473,OR(LEFT(N6473,3)=$W$7,LEFT(O6473,3)=$W$7)),"x","")</f>
        <v/>
      </c>
      <c r="X6473" s="79" t="str">
        <f>IF(OR(TH!N6473=TH!$X$7,O6473=TH!$X$7),"x","")</f>
        <v/>
      </c>
      <c r="Y6473" s="79" t="str">
        <f>IF(AND(OR(N6473="131",O6473="131"),H6473='131-CT'!$H$9),"x","")</f>
        <v/>
      </c>
      <c r="Z6473" s="79"/>
      <c r="AA6473" s="79" t="str">
        <f>IF(AND(MONTH(E6473)='IN-NX'!$J$5,'IN-NX'!$D$7=D6473),"x","")</f>
        <v/>
      </c>
      <c r="AB6473" s="79" t="str">
        <f>IF(AND(OR(LEFT(TH!N6473,2)="15",LEFT(TH!O6473,2)="15"),LEFT(TH!O6473,3)&lt;&gt;"111",'152-CT'!$J$8=TH!F6473),"x","")</f>
        <v/>
      </c>
      <c r="AC6473" s="79" t="str">
        <f>IF(AND(OR(LEFT(TH!N6473,2)="15",LEFT(TH!O6473,2)="15"),TK!$E$7=TH!F6473),"x","")</f>
        <v/>
      </c>
      <c r="AD6473" s="79" t="str">
        <f>IF(AND(N6473="1521",MONTH(C6473)='BK-NL'!$M$11),"x","")</f>
        <v/>
      </c>
    </row>
    <row r="6474" spans="1:30" ht="16.5" customHeight="1">
      <c r="A6474" s="318" t="str">
        <f>IF(B6474&lt;&gt;"",IF(AND(B6474='IN-TC'!$S$4,OR(TH!N6474="1111",TH!O6474="1111")),TH!D6474,""),"")</f>
        <v/>
      </c>
      <c r="B6474" s="1163" t="str">
        <f t="shared" si="522"/>
        <v/>
      </c>
      <c r="C6474" s="61"/>
      <c r="D6474" s="61"/>
      <c r="E6474" s="61"/>
      <c r="F6474" s="446"/>
      <c r="G6474" s="64"/>
      <c r="H6474" s="69"/>
      <c r="I6474" s="385"/>
      <c r="J6474" s="392"/>
      <c r="K6474" s="385"/>
      <c r="L6474" s="392"/>
      <c r="M6474" s="62"/>
      <c r="N6474" s="63"/>
      <c r="O6474" s="63"/>
      <c r="P6474" s="79" t="str">
        <f>IF(AND('331-CT'!$E$7=TH!H6474,OR(N6474="331",O6474="331")),"x","")</f>
        <v/>
      </c>
      <c r="Q6474" s="79" t="str">
        <f>IF(AND(B6474='111'!$L$11,OR($N6474=$Q$7,$O6474=$Q$7)),"x","")</f>
        <v/>
      </c>
      <c r="R6474" s="79" t="str">
        <f>IF(AND($N6474=$Q$7,$B6474&lt;'111'!$L$11),"x","")</f>
        <v/>
      </c>
      <c r="S6474" s="79" t="str">
        <f>IF(AND($O6474=$Q$7,$B6474&lt;'111'!$L$11),"x","")</f>
        <v/>
      </c>
      <c r="T6474" s="79" t="str">
        <f>IF(ISERROR(FIND('112'!$M$9,G6474,1)),"",IF((AND(FIND('112'!$M$9,G6474,1)&gt;=1,B6474='112'!$K$9,OR($N6474='112'!$I$6,$O6474='112'!$I$6))),"x",""))</f>
        <v/>
      </c>
      <c r="U6474" s="79" t="str">
        <f>IF(ISERROR(FIND('112'!$M$9,G6474,1)),"",IF((AND(LEFT(G6474,2)=LEFT('112'!$M$9,2),B6474&lt;'112'!$K$9,$N6474='112'!$I$6)),"x",""))</f>
        <v/>
      </c>
      <c r="V6474" s="79" t="str">
        <f>IF(ISERROR(FIND('112'!$M$9,G6474,1)),"",IF((AND(RIGHT(G6474,2)=RIGHT('112'!$M$9,2),B6474&lt;'112'!$K$9,$O6474='112'!$I$6)),"x",""))</f>
        <v/>
      </c>
      <c r="W6474" s="79" t="str">
        <f>IF(AND('341-CT'!$H$9=H6474,OR(LEFT(N6474,3)=$W$7,LEFT(O6474,3)=$W$7)),"x","")</f>
        <v/>
      </c>
      <c r="X6474" s="79" t="str">
        <f>IF(OR(TH!N6474=TH!$X$7,O6474=TH!$X$7),"x","")</f>
        <v/>
      </c>
      <c r="Y6474" s="79" t="str">
        <f>IF(AND(OR(N6474="131",O6474="131"),H6474='131-CT'!$H$9),"x","")</f>
        <v/>
      </c>
      <c r="Z6474" s="79"/>
      <c r="AA6474" s="79" t="str">
        <f>IF(AND(MONTH(E6474)='IN-NX'!$J$5,'IN-NX'!$D$7=D6474),"x","")</f>
        <v/>
      </c>
      <c r="AB6474" s="79" t="str">
        <f>IF(AND(OR(LEFT(TH!N6474,2)="15",LEFT(TH!O6474,2)="15"),LEFT(TH!O6474,3)&lt;&gt;"111",'152-CT'!$J$8=TH!F6474),"x","")</f>
        <v/>
      </c>
      <c r="AC6474" s="79" t="str">
        <f>IF(AND(OR(LEFT(TH!N6474,2)="15",LEFT(TH!O6474,2)="15"),TK!$E$7=TH!F6474),"x","")</f>
        <v/>
      </c>
      <c r="AD6474" s="79" t="str">
        <f>IF(AND(N6474="1521",MONTH(C6474)='BK-NL'!$M$11),"x","")</f>
        <v/>
      </c>
    </row>
    <row r="6475" spans="1:30" ht="16.5" customHeight="1">
      <c r="A6475" s="318" t="str">
        <f>IF(B6475&lt;&gt;"",IF(AND(B6475='IN-TC'!$S$4,OR(TH!N6475="1111",TH!O6475="1111")),TH!D6475,""),"")</f>
        <v/>
      </c>
      <c r="B6475" s="1163" t="str">
        <f t="shared" si="522"/>
        <v/>
      </c>
      <c r="C6475" s="61"/>
      <c r="D6475" s="61"/>
      <c r="E6475" s="61"/>
      <c r="F6475" s="446"/>
      <c r="G6475" s="64"/>
      <c r="H6475" s="69"/>
      <c r="I6475" s="385"/>
      <c r="J6475" s="392"/>
      <c r="K6475" s="385"/>
      <c r="L6475" s="392"/>
      <c r="M6475" s="62"/>
      <c r="N6475" s="63"/>
      <c r="O6475" s="63"/>
      <c r="P6475" s="79" t="str">
        <f>IF(AND('331-CT'!$E$7=TH!H6475,OR(N6475="331",O6475="331")),"x","")</f>
        <v/>
      </c>
      <c r="Q6475" s="79" t="str">
        <f>IF(AND(B6475='111'!$L$11,OR($N6475=$Q$7,$O6475=$Q$7)),"x","")</f>
        <v/>
      </c>
      <c r="R6475" s="79" t="str">
        <f>IF(AND($N6475=$Q$7,$B6475&lt;'111'!$L$11),"x","")</f>
        <v/>
      </c>
      <c r="S6475" s="79" t="str">
        <f>IF(AND($O6475=$Q$7,$B6475&lt;'111'!$L$11),"x","")</f>
        <v/>
      </c>
      <c r="T6475" s="79" t="str">
        <f>IF(ISERROR(FIND('112'!$M$9,G6475,1)),"",IF((AND(FIND('112'!$M$9,G6475,1)&gt;=1,B6475='112'!$K$9,OR($N6475='112'!$I$6,$O6475='112'!$I$6))),"x",""))</f>
        <v/>
      </c>
      <c r="U6475" s="79" t="str">
        <f>IF(ISERROR(FIND('112'!$M$9,G6475,1)),"",IF((AND(LEFT(G6475,2)=LEFT('112'!$M$9,2),B6475&lt;'112'!$K$9,$N6475='112'!$I$6)),"x",""))</f>
        <v/>
      </c>
      <c r="V6475" s="79" t="str">
        <f>IF(ISERROR(FIND('112'!$M$9,G6475,1)),"",IF((AND(RIGHT(G6475,2)=RIGHT('112'!$M$9,2),B6475&lt;'112'!$K$9,$O6475='112'!$I$6)),"x",""))</f>
        <v/>
      </c>
      <c r="W6475" s="79" t="str">
        <f>IF(AND('341-CT'!$H$9=H6475,OR(LEFT(N6475,3)=$W$7,LEFT(O6475,3)=$W$7)),"x","")</f>
        <v/>
      </c>
      <c r="X6475" s="79" t="str">
        <f>IF(OR(TH!N6475=TH!$X$7,O6475=TH!$X$7),"x","")</f>
        <v/>
      </c>
      <c r="Y6475" s="79" t="str">
        <f>IF(AND(OR(N6475="131",O6475="131"),H6475='131-CT'!$H$9),"x","")</f>
        <v/>
      </c>
      <c r="Z6475" s="79"/>
      <c r="AA6475" s="79" t="str">
        <f>IF(AND(MONTH(E6475)='IN-NX'!$J$5,'IN-NX'!$D$7=D6475),"x","")</f>
        <v/>
      </c>
      <c r="AB6475" s="79" t="str">
        <f>IF(AND(OR(LEFT(TH!N6475,2)="15",LEFT(TH!O6475,2)="15"),LEFT(TH!O6475,3)&lt;&gt;"111",'152-CT'!$J$8=TH!F6475),"x","")</f>
        <v/>
      </c>
      <c r="AC6475" s="79" t="str">
        <f>IF(AND(OR(LEFT(TH!N6475,2)="15",LEFT(TH!O6475,2)="15"),TK!$E$7=TH!F6475),"x","")</f>
        <v/>
      </c>
      <c r="AD6475" s="79" t="str">
        <f>IF(AND(N6475="1521",MONTH(C6475)='BK-NL'!$M$11),"x","")</f>
        <v/>
      </c>
    </row>
    <row r="6476" spans="1:30" ht="16.5" customHeight="1">
      <c r="A6476" s="318" t="str">
        <f>IF(B6476&lt;&gt;"",IF(AND(B6476='IN-TC'!$S$4,OR(TH!N6476="1111",TH!O6476="1111")),TH!D6476,""),"")</f>
        <v/>
      </c>
      <c r="B6476" s="1163" t="str">
        <f t="shared" si="522"/>
        <v/>
      </c>
      <c r="C6476" s="61"/>
      <c r="D6476" s="61"/>
      <c r="E6476" s="61"/>
      <c r="F6476" s="69"/>
      <c r="G6476" s="64"/>
      <c r="H6476" s="69"/>
      <c r="I6476" s="385"/>
      <c r="J6476" s="392"/>
      <c r="K6476" s="385"/>
      <c r="L6476" s="392"/>
      <c r="M6476" s="62"/>
      <c r="N6476" s="63"/>
      <c r="O6476" s="63"/>
      <c r="P6476" s="79" t="str">
        <f>IF(AND('331-CT'!$E$7=TH!H6476,OR(N6476="331",O6476="331")),"x","")</f>
        <v/>
      </c>
      <c r="Q6476" s="79" t="str">
        <f>IF(AND(B6476='111'!$L$11,OR($N6476=$Q$7,$O6476=$Q$7)),"x","")</f>
        <v/>
      </c>
      <c r="R6476" s="79" t="str">
        <f>IF(AND($N6476=$Q$7,$B6476&lt;'111'!$L$11),"x","")</f>
        <v/>
      </c>
      <c r="S6476" s="79" t="str">
        <f>IF(AND($O6476=$Q$7,$B6476&lt;'111'!$L$11),"x","")</f>
        <v/>
      </c>
      <c r="T6476" s="79" t="str">
        <f>IF(ISERROR(FIND('112'!$M$9,G6476,1)),"",IF((AND(FIND('112'!$M$9,G6476,1)&gt;=1,B6476='112'!$K$9,OR($N6476='112'!$I$6,$O6476='112'!$I$6))),"x",""))</f>
        <v/>
      </c>
      <c r="U6476" s="79" t="str">
        <f>IF(ISERROR(FIND('112'!$M$9,G6476,1)),"",IF((AND(LEFT(G6476,2)=LEFT('112'!$M$9,2),B6476&lt;'112'!$K$9,$N6476='112'!$I$6)),"x",""))</f>
        <v/>
      </c>
      <c r="V6476" s="79" t="str">
        <f>IF(ISERROR(FIND('112'!$M$9,G6476,1)),"",IF((AND(RIGHT(G6476,2)=RIGHT('112'!$M$9,2),B6476&lt;'112'!$K$9,$O6476='112'!$I$6)),"x",""))</f>
        <v/>
      </c>
      <c r="W6476" s="79" t="str">
        <f>IF(AND('341-CT'!$H$9=H6476,OR(LEFT(N6476,3)=$W$7,LEFT(O6476,3)=$W$7)),"x","")</f>
        <v/>
      </c>
      <c r="X6476" s="79" t="str">
        <f>IF(OR(TH!N6476=TH!$X$7,O6476=TH!$X$7),"x","")</f>
        <v/>
      </c>
      <c r="Y6476" s="79" t="str">
        <f>IF(AND(OR(N6476="131",O6476="131"),H6476='131-CT'!$H$9),"x","")</f>
        <v/>
      </c>
      <c r="Z6476" s="79"/>
      <c r="AA6476" s="79" t="str">
        <f>IF(AND(MONTH(E6476)='IN-NX'!$J$5,'IN-NX'!$D$7=D6476),"x","")</f>
        <v/>
      </c>
      <c r="AB6476" s="79" t="str">
        <f>IF(AND(OR(LEFT(TH!N6476,2)="15",LEFT(TH!O6476,2)="15"),LEFT(TH!O6476,3)&lt;&gt;"111",'152-CT'!$J$8=TH!F6476),"x","")</f>
        <v/>
      </c>
      <c r="AC6476" s="79" t="str">
        <f>IF(AND(OR(LEFT(TH!N6476,2)="15",LEFT(TH!O6476,2)="15"),TK!$E$7=TH!F6476),"x","")</f>
        <v/>
      </c>
      <c r="AD6476" s="79" t="str">
        <f>IF(AND(N6476="1521",MONTH(C6476)='BK-NL'!$M$11),"x","")</f>
        <v/>
      </c>
    </row>
    <row r="6477" spans="1:30" ht="16.5" customHeight="1">
      <c r="A6477" s="318" t="str">
        <f>IF(B6477&lt;&gt;"",IF(AND(B6477='IN-TC'!$S$4,OR(TH!N6477="1111",TH!O6477="1111")),TH!D6477,""),"")</f>
        <v/>
      </c>
      <c r="B6477" s="1163" t="str">
        <f t="shared" si="522"/>
        <v/>
      </c>
      <c r="C6477" s="61"/>
      <c r="D6477" s="61"/>
      <c r="E6477" s="61"/>
      <c r="F6477" s="69"/>
      <c r="G6477" s="64"/>
      <c r="H6477" s="69"/>
      <c r="I6477" s="385"/>
      <c r="J6477" s="392"/>
      <c r="K6477" s="385"/>
      <c r="L6477" s="392"/>
      <c r="M6477" s="62"/>
      <c r="N6477" s="63"/>
      <c r="O6477" s="63"/>
      <c r="P6477" s="79" t="str">
        <f>IF(AND('331-CT'!$E$7=TH!H6477,OR(N6477="331",O6477="331")),"x","")</f>
        <v/>
      </c>
      <c r="Q6477" s="79" t="str">
        <f>IF(AND(B6477='111'!$L$11,OR($N6477=$Q$7,$O6477=$Q$7)),"x","")</f>
        <v/>
      </c>
      <c r="R6477" s="79" t="str">
        <f>IF(AND($N6477=$Q$7,$B6477&lt;'111'!$L$11),"x","")</f>
        <v/>
      </c>
      <c r="S6477" s="79" t="str">
        <f>IF(AND($O6477=$Q$7,$B6477&lt;'111'!$L$11),"x","")</f>
        <v/>
      </c>
      <c r="T6477" s="79" t="str">
        <f>IF(ISERROR(FIND('112'!$M$9,G6477,1)),"",IF((AND(FIND('112'!$M$9,G6477,1)&gt;=1,B6477='112'!$K$9,OR($N6477='112'!$I$6,$O6477='112'!$I$6))),"x",""))</f>
        <v/>
      </c>
      <c r="U6477" s="79" t="str">
        <f>IF(ISERROR(FIND('112'!$M$9,G6477,1)),"",IF((AND(LEFT(G6477,2)=LEFT('112'!$M$9,2),B6477&lt;'112'!$K$9,$N6477='112'!$I$6)),"x",""))</f>
        <v/>
      </c>
      <c r="V6477" s="79" t="str">
        <f>IF(ISERROR(FIND('112'!$M$9,G6477,1)),"",IF((AND(RIGHT(G6477,2)=RIGHT('112'!$M$9,2),B6477&lt;'112'!$K$9,$O6477='112'!$I$6)),"x",""))</f>
        <v/>
      </c>
      <c r="W6477" s="79" t="str">
        <f>IF(AND('341-CT'!$H$9=H6477,OR(LEFT(N6477,3)=$W$7,LEFT(O6477,3)=$W$7)),"x","")</f>
        <v/>
      </c>
      <c r="X6477" s="79" t="str">
        <f>IF(OR(TH!N6477=TH!$X$7,O6477=TH!$X$7),"x","")</f>
        <v/>
      </c>
      <c r="Y6477" s="79" t="str">
        <f>IF(AND(OR(N6477="131",O6477="131"),H6477='131-CT'!$H$9),"x","")</f>
        <v/>
      </c>
      <c r="Z6477" s="79"/>
      <c r="AA6477" s="79" t="str">
        <f>IF(AND(MONTH(E6477)='IN-NX'!$J$5,'IN-NX'!$D$7=D6477),"x","")</f>
        <v/>
      </c>
      <c r="AB6477" s="79" t="str">
        <f>IF(AND(OR(LEFT(TH!N6477,2)="15",LEFT(TH!O6477,2)="15"),LEFT(TH!O6477,3)&lt;&gt;"111",'152-CT'!$J$8=TH!F6477),"x","")</f>
        <v/>
      </c>
      <c r="AC6477" s="79" t="str">
        <f>IF(AND(OR(LEFT(TH!N6477,2)="15",LEFT(TH!O6477,2)="15"),TK!$E$7=TH!F6477),"x","")</f>
        <v/>
      </c>
      <c r="AD6477" s="79" t="str">
        <f>IF(AND(N6477="1521",MONTH(C6477)='BK-NL'!$M$11),"x","")</f>
        <v/>
      </c>
    </row>
    <row r="6478" spans="1:30" ht="16.5" customHeight="1">
      <c r="A6478" s="318" t="str">
        <f>IF(B6478&lt;&gt;"",IF(AND(B6478='IN-TC'!$S$4,OR(TH!N6478="1111",TH!O6478="1111")),TH!D6478,""),"")</f>
        <v/>
      </c>
      <c r="B6478" s="1163" t="str">
        <f t="shared" si="522"/>
        <v/>
      </c>
      <c r="C6478" s="61"/>
      <c r="D6478" s="61"/>
      <c r="E6478" s="61"/>
      <c r="F6478" s="69"/>
      <c r="G6478" s="64"/>
      <c r="H6478" s="69"/>
      <c r="I6478" s="385"/>
      <c r="J6478" s="392"/>
      <c r="K6478" s="385"/>
      <c r="L6478" s="392"/>
      <c r="M6478" s="62"/>
      <c r="N6478" s="63"/>
      <c r="O6478" s="63"/>
      <c r="P6478" s="79" t="str">
        <f>IF(AND('331-CT'!$E$7=TH!H6478,OR(N6478="331",O6478="331")),"x","")</f>
        <v/>
      </c>
      <c r="Q6478" s="79" t="str">
        <f>IF(AND(B6478='111'!$L$11,OR($N6478=$Q$7,$O6478=$Q$7)),"x","")</f>
        <v/>
      </c>
      <c r="R6478" s="79" t="str">
        <f>IF(AND($N6478=$Q$7,$B6478&lt;'111'!$L$11),"x","")</f>
        <v/>
      </c>
      <c r="S6478" s="79" t="str">
        <f>IF(AND($O6478=$Q$7,$B6478&lt;'111'!$L$11),"x","")</f>
        <v/>
      </c>
      <c r="T6478" s="79" t="str">
        <f>IF(ISERROR(FIND('112'!$M$9,G6478,1)),"",IF((AND(FIND('112'!$M$9,G6478,1)&gt;=1,B6478='112'!$K$9,OR($N6478='112'!$I$6,$O6478='112'!$I$6))),"x",""))</f>
        <v/>
      </c>
      <c r="U6478" s="79" t="str">
        <f>IF(ISERROR(FIND('112'!$M$9,G6478,1)),"",IF((AND(LEFT(G6478,2)=LEFT('112'!$M$9,2),B6478&lt;'112'!$K$9,$N6478='112'!$I$6)),"x",""))</f>
        <v/>
      </c>
      <c r="V6478" s="79" t="str">
        <f>IF(ISERROR(FIND('112'!$M$9,G6478,1)),"",IF((AND(RIGHT(G6478,2)=RIGHT('112'!$M$9,2),B6478&lt;'112'!$K$9,$O6478='112'!$I$6)),"x",""))</f>
        <v/>
      </c>
      <c r="W6478" s="79" t="str">
        <f>IF(AND('341-CT'!$H$9=H6478,OR(LEFT(N6478,3)=$W$7,LEFT(O6478,3)=$W$7)),"x","")</f>
        <v/>
      </c>
      <c r="X6478" s="79" t="str">
        <f>IF(OR(TH!N6478=TH!$X$7,O6478=TH!$X$7),"x","")</f>
        <v/>
      </c>
      <c r="Y6478" s="79" t="str">
        <f>IF(AND(OR(N6478="131",O6478="131"),H6478='131-CT'!$H$9),"x","")</f>
        <v/>
      </c>
      <c r="Z6478" s="79"/>
      <c r="AA6478" s="79" t="str">
        <f>IF(AND(MONTH(E6478)='IN-NX'!$J$5,'IN-NX'!$D$7=D6478),"x","")</f>
        <v/>
      </c>
      <c r="AB6478" s="79" t="str">
        <f>IF(AND(OR(LEFT(TH!N6478,2)="15",LEFT(TH!O6478,2)="15"),LEFT(TH!O6478,3)&lt;&gt;"111",'152-CT'!$J$8=TH!F6478),"x","")</f>
        <v/>
      </c>
      <c r="AC6478" s="79" t="str">
        <f>IF(AND(OR(LEFT(TH!N6478,2)="15",LEFT(TH!O6478,2)="15"),TK!$E$7=TH!F6478),"x","")</f>
        <v/>
      </c>
      <c r="AD6478" s="79" t="str">
        <f>IF(AND(N6478="1521",MONTH(C6478)='BK-NL'!$M$11),"x","")</f>
        <v/>
      </c>
    </row>
    <row r="6479" spans="1:30" ht="16.5" customHeight="1">
      <c r="A6479" s="318" t="str">
        <f>IF(B6479&lt;&gt;"",IF(AND(B6479='IN-TC'!$S$4,OR(TH!N6479="1111",TH!O6479="1111")),TH!D6479,""),"")</f>
        <v/>
      </c>
      <c r="B6479" s="1163" t="str">
        <f t="shared" si="522"/>
        <v/>
      </c>
      <c r="C6479" s="61"/>
      <c r="D6479" s="61"/>
      <c r="E6479" s="61"/>
      <c r="F6479" s="69"/>
      <c r="G6479" s="64"/>
      <c r="H6479" s="69"/>
      <c r="I6479" s="385"/>
      <c r="J6479" s="392"/>
      <c r="K6479" s="385"/>
      <c r="L6479" s="392"/>
      <c r="M6479" s="62"/>
      <c r="N6479" s="63"/>
      <c r="O6479" s="63"/>
      <c r="P6479" s="79" t="str">
        <f>IF(AND('331-CT'!$E$7=TH!H6479,OR(N6479="331",O6479="331")),"x","")</f>
        <v/>
      </c>
      <c r="Q6479" s="79" t="str">
        <f>IF(AND(B6479='111'!$L$11,OR($N6479=$Q$7,$O6479=$Q$7)),"x","")</f>
        <v/>
      </c>
      <c r="R6479" s="79" t="str">
        <f>IF(AND($N6479=$Q$7,$B6479&lt;'111'!$L$11),"x","")</f>
        <v/>
      </c>
      <c r="S6479" s="79" t="str">
        <f>IF(AND($O6479=$Q$7,$B6479&lt;'111'!$L$11),"x","")</f>
        <v/>
      </c>
      <c r="T6479" s="79" t="str">
        <f>IF(ISERROR(FIND('112'!$M$9,G6479,1)),"",IF((AND(FIND('112'!$M$9,G6479,1)&gt;=1,B6479='112'!$K$9,OR($N6479='112'!$I$6,$O6479='112'!$I$6))),"x",""))</f>
        <v/>
      </c>
      <c r="U6479" s="79" t="str">
        <f>IF(ISERROR(FIND('112'!$M$9,G6479,1)),"",IF((AND(LEFT(G6479,2)=LEFT('112'!$M$9,2),B6479&lt;'112'!$K$9,$N6479='112'!$I$6)),"x",""))</f>
        <v/>
      </c>
      <c r="V6479" s="79" t="str">
        <f>IF(ISERROR(FIND('112'!$M$9,G6479,1)),"",IF((AND(RIGHT(G6479,2)=RIGHT('112'!$M$9,2),B6479&lt;'112'!$K$9,$O6479='112'!$I$6)),"x",""))</f>
        <v/>
      </c>
      <c r="W6479" s="79" t="str">
        <f>IF(AND('341-CT'!$H$9=H6479,OR(LEFT(N6479,3)=$W$7,LEFT(O6479,3)=$W$7)),"x","")</f>
        <v/>
      </c>
      <c r="X6479" s="79" t="str">
        <f>IF(OR(TH!N6479=TH!$X$7,O6479=TH!$X$7),"x","")</f>
        <v/>
      </c>
      <c r="Y6479" s="79" t="str">
        <f>IF(AND(OR(N6479="131",O6479="131"),H6479='131-CT'!$H$9),"x","")</f>
        <v/>
      </c>
      <c r="Z6479" s="79"/>
      <c r="AA6479" s="79" t="str">
        <f>IF(AND(MONTH(E6479)='IN-NX'!$J$5,'IN-NX'!$D$7=D6479),"x","")</f>
        <v/>
      </c>
      <c r="AB6479" s="79" t="str">
        <f>IF(AND(OR(LEFT(TH!N6479,2)="15",LEFT(TH!O6479,2)="15"),LEFT(TH!O6479,3)&lt;&gt;"111",'152-CT'!$J$8=TH!F6479),"x","")</f>
        <v/>
      </c>
      <c r="AC6479" s="79" t="str">
        <f>IF(AND(OR(LEFT(TH!N6479,2)="15",LEFT(TH!O6479,2)="15"),TK!$E$7=TH!F6479),"x","")</f>
        <v/>
      </c>
      <c r="AD6479" s="79" t="str">
        <f>IF(AND(N6479="1521",MONTH(C6479)='BK-NL'!$M$11),"x","")</f>
        <v/>
      </c>
    </row>
    <row r="6480" spans="1:30" ht="16.5" customHeight="1">
      <c r="A6480" s="318" t="str">
        <f>IF(B6480&lt;&gt;"",IF(AND(B6480='IN-TC'!$S$4,OR(TH!N6480="1111",TH!O6480="1111")),TH!D6480,""),"")</f>
        <v/>
      </c>
      <c r="B6480" s="1163" t="str">
        <f t="shared" si="522"/>
        <v/>
      </c>
      <c r="C6480" s="61"/>
      <c r="D6480" s="61"/>
      <c r="E6480" s="61"/>
      <c r="F6480" s="69"/>
      <c r="G6480" s="64"/>
      <c r="H6480" s="69"/>
      <c r="I6480" s="385"/>
      <c r="J6480" s="392"/>
      <c r="K6480" s="385"/>
      <c r="L6480" s="392"/>
      <c r="M6480" s="62"/>
      <c r="N6480" s="63"/>
      <c r="O6480" s="63"/>
      <c r="P6480" s="79" t="str">
        <f>IF(AND('331-CT'!$E$7=TH!H6480,OR(N6480="331",O6480="331")),"x","")</f>
        <v/>
      </c>
      <c r="Q6480" s="79" t="str">
        <f>IF(AND(B6480='111'!$L$11,OR($N6480=$Q$7,$O6480=$Q$7)),"x","")</f>
        <v/>
      </c>
      <c r="R6480" s="79" t="str">
        <f>IF(AND($N6480=$Q$7,$B6480&lt;'111'!$L$11),"x","")</f>
        <v/>
      </c>
      <c r="S6480" s="79" t="str">
        <f>IF(AND($O6480=$Q$7,$B6480&lt;'111'!$L$11),"x","")</f>
        <v/>
      </c>
      <c r="T6480" s="79" t="str">
        <f>IF(ISERROR(FIND('112'!$M$9,G6480,1)),"",IF((AND(FIND('112'!$M$9,G6480,1)&gt;=1,B6480='112'!$K$9,OR($N6480='112'!$I$6,$O6480='112'!$I$6))),"x",""))</f>
        <v/>
      </c>
      <c r="U6480" s="79" t="str">
        <f>IF(ISERROR(FIND('112'!$M$9,G6480,1)),"",IF((AND(LEFT(G6480,2)=LEFT('112'!$M$9,2),B6480&lt;'112'!$K$9,$N6480='112'!$I$6)),"x",""))</f>
        <v/>
      </c>
      <c r="V6480" s="79" t="str">
        <f>IF(ISERROR(FIND('112'!$M$9,G6480,1)),"",IF((AND(RIGHT(G6480,2)=RIGHT('112'!$M$9,2),B6480&lt;'112'!$K$9,$O6480='112'!$I$6)),"x",""))</f>
        <v/>
      </c>
      <c r="W6480" s="79" t="str">
        <f>IF(AND('341-CT'!$H$9=H6480,OR(LEFT(N6480,3)=$W$7,LEFT(O6480,3)=$W$7)),"x","")</f>
        <v/>
      </c>
      <c r="X6480" s="79" t="str">
        <f>IF(OR(TH!N6480=TH!$X$7,O6480=TH!$X$7),"x","")</f>
        <v/>
      </c>
      <c r="Y6480" s="79" t="str">
        <f>IF(AND(OR(N6480="131",O6480="131"),H6480='131-CT'!$H$9),"x","")</f>
        <v/>
      </c>
      <c r="Z6480" s="79"/>
      <c r="AA6480" s="79" t="str">
        <f>IF(AND(MONTH(E6480)='IN-NX'!$J$5,'IN-NX'!$D$7=D6480),"x","")</f>
        <v/>
      </c>
      <c r="AB6480" s="79" t="str">
        <f>IF(AND(OR(LEFT(TH!N6480,2)="15",LEFT(TH!O6480,2)="15"),LEFT(TH!O6480,3)&lt;&gt;"111",'152-CT'!$J$8=TH!F6480),"x","")</f>
        <v/>
      </c>
      <c r="AC6480" s="79" t="str">
        <f>IF(AND(OR(LEFT(TH!N6480,2)="15",LEFT(TH!O6480,2)="15"),TK!$E$7=TH!F6480),"x","")</f>
        <v/>
      </c>
      <c r="AD6480" s="79" t="str">
        <f>IF(AND(N6480="1521",MONTH(C6480)='BK-NL'!$M$11),"x","")</f>
        <v/>
      </c>
    </row>
    <row r="6481" spans="1:30" ht="16.5" customHeight="1">
      <c r="A6481" s="318" t="str">
        <f>IF(B6481&lt;&gt;"",IF(AND(B6481='IN-TC'!$S$4,OR(TH!N6481="1111",TH!O6481="1111")),TH!D6481,""),"")</f>
        <v/>
      </c>
      <c r="B6481" s="1163" t="str">
        <f t="shared" si="522"/>
        <v/>
      </c>
      <c r="C6481" s="61"/>
      <c r="D6481" s="61"/>
      <c r="E6481" s="61"/>
      <c r="F6481" s="69"/>
      <c r="G6481" s="766"/>
      <c r="H6481" s="69"/>
      <c r="I6481" s="385"/>
      <c r="J6481" s="392"/>
      <c r="K6481" s="385"/>
      <c r="L6481" s="392"/>
      <c r="M6481" s="62"/>
      <c r="N6481" s="63"/>
      <c r="O6481" s="63"/>
      <c r="P6481" s="79" t="str">
        <f>IF(AND('331-CT'!$E$7=TH!H6481,OR(N6481="331",O6481="331")),"x","")</f>
        <v/>
      </c>
      <c r="Q6481" s="79" t="str">
        <f>IF(AND(B6481='111'!$L$11,OR($N6481=$Q$7,$O6481=$Q$7)),"x","")</f>
        <v/>
      </c>
      <c r="R6481" s="79" t="str">
        <f>IF(AND($N6481=$Q$7,$B6481&lt;'111'!$L$11),"x","")</f>
        <v/>
      </c>
      <c r="S6481" s="79" t="str">
        <f>IF(AND($O6481=$Q$7,$B6481&lt;'111'!$L$11),"x","")</f>
        <v/>
      </c>
      <c r="T6481" s="79" t="str">
        <f>IF(ISERROR(FIND('112'!$M$9,G6481,1)),"",IF((AND(FIND('112'!$M$9,G6481,1)&gt;=1,B6481='112'!$K$9,OR($N6481='112'!$I$6,$O6481='112'!$I$6))),"x",""))</f>
        <v/>
      </c>
      <c r="U6481" s="79" t="str">
        <f>IF(ISERROR(FIND('112'!$M$9,G6481,1)),"",IF((AND(LEFT(G6481,2)=LEFT('112'!$M$9,2),B6481&lt;'112'!$K$9,$N6481='112'!$I$6)),"x",""))</f>
        <v/>
      </c>
      <c r="V6481" s="79" t="str">
        <f>IF(ISERROR(FIND('112'!$M$9,G6481,1)),"",IF((AND(RIGHT(G6481,2)=RIGHT('112'!$M$9,2),B6481&lt;'112'!$K$9,$O6481='112'!$I$6)),"x",""))</f>
        <v/>
      </c>
      <c r="W6481" s="79" t="str">
        <f>IF(AND('341-CT'!$H$9=H6481,OR(LEFT(N6481,3)=$W$7,LEFT(O6481,3)=$W$7)),"x","")</f>
        <v/>
      </c>
      <c r="X6481" s="79" t="str">
        <f>IF(OR(TH!N6481=TH!$X$7,O6481=TH!$X$7),"x","")</f>
        <v/>
      </c>
      <c r="Y6481" s="79" t="str">
        <f>IF(AND(OR(N6481="131",O6481="131"),H6481='131-CT'!$H$9),"x","")</f>
        <v/>
      </c>
      <c r="Z6481" s="79"/>
      <c r="AA6481" s="79" t="str">
        <f>IF(AND(MONTH(E6481)='IN-NX'!$J$5,'IN-NX'!$D$7=D6481),"x","")</f>
        <v/>
      </c>
      <c r="AB6481" s="79" t="str">
        <f>IF(AND(OR(LEFT(TH!N6481,2)="15",LEFT(TH!O6481,2)="15"),LEFT(TH!O6481,3)&lt;&gt;"111",'152-CT'!$J$8=TH!F6481),"x","")</f>
        <v/>
      </c>
      <c r="AC6481" s="79" t="str">
        <f>IF(AND(OR(LEFT(TH!N6481,2)="15",LEFT(TH!O6481,2)="15"),TK!$E$7=TH!F6481),"x","")</f>
        <v/>
      </c>
      <c r="AD6481" s="79" t="str">
        <f>IF(AND(N6481="1521",MONTH(C6481)='BK-NL'!$M$11),"x","")</f>
        <v/>
      </c>
    </row>
    <row r="6482" spans="1:30" ht="16.5" customHeight="1">
      <c r="A6482" s="318" t="str">
        <f>IF(B6482&lt;&gt;"",IF(AND(B6482='IN-TC'!$S$4,OR(TH!N6482="1111",TH!O6482="1111")),TH!D6482,""),"")</f>
        <v/>
      </c>
      <c r="B6482" s="1163" t="str">
        <f t="shared" si="522"/>
        <v/>
      </c>
      <c r="C6482" s="61"/>
      <c r="D6482" s="61"/>
      <c r="E6482" s="61"/>
      <c r="F6482" s="69"/>
      <c r="G6482" s="766"/>
      <c r="H6482" s="69"/>
      <c r="I6482" s="385"/>
      <c r="J6482" s="392"/>
      <c r="K6482" s="385"/>
      <c r="L6482" s="392"/>
      <c r="M6482" s="62"/>
      <c r="N6482" s="63"/>
      <c r="O6482" s="63"/>
      <c r="P6482" s="79" t="str">
        <f>IF(AND('331-CT'!$E$7=TH!H6482,OR(N6482="331",O6482="331")),"x","")</f>
        <v/>
      </c>
      <c r="Q6482" s="79" t="str">
        <f>IF(AND(B6482='111'!$L$11,OR($N6482=$Q$7,$O6482=$Q$7)),"x","")</f>
        <v/>
      </c>
      <c r="R6482" s="79" t="str">
        <f>IF(AND($N6482=$Q$7,$B6482&lt;'111'!$L$11),"x","")</f>
        <v/>
      </c>
      <c r="S6482" s="79" t="str">
        <f>IF(AND($O6482=$Q$7,$B6482&lt;'111'!$L$11),"x","")</f>
        <v/>
      </c>
      <c r="T6482" s="79" t="str">
        <f>IF(ISERROR(FIND('112'!$M$9,G6482,1)),"",IF((AND(FIND('112'!$M$9,G6482,1)&gt;=1,B6482='112'!$K$9,OR($N6482='112'!$I$6,$O6482='112'!$I$6))),"x",""))</f>
        <v/>
      </c>
      <c r="U6482" s="79" t="str">
        <f>IF(ISERROR(FIND('112'!$M$9,G6482,1)),"",IF((AND(LEFT(G6482,2)=LEFT('112'!$M$9,2),B6482&lt;'112'!$K$9,$N6482='112'!$I$6)),"x",""))</f>
        <v/>
      </c>
      <c r="V6482" s="79" t="str">
        <f>IF(ISERROR(FIND('112'!$M$9,G6482,1)),"",IF((AND(RIGHT(G6482,2)=RIGHT('112'!$M$9,2),B6482&lt;'112'!$K$9,$O6482='112'!$I$6)),"x",""))</f>
        <v/>
      </c>
      <c r="W6482" s="79" t="str">
        <f>IF(AND('341-CT'!$H$9=H6482,OR(LEFT(N6482,3)=$W$7,LEFT(O6482,3)=$W$7)),"x","")</f>
        <v/>
      </c>
      <c r="X6482" s="79" t="str">
        <f>IF(OR(TH!N6482=TH!$X$7,O6482=TH!$X$7),"x","")</f>
        <v/>
      </c>
      <c r="Y6482" s="79" t="str">
        <f>IF(AND(OR(N6482="131",O6482="131"),H6482='131-CT'!$H$9),"x","")</f>
        <v/>
      </c>
      <c r="Z6482" s="79"/>
      <c r="AA6482" s="79" t="str">
        <f>IF(AND(MONTH(E6482)='IN-NX'!$J$5,'IN-NX'!$D$7=D6482),"x","")</f>
        <v/>
      </c>
      <c r="AB6482" s="79" t="str">
        <f>IF(AND(OR(LEFT(TH!N6482,2)="15",LEFT(TH!O6482,2)="15"),LEFT(TH!O6482,3)&lt;&gt;"111",'152-CT'!$J$8=TH!F6482),"x","")</f>
        <v/>
      </c>
      <c r="AC6482" s="79" t="str">
        <f>IF(AND(OR(LEFT(TH!N6482,2)="15",LEFT(TH!O6482,2)="15"),TK!$E$7=TH!F6482),"x","")</f>
        <v/>
      </c>
      <c r="AD6482" s="79" t="str">
        <f>IF(AND(N6482="1521",MONTH(C6482)='BK-NL'!$M$11),"x","")</f>
        <v/>
      </c>
    </row>
    <row r="6483" spans="1:30" ht="16.5" customHeight="1">
      <c r="A6483" s="318" t="str">
        <f>IF(B6483&lt;&gt;"",IF(AND(B6483='IN-TC'!$S$4,OR(TH!N6483="1111",TH!O6483="1111")),TH!D6483,""),"")</f>
        <v/>
      </c>
      <c r="B6483" s="1163" t="str">
        <f t="shared" si="522"/>
        <v/>
      </c>
      <c r="C6483" s="61"/>
      <c r="D6483" s="61"/>
      <c r="E6483" s="61"/>
      <c r="F6483" s="69"/>
      <c r="G6483" s="64"/>
      <c r="H6483" s="69"/>
      <c r="I6483" s="385"/>
      <c r="J6483" s="392"/>
      <c r="K6483" s="385"/>
      <c r="L6483" s="392"/>
      <c r="M6483" s="62"/>
      <c r="N6483" s="63"/>
      <c r="O6483" s="63"/>
      <c r="P6483" s="79" t="str">
        <f>IF(AND('331-CT'!$E$7=TH!H6483,OR(N6483="331",O6483="331")),"x","")</f>
        <v/>
      </c>
      <c r="Q6483" s="79" t="str">
        <f>IF(AND(B6483='111'!$L$11,OR($N6483=$Q$7,$O6483=$Q$7)),"x","")</f>
        <v/>
      </c>
      <c r="R6483" s="79" t="str">
        <f>IF(AND($N6483=$Q$7,$B6483&lt;'111'!$L$11),"x","")</f>
        <v/>
      </c>
      <c r="S6483" s="79" t="str">
        <f>IF(AND($O6483=$Q$7,$B6483&lt;'111'!$L$11),"x","")</f>
        <v/>
      </c>
      <c r="T6483" s="79" t="str">
        <f>IF(ISERROR(FIND('112'!$M$9,G6483,1)),"",IF((AND(FIND('112'!$M$9,G6483,1)&gt;=1,B6483='112'!$K$9,OR($N6483='112'!$I$6,$O6483='112'!$I$6))),"x",""))</f>
        <v/>
      </c>
      <c r="U6483" s="79" t="str">
        <f>IF(ISERROR(FIND('112'!$M$9,G6483,1)),"",IF((AND(LEFT(G6483,2)=LEFT('112'!$M$9,2),B6483&lt;'112'!$K$9,$N6483='112'!$I$6)),"x",""))</f>
        <v/>
      </c>
      <c r="V6483" s="79" t="str">
        <f>IF(ISERROR(FIND('112'!$M$9,G6483,1)),"",IF((AND(RIGHT(G6483,2)=RIGHT('112'!$M$9,2),B6483&lt;'112'!$K$9,$O6483='112'!$I$6)),"x",""))</f>
        <v/>
      </c>
      <c r="W6483" s="79" t="str">
        <f>IF(AND('341-CT'!$H$9=H6483,OR(LEFT(N6483,3)=$W$7,LEFT(O6483,3)=$W$7)),"x","")</f>
        <v/>
      </c>
      <c r="X6483" s="79" t="str">
        <f>IF(OR(TH!N6483=TH!$X$7,O6483=TH!$X$7),"x","")</f>
        <v/>
      </c>
      <c r="Y6483" s="79" t="str">
        <f>IF(AND(OR(N6483="131",O6483="131"),H6483='131-CT'!$H$9),"x","")</f>
        <v/>
      </c>
      <c r="Z6483" s="79"/>
      <c r="AA6483" s="79" t="str">
        <f>IF(AND(MONTH(E6483)='IN-NX'!$J$5,'IN-NX'!$D$7=D6483),"x","")</f>
        <v/>
      </c>
      <c r="AB6483" s="79" t="str">
        <f>IF(AND(OR(LEFT(TH!N6483,2)="15",LEFT(TH!O6483,2)="15"),LEFT(TH!O6483,3)&lt;&gt;"111",'152-CT'!$J$8=TH!F6483),"x","")</f>
        <v/>
      </c>
      <c r="AC6483" s="79" t="str">
        <f>IF(AND(OR(LEFT(TH!N6483,2)="15",LEFT(TH!O6483,2)="15"),TK!$E$7=TH!F6483),"x","")</f>
        <v/>
      </c>
      <c r="AD6483" s="79" t="str">
        <f>IF(AND(N6483="1521",MONTH(C6483)='BK-NL'!$M$11),"x","")</f>
        <v/>
      </c>
    </row>
    <row r="6484" spans="1:30" ht="16.5" customHeight="1">
      <c r="A6484" s="318" t="str">
        <f>IF(B6484&lt;&gt;"",IF(AND(B6484='IN-TC'!$S$4,OR(TH!N6484="1111",TH!O6484="1111")),TH!D6484,""),"")</f>
        <v/>
      </c>
      <c r="B6484" s="1163" t="str">
        <f t="shared" si="522"/>
        <v/>
      </c>
      <c r="C6484" s="61"/>
      <c r="D6484" s="61"/>
      <c r="E6484" s="61"/>
      <c r="F6484" s="69"/>
      <c r="G6484" s="64"/>
      <c r="H6484" s="69"/>
      <c r="I6484" s="385"/>
      <c r="J6484" s="392"/>
      <c r="K6484" s="385"/>
      <c r="L6484" s="392"/>
      <c r="M6484" s="62"/>
      <c r="N6484" s="63"/>
      <c r="O6484" s="63"/>
      <c r="P6484" s="79" t="str">
        <f>IF(AND('331-CT'!$E$7=TH!H6484,OR(N6484="331",O6484="331")),"x","")</f>
        <v/>
      </c>
      <c r="Q6484" s="79" t="str">
        <f>IF(AND(B6484='111'!$L$11,OR($N6484=$Q$7,$O6484=$Q$7)),"x","")</f>
        <v/>
      </c>
      <c r="R6484" s="79" t="str">
        <f>IF(AND($N6484=$Q$7,$B6484&lt;'111'!$L$11),"x","")</f>
        <v/>
      </c>
      <c r="S6484" s="79" t="str">
        <f>IF(AND($O6484=$Q$7,$B6484&lt;'111'!$L$11),"x","")</f>
        <v/>
      </c>
      <c r="T6484" s="79" t="str">
        <f>IF(ISERROR(FIND('112'!$M$9,G6484,1)),"",IF((AND(FIND('112'!$M$9,G6484,1)&gt;=1,B6484='112'!$K$9,OR($N6484='112'!$I$6,$O6484='112'!$I$6))),"x",""))</f>
        <v/>
      </c>
      <c r="U6484" s="79" t="str">
        <f>IF(ISERROR(FIND('112'!$M$9,G6484,1)),"",IF((AND(LEFT(G6484,2)=LEFT('112'!$M$9,2),B6484&lt;'112'!$K$9,$N6484='112'!$I$6)),"x",""))</f>
        <v/>
      </c>
      <c r="V6484" s="79" t="str">
        <f>IF(ISERROR(FIND('112'!$M$9,G6484,1)),"",IF((AND(RIGHT(G6484,2)=RIGHT('112'!$M$9,2),B6484&lt;'112'!$K$9,$O6484='112'!$I$6)),"x",""))</f>
        <v/>
      </c>
      <c r="W6484" s="79" t="str">
        <f>IF(AND('341-CT'!$H$9=H6484,OR(LEFT(N6484,3)=$W$7,LEFT(O6484,3)=$W$7)),"x","")</f>
        <v/>
      </c>
      <c r="X6484" s="79" t="str">
        <f>IF(OR(TH!N6484=TH!$X$7,O6484=TH!$X$7),"x","")</f>
        <v/>
      </c>
      <c r="Y6484" s="79" t="str">
        <f>IF(AND(OR(N6484="131",O6484="131"),H6484='131-CT'!$H$9),"x","")</f>
        <v/>
      </c>
      <c r="Z6484" s="79"/>
      <c r="AA6484" s="79" t="str">
        <f>IF(AND(MONTH(E6484)='IN-NX'!$J$5,'IN-NX'!$D$7=D6484),"x","")</f>
        <v/>
      </c>
      <c r="AB6484" s="79" t="str">
        <f>IF(AND(OR(LEFT(TH!N6484,2)="15",LEFT(TH!O6484,2)="15"),LEFT(TH!O6484,3)&lt;&gt;"111",'152-CT'!$J$8=TH!F6484),"x","")</f>
        <v/>
      </c>
      <c r="AC6484" s="79" t="str">
        <f>IF(AND(OR(LEFT(TH!N6484,2)="15",LEFT(TH!O6484,2)="15"),TK!$E$7=TH!F6484),"x","")</f>
        <v/>
      </c>
      <c r="AD6484" s="79" t="str">
        <f>IF(AND(N6484="1521",MONTH(C6484)='BK-NL'!$M$11),"x","")</f>
        <v/>
      </c>
    </row>
    <row r="6485" spans="1:30" ht="16.5" customHeight="1">
      <c r="A6485" s="318" t="str">
        <f>IF(B6485&lt;&gt;"",IF(AND(B6485='IN-TC'!$S$4,OR(TH!N6485="1111",TH!O6485="1111")),TH!D6485,""),"")</f>
        <v/>
      </c>
      <c r="B6485" s="1163" t="str">
        <f t="shared" si="522"/>
        <v/>
      </c>
      <c r="C6485" s="61"/>
      <c r="D6485" s="61"/>
      <c r="E6485" s="61"/>
      <c r="F6485" s="69"/>
      <c r="G6485" s="64"/>
      <c r="H6485" s="69"/>
      <c r="I6485" s="385"/>
      <c r="J6485" s="392"/>
      <c r="K6485" s="385"/>
      <c r="L6485" s="392"/>
      <c r="M6485" s="62"/>
      <c r="N6485" s="63"/>
      <c r="O6485" s="63"/>
      <c r="P6485" s="79" t="str">
        <f>IF(AND('331-CT'!$E$7=TH!H6485,OR(N6485="331",O6485="331")),"x","")</f>
        <v/>
      </c>
      <c r="Q6485" s="79" t="str">
        <f>IF(AND(B6485='111'!$L$11,OR($N6485=$Q$7,$O6485=$Q$7)),"x","")</f>
        <v/>
      </c>
      <c r="R6485" s="79" t="str">
        <f>IF(AND($N6485=$Q$7,$B6485&lt;'111'!$L$11),"x","")</f>
        <v/>
      </c>
      <c r="S6485" s="79" t="str">
        <f>IF(AND($O6485=$Q$7,$B6485&lt;'111'!$L$11),"x","")</f>
        <v/>
      </c>
      <c r="T6485" s="79" t="str">
        <f>IF(ISERROR(FIND('112'!$M$9,G6485,1)),"",IF((AND(FIND('112'!$M$9,G6485,1)&gt;=1,B6485='112'!$K$9,OR($N6485='112'!$I$6,$O6485='112'!$I$6))),"x",""))</f>
        <v/>
      </c>
      <c r="U6485" s="79" t="str">
        <f>IF(ISERROR(FIND('112'!$M$9,G6485,1)),"",IF((AND(LEFT(G6485,2)=LEFT('112'!$M$9,2),B6485&lt;'112'!$K$9,$N6485='112'!$I$6)),"x",""))</f>
        <v/>
      </c>
      <c r="V6485" s="79" t="str">
        <f>IF(ISERROR(FIND('112'!$M$9,G6485,1)),"",IF((AND(RIGHT(G6485,2)=RIGHT('112'!$M$9,2),B6485&lt;'112'!$K$9,$O6485='112'!$I$6)),"x",""))</f>
        <v/>
      </c>
      <c r="W6485" s="79" t="str">
        <f>IF(AND('341-CT'!$H$9=H6485,OR(LEFT(N6485,3)=$W$7,LEFT(O6485,3)=$W$7)),"x","")</f>
        <v/>
      </c>
      <c r="X6485" s="79" t="str">
        <f>IF(OR(TH!N6485=TH!$X$7,O6485=TH!$X$7),"x","")</f>
        <v/>
      </c>
      <c r="Y6485" s="79" t="str">
        <f>IF(AND(OR(N6485="131",O6485="131"),H6485='131-CT'!$H$9),"x","")</f>
        <v/>
      </c>
      <c r="Z6485" s="79"/>
      <c r="AA6485" s="79" t="str">
        <f>IF(AND(MONTH(E6485)='IN-NX'!$J$5,'IN-NX'!$D$7=D6485),"x","")</f>
        <v/>
      </c>
      <c r="AB6485" s="79" t="str">
        <f>IF(AND(OR(LEFT(TH!N6485,2)="15",LEFT(TH!O6485,2)="15"),LEFT(TH!O6485,3)&lt;&gt;"111",'152-CT'!$J$8=TH!F6485),"x","")</f>
        <v/>
      </c>
      <c r="AC6485" s="79" t="str">
        <f>IF(AND(OR(LEFT(TH!N6485,2)="15",LEFT(TH!O6485,2)="15"),TK!$E$7=TH!F6485),"x","")</f>
        <v/>
      </c>
      <c r="AD6485" s="79" t="str">
        <f>IF(AND(N6485="1521",MONTH(C6485)='BK-NL'!$M$11),"x","")</f>
        <v/>
      </c>
    </row>
    <row r="6486" spans="1:30" ht="16.5" customHeight="1">
      <c r="A6486" s="318" t="str">
        <f>IF(B6486&lt;&gt;"",IF(AND(B6486='IN-TC'!$S$4,OR(TH!N6486="1111",TH!O6486="1111")),TH!D6486,""),"")</f>
        <v/>
      </c>
      <c r="B6486" s="1163" t="str">
        <f t="shared" si="522"/>
        <v/>
      </c>
      <c r="C6486" s="61"/>
      <c r="D6486" s="61"/>
      <c r="E6486" s="61"/>
      <c r="F6486" s="69"/>
      <c r="G6486" s="64"/>
      <c r="H6486" s="321"/>
      <c r="I6486" s="385"/>
      <c r="J6486" s="392"/>
      <c r="K6486" s="385"/>
      <c r="L6486" s="392"/>
      <c r="M6486" s="62"/>
      <c r="N6486" s="63"/>
      <c r="O6486" s="63"/>
      <c r="P6486" s="79" t="str">
        <f>IF(AND('331-CT'!$E$7=TH!H6486,OR(N6486="331",O6486="331")),"x","")</f>
        <v/>
      </c>
      <c r="Q6486" s="79" t="str">
        <f>IF(AND(B6486='111'!$L$11,OR($N6486=$Q$7,$O6486=$Q$7)),"x","")</f>
        <v/>
      </c>
      <c r="R6486" s="79" t="str">
        <f>IF(AND($N6486=$Q$7,$B6486&lt;'111'!$L$11),"x","")</f>
        <v/>
      </c>
      <c r="S6486" s="79" t="str">
        <f>IF(AND($O6486=$Q$7,$B6486&lt;'111'!$L$11),"x","")</f>
        <v/>
      </c>
      <c r="T6486" s="79" t="str">
        <f>IF(ISERROR(FIND('112'!$M$9,G6486,1)),"",IF((AND(FIND('112'!$M$9,G6486,1)&gt;=1,B6486='112'!$K$9,OR($N6486='112'!$I$6,$O6486='112'!$I$6))),"x",""))</f>
        <v/>
      </c>
      <c r="U6486" s="79" t="str">
        <f>IF(ISERROR(FIND('112'!$M$9,G6486,1)),"",IF((AND(LEFT(G6486,2)=LEFT('112'!$M$9,2),B6486&lt;'112'!$K$9,$N6486='112'!$I$6)),"x",""))</f>
        <v/>
      </c>
      <c r="V6486" s="79" t="str">
        <f>IF(ISERROR(FIND('112'!$M$9,G6486,1)),"",IF((AND(RIGHT(G6486,2)=RIGHT('112'!$M$9,2),B6486&lt;'112'!$K$9,$O6486='112'!$I$6)),"x",""))</f>
        <v/>
      </c>
      <c r="W6486" s="79" t="str">
        <f>IF(AND('341-CT'!$H$9=H6486,OR(LEFT(N6486,3)=$W$7,LEFT(O6486,3)=$W$7)),"x","")</f>
        <v/>
      </c>
      <c r="X6486" s="79" t="str">
        <f>IF(OR(TH!N6486=TH!$X$7,O6486=TH!$X$7),"x","")</f>
        <v/>
      </c>
      <c r="Y6486" s="79" t="str">
        <f>IF(AND(OR(N6486="131",O6486="131"),H6486='131-CT'!$H$9),"x","")</f>
        <v/>
      </c>
      <c r="Z6486" s="79"/>
      <c r="AA6486" s="79" t="str">
        <f>IF(AND(MONTH(E6486)='IN-NX'!$J$5,'IN-NX'!$D$7=D6486),"x","")</f>
        <v/>
      </c>
      <c r="AB6486" s="79" t="str">
        <f>IF(AND(OR(LEFT(TH!N6486,2)="15",LEFT(TH!O6486,2)="15"),LEFT(TH!O6486,3)&lt;&gt;"111",'152-CT'!$J$8=TH!F6486),"x","")</f>
        <v/>
      </c>
      <c r="AC6486" s="79" t="str">
        <f>IF(AND(OR(LEFT(TH!N6486,2)="15",LEFT(TH!O6486,2)="15"),TK!$E$7=TH!F6486),"x","")</f>
        <v/>
      </c>
      <c r="AD6486" s="79" t="str">
        <f>IF(AND(N6486="1521",MONTH(C6486)='BK-NL'!$M$11),"x","")</f>
        <v/>
      </c>
    </row>
    <row r="6487" spans="1:30" ht="16.5" customHeight="1">
      <c r="A6487" s="318" t="str">
        <f>IF(B6487&lt;&gt;"",IF(AND(B6487='IN-TC'!$S$4,OR(TH!N6487="1111",TH!O6487="1111")),TH!D6487,""),"")</f>
        <v/>
      </c>
      <c r="B6487" s="1163" t="str">
        <f t="shared" si="522"/>
        <v/>
      </c>
      <c r="C6487" s="61"/>
      <c r="D6487" s="61"/>
      <c r="E6487" s="61"/>
      <c r="F6487" s="69"/>
      <c r="G6487" s="64"/>
      <c r="H6487" s="321"/>
      <c r="I6487" s="385"/>
      <c r="J6487" s="392"/>
      <c r="K6487" s="385"/>
      <c r="L6487" s="392"/>
      <c r="M6487" s="62"/>
      <c r="N6487" s="63"/>
      <c r="O6487" s="63"/>
      <c r="P6487" s="79" t="str">
        <f>IF(AND('331-CT'!$E$7=TH!H6487,OR(N6487="331",O6487="331")),"x","")</f>
        <v/>
      </c>
      <c r="Q6487" s="79" t="str">
        <f>IF(AND(B6487='111'!$L$11,OR($N6487=$Q$7,$O6487=$Q$7)),"x","")</f>
        <v/>
      </c>
      <c r="R6487" s="79" t="str">
        <f>IF(AND($N6487=$Q$7,$B6487&lt;'111'!$L$11),"x","")</f>
        <v/>
      </c>
      <c r="S6487" s="79" t="str">
        <f>IF(AND($O6487=$Q$7,$B6487&lt;'111'!$L$11),"x","")</f>
        <v/>
      </c>
      <c r="T6487" s="79" t="str">
        <f>IF(ISERROR(FIND('112'!$M$9,G6487,1)),"",IF((AND(FIND('112'!$M$9,G6487,1)&gt;=1,B6487='112'!$K$9,OR($N6487='112'!$I$6,$O6487='112'!$I$6))),"x",""))</f>
        <v/>
      </c>
      <c r="U6487" s="79" t="str">
        <f>IF(ISERROR(FIND('112'!$M$9,G6487,1)),"",IF((AND(LEFT(G6487,2)=LEFT('112'!$M$9,2),B6487&lt;'112'!$K$9,$N6487='112'!$I$6)),"x",""))</f>
        <v/>
      </c>
      <c r="V6487" s="79" t="str">
        <f>IF(ISERROR(FIND('112'!$M$9,G6487,1)),"",IF((AND(RIGHT(G6487,2)=RIGHT('112'!$M$9,2),B6487&lt;'112'!$K$9,$O6487='112'!$I$6)),"x",""))</f>
        <v/>
      </c>
      <c r="W6487" s="79" t="str">
        <f>IF(AND('341-CT'!$H$9=H6487,OR(LEFT(N6487,3)=$W$7,LEFT(O6487,3)=$W$7)),"x","")</f>
        <v/>
      </c>
      <c r="X6487" s="79" t="str">
        <f>IF(OR(TH!N6487=TH!$X$7,O6487=TH!$X$7),"x","")</f>
        <v/>
      </c>
      <c r="Y6487" s="79" t="str">
        <f>IF(AND(OR(N6487="131",O6487="131"),H6487='131-CT'!$H$9),"x","")</f>
        <v/>
      </c>
      <c r="Z6487" s="79"/>
      <c r="AA6487" s="79" t="str">
        <f>IF(AND(MONTH(E6487)='IN-NX'!$J$5,'IN-NX'!$D$7=D6487),"x","")</f>
        <v/>
      </c>
      <c r="AB6487" s="79" t="str">
        <f>IF(AND(OR(LEFT(TH!N6487,2)="15",LEFT(TH!O6487,2)="15"),LEFT(TH!O6487,3)&lt;&gt;"111",'152-CT'!$J$8=TH!F6487),"x","")</f>
        <v/>
      </c>
      <c r="AC6487" s="79" t="str">
        <f>IF(AND(OR(LEFT(TH!N6487,2)="15",LEFT(TH!O6487,2)="15"),TK!$E$7=TH!F6487),"x","")</f>
        <v/>
      </c>
      <c r="AD6487" s="79" t="str">
        <f>IF(AND(N6487="1521",MONTH(C6487)='BK-NL'!$M$11),"x","")</f>
        <v/>
      </c>
    </row>
    <row r="6488" spans="1:30" ht="16.5" customHeight="1">
      <c r="A6488" s="318" t="str">
        <f>IF(B6488&lt;&gt;"",IF(AND(B6488='IN-TC'!$S$4,OR(TH!N6488="1111",TH!O6488="1111")),TH!D6488,""),"")</f>
        <v/>
      </c>
      <c r="B6488" s="1163" t="str">
        <f t="shared" si="522"/>
        <v/>
      </c>
      <c r="C6488" s="61"/>
      <c r="D6488" s="61"/>
      <c r="E6488" s="61"/>
      <c r="F6488" s="69"/>
      <c r="G6488" s="766"/>
      <c r="H6488" s="69"/>
      <c r="I6488" s="385"/>
      <c r="J6488" s="392"/>
      <c r="K6488" s="385"/>
      <c r="L6488" s="392"/>
      <c r="M6488" s="62"/>
      <c r="N6488" s="63"/>
      <c r="O6488" s="63"/>
      <c r="P6488" s="79" t="str">
        <f>IF(AND('331-CT'!$E$7=TH!H6488,OR(N6488="331",O6488="331")),"x","")</f>
        <v/>
      </c>
      <c r="Q6488" s="79" t="str">
        <f>IF(AND(B6488='111'!$L$11,OR($N6488=$Q$7,$O6488=$Q$7)),"x","")</f>
        <v/>
      </c>
      <c r="R6488" s="79" t="str">
        <f>IF(AND($N6488=$Q$7,$B6488&lt;'111'!$L$11),"x","")</f>
        <v/>
      </c>
      <c r="S6488" s="79" t="str">
        <f>IF(AND($O6488=$Q$7,$B6488&lt;'111'!$L$11),"x","")</f>
        <v/>
      </c>
      <c r="T6488" s="79" t="str">
        <f>IF(ISERROR(FIND('112'!$M$9,G6488,1)),"",IF((AND(FIND('112'!$M$9,G6488,1)&gt;=1,B6488='112'!$K$9,OR($N6488='112'!$I$6,$O6488='112'!$I$6))),"x",""))</f>
        <v/>
      </c>
      <c r="U6488" s="79" t="str">
        <f>IF(ISERROR(FIND('112'!$M$9,G6488,1)),"",IF((AND(LEFT(G6488,2)=LEFT('112'!$M$9,2),B6488&lt;'112'!$K$9,$N6488='112'!$I$6)),"x",""))</f>
        <v/>
      </c>
      <c r="V6488" s="79" t="str">
        <f>IF(ISERROR(FIND('112'!$M$9,G6488,1)),"",IF((AND(RIGHT(G6488,2)=RIGHT('112'!$M$9,2),B6488&lt;'112'!$K$9,$O6488='112'!$I$6)),"x",""))</f>
        <v/>
      </c>
      <c r="W6488" s="79" t="str">
        <f>IF(AND('341-CT'!$H$9=H6488,OR(LEFT(N6488,3)=$W$7,LEFT(O6488,3)=$W$7)),"x","")</f>
        <v/>
      </c>
      <c r="X6488" s="79" t="str">
        <f>IF(OR(TH!N6488=TH!$X$7,O6488=TH!$X$7),"x","")</f>
        <v/>
      </c>
      <c r="Y6488" s="79" t="str">
        <f>IF(AND(OR(N6488="131",O6488="131"),H6488='131-CT'!$H$9),"x","")</f>
        <v/>
      </c>
      <c r="Z6488" s="79"/>
      <c r="AA6488" s="79" t="str">
        <f>IF(AND(MONTH(E6488)='IN-NX'!$J$5,'IN-NX'!$D$7=D6488),"x","")</f>
        <v/>
      </c>
      <c r="AB6488" s="79" t="str">
        <f>IF(AND(OR(LEFT(TH!N6488,2)="15",LEFT(TH!O6488,2)="15"),LEFT(TH!O6488,3)&lt;&gt;"111",'152-CT'!$J$8=TH!F6488),"x","")</f>
        <v/>
      </c>
      <c r="AC6488" s="79" t="str">
        <f>IF(AND(OR(LEFT(TH!N6488,2)="15",LEFT(TH!O6488,2)="15"),TK!$E$7=TH!F6488),"x","")</f>
        <v/>
      </c>
      <c r="AD6488" s="79" t="str">
        <f>IF(AND(N6488="1521",MONTH(C6488)='BK-NL'!$M$11),"x","")</f>
        <v/>
      </c>
    </row>
    <row r="6489" spans="1:30" ht="16.5" customHeight="1">
      <c r="A6489" s="318" t="str">
        <f>IF(B6489&lt;&gt;"",IF(AND(B6489='IN-TC'!$S$4,OR(TH!N6489="1111",TH!O6489="1111")),TH!D6489,""),"")</f>
        <v/>
      </c>
      <c r="B6489" s="1163" t="str">
        <f t="shared" si="522"/>
        <v/>
      </c>
      <c r="C6489" s="61"/>
      <c r="D6489" s="61"/>
      <c r="E6489" s="61"/>
      <c r="F6489" s="69"/>
      <c r="G6489" s="64"/>
      <c r="H6489" s="69"/>
      <c r="I6489" s="385"/>
      <c r="J6489" s="392"/>
      <c r="K6489" s="385"/>
      <c r="L6489" s="392"/>
      <c r="M6489" s="62"/>
      <c r="N6489" s="63"/>
      <c r="O6489" s="63"/>
      <c r="P6489" s="79" t="str">
        <f>IF(AND('331-CT'!$E$7=TH!H6489,OR(N6489="331",O6489="331")),"x","")</f>
        <v/>
      </c>
      <c r="Q6489" s="79" t="str">
        <f>IF(AND(B6489='111'!$L$11,OR($N6489=$Q$7,$O6489=$Q$7)),"x","")</f>
        <v/>
      </c>
      <c r="R6489" s="79" t="str">
        <f>IF(AND($N6489=$Q$7,$B6489&lt;'111'!$L$11),"x","")</f>
        <v/>
      </c>
      <c r="S6489" s="79" t="str">
        <f>IF(AND($O6489=$Q$7,$B6489&lt;'111'!$L$11),"x","")</f>
        <v/>
      </c>
      <c r="T6489" s="79" t="str">
        <f>IF(ISERROR(FIND('112'!$M$9,G6489,1)),"",IF((AND(FIND('112'!$M$9,G6489,1)&gt;=1,B6489='112'!$K$9,OR($N6489='112'!$I$6,$O6489='112'!$I$6))),"x",""))</f>
        <v/>
      </c>
      <c r="U6489" s="79" t="str">
        <f>IF(ISERROR(FIND('112'!$M$9,G6489,1)),"",IF((AND(LEFT(G6489,2)=LEFT('112'!$M$9,2),B6489&lt;'112'!$K$9,$N6489='112'!$I$6)),"x",""))</f>
        <v/>
      </c>
      <c r="V6489" s="79" t="str">
        <f>IF(ISERROR(FIND('112'!$M$9,G6489,1)),"",IF((AND(RIGHT(G6489,2)=RIGHT('112'!$M$9,2),B6489&lt;'112'!$K$9,$O6489='112'!$I$6)),"x",""))</f>
        <v/>
      </c>
      <c r="W6489" s="79" t="str">
        <f>IF(AND('341-CT'!$H$9=H6489,OR(LEFT(N6489,3)=$W$7,LEFT(O6489,3)=$W$7)),"x","")</f>
        <v/>
      </c>
      <c r="X6489" s="79" t="str">
        <f>IF(OR(TH!N6489=TH!$X$7,O6489=TH!$X$7),"x","")</f>
        <v/>
      </c>
      <c r="Y6489" s="79" t="str">
        <f>IF(AND(OR(N6489="131",O6489="131"),H6489='131-CT'!$H$9),"x","")</f>
        <v/>
      </c>
      <c r="Z6489" s="79"/>
      <c r="AA6489" s="79" t="str">
        <f>IF(AND(MONTH(E6489)='IN-NX'!$J$5,'IN-NX'!$D$7=D6489),"x","")</f>
        <v/>
      </c>
      <c r="AB6489" s="79" t="str">
        <f>IF(AND(OR(LEFT(TH!N6489,2)="15",LEFT(TH!O6489,2)="15"),LEFT(TH!O6489,3)&lt;&gt;"111",'152-CT'!$J$8=TH!F6489),"x","")</f>
        <v/>
      </c>
      <c r="AC6489" s="79" t="str">
        <f>IF(AND(OR(LEFT(TH!N6489,2)="15",LEFT(TH!O6489,2)="15"),TK!$E$7=TH!F6489),"x","")</f>
        <v/>
      </c>
      <c r="AD6489" s="79" t="str">
        <f>IF(AND(N6489="1521",MONTH(C6489)='BK-NL'!$M$11),"x","")</f>
        <v/>
      </c>
    </row>
    <row r="6490" spans="1:30" ht="16.5" customHeight="1">
      <c r="A6490" s="318" t="str">
        <f>IF(B6490&lt;&gt;"",IF(AND(B6490='IN-TC'!$S$4,OR(TH!N6490="1111",TH!O6490="1111")),TH!D6490,""),"")</f>
        <v/>
      </c>
      <c r="B6490" s="1163" t="str">
        <f t="shared" si="522"/>
        <v/>
      </c>
      <c r="C6490" s="61"/>
      <c r="D6490" s="61"/>
      <c r="E6490" s="61"/>
      <c r="F6490" s="69"/>
      <c r="G6490" s="64"/>
      <c r="H6490" s="69"/>
      <c r="I6490" s="385"/>
      <c r="J6490" s="392"/>
      <c r="K6490" s="385"/>
      <c r="L6490" s="392"/>
      <c r="M6490" s="62"/>
      <c r="N6490" s="63"/>
      <c r="O6490" s="63"/>
      <c r="P6490" s="79" t="str">
        <f>IF(AND('331-CT'!$E$7=TH!H6490,OR(N6490="331",O6490="331")),"x","")</f>
        <v/>
      </c>
      <c r="Q6490" s="79" t="str">
        <f>IF(AND(B6490='111'!$L$11,OR($N6490=$Q$7,$O6490=$Q$7)),"x","")</f>
        <v/>
      </c>
      <c r="R6490" s="79" t="str">
        <f>IF(AND($N6490=$Q$7,$B6490&lt;'111'!$L$11),"x","")</f>
        <v/>
      </c>
      <c r="S6490" s="79" t="str">
        <f>IF(AND($O6490=$Q$7,$B6490&lt;'111'!$L$11),"x","")</f>
        <v/>
      </c>
      <c r="T6490" s="79" t="str">
        <f>IF(ISERROR(FIND('112'!$M$9,G6490,1)),"",IF((AND(FIND('112'!$M$9,G6490,1)&gt;=1,B6490='112'!$K$9,OR($N6490='112'!$I$6,$O6490='112'!$I$6))),"x",""))</f>
        <v/>
      </c>
      <c r="U6490" s="79" t="str">
        <f>IF(ISERROR(FIND('112'!$M$9,G6490,1)),"",IF((AND(LEFT(G6490,2)=LEFT('112'!$M$9,2),B6490&lt;'112'!$K$9,$N6490='112'!$I$6)),"x",""))</f>
        <v/>
      </c>
      <c r="V6490" s="79" t="str">
        <f>IF(ISERROR(FIND('112'!$M$9,G6490,1)),"",IF((AND(RIGHT(G6490,2)=RIGHT('112'!$M$9,2),B6490&lt;'112'!$K$9,$O6490='112'!$I$6)),"x",""))</f>
        <v/>
      </c>
      <c r="W6490" s="79" t="str">
        <f>IF(AND('341-CT'!$H$9=H6490,OR(LEFT(N6490,3)=$W$7,LEFT(O6490,3)=$W$7)),"x","")</f>
        <v/>
      </c>
      <c r="X6490" s="79" t="str">
        <f>IF(OR(TH!N6490=TH!$X$7,O6490=TH!$X$7),"x","")</f>
        <v/>
      </c>
      <c r="Y6490" s="79" t="str">
        <f>IF(AND(OR(N6490="131",O6490="131"),H6490='131-CT'!$H$9),"x","")</f>
        <v/>
      </c>
      <c r="Z6490" s="79"/>
      <c r="AA6490" s="79" t="str">
        <f>IF(AND(MONTH(E6490)='IN-NX'!$J$5,'IN-NX'!$D$7=D6490),"x","")</f>
        <v/>
      </c>
      <c r="AB6490" s="79" t="str">
        <f>IF(AND(OR(LEFT(TH!N6490,2)="15",LEFT(TH!O6490,2)="15"),LEFT(TH!O6490,3)&lt;&gt;"111",'152-CT'!$J$8=TH!F6490),"x","")</f>
        <v/>
      </c>
      <c r="AC6490" s="79" t="str">
        <f>IF(AND(OR(LEFT(TH!N6490,2)="15",LEFT(TH!O6490,2)="15"),TK!$E$7=TH!F6490),"x","")</f>
        <v/>
      </c>
      <c r="AD6490" s="79" t="str">
        <f>IF(AND(N6490="1521",MONTH(C6490)='BK-NL'!$M$11),"x","")</f>
        <v/>
      </c>
    </row>
    <row r="6491" spans="1:30" ht="16.5" customHeight="1">
      <c r="A6491" s="318" t="str">
        <f>IF(B6491&lt;&gt;"",IF(AND(B6491='IN-TC'!$S$4,OR(TH!N6491="1111",TH!O6491="1111")),TH!D6491,""),"")</f>
        <v/>
      </c>
      <c r="B6491" s="1163" t="str">
        <f t="shared" si="522"/>
        <v/>
      </c>
      <c r="C6491" s="61"/>
      <c r="D6491" s="61"/>
      <c r="E6491" s="61"/>
      <c r="F6491" s="69"/>
      <c r="G6491" s="64"/>
      <c r="H6491" s="69"/>
      <c r="I6491" s="385"/>
      <c r="J6491" s="392"/>
      <c r="K6491" s="385"/>
      <c r="L6491" s="392"/>
      <c r="M6491" s="62"/>
      <c r="N6491" s="63"/>
      <c r="O6491" s="63"/>
      <c r="P6491" s="79" t="str">
        <f>IF(AND('331-CT'!$E$7=TH!H6491,OR(N6491="331",O6491="331")),"x","")</f>
        <v/>
      </c>
      <c r="Q6491" s="79" t="str">
        <f>IF(AND(B6491='111'!$L$11,OR($N6491=$Q$7,$O6491=$Q$7)),"x","")</f>
        <v/>
      </c>
      <c r="R6491" s="79" t="str">
        <f>IF(AND($N6491=$Q$7,$B6491&lt;'111'!$L$11),"x","")</f>
        <v/>
      </c>
      <c r="S6491" s="79" t="str">
        <f>IF(AND($O6491=$Q$7,$B6491&lt;'111'!$L$11),"x","")</f>
        <v/>
      </c>
      <c r="T6491" s="79" t="str">
        <f>IF(ISERROR(FIND('112'!$M$9,G6491,1)),"",IF((AND(FIND('112'!$M$9,G6491,1)&gt;=1,B6491='112'!$K$9,OR($N6491='112'!$I$6,$O6491='112'!$I$6))),"x",""))</f>
        <v/>
      </c>
      <c r="U6491" s="79" t="str">
        <f>IF(ISERROR(FIND('112'!$M$9,G6491,1)),"",IF((AND(LEFT(G6491,2)=LEFT('112'!$M$9,2),B6491&lt;'112'!$K$9,$N6491='112'!$I$6)),"x",""))</f>
        <v/>
      </c>
      <c r="V6491" s="79" t="str">
        <f>IF(ISERROR(FIND('112'!$M$9,G6491,1)),"",IF((AND(RIGHT(G6491,2)=RIGHT('112'!$M$9,2),B6491&lt;'112'!$K$9,$O6491='112'!$I$6)),"x",""))</f>
        <v/>
      </c>
      <c r="W6491" s="79" t="str">
        <f>IF(AND('341-CT'!$H$9=H6491,OR(LEFT(N6491,3)=$W$7,LEFT(O6491,3)=$W$7)),"x","")</f>
        <v/>
      </c>
      <c r="X6491" s="79" t="str">
        <f>IF(OR(TH!N6491=TH!$X$7,O6491=TH!$X$7),"x","")</f>
        <v/>
      </c>
      <c r="Y6491" s="79" t="str">
        <f>IF(AND(OR(N6491="131",O6491="131"),H6491='131-CT'!$H$9),"x","")</f>
        <v/>
      </c>
      <c r="Z6491" s="79"/>
      <c r="AA6491" s="79" t="str">
        <f>IF(AND(MONTH(E6491)='IN-NX'!$J$5,'IN-NX'!$D$7=D6491),"x","")</f>
        <v/>
      </c>
      <c r="AB6491" s="79" t="str">
        <f>IF(AND(OR(LEFT(TH!N6491,2)="15",LEFT(TH!O6491,2)="15"),LEFT(TH!O6491,3)&lt;&gt;"111",'152-CT'!$J$8=TH!F6491),"x","")</f>
        <v/>
      </c>
      <c r="AC6491" s="79" t="str">
        <f>IF(AND(OR(LEFT(TH!N6491,2)="15",LEFT(TH!O6491,2)="15"),TK!$E$7=TH!F6491),"x","")</f>
        <v/>
      </c>
      <c r="AD6491" s="79" t="str">
        <f>IF(AND(N6491="1521",MONTH(C6491)='BK-NL'!$M$11),"x","")</f>
        <v/>
      </c>
    </row>
    <row r="6492" spans="1:30" ht="16.5" customHeight="1">
      <c r="A6492" s="318" t="str">
        <f>IF(B6492&lt;&gt;"",IF(AND(B6492='IN-TC'!$S$4,OR(TH!N6492="1111",TH!O6492="1111")),TH!D6492,""),"")</f>
        <v/>
      </c>
      <c r="B6492" s="1163" t="str">
        <f t="shared" si="522"/>
        <v/>
      </c>
      <c r="C6492" s="61"/>
      <c r="D6492" s="61"/>
      <c r="E6492" s="61"/>
      <c r="F6492" s="69"/>
      <c r="G6492" s="766"/>
      <c r="H6492" s="69"/>
      <c r="I6492" s="385"/>
      <c r="J6492" s="392"/>
      <c r="K6492" s="385"/>
      <c r="L6492" s="392"/>
      <c r="M6492" s="62"/>
      <c r="N6492" s="63"/>
      <c r="O6492" s="63"/>
      <c r="P6492" s="79" t="str">
        <f>IF(AND('331-CT'!$E$7=TH!H6492,OR(N6492="331",O6492="331")),"x","")</f>
        <v/>
      </c>
      <c r="Q6492" s="79" t="str">
        <f>IF(AND(B6492='111'!$L$11,OR($N6492=$Q$7,$O6492=$Q$7)),"x","")</f>
        <v/>
      </c>
      <c r="R6492" s="79" t="str">
        <f>IF(AND($N6492=$Q$7,$B6492&lt;'111'!$L$11),"x","")</f>
        <v/>
      </c>
      <c r="S6492" s="79" t="str">
        <f>IF(AND($O6492=$Q$7,$B6492&lt;'111'!$L$11),"x","")</f>
        <v/>
      </c>
      <c r="T6492" s="79" t="str">
        <f>IF(ISERROR(FIND('112'!$M$9,G6492,1)),"",IF((AND(FIND('112'!$M$9,G6492,1)&gt;=1,B6492='112'!$K$9,OR($N6492='112'!$I$6,$O6492='112'!$I$6))),"x",""))</f>
        <v/>
      </c>
      <c r="U6492" s="79" t="str">
        <f>IF(ISERROR(FIND('112'!$M$9,G6492,1)),"",IF((AND(LEFT(G6492,2)=LEFT('112'!$M$9,2),B6492&lt;'112'!$K$9,$N6492='112'!$I$6)),"x",""))</f>
        <v/>
      </c>
      <c r="V6492" s="79" t="str">
        <f>IF(ISERROR(FIND('112'!$M$9,G6492,1)),"",IF((AND(RIGHT(G6492,2)=RIGHT('112'!$M$9,2),B6492&lt;'112'!$K$9,$O6492='112'!$I$6)),"x",""))</f>
        <v/>
      </c>
      <c r="W6492" s="79" t="str">
        <f>IF(AND('341-CT'!$H$9=H6492,OR(LEFT(N6492,3)=$W$7,LEFT(O6492,3)=$W$7)),"x","")</f>
        <v/>
      </c>
      <c r="X6492" s="79" t="str">
        <f>IF(OR(TH!N6492=TH!$X$7,O6492=TH!$X$7),"x","")</f>
        <v/>
      </c>
      <c r="Y6492" s="79" t="str">
        <f>IF(AND(OR(N6492="131",O6492="131"),H6492='131-CT'!$H$9),"x","")</f>
        <v/>
      </c>
      <c r="Z6492" s="79"/>
      <c r="AA6492" s="79" t="str">
        <f>IF(AND(MONTH(E6492)='IN-NX'!$J$5,'IN-NX'!$D$7=D6492),"x","")</f>
        <v/>
      </c>
      <c r="AB6492" s="79" t="str">
        <f>IF(AND(OR(LEFT(TH!N6492,2)="15",LEFT(TH!O6492,2)="15"),LEFT(TH!O6492,3)&lt;&gt;"111",'152-CT'!$J$8=TH!F6492),"x","")</f>
        <v/>
      </c>
      <c r="AC6492" s="79" t="str">
        <f>IF(AND(OR(LEFT(TH!N6492,2)="15",LEFT(TH!O6492,2)="15"),TK!$E$7=TH!F6492),"x","")</f>
        <v/>
      </c>
      <c r="AD6492" s="79" t="str">
        <f>IF(AND(N6492="1521",MONTH(C6492)='BK-NL'!$M$11),"x","")</f>
        <v/>
      </c>
    </row>
    <row r="6493" spans="1:30" ht="16.5" customHeight="1">
      <c r="A6493" s="318" t="str">
        <f>IF(B6493&lt;&gt;"",IF(AND(B6493='IN-TC'!$S$4,OR(TH!N6493="1111",TH!O6493="1111")),TH!D6493,""),"")</f>
        <v/>
      </c>
      <c r="B6493" s="1163" t="str">
        <f t="shared" si="522"/>
        <v/>
      </c>
      <c r="C6493" s="61"/>
      <c r="D6493" s="61"/>
      <c r="E6493" s="61"/>
      <c r="F6493" s="69"/>
      <c r="G6493" s="766"/>
      <c r="H6493" s="69"/>
      <c r="I6493" s="385"/>
      <c r="J6493" s="392"/>
      <c r="K6493" s="385"/>
      <c r="L6493" s="392"/>
      <c r="M6493" s="62"/>
      <c r="N6493" s="63"/>
      <c r="O6493" s="63"/>
      <c r="P6493" s="79" t="str">
        <f>IF(AND('331-CT'!$E$7=TH!H6493,OR(N6493="331",O6493="331")),"x","")</f>
        <v/>
      </c>
      <c r="Q6493" s="79" t="str">
        <f>IF(AND(B6493='111'!$L$11,OR($N6493=$Q$7,$O6493=$Q$7)),"x","")</f>
        <v/>
      </c>
      <c r="R6493" s="79" t="str">
        <f>IF(AND($N6493=$Q$7,$B6493&lt;'111'!$L$11),"x","")</f>
        <v/>
      </c>
      <c r="S6493" s="79" t="str">
        <f>IF(AND($O6493=$Q$7,$B6493&lt;'111'!$L$11),"x","")</f>
        <v/>
      </c>
      <c r="T6493" s="79" t="str">
        <f>IF(ISERROR(FIND('112'!$M$9,G6493,1)),"",IF((AND(FIND('112'!$M$9,G6493,1)&gt;=1,B6493='112'!$K$9,OR($N6493='112'!$I$6,$O6493='112'!$I$6))),"x",""))</f>
        <v/>
      </c>
      <c r="U6493" s="79" t="str">
        <f>IF(ISERROR(FIND('112'!$M$9,G6493,1)),"",IF((AND(LEFT(G6493,2)=LEFT('112'!$M$9,2),B6493&lt;'112'!$K$9,$N6493='112'!$I$6)),"x",""))</f>
        <v/>
      </c>
      <c r="V6493" s="79" t="str">
        <f>IF(ISERROR(FIND('112'!$M$9,G6493,1)),"",IF((AND(RIGHT(G6493,2)=RIGHT('112'!$M$9,2),B6493&lt;'112'!$K$9,$O6493='112'!$I$6)),"x",""))</f>
        <v/>
      </c>
      <c r="W6493" s="79" t="str">
        <f>IF(AND('341-CT'!$H$9=H6493,OR(LEFT(N6493,3)=$W$7,LEFT(O6493,3)=$W$7)),"x","")</f>
        <v/>
      </c>
      <c r="X6493" s="79" t="str">
        <f>IF(OR(TH!N6493=TH!$X$7,O6493=TH!$X$7),"x","")</f>
        <v/>
      </c>
      <c r="Y6493" s="79" t="str">
        <f>IF(AND(OR(N6493="131",O6493="131"),H6493='131-CT'!$H$9),"x","")</f>
        <v/>
      </c>
      <c r="Z6493" s="79"/>
      <c r="AA6493" s="79" t="str">
        <f>IF(AND(MONTH(E6493)='IN-NX'!$J$5,'IN-NX'!$D$7=D6493),"x","")</f>
        <v/>
      </c>
      <c r="AB6493" s="79" t="str">
        <f>IF(AND(OR(LEFT(TH!N6493,2)="15",LEFT(TH!O6493,2)="15"),LEFT(TH!O6493,3)&lt;&gt;"111",'152-CT'!$J$8=TH!F6493),"x","")</f>
        <v/>
      </c>
      <c r="AC6493" s="79" t="str">
        <f>IF(AND(OR(LEFT(TH!N6493,2)="15",LEFT(TH!O6493,2)="15"),TK!$E$7=TH!F6493),"x","")</f>
        <v/>
      </c>
      <c r="AD6493" s="79" t="str">
        <f>IF(AND(N6493="1521",MONTH(C6493)='BK-NL'!$M$11),"x","")</f>
        <v/>
      </c>
    </row>
    <row r="6494" spans="1:30" ht="16.5" customHeight="1">
      <c r="A6494" s="318" t="str">
        <f>IF(B6494&lt;&gt;"",IF(AND(B6494='IN-TC'!$S$4,OR(TH!N6494="1111",TH!O6494="1111")),TH!D6494,""),"")</f>
        <v/>
      </c>
      <c r="B6494" s="1163" t="str">
        <f t="shared" si="522"/>
        <v/>
      </c>
      <c r="C6494" s="61"/>
      <c r="D6494" s="61"/>
      <c r="E6494" s="61"/>
      <c r="F6494" s="446"/>
      <c r="G6494" s="64"/>
      <c r="H6494" s="69"/>
      <c r="I6494" s="385"/>
      <c r="J6494" s="392"/>
      <c r="K6494" s="385"/>
      <c r="L6494" s="392"/>
      <c r="M6494" s="62"/>
      <c r="N6494" s="63"/>
      <c r="O6494" s="63"/>
      <c r="P6494" s="79" t="str">
        <f>IF(AND('331-CT'!$E$7=TH!H6494,OR(N6494="331",O6494="331")),"x","")</f>
        <v/>
      </c>
      <c r="Q6494" s="79" t="str">
        <f>IF(AND(B6494='111'!$L$11,OR($N6494=$Q$7,$O6494=$Q$7)),"x","")</f>
        <v/>
      </c>
      <c r="R6494" s="79" t="str">
        <f>IF(AND($N6494=$Q$7,$B6494&lt;'111'!$L$11),"x","")</f>
        <v/>
      </c>
      <c r="S6494" s="79" t="str">
        <f>IF(AND($O6494=$Q$7,$B6494&lt;'111'!$L$11),"x","")</f>
        <v/>
      </c>
      <c r="T6494" s="79" t="str">
        <f>IF(ISERROR(FIND('112'!$M$9,G6494,1)),"",IF((AND(FIND('112'!$M$9,G6494,1)&gt;=1,B6494='112'!$K$9,OR($N6494='112'!$I$6,$O6494='112'!$I$6))),"x",""))</f>
        <v/>
      </c>
      <c r="U6494" s="79" t="str">
        <f>IF(ISERROR(FIND('112'!$M$9,G6494,1)),"",IF((AND(LEFT(G6494,2)=LEFT('112'!$M$9,2),B6494&lt;'112'!$K$9,$N6494='112'!$I$6)),"x",""))</f>
        <v/>
      </c>
      <c r="V6494" s="79" t="str">
        <f>IF(ISERROR(FIND('112'!$M$9,G6494,1)),"",IF((AND(RIGHT(G6494,2)=RIGHT('112'!$M$9,2),B6494&lt;'112'!$K$9,$O6494='112'!$I$6)),"x",""))</f>
        <v/>
      </c>
      <c r="W6494" s="79" t="str">
        <f>IF(AND('341-CT'!$H$9=H6494,OR(LEFT(N6494,3)=$W$7,LEFT(O6494,3)=$W$7)),"x","")</f>
        <v/>
      </c>
      <c r="X6494" s="79" t="str">
        <f>IF(OR(TH!N6494=TH!$X$7,O6494=TH!$X$7),"x","")</f>
        <v/>
      </c>
      <c r="Y6494" s="79" t="str">
        <f>IF(AND(OR(N6494="131",O6494="131"),H6494='131-CT'!$H$9),"x","")</f>
        <v/>
      </c>
      <c r="Z6494" s="79"/>
      <c r="AA6494" s="79" t="str">
        <f>IF(AND(MONTH(E6494)='IN-NX'!$J$5,'IN-NX'!$D$7=D6494),"x","")</f>
        <v/>
      </c>
      <c r="AB6494" s="79" t="str">
        <f>IF(AND(OR(LEFT(TH!N6494,2)="15",LEFT(TH!O6494,2)="15"),LEFT(TH!O6494,3)&lt;&gt;"111",'152-CT'!$J$8=TH!F6494),"x","")</f>
        <v/>
      </c>
      <c r="AC6494" s="79" t="str">
        <f>IF(AND(OR(LEFT(TH!N6494,2)="15",LEFT(TH!O6494,2)="15"),TK!$E$7=TH!F6494),"x","")</f>
        <v/>
      </c>
      <c r="AD6494" s="79" t="str">
        <f>IF(AND(N6494="1521",MONTH(C6494)='BK-NL'!$M$11),"x","")</f>
        <v/>
      </c>
    </row>
    <row r="6495" spans="1:30" ht="16.5" customHeight="1">
      <c r="A6495" s="318" t="str">
        <f>IF(B6495&lt;&gt;"",IF(AND(B6495='IN-TC'!$S$4,OR(TH!N6495="1111",TH!O6495="1111")),TH!D6495,""),"")</f>
        <v/>
      </c>
      <c r="B6495" s="1163" t="str">
        <f t="shared" si="522"/>
        <v/>
      </c>
      <c r="C6495" s="61"/>
      <c r="D6495" s="61"/>
      <c r="E6495" s="61"/>
      <c r="F6495" s="446"/>
      <c r="G6495" s="64"/>
      <c r="H6495" s="69"/>
      <c r="I6495" s="385"/>
      <c r="J6495" s="392"/>
      <c r="K6495" s="385"/>
      <c r="L6495" s="392"/>
      <c r="M6495" s="62"/>
      <c r="N6495" s="63"/>
      <c r="O6495" s="63"/>
      <c r="P6495" s="79" t="str">
        <f>IF(AND('331-CT'!$E$7=TH!H6495,OR(N6495="331",O6495="331")),"x","")</f>
        <v/>
      </c>
      <c r="Q6495" s="79" t="str">
        <f>IF(AND(B6495='111'!$L$11,OR($N6495=$Q$7,$O6495=$Q$7)),"x","")</f>
        <v/>
      </c>
      <c r="R6495" s="79" t="str">
        <f>IF(AND($N6495=$Q$7,$B6495&lt;'111'!$L$11),"x","")</f>
        <v/>
      </c>
      <c r="S6495" s="79" t="str">
        <f>IF(AND($O6495=$Q$7,$B6495&lt;'111'!$L$11),"x","")</f>
        <v/>
      </c>
      <c r="T6495" s="79" t="str">
        <f>IF(ISERROR(FIND('112'!$M$9,G6495,1)),"",IF((AND(FIND('112'!$M$9,G6495,1)&gt;=1,B6495='112'!$K$9,OR($N6495='112'!$I$6,$O6495='112'!$I$6))),"x",""))</f>
        <v/>
      </c>
      <c r="U6495" s="79" t="str">
        <f>IF(ISERROR(FIND('112'!$M$9,G6495,1)),"",IF((AND(LEFT(G6495,2)=LEFT('112'!$M$9,2),B6495&lt;'112'!$K$9,$N6495='112'!$I$6)),"x",""))</f>
        <v/>
      </c>
      <c r="V6495" s="79" t="str">
        <f>IF(ISERROR(FIND('112'!$M$9,G6495,1)),"",IF((AND(RIGHT(G6495,2)=RIGHT('112'!$M$9,2),B6495&lt;'112'!$K$9,$O6495='112'!$I$6)),"x",""))</f>
        <v/>
      </c>
      <c r="W6495" s="79" t="str">
        <f>IF(AND('341-CT'!$H$9=H6495,OR(LEFT(N6495,3)=$W$7,LEFT(O6495,3)=$W$7)),"x","")</f>
        <v/>
      </c>
      <c r="X6495" s="79" t="str">
        <f>IF(OR(TH!N6495=TH!$X$7,O6495=TH!$X$7),"x","")</f>
        <v/>
      </c>
      <c r="Y6495" s="79" t="str">
        <f>IF(AND(OR(N6495="131",O6495="131"),H6495='131-CT'!$H$9),"x","")</f>
        <v/>
      </c>
      <c r="Z6495" s="79"/>
      <c r="AA6495" s="79" t="str">
        <f>IF(AND(MONTH(E6495)='IN-NX'!$J$5,'IN-NX'!$D$7=D6495),"x","")</f>
        <v/>
      </c>
      <c r="AB6495" s="79" t="str">
        <f>IF(AND(OR(LEFT(TH!N6495,2)="15",LEFT(TH!O6495,2)="15"),LEFT(TH!O6495,3)&lt;&gt;"111",'152-CT'!$J$8=TH!F6495),"x","")</f>
        <v/>
      </c>
      <c r="AC6495" s="79" t="str">
        <f>IF(AND(OR(LEFT(TH!N6495,2)="15",LEFT(TH!O6495,2)="15"),TK!$E$7=TH!F6495),"x","")</f>
        <v/>
      </c>
      <c r="AD6495" s="79" t="str">
        <f>IF(AND(N6495="1521",MONTH(C6495)='BK-NL'!$M$11),"x","")</f>
        <v/>
      </c>
    </row>
    <row r="6496" spans="1:30" ht="16.5" customHeight="1">
      <c r="A6496" s="318" t="str">
        <f>IF(B6496&lt;&gt;"",IF(AND(B6496='IN-TC'!$S$4,OR(TH!N6496="1111",TH!O6496="1111")),TH!D6496,""),"")</f>
        <v/>
      </c>
      <c r="B6496" s="1163" t="str">
        <f t="shared" si="522"/>
        <v/>
      </c>
      <c r="C6496" s="61"/>
      <c r="D6496" s="61"/>
      <c r="E6496" s="61"/>
      <c r="F6496" s="69"/>
      <c r="G6496" s="64"/>
      <c r="H6496" s="69"/>
      <c r="I6496" s="385"/>
      <c r="J6496" s="392"/>
      <c r="K6496" s="385"/>
      <c r="L6496" s="392"/>
      <c r="M6496" s="62"/>
      <c r="N6496" s="63"/>
      <c r="O6496" s="63"/>
      <c r="P6496" s="79" t="str">
        <f>IF(AND('331-CT'!$E$7=TH!H6496,OR(N6496="331",O6496="331")),"x","")</f>
        <v/>
      </c>
      <c r="Q6496" s="79" t="str">
        <f>IF(AND(B6496='111'!$L$11,OR($N6496=$Q$7,$O6496=$Q$7)),"x","")</f>
        <v/>
      </c>
      <c r="R6496" s="79" t="str">
        <f>IF(AND($N6496=$Q$7,$B6496&lt;'111'!$L$11),"x","")</f>
        <v/>
      </c>
      <c r="S6496" s="79" t="str">
        <f>IF(AND($O6496=$Q$7,$B6496&lt;'111'!$L$11),"x","")</f>
        <v/>
      </c>
      <c r="T6496" s="79" t="str">
        <f>IF(ISERROR(FIND('112'!$M$9,G6496,1)),"",IF((AND(FIND('112'!$M$9,G6496,1)&gt;=1,B6496='112'!$K$9,OR($N6496='112'!$I$6,$O6496='112'!$I$6))),"x",""))</f>
        <v/>
      </c>
      <c r="U6496" s="79" t="str">
        <f>IF(ISERROR(FIND('112'!$M$9,G6496,1)),"",IF((AND(LEFT(G6496,2)=LEFT('112'!$M$9,2),B6496&lt;'112'!$K$9,$N6496='112'!$I$6)),"x",""))</f>
        <v/>
      </c>
      <c r="V6496" s="79" t="str">
        <f>IF(ISERROR(FIND('112'!$M$9,G6496,1)),"",IF((AND(RIGHT(G6496,2)=RIGHT('112'!$M$9,2),B6496&lt;'112'!$K$9,$O6496='112'!$I$6)),"x",""))</f>
        <v/>
      </c>
      <c r="W6496" s="79" t="str">
        <f>IF(AND('341-CT'!$H$9=H6496,OR(LEFT(N6496,3)=$W$7,LEFT(O6496,3)=$W$7)),"x","")</f>
        <v/>
      </c>
      <c r="X6496" s="79" t="str">
        <f>IF(OR(TH!N6496=TH!$X$7,O6496=TH!$X$7),"x","")</f>
        <v/>
      </c>
      <c r="Y6496" s="79" t="str">
        <f>IF(AND(OR(N6496="131",O6496="131"),H6496='131-CT'!$H$9),"x","")</f>
        <v/>
      </c>
      <c r="Z6496" s="79"/>
      <c r="AA6496" s="79" t="str">
        <f>IF(AND(MONTH(E6496)='IN-NX'!$J$5,'IN-NX'!$D$7=D6496),"x","")</f>
        <v/>
      </c>
      <c r="AB6496" s="79" t="str">
        <f>IF(AND(OR(LEFT(TH!N6496,2)="15",LEFT(TH!O6496,2)="15"),LEFT(TH!O6496,3)&lt;&gt;"111",'152-CT'!$J$8=TH!F6496),"x","")</f>
        <v/>
      </c>
      <c r="AC6496" s="79" t="str">
        <f>IF(AND(OR(LEFT(TH!N6496,2)="15",LEFT(TH!O6496,2)="15"),TK!$E$7=TH!F6496),"x","")</f>
        <v/>
      </c>
      <c r="AD6496" s="79" t="str">
        <f>IF(AND(N6496="1521",MONTH(C6496)='BK-NL'!$M$11),"x","")</f>
        <v/>
      </c>
    </row>
    <row r="6497" spans="1:30" ht="16.5" customHeight="1">
      <c r="A6497" s="318" t="str">
        <f>IF(B6497&lt;&gt;"",IF(AND(B6497='IN-TC'!$S$4,OR(TH!N6497="1111",TH!O6497="1111")),TH!D6497,""),"")</f>
        <v/>
      </c>
      <c r="B6497" s="1163" t="str">
        <f t="shared" si="522"/>
        <v/>
      </c>
      <c r="C6497" s="61"/>
      <c r="D6497" s="61"/>
      <c r="E6497" s="61"/>
      <c r="F6497" s="69"/>
      <c r="G6497" s="64"/>
      <c r="H6497" s="69"/>
      <c r="I6497" s="385"/>
      <c r="J6497" s="392"/>
      <c r="K6497" s="385"/>
      <c r="L6497" s="392"/>
      <c r="M6497" s="62"/>
      <c r="N6497" s="63"/>
      <c r="O6497" s="63"/>
      <c r="P6497" s="79" t="str">
        <f>IF(AND('331-CT'!$E$7=TH!H6497,OR(N6497="331",O6497="331")),"x","")</f>
        <v/>
      </c>
      <c r="Q6497" s="79" t="str">
        <f>IF(AND(B6497='111'!$L$11,OR($N6497=$Q$7,$O6497=$Q$7)),"x","")</f>
        <v/>
      </c>
      <c r="R6497" s="79" t="str">
        <f>IF(AND($N6497=$Q$7,$B6497&lt;'111'!$L$11),"x","")</f>
        <v/>
      </c>
      <c r="S6497" s="79" t="str">
        <f>IF(AND($O6497=$Q$7,$B6497&lt;'111'!$L$11),"x","")</f>
        <v/>
      </c>
      <c r="T6497" s="79" t="str">
        <f>IF(ISERROR(FIND('112'!$M$9,G6497,1)),"",IF((AND(FIND('112'!$M$9,G6497,1)&gt;=1,B6497='112'!$K$9,OR($N6497='112'!$I$6,$O6497='112'!$I$6))),"x",""))</f>
        <v/>
      </c>
      <c r="U6497" s="79" t="str">
        <f>IF(ISERROR(FIND('112'!$M$9,G6497,1)),"",IF((AND(LEFT(G6497,2)=LEFT('112'!$M$9,2),B6497&lt;'112'!$K$9,$N6497='112'!$I$6)),"x",""))</f>
        <v/>
      </c>
      <c r="V6497" s="79" t="str">
        <f>IF(ISERROR(FIND('112'!$M$9,G6497,1)),"",IF((AND(RIGHT(G6497,2)=RIGHT('112'!$M$9,2),B6497&lt;'112'!$K$9,$O6497='112'!$I$6)),"x",""))</f>
        <v/>
      </c>
      <c r="W6497" s="79" t="str">
        <f>IF(AND('341-CT'!$H$9=H6497,OR(LEFT(N6497,3)=$W$7,LEFT(O6497,3)=$W$7)),"x","")</f>
        <v/>
      </c>
      <c r="X6497" s="79" t="str">
        <f>IF(OR(TH!N6497=TH!$X$7,O6497=TH!$X$7),"x","")</f>
        <v/>
      </c>
      <c r="Y6497" s="79" t="str">
        <f>IF(AND(OR(N6497="131",O6497="131"),H6497='131-CT'!$H$9),"x","")</f>
        <v/>
      </c>
      <c r="Z6497" s="79"/>
      <c r="AA6497" s="79" t="str">
        <f>IF(AND(MONTH(E6497)='IN-NX'!$J$5,'IN-NX'!$D$7=D6497),"x","")</f>
        <v/>
      </c>
      <c r="AB6497" s="79" t="str">
        <f>IF(AND(OR(LEFT(TH!N6497,2)="15",LEFT(TH!O6497,2)="15"),LEFT(TH!O6497,3)&lt;&gt;"111",'152-CT'!$J$8=TH!F6497),"x","")</f>
        <v/>
      </c>
      <c r="AC6497" s="79" t="str">
        <f>IF(AND(OR(LEFT(TH!N6497,2)="15",LEFT(TH!O6497,2)="15"),TK!$E$7=TH!F6497),"x","")</f>
        <v/>
      </c>
      <c r="AD6497" s="79" t="str">
        <f>IF(AND(N6497="1521",MONTH(C6497)='BK-NL'!$M$11),"x","")</f>
        <v/>
      </c>
    </row>
    <row r="6498" spans="1:30" ht="16.5" customHeight="1">
      <c r="A6498" s="318" t="str">
        <f>IF(B6498&lt;&gt;"",IF(AND(B6498='IN-TC'!$S$4,OR(TH!N6498="1111",TH!O6498="1111")),TH!D6498,""),"")</f>
        <v/>
      </c>
      <c r="B6498" s="1163" t="str">
        <f t="shared" si="522"/>
        <v/>
      </c>
      <c r="C6498" s="61"/>
      <c r="D6498" s="61"/>
      <c r="E6498" s="61"/>
      <c r="F6498" s="69"/>
      <c r="G6498" s="64"/>
      <c r="H6498" s="321"/>
      <c r="I6498" s="385"/>
      <c r="J6498" s="392"/>
      <c r="K6498" s="385"/>
      <c r="L6498" s="392"/>
      <c r="M6498" s="62"/>
      <c r="N6498" s="63"/>
      <c r="O6498" s="63"/>
      <c r="P6498" s="79" t="str">
        <f>IF(AND('331-CT'!$E$7=TH!H6498,OR(N6498="331",O6498="331")),"x","")</f>
        <v/>
      </c>
      <c r="Q6498" s="79" t="str">
        <f>IF(AND(B6498='111'!$L$11,OR($N6498=$Q$7,$O6498=$Q$7)),"x","")</f>
        <v/>
      </c>
      <c r="R6498" s="79" t="str">
        <f>IF(AND($N6498=$Q$7,$B6498&lt;'111'!$L$11),"x","")</f>
        <v/>
      </c>
      <c r="S6498" s="79" t="str">
        <f>IF(AND($O6498=$Q$7,$B6498&lt;'111'!$L$11),"x","")</f>
        <v/>
      </c>
      <c r="T6498" s="79" t="str">
        <f>IF(ISERROR(FIND('112'!$M$9,G6498,1)),"",IF((AND(FIND('112'!$M$9,G6498,1)&gt;=1,B6498='112'!$K$9,OR($N6498='112'!$I$6,$O6498='112'!$I$6))),"x",""))</f>
        <v/>
      </c>
      <c r="U6498" s="79" t="str">
        <f>IF(ISERROR(FIND('112'!$M$9,G6498,1)),"",IF((AND(LEFT(G6498,2)=LEFT('112'!$M$9,2),B6498&lt;'112'!$K$9,$N6498='112'!$I$6)),"x",""))</f>
        <v/>
      </c>
      <c r="V6498" s="79" t="str">
        <f>IF(ISERROR(FIND('112'!$M$9,G6498,1)),"",IF((AND(RIGHT(G6498,2)=RIGHT('112'!$M$9,2),B6498&lt;'112'!$K$9,$O6498='112'!$I$6)),"x",""))</f>
        <v/>
      </c>
      <c r="W6498" s="79" t="str">
        <f>IF(AND('341-CT'!$H$9=H6498,OR(LEFT(N6498,3)=$W$7,LEFT(O6498,3)=$W$7)),"x","")</f>
        <v/>
      </c>
      <c r="X6498" s="79" t="str">
        <f>IF(OR(TH!N6498=TH!$X$7,O6498=TH!$X$7),"x","")</f>
        <v/>
      </c>
      <c r="Y6498" s="79" t="str">
        <f>IF(AND(OR(N6498="131",O6498="131"),H6498='131-CT'!$H$9),"x","")</f>
        <v/>
      </c>
      <c r="Z6498" s="79"/>
      <c r="AA6498" s="79" t="str">
        <f>IF(AND(MONTH(E6498)='IN-NX'!$J$5,'IN-NX'!$D$7=D6498),"x","")</f>
        <v/>
      </c>
      <c r="AB6498" s="79" t="str">
        <f>IF(AND(OR(LEFT(TH!N6498,2)="15",LEFT(TH!O6498,2)="15"),LEFT(TH!O6498,3)&lt;&gt;"111",'152-CT'!$J$8=TH!F6498),"x","")</f>
        <v/>
      </c>
      <c r="AC6498" s="79" t="str">
        <f>IF(AND(OR(LEFT(TH!N6498,2)="15",LEFT(TH!O6498,2)="15"),TK!$E$7=TH!F6498),"x","")</f>
        <v/>
      </c>
      <c r="AD6498" s="79" t="str">
        <f>IF(AND(N6498="1521",MONTH(C6498)='BK-NL'!$M$11),"x","")</f>
        <v/>
      </c>
    </row>
    <row r="6499" spans="1:30" ht="16.5" customHeight="1">
      <c r="A6499" s="318" t="str">
        <f>IF(B6499&lt;&gt;"",IF(AND(B6499='IN-TC'!$S$4,OR(TH!N6499="1111",TH!O6499="1111")),TH!D6499,""),"")</f>
        <v/>
      </c>
      <c r="B6499" s="1163" t="str">
        <f t="shared" si="522"/>
        <v/>
      </c>
      <c r="C6499" s="61"/>
      <c r="D6499" s="61"/>
      <c r="E6499" s="61"/>
      <c r="F6499" s="69"/>
      <c r="G6499" s="64"/>
      <c r="H6499" s="321"/>
      <c r="I6499" s="385"/>
      <c r="J6499" s="392"/>
      <c r="K6499" s="385"/>
      <c r="L6499" s="392"/>
      <c r="M6499" s="62"/>
      <c r="N6499" s="63"/>
      <c r="O6499" s="63"/>
      <c r="P6499" s="79" t="str">
        <f>IF(AND('331-CT'!$E$7=TH!H6499,OR(N6499="331",O6499="331")),"x","")</f>
        <v/>
      </c>
      <c r="Q6499" s="79" t="str">
        <f>IF(AND(B6499='111'!$L$11,OR($N6499=$Q$7,$O6499=$Q$7)),"x","")</f>
        <v/>
      </c>
      <c r="R6499" s="79" t="str">
        <f>IF(AND($N6499=$Q$7,$B6499&lt;'111'!$L$11),"x","")</f>
        <v/>
      </c>
      <c r="S6499" s="79" t="str">
        <f>IF(AND($O6499=$Q$7,$B6499&lt;'111'!$L$11),"x","")</f>
        <v/>
      </c>
      <c r="T6499" s="79" t="str">
        <f>IF(ISERROR(FIND('112'!$M$9,G6499,1)),"",IF((AND(FIND('112'!$M$9,G6499,1)&gt;=1,B6499='112'!$K$9,OR($N6499='112'!$I$6,$O6499='112'!$I$6))),"x",""))</f>
        <v/>
      </c>
      <c r="U6499" s="79" t="str">
        <f>IF(ISERROR(FIND('112'!$M$9,G6499,1)),"",IF((AND(LEFT(G6499,2)=LEFT('112'!$M$9,2),B6499&lt;'112'!$K$9,$N6499='112'!$I$6)),"x",""))</f>
        <v/>
      </c>
      <c r="V6499" s="79" t="str">
        <f>IF(ISERROR(FIND('112'!$M$9,G6499,1)),"",IF((AND(RIGHT(G6499,2)=RIGHT('112'!$M$9,2),B6499&lt;'112'!$K$9,$O6499='112'!$I$6)),"x",""))</f>
        <v/>
      </c>
      <c r="W6499" s="79" t="str">
        <f>IF(AND('341-CT'!$H$9=H6499,OR(LEFT(N6499,3)=$W$7,LEFT(O6499,3)=$W$7)),"x","")</f>
        <v/>
      </c>
      <c r="X6499" s="79" t="str">
        <f>IF(OR(TH!N6499=TH!$X$7,O6499=TH!$X$7),"x","")</f>
        <v/>
      </c>
      <c r="Y6499" s="79" t="str">
        <f>IF(AND(OR(N6499="131",O6499="131"),H6499='131-CT'!$H$9),"x","")</f>
        <v/>
      </c>
      <c r="Z6499" s="79"/>
      <c r="AA6499" s="79" t="str">
        <f>IF(AND(MONTH(E6499)='IN-NX'!$J$5,'IN-NX'!$D$7=D6499),"x","")</f>
        <v/>
      </c>
      <c r="AB6499" s="79" t="str">
        <f>IF(AND(OR(LEFT(TH!N6499,2)="15",LEFT(TH!O6499,2)="15"),LEFT(TH!O6499,3)&lt;&gt;"111",'152-CT'!$J$8=TH!F6499),"x","")</f>
        <v/>
      </c>
      <c r="AC6499" s="79" t="str">
        <f>IF(AND(OR(LEFT(TH!N6499,2)="15",LEFT(TH!O6499,2)="15"),TK!$E$7=TH!F6499),"x","")</f>
        <v/>
      </c>
      <c r="AD6499" s="79" t="str">
        <f>IF(AND(N6499="1521",MONTH(C6499)='BK-NL'!$M$11),"x","")</f>
        <v/>
      </c>
    </row>
    <row r="6500" spans="1:30" ht="16.5" customHeight="1">
      <c r="A6500" s="318" t="str">
        <f>IF(B6500&lt;&gt;"",IF(AND(B6500='IN-TC'!$S$4,OR(TH!N6500="1111",TH!O6500="1111")),TH!D6500,""),"")</f>
        <v/>
      </c>
      <c r="B6500" s="1163" t="str">
        <f t="shared" si="522"/>
        <v/>
      </c>
      <c r="C6500" s="61"/>
      <c r="D6500" s="61"/>
      <c r="E6500" s="61"/>
      <c r="F6500" s="69"/>
      <c r="G6500" s="64"/>
      <c r="H6500" s="321"/>
      <c r="I6500" s="385"/>
      <c r="J6500" s="392"/>
      <c r="K6500" s="385"/>
      <c r="L6500" s="392"/>
      <c r="M6500" s="62"/>
      <c r="N6500" s="63"/>
      <c r="O6500" s="63"/>
      <c r="P6500" s="79" t="str">
        <f>IF(AND('331-CT'!$E$7=TH!H6500,OR(N6500="331",O6500="331")),"x","")</f>
        <v/>
      </c>
      <c r="Q6500" s="79" t="str">
        <f>IF(AND(B6500='111'!$L$11,OR($N6500=$Q$7,$O6500=$Q$7)),"x","")</f>
        <v/>
      </c>
      <c r="R6500" s="79" t="str">
        <f>IF(AND($N6500=$Q$7,$B6500&lt;'111'!$L$11),"x","")</f>
        <v/>
      </c>
      <c r="S6500" s="79" t="str">
        <f>IF(AND($O6500=$Q$7,$B6500&lt;'111'!$L$11),"x","")</f>
        <v/>
      </c>
      <c r="T6500" s="79" t="str">
        <f>IF(ISERROR(FIND('112'!$M$9,G6500,1)),"",IF((AND(FIND('112'!$M$9,G6500,1)&gt;=1,B6500='112'!$K$9,OR($N6500='112'!$I$6,$O6500='112'!$I$6))),"x",""))</f>
        <v/>
      </c>
      <c r="U6500" s="79" t="str">
        <f>IF(ISERROR(FIND('112'!$M$9,G6500,1)),"",IF((AND(LEFT(G6500,2)=LEFT('112'!$M$9,2),B6500&lt;'112'!$K$9,$N6500='112'!$I$6)),"x",""))</f>
        <v/>
      </c>
      <c r="V6500" s="79" t="str">
        <f>IF(ISERROR(FIND('112'!$M$9,G6500,1)),"",IF((AND(RIGHT(G6500,2)=RIGHT('112'!$M$9,2),B6500&lt;'112'!$K$9,$O6500='112'!$I$6)),"x",""))</f>
        <v/>
      </c>
      <c r="W6500" s="79" t="str">
        <f>IF(AND('341-CT'!$H$9=H6500,OR(LEFT(N6500,3)=$W$7,LEFT(O6500,3)=$W$7)),"x","")</f>
        <v/>
      </c>
      <c r="X6500" s="79" t="str">
        <f>IF(OR(TH!N6500=TH!$X$7,O6500=TH!$X$7),"x","")</f>
        <v/>
      </c>
      <c r="Y6500" s="79" t="str">
        <f>IF(AND(OR(N6500="131",O6500="131"),H6500='131-CT'!$H$9),"x","")</f>
        <v/>
      </c>
      <c r="Z6500" s="79"/>
      <c r="AA6500" s="79" t="str">
        <f>IF(AND(MONTH(E6500)='IN-NX'!$J$5,'IN-NX'!$D$7=D6500),"x","")</f>
        <v/>
      </c>
      <c r="AB6500" s="79" t="str">
        <f>IF(AND(OR(LEFT(TH!N6500,2)="15",LEFT(TH!O6500,2)="15"),LEFT(TH!O6500,3)&lt;&gt;"111",'152-CT'!$J$8=TH!F6500),"x","")</f>
        <v/>
      </c>
      <c r="AC6500" s="79" t="str">
        <f>IF(AND(OR(LEFT(TH!N6500,2)="15",LEFT(TH!O6500,2)="15"),TK!$E$7=TH!F6500),"x","")</f>
        <v/>
      </c>
      <c r="AD6500" s="79" t="str">
        <f>IF(AND(N6500="1521",MONTH(C6500)='BK-NL'!$M$11),"x","")</f>
        <v/>
      </c>
    </row>
    <row r="6501" spans="1:30" ht="16.5" customHeight="1">
      <c r="A6501" s="318" t="str">
        <f>IF(B6501&lt;&gt;"",IF(AND(B6501='IN-TC'!$S$4,OR(TH!N6501="1111",TH!O6501="1111")),TH!D6501,""),"")</f>
        <v/>
      </c>
      <c r="B6501" s="1163" t="str">
        <f t="shared" si="522"/>
        <v/>
      </c>
      <c r="C6501" s="61"/>
      <c r="D6501" s="61"/>
      <c r="E6501" s="61"/>
      <c r="F6501" s="69"/>
      <c r="G6501" s="64"/>
      <c r="H6501" s="321"/>
      <c r="I6501" s="385"/>
      <c r="J6501" s="392"/>
      <c r="K6501" s="385"/>
      <c r="L6501" s="392"/>
      <c r="M6501" s="62"/>
      <c r="N6501" s="63"/>
      <c r="O6501" s="63"/>
      <c r="P6501" s="79" t="str">
        <f>IF(AND('331-CT'!$E$7=TH!H6501,OR(N6501="331",O6501="331")),"x","")</f>
        <v/>
      </c>
      <c r="Q6501" s="79" t="str">
        <f>IF(AND(B6501='111'!$L$11,OR($N6501=$Q$7,$O6501=$Q$7)),"x","")</f>
        <v/>
      </c>
      <c r="R6501" s="79" t="str">
        <f>IF(AND($N6501=$Q$7,$B6501&lt;'111'!$L$11),"x","")</f>
        <v/>
      </c>
      <c r="S6501" s="79" t="str">
        <f>IF(AND($O6501=$Q$7,$B6501&lt;'111'!$L$11),"x","")</f>
        <v/>
      </c>
      <c r="T6501" s="79" t="str">
        <f>IF(ISERROR(FIND('112'!$M$9,G6501,1)),"",IF((AND(FIND('112'!$M$9,G6501,1)&gt;=1,B6501='112'!$K$9,OR($N6501='112'!$I$6,$O6501='112'!$I$6))),"x",""))</f>
        <v/>
      </c>
      <c r="U6501" s="79" t="str">
        <f>IF(ISERROR(FIND('112'!$M$9,G6501,1)),"",IF((AND(LEFT(G6501,2)=LEFT('112'!$M$9,2),B6501&lt;'112'!$K$9,$N6501='112'!$I$6)),"x",""))</f>
        <v/>
      </c>
      <c r="V6501" s="79" t="str">
        <f>IF(ISERROR(FIND('112'!$M$9,G6501,1)),"",IF((AND(RIGHT(G6501,2)=RIGHT('112'!$M$9,2),B6501&lt;'112'!$K$9,$O6501='112'!$I$6)),"x",""))</f>
        <v/>
      </c>
      <c r="W6501" s="79" t="str">
        <f>IF(AND('341-CT'!$H$9=H6501,OR(LEFT(N6501,3)=$W$7,LEFT(O6501,3)=$W$7)),"x","")</f>
        <v/>
      </c>
      <c r="X6501" s="79" t="str">
        <f>IF(OR(TH!N6501=TH!$X$7,O6501=TH!$X$7),"x","")</f>
        <v/>
      </c>
      <c r="Y6501" s="79" t="str">
        <f>IF(AND(OR(N6501="131",O6501="131"),H6501='131-CT'!$H$9),"x","")</f>
        <v/>
      </c>
      <c r="Z6501" s="79"/>
      <c r="AA6501" s="79" t="str">
        <f>IF(AND(MONTH(E6501)='IN-NX'!$J$5,'IN-NX'!$D$7=D6501),"x","")</f>
        <v/>
      </c>
      <c r="AB6501" s="79" t="str">
        <f>IF(AND(OR(LEFT(TH!N6501,2)="15",LEFT(TH!O6501,2)="15"),LEFT(TH!O6501,3)&lt;&gt;"111",'152-CT'!$J$8=TH!F6501),"x","")</f>
        <v/>
      </c>
      <c r="AC6501" s="79" t="str">
        <f>IF(AND(OR(LEFT(TH!N6501,2)="15",LEFT(TH!O6501,2)="15"),TK!$E$7=TH!F6501),"x","")</f>
        <v/>
      </c>
      <c r="AD6501" s="79" t="str">
        <f>IF(AND(N6501="1521",MONTH(C6501)='BK-NL'!$M$11),"x","")</f>
        <v/>
      </c>
    </row>
    <row r="6502" spans="1:30" ht="16.5" customHeight="1">
      <c r="A6502" s="318" t="str">
        <f>IF(B6502&lt;&gt;"",IF(AND(B6502='IN-TC'!$S$4,OR(TH!N6502="1111",TH!O6502="1111")),TH!D6502,""),"")</f>
        <v/>
      </c>
      <c r="B6502" s="1163" t="str">
        <f t="shared" si="522"/>
        <v/>
      </c>
      <c r="C6502" s="61"/>
      <c r="D6502" s="61"/>
      <c r="E6502" s="61"/>
      <c r="F6502" s="69"/>
      <c r="G6502" s="64"/>
      <c r="H6502" s="321"/>
      <c r="I6502" s="385"/>
      <c r="J6502" s="392"/>
      <c r="K6502" s="385"/>
      <c r="L6502" s="392"/>
      <c r="M6502" s="62"/>
      <c r="N6502" s="63"/>
      <c r="O6502" s="63"/>
      <c r="P6502" s="79" t="str">
        <f>IF(AND('331-CT'!$E$7=TH!H6502,OR(N6502="331",O6502="331")),"x","")</f>
        <v/>
      </c>
      <c r="Q6502" s="79" t="str">
        <f>IF(AND(B6502='111'!$L$11,OR($N6502=$Q$7,$O6502=$Q$7)),"x","")</f>
        <v/>
      </c>
      <c r="R6502" s="79" t="str">
        <f>IF(AND($N6502=$Q$7,$B6502&lt;'111'!$L$11),"x","")</f>
        <v/>
      </c>
      <c r="S6502" s="79" t="str">
        <f>IF(AND($O6502=$Q$7,$B6502&lt;'111'!$L$11),"x","")</f>
        <v/>
      </c>
      <c r="T6502" s="79" t="str">
        <f>IF(ISERROR(FIND('112'!$M$9,G6502,1)),"",IF((AND(FIND('112'!$M$9,G6502,1)&gt;=1,B6502='112'!$K$9,OR($N6502='112'!$I$6,$O6502='112'!$I$6))),"x",""))</f>
        <v/>
      </c>
      <c r="U6502" s="79" t="str">
        <f>IF(ISERROR(FIND('112'!$M$9,G6502,1)),"",IF((AND(LEFT(G6502,2)=LEFT('112'!$M$9,2),B6502&lt;'112'!$K$9,$N6502='112'!$I$6)),"x",""))</f>
        <v/>
      </c>
      <c r="V6502" s="79" t="str">
        <f>IF(ISERROR(FIND('112'!$M$9,G6502,1)),"",IF((AND(RIGHT(G6502,2)=RIGHT('112'!$M$9,2),B6502&lt;'112'!$K$9,$O6502='112'!$I$6)),"x",""))</f>
        <v/>
      </c>
      <c r="W6502" s="79" t="str">
        <f>IF(AND('341-CT'!$H$9=H6502,OR(LEFT(N6502,3)=$W$7,LEFT(O6502,3)=$W$7)),"x","")</f>
        <v/>
      </c>
      <c r="X6502" s="79" t="str">
        <f>IF(OR(TH!N6502=TH!$X$7,O6502=TH!$X$7),"x","")</f>
        <v/>
      </c>
      <c r="Y6502" s="79" t="str">
        <f>IF(AND(OR(N6502="131",O6502="131"),H6502='131-CT'!$H$9),"x","")</f>
        <v/>
      </c>
      <c r="Z6502" s="79"/>
      <c r="AA6502" s="79" t="str">
        <f>IF(AND(MONTH(E6502)='IN-NX'!$J$5,'IN-NX'!$D$7=D6502),"x","")</f>
        <v/>
      </c>
      <c r="AB6502" s="79" t="str">
        <f>IF(AND(OR(LEFT(TH!N6502,2)="15",LEFT(TH!O6502,2)="15"),LEFT(TH!O6502,3)&lt;&gt;"111",'152-CT'!$J$8=TH!F6502),"x","")</f>
        <v/>
      </c>
      <c r="AC6502" s="79" t="str">
        <f>IF(AND(OR(LEFT(TH!N6502,2)="15",LEFT(TH!O6502,2)="15"),TK!$E$7=TH!F6502),"x","")</f>
        <v/>
      </c>
      <c r="AD6502" s="79" t="str">
        <f>IF(AND(N6502="1521",MONTH(C6502)='BK-NL'!$M$11),"x","")</f>
        <v/>
      </c>
    </row>
    <row r="6503" spans="1:30" ht="16.5" customHeight="1">
      <c r="A6503" s="318" t="str">
        <f>IF(B6503&lt;&gt;"",IF(AND(B6503='IN-TC'!$S$4,OR(TH!N6503="1111",TH!O6503="1111")),TH!D6503,""),"")</f>
        <v/>
      </c>
      <c r="B6503" s="1163" t="str">
        <f t="shared" si="522"/>
        <v/>
      </c>
      <c r="C6503" s="61"/>
      <c r="D6503" s="61"/>
      <c r="E6503" s="61"/>
      <c r="F6503" s="69"/>
      <c r="G6503" s="64"/>
      <c r="H6503" s="321"/>
      <c r="I6503" s="385"/>
      <c r="J6503" s="392"/>
      <c r="K6503" s="385"/>
      <c r="L6503" s="392"/>
      <c r="M6503" s="62"/>
      <c r="N6503" s="63"/>
      <c r="O6503" s="63"/>
      <c r="P6503" s="79" t="str">
        <f>IF(AND('331-CT'!$E$7=TH!H6503,OR(N6503="331",O6503="331")),"x","")</f>
        <v/>
      </c>
      <c r="Q6503" s="79" t="str">
        <f>IF(AND(B6503='111'!$L$11,OR($N6503=$Q$7,$O6503=$Q$7)),"x","")</f>
        <v/>
      </c>
      <c r="R6503" s="79" t="str">
        <f>IF(AND($N6503=$Q$7,$B6503&lt;'111'!$L$11),"x","")</f>
        <v/>
      </c>
      <c r="S6503" s="79" t="str">
        <f>IF(AND($O6503=$Q$7,$B6503&lt;'111'!$L$11),"x","")</f>
        <v/>
      </c>
      <c r="T6503" s="79" t="str">
        <f>IF(ISERROR(FIND('112'!$M$9,G6503,1)),"",IF((AND(FIND('112'!$M$9,G6503,1)&gt;=1,B6503='112'!$K$9,OR($N6503='112'!$I$6,$O6503='112'!$I$6))),"x",""))</f>
        <v/>
      </c>
      <c r="U6503" s="79" t="str">
        <f>IF(ISERROR(FIND('112'!$M$9,G6503,1)),"",IF((AND(LEFT(G6503,2)=LEFT('112'!$M$9,2),B6503&lt;'112'!$K$9,$N6503='112'!$I$6)),"x",""))</f>
        <v/>
      </c>
      <c r="V6503" s="79" t="str">
        <f>IF(ISERROR(FIND('112'!$M$9,G6503,1)),"",IF((AND(RIGHT(G6503,2)=RIGHT('112'!$M$9,2),B6503&lt;'112'!$K$9,$O6503='112'!$I$6)),"x",""))</f>
        <v/>
      </c>
      <c r="W6503" s="79" t="str">
        <f>IF(AND('341-CT'!$H$9=H6503,OR(LEFT(N6503,3)=$W$7,LEFT(O6503,3)=$W$7)),"x","")</f>
        <v/>
      </c>
      <c r="X6503" s="79" t="str">
        <f>IF(OR(TH!N6503=TH!$X$7,O6503=TH!$X$7),"x","")</f>
        <v/>
      </c>
      <c r="Y6503" s="79" t="str">
        <f>IF(AND(OR(N6503="131",O6503="131"),H6503='131-CT'!$H$9),"x","")</f>
        <v/>
      </c>
      <c r="Z6503" s="79"/>
      <c r="AA6503" s="79" t="str">
        <f>IF(AND(MONTH(E6503)='IN-NX'!$J$5,'IN-NX'!$D$7=D6503),"x","")</f>
        <v/>
      </c>
      <c r="AB6503" s="79" t="str">
        <f>IF(AND(OR(LEFT(TH!N6503,2)="15",LEFT(TH!O6503,2)="15"),LEFT(TH!O6503,3)&lt;&gt;"111",'152-CT'!$J$8=TH!F6503),"x","")</f>
        <v/>
      </c>
      <c r="AC6503" s="79" t="str">
        <f>IF(AND(OR(LEFT(TH!N6503,2)="15",LEFT(TH!O6503,2)="15"),TK!$E$7=TH!F6503),"x","")</f>
        <v/>
      </c>
      <c r="AD6503" s="79" t="str">
        <f>IF(AND(N6503="1521",MONTH(C6503)='BK-NL'!$M$11),"x","")</f>
        <v/>
      </c>
    </row>
    <row r="6504" spans="1:30" ht="16.5" customHeight="1">
      <c r="A6504" s="318" t="str">
        <f>IF(B6504&lt;&gt;"",IF(AND(B6504='IN-TC'!$S$4,OR(TH!N6504="1111",TH!O6504="1111")),TH!D6504,""),"")</f>
        <v/>
      </c>
      <c r="B6504" s="1163" t="str">
        <f t="shared" si="522"/>
        <v/>
      </c>
      <c r="C6504" s="61"/>
      <c r="D6504" s="61"/>
      <c r="E6504" s="61"/>
      <c r="F6504" s="69"/>
      <c r="G6504" s="64"/>
      <c r="H6504" s="69"/>
      <c r="I6504" s="385"/>
      <c r="J6504" s="392"/>
      <c r="K6504" s="385"/>
      <c r="L6504" s="392"/>
      <c r="M6504" s="62"/>
      <c r="N6504" s="63"/>
      <c r="O6504" s="63"/>
      <c r="P6504" s="79" t="str">
        <f>IF(AND('331-CT'!$E$7=TH!H6504,OR(N6504="331",O6504="331")),"x","")</f>
        <v/>
      </c>
      <c r="Q6504" s="79" t="str">
        <f>IF(AND(B6504='111'!$L$11,OR($N6504=$Q$7,$O6504=$Q$7)),"x","")</f>
        <v/>
      </c>
      <c r="R6504" s="79" t="str">
        <f>IF(AND($N6504=$Q$7,$B6504&lt;'111'!$L$11),"x","")</f>
        <v/>
      </c>
      <c r="S6504" s="79" t="str">
        <f>IF(AND($O6504=$Q$7,$B6504&lt;'111'!$L$11),"x","")</f>
        <v/>
      </c>
      <c r="T6504" s="79" t="str">
        <f>IF(ISERROR(FIND('112'!$M$9,G6504,1)),"",IF((AND(FIND('112'!$M$9,G6504,1)&gt;=1,B6504='112'!$K$9,OR($N6504='112'!$I$6,$O6504='112'!$I$6))),"x",""))</f>
        <v/>
      </c>
      <c r="U6504" s="79" t="str">
        <f>IF(ISERROR(FIND('112'!$M$9,G6504,1)),"",IF((AND(LEFT(G6504,2)=LEFT('112'!$M$9,2),B6504&lt;'112'!$K$9,$N6504='112'!$I$6)),"x",""))</f>
        <v/>
      </c>
      <c r="V6504" s="79" t="str">
        <f>IF(ISERROR(FIND('112'!$M$9,G6504,1)),"",IF((AND(RIGHT(G6504,2)=RIGHT('112'!$M$9,2),B6504&lt;'112'!$K$9,$O6504='112'!$I$6)),"x",""))</f>
        <v/>
      </c>
      <c r="W6504" s="79" t="str">
        <f>IF(AND('341-CT'!$H$9=H6504,OR(LEFT(N6504,3)=$W$7,LEFT(O6504,3)=$W$7)),"x","")</f>
        <v/>
      </c>
      <c r="X6504" s="79" t="str">
        <f>IF(OR(TH!N6504=TH!$X$7,O6504=TH!$X$7),"x","")</f>
        <v/>
      </c>
      <c r="Y6504" s="79" t="str">
        <f>IF(AND(OR(N6504="131",O6504="131"),H6504='131-CT'!$H$9),"x","")</f>
        <v/>
      </c>
      <c r="Z6504" s="79"/>
      <c r="AA6504" s="79" t="str">
        <f>IF(AND(MONTH(E6504)='IN-NX'!$J$5,'IN-NX'!$D$7=D6504),"x","")</f>
        <v/>
      </c>
      <c r="AB6504" s="79" t="str">
        <f>IF(AND(OR(LEFT(TH!N6504,2)="15",LEFT(TH!O6504,2)="15"),LEFT(TH!O6504,3)&lt;&gt;"111",'152-CT'!$J$8=TH!F6504),"x","")</f>
        <v/>
      </c>
      <c r="AC6504" s="79" t="str">
        <f>IF(AND(OR(LEFT(TH!N6504,2)="15",LEFT(TH!O6504,2)="15"),TK!$E$7=TH!F6504),"x","")</f>
        <v/>
      </c>
      <c r="AD6504" s="79" t="str">
        <f>IF(AND(N6504="1521",MONTH(C6504)='BK-NL'!$M$11),"x","")</f>
        <v/>
      </c>
    </row>
    <row r="6505" spans="1:30" ht="16.5" customHeight="1">
      <c r="A6505" s="318" t="str">
        <f>IF(B6505&lt;&gt;"",IF(AND(B6505='IN-TC'!$S$4,OR(TH!N6505="1111",TH!O6505="1111")),TH!D6505,""),"")</f>
        <v/>
      </c>
      <c r="B6505" s="1163" t="str">
        <f t="shared" si="522"/>
        <v/>
      </c>
      <c r="C6505" s="61"/>
      <c r="D6505" s="61"/>
      <c r="E6505" s="61"/>
      <c r="F6505" s="69"/>
      <c r="G6505" s="64"/>
      <c r="H6505" s="69"/>
      <c r="I6505" s="385"/>
      <c r="J6505" s="392"/>
      <c r="K6505" s="385"/>
      <c r="L6505" s="392"/>
      <c r="M6505" s="62"/>
      <c r="N6505" s="63"/>
      <c r="O6505" s="63"/>
      <c r="P6505" s="79" t="str">
        <f>IF(AND('331-CT'!$E$7=TH!H6505,OR(N6505="331",O6505="331")),"x","")</f>
        <v/>
      </c>
      <c r="Q6505" s="79" t="str">
        <f>IF(AND(B6505='111'!$L$11,OR($N6505=$Q$7,$O6505=$Q$7)),"x","")</f>
        <v/>
      </c>
      <c r="R6505" s="79" t="str">
        <f>IF(AND($N6505=$Q$7,$B6505&lt;'111'!$L$11),"x","")</f>
        <v/>
      </c>
      <c r="S6505" s="79" t="str">
        <f>IF(AND($O6505=$Q$7,$B6505&lt;'111'!$L$11),"x","")</f>
        <v/>
      </c>
      <c r="T6505" s="79" t="str">
        <f>IF(ISERROR(FIND('112'!$M$9,G6505,1)),"",IF((AND(FIND('112'!$M$9,G6505,1)&gt;=1,B6505='112'!$K$9,OR($N6505='112'!$I$6,$O6505='112'!$I$6))),"x",""))</f>
        <v/>
      </c>
      <c r="U6505" s="79" t="str">
        <f>IF(ISERROR(FIND('112'!$M$9,G6505,1)),"",IF((AND(LEFT(G6505,2)=LEFT('112'!$M$9,2),B6505&lt;'112'!$K$9,$N6505='112'!$I$6)),"x",""))</f>
        <v/>
      </c>
      <c r="V6505" s="79" t="str">
        <f>IF(ISERROR(FIND('112'!$M$9,G6505,1)),"",IF((AND(RIGHT(G6505,2)=RIGHT('112'!$M$9,2),B6505&lt;'112'!$K$9,$O6505='112'!$I$6)),"x",""))</f>
        <v/>
      </c>
      <c r="W6505" s="79" t="str">
        <f>IF(AND('341-CT'!$H$9=H6505,OR(LEFT(N6505,3)=$W$7,LEFT(O6505,3)=$W$7)),"x","")</f>
        <v/>
      </c>
      <c r="X6505" s="79" t="str">
        <f>IF(OR(TH!N6505=TH!$X$7,O6505=TH!$X$7),"x","")</f>
        <v/>
      </c>
      <c r="Y6505" s="79" t="str">
        <f>IF(AND(OR(N6505="131",O6505="131"),H6505='131-CT'!$H$9),"x","")</f>
        <v/>
      </c>
      <c r="Z6505" s="79"/>
      <c r="AA6505" s="79" t="str">
        <f>IF(AND(MONTH(E6505)='IN-NX'!$J$5,'IN-NX'!$D$7=D6505),"x","")</f>
        <v/>
      </c>
      <c r="AB6505" s="79" t="str">
        <f>IF(AND(OR(LEFT(TH!N6505,2)="15",LEFT(TH!O6505,2)="15"),LEFT(TH!O6505,3)&lt;&gt;"111",'152-CT'!$J$8=TH!F6505),"x","")</f>
        <v/>
      </c>
      <c r="AC6505" s="79" t="str">
        <f>IF(AND(OR(LEFT(TH!N6505,2)="15",LEFT(TH!O6505,2)="15"),TK!$E$7=TH!F6505),"x","")</f>
        <v/>
      </c>
      <c r="AD6505" s="79" t="str">
        <f>IF(AND(N6505="1521",MONTH(C6505)='BK-NL'!$M$11),"x","")</f>
        <v/>
      </c>
    </row>
    <row r="6506" spans="1:30" ht="16.5" customHeight="1">
      <c r="A6506" s="318" t="str">
        <f>IF(B6506&lt;&gt;"",IF(AND(B6506='IN-TC'!$S$4,OR(TH!N6506="1111",TH!O6506="1111")),TH!D6506,""),"")</f>
        <v/>
      </c>
      <c r="B6506" s="1163" t="str">
        <f t="shared" si="522"/>
        <v/>
      </c>
      <c r="C6506" s="61"/>
      <c r="D6506" s="61"/>
      <c r="E6506" s="61"/>
      <c r="F6506" s="69"/>
      <c r="G6506" s="64"/>
      <c r="H6506" s="69"/>
      <c r="I6506" s="385"/>
      <c r="J6506" s="392"/>
      <c r="K6506" s="385"/>
      <c r="L6506" s="392"/>
      <c r="M6506" s="920"/>
      <c r="N6506" s="63"/>
      <c r="O6506" s="63"/>
      <c r="P6506" s="79" t="str">
        <f>IF(AND('331-CT'!$E$7=TH!H6506,OR(N6506="331",O6506="331")),"x","")</f>
        <v/>
      </c>
      <c r="Q6506" s="79" t="str">
        <f>IF(AND(B6506='111'!$L$11,OR($N6506=$Q$7,$O6506=$Q$7)),"x","")</f>
        <v/>
      </c>
      <c r="R6506" s="79" t="str">
        <f>IF(AND($N6506=$Q$7,$B6506&lt;'111'!$L$11),"x","")</f>
        <v/>
      </c>
      <c r="S6506" s="79" t="str">
        <f>IF(AND($O6506=$Q$7,$B6506&lt;'111'!$L$11),"x","")</f>
        <v/>
      </c>
      <c r="T6506" s="79" t="str">
        <f>IF(ISERROR(FIND('112'!$M$9,G6506,1)),"",IF((AND(FIND('112'!$M$9,G6506,1)&gt;=1,B6506='112'!$K$9,OR($N6506='112'!$I$6,$O6506='112'!$I$6))),"x",""))</f>
        <v/>
      </c>
      <c r="U6506" s="79" t="str">
        <f>IF(ISERROR(FIND('112'!$M$9,G6506,1)),"",IF((AND(LEFT(G6506,2)=LEFT('112'!$M$9,2),B6506&lt;'112'!$K$9,$N6506='112'!$I$6)),"x",""))</f>
        <v/>
      </c>
      <c r="V6506" s="79" t="str">
        <f>IF(ISERROR(FIND('112'!$M$9,G6506,1)),"",IF((AND(RIGHT(G6506,2)=RIGHT('112'!$M$9,2),B6506&lt;'112'!$K$9,$O6506='112'!$I$6)),"x",""))</f>
        <v/>
      </c>
      <c r="W6506" s="79" t="str">
        <f>IF(AND('341-CT'!$H$9=H6506,OR(LEFT(N6506,3)=$W$7,LEFT(O6506,3)=$W$7)),"x","")</f>
        <v/>
      </c>
      <c r="X6506" s="79" t="str">
        <f>IF(OR(TH!N6506=TH!$X$7,O6506=TH!$X$7),"x","")</f>
        <v/>
      </c>
      <c r="Y6506" s="79" t="str">
        <f>IF(AND(OR(N6506="131",O6506="131"),H6506='131-CT'!$H$9),"x","")</f>
        <v/>
      </c>
      <c r="Z6506" s="79"/>
      <c r="AA6506" s="79" t="str">
        <f>IF(AND(MONTH(E6506)='IN-NX'!$J$5,'IN-NX'!$D$7=D6506),"x","")</f>
        <v/>
      </c>
      <c r="AB6506" s="79" t="str">
        <f>IF(AND(OR(LEFT(TH!N6506,2)="15",LEFT(TH!O6506,2)="15"),LEFT(TH!O6506,3)&lt;&gt;"111",'152-CT'!$J$8=TH!F6506),"x","")</f>
        <v/>
      </c>
      <c r="AC6506" s="79" t="str">
        <f>IF(AND(OR(LEFT(TH!N6506,2)="15",LEFT(TH!O6506,2)="15"),TK!$E$7=TH!F6506),"x","")</f>
        <v/>
      </c>
      <c r="AD6506" s="79" t="str">
        <f>IF(AND(N6506="1521",MONTH(C6506)='BK-NL'!$M$11),"x","")</f>
        <v/>
      </c>
    </row>
    <row r="6507" spans="1:30" ht="16.5" customHeight="1">
      <c r="A6507" s="318" t="str">
        <f>IF(B6507&lt;&gt;"",IF(AND(B6507='IN-TC'!$S$4,OR(TH!N6507="1111",TH!O6507="1111")),TH!D6507,""),"")</f>
        <v/>
      </c>
      <c r="B6507" s="1163" t="str">
        <f t="shared" si="522"/>
        <v/>
      </c>
      <c r="C6507" s="61"/>
      <c r="D6507" s="61"/>
      <c r="E6507" s="61"/>
      <c r="F6507" s="69"/>
      <c r="G6507" s="64"/>
      <c r="H6507" s="69"/>
      <c r="I6507" s="385"/>
      <c r="J6507" s="392"/>
      <c r="K6507" s="385"/>
      <c r="L6507" s="392"/>
      <c r="M6507" s="62"/>
      <c r="N6507" s="63"/>
      <c r="O6507" s="63"/>
      <c r="P6507" s="79" t="str">
        <f>IF(AND('331-CT'!$E$7=TH!H6507,OR(N6507="331",O6507="331")),"x","")</f>
        <v/>
      </c>
      <c r="Q6507" s="79" t="str">
        <f>IF(AND(B6507='111'!$L$11,OR($N6507=$Q$7,$O6507=$Q$7)),"x","")</f>
        <v/>
      </c>
      <c r="R6507" s="79" t="str">
        <f>IF(AND($N6507=$Q$7,$B6507&lt;'111'!$L$11),"x","")</f>
        <v/>
      </c>
      <c r="S6507" s="79" t="str">
        <f>IF(AND($O6507=$Q$7,$B6507&lt;'111'!$L$11),"x","")</f>
        <v/>
      </c>
      <c r="T6507" s="79" t="str">
        <f>IF(ISERROR(FIND('112'!$M$9,G6507,1)),"",IF((AND(FIND('112'!$M$9,G6507,1)&gt;=1,B6507='112'!$K$9,OR($N6507='112'!$I$6,$O6507='112'!$I$6))),"x",""))</f>
        <v/>
      </c>
      <c r="U6507" s="79" t="str">
        <f>IF(ISERROR(FIND('112'!$M$9,G6507,1)),"",IF((AND(LEFT(G6507,2)=LEFT('112'!$M$9,2),B6507&lt;'112'!$K$9,$N6507='112'!$I$6)),"x",""))</f>
        <v/>
      </c>
      <c r="V6507" s="79" t="str">
        <f>IF(ISERROR(FIND('112'!$M$9,G6507,1)),"",IF((AND(RIGHT(G6507,2)=RIGHT('112'!$M$9,2),B6507&lt;'112'!$K$9,$O6507='112'!$I$6)),"x",""))</f>
        <v/>
      </c>
      <c r="W6507" s="79" t="str">
        <f>IF(AND('341-CT'!$H$9=H6507,OR(LEFT(N6507,3)=$W$7,LEFT(O6507,3)=$W$7)),"x","")</f>
        <v/>
      </c>
      <c r="X6507" s="79" t="str">
        <f>IF(OR(TH!N6507=TH!$X$7,O6507=TH!$X$7),"x","")</f>
        <v/>
      </c>
      <c r="Y6507" s="79" t="str">
        <f>IF(AND(OR(N6507="131",O6507="131"),H6507='131-CT'!$H$9),"x","")</f>
        <v/>
      </c>
      <c r="Z6507" s="79"/>
      <c r="AA6507" s="79" t="str">
        <f>IF(AND(MONTH(E6507)='IN-NX'!$J$5,'IN-NX'!$D$7=D6507),"x","")</f>
        <v/>
      </c>
      <c r="AB6507" s="79" t="str">
        <f>IF(AND(OR(LEFT(TH!N6507,2)="15",LEFT(TH!O6507,2)="15"),LEFT(TH!O6507,3)&lt;&gt;"111",'152-CT'!$J$8=TH!F6507),"x","")</f>
        <v/>
      </c>
      <c r="AC6507" s="79" t="str">
        <f>IF(AND(OR(LEFT(TH!N6507,2)="15",LEFT(TH!O6507,2)="15"),TK!$E$7=TH!F6507),"x","")</f>
        <v/>
      </c>
      <c r="AD6507" s="79" t="str">
        <f>IF(AND(N6507="1521",MONTH(C6507)='BK-NL'!$M$11),"x","")</f>
        <v/>
      </c>
    </row>
    <row r="6508" spans="1:30" ht="16.5" customHeight="1">
      <c r="A6508" s="318" t="str">
        <f>IF(B6508&lt;&gt;"",IF(AND(B6508='IN-TC'!$S$4,OR(TH!N6508="1111",TH!O6508="1111")),TH!D6508,""),"")</f>
        <v/>
      </c>
      <c r="B6508" s="1163" t="str">
        <f t="shared" si="522"/>
        <v/>
      </c>
      <c r="C6508" s="61"/>
      <c r="D6508" s="61"/>
      <c r="E6508" s="61"/>
      <c r="F6508" s="69"/>
      <c r="G6508" s="64"/>
      <c r="H6508" s="69"/>
      <c r="I6508" s="385"/>
      <c r="J6508" s="392"/>
      <c r="K6508" s="385"/>
      <c r="L6508" s="392"/>
      <c r="M6508" s="62"/>
      <c r="N6508" s="63"/>
      <c r="O6508" s="63"/>
      <c r="P6508" s="79" t="str">
        <f>IF(AND('331-CT'!$E$7=TH!H6508,OR(N6508="331",O6508="331")),"x","")</f>
        <v/>
      </c>
      <c r="Q6508" s="79" t="str">
        <f>IF(AND(B6508='111'!$L$11,OR($N6508=$Q$7,$O6508=$Q$7)),"x","")</f>
        <v/>
      </c>
      <c r="R6508" s="79" t="str">
        <f>IF(AND($N6508=$Q$7,$B6508&lt;'111'!$L$11),"x","")</f>
        <v/>
      </c>
      <c r="S6508" s="79" t="str">
        <f>IF(AND($O6508=$Q$7,$B6508&lt;'111'!$L$11),"x","")</f>
        <v/>
      </c>
      <c r="T6508" s="79" t="str">
        <f>IF(ISERROR(FIND('112'!$M$9,G6508,1)),"",IF((AND(FIND('112'!$M$9,G6508,1)&gt;=1,B6508='112'!$K$9,OR($N6508='112'!$I$6,$O6508='112'!$I$6))),"x",""))</f>
        <v/>
      </c>
      <c r="U6508" s="79" t="str">
        <f>IF(ISERROR(FIND('112'!$M$9,G6508,1)),"",IF((AND(LEFT(G6508,2)=LEFT('112'!$M$9,2),B6508&lt;'112'!$K$9,$N6508='112'!$I$6)),"x",""))</f>
        <v/>
      </c>
      <c r="V6508" s="79" t="str">
        <f>IF(ISERROR(FIND('112'!$M$9,G6508,1)),"",IF((AND(RIGHT(G6508,2)=RIGHT('112'!$M$9,2),B6508&lt;'112'!$K$9,$O6508='112'!$I$6)),"x",""))</f>
        <v/>
      </c>
      <c r="W6508" s="79" t="str">
        <f>IF(AND('341-CT'!$H$9=H6508,OR(LEFT(N6508,3)=$W$7,LEFT(O6508,3)=$W$7)),"x","")</f>
        <v/>
      </c>
      <c r="X6508" s="79" t="str">
        <f>IF(OR(TH!N6508=TH!$X$7,O6508=TH!$X$7),"x","")</f>
        <v/>
      </c>
      <c r="Y6508" s="79" t="str">
        <f>IF(AND(OR(N6508="131",O6508="131"),H6508='131-CT'!$H$9),"x","")</f>
        <v/>
      </c>
      <c r="Z6508" s="79"/>
      <c r="AA6508" s="79" t="str">
        <f>IF(AND(MONTH(E6508)='IN-NX'!$J$5,'IN-NX'!$D$7=D6508),"x","")</f>
        <v/>
      </c>
      <c r="AB6508" s="79" t="str">
        <f>IF(AND(OR(LEFT(TH!N6508,2)="15",LEFT(TH!O6508,2)="15"),LEFT(TH!O6508,3)&lt;&gt;"111",'152-CT'!$J$8=TH!F6508),"x","")</f>
        <v/>
      </c>
      <c r="AC6508" s="79" t="str">
        <f>IF(AND(OR(LEFT(TH!N6508,2)="15",LEFT(TH!O6508,2)="15"),TK!$E$7=TH!F6508),"x","")</f>
        <v/>
      </c>
      <c r="AD6508" s="79" t="str">
        <f>IF(AND(N6508="1521",MONTH(C6508)='BK-NL'!$M$11),"x","")</f>
        <v/>
      </c>
    </row>
    <row r="6509" spans="1:30" ht="16.5" customHeight="1">
      <c r="A6509" s="318" t="str">
        <f>IF(B6509&lt;&gt;"",IF(AND(B6509='IN-TC'!$S$4,OR(TH!N6509="1111",TH!O6509="1111")),TH!D6509,""),"")</f>
        <v/>
      </c>
      <c r="B6509" s="1163" t="str">
        <f t="shared" si="522"/>
        <v/>
      </c>
      <c r="C6509" s="61"/>
      <c r="D6509" s="61"/>
      <c r="E6509" s="61"/>
      <c r="F6509" s="69"/>
      <c r="G6509" s="64"/>
      <c r="H6509" s="303"/>
      <c r="I6509" s="385"/>
      <c r="J6509" s="392"/>
      <c r="K6509" s="385"/>
      <c r="L6509" s="392"/>
      <c r="M6509" s="62"/>
      <c r="N6509" s="63"/>
      <c r="O6509" s="63"/>
      <c r="P6509" s="79" t="str">
        <f>IF(AND('331-CT'!$E$7=TH!H6509,OR(N6509="331",O6509="331")),"x","")</f>
        <v/>
      </c>
      <c r="Q6509" s="79" t="str">
        <f>IF(AND(B6509='111'!$L$11,OR($N6509=$Q$7,$O6509=$Q$7)),"x","")</f>
        <v/>
      </c>
      <c r="R6509" s="79" t="str">
        <f>IF(AND($N6509=$Q$7,$B6509&lt;'111'!$L$11),"x","")</f>
        <v/>
      </c>
      <c r="S6509" s="79" t="str">
        <f>IF(AND($O6509=$Q$7,$B6509&lt;'111'!$L$11),"x","")</f>
        <v/>
      </c>
      <c r="T6509" s="79" t="str">
        <f>IF(ISERROR(FIND('112'!$M$9,G6509,1)),"",IF((AND(FIND('112'!$M$9,G6509,1)&gt;=1,B6509='112'!$K$9,OR($N6509='112'!$I$6,$O6509='112'!$I$6))),"x",""))</f>
        <v/>
      </c>
      <c r="U6509" s="79" t="str">
        <f>IF(ISERROR(FIND('112'!$M$9,G6509,1)),"",IF((AND(LEFT(G6509,2)=LEFT('112'!$M$9,2),B6509&lt;'112'!$K$9,$N6509='112'!$I$6)),"x",""))</f>
        <v/>
      </c>
      <c r="V6509" s="79" t="str">
        <f>IF(ISERROR(FIND('112'!$M$9,G6509,1)),"",IF((AND(RIGHT(G6509,2)=RIGHT('112'!$M$9,2),B6509&lt;'112'!$K$9,$O6509='112'!$I$6)),"x",""))</f>
        <v/>
      </c>
      <c r="W6509" s="79" t="str">
        <f>IF(AND('341-CT'!$H$9=H6509,OR(LEFT(N6509,3)=$W$7,LEFT(O6509,3)=$W$7)),"x","")</f>
        <v/>
      </c>
      <c r="X6509" s="79" t="str">
        <f>IF(OR(TH!N6509=TH!$X$7,O6509=TH!$X$7),"x","")</f>
        <v/>
      </c>
      <c r="Y6509" s="79" t="str">
        <f>IF(AND(OR(N6509="131",O6509="131"),H6509='131-CT'!$H$9),"x","")</f>
        <v/>
      </c>
      <c r="Z6509" s="79"/>
      <c r="AA6509" s="79" t="str">
        <f>IF(AND(MONTH(E6509)='IN-NX'!$J$5,'IN-NX'!$D$7=D6509),"x","")</f>
        <v/>
      </c>
      <c r="AB6509" s="79" t="str">
        <f>IF(AND(OR(LEFT(TH!N6509,2)="15",LEFT(TH!O6509,2)="15"),LEFT(TH!O6509,3)&lt;&gt;"111",'152-CT'!$J$8=TH!F6509),"x","")</f>
        <v/>
      </c>
      <c r="AC6509" s="79" t="str">
        <f>IF(AND(OR(LEFT(TH!N6509,2)="15",LEFT(TH!O6509,2)="15"),TK!$E$7=TH!F6509),"x","")</f>
        <v/>
      </c>
      <c r="AD6509" s="79" t="str">
        <f>IF(AND(N6509="1521",MONTH(C6509)='BK-NL'!$M$11),"x","")</f>
        <v/>
      </c>
    </row>
    <row r="6510" spans="1:30" ht="16.5" customHeight="1">
      <c r="A6510" s="318" t="str">
        <f>IF(B6510&lt;&gt;"",IF(AND(B6510='IN-TC'!$S$4,OR(TH!N6510="1111",TH!O6510="1111")),TH!D6510,""),"")</f>
        <v/>
      </c>
      <c r="B6510" s="1163" t="str">
        <f t="shared" si="522"/>
        <v/>
      </c>
      <c r="C6510" s="61"/>
      <c r="D6510" s="61"/>
      <c r="E6510" s="61"/>
      <c r="F6510" s="69"/>
      <c r="G6510" s="64"/>
      <c r="H6510" s="69"/>
      <c r="I6510" s="385"/>
      <c r="J6510" s="392"/>
      <c r="K6510" s="385"/>
      <c r="L6510" s="392"/>
      <c r="M6510" s="62"/>
      <c r="N6510" s="63"/>
      <c r="O6510" s="63"/>
      <c r="P6510" s="79" t="str">
        <f>IF(AND('331-CT'!$E$7=TH!H6510,OR(N6510="331",O6510="331")),"x","")</f>
        <v/>
      </c>
      <c r="Q6510" s="79" t="str">
        <f>IF(AND(B6510='111'!$L$11,OR($N6510=$Q$7,$O6510=$Q$7)),"x","")</f>
        <v/>
      </c>
      <c r="R6510" s="79" t="str">
        <f>IF(AND($N6510=$Q$7,$B6510&lt;'111'!$L$11),"x","")</f>
        <v/>
      </c>
      <c r="S6510" s="79" t="str">
        <f>IF(AND($O6510=$Q$7,$B6510&lt;'111'!$L$11),"x","")</f>
        <v/>
      </c>
      <c r="T6510" s="79" t="str">
        <f>IF(ISERROR(FIND('112'!$M$9,G6510,1)),"",IF((AND(FIND('112'!$M$9,G6510,1)&gt;=1,B6510='112'!$K$9,OR($N6510='112'!$I$6,$O6510='112'!$I$6))),"x",""))</f>
        <v/>
      </c>
      <c r="U6510" s="79" t="str">
        <f>IF(ISERROR(FIND('112'!$M$9,G6510,1)),"",IF((AND(LEFT(G6510,2)=LEFT('112'!$M$9,2),B6510&lt;'112'!$K$9,$N6510='112'!$I$6)),"x",""))</f>
        <v/>
      </c>
      <c r="V6510" s="79" t="str">
        <f>IF(ISERROR(FIND('112'!$M$9,G6510,1)),"",IF((AND(RIGHT(G6510,2)=RIGHT('112'!$M$9,2),B6510&lt;'112'!$K$9,$O6510='112'!$I$6)),"x",""))</f>
        <v/>
      </c>
      <c r="W6510" s="79" t="str">
        <f>IF(AND('341-CT'!$H$9=H6510,OR(LEFT(N6510,3)=$W$7,LEFT(O6510,3)=$W$7)),"x","")</f>
        <v/>
      </c>
      <c r="X6510" s="79" t="str">
        <f>IF(OR(TH!N6510=TH!$X$7,O6510=TH!$X$7),"x","")</f>
        <v/>
      </c>
      <c r="Y6510" s="79" t="str">
        <f>IF(AND(OR(N6510="131",O6510="131"),H6510='131-CT'!$H$9),"x","")</f>
        <v/>
      </c>
      <c r="Z6510" s="79"/>
      <c r="AA6510" s="79" t="str">
        <f>IF(AND(MONTH(E6510)='IN-NX'!$J$5,'IN-NX'!$D$7=D6510),"x","")</f>
        <v/>
      </c>
      <c r="AB6510" s="79" t="str">
        <f>IF(AND(OR(LEFT(TH!N6510,2)="15",LEFT(TH!O6510,2)="15"),LEFT(TH!O6510,3)&lt;&gt;"111",'152-CT'!$J$8=TH!F6510),"x","")</f>
        <v/>
      </c>
      <c r="AC6510" s="79" t="str">
        <f>IF(AND(OR(LEFT(TH!N6510,2)="15",LEFT(TH!O6510,2)="15"),TK!$E$7=TH!F6510),"x","")</f>
        <v/>
      </c>
      <c r="AD6510" s="79" t="str">
        <f>IF(AND(N6510="1521",MONTH(C6510)='BK-NL'!$M$11),"x","")</f>
        <v/>
      </c>
    </row>
    <row r="6511" spans="1:30" ht="16.5" customHeight="1">
      <c r="A6511" s="318" t="str">
        <f>IF(B6511&lt;&gt;"",IF(AND(B6511='IN-TC'!$S$4,OR(TH!N6511="1111",TH!O6511="1111")),TH!D6511,""),"")</f>
        <v/>
      </c>
      <c r="B6511" s="1163" t="str">
        <f t="shared" si="522"/>
        <v/>
      </c>
      <c r="C6511" s="61"/>
      <c r="D6511" s="61"/>
      <c r="E6511" s="61"/>
      <c r="F6511" s="69"/>
      <c r="G6511" s="64"/>
      <c r="H6511" s="69"/>
      <c r="I6511" s="385"/>
      <c r="J6511" s="392"/>
      <c r="K6511" s="385"/>
      <c r="L6511" s="392"/>
      <c r="M6511" s="62"/>
      <c r="N6511" s="63"/>
      <c r="O6511" s="63"/>
      <c r="P6511" s="79" t="str">
        <f>IF(AND('331-CT'!$E$7=TH!H6511,OR(N6511="331",O6511="331")),"x","")</f>
        <v/>
      </c>
      <c r="Q6511" s="79" t="str">
        <f>IF(AND(B6511='111'!$L$11,OR($N6511=$Q$7,$O6511=$Q$7)),"x","")</f>
        <v/>
      </c>
      <c r="R6511" s="79" t="str">
        <f>IF(AND($N6511=$Q$7,$B6511&lt;'111'!$L$11),"x","")</f>
        <v/>
      </c>
      <c r="S6511" s="79" t="str">
        <f>IF(AND($O6511=$Q$7,$B6511&lt;'111'!$L$11),"x","")</f>
        <v/>
      </c>
      <c r="T6511" s="79" t="str">
        <f>IF(ISERROR(FIND('112'!$M$9,G6511,1)),"",IF((AND(FIND('112'!$M$9,G6511,1)&gt;=1,B6511='112'!$K$9,OR($N6511='112'!$I$6,$O6511='112'!$I$6))),"x",""))</f>
        <v/>
      </c>
      <c r="U6511" s="79" t="str">
        <f>IF(ISERROR(FIND('112'!$M$9,G6511,1)),"",IF((AND(LEFT(G6511,2)=LEFT('112'!$M$9,2),B6511&lt;'112'!$K$9,$N6511='112'!$I$6)),"x",""))</f>
        <v/>
      </c>
      <c r="V6511" s="79" t="str">
        <f>IF(ISERROR(FIND('112'!$M$9,G6511,1)),"",IF((AND(RIGHT(G6511,2)=RIGHT('112'!$M$9,2),B6511&lt;'112'!$K$9,$O6511='112'!$I$6)),"x",""))</f>
        <v/>
      </c>
      <c r="W6511" s="79" t="str">
        <f>IF(AND('341-CT'!$H$9=H6511,OR(LEFT(N6511,3)=$W$7,LEFT(O6511,3)=$W$7)),"x","")</f>
        <v/>
      </c>
      <c r="X6511" s="79" t="str">
        <f>IF(OR(TH!N6511=TH!$X$7,O6511=TH!$X$7),"x","")</f>
        <v/>
      </c>
      <c r="Y6511" s="79" t="str">
        <f>IF(AND(OR(N6511="131",O6511="131"),H6511='131-CT'!$H$9),"x","")</f>
        <v/>
      </c>
      <c r="Z6511" s="79"/>
      <c r="AA6511" s="79" t="str">
        <f>IF(AND(MONTH(E6511)='IN-NX'!$J$5,'IN-NX'!$D$7=D6511),"x","")</f>
        <v/>
      </c>
      <c r="AB6511" s="79" t="str">
        <f>IF(AND(OR(LEFT(TH!N6511,2)="15",LEFT(TH!O6511,2)="15"),LEFT(TH!O6511,3)&lt;&gt;"111",'152-CT'!$J$8=TH!F6511),"x","")</f>
        <v/>
      </c>
      <c r="AC6511" s="79" t="str">
        <f>IF(AND(OR(LEFT(TH!N6511,2)="15",LEFT(TH!O6511,2)="15"),TK!$E$7=TH!F6511),"x","")</f>
        <v/>
      </c>
      <c r="AD6511" s="79" t="str">
        <f>IF(AND(N6511="1521",MONTH(C6511)='BK-NL'!$M$11),"x","")</f>
        <v/>
      </c>
    </row>
    <row r="6512" spans="1:30" ht="16.5" customHeight="1">
      <c r="A6512" s="318" t="str">
        <f>IF(B6512&lt;&gt;"",IF(AND(B6512='IN-TC'!$S$4,OR(TH!N6512="1111",TH!O6512="1111")),TH!D6512,""),"")</f>
        <v/>
      </c>
      <c r="B6512" s="1163" t="str">
        <f t="shared" si="522"/>
        <v/>
      </c>
      <c r="C6512" s="61"/>
      <c r="D6512" s="61"/>
      <c r="E6512" s="61"/>
      <c r="F6512" s="69"/>
      <c r="G6512" s="64"/>
      <c r="H6512" s="321"/>
      <c r="I6512" s="385"/>
      <c r="J6512" s="392"/>
      <c r="K6512" s="385"/>
      <c r="L6512" s="392"/>
      <c r="M6512" s="62"/>
      <c r="N6512" s="63"/>
      <c r="O6512" s="63"/>
      <c r="P6512" s="79" t="str">
        <f>IF(AND('331-CT'!$E$7=TH!H6512,OR(N6512="331",O6512="331")),"x","")</f>
        <v/>
      </c>
      <c r="Q6512" s="79" t="str">
        <f>IF(AND(B6512='111'!$L$11,OR($N6512=$Q$7,$O6512=$Q$7)),"x","")</f>
        <v/>
      </c>
      <c r="R6512" s="79" t="str">
        <f>IF(AND($N6512=$Q$7,$B6512&lt;'111'!$L$11),"x","")</f>
        <v/>
      </c>
      <c r="S6512" s="79" t="str">
        <f>IF(AND($O6512=$Q$7,$B6512&lt;'111'!$L$11),"x","")</f>
        <v/>
      </c>
      <c r="T6512" s="79" t="str">
        <f>IF(ISERROR(FIND('112'!$M$9,G6512,1)),"",IF((AND(FIND('112'!$M$9,G6512,1)&gt;=1,B6512='112'!$K$9,OR($N6512='112'!$I$6,$O6512='112'!$I$6))),"x",""))</f>
        <v/>
      </c>
      <c r="U6512" s="79" t="str">
        <f>IF(ISERROR(FIND('112'!$M$9,G6512,1)),"",IF((AND(LEFT(G6512,2)=LEFT('112'!$M$9,2),B6512&lt;'112'!$K$9,$N6512='112'!$I$6)),"x",""))</f>
        <v/>
      </c>
      <c r="V6512" s="79" t="str">
        <f>IF(ISERROR(FIND('112'!$M$9,G6512,1)),"",IF((AND(RIGHT(G6512,2)=RIGHT('112'!$M$9,2),B6512&lt;'112'!$K$9,$O6512='112'!$I$6)),"x",""))</f>
        <v/>
      </c>
      <c r="W6512" s="79" t="str">
        <f>IF(AND('341-CT'!$H$9=H6512,OR(LEFT(N6512,3)=$W$7,LEFT(O6512,3)=$W$7)),"x","")</f>
        <v/>
      </c>
      <c r="X6512" s="79" t="str">
        <f>IF(OR(TH!N6512=TH!$X$7,O6512=TH!$X$7),"x","")</f>
        <v/>
      </c>
      <c r="Y6512" s="79" t="str">
        <f>IF(AND(OR(N6512="131",O6512="131"),H6512='131-CT'!$H$9),"x","")</f>
        <v/>
      </c>
      <c r="Z6512" s="79"/>
      <c r="AA6512" s="79" t="str">
        <f>IF(AND(MONTH(E6512)='IN-NX'!$J$5,'IN-NX'!$D$7=D6512),"x","")</f>
        <v/>
      </c>
      <c r="AB6512" s="79" t="str">
        <f>IF(AND(OR(LEFT(TH!N6512,2)="15",LEFT(TH!O6512,2)="15"),LEFT(TH!O6512,3)&lt;&gt;"111",'152-CT'!$J$8=TH!F6512),"x","")</f>
        <v/>
      </c>
      <c r="AC6512" s="79" t="str">
        <f>IF(AND(OR(LEFT(TH!N6512,2)="15",LEFT(TH!O6512,2)="15"),TK!$E$7=TH!F6512),"x","")</f>
        <v/>
      </c>
      <c r="AD6512" s="79" t="str">
        <f>IF(AND(N6512="1521",MONTH(C6512)='BK-NL'!$M$11),"x","")</f>
        <v/>
      </c>
    </row>
    <row r="6513" spans="1:30" ht="16.5" customHeight="1">
      <c r="A6513" s="318" t="str">
        <f>IF(B6513&lt;&gt;"",IF(AND(B6513='IN-TC'!$S$4,OR(TH!N6513="1111",TH!O6513="1111")),TH!D6513,""),"")</f>
        <v/>
      </c>
      <c r="B6513" s="1163" t="str">
        <f t="shared" si="522"/>
        <v/>
      </c>
      <c r="C6513" s="61"/>
      <c r="D6513" s="61"/>
      <c r="E6513" s="61"/>
      <c r="F6513" s="69"/>
      <c r="G6513" s="64"/>
      <c r="H6513" s="69"/>
      <c r="I6513" s="385"/>
      <c r="J6513" s="392"/>
      <c r="K6513" s="385"/>
      <c r="L6513" s="392"/>
      <c r="M6513" s="62"/>
      <c r="N6513" s="63"/>
      <c r="O6513" s="63"/>
      <c r="P6513" s="79" t="str">
        <f>IF(AND('331-CT'!$E$7=TH!H6513,OR(N6513="331",O6513="331")),"x","")</f>
        <v/>
      </c>
      <c r="Q6513" s="79" t="str">
        <f>IF(AND(B6513='111'!$L$11,OR($N6513=$Q$7,$O6513=$Q$7)),"x","")</f>
        <v/>
      </c>
      <c r="R6513" s="79" t="str">
        <f>IF(AND($N6513=$Q$7,$B6513&lt;'111'!$L$11),"x","")</f>
        <v/>
      </c>
      <c r="S6513" s="79" t="str">
        <f>IF(AND($O6513=$Q$7,$B6513&lt;'111'!$L$11),"x","")</f>
        <v/>
      </c>
      <c r="T6513" s="79" t="str">
        <f>IF(ISERROR(FIND('112'!$M$9,G6513,1)),"",IF((AND(FIND('112'!$M$9,G6513,1)&gt;=1,B6513='112'!$K$9,OR($N6513='112'!$I$6,$O6513='112'!$I$6))),"x",""))</f>
        <v/>
      </c>
      <c r="U6513" s="79" t="str">
        <f>IF(ISERROR(FIND('112'!$M$9,G6513,1)),"",IF((AND(LEFT(G6513,2)=LEFT('112'!$M$9,2),B6513&lt;'112'!$K$9,$N6513='112'!$I$6)),"x",""))</f>
        <v/>
      </c>
      <c r="V6513" s="79" t="str">
        <f>IF(ISERROR(FIND('112'!$M$9,G6513,1)),"",IF((AND(RIGHT(G6513,2)=RIGHT('112'!$M$9,2),B6513&lt;'112'!$K$9,$O6513='112'!$I$6)),"x",""))</f>
        <v/>
      </c>
      <c r="W6513" s="79" t="str">
        <f>IF(AND('341-CT'!$H$9=H6513,OR(LEFT(N6513,3)=$W$7,LEFT(O6513,3)=$W$7)),"x","")</f>
        <v/>
      </c>
      <c r="X6513" s="79" t="str">
        <f>IF(OR(TH!N6513=TH!$X$7,O6513=TH!$X$7),"x","")</f>
        <v/>
      </c>
      <c r="Y6513" s="79" t="str">
        <f>IF(AND(OR(N6513="131",O6513="131"),H6513='131-CT'!$H$9),"x","")</f>
        <v/>
      </c>
      <c r="Z6513" s="79"/>
      <c r="AA6513" s="79" t="str">
        <f>IF(AND(MONTH(E6513)='IN-NX'!$J$5,'IN-NX'!$D$7=D6513),"x","")</f>
        <v/>
      </c>
      <c r="AB6513" s="79" t="str">
        <f>IF(AND(OR(LEFT(TH!N6513,2)="15",LEFT(TH!O6513,2)="15"),LEFT(TH!O6513,3)&lt;&gt;"111",'152-CT'!$J$8=TH!F6513),"x","")</f>
        <v/>
      </c>
      <c r="AC6513" s="79" t="str">
        <f>IF(AND(OR(LEFT(TH!N6513,2)="15",LEFT(TH!O6513,2)="15"),TK!$E$7=TH!F6513),"x","")</f>
        <v/>
      </c>
      <c r="AD6513" s="79" t="str">
        <f>IF(AND(N6513="1521",MONTH(C6513)='BK-NL'!$M$11),"x","")</f>
        <v/>
      </c>
    </row>
    <row r="6514" spans="1:30" ht="16.5" customHeight="1">
      <c r="A6514" s="318" t="str">
        <f>IF(B6514&lt;&gt;"",IF(AND(B6514='IN-TC'!$S$4,OR(TH!N6514="1111",TH!O6514="1111")),TH!D6514,""),"")</f>
        <v/>
      </c>
      <c r="B6514" s="1163" t="str">
        <f t="shared" si="522"/>
        <v/>
      </c>
      <c r="C6514" s="61"/>
      <c r="D6514" s="61"/>
      <c r="E6514" s="61"/>
      <c r="F6514" s="69"/>
      <c r="G6514" s="64"/>
      <c r="H6514" s="69"/>
      <c r="I6514" s="385"/>
      <c r="J6514" s="392"/>
      <c r="K6514" s="385"/>
      <c r="L6514" s="392"/>
      <c r="M6514" s="62"/>
      <c r="N6514" s="63"/>
      <c r="O6514" s="63"/>
      <c r="P6514" s="79" t="str">
        <f>IF(AND('331-CT'!$E$7=TH!H6514,OR(N6514="331",O6514="331")),"x","")</f>
        <v/>
      </c>
      <c r="Q6514" s="79" t="str">
        <f>IF(AND(B6514='111'!$L$11,OR($N6514=$Q$7,$O6514=$Q$7)),"x","")</f>
        <v/>
      </c>
      <c r="R6514" s="79" t="str">
        <f>IF(AND($N6514=$Q$7,$B6514&lt;'111'!$L$11),"x","")</f>
        <v/>
      </c>
      <c r="S6514" s="79" t="str">
        <f>IF(AND($O6514=$Q$7,$B6514&lt;'111'!$L$11),"x","")</f>
        <v/>
      </c>
      <c r="T6514" s="79" t="str">
        <f>IF(ISERROR(FIND('112'!$M$9,G6514,1)),"",IF((AND(FIND('112'!$M$9,G6514,1)&gt;=1,B6514='112'!$K$9,OR($N6514='112'!$I$6,$O6514='112'!$I$6))),"x",""))</f>
        <v/>
      </c>
      <c r="U6514" s="79" t="str">
        <f>IF(ISERROR(FIND('112'!$M$9,G6514,1)),"",IF((AND(LEFT(G6514,2)=LEFT('112'!$M$9,2),B6514&lt;'112'!$K$9,$N6514='112'!$I$6)),"x",""))</f>
        <v/>
      </c>
      <c r="V6514" s="79" t="str">
        <f>IF(ISERROR(FIND('112'!$M$9,G6514,1)),"",IF((AND(RIGHT(G6514,2)=RIGHT('112'!$M$9,2),B6514&lt;'112'!$K$9,$O6514='112'!$I$6)),"x",""))</f>
        <v/>
      </c>
      <c r="W6514" s="79" t="str">
        <f>IF(AND('341-CT'!$H$9=H6514,OR(LEFT(N6514,3)=$W$7,LEFT(O6514,3)=$W$7)),"x","")</f>
        <v/>
      </c>
      <c r="X6514" s="79" t="str">
        <f>IF(OR(TH!N6514=TH!$X$7,O6514=TH!$X$7),"x","")</f>
        <v/>
      </c>
      <c r="Y6514" s="79" t="str">
        <f>IF(AND(OR(N6514="131",O6514="131"),H6514='131-CT'!$H$9),"x","")</f>
        <v/>
      </c>
      <c r="Z6514" s="79"/>
      <c r="AA6514" s="79" t="str">
        <f>IF(AND(MONTH(E6514)='IN-NX'!$J$5,'IN-NX'!$D$7=D6514),"x","")</f>
        <v/>
      </c>
      <c r="AB6514" s="79" t="str">
        <f>IF(AND(OR(LEFT(TH!N6514,2)="15",LEFT(TH!O6514,2)="15"),LEFT(TH!O6514,3)&lt;&gt;"111",'152-CT'!$J$8=TH!F6514),"x","")</f>
        <v/>
      </c>
      <c r="AC6514" s="79" t="str">
        <f>IF(AND(OR(LEFT(TH!N6514,2)="15",LEFT(TH!O6514,2)="15"),TK!$E$7=TH!F6514),"x","")</f>
        <v/>
      </c>
      <c r="AD6514" s="79" t="str">
        <f>IF(AND(N6514="1521",MONTH(C6514)='BK-NL'!$M$11),"x","")</f>
        <v/>
      </c>
    </row>
    <row r="6515" spans="1:30" ht="16.5" customHeight="1">
      <c r="A6515" s="318" t="str">
        <f>IF(B6515&lt;&gt;"",IF(AND(B6515='IN-TC'!$S$4,OR(TH!N6515="1111",TH!O6515="1111")),TH!D6515,""),"")</f>
        <v/>
      </c>
      <c r="B6515" s="1163" t="str">
        <f t="shared" si="522"/>
        <v/>
      </c>
      <c r="C6515" s="61"/>
      <c r="D6515" s="61"/>
      <c r="E6515" s="61"/>
      <c r="F6515" s="69"/>
      <c r="G6515" s="64"/>
      <c r="H6515" s="321"/>
      <c r="I6515" s="385"/>
      <c r="J6515" s="392"/>
      <c r="K6515" s="385"/>
      <c r="L6515" s="392"/>
      <c r="M6515" s="62"/>
      <c r="N6515" s="63"/>
      <c r="O6515" s="63"/>
      <c r="P6515" s="79" t="str">
        <f>IF(AND('331-CT'!$E$7=TH!H6515,OR(N6515="331",O6515="331")),"x","")</f>
        <v/>
      </c>
      <c r="Q6515" s="79" t="str">
        <f>IF(AND(B6515='111'!$L$11,OR($N6515=$Q$7,$O6515=$Q$7)),"x","")</f>
        <v/>
      </c>
      <c r="R6515" s="79" t="str">
        <f>IF(AND($N6515=$Q$7,$B6515&lt;'111'!$L$11),"x","")</f>
        <v/>
      </c>
      <c r="S6515" s="79" t="str">
        <f>IF(AND($O6515=$Q$7,$B6515&lt;'111'!$L$11),"x","")</f>
        <v/>
      </c>
      <c r="T6515" s="79" t="str">
        <f>IF(ISERROR(FIND('112'!$M$9,G6515,1)),"",IF((AND(FIND('112'!$M$9,G6515,1)&gt;=1,B6515='112'!$K$9,OR($N6515='112'!$I$6,$O6515='112'!$I$6))),"x",""))</f>
        <v/>
      </c>
      <c r="U6515" s="79" t="str">
        <f>IF(ISERROR(FIND('112'!$M$9,G6515,1)),"",IF((AND(LEFT(G6515,2)=LEFT('112'!$M$9,2),B6515&lt;'112'!$K$9,$N6515='112'!$I$6)),"x",""))</f>
        <v/>
      </c>
      <c r="V6515" s="79" t="str">
        <f>IF(ISERROR(FIND('112'!$M$9,G6515,1)),"",IF((AND(RIGHT(G6515,2)=RIGHT('112'!$M$9,2),B6515&lt;'112'!$K$9,$O6515='112'!$I$6)),"x",""))</f>
        <v/>
      </c>
      <c r="W6515" s="79" t="str">
        <f>IF(AND('341-CT'!$H$9=H6515,OR(LEFT(N6515,3)=$W$7,LEFT(O6515,3)=$W$7)),"x","")</f>
        <v/>
      </c>
      <c r="X6515" s="79" t="str">
        <f>IF(OR(TH!N6515=TH!$X$7,O6515=TH!$X$7),"x","")</f>
        <v/>
      </c>
      <c r="Y6515" s="79" t="str">
        <f>IF(AND(OR(N6515="131",O6515="131"),H6515='131-CT'!$H$9),"x","")</f>
        <v/>
      </c>
      <c r="Z6515" s="79"/>
      <c r="AA6515" s="79" t="str">
        <f>IF(AND(MONTH(E6515)='IN-NX'!$J$5,'IN-NX'!$D$7=D6515),"x","")</f>
        <v/>
      </c>
      <c r="AB6515" s="79" t="str">
        <f>IF(AND(OR(LEFT(TH!N6515,2)="15",LEFT(TH!O6515,2)="15"),LEFT(TH!O6515,3)&lt;&gt;"111",'152-CT'!$J$8=TH!F6515),"x","")</f>
        <v/>
      </c>
      <c r="AC6515" s="79" t="str">
        <f>IF(AND(OR(LEFT(TH!N6515,2)="15",LEFT(TH!O6515,2)="15"),TK!$E$7=TH!F6515),"x","")</f>
        <v/>
      </c>
      <c r="AD6515" s="79" t="str">
        <f>IF(AND(N6515="1521",MONTH(C6515)='BK-NL'!$M$11),"x","")</f>
        <v/>
      </c>
    </row>
    <row r="6516" spans="1:30" ht="16.5" customHeight="1">
      <c r="A6516" s="318" t="str">
        <f>IF(B6516&lt;&gt;"",IF(AND(B6516='IN-TC'!$S$4,OR(TH!N6516="1111",TH!O6516="1111")),TH!D6516,""),"")</f>
        <v/>
      </c>
      <c r="B6516" s="1163" t="str">
        <f t="shared" si="522"/>
        <v/>
      </c>
      <c r="C6516" s="61"/>
      <c r="D6516" s="61"/>
      <c r="E6516" s="61"/>
      <c r="F6516" s="69"/>
      <c r="G6516" s="64"/>
      <c r="H6516" s="69"/>
      <c r="I6516" s="385"/>
      <c r="J6516" s="392"/>
      <c r="K6516" s="385"/>
      <c r="L6516" s="392"/>
      <c r="M6516" s="62"/>
      <c r="N6516" s="63"/>
      <c r="O6516" s="63"/>
      <c r="P6516" s="79" t="str">
        <f>IF(AND('331-CT'!$E$7=TH!H6516,OR(N6516="331",O6516="331")),"x","")</f>
        <v/>
      </c>
      <c r="Q6516" s="79" t="str">
        <f>IF(AND(B6516='111'!$L$11,OR($N6516=$Q$7,$O6516=$Q$7)),"x","")</f>
        <v/>
      </c>
      <c r="R6516" s="79" t="str">
        <f>IF(AND($N6516=$Q$7,$B6516&lt;'111'!$L$11),"x","")</f>
        <v/>
      </c>
      <c r="S6516" s="79" t="str">
        <f>IF(AND($O6516=$Q$7,$B6516&lt;'111'!$L$11),"x","")</f>
        <v/>
      </c>
      <c r="T6516" s="79" t="str">
        <f>IF(ISERROR(FIND('112'!$M$9,G6516,1)),"",IF((AND(FIND('112'!$M$9,G6516,1)&gt;=1,B6516='112'!$K$9,OR($N6516='112'!$I$6,$O6516='112'!$I$6))),"x",""))</f>
        <v/>
      </c>
      <c r="U6516" s="79" t="str">
        <f>IF(ISERROR(FIND('112'!$M$9,G6516,1)),"",IF((AND(LEFT(G6516,2)=LEFT('112'!$M$9,2),B6516&lt;'112'!$K$9,$N6516='112'!$I$6)),"x",""))</f>
        <v/>
      </c>
      <c r="V6516" s="79" t="str">
        <f>IF(ISERROR(FIND('112'!$M$9,G6516,1)),"",IF((AND(RIGHT(G6516,2)=RIGHT('112'!$M$9,2),B6516&lt;'112'!$K$9,$O6516='112'!$I$6)),"x",""))</f>
        <v/>
      </c>
      <c r="W6516" s="79" t="str">
        <f>IF(AND('341-CT'!$H$9=H6516,OR(LEFT(N6516,3)=$W$7,LEFT(O6516,3)=$W$7)),"x","")</f>
        <v/>
      </c>
      <c r="X6516" s="79" t="str">
        <f>IF(OR(TH!N6516=TH!$X$7,O6516=TH!$X$7),"x","")</f>
        <v/>
      </c>
      <c r="Y6516" s="79" t="str">
        <f>IF(AND(OR(N6516="131",O6516="131"),H6516='131-CT'!$H$9),"x","")</f>
        <v/>
      </c>
      <c r="Z6516" s="79"/>
      <c r="AA6516" s="79" t="str">
        <f>IF(AND(MONTH(E6516)='IN-NX'!$J$5,'IN-NX'!$D$7=D6516),"x","")</f>
        <v/>
      </c>
      <c r="AB6516" s="79" t="str">
        <f>IF(AND(OR(LEFT(TH!N6516,2)="15",LEFT(TH!O6516,2)="15"),LEFT(TH!O6516,3)&lt;&gt;"111",'152-CT'!$J$8=TH!F6516),"x","")</f>
        <v/>
      </c>
      <c r="AC6516" s="79" t="str">
        <f>IF(AND(OR(LEFT(TH!N6516,2)="15",LEFT(TH!O6516,2)="15"),TK!$E$7=TH!F6516),"x","")</f>
        <v/>
      </c>
      <c r="AD6516" s="79" t="str">
        <f>IF(AND(N6516="1521",MONTH(C6516)='BK-NL'!$M$11),"x","")</f>
        <v/>
      </c>
    </row>
    <row r="6517" spans="1:30" ht="16.5" customHeight="1">
      <c r="A6517" s="318" t="str">
        <f>IF(B6517&lt;&gt;"",IF(AND(B6517='IN-TC'!$S$4,OR(TH!N6517="1111",TH!O6517="1111")),TH!D6517,""),"")</f>
        <v/>
      </c>
      <c r="B6517" s="1163" t="str">
        <f t="shared" si="522"/>
        <v/>
      </c>
      <c r="C6517" s="61"/>
      <c r="D6517" s="61"/>
      <c r="E6517" s="61"/>
      <c r="F6517" s="69"/>
      <c r="G6517" s="64"/>
      <c r="H6517" s="69"/>
      <c r="I6517" s="385"/>
      <c r="J6517" s="392"/>
      <c r="K6517" s="385"/>
      <c r="L6517" s="392"/>
      <c r="M6517" s="62"/>
      <c r="N6517" s="63"/>
      <c r="O6517" s="63"/>
      <c r="P6517" s="79" t="str">
        <f>IF(AND('331-CT'!$E$7=TH!H6517,OR(N6517="331",O6517="331")),"x","")</f>
        <v/>
      </c>
      <c r="Q6517" s="79" t="str">
        <f>IF(AND(B6517='111'!$L$11,OR($N6517=$Q$7,$O6517=$Q$7)),"x","")</f>
        <v/>
      </c>
      <c r="R6517" s="79" t="str">
        <f>IF(AND($N6517=$Q$7,$B6517&lt;'111'!$L$11),"x","")</f>
        <v/>
      </c>
      <c r="S6517" s="79" t="str">
        <f>IF(AND($O6517=$Q$7,$B6517&lt;'111'!$L$11),"x","")</f>
        <v/>
      </c>
      <c r="T6517" s="79" t="str">
        <f>IF(ISERROR(FIND('112'!$M$9,G6517,1)),"",IF((AND(FIND('112'!$M$9,G6517,1)&gt;=1,B6517='112'!$K$9,OR($N6517='112'!$I$6,$O6517='112'!$I$6))),"x",""))</f>
        <v/>
      </c>
      <c r="U6517" s="79" t="str">
        <f>IF(ISERROR(FIND('112'!$M$9,G6517,1)),"",IF((AND(LEFT(G6517,2)=LEFT('112'!$M$9,2),B6517&lt;'112'!$K$9,$N6517='112'!$I$6)),"x",""))</f>
        <v/>
      </c>
      <c r="V6517" s="79" t="str">
        <f>IF(ISERROR(FIND('112'!$M$9,G6517,1)),"",IF((AND(RIGHT(G6517,2)=RIGHT('112'!$M$9,2),B6517&lt;'112'!$K$9,$O6517='112'!$I$6)),"x",""))</f>
        <v/>
      </c>
      <c r="W6517" s="79" t="str">
        <f>IF(AND('341-CT'!$H$9=H6517,OR(LEFT(N6517,3)=$W$7,LEFT(O6517,3)=$W$7)),"x","")</f>
        <v/>
      </c>
      <c r="X6517" s="79" t="str">
        <f>IF(OR(TH!N6517=TH!$X$7,O6517=TH!$X$7),"x","")</f>
        <v/>
      </c>
      <c r="Y6517" s="79" t="str">
        <f>IF(AND(OR(N6517="131",O6517="131"),H6517='131-CT'!$H$9),"x","")</f>
        <v/>
      </c>
      <c r="Z6517" s="79"/>
      <c r="AA6517" s="79" t="str">
        <f>IF(AND(MONTH(E6517)='IN-NX'!$J$5,'IN-NX'!$D$7=D6517),"x","")</f>
        <v/>
      </c>
      <c r="AB6517" s="79" t="str">
        <f>IF(AND(OR(LEFT(TH!N6517,2)="15",LEFT(TH!O6517,2)="15"),LEFT(TH!O6517,3)&lt;&gt;"111",'152-CT'!$J$8=TH!F6517),"x","")</f>
        <v/>
      </c>
      <c r="AC6517" s="79" t="str">
        <f>IF(AND(OR(LEFT(TH!N6517,2)="15",LEFT(TH!O6517,2)="15"),TK!$E$7=TH!F6517),"x","")</f>
        <v/>
      </c>
      <c r="AD6517" s="79" t="str">
        <f>IF(AND(N6517="1521",MONTH(C6517)='BK-NL'!$M$11),"x","")</f>
        <v/>
      </c>
    </row>
    <row r="6518" spans="1:30" ht="16.5" customHeight="1">
      <c r="A6518" s="318" t="str">
        <f>IF(B6518&lt;&gt;"",IF(AND(B6518='IN-TC'!$S$4,OR(TH!N6518="1111",TH!O6518="1111")),TH!D6518,""),"")</f>
        <v/>
      </c>
      <c r="B6518" s="1163" t="str">
        <f t="shared" si="522"/>
        <v/>
      </c>
      <c r="C6518" s="61"/>
      <c r="D6518" s="61"/>
      <c r="E6518" s="61"/>
      <c r="F6518" s="69"/>
      <c r="G6518" s="64"/>
      <c r="H6518" s="321"/>
      <c r="I6518" s="385"/>
      <c r="J6518" s="392"/>
      <c r="K6518" s="385"/>
      <c r="L6518" s="392"/>
      <c r="M6518" s="62"/>
      <c r="N6518" s="63"/>
      <c r="O6518" s="63"/>
      <c r="P6518" s="79" t="str">
        <f>IF(AND('331-CT'!$E$7=TH!H6518,OR(N6518="331",O6518="331")),"x","")</f>
        <v/>
      </c>
      <c r="Q6518" s="79" t="str">
        <f>IF(AND(B6518='111'!$L$11,OR($N6518=$Q$7,$O6518=$Q$7)),"x","")</f>
        <v/>
      </c>
      <c r="R6518" s="79" t="str">
        <f>IF(AND($N6518=$Q$7,$B6518&lt;'111'!$L$11),"x","")</f>
        <v/>
      </c>
      <c r="S6518" s="79" t="str">
        <f>IF(AND($O6518=$Q$7,$B6518&lt;'111'!$L$11),"x","")</f>
        <v/>
      </c>
      <c r="T6518" s="79" t="str">
        <f>IF(ISERROR(FIND('112'!$M$9,G6518,1)),"",IF((AND(FIND('112'!$M$9,G6518,1)&gt;=1,B6518='112'!$K$9,OR($N6518='112'!$I$6,$O6518='112'!$I$6))),"x",""))</f>
        <v/>
      </c>
      <c r="U6518" s="79" t="str">
        <f>IF(ISERROR(FIND('112'!$M$9,G6518,1)),"",IF((AND(LEFT(G6518,2)=LEFT('112'!$M$9,2),B6518&lt;'112'!$K$9,$N6518='112'!$I$6)),"x",""))</f>
        <v/>
      </c>
      <c r="V6518" s="79" t="str">
        <f>IF(ISERROR(FIND('112'!$M$9,G6518,1)),"",IF((AND(RIGHT(G6518,2)=RIGHT('112'!$M$9,2),B6518&lt;'112'!$K$9,$O6518='112'!$I$6)),"x",""))</f>
        <v/>
      </c>
      <c r="W6518" s="79" t="str">
        <f>IF(AND('341-CT'!$H$9=H6518,OR(LEFT(N6518,3)=$W$7,LEFT(O6518,3)=$W$7)),"x","")</f>
        <v/>
      </c>
      <c r="X6518" s="79" t="str">
        <f>IF(OR(TH!N6518=TH!$X$7,O6518=TH!$X$7),"x","")</f>
        <v/>
      </c>
      <c r="Y6518" s="79" t="str">
        <f>IF(AND(OR(N6518="131",O6518="131"),H6518='131-CT'!$H$9),"x","")</f>
        <v/>
      </c>
      <c r="Z6518" s="79"/>
      <c r="AA6518" s="79" t="str">
        <f>IF(AND(MONTH(E6518)='IN-NX'!$J$5,'IN-NX'!$D$7=D6518),"x","")</f>
        <v/>
      </c>
      <c r="AB6518" s="79" t="str">
        <f>IF(AND(OR(LEFT(TH!N6518,2)="15",LEFT(TH!O6518,2)="15"),LEFT(TH!O6518,3)&lt;&gt;"111",'152-CT'!$J$8=TH!F6518),"x","")</f>
        <v/>
      </c>
      <c r="AC6518" s="79" t="str">
        <f>IF(AND(OR(LEFT(TH!N6518,2)="15",LEFT(TH!O6518,2)="15"),TK!$E$7=TH!F6518),"x","")</f>
        <v/>
      </c>
      <c r="AD6518" s="79" t="str">
        <f>IF(AND(N6518="1521",MONTH(C6518)='BK-NL'!$M$11),"x","")</f>
        <v/>
      </c>
    </row>
    <row r="6519" spans="1:30" ht="16.5" customHeight="1">
      <c r="A6519" s="318" t="str">
        <f>IF(B6519&lt;&gt;"",IF(AND(B6519='IN-TC'!$S$4,OR(TH!N6519="1111",TH!O6519="1111")),TH!D6519,""),"")</f>
        <v/>
      </c>
      <c r="B6519" s="1163" t="str">
        <f t="shared" si="522"/>
        <v/>
      </c>
      <c r="C6519" s="61"/>
      <c r="D6519" s="61"/>
      <c r="E6519" s="61"/>
      <c r="F6519" s="69"/>
      <c r="G6519" s="64"/>
      <c r="H6519" s="69"/>
      <c r="I6519" s="385"/>
      <c r="J6519" s="392"/>
      <c r="K6519" s="385"/>
      <c r="L6519" s="392"/>
      <c r="M6519" s="920"/>
      <c r="N6519" s="63"/>
      <c r="O6519" s="63"/>
      <c r="P6519" s="79" t="str">
        <f>IF(AND('331-CT'!$E$7=TH!H6519,OR(N6519="331",O6519="331")),"x","")</f>
        <v/>
      </c>
      <c r="Q6519" s="79" t="str">
        <f>IF(AND(B6519='111'!$L$11,OR($N6519=$Q$7,$O6519=$Q$7)),"x","")</f>
        <v/>
      </c>
      <c r="R6519" s="79" t="str">
        <f>IF(AND($N6519=$Q$7,$B6519&lt;'111'!$L$11),"x","")</f>
        <v/>
      </c>
      <c r="S6519" s="79" t="str">
        <f>IF(AND($O6519=$Q$7,$B6519&lt;'111'!$L$11),"x","")</f>
        <v/>
      </c>
      <c r="T6519" s="79" t="str">
        <f>IF(ISERROR(FIND('112'!$M$9,G6519,1)),"",IF((AND(FIND('112'!$M$9,G6519,1)&gt;=1,B6519='112'!$K$9,OR($N6519='112'!$I$6,$O6519='112'!$I$6))),"x",""))</f>
        <v/>
      </c>
      <c r="U6519" s="79" t="str">
        <f>IF(ISERROR(FIND('112'!$M$9,G6519,1)),"",IF((AND(LEFT(G6519,2)=LEFT('112'!$M$9,2),B6519&lt;'112'!$K$9,$N6519='112'!$I$6)),"x",""))</f>
        <v/>
      </c>
      <c r="V6519" s="79" t="str">
        <f>IF(ISERROR(FIND('112'!$M$9,G6519,1)),"",IF((AND(RIGHT(G6519,2)=RIGHT('112'!$M$9,2),B6519&lt;'112'!$K$9,$O6519='112'!$I$6)),"x",""))</f>
        <v/>
      </c>
      <c r="W6519" s="79" t="str">
        <f>IF(AND('341-CT'!$H$9=H6519,OR(LEFT(N6519,3)=$W$7,LEFT(O6519,3)=$W$7)),"x","")</f>
        <v/>
      </c>
      <c r="X6519" s="79" t="str">
        <f>IF(OR(TH!N6519=TH!$X$7,O6519=TH!$X$7),"x","")</f>
        <v/>
      </c>
      <c r="Y6519" s="79" t="str">
        <f>IF(AND(OR(N6519="131",O6519="131"),H6519='131-CT'!$H$9),"x","")</f>
        <v/>
      </c>
      <c r="Z6519" s="79"/>
      <c r="AA6519" s="79" t="str">
        <f>IF(AND(MONTH(E6519)='IN-NX'!$J$5,'IN-NX'!$D$7=D6519),"x","")</f>
        <v/>
      </c>
      <c r="AB6519" s="79" t="str">
        <f>IF(AND(OR(LEFT(TH!N6519,2)="15",LEFT(TH!O6519,2)="15"),LEFT(TH!O6519,3)&lt;&gt;"111",'152-CT'!$J$8=TH!F6519),"x","")</f>
        <v/>
      </c>
      <c r="AC6519" s="79" t="str">
        <f>IF(AND(OR(LEFT(TH!N6519,2)="15",LEFT(TH!O6519,2)="15"),TK!$E$7=TH!F6519),"x","")</f>
        <v/>
      </c>
      <c r="AD6519" s="79" t="str">
        <f>IF(AND(N6519="1521",MONTH(C6519)='BK-NL'!$M$11),"x","")</f>
        <v/>
      </c>
    </row>
    <row r="6520" spans="1:30" ht="16.5" customHeight="1">
      <c r="A6520" s="318" t="str">
        <f>IF(B6520&lt;&gt;"",IF(AND(B6520='IN-TC'!$S$4,OR(TH!N6520="1111",TH!O6520="1111")),TH!D6520,""),"")</f>
        <v/>
      </c>
      <c r="B6520" s="1163" t="str">
        <f t="shared" si="522"/>
        <v/>
      </c>
      <c r="C6520" s="61"/>
      <c r="D6520" s="61"/>
      <c r="E6520" s="61"/>
      <c r="F6520" s="69"/>
      <c r="G6520" s="64"/>
      <c r="H6520" s="69"/>
      <c r="I6520" s="385"/>
      <c r="J6520" s="392"/>
      <c r="K6520" s="385"/>
      <c r="L6520" s="392"/>
      <c r="M6520" s="62"/>
      <c r="N6520" s="63"/>
      <c r="O6520" s="63"/>
      <c r="P6520" s="79" t="str">
        <f>IF(AND('331-CT'!$E$7=TH!H6520,OR(N6520="331",O6520="331")),"x","")</f>
        <v/>
      </c>
      <c r="Q6520" s="79" t="str">
        <f>IF(AND(B6520='111'!$L$11,OR($N6520=$Q$7,$O6520=$Q$7)),"x","")</f>
        <v/>
      </c>
      <c r="R6520" s="79" t="str">
        <f>IF(AND($N6520=$Q$7,$B6520&lt;'111'!$L$11),"x","")</f>
        <v/>
      </c>
      <c r="S6520" s="79" t="str">
        <f>IF(AND($O6520=$Q$7,$B6520&lt;'111'!$L$11),"x","")</f>
        <v/>
      </c>
      <c r="T6520" s="79" t="str">
        <f>IF(ISERROR(FIND('112'!$M$9,G6520,1)),"",IF((AND(FIND('112'!$M$9,G6520,1)&gt;=1,B6520='112'!$K$9,OR($N6520='112'!$I$6,$O6520='112'!$I$6))),"x",""))</f>
        <v/>
      </c>
      <c r="U6520" s="79" t="str">
        <f>IF(ISERROR(FIND('112'!$M$9,G6520,1)),"",IF((AND(LEFT(G6520,2)=LEFT('112'!$M$9,2),B6520&lt;'112'!$K$9,$N6520='112'!$I$6)),"x",""))</f>
        <v/>
      </c>
      <c r="V6520" s="79" t="str">
        <f>IF(ISERROR(FIND('112'!$M$9,G6520,1)),"",IF((AND(RIGHT(G6520,2)=RIGHT('112'!$M$9,2),B6520&lt;'112'!$K$9,$O6520='112'!$I$6)),"x",""))</f>
        <v/>
      </c>
      <c r="W6520" s="79" t="str">
        <f>IF(AND('341-CT'!$H$9=H6520,OR(LEFT(N6520,3)=$W$7,LEFT(O6520,3)=$W$7)),"x","")</f>
        <v/>
      </c>
      <c r="X6520" s="79" t="str">
        <f>IF(OR(TH!N6520=TH!$X$7,O6520=TH!$X$7),"x","")</f>
        <v/>
      </c>
      <c r="Y6520" s="79" t="str">
        <f>IF(AND(OR(N6520="131",O6520="131"),H6520='131-CT'!$H$9),"x","")</f>
        <v/>
      </c>
      <c r="Z6520" s="79"/>
      <c r="AA6520" s="79" t="str">
        <f>IF(AND(MONTH(E6520)='IN-NX'!$J$5,'IN-NX'!$D$7=D6520),"x","")</f>
        <v/>
      </c>
      <c r="AB6520" s="79" t="str">
        <f>IF(AND(OR(LEFT(TH!N6520,2)="15",LEFT(TH!O6520,2)="15"),LEFT(TH!O6520,3)&lt;&gt;"111",'152-CT'!$J$8=TH!F6520),"x","")</f>
        <v/>
      </c>
      <c r="AC6520" s="79" t="str">
        <f>IF(AND(OR(LEFT(TH!N6520,2)="15",LEFT(TH!O6520,2)="15"),TK!$E$7=TH!F6520),"x","")</f>
        <v/>
      </c>
      <c r="AD6520" s="79" t="str">
        <f>IF(AND(N6520="1521",MONTH(C6520)='BK-NL'!$M$11),"x","")</f>
        <v/>
      </c>
    </row>
    <row r="6521" spans="1:30" ht="16.5" customHeight="1">
      <c r="A6521" s="318" t="str">
        <f>IF(B6521&lt;&gt;"",IF(AND(B6521='IN-TC'!$S$4,OR(TH!N6521="1111",TH!O6521="1111")),TH!D6521,""),"")</f>
        <v/>
      </c>
      <c r="B6521" s="1163" t="str">
        <f t="shared" si="522"/>
        <v/>
      </c>
      <c r="C6521" s="61"/>
      <c r="D6521" s="61"/>
      <c r="E6521" s="61"/>
      <c r="F6521" s="69"/>
      <c r="G6521" s="64"/>
      <c r="H6521" s="69"/>
      <c r="I6521" s="385"/>
      <c r="J6521" s="392"/>
      <c r="K6521" s="385"/>
      <c r="L6521" s="392"/>
      <c r="M6521" s="62"/>
      <c r="N6521" s="63"/>
      <c r="O6521" s="63"/>
      <c r="P6521" s="79" t="str">
        <f>IF(AND('331-CT'!$E$7=TH!H6521,OR(N6521="331",O6521="331")),"x","")</f>
        <v/>
      </c>
      <c r="Q6521" s="79" t="str">
        <f>IF(AND(B6521='111'!$L$11,OR($N6521=$Q$7,$O6521=$Q$7)),"x","")</f>
        <v/>
      </c>
      <c r="R6521" s="79" t="str">
        <f>IF(AND($N6521=$Q$7,$B6521&lt;'111'!$L$11),"x","")</f>
        <v/>
      </c>
      <c r="S6521" s="79" t="str">
        <f>IF(AND($O6521=$Q$7,$B6521&lt;'111'!$L$11),"x","")</f>
        <v/>
      </c>
      <c r="T6521" s="79" t="str">
        <f>IF(ISERROR(FIND('112'!$M$9,G6521,1)),"",IF((AND(FIND('112'!$M$9,G6521,1)&gt;=1,B6521='112'!$K$9,OR($N6521='112'!$I$6,$O6521='112'!$I$6))),"x",""))</f>
        <v/>
      </c>
      <c r="U6521" s="79" t="str">
        <f>IF(ISERROR(FIND('112'!$M$9,G6521,1)),"",IF((AND(LEFT(G6521,2)=LEFT('112'!$M$9,2),B6521&lt;'112'!$K$9,$N6521='112'!$I$6)),"x",""))</f>
        <v/>
      </c>
      <c r="V6521" s="79" t="str">
        <f>IF(ISERROR(FIND('112'!$M$9,G6521,1)),"",IF((AND(RIGHT(G6521,2)=RIGHT('112'!$M$9,2),B6521&lt;'112'!$K$9,$O6521='112'!$I$6)),"x",""))</f>
        <v/>
      </c>
      <c r="W6521" s="79" t="str">
        <f>IF(AND('341-CT'!$H$9=H6521,OR(LEFT(N6521,3)=$W$7,LEFT(O6521,3)=$W$7)),"x","")</f>
        <v/>
      </c>
      <c r="X6521" s="79" t="str">
        <f>IF(OR(TH!N6521=TH!$X$7,O6521=TH!$X$7),"x","")</f>
        <v/>
      </c>
      <c r="Y6521" s="79" t="str">
        <f>IF(AND(OR(N6521="131",O6521="131"),H6521='131-CT'!$H$9),"x","")</f>
        <v/>
      </c>
      <c r="Z6521" s="79"/>
      <c r="AA6521" s="79" t="str">
        <f>IF(AND(MONTH(E6521)='IN-NX'!$J$5,'IN-NX'!$D$7=D6521),"x","")</f>
        <v/>
      </c>
      <c r="AB6521" s="79" t="str">
        <f>IF(AND(OR(LEFT(TH!N6521,2)="15",LEFT(TH!O6521,2)="15"),LEFT(TH!O6521,3)&lt;&gt;"111",'152-CT'!$J$8=TH!F6521),"x","")</f>
        <v/>
      </c>
      <c r="AC6521" s="79" t="str">
        <f>IF(AND(OR(LEFT(TH!N6521,2)="15",LEFT(TH!O6521,2)="15"),TK!$E$7=TH!F6521),"x","")</f>
        <v/>
      </c>
      <c r="AD6521" s="79" t="str">
        <f>IF(AND(N6521="1521",MONTH(C6521)='BK-NL'!$M$11),"x","")</f>
        <v/>
      </c>
    </row>
    <row r="6522" spans="1:30" ht="16.5" customHeight="1">
      <c r="A6522" s="318" t="str">
        <f>IF(B6522&lt;&gt;"",IF(AND(B6522='IN-TC'!$S$4,OR(TH!N6522="1111",TH!O6522="1111")),TH!D6522,""),"")</f>
        <v/>
      </c>
      <c r="B6522" s="1163" t="str">
        <f t="shared" si="522"/>
        <v/>
      </c>
      <c r="C6522" s="61"/>
      <c r="D6522" s="61"/>
      <c r="E6522" s="61"/>
      <c r="F6522" s="69"/>
      <c r="G6522" s="64"/>
      <c r="H6522" s="69"/>
      <c r="I6522" s="385"/>
      <c r="J6522" s="392"/>
      <c r="K6522" s="385"/>
      <c r="L6522" s="392"/>
      <c r="M6522" s="62"/>
      <c r="N6522" s="63"/>
      <c r="O6522" s="63"/>
      <c r="P6522" s="79" t="str">
        <f>IF(AND('331-CT'!$E$7=TH!H6522,OR(N6522="331",O6522="331")),"x","")</f>
        <v/>
      </c>
      <c r="Q6522" s="79" t="str">
        <f>IF(AND(B6522='111'!$L$11,OR($N6522=$Q$7,$O6522=$Q$7)),"x","")</f>
        <v/>
      </c>
      <c r="R6522" s="79" t="str">
        <f>IF(AND($N6522=$Q$7,$B6522&lt;'111'!$L$11),"x","")</f>
        <v/>
      </c>
      <c r="S6522" s="79" t="str">
        <f>IF(AND($O6522=$Q$7,$B6522&lt;'111'!$L$11),"x","")</f>
        <v/>
      </c>
      <c r="T6522" s="79" t="str">
        <f>IF(ISERROR(FIND('112'!$M$9,G6522,1)),"",IF((AND(FIND('112'!$M$9,G6522,1)&gt;=1,B6522='112'!$K$9,OR($N6522='112'!$I$6,$O6522='112'!$I$6))),"x",""))</f>
        <v/>
      </c>
      <c r="U6522" s="79" t="str">
        <f>IF(ISERROR(FIND('112'!$M$9,G6522,1)),"",IF((AND(LEFT(G6522,2)=LEFT('112'!$M$9,2),B6522&lt;'112'!$K$9,$N6522='112'!$I$6)),"x",""))</f>
        <v/>
      </c>
      <c r="V6522" s="79" t="str">
        <f>IF(ISERROR(FIND('112'!$M$9,G6522,1)),"",IF((AND(RIGHT(G6522,2)=RIGHT('112'!$M$9,2),B6522&lt;'112'!$K$9,$O6522='112'!$I$6)),"x",""))</f>
        <v/>
      </c>
      <c r="W6522" s="79" t="str">
        <f>IF(AND('341-CT'!$H$9=H6522,OR(LEFT(N6522,3)=$W$7,LEFT(O6522,3)=$W$7)),"x","")</f>
        <v/>
      </c>
      <c r="X6522" s="79" t="str">
        <f>IF(OR(TH!N6522=TH!$X$7,O6522=TH!$X$7),"x","")</f>
        <v/>
      </c>
      <c r="Y6522" s="79" t="str">
        <f>IF(AND(OR(N6522="131",O6522="131"),H6522='131-CT'!$H$9),"x","")</f>
        <v/>
      </c>
      <c r="Z6522" s="79"/>
      <c r="AA6522" s="79" t="str">
        <f>IF(AND(MONTH(E6522)='IN-NX'!$J$5,'IN-NX'!$D$7=D6522),"x","")</f>
        <v/>
      </c>
      <c r="AB6522" s="79" t="str">
        <f>IF(AND(OR(LEFT(TH!N6522,2)="15",LEFT(TH!O6522,2)="15"),LEFT(TH!O6522,3)&lt;&gt;"111",'152-CT'!$J$8=TH!F6522),"x","")</f>
        <v/>
      </c>
      <c r="AC6522" s="79" t="str">
        <f>IF(AND(OR(LEFT(TH!N6522,2)="15",LEFT(TH!O6522,2)="15"),TK!$E$7=TH!F6522),"x","")</f>
        <v/>
      </c>
      <c r="AD6522" s="79" t="str">
        <f>IF(AND(N6522="1521",MONTH(C6522)='BK-NL'!$M$11),"x","")</f>
        <v/>
      </c>
    </row>
    <row r="6523" spans="1:30" ht="16.5" customHeight="1">
      <c r="A6523" s="318" t="str">
        <f>IF(B6523&lt;&gt;"",IF(AND(B6523='IN-TC'!$S$4,OR(TH!N6523="1111",TH!O6523="1111")),TH!D6523,""),"")</f>
        <v/>
      </c>
      <c r="B6523" s="1163" t="str">
        <f t="shared" si="522"/>
        <v/>
      </c>
      <c r="C6523" s="61"/>
      <c r="D6523" s="61"/>
      <c r="E6523" s="61"/>
      <c r="F6523" s="69"/>
      <c r="G6523" s="64"/>
      <c r="H6523" s="69"/>
      <c r="I6523" s="385"/>
      <c r="J6523" s="392"/>
      <c r="K6523" s="385"/>
      <c r="L6523" s="392"/>
      <c r="M6523" s="62"/>
      <c r="N6523" s="63"/>
      <c r="O6523" s="63"/>
      <c r="P6523" s="79" t="str">
        <f>IF(AND('331-CT'!$E$7=TH!H6523,OR(N6523="331",O6523="331")),"x","")</f>
        <v/>
      </c>
      <c r="Q6523" s="79" t="str">
        <f>IF(AND(B6523='111'!$L$11,OR($N6523=$Q$7,$O6523=$Q$7)),"x","")</f>
        <v/>
      </c>
      <c r="R6523" s="79" t="str">
        <f>IF(AND($N6523=$Q$7,$B6523&lt;'111'!$L$11),"x","")</f>
        <v/>
      </c>
      <c r="S6523" s="79" t="str">
        <f>IF(AND($O6523=$Q$7,$B6523&lt;'111'!$L$11),"x","")</f>
        <v/>
      </c>
      <c r="T6523" s="79" t="str">
        <f>IF(ISERROR(FIND('112'!$M$9,G6523,1)),"",IF((AND(FIND('112'!$M$9,G6523,1)&gt;=1,B6523='112'!$K$9,OR($N6523='112'!$I$6,$O6523='112'!$I$6))),"x",""))</f>
        <v/>
      </c>
      <c r="U6523" s="79" t="str">
        <f>IF(ISERROR(FIND('112'!$M$9,G6523,1)),"",IF((AND(LEFT(G6523,2)=LEFT('112'!$M$9,2),B6523&lt;'112'!$K$9,$N6523='112'!$I$6)),"x",""))</f>
        <v/>
      </c>
      <c r="V6523" s="79" t="str">
        <f>IF(ISERROR(FIND('112'!$M$9,G6523,1)),"",IF((AND(RIGHT(G6523,2)=RIGHT('112'!$M$9,2),B6523&lt;'112'!$K$9,$O6523='112'!$I$6)),"x",""))</f>
        <v/>
      </c>
      <c r="W6523" s="79" t="str">
        <f>IF(AND('341-CT'!$H$9=H6523,OR(LEFT(N6523,3)=$W$7,LEFT(O6523,3)=$W$7)),"x","")</f>
        <v/>
      </c>
      <c r="X6523" s="79" t="str">
        <f>IF(OR(TH!N6523=TH!$X$7,O6523=TH!$X$7),"x","")</f>
        <v/>
      </c>
      <c r="Y6523" s="79" t="str">
        <f>IF(AND(OR(N6523="131",O6523="131"),H6523='131-CT'!$H$9),"x","")</f>
        <v/>
      </c>
      <c r="Z6523" s="79"/>
      <c r="AA6523" s="79" t="str">
        <f>IF(AND(MONTH(E6523)='IN-NX'!$J$5,'IN-NX'!$D$7=D6523),"x","")</f>
        <v/>
      </c>
      <c r="AB6523" s="79" t="str">
        <f>IF(AND(OR(LEFT(TH!N6523,2)="15",LEFT(TH!O6523,2)="15"),LEFT(TH!O6523,3)&lt;&gt;"111",'152-CT'!$J$8=TH!F6523),"x","")</f>
        <v/>
      </c>
      <c r="AC6523" s="79" t="str">
        <f>IF(AND(OR(LEFT(TH!N6523,2)="15",LEFT(TH!O6523,2)="15"),TK!$E$7=TH!F6523),"x","")</f>
        <v/>
      </c>
      <c r="AD6523" s="79" t="str">
        <f>IF(AND(N6523="1521",MONTH(C6523)='BK-NL'!$M$11),"x","")</f>
        <v/>
      </c>
    </row>
    <row r="6524" spans="1:30" ht="16.5" customHeight="1">
      <c r="A6524" s="318" t="str">
        <f>IF(B6524&lt;&gt;"",IF(AND(B6524='IN-TC'!$S$4,OR(TH!N6524="1111",TH!O6524="1111")),TH!D6524,""),"")</f>
        <v/>
      </c>
      <c r="B6524" s="1163" t="str">
        <f t="shared" si="522"/>
        <v/>
      </c>
      <c r="C6524" s="61"/>
      <c r="D6524" s="61"/>
      <c r="E6524" s="61"/>
      <c r="F6524" s="69"/>
      <c r="G6524" s="64"/>
      <c r="H6524" s="321"/>
      <c r="I6524" s="385"/>
      <c r="J6524" s="392"/>
      <c r="K6524" s="385"/>
      <c r="L6524" s="392"/>
      <c r="M6524" s="62"/>
      <c r="N6524" s="63"/>
      <c r="O6524" s="63"/>
      <c r="P6524" s="79" t="str">
        <f>IF(AND('331-CT'!$E$7=TH!H6524,OR(N6524="331",O6524="331")),"x","")</f>
        <v/>
      </c>
      <c r="Q6524" s="79" t="str">
        <f>IF(AND(B6524='111'!$L$11,OR($N6524=$Q$7,$O6524=$Q$7)),"x","")</f>
        <v/>
      </c>
      <c r="R6524" s="79" t="str">
        <f>IF(AND($N6524=$Q$7,$B6524&lt;'111'!$L$11),"x","")</f>
        <v/>
      </c>
      <c r="S6524" s="79" t="str">
        <f>IF(AND($O6524=$Q$7,$B6524&lt;'111'!$L$11),"x","")</f>
        <v/>
      </c>
      <c r="T6524" s="79" t="str">
        <f>IF(ISERROR(FIND('112'!$M$9,G6524,1)),"",IF((AND(FIND('112'!$M$9,G6524,1)&gt;=1,B6524='112'!$K$9,OR($N6524='112'!$I$6,$O6524='112'!$I$6))),"x",""))</f>
        <v/>
      </c>
      <c r="U6524" s="79" t="str">
        <f>IF(ISERROR(FIND('112'!$M$9,G6524,1)),"",IF((AND(LEFT(G6524,2)=LEFT('112'!$M$9,2),B6524&lt;'112'!$K$9,$N6524='112'!$I$6)),"x",""))</f>
        <v/>
      </c>
      <c r="V6524" s="79" t="str">
        <f>IF(ISERROR(FIND('112'!$M$9,G6524,1)),"",IF((AND(RIGHT(G6524,2)=RIGHT('112'!$M$9,2),B6524&lt;'112'!$K$9,$O6524='112'!$I$6)),"x",""))</f>
        <v/>
      </c>
      <c r="W6524" s="79" t="str">
        <f>IF(AND('341-CT'!$H$9=H6524,OR(LEFT(N6524,3)=$W$7,LEFT(O6524,3)=$W$7)),"x","")</f>
        <v/>
      </c>
      <c r="X6524" s="79" t="str">
        <f>IF(OR(TH!N6524=TH!$X$7,O6524=TH!$X$7),"x","")</f>
        <v/>
      </c>
      <c r="Y6524" s="79" t="str">
        <f>IF(AND(OR(N6524="131",O6524="131"),H6524='131-CT'!$H$9),"x","")</f>
        <v/>
      </c>
      <c r="Z6524" s="79"/>
      <c r="AA6524" s="79" t="str">
        <f>IF(AND(MONTH(E6524)='IN-NX'!$J$5,'IN-NX'!$D$7=D6524),"x","")</f>
        <v/>
      </c>
      <c r="AB6524" s="79" t="str">
        <f>IF(AND(OR(LEFT(TH!N6524,2)="15",LEFT(TH!O6524,2)="15"),LEFT(TH!O6524,3)&lt;&gt;"111",'152-CT'!$J$8=TH!F6524),"x","")</f>
        <v/>
      </c>
      <c r="AC6524" s="79" t="str">
        <f>IF(AND(OR(LEFT(TH!N6524,2)="15",LEFT(TH!O6524,2)="15"),TK!$E$7=TH!F6524),"x","")</f>
        <v/>
      </c>
      <c r="AD6524" s="79" t="str">
        <f>IF(AND(N6524="1521",MONTH(C6524)='BK-NL'!$M$11),"x","")</f>
        <v/>
      </c>
    </row>
    <row r="6525" spans="1:30" ht="16.5" customHeight="1">
      <c r="A6525" s="318" t="str">
        <f>IF(B6525&lt;&gt;"",IF(AND(B6525='IN-TC'!$S$4,OR(TH!N6525="1111",TH!O6525="1111")),TH!D6525,""),"")</f>
        <v/>
      </c>
      <c r="B6525" s="1163" t="str">
        <f t="shared" si="522"/>
        <v/>
      </c>
      <c r="C6525" s="61"/>
      <c r="D6525" s="61"/>
      <c r="E6525" s="61"/>
      <c r="F6525" s="69"/>
      <c r="G6525" s="64"/>
      <c r="H6525" s="69"/>
      <c r="I6525" s="385"/>
      <c r="J6525" s="392"/>
      <c r="K6525" s="385"/>
      <c r="L6525" s="392"/>
      <c r="M6525" s="62"/>
      <c r="N6525" s="63"/>
      <c r="O6525" s="63"/>
      <c r="P6525" s="79" t="str">
        <f>IF(AND('331-CT'!$E$7=TH!H6525,OR(N6525="331",O6525="331")),"x","")</f>
        <v/>
      </c>
      <c r="Q6525" s="79" t="str">
        <f>IF(AND(B6525='111'!$L$11,OR($N6525=$Q$7,$O6525=$Q$7)),"x","")</f>
        <v/>
      </c>
      <c r="R6525" s="79" t="str">
        <f>IF(AND($N6525=$Q$7,$B6525&lt;'111'!$L$11),"x","")</f>
        <v/>
      </c>
      <c r="S6525" s="79" t="str">
        <f>IF(AND($O6525=$Q$7,$B6525&lt;'111'!$L$11),"x","")</f>
        <v/>
      </c>
      <c r="T6525" s="79" t="str">
        <f>IF(ISERROR(FIND('112'!$M$9,G6525,1)),"",IF((AND(FIND('112'!$M$9,G6525,1)&gt;=1,B6525='112'!$K$9,OR($N6525='112'!$I$6,$O6525='112'!$I$6))),"x",""))</f>
        <v/>
      </c>
      <c r="U6525" s="79" t="str">
        <f>IF(ISERROR(FIND('112'!$M$9,G6525,1)),"",IF((AND(LEFT(G6525,2)=LEFT('112'!$M$9,2),B6525&lt;'112'!$K$9,$N6525='112'!$I$6)),"x",""))</f>
        <v/>
      </c>
      <c r="V6525" s="79" t="str">
        <f>IF(ISERROR(FIND('112'!$M$9,G6525,1)),"",IF((AND(RIGHT(G6525,2)=RIGHT('112'!$M$9,2),B6525&lt;'112'!$K$9,$O6525='112'!$I$6)),"x",""))</f>
        <v/>
      </c>
      <c r="W6525" s="79" t="str">
        <f>IF(AND('341-CT'!$H$9=H6525,OR(LEFT(N6525,3)=$W$7,LEFT(O6525,3)=$W$7)),"x","")</f>
        <v/>
      </c>
      <c r="X6525" s="79" t="str">
        <f>IF(OR(TH!N6525=TH!$X$7,O6525=TH!$X$7),"x","")</f>
        <v/>
      </c>
      <c r="Y6525" s="79" t="str">
        <f>IF(AND(OR(N6525="131",O6525="131"),H6525='131-CT'!$H$9),"x","")</f>
        <v/>
      </c>
      <c r="Z6525" s="79"/>
      <c r="AA6525" s="79" t="str">
        <f>IF(AND(MONTH(E6525)='IN-NX'!$J$5,'IN-NX'!$D$7=D6525),"x","")</f>
        <v/>
      </c>
      <c r="AB6525" s="79" t="str">
        <f>IF(AND(OR(LEFT(TH!N6525,2)="15",LEFT(TH!O6525,2)="15"),LEFT(TH!O6525,3)&lt;&gt;"111",'152-CT'!$J$8=TH!F6525),"x","")</f>
        <v/>
      </c>
      <c r="AC6525" s="79" t="str">
        <f>IF(AND(OR(LEFT(TH!N6525,2)="15",LEFT(TH!O6525,2)="15"),TK!$E$7=TH!F6525),"x","")</f>
        <v/>
      </c>
      <c r="AD6525" s="79" t="str">
        <f>IF(AND(N6525="1521",MONTH(C6525)='BK-NL'!$M$11),"x","")</f>
        <v/>
      </c>
    </row>
    <row r="6526" spans="1:30" ht="16.5" customHeight="1">
      <c r="A6526" s="318" t="str">
        <f>IF(B6526&lt;&gt;"",IF(AND(B6526='IN-TC'!$S$4,OR(TH!N6526="1111",TH!O6526="1111")),TH!D6526,""),"")</f>
        <v/>
      </c>
      <c r="B6526" s="1163" t="str">
        <f t="shared" si="522"/>
        <v/>
      </c>
      <c r="C6526" s="61"/>
      <c r="D6526" s="61"/>
      <c r="E6526" s="61"/>
      <c r="F6526" s="69"/>
      <c r="G6526" s="64"/>
      <c r="H6526" s="69"/>
      <c r="I6526" s="385"/>
      <c r="J6526" s="392"/>
      <c r="K6526" s="385"/>
      <c r="L6526" s="392"/>
      <c r="M6526" s="62"/>
      <c r="N6526" s="63"/>
      <c r="O6526" s="63"/>
      <c r="P6526" s="79" t="str">
        <f>IF(AND('331-CT'!$E$7=TH!H6526,OR(N6526="331",O6526="331")),"x","")</f>
        <v/>
      </c>
      <c r="Q6526" s="79" t="str">
        <f>IF(AND(B6526='111'!$L$11,OR($N6526=$Q$7,$O6526=$Q$7)),"x","")</f>
        <v/>
      </c>
      <c r="R6526" s="79" t="str">
        <f>IF(AND($N6526=$Q$7,$B6526&lt;'111'!$L$11),"x","")</f>
        <v/>
      </c>
      <c r="S6526" s="79" t="str">
        <f>IF(AND($O6526=$Q$7,$B6526&lt;'111'!$L$11),"x","")</f>
        <v/>
      </c>
      <c r="T6526" s="79" t="str">
        <f>IF(ISERROR(FIND('112'!$M$9,G6526,1)),"",IF((AND(FIND('112'!$M$9,G6526,1)&gt;=1,B6526='112'!$K$9,OR($N6526='112'!$I$6,$O6526='112'!$I$6))),"x",""))</f>
        <v/>
      </c>
      <c r="U6526" s="79" t="str">
        <f>IF(ISERROR(FIND('112'!$M$9,G6526,1)),"",IF((AND(LEFT(G6526,2)=LEFT('112'!$M$9,2),B6526&lt;'112'!$K$9,$N6526='112'!$I$6)),"x",""))</f>
        <v/>
      </c>
      <c r="V6526" s="79" t="str">
        <f>IF(ISERROR(FIND('112'!$M$9,G6526,1)),"",IF((AND(RIGHT(G6526,2)=RIGHT('112'!$M$9,2),B6526&lt;'112'!$K$9,$O6526='112'!$I$6)),"x",""))</f>
        <v/>
      </c>
      <c r="W6526" s="79" t="str">
        <f>IF(AND('341-CT'!$H$9=H6526,OR(LEFT(N6526,3)=$W$7,LEFT(O6526,3)=$W$7)),"x","")</f>
        <v/>
      </c>
      <c r="X6526" s="79" t="str">
        <f>IF(OR(TH!N6526=TH!$X$7,O6526=TH!$X$7),"x","")</f>
        <v/>
      </c>
      <c r="Y6526" s="79" t="str">
        <f>IF(AND(OR(N6526="131",O6526="131"),H6526='131-CT'!$H$9),"x","")</f>
        <v/>
      </c>
      <c r="Z6526" s="79"/>
      <c r="AA6526" s="79" t="str">
        <f>IF(AND(MONTH(E6526)='IN-NX'!$J$5,'IN-NX'!$D$7=D6526),"x","")</f>
        <v/>
      </c>
      <c r="AB6526" s="79" t="str">
        <f>IF(AND(OR(LEFT(TH!N6526,2)="15",LEFT(TH!O6526,2)="15"),LEFT(TH!O6526,3)&lt;&gt;"111",'152-CT'!$J$8=TH!F6526),"x","")</f>
        <v/>
      </c>
      <c r="AC6526" s="79" t="str">
        <f>IF(AND(OR(LEFT(TH!N6526,2)="15",LEFT(TH!O6526,2)="15"),TK!$E$7=TH!F6526),"x","")</f>
        <v/>
      </c>
      <c r="AD6526" s="79" t="str">
        <f>IF(AND(N6526="1521",MONTH(C6526)='BK-NL'!$M$11),"x","")</f>
        <v/>
      </c>
    </row>
    <row r="6527" spans="1:30" ht="16.5" customHeight="1">
      <c r="A6527" s="318" t="str">
        <f>IF(B6527&lt;&gt;"",IF(AND(B6527='IN-TC'!$S$4,OR(TH!N6527="1111",TH!O6527="1111")),TH!D6527,""),"")</f>
        <v/>
      </c>
      <c r="B6527" s="1163" t="str">
        <f t="shared" si="522"/>
        <v/>
      </c>
      <c r="C6527" s="61"/>
      <c r="D6527" s="61"/>
      <c r="E6527" s="61"/>
      <c r="F6527" s="69"/>
      <c r="G6527" s="766"/>
      <c r="H6527" s="69"/>
      <c r="I6527" s="385"/>
      <c r="J6527" s="392"/>
      <c r="K6527" s="385"/>
      <c r="L6527" s="392"/>
      <c r="M6527" s="62"/>
      <c r="N6527" s="63"/>
      <c r="O6527" s="63"/>
      <c r="P6527" s="79" t="str">
        <f>IF(AND('331-CT'!$E$7=TH!H6527,OR(N6527="331",O6527="331")),"x","")</f>
        <v/>
      </c>
      <c r="Q6527" s="79" t="str">
        <f>IF(AND(B6527='111'!$L$11,OR($N6527=$Q$7,$O6527=$Q$7)),"x","")</f>
        <v/>
      </c>
      <c r="R6527" s="79" t="str">
        <f>IF(AND($N6527=$Q$7,$B6527&lt;'111'!$L$11),"x","")</f>
        <v/>
      </c>
      <c r="S6527" s="79" t="str">
        <f>IF(AND($O6527=$Q$7,$B6527&lt;'111'!$L$11),"x","")</f>
        <v/>
      </c>
      <c r="T6527" s="79" t="str">
        <f>IF(ISERROR(FIND('112'!$M$9,G6527,1)),"",IF((AND(FIND('112'!$M$9,G6527,1)&gt;=1,B6527='112'!$K$9,OR($N6527='112'!$I$6,$O6527='112'!$I$6))),"x",""))</f>
        <v/>
      </c>
      <c r="U6527" s="79" t="str">
        <f>IF(ISERROR(FIND('112'!$M$9,G6527,1)),"",IF((AND(LEFT(G6527,2)=LEFT('112'!$M$9,2),B6527&lt;'112'!$K$9,$N6527='112'!$I$6)),"x",""))</f>
        <v/>
      </c>
      <c r="V6527" s="79" t="str">
        <f>IF(ISERROR(FIND('112'!$M$9,G6527,1)),"",IF((AND(RIGHT(G6527,2)=RIGHT('112'!$M$9,2),B6527&lt;'112'!$K$9,$O6527='112'!$I$6)),"x",""))</f>
        <v/>
      </c>
      <c r="W6527" s="79" t="str">
        <f>IF(AND('341-CT'!$H$9=H6527,OR(LEFT(N6527,3)=$W$7,LEFT(O6527,3)=$W$7)),"x","")</f>
        <v/>
      </c>
      <c r="X6527" s="79" t="str">
        <f>IF(OR(TH!N6527=TH!$X$7,O6527=TH!$X$7),"x","")</f>
        <v/>
      </c>
      <c r="Y6527" s="79" t="str">
        <f>IF(AND(OR(N6527="131",O6527="131"),H6527='131-CT'!$H$9),"x","")</f>
        <v/>
      </c>
      <c r="Z6527" s="79"/>
      <c r="AA6527" s="79" t="str">
        <f>IF(AND(MONTH(E6527)='IN-NX'!$J$5,'IN-NX'!$D$7=D6527),"x","")</f>
        <v/>
      </c>
      <c r="AB6527" s="79" t="str">
        <f>IF(AND(OR(LEFT(TH!N6527,2)="15",LEFT(TH!O6527,2)="15"),LEFT(TH!O6527,3)&lt;&gt;"111",'152-CT'!$J$8=TH!F6527),"x","")</f>
        <v/>
      </c>
      <c r="AC6527" s="79" t="str">
        <f>IF(AND(OR(LEFT(TH!N6527,2)="15",LEFT(TH!O6527,2)="15"),TK!$E$7=TH!F6527),"x","")</f>
        <v/>
      </c>
      <c r="AD6527" s="79" t="str">
        <f>IF(AND(N6527="1521",MONTH(C6527)='BK-NL'!$M$11),"x","")</f>
        <v/>
      </c>
    </row>
    <row r="6528" spans="1:30" ht="16.5" customHeight="1">
      <c r="A6528" s="318" t="str">
        <f>IF(B6528&lt;&gt;"",IF(AND(B6528='IN-TC'!$S$4,OR(TH!N6528="1111",TH!O6528="1111")),TH!D6528,""),"")</f>
        <v/>
      </c>
      <c r="B6528" s="1163" t="str">
        <f t="shared" si="522"/>
        <v/>
      </c>
      <c r="C6528" s="61"/>
      <c r="D6528" s="61"/>
      <c r="E6528" s="61"/>
      <c r="F6528" s="69"/>
      <c r="G6528" s="766"/>
      <c r="H6528" s="69"/>
      <c r="I6528" s="385"/>
      <c r="J6528" s="392"/>
      <c r="K6528" s="385"/>
      <c r="L6528" s="392"/>
      <c r="M6528" s="62"/>
      <c r="N6528" s="63"/>
      <c r="O6528" s="63"/>
      <c r="P6528" s="79" t="str">
        <f>IF(AND('331-CT'!$E$7=TH!H6528,OR(N6528="331",O6528="331")),"x","")</f>
        <v/>
      </c>
      <c r="Q6528" s="79" t="str">
        <f>IF(AND(B6528='111'!$L$11,OR($N6528=$Q$7,$O6528=$Q$7)),"x","")</f>
        <v/>
      </c>
      <c r="R6528" s="79" t="str">
        <f>IF(AND($N6528=$Q$7,$B6528&lt;'111'!$L$11),"x","")</f>
        <v/>
      </c>
      <c r="S6528" s="79" t="str">
        <f>IF(AND($O6528=$Q$7,$B6528&lt;'111'!$L$11),"x","")</f>
        <v/>
      </c>
      <c r="T6528" s="79" t="str">
        <f>IF(ISERROR(FIND('112'!$M$9,G6528,1)),"",IF((AND(FIND('112'!$M$9,G6528,1)&gt;=1,B6528='112'!$K$9,OR($N6528='112'!$I$6,$O6528='112'!$I$6))),"x",""))</f>
        <v/>
      </c>
      <c r="U6528" s="79" t="str">
        <f>IF(ISERROR(FIND('112'!$M$9,G6528,1)),"",IF((AND(LEFT(G6528,2)=LEFT('112'!$M$9,2),B6528&lt;'112'!$K$9,$N6528='112'!$I$6)),"x",""))</f>
        <v/>
      </c>
      <c r="V6528" s="79" t="str">
        <f>IF(ISERROR(FIND('112'!$M$9,G6528,1)),"",IF((AND(RIGHT(G6528,2)=RIGHT('112'!$M$9,2),B6528&lt;'112'!$K$9,$O6528='112'!$I$6)),"x",""))</f>
        <v/>
      </c>
      <c r="W6528" s="79" t="str">
        <f>IF(AND('341-CT'!$H$9=H6528,OR(LEFT(N6528,3)=$W$7,LEFT(O6528,3)=$W$7)),"x","")</f>
        <v/>
      </c>
      <c r="X6528" s="79" t="str">
        <f>IF(OR(TH!N6528=TH!$X$7,O6528=TH!$X$7),"x","")</f>
        <v/>
      </c>
      <c r="Y6528" s="79" t="str">
        <f>IF(AND(OR(N6528="131",O6528="131"),H6528='131-CT'!$H$9),"x","")</f>
        <v/>
      </c>
      <c r="Z6528" s="79"/>
      <c r="AA6528" s="79" t="str">
        <f>IF(AND(MONTH(E6528)='IN-NX'!$J$5,'IN-NX'!$D$7=D6528),"x","")</f>
        <v/>
      </c>
      <c r="AB6528" s="79" t="str">
        <f>IF(AND(OR(LEFT(TH!N6528,2)="15",LEFT(TH!O6528,2)="15"),LEFT(TH!O6528,3)&lt;&gt;"111",'152-CT'!$J$8=TH!F6528),"x","")</f>
        <v/>
      </c>
      <c r="AC6528" s="79" t="str">
        <f>IF(AND(OR(LEFT(TH!N6528,2)="15",LEFT(TH!O6528,2)="15"),TK!$E$7=TH!F6528),"x","")</f>
        <v/>
      </c>
      <c r="AD6528" s="79" t="str">
        <f>IF(AND(N6528="1521",MONTH(C6528)='BK-NL'!$M$11),"x","")</f>
        <v/>
      </c>
    </row>
    <row r="6529" spans="1:30" ht="16.5" customHeight="1">
      <c r="A6529" s="318" t="str">
        <f>IF(B6529&lt;&gt;"",IF(AND(B6529='IN-TC'!$S$4,OR(TH!N6529="1111",TH!O6529="1111")),TH!D6529,""),"")</f>
        <v/>
      </c>
      <c r="B6529" s="1163" t="str">
        <f t="shared" si="522"/>
        <v/>
      </c>
      <c r="C6529" s="61"/>
      <c r="D6529" s="61"/>
      <c r="E6529" s="61"/>
      <c r="F6529" s="69"/>
      <c r="G6529" s="64"/>
      <c r="H6529" s="69"/>
      <c r="I6529" s="385"/>
      <c r="J6529" s="392"/>
      <c r="K6529" s="385"/>
      <c r="L6529" s="392"/>
      <c r="M6529" s="62"/>
      <c r="N6529" s="63"/>
      <c r="O6529" s="63"/>
      <c r="P6529" s="79" t="str">
        <f>IF(AND('331-CT'!$E$7=TH!H6529,OR(N6529="331",O6529="331")),"x","")</f>
        <v/>
      </c>
      <c r="Q6529" s="79" t="str">
        <f>IF(AND(B6529='111'!$L$11,OR($N6529=$Q$7,$O6529=$Q$7)),"x","")</f>
        <v/>
      </c>
      <c r="R6529" s="79" t="str">
        <f>IF(AND($N6529=$Q$7,$B6529&lt;'111'!$L$11),"x","")</f>
        <v/>
      </c>
      <c r="S6529" s="79" t="str">
        <f>IF(AND($O6529=$Q$7,$B6529&lt;'111'!$L$11),"x","")</f>
        <v/>
      </c>
      <c r="T6529" s="79" t="str">
        <f>IF(ISERROR(FIND('112'!$M$9,G6529,1)),"",IF((AND(FIND('112'!$M$9,G6529,1)&gt;=1,B6529='112'!$K$9,OR($N6529='112'!$I$6,$O6529='112'!$I$6))),"x",""))</f>
        <v/>
      </c>
      <c r="U6529" s="79" t="str">
        <f>IF(ISERROR(FIND('112'!$M$9,G6529,1)),"",IF((AND(LEFT(G6529,2)=LEFT('112'!$M$9,2),B6529&lt;'112'!$K$9,$N6529='112'!$I$6)),"x",""))</f>
        <v/>
      </c>
      <c r="V6529" s="79" t="str">
        <f>IF(ISERROR(FIND('112'!$M$9,G6529,1)),"",IF((AND(RIGHT(G6529,2)=RIGHT('112'!$M$9,2),B6529&lt;'112'!$K$9,$O6529='112'!$I$6)),"x",""))</f>
        <v/>
      </c>
      <c r="W6529" s="79" t="str">
        <f>IF(AND('341-CT'!$H$9=H6529,OR(LEFT(N6529,3)=$W$7,LEFT(O6529,3)=$W$7)),"x","")</f>
        <v/>
      </c>
      <c r="X6529" s="79" t="str">
        <f>IF(OR(TH!N6529=TH!$X$7,O6529=TH!$X$7),"x","")</f>
        <v/>
      </c>
      <c r="Y6529" s="79" t="str">
        <f>IF(AND(OR(N6529="131",O6529="131"),H6529='131-CT'!$H$9),"x","")</f>
        <v/>
      </c>
      <c r="Z6529" s="79"/>
      <c r="AA6529" s="79" t="str">
        <f>IF(AND(MONTH(E6529)='IN-NX'!$J$5,'IN-NX'!$D$7=D6529),"x","")</f>
        <v/>
      </c>
      <c r="AB6529" s="79" t="str">
        <f>IF(AND(OR(LEFT(TH!N6529,2)="15",LEFT(TH!O6529,2)="15"),LEFT(TH!O6529,3)&lt;&gt;"111",'152-CT'!$J$8=TH!F6529),"x","")</f>
        <v/>
      </c>
      <c r="AC6529" s="79" t="str">
        <f>IF(AND(OR(LEFT(TH!N6529,2)="15",LEFT(TH!O6529,2)="15"),TK!$E$7=TH!F6529),"x","")</f>
        <v/>
      </c>
      <c r="AD6529" s="79" t="str">
        <f>IF(AND(N6529="1521",MONTH(C6529)='BK-NL'!$M$11),"x","")</f>
        <v/>
      </c>
    </row>
    <row r="6530" spans="1:30" ht="16.5" customHeight="1">
      <c r="A6530" s="318" t="str">
        <f>IF(B6530&lt;&gt;"",IF(AND(B6530='IN-TC'!$S$4,OR(TH!N6530="1111",TH!O6530="1111")),TH!D6530,""),"")</f>
        <v/>
      </c>
      <c r="B6530" s="1163" t="str">
        <f t="shared" si="522"/>
        <v/>
      </c>
      <c r="C6530" s="61"/>
      <c r="D6530" s="61"/>
      <c r="E6530" s="61"/>
      <c r="F6530" s="69"/>
      <c r="G6530" s="64"/>
      <c r="H6530" s="925"/>
      <c r="I6530" s="385"/>
      <c r="J6530" s="392"/>
      <c r="K6530" s="385"/>
      <c r="L6530" s="392"/>
      <c r="M6530" s="62"/>
      <c r="N6530" s="63"/>
      <c r="O6530" s="63"/>
      <c r="P6530" s="79" t="str">
        <f>IF(AND('331-CT'!$E$7=TH!H6530,OR(N6530="331",O6530="331")),"x","")</f>
        <v/>
      </c>
      <c r="Q6530" s="79" t="str">
        <f>IF(AND(B6530='111'!$L$11,OR($N6530=$Q$7,$O6530=$Q$7)),"x","")</f>
        <v/>
      </c>
      <c r="R6530" s="79" t="str">
        <f>IF(AND($N6530=$Q$7,$B6530&lt;'111'!$L$11),"x","")</f>
        <v/>
      </c>
      <c r="S6530" s="79" t="str">
        <f>IF(AND($O6530=$Q$7,$B6530&lt;'111'!$L$11),"x","")</f>
        <v/>
      </c>
      <c r="T6530" s="79" t="str">
        <f>IF(ISERROR(FIND('112'!$M$9,G6530,1)),"",IF((AND(FIND('112'!$M$9,G6530,1)&gt;=1,B6530='112'!$K$9,OR($N6530='112'!$I$6,$O6530='112'!$I$6))),"x",""))</f>
        <v/>
      </c>
      <c r="U6530" s="79" t="str">
        <f>IF(ISERROR(FIND('112'!$M$9,G6530,1)),"",IF((AND(LEFT(G6530,2)=LEFT('112'!$M$9,2),B6530&lt;'112'!$K$9,$N6530='112'!$I$6)),"x",""))</f>
        <v/>
      </c>
      <c r="V6530" s="79" t="str">
        <f>IF(ISERROR(FIND('112'!$M$9,G6530,1)),"",IF((AND(RIGHT(G6530,2)=RIGHT('112'!$M$9,2),B6530&lt;'112'!$K$9,$O6530='112'!$I$6)),"x",""))</f>
        <v/>
      </c>
      <c r="W6530" s="79" t="str">
        <f>IF(AND('341-CT'!$H$9=H6530,OR(LEFT(N6530,3)=$W$7,LEFT(O6530,3)=$W$7)),"x","")</f>
        <v/>
      </c>
      <c r="X6530" s="79" t="str">
        <f>IF(OR(TH!N6530=TH!$X$7,O6530=TH!$X$7),"x","")</f>
        <v/>
      </c>
      <c r="Y6530" s="79" t="str">
        <f>IF(AND(OR(N6530="131",O6530="131"),H6530='131-CT'!$H$9),"x","")</f>
        <v/>
      </c>
      <c r="Z6530" s="79"/>
      <c r="AA6530" s="79" t="str">
        <f>IF(AND(MONTH(E6530)='IN-NX'!$J$5,'IN-NX'!$D$7=D6530),"x","")</f>
        <v/>
      </c>
      <c r="AB6530" s="79" t="str">
        <f>IF(AND(OR(LEFT(TH!N6530,2)="15",LEFT(TH!O6530,2)="15"),LEFT(TH!O6530,3)&lt;&gt;"111",'152-CT'!$J$8=TH!F6530),"x","")</f>
        <v/>
      </c>
      <c r="AC6530" s="79" t="str">
        <f>IF(AND(OR(LEFT(TH!N6530,2)="15",LEFT(TH!O6530,2)="15"),TK!$E$7=TH!F6530),"x","")</f>
        <v/>
      </c>
      <c r="AD6530" s="79" t="str">
        <f>IF(AND(N6530="1521",MONTH(C6530)='BK-NL'!$M$11),"x","")</f>
        <v/>
      </c>
    </row>
    <row r="6531" spans="1:30" ht="16.5" customHeight="1">
      <c r="A6531" s="318" t="str">
        <f>IF(B6531&lt;&gt;"",IF(AND(B6531='IN-TC'!$S$4,OR(TH!N6531="1111",TH!O6531="1111")),TH!D6531,""),"")</f>
        <v/>
      </c>
      <c r="B6531" s="1163" t="str">
        <f t="shared" ref="B6531:B6594" si="523">IF(C6531&lt;&gt;"",MONTH(C6531),"")</f>
        <v/>
      </c>
      <c r="C6531" s="61"/>
      <c r="D6531" s="61"/>
      <c r="E6531" s="61"/>
      <c r="F6531" s="69"/>
      <c r="G6531" s="64"/>
      <c r="H6531" s="69"/>
      <c r="I6531" s="385"/>
      <c r="J6531" s="392"/>
      <c r="K6531" s="385"/>
      <c r="L6531" s="392"/>
      <c r="M6531" s="62"/>
      <c r="N6531" s="63"/>
      <c r="O6531" s="63"/>
      <c r="P6531" s="79" t="str">
        <f>IF(AND('331-CT'!$E$7=TH!H6531,OR(N6531="331",O6531="331")),"x","")</f>
        <v/>
      </c>
      <c r="Q6531" s="79" t="str">
        <f>IF(AND(B6531='111'!$L$11,OR($N6531=$Q$7,$O6531=$Q$7)),"x","")</f>
        <v/>
      </c>
      <c r="R6531" s="79" t="str">
        <f>IF(AND($N6531=$Q$7,$B6531&lt;'111'!$L$11),"x","")</f>
        <v/>
      </c>
      <c r="S6531" s="79" t="str">
        <f>IF(AND($O6531=$Q$7,$B6531&lt;'111'!$L$11),"x","")</f>
        <v/>
      </c>
      <c r="T6531" s="79" t="str">
        <f>IF(ISERROR(FIND('112'!$M$9,G6531,1)),"",IF((AND(FIND('112'!$M$9,G6531,1)&gt;=1,B6531='112'!$K$9,OR($N6531='112'!$I$6,$O6531='112'!$I$6))),"x",""))</f>
        <v/>
      </c>
      <c r="U6531" s="79" t="str">
        <f>IF(ISERROR(FIND('112'!$M$9,G6531,1)),"",IF((AND(LEFT(G6531,2)=LEFT('112'!$M$9,2),B6531&lt;'112'!$K$9,$N6531='112'!$I$6)),"x",""))</f>
        <v/>
      </c>
      <c r="V6531" s="79" t="str">
        <f>IF(ISERROR(FIND('112'!$M$9,G6531,1)),"",IF((AND(RIGHT(G6531,2)=RIGHT('112'!$M$9,2),B6531&lt;'112'!$K$9,$O6531='112'!$I$6)),"x",""))</f>
        <v/>
      </c>
      <c r="W6531" s="79" t="str">
        <f>IF(AND('341-CT'!$H$9=H6531,OR(LEFT(N6531,3)=$W$7,LEFT(O6531,3)=$W$7)),"x","")</f>
        <v/>
      </c>
      <c r="X6531" s="79" t="str">
        <f>IF(OR(TH!N6531=TH!$X$7,O6531=TH!$X$7),"x","")</f>
        <v/>
      </c>
      <c r="Y6531" s="79" t="str">
        <f>IF(AND(OR(N6531="131",O6531="131"),H6531='131-CT'!$H$9),"x","")</f>
        <v/>
      </c>
      <c r="Z6531" s="79"/>
      <c r="AA6531" s="79" t="str">
        <f>IF(AND(MONTH(E6531)='IN-NX'!$J$5,'IN-NX'!$D$7=D6531),"x","")</f>
        <v/>
      </c>
      <c r="AB6531" s="79" t="str">
        <f>IF(AND(OR(LEFT(TH!N6531,2)="15",LEFT(TH!O6531,2)="15"),LEFT(TH!O6531,3)&lt;&gt;"111",'152-CT'!$J$8=TH!F6531),"x","")</f>
        <v/>
      </c>
      <c r="AC6531" s="79" t="str">
        <f>IF(AND(OR(LEFT(TH!N6531,2)="15",LEFT(TH!O6531,2)="15"),TK!$E$7=TH!F6531),"x","")</f>
        <v/>
      </c>
      <c r="AD6531" s="79" t="str">
        <f>IF(AND(N6531="1521",MONTH(C6531)='BK-NL'!$M$11),"x","")</f>
        <v/>
      </c>
    </row>
    <row r="6532" spans="1:30" ht="16.5" customHeight="1">
      <c r="A6532" s="318" t="str">
        <f>IF(B6532&lt;&gt;"",IF(AND(B6532='IN-TC'!$S$4,OR(TH!N6532="1111",TH!O6532="1111")),TH!D6532,""),"")</f>
        <v/>
      </c>
      <c r="B6532" s="1163" t="str">
        <f t="shared" si="523"/>
        <v/>
      </c>
      <c r="C6532" s="61"/>
      <c r="D6532" s="61"/>
      <c r="E6532" s="61"/>
      <c r="F6532" s="69"/>
      <c r="G6532" s="64"/>
      <c r="H6532" s="321"/>
      <c r="I6532" s="385"/>
      <c r="J6532" s="392"/>
      <c r="K6532" s="385"/>
      <c r="L6532" s="392"/>
      <c r="M6532" s="62"/>
      <c r="N6532" s="63"/>
      <c r="O6532" s="63"/>
      <c r="P6532" s="79" t="str">
        <f>IF(AND('331-CT'!$E$7=TH!H6532,OR(N6532="331",O6532="331")),"x","")</f>
        <v/>
      </c>
      <c r="Q6532" s="79" t="str">
        <f>IF(AND(B6532='111'!$L$11,OR($N6532=$Q$7,$O6532=$Q$7)),"x","")</f>
        <v/>
      </c>
      <c r="R6532" s="79" t="str">
        <f>IF(AND($N6532=$Q$7,$B6532&lt;'111'!$L$11),"x","")</f>
        <v/>
      </c>
      <c r="S6532" s="79" t="str">
        <f>IF(AND($O6532=$Q$7,$B6532&lt;'111'!$L$11),"x","")</f>
        <v/>
      </c>
      <c r="T6532" s="79" t="str">
        <f>IF(ISERROR(FIND('112'!$M$9,G6532,1)),"",IF((AND(FIND('112'!$M$9,G6532,1)&gt;=1,B6532='112'!$K$9,OR($N6532='112'!$I$6,$O6532='112'!$I$6))),"x",""))</f>
        <v/>
      </c>
      <c r="U6532" s="79" t="str">
        <f>IF(ISERROR(FIND('112'!$M$9,G6532,1)),"",IF((AND(LEFT(G6532,2)=LEFT('112'!$M$9,2),B6532&lt;'112'!$K$9,$N6532='112'!$I$6)),"x",""))</f>
        <v/>
      </c>
      <c r="V6532" s="79" t="str">
        <f>IF(ISERROR(FIND('112'!$M$9,G6532,1)),"",IF((AND(RIGHT(G6532,2)=RIGHT('112'!$M$9,2),B6532&lt;'112'!$K$9,$O6532='112'!$I$6)),"x",""))</f>
        <v/>
      </c>
      <c r="W6532" s="79" t="str">
        <f>IF(AND('341-CT'!$H$9=H6532,OR(LEFT(N6532,3)=$W$7,LEFT(O6532,3)=$W$7)),"x","")</f>
        <v/>
      </c>
      <c r="X6532" s="79" t="str">
        <f>IF(OR(TH!N6532=TH!$X$7,O6532=TH!$X$7),"x","")</f>
        <v/>
      </c>
      <c r="Y6532" s="79" t="str">
        <f>IF(AND(OR(N6532="131",O6532="131"),H6532='131-CT'!$H$9),"x","")</f>
        <v/>
      </c>
      <c r="Z6532" s="79"/>
      <c r="AA6532" s="79" t="str">
        <f>IF(AND(MONTH(E6532)='IN-NX'!$J$5,'IN-NX'!$D$7=D6532),"x","")</f>
        <v/>
      </c>
      <c r="AB6532" s="79" t="str">
        <f>IF(AND(OR(LEFT(TH!N6532,2)="15",LEFT(TH!O6532,2)="15"),LEFT(TH!O6532,3)&lt;&gt;"111",'152-CT'!$J$8=TH!F6532),"x","")</f>
        <v/>
      </c>
      <c r="AC6532" s="79" t="str">
        <f>IF(AND(OR(LEFT(TH!N6532,2)="15",LEFT(TH!O6532,2)="15"),TK!$E$7=TH!F6532),"x","")</f>
        <v/>
      </c>
      <c r="AD6532" s="79" t="str">
        <f>IF(AND(N6532="1521",MONTH(C6532)='BK-NL'!$M$11),"x","")</f>
        <v/>
      </c>
    </row>
    <row r="6533" spans="1:30" ht="16.5" customHeight="1">
      <c r="A6533" s="318" t="str">
        <f>IF(B6533&lt;&gt;"",IF(AND(B6533='IN-TC'!$S$4,OR(TH!N6533="1111",TH!O6533="1111")),TH!D6533,""),"")</f>
        <v/>
      </c>
      <c r="B6533" s="1163" t="str">
        <f t="shared" si="523"/>
        <v/>
      </c>
      <c r="C6533" s="61"/>
      <c r="D6533" s="61"/>
      <c r="E6533" s="61"/>
      <c r="F6533" s="69"/>
      <c r="G6533" s="64"/>
      <c r="H6533" s="321"/>
      <c r="I6533" s="385"/>
      <c r="J6533" s="392"/>
      <c r="K6533" s="385"/>
      <c r="L6533" s="392"/>
      <c r="M6533" s="62"/>
      <c r="N6533" s="63"/>
      <c r="O6533" s="63"/>
      <c r="P6533" s="79" t="str">
        <f>IF(AND('331-CT'!$E$7=TH!H6533,OR(N6533="331",O6533="331")),"x","")</f>
        <v/>
      </c>
      <c r="Q6533" s="79" t="str">
        <f>IF(AND(B6533='111'!$L$11,OR($N6533=$Q$7,$O6533=$Q$7)),"x","")</f>
        <v/>
      </c>
      <c r="R6533" s="79" t="str">
        <f>IF(AND($N6533=$Q$7,$B6533&lt;'111'!$L$11),"x","")</f>
        <v/>
      </c>
      <c r="S6533" s="79" t="str">
        <f>IF(AND($O6533=$Q$7,$B6533&lt;'111'!$L$11),"x","")</f>
        <v/>
      </c>
      <c r="T6533" s="79" t="str">
        <f>IF(ISERROR(FIND('112'!$M$9,G6533,1)),"",IF((AND(FIND('112'!$M$9,G6533,1)&gt;=1,B6533='112'!$K$9,OR($N6533='112'!$I$6,$O6533='112'!$I$6))),"x",""))</f>
        <v/>
      </c>
      <c r="U6533" s="79" t="str">
        <f>IF(ISERROR(FIND('112'!$M$9,G6533,1)),"",IF((AND(LEFT(G6533,2)=LEFT('112'!$M$9,2),B6533&lt;'112'!$K$9,$N6533='112'!$I$6)),"x",""))</f>
        <v/>
      </c>
      <c r="V6533" s="79" t="str">
        <f>IF(ISERROR(FIND('112'!$M$9,G6533,1)),"",IF((AND(RIGHT(G6533,2)=RIGHT('112'!$M$9,2),B6533&lt;'112'!$K$9,$O6533='112'!$I$6)),"x",""))</f>
        <v/>
      </c>
      <c r="W6533" s="79" t="str">
        <f>IF(AND('341-CT'!$H$9=H6533,OR(LEFT(N6533,3)=$W$7,LEFT(O6533,3)=$W$7)),"x","")</f>
        <v/>
      </c>
      <c r="X6533" s="79" t="str">
        <f>IF(OR(TH!N6533=TH!$X$7,O6533=TH!$X$7),"x","")</f>
        <v/>
      </c>
      <c r="Y6533" s="79" t="str">
        <f>IF(AND(OR(N6533="131",O6533="131"),H6533='131-CT'!$H$9),"x","")</f>
        <v/>
      </c>
      <c r="Z6533" s="79"/>
      <c r="AA6533" s="79" t="str">
        <f>IF(AND(MONTH(E6533)='IN-NX'!$J$5,'IN-NX'!$D$7=D6533),"x","")</f>
        <v/>
      </c>
      <c r="AB6533" s="79" t="str">
        <f>IF(AND(OR(LEFT(TH!N6533,2)="15",LEFT(TH!O6533,2)="15"),LEFT(TH!O6533,3)&lt;&gt;"111",'152-CT'!$J$8=TH!F6533),"x","")</f>
        <v/>
      </c>
      <c r="AC6533" s="79" t="str">
        <f>IF(AND(OR(LEFT(TH!N6533,2)="15",LEFT(TH!O6533,2)="15"),TK!$E$7=TH!F6533),"x","")</f>
        <v/>
      </c>
      <c r="AD6533" s="79" t="str">
        <f>IF(AND(N6533="1521",MONTH(C6533)='BK-NL'!$M$11),"x","")</f>
        <v/>
      </c>
    </row>
    <row r="6534" spans="1:30" ht="16.5" customHeight="1">
      <c r="A6534" s="318" t="str">
        <f>IF(B6534&lt;&gt;"",IF(AND(B6534='IN-TC'!$S$4,OR(TH!N6534="1111",TH!O6534="1111")),TH!D6534,""),"")</f>
        <v/>
      </c>
      <c r="B6534" s="1163" t="str">
        <f t="shared" si="523"/>
        <v/>
      </c>
      <c r="C6534" s="61"/>
      <c r="D6534" s="61"/>
      <c r="E6534" s="61"/>
      <c r="F6534" s="69"/>
      <c r="G6534" s="64"/>
      <c r="H6534" s="321"/>
      <c r="I6534" s="385"/>
      <c r="J6534" s="392"/>
      <c r="K6534" s="385"/>
      <c r="L6534" s="392"/>
      <c r="M6534" s="62"/>
      <c r="N6534" s="63"/>
      <c r="O6534" s="63"/>
      <c r="P6534" s="79" t="str">
        <f>IF(AND('331-CT'!$E$7=TH!H6534,OR(N6534="331",O6534="331")),"x","")</f>
        <v/>
      </c>
      <c r="Q6534" s="79" t="str">
        <f>IF(AND(B6534='111'!$L$11,OR($N6534=$Q$7,$O6534=$Q$7)),"x","")</f>
        <v/>
      </c>
      <c r="R6534" s="79" t="str">
        <f>IF(AND($N6534=$Q$7,$B6534&lt;'111'!$L$11),"x","")</f>
        <v/>
      </c>
      <c r="S6534" s="79" t="str">
        <f>IF(AND($O6534=$Q$7,$B6534&lt;'111'!$L$11),"x","")</f>
        <v/>
      </c>
      <c r="T6534" s="79" t="str">
        <f>IF(ISERROR(FIND('112'!$M$9,G6534,1)),"",IF((AND(FIND('112'!$M$9,G6534,1)&gt;=1,B6534='112'!$K$9,OR($N6534='112'!$I$6,$O6534='112'!$I$6))),"x",""))</f>
        <v/>
      </c>
      <c r="U6534" s="79" t="str">
        <f>IF(ISERROR(FIND('112'!$M$9,G6534,1)),"",IF((AND(LEFT(G6534,2)=LEFT('112'!$M$9,2),B6534&lt;'112'!$K$9,$N6534='112'!$I$6)),"x",""))</f>
        <v/>
      </c>
      <c r="V6534" s="79" t="str">
        <f>IF(ISERROR(FIND('112'!$M$9,G6534,1)),"",IF((AND(RIGHT(G6534,2)=RIGHT('112'!$M$9,2),B6534&lt;'112'!$K$9,$O6534='112'!$I$6)),"x",""))</f>
        <v/>
      </c>
      <c r="W6534" s="79" t="str">
        <f>IF(AND('341-CT'!$H$9=H6534,OR(LEFT(N6534,3)=$W$7,LEFT(O6534,3)=$W$7)),"x","")</f>
        <v/>
      </c>
      <c r="X6534" s="79" t="str">
        <f>IF(OR(TH!N6534=TH!$X$7,O6534=TH!$X$7),"x","")</f>
        <v/>
      </c>
      <c r="Y6534" s="79" t="str">
        <f>IF(AND(OR(N6534="131",O6534="131"),H6534='131-CT'!$H$9),"x","")</f>
        <v/>
      </c>
      <c r="Z6534" s="79"/>
      <c r="AA6534" s="79" t="str">
        <f>IF(AND(MONTH(E6534)='IN-NX'!$J$5,'IN-NX'!$D$7=D6534),"x","")</f>
        <v/>
      </c>
      <c r="AB6534" s="79" t="str">
        <f>IF(AND(OR(LEFT(TH!N6534,2)="15",LEFT(TH!O6534,2)="15"),LEFT(TH!O6534,3)&lt;&gt;"111",'152-CT'!$J$8=TH!F6534),"x","")</f>
        <v/>
      </c>
      <c r="AC6534" s="79" t="str">
        <f>IF(AND(OR(LEFT(TH!N6534,2)="15",LEFT(TH!O6534,2)="15"),TK!$E$7=TH!F6534),"x","")</f>
        <v/>
      </c>
      <c r="AD6534" s="79" t="str">
        <f>IF(AND(N6534="1521",MONTH(C6534)='BK-NL'!$M$11),"x","")</f>
        <v/>
      </c>
    </row>
    <row r="6535" spans="1:30" ht="16.5" customHeight="1">
      <c r="A6535" s="318" t="str">
        <f>IF(B6535&lt;&gt;"",IF(AND(B6535='IN-TC'!$S$4,OR(TH!N6535="1111",TH!O6535="1111")),TH!D6535,""),"")</f>
        <v/>
      </c>
      <c r="B6535" s="1163" t="str">
        <f t="shared" si="523"/>
        <v/>
      </c>
      <c r="C6535" s="61"/>
      <c r="D6535" s="61"/>
      <c r="E6535" s="61"/>
      <c r="F6535" s="69"/>
      <c r="G6535" s="64"/>
      <c r="H6535" s="321"/>
      <c r="I6535" s="385"/>
      <c r="J6535" s="392"/>
      <c r="K6535" s="385"/>
      <c r="L6535" s="392"/>
      <c r="M6535" s="62"/>
      <c r="N6535" s="63"/>
      <c r="O6535" s="63"/>
      <c r="P6535" s="79" t="str">
        <f>IF(AND('331-CT'!$E$7=TH!H6535,OR(N6535="331",O6535="331")),"x","")</f>
        <v/>
      </c>
      <c r="Q6535" s="79" t="str">
        <f>IF(AND(B6535='111'!$L$11,OR($N6535=$Q$7,$O6535=$Q$7)),"x","")</f>
        <v/>
      </c>
      <c r="R6535" s="79" t="str">
        <f>IF(AND($N6535=$Q$7,$B6535&lt;'111'!$L$11),"x","")</f>
        <v/>
      </c>
      <c r="S6535" s="79" t="str">
        <f>IF(AND($O6535=$Q$7,$B6535&lt;'111'!$L$11),"x","")</f>
        <v/>
      </c>
      <c r="T6535" s="79" t="str">
        <f>IF(ISERROR(FIND('112'!$M$9,G6535,1)),"",IF((AND(FIND('112'!$M$9,G6535,1)&gt;=1,B6535='112'!$K$9,OR($N6535='112'!$I$6,$O6535='112'!$I$6))),"x",""))</f>
        <v/>
      </c>
      <c r="U6535" s="79" t="str">
        <f>IF(ISERROR(FIND('112'!$M$9,G6535,1)),"",IF((AND(LEFT(G6535,2)=LEFT('112'!$M$9,2),B6535&lt;'112'!$K$9,$N6535='112'!$I$6)),"x",""))</f>
        <v/>
      </c>
      <c r="V6535" s="79" t="str">
        <f>IF(ISERROR(FIND('112'!$M$9,G6535,1)),"",IF((AND(RIGHT(G6535,2)=RIGHT('112'!$M$9,2),B6535&lt;'112'!$K$9,$O6535='112'!$I$6)),"x",""))</f>
        <v/>
      </c>
      <c r="W6535" s="79" t="str">
        <f>IF(AND('341-CT'!$H$9=H6535,OR(LEFT(N6535,3)=$W$7,LEFT(O6535,3)=$W$7)),"x","")</f>
        <v/>
      </c>
      <c r="X6535" s="79" t="str">
        <f>IF(OR(TH!N6535=TH!$X$7,O6535=TH!$X$7),"x","")</f>
        <v/>
      </c>
      <c r="Y6535" s="79" t="str">
        <f>IF(AND(OR(N6535="131",O6535="131"),H6535='131-CT'!$H$9),"x","")</f>
        <v/>
      </c>
      <c r="Z6535" s="79"/>
      <c r="AA6535" s="79" t="str">
        <f>IF(AND(MONTH(E6535)='IN-NX'!$J$5,'IN-NX'!$D$7=D6535),"x","")</f>
        <v/>
      </c>
      <c r="AB6535" s="79" t="str">
        <f>IF(AND(OR(LEFT(TH!N6535,2)="15",LEFT(TH!O6535,2)="15"),LEFT(TH!O6535,3)&lt;&gt;"111",'152-CT'!$J$8=TH!F6535),"x","")</f>
        <v/>
      </c>
      <c r="AC6535" s="79" t="str">
        <f>IF(AND(OR(LEFT(TH!N6535,2)="15",LEFT(TH!O6535,2)="15"),TK!$E$7=TH!F6535),"x","")</f>
        <v/>
      </c>
      <c r="AD6535" s="79" t="str">
        <f>IF(AND(N6535="1521",MONTH(C6535)='BK-NL'!$M$11),"x","")</f>
        <v/>
      </c>
    </row>
    <row r="6536" spans="1:30" ht="16.5" customHeight="1">
      <c r="A6536" s="318" t="str">
        <f>IF(B6536&lt;&gt;"",IF(AND(B6536='IN-TC'!$S$4,OR(TH!N6536="1111",TH!O6536="1111")),TH!D6536,""),"")</f>
        <v/>
      </c>
      <c r="B6536" s="1163" t="str">
        <f t="shared" si="523"/>
        <v/>
      </c>
      <c r="C6536" s="61"/>
      <c r="D6536" s="61"/>
      <c r="E6536" s="61"/>
      <c r="F6536" s="69"/>
      <c r="G6536" s="64"/>
      <c r="H6536" s="321"/>
      <c r="I6536" s="385"/>
      <c r="J6536" s="392"/>
      <c r="K6536" s="385"/>
      <c r="L6536" s="392"/>
      <c r="M6536" s="62"/>
      <c r="N6536" s="63"/>
      <c r="O6536" s="63"/>
      <c r="P6536" s="79" t="str">
        <f>IF(AND('331-CT'!$E$7=TH!H6536,OR(N6536="331",O6536="331")),"x","")</f>
        <v/>
      </c>
      <c r="Q6536" s="79" t="str">
        <f>IF(AND(B6536='111'!$L$11,OR($N6536=$Q$7,$O6536=$Q$7)),"x","")</f>
        <v/>
      </c>
      <c r="R6536" s="79" t="str">
        <f>IF(AND($N6536=$Q$7,$B6536&lt;'111'!$L$11),"x","")</f>
        <v/>
      </c>
      <c r="S6536" s="79" t="str">
        <f>IF(AND($O6536=$Q$7,$B6536&lt;'111'!$L$11),"x","")</f>
        <v/>
      </c>
      <c r="T6536" s="79" t="str">
        <f>IF(ISERROR(FIND('112'!$M$9,G6536,1)),"",IF((AND(FIND('112'!$M$9,G6536,1)&gt;=1,B6536='112'!$K$9,OR($N6536='112'!$I$6,$O6536='112'!$I$6))),"x",""))</f>
        <v/>
      </c>
      <c r="U6536" s="79" t="str">
        <f>IF(ISERROR(FIND('112'!$M$9,G6536,1)),"",IF((AND(LEFT(G6536,2)=LEFT('112'!$M$9,2),B6536&lt;'112'!$K$9,$N6536='112'!$I$6)),"x",""))</f>
        <v/>
      </c>
      <c r="V6536" s="79" t="str">
        <f>IF(ISERROR(FIND('112'!$M$9,G6536,1)),"",IF((AND(RIGHT(G6536,2)=RIGHT('112'!$M$9,2),B6536&lt;'112'!$K$9,$O6536='112'!$I$6)),"x",""))</f>
        <v/>
      </c>
      <c r="W6536" s="79" t="str">
        <f>IF(AND('341-CT'!$H$9=H6536,OR(LEFT(N6536,3)=$W$7,LEFT(O6536,3)=$W$7)),"x","")</f>
        <v/>
      </c>
      <c r="X6536" s="79" t="str">
        <f>IF(OR(TH!N6536=TH!$X$7,O6536=TH!$X$7),"x","")</f>
        <v/>
      </c>
      <c r="Y6536" s="79" t="str">
        <f>IF(AND(OR(N6536="131",O6536="131"),H6536='131-CT'!$H$9),"x","")</f>
        <v/>
      </c>
      <c r="Z6536" s="79"/>
      <c r="AA6536" s="79" t="str">
        <f>IF(AND(MONTH(E6536)='IN-NX'!$J$5,'IN-NX'!$D$7=D6536),"x","")</f>
        <v/>
      </c>
      <c r="AB6536" s="79" t="str">
        <f>IF(AND(OR(LEFT(TH!N6536,2)="15",LEFT(TH!O6536,2)="15"),LEFT(TH!O6536,3)&lt;&gt;"111",'152-CT'!$J$8=TH!F6536),"x","")</f>
        <v/>
      </c>
      <c r="AC6536" s="79" t="str">
        <f>IF(AND(OR(LEFT(TH!N6536,2)="15",LEFT(TH!O6536,2)="15"),TK!$E$7=TH!F6536),"x","")</f>
        <v/>
      </c>
      <c r="AD6536" s="79" t="str">
        <f>IF(AND(N6536="1521",MONTH(C6536)='BK-NL'!$M$11),"x","")</f>
        <v/>
      </c>
    </row>
    <row r="6537" spans="1:30" ht="16.5" customHeight="1">
      <c r="A6537" s="318" t="str">
        <f>IF(B6537&lt;&gt;"",IF(AND(B6537='IN-TC'!$S$4,OR(TH!N6537="1111",TH!O6537="1111")),TH!D6537,""),"")</f>
        <v/>
      </c>
      <c r="B6537" s="1163" t="str">
        <f t="shared" si="523"/>
        <v/>
      </c>
      <c r="C6537" s="61"/>
      <c r="D6537" s="61"/>
      <c r="E6537" s="61"/>
      <c r="F6537" s="69"/>
      <c r="G6537" s="64"/>
      <c r="H6537" s="69"/>
      <c r="I6537" s="385"/>
      <c r="J6537" s="392"/>
      <c r="K6537" s="385"/>
      <c r="L6537" s="392"/>
      <c r="M6537" s="62"/>
      <c r="N6537" s="63"/>
      <c r="O6537" s="63"/>
      <c r="P6537" s="79" t="str">
        <f>IF(AND('331-CT'!$E$7=TH!H6537,OR(N6537="331",O6537="331")),"x","")</f>
        <v/>
      </c>
      <c r="Q6537" s="79" t="str">
        <f>IF(AND(B6537='111'!$L$11,OR($N6537=$Q$7,$O6537=$Q$7)),"x","")</f>
        <v/>
      </c>
      <c r="R6537" s="79" t="str">
        <f>IF(AND($N6537=$Q$7,$B6537&lt;'111'!$L$11),"x","")</f>
        <v/>
      </c>
      <c r="S6537" s="79" t="str">
        <f>IF(AND($O6537=$Q$7,$B6537&lt;'111'!$L$11),"x","")</f>
        <v/>
      </c>
      <c r="T6537" s="79" t="str">
        <f>IF(ISERROR(FIND('112'!$M$9,G6537,1)),"",IF((AND(FIND('112'!$M$9,G6537,1)&gt;=1,B6537='112'!$K$9,OR($N6537='112'!$I$6,$O6537='112'!$I$6))),"x",""))</f>
        <v/>
      </c>
      <c r="U6537" s="79" t="str">
        <f>IF(ISERROR(FIND('112'!$M$9,G6537,1)),"",IF((AND(LEFT(G6537,2)=LEFT('112'!$M$9,2),B6537&lt;'112'!$K$9,$N6537='112'!$I$6)),"x",""))</f>
        <v/>
      </c>
      <c r="V6537" s="79" t="str">
        <f>IF(ISERROR(FIND('112'!$M$9,G6537,1)),"",IF((AND(RIGHT(G6537,2)=RIGHT('112'!$M$9,2),B6537&lt;'112'!$K$9,$O6537='112'!$I$6)),"x",""))</f>
        <v/>
      </c>
      <c r="W6537" s="79" t="str">
        <f>IF(AND('341-CT'!$H$9=H6537,OR(LEFT(N6537,3)=$W$7,LEFT(O6537,3)=$W$7)),"x","")</f>
        <v/>
      </c>
      <c r="X6537" s="79" t="str">
        <f>IF(OR(TH!N6537=TH!$X$7,O6537=TH!$X$7),"x","")</f>
        <v/>
      </c>
      <c r="Y6537" s="79" t="str">
        <f>IF(AND(OR(N6537="131",O6537="131"),H6537='131-CT'!$H$9),"x","")</f>
        <v/>
      </c>
      <c r="Z6537" s="79"/>
      <c r="AA6537" s="79" t="str">
        <f>IF(AND(MONTH(E6537)='IN-NX'!$J$5,'IN-NX'!$D$7=D6537),"x","")</f>
        <v/>
      </c>
      <c r="AB6537" s="79" t="str">
        <f>IF(AND(OR(LEFT(TH!N6537,2)="15",LEFT(TH!O6537,2)="15"),LEFT(TH!O6537,3)&lt;&gt;"111",'152-CT'!$J$8=TH!F6537),"x","")</f>
        <v/>
      </c>
      <c r="AC6537" s="79" t="str">
        <f>IF(AND(OR(LEFT(TH!N6537,2)="15",LEFT(TH!O6537,2)="15"),TK!$E$7=TH!F6537),"x","")</f>
        <v/>
      </c>
      <c r="AD6537" s="79" t="str">
        <f>IF(AND(N6537="1521",MONTH(C6537)='BK-NL'!$M$11),"x","")</f>
        <v/>
      </c>
    </row>
    <row r="6538" spans="1:30" ht="16.5" customHeight="1">
      <c r="A6538" s="318" t="str">
        <f>IF(B6538&lt;&gt;"",IF(AND(B6538='IN-TC'!$S$4,OR(TH!N6538="1111",TH!O6538="1111")),TH!D6538,""),"")</f>
        <v/>
      </c>
      <c r="B6538" s="1163" t="str">
        <f t="shared" si="523"/>
        <v/>
      </c>
      <c r="C6538" s="61"/>
      <c r="D6538" s="61"/>
      <c r="E6538" s="61"/>
      <c r="F6538" s="69"/>
      <c r="G6538" s="64"/>
      <c r="H6538" s="69"/>
      <c r="I6538" s="385"/>
      <c r="J6538" s="392"/>
      <c r="K6538" s="385"/>
      <c r="L6538" s="392"/>
      <c r="M6538" s="62"/>
      <c r="N6538" s="63"/>
      <c r="O6538" s="63"/>
      <c r="P6538" s="79" t="str">
        <f>IF(AND('331-CT'!$E$7=TH!H6538,OR(N6538="331",O6538="331")),"x","")</f>
        <v/>
      </c>
      <c r="Q6538" s="79" t="str">
        <f>IF(AND(B6538='111'!$L$11,OR($N6538=$Q$7,$O6538=$Q$7)),"x","")</f>
        <v/>
      </c>
      <c r="R6538" s="79" t="str">
        <f>IF(AND($N6538=$Q$7,$B6538&lt;'111'!$L$11),"x","")</f>
        <v/>
      </c>
      <c r="S6538" s="79" t="str">
        <f>IF(AND($O6538=$Q$7,$B6538&lt;'111'!$L$11),"x","")</f>
        <v/>
      </c>
      <c r="T6538" s="79" t="str">
        <f>IF(ISERROR(FIND('112'!$M$9,G6538,1)),"",IF((AND(FIND('112'!$M$9,G6538,1)&gt;=1,B6538='112'!$K$9,OR($N6538='112'!$I$6,$O6538='112'!$I$6))),"x",""))</f>
        <v/>
      </c>
      <c r="U6538" s="79" t="str">
        <f>IF(ISERROR(FIND('112'!$M$9,G6538,1)),"",IF((AND(LEFT(G6538,2)=LEFT('112'!$M$9,2),B6538&lt;'112'!$K$9,$N6538='112'!$I$6)),"x",""))</f>
        <v/>
      </c>
      <c r="V6538" s="79" t="str">
        <f>IF(ISERROR(FIND('112'!$M$9,G6538,1)),"",IF((AND(RIGHT(G6538,2)=RIGHT('112'!$M$9,2),B6538&lt;'112'!$K$9,$O6538='112'!$I$6)),"x",""))</f>
        <v/>
      </c>
      <c r="W6538" s="79" t="str">
        <f>IF(AND('341-CT'!$H$9=H6538,OR(LEFT(N6538,3)=$W$7,LEFT(O6538,3)=$W$7)),"x","")</f>
        <v/>
      </c>
      <c r="X6538" s="79" t="str">
        <f>IF(OR(TH!N6538=TH!$X$7,O6538=TH!$X$7),"x","")</f>
        <v/>
      </c>
      <c r="Y6538" s="79" t="str">
        <f>IF(AND(OR(N6538="131",O6538="131"),H6538='131-CT'!$H$9),"x","")</f>
        <v/>
      </c>
      <c r="Z6538" s="79"/>
      <c r="AA6538" s="79" t="str">
        <f>IF(AND(MONTH(E6538)='IN-NX'!$J$5,'IN-NX'!$D$7=D6538),"x","")</f>
        <v/>
      </c>
      <c r="AB6538" s="79" t="str">
        <f>IF(AND(OR(LEFT(TH!N6538,2)="15",LEFT(TH!O6538,2)="15"),LEFT(TH!O6538,3)&lt;&gt;"111",'152-CT'!$J$8=TH!F6538),"x","")</f>
        <v/>
      </c>
      <c r="AC6538" s="79" t="str">
        <f>IF(AND(OR(LEFT(TH!N6538,2)="15",LEFT(TH!O6538,2)="15"),TK!$E$7=TH!F6538),"x","")</f>
        <v/>
      </c>
      <c r="AD6538" s="79" t="str">
        <f>IF(AND(N6538="1521",MONTH(C6538)='BK-NL'!$M$11),"x","")</f>
        <v/>
      </c>
    </row>
    <row r="6539" spans="1:30" ht="16.5" customHeight="1">
      <c r="A6539" s="318" t="str">
        <f>IF(B6539&lt;&gt;"",IF(AND(B6539='IN-TC'!$S$4,OR(TH!N6539="1111",TH!O6539="1111")),TH!D6539,""),"")</f>
        <v/>
      </c>
      <c r="B6539" s="1163" t="str">
        <f t="shared" si="523"/>
        <v/>
      </c>
      <c r="C6539" s="61"/>
      <c r="D6539" s="61"/>
      <c r="E6539" s="61"/>
      <c r="F6539" s="69"/>
      <c r="G6539" s="64"/>
      <c r="H6539" s="69"/>
      <c r="I6539" s="385"/>
      <c r="J6539" s="392"/>
      <c r="K6539" s="385"/>
      <c r="L6539" s="392"/>
      <c r="M6539" s="62"/>
      <c r="N6539" s="63"/>
      <c r="O6539" s="63"/>
      <c r="P6539" s="79" t="str">
        <f>IF(AND('331-CT'!$E$7=TH!H6539,OR(N6539="331",O6539="331")),"x","")</f>
        <v/>
      </c>
      <c r="Q6539" s="79" t="str">
        <f>IF(AND(B6539='111'!$L$11,OR($N6539=$Q$7,$O6539=$Q$7)),"x","")</f>
        <v/>
      </c>
      <c r="R6539" s="79" t="str">
        <f>IF(AND($N6539=$Q$7,$B6539&lt;'111'!$L$11),"x","")</f>
        <v/>
      </c>
      <c r="S6539" s="79" t="str">
        <f>IF(AND($O6539=$Q$7,$B6539&lt;'111'!$L$11),"x","")</f>
        <v/>
      </c>
      <c r="T6539" s="79" t="str">
        <f>IF(ISERROR(FIND('112'!$M$9,G6539,1)),"",IF((AND(FIND('112'!$M$9,G6539,1)&gt;=1,B6539='112'!$K$9,OR($N6539='112'!$I$6,$O6539='112'!$I$6))),"x",""))</f>
        <v/>
      </c>
      <c r="U6539" s="79" t="str">
        <f>IF(ISERROR(FIND('112'!$M$9,G6539,1)),"",IF((AND(LEFT(G6539,2)=LEFT('112'!$M$9,2),B6539&lt;'112'!$K$9,$N6539='112'!$I$6)),"x",""))</f>
        <v/>
      </c>
      <c r="V6539" s="79" t="str">
        <f>IF(ISERROR(FIND('112'!$M$9,G6539,1)),"",IF((AND(RIGHT(G6539,2)=RIGHT('112'!$M$9,2),B6539&lt;'112'!$K$9,$O6539='112'!$I$6)),"x",""))</f>
        <v/>
      </c>
      <c r="W6539" s="79" t="str">
        <f>IF(AND('341-CT'!$H$9=H6539,OR(LEFT(N6539,3)=$W$7,LEFT(O6539,3)=$W$7)),"x","")</f>
        <v/>
      </c>
      <c r="X6539" s="79" t="str">
        <f>IF(OR(TH!N6539=TH!$X$7,O6539=TH!$X$7),"x","")</f>
        <v/>
      </c>
      <c r="Y6539" s="79" t="str">
        <f>IF(AND(OR(N6539="131",O6539="131"),H6539='131-CT'!$H$9),"x","")</f>
        <v/>
      </c>
      <c r="Z6539" s="79"/>
      <c r="AA6539" s="79" t="str">
        <f>IF(AND(MONTH(E6539)='IN-NX'!$J$5,'IN-NX'!$D$7=D6539),"x","")</f>
        <v/>
      </c>
      <c r="AB6539" s="79" t="str">
        <f>IF(AND(OR(LEFT(TH!N6539,2)="15",LEFT(TH!O6539,2)="15"),LEFT(TH!O6539,3)&lt;&gt;"111",'152-CT'!$J$8=TH!F6539),"x","")</f>
        <v/>
      </c>
      <c r="AC6539" s="79" t="str">
        <f>IF(AND(OR(LEFT(TH!N6539,2)="15",LEFT(TH!O6539,2)="15"),TK!$E$7=TH!F6539),"x","")</f>
        <v/>
      </c>
      <c r="AD6539" s="79" t="str">
        <f>IF(AND(N6539="1521",MONTH(C6539)='BK-NL'!$M$11),"x","")</f>
        <v/>
      </c>
    </row>
    <row r="6540" spans="1:30" ht="16.5" customHeight="1">
      <c r="A6540" s="318" t="str">
        <f>IF(B6540&lt;&gt;"",IF(AND(B6540='IN-TC'!$S$4,OR(TH!N6540="1111",TH!O6540="1111")),TH!D6540,""),"")</f>
        <v/>
      </c>
      <c r="B6540" s="1163" t="str">
        <f t="shared" si="523"/>
        <v/>
      </c>
      <c r="C6540" s="61"/>
      <c r="D6540" s="61"/>
      <c r="E6540" s="61"/>
      <c r="F6540" s="69"/>
      <c r="G6540" s="64"/>
      <c r="H6540" s="69"/>
      <c r="I6540" s="385"/>
      <c r="J6540" s="392"/>
      <c r="K6540" s="385"/>
      <c r="L6540" s="392"/>
      <c r="M6540" s="62"/>
      <c r="N6540" s="63"/>
      <c r="O6540" s="63"/>
      <c r="P6540" s="79" t="str">
        <f>IF(AND('331-CT'!$E$7=TH!H6540,OR(N6540="331",O6540="331")),"x","")</f>
        <v/>
      </c>
      <c r="Q6540" s="79" t="str">
        <f>IF(AND(B6540='111'!$L$11,OR($N6540=$Q$7,$O6540=$Q$7)),"x","")</f>
        <v/>
      </c>
      <c r="R6540" s="79" t="str">
        <f>IF(AND($N6540=$Q$7,$B6540&lt;'111'!$L$11),"x","")</f>
        <v/>
      </c>
      <c r="S6540" s="79" t="str">
        <f>IF(AND($O6540=$Q$7,$B6540&lt;'111'!$L$11),"x","")</f>
        <v/>
      </c>
      <c r="T6540" s="79" t="str">
        <f>IF(ISERROR(FIND('112'!$M$9,G6540,1)),"",IF((AND(FIND('112'!$M$9,G6540,1)&gt;=1,B6540='112'!$K$9,OR($N6540='112'!$I$6,$O6540='112'!$I$6))),"x",""))</f>
        <v/>
      </c>
      <c r="U6540" s="79" t="str">
        <f>IF(ISERROR(FIND('112'!$M$9,G6540,1)),"",IF((AND(LEFT(G6540,2)=LEFT('112'!$M$9,2),B6540&lt;'112'!$K$9,$N6540='112'!$I$6)),"x",""))</f>
        <v/>
      </c>
      <c r="V6540" s="79" t="str">
        <f>IF(ISERROR(FIND('112'!$M$9,G6540,1)),"",IF((AND(RIGHT(G6540,2)=RIGHT('112'!$M$9,2),B6540&lt;'112'!$K$9,$O6540='112'!$I$6)),"x",""))</f>
        <v/>
      </c>
      <c r="W6540" s="79" t="str">
        <f>IF(AND('341-CT'!$H$9=H6540,OR(LEFT(N6540,3)=$W$7,LEFT(O6540,3)=$W$7)),"x","")</f>
        <v/>
      </c>
      <c r="X6540" s="79" t="str">
        <f>IF(OR(TH!N6540=TH!$X$7,O6540=TH!$X$7),"x","")</f>
        <v/>
      </c>
      <c r="Y6540" s="79" t="str">
        <f>IF(AND(OR(N6540="131",O6540="131"),H6540='131-CT'!$H$9),"x","")</f>
        <v/>
      </c>
      <c r="Z6540" s="79"/>
      <c r="AA6540" s="79" t="str">
        <f>IF(AND(MONTH(E6540)='IN-NX'!$J$5,'IN-NX'!$D$7=D6540),"x","")</f>
        <v/>
      </c>
      <c r="AB6540" s="79" t="str">
        <f>IF(AND(OR(LEFT(TH!N6540,2)="15",LEFT(TH!O6540,2)="15"),LEFT(TH!O6540,3)&lt;&gt;"111",'152-CT'!$J$8=TH!F6540),"x","")</f>
        <v/>
      </c>
      <c r="AC6540" s="79" t="str">
        <f>IF(AND(OR(LEFT(TH!N6540,2)="15",LEFT(TH!O6540,2)="15"),TK!$E$7=TH!F6540),"x","")</f>
        <v/>
      </c>
      <c r="AD6540" s="79" t="str">
        <f>IF(AND(N6540="1521",MONTH(C6540)='BK-NL'!$M$11),"x","")</f>
        <v/>
      </c>
    </row>
    <row r="6541" spans="1:30" ht="16.5" customHeight="1">
      <c r="A6541" s="318" t="str">
        <f>IF(B6541&lt;&gt;"",IF(AND(B6541='IN-TC'!$S$4,OR(TH!N6541="1111",TH!O6541="1111")),TH!D6541,""),"")</f>
        <v/>
      </c>
      <c r="B6541" s="1163" t="str">
        <f t="shared" si="523"/>
        <v/>
      </c>
      <c r="C6541" s="61"/>
      <c r="D6541" s="61"/>
      <c r="E6541" s="61"/>
      <c r="F6541" s="69"/>
      <c r="G6541" s="64"/>
      <c r="H6541" s="69"/>
      <c r="I6541" s="385"/>
      <c r="J6541" s="392"/>
      <c r="K6541" s="385"/>
      <c r="L6541" s="392"/>
      <c r="M6541" s="62"/>
      <c r="N6541" s="63"/>
      <c r="O6541" s="63"/>
      <c r="P6541" s="79" t="str">
        <f>IF(AND('331-CT'!$E$7=TH!H6541,OR(N6541="331",O6541="331")),"x","")</f>
        <v/>
      </c>
      <c r="Q6541" s="79" t="str">
        <f>IF(AND(B6541='111'!$L$11,OR($N6541=$Q$7,$O6541=$Q$7)),"x","")</f>
        <v/>
      </c>
      <c r="R6541" s="79" t="str">
        <f>IF(AND($N6541=$Q$7,$B6541&lt;'111'!$L$11),"x","")</f>
        <v/>
      </c>
      <c r="S6541" s="79" t="str">
        <f>IF(AND($O6541=$Q$7,$B6541&lt;'111'!$L$11),"x","")</f>
        <v/>
      </c>
      <c r="T6541" s="79" t="str">
        <f>IF(ISERROR(FIND('112'!$M$9,G6541,1)),"",IF((AND(FIND('112'!$M$9,G6541,1)&gt;=1,B6541='112'!$K$9,OR($N6541='112'!$I$6,$O6541='112'!$I$6))),"x",""))</f>
        <v/>
      </c>
      <c r="U6541" s="79" t="str">
        <f>IF(ISERROR(FIND('112'!$M$9,G6541,1)),"",IF((AND(LEFT(G6541,2)=LEFT('112'!$M$9,2),B6541&lt;'112'!$K$9,$N6541='112'!$I$6)),"x",""))</f>
        <v/>
      </c>
      <c r="V6541" s="79" t="str">
        <f>IF(ISERROR(FIND('112'!$M$9,G6541,1)),"",IF((AND(RIGHT(G6541,2)=RIGHT('112'!$M$9,2),B6541&lt;'112'!$K$9,$O6541='112'!$I$6)),"x",""))</f>
        <v/>
      </c>
      <c r="W6541" s="79" t="str">
        <f>IF(AND('341-CT'!$H$9=H6541,OR(LEFT(N6541,3)=$W$7,LEFT(O6541,3)=$W$7)),"x","")</f>
        <v/>
      </c>
      <c r="X6541" s="79" t="str">
        <f>IF(OR(TH!N6541=TH!$X$7,O6541=TH!$X$7),"x","")</f>
        <v/>
      </c>
      <c r="Y6541" s="79" t="str">
        <f>IF(AND(OR(N6541="131",O6541="131"),H6541='131-CT'!$H$9),"x","")</f>
        <v/>
      </c>
      <c r="Z6541" s="79"/>
      <c r="AA6541" s="79" t="str">
        <f>IF(AND(MONTH(E6541)='IN-NX'!$J$5,'IN-NX'!$D$7=D6541),"x","")</f>
        <v/>
      </c>
      <c r="AB6541" s="79" t="str">
        <f>IF(AND(OR(LEFT(TH!N6541,2)="15",LEFT(TH!O6541,2)="15"),LEFT(TH!O6541,3)&lt;&gt;"111",'152-CT'!$J$8=TH!F6541),"x","")</f>
        <v/>
      </c>
      <c r="AC6541" s="79" t="str">
        <f>IF(AND(OR(LEFT(TH!N6541,2)="15",LEFT(TH!O6541,2)="15"),TK!$E$7=TH!F6541),"x","")</f>
        <v/>
      </c>
      <c r="AD6541" s="79" t="str">
        <f>IF(AND(N6541="1521",MONTH(C6541)='BK-NL'!$M$11),"x","")</f>
        <v/>
      </c>
    </row>
    <row r="6542" spans="1:30" ht="16.5" customHeight="1">
      <c r="A6542" s="318" t="str">
        <f>IF(B6542&lt;&gt;"",IF(AND(B6542='IN-TC'!$S$4,OR(TH!N6542="1111",TH!O6542="1111")),TH!D6542,""),"")</f>
        <v/>
      </c>
      <c r="B6542" s="1163" t="str">
        <f t="shared" si="523"/>
        <v/>
      </c>
      <c r="C6542" s="61"/>
      <c r="D6542" s="61"/>
      <c r="E6542" s="61"/>
      <c r="F6542" s="69"/>
      <c r="G6542" s="64"/>
      <c r="H6542" s="321"/>
      <c r="I6542" s="385"/>
      <c r="J6542" s="392"/>
      <c r="K6542" s="385"/>
      <c r="L6542" s="392"/>
      <c r="M6542" s="62"/>
      <c r="N6542" s="63"/>
      <c r="O6542" s="63"/>
      <c r="P6542" s="79" t="str">
        <f>IF(AND('331-CT'!$E$7=TH!H6542,OR(N6542="331",O6542="331")),"x","")</f>
        <v/>
      </c>
      <c r="Q6542" s="79" t="str">
        <f>IF(AND(B6542='111'!$L$11,OR($N6542=$Q$7,$O6542=$Q$7)),"x","")</f>
        <v/>
      </c>
      <c r="R6542" s="79" t="str">
        <f>IF(AND($N6542=$Q$7,$B6542&lt;'111'!$L$11),"x","")</f>
        <v/>
      </c>
      <c r="S6542" s="79" t="str">
        <f>IF(AND($O6542=$Q$7,$B6542&lt;'111'!$L$11),"x","")</f>
        <v/>
      </c>
      <c r="T6542" s="79" t="str">
        <f>IF(ISERROR(FIND('112'!$M$9,G6542,1)),"",IF((AND(FIND('112'!$M$9,G6542,1)&gt;=1,B6542='112'!$K$9,OR($N6542='112'!$I$6,$O6542='112'!$I$6))),"x",""))</f>
        <v/>
      </c>
      <c r="U6542" s="79" t="str">
        <f>IF(ISERROR(FIND('112'!$M$9,G6542,1)),"",IF((AND(LEFT(G6542,2)=LEFT('112'!$M$9,2),B6542&lt;'112'!$K$9,$N6542='112'!$I$6)),"x",""))</f>
        <v/>
      </c>
      <c r="V6542" s="79" t="str">
        <f>IF(ISERROR(FIND('112'!$M$9,G6542,1)),"",IF((AND(RIGHT(G6542,2)=RIGHT('112'!$M$9,2),B6542&lt;'112'!$K$9,$O6542='112'!$I$6)),"x",""))</f>
        <v/>
      </c>
      <c r="W6542" s="79" t="str">
        <f>IF(AND('341-CT'!$H$9=H6542,OR(LEFT(N6542,3)=$W$7,LEFT(O6542,3)=$W$7)),"x","")</f>
        <v/>
      </c>
      <c r="X6542" s="79" t="str">
        <f>IF(OR(TH!N6542=TH!$X$7,O6542=TH!$X$7),"x","")</f>
        <v/>
      </c>
      <c r="Y6542" s="79" t="str">
        <f>IF(AND(OR(N6542="131",O6542="131"),H6542='131-CT'!$H$9),"x","")</f>
        <v/>
      </c>
      <c r="Z6542" s="79"/>
      <c r="AA6542" s="79" t="str">
        <f>IF(AND(MONTH(E6542)='IN-NX'!$J$5,'IN-NX'!$D$7=D6542),"x","")</f>
        <v/>
      </c>
      <c r="AB6542" s="79" t="str">
        <f>IF(AND(OR(LEFT(TH!N6542,2)="15",LEFT(TH!O6542,2)="15"),LEFT(TH!O6542,3)&lt;&gt;"111",'152-CT'!$J$8=TH!F6542),"x","")</f>
        <v/>
      </c>
      <c r="AC6542" s="79" t="str">
        <f>IF(AND(OR(LEFT(TH!N6542,2)="15",LEFT(TH!O6542,2)="15"),TK!$E$7=TH!F6542),"x","")</f>
        <v/>
      </c>
      <c r="AD6542" s="79" t="str">
        <f>IF(AND(N6542="1521",MONTH(C6542)='BK-NL'!$M$11),"x","")</f>
        <v/>
      </c>
    </row>
    <row r="6543" spans="1:30" ht="16.5" customHeight="1">
      <c r="A6543" s="318" t="str">
        <f>IF(B6543&lt;&gt;"",IF(AND(B6543='IN-TC'!$S$4,OR(TH!N6543="1111",TH!O6543="1111")),TH!D6543,""),"")</f>
        <v/>
      </c>
      <c r="B6543" s="1163" t="str">
        <f t="shared" si="523"/>
        <v/>
      </c>
      <c r="C6543" s="61"/>
      <c r="D6543" s="61"/>
      <c r="E6543" s="61"/>
      <c r="F6543" s="69"/>
      <c r="G6543" s="64"/>
      <c r="H6543" s="321"/>
      <c r="I6543" s="385"/>
      <c r="J6543" s="392"/>
      <c r="K6543" s="385"/>
      <c r="L6543" s="392"/>
      <c r="M6543" s="62"/>
      <c r="N6543" s="63"/>
      <c r="O6543" s="63"/>
      <c r="P6543" s="79" t="str">
        <f>IF(AND('331-CT'!$E$7=TH!H6543,OR(N6543="331",O6543="331")),"x","")</f>
        <v/>
      </c>
      <c r="Q6543" s="79" t="str">
        <f>IF(AND(B6543='111'!$L$11,OR($N6543=$Q$7,$O6543=$Q$7)),"x","")</f>
        <v/>
      </c>
      <c r="R6543" s="79" t="str">
        <f>IF(AND($N6543=$Q$7,$B6543&lt;'111'!$L$11),"x","")</f>
        <v/>
      </c>
      <c r="S6543" s="79" t="str">
        <f>IF(AND($O6543=$Q$7,$B6543&lt;'111'!$L$11),"x","")</f>
        <v/>
      </c>
      <c r="T6543" s="79" t="str">
        <f>IF(ISERROR(FIND('112'!$M$9,G6543,1)),"",IF((AND(FIND('112'!$M$9,G6543,1)&gt;=1,B6543='112'!$K$9,OR($N6543='112'!$I$6,$O6543='112'!$I$6))),"x",""))</f>
        <v/>
      </c>
      <c r="U6543" s="79" t="str">
        <f>IF(ISERROR(FIND('112'!$M$9,G6543,1)),"",IF((AND(LEFT(G6543,2)=LEFT('112'!$M$9,2),B6543&lt;'112'!$K$9,$N6543='112'!$I$6)),"x",""))</f>
        <v/>
      </c>
      <c r="V6543" s="79" t="str">
        <f>IF(ISERROR(FIND('112'!$M$9,G6543,1)),"",IF((AND(RIGHT(G6543,2)=RIGHT('112'!$M$9,2),B6543&lt;'112'!$K$9,$O6543='112'!$I$6)),"x",""))</f>
        <v/>
      </c>
      <c r="W6543" s="79" t="str">
        <f>IF(AND('341-CT'!$H$9=H6543,OR(LEFT(N6543,3)=$W$7,LEFT(O6543,3)=$W$7)),"x","")</f>
        <v/>
      </c>
      <c r="X6543" s="79" t="str">
        <f>IF(OR(TH!N6543=TH!$X$7,O6543=TH!$X$7),"x","")</f>
        <v/>
      </c>
      <c r="Y6543" s="79" t="str">
        <f>IF(AND(OR(N6543="131",O6543="131"),H6543='131-CT'!$H$9),"x","")</f>
        <v/>
      </c>
      <c r="Z6543" s="79"/>
      <c r="AA6543" s="79" t="str">
        <f>IF(AND(MONTH(E6543)='IN-NX'!$J$5,'IN-NX'!$D$7=D6543),"x","")</f>
        <v/>
      </c>
      <c r="AB6543" s="79" t="str">
        <f>IF(AND(OR(LEFT(TH!N6543,2)="15",LEFT(TH!O6543,2)="15"),LEFT(TH!O6543,3)&lt;&gt;"111",'152-CT'!$J$8=TH!F6543),"x","")</f>
        <v/>
      </c>
      <c r="AC6543" s="79" t="str">
        <f>IF(AND(OR(LEFT(TH!N6543,2)="15",LEFT(TH!O6543,2)="15"),TK!$E$7=TH!F6543),"x","")</f>
        <v/>
      </c>
      <c r="AD6543" s="79" t="str">
        <f>IF(AND(N6543="1521",MONTH(C6543)='BK-NL'!$M$11),"x","")</f>
        <v/>
      </c>
    </row>
    <row r="6544" spans="1:30" ht="16.5" customHeight="1">
      <c r="A6544" s="318" t="str">
        <f>IF(B6544&lt;&gt;"",IF(AND(B6544='IN-TC'!$S$4,OR(TH!N6544="1111",TH!O6544="1111")),TH!D6544,""),"")</f>
        <v/>
      </c>
      <c r="B6544" s="1163" t="str">
        <f t="shared" si="523"/>
        <v/>
      </c>
      <c r="C6544" s="61"/>
      <c r="D6544" s="61"/>
      <c r="E6544" s="61"/>
      <c r="F6544" s="69"/>
      <c r="G6544" s="64"/>
      <c r="H6544" s="321"/>
      <c r="I6544" s="385"/>
      <c r="J6544" s="392"/>
      <c r="K6544" s="385"/>
      <c r="L6544" s="392"/>
      <c r="M6544" s="62"/>
      <c r="N6544" s="63"/>
      <c r="O6544" s="63"/>
      <c r="P6544" s="79" t="str">
        <f>IF(AND('331-CT'!$E$7=TH!H6544,OR(N6544="331",O6544="331")),"x","")</f>
        <v/>
      </c>
      <c r="Q6544" s="79" t="str">
        <f>IF(AND(B6544='111'!$L$11,OR($N6544=$Q$7,$O6544=$Q$7)),"x","")</f>
        <v/>
      </c>
      <c r="R6544" s="79" t="str">
        <f>IF(AND($N6544=$Q$7,$B6544&lt;'111'!$L$11),"x","")</f>
        <v/>
      </c>
      <c r="S6544" s="79" t="str">
        <f>IF(AND($O6544=$Q$7,$B6544&lt;'111'!$L$11),"x","")</f>
        <v/>
      </c>
      <c r="T6544" s="79" t="str">
        <f>IF(ISERROR(FIND('112'!$M$9,G6544,1)),"",IF((AND(FIND('112'!$M$9,G6544,1)&gt;=1,B6544='112'!$K$9,OR($N6544='112'!$I$6,$O6544='112'!$I$6))),"x",""))</f>
        <v/>
      </c>
      <c r="U6544" s="79" t="str">
        <f>IF(ISERROR(FIND('112'!$M$9,G6544,1)),"",IF((AND(LEFT(G6544,2)=LEFT('112'!$M$9,2),B6544&lt;'112'!$K$9,$N6544='112'!$I$6)),"x",""))</f>
        <v/>
      </c>
      <c r="V6544" s="79" t="str">
        <f>IF(ISERROR(FIND('112'!$M$9,G6544,1)),"",IF((AND(RIGHT(G6544,2)=RIGHT('112'!$M$9,2),B6544&lt;'112'!$K$9,$O6544='112'!$I$6)),"x",""))</f>
        <v/>
      </c>
      <c r="W6544" s="79" t="str">
        <f>IF(AND('341-CT'!$H$9=H6544,OR(LEFT(N6544,3)=$W$7,LEFT(O6544,3)=$W$7)),"x","")</f>
        <v/>
      </c>
      <c r="X6544" s="79" t="str">
        <f>IF(OR(TH!N6544=TH!$X$7,O6544=TH!$X$7),"x","")</f>
        <v/>
      </c>
      <c r="Y6544" s="79" t="str">
        <f>IF(AND(OR(N6544="131",O6544="131"),H6544='131-CT'!$H$9),"x","")</f>
        <v/>
      </c>
      <c r="Z6544" s="79"/>
      <c r="AA6544" s="79" t="str">
        <f>IF(AND(MONTH(E6544)='IN-NX'!$J$5,'IN-NX'!$D$7=D6544),"x","")</f>
        <v/>
      </c>
      <c r="AB6544" s="79" t="str">
        <f>IF(AND(OR(LEFT(TH!N6544,2)="15",LEFT(TH!O6544,2)="15"),LEFT(TH!O6544,3)&lt;&gt;"111",'152-CT'!$J$8=TH!F6544),"x","")</f>
        <v/>
      </c>
      <c r="AC6544" s="79" t="str">
        <f>IF(AND(OR(LEFT(TH!N6544,2)="15",LEFT(TH!O6544,2)="15"),TK!$E$7=TH!F6544),"x","")</f>
        <v/>
      </c>
      <c r="AD6544" s="79" t="str">
        <f>IF(AND(N6544="1521",MONTH(C6544)='BK-NL'!$M$11),"x","")</f>
        <v/>
      </c>
    </row>
    <row r="6545" spans="1:30" ht="16.5" customHeight="1">
      <c r="A6545" s="318" t="str">
        <f>IF(B6545&lt;&gt;"",IF(AND(B6545='IN-TC'!$S$4,OR(TH!N6545="1111",TH!O6545="1111")),TH!D6545,""),"")</f>
        <v/>
      </c>
      <c r="B6545" s="1163" t="str">
        <f t="shared" si="523"/>
        <v/>
      </c>
      <c r="C6545" s="61"/>
      <c r="D6545" s="61"/>
      <c r="E6545" s="61"/>
      <c r="F6545" s="69"/>
      <c r="G6545" s="64"/>
      <c r="H6545" s="321"/>
      <c r="I6545" s="385"/>
      <c r="J6545" s="392"/>
      <c r="K6545" s="385"/>
      <c r="L6545" s="392"/>
      <c r="M6545" s="62"/>
      <c r="N6545" s="63"/>
      <c r="O6545" s="63"/>
      <c r="P6545" s="79" t="str">
        <f>IF(AND('331-CT'!$E$7=TH!H6545,OR(N6545="331",O6545="331")),"x","")</f>
        <v/>
      </c>
      <c r="Q6545" s="79" t="str">
        <f>IF(AND(B6545='111'!$L$11,OR($N6545=$Q$7,$O6545=$Q$7)),"x","")</f>
        <v/>
      </c>
      <c r="R6545" s="79" t="str">
        <f>IF(AND($N6545=$Q$7,$B6545&lt;'111'!$L$11),"x","")</f>
        <v/>
      </c>
      <c r="S6545" s="79" t="str">
        <f>IF(AND($O6545=$Q$7,$B6545&lt;'111'!$L$11),"x","")</f>
        <v/>
      </c>
      <c r="T6545" s="79" t="str">
        <f>IF(ISERROR(FIND('112'!$M$9,G6545,1)),"",IF((AND(FIND('112'!$M$9,G6545,1)&gt;=1,B6545='112'!$K$9,OR($N6545='112'!$I$6,$O6545='112'!$I$6))),"x",""))</f>
        <v/>
      </c>
      <c r="U6545" s="79" t="str">
        <f>IF(ISERROR(FIND('112'!$M$9,G6545,1)),"",IF((AND(LEFT(G6545,2)=LEFT('112'!$M$9,2),B6545&lt;'112'!$K$9,$N6545='112'!$I$6)),"x",""))</f>
        <v/>
      </c>
      <c r="V6545" s="79" t="str">
        <f>IF(ISERROR(FIND('112'!$M$9,G6545,1)),"",IF((AND(RIGHT(G6545,2)=RIGHT('112'!$M$9,2),B6545&lt;'112'!$K$9,$O6545='112'!$I$6)),"x",""))</f>
        <v/>
      </c>
      <c r="W6545" s="79" t="str">
        <f>IF(AND('341-CT'!$H$9=H6545,OR(LEFT(N6545,3)=$W$7,LEFT(O6545,3)=$W$7)),"x","")</f>
        <v/>
      </c>
      <c r="X6545" s="79" t="str">
        <f>IF(OR(TH!N6545=TH!$X$7,O6545=TH!$X$7),"x","")</f>
        <v/>
      </c>
      <c r="Y6545" s="79" t="str">
        <f>IF(AND(OR(N6545="131",O6545="131"),H6545='131-CT'!$H$9),"x","")</f>
        <v/>
      </c>
      <c r="Z6545" s="79"/>
      <c r="AA6545" s="79" t="str">
        <f>IF(AND(MONTH(E6545)='IN-NX'!$J$5,'IN-NX'!$D$7=D6545),"x","")</f>
        <v/>
      </c>
      <c r="AB6545" s="79" t="str">
        <f>IF(AND(OR(LEFT(TH!N6545,2)="15",LEFT(TH!O6545,2)="15"),LEFT(TH!O6545,3)&lt;&gt;"111",'152-CT'!$J$8=TH!F6545),"x","")</f>
        <v/>
      </c>
      <c r="AC6545" s="79" t="str">
        <f>IF(AND(OR(LEFT(TH!N6545,2)="15",LEFT(TH!O6545,2)="15"),TK!$E$7=TH!F6545),"x","")</f>
        <v/>
      </c>
      <c r="AD6545" s="79" t="str">
        <f>IF(AND(N6545="1521",MONTH(C6545)='BK-NL'!$M$11),"x","")</f>
        <v/>
      </c>
    </row>
    <row r="6546" spans="1:30" ht="16.5" customHeight="1">
      <c r="A6546" s="318" t="str">
        <f>IF(B6546&lt;&gt;"",IF(AND(B6546='IN-TC'!$S$4,OR(TH!N6546="1111",TH!O6546="1111")),TH!D6546,""),"")</f>
        <v/>
      </c>
      <c r="B6546" s="1163" t="str">
        <f t="shared" si="523"/>
        <v/>
      </c>
      <c r="C6546" s="61"/>
      <c r="D6546" s="61"/>
      <c r="E6546" s="61"/>
      <c r="F6546" s="69"/>
      <c r="G6546" s="64"/>
      <c r="H6546" s="321"/>
      <c r="I6546" s="385"/>
      <c r="J6546" s="392"/>
      <c r="K6546" s="385"/>
      <c r="L6546" s="392"/>
      <c r="M6546" s="62"/>
      <c r="N6546" s="63"/>
      <c r="O6546" s="63"/>
      <c r="P6546" s="79" t="str">
        <f>IF(AND('331-CT'!$E$7=TH!H6546,OR(N6546="331",O6546="331")),"x","")</f>
        <v/>
      </c>
      <c r="Q6546" s="79" t="str">
        <f>IF(AND(B6546='111'!$L$11,OR($N6546=$Q$7,$O6546=$Q$7)),"x","")</f>
        <v/>
      </c>
      <c r="R6546" s="79" t="str">
        <f>IF(AND($N6546=$Q$7,$B6546&lt;'111'!$L$11),"x","")</f>
        <v/>
      </c>
      <c r="S6546" s="79" t="str">
        <f>IF(AND($O6546=$Q$7,$B6546&lt;'111'!$L$11),"x","")</f>
        <v/>
      </c>
      <c r="T6546" s="79" t="str">
        <f>IF(ISERROR(FIND('112'!$M$9,G6546,1)),"",IF((AND(FIND('112'!$M$9,G6546,1)&gt;=1,B6546='112'!$K$9,OR($N6546='112'!$I$6,$O6546='112'!$I$6))),"x",""))</f>
        <v/>
      </c>
      <c r="U6546" s="79" t="str">
        <f>IF(ISERROR(FIND('112'!$M$9,G6546,1)),"",IF((AND(LEFT(G6546,2)=LEFT('112'!$M$9,2),B6546&lt;'112'!$K$9,$N6546='112'!$I$6)),"x",""))</f>
        <v/>
      </c>
      <c r="V6546" s="79" t="str">
        <f>IF(ISERROR(FIND('112'!$M$9,G6546,1)),"",IF((AND(RIGHT(G6546,2)=RIGHT('112'!$M$9,2),B6546&lt;'112'!$K$9,$O6546='112'!$I$6)),"x",""))</f>
        <v/>
      </c>
      <c r="W6546" s="79" t="str">
        <f>IF(AND('341-CT'!$H$9=H6546,OR(LEFT(N6546,3)=$W$7,LEFT(O6546,3)=$W$7)),"x","")</f>
        <v/>
      </c>
      <c r="X6546" s="79" t="str">
        <f>IF(OR(TH!N6546=TH!$X$7,O6546=TH!$X$7),"x","")</f>
        <v/>
      </c>
      <c r="Y6546" s="79" t="str">
        <f>IF(AND(OR(N6546="131",O6546="131"),H6546='131-CT'!$H$9),"x","")</f>
        <v/>
      </c>
      <c r="Z6546" s="79"/>
      <c r="AA6546" s="79" t="str">
        <f>IF(AND(MONTH(E6546)='IN-NX'!$J$5,'IN-NX'!$D$7=D6546),"x","")</f>
        <v/>
      </c>
      <c r="AB6546" s="79" t="str">
        <f>IF(AND(OR(LEFT(TH!N6546,2)="15",LEFT(TH!O6546,2)="15"),LEFT(TH!O6546,3)&lt;&gt;"111",'152-CT'!$J$8=TH!F6546),"x","")</f>
        <v/>
      </c>
      <c r="AC6546" s="79" t="str">
        <f>IF(AND(OR(LEFT(TH!N6546,2)="15",LEFT(TH!O6546,2)="15"),TK!$E$7=TH!F6546),"x","")</f>
        <v/>
      </c>
      <c r="AD6546" s="79" t="str">
        <f>IF(AND(N6546="1521",MONTH(C6546)='BK-NL'!$M$11),"x","")</f>
        <v/>
      </c>
    </row>
    <row r="6547" spans="1:30" ht="16.5" customHeight="1">
      <c r="A6547" s="318" t="str">
        <f>IF(B6547&lt;&gt;"",IF(AND(B6547='IN-TC'!$S$4,OR(TH!N6547="1111",TH!O6547="1111")),TH!D6547,""),"")</f>
        <v/>
      </c>
      <c r="B6547" s="1163" t="str">
        <f t="shared" si="523"/>
        <v/>
      </c>
      <c r="C6547" s="61"/>
      <c r="D6547" s="61"/>
      <c r="E6547" s="61"/>
      <c r="F6547" s="69"/>
      <c r="G6547" s="64"/>
      <c r="H6547" s="321"/>
      <c r="I6547" s="385"/>
      <c r="J6547" s="392"/>
      <c r="K6547" s="385"/>
      <c r="L6547" s="392"/>
      <c r="M6547" s="62"/>
      <c r="N6547" s="63"/>
      <c r="O6547" s="63"/>
      <c r="P6547" s="79" t="str">
        <f>IF(AND('331-CT'!$E$7=TH!H6547,OR(N6547="331",O6547="331")),"x","")</f>
        <v/>
      </c>
      <c r="Q6547" s="79" t="str">
        <f>IF(AND(B6547='111'!$L$11,OR($N6547=$Q$7,$O6547=$Q$7)),"x","")</f>
        <v/>
      </c>
      <c r="R6547" s="79" t="str">
        <f>IF(AND($N6547=$Q$7,$B6547&lt;'111'!$L$11),"x","")</f>
        <v/>
      </c>
      <c r="S6547" s="79" t="str">
        <f>IF(AND($O6547=$Q$7,$B6547&lt;'111'!$L$11),"x","")</f>
        <v/>
      </c>
      <c r="T6547" s="79" t="str">
        <f>IF(ISERROR(FIND('112'!$M$9,G6547,1)),"",IF((AND(FIND('112'!$M$9,G6547,1)&gt;=1,B6547='112'!$K$9,OR($N6547='112'!$I$6,$O6547='112'!$I$6))),"x",""))</f>
        <v/>
      </c>
      <c r="U6547" s="79" t="str">
        <f>IF(ISERROR(FIND('112'!$M$9,G6547,1)),"",IF((AND(LEFT(G6547,2)=LEFT('112'!$M$9,2),B6547&lt;'112'!$K$9,$N6547='112'!$I$6)),"x",""))</f>
        <v/>
      </c>
      <c r="V6547" s="79" t="str">
        <f>IF(ISERROR(FIND('112'!$M$9,G6547,1)),"",IF((AND(RIGHT(G6547,2)=RIGHT('112'!$M$9,2),B6547&lt;'112'!$K$9,$O6547='112'!$I$6)),"x",""))</f>
        <v/>
      </c>
      <c r="W6547" s="79" t="str">
        <f>IF(AND('341-CT'!$H$9=H6547,OR(LEFT(N6547,3)=$W$7,LEFT(O6547,3)=$W$7)),"x","")</f>
        <v/>
      </c>
      <c r="X6547" s="79" t="str">
        <f>IF(OR(TH!N6547=TH!$X$7,O6547=TH!$X$7),"x","")</f>
        <v/>
      </c>
      <c r="Y6547" s="79" t="str">
        <f>IF(AND(OR(N6547="131",O6547="131"),H6547='131-CT'!$H$9),"x","")</f>
        <v/>
      </c>
      <c r="Z6547" s="79"/>
      <c r="AA6547" s="79" t="str">
        <f>IF(AND(MONTH(E6547)='IN-NX'!$J$5,'IN-NX'!$D$7=D6547),"x","")</f>
        <v/>
      </c>
      <c r="AB6547" s="79" t="str">
        <f>IF(AND(OR(LEFT(TH!N6547,2)="15",LEFT(TH!O6547,2)="15"),LEFT(TH!O6547,3)&lt;&gt;"111",'152-CT'!$J$8=TH!F6547),"x","")</f>
        <v/>
      </c>
      <c r="AC6547" s="79" t="str">
        <f>IF(AND(OR(LEFT(TH!N6547,2)="15",LEFT(TH!O6547,2)="15"),TK!$E$7=TH!F6547),"x","")</f>
        <v/>
      </c>
      <c r="AD6547" s="79" t="str">
        <f>IF(AND(N6547="1521",MONTH(C6547)='BK-NL'!$M$11),"x","")</f>
        <v/>
      </c>
    </row>
    <row r="6548" spans="1:30" ht="16.5" customHeight="1">
      <c r="A6548" s="318" t="str">
        <f>IF(B6548&lt;&gt;"",IF(AND(B6548='IN-TC'!$S$4,OR(TH!N6548="1111",TH!O6548="1111")),TH!D6548,""),"")</f>
        <v/>
      </c>
      <c r="B6548" s="1163" t="str">
        <f t="shared" si="523"/>
        <v/>
      </c>
      <c r="C6548" s="61"/>
      <c r="D6548" s="61"/>
      <c r="E6548" s="61"/>
      <c r="F6548" s="69"/>
      <c r="G6548" s="64"/>
      <c r="H6548" s="321"/>
      <c r="I6548" s="385"/>
      <c r="J6548" s="392"/>
      <c r="K6548" s="385"/>
      <c r="L6548" s="392"/>
      <c r="M6548" s="62"/>
      <c r="N6548" s="63"/>
      <c r="O6548" s="63"/>
      <c r="P6548" s="79" t="str">
        <f>IF(AND('331-CT'!$E$7=TH!H6548,OR(N6548="331",O6548="331")),"x","")</f>
        <v/>
      </c>
      <c r="Q6548" s="79" t="str">
        <f>IF(AND(B6548='111'!$L$11,OR($N6548=$Q$7,$O6548=$Q$7)),"x","")</f>
        <v/>
      </c>
      <c r="R6548" s="79" t="str">
        <f>IF(AND($N6548=$Q$7,$B6548&lt;'111'!$L$11),"x","")</f>
        <v/>
      </c>
      <c r="S6548" s="79" t="str">
        <f>IF(AND($O6548=$Q$7,$B6548&lt;'111'!$L$11),"x","")</f>
        <v/>
      </c>
      <c r="T6548" s="79" t="str">
        <f>IF(ISERROR(FIND('112'!$M$9,G6548,1)),"",IF((AND(FIND('112'!$M$9,G6548,1)&gt;=1,B6548='112'!$K$9,OR($N6548='112'!$I$6,$O6548='112'!$I$6))),"x",""))</f>
        <v/>
      </c>
      <c r="U6548" s="79" t="str">
        <f>IF(ISERROR(FIND('112'!$M$9,G6548,1)),"",IF((AND(LEFT(G6548,2)=LEFT('112'!$M$9,2),B6548&lt;'112'!$K$9,$N6548='112'!$I$6)),"x",""))</f>
        <v/>
      </c>
      <c r="V6548" s="79" t="str">
        <f>IF(ISERROR(FIND('112'!$M$9,G6548,1)),"",IF((AND(RIGHT(G6548,2)=RIGHT('112'!$M$9,2),B6548&lt;'112'!$K$9,$O6548='112'!$I$6)),"x",""))</f>
        <v/>
      </c>
      <c r="W6548" s="79" t="str">
        <f>IF(AND('341-CT'!$H$9=H6548,OR(LEFT(N6548,3)=$W$7,LEFT(O6548,3)=$W$7)),"x","")</f>
        <v/>
      </c>
      <c r="X6548" s="79" t="str">
        <f>IF(OR(TH!N6548=TH!$X$7,O6548=TH!$X$7),"x","")</f>
        <v/>
      </c>
      <c r="Y6548" s="79" t="str">
        <f>IF(AND(OR(N6548="131",O6548="131"),H6548='131-CT'!$H$9),"x","")</f>
        <v/>
      </c>
      <c r="Z6548" s="79"/>
      <c r="AA6548" s="79" t="str">
        <f>IF(AND(MONTH(E6548)='IN-NX'!$J$5,'IN-NX'!$D$7=D6548),"x","")</f>
        <v/>
      </c>
      <c r="AB6548" s="79" t="str">
        <f>IF(AND(OR(LEFT(TH!N6548,2)="15",LEFT(TH!O6548,2)="15"),LEFT(TH!O6548,3)&lt;&gt;"111",'152-CT'!$J$8=TH!F6548),"x","")</f>
        <v/>
      </c>
      <c r="AC6548" s="79" t="str">
        <f>IF(AND(OR(LEFT(TH!N6548,2)="15",LEFT(TH!O6548,2)="15"),TK!$E$7=TH!F6548),"x","")</f>
        <v/>
      </c>
      <c r="AD6548" s="79" t="str">
        <f>IF(AND(N6548="1521",MONTH(C6548)='BK-NL'!$M$11),"x","")</f>
        <v/>
      </c>
    </row>
    <row r="6549" spans="1:30" ht="16.5" customHeight="1">
      <c r="A6549" s="318" t="str">
        <f>IF(B6549&lt;&gt;"",IF(AND(B6549='IN-TC'!$S$4,OR(TH!N6549="1111",TH!O6549="1111")),TH!D6549,""),"")</f>
        <v/>
      </c>
      <c r="B6549" s="1163" t="str">
        <f t="shared" si="523"/>
        <v/>
      </c>
      <c r="C6549" s="61"/>
      <c r="D6549" s="61"/>
      <c r="E6549" s="61"/>
      <c r="F6549" s="69"/>
      <c r="G6549" s="64"/>
      <c r="H6549" s="321"/>
      <c r="I6549" s="385"/>
      <c r="J6549" s="392"/>
      <c r="K6549" s="385"/>
      <c r="L6549" s="392"/>
      <c r="M6549" s="62"/>
      <c r="N6549" s="63"/>
      <c r="O6549" s="63"/>
      <c r="P6549" s="79" t="str">
        <f>IF(AND('331-CT'!$E$7=TH!H6549,OR(N6549="331",O6549="331")),"x","")</f>
        <v/>
      </c>
      <c r="Q6549" s="79" t="str">
        <f>IF(AND(B6549='111'!$L$11,OR($N6549=$Q$7,$O6549=$Q$7)),"x","")</f>
        <v/>
      </c>
      <c r="R6549" s="79" t="str">
        <f>IF(AND($N6549=$Q$7,$B6549&lt;'111'!$L$11),"x","")</f>
        <v/>
      </c>
      <c r="S6549" s="79" t="str">
        <f>IF(AND($O6549=$Q$7,$B6549&lt;'111'!$L$11),"x","")</f>
        <v/>
      </c>
      <c r="T6549" s="79" t="str">
        <f>IF(ISERROR(FIND('112'!$M$9,G6549,1)),"",IF((AND(FIND('112'!$M$9,G6549,1)&gt;=1,B6549='112'!$K$9,OR($N6549='112'!$I$6,$O6549='112'!$I$6))),"x",""))</f>
        <v/>
      </c>
      <c r="U6549" s="79" t="str">
        <f>IF(ISERROR(FIND('112'!$M$9,G6549,1)),"",IF((AND(LEFT(G6549,2)=LEFT('112'!$M$9,2),B6549&lt;'112'!$K$9,$N6549='112'!$I$6)),"x",""))</f>
        <v/>
      </c>
      <c r="V6549" s="79" t="str">
        <f>IF(ISERROR(FIND('112'!$M$9,G6549,1)),"",IF((AND(RIGHT(G6549,2)=RIGHT('112'!$M$9,2),B6549&lt;'112'!$K$9,$O6549='112'!$I$6)),"x",""))</f>
        <v/>
      </c>
      <c r="W6549" s="79" t="str">
        <f>IF(AND('341-CT'!$H$9=H6549,OR(LEFT(N6549,3)=$W$7,LEFT(O6549,3)=$W$7)),"x","")</f>
        <v/>
      </c>
      <c r="X6549" s="79" t="str">
        <f>IF(OR(TH!N6549=TH!$X$7,O6549=TH!$X$7),"x","")</f>
        <v/>
      </c>
      <c r="Y6549" s="79" t="str">
        <f>IF(AND(OR(N6549="131",O6549="131"),H6549='131-CT'!$H$9),"x","")</f>
        <v/>
      </c>
      <c r="Z6549" s="79"/>
      <c r="AA6549" s="79" t="str">
        <f>IF(AND(MONTH(E6549)='IN-NX'!$J$5,'IN-NX'!$D$7=D6549),"x","")</f>
        <v/>
      </c>
      <c r="AB6549" s="79" t="str">
        <f>IF(AND(OR(LEFT(TH!N6549,2)="15",LEFT(TH!O6549,2)="15"),LEFT(TH!O6549,3)&lt;&gt;"111",'152-CT'!$J$8=TH!F6549),"x","")</f>
        <v/>
      </c>
      <c r="AC6549" s="79" t="str">
        <f>IF(AND(OR(LEFT(TH!N6549,2)="15",LEFT(TH!O6549,2)="15"),TK!$E$7=TH!F6549),"x","")</f>
        <v/>
      </c>
      <c r="AD6549" s="79" t="str">
        <f>IF(AND(N6549="1521",MONTH(C6549)='BK-NL'!$M$11),"x","")</f>
        <v/>
      </c>
    </row>
    <row r="6550" spans="1:30" ht="16.5" customHeight="1">
      <c r="A6550" s="318" t="str">
        <f>IF(B6550&lt;&gt;"",IF(AND(B6550='IN-TC'!$S$4,OR(TH!N6550="1111",TH!O6550="1111")),TH!D6550,""),"")</f>
        <v/>
      </c>
      <c r="B6550" s="1163" t="str">
        <f t="shared" si="523"/>
        <v/>
      </c>
      <c r="C6550" s="61"/>
      <c r="D6550" s="61"/>
      <c r="E6550" s="61"/>
      <c r="F6550" s="69"/>
      <c r="G6550" s="64"/>
      <c r="H6550" s="321"/>
      <c r="I6550" s="385"/>
      <c r="J6550" s="392"/>
      <c r="K6550" s="385"/>
      <c r="L6550" s="392"/>
      <c r="M6550" s="62"/>
      <c r="N6550" s="63"/>
      <c r="O6550" s="63"/>
      <c r="P6550" s="79" t="str">
        <f>IF(AND('331-CT'!$E$7=TH!H6550,OR(N6550="331",O6550="331")),"x","")</f>
        <v/>
      </c>
      <c r="Q6550" s="79" t="str">
        <f>IF(AND(B6550='111'!$L$11,OR($N6550=$Q$7,$O6550=$Q$7)),"x","")</f>
        <v/>
      </c>
      <c r="R6550" s="79" t="str">
        <f>IF(AND($N6550=$Q$7,$B6550&lt;'111'!$L$11),"x","")</f>
        <v/>
      </c>
      <c r="S6550" s="79" t="str">
        <f>IF(AND($O6550=$Q$7,$B6550&lt;'111'!$L$11),"x","")</f>
        <v/>
      </c>
      <c r="T6550" s="79" t="str">
        <f>IF(ISERROR(FIND('112'!$M$9,G6550,1)),"",IF((AND(FIND('112'!$M$9,G6550,1)&gt;=1,B6550='112'!$K$9,OR($N6550='112'!$I$6,$O6550='112'!$I$6))),"x",""))</f>
        <v/>
      </c>
      <c r="U6550" s="79" t="str">
        <f>IF(ISERROR(FIND('112'!$M$9,G6550,1)),"",IF((AND(LEFT(G6550,2)=LEFT('112'!$M$9,2),B6550&lt;'112'!$K$9,$N6550='112'!$I$6)),"x",""))</f>
        <v/>
      </c>
      <c r="V6550" s="79" t="str">
        <f>IF(ISERROR(FIND('112'!$M$9,G6550,1)),"",IF((AND(RIGHT(G6550,2)=RIGHT('112'!$M$9,2),B6550&lt;'112'!$K$9,$O6550='112'!$I$6)),"x",""))</f>
        <v/>
      </c>
      <c r="W6550" s="79" t="str">
        <f>IF(AND('341-CT'!$H$9=H6550,OR(LEFT(N6550,3)=$W$7,LEFT(O6550,3)=$W$7)),"x","")</f>
        <v/>
      </c>
      <c r="X6550" s="79" t="str">
        <f>IF(OR(TH!N6550=TH!$X$7,O6550=TH!$X$7),"x","")</f>
        <v/>
      </c>
      <c r="Y6550" s="79" t="str">
        <f>IF(AND(OR(N6550="131",O6550="131"),H6550='131-CT'!$H$9),"x","")</f>
        <v/>
      </c>
      <c r="Z6550" s="79"/>
      <c r="AA6550" s="79" t="str">
        <f>IF(AND(MONTH(E6550)='IN-NX'!$J$5,'IN-NX'!$D$7=D6550),"x","")</f>
        <v/>
      </c>
      <c r="AB6550" s="79" t="str">
        <f>IF(AND(OR(LEFT(TH!N6550,2)="15",LEFT(TH!O6550,2)="15"),LEFT(TH!O6550,3)&lt;&gt;"111",'152-CT'!$J$8=TH!F6550),"x","")</f>
        <v/>
      </c>
      <c r="AC6550" s="79" t="str">
        <f>IF(AND(OR(LEFT(TH!N6550,2)="15",LEFT(TH!O6550,2)="15"),TK!$E$7=TH!F6550),"x","")</f>
        <v/>
      </c>
      <c r="AD6550" s="79" t="str">
        <f>IF(AND(N6550="1521",MONTH(C6550)='BK-NL'!$M$11),"x","")</f>
        <v/>
      </c>
    </row>
    <row r="6551" spans="1:30" ht="16.5" customHeight="1">
      <c r="A6551" s="318" t="str">
        <f>IF(B6551&lt;&gt;"",IF(AND(B6551='IN-TC'!$S$4,OR(TH!N6551="1111",TH!O6551="1111")),TH!D6551,""),"")</f>
        <v/>
      </c>
      <c r="B6551" s="1163" t="str">
        <f t="shared" si="523"/>
        <v/>
      </c>
      <c r="C6551" s="61"/>
      <c r="D6551" s="61"/>
      <c r="E6551" s="61"/>
      <c r="F6551" s="69"/>
      <c r="G6551" s="64"/>
      <c r="H6551" s="321"/>
      <c r="I6551" s="385"/>
      <c r="J6551" s="392"/>
      <c r="K6551" s="385"/>
      <c r="L6551" s="392"/>
      <c r="M6551" s="62"/>
      <c r="N6551" s="63"/>
      <c r="O6551" s="63"/>
      <c r="P6551" s="79" t="str">
        <f>IF(AND('331-CT'!$E$7=TH!H6551,OR(N6551="331",O6551="331")),"x","")</f>
        <v/>
      </c>
      <c r="Q6551" s="79" t="str">
        <f>IF(AND(B6551='111'!$L$11,OR($N6551=$Q$7,$O6551=$Q$7)),"x","")</f>
        <v/>
      </c>
      <c r="R6551" s="79" t="str">
        <f>IF(AND($N6551=$Q$7,$B6551&lt;'111'!$L$11),"x","")</f>
        <v/>
      </c>
      <c r="S6551" s="79" t="str">
        <f>IF(AND($O6551=$Q$7,$B6551&lt;'111'!$L$11),"x","")</f>
        <v/>
      </c>
      <c r="T6551" s="79" t="str">
        <f>IF(ISERROR(FIND('112'!$M$9,G6551,1)),"",IF((AND(FIND('112'!$M$9,G6551,1)&gt;=1,B6551='112'!$K$9,OR($N6551='112'!$I$6,$O6551='112'!$I$6))),"x",""))</f>
        <v/>
      </c>
      <c r="U6551" s="79" t="str">
        <f>IF(ISERROR(FIND('112'!$M$9,G6551,1)),"",IF((AND(LEFT(G6551,2)=LEFT('112'!$M$9,2),B6551&lt;'112'!$K$9,$N6551='112'!$I$6)),"x",""))</f>
        <v/>
      </c>
      <c r="V6551" s="79" t="str">
        <f>IF(ISERROR(FIND('112'!$M$9,G6551,1)),"",IF((AND(RIGHT(G6551,2)=RIGHT('112'!$M$9,2),B6551&lt;'112'!$K$9,$O6551='112'!$I$6)),"x",""))</f>
        <v/>
      </c>
      <c r="W6551" s="79" t="str">
        <f>IF(AND('341-CT'!$H$9=H6551,OR(LEFT(N6551,3)=$W$7,LEFT(O6551,3)=$W$7)),"x","")</f>
        <v/>
      </c>
      <c r="X6551" s="79" t="str">
        <f>IF(OR(TH!N6551=TH!$X$7,O6551=TH!$X$7),"x","")</f>
        <v/>
      </c>
      <c r="Y6551" s="79" t="str">
        <f>IF(AND(OR(N6551="131",O6551="131"),H6551='131-CT'!$H$9),"x","")</f>
        <v/>
      </c>
      <c r="Z6551" s="79"/>
      <c r="AA6551" s="79" t="str">
        <f>IF(AND(MONTH(E6551)='IN-NX'!$J$5,'IN-NX'!$D$7=D6551),"x","")</f>
        <v/>
      </c>
      <c r="AB6551" s="79" t="str">
        <f>IF(AND(OR(LEFT(TH!N6551,2)="15",LEFT(TH!O6551,2)="15"),LEFT(TH!O6551,3)&lt;&gt;"111",'152-CT'!$J$8=TH!F6551),"x","")</f>
        <v/>
      </c>
      <c r="AC6551" s="79" t="str">
        <f>IF(AND(OR(LEFT(TH!N6551,2)="15",LEFT(TH!O6551,2)="15"),TK!$E$7=TH!F6551),"x","")</f>
        <v/>
      </c>
      <c r="AD6551" s="79" t="str">
        <f>IF(AND(N6551="1521",MONTH(C6551)='BK-NL'!$M$11),"x","")</f>
        <v/>
      </c>
    </row>
    <row r="6552" spans="1:30" ht="16.5" customHeight="1">
      <c r="A6552" s="318" t="str">
        <f>IF(B6552&lt;&gt;"",IF(AND(B6552='IN-TC'!$S$4,OR(TH!N6552="1111",TH!O6552="1111")),TH!D6552,""),"")</f>
        <v/>
      </c>
      <c r="B6552" s="1163" t="str">
        <f t="shared" si="523"/>
        <v/>
      </c>
      <c r="C6552" s="61"/>
      <c r="D6552" s="61"/>
      <c r="E6552" s="61"/>
      <c r="F6552" s="69"/>
      <c r="G6552" s="64"/>
      <c r="H6552" s="69"/>
      <c r="I6552" s="385"/>
      <c r="J6552" s="392"/>
      <c r="K6552" s="385"/>
      <c r="L6552" s="392"/>
      <c r="M6552" s="62"/>
      <c r="N6552" s="63"/>
      <c r="O6552" s="63"/>
      <c r="P6552" s="79" t="str">
        <f>IF(AND('331-CT'!$E$7=TH!H6552,OR(N6552="331",O6552="331")),"x","")</f>
        <v/>
      </c>
      <c r="Q6552" s="79" t="str">
        <f>IF(AND(B6552='111'!$L$11,OR($N6552=$Q$7,$O6552=$Q$7)),"x","")</f>
        <v/>
      </c>
      <c r="R6552" s="79" t="str">
        <f>IF(AND($N6552=$Q$7,$B6552&lt;'111'!$L$11),"x","")</f>
        <v/>
      </c>
      <c r="S6552" s="79" t="str">
        <f>IF(AND($O6552=$Q$7,$B6552&lt;'111'!$L$11),"x","")</f>
        <v/>
      </c>
      <c r="T6552" s="79" t="str">
        <f>IF(ISERROR(FIND('112'!$M$9,G6552,1)),"",IF((AND(FIND('112'!$M$9,G6552,1)&gt;=1,B6552='112'!$K$9,OR($N6552='112'!$I$6,$O6552='112'!$I$6))),"x",""))</f>
        <v/>
      </c>
      <c r="U6552" s="79" t="str">
        <f>IF(ISERROR(FIND('112'!$M$9,G6552,1)),"",IF((AND(LEFT(G6552,2)=LEFT('112'!$M$9,2),B6552&lt;'112'!$K$9,$N6552='112'!$I$6)),"x",""))</f>
        <v/>
      </c>
      <c r="V6552" s="79" t="str">
        <f>IF(ISERROR(FIND('112'!$M$9,G6552,1)),"",IF((AND(RIGHT(G6552,2)=RIGHT('112'!$M$9,2),B6552&lt;'112'!$K$9,$O6552='112'!$I$6)),"x",""))</f>
        <v/>
      </c>
      <c r="W6552" s="79" t="str">
        <f>IF(AND('341-CT'!$H$9=H6552,OR(LEFT(N6552,3)=$W$7,LEFT(O6552,3)=$W$7)),"x","")</f>
        <v/>
      </c>
      <c r="X6552" s="79" t="str">
        <f>IF(OR(TH!N6552=TH!$X$7,O6552=TH!$X$7),"x","")</f>
        <v/>
      </c>
      <c r="Y6552" s="79" t="str">
        <f>IF(AND(OR(N6552="131",O6552="131"),H6552='131-CT'!$H$9),"x","")</f>
        <v/>
      </c>
      <c r="Z6552" s="79"/>
      <c r="AA6552" s="79" t="str">
        <f>IF(AND(MONTH(E6552)='IN-NX'!$J$5,'IN-NX'!$D$7=D6552),"x","")</f>
        <v/>
      </c>
      <c r="AB6552" s="79" t="str">
        <f>IF(AND(OR(LEFT(TH!N6552,2)="15",LEFT(TH!O6552,2)="15"),LEFT(TH!O6552,3)&lt;&gt;"111",'152-CT'!$J$8=TH!F6552),"x","")</f>
        <v/>
      </c>
      <c r="AC6552" s="79" t="str">
        <f>IF(AND(OR(LEFT(TH!N6552,2)="15",LEFT(TH!O6552,2)="15"),TK!$E$7=TH!F6552),"x","")</f>
        <v/>
      </c>
      <c r="AD6552" s="79" t="str">
        <f>IF(AND(N6552="1521",MONTH(C6552)='BK-NL'!$M$11),"x","")</f>
        <v/>
      </c>
    </row>
    <row r="6553" spans="1:30" ht="16.5" customHeight="1">
      <c r="A6553" s="318" t="str">
        <f>IF(B6553&lt;&gt;"",IF(AND(B6553='IN-TC'!$S$4,OR(TH!N6553="1111",TH!O6553="1111")),TH!D6553,""),"")</f>
        <v/>
      </c>
      <c r="B6553" s="1163" t="str">
        <f t="shared" si="523"/>
        <v/>
      </c>
      <c r="C6553" s="61"/>
      <c r="D6553" s="61"/>
      <c r="E6553" s="61"/>
      <c r="F6553" s="69"/>
      <c r="G6553" s="64"/>
      <c r="H6553" s="69"/>
      <c r="I6553" s="385"/>
      <c r="J6553" s="392"/>
      <c r="K6553" s="385"/>
      <c r="L6553" s="392"/>
      <c r="M6553" s="62"/>
      <c r="N6553" s="63"/>
      <c r="O6553" s="63"/>
      <c r="P6553" s="79" t="str">
        <f>IF(AND('331-CT'!$E$7=TH!H6553,OR(N6553="331",O6553="331")),"x","")</f>
        <v/>
      </c>
      <c r="Q6553" s="79" t="str">
        <f>IF(AND(B6553='111'!$L$11,OR($N6553=$Q$7,$O6553=$Q$7)),"x","")</f>
        <v/>
      </c>
      <c r="R6553" s="79" t="str">
        <f>IF(AND($N6553=$Q$7,$B6553&lt;'111'!$L$11),"x","")</f>
        <v/>
      </c>
      <c r="S6553" s="79" t="str">
        <f>IF(AND($O6553=$Q$7,$B6553&lt;'111'!$L$11),"x","")</f>
        <v/>
      </c>
      <c r="T6553" s="79" t="str">
        <f>IF(ISERROR(FIND('112'!$M$9,G6553,1)),"",IF((AND(FIND('112'!$M$9,G6553,1)&gt;=1,B6553='112'!$K$9,OR($N6553='112'!$I$6,$O6553='112'!$I$6))),"x",""))</f>
        <v/>
      </c>
      <c r="U6553" s="79" t="str">
        <f>IF(ISERROR(FIND('112'!$M$9,G6553,1)),"",IF((AND(LEFT(G6553,2)=LEFT('112'!$M$9,2),B6553&lt;'112'!$K$9,$N6553='112'!$I$6)),"x",""))</f>
        <v/>
      </c>
      <c r="V6553" s="79" t="str">
        <f>IF(ISERROR(FIND('112'!$M$9,G6553,1)),"",IF((AND(RIGHT(G6553,2)=RIGHT('112'!$M$9,2),B6553&lt;'112'!$K$9,$O6553='112'!$I$6)),"x",""))</f>
        <v/>
      </c>
      <c r="W6553" s="79" t="str">
        <f>IF(AND('341-CT'!$H$9=H6553,OR(LEFT(N6553,3)=$W$7,LEFT(O6553,3)=$W$7)),"x","")</f>
        <v/>
      </c>
      <c r="X6553" s="79" t="str">
        <f>IF(OR(TH!N6553=TH!$X$7,O6553=TH!$X$7),"x","")</f>
        <v/>
      </c>
      <c r="Y6553" s="79" t="str">
        <f>IF(AND(OR(N6553="131",O6553="131"),H6553='131-CT'!$H$9),"x","")</f>
        <v/>
      </c>
      <c r="Z6553" s="79"/>
      <c r="AA6553" s="79" t="str">
        <f>IF(AND(MONTH(E6553)='IN-NX'!$J$5,'IN-NX'!$D$7=D6553),"x","")</f>
        <v/>
      </c>
      <c r="AB6553" s="79" t="str">
        <f>IF(AND(OR(LEFT(TH!N6553,2)="15",LEFT(TH!O6553,2)="15"),LEFT(TH!O6553,3)&lt;&gt;"111",'152-CT'!$J$8=TH!F6553),"x","")</f>
        <v/>
      </c>
      <c r="AC6553" s="79" t="str">
        <f>IF(AND(OR(LEFT(TH!N6553,2)="15",LEFT(TH!O6553,2)="15"),TK!$E$7=TH!F6553),"x","")</f>
        <v/>
      </c>
      <c r="AD6553" s="79" t="str">
        <f>IF(AND(N6553="1521",MONTH(C6553)='BK-NL'!$M$11),"x","")</f>
        <v/>
      </c>
    </row>
    <row r="6554" spans="1:30" ht="16.5" customHeight="1">
      <c r="A6554" s="318" t="str">
        <f>IF(B6554&lt;&gt;"",IF(AND(B6554='IN-TC'!$S$4,OR(TH!N6554="1111",TH!O6554="1111")),TH!D6554,""),"")</f>
        <v/>
      </c>
      <c r="B6554" s="1163" t="str">
        <f t="shared" si="523"/>
        <v/>
      </c>
      <c r="C6554" s="61"/>
      <c r="D6554" s="61"/>
      <c r="E6554" s="61"/>
      <c r="F6554" s="69"/>
      <c r="G6554" s="64"/>
      <c r="H6554" s="69"/>
      <c r="I6554" s="385"/>
      <c r="J6554" s="392"/>
      <c r="K6554" s="385"/>
      <c r="L6554" s="392"/>
      <c r="M6554" s="62"/>
      <c r="N6554" s="63"/>
      <c r="O6554" s="63"/>
      <c r="P6554" s="79" t="str">
        <f>IF(AND('331-CT'!$E$7=TH!H6554,OR(N6554="331",O6554="331")),"x","")</f>
        <v/>
      </c>
      <c r="Q6554" s="79" t="str">
        <f>IF(AND(B6554='111'!$L$11,OR($N6554=$Q$7,$O6554=$Q$7)),"x","")</f>
        <v/>
      </c>
      <c r="R6554" s="79" t="str">
        <f>IF(AND($N6554=$Q$7,$B6554&lt;'111'!$L$11),"x","")</f>
        <v/>
      </c>
      <c r="S6554" s="79" t="str">
        <f>IF(AND($O6554=$Q$7,$B6554&lt;'111'!$L$11),"x","")</f>
        <v/>
      </c>
      <c r="T6554" s="79" t="str">
        <f>IF(ISERROR(FIND('112'!$M$9,G6554,1)),"",IF((AND(FIND('112'!$M$9,G6554,1)&gt;=1,B6554='112'!$K$9,OR($N6554='112'!$I$6,$O6554='112'!$I$6))),"x",""))</f>
        <v/>
      </c>
      <c r="U6554" s="79" t="str">
        <f>IF(ISERROR(FIND('112'!$M$9,G6554,1)),"",IF((AND(LEFT(G6554,2)=LEFT('112'!$M$9,2),B6554&lt;'112'!$K$9,$N6554='112'!$I$6)),"x",""))</f>
        <v/>
      </c>
      <c r="V6554" s="79" t="str">
        <f>IF(ISERROR(FIND('112'!$M$9,G6554,1)),"",IF((AND(RIGHT(G6554,2)=RIGHT('112'!$M$9,2),B6554&lt;'112'!$K$9,$O6554='112'!$I$6)),"x",""))</f>
        <v/>
      </c>
      <c r="W6554" s="79" t="str">
        <f>IF(AND('341-CT'!$H$9=H6554,OR(LEFT(N6554,3)=$W$7,LEFT(O6554,3)=$W$7)),"x","")</f>
        <v/>
      </c>
      <c r="X6554" s="79" t="str">
        <f>IF(OR(TH!N6554=TH!$X$7,O6554=TH!$X$7),"x","")</f>
        <v/>
      </c>
      <c r="Y6554" s="79" t="str">
        <f>IF(AND(OR(N6554="131",O6554="131"),H6554='131-CT'!$H$9),"x","")</f>
        <v/>
      </c>
      <c r="Z6554" s="79"/>
      <c r="AA6554" s="79" t="str">
        <f>IF(AND(MONTH(E6554)='IN-NX'!$J$5,'IN-NX'!$D$7=D6554),"x","")</f>
        <v/>
      </c>
      <c r="AB6554" s="79" t="str">
        <f>IF(AND(OR(LEFT(TH!N6554,2)="15",LEFT(TH!O6554,2)="15"),LEFT(TH!O6554,3)&lt;&gt;"111",'152-CT'!$J$8=TH!F6554),"x","")</f>
        <v/>
      </c>
      <c r="AC6554" s="79" t="str">
        <f>IF(AND(OR(LEFT(TH!N6554,2)="15",LEFT(TH!O6554,2)="15"),TK!$E$7=TH!F6554),"x","")</f>
        <v/>
      </c>
      <c r="AD6554" s="79" t="str">
        <f>IF(AND(N6554="1521",MONTH(C6554)='BK-NL'!$M$11),"x","")</f>
        <v/>
      </c>
    </row>
    <row r="6555" spans="1:30" ht="16.5" customHeight="1">
      <c r="A6555" s="318" t="str">
        <f>IF(B6555&lt;&gt;"",IF(AND(B6555='IN-TC'!$S$4,OR(TH!N6555="1111",TH!O6555="1111")),TH!D6555,""),"")</f>
        <v/>
      </c>
      <c r="B6555" s="1163" t="str">
        <f t="shared" si="523"/>
        <v/>
      </c>
      <c r="C6555" s="61"/>
      <c r="D6555" s="61"/>
      <c r="E6555" s="61"/>
      <c r="F6555" s="69"/>
      <c r="G6555" s="64"/>
      <c r="H6555" s="69"/>
      <c r="I6555" s="385"/>
      <c r="J6555" s="392"/>
      <c r="K6555" s="385"/>
      <c r="L6555" s="392"/>
      <c r="M6555" s="62"/>
      <c r="N6555" s="63"/>
      <c r="O6555" s="63"/>
      <c r="P6555" s="79" t="str">
        <f>IF(AND('331-CT'!$E$7=TH!H6555,OR(N6555="331",O6555="331")),"x","")</f>
        <v/>
      </c>
      <c r="Q6555" s="79" t="str">
        <f>IF(AND(B6555='111'!$L$11,OR($N6555=$Q$7,$O6555=$Q$7)),"x","")</f>
        <v/>
      </c>
      <c r="R6555" s="79" t="str">
        <f>IF(AND($N6555=$Q$7,$B6555&lt;'111'!$L$11),"x","")</f>
        <v/>
      </c>
      <c r="S6555" s="79" t="str">
        <f>IF(AND($O6555=$Q$7,$B6555&lt;'111'!$L$11),"x","")</f>
        <v/>
      </c>
      <c r="T6555" s="79" t="str">
        <f>IF(ISERROR(FIND('112'!$M$9,G6555,1)),"",IF((AND(FIND('112'!$M$9,G6555,1)&gt;=1,B6555='112'!$K$9,OR($N6555='112'!$I$6,$O6555='112'!$I$6))),"x",""))</f>
        <v/>
      </c>
      <c r="U6555" s="79" t="str">
        <f>IF(ISERROR(FIND('112'!$M$9,G6555,1)),"",IF((AND(LEFT(G6555,2)=LEFT('112'!$M$9,2),B6555&lt;'112'!$K$9,$N6555='112'!$I$6)),"x",""))</f>
        <v/>
      </c>
      <c r="V6555" s="79" t="str">
        <f>IF(ISERROR(FIND('112'!$M$9,G6555,1)),"",IF((AND(RIGHT(G6555,2)=RIGHT('112'!$M$9,2),B6555&lt;'112'!$K$9,$O6555='112'!$I$6)),"x",""))</f>
        <v/>
      </c>
      <c r="W6555" s="79" t="str">
        <f>IF(AND('341-CT'!$H$9=H6555,OR(LEFT(N6555,3)=$W$7,LEFT(O6555,3)=$W$7)),"x","")</f>
        <v/>
      </c>
      <c r="X6555" s="79" t="str">
        <f>IF(OR(TH!N6555=TH!$X$7,O6555=TH!$X$7),"x","")</f>
        <v/>
      </c>
      <c r="Y6555" s="79" t="str">
        <f>IF(AND(OR(N6555="131",O6555="131"),H6555='131-CT'!$H$9),"x","")</f>
        <v/>
      </c>
      <c r="Z6555" s="79"/>
      <c r="AA6555" s="79" t="str">
        <f>IF(AND(MONTH(E6555)='IN-NX'!$J$5,'IN-NX'!$D$7=D6555),"x","")</f>
        <v/>
      </c>
      <c r="AB6555" s="79" t="str">
        <f>IF(AND(OR(LEFT(TH!N6555,2)="15",LEFT(TH!O6555,2)="15"),LEFT(TH!O6555,3)&lt;&gt;"111",'152-CT'!$J$8=TH!F6555),"x","")</f>
        <v/>
      </c>
      <c r="AC6555" s="79" t="str">
        <f>IF(AND(OR(LEFT(TH!N6555,2)="15",LEFT(TH!O6555,2)="15"),TK!$E$7=TH!F6555),"x","")</f>
        <v/>
      </c>
      <c r="AD6555" s="79" t="str">
        <f>IF(AND(N6555="1521",MONTH(C6555)='BK-NL'!$M$11),"x","")</f>
        <v/>
      </c>
    </row>
    <row r="6556" spans="1:30" ht="16.5" customHeight="1">
      <c r="A6556" s="318" t="str">
        <f>IF(B6556&lt;&gt;"",IF(AND(B6556='IN-TC'!$S$4,OR(TH!N6556="1111",TH!O6556="1111")),TH!D6556,""),"")</f>
        <v/>
      </c>
      <c r="B6556" s="1163" t="str">
        <f t="shared" si="523"/>
        <v/>
      </c>
      <c r="C6556" s="61"/>
      <c r="D6556" s="61"/>
      <c r="E6556" s="61"/>
      <c r="F6556" s="69"/>
      <c r="G6556" s="64"/>
      <c r="H6556" s="69"/>
      <c r="I6556" s="385"/>
      <c r="J6556" s="392"/>
      <c r="K6556" s="385"/>
      <c r="L6556" s="392"/>
      <c r="M6556" s="62"/>
      <c r="N6556" s="63"/>
      <c r="O6556" s="63"/>
      <c r="P6556" s="79" t="str">
        <f>IF(AND('331-CT'!$E$7=TH!H6556,OR(N6556="331",O6556="331")),"x","")</f>
        <v/>
      </c>
      <c r="Q6556" s="79" t="str">
        <f>IF(AND(B6556='111'!$L$11,OR($N6556=$Q$7,$O6556=$Q$7)),"x","")</f>
        <v/>
      </c>
      <c r="R6556" s="79" t="str">
        <f>IF(AND($N6556=$Q$7,$B6556&lt;'111'!$L$11),"x","")</f>
        <v/>
      </c>
      <c r="S6556" s="79" t="str">
        <f>IF(AND($O6556=$Q$7,$B6556&lt;'111'!$L$11),"x","")</f>
        <v/>
      </c>
      <c r="T6556" s="79" t="str">
        <f>IF(ISERROR(FIND('112'!$M$9,G6556,1)),"",IF((AND(FIND('112'!$M$9,G6556,1)&gt;=1,B6556='112'!$K$9,OR($N6556='112'!$I$6,$O6556='112'!$I$6))),"x",""))</f>
        <v/>
      </c>
      <c r="U6556" s="79" t="str">
        <f>IF(ISERROR(FIND('112'!$M$9,G6556,1)),"",IF((AND(LEFT(G6556,2)=LEFT('112'!$M$9,2),B6556&lt;'112'!$K$9,$N6556='112'!$I$6)),"x",""))</f>
        <v/>
      </c>
      <c r="V6556" s="79" t="str">
        <f>IF(ISERROR(FIND('112'!$M$9,G6556,1)),"",IF((AND(RIGHT(G6556,2)=RIGHT('112'!$M$9,2),B6556&lt;'112'!$K$9,$O6556='112'!$I$6)),"x",""))</f>
        <v/>
      </c>
      <c r="W6556" s="79" t="str">
        <f>IF(AND('341-CT'!$H$9=H6556,OR(LEFT(N6556,3)=$W$7,LEFT(O6556,3)=$W$7)),"x","")</f>
        <v/>
      </c>
      <c r="X6556" s="79" t="str">
        <f>IF(OR(TH!N6556=TH!$X$7,O6556=TH!$X$7),"x","")</f>
        <v/>
      </c>
      <c r="Y6556" s="79" t="str">
        <f>IF(AND(OR(N6556="131",O6556="131"),H6556='131-CT'!$H$9),"x","")</f>
        <v/>
      </c>
      <c r="Z6556" s="79"/>
      <c r="AA6556" s="79" t="str">
        <f>IF(AND(MONTH(E6556)='IN-NX'!$J$5,'IN-NX'!$D$7=D6556),"x","")</f>
        <v/>
      </c>
      <c r="AB6556" s="79" t="str">
        <f>IF(AND(OR(LEFT(TH!N6556,2)="15",LEFT(TH!O6556,2)="15"),LEFT(TH!O6556,3)&lt;&gt;"111",'152-CT'!$J$8=TH!F6556),"x","")</f>
        <v/>
      </c>
      <c r="AC6556" s="79" t="str">
        <f>IF(AND(OR(LEFT(TH!N6556,2)="15",LEFT(TH!O6556,2)="15"),TK!$E$7=TH!F6556),"x","")</f>
        <v/>
      </c>
      <c r="AD6556" s="79" t="str">
        <f>IF(AND(N6556="1521",MONTH(C6556)='BK-NL'!$M$11),"x","")</f>
        <v/>
      </c>
    </row>
    <row r="6557" spans="1:30" ht="16.5" customHeight="1">
      <c r="A6557" s="318" t="str">
        <f>IF(B6557&lt;&gt;"",IF(AND(B6557='IN-TC'!$S$4,OR(TH!N6557="1111",TH!O6557="1111")),TH!D6557,""),"")</f>
        <v/>
      </c>
      <c r="B6557" s="1163" t="str">
        <f t="shared" si="523"/>
        <v/>
      </c>
      <c r="C6557" s="61"/>
      <c r="D6557" s="61"/>
      <c r="E6557" s="61"/>
      <c r="F6557" s="69"/>
      <c r="G6557" s="64"/>
      <c r="H6557" s="69"/>
      <c r="I6557" s="385"/>
      <c r="J6557" s="392"/>
      <c r="K6557" s="385"/>
      <c r="L6557" s="392"/>
      <c r="M6557" s="62"/>
      <c r="N6557" s="63"/>
      <c r="O6557" s="63"/>
      <c r="P6557" s="79" t="str">
        <f>IF(AND('331-CT'!$E$7=TH!H6557,OR(N6557="331",O6557="331")),"x","")</f>
        <v/>
      </c>
      <c r="Q6557" s="79" t="str">
        <f>IF(AND(B6557='111'!$L$11,OR($N6557=$Q$7,$O6557=$Q$7)),"x","")</f>
        <v/>
      </c>
      <c r="R6557" s="79" t="str">
        <f>IF(AND($N6557=$Q$7,$B6557&lt;'111'!$L$11),"x","")</f>
        <v/>
      </c>
      <c r="S6557" s="79" t="str">
        <f>IF(AND($O6557=$Q$7,$B6557&lt;'111'!$L$11),"x","")</f>
        <v/>
      </c>
      <c r="T6557" s="79" t="str">
        <f>IF(ISERROR(FIND('112'!$M$9,G6557,1)),"",IF((AND(FIND('112'!$M$9,G6557,1)&gt;=1,B6557='112'!$K$9,OR($N6557='112'!$I$6,$O6557='112'!$I$6))),"x",""))</f>
        <v/>
      </c>
      <c r="U6557" s="79" t="str">
        <f>IF(ISERROR(FIND('112'!$M$9,G6557,1)),"",IF((AND(LEFT(G6557,2)=LEFT('112'!$M$9,2),B6557&lt;'112'!$K$9,$N6557='112'!$I$6)),"x",""))</f>
        <v/>
      </c>
      <c r="V6557" s="79" t="str">
        <f>IF(ISERROR(FIND('112'!$M$9,G6557,1)),"",IF((AND(RIGHT(G6557,2)=RIGHT('112'!$M$9,2),B6557&lt;'112'!$K$9,$O6557='112'!$I$6)),"x",""))</f>
        <v/>
      </c>
      <c r="W6557" s="79" t="str">
        <f>IF(AND('341-CT'!$H$9=H6557,OR(LEFT(N6557,3)=$W$7,LEFT(O6557,3)=$W$7)),"x","")</f>
        <v/>
      </c>
      <c r="X6557" s="79" t="str">
        <f>IF(OR(TH!N6557=TH!$X$7,O6557=TH!$X$7),"x","")</f>
        <v/>
      </c>
      <c r="Y6557" s="79" t="str">
        <f>IF(AND(OR(N6557="131",O6557="131"),H6557='131-CT'!$H$9),"x","")</f>
        <v/>
      </c>
      <c r="Z6557" s="79"/>
      <c r="AA6557" s="79" t="str">
        <f>IF(AND(MONTH(E6557)='IN-NX'!$J$5,'IN-NX'!$D$7=D6557),"x","")</f>
        <v/>
      </c>
      <c r="AB6557" s="79" t="str">
        <f>IF(AND(OR(LEFT(TH!N6557,2)="15",LEFT(TH!O6557,2)="15"),LEFT(TH!O6557,3)&lt;&gt;"111",'152-CT'!$J$8=TH!F6557),"x","")</f>
        <v/>
      </c>
      <c r="AC6557" s="79" t="str">
        <f>IF(AND(OR(LEFT(TH!N6557,2)="15",LEFT(TH!O6557,2)="15"),TK!$E$7=TH!F6557),"x","")</f>
        <v/>
      </c>
      <c r="AD6557" s="79" t="str">
        <f>IF(AND(N6557="1521",MONTH(C6557)='BK-NL'!$M$11),"x","")</f>
        <v/>
      </c>
    </row>
    <row r="6558" spans="1:30" ht="16.5" customHeight="1">
      <c r="A6558" s="318" t="str">
        <f>IF(B6558&lt;&gt;"",IF(AND(B6558='IN-TC'!$S$4,OR(TH!N6558="1111",TH!O6558="1111")),TH!D6558,""),"")</f>
        <v/>
      </c>
      <c r="B6558" s="1163" t="str">
        <f t="shared" si="523"/>
        <v/>
      </c>
      <c r="C6558" s="61"/>
      <c r="D6558" s="61"/>
      <c r="E6558" s="61"/>
      <c r="F6558" s="69"/>
      <c r="G6558" s="64"/>
      <c r="H6558" s="321"/>
      <c r="I6558" s="385"/>
      <c r="J6558" s="392"/>
      <c r="K6558" s="385"/>
      <c r="L6558" s="392"/>
      <c r="M6558" s="62"/>
      <c r="N6558" s="63"/>
      <c r="O6558" s="63"/>
      <c r="P6558" s="79" t="str">
        <f>IF(AND('331-CT'!$E$7=TH!H6558,OR(N6558="331",O6558="331")),"x","")</f>
        <v/>
      </c>
      <c r="Q6558" s="79" t="str">
        <f>IF(AND(B6558='111'!$L$11,OR($N6558=$Q$7,$O6558=$Q$7)),"x","")</f>
        <v/>
      </c>
      <c r="R6558" s="79" t="str">
        <f>IF(AND($N6558=$Q$7,$B6558&lt;'111'!$L$11),"x","")</f>
        <v/>
      </c>
      <c r="S6558" s="79" t="str">
        <f>IF(AND($O6558=$Q$7,$B6558&lt;'111'!$L$11),"x","")</f>
        <v/>
      </c>
      <c r="T6558" s="79" t="str">
        <f>IF(ISERROR(FIND('112'!$M$9,G6558,1)),"",IF((AND(FIND('112'!$M$9,G6558,1)&gt;=1,B6558='112'!$K$9,OR($N6558='112'!$I$6,$O6558='112'!$I$6))),"x",""))</f>
        <v/>
      </c>
      <c r="U6558" s="79" t="str">
        <f>IF(ISERROR(FIND('112'!$M$9,G6558,1)),"",IF((AND(LEFT(G6558,2)=LEFT('112'!$M$9,2),B6558&lt;'112'!$K$9,$N6558='112'!$I$6)),"x",""))</f>
        <v/>
      </c>
      <c r="V6558" s="79" t="str">
        <f>IF(ISERROR(FIND('112'!$M$9,G6558,1)),"",IF((AND(RIGHT(G6558,2)=RIGHT('112'!$M$9,2),B6558&lt;'112'!$K$9,$O6558='112'!$I$6)),"x",""))</f>
        <v/>
      </c>
      <c r="W6558" s="79" t="str">
        <f>IF(AND('341-CT'!$H$9=H6558,OR(LEFT(N6558,3)=$W$7,LEFT(O6558,3)=$W$7)),"x","")</f>
        <v/>
      </c>
      <c r="X6558" s="79" t="str">
        <f>IF(OR(TH!N6558=TH!$X$7,O6558=TH!$X$7),"x","")</f>
        <v/>
      </c>
      <c r="Y6558" s="79" t="str">
        <f>IF(AND(OR(N6558="131",O6558="131"),H6558='131-CT'!$H$9),"x","")</f>
        <v/>
      </c>
      <c r="Z6558" s="79"/>
      <c r="AA6558" s="79" t="str">
        <f>IF(AND(MONTH(E6558)='IN-NX'!$J$5,'IN-NX'!$D$7=D6558),"x","")</f>
        <v/>
      </c>
      <c r="AB6558" s="79" t="str">
        <f>IF(AND(OR(LEFT(TH!N6558,2)="15",LEFT(TH!O6558,2)="15"),LEFT(TH!O6558,3)&lt;&gt;"111",'152-CT'!$J$8=TH!F6558),"x","")</f>
        <v/>
      </c>
      <c r="AC6558" s="79" t="str">
        <f>IF(AND(OR(LEFT(TH!N6558,2)="15",LEFT(TH!O6558,2)="15"),TK!$E$7=TH!F6558),"x","")</f>
        <v/>
      </c>
      <c r="AD6558" s="79" t="str">
        <f>IF(AND(N6558="1521",MONTH(C6558)='BK-NL'!$M$11),"x","")</f>
        <v/>
      </c>
    </row>
    <row r="6559" spans="1:30" ht="16.5" customHeight="1">
      <c r="A6559" s="318" t="str">
        <f>IF(B6559&lt;&gt;"",IF(AND(B6559='IN-TC'!$S$4,OR(TH!N6559="1111",TH!O6559="1111")),TH!D6559,""),"")</f>
        <v/>
      </c>
      <c r="B6559" s="1163" t="str">
        <f t="shared" si="523"/>
        <v/>
      </c>
      <c r="C6559" s="61"/>
      <c r="D6559" s="61"/>
      <c r="E6559" s="61"/>
      <c r="F6559" s="69"/>
      <c r="G6559" s="64"/>
      <c r="H6559" s="321"/>
      <c r="I6559" s="385"/>
      <c r="J6559" s="392"/>
      <c r="K6559" s="385"/>
      <c r="L6559" s="392"/>
      <c r="M6559" s="62"/>
      <c r="N6559" s="63"/>
      <c r="O6559" s="63"/>
      <c r="P6559" s="79" t="str">
        <f>IF(AND('331-CT'!$E$7=TH!H6559,OR(N6559="331",O6559="331")),"x","")</f>
        <v/>
      </c>
      <c r="Q6559" s="79" t="str">
        <f>IF(AND(B6559='111'!$L$11,OR($N6559=$Q$7,$O6559=$Q$7)),"x","")</f>
        <v/>
      </c>
      <c r="R6559" s="79" t="str">
        <f>IF(AND($N6559=$Q$7,$B6559&lt;'111'!$L$11),"x","")</f>
        <v/>
      </c>
      <c r="S6559" s="79" t="str">
        <f>IF(AND($O6559=$Q$7,$B6559&lt;'111'!$L$11),"x","")</f>
        <v/>
      </c>
      <c r="T6559" s="79" t="str">
        <f>IF(ISERROR(FIND('112'!$M$9,G6559,1)),"",IF((AND(FIND('112'!$M$9,G6559,1)&gt;=1,B6559='112'!$K$9,OR($N6559='112'!$I$6,$O6559='112'!$I$6))),"x",""))</f>
        <v/>
      </c>
      <c r="U6559" s="79" t="str">
        <f>IF(ISERROR(FIND('112'!$M$9,G6559,1)),"",IF((AND(LEFT(G6559,2)=LEFT('112'!$M$9,2),B6559&lt;'112'!$K$9,$N6559='112'!$I$6)),"x",""))</f>
        <v/>
      </c>
      <c r="V6559" s="79" t="str">
        <f>IF(ISERROR(FIND('112'!$M$9,G6559,1)),"",IF((AND(RIGHT(G6559,2)=RIGHT('112'!$M$9,2),B6559&lt;'112'!$K$9,$O6559='112'!$I$6)),"x",""))</f>
        <v/>
      </c>
      <c r="W6559" s="79" t="str">
        <f>IF(AND('341-CT'!$H$9=H6559,OR(LEFT(N6559,3)=$W$7,LEFT(O6559,3)=$W$7)),"x","")</f>
        <v/>
      </c>
      <c r="X6559" s="79" t="str">
        <f>IF(OR(TH!N6559=TH!$X$7,O6559=TH!$X$7),"x","")</f>
        <v/>
      </c>
      <c r="Y6559" s="79" t="str">
        <f>IF(AND(OR(N6559="131",O6559="131"),H6559='131-CT'!$H$9),"x","")</f>
        <v/>
      </c>
      <c r="Z6559" s="79"/>
      <c r="AA6559" s="79" t="str">
        <f>IF(AND(MONTH(E6559)='IN-NX'!$J$5,'IN-NX'!$D$7=D6559),"x","")</f>
        <v/>
      </c>
      <c r="AB6559" s="79" t="str">
        <f>IF(AND(OR(LEFT(TH!N6559,2)="15",LEFT(TH!O6559,2)="15"),LEFT(TH!O6559,3)&lt;&gt;"111",'152-CT'!$J$8=TH!F6559),"x","")</f>
        <v/>
      </c>
      <c r="AC6559" s="79" t="str">
        <f>IF(AND(OR(LEFT(TH!N6559,2)="15",LEFT(TH!O6559,2)="15"),TK!$E$7=TH!F6559),"x","")</f>
        <v/>
      </c>
      <c r="AD6559" s="79" t="str">
        <f>IF(AND(N6559="1521",MONTH(C6559)='BK-NL'!$M$11),"x","")</f>
        <v/>
      </c>
    </row>
    <row r="6560" spans="1:30" ht="16.5" customHeight="1">
      <c r="A6560" s="318" t="str">
        <f>IF(B6560&lt;&gt;"",IF(AND(B6560='IN-TC'!$S$4,OR(TH!N6560="1111",TH!O6560="1111")),TH!D6560,""),"")</f>
        <v/>
      </c>
      <c r="B6560" s="1163" t="str">
        <f t="shared" si="523"/>
        <v/>
      </c>
      <c r="C6560" s="61"/>
      <c r="D6560" s="61"/>
      <c r="E6560" s="61"/>
      <c r="F6560" s="69"/>
      <c r="G6560" s="64"/>
      <c r="H6560" s="321"/>
      <c r="I6560" s="385"/>
      <c r="J6560" s="392"/>
      <c r="K6560" s="385"/>
      <c r="L6560" s="392"/>
      <c r="M6560" s="62"/>
      <c r="N6560" s="63"/>
      <c r="O6560" s="63"/>
      <c r="P6560" s="79" t="str">
        <f>IF(AND('331-CT'!$E$7=TH!H6560,OR(N6560="331",O6560="331")),"x","")</f>
        <v/>
      </c>
      <c r="Q6560" s="79" t="str">
        <f>IF(AND(B6560='111'!$L$11,OR($N6560=$Q$7,$O6560=$Q$7)),"x","")</f>
        <v/>
      </c>
      <c r="R6560" s="79" t="str">
        <f>IF(AND($N6560=$Q$7,$B6560&lt;'111'!$L$11),"x","")</f>
        <v/>
      </c>
      <c r="S6560" s="79" t="str">
        <f>IF(AND($O6560=$Q$7,$B6560&lt;'111'!$L$11),"x","")</f>
        <v/>
      </c>
      <c r="T6560" s="79" t="str">
        <f>IF(ISERROR(FIND('112'!$M$9,G6560,1)),"",IF((AND(FIND('112'!$M$9,G6560,1)&gt;=1,B6560='112'!$K$9,OR($N6560='112'!$I$6,$O6560='112'!$I$6))),"x",""))</f>
        <v/>
      </c>
      <c r="U6560" s="79" t="str">
        <f>IF(ISERROR(FIND('112'!$M$9,G6560,1)),"",IF((AND(LEFT(G6560,2)=LEFT('112'!$M$9,2),B6560&lt;'112'!$K$9,$N6560='112'!$I$6)),"x",""))</f>
        <v/>
      </c>
      <c r="V6560" s="79" t="str">
        <f>IF(ISERROR(FIND('112'!$M$9,G6560,1)),"",IF((AND(RIGHT(G6560,2)=RIGHT('112'!$M$9,2),B6560&lt;'112'!$K$9,$O6560='112'!$I$6)),"x",""))</f>
        <v/>
      </c>
      <c r="W6560" s="79" t="str">
        <f>IF(AND('341-CT'!$H$9=H6560,OR(LEFT(N6560,3)=$W$7,LEFT(O6560,3)=$W$7)),"x","")</f>
        <v/>
      </c>
      <c r="X6560" s="79" t="str">
        <f>IF(OR(TH!N6560=TH!$X$7,O6560=TH!$X$7),"x","")</f>
        <v/>
      </c>
      <c r="Y6560" s="79" t="str">
        <f>IF(AND(OR(N6560="131",O6560="131"),H6560='131-CT'!$H$9),"x","")</f>
        <v/>
      </c>
      <c r="Z6560" s="79"/>
      <c r="AA6560" s="79" t="str">
        <f>IF(AND(MONTH(E6560)='IN-NX'!$J$5,'IN-NX'!$D$7=D6560),"x","")</f>
        <v/>
      </c>
      <c r="AB6560" s="79" t="str">
        <f>IF(AND(OR(LEFT(TH!N6560,2)="15",LEFT(TH!O6560,2)="15"),LEFT(TH!O6560,3)&lt;&gt;"111",'152-CT'!$J$8=TH!F6560),"x","")</f>
        <v/>
      </c>
      <c r="AC6560" s="79" t="str">
        <f>IF(AND(OR(LEFT(TH!N6560,2)="15",LEFT(TH!O6560,2)="15"),TK!$E$7=TH!F6560),"x","")</f>
        <v/>
      </c>
      <c r="AD6560" s="79" t="str">
        <f>IF(AND(N6560="1521",MONTH(C6560)='BK-NL'!$M$11),"x","")</f>
        <v/>
      </c>
    </row>
    <row r="6561" spans="1:30" ht="16.5" customHeight="1">
      <c r="A6561" s="318" t="str">
        <f>IF(B6561&lt;&gt;"",IF(AND(B6561='IN-TC'!$S$4,OR(TH!N6561="1111",TH!O6561="1111")),TH!D6561,""),"")</f>
        <v/>
      </c>
      <c r="B6561" s="1163" t="str">
        <f t="shared" si="523"/>
        <v/>
      </c>
      <c r="C6561" s="61"/>
      <c r="D6561" s="61"/>
      <c r="E6561" s="61"/>
      <c r="F6561" s="69"/>
      <c r="G6561" s="64"/>
      <c r="H6561" s="321"/>
      <c r="I6561" s="385"/>
      <c r="J6561" s="392"/>
      <c r="K6561" s="385"/>
      <c r="L6561" s="392"/>
      <c r="M6561" s="62"/>
      <c r="N6561" s="63"/>
      <c r="O6561" s="63"/>
      <c r="P6561" s="79" t="str">
        <f>IF(AND('331-CT'!$E$7=TH!H6561,OR(N6561="331",O6561="331")),"x","")</f>
        <v/>
      </c>
      <c r="Q6561" s="79" t="str">
        <f>IF(AND(B6561='111'!$L$11,OR($N6561=$Q$7,$O6561=$Q$7)),"x","")</f>
        <v/>
      </c>
      <c r="R6561" s="79" t="str">
        <f>IF(AND($N6561=$Q$7,$B6561&lt;'111'!$L$11),"x","")</f>
        <v/>
      </c>
      <c r="S6561" s="79" t="str">
        <f>IF(AND($O6561=$Q$7,$B6561&lt;'111'!$L$11),"x","")</f>
        <v/>
      </c>
      <c r="T6561" s="79" t="str">
        <f>IF(ISERROR(FIND('112'!$M$9,G6561,1)),"",IF((AND(FIND('112'!$M$9,G6561,1)&gt;=1,B6561='112'!$K$9,OR($N6561='112'!$I$6,$O6561='112'!$I$6))),"x",""))</f>
        <v/>
      </c>
      <c r="U6561" s="79" t="str">
        <f>IF(ISERROR(FIND('112'!$M$9,G6561,1)),"",IF((AND(LEFT(G6561,2)=LEFT('112'!$M$9,2),B6561&lt;'112'!$K$9,$N6561='112'!$I$6)),"x",""))</f>
        <v/>
      </c>
      <c r="V6561" s="79" t="str">
        <f>IF(ISERROR(FIND('112'!$M$9,G6561,1)),"",IF((AND(RIGHT(G6561,2)=RIGHT('112'!$M$9,2),B6561&lt;'112'!$K$9,$O6561='112'!$I$6)),"x",""))</f>
        <v/>
      </c>
      <c r="W6561" s="79" t="str">
        <f>IF(AND('341-CT'!$H$9=H6561,OR(LEFT(N6561,3)=$W$7,LEFT(O6561,3)=$W$7)),"x","")</f>
        <v/>
      </c>
      <c r="X6561" s="79" t="str">
        <f>IF(OR(TH!N6561=TH!$X$7,O6561=TH!$X$7),"x","")</f>
        <v/>
      </c>
      <c r="Y6561" s="79" t="str">
        <f>IF(AND(OR(N6561="131",O6561="131"),H6561='131-CT'!$H$9),"x","")</f>
        <v/>
      </c>
      <c r="Z6561" s="79"/>
      <c r="AA6561" s="79" t="str">
        <f>IF(AND(MONTH(E6561)='IN-NX'!$J$5,'IN-NX'!$D$7=D6561),"x","")</f>
        <v/>
      </c>
      <c r="AB6561" s="79" t="str">
        <f>IF(AND(OR(LEFT(TH!N6561,2)="15",LEFT(TH!O6561,2)="15"),LEFT(TH!O6561,3)&lt;&gt;"111",'152-CT'!$J$8=TH!F6561),"x","")</f>
        <v/>
      </c>
      <c r="AC6561" s="79" t="str">
        <f>IF(AND(OR(LEFT(TH!N6561,2)="15",LEFT(TH!O6561,2)="15"),TK!$E$7=TH!F6561),"x","")</f>
        <v/>
      </c>
      <c r="AD6561" s="79" t="str">
        <f>IF(AND(N6561="1521",MONTH(C6561)='BK-NL'!$M$11),"x","")</f>
        <v/>
      </c>
    </row>
    <row r="6562" spans="1:30" ht="16.5" customHeight="1">
      <c r="A6562" s="318" t="str">
        <f>IF(B6562&lt;&gt;"",IF(AND(B6562='IN-TC'!$S$4,OR(TH!N6562="1111",TH!O6562="1111")),TH!D6562,""),"")</f>
        <v/>
      </c>
      <c r="B6562" s="1163" t="str">
        <f t="shared" si="523"/>
        <v/>
      </c>
      <c r="C6562" s="61"/>
      <c r="D6562" s="61"/>
      <c r="E6562" s="61"/>
      <c r="F6562" s="69"/>
      <c r="G6562" s="64"/>
      <c r="H6562" s="321"/>
      <c r="I6562" s="385"/>
      <c r="J6562" s="392"/>
      <c r="K6562" s="385"/>
      <c r="L6562" s="392"/>
      <c r="M6562" s="62"/>
      <c r="N6562" s="63"/>
      <c r="O6562" s="63"/>
      <c r="P6562" s="79" t="str">
        <f>IF(AND('331-CT'!$E$7=TH!H6562,OR(N6562="331",O6562="331")),"x","")</f>
        <v/>
      </c>
      <c r="Q6562" s="79" t="str">
        <f>IF(AND(B6562='111'!$L$11,OR($N6562=$Q$7,$O6562=$Q$7)),"x","")</f>
        <v/>
      </c>
      <c r="R6562" s="79" t="str">
        <f>IF(AND($N6562=$Q$7,$B6562&lt;'111'!$L$11),"x","")</f>
        <v/>
      </c>
      <c r="S6562" s="79" t="str">
        <f>IF(AND($O6562=$Q$7,$B6562&lt;'111'!$L$11),"x","")</f>
        <v/>
      </c>
      <c r="T6562" s="79" t="str">
        <f>IF(ISERROR(FIND('112'!$M$9,G6562,1)),"",IF((AND(FIND('112'!$M$9,G6562,1)&gt;=1,B6562='112'!$K$9,OR($N6562='112'!$I$6,$O6562='112'!$I$6))),"x",""))</f>
        <v/>
      </c>
      <c r="U6562" s="79" t="str">
        <f>IF(ISERROR(FIND('112'!$M$9,G6562,1)),"",IF((AND(LEFT(G6562,2)=LEFT('112'!$M$9,2),B6562&lt;'112'!$K$9,$N6562='112'!$I$6)),"x",""))</f>
        <v/>
      </c>
      <c r="V6562" s="79" t="str">
        <f>IF(ISERROR(FIND('112'!$M$9,G6562,1)),"",IF((AND(RIGHT(G6562,2)=RIGHT('112'!$M$9,2),B6562&lt;'112'!$K$9,$O6562='112'!$I$6)),"x",""))</f>
        <v/>
      </c>
      <c r="W6562" s="79" t="str">
        <f>IF(AND('341-CT'!$H$9=H6562,OR(LEFT(N6562,3)=$W$7,LEFT(O6562,3)=$W$7)),"x","")</f>
        <v/>
      </c>
      <c r="X6562" s="79" t="str">
        <f>IF(OR(TH!N6562=TH!$X$7,O6562=TH!$X$7),"x","")</f>
        <v/>
      </c>
      <c r="Y6562" s="79" t="str">
        <f>IF(AND(OR(N6562="131",O6562="131"),H6562='131-CT'!$H$9),"x","")</f>
        <v/>
      </c>
      <c r="Z6562" s="79"/>
      <c r="AA6562" s="79" t="str">
        <f>IF(AND(MONTH(E6562)='IN-NX'!$J$5,'IN-NX'!$D$7=D6562),"x","")</f>
        <v/>
      </c>
      <c r="AB6562" s="79" t="str">
        <f>IF(AND(OR(LEFT(TH!N6562,2)="15",LEFT(TH!O6562,2)="15"),LEFT(TH!O6562,3)&lt;&gt;"111",'152-CT'!$J$8=TH!F6562),"x","")</f>
        <v/>
      </c>
      <c r="AC6562" s="79" t="str">
        <f>IF(AND(OR(LEFT(TH!N6562,2)="15",LEFT(TH!O6562,2)="15"),TK!$E$7=TH!F6562),"x","")</f>
        <v/>
      </c>
      <c r="AD6562" s="79" t="str">
        <f>IF(AND(N6562="1521",MONTH(C6562)='BK-NL'!$M$11),"x","")</f>
        <v/>
      </c>
    </row>
    <row r="6563" spans="1:30" ht="16.5" customHeight="1">
      <c r="A6563" s="318" t="str">
        <f>IF(B6563&lt;&gt;"",IF(AND(B6563='IN-TC'!$S$4,OR(TH!N6563="1111",TH!O6563="1111")),TH!D6563,""),"")</f>
        <v/>
      </c>
      <c r="B6563" s="1163" t="str">
        <f t="shared" si="523"/>
        <v/>
      </c>
      <c r="C6563" s="61"/>
      <c r="D6563" s="61"/>
      <c r="E6563" s="61"/>
      <c r="F6563" s="69"/>
      <c r="G6563" s="64"/>
      <c r="H6563" s="69"/>
      <c r="I6563" s="385"/>
      <c r="J6563" s="392"/>
      <c r="K6563" s="385"/>
      <c r="L6563" s="392"/>
      <c r="M6563" s="62"/>
      <c r="N6563" s="63"/>
      <c r="O6563" s="63"/>
      <c r="P6563" s="79" t="str">
        <f>IF(AND('331-CT'!$E$7=TH!H6563,OR(N6563="331",O6563="331")),"x","")</f>
        <v/>
      </c>
      <c r="Q6563" s="79" t="str">
        <f>IF(AND(B6563='111'!$L$11,OR($N6563=$Q$7,$O6563=$Q$7)),"x","")</f>
        <v/>
      </c>
      <c r="R6563" s="79" t="str">
        <f>IF(AND($N6563=$Q$7,$B6563&lt;'111'!$L$11),"x","")</f>
        <v/>
      </c>
      <c r="S6563" s="79" t="str">
        <f>IF(AND($O6563=$Q$7,$B6563&lt;'111'!$L$11),"x","")</f>
        <v/>
      </c>
      <c r="T6563" s="79" t="str">
        <f>IF(ISERROR(FIND('112'!$M$9,G6563,1)),"",IF((AND(FIND('112'!$M$9,G6563,1)&gt;=1,B6563='112'!$K$9,OR($N6563='112'!$I$6,$O6563='112'!$I$6))),"x",""))</f>
        <v/>
      </c>
      <c r="U6563" s="79" t="str">
        <f>IF(ISERROR(FIND('112'!$M$9,G6563,1)),"",IF((AND(LEFT(G6563,2)=LEFT('112'!$M$9,2),B6563&lt;'112'!$K$9,$N6563='112'!$I$6)),"x",""))</f>
        <v/>
      </c>
      <c r="V6563" s="79" t="str">
        <f>IF(ISERROR(FIND('112'!$M$9,G6563,1)),"",IF((AND(RIGHT(G6563,2)=RIGHT('112'!$M$9,2),B6563&lt;'112'!$K$9,$O6563='112'!$I$6)),"x",""))</f>
        <v/>
      </c>
      <c r="W6563" s="79" t="str">
        <f>IF(AND('341-CT'!$H$9=H6563,OR(LEFT(N6563,3)=$W$7,LEFT(O6563,3)=$W$7)),"x","")</f>
        <v/>
      </c>
      <c r="X6563" s="79" t="str">
        <f>IF(OR(TH!N6563=TH!$X$7,O6563=TH!$X$7),"x","")</f>
        <v/>
      </c>
      <c r="Y6563" s="79" t="str">
        <f>IF(AND(OR(N6563="131",O6563="131"),H6563='131-CT'!$H$9),"x","")</f>
        <v/>
      </c>
      <c r="Z6563" s="79"/>
      <c r="AA6563" s="79" t="str">
        <f>IF(AND(MONTH(E6563)='IN-NX'!$J$5,'IN-NX'!$D$7=D6563),"x","")</f>
        <v/>
      </c>
      <c r="AB6563" s="79" t="str">
        <f>IF(AND(OR(LEFT(TH!N6563,2)="15",LEFT(TH!O6563,2)="15"),LEFT(TH!O6563,3)&lt;&gt;"111",'152-CT'!$J$8=TH!F6563),"x","")</f>
        <v/>
      </c>
      <c r="AC6563" s="79" t="str">
        <f>IF(AND(OR(LEFT(TH!N6563,2)="15",LEFT(TH!O6563,2)="15"),TK!$E$7=TH!F6563),"x","")</f>
        <v/>
      </c>
      <c r="AD6563" s="79" t="str">
        <f>IF(AND(N6563="1521",MONTH(C6563)='BK-NL'!$M$11),"x","")</f>
        <v/>
      </c>
    </row>
    <row r="6564" spans="1:30" ht="16.5" customHeight="1">
      <c r="A6564" s="318" t="str">
        <f>IF(B6564&lt;&gt;"",IF(AND(B6564='IN-TC'!$S$4,OR(TH!N6564="1111",TH!O6564="1111")),TH!D6564,""),"")</f>
        <v/>
      </c>
      <c r="B6564" s="1163" t="str">
        <f t="shared" si="523"/>
        <v/>
      </c>
      <c r="C6564" s="61"/>
      <c r="D6564" s="61"/>
      <c r="E6564" s="61"/>
      <c r="F6564" s="69"/>
      <c r="G6564" s="64"/>
      <c r="H6564" s="69"/>
      <c r="I6564" s="385"/>
      <c r="J6564" s="392"/>
      <c r="K6564" s="385"/>
      <c r="L6564" s="392"/>
      <c r="M6564" s="62"/>
      <c r="N6564" s="63"/>
      <c r="O6564" s="63"/>
      <c r="P6564" s="79" t="str">
        <f>IF(AND('331-CT'!$E$7=TH!H6564,OR(N6564="331",O6564="331")),"x","")</f>
        <v/>
      </c>
      <c r="Q6564" s="79" t="str">
        <f>IF(AND(B6564='111'!$L$11,OR($N6564=$Q$7,$O6564=$Q$7)),"x","")</f>
        <v/>
      </c>
      <c r="R6564" s="79" t="str">
        <f>IF(AND($N6564=$Q$7,$B6564&lt;'111'!$L$11),"x","")</f>
        <v/>
      </c>
      <c r="S6564" s="79" t="str">
        <f>IF(AND($O6564=$Q$7,$B6564&lt;'111'!$L$11),"x","")</f>
        <v/>
      </c>
      <c r="T6564" s="79" t="str">
        <f>IF(ISERROR(FIND('112'!$M$9,G6564,1)),"",IF((AND(FIND('112'!$M$9,G6564,1)&gt;=1,B6564='112'!$K$9,OR($N6564='112'!$I$6,$O6564='112'!$I$6))),"x",""))</f>
        <v/>
      </c>
      <c r="U6564" s="79" t="str">
        <f>IF(ISERROR(FIND('112'!$M$9,G6564,1)),"",IF((AND(LEFT(G6564,2)=LEFT('112'!$M$9,2),B6564&lt;'112'!$K$9,$N6564='112'!$I$6)),"x",""))</f>
        <v/>
      </c>
      <c r="V6564" s="79" t="str">
        <f>IF(ISERROR(FIND('112'!$M$9,G6564,1)),"",IF((AND(RIGHT(G6564,2)=RIGHT('112'!$M$9,2),B6564&lt;'112'!$K$9,$O6564='112'!$I$6)),"x",""))</f>
        <v/>
      </c>
      <c r="W6564" s="79" t="str">
        <f>IF(AND('341-CT'!$H$9=H6564,OR(LEFT(N6564,3)=$W$7,LEFT(O6564,3)=$W$7)),"x","")</f>
        <v/>
      </c>
      <c r="X6564" s="79" t="str">
        <f>IF(OR(TH!N6564=TH!$X$7,O6564=TH!$X$7),"x","")</f>
        <v/>
      </c>
      <c r="Y6564" s="79" t="str">
        <f>IF(AND(OR(N6564="131",O6564="131"),H6564='131-CT'!$H$9),"x","")</f>
        <v/>
      </c>
      <c r="Z6564" s="79"/>
      <c r="AA6564" s="79" t="str">
        <f>IF(AND(MONTH(E6564)='IN-NX'!$J$5,'IN-NX'!$D$7=D6564),"x","")</f>
        <v/>
      </c>
      <c r="AB6564" s="79" t="str">
        <f>IF(AND(OR(LEFT(TH!N6564,2)="15",LEFT(TH!O6564,2)="15"),LEFT(TH!O6564,3)&lt;&gt;"111",'152-CT'!$J$8=TH!F6564),"x","")</f>
        <v/>
      </c>
      <c r="AC6564" s="79" t="str">
        <f>IF(AND(OR(LEFT(TH!N6564,2)="15",LEFT(TH!O6564,2)="15"),TK!$E$7=TH!F6564),"x","")</f>
        <v/>
      </c>
      <c r="AD6564" s="79" t="str">
        <f>IF(AND(N6564="1521",MONTH(C6564)='BK-NL'!$M$11),"x","")</f>
        <v/>
      </c>
    </row>
    <row r="6565" spans="1:30" ht="16.5" customHeight="1">
      <c r="A6565" s="318" t="str">
        <f>IF(B6565&lt;&gt;"",IF(AND(B6565='IN-TC'!$S$4,OR(TH!N6565="1111",TH!O6565="1111")),TH!D6565,""),"")</f>
        <v/>
      </c>
      <c r="B6565" s="1163" t="str">
        <f t="shared" si="523"/>
        <v/>
      </c>
      <c r="C6565" s="61"/>
      <c r="D6565" s="61"/>
      <c r="E6565" s="61"/>
      <c r="F6565" s="69"/>
      <c r="G6565" s="766"/>
      <c r="H6565" s="69"/>
      <c r="I6565" s="385"/>
      <c r="J6565" s="392"/>
      <c r="K6565" s="385"/>
      <c r="L6565" s="392"/>
      <c r="M6565" s="62"/>
      <c r="N6565" s="63"/>
      <c r="O6565" s="63"/>
      <c r="P6565" s="79" t="str">
        <f>IF(AND('331-CT'!$E$7=TH!H6565,OR(N6565="331",O6565="331")),"x","")</f>
        <v/>
      </c>
      <c r="Q6565" s="79" t="str">
        <f>IF(AND(B6565='111'!$L$11,OR($N6565=$Q$7,$O6565=$Q$7)),"x","")</f>
        <v/>
      </c>
      <c r="R6565" s="79" t="str">
        <f>IF(AND($N6565=$Q$7,$B6565&lt;'111'!$L$11),"x","")</f>
        <v/>
      </c>
      <c r="S6565" s="79" t="str">
        <f>IF(AND($O6565=$Q$7,$B6565&lt;'111'!$L$11),"x","")</f>
        <v/>
      </c>
      <c r="T6565" s="79" t="str">
        <f>IF(ISERROR(FIND('112'!$M$9,G6565,1)),"",IF((AND(FIND('112'!$M$9,G6565,1)&gt;=1,B6565='112'!$K$9,OR($N6565='112'!$I$6,$O6565='112'!$I$6))),"x",""))</f>
        <v/>
      </c>
      <c r="U6565" s="79" t="str">
        <f>IF(ISERROR(FIND('112'!$M$9,G6565,1)),"",IF((AND(LEFT(G6565,2)=LEFT('112'!$M$9,2),B6565&lt;'112'!$K$9,$N6565='112'!$I$6)),"x",""))</f>
        <v/>
      </c>
      <c r="V6565" s="79" t="str">
        <f>IF(ISERROR(FIND('112'!$M$9,G6565,1)),"",IF((AND(RIGHT(G6565,2)=RIGHT('112'!$M$9,2),B6565&lt;'112'!$K$9,$O6565='112'!$I$6)),"x",""))</f>
        <v/>
      </c>
      <c r="W6565" s="79" t="str">
        <f>IF(AND('341-CT'!$H$9=H6565,OR(LEFT(N6565,3)=$W$7,LEFT(O6565,3)=$W$7)),"x","")</f>
        <v/>
      </c>
      <c r="X6565" s="79" t="str">
        <f>IF(OR(TH!N6565=TH!$X$7,O6565=TH!$X$7),"x","")</f>
        <v/>
      </c>
      <c r="Y6565" s="79" t="str">
        <f>IF(AND(OR(N6565="131",O6565="131"),H6565='131-CT'!$H$9),"x","")</f>
        <v/>
      </c>
      <c r="Z6565" s="79"/>
      <c r="AA6565" s="79" t="str">
        <f>IF(AND(MONTH(E6565)='IN-NX'!$J$5,'IN-NX'!$D$7=D6565),"x","")</f>
        <v/>
      </c>
      <c r="AB6565" s="79" t="str">
        <f>IF(AND(OR(LEFT(TH!N6565,2)="15",LEFT(TH!O6565,2)="15"),LEFT(TH!O6565,3)&lt;&gt;"111",'152-CT'!$J$8=TH!F6565),"x","")</f>
        <v/>
      </c>
      <c r="AC6565" s="79" t="str">
        <f>IF(AND(OR(LEFT(TH!N6565,2)="15",LEFT(TH!O6565,2)="15"),TK!$E$7=TH!F6565),"x","")</f>
        <v/>
      </c>
      <c r="AD6565" s="79" t="str">
        <f>IF(AND(N6565="1521",MONTH(C6565)='BK-NL'!$M$11),"x","")</f>
        <v/>
      </c>
    </row>
    <row r="6566" spans="1:30" ht="16.5" customHeight="1">
      <c r="A6566" s="318" t="str">
        <f>IF(B6566&lt;&gt;"",IF(AND(B6566='IN-TC'!$S$4,OR(TH!N6566="1111",TH!O6566="1111")),TH!D6566,""),"")</f>
        <v/>
      </c>
      <c r="B6566" s="1163" t="str">
        <f t="shared" si="523"/>
        <v/>
      </c>
      <c r="C6566" s="61"/>
      <c r="D6566" s="61"/>
      <c r="E6566" s="61"/>
      <c r="F6566" s="69"/>
      <c r="G6566" s="766"/>
      <c r="H6566" s="69"/>
      <c r="I6566" s="385"/>
      <c r="J6566" s="392"/>
      <c r="K6566" s="385"/>
      <c r="L6566" s="392"/>
      <c r="M6566" s="62"/>
      <c r="N6566" s="63"/>
      <c r="O6566" s="63"/>
      <c r="P6566" s="79" t="str">
        <f>IF(AND('331-CT'!$E$7=TH!H6566,OR(N6566="331",O6566="331")),"x","")</f>
        <v/>
      </c>
      <c r="Q6566" s="79" t="str">
        <f>IF(AND(B6566='111'!$L$11,OR($N6566=$Q$7,$O6566=$Q$7)),"x","")</f>
        <v/>
      </c>
      <c r="R6566" s="79" t="str">
        <f>IF(AND($N6566=$Q$7,$B6566&lt;'111'!$L$11),"x","")</f>
        <v/>
      </c>
      <c r="S6566" s="79" t="str">
        <f>IF(AND($O6566=$Q$7,$B6566&lt;'111'!$L$11),"x","")</f>
        <v/>
      </c>
      <c r="T6566" s="79" t="str">
        <f>IF(ISERROR(FIND('112'!$M$9,G6566,1)),"",IF((AND(FIND('112'!$M$9,G6566,1)&gt;=1,B6566='112'!$K$9,OR($N6566='112'!$I$6,$O6566='112'!$I$6))),"x",""))</f>
        <v/>
      </c>
      <c r="U6566" s="79" t="str">
        <f>IF(ISERROR(FIND('112'!$M$9,G6566,1)),"",IF((AND(LEFT(G6566,2)=LEFT('112'!$M$9,2),B6566&lt;'112'!$K$9,$N6566='112'!$I$6)),"x",""))</f>
        <v/>
      </c>
      <c r="V6566" s="79" t="str">
        <f>IF(ISERROR(FIND('112'!$M$9,G6566,1)),"",IF((AND(RIGHT(G6566,2)=RIGHT('112'!$M$9,2),B6566&lt;'112'!$K$9,$O6566='112'!$I$6)),"x",""))</f>
        <v/>
      </c>
      <c r="W6566" s="79" t="str">
        <f>IF(AND('341-CT'!$H$9=H6566,OR(LEFT(N6566,3)=$W$7,LEFT(O6566,3)=$W$7)),"x","")</f>
        <v/>
      </c>
      <c r="X6566" s="79" t="str">
        <f>IF(OR(TH!N6566=TH!$X$7,O6566=TH!$X$7),"x","")</f>
        <v/>
      </c>
      <c r="Y6566" s="79" t="str">
        <f>IF(AND(OR(N6566="131",O6566="131"),H6566='131-CT'!$H$9),"x","")</f>
        <v/>
      </c>
      <c r="Z6566" s="79"/>
      <c r="AA6566" s="79" t="str">
        <f>IF(AND(MONTH(E6566)='IN-NX'!$J$5,'IN-NX'!$D$7=D6566),"x","")</f>
        <v/>
      </c>
      <c r="AB6566" s="79" t="str">
        <f>IF(AND(OR(LEFT(TH!N6566,2)="15",LEFT(TH!O6566,2)="15"),LEFT(TH!O6566,3)&lt;&gt;"111",'152-CT'!$J$8=TH!F6566),"x","")</f>
        <v/>
      </c>
      <c r="AC6566" s="79" t="str">
        <f>IF(AND(OR(LEFT(TH!N6566,2)="15",LEFT(TH!O6566,2)="15"),TK!$E$7=TH!F6566),"x","")</f>
        <v/>
      </c>
      <c r="AD6566" s="79" t="str">
        <f>IF(AND(N6566="1521",MONTH(C6566)='BK-NL'!$M$11),"x","")</f>
        <v/>
      </c>
    </row>
    <row r="6567" spans="1:30" ht="16.5" customHeight="1">
      <c r="A6567" s="318" t="str">
        <f>IF(B6567&lt;&gt;"",IF(AND(B6567='IN-TC'!$S$4,OR(TH!N6567="1111",TH!O6567="1111")),TH!D6567,""),"")</f>
        <v/>
      </c>
      <c r="B6567" s="1163" t="str">
        <f t="shared" si="523"/>
        <v/>
      </c>
      <c r="C6567" s="61"/>
      <c r="D6567" s="61"/>
      <c r="E6567" s="61"/>
      <c r="F6567" s="69"/>
      <c r="G6567" s="766"/>
      <c r="H6567" s="69"/>
      <c r="I6567" s="385"/>
      <c r="J6567" s="392"/>
      <c r="K6567" s="385"/>
      <c r="L6567" s="392"/>
      <c r="M6567" s="62"/>
      <c r="N6567" s="63"/>
      <c r="O6567" s="63"/>
      <c r="P6567" s="79" t="str">
        <f>IF(AND('331-CT'!$E$7=TH!H6567,OR(N6567="331",O6567="331")),"x","")</f>
        <v/>
      </c>
      <c r="Q6567" s="79" t="str">
        <f>IF(AND(B6567='111'!$L$11,OR($N6567=$Q$7,$O6567=$Q$7)),"x","")</f>
        <v/>
      </c>
      <c r="R6567" s="79" t="str">
        <f>IF(AND($N6567=$Q$7,$B6567&lt;'111'!$L$11),"x","")</f>
        <v/>
      </c>
      <c r="S6567" s="79" t="str">
        <f>IF(AND($O6567=$Q$7,$B6567&lt;'111'!$L$11),"x","")</f>
        <v/>
      </c>
      <c r="T6567" s="79" t="str">
        <f>IF(ISERROR(FIND('112'!$M$9,G6567,1)),"",IF((AND(FIND('112'!$M$9,G6567,1)&gt;=1,B6567='112'!$K$9,OR($N6567='112'!$I$6,$O6567='112'!$I$6))),"x",""))</f>
        <v/>
      </c>
      <c r="U6567" s="79" t="str">
        <f>IF(ISERROR(FIND('112'!$M$9,G6567,1)),"",IF((AND(LEFT(G6567,2)=LEFT('112'!$M$9,2),B6567&lt;'112'!$K$9,$N6567='112'!$I$6)),"x",""))</f>
        <v/>
      </c>
      <c r="V6567" s="79" t="str">
        <f>IF(ISERROR(FIND('112'!$M$9,G6567,1)),"",IF((AND(RIGHT(G6567,2)=RIGHT('112'!$M$9,2),B6567&lt;'112'!$K$9,$O6567='112'!$I$6)),"x",""))</f>
        <v/>
      </c>
      <c r="W6567" s="79" t="str">
        <f>IF(AND('341-CT'!$H$9=H6567,OR(LEFT(N6567,3)=$W$7,LEFT(O6567,3)=$W$7)),"x","")</f>
        <v/>
      </c>
      <c r="X6567" s="79" t="str">
        <f>IF(OR(TH!N6567=TH!$X$7,O6567=TH!$X$7),"x","")</f>
        <v/>
      </c>
      <c r="Y6567" s="79" t="str">
        <f>IF(AND(OR(N6567="131",O6567="131"),H6567='131-CT'!$H$9),"x","")</f>
        <v/>
      </c>
      <c r="Z6567" s="79"/>
      <c r="AA6567" s="79" t="str">
        <f>IF(AND(MONTH(E6567)='IN-NX'!$J$5,'IN-NX'!$D$7=D6567),"x","")</f>
        <v/>
      </c>
      <c r="AB6567" s="79" t="str">
        <f>IF(AND(OR(LEFT(TH!N6567,2)="15",LEFT(TH!O6567,2)="15"),LEFT(TH!O6567,3)&lt;&gt;"111",'152-CT'!$J$8=TH!F6567),"x","")</f>
        <v/>
      </c>
      <c r="AC6567" s="79" t="str">
        <f>IF(AND(OR(LEFT(TH!N6567,2)="15",LEFT(TH!O6567,2)="15"),TK!$E$7=TH!F6567),"x","")</f>
        <v/>
      </c>
      <c r="AD6567" s="79" t="str">
        <f>IF(AND(N6567="1521",MONTH(C6567)='BK-NL'!$M$11),"x","")</f>
        <v/>
      </c>
    </row>
    <row r="6568" spans="1:30" ht="16.5" customHeight="1">
      <c r="A6568" s="318" t="str">
        <f>IF(B6568&lt;&gt;"",IF(AND(B6568='IN-TC'!$S$4,OR(TH!N6568="1111",TH!O6568="1111")),TH!D6568,""),"")</f>
        <v/>
      </c>
      <c r="B6568" s="1163" t="str">
        <f t="shared" si="523"/>
        <v/>
      </c>
      <c r="C6568" s="61"/>
      <c r="D6568" s="61"/>
      <c r="E6568" s="61"/>
      <c r="F6568" s="69"/>
      <c r="G6568" s="64"/>
      <c r="H6568" s="69"/>
      <c r="I6568" s="385"/>
      <c r="J6568" s="392"/>
      <c r="K6568" s="385"/>
      <c r="L6568" s="392"/>
      <c r="M6568" s="62"/>
      <c r="N6568" s="63"/>
      <c r="O6568" s="63"/>
      <c r="P6568" s="79" t="str">
        <f>IF(AND('331-CT'!$E$7=TH!H6568,OR(N6568="331",O6568="331")),"x","")</f>
        <v/>
      </c>
      <c r="Q6568" s="79" t="str">
        <f>IF(AND(B6568='111'!$L$11,OR($N6568=$Q$7,$O6568=$Q$7)),"x","")</f>
        <v/>
      </c>
      <c r="R6568" s="79" t="str">
        <f>IF(AND($N6568=$Q$7,$B6568&lt;'111'!$L$11),"x","")</f>
        <v/>
      </c>
      <c r="S6568" s="79" t="str">
        <f>IF(AND($O6568=$Q$7,$B6568&lt;'111'!$L$11),"x","")</f>
        <v/>
      </c>
      <c r="T6568" s="79" t="str">
        <f>IF(ISERROR(FIND('112'!$M$9,G6568,1)),"",IF((AND(FIND('112'!$M$9,G6568,1)&gt;=1,B6568='112'!$K$9,OR($N6568='112'!$I$6,$O6568='112'!$I$6))),"x",""))</f>
        <v/>
      </c>
      <c r="U6568" s="79" t="str">
        <f>IF(ISERROR(FIND('112'!$M$9,G6568,1)),"",IF((AND(LEFT(G6568,2)=LEFT('112'!$M$9,2),B6568&lt;'112'!$K$9,$N6568='112'!$I$6)),"x",""))</f>
        <v/>
      </c>
      <c r="V6568" s="79" t="str">
        <f>IF(ISERROR(FIND('112'!$M$9,G6568,1)),"",IF((AND(RIGHT(G6568,2)=RIGHT('112'!$M$9,2),B6568&lt;'112'!$K$9,$O6568='112'!$I$6)),"x",""))</f>
        <v/>
      </c>
      <c r="W6568" s="79" t="str">
        <f>IF(AND('341-CT'!$H$9=H6568,OR(LEFT(N6568,3)=$W$7,LEFT(O6568,3)=$W$7)),"x","")</f>
        <v/>
      </c>
      <c r="X6568" s="79" t="str">
        <f>IF(OR(TH!N6568=TH!$X$7,O6568=TH!$X$7),"x","")</f>
        <v/>
      </c>
      <c r="Y6568" s="79" t="str">
        <f>IF(AND(OR(N6568="131",O6568="131"),H6568='131-CT'!$H$9),"x","")</f>
        <v/>
      </c>
      <c r="Z6568" s="79"/>
      <c r="AA6568" s="79" t="str">
        <f>IF(AND(MONTH(E6568)='IN-NX'!$J$5,'IN-NX'!$D$7=D6568),"x","")</f>
        <v/>
      </c>
      <c r="AB6568" s="79" t="str">
        <f>IF(AND(OR(LEFT(TH!N6568,2)="15",LEFT(TH!O6568,2)="15"),LEFT(TH!O6568,3)&lt;&gt;"111",'152-CT'!$J$8=TH!F6568),"x","")</f>
        <v/>
      </c>
      <c r="AC6568" s="79" t="str">
        <f>IF(AND(OR(LEFT(TH!N6568,2)="15",LEFT(TH!O6568,2)="15"),TK!$E$7=TH!F6568),"x","")</f>
        <v/>
      </c>
      <c r="AD6568" s="79" t="str">
        <f>IF(AND(N6568="1521",MONTH(C6568)='BK-NL'!$M$11),"x","")</f>
        <v/>
      </c>
    </row>
    <row r="6569" spans="1:30" ht="16.5" customHeight="1">
      <c r="A6569" s="318" t="str">
        <f>IF(B6569&lt;&gt;"",IF(AND(B6569='IN-TC'!$S$4,OR(TH!N6569="1111",TH!O6569="1111")),TH!D6569,""),"")</f>
        <v/>
      </c>
      <c r="B6569" s="1163" t="str">
        <f t="shared" si="523"/>
        <v/>
      </c>
      <c r="C6569" s="61"/>
      <c r="D6569" s="61"/>
      <c r="E6569" s="61"/>
      <c r="F6569" s="69"/>
      <c r="G6569" s="64"/>
      <c r="H6569" s="69"/>
      <c r="I6569" s="385"/>
      <c r="J6569" s="392"/>
      <c r="K6569" s="385"/>
      <c r="L6569" s="392"/>
      <c r="M6569" s="62"/>
      <c r="N6569" s="63"/>
      <c r="O6569" s="63"/>
      <c r="P6569" s="79" t="str">
        <f>IF(AND('331-CT'!$E$7=TH!H6569,OR(N6569="331",O6569="331")),"x","")</f>
        <v/>
      </c>
      <c r="Q6569" s="79" t="str">
        <f>IF(AND(B6569='111'!$L$11,OR($N6569=$Q$7,$O6569=$Q$7)),"x","")</f>
        <v/>
      </c>
      <c r="R6569" s="79" t="str">
        <f>IF(AND($N6569=$Q$7,$B6569&lt;'111'!$L$11),"x","")</f>
        <v/>
      </c>
      <c r="S6569" s="79" t="str">
        <f>IF(AND($O6569=$Q$7,$B6569&lt;'111'!$L$11),"x","")</f>
        <v/>
      </c>
      <c r="T6569" s="79" t="str">
        <f>IF(ISERROR(FIND('112'!$M$9,G6569,1)),"",IF((AND(FIND('112'!$M$9,G6569,1)&gt;=1,B6569='112'!$K$9,OR($N6569='112'!$I$6,$O6569='112'!$I$6))),"x",""))</f>
        <v/>
      </c>
      <c r="U6569" s="79" t="str">
        <f>IF(ISERROR(FIND('112'!$M$9,G6569,1)),"",IF((AND(LEFT(G6569,2)=LEFT('112'!$M$9,2),B6569&lt;'112'!$K$9,$N6569='112'!$I$6)),"x",""))</f>
        <v/>
      </c>
      <c r="V6569" s="79" t="str">
        <f>IF(ISERROR(FIND('112'!$M$9,G6569,1)),"",IF((AND(RIGHT(G6569,2)=RIGHT('112'!$M$9,2),B6569&lt;'112'!$K$9,$O6569='112'!$I$6)),"x",""))</f>
        <v/>
      </c>
      <c r="W6569" s="79" t="str">
        <f>IF(AND('341-CT'!$H$9=H6569,OR(LEFT(N6569,3)=$W$7,LEFT(O6569,3)=$W$7)),"x","")</f>
        <v/>
      </c>
      <c r="X6569" s="79" t="str">
        <f>IF(OR(TH!N6569=TH!$X$7,O6569=TH!$X$7),"x","")</f>
        <v/>
      </c>
      <c r="Y6569" s="79" t="str">
        <f>IF(AND(OR(N6569="131",O6569="131"),H6569='131-CT'!$H$9),"x","")</f>
        <v/>
      </c>
      <c r="Z6569" s="79"/>
      <c r="AA6569" s="79" t="str">
        <f>IF(AND(MONTH(E6569)='IN-NX'!$J$5,'IN-NX'!$D$7=D6569),"x","")</f>
        <v/>
      </c>
      <c r="AB6569" s="79" t="str">
        <f>IF(AND(OR(LEFT(TH!N6569,2)="15",LEFT(TH!O6569,2)="15"),LEFT(TH!O6569,3)&lt;&gt;"111",'152-CT'!$J$8=TH!F6569),"x","")</f>
        <v/>
      </c>
      <c r="AC6569" s="79" t="str">
        <f>IF(AND(OR(LEFT(TH!N6569,2)="15",LEFT(TH!O6569,2)="15"),TK!$E$7=TH!F6569),"x","")</f>
        <v/>
      </c>
      <c r="AD6569" s="79" t="str">
        <f>IF(AND(N6569="1521",MONTH(C6569)='BK-NL'!$M$11),"x","")</f>
        <v/>
      </c>
    </row>
    <row r="6570" spans="1:30" ht="16.5" customHeight="1">
      <c r="A6570" s="318" t="str">
        <f>IF(B6570&lt;&gt;"",IF(AND(B6570='IN-TC'!$S$4,OR(TH!N6570="1111",TH!O6570="1111")),TH!D6570,""),"")</f>
        <v/>
      </c>
      <c r="B6570" s="1163" t="str">
        <f t="shared" si="523"/>
        <v/>
      </c>
      <c r="C6570" s="61"/>
      <c r="D6570" s="61"/>
      <c r="E6570" s="61"/>
      <c r="F6570" s="69"/>
      <c r="G6570" s="766"/>
      <c r="H6570" s="69"/>
      <c r="I6570" s="385"/>
      <c r="J6570" s="392"/>
      <c r="K6570" s="385"/>
      <c r="L6570" s="392"/>
      <c r="M6570" s="62"/>
      <c r="N6570" s="63"/>
      <c r="O6570" s="63"/>
      <c r="P6570" s="79" t="str">
        <f>IF(AND('331-CT'!$E$7=TH!H6570,OR(N6570="331",O6570="331")),"x","")</f>
        <v/>
      </c>
      <c r="Q6570" s="79" t="str">
        <f>IF(AND(B6570='111'!$L$11,OR($N6570=$Q$7,$O6570=$Q$7)),"x","")</f>
        <v/>
      </c>
      <c r="R6570" s="79" t="str">
        <f>IF(AND($N6570=$Q$7,$B6570&lt;'111'!$L$11),"x","")</f>
        <v/>
      </c>
      <c r="S6570" s="79" t="str">
        <f>IF(AND($O6570=$Q$7,$B6570&lt;'111'!$L$11),"x","")</f>
        <v/>
      </c>
      <c r="T6570" s="79" t="str">
        <f>IF(ISERROR(FIND('112'!$M$9,G6570,1)),"",IF((AND(FIND('112'!$M$9,G6570,1)&gt;=1,B6570='112'!$K$9,OR($N6570='112'!$I$6,$O6570='112'!$I$6))),"x",""))</f>
        <v/>
      </c>
      <c r="U6570" s="79" t="str">
        <f>IF(ISERROR(FIND('112'!$M$9,G6570,1)),"",IF((AND(LEFT(G6570,2)=LEFT('112'!$M$9,2),B6570&lt;'112'!$K$9,$N6570='112'!$I$6)),"x",""))</f>
        <v/>
      </c>
      <c r="V6570" s="79" t="str">
        <f>IF(ISERROR(FIND('112'!$M$9,G6570,1)),"",IF((AND(RIGHT(G6570,2)=RIGHT('112'!$M$9,2),B6570&lt;'112'!$K$9,$O6570='112'!$I$6)),"x",""))</f>
        <v/>
      </c>
      <c r="W6570" s="79" t="str">
        <f>IF(AND('341-CT'!$H$9=H6570,OR(LEFT(N6570,3)=$W$7,LEFT(O6570,3)=$W$7)),"x","")</f>
        <v/>
      </c>
      <c r="X6570" s="79" t="str">
        <f>IF(OR(TH!N6570=TH!$X$7,O6570=TH!$X$7),"x","")</f>
        <v/>
      </c>
      <c r="Y6570" s="79" t="str">
        <f>IF(AND(OR(N6570="131",O6570="131"),H6570='131-CT'!$H$9),"x","")</f>
        <v/>
      </c>
      <c r="Z6570" s="79"/>
      <c r="AA6570" s="79" t="str">
        <f>IF(AND(MONTH(E6570)='IN-NX'!$J$5,'IN-NX'!$D$7=D6570),"x","")</f>
        <v/>
      </c>
      <c r="AB6570" s="79" t="str">
        <f>IF(AND(OR(LEFT(TH!N6570,2)="15",LEFT(TH!O6570,2)="15"),LEFT(TH!O6570,3)&lt;&gt;"111",'152-CT'!$J$8=TH!F6570),"x","")</f>
        <v/>
      </c>
      <c r="AC6570" s="79" t="str">
        <f>IF(AND(OR(LEFT(TH!N6570,2)="15",LEFT(TH!O6570,2)="15"),TK!$E$7=TH!F6570),"x","")</f>
        <v/>
      </c>
      <c r="AD6570" s="79" t="str">
        <f>IF(AND(N6570="1521",MONTH(C6570)='BK-NL'!$M$11),"x","")</f>
        <v/>
      </c>
    </row>
    <row r="6571" spans="1:30" ht="16.5" customHeight="1">
      <c r="A6571" s="318" t="str">
        <f>IF(B6571&lt;&gt;"",IF(AND(B6571='IN-TC'!$S$4,OR(TH!N6571="1111",TH!O6571="1111")),TH!D6571,""),"")</f>
        <v/>
      </c>
      <c r="B6571" s="1163" t="str">
        <f t="shared" si="523"/>
        <v/>
      </c>
      <c r="C6571" s="61"/>
      <c r="D6571" s="61"/>
      <c r="E6571" s="61"/>
      <c r="F6571" s="69"/>
      <c r="G6571" s="766"/>
      <c r="H6571" s="69"/>
      <c r="I6571" s="385"/>
      <c r="J6571" s="392"/>
      <c r="K6571" s="385"/>
      <c r="L6571" s="392"/>
      <c r="M6571" s="62"/>
      <c r="N6571" s="63"/>
      <c r="O6571" s="63"/>
      <c r="P6571" s="79" t="str">
        <f>IF(AND('331-CT'!$E$7=TH!H6571,OR(N6571="331",O6571="331")),"x","")</f>
        <v/>
      </c>
      <c r="Q6571" s="79" t="str">
        <f>IF(AND(B6571='111'!$L$11,OR($N6571=$Q$7,$O6571=$Q$7)),"x","")</f>
        <v/>
      </c>
      <c r="R6571" s="79" t="str">
        <f>IF(AND($N6571=$Q$7,$B6571&lt;'111'!$L$11),"x","")</f>
        <v/>
      </c>
      <c r="S6571" s="79" t="str">
        <f>IF(AND($O6571=$Q$7,$B6571&lt;'111'!$L$11),"x","")</f>
        <v/>
      </c>
      <c r="T6571" s="79" t="str">
        <f>IF(ISERROR(FIND('112'!$M$9,G6571,1)),"",IF((AND(FIND('112'!$M$9,G6571,1)&gt;=1,B6571='112'!$K$9,OR($N6571='112'!$I$6,$O6571='112'!$I$6))),"x",""))</f>
        <v/>
      </c>
      <c r="U6571" s="79" t="str">
        <f>IF(ISERROR(FIND('112'!$M$9,G6571,1)),"",IF((AND(LEFT(G6571,2)=LEFT('112'!$M$9,2),B6571&lt;'112'!$K$9,$N6571='112'!$I$6)),"x",""))</f>
        <v/>
      </c>
      <c r="V6571" s="79" t="str">
        <f>IF(ISERROR(FIND('112'!$M$9,G6571,1)),"",IF((AND(RIGHT(G6571,2)=RIGHT('112'!$M$9,2),B6571&lt;'112'!$K$9,$O6571='112'!$I$6)),"x",""))</f>
        <v/>
      </c>
      <c r="W6571" s="79" t="str">
        <f>IF(AND('341-CT'!$H$9=H6571,OR(LEFT(N6571,3)=$W$7,LEFT(O6571,3)=$W$7)),"x","")</f>
        <v/>
      </c>
      <c r="X6571" s="79" t="str">
        <f>IF(OR(TH!N6571=TH!$X$7,O6571=TH!$X$7),"x","")</f>
        <v/>
      </c>
      <c r="Y6571" s="79" t="str">
        <f>IF(AND(OR(N6571="131",O6571="131"),H6571='131-CT'!$H$9),"x","")</f>
        <v/>
      </c>
      <c r="Z6571" s="79"/>
      <c r="AA6571" s="79" t="str">
        <f>IF(AND(MONTH(E6571)='IN-NX'!$J$5,'IN-NX'!$D$7=D6571),"x","")</f>
        <v/>
      </c>
      <c r="AB6571" s="79" t="str">
        <f>IF(AND(OR(LEFT(TH!N6571,2)="15",LEFT(TH!O6571,2)="15"),LEFT(TH!O6571,3)&lt;&gt;"111",'152-CT'!$J$8=TH!F6571),"x","")</f>
        <v/>
      </c>
      <c r="AC6571" s="79" t="str">
        <f>IF(AND(OR(LEFT(TH!N6571,2)="15",LEFT(TH!O6571,2)="15"),TK!$E$7=TH!F6571),"x","")</f>
        <v/>
      </c>
      <c r="AD6571" s="79" t="str">
        <f>IF(AND(N6571="1521",MONTH(C6571)='BK-NL'!$M$11),"x","")</f>
        <v/>
      </c>
    </row>
    <row r="6572" spans="1:30" ht="16.5" customHeight="1">
      <c r="A6572" s="318" t="str">
        <f>IF(B6572&lt;&gt;"",IF(AND(B6572='IN-TC'!$S$4,OR(TH!N6572="1111",TH!O6572="1111")),TH!D6572,""),"")</f>
        <v/>
      </c>
      <c r="B6572" s="1163" t="str">
        <f t="shared" si="523"/>
        <v/>
      </c>
      <c r="C6572" s="61"/>
      <c r="D6572" s="61"/>
      <c r="E6572" s="61"/>
      <c r="F6572" s="69"/>
      <c r="G6572" s="64"/>
      <c r="H6572" s="69"/>
      <c r="I6572" s="385"/>
      <c r="J6572" s="392"/>
      <c r="K6572" s="385"/>
      <c r="L6572" s="392"/>
      <c r="M6572" s="62"/>
      <c r="N6572" s="63"/>
      <c r="O6572" s="63"/>
      <c r="P6572" s="79" t="str">
        <f>IF(AND('331-CT'!$E$7=TH!H6572,OR(N6572="331",O6572="331")),"x","")</f>
        <v/>
      </c>
      <c r="Q6572" s="79" t="str">
        <f>IF(AND(B6572='111'!$L$11,OR($N6572=$Q$7,$O6572=$Q$7)),"x","")</f>
        <v/>
      </c>
      <c r="R6572" s="79" t="str">
        <f>IF(AND($N6572=$Q$7,$B6572&lt;'111'!$L$11),"x","")</f>
        <v/>
      </c>
      <c r="S6572" s="79" t="str">
        <f>IF(AND($O6572=$Q$7,$B6572&lt;'111'!$L$11),"x","")</f>
        <v/>
      </c>
      <c r="T6572" s="79" t="str">
        <f>IF(ISERROR(FIND('112'!$M$9,G6572,1)),"",IF((AND(FIND('112'!$M$9,G6572,1)&gt;=1,B6572='112'!$K$9,OR($N6572='112'!$I$6,$O6572='112'!$I$6))),"x",""))</f>
        <v/>
      </c>
      <c r="U6572" s="79" t="str">
        <f>IF(ISERROR(FIND('112'!$M$9,G6572,1)),"",IF((AND(LEFT(G6572,2)=LEFT('112'!$M$9,2),B6572&lt;'112'!$K$9,$N6572='112'!$I$6)),"x",""))</f>
        <v/>
      </c>
      <c r="V6572" s="79" t="str">
        <f>IF(ISERROR(FIND('112'!$M$9,G6572,1)),"",IF((AND(RIGHT(G6572,2)=RIGHT('112'!$M$9,2),B6572&lt;'112'!$K$9,$O6572='112'!$I$6)),"x",""))</f>
        <v/>
      </c>
      <c r="W6572" s="79" t="str">
        <f>IF(AND('341-CT'!$H$9=H6572,OR(LEFT(N6572,3)=$W$7,LEFT(O6572,3)=$W$7)),"x","")</f>
        <v/>
      </c>
      <c r="X6572" s="79" t="str">
        <f>IF(OR(TH!N6572=TH!$X$7,O6572=TH!$X$7),"x","")</f>
        <v/>
      </c>
      <c r="Y6572" s="79" t="str">
        <f>IF(AND(OR(N6572="131",O6572="131"),H6572='131-CT'!$H$9),"x","")</f>
        <v/>
      </c>
      <c r="Z6572" s="79"/>
      <c r="AA6572" s="79" t="str">
        <f>IF(AND(MONTH(E6572)='IN-NX'!$J$5,'IN-NX'!$D$7=D6572),"x","")</f>
        <v/>
      </c>
      <c r="AB6572" s="79" t="str">
        <f>IF(AND(OR(LEFT(TH!N6572,2)="15",LEFT(TH!O6572,2)="15"),LEFT(TH!O6572,3)&lt;&gt;"111",'152-CT'!$J$8=TH!F6572),"x","")</f>
        <v/>
      </c>
      <c r="AC6572" s="79" t="str">
        <f>IF(AND(OR(LEFT(TH!N6572,2)="15",LEFT(TH!O6572,2)="15"),TK!$E$7=TH!F6572),"x","")</f>
        <v/>
      </c>
      <c r="AD6572" s="79" t="str">
        <f>IF(AND(N6572="1521",MONTH(C6572)='BK-NL'!$M$11),"x","")</f>
        <v/>
      </c>
    </row>
    <row r="6573" spans="1:30" ht="16.5" customHeight="1">
      <c r="A6573" s="318" t="str">
        <f>IF(B6573&lt;&gt;"",IF(AND(B6573='IN-TC'!$S$4,OR(TH!N6573="1111",TH!O6573="1111")),TH!D6573,""),"")</f>
        <v/>
      </c>
      <c r="B6573" s="1163" t="str">
        <f t="shared" si="523"/>
        <v/>
      </c>
      <c r="C6573" s="61"/>
      <c r="D6573" s="61"/>
      <c r="E6573" s="61"/>
      <c r="F6573" s="69"/>
      <c r="G6573" s="64"/>
      <c r="H6573" s="69"/>
      <c r="I6573" s="385"/>
      <c r="J6573" s="392"/>
      <c r="K6573" s="385"/>
      <c r="L6573" s="392"/>
      <c r="M6573" s="62"/>
      <c r="N6573" s="63"/>
      <c r="O6573" s="63"/>
      <c r="P6573" s="79" t="str">
        <f>IF(AND('331-CT'!$E$7=TH!H6573,OR(N6573="331",O6573="331")),"x","")</f>
        <v/>
      </c>
      <c r="Q6573" s="79" t="str">
        <f>IF(AND(B6573='111'!$L$11,OR($N6573=$Q$7,$O6573=$Q$7)),"x","")</f>
        <v/>
      </c>
      <c r="R6573" s="79" t="str">
        <f>IF(AND($N6573=$Q$7,$B6573&lt;'111'!$L$11),"x","")</f>
        <v/>
      </c>
      <c r="S6573" s="79" t="str">
        <f>IF(AND($O6573=$Q$7,$B6573&lt;'111'!$L$11),"x","")</f>
        <v/>
      </c>
      <c r="T6573" s="79" t="str">
        <f>IF(ISERROR(FIND('112'!$M$9,G6573,1)),"",IF((AND(FIND('112'!$M$9,G6573,1)&gt;=1,B6573='112'!$K$9,OR($N6573='112'!$I$6,$O6573='112'!$I$6))),"x",""))</f>
        <v/>
      </c>
      <c r="U6573" s="79" t="str">
        <f>IF(ISERROR(FIND('112'!$M$9,G6573,1)),"",IF((AND(LEFT(G6573,2)=LEFT('112'!$M$9,2),B6573&lt;'112'!$K$9,$N6573='112'!$I$6)),"x",""))</f>
        <v/>
      </c>
      <c r="V6573" s="79" t="str">
        <f>IF(ISERROR(FIND('112'!$M$9,G6573,1)),"",IF((AND(RIGHT(G6573,2)=RIGHT('112'!$M$9,2),B6573&lt;'112'!$K$9,$O6573='112'!$I$6)),"x",""))</f>
        <v/>
      </c>
      <c r="W6573" s="79" t="str">
        <f>IF(AND('341-CT'!$H$9=H6573,OR(LEFT(N6573,3)=$W$7,LEFT(O6573,3)=$W$7)),"x","")</f>
        <v/>
      </c>
      <c r="X6573" s="79" t="str">
        <f>IF(OR(TH!N6573=TH!$X$7,O6573=TH!$X$7),"x","")</f>
        <v/>
      </c>
      <c r="Y6573" s="79" t="str">
        <f>IF(AND(OR(N6573="131",O6573="131"),H6573='131-CT'!$H$9),"x","")</f>
        <v/>
      </c>
      <c r="Z6573" s="79"/>
      <c r="AA6573" s="79" t="str">
        <f>IF(AND(MONTH(E6573)='IN-NX'!$J$5,'IN-NX'!$D$7=D6573),"x","")</f>
        <v/>
      </c>
      <c r="AB6573" s="79" t="str">
        <f>IF(AND(OR(LEFT(TH!N6573,2)="15",LEFT(TH!O6573,2)="15"),LEFT(TH!O6573,3)&lt;&gt;"111",'152-CT'!$J$8=TH!F6573),"x","")</f>
        <v/>
      </c>
      <c r="AC6573" s="79" t="str">
        <f>IF(AND(OR(LEFT(TH!N6573,2)="15",LEFT(TH!O6573,2)="15"),TK!$E$7=TH!F6573),"x","")</f>
        <v/>
      </c>
      <c r="AD6573" s="79" t="str">
        <f>IF(AND(N6573="1521",MONTH(C6573)='BK-NL'!$M$11),"x","")</f>
        <v/>
      </c>
    </row>
    <row r="6574" spans="1:30" ht="16.5" customHeight="1">
      <c r="A6574" s="318" t="str">
        <f>IF(B6574&lt;&gt;"",IF(AND(B6574='IN-TC'!$S$4,OR(TH!N6574="1111",TH!O6574="1111")),TH!D6574,""),"")</f>
        <v/>
      </c>
      <c r="B6574" s="1163" t="str">
        <f t="shared" si="523"/>
        <v/>
      </c>
      <c r="C6574" s="61"/>
      <c r="D6574" s="61"/>
      <c r="E6574" s="61"/>
      <c r="F6574" s="69"/>
      <c r="G6574" s="64"/>
      <c r="H6574" s="69"/>
      <c r="I6574" s="385"/>
      <c r="J6574" s="392"/>
      <c r="K6574" s="385"/>
      <c r="L6574" s="392"/>
      <c r="M6574" s="62"/>
      <c r="N6574" s="63"/>
      <c r="O6574" s="63"/>
      <c r="P6574" s="79" t="str">
        <f>IF(AND('331-CT'!$E$7=TH!H6574,OR(N6574="331",O6574="331")),"x","")</f>
        <v/>
      </c>
      <c r="Q6574" s="79" t="str">
        <f>IF(AND(B6574='111'!$L$11,OR($N6574=$Q$7,$O6574=$Q$7)),"x","")</f>
        <v/>
      </c>
      <c r="R6574" s="79" t="str">
        <f>IF(AND($N6574=$Q$7,$B6574&lt;'111'!$L$11),"x","")</f>
        <v/>
      </c>
      <c r="S6574" s="79" t="str">
        <f>IF(AND($O6574=$Q$7,$B6574&lt;'111'!$L$11),"x","")</f>
        <v/>
      </c>
      <c r="T6574" s="79" t="str">
        <f>IF(ISERROR(FIND('112'!$M$9,G6574,1)),"",IF((AND(FIND('112'!$M$9,G6574,1)&gt;=1,B6574='112'!$K$9,OR($N6574='112'!$I$6,$O6574='112'!$I$6))),"x",""))</f>
        <v/>
      </c>
      <c r="U6574" s="79" t="str">
        <f>IF(ISERROR(FIND('112'!$M$9,G6574,1)),"",IF((AND(LEFT(G6574,2)=LEFT('112'!$M$9,2),B6574&lt;'112'!$K$9,$N6574='112'!$I$6)),"x",""))</f>
        <v/>
      </c>
      <c r="V6574" s="79" t="str">
        <f>IF(ISERROR(FIND('112'!$M$9,G6574,1)),"",IF((AND(RIGHT(G6574,2)=RIGHT('112'!$M$9,2),B6574&lt;'112'!$K$9,$O6574='112'!$I$6)),"x",""))</f>
        <v/>
      </c>
      <c r="W6574" s="79" t="str">
        <f>IF(AND('341-CT'!$H$9=H6574,OR(LEFT(N6574,3)=$W$7,LEFT(O6574,3)=$W$7)),"x","")</f>
        <v/>
      </c>
      <c r="X6574" s="79" t="str">
        <f>IF(OR(TH!N6574=TH!$X$7,O6574=TH!$X$7),"x","")</f>
        <v/>
      </c>
      <c r="Y6574" s="79" t="str">
        <f>IF(AND(OR(N6574="131",O6574="131"),H6574='131-CT'!$H$9),"x","")</f>
        <v/>
      </c>
      <c r="Z6574" s="79"/>
      <c r="AA6574" s="79" t="str">
        <f>IF(AND(MONTH(E6574)='IN-NX'!$J$5,'IN-NX'!$D$7=D6574),"x","")</f>
        <v/>
      </c>
      <c r="AB6574" s="79" t="str">
        <f>IF(AND(OR(LEFT(TH!N6574,2)="15",LEFT(TH!O6574,2)="15"),LEFT(TH!O6574,3)&lt;&gt;"111",'152-CT'!$J$8=TH!F6574),"x","")</f>
        <v/>
      </c>
      <c r="AC6574" s="79" t="str">
        <f>IF(AND(OR(LEFT(TH!N6574,2)="15",LEFT(TH!O6574,2)="15"),TK!$E$7=TH!F6574),"x","")</f>
        <v/>
      </c>
      <c r="AD6574" s="79" t="str">
        <f>IF(AND(N6574="1521",MONTH(C6574)='BK-NL'!$M$11),"x","")</f>
        <v/>
      </c>
    </row>
    <row r="6575" spans="1:30" ht="16.5" customHeight="1">
      <c r="A6575" s="318" t="str">
        <f>IF(B6575&lt;&gt;"",IF(AND(B6575='IN-TC'!$S$4,OR(TH!N6575="1111",TH!O6575="1111")),TH!D6575,""),"")</f>
        <v/>
      </c>
      <c r="B6575" s="1163" t="str">
        <f t="shared" si="523"/>
        <v/>
      </c>
      <c r="C6575" s="61"/>
      <c r="D6575" s="61"/>
      <c r="E6575" s="61"/>
      <c r="F6575" s="69"/>
      <c r="G6575" s="64"/>
      <c r="H6575" s="69"/>
      <c r="I6575" s="385"/>
      <c r="J6575" s="392"/>
      <c r="K6575" s="385"/>
      <c r="L6575" s="392"/>
      <c r="M6575" s="62"/>
      <c r="N6575" s="63"/>
      <c r="O6575" s="63"/>
      <c r="P6575" s="79" t="str">
        <f>IF(AND('331-CT'!$E$7=TH!H6575,OR(N6575="331",O6575="331")),"x","")</f>
        <v/>
      </c>
      <c r="Q6575" s="79" t="str">
        <f>IF(AND(B6575='111'!$L$11,OR($N6575=$Q$7,$O6575=$Q$7)),"x","")</f>
        <v/>
      </c>
      <c r="R6575" s="79" t="str">
        <f>IF(AND($N6575=$Q$7,$B6575&lt;'111'!$L$11),"x","")</f>
        <v/>
      </c>
      <c r="S6575" s="79" t="str">
        <f>IF(AND($O6575=$Q$7,$B6575&lt;'111'!$L$11),"x","")</f>
        <v/>
      </c>
      <c r="T6575" s="79" t="str">
        <f>IF(ISERROR(FIND('112'!$M$9,G6575,1)),"",IF((AND(FIND('112'!$M$9,G6575,1)&gt;=1,B6575='112'!$K$9,OR($N6575='112'!$I$6,$O6575='112'!$I$6))),"x",""))</f>
        <v/>
      </c>
      <c r="U6575" s="79" t="str">
        <f>IF(ISERROR(FIND('112'!$M$9,G6575,1)),"",IF((AND(LEFT(G6575,2)=LEFT('112'!$M$9,2),B6575&lt;'112'!$K$9,$N6575='112'!$I$6)),"x",""))</f>
        <v/>
      </c>
      <c r="V6575" s="79" t="str">
        <f>IF(ISERROR(FIND('112'!$M$9,G6575,1)),"",IF((AND(RIGHT(G6575,2)=RIGHT('112'!$M$9,2),B6575&lt;'112'!$K$9,$O6575='112'!$I$6)),"x",""))</f>
        <v/>
      </c>
      <c r="W6575" s="79" t="str">
        <f>IF(AND('341-CT'!$H$9=H6575,OR(LEFT(N6575,3)=$W$7,LEFT(O6575,3)=$W$7)),"x","")</f>
        <v/>
      </c>
      <c r="X6575" s="79" t="str">
        <f>IF(OR(TH!N6575=TH!$X$7,O6575=TH!$X$7),"x","")</f>
        <v/>
      </c>
      <c r="Y6575" s="79" t="str">
        <f>IF(AND(OR(N6575="131",O6575="131"),H6575='131-CT'!$H$9),"x","")</f>
        <v/>
      </c>
      <c r="Z6575" s="79"/>
      <c r="AA6575" s="79" t="str">
        <f>IF(AND(MONTH(E6575)='IN-NX'!$J$5,'IN-NX'!$D$7=D6575),"x","")</f>
        <v/>
      </c>
      <c r="AB6575" s="79" t="str">
        <f>IF(AND(OR(LEFT(TH!N6575,2)="15",LEFT(TH!O6575,2)="15"),LEFT(TH!O6575,3)&lt;&gt;"111",'152-CT'!$J$8=TH!F6575),"x","")</f>
        <v/>
      </c>
      <c r="AC6575" s="79" t="str">
        <f>IF(AND(OR(LEFT(TH!N6575,2)="15",LEFT(TH!O6575,2)="15"),TK!$E$7=TH!F6575),"x","")</f>
        <v/>
      </c>
      <c r="AD6575" s="79" t="str">
        <f>IF(AND(N6575="1521",MONTH(C6575)='BK-NL'!$M$11),"x","")</f>
        <v/>
      </c>
    </row>
    <row r="6576" spans="1:30" ht="16.5" customHeight="1">
      <c r="A6576" s="318" t="str">
        <f>IF(B6576&lt;&gt;"",IF(AND(B6576='IN-TC'!$S$4,OR(TH!N6576="1111",TH!O6576="1111")),TH!D6576,""),"")</f>
        <v/>
      </c>
      <c r="B6576" s="1163" t="str">
        <f t="shared" si="523"/>
        <v/>
      </c>
      <c r="C6576" s="61"/>
      <c r="D6576" s="61"/>
      <c r="E6576" s="61"/>
      <c r="F6576" s="69"/>
      <c r="G6576" s="64"/>
      <c r="H6576" s="69"/>
      <c r="I6576" s="385"/>
      <c r="J6576" s="392"/>
      <c r="K6576" s="385"/>
      <c r="L6576" s="392"/>
      <c r="M6576" s="62"/>
      <c r="N6576" s="63"/>
      <c r="O6576" s="63"/>
      <c r="P6576" s="79" t="str">
        <f>IF(AND('331-CT'!$E$7=TH!H6576,OR(N6576="331",O6576="331")),"x","")</f>
        <v/>
      </c>
      <c r="Q6576" s="79" t="str">
        <f>IF(AND(B6576='111'!$L$11,OR($N6576=$Q$7,$O6576=$Q$7)),"x","")</f>
        <v/>
      </c>
      <c r="R6576" s="79" t="str">
        <f>IF(AND($N6576=$Q$7,$B6576&lt;'111'!$L$11),"x","")</f>
        <v/>
      </c>
      <c r="S6576" s="79" t="str">
        <f>IF(AND($O6576=$Q$7,$B6576&lt;'111'!$L$11),"x","")</f>
        <v/>
      </c>
      <c r="T6576" s="79" t="str">
        <f>IF(ISERROR(FIND('112'!$M$9,G6576,1)),"",IF((AND(FIND('112'!$M$9,G6576,1)&gt;=1,B6576='112'!$K$9,OR($N6576='112'!$I$6,$O6576='112'!$I$6))),"x",""))</f>
        <v/>
      </c>
      <c r="U6576" s="79" t="str">
        <f>IF(ISERROR(FIND('112'!$M$9,G6576,1)),"",IF((AND(LEFT(G6576,2)=LEFT('112'!$M$9,2),B6576&lt;'112'!$K$9,$N6576='112'!$I$6)),"x",""))</f>
        <v/>
      </c>
      <c r="V6576" s="79" t="str">
        <f>IF(ISERROR(FIND('112'!$M$9,G6576,1)),"",IF((AND(RIGHT(G6576,2)=RIGHT('112'!$M$9,2),B6576&lt;'112'!$K$9,$O6576='112'!$I$6)),"x",""))</f>
        <v/>
      </c>
      <c r="W6576" s="79" t="str">
        <f>IF(AND('341-CT'!$H$9=H6576,OR(LEFT(N6576,3)=$W$7,LEFT(O6576,3)=$W$7)),"x","")</f>
        <v/>
      </c>
      <c r="X6576" s="79" t="str">
        <f>IF(OR(TH!N6576=TH!$X$7,O6576=TH!$X$7),"x","")</f>
        <v/>
      </c>
      <c r="Y6576" s="79" t="str">
        <f>IF(AND(OR(N6576="131",O6576="131"),H6576='131-CT'!$H$9),"x","")</f>
        <v/>
      </c>
      <c r="Z6576" s="79"/>
      <c r="AA6576" s="79" t="str">
        <f>IF(AND(MONTH(E6576)='IN-NX'!$J$5,'IN-NX'!$D$7=D6576),"x","")</f>
        <v/>
      </c>
      <c r="AB6576" s="79" t="str">
        <f>IF(AND(OR(LEFT(TH!N6576,2)="15",LEFT(TH!O6576,2)="15"),LEFT(TH!O6576,3)&lt;&gt;"111",'152-CT'!$J$8=TH!F6576),"x","")</f>
        <v/>
      </c>
      <c r="AC6576" s="79" t="str">
        <f>IF(AND(OR(LEFT(TH!N6576,2)="15",LEFT(TH!O6576,2)="15"),TK!$E$7=TH!F6576),"x","")</f>
        <v/>
      </c>
      <c r="AD6576" s="79" t="str">
        <f>IF(AND(N6576="1521",MONTH(C6576)='BK-NL'!$M$11),"x","")</f>
        <v/>
      </c>
    </row>
    <row r="6577" spans="1:30" ht="16.5" customHeight="1">
      <c r="A6577" s="318" t="str">
        <f>IF(B6577&lt;&gt;"",IF(AND(B6577='IN-TC'!$S$4,OR(TH!N6577="1111",TH!O6577="1111")),TH!D6577,""),"")</f>
        <v/>
      </c>
      <c r="B6577" s="1163" t="str">
        <f t="shared" si="523"/>
        <v/>
      </c>
      <c r="C6577" s="61"/>
      <c r="D6577" s="61"/>
      <c r="E6577" s="61"/>
      <c r="F6577" s="69"/>
      <c r="G6577" s="64"/>
      <c r="H6577" s="69"/>
      <c r="I6577" s="385"/>
      <c r="J6577" s="392"/>
      <c r="K6577" s="385"/>
      <c r="L6577" s="392"/>
      <c r="M6577" s="62"/>
      <c r="N6577" s="63"/>
      <c r="O6577" s="63"/>
      <c r="P6577" s="79" t="str">
        <f>IF(AND('331-CT'!$E$7=TH!H6577,OR(N6577="331",O6577="331")),"x","")</f>
        <v/>
      </c>
      <c r="Q6577" s="79" t="str">
        <f>IF(AND(B6577='111'!$L$11,OR($N6577=$Q$7,$O6577=$Q$7)),"x","")</f>
        <v/>
      </c>
      <c r="R6577" s="79" t="str">
        <f>IF(AND($N6577=$Q$7,$B6577&lt;'111'!$L$11),"x","")</f>
        <v/>
      </c>
      <c r="S6577" s="79" t="str">
        <f>IF(AND($O6577=$Q$7,$B6577&lt;'111'!$L$11),"x","")</f>
        <v/>
      </c>
      <c r="T6577" s="79" t="str">
        <f>IF(ISERROR(FIND('112'!$M$9,G6577,1)),"",IF((AND(FIND('112'!$M$9,G6577,1)&gt;=1,B6577='112'!$K$9,OR($N6577='112'!$I$6,$O6577='112'!$I$6))),"x",""))</f>
        <v/>
      </c>
      <c r="U6577" s="79" t="str">
        <f>IF(ISERROR(FIND('112'!$M$9,G6577,1)),"",IF((AND(LEFT(G6577,2)=LEFT('112'!$M$9,2),B6577&lt;'112'!$K$9,$N6577='112'!$I$6)),"x",""))</f>
        <v/>
      </c>
      <c r="V6577" s="79" t="str">
        <f>IF(ISERROR(FIND('112'!$M$9,G6577,1)),"",IF((AND(RIGHT(G6577,2)=RIGHT('112'!$M$9,2),B6577&lt;'112'!$K$9,$O6577='112'!$I$6)),"x",""))</f>
        <v/>
      </c>
      <c r="W6577" s="79" t="str">
        <f>IF(AND('341-CT'!$H$9=H6577,OR(LEFT(N6577,3)=$W$7,LEFT(O6577,3)=$W$7)),"x","")</f>
        <v/>
      </c>
      <c r="X6577" s="79" t="str">
        <f>IF(OR(TH!N6577=TH!$X$7,O6577=TH!$X$7),"x","")</f>
        <v/>
      </c>
      <c r="Y6577" s="79" t="str">
        <f>IF(AND(OR(N6577="131",O6577="131"),H6577='131-CT'!$H$9),"x","")</f>
        <v/>
      </c>
      <c r="Z6577" s="79"/>
      <c r="AA6577" s="79" t="str">
        <f>IF(AND(MONTH(E6577)='IN-NX'!$J$5,'IN-NX'!$D$7=D6577),"x","")</f>
        <v/>
      </c>
      <c r="AB6577" s="79" t="str">
        <f>IF(AND(OR(LEFT(TH!N6577,2)="15",LEFT(TH!O6577,2)="15"),LEFT(TH!O6577,3)&lt;&gt;"111",'152-CT'!$J$8=TH!F6577),"x","")</f>
        <v/>
      </c>
      <c r="AC6577" s="79" t="str">
        <f>IF(AND(OR(LEFT(TH!N6577,2)="15",LEFT(TH!O6577,2)="15"),TK!$E$7=TH!F6577),"x","")</f>
        <v/>
      </c>
      <c r="AD6577" s="79" t="str">
        <f>IF(AND(N6577="1521",MONTH(C6577)='BK-NL'!$M$11),"x","")</f>
        <v/>
      </c>
    </row>
    <row r="6578" spans="1:30" ht="16.5" customHeight="1">
      <c r="A6578" s="318" t="str">
        <f>IF(B6578&lt;&gt;"",IF(AND(B6578='IN-TC'!$S$4,OR(TH!N6578="1111",TH!O6578="1111")),TH!D6578,""),"")</f>
        <v/>
      </c>
      <c r="B6578" s="1163" t="str">
        <f t="shared" si="523"/>
        <v/>
      </c>
      <c r="C6578" s="61"/>
      <c r="D6578" s="61"/>
      <c r="E6578" s="61"/>
      <c r="F6578" s="69"/>
      <c r="G6578" s="64"/>
      <c r="H6578" s="321"/>
      <c r="I6578" s="385"/>
      <c r="J6578" s="392"/>
      <c r="K6578" s="385"/>
      <c r="L6578" s="392"/>
      <c r="M6578" s="62"/>
      <c r="N6578" s="63"/>
      <c r="O6578" s="63"/>
      <c r="P6578" s="79" t="str">
        <f>IF(AND('331-CT'!$E$7=TH!H6578,OR(N6578="331",O6578="331")),"x","")</f>
        <v/>
      </c>
      <c r="Q6578" s="79" t="str">
        <f>IF(AND(B6578='111'!$L$11,OR($N6578=$Q$7,$O6578=$Q$7)),"x","")</f>
        <v/>
      </c>
      <c r="R6578" s="79" t="str">
        <f>IF(AND($N6578=$Q$7,$B6578&lt;'111'!$L$11),"x","")</f>
        <v/>
      </c>
      <c r="S6578" s="79" t="str">
        <f>IF(AND($O6578=$Q$7,$B6578&lt;'111'!$L$11),"x","")</f>
        <v/>
      </c>
      <c r="T6578" s="79" t="str">
        <f>IF(ISERROR(FIND('112'!$M$9,G6578,1)),"",IF((AND(FIND('112'!$M$9,G6578,1)&gt;=1,B6578='112'!$K$9,OR($N6578='112'!$I$6,$O6578='112'!$I$6))),"x",""))</f>
        <v/>
      </c>
      <c r="U6578" s="79" t="str">
        <f>IF(ISERROR(FIND('112'!$M$9,G6578,1)),"",IF((AND(LEFT(G6578,2)=LEFT('112'!$M$9,2),B6578&lt;'112'!$K$9,$N6578='112'!$I$6)),"x",""))</f>
        <v/>
      </c>
      <c r="V6578" s="79" t="str">
        <f>IF(ISERROR(FIND('112'!$M$9,G6578,1)),"",IF((AND(RIGHT(G6578,2)=RIGHT('112'!$M$9,2),B6578&lt;'112'!$K$9,$O6578='112'!$I$6)),"x",""))</f>
        <v/>
      </c>
      <c r="W6578" s="79" t="str">
        <f>IF(AND('341-CT'!$H$9=H6578,OR(LEFT(N6578,3)=$W$7,LEFT(O6578,3)=$W$7)),"x","")</f>
        <v/>
      </c>
      <c r="X6578" s="79" t="str">
        <f>IF(OR(TH!N6578=TH!$X$7,O6578=TH!$X$7),"x","")</f>
        <v/>
      </c>
      <c r="Y6578" s="79" t="str">
        <f>IF(AND(OR(N6578="131",O6578="131"),H6578='131-CT'!$H$9),"x","")</f>
        <v/>
      </c>
      <c r="Z6578" s="79"/>
      <c r="AA6578" s="79" t="str">
        <f>IF(AND(MONTH(E6578)='IN-NX'!$J$5,'IN-NX'!$D$7=D6578),"x","")</f>
        <v/>
      </c>
      <c r="AB6578" s="79" t="str">
        <f>IF(AND(OR(LEFT(TH!N6578,2)="15",LEFT(TH!O6578,2)="15"),LEFT(TH!O6578,3)&lt;&gt;"111",'152-CT'!$J$8=TH!F6578),"x","")</f>
        <v/>
      </c>
      <c r="AC6578" s="79" t="str">
        <f>IF(AND(OR(LEFT(TH!N6578,2)="15",LEFT(TH!O6578,2)="15"),TK!$E$7=TH!F6578),"x","")</f>
        <v/>
      </c>
      <c r="AD6578" s="79" t="str">
        <f>IF(AND(N6578="1521",MONTH(C6578)='BK-NL'!$M$11),"x","")</f>
        <v/>
      </c>
    </row>
    <row r="6579" spans="1:30" ht="16.5" customHeight="1">
      <c r="A6579" s="318" t="str">
        <f>IF(B6579&lt;&gt;"",IF(AND(B6579='IN-TC'!$S$4,OR(TH!N6579="1111",TH!O6579="1111")),TH!D6579,""),"")</f>
        <v/>
      </c>
      <c r="B6579" s="1163" t="str">
        <f t="shared" si="523"/>
        <v/>
      </c>
      <c r="C6579" s="61"/>
      <c r="D6579" s="61"/>
      <c r="E6579" s="61"/>
      <c r="F6579" s="69"/>
      <c r="G6579" s="64"/>
      <c r="H6579" s="69"/>
      <c r="I6579" s="385"/>
      <c r="J6579" s="392"/>
      <c r="K6579" s="385"/>
      <c r="L6579" s="392"/>
      <c r="M6579" s="62"/>
      <c r="N6579" s="63"/>
      <c r="O6579" s="63"/>
      <c r="P6579" s="79" t="str">
        <f>IF(AND('331-CT'!$E$7=TH!H6579,OR(N6579="331",O6579="331")),"x","")</f>
        <v/>
      </c>
      <c r="Q6579" s="79" t="str">
        <f>IF(AND(B6579='111'!$L$11,OR($N6579=$Q$7,$O6579=$Q$7)),"x","")</f>
        <v/>
      </c>
      <c r="R6579" s="79" t="str">
        <f>IF(AND($N6579=$Q$7,$B6579&lt;'111'!$L$11),"x","")</f>
        <v/>
      </c>
      <c r="S6579" s="79" t="str">
        <f>IF(AND($O6579=$Q$7,$B6579&lt;'111'!$L$11),"x","")</f>
        <v/>
      </c>
      <c r="T6579" s="79" t="str">
        <f>IF(ISERROR(FIND('112'!$M$9,G6579,1)),"",IF((AND(FIND('112'!$M$9,G6579,1)&gt;=1,B6579='112'!$K$9,OR($N6579='112'!$I$6,$O6579='112'!$I$6))),"x",""))</f>
        <v/>
      </c>
      <c r="U6579" s="79" t="str">
        <f>IF(ISERROR(FIND('112'!$M$9,G6579,1)),"",IF((AND(LEFT(G6579,2)=LEFT('112'!$M$9,2),B6579&lt;'112'!$K$9,$N6579='112'!$I$6)),"x",""))</f>
        <v/>
      </c>
      <c r="V6579" s="79" t="str">
        <f>IF(ISERROR(FIND('112'!$M$9,G6579,1)),"",IF((AND(RIGHT(G6579,2)=RIGHT('112'!$M$9,2),B6579&lt;'112'!$K$9,$O6579='112'!$I$6)),"x",""))</f>
        <v/>
      </c>
      <c r="W6579" s="79" t="str">
        <f>IF(AND('341-CT'!$H$9=H6579,OR(LEFT(N6579,3)=$W$7,LEFT(O6579,3)=$W$7)),"x","")</f>
        <v/>
      </c>
      <c r="X6579" s="79" t="str">
        <f>IF(OR(TH!N6579=TH!$X$7,O6579=TH!$X$7),"x","")</f>
        <v/>
      </c>
      <c r="Y6579" s="79" t="str">
        <f>IF(AND(OR(N6579="131",O6579="131"),H6579='131-CT'!$H$9),"x","")</f>
        <v/>
      </c>
      <c r="Z6579" s="79"/>
      <c r="AA6579" s="79" t="str">
        <f>IF(AND(MONTH(E6579)='IN-NX'!$J$5,'IN-NX'!$D$7=D6579),"x","")</f>
        <v/>
      </c>
      <c r="AB6579" s="79" t="str">
        <f>IF(AND(OR(LEFT(TH!N6579,2)="15",LEFT(TH!O6579,2)="15"),LEFT(TH!O6579,3)&lt;&gt;"111",'152-CT'!$J$8=TH!F6579),"x","")</f>
        <v/>
      </c>
      <c r="AC6579" s="79" t="str">
        <f>IF(AND(OR(LEFT(TH!N6579,2)="15",LEFT(TH!O6579,2)="15"),TK!$E$7=TH!F6579),"x","")</f>
        <v/>
      </c>
      <c r="AD6579" s="79" t="str">
        <f>IF(AND(N6579="1521",MONTH(C6579)='BK-NL'!$M$11),"x","")</f>
        <v/>
      </c>
    </row>
    <row r="6580" spans="1:30" ht="16.5" customHeight="1">
      <c r="A6580" s="318" t="str">
        <f>IF(B6580&lt;&gt;"",IF(AND(B6580='IN-TC'!$S$4,OR(TH!N6580="1111",TH!O6580="1111")),TH!D6580,""),"")</f>
        <v/>
      </c>
      <c r="B6580" s="1163" t="str">
        <f t="shared" si="523"/>
        <v/>
      </c>
      <c r="C6580" s="61"/>
      <c r="D6580" s="301"/>
      <c r="E6580" s="301"/>
      <c r="F6580" s="69"/>
      <c r="G6580" s="766"/>
      <c r="H6580" s="69"/>
      <c r="I6580" s="385"/>
      <c r="J6580" s="392"/>
      <c r="K6580" s="385"/>
      <c r="L6580" s="392"/>
      <c r="M6580" s="62"/>
      <c r="N6580" s="63"/>
      <c r="O6580" s="63"/>
      <c r="P6580" s="79" t="str">
        <f>IF(AND('331-CT'!$E$7=TH!H6580,OR(N6580="331",O6580="331")),"x","")</f>
        <v/>
      </c>
      <c r="Q6580" s="79" t="str">
        <f>IF(AND(B6580='111'!$L$11,OR($N6580=$Q$7,$O6580=$Q$7)),"x","")</f>
        <v/>
      </c>
      <c r="R6580" s="79" t="str">
        <f>IF(AND($N6580=$Q$7,$B6580&lt;'111'!$L$11),"x","")</f>
        <v/>
      </c>
      <c r="S6580" s="79" t="str">
        <f>IF(AND($O6580=$Q$7,$B6580&lt;'111'!$L$11),"x","")</f>
        <v/>
      </c>
      <c r="T6580" s="79" t="str">
        <f>IF(ISERROR(FIND('112'!$M$9,G6580,1)),"",IF((AND(FIND('112'!$M$9,G6580,1)&gt;=1,B6580='112'!$K$9,OR($N6580='112'!$I$6,$O6580='112'!$I$6))),"x",""))</f>
        <v/>
      </c>
      <c r="U6580" s="79" t="str">
        <f>IF(ISERROR(FIND('112'!$M$9,G6580,1)),"",IF((AND(LEFT(G6580,2)=LEFT('112'!$M$9,2),B6580&lt;'112'!$K$9,$N6580='112'!$I$6)),"x",""))</f>
        <v/>
      </c>
      <c r="V6580" s="79" t="str">
        <f>IF(ISERROR(FIND('112'!$M$9,G6580,1)),"",IF((AND(RIGHT(G6580,2)=RIGHT('112'!$M$9,2),B6580&lt;'112'!$K$9,$O6580='112'!$I$6)),"x",""))</f>
        <v/>
      </c>
      <c r="W6580" s="79" t="str">
        <f>IF(AND('341-CT'!$H$9=H6580,OR(LEFT(N6580,3)=$W$7,LEFT(O6580,3)=$W$7)),"x","")</f>
        <v/>
      </c>
      <c r="X6580" s="79" t="str">
        <f>IF(OR(TH!N6580=TH!$X$7,O6580=TH!$X$7),"x","")</f>
        <v/>
      </c>
      <c r="Y6580" s="79" t="str">
        <f>IF(AND(OR(N6580="131",O6580="131"),H6580='131-CT'!$H$9),"x","")</f>
        <v/>
      </c>
      <c r="Z6580" s="79"/>
      <c r="AA6580" s="79" t="str">
        <f>IF(AND(MONTH(E6580)='IN-NX'!$J$5,'IN-NX'!$D$7=D6580),"x","")</f>
        <v/>
      </c>
      <c r="AB6580" s="79" t="str">
        <f>IF(AND(OR(LEFT(TH!N6580,2)="15",LEFT(TH!O6580,2)="15"),LEFT(TH!O6580,3)&lt;&gt;"111",'152-CT'!$J$8=TH!F6580),"x","")</f>
        <v/>
      </c>
      <c r="AC6580" s="79" t="str">
        <f>IF(AND(OR(LEFT(TH!N6580,2)="15",LEFT(TH!O6580,2)="15"),TK!$E$7=TH!F6580),"x","")</f>
        <v/>
      </c>
      <c r="AD6580" s="79" t="str">
        <f>IF(AND(N6580="1521",MONTH(C6580)='BK-NL'!$M$11),"x","")</f>
        <v/>
      </c>
    </row>
    <row r="6581" spans="1:30" ht="16.5" customHeight="1">
      <c r="A6581" s="318" t="str">
        <f>IF(B6581&lt;&gt;"",IF(AND(B6581='IN-TC'!$S$4,OR(TH!N6581="1111",TH!O6581="1111")),TH!D6581,""),"")</f>
        <v/>
      </c>
      <c r="B6581" s="1163" t="str">
        <f t="shared" si="523"/>
        <v/>
      </c>
      <c r="C6581" s="61"/>
      <c r="D6581" s="61"/>
      <c r="E6581" s="61"/>
      <c r="F6581" s="64"/>
      <c r="G6581" s="64"/>
      <c r="H6581" s="69"/>
      <c r="I6581" s="385"/>
      <c r="J6581" s="392"/>
      <c r="K6581" s="385"/>
      <c r="L6581" s="392"/>
      <c r="M6581" s="62"/>
      <c r="N6581" s="63"/>
      <c r="O6581" s="63"/>
      <c r="P6581" s="79" t="str">
        <f>IF(AND('331-CT'!$E$7=TH!H6581,OR(N6581="331",O6581="331")),"x","")</f>
        <v/>
      </c>
      <c r="Q6581" s="79" t="str">
        <f>IF(AND(B6581='111'!$L$11,OR($N6581=$Q$7,$O6581=$Q$7)),"x","")</f>
        <v/>
      </c>
      <c r="R6581" s="79" t="str">
        <f>IF(AND($N6581=$Q$7,$B6581&lt;'111'!$L$11),"x","")</f>
        <v/>
      </c>
      <c r="S6581" s="79" t="str">
        <f>IF(AND($O6581=$Q$7,$B6581&lt;'111'!$L$11),"x","")</f>
        <v/>
      </c>
      <c r="T6581" s="79" t="str">
        <f>IF(ISERROR(FIND('112'!$M$9,G6581,1)),"",IF((AND(FIND('112'!$M$9,G6581,1)&gt;=1,B6581='112'!$K$9,OR($N6581='112'!$I$6,$O6581='112'!$I$6))),"x",""))</f>
        <v/>
      </c>
      <c r="U6581" s="79" t="str">
        <f>IF(ISERROR(FIND('112'!$M$9,G6581,1)),"",IF((AND(LEFT(G6581,2)=LEFT('112'!$M$9,2),B6581&lt;'112'!$K$9,$N6581='112'!$I$6)),"x",""))</f>
        <v/>
      </c>
      <c r="V6581" s="79" t="str">
        <f>IF(ISERROR(FIND('112'!$M$9,G6581,1)),"",IF((AND(RIGHT(G6581,2)=RIGHT('112'!$M$9,2),B6581&lt;'112'!$K$9,$O6581='112'!$I$6)),"x",""))</f>
        <v/>
      </c>
      <c r="W6581" s="79" t="str">
        <f>IF(AND('341-CT'!$H$9=H6581,OR(LEFT(N6581,3)=$W$7,LEFT(O6581,3)=$W$7)),"x","")</f>
        <v/>
      </c>
      <c r="X6581" s="79" t="str">
        <f>IF(OR(TH!N6581=TH!$X$7,O6581=TH!$X$7),"x","")</f>
        <v/>
      </c>
      <c r="Y6581" s="79" t="str">
        <f>IF(AND(OR(N6581="131",O6581="131"),H6581='131-CT'!$H$9),"x","")</f>
        <v/>
      </c>
      <c r="Z6581" s="79"/>
      <c r="AA6581" s="79" t="str">
        <f>IF(AND(MONTH(E6581)='IN-NX'!$J$5,'IN-NX'!$D$7=D6581),"x","")</f>
        <v/>
      </c>
      <c r="AB6581" s="79" t="str">
        <f>IF(AND(OR(LEFT(TH!N6581,2)="15",LEFT(TH!O6581,2)="15"),LEFT(TH!O6581,3)&lt;&gt;"111",'152-CT'!$J$8=TH!F6581),"x","")</f>
        <v/>
      </c>
      <c r="AC6581" s="79" t="str">
        <f>IF(AND(OR(LEFT(TH!N6581,2)="15",LEFT(TH!O6581,2)="15"),TK!$E$7=TH!F6581),"x","")</f>
        <v/>
      </c>
      <c r="AD6581" s="79" t="str">
        <f>IF(AND(N6581="1521",MONTH(C6581)='BK-NL'!$M$11),"x","")</f>
        <v/>
      </c>
    </row>
    <row r="6582" spans="1:30" ht="16.5" customHeight="1">
      <c r="A6582" s="318" t="str">
        <f>IF(B6582&lt;&gt;"",IF(AND(B6582='IN-TC'!$S$4,OR(TH!N6582="1111",TH!O6582="1111")),TH!D6582,""),"")</f>
        <v/>
      </c>
      <c r="B6582" s="1163" t="str">
        <f t="shared" si="523"/>
        <v/>
      </c>
      <c r="C6582" s="61"/>
      <c r="D6582" s="301"/>
      <c r="E6582" s="301"/>
      <c r="F6582" s="69"/>
      <c r="G6582" s="766"/>
      <c r="H6582" s="69"/>
      <c r="I6582" s="385"/>
      <c r="J6582" s="392"/>
      <c r="K6582" s="385"/>
      <c r="L6582" s="392"/>
      <c r="M6582" s="62"/>
      <c r="N6582" s="63"/>
      <c r="O6582" s="63"/>
      <c r="P6582" s="79" t="str">
        <f>IF(AND('331-CT'!$E$7=TH!H6582,OR(N6582="331",O6582="331")),"x","")</f>
        <v/>
      </c>
      <c r="Q6582" s="79" t="str">
        <f>IF(AND(B6582='111'!$L$11,OR($N6582=$Q$7,$O6582=$Q$7)),"x","")</f>
        <v/>
      </c>
      <c r="R6582" s="79" t="str">
        <f>IF(AND($N6582=$Q$7,$B6582&lt;'111'!$L$11),"x","")</f>
        <v/>
      </c>
      <c r="S6582" s="79" t="str">
        <f>IF(AND($O6582=$Q$7,$B6582&lt;'111'!$L$11),"x","")</f>
        <v/>
      </c>
      <c r="T6582" s="79" t="str">
        <f>IF(ISERROR(FIND('112'!$M$9,G6582,1)),"",IF((AND(FIND('112'!$M$9,G6582,1)&gt;=1,B6582='112'!$K$9,OR($N6582='112'!$I$6,$O6582='112'!$I$6))),"x",""))</f>
        <v/>
      </c>
      <c r="U6582" s="79" t="str">
        <f>IF(ISERROR(FIND('112'!$M$9,G6582,1)),"",IF((AND(LEFT(G6582,2)=LEFT('112'!$M$9,2),B6582&lt;'112'!$K$9,$N6582='112'!$I$6)),"x",""))</f>
        <v/>
      </c>
      <c r="V6582" s="79" t="str">
        <f>IF(ISERROR(FIND('112'!$M$9,G6582,1)),"",IF((AND(RIGHT(G6582,2)=RIGHT('112'!$M$9,2),B6582&lt;'112'!$K$9,$O6582='112'!$I$6)),"x",""))</f>
        <v/>
      </c>
      <c r="W6582" s="79" t="str">
        <f>IF(AND('341-CT'!$H$9=H6582,OR(LEFT(N6582,3)=$W$7,LEFT(O6582,3)=$W$7)),"x","")</f>
        <v/>
      </c>
      <c r="X6582" s="79" t="str">
        <f>IF(OR(TH!N6582=TH!$X$7,O6582=TH!$X$7),"x","")</f>
        <v/>
      </c>
      <c r="Y6582" s="79" t="str">
        <f>IF(AND(OR(N6582="131",O6582="131"),H6582='131-CT'!$H$9),"x","")</f>
        <v/>
      </c>
      <c r="Z6582" s="79"/>
      <c r="AA6582" s="79" t="str">
        <f>IF(AND(MONTH(E6582)='IN-NX'!$J$5,'IN-NX'!$D$7=D6582),"x","")</f>
        <v/>
      </c>
      <c r="AB6582" s="79" t="str">
        <f>IF(AND(OR(LEFT(TH!N6582,2)="15",LEFT(TH!O6582,2)="15"),LEFT(TH!O6582,3)&lt;&gt;"111",'152-CT'!$J$8=TH!F6582),"x","")</f>
        <v/>
      </c>
      <c r="AC6582" s="79" t="str">
        <f>IF(AND(OR(LEFT(TH!N6582,2)="15",LEFT(TH!O6582,2)="15"),TK!$E$7=TH!F6582),"x","")</f>
        <v/>
      </c>
      <c r="AD6582" s="79" t="str">
        <f>IF(AND(N6582="1521",MONTH(C6582)='BK-NL'!$M$11),"x","")</f>
        <v/>
      </c>
    </row>
    <row r="6583" spans="1:30" ht="16.5" customHeight="1">
      <c r="A6583" s="318" t="str">
        <f>IF(B6583&lt;&gt;"",IF(AND(B6583='IN-TC'!$S$4,OR(TH!N6583="1111",TH!O6583="1111")),TH!D6583,""),"")</f>
        <v/>
      </c>
      <c r="B6583" s="1163" t="str">
        <f t="shared" si="523"/>
        <v/>
      </c>
      <c r="C6583" s="61"/>
      <c r="D6583" s="61"/>
      <c r="E6583" s="61"/>
      <c r="F6583" s="69"/>
      <c r="G6583" s="64"/>
      <c r="H6583" s="69"/>
      <c r="I6583" s="385"/>
      <c r="J6583" s="392"/>
      <c r="K6583" s="385"/>
      <c r="L6583" s="392"/>
      <c r="M6583" s="62"/>
      <c r="N6583" s="63"/>
      <c r="O6583" s="63"/>
      <c r="P6583" s="79" t="str">
        <f>IF(AND('331-CT'!$E$7=TH!H6583,OR(N6583="331",O6583="331")),"x","")</f>
        <v/>
      </c>
      <c r="Q6583" s="79" t="str">
        <f>IF(AND(B6583='111'!$L$11,OR($N6583=$Q$7,$O6583=$Q$7)),"x","")</f>
        <v/>
      </c>
      <c r="R6583" s="79" t="str">
        <f>IF(AND($N6583=$Q$7,$B6583&lt;'111'!$L$11),"x","")</f>
        <v/>
      </c>
      <c r="S6583" s="79" t="str">
        <f>IF(AND($O6583=$Q$7,$B6583&lt;'111'!$L$11),"x","")</f>
        <v/>
      </c>
      <c r="T6583" s="79" t="str">
        <f>IF(ISERROR(FIND('112'!$M$9,G6583,1)),"",IF((AND(FIND('112'!$M$9,G6583,1)&gt;=1,B6583='112'!$K$9,OR($N6583='112'!$I$6,$O6583='112'!$I$6))),"x",""))</f>
        <v/>
      </c>
      <c r="U6583" s="79" t="str">
        <f>IF(ISERROR(FIND('112'!$M$9,G6583,1)),"",IF((AND(LEFT(G6583,2)=LEFT('112'!$M$9,2),B6583&lt;'112'!$K$9,$N6583='112'!$I$6)),"x",""))</f>
        <v/>
      </c>
      <c r="V6583" s="79" t="str">
        <f>IF(ISERROR(FIND('112'!$M$9,G6583,1)),"",IF((AND(RIGHT(G6583,2)=RIGHT('112'!$M$9,2),B6583&lt;'112'!$K$9,$O6583='112'!$I$6)),"x",""))</f>
        <v/>
      </c>
      <c r="W6583" s="79" t="str">
        <f>IF(AND('341-CT'!$H$9=H6583,OR(LEFT(N6583,3)=$W$7,LEFT(O6583,3)=$W$7)),"x","")</f>
        <v/>
      </c>
      <c r="X6583" s="79" t="str">
        <f>IF(OR(TH!N6583=TH!$X$7,O6583=TH!$X$7),"x","")</f>
        <v/>
      </c>
      <c r="Y6583" s="79" t="str">
        <f>IF(AND(OR(N6583="131",O6583="131"),H6583='131-CT'!$H$9),"x","")</f>
        <v/>
      </c>
      <c r="Z6583" s="79"/>
      <c r="AA6583" s="79" t="str">
        <f>IF(AND(MONTH(E6583)='IN-NX'!$J$5,'IN-NX'!$D$7=D6583),"x","")</f>
        <v/>
      </c>
      <c r="AB6583" s="79" t="str">
        <f>IF(AND(OR(LEFT(TH!N6583,2)="15",LEFT(TH!O6583,2)="15"),LEFT(TH!O6583,3)&lt;&gt;"111",'152-CT'!$J$8=TH!F6583),"x","")</f>
        <v/>
      </c>
      <c r="AC6583" s="79" t="str">
        <f>IF(AND(OR(LEFT(TH!N6583,2)="15",LEFT(TH!O6583,2)="15"),TK!$E$7=TH!F6583),"x","")</f>
        <v/>
      </c>
      <c r="AD6583" s="79" t="str">
        <f>IF(AND(N6583="1521",MONTH(C6583)='BK-NL'!$M$11),"x","")</f>
        <v/>
      </c>
    </row>
    <row r="6584" spans="1:30" ht="16.5" customHeight="1">
      <c r="A6584" s="318" t="str">
        <f>IF(B6584&lt;&gt;"",IF(AND(B6584='IN-TC'!$S$4,OR(TH!N6584="1111",TH!O6584="1111")),TH!D6584,""),"")</f>
        <v/>
      </c>
      <c r="B6584" s="1163" t="str">
        <f t="shared" si="523"/>
        <v/>
      </c>
      <c r="C6584" s="61"/>
      <c r="D6584" s="61"/>
      <c r="E6584" s="61"/>
      <c r="F6584" s="69"/>
      <c r="G6584" s="64"/>
      <c r="H6584" s="69"/>
      <c r="I6584" s="385"/>
      <c r="J6584" s="392"/>
      <c r="K6584" s="385"/>
      <c r="L6584" s="392"/>
      <c r="M6584" s="62"/>
      <c r="N6584" s="63"/>
      <c r="O6584" s="63"/>
      <c r="P6584" s="79" t="str">
        <f>IF(AND('331-CT'!$E$7=TH!H6584,OR(N6584="331",O6584="331")),"x","")</f>
        <v/>
      </c>
      <c r="Q6584" s="79" t="str">
        <f>IF(AND(B6584='111'!$L$11,OR($N6584=$Q$7,$O6584=$Q$7)),"x","")</f>
        <v/>
      </c>
      <c r="R6584" s="79" t="str">
        <f>IF(AND($N6584=$Q$7,$B6584&lt;'111'!$L$11),"x","")</f>
        <v/>
      </c>
      <c r="S6584" s="79" t="str">
        <f>IF(AND($O6584=$Q$7,$B6584&lt;'111'!$L$11),"x","")</f>
        <v/>
      </c>
      <c r="T6584" s="79" t="str">
        <f>IF(ISERROR(FIND('112'!$M$9,G6584,1)),"",IF((AND(FIND('112'!$M$9,G6584,1)&gt;=1,B6584='112'!$K$9,OR($N6584='112'!$I$6,$O6584='112'!$I$6))),"x",""))</f>
        <v/>
      </c>
      <c r="U6584" s="79" t="str">
        <f>IF(ISERROR(FIND('112'!$M$9,G6584,1)),"",IF((AND(LEFT(G6584,2)=LEFT('112'!$M$9,2),B6584&lt;'112'!$K$9,$N6584='112'!$I$6)),"x",""))</f>
        <v/>
      </c>
      <c r="V6584" s="79" t="str">
        <f>IF(ISERROR(FIND('112'!$M$9,G6584,1)),"",IF((AND(RIGHT(G6584,2)=RIGHT('112'!$M$9,2),B6584&lt;'112'!$K$9,$O6584='112'!$I$6)),"x",""))</f>
        <v/>
      </c>
      <c r="W6584" s="79" t="str">
        <f>IF(AND('341-CT'!$H$9=H6584,OR(LEFT(N6584,3)=$W$7,LEFT(O6584,3)=$W$7)),"x","")</f>
        <v/>
      </c>
      <c r="X6584" s="79" t="str">
        <f>IF(OR(TH!N6584=TH!$X$7,O6584=TH!$X$7),"x","")</f>
        <v/>
      </c>
      <c r="Y6584" s="79" t="str">
        <f>IF(AND(OR(N6584="131",O6584="131"),H6584='131-CT'!$H$9),"x","")</f>
        <v/>
      </c>
      <c r="Z6584" s="79"/>
      <c r="AA6584" s="79" t="str">
        <f>IF(AND(MONTH(E6584)='IN-NX'!$J$5,'IN-NX'!$D$7=D6584),"x","")</f>
        <v/>
      </c>
      <c r="AB6584" s="79" t="str">
        <f>IF(AND(OR(LEFT(TH!N6584,2)="15",LEFT(TH!O6584,2)="15"),LEFT(TH!O6584,3)&lt;&gt;"111",'152-CT'!$J$8=TH!F6584),"x","")</f>
        <v/>
      </c>
      <c r="AC6584" s="79" t="str">
        <f>IF(AND(OR(LEFT(TH!N6584,2)="15",LEFT(TH!O6584,2)="15"),TK!$E$7=TH!F6584),"x","")</f>
        <v/>
      </c>
      <c r="AD6584" s="79" t="str">
        <f>IF(AND(N6584="1521",MONTH(C6584)='BK-NL'!$M$11),"x","")</f>
        <v/>
      </c>
    </row>
    <row r="6585" spans="1:30" ht="16.5" customHeight="1">
      <c r="A6585" s="318" t="str">
        <f>IF(B6585&lt;&gt;"",IF(AND(B6585='IN-TC'!$S$4,OR(TH!N6585="1111",TH!O6585="1111")),TH!D6585,""),"")</f>
        <v/>
      </c>
      <c r="B6585" s="1163" t="str">
        <f t="shared" si="523"/>
        <v/>
      </c>
      <c r="C6585" s="61"/>
      <c r="D6585" s="61"/>
      <c r="E6585" s="61"/>
      <c r="F6585" s="69"/>
      <c r="G6585" s="64"/>
      <c r="H6585" s="69"/>
      <c r="I6585" s="385"/>
      <c r="J6585" s="392"/>
      <c r="K6585" s="385"/>
      <c r="L6585" s="392"/>
      <c r="M6585" s="62"/>
      <c r="N6585" s="63"/>
      <c r="O6585" s="63"/>
      <c r="P6585" s="79" t="str">
        <f>IF(AND('331-CT'!$E$7=TH!H6585,OR(N6585="331",O6585="331")),"x","")</f>
        <v/>
      </c>
      <c r="Q6585" s="79" t="str">
        <f>IF(AND(B6585='111'!$L$11,OR($N6585=$Q$7,$O6585=$Q$7)),"x","")</f>
        <v/>
      </c>
      <c r="R6585" s="79" t="str">
        <f>IF(AND($N6585=$Q$7,$B6585&lt;'111'!$L$11),"x","")</f>
        <v/>
      </c>
      <c r="S6585" s="79" t="str">
        <f>IF(AND($O6585=$Q$7,$B6585&lt;'111'!$L$11),"x","")</f>
        <v/>
      </c>
      <c r="T6585" s="79" t="str">
        <f>IF(ISERROR(FIND('112'!$M$9,G6585,1)),"",IF((AND(FIND('112'!$M$9,G6585,1)&gt;=1,B6585='112'!$K$9,OR($N6585='112'!$I$6,$O6585='112'!$I$6))),"x",""))</f>
        <v/>
      </c>
      <c r="U6585" s="79" t="str">
        <f>IF(ISERROR(FIND('112'!$M$9,G6585,1)),"",IF((AND(LEFT(G6585,2)=LEFT('112'!$M$9,2),B6585&lt;'112'!$K$9,$N6585='112'!$I$6)),"x",""))</f>
        <v/>
      </c>
      <c r="V6585" s="79" t="str">
        <f>IF(ISERROR(FIND('112'!$M$9,G6585,1)),"",IF((AND(RIGHT(G6585,2)=RIGHT('112'!$M$9,2),B6585&lt;'112'!$K$9,$O6585='112'!$I$6)),"x",""))</f>
        <v/>
      </c>
      <c r="W6585" s="79" t="str">
        <f>IF(AND('341-CT'!$H$9=H6585,OR(LEFT(N6585,3)=$W$7,LEFT(O6585,3)=$W$7)),"x","")</f>
        <v/>
      </c>
      <c r="X6585" s="79" t="str">
        <f>IF(OR(TH!N6585=TH!$X$7,O6585=TH!$X$7),"x","")</f>
        <v/>
      </c>
      <c r="Y6585" s="79" t="str">
        <f>IF(AND(OR(N6585="131",O6585="131"),H6585='131-CT'!$H$9),"x","")</f>
        <v/>
      </c>
      <c r="Z6585" s="79"/>
      <c r="AA6585" s="79" t="str">
        <f>IF(AND(MONTH(E6585)='IN-NX'!$J$5,'IN-NX'!$D$7=D6585),"x","")</f>
        <v/>
      </c>
      <c r="AB6585" s="79" t="str">
        <f>IF(AND(OR(LEFT(TH!N6585,2)="15",LEFT(TH!O6585,2)="15"),LEFT(TH!O6585,3)&lt;&gt;"111",'152-CT'!$J$8=TH!F6585),"x","")</f>
        <v/>
      </c>
      <c r="AC6585" s="79" t="str">
        <f>IF(AND(OR(LEFT(TH!N6585,2)="15",LEFT(TH!O6585,2)="15"),TK!$E$7=TH!F6585),"x","")</f>
        <v/>
      </c>
      <c r="AD6585" s="79" t="str">
        <f>IF(AND(N6585="1521",MONTH(C6585)='BK-NL'!$M$11),"x","")</f>
        <v/>
      </c>
    </row>
    <row r="6586" spans="1:30" ht="16.5" customHeight="1">
      <c r="A6586" s="318" t="str">
        <f>IF(B6586&lt;&gt;"",IF(AND(B6586='IN-TC'!$S$4,OR(TH!N6586="1111",TH!O6586="1111")),TH!D6586,""),"")</f>
        <v/>
      </c>
      <c r="B6586" s="1163" t="str">
        <f t="shared" si="523"/>
        <v/>
      </c>
      <c r="C6586" s="61"/>
      <c r="D6586" s="61"/>
      <c r="E6586" s="61"/>
      <c r="F6586" s="69"/>
      <c r="G6586" s="64"/>
      <c r="H6586" s="69"/>
      <c r="I6586" s="385"/>
      <c r="J6586" s="392"/>
      <c r="K6586" s="385"/>
      <c r="L6586" s="392"/>
      <c r="M6586" s="62"/>
      <c r="N6586" s="63"/>
      <c r="O6586" s="63"/>
      <c r="P6586" s="79" t="str">
        <f>IF(AND('331-CT'!$E$7=TH!H6586,OR(N6586="331",O6586="331")),"x","")</f>
        <v/>
      </c>
      <c r="Q6586" s="79" t="str">
        <f>IF(AND(B6586='111'!$L$11,OR($N6586=$Q$7,$O6586=$Q$7)),"x","")</f>
        <v/>
      </c>
      <c r="R6586" s="79" t="str">
        <f>IF(AND($N6586=$Q$7,$B6586&lt;'111'!$L$11),"x","")</f>
        <v/>
      </c>
      <c r="S6586" s="79" t="str">
        <f>IF(AND($O6586=$Q$7,$B6586&lt;'111'!$L$11),"x","")</f>
        <v/>
      </c>
      <c r="T6586" s="79" t="str">
        <f>IF(ISERROR(FIND('112'!$M$9,G6586,1)),"",IF((AND(FIND('112'!$M$9,G6586,1)&gt;=1,B6586='112'!$K$9,OR($N6586='112'!$I$6,$O6586='112'!$I$6))),"x",""))</f>
        <v/>
      </c>
      <c r="U6586" s="79" t="str">
        <f>IF(ISERROR(FIND('112'!$M$9,G6586,1)),"",IF((AND(LEFT(G6586,2)=LEFT('112'!$M$9,2),B6586&lt;'112'!$K$9,$N6586='112'!$I$6)),"x",""))</f>
        <v/>
      </c>
      <c r="V6586" s="79" t="str">
        <f>IF(ISERROR(FIND('112'!$M$9,G6586,1)),"",IF((AND(RIGHT(G6586,2)=RIGHT('112'!$M$9,2),B6586&lt;'112'!$K$9,$O6586='112'!$I$6)),"x",""))</f>
        <v/>
      </c>
      <c r="W6586" s="79" t="str">
        <f>IF(AND('341-CT'!$H$9=H6586,OR(LEFT(N6586,3)=$W$7,LEFT(O6586,3)=$W$7)),"x","")</f>
        <v/>
      </c>
      <c r="X6586" s="79" t="str">
        <f>IF(OR(TH!N6586=TH!$X$7,O6586=TH!$X$7),"x","")</f>
        <v/>
      </c>
      <c r="Y6586" s="79" t="str">
        <f>IF(AND(OR(N6586="131",O6586="131"),H6586='131-CT'!$H$9),"x","")</f>
        <v/>
      </c>
      <c r="Z6586" s="79"/>
      <c r="AA6586" s="79" t="str">
        <f>IF(AND(MONTH(E6586)='IN-NX'!$J$5,'IN-NX'!$D$7=D6586),"x","")</f>
        <v/>
      </c>
      <c r="AB6586" s="79" t="str">
        <f>IF(AND(OR(LEFT(TH!N6586,2)="15",LEFT(TH!O6586,2)="15"),LEFT(TH!O6586,3)&lt;&gt;"111",'152-CT'!$J$8=TH!F6586),"x","")</f>
        <v/>
      </c>
      <c r="AC6586" s="79" t="str">
        <f>IF(AND(OR(LEFT(TH!N6586,2)="15",LEFT(TH!O6586,2)="15"),TK!$E$7=TH!F6586),"x","")</f>
        <v/>
      </c>
      <c r="AD6586" s="79" t="str">
        <f>IF(AND(N6586="1521",MONTH(C6586)='BK-NL'!$M$11),"x","")</f>
        <v/>
      </c>
    </row>
    <row r="6587" spans="1:30" ht="16.5" customHeight="1">
      <c r="A6587" s="318" t="str">
        <f>IF(B6587&lt;&gt;"",IF(AND(B6587='IN-TC'!$S$4,OR(TH!N6587="1111",TH!O6587="1111")),TH!D6587,""),"")</f>
        <v/>
      </c>
      <c r="B6587" s="1163" t="str">
        <f t="shared" si="523"/>
        <v/>
      </c>
      <c r="C6587" s="61"/>
      <c r="D6587" s="61"/>
      <c r="E6587" s="61"/>
      <c r="F6587" s="69"/>
      <c r="G6587" s="64"/>
      <c r="H6587" s="69"/>
      <c r="I6587" s="385"/>
      <c r="J6587" s="392"/>
      <c r="K6587" s="385"/>
      <c r="L6587" s="392"/>
      <c r="M6587" s="62"/>
      <c r="N6587" s="63"/>
      <c r="O6587" s="63"/>
      <c r="P6587" s="79" t="str">
        <f>IF(AND('331-CT'!$E$7=TH!H6587,OR(N6587="331",O6587="331")),"x","")</f>
        <v/>
      </c>
      <c r="Q6587" s="79" t="str">
        <f>IF(AND(B6587='111'!$L$11,OR($N6587=$Q$7,$O6587=$Q$7)),"x","")</f>
        <v/>
      </c>
      <c r="R6587" s="79" t="str">
        <f>IF(AND($N6587=$Q$7,$B6587&lt;'111'!$L$11),"x","")</f>
        <v/>
      </c>
      <c r="S6587" s="79" t="str">
        <f>IF(AND($O6587=$Q$7,$B6587&lt;'111'!$L$11),"x","")</f>
        <v/>
      </c>
      <c r="T6587" s="79" t="str">
        <f>IF(ISERROR(FIND('112'!$M$9,G6587,1)),"",IF((AND(FIND('112'!$M$9,G6587,1)&gt;=1,B6587='112'!$K$9,OR($N6587='112'!$I$6,$O6587='112'!$I$6))),"x",""))</f>
        <v/>
      </c>
      <c r="U6587" s="79" t="str">
        <f>IF(ISERROR(FIND('112'!$M$9,G6587,1)),"",IF((AND(LEFT(G6587,2)=LEFT('112'!$M$9,2),B6587&lt;'112'!$K$9,$N6587='112'!$I$6)),"x",""))</f>
        <v/>
      </c>
      <c r="V6587" s="79" t="str">
        <f>IF(ISERROR(FIND('112'!$M$9,G6587,1)),"",IF((AND(RIGHT(G6587,2)=RIGHT('112'!$M$9,2),B6587&lt;'112'!$K$9,$O6587='112'!$I$6)),"x",""))</f>
        <v/>
      </c>
      <c r="W6587" s="79" t="str">
        <f>IF(AND('341-CT'!$H$9=H6587,OR(LEFT(N6587,3)=$W$7,LEFT(O6587,3)=$W$7)),"x","")</f>
        <v/>
      </c>
      <c r="X6587" s="79" t="str">
        <f>IF(OR(TH!N6587=TH!$X$7,O6587=TH!$X$7),"x","")</f>
        <v/>
      </c>
      <c r="Y6587" s="79" t="str">
        <f>IF(AND(OR(N6587="131",O6587="131"),H6587='131-CT'!$H$9),"x","")</f>
        <v/>
      </c>
      <c r="Z6587" s="79"/>
      <c r="AA6587" s="79" t="str">
        <f>IF(AND(MONTH(E6587)='IN-NX'!$J$5,'IN-NX'!$D$7=D6587),"x","")</f>
        <v/>
      </c>
      <c r="AB6587" s="79" t="str">
        <f>IF(AND(OR(LEFT(TH!N6587,2)="15",LEFT(TH!O6587,2)="15"),LEFT(TH!O6587,3)&lt;&gt;"111",'152-CT'!$J$8=TH!F6587),"x","")</f>
        <v/>
      </c>
      <c r="AC6587" s="79" t="str">
        <f>IF(AND(OR(LEFT(TH!N6587,2)="15",LEFT(TH!O6587,2)="15"),TK!$E$7=TH!F6587),"x","")</f>
        <v/>
      </c>
      <c r="AD6587" s="79" t="str">
        <f>IF(AND(N6587="1521",MONTH(C6587)='BK-NL'!$M$11),"x","")</f>
        <v/>
      </c>
    </row>
    <row r="6588" spans="1:30" ht="16.5" customHeight="1">
      <c r="A6588" s="318" t="str">
        <f>IF(B6588&lt;&gt;"",IF(AND(B6588='IN-TC'!$S$4,OR(TH!N6588="1111",TH!O6588="1111")),TH!D6588,""),"")</f>
        <v/>
      </c>
      <c r="B6588" s="1163" t="str">
        <f t="shared" si="523"/>
        <v/>
      </c>
      <c r="C6588" s="61"/>
      <c r="D6588" s="61"/>
      <c r="E6588" s="61"/>
      <c r="F6588" s="69"/>
      <c r="G6588" s="64"/>
      <c r="H6588" s="69"/>
      <c r="I6588" s="385"/>
      <c r="J6588" s="392"/>
      <c r="K6588" s="385"/>
      <c r="L6588" s="392"/>
      <c r="M6588" s="62"/>
      <c r="N6588" s="63"/>
      <c r="O6588" s="63"/>
      <c r="P6588" s="79" t="str">
        <f>IF(AND('331-CT'!$E$7=TH!H6588,OR(N6588="331",O6588="331")),"x","")</f>
        <v/>
      </c>
      <c r="Q6588" s="79" t="str">
        <f>IF(AND(B6588='111'!$L$11,OR($N6588=$Q$7,$O6588=$Q$7)),"x","")</f>
        <v/>
      </c>
      <c r="R6588" s="79" t="str">
        <f>IF(AND($N6588=$Q$7,$B6588&lt;'111'!$L$11),"x","")</f>
        <v/>
      </c>
      <c r="S6588" s="79" t="str">
        <f>IF(AND($O6588=$Q$7,$B6588&lt;'111'!$L$11),"x","")</f>
        <v/>
      </c>
      <c r="T6588" s="79" t="str">
        <f>IF(ISERROR(FIND('112'!$M$9,G6588,1)),"",IF((AND(FIND('112'!$M$9,G6588,1)&gt;=1,B6588='112'!$K$9,OR($N6588='112'!$I$6,$O6588='112'!$I$6))),"x",""))</f>
        <v/>
      </c>
      <c r="U6588" s="79" t="str">
        <f>IF(ISERROR(FIND('112'!$M$9,G6588,1)),"",IF((AND(LEFT(G6588,2)=LEFT('112'!$M$9,2),B6588&lt;'112'!$K$9,$N6588='112'!$I$6)),"x",""))</f>
        <v/>
      </c>
      <c r="V6588" s="79" t="str">
        <f>IF(ISERROR(FIND('112'!$M$9,G6588,1)),"",IF((AND(RIGHT(G6588,2)=RIGHT('112'!$M$9,2),B6588&lt;'112'!$K$9,$O6588='112'!$I$6)),"x",""))</f>
        <v/>
      </c>
      <c r="W6588" s="79" t="str">
        <f>IF(AND('341-CT'!$H$9=H6588,OR(LEFT(N6588,3)=$W$7,LEFT(O6588,3)=$W$7)),"x","")</f>
        <v/>
      </c>
      <c r="X6588" s="79" t="str">
        <f>IF(OR(TH!N6588=TH!$X$7,O6588=TH!$X$7),"x","")</f>
        <v/>
      </c>
      <c r="Y6588" s="79" t="str">
        <f>IF(AND(OR(N6588="131",O6588="131"),H6588='131-CT'!$H$9),"x","")</f>
        <v/>
      </c>
      <c r="Z6588" s="79"/>
      <c r="AA6588" s="79" t="str">
        <f>IF(AND(MONTH(E6588)='IN-NX'!$J$5,'IN-NX'!$D$7=D6588),"x","")</f>
        <v/>
      </c>
      <c r="AB6588" s="79" t="str">
        <f>IF(AND(OR(LEFT(TH!N6588,2)="15",LEFT(TH!O6588,2)="15"),LEFT(TH!O6588,3)&lt;&gt;"111",'152-CT'!$J$8=TH!F6588),"x","")</f>
        <v/>
      </c>
      <c r="AC6588" s="79" t="str">
        <f>IF(AND(OR(LEFT(TH!N6588,2)="15",LEFT(TH!O6588,2)="15"),TK!$E$7=TH!F6588),"x","")</f>
        <v/>
      </c>
      <c r="AD6588" s="79" t="str">
        <f>IF(AND(N6588="1521",MONTH(C6588)='BK-NL'!$M$11),"x","")</f>
        <v/>
      </c>
    </row>
    <row r="6589" spans="1:30" ht="16.5" customHeight="1">
      <c r="A6589" s="318" t="str">
        <f>IF(B6589&lt;&gt;"",IF(AND(B6589='IN-TC'!$S$4,OR(TH!N6589="1111",TH!O6589="1111")),TH!D6589,""),"")</f>
        <v/>
      </c>
      <c r="B6589" s="1163" t="str">
        <f t="shared" si="523"/>
        <v/>
      </c>
      <c r="C6589" s="61"/>
      <c r="D6589" s="61"/>
      <c r="E6589" s="61"/>
      <c r="F6589" s="69"/>
      <c r="G6589" s="64"/>
      <c r="H6589" s="69"/>
      <c r="I6589" s="385"/>
      <c r="J6589" s="392"/>
      <c r="K6589" s="385"/>
      <c r="L6589" s="392"/>
      <c r="M6589" s="62"/>
      <c r="N6589" s="63"/>
      <c r="O6589" s="63"/>
      <c r="P6589" s="79" t="str">
        <f>IF(AND('331-CT'!$E$7=TH!H6589,OR(N6589="331",O6589="331")),"x","")</f>
        <v/>
      </c>
      <c r="Q6589" s="79" t="str">
        <f>IF(AND(B6589='111'!$L$11,OR($N6589=$Q$7,$O6589=$Q$7)),"x","")</f>
        <v/>
      </c>
      <c r="R6589" s="79" t="str">
        <f>IF(AND($N6589=$Q$7,$B6589&lt;'111'!$L$11),"x","")</f>
        <v/>
      </c>
      <c r="S6589" s="79" t="str">
        <f>IF(AND($O6589=$Q$7,$B6589&lt;'111'!$L$11),"x","")</f>
        <v/>
      </c>
      <c r="T6589" s="79" t="str">
        <f>IF(ISERROR(FIND('112'!$M$9,G6589,1)),"",IF((AND(FIND('112'!$M$9,G6589,1)&gt;=1,B6589='112'!$K$9,OR($N6589='112'!$I$6,$O6589='112'!$I$6))),"x",""))</f>
        <v/>
      </c>
      <c r="U6589" s="79" t="str">
        <f>IF(ISERROR(FIND('112'!$M$9,G6589,1)),"",IF((AND(LEFT(G6589,2)=LEFT('112'!$M$9,2),B6589&lt;'112'!$K$9,$N6589='112'!$I$6)),"x",""))</f>
        <v/>
      </c>
      <c r="V6589" s="79" t="str">
        <f>IF(ISERROR(FIND('112'!$M$9,G6589,1)),"",IF((AND(RIGHT(G6589,2)=RIGHT('112'!$M$9,2),B6589&lt;'112'!$K$9,$O6589='112'!$I$6)),"x",""))</f>
        <v/>
      </c>
      <c r="W6589" s="79" t="str">
        <f>IF(AND('341-CT'!$H$9=H6589,OR(LEFT(N6589,3)=$W$7,LEFT(O6589,3)=$W$7)),"x","")</f>
        <v/>
      </c>
      <c r="X6589" s="79" t="str">
        <f>IF(OR(TH!N6589=TH!$X$7,O6589=TH!$X$7),"x","")</f>
        <v/>
      </c>
      <c r="Y6589" s="79" t="str">
        <f>IF(AND(OR(N6589="131",O6589="131"),H6589='131-CT'!$H$9),"x","")</f>
        <v/>
      </c>
      <c r="Z6589" s="79"/>
      <c r="AA6589" s="79" t="str">
        <f>IF(AND(MONTH(E6589)='IN-NX'!$J$5,'IN-NX'!$D$7=D6589),"x","")</f>
        <v/>
      </c>
      <c r="AB6589" s="79" t="str">
        <f>IF(AND(OR(LEFT(TH!N6589,2)="15",LEFT(TH!O6589,2)="15"),LEFT(TH!O6589,3)&lt;&gt;"111",'152-CT'!$J$8=TH!F6589),"x","")</f>
        <v/>
      </c>
      <c r="AC6589" s="79" t="str">
        <f>IF(AND(OR(LEFT(TH!N6589,2)="15",LEFT(TH!O6589,2)="15"),TK!$E$7=TH!F6589),"x","")</f>
        <v/>
      </c>
      <c r="AD6589" s="79" t="str">
        <f>IF(AND(N6589="1521",MONTH(C6589)='BK-NL'!$M$11),"x","")</f>
        <v/>
      </c>
    </row>
    <row r="6590" spans="1:30" ht="16.5" customHeight="1">
      <c r="A6590" s="318" t="str">
        <f>IF(B6590&lt;&gt;"",IF(AND(B6590='IN-TC'!$S$4,OR(TH!N6590="1111",TH!O6590="1111")),TH!D6590,""),"")</f>
        <v/>
      </c>
      <c r="B6590" s="1163" t="str">
        <f t="shared" si="523"/>
        <v/>
      </c>
      <c r="C6590" s="61"/>
      <c r="D6590" s="61"/>
      <c r="E6590" s="61"/>
      <c r="F6590" s="64"/>
      <c r="G6590" s="64"/>
      <c r="H6590" s="69"/>
      <c r="I6590" s="385"/>
      <c r="J6590" s="392"/>
      <c r="K6590" s="385"/>
      <c r="L6590" s="392"/>
      <c r="M6590" s="62"/>
      <c r="N6590" s="63"/>
      <c r="O6590" s="63"/>
      <c r="P6590" s="79" t="str">
        <f>IF(AND('331-CT'!$E$7=TH!H6590,OR(N6590="331",O6590="331")),"x","")</f>
        <v/>
      </c>
      <c r="Q6590" s="79" t="str">
        <f>IF(AND(B6590='111'!$L$11,OR($N6590=$Q$7,$O6590=$Q$7)),"x","")</f>
        <v/>
      </c>
      <c r="R6590" s="79" t="str">
        <f>IF(AND($N6590=$Q$7,$B6590&lt;'111'!$L$11),"x","")</f>
        <v/>
      </c>
      <c r="S6590" s="79" t="str">
        <f>IF(AND($O6590=$Q$7,$B6590&lt;'111'!$L$11),"x","")</f>
        <v/>
      </c>
      <c r="T6590" s="79" t="str">
        <f>IF(ISERROR(FIND('112'!$M$9,G6590,1)),"",IF((AND(FIND('112'!$M$9,G6590,1)&gt;=1,B6590='112'!$K$9,OR($N6590='112'!$I$6,$O6590='112'!$I$6))),"x",""))</f>
        <v/>
      </c>
      <c r="U6590" s="79" t="str">
        <f>IF(ISERROR(FIND('112'!$M$9,G6590,1)),"",IF((AND(LEFT(G6590,2)=LEFT('112'!$M$9,2),B6590&lt;'112'!$K$9,$N6590='112'!$I$6)),"x",""))</f>
        <v/>
      </c>
      <c r="V6590" s="79" t="str">
        <f>IF(ISERROR(FIND('112'!$M$9,G6590,1)),"",IF((AND(RIGHT(G6590,2)=RIGHT('112'!$M$9,2),B6590&lt;'112'!$K$9,$O6590='112'!$I$6)),"x",""))</f>
        <v/>
      </c>
      <c r="W6590" s="79" t="str">
        <f>IF(AND('341-CT'!$H$9=H6590,OR(LEFT(N6590,3)=$W$7,LEFT(O6590,3)=$W$7)),"x","")</f>
        <v/>
      </c>
      <c r="X6590" s="79" t="str">
        <f>IF(OR(TH!N6590=TH!$X$7,O6590=TH!$X$7),"x","")</f>
        <v/>
      </c>
      <c r="Y6590" s="79" t="str">
        <f>IF(AND(OR(N6590="131",O6590="131"),H6590='131-CT'!$H$9),"x","")</f>
        <v/>
      </c>
      <c r="Z6590" s="79"/>
      <c r="AA6590" s="79" t="str">
        <f>IF(AND(MONTH(E6590)='IN-NX'!$J$5,'IN-NX'!$D$7=D6590),"x","")</f>
        <v/>
      </c>
      <c r="AB6590" s="79" t="str">
        <f>IF(AND(OR(LEFT(TH!N6590,2)="15",LEFT(TH!O6590,2)="15"),LEFT(TH!O6590,3)&lt;&gt;"111",'152-CT'!$J$8=TH!F6590),"x","")</f>
        <v/>
      </c>
      <c r="AC6590" s="79" t="str">
        <f>IF(AND(OR(LEFT(TH!N6590,2)="15",LEFT(TH!O6590,2)="15"),TK!$E$7=TH!F6590),"x","")</f>
        <v/>
      </c>
      <c r="AD6590" s="79" t="str">
        <f>IF(AND(N6590="1521",MONTH(C6590)='BK-NL'!$M$11),"x","")</f>
        <v/>
      </c>
    </row>
    <row r="6591" spans="1:30" ht="16.5" customHeight="1">
      <c r="A6591" s="318" t="str">
        <f>IF(B6591&lt;&gt;"",IF(AND(B6591='IN-TC'!$S$4,OR(TH!N6591="1111",TH!O6591="1111")),TH!D6591,""),"")</f>
        <v/>
      </c>
      <c r="B6591" s="1163" t="str">
        <f t="shared" si="523"/>
        <v/>
      </c>
      <c r="C6591" s="61"/>
      <c r="D6591" s="61"/>
      <c r="E6591" s="61"/>
      <c r="F6591" s="64"/>
      <c r="G6591" s="64"/>
      <c r="H6591" s="69"/>
      <c r="I6591" s="385"/>
      <c r="J6591" s="392"/>
      <c r="K6591" s="385"/>
      <c r="L6591" s="392"/>
      <c r="M6591" s="62"/>
      <c r="N6591" s="63"/>
      <c r="O6591" s="63"/>
      <c r="P6591" s="79" t="str">
        <f>IF(AND('331-CT'!$E$7=TH!H6591,OR(N6591="331",O6591="331")),"x","")</f>
        <v/>
      </c>
      <c r="Q6591" s="79" t="str">
        <f>IF(AND(B6591='111'!$L$11,OR($N6591=$Q$7,$O6591=$Q$7)),"x","")</f>
        <v/>
      </c>
      <c r="R6591" s="79" t="str">
        <f>IF(AND($N6591=$Q$7,$B6591&lt;'111'!$L$11),"x","")</f>
        <v/>
      </c>
      <c r="S6591" s="79" t="str">
        <f>IF(AND($O6591=$Q$7,$B6591&lt;'111'!$L$11),"x","")</f>
        <v/>
      </c>
      <c r="T6591" s="79" t="str">
        <f>IF(ISERROR(FIND('112'!$M$9,G6591,1)),"",IF((AND(FIND('112'!$M$9,G6591,1)&gt;=1,B6591='112'!$K$9,OR($N6591='112'!$I$6,$O6591='112'!$I$6))),"x",""))</f>
        <v/>
      </c>
      <c r="U6591" s="79" t="str">
        <f>IF(ISERROR(FIND('112'!$M$9,G6591,1)),"",IF((AND(LEFT(G6591,2)=LEFT('112'!$M$9,2),B6591&lt;'112'!$K$9,$N6591='112'!$I$6)),"x",""))</f>
        <v/>
      </c>
      <c r="V6591" s="79" t="str">
        <f>IF(ISERROR(FIND('112'!$M$9,G6591,1)),"",IF((AND(RIGHT(G6591,2)=RIGHT('112'!$M$9,2),B6591&lt;'112'!$K$9,$O6591='112'!$I$6)),"x",""))</f>
        <v/>
      </c>
      <c r="W6591" s="79" t="str">
        <f>IF(AND('341-CT'!$H$9=H6591,OR(LEFT(N6591,3)=$W$7,LEFT(O6591,3)=$W$7)),"x","")</f>
        <v/>
      </c>
      <c r="X6591" s="79" t="str">
        <f>IF(OR(TH!N6591=TH!$X$7,O6591=TH!$X$7),"x","")</f>
        <v/>
      </c>
      <c r="Y6591" s="79" t="str">
        <f>IF(AND(OR(N6591="131",O6591="131"),H6591='131-CT'!$H$9),"x","")</f>
        <v/>
      </c>
      <c r="Z6591" s="79"/>
      <c r="AA6591" s="79" t="str">
        <f>IF(AND(MONTH(E6591)='IN-NX'!$J$5,'IN-NX'!$D$7=D6591),"x","")</f>
        <v/>
      </c>
      <c r="AB6591" s="79" t="str">
        <f>IF(AND(OR(LEFT(TH!N6591,2)="15",LEFT(TH!O6591,2)="15"),LEFT(TH!O6591,3)&lt;&gt;"111",'152-CT'!$J$8=TH!F6591),"x","")</f>
        <v/>
      </c>
      <c r="AC6591" s="79" t="str">
        <f>IF(AND(OR(LEFT(TH!N6591,2)="15",LEFT(TH!O6591,2)="15"),TK!$E$7=TH!F6591),"x","")</f>
        <v/>
      </c>
      <c r="AD6591" s="79" t="str">
        <f>IF(AND(N6591="1521",MONTH(C6591)='BK-NL'!$M$11),"x","")</f>
        <v/>
      </c>
    </row>
    <row r="6592" spans="1:30" ht="16.5" customHeight="1">
      <c r="A6592" s="318" t="str">
        <f>IF(B6592&lt;&gt;"",IF(AND(B6592='IN-TC'!$S$4,OR(TH!N6592="1111",TH!O6592="1111")),TH!D6592,""),"")</f>
        <v/>
      </c>
      <c r="B6592" s="1163" t="str">
        <f t="shared" si="523"/>
        <v/>
      </c>
      <c r="C6592" s="61"/>
      <c r="D6592" s="61"/>
      <c r="E6592" s="61"/>
      <c r="F6592" s="69"/>
      <c r="G6592" s="64"/>
      <c r="H6592" s="69"/>
      <c r="I6592" s="385"/>
      <c r="J6592" s="392"/>
      <c r="K6592" s="385"/>
      <c r="L6592" s="392"/>
      <c r="M6592" s="62"/>
      <c r="N6592" s="63"/>
      <c r="O6592" s="63"/>
      <c r="P6592" s="79" t="str">
        <f>IF(AND('331-CT'!$E$7=TH!H6592,OR(N6592="331",O6592="331")),"x","")</f>
        <v/>
      </c>
      <c r="Q6592" s="79" t="str">
        <f>IF(AND(B6592='111'!$L$11,OR($N6592=$Q$7,$O6592=$Q$7)),"x","")</f>
        <v/>
      </c>
      <c r="R6592" s="79" t="str">
        <f>IF(AND($N6592=$Q$7,$B6592&lt;'111'!$L$11),"x","")</f>
        <v/>
      </c>
      <c r="S6592" s="79" t="str">
        <f>IF(AND($O6592=$Q$7,$B6592&lt;'111'!$L$11),"x","")</f>
        <v/>
      </c>
      <c r="T6592" s="79" t="str">
        <f>IF(ISERROR(FIND('112'!$M$9,G6592,1)),"",IF((AND(FIND('112'!$M$9,G6592,1)&gt;=1,B6592='112'!$K$9,OR($N6592='112'!$I$6,$O6592='112'!$I$6))),"x",""))</f>
        <v/>
      </c>
      <c r="U6592" s="79" t="str">
        <f>IF(ISERROR(FIND('112'!$M$9,G6592,1)),"",IF((AND(LEFT(G6592,2)=LEFT('112'!$M$9,2),B6592&lt;'112'!$K$9,$N6592='112'!$I$6)),"x",""))</f>
        <v/>
      </c>
      <c r="V6592" s="79" t="str">
        <f>IF(ISERROR(FIND('112'!$M$9,G6592,1)),"",IF((AND(RIGHT(G6592,2)=RIGHT('112'!$M$9,2),B6592&lt;'112'!$K$9,$O6592='112'!$I$6)),"x",""))</f>
        <v/>
      </c>
      <c r="W6592" s="79" t="str">
        <f>IF(AND('341-CT'!$H$9=H6592,OR(LEFT(N6592,3)=$W$7,LEFT(O6592,3)=$W$7)),"x","")</f>
        <v/>
      </c>
      <c r="X6592" s="79" t="str">
        <f>IF(OR(TH!N6592=TH!$X$7,O6592=TH!$X$7),"x","")</f>
        <v/>
      </c>
      <c r="Y6592" s="79" t="str">
        <f>IF(AND(OR(N6592="131",O6592="131"),H6592='131-CT'!$H$9),"x","")</f>
        <v/>
      </c>
      <c r="Z6592" s="79"/>
      <c r="AA6592" s="79" t="str">
        <f>IF(AND(MONTH(E6592)='IN-NX'!$J$5,'IN-NX'!$D$7=D6592),"x","")</f>
        <v/>
      </c>
      <c r="AB6592" s="79" t="str">
        <f>IF(AND(OR(LEFT(TH!N6592,2)="15",LEFT(TH!O6592,2)="15"),LEFT(TH!O6592,3)&lt;&gt;"111",'152-CT'!$J$8=TH!F6592),"x","")</f>
        <v/>
      </c>
      <c r="AC6592" s="79" t="str">
        <f>IF(AND(OR(LEFT(TH!N6592,2)="15",LEFT(TH!O6592,2)="15"),TK!$E$7=TH!F6592),"x","")</f>
        <v/>
      </c>
      <c r="AD6592" s="79" t="str">
        <f>IF(AND(N6592="1521",MONTH(C6592)='BK-NL'!$M$11),"x","")</f>
        <v/>
      </c>
    </row>
    <row r="6593" spans="1:30" ht="16.5" customHeight="1">
      <c r="A6593" s="318" t="str">
        <f>IF(B6593&lt;&gt;"",IF(AND(B6593='IN-TC'!$S$4,OR(TH!N6593="1111",TH!O6593="1111")),TH!D6593,""),"")</f>
        <v/>
      </c>
      <c r="B6593" s="1163" t="str">
        <f t="shared" si="523"/>
        <v/>
      </c>
      <c r="C6593" s="61"/>
      <c r="D6593" s="61"/>
      <c r="E6593" s="61"/>
      <c r="F6593" s="64"/>
      <c r="G6593" s="64"/>
      <c r="H6593" s="69"/>
      <c r="I6593" s="385"/>
      <c r="J6593" s="392"/>
      <c r="K6593" s="385"/>
      <c r="L6593" s="392"/>
      <c r="M6593" s="62"/>
      <c r="N6593" s="63"/>
      <c r="O6593" s="63"/>
      <c r="P6593" s="79" t="str">
        <f>IF(AND('331-CT'!$E$7=TH!H6593,OR(N6593="331",O6593="331")),"x","")</f>
        <v/>
      </c>
      <c r="Q6593" s="79" t="str">
        <f>IF(AND(B6593='111'!$L$11,OR($N6593=$Q$7,$O6593=$Q$7)),"x","")</f>
        <v/>
      </c>
      <c r="R6593" s="79" t="str">
        <f>IF(AND($N6593=$Q$7,$B6593&lt;'111'!$L$11),"x","")</f>
        <v/>
      </c>
      <c r="S6593" s="79" t="str">
        <f>IF(AND($O6593=$Q$7,$B6593&lt;'111'!$L$11),"x","")</f>
        <v/>
      </c>
      <c r="T6593" s="79" t="str">
        <f>IF(ISERROR(FIND('112'!$M$9,G6593,1)),"",IF((AND(FIND('112'!$M$9,G6593,1)&gt;=1,B6593='112'!$K$9,OR($N6593='112'!$I$6,$O6593='112'!$I$6))),"x",""))</f>
        <v/>
      </c>
      <c r="U6593" s="79" t="str">
        <f>IF(ISERROR(FIND('112'!$M$9,G6593,1)),"",IF((AND(LEFT(G6593,2)=LEFT('112'!$M$9,2),B6593&lt;'112'!$K$9,$N6593='112'!$I$6)),"x",""))</f>
        <v/>
      </c>
      <c r="V6593" s="79" t="str">
        <f>IF(ISERROR(FIND('112'!$M$9,G6593,1)),"",IF((AND(RIGHT(G6593,2)=RIGHT('112'!$M$9,2),B6593&lt;'112'!$K$9,$O6593='112'!$I$6)),"x",""))</f>
        <v/>
      </c>
      <c r="W6593" s="79" t="str">
        <f>IF(AND('341-CT'!$H$9=H6593,OR(LEFT(N6593,3)=$W$7,LEFT(O6593,3)=$W$7)),"x","")</f>
        <v/>
      </c>
      <c r="X6593" s="79" t="str">
        <f>IF(OR(TH!N6593=TH!$X$7,O6593=TH!$X$7),"x","")</f>
        <v/>
      </c>
      <c r="Y6593" s="79" t="str">
        <f>IF(AND(OR(N6593="131",O6593="131"),H6593='131-CT'!$H$9),"x","")</f>
        <v/>
      </c>
      <c r="Z6593" s="79"/>
      <c r="AA6593" s="79" t="str">
        <f>IF(AND(MONTH(E6593)='IN-NX'!$J$5,'IN-NX'!$D$7=D6593),"x","")</f>
        <v/>
      </c>
      <c r="AB6593" s="79" t="str">
        <f>IF(AND(OR(LEFT(TH!N6593,2)="15",LEFT(TH!O6593,2)="15"),LEFT(TH!O6593,3)&lt;&gt;"111",'152-CT'!$J$8=TH!F6593),"x","")</f>
        <v/>
      </c>
      <c r="AC6593" s="79" t="str">
        <f>IF(AND(OR(LEFT(TH!N6593,2)="15",LEFT(TH!O6593,2)="15"),TK!$E$7=TH!F6593),"x","")</f>
        <v/>
      </c>
      <c r="AD6593" s="79" t="str">
        <f>IF(AND(N6593="1521",MONTH(C6593)='BK-NL'!$M$11),"x","")</f>
        <v/>
      </c>
    </row>
    <row r="6594" spans="1:30" ht="16.5" customHeight="1">
      <c r="A6594" s="318" t="str">
        <f>IF(B6594&lt;&gt;"",IF(AND(B6594='IN-TC'!$S$4,OR(TH!N6594="1111",TH!O6594="1111")),TH!D6594,""),"")</f>
        <v/>
      </c>
      <c r="B6594" s="1163" t="str">
        <f t="shared" si="523"/>
        <v/>
      </c>
      <c r="C6594" s="61"/>
      <c r="D6594" s="61"/>
      <c r="E6594" s="61"/>
      <c r="F6594" s="64"/>
      <c r="G6594" s="64"/>
      <c r="H6594" s="69"/>
      <c r="I6594" s="385"/>
      <c r="J6594" s="392"/>
      <c r="K6594" s="385"/>
      <c r="L6594" s="392"/>
      <c r="M6594" s="62"/>
      <c r="N6594" s="63"/>
      <c r="O6594" s="63"/>
      <c r="P6594" s="79" t="str">
        <f>IF(AND('331-CT'!$E$7=TH!H6594,OR(N6594="331",O6594="331")),"x","")</f>
        <v/>
      </c>
      <c r="Q6594" s="79" t="str">
        <f>IF(AND(B6594='111'!$L$11,OR($N6594=$Q$7,$O6594=$Q$7)),"x","")</f>
        <v/>
      </c>
      <c r="R6594" s="79" t="str">
        <f>IF(AND($N6594=$Q$7,$B6594&lt;'111'!$L$11),"x","")</f>
        <v/>
      </c>
      <c r="S6594" s="79" t="str">
        <f>IF(AND($O6594=$Q$7,$B6594&lt;'111'!$L$11),"x","")</f>
        <v/>
      </c>
      <c r="T6594" s="79" t="str">
        <f>IF(ISERROR(FIND('112'!$M$9,G6594,1)),"",IF((AND(FIND('112'!$M$9,G6594,1)&gt;=1,B6594='112'!$K$9,OR($N6594='112'!$I$6,$O6594='112'!$I$6))),"x",""))</f>
        <v/>
      </c>
      <c r="U6594" s="79" t="str">
        <f>IF(ISERROR(FIND('112'!$M$9,G6594,1)),"",IF((AND(LEFT(G6594,2)=LEFT('112'!$M$9,2),B6594&lt;'112'!$K$9,$N6594='112'!$I$6)),"x",""))</f>
        <v/>
      </c>
      <c r="V6594" s="79" t="str">
        <f>IF(ISERROR(FIND('112'!$M$9,G6594,1)),"",IF((AND(RIGHT(G6594,2)=RIGHT('112'!$M$9,2),B6594&lt;'112'!$K$9,$O6594='112'!$I$6)),"x",""))</f>
        <v/>
      </c>
      <c r="W6594" s="79" t="str">
        <f>IF(AND('341-CT'!$H$9=H6594,OR(LEFT(N6594,3)=$W$7,LEFT(O6594,3)=$W$7)),"x","")</f>
        <v/>
      </c>
      <c r="X6594" s="79" t="str">
        <f>IF(OR(TH!N6594=TH!$X$7,O6594=TH!$X$7),"x","")</f>
        <v/>
      </c>
      <c r="Y6594" s="79" t="str">
        <f>IF(AND(OR(N6594="131",O6594="131"),H6594='131-CT'!$H$9),"x","")</f>
        <v/>
      </c>
      <c r="Z6594" s="79"/>
      <c r="AA6594" s="79" t="str">
        <f>IF(AND(MONTH(E6594)='IN-NX'!$J$5,'IN-NX'!$D$7=D6594),"x","")</f>
        <v/>
      </c>
      <c r="AB6594" s="79" t="str">
        <f>IF(AND(OR(LEFT(TH!N6594,2)="15",LEFT(TH!O6594,2)="15"),LEFT(TH!O6594,3)&lt;&gt;"111",'152-CT'!$J$8=TH!F6594),"x","")</f>
        <v/>
      </c>
      <c r="AC6594" s="79" t="str">
        <f>IF(AND(OR(LEFT(TH!N6594,2)="15",LEFT(TH!O6594,2)="15"),TK!$E$7=TH!F6594),"x","")</f>
        <v/>
      </c>
      <c r="AD6594" s="79" t="str">
        <f>IF(AND(N6594="1521",MONTH(C6594)='BK-NL'!$M$11),"x","")</f>
        <v/>
      </c>
    </row>
    <row r="6595" spans="1:30" ht="16.5" customHeight="1">
      <c r="A6595" s="318" t="str">
        <f>IF(B6595&lt;&gt;"",IF(AND(B6595='IN-TC'!$S$4,OR(TH!N6595="1111",TH!O6595="1111")),TH!D6595,""),"")</f>
        <v/>
      </c>
      <c r="B6595" s="1163" t="str">
        <f t="shared" ref="B6595:B6658" si="524">IF(C6595&lt;&gt;"",MONTH(C6595),"")</f>
        <v/>
      </c>
      <c r="C6595" s="61"/>
      <c r="D6595" s="61"/>
      <c r="E6595" s="61"/>
      <c r="F6595" s="69"/>
      <c r="G6595" s="64"/>
      <c r="H6595" s="69"/>
      <c r="I6595" s="385"/>
      <c r="J6595" s="392"/>
      <c r="K6595" s="385"/>
      <c r="L6595" s="392"/>
      <c r="M6595" s="62"/>
      <c r="N6595" s="63"/>
      <c r="O6595" s="63"/>
      <c r="P6595" s="79" t="str">
        <f>IF(AND('331-CT'!$E$7=TH!H6595,OR(N6595="331",O6595="331")),"x","")</f>
        <v/>
      </c>
      <c r="Q6595" s="79" t="str">
        <f>IF(AND(B6595='111'!$L$11,OR($N6595=$Q$7,$O6595=$Q$7)),"x","")</f>
        <v/>
      </c>
      <c r="R6595" s="79" t="str">
        <f>IF(AND($N6595=$Q$7,$B6595&lt;'111'!$L$11),"x","")</f>
        <v/>
      </c>
      <c r="S6595" s="79" t="str">
        <f>IF(AND($O6595=$Q$7,$B6595&lt;'111'!$L$11),"x","")</f>
        <v/>
      </c>
      <c r="T6595" s="79" t="str">
        <f>IF(ISERROR(FIND('112'!$M$9,G6595,1)),"",IF((AND(FIND('112'!$M$9,G6595,1)&gt;=1,B6595='112'!$K$9,OR($N6595='112'!$I$6,$O6595='112'!$I$6))),"x",""))</f>
        <v/>
      </c>
      <c r="U6595" s="79" t="str">
        <f>IF(ISERROR(FIND('112'!$M$9,G6595,1)),"",IF((AND(LEFT(G6595,2)=LEFT('112'!$M$9,2),B6595&lt;'112'!$K$9,$N6595='112'!$I$6)),"x",""))</f>
        <v/>
      </c>
      <c r="V6595" s="79" t="str">
        <f>IF(ISERROR(FIND('112'!$M$9,G6595,1)),"",IF((AND(RIGHT(G6595,2)=RIGHT('112'!$M$9,2),B6595&lt;'112'!$K$9,$O6595='112'!$I$6)),"x",""))</f>
        <v/>
      </c>
      <c r="W6595" s="79" t="str">
        <f>IF(AND('341-CT'!$H$9=H6595,OR(LEFT(N6595,3)=$W$7,LEFT(O6595,3)=$W$7)),"x","")</f>
        <v/>
      </c>
      <c r="X6595" s="79" t="str">
        <f>IF(OR(TH!N6595=TH!$X$7,O6595=TH!$X$7),"x","")</f>
        <v/>
      </c>
      <c r="Y6595" s="79" t="str">
        <f>IF(AND(OR(N6595="131",O6595="131"),H6595='131-CT'!$H$9),"x","")</f>
        <v/>
      </c>
      <c r="Z6595" s="79"/>
      <c r="AA6595" s="79" t="str">
        <f>IF(AND(MONTH(E6595)='IN-NX'!$J$5,'IN-NX'!$D$7=D6595),"x","")</f>
        <v/>
      </c>
      <c r="AB6595" s="79" t="str">
        <f>IF(AND(OR(LEFT(TH!N6595,2)="15",LEFT(TH!O6595,2)="15"),LEFT(TH!O6595,3)&lt;&gt;"111",'152-CT'!$J$8=TH!F6595),"x","")</f>
        <v/>
      </c>
      <c r="AC6595" s="79" t="str">
        <f>IF(AND(OR(LEFT(TH!N6595,2)="15",LEFT(TH!O6595,2)="15"),TK!$E$7=TH!F6595),"x","")</f>
        <v/>
      </c>
      <c r="AD6595" s="79" t="str">
        <f>IF(AND(N6595="1521",MONTH(C6595)='BK-NL'!$M$11),"x","")</f>
        <v/>
      </c>
    </row>
    <row r="6596" spans="1:30" ht="16.5" customHeight="1">
      <c r="A6596" s="318" t="str">
        <f>IF(B6596&lt;&gt;"",IF(AND(B6596='IN-TC'!$S$4,OR(TH!N6596="1111",TH!O6596="1111")),TH!D6596,""),"")</f>
        <v/>
      </c>
      <c r="B6596" s="1163" t="str">
        <f t="shared" si="524"/>
        <v/>
      </c>
      <c r="C6596" s="61"/>
      <c r="D6596" s="61"/>
      <c r="E6596" s="61"/>
      <c r="F6596" s="64"/>
      <c r="G6596" s="64"/>
      <c r="H6596" s="69"/>
      <c r="I6596" s="385"/>
      <c r="J6596" s="392"/>
      <c r="K6596" s="385"/>
      <c r="L6596" s="392"/>
      <c r="M6596" s="62"/>
      <c r="N6596" s="63"/>
      <c r="O6596" s="63"/>
      <c r="P6596" s="79" t="str">
        <f>IF(AND('331-CT'!$E$7=TH!H6596,OR(N6596="331",O6596="331")),"x","")</f>
        <v/>
      </c>
      <c r="Q6596" s="79" t="str">
        <f>IF(AND(B6596='111'!$L$11,OR($N6596=$Q$7,$O6596=$Q$7)),"x","")</f>
        <v/>
      </c>
      <c r="R6596" s="79" t="str">
        <f>IF(AND($N6596=$Q$7,$B6596&lt;'111'!$L$11),"x","")</f>
        <v/>
      </c>
      <c r="S6596" s="79" t="str">
        <f>IF(AND($O6596=$Q$7,$B6596&lt;'111'!$L$11),"x","")</f>
        <v/>
      </c>
      <c r="T6596" s="79" t="str">
        <f>IF(ISERROR(FIND('112'!$M$9,G6596,1)),"",IF((AND(FIND('112'!$M$9,G6596,1)&gt;=1,B6596='112'!$K$9,OR($N6596='112'!$I$6,$O6596='112'!$I$6))),"x",""))</f>
        <v/>
      </c>
      <c r="U6596" s="79" t="str">
        <f>IF(ISERROR(FIND('112'!$M$9,G6596,1)),"",IF((AND(LEFT(G6596,2)=LEFT('112'!$M$9,2),B6596&lt;'112'!$K$9,$N6596='112'!$I$6)),"x",""))</f>
        <v/>
      </c>
      <c r="V6596" s="79" t="str">
        <f>IF(ISERROR(FIND('112'!$M$9,G6596,1)),"",IF((AND(RIGHT(G6596,2)=RIGHT('112'!$M$9,2),B6596&lt;'112'!$K$9,$O6596='112'!$I$6)),"x",""))</f>
        <v/>
      </c>
      <c r="W6596" s="79" t="str">
        <f>IF(AND('341-CT'!$H$9=H6596,OR(LEFT(N6596,3)=$W$7,LEFT(O6596,3)=$W$7)),"x","")</f>
        <v/>
      </c>
      <c r="X6596" s="79" t="str">
        <f>IF(OR(TH!N6596=TH!$X$7,O6596=TH!$X$7),"x","")</f>
        <v/>
      </c>
      <c r="Y6596" s="79" t="str">
        <f>IF(AND(OR(N6596="131",O6596="131"),H6596='131-CT'!$H$9),"x","")</f>
        <v/>
      </c>
      <c r="Z6596" s="79"/>
      <c r="AA6596" s="79" t="str">
        <f>IF(AND(MONTH(E6596)='IN-NX'!$J$5,'IN-NX'!$D$7=D6596),"x","")</f>
        <v/>
      </c>
      <c r="AB6596" s="79" t="str">
        <f>IF(AND(OR(LEFT(TH!N6596,2)="15",LEFT(TH!O6596,2)="15"),LEFT(TH!O6596,3)&lt;&gt;"111",'152-CT'!$J$8=TH!F6596),"x","")</f>
        <v/>
      </c>
      <c r="AC6596" s="79" t="str">
        <f>IF(AND(OR(LEFT(TH!N6596,2)="15",LEFT(TH!O6596,2)="15"),TK!$E$7=TH!F6596),"x","")</f>
        <v/>
      </c>
      <c r="AD6596" s="79" t="str">
        <f>IF(AND(N6596="1521",MONTH(C6596)='BK-NL'!$M$11),"x","")</f>
        <v/>
      </c>
    </row>
    <row r="6597" spans="1:30" ht="16.5" customHeight="1">
      <c r="A6597" s="318" t="str">
        <f>IF(B6597&lt;&gt;"",IF(AND(B6597='IN-TC'!$S$4,OR(TH!N6597="1111",TH!O6597="1111")),TH!D6597,""),"")</f>
        <v/>
      </c>
      <c r="B6597" s="1163" t="str">
        <f t="shared" si="524"/>
        <v/>
      </c>
      <c r="C6597" s="61"/>
      <c r="D6597" s="61"/>
      <c r="E6597" s="61"/>
      <c r="F6597" s="64"/>
      <c r="G6597" s="64"/>
      <c r="H6597" s="69"/>
      <c r="I6597" s="385"/>
      <c r="J6597" s="392"/>
      <c r="K6597" s="385"/>
      <c r="L6597" s="392"/>
      <c r="M6597" s="62"/>
      <c r="N6597" s="63"/>
      <c r="O6597" s="63"/>
      <c r="P6597" s="79" t="str">
        <f>IF(AND('331-CT'!$E$7=TH!H6597,OR(N6597="331",O6597="331")),"x","")</f>
        <v/>
      </c>
      <c r="Q6597" s="79" t="str">
        <f>IF(AND(B6597='111'!$L$11,OR($N6597=$Q$7,$O6597=$Q$7)),"x","")</f>
        <v/>
      </c>
      <c r="R6597" s="79" t="str">
        <f>IF(AND($N6597=$Q$7,$B6597&lt;'111'!$L$11),"x","")</f>
        <v/>
      </c>
      <c r="S6597" s="79" t="str">
        <f>IF(AND($O6597=$Q$7,$B6597&lt;'111'!$L$11),"x","")</f>
        <v/>
      </c>
      <c r="T6597" s="79" t="str">
        <f>IF(ISERROR(FIND('112'!$M$9,G6597,1)),"",IF((AND(FIND('112'!$M$9,G6597,1)&gt;=1,B6597='112'!$K$9,OR($N6597='112'!$I$6,$O6597='112'!$I$6))),"x",""))</f>
        <v/>
      </c>
      <c r="U6597" s="79" t="str">
        <f>IF(ISERROR(FIND('112'!$M$9,G6597,1)),"",IF((AND(LEFT(G6597,2)=LEFT('112'!$M$9,2),B6597&lt;'112'!$K$9,$N6597='112'!$I$6)),"x",""))</f>
        <v/>
      </c>
      <c r="V6597" s="79" t="str">
        <f>IF(ISERROR(FIND('112'!$M$9,G6597,1)),"",IF((AND(RIGHT(G6597,2)=RIGHT('112'!$M$9,2),B6597&lt;'112'!$K$9,$O6597='112'!$I$6)),"x",""))</f>
        <v/>
      </c>
      <c r="W6597" s="79" t="str">
        <f>IF(AND('341-CT'!$H$9=H6597,OR(LEFT(N6597,3)=$W$7,LEFT(O6597,3)=$W$7)),"x","")</f>
        <v/>
      </c>
      <c r="X6597" s="79" t="str">
        <f>IF(OR(TH!N6597=TH!$X$7,O6597=TH!$X$7),"x","")</f>
        <v/>
      </c>
      <c r="Y6597" s="79" t="str">
        <f>IF(AND(OR(N6597="131",O6597="131"),H6597='131-CT'!$H$9),"x","")</f>
        <v/>
      </c>
      <c r="Z6597" s="79"/>
      <c r="AA6597" s="79" t="str">
        <f>IF(AND(MONTH(E6597)='IN-NX'!$J$5,'IN-NX'!$D$7=D6597),"x","")</f>
        <v/>
      </c>
      <c r="AB6597" s="79" t="str">
        <f>IF(AND(OR(LEFT(TH!N6597,2)="15",LEFT(TH!O6597,2)="15"),LEFT(TH!O6597,3)&lt;&gt;"111",'152-CT'!$J$8=TH!F6597),"x","")</f>
        <v/>
      </c>
      <c r="AC6597" s="79" t="str">
        <f>IF(AND(OR(LEFT(TH!N6597,2)="15",LEFT(TH!O6597,2)="15"),TK!$E$7=TH!F6597),"x","")</f>
        <v/>
      </c>
      <c r="AD6597" s="79" t="str">
        <f>IF(AND(N6597="1521",MONTH(C6597)='BK-NL'!$M$11),"x","")</f>
        <v/>
      </c>
    </row>
    <row r="6598" spans="1:30" ht="16.5" customHeight="1">
      <c r="A6598" s="318" t="str">
        <f>IF(B6598&lt;&gt;"",IF(AND(B6598='IN-TC'!$S$4,OR(TH!N6598="1111",TH!O6598="1111")),TH!D6598,""),"")</f>
        <v/>
      </c>
      <c r="B6598" s="1163" t="str">
        <f t="shared" si="524"/>
        <v/>
      </c>
      <c r="C6598" s="61"/>
      <c r="D6598" s="61"/>
      <c r="E6598" s="61"/>
      <c r="F6598" s="69"/>
      <c r="G6598" s="64"/>
      <c r="H6598" s="69"/>
      <c r="I6598" s="385"/>
      <c r="J6598" s="392"/>
      <c r="K6598" s="385"/>
      <c r="L6598" s="392"/>
      <c r="M6598" s="62"/>
      <c r="N6598" s="63"/>
      <c r="O6598" s="63"/>
      <c r="P6598" s="79" t="str">
        <f>IF(AND('331-CT'!$E$7=TH!H6598,OR(N6598="331",O6598="331")),"x","")</f>
        <v/>
      </c>
      <c r="Q6598" s="79" t="str">
        <f>IF(AND(B6598='111'!$L$11,OR($N6598=$Q$7,$O6598=$Q$7)),"x","")</f>
        <v/>
      </c>
      <c r="R6598" s="79" t="str">
        <f>IF(AND($N6598=$Q$7,$B6598&lt;'111'!$L$11),"x","")</f>
        <v/>
      </c>
      <c r="S6598" s="79" t="str">
        <f>IF(AND($O6598=$Q$7,$B6598&lt;'111'!$L$11),"x","")</f>
        <v/>
      </c>
      <c r="T6598" s="79" t="str">
        <f>IF(ISERROR(FIND('112'!$M$9,G6598,1)),"",IF((AND(FIND('112'!$M$9,G6598,1)&gt;=1,B6598='112'!$K$9,OR($N6598='112'!$I$6,$O6598='112'!$I$6))),"x",""))</f>
        <v/>
      </c>
      <c r="U6598" s="79" t="str">
        <f>IF(ISERROR(FIND('112'!$M$9,G6598,1)),"",IF((AND(LEFT(G6598,2)=LEFT('112'!$M$9,2),B6598&lt;'112'!$K$9,$N6598='112'!$I$6)),"x",""))</f>
        <v/>
      </c>
      <c r="V6598" s="79" t="str">
        <f>IF(ISERROR(FIND('112'!$M$9,G6598,1)),"",IF((AND(RIGHT(G6598,2)=RIGHT('112'!$M$9,2),B6598&lt;'112'!$K$9,$O6598='112'!$I$6)),"x",""))</f>
        <v/>
      </c>
      <c r="W6598" s="79" t="str">
        <f>IF(AND('341-CT'!$H$9=H6598,OR(LEFT(N6598,3)=$W$7,LEFT(O6598,3)=$W$7)),"x","")</f>
        <v/>
      </c>
      <c r="X6598" s="79" t="str">
        <f>IF(OR(TH!N6598=TH!$X$7,O6598=TH!$X$7),"x","")</f>
        <v/>
      </c>
      <c r="Y6598" s="79" t="str">
        <f>IF(AND(OR(N6598="131",O6598="131"),H6598='131-CT'!$H$9),"x","")</f>
        <v/>
      </c>
      <c r="Z6598" s="79"/>
      <c r="AA6598" s="79" t="str">
        <f>IF(AND(MONTH(E6598)='IN-NX'!$J$5,'IN-NX'!$D$7=D6598),"x","")</f>
        <v/>
      </c>
      <c r="AB6598" s="79" t="str">
        <f>IF(AND(OR(LEFT(TH!N6598,2)="15",LEFT(TH!O6598,2)="15"),LEFT(TH!O6598,3)&lt;&gt;"111",'152-CT'!$J$8=TH!F6598),"x","")</f>
        <v/>
      </c>
      <c r="AC6598" s="79" t="str">
        <f>IF(AND(OR(LEFT(TH!N6598,2)="15",LEFT(TH!O6598,2)="15"),TK!$E$7=TH!F6598),"x","")</f>
        <v/>
      </c>
      <c r="AD6598" s="79" t="str">
        <f>IF(AND(N6598="1521",MONTH(C6598)='BK-NL'!$M$11),"x","")</f>
        <v/>
      </c>
    </row>
    <row r="6599" spans="1:30" ht="16.5" customHeight="1">
      <c r="A6599" s="318" t="str">
        <f>IF(B6599&lt;&gt;"",IF(AND(B6599='IN-TC'!$S$4,OR(TH!N6599="1111",TH!O6599="1111")),TH!D6599,""),"")</f>
        <v/>
      </c>
      <c r="B6599" s="1163" t="str">
        <f t="shared" si="524"/>
        <v/>
      </c>
      <c r="C6599" s="61"/>
      <c r="D6599" s="61"/>
      <c r="E6599" s="61"/>
      <c r="F6599" s="64"/>
      <c r="G6599" s="64"/>
      <c r="H6599" s="69"/>
      <c r="I6599" s="385"/>
      <c r="J6599" s="392"/>
      <c r="K6599" s="385"/>
      <c r="L6599" s="392"/>
      <c r="M6599" s="62"/>
      <c r="N6599" s="63"/>
      <c r="O6599" s="63"/>
      <c r="P6599" s="79" t="str">
        <f>IF(AND('331-CT'!$E$7=TH!H6599,OR(N6599="331",O6599="331")),"x","")</f>
        <v/>
      </c>
      <c r="Q6599" s="79" t="str">
        <f>IF(AND(B6599='111'!$L$11,OR($N6599=$Q$7,$O6599=$Q$7)),"x","")</f>
        <v/>
      </c>
      <c r="R6599" s="79" t="str">
        <f>IF(AND($N6599=$Q$7,$B6599&lt;'111'!$L$11),"x","")</f>
        <v/>
      </c>
      <c r="S6599" s="79" t="str">
        <f>IF(AND($O6599=$Q$7,$B6599&lt;'111'!$L$11),"x","")</f>
        <v/>
      </c>
      <c r="T6599" s="79" t="str">
        <f>IF(ISERROR(FIND('112'!$M$9,G6599,1)),"",IF((AND(FIND('112'!$M$9,G6599,1)&gt;=1,B6599='112'!$K$9,OR($N6599='112'!$I$6,$O6599='112'!$I$6))),"x",""))</f>
        <v/>
      </c>
      <c r="U6599" s="79" t="str">
        <f>IF(ISERROR(FIND('112'!$M$9,G6599,1)),"",IF((AND(LEFT(G6599,2)=LEFT('112'!$M$9,2),B6599&lt;'112'!$K$9,$N6599='112'!$I$6)),"x",""))</f>
        <v/>
      </c>
      <c r="V6599" s="79" t="str">
        <f>IF(ISERROR(FIND('112'!$M$9,G6599,1)),"",IF((AND(RIGHT(G6599,2)=RIGHT('112'!$M$9,2),B6599&lt;'112'!$K$9,$O6599='112'!$I$6)),"x",""))</f>
        <v/>
      </c>
      <c r="W6599" s="79" t="str">
        <f>IF(AND('341-CT'!$H$9=H6599,OR(LEFT(N6599,3)=$W$7,LEFT(O6599,3)=$W$7)),"x","")</f>
        <v/>
      </c>
      <c r="X6599" s="79" t="str">
        <f>IF(OR(TH!N6599=TH!$X$7,O6599=TH!$X$7),"x","")</f>
        <v/>
      </c>
      <c r="Y6599" s="79" t="str">
        <f>IF(AND(OR(N6599="131",O6599="131"),H6599='131-CT'!$H$9),"x","")</f>
        <v/>
      </c>
      <c r="Z6599" s="79"/>
      <c r="AA6599" s="79" t="str">
        <f>IF(AND(MONTH(E6599)='IN-NX'!$J$5,'IN-NX'!$D$7=D6599),"x","")</f>
        <v/>
      </c>
      <c r="AB6599" s="79" t="str">
        <f>IF(AND(OR(LEFT(TH!N6599,2)="15",LEFT(TH!O6599,2)="15"),LEFT(TH!O6599,3)&lt;&gt;"111",'152-CT'!$J$8=TH!F6599),"x","")</f>
        <v/>
      </c>
      <c r="AC6599" s="79" t="str">
        <f>IF(AND(OR(LEFT(TH!N6599,2)="15",LEFT(TH!O6599,2)="15"),TK!$E$7=TH!F6599),"x","")</f>
        <v/>
      </c>
      <c r="AD6599" s="79" t="str">
        <f>IF(AND(N6599="1521",MONTH(C6599)='BK-NL'!$M$11),"x","")</f>
        <v/>
      </c>
    </row>
    <row r="6600" spans="1:30" ht="16.5" customHeight="1">
      <c r="A6600" s="318" t="str">
        <f>IF(B6600&lt;&gt;"",IF(AND(B6600='IN-TC'!$S$4,OR(TH!N6600="1111",TH!O6600="1111")),TH!D6600,""),"")</f>
        <v/>
      </c>
      <c r="B6600" s="1163" t="str">
        <f t="shared" si="524"/>
        <v/>
      </c>
      <c r="C6600" s="61"/>
      <c r="D6600" s="61"/>
      <c r="E6600" s="61"/>
      <c r="F6600" s="64"/>
      <c r="G6600" s="64"/>
      <c r="H6600" s="69"/>
      <c r="I6600" s="385"/>
      <c r="J6600" s="392"/>
      <c r="K6600" s="385"/>
      <c r="L6600" s="392"/>
      <c r="M6600" s="62"/>
      <c r="N6600" s="63"/>
      <c r="O6600" s="63"/>
      <c r="P6600" s="79" t="str">
        <f>IF(AND('331-CT'!$E$7=TH!H6600,OR(N6600="331",O6600="331")),"x","")</f>
        <v/>
      </c>
      <c r="Q6600" s="79" t="str">
        <f>IF(AND(B6600='111'!$L$11,OR($N6600=$Q$7,$O6600=$Q$7)),"x","")</f>
        <v/>
      </c>
      <c r="R6600" s="79" t="str">
        <f>IF(AND($N6600=$Q$7,$B6600&lt;'111'!$L$11),"x","")</f>
        <v/>
      </c>
      <c r="S6600" s="79" t="str">
        <f>IF(AND($O6600=$Q$7,$B6600&lt;'111'!$L$11),"x","")</f>
        <v/>
      </c>
      <c r="T6600" s="79" t="str">
        <f>IF(ISERROR(FIND('112'!$M$9,G6600,1)),"",IF((AND(FIND('112'!$M$9,G6600,1)&gt;=1,B6600='112'!$K$9,OR($N6600='112'!$I$6,$O6600='112'!$I$6))),"x",""))</f>
        <v/>
      </c>
      <c r="U6600" s="79" t="str">
        <f>IF(ISERROR(FIND('112'!$M$9,G6600,1)),"",IF((AND(LEFT(G6600,2)=LEFT('112'!$M$9,2),B6600&lt;'112'!$K$9,$N6600='112'!$I$6)),"x",""))</f>
        <v/>
      </c>
      <c r="V6600" s="79" t="str">
        <f>IF(ISERROR(FIND('112'!$M$9,G6600,1)),"",IF((AND(RIGHT(G6600,2)=RIGHT('112'!$M$9,2),B6600&lt;'112'!$K$9,$O6600='112'!$I$6)),"x",""))</f>
        <v/>
      </c>
      <c r="W6600" s="79" t="str">
        <f>IF(AND('341-CT'!$H$9=H6600,OR(LEFT(N6600,3)=$W$7,LEFT(O6600,3)=$W$7)),"x","")</f>
        <v/>
      </c>
      <c r="X6600" s="79" t="str">
        <f>IF(OR(TH!N6600=TH!$X$7,O6600=TH!$X$7),"x","")</f>
        <v/>
      </c>
      <c r="Y6600" s="79" t="str">
        <f>IF(AND(OR(N6600="131",O6600="131"),H6600='131-CT'!$H$9),"x","")</f>
        <v/>
      </c>
      <c r="Z6600" s="79"/>
      <c r="AA6600" s="79" t="str">
        <f>IF(AND(MONTH(E6600)='IN-NX'!$J$5,'IN-NX'!$D$7=D6600),"x","")</f>
        <v/>
      </c>
      <c r="AB6600" s="79" t="str">
        <f>IF(AND(OR(LEFT(TH!N6600,2)="15",LEFT(TH!O6600,2)="15"),LEFT(TH!O6600,3)&lt;&gt;"111",'152-CT'!$J$8=TH!F6600),"x","")</f>
        <v/>
      </c>
      <c r="AC6600" s="79" t="str">
        <f>IF(AND(OR(LEFT(TH!N6600,2)="15",LEFT(TH!O6600,2)="15"),TK!$E$7=TH!F6600),"x","")</f>
        <v/>
      </c>
      <c r="AD6600" s="79" t="str">
        <f>IF(AND(N6600="1521",MONTH(C6600)='BK-NL'!$M$11),"x","")</f>
        <v/>
      </c>
    </row>
    <row r="6601" spans="1:30" ht="16.5" customHeight="1">
      <c r="A6601" s="318" t="str">
        <f>IF(B6601&lt;&gt;"",IF(AND(B6601='IN-TC'!$S$4,OR(TH!N6601="1111",TH!O6601="1111")),TH!D6601,""),"")</f>
        <v/>
      </c>
      <c r="B6601" s="1163" t="str">
        <f t="shared" si="524"/>
        <v/>
      </c>
      <c r="C6601" s="61"/>
      <c r="D6601" s="61"/>
      <c r="E6601" s="61"/>
      <c r="F6601" s="69"/>
      <c r="G6601" s="64"/>
      <c r="H6601" s="69"/>
      <c r="I6601" s="385"/>
      <c r="J6601" s="392"/>
      <c r="K6601" s="385"/>
      <c r="L6601" s="392"/>
      <c r="M6601" s="62"/>
      <c r="N6601" s="63"/>
      <c r="O6601" s="63"/>
      <c r="P6601" s="79" t="str">
        <f>IF(AND('331-CT'!$E$7=TH!H6601,OR(N6601="331",O6601="331")),"x","")</f>
        <v/>
      </c>
      <c r="Q6601" s="79" t="str">
        <f>IF(AND(B6601='111'!$L$11,OR($N6601=$Q$7,$O6601=$Q$7)),"x","")</f>
        <v/>
      </c>
      <c r="R6601" s="79" t="str">
        <f>IF(AND($N6601=$Q$7,$B6601&lt;'111'!$L$11),"x","")</f>
        <v/>
      </c>
      <c r="S6601" s="79" t="str">
        <f>IF(AND($O6601=$Q$7,$B6601&lt;'111'!$L$11),"x","")</f>
        <v/>
      </c>
      <c r="T6601" s="79" t="str">
        <f>IF(ISERROR(FIND('112'!$M$9,G6601,1)),"",IF((AND(FIND('112'!$M$9,G6601,1)&gt;=1,B6601='112'!$K$9,OR($N6601='112'!$I$6,$O6601='112'!$I$6))),"x",""))</f>
        <v/>
      </c>
      <c r="U6601" s="79" t="str">
        <f>IF(ISERROR(FIND('112'!$M$9,G6601,1)),"",IF((AND(LEFT(G6601,2)=LEFT('112'!$M$9,2),B6601&lt;'112'!$K$9,$N6601='112'!$I$6)),"x",""))</f>
        <v/>
      </c>
      <c r="V6601" s="79" t="str">
        <f>IF(ISERROR(FIND('112'!$M$9,G6601,1)),"",IF((AND(RIGHT(G6601,2)=RIGHT('112'!$M$9,2),B6601&lt;'112'!$K$9,$O6601='112'!$I$6)),"x",""))</f>
        <v/>
      </c>
      <c r="W6601" s="79" t="str">
        <f>IF(AND('341-CT'!$H$9=H6601,OR(LEFT(N6601,3)=$W$7,LEFT(O6601,3)=$W$7)),"x","")</f>
        <v/>
      </c>
      <c r="X6601" s="79" t="str">
        <f>IF(OR(TH!N6601=TH!$X$7,O6601=TH!$X$7),"x","")</f>
        <v/>
      </c>
      <c r="Y6601" s="79" t="str">
        <f>IF(AND(OR(N6601="131",O6601="131"),H6601='131-CT'!$H$9),"x","")</f>
        <v/>
      </c>
      <c r="Z6601" s="79"/>
      <c r="AA6601" s="79" t="str">
        <f>IF(AND(MONTH(E6601)='IN-NX'!$J$5,'IN-NX'!$D$7=D6601),"x","")</f>
        <v/>
      </c>
      <c r="AB6601" s="79" t="str">
        <f>IF(AND(OR(LEFT(TH!N6601,2)="15",LEFT(TH!O6601,2)="15"),LEFT(TH!O6601,3)&lt;&gt;"111",'152-CT'!$J$8=TH!F6601),"x","")</f>
        <v/>
      </c>
      <c r="AC6601" s="79" t="str">
        <f>IF(AND(OR(LEFT(TH!N6601,2)="15",LEFT(TH!O6601,2)="15"),TK!$E$7=TH!F6601),"x","")</f>
        <v/>
      </c>
      <c r="AD6601" s="79" t="str">
        <f>IF(AND(N6601="1521",MONTH(C6601)='BK-NL'!$M$11),"x","")</f>
        <v/>
      </c>
    </row>
    <row r="6602" spans="1:30" ht="16.5" customHeight="1">
      <c r="A6602" s="318" t="str">
        <f>IF(B6602&lt;&gt;"",IF(AND(B6602='IN-TC'!$S$4,OR(TH!N6602="1111",TH!O6602="1111")),TH!D6602,""),"")</f>
        <v/>
      </c>
      <c r="B6602" s="1163" t="str">
        <f t="shared" si="524"/>
        <v/>
      </c>
      <c r="C6602" s="61"/>
      <c r="D6602" s="61"/>
      <c r="E6602" s="61"/>
      <c r="F6602" s="69"/>
      <c r="G6602" s="64"/>
      <c r="H6602" s="321"/>
      <c r="I6602" s="385"/>
      <c r="J6602" s="392"/>
      <c r="K6602" s="385"/>
      <c r="L6602" s="392"/>
      <c r="M6602" s="62"/>
      <c r="N6602" s="63"/>
      <c r="O6602" s="63"/>
      <c r="P6602" s="79" t="str">
        <f>IF(AND('331-CT'!$E$7=TH!H6602,OR(N6602="331",O6602="331")),"x","")</f>
        <v/>
      </c>
      <c r="Q6602" s="79" t="str">
        <f>IF(AND(B6602='111'!$L$11,OR($N6602=$Q$7,$O6602=$Q$7)),"x","")</f>
        <v/>
      </c>
      <c r="R6602" s="79" t="str">
        <f>IF(AND($N6602=$Q$7,$B6602&lt;'111'!$L$11),"x","")</f>
        <v/>
      </c>
      <c r="S6602" s="79" t="str">
        <f>IF(AND($O6602=$Q$7,$B6602&lt;'111'!$L$11),"x","")</f>
        <v/>
      </c>
      <c r="T6602" s="79" t="str">
        <f>IF(ISERROR(FIND('112'!$M$9,G6602,1)),"",IF((AND(FIND('112'!$M$9,G6602,1)&gt;=1,B6602='112'!$K$9,OR($N6602='112'!$I$6,$O6602='112'!$I$6))),"x",""))</f>
        <v/>
      </c>
      <c r="U6602" s="79" t="str">
        <f>IF(ISERROR(FIND('112'!$M$9,G6602,1)),"",IF((AND(LEFT(G6602,2)=LEFT('112'!$M$9,2),B6602&lt;'112'!$K$9,$N6602='112'!$I$6)),"x",""))</f>
        <v/>
      </c>
      <c r="V6602" s="79" t="str">
        <f>IF(ISERROR(FIND('112'!$M$9,G6602,1)),"",IF((AND(RIGHT(G6602,2)=RIGHT('112'!$M$9,2),B6602&lt;'112'!$K$9,$O6602='112'!$I$6)),"x",""))</f>
        <v/>
      </c>
      <c r="W6602" s="79" t="str">
        <f>IF(AND('341-CT'!$H$9=H6602,OR(LEFT(N6602,3)=$W$7,LEFT(O6602,3)=$W$7)),"x","")</f>
        <v/>
      </c>
      <c r="X6602" s="79" t="str">
        <f>IF(OR(TH!N6602=TH!$X$7,O6602=TH!$X$7),"x","")</f>
        <v/>
      </c>
      <c r="Y6602" s="79" t="str">
        <f>IF(AND(OR(N6602="131",O6602="131"),H6602='131-CT'!$H$9),"x","")</f>
        <v/>
      </c>
      <c r="Z6602" s="79"/>
      <c r="AA6602" s="79" t="str">
        <f>IF(AND(MONTH(E6602)='IN-NX'!$J$5,'IN-NX'!$D$7=D6602),"x","")</f>
        <v/>
      </c>
      <c r="AB6602" s="79" t="str">
        <f>IF(AND(OR(LEFT(TH!N6602,2)="15",LEFT(TH!O6602,2)="15"),LEFT(TH!O6602,3)&lt;&gt;"111",'152-CT'!$J$8=TH!F6602),"x","")</f>
        <v/>
      </c>
      <c r="AC6602" s="79" t="str">
        <f>IF(AND(OR(LEFT(TH!N6602,2)="15",LEFT(TH!O6602,2)="15"),TK!$E$7=TH!F6602),"x","")</f>
        <v/>
      </c>
      <c r="AD6602" s="79" t="str">
        <f>IF(AND(N6602="1521",MONTH(C6602)='BK-NL'!$M$11),"x","")</f>
        <v/>
      </c>
    </row>
    <row r="6603" spans="1:30" ht="16.5" customHeight="1">
      <c r="A6603" s="318" t="str">
        <f>IF(B6603&lt;&gt;"",IF(AND(B6603='IN-TC'!$S$4,OR(TH!N6603="1111",TH!O6603="1111")),TH!D6603,""),"")</f>
        <v/>
      </c>
      <c r="B6603" s="1163" t="str">
        <f t="shared" si="524"/>
        <v/>
      </c>
      <c r="C6603" s="61"/>
      <c r="D6603" s="61"/>
      <c r="E6603" s="61"/>
      <c r="F6603" s="64"/>
      <c r="G6603" s="64"/>
      <c r="H6603" s="69"/>
      <c r="I6603" s="385"/>
      <c r="J6603" s="392"/>
      <c r="K6603" s="385"/>
      <c r="L6603" s="392"/>
      <c r="M6603" s="62"/>
      <c r="N6603" s="63"/>
      <c r="O6603" s="63"/>
      <c r="P6603" s="79" t="str">
        <f>IF(AND('331-CT'!$E$7=TH!H6603,OR(N6603="331",O6603="331")),"x","")</f>
        <v/>
      </c>
      <c r="Q6603" s="79" t="str">
        <f>IF(AND(B6603='111'!$L$11,OR($N6603=$Q$7,$O6603=$Q$7)),"x","")</f>
        <v/>
      </c>
      <c r="R6603" s="79" t="str">
        <f>IF(AND($N6603=$Q$7,$B6603&lt;'111'!$L$11),"x","")</f>
        <v/>
      </c>
      <c r="S6603" s="79" t="str">
        <f>IF(AND($O6603=$Q$7,$B6603&lt;'111'!$L$11),"x","")</f>
        <v/>
      </c>
      <c r="T6603" s="79" t="str">
        <f>IF(ISERROR(FIND('112'!$M$9,G6603,1)),"",IF((AND(FIND('112'!$M$9,G6603,1)&gt;=1,B6603='112'!$K$9,OR($N6603='112'!$I$6,$O6603='112'!$I$6))),"x",""))</f>
        <v/>
      </c>
      <c r="U6603" s="79" t="str">
        <f>IF(ISERROR(FIND('112'!$M$9,G6603,1)),"",IF((AND(LEFT(G6603,2)=LEFT('112'!$M$9,2),B6603&lt;'112'!$K$9,$N6603='112'!$I$6)),"x",""))</f>
        <v/>
      </c>
      <c r="V6603" s="79" t="str">
        <f>IF(ISERROR(FIND('112'!$M$9,G6603,1)),"",IF((AND(RIGHT(G6603,2)=RIGHT('112'!$M$9,2),B6603&lt;'112'!$K$9,$O6603='112'!$I$6)),"x",""))</f>
        <v/>
      </c>
      <c r="W6603" s="79" t="str">
        <f>IF(AND('341-CT'!$H$9=H6603,OR(LEFT(N6603,3)=$W$7,LEFT(O6603,3)=$W$7)),"x","")</f>
        <v/>
      </c>
      <c r="X6603" s="79" t="str">
        <f>IF(OR(TH!N6603=TH!$X$7,O6603=TH!$X$7),"x","")</f>
        <v/>
      </c>
      <c r="Y6603" s="79" t="str">
        <f>IF(AND(OR(N6603="131",O6603="131"),H6603='131-CT'!$H$9),"x","")</f>
        <v/>
      </c>
      <c r="Z6603" s="79"/>
      <c r="AA6603" s="79" t="str">
        <f>IF(AND(MONTH(E6603)='IN-NX'!$J$5,'IN-NX'!$D$7=D6603),"x","")</f>
        <v/>
      </c>
      <c r="AB6603" s="79" t="str">
        <f>IF(AND(OR(LEFT(TH!N6603,2)="15",LEFT(TH!O6603,2)="15"),LEFT(TH!O6603,3)&lt;&gt;"111",'152-CT'!$J$8=TH!F6603),"x","")</f>
        <v/>
      </c>
      <c r="AC6603" s="79" t="str">
        <f>IF(AND(OR(LEFT(TH!N6603,2)="15",LEFT(TH!O6603,2)="15"),TK!$E$7=TH!F6603),"x","")</f>
        <v/>
      </c>
      <c r="AD6603" s="79" t="str">
        <f>IF(AND(N6603="1521",MONTH(C6603)='BK-NL'!$M$11),"x","")</f>
        <v/>
      </c>
    </row>
    <row r="6604" spans="1:30" ht="16.5" customHeight="1">
      <c r="A6604" s="318" t="str">
        <f>IF(B6604&lt;&gt;"",IF(AND(B6604='IN-TC'!$S$4,OR(TH!N6604="1111",TH!O6604="1111")),TH!D6604,""),"")</f>
        <v/>
      </c>
      <c r="B6604" s="1163" t="str">
        <f t="shared" si="524"/>
        <v/>
      </c>
      <c r="C6604" s="61"/>
      <c r="D6604" s="61"/>
      <c r="E6604" s="61"/>
      <c r="F6604" s="64"/>
      <c r="G6604" s="64"/>
      <c r="H6604" s="69"/>
      <c r="I6604" s="385"/>
      <c r="J6604" s="392"/>
      <c r="K6604" s="385"/>
      <c r="L6604" s="392"/>
      <c r="M6604" s="62"/>
      <c r="N6604" s="63"/>
      <c r="O6604" s="63"/>
      <c r="P6604" s="79" t="str">
        <f>IF(AND('331-CT'!$E$7=TH!H6604,OR(N6604="331",O6604="331")),"x","")</f>
        <v/>
      </c>
      <c r="Q6604" s="79" t="str">
        <f>IF(AND(B6604='111'!$L$11,OR($N6604=$Q$7,$O6604=$Q$7)),"x","")</f>
        <v/>
      </c>
      <c r="R6604" s="79" t="str">
        <f>IF(AND($N6604=$Q$7,$B6604&lt;'111'!$L$11),"x","")</f>
        <v/>
      </c>
      <c r="S6604" s="79" t="str">
        <f>IF(AND($O6604=$Q$7,$B6604&lt;'111'!$L$11),"x","")</f>
        <v/>
      </c>
      <c r="T6604" s="79" t="str">
        <f>IF(ISERROR(FIND('112'!$M$9,G6604,1)),"",IF((AND(FIND('112'!$M$9,G6604,1)&gt;=1,B6604='112'!$K$9,OR($N6604='112'!$I$6,$O6604='112'!$I$6))),"x",""))</f>
        <v/>
      </c>
      <c r="U6604" s="79" t="str">
        <f>IF(ISERROR(FIND('112'!$M$9,G6604,1)),"",IF((AND(LEFT(G6604,2)=LEFT('112'!$M$9,2),B6604&lt;'112'!$K$9,$N6604='112'!$I$6)),"x",""))</f>
        <v/>
      </c>
      <c r="V6604" s="79" t="str">
        <f>IF(ISERROR(FIND('112'!$M$9,G6604,1)),"",IF((AND(RIGHT(G6604,2)=RIGHT('112'!$M$9,2),B6604&lt;'112'!$K$9,$O6604='112'!$I$6)),"x",""))</f>
        <v/>
      </c>
      <c r="W6604" s="79" t="str">
        <f>IF(AND('341-CT'!$H$9=H6604,OR(LEFT(N6604,3)=$W$7,LEFT(O6604,3)=$W$7)),"x","")</f>
        <v/>
      </c>
      <c r="X6604" s="79" t="str">
        <f>IF(OR(TH!N6604=TH!$X$7,O6604=TH!$X$7),"x","")</f>
        <v/>
      </c>
      <c r="Y6604" s="79" t="str">
        <f>IF(AND(OR(N6604="131",O6604="131"),H6604='131-CT'!$H$9),"x","")</f>
        <v/>
      </c>
      <c r="Z6604" s="79"/>
      <c r="AA6604" s="79" t="str">
        <f>IF(AND(MONTH(E6604)='IN-NX'!$J$5,'IN-NX'!$D$7=D6604),"x","")</f>
        <v/>
      </c>
      <c r="AB6604" s="79" t="str">
        <f>IF(AND(OR(LEFT(TH!N6604,2)="15",LEFT(TH!O6604,2)="15"),LEFT(TH!O6604,3)&lt;&gt;"111",'152-CT'!$J$8=TH!F6604),"x","")</f>
        <v/>
      </c>
      <c r="AC6604" s="79" t="str">
        <f>IF(AND(OR(LEFT(TH!N6604,2)="15",LEFT(TH!O6604,2)="15"),TK!$E$7=TH!F6604),"x","")</f>
        <v/>
      </c>
      <c r="AD6604" s="79" t="str">
        <f>IF(AND(N6604="1521",MONTH(C6604)='BK-NL'!$M$11),"x","")</f>
        <v/>
      </c>
    </row>
    <row r="6605" spans="1:30" ht="16.5" customHeight="1">
      <c r="A6605" s="318" t="str">
        <f>IF(B6605&lt;&gt;"",IF(AND(B6605='IN-TC'!$S$4,OR(TH!N6605="1111",TH!O6605="1111")),TH!D6605,""),"")</f>
        <v/>
      </c>
      <c r="B6605" s="1163" t="str">
        <f t="shared" si="524"/>
        <v/>
      </c>
      <c r="C6605" s="61"/>
      <c r="D6605" s="61"/>
      <c r="E6605" s="61"/>
      <c r="F6605" s="69"/>
      <c r="G6605" s="64"/>
      <c r="H6605" s="321"/>
      <c r="I6605" s="385"/>
      <c r="J6605" s="392"/>
      <c r="K6605" s="385"/>
      <c r="L6605" s="392"/>
      <c r="M6605" s="62"/>
      <c r="N6605" s="63"/>
      <c r="O6605" s="63"/>
      <c r="P6605" s="79" t="str">
        <f>IF(AND('331-CT'!$E$7=TH!H6605,OR(N6605="331",O6605="331")),"x","")</f>
        <v/>
      </c>
      <c r="Q6605" s="79" t="str">
        <f>IF(AND(B6605='111'!$L$11,OR($N6605=$Q$7,$O6605=$Q$7)),"x","")</f>
        <v/>
      </c>
      <c r="R6605" s="79" t="str">
        <f>IF(AND($N6605=$Q$7,$B6605&lt;'111'!$L$11),"x","")</f>
        <v/>
      </c>
      <c r="S6605" s="79" t="str">
        <f>IF(AND($O6605=$Q$7,$B6605&lt;'111'!$L$11),"x","")</f>
        <v/>
      </c>
      <c r="T6605" s="79" t="str">
        <f>IF(ISERROR(FIND('112'!$M$9,G6605,1)),"",IF((AND(FIND('112'!$M$9,G6605,1)&gt;=1,B6605='112'!$K$9,OR($N6605='112'!$I$6,$O6605='112'!$I$6))),"x",""))</f>
        <v/>
      </c>
      <c r="U6605" s="79" t="str">
        <f>IF(ISERROR(FIND('112'!$M$9,G6605,1)),"",IF((AND(LEFT(G6605,2)=LEFT('112'!$M$9,2),B6605&lt;'112'!$K$9,$N6605='112'!$I$6)),"x",""))</f>
        <v/>
      </c>
      <c r="V6605" s="79" t="str">
        <f>IF(ISERROR(FIND('112'!$M$9,G6605,1)),"",IF((AND(RIGHT(G6605,2)=RIGHT('112'!$M$9,2),B6605&lt;'112'!$K$9,$O6605='112'!$I$6)),"x",""))</f>
        <v/>
      </c>
      <c r="W6605" s="79" t="str">
        <f>IF(AND('341-CT'!$H$9=H6605,OR(LEFT(N6605,3)=$W$7,LEFT(O6605,3)=$W$7)),"x","")</f>
        <v/>
      </c>
      <c r="X6605" s="79" t="str">
        <f>IF(OR(TH!N6605=TH!$X$7,O6605=TH!$X$7),"x","")</f>
        <v/>
      </c>
      <c r="Y6605" s="79" t="str">
        <f>IF(AND(OR(N6605="131",O6605="131"),H6605='131-CT'!$H$9),"x","")</f>
        <v/>
      </c>
      <c r="Z6605" s="79"/>
      <c r="AA6605" s="79" t="str">
        <f>IF(AND(MONTH(E6605)='IN-NX'!$J$5,'IN-NX'!$D$7=D6605),"x","")</f>
        <v/>
      </c>
      <c r="AB6605" s="79" t="str">
        <f>IF(AND(OR(LEFT(TH!N6605,2)="15",LEFT(TH!O6605,2)="15"),LEFT(TH!O6605,3)&lt;&gt;"111",'152-CT'!$J$8=TH!F6605),"x","")</f>
        <v/>
      </c>
      <c r="AC6605" s="79" t="str">
        <f>IF(AND(OR(LEFT(TH!N6605,2)="15",LEFT(TH!O6605,2)="15"),TK!$E$7=TH!F6605),"x","")</f>
        <v/>
      </c>
      <c r="AD6605" s="79" t="str">
        <f>IF(AND(N6605="1521",MONTH(C6605)='BK-NL'!$M$11),"x","")</f>
        <v/>
      </c>
    </row>
    <row r="6606" spans="1:30" ht="16.5" customHeight="1">
      <c r="A6606" s="318" t="str">
        <f>IF(B6606&lt;&gt;"",IF(AND(B6606='IN-TC'!$S$4,OR(TH!N6606="1111",TH!O6606="1111")),TH!D6606,""),"")</f>
        <v/>
      </c>
      <c r="B6606" s="1163" t="str">
        <f t="shared" si="524"/>
        <v/>
      </c>
      <c r="C6606" s="61"/>
      <c r="D6606" s="61"/>
      <c r="E6606" s="61"/>
      <c r="F6606" s="64"/>
      <c r="G6606" s="64"/>
      <c r="H6606" s="69"/>
      <c r="I6606" s="385"/>
      <c r="J6606" s="392"/>
      <c r="K6606" s="385"/>
      <c r="L6606" s="392"/>
      <c r="M6606" s="62"/>
      <c r="N6606" s="63"/>
      <c r="O6606" s="63"/>
      <c r="P6606" s="79" t="str">
        <f>IF(AND('331-CT'!$E$7=TH!H6606,OR(N6606="331",O6606="331")),"x","")</f>
        <v/>
      </c>
      <c r="Q6606" s="79" t="str">
        <f>IF(AND(B6606='111'!$L$11,OR($N6606=$Q$7,$O6606=$Q$7)),"x","")</f>
        <v/>
      </c>
      <c r="R6606" s="79" t="str">
        <f>IF(AND($N6606=$Q$7,$B6606&lt;'111'!$L$11),"x","")</f>
        <v/>
      </c>
      <c r="S6606" s="79" t="str">
        <f>IF(AND($O6606=$Q$7,$B6606&lt;'111'!$L$11),"x","")</f>
        <v/>
      </c>
      <c r="T6606" s="79" t="str">
        <f>IF(ISERROR(FIND('112'!$M$9,G6606,1)),"",IF((AND(FIND('112'!$M$9,G6606,1)&gt;=1,B6606='112'!$K$9,OR($N6606='112'!$I$6,$O6606='112'!$I$6))),"x",""))</f>
        <v/>
      </c>
      <c r="U6606" s="79" t="str">
        <f>IF(ISERROR(FIND('112'!$M$9,G6606,1)),"",IF((AND(LEFT(G6606,2)=LEFT('112'!$M$9,2),B6606&lt;'112'!$K$9,$N6606='112'!$I$6)),"x",""))</f>
        <v/>
      </c>
      <c r="V6606" s="79" t="str">
        <f>IF(ISERROR(FIND('112'!$M$9,G6606,1)),"",IF((AND(RIGHT(G6606,2)=RIGHT('112'!$M$9,2),B6606&lt;'112'!$K$9,$O6606='112'!$I$6)),"x",""))</f>
        <v/>
      </c>
      <c r="W6606" s="79" t="str">
        <f>IF(AND('341-CT'!$H$9=H6606,OR(LEFT(N6606,3)=$W$7,LEFT(O6606,3)=$W$7)),"x","")</f>
        <v/>
      </c>
      <c r="X6606" s="79" t="str">
        <f>IF(OR(TH!N6606=TH!$X$7,O6606=TH!$X$7),"x","")</f>
        <v/>
      </c>
      <c r="Y6606" s="79" t="str">
        <f>IF(AND(OR(N6606="131",O6606="131"),H6606='131-CT'!$H$9),"x","")</f>
        <v/>
      </c>
      <c r="Z6606" s="79"/>
      <c r="AA6606" s="79" t="str">
        <f>IF(AND(MONTH(E6606)='IN-NX'!$J$5,'IN-NX'!$D$7=D6606),"x","")</f>
        <v/>
      </c>
      <c r="AB6606" s="79" t="str">
        <f>IF(AND(OR(LEFT(TH!N6606,2)="15",LEFT(TH!O6606,2)="15"),LEFT(TH!O6606,3)&lt;&gt;"111",'152-CT'!$J$8=TH!F6606),"x","")</f>
        <v/>
      </c>
      <c r="AC6606" s="79" t="str">
        <f>IF(AND(OR(LEFT(TH!N6606,2)="15",LEFT(TH!O6606,2)="15"),TK!$E$7=TH!F6606),"x","")</f>
        <v/>
      </c>
      <c r="AD6606" s="79" t="str">
        <f>IF(AND(N6606="1521",MONTH(C6606)='BK-NL'!$M$11),"x","")</f>
        <v/>
      </c>
    </row>
    <row r="6607" spans="1:30" ht="16.5" customHeight="1">
      <c r="A6607" s="318" t="str">
        <f>IF(B6607&lt;&gt;"",IF(AND(B6607='IN-TC'!$S$4,OR(TH!N6607="1111",TH!O6607="1111")),TH!D6607,""),"")</f>
        <v/>
      </c>
      <c r="B6607" s="1163" t="str">
        <f t="shared" si="524"/>
        <v/>
      </c>
      <c r="C6607" s="61"/>
      <c r="D6607" s="61"/>
      <c r="E6607" s="61"/>
      <c r="F6607" s="64"/>
      <c r="G6607" s="64"/>
      <c r="H6607" s="69"/>
      <c r="I6607" s="385"/>
      <c r="J6607" s="392"/>
      <c r="K6607" s="385"/>
      <c r="L6607" s="392"/>
      <c r="M6607" s="62"/>
      <c r="N6607" s="63"/>
      <c r="O6607" s="63"/>
      <c r="P6607" s="79" t="str">
        <f>IF(AND('331-CT'!$E$7=TH!H6607,OR(N6607="331",O6607="331")),"x","")</f>
        <v/>
      </c>
      <c r="Q6607" s="79" t="str">
        <f>IF(AND(B6607='111'!$L$11,OR($N6607=$Q$7,$O6607=$Q$7)),"x","")</f>
        <v/>
      </c>
      <c r="R6607" s="79" t="str">
        <f>IF(AND($N6607=$Q$7,$B6607&lt;'111'!$L$11),"x","")</f>
        <v/>
      </c>
      <c r="S6607" s="79" t="str">
        <f>IF(AND($O6607=$Q$7,$B6607&lt;'111'!$L$11),"x","")</f>
        <v/>
      </c>
      <c r="T6607" s="79" t="str">
        <f>IF(ISERROR(FIND('112'!$M$9,G6607,1)),"",IF((AND(FIND('112'!$M$9,G6607,1)&gt;=1,B6607='112'!$K$9,OR($N6607='112'!$I$6,$O6607='112'!$I$6))),"x",""))</f>
        <v/>
      </c>
      <c r="U6607" s="79" t="str">
        <f>IF(ISERROR(FIND('112'!$M$9,G6607,1)),"",IF((AND(LEFT(G6607,2)=LEFT('112'!$M$9,2),B6607&lt;'112'!$K$9,$N6607='112'!$I$6)),"x",""))</f>
        <v/>
      </c>
      <c r="V6607" s="79" t="str">
        <f>IF(ISERROR(FIND('112'!$M$9,G6607,1)),"",IF((AND(RIGHT(G6607,2)=RIGHT('112'!$M$9,2),B6607&lt;'112'!$K$9,$O6607='112'!$I$6)),"x",""))</f>
        <v/>
      </c>
      <c r="W6607" s="79" t="str">
        <f>IF(AND('341-CT'!$H$9=H6607,OR(LEFT(N6607,3)=$W$7,LEFT(O6607,3)=$W$7)),"x","")</f>
        <v/>
      </c>
      <c r="X6607" s="79" t="str">
        <f>IF(OR(TH!N6607=TH!$X$7,O6607=TH!$X$7),"x","")</f>
        <v/>
      </c>
      <c r="Y6607" s="79" t="str">
        <f>IF(AND(OR(N6607="131",O6607="131"),H6607='131-CT'!$H$9),"x","")</f>
        <v/>
      </c>
      <c r="Z6607" s="79"/>
      <c r="AA6607" s="79" t="str">
        <f>IF(AND(MONTH(E6607)='IN-NX'!$J$5,'IN-NX'!$D$7=D6607),"x","")</f>
        <v/>
      </c>
      <c r="AB6607" s="79" t="str">
        <f>IF(AND(OR(LEFT(TH!N6607,2)="15",LEFT(TH!O6607,2)="15"),LEFT(TH!O6607,3)&lt;&gt;"111",'152-CT'!$J$8=TH!F6607),"x","")</f>
        <v/>
      </c>
      <c r="AC6607" s="79" t="str">
        <f>IF(AND(OR(LEFT(TH!N6607,2)="15",LEFT(TH!O6607,2)="15"),TK!$E$7=TH!F6607),"x","")</f>
        <v/>
      </c>
      <c r="AD6607" s="79" t="str">
        <f>IF(AND(N6607="1521",MONTH(C6607)='BK-NL'!$M$11),"x","")</f>
        <v/>
      </c>
    </row>
    <row r="6608" spans="1:30" ht="16.5" customHeight="1">
      <c r="A6608" s="318" t="str">
        <f>IF(B6608&lt;&gt;"",IF(AND(B6608='IN-TC'!$S$4,OR(TH!N6608="1111",TH!O6608="1111")),TH!D6608,""),"")</f>
        <v/>
      </c>
      <c r="B6608" s="1163" t="str">
        <f t="shared" si="524"/>
        <v/>
      </c>
      <c r="C6608" s="61"/>
      <c r="D6608" s="61"/>
      <c r="E6608" s="61"/>
      <c r="F6608" s="69"/>
      <c r="G6608" s="64"/>
      <c r="H6608" s="321"/>
      <c r="I6608" s="385"/>
      <c r="J6608" s="392"/>
      <c r="K6608" s="385"/>
      <c r="L6608" s="392"/>
      <c r="M6608" s="62"/>
      <c r="N6608" s="63"/>
      <c r="O6608" s="63"/>
      <c r="P6608" s="79" t="str">
        <f>IF(AND('331-CT'!$E$7=TH!H6608,OR(N6608="331",O6608="331")),"x","")</f>
        <v/>
      </c>
      <c r="Q6608" s="79" t="str">
        <f>IF(AND(B6608='111'!$L$11,OR($N6608=$Q$7,$O6608=$Q$7)),"x","")</f>
        <v/>
      </c>
      <c r="R6608" s="79" t="str">
        <f>IF(AND($N6608=$Q$7,$B6608&lt;'111'!$L$11),"x","")</f>
        <v/>
      </c>
      <c r="S6608" s="79" t="str">
        <f>IF(AND($O6608=$Q$7,$B6608&lt;'111'!$L$11),"x","")</f>
        <v/>
      </c>
      <c r="T6608" s="79" t="str">
        <f>IF(ISERROR(FIND('112'!$M$9,G6608,1)),"",IF((AND(FIND('112'!$M$9,G6608,1)&gt;=1,B6608='112'!$K$9,OR($N6608='112'!$I$6,$O6608='112'!$I$6))),"x",""))</f>
        <v/>
      </c>
      <c r="U6608" s="79" t="str">
        <f>IF(ISERROR(FIND('112'!$M$9,G6608,1)),"",IF((AND(LEFT(G6608,2)=LEFT('112'!$M$9,2),B6608&lt;'112'!$K$9,$N6608='112'!$I$6)),"x",""))</f>
        <v/>
      </c>
      <c r="V6608" s="79" t="str">
        <f>IF(ISERROR(FIND('112'!$M$9,G6608,1)),"",IF((AND(RIGHT(G6608,2)=RIGHT('112'!$M$9,2),B6608&lt;'112'!$K$9,$O6608='112'!$I$6)),"x",""))</f>
        <v/>
      </c>
      <c r="W6608" s="79" t="str">
        <f>IF(AND('341-CT'!$H$9=H6608,OR(LEFT(N6608,3)=$W$7,LEFT(O6608,3)=$W$7)),"x","")</f>
        <v/>
      </c>
      <c r="X6608" s="79" t="str">
        <f>IF(OR(TH!N6608=TH!$X$7,O6608=TH!$X$7),"x","")</f>
        <v/>
      </c>
      <c r="Y6608" s="79" t="str">
        <f>IF(AND(OR(N6608="131",O6608="131"),H6608='131-CT'!$H$9),"x","")</f>
        <v/>
      </c>
      <c r="Z6608" s="79"/>
      <c r="AA6608" s="79" t="str">
        <f>IF(AND(MONTH(E6608)='IN-NX'!$J$5,'IN-NX'!$D$7=D6608),"x","")</f>
        <v/>
      </c>
      <c r="AB6608" s="79" t="str">
        <f>IF(AND(OR(LEFT(TH!N6608,2)="15",LEFT(TH!O6608,2)="15"),LEFT(TH!O6608,3)&lt;&gt;"111",'152-CT'!$J$8=TH!F6608),"x","")</f>
        <v/>
      </c>
      <c r="AC6608" s="79" t="str">
        <f>IF(AND(OR(LEFT(TH!N6608,2)="15",LEFT(TH!O6608,2)="15"),TK!$E$7=TH!F6608),"x","")</f>
        <v/>
      </c>
      <c r="AD6608" s="79" t="str">
        <f>IF(AND(N6608="1521",MONTH(C6608)='BK-NL'!$M$11),"x","")</f>
        <v/>
      </c>
    </row>
    <row r="6609" spans="1:30" ht="16.5" customHeight="1">
      <c r="A6609" s="318" t="str">
        <f>IF(B6609&lt;&gt;"",IF(AND(B6609='IN-TC'!$S$4,OR(TH!N6609="1111",TH!O6609="1111")),TH!D6609,""),"")</f>
        <v/>
      </c>
      <c r="B6609" s="1163" t="str">
        <f t="shared" si="524"/>
        <v/>
      </c>
      <c r="C6609" s="61"/>
      <c r="D6609" s="61"/>
      <c r="E6609" s="61"/>
      <c r="F6609" s="64"/>
      <c r="G6609" s="64"/>
      <c r="H6609" s="69"/>
      <c r="I6609" s="385"/>
      <c r="J6609" s="392"/>
      <c r="K6609" s="385"/>
      <c r="L6609" s="392"/>
      <c r="M6609" s="62"/>
      <c r="N6609" s="63"/>
      <c r="O6609" s="63"/>
      <c r="P6609" s="79" t="str">
        <f>IF(AND('331-CT'!$E$7=TH!H6609,OR(N6609="331",O6609="331")),"x","")</f>
        <v/>
      </c>
      <c r="Q6609" s="79" t="str">
        <f>IF(AND(B6609='111'!$L$11,OR($N6609=$Q$7,$O6609=$Q$7)),"x","")</f>
        <v/>
      </c>
      <c r="R6609" s="79" t="str">
        <f>IF(AND($N6609=$Q$7,$B6609&lt;'111'!$L$11),"x","")</f>
        <v/>
      </c>
      <c r="S6609" s="79" t="str">
        <f>IF(AND($O6609=$Q$7,$B6609&lt;'111'!$L$11),"x","")</f>
        <v/>
      </c>
      <c r="T6609" s="79" t="str">
        <f>IF(ISERROR(FIND('112'!$M$9,G6609,1)),"",IF((AND(FIND('112'!$M$9,G6609,1)&gt;=1,B6609='112'!$K$9,OR($N6609='112'!$I$6,$O6609='112'!$I$6))),"x",""))</f>
        <v/>
      </c>
      <c r="U6609" s="79" t="str">
        <f>IF(ISERROR(FIND('112'!$M$9,G6609,1)),"",IF((AND(LEFT(G6609,2)=LEFT('112'!$M$9,2),B6609&lt;'112'!$K$9,$N6609='112'!$I$6)),"x",""))</f>
        <v/>
      </c>
      <c r="V6609" s="79" t="str">
        <f>IF(ISERROR(FIND('112'!$M$9,G6609,1)),"",IF((AND(RIGHT(G6609,2)=RIGHT('112'!$M$9,2),B6609&lt;'112'!$K$9,$O6609='112'!$I$6)),"x",""))</f>
        <v/>
      </c>
      <c r="W6609" s="79" t="str">
        <f>IF(AND('341-CT'!$H$9=H6609,OR(LEFT(N6609,3)=$W$7,LEFT(O6609,3)=$W$7)),"x","")</f>
        <v/>
      </c>
      <c r="X6609" s="79" t="str">
        <f>IF(OR(TH!N6609=TH!$X$7,O6609=TH!$X$7),"x","")</f>
        <v/>
      </c>
      <c r="Y6609" s="79" t="str">
        <f>IF(AND(OR(N6609="131",O6609="131"),H6609='131-CT'!$H$9),"x","")</f>
        <v/>
      </c>
      <c r="Z6609" s="79"/>
      <c r="AA6609" s="79" t="str">
        <f>IF(AND(MONTH(E6609)='IN-NX'!$J$5,'IN-NX'!$D$7=D6609),"x","")</f>
        <v/>
      </c>
      <c r="AB6609" s="79" t="str">
        <f>IF(AND(OR(LEFT(TH!N6609,2)="15",LEFT(TH!O6609,2)="15"),LEFT(TH!O6609,3)&lt;&gt;"111",'152-CT'!$J$8=TH!F6609),"x","")</f>
        <v/>
      </c>
      <c r="AC6609" s="79" t="str">
        <f>IF(AND(OR(LEFT(TH!N6609,2)="15",LEFT(TH!O6609,2)="15"),TK!$E$7=TH!F6609),"x","")</f>
        <v/>
      </c>
      <c r="AD6609" s="79" t="str">
        <f>IF(AND(N6609="1521",MONTH(C6609)='BK-NL'!$M$11),"x","")</f>
        <v/>
      </c>
    </row>
    <row r="6610" spans="1:30" ht="16.5" customHeight="1">
      <c r="A6610" s="318" t="str">
        <f>IF(B6610&lt;&gt;"",IF(AND(B6610='IN-TC'!$S$4,OR(TH!N6610="1111",TH!O6610="1111")),TH!D6610,""),"")</f>
        <v/>
      </c>
      <c r="B6610" s="1163" t="str">
        <f t="shared" si="524"/>
        <v/>
      </c>
      <c r="C6610" s="61"/>
      <c r="D6610" s="61"/>
      <c r="E6610" s="61"/>
      <c r="F6610" s="64"/>
      <c r="G6610" s="64"/>
      <c r="H6610" s="69"/>
      <c r="I6610" s="385"/>
      <c r="J6610" s="392"/>
      <c r="K6610" s="385"/>
      <c r="L6610" s="392"/>
      <c r="M6610" s="62"/>
      <c r="N6610" s="63"/>
      <c r="O6610" s="63"/>
      <c r="P6610" s="79" t="str">
        <f>IF(AND('331-CT'!$E$7=TH!H6610,OR(N6610="331",O6610="331")),"x","")</f>
        <v/>
      </c>
      <c r="Q6610" s="79" t="str">
        <f>IF(AND(B6610='111'!$L$11,OR($N6610=$Q$7,$O6610=$Q$7)),"x","")</f>
        <v/>
      </c>
      <c r="R6610" s="79" t="str">
        <f>IF(AND($N6610=$Q$7,$B6610&lt;'111'!$L$11),"x","")</f>
        <v/>
      </c>
      <c r="S6610" s="79" t="str">
        <f>IF(AND($O6610=$Q$7,$B6610&lt;'111'!$L$11),"x","")</f>
        <v/>
      </c>
      <c r="T6610" s="79" t="str">
        <f>IF(ISERROR(FIND('112'!$M$9,G6610,1)),"",IF((AND(FIND('112'!$M$9,G6610,1)&gt;=1,B6610='112'!$K$9,OR($N6610='112'!$I$6,$O6610='112'!$I$6))),"x",""))</f>
        <v/>
      </c>
      <c r="U6610" s="79" t="str">
        <f>IF(ISERROR(FIND('112'!$M$9,G6610,1)),"",IF((AND(LEFT(G6610,2)=LEFT('112'!$M$9,2),B6610&lt;'112'!$K$9,$N6610='112'!$I$6)),"x",""))</f>
        <v/>
      </c>
      <c r="V6610" s="79" t="str">
        <f>IF(ISERROR(FIND('112'!$M$9,G6610,1)),"",IF((AND(RIGHT(G6610,2)=RIGHT('112'!$M$9,2),B6610&lt;'112'!$K$9,$O6610='112'!$I$6)),"x",""))</f>
        <v/>
      </c>
      <c r="W6610" s="79" t="str">
        <f>IF(AND('341-CT'!$H$9=H6610,OR(LEFT(N6610,3)=$W$7,LEFT(O6610,3)=$W$7)),"x","")</f>
        <v/>
      </c>
      <c r="X6610" s="79" t="str">
        <f>IF(OR(TH!N6610=TH!$X$7,O6610=TH!$X$7),"x","")</f>
        <v/>
      </c>
      <c r="Y6610" s="79" t="str">
        <f>IF(AND(OR(N6610="131",O6610="131"),H6610='131-CT'!$H$9),"x","")</f>
        <v/>
      </c>
      <c r="Z6610" s="79"/>
      <c r="AA6610" s="79" t="str">
        <f>IF(AND(MONTH(E6610)='IN-NX'!$J$5,'IN-NX'!$D$7=D6610),"x","")</f>
        <v/>
      </c>
      <c r="AB6610" s="79" t="str">
        <f>IF(AND(OR(LEFT(TH!N6610,2)="15",LEFT(TH!O6610,2)="15"),LEFT(TH!O6610,3)&lt;&gt;"111",'152-CT'!$J$8=TH!F6610),"x","")</f>
        <v/>
      </c>
      <c r="AC6610" s="79" t="str">
        <f>IF(AND(OR(LEFT(TH!N6610,2)="15",LEFT(TH!O6610,2)="15"),TK!$E$7=TH!F6610),"x","")</f>
        <v/>
      </c>
      <c r="AD6610" s="79" t="str">
        <f>IF(AND(N6610="1521",MONTH(C6610)='BK-NL'!$M$11),"x","")</f>
        <v/>
      </c>
    </row>
    <row r="6611" spans="1:30" ht="16.5" customHeight="1">
      <c r="A6611" s="318" t="str">
        <f>IF(B6611&lt;&gt;"",IF(AND(B6611='IN-TC'!$S$4,OR(TH!N6611="1111",TH!O6611="1111")),TH!D6611,""),"")</f>
        <v/>
      </c>
      <c r="B6611" s="1163" t="str">
        <f t="shared" si="524"/>
        <v/>
      </c>
      <c r="C6611" s="61"/>
      <c r="D6611" s="61"/>
      <c r="E6611" s="61"/>
      <c r="F6611" s="69"/>
      <c r="G6611" s="64"/>
      <c r="H6611" s="321"/>
      <c r="I6611" s="385"/>
      <c r="J6611" s="392"/>
      <c r="K6611" s="385"/>
      <c r="L6611" s="392"/>
      <c r="M6611" s="62"/>
      <c r="N6611" s="63"/>
      <c r="O6611" s="63"/>
      <c r="P6611" s="79" t="str">
        <f>IF(AND('331-CT'!$E$7=TH!H6611,OR(N6611="331",O6611="331")),"x","")</f>
        <v/>
      </c>
      <c r="Q6611" s="79" t="str">
        <f>IF(AND(B6611='111'!$L$11,OR($N6611=$Q$7,$O6611=$Q$7)),"x","")</f>
        <v/>
      </c>
      <c r="R6611" s="79" t="str">
        <f>IF(AND($N6611=$Q$7,$B6611&lt;'111'!$L$11),"x","")</f>
        <v/>
      </c>
      <c r="S6611" s="79" t="str">
        <f>IF(AND($O6611=$Q$7,$B6611&lt;'111'!$L$11),"x","")</f>
        <v/>
      </c>
      <c r="T6611" s="79" t="str">
        <f>IF(ISERROR(FIND('112'!$M$9,G6611,1)),"",IF((AND(FIND('112'!$M$9,G6611,1)&gt;=1,B6611='112'!$K$9,OR($N6611='112'!$I$6,$O6611='112'!$I$6))),"x",""))</f>
        <v/>
      </c>
      <c r="U6611" s="79" t="str">
        <f>IF(ISERROR(FIND('112'!$M$9,G6611,1)),"",IF((AND(LEFT(G6611,2)=LEFT('112'!$M$9,2),B6611&lt;'112'!$K$9,$N6611='112'!$I$6)),"x",""))</f>
        <v/>
      </c>
      <c r="V6611" s="79" t="str">
        <f>IF(ISERROR(FIND('112'!$M$9,G6611,1)),"",IF((AND(RIGHT(G6611,2)=RIGHT('112'!$M$9,2),B6611&lt;'112'!$K$9,$O6611='112'!$I$6)),"x",""))</f>
        <v/>
      </c>
      <c r="W6611" s="79" t="str">
        <f>IF(AND('341-CT'!$H$9=H6611,OR(LEFT(N6611,3)=$W$7,LEFT(O6611,3)=$W$7)),"x","")</f>
        <v/>
      </c>
      <c r="X6611" s="79" t="str">
        <f>IF(OR(TH!N6611=TH!$X$7,O6611=TH!$X$7),"x","")</f>
        <v/>
      </c>
      <c r="Y6611" s="79" t="str">
        <f>IF(AND(OR(N6611="131",O6611="131"),H6611='131-CT'!$H$9),"x","")</f>
        <v/>
      </c>
      <c r="Z6611" s="79"/>
      <c r="AA6611" s="79" t="str">
        <f>IF(AND(MONTH(E6611)='IN-NX'!$J$5,'IN-NX'!$D$7=D6611),"x","")</f>
        <v/>
      </c>
      <c r="AB6611" s="79" t="str">
        <f>IF(AND(OR(LEFT(TH!N6611,2)="15",LEFT(TH!O6611,2)="15"),LEFT(TH!O6611,3)&lt;&gt;"111",'152-CT'!$J$8=TH!F6611),"x","")</f>
        <v/>
      </c>
      <c r="AC6611" s="79" t="str">
        <f>IF(AND(OR(LEFT(TH!N6611,2)="15",LEFT(TH!O6611,2)="15"),TK!$E$7=TH!F6611),"x","")</f>
        <v/>
      </c>
      <c r="AD6611" s="79" t="str">
        <f>IF(AND(N6611="1521",MONTH(C6611)='BK-NL'!$M$11),"x","")</f>
        <v/>
      </c>
    </row>
    <row r="6612" spans="1:30" ht="16.5" customHeight="1">
      <c r="A6612" s="318" t="str">
        <f>IF(B6612&lt;&gt;"",IF(AND(B6612='IN-TC'!$S$4,OR(TH!N6612="1111",TH!O6612="1111")),TH!D6612,""),"")</f>
        <v/>
      </c>
      <c r="B6612" s="1163" t="str">
        <f t="shared" si="524"/>
        <v/>
      </c>
      <c r="C6612" s="61"/>
      <c r="D6612" s="61"/>
      <c r="E6612" s="61"/>
      <c r="F6612" s="64"/>
      <c r="G6612" s="64"/>
      <c r="H6612" s="69"/>
      <c r="I6612" s="385"/>
      <c r="J6612" s="392"/>
      <c r="K6612" s="385"/>
      <c r="L6612" s="392"/>
      <c r="M6612" s="62"/>
      <c r="N6612" s="63"/>
      <c r="O6612" s="63"/>
      <c r="P6612" s="79" t="str">
        <f>IF(AND('331-CT'!$E$7=TH!H6612,OR(N6612="331",O6612="331")),"x","")</f>
        <v/>
      </c>
      <c r="Q6612" s="79" t="str">
        <f>IF(AND(B6612='111'!$L$11,OR($N6612=$Q$7,$O6612=$Q$7)),"x","")</f>
        <v/>
      </c>
      <c r="R6612" s="79" t="str">
        <f>IF(AND($N6612=$Q$7,$B6612&lt;'111'!$L$11),"x","")</f>
        <v/>
      </c>
      <c r="S6612" s="79" t="str">
        <f>IF(AND($O6612=$Q$7,$B6612&lt;'111'!$L$11),"x","")</f>
        <v/>
      </c>
      <c r="T6612" s="79" t="str">
        <f>IF(ISERROR(FIND('112'!$M$9,G6612,1)),"",IF((AND(FIND('112'!$M$9,G6612,1)&gt;=1,B6612='112'!$K$9,OR($N6612='112'!$I$6,$O6612='112'!$I$6))),"x",""))</f>
        <v/>
      </c>
      <c r="U6612" s="79" t="str">
        <f>IF(ISERROR(FIND('112'!$M$9,G6612,1)),"",IF((AND(LEFT(G6612,2)=LEFT('112'!$M$9,2),B6612&lt;'112'!$K$9,$N6612='112'!$I$6)),"x",""))</f>
        <v/>
      </c>
      <c r="V6612" s="79" t="str">
        <f>IF(ISERROR(FIND('112'!$M$9,G6612,1)),"",IF((AND(RIGHT(G6612,2)=RIGHT('112'!$M$9,2),B6612&lt;'112'!$K$9,$O6612='112'!$I$6)),"x",""))</f>
        <v/>
      </c>
      <c r="W6612" s="79" t="str">
        <f>IF(AND('341-CT'!$H$9=H6612,OR(LEFT(N6612,3)=$W$7,LEFT(O6612,3)=$W$7)),"x","")</f>
        <v/>
      </c>
      <c r="X6612" s="79" t="str">
        <f>IF(OR(TH!N6612=TH!$X$7,O6612=TH!$X$7),"x","")</f>
        <v/>
      </c>
      <c r="Y6612" s="79" t="str">
        <f>IF(AND(OR(N6612="131",O6612="131"),H6612='131-CT'!$H$9),"x","")</f>
        <v/>
      </c>
      <c r="Z6612" s="79"/>
      <c r="AA6612" s="79" t="str">
        <f>IF(AND(MONTH(E6612)='IN-NX'!$J$5,'IN-NX'!$D$7=D6612),"x","")</f>
        <v/>
      </c>
      <c r="AB6612" s="79" t="str">
        <f>IF(AND(OR(LEFT(TH!N6612,2)="15",LEFT(TH!O6612,2)="15"),LEFT(TH!O6612,3)&lt;&gt;"111",'152-CT'!$J$8=TH!F6612),"x","")</f>
        <v/>
      </c>
      <c r="AC6612" s="79" t="str">
        <f>IF(AND(OR(LEFT(TH!N6612,2)="15",LEFT(TH!O6612,2)="15"),TK!$E$7=TH!F6612),"x","")</f>
        <v/>
      </c>
      <c r="AD6612" s="79" t="str">
        <f>IF(AND(N6612="1521",MONTH(C6612)='BK-NL'!$M$11),"x","")</f>
        <v/>
      </c>
    </row>
    <row r="6613" spans="1:30" ht="16.5" customHeight="1">
      <c r="A6613" s="318" t="str">
        <f>IF(B6613&lt;&gt;"",IF(AND(B6613='IN-TC'!$S$4,OR(TH!N6613="1111",TH!O6613="1111")),TH!D6613,""),"")</f>
        <v/>
      </c>
      <c r="B6613" s="1163" t="str">
        <f t="shared" si="524"/>
        <v/>
      </c>
      <c r="C6613" s="61"/>
      <c r="D6613" s="61"/>
      <c r="E6613" s="61"/>
      <c r="F6613" s="64"/>
      <c r="G6613" s="64"/>
      <c r="H6613" s="69"/>
      <c r="I6613" s="385"/>
      <c r="J6613" s="392"/>
      <c r="K6613" s="385"/>
      <c r="L6613" s="392"/>
      <c r="M6613" s="62"/>
      <c r="N6613" s="63"/>
      <c r="O6613" s="63"/>
      <c r="P6613" s="79" t="str">
        <f>IF(AND('331-CT'!$E$7=TH!H6613,OR(N6613="331",O6613="331")),"x","")</f>
        <v/>
      </c>
      <c r="Q6613" s="79" t="str">
        <f>IF(AND(B6613='111'!$L$11,OR($N6613=$Q$7,$O6613=$Q$7)),"x","")</f>
        <v/>
      </c>
      <c r="R6613" s="79" t="str">
        <f>IF(AND($N6613=$Q$7,$B6613&lt;'111'!$L$11),"x","")</f>
        <v/>
      </c>
      <c r="S6613" s="79" t="str">
        <f>IF(AND($O6613=$Q$7,$B6613&lt;'111'!$L$11),"x","")</f>
        <v/>
      </c>
      <c r="T6613" s="79" t="str">
        <f>IF(ISERROR(FIND('112'!$M$9,G6613,1)),"",IF((AND(FIND('112'!$M$9,G6613,1)&gt;=1,B6613='112'!$K$9,OR($N6613='112'!$I$6,$O6613='112'!$I$6))),"x",""))</f>
        <v/>
      </c>
      <c r="U6613" s="79" t="str">
        <f>IF(ISERROR(FIND('112'!$M$9,G6613,1)),"",IF((AND(LEFT(G6613,2)=LEFT('112'!$M$9,2),B6613&lt;'112'!$K$9,$N6613='112'!$I$6)),"x",""))</f>
        <v/>
      </c>
      <c r="V6613" s="79" t="str">
        <f>IF(ISERROR(FIND('112'!$M$9,G6613,1)),"",IF((AND(RIGHT(G6613,2)=RIGHT('112'!$M$9,2),B6613&lt;'112'!$K$9,$O6613='112'!$I$6)),"x",""))</f>
        <v/>
      </c>
      <c r="W6613" s="79" t="str">
        <f>IF(AND('341-CT'!$H$9=H6613,OR(LEFT(N6613,3)=$W$7,LEFT(O6613,3)=$W$7)),"x","")</f>
        <v/>
      </c>
      <c r="X6613" s="79" t="str">
        <f>IF(OR(TH!N6613=TH!$X$7,O6613=TH!$X$7),"x","")</f>
        <v/>
      </c>
      <c r="Y6613" s="79" t="str">
        <f>IF(AND(OR(N6613="131",O6613="131"),H6613='131-CT'!$H$9),"x","")</f>
        <v/>
      </c>
      <c r="Z6613" s="79"/>
      <c r="AA6613" s="79" t="str">
        <f>IF(AND(MONTH(E6613)='IN-NX'!$J$5,'IN-NX'!$D$7=D6613),"x","")</f>
        <v/>
      </c>
      <c r="AB6613" s="79" t="str">
        <f>IF(AND(OR(LEFT(TH!N6613,2)="15",LEFT(TH!O6613,2)="15"),LEFT(TH!O6613,3)&lt;&gt;"111",'152-CT'!$J$8=TH!F6613),"x","")</f>
        <v/>
      </c>
      <c r="AC6613" s="79" t="str">
        <f>IF(AND(OR(LEFT(TH!N6613,2)="15",LEFT(TH!O6613,2)="15"),TK!$E$7=TH!F6613),"x","")</f>
        <v/>
      </c>
      <c r="AD6613" s="79" t="str">
        <f>IF(AND(N6613="1521",MONTH(C6613)='BK-NL'!$M$11),"x","")</f>
        <v/>
      </c>
    </row>
    <row r="6614" spans="1:30" ht="16.5" customHeight="1">
      <c r="A6614" s="318" t="str">
        <f>IF(B6614&lt;&gt;"",IF(AND(B6614='IN-TC'!$S$4,OR(TH!N6614="1111",TH!O6614="1111")),TH!D6614,""),"")</f>
        <v/>
      </c>
      <c r="B6614" s="1163" t="str">
        <f t="shared" si="524"/>
        <v/>
      </c>
      <c r="C6614" s="61"/>
      <c r="D6614" s="61"/>
      <c r="E6614" s="61"/>
      <c r="F6614" s="69"/>
      <c r="G6614" s="64"/>
      <c r="H6614" s="321"/>
      <c r="I6614" s="385"/>
      <c r="J6614" s="392"/>
      <c r="K6614" s="385"/>
      <c r="L6614" s="392"/>
      <c r="M6614" s="62"/>
      <c r="N6614" s="63"/>
      <c r="O6614" s="63"/>
      <c r="P6614" s="79" t="str">
        <f>IF(AND('331-CT'!$E$7=TH!H6614,OR(N6614="331",O6614="331")),"x","")</f>
        <v/>
      </c>
      <c r="Q6614" s="79" t="str">
        <f>IF(AND(B6614='111'!$L$11,OR($N6614=$Q$7,$O6614=$Q$7)),"x","")</f>
        <v/>
      </c>
      <c r="R6614" s="79" t="str">
        <f>IF(AND($N6614=$Q$7,$B6614&lt;'111'!$L$11),"x","")</f>
        <v/>
      </c>
      <c r="S6614" s="79" t="str">
        <f>IF(AND($O6614=$Q$7,$B6614&lt;'111'!$L$11),"x","")</f>
        <v/>
      </c>
      <c r="T6614" s="79" t="str">
        <f>IF(ISERROR(FIND('112'!$M$9,G6614,1)),"",IF((AND(FIND('112'!$M$9,G6614,1)&gt;=1,B6614='112'!$K$9,OR($N6614='112'!$I$6,$O6614='112'!$I$6))),"x",""))</f>
        <v/>
      </c>
      <c r="U6614" s="79" t="str">
        <f>IF(ISERROR(FIND('112'!$M$9,G6614,1)),"",IF((AND(LEFT(G6614,2)=LEFT('112'!$M$9,2),B6614&lt;'112'!$K$9,$N6614='112'!$I$6)),"x",""))</f>
        <v/>
      </c>
      <c r="V6614" s="79" t="str">
        <f>IF(ISERROR(FIND('112'!$M$9,G6614,1)),"",IF((AND(RIGHT(G6614,2)=RIGHT('112'!$M$9,2),B6614&lt;'112'!$K$9,$O6614='112'!$I$6)),"x",""))</f>
        <v/>
      </c>
      <c r="W6614" s="79" t="str">
        <f>IF(AND('341-CT'!$H$9=H6614,OR(LEFT(N6614,3)=$W$7,LEFT(O6614,3)=$W$7)),"x","")</f>
        <v/>
      </c>
      <c r="X6614" s="79" t="str">
        <f>IF(OR(TH!N6614=TH!$X$7,O6614=TH!$X$7),"x","")</f>
        <v/>
      </c>
      <c r="Y6614" s="79" t="str">
        <f>IF(AND(OR(N6614="131",O6614="131"),H6614='131-CT'!$H$9),"x","")</f>
        <v/>
      </c>
      <c r="Z6614" s="79"/>
      <c r="AA6614" s="79" t="str">
        <f>IF(AND(MONTH(E6614)='IN-NX'!$J$5,'IN-NX'!$D$7=D6614),"x","")</f>
        <v/>
      </c>
      <c r="AB6614" s="79" t="str">
        <f>IF(AND(OR(LEFT(TH!N6614,2)="15",LEFT(TH!O6614,2)="15"),LEFT(TH!O6614,3)&lt;&gt;"111",'152-CT'!$J$8=TH!F6614),"x","")</f>
        <v/>
      </c>
      <c r="AC6614" s="79" t="str">
        <f>IF(AND(OR(LEFT(TH!N6614,2)="15",LEFT(TH!O6614,2)="15"),TK!$E$7=TH!F6614),"x","")</f>
        <v/>
      </c>
      <c r="AD6614" s="79" t="str">
        <f>IF(AND(N6614="1521",MONTH(C6614)='BK-NL'!$M$11),"x","")</f>
        <v/>
      </c>
    </row>
    <row r="6615" spans="1:30" ht="16.5" customHeight="1">
      <c r="A6615" s="318" t="str">
        <f>IF(B6615&lt;&gt;"",IF(AND(B6615='IN-TC'!$S$4,OR(TH!N6615="1111",TH!O6615="1111")),TH!D6615,""),"")</f>
        <v/>
      </c>
      <c r="B6615" s="1163" t="str">
        <f t="shared" si="524"/>
        <v/>
      </c>
      <c r="C6615" s="61"/>
      <c r="D6615" s="61"/>
      <c r="E6615" s="61"/>
      <c r="F6615" s="64"/>
      <c r="G6615" s="64"/>
      <c r="H6615" s="69"/>
      <c r="I6615" s="385"/>
      <c r="J6615" s="392"/>
      <c r="K6615" s="385"/>
      <c r="L6615" s="392"/>
      <c r="M6615" s="62"/>
      <c r="N6615" s="63"/>
      <c r="O6615" s="63"/>
      <c r="P6615" s="79" t="str">
        <f>IF(AND('331-CT'!$E$7=TH!H6615,OR(N6615="331",O6615="331")),"x","")</f>
        <v/>
      </c>
      <c r="Q6615" s="79" t="str">
        <f>IF(AND(B6615='111'!$L$11,OR($N6615=$Q$7,$O6615=$Q$7)),"x","")</f>
        <v/>
      </c>
      <c r="R6615" s="79" t="str">
        <f>IF(AND($N6615=$Q$7,$B6615&lt;'111'!$L$11),"x","")</f>
        <v/>
      </c>
      <c r="S6615" s="79" t="str">
        <f>IF(AND($O6615=$Q$7,$B6615&lt;'111'!$L$11),"x","")</f>
        <v/>
      </c>
      <c r="T6615" s="79" t="str">
        <f>IF(ISERROR(FIND('112'!$M$9,G6615,1)),"",IF((AND(FIND('112'!$M$9,G6615,1)&gt;=1,B6615='112'!$K$9,OR($N6615='112'!$I$6,$O6615='112'!$I$6))),"x",""))</f>
        <v/>
      </c>
      <c r="U6615" s="79" t="str">
        <f>IF(ISERROR(FIND('112'!$M$9,G6615,1)),"",IF((AND(LEFT(G6615,2)=LEFT('112'!$M$9,2),B6615&lt;'112'!$K$9,$N6615='112'!$I$6)),"x",""))</f>
        <v/>
      </c>
      <c r="V6615" s="79" t="str">
        <f>IF(ISERROR(FIND('112'!$M$9,G6615,1)),"",IF((AND(RIGHT(G6615,2)=RIGHT('112'!$M$9,2),B6615&lt;'112'!$K$9,$O6615='112'!$I$6)),"x",""))</f>
        <v/>
      </c>
      <c r="W6615" s="79" t="str">
        <f>IF(AND('341-CT'!$H$9=H6615,OR(LEFT(N6615,3)=$W$7,LEFT(O6615,3)=$W$7)),"x","")</f>
        <v/>
      </c>
      <c r="X6615" s="79" t="str">
        <f>IF(OR(TH!N6615=TH!$X$7,O6615=TH!$X$7),"x","")</f>
        <v/>
      </c>
      <c r="Y6615" s="79" t="str">
        <f>IF(AND(OR(N6615="131",O6615="131"),H6615='131-CT'!$H$9),"x","")</f>
        <v/>
      </c>
      <c r="Z6615" s="79"/>
      <c r="AA6615" s="79" t="str">
        <f>IF(AND(MONTH(E6615)='IN-NX'!$J$5,'IN-NX'!$D$7=D6615),"x","")</f>
        <v/>
      </c>
      <c r="AB6615" s="79" t="str">
        <f>IF(AND(OR(LEFT(TH!N6615,2)="15",LEFT(TH!O6615,2)="15"),LEFT(TH!O6615,3)&lt;&gt;"111",'152-CT'!$J$8=TH!F6615),"x","")</f>
        <v/>
      </c>
      <c r="AC6615" s="79" t="str">
        <f>IF(AND(OR(LEFT(TH!N6615,2)="15",LEFT(TH!O6615,2)="15"),TK!$E$7=TH!F6615),"x","")</f>
        <v/>
      </c>
      <c r="AD6615" s="79" t="str">
        <f>IF(AND(N6615="1521",MONTH(C6615)='BK-NL'!$M$11),"x","")</f>
        <v/>
      </c>
    </row>
    <row r="6616" spans="1:30" ht="16.5" customHeight="1">
      <c r="A6616" s="318" t="str">
        <f>IF(B6616&lt;&gt;"",IF(AND(B6616='IN-TC'!$S$4,OR(TH!N6616="1111",TH!O6616="1111")),TH!D6616,""),"")</f>
        <v/>
      </c>
      <c r="B6616" s="1163" t="str">
        <f t="shared" si="524"/>
        <v/>
      </c>
      <c r="C6616" s="61"/>
      <c r="D6616" s="61"/>
      <c r="E6616" s="61"/>
      <c r="F6616" s="64"/>
      <c r="G6616" s="64"/>
      <c r="H6616" s="69"/>
      <c r="I6616" s="385"/>
      <c r="J6616" s="392"/>
      <c r="K6616" s="385"/>
      <c r="L6616" s="392"/>
      <c r="M6616" s="62"/>
      <c r="N6616" s="63"/>
      <c r="O6616" s="63"/>
      <c r="P6616" s="79" t="str">
        <f>IF(AND('331-CT'!$E$7=TH!H6616,OR(N6616="331",O6616="331")),"x","")</f>
        <v/>
      </c>
      <c r="Q6616" s="79" t="str">
        <f>IF(AND(B6616='111'!$L$11,OR($N6616=$Q$7,$O6616=$Q$7)),"x","")</f>
        <v/>
      </c>
      <c r="R6616" s="79" t="str">
        <f>IF(AND($N6616=$Q$7,$B6616&lt;'111'!$L$11),"x","")</f>
        <v/>
      </c>
      <c r="S6616" s="79" t="str">
        <f>IF(AND($O6616=$Q$7,$B6616&lt;'111'!$L$11),"x","")</f>
        <v/>
      </c>
      <c r="T6616" s="79" t="str">
        <f>IF(ISERROR(FIND('112'!$M$9,G6616,1)),"",IF((AND(FIND('112'!$M$9,G6616,1)&gt;=1,B6616='112'!$K$9,OR($N6616='112'!$I$6,$O6616='112'!$I$6))),"x",""))</f>
        <v/>
      </c>
      <c r="U6616" s="79" t="str">
        <f>IF(ISERROR(FIND('112'!$M$9,G6616,1)),"",IF((AND(LEFT(G6616,2)=LEFT('112'!$M$9,2),B6616&lt;'112'!$K$9,$N6616='112'!$I$6)),"x",""))</f>
        <v/>
      </c>
      <c r="V6616" s="79" t="str">
        <f>IF(ISERROR(FIND('112'!$M$9,G6616,1)),"",IF((AND(RIGHT(G6616,2)=RIGHT('112'!$M$9,2),B6616&lt;'112'!$K$9,$O6616='112'!$I$6)),"x",""))</f>
        <v/>
      </c>
      <c r="W6616" s="79" t="str">
        <f>IF(AND('341-CT'!$H$9=H6616,OR(LEFT(N6616,3)=$W$7,LEFT(O6616,3)=$W$7)),"x","")</f>
        <v/>
      </c>
      <c r="X6616" s="79" t="str">
        <f>IF(OR(TH!N6616=TH!$X$7,O6616=TH!$X$7),"x","")</f>
        <v/>
      </c>
      <c r="Y6616" s="79" t="str">
        <f>IF(AND(OR(N6616="131",O6616="131"),H6616='131-CT'!$H$9),"x","")</f>
        <v/>
      </c>
      <c r="Z6616" s="79"/>
      <c r="AA6616" s="79" t="str">
        <f>IF(AND(MONTH(E6616)='IN-NX'!$J$5,'IN-NX'!$D$7=D6616),"x","")</f>
        <v/>
      </c>
      <c r="AB6616" s="79" t="str">
        <f>IF(AND(OR(LEFT(TH!N6616,2)="15",LEFT(TH!O6616,2)="15"),LEFT(TH!O6616,3)&lt;&gt;"111",'152-CT'!$J$8=TH!F6616),"x","")</f>
        <v/>
      </c>
      <c r="AC6616" s="79" t="str">
        <f>IF(AND(OR(LEFT(TH!N6616,2)="15",LEFT(TH!O6616,2)="15"),TK!$E$7=TH!F6616),"x","")</f>
        <v/>
      </c>
      <c r="AD6616" s="79" t="str">
        <f>IF(AND(N6616="1521",MONTH(C6616)='BK-NL'!$M$11),"x","")</f>
        <v/>
      </c>
    </row>
    <row r="6617" spans="1:30" ht="16.5" customHeight="1">
      <c r="A6617" s="318" t="str">
        <f>IF(B6617&lt;&gt;"",IF(AND(B6617='IN-TC'!$S$4,OR(TH!N6617="1111",TH!O6617="1111")),TH!D6617,""),"")</f>
        <v/>
      </c>
      <c r="B6617" s="1163" t="str">
        <f t="shared" si="524"/>
        <v/>
      </c>
      <c r="C6617" s="61"/>
      <c r="D6617" s="61"/>
      <c r="E6617" s="61"/>
      <c r="F6617" s="69"/>
      <c r="G6617" s="64"/>
      <c r="H6617" s="321"/>
      <c r="I6617" s="385"/>
      <c r="J6617" s="392"/>
      <c r="K6617" s="385"/>
      <c r="L6617" s="392"/>
      <c r="M6617" s="62"/>
      <c r="N6617" s="63"/>
      <c r="O6617" s="63"/>
      <c r="P6617" s="79" t="str">
        <f>IF(AND('331-CT'!$E$7=TH!H6617,OR(N6617="331",O6617="331")),"x","")</f>
        <v/>
      </c>
      <c r="Q6617" s="79" t="str">
        <f>IF(AND(B6617='111'!$L$11,OR($N6617=$Q$7,$O6617=$Q$7)),"x","")</f>
        <v/>
      </c>
      <c r="R6617" s="79" t="str">
        <f>IF(AND($N6617=$Q$7,$B6617&lt;'111'!$L$11),"x","")</f>
        <v/>
      </c>
      <c r="S6617" s="79" t="str">
        <f>IF(AND($O6617=$Q$7,$B6617&lt;'111'!$L$11),"x","")</f>
        <v/>
      </c>
      <c r="T6617" s="79" t="str">
        <f>IF(ISERROR(FIND('112'!$M$9,G6617,1)),"",IF((AND(FIND('112'!$M$9,G6617,1)&gt;=1,B6617='112'!$K$9,OR($N6617='112'!$I$6,$O6617='112'!$I$6))),"x",""))</f>
        <v/>
      </c>
      <c r="U6617" s="79" t="str">
        <f>IF(ISERROR(FIND('112'!$M$9,G6617,1)),"",IF((AND(LEFT(G6617,2)=LEFT('112'!$M$9,2),B6617&lt;'112'!$K$9,$N6617='112'!$I$6)),"x",""))</f>
        <v/>
      </c>
      <c r="V6617" s="79" t="str">
        <f>IF(ISERROR(FIND('112'!$M$9,G6617,1)),"",IF((AND(RIGHT(G6617,2)=RIGHT('112'!$M$9,2),B6617&lt;'112'!$K$9,$O6617='112'!$I$6)),"x",""))</f>
        <v/>
      </c>
      <c r="W6617" s="79" t="str">
        <f>IF(AND('341-CT'!$H$9=H6617,OR(LEFT(N6617,3)=$W$7,LEFT(O6617,3)=$W$7)),"x","")</f>
        <v/>
      </c>
      <c r="X6617" s="79" t="str">
        <f>IF(OR(TH!N6617=TH!$X$7,O6617=TH!$X$7),"x","")</f>
        <v/>
      </c>
      <c r="Y6617" s="79" t="str">
        <f>IF(AND(OR(N6617="131",O6617="131"),H6617='131-CT'!$H$9),"x","")</f>
        <v/>
      </c>
      <c r="Z6617" s="79"/>
      <c r="AA6617" s="79" t="str">
        <f>IF(AND(MONTH(E6617)='IN-NX'!$J$5,'IN-NX'!$D$7=D6617),"x","")</f>
        <v/>
      </c>
      <c r="AB6617" s="79" t="str">
        <f>IF(AND(OR(LEFT(TH!N6617,2)="15",LEFT(TH!O6617,2)="15"),LEFT(TH!O6617,3)&lt;&gt;"111",'152-CT'!$J$8=TH!F6617),"x","")</f>
        <v/>
      </c>
      <c r="AC6617" s="79" t="str">
        <f>IF(AND(OR(LEFT(TH!N6617,2)="15",LEFT(TH!O6617,2)="15"),TK!$E$7=TH!F6617),"x","")</f>
        <v/>
      </c>
      <c r="AD6617" s="79" t="str">
        <f>IF(AND(N6617="1521",MONTH(C6617)='BK-NL'!$M$11),"x","")</f>
        <v/>
      </c>
    </row>
    <row r="6618" spans="1:30" ht="16.5" customHeight="1">
      <c r="A6618" s="318" t="str">
        <f>IF(B6618&lt;&gt;"",IF(AND(B6618='IN-TC'!$S$4,OR(TH!N6618="1111",TH!O6618="1111")),TH!D6618,""),"")</f>
        <v/>
      </c>
      <c r="B6618" s="1163" t="str">
        <f t="shared" si="524"/>
        <v/>
      </c>
      <c r="C6618" s="61"/>
      <c r="D6618" s="61"/>
      <c r="E6618" s="61"/>
      <c r="F6618" s="64"/>
      <c r="G6618" s="64"/>
      <c r="H6618" s="69"/>
      <c r="I6618" s="385"/>
      <c r="J6618" s="392"/>
      <c r="K6618" s="385"/>
      <c r="L6618" s="392"/>
      <c r="M6618" s="62"/>
      <c r="N6618" s="63"/>
      <c r="O6618" s="63"/>
      <c r="P6618" s="79" t="str">
        <f>IF(AND('331-CT'!$E$7=TH!H6618,OR(N6618="331",O6618="331")),"x","")</f>
        <v/>
      </c>
      <c r="Q6618" s="79" t="str">
        <f>IF(AND(B6618='111'!$L$11,OR($N6618=$Q$7,$O6618=$Q$7)),"x","")</f>
        <v/>
      </c>
      <c r="R6618" s="79" t="str">
        <f>IF(AND($N6618=$Q$7,$B6618&lt;'111'!$L$11),"x","")</f>
        <v/>
      </c>
      <c r="S6618" s="79" t="str">
        <f>IF(AND($O6618=$Q$7,$B6618&lt;'111'!$L$11),"x","")</f>
        <v/>
      </c>
      <c r="T6618" s="79" t="str">
        <f>IF(ISERROR(FIND('112'!$M$9,G6618,1)),"",IF((AND(FIND('112'!$M$9,G6618,1)&gt;=1,B6618='112'!$K$9,OR($N6618='112'!$I$6,$O6618='112'!$I$6))),"x",""))</f>
        <v/>
      </c>
      <c r="U6618" s="79" t="str">
        <f>IF(ISERROR(FIND('112'!$M$9,G6618,1)),"",IF((AND(LEFT(G6618,2)=LEFT('112'!$M$9,2),B6618&lt;'112'!$K$9,$N6618='112'!$I$6)),"x",""))</f>
        <v/>
      </c>
      <c r="V6618" s="79" t="str">
        <f>IF(ISERROR(FIND('112'!$M$9,G6618,1)),"",IF((AND(RIGHT(G6618,2)=RIGHT('112'!$M$9,2),B6618&lt;'112'!$K$9,$O6618='112'!$I$6)),"x",""))</f>
        <v/>
      </c>
      <c r="W6618" s="79" t="str">
        <f>IF(AND('341-CT'!$H$9=H6618,OR(LEFT(N6618,3)=$W$7,LEFT(O6618,3)=$W$7)),"x","")</f>
        <v/>
      </c>
      <c r="X6618" s="79" t="str">
        <f>IF(OR(TH!N6618=TH!$X$7,O6618=TH!$X$7),"x","")</f>
        <v/>
      </c>
      <c r="Y6618" s="79" t="str">
        <f>IF(AND(OR(N6618="131",O6618="131"),H6618='131-CT'!$H$9),"x","")</f>
        <v/>
      </c>
      <c r="Z6618" s="79"/>
      <c r="AA6618" s="79" t="str">
        <f>IF(AND(MONTH(E6618)='IN-NX'!$J$5,'IN-NX'!$D$7=D6618),"x","")</f>
        <v/>
      </c>
      <c r="AB6618" s="79" t="str">
        <f>IF(AND(OR(LEFT(TH!N6618,2)="15",LEFT(TH!O6618,2)="15"),LEFT(TH!O6618,3)&lt;&gt;"111",'152-CT'!$J$8=TH!F6618),"x","")</f>
        <v/>
      </c>
      <c r="AC6618" s="79" t="str">
        <f>IF(AND(OR(LEFT(TH!N6618,2)="15",LEFT(TH!O6618,2)="15"),TK!$E$7=TH!F6618),"x","")</f>
        <v/>
      </c>
      <c r="AD6618" s="79" t="str">
        <f>IF(AND(N6618="1521",MONTH(C6618)='BK-NL'!$M$11),"x","")</f>
        <v/>
      </c>
    </row>
    <row r="6619" spans="1:30" ht="16.5" customHeight="1">
      <c r="A6619" s="318" t="str">
        <f>IF(B6619&lt;&gt;"",IF(AND(B6619='IN-TC'!$S$4,OR(TH!N6619="1111",TH!O6619="1111")),TH!D6619,""),"")</f>
        <v/>
      </c>
      <c r="B6619" s="1163" t="str">
        <f t="shared" si="524"/>
        <v/>
      </c>
      <c r="C6619" s="61"/>
      <c r="D6619" s="61"/>
      <c r="E6619" s="61"/>
      <c r="F6619" s="64"/>
      <c r="G6619" s="64"/>
      <c r="H6619" s="69"/>
      <c r="I6619" s="385"/>
      <c r="J6619" s="392"/>
      <c r="K6619" s="385"/>
      <c r="L6619" s="392"/>
      <c r="M6619" s="62"/>
      <c r="N6619" s="63"/>
      <c r="O6619" s="63"/>
      <c r="P6619" s="79" t="str">
        <f>IF(AND('331-CT'!$E$7=TH!H6619,OR(N6619="331",O6619="331")),"x","")</f>
        <v/>
      </c>
      <c r="Q6619" s="79" t="str">
        <f>IF(AND(B6619='111'!$L$11,OR($N6619=$Q$7,$O6619=$Q$7)),"x","")</f>
        <v/>
      </c>
      <c r="R6619" s="79" t="str">
        <f>IF(AND($N6619=$Q$7,$B6619&lt;'111'!$L$11),"x","")</f>
        <v/>
      </c>
      <c r="S6619" s="79" t="str">
        <f>IF(AND($O6619=$Q$7,$B6619&lt;'111'!$L$11),"x","")</f>
        <v/>
      </c>
      <c r="T6619" s="79" t="str">
        <f>IF(ISERROR(FIND('112'!$M$9,G6619,1)),"",IF((AND(FIND('112'!$M$9,G6619,1)&gt;=1,B6619='112'!$K$9,OR($N6619='112'!$I$6,$O6619='112'!$I$6))),"x",""))</f>
        <v/>
      </c>
      <c r="U6619" s="79" t="str">
        <f>IF(ISERROR(FIND('112'!$M$9,G6619,1)),"",IF((AND(LEFT(G6619,2)=LEFT('112'!$M$9,2),B6619&lt;'112'!$K$9,$N6619='112'!$I$6)),"x",""))</f>
        <v/>
      </c>
      <c r="V6619" s="79" t="str">
        <f>IF(ISERROR(FIND('112'!$M$9,G6619,1)),"",IF((AND(RIGHT(G6619,2)=RIGHT('112'!$M$9,2),B6619&lt;'112'!$K$9,$O6619='112'!$I$6)),"x",""))</f>
        <v/>
      </c>
      <c r="W6619" s="79" t="str">
        <f>IF(AND('341-CT'!$H$9=H6619,OR(LEFT(N6619,3)=$W$7,LEFT(O6619,3)=$W$7)),"x","")</f>
        <v/>
      </c>
      <c r="X6619" s="79" t="str">
        <f>IF(OR(TH!N6619=TH!$X$7,O6619=TH!$X$7),"x","")</f>
        <v/>
      </c>
      <c r="Y6619" s="79" t="str">
        <f>IF(AND(OR(N6619="131",O6619="131"),H6619='131-CT'!$H$9),"x","")</f>
        <v/>
      </c>
      <c r="Z6619" s="79"/>
      <c r="AA6619" s="79" t="str">
        <f>IF(AND(MONTH(E6619)='IN-NX'!$J$5,'IN-NX'!$D$7=D6619),"x","")</f>
        <v/>
      </c>
      <c r="AB6619" s="79" t="str">
        <f>IF(AND(OR(LEFT(TH!N6619,2)="15",LEFT(TH!O6619,2)="15"),LEFT(TH!O6619,3)&lt;&gt;"111",'152-CT'!$J$8=TH!F6619),"x","")</f>
        <v/>
      </c>
      <c r="AC6619" s="79" t="str">
        <f>IF(AND(OR(LEFT(TH!N6619,2)="15",LEFT(TH!O6619,2)="15"),TK!$E$7=TH!F6619),"x","")</f>
        <v/>
      </c>
      <c r="AD6619" s="79" t="str">
        <f>IF(AND(N6619="1521",MONTH(C6619)='BK-NL'!$M$11),"x","")</f>
        <v/>
      </c>
    </row>
    <row r="6620" spans="1:30" ht="16.5" customHeight="1">
      <c r="A6620" s="318" t="str">
        <f>IF(B6620&lt;&gt;"",IF(AND(B6620='IN-TC'!$S$4,OR(TH!N6620="1111",TH!O6620="1111")),TH!D6620,""),"")</f>
        <v/>
      </c>
      <c r="B6620" s="1163" t="str">
        <f t="shared" si="524"/>
        <v/>
      </c>
      <c r="C6620" s="61"/>
      <c r="D6620" s="61"/>
      <c r="E6620" s="61"/>
      <c r="F6620" s="69"/>
      <c r="G6620" s="64"/>
      <c r="H6620" s="321"/>
      <c r="I6620" s="385"/>
      <c r="J6620" s="392"/>
      <c r="K6620" s="385"/>
      <c r="L6620" s="392"/>
      <c r="M6620" s="62"/>
      <c r="N6620" s="63"/>
      <c r="O6620" s="63"/>
      <c r="P6620" s="79" t="str">
        <f>IF(AND('331-CT'!$E$7=TH!H6620,OR(N6620="331",O6620="331")),"x","")</f>
        <v/>
      </c>
      <c r="Q6620" s="79" t="str">
        <f>IF(AND(B6620='111'!$L$11,OR($N6620=$Q$7,$O6620=$Q$7)),"x","")</f>
        <v/>
      </c>
      <c r="R6620" s="79" t="str">
        <f>IF(AND($N6620=$Q$7,$B6620&lt;'111'!$L$11),"x","")</f>
        <v/>
      </c>
      <c r="S6620" s="79" t="str">
        <f>IF(AND($O6620=$Q$7,$B6620&lt;'111'!$L$11),"x","")</f>
        <v/>
      </c>
      <c r="T6620" s="79" t="str">
        <f>IF(ISERROR(FIND('112'!$M$9,G6620,1)),"",IF((AND(FIND('112'!$M$9,G6620,1)&gt;=1,B6620='112'!$K$9,OR($N6620='112'!$I$6,$O6620='112'!$I$6))),"x",""))</f>
        <v/>
      </c>
      <c r="U6620" s="79" t="str">
        <f>IF(ISERROR(FIND('112'!$M$9,G6620,1)),"",IF((AND(LEFT(G6620,2)=LEFT('112'!$M$9,2),B6620&lt;'112'!$K$9,$N6620='112'!$I$6)),"x",""))</f>
        <v/>
      </c>
      <c r="V6620" s="79" t="str">
        <f>IF(ISERROR(FIND('112'!$M$9,G6620,1)),"",IF((AND(RIGHT(G6620,2)=RIGHT('112'!$M$9,2),B6620&lt;'112'!$K$9,$O6620='112'!$I$6)),"x",""))</f>
        <v/>
      </c>
      <c r="W6620" s="79" t="str">
        <f>IF(AND('341-CT'!$H$9=H6620,OR(LEFT(N6620,3)=$W$7,LEFT(O6620,3)=$W$7)),"x","")</f>
        <v/>
      </c>
      <c r="X6620" s="79" t="str">
        <f>IF(OR(TH!N6620=TH!$X$7,O6620=TH!$X$7),"x","")</f>
        <v/>
      </c>
      <c r="Y6620" s="79" t="str">
        <f>IF(AND(OR(N6620="131",O6620="131"),H6620='131-CT'!$H$9),"x","")</f>
        <v/>
      </c>
      <c r="Z6620" s="79"/>
      <c r="AA6620" s="79" t="str">
        <f>IF(AND(MONTH(E6620)='IN-NX'!$J$5,'IN-NX'!$D$7=D6620),"x","")</f>
        <v/>
      </c>
      <c r="AB6620" s="79" t="str">
        <f>IF(AND(OR(LEFT(TH!N6620,2)="15",LEFT(TH!O6620,2)="15"),LEFT(TH!O6620,3)&lt;&gt;"111",'152-CT'!$J$8=TH!F6620),"x","")</f>
        <v/>
      </c>
      <c r="AC6620" s="79" t="str">
        <f>IF(AND(OR(LEFT(TH!N6620,2)="15",LEFT(TH!O6620,2)="15"),TK!$E$7=TH!F6620),"x","")</f>
        <v/>
      </c>
      <c r="AD6620" s="79" t="str">
        <f>IF(AND(N6620="1521",MONTH(C6620)='BK-NL'!$M$11),"x","")</f>
        <v/>
      </c>
    </row>
    <row r="6621" spans="1:30" ht="16.5" customHeight="1">
      <c r="A6621" s="318" t="str">
        <f>IF(B6621&lt;&gt;"",IF(AND(B6621='IN-TC'!$S$4,OR(TH!N6621="1111",TH!O6621="1111")),TH!D6621,""),"")</f>
        <v/>
      </c>
      <c r="B6621" s="1163" t="str">
        <f t="shared" si="524"/>
        <v/>
      </c>
      <c r="C6621" s="61"/>
      <c r="D6621" s="61"/>
      <c r="E6621" s="61"/>
      <c r="F6621" s="64"/>
      <c r="G6621" s="64"/>
      <c r="H6621" s="69"/>
      <c r="I6621" s="385"/>
      <c r="J6621" s="392"/>
      <c r="K6621" s="385"/>
      <c r="L6621" s="392"/>
      <c r="M6621" s="62"/>
      <c r="N6621" s="63"/>
      <c r="O6621" s="63"/>
      <c r="P6621" s="79" t="str">
        <f>IF(AND('331-CT'!$E$7=TH!H6621,OR(N6621="331",O6621="331")),"x","")</f>
        <v/>
      </c>
      <c r="Q6621" s="79" t="str">
        <f>IF(AND(B6621='111'!$L$11,OR($N6621=$Q$7,$O6621=$Q$7)),"x","")</f>
        <v/>
      </c>
      <c r="R6621" s="79" t="str">
        <f>IF(AND($N6621=$Q$7,$B6621&lt;'111'!$L$11),"x","")</f>
        <v/>
      </c>
      <c r="S6621" s="79" t="str">
        <f>IF(AND($O6621=$Q$7,$B6621&lt;'111'!$L$11),"x","")</f>
        <v/>
      </c>
      <c r="T6621" s="79" t="str">
        <f>IF(ISERROR(FIND('112'!$M$9,G6621,1)),"",IF((AND(FIND('112'!$M$9,G6621,1)&gt;=1,B6621='112'!$K$9,OR($N6621='112'!$I$6,$O6621='112'!$I$6))),"x",""))</f>
        <v/>
      </c>
      <c r="U6621" s="79" t="str">
        <f>IF(ISERROR(FIND('112'!$M$9,G6621,1)),"",IF((AND(LEFT(G6621,2)=LEFT('112'!$M$9,2),B6621&lt;'112'!$K$9,$N6621='112'!$I$6)),"x",""))</f>
        <v/>
      </c>
      <c r="V6621" s="79" t="str">
        <f>IF(ISERROR(FIND('112'!$M$9,G6621,1)),"",IF((AND(RIGHT(G6621,2)=RIGHT('112'!$M$9,2),B6621&lt;'112'!$K$9,$O6621='112'!$I$6)),"x",""))</f>
        <v/>
      </c>
      <c r="W6621" s="79" t="str">
        <f>IF(AND('341-CT'!$H$9=H6621,OR(LEFT(N6621,3)=$W$7,LEFT(O6621,3)=$W$7)),"x","")</f>
        <v/>
      </c>
      <c r="X6621" s="79" t="str">
        <f>IF(OR(TH!N6621=TH!$X$7,O6621=TH!$X$7),"x","")</f>
        <v/>
      </c>
      <c r="Y6621" s="79" t="str">
        <f>IF(AND(OR(N6621="131",O6621="131"),H6621='131-CT'!$H$9),"x","")</f>
        <v/>
      </c>
      <c r="Z6621" s="79"/>
      <c r="AA6621" s="79" t="str">
        <f>IF(AND(MONTH(E6621)='IN-NX'!$J$5,'IN-NX'!$D$7=D6621),"x","")</f>
        <v/>
      </c>
      <c r="AB6621" s="79" t="str">
        <f>IF(AND(OR(LEFT(TH!N6621,2)="15",LEFT(TH!O6621,2)="15"),LEFT(TH!O6621,3)&lt;&gt;"111",'152-CT'!$J$8=TH!F6621),"x","")</f>
        <v/>
      </c>
      <c r="AC6621" s="79" t="str">
        <f>IF(AND(OR(LEFT(TH!N6621,2)="15",LEFT(TH!O6621,2)="15"),TK!$E$7=TH!F6621),"x","")</f>
        <v/>
      </c>
      <c r="AD6621" s="79" t="str">
        <f>IF(AND(N6621="1521",MONTH(C6621)='BK-NL'!$M$11),"x","")</f>
        <v/>
      </c>
    </row>
    <row r="6622" spans="1:30" ht="16.5" customHeight="1">
      <c r="A6622" s="318" t="str">
        <f>IF(B6622&lt;&gt;"",IF(AND(B6622='IN-TC'!$S$4,OR(TH!N6622="1111",TH!O6622="1111")),TH!D6622,""),"")</f>
        <v/>
      </c>
      <c r="B6622" s="1163" t="str">
        <f t="shared" si="524"/>
        <v/>
      </c>
      <c r="C6622" s="61"/>
      <c r="D6622" s="61"/>
      <c r="E6622" s="61"/>
      <c r="F6622" s="64"/>
      <c r="G6622" s="64"/>
      <c r="H6622" s="69"/>
      <c r="I6622" s="385"/>
      <c r="J6622" s="392"/>
      <c r="K6622" s="385"/>
      <c r="L6622" s="392"/>
      <c r="M6622" s="62"/>
      <c r="N6622" s="63"/>
      <c r="O6622" s="63"/>
      <c r="P6622" s="79" t="str">
        <f>IF(AND('331-CT'!$E$7=TH!H6622,OR(N6622="331",O6622="331")),"x","")</f>
        <v/>
      </c>
      <c r="Q6622" s="79" t="str">
        <f>IF(AND(B6622='111'!$L$11,OR($N6622=$Q$7,$O6622=$Q$7)),"x","")</f>
        <v/>
      </c>
      <c r="R6622" s="79" t="str">
        <f>IF(AND($N6622=$Q$7,$B6622&lt;'111'!$L$11),"x","")</f>
        <v/>
      </c>
      <c r="S6622" s="79" t="str">
        <f>IF(AND($O6622=$Q$7,$B6622&lt;'111'!$L$11),"x","")</f>
        <v/>
      </c>
      <c r="T6622" s="79" t="str">
        <f>IF(ISERROR(FIND('112'!$M$9,G6622,1)),"",IF((AND(FIND('112'!$M$9,G6622,1)&gt;=1,B6622='112'!$K$9,OR($N6622='112'!$I$6,$O6622='112'!$I$6))),"x",""))</f>
        <v/>
      </c>
      <c r="U6622" s="79" t="str">
        <f>IF(ISERROR(FIND('112'!$M$9,G6622,1)),"",IF((AND(LEFT(G6622,2)=LEFT('112'!$M$9,2),B6622&lt;'112'!$K$9,$N6622='112'!$I$6)),"x",""))</f>
        <v/>
      </c>
      <c r="V6622" s="79" t="str">
        <f>IF(ISERROR(FIND('112'!$M$9,G6622,1)),"",IF((AND(RIGHT(G6622,2)=RIGHT('112'!$M$9,2),B6622&lt;'112'!$K$9,$O6622='112'!$I$6)),"x",""))</f>
        <v/>
      </c>
      <c r="W6622" s="79" t="str">
        <f>IF(AND('341-CT'!$H$9=H6622,OR(LEFT(N6622,3)=$W$7,LEFT(O6622,3)=$W$7)),"x","")</f>
        <v/>
      </c>
      <c r="X6622" s="79" t="str">
        <f>IF(OR(TH!N6622=TH!$X$7,O6622=TH!$X$7),"x","")</f>
        <v/>
      </c>
      <c r="Y6622" s="79" t="str">
        <f>IF(AND(OR(N6622="131",O6622="131"),H6622='131-CT'!$H$9),"x","")</f>
        <v/>
      </c>
      <c r="Z6622" s="79"/>
      <c r="AA6622" s="79" t="str">
        <f>IF(AND(MONTH(E6622)='IN-NX'!$J$5,'IN-NX'!$D$7=D6622),"x","")</f>
        <v/>
      </c>
      <c r="AB6622" s="79" t="str">
        <f>IF(AND(OR(LEFT(TH!N6622,2)="15",LEFT(TH!O6622,2)="15"),LEFT(TH!O6622,3)&lt;&gt;"111",'152-CT'!$J$8=TH!F6622),"x","")</f>
        <v/>
      </c>
      <c r="AC6622" s="79" t="str">
        <f>IF(AND(OR(LEFT(TH!N6622,2)="15",LEFT(TH!O6622,2)="15"),TK!$E$7=TH!F6622),"x","")</f>
        <v/>
      </c>
      <c r="AD6622" s="79" t="str">
        <f>IF(AND(N6622="1521",MONTH(C6622)='BK-NL'!$M$11),"x","")</f>
        <v/>
      </c>
    </row>
    <row r="6623" spans="1:30" ht="16.5" customHeight="1">
      <c r="A6623" s="318" t="str">
        <f>IF(B6623&lt;&gt;"",IF(AND(B6623='IN-TC'!$S$4,OR(TH!N6623="1111",TH!O6623="1111")),TH!D6623,""),"")</f>
        <v/>
      </c>
      <c r="B6623" s="1163" t="str">
        <f t="shared" si="524"/>
        <v/>
      </c>
      <c r="C6623" s="61"/>
      <c r="D6623" s="61"/>
      <c r="E6623" s="61"/>
      <c r="F6623" s="69"/>
      <c r="G6623" s="64"/>
      <c r="H6623" s="321"/>
      <c r="I6623" s="385"/>
      <c r="J6623" s="392"/>
      <c r="K6623" s="385"/>
      <c r="L6623" s="392"/>
      <c r="M6623" s="62"/>
      <c r="N6623" s="63"/>
      <c r="O6623" s="63"/>
      <c r="P6623" s="79" t="str">
        <f>IF(AND('331-CT'!$E$7=TH!H6623,OR(N6623="331",O6623="331")),"x","")</f>
        <v/>
      </c>
      <c r="Q6623" s="79" t="str">
        <f>IF(AND(B6623='111'!$L$11,OR($N6623=$Q$7,$O6623=$Q$7)),"x","")</f>
        <v/>
      </c>
      <c r="R6623" s="79" t="str">
        <f>IF(AND($N6623=$Q$7,$B6623&lt;'111'!$L$11),"x","")</f>
        <v/>
      </c>
      <c r="S6623" s="79" t="str">
        <f>IF(AND($O6623=$Q$7,$B6623&lt;'111'!$L$11),"x","")</f>
        <v/>
      </c>
      <c r="T6623" s="79" t="str">
        <f>IF(ISERROR(FIND('112'!$M$9,G6623,1)),"",IF((AND(FIND('112'!$M$9,G6623,1)&gt;=1,B6623='112'!$K$9,OR($N6623='112'!$I$6,$O6623='112'!$I$6))),"x",""))</f>
        <v/>
      </c>
      <c r="U6623" s="79" t="str">
        <f>IF(ISERROR(FIND('112'!$M$9,G6623,1)),"",IF((AND(LEFT(G6623,2)=LEFT('112'!$M$9,2),B6623&lt;'112'!$K$9,$N6623='112'!$I$6)),"x",""))</f>
        <v/>
      </c>
      <c r="V6623" s="79" t="str">
        <f>IF(ISERROR(FIND('112'!$M$9,G6623,1)),"",IF((AND(RIGHT(G6623,2)=RIGHT('112'!$M$9,2),B6623&lt;'112'!$K$9,$O6623='112'!$I$6)),"x",""))</f>
        <v/>
      </c>
      <c r="W6623" s="79" t="str">
        <f>IF(AND('341-CT'!$H$9=H6623,OR(LEFT(N6623,3)=$W$7,LEFT(O6623,3)=$W$7)),"x","")</f>
        <v/>
      </c>
      <c r="X6623" s="79" t="str">
        <f>IF(OR(TH!N6623=TH!$X$7,O6623=TH!$X$7),"x","")</f>
        <v/>
      </c>
      <c r="Y6623" s="79" t="str">
        <f>IF(AND(OR(N6623="131",O6623="131"),H6623='131-CT'!$H$9),"x","")</f>
        <v/>
      </c>
      <c r="Z6623" s="79"/>
      <c r="AA6623" s="79" t="str">
        <f>IF(AND(MONTH(E6623)='IN-NX'!$J$5,'IN-NX'!$D$7=D6623),"x","")</f>
        <v/>
      </c>
      <c r="AB6623" s="79" t="str">
        <f>IF(AND(OR(LEFT(TH!N6623,2)="15",LEFT(TH!O6623,2)="15"),LEFT(TH!O6623,3)&lt;&gt;"111",'152-CT'!$J$8=TH!F6623),"x","")</f>
        <v/>
      </c>
      <c r="AC6623" s="79" t="str">
        <f>IF(AND(OR(LEFT(TH!N6623,2)="15",LEFT(TH!O6623,2)="15"),TK!$E$7=TH!F6623),"x","")</f>
        <v/>
      </c>
      <c r="AD6623" s="79" t="str">
        <f>IF(AND(N6623="1521",MONTH(C6623)='BK-NL'!$M$11),"x","")</f>
        <v/>
      </c>
    </row>
    <row r="6624" spans="1:30" ht="16.5" customHeight="1">
      <c r="A6624" s="318" t="str">
        <f>IF(B6624&lt;&gt;"",IF(AND(B6624='IN-TC'!$S$4,OR(TH!N6624="1111",TH!O6624="1111")),TH!D6624,""),"")</f>
        <v/>
      </c>
      <c r="B6624" s="1163" t="str">
        <f t="shared" si="524"/>
        <v/>
      </c>
      <c r="C6624" s="61"/>
      <c r="D6624" s="61"/>
      <c r="E6624" s="61"/>
      <c r="F6624" s="64"/>
      <c r="G6624" s="64"/>
      <c r="H6624" s="69"/>
      <c r="I6624" s="385"/>
      <c r="J6624" s="392"/>
      <c r="K6624" s="385"/>
      <c r="L6624" s="392"/>
      <c r="M6624" s="62"/>
      <c r="N6624" s="63"/>
      <c r="O6624" s="63"/>
      <c r="P6624" s="79" t="str">
        <f>IF(AND('331-CT'!$E$7=TH!H6624,OR(N6624="331",O6624="331")),"x","")</f>
        <v/>
      </c>
      <c r="Q6624" s="79" t="str">
        <f>IF(AND(B6624='111'!$L$11,OR($N6624=$Q$7,$O6624=$Q$7)),"x","")</f>
        <v/>
      </c>
      <c r="R6624" s="79" t="str">
        <f>IF(AND($N6624=$Q$7,$B6624&lt;'111'!$L$11),"x","")</f>
        <v/>
      </c>
      <c r="S6624" s="79" t="str">
        <f>IF(AND($O6624=$Q$7,$B6624&lt;'111'!$L$11),"x","")</f>
        <v/>
      </c>
      <c r="T6624" s="79" t="str">
        <f>IF(ISERROR(FIND('112'!$M$9,G6624,1)),"",IF((AND(FIND('112'!$M$9,G6624,1)&gt;=1,B6624='112'!$K$9,OR($N6624='112'!$I$6,$O6624='112'!$I$6))),"x",""))</f>
        <v/>
      </c>
      <c r="U6624" s="79" t="str">
        <f>IF(ISERROR(FIND('112'!$M$9,G6624,1)),"",IF((AND(LEFT(G6624,2)=LEFT('112'!$M$9,2),B6624&lt;'112'!$K$9,$N6624='112'!$I$6)),"x",""))</f>
        <v/>
      </c>
      <c r="V6624" s="79" t="str">
        <f>IF(ISERROR(FIND('112'!$M$9,G6624,1)),"",IF((AND(RIGHT(G6624,2)=RIGHT('112'!$M$9,2),B6624&lt;'112'!$K$9,$O6624='112'!$I$6)),"x",""))</f>
        <v/>
      </c>
      <c r="W6624" s="79" t="str">
        <f>IF(AND('341-CT'!$H$9=H6624,OR(LEFT(N6624,3)=$W$7,LEFT(O6624,3)=$W$7)),"x","")</f>
        <v/>
      </c>
      <c r="X6624" s="79" t="str">
        <f>IF(OR(TH!N6624=TH!$X$7,O6624=TH!$X$7),"x","")</f>
        <v/>
      </c>
      <c r="Y6624" s="79" t="str">
        <f>IF(AND(OR(N6624="131",O6624="131"),H6624='131-CT'!$H$9),"x","")</f>
        <v/>
      </c>
      <c r="Z6624" s="79"/>
      <c r="AA6624" s="79" t="str">
        <f>IF(AND(MONTH(E6624)='IN-NX'!$J$5,'IN-NX'!$D$7=D6624),"x","")</f>
        <v/>
      </c>
      <c r="AB6624" s="79" t="str">
        <f>IF(AND(OR(LEFT(TH!N6624,2)="15",LEFT(TH!O6624,2)="15"),LEFT(TH!O6624,3)&lt;&gt;"111",'152-CT'!$J$8=TH!F6624),"x","")</f>
        <v/>
      </c>
      <c r="AC6624" s="79" t="str">
        <f>IF(AND(OR(LEFT(TH!N6624,2)="15",LEFT(TH!O6624,2)="15"),TK!$E$7=TH!F6624),"x","")</f>
        <v/>
      </c>
      <c r="AD6624" s="79" t="str">
        <f>IF(AND(N6624="1521",MONTH(C6624)='BK-NL'!$M$11),"x","")</f>
        <v/>
      </c>
    </row>
    <row r="6625" spans="1:30" ht="16.5" customHeight="1">
      <c r="A6625" s="318" t="str">
        <f>IF(B6625&lt;&gt;"",IF(AND(B6625='IN-TC'!$S$4,OR(TH!N6625="1111",TH!O6625="1111")),TH!D6625,""),"")</f>
        <v/>
      </c>
      <c r="B6625" s="1163" t="str">
        <f t="shared" si="524"/>
        <v/>
      </c>
      <c r="C6625" s="61"/>
      <c r="D6625" s="61"/>
      <c r="E6625" s="61"/>
      <c r="F6625" s="64"/>
      <c r="G6625" s="64"/>
      <c r="H6625" s="69"/>
      <c r="I6625" s="385"/>
      <c r="J6625" s="392"/>
      <c r="K6625" s="385"/>
      <c r="L6625" s="392"/>
      <c r="M6625" s="62"/>
      <c r="N6625" s="63"/>
      <c r="O6625" s="63"/>
      <c r="P6625" s="79" t="str">
        <f>IF(AND('331-CT'!$E$7=TH!H6625,OR(N6625="331",O6625="331")),"x","")</f>
        <v/>
      </c>
      <c r="Q6625" s="79" t="str">
        <f>IF(AND(B6625='111'!$L$11,OR($N6625=$Q$7,$O6625=$Q$7)),"x","")</f>
        <v/>
      </c>
      <c r="R6625" s="79" t="str">
        <f>IF(AND($N6625=$Q$7,$B6625&lt;'111'!$L$11),"x","")</f>
        <v/>
      </c>
      <c r="S6625" s="79" t="str">
        <f>IF(AND($O6625=$Q$7,$B6625&lt;'111'!$L$11),"x","")</f>
        <v/>
      </c>
      <c r="T6625" s="79" t="str">
        <f>IF(ISERROR(FIND('112'!$M$9,G6625,1)),"",IF((AND(FIND('112'!$M$9,G6625,1)&gt;=1,B6625='112'!$K$9,OR($N6625='112'!$I$6,$O6625='112'!$I$6))),"x",""))</f>
        <v/>
      </c>
      <c r="U6625" s="79" t="str">
        <f>IF(ISERROR(FIND('112'!$M$9,G6625,1)),"",IF((AND(LEFT(G6625,2)=LEFT('112'!$M$9,2),B6625&lt;'112'!$K$9,$N6625='112'!$I$6)),"x",""))</f>
        <v/>
      </c>
      <c r="V6625" s="79" t="str">
        <f>IF(ISERROR(FIND('112'!$M$9,G6625,1)),"",IF((AND(RIGHT(G6625,2)=RIGHT('112'!$M$9,2),B6625&lt;'112'!$K$9,$O6625='112'!$I$6)),"x",""))</f>
        <v/>
      </c>
      <c r="W6625" s="79" t="str">
        <f>IF(AND('341-CT'!$H$9=H6625,OR(LEFT(N6625,3)=$W$7,LEFT(O6625,3)=$W$7)),"x","")</f>
        <v/>
      </c>
      <c r="X6625" s="79" t="str">
        <f>IF(OR(TH!N6625=TH!$X$7,O6625=TH!$X$7),"x","")</f>
        <v/>
      </c>
      <c r="Y6625" s="79" t="str">
        <f>IF(AND(OR(N6625="131",O6625="131"),H6625='131-CT'!$H$9),"x","")</f>
        <v/>
      </c>
      <c r="Z6625" s="79"/>
      <c r="AA6625" s="79" t="str">
        <f>IF(AND(MONTH(E6625)='IN-NX'!$J$5,'IN-NX'!$D$7=D6625),"x","")</f>
        <v/>
      </c>
      <c r="AB6625" s="79" t="str">
        <f>IF(AND(OR(LEFT(TH!N6625,2)="15",LEFT(TH!O6625,2)="15"),LEFT(TH!O6625,3)&lt;&gt;"111",'152-CT'!$J$8=TH!F6625),"x","")</f>
        <v/>
      </c>
      <c r="AC6625" s="79" t="str">
        <f>IF(AND(OR(LEFT(TH!N6625,2)="15",LEFT(TH!O6625,2)="15"),TK!$E$7=TH!F6625),"x","")</f>
        <v/>
      </c>
      <c r="AD6625" s="79" t="str">
        <f>IF(AND(N6625="1521",MONTH(C6625)='BK-NL'!$M$11),"x","")</f>
        <v/>
      </c>
    </row>
    <row r="6626" spans="1:30" ht="16.5" customHeight="1">
      <c r="A6626" s="318" t="str">
        <f>IF(B6626&lt;&gt;"",IF(AND(B6626='IN-TC'!$S$4,OR(TH!N6626="1111",TH!O6626="1111")),TH!D6626,""),"")</f>
        <v/>
      </c>
      <c r="B6626" s="1163" t="str">
        <f t="shared" si="524"/>
        <v/>
      </c>
      <c r="C6626" s="61"/>
      <c r="D6626" s="61"/>
      <c r="E6626" s="61"/>
      <c r="F6626" s="446"/>
      <c r="G6626" s="64"/>
      <c r="H6626" s="69"/>
      <c r="I6626" s="385"/>
      <c r="J6626" s="392"/>
      <c r="K6626" s="385"/>
      <c r="L6626" s="392"/>
      <c r="M6626" s="62"/>
      <c r="N6626" s="63"/>
      <c r="O6626" s="63"/>
      <c r="P6626" s="79" t="str">
        <f>IF(AND('331-CT'!$E$7=TH!H6626,OR(N6626="331",O6626="331")),"x","")</f>
        <v/>
      </c>
      <c r="Q6626" s="79" t="str">
        <f>IF(AND(B6626='111'!$L$11,OR($N6626=$Q$7,$O6626=$Q$7)),"x","")</f>
        <v/>
      </c>
      <c r="R6626" s="79" t="str">
        <f>IF(AND($N6626=$Q$7,$B6626&lt;'111'!$L$11),"x","")</f>
        <v/>
      </c>
      <c r="S6626" s="79" t="str">
        <f>IF(AND($O6626=$Q$7,$B6626&lt;'111'!$L$11),"x","")</f>
        <v/>
      </c>
      <c r="T6626" s="79" t="str">
        <f>IF(ISERROR(FIND('112'!$M$9,G6626,1)),"",IF((AND(FIND('112'!$M$9,G6626,1)&gt;=1,B6626='112'!$K$9,OR($N6626='112'!$I$6,$O6626='112'!$I$6))),"x",""))</f>
        <v/>
      </c>
      <c r="U6626" s="79" t="str">
        <f>IF(ISERROR(FIND('112'!$M$9,G6626,1)),"",IF((AND(LEFT(G6626,2)=LEFT('112'!$M$9,2),B6626&lt;'112'!$K$9,$N6626='112'!$I$6)),"x",""))</f>
        <v/>
      </c>
      <c r="V6626" s="79" t="str">
        <f>IF(ISERROR(FIND('112'!$M$9,G6626,1)),"",IF((AND(RIGHT(G6626,2)=RIGHT('112'!$M$9,2),B6626&lt;'112'!$K$9,$O6626='112'!$I$6)),"x",""))</f>
        <v/>
      </c>
      <c r="W6626" s="79" t="str">
        <f>IF(AND('341-CT'!$H$9=H6626,OR(LEFT(N6626,3)=$W$7,LEFT(O6626,3)=$W$7)),"x","")</f>
        <v/>
      </c>
      <c r="X6626" s="79" t="str">
        <f>IF(OR(TH!N6626=TH!$X$7,O6626=TH!$X$7),"x","")</f>
        <v/>
      </c>
      <c r="Y6626" s="79" t="str">
        <f>IF(AND(OR(N6626="131",O6626="131"),H6626='131-CT'!$H$9),"x","")</f>
        <v/>
      </c>
      <c r="Z6626" s="79"/>
      <c r="AA6626" s="79" t="str">
        <f>IF(AND(MONTH(E6626)='IN-NX'!$J$5,'IN-NX'!$D$7=D6626),"x","")</f>
        <v/>
      </c>
      <c r="AB6626" s="79" t="str">
        <f>IF(AND(OR(LEFT(TH!N6626,2)="15",LEFT(TH!O6626,2)="15"),LEFT(TH!O6626,3)&lt;&gt;"111",'152-CT'!$J$8=TH!F6626),"x","")</f>
        <v/>
      </c>
      <c r="AC6626" s="79" t="str">
        <f>IF(AND(OR(LEFT(TH!N6626,2)="15",LEFT(TH!O6626,2)="15"),TK!$E$7=TH!F6626),"x","")</f>
        <v/>
      </c>
      <c r="AD6626" s="79" t="str">
        <f>IF(AND(N6626="1521",MONTH(C6626)='BK-NL'!$M$11),"x","")</f>
        <v/>
      </c>
    </row>
    <row r="6627" spans="1:30" ht="16.5" customHeight="1">
      <c r="A6627" s="318" t="str">
        <f>IF(B6627&lt;&gt;"",IF(AND(B6627='IN-TC'!$S$4,OR(TH!N6627="1111",TH!O6627="1111")),TH!D6627,""),"")</f>
        <v/>
      </c>
      <c r="B6627" s="1163" t="str">
        <f t="shared" si="524"/>
        <v/>
      </c>
      <c r="C6627" s="61"/>
      <c r="D6627" s="61"/>
      <c r="E6627" s="61"/>
      <c r="F6627" s="446"/>
      <c r="G6627" s="64"/>
      <c r="H6627" s="69"/>
      <c r="I6627" s="385"/>
      <c r="J6627" s="392"/>
      <c r="K6627" s="385"/>
      <c r="L6627" s="392"/>
      <c r="M6627" s="62"/>
      <c r="N6627" s="63"/>
      <c r="O6627" s="63"/>
      <c r="P6627" s="79" t="str">
        <f>IF(AND('331-CT'!$E$7=TH!H6627,OR(N6627="331",O6627="331")),"x","")</f>
        <v/>
      </c>
      <c r="Q6627" s="79" t="str">
        <f>IF(AND(B6627='111'!$L$11,OR($N6627=$Q$7,$O6627=$Q$7)),"x","")</f>
        <v/>
      </c>
      <c r="R6627" s="79" t="str">
        <f>IF(AND($N6627=$Q$7,$B6627&lt;'111'!$L$11),"x","")</f>
        <v/>
      </c>
      <c r="S6627" s="79" t="str">
        <f>IF(AND($O6627=$Q$7,$B6627&lt;'111'!$L$11),"x","")</f>
        <v/>
      </c>
      <c r="T6627" s="79" t="str">
        <f>IF(ISERROR(FIND('112'!$M$9,G6627,1)),"",IF((AND(FIND('112'!$M$9,G6627,1)&gt;=1,B6627='112'!$K$9,OR($N6627='112'!$I$6,$O6627='112'!$I$6))),"x",""))</f>
        <v/>
      </c>
      <c r="U6627" s="79" t="str">
        <f>IF(ISERROR(FIND('112'!$M$9,G6627,1)),"",IF((AND(LEFT(G6627,2)=LEFT('112'!$M$9,2),B6627&lt;'112'!$K$9,$N6627='112'!$I$6)),"x",""))</f>
        <v/>
      </c>
      <c r="V6627" s="79" t="str">
        <f>IF(ISERROR(FIND('112'!$M$9,G6627,1)),"",IF((AND(RIGHT(G6627,2)=RIGHT('112'!$M$9,2),B6627&lt;'112'!$K$9,$O6627='112'!$I$6)),"x",""))</f>
        <v/>
      </c>
      <c r="W6627" s="79" t="str">
        <f>IF(AND('341-CT'!$H$9=H6627,OR(LEFT(N6627,3)=$W$7,LEFT(O6627,3)=$W$7)),"x","")</f>
        <v/>
      </c>
      <c r="X6627" s="79" t="str">
        <f>IF(OR(TH!N6627=TH!$X$7,O6627=TH!$X$7),"x","")</f>
        <v/>
      </c>
      <c r="Y6627" s="79" t="str">
        <f>IF(AND(OR(N6627="131",O6627="131"),H6627='131-CT'!$H$9),"x","")</f>
        <v/>
      </c>
      <c r="Z6627" s="79"/>
      <c r="AA6627" s="79" t="str">
        <f>IF(AND(MONTH(E6627)='IN-NX'!$J$5,'IN-NX'!$D$7=D6627),"x","")</f>
        <v/>
      </c>
      <c r="AB6627" s="79" t="str">
        <f>IF(AND(OR(LEFT(TH!N6627,2)="15",LEFT(TH!O6627,2)="15"),LEFT(TH!O6627,3)&lt;&gt;"111",'152-CT'!$J$8=TH!F6627),"x","")</f>
        <v/>
      </c>
      <c r="AC6627" s="79" t="str">
        <f>IF(AND(OR(LEFT(TH!N6627,2)="15",LEFT(TH!O6627,2)="15"),TK!$E$7=TH!F6627),"x","")</f>
        <v/>
      </c>
      <c r="AD6627" s="79" t="str">
        <f>IF(AND(N6627="1521",MONTH(C6627)='BK-NL'!$M$11),"x","")</f>
        <v/>
      </c>
    </row>
    <row r="6628" spans="1:30" ht="16.5" customHeight="1">
      <c r="A6628" s="318" t="str">
        <f>IF(B6628&lt;&gt;"",IF(AND(B6628='IN-TC'!$S$4,OR(TH!N6628="1111",TH!O6628="1111")),TH!D6628,""),"")</f>
        <v/>
      </c>
      <c r="B6628" s="1163" t="str">
        <f t="shared" si="524"/>
        <v/>
      </c>
      <c r="C6628" s="61"/>
      <c r="D6628" s="61"/>
      <c r="E6628" s="61"/>
      <c r="F6628" s="69"/>
      <c r="G6628" s="766"/>
      <c r="H6628" s="69"/>
      <c r="I6628" s="385"/>
      <c r="J6628" s="392"/>
      <c r="K6628" s="385"/>
      <c r="L6628" s="392"/>
      <c r="M6628" s="62"/>
      <c r="N6628" s="63"/>
      <c r="O6628" s="63"/>
      <c r="P6628" s="79" t="str">
        <f>IF(AND('331-CT'!$E$7=TH!H6628,OR(N6628="331",O6628="331")),"x","")</f>
        <v/>
      </c>
      <c r="Q6628" s="79" t="str">
        <f>IF(AND(B6628='111'!$L$11,OR($N6628=$Q$7,$O6628=$Q$7)),"x","")</f>
        <v/>
      </c>
      <c r="R6628" s="79" t="str">
        <f>IF(AND($N6628=$Q$7,$B6628&lt;'111'!$L$11),"x","")</f>
        <v/>
      </c>
      <c r="S6628" s="79" t="str">
        <f>IF(AND($O6628=$Q$7,$B6628&lt;'111'!$L$11),"x","")</f>
        <v/>
      </c>
      <c r="T6628" s="79" t="str">
        <f>IF(ISERROR(FIND('112'!$M$9,G6628,1)),"",IF((AND(FIND('112'!$M$9,G6628,1)&gt;=1,B6628='112'!$K$9,OR($N6628='112'!$I$6,$O6628='112'!$I$6))),"x",""))</f>
        <v/>
      </c>
      <c r="U6628" s="79" t="str">
        <f>IF(ISERROR(FIND('112'!$M$9,G6628,1)),"",IF((AND(LEFT(G6628,2)=LEFT('112'!$M$9,2),B6628&lt;'112'!$K$9,$N6628='112'!$I$6)),"x",""))</f>
        <v/>
      </c>
      <c r="V6628" s="79" t="str">
        <f>IF(ISERROR(FIND('112'!$M$9,G6628,1)),"",IF((AND(RIGHT(G6628,2)=RIGHT('112'!$M$9,2),B6628&lt;'112'!$K$9,$O6628='112'!$I$6)),"x",""))</f>
        <v/>
      </c>
      <c r="W6628" s="79" t="str">
        <f>IF(AND('341-CT'!$H$9=H6628,OR(LEFT(N6628,3)=$W$7,LEFT(O6628,3)=$W$7)),"x","")</f>
        <v/>
      </c>
      <c r="X6628" s="79" t="str">
        <f>IF(OR(TH!N6628=TH!$X$7,O6628=TH!$X$7),"x","")</f>
        <v/>
      </c>
      <c r="Y6628" s="79" t="str">
        <f>IF(AND(OR(N6628="131",O6628="131"),H6628='131-CT'!$H$9),"x","")</f>
        <v/>
      </c>
      <c r="Z6628" s="79"/>
      <c r="AA6628" s="79" t="str">
        <f>IF(AND(MONTH(E6628)='IN-NX'!$J$5,'IN-NX'!$D$7=D6628),"x","")</f>
        <v/>
      </c>
      <c r="AB6628" s="79" t="str">
        <f>IF(AND(OR(LEFT(TH!N6628,2)="15",LEFT(TH!O6628,2)="15"),LEFT(TH!O6628,3)&lt;&gt;"111",'152-CT'!$J$8=TH!F6628),"x","")</f>
        <v/>
      </c>
      <c r="AC6628" s="79" t="str">
        <f>IF(AND(OR(LEFT(TH!N6628,2)="15",LEFT(TH!O6628,2)="15"),TK!$E$7=TH!F6628),"x","")</f>
        <v/>
      </c>
      <c r="AD6628" s="79" t="str">
        <f>IF(AND(N6628="1521",MONTH(C6628)='BK-NL'!$M$11),"x","")</f>
        <v/>
      </c>
    </row>
    <row r="6629" spans="1:30" ht="16.5" customHeight="1">
      <c r="A6629" s="318" t="str">
        <f>IF(B6629&lt;&gt;"",IF(AND(B6629='IN-TC'!$S$4,OR(TH!N6629="1111",TH!O6629="1111")),TH!D6629,""),"")</f>
        <v/>
      </c>
      <c r="B6629" s="1163" t="str">
        <f t="shared" si="524"/>
        <v/>
      </c>
      <c r="C6629" s="61"/>
      <c r="D6629" s="61"/>
      <c r="E6629" s="61"/>
      <c r="F6629" s="69"/>
      <c r="G6629" s="766"/>
      <c r="H6629" s="69"/>
      <c r="I6629" s="385"/>
      <c r="J6629" s="392"/>
      <c r="K6629" s="385"/>
      <c r="L6629" s="392"/>
      <c r="M6629" s="62"/>
      <c r="N6629" s="63"/>
      <c r="O6629" s="63"/>
      <c r="P6629" s="79" t="str">
        <f>IF(AND('331-CT'!$E$7=TH!H6629,OR(N6629="331",O6629="331")),"x","")</f>
        <v/>
      </c>
      <c r="Q6629" s="79" t="str">
        <f>IF(AND(B6629='111'!$L$11,OR($N6629=$Q$7,$O6629=$Q$7)),"x","")</f>
        <v/>
      </c>
      <c r="R6629" s="79" t="str">
        <f>IF(AND($N6629=$Q$7,$B6629&lt;'111'!$L$11),"x","")</f>
        <v/>
      </c>
      <c r="S6629" s="79" t="str">
        <f>IF(AND($O6629=$Q$7,$B6629&lt;'111'!$L$11),"x","")</f>
        <v/>
      </c>
      <c r="T6629" s="79" t="str">
        <f>IF(ISERROR(FIND('112'!$M$9,G6629,1)),"",IF((AND(FIND('112'!$M$9,G6629,1)&gt;=1,B6629='112'!$K$9,OR($N6629='112'!$I$6,$O6629='112'!$I$6))),"x",""))</f>
        <v/>
      </c>
      <c r="U6629" s="79" t="str">
        <f>IF(ISERROR(FIND('112'!$M$9,G6629,1)),"",IF((AND(LEFT(G6629,2)=LEFT('112'!$M$9,2),B6629&lt;'112'!$K$9,$N6629='112'!$I$6)),"x",""))</f>
        <v/>
      </c>
      <c r="V6629" s="79" t="str">
        <f>IF(ISERROR(FIND('112'!$M$9,G6629,1)),"",IF((AND(RIGHT(G6629,2)=RIGHT('112'!$M$9,2),B6629&lt;'112'!$K$9,$O6629='112'!$I$6)),"x",""))</f>
        <v/>
      </c>
      <c r="W6629" s="79" t="str">
        <f>IF(AND('341-CT'!$H$9=H6629,OR(LEFT(N6629,3)=$W$7,LEFT(O6629,3)=$W$7)),"x","")</f>
        <v/>
      </c>
      <c r="X6629" s="79" t="str">
        <f>IF(OR(TH!N6629=TH!$X$7,O6629=TH!$X$7),"x","")</f>
        <v/>
      </c>
      <c r="Y6629" s="79" t="str">
        <f>IF(AND(OR(N6629="131",O6629="131"),H6629='131-CT'!$H$9),"x","")</f>
        <v/>
      </c>
      <c r="Z6629" s="79"/>
      <c r="AA6629" s="79" t="str">
        <f>IF(AND(MONTH(E6629)='IN-NX'!$J$5,'IN-NX'!$D$7=D6629),"x","")</f>
        <v/>
      </c>
      <c r="AB6629" s="79" t="str">
        <f>IF(AND(OR(LEFT(TH!N6629,2)="15",LEFT(TH!O6629,2)="15"),LEFT(TH!O6629,3)&lt;&gt;"111",'152-CT'!$J$8=TH!F6629),"x","")</f>
        <v/>
      </c>
      <c r="AC6629" s="79" t="str">
        <f>IF(AND(OR(LEFT(TH!N6629,2)="15",LEFT(TH!O6629,2)="15"),TK!$E$7=TH!F6629),"x","")</f>
        <v/>
      </c>
      <c r="AD6629" s="79" t="str">
        <f>IF(AND(N6629="1521",MONTH(C6629)='BK-NL'!$M$11),"x","")</f>
        <v/>
      </c>
    </row>
    <row r="6630" spans="1:30" ht="16.5" customHeight="1">
      <c r="A6630" s="318" t="str">
        <f>IF(B6630&lt;&gt;"",IF(AND(B6630='IN-TC'!$S$4,OR(TH!N6630="1111",TH!O6630="1111")),TH!D6630,""),"")</f>
        <v/>
      </c>
      <c r="B6630" s="1163" t="str">
        <f t="shared" si="524"/>
        <v/>
      </c>
      <c r="C6630" s="61"/>
      <c r="D6630" s="61"/>
      <c r="E6630" s="61"/>
      <c r="F6630" s="69"/>
      <c r="G6630" s="766"/>
      <c r="H6630" s="69"/>
      <c r="I6630" s="385"/>
      <c r="J6630" s="392"/>
      <c r="K6630" s="385"/>
      <c r="L6630" s="392"/>
      <c r="M6630" s="62"/>
      <c r="N6630" s="63"/>
      <c r="O6630" s="63"/>
      <c r="P6630" s="79" t="str">
        <f>IF(AND('331-CT'!$E$7=TH!H6630,OR(N6630="331",O6630="331")),"x","")</f>
        <v/>
      </c>
      <c r="Q6630" s="79" t="str">
        <f>IF(AND(B6630='111'!$L$11,OR($N6630=$Q$7,$O6630=$Q$7)),"x","")</f>
        <v/>
      </c>
      <c r="R6630" s="79" t="str">
        <f>IF(AND($N6630=$Q$7,$B6630&lt;'111'!$L$11),"x","")</f>
        <v/>
      </c>
      <c r="S6630" s="79" t="str">
        <f>IF(AND($O6630=$Q$7,$B6630&lt;'111'!$L$11),"x","")</f>
        <v/>
      </c>
      <c r="T6630" s="79" t="str">
        <f>IF(ISERROR(FIND('112'!$M$9,G6630,1)),"",IF((AND(FIND('112'!$M$9,G6630,1)&gt;=1,B6630='112'!$K$9,OR($N6630='112'!$I$6,$O6630='112'!$I$6))),"x",""))</f>
        <v/>
      </c>
      <c r="U6630" s="79" t="str">
        <f>IF(ISERROR(FIND('112'!$M$9,G6630,1)),"",IF((AND(LEFT(G6630,2)=LEFT('112'!$M$9,2),B6630&lt;'112'!$K$9,$N6630='112'!$I$6)),"x",""))</f>
        <v/>
      </c>
      <c r="V6630" s="79" t="str">
        <f>IF(ISERROR(FIND('112'!$M$9,G6630,1)),"",IF((AND(RIGHT(G6630,2)=RIGHT('112'!$M$9,2),B6630&lt;'112'!$K$9,$O6630='112'!$I$6)),"x",""))</f>
        <v/>
      </c>
      <c r="W6630" s="79" t="str">
        <f>IF(AND('341-CT'!$H$9=H6630,OR(LEFT(N6630,3)=$W$7,LEFT(O6630,3)=$W$7)),"x","")</f>
        <v/>
      </c>
      <c r="X6630" s="79" t="str">
        <f>IF(OR(TH!N6630=TH!$X$7,O6630=TH!$X$7),"x","")</f>
        <v/>
      </c>
      <c r="Y6630" s="79" t="str">
        <f>IF(AND(OR(N6630="131",O6630="131"),H6630='131-CT'!$H$9),"x","")</f>
        <v/>
      </c>
      <c r="Z6630" s="79"/>
      <c r="AA6630" s="79" t="str">
        <f>IF(AND(MONTH(E6630)='IN-NX'!$J$5,'IN-NX'!$D$7=D6630),"x","")</f>
        <v/>
      </c>
      <c r="AB6630" s="79" t="str">
        <f>IF(AND(OR(LEFT(TH!N6630,2)="15",LEFT(TH!O6630,2)="15"),LEFT(TH!O6630,3)&lt;&gt;"111",'152-CT'!$J$8=TH!F6630),"x","")</f>
        <v/>
      </c>
      <c r="AC6630" s="79" t="str">
        <f>IF(AND(OR(LEFT(TH!N6630,2)="15",LEFT(TH!O6630,2)="15"),TK!$E$7=TH!F6630),"x","")</f>
        <v/>
      </c>
      <c r="AD6630" s="79" t="str">
        <f>IF(AND(N6630="1521",MONTH(C6630)='BK-NL'!$M$11),"x","")</f>
        <v/>
      </c>
    </row>
    <row r="6631" spans="1:30" ht="16.5" customHeight="1">
      <c r="A6631" s="318" t="str">
        <f>IF(B6631&lt;&gt;"",IF(AND(B6631='IN-TC'!$S$4,OR(TH!N6631="1111",TH!O6631="1111")),TH!D6631,""),"")</f>
        <v/>
      </c>
      <c r="B6631" s="1163" t="str">
        <f t="shared" si="524"/>
        <v/>
      </c>
      <c r="C6631" s="61"/>
      <c r="D6631" s="61"/>
      <c r="E6631" s="61"/>
      <c r="F6631" s="69"/>
      <c r="G6631" s="766"/>
      <c r="H6631" s="69"/>
      <c r="I6631" s="385"/>
      <c r="J6631" s="392"/>
      <c r="K6631" s="385"/>
      <c r="L6631" s="392"/>
      <c r="M6631" s="62"/>
      <c r="N6631" s="63"/>
      <c r="O6631" s="63"/>
      <c r="P6631" s="79" t="str">
        <f>IF(AND('331-CT'!$E$7=TH!H6631,OR(N6631="331",O6631="331")),"x","")</f>
        <v/>
      </c>
      <c r="Q6631" s="79" t="str">
        <f>IF(AND(B6631='111'!$L$11,OR($N6631=$Q$7,$O6631=$Q$7)),"x","")</f>
        <v/>
      </c>
      <c r="R6631" s="79" t="str">
        <f>IF(AND($N6631=$Q$7,$B6631&lt;'111'!$L$11),"x","")</f>
        <v/>
      </c>
      <c r="S6631" s="79" t="str">
        <f>IF(AND($O6631=$Q$7,$B6631&lt;'111'!$L$11),"x","")</f>
        <v/>
      </c>
      <c r="T6631" s="79" t="str">
        <f>IF(ISERROR(FIND('112'!$M$9,G6631,1)),"",IF((AND(FIND('112'!$M$9,G6631,1)&gt;=1,B6631='112'!$K$9,OR($N6631='112'!$I$6,$O6631='112'!$I$6))),"x",""))</f>
        <v/>
      </c>
      <c r="U6631" s="79" t="str">
        <f>IF(ISERROR(FIND('112'!$M$9,G6631,1)),"",IF((AND(LEFT(G6631,2)=LEFT('112'!$M$9,2),B6631&lt;'112'!$K$9,$N6631='112'!$I$6)),"x",""))</f>
        <v/>
      </c>
      <c r="V6631" s="79" t="str">
        <f>IF(ISERROR(FIND('112'!$M$9,G6631,1)),"",IF((AND(RIGHT(G6631,2)=RIGHT('112'!$M$9,2),B6631&lt;'112'!$K$9,$O6631='112'!$I$6)),"x",""))</f>
        <v/>
      </c>
      <c r="W6631" s="79" t="str">
        <f>IF(AND('341-CT'!$H$9=H6631,OR(LEFT(N6631,3)=$W$7,LEFT(O6631,3)=$W$7)),"x","")</f>
        <v/>
      </c>
      <c r="X6631" s="79" t="str">
        <f>IF(OR(TH!N6631=TH!$X$7,O6631=TH!$X$7),"x","")</f>
        <v/>
      </c>
      <c r="Y6631" s="79" t="str">
        <f>IF(AND(OR(N6631="131",O6631="131"),H6631='131-CT'!$H$9),"x","")</f>
        <v/>
      </c>
      <c r="Z6631" s="79"/>
      <c r="AA6631" s="79" t="str">
        <f>IF(AND(MONTH(E6631)='IN-NX'!$J$5,'IN-NX'!$D$7=D6631),"x","")</f>
        <v/>
      </c>
      <c r="AB6631" s="79" t="str">
        <f>IF(AND(OR(LEFT(TH!N6631,2)="15",LEFT(TH!O6631,2)="15"),LEFT(TH!O6631,3)&lt;&gt;"111",'152-CT'!$J$8=TH!F6631),"x","")</f>
        <v/>
      </c>
      <c r="AC6631" s="79" t="str">
        <f>IF(AND(OR(LEFT(TH!N6631,2)="15",LEFT(TH!O6631,2)="15"),TK!$E$7=TH!F6631),"x","")</f>
        <v/>
      </c>
      <c r="AD6631" s="79" t="str">
        <f>IF(AND(N6631="1521",MONTH(C6631)='BK-NL'!$M$11),"x","")</f>
        <v/>
      </c>
    </row>
    <row r="6632" spans="1:30" ht="16.5" customHeight="1">
      <c r="A6632" s="318" t="str">
        <f>IF(B6632&lt;&gt;"",IF(AND(B6632='IN-TC'!$S$4,OR(TH!N6632="1111",TH!O6632="1111")),TH!D6632,""),"")</f>
        <v/>
      </c>
      <c r="B6632" s="1163" t="str">
        <f t="shared" si="524"/>
        <v/>
      </c>
      <c r="C6632" s="61"/>
      <c r="D6632" s="61"/>
      <c r="E6632" s="61"/>
      <c r="F6632" s="446"/>
      <c r="G6632" s="64"/>
      <c r="H6632" s="69"/>
      <c r="I6632" s="385"/>
      <c r="J6632" s="392"/>
      <c r="K6632" s="385"/>
      <c r="L6632" s="392"/>
      <c r="M6632" s="62"/>
      <c r="N6632" s="63"/>
      <c r="O6632" s="63"/>
      <c r="P6632" s="79" t="str">
        <f>IF(AND('331-CT'!$E$7=TH!H6632,OR(N6632="331",O6632="331")),"x","")</f>
        <v/>
      </c>
      <c r="Q6632" s="79" t="str">
        <f>IF(AND(B6632='111'!$L$11,OR($N6632=$Q$7,$O6632=$Q$7)),"x","")</f>
        <v/>
      </c>
      <c r="R6632" s="79" t="str">
        <f>IF(AND($N6632=$Q$7,$B6632&lt;'111'!$L$11),"x","")</f>
        <v/>
      </c>
      <c r="S6632" s="79" t="str">
        <f>IF(AND($O6632=$Q$7,$B6632&lt;'111'!$L$11),"x","")</f>
        <v/>
      </c>
      <c r="T6632" s="79" t="str">
        <f>IF(ISERROR(FIND('112'!$M$9,G6632,1)),"",IF((AND(FIND('112'!$M$9,G6632,1)&gt;=1,B6632='112'!$K$9,OR($N6632='112'!$I$6,$O6632='112'!$I$6))),"x",""))</f>
        <v/>
      </c>
      <c r="U6632" s="79" t="str">
        <f>IF(ISERROR(FIND('112'!$M$9,G6632,1)),"",IF((AND(LEFT(G6632,2)=LEFT('112'!$M$9,2),B6632&lt;'112'!$K$9,$N6632='112'!$I$6)),"x",""))</f>
        <v/>
      </c>
      <c r="V6632" s="79" t="str">
        <f>IF(ISERROR(FIND('112'!$M$9,G6632,1)),"",IF((AND(RIGHT(G6632,2)=RIGHT('112'!$M$9,2),B6632&lt;'112'!$K$9,$O6632='112'!$I$6)),"x",""))</f>
        <v/>
      </c>
      <c r="W6632" s="79" t="str">
        <f>IF(AND('341-CT'!$H$9=H6632,OR(LEFT(N6632,3)=$W$7,LEFT(O6632,3)=$W$7)),"x","")</f>
        <v/>
      </c>
      <c r="X6632" s="79" t="str">
        <f>IF(OR(TH!N6632=TH!$X$7,O6632=TH!$X$7),"x","")</f>
        <v/>
      </c>
      <c r="Y6632" s="79" t="str">
        <f>IF(AND(OR(N6632="131",O6632="131"),H6632='131-CT'!$H$9),"x","")</f>
        <v/>
      </c>
      <c r="Z6632" s="79"/>
      <c r="AA6632" s="79" t="str">
        <f>IF(AND(MONTH(E6632)='IN-NX'!$J$5,'IN-NX'!$D$7=D6632),"x","")</f>
        <v/>
      </c>
      <c r="AB6632" s="79" t="str">
        <f>IF(AND(OR(LEFT(TH!N6632,2)="15",LEFT(TH!O6632,2)="15"),LEFT(TH!O6632,3)&lt;&gt;"111",'152-CT'!$J$8=TH!F6632),"x","")</f>
        <v/>
      </c>
      <c r="AC6632" s="79" t="str">
        <f>IF(AND(OR(LEFT(TH!N6632,2)="15",LEFT(TH!O6632,2)="15"),TK!$E$7=TH!F6632),"x","")</f>
        <v/>
      </c>
      <c r="AD6632" s="79" t="str">
        <f>IF(AND(N6632="1521",MONTH(C6632)='BK-NL'!$M$11),"x","")</f>
        <v/>
      </c>
    </row>
    <row r="6633" spans="1:30" ht="16.5" customHeight="1">
      <c r="A6633" s="318" t="str">
        <f>IF(B6633&lt;&gt;"",IF(AND(B6633='IN-TC'!$S$4,OR(TH!N6633="1111",TH!O6633="1111")),TH!D6633,""),"")</f>
        <v/>
      </c>
      <c r="B6633" s="1163" t="str">
        <f t="shared" si="524"/>
        <v/>
      </c>
      <c r="C6633" s="61"/>
      <c r="D6633" s="61"/>
      <c r="E6633" s="61"/>
      <c r="F6633" s="69"/>
      <c r="G6633" s="64"/>
      <c r="H6633" s="69"/>
      <c r="I6633" s="385"/>
      <c r="J6633" s="392"/>
      <c r="K6633" s="385"/>
      <c r="L6633" s="392"/>
      <c r="M6633" s="62"/>
      <c r="N6633" s="63"/>
      <c r="O6633" s="63"/>
      <c r="P6633" s="79" t="str">
        <f>IF(AND('331-CT'!$E$7=TH!H6633,OR(N6633="331",O6633="331")),"x","")</f>
        <v/>
      </c>
      <c r="Q6633" s="79" t="str">
        <f>IF(AND(B6633='111'!$L$11,OR($N6633=$Q$7,$O6633=$Q$7)),"x","")</f>
        <v/>
      </c>
      <c r="R6633" s="79" t="str">
        <f>IF(AND($N6633=$Q$7,$B6633&lt;'111'!$L$11),"x","")</f>
        <v/>
      </c>
      <c r="S6633" s="79" t="str">
        <f>IF(AND($O6633=$Q$7,$B6633&lt;'111'!$L$11),"x","")</f>
        <v/>
      </c>
      <c r="T6633" s="79" t="str">
        <f>IF(ISERROR(FIND('112'!$M$9,G6633,1)),"",IF((AND(FIND('112'!$M$9,G6633,1)&gt;=1,B6633='112'!$K$9,OR($N6633='112'!$I$6,$O6633='112'!$I$6))),"x",""))</f>
        <v/>
      </c>
      <c r="U6633" s="79" t="str">
        <f>IF(ISERROR(FIND('112'!$M$9,G6633,1)),"",IF((AND(LEFT(G6633,2)=LEFT('112'!$M$9,2),B6633&lt;'112'!$K$9,$N6633='112'!$I$6)),"x",""))</f>
        <v/>
      </c>
      <c r="V6633" s="79" t="str">
        <f>IF(ISERROR(FIND('112'!$M$9,G6633,1)),"",IF((AND(RIGHT(G6633,2)=RIGHT('112'!$M$9,2),B6633&lt;'112'!$K$9,$O6633='112'!$I$6)),"x",""))</f>
        <v/>
      </c>
      <c r="W6633" s="79" t="str">
        <f>IF(AND('341-CT'!$H$9=H6633,OR(LEFT(N6633,3)=$W$7,LEFT(O6633,3)=$W$7)),"x","")</f>
        <v/>
      </c>
      <c r="X6633" s="79" t="str">
        <f>IF(OR(TH!N6633=TH!$X$7,O6633=TH!$X$7),"x","")</f>
        <v/>
      </c>
      <c r="Y6633" s="79" t="str">
        <f>IF(AND(OR(N6633="131",O6633="131"),H6633='131-CT'!$H$9),"x","")</f>
        <v/>
      </c>
      <c r="Z6633" s="79"/>
      <c r="AA6633" s="79" t="str">
        <f>IF(AND(MONTH(E6633)='IN-NX'!$J$5,'IN-NX'!$D$7=D6633),"x","")</f>
        <v/>
      </c>
      <c r="AB6633" s="79" t="str">
        <f>IF(AND(OR(LEFT(TH!N6633,2)="15",LEFT(TH!O6633,2)="15"),LEFT(TH!O6633,3)&lt;&gt;"111",'152-CT'!$J$8=TH!F6633),"x","")</f>
        <v/>
      </c>
      <c r="AC6633" s="79" t="str">
        <f>IF(AND(OR(LEFT(TH!N6633,2)="15",LEFT(TH!O6633,2)="15"),TK!$E$7=TH!F6633),"x","")</f>
        <v/>
      </c>
      <c r="AD6633" s="79" t="str">
        <f>IF(AND(N6633="1521",MONTH(C6633)='BK-NL'!$M$11),"x","")</f>
        <v/>
      </c>
    </row>
    <row r="6634" spans="1:30" ht="16.5" customHeight="1">
      <c r="A6634" s="318" t="str">
        <f>IF(B6634&lt;&gt;"",IF(AND(B6634='IN-TC'!$S$4,OR(TH!N6634="1111",TH!O6634="1111")),TH!D6634,""),"")</f>
        <v/>
      </c>
      <c r="B6634" s="1163" t="str">
        <f t="shared" si="524"/>
        <v/>
      </c>
      <c r="C6634" s="61"/>
      <c r="D6634" s="61"/>
      <c r="E6634" s="61"/>
      <c r="F6634" s="69"/>
      <c r="G6634" s="64"/>
      <c r="H6634" s="69"/>
      <c r="I6634" s="385"/>
      <c r="J6634" s="392"/>
      <c r="K6634" s="385"/>
      <c r="L6634" s="392"/>
      <c r="M6634" s="62"/>
      <c r="N6634" s="63"/>
      <c r="O6634" s="63"/>
      <c r="P6634" s="79" t="str">
        <f>IF(AND('331-CT'!$E$7=TH!H6634,OR(N6634="331",O6634="331")),"x","")</f>
        <v/>
      </c>
      <c r="Q6634" s="79" t="str">
        <f>IF(AND(B6634='111'!$L$11,OR($N6634=$Q$7,$O6634=$Q$7)),"x","")</f>
        <v/>
      </c>
      <c r="R6634" s="79" t="str">
        <f>IF(AND($N6634=$Q$7,$B6634&lt;'111'!$L$11),"x","")</f>
        <v/>
      </c>
      <c r="S6634" s="79" t="str">
        <f>IF(AND($O6634=$Q$7,$B6634&lt;'111'!$L$11),"x","")</f>
        <v/>
      </c>
      <c r="T6634" s="79" t="str">
        <f>IF(ISERROR(FIND('112'!$M$9,G6634,1)),"",IF((AND(FIND('112'!$M$9,G6634,1)&gt;=1,B6634='112'!$K$9,OR($N6634='112'!$I$6,$O6634='112'!$I$6))),"x",""))</f>
        <v/>
      </c>
      <c r="U6634" s="79" t="str">
        <f>IF(ISERROR(FIND('112'!$M$9,G6634,1)),"",IF((AND(LEFT(G6634,2)=LEFT('112'!$M$9,2),B6634&lt;'112'!$K$9,$N6634='112'!$I$6)),"x",""))</f>
        <v/>
      </c>
      <c r="V6634" s="79" t="str">
        <f>IF(ISERROR(FIND('112'!$M$9,G6634,1)),"",IF((AND(RIGHT(G6634,2)=RIGHT('112'!$M$9,2),B6634&lt;'112'!$K$9,$O6634='112'!$I$6)),"x",""))</f>
        <v/>
      </c>
      <c r="W6634" s="79" t="str">
        <f>IF(AND('341-CT'!$H$9=H6634,OR(LEFT(N6634,3)=$W$7,LEFT(O6634,3)=$W$7)),"x","")</f>
        <v/>
      </c>
      <c r="X6634" s="79" t="str">
        <f>IF(OR(TH!N6634=TH!$X$7,O6634=TH!$X$7),"x","")</f>
        <v/>
      </c>
      <c r="Y6634" s="79" t="str">
        <f>IF(AND(OR(N6634="131",O6634="131"),H6634='131-CT'!$H$9),"x","")</f>
        <v/>
      </c>
      <c r="Z6634" s="79"/>
      <c r="AA6634" s="79" t="str">
        <f>IF(AND(MONTH(E6634)='IN-NX'!$J$5,'IN-NX'!$D$7=D6634),"x","")</f>
        <v/>
      </c>
      <c r="AB6634" s="79" t="str">
        <f>IF(AND(OR(LEFT(TH!N6634,2)="15",LEFT(TH!O6634,2)="15"),LEFT(TH!O6634,3)&lt;&gt;"111",'152-CT'!$J$8=TH!F6634),"x","")</f>
        <v/>
      </c>
      <c r="AC6634" s="79" t="str">
        <f>IF(AND(OR(LEFT(TH!N6634,2)="15",LEFT(TH!O6634,2)="15"),TK!$E$7=TH!F6634),"x","")</f>
        <v/>
      </c>
      <c r="AD6634" s="79" t="str">
        <f>IF(AND(N6634="1521",MONTH(C6634)='BK-NL'!$M$11),"x","")</f>
        <v/>
      </c>
    </row>
    <row r="6635" spans="1:30" ht="16.5" customHeight="1">
      <c r="A6635" s="318" t="str">
        <f>IF(B6635&lt;&gt;"",IF(AND(B6635='IN-TC'!$S$4,OR(TH!N6635="1111",TH!O6635="1111")),TH!D6635,""),"")</f>
        <v/>
      </c>
      <c r="B6635" s="1163" t="str">
        <f t="shared" si="524"/>
        <v/>
      </c>
      <c r="C6635" s="61"/>
      <c r="D6635" s="61"/>
      <c r="E6635" s="61"/>
      <c r="F6635" s="64"/>
      <c r="G6635" s="64"/>
      <c r="H6635" s="69"/>
      <c r="I6635" s="385"/>
      <c r="J6635" s="392"/>
      <c r="K6635" s="385"/>
      <c r="L6635" s="392"/>
      <c r="M6635" s="62"/>
      <c r="N6635" s="63"/>
      <c r="O6635" s="63"/>
      <c r="P6635" s="79" t="str">
        <f>IF(AND('331-CT'!$E$7=TH!H6635,OR(N6635="331",O6635="331")),"x","")</f>
        <v/>
      </c>
      <c r="Q6635" s="79" t="str">
        <f>IF(AND(B6635='111'!$L$11,OR($N6635=$Q$7,$O6635=$Q$7)),"x","")</f>
        <v/>
      </c>
      <c r="R6635" s="79" t="str">
        <f>IF(AND($N6635=$Q$7,$B6635&lt;'111'!$L$11),"x","")</f>
        <v/>
      </c>
      <c r="S6635" s="79" t="str">
        <f>IF(AND($O6635=$Q$7,$B6635&lt;'111'!$L$11),"x","")</f>
        <v/>
      </c>
      <c r="T6635" s="79" t="str">
        <f>IF(ISERROR(FIND('112'!$M$9,G6635,1)),"",IF((AND(FIND('112'!$M$9,G6635,1)&gt;=1,B6635='112'!$K$9,OR($N6635='112'!$I$6,$O6635='112'!$I$6))),"x",""))</f>
        <v/>
      </c>
      <c r="U6635" s="79" t="str">
        <f>IF(ISERROR(FIND('112'!$M$9,G6635,1)),"",IF((AND(LEFT(G6635,2)=LEFT('112'!$M$9,2),B6635&lt;'112'!$K$9,$N6635='112'!$I$6)),"x",""))</f>
        <v/>
      </c>
      <c r="V6635" s="79" t="str">
        <f>IF(ISERROR(FIND('112'!$M$9,G6635,1)),"",IF((AND(RIGHT(G6635,2)=RIGHT('112'!$M$9,2),B6635&lt;'112'!$K$9,$O6635='112'!$I$6)),"x",""))</f>
        <v/>
      </c>
      <c r="W6635" s="79" t="str">
        <f>IF(AND('341-CT'!$H$9=H6635,OR(LEFT(N6635,3)=$W$7,LEFT(O6635,3)=$W$7)),"x","")</f>
        <v/>
      </c>
      <c r="X6635" s="79" t="str">
        <f>IF(OR(TH!N6635=TH!$X$7,O6635=TH!$X$7),"x","")</f>
        <v/>
      </c>
      <c r="Y6635" s="79" t="str">
        <f>IF(AND(OR(N6635="131",O6635="131"),H6635='131-CT'!$H$9),"x","")</f>
        <v/>
      </c>
      <c r="Z6635" s="79"/>
      <c r="AA6635" s="79" t="str">
        <f>IF(AND(MONTH(E6635)='IN-NX'!$J$5,'IN-NX'!$D$7=D6635),"x","")</f>
        <v/>
      </c>
      <c r="AB6635" s="79" t="str">
        <f>IF(AND(OR(LEFT(TH!N6635,2)="15",LEFT(TH!O6635,2)="15"),LEFT(TH!O6635,3)&lt;&gt;"111",'152-CT'!$J$8=TH!F6635),"x","")</f>
        <v/>
      </c>
      <c r="AC6635" s="79" t="str">
        <f>IF(AND(OR(LEFT(TH!N6635,2)="15",LEFT(TH!O6635,2)="15"),TK!$E$7=TH!F6635),"x","")</f>
        <v/>
      </c>
      <c r="AD6635" s="79" t="str">
        <f>IF(AND(N6635="1521",MONTH(C6635)='BK-NL'!$M$11),"x","")</f>
        <v/>
      </c>
    </row>
    <row r="6636" spans="1:30" ht="16.5" customHeight="1">
      <c r="A6636" s="318" t="str">
        <f>IF(B6636&lt;&gt;"",IF(AND(B6636='IN-TC'!$S$4,OR(TH!N6636="1111",TH!O6636="1111")),TH!D6636,""),"")</f>
        <v/>
      </c>
      <c r="B6636" s="1163" t="str">
        <f t="shared" si="524"/>
        <v/>
      </c>
      <c r="C6636" s="61"/>
      <c r="D6636" s="61"/>
      <c r="E6636" s="61"/>
      <c r="F6636" s="64"/>
      <c r="G6636" s="64"/>
      <c r="H6636" s="69"/>
      <c r="I6636" s="385"/>
      <c r="J6636" s="392"/>
      <c r="K6636" s="385"/>
      <c r="L6636" s="392"/>
      <c r="M6636" s="62"/>
      <c r="N6636" s="63"/>
      <c r="O6636" s="63"/>
      <c r="P6636" s="79" t="str">
        <f>IF(AND('331-CT'!$E$7=TH!H6636,OR(N6636="331",O6636="331")),"x","")</f>
        <v/>
      </c>
      <c r="Q6636" s="79" t="str">
        <f>IF(AND(B6636='111'!$L$11,OR($N6636=$Q$7,$O6636=$Q$7)),"x","")</f>
        <v/>
      </c>
      <c r="R6636" s="79" t="str">
        <f>IF(AND($N6636=$Q$7,$B6636&lt;'111'!$L$11),"x","")</f>
        <v/>
      </c>
      <c r="S6636" s="79" t="str">
        <f>IF(AND($O6636=$Q$7,$B6636&lt;'111'!$L$11),"x","")</f>
        <v/>
      </c>
      <c r="T6636" s="79" t="str">
        <f>IF(ISERROR(FIND('112'!$M$9,G6636,1)),"",IF((AND(FIND('112'!$M$9,G6636,1)&gt;=1,B6636='112'!$K$9,OR($N6636='112'!$I$6,$O6636='112'!$I$6))),"x",""))</f>
        <v/>
      </c>
      <c r="U6636" s="79" t="str">
        <f>IF(ISERROR(FIND('112'!$M$9,G6636,1)),"",IF((AND(LEFT(G6636,2)=LEFT('112'!$M$9,2),B6636&lt;'112'!$K$9,$N6636='112'!$I$6)),"x",""))</f>
        <v/>
      </c>
      <c r="V6636" s="79" t="str">
        <f>IF(ISERROR(FIND('112'!$M$9,G6636,1)),"",IF((AND(RIGHT(G6636,2)=RIGHT('112'!$M$9,2),B6636&lt;'112'!$K$9,$O6636='112'!$I$6)),"x",""))</f>
        <v/>
      </c>
      <c r="W6636" s="79" t="str">
        <f>IF(AND('341-CT'!$H$9=H6636,OR(LEFT(N6636,3)=$W$7,LEFT(O6636,3)=$W$7)),"x","")</f>
        <v/>
      </c>
      <c r="X6636" s="79" t="str">
        <f>IF(OR(TH!N6636=TH!$X$7,O6636=TH!$X$7),"x","")</f>
        <v/>
      </c>
      <c r="Y6636" s="79" t="str">
        <f>IF(AND(OR(N6636="131",O6636="131"),H6636='131-CT'!$H$9),"x","")</f>
        <v/>
      </c>
      <c r="Z6636" s="79"/>
      <c r="AA6636" s="79" t="str">
        <f>IF(AND(MONTH(E6636)='IN-NX'!$J$5,'IN-NX'!$D$7=D6636),"x","")</f>
        <v/>
      </c>
      <c r="AB6636" s="79" t="str">
        <f>IF(AND(OR(LEFT(TH!N6636,2)="15",LEFT(TH!O6636,2)="15"),LEFT(TH!O6636,3)&lt;&gt;"111",'152-CT'!$J$8=TH!F6636),"x","")</f>
        <v/>
      </c>
      <c r="AC6636" s="79" t="str">
        <f>IF(AND(OR(LEFT(TH!N6636,2)="15",LEFT(TH!O6636,2)="15"),TK!$E$7=TH!F6636),"x","")</f>
        <v/>
      </c>
      <c r="AD6636" s="79" t="str">
        <f>IF(AND(N6636="1521",MONTH(C6636)='BK-NL'!$M$11),"x","")</f>
        <v/>
      </c>
    </row>
    <row r="6637" spans="1:30" ht="16.5" customHeight="1">
      <c r="A6637" s="318" t="str">
        <f>IF(B6637&lt;&gt;"",IF(AND(B6637='IN-TC'!$S$4,OR(TH!N6637="1111",TH!O6637="1111")),TH!D6637,""),"")</f>
        <v/>
      </c>
      <c r="B6637" s="1163" t="str">
        <f t="shared" si="524"/>
        <v/>
      </c>
      <c r="C6637" s="61"/>
      <c r="D6637" s="61"/>
      <c r="E6637" s="61"/>
      <c r="F6637" s="69"/>
      <c r="G6637" s="64"/>
      <c r="H6637" s="321"/>
      <c r="I6637" s="385"/>
      <c r="J6637" s="392"/>
      <c r="K6637" s="385"/>
      <c r="L6637" s="392"/>
      <c r="M6637" s="62"/>
      <c r="N6637" s="63"/>
      <c r="O6637" s="63"/>
      <c r="P6637" s="79" t="str">
        <f>IF(AND('331-CT'!$E$7=TH!H6637,OR(N6637="331",O6637="331")),"x","")</f>
        <v/>
      </c>
      <c r="Q6637" s="79" t="str">
        <f>IF(AND(B6637='111'!$L$11,OR($N6637=$Q$7,$O6637=$Q$7)),"x","")</f>
        <v/>
      </c>
      <c r="R6637" s="79" t="str">
        <f>IF(AND($N6637=$Q$7,$B6637&lt;'111'!$L$11),"x","")</f>
        <v/>
      </c>
      <c r="S6637" s="79" t="str">
        <f>IF(AND($O6637=$Q$7,$B6637&lt;'111'!$L$11),"x","")</f>
        <v/>
      </c>
      <c r="T6637" s="79" t="str">
        <f>IF(ISERROR(FIND('112'!$M$9,G6637,1)),"",IF((AND(FIND('112'!$M$9,G6637,1)&gt;=1,B6637='112'!$K$9,OR($N6637='112'!$I$6,$O6637='112'!$I$6))),"x",""))</f>
        <v/>
      </c>
      <c r="U6637" s="79" t="str">
        <f>IF(ISERROR(FIND('112'!$M$9,G6637,1)),"",IF((AND(LEFT(G6637,2)=LEFT('112'!$M$9,2),B6637&lt;'112'!$K$9,$N6637='112'!$I$6)),"x",""))</f>
        <v/>
      </c>
      <c r="V6637" s="79" t="str">
        <f>IF(ISERROR(FIND('112'!$M$9,G6637,1)),"",IF((AND(RIGHT(G6637,2)=RIGHT('112'!$M$9,2),B6637&lt;'112'!$K$9,$O6637='112'!$I$6)),"x",""))</f>
        <v/>
      </c>
      <c r="W6637" s="79" t="str">
        <f>IF(AND('341-CT'!$H$9=H6637,OR(LEFT(N6637,3)=$W$7,LEFT(O6637,3)=$W$7)),"x","")</f>
        <v/>
      </c>
      <c r="X6637" s="79" t="str">
        <f>IF(OR(TH!N6637=TH!$X$7,O6637=TH!$X$7),"x","")</f>
        <v/>
      </c>
      <c r="Y6637" s="79" t="str">
        <f>IF(AND(OR(N6637="131",O6637="131"),H6637='131-CT'!$H$9),"x","")</f>
        <v/>
      </c>
      <c r="Z6637" s="79"/>
      <c r="AA6637" s="79" t="str">
        <f>IF(AND(MONTH(E6637)='IN-NX'!$J$5,'IN-NX'!$D$7=D6637),"x","")</f>
        <v/>
      </c>
      <c r="AB6637" s="79" t="str">
        <f>IF(AND(OR(LEFT(TH!N6637,2)="15",LEFT(TH!O6637,2)="15"),LEFT(TH!O6637,3)&lt;&gt;"111",'152-CT'!$J$8=TH!F6637),"x","")</f>
        <v/>
      </c>
      <c r="AC6637" s="79" t="str">
        <f>IF(AND(OR(LEFT(TH!N6637,2)="15",LEFT(TH!O6637,2)="15"),TK!$E$7=TH!F6637),"x","")</f>
        <v/>
      </c>
      <c r="AD6637" s="79" t="str">
        <f>IF(AND(N6637="1521",MONTH(C6637)='BK-NL'!$M$11),"x","")</f>
        <v/>
      </c>
    </row>
    <row r="6638" spans="1:30" ht="16.5" customHeight="1">
      <c r="A6638" s="318" t="str">
        <f>IF(B6638&lt;&gt;"",IF(AND(B6638='IN-TC'!$S$4,OR(TH!N6638="1111",TH!O6638="1111")),TH!D6638,""),"")</f>
        <v/>
      </c>
      <c r="B6638" s="1163" t="str">
        <f t="shared" si="524"/>
        <v/>
      </c>
      <c r="C6638" s="61"/>
      <c r="D6638" s="61"/>
      <c r="E6638" s="61"/>
      <c r="F6638" s="69"/>
      <c r="G6638" s="64"/>
      <c r="H6638" s="69"/>
      <c r="I6638" s="385"/>
      <c r="J6638" s="392"/>
      <c r="K6638" s="385"/>
      <c r="L6638" s="392"/>
      <c r="M6638" s="62"/>
      <c r="N6638" s="63"/>
      <c r="O6638" s="63"/>
      <c r="P6638" s="79" t="str">
        <f>IF(AND('331-CT'!$E$7=TH!H6638,OR(N6638="331",O6638="331")),"x","")</f>
        <v/>
      </c>
      <c r="Q6638" s="79" t="str">
        <f>IF(AND(B6638='111'!$L$11,OR($N6638=$Q$7,$O6638=$Q$7)),"x","")</f>
        <v/>
      </c>
      <c r="R6638" s="79" t="str">
        <f>IF(AND($N6638=$Q$7,$B6638&lt;'111'!$L$11),"x","")</f>
        <v/>
      </c>
      <c r="S6638" s="79" t="str">
        <f>IF(AND($O6638=$Q$7,$B6638&lt;'111'!$L$11),"x","")</f>
        <v/>
      </c>
      <c r="T6638" s="79" t="str">
        <f>IF(ISERROR(FIND('112'!$M$9,G6638,1)),"",IF((AND(FIND('112'!$M$9,G6638,1)&gt;=1,B6638='112'!$K$9,OR($N6638='112'!$I$6,$O6638='112'!$I$6))),"x",""))</f>
        <v/>
      </c>
      <c r="U6638" s="79" t="str">
        <f>IF(ISERROR(FIND('112'!$M$9,G6638,1)),"",IF((AND(LEFT(G6638,2)=LEFT('112'!$M$9,2),B6638&lt;'112'!$K$9,$N6638='112'!$I$6)),"x",""))</f>
        <v/>
      </c>
      <c r="V6638" s="79" t="str">
        <f>IF(ISERROR(FIND('112'!$M$9,G6638,1)),"",IF((AND(RIGHT(G6638,2)=RIGHT('112'!$M$9,2),B6638&lt;'112'!$K$9,$O6638='112'!$I$6)),"x",""))</f>
        <v/>
      </c>
      <c r="W6638" s="79" t="str">
        <f>IF(AND('341-CT'!$H$9=H6638,OR(LEFT(N6638,3)=$W$7,LEFT(O6638,3)=$W$7)),"x","")</f>
        <v/>
      </c>
      <c r="X6638" s="79" t="str">
        <f>IF(OR(TH!N6638=TH!$X$7,O6638=TH!$X$7),"x","")</f>
        <v/>
      </c>
      <c r="Y6638" s="79" t="str">
        <f>IF(AND(OR(N6638="131",O6638="131"),H6638='131-CT'!$H$9),"x","")</f>
        <v/>
      </c>
      <c r="Z6638" s="79"/>
      <c r="AA6638" s="79" t="str">
        <f>IF(AND(MONTH(E6638)='IN-NX'!$J$5,'IN-NX'!$D$7=D6638),"x","")</f>
        <v/>
      </c>
      <c r="AB6638" s="79" t="str">
        <f>IF(AND(OR(LEFT(TH!N6638,2)="15",LEFT(TH!O6638,2)="15"),LEFT(TH!O6638,3)&lt;&gt;"111",'152-CT'!$J$8=TH!F6638),"x","")</f>
        <v/>
      </c>
      <c r="AC6638" s="79" t="str">
        <f>IF(AND(OR(LEFT(TH!N6638,2)="15",LEFT(TH!O6638,2)="15"),TK!$E$7=TH!F6638),"x","")</f>
        <v/>
      </c>
      <c r="AD6638" s="79" t="str">
        <f>IF(AND(N6638="1521",MONTH(C6638)='BK-NL'!$M$11),"x","")</f>
        <v/>
      </c>
    </row>
    <row r="6639" spans="1:30" ht="16.5" customHeight="1">
      <c r="A6639" s="318" t="str">
        <f>IF(B6639&lt;&gt;"",IF(AND(B6639='IN-TC'!$S$4,OR(TH!N6639="1111",TH!O6639="1111")),TH!D6639,""),"")</f>
        <v/>
      </c>
      <c r="B6639" s="1163" t="str">
        <f t="shared" si="524"/>
        <v/>
      </c>
      <c r="C6639" s="61"/>
      <c r="D6639" s="61"/>
      <c r="E6639" s="61"/>
      <c r="F6639" s="64"/>
      <c r="G6639" s="64"/>
      <c r="H6639" s="69"/>
      <c r="I6639" s="385"/>
      <c r="J6639" s="392"/>
      <c r="K6639" s="385"/>
      <c r="L6639" s="392"/>
      <c r="M6639" s="62"/>
      <c r="N6639" s="63"/>
      <c r="O6639" s="63"/>
      <c r="P6639" s="79" t="str">
        <f>IF(AND('331-CT'!$E$7=TH!H6639,OR(N6639="331",O6639="331")),"x","")</f>
        <v/>
      </c>
      <c r="Q6639" s="79" t="str">
        <f>IF(AND(B6639='111'!$L$11,OR($N6639=$Q$7,$O6639=$Q$7)),"x","")</f>
        <v/>
      </c>
      <c r="R6639" s="79" t="str">
        <f>IF(AND($N6639=$Q$7,$B6639&lt;'111'!$L$11),"x","")</f>
        <v/>
      </c>
      <c r="S6639" s="79" t="str">
        <f>IF(AND($O6639=$Q$7,$B6639&lt;'111'!$L$11),"x","")</f>
        <v/>
      </c>
      <c r="T6639" s="79" t="str">
        <f>IF(ISERROR(FIND('112'!$M$9,G6639,1)),"",IF((AND(FIND('112'!$M$9,G6639,1)&gt;=1,B6639='112'!$K$9,OR($N6639='112'!$I$6,$O6639='112'!$I$6))),"x",""))</f>
        <v/>
      </c>
      <c r="U6639" s="79" t="str">
        <f>IF(ISERROR(FIND('112'!$M$9,G6639,1)),"",IF((AND(LEFT(G6639,2)=LEFT('112'!$M$9,2),B6639&lt;'112'!$K$9,$N6639='112'!$I$6)),"x",""))</f>
        <v/>
      </c>
      <c r="V6639" s="79" t="str">
        <f>IF(ISERROR(FIND('112'!$M$9,G6639,1)),"",IF((AND(RIGHT(G6639,2)=RIGHT('112'!$M$9,2),B6639&lt;'112'!$K$9,$O6639='112'!$I$6)),"x",""))</f>
        <v/>
      </c>
      <c r="W6639" s="79" t="str">
        <f>IF(AND('341-CT'!$H$9=H6639,OR(LEFT(N6639,3)=$W$7,LEFT(O6639,3)=$W$7)),"x","")</f>
        <v/>
      </c>
      <c r="X6639" s="79" t="str">
        <f>IF(OR(TH!N6639=TH!$X$7,O6639=TH!$X$7),"x","")</f>
        <v/>
      </c>
      <c r="Y6639" s="79" t="str">
        <f>IF(AND(OR(N6639="131",O6639="131"),H6639='131-CT'!$H$9),"x","")</f>
        <v/>
      </c>
      <c r="Z6639" s="79"/>
      <c r="AA6639" s="79" t="str">
        <f>IF(AND(MONTH(E6639)='IN-NX'!$J$5,'IN-NX'!$D$7=D6639),"x","")</f>
        <v/>
      </c>
      <c r="AB6639" s="79" t="str">
        <f>IF(AND(OR(LEFT(TH!N6639,2)="15",LEFT(TH!O6639,2)="15"),LEFT(TH!O6639,3)&lt;&gt;"111",'152-CT'!$J$8=TH!F6639),"x","")</f>
        <v/>
      </c>
      <c r="AC6639" s="79" t="str">
        <f>IF(AND(OR(LEFT(TH!N6639,2)="15",LEFT(TH!O6639,2)="15"),TK!$E$7=TH!F6639),"x","")</f>
        <v/>
      </c>
      <c r="AD6639" s="79" t="str">
        <f>IF(AND(N6639="1521",MONTH(C6639)='BK-NL'!$M$11),"x","")</f>
        <v/>
      </c>
    </row>
    <row r="6640" spans="1:30" ht="16.5" customHeight="1">
      <c r="A6640" s="318" t="str">
        <f>IF(B6640&lt;&gt;"",IF(AND(B6640='IN-TC'!$S$4,OR(TH!N6640="1111",TH!O6640="1111")),TH!D6640,""),"")</f>
        <v/>
      </c>
      <c r="B6640" s="1163" t="str">
        <f t="shared" si="524"/>
        <v/>
      </c>
      <c r="C6640" s="61"/>
      <c r="D6640" s="61"/>
      <c r="E6640" s="61"/>
      <c r="F6640" s="69"/>
      <c r="G6640" s="64"/>
      <c r="H6640" s="321"/>
      <c r="I6640" s="385"/>
      <c r="J6640" s="392"/>
      <c r="K6640" s="385"/>
      <c r="L6640" s="392"/>
      <c r="M6640" s="62"/>
      <c r="N6640" s="63"/>
      <c r="O6640" s="63"/>
      <c r="P6640" s="79" t="str">
        <f>IF(AND('331-CT'!$E$7=TH!H6640,OR(N6640="331",O6640="331")),"x","")</f>
        <v/>
      </c>
      <c r="Q6640" s="79" t="str">
        <f>IF(AND(B6640='111'!$L$11,OR($N6640=$Q$7,$O6640=$Q$7)),"x","")</f>
        <v/>
      </c>
      <c r="R6640" s="79" t="str">
        <f>IF(AND($N6640=$Q$7,$B6640&lt;'111'!$L$11),"x","")</f>
        <v/>
      </c>
      <c r="S6640" s="79" t="str">
        <f>IF(AND($O6640=$Q$7,$B6640&lt;'111'!$L$11),"x","")</f>
        <v/>
      </c>
      <c r="T6640" s="79" t="str">
        <f>IF(ISERROR(FIND('112'!$M$9,G6640,1)),"",IF((AND(FIND('112'!$M$9,G6640,1)&gt;=1,B6640='112'!$K$9,OR($N6640='112'!$I$6,$O6640='112'!$I$6))),"x",""))</f>
        <v/>
      </c>
      <c r="U6640" s="79" t="str">
        <f>IF(ISERROR(FIND('112'!$M$9,G6640,1)),"",IF((AND(LEFT(G6640,2)=LEFT('112'!$M$9,2),B6640&lt;'112'!$K$9,$N6640='112'!$I$6)),"x",""))</f>
        <v/>
      </c>
      <c r="V6640" s="79" t="str">
        <f>IF(ISERROR(FIND('112'!$M$9,G6640,1)),"",IF((AND(RIGHT(G6640,2)=RIGHT('112'!$M$9,2),B6640&lt;'112'!$K$9,$O6640='112'!$I$6)),"x",""))</f>
        <v/>
      </c>
      <c r="W6640" s="79" t="str">
        <f>IF(AND('341-CT'!$H$9=H6640,OR(LEFT(N6640,3)=$W$7,LEFT(O6640,3)=$W$7)),"x","")</f>
        <v/>
      </c>
      <c r="X6640" s="79" t="str">
        <f>IF(OR(TH!N6640=TH!$X$7,O6640=TH!$X$7),"x","")</f>
        <v/>
      </c>
      <c r="Y6640" s="79" t="str">
        <f>IF(AND(OR(N6640="131",O6640="131"),H6640='131-CT'!$H$9),"x","")</f>
        <v/>
      </c>
      <c r="Z6640" s="79"/>
      <c r="AA6640" s="79" t="str">
        <f>IF(AND(MONTH(E6640)='IN-NX'!$J$5,'IN-NX'!$D$7=D6640),"x","")</f>
        <v/>
      </c>
      <c r="AB6640" s="79" t="str">
        <f>IF(AND(OR(LEFT(TH!N6640,2)="15",LEFT(TH!O6640,2)="15"),LEFT(TH!O6640,3)&lt;&gt;"111",'152-CT'!$J$8=TH!F6640),"x","")</f>
        <v/>
      </c>
      <c r="AC6640" s="79" t="str">
        <f>IF(AND(OR(LEFT(TH!N6640,2)="15",LEFT(TH!O6640,2)="15"),TK!$E$7=TH!F6640),"x","")</f>
        <v/>
      </c>
      <c r="AD6640" s="79" t="str">
        <f>IF(AND(N6640="1521",MONTH(C6640)='BK-NL'!$M$11),"x","")</f>
        <v/>
      </c>
    </row>
    <row r="6641" spans="1:30" ht="16.5" customHeight="1">
      <c r="A6641" s="318" t="str">
        <f>IF(B6641&lt;&gt;"",IF(AND(B6641='IN-TC'!$S$4,OR(TH!N6641="1111",TH!O6641="1111")),TH!D6641,""),"")</f>
        <v/>
      </c>
      <c r="B6641" s="1163" t="str">
        <f t="shared" si="524"/>
        <v/>
      </c>
      <c r="C6641" s="61"/>
      <c r="D6641" s="61"/>
      <c r="E6641" s="61"/>
      <c r="F6641" s="69"/>
      <c r="G6641" s="64"/>
      <c r="H6641" s="321"/>
      <c r="I6641" s="385"/>
      <c r="J6641" s="392"/>
      <c r="K6641" s="385"/>
      <c r="L6641" s="392"/>
      <c r="M6641" s="62"/>
      <c r="N6641" s="63"/>
      <c r="O6641" s="63"/>
      <c r="P6641" s="79" t="str">
        <f>IF(AND('331-CT'!$E$7=TH!H6641,OR(N6641="331",O6641="331")),"x","")</f>
        <v/>
      </c>
      <c r="Q6641" s="79" t="str">
        <f>IF(AND(B6641='111'!$L$11,OR($N6641=$Q$7,$O6641=$Q$7)),"x","")</f>
        <v/>
      </c>
      <c r="R6641" s="79" t="str">
        <f>IF(AND($N6641=$Q$7,$B6641&lt;'111'!$L$11),"x","")</f>
        <v/>
      </c>
      <c r="S6641" s="79" t="str">
        <f>IF(AND($O6641=$Q$7,$B6641&lt;'111'!$L$11),"x","")</f>
        <v/>
      </c>
      <c r="T6641" s="79" t="str">
        <f>IF(ISERROR(FIND('112'!$M$9,G6641,1)),"",IF((AND(FIND('112'!$M$9,G6641,1)&gt;=1,B6641='112'!$K$9,OR($N6641='112'!$I$6,$O6641='112'!$I$6))),"x",""))</f>
        <v/>
      </c>
      <c r="U6641" s="79" t="str">
        <f>IF(ISERROR(FIND('112'!$M$9,G6641,1)),"",IF((AND(LEFT(G6641,2)=LEFT('112'!$M$9,2),B6641&lt;'112'!$K$9,$N6641='112'!$I$6)),"x",""))</f>
        <v/>
      </c>
      <c r="V6641" s="79" t="str">
        <f>IF(ISERROR(FIND('112'!$M$9,G6641,1)),"",IF((AND(RIGHT(G6641,2)=RIGHT('112'!$M$9,2),B6641&lt;'112'!$K$9,$O6641='112'!$I$6)),"x",""))</f>
        <v/>
      </c>
      <c r="W6641" s="79" t="str">
        <f>IF(AND('341-CT'!$H$9=H6641,OR(LEFT(N6641,3)=$W$7,LEFT(O6641,3)=$W$7)),"x","")</f>
        <v/>
      </c>
      <c r="X6641" s="79" t="str">
        <f>IF(OR(TH!N6641=TH!$X$7,O6641=TH!$X$7),"x","")</f>
        <v/>
      </c>
      <c r="Y6641" s="79" t="str">
        <f>IF(AND(OR(N6641="131",O6641="131"),H6641='131-CT'!$H$9),"x","")</f>
        <v/>
      </c>
      <c r="Z6641" s="79"/>
      <c r="AA6641" s="79" t="str">
        <f>IF(AND(MONTH(E6641)='IN-NX'!$J$5,'IN-NX'!$D$7=D6641),"x","")</f>
        <v/>
      </c>
      <c r="AB6641" s="79" t="str">
        <f>IF(AND(OR(LEFT(TH!N6641,2)="15",LEFT(TH!O6641,2)="15"),LEFT(TH!O6641,3)&lt;&gt;"111",'152-CT'!$J$8=TH!F6641),"x","")</f>
        <v/>
      </c>
      <c r="AC6641" s="79" t="str">
        <f>IF(AND(OR(LEFT(TH!N6641,2)="15",LEFT(TH!O6641,2)="15"),TK!$E$7=TH!F6641),"x","")</f>
        <v/>
      </c>
      <c r="AD6641" s="79" t="str">
        <f>IF(AND(N6641="1521",MONTH(C6641)='BK-NL'!$M$11),"x","")</f>
        <v/>
      </c>
    </row>
    <row r="6642" spans="1:30" ht="16.5" customHeight="1">
      <c r="A6642" s="318" t="str">
        <f>IF(B6642&lt;&gt;"",IF(AND(B6642='IN-TC'!$S$4,OR(TH!N6642="1111",TH!O6642="1111")),TH!D6642,""),"")</f>
        <v/>
      </c>
      <c r="B6642" s="1163" t="str">
        <f t="shared" si="524"/>
        <v/>
      </c>
      <c r="C6642" s="61"/>
      <c r="D6642" s="61"/>
      <c r="E6642" s="61"/>
      <c r="F6642" s="69"/>
      <c r="G6642" s="64"/>
      <c r="H6642" s="321"/>
      <c r="I6642" s="385"/>
      <c r="J6642" s="392"/>
      <c r="K6642" s="385"/>
      <c r="L6642" s="392"/>
      <c r="M6642" s="62"/>
      <c r="N6642" s="63"/>
      <c r="O6642" s="63"/>
      <c r="P6642" s="79" t="str">
        <f>IF(AND('331-CT'!$E$7=TH!H6642,OR(N6642="331",O6642="331")),"x","")</f>
        <v/>
      </c>
      <c r="Q6642" s="79" t="str">
        <f>IF(AND(B6642='111'!$L$11,OR($N6642=$Q$7,$O6642=$Q$7)),"x","")</f>
        <v/>
      </c>
      <c r="R6642" s="79" t="str">
        <f>IF(AND($N6642=$Q$7,$B6642&lt;'111'!$L$11),"x","")</f>
        <v/>
      </c>
      <c r="S6642" s="79" t="str">
        <f>IF(AND($O6642=$Q$7,$B6642&lt;'111'!$L$11),"x","")</f>
        <v/>
      </c>
      <c r="T6642" s="79" t="str">
        <f>IF(ISERROR(FIND('112'!$M$9,G6642,1)),"",IF((AND(FIND('112'!$M$9,G6642,1)&gt;=1,B6642='112'!$K$9,OR($N6642='112'!$I$6,$O6642='112'!$I$6))),"x",""))</f>
        <v/>
      </c>
      <c r="U6642" s="79" t="str">
        <f>IF(ISERROR(FIND('112'!$M$9,G6642,1)),"",IF((AND(LEFT(G6642,2)=LEFT('112'!$M$9,2),B6642&lt;'112'!$K$9,$N6642='112'!$I$6)),"x",""))</f>
        <v/>
      </c>
      <c r="V6642" s="79" t="str">
        <f>IF(ISERROR(FIND('112'!$M$9,G6642,1)),"",IF((AND(RIGHT(G6642,2)=RIGHT('112'!$M$9,2),B6642&lt;'112'!$K$9,$O6642='112'!$I$6)),"x",""))</f>
        <v/>
      </c>
      <c r="W6642" s="79" t="str">
        <f>IF(AND('341-CT'!$H$9=H6642,OR(LEFT(N6642,3)=$W$7,LEFT(O6642,3)=$W$7)),"x","")</f>
        <v/>
      </c>
      <c r="X6642" s="79" t="str">
        <f>IF(OR(TH!N6642=TH!$X$7,O6642=TH!$X$7),"x","")</f>
        <v/>
      </c>
      <c r="Y6642" s="79" t="str">
        <f>IF(AND(OR(N6642="131",O6642="131"),H6642='131-CT'!$H$9),"x","")</f>
        <v/>
      </c>
      <c r="Z6642" s="79"/>
      <c r="AA6642" s="79" t="str">
        <f>IF(AND(MONTH(E6642)='IN-NX'!$J$5,'IN-NX'!$D$7=D6642),"x","")</f>
        <v/>
      </c>
      <c r="AB6642" s="79" t="str">
        <f>IF(AND(OR(LEFT(TH!N6642,2)="15",LEFT(TH!O6642,2)="15"),LEFT(TH!O6642,3)&lt;&gt;"111",'152-CT'!$J$8=TH!F6642),"x","")</f>
        <v/>
      </c>
      <c r="AC6642" s="79" t="str">
        <f>IF(AND(OR(LEFT(TH!N6642,2)="15",LEFT(TH!O6642,2)="15"),TK!$E$7=TH!F6642),"x","")</f>
        <v/>
      </c>
      <c r="AD6642" s="79" t="str">
        <f>IF(AND(N6642="1521",MONTH(C6642)='BK-NL'!$M$11),"x","")</f>
        <v/>
      </c>
    </row>
    <row r="6643" spans="1:30" ht="16.5" customHeight="1">
      <c r="A6643" s="318" t="str">
        <f>IF(B6643&lt;&gt;"",IF(AND(B6643='IN-TC'!$S$4,OR(TH!N6643="1111",TH!O6643="1111")),TH!D6643,""),"")</f>
        <v/>
      </c>
      <c r="B6643" s="1163" t="str">
        <f t="shared" si="524"/>
        <v/>
      </c>
      <c r="C6643" s="61"/>
      <c r="D6643" s="61"/>
      <c r="E6643" s="61"/>
      <c r="F6643" s="69"/>
      <c r="G6643" s="64"/>
      <c r="H6643" s="321"/>
      <c r="I6643" s="385"/>
      <c r="J6643" s="392"/>
      <c r="K6643" s="385"/>
      <c r="L6643" s="392"/>
      <c r="M6643" s="62"/>
      <c r="N6643" s="63"/>
      <c r="O6643" s="63"/>
      <c r="P6643" s="79" t="str">
        <f>IF(AND('331-CT'!$E$7=TH!H6643,OR(N6643="331",O6643="331")),"x","")</f>
        <v/>
      </c>
      <c r="Q6643" s="79" t="str">
        <f>IF(AND(B6643='111'!$L$11,OR($N6643=$Q$7,$O6643=$Q$7)),"x","")</f>
        <v/>
      </c>
      <c r="R6643" s="79" t="str">
        <f>IF(AND($N6643=$Q$7,$B6643&lt;'111'!$L$11),"x","")</f>
        <v/>
      </c>
      <c r="S6643" s="79" t="str">
        <f>IF(AND($O6643=$Q$7,$B6643&lt;'111'!$L$11),"x","")</f>
        <v/>
      </c>
      <c r="T6643" s="79" t="str">
        <f>IF(ISERROR(FIND('112'!$M$9,G6643,1)),"",IF((AND(FIND('112'!$M$9,G6643,1)&gt;=1,B6643='112'!$K$9,OR($N6643='112'!$I$6,$O6643='112'!$I$6))),"x",""))</f>
        <v/>
      </c>
      <c r="U6643" s="79" t="str">
        <f>IF(ISERROR(FIND('112'!$M$9,G6643,1)),"",IF((AND(LEFT(G6643,2)=LEFT('112'!$M$9,2),B6643&lt;'112'!$K$9,$N6643='112'!$I$6)),"x",""))</f>
        <v/>
      </c>
      <c r="V6643" s="79" t="str">
        <f>IF(ISERROR(FIND('112'!$M$9,G6643,1)),"",IF((AND(RIGHT(G6643,2)=RIGHT('112'!$M$9,2),B6643&lt;'112'!$K$9,$O6643='112'!$I$6)),"x",""))</f>
        <v/>
      </c>
      <c r="W6643" s="79" t="str">
        <f>IF(AND('341-CT'!$H$9=H6643,OR(LEFT(N6643,3)=$W$7,LEFT(O6643,3)=$W$7)),"x","")</f>
        <v/>
      </c>
      <c r="X6643" s="79" t="str">
        <f>IF(OR(TH!N6643=TH!$X$7,O6643=TH!$X$7),"x","")</f>
        <v/>
      </c>
      <c r="Y6643" s="79" t="str">
        <f>IF(AND(OR(N6643="131",O6643="131"),H6643='131-CT'!$H$9),"x","")</f>
        <v/>
      </c>
      <c r="Z6643" s="79"/>
      <c r="AA6643" s="79" t="str">
        <f>IF(AND(MONTH(E6643)='IN-NX'!$J$5,'IN-NX'!$D$7=D6643),"x","")</f>
        <v/>
      </c>
      <c r="AB6643" s="79" t="str">
        <f>IF(AND(OR(LEFT(TH!N6643,2)="15",LEFT(TH!O6643,2)="15"),LEFT(TH!O6643,3)&lt;&gt;"111",'152-CT'!$J$8=TH!F6643),"x","")</f>
        <v/>
      </c>
      <c r="AC6643" s="79" t="str">
        <f>IF(AND(OR(LEFT(TH!N6643,2)="15",LEFT(TH!O6643,2)="15"),TK!$E$7=TH!F6643),"x","")</f>
        <v/>
      </c>
      <c r="AD6643" s="79" t="str">
        <f>IF(AND(N6643="1521",MONTH(C6643)='BK-NL'!$M$11),"x","")</f>
        <v/>
      </c>
    </row>
    <row r="6644" spans="1:30" ht="16.5" customHeight="1">
      <c r="A6644" s="318" t="str">
        <f>IF(B6644&lt;&gt;"",IF(AND(B6644='IN-TC'!$S$4,OR(TH!N6644="1111",TH!O6644="1111")),TH!D6644,""),"")</f>
        <v/>
      </c>
      <c r="B6644" s="1163" t="str">
        <f t="shared" si="524"/>
        <v/>
      </c>
      <c r="C6644" s="61"/>
      <c r="D6644" s="61"/>
      <c r="E6644" s="61"/>
      <c r="F6644" s="69"/>
      <c r="G6644" s="64"/>
      <c r="H6644" s="321"/>
      <c r="I6644" s="385"/>
      <c r="J6644" s="392"/>
      <c r="K6644" s="385"/>
      <c r="L6644" s="392"/>
      <c r="M6644" s="62"/>
      <c r="N6644" s="63"/>
      <c r="O6644" s="63"/>
      <c r="P6644" s="79" t="str">
        <f>IF(AND('331-CT'!$E$7=TH!H6644,OR(N6644="331",O6644="331")),"x","")</f>
        <v/>
      </c>
      <c r="Q6644" s="79" t="str">
        <f>IF(AND(B6644='111'!$L$11,OR($N6644=$Q$7,$O6644=$Q$7)),"x","")</f>
        <v/>
      </c>
      <c r="R6644" s="79" t="str">
        <f>IF(AND($N6644=$Q$7,$B6644&lt;'111'!$L$11),"x","")</f>
        <v/>
      </c>
      <c r="S6644" s="79" t="str">
        <f>IF(AND($O6644=$Q$7,$B6644&lt;'111'!$L$11),"x","")</f>
        <v/>
      </c>
      <c r="T6644" s="79" t="str">
        <f>IF(ISERROR(FIND('112'!$M$9,G6644,1)),"",IF((AND(FIND('112'!$M$9,G6644,1)&gt;=1,B6644='112'!$K$9,OR($N6644='112'!$I$6,$O6644='112'!$I$6))),"x",""))</f>
        <v/>
      </c>
      <c r="U6644" s="79" t="str">
        <f>IF(ISERROR(FIND('112'!$M$9,G6644,1)),"",IF((AND(LEFT(G6644,2)=LEFT('112'!$M$9,2),B6644&lt;'112'!$K$9,$N6644='112'!$I$6)),"x",""))</f>
        <v/>
      </c>
      <c r="V6644" s="79" t="str">
        <f>IF(ISERROR(FIND('112'!$M$9,G6644,1)),"",IF((AND(RIGHT(G6644,2)=RIGHT('112'!$M$9,2),B6644&lt;'112'!$K$9,$O6644='112'!$I$6)),"x",""))</f>
        <v/>
      </c>
      <c r="W6644" s="79" t="str">
        <f>IF(AND('341-CT'!$H$9=H6644,OR(LEFT(N6644,3)=$W$7,LEFT(O6644,3)=$W$7)),"x","")</f>
        <v/>
      </c>
      <c r="X6644" s="79" t="str">
        <f>IF(OR(TH!N6644=TH!$X$7,O6644=TH!$X$7),"x","")</f>
        <v/>
      </c>
      <c r="Y6644" s="79" t="str">
        <f>IF(AND(OR(N6644="131",O6644="131"),H6644='131-CT'!$H$9),"x","")</f>
        <v/>
      </c>
      <c r="Z6644" s="79"/>
      <c r="AA6644" s="79" t="str">
        <f>IF(AND(MONTH(E6644)='IN-NX'!$J$5,'IN-NX'!$D$7=D6644),"x","")</f>
        <v/>
      </c>
      <c r="AB6644" s="79" t="str">
        <f>IF(AND(OR(LEFT(TH!N6644,2)="15",LEFT(TH!O6644,2)="15"),LEFT(TH!O6644,3)&lt;&gt;"111",'152-CT'!$J$8=TH!F6644),"x","")</f>
        <v/>
      </c>
      <c r="AC6644" s="79" t="str">
        <f>IF(AND(OR(LEFT(TH!N6644,2)="15",LEFT(TH!O6644,2)="15"),TK!$E$7=TH!F6644),"x","")</f>
        <v/>
      </c>
      <c r="AD6644" s="79" t="str">
        <f>IF(AND(N6644="1521",MONTH(C6644)='BK-NL'!$M$11),"x","")</f>
        <v/>
      </c>
    </row>
    <row r="6645" spans="1:30" ht="16.5" customHeight="1">
      <c r="A6645" s="318" t="str">
        <f>IF(B6645&lt;&gt;"",IF(AND(B6645='IN-TC'!$S$4,OR(TH!N6645="1111",TH!O6645="1111")),TH!D6645,""),"")</f>
        <v/>
      </c>
      <c r="B6645" s="1163" t="str">
        <f t="shared" si="524"/>
        <v/>
      </c>
      <c r="C6645" s="61"/>
      <c r="D6645" s="61"/>
      <c r="E6645" s="61"/>
      <c r="F6645" s="69"/>
      <c r="G6645" s="64"/>
      <c r="H6645" s="321"/>
      <c r="I6645" s="385"/>
      <c r="J6645" s="392"/>
      <c r="K6645" s="385"/>
      <c r="L6645" s="392"/>
      <c r="M6645" s="62"/>
      <c r="N6645" s="63"/>
      <c r="O6645" s="63"/>
      <c r="P6645" s="79" t="str">
        <f>IF(AND('331-CT'!$E$7=TH!H6645,OR(N6645="331",O6645="331")),"x","")</f>
        <v/>
      </c>
      <c r="Q6645" s="79" t="str">
        <f>IF(AND(B6645='111'!$L$11,OR($N6645=$Q$7,$O6645=$Q$7)),"x","")</f>
        <v/>
      </c>
      <c r="R6645" s="79" t="str">
        <f>IF(AND($N6645=$Q$7,$B6645&lt;'111'!$L$11),"x","")</f>
        <v/>
      </c>
      <c r="S6645" s="79" t="str">
        <f>IF(AND($O6645=$Q$7,$B6645&lt;'111'!$L$11),"x","")</f>
        <v/>
      </c>
      <c r="T6645" s="79" t="str">
        <f>IF(ISERROR(FIND('112'!$M$9,G6645,1)),"",IF((AND(FIND('112'!$M$9,G6645,1)&gt;=1,B6645='112'!$K$9,OR($N6645='112'!$I$6,$O6645='112'!$I$6))),"x",""))</f>
        <v/>
      </c>
      <c r="U6645" s="79" t="str">
        <f>IF(ISERROR(FIND('112'!$M$9,G6645,1)),"",IF((AND(LEFT(G6645,2)=LEFT('112'!$M$9,2),B6645&lt;'112'!$K$9,$N6645='112'!$I$6)),"x",""))</f>
        <v/>
      </c>
      <c r="V6645" s="79" t="str">
        <f>IF(ISERROR(FIND('112'!$M$9,G6645,1)),"",IF((AND(RIGHT(G6645,2)=RIGHT('112'!$M$9,2),B6645&lt;'112'!$K$9,$O6645='112'!$I$6)),"x",""))</f>
        <v/>
      </c>
      <c r="W6645" s="79" t="str">
        <f>IF(AND('341-CT'!$H$9=H6645,OR(LEFT(N6645,3)=$W$7,LEFT(O6645,3)=$W$7)),"x","")</f>
        <v/>
      </c>
      <c r="X6645" s="79" t="str">
        <f>IF(OR(TH!N6645=TH!$X$7,O6645=TH!$X$7),"x","")</f>
        <v/>
      </c>
      <c r="Y6645" s="79" t="str">
        <f>IF(AND(OR(N6645="131",O6645="131"),H6645='131-CT'!$H$9),"x","")</f>
        <v/>
      </c>
      <c r="Z6645" s="79"/>
      <c r="AA6645" s="79" t="str">
        <f>IF(AND(MONTH(E6645)='IN-NX'!$J$5,'IN-NX'!$D$7=D6645),"x","")</f>
        <v/>
      </c>
      <c r="AB6645" s="79" t="str">
        <f>IF(AND(OR(LEFT(TH!N6645,2)="15",LEFT(TH!O6645,2)="15"),LEFT(TH!O6645,3)&lt;&gt;"111",'152-CT'!$J$8=TH!F6645),"x","")</f>
        <v/>
      </c>
      <c r="AC6645" s="79" t="str">
        <f>IF(AND(OR(LEFT(TH!N6645,2)="15",LEFT(TH!O6645,2)="15"),TK!$E$7=TH!F6645),"x","")</f>
        <v/>
      </c>
      <c r="AD6645" s="79" t="str">
        <f>IF(AND(N6645="1521",MONTH(C6645)='BK-NL'!$M$11),"x","")</f>
        <v/>
      </c>
    </row>
    <row r="6646" spans="1:30" ht="16.5" customHeight="1">
      <c r="A6646" s="318" t="str">
        <f>IF(B6646&lt;&gt;"",IF(AND(B6646='IN-TC'!$S$4,OR(TH!N6646="1111",TH!O6646="1111")),TH!D6646,""),"")</f>
        <v/>
      </c>
      <c r="B6646" s="1163" t="str">
        <f t="shared" si="524"/>
        <v/>
      </c>
      <c r="C6646" s="61"/>
      <c r="D6646" s="61"/>
      <c r="E6646" s="61"/>
      <c r="F6646" s="69"/>
      <c r="G6646" s="64"/>
      <c r="H6646" s="321"/>
      <c r="I6646" s="385"/>
      <c r="J6646" s="392"/>
      <c r="K6646" s="385"/>
      <c r="L6646" s="392"/>
      <c r="M6646" s="62"/>
      <c r="N6646" s="63"/>
      <c r="O6646" s="63"/>
      <c r="P6646" s="79" t="str">
        <f>IF(AND('331-CT'!$E$7=TH!H6646,OR(N6646="331",O6646="331")),"x","")</f>
        <v/>
      </c>
      <c r="Q6646" s="79" t="str">
        <f>IF(AND(B6646='111'!$L$11,OR($N6646=$Q$7,$O6646=$Q$7)),"x","")</f>
        <v/>
      </c>
      <c r="R6646" s="79" t="str">
        <f>IF(AND($N6646=$Q$7,$B6646&lt;'111'!$L$11),"x","")</f>
        <v/>
      </c>
      <c r="S6646" s="79" t="str">
        <f>IF(AND($O6646=$Q$7,$B6646&lt;'111'!$L$11),"x","")</f>
        <v/>
      </c>
      <c r="T6646" s="79" t="str">
        <f>IF(ISERROR(FIND('112'!$M$9,G6646,1)),"",IF((AND(FIND('112'!$M$9,G6646,1)&gt;=1,B6646='112'!$K$9,OR($N6646='112'!$I$6,$O6646='112'!$I$6))),"x",""))</f>
        <v/>
      </c>
      <c r="U6646" s="79" t="str">
        <f>IF(ISERROR(FIND('112'!$M$9,G6646,1)),"",IF((AND(LEFT(G6646,2)=LEFT('112'!$M$9,2),B6646&lt;'112'!$K$9,$N6646='112'!$I$6)),"x",""))</f>
        <v/>
      </c>
      <c r="V6646" s="79" t="str">
        <f>IF(ISERROR(FIND('112'!$M$9,G6646,1)),"",IF((AND(RIGHT(G6646,2)=RIGHT('112'!$M$9,2),B6646&lt;'112'!$K$9,$O6646='112'!$I$6)),"x",""))</f>
        <v/>
      </c>
      <c r="W6646" s="79" t="str">
        <f>IF(AND('341-CT'!$H$9=H6646,OR(LEFT(N6646,3)=$W$7,LEFT(O6646,3)=$W$7)),"x","")</f>
        <v/>
      </c>
      <c r="X6646" s="79" t="str">
        <f>IF(OR(TH!N6646=TH!$X$7,O6646=TH!$X$7),"x","")</f>
        <v/>
      </c>
      <c r="Y6646" s="79" t="str">
        <f>IF(AND(OR(N6646="131",O6646="131"),H6646='131-CT'!$H$9),"x","")</f>
        <v/>
      </c>
      <c r="Z6646" s="79"/>
      <c r="AA6646" s="79" t="str">
        <f>IF(AND(MONTH(E6646)='IN-NX'!$J$5,'IN-NX'!$D$7=D6646),"x","")</f>
        <v/>
      </c>
      <c r="AB6646" s="79" t="str">
        <f>IF(AND(OR(LEFT(TH!N6646,2)="15",LEFT(TH!O6646,2)="15"),LEFT(TH!O6646,3)&lt;&gt;"111",'152-CT'!$J$8=TH!F6646),"x","")</f>
        <v/>
      </c>
      <c r="AC6646" s="79" t="str">
        <f>IF(AND(OR(LEFT(TH!N6646,2)="15",LEFT(TH!O6646,2)="15"),TK!$E$7=TH!F6646),"x","")</f>
        <v/>
      </c>
      <c r="AD6646" s="79" t="str">
        <f>IF(AND(N6646="1521",MONTH(C6646)='BK-NL'!$M$11),"x","")</f>
        <v/>
      </c>
    </row>
    <row r="6647" spans="1:30" ht="16.5" customHeight="1">
      <c r="A6647" s="318" t="str">
        <f>IF(B6647&lt;&gt;"",IF(AND(B6647='IN-TC'!$S$4,OR(TH!N6647="1111",TH!O6647="1111")),TH!D6647,""),"")</f>
        <v/>
      </c>
      <c r="B6647" s="1163" t="str">
        <f t="shared" si="524"/>
        <v/>
      </c>
      <c r="C6647" s="61"/>
      <c r="D6647" s="61"/>
      <c r="E6647" s="61"/>
      <c r="F6647" s="69"/>
      <c r="G6647" s="64"/>
      <c r="H6647" s="321"/>
      <c r="I6647" s="385"/>
      <c r="J6647" s="392"/>
      <c r="K6647" s="385"/>
      <c r="L6647" s="392"/>
      <c r="M6647" s="62"/>
      <c r="N6647" s="63"/>
      <c r="O6647" s="63"/>
      <c r="P6647" s="79" t="str">
        <f>IF(AND('331-CT'!$E$7=TH!H6647,OR(N6647="331",O6647="331")),"x","")</f>
        <v/>
      </c>
      <c r="Q6647" s="79" t="str">
        <f>IF(AND(B6647='111'!$L$11,OR($N6647=$Q$7,$O6647=$Q$7)),"x","")</f>
        <v/>
      </c>
      <c r="R6647" s="79" t="str">
        <f>IF(AND($N6647=$Q$7,$B6647&lt;'111'!$L$11),"x","")</f>
        <v/>
      </c>
      <c r="S6647" s="79" t="str">
        <f>IF(AND($O6647=$Q$7,$B6647&lt;'111'!$L$11),"x","")</f>
        <v/>
      </c>
      <c r="T6647" s="79" t="str">
        <f>IF(ISERROR(FIND('112'!$M$9,G6647,1)),"",IF((AND(FIND('112'!$M$9,G6647,1)&gt;=1,B6647='112'!$K$9,OR($N6647='112'!$I$6,$O6647='112'!$I$6))),"x",""))</f>
        <v/>
      </c>
      <c r="U6647" s="79" t="str">
        <f>IF(ISERROR(FIND('112'!$M$9,G6647,1)),"",IF((AND(LEFT(G6647,2)=LEFT('112'!$M$9,2),B6647&lt;'112'!$K$9,$N6647='112'!$I$6)),"x",""))</f>
        <v/>
      </c>
      <c r="V6647" s="79" t="str">
        <f>IF(ISERROR(FIND('112'!$M$9,G6647,1)),"",IF((AND(RIGHT(G6647,2)=RIGHT('112'!$M$9,2),B6647&lt;'112'!$K$9,$O6647='112'!$I$6)),"x",""))</f>
        <v/>
      </c>
      <c r="W6647" s="79" t="str">
        <f>IF(AND('341-CT'!$H$9=H6647,OR(LEFT(N6647,3)=$W$7,LEFT(O6647,3)=$W$7)),"x","")</f>
        <v/>
      </c>
      <c r="X6647" s="79" t="str">
        <f>IF(OR(TH!N6647=TH!$X$7,O6647=TH!$X$7),"x","")</f>
        <v/>
      </c>
      <c r="Y6647" s="79" t="str">
        <f>IF(AND(OR(N6647="131",O6647="131"),H6647='131-CT'!$H$9),"x","")</f>
        <v/>
      </c>
      <c r="Z6647" s="79"/>
      <c r="AA6647" s="79" t="str">
        <f>IF(AND(MONTH(E6647)='IN-NX'!$J$5,'IN-NX'!$D$7=D6647),"x","")</f>
        <v/>
      </c>
      <c r="AB6647" s="79" t="str">
        <f>IF(AND(OR(LEFT(TH!N6647,2)="15",LEFT(TH!O6647,2)="15"),LEFT(TH!O6647,3)&lt;&gt;"111",'152-CT'!$J$8=TH!F6647),"x","")</f>
        <v/>
      </c>
      <c r="AC6647" s="79" t="str">
        <f>IF(AND(OR(LEFT(TH!N6647,2)="15",LEFT(TH!O6647,2)="15"),TK!$E$7=TH!F6647),"x","")</f>
        <v/>
      </c>
      <c r="AD6647" s="79" t="str">
        <f>IF(AND(N6647="1521",MONTH(C6647)='BK-NL'!$M$11),"x","")</f>
        <v/>
      </c>
    </row>
    <row r="6648" spans="1:30" ht="16.5" customHeight="1">
      <c r="A6648" s="318" t="str">
        <f>IF(B6648&lt;&gt;"",IF(AND(B6648='IN-TC'!$S$4,OR(TH!N6648="1111",TH!O6648="1111")),TH!D6648,""),"")</f>
        <v/>
      </c>
      <c r="B6648" s="1163" t="str">
        <f t="shared" si="524"/>
        <v/>
      </c>
      <c r="C6648" s="61"/>
      <c r="D6648" s="61"/>
      <c r="E6648" s="61"/>
      <c r="F6648" s="69"/>
      <c r="G6648" s="766"/>
      <c r="H6648" s="69"/>
      <c r="I6648" s="385"/>
      <c r="J6648" s="392"/>
      <c r="K6648" s="385"/>
      <c r="L6648" s="392"/>
      <c r="M6648" s="62"/>
      <c r="N6648" s="63"/>
      <c r="O6648" s="63"/>
      <c r="P6648" s="79" t="str">
        <f>IF(AND('331-CT'!$E$7=TH!H6648,OR(N6648="331",O6648="331")),"x","")</f>
        <v/>
      </c>
      <c r="Q6648" s="79" t="str">
        <f>IF(AND(B6648='111'!$L$11,OR($N6648=$Q$7,$O6648=$Q$7)),"x","")</f>
        <v/>
      </c>
      <c r="R6648" s="79" t="str">
        <f>IF(AND($N6648=$Q$7,$B6648&lt;'111'!$L$11),"x","")</f>
        <v/>
      </c>
      <c r="S6648" s="79" t="str">
        <f>IF(AND($O6648=$Q$7,$B6648&lt;'111'!$L$11),"x","")</f>
        <v/>
      </c>
      <c r="T6648" s="79" t="str">
        <f>IF(ISERROR(FIND('112'!$M$9,G6648,1)),"",IF((AND(FIND('112'!$M$9,G6648,1)&gt;=1,B6648='112'!$K$9,OR($N6648='112'!$I$6,$O6648='112'!$I$6))),"x",""))</f>
        <v/>
      </c>
      <c r="U6648" s="79" t="str">
        <f>IF(ISERROR(FIND('112'!$M$9,G6648,1)),"",IF((AND(LEFT(G6648,2)=LEFT('112'!$M$9,2),B6648&lt;'112'!$K$9,$N6648='112'!$I$6)),"x",""))</f>
        <v/>
      </c>
      <c r="V6648" s="79" t="str">
        <f>IF(ISERROR(FIND('112'!$M$9,G6648,1)),"",IF((AND(RIGHT(G6648,2)=RIGHT('112'!$M$9,2),B6648&lt;'112'!$K$9,$O6648='112'!$I$6)),"x",""))</f>
        <v/>
      </c>
      <c r="W6648" s="79" t="str">
        <f>IF(AND('341-CT'!$H$9=H6648,OR(LEFT(N6648,3)=$W$7,LEFT(O6648,3)=$W$7)),"x","")</f>
        <v/>
      </c>
      <c r="X6648" s="79" t="str">
        <f>IF(OR(TH!N6648=TH!$X$7,O6648=TH!$X$7),"x","")</f>
        <v/>
      </c>
      <c r="Y6648" s="79" t="str">
        <f>IF(AND(OR(N6648="131",O6648="131"),H6648='131-CT'!$H$9),"x","")</f>
        <v/>
      </c>
      <c r="Z6648" s="79"/>
      <c r="AA6648" s="79" t="str">
        <f>IF(AND(MONTH(E6648)='IN-NX'!$J$5,'IN-NX'!$D$7=D6648),"x","")</f>
        <v/>
      </c>
      <c r="AB6648" s="79" t="str">
        <f>IF(AND(OR(LEFT(TH!N6648,2)="15",LEFT(TH!O6648,2)="15"),LEFT(TH!O6648,3)&lt;&gt;"111",'152-CT'!$J$8=TH!F6648),"x","")</f>
        <v/>
      </c>
      <c r="AC6648" s="79" t="str">
        <f>IF(AND(OR(LEFT(TH!N6648,2)="15",LEFT(TH!O6648,2)="15"),TK!$E$7=TH!F6648),"x","")</f>
        <v/>
      </c>
      <c r="AD6648" s="79" t="str">
        <f>IF(AND(N6648="1521",MONTH(C6648)='BK-NL'!$M$11),"x","")</f>
        <v/>
      </c>
    </row>
    <row r="6649" spans="1:30" ht="16.5" customHeight="1">
      <c r="A6649" s="318" t="str">
        <f>IF(B6649&lt;&gt;"",IF(AND(B6649='IN-TC'!$S$4,OR(TH!N6649="1111",TH!O6649="1111")),TH!D6649,""),"")</f>
        <v/>
      </c>
      <c r="B6649" s="1163" t="str">
        <f t="shared" si="524"/>
        <v/>
      </c>
      <c r="C6649" s="61"/>
      <c r="D6649" s="61"/>
      <c r="E6649" s="61"/>
      <c r="F6649" s="69"/>
      <c r="G6649" s="766"/>
      <c r="H6649" s="69"/>
      <c r="I6649" s="385"/>
      <c r="J6649" s="392"/>
      <c r="K6649" s="385"/>
      <c r="L6649" s="392"/>
      <c r="M6649" s="62"/>
      <c r="N6649" s="63"/>
      <c r="O6649" s="63"/>
      <c r="P6649" s="79" t="str">
        <f>IF(AND('331-CT'!$E$7=TH!H6649,OR(N6649="331",O6649="331")),"x","")</f>
        <v/>
      </c>
      <c r="Q6649" s="79" t="str">
        <f>IF(AND(B6649='111'!$L$11,OR($N6649=$Q$7,$O6649=$Q$7)),"x","")</f>
        <v/>
      </c>
      <c r="R6649" s="79" t="str">
        <f>IF(AND($N6649=$Q$7,$B6649&lt;'111'!$L$11),"x","")</f>
        <v/>
      </c>
      <c r="S6649" s="79" t="str">
        <f>IF(AND($O6649=$Q$7,$B6649&lt;'111'!$L$11),"x","")</f>
        <v/>
      </c>
      <c r="T6649" s="79" t="str">
        <f>IF(ISERROR(FIND('112'!$M$9,G6649,1)),"",IF((AND(FIND('112'!$M$9,G6649,1)&gt;=1,B6649='112'!$K$9,OR($N6649='112'!$I$6,$O6649='112'!$I$6))),"x",""))</f>
        <v/>
      </c>
      <c r="U6649" s="79" t="str">
        <f>IF(ISERROR(FIND('112'!$M$9,G6649,1)),"",IF((AND(LEFT(G6649,2)=LEFT('112'!$M$9,2),B6649&lt;'112'!$K$9,$N6649='112'!$I$6)),"x",""))</f>
        <v/>
      </c>
      <c r="V6649" s="79" t="str">
        <f>IF(ISERROR(FIND('112'!$M$9,G6649,1)),"",IF((AND(RIGHT(G6649,2)=RIGHT('112'!$M$9,2),B6649&lt;'112'!$K$9,$O6649='112'!$I$6)),"x",""))</f>
        <v/>
      </c>
      <c r="W6649" s="79" t="str">
        <f>IF(AND('341-CT'!$H$9=H6649,OR(LEFT(N6649,3)=$W$7,LEFT(O6649,3)=$W$7)),"x","")</f>
        <v/>
      </c>
      <c r="X6649" s="79" t="str">
        <f>IF(OR(TH!N6649=TH!$X$7,O6649=TH!$X$7),"x","")</f>
        <v/>
      </c>
      <c r="Y6649" s="79" t="str">
        <f>IF(AND(OR(N6649="131",O6649="131"),H6649='131-CT'!$H$9),"x","")</f>
        <v/>
      </c>
      <c r="Z6649" s="79"/>
      <c r="AA6649" s="79" t="str">
        <f>IF(AND(MONTH(E6649)='IN-NX'!$J$5,'IN-NX'!$D$7=D6649),"x","")</f>
        <v/>
      </c>
      <c r="AB6649" s="79" t="str">
        <f>IF(AND(OR(LEFT(TH!N6649,2)="15",LEFT(TH!O6649,2)="15"),LEFT(TH!O6649,3)&lt;&gt;"111",'152-CT'!$J$8=TH!F6649),"x","")</f>
        <v/>
      </c>
      <c r="AC6649" s="79" t="str">
        <f>IF(AND(OR(LEFT(TH!N6649,2)="15",LEFT(TH!O6649,2)="15"),TK!$E$7=TH!F6649),"x","")</f>
        <v/>
      </c>
      <c r="AD6649" s="79" t="str">
        <f>IF(AND(N6649="1521",MONTH(C6649)='BK-NL'!$M$11),"x","")</f>
        <v/>
      </c>
    </row>
    <row r="6650" spans="1:30" ht="16.5" customHeight="1">
      <c r="A6650" s="318" t="str">
        <f>IF(B6650&lt;&gt;"",IF(AND(B6650='IN-TC'!$S$4,OR(TH!N6650="1111",TH!O6650="1111")),TH!D6650,""),"")</f>
        <v/>
      </c>
      <c r="B6650" s="1163" t="str">
        <f t="shared" si="524"/>
        <v/>
      </c>
      <c r="C6650" s="61"/>
      <c r="D6650" s="61"/>
      <c r="E6650" s="61"/>
      <c r="F6650" s="69"/>
      <c r="G6650" s="766"/>
      <c r="H6650" s="69"/>
      <c r="I6650" s="385"/>
      <c r="J6650" s="392"/>
      <c r="K6650" s="385"/>
      <c r="L6650" s="392"/>
      <c r="M6650" s="920"/>
      <c r="N6650" s="63"/>
      <c r="O6650" s="63"/>
      <c r="P6650" s="79" t="str">
        <f>IF(AND('331-CT'!$E$7=TH!H6650,OR(N6650="331",O6650="331")),"x","")</f>
        <v/>
      </c>
      <c r="Q6650" s="79" t="str">
        <f>IF(AND(B6650='111'!$L$11,OR($N6650=$Q$7,$O6650=$Q$7)),"x","")</f>
        <v/>
      </c>
      <c r="R6650" s="79" t="str">
        <f>IF(AND($N6650=$Q$7,$B6650&lt;'111'!$L$11),"x","")</f>
        <v/>
      </c>
      <c r="S6650" s="79" t="str">
        <f>IF(AND($O6650=$Q$7,$B6650&lt;'111'!$L$11),"x","")</f>
        <v/>
      </c>
      <c r="T6650" s="79" t="str">
        <f>IF(ISERROR(FIND('112'!$M$9,G6650,1)),"",IF((AND(FIND('112'!$M$9,G6650,1)&gt;=1,B6650='112'!$K$9,OR($N6650='112'!$I$6,$O6650='112'!$I$6))),"x",""))</f>
        <v/>
      </c>
      <c r="U6650" s="79" t="str">
        <f>IF(ISERROR(FIND('112'!$M$9,G6650,1)),"",IF((AND(LEFT(G6650,2)=LEFT('112'!$M$9,2),B6650&lt;'112'!$K$9,$N6650='112'!$I$6)),"x",""))</f>
        <v/>
      </c>
      <c r="V6650" s="79" t="str">
        <f>IF(ISERROR(FIND('112'!$M$9,G6650,1)),"",IF((AND(RIGHT(G6650,2)=RIGHT('112'!$M$9,2),B6650&lt;'112'!$K$9,$O6650='112'!$I$6)),"x",""))</f>
        <v/>
      </c>
      <c r="W6650" s="79" t="str">
        <f>IF(AND('341-CT'!$H$9=H6650,OR(LEFT(N6650,3)=$W$7,LEFT(O6650,3)=$W$7)),"x","")</f>
        <v/>
      </c>
      <c r="X6650" s="79" t="str">
        <f>IF(OR(TH!N6650=TH!$X$7,O6650=TH!$X$7),"x","")</f>
        <v/>
      </c>
      <c r="Y6650" s="79" t="str">
        <f>IF(AND(OR(N6650="131",O6650="131"),H6650='131-CT'!$H$9),"x","")</f>
        <v/>
      </c>
      <c r="Z6650" s="79"/>
      <c r="AA6650" s="79" t="str">
        <f>IF(AND(MONTH(E6650)='IN-NX'!$J$5,'IN-NX'!$D$7=D6650),"x","")</f>
        <v/>
      </c>
      <c r="AB6650" s="79" t="str">
        <f>IF(AND(OR(LEFT(TH!N6650,2)="15",LEFT(TH!O6650,2)="15"),LEFT(TH!O6650,3)&lt;&gt;"111",'152-CT'!$J$8=TH!F6650),"x","")</f>
        <v/>
      </c>
      <c r="AC6650" s="79" t="str">
        <f>IF(AND(OR(LEFT(TH!N6650,2)="15",LEFT(TH!O6650,2)="15"),TK!$E$7=TH!F6650),"x","")</f>
        <v/>
      </c>
      <c r="AD6650" s="79" t="str">
        <f>IF(AND(N6650="1521",MONTH(C6650)='BK-NL'!$M$11),"x","")</f>
        <v/>
      </c>
    </row>
    <row r="6651" spans="1:30" ht="16.5" customHeight="1">
      <c r="A6651" s="318" t="str">
        <f>IF(B6651&lt;&gt;"",IF(AND(B6651='IN-TC'!$S$4,OR(TH!N6651="1111",TH!O6651="1111")),TH!D6651,""),"")</f>
        <v/>
      </c>
      <c r="B6651" s="1163" t="str">
        <f t="shared" si="524"/>
        <v/>
      </c>
      <c r="C6651" s="61"/>
      <c r="D6651" s="61"/>
      <c r="E6651" s="61"/>
      <c r="F6651" s="69"/>
      <c r="G6651" s="766"/>
      <c r="H6651" s="69"/>
      <c r="I6651" s="385"/>
      <c r="J6651" s="392"/>
      <c r="K6651" s="385"/>
      <c r="L6651" s="392"/>
      <c r="M6651" s="920"/>
      <c r="N6651" s="63"/>
      <c r="O6651" s="63"/>
      <c r="P6651" s="79" t="str">
        <f>IF(AND('331-CT'!$E$7=TH!H6651,OR(N6651="331",O6651="331")),"x","")</f>
        <v/>
      </c>
      <c r="Q6651" s="79" t="str">
        <f>IF(AND(B6651='111'!$L$11,OR($N6651=$Q$7,$O6651=$Q$7)),"x","")</f>
        <v/>
      </c>
      <c r="R6651" s="79" t="str">
        <f>IF(AND($N6651=$Q$7,$B6651&lt;'111'!$L$11),"x","")</f>
        <v/>
      </c>
      <c r="S6651" s="79" t="str">
        <f>IF(AND($O6651=$Q$7,$B6651&lt;'111'!$L$11),"x","")</f>
        <v/>
      </c>
      <c r="T6651" s="79" t="str">
        <f>IF(ISERROR(FIND('112'!$M$9,G6651,1)),"",IF((AND(FIND('112'!$M$9,G6651,1)&gt;=1,B6651='112'!$K$9,OR($N6651='112'!$I$6,$O6651='112'!$I$6))),"x",""))</f>
        <v/>
      </c>
      <c r="U6651" s="79" t="str">
        <f>IF(ISERROR(FIND('112'!$M$9,G6651,1)),"",IF((AND(LEFT(G6651,2)=LEFT('112'!$M$9,2),B6651&lt;'112'!$K$9,$N6651='112'!$I$6)),"x",""))</f>
        <v/>
      </c>
      <c r="V6651" s="79" t="str">
        <f>IF(ISERROR(FIND('112'!$M$9,G6651,1)),"",IF((AND(RIGHT(G6651,2)=RIGHT('112'!$M$9,2),B6651&lt;'112'!$K$9,$O6651='112'!$I$6)),"x",""))</f>
        <v/>
      </c>
      <c r="W6651" s="79" t="str">
        <f>IF(AND('341-CT'!$H$9=H6651,OR(LEFT(N6651,3)=$W$7,LEFT(O6651,3)=$W$7)),"x","")</f>
        <v/>
      </c>
      <c r="X6651" s="79" t="str">
        <f>IF(OR(TH!N6651=TH!$X$7,O6651=TH!$X$7),"x","")</f>
        <v/>
      </c>
      <c r="Y6651" s="79" t="str">
        <f>IF(AND(OR(N6651="131",O6651="131"),H6651='131-CT'!$H$9),"x","")</f>
        <v/>
      </c>
      <c r="Z6651" s="79"/>
      <c r="AA6651" s="79" t="str">
        <f>IF(AND(MONTH(E6651)='IN-NX'!$J$5,'IN-NX'!$D$7=D6651),"x","")</f>
        <v/>
      </c>
      <c r="AB6651" s="79" t="str">
        <f>IF(AND(OR(LEFT(TH!N6651,2)="15",LEFT(TH!O6651,2)="15"),LEFT(TH!O6651,3)&lt;&gt;"111",'152-CT'!$J$8=TH!F6651),"x","")</f>
        <v/>
      </c>
      <c r="AC6651" s="79" t="str">
        <f>IF(AND(OR(LEFT(TH!N6651,2)="15",LEFT(TH!O6651,2)="15"),TK!$E$7=TH!F6651),"x","")</f>
        <v/>
      </c>
      <c r="AD6651" s="79" t="str">
        <f>IF(AND(N6651="1521",MONTH(C6651)='BK-NL'!$M$11),"x","")</f>
        <v/>
      </c>
    </row>
    <row r="6652" spans="1:30" ht="16.5" customHeight="1">
      <c r="A6652" s="318" t="str">
        <f>IF(B6652&lt;&gt;"",IF(AND(B6652='IN-TC'!$S$4,OR(TH!N6652="1111",TH!O6652="1111")),TH!D6652,""),"")</f>
        <v/>
      </c>
      <c r="B6652" s="1163" t="str">
        <f t="shared" si="524"/>
        <v/>
      </c>
      <c r="C6652" s="61"/>
      <c r="D6652" s="61"/>
      <c r="E6652" s="61"/>
      <c r="F6652" s="69"/>
      <c r="G6652" s="766"/>
      <c r="H6652" s="69"/>
      <c r="I6652" s="385"/>
      <c r="J6652" s="392"/>
      <c r="K6652" s="385"/>
      <c r="L6652" s="392"/>
      <c r="M6652" s="920"/>
      <c r="N6652" s="63"/>
      <c r="O6652" s="63"/>
      <c r="P6652" s="79" t="str">
        <f>IF(AND('331-CT'!$E$7=TH!H6652,OR(N6652="331",O6652="331")),"x","")</f>
        <v/>
      </c>
      <c r="Q6652" s="79" t="str">
        <f>IF(AND(B6652='111'!$L$11,OR($N6652=$Q$7,$O6652=$Q$7)),"x","")</f>
        <v/>
      </c>
      <c r="R6652" s="79" t="str">
        <f>IF(AND($N6652=$Q$7,$B6652&lt;'111'!$L$11),"x","")</f>
        <v/>
      </c>
      <c r="S6652" s="79" t="str">
        <f>IF(AND($O6652=$Q$7,$B6652&lt;'111'!$L$11),"x","")</f>
        <v/>
      </c>
      <c r="T6652" s="79" t="str">
        <f>IF(ISERROR(FIND('112'!$M$9,G6652,1)),"",IF((AND(FIND('112'!$M$9,G6652,1)&gt;=1,B6652='112'!$K$9,OR($N6652='112'!$I$6,$O6652='112'!$I$6))),"x",""))</f>
        <v/>
      </c>
      <c r="U6652" s="79" t="str">
        <f>IF(ISERROR(FIND('112'!$M$9,G6652,1)),"",IF((AND(LEFT(G6652,2)=LEFT('112'!$M$9,2),B6652&lt;'112'!$K$9,$N6652='112'!$I$6)),"x",""))</f>
        <v/>
      </c>
      <c r="V6652" s="79" t="str">
        <f>IF(ISERROR(FIND('112'!$M$9,G6652,1)),"",IF((AND(RIGHT(G6652,2)=RIGHT('112'!$M$9,2),B6652&lt;'112'!$K$9,$O6652='112'!$I$6)),"x",""))</f>
        <v/>
      </c>
      <c r="W6652" s="79" t="str">
        <f>IF(AND('341-CT'!$H$9=H6652,OR(LEFT(N6652,3)=$W$7,LEFT(O6652,3)=$W$7)),"x","")</f>
        <v/>
      </c>
      <c r="X6652" s="79" t="str">
        <f>IF(OR(TH!N6652=TH!$X$7,O6652=TH!$X$7),"x","")</f>
        <v/>
      </c>
      <c r="Y6652" s="79" t="str">
        <f>IF(AND(OR(N6652="131",O6652="131"),H6652='131-CT'!$H$9),"x","")</f>
        <v/>
      </c>
      <c r="Z6652" s="79"/>
      <c r="AA6652" s="79" t="str">
        <f>IF(AND(MONTH(E6652)='IN-NX'!$J$5,'IN-NX'!$D$7=D6652),"x","")</f>
        <v/>
      </c>
      <c r="AB6652" s="79" t="str">
        <f>IF(AND(OR(LEFT(TH!N6652,2)="15",LEFT(TH!O6652,2)="15"),LEFT(TH!O6652,3)&lt;&gt;"111",'152-CT'!$J$8=TH!F6652),"x","")</f>
        <v/>
      </c>
      <c r="AC6652" s="79" t="str">
        <f>IF(AND(OR(LEFT(TH!N6652,2)="15",LEFT(TH!O6652,2)="15"),TK!$E$7=TH!F6652),"x","")</f>
        <v/>
      </c>
      <c r="AD6652" s="79" t="str">
        <f>IF(AND(N6652="1521",MONTH(C6652)='BK-NL'!$M$11),"x","")</f>
        <v/>
      </c>
    </row>
    <row r="6653" spans="1:30" ht="16.5" customHeight="1">
      <c r="A6653" s="318" t="str">
        <f>IF(B6653&lt;&gt;"",IF(AND(B6653='IN-TC'!$S$4,OR(TH!N6653="1111",TH!O6653="1111")),TH!D6653,""),"")</f>
        <v/>
      </c>
      <c r="B6653" s="1163" t="str">
        <f t="shared" si="524"/>
        <v/>
      </c>
      <c r="C6653" s="61"/>
      <c r="D6653" s="61"/>
      <c r="E6653" s="61"/>
      <c r="F6653" s="69"/>
      <c r="G6653" s="766"/>
      <c r="H6653" s="69"/>
      <c r="I6653" s="385"/>
      <c r="J6653" s="392"/>
      <c r="K6653" s="385"/>
      <c r="L6653" s="392"/>
      <c r="M6653" s="920"/>
      <c r="N6653" s="63"/>
      <c r="O6653" s="63"/>
      <c r="P6653" s="79" t="str">
        <f>IF(AND('331-CT'!$E$7=TH!H6653,OR(N6653="331",O6653="331")),"x","")</f>
        <v/>
      </c>
      <c r="Q6653" s="79" t="str">
        <f>IF(AND(B6653='111'!$L$11,OR($N6653=$Q$7,$O6653=$Q$7)),"x","")</f>
        <v/>
      </c>
      <c r="R6653" s="79" t="str">
        <f>IF(AND($N6653=$Q$7,$B6653&lt;'111'!$L$11),"x","")</f>
        <v/>
      </c>
      <c r="S6653" s="79" t="str">
        <f>IF(AND($O6653=$Q$7,$B6653&lt;'111'!$L$11),"x","")</f>
        <v/>
      </c>
      <c r="T6653" s="79" t="str">
        <f>IF(ISERROR(FIND('112'!$M$9,G6653,1)),"",IF((AND(FIND('112'!$M$9,G6653,1)&gt;=1,B6653='112'!$K$9,OR($N6653='112'!$I$6,$O6653='112'!$I$6))),"x",""))</f>
        <v/>
      </c>
      <c r="U6653" s="79" t="str">
        <f>IF(ISERROR(FIND('112'!$M$9,G6653,1)),"",IF((AND(LEFT(G6653,2)=LEFT('112'!$M$9,2),B6653&lt;'112'!$K$9,$N6653='112'!$I$6)),"x",""))</f>
        <v/>
      </c>
      <c r="V6653" s="79" t="str">
        <f>IF(ISERROR(FIND('112'!$M$9,G6653,1)),"",IF((AND(RIGHT(G6653,2)=RIGHT('112'!$M$9,2),B6653&lt;'112'!$K$9,$O6653='112'!$I$6)),"x",""))</f>
        <v/>
      </c>
      <c r="W6653" s="79" t="str">
        <f>IF(AND('341-CT'!$H$9=H6653,OR(LEFT(N6653,3)=$W$7,LEFT(O6653,3)=$W$7)),"x","")</f>
        <v/>
      </c>
      <c r="X6653" s="79" t="str">
        <f>IF(OR(TH!N6653=TH!$X$7,O6653=TH!$X$7),"x","")</f>
        <v/>
      </c>
      <c r="Y6653" s="79" t="str">
        <f>IF(AND(OR(N6653="131",O6653="131"),H6653='131-CT'!$H$9),"x","")</f>
        <v/>
      </c>
      <c r="Z6653" s="79"/>
      <c r="AA6653" s="79" t="str">
        <f>IF(AND(MONTH(E6653)='IN-NX'!$J$5,'IN-NX'!$D$7=D6653),"x","")</f>
        <v/>
      </c>
      <c r="AB6653" s="79" t="str">
        <f>IF(AND(OR(LEFT(TH!N6653,2)="15",LEFT(TH!O6653,2)="15"),LEFT(TH!O6653,3)&lt;&gt;"111",'152-CT'!$J$8=TH!F6653),"x","")</f>
        <v/>
      </c>
      <c r="AC6653" s="79" t="str">
        <f>IF(AND(OR(LEFT(TH!N6653,2)="15",LEFT(TH!O6653,2)="15"),TK!$E$7=TH!F6653),"x","")</f>
        <v/>
      </c>
      <c r="AD6653" s="79" t="str">
        <f>IF(AND(N6653="1521",MONTH(C6653)='BK-NL'!$M$11),"x","")</f>
        <v/>
      </c>
    </row>
    <row r="6654" spans="1:30" ht="16.5" customHeight="1">
      <c r="A6654" s="318" t="str">
        <f>IF(B6654&lt;&gt;"",IF(AND(B6654='IN-TC'!$S$4,OR(TH!N6654="1111",TH!O6654="1111")),TH!D6654,""),"")</f>
        <v/>
      </c>
      <c r="B6654" s="1163" t="str">
        <f t="shared" si="524"/>
        <v/>
      </c>
      <c r="C6654" s="61"/>
      <c r="D6654" s="61"/>
      <c r="E6654" s="61"/>
      <c r="F6654" s="69"/>
      <c r="G6654" s="766"/>
      <c r="H6654" s="69"/>
      <c r="I6654" s="385"/>
      <c r="J6654" s="392"/>
      <c r="K6654" s="385"/>
      <c r="L6654" s="392"/>
      <c r="M6654" s="62"/>
      <c r="N6654" s="63"/>
      <c r="O6654" s="63"/>
      <c r="P6654" s="79" t="str">
        <f>IF(AND('331-CT'!$E$7=TH!H6654,OR(N6654="331",O6654="331")),"x","")</f>
        <v/>
      </c>
      <c r="Q6654" s="79" t="str">
        <f>IF(AND(B6654='111'!$L$11,OR($N6654=$Q$7,$O6654=$Q$7)),"x","")</f>
        <v/>
      </c>
      <c r="R6654" s="79" t="str">
        <f>IF(AND($N6654=$Q$7,$B6654&lt;'111'!$L$11),"x","")</f>
        <v/>
      </c>
      <c r="S6654" s="79" t="str">
        <f>IF(AND($O6654=$Q$7,$B6654&lt;'111'!$L$11),"x","")</f>
        <v/>
      </c>
      <c r="T6654" s="79" t="str">
        <f>IF(ISERROR(FIND('112'!$M$9,G6654,1)),"",IF((AND(FIND('112'!$M$9,G6654,1)&gt;=1,B6654='112'!$K$9,OR($N6654='112'!$I$6,$O6654='112'!$I$6))),"x",""))</f>
        <v/>
      </c>
      <c r="U6654" s="79" t="str">
        <f>IF(ISERROR(FIND('112'!$M$9,G6654,1)),"",IF((AND(LEFT(G6654,2)=LEFT('112'!$M$9,2),B6654&lt;'112'!$K$9,$N6654='112'!$I$6)),"x",""))</f>
        <v/>
      </c>
      <c r="V6654" s="79" t="str">
        <f>IF(ISERROR(FIND('112'!$M$9,G6654,1)),"",IF((AND(RIGHT(G6654,2)=RIGHT('112'!$M$9,2),B6654&lt;'112'!$K$9,$O6654='112'!$I$6)),"x",""))</f>
        <v/>
      </c>
      <c r="W6654" s="79" t="str">
        <f>IF(AND('341-CT'!$H$9=H6654,OR(LEFT(N6654,3)=$W$7,LEFT(O6654,3)=$W$7)),"x","")</f>
        <v/>
      </c>
      <c r="X6654" s="79" t="str">
        <f>IF(OR(TH!N6654=TH!$X$7,O6654=TH!$X$7),"x","")</f>
        <v/>
      </c>
      <c r="Y6654" s="79" t="str">
        <f>IF(AND(OR(N6654="131",O6654="131"),H6654='131-CT'!$H$9),"x","")</f>
        <v/>
      </c>
      <c r="Z6654" s="79"/>
      <c r="AA6654" s="79" t="str">
        <f>IF(AND(MONTH(E6654)='IN-NX'!$J$5,'IN-NX'!$D$7=D6654),"x","")</f>
        <v/>
      </c>
      <c r="AB6654" s="79" t="str">
        <f>IF(AND(OR(LEFT(TH!N6654,2)="15",LEFT(TH!O6654,2)="15"),LEFT(TH!O6654,3)&lt;&gt;"111",'152-CT'!$J$8=TH!F6654),"x","")</f>
        <v/>
      </c>
      <c r="AC6654" s="79" t="str">
        <f>IF(AND(OR(LEFT(TH!N6654,2)="15",LEFT(TH!O6654,2)="15"),TK!$E$7=TH!F6654),"x","")</f>
        <v/>
      </c>
      <c r="AD6654" s="79" t="str">
        <f>IF(AND(N6654="1521",MONTH(C6654)='BK-NL'!$M$11),"x","")</f>
        <v/>
      </c>
    </row>
    <row r="6655" spans="1:30" ht="16.5" customHeight="1">
      <c r="A6655" s="318" t="str">
        <f>IF(B6655&lt;&gt;"",IF(AND(B6655='IN-TC'!$S$4,OR(TH!N6655="1111",TH!O6655="1111")),TH!D6655,""),"")</f>
        <v/>
      </c>
      <c r="B6655" s="1163" t="str">
        <f t="shared" si="524"/>
        <v/>
      </c>
      <c r="C6655" s="61"/>
      <c r="D6655" s="61"/>
      <c r="E6655" s="61"/>
      <c r="F6655" s="69"/>
      <c r="G6655" s="766"/>
      <c r="H6655" s="69"/>
      <c r="I6655" s="385"/>
      <c r="J6655" s="392"/>
      <c r="K6655" s="385"/>
      <c r="L6655" s="392"/>
      <c r="M6655" s="62"/>
      <c r="N6655" s="63"/>
      <c r="O6655" s="63"/>
      <c r="P6655" s="79" t="str">
        <f>IF(AND('331-CT'!$E$7=TH!H6655,OR(N6655="331",O6655="331")),"x","")</f>
        <v/>
      </c>
      <c r="Q6655" s="79" t="str">
        <f>IF(AND(B6655='111'!$L$11,OR($N6655=$Q$7,$O6655=$Q$7)),"x","")</f>
        <v/>
      </c>
      <c r="R6655" s="79" t="str">
        <f>IF(AND($N6655=$Q$7,$B6655&lt;'111'!$L$11),"x","")</f>
        <v/>
      </c>
      <c r="S6655" s="79" t="str">
        <f>IF(AND($O6655=$Q$7,$B6655&lt;'111'!$L$11),"x","")</f>
        <v/>
      </c>
      <c r="T6655" s="79" t="str">
        <f>IF(ISERROR(FIND('112'!$M$9,G6655,1)),"",IF((AND(FIND('112'!$M$9,G6655,1)&gt;=1,B6655='112'!$K$9,OR($N6655='112'!$I$6,$O6655='112'!$I$6))),"x",""))</f>
        <v/>
      </c>
      <c r="U6655" s="79" t="str">
        <f>IF(ISERROR(FIND('112'!$M$9,G6655,1)),"",IF((AND(LEFT(G6655,2)=LEFT('112'!$M$9,2),B6655&lt;'112'!$K$9,$N6655='112'!$I$6)),"x",""))</f>
        <v/>
      </c>
      <c r="V6655" s="79" t="str">
        <f>IF(ISERROR(FIND('112'!$M$9,G6655,1)),"",IF((AND(RIGHT(G6655,2)=RIGHT('112'!$M$9,2),B6655&lt;'112'!$K$9,$O6655='112'!$I$6)),"x",""))</f>
        <v/>
      </c>
      <c r="W6655" s="79" t="str">
        <f>IF(AND('341-CT'!$H$9=H6655,OR(LEFT(N6655,3)=$W$7,LEFT(O6655,3)=$W$7)),"x","")</f>
        <v/>
      </c>
      <c r="X6655" s="79" t="str">
        <f>IF(OR(TH!N6655=TH!$X$7,O6655=TH!$X$7),"x","")</f>
        <v/>
      </c>
      <c r="Y6655" s="79" t="str">
        <f>IF(AND(OR(N6655="131",O6655="131"),H6655='131-CT'!$H$9),"x","")</f>
        <v/>
      </c>
      <c r="Z6655" s="79"/>
      <c r="AA6655" s="79" t="str">
        <f>IF(AND(MONTH(E6655)='IN-NX'!$J$5,'IN-NX'!$D$7=D6655),"x","")</f>
        <v/>
      </c>
      <c r="AB6655" s="79" t="str">
        <f>IF(AND(OR(LEFT(TH!N6655,2)="15",LEFT(TH!O6655,2)="15"),LEFT(TH!O6655,3)&lt;&gt;"111",'152-CT'!$J$8=TH!F6655),"x","")</f>
        <v/>
      </c>
      <c r="AC6655" s="79" t="str">
        <f>IF(AND(OR(LEFT(TH!N6655,2)="15",LEFT(TH!O6655,2)="15"),TK!$E$7=TH!F6655),"x","")</f>
        <v/>
      </c>
      <c r="AD6655" s="79" t="str">
        <f>IF(AND(N6655="1521",MONTH(C6655)='BK-NL'!$M$11),"x","")</f>
        <v/>
      </c>
    </row>
    <row r="6656" spans="1:30" ht="16.5" customHeight="1">
      <c r="A6656" s="318" t="str">
        <f>IF(B6656&lt;&gt;"",IF(AND(B6656='IN-TC'!$S$4,OR(TH!N6656="1111",TH!O6656="1111")),TH!D6656,""),"")</f>
        <v/>
      </c>
      <c r="B6656" s="1163" t="str">
        <f t="shared" si="524"/>
        <v/>
      </c>
      <c r="C6656" s="61"/>
      <c r="D6656" s="61"/>
      <c r="E6656" s="61"/>
      <c r="F6656" s="446"/>
      <c r="G6656" s="64"/>
      <c r="H6656" s="69"/>
      <c r="I6656" s="385"/>
      <c r="J6656" s="392"/>
      <c r="K6656" s="385"/>
      <c r="L6656" s="392"/>
      <c r="M6656" s="62"/>
      <c r="N6656" s="63"/>
      <c r="O6656" s="63"/>
      <c r="P6656" s="79" t="str">
        <f>IF(AND('331-CT'!$E$7=TH!H6656,OR(N6656="331",O6656="331")),"x","")</f>
        <v/>
      </c>
      <c r="Q6656" s="79" t="str">
        <f>IF(AND(B6656='111'!$L$11,OR($N6656=$Q$7,$O6656=$Q$7)),"x","")</f>
        <v/>
      </c>
      <c r="R6656" s="79" t="str">
        <f>IF(AND($N6656=$Q$7,$B6656&lt;'111'!$L$11),"x","")</f>
        <v/>
      </c>
      <c r="S6656" s="79" t="str">
        <f>IF(AND($O6656=$Q$7,$B6656&lt;'111'!$L$11),"x","")</f>
        <v/>
      </c>
      <c r="T6656" s="79" t="str">
        <f>IF(ISERROR(FIND('112'!$M$9,G6656,1)),"",IF((AND(FIND('112'!$M$9,G6656,1)&gt;=1,B6656='112'!$K$9,OR($N6656='112'!$I$6,$O6656='112'!$I$6))),"x",""))</f>
        <v/>
      </c>
      <c r="U6656" s="79" t="str">
        <f>IF(ISERROR(FIND('112'!$M$9,G6656,1)),"",IF((AND(LEFT(G6656,2)=LEFT('112'!$M$9,2),B6656&lt;'112'!$K$9,$N6656='112'!$I$6)),"x",""))</f>
        <v/>
      </c>
      <c r="V6656" s="79" t="str">
        <f>IF(ISERROR(FIND('112'!$M$9,G6656,1)),"",IF((AND(RIGHT(G6656,2)=RIGHT('112'!$M$9,2),B6656&lt;'112'!$K$9,$O6656='112'!$I$6)),"x",""))</f>
        <v/>
      </c>
      <c r="W6656" s="79" t="str">
        <f>IF(AND('341-CT'!$H$9=H6656,OR(LEFT(N6656,3)=$W$7,LEFT(O6656,3)=$W$7)),"x","")</f>
        <v/>
      </c>
      <c r="X6656" s="79" t="str">
        <f>IF(OR(TH!N6656=TH!$X$7,O6656=TH!$X$7),"x","")</f>
        <v/>
      </c>
      <c r="Y6656" s="79" t="str">
        <f>IF(AND(OR(N6656="131",O6656="131"),H6656='131-CT'!$H$9),"x","")</f>
        <v/>
      </c>
      <c r="Z6656" s="79"/>
      <c r="AA6656" s="79" t="str">
        <f>IF(AND(MONTH(E6656)='IN-NX'!$J$5,'IN-NX'!$D$7=D6656),"x","")</f>
        <v/>
      </c>
      <c r="AB6656" s="79" t="str">
        <f>IF(AND(OR(LEFT(TH!N6656,2)="15",LEFT(TH!O6656,2)="15"),LEFT(TH!O6656,3)&lt;&gt;"111",'152-CT'!$J$8=TH!F6656),"x","")</f>
        <v/>
      </c>
      <c r="AC6656" s="79" t="str">
        <f>IF(AND(OR(LEFT(TH!N6656,2)="15",LEFT(TH!O6656,2)="15"),TK!$E$7=TH!F6656),"x","")</f>
        <v/>
      </c>
      <c r="AD6656" s="79" t="str">
        <f>IF(AND(N6656="1521",MONTH(C6656)='BK-NL'!$M$11),"x","")</f>
        <v/>
      </c>
    </row>
    <row r="6657" spans="1:30" ht="16.5" customHeight="1">
      <c r="A6657" s="318" t="str">
        <f>IF(B6657&lt;&gt;"",IF(AND(B6657='IN-TC'!$S$4,OR(TH!N6657="1111",TH!O6657="1111")),TH!D6657,""),"")</f>
        <v/>
      </c>
      <c r="B6657" s="1163" t="str">
        <f t="shared" si="524"/>
        <v/>
      </c>
      <c r="C6657" s="61"/>
      <c r="D6657" s="61"/>
      <c r="E6657" s="61"/>
      <c r="F6657" s="69"/>
      <c r="G6657" s="64"/>
      <c r="H6657" s="321"/>
      <c r="I6657" s="385"/>
      <c r="J6657" s="392"/>
      <c r="K6657" s="385"/>
      <c r="L6657" s="392"/>
      <c r="M6657" s="62"/>
      <c r="N6657" s="63"/>
      <c r="O6657" s="63"/>
      <c r="P6657" s="79" t="str">
        <f>IF(AND('331-CT'!$E$7=TH!H6657,OR(N6657="331",O6657="331")),"x","")</f>
        <v/>
      </c>
      <c r="Q6657" s="79" t="str">
        <f>IF(AND(B6657='111'!$L$11,OR($N6657=$Q$7,$O6657=$Q$7)),"x","")</f>
        <v/>
      </c>
      <c r="R6657" s="79" t="str">
        <f>IF(AND($N6657=$Q$7,$B6657&lt;'111'!$L$11),"x","")</f>
        <v/>
      </c>
      <c r="S6657" s="79" t="str">
        <f>IF(AND($O6657=$Q$7,$B6657&lt;'111'!$L$11),"x","")</f>
        <v/>
      </c>
      <c r="T6657" s="79" t="str">
        <f>IF(ISERROR(FIND('112'!$M$9,G6657,1)),"",IF((AND(FIND('112'!$M$9,G6657,1)&gt;=1,B6657='112'!$K$9,OR($N6657='112'!$I$6,$O6657='112'!$I$6))),"x",""))</f>
        <v/>
      </c>
      <c r="U6657" s="79" t="str">
        <f>IF(ISERROR(FIND('112'!$M$9,G6657,1)),"",IF((AND(LEFT(G6657,2)=LEFT('112'!$M$9,2),B6657&lt;'112'!$K$9,$N6657='112'!$I$6)),"x",""))</f>
        <v/>
      </c>
      <c r="V6657" s="79" t="str">
        <f>IF(ISERROR(FIND('112'!$M$9,G6657,1)),"",IF((AND(RIGHT(G6657,2)=RIGHT('112'!$M$9,2),B6657&lt;'112'!$K$9,$O6657='112'!$I$6)),"x",""))</f>
        <v/>
      </c>
      <c r="W6657" s="79" t="str">
        <f>IF(AND('341-CT'!$H$9=H6657,OR(LEFT(N6657,3)=$W$7,LEFT(O6657,3)=$W$7)),"x","")</f>
        <v/>
      </c>
      <c r="X6657" s="79" t="str">
        <f>IF(OR(TH!N6657=TH!$X$7,O6657=TH!$X$7),"x","")</f>
        <v/>
      </c>
      <c r="Y6657" s="79" t="str">
        <f>IF(AND(OR(N6657="131",O6657="131"),H6657='131-CT'!$H$9),"x","")</f>
        <v/>
      </c>
      <c r="Z6657" s="79"/>
      <c r="AA6657" s="79" t="str">
        <f>IF(AND(MONTH(E6657)='IN-NX'!$J$5,'IN-NX'!$D$7=D6657),"x","")</f>
        <v/>
      </c>
      <c r="AB6657" s="79" t="str">
        <f>IF(AND(OR(LEFT(TH!N6657,2)="15",LEFT(TH!O6657,2)="15"),LEFT(TH!O6657,3)&lt;&gt;"111",'152-CT'!$J$8=TH!F6657),"x","")</f>
        <v/>
      </c>
      <c r="AC6657" s="79" t="str">
        <f>IF(AND(OR(LEFT(TH!N6657,2)="15",LEFT(TH!O6657,2)="15"),TK!$E$7=TH!F6657),"x","")</f>
        <v/>
      </c>
      <c r="AD6657" s="79" t="str">
        <f>IF(AND(N6657="1521",MONTH(C6657)='BK-NL'!$M$11),"x","")</f>
        <v/>
      </c>
    </row>
    <row r="6658" spans="1:30" ht="16.5" customHeight="1">
      <c r="A6658" s="318" t="str">
        <f>IF(B6658&lt;&gt;"",IF(AND(B6658='IN-TC'!$S$4,OR(TH!N6658="1111",TH!O6658="1111")),TH!D6658,""),"")</f>
        <v/>
      </c>
      <c r="B6658" s="1163" t="str">
        <f t="shared" si="524"/>
        <v/>
      </c>
      <c r="C6658" s="61"/>
      <c r="D6658" s="61"/>
      <c r="E6658" s="61"/>
      <c r="F6658" s="69"/>
      <c r="G6658" s="64"/>
      <c r="H6658" s="321"/>
      <c r="I6658" s="385"/>
      <c r="J6658" s="392"/>
      <c r="K6658" s="385"/>
      <c r="L6658" s="392"/>
      <c r="M6658" s="62"/>
      <c r="N6658" s="63"/>
      <c r="O6658" s="63"/>
      <c r="P6658" s="79" t="str">
        <f>IF(AND('331-CT'!$E$7=TH!H6658,OR(N6658="331",O6658="331")),"x","")</f>
        <v/>
      </c>
      <c r="Q6658" s="79" t="str">
        <f>IF(AND(B6658='111'!$L$11,OR($N6658=$Q$7,$O6658=$Q$7)),"x","")</f>
        <v/>
      </c>
      <c r="R6658" s="79" t="str">
        <f>IF(AND($N6658=$Q$7,$B6658&lt;'111'!$L$11),"x","")</f>
        <v/>
      </c>
      <c r="S6658" s="79" t="str">
        <f>IF(AND($O6658=$Q$7,$B6658&lt;'111'!$L$11),"x","")</f>
        <v/>
      </c>
      <c r="T6658" s="79" t="str">
        <f>IF(ISERROR(FIND('112'!$M$9,G6658,1)),"",IF((AND(FIND('112'!$M$9,G6658,1)&gt;=1,B6658='112'!$K$9,OR($N6658='112'!$I$6,$O6658='112'!$I$6))),"x",""))</f>
        <v/>
      </c>
      <c r="U6658" s="79" t="str">
        <f>IF(ISERROR(FIND('112'!$M$9,G6658,1)),"",IF((AND(LEFT(G6658,2)=LEFT('112'!$M$9,2),B6658&lt;'112'!$K$9,$N6658='112'!$I$6)),"x",""))</f>
        <v/>
      </c>
      <c r="V6658" s="79" t="str">
        <f>IF(ISERROR(FIND('112'!$M$9,G6658,1)),"",IF((AND(RIGHT(G6658,2)=RIGHT('112'!$M$9,2),B6658&lt;'112'!$K$9,$O6658='112'!$I$6)),"x",""))</f>
        <v/>
      </c>
      <c r="W6658" s="79" t="str">
        <f>IF(AND('341-CT'!$H$9=H6658,OR(LEFT(N6658,3)=$W$7,LEFT(O6658,3)=$W$7)),"x","")</f>
        <v/>
      </c>
      <c r="X6658" s="79" t="str">
        <f>IF(OR(TH!N6658=TH!$X$7,O6658=TH!$X$7),"x","")</f>
        <v/>
      </c>
      <c r="Y6658" s="79" t="str">
        <f>IF(AND(OR(N6658="131",O6658="131"),H6658='131-CT'!$H$9),"x","")</f>
        <v/>
      </c>
      <c r="Z6658" s="79"/>
      <c r="AA6658" s="79" t="str">
        <f>IF(AND(MONTH(E6658)='IN-NX'!$J$5,'IN-NX'!$D$7=D6658),"x","")</f>
        <v/>
      </c>
      <c r="AB6658" s="79" t="str">
        <f>IF(AND(OR(LEFT(TH!N6658,2)="15",LEFT(TH!O6658,2)="15"),LEFT(TH!O6658,3)&lt;&gt;"111",'152-CT'!$J$8=TH!F6658),"x","")</f>
        <v/>
      </c>
      <c r="AC6658" s="79" t="str">
        <f>IF(AND(OR(LEFT(TH!N6658,2)="15",LEFT(TH!O6658,2)="15"),TK!$E$7=TH!F6658),"x","")</f>
        <v/>
      </c>
      <c r="AD6658" s="79" t="str">
        <f>IF(AND(N6658="1521",MONTH(C6658)='BK-NL'!$M$11),"x","")</f>
        <v/>
      </c>
    </row>
    <row r="6659" spans="1:30" ht="16.5" customHeight="1">
      <c r="A6659" s="318" t="str">
        <f>IF(B6659&lt;&gt;"",IF(AND(B6659='IN-TC'!$S$4,OR(TH!N6659="1111",TH!O6659="1111")),TH!D6659,""),"")</f>
        <v/>
      </c>
      <c r="B6659" s="1163" t="str">
        <f t="shared" ref="B6659:B6722" si="525">IF(C6659&lt;&gt;"",MONTH(C6659),"")</f>
        <v/>
      </c>
      <c r="C6659" s="61"/>
      <c r="D6659" s="61"/>
      <c r="E6659" s="61"/>
      <c r="F6659" s="69"/>
      <c r="G6659" s="64"/>
      <c r="H6659" s="321"/>
      <c r="I6659" s="385"/>
      <c r="J6659" s="392"/>
      <c r="K6659" s="385"/>
      <c r="L6659" s="392"/>
      <c r="M6659" s="62"/>
      <c r="N6659" s="63"/>
      <c r="O6659" s="63"/>
      <c r="P6659" s="79" t="str">
        <f>IF(AND('331-CT'!$E$7=TH!H6659,OR(N6659="331",O6659="331")),"x","")</f>
        <v/>
      </c>
      <c r="Q6659" s="79" t="str">
        <f>IF(AND(B6659='111'!$L$11,OR($N6659=$Q$7,$O6659=$Q$7)),"x","")</f>
        <v/>
      </c>
      <c r="R6659" s="79" t="str">
        <f>IF(AND($N6659=$Q$7,$B6659&lt;'111'!$L$11),"x","")</f>
        <v/>
      </c>
      <c r="S6659" s="79" t="str">
        <f>IF(AND($O6659=$Q$7,$B6659&lt;'111'!$L$11),"x","")</f>
        <v/>
      </c>
      <c r="T6659" s="79" t="str">
        <f>IF(ISERROR(FIND('112'!$M$9,G6659,1)),"",IF((AND(FIND('112'!$M$9,G6659,1)&gt;=1,B6659='112'!$K$9,OR($N6659='112'!$I$6,$O6659='112'!$I$6))),"x",""))</f>
        <v/>
      </c>
      <c r="U6659" s="79" t="str">
        <f>IF(ISERROR(FIND('112'!$M$9,G6659,1)),"",IF((AND(LEFT(G6659,2)=LEFT('112'!$M$9,2),B6659&lt;'112'!$K$9,$N6659='112'!$I$6)),"x",""))</f>
        <v/>
      </c>
      <c r="V6659" s="79" t="str">
        <f>IF(ISERROR(FIND('112'!$M$9,G6659,1)),"",IF((AND(RIGHT(G6659,2)=RIGHT('112'!$M$9,2),B6659&lt;'112'!$K$9,$O6659='112'!$I$6)),"x",""))</f>
        <v/>
      </c>
      <c r="W6659" s="79" t="str">
        <f>IF(AND('341-CT'!$H$9=H6659,OR(LEFT(N6659,3)=$W$7,LEFT(O6659,3)=$W$7)),"x","")</f>
        <v/>
      </c>
      <c r="X6659" s="79" t="str">
        <f>IF(OR(TH!N6659=TH!$X$7,O6659=TH!$X$7),"x","")</f>
        <v/>
      </c>
      <c r="Y6659" s="79" t="str">
        <f>IF(AND(OR(N6659="131",O6659="131"),H6659='131-CT'!$H$9),"x","")</f>
        <v/>
      </c>
      <c r="Z6659" s="79"/>
      <c r="AA6659" s="79" t="str">
        <f>IF(AND(MONTH(E6659)='IN-NX'!$J$5,'IN-NX'!$D$7=D6659),"x","")</f>
        <v/>
      </c>
      <c r="AB6659" s="79" t="str">
        <f>IF(AND(OR(LEFT(TH!N6659,2)="15",LEFT(TH!O6659,2)="15"),LEFT(TH!O6659,3)&lt;&gt;"111",'152-CT'!$J$8=TH!F6659),"x","")</f>
        <v/>
      </c>
      <c r="AC6659" s="79" t="str">
        <f>IF(AND(OR(LEFT(TH!N6659,2)="15",LEFT(TH!O6659,2)="15"),TK!$E$7=TH!F6659),"x","")</f>
        <v/>
      </c>
      <c r="AD6659" s="79" t="str">
        <f>IF(AND(N6659="1521",MONTH(C6659)='BK-NL'!$M$11),"x","")</f>
        <v/>
      </c>
    </row>
    <row r="6660" spans="1:30" ht="16.5" customHeight="1">
      <c r="A6660" s="318" t="str">
        <f>IF(B6660&lt;&gt;"",IF(AND(B6660='IN-TC'!$S$4,OR(TH!N6660="1111",TH!O6660="1111")),TH!D6660,""),"")</f>
        <v/>
      </c>
      <c r="B6660" s="1163" t="str">
        <f t="shared" si="525"/>
        <v/>
      </c>
      <c r="C6660" s="61"/>
      <c r="D6660" s="61"/>
      <c r="E6660" s="61"/>
      <c r="F6660" s="69"/>
      <c r="G6660" s="64"/>
      <c r="H6660" s="321"/>
      <c r="I6660" s="385"/>
      <c r="J6660" s="392"/>
      <c r="K6660" s="385"/>
      <c r="L6660" s="392"/>
      <c r="M6660" s="62"/>
      <c r="N6660" s="63"/>
      <c r="O6660" s="63"/>
      <c r="P6660" s="79" t="str">
        <f>IF(AND('331-CT'!$E$7=TH!H6660,OR(N6660="331",O6660="331")),"x","")</f>
        <v/>
      </c>
      <c r="Q6660" s="79" t="str">
        <f>IF(AND(B6660='111'!$L$11,OR($N6660=$Q$7,$O6660=$Q$7)),"x","")</f>
        <v/>
      </c>
      <c r="R6660" s="79" t="str">
        <f>IF(AND($N6660=$Q$7,$B6660&lt;'111'!$L$11),"x","")</f>
        <v/>
      </c>
      <c r="S6660" s="79" t="str">
        <f>IF(AND($O6660=$Q$7,$B6660&lt;'111'!$L$11),"x","")</f>
        <v/>
      </c>
      <c r="T6660" s="79" t="str">
        <f>IF(ISERROR(FIND('112'!$M$9,G6660,1)),"",IF((AND(FIND('112'!$M$9,G6660,1)&gt;=1,B6660='112'!$K$9,OR($N6660='112'!$I$6,$O6660='112'!$I$6))),"x",""))</f>
        <v/>
      </c>
      <c r="U6660" s="79" t="str">
        <f>IF(ISERROR(FIND('112'!$M$9,G6660,1)),"",IF((AND(LEFT(G6660,2)=LEFT('112'!$M$9,2),B6660&lt;'112'!$K$9,$N6660='112'!$I$6)),"x",""))</f>
        <v/>
      </c>
      <c r="V6660" s="79" t="str">
        <f>IF(ISERROR(FIND('112'!$M$9,G6660,1)),"",IF((AND(RIGHT(G6660,2)=RIGHT('112'!$M$9,2),B6660&lt;'112'!$K$9,$O6660='112'!$I$6)),"x",""))</f>
        <v/>
      </c>
      <c r="W6660" s="79" t="str">
        <f>IF(AND('341-CT'!$H$9=H6660,OR(LEFT(N6660,3)=$W$7,LEFT(O6660,3)=$W$7)),"x","")</f>
        <v/>
      </c>
      <c r="X6660" s="79" t="str">
        <f>IF(OR(TH!N6660=TH!$X$7,O6660=TH!$X$7),"x","")</f>
        <v/>
      </c>
      <c r="Y6660" s="79" t="str">
        <f>IF(AND(OR(N6660="131",O6660="131"),H6660='131-CT'!$H$9),"x","")</f>
        <v/>
      </c>
      <c r="Z6660" s="79"/>
      <c r="AA6660" s="79" t="str">
        <f>IF(AND(MONTH(E6660)='IN-NX'!$J$5,'IN-NX'!$D$7=D6660),"x","")</f>
        <v/>
      </c>
      <c r="AB6660" s="79" t="str">
        <f>IF(AND(OR(LEFT(TH!N6660,2)="15",LEFT(TH!O6660,2)="15"),LEFT(TH!O6660,3)&lt;&gt;"111",'152-CT'!$J$8=TH!F6660),"x","")</f>
        <v/>
      </c>
      <c r="AC6660" s="79" t="str">
        <f>IF(AND(OR(LEFT(TH!N6660,2)="15",LEFT(TH!O6660,2)="15"),TK!$E$7=TH!F6660),"x","")</f>
        <v/>
      </c>
      <c r="AD6660" s="79" t="str">
        <f>IF(AND(N6660="1521",MONTH(C6660)='BK-NL'!$M$11),"x","")</f>
        <v/>
      </c>
    </row>
    <row r="6661" spans="1:30" ht="16.5" customHeight="1">
      <c r="A6661" s="318" t="str">
        <f>IF(B6661&lt;&gt;"",IF(AND(B6661='IN-TC'!$S$4,OR(TH!N6661="1111",TH!O6661="1111")),TH!D6661,""),"")</f>
        <v/>
      </c>
      <c r="B6661" s="1163" t="str">
        <f t="shared" si="525"/>
        <v/>
      </c>
      <c r="C6661" s="61"/>
      <c r="D6661" s="61"/>
      <c r="E6661" s="61"/>
      <c r="F6661" s="69"/>
      <c r="G6661" s="64"/>
      <c r="H6661" s="321"/>
      <c r="I6661" s="385"/>
      <c r="J6661" s="392"/>
      <c r="K6661" s="385"/>
      <c r="L6661" s="392"/>
      <c r="M6661" s="62"/>
      <c r="N6661" s="63"/>
      <c r="O6661" s="63"/>
      <c r="P6661" s="79" t="str">
        <f>IF(AND('331-CT'!$E$7=TH!H6661,OR(N6661="331",O6661="331")),"x","")</f>
        <v/>
      </c>
      <c r="Q6661" s="79" t="str">
        <f>IF(AND(B6661='111'!$L$11,OR($N6661=$Q$7,$O6661=$Q$7)),"x","")</f>
        <v/>
      </c>
      <c r="R6661" s="79" t="str">
        <f>IF(AND($N6661=$Q$7,$B6661&lt;'111'!$L$11),"x","")</f>
        <v/>
      </c>
      <c r="S6661" s="79" t="str">
        <f>IF(AND($O6661=$Q$7,$B6661&lt;'111'!$L$11),"x","")</f>
        <v/>
      </c>
      <c r="T6661" s="79" t="str">
        <f>IF(ISERROR(FIND('112'!$M$9,G6661,1)),"",IF((AND(FIND('112'!$M$9,G6661,1)&gt;=1,B6661='112'!$K$9,OR($N6661='112'!$I$6,$O6661='112'!$I$6))),"x",""))</f>
        <v/>
      </c>
      <c r="U6661" s="79" t="str">
        <f>IF(ISERROR(FIND('112'!$M$9,G6661,1)),"",IF((AND(LEFT(G6661,2)=LEFT('112'!$M$9,2),B6661&lt;'112'!$K$9,$N6661='112'!$I$6)),"x",""))</f>
        <v/>
      </c>
      <c r="V6661" s="79" t="str">
        <f>IF(ISERROR(FIND('112'!$M$9,G6661,1)),"",IF((AND(RIGHT(G6661,2)=RIGHT('112'!$M$9,2),B6661&lt;'112'!$K$9,$O6661='112'!$I$6)),"x",""))</f>
        <v/>
      </c>
      <c r="W6661" s="79" t="str">
        <f>IF(AND('341-CT'!$H$9=H6661,OR(LEFT(N6661,3)=$W$7,LEFT(O6661,3)=$W$7)),"x","")</f>
        <v/>
      </c>
      <c r="X6661" s="79" t="str">
        <f>IF(OR(TH!N6661=TH!$X$7,O6661=TH!$X$7),"x","")</f>
        <v/>
      </c>
      <c r="Y6661" s="79" t="str">
        <f>IF(AND(OR(N6661="131",O6661="131"),H6661='131-CT'!$H$9),"x","")</f>
        <v/>
      </c>
      <c r="Z6661" s="79"/>
      <c r="AA6661" s="79" t="str">
        <f>IF(AND(MONTH(E6661)='IN-NX'!$J$5,'IN-NX'!$D$7=D6661),"x","")</f>
        <v/>
      </c>
      <c r="AB6661" s="79" t="str">
        <f>IF(AND(OR(LEFT(TH!N6661,2)="15",LEFT(TH!O6661,2)="15"),LEFT(TH!O6661,3)&lt;&gt;"111",'152-CT'!$J$8=TH!F6661),"x","")</f>
        <v/>
      </c>
      <c r="AC6661" s="79" t="str">
        <f>IF(AND(OR(LEFT(TH!N6661,2)="15",LEFT(TH!O6661,2)="15"),TK!$E$7=TH!F6661),"x","")</f>
        <v/>
      </c>
      <c r="AD6661" s="79" t="str">
        <f>IF(AND(N6661="1521",MONTH(C6661)='BK-NL'!$M$11),"x","")</f>
        <v/>
      </c>
    </row>
    <row r="6662" spans="1:30" ht="16.5" customHeight="1">
      <c r="A6662" s="318" t="str">
        <f>IF(B6662&lt;&gt;"",IF(AND(B6662='IN-TC'!$S$4,OR(TH!N6662="1111",TH!O6662="1111")),TH!D6662,""),"")</f>
        <v/>
      </c>
      <c r="B6662" s="1163" t="str">
        <f t="shared" si="525"/>
        <v/>
      </c>
      <c r="C6662" s="61"/>
      <c r="D6662" s="61"/>
      <c r="E6662" s="61"/>
      <c r="F6662" s="69"/>
      <c r="G6662" s="64"/>
      <c r="H6662" s="321"/>
      <c r="I6662" s="385"/>
      <c r="J6662" s="392"/>
      <c r="K6662" s="385"/>
      <c r="L6662" s="392"/>
      <c r="M6662" s="62"/>
      <c r="N6662" s="63"/>
      <c r="O6662" s="63"/>
      <c r="P6662" s="79" t="str">
        <f>IF(AND('331-CT'!$E$7=TH!H6662,OR(N6662="331",O6662="331")),"x","")</f>
        <v/>
      </c>
      <c r="Q6662" s="79" t="str">
        <f>IF(AND(B6662='111'!$L$11,OR($N6662=$Q$7,$O6662=$Q$7)),"x","")</f>
        <v/>
      </c>
      <c r="R6662" s="79" t="str">
        <f>IF(AND($N6662=$Q$7,$B6662&lt;'111'!$L$11),"x","")</f>
        <v/>
      </c>
      <c r="S6662" s="79" t="str">
        <f>IF(AND($O6662=$Q$7,$B6662&lt;'111'!$L$11),"x","")</f>
        <v/>
      </c>
      <c r="T6662" s="79" t="str">
        <f>IF(ISERROR(FIND('112'!$M$9,G6662,1)),"",IF((AND(FIND('112'!$M$9,G6662,1)&gt;=1,B6662='112'!$K$9,OR($N6662='112'!$I$6,$O6662='112'!$I$6))),"x",""))</f>
        <v/>
      </c>
      <c r="U6662" s="79" t="str">
        <f>IF(ISERROR(FIND('112'!$M$9,G6662,1)),"",IF((AND(LEFT(G6662,2)=LEFT('112'!$M$9,2),B6662&lt;'112'!$K$9,$N6662='112'!$I$6)),"x",""))</f>
        <v/>
      </c>
      <c r="V6662" s="79" t="str">
        <f>IF(ISERROR(FIND('112'!$M$9,G6662,1)),"",IF((AND(RIGHT(G6662,2)=RIGHT('112'!$M$9,2),B6662&lt;'112'!$K$9,$O6662='112'!$I$6)),"x",""))</f>
        <v/>
      </c>
      <c r="W6662" s="79" t="str">
        <f>IF(AND('341-CT'!$H$9=H6662,OR(LEFT(N6662,3)=$W$7,LEFT(O6662,3)=$W$7)),"x","")</f>
        <v/>
      </c>
      <c r="X6662" s="79" t="str">
        <f>IF(OR(TH!N6662=TH!$X$7,O6662=TH!$X$7),"x","")</f>
        <v/>
      </c>
      <c r="Y6662" s="79" t="str">
        <f>IF(AND(OR(N6662="131",O6662="131"),H6662='131-CT'!$H$9),"x","")</f>
        <v/>
      </c>
      <c r="Z6662" s="79"/>
      <c r="AA6662" s="79" t="str">
        <f>IF(AND(MONTH(E6662)='IN-NX'!$J$5,'IN-NX'!$D$7=D6662),"x","")</f>
        <v/>
      </c>
      <c r="AB6662" s="79" t="str">
        <f>IF(AND(OR(LEFT(TH!N6662,2)="15",LEFT(TH!O6662,2)="15"),LEFT(TH!O6662,3)&lt;&gt;"111",'152-CT'!$J$8=TH!F6662),"x","")</f>
        <v/>
      </c>
      <c r="AC6662" s="79" t="str">
        <f>IF(AND(OR(LEFT(TH!N6662,2)="15",LEFT(TH!O6662,2)="15"),TK!$E$7=TH!F6662),"x","")</f>
        <v/>
      </c>
      <c r="AD6662" s="79" t="str">
        <f>IF(AND(N6662="1521",MONTH(C6662)='BK-NL'!$M$11),"x","")</f>
        <v/>
      </c>
    </row>
    <row r="6663" spans="1:30" ht="16.5" customHeight="1">
      <c r="A6663" s="318" t="str">
        <f>IF(B6663&lt;&gt;"",IF(AND(B6663='IN-TC'!$S$4,OR(TH!N6663="1111",TH!O6663="1111")),TH!D6663,""),"")</f>
        <v/>
      </c>
      <c r="B6663" s="1163" t="str">
        <f t="shared" si="525"/>
        <v/>
      </c>
      <c r="C6663" s="61"/>
      <c r="D6663" s="61"/>
      <c r="E6663" s="61"/>
      <c r="F6663" s="69"/>
      <c r="G6663" s="64"/>
      <c r="H6663" s="321"/>
      <c r="I6663" s="385"/>
      <c r="J6663" s="392"/>
      <c r="K6663" s="385"/>
      <c r="L6663" s="392"/>
      <c r="M6663" s="62"/>
      <c r="N6663" s="63"/>
      <c r="O6663" s="63"/>
      <c r="P6663" s="79" t="str">
        <f>IF(AND('331-CT'!$E$7=TH!H6663,OR(N6663="331",O6663="331")),"x","")</f>
        <v/>
      </c>
      <c r="Q6663" s="79" t="str">
        <f>IF(AND(B6663='111'!$L$11,OR($N6663=$Q$7,$O6663=$Q$7)),"x","")</f>
        <v/>
      </c>
      <c r="R6663" s="79" t="str">
        <f>IF(AND($N6663=$Q$7,$B6663&lt;'111'!$L$11),"x","")</f>
        <v/>
      </c>
      <c r="S6663" s="79" t="str">
        <f>IF(AND($O6663=$Q$7,$B6663&lt;'111'!$L$11),"x","")</f>
        <v/>
      </c>
      <c r="T6663" s="79" t="str">
        <f>IF(ISERROR(FIND('112'!$M$9,G6663,1)),"",IF((AND(FIND('112'!$M$9,G6663,1)&gt;=1,B6663='112'!$K$9,OR($N6663='112'!$I$6,$O6663='112'!$I$6))),"x",""))</f>
        <v/>
      </c>
      <c r="U6663" s="79" t="str">
        <f>IF(ISERROR(FIND('112'!$M$9,G6663,1)),"",IF((AND(LEFT(G6663,2)=LEFT('112'!$M$9,2),B6663&lt;'112'!$K$9,$N6663='112'!$I$6)),"x",""))</f>
        <v/>
      </c>
      <c r="V6663" s="79" t="str">
        <f>IF(ISERROR(FIND('112'!$M$9,G6663,1)),"",IF((AND(RIGHT(G6663,2)=RIGHT('112'!$M$9,2),B6663&lt;'112'!$K$9,$O6663='112'!$I$6)),"x",""))</f>
        <v/>
      </c>
      <c r="W6663" s="79" t="str">
        <f>IF(AND('341-CT'!$H$9=H6663,OR(LEFT(N6663,3)=$W$7,LEFT(O6663,3)=$W$7)),"x","")</f>
        <v/>
      </c>
      <c r="X6663" s="79" t="str">
        <f>IF(OR(TH!N6663=TH!$X$7,O6663=TH!$X$7),"x","")</f>
        <v/>
      </c>
      <c r="Y6663" s="79" t="str">
        <f>IF(AND(OR(N6663="131",O6663="131"),H6663='131-CT'!$H$9),"x","")</f>
        <v/>
      </c>
      <c r="Z6663" s="79"/>
      <c r="AA6663" s="79" t="str">
        <f>IF(AND(MONTH(E6663)='IN-NX'!$J$5,'IN-NX'!$D$7=D6663),"x","")</f>
        <v/>
      </c>
      <c r="AB6663" s="79" t="str">
        <f>IF(AND(OR(LEFT(TH!N6663,2)="15",LEFT(TH!O6663,2)="15"),LEFT(TH!O6663,3)&lt;&gt;"111",'152-CT'!$J$8=TH!F6663),"x","")</f>
        <v/>
      </c>
      <c r="AC6663" s="79" t="str">
        <f>IF(AND(OR(LEFT(TH!N6663,2)="15",LEFT(TH!O6663,2)="15"),TK!$E$7=TH!F6663),"x","")</f>
        <v/>
      </c>
      <c r="AD6663" s="79" t="str">
        <f>IF(AND(N6663="1521",MONTH(C6663)='BK-NL'!$M$11),"x","")</f>
        <v/>
      </c>
    </row>
    <row r="6664" spans="1:30" ht="16.5" customHeight="1">
      <c r="A6664" s="318" t="str">
        <f>IF(B6664&lt;&gt;"",IF(AND(B6664='IN-TC'!$S$4,OR(TH!N6664="1111",TH!O6664="1111")),TH!D6664,""),"")</f>
        <v/>
      </c>
      <c r="B6664" s="1163" t="str">
        <f t="shared" si="525"/>
        <v/>
      </c>
      <c r="C6664" s="61"/>
      <c r="D6664" s="61"/>
      <c r="E6664" s="61"/>
      <c r="F6664" s="69"/>
      <c r="G6664" s="64"/>
      <c r="H6664" s="321"/>
      <c r="I6664" s="385"/>
      <c r="J6664" s="392"/>
      <c r="K6664" s="385"/>
      <c r="L6664" s="392"/>
      <c r="M6664" s="62"/>
      <c r="N6664" s="63"/>
      <c r="O6664" s="63"/>
      <c r="P6664" s="79" t="str">
        <f>IF(AND('331-CT'!$E$7=TH!H6664,OR(N6664="331",O6664="331")),"x","")</f>
        <v/>
      </c>
      <c r="Q6664" s="79" t="str">
        <f>IF(AND(B6664='111'!$L$11,OR($N6664=$Q$7,$O6664=$Q$7)),"x","")</f>
        <v/>
      </c>
      <c r="R6664" s="79" t="str">
        <f>IF(AND($N6664=$Q$7,$B6664&lt;'111'!$L$11),"x","")</f>
        <v/>
      </c>
      <c r="S6664" s="79" t="str">
        <f>IF(AND($O6664=$Q$7,$B6664&lt;'111'!$L$11),"x","")</f>
        <v/>
      </c>
      <c r="T6664" s="79" t="str">
        <f>IF(ISERROR(FIND('112'!$M$9,G6664,1)),"",IF((AND(FIND('112'!$M$9,G6664,1)&gt;=1,B6664='112'!$K$9,OR($N6664='112'!$I$6,$O6664='112'!$I$6))),"x",""))</f>
        <v/>
      </c>
      <c r="U6664" s="79" t="str">
        <f>IF(ISERROR(FIND('112'!$M$9,G6664,1)),"",IF((AND(LEFT(G6664,2)=LEFT('112'!$M$9,2),B6664&lt;'112'!$K$9,$N6664='112'!$I$6)),"x",""))</f>
        <v/>
      </c>
      <c r="V6664" s="79" t="str">
        <f>IF(ISERROR(FIND('112'!$M$9,G6664,1)),"",IF((AND(RIGHT(G6664,2)=RIGHT('112'!$M$9,2),B6664&lt;'112'!$K$9,$O6664='112'!$I$6)),"x",""))</f>
        <v/>
      </c>
      <c r="W6664" s="79" t="str">
        <f>IF(AND('341-CT'!$H$9=H6664,OR(LEFT(N6664,3)=$W$7,LEFT(O6664,3)=$W$7)),"x","")</f>
        <v/>
      </c>
      <c r="X6664" s="79" t="str">
        <f>IF(OR(TH!N6664=TH!$X$7,O6664=TH!$X$7),"x","")</f>
        <v/>
      </c>
      <c r="Y6664" s="79" t="str">
        <f>IF(AND(OR(N6664="131",O6664="131"),H6664='131-CT'!$H$9),"x","")</f>
        <v/>
      </c>
      <c r="Z6664" s="79"/>
      <c r="AA6664" s="79" t="str">
        <f>IF(AND(MONTH(E6664)='IN-NX'!$J$5,'IN-NX'!$D$7=D6664),"x","")</f>
        <v/>
      </c>
      <c r="AB6664" s="79" t="str">
        <f>IF(AND(OR(LEFT(TH!N6664,2)="15",LEFT(TH!O6664,2)="15"),LEFT(TH!O6664,3)&lt;&gt;"111",'152-CT'!$J$8=TH!F6664),"x","")</f>
        <v/>
      </c>
      <c r="AC6664" s="79" t="str">
        <f>IF(AND(OR(LEFT(TH!N6664,2)="15",LEFT(TH!O6664,2)="15"),TK!$E$7=TH!F6664),"x","")</f>
        <v/>
      </c>
      <c r="AD6664" s="79" t="str">
        <f>IF(AND(N6664="1521",MONTH(C6664)='BK-NL'!$M$11),"x","")</f>
        <v/>
      </c>
    </row>
    <row r="6665" spans="1:30" ht="16.5" customHeight="1">
      <c r="A6665" s="318" t="str">
        <f>IF(B6665&lt;&gt;"",IF(AND(B6665='IN-TC'!$S$4,OR(TH!N6665="1111",TH!O6665="1111")),TH!D6665,""),"")</f>
        <v/>
      </c>
      <c r="B6665" s="1163" t="str">
        <f t="shared" si="525"/>
        <v/>
      </c>
      <c r="C6665" s="61"/>
      <c r="D6665" s="61"/>
      <c r="E6665" s="61"/>
      <c r="F6665" s="69"/>
      <c r="G6665" s="64"/>
      <c r="H6665" s="321"/>
      <c r="I6665" s="385"/>
      <c r="J6665" s="392"/>
      <c r="K6665" s="385"/>
      <c r="L6665" s="392"/>
      <c r="M6665" s="62"/>
      <c r="N6665" s="63"/>
      <c r="O6665" s="63"/>
      <c r="P6665" s="79" t="str">
        <f>IF(AND('331-CT'!$E$7=TH!H6665,OR(N6665="331",O6665="331")),"x","")</f>
        <v/>
      </c>
      <c r="Q6665" s="79" t="str">
        <f>IF(AND(B6665='111'!$L$11,OR($N6665=$Q$7,$O6665=$Q$7)),"x","")</f>
        <v/>
      </c>
      <c r="R6665" s="79" t="str">
        <f>IF(AND($N6665=$Q$7,$B6665&lt;'111'!$L$11),"x","")</f>
        <v/>
      </c>
      <c r="S6665" s="79" t="str">
        <f>IF(AND($O6665=$Q$7,$B6665&lt;'111'!$L$11),"x","")</f>
        <v/>
      </c>
      <c r="T6665" s="79" t="str">
        <f>IF(ISERROR(FIND('112'!$M$9,G6665,1)),"",IF((AND(FIND('112'!$M$9,G6665,1)&gt;=1,B6665='112'!$K$9,OR($N6665='112'!$I$6,$O6665='112'!$I$6))),"x",""))</f>
        <v/>
      </c>
      <c r="U6665" s="79" t="str">
        <f>IF(ISERROR(FIND('112'!$M$9,G6665,1)),"",IF((AND(LEFT(G6665,2)=LEFT('112'!$M$9,2),B6665&lt;'112'!$K$9,$N6665='112'!$I$6)),"x",""))</f>
        <v/>
      </c>
      <c r="V6665" s="79" t="str">
        <f>IF(ISERROR(FIND('112'!$M$9,G6665,1)),"",IF((AND(RIGHT(G6665,2)=RIGHT('112'!$M$9,2),B6665&lt;'112'!$K$9,$O6665='112'!$I$6)),"x",""))</f>
        <v/>
      </c>
      <c r="W6665" s="79" t="str">
        <f>IF(AND('341-CT'!$H$9=H6665,OR(LEFT(N6665,3)=$W$7,LEFT(O6665,3)=$W$7)),"x","")</f>
        <v/>
      </c>
      <c r="X6665" s="79" t="str">
        <f>IF(OR(TH!N6665=TH!$X$7,O6665=TH!$X$7),"x","")</f>
        <v/>
      </c>
      <c r="Y6665" s="79" t="str">
        <f>IF(AND(OR(N6665="131",O6665="131"),H6665='131-CT'!$H$9),"x","")</f>
        <v/>
      </c>
      <c r="Z6665" s="79"/>
      <c r="AA6665" s="79" t="str">
        <f>IF(AND(MONTH(E6665)='IN-NX'!$J$5,'IN-NX'!$D$7=D6665),"x","")</f>
        <v/>
      </c>
      <c r="AB6665" s="79" t="str">
        <f>IF(AND(OR(LEFT(TH!N6665,2)="15",LEFT(TH!O6665,2)="15"),LEFT(TH!O6665,3)&lt;&gt;"111",'152-CT'!$J$8=TH!F6665),"x","")</f>
        <v/>
      </c>
      <c r="AC6665" s="79" t="str">
        <f>IF(AND(OR(LEFT(TH!N6665,2)="15",LEFT(TH!O6665,2)="15"),TK!$E$7=TH!F6665),"x","")</f>
        <v/>
      </c>
      <c r="AD6665" s="79" t="str">
        <f>IF(AND(N6665="1521",MONTH(C6665)='BK-NL'!$M$11),"x","")</f>
        <v/>
      </c>
    </row>
    <row r="6666" spans="1:30" ht="16.5" customHeight="1">
      <c r="A6666" s="318" t="str">
        <f>IF(B6666&lt;&gt;"",IF(AND(B6666='IN-TC'!$S$4,OR(TH!N6666="1111",TH!O6666="1111")),TH!D6666,""),"")</f>
        <v/>
      </c>
      <c r="B6666" s="1163" t="str">
        <f t="shared" si="525"/>
        <v/>
      </c>
      <c r="C6666" s="61"/>
      <c r="D6666" s="61"/>
      <c r="E6666" s="61"/>
      <c r="F6666" s="69"/>
      <c r="G6666" s="64"/>
      <c r="H6666" s="69"/>
      <c r="I6666" s="385"/>
      <c r="J6666" s="392"/>
      <c r="K6666" s="385"/>
      <c r="L6666" s="392"/>
      <c r="M6666" s="62"/>
      <c r="N6666" s="63"/>
      <c r="O6666" s="63"/>
      <c r="P6666" s="79" t="str">
        <f>IF(AND('331-CT'!$E$7=TH!H6666,OR(N6666="331",O6666="331")),"x","")</f>
        <v/>
      </c>
      <c r="Q6666" s="79" t="str">
        <f>IF(AND(B6666='111'!$L$11,OR($N6666=$Q$7,$O6666=$Q$7)),"x","")</f>
        <v/>
      </c>
      <c r="R6666" s="79" t="str">
        <f>IF(AND($N6666=$Q$7,$B6666&lt;'111'!$L$11),"x","")</f>
        <v/>
      </c>
      <c r="S6666" s="79" t="str">
        <f>IF(AND($O6666=$Q$7,$B6666&lt;'111'!$L$11),"x","")</f>
        <v/>
      </c>
      <c r="T6666" s="79" t="str">
        <f>IF(ISERROR(FIND('112'!$M$9,G6666,1)),"",IF((AND(FIND('112'!$M$9,G6666,1)&gt;=1,B6666='112'!$K$9,OR($N6666='112'!$I$6,$O6666='112'!$I$6))),"x",""))</f>
        <v/>
      </c>
      <c r="U6666" s="79" t="str">
        <f>IF(ISERROR(FIND('112'!$M$9,G6666,1)),"",IF((AND(LEFT(G6666,2)=LEFT('112'!$M$9,2),B6666&lt;'112'!$K$9,$N6666='112'!$I$6)),"x",""))</f>
        <v/>
      </c>
      <c r="V6666" s="79" t="str">
        <f>IF(ISERROR(FIND('112'!$M$9,G6666,1)),"",IF((AND(RIGHT(G6666,2)=RIGHT('112'!$M$9,2),B6666&lt;'112'!$K$9,$O6666='112'!$I$6)),"x",""))</f>
        <v/>
      </c>
      <c r="W6666" s="79" t="str">
        <f>IF(AND('341-CT'!$H$9=H6666,OR(LEFT(N6666,3)=$W$7,LEFT(O6666,3)=$W$7)),"x","")</f>
        <v/>
      </c>
      <c r="X6666" s="79" t="str">
        <f>IF(OR(TH!N6666=TH!$X$7,O6666=TH!$X$7),"x","")</f>
        <v/>
      </c>
      <c r="Y6666" s="79" t="str">
        <f>IF(AND(OR(N6666="131",O6666="131"),H6666='131-CT'!$H$9),"x","")</f>
        <v/>
      </c>
      <c r="Z6666" s="79"/>
      <c r="AA6666" s="79" t="str">
        <f>IF(AND(MONTH(E6666)='IN-NX'!$J$5,'IN-NX'!$D$7=D6666),"x","")</f>
        <v/>
      </c>
      <c r="AB6666" s="79" t="str">
        <f>IF(AND(OR(LEFT(TH!N6666,2)="15",LEFT(TH!O6666,2)="15"),LEFT(TH!O6666,3)&lt;&gt;"111",'152-CT'!$J$8=TH!F6666),"x","")</f>
        <v/>
      </c>
      <c r="AC6666" s="79" t="str">
        <f>IF(AND(OR(LEFT(TH!N6666,2)="15",LEFT(TH!O6666,2)="15"),TK!$E$7=TH!F6666),"x","")</f>
        <v/>
      </c>
      <c r="AD6666" s="79" t="str">
        <f>IF(AND(N6666="1521",MONTH(C6666)='BK-NL'!$M$11),"x","")</f>
        <v/>
      </c>
    </row>
    <row r="6667" spans="1:30" ht="16.5" customHeight="1">
      <c r="A6667" s="318" t="str">
        <f>IF(B6667&lt;&gt;"",IF(AND(B6667='IN-TC'!$S$4,OR(TH!N6667="1111",TH!O6667="1111")),TH!D6667,""),"")</f>
        <v/>
      </c>
      <c r="B6667" s="1163" t="str">
        <f t="shared" si="525"/>
        <v/>
      </c>
      <c r="C6667" s="61"/>
      <c r="D6667" s="61"/>
      <c r="E6667" s="61"/>
      <c r="F6667" s="69"/>
      <c r="G6667" s="64"/>
      <c r="H6667" s="69"/>
      <c r="I6667" s="385"/>
      <c r="J6667" s="392"/>
      <c r="K6667" s="385"/>
      <c r="L6667" s="392"/>
      <c r="M6667" s="62"/>
      <c r="N6667" s="63"/>
      <c r="O6667" s="63"/>
      <c r="P6667" s="79" t="str">
        <f>IF(AND('331-CT'!$E$7=TH!H6667,OR(N6667="331",O6667="331")),"x","")</f>
        <v/>
      </c>
      <c r="Q6667" s="79" t="str">
        <f>IF(AND(B6667='111'!$L$11,OR($N6667=$Q$7,$O6667=$Q$7)),"x","")</f>
        <v/>
      </c>
      <c r="R6667" s="79" t="str">
        <f>IF(AND($N6667=$Q$7,$B6667&lt;'111'!$L$11),"x","")</f>
        <v/>
      </c>
      <c r="S6667" s="79" t="str">
        <f>IF(AND($O6667=$Q$7,$B6667&lt;'111'!$L$11),"x","")</f>
        <v/>
      </c>
      <c r="T6667" s="79" t="str">
        <f>IF(ISERROR(FIND('112'!$M$9,G6667,1)),"",IF((AND(FIND('112'!$M$9,G6667,1)&gt;=1,B6667='112'!$K$9,OR($N6667='112'!$I$6,$O6667='112'!$I$6))),"x",""))</f>
        <v/>
      </c>
      <c r="U6667" s="79" t="str">
        <f>IF(ISERROR(FIND('112'!$M$9,G6667,1)),"",IF((AND(LEFT(G6667,2)=LEFT('112'!$M$9,2),B6667&lt;'112'!$K$9,$N6667='112'!$I$6)),"x",""))</f>
        <v/>
      </c>
      <c r="V6667" s="79" t="str">
        <f>IF(ISERROR(FIND('112'!$M$9,G6667,1)),"",IF((AND(RIGHT(G6667,2)=RIGHT('112'!$M$9,2),B6667&lt;'112'!$K$9,$O6667='112'!$I$6)),"x",""))</f>
        <v/>
      </c>
      <c r="W6667" s="79" t="str">
        <f>IF(AND('341-CT'!$H$9=H6667,OR(LEFT(N6667,3)=$W$7,LEFT(O6667,3)=$W$7)),"x","")</f>
        <v/>
      </c>
      <c r="X6667" s="79" t="str">
        <f>IF(OR(TH!N6667=TH!$X$7,O6667=TH!$X$7),"x","")</f>
        <v/>
      </c>
      <c r="Y6667" s="79" t="str">
        <f>IF(AND(OR(N6667="131",O6667="131"),H6667='131-CT'!$H$9),"x","")</f>
        <v/>
      </c>
      <c r="Z6667" s="79"/>
      <c r="AA6667" s="79" t="str">
        <f>IF(AND(MONTH(E6667)='IN-NX'!$J$5,'IN-NX'!$D$7=D6667),"x","")</f>
        <v/>
      </c>
      <c r="AB6667" s="79" t="str">
        <f>IF(AND(OR(LEFT(TH!N6667,2)="15",LEFT(TH!O6667,2)="15"),LEFT(TH!O6667,3)&lt;&gt;"111",'152-CT'!$J$8=TH!F6667),"x","")</f>
        <v/>
      </c>
      <c r="AC6667" s="79" t="str">
        <f>IF(AND(OR(LEFT(TH!N6667,2)="15",LEFT(TH!O6667,2)="15"),TK!$E$7=TH!F6667),"x","")</f>
        <v/>
      </c>
      <c r="AD6667" s="79" t="str">
        <f>IF(AND(N6667="1521",MONTH(C6667)='BK-NL'!$M$11),"x","")</f>
        <v/>
      </c>
    </row>
    <row r="6668" spans="1:30" ht="16.5" customHeight="1">
      <c r="A6668" s="318" t="str">
        <f>IF(B6668&lt;&gt;"",IF(AND(B6668='IN-TC'!$S$4,OR(TH!N6668="1111",TH!O6668="1111")),TH!D6668,""),"")</f>
        <v/>
      </c>
      <c r="B6668" s="1163" t="str">
        <f t="shared" si="525"/>
        <v/>
      </c>
      <c r="C6668" s="61"/>
      <c r="D6668" s="61"/>
      <c r="E6668" s="61"/>
      <c r="F6668" s="69"/>
      <c r="G6668" s="64"/>
      <c r="H6668" s="69"/>
      <c r="I6668" s="385"/>
      <c r="J6668" s="392"/>
      <c r="K6668" s="385"/>
      <c r="L6668" s="392"/>
      <c r="M6668" s="62"/>
      <c r="N6668" s="63"/>
      <c r="O6668" s="63"/>
      <c r="P6668" s="79" t="str">
        <f>IF(AND('331-CT'!$E$7=TH!H6668,OR(N6668="331",O6668="331")),"x","")</f>
        <v/>
      </c>
      <c r="Q6668" s="79" t="str">
        <f>IF(AND(B6668='111'!$L$11,OR($N6668=$Q$7,$O6668=$Q$7)),"x","")</f>
        <v/>
      </c>
      <c r="R6668" s="79" t="str">
        <f>IF(AND($N6668=$Q$7,$B6668&lt;'111'!$L$11),"x","")</f>
        <v/>
      </c>
      <c r="S6668" s="79" t="str">
        <f>IF(AND($O6668=$Q$7,$B6668&lt;'111'!$L$11),"x","")</f>
        <v/>
      </c>
      <c r="T6668" s="79" t="str">
        <f>IF(ISERROR(FIND('112'!$M$9,G6668,1)),"",IF((AND(FIND('112'!$M$9,G6668,1)&gt;=1,B6668='112'!$K$9,OR($N6668='112'!$I$6,$O6668='112'!$I$6))),"x",""))</f>
        <v/>
      </c>
      <c r="U6668" s="79" t="str">
        <f>IF(ISERROR(FIND('112'!$M$9,G6668,1)),"",IF((AND(LEFT(G6668,2)=LEFT('112'!$M$9,2),B6668&lt;'112'!$K$9,$N6668='112'!$I$6)),"x",""))</f>
        <v/>
      </c>
      <c r="V6668" s="79" t="str">
        <f>IF(ISERROR(FIND('112'!$M$9,G6668,1)),"",IF((AND(RIGHT(G6668,2)=RIGHT('112'!$M$9,2),B6668&lt;'112'!$K$9,$O6668='112'!$I$6)),"x",""))</f>
        <v/>
      </c>
      <c r="W6668" s="79" t="str">
        <f>IF(AND('341-CT'!$H$9=H6668,OR(LEFT(N6668,3)=$W$7,LEFT(O6668,3)=$W$7)),"x","")</f>
        <v/>
      </c>
      <c r="X6668" s="79" t="str">
        <f>IF(OR(TH!N6668=TH!$X$7,O6668=TH!$X$7),"x","")</f>
        <v/>
      </c>
      <c r="Y6668" s="79" t="str">
        <f>IF(AND(OR(N6668="131",O6668="131"),H6668='131-CT'!$H$9),"x","")</f>
        <v/>
      </c>
      <c r="Z6668" s="79"/>
      <c r="AA6668" s="79" t="str">
        <f>IF(AND(MONTH(E6668)='IN-NX'!$J$5,'IN-NX'!$D$7=D6668),"x","")</f>
        <v/>
      </c>
      <c r="AB6668" s="79" t="str">
        <f>IF(AND(OR(LEFT(TH!N6668,2)="15",LEFT(TH!O6668,2)="15"),LEFT(TH!O6668,3)&lt;&gt;"111",'152-CT'!$J$8=TH!F6668),"x","")</f>
        <v/>
      </c>
      <c r="AC6668" s="79" t="str">
        <f>IF(AND(OR(LEFT(TH!N6668,2)="15",LEFT(TH!O6668,2)="15"),TK!$E$7=TH!F6668),"x","")</f>
        <v/>
      </c>
      <c r="AD6668" s="79" t="str">
        <f>IF(AND(N6668="1521",MONTH(C6668)='BK-NL'!$M$11),"x","")</f>
        <v/>
      </c>
    </row>
    <row r="6669" spans="1:30" ht="16.5" customHeight="1">
      <c r="A6669" s="318" t="str">
        <f>IF(B6669&lt;&gt;"",IF(AND(B6669='IN-TC'!$S$4,OR(TH!N6669="1111",TH!O6669="1111")),TH!D6669,""),"")</f>
        <v/>
      </c>
      <c r="B6669" s="1163" t="str">
        <f t="shared" si="525"/>
        <v/>
      </c>
      <c r="C6669" s="61"/>
      <c r="D6669" s="61"/>
      <c r="E6669" s="61"/>
      <c r="F6669" s="69"/>
      <c r="G6669" s="64"/>
      <c r="H6669" s="69"/>
      <c r="I6669" s="385"/>
      <c r="J6669" s="392"/>
      <c r="K6669" s="385"/>
      <c r="L6669" s="392"/>
      <c r="M6669" s="62"/>
      <c r="N6669" s="63"/>
      <c r="O6669" s="63"/>
      <c r="P6669" s="79" t="str">
        <f>IF(AND('331-CT'!$E$7=TH!H6669,OR(N6669="331",O6669="331")),"x","")</f>
        <v/>
      </c>
      <c r="Q6669" s="79" t="str">
        <f>IF(AND(B6669='111'!$L$11,OR($N6669=$Q$7,$O6669=$Q$7)),"x","")</f>
        <v/>
      </c>
      <c r="R6669" s="79" t="str">
        <f>IF(AND($N6669=$Q$7,$B6669&lt;'111'!$L$11),"x","")</f>
        <v/>
      </c>
      <c r="S6669" s="79" t="str">
        <f>IF(AND($O6669=$Q$7,$B6669&lt;'111'!$L$11),"x","")</f>
        <v/>
      </c>
      <c r="T6669" s="79" t="str">
        <f>IF(ISERROR(FIND('112'!$M$9,G6669,1)),"",IF((AND(FIND('112'!$M$9,G6669,1)&gt;=1,B6669='112'!$K$9,OR($N6669='112'!$I$6,$O6669='112'!$I$6))),"x",""))</f>
        <v/>
      </c>
      <c r="U6669" s="79" t="str">
        <f>IF(ISERROR(FIND('112'!$M$9,G6669,1)),"",IF((AND(LEFT(G6669,2)=LEFT('112'!$M$9,2),B6669&lt;'112'!$K$9,$N6669='112'!$I$6)),"x",""))</f>
        <v/>
      </c>
      <c r="V6669" s="79" t="str">
        <f>IF(ISERROR(FIND('112'!$M$9,G6669,1)),"",IF((AND(RIGHT(G6669,2)=RIGHT('112'!$M$9,2),B6669&lt;'112'!$K$9,$O6669='112'!$I$6)),"x",""))</f>
        <v/>
      </c>
      <c r="W6669" s="79" t="str">
        <f>IF(AND('341-CT'!$H$9=H6669,OR(LEFT(N6669,3)=$W$7,LEFT(O6669,3)=$W$7)),"x","")</f>
        <v/>
      </c>
      <c r="X6669" s="79" t="str">
        <f>IF(OR(TH!N6669=TH!$X$7,O6669=TH!$X$7),"x","")</f>
        <v/>
      </c>
      <c r="Y6669" s="79" t="str">
        <f>IF(AND(OR(N6669="131",O6669="131"),H6669='131-CT'!$H$9),"x","")</f>
        <v/>
      </c>
      <c r="Z6669" s="79"/>
      <c r="AA6669" s="79" t="str">
        <f>IF(AND(MONTH(E6669)='IN-NX'!$J$5,'IN-NX'!$D$7=D6669),"x","")</f>
        <v/>
      </c>
      <c r="AB6669" s="79" t="str">
        <f>IF(AND(OR(LEFT(TH!N6669,2)="15",LEFT(TH!O6669,2)="15"),LEFT(TH!O6669,3)&lt;&gt;"111",'152-CT'!$J$8=TH!F6669),"x","")</f>
        <v/>
      </c>
      <c r="AC6669" s="79" t="str">
        <f>IF(AND(OR(LEFT(TH!N6669,2)="15",LEFT(TH!O6669,2)="15"),TK!$E$7=TH!F6669),"x","")</f>
        <v/>
      </c>
      <c r="AD6669" s="79" t="str">
        <f>IF(AND(N6669="1521",MONTH(C6669)='BK-NL'!$M$11),"x","")</f>
        <v/>
      </c>
    </row>
    <row r="6670" spans="1:30" ht="16.5" customHeight="1">
      <c r="A6670" s="318" t="str">
        <f>IF(B6670&lt;&gt;"",IF(AND(B6670='IN-TC'!$S$4,OR(TH!N6670="1111",TH!O6670="1111")),TH!D6670,""),"")</f>
        <v/>
      </c>
      <c r="B6670" s="1163" t="str">
        <f t="shared" si="525"/>
        <v/>
      </c>
      <c r="C6670" s="61"/>
      <c r="D6670" s="61"/>
      <c r="E6670" s="61"/>
      <c r="F6670" s="69"/>
      <c r="G6670" s="64"/>
      <c r="H6670" s="321"/>
      <c r="I6670" s="385"/>
      <c r="J6670" s="392"/>
      <c r="K6670" s="385"/>
      <c r="L6670" s="392"/>
      <c r="M6670" s="62"/>
      <c r="N6670" s="63"/>
      <c r="O6670" s="63"/>
      <c r="P6670" s="79" t="str">
        <f>IF(AND('331-CT'!$E$7=TH!H6670,OR(N6670="331",O6670="331")),"x","")</f>
        <v/>
      </c>
      <c r="Q6670" s="79" t="str">
        <f>IF(AND(B6670='111'!$L$11,OR($N6670=$Q$7,$O6670=$Q$7)),"x","")</f>
        <v/>
      </c>
      <c r="R6670" s="79" t="str">
        <f>IF(AND($N6670=$Q$7,$B6670&lt;'111'!$L$11),"x","")</f>
        <v/>
      </c>
      <c r="S6670" s="79" t="str">
        <f>IF(AND($O6670=$Q$7,$B6670&lt;'111'!$L$11),"x","")</f>
        <v/>
      </c>
      <c r="T6670" s="79" t="str">
        <f>IF(ISERROR(FIND('112'!$M$9,G6670,1)),"",IF((AND(FIND('112'!$M$9,G6670,1)&gt;=1,B6670='112'!$K$9,OR($N6670='112'!$I$6,$O6670='112'!$I$6))),"x",""))</f>
        <v/>
      </c>
      <c r="U6670" s="79" t="str">
        <f>IF(ISERROR(FIND('112'!$M$9,G6670,1)),"",IF((AND(LEFT(G6670,2)=LEFT('112'!$M$9,2),B6670&lt;'112'!$K$9,$N6670='112'!$I$6)),"x",""))</f>
        <v/>
      </c>
      <c r="V6670" s="79" t="str">
        <f>IF(ISERROR(FIND('112'!$M$9,G6670,1)),"",IF((AND(RIGHT(G6670,2)=RIGHT('112'!$M$9,2),B6670&lt;'112'!$K$9,$O6670='112'!$I$6)),"x",""))</f>
        <v/>
      </c>
      <c r="W6670" s="79" t="str">
        <f>IF(AND('341-CT'!$H$9=H6670,OR(LEFT(N6670,3)=$W$7,LEFT(O6670,3)=$W$7)),"x","")</f>
        <v/>
      </c>
      <c r="X6670" s="79" t="str">
        <f>IF(OR(TH!N6670=TH!$X$7,O6670=TH!$X$7),"x","")</f>
        <v/>
      </c>
      <c r="Y6670" s="79" t="str">
        <f>IF(AND(OR(N6670="131",O6670="131"),H6670='131-CT'!$H$9),"x","")</f>
        <v/>
      </c>
      <c r="Z6670" s="79"/>
      <c r="AA6670" s="79" t="str">
        <f>IF(AND(MONTH(E6670)='IN-NX'!$J$5,'IN-NX'!$D$7=D6670),"x","")</f>
        <v/>
      </c>
      <c r="AB6670" s="79" t="str">
        <f>IF(AND(OR(LEFT(TH!N6670,2)="15",LEFT(TH!O6670,2)="15"),LEFT(TH!O6670,3)&lt;&gt;"111",'152-CT'!$J$8=TH!F6670),"x","")</f>
        <v/>
      </c>
      <c r="AC6670" s="79" t="str">
        <f>IF(AND(OR(LEFT(TH!N6670,2)="15",LEFT(TH!O6670,2)="15"),TK!$E$7=TH!F6670),"x","")</f>
        <v/>
      </c>
      <c r="AD6670" s="79" t="str">
        <f>IF(AND(N6670="1521",MONTH(C6670)='BK-NL'!$M$11),"x","")</f>
        <v/>
      </c>
    </row>
    <row r="6671" spans="1:30" ht="16.5" customHeight="1">
      <c r="A6671" s="318" t="str">
        <f>IF(B6671&lt;&gt;"",IF(AND(B6671='IN-TC'!$S$4,OR(TH!N6671="1111",TH!O6671="1111")),TH!D6671,""),"")</f>
        <v/>
      </c>
      <c r="B6671" s="1163" t="str">
        <f t="shared" si="525"/>
        <v/>
      </c>
      <c r="C6671" s="61"/>
      <c r="D6671" s="61"/>
      <c r="E6671" s="61"/>
      <c r="F6671" s="69"/>
      <c r="G6671" s="64"/>
      <c r="H6671" s="69"/>
      <c r="I6671" s="385"/>
      <c r="J6671" s="392"/>
      <c r="K6671" s="385"/>
      <c r="L6671" s="392"/>
      <c r="M6671" s="62"/>
      <c r="N6671" s="63"/>
      <c r="O6671" s="63"/>
      <c r="P6671" s="79" t="str">
        <f>IF(AND('331-CT'!$E$7=TH!H6671,OR(N6671="331",O6671="331")),"x","")</f>
        <v/>
      </c>
      <c r="Q6671" s="79" t="str">
        <f>IF(AND(B6671='111'!$L$11,OR($N6671=$Q$7,$O6671=$Q$7)),"x","")</f>
        <v/>
      </c>
      <c r="R6671" s="79" t="str">
        <f>IF(AND($N6671=$Q$7,$B6671&lt;'111'!$L$11),"x","")</f>
        <v/>
      </c>
      <c r="S6671" s="79" t="str">
        <f>IF(AND($O6671=$Q$7,$B6671&lt;'111'!$L$11),"x","")</f>
        <v/>
      </c>
      <c r="T6671" s="79" t="str">
        <f>IF(ISERROR(FIND('112'!$M$9,G6671,1)),"",IF((AND(FIND('112'!$M$9,G6671,1)&gt;=1,B6671='112'!$K$9,OR($N6671='112'!$I$6,$O6671='112'!$I$6))),"x",""))</f>
        <v/>
      </c>
      <c r="U6671" s="79" t="str">
        <f>IF(ISERROR(FIND('112'!$M$9,G6671,1)),"",IF((AND(LEFT(G6671,2)=LEFT('112'!$M$9,2),B6671&lt;'112'!$K$9,$N6671='112'!$I$6)),"x",""))</f>
        <v/>
      </c>
      <c r="V6671" s="79" t="str">
        <f>IF(ISERROR(FIND('112'!$M$9,G6671,1)),"",IF((AND(RIGHT(G6671,2)=RIGHT('112'!$M$9,2),B6671&lt;'112'!$K$9,$O6671='112'!$I$6)),"x",""))</f>
        <v/>
      </c>
      <c r="W6671" s="79" t="str">
        <f>IF(AND('341-CT'!$H$9=H6671,OR(LEFT(N6671,3)=$W$7,LEFT(O6671,3)=$W$7)),"x","")</f>
        <v/>
      </c>
      <c r="X6671" s="79" t="str">
        <f>IF(OR(TH!N6671=TH!$X$7,O6671=TH!$X$7),"x","")</f>
        <v/>
      </c>
      <c r="Y6671" s="79" t="str">
        <f>IF(AND(OR(N6671="131",O6671="131"),H6671='131-CT'!$H$9),"x","")</f>
        <v/>
      </c>
      <c r="Z6671" s="79"/>
      <c r="AA6671" s="79" t="str">
        <f>IF(AND(MONTH(E6671)='IN-NX'!$J$5,'IN-NX'!$D$7=D6671),"x","")</f>
        <v/>
      </c>
      <c r="AB6671" s="79" t="str">
        <f>IF(AND(OR(LEFT(TH!N6671,2)="15",LEFT(TH!O6671,2)="15"),LEFT(TH!O6671,3)&lt;&gt;"111",'152-CT'!$J$8=TH!F6671),"x","")</f>
        <v/>
      </c>
      <c r="AC6671" s="79" t="str">
        <f>IF(AND(OR(LEFT(TH!N6671,2)="15",LEFT(TH!O6671,2)="15"),TK!$E$7=TH!F6671),"x","")</f>
        <v/>
      </c>
      <c r="AD6671" s="79" t="str">
        <f>IF(AND(N6671="1521",MONTH(C6671)='BK-NL'!$M$11),"x","")</f>
        <v/>
      </c>
    </row>
    <row r="6672" spans="1:30" ht="16.5" customHeight="1">
      <c r="A6672" s="318" t="str">
        <f>IF(B6672&lt;&gt;"",IF(AND(B6672='IN-TC'!$S$4,OR(TH!N6672="1111",TH!O6672="1111")),TH!D6672,""),"")</f>
        <v/>
      </c>
      <c r="B6672" s="1163" t="str">
        <f t="shared" si="525"/>
        <v/>
      </c>
      <c r="C6672" s="61"/>
      <c r="D6672" s="61"/>
      <c r="E6672" s="61"/>
      <c r="F6672" s="446"/>
      <c r="G6672" s="64"/>
      <c r="H6672" s="69"/>
      <c r="I6672" s="385"/>
      <c r="J6672" s="392"/>
      <c r="K6672" s="385"/>
      <c r="L6672" s="392"/>
      <c r="M6672" s="62"/>
      <c r="N6672" s="63"/>
      <c r="O6672" s="63"/>
      <c r="P6672" s="79" t="str">
        <f>IF(AND('331-CT'!$E$7=TH!H6672,OR(N6672="331",O6672="331")),"x","")</f>
        <v/>
      </c>
      <c r="Q6672" s="79" t="str">
        <f>IF(AND(B6672='111'!$L$11,OR($N6672=$Q$7,$O6672=$Q$7)),"x","")</f>
        <v/>
      </c>
      <c r="R6672" s="79" t="str">
        <f>IF(AND($N6672=$Q$7,$B6672&lt;'111'!$L$11),"x","")</f>
        <v/>
      </c>
      <c r="S6672" s="79" t="str">
        <f>IF(AND($O6672=$Q$7,$B6672&lt;'111'!$L$11),"x","")</f>
        <v/>
      </c>
      <c r="T6672" s="79" t="str">
        <f>IF(ISERROR(FIND('112'!$M$9,G6672,1)),"",IF((AND(FIND('112'!$M$9,G6672,1)&gt;=1,B6672='112'!$K$9,OR($N6672='112'!$I$6,$O6672='112'!$I$6))),"x",""))</f>
        <v/>
      </c>
      <c r="U6672" s="79" t="str">
        <f>IF(ISERROR(FIND('112'!$M$9,G6672,1)),"",IF((AND(LEFT(G6672,2)=LEFT('112'!$M$9,2),B6672&lt;'112'!$K$9,$N6672='112'!$I$6)),"x",""))</f>
        <v/>
      </c>
      <c r="V6672" s="79" t="str">
        <f>IF(ISERROR(FIND('112'!$M$9,G6672,1)),"",IF((AND(RIGHT(G6672,2)=RIGHT('112'!$M$9,2),B6672&lt;'112'!$K$9,$O6672='112'!$I$6)),"x",""))</f>
        <v/>
      </c>
      <c r="W6672" s="79" t="str">
        <f>IF(AND('341-CT'!$H$9=H6672,OR(LEFT(N6672,3)=$W$7,LEFT(O6672,3)=$W$7)),"x","")</f>
        <v/>
      </c>
      <c r="X6672" s="79" t="str">
        <f>IF(OR(TH!N6672=TH!$X$7,O6672=TH!$X$7),"x","")</f>
        <v/>
      </c>
      <c r="Y6672" s="79" t="str">
        <f>IF(AND(OR(N6672="131",O6672="131"),H6672='131-CT'!$H$9),"x","")</f>
        <v/>
      </c>
      <c r="Z6672" s="79"/>
      <c r="AA6672" s="79" t="str">
        <f>IF(AND(MONTH(E6672)='IN-NX'!$J$5,'IN-NX'!$D$7=D6672),"x","")</f>
        <v/>
      </c>
      <c r="AB6672" s="79" t="str">
        <f>IF(AND(OR(LEFT(TH!N6672,2)="15",LEFT(TH!O6672,2)="15"),LEFT(TH!O6672,3)&lt;&gt;"111",'152-CT'!$J$8=TH!F6672),"x","")</f>
        <v/>
      </c>
      <c r="AC6672" s="79" t="str">
        <f>IF(AND(OR(LEFT(TH!N6672,2)="15",LEFT(TH!O6672,2)="15"),TK!$E$7=TH!F6672),"x","")</f>
        <v/>
      </c>
      <c r="AD6672" s="79" t="str">
        <f>IF(AND(N6672="1521",MONTH(C6672)='BK-NL'!$M$11),"x","")</f>
        <v/>
      </c>
    </row>
    <row r="6673" spans="1:30" ht="16.5" customHeight="1">
      <c r="A6673" s="318" t="str">
        <f>IF(B6673&lt;&gt;"",IF(AND(B6673='IN-TC'!$S$4,OR(TH!N6673="1111",TH!O6673="1111")),TH!D6673,""),"")</f>
        <v/>
      </c>
      <c r="B6673" s="1163" t="str">
        <f t="shared" si="525"/>
        <v/>
      </c>
      <c r="C6673" s="61"/>
      <c r="D6673" s="61"/>
      <c r="E6673" s="61"/>
      <c r="F6673" s="69"/>
      <c r="G6673" s="64"/>
      <c r="H6673" s="321"/>
      <c r="I6673" s="385"/>
      <c r="J6673" s="392"/>
      <c r="K6673" s="385"/>
      <c r="L6673" s="392"/>
      <c r="M6673" s="62"/>
      <c r="N6673" s="63"/>
      <c r="O6673" s="63"/>
      <c r="P6673" s="79" t="str">
        <f>IF(AND('331-CT'!$E$7=TH!H6673,OR(N6673="331",O6673="331")),"x","")</f>
        <v/>
      </c>
      <c r="Q6673" s="79" t="str">
        <f>IF(AND(B6673='111'!$L$11,OR($N6673=$Q$7,$O6673=$Q$7)),"x","")</f>
        <v/>
      </c>
      <c r="R6673" s="79" t="str">
        <f>IF(AND($N6673=$Q$7,$B6673&lt;'111'!$L$11),"x","")</f>
        <v/>
      </c>
      <c r="S6673" s="79" t="str">
        <f>IF(AND($O6673=$Q$7,$B6673&lt;'111'!$L$11),"x","")</f>
        <v/>
      </c>
      <c r="T6673" s="79" t="str">
        <f>IF(ISERROR(FIND('112'!$M$9,G6673,1)),"",IF((AND(FIND('112'!$M$9,G6673,1)&gt;=1,B6673='112'!$K$9,OR($N6673='112'!$I$6,$O6673='112'!$I$6))),"x",""))</f>
        <v/>
      </c>
      <c r="U6673" s="79" t="str">
        <f>IF(ISERROR(FIND('112'!$M$9,G6673,1)),"",IF((AND(LEFT(G6673,2)=LEFT('112'!$M$9,2),B6673&lt;'112'!$K$9,$N6673='112'!$I$6)),"x",""))</f>
        <v/>
      </c>
      <c r="V6673" s="79" t="str">
        <f>IF(ISERROR(FIND('112'!$M$9,G6673,1)),"",IF((AND(RIGHT(G6673,2)=RIGHT('112'!$M$9,2),B6673&lt;'112'!$K$9,$O6673='112'!$I$6)),"x",""))</f>
        <v/>
      </c>
      <c r="W6673" s="79" t="str">
        <f>IF(AND('341-CT'!$H$9=H6673,OR(LEFT(N6673,3)=$W$7,LEFT(O6673,3)=$W$7)),"x","")</f>
        <v/>
      </c>
      <c r="X6673" s="79" t="str">
        <f>IF(OR(TH!N6673=TH!$X$7,O6673=TH!$X$7),"x","")</f>
        <v/>
      </c>
      <c r="Y6673" s="79" t="str">
        <f>IF(AND(OR(N6673="131",O6673="131"),H6673='131-CT'!$H$9),"x","")</f>
        <v/>
      </c>
      <c r="Z6673" s="79"/>
      <c r="AA6673" s="79" t="str">
        <f>IF(AND(MONTH(E6673)='IN-NX'!$J$5,'IN-NX'!$D$7=D6673),"x","")</f>
        <v/>
      </c>
      <c r="AB6673" s="79" t="str">
        <f>IF(AND(OR(LEFT(TH!N6673,2)="15",LEFT(TH!O6673,2)="15"),LEFT(TH!O6673,3)&lt;&gt;"111",'152-CT'!$J$8=TH!F6673),"x","")</f>
        <v/>
      </c>
      <c r="AC6673" s="79" t="str">
        <f>IF(AND(OR(LEFT(TH!N6673,2)="15",LEFT(TH!O6673,2)="15"),TK!$E$7=TH!F6673),"x","")</f>
        <v/>
      </c>
      <c r="AD6673" s="79" t="str">
        <f>IF(AND(N6673="1521",MONTH(C6673)='BK-NL'!$M$11),"x","")</f>
        <v/>
      </c>
    </row>
    <row r="6674" spans="1:30" ht="16.5" customHeight="1">
      <c r="A6674" s="318" t="str">
        <f>IF(B6674&lt;&gt;"",IF(AND(B6674='IN-TC'!$S$4,OR(TH!N6674="1111",TH!O6674="1111")),TH!D6674,""),"")</f>
        <v/>
      </c>
      <c r="B6674" s="1163" t="str">
        <f t="shared" si="525"/>
        <v/>
      </c>
      <c r="C6674" s="61"/>
      <c r="D6674" s="61"/>
      <c r="E6674" s="61"/>
      <c r="F6674" s="69"/>
      <c r="G6674" s="64"/>
      <c r="H6674" s="321"/>
      <c r="I6674" s="385"/>
      <c r="J6674" s="392"/>
      <c r="K6674" s="385"/>
      <c r="L6674" s="392"/>
      <c r="M6674" s="62"/>
      <c r="N6674" s="63"/>
      <c r="O6674" s="63"/>
      <c r="P6674" s="79" t="str">
        <f>IF(AND('331-CT'!$E$7=TH!H6674,OR(N6674="331",O6674="331")),"x","")</f>
        <v/>
      </c>
      <c r="Q6674" s="79" t="str">
        <f>IF(AND(B6674='111'!$L$11,OR($N6674=$Q$7,$O6674=$Q$7)),"x","")</f>
        <v/>
      </c>
      <c r="R6674" s="79" t="str">
        <f>IF(AND($N6674=$Q$7,$B6674&lt;'111'!$L$11),"x","")</f>
        <v/>
      </c>
      <c r="S6674" s="79" t="str">
        <f>IF(AND($O6674=$Q$7,$B6674&lt;'111'!$L$11),"x","")</f>
        <v/>
      </c>
      <c r="T6674" s="79" t="str">
        <f>IF(ISERROR(FIND('112'!$M$9,G6674,1)),"",IF((AND(FIND('112'!$M$9,G6674,1)&gt;=1,B6674='112'!$K$9,OR($N6674='112'!$I$6,$O6674='112'!$I$6))),"x",""))</f>
        <v/>
      </c>
      <c r="U6674" s="79" t="str">
        <f>IF(ISERROR(FIND('112'!$M$9,G6674,1)),"",IF((AND(LEFT(G6674,2)=LEFT('112'!$M$9,2),B6674&lt;'112'!$K$9,$N6674='112'!$I$6)),"x",""))</f>
        <v/>
      </c>
      <c r="V6674" s="79" t="str">
        <f>IF(ISERROR(FIND('112'!$M$9,G6674,1)),"",IF((AND(RIGHT(G6674,2)=RIGHT('112'!$M$9,2),B6674&lt;'112'!$K$9,$O6674='112'!$I$6)),"x",""))</f>
        <v/>
      </c>
      <c r="W6674" s="79" t="str">
        <f>IF(AND('341-CT'!$H$9=H6674,OR(LEFT(N6674,3)=$W$7,LEFT(O6674,3)=$W$7)),"x","")</f>
        <v/>
      </c>
      <c r="X6674" s="79" t="str">
        <f>IF(OR(TH!N6674=TH!$X$7,O6674=TH!$X$7),"x","")</f>
        <v/>
      </c>
      <c r="Y6674" s="79" t="str">
        <f>IF(AND(OR(N6674="131",O6674="131"),H6674='131-CT'!$H$9),"x","")</f>
        <v/>
      </c>
      <c r="Z6674" s="79"/>
      <c r="AA6674" s="79" t="str">
        <f>IF(AND(MONTH(E6674)='IN-NX'!$J$5,'IN-NX'!$D$7=D6674),"x","")</f>
        <v/>
      </c>
      <c r="AB6674" s="79" t="str">
        <f>IF(AND(OR(LEFT(TH!N6674,2)="15",LEFT(TH!O6674,2)="15"),LEFT(TH!O6674,3)&lt;&gt;"111",'152-CT'!$J$8=TH!F6674),"x","")</f>
        <v/>
      </c>
      <c r="AC6674" s="79" t="str">
        <f>IF(AND(OR(LEFT(TH!N6674,2)="15",LEFT(TH!O6674,2)="15"),TK!$E$7=TH!F6674),"x","")</f>
        <v/>
      </c>
      <c r="AD6674" s="79" t="str">
        <f>IF(AND(N6674="1521",MONTH(C6674)='BK-NL'!$M$11),"x","")</f>
        <v/>
      </c>
    </row>
    <row r="6675" spans="1:30" ht="16.5" customHeight="1">
      <c r="A6675" s="318" t="str">
        <f>IF(B6675&lt;&gt;"",IF(AND(B6675='IN-TC'!$S$4,OR(TH!N6675="1111",TH!O6675="1111")),TH!D6675,""),"")</f>
        <v/>
      </c>
      <c r="B6675" s="1163" t="str">
        <f t="shared" si="525"/>
        <v/>
      </c>
      <c r="C6675" s="61"/>
      <c r="D6675" s="61"/>
      <c r="E6675" s="61"/>
      <c r="F6675" s="69"/>
      <c r="G6675" s="64"/>
      <c r="H6675" s="321"/>
      <c r="I6675" s="385"/>
      <c r="J6675" s="392"/>
      <c r="K6675" s="385"/>
      <c r="L6675" s="392"/>
      <c r="M6675" s="62"/>
      <c r="N6675" s="63"/>
      <c r="O6675" s="63"/>
      <c r="P6675" s="79" t="str">
        <f>IF(AND('331-CT'!$E$7=TH!H6675,OR(N6675="331",O6675="331")),"x","")</f>
        <v/>
      </c>
      <c r="Q6675" s="79" t="str">
        <f>IF(AND(B6675='111'!$L$11,OR($N6675=$Q$7,$O6675=$Q$7)),"x","")</f>
        <v/>
      </c>
      <c r="R6675" s="79" t="str">
        <f>IF(AND($N6675=$Q$7,$B6675&lt;'111'!$L$11),"x","")</f>
        <v/>
      </c>
      <c r="S6675" s="79" t="str">
        <f>IF(AND($O6675=$Q$7,$B6675&lt;'111'!$L$11),"x","")</f>
        <v/>
      </c>
      <c r="T6675" s="79" t="str">
        <f>IF(ISERROR(FIND('112'!$M$9,G6675,1)),"",IF((AND(FIND('112'!$M$9,G6675,1)&gt;=1,B6675='112'!$K$9,OR($N6675='112'!$I$6,$O6675='112'!$I$6))),"x",""))</f>
        <v/>
      </c>
      <c r="U6675" s="79" t="str">
        <f>IF(ISERROR(FIND('112'!$M$9,G6675,1)),"",IF((AND(LEFT(G6675,2)=LEFT('112'!$M$9,2),B6675&lt;'112'!$K$9,$N6675='112'!$I$6)),"x",""))</f>
        <v/>
      </c>
      <c r="V6675" s="79" t="str">
        <f>IF(ISERROR(FIND('112'!$M$9,G6675,1)),"",IF((AND(RIGHT(G6675,2)=RIGHT('112'!$M$9,2),B6675&lt;'112'!$K$9,$O6675='112'!$I$6)),"x",""))</f>
        <v/>
      </c>
      <c r="W6675" s="79" t="str">
        <f>IF(AND('341-CT'!$H$9=H6675,OR(LEFT(N6675,3)=$W$7,LEFT(O6675,3)=$W$7)),"x","")</f>
        <v/>
      </c>
      <c r="X6675" s="79" t="str">
        <f>IF(OR(TH!N6675=TH!$X$7,O6675=TH!$X$7),"x","")</f>
        <v/>
      </c>
      <c r="Y6675" s="79" t="str">
        <f>IF(AND(OR(N6675="131",O6675="131"),H6675='131-CT'!$H$9),"x","")</f>
        <v/>
      </c>
      <c r="Z6675" s="79"/>
      <c r="AA6675" s="79" t="str">
        <f>IF(AND(MONTH(E6675)='IN-NX'!$J$5,'IN-NX'!$D$7=D6675),"x","")</f>
        <v/>
      </c>
      <c r="AB6675" s="79" t="str">
        <f>IF(AND(OR(LEFT(TH!N6675,2)="15",LEFT(TH!O6675,2)="15"),LEFT(TH!O6675,3)&lt;&gt;"111",'152-CT'!$J$8=TH!F6675),"x","")</f>
        <v/>
      </c>
      <c r="AC6675" s="79" t="str">
        <f>IF(AND(OR(LEFT(TH!N6675,2)="15",LEFT(TH!O6675,2)="15"),TK!$E$7=TH!F6675),"x","")</f>
        <v/>
      </c>
      <c r="AD6675" s="79" t="str">
        <f>IF(AND(N6675="1521",MONTH(C6675)='BK-NL'!$M$11),"x","")</f>
        <v/>
      </c>
    </row>
    <row r="6676" spans="1:30" ht="16.5" customHeight="1">
      <c r="A6676" s="318" t="str">
        <f>IF(B6676&lt;&gt;"",IF(AND(B6676='IN-TC'!$S$4,OR(TH!N6676="1111",TH!O6676="1111")),TH!D6676,""),"")</f>
        <v/>
      </c>
      <c r="B6676" s="1163" t="str">
        <f t="shared" si="525"/>
        <v/>
      </c>
      <c r="C6676" s="61"/>
      <c r="D6676" s="61"/>
      <c r="E6676" s="61"/>
      <c r="F6676" s="69"/>
      <c r="G6676" s="64"/>
      <c r="H6676" s="321"/>
      <c r="I6676" s="385"/>
      <c r="J6676" s="392"/>
      <c r="K6676" s="385"/>
      <c r="L6676" s="392"/>
      <c r="M6676" s="62"/>
      <c r="N6676" s="63"/>
      <c r="O6676" s="63"/>
      <c r="P6676" s="79" t="str">
        <f>IF(AND('331-CT'!$E$7=TH!H6676,OR(N6676="331",O6676="331")),"x","")</f>
        <v/>
      </c>
      <c r="Q6676" s="79" t="str">
        <f>IF(AND(B6676='111'!$L$11,OR($N6676=$Q$7,$O6676=$Q$7)),"x","")</f>
        <v/>
      </c>
      <c r="R6676" s="79" t="str">
        <f>IF(AND($N6676=$Q$7,$B6676&lt;'111'!$L$11),"x","")</f>
        <v/>
      </c>
      <c r="S6676" s="79" t="str">
        <f>IF(AND($O6676=$Q$7,$B6676&lt;'111'!$L$11),"x","")</f>
        <v/>
      </c>
      <c r="T6676" s="79" t="str">
        <f>IF(ISERROR(FIND('112'!$M$9,G6676,1)),"",IF((AND(FIND('112'!$M$9,G6676,1)&gt;=1,B6676='112'!$K$9,OR($N6676='112'!$I$6,$O6676='112'!$I$6))),"x",""))</f>
        <v/>
      </c>
      <c r="U6676" s="79" t="str">
        <f>IF(ISERROR(FIND('112'!$M$9,G6676,1)),"",IF((AND(LEFT(G6676,2)=LEFT('112'!$M$9,2),B6676&lt;'112'!$K$9,$N6676='112'!$I$6)),"x",""))</f>
        <v/>
      </c>
      <c r="V6676" s="79" t="str">
        <f>IF(ISERROR(FIND('112'!$M$9,G6676,1)),"",IF((AND(RIGHT(G6676,2)=RIGHT('112'!$M$9,2),B6676&lt;'112'!$K$9,$O6676='112'!$I$6)),"x",""))</f>
        <v/>
      </c>
      <c r="W6676" s="79" t="str">
        <f>IF(AND('341-CT'!$H$9=H6676,OR(LEFT(N6676,3)=$W$7,LEFT(O6676,3)=$W$7)),"x","")</f>
        <v/>
      </c>
      <c r="X6676" s="79" t="str">
        <f>IF(OR(TH!N6676=TH!$X$7,O6676=TH!$X$7),"x","")</f>
        <v/>
      </c>
      <c r="Y6676" s="79" t="str">
        <f>IF(AND(OR(N6676="131",O6676="131"),H6676='131-CT'!$H$9),"x","")</f>
        <v/>
      </c>
      <c r="Z6676" s="79"/>
      <c r="AA6676" s="79" t="str">
        <f>IF(AND(MONTH(E6676)='IN-NX'!$J$5,'IN-NX'!$D$7=D6676),"x","")</f>
        <v/>
      </c>
      <c r="AB6676" s="79" t="str">
        <f>IF(AND(OR(LEFT(TH!N6676,2)="15",LEFT(TH!O6676,2)="15"),LEFT(TH!O6676,3)&lt;&gt;"111",'152-CT'!$J$8=TH!F6676),"x","")</f>
        <v/>
      </c>
      <c r="AC6676" s="79" t="str">
        <f>IF(AND(OR(LEFT(TH!N6676,2)="15",LEFT(TH!O6676,2)="15"),TK!$E$7=TH!F6676),"x","")</f>
        <v/>
      </c>
      <c r="AD6676" s="79" t="str">
        <f>IF(AND(N6676="1521",MONTH(C6676)='BK-NL'!$M$11),"x","")</f>
        <v/>
      </c>
    </row>
    <row r="6677" spans="1:30" ht="16.5" customHeight="1">
      <c r="A6677" s="318" t="str">
        <f>IF(B6677&lt;&gt;"",IF(AND(B6677='IN-TC'!$S$4,OR(TH!N6677="1111",TH!O6677="1111")),TH!D6677,""),"")</f>
        <v/>
      </c>
      <c r="B6677" s="1163" t="str">
        <f t="shared" si="525"/>
        <v/>
      </c>
      <c r="C6677" s="61"/>
      <c r="D6677" s="61"/>
      <c r="E6677" s="61"/>
      <c r="F6677" s="69"/>
      <c r="G6677" s="64"/>
      <c r="H6677" s="321"/>
      <c r="I6677" s="385"/>
      <c r="J6677" s="392"/>
      <c r="K6677" s="385"/>
      <c r="L6677" s="392"/>
      <c r="M6677" s="62"/>
      <c r="N6677" s="63"/>
      <c r="O6677" s="63"/>
      <c r="P6677" s="79" t="str">
        <f>IF(AND('331-CT'!$E$7=TH!H6677,OR(N6677="331",O6677="331")),"x","")</f>
        <v/>
      </c>
      <c r="Q6677" s="79" t="str">
        <f>IF(AND(B6677='111'!$L$11,OR($N6677=$Q$7,$O6677=$Q$7)),"x","")</f>
        <v/>
      </c>
      <c r="R6677" s="79" t="str">
        <f>IF(AND($N6677=$Q$7,$B6677&lt;'111'!$L$11),"x","")</f>
        <v/>
      </c>
      <c r="S6677" s="79" t="str">
        <f>IF(AND($O6677=$Q$7,$B6677&lt;'111'!$L$11),"x","")</f>
        <v/>
      </c>
      <c r="T6677" s="79" t="str">
        <f>IF(ISERROR(FIND('112'!$M$9,G6677,1)),"",IF((AND(FIND('112'!$M$9,G6677,1)&gt;=1,B6677='112'!$K$9,OR($N6677='112'!$I$6,$O6677='112'!$I$6))),"x",""))</f>
        <v/>
      </c>
      <c r="U6677" s="79" t="str">
        <f>IF(ISERROR(FIND('112'!$M$9,G6677,1)),"",IF((AND(LEFT(G6677,2)=LEFT('112'!$M$9,2),B6677&lt;'112'!$K$9,$N6677='112'!$I$6)),"x",""))</f>
        <v/>
      </c>
      <c r="V6677" s="79" t="str">
        <f>IF(ISERROR(FIND('112'!$M$9,G6677,1)),"",IF((AND(RIGHT(G6677,2)=RIGHT('112'!$M$9,2),B6677&lt;'112'!$K$9,$O6677='112'!$I$6)),"x",""))</f>
        <v/>
      </c>
      <c r="W6677" s="79" t="str">
        <f>IF(AND('341-CT'!$H$9=H6677,OR(LEFT(N6677,3)=$W$7,LEFT(O6677,3)=$W$7)),"x","")</f>
        <v/>
      </c>
      <c r="X6677" s="79" t="str">
        <f>IF(OR(TH!N6677=TH!$X$7,O6677=TH!$X$7),"x","")</f>
        <v/>
      </c>
      <c r="Y6677" s="79" t="str">
        <f>IF(AND(OR(N6677="131",O6677="131"),H6677='131-CT'!$H$9),"x","")</f>
        <v/>
      </c>
      <c r="Z6677" s="79"/>
      <c r="AA6677" s="79" t="str">
        <f>IF(AND(MONTH(E6677)='IN-NX'!$J$5,'IN-NX'!$D$7=D6677),"x","")</f>
        <v/>
      </c>
      <c r="AB6677" s="79" t="str">
        <f>IF(AND(OR(LEFT(TH!N6677,2)="15",LEFT(TH!O6677,2)="15"),LEFT(TH!O6677,3)&lt;&gt;"111",'152-CT'!$J$8=TH!F6677),"x","")</f>
        <v/>
      </c>
      <c r="AC6677" s="79" t="str">
        <f>IF(AND(OR(LEFT(TH!N6677,2)="15",LEFT(TH!O6677,2)="15"),TK!$E$7=TH!F6677),"x","")</f>
        <v/>
      </c>
      <c r="AD6677" s="79" t="str">
        <f>IF(AND(N6677="1521",MONTH(C6677)='BK-NL'!$M$11),"x","")</f>
        <v/>
      </c>
    </row>
    <row r="6678" spans="1:30" ht="16.5" customHeight="1">
      <c r="A6678" s="318" t="str">
        <f>IF(B6678&lt;&gt;"",IF(AND(B6678='IN-TC'!$S$4,OR(TH!N6678="1111",TH!O6678="1111")),TH!D6678,""),"")</f>
        <v/>
      </c>
      <c r="B6678" s="1163" t="str">
        <f t="shared" si="525"/>
        <v/>
      </c>
      <c r="C6678" s="61"/>
      <c r="D6678" s="61"/>
      <c r="E6678" s="61"/>
      <c r="F6678" s="69"/>
      <c r="G6678" s="64"/>
      <c r="H6678" s="321"/>
      <c r="I6678" s="385"/>
      <c r="J6678" s="392"/>
      <c r="K6678" s="385"/>
      <c r="L6678" s="392"/>
      <c r="M6678" s="62"/>
      <c r="N6678" s="63"/>
      <c r="O6678" s="63"/>
      <c r="P6678" s="79" t="str">
        <f>IF(AND('331-CT'!$E$7=TH!H6678,OR(N6678="331",O6678="331")),"x","")</f>
        <v/>
      </c>
      <c r="Q6678" s="79" t="str">
        <f>IF(AND(B6678='111'!$L$11,OR($N6678=$Q$7,$O6678=$Q$7)),"x","")</f>
        <v/>
      </c>
      <c r="R6678" s="79" t="str">
        <f>IF(AND($N6678=$Q$7,$B6678&lt;'111'!$L$11),"x","")</f>
        <v/>
      </c>
      <c r="S6678" s="79" t="str">
        <f>IF(AND($O6678=$Q$7,$B6678&lt;'111'!$L$11),"x","")</f>
        <v/>
      </c>
      <c r="T6678" s="79" t="str">
        <f>IF(ISERROR(FIND('112'!$M$9,G6678,1)),"",IF((AND(FIND('112'!$M$9,G6678,1)&gt;=1,B6678='112'!$K$9,OR($N6678='112'!$I$6,$O6678='112'!$I$6))),"x",""))</f>
        <v/>
      </c>
      <c r="U6678" s="79" t="str">
        <f>IF(ISERROR(FIND('112'!$M$9,G6678,1)),"",IF((AND(LEFT(G6678,2)=LEFT('112'!$M$9,2),B6678&lt;'112'!$K$9,$N6678='112'!$I$6)),"x",""))</f>
        <v/>
      </c>
      <c r="V6678" s="79" t="str">
        <f>IF(ISERROR(FIND('112'!$M$9,G6678,1)),"",IF((AND(RIGHT(G6678,2)=RIGHT('112'!$M$9,2),B6678&lt;'112'!$K$9,$O6678='112'!$I$6)),"x",""))</f>
        <v/>
      </c>
      <c r="W6678" s="79" t="str">
        <f>IF(AND('341-CT'!$H$9=H6678,OR(LEFT(N6678,3)=$W$7,LEFT(O6678,3)=$W$7)),"x","")</f>
        <v/>
      </c>
      <c r="X6678" s="79" t="str">
        <f>IF(OR(TH!N6678=TH!$X$7,O6678=TH!$X$7),"x","")</f>
        <v/>
      </c>
      <c r="Y6678" s="79" t="str">
        <f>IF(AND(OR(N6678="131",O6678="131"),H6678='131-CT'!$H$9),"x","")</f>
        <v/>
      </c>
      <c r="Z6678" s="79"/>
      <c r="AA6678" s="79" t="str">
        <f>IF(AND(MONTH(E6678)='IN-NX'!$J$5,'IN-NX'!$D$7=D6678),"x","")</f>
        <v/>
      </c>
      <c r="AB6678" s="79" t="str">
        <f>IF(AND(OR(LEFT(TH!N6678,2)="15",LEFT(TH!O6678,2)="15"),LEFT(TH!O6678,3)&lt;&gt;"111",'152-CT'!$J$8=TH!F6678),"x","")</f>
        <v/>
      </c>
      <c r="AC6678" s="79" t="str">
        <f>IF(AND(OR(LEFT(TH!N6678,2)="15",LEFT(TH!O6678,2)="15"),TK!$E$7=TH!F6678),"x","")</f>
        <v/>
      </c>
      <c r="AD6678" s="79" t="str">
        <f>IF(AND(N6678="1521",MONTH(C6678)='BK-NL'!$M$11),"x","")</f>
        <v/>
      </c>
    </row>
    <row r="6679" spans="1:30" ht="16.5" customHeight="1">
      <c r="A6679" s="318" t="str">
        <f>IF(B6679&lt;&gt;"",IF(AND(B6679='IN-TC'!$S$4,OR(TH!N6679="1111",TH!O6679="1111")),TH!D6679,""),"")</f>
        <v/>
      </c>
      <c r="B6679" s="1163" t="str">
        <f t="shared" si="525"/>
        <v/>
      </c>
      <c r="C6679" s="61"/>
      <c r="D6679" s="61"/>
      <c r="E6679" s="61"/>
      <c r="F6679" s="69"/>
      <c r="G6679" s="64"/>
      <c r="H6679" s="69"/>
      <c r="I6679" s="385"/>
      <c r="J6679" s="392"/>
      <c r="K6679" s="385"/>
      <c r="L6679" s="392"/>
      <c r="M6679" s="62"/>
      <c r="N6679" s="63"/>
      <c r="O6679" s="63"/>
      <c r="P6679" s="79" t="str">
        <f>IF(AND('331-CT'!$E$7=TH!H6679,OR(N6679="331",O6679="331")),"x","")</f>
        <v/>
      </c>
      <c r="Q6679" s="79" t="str">
        <f>IF(AND(B6679='111'!$L$11,OR($N6679=$Q$7,$O6679=$Q$7)),"x","")</f>
        <v/>
      </c>
      <c r="R6679" s="79" t="str">
        <f>IF(AND($N6679=$Q$7,$B6679&lt;'111'!$L$11),"x","")</f>
        <v/>
      </c>
      <c r="S6679" s="79" t="str">
        <f>IF(AND($O6679=$Q$7,$B6679&lt;'111'!$L$11),"x","")</f>
        <v/>
      </c>
      <c r="T6679" s="79" t="str">
        <f>IF(ISERROR(FIND('112'!$M$9,G6679,1)),"",IF((AND(FIND('112'!$M$9,G6679,1)&gt;=1,B6679='112'!$K$9,OR($N6679='112'!$I$6,$O6679='112'!$I$6))),"x",""))</f>
        <v/>
      </c>
      <c r="U6679" s="79" t="str">
        <f>IF(ISERROR(FIND('112'!$M$9,G6679,1)),"",IF((AND(LEFT(G6679,2)=LEFT('112'!$M$9,2),B6679&lt;'112'!$K$9,$N6679='112'!$I$6)),"x",""))</f>
        <v/>
      </c>
      <c r="V6679" s="79" t="str">
        <f>IF(ISERROR(FIND('112'!$M$9,G6679,1)),"",IF((AND(RIGHT(G6679,2)=RIGHT('112'!$M$9,2),B6679&lt;'112'!$K$9,$O6679='112'!$I$6)),"x",""))</f>
        <v/>
      </c>
      <c r="W6679" s="79" t="str">
        <f>IF(AND('341-CT'!$H$9=H6679,OR(LEFT(N6679,3)=$W$7,LEFT(O6679,3)=$W$7)),"x","")</f>
        <v/>
      </c>
      <c r="X6679" s="79" t="str">
        <f>IF(OR(TH!N6679=TH!$X$7,O6679=TH!$X$7),"x","")</f>
        <v/>
      </c>
      <c r="Y6679" s="79" t="str">
        <f>IF(AND(OR(N6679="131",O6679="131"),H6679='131-CT'!$H$9),"x","")</f>
        <v/>
      </c>
      <c r="Z6679" s="79"/>
      <c r="AA6679" s="79" t="str">
        <f>IF(AND(MONTH(E6679)='IN-NX'!$J$5,'IN-NX'!$D$7=D6679),"x","")</f>
        <v/>
      </c>
      <c r="AB6679" s="79" t="str">
        <f>IF(AND(OR(LEFT(TH!N6679,2)="15",LEFT(TH!O6679,2)="15"),LEFT(TH!O6679,3)&lt;&gt;"111",'152-CT'!$J$8=TH!F6679),"x","")</f>
        <v/>
      </c>
      <c r="AC6679" s="79" t="str">
        <f>IF(AND(OR(LEFT(TH!N6679,2)="15",LEFT(TH!O6679,2)="15"),TK!$E$7=TH!F6679),"x","")</f>
        <v/>
      </c>
      <c r="AD6679" s="79" t="str">
        <f>IF(AND(N6679="1521",MONTH(C6679)='BK-NL'!$M$11),"x","")</f>
        <v/>
      </c>
    </row>
    <row r="6680" spans="1:30" ht="16.5" customHeight="1">
      <c r="A6680" s="318" t="str">
        <f>IF(B6680&lt;&gt;"",IF(AND(B6680='IN-TC'!$S$4,OR(TH!N6680="1111",TH!O6680="1111")),TH!D6680,""),"")</f>
        <v/>
      </c>
      <c r="B6680" s="1163" t="str">
        <f t="shared" si="525"/>
        <v/>
      </c>
      <c r="C6680" s="61"/>
      <c r="D6680" s="61"/>
      <c r="E6680" s="61"/>
      <c r="F6680" s="69"/>
      <c r="G6680" s="64"/>
      <c r="H6680" s="69"/>
      <c r="I6680" s="385"/>
      <c r="J6680" s="392"/>
      <c r="K6680" s="385"/>
      <c r="L6680" s="392"/>
      <c r="M6680" s="62"/>
      <c r="N6680" s="63"/>
      <c r="O6680" s="63"/>
      <c r="P6680" s="79" t="str">
        <f>IF(AND('331-CT'!$E$7=TH!H6680,OR(N6680="331",O6680="331")),"x","")</f>
        <v/>
      </c>
      <c r="Q6680" s="79" t="str">
        <f>IF(AND(B6680='111'!$L$11,OR($N6680=$Q$7,$O6680=$Q$7)),"x","")</f>
        <v/>
      </c>
      <c r="R6680" s="79" t="str">
        <f>IF(AND($N6680=$Q$7,$B6680&lt;'111'!$L$11),"x","")</f>
        <v/>
      </c>
      <c r="S6680" s="79" t="str">
        <f>IF(AND($O6680=$Q$7,$B6680&lt;'111'!$L$11),"x","")</f>
        <v/>
      </c>
      <c r="T6680" s="79" t="str">
        <f>IF(ISERROR(FIND('112'!$M$9,G6680,1)),"",IF((AND(FIND('112'!$M$9,G6680,1)&gt;=1,B6680='112'!$K$9,OR($N6680='112'!$I$6,$O6680='112'!$I$6))),"x",""))</f>
        <v/>
      </c>
      <c r="U6680" s="79" t="str">
        <f>IF(ISERROR(FIND('112'!$M$9,G6680,1)),"",IF((AND(LEFT(G6680,2)=LEFT('112'!$M$9,2),B6680&lt;'112'!$K$9,$N6680='112'!$I$6)),"x",""))</f>
        <v/>
      </c>
      <c r="V6680" s="79" t="str">
        <f>IF(ISERROR(FIND('112'!$M$9,G6680,1)),"",IF((AND(RIGHT(G6680,2)=RIGHT('112'!$M$9,2),B6680&lt;'112'!$K$9,$O6680='112'!$I$6)),"x",""))</f>
        <v/>
      </c>
      <c r="W6680" s="79" t="str">
        <f>IF(AND('341-CT'!$H$9=H6680,OR(LEFT(N6680,3)=$W$7,LEFT(O6680,3)=$W$7)),"x","")</f>
        <v/>
      </c>
      <c r="X6680" s="79" t="str">
        <f>IF(OR(TH!N6680=TH!$X$7,O6680=TH!$X$7),"x","")</f>
        <v/>
      </c>
      <c r="Y6680" s="79" t="str">
        <f>IF(AND(OR(N6680="131",O6680="131"),H6680='131-CT'!$H$9),"x","")</f>
        <v/>
      </c>
      <c r="Z6680" s="79"/>
      <c r="AA6680" s="79" t="str">
        <f>IF(AND(MONTH(E6680)='IN-NX'!$J$5,'IN-NX'!$D$7=D6680),"x","")</f>
        <v/>
      </c>
      <c r="AB6680" s="79" t="str">
        <f>IF(AND(OR(LEFT(TH!N6680,2)="15",LEFT(TH!O6680,2)="15"),LEFT(TH!O6680,3)&lt;&gt;"111",'152-CT'!$J$8=TH!F6680),"x","")</f>
        <v/>
      </c>
      <c r="AC6680" s="79" t="str">
        <f>IF(AND(OR(LEFT(TH!N6680,2)="15",LEFT(TH!O6680,2)="15"),TK!$E$7=TH!F6680),"x","")</f>
        <v/>
      </c>
      <c r="AD6680" s="79" t="str">
        <f>IF(AND(N6680="1521",MONTH(C6680)='BK-NL'!$M$11),"x","")</f>
        <v/>
      </c>
    </row>
    <row r="6681" spans="1:30" ht="16.5" customHeight="1">
      <c r="A6681" s="318" t="str">
        <f>IF(B6681&lt;&gt;"",IF(AND(B6681='IN-TC'!$S$4,OR(TH!N6681="1111",TH!O6681="1111")),TH!D6681,""),"")</f>
        <v/>
      </c>
      <c r="B6681" s="1163" t="str">
        <f t="shared" si="525"/>
        <v/>
      </c>
      <c r="C6681" s="61"/>
      <c r="D6681" s="61"/>
      <c r="E6681" s="61"/>
      <c r="F6681" s="69"/>
      <c r="G6681" s="64"/>
      <c r="H6681" s="69"/>
      <c r="I6681" s="385"/>
      <c r="J6681" s="392"/>
      <c r="K6681" s="385"/>
      <c r="L6681" s="392"/>
      <c r="M6681" s="62"/>
      <c r="N6681" s="63"/>
      <c r="O6681" s="63"/>
      <c r="P6681" s="79" t="str">
        <f>IF(AND('331-CT'!$E$7=TH!H6681,OR(N6681="331",O6681="331")),"x","")</f>
        <v/>
      </c>
      <c r="Q6681" s="79" t="str">
        <f>IF(AND(B6681='111'!$L$11,OR($N6681=$Q$7,$O6681=$Q$7)),"x","")</f>
        <v/>
      </c>
      <c r="R6681" s="79" t="str">
        <f>IF(AND($N6681=$Q$7,$B6681&lt;'111'!$L$11),"x","")</f>
        <v/>
      </c>
      <c r="S6681" s="79" t="str">
        <f>IF(AND($O6681=$Q$7,$B6681&lt;'111'!$L$11),"x","")</f>
        <v/>
      </c>
      <c r="T6681" s="79" t="str">
        <f>IF(ISERROR(FIND('112'!$M$9,G6681,1)),"",IF((AND(FIND('112'!$M$9,G6681,1)&gt;=1,B6681='112'!$K$9,OR($N6681='112'!$I$6,$O6681='112'!$I$6))),"x",""))</f>
        <v/>
      </c>
      <c r="U6681" s="79" t="str">
        <f>IF(ISERROR(FIND('112'!$M$9,G6681,1)),"",IF((AND(LEFT(G6681,2)=LEFT('112'!$M$9,2),B6681&lt;'112'!$K$9,$N6681='112'!$I$6)),"x",""))</f>
        <v/>
      </c>
      <c r="V6681" s="79" t="str">
        <f>IF(ISERROR(FIND('112'!$M$9,G6681,1)),"",IF((AND(RIGHT(G6681,2)=RIGHT('112'!$M$9,2),B6681&lt;'112'!$K$9,$O6681='112'!$I$6)),"x",""))</f>
        <v/>
      </c>
      <c r="W6681" s="79" t="str">
        <f>IF(AND('341-CT'!$H$9=H6681,OR(LEFT(N6681,3)=$W$7,LEFT(O6681,3)=$W$7)),"x","")</f>
        <v/>
      </c>
      <c r="X6681" s="79" t="str">
        <f>IF(OR(TH!N6681=TH!$X$7,O6681=TH!$X$7),"x","")</f>
        <v/>
      </c>
      <c r="Y6681" s="79" t="str">
        <f>IF(AND(OR(N6681="131",O6681="131"),H6681='131-CT'!$H$9),"x","")</f>
        <v/>
      </c>
      <c r="Z6681" s="79"/>
      <c r="AA6681" s="79" t="str">
        <f>IF(AND(MONTH(E6681)='IN-NX'!$J$5,'IN-NX'!$D$7=D6681),"x","")</f>
        <v/>
      </c>
      <c r="AB6681" s="79" t="str">
        <f>IF(AND(OR(LEFT(TH!N6681,2)="15",LEFT(TH!O6681,2)="15"),LEFT(TH!O6681,3)&lt;&gt;"111",'152-CT'!$J$8=TH!F6681),"x","")</f>
        <v/>
      </c>
      <c r="AC6681" s="79" t="str">
        <f>IF(AND(OR(LEFT(TH!N6681,2)="15",LEFT(TH!O6681,2)="15"),TK!$E$7=TH!F6681),"x","")</f>
        <v/>
      </c>
      <c r="AD6681" s="79" t="str">
        <f>IF(AND(N6681="1521",MONTH(C6681)='BK-NL'!$M$11),"x","")</f>
        <v/>
      </c>
    </row>
    <row r="6682" spans="1:30" ht="16.5" customHeight="1">
      <c r="A6682" s="318" t="str">
        <f>IF(B6682&lt;&gt;"",IF(AND(B6682='IN-TC'!$S$4,OR(TH!N6682="1111",TH!O6682="1111")),TH!D6682,""),"")</f>
        <v/>
      </c>
      <c r="B6682" s="1163" t="str">
        <f t="shared" si="525"/>
        <v/>
      </c>
      <c r="C6682" s="61"/>
      <c r="D6682" s="61"/>
      <c r="E6682" s="61"/>
      <c r="F6682" s="69"/>
      <c r="G6682" s="64"/>
      <c r="H6682" s="69"/>
      <c r="I6682" s="385"/>
      <c r="J6682" s="392"/>
      <c r="K6682" s="385"/>
      <c r="L6682" s="392"/>
      <c r="M6682" s="62"/>
      <c r="N6682" s="63"/>
      <c r="O6682" s="63"/>
      <c r="P6682" s="79" t="str">
        <f>IF(AND('331-CT'!$E$7=TH!H6682,OR(N6682="331",O6682="331")),"x","")</f>
        <v/>
      </c>
      <c r="Q6682" s="79" t="str">
        <f>IF(AND(B6682='111'!$L$11,OR($N6682=$Q$7,$O6682=$Q$7)),"x","")</f>
        <v/>
      </c>
      <c r="R6682" s="79" t="str">
        <f>IF(AND($N6682=$Q$7,$B6682&lt;'111'!$L$11),"x","")</f>
        <v/>
      </c>
      <c r="S6682" s="79" t="str">
        <f>IF(AND($O6682=$Q$7,$B6682&lt;'111'!$L$11),"x","")</f>
        <v/>
      </c>
      <c r="T6682" s="79" t="str">
        <f>IF(ISERROR(FIND('112'!$M$9,G6682,1)),"",IF((AND(FIND('112'!$M$9,G6682,1)&gt;=1,B6682='112'!$K$9,OR($N6682='112'!$I$6,$O6682='112'!$I$6))),"x",""))</f>
        <v/>
      </c>
      <c r="U6682" s="79" t="str">
        <f>IF(ISERROR(FIND('112'!$M$9,G6682,1)),"",IF((AND(LEFT(G6682,2)=LEFT('112'!$M$9,2),B6682&lt;'112'!$K$9,$N6682='112'!$I$6)),"x",""))</f>
        <v/>
      </c>
      <c r="V6682" s="79" t="str">
        <f>IF(ISERROR(FIND('112'!$M$9,G6682,1)),"",IF((AND(RIGHT(G6682,2)=RIGHT('112'!$M$9,2),B6682&lt;'112'!$K$9,$O6682='112'!$I$6)),"x",""))</f>
        <v/>
      </c>
      <c r="W6682" s="79" t="str">
        <f>IF(AND('341-CT'!$H$9=H6682,OR(LEFT(N6682,3)=$W$7,LEFT(O6682,3)=$W$7)),"x","")</f>
        <v/>
      </c>
      <c r="X6682" s="79" t="str">
        <f>IF(OR(TH!N6682=TH!$X$7,O6682=TH!$X$7),"x","")</f>
        <v/>
      </c>
      <c r="Y6682" s="79" t="str">
        <f>IF(AND(OR(N6682="131",O6682="131"),H6682='131-CT'!$H$9),"x","")</f>
        <v/>
      </c>
      <c r="Z6682" s="79"/>
      <c r="AA6682" s="79" t="str">
        <f>IF(AND(MONTH(E6682)='IN-NX'!$J$5,'IN-NX'!$D$7=D6682),"x","")</f>
        <v/>
      </c>
      <c r="AB6682" s="79" t="str">
        <f>IF(AND(OR(LEFT(TH!N6682,2)="15",LEFT(TH!O6682,2)="15"),LEFT(TH!O6682,3)&lt;&gt;"111",'152-CT'!$J$8=TH!F6682),"x","")</f>
        <v/>
      </c>
      <c r="AC6682" s="79" t="str">
        <f>IF(AND(OR(LEFT(TH!N6682,2)="15",LEFT(TH!O6682,2)="15"),TK!$E$7=TH!F6682),"x","")</f>
        <v/>
      </c>
      <c r="AD6682" s="79" t="str">
        <f>IF(AND(N6682="1521",MONTH(C6682)='BK-NL'!$M$11),"x","")</f>
        <v/>
      </c>
    </row>
    <row r="6683" spans="1:30" ht="16.5" customHeight="1">
      <c r="A6683" s="318" t="str">
        <f>IF(B6683&lt;&gt;"",IF(AND(B6683='IN-TC'!$S$4,OR(TH!N6683="1111",TH!O6683="1111")),TH!D6683,""),"")</f>
        <v/>
      </c>
      <c r="B6683" s="1163" t="str">
        <f t="shared" si="525"/>
        <v/>
      </c>
      <c r="C6683" s="61"/>
      <c r="D6683" s="61"/>
      <c r="E6683" s="61"/>
      <c r="F6683" s="69"/>
      <c r="G6683" s="766"/>
      <c r="H6683" s="69"/>
      <c r="I6683" s="385"/>
      <c r="J6683" s="392"/>
      <c r="K6683" s="385"/>
      <c r="L6683" s="392"/>
      <c r="M6683" s="62"/>
      <c r="N6683" s="63"/>
      <c r="O6683" s="63"/>
      <c r="P6683" s="79" t="str">
        <f>IF(AND('331-CT'!$E$7=TH!H6683,OR(N6683="331",O6683="331")),"x","")</f>
        <v/>
      </c>
      <c r="Q6683" s="79" t="str">
        <f>IF(AND(B6683='111'!$L$11,OR($N6683=$Q$7,$O6683=$Q$7)),"x","")</f>
        <v/>
      </c>
      <c r="R6683" s="79" t="str">
        <f>IF(AND($N6683=$Q$7,$B6683&lt;'111'!$L$11),"x","")</f>
        <v/>
      </c>
      <c r="S6683" s="79" t="str">
        <f>IF(AND($O6683=$Q$7,$B6683&lt;'111'!$L$11),"x","")</f>
        <v/>
      </c>
      <c r="T6683" s="79" t="str">
        <f>IF(ISERROR(FIND('112'!$M$9,G6683,1)),"",IF((AND(FIND('112'!$M$9,G6683,1)&gt;=1,B6683='112'!$K$9,OR($N6683='112'!$I$6,$O6683='112'!$I$6))),"x",""))</f>
        <v/>
      </c>
      <c r="U6683" s="79" t="str">
        <f>IF(ISERROR(FIND('112'!$M$9,G6683,1)),"",IF((AND(LEFT(G6683,2)=LEFT('112'!$M$9,2),B6683&lt;'112'!$K$9,$N6683='112'!$I$6)),"x",""))</f>
        <v/>
      </c>
      <c r="V6683" s="79" t="str">
        <f>IF(ISERROR(FIND('112'!$M$9,G6683,1)),"",IF((AND(RIGHT(G6683,2)=RIGHT('112'!$M$9,2),B6683&lt;'112'!$K$9,$O6683='112'!$I$6)),"x",""))</f>
        <v/>
      </c>
      <c r="W6683" s="79" t="str">
        <f>IF(AND('341-CT'!$H$9=H6683,OR(LEFT(N6683,3)=$W$7,LEFT(O6683,3)=$W$7)),"x","")</f>
        <v/>
      </c>
      <c r="X6683" s="79" t="str">
        <f>IF(OR(TH!N6683=TH!$X$7,O6683=TH!$X$7),"x","")</f>
        <v/>
      </c>
      <c r="Y6683" s="79" t="str">
        <f>IF(AND(OR(N6683="131",O6683="131"),H6683='131-CT'!$H$9),"x","")</f>
        <v/>
      </c>
      <c r="Z6683" s="79"/>
      <c r="AA6683" s="79" t="str">
        <f>IF(AND(MONTH(E6683)='IN-NX'!$J$5,'IN-NX'!$D$7=D6683),"x","")</f>
        <v/>
      </c>
      <c r="AB6683" s="79" t="str">
        <f>IF(AND(OR(LEFT(TH!N6683,2)="15",LEFT(TH!O6683,2)="15"),LEFT(TH!O6683,3)&lt;&gt;"111",'152-CT'!$J$8=TH!F6683),"x","")</f>
        <v/>
      </c>
      <c r="AC6683" s="79" t="str">
        <f>IF(AND(OR(LEFT(TH!N6683,2)="15",LEFT(TH!O6683,2)="15"),TK!$E$7=TH!F6683),"x","")</f>
        <v/>
      </c>
      <c r="AD6683" s="79" t="str">
        <f>IF(AND(N6683="1521",MONTH(C6683)='BK-NL'!$M$11),"x","")</f>
        <v/>
      </c>
    </row>
    <row r="6684" spans="1:30" ht="16.5" customHeight="1">
      <c r="A6684" s="318" t="str">
        <f>IF(B6684&lt;&gt;"",IF(AND(B6684='IN-TC'!$S$4,OR(TH!N6684="1111",TH!O6684="1111")),TH!D6684,""),"")</f>
        <v/>
      </c>
      <c r="B6684" s="1163" t="str">
        <f t="shared" si="525"/>
        <v/>
      </c>
      <c r="C6684" s="61"/>
      <c r="D6684" s="61"/>
      <c r="E6684" s="61"/>
      <c r="F6684" s="69"/>
      <c r="G6684" s="766"/>
      <c r="H6684" s="69"/>
      <c r="I6684" s="385"/>
      <c r="J6684" s="392"/>
      <c r="K6684" s="385"/>
      <c r="L6684" s="392"/>
      <c r="M6684" s="62"/>
      <c r="N6684" s="63"/>
      <c r="O6684" s="63"/>
      <c r="P6684" s="79" t="str">
        <f>IF(AND('331-CT'!$E$7=TH!H6684,OR(N6684="331",O6684="331")),"x","")</f>
        <v/>
      </c>
      <c r="Q6684" s="79" t="str">
        <f>IF(AND(B6684='111'!$L$11,OR($N6684=$Q$7,$O6684=$Q$7)),"x","")</f>
        <v/>
      </c>
      <c r="R6684" s="79" t="str">
        <f>IF(AND($N6684=$Q$7,$B6684&lt;'111'!$L$11),"x","")</f>
        <v/>
      </c>
      <c r="S6684" s="79" t="str">
        <f>IF(AND($O6684=$Q$7,$B6684&lt;'111'!$L$11),"x","")</f>
        <v/>
      </c>
      <c r="T6684" s="79" t="str">
        <f>IF(ISERROR(FIND('112'!$M$9,G6684,1)),"",IF((AND(FIND('112'!$M$9,G6684,1)&gt;=1,B6684='112'!$K$9,OR($N6684='112'!$I$6,$O6684='112'!$I$6))),"x",""))</f>
        <v/>
      </c>
      <c r="U6684" s="79" t="str">
        <f>IF(ISERROR(FIND('112'!$M$9,G6684,1)),"",IF((AND(LEFT(G6684,2)=LEFT('112'!$M$9,2),B6684&lt;'112'!$K$9,$N6684='112'!$I$6)),"x",""))</f>
        <v/>
      </c>
      <c r="V6684" s="79" t="str">
        <f>IF(ISERROR(FIND('112'!$M$9,G6684,1)),"",IF((AND(RIGHT(G6684,2)=RIGHT('112'!$M$9,2),B6684&lt;'112'!$K$9,$O6684='112'!$I$6)),"x",""))</f>
        <v/>
      </c>
      <c r="W6684" s="79" t="str">
        <f>IF(AND('341-CT'!$H$9=H6684,OR(LEFT(N6684,3)=$W$7,LEFT(O6684,3)=$W$7)),"x","")</f>
        <v/>
      </c>
      <c r="X6684" s="79" t="str">
        <f>IF(OR(TH!N6684=TH!$X$7,O6684=TH!$X$7),"x","")</f>
        <v/>
      </c>
      <c r="Y6684" s="79" t="str">
        <f>IF(AND(OR(N6684="131",O6684="131"),H6684='131-CT'!$H$9),"x","")</f>
        <v/>
      </c>
      <c r="Z6684" s="79"/>
      <c r="AA6684" s="79" t="str">
        <f>IF(AND(MONTH(E6684)='IN-NX'!$J$5,'IN-NX'!$D$7=D6684),"x","")</f>
        <v/>
      </c>
      <c r="AB6684" s="79" t="str">
        <f>IF(AND(OR(LEFT(TH!N6684,2)="15",LEFT(TH!O6684,2)="15"),LEFT(TH!O6684,3)&lt;&gt;"111",'152-CT'!$J$8=TH!F6684),"x","")</f>
        <v/>
      </c>
      <c r="AC6684" s="79" t="str">
        <f>IF(AND(OR(LEFT(TH!N6684,2)="15",LEFT(TH!O6684,2)="15"),TK!$E$7=TH!F6684),"x","")</f>
        <v/>
      </c>
      <c r="AD6684" s="79" t="str">
        <f>IF(AND(N6684="1521",MONTH(C6684)='BK-NL'!$M$11),"x","")</f>
        <v/>
      </c>
    </row>
    <row r="6685" spans="1:30" ht="16.5" customHeight="1">
      <c r="A6685" s="318" t="str">
        <f>IF(B6685&lt;&gt;"",IF(AND(B6685='IN-TC'!$S$4,OR(TH!N6685="1111",TH!O6685="1111")),TH!D6685,""),"")</f>
        <v/>
      </c>
      <c r="B6685" s="1163" t="str">
        <f t="shared" si="525"/>
        <v/>
      </c>
      <c r="C6685" s="61"/>
      <c r="D6685" s="61"/>
      <c r="E6685" s="61"/>
      <c r="F6685" s="69"/>
      <c r="G6685" s="766"/>
      <c r="H6685" s="69"/>
      <c r="I6685" s="385"/>
      <c r="J6685" s="392"/>
      <c r="K6685" s="385"/>
      <c r="L6685" s="392"/>
      <c r="M6685" s="62"/>
      <c r="N6685" s="304"/>
      <c r="O6685" s="63"/>
      <c r="P6685" s="79" t="str">
        <f>IF(AND('331-CT'!$E$7=TH!H6685,OR(N6685="331",O6685="331")),"x","")</f>
        <v/>
      </c>
      <c r="Q6685" s="79" t="str">
        <f>IF(AND(B6685='111'!$L$11,OR($N6685=$Q$7,$O6685=$Q$7)),"x","")</f>
        <v/>
      </c>
      <c r="R6685" s="79" t="str">
        <f>IF(AND($N6685=$Q$7,$B6685&lt;'111'!$L$11),"x","")</f>
        <v/>
      </c>
      <c r="S6685" s="79" t="str">
        <f>IF(AND($O6685=$Q$7,$B6685&lt;'111'!$L$11),"x","")</f>
        <v/>
      </c>
      <c r="T6685" s="79" t="str">
        <f>IF(ISERROR(FIND('112'!$M$9,G6685,1)),"",IF((AND(FIND('112'!$M$9,G6685,1)&gt;=1,B6685='112'!$K$9,OR($N6685='112'!$I$6,$O6685='112'!$I$6))),"x",""))</f>
        <v/>
      </c>
      <c r="U6685" s="79" t="str">
        <f>IF(ISERROR(FIND('112'!$M$9,G6685,1)),"",IF((AND(LEFT(G6685,2)=LEFT('112'!$M$9,2),B6685&lt;'112'!$K$9,$N6685='112'!$I$6)),"x",""))</f>
        <v/>
      </c>
      <c r="V6685" s="79" t="str">
        <f>IF(ISERROR(FIND('112'!$M$9,G6685,1)),"",IF((AND(RIGHT(G6685,2)=RIGHT('112'!$M$9,2),B6685&lt;'112'!$K$9,$O6685='112'!$I$6)),"x",""))</f>
        <v/>
      </c>
      <c r="W6685" s="79" t="str">
        <f>IF(AND('341-CT'!$H$9=H6685,OR(LEFT(N6685,3)=$W$7,LEFT(O6685,3)=$W$7)),"x","")</f>
        <v/>
      </c>
      <c r="X6685" s="79" t="str">
        <f>IF(OR(TH!N6685=TH!$X$7,O6685=TH!$X$7),"x","")</f>
        <v/>
      </c>
      <c r="Y6685" s="79" t="str">
        <f>IF(AND(OR(N6685="131",O6685="131"),H6685='131-CT'!$H$9),"x","")</f>
        <v/>
      </c>
      <c r="Z6685" s="79"/>
      <c r="AA6685" s="79" t="str">
        <f>IF(AND(MONTH(E6685)='IN-NX'!$J$5,'IN-NX'!$D$7=D6685),"x","")</f>
        <v/>
      </c>
      <c r="AB6685" s="79" t="str">
        <f>IF(AND(OR(LEFT(TH!N6685,2)="15",LEFT(TH!O6685,2)="15"),LEFT(TH!O6685,3)&lt;&gt;"111",'152-CT'!$J$8=TH!F6685),"x","")</f>
        <v/>
      </c>
      <c r="AC6685" s="79" t="str">
        <f>IF(AND(OR(LEFT(TH!N6685,2)="15",LEFT(TH!O6685,2)="15"),TK!$E$7=TH!F6685),"x","")</f>
        <v/>
      </c>
      <c r="AD6685" s="79" t="str">
        <f>IF(AND(N6685="1521",MONTH(C6685)='BK-NL'!$M$11),"x","")</f>
        <v/>
      </c>
    </row>
    <row r="6686" spans="1:30" ht="16.5" customHeight="1">
      <c r="A6686" s="318" t="str">
        <f>IF(B6686&lt;&gt;"",IF(AND(B6686='IN-TC'!$S$4,OR(TH!N6686="1111",TH!O6686="1111")),TH!D6686,""),"")</f>
        <v/>
      </c>
      <c r="B6686" s="1163" t="str">
        <f t="shared" si="525"/>
        <v/>
      </c>
      <c r="C6686" s="61"/>
      <c r="D6686" s="61"/>
      <c r="E6686" s="61"/>
      <c r="F6686" s="69"/>
      <c r="G6686" s="766"/>
      <c r="H6686" s="69"/>
      <c r="I6686" s="385"/>
      <c r="J6686" s="392"/>
      <c r="K6686" s="385"/>
      <c r="L6686" s="392"/>
      <c r="M6686" s="62"/>
      <c r="N6686" s="304"/>
      <c r="O6686" s="63"/>
      <c r="P6686" s="79" t="str">
        <f>IF(AND('331-CT'!$E$7=TH!H6686,OR(N6686="331",O6686="331")),"x","")</f>
        <v/>
      </c>
      <c r="Q6686" s="79" t="str">
        <f>IF(AND(B6686='111'!$L$11,OR($N6686=$Q$7,$O6686=$Q$7)),"x","")</f>
        <v/>
      </c>
      <c r="R6686" s="79" t="str">
        <f>IF(AND($N6686=$Q$7,$B6686&lt;'111'!$L$11),"x","")</f>
        <v/>
      </c>
      <c r="S6686" s="79" t="str">
        <f>IF(AND($O6686=$Q$7,$B6686&lt;'111'!$L$11),"x","")</f>
        <v/>
      </c>
      <c r="T6686" s="79" t="str">
        <f>IF(ISERROR(FIND('112'!$M$9,G6686,1)),"",IF((AND(FIND('112'!$M$9,G6686,1)&gt;=1,B6686='112'!$K$9,OR($N6686='112'!$I$6,$O6686='112'!$I$6))),"x",""))</f>
        <v/>
      </c>
      <c r="U6686" s="79" t="str">
        <f>IF(ISERROR(FIND('112'!$M$9,G6686,1)),"",IF((AND(LEFT(G6686,2)=LEFT('112'!$M$9,2),B6686&lt;'112'!$K$9,$N6686='112'!$I$6)),"x",""))</f>
        <v/>
      </c>
      <c r="V6686" s="79" t="str">
        <f>IF(ISERROR(FIND('112'!$M$9,G6686,1)),"",IF((AND(RIGHT(G6686,2)=RIGHT('112'!$M$9,2),B6686&lt;'112'!$K$9,$O6686='112'!$I$6)),"x",""))</f>
        <v/>
      </c>
      <c r="W6686" s="79" t="str">
        <f>IF(AND('341-CT'!$H$9=H6686,OR(LEFT(N6686,3)=$W$7,LEFT(O6686,3)=$W$7)),"x","")</f>
        <v/>
      </c>
      <c r="X6686" s="79" t="str">
        <f>IF(OR(TH!N6686=TH!$X$7,O6686=TH!$X$7),"x","")</f>
        <v/>
      </c>
      <c r="Y6686" s="79" t="str">
        <f>IF(AND(OR(N6686="131",O6686="131"),H6686='131-CT'!$H$9),"x","")</f>
        <v/>
      </c>
      <c r="Z6686" s="79"/>
      <c r="AA6686" s="79" t="str">
        <f>IF(AND(MONTH(E6686)='IN-NX'!$J$5,'IN-NX'!$D$7=D6686),"x","")</f>
        <v/>
      </c>
      <c r="AB6686" s="79" t="str">
        <f>IF(AND(OR(LEFT(TH!N6686,2)="15",LEFT(TH!O6686,2)="15"),LEFT(TH!O6686,3)&lt;&gt;"111",'152-CT'!$J$8=TH!F6686),"x","")</f>
        <v/>
      </c>
      <c r="AC6686" s="79" t="str">
        <f>IF(AND(OR(LEFT(TH!N6686,2)="15",LEFT(TH!O6686,2)="15"),TK!$E$7=TH!F6686),"x","")</f>
        <v/>
      </c>
      <c r="AD6686" s="79" t="str">
        <f>IF(AND(N6686="1521",MONTH(C6686)='BK-NL'!$M$11),"x","")</f>
        <v/>
      </c>
    </row>
    <row r="6687" spans="1:30" ht="16.5" customHeight="1">
      <c r="A6687" s="318" t="str">
        <f>IF(B6687&lt;&gt;"",IF(AND(B6687='IN-TC'!$S$4,OR(TH!N6687="1111",TH!O6687="1111")),TH!D6687,""),"")</f>
        <v/>
      </c>
      <c r="B6687" s="1163" t="str">
        <f t="shared" si="525"/>
        <v/>
      </c>
      <c r="C6687" s="61"/>
      <c r="D6687" s="61"/>
      <c r="E6687" s="61"/>
      <c r="F6687" s="69"/>
      <c r="G6687" s="766"/>
      <c r="H6687" s="69"/>
      <c r="I6687" s="385"/>
      <c r="J6687" s="392"/>
      <c r="K6687" s="385"/>
      <c r="L6687" s="392"/>
      <c r="M6687" s="62"/>
      <c r="N6687" s="304"/>
      <c r="O6687" s="63"/>
      <c r="P6687" s="79" t="str">
        <f>IF(AND('331-CT'!$E$7=TH!H6687,OR(N6687="331",O6687="331")),"x","")</f>
        <v/>
      </c>
      <c r="Q6687" s="79" t="str">
        <f>IF(AND(B6687='111'!$L$11,OR($N6687=$Q$7,$O6687=$Q$7)),"x","")</f>
        <v/>
      </c>
      <c r="R6687" s="79" t="str">
        <f>IF(AND($N6687=$Q$7,$B6687&lt;'111'!$L$11),"x","")</f>
        <v/>
      </c>
      <c r="S6687" s="79" t="str">
        <f>IF(AND($O6687=$Q$7,$B6687&lt;'111'!$L$11),"x","")</f>
        <v/>
      </c>
      <c r="T6687" s="79" t="str">
        <f>IF(ISERROR(FIND('112'!$M$9,G6687,1)),"",IF((AND(FIND('112'!$M$9,G6687,1)&gt;=1,B6687='112'!$K$9,OR($N6687='112'!$I$6,$O6687='112'!$I$6))),"x",""))</f>
        <v/>
      </c>
      <c r="U6687" s="79" t="str">
        <f>IF(ISERROR(FIND('112'!$M$9,G6687,1)),"",IF((AND(LEFT(G6687,2)=LEFT('112'!$M$9,2),B6687&lt;'112'!$K$9,$N6687='112'!$I$6)),"x",""))</f>
        <v/>
      </c>
      <c r="V6687" s="79" t="str">
        <f>IF(ISERROR(FIND('112'!$M$9,G6687,1)),"",IF((AND(RIGHT(G6687,2)=RIGHT('112'!$M$9,2),B6687&lt;'112'!$K$9,$O6687='112'!$I$6)),"x",""))</f>
        <v/>
      </c>
      <c r="W6687" s="79" t="str">
        <f>IF(AND('341-CT'!$H$9=H6687,OR(LEFT(N6687,3)=$W$7,LEFT(O6687,3)=$W$7)),"x","")</f>
        <v/>
      </c>
      <c r="X6687" s="79" t="str">
        <f>IF(OR(TH!N6687=TH!$X$7,O6687=TH!$X$7),"x","")</f>
        <v/>
      </c>
      <c r="Y6687" s="79" t="str">
        <f>IF(AND(OR(N6687="131",O6687="131"),H6687='131-CT'!$H$9),"x","")</f>
        <v/>
      </c>
      <c r="Z6687" s="79"/>
      <c r="AA6687" s="79" t="str">
        <f>IF(AND(MONTH(E6687)='IN-NX'!$J$5,'IN-NX'!$D$7=D6687),"x","")</f>
        <v/>
      </c>
      <c r="AB6687" s="79" t="str">
        <f>IF(AND(OR(LEFT(TH!N6687,2)="15",LEFT(TH!O6687,2)="15"),LEFT(TH!O6687,3)&lt;&gt;"111",'152-CT'!$J$8=TH!F6687),"x","")</f>
        <v/>
      </c>
      <c r="AC6687" s="79" t="str">
        <f>IF(AND(OR(LEFT(TH!N6687,2)="15",LEFT(TH!O6687,2)="15"),TK!$E$7=TH!F6687),"x","")</f>
        <v/>
      </c>
      <c r="AD6687" s="79" t="str">
        <f>IF(AND(N6687="1521",MONTH(C6687)='BK-NL'!$M$11),"x","")</f>
        <v/>
      </c>
    </row>
    <row r="6688" spans="1:30" ht="16.5" customHeight="1">
      <c r="A6688" s="318" t="str">
        <f>IF(B6688&lt;&gt;"",IF(AND(B6688='IN-TC'!$S$4,OR(TH!N6688="1111",TH!O6688="1111")),TH!D6688,""),"")</f>
        <v/>
      </c>
      <c r="B6688" s="1163" t="str">
        <f t="shared" si="525"/>
        <v/>
      </c>
      <c r="C6688" s="61"/>
      <c r="D6688" s="301"/>
      <c r="E6688" s="301"/>
      <c r="F6688" s="69"/>
      <c r="G6688" s="64"/>
      <c r="H6688" s="69"/>
      <c r="I6688" s="385"/>
      <c r="J6688" s="392"/>
      <c r="K6688" s="385"/>
      <c r="L6688" s="392"/>
      <c r="M6688" s="62"/>
      <c r="N6688" s="63"/>
      <c r="O6688" s="63"/>
      <c r="P6688" s="79" t="str">
        <f>IF(AND('331-CT'!$E$7=TH!H6688,OR(N6688="331",O6688="331")),"x","")</f>
        <v/>
      </c>
      <c r="Q6688" s="79" t="str">
        <f>IF(AND(B6688='111'!$L$11,OR($N6688=$Q$7,$O6688=$Q$7)),"x","")</f>
        <v/>
      </c>
      <c r="R6688" s="79" t="str">
        <f>IF(AND($N6688=$Q$7,$B6688&lt;'111'!$L$11),"x","")</f>
        <v/>
      </c>
      <c r="S6688" s="79" t="str">
        <f>IF(AND($O6688=$Q$7,$B6688&lt;'111'!$L$11),"x","")</f>
        <v/>
      </c>
      <c r="T6688" s="79" t="str">
        <f>IF(ISERROR(FIND('112'!$M$9,G6688,1)),"",IF((AND(FIND('112'!$M$9,G6688,1)&gt;=1,B6688='112'!$K$9,OR($N6688='112'!$I$6,$O6688='112'!$I$6))),"x",""))</f>
        <v/>
      </c>
      <c r="U6688" s="79" t="str">
        <f>IF(ISERROR(FIND('112'!$M$9,G6688,1)),"",IF((AND(LEFT(G6688,2)=LEFT('112'!$M$9,2),B6688&lt;'112'!$K$9,$N6688='112'!$I$6)),"x",""))</f>
        <v/>
      </c>
      <c r="V6688" s="79" t="str">
        <f>IF(ISERROR(FIND('112'!$M$9,G6688,1)),"",IF((AND(RIGHT(G6688,2)=RIGHT('112'!$M$9,2),B6688&lt;'112'!$K$9,$O6688='112'!$I$6)),"x",""))</f>
        <v/>
      </c>
      <c r="W6688" s="79" t="str">
        <f>IF(AND('341-CT'!$H$9=H6688,OR(LEFT(N6688,3)=$W$7,LEFT(O6688,3)=$W$7)),"x","")</f>
        <v/>
      </c>
      <c r="X6688" s="79" t="str">
        <f>IF(OR(TH!N6688=TH!$X$7,O6688=TH!$X$7),"x","")</f>
        <v/>
      </c>
      <c r="Y6688" s="79" t="str">
        <f>IF(AND(OR(N6688="131",O6688="131"),H6688='131-CT'!$H$9),"x","")</f>
        <v/>
      </c>
      <c r="Z6688" s="79"/>
      <c r="AA6688" s="79" t="str">
        <f>IF(AND(MONTH(E6688)='IN-NX'!$J$5,'IN-NX'!$D$7=D6688),"x","")</f>
        <v/>
      </c>
      <c r="AB6688" s="79" t="str">
        <f>IF(AND(OR(LEFT(TH!N6688,2)="15",LEFT(TH!O6688,2)="15"),LEFT(TH!O6688,3)&lt;&gt;"111",'152-CT'!$J$8=TH!F6688),"x","")</f>
        <v/>
      </c>
      <c r="AC6688" s="79" t="str">
        <f>IF(AND(OR(LEFT(TH!N6688,2)="15",LEFT(TH!O6688,2)="15"),TK!$E$7=TH!F6688),"x","")</f>
        <v/>
      </c>
      <c r="AD6688" s="79" t="str">
        <f>IF(AND(N6688="1521",MONTH(C6688)='BK-NL'!$M$11),"x","")</f>
        <v/>
      </c>
    </row>
    <row r="6689" spans="1:30" ht="16.5" customHeight="1">
      <c r="A6689" s="318" t="str">
        <f>IF(B6689&lt;&gt;"",IF(AND(B6689='IN-TC'!$S$4,OR(TH!N6689="1111",TH!O6689="1111")),TH!D6689,""),"")</f>
        <v/>
      </c>
      <c r="B6689" s="1163" t="str">
        <f t="shared" si="525"/>
        <v/>
      </c>
      <c r="C6689" s="61"/>
      <c r="D6689" s="61"/>
      <c r="E6689" s="61"/>
      <c r="F6689" s="69"/>
      <c r="G6689" s="766"/>
      <c r="H6689" s="69"/>
      <c r="I6689" s="385"/>
      <c r="J6689" s="392"/>
      <c r="K6689" s="385"/>
      <c r="L6689" s="392"/>
      <c r="M6689" s="62"/>
      <c r="N6689" s="63"/>
      <c r="O6689" s="63"/>
      <c r="P6689" s="79" t="str">
        <f>IF(AND('331-CT'!$E$7=TH!H6689,OR(N6689="331",O6689="331")),"x","")</f>
        <v/>
      </c>
      <c r="Q6689" s="79" t="str">
        <f>IF(AND(B6689='111'!$L$11,OR($N6689=$Q$7,$O6689=$Q$7)),"x","")</f>
        <v/>
      </c>
      <c r="R6689" s="79" t="str">
        <f>IF(AND($N6689=$Q$7,$B6689&lt;'111'!$L$11),"x","")</f>
        <v/>
      </c>
      <c r="S6689" s="79" t="str">
        <f>IF(AND($O6689=$Q$7,$B6689&lt;'111'!$L$11),"x","")</f>
        <v/>
      </c>
      <c r="T6689" s="79" t="str">
        <f>IF(ISERROR(FIND('112'!$M$9,G6689,1)),"",IF((AND(FIND('112'!$M$9,G6689,1)&gt;=1,B6689='112'!$K$9,OR($N6689='112'!$I$6,$O6689='112'!$I$6))),"x",""))</f>
        <v/>
      </c>
      <c r="U6689" s="79" t="str">
        <f>IF(ISERROR(FIND('112'!$M$9,G6689,1)),"",IF((AND(LEFT(G6689,2)=LEFT('112'!$M$9,2),B6689&lt;'112'!$K$9,$N6689='112'!$I$6)),"x",""))</f>
        <v/>
      </c>
      <c r="V6689" s="79" t="str">
        <f>IF(ISERROR(FIND('112'!$M$9,G6689,1)),"",IF((AND(RIGHT(G6689,2)=RIGHT('112'!$M$9,2),B6689&lt;'112'!$K$9,$O6689='112'!$I$6)),"x",""))</f>
        <v/>
      </c>
      <c r="W6689" s="79" t="str">
        <f>IF(AND('341-CT'!$H$9=H6689,OR(LEFT(N6689,3)=$W$7,LEFT(O6689,3)=$W$7)),"x","")</f>
        <v/>
      </c>
      <c r="X6689" s="79" t="str">
        <f>IF(OR(TH!N6689=TH!$X$7,O6689=TH!$X$7),"x","")</f>
        <v/>
      </c>
      <c r="Y6689" s="79" t="str">
        <f>IF(AND(OR(N6689="131",O6689="131"),H6689='131-CT'!$H$9),"x","")</f>
        <v/>
      </c>
      <c r="Z6689" s="79"/>
      <c r="AA6689" s="79" t="str">
        <f>IF(AND(MONTH(E6689)='IN-NX'!$J$5,'IN-NX'!$D$7=D6689),"x","")</f>
        <v/>
      </c>
      <c r="AB6689" s="79" t="str">
        <f>IF(AND(OR(LEFT(TH!N6689,2)="15",LEFT(TH!O6689,2)="15"),LEFT(TH!O6689,3)&lt;&gt;"111",'152-CT'!$J$8=TH!F6689),"x","")</f>
        <v/>
      </c>
      <c r="AC6689" s="79" t="str">
        <f>IF(AND(OR(LEFT(TH!N6689,2)="15",LEFT(TH!O6689,2)="15"),TK!$E$7=TH!F6689),"x","")</f>
        <v/>
      </c>
      <c r="AD6689" s="79" t="str">
        <f>IF(AND(N6689="1521",MONTH(C6689)='BK-NL'!$M$11),"x","")</f>
        <v/>
      </c>
    </row>
    <row r="6690" spans="1:30" ht="16.5" customHeight="1">
      <c r="A6690" s="318" t="str">
        <f>IF(B6690&lt;&gt;"",IF(AND(B6690='IN-TC'!$S$4,OR(TH!N6690="1111",TH!O6690="1111")),TH!D6690,""),"")</f>
        <v/>
      </c>
      <c r="B6690" s="1163" t="str">
        <f t="shared" si="525"/>
        <v/>
      </c>
      <c r="C6690" s="61"/>
      <c r="D6690" s="61"/>
      <c r="E6690" s="61"/>
      <c r="F6690" s="69"/>
      <c r="G6690" s="64"/>
      <c r="H6690" s="69"/>
      <c r="I6690" s="385"/>
      <c r="J6690" s="392"/>
      <c r="K6690" s="385"/>
      <c r="L6690" s="392"/>
      <c r="M6690" s="62"/>
      <c r="N6690" s="63"/>
      <c r="O6690" s="63"/>
      <c r="P6690" s="79" t="str">
        <f>IF(AND('331-CT'!$E$7=TH!H6690,OR(N6690="331",O6690="331")),"x","")</f>
        <v/>
      </c>
      <c r="Q6690" s="79" t="str">
        <f>IF(AND(B6690='111'!$L$11,OR($N6690=$Q$7,$O6690=$Q$7)),"x","")</f>
        <v/>
      </c>
      <c r="R6690" s="79" t="str">
        <f>IF(AND($N6690=$Q$7,$B6690&lt;'111'!$L$11),"x","")</f>
        <v/>
      </c>
      <c r="S6690" s="79" t="str">
        <f>IF(AND($O6690=$Q$7,$B6690&lt;'111'!$L$11),"x","")</f>
        <v/>
      </c>
      <c r="T6690" s="79" t="str">
        <f>IF(ISERROR(FIND('112'!$M$9,G6690,1)),"",IF((AND(FIND('112'!$M$9,G6690,1)&gt;=1,B6690='112'!$K$9,OR($N6690='112'!$I$6,$O6690='112'!$I$6))),"x",""))</f>
        <v/>
      </c>
      <c r="U6690" s="79" t="str">
        <f>IF(ISERROR(FIND('112'!$M$9,G6690,1)),"",IF((AND(LEFT(G6690,2)=LEFT('112'!$M$9,2),B6690&lt;'112'!$K$9,$N6690='112'!$I$6)),"x",""))</f>
        <v/>
      </c>
      <c r="V6690" s="79" t="str">
        <f>IF(ISERROR(FIND('112'!$M$9,G6690,1)),"",IF((AND(RIGHT(G6690,2)=RIGHT('112'!$M$9,2),B6690&lt;'112'!$K$9,$O6690='112'!$I$6)),"x",""))</f>
        <v/>
      </c>
      <c r="W6690" s="79" t="str">
        <f>IF(AND('341-CT'!$H$9=H6690,OR(LEFT(N6690,3)=$W$7,LEFT(O6690,3)=$W$7)),"x","")</f>
        <v/>
      </c>
      <c r="X6690" s="79" t="str">
        <f>IF(OR(TH!N6690=TH!$X$7,O6690=TH!$X$7),"x","")</f>
        <v/>
      </c>
      <c r="Y6690" s="79" t="str">
        <f>IF(AND(OR(N6690="131",O6690="131"),H6690='131-CT'!$H$9),"x","")</f>
        <v/>
      </c>
      <c r="Z6690" s="79"/>
      <c r="AA6690" s="79" t="str">
        <f>IF(AND(MONTH(E6690)='IN-NX'!$J$5,'IN-NX'!$D$7=D6690),"x","")</f>
        <v/>
      </c>
      <c r="AB6690" s="79" t="str">
        <f>IF(AND(OR(LEFT(TH!N6690,2)="15",LEFT(TH!O6690,2)="15"),LEFT(TH!O6690,3)&lt;&gt;"111",'152-CT'!$J$8=TH!F6690),"x","")</f>
        <v/>
      </c>
      <c r="AC6690" s="79" t="str">
        <f>IF(AND(OR(LEFT(TH!N6690,2)="15",LEFT(TH!O6690,2)="15"),TK!$E$7=TH!F6690),"x","")</f>
        <v/>
      </c>
      <c r="AD6690" s="79" t="str">
        <f>IF(AND(N6690="1521",MONTH(C6690)='BK-NL'!$M$11),"x","")</f>
        <v/>
      </c>
    </row>
    <row r="6691" spans="1:30" ht="16.5" customHeight="1">
      <c r="A6691" s="318" t="str">
        <f>IF(B6691&lt;&gt;"",IF(AND(B6691='IN-TC'!$S$4,OR(TH!N6691="1111",TH!O6691="1111")),TH!D6691,""),"")</f>
        <v/>
      </c>
      <c r="B6691" s="1163" t="str">
        <f t="shared" si="525"/>
        <v/>
      </c>
      <c r="C6691" s="61"/>
      <c r="D6691" s="61"/>
      <c r="E6691" s="61"/>
      <c r="F6691" s="69"/>
      <c r="G6691" s="64"/>
      <c r="H6691" s="321"/>
      <c r="I6691" s="385"/>
      <c r="J6691" s="392"/>
      <c r="K6691" s="385"/>
      <c r="L6691" s="392"/>
      <c r="M6691" s="62"/>
      <c r="N6691" s="63"/>
      <c r="O6691" s="63"/>
      <c r="P6691" s="79" t="str">
        <f>IF(AND('331-CT'!$E$7=TH!H6691,OR(N6691="331",O6691="331")),"x","")</f>
        <v/>
      </c>
      <c r="Q6691" s="79" t="str">
        <f>IF(AND(B6691='111'!$L$11,OR($N6691=$Q$7,$O6691=$Q$7)),"x","")</f>
        <v/>
      </c>
      <c r="R6691" s="79" t="str">
        <f>IF(AND($N6691=$Q$7,$B6691&lt;'111'!$L$11),"x","")</f>
        <v/>
      </c>
      <c r="S6691" s="79" t="str">
        <f>IF(AND($O6691=$Q$7,$B6691&lt;'111'!$L$11),"x","")</f>
        <v/>
      </c>
      <c r="T6691" s="79" t="str">
        <f>IF(ISERROR(FIND('112'!$M$9,G6691,1)),"",IF((AND(FIND('112'!$M$9,G6691,1)&gt;=1,B6691='112'!$K$9,OR($N6691='112'!$I$6,$O6691='112'!$I$6))),"x",""))</f>
        <v/>
      </c>
      <c r="U6691" s="79" t="str">
        <f>IF(ISERROR(FIND('112'!$M$9,G6691,1)),"",IF((AND(LEFT(G6691,2)=LEFT('112'!$M$9,2),B6691&lt;'112'!$K$9,$N6691='112'!$I$6)),"x",""))</f>
        <v/>
      </c>
      <c r="V6691" s="79" t="str">
        <f>IF(ISERROR(FIND('112'!$M$9,G6691,1)),"",IF((AND(RIGHT(G6691,2)=RIGHT('112'!$M$9,2),B6691&lt;'112'!$K$9,$O6691='112'!$I$6)),"x",""))</f>
        <v/>
      </c>
      <c r="W6691" s="79" t="str">
        <f>IF(AND('341-CT'!$H$9=H6691,OR(LEFT(N6691,3)=$W$7,LEFT(O6691,3)=$W$7)),"x","")</f>
        <v/>
      </c>
      <c r="X6691" s="79" t="str">
        <f>IF(OR(TH!N6691=TH!$X$7,O6691=TH!$X$7),"x","")</f>
        <v/>
      </c>
      <c r="Y6691" s="79" t="str">
        <f>IF(AND(OR(N6691="131",O6691="131"),H6691='131-CT'!$H$9),"x","")</f>
        <v/>
      </c>
      <c r="Z6691" s="79"/>
      <c r="AA6691" s="79" t="str">
        <f>IF(AND(MONTH(E6691)='IN-NX'!$J$5,'IN-NX'!$D$7=D6691),"x","")</f>
        <v/>
      </c>
      <c r="AB6691" s="79" t="str">
        <f>IF(AND(OR(LEFT(TH!N6691,2)="15",LEFT(TH!O6691,2)="15"),LEFT(TH!O6691,3)&lt;&gt;"111",'152-CT'!$J$8=TH!F6691),"x","")</f>
        <v/>
      </c>
      <c r="AC6691" s="79" t="str">
        <f>IF(AND(OR(LEFT(TH!N6691,2)="15",LEFT(TH!O6691,2)="15"),TK!$E$7=TH!F6691),"x","")</f>
        <v/>
      </c>
      <c r="AD6691" s="79" t="str">
        <f>IF(AND(N6691="1521",MONTH(C6691)='BK-NL'!$M$11),"x","")</f>
        <v/>
      </c>
    </row>
    <row r="6692" spans="1:30" ht="16.5" customHeight="1">
      <c r="A6692" s="318" t="str">
        <f>IF(B6692&lt;&gt;"",IF(AND(B6692='IN-TC'!$S$4,OR(TH!N6692="1111",TH!O6692="1111")),TH!D6692,""),"")</f>
        <v/>
      </c>
      <c r="B6692" s="1163" t="str">
        <f t="shared" si="525"/>
        <v/>
      </c>
      <c r="C6692" s="61"/>
      <c r="D6692" s="61"/>
      <c r="E6692" s="61"/>
      <c r="F6692" s="69"/>
      <c r="G6692" s="64"/>
      <c r="H6692" s="321"/>
      <c r="I6692" s="385"/>
      <c r="J6692" s="392"/>
      <c r="K6692" s="385"/>
      <c r="L6692" s="392"/>
      <c r="M6692" s="62"/>
      <c r="N6692" s="63"/>
      <c r="O6692" s="63"/>
      <c r="P6692" s="79" t="str">
        <f>IF(AND('331-CT'!$E$7=TH!H6692,OR(N6692="331",O6692="331")),"x","")</f>
        <v/>
      </c>
      <c r="Q6692" s="79" t="str">
        <f>IF(AND(B6692='111'!$L$11,OR($N6692=$Q$7,$O6692=$Q$7)),"x","")</f>
        <v/>
      </c>
      <c r="R6692" s="79" t="str">
        <f>IF(AND($N6692=$Q$7,$B6692&lt;'111'!$L$11),"x","")</f>
        <v/>
      </c>
      <c r="S6692" s="79" t="str">
        <f>IF(AND($O6692=$Q$7,$B6692&lt;'111'!$L$11),"x","")</f>
        <v/>
      </c>
      <c r="T6692" s="79" t="str">
        <f>IF(ISERROR(FIND('112'!$M$9,G6692,1)),"",IF((AND(FIND('112'!$M$9,G6692,1)&gt;=1,B6692='112'!$K$9,OR($N6692='112'!$I$6,$O6692='112'!$I$6))),"x",""))</f>
        <v/>
      </c>
      <c r="U6692" s="79" t="str">
        <f>IF(ISERROR(FIND('112'!$M$9,G6692,1)),"",IF((AND(LEFT(G6692,2)=LEFT('112'!$M$9,2),B6692&lt;'112'!$K$9,$N6692='112'!$I$6)),"x",""))</f>
        <v/>
      </c>
      <c r="V6692" s="79" t="str">
        <f>IF(ISERROR(FIND('112'!$M$9,G6692,1)),"",IF((AND(RIGHT(G6692,2)=RIGHT('112'!$M$9,2),B6692&lt;'112'!$K$9,$O6692='112'!$I$6)),"x",""))</f>
        <v/>
      </c>
      <c r="W6692" s="79" t="str">
        <f>IF(AND('341-CT'!$H$9=H6692,OR(LEFT(N6692,3)=$W$7,LEFT(O6692,3)=$W$7)),"x","")</f>
        <v/>
      </c>
      <c r="X6692" s="79" t="str">
        <f>IF(OR(TH!N6692=TH!$X$7,O6692=TH!$X$7),"x","")</f>
        <v/>
      </c>
      <c r="Y6692" s="79" t="str">
        <f>IF(AND(OR(N6692="131",O6692="131"),H6692='131-CT'!$H$9),"x","")</f>
        <v/>
      </c>
      <c r="Z6692" s="79"/>
      <c r="AA6692" s="79" t="str">
        <f>IF(AND(MONTH(E6692)='IN-NX'!$J$5,'IN-NX'!$D$7=D6692),"x","")</f>
        <v/>
      </c>
      <c r="AB6692" s="79" t="str">
        <f>IF(AND(OR(LEFT(TH!N6692,2)="15",LEFT(TH!O6692,2)="15"),LEFT(TH!O6692,3)&lt;&gt;"111",'152-CT'!$J$8=TH!F6692),"x","")</f>
        <v/>
      </c>
      <c r="AC6692" s="79" t="str">
        <f>IF(AND(OR(LEFT(TH!N6692,2)="15",LEFT(TH!O6692,2)="15"),TK!$E$7=TH!F6692),"x","")</f>
        <v/>
      </c>
      <c r="AD6692" s="79" t="str">
        <f>IF(AND(N6692="1521",MONTH(C6692)='BK-NL'!$M$11),"x","")</f>
        <v/>
      </c>
    </row>
    <row r="6693" spans="1:30" ht="16.5" customHeight="1">
      <c r="A6693" s="318" t="str">
        <f>IF(B6693&lt;&gt;"",IF(AND(B6693='IN-TC'!$S$4,OR(TH!N6693="1111",TH!O6693="1111")),TH!D6693,""),"")</f>
        <v/>
      </c>
      <c r="B6693" s="1163" t="str">
        <f t="shared" si="525"/>
        <v/>
      </c>
      <c r="C6693" s="61"/>
      <c r="D6693" s="61"/>
      <c r="E6693" s="61"/>
      <c r="F6693" s="69"/>
      <c r="G6693" s="64"/>
      <c r="H6693" s="69"/>
      <c r="I6693" s="385"/>
      <c r="J6693" s="392"/>
      <c r="K6693" s="385"/>
      <c r="L6693" s="392"/>
      <c r="M6693" s="62"/>
      <c r="N6693" s="63"/>
      <c r="O6693" s="63"/>
      <c r="P6693" s="79" t="str">
        <f>IF(AND('331-CT'!$E$7=TH!H6693,OR(N6693="331",O6693="331")),"x","")</f>
        <v/>
      </c>
      <c r="Q6693" s="79" t="str">
        <f>IF(AND(B6693='111'!$L$11,OR($N6693=$Q$7,$O6693=$Q$7)),"x","")</f>
        <v/>
      </c>
      <c r="R6693" s="79" t="str">
        <f>IF(AND($N6693=$Q$7,$B6693&lt;'111'!$L$11),"x","")</f>
        <v/>
      </c>
      <c r="S6693" s="79" t="str">
        <f>IF(AND($O6693=$Q$7,$B6693&lt;'111'!$L$11),"x","")</f>
        <v/>
      </c>
      <c r="T6693" s="79" t="str">
        <f>IF(ISERROR(FIND('112'!$M$9,G6693,1)),"",IF((AND(FIND('112'!$M$9,G6693,1)&gt;=1,B6693='112'!$K$9,OR($N6693='112'!$I$6,$O6693='112'!$I$6))),"x",""))</f>
        <v/>
      </c>
      <c r="U6693" s="79" t="str">
        <f>IF(ISERROR(FIND('112'!$M$9,G6693,1)),"",IF((AND(LEFT(G6693,2)=LEFT('112'!$M$9,2),B6693&lt;'112'!$K$9,$N6693='112'!$I$6)),"x",""))</f>
        <v/>
      </c>
      <c r="V6693" s="79" t="str">
        <f>IF(ISERROR(FIND('112'!$M$9,G6693,1)),"",IF((AND(RIGHT(G6693,2)=RIGHT('112'!$M$9,2),B6693&lt;'112'!$K$9,$O6693='112'!$I$6)),"x",""))</f>
        <v/>
      </c>
      <c r="W6693" s="79" t="str">
        <f>IF(AND('341-CT'!$H$9=H6693,OR(LEFT(N6693,3)=$W$7,LEFT(O6693,3)=$W$7)),"x","")</f>
        <v/>
      </c>
      <c r="X6693" s="79" t="str">
        <f>IF(OR(TH!N6693=TH!$X$7,O6693=TH!$X$7),"x","")</f>
        <v/>
      </c>
      <c r="Y6693" s="79" t="str">
        <f>IF(AND(OR(N6693="131",O6693="131"),H6693='131-CT'!$H$9),"x","")</f>
        <v/>
      </c>
      <c r="Z6693" s="79"/>
      <c r="AA6693" s="79" t="str">
        <f>IF(AND(MONTH(E6693)='IN-NX'!$J$5,'IN-NX'!$D$7=D6693),"x","")</f>
        <v/>
      </c>
      <c r="AB6693" s="79" t="str">
        <f>IF(AND(OR(LEFT(TH!N6693,2)="15",LEFT(TH!O6693,2)="15"),LEFT(TH!O6693,3)&lt;&gt;"111",'152-CT'!$J$8=TH!F6693),"x","")</f>
        <v/>
      </c>
      <c r="AC6693" s="79" t="str">
        <f>IF(AND(OR(LEFT(TH!N6693,2)="15",LEFT(TH!O6693,2)="15"),TK!$E$7=TH!F6693),"x","")</f>
        <v/>
      </c>
      <c r="AD6693" s="79" t="str">
        <f>IF(AND(N6693="1521",MONTH(C6693)='BK-NL'!$M$11),"x","")</f>
        <v/>
      </c>
    </row>
    <row r="6694" spans="1:30" ht="16.5" customHeight="1">
      <c r="A6694" s="318" t="str">
        <f>IF(B6694&lt;&gt;"",IF(AND(B6694='IN-TC'!$S$4,OR(TH!N6694="1111",TH!O6694="1111")),TH!D6694,""),"")</f>
        <v/>
      </c>
      <c r="B6694" s="1163" t="str">
        <f t="shared" si="525"/>
        <v/>
      </c>
      <c r="C6694" s="61"/>
      <c r="D6694" s="61"/>
      <c r="E6694" s="61"/>
      <c r="F6694" s="69"/>
      <c r="G6694" s="64"/>
      <c r="H6694" s="69"/>
      <c r="I6694" s="385"/>
      <c r="J6694" s="392"/>
      <c r="K6694" s="385"/>
      <c r="L6694" s="392"/>
      <c r="M6694" s="62"/>
      <c r="N6694" s="63"/>
      <c r="O6694" s="63"/>
      <c r="P6694" s="79" t="str">
        <f>IF(AND('331-CT'!$E$7=TH!H6694,OR(N6694="331",O6694="331")),"x","")</f>
        <v/>
      </c>
      <c r="Q6694" s="79" t="str">
        <f>IF(AND(B6694='111'!$L$11,OR($N6694=$Q$7,$O6694=$Q$7)),"x","")</f>
        <v/>
      </c>
      <c r="R6694" s="79" t="str">
        <f>IF(AND($N6694=$Q$7,$B6694&lt;'111'!$L$11),"x","")</f>
        <v/>
      </c>
      <c r="S6694" s="79" t="str">
        <f>IF(AND($O6694=$Q$7,$B6694&lt;'111'!$L$11),"x","")</f>
        <v/>
      </c>
      <c r="T6694" s="79" t="str">
        <f>IF(ISERROR(FIND('112'!$M$9,G6694,1)),"",IF((AND(FIND('112'!$M$9,G6694,1)&gt;=1,B6694='112'!$K$9,OR($N6694='112'!$I$6,$O6694='112'!$I$6))),"x",""))</f>
        <v/>
      </c>
      <c r="U6694" s="79" t="str">
        <f>IF(ISERROR(FIND('112'!$M$9,G6694,1)),"",IF((AND(LEFT(G6694,2)=LEFT('112'!$M$9,2),B6694&lt;'112'!$K$9,$N6694='112'!$I$6)),"x",""))</f>
        <v/>
      </c>
      <c r="V6694" s="79" t="str">
        <f>IF(ISERROR(FIND('112'!$M$9,G6694,1)),"",IF((AND(RIGHT(G6694,2)=RIGHT('112'!$M$9,2),B6694&lt;'112'!$K$9,$O6694='112'!$I$6)),"x",""))</f>
        <v/>
      </c>
      <c r="W6694" s="79" t="str">
        <f>IF(AND('341-CT'!$H$9=H6694,OR(LEFT(N6694,3)=$W$7,LEFT(O6694,3)=$W$7)),"x","")</f>
        <v/>
      </c>
      <c r="X6694" s="79" t="str">
        <f>IF(OR(TH!N6694=TH!$X$7,O6694=TH!$X$7),"x","")</f>
        <v/>
      </c>
      <c r="Y6694" s="79" t="str">
        <f>IF(AND(OR(N6694="131",O6694="131"),H6694='131-CT'!$H$9),"x","")</f>
        <v/>
      </c>
      <c r="Z6694" s="79"/>
      <c r="AA6694" s="79" t="str">
        <f>IF(AND(MONTH(E6694)='IN-NX'!$J$5,'IN-NX'!$D$7=D6694),"x","")</f>
        <v/>
      </c>
      <c r="AB6694" s="79" t="str">
        <f>IF(AND(OR(LEFT(TH!N6694,2)="15",LEFT(TH!O6694,2)="15"),LEFT(TH!O6694,3)&lt;&gt;"111",'152-CT'!$J$8=TH!F6694),"x","")</f>
        <v/>
      </c>
      <c r="AC6694" s="79" t="str">
        <f>IF(AND(OR(LEFT(TH!N6694,2)="15",LEFT(TH!O6694,2)="15"),TK!$E$7=TH!F6694),"x","")</f>
        <v/>
      </c>
      <c r="AD6694" s="79" t="str">
        <f>IF(AND(N6694="1521",MONTH(C6694)='BK-NL'!$M$11),"x","")</f>
        <v/>
      </c>
    </row>
    <row r="6695" spans="1:30" ht="16.5" customHeight="1">
      <c r="A6695" s="318" t="str">
        <f>IF(B6695&lt;&gt;"",IF(AND(B6695='IN-TC'!$S$4,OR(TH!N6695="1111",TH!O6695="1111")),TH!D6695,""),"")</f>
        <v/>
      </c>
      <c r="B6695" s="1163" t="str">
        <f t="shared" si="525"/>
        <v/>
      </c>
      <c r="C6695" s="61"/>
      <c r="D6695" s="61"/>
      <c r="E6695" s="61"/>
      <c r="F6695" s="69"/>
      <c r="G6695" s="64"/>
      <c r="H6695" s="69"/>
      <c r="I6695" s="385"/>
      <c r="J6695" s="392"/>
      <c r="K6695" s="385"/>
      <c r="L6695" s="392"/>
      <c r="M6695" s="62"/>
      <c r="N6695" s="63"/>
      <c r="O6695" s="63"/>
      <c r="P6695" s="79" t="str">
        <f>IF(AND('331-CT'!$E$7=TH!H6695,OR(N6695="331",O6695="331")),"x","")</f>
        <v/>
      </c>
      <c r="Q6695" s="79" t="str">
        <f>IF(AND(B6695='111'!$L$11,OR($N6695=$Q$7,$O6695=$Q$7)),"x","")</f>
        <v/>
      </c>
      <c r="R6695" s="79" t="str">
        <f>IF(AND($N6695=$Q$7,$B6695&lt;'111'!$L$11),"x","")</f>
        <v/>
      </c>
      <c r="S6695" s="79" t="str">
        <f>IF(AND($O6695=$Q$7,$B6695&lt;'111'!$L$11),"x","")</f>
        <v/>
      </c>
      <c r="T6695" s="79" t="str">
        <f>IF(ISERROR(FIND('112'!$M$9,G6695,1)),"",IF((AND(FIND('112'!$M$9,G6695,1)&gt;=1,B6695='112'!$K$9,OR($N6695='112'!$I$6,$O6695='112'!$I$6))),"x",""))</f>
        <v/>
      </c>
      <c r="U6695" s="79" t="str">
        <f>IF(ISERROR(FIND('112'!$M$9,G6695,1)),"",IF((AND(LEFT(G6695,2)=LEFT('112'!$M$9,2),B6695&lt;'112'!$K$9,$N6695='112'!$I$6)),"x",""))</f>
        <v/>
      </c>
      <c r="V6695" s="79" t="str">
        <f>IF(ISERROR(FIND('112'!$M$9,G6695,1)),"",IF((AND(RIGHT(G6695,2)=RIGHT('112'!$M$9,2),B6695&lt;'112'!$K$9,$O6695='112'!$I$6)),"x",""))</f>
        <v/>
      </c>
      <c r="W6695" s="79" t="str">
        <f>IF(AND('341-CT'!$H$9=H6695,OR(LEFT(N6695,3)=$W$7,LEFT(O6695,3)=$W$7)),"x","")</f>
        <v/>
      </c>
      <c r="X6695" s="79" t="str">
        <f>IF(OR(TH!N6695=TH!$X$7,O6695=TH!$X$7),"x","")</f>
        <v/>
      </c>
      <c r="Y6695" s="79" t="str">
        <f>IF(AND(OR(N6695="131",O6695="131"),H6695='131-CT'!$H$9),"x","")</f>
        <v/>
      </c>
      <c r="Z6695" s="79"/>
      <c r="AA6695" s="79" t="str">
        <f>IF(AND(MONTH(E6695)='IN-NX'!$J$5,'IN-NX'!$D$7=D6695),"x","")</f>
        <v/>
      </c>
      <c r="AB6695" s="79" t="str">
        <f>IF(AND(OR(LEFT(TH!N6695,2)="15",LEFT(TH!O6695,2)="15"),LEFT(TH!O6695,3)&lt;&gt;"111",'152-CT'!$J$8=TH!F6695),"x","")</f>
        <v/>
      </c>
      <c r="AC6695" s="79" t="str">
        <f>IF(AND(OR(LEFT(TH!N6695,2)="15",LEFT(TH!O6695,2)="15"),TK!$E$7=TH!F6695),"x","")</f>
        <v/>
      </c>
      <c r="AD6695" s="79" t="str">
        <f>IF(AND(N6695="1521",MONTH(C6695)='BK-NL'!$M$11),"x","")</f>
        <v/>
      </c>
    </row>
    <row r="6696" spans="1:30" ht="16.5" customHeight="1">
      <c r="A6696" s="318" t="str">
        <f>IF(B6696&lt;&gt;"",IF(AND(B6696='IN-TC'!$S$4,OR(TH!N6696="1111",TH!O6696="1111")),TH!D6696,""),"")</f>
        <v/>
      </c>
      <c r="B6696" s="1163" t="str">
        <f t="shared" si="525"/>
        <v/>
      </c>
      <c r="C6696" s="61"/>
      <c r="D6696" s="61"/>
      <c r="E6696" s="61"/>
      <c r="F6696" s="446"/>
      <c r="G6696" s="64"/>
      <c r="H6696" s="69"/>
      <c r="I6696" s="385"/>
      <c r="J6696" s="392"/>
      <c r="K6696" s="385"/>
      <c r="L6696" s="392"/>
      <c r="M6696" s="62"/>
      <c r="N6696" s="63"/>
      <c r="O6696" s="63"/>
      <c r="P6696" s="79" t="str">
        <f>IF(AND('331-CT'!$E$7=TH!H6696,OR(N6696="331",O6696="331")),"x","")</f>
        <v/>
      </c>
      <c r="Q6696" s="79" t="str">
        <f>IF(AND(B6696='111'!$L$11,OR($N6696=$Q$7,$O6696=$Q$7)),"x","")</f>
        <v/>
      </c>
      <c r="R6696" s="79" t="str">
        <f>IF(AND($N6696=$Q$7,$B6696&lt;'111'!$L$11),"x","")</f>
        <v/>
      </c>
      <c r="S6696" s="79" t="str">
        <f>IF(AND($O6696=$Q$7,$B6696&lt;'111'!$L$11),"x","")</f>
        <v/>
      </c>
      <c r="T6696" s="79" t="str">
        <f>IF(ISERROR(FIND('112'!$M$9,G6696,1)),"",IF((AND(FIND('112'!$M$9,G6696,1)&gt;=1,B6696='112'!$K$9,OR($N6696='112'!$I$6,$O6696='112'!$I$6))),"x",""))</f>
        <v/>
      </c>
      <c r="U6696" s="79" t="str">
        <f>IF(ISERROR(FIND('112'!$M$9,G6696,1)),"",IF((AND(LEFT(G6696,2)=LEFT('112'!$M$9,2),B6696&lt;'112'!$K$9,$N6696='112'!$I$6)),"x",""))</f>
        <v/>
      </c>
      <c r="V6696" s="79" t="str">
        <f>IF(ISERROR(FIND('112'!$M$9,G6696,1)),"",IF((AND(RIGHT(G6696,2)=RIGHT('112'!$M$9,2),B6696&lt;'112'!$K$9,$O6696='112'!$I$6)),"x",""))</f>
        <v/>
      </c>
      <c r="W6696" s="79" t="str">
        <f>IF(AND('341-CT'!$H$9=H6696,OR(LEFT(N6696,3)=$W$7,LEFT(O6696,3)=$W$7)),"x","")</f>
        <v/>
      </c>
      <c r="X6696" s="79" t="str">
        <f>IF(OR(TH!N6696=TH!$X$7,O6696=TH!$X$7),"x","")</f>
        <v/>
      </c>
      <c r="Y6696" s="79" t="str">
        <f>IF(AND(OR(N6696="131",O6696="131"),H6696='131-CT'!$H$9),"x","")</f>
        <v/>
      </c>
      <c r="Z6696" s="79"/>
      <c r="AA6696" s="79" t="str">
        <f>IF(AND(MONTH(E6696)='IN-NX'!$J$5,'IN-NX'!$D$7=D6696),"x","")</f>
        <v/>
      </c>
      <c r="AB6696" s="79" t="str">
        <f>IF(AND(OR(LEFT(TH!N6696,2)="15",LEFT(TH!O6696,2)="15"),LEFT(TH!O6696,3)&lt;&gt;"111",'152-CT'!$J$8=TH!F6696),"x","")</f>
        <v/>
      </c>
      <c r="AC6696" s="79" t="str">
        <f>IF(AND(OR(LEFT(TH!N6696,2)="15",LEFT(TH!O6696,2)="15"),TK!$E$7=TH!F6696),"x","")</f>
        <v/>
      </c>
      <c r="AD6696" s="79" t="str">
        <f>IF(AND(N6696="1521",MONTH(C6696)='BK-NL'!$M$11),"x","")</f>
        <v/>
      </c>
    </row>
    <row r="6697" spans="1:30" ht="16.5" customHeight="1">
      <c r="A6697" s="318" t="str">
        <f>IF(B6697&lt;&gt;"",IF(AND(B6697='IN-TC'!$S$4,OR(TH!N6697="1111",TH!O6697="1111")),TH!D6697,""),"")</f>
        <v/>
      </c>
      <c r="B6697" s="1163" t="str">
        <f t="shared" si="525"/>
        <v/>
      </c>
      <c r="C6697" s="61"/>
      <c r="D6697" s="61"/>
      <c r="E6697" s="61"/>
      <c r="F6697" s="69"/>
      <c r="G6697" s="64"/>
      <c r="H6697" s="69"/>
      <c r="I6697" s="385"/>
      <c r="J6697" s="392"/>
      <c r="K6697" s="385"/>
      <c r="L6697" s="392"/>
      <c r="M6697" s="62"/>
      <c r="N6697" s="63"/>
      <c r="O6697" s="63"/>
      <c r="P6697" s="79" t="str">
        <f>IF(AND('331-CT'!$E$7=TH!H6697,OR(N6697="331",O6697="331")),"x","")</f>
        <v/>
      </c>
      <c r="Q6697" s="79" t="str">
        <f>IF(AND(B6697='111'!$L$11,OR($N6697=$Q$7,$O6697=$Q$7)),"x","")</f>
        <v/>
      </c>
      <c r="R6697" s="79" t="str">
        <f>IF(AND($N6697=$Q$7,$B6697&lt;'111'!$L$11),"x","")</f>
        <v/>
      </c>
      <c r="S6697" s="79" t="str">
        <f>IF(AND($O6697=$Q$7,$B6697&lt;'111'!$L$11),"x","")</f>
        <v/>
      </c>
      <c r="T6697" s="79" t="str">
        <f>IF(ISERROR(FIND('112'!$M$9,G6697,1)),"",IF((AND(FIND('112'!$M$9,G6697,1)&gt;=1,B6697='112'!$K$9,OR($N6697='112'!$I$6,$O6697='112'!$I$6))),"x",""))</f>
        <v/>
      </c>
      <c r="U6697" s="79" t="str">
        <f>IF(ISERROR(FIND('112'!$M$9,G6697,1)),"",IF((AND(LEFT(G6697,2)=LEFT('112'!$M$9,2),B6697&lt;'112'!$K$9,$N6697='112'!$I$6)),"x",""))</f>
        <v/>
      </c>
      <c r="V6697" s="79" t="str">
        <f>IF(ISERROR(FIND('112'!$M$9,G6697,1)),"",IF((AND(RIGHT(G6697,2)=RIGHT('112'!$M$9,2),B6697&lt;'112'!$K$9,$O6697='112'!$I$6)),"x",""))</f>
        <v/>
      </c>
      <c r="W6697" s="79" t="str">
        <f>IF(AND('341-CT'!$H$9=H6697,OR(LEFT(N6697,3)=$W$7,LEFT(O6697,3)=$W$7)),"x","")</f>
        <v/>
      </c>
      <c r="X6697" s="79" t="str">
        <f>IF(OR(TH!N6697=TH!$X$7,O6697=TH!$X$7),"x","")</f>
        <v/>
      </c>
      <c r="Y6697" s="79" t="str">
        <f>IF(AND(OR(N6697="131",O6697="131"),H6697='131-CT'!$H$9),"x","")</f>
        <v/>
      </c>
      <c r="Z6697" s="79"/>
      <c r="AA6697" s="79" t="str">
        <f>IF(AND(MONTH(E6697)='IN-NX'!$J$5,'IN-NX'!$D$7=D6697),"x","")</f>
        <v/>
      </c>
      <c r="AB6697" s="79" t="str">
        <f>IF(AND(OR(LEFT(TH!N6697,2)="15",LEFT(TH!O6697,2)="15"),LEFT(TH!O6697,3)&lt;&gt;"111",'152-CT'!$J$8=TH!F6697),"x","")</f>
        <v/>
      </c>
      <c r="AC6697" s="79" t="str">
        <f>IF(AND(OR(LEFT(TH!N6697,2)="15",LEFT(TH!O6697,2)="15"),TK!$E$7=TH!F6697),"x","")</f>
        <v/>
      </c>
      <c r="AD6697" s="79" t="str">
        <f>IF(AND(N6697="1521",MONTH(C6697)='BK-NL'!$M$11),"x","")</f>
        <v/>
      </c>
    </row>
    <row r="6698" spans="1:30" ht="16.5" customHeight="1">
      <c r="A6698" s="318" t="str">
        <f>IF(B6698&lt;&gt;"",IF(AND(B6698='IN-TC'!$S$4,OR(TH!N6698="1111",TH!O6698="1111")),TH!D6698,""),"")</f>
        <v/>
      </c>
      <c r="B6698" s="1163" t="str">
        <f t="shared" si="525"/>
        <v/>
      </c>
      <c r="C6698" s="61"/>
      <c r="D6698" s="61"/>
      <c r="E6698" s="61"/>
      <c r="F6698" s="69"/>
      <c r="G6698" s="64"/>
      <c r="H6698" s="69"/>
      <c r="I6698" s="385"/>
      <c r="J6698" s="392"/>
      <c r="K6698" s="385"/>
      <c r="L6698" s="392"/>
      <c r="M6698" s="62"/>
      <c r="N6698" s="63"/>
      <c r="O6698" s="63"/>
      <c r="P6698" s="79" t="str">
        <f>IF(AND('331-CT'!$E$7=TH!H6698,OR(N6698="331",O6698="331")),"x","")</f>
        <v/>
      </c>
      <c r="Q6698" s="79" t="str">
        <f>IF(AND(B6698='111'!$L$11,OR($N6698=$Q$7,$O6698=$Q$7)),"x","")</f>
        <v/>
      </c>
      <c r="R6698" s="79" t="str">
        <f>IF(AND($N6698=$Q$7,$B6698&lt;'111'!$L$11),"x","")</f>
        <v/>
      </c>
      <c r="S6698" s="79" t="str">
        <f>IF(AND($O6698=$Q$7,$B6698&lt;'111'!$L$11),"x","")</f>
        <v/>
      </c>
      <c r="T6698" s="79" t="str">
        <f>IF(ISERROR(FIND('112'!$M$9,G6698,1)),"",IF((AND(FIND('112'!$M$9,G6698,1)&gt;=1,B6698='112'!$K$9,OR($N6698='112'!$I$6,$O6698='112'!$I$6))),"x",""))</f>
        <v/>
      </c>
      <c r="U6698" s="79" t="str">
        <f>IF(ISERROR(FIND('112'!$M$9,G6698,1)),"",IF((AND(LEFT(G6698,2)=LEFT('112'!$M$9,2),B6698&lt;'112'!$K$9,$N6698='112'!$I$6)),"x",""))</f>
        <v/>
      </c>
      <c r="V6698" s="79" t="str">
        <f>IF(ISERROR(FIND('112'!$M$9,G6698,1)),"",IF((AND(RIGHT(G6698,2)=RIGHT('112'!$M$9,2),B6698&lt;'112'!$K$9,$O6698='112'!$I$6)),"x",""))</f>
        <v/>
      </c>
      <c r="W6698" s="79" t="str">
        <f>IF(AND('341-CT'!$H$9=H6698,OR(LEFT(N6698,3)=$W$7,LEFT(O6698,3)=$W$7)),"x","")</f>
        <v/>
      </c>
      <c r="X6698" s="79" t="str">
        <f>IF(OR(TH!N6698=TH!$X$7,O6698=TH!$X$7),"x","")</f>
        <v/>
      </c>
      <c r="Y6698" s="79" t="str">
        <f>IF(AND(OR(N6698="131",O6698="131"),H6698='131-CT'!$H$9),"x","")</f>
        <v/>
      </c>
      <c r="Z6698" s="79"/>
      <c r="AA6698" s="79" t="str">
        <f>IF(AND(MONTH(E6698)='IN-NX'!$J$5,'IN-NX'!$D$7=D6698),"x","")</f>
        <v/>
      </c>
      <c r="AB6698" s="79" t="str">
        <f>IF(AND(OR(LEFT(TH!N6698,2)="15",LEFT(TH!O6698,2)="15"),LEFT(TH!O6698,3)&lt;&gt;"111",'152-CT'!$J$8=TH!F6698),"x","")</f>
        <v/>
      </c>
      <c r="AC6698" s="79" t="str">
        <f>IF(AND(OR(LEFT(TH!N6698,2)="15",LEFT(TH!O6698,2)="15"),TK!$E$7=TH!F6698),"x","")</f>
        <v/>
      </c>
      <c r="AD6698" s="79" t="str">
        <f>IF(AND(N6698="1521",MONTH(C6698)='BK-NL'!$M$11),"x","")</f>
        <v/>
      </c>
    </row>
    <row r="6699" spans="1:30" ht="16.5" customHeight="1">
      <c r="A6699" s="318" t="str">
        <f>IF(B6699&lt;&gt;"",IF(AND(B6699='IN-TC'!$S$4,OR(TH!N6699="1111",TH!O6699="1111")),TH!D6699,""),"")</f>
        <v/>
      </c>
      <c r="B6699" s="1163" t="str">
        <f t="shared" si="525"/>
        <v/>
      </c>
      <c r="C6699" s="61"/>
      <c r="D6699" s="61"/>
      <c r="E6699" s="61"/>
      <c r="F6699" s="69"/>
      <c r="G6699" s="64"/>
      <c r="H6699" s="69"/>
      <c r="I6699" s="385"/>
      <c r="J6699" s="392"/>
      <c r="K6699" s="385"/>
      <c r="L6699" s="392"/>
      <c r="M6699" s="62"/>
      <c r="N6699" s="63"/>
      <c r="O6699" s="63"/>
      <c r="P6699" s="79" t="str">
        <f>IF(AND('331-CT'!$E$7=TH!H6699,OR(N6699="331",O6699="331")),"x","")</f>
        <v/>
      </c>
      <c r="Q6699" s="79" t="str">
        <f>IF(AND(B6699='111'!$L$11,OR($N6699=$Q$7,$O6699=$Q$7)),"x","")</f>
        <v/>
      </c>
      <c r="R6699" s="79" t="str">
        <f>IF(AND($N6699=$Q$7,$B6699&lt;'111'!$L$11),"x","")</f>
        <v/>
      </c>
      <c r="S6699" s="79" t="str">
        <f>IF(AND($O6699=$Q$7,$B6699&lt;'111'!$L$11),"x","")</f>
        <v/>
      </c>
      <c r="T6699" s="79" t="str">
        <f>IF(ISERROR(FIND('112'!$M$9,G6699,1)),"",IF((AND(FIND('112'!$M$9,G6699,1)&gt;=1,B6699='112'!$K$9,OR($N6699='112'!$I$6,$O6699='112'!$I$6))),"x",""))</f>
        <v/>
      </c>
      <c r="U6699" s="79" t="str">
        <f>IF(ISERROR(FIND('112'!$M$9,G6699,1)),"",IF((AND(LEFT(G6699,2)=LEFT('112'!$M$9,2),B6699&lt;'112'!$K$9,$N6699='112'!$I$6)),"x",""))</f>
        <v/>
      </c>
      <c r="V6699" s="79" t="str">
        <f>IF(ISERROR(FIND('112'!$M$9,G6699,1)),"",IF((AND(RIGHT(G6699,2)=RIGHT('112'!$M$9,2),B6699&lt;'112'!$K$9,$O6699='112'!$I$6)),"x",""))</f>
        <v/>
      </c>
      <c r="W6699" s="79" t="str">
        <f>IF(AND('341-CT'!$H$9=H6699,OR(LEFT(N6699,3)=$W$7,LEFT(O6699,3)=$W$7)),"x","")</f>
        <v/>
      </c>
      <c r="X6699" s="79" t="str">
        <f>IF(OR(TH!N6699=TH!$X$7,O6699=TH!$X$7),"x","")</f>
        <v/>
      </c>
      <c r="Y6699" s="79" t="str">
        <f>IF(AND(OR(N6699="131",O6699="131"),H6699='131-CT'!$H$9),"x","")</f>
        <v/>
      </c>
      <c r="Z6699" s="79"/>
      <c r="AA6699" s="79" t="str">
        <f>IF(AND(MONTH(E6699)='IN-NX'!$J$5,'IN-NX'!$D$7=D6699),"x","")</f>
        <v/>
      </c>
      <c r="AB6699" s="79" t="str">
        <f>IF(AND(OR(LEFT(TH!N6699,2)="15",LEFT(TH!O6699,2)="15"),LEFT(TH!O6699,3)&lt;&gt;"111",'152-CT'!$J$8=TH!F6699),"x","")</f>
        <v/>
      </c>
      <c r="AC6699" s="79" t="str">
        <f>IF(AND(OR(LEFT(TH!N6699,2)="15",LEFT(TH!O6699,2)="15"),TK!$E$7=TH!F6699),"x","")</f>
        <v/>
      </c>
      <c r="AD6699" s="79" t="str">
        <f>IF(AND(N6699="1521",MONTH(C6699)='BK-NL'!$M$11),"x","")</f>
        <v/>
      </c>
    </row>
    <row r="6700" spans="1:30" ht="16.5" customHeight="1">
      <c r="A6700" s="318" t="str">
        <f>IF(B6700&lt;&gt;"",IF(AND(B6700='IN-TC'!$S$4,OR(TH!N6700="1111",TH!O6700="1111")),TH!D6700,""),"")</f>
        <v/>
      </c>
      <c r="B6700" s="1163" t="str">
        <f t="shared" si="525"/>
        <v/>
      </c>
      <c r="C6700" s="61"/>
      <c r="D6700" s="61"/>
      <c r="E6700" s="61"/>
      <c r="F6700" s="69"/>
      <c r="G6700" s="64"/>
      <c r="H6700" s="69"/>
      <c r="I6700" s="385"/>
      <c r="J6700" s="392"/>
      <c r="K6700" s="385"/>
      <c r="L6700" s="392"/>
      <c r="M6700" s="62"/>
      <c r="N6700" s="63"/>
      <c r="O6700" s="63"/>
      <c r="P6700" s="79" t="str">
        <f>IF(AND('331-CT'!$E$7=TH!H6700,OR(N6700="331",O6700="331")),"x","")</f>
        <v/>
      </c>
      <c r="Q6700" s="79" t="str">
        <f>IF(AND(B6700='111'!$L$11,OR($N6700=$Q$7,$O6700=$Q$7)),"x","")</f>
        <v/>
      </c>
      <c r="R6700" s="79" t="str">
        <f>IF(AND($N6700=$Q$7,$B6700&lt;'111'!$L$11),"x","")</f>
        <v/>
      </c>
      <c r="S6700" s="79" t="str">
        <f>IF(AND($O6700=$Q$7,$B6700&lt;'111'!$L$11),"x","")</f>
        <v/>
      </c>
      <c r="T6700" s="79" t="str">
        <f>IF(ISERROR(FIND('112'!$M$9,G6700,1)),"",IF((AND(FIND('112'!$M$9,G6700,1)&gt;=1,B6700='112'!$K$9,OR($N6700='112'!$I$6,$O6700='112'!$I$6))),"x",""))</f>
        <v/>
      </c>
      <c r="U6700" s="79" t="str">
        <f>IF(ISERROR(FIND('112'!$M$9,G6700,1)),"",IF((AND(LEFT(G6700,2)=LEFT('112'!$M$9,2),B6700&lt;'112'!$K$9,$N6700='112'!$I$6)),"x",""))</f>
        <v/>
      </c>
      <c r="V6700" s="79" t="str">
        <f>IF(ISERROR(FIND('112'!$M$9,G6700,1)),"",IF((AND(RIGHT(G6700,2)=RIGHT('112'!$M$9,2),B6700&lt;'112'!$K$9,$O6700='112'!$I$6)),"x",""))</f>
        <v/>
      </c>
      <c r="W6700" s="79" t="str">
        <f>IF(AND('341-CT'!$H$9=H6700,OR(LEFT(N6700,3)=$W$7,LEFT(O6700,3)=$W$7)),"x","")</f>
        <v/>
      </c>
      <c r="X6700" s="79" t="str">
        <f>IF(OR(TH!N6700=TH!$X$7,O6700=TH!$X$7),"x","")</f>
        <v/>
      </c>
      <c r="Y6700" s="79" t="str">
        <f>IF(AND(OR(N6700="131",O6700="131"),H6700='131-CT'!$H$9),"x","")</f>
        <v/>
      </c>
      <c r="Z6700" s="79"/>
      <c r="AA6700" s="79" t="str">
        <f>IF(AND(MONTH(E6700)='IN-NX'!$J$5,'IN-NX'!$D$7=D6700),"x","")</f>
        <v/>
      </c>
      <c r="AB6700" s="79" t="str">
        <f>IF(AND(OR(LEFT(TH!N6700,2)="15",LEFT(TH!O6700,2)="15"),LEFT(TH!O6700,3)&lt;&gt;"111",'152-CT'!$J$8=TH!F6700),"x","")</f>
        <v/>
      </c>
      <c r="AC6700" s="79" t="str">
        <f>IF(AND(OR(LEFT(TH!N6700,2)="15",LEFT(TH!O6700,2)="15"),TK!$E$7=TH!F6700),"x","")</f>
        <v/>
      </c>
      <c r="AD6700" s="79" t="str">
        <f>IF(AND(N6700="1521",MONTH(C6700)='BK-NL'!$M$11),"x","")</f>
        <v/>
      </c>
    </row>
    <row r="6701" spans="1:30" ht="16.5" customHeight="1">
      <c r="A6701" s="318" t="str">
        <f>IF(B6701&lt;&gt;"",IF(AND(B6701='IN-TC'!$S$4,OR(TH!N6701="1111",TH!O6701="1111")),TH!D6701,""),"")</f>
        <v/>
      </c>
      <c r="B6701" s="1163" t="str">
        <f t="shared" si="525"/>
        <v/>
      </c>
      <c r="C6701" s="61"/>
      <c r="D6701" s="61"/>
      <c r="E6701" s="61"/>
      <c r="F6701" s="69"/>
      <c r="G6701" s="64"/>
      <c r="H6701" s="69"/>
      <c r="I6701" s="385"/>
      <c r="J6701" s="392"/>
      <c r="K6701" s="385"/>
      <c r="L6701" s="392"/>
      <c r="M6701" s="62"/>
      <c r="N6701" s="63"/>
      <c r="O6701" s="63"/>
      <c r="P6701" s="79" t="str">
        <f>IF(AND('331-CT'!$E$7=TH!H6701,OR(N6701="331",O6701="331")),"x","")</f>
        <v/>
      </c>
      <c r="Q6701" s="79" t="str">
        <f>IF(AND(B6701='111'!$L$11,OR($N6701=$Q$7,$O6701=$Q$7)),"x","")</f>
        <v/>
      </c>
      <c r="R6701" s="79" t="str">
        <f>IF(AND($N6701=$Q$7,$B6701&lt;'111'!$L$11),"x","")</f>
        <v/>
      </c>
      <c r="S6701" s="79" t="str">
        <f>IF(AND($O6701=$Q$7,$B6701&lt;'111'!$L$11),"x","")</f>
        <v/>
      </c>
      <c r="T6701" s="79" t="str">
        <f>IF(ISERROR(FIND('112'!$M$9,G6701,1)),"",IF((AND(FIND('112'!$M$9,G6701,1)&gt;=1,B6701='112'!$K$9,OR($N6701='112'!$I$6,$O6701='112'!$I$6))),"x",""))</f>
        <v/>
      </c>
      <c r="U6701" s="79" t="str">
        <f>IF(ISERROR(FIND('112'!$M$9,G6701,1)),"",IF((AND(LEFT(G6701,2)=LEFT('112'!$M$9,2),B6701&lt;'112'!$K$9,$N6701='112'!$I$6)),"x",""))</f>
        <v/>
      </c>
      <c r="V6701" s="79" t="str">
        <f>IF(ISERROR(FIND('112'!$M$9,G6701,1)),"",IF((AND(RIGHT(G6701,2)=RIGHT('112'!$M$9,2),B6701&lt;'112'!$K$9,$O6701='112'!$I$6)),"x",""))</f>
        <v/>
      </c>
      <c r="W6701" s="79" t="str">
        <f>IF(AND('341-CT'!$H$9=H6701,OR(LEFT(N6701,3)=$W$7,LEFT(O6701,3)=$W$7)),"x","")</f>
        <v/>
      </c>
      <c r="X6701" s="79" t="str">
        <f>IF(OR(TH!N6701=TH!$X$7,O6701=TH!$X$7),"x","")</f>
        <v/>
      </c>
      <c r="Y6701" s="79" t="str">
        <f>IF(AND(OR(N6701="131",O6701="131"),H6701='131-CT'!$H$9),"x","")</f>
        <v/>
      </c>
      <c r="Z6701" s="79"/>
      <c r="AA6701" s="79" t="str">
        <f>IF(AND(MONTH(E6701)='IN-NX'!$J$5,'IN-NX'!$D$7=D6701),"x","")</f>
        <v/>
      </c>
      <c r="AB6701" s="79" t="str">
        <f>IF(AND(OR(LEFT(TH!N6701,2)="15",LEFT(TH!O6701,2)="15"),LEFT(TH!O6701,3)&lt;&gt;"111",'152-CT'!$J$8=TH!F6701),"x","")</f>
        <v/>
      </c>
      <c r="AC6701" s="79" t="str">
        <f>IF(AND(OR(LEFT(TH!N6701,2)="15",LEFT(TH!O6701,2)="15"),TK!$E$7=TH!F6701),"x","")</f>
        <v/>
      </c>
      <c r="AD6701" s="79" t="str">
        <f>IF(AND(N6701="1521",MONTH(C6701)='BK-NL'!$M$11),"x","")</f>
        <v/>
      </c>
    </row>
    <row r="6702" spans="1:30" ht="16.5" customHeight="1">
      <c r="A6702" s="318" t="str">
        <f>IF(B6702&lt;&gt;"",IF(AND(B6702='IN-TC'!$S$4,OR(TH!N6702="1111",TH!O6702="1111")),TH!D6702,""),"")</f>
        <v/>
      </c>
      <c r="B6702" s="1163" t="str">
        <f t="shared" si="525"/>
        <v/>
      </c>
      <c r="C6702" s="61"/>
      <c r="D6702" s="61"/>
      <c r="E6702" s="61"/>
      <c r="F6702" s="69"/>
      <c r="G6702" s="64"/>
      <c r="H6702" s="69"/>
      <c r="I6702" s="385"/>
      <c r="J6702" s="392"/>
      <c r="K6702" s="385"/>
      <c r="L6702" s="392"/>
      <c r="M6702" s="62"/>
      <c r="N6702" s="63"/>
      <c r="O6702" s="63"/>
      <c r="P6702" s="79" t="str">
        <f>IF(AND('331-CT'!$E$7=TH!H6702,OR(N6702="331",O6702="331")),"x","")</f>
        <v/>
      </c>
      <c r="Q6702" s="79" t="str">
        <f>IF(AND(B6702='111'!$L$11,OR($N6702=$Q$7,$O6702=$Q$7)),"x","")</f>
        <v/>
      </c>
      <c r="R6702" s="79" t="str">
        <f>IF(AND($N6702=$Q$7,$B6702&lt;'111'!$L$11),"x","")</f>
        <v/>
      </c>
      <c r="S6702" s="79" t="str">
        <f>IF(AND($O6702=$Q$7,$B6702&lt;'111'!$L$11),"x","")</f>
        <v/>
      </c>
      <c r="T6702" s="79" t="str">
        <f>IF(ISERROR(FIND('112'!$M$9,G6702,1)),"",IF((AND(FIND('112'!$M$9,G6702,1)&gt;=1,B6702='112'!$K$9,OR($N6702='112'!$I$6,$O6702='112'!$I$6))),"x",""))</f>
        <v/>
      </c>
      <c r="U6702" s="79" t="str">
        <f>IF(ISERROR(FIND('112'!$M$9,G6702,1)),"",IF((AND(LEFT(G6702,2)=LEFT('112'!$M$9,2),B6702&lt;'112'!$K$9,$N6702='112'!$I$6)),"x",""))</f>
        <v/>
      </c>
      <c r="V6702" s="79" t="str">
        <f>IF(ISERROR(FIND('112'!$M$9,G6702,1)),"",IF((AND(RIGHT(G6702,2)=RIGHT('112'!$M$9,2),B6702&lt;'112'!$K$9,$O6702='112'!$I$6)),"x",""))</f>
        <v/>
      </c>
      <c r="W6702" s="79" t="str">
        <f>IF(AND('341-CT'!$H$9=H6702,OR(LEFT(N6702,3)=$W$7,LEFT(O6702,3)=$W$7)),"x","")</f>
        <v/>
      </c>
      <c r="X6702" s="79" t="str">
        <f>IF(OR(TH!N6702=TH!$X$7,O6702=TH!$X$7),"x","")</f>
        <v/>
      </c>
      <c r="Y6702" s="79" t="str">
        <f>IF(AND(OR(N6702="131",O6702="131"),H6702='131-CT'!$H$9),"x","")</f>
        <v/>
      </c>
      <c r="Z6702" s="79"/>
      <c r="AA6702" s="79" t="str">
        <f>IF(AND(MONTH(E6702)='IN-NX'!$J$5,'IN-NX'!$D$7=D6702),"x","")</f>
        <v/>
      </c>
      <c r="AB6702" s="79" t="str">
        <f>IF(AND(OR(LEFT(TH!N6702,2)="15",LEFT(TH!O6702,2)="15"),LEFT(TH!O6702,3)&lt;&gt;"111",'152-CT'!$J$8=TH!F6702),"x","")</f>
        <v/>
      </c>
      <c r="AC6702" s="79" t="str">
        <f>IF(AND(OR(LEFT(TH!N6702,2)="15",LEFT(TH!O6702,2)="15"),TK!$E$7=TH!F6702),"x","")</f>
        <v/>
      </c>
      <c r="AD6702" s="79" t="str">
        <f>IF(AND(N6702="1521",MONTH(C6702)='BK-NL'!$M$11),"x","")</f>
        <v/>
      </c>
    </row>
    <row r="6703" spans="1:30" ht="16.5" customHeight="1">
      <c r="A6703" s="318" t="str">
        <f>IF(B6703&lt;&gt;"",IF(AND(B6703='IN-TC'!$S$4,OR(TH!N6703="1111",TH!O6703="1111")),TH!D6703,""),"")</f>
        <v/>
      </c>
      <c r="B6703" s="1163" t="str">
        <f t="shared" si="525"/>
        <v/>
      </c>
      <c r="C6703" s="61"/>
      <c r="D6703" s="61"/>
      <c r="E6703" s="61"/>
      <c r="F6703" s="69"/>
      <c r="G6703" s="64"/>
      <c r="H6703" s="69"/>
      <c r="I6703" s="385"/>
      <c r="J6703" s="392"/>
      <c r="K6703" s="385"/>
      <c r="L6703" s="392"/>
      <c r="M6703" s="62"/>
      <c r="N6703" s="63"/>
      <c r="O6703" s="63"/>
      <c r="P6703" s="79" t="str">
        <f>IF(AND('331-CT'!$E$7=TH!H6703,OR(N6703="331",O6703="331")),"x","")</f>
        <v/>
      </c>
      <c r="Q6703" s="79" t="str">
        <f>IF(AND(B6703='111'!$L$11,OR($N6703=$Q$7,$O6703=$Q$7)),"x","")</f>
        <v/>
      </c>
      <c r="R6703" s="79" t="str">
        <f>IF(AND($N6703=$Q$7,$B6703&lt;'111'!$L$11),"x","")</f>
        <v/>
      </c>
      <c r="S6703" s="79" t="str">
        <f>IF(AND($O6703=$Q$7,$B6703&lt;'111'!$L$11),"x","")</f>
        <v/>
      </c>
      <c r="T6703" s="79" t="str">
        <f>IF(ISERROR(FIND('112'!$M$9,G6703,1)),"",IF((AND(FIND('112'!$M$9,G6703,1)&gt;=1,B6703='112'!$K$9,OR($N6703='112'!$I$6,$O6703='112'!$I$6))),"x",""))</f>
        <v/>
      </c>
      <c r="U6703" s="79" t="str">
        <f>IF(ISERROR(FIND('112'!$M$9,G6703,1)),"",IF((AND(LEFT(G6703,2)=LEFT('112'!$M$9,2),B6703&lt;'112'!$K$9,$N6703='112'!$I$6)),"x",""))</f>
        <v/>
      </c>
      <c r="V6703" s="79" t="str">
        <f>IF(ISERROR(FIND('112'!$M$9,G6703,1)),"",IF((AND(RIGHT(G6703,2)=RIGHT('112'!$M$9,2),B6703&lt;'112'!$K$9,$O6703='112'!$I$6)),"x",""))</f>
        <v/>
      </c>
      <c r="W6703" s="79" t="str">
        <f>IF(AND('341-CT'!$H$9=H6703,OR(LEFT(N6703,3)=$W$7,LEFT(O6703,3)=$W$7)),"x","")</f>
        <v/>
      </c>
      <c r="X6703" s="79" t="str">
        <f>IF(OR(TH!N6703=TH!$X$7,O6703=TH!$X$7),"x","")</f>
        <v/>
      </c>
      <c r="Y6703" s="79" t="str">
        <f>IF(AND(OR(N6703="131",O6703="131"),H6703='131-CT'!$H$9),"x","")</f>
        <v/>
      </c>
      <c r="Z6703" s="79"/>
      <c r="AA6703" s="79" t="str">
        <f>IF(AND(MONTH(E6703)='IN-NX'!$J$5,'IN-NX'!$D$7=D6703),"x","")</f>
        <v/>
      </c>
      <c r="AB6703" s="79" t="str">
        <f>IF(AND(OR(LEFT(TH!N6703,2)="15",LEFT(TH!O6703,2)="15"),LEFT(TH!O6703,3)&lt;&gt;"111",'152-CT'!$J$8=TH!F6703),"x","")</f>
        <v/>
      </c>
      <c r="AC6703" s="79" t="str">
        <f>IF(AND(OR(LEFT(TH!N6703,2)="15",LEFT(TH!O6703,2)="15"),TK!$E$7=TH!F6703),"x","")</f>
        <v/>
      </c>
      <c r="AD6703" s="79" t="str">
        <f>IF(AND(N6703="1521",MONTH(C6703)='BK-NL'!$M$11),"x","")</f>
        <v/>
      </c>
    </row>
    <row r="6704" spans="1:30" ht="16.5" customHeight="1">
      <c r="A6704" s="318" t="str">
        <f>IF(B6704&lt;&gt;"",IF(AND(B6704='IN-TC'!$S$4,OR(TH!N6704="1111",TH!O6704="1111")),TH!D6704,""),"")</f>
        <v/>
      </c>
      <c r="B6704" s="1163" t="str">
        <f t="shared" si="525"/>
        <v/>
      </c>
      <c r="C6704" s="61"/>
      <c r="D6704" s="61"/>
      <c r="E6704" s="61"/>
      <c r="F6704" s="69"/>
      <c r="G6704" s="64"/>
      <c r="H6704" s="69"/>
      <c r="I6704" s="385"/>
      <c r="J6704" s="392"/>
      <c r="K6704" s="385"/>
      <c r="L6704" s="392"/>
      <c r="M6704" s="62"/>
      <c r="N6704" s="63"/>
      <c r="O6704" s="63"/>
      <c r="P6704" s="79" t="str">
        <f>IF(AND('331-CT'!$E$7=TH!H6704,OR(N6704="331",O6704="331")),"x","")</f>
        <v/>
      </c>
      <c r="Q6704" s="79" t="str">
        <f>IF(AND(B6704='111'!$L$11,OR($N6704=$Q$7,$O6704=$Q$7)),"x","")</f>
        <v/>
      </c>
      <c r="R6704" s="79" t="str">
        <f>IF(AND($N6704=$Q$7,$B6704&lt;'111'!$L$11),"x","")</f>
        <v/>
      </c>
      <c r="S6704" s="79" t="str">
        <f>IF(AND($O6704=$Q$7,$B6704&lt;'111'!$L$11),"x","")</f>
        <v/>
      </c>
      <c r="T6704" s="79" t="str">
        <f>IF(ISERROR(FIND('112'!$M$9,G6704,1)),"",IF((AND(FIND('112'!$M$9,G6704,1)&gt;=1,B6704='112'!$K$9,OR($N6704='112'!$I$6,$O6704='112'!$I$6))),"x",""))</f>
        <v/>
      </c>
      <c r="U6704" s="79" t="str">
        <f>IF(ISERROR(FIND('112'!$M$9,G6704,1)),"",IF((AND(LEFT(G6704,2)=LEFT('112'!$M$9,2),B6704&lt;'112'!$K$9,$N6704='112'!$I$6)),"x",""))</f>
        <v/>
      </c>
      <c r="V6704" s="79" t="str">
        <f>IF(ISERROR(FIND('112'!$M$9,G6704,1)),"",IF((AND(RIGHT(G6704,2)=RIGHT('112'!$M$9,2),B6704&lt;'112'!$K$9,$O6704='112'!$I$6)),"x",""))</f>
        <v/>
      </c>
      <c r="W6704" s="79" t="str">
        <f>IF(AND('341-CT'!$H$9=H6704,OR(LEFT(N6704,3)=$W$7,LEFT(O6704,3)=$W$7)),"x","")</f>
        <v/>
      </c>
      <c r="X6704" s="79" t="str">
        <f>IF(OR(TH!N6704=TH!$X$7,O6704=TH!$X$7),"x","")</f>
        <v/>
      </c>
      <c r="Y6704" s="79" t="str">
        <f>IF(AND(OR(N6704="131",O6704="131"),H6704='131-CT'!$H$9),"x","")</f>
        <v/>
      </c>
      <c r="Z6704" s="79"/>
      <c r="AA6704" s="79" t="str">
        <f>IF(AND(MONTH(E6704)='IN-NX'!$J$5,'IN-NX'!$D$7=D6704),"x","")</f>
        <v/>
      </c>
      <c r="AB6704" s="79" t="str">
        <f>IF(AND(OR(LEFT(TH!N6704,2)="15",LEFT(TH!O6704,2)="15"),LEFT(TH!O6704,3)&lt;&gt;"111",'152-CT'!$J$8=TH!F6704),"x","")</f>
        <v/>
      </c>
      <c r="AC6704" s="79" t="str">
        <f>IF(AND(OR(LEFT(TH!N6704,2)="15",LEFT(TH!O6704,2)="15"),TK!$E$7=TH!F6704),"x","")</f>
        <v/>
      </c>
      <c r="AD6704" s="79" t="str">
        <f>IF(AND(N6704="1521",MONTH(C6704)='BK-NL'!$M$11),"x","")</f>
        <v/>
      </c>
    </row>
    <row r="6705" spans="1:30" ht="16.5" customHeight="1">
      <c r="A6705" s="318" t="str">
        <f>IF(B6705&lt;&gt;"",IF(AND(B6705='IN-TC'!$S$4,OR(TH!N6705="1111",TH!O6705="1111")),TH!D6705,""),"")</f>
        <v/>
      </c>
      <c r="B6705" s="1163" t="str">
        <f t="shared" si="525"/>
        <v/>
      </c>
      <c r="C6705" s="61"/>
      <c r="D6705" s="61"/>
      <c r="E6705" s="61"/>
      <c r="F6705" s="69"/>
      <c r="G6705" s="64"/>
      <c r="H6705" s="69"/>
      <c r="I6705" s="385"/>
      <c r="J6705" s="392"/>
      <c r="K6705" s="385"/>
      <c r="L6705" s="392"/>
      <c r="M6705" s="62"/>
      <c r="N6705" s="63"/>
      <c r="O6705" s="63"/>
      <c r="P6705" s="79" t="str">
        <f>IF(AND('331-CT'!$E$7=TH!H6705,OR(N6705="331",O6705="331")),"x","")</f>
        <v/>
      </c>
      <c r="Q6705" s="79" t="str">
        <f>IF(AND(B6705='111'!$L$11,OR($N6705=$Q$7,$O6705=$Q$7)),"x","")</f>
        <v/>
      </c>
      <c r="R6705" s="79" t="str">
        <f>IF(AND($N6705=$Q$7,$B6705&lt;'111'!$L$11),"x","")</f>
        <v/>
      </c>
      <c r="S6705" s="79" t="str">
        <f>IF(AND($O6705=$Q$7,$B6705&lt;'111'!$L$11),"x","")</f>
        <v/>
      </c>
      <c r="T6705" s="79" t="str">
        <f>IF(ISERROR(FIND('112'!$M$9,G6705,1)),"",IF((AND(FIND('112'!$M$9,G6705,1)&gt;=1,B6705='112'!$K$9,OR($N6705='112'!$I$6,$O6705='112'!$I$6))),"x",""))</f>
        <v/>
      </c>
      <c r="U6705" s="79" t="str">
        <f>IF(ISERROR(FIND('112'!$M$9,G6705,1)),"",IF((AND(LEFT(G6705,2)=LEFT('112'!$M$9,2),B6705&lt;'112'!$K$9,$N6705='112'!$I$6)),"x",""))</f>
        <v/>
      </c>
      <c r="V6705" s="79" t="str">
        <f>IF(ISERROR(FIND('112'!$M$9,G6705,1)),"",IF((AND(RIGHT(G6705,2)=RIGHT('112'!$M$9,2),B6705&lt;'112'!$K$9,$O6705='112'!$I$6)),"x",""))</f>
        <v/>
      </c>
      <c r="W6705" s="79" t="str">
        <f>IF(AND('341-CT'!$H$9=H6705,OR(LEFT(N6705,3)=$W$7,LEFT(O6705,3)=$W$7)),"x","")</f>
        <v/>
      </c>
      <c r="X6705" s="79" t="str">
        <f>IF(OR(TH!N6705=TH!$X$7,O6705=TH!$X$7),"x","")</f>
        <v/>
      </c>
      <c r="Y6705" s="79" t="str">
        <f>IF(AND(OR(N6705="131",O6705="131"),H6705='131-CT'!$H$9),"x","")</f>
        <v/>
      </c>
      <c r="Z6705" s="79"/>
      <c r="AA6705" s="79" t="str">
        <f>IF(AND(MONTH(E6705)='IN-NX'!$J$5,'IN-NX'!$D$7=D6705),"x","")</f>
        <v/>
      </c>
      <c r="AB6705" s="79" t="str">
        <f>IF(AND(OR(LEFT(TH!N6705,2)="15",LEFT(TH!O6705,2)="15"),LEFT(TH!O6705,3)&lt;&gt;"111",'152-CT'!$J$8=TH!F6705),"x","")</f>
        <v/>
      </c>
      <c r="AC6705" s="79" t="str">
        <f>IF(AND(OR(LEFT(TH!N6705,2)="15",LEFT(TH!O6705,2)="15"),TK!$E$7=TH!F6705),"x","")</f>
        <v/>
      </c>
      <c r="AD6705" s="79" t="str">
        <f>IF(AND(N6705="1521",MONTH(C6705)='BK-NL'!$M$11),"x","")</f>
        <v/>
      </c>
    </row>
    <row r="6706" spans="1:30" ht="16.5" customHeight="1">
      <c r="A6706" s="318" t="str">
        <f>IF(B6706&lt;&gt;"",IF(AND(B6706='IN-TC'!$S$4,OR(TH!N6706="1111",TH!O6706="1111")),TH!D6706,""),"")</f>
        <v/>
      </c>
      <c r="B6706" s="1163" t="str">
        <f t="shared" si="525"/>
        <v/>
      </c>
      <c r="C6706" s="61"/>
      <c r="D6706" s="61"/>
      <c r="E6706" s="61"/>
      <c r="F6706" s="69"/>
      <c r="G6706" s="64"/>
      <c r="H6706" s="69"/>
      <c r="I6706" s="385"/>
      <c r="J6706" s="392"/>
      <c r="K6706" s="385"/>
      <c r="L6706" s="392"/>
      <c r="M6706" s="62"/>
      <c r="N6706" s="63"/>
      <c r="O6706" s="63"/>
      <c r="P6706" s="79" t="str">
        <f>IF(AND('331-CT'!$E$7=TH!H6706,OR(N6706="331",O6706="331")),"x","")</f>
        <v/>
      </c>
      <c r="Q6706" s="79" t="str">
        <f>IF(AND(B6706='111'!$L$11,OR($N6706=$Q$7,$O6706=$Q$7)),"x","")</f>
        <v/>
      </c>
      <c r="R6706" s="79" t="str">
        <f>IF(AND($N6706=$Q$7,$B6706&lt;'111'!$L$11),"x","")</f>
        <v/>
      </c>
      <c r="S6706" s="79" t="str">
        <f>IF(AND($O6706=$Q$7,$B6706&lt;'111'!$L$11),"x","")</f>
        <v/>
      </c>
      <c r="T6706" s="79" t="str">
        <f>IF(ISERROR(FIND('112'!$M$9,G6706,1)),"",IF((AND(FIND('112'!$M$9,G6706,1)&gt;=1,B6706='112'!$K$9,OR($N6706='112'!$I$6,$O6706='112'!$I$6))),"x",""))</f>
        <v/>
      </c>
      <c r="U6706" s="79" t="str">
        <f>IF(ISERROR(FIND('112'!$M$9,G6706,1)),"",IF((AND(LEFT(G6706,2)=LEFT('112'!$M$9,2),B6706&lt;'112'!$K$9,$N6706='112'!$I$6)),"x",""))</f>
        <v/>
      </c>
      <c r="V6706" s="79" t="str">
        <f>IF(ISERROR(FIND('112'!$M$9,G6706,1)),"",IF((AND(RIGHT(G6706,2)=RIGHT('112'!$M$9,2),B6706&lt;'112'!$K$9,$O6706='112'!$I$6)),"x",""))</f>
        <v/>
      </c>
      <c r="W6706" s="79" t="str">
        <f>IF(AND('341-CT'!$H$9=H6706,OR(LEFT(N6706,3)=$W$7,LEFT(O6706,3)=$W$7)),"x","")</f>
        <v/>
      </c>
      <c r="X6706" s="79" t="str">
        <f>IF(OR(TH!N6706=TH!$X$7,O6706=TH!$X$7),"x","")</f>
        <v/>
      </c>
      <c r="Y6706" s="79" t="str">
        <f>IF(AND(OR(N6706="131",O6706="131"),H6706='131-CT'!$H$9),"x","")</f>
        <v/>
      </c>
      <c r="Z6706" s="79"/>
      <c r="AA6706" s="79" t="str">
        <f>IF(AND(MONTH(E6706)='IN-NX'!$J$5,'IN-NX'!$D$7=D6706),"x","")</f>
        <v/>
      </c>
      <c r="AB6706" s="79" t="str">
        <f>IF(AND(OR(LEFT(TH!N6706,2)="15",LEFT(TH!O6706,2)="15"),LEFT(TH!O6706,3)&lt;&gt;"111",'152-CT'!$J$8=TH!F6706),"x","")</f>
        <v/>
      </c>
      <c r="AC6706" s="79" t="str">
        <f>IF(AND(OR(LEFT(TH!N6706,2)="15",LEFT(TH!O6706,2)="15"),TK!$E$7=TH!F6706),"x","")</f>
        <v/>
      </c>
      <c r="AD6706" s="79" t="str">
        <f>IF(AND(N6706="1521",MONTH(C6706)='BK-NL'!$M$11),"x","")</f>
        <v/>
      </c>
    </row>
    <row r="6707" spans="1:30" ht="16.5" customHeight="1">
      <c r="A6707" s="318" t="str">
        <f>IF(B6707&lt;&gt;"",IF(AND(B6707='IN-TC'!$S$4,OR(TH!N6707="1111",TH!O6707="1111")),TH!D6707,""),"")</f>
        <v/>
      </c>
      <c r="B6707" s="1163" t="str">
        <f t="shared" si="525"/>
        <v/>
      </c>
      <c r="C6707" s="61"/>
      <c r="D6707" s="61"/>
      <c r="E6707" s="61"/>
      <c r="F6707" s="69"/>
      <c r="G6707" s="64"/>
      <c r="H6707" s="69"/>
      <c r="I6707" s="385"/>
      <c r="J6707" s="392"/>
      <c r="K6707" s="385"/>
      <c r="L6707" s="392"/>
      <c r="M6707" s="62"/>
      <c r="N6707" s="63"/>
      <c r="O6707" s="63"/>
      <c r="P6707" s="79" t="str">
        <f>IF(AND('331-CT'!$E$7=TH!H6707,OR(N6707="331",O6707="331")),"x","")</f>
        <v/>
      </c>
      <c r="Q6707" s="79" t="str">
        <f>IF(AND(B6707='111'!$L$11,OR($N6707=$Q$7,$O6707=$Q$7)),"x","")</f>
        <v/>
      </c>
      <c r="R6707" s="79" t="str">
        <f>IF(AND($N6707=$Q$7,$B6707&lt;'111'!$L$11),"x","")</f>
        <v/>
      </c>
      <c r="S6707" s="79" t="str">
        <f>IF(AND($O6707=$Q$7,$B6707&lt;'111'!$L$11),"x","")</f>
        <v/>
      </c>
      <c r="T6707" s="79" t="str">
        <f>IF(ISERROR(FIND('112'!$M$9,G6707,1)),"",IF((AND(FIND('112'!$M$9,G6707,1)&gt;=1,B6707='112'!$K$9,OR($N6707='112'!$I$6,$O6707='112'!$I$6))),"x",""))</f>
        <v/>
      </c>
      <c r="U6707" s="79" t="str">
        <f>IF(ISERROR(FIND('112'!$M$9,G6707,1)),"",IF((AND(LEFT(G6707,2)=LEFT('112'!$M$9,2),B6707&lt;'112'!$K$9,$N6707='112'!$I$6)),"x",""))</f>
        <v/>
      </c>
      <c r="V6707" s="79" t="str">
        <f>IF(ISERROR(FIND('112'!$M$9,G6707,1)),"",IF((AND(RIGHT(G6707,2)=RIGHT('112'!$M$9,2),B6707&lt;'112'!$K$9,$O6707='112'!$I$6)),"x",""))</f>
        <v/>
      </c>
      <c r="W6707" s="79" t="str">
        <f>IF(AND('341-CT'!$H$9=H6707,OR(LEFT(N6707,3)=$W$7,LEFT(O6707,3)=$W$7)),"x","")</f>
        <v/>
      </c>
      <c r="X6707" s="79" t="str">
        <f>IF(OR(TH!N6707=TH!$X$7,O6707=TH!$X$7),"x","")</f>
        <v/>
      </c>
      <c r="Y6707" s="79" t="str">
        <f>IF(AND(OR(N6707="131",O6707="131"),H6707='131-CT'!$H$9),"x","")</f>
        <v/>
      </c>
      <c r="Z6707" s="79"/>
      <c r="AA6707" s="79" t="str">
        <f>IF(AND(MONTH(E6707)='IN-NX'!$J$5,'IN-NX'!$D$7=D6707),"x","")</f>
        <v/>
      </c>
      <c r="AB6707" s="79" t="str">
        <f>IF(AND(OR(LEFT(TH!N6707,2)="15",LEFT(TH!O6707,2)="15"),LEFT(TH!O6707,3)&lt;&gt;"111",'152-CT'!$J$8=TH!F6707),"x","")</f>
        <v/>
      </c>
      <c r="AC6707" s="79" t="str">
        <f>IF(AND(OR(LEFT(TH!N6707,2)="15",LEFT(TH!O6707,2)="15"),TK!$E$7=TH!F6707),"x","")</f>
        <v/>
      </c>
      <c r="AD6707" s="79" t="str">
        <f>IF(AND(N6707="1521",MONTH(C6707)='BK-NL'!$M$11),"x","")</f>
        <v/>
      </c>
    </row>
    <row r="6708" spans="1:30" ht="16.5" customHeight="1">
      <c r="A6708" s="318" t="str">
        <f>IF(B6708&lt;&gt;"",IF(AND(B6708='IN-TC'!$S$4,OR(TH!N6708="1111",TH!O6708="1111")),TH!D6708,""),"")</f>
        <v/>
      </c>
      <c r="B6708" s="1163" t="str">
        <f t="shared" si="525"/>
        <v/>
      </c>
      <c r="C6708" s="61"/>
      <c r="D6708" s="61"/>
      <c r="E6708" s="61"/>
      <c r="F6708" s="69"/>
      <c r="G6708" s="64"/>
      <c r="H6708" s="69"/>
      <c r="I6708" s="385"/>
      <c r="J6708" s="392"/>
      <c r="K6708" s="385"/>
      <c r="L6708" s="392"/>
      <c r="M6708" s="62"/>
      <c r="N6708" s="63"/>
      <c r="O6708" s="63"/>
      <c r="P6708" s="79" t="str">
        <f>IF(AND('331-CT'!$E$7=TH!H6708,OR(N6708="331",O6708="331")),"x","")</f>
        <v/>
      </c>
      <c r="Q6708" s="79" t="str">
        <f>IF(AND(B6708='111'!$L$11,OR($N6708=$Q$7,$O6708=$Q$7)),"x","")</f>
        <v/>
      </c>
      <c r="R6708" s="79" t="str">
        <f>IF(AND($N6708=$Q$7,$B6708&lt;'111'!$L$11),"x","")</f>
        <v/>
      </c>
      <c r="S6708" s="79" t="str">
        <f>IF(AND($O6708=$Q$7,$B6708&lt;'111'!$L$11),"x","")</f>
        <v/>
      </c>
      <c r="T6708" s="79" t="str">
        <f>IF(ISERROR(FIND('112'!$M$9,G6708,1)),"",IF((AND(FIND('112'!$M$9,G6708,1)&gt;=1,B6708='112'!$K$9,OR($N6708='112'!$I$6,$O6708='112'!$I$6))),"x",""))</f>
        <v/>
      </c>
      <c r="U6708" s="79" t="str">
        <f>IF(ISERROR(FIND('112'!$M$9,G6708,1)),"",IF((AND(LEFT(G6708,2)=LEFT('112'!$M$9,2),B6708&lt;'112'!$K$9,$N6708='112'!$I$6)),"x",""))</f>
        <v/>
      </c>
      <c r="V6708" s="79" t="str">
        <f>IF(ISERROR(FIND('112'!$M$9,G6708,1)),"",IF((AND(RIGHT(G6708,2)=RIGHT('112'!$M$9,2),B6708&lt;'112'!$K$9,$O6708='112'!$I$6)),"x",""))</f>
        <v/>
      </c>
      <c r="W6708" s="79" t="str">
        <f>IF(AND('341-CT'!$H$9=H6708,OR(LEFT(N6708,3)=$W$7,LEFT(O6708,3)=$W$7)),"x","")</f>
        <v/>
      </c>
      <c r="X6708" s="79" t="str">
        <f>IF(OR(TH!N6708=TH!$X$7,O6708=TH!$X$7),"x","")</f>
        <v/>
      </c>
      <c r="Y6708" s="79" t="str">
        <f>IF(AND(OR(N6708="131",O6708="131"),H6708='131-CT'!$H$9),"x","")</f>
        <v/>
      </c>
      <c r="Z6708" s="79"/>
      <c r="AA6708" s="79" t="str">
        <f>IF(AND(MONTH(E6708)='IN-NX'!$J$5,'IN-NX'!$D$7=D6708),"x","")</f>
        <v/>
      </c>
      <c r="AB6708" s="79" t="str">
        <f>IF(AND(OR(LEFT(TH!N6708,2)="15",LEFT(TH!O6708,2)="15"),LEFT(TH!O6708,3)&lt;&gt;"111",'152-CT'!$J$8=TH!F6708),"x","")</f>
        <v/>
      </c>
      <c r="AC6708" s="79" t="str">
        <f>IF(AND(OR(LEFT(TH!N6708,2)="15",LEFT(TH!O6708,2)="15"),TK!$E$7=TH!F6708),"x","")</f>
        <v/>
      </c>
      <c r="AD6708" s="79" t="str">
        <f>IF(AND(N6708="1521",MONTH(C6708)='BK-NL'!$M$11),"x","")</f>
        <v/>
      </c>
    </row>
    <row r="6709" spans="1:30" ht="16.5" customHeight="1">
      <c r="A6709" s="318" t="str">
        <f>IF(B6709&lt;&gt;"",IF(AND(B6709='IN-TC'!$S$4,OR(TH!N6709="1111",TH!O6709="1111")),TH!D6709,""),"")</f>
        <v/>
      </c>
      <c r="B6709" s="1163" t="str">
        <f t="shared" si="525"/>
        <v/>
      </c>
      <c r="C6709" s="61"/>
      <c r="D6709" s="61"/>
      <c r="E6709" s="61"/>
      <c r="F6709" s="69"/>
      <c r="G6709" s="64"/>
      <c r="H6709" s="69"/>
      <c r="I6709" s="385"/>
      <c r="J6709" s="392"/>
      <c r="K6709" s="385"/>
      <c r="L6709" s="392"/>
      <c r="M6709" s="62"/>
      <c r="N6709" s="63"/>
      <c r="O6709" s="63"/>
      <c r="P6709" s="79" t="str">
        <f>IF(AND('331-CT'!$E$7=TH!H6709,OR(N6709="331",O6709="331")),"x","")</f>
        <v/>
      </c>
      <c r="Q6709" s="79" t="str">
        <f>IF(AND(B6709='111'!$L$11,OR($N6709=$Q$7,$O6709=$Q$7)),"x","")</f>
        <v/>
      </c>
      <c r="R6709" s="79" t="str">
        <f>IF(AND($N6709=$Q$7,$B6709&lt;'111'!$L$11),"x","")</f>
        <v/>
      </c>
      <c r="S6709" s="79" t="str">
        <f>IF(AND($O6709=$Q$7,$B6709&lt;'111'!$L$11),"x","")</f>
        <v/>
      </c>
      <c r="T6709" s="79" t="str">
        <f>IF(ISERROR(FIND('112'!$M$9,G6709,1)),"",IF((AND(FIND('112'!$M$9,G6709,1)&gt;=1,B6709='112'!$K$9,OR($N6709='112'!$I$6,$O6709='112'!$I$6))),"x",""))</f>
        <v/>
      </c>
      <c r="U6709" s="79" t="str">
        <f>IF(ISERROR(FIND('112'!$M$9,G6709,1)),"",IF((AND(LEFT(G6709,2)=LEFT('112'!$M$9,2),B6709&lt;'112'!$K$9,$N6709='112'!$I$6)),"x",""))</f>
        <v/>
      </c>
      <c r="V6709" s="79" t="str">
        <f>IF(ISERROR(FIND('112'!$M$9,G6709,1)),"",IF((AND(RIGHT(G6709,2)=RIGHT('112'!$M$9,2),B6709&lt;'112'!$K$9,$O6709='112'!$I$6)),"x",""))</f>
        <v/>
      </c>
      <c r="W6709" s="79" t="str">
        <f>IF(AND('341-CT'!$H$9=H6709,OR(LEFT(N6709,3)=$W$7,LEFT(O6709,3)=$W$7)),"x","")</f>
        <v/>
      </c>
      <c r="X6709" s="79" t="str">
        <f>IF(OR(TH!N6709=TH!$X$7,O6709=TH!$X$7),"x","")</f>
        <v/>
      </c>
      <c r="Y6709" s="79" t="str">
        <f>IF(AND(OR(N6709="131",O6709="131"),H6709='131-CT'!$H$9),"x","")</f>
        <v/>
      </c>
      <c r="Z6709" s="79"/>
      <c r="AA6709" s="79" t="str">
        <f>IF(AND(MONTH(E6709)='IN-NX'!$J$5,'IN-NX'!$D$7=D6709),"x","")</f>
        <v/>
      </c>
      <c r="AB6709" s="79" t="str">
        <f>IF(AND(OR(LEFT(TH!N6709,2)="15",LEFT(TH!O6709,2)="15"),LEFT(TH!O6709,3)&lt;&gt;"111",'152-CT'!$J$8=TH!F6709),"x","")</f>
        <v/>
      </c>
      <c r="AC6709" s="79" t="str">
        <f>IF(AND(OR(LEFT(TH!N6709,2)="15",LEFT(TH!O6709,2)="15"),TK!$E$7=TH!F6709),"x","")</f>
        <v/>
      </c>
      <c r="AD6709" s="79" t="str">
        <f>IF(AND(N6709="1521",MONTH(C6709)='BK-NL'!$M$11),"x","")</f>
        <v/>
      </c>
    </row>
    <row r="6710" spans="1:30" ht="16.5" customHeight="1">
      <c r="A6710" s="318" t="str">
        <f>IF(B6710&lt;&gt;"",IF(AND(B6710='IN-TC'!$S$4,OR(TH!N6710="1111",TH!O6710="1111")),TH!D6710,""),"")</f>
        <v/>
      </c>
      <c r="B6710" s="1163" t="str">
        <f t="shared" si="525"/>
        <v/>
      </c>
      <c r="C6710" s="61"/>
      <c r="D6710" s="61"/>
      <c r="E6710" s="61"/>
      <c r="F6710" s="69"/>
      <c r="G6710" s="64"/>
      <c r="H6710" s="69"/>
      <c r="I6710" s="385"/>
      <c r="J6710" s="392"/>
      <c r="K6710" s="385"/>
      <c r="L6710" s="392"/>
      <c r="M6710" s="62"/>
      <c r="N6710" s="63"/>
      <c r="O6710" s="63"/>
      <c r="P6710" s="79" t="str">
        <f>IF(AND('331-CT'!$E$7=TH!H6710,OR(N6710="331",O6710="331")),"x","")</f>
        <v/>
      </c>
      <c r="Q6710" s="79" t="str">
        <f>IF(AND(B6710='111'!$L$11,OR($N6710=$Q$7,$O6710=$Q$7)),"x","")</f>
        <v/>
      </c>
      <c r="R6710" s="79" t="str">
        <f>IF(AND($N6710=$Q$7,$B6710&lt;'111'!$L$11),"x","")</f>
        <v/>
      </c>
      <c r="S6710" s="79" t="str">
        <f>IF(AND($O6710=$Q$7,$B6710&lt;'111'!$L$11),"x","")</f>
        <v/>
      </c>
      <c r="T6710" s="79" t="str">
        <f>IF(ISERROR(FIND('112'!$M$9,G6710,1)),"",IF((AND(FIND('112'!$M$9,G6710,1)&gt;=1,B6710='112'!$K$9,OR($N6710='112'!$I$6,$O6710='112'!$I$6))),"x",""))</f>
        <v/>
      </c>
      <c r="U6710" s="79" t="str">
        <f>IF(ISERROR(FIND('112'!$M$9,G6710,1)),"",IF((AND(LEFT(G6710,2)=LEFT('112'!$M$9,2),B6710&lt;'112'!$K$9,$N6710='112'!$I$6)),"x",""))</f>
        <v/>
      </c>
      <c r="V6710" s="79" t="str">
        <f>IF(ISERROR(FIND('112'!$M$9,G6710,1)),"",IF((AND(RIGHT(G6710,2)=RIGHT('112'!$M$9,2),B6710&lt;'112'!$K$9,$O6710='112'!$I$6)),"x",""))</f>
        <v/>
      </c>
      <c r="W6710" s="79" t="str">
        <f>IF(AND('341-CT'!$H$9=H6710,OR(LEFT(N6710,3)=$W$7,LEFT(O6710,3)=$W$7)),"x","")</f>
        <v/>
      </c>
      <c r="X6710" s="79" t="str">
        <f>IF(OR(TH!N6710=TH!$X$7,O6710=TH!$X$7),"x","")</f>
        <v/>
      </c>
      <c r="Y6710" s="79" t="str">
        <f>IF(AND(OR(N6710="131",O6710="131"),H6710='131-CT'!$H$9),"x","")</f>
        <v/>
      </c>
      <c r="Z6710" s="79"/>
      <c r="AA6710" s="79" t="str">
        <f>IF(AND(MONTH(E6710)='IN-NX'!$J$5,'IN-NX'!$D$7=D6710),"x","")</f>
        <v/>
      </c>
      <c r="AB6710" s="79" t="str">
        <f>IF(AND(OR(LEFT(TH!N6710,2)="15",LEFT(TH!O6710,2)="15"),LEFT(TH!O6710,3)&lt;&gt;"111",'152-CT'!$J$8=TH!F6710),"x","")</f>
        <v/>
      </c>
      <c r="AC6710" s="79" t="str">
        <f>IF(AND(OR(LEFT(TH!N6710,2)="15",LEFT(TH!O6710,2)="15"),TK!$E$7=TH!F6710),"x","")</f>
        <v/>
      </c>
      <c r="AD6710" s="79" t="str">
        <f>IF(AND(N6710="1521",MONTH(C6710)='BK-NL'!$M$11),"x","")</f>
        <v/>
      </c>
    </row>
    <row r="6711" spans="1:30" ht="16.5" customHeight="1">
      <c r="A6711" s="318" t="str">
        <f>IF(B6711&lt;&gt;"",IF(AND(B6711='IN-TC'!$S$4,OR(TH!N6711="1111",TH!O6711="1111")),TH!D6711,""),"")</f>
        <v/>
      </c>
      <c r="B6711" s="1163" t="str">
        <f t="shared" si="525"/>
        <v/>
      </c>
      <c r="C6711" s="61"/>
      <c r="D6711" s="61"/>
      <c r="E6711" s="61"/>
      <c r="F6711" s="446"/>
      <c r="G6711" s="64"/>
      <c r="H6711" s="69"/>
      <c r="I6711" s="385"/>
      <c r="J6711" s="392"/>
      <c r="K6711" s="385"/>
      <c r="L6711" s="392"/>
      <c r="M6711" s="62"/>
      <c r="N6711" s="63"/>
      <c r="O6711" s="63"/>
      <c r="P6711" s="79" t="str">
        <f>IF(AND('331-CT'!$E$7=TH!H6711,OR(N6711="331",O6711="331")),"x","")</f>
        <v/>
      </c>
      <c r="Q6711" s="79" t="str">
        <f>IF(AND(B6711='111'!$L$11,OR($N6711=$Q$7,$O6711=$Q$7)),"x","")</f>
        <v/>
      </c>
      <c r="R6711" s="79" t="str">
        <f>IF(AND($N6711=$Q$7,$B6711&lt;'111'!$L$11),"x","")</f>
        <v/>
      </c>
      <c r="S6711" s="79" t="str">
        <f>IF(AND($O6711=$Q$7,$B6711&lt;'111'!$L$11),"x","")</f>
        <v/>
      </c>
      <c r="T6711" s="79" t="str">
        <f>IF(ISERROR(FIND('112'!$M$9,G6711,1)),"",IF((AND(FIND('112'!$M$9,G6711,1)&gt;=1,B6711='112'!$K$9,OR($N6711='112'!$I$6,$O6711='112'!$I$6))),"x",""))</f>
        <v/>
      </c>
      <c r="U6711" s="79" t="str">
        <f>IF(ISERROR(FIND('112'!$M$9,G6711,1)),"",IF((AND(LEFT(G6711,2)=LEFT('112'!$M$9,2),B6711&lt;'112'!$K$9,$N6711='112'!$I$6)),"x",""))</f>
        <v/>
      </c>
      <c r="V6711" s="79" t="str">
        <f>IF(ISERROR(FIND('112'!$M$9,G6711,1)),"",IF((AND(RIGHT(G6711,2)=RIGHT('112'!$M$9,2),B6711&lt;'112'!$K$9,$O6711='112'!$I$6)),"x",""))</f>
        <v/>
      </c>
      <c r="W6711" s="79" t="str">
        <f>IF(AND('341-CT'!$H$9=H6711,OR(LEFT(N6711,3)=$W$7,LEFT(O6711,3)=$W$7)),"x","")</f>
        <v/>
      </c>
      <c r="X6711" s="79" t="str">
        <f>IF(OR(TH!N6711=TH!$X$7,O6711=TH!$X$7),"x","")</f>
        <v/>
      </c>
      <c r="Y6711" s="79" t="str">
        <f>IF(AND(OR(N6711="131",O6711="131"),H6711='131-CT'!$H$9),"x","")</f>
        <v/>
      </c>
      <c r="Z6711" s="79"/>
      <c r="AA6711" s="79" t="str">
        <f>IF(AND(MONTH(E6711)='IN-NX'!$J$5,'IN-NX'!$D$7=D6711),"x","")</f>
        <v/>
      </c>
      <c r="AB6711" s="79" t="str">
        <f>IF(AND(OR(LEFT(TH!N6711,2)="15",LEFT(TH!O6711,2)="15"),LEFT(TH!O6711,3)&lt;&gt;"111",'152-CT'!$J$8=TH!F6711),"x","")</f>
        <v/>
      </c>
      <c r="AC6711" s="79" t="str">
        <f>IF(AND(OR(LEFT(TH!N6711,2)="15",LEFT(TH!O6711,2)="15"),TK!$E$7=TH!F6711),"x","")</f>
        <v/>
      </c>
      <c r="AD6711" s="79" t="str">
        <f>IF(AND(N6711="1521",MONTH(C6711)='BK-NL'!$M$11),"x","")</f>
        <v/>
      </c>
    </row>
    <row r="6712" spans="1:30" ht="16.5" customHeight="1">
      <c r="A6712" s="318" t="str">
        <f>IF(B6712&lt;&gt;"",IF(AND(B6712='IN-TC'!$S$4,OR(TH!N6712="1111",TH!O6712="1111")),TH!D6712,""),"")</f>
        <v/>
      </c>
      <c r="B6712" s="1163" t="str">
        <f t="shared" si="525"/>
        <v/>
      </c>
      <c r="C6712" s="61"/>
      <c r="D6712" s="61"/>
      <c r="E6712" s="61"/>
      <c r="F6712" s="69"/>
      <c r="G6712" s="766"/>
      <c r="H6712" s="69"/>
      <c r="I6712" s="385"/>
      <c r="J6712" s="392"/>
      <c r="K6712" s="385"/>
      <c r="L6712" s="392"/>
      <c r="M6712" s="62"/>
      <c r="N6712" s="63"/>
      <c r="O6712" s="63"/>
      <c r="P6712" s="79" t="str">
        <f>IF(AND('331-CT'!$E$7=TH!H6712,OR(N6712="331",O6712="331")),"x","")</f>
        <v/>
      </c>
      <c r="Q6712" s="79" t="str">
        <f>IF(AND(B6712='111'!$L$11,OR($N6712=$Q$7,$O6712=$Q$7)),"x","")</f>
        <v/>
      </c>
      <c r="R6712" s="79" t="str">
        <f>IF(AND($N6712=$Q$7,$B6712&lt;'111'!$L$11),"x","")</f>
        <v/>
      </c>
      <c r="S6712" s="79" t="str">
        <f>IF(AND($O6712=$Q$7,$B6712&lt;'111'!$L$11),"x","")</f>
        <v/>
      </c>
      <c r="T6712" s="79" t="str">
        <f>IF(ISERROR(FIND('112'!$M$9,G6712,1)),"",IF((AND(FIND('112'!$M$9,G6712,1)&gt;=1,B6712='112'!$K$9,OR($N6712='112'!$I$6,$O6712='112'!$I$6))),"x",""))</f>
        <v/>
      </c>
      <c r="U6712" s="79" t="str">
        <f>IF(ISERROR(FIND('112'!$M$9,G6712,1)),"",IF((AND(LEFT(G6712,2)=LEFT('112'!$M$9,2),B6712&lt;'112'!$K$9,$N6712='112'!$I$6)),"x",""))</f>
        <v/>
      </c>
      <c r="V6712" s="79" t="str">
        <f>IF(ISERROR(FIND('112'!$M$9,G6712,1)),"",IF((AND(RIGHT(G6712,2)=RIGHT('112'!$M$9,2),B6712&lt;'112'!$K$9,$O6712='112'!$I$6)),"x",""))</f>
        <v/>
      </c>
      <c r="W6712" s="79" t="str">
        <f>IF(AND('341-CT'!$H$9=H6712,OR(LEFT(N6712,3)=$W$7,LEFT(O6712,3)=$W$7)),"x","")</f>
        <v/>
      </c>
      <c r="X6712" s="79" t="str">
        <f>IF(OR(TH!N6712=TH!$X$7,O6712=TH!$X$7),"x","")</f>
        <v/>
      </c>
      <c r="Y6712" s="79" t="str">
        <f>IF(AND(OR(N6712="131",O6712="131"),H6712='131-CT'!$H$9),"x","")</f>
        <v/>
      </c>
      <c r="Z6712" s="79"/>
      <c r="AA6712" s="79" t="str">
        <f>IF(AND(MONTH(E6712)='IN-NX'!$J$5,'IN-NX'!$D$7=D6712),"x","")</f>
        <v/>
      </c>
      <c r="AB6712" s="79" t="str">
        <f>IF(AND(OR(LEFT(TH!N6712,2)="15",LEFT(TH!O6712,2)="15"),LEFT(TH!O6712,3)&lt;&gt;"111",'152-CT'!$J$8=TH!F6712),"x","")</f>
        <v/>
      </c>
      <c r="AC6712" s="79" t="str">
        <f>IF(AND(OR(LEFT(TH!N6712,2)="15",LEFT(TH!O6712,2)="15"),TK!$E$7=TH!F6712),"x","")</f>
        <v/>
      </c>
      <c r="AD6712" s="79" t="str">
        <f>IF(AND(N6712="1521",MONTH(C6712)='BK-NL'!$M$11),"x","")</f>
        <v/>
      </c>
    </row>
    <row r="6713" spans="1:30" ht="16.5" customHeight="1">
      <c r="A6713" s="318" t="str">
        <f>IF(B6713&lt;&gt;"",IF(AND(B6713='IN-TC'!$S$4,OR(TH!N6713="1111",TH!O6713="1111")),TH!D6713,""),"")</f>
        <v/>
      </c>
      <c r="B6713" s="1163" t="str">
        <f t="shared" si="525"/>
        <v/>
      </c>
      <c r="C6713" s="61"/>
      <c r="D6713" s="61"/>
      <c r="E6713" s="61"/>
      <c r="F6713" s="69"/>
      <c r="G6713" s="766"/>
      <c r="H6713" s="69"/>
      <c r="I6713" s="385"/>
      <c r="J6713" s="392"/>
      <c r="K6713" s="385"/>
      <c r="L6713" s="392"/>
      <c r="M6713" s="62"/>
      <c r="N6713" s="63"/>
      <c r="O6713" s="63"/>
      <c r="P6713" s="79" t="str">
        <f>IF(AND('331-CT'!$E$7=TH!H6713,OR(N6713="331",O6713="331")),"x","")</f>
        <v/>
      </c>
      <c r="Q6713" s="79" t="str">
        <f>IF(AND(B6713='111'!$L$11,OR($N6713=$Q$7,$O6713=$Q$7)),"x","")</f>
        <v/>
      </c>
      <c r="R6713" s="79" t="str">
        <f>IF(AND($N6713=$Q$7,$B6713&lt;'111'!$L$11),"x","")</f>
        <v/>
      </c>
      <c r="S6713" s="79" t="str">
        <f>IF(AND($O6713=$Q$7,$B6713&lt;'111'!$L$11),"x","")</f>
        <v/>
      </c>
      <c r="T6713" s="79" t="str">
        <f>IF(ISERROR(FIND('112'!$M$9,G6713,1)),"",IF((AND(FIND('112'!$M$9,G6713,1)&gt;=1,B6713='112'!$K$9,OR($N6713='112'!$I$6,$O6713='112'!$I$6))),"x",""))</f>
        <v/>
      </c>
      <c r="U6713" s="79" t="str">
        <f>IF(ISERROR(FIND('112'!$M$9,G6713,1)),"",IF((AND(LEFT(G6713,2)=LEFT('112'!$M$9,2),B6713&lt;'112'!$K$9,$N6713='112'!$I$6)),"x",""))</f>
        <v/>
      </c>
      <c r="V6713" s="79" t="str">
        <f>IF(ISERROR(FIND('112'!$M$9,G6713,1)),"",IF((AND(RIGHT(G6713,2)=RIGHT('112'!$M$9,2),B6713&lt;'112'!$K$9,$O6713='112'!$I$6)),"x",""))</f>
        <v/>
      </c>
      <c r="W6713" s="79" t="str">
        <f>IF(AND('341-CT'!$H$9=H6713,OR(LEFT(N6713,3)=$W$7,LEFT(O6713,3)=$W$7)),"x","")</f>
        <v/>
      </c>
      <c r="X6713" s="79" t="str">
        <f>IF(OR(TH!N6713=TH!$X$7,O6713=TH!$X$7),"x","")</f>
        <v/>
      </c>
      <c r="Y6713" s="79" t="str">
        <f>IF(AND(OR(N6713="131",O6713="131"),H6713='131-CT'!$H$9),"x","")</f>
        <v/>
      </c>
      <c r="Z6713" s="79"/>
      <c r="AA6713" s="79" t="str">
        <f>IF(AND(MONTH(E6713)='IN-NX'!$J$5,'IN-NX'!$D$7=D6713),"x","")</f>
        <v/>
      </c>
      <c r="AB6713" s="79" t="str">
        <f>IF(AND(OR(LEFT(TH!N6713,2)="15",LEFT(TH!O6713,2)="15"),LEFT(TH!O6713,3)&lt;&gt;"111",'152-CT'!$J$8=TH!F6713),"x","")</f>
        <v/>
      </c>
      <c r="AC6713" s="79" t="str">
        <f>IF(AND(OR(LEFT(TH!N6713,2)="15",LEFT(TH!O6713,2)="15"),TK!$E$7=TH!F6713),"x","")</f>
        <v/>
      </c>
      <c r="AD6713" s="79" t="str">
        <f>IF(AND(N6713="1521",MONTH(C6713)='BK-NL'!$M$11),"x","")</f>
        <v/>
      </c>
    </row>
    <row r="6714" spans="1:30" ht="16.5" customHeight="1">
      <c r="A6714" s="318" t="str">
        <f>IF(B6714&lt;&gt;"",IF(AND(B6714='IN-TC'!$S$4,OR(TH!N6714="1111",TH!O6714="1111")),TH!D6714,""),"")</f>
        <v/>
      </c>
      <c r="B6714" s="1163" t="str">
        <f t="shared" si="525"/>
        <v/>
      </c>
      <c r="C6714" s="61"/>
      <c r="D6714" s="61"/>
      <c r="E6714" s="61"/>
      <c r="F6714" s="69"/>
      <c r="G6714" s="64"/>
      <c r="H6714" s="69"/>
      <c r="I6714" s="385"/>
      <c r="J6714" s="392"/>
      <c r="K6714" s="385"/>
      <c r="L6714" s="392"/>
      <c r="M6714" s="62"/>
      <c r="N6714" s="63"/>
      <c r="O6714" s="63"/>
      <c r="P6714" s="79" t="str">
        <f>IF(AND('331-CT'!$E$7=TH!H6714,OR(N6714="331",O6714="331")),"x","")</f>
        <v/>
      </c>
      <c r="Q6714" s="79" t="str">
        <f>IF(AND(B6714='111'!$L$11,OR($N6714=$Q$7,$O6714=$Q$7)),"x","")</f>
        <v/>
      </c>
      <c r="R6714" s="79" t="str">
        <f>IF(AND($N6714=$Q$7,$B6714&lt;'111'!$L$11),"x","")</f>
        <v/>
      </c>
      <c r="S6714" s="79" t="str">
        <f>IF(AND($O6714=$Q$7,$B6714&lt;'111'!$L$11),"x","")</f>
        <v/>
      </c>
      <c r="T6714" s="79" t="str">
        <f>IF(ISERROR(FIND('112'!$M$9,G6714,1)),"",IF((AND(FIND('112'!$M$9,G6714,1)&gt;=1,B6714='112'!$K$9,OR($N6714='112'!$I$6,$O6714='112'!$I$6))),"x",""))</f>
        <v/>
      </c>
      <c r="U6714" s="79" t="str">
        <f>IF(ISERROR(FIND('112'!$M$9,G6714,1)),"",IF((AND(LEFT(G6714,2)=LEFT('112'!$M$9,2),B6714&lt;'112'!$K$9,$N6714='112'!$I$6)),"x",""))</f>
        <v/>
      </c>
      <c r="V6714" s="79" t="str">
        <f>IF(ISERROR(FIND('112'!$M$9,G6714,1)),"",IF((AND(RIGHT(G6714,2)=RIGHT('112'!$M$9,2),B6714&lt;'112'!$K$9,$O6714='112'!$I$6)),"x",""))</f>
        <v/>
      </c>
      <c r="W6714" s="79" t="str">
        <f>IF(AND('341-CT'!$H$9=H6714,OR(LEFT(N6714,3)=$W$7,LEFT(O6714,3)=$W$7)),"x","")</f>
        <v/>
      </c>
      <c r="X6714" s="79" t="str">
        <f>IF(OR(TH!N6714=TH!$X$7,O6714=TH!$X$7),"x","")</f>
        <v/>
      </c>
      <c r="Y6714" s="79" t="str">
        <f>IF(AND(OR(N6714="131",O6714="131"),H6714='131-CT'!$H$9),"x","")</f>
        <v/>
      </c>
      <c r="Z6714" s="79"/>
      <c r="AA6714" s="79" t="str">
        <f>IF(AND(MONTH(E6714)='IN-NX'!$J$5,'IN-NX'!$D$7=D6714),"x","")</f>
        <v/>
      </c>
      <c r="AB6714" s="79" t="str">
        <f>IF(AND(OR(LEFT(TH!N6714,2)="15",LEFT(TH!O6714,2)="15"),LEFT(TH!O6714,3)&lt;&gt;"111",'152-CT'!$J$8=TH!F6714),"x","")</f>
        <v/>
      </c>
      <c r="AC6714" s="79" t="str">
        <f>IF(AND(OR(LEFT(TH!N6714,2)="15",LEFT(TH!O6714,2)="15"),TK!$E$7=TH!F6714),"x","")</f>
        <v/>
      </c>
      <c r="AD6714" s="79" t="str">
        <f>IF(AND(N6714="1521",MONTH(C6714)='BK-NL'!$M$11),"x","")</f>
        <v/>
      </c>
    </row>
    <row r="6715" spans="1:30" ht="16.5" customHeight="1">
      <c r="A6715" s="318" t="str">
        <f>IF(B6715&lt;&gt;"",IF(AND(B6715='IN-TC'!$S$4,OR(TH!N6715="1111",TH!O6715="1111")),TH!D6715,""),"")</f>
        <v/>
      </c>
      <c r="B6715" s="1163" t="str">
        <f t="shared" si="525"/>
        <v/>
      </c>
      <c r="C6715" s="61"/>
      <c r="D6715" s="61"/>
      <c r="E6715" s="61"/>
      <c r="F6715" s="69"/>
      <c r="G6715" s="64"/>
      <c r="H6715" s="69"/>
      <c r="I6715" s="385"/>
      <c r="J6715" s="392"/>
      <c r="K6715" s="385"/>
      <c r="L6715" s="392"/>
      <c r="M6715" s="62"/>
      <c r="N6715" s="63"/>
      <c r="O6715" s="63"/>
      <c r="P6715" s="79" t="str">
        <f>IF(AND('331-CT'!$E$7=TH!H6715,OR(N6715="331",O6715="331")),"x","")</f>
        <v/>
      </c>
      <c r="Q6715" s="79" t="str">
        <f>IF(AND(B6715='111'!$L$11,OR($N6715=$Q$7,$O6715=$Q$7)),"x","")</f>
        <v/>
      </c>
      <c r="R6715" s="79" t="str">
        <f>IF(AND($N6715=$Q$7,$B6715&lt;'111'!$L$11),"x","")</f>
        <v/>
      </c>
      <c r="S6715" s="79" t="str">
        <f>IF(AND($O6715=$Q$7,$B6715&lt;'111'!$L$11),"x","")</f>
        <v/>
      </c>
      <c r="T6715" s="79" t="str">
        <f>IF(ISERROR(FIND('112'!$M$9,G6715,1)),"",IF((AND(FIND('112'!$M$9,G6715,1)&gt;=1,B6715='112'!$K$9,OR($N6715='112'!$I$6,$O6715='112'!$I$6))),"x",""))</f>
        <v/>
      </c>
      <c r="U6715" s="79" t="str">
        <f>IF(ISERROR(FIND('112'!$M$9,G6715,1)),"",IF((AND(LEFT(G6715,2)=LEFT('112'!$M$9,2),B6715&lt;'112'!$K$9,$N6715='112'!$I$6)),"x",""))</f>
        <v/>
      </c>
      <c r="V6715" s="79" t="str">
        <f>IF(ISERROR(FIND('112'!$M$9,G6715,1)),"",IF((AND(RIGHT(G6715,2)=RIGHT('112'!$M$9,2),B6715&lt;'112'!$K$9,$O6715='112'!$I$6)),"x",""))</f>
        <v/>
      </c>
      <c r="W6715" s="79" t="str">
        <f>IF(AND('341-CT'!$H$9=H6715,OR(LEFT(N6715,3)=$W$7,LEFT(O6715,3)=$W$7)),"x","")</f>
        <v/>
      </c>
      <c r="X6715" s="79" t="str">
        <f>IF(OR(TH!N6715=TH!$X$7,O6715=TH!$X$7),"x","")</f>
        <v/>
      </c>
      <c r="Y6715" s="79" t="str">
        <f>IF(AND(OR(N6715="131",O6715="131"),H6715='131-CT'!$H$9),"x","")</f>
        <v/>
      </c>
      <c r="Z6715" s="79"/>
      <c r="AA6715" s="79" t="str">
        <f>IF(AND(MONTH(E6715)='IN-NX'!$J$5,'IN-NX'!$D$7=D6715),"x","")</f>
        <v/>
      </c>
      <c r="AB6715" s="79" t="str">
        <f>IF(AND(OR(LEFT(TH!N6715,2)="15",LEFT(TH!O6715,2)="15"),LEFT(TH!O6715,3)&lt;&gt;"111",'152-CT'!$J$8=TH!F6715),"x","")</f>
        <v/>
      </c>
      <c r="AC6715" s="79" t="str">
        <f>IF(AND(OR(LEFT(TH!N6715,2)="15",LEFT(TH!O6715,2)="15"),TK!$E$7=TH!F6715),"x","")</f>
        <v/>
      </c>
      <c r="AD6715" s="79" t="str">
        <f>IF(AND(N6715="1521",MONTH(C6715)='BK-NL'!$M$11),"x","")</f>
        <v/>
      </c>
    </row>
    <row r="6716" spans="1:30" ht="16.5" customHeight="1">
      <c r="A6716" s="318" t="str">
        <f>IF(B6716&lt;&gt;"",IF(AND(B6716='IN-TC'!$S$4,OR(TH!N6716="1111",TH!O6716="1111")),TH!D6716,""),"")</f>
        <v/>
      </c>
      <c r="B6716" s="1163" t="str">
        <f t="shared" si="525"/>
        <v/>
      </c>
      <c r="C6716" s="61"/>
      <c r="D6716" s="61"/>
      <c r="E6716" s="61"/>
      <c r="F6716" s="69"/>
      <c r="G6716" s="766"/>
      <c r="H6716" s="69"/>
      <c r="I6716" s="385"/>
      <c r="J6716" s="392"/>
      <c r="K6716" s="385"/>
      <c r="L6716" s="392"/>
      <c r="M6716" s="62"/>
      <c r="N6716" s="63"/>
      <c r="O6716" s="63"/>
      <c r="P6716" s="79" t="str">
        <f>IF(AND('331-CT'!$E$7=TH!H6716,OR(N6716="331",O6716="331")),"x","")</f>
        <v/>
      </c>
      <c r="Q6716" s="79" t="str">
        <f>IF(AND(B6716='111'!$L$11,OR($N6716=$Q$7,$O6716=$Q$7)),"x","")</f>
        <v/>
      </c>
      <c r="R6716" s="79" t="str">
        <f>IF(AND($N6716=$Q$7,$B6716&lt;'111'!$L$11),"x","")</f>
        <v/>
      </c>
      <c r="S6716" s="79" t="str">
        <f>IF(AND($O6716=$Q$7,$B6716&lt;'111'!$L$11),"x","")</f>
        <v/>
      </c>
      <c r="T6716" s="79" t="str">
        <f>IF(ISERROR(FIND('112'!$M$9,G6716,1)),"",IF((AND(FIND('112'!$M$9,G6716,1)&gt;=1,B6716='112'!$K$9,OR($N6716='112'!$I$6,$O6716='112'!$I$6))),"x",""))</f>
        <v/>
      </c>
      <c r="U6716" s="79" t="str">
        <f>IF(ISERROR(FIND('112'!$M$9,G6716,1)),"",IF((AND(LEFT(G6716,2)=LEFT('112'!$M$9,2),B6716&lt;'112'!$K$9,$N6716='112'!$I$6)),"x",""))</f>
        <v/>
      </c>
      <c r="V6716" s="79" t="str">
        <f>IF(ISERROR(FIND('112'!$M$9,G6716,1)),"",IF((AND(RIGHT(G6716,2)=RIGHT('112'!$M$9,2),B6716&lt;'112'!$K$9,$O6716='112'!$I$6)),"x",""))</f>
        <v/>
      </c>
      <c r="W6716" s="79" t="str">
        <f>IF(AND('341-CT'!$H$9=H6716,OR(LEFT(N6716,3)=$W$7,LEFT(O6716,3)=$W$7)),"x","")</f>
        <v/>
      </c>
      <c r="X6716" s="79" t="str">
        <f>IF(OR(TH!N6716=TH!$X$7,O6716=TH!$X$7),"x","")</f>
        <v/>
      </c>
      <c r="Y6716" s="79" t="str">
        <f>IF(AND(OR(N6716="131",O6716="131"),H6716='131-CT'!$H$9),"x","")</f>
        <v/>
      </c>
      <c r="Z6716" s="79"/>
      <c r="AA6716" s="79" t="str">
        <f>IF(AND(MONTH(E6716)='IN-NX'!$J$5,'IN-NX'!$D$7=D6716),"x","")</f>
        <v/>
      </c>
      <c r="AB6716" s="79" t="str">
        <f>IF(AND(OR(LEFT(TH!N6716,2)="15",LEFT(TH!O6716,2)="15"),LEFT(TH!O6716,3)&lt;&gt;"111",'152-CT'!$J$8=TH!F6716),"x","")</f>
        <v/>
      </c>
      <c r="AC6716" s="79" t="str">
        <f>IF(AND(OR(LEFT(TH!N6716,2)="15",LEFT(TH!O6716,2)="15"),TK!$E$7=TH!F6716),"x","")</f>
        <v/>
      </c>
      <c r="AD6716" s="79" t="str">
        <f>IF(AND(N6716="1521",MONTH(C6716)='BK-NL'!$M$11),"x","")</f>
        <v/>
      </c>
    </row>
    <row r="6717" spans="1:30" ht="16.5" customHeight="1">
      <c r="A6717" s="318" t="str">
        <f>IF(B6717&lt;&gt;"",IF(AND(B6717='IN-TC'!$S$4,OR(TH!N6717="1111",TH!O6717="1111")),TH!D6717,""),"")</f>
        <v/>
      </c>
      <c r="B6717" s="1163" t="str">
        <f t="shared" si="525"/>
        <v/>
      </c>
      <c r="C6717" s="61"/>
      <c r="D6717" s="61"/>
      <c r="E6717" s="61"/>
      <c r="F6717" s="69"/>
      <c r="G6717" s="766"/>
      <c r="H6717" s="69"/>
      <c r="I6717" s="385"/>
      <c r="J6717" s="392"/>
      <c r="K6717" s="385"/>
      <c r="L6717" s="392"/>
      <c r="M6717" s="62"/>
      <c r="N6717" s="63"/>
      <c r="O6717" s="63"/>
      <c r="P6717" s="79" t="str">
        <f>IF(AND('331-CT'!$E$7=TH!H6717,OR(N6717="331",O6717="331")),"x","")</f>
        <v/>
      </c>
      <c r="Q6717" s="79" t="str">
        <f>IF(AND(B6717='111'!$L$11,OR($N6717=$Q$7,$O6717=$Q$7)),"x","")</f>
        <v/>
      </c>
      <c r="R6717" s="79" t="str">
        <f>IF(AND($N6717=$Q$7,$B6717&lt;'111'!$L$11),"x","")</f>
        <v/>
      </c>
      <c r="S6717" s="79" t="str">
        <f>IF(AND($O6717=$Q$7,$B6717&lt;'111'!$L$11),"x","")</f>
        <v/>
      </c>
      <c r="T6717" s="79" t="str">
        <f>IF(ISERROR(FIND('112'!$M$9,G6717,1)),"",IF((AND(FIND('112'!$M$9,G6717,1)&gt;=1,B6717='112'!$K$9,OR($N6717='112'!$I$6,$O6717='112'!$I$6))),"x",""))</f>
        <v/>
      </c>
      <c r="U6717" s="79" t="str">
        <f>IF(ISERROR(FIND('112'!$M$9,G6717,1)),"",IF((AND(LEFT(G6717,2)=LEFT('112'!$M$9,2),B6717&lt;'112'!$K$9,$N6717='112'!$I$6)),"x",""))</f>
        <v/>
      </c>
      <c r="V6717" s="79" t="str">
        <f>IF(ISERROR(FIND('112'!$M$9,G6717,1)),"",IF((AND(RIGHT(G6717,2)=RIGHT('112'!$M$9,2),B6717&lt;'112'!$K$9,$O6717='112'!$I$6)),"x",""))</f>
        <v/>
      </c>
      <c r="W6717" s="79" t="str">
        <f>IF(AND('341-CT'!$H$9=H6717,OR(LEFT(N6717,3)=$W$7,LEFT(O6717,3)=$W$7)),"x","")</f>
        <v/>
      </c>
      <c r="X6717" s="79" t="str">
        <f>IF(OR(TH!N6717=TH!$X$7,O6717=TH!$X$7),"x","")</f>
        <v/>
      </c>
      <c r="Y6717" s="79" t="str">
        <f>IF(AND(OR(N6717="131",O6717="131"),H6717='131-CT'!$H$9),"x","")</f>
        <v/>
      </c>
      <c r="Z6717" s="79"/>
      <c r="AA6717" s="79" t="str">
        <f>IF(AND(MONTH(E6717)='IN-NX'!$J$5,'IN-NX'!$D$7=D6717),"x","")</f>
        <v/>
      </c>
      <c r="AB6717" s="79" t="str">
        <f>IF(AND(OR(LEFT(TH!N6717,2)="15",LEFT(TH!O6717,2)="15"),LEFT(TH!O6717,3)&lt;&gt;"111",'152-CT'!$J$8=TH!F6717),"x","")</f>
        <v/>
      </c>
      <c r="AC6717" s="79" t="str">
        <f>IF(AND(OR(LEFT(TH!N6717,2)="15",LEFT(TH!O6717,2)="15"),TK!$E$7=TH!F6717),"x","")</f>
        <v/>
      </c>
      <c r="AD6717" s="79" t="str">
        <f>IF(AND(N6717="1521",MONTH(C6717)='BK-NL'!$M$11),"x","")</f>
        <v/>
      </c>
    </row>
    <row r="6718" spans="1:30" ht="16.5" customHeight="1">
      <c r="A6718" s="318" t="str">
        <f>IF(B6718&lt;&gt;"",IF(AND(B6718='IN-TC'!$S$4,OR(TH!N6718="1111",TH!O6718="1111")),TH!D6718,""),"")</f>
        <v/>
      </c>
      <c r="B6718" s="1163" t="str">
        <f t="shared" si="525"/>
        <v/>
      </c>
      <c r="C6718" s="61"/>
      <c r="D6718" s="61"/>
      <c r="E6718" s="61"/>
      <c r="F6718" s="69"/>
      <c r="G6718" s="64"/>
      <c r="H6718" s="69"/>
      <c r="I6718" s="385"/>
      <c r="J6718" s="392"/>
      <c r="K6718" s="385"/>
      <c r="L6718" s="392"/>
      <c r="M6718" s="62"/>
      <c r="N6718" s="63"/>
      <c r="O6718" s="63"/>
      <c r="P6718" s="79" t="str">
        <f>IF(AND('331-CT'!$E$7=TH!H6718,OR(N6718="331",O6718="331")),"x","")</f>
        <v/>
      </c>
      <c r="Q6718" s="79" t="str">
        <f>IF(AND(B6718='111'!$L$11,OR($N6718=$Q$7,$O6718=$Q$7)),"x","")</f>
        <v/>
      </c>
      <c r="R6718" s="79" t="str">
        <f>IF(AND($N6718=$Q$7,$B6718&lt;'111'!$L$11),"x","")</f>
        <v/>
      </c>
      <c r="S6718" s="79" t="str">
        <f>IF(AND($O6718=$Q$7,$B6718&lt;'111'!$L$11),"x","")</f>
        <v/>
      </c>
      <c r="T6718" s="79" t="str">
        <f>IF(ISERROR(FIND('112'!$M$9,G6718,1)),"",IF((AND(FIND('112'!$M$9,G6718,1)&gt;=1,B6718='112'!$K$9,OR($N6718='112'!$I$6,$O6718='112'!$I$6))),"x",""))</f>
        <v/>
      </c>
      <c r="U6718" s="79" t="str">
        <f>IF(ISERROR(FIND('112'!$M$9,G6718,1)),"",IF((AND(LEFT(G6718,2)=LEFT('112'!$M$9,2),B6718&lt;'112'!$K$9,$N6718='112'!$I$6)),"x",""))</f>
        <v/>
      </c>
      <c r="V6718" s="79" t="str">
        <f>IF(ISERROR(FIND('112'!$M$9,G6718,1)),"",IF((AND(RIGHT(G6718,2)=RIGHT('112'!$M$9,2),B6718&lt;'112'!$K$9,$O6718='112'!$I$6)),"x",""))</f>
        <v/>
      </c>
      <c r="W6718" s="79" t="str">
        <f>IF(AND('341-CT'!$H$9=H6718,OR(LEFT(N6718,3)=$W$7,LEFT(O6718,3)=$W$7)),"x","")</f>
        <v/>
      </c>
      <c r="X6718" s="79" t="str">
        <f>IF(OR(TH!N6718=TH!$X$7,O6718=TH!$X$7),"x","")</f>
        <v/>
      </c>
      <c r="Y6718" s="79" t="str">
        <f>IF(AND(OR(N6718="131",O6718="131"),H6718='131-CT'!$H$9),"x","")</f>
        <v/>
      </c>
      <c r="Z6718" s="79"/>
      <c r="AA6718" s="79" t="str">
        <f>IF(AND(MONTH(E6718)='IN-NX'!$J$5,'IN-NX'!$D$7=D6718),"x","")</f>
        <v/>
      </c>
      <c r="AB6718" s="79" t="str">
        <f>IF(AND(OR(LEFT(TH!N6718,2)="15",LEFT(TH!O6718,2)="15"),LEFT(TH!O6718,3)&lt;&gt;"111",'152-CT'!$J$8=TH!F6718),"x","")</f>
        <v/>
      </c>
      <c r="AC6718" s="79" t="str">
        <f>IF(AND(OR(LEFT(TH!N6718,2)="15",LEFT(TH!O6718,2)="15"),TK!$E$7=TH!F6718),"x","")</f>
        <v/>
      </c>
      <c r="AD6718" s="79" t="str">
        <f>IF(AND(N6718="1521",MONTH(C6718)='BK-NL'!$M$11),"x","")</f>
        <v/>
      </c>
    </row>
    <row r="6719" spans="1:30" ht="16.5" customHeight="1">
      <c r="A6719" s="318" t="str">
        <f>IF(B6719&lt;&gt;"",IF(AND(B6719='IN-TC'!$S$4,OR(TH!N6719="1111",TH!O6719="1111")),TH!D6719,""),"")</f>
        <v/>
      </c>
      <c r="B6719" s="1163" t="str">
        <f t="shared" si="525"/>
        <v/>
      </c>
      <c r="C6719" s="61"/>
      <c r="D6719" s="61"/>
      <c r="E6719" s="61"/>
      <c r="F6719" s="69"/>
      <c r="G6719" s="766"/>
      <c r="H6719" s="69"/>
      <c r="I6719" s="385"/>
      <c r="J6719" s="392"/>
      <c r="K6719" s="385"/>
      <c r="L6719" s="392"/>
      <c r="M6719" s="62"/>
      <c r="N6719" s="63"/>
      <c r="O6719" s="63"/>
      <c r="P6719" s="79" t="str">
        <f>IF(AND('331-CT'!$E$7=TH!H6719,OR(N6719="331",O6719="331")),"x","")</f>
        <v/>
      </c>
      <c r="Q6719" s="79" t="str">
        <f>IF(AND(B6719='111'!$L$11,OR($N6719=$Q$7,$O6719=$Q$7)),"x","")</f>
        <v/>
      </c>
      <c r="R6719" s="79" t="str">
        <f>IF(AND($N6719=$Q$7,$B6719&lt;'111'!$L$11),"x","")</f>
        <v/>
      </c>
      <c r="S6719" s="79" t="str">
        <f>IF(AND($O6719=$Q$7,$B6719&lt;'111'!$L$11),"x","")</f>
        <v/>
      </c>
      <c r="T6719" s="79" t="str">
        <f>IF(ISERROR(FIND('112'!$M$9,G6719,1)),"",IF((AND(FIND('112'!$M$9,G6719,1)&gt;=1,B6719='112'!$K$9,OR($N6719='112'!$I$6,$O6719='112'!$I$6))),"x",""))</f>
        <v/>
      </c>
      <c r="U6719" s="79" t="str">
        <f>IF(ISERROR(FIND('112'!$M$9,G6719,1)),"",IF((AND(LEFT(G6719,2)=LEFT('112'!$M$9,2),B6719&lt;'112'!$K$9,$N6719='112'!$I$6)),"x",""))</f>
        <v/>
      </c>
      <c r="V6719" s="79" t="str">
        <f>IF(ISERROR(FIND('112'!$M$9,G6719,1)),"",IF((AND(RIGHT(G6719,2)=RIGHT('112'!$M$9,2),B6719&lt;'112'!$K$9,$O6719='112'!$I$6)),"x",""))</f>
        <v/>
      </c>
      <c r="W6719" s="79" t="str">
        <f>IF(AND('341-CT'!$H$9=H6719,OR(LEFT(N6719,3)=$W$7,LEFT(O6719,3)=$W$7)),"x","")</f>
        <v/>
      </c>
      <c r="X6719" s="79" t="str">
        <f>IF(OR(TH!N6719=TH!$X$7,O6719=TH!$X$7),"x","")</f>
        <v/>
      </c>
      <c r="Y6719" s="79" t="str">
        <f>IF(AND(OR(N6719="131",O6719="131"),H6719='131-CT'!$H$9),"x","")</f>
        <v/>
      </c>
      <c r="Z6719" s="79"/>
      <c r="AA6719" s="79" t="str">
        <f>IF(AND(MONTH(E6719)='IN-NX'!$J$5,'IN-NX'!$D$7=D6719),"x","")</f>
        <v/>
      </c>
      <c r="AB6719" s="79" t="str">
        <f>IF(AND(OR(LEFT(TH!N6719,2)="15",LEFT(TH!O6719,2)="15"),LEFT(TH!O6719,3)&lt;&gt;"111",'152-CT'!$J$8=TH!F6719),"x","")</f>
        <v/>
      </c>
      <c r="AC6719" s="79" t="str">
        <f>IF(AND(OR(LEFT(TH!N6719,2)="15",LEFT(TH!O6719,2)="15"),TK!$E$7=TH!F6719),"x","")</f>
        <v/>
      </c>
      <c r="AD6719" s="79" t="str">
        <f>IF(AND(N6719="1521",MONTH(C6719)='BK-NL'!$M$11),"x","")</f>
        <v/>
      </c>
    </row>
    <row r="6720" spans="1:30" ht="16.5" customHeight="1">
      <c r="A6720" s="318" t="str">
        <f>IF(B6720&lt;&gt;"",IF(AND(B6720='IN-TC'!$S$4,OR(TH!N6720="1111",TH!O6720="1111")),TH!D6720,""),"")</f>
        <v/>
      </c>
      <c r="B6720" s="1163" t="str">
        <f t="shared" si="525"/>
        <v/>
      </c>
      <c r="C6720" s="61"/>
      <c r="D6720" s="61"/>
      <c r="E6720" s="61"/>
      <c r="F6720" s="69"/>
      <c r="G6720" s="766"/>
      <c r="H6720" s="69"/>
      <c r="I6720" s="385"/>
      <c r="J6720" s="392"/>
      <c r="K6720" s="385"/>
      <c r="L6720" s="392"/>
      <c r="M6720" s="62"/>
      <c r="N6720" s="63"/>
      <c r="O6720" s="63"/>
      <c r="P6720" s="79" t="str">
        <f>IF(AND('331-CT'!$E$7=TH!H6720,OR(N6720="331",O6720="331")),"x","")</f>
        <v/>
      </c>
      <c r="Q6720" s="79" t="str">
        <f>IF(AND(B6720='111'!$L$11,OR($N6720=$Q$7,$O6720=$Q$7)),"x","")</f>
        <v/>
      </c>
      <c r="R6720" s="79" t="str">
        <f>IF(AND($N6720=$Q$7,$B6720&lt;'111'!$L$11),"x","")</f>
        <v/>
      </c>
      <c r="S6720" s="79" t="str">
        <f>IF(AND($O6720=$Q$7,$B6720&lt;'111'!$L$11),"x","")</f>
        <v/>
      </c>
      <c r="T6720" s="79" t="str">
        <f>IF(ISERROR(FIND('112'!$M$9,G6720,1)),"",IF((AND(FIND('112'!$M$9,G6720,1)&gt;=1,B6720='112'!$K$9,OR($N6720='112'!$I$6,$O6720='112'!$I$6))),"x",""))</f>
        <v/>
      </c>
      <c r="U6720" s="79" t="str">
        <f>IF(ISERROR(FIND('112'!$M$9,G6720,1)),"",IF((AND(LEFT(G6720,2)=LEFT('112'!$M$9,2),B6720&lt;'112'!$K$9,$N6720='112'!$I$6)),"x",""))</f>
        <v/>
      </c>
      <c r="V6720" s="79" t="str">
        <f>IF(ISERROR(FIND('112'!$M$9,G6720,1)),"",IF((AND(RIGHT(G6720,2)=RIGHT('112'!$M$9,2),B6720&lt;'112'!$K$9,$O6720='112'!$I$6)),"x",""))</f>
        <v/>
      </c>
      <c r="W6720" s="79" t="str">
        <f>IF(AND('341-CT'!$H$9=H6720,OR(LEFT(N6720,3)=$W$7,LEFT(O6720,3)=$W$7)),"x","")</f>
        <v/>
      </c>
      <c r="X6720" s="79" t="str">
        <f>IF(OR(TH!N6720=TH!$X$7,O6720=TH!$X$7),"x","")</f>
        <v/>
      </c>
      <c r="Y6720" s="79" t="str">
        <f>IF(AND(OR(N6720="131",O6720="131"),H6720='131-CT'!$H$9),"x","")</f>
        <v/>
      </c>
      <c r="Z6720" s="79"/>
      <c r="AA6720" s="79" t="str">
        <f>IF(AND(MONTH(E6720)='IN-NX'!$J$5,'IN-NX'!$D$7=D6720),"x","")</f>
        <v/>
      </c>
      <c r="AB6720" s="79" t="str">
        <f>IF(AND(OR(LEFT(TH!N6720,2)="15",LEFT(TH!O6720,2)="15"),LEFT(TH!O6720,3)&lt;&gt;"111",'152-CT'!$J$8=TH!F6720),"x","")</f>
        <v/>
      </c>
      <c r="AC6720" s="79" t="str">
        <f>IF(AND(OR(LEFT(TH!N6720,2)="15",LEFT(TH!O6720,2)="15"),TK!$E$7=TH!F6720),"x","")</f>
        <v/>
      </c>
      <c r="AD6720" s="79" t="str">
        <f>IF(AND(N6720="1521",MONTH(C6720)='BK-NL'!$M$11),"x","")</f>
        <v/>
      </c>
    </row>
    <row r="6721" spans="1:30" ht="16.5" customHeight="1">
      <c r="A6721" s="318" t="str">
        <f>IF(B6721&lt;&gt;"",IF(AND(B6721='IN-TC'!$S$4,OR(TH!N6721="1111",TH!O6721="1111")),TH!D6721,""),"")</f>
        <v/>
      </c>
      <c r="B6721" s="1163" t="str">
        <f t="shared" si="525"/>
        <v/>
      </c>
      <c r="C6721" s="61"/>
      <c r="D6721" s="61"/>
      <c r="E6721" s="61"/>
      <c r="F6721" s="69"/>
      <c r="G6721" s="64"/>
      <c r="H6721" s="69"/>
      <c r="I6721" s="385"/>
      <c r="J6721" s="392"/>
      <c r="K6721" s="385"/>
      <c r="L6721" s="392"/>
      <c r="M6721" s="62"/>
      <c r="N6721" s="63"/>
      <c r="O6721" s="63"/>
      <c r="P6721" s="79" t="str">
        <f>IF(AND('331-CT'!$E$7=TH!H6721,OR(N6721="331",O6721="331")),"x","")</f>
        <v/>
      </c>
      <c r="Q6721" s="79" t="str">
        <f>IF(AND(B6721='111'!$L$11,OR($N6721=$Q$7,$O6721=$Q$7)),"x","")</f>
        <v/>
      </c>
      <c r="R6721" s="79" t="str">
        <f>IF(AND($N6721=$Q$7,$B6721&lt;'111'!$L$11),"x","")</f>
        <v/>
      </c>
      <c r="S6721" s="79" t="str">
        <f>IF(AND($O6721=$Q$7,$B6721&lt;'111'!$L$11),"x","")</f>
        <v/>
      </c>
      <c r="T6721" s="79" t="str">
        <f>IF(ISERROR(FIND('112'!$M$9,G6721,1)),"",IF((AND(FIND('112'!$M$9,G6721,1)&gt;=1,B6721='112'!$K$9,OR($N6721='112'!$I$6,$O6721='112'!$I$6))),"x",""))</f>
        <v/>
      </c>
      <c r="U6721" s="79" t="str">
        <f>IF(ISERROR(FIND('112'!$M$9,G6721,1)),"",IF((AND(LEFT(G6721,2)=LEFT('112'!$M$9,2),B6721&lt;'112'!$K$9,$N6721='112'!$I$6)),"x",""))</f>
        <v/>
      </c>
      <c r="V6721" s="79" t="str">
        <f>IF(ISERROR(FIND('112'!$M$9,G6721,1)),"",IF((AND(RIGHT(G6721,2)=RIGHT('112'!$M$9,2),B6721&lt;'112'!$K$9,$O6721='112'!$I$6)),"x",""))</f>
        <v/>
      </c>
      <c r="W6721" s="79" t="str">
        <f>IF(AND('341-CT'!$H$9=H6721,OR(LEFT(N6721,3)=$W$7,LEFT(O6721,3)=$W$7)),"x","")</f>
        <v/>
      </c>
      <c r="X6721" s="79" t="str">
        <f>IF(OR(TH!N6721=TH!$X$7,O6721=TH!$X$7),"x","")</f>
        <v/>
      </c>
      <c r="Y6721" s="79" t="str">
        <f>IF(AND(OR(N6721="131",O6721="131"),H6721='131-CT'!$H$9),"x","")</f>
        <v/>
      </c>
      <c r="Z6721" s="79"/>
      <c r="AA6721" s="79" t="str">
        <f>IF(AND(MONTH(E6721)='IN-NX'!$J$5,'IN-NX'!$D$7=D6721),"x","")</f>
        <v/>
      </c>
      <c r="AB6721" s="79" t="str">
        <f>IF(AND(OR(LEFT(TH!N6721,2)="15",LEFT(TH!O6721,2)="15"),LEFT(TH!O6721,3)&lt;&gt;"111",'152-CT'!$J$8=TH!F6721),"x","")</f>
        <v/>
      </c>
      <c r="AC6721" s="79" t="str">
        <f>IF(AND(OR(LEFT(TH!N6721,2)="15",LEFT(TH!O6721,2)="15"),TK!$E$7=TH!F6721),"x","")</f>
        <v/>
      </c>
      <c r="AD6721" s="79" t="str">
        <f>IF(AND(N6721="1521",MONTH(C6721)='BK-NL'!$M$11),"x","")</f>
        <v/>
      </c>
    </row>
    <row r="6722" spans="1:30" ht="16.5" customHeight="1">
      <c r="A6722" s="318" t="str">
        <f>IF(B6722&lt;&gt;"",IF(AND(B6722='IN-TC'!$S$4,OR(TH!N6722="1111",TH!O6722="1111")),TH!D6722,""),"")</f>
        <v/>
      </c>
      <c r="B6722" s="1163" t="str">
        <f t="shared" si="525"/>
        <v/>
      </c>
      <c r="C6722" s="61"/>
      <c r="D6722" s="61"/>
      <c r="E6722" s="61"/>
      <c r="F6722" s="69"/>
      <c r="G6722" s="64"/>
      <c r="H6722" s="69"/>
      <c r="I6722" s="385"/>
      <c r="J6722" s="392"/>
      <c r="K6722" s="385"/>
      <c r="L6722" s="392"/>
      <c r="M6722" s="62"/>
      <c r="N6722" s="63"/>
      <c r="O6722" s="63"/>
      <c r="P6722" s="79" t="str">
        <f>IF(AND('331-CT'!$E$7=TH!H6722,OR(N6722="331",O6722="331")),"x","")</f>
        <v/>
      </c>
      <c r="Q6722" s="79" t="str">
        <f>IF(AND(B6722='111'!$L$11,OR($N6722=$Q$7,$O6722=$Q$7)),"x","")</f>
        <v/>
      </c>
      <c r="R6722" s="79" t="str">
        <f>IF(AND($N6722=$Q$7,$B6722&lt;'111'!$L$11),"x","")</f>
        <v/>
      </c>
      <c r="S6722" s="79" t="str">
        <f>IF(AND($O6722=$Q$7,$B6722&lt;'111'!$L$11),"x","")</f>
        <v/>
      </c>
      <c r="T6722" s="79" t="str">
        <f>IF(ISERROR(FIND('112'!$M$9,G6722,1)),"",IF((AND(FIND('112'!$M$9,G6722,1)&gt;=1,B6722='112'!$K$9,OR($N6722='112'!$I$6,$O6722='112'!$I$6))),"x",""))</f>
        <v/>
      </c>
      <c r="U6722" s="79" t="str">
        <f>IF(ISERROR(FIND('112'!$M$9,G6722,1)),"",IF((AND(LEFT(G6722,2)=LEFT('112'!$M$9,2),B6722&lt;'112'!$K$9,$N6722='112'!$I$6)),"x",""))</f>
        <v/>
      </c>
      <c r="V6722" s="79" t="str">
        <f>IF(ISERROR(FIND('112'!$M$9,G6722,1)),"",IF((AND(RIGHT(G6722,2)=RIGHT('112'!$M$9,2),B6722&lt;'112'!$K$9,$O6722='112'!$I$6)),"x",""))</f>
        <v/>
      </c>
      <c r="W6722" s="79" t="str">
        <f>IF(AND('341-CT'!$H$9=H6722,OR(LEFT(N6722,3)=$W$7,LEFT(O6722,3)=$W$7)),"x","")</f>
        <v/>
      </c>
      <c r="X6722" s="79" t="str">
        <f>IF(OR(TH!N6722=TH!$X$7,O6722=TH!$X$7),"x","")</f>
        <v/>
      </c>
      <c r="Y6722" s="79" t="str">
        <f>IF(AND(OR(N6722="131",O6722="131"),H6722='131-CT'!$H$9),"x","")</f>
        <v/>
      </c>
      <c r="Z6722" s="79"/>
      <c r="AA6722" s="79" t="str">
        <f>IF(AND(MONTH(E6722)='IN-NX'!$J$5,'IN-NX'!$D$7=D6722),"x","")</f>
        <v/>
      </c>
      <c r="AB6722" s="79" t="str">
        <f>IF(AND(OR(LEFT(TH!N6722,2)="15",LEFT(TH!O6722,2)="15"),LEFT(TH!O6722,3)&lt;&gt;"111",'152-CT'!$J$8=TH!F6722),"x","")</f>
        <v/>
      </c>
      <c r="AC6722" s="79" t="str">
        <f>IF(AND(OR(LEFT(TH!N6722,2)="15",LEFT(TH!O6722,2)="15"),TK!$E$7=TH!F6722),"x","")</f>
        <v/>
      </c>
      <c r="AD6722" s="79" t="str">
        <f>IF(AND(N6722="1521",MONTH(C6722)='BK-NL'!$M$11),"x","")</f>
        <v/>
      </c>
    </row>
    <row r="6723" spans="1:30" ht="16.5" customHeight="1">
      <c r="A6723" s="318" t="str">
        <f>IF(B6723&lt;&gt;"",IF(AND(B6723='IN-TC'!$S$4,OR(TH!N6723="1111",TH!O6723="1111")),TH!D6723,""),"")</f>
        <v/>
      </c>
      <c r="B6723" s="1163" t="str">
        <f t="shared" ref="B6723:B6786" si="526">IF(C6723&lt;&gt;"",MONTH(C6723),"")</f>
        <v/>
      </c>
      <c r="C6723" s="61"/>
      <c r="D6723" s="61"/>
      <c r="E6723" s="61"/>
      <c r="F6723" s="69"/>
      <c r="G6723" s="64"/>
      <c r="H6723" s="69"/>
      <c r="I6723" s="385"/>
      <c r="J6723" s="392"/>
      <c r="K6723" s="385"/>
      <c r="L6723" s="392"/>
      <c r="M6723" s="62"/>
      <c r="N6723" s="63"/>
      <c r="O6723" s="63"/>
      <c r="P6723" s="79" t="str">
        <f>IF(AND('331-CT'!$E$7=TH!H6723,OR(N6723="331",O6723="331")),"x","")</f>
        <v/>
      </c>
      <c r="Q6723" s="79" t="str">
        <f>IF(AND(B6723='111'!$L$11,OR($N6723=$Q$7,$O6723=$Q$7)),"x","")</f>
        <v/>
      </c>
      <c r="R6723" s="79" t="str">
        <f>IF(AND($N6723=$Q$7,$B6723&lt;'111'!$L$11),"x","")</f>
        <v/>
      </c>
      <c r="S6723" s="79" t="str">
        <f>IF(AND($O6723=$Q$7,$B6723&lt;'111'!$L$11),"x","")</f>
        <v/>
      </c>
      <c r="T6723" s="79" t="str">
        <f>IF(ISERROR(FIND('112'!$M$9,G6723,1)),"",IF((AND(FIND('112'!$M$9,G6723,1)&gt;=1,B6723='112'!$K$9,OR($N6723='112'!$I$6,$O6723='112'!$I$6))),"x",""))</f>
        <v/>
      </c>
      <c r="U6723" s="79" t="str">
        <f>IF(ISERROR(FIND('112'!$M$9,G6723,1)),"",IF((AND(LEFT(G6723,2)=LEFT('112'!$M$9,2),B6723&lt;'112'!$K$9,$N6723='112'!$I$6)),"x",""))</f>
        <v/>
      </c>
      <c r="V6723" s="79" t="str">
        <f>IF(ISERROR(FIND('112'!$M$9,G6723,1)),"",IF((AND(RIGHT(G6723,2)=RIGHT('112'!$M$9,2),B6723&lt;'112'!$K$9,$O6723='112'!$I$6)),"x",""))</f>
        <v/>
      </c>
      <c r="W6723" s="79" t="str">
        <f>IF(AND('341-CT'!$H$9=H6723,OR(LEFT(N6723,3)=$W$7,LEFT(O6723,3)=$W$7)),"x","")</f>
        <v/>
      </c>
      <c r="X6723" s="79" t="str">
        <f>IF(OR(TH!N6723=TH!$X$7,O6723=TH!$X$7),"x","")</f>
        <v/>
      </c>
      <c r="Y6723" s="79" t="str">
        <f>IF(AND(OR(N6723="131",O6723="131"),H6723='131-CT'!$H$9),"x","")</f>
        <v/>
      </c>
      <c r="Z6723" s="79"/>
      <c r="AA6723" s="79" t="str">
        <f>IF(AND(MONTH(E6723)='IN-NX'!$J$5,'IN-NX'!$D$7=D6723),"x","")</f>
        <v/>
      </c>
      <c r="AB6723" s="79" t="str">
        <f>IF(AND(OR(LEFT(TH!N6723,2)="15",LEFT(TH!O6723,2)="15"),LEFT(TH!O6723,3)&lt;&gt;"111",'152-CT'!$J$8=TH!F6723),"x","")</f>
        <v/>
      </c>
      <c r="AC6723" s="79" t="str">
        <f>IF(AND(OR(LEFT(TH!N6723,2)="15",LEFT(TH!O6723,2)="15"),TK!$E$7=TH!F6723),"x","")</f>
        <v/>
      </c>
      <c r="AD6723" s="79" t="str">
        <f>IF(AND(N6723="1521",MONTH(C6723)='BK-NL'!$M$11),"x","")</f>
        <v/>
      </c>
    </row>
    <row r="6724" spans="1:30" ht="16.5" customHeight="1">
      <c r="A6724" s="318" t="str">
        <f>IF(B6724&lt;&gt;"",IF(AND(B6724='IN-TC'!$S$4,OR(TH!N6724="1111",TH!O6724="1111")),TH!D6724,""),"")</f>
        <v/>
      </c>
      <c r="B6724" s="1163" t="str">
        <f t="shared" si="526"/>
        <v/>
      </c>
      <c r="C6724" s="61"/>
      <c r="D6724" s="61"/>
      <c r="E6724" s="61"/>
      <c r="F6724" s="69"/>
      <c r="G6724" s="64"/>
      <c r="H6724" s="69"/>
      <c r="I6724" s="385"/>
      <c r="J6724" s="392"/>
      <c r="K6724" s="385"/>
      <c r="L6724" s="392"/>
      <c r="M6724" s="62"/>
      <c r="N6724" s="63"/>
      <c r="O6724" s="63"/>
      <c r="P6724" s="79" t="str">
        <f>IF(AND('331-CT'!$E$7=TH!H6724,OR(N6724="331",O6724="331")),"x","")</f>
        <v/>
      </c>
      <c r="Q6724" s="79" t="str">
        <f>IF(AND(B6724='111'!$L$11,OR($N6724=$Q$7,$O6724=$Q$7)),"x","")</f>
        <v/>
      </c>
      <c r="R6724" s="79" t="str">
        <f>IF(AND($N6724=$Q$7,$B6724&lt;'111'!$L$11),"x","")</f>
        <v/>
      </c>
      <c r="S6724" s="79" t="str">
        <f>IF(AND($O6724=$Q$7,$B6724&lt;'111'!$L$11),"x","")</f>
        <v/>
      </c>
      <c r="T6724" s="79" t="str">
        <f>IF(ISERROR(FIND('112'!$M$9,G6724,1)),"",IF((AND(FIND('112'!$M$9,G6724,1)&gt;=1,B6724='112'!$K$9,OR($N6724='112'!$I$6,$O6724='112'!$I$6))),"x",""))</f>
        <v/>
      </c>
      <c r="U6724" s="79" t="str">
        <f>IF(ISERROR(FIND('112'!$M$9,G6724,1)),"",IF((AND(LEFT(G6724,2)=LEFT('112'!$M$9,2),B6724&lt;'112'!$K$9,$N6724='112'!$I$6)),"x",""))</f>
        <v/>
      </c>
      <c r="V6724" s="79" t="str">
        <f>IF(ISERROR(FIND('112'!$M$9,G6724,1)),"",IF((AND(RIGHT(G6724,2)=RIGHT('112'!$M$9,2),B6724&lt;'112'!$K$9,$O6724='112'!$I$6)),"x",""))</f>
        <v/>
      </c>
      <c r="W6724" s="79" t="str">
        <f>IF(AND('341-CT'!$H$9=H6724,OR(LEFT(N6724,3)=$W$7,LEFT(O6724,3)=$W$7)),"x","")</f>
        <v/>
      </c>
      <c r="X6724" s="79" t="str">
        <f>IF(OR(TH!N6724=TH!$X$7,O6724=TH!$X$7),"x","")</f>
        <v/>
      </c>
      <c r="Y6724" s="79" t="str">
        <f>IF(AND(OR(N6724="131",O6724="131"),H6724='131-CT'!$H$9),"x","")</f>
        <v/>
      </c>
      <c r="Z6724" s="79"/>
      <c r="AA6724" s="79" t="str">
        <f>IF(AND(MONTH(E6724)='IN-NX'!$J$5,'IN-NX'!$D$7=D6724),"x","")</f>
        <v/>
      </c>
      <c r="AB6724" s="79" t="str">
        <f>IF(AND(OR(LEFT(TH!N6724,2)="15",LEFT(TH!O6724,2)="15"),LEFT(TH!O6724,3)&lt;&gt;"111",'152-CT'!$J$8=TH!F6724),"x","")</f>
        <v/>
      </c>
      <c r="AC6724" s="79" t="str">
        <f>IF(AND(OR(LEFT(TH!N6724,2)="15",LEFT(TH!O6724,2)="15"),TK!$E$7=TH!F6724),"x","")</f>
        <v/>
      </c>
      <c r="AD6724" s="79" t="str">
        <f>IF(AND(N6724="1521",MONTH(C6724)='BK-NL'!$M$11),"x","")</f>
        <v/>
      </c>
    </row>
    <row r="6725" spans="1:30" ht="16.5" customHeight="1">
      <c r="A6725" s="318" t="str">
        <f>IF(B6725&lt;&gt;"",IF(AND(B6725='IN-TC'!$S$4,OR(TH!N6725="1111",TH!O6725="1111")),TH!D6725,""),"")</f>
        <v/>
      </c>
      <c r="B6725" s="1163" t="str">
        <f t="shared" si="526"/>
        <v/>
      </c>
      <c r="C6725" s="61"/>
      <c r="D6725" s="61"/>
      <c r="E6725" s="61"/>
      <c r="F6725" s="69"/>
      <c r="G6725" s="64"/>
      <c r="H6725" s="69"/>
      <c r="I6725" s="385"/>
      <c r="J6725" s="392"/>
      <c r="K6725" s="385"/>
      <c r="L6725" s="392"/>
      <c r="M6725" s="62"/>
      <c r="N6725" s="63"/>
      <c r="O6725" s="63"/>
      <c r="P6725" s="79" t="str">
        <f>IF(AND('331-CT'!$E$7=TH!H6725,OR(N6725="331",O6725="331")),"x","")</f>
        <v/>
      </c>
      <c r="Q6725" s="79" t="str">
        <f>IF(AND(B6725='111'!$L$11,OR($N6725=$Q$7,$O6725=$Q$7)),"x","")</f>
        <v/>
      </c>
      <c r="R6725" s="79" t="str">
        <f>IF(AND($N6725=$Q$7,$B6725&lt;'111'!$L$11),"x","")</f>
        <v/>
      </c>
      <c r="S6725" s="79" t="str">
        <f>IF(AND($O6725=$Q$7,$B6725&lt;'111'!$L$11),"x","")</f>
        <v/>
      </c>
      <c r="T6725" s="79" t="str">
        <f>IF(ISERROR(FIND('112'!$M$9,G6725,1)),"",IF((AND(FIND('112'!$M$9,G6725,1)&gt;=1,B6725='112'!$K$9,OR($N6725='112'!$I$6,$O6725='112'!$I$6))),"x",""))</f>
        <v/>
      </c>
      <c r="U6725" s="79" t="str">
        <f>IF(ISERROR(FIND('112'!$M$9,G6725,1)),"",IF((AND(LEFT(G6725,2)=LEFT('112'!$M$9,2),B6725&lt;'112'!$K$9,$N6725='112'!$I$6)),"x",""))</f>
        <v/>
      </c>
      <c r="V6725" s="79" t="str">
        <f>IF(ISERROR(FIND('112'!$M$9,G6725,1)),"",IF((AND(RIGHT(G6725,2)=RIGHT('112'!$M$9,2),B6725&lt;'112'!$K$9,$O6725='112'!$I$6)),"x",""))</f>
        <v/>
      </c>
      <c r="W6725" s="79" t="str">
        <f>IF(AND('341-CT'!$H$9=H6725,OR(LEFT(N6725,3)=$W$7,LEFT(O6725,3)=$W$7)),"x","")</f>
        <v/>
      </c>
      <c r="X6725" s="79" t="str">
        <f>IF(OR(TH!N6725=TH!$X$7,O6725=TH!$X$7),"x","")</f>
        <v/>
      </c>
      <c r="Y6725" s="79" t="str">
        <f>IF(AND(OR(N6725="131",O6725="131"),H6725='131-CT'!$H$9),"x","")</f>
        <v/>
      </c>
      <c r="Z6725" s="79"/>
      <c r="AA6725" s="79" t="str">
        <f>IF(AND(MONTH(E6725)='IN-NX'!$J$5,'IN-NX'!$D$7=D6725),"x","")</f>
        <v/>
      </c>
      <c r="AB6725" s="79" t="str">
        <f>IF(AND(OR(LEFT(TH!N6725,2)="15",LEFT(TH!O6725,2)="15"),LEFT(TH!O6725,3)&lt;&gt;"111",'152-CT'!$J$8=TH!F6725),"x","")</f>
        <v/>
      </c>
      <c r="AC6725" s="79" t="str">
        <f>IF(AND(OR(LEFT(TH!N6725,2)="15",LEFT(TH!O6725,2)="15"),TK!$E$7=TH!F6725),"x","")</f>
        <v/>
      </c>
      <c r="AD6725" s="79" t="str">
        <f>IF(AND(N6725="1521",MONTH(C6725)='BK-NL'!$M$11),"x","")</f>
        <v/>
      </c>
    </row>
    <row r="6726" spans="1:30" ht="16.5" customHeight="1">
      <c r="A6726" s="318" t="str">
        <f>IF(B6726&lt;&gt;"",IF(AND(B6726='IN-TC'!$S$4,OR(TH!N6726="1111",TH!O6726="1111")),TH!D6726,""),"")</f>
        <v/>
      </c>
      <c r="B6726" s="1163" t="str">
        <f t="shared" si="526"/>
        <v/>
      </c>
      <c r="C6726" s="61"/>
      <c r="D6726" s="61"/>
      <c r="E6726" s="61"/>
      <c r="F6726" s="69"/>
      <c r="G6726" s="64"/>
      <c r="H6726" s="69"/>
      <c r="I6726" s="385"/>
      <c r="J6726" s="392"/>
      <c r="K6726" s="385"/>
      <c r="L6726" s="392"/>
      <c r="M6726" s="62"/>
      <c r="N6726" s="63"/>
      <c r="O6726" s="63"/>
      <c r="P6726" s="79" t="str">
        <f>IF(AND('331-CT'!$E$7=TH!H6726,OR(N6726="331",O6726="331")),"x","")</f>
        <v/>
      </c>
      <c r="Q6726" s="79" t="str">
        <f>IF(AND(B6726='111'!$L$11,OR($N6726=$Q$7,$O6726=$Q$7)),"x","")</f>
        <v/>
      </c>
      <c r="R6726" s="79" t="str">
        <f>IF(AND($N6726=$Q$7,$B6726&lt;'111'!$L$11),"x","")</f>
        <v/>
      </c>
      <c r="S6726" s="79" t="str">
        <f>IF(AND($O6726=$Q$7,$B6726&lt;'111'!$L$11),"x","")</f>
        <v/>
      </c>
      <c r="T6726" s="79" t="str">
        <f>IF(ISERROR(FIND('112'!$M$9,G6726,1)),"",IF((AND(FIND('112'!$M$9,G6726,1)&gt;=1,B6726='112'!$K$9,OR($N6726='112'!$I$6,$O6726='112'!$I$6))),"x",""))</f>
        <v/>
      </c>
      <c r="U6726" s="79" t="str">
        <f>IF(ISERROR(FIND('112'!$M$9,G6726,1)),"",IF((AND(LEFT(G6726,2)=LEFT('112'!$M$9,2),B6726&lt;'112'!$K$9,$N6726='112'!$I$6)),"x",""))</f>
        <v/>
      </c>
      <c r="V6726" s="79" t="str">
        <f>IF(ISERROR(FIND('112'!$M$9,G6726,1)),"",IF((AND(RIGHT(G6726,2)=RIGHT('112'!$M$9,2),B6726&lt;'112'!$K$9,$O6726='112'!$I$6)),"x",""))</f>
        <v/>
      </c>
      <c r="W6726" s="79" t="str">
        <f>IF(AND('341-CT'!$H$9=H6726,OR(LEFT(N6726,3)=$W$7,LEFT(O6726,3)=$W$7)),"x","")</f>
        <v/>
      </c>
      <c r="X6726" s="79" t="str">
        <f>IF(OR(TH!N6726=TH!$X$7,O6726=TH!$X$7),"x","")</f>
        <v/>
      </c>
      <c r="Y6726" s="79" t="str">
        <f>IF(AND(OR(N6726="131",O6726="131"),H6726='131-CT'!$H$9),"x","")</f>
        <v/>
      </c>
      <c r="Z6726" s="79"/>
      <c r="AA6726" s="79" t="str">
        <f>IF(AND(MONTH(E6726)='IN-NX'!$J$5,'IN-NX'!$D$7=D6726),"x","")</f>
        <v/>
      </c>
      <c r="AB6726" s="79" t="str">
        <f>IF(AND(OR(LEFT(TH!N6726,2)="15",LEFT(TH!O6726,2)="15"),LEFT(TH!O6726,3)&lt;&gt;"111",'152-CT'!$J$8=TH!F6726),"x","")</f>
        <v/>
      </c>
      <c r="AC6726" s="79" t="str">
        <f>IF(AND(OR(LEFT(TH!N6726,2)="15",LEFT(TH!O6726,2)="15"),TK!$E$7=TH!F6726),"x","")</f>
        <v/>
      </c>
      <c r="AD6726" s="79" t="str">
        <f>IF(AND(N6726="1521",MONTH(C6726)='BK-NL'!$M$11),"x","")</f>
        <v/>
      </c>
    </row>
    <row r="6727" spans="1:30" ht="16.5" customHeight="1">
      <c r="A6727" s="318" t="str">
        <f>IF(B6727&lt;&gt;"",IF(AND(B6727='IN-TC'!$S$4,OR(TH!N6727="1111",TH!O6727="1111")),TH!D6727,""),"")</f>
        <v/>
      </c>
      <c r="B6727" s="1163" t="str">
        <f t="shared" si="526"/>
        <v/>
      </c>
      <c r="C6727" s="61"/>
      <c r="D6727" s="61"/>
      <c r="E6727" s="61"/>
      <c r="F6727" s="69"/>
      <c r="G6727" s="64"/>
      <c r="H6727" s="69"/>
      <c r="I6727" s="385"/>
      <c r="J6727" s="392"/>
      <c r="K6727" s="385"/>
      <c r="L6727" s="392"/>
      <c r="M6727" s="62"/>
      <c r="N6727" s="63"/>
      <c r="O6727" s="63"/>
      <c r="P6727" s="79" t="str">
        <f>IF(AND('331-CT'!$E$7=TH!H6727,OR(N6727="331",O6727="331")),"x","")</f>
        <v/>
      </c>
      <c r="Q6727" s="79" t="str">
        <f>IF(AND(B6727='111'!$L$11,OR($N6727=$Q$7,$O6727=$Q$7)),"x","")</f>
        <v/>
      </c>
      <c r="R6727" s="79" t="str">
        <f>IF(AND($N6727=$Q$7,$B6727&lt;'111'!$L$11),"x","")</f>
        <v/>
      </c>
      <c r="S6727" s="79" t="str">
        <f>IF(AND($O6727=$Q$7,$B6727&lt;'111'!$L$11),"x","")</f>
        <v/>
      </c>
      <c r="T6727" s="79" t="str">
        <f>IF(ISERROR(FIND('112'!$M$9,G6727,1)),"",IF((AND(FIND('112'!$M$9,G6727,1)&gt;=1,B6727='112'!$K$9,OR($N6727='112'!$I$6,$O6727='112'!$I$6))),"x",""))</f>
        <v/>
      </c>
      <c r="U6727" s="79" t="str">
        <f>IF(ISERROR(FIND('112'!$M$9,G6727,1)),"",IF((AND(LEFT(G6727,2)=LEFT('112'!$M$9,2),B6727&lt;'112'!$K$9,$N6727='112'!$I$6)),"x",""))</f>
        <v/>
      </c>
      <c r="V6727" s="79" t="str">
        <f>IF(ISERROR(FIND('112'!$M$9,G6727,1)),"",IF((AND(RIGHT(G6727,2)=RIGHT('112'!$M$9,2),B6727&lt;'112'!$K$9,$O6727='112'!$I$6)),"x",""))</f>
        <v/>
      </c>
      <c r="W6727" s="79" t="str">
        <f>IF(AND('341-CT'!$H$9=H6727,OR(LEFT(N6727,3)=$W$7,LEFT(O6727,3)=$W$7)),"x","")</f>
        <v/>
      </c>
      <c r="X6727" s="79" t="str">
        <f>IF(OR(TH!N6727=TH!$X$7,O6727=TH!$X$7),"x","")</f>
        <v/>
      </c>
      <c r="Y6727" s="79" t="str">
        <f>IF(AND(OR(N6727="131",O6727="131"),H6727='131-CT'!$H$9),"x","")</f>
        <v/>
      </c>
      <c r="Z6727" s="79"/>
      <c r="AA6727" s="79" t="str">
        <f>IF(AND(MONTH(E6727)='IN-NX'!$J$5,'IN-NX'!$D$7=D6727),"x","")</f>
        <v/>
      </c>
      <c r="AB6727" s="79" t="str">
        <f>IF(AND(OR(LEFT(TH!N6727,2)="15",LEFT(TH!O6727,2)="15"),LEFT(TH!O6727,3)&lt;&gt;"111",'152-CT'!$J$8=TH!F6727),"x","")</f>
        <v/>
      </c>
      <c r="AC6727" s="79" t="str">
        <f>IF(AND(OR(LEFT(TH!N6727,2)="15",LEFT(TH!O6727,2)="15"),TK!$E$7=TH!F6727),"x","")</f>
        <v/>
      </c>
      <c r="AD6727" s="79" t="str">
        <f>IF(AND(N6727="1521",MONTH(C6727)='BK-NL'!$M$11),"x","")</f>
        <v/>
      </c>
    </row>
    <row r="6728" spans="1:30" ht="16.5" customHeight="1">
      <c r="A6728" s="318" t="str">
        <f>IF(B6728&lt;&gt;"",IF(AND(B6728='IN-TC'!$S$4,OR(TH!N6728="1111",TH!O6728="1111")),TH!D6728,""),"")</f>
        <v/>
      </c>
      <c r="B6728" s="1163" t="str">
        <f t="shared" si="526"/>
        <v/>
      </c>
      <c r="C6728" s="61"/>
      <c r="D6728" s="61"/>
      <c r="E6728" s="61"/>
      <c r="F6728" s="69"/>
      <c r="G6728" s="64"/>
      <c r="H6728" s="69"/>
      <c r="I6728" s="385"/>
      <c r="J6728" s="392"/>
      <c r="K6728" s="385"/>
      <c r="L6728" s="392"/>
      <c r="M6728" s="62"/>
      <c r="N6728" s="63"/>
      <c r="O6728" s="63"/>
      <c r="P6728" s="79" t="str">
        <f>IF(AND('331-CT'!$E$7=TH!H6728,OR(N6728="331",O6728="331")),"x","")</f>
        <v/>
      </c>
      <c r="Q6728" s="79" t="str">
        <f>IF(AND(B6728='111'!$L$11,OR($N6728=$Q$7,$O6728=$Q$7)),"x","")</f>
        <v/>
      </c>
      <c r="R6728" s="79" t="str">
        <f>IF(AND($N6728=$Q$7,$B6728&lt;'111'!$L$11),"x","")</f>
        <v/>
      </c>
      <c r="S6728" s="79" t="str">
        <f>IF(AND($O6728=$Q$7,$B6728&lt;'111'!$L$11),"x","")</f>
        <v/>
      </c>
      <c r="T6728" s="79" t="str">
        <f>IF(ISERROR(FIND('112'!$M$9,G6728,1)),"",IF((AND(FIND('112'!$M$9,G6728,1)&gt;=1,B6728='112'!$K$9,OR($N6728='112'!$I$6,$O6728='112'!$I$6))),"x",""))</f>
        <v/>
      </c>
      <c r="U6728" s="79" t="str">
        <f>IF(ISERROR(FIND('112'!$M$9,G6728,1)),"",IF((AND(LEFT(G6728,2)=LEFT('112'!$M$9,2),B6728&lt;'112'!$K$9,$N6728='112'!$I$6)),"x",""))</f>
        <v/>
      </c>
      <c r="V6728" s="79" t="str">
        <f>IF(ISERROR(FIND('112'!$M$9,G6728,1)),"",IF((AND(RIGHT(G6728,2)=RIGHT('112'!$M$9,2),B6728&lt;'112'!$K$9,$O6728='112'!$I$6)),"x",""))</f>
        <v/>
      </c>
      <c r="W6728" s="79" t="str">
        <f>IF(AND('341-CT'!$H$9=H6728,OR(LEFT(N6728,3)=$W$7,LEFT(O6728,3)=$W$7)),"x","")</f>
        <v/>
      </c>
      <c r="X6728" s="79" t="str">
        <f>IF(OR(TH!N6728=TH!$X$7,O6728=TH!$X$7),"x","")</f>
        <v/>
      </c>
      <c r="Y6728" s="79" t="str">
        <f>IF(AND(OR(N6728="131",O6728="131"),H6728='131-CT'!$H$9),"x","")</f>
        <v/>
      </c>
      <c r="Z6728" s="79"/>
      <c r="AA6728" s="79" t="str">
        <f>IF(AND(MONTH(E6728)='IN-NX'!$J$5,'IN-NX'!$D$7=D6728),"x","")</f>
        <v/>
      </c>
      <c r="AB6728" s="79" t="str">
        <f>IF(AND(OR(LEFT(TH!N6728,2)="15",LEFT(TH!O6728,2)="15"),LEFT(TH!O6728,3)&lt;&gt;"111",'152-CT'!$J$8=TH!F6728),"x","")</f>
        <v/>
      </c>
      <c r="AC6728" s="79" t="str">
        <f>IF(AND(OR(LEFT(TH!N6728,2)="15",LEFT(TH!O6728,2)="15"),TK!$E$7=TH!F6728),"x","")</f>
        <v/>
      </c>
      <c r="AD6728" s="79" t="str">
        <f>IF(AND(N6728="1521",MONTH(C6728)='BK-NL'!$M$11),"x","")</f>
        <v/>
      </c>
    </row>
    <row r="6729" spans="1:30" ht="16.5" customHeight="1">
      <c r="A6729" s="318" t="str">
        <f>IF(B6729&lt;&gt;"",IF(AND(B6729='IN-TC'!$S$4,OR(TH!N6729="1111",TH!O6729="1111")),TH!D6729,""),"")</f>
        <v/>
      </c>
      <c r="B6729" s="1163" t="str">
        <f t="shared" si="526"/>
        <v/>
      </c>
      <c r="C6729" s="61"/>
      <c r="D6729" s="61"/>
      <c r="E6729" s="61"/>
      <c r="F6729" s="69"/>
      <c r="G6729" s="64"/>
      <c r="H6729" s="69"/>
      <c r="I6729" s="385"/>
      <c r="J6729" s="392"/>
      <c r="K6729" s="385"/>
      <c r="L6729" s="392"/>
      <c r="M6729" s="62"/>
      <c r="N6729" s="63"/>
      <c r="O6729" s="63"/>
      <c r="P6729" s="79" t="str">
        <f>IF(AND('331-CT'!$E$7=TH!H6729,OR(N6729="331",O6729="331")),"x","")</f>
        <v/>
      </c>
      <c r="Q6729" s="79" t="str">
        <f>IF(AND(B6729='111'!$L$11,OR($N6729=$Q$7,$O6729=$Q$7)),"x","")</f>
        <v/>
      </c>
      <c r="R6729" s="79" t="str">
        <f>IF(AND($N6729=$Q$7,$B6729&lt;'111'!$L$11),"x","")</f>
        <v/>
      </c>
      <c r="S6729" s="79" t="str">
        <f>IF(AND($O6729=$Q$7,$B6729&lt;'111'!$L$11),"x","")</f>
        <v/>
      </c>
      <c r="T6729" s="79" t="str">
        <f>IF(ISERROR(FIND('112'!$M$9,G6729,1)),"",IF((AND(FIND('112'!$M$9,G6729,1)&gt;=1,B6729='112'!$K$9,OR($N6729='112'!$I$6,$O6729='112'!$I$6))),"x",""))</f>
        <v/>
      </c>
      <c r="U6729" s="79" t="str">
        <f>IF(ISERROR(FIND('112'!$M$9,G6729,1)),"",IF((AND(LEFT(G6729,2)=LEFT('112'!$M$9,2),B6729&lt;'112'!$K$9,$N6729='112'!$I$6)),"x",""))</f>
        <v/>
      </c>
      <c r="V6729" s="79" t="str">
        <f>IF(ISERROR(FIND('112'!$M$9,G6729,1)),"",IF((AND(RIGHT(G6729,2)=RIGHT('112'!$M$9,2),B6729&lt;'112'!$K$9,$O6729='112'!$I$6)),"x",""))</f>
        <v/>
      </c>
      <c r="W6729" s="79" t="str">
        <f>IF(AND('341-CT'!$H$9=H6729,OR(LEFT(N6729,3)=$W$7,LEFT(O6729,3)=$W$7)),"x","")</f>
        <v/>
      </c>
      <c r="X6729" s="79" t="str">
        <f>IF(OR(TH!N6729=TH!$X$7,O6729=TH!$X$7),"x","")</f>
        <v/>
      </c>
      <c r="Y6729" s="79" t="str">
        <f>IF(AND(OR(N6729="131",O6729="131"),H6729='131-CT'!$H$9),"x","")</f>
        <v/>
      </c>
      <c r="Z6729" s="79"/>
      <c r="AA6729" s="79" t="str">
        <f>IF(AND(MONTH(E6729)='IN-NX'!$J$5,'IN-NX'!$D$7=D6729),"x","")</f>
        <v/>
      </c>
      <c r="AB6729" s="79" t="str">
        <f>IF(AND(OR(LEFT(TH!N6729,2)="15",LEFT(TH!O6729,2)="15"),LEFT(TH!O6729,3)&lt;&gt;"111",'152-CT'!$J$8=TH!F6729),"x","")</f>
        <v/>
      </c>
      <c r="AC6729" s="79" t="str">
        <f>IF(AND(OR(LEFT(TH!N6729,2)="15",LEFT(TH!O6729,2)="15"),TK!$E$7=TH!F6729),"x","")</f>
        <v/>
      </c>
      <c r="AD6729" s="79" t="str">
        <f>IF(AND(N6729="1521",MONTH(C6729)='BK-NL'!$M$11),"x","")</f>
        <v/>
      </c>
    </row>
    <row r="6730" spans="1:30" ht="16.5" customHeight="1">
      <c r="A6730" s="318" t="str">
        <f>IF(B6730&lt;&gt;"",IF(AND(B6730='IN-TC'!$S$4,OR(TH!N6730="1111",TH!O6730="1111")),TH!D6730,""),"")</f>
        <v/>
      </c>
      <c r="B6730" s="1163" t="str">
        <f t="shared" si="526"/>
        <v/>
      </c>
      <c r="C6730" s="61"/>
      <c r="D6730" s="61"/>
      <c r="E6730" s="61"/>
      <c r="F6730" s="69"/>
      <c r="G6730" s="64"/>
      <c r="H6730" s="69"/>
      <c r="I6730" s="385"/>
      <c r="J6730" s="392"/>
      <c r="K6730" s="385"/>
      <c r="L6730" s="392"/>
      <c r="M6730" s="62"/>
      <c r="N6730" s="63"/>
      <c r="O6730" s="63"/>
      <c r="P6730" s="79" t="str">
        <f>IF(AND('331-CT'!$E$7=TH!H6730,OR(N6730="331",O6730="331")),"x","")</f>
        <v/>
      </c>
      <c r="Q6730" s="79" t="str">
        <f>IF(AND(B6730='111'!$L$11,OR($N6730=$Q$7,$O6730=$Q$7)),"x","")</f>
        <v/>
      </c>
      <c r="R6730" s="79" t="str">
        <f>IF(AND($N6730=$Q$7,$B6730&lt;'111'!$L$11),"x","")</f>
        <v/>
      </c>
      <c r="S6730" s="79" t="str">
        <f>IF(AND($O6730=$Q$7,$B6730&lt;'111'!$L$11),"x","")</f>
        <v/>
      </c>
      <c r="T6730" s="79" t="str">
        <f>IF(ISERROR(FIND('112'!$M$9,G6730,1)),"",IF((AND(FIND('112'!$M$9,G6730,1)&gt;=1,B6730='112'!$K$9,OR($N6730='112'!$I$6,$O6730='112'!$I$6))),"x",""))</f>
        <v/>
      </c>
      <c r="U6730" s="79" t="str">
        <f>IF(ISERROR(FIND('112'!$M$9,G6730,1)),"",IF((AND(LEFT(G6730,2)=LEFT('112'!$M$9,2),B6730&lt;'112'!$K$9,$N6730='112'!$I$6)),"x",""))</f>
        <v/>
      </c>
      <c r="V6730" s="79" t="str">
        <f>IF(ISERROR(FIND('112'!$M$9,G6730,1)),"",IF((AND(RIGHT(G6730,2)=RIGHT('112'!$M$9,2),B6730&lt;'112'!$K$9,$O6730='112'!$I$6)),"x",""))</f>
        <v/>
      </c>
      <c r="W6730" s="79" t="str">
        <f>IF(AND('341-CT'!$H$9=H6730,OR(LEFT(N6730,3)=$W$7,LEFT(O6730,3)=$W$7)),"x","")</f>
        <v/>
      </c>
      <c r="X6730" s="79" t="str">
        <f>IF(OR(TH!N6730=TH!$X$7,O6730=TH!$X$7),"x","")</f>
        <v/>
      </c>
      <c r="Y6730" s="79" t="str">
        <f>IF(AND(OR(N6730="131",O6730="131"),H6730='131-CT'!$H$9),"x","")</f>
        <v/>
      </c>
      <c r="Z6730" s="79"/>
      <c r="AA6730" s="79" t="str">
        <f>IF(AND(MONTH(E6730)='IN-NX'!$J$5,'IN-NX'!$D$7=D6730),"x","")</f>
        <v/>
      </c>
      <c r="AB6730" s="79" t="str">
        <f>IF(AND(OR(LEFT(TH!N6730,2)="15",LEFT(TH!O6730,2)="15"),LEFT(TH!O6730,3)&lt;&gt;"111",'152-CT'!$J$8=TH!F6730),"x","")</f>
        <v/>
      </c>
      <c r="AC6730" s="79" t="str">
        <f>IF(AND(OR(LEFT(TH!N6730,2)="15",LEFT(TH!O6730,2)="15"),TK!$E$7=TH!F6730),"x","")</f>
        <v/>
      </c>
      <c r="AD6730" s="79" t="str">
        <f>IF(AND(N6730="1521",MONTH(C6730)='BK-NL'!$M$11),"x","")</f>
        <v/>
      </c>
    </row>
    <row r="6731" spans="1:30" ht="16.5" customHeight="1">
      <c r="A6731" s="318" t="str">
        <f>IF(B6731&lt;&gt;"",IF(AND(B6731='IN-TC'!$S$4,OR(TH!N6731="1111",TH!O6731="1111")),TH!D6731,""),"")</f>
        <v/>
      </c>
      <c r="B6731" s="1163" t="str">
        <f t="shared" si="526"/>
        <v/>
      </c>
      <c r="C6731" s="61"/>
      <c r="D6731" s="61"/>
      <c r="E6731" s="61"/>
      <c r="F6731" s="69"/>
      <c r="G6731" s="64"/>
      <c r="H6731" s="69"/>
      <c r="I6731" s="385"/>
      <c r="J6731" s="392"/>
      <c r="K6731" s="385"/>
      <c r="L6731" s="392"/>
      <c r="M6731" s="62"/>
      <c r="N6731" s="63"/>
      <c r="O6731" s="63"/>
      <c r="P6731" s="79" t="str">
        <f>IF(AND('331-CT'!$E$7=TH!H6731,OR(N6731="331",O6731="331")),"x","")</f>
        <v/>
      </c>
      <c r="Q6731" s="79" t="str">
        <f>IF(AND(B6731='111'!$L$11,OR($N6731=$Q$7,$O6731=$Q$7)),"x","")</f>
        <v/>
      </c>
      <c r="R6731" s="79" t="str">
        <f>IF(AND($N6731=$Q$7,$B6731&lt;'111'!$L$11),"x","")</f>
        <v/>
      </c>
      <c r="S6731" s="79" t="str">
        <f>IF(AND($O6731=$Q$7,$B6731&lt;'111'!$L$11),"x","")</f>
        <v/>
      </c>
      <c r="T6731" s="79" t="str">
        <f>IF(ISERROR(FIND('112'!$M$9,G6731,1)),"",IF((AND(FIND('112'!$M$9,G6731,1)&gt;=1,B6731='112'!$K$9,OR($N6731='112'!$I$6,$O6731='112'!$I$6))),"x",""))</f>
        <v/>
      </c>
      <c r="U6731" s="79" t="str">
        <f>IF(ISERROR(FIND('112'!$M$9,G6731,1)),"",IF((AND(LEFT(G6731,2)=LEFT('112'!$M$9,2),B6731&lt;'112'!$K$9,$N6731='112'!$I$6)),"x",""))</f>
        <v/>
      </c>
      <c r="V6731" s="79" t="str">
        <f>IF(ISERROR(FIND('112'!$M$9,G6731,1)),"",IF((AND(RIGHT(G6731,2)=RIGHT('112'!$M$9,2),B6731&lt;'112'!$K$9,$O6731='112'!$I$6)),"x",""))</f>
        <v/>
      </c>
      <c r="W6731" s="79" t="str">
        <f>IF(AND('341-CT'!$H$9=H6731,OR(LEFT(N6731,3)=$W$7,LEFT(O6731,3)=$W$7)),"x","")</f>
        <v/>
      </c>
      <c r="X6731" s="79" t="str">
        <f>IF(OR(TH!N6731=TH!$X$7,O6731=TH!$X$7),"x","")</f>
        <v/>
      </c>
      <c r="Y6731" s="79" t="str">
        <f>IF(AND(OR(N6731="131",O6731="131"),H6731='131-CT'!$H$9),"x","")</f>
        <v/>
      </c>
      <c r="Z6731" s="79"/>
      <c r="AA6731" s="79" t="str">
        <f>IF(AND(MONTH(E6731)='IN-NX'!$J$5,'IN-NX'!$D$7=D6731),"x","")</f>
        <v/>
      </c>
      <c r="AB6731" s="79" t="str">
        <f>IF(AND(OR(LEFT(TH!N6731,2)="15",LEFT(TH!O6731,2)="15"),LEFT(TH!O6731,3)&lt;&gt;"111",'152-CT'!$J$8=TH!F6731),"x","")</f>
        <v/>
      </c>
      <c r="AC6731" s="79" t="str">
        <f>IF(AND(OR(LEFT(TH!N6731,2)="15",LEFT(TH!O6731,2)="15"),TK!$E$7=TH!F6731),"x","")</f>
        <v/>
      </c>
      <c r="AD6731" s="79" t="str">
        <f>IF(AND(N6731="1521",MONTH(C6731)='BK-NL'!$M$11),"x","")</f>
        <v/>
      </c>
    </row>
    <row r="6732" spans="1:30" ht="16.5" customHeight="1">
      <c r="A6732" s="318" t="str">
        <f>IF(B6732&lt;&gt;"",IF(AND(B6732='IN-TC'!$S$4,OR(TH!N6732="1111",TH!O6732="1111")),TH!D6732,""),"")</f>
        <v/>
      </c>
      <c r="B6732" s="1163" t="str">
        <f t="shared" si="526"/>
        <v/>
      </c>
      <c r="C6732" s="61"/>
      <c r="D6732" s="61"/>
      <c r="E6732" s="61"/>
      <c r="F6732" s="69"/>
      <c r="G6732" s="64"/>
      <c r="H6732" s="69"/>
      <c r="I6732" s="385"/>
      <c r="J6732" s="392"/>
      <c r="K6732" s="385"/>
      <c r="L6732" s="392"/>
      <c r="M6732" s="62"/>
      <c r="N6732" s="63"/>
      <c r="O6732" s="63"/>
      <c r="P6732" s="79" t="str">
        <f>IF(AND('331-CT'!$E$7=TH!H6732,OR(N6732="331",O6732="331")),"x","")</f>
        <v/>
      </c>
      <c r="Q6732" s="79" t="str">
        <f>IF(AND(B6732='111'!$L$11,OR($N6732=$Q$7,$O6732=$Q$7)),"x","")</f>
        <v/>
      </c>
      <c r="R6732" s="79" t="str">
        <f>IF(AND($N6732=$Q$7,$B6732&lt;'111'!$L$11),"x","")</f>
        <v/>
      </c>
      <c r="S6732" s="79" t="str">
        <f>IF(AND($O6732=$Q$7,$B6732&lt;'111'!$L$11),"x","")</f>
        <v/>
      </c>
      <c r="T6732" s="79" t="str">
        <f>IF(ISERROR(FIND('112'!$M$9,G6732,1)),"",IF((AND(FIND('112'!$M$9,G6732,1)&gt;=1,B6732='112'!$K$9,OR($N6732='112'!$I$6,$O6732='112'!$I$6))),"x",""))</f>
        <v/>
      </c>
      <c r="U6732" s="79" t="str">
        <f>IF(ISERROR(FIND('112'!$M$9,G6732,1)),"",IF((AND(LEFT(G6732,2)=LEFT('112'!$M$9,2),B6732&lt;'112'!$K$9,$N6732='112'!$I$6)),"x",""))</f>
        <v/>
      </c>
      <c r="V6732" s="79" t="str">
        <f>IF(ISERROR(FIND('112'!$M$9,G6732,1)),"",IF((AND(RIGHT(G6732,2)=RIGHT('112'!$M$9,2),B6732&lt;'112'!$K$9,$O6732='112'!$I$6)),"x",""))</f>
        <v/>
      </c>
      <c r="W6732" s="79" t="str">
        <f>IF(AND('341-CT'!$H$9=H6732,OR(LEFT(N6732,3)=$W$7,LEFT(O6732,3)=$W$7)),"x","")</f>
        <v/>
      </c>
      <c r="X6732" s="79" t="str">
        <f>IF(OR(TH!N6732=TH!$X$7,O6732=TH!$X$7),"x","")</f>
        <v/>
      </c>
      <c r="Y6732" s="79" t="str">
        <f>IF(AND(OR(N6732="131",O6732="131"),H6732='131-CT'!$H$9),"x","")</f>
        <v/>
      </c>
      <c r="Z6732" s="79"/>
      <c r="AA6732" s="79" t="str">
        <f>IF(AND(MONTH(E6732)='IN-NX'!$J$5,'IN-NX'!$D$7=D6732),"x","")</f>
        <v/>
      </c>
      <c r="AB6732" s="79" t="str">
        <f>IF(AND(OR(LEFT(TH!N6732,2)="15",LEFT(TH!O6732,2)="15"),LEFT(TH!O6732,3)&lt;&gt;"111",'152-CT'!$J$8=TH!F6732),"x","")</f>
        <v/>
      </c>
      <c r="AC6732" s="79" t="str">
        <f>IF(AND(OR(LEFT(TH!N6732,2)="15",LEFT(TH!O6732,2)="15"),TK!$E$7=TH!F6732),"x","")</f>
        <v/>
      </c>
      <c r="AD6732" s="79" t="str">
        <f>IF(AND(N6732="1521",MONTH(C6732)='BK-NL'!$M$11),"x","")</f>
        <v/>
      </c>
    </row>
    <row r="6733" spans="1:30" ht="16.5" customHeight="1">
      <c r="A6733" s="318" t="str">
        <f>IF(B6733&lt;&gt;"",IF(AND(B6733='IN-TC'!$S$4,OR(TH!N6733="1111",TH!O6733="1111")),TH!D6733,""),"")</f>
        <v/>
      </c>
      <c r="B6733" s="1163" t="str">
        <f t="shared" si="526"/>
        <v/>
      </c>
      <c r="C6733" s="61"/>
      <c r="D6733" s="61"/>
      <c r="E6733" s="61"/>
      <c r="F6733" s="69"/>
      <c r="G6733" s="64"/>
      <c r="H6733" s="69"/>
      <c r="I6733" s="385"/>
      <c r="J6733" s="392"/>
      <c r="K6733" s="385"/>
      <c r="L6733" s="392"/>
      <c r="M6733" s="62"/>
      <c r="N6733" s="63"/>
      <c r="O6733" s="63"/>
      <c r="P6733" s="79" t="str">
        <f>IF(AND('331-CT'!$E$7=TH!H6733,OR(N6733="331",O6733="331")),"x","")</f>
        <v/>
      </c>
      <c r="Q6733" s="79" t="str">
        <f>IF(AND(B6733='111'!$L$11,OR($N6733=$Q$7,$O6733=$Q$7)),"x","")</f>
        <v/>
      </c>
      <c r="R6733" s="79" t="str">
        <f>IF(AND($N6733=$Q$7,$B6733&lt;'111'!$L$11),"x","")</f>
        <v/>
      </c>
      <c r="S6733" s="79" t="str">
        <f>IF(AND($O6733=$Q$7,$B6733&lt;'111'!$L$11),"x","")</f>
        <v/>
      </c>
      <c r="T6733" s="79" t="str">
        <f>IF(ISERROR(FIND('112'!$M$9,G6733,1)),"",IF((AND(FIND('112'!$M$9,G6733,1)&gt;=1,B6733='112'!$K$9,OR($N6733='112'!$I$6,$O6733='112'!$I$6))),"x",""))</f>
        <v/>
      </c>
      <c r="U6733" s="79" t="str">
        <f>IF(ISERROR(FIND('112'!$M$9,G6733,1)),"",IF((AND(LEFT(G6733,2)=LEFT('112'!$M$9,2),B6733&lt;'112'!$K$9,$N6733='112'!$I$6)),"x",""))</f>
        <v/>
      </c>
      <c r="V6733" s="79" t="str">
        <f>IF(ISERROR(FIND('112'!$M$9,G6733,1)),"",IF((AND(RIGHT(G6733,2)=RIGHT('112'!$M$9,2),B6733&lt;'112'!$K$9,$O6733='112'!$I$6)),"x",""))</f>
        <v/>
      </c>
      <c r="W6733" s="79" t="str">
        <f>IF(AND('341-CT'!$H$9=H6733,OR(LEFT(N6733,3)=$W$7,LEFT(O6733,3)=$W$7)),"x","")</f>
        <v/>
      </c>
      <c r="X6733" s="79" t="str">
        <f>IF(OR(TH!N6733=TH!$X$7,O6733=TH!$X$7),"x","")</f>
        <v/>
      </c>
      <c r="Y6733" s="79" t="str">
        <f>IF(AND(OR(N6733="131",O6733="131"),H6733='131-CT'!$H$9),"x","")</f>
        <v/>
      </c>
      <c r="Z6733" s="79"/>
      <c r="AA6733" s="79" t="str">
        <f>IF(AND(MONTH(E6733)='IN-NX'!$J$5,'IN-NX'!$D$7=D6733),"x","")</f>
        <v/>
      </c>
      <c r="AB6733" s="79" t="str">
        <f>IF(AND(OR(LEFT(TH!N6733,2)="15",LEFT(TH!O6733,2)="15"),LEFT(TH!O6733,3)&lt;&gt;"111",'152-CT'!$J$8=TH!F6733),"x","")</f>
        <v/>
      </c>
      <c r="AC6733" s="79" t="str">
        <f>IF(AND(OR(LEFT(TH!N6733,2)="15",LEFT(TH!O6733,2)="15"),TK!$E$7=TH!F6733),"x","")</f>
        <v/>
      </c>
      <c r="AD6733" s="79" t="str">
        <f>IF(AND(N6733="1521",MONTH(C6733)='BK-NL'!$M$11),"x","")</f>
        <v/>
      </c>
    </row>
    <row r="6734" spans="1:30" ht="16.5" customHeight="1">
      <c r="A6734" s="318" t="str">
        <f>IF(B6734&lt;&gt;"",IF(AND(B6734='IN-TC'!$S$4,OR(TH!N6734="1111",TH!O6734="1111")),TH!D6734,""),"")</f>
        <v/>
      </c>
      <c r="B6734" s="1163" t="str">
        <f t="shared" si="526"/>
        <v/>
      </c>
      <c r="C6734" s="61"/>
      <c r="D6734" s="61"/>
      <c r="E6734" s="61"/>
      <c r="F6734" s="69"/>
      <c r="G6734" s="64"/>
      <c r="H6734" s="69"/>
      <c r="I6734" s="385"/>
      <c r="J6734" s="392"/>
      <c r="K6734" s="385"/>
      <c r="L6734" s="392"/>
      <c r="M6734" s="62"/>
      <c r="N6734" s="63"/>
      <c r="O6734" s="63"/>
      <c r="P6734" s="79" t="str">
        <f>IF(AND('331-CT'!$E$7=TH!H6734,OR(N6734="331",O6734="331")),"x","")</f>
        <v/>
      </c>
      <c r="Q6734" s="79" t="str">
        <f>IF(AND(B6734='111'!$L$11,OR($N6734=$Q$7,$O6734=$Q$7)),"x","")</f>
        <v/>
      </c>
      <c r="R6734" s="79" t="str">
        <f>IF(AND($N6734=$Q$7,$B6734&lt;'111'!$L$11),"x","")</f>
        <v/>
      </c>
      <c r="S6734" s="79" t="str">
        <f>IF(AND($O6734=$Q$7,$B6734&lt;'111'!$L$11),"x","")</f>
        <v/>
      </c>
      <c r="T6734" s="79" t="str">
        <f>IF(ISERROR(FIND('112'!$M$9,G6734,1)),"",IF((AND(FIND('112'!$M$9,G6734,1)&gt;=1,B6734='112'!$K$9,OR($N6734='112'!$I$6,$O6734='112'!$I$6))),"x",""))</f>
        <v/>
      </c>
      <c r="U6734" s="79" t="str">
        <f>IF(ISERROR(FIND('112'!$M$9,G6734,1)),"",IF((AND(LEFT(G6734,2)=LEFT('112'!$M$9,2),B6734&lt;'112'!$K$9,$N6734='112'!$I$6)),"x",""))</f>
        <v/>
      </c>
      <c r="V6734" s="79" t="str">
        <f>IF(ISERROR(FIND('112'!$M$9,G6734,1)),"",IF((AND(RIGHT(G6734,2)=RIGHT('112'!$M$9,2),B6734&lt;'112'!$K$9,$O6734='112'!$I$6)),"x",""))</f>
        <v/>
      </c>
      <c r="W6734" s="79" t="str">
        <f>IF(AND('341-CT'!$H$9=H6734,OR(LEFT(N6734,3)=$W$7,LEFT(O6734,3)=$W$7)),"x","")</f>
        <v/>
      </c>
      <c r="X6734" s="79" t="str">
        <f>IF(OR(TH!N6734=TH!$X$7,O6734=TH!$X$7),"x","")</f>
        <v/>
      </c>
      <c r="Y6734" s="79" t="str">
        <f>IF(AND(OR(N6734="131",O6734="131"),H6734='131-CT'!$H$9),"x","")</f>
        <v/>
      </c>
      <c r="Z6734" s="79"/>
      <c r="AA6734" s="79" t="str">
        <f>IF(AND(MONTH(E6734)='IN-NX'!$J$5,'IN-NX'!$D$7=D6734),"x","")</f>
        <v/>
      </c>
      <c r="AB6734" s="79" t="str">
        <f>IF(AND(OR(LEFT(TH!N6734,2)="15",LEFT(TH!O6734,2)="15"),LEFT(TH!O6734,3)&lt;&gt;"111",'152-CT'!$J$8=TH!F6734),"x","")</f>
        <v/>
      </c>
      <c r="AC6734" s="79" t="str">
        <f>IF(AND(OR(LEFT(TH!N6734,2)="15",LEFT(TH!O6734,2)="15"),TK!$E$7=TH!F6734),"x","")</f>
        <v/>
      </c>
      <c r="AD6734" s="79" t="str">
        <f>IF(AND(N6734="1521",MONTH(C6734)='BK-NL'!$M$11),"x","")</f>
        <v/>
      </c>
    </row>
    <row r="6735" spans="1:30" ht="16.5" customHeight="1">
      <c r="A6735" s="318" t="str">
        <f>IF(B6735&lt;&gt;"",IF(AND(B6735='IN-TC'!$S$4,OR(TH!N6735="1111",TH!O6735="1111")),TH!D6735,""),"")</f>
        <v/>
      </c>
      <c r="B6735" s="1163" t="str">
        <f t="shared" si="526"/>
        <v/>
      </c>
      <c r="C6735" s="61"/>
      <c r="D6735" s="61"/>
      <c r="E6735" s="61"/>
      <c r="F6735" s="69"/>
      <c r="G6735" s="64"/>
      <c r="H6735" s="69"/>
      <c r="I6735" s="385"/>
      <c r="J6735" s="392"/>
      <c r="K6735" s="385"/>
      <c r="L6735" s="392"/>
      <c r="M6735" s="62"/>
      <c r="N6735" s="63"/>
      <c r="O6735" s="63"/>
      <c r="P6735" s="79" t="str">
        <f>IF(AND('331-CT'!$E$7=TH!H6735,OR(N6735="331",O6735="331")),"x","")</f>
        <v/>
      </c>
      <c r="Q6735" s="79" t="str">
        <f>IF(AND(B6735='111'!$L$11,OR($N6735=$Q$7,$O6735=$Q$7)),"x","")</f>
        <v/>
      </c>
      <c r="R6735" s="79" t="str">
        <f>IF(AND($N6735=$Q$7,$B6735&lt;'111'!$L$11),"x","")</f>
        <v/>
      </c>
      <c r="S6735" s="79" t="str">
        <f>IF(AND($O6735=$Q$7,$B6735&lt;'111'!$L$11),"x","")</f>
        <v/>
      </c>
      <c r="T6735" s="79" t="str">
        <f>IF(ISERROR(FIND('112'!$M$9,G6735,1)),"",IF((AND(FIND('112'!$M$9,G6735,1)&gt;=1,B6735='112'!$K$9,OR($N6735='112'!$I$6,$O6735='112'!$I$6))),"x",""))</f>
        <v/>
      </c>
      <c r="U6735" s="79" t="str">
        <f>IF(ISERROR(FIND('112'!$M$9,G6735,1)),"",IF((AND(LEFT(G6735,2)=LEFT('112'!$M$9,2),B6735&lt;'112'!$K$9,$N6735='112'!$I$6)),"x",""))</f>
        <v/>
      </c>
      <c r="V6735" s="79" t="str">
        <f>IF(ISERROR(FIND('112'!$M$9,G6735,1)),"",IF((AND(RIGHT(G6735,2)=RIGHT('112'!$M$9,2),B6735&lt;'112'!$K$9,$O6735='112'!$I$6)),"x",""))</f>
        <v/>
      </c>
      <c r="W6735" s="79" t="str">
        <f>IF(AND('341-CT'!$H$9=H6735,OR(LEFT(N6735,3)=$W$7,LEFT(O6735,3)=$W$7)),"x","")</f>
        <v/>
      </c>
      <c r="X6735" s="79" t="str">
        <f>IF(OR(TH!N6735=TH!$X$7,O6735=TH!$X$7),"x","")</f>
        <v/>
      </c>
      <c r="Y6735" s="79" t="str">
        <f>IF(AND(OR(N6735="131",O6735="131"),H6735='131-CT'!$H$9),"x","")</f>
        <v/>
      </c>
      <c r="Z6735" s="79"/>
      <c r="AA6735" s="79" t="str">
        <f>IF(AND(MONTH(E6735)='IN-NX'!$J$5,'IN-NX'!$D$7=D6735),"x","")</f>
        <v/>
      </c>
      <c r="AB6735" s="79" t="str">
        <f>IF(AND(OR(LEFT(TH!N6735,2)="15",LEFT(TH!O6735,2)="15"),LEFT(TH!O6735,3)&lt;&gt;"111",'152-CT'!$J$8=TH!F6735),"x","")</f>
        <v/>
      </c>
      <c r="AC6735" s="79" t="str">
        <f>IF(AND(OR(LEFT(TH!N6735,2)="15",LEFT(TH!O6735,2)="15"),TK!$E$7=TH!F6735),"x","")</f>
        <v/>
      </c>
      <c r="AD6735" s="79" t="str">
        <f>IF(AND(N6735="1521",MONTH(C6735)='BK-NL'!$M$11),"x","")</f>
        <v/>
      </c>
    </row>
    <row r="6736" spans="1:30" ht="16.5" customHeight="1">
      <c r="A6736" s="318" t="str">
        <f>IF(B6736&lt;&gt;"",IF(AND(B6736='IN-TC'!$S$4,OR(TH!N6736="1111",TH!O6736="1111")),TH!D6736,""),"")</f>
        <v/>
      </c>
      <c r="B6736" s="1163" t="str">
        <f t="shared" si="526"/>
        <v/>
      </c>
      <c r="C6736" s="61"/>
      <c r="D6736" s="61"/>
      <c r="E6736" s="61"/>
      <c r="F6736" s="69"/>
      <c r="G6736" s="64"/>
      <c r="H6736" s="69"/>
      <c r="I6736" s="385"/>
      <c r="J6736" s="392"/>
      <c r="K6736" s="385"/>
      <c r="L6736" s="392"/>
      <c r="M6736" s="62"/>
      <c r="N6736" s="63"/>
      <c r="O6736" s="63"/>
      <c r="P6736" s="79" t="str">
        <f>IF(AND('331-CT'!$E$7=TH!H6736,OR(N6736="331",O6736="331")),"x","")</f>
        <v/>
      </c>
      <c r="Q6736" s="79" t="str">
        <f>IF(AND(B6736='111'!$L$11,OR($N6736=$Q$7,$O6736=$Q$7)),"x","")</f>
        <v/>
      </c>
      <c r="R6736" s="79" t="str">
        <f>IF(AND($N6736=$Q$7,$B6736&lt;'111'!$L$11),"x","")</f>
        <v/>
      </c>
      <c r="S6736" s="79" t="str">
        <f>IF(AND($O6736=$Q$7,$B6736&lt;'111'!$L$11),"x","")</f>
        <v/>
      </c>
      <c r="T6736" s="79" t="str">
        <f>IF(ISERROR(FIND('112'!$M$9,G6736,1)),"",IF((AND(FIND('112'!$M$9,G6736,1)&gt;=1,B6736='112'!$K$9,OR($N6736='112'!$I$6,$O6736='112'!$I$6))),"x",""))</f>
        <v/>
      </c>
      <c r="U6736" s="79" t="str">
        <f>IF(ISERROR(FIND('112'!$M$9,G6736,1)),"",IF((AND(LEFT(G6736,2)=LEFT('112'!$M$9,2),B6736&lt;'112'!$K$9,$N6736='112'!$I$6)),"x",""))</f>
        <v/>
      </c>
      <c r="V6736" s="79" t="str">
        <f>IF(ISERROR(FIND('112'!$M$9,G6736,1)),"",IF((AND(RIGHT(G6736,2)=RIGHT('112'!$M$9,2),B6736&lt;'112'!$K$9,$O6736='112'!$I$6)),"x",""))</f>
        <v/>
      </c>
      <c r="W6736" s="79" t="str">
        <f>IF(AND('341-CT'!$H$9=H6736,OR(LEFT(N6736,3)=$W$7,LEFT(O6736,3)=$W$7)),"x","")</f>
        <v/>
      </c>
      <c r="X6736" s="79" t="str">
        <f>IF(OR(TH!N6736=TH!$X$7,O6736=TH!$X$7),"x","")</f>
        <v/>
      </c>
      <c r="Y6736" s="79" t="str">
        <f>IF(AND(OR(N6736="131",O6736="131"),H6736='131-CT'!$H$9),"x","")</f>
        <v/>
      </c>
      <c r="Z6736" s="79"/>
      <c r="AA6736" s="79" t="str">
        <f>IF(AND(MONTH(E6736)='IN-NX'!$J$5,'IN-NX'!$D$7=D6736),"x","")</f>
        <v/>
      </c>
      <c r="AB6736" s="79" t="str">
        <f>IF(AND(OR(LEFT(TH!N6736,2)="15",LEFT(TH!O6736,2)="15"),LEFT(TH!O6736,3)&lt;&gt;"111",'152-CT'!$J$8=TH!F6736),"x","")</f>
        <v/>
      </c>
      <c r="AC6736" s="79" t="str">
        <f>IF(AND(OR(LEFT(TH!N6736,2)="15",LEFT(TH!O6736,2)="15"),TK!$E$7=TH!F6736),"x","")</f>
        <v/>
      </c>
      <c r="AD6736" s="79" t="str">
        <f>IF(AND(N6736="1521",MONTH(C6736)='BK-NL'!$M$11),"x","")</f>
        <v/>
      </c>
    </row>
    <row r="6737" spans="1:30" ht="16.5" customHeight="1">
      <c r="A6737" s="318" t="str">
        <f>IF(B6737&lt;&gt;"",IF(AND(B6737='IN-TC'!$S$4,OR(TH!N6737="1111",TH!O6737="1111")),TH!D6737,""),"")</f>
        <v/>
      </c>
      <c r="B6737" s="1163" t="str">
        <f t="shared" si="526"/>
        <v/>
      </c>
      <c r="C6737" s="61"/>
      <c r="D6737" s="61"/>
      <c r="E6737" s="61"/>
      <c r="F6737" s="69"/>
      <c r="G6737" s="64"/>
      <c r="H6737" s="69"/>
      <c r="I6737" s="385"/>
      <c r="J6737" s="392"/>
      <c r="K6737" s="385"/>
      <c r="L6737" s="392"/>
      <c r="M6737" s="62"/>
      <c r="N6737" s="63"/>
      <c r="O6737" s="63"/>
      <c r="P6737" s="79" t="str">
        <f>IF(AND('331-CT'!$E$7=TH!H6737,OR(N6737="331",O6737="331")),"x","")</f>
        <v/>
      </c>
      <c r="Q6737" s="79" t="str">
        <f>IF(AND(B6737='111'!$L$11,OR($N6737=$Q$7,$O6737=$Q$7)),"x","")</f>
        <v/>
      </c>
      <c r="R6737" s="79" t="str">
        <f>IF(AND($N6737=$Q$7,$B6737&lt;'111'!$L$11),"x","")</f>
        <v/>
      </c>
      <c r="S6737" s="79" t="str">
        <f>IF(AND($O6737=$Q$7,$B6737&lt;'111'!$L$11),"x","")</f>
        <v/>
      </c>
      <c r="T6737" s="79" t="str">
        <f>IF(ISERROR(FIND('112'!$M$9,G6737,1)),"",IF((AND(FIND('112'!$M$9,G6737,1)&gt;=1,B6737='112'!$K$9,OR($N6737='112'!$I$6,$O6737='112'!$I$6))),"x",""))</f>
        <v/>
      </c>
      <c r="U6737" s="79" t="str">
        <f>IF(ISERROR(FIND('112'!$M$9,G6737,1)),"",IF((AND(LEFT(G6737,2)=LEFT('112'!$M$9,2),B6737&lt;'112'!$K$9,$N6737='112'!$I$6)),"x",""))</f>
        <v/>
      </c>
      <c r="V6737" s="79" t="str">
        <f>IF(ISERROR(FIND('112'!$M$9,G6737,1)),"",IF((AND(RIGHT(G6737,2)=RIGHT('112'!$M$9,2),B6737&lt;'112'!$K$9,$O6737='112'!$I$6)),"x",""))</f>
        <v/>
      </c>
      <c r="W6737" s="79" t="str">
        <f>IF(AND('341-CT'!$H$9=H6737,OR(LEFT(N6737,3)=$W$7,LEFT(O6737,3)=$W$7)),"x","")</f>
        <v/>
      </c>
      <c r="X6737" s="79" t="str">
        <f>IF(OR(TH!N6737=TH!$X$7,O6737=TH!$X$7),"x","")</f>
        <v/>
      </c>
      <c r="Y6737" s="79" t="str">
        <f>IF(AND(OR(N6737="131",O6737="131"),H6737='131-CT'!$H$9),"x","")</f>
        <v/>
      </c>
      <c r="Z6737" s="79"/>
      <c r="AA6737" s="79" t="str">
        <f>IF(AND(MONTH(E6737)='IN-NX'!$J$5,'IN-NX'!$D$7=D6737),"x","")</f>
        <v/>
      </c>
      <c r="AB6737" s="79" t="str">
        <f>IF(AND(OR(LEFT(TH!N6737,2)="15",LEFT(TH!O6737,2)="15"),LEFT(TH!O6737,3)&lt;&gt;"111",'152-CT'!$J$8=TH!F6737),"x","")</f>
        <v/>
      </c>
      <c r="AC6737" s="79" t="str">
        <f>IF(AND(OR(LEFT(TH!N6737,2)="15",LEFT(TH!O6737,2)="15"),TK!$E$7=TH!F6737),"x","")</f>
        <v/>
      </c>
      <c r="AD6737" s="79" t="str">
        <f>IF(AND(N6737="1521",MONTH(C6737)='BK-NL'!$M$11),"x","")</f>
        <v/>
      </c>
    </row>
    <row r="6738" spans="1:30" ht="16.5" customHeight="1">
      <c r="A6738" s="318" t="str">
        <f>IF(B6738&lt;&gt;"",IF(AND(B6738='IN-TC'!$S$4,OR(TH!N6738="1111",TH!O6738="1111")),TH!D6738,""),"")</f>
        <v/>
      </c>
      <c r="B6738" s="1163" t="str">
        <f t="shared" si="526"/>
        <v/>
      </c>
      <c r="C6738" s="61"/>
      <c r="D6738" s="61"/>
      <c r="E6738" s="61"/>
      <c r="F6738" s="69"/>
      <c r="G6738" s="64"/>
      <c r="H6738" s="69"/>
      <c r="I6738" s="385"/>
      <c r="J6738" s="392"/>
      <c r="K6738" s="385"/>
      <c r="L6738" s="392"/>
      <c r="M6738" s="62"/>
      <c r="N6738" s="63"/>
      <c r="O6738" s="63"/>
      <c r="P6738" s="79" t="str">
        <f>IF(AND('331-CT'!$E$7=TH!H6738,OR(N6738="331",O6738="331")),"x","")</f>
        <v/>
      </c>
      <c r="Q6738" s="79" t="str">
        <f>IF(AND(B6738='111'!$L$11,OR($N6738=$Q$7,$O6738=$Q$7)),"x","")</f>
        <v/>
      </c>
      <c r="R6738" s="79" t="str">
        <f>IF(AND($N6738=$Q$7,$B6738&lt;'111'!$L$11),"x","")</f>
        <v/>
      </c>
      <c r="S6738" s="79" t="str">
        <f>IF(AND($O6738=$Q$7,$B6738&lt;'111'!$L$11),"x","")</f>
        <v/>
      </c>
      <c r="T6738" s="79" t="str">
        <f>IF(ISERROR(FIND('112'!$M$9,G6738,1)),"",IF((AND(FIND('112'!$M$9,G6738,1)&gt;=1,B6738='112'!$K$9,OR($N6738='112'!$I$6,$O6738='112'!$I$6))),"x",""))</f>
        <v/>
      </c>
      <c r="U6738" s="79" t="str">
        <f>IF(ISERROR(FIND('112'!$M$9,G6738,1)),"",IF((AND(LEFT(G6738,2)=LEFT('112'!$M$9,2),B6738&lt;'112'!$K$9,$N6738='112'!$I$6)),"x",""))</f>
        <v/>
      </c>
      <c r="V6738" s="79" t="str">
        <f>IF(ISERROR(FIND('112'!$M$9,G6738,1)),"",IF((AND(RIGHT(G6738,2)=RIGHT('112'!$M$9,2),B6738&lt;'112'!$K$9,$O6738='112'!$I$6)),"x",""))</f>
        <v/>
      </c>
      <c r="W6738" s="79" t="str">
        <f>IF(AND('341-CT'!$H$9=H6738,OR(LEFT(N6738,3)=$W$7,LEFT(O6738,3)=$W$7)),"x","")</f>
        <v/>
      </c>
      <c r="X6738" s="79" t="str">
        <f>IF(OR(TH!N6738=TH!$X$7,O6738=TH!$X$7),"x","")</f>
        <v/>
      </c>
      <c r="Y6738" s="79" t="str">
        <f>IF(AND(OR(N6738="131",O6738="131"),H6738='131-CT'!$H$9),"x","")</f>
        <v/>
      </c>
      <c r="Z6738" s="79"/>
      <c r="AA6738" s="79" t="str">
        <f>IF(AND(MONTH(E6738)='IN-NX'!$J$5,'IN-NX'!$D$7=D6738),"x","")</f>
        <v/>
      </c>
      <c r="AB6738" s="79" t="str">
        <f>IF(AND(OR(LEFT(TH!N6738,2)="15",LEFT(TH!O6738,2)="15"),LEFT(TH!O6738,3)&lt;&gt;"111",'152-CT'!$J$8=TH!F6738),"x","")</f>
        <v/>
      </c>
      <c r="AC6738" s="79" t="str">
        <f>IF(AND(OR(LEFT(TH!N6738,2)="15",LEFT(TH!O6738,2)="15"),TK!$E$7=TH!F6738),"x","")</f>
        <v/>
      </c>
      <c r="AD6738" s="79" t="str">
        <f>IF(AND(N6738="1521",MONTH(C6738)='BK-NL'!$M$11),"x","")</f>
        <v/>
      </c>
    </row>
    <row r="6739" spans="1:30" ht="16.5" customHeight="1">
      <c r="A6739" s="318" t="str">
        <f>IF(B6739&lt;&gt;"",IF(AND(B6739='IN-TC'!$S$4,OR(TH!N6739="1111",TH!O6739="1111")),TH!D6739,""),"")</f>
        <v/>
      </c>
      <c r="B6739" s="1163" t="str">
        <f t="shared" si="526"/>
        <v/>
      </c>
      <c r="C6739" s="61"/>
      <c r="D6739" s="61"/>
      <c r="E6739" s="61"/>
      <c r="F6739" s="69"/>
      <c r="G6739" s="64"/>
      <c r="H6739" s="69"/>
      <c r="I6739" s="385"/>
      <c r="J6739" s="392"/>
      <c r="K6739" s="385"/>
      <c r="L6739" s="392"/>
      <c r="M6739" s="62"/>
      <c r="N6739" s="63"/>
      <c r="O6739" s="63"/>
      <c r="P6739" s="79" t="str">
        <f>IF(AND('331-CT'!$E$7=TH!H6739,OR(N6739="331",O6739="331")),"x","")</f>
        <v/>
      </c>
      <c r="Q6739" s="79" t="str">
        <f>IF(AND(B6739='111'!$L$11,OR($N6739=$Q$7,$O6739=$Q$7)),"x","")</f>
        <v/>
      </c>
      <c r="R6739" s="79" t="str">
        <f>IF(AND($N6739=$Q$7,$B6739&lt;'111'!$L$11),"x","")</f>
        <v/>
      </c>
      <c r="S6739" s="79" t="str">
        <f>IF(AND($O6739=$Q$7,$B6739&lt;'111'!$L$11),"x","")</f>
        <v/>
      </c>
      <c r="T6739" s="79" t="str">
        <f>IF(ISERROR(FIND('112'!$M$9,G6739,1)),"",IF((AND(FIND('112'!$M$9,G6739,1)&gt;=1,B6739='112'!$K$9,OR($N6739='112'!$I$6,$O6739='112'!$I$6))),"x",""))</f>
        <v/>
      </c>
      <c r="U6739" s="79" t="str">
        <f>IF(ISERROR(FIND('112'!$M$9,G6739,1)),"",IF((AND(LEFT(G6739,2)=LEFT('112'!$M$9,2),B6739&lt;'112'!$K$9,$N6739='112'!$I$6)),"x",""))</f>
        <v/>
      </c>
      <c r="V6739" s="79" t="str">
        <f>IF(ISERROR(FIND('112'!$M$9,G6739,1)),"",IF((AND(RIGHT(G6739,2)=RIGHT('112'!$M$9,2),B6739&lt;'112'!$K$9,$O6739='112'!$I$6)),"x",""))</f>
        <v/>
      </c>
      <c r="W6739" s="79" t="str">
        <f>IF(AND('341-CT'!$H$9=H6739,OR(LEFT(N6739,3)=$W$7,LEFT(O6739,3)=$W$7)),"x","")</f>
        <v/>
      </c>
      <c r="X6739" s="79" t="str">
        <f>IF(OR(TH!N6739=TH!$X$7,O6739=TH!$X$7),"x","")</f>
        <v/>
      </c>
      <c r="Y6739" s="79" t="str">
        <f>IF(AND(OR(N6739="131",O6739="131"),H6739='131-CT'!$H$9),"x","")</f>
        <v/>
      </c>
      <c r="Z6739" s="79"/>
      <c r="AA6739" s="79" t="str">
        <f>IF(AND(MONTH(E6739)='IN-NX'!$J$5,'IN-NX'!$D$7=D6739),"x","")</f>
        <v/>
      </c>
      <c r="AB6739" s="79" t="str">
        <f>IF(AND(OR(LEFT(TH!N6739,2)="15",LEFT(TH!O6739,2)="15"),LEFT(TH!O6739,3)&lt;&gt;"111",'152-CT'!$J$8=TH!F6739),"x","")</f>
        <v/>
      </c>
      <c r="AC6739" s="79" t="str">
        <f>IF(AND(OR(LEFT(TH!N6739,2)="15",LEFT(TH!O6739,2)="15"),TK!$E$7=TH!F6739),"x","")</f>
        <v/>
      </c>
      <c r="AD6739" s="79" t="str">
        <f>IF(AND(N6739="1521",MONTH(C6739)='BK-NL'!$M$11),"x","")</f>
        <v/>
      </c>
    </row>
    <row r="6740" spans="1:30" ht="16.5" customHeight="1">
      <c r="A6740" s="318" t="str">
        <f>IF(B6740&lt;&gt;"",IF(AND(B6740='IN-TC'!$S$4,OR(TH!N6740="1111",TH!O6740="1111")),TH!D6740,""),"")</f>
        <v/>
      </c>
      <c r="B6740" s="1163" t="str">
        <f t="shared" si="526"/>
        <v/>
      </c>
      <c r="C6740" s="61"/>
      <c r="D6740" s="61"/>
      <c r="E6740" s="61"/>
      <c r="F6740" s="69"/>
      <c r="G6740" s="64"/>
      <c r="H6740" s="69"/>
      <c r="I6740" s="385"/>
      <c r="J6740" s="392"/>
      <c r="K6740" s="385"/>
      <c r="L6740" s="392"/>
      <c r="M6740" s="62"/>
      <c r="N6740" s="63"/>
      <c r="O6740" s="63"/>
      <c r="P6740" s="79" t="str">
        <f>IF(AND('331-CT'!$E$7=TH!H6740,OR(N6740="331",O6740="331")),"x","")</f>
        <v/>
      </c>
      <c r="Q6740" s="79" t="str">
        <f>IF(AND(B6740='111'!$L$11,OR($N6740=$Q$7,$O6740=$Q$7)),"x","")</f>
        <v/>
      </c>
      <c r="R6740" s="79" t="str">
        <f>IF(AND($N6740=$Q$7,$B6740&lt;'111'!$L$11),"x","")</f>
        <v/>
      </c>
      <c r="S6740" s="79" t="str">
        <f>IF(AND($O6740=$Q$7,$B6740&lt;'111'!$L$11),"x","")</f>
        <v/>
      </c>
      <c r="T6740" s="79" t="str">
        <f>IF(ISERROR(FIND('112'!$M$9,G6740,1)),"",IF((AND(FIND('112'!$M$9,G6740,1)&gt;=1,B6740='112'!$K$9,OR($N6740='112'!$I$6,$O6740='112'!$I$6))),"x",""))</f>
        <v/>
      </c>
      <c r="U6740" s="79" t="str">
        <f>IF(ISERROR(FIND('112'!$M$9,G6740,1)),"",IF((AND(LEFT(G6740,2)=LEFT('112'!$M$9,2),B6740&lt;'112'!$K$9,$N6740='112'!$I$6)),"x",""))</f>
        <v/>
      </c>
      <c r="V6740" s="79" t="str">
        <f>IF(ISERROR(FIND('112'!$M$9,G6740,1)),"",IF((AND(RIGHT(G6740,2)=RIGHT('112'!$M$9,2),B6740&lt;'112'!$K$9,$O6740='112'!$I$6)),"x",""))</f>
        <v/>
      </c>
      <c r="W6740" s="79" t="str">
        <f>IF(AND('341-CT'!$H$9=H6740,OR(LEFT(N6740,3)=$W$7,LEFT(O6740,3)=$W$7)),"x","")</f>
        <v/>
      </c>
      <c r="X6740" s="79" t="str">
        <f>IF(OR(TH!N6740=TH!$X$7,O6740=TH!$X$7),"x","")</f>
        <v/>
      </c>
      <c r="Y6740" s="79" t="str">
        <f>IF(AND(OR(N6740="131",O6740="131"),H6740='131-CT'!$H$9),"x","")</f>
        <v/>
      </c>
      <c r="Z6740" s="79"/>
      <c r="AA6740" s="79" t="str">
        <f>IF(AND(MONTH(E6740)='IN-NX'!$J$5,'IN-NX'!$D$7=D6740),"x","")</f>
        <v/>
      </c>
      <c r="AB6740" s="79" t="str">
        <f>IF(AND(OR(LEFT(TH!N6740,2)="15",LEFT(TH!O6740,2)="15"),LEFT(TH!O6740,3)&lt;&gt;"111",'152-CT'!$J$8=TH!F6740),"x","")</f>
        <v/>
      </c>
      <c r="AC6740" s="79" t="str">
        <f>IF(AND(OR(LEFT(TH!N6740,2)="15",LEFT(TH!O6740,2)="15"),TK!$E$7=TH!F6740),"x","")</f>
        <v/>
      </c>
      <c r="AD6740" s="79" t="str">
        <f>IF(AND(N6740="1521",MONTH(C6740)='BK-NL'!$M$11),"x","")</f>
        <v/>
      </c>
    </row>
    <row r="6741" spans="1:30" ht="16.5" customHeight="1">
      <c r="A6741" s="318" t="str">
        <f>IF(B6741&lt;&gt;"",IF(AND(B6741='IN-TC'!$S$4,OR(TH!N6741="1111",TH!O6741="1111")),TH!D6741,""),"")</f>
        <v/>
      </c>
      <c r="B6741" s="1163" t="str">
        <f t="shared" si="526"/>
        <v/>
      </c>
      <c r="C6741" s="61"/>
      <c r="D6741" s="61"/>
      <c r="E6741" s="61"/>
      <c r="F6741" s="69"/>
      <c r="G6741" s="64"/>
      <c r="H6741" s="69"/>
      <c r="I6741" s="385"/>
      <c r="J6741" s="392"/>
      <c r="K6741" s="385"/>
      <c r="L6741" s="392"/>
      <c r="M6741" s="62"/>
      <c r="N6741" s="63"/>
      <c r="O6741" s="63"/>
      <c r="P6741" s="79" t="str">
        <f>IF(AND('331-CT'!$E$7=TH!H6741,OR(N6741="331",O6741="331")),"x","")</f>
        <v/>
      </c>
      <c r="Q6741" s="79" t="str">
        <f>IF(AND(B6741='111'!$L$11,OR($N6741=$Q$7,$O6741=$Q$7)),"x","")</f>
        <v/>
      </c>
      <c r="R6741" s="79" t="str">
        <f>IF(AND($N6741=$Q$7,$B6741&lt;'111'!$L$11),"x","")</f>
        <v/>
      </c>
      <c r="S6741" s="79" t="str">
        <f>IF(AND($O6741=$Q$7,$B6741&lt;'111'!$L$11),"x","")</f>
        <v/>
      </c>
      <c r="T6741" s="79" t="str">
        <f>IF(ISERROR(FIND('112'!$M$9,G6741,1)),"",IF((AND(FIND('112'!$M$9,G6741,1)&gt;=1,B6741='112'!$K$9,OR($N6741='112'!$I$6,$O6741='112'!$I$6))),"x",""))</f>
        <v/>
      </c>
      <c r="U6741" s="79" t="str">
        <f>IF(ISERROR(FIND('112'!$M$9,G6741,1)),"",IF((AND(LEFT(G6741,2)=LEFT('112'!$M$9,2),B6741&lt;'112'!$K$9,$N6741='112'!$I$6)),"x",""))</f>
        <v/>
      </c>
      <c r="V6741" s="79" t="str">
        <f>IF(ISERROR(FIND('112'!$M$9,G6741,1)),"",IF((AND(RIGHT(G6741,2)=RIGHT('112'!$M$9,2),B6741&lt;'112'!$K$9,$O6741='112'!$I$6)),"x",""))</f>
        <v/>
      </c>
      <c r="W6741" s="79" t="str">
        <f>IF(AND('341-CT'!$H$9=H6741,OR(LEFT(N6741,3)=$W$7,LEFT(O6741,3)=$W$7)),"x","")</f>
        <v/>
      </c>
      <c r="X6741" s="79" t="str">
        <f>IF(OR(TH!N6741=TH!$X$7,O6741=TH!$X$7),"x","")</f>
        <v/>
      </c>
      <c r="Y6741" s="79" t="str">
        <f>IF(AND(OR(N6741="131",O6741="131"),H6741='131-CT'!$H$9),"x","")</f>
        <v/>
      </c>
      <c r="Z6741" s="79"/>
      <c r="AA6741" s="79" t="str">
        <f>IF(AND(MONTH(E6741)='IN-NX'!$J$5,'IN-NX'!$D$7=D6741),"x","")</f>
        <v/>
      </c>
      <c r="AB6741" s="79" t="str">
        <f>IF(AND(OR(LEFT(TH!N6741,2)="15",LEFT(TH!O6741,2)="15"),LEFT(TH!O6741,3)&lt;&gt;"111",'152-CT'!$J$8=TH!F6741),"x","")</f>
        <v/>
      </c>
      <c r="AC6741" s="79" t="str">
        <f>IF(AND(OR(LEFT(TH!N6741,2)="15",LEFT(TH!O6741,2)="15"),TK!$E$7=TH!F6741),"x","")</f>
        <v/>
      </c>
      <c r="AD6741" s="79" t="str">
        <f>IF(AND(N6741="1521",MONTH(C6741)='BK-NL'!$M$11),"x","")</f>
        <v/>
      </c>
    </row>
    <row r="6742" spans="1:30" ht="16.5" customHeight="1">
      <c r="A6742" s="318" t="str">
        <f>IF(B6742&lt;&gt;"",IF(AND(B6742='IN-TC'!$S$4,OR(TH!N6742="1111",TH!O6742="1111")),TH!D6742,""),"")</f>
        <v/>
      </c>
      <c r="B6742" s="1163" t="str">
        <f t="shared" si="526"/>
        <v/>
      </c>
      <c r="C6742" s="61"/>
      <c r="D6742" s="61"/>
      <c r="E6742" s="61"/>
      <c r="F6742" s="69"/>
      <c r="G6742" s="64"/>
      <c r="H6742" s="69"/>
      <c r="I6742" s="385"/>
      <c r="J6742" s="392"/>
      <c r="K6742" s="385"/>
      <c r="L6742" s="392"/>
      <c r="M6742" s="62"/>
      <c r="N6742" s="63"/>
      <c r="O6742" s="63"/>
      <c r="P6742" s="79" t="str">
        <f>IF(AND('331-CT'!$E$7=TH!H6742,OR(N6742="331",O6742="331")),"x","")</f>
        <v/>
      </c>
      <c r="Q6742" s="79" t="str">
        <f>IF(AND(B6742='111'!$L$11,OR($N6742=$Q$7,$O6742=$Q$7)),"x","")</f>
        <v/>
      </c>
      <c r="R6742" s="79" t="str">
        <f>IF(AND($N6742=$Q$7,$B6742&lt;'111'!$L$11),"x","")</f>
        <v/>
      </c>
      <c r="S6742" s="79" t="str">
        <f>IF(AND($O6742=$Q$7,$B6742&lt;'111'!$L$11),"x","")</f>
        <v/>
      </c>
      <c r="T6742" s="79" t="str">
        <f>IF(ISERROR(FIND('112'!$M$9,G6742,1)),"",IF((AND(FIND('112'!$M$9,G6742,1)&gt;=1,B6742='112'!$K$9,OR($N6742='112'!$I$6,$O6742='112'!$I$6))),"x",""))</f>
        <v/>
      </c>
      <c r="U6742" s="79" t="str">
        <f>IF(ISERROR(FIND('112'!$M$9,G6742,1)),"",IF((AND(LEFT(G6742,2)=LEFT('112'!$M$9,2),B6742&lt;'112'!$K$9,$N6742='112'!$I$6)),"x",""))</f>
        <v/>
      </c>
      <c r="V6742" s="79" t="str">
        <f>IF(ISERROR(FIND('112'!$M$9,G6742,1)),"",IF((AND(RIGHT(G6742,2)=RIGHT('112'!$M$9,2),B6742&lt;'112'!$K$9,$O6742='112'!$I$6)),"x",""))</f>
        <v/>
      </c>
      <c r="W6742" s="79" t="str">
        <f>IF(AND('341-CT'!$H$9=H6742,OR(LEFT(N6742,3)=$W$7,LEFT(O6742,3)=$W$7)),"x","")</f>
        <v/>
      </c>
      <c r="X6742" s="79" t="str">
        <f>IF(OR(TH!N6742=TH!$X$7,O6742=TH!$X$7),"x","")</f>
        <v/>
      </c>
      <c r="Y6742" s="79" t="str">
        <f>IF(AND(OR(N6742="131",O6742="131"),H6742='131-CT'!$H$9),"x","")</f>
        <v/>
      </c>
      <c r="Z6742" s="79"/>
      <c r="AA6742" s="79" t="str">
        <f>IF(AND(MONTH(E6742)='IN-NX'!$J$5,'IN-NX'!$D$7=D6742),"x","")</f>
        <v/>
      </c>
      <c r="AB6742" s="79" t="str">
        <f>IF(AND(OR(LEFT(TH!N6742,2)="15",LEFT(TH!O6742,2)="15"),LEFT(TH!O6742,3)&lt;&gt;"111",'152-CT'!$J$8=TH!F6742),"x","")</f>
        <v/>
      </c>
      <c r="AC6742" s="79" t="str">
        <f>IF(AND(OR(LEFT(TH!N6742,2)="15",LEFT(TH!O6742,2)="15"),TK!$E$7=TH!F6742),"x","")</f>
        <v/>
      </c>
      <c r="AD6742" s="79" t="str">
        <f>IF(AND(N6742="1521",MONTH(C6742)='BK-NL'!$M$11),"x","")</f>
        <v/>
      </c>
    </row>
    <row r="6743" spans="1:30" ht="16.5" customHeight="1">
      <c r="A6743" s="318" t="str">
        <f>IF(B6743&lt;&gt;"",IF(AND(B6743='IN-TC'!$S$4,OR(TH!N6743="1111",TH!O6743="1111")),TH!D6743,""),"")</f>
        <v/>
      </c>
      <c r="B6743" s="1163" t="str">
        <f t="shared" si="526"/>
        <v/>
      </c>
      <c r="C6743" s="61"/>
      <c r="D6743" s="61"/>
      <c r="E6743" s="61"/>
      <c r="F6743" s="69"/>
      <c r="G6743" s="766"/>
      <c r="H6743" s="69"/>
      <c r="I6743" s="385"/>
      <c r="J6743" s="392"/>
      <c r="K6743" s="385"/>
      <c r="L6743" s="392"/>
      <c r="M6743" s="62"/>
      <c r="N6743" s="63"/>
      <c r="O6743" s="63"/>
      <c r="P6743" s="79" t="str">
        <f>IF(AND('331-CT'!$E$7=TH!H6743,OR(N6743="331",O6743="331")),"x","")</f>
        <v/>
      </c>
      <c r="Q6743" s="79" t="str">
        <f>IF(AND(B6743='111'!$L$11,OR($N6743=$Q$7,$O6743=$Q$7)),"x","")</f>
        <v/>
      </c>
      <c r="R6743" s="79" t="str">
        <f>IF(AND($N6743=$Q$7,$B6743&lt;'111'!$L$11),"x","")</f>
        <v/>
      </c>
      <c r="S6743" s="79" t="str">
        <f>IF(AND($O6743=$Q$7,$B6743&lt;'111'!$L$11),"x","")</f>
        <v/>
      </c>
      <c r="T6743" s="79" t="str">
        <f>IF(ISERROR(FIND('112'!$M$9,G6743,1)),"",IF((AND(FIND('112'!$M$9,G6743,1)&gt;=1,B6743='112'!$K$9,OR($N6743='112'!$I$6,$O6743='112'!$I$6))),"x",""))</f>
        <v/>
      </c>
      <c r="U6743" s="79" t="str">
        <f>IF(ISERROR(FIND('112'!$M$9,G6743,1)),"",IF((AND(LEFT(G6743,2)=LEFT('112'!$M$9,2),B6743&lt;'112'!$K$9,$N6743='112'!$I$6)),"x",""))</f>
        <v/>
      </c>
      <c r="V6743" s="79" t="str">
        <f>IF(ISERROR(FIND('112'!$M$9,G6743,1)),"",IF((AND(RIGHT(G6743,2)=RIGHT('112'!$M$9,2),B6743&lt;'112'!$K$9,$O6743='112'!$I$6)),"x",""))</f>
        <v/>
      </c>
      <c r="W6743" s="79" t="str">
        <f>IF(AND('341-CT'!$H$9=H6743,OR(LEFT(N6743,3)=$W$7,LEFT(O6743,3)=$W$7)),"x","")</f>
        <v/>
      </c>
      <c r="X6743" s="79" t="str">
        <f>IF(OR(TH!N6743=TH!$X$7,O6743=TH!$X$7),"x","")</f>
        <v/>
      </c>
      <c r="Y6743" s="79" t="str">
        <f>IF(AND(OR(N6743="131",O6743="131"),H6743='131-CT'!$H$9),"x","")</f>
        <v/>
      </c>
      <c r="Z6743" s="79"/>
      <c r="AA6743" s="79" t="str">
        <f>IF(AND(MONTH(E6743)='IN-NX'!$J$5,'IN-NX'!$D$7=D6743),"x","")</f>
        <v/>
      </c>
      <c r="AB6743" s="79" t="str">
        <f>IF(AND(OR(LEFT(TH!N6743,2)="15",LEFT(TH!O6743,2)="15"),LEFT(TH!O6743,3)&lt;&gt;"111",'152-CT'!$J$8=TH!F6743),"x","")</f>
        <v/>
      </c>
      <c r="AC6743" s="79" t="str">
        <f>IF(AND(OR(LEFT(TH!N6743,2)="15",LEFT(TH!O6743,2)="15"),TK!$E$7=TH!F6743),"x","")</f>
        <v/>
      </c>
      <c r="AD6743" s="79" t="str">
        <f>IF(AND(N6743="1521",MONTH(C6743)='BK-NL'!$M$11),"x","")</f>
        <v/>
      </c>
    </row>
    <row r="6744" spans="1:30" ht="16.5" customHeight="1">
      <c r="A6744" s="318" t="str">
        <f>IF(B6744&lt;&gt;"",IF(AND(B6744='IN-TC'!$S$4,OR(TH!N6744="1111",TH!O6744="1111")),TH!D6744,""),"")</f>
        <v/>
      </c>
      <c r="B6744" s="1163" t="str">
        <f t="shared" si="526"/>
        <v/>
      </c>
      <c r="C6744" s="61"/>
      <c r="D6744" s="61"/>
      <c r="E6744" s="61"/>
      <c r="F6744" s="69"/>
      <c r="G6744" s="766"/>
      <c r="H6744" s="69"/>
      <c r="I6744" s="385"/>
      <c r="J6744" s="392"/>
      <c r="K6744" s="385"/>
      <c r="L6744" s="392"/>
      <c r="M6744" s="62"/>
      <c r="N6744" s="63"/>
      <c r="O6744" s="63"/>
      <c r="P6744" s="79" t="str">
        <f>IF(AND('331-CT'!$E$7=TH!H6744,OR(N6744="331",O6744="331")),"x","")</f>
        <v/>
      </c>
      <c r="Q6744" s="79" t="str">
        <f>IF(AND(B6744='111'!$L$11,OR($N6744=$Q$7,$O6744=$Q$7)),"x","")</f>
        <v/>
      </c>
      <c r="R6744" s="79" t="str">
        <f>IF(AND($N6744=$Q$7,$B6744&lt;'111'!$L$11),"x","")</f>
        <v/>
      </c>
      <c r="S6744" s="79" t="str">
        <f>IF(AND($O6744=$Q$7,$B6744&lt;'111'!$L$11),"x","")</f>
        <v/>
      </c>
      <c r="T6744" s="79" t="str">
        <f>IF(ISERROR(FIND('112'!$M$9,G6744,1)),"",IF((AND(FIND('112'!$M$9,G6744,1)&gt;=1,B6744='112'!$K$9,OR($N6744='112'!$I$6,$O6744='112'!$I$6))),"x",""))</f>
        <v/>
      </c>
      <c r="U6744" s="79" t="str">
        <f>IF(ISERROR(FIND('112'!$M$9,G6744,1)),"",IF((AND(LEFT(G6744,2)=LEFT('112'!$M$9,2),B6744&lt;'112'!$K$9,$N6744='112'!$I$6)),"x",""))</f>
        <v/>
      </c>
      <c r="V6744" s="79" t="str">
        <f>IF(ISERROR(FIND('112'!$M$9,G6744,1)),"",IF((AND(RIGHT(G6744,2)=RIGHT('112'!$M$9,2),B6744&lt;'112'!$K$9,$O6744='112'!$I$6)),"x",""))</f>
        <v/>
      </c>
      <c r="W6744" s="79" t="str">
        <f>IF(AND('341-CT'!$H$9=H6744,OR(LEFT(N6744,3)=$W$7,LEFT(O6744,3)=$W$7)),"x","")</f>
        <v/>
      </c>
      <c r="X6744" s="79" t="str">
        <f>IF(OR(TH!N6744=TH!$X$7,O6744=TH!$X$7),"x","")</f>
        <v/>
      </c>
      <c r="Y6744" s="79" t="str">
        <f>IF(AND(OR(N6744="131",O6744="131"),H6744='131-CT'!$H$9),"x","")</f>
        <v/>
      </c>
      <c r="Z6744" s="79"/>
      <c r="AA6744" s="79" t="str">
        <f>IF(AND(MONTH(E6744)='IN-NX'!$J$5,'IN-NX'!$D$7=D6744),"x","")</f>
        <v/>
      </c>
      <c r="AB6744" s="79" t="str">
        <f>IF(AND(OR(LEFT(TH!N6744,2)="15",LEFT(TH!O6744,2)="15"),LEFT(TH!O6744,3)&lt;&gt;"111",'152-CT'!$J$8=TH!F6744),"x","")</f>
        <v/>
      </c>
      <c r="AC6744" s="79" t="str">
        <f>IF(AND(OR(LEFT(TH!N6744,2)="15",LEFT(TH!O6744,2)="15"),TK!$E$7=TH!F6744),"x","")</f>
        <v/>
      </c>
      <c r="AD6744" s="79" t="str">
        <f>IF(AND(N6744="1521",MONTH(C6744)='BK-NL'!$M$11),"x","")</f>
        <v/>
      </c>
    </row>
    <row r="6745" spans="1:30" ht="16.5" customHeight="1">
      <c r="A6745" s="318" t="str">
        <f>IF(B6745&lt;&gt;"",IF(AND(B6745='IN-TC'!$S$4,OR(TH!N6745="1111",TH!O6745="1111")),TH!D6745,""),"")</f>
        <v/>
      </c>
      <c r="B6745" s="1163" t="str">
        <f t="shared" si="526"/>
        <v/>
      </c>
      <c r="C6745" s="61"/>
      <c r="D6745" s="61"/>
      <c r="E6745" s="61"/>
      <c r="F6745" s="69"/>
      <c r="G6745" s="766"/>
      <c r="H6745" s="69"/>
      <c r="I6745" s="385"/>
      <c r="J6745" s="392"/>
      <c r="K6745" s="385"/>
      <c r="L6745" s="392"/>
      <c r="M6745" s="62"/>
      <c r="N6745" s="63"/>
      <c r="O6745" s="63"/>
      <c r="P6745" s="79" t="str">
        <f>IF(AND('331-CT'!$E$7=TH!H6745,OR(N6745="331",O6745="331")),"x","")</f>
        <v/>
      </c>
      <c r="Q6745" s="79" t="str">
        <f>IF(AND(B6745='111'!$L$11,OR($N6745=$Q$7,$O6745=$Q$7)),"x","")</f>
        <v/>
      </c>
      <c r="R6745" s="79" t="str">
        <f>IF(AND($N6745=$Q$7,$B6745&lt;'111'!$L$11),"x","")</f>
        <v/>
      </c>
      <c r="S6745" s="79" t="str">
        <f>IF(AND($O6745=$Q$7,$B6745&lt;'111'!$L$11),"x","")</f>
        <v/>
      </c>
      <c r="T6745" s="79" t="str">
        <f>IF(ISERROR(FIND('112'!$M$9,G6745,1)),"",IF((AND(FIND('112'!$M$9,G6745,1)&gt;=1,B6745='112'!$K$9,OR($N6745='112'!$I$6,$O6745='112'!$I$6))),"x",""))</f>
        <v/>
      </c>
      <c r="U6745" s="79" t="str">
        <f>IF(ISERROR(FIND('112'!$M$9,G6745,1)),"",IF((AND(LEFT(G6745,2)=LEFT('112'!$M$9,2),B6745&lt;'112'!$K$9,$N6745='112'!$I$6)),"x",""))</f>
        <v/>
      </c>
      <c r="V6745" s="79" t="str">
        <f>IF(ISERROR(FIND('112'!$M$9,G6745,1)),"",IF((AND(RIGHT(G6745,2)=RIGHT('112'!$M$9,2),B6745&lt;'112'!$K$9,$O6745='112'!$I$6)),"x",""))</f>
        <v/>
      </c>
      <c r="W6745" s="79" t="str">
        <f>IF(AND('341-CT'!$H$9=H6745,OR(LEFT(N6745,3)=$W$7,LEFT(O6745,3)=$W$7)),"x","")</f>
        <v/>
      </c>
      <c r="X6745" s="79" t="str">
        <f>IF(OR(TH!N6745=TH!$X$7,O6745=TH!$X$7),"x","")</f>
        <v/>
      </c>
      <c r="Y6745" s="79" t="str">
        <f>IF(AND(OR(N6745="131",O6745="131"),H6745='131-CT'!$H$9),"x","")</f>
        <v/>
      </c>
      <c r="Z6745" s="79"/>
      <c r="AA6745" s="79" t="str">
        <f>IF(AND(MONTH(E6745)='IN-NX'!$J$5,'IN-NX'!$D$7=D6745),"x","")</f>
        <v/>
      </c>
      <c r="AB6745" s="79" t="str">
        <f>IF(AND(OR(LEFT(TH!N6745,2)="15",LEFT(TH!O6745,2)="15"),LEFT(TH!O6745,3)&lt;&gt;"111",'152-CT'!$J$8=TH!F6745),"x","")</f>
        <v/>
      </c>
      <c r="AC6745" s="79" t="str">
        <f>IF(AND(OR(LEFT(TH!N6745,2)="15",LEFT(TH!O6745,2)="15"),TK!$E$7=TH!F6745),"x","")</f>
        <v/>
      </c>
      <c r="AD6745" s="79" t="str">
        <f>IF(AND(N6745="1521",MONTH(C6745)='BK-NL'!$M$11),"x","")</f>
        <v/>
      </c>
    </row>
    <row r="6746" spans="1:30" ht="16.5" customHeight="1">
      <c r="A6746" s="318" t="str">
        <f>IF(B6746&lt;&gt;"",IF(AND(B6746='IN-TC'!$S$4,OR(TH!N6746="1111",TH!O6746="1111")),TH!D6746,""),"")</f>
        <v/>
      </c>
      <c r="B6746" s="1163" t="str">
        <f t="shared" si="526"/>
        <v/>
      </c>
      <c r="C6746" s="61"/>
      <c r="D6746" s="61"/>
      <c r="E6746" s="61"/>
      <c r="F6746" s="69"/>
      <c r="G6746" s="766"/>
      <c r="H6746" s="69"/>
      <c r="I6746" s="385"/>
      <c r="J6746" s="392"/>
      <c r="K6746" s="385"/>
      <c r="L6746" s="392"/>
      <c r="M6746" s="62"/>
      <c r="N6746" s="63"/>
      <c r="O6746" s="63"/>
      <c r="P6746" s="79" t="str">
        <f>IF(AND('331-CT'!$E$7=TH!H6746,OR(N6746="331",O6746="331")),"x","")</f>
        <v/>
      </c>
      <c r="Q6746" s="79" t="str">
        <f>IF(AND(B6746='111'!$L$11,OR($N6746=$Q$7,$O6746=$Q$7)),"x","")</f>
        <v/>
      </c>
      <c r="R6746" s="79" t="str">
        <f>IF(AND($N6746=$Q$7,$B6746&lt;'111'!$L$11),"x","")</f>
        <v/>
      </c>
      <c r="S6746" s="79" t="str">
        <f>IF(AND($O6746=$Q$7,$B6746&lt;'111'!$L$11),"x","")</f>
        <v/>
      </c>
      <c r="T6746" s="79" t="str">
        <f>IF(ISERROR(FIND('112'!$M$9,G6746,1)),"",IF((AND(FIND('112'!$M$9,G6746,1)&gt;=1,B6746='112'!$K$9,OR($N6746='112'!$I$6,$O6746='112'!$I$6))),"x",""))</f>
        <v/>
      </c>
      <c r="U6746" s="79" t="str">
        <f>IF(ISERROR(FIND('112'!$M$9,G6746,1)),"",IF((AND(LEFT(G6746,2)=LEFT('112'!$M$9,2),B6746&lt;'112'!$K$9,$N6746='112'!$I$6)),"x",""))</f>
        <v/>
      </c>
      <c r="V6746" s="79" t="str">
        <f>IF(ISERROR(FIND('112'!$M$9,G6746,1)),"",IF((AND(RIGHT(G6746,2)=RIGHT('112'!$M$9,2),B6746&lt;'112'!$K$9,$O6746='112'!$I$6)),"x",""))</f>
        <v/>
      </c>
      <c r="W6746" s="79" t="str">
        <f>IF(AND('341-CT'!$H$9=H6746,OR(LEFT(N6746,3)=$W$7,LEFT(O6746,3)=$W$7)),"x","")</f>
        <v/>
      </c>
      <c r="X6746" s="79" t="str">
        <f>IF(OR(TH!N6746=TH!$X$7,O6746=TH!$X$7),"x","")</f>
        <v/>
      </c>
      <c r="Y6746" s="79" t="str">
        <f>IF(AND(OR(N6746="131",O6746="131"),H6746='131-CT'!$H$9),"x","")</f>
        <v/>
      </c>
      <c r="Z6746" s="79"/>
      <c r="AA6746" s="79" t="str">
        <f>IF(AND(MONTH(E6746)='IN-NX'!$J$5,'IN-NX'!$D$7=D6746),"x","")</f>
        <v/>
      </c>
      <c r="AB6746" s="79" t="str">
        <f>IF(AND(OR(LEFT(TH!N6746,2)="15",LEFT(TH!O6746,2)="15"),LEFT(TH!O6746,3)&lt;&gt;"111",'152-CT'!$J$8=TH!F6746),"x","")</f>
        <v/>
      </c>
      <c r="AC6746" s="79" t="str">
        <f>IF(AND(OR(LEFT(TH!N6746,2)="15",LEFT(TH!O6746,2)="15"),TK!$E$7=TH!F6746),"x","")</f>
        <v/>
      </c>
      <c r="AD6746" s="79" t="str">
        <f>IF(AND(N6746="1521",MONTH(C6746)='BK-NL'!$M$11),"x","")</f>
        <v/>
      </c>
    </row>
    <row r="6747" spans="1:30" ht="16.5" customHeight="1">
      <c r="A6747" s="318" t="str">
        <f>IF(B6747&lt;&gt;"",IF(AND(B6747='IN-TC'!$S$4,OR(TH!N6747="1111",TH!O6747="1111")),TH!D6747,""),"")</f>
        <v/>
      </c>
      <c r="B6747" s="1163" t="str">
        <f t="shared" si="526"/>
        <v/>
      </c>
      <c r="C6747" s="61"/>
      <c r="D6747" s="61"/>
      <c r="E6747" s="61"/>
      <c r="F6747" s="69"/>
      <c r="G6747" s="64"/>
      <c r="H6747" s="69"/>
      <c r="I6747" s="385"/>
      <c r="J6747" s="392"/>
      <c r="K6747" s="385"/>
      <c r="L6747" s="392"/>
      <c r="M6747" s="62"/>
      <c r="N6747" s="63"/>
      <c r="O6747" s="63"/>
      <c r="P6747" s="79" t="str">
        <f>IF(AND('331-CT'!$E$7=TH!H6747,OR(N6747="331",O6747="331")),"x","")</f>
        <v/>
      </c>
      <c r="Q6747" s="79" t="str">
        <f>IF(AND(B6747='111'!$L$11,OR($N6747=$Q$7,$O6747=$Q$7)),"x","")</f>
        <v/>
      </c>
      <c r="R6747" s="79" t="str">
        <f>IF(AND($N6747=$Q$7,$B6747&lt;'111'!$L$11),"x","")</f>
        <v/>
      </c>
      <c r="S6747" s="79" t="str">
        <f>IF(AND($O6747=$Q$7,$B6747&lt;'111'!$L$11),"x","")</f>
        <v/>
      </c>
      <c r="T6747" s="79" t="str">
        <f>IF(ISERROR(FIND('112'!$M$9,G6747,1)),"",IF((AND(FIND('112'!$M$9,G6747,1)&gt;=1,B6747='112'!$K$9,OR($N6747='112'!$I$6,$O6747='112'!$I$6))),"x",""))</f>
        <v/>
      </c>
      <c r="U6747" s="79" t="str">
        <f>IF(ISERROR(FIND('112'!$M$9,G6747,1)),"",IF((AND(LEFT(G6747,2)=LEFT('112'!$M$9,2),B6747&lt;'112'!$K$9,$N6747='112'!$I$6)),"x",""))</f>
        <v/>
      </c>
      <c r="V6747" s="79" t="str">
        <f>IF(ISERROR(FIND('112'!$M$9,G6747,1)),"",IF((AND(RIGHT(G6747,2)=RIGHT('112'!$M$9,2),B6747&lt;'112'!$K$9,$O6747='112'!$I$6)),"x",""))</f>
        <v/>
      </c>
      <c r="W6747" s="79" t="str">
        <f>IF(AND('341-CT'!$H$9=H6747,OR(LEFT(N6747,3)=$W$7,LEFT(O6747,3)=$W$7)),"x","")</f>
        <v/>
      </c>
      <c r="X6747" s="79" t="str">
        <f>IF(OR(TH!N6747=TH!$X$7,O6747=TH!$X$7),"x","")</f>
        <v/>
      </c>
      <c r="Y6747" s="79" t="str">
        <f>IF(AND(OR(N6747="131",O6747="131"),H6747='131-CT'!$H$9),"x","")</f>
        <v/>
      </c>
      <c r="Z6747" s="79"/>
      <c r="AA6747" s="79" t="str">
        <f>IF(AND(MONTH(E6747)='IN-NX'!$J$5,'IN-NX'!$D$7=D6747),"x","")</f>
        <v/>
      </c>
      <c r="AB6747" s="79" t="str">
        <f>IF(AND(OR(LEFT(TH!N6747,2)="15",LEFT(TH!O6747,2)="15"),LEFT(TH!O6747,3)&lt;&gt;"111",'152-CT'!$J$8=TH!F6747),"x","")</f>
        <v/>
      </c>
      <c r="AC6747" s="79" t="str">
        <f>IF(AND(OR(LEFT(TH!N6747,2)="15",LEFT(TH!O6747,2)="15"),TK!$E$7=TH!F6747),"x","")</f>
        <v/>
      </c>
      <c r="AD6747" s="79" t="str">
        <f>IF(AND(N6747="1521",MONTH(C6747)='BK-NL'!$M$11),"x","")</f>
        <v/>
      </c>
    </row>
    <row r="6748" spans="1:30" ht="16.5" customHeight="1">
      <c r="A6748" s="318" t="str">
        <f>IF(B6748&lt;&gt;"",IF(AND(B6748='IN-TC'!$S$4,OR(TH!N6748="1111",TH!O6748="1111")),TH!D6748,""),"")</f>
        <v/>
      </c>
      <c r="B6748" s="1163" t="str">
        <f t="shared" si="526"/>
        <v/>
      </c>
      <c r="C6748" s="61"/>
      <c r="D6748" s="61"/>
      <c r="E6748" s="61"/>
      <c r="F6748" s="69"/>
      <c r="G6748" s="64"/>
      <c r="H6748" s="69"/>
      <c r="I6748" s="385"/>
      <c r="J6748" s="392"/>
      <c r="K6748" s="385"/>
      <c r="L6748" s="392"/>
      <c r="M6748" s="62"/>
      <c r="N6748" s="63"/>
      <c r="O6748" s="63"/>
      <c r="P6748" s="79" t="str">
        <f>IF(AND('331-CT'!$E$7=TH!H6748,OR(N6748="331",O6748="331")),"x","")</f>
        <v/>
      </c>
      <c r="Q6748" s="79" t="str">
        <f>IF(AND(B6748='111'!$L$11,OR($N6748=$Q$7,$O6748=$Q$7)),"x","")</f>
        <v/>
      </c>
      <c r="R6748" s="79" t="str">
        <f>IF(AND($N6748=$Q$7,$B6748&lt;'111'!$L$11),"x","")</f>
        <v/>
      </c>
      <c r="S6748" s="79" t="str">
        <f>IF(AND($O6748=$Q$7,$B6748&lt;'111'!$L$11),"x","")</f>
        <v/>
      </c>
      <c r="T6748" s="79" t="str">
        <f>IF(ISERROR(FIND('112'!$M$9,G6748,1)),"",IF((AND(FIND('112'!$M$9,G6748,1)&gt;=1,B6748='112'!$K$9,OR($N6748='112'!$I$6,$O6748='112'!$I$6))),"x",""))</f>
        <v/>
      </c>
      <c r="U6748" s="79" t="str">
        <f>IF(ISERROR(FIND('112'!$M$9,G6748,1)),"",IF((AND(LEFT(G6748,2)=LEFT('112'!$M$9,2),B6748&lt;'112'!$K$9,$N6748='112'!$I$6)),"x",""))</f>
        <v/>
      </c>
      <c r="V6748" s="79" t="str">
        <f>IF(ISERROR(FIND('112'!$M$9,G6748,1)),"",IF((AND(RIGHT(G6748,2)=RIGHT('112'!$M$9,2),B6748&lt;'112'!$K$9,$O6748='112'!$I$6)),"x",""))</f>
        <v/>
      </c>
      <c r="W6748" s="79" t="str">
        <f>IF(AND('341-CT'!$H$9=H6748,OR(LEFT(N6748,3)=$W$7,LEFT(O6748,3)=$W$7)),"x","")</f>
        <v/>
      </c>
      <c r="X6748" s="79" t="str">
        <f>IF(OR(TH!N6748=TH!$X$7,O6748=TH!$X$7),"x","")</f>
        <v/>
      </c>
      <c r="Y6748" s="79" t="str">
        <f>IF(AND(OR(N6748="131",O6748="131"),H6748='131-CT'!$H$9),"x","")</f>
        <v/>
      </c>
      <c r="Z6748" s="79"/>
      <c r="AA6748" s="79" t="str">
        <f>IF(AND(MONTH(E6748)='IN-NX'!$J$5,'IN-NX'!$D$7=D6748),"x","")</f>
        <v/>
      </c>
      <c r="AB6748" s="79" t="str">
        <f>IF(AND(OR(LEFT(TH!N6748,2)="15",LEFT(TH!O6748,2)="15"),LEFT(TH!O6748,3)&lt;&gt;"111",'152-CT'!$J$8=TH!F6748),"x","")</f>
        <v/>
      </c>
      <c r="AC6748" s="79" t="str">
        <f>IF(AND(OR(LEFT(TH!N6748,2)="15",LEFT(TH!O6748,2)="15"),TK!$E$7=TH!F6748),"x","")</f>
        <v/>
      </c>
      <c r="AD6748" s="79" t="str">
        <f>IF(AND(N6748="1521",MONTH(C6748)='BK-NL'!$M$11),"x","")</f>
        <v/>
      </c>
    </row>
    <row r="6749" spans="1:30" ht="16.5" customHeight="1">
      <c r="A6749" s="318" t="str">
        <f>IF(B6749&lt;&gt;"",IF(AND(B6749='IN-TC'!$S$4,OR(TH!N6749="1111",TH!O6749="1111")),TH!D6749,""),"")</f>
        <v/>
      </c>
      <c r="B6749" s="1163" t="str">
        <f t="shared" si="526"/>
        <v/>
      </c>
      <c r="C6749" s="61"/>
      <c r="D6749" s="61"/>
      <c r="E6749" s="61"/>
      <c r="F6749" s="69"/>
      <c r="G6749" s="64"/>
      <c r="H6749" s="69"/>
      <c r="I6749" s="385"/>
      <c r="J6749" s="392"/>
      <c r="K6749" s="385"/>
      <c r="L6749" s="392"/>
      <c r="M6749" s="62"/>
      <c r="N6749" s="63"/>
      <c r="O6749" s="63"/>
      <c r="P6749" s="79" t="str">
        <f>IF(AND('331-CT'!$E$7=TH!H6749,OR(N6749="331",O6749="331")),"x","")</f>
        <v/>
      </c>
      <c r="Q6749" s="79" t="str">
        <f>IF(AND(B6749='111'!$L$11,OR($N6749=$Q$7,$O6749=$Q$7)),"x","")</f>
        <v/>
      </c>
      <c r="R6749" s="79" t="str">
        <f>IF(AND($N6749=$Q$7,$B6749&lt;'111'!$L$11),"x","")</f>
        <v/>
      </c>
      <c r="S6749" s="79" t="str">
        <f>IF(AND($O6749=$Q$7,$B6749&lt;'111'!$L$11),"x","")</f>
        <v/>
      </c>
      <c r="T6749" s="79" t="str">
        <f>IF(ISERROR(FIND('112'!$M$9,G6749,1)),"",IF((AND(FIND('112'!$M$9,G6749,1)&gt;=1,B6749='112'!$K$9,OR($N6749='112'!$I$6,$O6749='112'!$I$6))),"x",""))</f>
        <v/>
      </c>
      <c r="U6749" s="79" t="str">
        <f>IF(ISERROR(FIND('112'!$M$9,G6749,1)),"",IF((AND(LEFT(G6749,2)=LEFT('112'!$M$9,2),B6749&lt;'112'!$K$9,$N6749='112'!$I$6)),"x",""))</f>
        <v/>
      </c>
      <c r="V6749" s="79" t="str">
        <f>IF(ISERROR(FIND('112'!$M$9,G6749,1)),"",IF((AND(RIGHT(G6749,2)=RIGHT('112'!$M$9,2),B6749&lt;'112'!$K$9,$O6749='112'!$I$6)),"x",""))</f>
        <v/>
      </c>
      <c r="W6749" s="79" t="str">
        <f>IF(AND('341-CT'!$H$9=H6749,OR(LEFT(N6749,3)=$W$7,LEFT(O6749,3)=$W$7)),"x","")</f>
        <v/>
      </c>
      <c r="X6749" s="79" t="str">
        <f>IF(OR(TH!N6749=TH!$X$7,O6749=TH!$X$7),"x","")</f>
        <v/>
      </c>
      <c r="Y6749" s="79" t="str">
        <f>IF(AND(OR(N6749="131",O6749="131"),H6749='131-CT'!$H$9),"x","")</f>
        <v/>
      </c>
      <c r="Z6749" s="79"/>
      <c r="AA6749" s="79" t="str">
        <f>IF(AND(MONTH(E6749)='IN-NX'!$J$5,'IN-NX'!$D$7=D6749),"x","")</f>
        <v/>
      </c>
      <c r="AB6749" s="79" t="str">
        <f>IF(AND(OR(LEFT(TH!N6749,2)="15",LEFT(TH!O6749,2)="15"),LEFT(TH!O6749,3)&lt;&gt;"111",'152-CT'!$J$8=TH!F6749),"x","")</f>
        <v/>
      </c>
      <c r="AC6749" s="79" t="str">
        <f>IF(AND(OR(LEFT(TH!N6749,2)="15",LEFT(TH!O6749,2)="15"),TK!$E$7=TH!F6749),"x","")</f>
        <v/>
      </c>
      <c r="AD6749" s="79" t="str">
        <f>IF(AND(N6749="1521",MONTH(C6749)='BK-NL'!$M$11),"x","")</f>
        <v/>
      </c>
    </row>
    <row r="6750" spans="1:30" ht="16.5" customHeight="1">
      <c r="A6750" s="318" t="str">
        <f>IF(B6750&lt;&gt;"",IF(AND(B6750='IN-TC'!$S$4,OR(TH!N6750="1111",TH!O6750="1111")),TH!D6750,""),"")</f>
        <v/>
      </c>
      <c r="B6750" s="1163" t="str">
        <f t="shared" si="526"/>
        <v/>
      </c>
      <c r="C6750" s="61"/>
      <c r="D6750" s="61"/>
      <c r="E6750" s="61"/>
      <c r="F6750" s="446"/>
      <c r="G6750" s="64"/>
      <c r="H6750" s="69"/>
      <c r="I6750" s="385"/>
      <c r="J6750" s="392"/>
      <c r="K6750" s="385"/>
      <c r="L6750" s="392"/>
      <c r="M6750" s="62"/>
      <c r="N6750" s="63"/>
      <c r="O6750" s="63"/>
      <c r="P6750" s="79" t="str">
        <f>IF(AND('331-CT'!$E$7=TH!H6750,OR(N6750="331",O6750="331")),"x","")</f>
        <v/>
      </c>
      <c r="Q6750" s="79" t="str">
        <f>IF(AND(B6750='111'!$L$11,OR($N6750=$Q$7,$O6750=$Q$7)),"x","")</f>
        <v/>
      </c>
      <c r="R6750" s="79" t="str">
        <f>IF(AND($N6750=$Q$7,$B6750&lt;'111'!$L$11),"x","")</f>
        <v/>
      </c>
      <c r="S6750" s="79" t="str">
        <f>IF(AND($O6750=$Q$7,$B6750&lt;'111'!$L$11),"x","")</f>
        <v/>
      </c>
      <c r="T6750" s="79" t="str">
        <f>IF(ISERROR(FIND('112'!$M$9,G6750,1)),"",IF((AND(FIND('112'!$M$9,G6750,1)&gt;=1,B6750='112'!$K$9,OR($N6750='112'!$I$6,$O6750='112'!$I$6))),"x",""))</f>
        <v/>
      </c>
      <c r="U6750" s="79" t="str">
        <f>IF(ISERROR(FIND('112'!$M$9,G6750,1)),"",IF((AND(LEFT(G6750,2)=LEFT('112'!$M$9,2),B6750&lt;'112'!$K$9,$N6750='112'!$I$6)),"x",""))</f>
        <v/>
      </c>
      <c r="V6750" s="79" t="str">
        <f>IF(ISERROR(FIND('112'!$M$9,G6750,1)),"",IF((AND(RIGHT(G6750,2)=RIGHT('112'!$M$9,2),B6750&lt;'112'!$K$9,$O6750='112'!$I$6)),"x",""))</f>
        <v/>
      </c>
      <c r="W6750" s="79" t="str">
        <f>IF(AND('341-CT'!$H$9=H6750,OR(LEFT(N6750,3)=$W$7,LEFT(O6750,3)=$W$7)),"x","")</f>
        <v/>
      </c>
      <c r="X6750" s="79" t="str">
        <f>IF(OR(TH!N6750=TH!$X$7,O6750=TH!$X$7),"x","")</f>
        <v/>
      </c>
      <c r="Y6750" s="79" t="str">
        <f>IF(AND(OR(N6750="131",O6750="131"),H6750='131-CT'!$H$9),"x","")</f>
        <v/>
      </c>
      <c r="Z6750" s="79"/>
      <c r="AA6750" s="79" t="str">
        <f>IF(AND(MONTH(E6750)='IN-NX'!$J$5,'IN-NX'!$D$7=D6750),"x","")</f>
        <v/>
      </c>
      <c r="AB6750" s="79" t="str">
        <f>IF(AND(OR(LEFT(TH!N6750,2)="15",LEFT(TH!O6750,2)="15"),LEFT(TH!O6750,3)&lt;&gt;"111",'152-CT'!$J$8=TH!F6750),"x","")</f>
        <v/>
      </c>
      <c r="AC6750" s="79" t="str">
        <f>IF(AND(OR(LEFT(TH!N6750,2)="15",LEFT(TH!O6750,2)="15"),TK!$E$7=TH!F6750),"x","")</f>
        <v/>
      </c>
      <c r="AD6750" s="79" t="str">
        <f>IF(AND(N6750="1521",MONTH(C6750)='BK-NL'!$M$11),"x","")</f>
        <v/>
      </c>
    </row>
    <row r="6751" spans="1:30" ht="16.5" customHeight="1">
      <c r="A6751" s="318" t="str">
        <f>IF(B6751&lt;&gt;"",IF(AND(B6751='IN-TC'!$S$4,OR(TH!N6751="1111",TH!O6751="1111")),TH!D6751,""),"")</f>
        <v/>
      </c>
      <c r="B6751" s="1163" t="str">
        <f t="shared" si="526"/>
        <v/>
      </c>
      <c r="C6751" s="61"/>
      <c r="D6751" s="61"/>
      <c r="E6751" s="61"/>
      <c r="F6751" s="446"/>
      <c r="G6751" s="64"/>
      <c r="H6751" s="69"/>
      <c r="I6751" s="385"/>
      <c r="J6751" s="392"/>
      <c r="K6751" s="385"/>
      <c r="L6751" s="392"/>
      <c r="M6751" s="62"/>
      <c r="N6751" s="63"/>
      <c r="O6751" s="63"/>
      <c r="P6751" s="79" t="str">
        <f>IF(AND('331-CT'!$E$7=TH!H6751,OR(N6751="331",O6751="331")),"x","")</f>
        <v/>
      </c>
      <c r="Q6751" s="79" t="str">
        <f>IF(AND(B6751='111'!$L$11,OR($N6751=$Q$7,$O6751=$Q$7)),"x","")</f>
        <v/>
      </c>
      <c r="R6751" s="79" t="str">
        <f>IF(AND($N6751=$Q$7,$B6751&lt;'111'!$L$11),"x","")</f>
        <v/>
      </c>
      <c r="S6751" s="79" t="str">
        <f>IF(AND($O6751=$Q$7,$B6751&lt;'111'!$L$11),"x","")</f>
        <v/>
      </c>
      <c r="T6751" s="79" t="str">
        <f>IF(ISERROR(FIND('112'!$M$9,G6751,1)),"",IF((AND(FIND('112'!$M$9,G6751,1)&gt;=1,B6751='112'!$K$9,OR($N6751='112'!$I$6,$O6751='112'!$I$6))),"x",""))</f>
        <v/>
      </c>
      <c r="U6751" s="79" t="str">
        <f>IF(ISERROR(FIND('112'!$M$9,G6751,1)),"",IF((AND(LEFT(G6751,2)=LEFT('112'!$M$9,2),B6751&lt;'112'!$K$9,$N6751='112'!$I$6)),"x",""))</f>
        <v/>
      </c>
      <c r="V6751" s="79" t="str">
        <f>IF(ISERROR(FIND('112'!$M$9,G6751,1)),"",IF((AND(RIGHT(G6751,2)=RIGHT('112'!$M$9,2),B6751&lt;'112'!$K$9,$O6751='112'!$I$6)),"x",""))</f>
        <v/>
      </c>
      <c r="W6751" s="79" t="str">
        <f>IF(AND('341-CT'!$H$9=H6751,OR(LEFT(N6751,3)=$W$7,LEFT(O6751,3)=$W$7)),"x","")</f>
        <v/>
      </c>
      <c r="X6751" s="79" t="str">
        <f>IF(OR(TH!N6751=TH!$X$7,O6751=TH!$X$7),"x","")</f>
        <v/>
      </c>
      <c r="Y6751" s="79" t="str">
        <f>IF(AND(OR(N6751="131",O6751="131"),H6751='131-CT'!$H$9),"x","")</f>
        <v/>
      </c>
      <c r="Z6751" s="79"/>
      <c r="AA6751" s="79" t="str">
        <f>IF(AND(MONTH(E6751)='IN-NX'!$J$5,'IN-NX'!$D$7=D6751),"x","")</f>
        <v/>
      </c>
      <c r="AB6751" s="79" t="str">
        <f>IF(AND(OR(LEFT(TH!N6751,2)="15",LEFT(TH!O6751,2)="15"),LEFT(TH!O6751,3)&lt;&gt;"111",'152-CT'!$J$8=TH!F6751),"x","")</f>
        <v/>
      </c>
      <c r="AC6751" s="79" t="str">
        <f>IF(AND(OR(LEFT(TH!N6751,2)="15",LEFT(TH!O6751,2)="15"),TK!$E$7=TH!F6751),"x","")</f>
        <v/>
      </c>
      <c r="AD6751" s="79" t="str">
        <f>IF(AND(N6751="1521",MONTH(C6751)='BK-NL'!$M$11),"x","")</f>
        <v/>
      </c>
    </row>
    <row r="6752" spans="1:30" ht="16.5" customHeight="1">
      <c r="A6752" s="318" t="str">
        <f>IF(B6752&lt;&gt;"",IF(AND(B6752='IN-TC'!$S$4,OR(TH!N6752="1111",TH!O6752="1111")),TH!D6752,""),"")</f>
        <v/>
      </c>
      <c r="B6752" s="1163" t="str">
        <f t="shared" si="526"/>
        <v/>
      </c>
      <c r="C6752" s="61"/>
      <c r="D6752" s="61"/>
      <c r="E6752" s="61"/>
      <c r="F6752" s="69"/>
      <c r="G6752" s="766"/>
      <c r="H6752" s="69"/>
      <c r="I6752" s="385"/>
      <c r="J6752" s="392"/>
      <c r="K6752" s="385"/>
      <c r="L6752" s="392"/>
      <c r="M6752" s="62"/>
      <c r="N6752" s="63"/>
      <c r="O6752" s="63"/>
      <c r="P6752" s="79" t="str">
        <f>IF(AND('331-CT'!$E$7=TH!H6752,OR(N6752="331",O6752="331")),"x","")</f>
        <v/>
      </c>
      <c r="Q6752" s="79" t="str">
        <f>IF(AND(B6752='111'!$L$11,OR($N6752=$Q$7,$O6752=$Q$7)),"x","")</f>
        <v/>
      </c>
      <c r="R6752" s="79" t="str">
        <f>IF(AND($N6752=$Q$7,$B6752&lt;'111'!$L$11),"x","")</f>
        <v/>
      </c>
      <c r="S6752" s="79" t="str">
        <f>IF(AND($O6752=$Q$7,$B6752&lt;'111'!$L$11),"x","")</f>
        <v/>
      </c>
      <c r="T6752" s="79" t="str">
        <f>IF(ISERROR(FIND('112'!$M$9,G6752,1)),"",IF((AND(FIND('112'!$M$9,G6752,1)&gt;=1,B6752='112'!$K$9,OR($N6752='112'!$I$6,$O6752='112'!$I$6))),"x",""))</f>
        <v/>
      </c>
      <c r="U6752" s="79" t="str">
        <f>IF(ISERROR(FIND('112'!$M$9,G6752,1)),"",IF((AND(LEFT(G6752,2)=LEFT('112'!$M$9,2),B6752&lt;'112'!$K$9,$N6752='112'!$I$6)),"x",""))</f>
        <v/>
      </c>
      <c r="V6752" s="79" t="str">
        <f>IF(ISERROR(FIND('112'!$M$9,G6752,1)),"",IF((AND(RIGHT(G6752,2)=RIGHT('112'!$M$9,2),B6752&lt;'112'!$K$9,$O6752='112'!$I$6)),"x",""))</f>
        <v/>
      </c>
      <c r="W6752" s="79" t="str">
        <f>IF(AND('341-CT'!$H$9=H6752,OR(LEFT(N6752,3)=$W$7,LEFT(O6752,3)=$W$7)),"x","")</f>
        <v/>
      </c>
      <c r="X6752" s="79" t="str">
        <f>IF(OR(TH!N6752=TH!$X$7,O6752=TH!$X$7),"x","")</f>
        <v/>
      </c>
      <c r="Y6752" s="79" t="str">
        <f>IF(AND(OR(N6752="131",O6752="131"),H6752='131-CT'!$H$9),"x","")</f>
        <v/>
      </c>
      <c r="Z6752" s="79"/>
      <c r="AA6752" s="79" t="str">
        <f>IF(AND(MONTH(E6752)='IN-NX'!$J$5,'IN-NX'!$D$7=D6752),"x","")</f>
        <v/>
      </c>
      <c r="AB6752" s="79" t="str">
        <f>IF(AND(OR(LEFT(TH!N6752,2)="15",LEFT(TH!O6752,2)="15"),LEFT(TH!O6752,3)&lt;&gt;"111",'152-CT'!$J$8=TH!F6752),"x","")</f>
        <v/>
      </c>
      <c r="AC6752" s="79" t="str">
        <f>IF(AND(OR(LEFT(TH!N6752,2)="15",LEFT(TH!O6752,2)="15"),TK!$E$7=TH!F6752),"x","")</f>
        <v/>
      </c>
      <c r="AD6752" s="79" t="str">
        <f>IF(AND(N6752="1521",MONTH(C6752)='BK-NL'!$M$11),"x","")</f>
        <v/>
      </c>
    </row>
    <row r="6753" spans="1:30" ht="16.5" customHeight="1">
      <c r="A6753" s="318" t="str">
        <f>IF(B6753&lt;&gt;"",IF(AND(B6753='IN-TC'!$S$4,OR(TH!N6753="1111",TH!O6753="1111")),TH!D6753,""),"")</f>
        <v/>
      </c>
      <c r="B6753" s="1163" t="str">
        <f t="shared" si="526"/>
        <v/>
      </c>
      <c r="C6753" s="61"/>
      <c r="D6753" s="61"/>
      <c r="E6753" s="61"/>
      <c r="F6753" s="69"/>
      <c r="G6753" s="766"/>
      <c r="H6753" s="69"/>
      <c r="I6753" s="385"/>
      <c r="J6753" s="392"/>
      <c r="K6753" s="385"/>
      <c r="L6753" s="392"/>
      <c r="M6753" s="62"/>
      <c r="N6753" s="63"/>
      <c r="O6753" s="63"/>
      <c r="P6753" s="79" t="str">
        <f>IF(AND('331-CT'!$E$7=TH!H6753,OR(N6753="331",O6753="331")),"x","")</f>
        <v/>
      </c>
      <c r="Q6753" s="79" t="str">
        <f>IF(AND(B6753='111'!$L$11,OR($N6753=$Q$7,$O6753=$Q$7)),"x","")</f>
        <v/>
      </c>
      <c r="R6753" s="79" t="str">
        <f>IF(AND($N6753=$Q$7,$B6753&lt;'111'!$L$11),"x","")</f>
        <v/>
      </c>
      <c r="S6753" s="79" t="str">
        <f>IF(AND($O6753=$Q$7,$B6753&lt;'111'!$L$11),"x","")</f>
        <v/>
      </c>
      <c r="T6753" s="79" t="str">
        <f>IF(ISERROR(FIND('112'!$M$9,G6753,1)),"",IF((AND(FIND('112'!$M$9,G6753,1)&gt;=1,B6753='112'!$K$9,OR($N6753='112'!$I$6,$O6753='112'!$I$6))),"x",""))</f>
        <v/>
      </c>
      <c r="U6753" s="79" t="str">
        <f>IF(ISERROR(FIND('112'!$M$9,G6753,1)),"",IF((AND(LEFT(G6753,2)=LEFT('112'!$M$9,2),B6753&lt;'112'!$K$9,$N6753='112'!$I$6)),"x",""))</f>
        <v/>
      </c>
      <c r="V6753" s="79" t="str">
        <f>IF(ISERROR(FIND('112'!$M$9,G6753,1)),"",IF((AND(RIGHT(G6753,2)=RIGHT('112'!$M$9,2),B6753&lt;'112'!$K$9,$O6753='112'!$I$6)),"x",""))</f>
        <v/>
      </c>
      <c r="W6753" s="79" t="str">
        <f>IF(AND('341-CT'!$H$9=H6753,OR(LEFT(N6753,3)=$W$7,LEFT(O6753,3)=$W$7)),"x","")</f>
        <v/>
      </c>
      <c r="X6753" s="79" t="str">
        <f>IF(OR(TH!N6753=TH!$X$7,O6753=TH!$X$7),"x","")</f>
        <v/>
      </c>
      <c r="Y6753" s="79" t="str">
        <f>IF(AND(OR(N6753="131",O6753="131"),H6753='131-CT'!$H$9),"x","")</f>
        <v/>
      </c>
      <c r="Z6753" s="79"/>
      <c r="AA6753" s="79" t="str">
        <f>IF(AND(MONTH(E6753)='IN-NX'!$J$5,'IN-NX'!$D$7=D6753),"x","")</f>
        <v/>
      </c>
      <c r="AB6753" s="79" t="str">
        <f>IF(AND(OR(LEFT(TH!N6753,2)="15",LEFT(TH!O6753,2)="15"),LEFT(TH!O6753,3)&lt;&gt;"111",'152-CT'!$J$8=TH!F6753),"x","")</f>
        <v/>
      </c>
      <c r="AC6753" s="79" t="str">
        <f>IF(AND(OR(LEFT(TH!N6753,2)="15",LEFT(TH!O6753,2)="15"),TK!$E$7=TH!F6753),"x","")</f>
        <v/>
      </c>
      <c r="AD6753" s="79" t="str">
        <f>IF(AND(N6753="1521",MONTH(C6753)='BK-NL'!$M$11),"x","")</f>
        <v/>
      </c>
    </row>
    <row r="6754" spans="1:30" ht="16.5" customHeight="1">
      <c r="A6754" s="318" t="str">
        <f>IF(B6754&lt;&gt;"",IF(AND(B6754='IN-TC'!$S$4,OR(TH!N6754="1111",TH!O6754="1111")),TH!D6754,""),"")</f>
        <v/>
      </c>
      <c r="B6754" s="1163" t="str">
        <f t="shared" si="526"/>
        <v/>
      </c>
      <c r="C6754" s="61"/>
      <c r="D6754" s="61"/>
      <c r="E6754" s="61"/>
      <c r="F6754" s="69"/>
      <c r="G6754" s="64"/>
      <c r="H6754" s="69"/>
      <c r="I6754" s="385"/>
      <c r="J6754" s="392"/>
      <c r="K6754" s="385"/>
      <c r="L6754" s="392"/>
      <c r="M6754" s="62"/>
      <c r="N6754" s="63"/>
      <c r="O6754" s="63"/>
      <c r="P6754" s="79" t="str">
        <f>IF(AND('331-CT'!$E$7=TH!H6754,OR(N6754="331",O6754="331")),"x","")</f>
        <v/>
      </c>
      <c r="Q6754" s="79" t="str">
        <f>IF(AND(B6754='111'!$L$11,OR($N6754=$Q$7,$O6754=$Q$7)),"x","")</f>
        <v/>
      </c>
      <c r="R6754" s="79" t="str">
        <f>IF(AND($N6754=$Q$7,$B6754&lt;'111'!$L$11),"x","")</f>
        <v/>
      </c>
      <c r="S6754" s="79" t="str">
        <f>IF(AND($O6754=$Q$7,$B6754&lt;'111'!$L$11),"x","")</f>
        <v/>
      </c>
      <c r="T6754" s="79" t="str">
        <f>IF(ISERROR(FIND('112'!$M$9,G6754,1)),"",IF((AND(FIND('112'!$M$9,G6754,1)&gt;=1,B6754='112'!$K$9,OR($N6754='112'!$I$6,$O6754='112'!$I$6))),"x",""))</f>
        <v/>
      </c>
      <c r="U6754" s="79" t="str">
        <f>IF(ISERROR(FIND('112'!$M$9,G6754,1)),"",IF((AND(LEFT(G6754,2)=LEFT('112'!$M$9,2),B6754&lt;'112'!$K$9,$N6754='112'!$I$6)),"x",""))</f>
        <v/>
      </c>
      <c r="V6754" s="79" t="str">
        <f>IF(ISERROR(FIND('112'!$M$9,G6754,1)),"",IF((AND(RIGHT(G6754,2)=RIGHT('112'!$M$9,2),B6754&lt;'112'!$K$9,$O6754='112'!$I$6)),"x",""))</f>
        <v/>
      </c>
      <c r="W6754" s="79" t="str">
        <f>IF(AND('341-CT'!$H$9=H6754,OR(LEFT(N6754,3)=$W$7,LEFT(O6754,3)=$W$7)),"x","")</f>
        <v/>
      </c>
      <c r="X6754" s="79" t="str">
        <f>IF(OR(TH!N6754=TH!$X$7,O6754=TH!$X$7),"x","")</f>
        <v/>
      </c>
      <c r="Y6754" s="79" t="str">
        <f>IF(AND(OR(N6754="131",O6754="131"),H6754='131-CT'!$H$9),"x","")</f>
        <v/>
      </c>
      <c r="Z6754" s="79"/>
      <c r="AA6754" s="79" t="str">
        <f>IF(AND(MONTH(E6754)='IN-NX'!$J$5,'IN-NX'!$D$7=D6754),"x","")</f>
        <v/>
      </c>
      <c r="AB6754" s="79" t="str">
        <f>IF(AND(OR(LEFT(TH!N6754,2)="15",LEFT(TH!O6754,2)="15"),LEFT(TH!O6754,3)&lt;&gt;"111",'152-CT'!$J$8=TH!F6754),"x","")</f>
        <v/>
      </c>
      <c r="AC6754" s="79" t="str">
        <f>IF(AND(OR(LEFT(TH!N6754,2)="15",LEFT(TH!O6754,2)="15"),TK!$E$7=TH!F6754),"x","")</f>
        <v/>
      </c>
      <c r="AD6754" s="79" t="str">
        <f>IF(AND(N6754="1521",MONTH(C6754)='BK-NL'!$M$11),"x","")</f>
        <v/>
      </c>
    </row>
    <row r="6755" spans="1:30" ht="16.5" customHeight="1">
      <c r="A6755" s="318" t="str">
        <f>IF(B6755&lt;&gt;"",IF(AND(B6755='IN-TC'!$S$4,OR(TH!N6755="1111",TH!O6755="1111")),TH!D6755,""),"")</f>
        <v/>
      </c>
      <c r="B6755" s="1163" t="str">
        <f t="shared" si="526"/>
        <v/>
      </c>
      <c r="C6755" s="61"/>
      <c r="D6755" s="61"/>
      <c r="E6755" s="61"/>
      <c r="F6755" s="69"/>
      <c r="G6755" s="766"/>
      <c r="H6755" s="69"/>
      <c r="I6755" s="385"/>
      <c r="J6755" s="392"/>
      <c r="K6755" s="385"/>
      <c r="L6755" s="392"/>
      <c r="M6755" s="62"/>
      <c r="N6755" s="63"/>
      <c r="O6755" s="63"/>
      <c r="P6755" s="79" t="str">
        <f>IF(AND('331-CT'!$E$7=TH!H6755,OR(N6755="331",O6755="331")),"x","")</f>
        <v/>
      </c>
      <c r="Q6755" s="79" t="str">
        <f>IF(AND(B6755='111'!$L$11,OR($N6755=$Q$7,$O6755=$Q$7)),"x","")</f>
        <v/>
      </c>
      <c r="R6755" s="79" t="str">
        <f>IF(AND($N6755=$Q$7,$B6755&lt;'111'!$L$11),"x","")</f>
        <v/>
      </c>
      <c r="S6755" s="79" t="str">
        <f>IF(AND($O6755=$Q$7,$B6755&lt;'111'!$L$11),"x","")</f>
        <v/>
      </c>
      <c r="T6755" s="79" t="str">
        <f>IF(ISERROR(FIND('112'!$M$9,G6755,1)),"",IF((AND(FIND('112'!$M$9,G6755,1)&gt;=1,B6755='112'!$K$9,OR($N6755='112'!$I$6,$O6755='112'!$I$6))),"x",""))</f>
        <v/>
      </c>
      <c r="U6755" s="79" t="str">
        <f>IF(ISERROR(FIND('112'!$M$9,G6755,1)),"",IF((AND(LEFT(G6755,2)=LEFT('112'!$M$9,2),B6755&lt;'112'!$K$9,$N6755='112'!$I$6)),"x",""))</f>
        <v/>
      </c>
      <c r="V6755" s="79" t="str">
        <f>IF(ISERROR(FIND('112'!$M$9,G6755,1)),"",IF((AND(RIGHT(G6755,2)=RIGHT('112'!$M$9,2),B6755&lt;'112'!$K$9,$O6755='112'!$I$6)),"x",""))</f>
        <v/>
      </c>
      <c r="W6755" s="79" t="str">
        <f>IF(AND('341-CT'!$H$9=H6755,OR(LEFT(N6755,3)=$W$7,LEFT(O6755,3)=$W$7)),"x","")</f>
        <v/>
      </c>
      <c r="X6755" s="79" t="str">
        <f>IF(OR(TH!N6755=TH!$X$7,O6755=TH!$X$7),"x","")</f>
        <v/>
      </c>
      <c r="Y6755" s="79" t="str">
        <f>IF(AND(OR(N6755="131",O6755="131"),H6755='131-CT'!$H$9),"x","")</f>
        <v/>
      </c>
      <c r="Z6755" s="79"/>
      <c r="AA6755" s="79" t="str">
        <f>IF(AND(MONTH(E6755)='IN-NX'!$J$5,'IN-NX'!$D$7=D6755),"x","")</f>
        <v/>
      </c>
      <c r="AB6755" s="79" t="str">
        <f>IF(AND(OR(LEFT(TH!N6755,2)="15",LEFT(TH!O6755,2)="15"),LEFT(TH!O6755,3)&lt;&gt;"111",'152-CT'!$J$8=TH!F6755),"x","")</f>
        <v/>
      </c>
      <c r="AC6755" s="79" t="str">
        <f>IF(AND(OR(LEFT(TH!N6755,2)="15",LEFT(TH!O6755,2)="15"),TK!$E$7=TH!F6755),"x","")</f>
        <v/>
      </c>
      <c r="AD6755" s="79" t="str">
        <f>IF(AND(N6755="1521",MONTH(C6755)='BK-NL'!$M$11),"x","")</f>
        <v/>
      </c>
    </row>
    <row r="6756" spans="1:30" ht="16.5" customHeight="1">
      <c r="A6756" s="318" t="str">
        <f>IF(B6756&lt;&gt;"",IF(AND(B6756='IN-TC'!$S$4,OR(TH!N6756="1111",TH!O6756="1111")),TH!D6756,""),"")</f>
        <v/>
      </c>
      <c r="B6756" s="1163" t="str">
        <f t="shared" si="526"/>
        <v/>
      </c>
      <c r="C6756" s="61"/>
      <c r="D6756" s="61"/>
      <c r="E6756" s="61"/>
      <c r="F6756" s="69"/>
      <c r="G6756" s="766"/>
      <c r="H6756" s="69"/>
      <c r="I6756" s="385"/>
      <c r="J6756" s="392"/>
      <c r="K6756" s="385"/>
      <c r="L6756" s="392"/>
      <c r="M6756" s="62"/>
      <c r="N6756" s="63"/>
      <c r="O6756" s="63"/>
      <c r="P6756" s="79" t="str">
        <f>IF(AND('331-CT'!$E$7=TH!H6756,OR(N6756="331",O6756="331")),"x","")</f>
        <v/>
      </c>
      <c r="Q6756" s="79" t="str">
        <f>IF(AND(B6756='111'!$L$11,OR($N6756=$Q$7,$O6756=$Q$7)),"x","")</f>
        <v/>
      </c>
      <c r="R6756" s="79" t="str">
        <f>IF(AND($N6756=$Q$7,$B6756&lt;'111'!$L$11),"x","")</f>
        <v/>
      </c>
      <c r="S6756" s="79" t="str">
        <f>IF(AND($O6756=$Q$7,$B6756&lt;'111'!$L$11),"x","")</f>
        <v/>
      </c>
      <c r="T6756" s="79" t="str">
        <f>IF(ISERROR(FIND('112'!$M$9,G6756,1)),"",IF((AND(FIND('112'!$M$9,G6756,1)&gt;=1,B6756='112'!$K$9,OR($N6756='112'!$I$6,$O6756='112'!$I$6))),"x",""))</f>
        <v/>
      </c>
      <c r="U6756" s="79" t="str">
        <f>IF(ISERROR(FIND('112'!$M$9,G6756,1)),"",IF((AND(LEFT(G6756,2)=LEFT('112'!$M$9,2),B6756&lt;'112'!$K$9,$N6756='112'!$I$6)),"x",""))</f>
        <v/>
      </c>
      <c r="V6756" s="79" t="str">
        <f>IF(ISERROR(FIND('112'!$M$9,G6756,1)),"",IF((AND(RIGHT(G6756,2)=RIGHT('112'!$M$9,2),B6756&lt;'112'!$K$9,$O6756='112'!$I$6)),"x",""))</f>
        <v/>
      </c>
      <c r="W6756" s="79" t="str">
        <f>IF(AND('341-CT'!$H$9=H6756,OR(LEFT(N6756,3)=$W$7,LEFT(O6756,3)=$W$7)),"x","")</f>
        <v/>
      </c>
      <c r="X6756" s="79" t="str">
        <f>IF(OR(TH!N6756=TH!$X$7,O6756=TH!$X$7),"x","")</f>
        <v/>
      </c>
      <c r="Y6756" s="79" t="str">
        <f>IF(AND(OR(N6756="131",O6756="131"),H6756='131-CT'!$H$9),"x","")</f>
        <v/>
      </c>
      <c r="Z6756" s="79"/>
      <c r="AA6756" s="79" t="str">
        <f>IF(AND(MONTH(E6756)='IN-NX'!$J$5,'IN-NX'!$D$7=D6756),"x","")</f>
        <v/>
      </c>
      <c r="AB6756" s="79" t="str">
        <f>IF(AND(OR(LEFT(TH!N6756,2)="15",LEFT(TH!O6756,2)="15"),LEFT(TH!O6756,3)&lt;&gt;"111",'152-CT'!$J$8=TH!F6756),"x","")</f>
        <v/>
      </c>
      <c r="AC6756" s="79" t="str">
        <f>IF(AND(OR(LEFT(TH!N6756,2)="15",LEFT(TH!O6756,2)="15"),TK!$E$7=TH!F6756),"x","")</f>
        <v/>
      </c>
      <c r="AD6756" s="79" t="str">
        <f>IF(AND(N6756="1521",MONTH(C6756)='BK-NL'!$M$11),"x","")</f>
        <v/>
      </c>
    </row>
    <row r="6757" spans="1:30" ht="16.5" customHeight="1">
      <c r="A6757" s="318" t="str">
        <f>IF(B6757&lt;&gt;"",IF(AND(B6757='IN-TC'!$S$4,OR(TH!N6757="1111",TH!O6757="1111")),TH!D6757,""),"")</f>
        <v/>
      </c>
      <c r="B6757" s="1163" t="str">
        <f t="shared" si="526"/>
        <v/>
      </c>
      <c r="C6757" s="61"/>
      <c r="D6757" s="61"/>
      <c r="E6757" s="61"/>
      <c r="F6757" s="69"/>
      <c r="G6757" s="766"/>
      <c r="H6757" s="69"/>
      <c r="I6757" s="385"/>
      <c r="J6757" s="392"/>
      <c r="K6757" s="385"/>
      <c r="L6757" s="392"/>
      <c r="M6757" s="920"/>
      <c r="N6757" s="63"/>
      <c r="O6757" s="63"/>
      <c r="P6757" s="79" t="str">
        <f>IF(AND('331-CT'!$E$7=TH!H6757,OR(N6757="331",O6757="331")),"x","")</f>
        <v/>
      </c>
      <c r="Q6757" s="79" t="str">
        <f>IF(AND(B6757='111'!$L$11,OR($N6757=$Q$7,$O6757=$Q$7)),"x","")</f>
        <v/>
      </c>
      <c r="R6757" s="79" t="str">
        <f>IF(AND($N6757=$Q$7,$B6757&lt;'111'!$L$11),"x","")</f>
        <v/>
      </c>
      <c r="S6757" s="79" t="str">
        <f>IF(AND($O6757=$Q$7,$B6757&lt;'111'!$L$11),"x","")</f>
        <v/>
      </c>
      <c r="T6757" s="79" t="str">
        <f>IF(ISERROR(FIND('112'!$M$9,G6757,1)),"",IF((AND(FIND('112'!$M$9,G6757,1)&gt;=1,B6757='112'!$K$9,OR($N6757='112'!$I$6,$O6757='112'!$I$6))),"x",""))</f>
        <v/>
      </c>
      <c r="U6757" s="79" t="str">
        <f>IF(ISERROR(FIND('112'!$M$9,G6757,1)),"",IF((AND(LEFT(G6757,2)=LEFT('112'!$M$9,2),B6757&lt;'112'!$K$9,$N6757='112'!$I$6)),"x",""))</f>
        <v/>
      </c>
      <c r="V6757" s="79" t="str">
        <f>IF(ISERROR(FIND('112'!$M$9,G6757,1)),"",IF((AND(RIGHT(G6757,2)=RIGHT('112'!$M$9,2),B6757&lt;'112'!$K$9,$O6757='112'!$I$6)),"x",""))</f>
        <v/>
      </c>
      <c r="W6757" s="79" t="str">
        <f>IF(AND('341-CT'!$H$9=H6757,OR(LEFT(N6757,3)=$W$7,LEFT(O6757,3)=$W$7)),"x","")</f>
        <v/>
      </c>
      <c r="X6757" s="79" t="str">
        <f>IF(OR(TH!N6757=TH!$X$7,O6757=TH!$X$7),"x","")</f>
        <v/>
      </c>
      <c r="Y6757" s="79" t="str">
        <f>IF(AND(OR(N6757="131",O6757="131"),H6757='131-CT'!$H$9),"x","")</f>
        <v/>
      </c>
      <c r="Z6757" s="79"/>
      <c r="AA6757" s="79" t="str">
        <f>IF(AND(MONTH(E6757)='IN-NX'!$J$5,'IN-NX'!$D$7=D6757),"x","")</f>
        <v/>
      </c>
      <c r="AB6757" s="79" t="str">
        <f>IF(AND(OR(LEFT(TH!N6757,2)="15",LEFT(TH!O6757,2)="15"),LEFT(TH!O6757,3)&lt;&gt;"111",'152-CT'!$J$8=TH!F6757),"x","")</f>
        <v/>
      </c>
      <c r="AC6757" s="79" t="str">
        <f>IF(AND(OR(LEFT(TH!N6757,2)="15",LEFT(TH!O6757,2)="15"),TK!$E$7=TH!F6757),"x","")</f>
        <v/>
      </c>
      <c r="AD6757" s="79" t="str">
        <f>IF(AND(N6757="1521",MONTH(C6757)='BK-NL'!$M$11),"x","")</f>
        <v/>
      </c>
    </row>
    <row r="6758" spans="1:30" ht="16.5" customHeight="1">
      <c r="A6758" s="318" t="str">
        <f>IF(B6758&lt;&gt;"",IF(AND(B6758='IN-TC'!$S$4,OR(TH!N6758="1111",TH!O6758="1111")),TH!D6758,""),"")</f>
        <v/>
      </c>
      <c r="B6758" s="1163" t="str">
        <f t="shared" si="526"/>
        <v/>
      </c>
      <c r="C6758" s="61"/>
      <c r="D6758" s="61"/>
      <c r="E6758" s="61"/>
      <c r="F6758" s="69"/>
      <c r="G6758" s="766"/>
      <c r="H6758" s="69"/>
      <c r="I6758" s="385"/>
      <c r="J6758" s="392"/>
      <c r="K6758" s="385"/>
      <c r="L6758" s="392"/>
      <c r="M6758" s="62"/>
      <c r="N6758" s="63"/>
      <c r="O6758" s="63"/>
      <c r="P6758" s="79" t="str">
        <f>IF(AND('331-CT'!$E$7=TH!H6758,OR(N6758="331",O6758="331")),"x","")</f>
        <v/>
      </c>
      <c r="Q6758" s="79" t="str">
        <f>IF(AND(B6758='111'!$L$11,OR($N6758=$Q$7,$O6758=$Q$7)),"x","")</f>
        <v/>
      </c>
      <c r="R6758" s="79" t="str">
        <f>IF(AND($N6758=$Q$7,$B6758&lt;'111'!$L$11),"x","")</f>
        <v/>
      </c>
      <c r="S6758" s="79" t="str">
        <f>IF(AND($O6758=$Q$7,$B6758&lt;'111'!$L$11),"x","")</f>
        <v/>
      </c>
      <c r="T6758" s="79" t="str">
        <f>IF(ISERROR(FIND('112'!$M$9,G6758,1)),"",IF((AND(FIND('112'!$M$9,G6758,1)&gt;=1,B6758='112'!$K$9,OR($N6758='112'!$I$6,$O6758='112'!$I$6))),"x",""))</f>
        <v/>
      </c>
      <c r="U6758" s="79" t="str">
        <f>IF(ISERROR(FIND('112'!$M$9,G6758,1)),"",IF((AND(LEFT(G6758,2)=LEFT('112'!$M$9,2),B6758&lt;'112'!$K$9,$N6758='112'!$I$6)),"x",""))</f>
        <v/>
      </c>
      <c r="V6758" s="79" t="str">
        <f>IF(ISERROR(FIND('112'!$M$9,G6758,1)),"",IF((AND(RIGHT(G6758,2)=RIGHT('112'!$M$9,2),B6758&lt;'112'!$K$9,$O6758='112'!$I$6)),"x",""))</f>
        <v/>
      </c>
      <c r="W6758" s="79" t="str">
        <f>IF(AND('341-CT'!$H$9=H6758,OR(LEFT(N6758,3)=$W$7,LEFT(O6758,3)=$W$7)),"x","")</f>
        <v/>
      </c>
      <c r="X6758" s="79" t="str">
        <f>IF(OR(TH!N6758=TH!$X$7,O6758=TH!$X$7),"x","")</f>
        <v/>
      </c>
      <c r="Y6758" s="79" t="str">
        <f>IF(AND(OR(N6758="131",O6758="131"),H6758='131-CT'!$H$9),"x","")</f>
        <v/>
      </c>
      <c r="Z6758" s="79"/>
      <c r="AA6758" s="79" t="str">
        <f>IF(AND(MONTH(E6758)='IN-NX'!$J$5,'IN-NX'!$D$7=D6758),"x","")</f>
        <v/>
      </c>
      <c r="AB6758" s="79" t="str">
        <f>IF(AND(OR(LEFT(TH!N6758,2)="15",LEFT(TH!O6758,2)="15"),LEFT(TH!O6758,3)&lt;&gt;"111",'152-CT'!$J$8=TH!F6758),"x","")</f>
        <v/>
      </c>
      <c r="AC6758" s="79" t="str">
        <f>IF(AND(OR(LEFT(TH!N6758,2)="15",LEFT(TH!O6758,2)="15"),TK!$E$7=TH!F6758),"x","")</f>
        <v/>
      </c>
      <c r="AD6758" s="79" t="str">
        <f>IF(AND(N6758="1521",MONTH(C6758)='BK-NL'!$M$11),"x","")</f>
        <v/>
      </c>
    </row>
    <row r="6759" spans="1:30" ht="16.5" customHeight="1">
      <c r="A6759" s="318" t="str">
        <f>IF(B6759&lt;&gt;"",IF(AND(B6759='IN-TC'!$S$4,OR(TH!N6759="1111",TH!O6759="1111")),TH!D6759,""),"")</f>
        <v/>
      </c>
      <c r="B6759" s="1163" t="str">
        <f t="shared" si="526"/>
        <v/>
      </c>
      <c r="C6759" s="61"/>
      <c r="D6759" s="61"/>
      <c r="E6759" s="61"/>
      <c r="F6759" s="69"/>
      <c r="G6759" s="766"/>
      <c r="H6759" s="69"/>
      <c r="I6759" s="385"/>
      <c r="J6759" s="392"/>
      <c r="K6759" s="385"/>
      <c r="L6759" s="392"/>
      <c r="M6759" s="62"/>
      <c r="N6759" s="63"/>
      <c r="O6759" s="63"/>
      <c r="P6759" s="79" t="str">
        <f>IF(AND('331-CT'!$E$7=TH!H6759,OR(N6759="331",O6759="331")),"x","")</f>
        <v/>
      </c>
      <c r="Q6759" s="79" t="str">
        <f>IF(AND(B6759='111'!$L$11,OR($N6759=$Q$7,$O6759=$Q$7)),"x","")</f>
        <v/>
      </c>
      <c r="R6759" s="79" t="str">
        <f>IF(AND($N6759=$Q$7,$B6759&lt;'111'!$L$11),"x","")</f>
        <v/>
      </c>
      <c r="S6759" s="79" t="str">
        <f>IF(AND($O6759=$Q$7,$B6759&lt;'111'!$L$11),"x","")</f>
        <v/>
      </c>
      <c r="T6759" s="79" t="str">
        <f>IF(ISERROR(FIND('112'!$M$9,G6759,1)),"",IF((AND(FIND('112'!$M$9,G6759,1)&gt;=1,B6759='112'!$K$9,OR($N6759='112'!$I$6,$O6759='112'!$I$6))),"x",""))</f>
        <v/>
      </c>
      <c r="U6759" s="79" t="str">
        <f>IF(ISERROR(FIND('112'!$M$9,G6759,1)),"",IF((AND(LEFT(G6759,2)=LEFT('112'!$M$9,2),B6759&lt;'112'!$K$9,$N6759='112'!$I$6)),"x",""))</f>
        <v/>
      </c>
      <c r="V6759" s="79" t="str">
        <f>IF(ISERROR(FIND('112'!$M$9,G6759,1)),"",IF((AND(RIGHT(G6759,2)=RIGHT('112'!$M$9,2),B6759&lt;'112'!$K$9,$O6759='112'!$I$6)),"x",""))</f>
        <v/>
      </c>
      <c r="W6759" s="79" t="str">
        <f>IF(AND('341-CT'!$H$9=H6759,OR(LEFT(N6759,3)=$W$7,LEFT(O6759,3)=$W$7)),"x","")</f>
        <v/>
      </c>
      <c r="X6759" s="79" t="str">
        <f>IF(OR(TH!N6759=TH!$X$7,O6759=TH!$X$7),"x","")</f>
        <v/>
      </c>
      <c r="Y6759" s="79" t="str">
        <f>IF(AND(OR(N6759="131",O6759="131"),H6759='131-CT'!$H$9),"x","")</f>
        <v/>
      </c>
      <c r="Z6759" s="79"/>
      <c r="AA6759" s="79" t="str">
        <f>IF(AND(MONTH(E6759)='IN-NX'!$J$5,'IN-NX'!$D$7=D6759),"x","")</f>
        <v/>
      </c>
      <c r="AB6759" s="79" t="str">
        <f>IF(AND(OR(LEFT(TH!N6759,2)="15",LEFT(TH!O6759,2)="15"),LEFT(TH!O6759,3)&lt;&gt;"111",'152-CT'!$J$8=TH!F6759),"x","")</f>
        <v/>
      </c>
      <c r="AC6759" s="79" t="str">
        <f>IF(AND(OR(LEFT(TH!N6759,2)="15",LEFT(TH!O6759,2)="15"),TK!$E$7=TH!F6759),"x","")</f>
        <v/>
      </c>
      <c r="AD6759" s="79" t="str">
        <f>IF(AND(N6759="1521",MONTH(C6759)='BK-NL'!$M$11),"x","")</f>
        <v/>
      </c>
    </row>
    <row r="6760" spans="1:30" ht="16.5" customHeight="1">
      <c r="A6760" s="318" t="str">
        <f>IF(B6760&lt;&gt;"",IF(AND(B6760='IN-TC'!$S$4,OR(TH!N6760="1111",TH!O6760="1111")),TH!D6760,""),"")</f>
        <v/>
      </c>
      <c r="B6760" s="1163" t="str">
        <f t="shared" si="526"/>
        <v/>
      </c>
      <c r="C6760" s="61"/>
      <c r="D6760" s="61"/>
      <c r="E6760" s="61"/>
      <c r="F6760" s="69"/>
      <c r="G6760" s="766"/>
      <c r="H6760" s="69"/>
      <c r="I6760" s="385"/>
      <c r="J6760" s="392"/>
      <c r="K6760" s="385"/>
      <c r="L6760" s="392"/>
      <c r="M6760" s="62"/>
      <c r="N6760" s="63"/>
      <c r="O6760" s="63"/>
      <c r="P6760" s="79" t="str">
        <f>IF(AND('331-CT'!$E$7=TH!H6760,OR(N6760="331",O6760="331")),"x","")</f>
        <v/>
      </c>
      <c r="Q6760" s="79" t="str">
        <f>IF(AND(B6760='111'!$L$11,OR($N6760=$Q$7,$O6760=$Q$7)),"x","")</f>
        <v/>
      </c>
      <c r="R6760" s="79" t="str">
        <f>IF(AND($N6760=$Q$7,$B6760&lt;'111'!$L$11),"x","")</f>
        <v/>
      </c>
      <c r="S6760" s="79" t="str">
        <f>IF(AND($O6760=$Q$7,$B6760&lt;'111'!$L$11),"x","")</f>
        <v/>
      </c>
      <c r="T6760" s="79" t="str">
        <f>IF(ISERROR(FIND('112'!$M$9,G6760,1)),"",IF((AND(FIND('112'!$M$9,G6760,1)&gt;=1,B6760='112'!$K$9,OR($N6760='112'!$I$6,$O6760='112'!$I$6))),"x",""))</f>
        <v/>
      </c>
      <c r="U6760" s="79" t="str">
        <f>IF(ISERROR(FIND('112'!$M$9,G6760,1)),"",IF((AND(LEFT(G6760,2)=LEFT('112'!$M$9,2),B6760&lt;'112'!$K$9,$N6760='112'!$I$6)),"x",""))</f>
        <v/>
      </c>
      <c r="V6760" s="79" t="str">
        <f>IF(ISERROR(FIND('112'!$M$9,G6760,1)),"",IF((AND(RIGHT(G6760,2)=RIGHT('112'!$M$9,2),B6760&lt;'112'!$K$9,$O6760='112'!$I$6)),"x",""))</f>
        <v/>
      </c>
      <c r="W6760" s="79" t="str">
        <f>IF(AND('341-CT'!$H$9=H6760,OR(LEFT(N6760,3)=$W$7,LEFT(O6760,3)=$W$7)),"x","")</f>
        <v/>
      </c>
      <c r="X6760" s="79" t="str">
        <f>IF(OR(TH!N6760=TH!$X$7,O6760=TH!$X$7),"x","")</f>
        <v/>
      </c>
      <c r="Y6760" s="79" t="str">
        <f>IF(AND(OR(N6760="131",O6760="131"),H6760='131-CT'!$H$9),"x","")</f>
        <v/>
      </c>
      <c r="Z6760" s="79"/>
      <c r="AA6760" s="79" t="str">
        <f>IF(AND(MONTH(E6760)='IN-NX'!$J$5,'IN-NX'!$D$7=D6760),"x","")</f>
        <v/>
      </c>
      <c r="AB6760" s="79" t="str">
        <f>IF(AND(OR(LEFT(TH!N6760,2)="15",LEFT(TH!O6760,2)="15"),LEFT(TH!O6760,3)&lt;&gt;"111",'152-CT'!$J$8=TH!F6760),"x","")</f>
        <v/>
      </c>
      <c r="AC6760" s="79" t="str">
        <f>IF(AND(OR(LEFT(TH!N6760,2)="15",LEFT(TH!O6760,2)="15"),TK!$E$7=TH!F6760),"x","")</f>
        <v/>
      </c>
      <c r="AD6760" s="79" t="str">
        <f>IF(AND(N6760="1521",MONTH(C6760)='BK-NL'!$M$11),"x","")</f>
        <v/>
      </c>
    </row>
    <row r="6761" spans="1:30" ht="16.5" customHeight="1">
      <c r="A6761" s="318" t="str">
        <f>IF(B6761&lt;&gt;"",IF(AND(B6761='IN-TC'!$S$4,OR(TH!N6761="1111",TH!O6761="1111")),TH!D6761,""),"")</f>
        <v/>
      </c>
      <c r="B6761" s="1163" t="str">
        <f t="shared" si="526"/>
        <v/>
      </c>
      <c r="C6761" s="61"/>
      <c r="D6761" s="61"/>
      <c r="E6761" s="61"/>
      <c r="F6761" s="69"/>
      <c r="G6761" s="766"/>
      <c r="H6761" s="69"/>
      <c r="I6761" s="385"/>
      <c r="J6761" s="392"/>
      <c r="K6761" s="385"/>
      <c r="L6761" s="392"/>
      <c r="M6761" s="920"/>
      <c r="N6761" s="63"/>
      <c r="O6761" s="63"/>
      <c r="P6761" s="79" t="str">
        <f>IF(AND('331-CT'!$E$7=TH!H6761,OR(N6761="331",O6761="331")),"x","")</f>
        <v/>
      </c>
      <c r="Q6761" s="79" t="str">
        <f>IF(AND(B6761='111'!$L$11,OR($N6761=$Q$7,$O6761=$Q$7)),"x","")</f>
        <v/>
      </c>
      <c r="R6761" s="79" t="str">
        <f>IF(AND($N6761=$Q$7,$B6761&lt;'111'!$L$11),"x","")</f>
        <v/>
      </c>
      <c r="S6761" s="79" t="str">
        <f>IF(AND($O6761=$Q$7,$B6761&lt;'111'!$L$11),"x","")</f>
        <v/>
      </c>
      <c r="T6761" s="79" t="str">
        <f>IF(ISERROR(FIND('112'!$M$9,G6761,1)),"",IF((AND(FIND('112'!$M$9,G6761,1)&gt;=1,B6761='112'!$K$9,OR($N6761='112'!$I$6,$O6761='112'!$I$6))),"x",""))</f>
        <v/>
      </c>
      <c r="U6761" s="79" t="str">
        <f>IF(ISERROR(FIND('112'!$M$9,G6761,1)),"",IF((AND(LEFT(G6761,2)=LEFT('112'!$M$9,2),B6761&lt;'112'!$K$9,$N6761='112'!$I$6)),"x",""))</f>
        <v/>
      </c>
      <c r="V6761" s="79" t="str">
        <f>IF(ISERROR(FIND('112'!$M$9,G6761,1)),"",IF((AND(RIGHT(G6761,2)=RIGHT('112'!$M$9,2),B6761&lt;'112'!$K$9,$O6761='112'!$I$6)),"x",""))</f>
        <v/>
      </c>
      <c r="W6761" s="79" t="str">
        <f>IF(AND('341-CT'!$H$9=H6761,OR(LEFT(N6761,3)=$W$7,LEFT(O6761,3)=$W$7)),"x","")</f>
        <v/>
      </c>
      <c r="X6761" s="79" t="str">
        <f>IF(OR(TH!N6761=TH!$X$7,O6761=TH!$X$7),"x","")</f>
        <v/>
      </c>
      <c r="Y6761" s="79" t="str">
        <f>IF(AND(OR(N6761="131",O6761="131"),H6761='131-CT'!$H$9),"x","")</f>
        <v/>
      </c>
      <c r="Z6761" s="79"/>
      <c r="AA6761" s="79" t="str">
        <f>IF(AND(MONTH(E6761)='IN-NX'!$J$5,'IN-NX'!$D$7=D6761),"x","")</f>
        <v/>
      </c>
      <c r="AB6761" s="79" t="str">
        <f>IF(AND(OR(LEFT(TH!N6761,2)="15",LEFT(TH!O6761,2)="15"),LEFT(TH!O6761,3)&lt;&gt;"111",'152-CT'!$J$8=TH!F6761),"x","")</f>
        <v/>
      </c>
      <c r="AC6761" s="79" t="str">
        <f>IF(AND(OR(LEFT(TH!N6761,2)="15",LEFT(TH!O6761,2)="15"),TK!$E$7=TH!F6761),"x","")</f>
        <v/>
      </c>
      <c r="AD6761" s="79" t="str">
        <f>IF(AND(N6761="1521",MONTH(C6761)='BK-NL'!$M$11),"x","")</f>
        <v/>
      </c>
    </row>
    <row r="6762" spans="1:30" ht="16.5" customHeight="1">
      <c r="A6762" s="318" t="str">
        <f>IF(B6762&lt;&gt;"",IF(AND(B6762='IN-TC'!$S$4,OR(TH!N6762="1111",TH!O6762="1111")),TH!D6762,""),"")</f>
        <v/>
      </c>
      <c r="B6762" s="1163" t="str">
        <f t="shared" si="526"/>
        <v/>
      </c>
      <c r="C6762" s="61"/>
      <c r="D6762" s="61"/>
      <c r="E6762" s="61"/>
      <c r="F6762" s="69"/>
      <c r="G6762" s="766"/>
      <c r="H6762" s="69"/>
      <c r="I6762" s="385"/>
      <c r="J6762" s="392"/>
      <c r="K6762" s="385"/>
      <c r="L6762" s="392"/>
      <c r="M6762" s="62"/>
      <c r="N6762" s="63"/>
      <c r="O6762" s="63"/>
      <c r="P6762" s="79" t="str">
        <f>IF(AND('331-CT'!$E$7=TH!H6762,OR(N6762="331",O6762="331")),"x","")</f>
        <v/>
      </c>
      <c r="Q6762" s="79" t="str">
        <f>IF(AND(B6762='111'!$L$11,OR($N6762=$Q$7,$O6762=$Q$7)),"x","")</f>
        <v/>
      </c>
      <c r="R6762" s="79" t="str">
        <f>IF(AND($N6762=$Q$7,$B6762&lt;'111'!$L$11),"x","")</f>
        <v/>
      </c>
      <c r="S6762" s="79" t="str">
        <f>IF(AND($O6762=$Q$7,$B6762&lt;'111'!$L$11),"x","")</f>
        <v/>
      </c>
      <c r="T6762" s="79" t="str">
        <f>IF(ISERROR(FIND('112'!$M$9,G6762,1)),"",IF((AND(FIND('112'!$M$9,G6762,1)&gt;=1,B6762='112'!$K$9,OR($N6762='112'!$I$6,$O6762='112'!$I$6))),"x",""))</f>
        <v/>
      </c>
      <c r="U6762" s="79" t="str">
        <f>IF(ISERROR(FIND('112'!$M$9,G6762,1)),"",IF((AND(LEFT(G6762,2)=LEFT('112'!$M$9,2),B6762&lt;'112'!$K$9,$N6762='112'!$I$6)),"x",""))</f>
        <v/>
      </c>
      <c r="V6762" s="79" t="str">
        <f>IF(ISERROR(FIND('112'!$M$9,G6762,1)),"",IF((AND(RIGHT(G6762,2)=RIGHT('112'!$M$9,2),B6762&lt;'112'!$K$9,$O6762='112'!$I$6)),"x",""))</f>
        <v/>
      </c>
      <c r="W6762" s="79" t="str">
        <f>IF(AND('341-CT'!$H$9=H6762,OR(LEFT(N6762,3)=$W$7,LEFT(O6762,3)=$W$7)),"x","")</f>
        <v/>
      </c>
      <c r="X6762" s="79" t="str">
        <f>IF(OR(TH!N6762=TH!$X$7,O6762=TH!$X$7),"x","")</f>
        <v/>
      </c>
      <c r="Y6762" s="79" t="str">
        <f>IF(AND(OR(N6762="131",O6762="131"),H6762='131-CT'!$H$9),"x","")</f>
        <v/>
      </c>
      <c r="Z6762" s="79"/>
      <c r="AA6762" s="79" t="str">
        <f>IF(AND(MONTH(E6762)='IN-NX'!$J$5,'IN-NX'!$D$7=D6762),"x","")</f>
        <v/>
      </c>
      <c r="AB6762" s="79" t="str">
        <f>IF(AND(OR(LEFT(TH!N6762,2)="15",LEFT(TH!O6762,2)="15"),LEFT(TH!O6762,3)&lt;&gt;"111",'152-CT'!$J$8=TH!F6762),"x","")</f>
        <v/>
      </c>
      <c r="AC6762" s="79" t="str">
        <f>IF(AND(OR(LEFT(TH!N6762,2)="15",LEFT(TH!O6762,2)="15"),TK!$E$7=TH!F6762),"x","")</f>
        <v/>
      </c>
      <c r="AD6762" s="79" t="str">
        <f>IF(AND(N6762="1521",MONTH(C6762)='BK-NL'!$M$11),"x","")</f>
        <v/>
      </c>
    </row>
    <row r="6763" spans="1:30" ht="16.5" customHeight="1">
      <c r="A6763" s="318" t="str">
        <f>IF(B6763&lt;&gt;"",IF(AND(B6763='IN-TC'!$S$4,OR(TH!N6763="1111",TH!O6763="1111")),TH!D6763,""),"")</f>
        <v/>
      </c>
      <c r="B6763" s="1163" t="str">
        <f t="shared" si="526"/>
        <v/>
      </c>
      <c r="C6763" s="61"/>
      <c r="D6763" s="61"/>
      <c r="E6763" s="61"/>
      <c r="F6763" s="69"/>
      <c r="G6763" s="766"/>
      <c r="H6763" s="69"/>
      <c r="I6763" s="385"/>
      <c r="J6763" s="392"/>
      <c r="K6763" s="385"/>
      <c r="L6763" s="392"/>
      <c r="M6763" s="62"/>
      <c r="N6763" s="63"/>
      <c r="O6763" s="63"/>
      <c r="P6763" s="79" t="str">
        <f>IF(AND('331-CT'!$E$7=TH!H6763,OR(N6763="331",O6763="331")),"x","")</f>
        <v/>
      </c>
      <c r="Q6763" s="79" t="str">
        <f>IF(AND(B6763='111'!$L$11,OR($N6763=$Q$7,$O6763=$Q$7)),"x","")</f>
        <v/>
      </c>
      <c r="R6763" s="79" t="str">
        <f>IF(AND($N6763=$Q$7,$B6763&lt;'111'!$L$11),"x","")</f>
        <v/>
      </c>
      <c r="S6763" s="79" t="str">
        <f>IF(AND($O6763=$Q$7,$B6763&lt;'111'!$L$11),"x","")</f>
        <v/>
      </c>
      <c r="T6763" s="79" t="str">
        <f>IF(ISERROR(FIND('112'!$M$9,G6763,1)),"",IF((AND(FIND('112'!$M$9,G6763,1)&gt;=1,B6763='112'!$K$9,OR($N6763='112'!$I$6,$O6763='112'!$I$6))),"x",""))</f>
        <v/>
      </c>
      <c r="U6763" s="79" t="str">
        <f>IF(ISERROR(FIND('112'!$M$9,G6763,1)),"",IF((AND(LEFT(G6763,2)=LEFT('112'!$M$9,2),B6763&lt;'112'!$K$9,$N6763='112'!$I$6)),"x",""))</f>
        <v/>
      </c>
      <c r="V6763" s="79" t="str">
        <f>IF(ISERROR(FIND('112'!$M$9,G6763,1)),"",IF((AND(RIGHT(G6763,2)=RIGHT('112'!$M$9,2),B6763&lt;'112'!$K$9,$O6763='112'!$I$6)),"x",""))</f>
        <v/>
      </c>
      <c r="W6763" s="79" t="str">
        <f>IF(AND('341-CT'!$H$9=H6763,OR(LEFT(N6763,3)=$W$7,LEFT(O6763,3)=$W$7)),"x","")</f>
        <v/>
      </c>
      <c r="X6763" s="79" t="str">
        <f>IF(OR(TH!N6763=TH!$X$7,O6763=TH!$X$7),"x","")</f>
        <v/>
      </c>
      <c r="Y6763" s="79" t="str">
        <f>IF(AND(OR(N6763="131",O6763="131"),H6763='131-CT'!$H$9),"x","")</f>
        <v/>
      </c>
      <c r="Z6763" s="79"/>
      <c r="AA6763" s="79" t="str">
        <f>IF(AND(MONTH(E6763)='IN-NX'!$J$5,'IN-NX'!$D$7=D6763),"x","")</f>
        <v/>
      </c>
      <c r="AB6763" s="79" t="str">
        <f>IF(AND(OR(LEFT(TH!N6763,2)="15",LEFT(TH!O6763,2)="15"),LEFT(TH!O6763,3)&lt;&gt;"111",'152-CT'!$J$8=TH!F6763),"x","")</f>
        <v/>
      </c>
      <c r="AC6763" s="79" t="str">
        <f>IF(AND(OR(LEFT(TH!N6763,2)="15",LEFT(TH!O6763,2)="15"),TK!$E$7=TH!F6763),"x","")</f>
        <v/>
      </c>
      <c r="AD6763" s="79" t="str">
        <f>IF(AND(N6763="1521",MONTH(C6763)='BK-NL'!$M$11),"x","")</f>
        <v/>
      </c>
    </row>
    <row r="6764" spans="1:30" ht="16.5" customHeight="1">
      <c r="A6764" s="318" t="str">
        <f>IF(B6764&lt;&gt;"",IF(AND(B6764='IN-TC'!$S$4,OR(TH!N6764="1111",TH!O6764="1111")),TH!D6764,""),"")</f>
        <v/>
      </c>
      <c r="B6764" s="1163" t="str">
        <f t="shared" si="526"/>
        <v/>
      </c>
      <c r="C6764" s="61"/>
      <c r="D6764" s="61"/>
      <c r="E6764" s="61"/>
      <c r="F6764" s="69"/>
      <c r="G6764" s="64"/>
      <c r="H6764" s="69"/>
      <c r="I6764" s="385"/>
      <c r="J6764" s="392"/>
      <c r="K6764" s="385"/>
      <c r="L6764" s="392"/>
      <c r="M6764" s="62"/>
      <c r="N6764" s="63"/>
      <c r="O6764" s="63"/>
      <c r="P6764" s="79" t="str">
        <f>IF(AND('331-CT'!$E$7=TH!H6764,OR(N6764="331",O6764="331")),"x","")</f>
        <v/>
      </c>
      <c r="Q6764" s="79" t="str">
        <f>IF(AND(B6764='111'!$L$11,OR($N6764=$Q$7,$O6764=$Q$7)),"x","")</f>
        <v/>
      </c>
      <c r="R6764" s="79" t="str">
        <f>IF(AND($N6764=$Q$7,$B6764&lt;'111'!$L$11),"x","")</f>
        <v/>
      </c>
      <c r="S6764" s="79" t="str">
        <f>IF(AND($O6764=$Q$7,$B6764&lt;'111'!$L$11),"x","")</f>
        <v/>
      </c>
      <c r="T6764" s="79" t="str">
        <f>IF(ISERROR(FIND('112'!$M$9,G6764,1)),"",IF((AND(FIND('112'!$M$9,G6764,1)&gt;=1,B6764='112'!$K$9,OR($N6764='112'!$I$6,$O6764='112'!$I$6))),"x",""))</f>
        <v/>
      </c>
      <c r="U6764" s="79" t="str">
        <f>IF(ISERROR(FIND('112'!$M$9,G6764,1)),"",IF((AND(LEFT(G6764,2)=LEFT('112'!$M$9,2),B6764&lt;'112'!$K$9,$N6764='112'!$I$6)),"x",""))</f>
        <v/>
      </c>
      <c r="V6764" s="79" t="str">
        <f>IF(ISERROR(FIND('112'!$M$9,G6764,1)),"",IF((AND(RIGHT(G6764,2)=RIGHT('112'!$M$9,2),B6764&lt;'112'!$K$9,$O6764='112'!$I$6)),"x",""))</f>
        <v/>
      </c>
      <c r="W6764" s="79" t="str">
        <f>IF(AND('341-CT'!$H$9=H6764,OR(LEFT(N6764,3)=$W$7,LEFT(O6764,3)=$W$7)),"x","")</f>
        <v/>
      </c>
      <c r="X6764" s="79" t="str">
        <f>IF(OR(TH!N6764=TH!$X$7,O6764=TH!$X$7),"x","")</f>
        <v/>
      </c>
      <c r="Y6764" s="79" t="str">
        <f>IF(AND(OR(N6764="131",O6764="131"),H6764='131-CT'!$H$9),"x","")</f>
        <v/>
      </c>
      <c r="Z6764" s="79"/>
      <c r="AA6764" s="79" t="str">
        <f>IF(AND(MONTH(E6764)='IN-NX'!$J$5,'IN-NX'!$D$7=D6764),"x","")</f>
        <v/>
      </c>
      <c r="AB6764" s="79" t="str">
        <f>IF(AND(OR(LEFT(TH!N6764,2)="15",LEFT(TH!O6764,2)="15"),LEFT(TH!O6764,3)&lt;&gt;"111",'152-CT'!$J$8=TH!F6764),"x","")</f>
        <v/>
      </c>
      <c r="AC6764" s="79" t="str">
        <f>IF(AND(OR(LEFT(TH!N6764,2)="15",LEFT(TH!O6764,2)="15"),TK!$E$7=TH!F6764),"x","")</f>
        <v/>
      </c>
      <c r="AD6764" s="79" t="str">
        <f>IF(AND(N6764="1521",MONTH(C6764)='BK-NL'!$M$11),"x","")</f>
        <v/>
      </c>
    </row>
    <row r="6765" spans="1:30" ht="16.5" customHeight="1">
      <c r="A6765" s="318" t="str">
        <f>IF(B6765&lt;&gt;"",IF(AND(B6765='IN-TC'!$S$4,OR(TH!N6765="1111",TH!O6765="1111")),TH!D6765,""),"")</f>
        <v/>
      </c>
      <c r="B6765" s="1163" t="str">
        <f t="shared" si="526"/>
        <v/>
      </c>
      <c r="C6765" s="61"/>
      <c r="D6765" s="61"/>
      <c r="E6765" s="61"/>
      <c r="F6765" s="69"/>
      <c r="G6765" s="64"/>
      <c r="H6765" s="69"/>
      <c r="I6765" s="385"/>
      <c r="J6765" s="392"/>
      <c r="K6765" s="385"/>
      <c r="L6765" s="392"/>
      <c r="M6765" s="62"/>
      <c r="N6765" s="63"/>
      <c r="O6765" s="63"/>
      <c r="P6765" s="79" t="str">
        <f>IF(AND('331-CT'!$E$7=TH!H6765,OR(N6765="331",O6765="331")),"x","")</f>
        <v/>
      </c>
      <c r="Q6765" s="79" t="str">
        <f>IF(AND(B6765='111'!$L$11,OR($N6765=$Q$7,$O6765=$Q$7)),"x","")</f>
        <v/>
      </c>
      <c r="R6765" s="79" t="str">
        <f>IF(AND($N6765=$Q$7,$B6765&lt;'111'!$L$11),"x","")</f>
        <v/>
      </c>
      <c r="S6765" s="79" t="str">
        <f>IF(AND($O6765=$Q$7,$B6765&lt;'111'!$L$11),"x","")</f>
        <v/>
      </c>
      <c r="T6765" s="79" t="str">
        <f>IF(ISERROR(FIND('112'!$M$9,G6765,1)),"",IF((AND(FIND('112'!$M$9,G6765,1)&gt;=1,B6765='112'!$K$9,OR($N6765='112'!$I$6,$O6765='112'!$I$6))),"x",""))</f>
        <v/>
      </c>
      <c r="U6765" s="79" t="str">
        <f>IF(ISERROR(FIND('112'!$M$9,G6765,1)),"",IF((AND(LEFT(G6765,2)=LEFT('112'!$M$9,2),B6765&lt;'112'!$K$9,$N6765='112'!$I$6)),"x",""))</f>
        <v/>
      </c>
      <c r="V6765" s="79" t="str">
        <f>IF(ISERROR(FIND('112'!$M$9,G6765,1)),"",IF((AND(RIGHT(G6765,2)=RIGHT('112'!$M$9,2),B6765&lt;'112'!$K$9,$O6765='112'!$I$6)),"x",""))</f>
        <v/>
      </c>
      <c r="W6765" s="79" t="str">
        <f>IF(AND('341-CT'!$H$9=H6765,OR(LEFT(N6765,3)=$W$7,LEFT(O6765,3)=$W$7)),"x","")</f>
        <v/>
      </c>
      <c r="X6765" s="79" t="str">
        <f>IF(OR(TH!N6765=TH!$X$7,O6765=TH!$X$7),"x","")</f>
        <v/>
      </c>
      <c r="Y6765" s="79" t="str">
        <f>IF(AND(OR(N6765="131",O6765="131"),H6765='131-CT'!$H$9),"x","")</f>
        <v/>
      </c>
      <c r="Z6765" s="79"/>
      <c r="AA6765" s="79" t="str">
        <f>IF(AND(MONTH(E6765)='IN-NX'!$J$5,'IN-NX'!$D$7=D6765),"x","")</f>
        <v/>
      </c>
      <c r="AB6765" s="79" t="str">
        <f>IF(AND(OR(LEFT(TH!N6765,2)="15",LEFT(TH!O6765,2)="15"),LEFT(TH!O6765,3)&lt;&gt;"111",'152-CT'!$J$8=TH!F6765),"x","")</f>
        <v/>
      </c>
      <c r="AC6765" s="79" t="str">
        <f>IF(AND(OR(LEFT(TH!N6765,2)="15",LEFT(TH!O6765,2)="15"),TK!$E$7=TH!F6765),"x","")</f>
        <v/>
      </c>
      <c r="AD6765" s="79" t="str">
        <f>IF(AND(N6765="1521",MONTH(C6765)='BK-NL'!$M$11),"x","")</f>
        <v/>
      </c>
    </row>
    <row r="6766" spans="1:30" ht="16.5" customHeight="1">
      <c r="A6766" s="318" t="str">
        <f>IF(B6766&lt;&gt;"",IF(AND(B6766='IN-TC'!$S$4,OR(TH!N6766="1111",TH!O6766="1111")),TH!D6766,""),"")</f>
        <v/>
      </c>
      <c r="B6766" s="1163" t="str">
        <f t="shared" si="526"/>
        <v/>
      </c>
      <c r="C6766" s="61"/>
      <c r="D6766" s="61"/>
      <c r="E6766" s="61"/>
      <c r="F6766" s="69"/>
      <c r="G6766" s="766"/>
      <c r="H6766" s="69"/>
      <c r="I6766" s="385"/>
      <c r="J6766" s="392"/>
      <c r="K6766" s="385"/>
      <c r="L6766" s="392"/>
      <c r="M6766" s="62"/>
      <c r="N6766" s="63"/>
      <c r="O6766" s="63"/>
      <c r="P6766" s="79" t="str">
        <f>IF(AND('331-CT'!$E$7=TH!H6766,OR(N6766="331",O6766="331")),"x","")</f>
        <v/>
      </c>
      <c r="Q6766" s="79" t="str">
        <f>IF(AND(B6766='111'!$L$11,OR($N6766=$Q$7,$O6766=$Q$7)),"x","")</f>
        <v/>
      </c>
      <c r="R6766" s="79" t="str">
        <f>IF(AND($N6766=$Q$7,$B6766&lt;'111'!$L$11),"x","")</f>
        <v/>
      </c>
      <c r="S6766" s="79" t="str">
        <f>IF(AND($O6766=$Q$7,$B6766&lt;'111'!$L$11),"x","")</f>
        <v/>
      </c>
      <c r="T6766" s="79" t="str">
        <f>IF(ISERROR(FIND('112'!$M$9,G6766,1)),"",IF((AND(FIND('112'!$M$9,G6766,1)&gt;=1,B6766='112'!$K$9,OR($N6766='112'!$I$6,$O6766='112'!$I$6))),"x",""))</f>
        <v/>
      </c>
      <c r="U6766" s="79" t="str">
        <f>IF(ISERROR(FIND('112'!$M$9,G6766,1)),"",IF((AND(LEFT(G6766,2)=LEFT('112'!$M$9,2),B6766&lt;'112'!$K$9,$N6766='112'!$I$6)),"x",""))</f>
        <v/>
      </c>
      <c r="V6766" s="79" t="str">
        <f>IF(ISERROR(FIND('112'!$M$9,G6766,1)),"",IF((AND(RIGHT(G6766,2)=RIGHT('112'!$M$9,2),B6766&lt;'112'!$K$9,$O6766='112'!$I$6)),"x",""))</f>
        <v/>
      </c>
      <c r="W6766" s="79" t="str">
        <f>IF(AND('341-CT'!$H$9=H6766,OR(LEFT(N6766,3)=$W$7,LEFT(O6766,3)=$W$7)),"x","")</f>
        <v/>
      </c>
      <c r="X6766" s="79" t="str">
        <f>IF(OR(TH!N6766=TH!$X$7,O6766=TH!$X$7),"x","")</f>
        <v/>
      </c>
      <c r="Y6766" s="79" t="str">
        <f>IF(AND(OR(N6766="131",O6766="131"),H6766='131-CT'!$H$9),"x","")</f>
        <v/>
      </c>
      <c r="Z6766" s="79"/>
      <c r="AA6766" s="79" t="str">
        <f>IF(AND(MONTH(E6766)='IN-NX'!$J$5,'IN-NX'!$D$7=D6766),"x","")</f>
        <v/>
      </c>
      <c r="AB6766" s="79" t="str">
        <f>IF(AND(OR(LEFT(TH!N6766,2)="15",LEFT(TH!O6766,2)="15"),LEFT(TH!O6766,3)&lt;&gt;"111",'152-CT'!$J$8=TH!F6766),"x","")</f>
        <v/>
      </c>
      <c r="AC6766" s="79" t="str">
        <f>IF(AND(OR(LEFT(TH!N6766,2)="15",LEFT(TH!O6766,2)="15"),TK!$E$7=TH!F6766),"x","")</f>
        <v/>
      </c>
      <c r="AD6766" s="79" t="str">
        <f>IF(AND(N6766="1521",MONTH(C6766)='BK-NL'!$M$11),"x","")</f>
        <v/>
      </c>
    </row>
    <row r="6767" spans="1:30" ht="16.5" customHeight="1">
      <c r="A6767" s="318" t="str">
        <f>IF(B6767&lt;&gt;"",IF(AND(B6767='IN-TC'!$S$4,OR(TH!N6767="1111",TH!O6767="1111")),TH!D6767,""),"")</f>
        <v/>
      </c>
      <c r="B6767" s="1163" t="str">
        <f t="shared" si="526"/>
        <v/>
      </c>
      <c r="C6767" s="61"/>
      <c r="D6767" s="61"/>
      <c r="E6767" s="61"/>
      <c r="F6767" s="69"/>
      <c r="G6767" s="64"/>
      <c r="H6767" s="69"/>
      <c r="I6767" s="385"/>
      <c r="J6767" s="392"/>
      <c r="K6767" s="385"/>
      <c r="L6767" s="392"/>
      <c r="M6767" s="62"/>
      <c r="N6767" s="63"/>
      <c r="O6767" s="63"/>
      <c r="P6767" s="79" t="str">
        <f>IF(AND('331-CT'!$E$7=TH!H6767,OR(N6767="331",O6767="331")),"x","")</f>
        <v/>
      </c>
      <c r="Q6767" s="79" t="str">
        <f>IF(AND(B6767='111'!$L$11,OR($N6767=$Q$7,$O6767=$Q$7)),"x","")</f>
        <v/>
      </c>
      <c r="R6767" s="79" t="str">
        <f>IF(AND($N6767=$Q$7,$B6767&lt;'111'!$L$11),"x","")</f>
        <v/>
      </c>
      <c r="S6767" s="79" t="str">
        <f>IF(AND($O6767=$Q$7,$B6767&lt;'111'!$L$11),"x","")</f>
        <v/>
      </c>
      <c r="T6767" s="79" t="str">
        <f>IF(ISERROR(FIND('112'!$M$9,G6767,1)),"",IF((AND(FIND('112'!$M$9,G6767,1)&gt;=1,B6767='112'!$K$9,OR($N6767='112'!$I$6,$O6767='112'!$I$6))),"x",""))</f>
        <v/>
      </c>
      <c r="U6767" s="79" t="str">
        <f>IF(ISERROR(FIND('112'!$M$9,G6767,1)),"",IF((AND(LEFT(G6767,2)=LEFT('112'!$M$9,2),B6767&lt;'112'!$K$9,$N6767='112'!$I$6)),"x",""))</f>
        <v/>
      </c>
      <c r="V6767" s="79" t="str">
        <f>IF(ISERROR(FIND('112'!$M$9,G6767,1)),"",IF((AND(RIGHT(G6767,2)=RIGHT('112'!$M$9,2),B6767&lt;'112'!$K$9,$O6767='112'!$I$6)),"x",""))</f>
        <v/>
      </c>
      <c r="W6767" s="79" t="str">
        <f>IF(AND('341-CT'!$H$9=H6767,OR(LEFT(N6767,3)=$W$7,LEFT(O6767,3)=$W$7)),"x","")</f>
        <v/>
      </c>
      <c r="X6767" s="79" t="str">
        <f>IF(OR(TH!N6767=TH!$X$7,O6767=TH!$X$7),"x","")</f>
        <v/>
      </c>
      <c r="Y6767" s="79" t="str">
        <f>IF(AND(OR(N6767="131",O6767="131"),H6767='131-CT'!$H$9),"x","")</f>
        <v/>
      </c>
      <c r="Z6767" s="79"/>
      <c r="AA6767" s="79" t="str">
        <f>IF(AND(MONTH(E6767)='IN-NX'!$J$5,'IN-NX'!$D$7=D6767),"x","")</f>
        <v/>
      </c>
      <c r="AB6767" s="79" t="str">
        <f>IF(AND(OR(LEFT(TH!N6767,2)="15",LEFT(TH!O6767,2)="15"),LEFT(TH!O6767,3)&lt;&gt;"111",'152-CT'!$J$8=TH!F6767),"x","")</f>
        <v/>
      </c>
      <c r="AC6767" s="79" t="str">
        <f>IF(AND(OR(LEFT(TH!N6767,2)="15",LEFT(TH!O6767,2)="15"),TK!$E$7=TH!F6767),"x","")</f>
        <v/>
      </c>
      <c r="AD6767" s="79" t="str">
        <f>IF(AND(N6767="1521",MONTH(C6767)='BK-NL'!$M$11),"x","")</f>
        <v/>
      </c>
    </row>
    <row r="6768" spans="1:30" ht="16.5" customHeight="1">
      <c r="A6768" s="318" t="str">
        <f>IF(B6768&lt;&gt;"",IF(AND(B6768='IN-TC'!$S$4,OR(TH!N6768="1111",TH!O6768="1111")),TH!D6768,""),"")</f>
        <v/>
      </c>
      <c r="B6768" s="1163" t="str">
        <f t="shared" si="526"/>
        <v/>
      </c>
      <c r="C6768" s="61"/>
      <c r="D6768" s="61"/>
      <c r="E6768" s="61"/>
      <c r="F6768" s="69"/>
      <c r="G6768" s="64"/>
      <c r="H6768" s="69"/>
      <c r="I6768" s="385"/>
      <c r="J6768" s="392"/>
      <c r="K6768" s="385"/>
      <c r="L6768" s="392"/>
      <c r="M6768" s="62"/>
      <c r="N6768" s="63"/>
      <c r="O6768" s="63"/>
      <c r="P6768" s="79" t="str">
        <f>IF(AND('331-CT'!$E$7=TH!H6768,OR(N6768="331",O6768="331")),"x","")</f>
        <v/>
      </c>
      <c r="Q6768" s="79" t="str">
        <f>IF(AND(B6768='111'!$L$11,OR($N6768=$Q$7,$O6768=$Q$7)),"x","")</f>
        <v/>
      </c>
      <c r="R6768" s="79" t="str">
        <f>IF(AND($N6768=$Q$7,$B6768&lt;'111'!$L$11),"x","")</f>
        <v/>
      </c>
      <c r="S6768" s="79" t="str">
        <f>IF(AND($O6768=$Q$7,$B6768&lt;'111'!$L$11),"x","")</f>
        <v/>
      </c>
      <c r="T6768" s="79" t="str">
        <f>IF(ISERROR(FIND('112'!$M$9,G6768,1)),"",IF((AND(FIND('112'!$M$9,G6768,1)&gt;=1,B6768='112'!$K$9,OR($N6768='112'!$I$6,$O6768='112'!$I$6))),"x",""))</f>
        <v/>
      </c>
      <c r="U6768" s="79" t="str">
        <f>IF(ISERROR(FIND('112'!$M$9,G6768,1)),"",IF((AND(LEFT(G6768,2)=LEFT('112'!$M$9,2),B6768&lt;'112'!$K$9,$N6768='112'!$I$6)),"x",""))</f>
        <v/>
      </c>
      <c r="V6768" s="79" t="str">
        <f>IF(ISERROR(FIND('112'!$M$9,G6768,1)),"",IF((AND(RIGHT(G6768,2)=RIGHT('112'!$M$9,2),B6768&lt;'112'!$K$9,$O6768='112'!$I$6)),"x",""))</f>
        <v/>
      </c>
      <c r="W6768" s="79" t="str">
        <f>IF(AND('341-CT'!$H$9=H6768,OR(LEFT(N6768,3)=$W$7,LEFT(O6768,3)=$W$7)),"x","")</f>
        <v/>
      </c>
      <c r="X6768" s="79" t="str">
        <f>IF(OR(TH!N6768=TH!$X$7,O6768=TH!$X$7),"x","")</f>
        <v/>
      </c>
      <c r="Y6768" s="79" t="str">
        <f>IF(AND(OR(N6768="131",O6768="131"),H6768='131-CT'!$H$9),"x","")</f>
        <v/>
      </c>
      <c r="Z6768" s="79"/>
      <c r="AA6768" s="79" t="str">
        <f>IF(AND(MONTH(E6768)='IN-NX'!$J$5,'IN-NX'!$D$7=D6768),"x","")</f>
        <v/>
      </c>
      <c r="AB6768" s="79" t="str">
        <f>IF(AND(OR(LEFT(TH!N6768,2)="15",LEFT(TH!O6768,2)="15"),LEFT(TH!O6768,3)&lt;&gt;"111",'152-CT'!$J$8=TH!F6768),"x","")</f>
        <v/>
      </c>
      <c r="AC6768" s="79" t="str">
        <f>IF(AND(OR(LEFT(TH!N6768,2)="15",LEFT(TH!O6768,2)="15"),TK!$E$7=TH!F6768),"x","")</f>
        <v/>
      </c>
      <c r="AD6768" s="79" t="str">
        <f>IF(AND(N6768="1521",MONTH(C6768)='BK-NL'!$M$11),"x","")</f>
        <v/>
      </c>
    </row>
    <row r="6769" spans="1:30" ht="16.5" customHeight="1">
      <c r="A6769" s="318" t="str">
        <f>IF(B6769&lt;&gt;"",IF(AND(B6769='IN-TC'!$S$4,OR(TH!N6769="1111",TH!O6769="1111")),TH!D6769,""),"")</f>
        <v/>
      </c>
      <c r="B6769" s="1163" t="str">
        <f t="shared" si="526"/>
        <v/>
      </c>
      <c r="C6769" s="61"/>
      <c r="D6769" s="61"/>
      <c r="E6769" s="61"/>
      <c r="F6769" s="446"/>
      <c r="G6769" s="64"/>
      <c r="H6769" s="69"/>
      <c r="I6769" s="385"/>
      <c r="J6769" s="392"/>
      <c r="K6769" s="385"/>
      <c r="L6769" s="392"/>
      <c r="M6769" s="62"/>
      <c r="N6769" s="63"/>
      <c r="O6769" s="63"/>
      <c r="P6769" s="79" t="str">
        <f>IF(AND('331-CT'!$E$7=TH!H6769,OR(N6769="331",O6769="331")),"x","")</f>
        <v/>
      </c>
      <c r="Q6769" s="79" t="str">
        <f>IF(AND(B6769='111'!$L$11,OR($N6769=$Q$7,$O6769=$Q$7)),"x","")</f>
        <v/>
      </c>
      <c r="R6769" s="79" t="str">
        <f>IF(AND($N6769=$Q$7,$B6769&lt;'111'!$L$11),"x","")</f>
        <v/>
      </c>
      <c r="S6769" s="79" t="str">
        <f>IF(AND($O6769=$Q$7,$B6769&lt;'111'!$L$11),"x","")</f>
        <v/>
      </c>
      <c r="T6769" s="79" t="str">
        <f>IF(ISERROR(FIND('112'!$M$9,G6769,1)),"",IF((AND(FIND('112'!$M$9,G6769,1)&gt;=1,B6769='112'!$K$9,OR($N6769='112'!$I$6,$O6769='112'!$I$6))),"x",""))</f>
        <v/>
      </c>
      <c r="U6769" s="79" t="str">
        <f>IF(ISERROR(FIND('112'!$M$9,G6769,1)),"",IF((AND(LEFT(G6769,2)=LEFT('112'!$M$9,2),B6769&lt;'112'!$K$9,$N6769='112'!$I$6)),"x",""))</f>
        <v/>
      </c>
      <c r="V6769" s="79" t="str">
        <f>IF(ISERROR(FIND('112'!$M$9,G6769,1)),"",IF((AND(RIGHT(G6769,2)=RIGHT('112'!$M$9,2),B6769&lt;'112'!$K$9,$O6769='112'!$I$6)),"x",""))</f>
        <v/>
      </c>
      <c r="W6769" s="79" t="str">
        <f>IF(AND('341-CT'!$H$9=H6769,OR(LEFT(N6769,3)=$W$7,LEFT(O6769,3)=$W$7)),"x","")</f>
        <v/>
      </c>
      <c r="X6769" s="79" t="str">
        <f>IF(OR(TH!N6769=TH!$X$7,O6769=TH!$X$7),"x","")</f>
        <v/>
      </c>
      <c r="Y6769" s="79" t="str">
        <f>IF(AND(OR(N6769="131",O6769="131"),H6769='131-CT'!$H$9),"x","")</f>
        <v/>
      </c>
      <c r="Z6769" s="79"/>
      <c r="AA6769" s="79" t="str">
        <f>IF(AND(MONTH(E6769)='IN-NX'!$J$5,'IN-NX'!$D$7=D6769),"x","")</f>
        <v/>
      </c>
      <c r="AB6769" s="79" t="str">
        <f>IF(AND(OR(LEFT(TH!N6769,2)="15",LEFT(TH!O6769,2)="15"),LEFT(TH!O6769,3)&lt;&gt;"111",'152-CT'!$J$8=TH!F6769),"x","")</f>
        <v/>
      </c>
      <c r="AC6769" s="79" t="str">
        <f>IF(AND(OR(LEFT(TH!N6769,2)="15",LEFT(TH!O6769,2)="15"),TK!$E$7=TH!F6769),"x","")</f>
        <v/>
      </c>
      <c r="AD6769" s="79" t="str">
        <f>IF(AND(N6769="1521",MONTH(C6769)='BK-NL'!$M$11),"x","")</f>
        <v/>
      </c>
    </row>
    <row r="6770" spans="1:30" ht="16.5" customHeight="1">
      <c r="A6770" s="318" t="str">
        <f>IF(B6770&lt;&gt;"",IF(AND(B6770='IN-TC'!$S$4,OR(TH!N6770="1111",TH!O6770="1111")),TH!D6770,""),"")</f>
        <v/>
      </c>
      <c r="B6770" s="1163" t="str">
        <f t="shared" si="526"/>
        <v/>
      </c>
      <c r="C6770" s="61"/>
      <c r="D6770" s="61"/>
      <c r="E6770" s="61"/>
      <c r="F6770" s="69"/>
      <c r="G6770" s="64"/>
      <c r="H6770" s="69"/>
      <c r="I6770" s="385"/>
      <c r="J6770" s="392"/>
      <c r="K6770" s="385"/>
      <c r="L6770" s="392"/>
      <c r="M6770" s="62"/>
      <c r="N6770" s="63"/>
      <c r="O6770" s="63"/>
      <c r="P6770" s="79" t="str">
        <f>IF(AND('331-CT'!$E$7=TH!H6770,OR(N6770="331",O6770="331")),"x","")</f>
        <v/>
      </c>
      <c r="Q6770" s="79" t="str">
        <f>IF(AND(B6770='111'!$L$11,OR($N6770=$Q$7,$O6770=$Q$7)),"x","")</f>
        <v/>
      </c>
      <c r="R6770" s="79" t="str">
        <f>IF(AND($N6770=$Q$7,$B6770&lt;'111'!$L$11),"x","")</f>
        <v/>
      </c>
      <c r="S6770" s="79" t="str">
        <f>IF(AND($O6770=$Q$7,$B6770&lt;'111'!$L$11),"x","")</f>
        <v/>
      </c>
      <c r="T6770" s="79" t="str">
        <f>IF(ISERROR(FIND('112'!$M$9,G6770,1)),"",IF((AND(FIND('112'!$M$9,G6770,1)&gt;=1,B6770='112'!$K$9,OR($N6770='112'!$I$6,$O6770='112'!$I$6))),"x",""))</f>
        <v/>
      </c>
      <c r="U6770" s="79" t="str">
        <f>IF(ISERROR(FIND('112'!$M$9,G6770,1)),"",IF((AND(LEFT(G6770,2)=LEFT('112'!$M$9,2),B6770&lt;'112'!$K$9,$N6770='112'!$I$6)),"x",""))</f>
        <v/>
      </c>
      <c r="V6770" s="79" t="str">
        <f>IF(ISERROR(FIND('112'!$M$9,G6770,1)),"",IF((AND(RIGHT(G6770,2)=RIGHT('112'!$M$9,2),B6770&lt;'112'!$K$9,$O6770='112'!$I$6)),"x",""))</f>
        <v/>
      </c>
      <c r="W6770" s="79" t="str">
        <f>IF(AND('341-CT'!$H$9=H6770,OR(LEFT(N6770,3)=$W$7,LEFT(O6770,3)=$W$7)),"x","")</f>
        <v/>
      </c>
      <c r="X6770" s="79" t="str">
        <f>IF(OR(TH!N6770=TH!$X$7,O6770=TH!$X$7),"x","")</f>
        <v/>
      </c>
      <c r="Y6770" s="79" t="str">
        <f>IF(AND(OR(N6770="131",O6770="131"),H6770='131-CT'!$H$9),"x","")</f>
        <v/>
      </c>
      <c r="Z6770" s="79"/>
      <c r="AA6770" s="79" t="str">
        <f>IF(AND(MONTH(E6770)='IN-NX'!$J$5,'IN-NX'!$D$7=D6770),"x","")</f>
        <v/>
      </c>
      <c r="AB6770" s="79" t="str">
        <f>IF(AND(OR(LEFT(TH!N6770,2)="15",LEFT(TH!O6770,2)="15"),LEFT(TH!O6770,3)&lt;&gt;"111",'152-CT'!$J$8=TH!F6770),"x","")</f>
        <v/>
      </c>
      <c r="AC6770" s="79" t="str">
        <f>IF(AND(OR(LEFT(TH!N6770,2)="15",LEFT(TH!O6770,2)="15"),TK!$E$7=TH!F6770),"x","")</f>
        <v/>
      </c>
      <c r="AD6770" s="79" t="str">
        <f>IF(AND(N6770="1521",MONTH(C6770)='BK-NL'!$M$11),"x","")</f>
        <v/>
      </c>
    </row>
    <row r="6771" spans="1:30" ht="16.5" customHeight="1">
      <c r="A6771" s="318" t="str">
        <f>IF(B6771&lt;&gt;"",IF(AND(B6771='IN-TC'!$S$4,OR(TH!N6771="1111",TH!O6771="1111")),TH!D6771,""),"")</f>
        <v/>
      </c>
      <c r="B6771" s="1163" t="str">
        <f t="shared" si="526"/>
        <v/>
      </c>
      <c r="C6771" s="61"/>
      <c r="D6771" s="61"/>
      <c r="E6771" s="61"/>
      <c r="F6771" s="69"/>
      <c r="G6771" s="64"/>
      <c r="H6771" s="69"/>
      <c r="I6771" s="385"/>
      <c r="J6771" s="392"/>
      <c r="K6771" s="385"/>
      <c r="L6771" s="392"/>
      <c r="M6771" s="62"/>
      <c r="N6771" s="63"/>
      <c r="O6771" s="63"/>
      <c r="P6771" s="79" t="str">
        <f>IF(AND('331-CT'!$E$7=TH!H6771,OR(N6771="331",O6771="331")),"x","")</f>
        <v/>
      </c>
      <c r="Q6771" s="79" t="str">
        <f>IF(AND(B6771='111'!$L$11,OR($N6771=$Q$7,$O6771=$Q$7)),"x","")</f>
        <v/>
      </c>
      <c r="R6771" s="79" t="str">
        <f>IF(AND($N6771=$Q$7,$B6771&lt;'111'!$L$11),"x","")</f>
        <v/>
      </c>
      <c r="S6771" s="79" t="str">
        <f>IF(AND($O6771=$Q$7,$B6771&lt;'111'!$L$11),"x","")</f>
        <v/>
      </c>
      <c r="T6771" s="79" t="str">
        <f>IF(ISERROR(FIND('112'!$M$9,G6771,1)),"",IF((AND(FIND('112'!$M$9,G6771,1)&gt;=1,B6771='112'!$K$9,OR($N6771='112'!$I$6,$O6771='112'!$I$6))),"x",""))</f>
        <v/>
      </c>
      <c r="U6771" s="79" t="str">
        <f>IF(ISERROR(FIND('112'!$M$9,G6771,1)),"",IF((AND(LEFT(G6771,2)=LEFT('112'!$M$9,2),B6771&lt;'112'!$K$9,$N6771='112'!$I$6)),"x",""))</f>
        <v/>
      </c>
      <c r="V6771" s="79" t="str">
        <f>IF(ISERROR(FIND('112'!$M$9,G6771,1)),"",IF((AND(RIGHT(G6771,2)=RIGHT('112'!$M$9,2),B6771&lt;'112'!$K$9,$O6771='112'!$I$6)),"x",""))</f>
        <v/>
      </c>
      <c r="W6771" s="79" t="str">
        <f>IF(AND('341-CT'!$H$9=H6771,OR(LEFT(N6771,3)=$W$7,LEFT(O6771,3)=$W$7)),"x","")</f>
        <v/>
      </c>
      <c r="X6771" s="79" t="str">
        <f>IF(OR(TH!N6771=TH!$X$7,O6771=TH!$X$7),"x","")</f>
        <v/>
      </c>
      <c r="Y6771" s="79" t="str">
        <f>IF(AND(OR(N6771="131",O6771="131"),H6771='131-CT'!$H$9),"x","")</f>
        <v/>
      </c>
      <c r="Z6771" s="79"/>
      <c r="AA6771" s="79" t="str">
        <f>IF(AND(MONTH(E6771)='IN-NX'!$J$5,'IN-NX'!$D$7=D6771),"x","")</f>
        <v/>
      </c>
      <c r="AB6771" s="79" t="str">
        <f>IF(AND(OR(LEFT(TH!N6771,2)="15",LEFT(TH!O6771,2)="15"),LEFT(TH!O6771,3)&lt;&gt;"111",'152-CT'!$J$8=TH!F6771),"x","")</f>
        <v/>
      </c>
      <c r="AC6771" s="79" t="str">
        <f>IF(AND(OR(LEFT(TH!N6771,2)="15",LEFT(TH!O6771,2)="15"),TK!$E$7=TH!F6771),"x","")</f>
        <v/>
      </c>
      <c r="AD6771" s="79" t="str">
        <f>IF(AND(N6771="1521",MONTH(C6771)='BK-NL'!$M$11),"x","")</f>
        <v/>
      </c>
    </row>
    <row r="6772" spans="1:30" ht="16.5" customHeight="1">
      <c r="A6772" s="318" t="str">
        <f>IF(B6772&lt;&gt;"",IF(AND(B6772='IN-TC'!$S$4,OR(TH!N6772="1111",TH!O6772="1111")),TH!D6772,""),"")</f>
        <v/>
      </c>
      <c r="B6772" s="1163" t="str">
        <f t="shared" si="526"/>
        <v/>
      </c>
      <c r="C6772" s="61"/>
      <c r="D6772" s="61"/>
      <c r="E6772" s="61"/>
      <c r="F6772" s="69"/>
      <c r="G6772" s="64"/>
      <c r="H6772" s="69"/>
      <c r="I6772" s="385"/>
      <c r="J6772" s="392"/>
      <c r="K6772" s="385"/>
      <c r="L6772" s="392"/>
      <c r="M6772" s="62"/>
      <c r="N6772" s="63"/>
      <c r="O6772" s="63"/>
      <c r="P6772" s="79" t="str">
        <f>IF(AND('331-CT'!$E$7=TH!H6772,OR(N6772="331",O6772="331")),"x","")</f>
        <v/>
      </c>
      <c r="Q6772" s="79" t="str">
        <f>IF(AND(B6772='111'!$L$11,OR($N6772=$Q$7,$O6772=$Q$7)),"x","")</f>
        <v/>
      </c>
      <c r="R6772" s="79" t="str">
        <f>IF(AND($N6772=$Q$7,$B6772&lt;'111'!$L$11),"x","")</f>
        <v/>
      </c>
      <c r="S6772" s="79" t="str">
        <f>IF(AND($O6772=$Q$7,$B6772&lt;'111'!$L$11),"x","")</f>
        <v/>
      </c>
      <c r="T6772" s="79" t="str">
        <f>IF(ISERROR(FIND('112'!$M$9,G6772,1)),"",IF((AND(FIND('112'!$M$9,G6772,1)&gt;=1,B6772='112'!$K$9,OR($N6772='112'!$I$6,$O6772='112'!$I$6))),"x",""))</f>
        <v/>
      </c>
      <c r="U6772" s="79" t="str">
        <f>IF(ISERROR(FIND('112'!$M$9,G6772,1)),"",IF((AND(LEFT(G6772,2)=LEFT('112'!$M$9,2),B6772&lt;'112'!$K$9,$N6772='112'!$I$6)),"x",""))</f>
        <v/>
      </c>
      <c r="V6772" s="79" t="str">
        <f>IF(ISERROR(FIND('112'!$M$9,G6772,1)),"",IF((AND(RIGHT(G6772,2)=RIGHT('112'!$M$9,2),B6772&lt;'112'!$K$9,$O6772='112'!$I$6)),"x",""))</f>
        <v/>
      </c>
      <c r="W6772" s="79" t="str">
        <f>IF(AND('341-CT'!$H$9=H6772,OR(LEFT(N6772,3)=$W$7,LEFT(O6772,3)=$W$7)),"x","")</f>
        <v/>
      </c>
      <c r="X6772" s="79" t="str">
        <f>IF(OR(TH!N6772=TH!$X$7,O6772=TH!$X$7),"x","")</f>
        <v/>
      </c>
      <c r="Y6772" s="79" t="str">
        <f>IF(AND(OR(N6772="131",O6772="131"),H6772='131-CT'!$H$9),"x","")</f>
        <v/>
      </c>
      <c r="Z6772" s="79"/>
      <c r="AA6772" s="79" t="str">
        <f>IF(AND(MONTH(E6772)='IN-NX'!$J$5,'IN-NX'!$D$7=D6772),"x","")</f>
        <v/>
      </c>
      <c r="AB6772" s="79" t="str">
        <f>IF(AND(OR(LEFT(TH!N6772,2)="15",LEFT(TH!O6772,2)="15"),LEFT(TH!O6772,3)&lt;&gt;"111",'152-CT'!$J$8=TH!F6772),"x","")</f>
        <v/>
      </c>
      <c r="AC6772" s="79" t="str">
        <f>IF(AND(OR(LEFT(TH!N6772,2)="15",LEFT(TH!O6772,2)="15"),TK!$E$7=TH!F6772),"x","")</f>
        <v/>
      </c>
      <c r="AD6772" s="79" t="str">
        <f>IF(AND(N6772="1521",MONTH(C6772)='BK-NL'!$M$11),"x","")</f>
        <v/>
      </c>
    </row>
    <row r="6773" spans="1:30" ht="16.5" customHeight="1">
      <c r="A6773" s="318" t="str">
        <f>IF(B6773&lt;&gt;"",IF(AND(B6773='IN-TC'!$S$4,OR(TH!N6773="1111",TH!O6773="1111")),TH!D6773,""),"")</f>
        <v/>
      </c>
      <c r="B6773" s="1163" t="str">
        <f t="shared" si="526"/>
        <v/>
      </c>
      <c r="C6773" s="61"/>
      <c r="D6773" s="61"/>
      <c r="E6773" s="61"/>
      <c r="F6773" s="69"/>
      <c r="G6773" s="64"/>
      <c r="H6773" s="69"/>
      <c r="I6773" s="385"/>
      <c r="J6773" s="392"/>
      <c r="K6773" s="385"/>
      <c r="L6773" s="392"/>
      <c r="M6773" s="62"/>
      <c r="N6773" s="63"/>
      <c r="O6773" s="63"/>
      <c r="P6773" s="79" t="str">
        <f>IF(AND('331-CT'!$E$7=TH!H6773,OR(N6773="331",O6773="331")),"x","")</f>
        <v/>
      </c>
      <c r="Q6773" s="79" t="str">
        <f>IF(AND(B6773='111'!$L$11,OR($N6773=$Q$7,$O6773=$Q$7)),"x","")</f>
        <v/>
      </c>
      <c r="R6773" s="79" t="str">
        <f>IF(AND($N6773=$Q$7,$B6773&lt;'111'!$L$11),"x","")</f>
        <v/>
      </c>
      <c r="S6773" s="79" t="str">
        <f>IF(AND($O6773=$Q$7,$B6773&lt;'111'!$L$11),"x","")</f>
        <v/>
      </c>
      <c r="T6773" s="79" t="str">
        <f>IF(ISERROR(FIND('112'!$M$9,G6773,1)),"",IF((AND(FIND('112'!$M$9,G6773,1)&gt;=1,B6773='112'!$K$9,OR($N6773='112'!$I$6,$O6773='112'!$I$6))),"x",""))</f>
        <v/>
      </c>
      <c r="U6773" s="79" t="str">
        <f>IF(ISERROR(FIND('112'!$M$9,G6773,1)),"",IF((AND(LEFT(G6773,2)=LEFT('112'!$M$9,2),B6773&lt;'112'!$K$9,$N6773='112'!$I$6)),"x",""))</f>
        <v/>
      </c>
      <c r="V6773" s="79" t="str">
        <f>IF(ISERROR(FIND('112'!$M$9,G6773,1)),"",IF((AND(RIGHT(G6773,2)=RIGHT('112'!$M$9,2),B6773&lt;'112'!$K$9,$O6773='112'!$I$6)),"x",""))</f>
        <v/>
      </c>
      <c r="W6773" s="79" t="str">
        <f>IF(AND('341-CT'!$H$9=H6773,OR(LEFT(N6773,3)=$W$7,LEFT(O6773,3)=$W$7)),"x","")</f>
        <v/>
      </c>
      <c r="X6773" s="79" t="str">
        <f>IF(OR(TH!N6773=TH!$X$7,O6773=TH!$X$7),"x","")</f>
        <v/>
      </c>
      <c r="Y6773" s="79" t="str">
        <f>IF(AND(OR(N6773="131",O6773="131"),H6773='131-CT'!$H$9),"x","")</f>
        <v/>
      </c>
      <c r="Z6773" s="79"/>
      <c r="AA6773" s="79" t="str">
        <f>IF(AND(MONTH(E6773)='IN-NX'!$J$5,'IN-NX'!$D$7=D6773),"x","")</f>
        <v/>
      </c>
      <c r="AB6773" s="79" t="str">
        <f>IF(AND(OR(LEFT(TH!N6773,2)="15",LEFT(TH!O6773,2)="15"),LEFT(TH!O6773,3)&lt;&gt;"111",'152-CT'!$J$8=TH!F6773),"x","")</f>
        <v/>
      </c>
      <c r="AC6773" s="79" t="str">
        <f>IF(AND(OR(LEFT(TH!N6773,2)="15",LEFT(TH!O6773,2)="15"),TK!$E$7=TH!F6773),"x","")</f>
        <v/>
      </c>
      <c r="AD6773" s="79" t="str">
        <f>IF(AND(N6773="1521",MONTH(C6773)='BK-NL'!$M$11),"x","")</f>
        <v/>
      </c>
    </row>
    <row r="6774" spans="1:30" ht="16.5" customHeight="1">
      <c r="A6774" s="318" t="str">
        <f>IF(B6774&lt;&gt;"",IF(AND(B6774='IN-TC'!$S$4,OR(TH!N6774="1111",TH!O6774="1111")),TH!D6774,""),"")</f>
        <v/>
      </c>
      <c r="B6774" s="1163" t="str">
        <f t="shared" si="526"/>
        <v/>
      </c>
      <c r="C6774" s="61"/>
      <c r="D6774" s="61"/>
      <c r="E6774" s="61"/>
      <c r="F6774" s="69"/>
      <c r="G6774" s="64"/>
      <c r="H6774" s="69"/>
      <c r="I6774" s="385"/>
      <c r="J6774" s="392"/>
      <c r="K6774" s="385"/>
      <c r="L6774" s="392"/>
      <c r="M6774" s="62"/>
      <c r="N6774" s="63"/>
      <c r="O6774" s="63"/>
      <c r="P6774" s="79" t="str">
        <f>IF(AND('331-CT'!$E$7=TH!H6774,OR(N6774="331",O6774="331")),"x","")</f>
        <v/>
      </c>
      <c r="Q6774" s="79" t="str">
        <f>IF(AND(B6774='111'!$L$11,OR($N6774=$Q$7,$O6774=$Q$7)),"x","")</f>
        <v/>
      </c>
      <c r="R6774" s="79" t="str">
        <f>IF(AND($N6774=$Q$7,$B6774&lt;'111'!$L$11),"x","")</f>
        <v/>
      </c>
      <c r="S6774" s="79" t="str">
        <f>IF(AND($O6774=$Q$7,$B6774&lt;'111'!$L$11),"x","")</f>
        <v/>
      </c>
      <c r="T6774" s="79" t="str">
        <f>IF(ISERROR(FIND('112'!$M$9,G6774,1)),"",IF((AND(FIND('112'!$M$9,G6774,1)&gt;=1,B6774='112'!$K$9,OR($N6774='112'!$I$6,$O6774='112'!$I$6))),"x",""))</f>
        <v/>
      </c>
      <c r="U6774" s="79" t="str">
        <f>IF(ISERROR(FIND('112'!$M$9,G6774,1)),"",IF((AND(LEFT(G6774,2)=LEFT('112'!$M$9,2),B6774&lt;'112'!$K$9,$N6774='112'!$I$6)),"x",""))</f>
        <v/>
      </c>
      <c r="V6774" s="79" t="str">
        <f>IF(ISERROR(FIND('112'!$M$9,G6774,1)),"",IF((AND(RIGHT(G6774,2)=RIGHT('112'!$M$9,2),B6774&lt;'112'!$K$9,$O6774='112'!$I$6)),"x",""))</f>
        <v/>
      </c>
      <c r="W6774" s="79" t="str">
        <f>IF(AND('341-CT'!$H$9=H6774,OR(LEFT(N6774,3)=$W$7,LEFT(O6774,3)=$W$7)),"x","")</f>
        <v/>
      </c>
      <c r="X6774" s="79" t="str">
        <f>IF(OR(TH!N6774=TH!$X$7,O6774=TH!$X$7),"x","")</f>
        <v/>
      </c>
      <c r="Y6774" s="79" t="str">
        <f>IF(AND(OR(N6774="131",O6774="131"),H6774='131-CT'!$H$9),"x","")</f>
        <v/>
      </c>
      <c r="Z6774" s="79"/>
      <c r="AA6774" s="79" t="str">
        <f>IF(AND(MONTH(E6774)='IN-NX'!$J$5,'IN-NX'!$D$7=D6774),"x","")</f>
        <v/>
      </c>
      <c r="AB6774" s="79" t="str">
        <f>IF(AND(OR(LEFT(TH!N6774,2)="15",LEFT(TH!O6774,2)="15"),LEFT(TH!O6774,3)&lt;&gt;"111",'152-CT'!$J$8=TH!F6774),"x","")</f>
        <v/>
      </c>
      <c r="AC6774" s="79" t="str">
        <f>IF(AND(OR(LEFT(TH!N6774,2)="15",LEFT(TH!O6774,2)="15"),TK!$E$7=TH!F6774),"x","")</f>
        <v/>
      </c>
      <c r="AD6774" s="79" t="str">
        <f>IF(AND(N6774="1521",MONTH(C6774)='BK-NL'!$M$11),"x","")</f>
        <v/>
      </c>
    </row>
    <row r="6775" spans="1:30" ht="16.5" customHeight="1">
      <c r="A6775" s="318" t="str">
        <f>IF(B6775&lt;&gt;"",IF(AND(B6775='IN-TC'!$S$4,OR(TH!N6775="1111",TH!O6775="1111")),TH!D6775,""),"")</f>
        <v/>
      </c>
      <c r="B6775" s="1163" t="str">
        <f t="shared" si="526"/>
        <v/>
      </c>
      <c r="C6775" s="61"/>
      <c r="D6775" s="61"/>
      <c r="E6775" s="61"/>
      <c r="F6775" s="69"/>
      <c r="G6775" s="64"/>
      <c r="H6775" s="69"/>
      <c r="I6775" s="385"/>
      <c r="J6775" s="392"/>
      <c r="K6775" s="385"/>
      <c r="L6775" s="392"/>
      <c r="M6775" s="62"/>
      <c r="N6775" s="63"/>
      <c r="O6775" s="63"/>
      <c r="P6775" s="79" t="str">
        <f>IF(AND('331-CT'!$E$7=TH!H6775,OR(N6775="331",O6775="331")),"x","")</f>
        <v/>
      </c>
      <c r="Q6775" s="79" t="str">
        <f>IF(AND(B6775='111'!$L$11,OR($N6775=$Q$7,$O6775=$Q$7)),"x","")</f>
        <v/>
      </c>
      <c r="R6775" s="79" t="str">
        <f>IF(AND($N6775=$Q$7,$B6775&lt;'111'!$L$11),"x","")</f>
        <v/>
      </c>
      <c r="S6775" s="79" t="str">
        <f>IF(AND($O6775=$Q$7,$B6775&lt;'111'!$L$11),"x","")</f>
        <v/>
      </c>
      <c r="T6775" s="79" t="str">
        <f>IF(ISERROR(FIND('112'!$M$9,G6775,1)),"",IF((AND(FIND('112'!$M$9,G6775,1)&gt;=1,B6775='112'!$K$9,OR($N6775='112'!$I$6,$O6775='112'!$I$6))),"x",""))</f>
        <v/>
      </c>
      <c r="U6775" s="79" t="str">
        <f>IF(ISERROR(FIND('112'!$M$9,G6775,1)),"",IF((AND(LEFT(G6775,2)=LEFT('112'!$M$9,2),B6775&lt;'112'!$K$9,$N6775='112'!$I$6)),"x",""))</f>
        <v/>
      </c>
      <c r="V6775" s="79" t="str">
        <f>IF(ISERROR(FIND('112'!$M$9,G6775,1)),"",IF((AND(RIGHT(G6775,2)=RIGHT('112'!$M$9,2),B6775&lt;'112'!$K$9,$O6775='112'!$I$6)),"x",""))</f>
        <v/>
      </c>
      <c r="W6775" s="79" t="str">
        <f>IF(AND('341-CT'!$H$9=H6775,OR(LEFT(N6775,3)=$W$7,LEFT(O6775,3)=$W$7)),"x","")</f>
        <v/>
      </c>
      <c r="X6775" s="79" t="str">
        <f>IF(OR(TH!N6775=TH!$X$7,O6775=TH!$X$7),"x","")</f>
        <v/>
      </c>
      <c r="Y6775" s="79" t="str">
        <f>IF(AND(OR(N6775="131",O6775="131"),H6775='131-CT'!$H$9),"x","")</f>
        <v/>
      </c>
      <c r="Z6775" s="79"/>
      <c r="AA6775" s="79" t="str">
        <f>IF(AND(MONTH(E6775)='IN-NX'!$J$5,'IN-NX'!$D$7=D6775),"x","")</f>
        <v/>
      </c>
      <c r="AB6775" s="79" t="str">
        <f>IF(AND(OR(LEFT(TH!N6775,2)="15",LEFT(TH!O6775,2)="15"),LEFT(TH!O6775,3)&lt;&gt;"111",'152-CT'!$J$8=TH!F6775),"x","")</f>
        <v/>
      </c>
      <c r="AC6775" s="79" t="str">
        <f>IF(AND(OR(LEFT(TH!N6775,2)="15",LEFT(TH!O6775,2)="15"),TK!$E$7=TH!F6775),"x","")</f>
        <v/>
      </c>
      <c r="AD6775" s="79" t="str">
        <f>IF(AND(N6775="1521",MONTH(C6775)='BK-NL'!$M$11),"x","")</f>
        <v/>
      </c>
    </row>
    <row r="6776" spans="1:30" ht="16.5" customHeight="1">
      <c r="A6776" s="318" t="str">
        <f>IF(B6776&lt;&gt;"",IF(AND(B6776='IN-TC'!$S$4,OR(TH!N6776="1111",TH!O6776="1111")),TH!D6776,""),"")</f>
        <v/>
      </c>
      <c r="B6776" s="1163" t="str">
        <f t="shared" si="526"/>
        <v/>
      </c>
      <c r="C6776" s="61"/>
      <c r="D6776" s="61"/>
      <c r="E6776" s="61"/>
      <c r="F6776" s="69"/>
      <c r="G6776" s="64"/>
      <c r="H6776" s="69"/>
      <c r="I6776" s="385"/>
      <c r="J6776" s="392"/>
      <c r="K6776" s="385"/>
      <c r="L6776" s="392"/>
      <c r="M6776" s="62"/>
      <c r="N6776" s="63"/>
      <c r="O6776" s="63"/>
      <c r="P6776" s="79" t="str">
        <f>IF(AND('331-CT'!$E$7=TH!H6776,OR(N6776="331",O6776="331")),"x","")</f>
        <v/>
      </c>
      <c r="Q6776" s="79" t="str">
        <f>IF(AND(B6776='111'!$L$11,OR($N6776=$Q$7,$O6776=$Q$7)),"x","")</f>
        <v/>
      </c>
      <c r="R6776" s="79" t="str">
        <f>IF(AND($N6776=$Q$7,$B6776&lt;'111'!$L$11),"x","")</f>
        <v/>
      </c>
      <c r="S6776" s="79" t="str">
        <f>IF(AND($O6776=$Q$7,$B6776&lt;'111'!$L$11),"x","")</f>
        <v/>
      </c>
      <c r="T6776" s="79" t="str">
        <f>IF(ISERROR(FIND('112'!$M$9,G6776,1)),"",IF((AND(FIND('112'!$M$9,G6776,1)&gt;=1,B6776='112'!$K$9,OR($N6776='112'!$I$6,$O6776='112'!$I$6))),"x",""))</f>
        <v/>
      </c>
      <c r="U6776" s="79" t="str">
        <f>IF(ISERROR(FIND('112'!$M$9,G6776,1)),"",IF((AND(LEFT(G6776,2)=LEFT('112'!$M$9,2),B6776&lt;'112'!$K$9,$N6776='112'!$I$6)),"x",""))</f>
        <v/>
      </c>
      <c r="V6776" s="79" t="str">
        <f>IF(ISERROR(FIND('112'!$M$9,G6776,1)),"",IF((AND(RIGHT(G6776,2)=RIGHT('112'!$M$9,2),B6776&lt;'112'!$K$9,$O6776='112'!$I$6)),"x",""))</f>
        <v/>
      </c>
      <c r="W6776" s="79" t="str">
        <f>IF(AND('341-CT'!$H$9=H6776,OR(LEFT(N6776,3)=$W$7,LEFT(O6776,3)=$W$7)),"x","")</f>
        <v/>
      </c>
      <c r="X6776" s="79" t="str">
        <f>IF(OR(TH!N6776=TH!$X$7,O6776=TH!$X$7),"x","")</f>
        <v/>
      </c>
      <c r="Y6776" s="79" t="str">
        <f>IF(AND(OR(N6776="131",O6776="131"),H6776='131-CT'!$H$9),"x","")</f>
        <v/>
      </c>
      <c r="Z6776" s="79"/>
      <c r="AA6776" s="79" t="str">
        <f>IF(AND(MONTH(E6776)='IN-NX'!$J$5,'IN-NX'!$D$7=D6776),"x","")</f>
        <v/>
      </c>
      <c r="AB6776" s="79" t="str">
        <f>IF(AND(OR(LEFT(TH!N6776,2)="15",LEFT(TH!O6776,2)="15"),LEFT(TH!O6776,3)&lt;&gt;"111",'152-CT'!$J$8=TH!F6776),"x","")</f>
        <v/>
      </c>
      <c r="AC6776" s="79" t="str">
        <f>IF(AND(OR(LEFT(TH!N6776,2)="15",LEFT(TH!O6776,2)="15"),TK!$E$7=TH!F6776),"x","")</f>
        <v/>
      </c>
      <c r="AD6776" s="79" t="str">
        <f>IF(AND(N6776="1521",MONTH(C6776)='BK-NL'!$M$11),"x","")</f>
        <v/>
      </c>
    </row>
    <row r="6777" spans="1:30" ht="16.5" customHeight="1">
      <c r="A6777" s="318" t="str">
        <f>IF(B6777&lt;&gt;"",IF(AND(B6777='IN-TC'!$S$4,OR(TH!N6777="1111",TH!O6777="1111")),TH!D6777,""),"")</f>
        <v/>
      </c>
      <c r="B6777" s="1163" t="str">
        <f t="shared" si="526"/>
        <v/>
      </c>
      <c r="C6777" s="61"/>
      <c r="D6777" s="61"/>
      <c r="E6777" s="61"/>
      <c r="F6777" s="69"/>
      <c r="G6777" s="64"/>
      <c r="H6777" s="69"/>
      <c r="I6777" s="385"/>
      <c r="J6777" s="392"/>
      <c r="K6777" s="385"/>
      <c r="L6777" s="392"/>
      <c r="M6777" s="62"/>
      <c r="N6777" s="63"/>
      <c r="O6777" s="63"/>
      <c r="P6777" s="79" t="str">
        <f>IF(AND('331-CT'!$E$7=TH!H6777,OR(N6777="331",O6777="331")),"x","")</f>
        <v/>
      </c>
      <c r="Q6777" s="79" t="str">
        <f>IF(AND(B6777='111'!$L$11,OR($N6777=$Q$7,$O6777=$Q$7)),"x","")</f>
        <v/>
      </c>
      <c r="R6777" s="79" t="str">
        <f>IF(AND($N6777=$Q$7,$B6777&lt;'111'!$L$11),"x","")</f>
        <v/>
      </c>
      <c r="S6777" s="79" t="str">
        <f>IF(AND($O6777=$Q$7,$B6777&lt;'111'!$L$11),"x","")</f>
        <v/>
      </c>
      <c r="T6777" s="79" t="str">
        <f>IF(ISERROR(FIND('112'!$M$9,G6777,1)),"",IF((AND(FIND('112'!$M$9,G6777,1)&gt;=1,B6777='112'!$K$9,OR($N6777='112'!$I$6,$O6777='112'!$I$6))),"x",""))</f>
        <v/>
      </c>
      <c r="U6777" s="79" t="str">
        <f>IF(ISERROR(FIND('112'!$M$9,G6777,1)),"",IF((AND(LEFT(G6777,2)=LEFT('112'!$M$9,2),B6777&lt;'112'!$K$9,$N6777='112'!$I$6)),"x",""))</f>
        <v/>
      </c>
      <c r="V6777" s="79" t="str">
        <f>IF(ISERROR(FIND('112'!$M$9,G6777,1)),"",IF((AND(RIGHT(G6777,2)=RIGHT('112'!$M$9,2),B6777&lt;'112'!$K$9,$O6777='112'!$I$6)),"x",""))</f>
        <v/>
      </c>
      <c r="W6777" s="79" t="str">
        <f>IF(AND('341-CT'!$H$9=H6777,OR(LEFT(N6777,3)=$W$7,LEFT(O6777,3)=$W$7)),"x","")</f>
        <v/>
      </c>
      <c r="X6777" s="79" t="str">
        <f>IF(OR(TH!N6777=TH!$X$7,O6777=TH!$X$7),"x","")</f>
        <v/>
      </c>
      <c r="Y6777" s="79" t="str">
        <f>IF(AND(OR(N6777="131",O6777="131"),H6777='131-CT'!$H$9),"x","")</f>
        <v/>
      </c>
      <c r="Z6777" s="79"/>
      <c r="AA6777" s="79" t="str">
        <f>IF(AND(MONTH(E6777)='IN-NX'!$J$5,'IN-NX'!$D$7=D6777),"x","")</f>
        <v/>
      </c>
      <c r="AB6777" s="79" t="str">
        <f>IF(AND(OR(LEFT(TH!N6777,2)="15",LEFT(TH!O6777,2)="15"),LEFT(TH!O6777,3)&lt;&gt;"111",'152-CT'!$J$8=TH!F6777),"x","")</f>
        <v/>
      </c>
      <c r="AC6777" s="79" t="str">
        <f>IF(AND(OR(LEFT(TH!N6777,2)="15",LEFT(TH!O6777,2)="15"),TK!$E$7=TH!F6777),"x","")</f>
        <v/>
      </c>
      <c r="AD6777" s="79" t="str">
        <f>IF(AND(N6777="1521",MONTH(C6777)='BK-NL'!$M$11),"x","")</f>
        <v/>
      </c>
    </row>
    <row r="6778" spans="1:30" ht="16.5" customHeight="1">
      <c r="A6778" s="318" t="str">
        <f>IF(B6778&lt;&gt;"",IF(AND(B6778='IN-TC'!$S$4,OR(TH!N6778="1111",TH!O6778="1111")),TH!D6778,""),"")</f>
        <v/>
      </c>
      <c r="B6778" s="1163" t="str">
        <f t="shared" si="526"/>
        <v/>
      </c>
      <c r="C6778" s="61"/>
      <c r="D6778" s="61"/>
      <c r="E6778" s="61"/>
      <c r="F6778" s="69"/>
      <c r="G6778" s="64"/>
      <c r="H6778" s="69"/>
      <c r="I6778" s="385"/>
      <c r="J6778" s="392"/>
      <c r="K6778" s="385"/>
      <c r="L6778" s="392"/>
      <c r="M6778" s="62"/>
      <c r="N6778" s="63"/>
      <c r="O6778" s="63"/>
      <c r="P6778" s="79" t="str">
        <f>IF(AND('331-CT'!$E$7=TH!H6778,OR(N6778="331",O6778="331")),"x","")</f>
        <v/>
      </c>
      <c r="Q6778" s="79" t="str">
        <f>IF(AND(B6778='111'!$L$11,OR($N6778=$Q$7,$O6778=$Q$7)),"x","")</f>
        <v/>
      </c>
      <c r="R6778" s="79" t="str">
        <f>IF(AND($N6778=$Q$7,$B6778&lt;'111'!$L$11),"x","")</f>
        <v/>
      </c>
      <c r="S6778" s="79" t="str">
        <f>IF(AND($O6778=$Q$7,$B6778&lt;'111'!$L$11),"x","")</f>
        <v/>
      </c>
      <c r="T6778" s="79" t="str">
        <f>IF(ISERROR(FIND('112'!$M$9,G6778,1)),"",IF((AND(FIND('112'!$M$9,G6778,1)&gt;=1,B6778='112'!$K$9,OR($N6778='112'!$I$6,$O6778='112'!$I$6))),"x",""))</f>
        <v/>
      </c>
      <c r="U6778" s="79" t="str">
        <f>IF(ISERROR(FIND('112'!$M$9,G6778,1)),"",IF((AND(LEFT(G6778,2)=LEFT('112'!$M$9,2),B6778&lt;'112'!$K$9,$N6778='112'!$I$6)),"x",""))</f>
        <v/>
      </c>
      <c r="V6778" s="79" t="str">
        <f>IF(ISERROR(FIND('112'!$M$9,G6778,1)),"",IF((AND(RIGHT(G6778,2)=RIGHT('112'!$M$9,2),B6778&lt;'112'!$K$9,$O6778='112'!$I$6)),"x",""))</f>
        <v/>
      </c>
      <c r="W6778" s="79" t="str">
        <f>IF(AND('341-CT'!$H$9=H6778,OR(LEFT(N6778,3)=$W$7,LEFT(O6778,3)=$W$7)),"x","")</f>
        <v/>
      </c>
      <c r="X6778" s="79" t="str">
        <f>IF(OR(TH!N6778=TH!$X$7,O6778=TH!$X$7),"x","")</f>
        <v/>
      </c>
      <c r="Y6778" s="79" t="str">
        <f>IF(AND(OR(N6778="131",O6778="131"),H6778='131-CT'!$H$9),"x","")</f>
        <v/>
      </c>
      <c r="Z6778" s="79"/>
      <c r="AA6778" s="79" t="str">
        <f>IF(AND(MONTH(E6778)='IN-NX'!$J$5,'IN-NX'!$D$7=D6778),"x","")</f>
        <v/>
      </c>
      <c r="AB6778" s="79" t="str">
        <f>IF(AND(OR(LEFT(TH!N6778,2)="15",LEFT(TH!O6778,2)="15"),LEFT(TH!O6778,3)&lt;&gt;"111",'152-CT'!$J$8=TH!F6778),"x","")</f>
        <v/>
      </c>
      <c r="AC6778" s="79" t="str">
        <f>IF(AND(OR(LEFT(TH!N6778,2)="15",LEFT(TH!O6778,2)="15"),TK!$E$7=TH!F6778),"x","")</f>
        <v/>
      </c>
      <c r="AD6778" s="79" t="str">
        <f>IF(AND(N6778="1521",MONTH(C6778)='BK-NL'!$M$11),"x","")</f>
        <v/>
      </c>
    </row>
    <row r="6779" spans="1:30" ht="16.5" customHeight="1">
      <c r="A6779" s="318" t="str">
        <f>IF(B6779&lt;&gt;"",IF(AND(B6779='IN-TC'!$S$4,OR(TH!N6779="1111",TH!O6779="1111")),TH!D6779,""),"")</f>
        <v/>
      </c>
      <c r="B6779" s="1163" t="str">
        <f t="shared" si="526"/>
        <v/>
      </c>
      <c r="C6779" s="61"/>
      <c r="D6779" s="61"/>
      <c r="E6779" s="61"/>
      <c r="F6779" s="69"/>
      <c r="G6779" s="64"/>
      <c r="H6779" s="69"/>
      <c r="I6779" s="385"/>
      <c r="J6779" s="392"/>
      <c r="K6779" s="385"/>
      <c r="L6779" s="392"/>
      <c r="M6779" s="62"/>
      <c r="N6779" s="63"/>
      <c r="O6779" s="63"/>
      <c r="P6779" s="79" t="str">
        <f>IF(AND('331-CT'!$E$7=TH!H6779,OR(N6779="331",O6779="331")),"x","")</f>
        <v/>
      </c>
      <c r="Q6779" s="79" t="str">
        <f>IF(AND(B6779='111'!$L$11,OR($N6779=$Q$7,$O6779=$Q$7)),"x","")</f>
        <v/>
      </c>
      <c r="R6779" s="79" t="str">
        <f>IF(AND($N6779=$Q$7,$B6779&lt;'111'!$L$11),"x","")</f>
        <v/>
      </c>
      <c r="S6779" s="79" t="str">
        <f>IF(AND($O6779=$Q$7,$B6779&lt;'111'!$L$11),"x","")</f>
        <v/>
      </c>
      <c r="T6779" s="79" t="str">
        <f>IF(ISERROR(FIND('112'!$M$9,G6779,1)),"",IF((AND(FIND('112'!$M$9,G6779,1)&gt;=1,B6779='112'!$K$9,OR($N6779='112'!$I$6,$O6779='112'!$I$6))),"x",""))</f>
        <v/>
      </c>
      <c r="U6779" s="79" t="str">
        <f>IF(ISERROR(FIND('112'!$M$9,G6779,1)),"",IF((AND(LEFT(G6779,2)=LEFT('112'!$M$9,2),B6779&lt;'112'!$K$9,$N6779='112'!$I$6)),"x",""))</f>
        <v/>
      </c>
      <c r="V6779" s="79" t="str">
        <f>IF(ISERROR(FIND('112'!$M$9,G6779,1)),"",IF((AND(RIGHT(G6779,2)=RIGHT('112'!$M$9,2),B6779&lt;'112'!$K$9,$O6779='112'!$I$6)),"x",""))</f>
        <v/>
      </c>
      <c r="W6779" s="79" t="str">
        <f>IF(AND('341-CT'!$H$9=H6779,OR(LEFT(N6779,3)=$W$7,LEFT(O6779,3)=$W$7)),"x","")</f>
        <v/>
      </c>
      <c r="X6779" s="79" t="str">
        <f>IF(OR(TH!N6779=TH!$X$7,O6779=TH!$X$7),"x","")</f>
        <v/>
      </c>
      <c r="Y6779" s="79" t="str">
        <f>IF(AND(OR(N6779="131",O6779="131"),H6779='131-CT'!$H$9),"x","")</f>
        <v/>
      </c>
      <c r="Z6779" s="79"/>
      <c r="AA6779" s="79" t="str">
        <f>IF(AND(MONTH(E6779)='IN-NX'!$J$5,'IN-NX'!$D$7=D6779),"x","")</f>
        <v/>
      </c>
      <c r="AB6779" s="79" t="str">
        <f>IF(AND(OR(LEFT(TH!N6779,2)="15",LEFT(TH!O6779,2)="15"),LEFT(TH!O6779,3)&lt;&gt;"111",'152-CT'!$J$8=TH!F6779),"x","")</f>
        <v/>
      </c>
      <c r="AC6779" s="79" t="str">
        <f>IF(AND(OR(LEFT(TH!N6779,2)="15",LEFT(TH!O6779,2)="15"),TK!$E$7=TH!F6779),"x","")</f>
        <v/>
      </c>
      <c r="AD6779" s="79" t="str">
        <f>IF(AND(N6779="1521",MONTH(C6779)='BK-NL'!$M$11),"x","")</f>
        <v/>
      </c>
    </row>
    <row r="6780" spans="1:30" ht="16.5" customHeight="1">
      <c r="A6780" s="318" t="str">
        <f>IF(B6780&lt;&gt;"",IF(AND(B6780='IN-TC'!$S$4,OR(TH!N6780="1111",TH!O6780="1111")),TH!D6780,""),"")</f>
        <v/>
      </c>
      <c r="B6780" s="1163" t="str">
        <f t="shared" si="526"/>
        <v/>
      </c>
      <c r="C6780" s="61"/>
      <c r="D6780" s="61"/>
      <c r="E6780" s="61"/>
      <c r="F6780" s="69"/>
      <c r="G6780" s="64"/>
      <c r="H6780" s="69"/>
      <c r="I6780" s="385"/>
      <c r="J6780" s="392"/>
      <c r="K6780" s="385"/>
      <c r="L6780" s="392"/>
      <c r="M6780" s="62"/>
      <c r="N6780" s="63"/>
      <c r="O6780" s="63"/>
      <c r="P6780" s="79" t="str">
        <f>IF(AND('331-CT'!$E$7=TH!H6780,OR(N6780="331",O6780="331")),"x","")</f>
        <v/>
      </c>
      <c r="Q6780" s="79" t="str">
        <f>IF(AND(B6780='111'!$L$11,OR($N6780=$Q$7,$O6780=$Q$7)),"x","")</f>
        <v/>
      </c>
      <c r="R6780" s="79" t="str">
        <f>IF(AND($N6780=$Q$7,$B6780&lt;'111'!$L$11),"x","")</f>
        <v/>
      </c>
      <c r="S6780" s="79" t="str">
        <f>IF(AND($O6780=$Q$7,$B6780&lt;'111'!$L$11),"x","")</f>
        <v/>
      </c>
      <c r="T6780" s="79" t="str">
        <f>IF(ISERROR(FIND('112'!$M$9,G6780,1)),"",IF((AND(FIND('112'!$M$9,G6780,1)&gt;=1,B6780='112'!$K$9,OR($N6780='112'!$I$6,$O6780='112'!$I$6))),"x",""))</f>
        <v/>
      </c>
      <c r="U6780" s="79" t="str">
        <f>IF(ISERROR(FIND('112'!$M$9,G6780,1)),"",IF((AND(LEFT(G6780,2)=LEFT('112'!$M$9,2),B6780&lt;'112'!$K$9,$N6780='112'!$I$6)),"x",""))</f>
        <v/>
      </c>
      <c r="V6780" s="79" t="str">
        <f>IF(ISERROR(FIND('112'!$M$9,G6780,1)),"",IF((AND(RIGHT(G6780,2)=RIGHT('112'!$M$9,2),B6780&lt;'112'!$K$9,$O6780='112'!$I$6)),"x",""))</f>
        <v/>
      </c>
      <c r="W6780" s="79" t="str">
        <f>IF(AND('341-CT'!$H$9=H6780,OR(LEFT(N6780,3)=$W$7,LEFT(O6780,3)=$W$7)),"x","")</f>
        <v/>
      </c>
      <c r="X6780" s="79" t="str">
        <f>IF(OR(TH!N6780=TH!$X$7,O6780=TH!$X$7),"x","")</f>
        <v/>
      </c>
      <c r="Y6780" s="79" t="str">
        <f>IF(AND(OR(N6780="131",O6780="131"),H6780='131-CT'!$H$9),"x","")</f>
        <v/>
      </c>
      <c r="Z6780" s="79"/>
      <c r="AA6780" s="79" t="str">
        <f>IF(AND(MONTH(E6780)='IN-NX'!$J$5,'IN-NX'!$D$7=D6780),"x","")</f>
        <v/>
      </c>
      <c r="AB6780" s="79" t="str">
        <f>IF(AND(OR(LEFT(TH!N6780,2)="15",LEFT(TH!O6780,2)="15"),LEFT(TH!O6780,3)&lt;&gt;"111",'152-CT'!$J$8=TH!F6780),"x","")</f>
        <v/>
      </c>
      <c r="AC6780" s="79" t="str">
        <f>IF(AND(OR(LEFT(TH!N6780,2)="15",LEFT(TH!O6780,2)="15"),TK!$E$7=TH!F6780),"x","")</f>
        <v/>
      </c>
      <c r="AD6780" s="79" t="str">
        <f>IF(AND(N6780="1521",MONTH(C6780)='BK-NL'!$M$11),"x","")</f>
        <v/>
      </c>
    </row>
    <row r="6781" spans="1:30" ht="16.5" customHeight="1">
      <c r="A6781" s="318" t="str">
        <f>IF(B6781&lt;&gt;"",IF(AND(B6781='IN-TC'!$S$4,OR(TH!N6781="1111",TH!O6781="1111")),TH!D6781,""),"")</f>
        <v/>
      </c>
      <c r="B6781" s="1163" t="str">
        <f t="shared" si="526"/>
        <v/>
      </c>
      <c r="C6781" s="61"/>
      <c r="D6781" s="61"/>
      <c r="E6781" s="61"/>
      <c r="F6781" s="69"/>
      <c r="G6781" s="64"/>
      <c r="H6781" s="69"/>
      <c r="I6781" s="385"/>
      <c r="J6781" s="392"/>
      <c r="K6781" s="385"/>
      <c r="L6781" s="392"/>
      <c r="M6781" s="62"/>
      <c r="N6781" s="63"/>
      <c r="O6781" s="63"/>
      <c r="P6781" s="79" t="str">
        <f>IF(AND('331-CT'!$E$7=TH!H6781,OR(N6781="331",O6781="331")),"x","")</f>
        <v/>
      </c>
      <c r="Q6781" s="79" t="str">
        <f>IF(AND(B6781='111'!$L$11,OR($N6781=$Q$7,$O6781=$Q$7)),"x","")</f>
        <v/>
      </c>
      <c r="R6781" s="79" t="str">
        <f>IF(AND($N6781=$Q$7,$B6781&lt;'111'!$L$11),"x","")</f>
        <v/>
      </c>
      <c r="S6781" s="79" t="str">
        <f>IF(AND($O6781=$Q$7,$B6781&lt;'111'!$L$11),"x","")</f>
        <v/>
      </c>
      <c r="T6781" s="79" t="str">
        <f>IF(ISERROR(FIND('112'!$M$9,G6781,1)),"",IF((AND(FIND('112'!$M$9,G6781,1)&gt;=1,B6781='112'!$K$9,OR($N6781='112'!$I$6,$O6781='112'!$I$6))),"x",""))</f>
        <v/>
      </c>
      <c r="U6781" s="79" t="str">
        <f>IF(ISERROR(FIND('112'!$M$9,G6781,1)),"",IF((AND(LEFT(G6781,2)=LEFT('112'!$M$9,2),B6781&lt;'112'!$K$9,$N6781='112'!$I$6)),"x",""))</f>
        <v/>
      </c>
      <c r="V6781" s="79" t="str">
        <f>IF(ISERROR(FIND('112'!$M$9,G6781,1)),"",IF((AND(RIGHT(G6781,2)=RIGHT('112'!$M$9,2),B6781&lt;'112'!$K$9,$O6781='112'!$I$6)),"x",""))</f>
        <v/>
      </c>
      <c r="W6781" s="79" t="str">
        <f>IF(AND('341-CT'!$H$9=H6781,OR(LEFT(N6781,3)=$W$7,LEFT(O6781,3)=$W$7)),"x","")</f>
        <v/>
      </c>
      <c r="X6781" s="79" t="str">
        <f>IF(OR(TH!N6781=TH!$X$7,O6781=TH!$X$7),"x","")</f>
        <v/>
      </c>
      <c r="Y6781" s="79" t="str">
        <f>IF(AND(OR(N6781="131",O6781="131"),H6781='131-CT'!$H$9),"x","")</f>
        <v/>
      </c>
      <c r="Z6781" s="79"/>
      <c r="AA6781" s="79" t="str">
        <f>IF(AND(MONTH(E6781)='IN-NX'!$J$5,'IN-NX'!$D$7=D6781),"x","")</f>
        <v/>
      </c>
      <c r="AB6781" s="79" t="str">
        <f>IF(AND(OR(LEFT(TH!N6781,2)="15",LEFT(TH!O6781,2)="15"),LEFT(TH!O6781,3)&lt;&gt;"111",'152-CT'!$J$8=TH!F6781),"x","")</f>
        <v/>
      </c>
      <c r="AC6781" s="79" t="str">
        <f>IF(AND(OR(LEFT(TH!N6781,2)="15",LEFT(TH!O6781,2)="15"),TK!$E$7=TH!F6781),"x","")</f>
        <v/>
      </c>
      <c r="AD6781" s="79" t="str">
        <f>IF(AND(N6781="1521",MONTH(C6781)='BK-NL'!$M$11),"x","")</f>
        <v/>
      </c>
    </row>
    <row r="6782" spans="1:30" ht="16.5" customHeight="1">
      <c r="A6782" s="318" t="str">
        <f>IF(B6782&lt;&gt;"",IF(AND(B6782='IN-TC'!$S$4,OR(TH!N6782="1111",TH!O6782="1111")),TH!D6782,""),"")</f>
        <v/>
      </c>
      <c r="B6782" s="1163" t="str">
        <f t="shared" si="526"/>
        <v/>
      </c>
      <c r="C6782" s="61"/>
      <c r="D6782" s="61"/>
      <c r="E6782" s="61"/>
      <c r="F6782" s="69"/>
      <c r="G6782" s="64"/>
      <c r="H6782" s="69"/>
      <c r="I6782" s="385"/>
      <c r="J6782" s="392"/>
      <c r="K6782" s="385"/>
      <c r="L6782" s="392"/>
      <c r="M6782" s="62"/>
      <c r="N6782" s="63"/>
      <c r="O6782" s="63"/>
      <c r="P6782" s="79" t="str">
        <f>IF(AND('331-CT'!$E$7=TH!H6782,OR(N6782="331",O6782="331")),"x","")</f>
        <v/>
      </c>
      <c r="Q6782" s="79" t="str">
        <f>IF(AND(B6782='111'!$L$11,OR($N6782=$Q$7,$O6782=$Q$7)),"x","")</f>
        <v/>
      </c>
      <c r="R6782" s="79" t="str">
        <f>IF(AND($N6782=$Q$7,$B6782&lt;'111'!$L$11),"x","")</f>
        <v/>
      </c>
      <c r="S6782" s="79" t="str">
        <f>IF(AND($O6782=$Q$7,$B6782&lt;'111'!$L$11),"x","")</f>
        <v/>
      </c>
      <c r="T6782" s="79" t="str">
        <f>IF(ISERROR(FIND('112'!$M$9,G6782,1)),"",IF((AND(FIND('112'!$M$9,G6782,1)&gt;=1,B6782='112'!$K$9,OR($N6782='112'!$I$6,$O6782='112'!$I$6))),"x",""))</f>
        <v/>
      </c>
      <c r="U6782" s="79" t="str">
        <f>IF(ISERROR(FIND('112'!$M$9,G6782,1)),"",IF((AND(LEFT(G6782,2)=LEFT('112'!$M$9,2),B6782&lt;'112'!$K$9,$N6782='112'!$I$6)),"x",""))</f>
        <v/>
      </c>
      <c r="V6782" s="79" t="str">
        <f>IF(ISERROR(FIND('112'!$M$9,G6782,1)),"",IF((AND(RIGHT(G6782,2)=RIGHT('112'!$M$9,2),B6782&lt;'112'!$K$9,$O6782='112'!$I$6)),"x",""))</f>
        <v/>
      </c>
      <c r="W6782" s="79" t="str">
        <f>IF(AND('341-CT'!$H$9=H6782,OR(LEFT(N6782,3)=$W$7,LEFT(O6782,3)=$W$7)),"x","")</f>
        <v/>
      </c>
      <c r="X6782" s="79" t="str">
        <f>IF(OR(TH!N6782=TH!$X$7,O6782=TH!$X$7),"x","")</f>
        <v/>
      </c>
      <c r="Y6782" s="79" t="str">
        <f>IF(AND(OR(N6782="131",O6782="131"),H6782='131-CT'!$H$9),"x","")</f>
        <v/>
      </c>
      <c r="Z6782" s="79"/>
      <c r="AA6782" s="79" t="str">
        <f>IF(AND(MONTH(E6782)='IN-NX'!$J$5,'IN-NX'!$D$7=D6782),"x","")</f>
        <v/>
      </c>
      <c r="AB6782" s="79" t="str">
        <f>IF(AND(OR(LEFT(TH!N6782,2)="15",LEFT(TH!O6782,2)="15"),LEFT(TH!O6782,3)&lt;&gt;"111",'152-CT'!$J$8=TH!F6782),"x","")</f>
        <v/>
      </c>
      <c r="AC6782" s="79" t="str">
        <f>IF(AND(OR(LEFT(TH!N6782,2)="15",LEFT(TH!O6782,2)="15"),TK!$E$7=TH!F6782),"x","")</f>
        <v/>
      </c>
      <c r="AD6782" s="79" t="str">
        <f>IF(AND(N6782="1521",MONTH(C6782)='BK-NL'!$M$11),"x","")</f>
        <v/>
      </c>
    </row>
    <row r="6783" spans="1:30" ht="16.5" customHeight="1">
      <c r="A6783" s="318" t="str">
        <f>IF(B6783&lt;&gt;"",IF(AND(B6783='IN-TC'!$S$4,OR(TH!N6783="1111",TH!O6783="1111")),TH!D6783,""),"")</f>
        <v/>
      </c>
      <c r="B6783" s="1163" t="str">
        <f t="shared" si="526"/>
        <v/>
      </c>
      <c r="C6783" s="61"/>
      <c r="D6783" s="61"/>
      <c r="E6783" s="61"/>
      <c r="F6783" s="69"/>
      <c r="G6783" s="64"/>
      <c r="H6783" s="69"/>
      <c r="I6783" s="385"/>
      <c r="J6783" s="392"/>
      <c r="K6783" s="385"/>
      <c r="L6783" s="392"/>
      <c r="M6783" s="62"/>
      <c r="N6783" s="63"/>
      <c r="O6783" s="63"/>
      <c r="P6783" s="79" t="str">
        <f>IF(AND('331-CT'!$E$7=TH!H6783,OR(N6783="331",O6783="331")),"x","")</f>
        <v/>
      </c>
      <c r="Q6783" s="79" t="str">
        <f>IF(AND(B6783='111'!$L$11,OR($N6783=$Q$7,$O6783=$Q$7)),"x","")</f>
        <v/>
      </c>
      <c r="R6783" s="79" t="str">
        <f>IF(AND($N6783=$Q$7,$B6783&lt;'111'!$L$11),"x","")</f>
        <v/>
      </c>
      <c r="S6783" s="79" t="str">
        <f>IF(AND($O6783=$Q$7,$B6783&lt;'111'!$L$11),"x","")</f>
        <v/>
      </c>
      <c r="T6783" s="79" t="str">
        <f>IF(ISERROR(FIND('112'!$M$9,G6783,1)),"",IF((AND(FIND('112'!$M$9,G6783,1)&gt;=1,B6783='112'!$K$9,OR($N6783='112'!$I$6,$O6783='112'!$I$6))),"x",""))</f>
        <v/>
      </c>
      <c r="U6783" s="79" t="str">
        <f>IF(ISERROR(FIND('112'!$M$9,G6783,1)),"",IF((AND(LEFT(G6783,2)=LEFT('112'!$M$9,2),B6783&lt;'112'!$K$9,$N6783='112'!$I$6)),"x",""))</f>
        <v/>
      </c>
      <c r="V6783" s="79" t="str">
        <f>IF(ISERROR(FIND('112'!$M$9,G6783,1)),"",IF((AND(RIGHT(G6783,2)=RIGHT('112'!$M$9,2),B6783&lt;'112'!$K$9,$O6783='112'!$I$6)),"x",""))</f>
        <v/>
      </c>
      <c r="W6783" s="79" t="str">
        <f>IF(AND('341-CT'!$H$9=H6783,OR(LEFT(N6783,3)=$W$7,LEFT(O6783,3)=$W$7)),"x","")</f>
        <v/>
      </c>
      <c r="X6783" s="79" t="str">
        <f>IF(OR(TH!N6783=TH!$X$7,O6783=TH!$X$7),"x","")</f>
        <v/>
      </c>
      <c r="Y6783" s="79" t="str">
        <f>IF(AND(OR(N6783="131",O6783="131"),H6783='131-CT'!$H$9),"x","")</f>
        <v/>
      </c>
      <c r="Z6783" s="79"/>
      <c r="AA6783" s="79" t="str">
        <f>IF(AND(MONTH(E6783)='IN-NX'!$J$5,'IN-NX'!$D$7=D6783),"x","")</f>
        <v/>
      </c>
      <c r="AB6783" s="79" t="str">
        <f>IF(AND(OR(LEFT(TH!N6783,2)="15",LEFT(TH!O6783,2)="15"),LEFT(TH!O6783,3)&lt;&gt;"111",'152-CT'!$J$8=TH!F6783),"x","")</f>
        <v/>
      </c>
      <c r="AC6783" s="79" t="str">
        <f>IF(AND(OR(LEFT(TH!N6783,2)="15",LEFT(TH!O6783,2)="15"),TK!$E$7=TH!F6783),"x","")</f>
        <v/>
      </c>
      <c r="AD6783" s="79" t="str">
        <f>IF(AND(N6783="1521",MONTH(C6783)='BK-NL'!$M$11),"x","")</f>
        <v/>
      </c>
    </row>
    <row r="6784" spans="1:30" ht="16.5" customHeight="1">
      <c r="A6784" s="318" t="str">
        <f>IF(B6784&lt;&gt;"",IF(AND(B6784='IN-TC'!$S$4,OR(TH!N6784="1111",TH!O6784="1111")),TH!D6784,""),"")</f>
        <v/>
      </c>
      <c r="B6784" s="1163" t="str">
        <f t="shared" si="526"/>
        <v/>
      </c>
      <c r="C6784" s="61"/>
      <c r="D6784" s="61"/>
      <c r="E6784" s="61"/>
      <c r="F6784" s="69"/>
      <c r="G6784" s="64"/>
      <c r="H6784" s="69"/>
      <c r="I6784" s="385"/>
      <c r="J6784" s="392"/>
      <c r="K6784" s="385"/>
      <c r="L6784" s="392"/>
      <c r="M6784" s="62"/>
      <c r="N6784" s="63"/>
      <c r="O6784" s="63"/>
      <c r="P6784" s="79" t="str">
        <f>IF(AND('331-CT'!$E$7=TH!H6784,OR(N6784="331",O6784="331")),"x","")</f>
        <v/>
      </c>
      <c r="Q6784" s="79" t="str">
        <f>IF(AND(B6784='111'!$L$11,OR($N6784=$Q$7,$O6784=$Q$7)),"x","")</f>
        <v/>
      </c>
      <c r="R6784" s="79" t="str">
        <f>IF(AND($N6784=$Q$7,$B6784&lt;'111'!$L$11),"x","")</f>
        <v/>
      </c>
      <c r="S6784" s="79" t="str">
        <f>IF(AND($O6784=$Q$7,$B6784&lt;'111'!$L$11),"x","")</f>
        <v/>
      </c>
      <c r="T6784" s="79" t="str">
        <f>IF(ISERROR(FIND('112'!$M$9,G6784,1)),"",IF((AND(FIND('112'!$M$9,G6784,1)&gt;=1,B6784='112'!$K$9,OR($N6784='112'!$I$6,$O6784='112'!$I$6))),"x",""))</f>
        <v/>
      </c>
      <c r="U6784" s="79" t="str">
        <f>IF(ISERROR(FIND('112'!$M$9,G6784,1)),"",IF((AND(LEFT(G6784,2)=LEFT('112'!$M$9,2),B6784&lt;'112'!$K$9,$N6784='112'!$I$6)),"x",""))</f>
        <v/>
      </c>
      <c r="V6784" s="79" t="str">
        <f>IF(ISERROR(FIND('112'!$M$9,G6784,1)),"",IF((AND(RIGHT(G6784,2)=RIGHT('112'!$M$9,2),B6784&lt;'112'!$K$9,$O6784='112'!$I$6)),"x",""))</f>
        <v/>
      </c>
      <c r="W6784" s="79" t="str">
        <f>IF(AND('341-CT'!$H$9=H6784,OR(LEFT(N6784,3)=$W$7,LEFT(O6784,3)=$W$7)),"x","")</f>
        <v/>
      </c>
      <c r="X6784" s="79" t="str">
        <f>IF(OR(TH!N6784=TH!$X$7,O6784=TH!$X$7),"x","")</f>
        <v/>
      </c>
      <c r="Y6784" s="79" t="str">
        <f>IF(AND(OR(N6784="131",O6784="131"),H6784='131-CT'!$H$9),"x","")</f>
        <v/>
      </c>
      <c r="Z6784" s="79"/>
      <c r="AA6784" s="79" t="str">
        <f>IF(AND(MONTH(E6784)='IN-NX'!$J$5,'IN-NX'!$D$7=D6784),"x","")</f>
        <v/>
      </c>
      <c r="AB6784" s="79" t="str">
        <f>IF(AND(OR(LEFT(TH!N6784,2)="15",LEFT(TH!O6784,2)="15"),LEFT(TH!O6784,3)&lt;&gt;"111",'152-CT'!$J$8=TH!F6784),"x","")</f>
        <v/>
      </c>
      <c r="AC6784" s="79" t="str">
        <f>IF(AND(OR(LEFT(TH!N6784,2)="15",LEFT(TH!O6784,2)="15"),TK!$E$7=TH!F6784),"x","")</f>
        <v/>
      </c>
      <c r="AD6784" s="79" t="str">
        <f>IF(AND(N6784="1521",MONTH(C6784)='BK-NL'!$M$11),"x","")</f>
        <v/>
      </c>
    </row>
    <row r="6785" spans="1:30" ht="16.5" customHeight="1">
      <c r="A6785" s="318" t="str">
        <f>IF(B6785&lt;&gt;"",IF(AND(B6785='IN-TC'!$S$4,OR(TH!N6785="1111",TH!O6785="1111")),TH!D6785,""),"")</f>
        <v/>
      </c>
      <c r="B6785" s="1163" t="str">
        <f t="shared" si="526"/>
        <v/>
      </c>
      <c r="C6785" s="61"/>
      <c r="D6785" s="61"/>
      <c r="E6785" s="61"/>
      <c r="F6785" s="69"/>
      <c r="G6785" s="64"/>
      <c r="H6785" s="69"/>
      <c r="I6785" s="385"/>
      <c r="J6785" s="392"/>
      <c r="K6785" s="385"/>
      <c r="L6785" s="392"/>
      <c r="M6785" s="62"/>
      <c r="N6785" s="63"/>
      <c r="O6785" s="63"/>
      <c r="P6785" s="79" t="str">
        <f>IF(AND('331-CT'!$E$7=TH!H6785,OR(N6785="331",O6785="331")),"x","")</f>
        <v/>
      </c>
      <c r="Q6785" s="79" t="str">
        <f>IF(AND(B6785='111'!$L$11,OR($N6785=$Q$7,$O6785=$Q$7)),"x","")</f>
        <v/>
      </c>
      <c r="R6785" s="79" t="str">
        <f>IF(AND($N6785=$Q$7,$B6785&lt;'111'!$L$11),"x","")</f>
        <v/>
      </c>
      <c r="S6785" s="79" t="str">
        <f>IF(AND($O6785=$Q$7,$B6785&lt;'111'!$L$11),"x","")</f>
        <v/>
      </c>
      <c r="T6785" s="79" t="str">
        <f>IF(ISERROR(FIND('112'!$M$9,G6785,1)),"",IF((AND(FIND('112'!$M$9,G6785,1)&gt;=1,B6785='112'!$K$9,OR($N6785='112'!$I$6,$O6785='112'!$I$6))),"x",""))</f>
        <v/>
      </c>
      <c r="U6785" s="79" t="str">
        <f>IF(ISERROR(FIND('112'!$M$9,G6785,1)),"",IF((AND(LEFT(G6785,2)=LEFT('112'!$M$9,2),B6785&lt;'112'!$K$9,$N6785='112'!$I$6)),"x",""))</f>
        <v/>
      </c>
      <c r="V6785" s="79" t="str">
        <f>IF(ISERROR(FIND('112'!$M$9,G6785,1)),"",IF((AND(RIGHT(G6785,2)=RIGHT('112'!$M$9,2),B6785&lt;'112'!$K$9,$O6785='112'!$I$6)),"x",""))</f>
        <v/>
      </c>
      <c r="W6785" s="79" t="str">
        <f>IF(AND('341-CT'!$H$9=H6785,OR(LEFT(N6785,3)=$W$7,LEFT(O6785,3)=$W$7)),"x","")</f>
        <v/>
      </c>
      <c r="X6785" s="79" t="str">
        <f>IF(OR(TH!N6785=TH!$X$7,O6785=TH!$X$7),"x","")</f>
        <v/>
      </c>
      <c r="Y6785" s="79" t="str">
        <f>IF(AND(OR(N6785="131",O6785="131"),H6785='131-CT'!$H$9),"x","")</f>
        <v/>
      </c>
      <c r="Z6785" s="79"/>
      <c r="AA6785" s="79" t="str">
        <f>IF(AND(MONTH(E6785)='IN-NX'!$J$5,'IN-NX'!$D$7=D6785),"x","")</f>
        <v/>
      </c>
      <c r="AB6785" s="79" t="str">
        <f>IF(AND(OR(LEFT(TH!N6785,2)="15",LEFT(TH!O6785,2)="15"),LEFT(TH!O6785,3)&lt;&gt;"111",'152-CT'!$J$8=TH!F6785),"x","")</f>
        <v/>
      </c>
      <c r="AC6785" s="79" t="str">
        <f>IF(AND(OR(LEFT(TH!N6785,2)="15",LEFT(TH!O6785,2)="15"),TK!$E$7=TH!F6785),"x","")</f>
        <v/>
      </c>
      <c r="AD6785" s="79" t="str">
        <f>IF(AND(N6785="1521",MONTH(C6785)='BK-NL'!$M$11),"x","")</f>
        <v/>
      </c>
    </row>
    <row r="6786" spans="1:30" ht="16.5" customHeight="1">
      <c r="A6786" s="318" t="str">
        <f>IF(B6786&lt;&gt;"",IF(AND(B6786='IN-TC'!$S$4,OR(TH!N6786="1111",TH!O6786="1111")),TH!D6786,""),"")</f>
        <v/>
      </c>
      <c r="B6786" s="1163" t="str">
        <f t="shared" si="526"/>
        <v/>
      </c>
      <c r="C6786" s="61"/>
      <c r="D6786" s="61"/>
      <c r="E6786" s="61"/>
      <c r="F6786" s="69"/>
      <c r="G6786" s="64"/>
      <c r="H6786" s="69"/>
      <c r="I6786" s="385"/>
      <c r="J6786" s="392"/>
      <c r="K6786" s="385"/>
      <c r="L6786" s="392"/>
      <c r="M6786" s="62"/>
      <c r="N6786" s="63"/>
      <c r="O6786" s="63"/>
      <c r="P6786" s="79" t="str">
        <f>IF(AND('331-CT'!$E$7=TH!H6786,OR(N6786="331",O6786="331")),"x","")</f>
        <v/>
      </c>
      <c r="Q6786" s="79" t="str">
        <f>IF(AND(B6786='111'!$L$11,OR($N6786=$Q$7,$O6786=$Q$7)),"x","")</f>
        <v/>
      </c>
      <c r="R6786" s="79" t="str">
        <f>IF(AND($N6786=$Q$7,$B6786&lt;'111'!$L$11),"x","")</f>
        <v/>
      </c>
      <c r="S6786" s="79" t="str">
        <f>IF(AND($O6786=$Q$7,$B6786&lt;'111'!$L$11),"x","")</f>
        <v/>
      </c>
      <c r="T6786" s="79" t="str">
        <f>IF(ISERROR(FIND('112'!$M$9,G6786,1)),"",IF((AND(FIND('112'!$M$9,G6786,1)&gt;=1,B6786='112'!$K$9,OR($N6786='112'!$I$6,$O6786='112'!$I$6))),"x",""))</f>
        <v/>
      </c>
      <c r="U6786" s="79" t="str">
        <f>IF(ISERROR(FIND('112'!$M$9,G6786,1)),"",IF((AND(LEFT(G6786,2)=LEFT('112'!$M$9,2),B6786&lt;'112'!$K$9,$N6786='112'!$I$6)),"x",""))</f>
        <v/>
      </c>
      <c r="V6786" s="79" t="str">
        <f>IF(ISERROR(FIND('112'!$M$9,G6786,1)),"",IF((AND(RIGHT(G6786,2)=RIGHT('112'!$M$9,2),B6786&lt;'112'!$K$9,$O6786='112'!$I$6)),"x",""))</f>
        <v/>
      </c>
      <c r="W6786" s="79" t="str">
        <f>IF(AND('341-CT'!$H$9=H6786,OR(LEFT(N6786,3)=$W$7,LEFT(O6786,3)=$W$7)),"x","")</f>
        <v/>
      </c>
      <c r="X6786" s="79" t="str">
        <f>IF(OR(TH!N6786=TH!$X$7,O6786=TH!$X$7),"x","")</f>
        <v/>
      </c>
      <c r="Y6786" s="79" t="str">
        <f>IF(AND(OR(N6786="131",O6786="131"),H6786='131-CT'!$H$9),"x","")</f>
        <v/>
      </c>
      <c r="Z6786" s="79"/>
      <c r="AA6786" s="79" t="str">
        <f>IF(AND(MONTH(E6786)='IN-NX'!$J$5,'IN-NX'!$D$7=D6786),"x","")</f>
        <v/>
      </c>
      <c r="AB6786" s="79" t="str">
        <f>IF(AND(OR(LEFT(TH!N6786,2)="15",LEFT(TH!O6786,2)="15"),LEFT(TH!O6786,3)&lt;&gt;"111",'152-CT'!$J$8=TH!F6786),"x","")</f>
        <v/>
      </c>
      <c r="AC6786" s="79" t="str">
        <f>IF(AND(OR(LEFT(TH!N6786,2)="15",LEFT(TH!O6786,2)="15"),TK!$E$7=TH!F6786),"x","")</f>
        <v/>
      </c>
      <c r="AD6786" s="79" t="str">
        <f>IF(AND(N6786="1521",MONTH(C6786)='BK-NL'!$M$11),"x","")</f>
        <v/>
      </c>
    </row>
    <row r="6787" spans="1:30" ht="16.5" customHeight="1">
      <c r="A6787" s="318" t="str">
        <f>IF(B6787&lt;&gt;"",IF(AND(B6787='IN-TC'!$S$4,OR(TH!N6787="1111",TH!O6787="1111")),TH!D6787,""),"")</f>
        <v/>
      </c>
      <c r="B6787" s="1163" t="str">
        <f t="shared" ref="B6787:B6850" si="527">IF(C6787&lt;&gt;"",MONTH(C6787),"")</f>
        <v/>
      </c>
      <c r="C6787" s="61"/>
      <c r="D6787" s="61"/>
      <c r="E6787" s="61"/>
      <c r="F6787" s="446"/>
      <c r="G6787" s="64"/>
      <c r="H6787" s="69"/>
      <c r="I6787" s="385"/>
      <c r="J6787" s="392"/>
      <c r="K6787" s="385"/>
      <c r="L6787" s="392"/>
      <c r="M6787" s="62"/>
      <c r="N6787" s="63"/>
      <c r="O6787" s="63"/>
      <c r="P6787" s="79" t="str">
        <f>IF(AND('331-CT'!$E$7=TH!H6787,OR(N6787="331",O6787="331")),"x","")</f>
        <v/>
      </c>
      <c r="Q6787" s="79" t="str">
        <f>IF(AND(B6787='111'!$L$11,OR($N6787=$Q$7,$O6787=$Q$7)),"x","")</f>
        <v/>
      </c>
      <c r="R6787" s="79" t="str">
        <f>IF(AND($N6787=$Q$7,$B6787&lt;'111'!$L$11),"x","")</f>
        <v/>
      </c>
      <c r="S6787" s="79" t="str">
        <f>IF(AND($O6787=$Q$7,$B6787&lt;'111'!$L$11),"x","")</f>
        <v/>
      </c>
      <c r="T6787" s="79" t="str">
        <f>IF(ISERROR(FIND('112'!$M$9,G6787,1)),"",IF((AND(FIND('112'!$M$9,G6787,1)&gt;=1,B6787='112'!$K$9,OR($N6787='112'!$I$6,$O6787='112'!$I$6))),"x",""))</f>
        <v/>
      </c>
      <c r="U6787" s="79" t="str">
        <f>IF(ISERROR(FIND('112'!$M$9,G6787,1)),"",IF((AND(LEFT(G6787,2)=LEFT('112'!$M$9,2),B6787&lt;'112'!$K$9,$N6787='112'!$I$6)),"x",""))</f>
        <v/>
      </c>
      <c r="V6787" s="79" t="str">
        <f>IF(ISERROR(FIND('112'!$M$9,G6787,1)),"",IF((AND(RIGHT(G6787,2)=RIGHT('112'!$M$9,2),B6787&lt;'112'!$K$9,$O6787='112'!$I$6)),"x",""))</f>
        <v/>
      </c>
      <c r="W6787" s="79" t="str">
        <f>IF(AND('341-CT'!$H$9=H6787,OR(LEFT(N6787,3)=$W$7,LEFT(O6787,3)=$W$7)),"x","")</f>
        <v/>
      </c>
      <c r="X6787" s="79" t="str">
        <f>IF(OR(TH!N6787=TH!$X$7,O6787=TH!$X$7),"x","")</f>
        <v/>
      </c>
      <c r="Y6787" s="79" t="str">
        <f>IF(AND(OR(N6787="131",O6787="131"),H6787='131-CT'!$H$9),"x","")</f>
        <v/>
      </c>
      <c r="Z6787" s="79"/>
      <c r="AA6787" s="79" t="str">
        <f>IF(AND(MONTH(E6787)='IN-NX'!$J$5,'IN-NX'!$D$7=D6787),"x","")</f>
        <v/>
      </c>
      <c r="AB6787" s="79" t="str">
        <f>IF(AND(OR(LEFT(TH!N6787,2)="15",LEFT(TH!O6787,2)="15"),LEFT(TH!O6787,3)&lt;&gt;"111",'152-CT'!$J$8=TH!F6787),"x","")</f>
        <v/>
      </c>
      <c r="AC6787" s="79" t="str">
        <f>IF(AND(OR(LEFT(TH!N6787,2)="15",LEFT(TH!O6787,2)="15"),TK!$E$7=TH!F6787),"x","")</f>
        <v/>
      </c>
      <c r="AD6787" s="79" t="str">
        <f>IF(AND(N6787="1521",MONTH(C6787)='BK-NL'!$M$11),"x","")</f>
        <v/>
      </c>
    </row>
    <row r="6788" spans="1:30" ht="16.5" customHeight="1">
      <c r="A6788" s="318" t="str">
        <f>IF(B6788&lt;&gt;"",IF(AND(B6788='IN-TC'!$S$4,OR(TH!N6788="1111",TH!O6788="1111")),TH!D6788,""),"")</f>
        <v/>
      </c>
      <c r="B6788" s="1163" t="str">
        <f t="shared" si="527"/>
        <v/>
      </c>
      <c r="C6788" s="61"/>
      <c r="D6788" s="61"/>
      <c r="E6788" s="61"/>
      <c r="F6788" s="69"/>
      <c r="G6788" s="766"/>
      <c r="H6788" s="69"/>
      <c r="I6788" s="385"/>
      <c r="J6788" s="392"/>
      <c r="K6788" s="385"/>
      <c r="L6788" s="392"/>
      <c r="M6788" s="62"/>
      <c r="N6788" s="63"/>
      <c r="O6788" s="63"/>
      <c r="P6788" s="79" t="str">
        <f>IF(AND('331-CT'!$E$7=TH!H6788,OR(N6788="331",O6788="331")),"x","")</f>
        <v/>
      </c>
      <c r="Q6788" s="79" t="str">
        <f>IF(AND(B6788='111'!$L$11,OR($N6788=$Q$7,$O6788=$Q$7)),"x","")</f>
        <v/>
      </c>
      <c r="R6788" s="79" t="str">
        <f>IF(AND($N6788=$Q$7,$B6788&lt;'111'!$L$11),"x","")</f>
        <v/>
      </c>
      <c r="S6788" s="79" t="str">
        <f>IF(AND($O6788=$Q$7,$B6788&lt;'111'!$L$11),"x","")</f>
        <v/>
      </c>
      <c r="T6788" s="79" t="str">
        <f>IF(ISERROR(FIND('112'!$M$9,G6788,1)),"",IF((AND(FIND('112'!$M$9,G6788,1)&gt;=1,B6788='112'!$K$9,OR($N6788='112'!$I$6,$O6788='112'!$I$6))),"x",""))</f>
        <v/>
      </c>
      <c r="U6788" s="79" t="str">
        <f>IF(ISERROR(FIND('112'!$M$9,G6788,1)),"",IF((AND(LEFT(G6788,2)=LEFT('112'!$M$9,2),B6788&lt;'112'!$K$9,$N6788='112'!$I$6)),"x",""))</f>
        <v/>
      </c>
      <c r="V6788" s="79" t="str">
        <f>IF(ISERROR(FIND('112'!$M$9,G6788,1)),"",IF((AND(RIGHT(G6788,2)=RIGHT('112'!$M$9,2),B6788&lt;'112'!$K$9,$O6788='112'!$I$6)),"x",""))</f>
        <v/>
      </c>
      <c r="W6788" s="79" t="str">
        <f>IF(AND('341-CT'!$H$9=H6788,OR(LEFT(N6788,3)=$W$7,LEFT(O6788,3)=$W$7)),"x","")</f>
        <v/>
      </c>
      <c r="X6788" s="79" t="str">
        <f>IF(OR(TH!N6788=TH!$X$7,O6788=TH!$X$7),"x","")</f>
        <v/>
      </c>
      <c r="Y6788" s="79" t="str">
        <f>IF(AND(OR(N6788="131",O6788="131"),H6788='131-CT'!$H$9),"x","")</f>
        <v/>
      </c>
      <c r="Z6788" s="79"/>
      <c r="AA6788" s="79" t="str">
        <f>IF(AND(MONTH(E6788)='IN-NX'!$J$5,'IN-NX'!$D$7=D6788),"x","")</f>
        <v/>
      </c>
      <c r="AB6788" s="79" t="str">
        <f>IF(AND(OR(LEFT(TH!N6788,2)="15",LEFT(TH!O6788,2)="15"),LEFT(TH!O6788,3)&lt;&gt;"111",'152-CT'!$J$8=TH!F6788),"x","")</f>
        <v/>
      </c>
      <c r="AC6788" s="79" t="str">
        <f>IF(AND(OR(LEFT(TH!N6788,2)="15",LEFT(TH!O6788,2)="15"),TK!$E$7=TH!F6788),"x","")</f>
        <v/>
      </c>
      <c r="AD6788" s="79" t="str">
        <f>IF(AND(N6788="1521",MONTH(C6788)='BK-NL'!$M$11),"x","")</f>
        <v/>
      </c>
    </row>
    <row r="6789" spans="1:30" ht="16.5" customHeight="1">
      <c r="A6789" s="318" t="str">
        <f>IF(B6789&lt;&gt;"",IF(AND(B6789='IN-TC'!$S$4,OR(TH!N6789="1111",TH!O6789="1111")),TH!D6789,""),"")</f>
        <v/>
      </c>
      <c r="B6789" s="1163" t="str">
        <f t="shared" si="527"/>
        <v/>
      </c>
      <c r="C6789" s="61"/>
      <c r="D6789" s="61"/>
      <c r="E6789" s="61"/>
      <c r="F6789" s="69"/>
      <c r="G6789" s="766"/>
      <c r="H6789" s="69"/>
      <c r="I6789" s="385"/>
      <c r="J6789" s="392"/>
      <c r="K6789" s="385"/>
      <c r="L6789" s="392"/>
      <c r="M6789" s="62"/>
      <c r="N6789" s="63"/>
      <c r="O6789" s="63"/>
      <c r="P6789" s="79" t="str">
        <f>IF(AND('331-CT'!$E$7=TH!H6789,OR(N6789="331",O6789="331")),"x","")</f>
        <v/>
      </c>
      <c r="Q6789" s="79" t="str">
        <f>IF(AND(B6789='111'!$L$11,OR($N6789=$Q$7,$O6789=$Q$7)),"x","")</f>
        <v/>
      </c>
      <c r="R6789" s="79" t="str">
        <f>IF(AND($N6789=$Q$7,$B6789&lt;'111'!$L$11),"x","")</f>
        <v/>
      </c>
      <c r="S6789" s="79" t="str">
        <f>IF(AND($O6789=$Q$7,$B6789&lt;'111'!$L$11),"x","")</f>
        <v/>
      </c>
      <c r="T6789" s="79" t="str">
        <f>IF(ISERROR(FIND('112'!$M$9,G6789,1)),"",IF((AND(FIND('112'!$M$9,G6789,1)&gt;=1,B6789='112'!$K$9,OR($N6789='112'!$I$6,$O6789='112'!$I$6))),"x",""))</f>
        <v/>
      </c>
      <c r="U6789" s="79" t="str">
        <f>IF(ISERROR(FIND('112'!$M$9,G6789,1)),"",IF((AND(LEFT(G6789,2)=LEFT('112'!$M$9,2),B6789&lt;'112'!$K$9,$N6789='112'!$I$6)),"x",""))</f>
        <v/>
      </c>
      <c r="V6789" s="79" t="str">
        <f>IF(ISERROR(FIND('112'!$M$9,G6789,1)),"",IF((AND(RIGHT(G6789,2)=RIGHT('112'!$M$9,2),B6789&lt;'112'!$K$9,$O6789='112'!$I$6)),"x",""))</f>
        <v/>
      </c>
      <c r="W6789" s="79" t="str">
        <f>IF(AND('341-CT'!$H$9=H6789,OR(LEFT(N6789,3)=$W$7,LEFT(O6789,3)=$W$7)),"x","")</f>
        <v/>
      </c>
      <c r="X6789" s="79" t="str">
        <f>IF(OR(TH!N6789=TH!$X$7,O6789=TH!$X$7),"x","")</f>
        <v/>
      </c>
      <c r="Y6789" s="79" t="str">
        <f>IF(AND(OR(N6789="131",O6789="131"),H6789='131-CT'!$H$9),"x","")</f>
        <v/>
      </c>
      <c r="Z6789" s="79"/>
      <c r="AA6789" s="79" t="str">
        <f>IF(AND(MONTH(E6789)='IN-NX'!$J$5,'IN-NX'!$D$7=D6789),"x","")</f>
        <v/>
      </c>
      <c r="AB6789" s="79" t="str">
        <f>IF(AND(OR(LEFT(TH!N6789,2)="15",LEFT(TH!O6789,2)="15"),LEFT(TH!O6789,3)&lt;&gt;"111",'152-CT'!$J$8=TH!F6789),"x","")</f>
        <v/>
      </c>
      <c r="AC6789" s="79" t="str">
        <f>IF(AND(OR(LEFT(TH!N6789,2)="15",LEFT(TH!O6789,2)="15"),TK!$E$7=TH!F6789),"x","")</f>
        <v/>
      </c>
      <c r="AD6789" s="79" t="str">
        <f>IF(AND(N6789="1521",MONTH(C6789)='BK-NL'!$M$11),"x","")</f>
        <v/>
      </c>
    </row>
    <row r="6790" spans="1:30" ht="16.5" customHeight="1">
      <c r="A6790" s="318" t="str">
        <f>IF(B6790&lt;&gt;"",IF(AND(B6790='IN-TC'!$S$4,OR(TH!N6790="1111",TH!O6790="1111")),TH!D6790,""),"")</f>
        <v/>
      </c>
      <c r="B6790" s="1163" t="str">
        <f t="shared" si="527"/>
        <v/>
      </c>
      <c r="C6790" s="61"/>
      <c r="D6790" s="61"/>
      <c r="E6790" s="61"/>
      <c r="F6790" s="69"/>
      <c r="G6790" s="766"/>
      <c r="H6790" s="69"/>
      <c r="I6790" s="385"/>
      <c r="J6790" s="392"/>
      <c r="K6790" s="385"/>
      <c r="L6790" s="392"/>
      <c r="M6790" s="62"/>
      <c r="N6790" s="63"/>
      <c r="O6790" s="63"/>
      <c r="P6790" s="79" t="str">
        <f>IF(AND('331-CT'!$E$7=TH!H6790,OR(N6790="331",O6790="331")),"x","")</f>
        <v/>
      </c>
      <c r="Q6790" s="79" t="str">
        <f>IF(AND(B6790='111'!$L$11,OR($N6790=$Q$7,$O6790=$Q$7)),"x","")</f>
        <v/>
      </c>
      <c r="R6790" s="79" t="str">
        <f>IF(AND($N6790=$Q$7,$B6790&lt;'111'!$L$11),"x","")</f>
        <v/>
      </c>
      <c r="S6790" s="79" t="str">
        <f>IF(AND($O6790=$Q$7,$B6790&lt;'111'!$L$11),"x","")</f>
        <v/>
      </c>
      <c r="T6790" s="79" t="str">
        <f>IF(ISERROR(FIND('112'!$M$9,G6790,1)),"",IF((AND(FIND('112'!$M$9,G6790,1)&gt;=1,B6790='112'!$K$9,OR($N6790='112'!$I$6,$O6790='112'!$I$6))),"x",""))</f>
        <v/>
      </c>
      <c r="U6790" s="79" t="str">
        <f>IF(ISERROR(FIND('112'!$M$9,G6790,1)),"",IF((AND(LEFT(G6790,2)=LEFT('112'!$M$9,2),B6790&lt;'112'!$K$9,$N6790='112'!$I$6)),"x",""))</f>
        <v/>
      </c>
      <c r="V6790" s="79" t="str">
        <f>IF(ISERROR(FIND('112'!$M$9,G6790,1)),"",IF((AND(RIGHT(G6790,2)=RIGHT('112'!$M$9,2),B6790&lt;'112'!$K$9,$O6790='112'!$I$6)),"x",""))</f>
        <v/>
      </c>
      <c r="W6790" s="79" t="str">
        <f>IF(AND('341-CT'!$H$9=H6790,OR(LEFT(N6790,3)=$W$7,LEFT(O6790,3)=$W$7)),"x","")</f>
        <v/>
      </c>
      <c r="X6790" s="79" t="str">
        <f>IF(OR(TH!N6790=TH!$X$7,O6790=TH!$X$7),"x","")</f>
        <v/>
      </c>
      <c r="Y6790" s="79" t="str">
        <f>IF(AND(OR(N6790="131",O6790="131"),H6790='131-CT'!$H$9),"x","")</f>
        <v/>
      </c>
      <c r="Z6790" s="79"/>
      <c r="AA6790" s="79" t="str">
        <f>IF(AND(MONTH(E6790)='IN-NX'!$J$5,'IN-NX'!$D$7=D6790),"x","")</f>
        <v/>
      </c>
      <c r="AB6790" s="79" t="str">
        <f>IF(AND(OR(LEFT(TH!N6790,2)="15",LEFT(TH!O6790,2)="15"),LEFT(TH!O6790,3)&lt;&gt;"111",'152-CT'!$J$8=TH!F6790),"x","")</f>
        <v/>
      </c>
      <c r="AC6790" s="79" t="str">
        <f>IF(AND(OR(LEFT(TH!N6790,2)="15",LEFT(TH!O6790,2)="15"),TK!$E$7=TH!F6790),"x","")</f>
        <v/>
      </c>
      <c r="AD6790" s="79" t="str">
        <f>IF(AND(N6790="1521",MONTH(C6790)='BK-NL'!$M$11),"x","")</f>
        <v/>
      </c>
    </row>
    <row r="6791" spans="1:30" ht="16.5" customHeight="1">
      <c r="A6791" s="318" t="str">
        <f>IF(B6791&lt;&gt;"",IF(AND(B6791='IN-TC'!$S$4,OR(TH!N6791="1111",TH!O6791="1111")),TH!D6791,""),"")</f>
        <v/>
      </c>
      <c r="B6791" s="1163" t="str">
        <f t="shared" si="527"/>
        <v/>
      </c>
      <c r="C6791" s="61"/>
      <c r="D6791" s="61"/>
      <c r="E6791" s="61"/>
      <c r="F6791" s="69"/>
      <c r="G6791" s="766"/>
      <c r="H6791" s="69"/>
      <c r="I6791" s="385"/>
      <c r="J6791" s="392"/>
      <c r="K6791" s="385"/>
      <c r="L6791" s="392"/>
      <c r="M6791" s="62"/>
      <c r="N6791" s="63"/>
      <c r="O6791" s="63"/>
      <c r="P6791" s="79" t="str">
        <f>IF(AND('331-CT'!$E$7=TH!H6791,OR(N6791="331",O6791="331")),"x","")</f>
        <v/>
      </c>
      <c r="Q6791" s="79" t="str">
        <f>IF(AND(B6791='111'!$L$11,OR($N6791=$Q$7,$O6791=$Q$7)),"x","")</f>
        <v/>
      </c>
      <c r="R6791" s="79" t="str">
        <f>IF(AND($N6791=$Q$7,$B6791&lt;'111'!$L$11),"x","")</f>
        <v/>
      </c>
      <c r="S6791" s="79" t="str">
        <f>IF(AND($O6791=$Q$7,$B6791&lt;'111'!$L$11),"x","")</f>
        <v/>
      </c>
      <c r="T6791" s="79" t="str">
        <f>IF(ISERROR(FIND('112'!$M$9,G6791,1)),"",IF((AND(FIND('112'!$M$9,G6791,1)&gt;=1,B6791='112'!$K$9,OR($N6791='112'!$I$6,$O6791='112'!$I$6))),"x",""))</f>
        <v/>
      </c>
      <c r="U6791" s="79" t="str">
        <f>IF(ISERROR(FIND('112'!$M$9,G6791,1)),"",IF((AND(LEFT(G6791,2)=LEFT('112'!$M$9,2),B6791&lt;'112'!$K$9,$N6791='112'!$I$6)),"x",""))</f>
        <v/>
      </c>
      <c r="V6791" s="79" t="str">
        <f>IF(ISERROR(FIND('112'!$M$9,G6791,1)),"",IF((AND(RIGHT(G6791,2)=RIGHT('112'!$M$9,2),B6791&lt;'112'!$K$9,$O6791='112'!$I$6)),"x",""))</f>
        <v/>
      </c>
      <c r="W6791" s="79" t="str">
        <f>IF(AND('341-CT'!$H$9=H6791,OR(LEFT(N6791,3)=$W$7,LEFT(O6791,3)=$W$7)),"x","")</f>
        <v/>
      </c>
      <c r="X6791" s="79" t="str">
        <f>IF(OR(TH!N6791=TH!$X$7,O6791=TH!$X$7),"x","")</f>
        <v/>
      </c>
      <c r="Y6791" s="79" t="str">
        <f>IF(AND(OR(N6791="131",O6791="131"),H6791='131-CT'!$H$9),"x","")</f>
        <v/>
      </c>
      <c r="Z6791" s="79"/>
      <c r="AA6791" s="79" t="str">
        <f>IF(AND(MONTH(E6791)='IN-NX'!$J$5,'IN-NX'!$D$7=D6791),"x","")</f>
        <v/>
      </c>
      <c r="AB6791" s="79" t="str">
        <f>IF(AND(OR(LEFT(TH!N6791,2)="15",LEFT(TH!O6791,2)="15"),LEFT(TH!O6791,3)&lt;&gt;"111",'152-CT'!$J$8=TH!F6791),"x","")</f>
        <v/>
      </c>
      <c r="AC6791" s="79" t="str">
        <f>IF(AND(OR(LEFT(TH!N6791,2)="15",LEFT(TH!O6791,2)="15"),TK!$E$7=TH!F6791),"x","")</f>
        <v/>
      </c>
      <c r="AD6791" s="79" t="str">
        <f>IF(AND(N6791="1521",MONTH(C6791)='BK-NL'!$M$11),"x","")</f>
        <v/>
      </c>
    </row>
    <row r="6792" spans="1:30" ht="16.5" customHeight="1">
      <c r="A6792" s="318" t="str">
        <f>IF(B6792&lt;&gt;"",IF(AND(B6792='IN-TC'!$S$4,OR(TH!N6792="1111",TH!O6792="1111")),TH!D6792,""),"")</f>
        <v/>
      </c>
      <c r="B6792" s="1163" t="str">
        <f t="shared" si="527"/>
        <v/>
      </c>
      <c r="C6792" s="61"/>
      <c r="D6792" s="61"/>
      <c r="E6792" s="61"/>
      <c r="F6792" s="69"/>
      <c r="G6792" s="766"/>
      <c r="H6792" s="69"/>
      <c r="I6792" s="385"/>
      <c r="J6792" s="392"/>
      <c r="K6792" s="385"/>
      <c r="L6792" s="392"/>
      <c r="M6792" s="62"/>
      <c r="N6792" s="63"/>
      <c r="O6792" s="63"/>
      <c r="P6792" s="79" t="str">
        <f>IF(AND('331-CT'!$E$7=TH!H6792,OR(N6792="331",O6792="331")),"x","")</f>
        <v/>
      </c>
      <c r="Q6792" s="79" t="str">
        <f>IF(AND(B6792='111'!$L$11,OR($N6792=$Q$7,$O6792=$Q$7)),"x","")</f>
        <v/>
      </c>
      <c r="R6792" s="79" t="str">
        <f>IF(AND($N6792=$Q$7,$B6792&lt;'111'!$L$11),"x","")</f>
        <v/>
      </c>
      <c r="S6792" s="79" t="str">
        <f>IF(AND($O6792=$Q$7,$B6792&lt;'111'!$L$11),"x","")</f>
        <v/>
      </c>
      <c r="T6792" s="79" t="str">
        <f>IF(ISERROR(FIND('112'!$M$9,G6792,1)),"",IF((AND(FIND('112'!$M$9,G6792,1)&gt;=1,B6792='112'!$K$9,OR($N6792='112'!$I$6,$O6792='112'!$I$6))),"x",""))</f>
        <v/>
      </c>
      <c r="U6792" s="79" t="str">
        <f>IF(ISERROR(FIND('112'!$M$9,G6792,1)),"",IF((AND(LEFT(G6792,2)=LEFT('112'!$M$9,2),B6792&lt;'112'!$K$9,$N6792='112'!$I$6)),"x",""))</f>
        <v/>
      </c>
      <c r="V6792" s="79" t="str">
        <f>IF(ISERROR(FIND('112'!$M$9,G6792,1)),"",IF((AND(RIGHT(G6792,2)=RIGHT('112'!$M$9,2),B6792&lt;'112'!$K$9,$O6792='112'!$I$6)),"x",""))</f>
        <v/>
      </c>
      <c r="W6792" s="79" t="str">
        <f>IF(AND('341-CT'!$H$9=H6792,OR(LEFT(N6792,3)=$W$7,LEFT(O6792,3)=$W$7)),"x","")</f>
        <v/>
      </c>
      <c r="X6792" s="79" t="str">
        <f>IF(OR(TH!N6792=TH!$X$7,O6792=TH!$X$7),"x","")</f>
        <v/>
      </c>
      <c r="Y6792" s="79" t="str">
        <f>IF(AND(OR(N6792="131",O6792="131"),H6792='131-CT'!$H$9),"x","")</f>
        <v/>
      </c>
      <c r="Z6792" s="79"/>
      <c r="AA6792" s="79" t="str">
        <f>IF(AND(MONTH(E6792)='IN-NX'!$J$5,'IN-NX'!$D$7=D6792),"x","")</f>
        <v/>
      </c>
      <c r="AB6792" s="79" t="str">
        <f>IF(AND(OR(LEFT(TH!N6792,2)="15",LEFT(TH!O6792,2)="15"),LEFT(TH!O6792,3)&lt;&gt;"111",'152-CT'!$J$8=TH!F6792),"x","")</f>
        <v/>
      </c>
      <c r="AC6792" s="79" t="str">
        <f>IF(AND(OR(LEFT(TH!N6792,2)="15",LEFT(TH!O6792,2)="15"),TK!$E$7=TH!F6792),"x","")</f>
        <v/>
      </c>
      <c r="AD6792" s="79" t="str">
        <f>IF(AND(N6792="1521",MONTH(C6792)='BK-NL'!$M$11),"x","")</f>
        <v/>
      </c>
    </row>
    <row r="6793" spans="1:30" ht="16.5" customHeight="1">
      <c r="A6793" s="318" t="str">
        <f>IF(B6793&lt;&gt;"",IF(AND(B6793='IN-TC'!$S$4,OR(TH!N6793="1111",TH!O6793="1111")),TH!D6793,""),"")</f>
        <v/>
      </c>
      <c r="B6793" s="1163" t="str">
        <f t="shared" si="527"/>
        <v/>
      </c>
      <c r="C6793" s="61"/>
      <c r="D6793" s="61"/>
      <c r="E6793" s="61"/>
      <c r="F6793" s="69"/>
      <c r="G6793" s="766"/>
      <c r="H6793" s="69"/>
      <c r="I6793" s="385"/>
      <c r="J6793" s="392"/>
      <c r="K6793" s="385"/>
      <c r="L6793" s="392"/>
      <c r="M6793" s="62"/>
      <c r="N6793" s="63"/>
      <c r="O6793" s="63"/>
      <c r="P6793" s="79" t="str">
        <f>IF(AND('331-CT'!$E$7=TH!H6793,OR(N6793="331",O6793="331")),"x","")</f>
        <v/>
      </c>
      <c r="Q6793" s="79" t="str">
        <f>IF(AND(B6793='111'!$L$11,OR($N6793=$Q$7,$O6793=$Q$7)),"x","")</f>
        <v/>
      </c>
      <c r="R6793" s="79" t="str">
        <f>IF(AND($N6793=$Q$7,$B6793&lt;'111'!$L$11),"x","")</f>
        <v/>
      </c>
      <c r="S6793" s="79" t="str">
        <f>IF(AND($O6793=$Q$7,$B6793&lt;'111'!$L$11),"x","")</f>
        <v/>
      </c>
      <c r="T6793" s="79" t="str">
        <f>IF(ISERROR(FIND('112'!$M$9,G6793,1)),"",IF((AND(FIND('112'!$M$9,G6793,1)&gt;=1,B6793='112'!$K$9,OR($N6793='112'!$I$6,$O6793='112'!$I$6))),"x",""))</f>
        <v/>
      </c>
      <c r="U6793" s="79" t="str">
        <f>IF(ISERROR(FIND('112'!$M$9,G6793,1)),"",IF((AND(LEFT(G6793,2)=LEFT('112'!$M$9,2),B6793&lt;'112'!$K$9,$N6793='112'!$I$6)),"x",""))</f>
        <v/>
      </c>
      <c r="V6793" s="79" t="str">
        <f>IF(ISERROR(FIND('112'!$M$9,G6793,1)),"",IF((AND(RIGHT(G6793,2)=RIGHT('112'!$M$9,2),B6793&lt;'112'!$K$9,$O6793='112'!$I$6)),"x",""))</f>
        <v/>
      </c>
      <c r="W6793" s="79" t="str">
        <f>IF(AND('341-CT'!$H$9=H6793,OR(LEFT(N6793,3)=$W$7,LEFT(O6793,3)=$W$7)),"x","")</f>
        <v/>
      </c>
      <c r="X6793" s="79" t="str">
        <f>IF(OR(TH!N6793=TH!$X$7,O6793=TH!$X$7),"x","")</f>
        <v/>
      </c>
      <c r="Y6793" s="79" t="str">
        <f>IF(AND(OR(N6793="131",O6793="131"),H6793='131-CT'!$H$9),"x","")</f>
        <v/>
      </c>
      <c r="Z6793" s="79"/>
      <c r="AA6793" s="79" t="str">
        <f>IF(AND(MONTH(E6793)='IN-NX'!$J$5,'IN-NX'!$D$7=D6793),"x","")</f>
        <v/>
      </c>
      <c r="AB6793" s="79" t="str">
        <f>IF(AND(OR(LEFT(TH!N6793,2)="15",LEFT(TH!O6793,2)="15"),LEFT(TH!O6793,3)&lt;&gt;"111",'152-CT'!$J$8=TH!F6793),"x","")</f>
        <v/>
      </c>
      <c r="AC6793" s="79" t="str">
        <f>IF(AND(OR(LEFT(TH!N6793,2)="15",LEFT(TH!O6793,2)="15"),TK!$E$7=TH!F6793),"x","")</f>
        <v/>
      </c>
      <c r="AD6793" s="79" t="str">
        <f>IF(AND(N6793="1521",MONTH(C6793)='BK-NL'!$M$11),"x","")</f>
        <v/>
      </c>
    </row>
    <row r="6794" spans="1:30" ht="16.5" customHeight="1">
      <c r="A6794" s="318" t="str">
        <f>IF(B6794&lt;&gt;"",IF(AND(B6794='IN-TC'!$S$4,OR(TH!N6794="1111",TH!O6794="1111")),TH!D6794,""),"")</f>
        <v/>
      </c>
      <c r="B6794" s="1163" t="str">
        <f t="shared" si="527"/>
        <v/>
      </c>
      <c r="C6794" s="61"/>
      <c r="D6794" s="61"/>
      <c r="E6794" s="61"/>
      <c r="F6794" s="69"/>
      <c r="G6794" s="64"/>
      <c r="H6794" s="69"/>
      <c r="I6794" s="385"/>
      <c r="J6794" s="392"/>
      <c r="K6794" s="385"/>
      <c r="L6794" s="392"/>
      <c r="M6794" s="62"/>
      <c r="N6794" s="63"/>
      <c r="O6794" s="63"/>
      <c r="P6794" s="79" t="str">
        <f>IF(AND('331-CT'!$E$7=TH!H6794,OR(N6794="331",O6794="331")),"x","")</f>
        <v/>
      </c>
      <c r="Q6794" s="79" t="str">
        <f>IF(AND(B6794='111'!$L$11,OR($N6794=$Q$7,$O6794=$Q$7)),"x","")</f>
        <v/>
      </c>
      <c r="R6794" s="79" t="str">
        <f>IF(AND($N6794=$Q$7,$B6794&lt;'111'!$L$11),"x","")</f>
        <v/>
      </c>
      <c r="S6794" s="79" t="str">
        <f>IF(AND($O6794=$Q$7,$B6794&lt;'111'!$L$11),"x","")</f>
        <v/>
      </c>
      <c r="T6794" s="79" t="str">
        <f>IF(ISERROR(FIND('112'!$M$9,G6794,1)),"",IF((AND(FIND('112'!$M$9,G6794,1)&gt;=1,B6794='112'!$K$9,OR($N6794='112'!$I$6,$O6794='112'!$I$6))),"x",""))</f>
        <v/>
      </c>
      <c r="U6794" s="79" t="str">
        <f>IF(ISERROR(FIND('112'!$M$9,G6794,1)),"",IF((AND(LEFT(G6794,2)=LEFT('112'!$M$9,2),B6794&lt;'112'!$K$9,$N6794='112'!$I$6)),"x",""))</f>
        <v/>
      </c>
      <c r="V6794" s="79" t="str">
        <f>IF(ISERROR(FIND('112'!$M$9,G6794,1)),"",IF((AND(RIGHT(G6794,2)=RIGHT('112'!$M$9,2),B6794&lt;'112'!$K$9,$O6794='112'!$I$6)),"x",""))</f>
        <v/>
      </c>
      <c r="W6794" s="79" t="str">
        <f>IF(AND('341-CT'!$H$9=H6794,OR(LEFT(N6794,3)=$W$7,LEFT(O6794,3)=$W$7)),"x","")</f>
        <v/>
      </c>
      <c r="X6794" s="79" t="str">
        <f>IF(OR(TH!N6794=TH!$X$7,O6794=TH!$X$7),"x","")</f>
        <v/>
      </c>
      <c r="Y6794" s="79" t="str">
        <f>IF(AND(OR(N6794="131",O6794="131"),H6794='131-CT'!$H$9),"x","")</f>
        <v/>
      </c>
      <c r="Z6794" s="79"/>
      <c r="AA6794" s="79" t="str">
        <f>IF(AND(MONTH(E6794)='IN-NX'!$J$5,'IN-NX'!$D$7=D6794),"x","")</f>
        <v/>
      </c>
      <c r="AB6794" s="79" t="str">
        <f>IF(AND(OR(LEFT(TH!N6794,2)="15",LEFT(TH!O6794,2)="15"),LEFT(TH!O6794,3)&lt;&gt;"111",'152-CT'!$J$8=TH!F6794),"x","")</f>
        <v/>
      </c>
      <c r="AC6794" s="79" t="str">
        <f>IF(AND(OR(LEFT(TH!N6794,2)="15",LEFT(TH!O6794,2)="15"),TK!$E$7=TH!F6794),"x","")</f>
        <v/>
      </c>
      <c r="AD6794" s="79" t="str">
        <f>IF(AND(N6794="1521",MONTH(C6794)='BK-NL'!$M$11),"x","")</f>
        <v/>
      </c>
    </row>
    <row r="6795" spans="1:30" ht="16.5" customHeight="1">
      <c r="A6795" s="318" t="str">
        <f>IF(B6795&lt;&gt;"",IF(AND(B6795='IN-TC'!$S$4,OR(TH!N6795="1111",TH!O6795="1111")),TH!D6795,""),"")</f>
        <v/>
      </c>
      <c r="B6795" s="1163" t="str">
        <f t="shared" si="527"/>
        <v/>
      </c>
      <c r="C6795" s="61"/>
      <c r="D6795" s="61"/>
      <c r="E6795" s="61"/>
      <c r="F6795" s="69"/>
      <c r="G6795" s="64"/>
      <c r="H6795" s="69"/>
      <c r="I6795" s="385"/>
      <c r="J6795" s="392"/>
      <c r="K6795" s="385"/>
      <c r="L6795" s="392"/>
      <c r="M6795" s="62"/>
      <c r="N6795" s="63"/>
      <c r="O6795" s="63"/>
      <c r="P6795" s="79" t="str">
        <f>IF(AND('331-CT'!$E$7=TH!H6795,OR(N6795="331",O6795="331")),"x","")</f>
        <v/>
      </c>
      <c r="Q6795" s="79" t="str">
        <f>IF(AND(B6795='111'!$L$11,OR($N6795=$Q$7,$O6795=$Q$7)),"x","")</f>
        <v/>
      </c>
      <c r="R6795" s="79" t="str">
        <f>IF(AND($N6795=$Q$7,$B6795&lt;'111'!$L$11),"x","")</f>
        <v/>
      </c>
      <c r="S6795" s="79" t="str">
        <f>IF(AND($O6795=$Q$7,$B6795&lt;'111'!$L$11),"x","")</f>
        <v/>
      </c>
      <c r="T6795" s="79" t="str">
        <f>IF(ISERROR(FIND('112'!$M$9,G6795,1)),"",IF((AND(FIND('112'!$M$9,G6795,1)&gt;=1,B6795='112'!$K$9,OR($N6795='112'!$I$6,$O6795='112'!$I$6))),"x",""))</f>
        <v/>
      </c>
      <c r="U6795" s="79" t="str">
        <f>IF(ISERROR(FIND('112'!$M$9,G6795,1)),"",IF((AND(LEFT(G6795,2)=LEFT('112'!$M$9,2),B6795&lt;'112'!$K$9,$N6795='112'!$I$6)),"x",""))</f>
        <v/>
      </c>
      <c r="V6795" s="79" t="str">
        <f>IF(ISERROR(FIND('112'!$M$9,G6795,1)),"",IF((AND(RIGHT(G6795,2)=RIGHT('112'!$M$9,2),B6795&lt;'112'!$K$9,$O6795='112'!$I$6)),"x",""))</f>
        <v/>
      </c>
      <c r="W6795" s="79" t="str">
        <f>IF(AND('341-CT'!$H$9=H6795,OR(LEFT(N6795,3)=$W$7,LEFT(O6795,3)=$W$7)),"x","")</f>
        <v/>
      </c>
      <c r="X6795" s="79" t="str">
        <f>IF(OR(TH!N6795=TH!$X$7,O6795=TH!$X$7),"x","")</f>
        <v/>
      </c>
      <c r="Y6795" s="79" t="str">
        <f>IF(AND(OR(N6795="131",O6795="131"),H6795='131-CT'!$H$9),"x","")</f>
        <v/>
      </c>
      <c r="Z6795" s="79"/>
      <c r="AA6795" s="79" t="str">
        <f>IF(AND(MONTH(E6795)='IN-NX'!$J$5,'IN-NX'!$D$7=D6795),"x","")</f>
        <v/>
      </c>
      <c r="AB6795" s="79" t="str">
        <f>IF(AND(OR(LEFT(TH!N6795,2)="15",LEFT(TH!O6795,2)="15"),LEFT(TH!O6795,3)&lt;&gt;"111",'152-CT'!$J$8=TH!F6795),"x","")</f>
        <v/>
      </c>
      <c r="AC6795" s="79" t="str">
        <f>IF(AND(OR(LEFT(TH!N6795,2)="15",LEFT(TH!O6795,2)="15"),TK!$E$7=TH!F6795),"x","")</f>
        <v/>
      </c>
      <c r="AD6795" s="79" t="str">
        <f>IF(AND(N6795="1521",MONTH(C6795)='BK-NL'!$M$11),"x","")</f>
        <v/>
      </c>
    </row>
    <row r="6796" spans="1:30" ht="16.5" customHeight="1">
      <c r="A6796" s="318" t="str">
        <f>IF(B6796&lt;&gt;"",IF(AND(B6796='IN-TC'!$S$4,OR(TH!N6796="1111",TH!O6796="1111")),TH!D6796,""),"")</f>
        <v/>
      </c>
      <c r="B6796" s="1163" t="str">
        <f t="shared" si="527"/>
        <v/>
      </c>
      <c r="C6796" s="61"/>
      <c r="D6796" s="61"/>
      <c r="E6796" s="61"/>
      <c r="F6796" s="69"/>
      <c r="G6796" s="64"/>
      <c r="H6796" s="69"/>
      <c r="I6796" s="385"/>
      <c r="J6796" s="392"/>
      <c r="K6796" s="385"/>
      <c r="L6796" s="392"/>
      <c r="M6796" s="62"/>
      <c r="N6796" s="63"/>
      <c r="O6796" s="63"/>
      <c r="P6796" s="79" t="str">
        <f>IF(AND('331-CT'!$E$7=TH!H6796,OR(N6796="331",O6796="331")),"x","")</f>
        <v/>
      </c>
      <c r="Q6796" s="79" t="str">
        <f>IF(AND(B6796='111'!$L$11,OR($N6796=$Q$7,$O6796=$Q$7)),"x","")</f>
        <v/>
      </c>
      <c r="R6796" s="79" t="str">
        <f>IF(AND($N6796=$Q$7,$B6796&lt;'111'!$L$11),"x","")</f>
        <v/>
      </c>
      <c r="S6796" s="79" t="str">
        <f>IF(AND($O6796=$Q$7,$B6796&lt;'111'!$L$11),"x","")</f>
        <v/>
      </c>
      <c r="T6796" s="79" t="str">
        <f>IF(ISERROR(FIND('112'!$M$9,G6796,1)),"",IF((AND(FIND('112'!$M$9,G6796,1)&gt;=1,B6796='112'!$K$9,OR($N6796='112'!$I$6,$O6796='112'!$I$6))),"x",""))</f>
        <v/>
      </c>
      <c r="U6796" s="79" t="str">
        <f>IF(ISERROR(FIND('112'!$M$9,G6796,1)),"",IF((AND(LEFT(G6796,2)=LEFT('112'!$M$9,2),B6796&lt;'112'!$K$9,$N6796='112'!$I$6)),"x",""))</f>
        <v/>
      </c>
      <c r="V6796" s="79" t="str">
        <f>IF(ISERROR(FIND('112'!$M$9,G6796,1)),"",IF((AND(RIGHT(G6796,2)=RIGHT('112'!$M$9,2),B6796&lt;'112'!$K$9,$O6796='112'!$I$6)),"x",""))</f>
        <v/>
      </c>
      <c r="W6796" s="79" t="str">
        <f>IF(AND('341-CT'!$H$9=H6796,OR(LEFT(N6796,3)=$W$7,LEFT(O6796,3)=$W$7)),"x","")</f>
        <v/>
      </c>
      <c r="X6796" s="79" t="str">
        <f>IF(OR(TH!N6796=TH!$X$7,O6796=TH!$X$7),"x","")</f>
        <v/>
      </c>
      <c r="Y6796" s="79" t="str">
        <f>IF(AND(OR(N6796="131",O6796="131"),H6796='131-CT'!$H$9),"x","")</f>
        <v/>
      </c>
      <c r="Z6796" s="79"/>
      <c r="AA6796" s="79" t="str">
        <f>IF(AND(MONTH(E6796)='IN-NX'!$J$5,'IN-NX'!$D$7=D6796),"x","")</f>
        <v/>
      </c>
      <c r="AB6796" s="79" t="str">
        <f>IF(AND(OR(LEFT(TH!N6796,2)="15",LEFT(TH!O6796,2)="15"),LEFT(TH!O6796,3)&lt;&gt;"111",'152-CT'!$J$8=TH!F6796),"x","")</f>
        <v/>
      </c>
      <c r="AC6796" s="79" t="str">
        <f>IF(AND(OR(LEFT(TH!N6796,2)="15",LEFT(TH!O6796,2)="15"),TK!$E$7=TH!F6796),"x","")</f>
        <v/>
      </c>
      <c r="AD6796" s="79" t="str">
        <f>IF(AND(N6796="1521",MONTH(C6796)='BK-NL'!$M$11),"x","")</f>
        <v/>
      </c>
    </row>
    <row r="6797" spans="1:30" ht="16.5" customHeight="1">
      <c r="A6797" s="318" t="str">
        <f>IF(B6797&lt;&gt;"",IF(AND(B6797='IN-TC'!$S$4,OR(TH!N6797="1111",TH!O6797="1111")),TH!D6797,""),"")</f>
        <v/>
      </c>
      <c r="B6797" s="1163" t="str">
        <f t="shared" si="527"/>
        <v/>
      </c>
      <c r="C6797" s="61"/>
      <c r="D6797" s="61"/>
      <c r="E6797" s="61"/>
      <c r="F6797" s="69"/>
      <c r="G6797" s="64"/>
      <c r="H6797" s="69"/>
      <c r="I6797" s="385"/>
      <c r="J6797" s="392"/>
      <c r="K6797" s="385"/>
      <c r="L6797" s="392"/>
      <c r="M6797" s="62"/>
      <c r="N6797" s="63"/>
      <c r="O6797" s="63"/>
      <c r="P6797" s="79" t="str">
        <f>IF(AND('331-CT'!$E$7=TH!H6797,OR(N6797="331",O6797="331")),"x","")</f>
        <v/>
      </c>
      <c r="Q6797" s="79" t="str">
        <f>IF(AND(B6797='111'!$L$11,OR($N6797=$Q$7,$O6797=$Q$7)),"x","")</f>
        <v/>
      </c>
      <c r="R6797" s="79" t="str">
        <f>IF(AND($N6797=$Q$7,$B6797&lt;'111'!$L$11),"x","")</f>
        <v/>
      </c>
      <c r="S6797" s="79" t="str">
        <f>IF(AND($O6797=$Q$7,$B6797&lt;'111'!$L$11),"x","")</f>
        <v/>
      </c>
      <c r="T6797" s="79" t="str">
        <f>IF(ISERROR(FIND('112'!$M$9,G6797,1)),"",IF((AND(FIND('112'!$M$9,G6797,1)&gt;=1,B6797='112'!$K$9,OR($N6797='112'!$I$6,$O6797='112'!$I$6))),"x",""))</f>
        <v/>
      </c>
      <c r="U6797" s="79" t="str">
        <f>IF(ISERROR(FIND('112'!$M$9,G6797,1)),"",IF((AND(LEFT(G6797,2)=LEFT('112'!$M$9,2),B6797&lt;'112'!$K$9,$N6797='112'!$I$6)),"x",""))</f>
        <v/>
      </c>
      <c r="V6797" s="79" t="str">
        <f>IF(ISERROR(FIND('112'!$M$9,G6797,1)),"",IF((AND(RIGHT(G6797,2)=RIGHT('112'!$M$9,2),B6797&lt;'112'!$K$9,$O6797='112'!$I$6)),"x",""))</f>
        <v/>
      </c>
      <c r="W6797" s="79" t="str">
        <f>IF(AND('341-CT'!$H$9=H6797,OR(LEFT(N6797,3)=$W$7,LEFT(O6797,3)=$W$7)),"x","")</f>
        <v/>
      </c>
      <c r="X6797" s="79" t="str">
        <f>IF(OR(TH!N6797=TH!$X$7,O6797=TH!$X$7),"x","")</f>
        <v/>
      </c>
      <c r="Y6797" s="79" t="str">
        <f>IF(AND(OR(N6797="131",O6797="131"),H6797='131-CT'!$H$9),"x","")</f>
        <v/>
      </c>
      <c r="Z6797" s="79"/>
      <c r="AA6797" s="79" t="str">
        <f>IF(AND(MONTH(E6797)='IN-NX'!$J$5,'IN-NX'!$D$7=D6797),"x","")</f>
        <v/>
      </c>
      <c r="AB6797" s="79" t="str">
        <f>IF(AND(OR(LEFT(TH!N6797,2)="15",LEFT(TH!O6797,2)="15"),LEFT(TH!O6797,3)&lt;&gt;"111",'152-CT'!$J$8=TH!F6797),"x","")</f>
        <v/>
      </c>
      <c r="AC6797" s="79" t="str">
        <f>IF(AND(OR(LEFT(TH!N6797,2)="15",LEFT(TH!O6797,2)="15"),TK!$E$7=TH!F6797),"x","")</f>
        <v/>
      </c>
      <c r="AD6797" s="79" t="str">
        <f>IF(AND(N6797="1521",MONTH(C6797)='BK-NL'!$M$11),"x","")</f>
        <v/>
      </c>
    </row>
    <row r="6798" spans="1:30" ht="16.5" customHeight="1">
      <c r="A6798" s="318" t="str">
        <f>IF(B6798&lt;&gt;"",IF(AND(B6798='IN-TC'!$S$4,OR(TH!N6798="1111",TH!O6798="1111")),TH!D6798,""),"")</f>
        <v/>
      </c>
      <c r="B6798" s="1163" t="str">
        <f t="shared" si="527"/>
        <v/>
      </c>
      <c r="C6798" s="61"/>
      <c r="D6798" s="61"/>
      <c r="E6798" s="61"/>
      <c r="F6798" s="69"/>
      <c r="G6798" s="64"/>
      <c r="H6798" s="69"/>
      <c r="I6798" s="385"/>
      <c r="J6798" s="392"/>
      <c r="K6798" s="385"/>
      <c r="L6798" s="392"/>
      <c r="M6798" s="62"/>
      <c r="N6798" s="63"/>
      <c r="O6798" s="63"/>
      <c r="P6798" s="79" t="str">
        <f>IF(AND('331-CT'!$E$7=TH!H6798,OR(N6798="331",O6798="331")),"x","")</f>
        <v/>
      </c>
      <c r="Q6798" s="79" t="str">
        <f>IF(AND(B6798='111'!$L$11,OR($N6798=$Q$7,$O6798=$Q$7)),"x","")</f>
        <v/>
      </c>
      <c r="R6798" s="79" t="str">
        <f>IF(AND($N6798=$Q$7,$B6798&lt;'111'!$L$11),"x","")</f>
        <v/>
      </c>
      <c r="S6798" s="79" t="str">
        <f>IF(AND($O6798=$Q$7,$B6798&lt;'111'!$L$11),"x","")</f>
        <v/>
      </c>
      <c r="T6798" s="79" t="str">
        <f>IF(ISERROR(FIND('112'!$M$9,G6798,1)),"",IF((AND(FIND('112'!$M$9,G6798,1)&gt;=1,B6798='112'!$K$9,OR($N6798='112'!$I$6,$O6798='112'!$I$6))),"x",""))</f>
        <v/>
      </c>
      <c r="U6798" s="79" t="str">
        <f>IF(ISERROR(FIND('112'!$M$9,G6798,1)),"",IF((AND(LEFT(G6798,2)=LEFT('112'!$M$9,2),B6798&lt;'112'!$K$9,$N6798='112'!$I$6)),"x",""))</f>
        <v/>
      </c>
      <c r="V6798" s="79" t="str">
        <f>IF(ISERROR(FIND('112'!$M$9,G6798,1)),"",IF((AND(RIGHT(G6798,2)=RIGHT('112'!$M$9,2),B6798&lt;'112'!$K$9,$O6798='112'!$I$6)),"x",""))</f>
        <v/>
      </c>
      <c r="W6798" s="79" t="str">
        <f>IF(AND('341-CT'!$H$9=H6798,OR(LEFT(N6798,3)=$W$7,LEFT(O6798,3)=$W$7)),"x","")</f>
        <v/>
      </c>
      <c r="X6798" s="79" t="str">
        <f>IF(OR(TH!N6798=TH!$X$7,O6798=TH!$X$7),"x","")</f>
        <v/>
      </c>
      <c r="Y6798" s="79" t="str">
        <f>IF(AND(OR(N6798="131",O6798="131"),H6798='131-CT'!$H$9),"x","")</f>
        <v/>
      </c>
      <c r="Z6798" s="79"/>
      <c r="AA6798" s="79" t="str">
        <f>IF(AND(MONTH(E6798)='IN-NX'!$J$5,'IN-NX'!$D$7=D6798),"x","")</f>
        <v/>
      </c>
      <c r="AB6798" s="79" t="str">
        <f>IF(AND(OR(LEFT(TH!N6798,2)="15",LEFT(TH!O6798,2)="15"),LEFT(TH!O6798,3)&lt;&gt;"111",'152-CT'!$J$8=TH!F6798),"x","")</f>
        <v/>
      </c>
      <c r="AC6798" s="79" t="str">
        <f>IF(AND(OR(LEFT(TH!N6798,2)="15",LEFT(TH!O6798,2)="15"),TK!$E$7=TH!F6798),"x","")</f>
        <v/>
      </c>
      <c r="AD6798" s="79" t="str">
        <f>IF(AND(N6798="1521",MONTH(C6798)='BK-NL'!$M$11),"x","")</f>
        <v/>
      </c>
    </row>
    <row r="6799" spans="1:30" ht="16.5" customHeight="1">
      <c r="A6799" s="318" t="str">
        <f>IF(B6799&lt;&gt;"",IF(AND(B6799='IN-TC'!$S$4,OR(TH!N6799="1111",TH!O6799="1111")),TH!D6799,""),"")</f>
        <v/>
      </c>
      <c r="B6799" s="1163" t="str">
        <f t="shared" si="527"/>
        <v/>
      </c>
      <c r="C6799" s="61"/>
      <c r="D6799" s="61"/>
      <c r="E6799" s="61"/>
      <c r="F6799" s="69"/>
      <c r="G6799" s="64"/>
      <c r="H6799" s="69"/>
      <c r="I6799" s="385"/>
      <c r="J6799" s="392"/>
      <c r="K6799" s="385"/>
      <c r="L6799" s="392"/>
      <c r="M6799" s="62"/>
      <c r="N6799" s="63"/>
      <c r="O6799" s="63"/>
      <c r="P6799" s="79" t="str">
        <f>IF(AND('331-CT'!$E$7=TH!H6799,OR(N6799="331",O6799="331")),"x","")</f>
        <v/>
      </c>
      <c r="Q6799" s="79" t="str">
        <f>IF(AND(B6799='111'!$L$11,OR($N6799=$Q$7,$O6799=$Q$7)),"x","")</f>
        <v/>
      </c>
      <c r="R6799" s="79" t="str">
        <f>IF(AND($N6799=$Q$7,$B6799&lt;'111'!$L$11),"x","")</f>
        <v/>
      </c>
      <c r="S6799" s="79" t="str">
        <f>IF(AND($O6799=$Q$7,$B6799&lt;'111'!$L$11),"x","")</f>
        <v/>
      </c>
      <c r="T6799" s="79" t="str">
        <f>IF(ISERROR(FIND('112'!$M$9,G6799,1)),"",IF((AND(FIND('112'!$M$9,G6799,1)&gt;=1,B6799='112'!$K$9,OR($N6799='112'!$I$6,$O6799='112'!$I$6))),"x",""))</f>
        <v/>
      </c>
      <c r="U6799" s="79" t="str">
        <f>IF(ISERROR(FIND('112'!$M$9,G6799,1)),"",IF((AND(LEFT(G6799,2)=LEFT('112'!$M$9,2),B6799&lt;'112'!$K$9,$N6799='112'!$I$6)),"x",""))</f>
        <v/>
      </c>
      <c r="V6799" s="79" t="str">
        <f>IF(ISERROR(FIND('112'!$M$9,G6799,1)),"",IF((AND(RIGHT(G6799,2)=RIGHT('112'!$M$9,2),B6799&lt;'112'!$K$9,$O6799='112'!$I$6)),"x",""))</f>
        <v/>
      </c>
      <c r="W6799" s="79" t="str">
        <f>IF(AND('341-CT'!$H$9=H6799,OR(LEFT(N6799,3)=$W$7,LEFT(O6799,3)=$W$7)),"x","")</f>
        <v/>
      </c>
      <c r="X6799" s="79" t="str">
        <f>IF(OR(TH!N6799=TH!$X$7,O6799=TH!$X$7),"x","")</f>
        <v/>
      </c>
      <c r="Y6799" s="79" t="str">
        <f>IF(AND(OR(N6799="131",O6799="131"),H6799='131-CT'!$H$9),"x","")</f>
        <v/>
      </c>
      <c r="Z6799" s="79"/>
      <c r="AA6799" s="79" t="str">
        <f>IF(AND(MONTH(E6799)='IN-NX'!$J$5,'IN-NX'!$D$7=D6799),"x","")</f>
        <v/>
      </c>
      <c r="AB6799" s="79" t="str">
        <f>IF(AND(OR(LEFT(TH!N6799,2)="15",LEFT(TH!O6799,2)="15"),LEFT(TH!O6799,3)&lt;&gt;"111",'152-CT'!$J$8=TH!F6799),"x","")</f>
        <v/>
      </c>
      <c r="AC6799" s="79" t="str">
        <f>IF(AND(OR(LEFT(TH!N6799,2)="15",LEFT(TH!O6799,2)="15"),TK!$E$7=TH!F6799),"x","")</f>
        <v/>
      </c>
      <c r="AD6799" s="79" t="str">
        <f>IF(AND(N6799="1521",MONTH(C6799)='BK-NL'!$M$11),"x","")</f>
        <v/>
      </c>
    </row>
    <row r="6800" spans="1:30" ht="16.5" customHeight="1">
      <c r="A6800" s="318" t="str">
        <f>IF(B6800&lt;&gt;"",IF(AND(B6800='IN-TC'!$S$4,OR(TH!N6800="1111",TH!O6800="1111")),TH!D6800,""),"")</f>
        <v/>
      </c>
      <c r="B6800" s="1163" t="str">
        <f t="shared" si="527"/>
        <v/>
      </c>
      <c r="C6800" s="61"/>
      <c r="D6800" s="61"/>
      <c r="E6800" s="61"/>
      <c r="F6800" s="69"/>
      <c r="G6800" s="64"/>
      <c r="H6800" s="69"/>
      <c r="I6800" s="385"/>
      <c r="J6800" s="392"/>
      <c r="K6800" s="385"/>
      <c r="L6800" s="392"/>
      <c r="M6800" s="62"/>
      <c r="N6800" s="63"/>
      <c r="O6800" s="63"/>
      <c r="P6800" s="79" t="str">
        <f>IF(AND('331-CT'!$E$7=TH!H6800,OR(N6800="331",O6800="331")),"x","")</f>
        <v/>
      </c>
      <c r="Q6800" s="79" t="str">
        <f>IF(AND(B6800='111'!$L$11,OR($N6800=$Q$7,$O6800=$Q$7)),"x","")</f>
        <v/>
      </c>
      <c r="R6800" s="79" t="str">
        <f>IF(AND($N6800=$Q$7,$B6800&lt;'111'!$L$11),"x","")</f>
        <v/>
      </c>
      <c r="S6800" s="79" t="str">
        <f>IF(AND($O6800=$Q$7,$B6800&lt;'111'!$L$11),"x","")</f>
        <v/>
      </c>
      <c r="T6800" s="79" t="str">
        <f>IF(ISERROR(FIND('112'!$M$9,G6800,1)),"",IF((AND(FIND('112'!$M$9,G6800,1)&gt;=1,B6800='112'!$K$9,OR($N6800='112'!$I$6,$O6800='112'!$I$6))),"x",""))</f>
        <v/>
      </c>
      <c r="U6800" s="79" t="str">
        <f>IF(ISERROR(FIND('112'!$M$9,G6800,1)),"",IF((AND(LEFT(G6800,2)=LEFT('112'!$M$9,2),B6800&lt;'112'!$K$9,$N6800='112'!$I$6)),"x",""))</f>
        <v/>
      </c>
      <c r="V6800" s="79" t="str">
        <f>IF(ISERROR(FIND('112'!$M$9,G6800,1)),"",IF((AND(RIGHT(G6800,2)=RIGHT('112'!$M$9,2),B6800&lt;'112'!$K$9,$O6800='112'!$I$6)),"x",""))</f>
        <v/>
      </c>
      <c r="W6800" s="79" t="str">
        <f>IF(AND('341-CT'!$H$9=H6800,OR(LEFT(N6800,3)=$W$7,LEFT(O6800,3)=$W$7)),"x","")</f>
        <v/>
      </c>
      <c r="X6800" s="79" t="str">
        <f>IF(OR(TH!N6800=TH!$X$7,O6800=TH!$X$7),"x","")</f>
        <v/>
      </c>
      <c r="Y6800" s="79" t="str">
        <f>IF(AND(OR(N6800="131",O6800="131"),H6800='131-CT'!$H$9),"x","")</f>
        <v/>
      </c>
      <c r="Z6800" s="79"/>
      <c r="AA6800" s="79" t="str">
        <f>IF(AND(MONTH(E6800)='IN-NX'!$J$5,'IN-NX'!$D$7=D6800),"x","")</f>
        <v/>
      </c>
      <c r="AB6800" s="79" t="str">
        <f>IF(AND(OR(LEFT(TH!N6800,2)="15",LEFT(TH!O6800,2)="15"),LEFT(TH!O6800,3)&lt;&gt;"111",'152-CT'!$J$8=TH!F6800),"x","")</f>
        <v/>
      </c>
      <c r="AC6800" s="79" t="str">
        <f>IF(AND(OR(LEFT(TH!N6800,2)="15",LEFT(TH!O6800,2)="15"),TK!$E$7=TH!F6800),"x","")</f>
        <v/>
      </c>
      <c r="AD6800" s="79" t="str">
        <f>IF(AND(N6800="1521",MONTH(C6800)='BK-NL'!$M$11),"x","")</f>
        <v/>
      </c>
    </row>
    <row r="6801" spans="1:30" ht="16.5" customHeight="1">
      <c r="A6801" s="318" t="str">
        <f>IF(B6801&lt;&gt;"",IF(AND(B6801='IN-TC'!$S$4,OR(TH!N6801="1111",TH!O6801="1111")),TH!D6801,""),"")</f>
        <v/>
      </c>
      <c r="B6801" s="1163" t="str">
        <f t="shared" si="527"/>
        <v/>
      </c>
      <c r="C6801" s="61"/>
      <c r="D6801" s="61"/>
      <c r="E6801" s="61"/>
      <c r="F6801" s="69"/>
      <c r="G6801" s="64"/>
      <c r="H6801" s="69"/>
      <c r="I6801" s="385"/>
      <c r="J6801" s="392"/>
      <c r="K6801" s="385"/>
      <c r="L6801" s="392"/>
      <c r="M6801" s="62"/>
      <c r="N6801" s="63"/>
      <c r="O6801" s="63"/>
      <c r="P6801" s="79" t="str">
        <f>IF(AND('331-CT'!$E$7=TH!H6801,OR(N6801="331",O6801="331")),"x","")</f>
        <v/>
      </c>
      <c r="Q6801" s="79" t="str">
        <f>IF(AND(B6801='111'!$L$11,OR($N6801=$Q$7,$O6801=$Q$7)),"x","")</f>
        <v/>
      </c>
      <c r="R6801" s="79" t="str">
        <f>IF(AND($N6801=$Q$7,$B6801&lt;'111'!$L$11),"x","")</f>
        <v/>
      </c>
      <c r="S6801" s="79" t="str">
        <f>IF(AND($O6801=$Q$7,$B6801&lt;'111'!$L$11),"x","")</f>
        <v/>
      </c>
      <c r="T6801" s="79" t="str">
        <f>IF(ISERROR(FIND('112'!$M$9,G6801,1)),"",IF((AND(FIND('112'!$M$9,G6801,1)&gt;=1,B6801='112'!$K$9,OR($N6801='112'!$I$6,$O6801='112'!$I$6))),"x",""))</f>
        <v/>
      </c>
      <c r="U6801" s="79" t="str">
        <f>IF(ISERROR(FIND('112'!$M$9,G6801,1)),"",IF((AND(LEFT(G6801,2)=LEFT('112'!$M$9,2),B6801&lt;'112'!$K$9,$N6801='112'!$I$6)),"x",""))</f>
        <v/>
      </c>
      <c r="V6801" s="79" t="str">
        <f>IF(ISERROR(FIND('112'!$M$9,G6801,1)),"",IF((AND(RIGHT(G6801,2)=RIGHT('112'!$M$9,2),B6801&lt;'112'!$K$9,$O6801='112'!$I$6)),"x",""))</f>
        <v/>
      </c>
      <c r="W6801" s="79" t="str">
        <f>IF(AND('341-CT'!$H$9=H6801,OR(LEFT(N6801,3)=$W$7,LEFT(O6801,3)=$W$7)),"x","")</f>
        <v/>
      </c>
      <c r="X6801" s="79" t="str">
        <f>IF(OR(TH!N6801=TH!$X$7,O6801=TH!$X$7),"x","")</f>
        <v/>
      </c>
      <c r="Y6801" s="79" t="str">
        <f>IF(AND(OR(N6801="131",O6801="131"),H6801='131-CT'!$H$9),"x","")</f>
        <v/>
      </c>
      <c r="Z6801" s="79"/>
      <c r="AA6801" s="79" t="str">
        <f>IF(AND(MONTH(E6801)='IN-NX'!$J$5,'IN-NX'!$D$7=D6801),"x","")</f>
        <v/>
      </c>
      <c r="AB6801" s="79" t="str">
        <f>IF(AND(OR(LEFT(TH!N6801,2)="15",LEFT(TH!O6801,2)="15"),LEFT(TH!O6801,3)&lt;&gt;"111",'152-CT'!$J$8=TH!F6801),"x","")</f>
        <v/>
      </c>
      <c r="AC6801" s="79" t="str">
        <f>IF(AND(OR(LEFT(TH!N6801,2)="15",LEFT(TH!O6801,2)="15"),TK!$E$7=TH!F6801),"x","")</f>
        <v/>
      </c>
      <c r="AD6801" s="79" t="str">
        <f>IF(AND(N6801="1521",MONTH(C6801)='BK-NL'!$M$11),"x","")</f>
        <v/>
      </c>
    </row>
    <row r="6802" spans="1:30" ht="16.5" customHeight="1">
      <c r="A6802" s="318" t="str">
        <f>IF(B6802&lt;&gt;"",IF(AND(B6802='IN-TC'!$S$4,OR(TH!N6802="1111",TH!O6802="1111")),TH!D6802,""),"")</f>
        <v/>
      </c>
      <c r="B6802" s="1163" t="str">
        <f t="shared" si="527"/>
        <v/>
      </c>
      <c r="C6802" s="61"/>
      <c r="D6802" s="61"/>
      <c r="E6802" s="61"/>
      <c r="F6802" s="69"/>
      <c r="G6802" s="64"/>
      <c r="H6802" s="69"/>
      <c r="I6802" s="385"/>
      <c r="J6802" s="392"/>
      <c r="K6802" s="385"/>
      <c r="L6802" s="392"/>
      <c r="M6802" s="62"/>
      <c r="N6802" s="63"/>
      <c r="O6802" s="63"/>
      <c r="P6802" s="79" t="str">
        <f>IF(AND('331-CT'!$E$7=TH!H6802,OR(N6802="331",O6802="331")),"x","")</f>
        <v/>
      </c>
      <c r="Q6802" s="79" t="str">
        <f>IF(AND(B6802='111'!$L$11,OR($N6802=$Q$7,$O6802=$Q$7)),"x","")</f>
        <v/>
      </c>
      <c r="R6802" s="79" t="str">
        <f>IF(AND($N6802=$Q$7,$B6802&lt;'111'!$L$11),"x","")</f>
        <v/>
      </c>
      <c r="S6802" s="79" t="str">
        <f>IF(AND($O6802=$Q$7,$B6802&lt;'111'!$L$11),"x","")</f>
        <v/>
      </c>
      <c r="T6802" s="79" t="str">
        <f>IF(ISERROR(FIND('112'!$M$9,G6802,1)),"",IF((AND(FIND('112'!$M$9,G6802,1)&gt;=1,B6802='112'!$K$9,OR($N6802='112'!$I$6,$O6802='112'!$I$6))),"x",""))</f>
        <v/>
      </c>
      <c r="U6802" s="79" t="str">
        <f>IF(ISERROR(FIND('112'!$M$9,G6802,1)),"",IF((AND(LEFT(G6802,2)=LEFT('112'!$M$9,2),B6802&lt;'112'!$K$9,$N6802='112'!$I$6)),"x",""))</f>
        <v/>
      </c>
      <c r="V6802" s="79" t="str">
        <f>IF(ISERROR(FIND('112'!$M$9,G6802,1)),"",IF((AND(RIGHT(G6802,2)=RIGHT('112'!$M$9,2),B6802&lt;'112'!$K$9,$O6802='112'!$I$6)),"x",""))</f>
        <v/>
      </c>
      <c r="W6802" s="79" t="str">
        <f>IF(AND('341-CT'!$H$9=H6802,OR(LEFT(N6802,3)=$W$7,LEFT(O6802,3)=$W$7)),"x","")</f>
        <v/>
      </c>
      <c r="X6802" s="79" t="str">
        <f>IF(OR(TH!N6802=TH!$X$7,O6802=TH!$X$7),"x","")</f>
        <v/>
      </c>
      <c r="Y6802" s="79" t="str">
        <f>IF(AND(OR(N6802="131",O6802="131"),H6802='131-CT'!$H$9),"x","")</f>
        <v/>
      </c>
      <c r="Z6802" s="79"/>
      <c r="AA6802" s="79" t="str">
        <f>IF(AND(MONTH(E6802)='IN-NX'!$J$5,'IN-NX'!$D$7=D6802),"x","")</f>
        <v/>
      </c>
      <c r="AB6802" s="79" t="str">
        <f>IF(AND(OR(LEFT(TH!N6802,2)="15",LEFT(TH!O6802,2)="15"),LEFT(TH!O6802,3)&lt;&gt;"111",'152-CT'!$J$8=TH!F6802),"x","")</f>
        <v/>
      </c>
      <c r="AC6802" s="79" t="str">
        <f>IF(AND(OR(LEFT(TH!N6802,2)="15",LEFT(TH!O6802,2)="15"),TK!$E$7=TH!F6802),"x","")</f>
        <v/>
      </c>
      <c r="AD6802" s="79" t="str">
        <f>IF(AND(N6802="1521",MONTH(C6802)='BK-NL'!$M$11),"x","")</f>
        <v/>
      </c>
    </row>
    <row r="6803" spans="1:30" ht="16.5" customHeight="1">
      <c r="A6803" s="318" t="str">
        <f>IF(B6803&lt;&gt;"",IF(AND(B6803='IN-TC'!$S$4,OR(TH!N6803="1111",TH!O6803="1111")),TH!D6803,""),"")</f>
        <v/>
      </c>
      <c r="B6803" s="1163" t="str">
        <f t="shared" si="527"/>
        <v/>
      </c>
      <c r="C6803" s="61"/>
      <c r="D6803" s="61"/>
      <c r="E6803" s="61"/>
      <c r="F6803" s="69"/>
      <c r="G6803" s="64"/>
      <c r="H6803" s="69"/>
      <c r="I6803" s="385"/>
      <c r="J6803" s="392"/>
      <c r="K6803" s="385"/>
      <c r="L6803" s="392"/>
      <c r="M6803" s="62"/>
      <c r="N6803" s="63"/>
      <c r="O6803" s="63"/>
      <c r="P6803" s="79" t="str">
        <f>IF(AND('331-CT'!$E$7=TH!H6803,OR(N6803="331",O6803="331")),"x","")</f>
        <v/>
      </c>
      <c r="Q6803" s="79" t="str">
        <f>IF(AND(B6803='111'!$L$11,OR($N6803=$Q$7,$O6803=$Q$7)),"x","")</f>
        <v/>
      </c>
      <c r="R6803" s="79" t="str">
        <f>IF(AND($N6803=$Q$7,$B6803&lt;'111'!$L$11),"x","")</f>
        <v/>
      </c>
      <c r="S6803" s="79" t="str">
        <f>IF(AND($O6803=$Q$7,$B6803&lt;'111'!$L$11),"x","")</f>
        <v/>
      </c>
      <c r="T6803" s="79" t="str">
        <f>IF(ISERROR(FIND('112'!$M$9,G6803,1)),"",IF((AND(FIND('112'!$M$9,G6803,1)&gt;=1,B6803='112'!$K$9,OR($N6803='112'!$I$6,$O6803='112'!$I$6))),"x",""))</f>
        <v/>
      </c>
      <c r="U6803" s="79" t="str">
        <f>IF(ISERROR(FIND('112'!$M$9,G6803,1)),"",IF((AND(LEFT(G6803,2)=LEFT('112'!$M$9,2),B6803&lt;'112'!$K$9,$N6803='112'!$I$6)),"x",""))</f>
        <v/>
      </c>
      <c r="V6803" s="79" t="str">
        <f>IF(ISERROR(FIND('112'!$M$9,G6803,1)),"",IF((AND(RIGHT(G6803,2)=RIGHT('112'!$M$9,2),B6803&lt;'112'!$K$9,$O6803='112'!$I$6)),"x",""))</f>
        <v/>
      </c>
      <c r="W6803" s="79" t="str">
        <f>IF(AND('341-CT'!$H$9=H6803,OR(LEFT(N6803,3)=$W$7,LEFT(O6803,3)=$W$7)),"x","")</f>
        <v/>
      </c>
      <c r="X6803" s="79" t="str">
        <f>IF(OR(TH!N6803=TH!$X$7,O6803=TH!$X$7),"x","")</f>
        <v/>
      </c>
      <c r="Y6803" s="79" t="str">
        <f>IF(AND(OR(N6803="131",O6803="131"),H6803='131-CT'!$H$9),"x","")</f>
        <v/>
      </c>
      <c r="Z6803" s="79"/>
      <c r="AA6803" s="79" t="str">
        <f>IF(AND(MONTH(E6803)='IN-NX'!$J$5,'IN-NX'!$D$7=D6803),"x","")</f>
        <v/>
      </c>
      <c r="AB6803" s="79" t="str">
        <f>IF(AND(OR(LEFT(TH!N6803,2)="15",LEFT(TH!O6803,2)="15"),LEFT(TH!O6803,3)&lt;&gt;"111",'152-CT'!$J$8=TH!F6803),"x","")</f>
        <v/>
      </c>
      <c r="AC6803" s="79" t="str">
        <f>IF(AND(OR(LEFT(TH!N6803,2)="15",LEFT(TH!O6803,2)="15"),TK!$E$7=TH!F6803),"x","")</f>
        <v/>
      </c>
      <c r="AD6803" s="79" t="str">
        <f>IF(AND(N6803="1521",MONTH(C6803)='BK-NL'!$M$11),"x","")</f>
        <v/>
      </c>
    </row>
    <row r="6804" spans="1:30" ht="16.5" customHeight="1">
      <c r="A6804" s="318" t="str">
        <f>IF(B6804&lt;&gt;"",IF(AND(B6804='IN-TC'!$S$4,OR(TH!N6804="1111",TH!O6804="1111")),TH!D6804,""),"")</f>
        <v/>
      </c>
      <c r="B6804" s="1163" t="str">
        <f t="shared" si="527"/>
        <v/>
      </c>
      <c r="C6804" s="61"/>
      <c r="D6804" s="61"/>
      <c r="E6804" s="61"/>
      <c r="F6804" s="69"/>
      <c r="G6804" s="64"/>
      <c r="H6804" s="69"/>
      <c r="I6804" s="385"/>
      <c r="J6804" s="392"/>
      <c r="K6804" s="385"/>
      <c r="L6804" s="392"/>
      <c r="M6804" s="62"/>
      <c r="N6804" s="63"/>
      <c r="O6804" s="63"/>
      <c r="P6804" s="79" t="str">
        <f>IF(AND('331-CT'!$E$7=TH!H6804,OR(N6804="331",O6804="331")),"x","")</f>
        <v/>
      </c>
      <c r="Q6804" s="79" t="str">
        <f>IF(AND(B6804='111'!$L$11,OR($N6804=$Q$7,$O6804=$Q$7)),"x","")</f>
        <v/>
      </c>
      <c r="R6804" s="79" t="str">
        <f>IF(AND($N6804=$Q$7,$B6804&lt;'111'!$L$11),"x","")</f>
        <v/>
      </c>
      <c r="S6804" s="79" t="str">
        <f>IF(AND($O6804=$Q$7,$B6804&lt;'111'!$L$11),"x","")</f>
        <v/>
      </c>
      <c r="T6804" s="79" t="str">
        <f>IF(ISERROR(FIND('112'!$M$9,G6804,1)),"",IF((AND(FIND('112'!$M$9,G6804,1)&gt;=1,B6804='112'!$K$9,OR($N6804='112'!$I$6,$O6804='112'!$I$6))),"x",""))</f>
        <v/>
      </c>
      <c r="U6804" s="79" t="str">
        <f>IF(ISERROR(FIND('112'!$M$9,G6804,1)),"",IF((AND(LEFT(G6804,2)=LEFT('112'!$M$9,2),B6804&lt;'112'!$K$9,$N6804='112'!$I$6)),"x",""))</f>
        <v/>
      </c>
      <c r="V6804" s="79" t="str">
        <f>IF(ISERROR(FIND('112'!$M$9,G6804,1)),"",IF((AND(RIGHT(G6804,2)=RIGHT('112'!$M$9,2),B6804&lt;'112'!$K$9,$O6804='112'!$I$6)),"x",""))</f>
        <v/>
      </c>
      <c r="W6804" s="79" t="str">
        <f>IF(AND('341-CT'!$H$9=H6804,OR(LEFT(N6804,3)=$W$7,LEFT(O6804,3)=$W$7)),"x","")</f>
        <v/>
      </c>
      <c r="X6804" s="79" t="str">
        <f>IF(OR(TH!N6804=TH!$X$7,O6804=TH!$X$7),"x","")</f>
        <v/>
      </c>
      <c r="Y6804" s="79" t="str">
        <f>IF(AND(OR(N6804="131",O6804="131"),H6804='131-CT'!$H$9),"x","")</f>
        <v/>
      </c>
      <c r="Z6804" s="79"/>
      <c r="AA6804" s="79" t="str">
        <f>IF(AND(MONTH(E6804)='IN-NX'!$J$5,'IN-NX'!$D$7=D6804),"x","")</f>
        <v/>
      </c>
      <c r="AB6804" s="79" t="str">
        <f>IF(AND(OR(LEFT(TH!N6804,2)="15",LEFT(TH!O6804,2)="15"),LEFT(TH!O6804,3)&lt;&gt;"111",'152-CT'!$J$8=TH!F6804),"x","")</f>
        <v/>
      </c>
      <c r="AC6804" s="79" t="str">
        <f>IF(AND(OR(LEFT(TH!N6804,2)="15",LEFT(TH!O6804,2)="15"),TK!$E$7=TH!F6804),"x","")</f>
        <v/>
      </c>
      <c r="AD6804" s="79" t="str">
        <f>IF(AND(N6804="1521",MONTH(C6804)='BK-NL'!$M$11),"x","")</f>
        <v/>
      </c>
    </row>
    <row r="6805" spans="1:30" ht="16.5" customHeight="1">
      <c r="A6805" s="318" t="str">
        <f>IF(B6805&lt;&gt;"",IF(AND(B6805='IN-TC'!$S$4,OR(TH!N6805="1111",TH!O6805="1111")),TH!D6805,""),"")</f>
        <v/>
      </c>
      <c r="B6805" s="1163" t="str">
        <f t="shared" si="527"/>
        <v/>
      </c>
      <c r="C6805" s="61"/>
      <c r="D6805" s="61"/>
      <c r="E6805" s="61"/>
      <c r="F6805" s="69"/>
      <c r="G6805" s="64"/>
      <c r="H6805" s="69"/>
      <c r="I6805" s="385"/>
      <c r="J6805" s="392"/>
      <c r="K6805" s="385"/>
      <c r="L6805" s="392"/>
      <c r="M6805" s="62"/>
      <c r="N6805" s="63"/>
      <c r="O6805" s="63"/>
      <c r="P6805" s="79" t="str">
        <f>IF(AND('331-CT'!$E$7=TH!H6805,OR(N6805="331",O6805="331")),"x","")</f>
        <v/>
      </c>
      <c r="Q6805" s="79" t="str">
        <f>IF(AND(B6805='111'!$L$11,OR($N6805=$Q$7,$O6805=$Q$7)),"x","")</f>
        <v/>
      </c>
      <c r="R6805" s="79" t="str">
        <f>IF(AND($N6805=$Q$7,$B6805&lt;'111'!$L$11),"x","")</f>
        <v/>
      </c>
      <c r="S6805" s="79" t="str">
        <f>IF(AND($O6805=$Q$7,$B6805&lt;'111'!$L$11),"x","")</f>
        <v/>
      </c>
      <c r="T6805" s="79" t="str">
        <f>IF(ISERROR(FIND('112'!$M$9,G6805,1)),"",IF((AND(FIND('112'!$M$9,G6805,1)&gt;=1,B6805='112'!$K$9,OR($N6805='112'!$I$6,$O6805='112'!$I$6))),"x",""))</f>
        <v/>
      </c>
      <c r="U6805" s="79" t="str">
        <f>IF(ISERROR(FIND('112'!$M$9,G6805,1)),"",IF((AND(LEFT(G6805,2)=LEFT('112'!$M$9,2),B6805&lt;'112'!$K$9,$N6805='112'!$I$6)),"x",""))</f>
        <v/>
      </c>
      <c r="V6805" s="79" t="str">
        <f>IF(ISERROR(FIND('112'!$M$9,G6805,1)),"",IF((AND(RIGHT(G6805,2)=RIGHT('112'!$M$9,2),B6805&lt;'112'!$K$9,$O6805='112'!$I$6)),"x",""))</f>
        <v/>
      </c>
      <c r="W6805" s="79" t="str">
        <f>IF(AND('341-CT'!$H$9=H6805,OR(LEFT(N6805,3)=$W$7,LEFT(O6805,3)=$W$7)),"x","")</f>
        <v/>
      </c>
      <c r="X6805" s="79" t="str">
        <f>IF(OR(TH!N6805=TH!$X$7,O6805=TH!$X$7),"x","")</f>
        <v/>
      </c>
      <c r="Y6805" s="79" t="str">
        <f>IF(AND(OR(N6805="131",O6805="131"),H6805='131-CT'!$H$9),"x","")</f>
        <v/>
      </c>
      <c r="Z6805" s="79"/>
      <c r="AA6805" s="79" t="str">
        <f>IF(AND(MONTH(E6805)='IN-NX'!$J$5,'IN-NX'!$D$7=D6805),"x","")</f>
        <v/>
      </c>
      <c r="AB6805" s="79" t="str">
        <f>IF(AND(OR(LEFT(TH!N6805,2)="15",LEFT(TH!O6805,2)="15"),LEFT(TH!O6805,3)&lt;&gt;"111",'152-CT'!$J$8=TH!F6805),"x","")</f>
        <v/>
      </c>
      <c r="AC6805" s="79" t="str">
        <f>IF(AND(OR(LEFT(TH!N6805,2)="15",LEFT(TH!O6805,2)="15"),TK!$E$7=TH!F6805),"x","")</f>
        <v/>
      </c>
      <c r="AD6805" s="79" t="str">
        <f>IF(AND(N6805="1521",MONTH(C6805)='BK-NL'!$M$11),"x","")</f>
        <v/>
      </c>
    </row>
    <row r="6806" spans="1:30" ht="16.5" customHeight="1">
      <c r="A6806" s="318" t="str">
        <f>IF(B6806&lt;&gt;"",IF(AND(B6806='IN-TC'!$S$4,OR(TH!N6806="1111",TH!O6806="1111")),TH!D6806,""),"")</f>
        <v/>
      </c>
      <c r="B6806" s="1163" t="str">
        <f t="shared" si="527"/>
        <v/>
      </c>
      <c r="C6806" s="61"/>
      <c r="D6806" s="61"/>
      <c r="E6806" s="61"/>
      <c r="F6806" s="69"/>
      <c r="G6806" s="64"/>
      <c r="H6806" s="69"/>
      <c r="I6806" s="385"/>
      <c r="J6806" s="392"/>
      <c r="K6806" s="385"/>
      <c r="L6806" s="392"/>
      <c r="M6806" s="62"/>
      <c r="N6806" s="63"/>
      <c r="O6806" s="63"/>
      <c r="P6806" s="79" t="str">
        <f>IF(AND('331-CT'!$E$7=TH!H6806,OR(N6806="331",O6806="331")),"x","")</f>
        <v/>
      </c>
      <c r="Q6806" s="79" t="str">
        <f>IF(AND(B6806='111'!$L$11,OR($N6806=$Q$7,$O6806=$Q$7)),"x","")</f>
        <v/>
      </c>
      <c r="R6806" s="79" t="str">
        <f>IF(AND($N6806=$Q$7,$B6806&lt;'111'!$L$11),"x","")</f>
        <v/>
      </c>
      <c r="S6806" s="79" t="str">
        <f>IF(AND($O6806=$Q$7,$B6806&lt;'111'!$L$11),"x","")</f>
        <v/>
      </c>
      <c r="T6806" s="79" t="str">
        <f>IF(ISERROR(FIND('112'!$M$9,G6806,1)),"",IF((AND(FIND('112'!$M$9,G6806,1)&gt;=1,B6806='112'!$K$9,OR($N6806='112'!$I$6,$O6806='112'!$I$6))),"x",""))</f>
        <v/>
      </c>
      <c r="U6806" s="79" t="str">
        <f>IF(ISERROR(FIND('112'!$M$9,G6806,1)),"",IF((AND(LEFT(G6806,2)=LEFT('112'!$M$9,2),B6806&lt;'112'!$K$9,$N6806='112'!$I$6)),"x",""))</f>
        <v/>
      </c>
      <c r="V6806" s="79" t="str">
        <f>IF(ISERROR(FIND('112'!$M$9,G6806,1)),"",IF((AND(RIGHT(G6806,2)=RIGHT('112'!$M$9,2),B6806&lt;'112'!$K$9,$O6806='112'!$I$6)),"x",""))</f>
        <v/>
      </c>
      <c r="W6806" s="79" t="str">
        <f>IF(AND('341-CT'!$H$9=H6806,OR(LEFT(N6806,3)=$W$7,LEFT(O6806,3)=$W$7)),"x","")</f>
        <v/>
      </c>
      <c r="X6806" s="79" t="str">
        <f>IF(OR(TH!N6806=TH!$X$7,O6806=TH!$X$7),"x","")</f>
        <v/>
      </c>
      <c r="Y6806" s="79" t="str">
        <f>IF(AND(OR(N6806="131",O6806="131"),H6806='131-CT'!$H$9),"x","")</f>
        <v/>
      </c>
      <c r="Z6806" s="79"/>
      <c r="AA6806" s="79" t="str">
        <f>IF(AND(MONTH(E6806)='IN-NX'!$J$5,'IN-NX'!$D$7=D6806),"x","")</f>
        <v/>
      </c>
      <c r="AB6806" s="79" t="str">
        <f>IF(AND(OR(LEFT(TH!N6806,2)="15",LEFT(TH!O6806,2)="15"),LEFT(TH!O6806,3)&lt;&gt;"111",'152-CT'!$J$8=TH!F6806),"x","")</f>
        <v/>
      </c>
      <c r="AC6806" s="79" t="str">
        <f>IF(AND(OR(LEFT(TH!N6806,2)="15",LEFT(TH!O6806,2)="15"),TK!$E$7=TH!F6806),"x","")</f>
        <v/>
      </c>
      <c r="AD6806" s="79" t="str">
        <f>IF(AND(N6806="1521",MONTH(C6806)='BK-NL'!$M$11),"x","")</f>
        <v/>
      </c>
    </row>
    <row r="6807" spans="1:30" ht="16.5" customHeight="1">
      <c r="A6807" s="318" t="str">
        <f>IF(B6807&lt;&gt;"",IF(AND(B6807='IN-TC'!$S$4,OR(TH!N6807="1111",TH!O6807="1111")),TH!D6807,""),"")</f>
        <v/>
      </c>
      <c r="B6807" s="1163" t="str">
        <f t="shared" si="527"/>
        <v/>
      </c>
      <c r="C6807" s="61"/>
      <c r="D6807" s="61"/>
      <c r="E6807" s="61"/>
      <c r="F6807" s="69"/>
      <c r="G6807" s="64"/>
      <c r="H6807" s="69"/>
      <c r="I6807" s="385"/>
      <c r="J6807" s="392"/>
      <c r="K6807" s="385"/>
      <c r="L6807" s="392"/>
      <c r="M6807" s="62"/>
      <c r="N6807" s="63"/>
      <c r="O6807" s="63"/>
      <c r="P6807" s="79" t="str">
        <f>IF(AND('331-CT'!$E$7=TH!H6807,OR(N6807="331",O6807="331")),"x","")</f>
        <v/>
      </c>
      <c r="Q6807" s="79" t="str">
        <f>IF(AND(B6807='111'!$L$11,OR($N6807=$Q$7,$O6807=$Q$7)),"x","")</f>
        <v/>
      </c>
      <c r="R6807" s="79" t="str">
        <f>IF(AND($N6807=$Q$7,$B6807&lt;'111'!$L$11),"x","")</f>
        <v/>
      </c>
      <c r="S6807" s="79" t="str">
        <f>IF(AND($O6807=$Q$7,$B6807&lt;'111'!$L$11),"x","")</f>
        <v/>
      </c>
      <c r="T6807" s="79" t="str">
        <f>IF(ISERROR(FIND('112'!$M$9,G6807,1)),"",IF((AND(FIND('112'!$M$9,G6807,1)&gt;=1,B6807='112'!$K$9,OR($N6807='112'!$I$6,$O6807='112'!$I$6))),"x",""))</f>
        <v/>
      </c>
      <c r="U6807" s="79" t="str">
        <f>IF(ISERROR(FIND('112'!$M$9,G6807,1)),"",IF((AND(LEFT(G6807,2)=LEFT('112'!$M$9,2),B6807&lt;'112'!$K$9,$N6807='112'!$I$6)),"x",""))</f>
        <v/>
      </c>
      <c r="V6807" s="79" t="str">
        <f>IF(ISERROR(FIND('112'!$M$9,G6807,1)),"",IF((AND(RIGHT(G6807,2)=RIGHT('112'!$M$9,2),B6807&lt;'112'!$K$9,$O6807='112'!$I$6)),"x",""))</f>
        <v/>
      </c>
      <c r="W6807" s="79" t="str">
        <f>IF(AND('341-CT'!$H$9=H6807,OR(LEFT(N6807,3)=$W$7,LEFT(O6807,3)=$W$7)),"x","")</f>
        <v/>
      </c>
      <c r="X6807" s="79" t="str">
        <f>IF(OR(TH!N6807=TH!$X$7,O6807=TH!$X$7),"x","")</f>
        <v/>
      </c>
      <c r="Y6807" s="79" t="str">
        <f>IF(AND(OR(N6807="131",O6807="131"),H6807='131-CT'!$H$9),"x","")</f>
        <v/>
      </c>
      <c r="Z6807" s="79"/>
      <c r="AA6807" s="79" t="str">
        <f>IF(AND(MONTH(E6807)='IN-NX'!$J$5,'IN-NX'!$D$7=D6807),"x","")</f>
        <v/>
      </c>
      <c r="AB6807" s="79" t="str">
        <f>IF(AND(OR(LEFT(TH!N6807,2)="15",LEFT(TH!O6807,2)="15"),LEFT(TH!O6807,3)&lt;&gt;"111",'152-CT'!$J$8=TH!F6807),"x","")</f>
        <v/>
      </c>
      <c r="AC6807" s="79" t="str">
        <f>IF(AND(OR(LEFT(TH!N6807,2)="15",LEFT(TH!O6807,2)="15"),TK!$E$7=TH!F6807),"x","")</f>
        <v/>
      </c>
      <c r="AD6807" s="79" t="str">
        <f>IF(AND(N6807="1521",MONTH(C6807)='BK-NL'!$M$11),"x","")</f>
        <v/>
      </c>
    </row>
    <row r="6808" spans="1:30" ht="16.5" customHeight="1">
      <c r="A6808" s="318" t="str">
        <f>IF(B6808&lt;&gt;"",IF(AND(B6808='IN-TC'!$S$4,OR(TH!N6808="1111",TH!O6808="1111")),TH!D6808,""),"")</f>
        <v/>
      </c>
      <c r="B6808" s="1163" t="str">
        <f t="shared" si="527"/>
        <v/>
      </c>
      <c r="C6808" s="61"/>
      <c r="D6808" s="61"/>
      <c r="E6808" s="61"/>
      <c r="F6808" s="69"/>
      <c r="G6808" s="64"/>
      <c r="H6808" s="321"/>
      <c r="I6808" s="385"/>
      <c r="J6808" s="392"/>
      <c r="K6808" s="385"/>
      <c r="L6808" s="392"/>
      <c r="M6808" s="62"/>
      <c r="N6808" s="63"/>
      <c r="O6808" s="63"/>
      <c r="P6808" s="79" t="str">
        <f>IF(AND('331-CT'!$E$7=TH!H6808,OR(N6808="331",O6808="331")),"x","")</f>
        <v/>
      </c>
      <c r="Q6808" s="79" t="str">
        <f>IF(AND(B6808='111'!$L$11,OR($N6808=$Q$7,$O6808=$Q$7)),"x","")</f>
        <v/>
      </c>
      <c r="R6808" s="79" t="str">
        <f>IF(AND($N6808=$Q$7,$B6808&lt;'111'!$L$11),"x","")</f>
        <v/>
      </c>
      <c r="S6808" s="79" t="str">
        <f>IF(AND($O6808=$Q$7,$B6808&lt;'111'!$L$11),"x","")</f>
        <v/>
      </c>
      <c r="T6808" s="79" t="str">
        <f>IF(ISERROR(FIND('112'!$M$9,G6808,1)),"",IF((AND(FIND('112'!$M$9,G6808,1)&gt;=1,B6808='112'!$K$9,OR($N6808='112'!$I$6,$O6808='112'!$I$6))),"x",""))</f>
        <v/>
      </c>
      <c r="U6808" s="79" t="str">
        <f>IF(ISERROR(FIND('112'!$M$9,G6808,1)),"",IF((AND(LEFT(G6808,2)=LEFT('112'!$M$9,2),B6808&lt;'112'!$K$9,$N6808='112'!$I$6)),"x",""))</f>
        <v/>
      </c>
      <c r="V6808" s="79" t="str">
        <f>IF(ISERROR(FIND('112'!$M$9,G6808,1)),"",IF((AND(RIGHT(G6808,2)=RIGHT('112'!$M$9,2),B6808&lt;'112'!$K$9,$O6808='112'!$I$6)),"x",""))</f>
        <v/>
      </c>
      <c r="W6808" s="79" t="str">
        <f>IF(AND('341-CT'!$H$9=H6808,OR(LEFT(N6808,3)=$W$7,LEFT(O6808,3)=$W$7)),"x","")</f>
        <v/>
      </c>
      <c r="X6808" s="79" t="str">
        <f>IF(OR(TH!N6808=TH!$X$7,O6808=TH!$X$7),"x","")</f>
        <v/>
      </c>
      <c r="Y6808" s="79" t="str">
        <f>IF(AND(OR(N6808="131",O6808="131"),H6808='131-CT'!$H$9),"x","")</f>
        <v/>
      </c>
      <c r="Z6808" s="79"/>
      <c r="AA6808" s="79" t="str">
        <f>IF(AND(MONTH(E6808)='IN-NX'!$J$5,'IN-NX'!$D$7=D6808),"x","")</f>
        <v/>
      </c>
      <c r="AB6808" s="79" t="str">
        <f>IF(AND(OR(LEFT(TH!N6808,2)="15",LEFT(TH!O6808,2)="15"),LEFT(TH!O6808,3)&lt;&gt;"111",'152-CT'!$J$8=TH!F6808),"x","")</f>
        <v/>
      </c>
      <c r="AC6808" s="79" t="str">
        <f>IF(AND(OR(LEFT(TH!N6808,2)="15",LEFT(TH!O6808,2)="15"),TK!$E$7=TH!F6808),"x","")</f>
        <v/>
      </c>
      <c r="AD6808" s="79" t="str">
        <f>IF(AND(N6808="1521",MONTH(C6808)='BK-NL'!$M$11),"x","")</f>
        <v/>
      </c>
    </row>
    <row r="6809" spans="1:30" ht="16.5" customHeight="1">
      <c r="A6809" s="318" t="str">
        <f>IF(B6809&lt;&gt;"",IF(AND(B6809='IN-TC'!$S$4,OR(TH!N6809="1111",TH!O6809="1111")),TH!D6809,""),"")</f>
        <v/>
      </c>
      <c r="B6809" s="1163" t="str">
        <f t="shared" si="527"/>
        <v/>
      </c>
      <c r="C6809" s="61"/>
      <c r="D6809" s="61"/>
      <c r="E6809" s="61"/>
      <c r="F6809" s="69"/>
      <c r="G6809" s="64"/>
      <c r="H6809" s="69"/>
      <c r="I6809" s="385"/>
      <c r="J6809" s="392"/>
      <c r="K6809" s="385"/>
      <c r="L6809" s="392"/>
      <c r="M6809" s="62"/>
      <c r="N6809" s="63"/>
      <c r="O6809" s="63"/>
      <c r="P6809" s="79" t="str">
        <f>IF(AND('331-CT'!$E$7=TH!H6809,OR(N6809="331",O6809="331")),"x","")</f>
        <v/>
      </c>
      <c r="Q6809" s="79" t="str">
        <f>IF(AND(B6809='111'!$L$11,OR($N6809=$Q$7,$O6809=$Q$7)),"x","")</f>
        <v/>
      </c>
      <c r="R6809" s="79" t="str">
        <f>IF(AND($N6809=$Q$7,$B6809&lt;'111'!$L$11),"x","")</f>
        <v/>
      </c>
      <c r="S6809" s="79" t="str">
        <f>IF(AND($O6809=$Q$7,$B6809&lt;'111'!$L$11),"x","")</f>
        <v/>
      </c>
      <c r="T6809" s="79" t="str">
        <f>IF(ISERROR(FIND('112'!$M$9,G6809,1)),"",IF((AND(FIND('112'!$M$9,G6809,1)&gt;=1,B6809='112'!$K$9,OR($N6809='112'!$I$6,$O6809='112'!$I$6))),"x",""))</f>
        <v/>
      </c>
      <c r="U6809" s="79" t="str">
        <f>IF(ISERROR(FIND('112'!$M$9,G6809,1)),"",IF((AND(LEFT(G6809,2)=LEFT('112'!$M$9,2),B6809&lt;'112'!$K$9,$N6809='112'!$I$6)),"x",""))</f>
        <v/>
      </c>
      <c r="V6809" s="79" t="str">
        <f>IF(ISERROR(FIND('112'!$M$9,G6809,1)),"",IF((AND(RIGHT(G6809,2)=RIGHT('112'!$M$9,2),B6809&lt;'112'!$K$9,$O6809='112'!$I$6)),"x",""))</f>
        <v/>
      </c>
      <c r="W6809" s="79" t="str">
        <f>IF(AND('341-CT'!$H$9=H6809,OR(LEFT(N6809,3)=$W$7,LEFT(O6809,3)=$W$7)),"x","")</f>
        <v/>
      </c>
      <c r="X6809" s="79" t="str">
        <f>IF(OR(TH!N6809=TH!$X$7,O6809=TH!$X$7),"x","")</f>
        <v/>
      </c>
      <c r="Y6809" s="79" t="str">
        <f>IF(AND(OR(N6809="131",O6809="131"),H6809='131-CT'!$H$9),"x","")</f>
        <v/>
      </c>
      <c r="Z6809" s="79"/>
      <c r="AA6809" s="79" t="str">
        <f>IF(AND(MONTH(E6809)='IN-NX'!$J$5,'IN-NX'!$D$7=D6809),"x","")</f>
        <v/>
      </c>
      <c r="AB6809" s="79" t="str">
        <f>IF(AND(OR(LEFT(TH!N6809,2)="15",LEFT(TH!O6809,2)="15"),LEFT(TH!O6809,3)&lt;&gt;"111",'152-CT'!$J$8=TH!F6809),"x","")</f>
        <v/>
      </c>
      <c r="AC6809" s="79" t="str">
        <f>IF(AND(OR(LEFT(TH!N6809,2)="15",LEFT(TH!O6809,2)="15"),TK!$E$7=TH!F6809),"x","")</f>
        <v/>
      </c>
      <c r="AD6809" s="79" t="str">
        <f>IF(AND(N6809="1521",MONTH(C6809)='BK-NL'!$M$11),"x","")</f>
        <v/>
      </c>
    </row>
    <row r="6810" spans="1:30" ht="16.5" customHeight="1">
      <c r="A6810" s="318" t="str">
        <f>IF(B6810&lt;&gt;"",IF(AND(B6810='IN-TC'!$S$4,OR(TH!N6810="1111",TH!O6810="1111")),TH!D6810,""),"")</f>
        <v/>
      </c>
      <c r="B6810" s="1163" t="str">
        <f t="shared" si="527"/>
        <v/>
      </c>
      <c r="C6810" s="61"/>
      <c r="D6810" s="61"/>
      <c r="E6810" s="61"/>
      <c r="F6810" s="69"/>
      <c r="G6810" s="64"/>
      <c r="H6810" s="69"/>
      <c r="I6810" s="385"/>
      <c r="J6810" s="392"/>
      <c r="K6810" s="385"/>
      <c r="L6810" s="392"/>
      <c r="M6810" s="62"/>
      <c r="N6810" s="63"/>
      <c r="O6810" s="63"/>
      <c r="P6810" s="79" t="str">
        <f>IF(AND('331-CT'!$E$7=TH!H6810,OR(N6810="331",O6810="331")),"x","")</f>
        <v/>
      </c>
      <c r="Q6810" s="79" t="str">
        <f>IF(AND(B6810='111'!$L$11,OR($N6810=$Q$7,$O6810=$Q$7)),"x","")</f>
        <v/>
      </c>
      <c r="R6810" s="79" t="str">
        <f>IF(AND($N6810=$Q$7,$B6810&lt;'111'!$L$11),"x","")</f>
        <v/>
      </c>
      <c r="S6810" s="79" t="str">
        <f>IF(AND($O6810=$Q$7,$B6810&lt;'111'!$L$11),"x","")</f>
        <v/>
      </c>
      <c r="T6810" s="79" t="str">
        <f>IF(ISERROR(FIND('112'!$M$9,G6810,1)),"",IF((AND(FIND('112'!$M$9,G6810,1)&gt;=1,B6810='112'!$K$9,OR($N6810='112'!$I$6,$O6810='112'!$I$6))),"x",""))</f>
        <v/>
      </c>
      <c r="U6810" s="79" t="str">
        <f>IF(ISERROR(FIND('112'!$M$9,G6810,1)),"",IF((AND(LEFT(G6810,2)=LEFT('112'!$M$9,2),B6810&lt;'112'!$K$9,$N6810='112'!$I$6)),"x",""))</f>
        <v/>
      </c>
      <c r="V6810" s="79" t="str">
        <f>IF(ISERROR(FIND('112'!$M$9,G6810,1)),"",IF((AND(RIGHT(G6810,2)=RIGHT('112'!$M$9,2),B6810&lt;'112'!$K$9,$O6810='112'!$I$6)),"x",""))</f>
        <v/>
      </c>
      <c r="W6810" s="79" t="str">
        <f>IF(AND('341-CT'!$H$9=H6810,OR(LEFT(N6810,3)=$W$7,LEFT(O6810,3)=$W$7)),"x","")</f>
        <v/>
      </c>
      <c r="X6810" s="79" t="str">
        <f>IF(OR(TH!N6810=TH!$X$7,O6810=TH!$X$7),"x","")</f>
        <v/>
      </c>
      <c r="Y6810" s="79" t="str">
        <f>IF(AND(OR(N6810="131",O6810="131"),H6810='131-CT'!$H$9),"x","")</f>
        <v/>
      </c>
      <c r="Z6810" s="79"/>
      <c r="AA6810" s="79" t="str">
        <f>IF(AND(MONTH(E6810)='IN-NX'!$J$5,'IN-NX'!$D$7=D6810),"x","")</f>
        <v/>
      </c>
      <c r="AB6810" s="79" t="str">
        <f>IF(AND(OR(LEFT(TH!N6810,2)="15",LEFT(TH!O6810,2)="15"),LEFT(TH!O6810,3)&lt;&gt;"111",'152-CT'!$J$8=TH!F6810),"x","")</f>
        <v/>
      </c>
      <c r="AC6810" s="79" t="str">
        <f>IF(AND(OR(LEFT(TH!N6810,2)="15",LEFT(TH!O6810,2)="15"),TK!$E$7=TH!F6810),"x","")</f>
        <v/>
      </c>
      <c r="AD6810" s="79" t="str">
        <f>IF(AND(N6810="1521",MONTH(C6810)='BK-NL'!$M$11),"x","")</f>
        <v/>
      </c>
    </row>
    <row r="6811" spans="1:30" ht="16.5" customHeight="1">
      <c r="A6811" s="318" t="str">
        <f>IF(B6811&lt;&gt;"",IF(AND(B6811='IN-TC'!$S$4,OR(TH!N6811="1111",TH!O6811="1111")),TH!D6811,""),"")</f>
        <v/>
      </c>
      <c r="B6811" s="1163" t="str">
        <f t="shared" si="527"/>
        <v/>
      </c>
      <c r="C6811" s="61"/>
      <c r="D6811" s="61"/>
      <c r="E6811" s="61"/>
      <c r="F6811" s="69"/>
      <c r="G6811" s="64"/>
      <c r="H6811" s="69"/>
      <c r="I6811" s="385"/>
      <c r="J6811" s="392"/>
      <c r="K6811" s="385"/>
      <c r="L6811" s="392"/>
      <c r="M6811" s="62"/>
      <c r="N6811" s="63"/>
      <c r="O6811" s="63"/>
      <c r="P6811" s="79" t="str">
        <f>IF(AND('331-CT'!$E$7=TH!H6811,OR(N6811="331",O6811="331")),"x","")</f>
        <v/>
      </c>
      <c r="Q6811" s="79" t="str">
        <f>IF(AND(B6811='111'!$L$11,OR($N6811=$Q$7,$O6811=$Q$7)),"x","")</f>
        <v/>
      </c>
      <c r="R6811" s="79" t="str">
        <f>IF(AND($N6811=$Q$7,$B6811&lt;'111'!$L$11),"x","")</f>
        <v/>
      </c>
      <c r="S6811" s="79" t="str">
        <f>IF(AND($O6811=$Q$7,$B6811&lt;'111'!$L$11),"x","")</f>
        <v/>
      </c>
      <c r="T6811" s="79" t="str">
        <f>IF(ISERROR(FIND('112'!$M$9,G6811,1)),"",IF((AND(FIND('112'!$M$9,G6811,1)&gt;=1,B6811='112'!$K$9,OR($N6811='112'!$I$6,$O6811='112'!$I$6))),"x",""))</f>
        <v/>
      </c>
      <c r="U6811" s="79" t="str">
        <f>IF(ISERROR(FIND('112'!$M$9,G6811,1)),"",IF((AND(LEFT(G6811,2)=LEFT('112'!$M$9,2),B6811&lt;'112'!$K$9,$N6811='112'!$I$6)),"x",""))</f>
        <v/>
      </c>
      <c r="V6811" s="79" t="str">
        <f>IF(ISERROR(FIND('112'!$M$9,G6811,1)),"",IF((AND(RIGHT(G6811,2)=RIGHT('112'!$M$9,2),B6811&lt;'112'!$K$9,$O6811='112'!$I$6)),"x",""))</f>
        <v/>
      </c>
      <c r="W6811" s="79" t="str">
        <f>IF(AND('341-CT'!$H$9=H6811,OR(LEFT(N6811,3)=$W$7,LEFT(O6811,3)=$W$7)),"x","")</f>
        <v/>
      </c>
      <c r="X6811" s="79" t="str">
        <f>IF(OR(TH!N6811=TH!$X$7,O6811=TH!$X$7),"x","")</f>
        <v/>
      </c>
      <c r="Y6811" s="79" t="str">
        <f>IF(AND(OR(N6811="131",O6811="131"),H6811='131-CT'!$H$9),"x","")</f>
        <v/>
      </c>
      <c r="Z6811" s="79"/>
      <c r="AA6811" s="79" t="str">
        <f>IF(AND(MONTH(E6811)='IN-NX'!$J$5,'IN-NX'!$D$7=D6811),"x","")</f>
        <v/>
      </c>
      <c r="AB6811" s="79" t="str">
        <f>IF(AND(OR(LEFT(TH!N6811,2)="15",LEFT(TH!O6811,2)="15"),LEFT(TH!O6811,3)&lt;&gt;"111",'152-CT'!$J$8=TH!F6811),"x","")</f>
        <v/>
      </c>
      <c r="AC6811" s="79" t="str">
        <f>IF(AND(OR(LEFT(TH!N6811,2)="15",LEFT(TH!O6811,2)="15"),TK!$E$7=TH!F6811),"x","")</f>
        <v/>
      </c>
      <c r="AD6811" s="79" t="str">
        <f>IF(AND(N6811="1521",MONTH(C6811)='BK-NL'!$M$11),"x","")</f>
        <v/>
      </c>
    </row>
    <row r="6812" spans="1:30" ht="16.5" customHeight="1">
      <c r="A6812" s="318" t="str">
        <f>IF(B6812&lt;&gt;"",IF(AND(B6812='IN-TC'!$S$4,OR(TH!N6812="1111",TH!O6812="1111")),TH!D6812,""),"")</f>
        <v/>
      </c>
      <c r="B6812" s="1163" t="str">
        <f t="shared" si="527"/>
        <v/>
      </c>
      <c r="C6812" s="61"/>
      <c r="D6812" s="61"/>
      <c r="E6812" s="61"/>
      <c r="F6812" s="69"/>
      <c r="G6812" s="64"/>
      <c r="H6812" s="69"/>
      <c r="I6812" s="385"/>
      <c r="J6812" s="392"/>
      <c r="K6812" s="385"/>
      <c r="L6812" s="392"/>
      <c r="M6812" s="62"/>
      <c r="N6812" s="63"/>
      <c r="O6812" s="63"/>
      <c r="P6812" s="79" t="str">
        <f>IF(AND('331-CT'!$E$7=TH!H6812,OR(N6812="331",O6812="331")),"x","")</f>
        <v/>
      </c>
      <c r="Q6812" s="79" t="str">
        <f>IF(AND(B6812='111'!$L$11,OR($N6812=$Q$7,$O6812=$Q$7)),"x","")</f>
        <v/>
      </c>
      <c r="R6812" s="79" t="str">
        <f>IF(AND($N6812=$Q$7,$B6812&lt;'111'!$L$11),"x","")</f>
        <v/>
      </c>
      <c r="S6812" s="79" t="str">
        <f>IF(AND($O6812=$Q$7,$B6812&lt;'111'!$L$11),"x","")</f>
        <v/>
      </c>
      <c r="T6812" s="79" t="str">
        <f>IF(ISERROR(FIND('112'!$M$9,G6812,1)),"",IF((AND(FIND('112'!$M$9,G6812,1)&gt;=1,B6812='112'!$K$9,OR($N6812='112'!$I$6,$O6812='112'!$I$6))),"x",""))</f>
        <v/>
      </c>
      <c r="U6812" s="79" t="str">
        <f>IF(ISERROR(FIND('112'!$M$9,G6812,1)),"",IF((AND(LEFT(G6812,2)=LEFT('112'!$M$9,2),B6812&lt;'112'!$K$9,$N6812='112'!$I$6)),"x",""))</f>
        <v/>
      </c>
      <c r="V6812" s="79" t="str">
        <f>IF(ISERROR(FIND('112'!$M$9,G6812,1)),"",IF((AND(RIGHT(G6812,2)=RIGHT('112'!$M$9,2),B6812&lt;'112'!$K$9,$O6812='112'!$I$6)),"x",""))</f>
        <v/>
      </c>
      <c r="W6812" s="79" t="str">
        <f>IF(AND('341-CT'!$H$9=H6812,OR(LEFT(N6812,3)=$W$7,LEFT(O6812,3)=$W$7)),"x","")</f>
        <v/>
      </c>
      <c r="X6812" s="79" t="str">
        <f>IF(OR(TH!N6812=TH!$X$7,O6812=TH!$X$7),"x","")</f>
        <v/>
      </c>
      <c r="Y6812" s="79" t="str">
        <f>IF(AND(OR(N6812="131",O6812="131"),H6812='131-CT'!$H$9),"x","")</f>
        <v/>
      </c>
      <c r="Z6812" s="79"/>
      <c r="AA6812" s="79" t="str">
        <f>IF(AND(MONTH(E6812)='IN-NX'!$J$5,'IN-NX'!$D$7=D6812),"x","")</f>
        <v/>
      </c>
      <c r="AB6812" s="79" t="str">
        <f>IF(AND(OR(LEFT(TH!N6812,2)="15",LEFT(TH!O6812,2)="15"),LEFT(TH!O6812,3)&lt;&gt;"111",'152-CT'!$J$8=TH!F6812),"x","")</f>
        <v/>
      </c>
      <c r="AC6812" s="79" t="str">
        <f>IF(AND(OR(LEFT(TH!N6812,2)="15",LEFT(TH!O6812,2)="15"),TK!$E$7=TH!F6812),"x","")</f>
        <v/>
      </c>
      <c r="AD6812" s="79" t="str">
        <f>IF(AND(N6812="1521",MONTH(C6812)='BK-NL'!$M$11),"x","")</f>
        <v/>
      </c>
    </row>
    <row r="6813" spans="1:30" ht="16.5" customHeight="1">
      <c r="A6813" s="318" t="str">
        <f>IF(B6813&lt;&gt;"",IF(AND(B6813='IN-TC'!$S$4,OR(TH!N6813="1111",TH!O6813="1111")),TH!D6813,""),"")</f>
        <v/>
      </c>
      <c r="B6813" s="1163" t="str">
        <f t="shared" si="527"/>
        <v/>
      </c>
      <c r="C6813" s="61"/>
      <c r="D6813" s="61"/>
      <c r="E6813" s="61"/>
      <c r="F6813" s="69"/>
      <c r="G6813" s="64"/>
      <c r="H6813" s="69"/>
      <c r="I6813" s="385"/>
      <c r="J6813" s="392"/>
      <c r="K6813" s="385"/>
      <c r="L6813" s="392"/>
      <c r="M6813" s="62"/>
      <c r="N6813" s="63"/>
      <c r="O6813" s="63"/>
      <c r="P6813" s="79" t="str">
        <f>IF(AND('331-CT'!$E$7=TH!H6813,OR(N6813="331",O6813="331")),"x","")</f>
        <v/>
      </c>
      <c r="Q6813" s="79" t="str">
        <f>IF(AND(B6813='111'!$L$11,OR($N6813=$Q$7,$O6813=$Q$7)),"x","")</f>
        <v/>
      </c>
      <c r="R6813" s="79" t="str">
        <f>IF(AND($N6813=$Q$7,$B6813&lt;'111'!$L$11),"x","")</f>
        <v/>
      </c>
      <c r="S6813" s="79" t="str">
        <f>IF(AND($O6813=$Q$7,$B6813&lt;'111'!$L$11),"x","")</f>
        <v/>
      </c>
      <c r="T6813" s="79" t="str">
        <f>IF(ISERROR(FIND('112'!$M$9,G6813,1)),"",IF((AND(FIND('112'!$M$9,G6813,1)&gt;=1,B6813='112'!$K$9,OR($N6813='112'!$I$6,$O6813='112'!$I$6))),"x",""))</f>
        <v/>
      </c>
      <c r="U6813" s="79" t="str">
        <f>IF(ISERROR(FIND('112'!$M$9,G6813,1)),"",IF((AND(LEFT(G6813,2)=LEFT('112'!$M$9,2),B6813&lt;'112'!$K$9,$N6813='112'!$I$6)),"x",""))</f>
        <v/>
      </c>
      <c r="V6813" s="79" t="str">
        <f>IF(ISERROR(FIND('112'!$M$9,G6813,1)),"",IF((AND(RIGHT(G6813,2)=RIGHT('112'!$M$9,2),B6813&lt;'112'!$K$9,$O6813='112'!$I$6)),"x",""))</f>
        <v/>
      </c>
      <c r="W6813" s="79" t="str">
        <f>IF(AND('341-CT'!$H$9=H6813,OR(LEFT(N6813,3)=$W$7,LEFT(O6813,3)=$W$7)),"x","")</f>
        <v/>
      </c>
      <c r="X6813" s="79" t="str">
        <f>IF(OR(TH!N6813=TH!$X$7,O6813=TH!$X$7),"x","")</f>
        <v/>
      </c>
      <c r="Y6813" s="79" t="str">
        <f>IF(AND(OR(N6813="131",O6813="131"),H6813='131-CT'!$H$9),"x","")</f>
        <v/>
      </c>
      <c r="Z6813" s="79"/>
      <c r="AA6813" s="79" t="str">
        <f>IF(AND(MONTH(E6813)='IN-NX'!$J$5,'IN-NX'!$D$7=D6813),"x","")</f>
        <v/>
      </c>
      <c r="AB6813" s="79" t="str">
        <f>IF(AND(OR(LEFT(TH!N6813,2)="15",LEFT(TH!O6813,2)="15"),LEFT(TH!O6813,3)&lt;&gt;"111",'152-CT'!$J$8=TH!F6813),"x","")</f>
        <v/>
      </c>
      <c r="AC6813" s="79" t="str">
        <f>IF(AND(OR(LEFT(TH!N6813,2)="15",LEFT(TH!O6813,2)="15"),TK!$E$7=TH!F6813),"x","")</f>
        <v/>
      </c>
      <c r="AD6813" s="79" t="str">
        <f>IF(AND(N6813="1521",MONTH(C6813)='BK-NL'!$M$11),"x","")</f>
        <v/>
      </c>
    </row>
    <row r="6814" spans="1:30" ht="16.5" customHeight="1">
      <c r="A6814" s="318" t="str">
        <f>IF(B6814&lt;&gt;"",IF(AND(B6814='IN-TC'!$S$4,OR(TH!N6814="1111",TH!O6814="1111")),TH!D6814,""),"")</f>
        <v/>
      </c>
      <c r="B6814" s="1163" t="str">
        <f t="shared" si="527"/>
        <v/>
      </c>
      <c r="C6814" s="61"/>
      <c r="D6814" s="61"/>
      <c r="E6814" s="61"/>
      <c r="F6814" s="69"/>
      <c r="G6814" s="64"/>
      <c r="H6814" s="69"/>
      <c r="I6814" s="385"/>
      <c r="J6814" s="392"/>
      <c r="K6814" s="385"/>
      <c r="L6814" s="392"/>
      <c r="M6814" s="62"/>
      <c r="N6814" s="63"/>
      <c r="O6814" s="63"/>
      <c r="P6814" s="79" t="str">
        <f>IF(AND('331-CT'!$E$7=TH!H6814,OR(N6814="331",O6814="331")),"x","")</f>
        <v/>
      </c>
      <c r="Q6814" s="79" t="str">
        <f>IF(AND(B6814='111'!$L$11,OR($N6814=$Q$7,$O6814=$Q$7)),"x","")</f>
        <v/>
      </c>
      <c r="R6814" s="79" t="str">
        <f>IF(AND($N6814=$Q$7,$B6814&lt;'111'!$L$11),"x","")</f>
        <v/>
      </c>
      <c r="S6814" s="79" t="str">
        <f>IF(AND($O6814=$Q$7,$B6814&lt;'111'!$L$11),"x","")</f>
        <v/>
      </c>
      <c r="T6814" s="79" t="str">
        <f>IF(ISERROR(FIND('112'!$M$9,G6814,1)),"",IF((AND(FIND('112'!$M$9,G6814,1)&gt;=1,B6814='112'!$K$9,OR($N6814='112'!$I$6,$O6814='112'!$I$6))),"x",""))</f>
        <v/>
      </c>
      <c r="U6814" s="79" t="str">
        <f>IF(ISERROR(FIND('112'!$M$9,G6814,1)),"",IF((AND(LEFT(G6814,2)=LEFT('112'!$M$9,2),B6814&lt;'112'!$K$9,$N6814='112'!$I$6)),"x",""))</f>
        <v/>
      </c>
      <c r="V6814" s="79" t="str">
        <f>IF(ISERROR(FIND('112'!$M$9,G6814,1)),"",IF((AND(RIGHT(G6814,2)=RIGHT('112'!$M$9,2),B6814&lt;'112'!$K$9,$O6814='112'!$I$6)),"x",""))</f>
        <v/>
      </c>
      <c r="W6814" s="79" t="str">
        <f>IF(AND('341-CT'!$H$9=H6814,OR(LEFT(N6814,3)=$W$7,LEFT(O6814,3)=$W$7)),"x","")</f>
        <v/>
      </c>
      <c r="X6814" s="79" t="str">
        <f>IF(OR(TH!N6814=TH!$X$7,O6814=TH!$X$7),"x","")</f>
        <v/>
      </c>
      <c r="Y6814" s="79" t="str">
        <f>IF(AND(OR(N6814="131",O6814="131"),H6814='131-CT'!$H$9),"x","")</f>
        <v/>
      </c>
      <c r="Z6814" s="79"/>
      <c r="AA6814" s="79" t="str">
        <f>IF(AND(MONTH(E6814)='IN-NX'!$J$5,'IN-NX'!$D$7=D6814),"x","")</f>
        <v/>
      </c>
      <c r="AB6814" s="79" t="str">
        <f>IF(AND(OR(LEFT(TH!N6814,2)="15",LEFT(TH!O6814,2)="15"),LEFT(TH!O6814,3)&lt;&gt;"111",'152-CT'!$J$8=TH!F6814),"x","")</f>
        <v/>
      </c>
      <c r="AC6814" s="79" t="str">
        <f>IF(AND(OR(LEFT(TH!N6814,2)="15",LEFT(TH!O6814,2)="15"),TK!$E$7=TH!F6814),"x","")</f>
        <v/>
      </c>
      <c r="AD6814" s="79" t="str">
        <f>IF(AND(N6814="1521",MONTH(C6814)='BK-NL'!$M$11),"x","")</f>
        <v/>
      </c>
    </row>
    <row r="6815" spans="1:30" ht="16.5" customHeight="1">
      <c r="A6815" s="318" t="str">
        <f>IF(B6815&lt;&gt;"",IF(AND(B6815='IN-TC'!$S$4,OR(TH!N6815="1111",TH!O6815="1111")),TH!D6815,""),"")</f>
        <v/>
      </c>
      <c r="B6815" s="1163" t="str">
        <f t="shared" si="527"/>
        <v/>
      </c>
      <c r="C6815" s="61"/>
      <c r="D6815" s="61"/>
      <c r="E6815" s="61"/>
      <c r="F6815" s="69"/>
      <c r="G6815" s="64"/>
      <c r="H6815" s="69"/>
      <c r="I6815" s="385"/>
      <c r="J6815" s="392"/>
      <c r="K6815" s="385"/>
      <c r="L6815" s="392"/>
      <c r="M6815" s="62"/>
      <c r="N6815" s="63"/>
      <c r="O6815" s="63"/>
      <c r="P6815" s="79" t="str">
        <f>IF(AND('331-CT'!$E$7=TH!H6815,OR(N6815="331",O6815="331")),"x","")</f>
        <v/>
      </c>
      <c r="Q6815" s="79" t="str">
        <f>IF(AND(B6815='111'!$L$11,OR($N6815=$Q$7,$O6815=$Q$7)),"x","")</f>
        <v/>
      </c>
      <c r="R6815" s="79" t="str">
        <f>IF(AND($N6815=$Q$7,$B6815&lt;'111'!$L$11),"x","")</f>
        <v/>
      </c>
      <c r="S6815" s="79" t="str">
        <f>IF(AND($O6815=$Q$7,$B6815&lt;'111'!$L$11),"x","")</f>
        <v/>
      </c>
      <c r="T6815" s="79" t="str">
        <f>IF(ISERROR(FIND('112'!$M$9,G6815,1)),"",IF((AND(FIND('112'!$M$9,G6815,1)&gt;=1,B6815='112'!$K$9,OR($N6815='112'!$I$6,$O6815='112'!$I$6))),"x",""))</f>
        <v/>
      </c>
      <c r="U6815" s="79" t="str">
        <f>IF(ISERROR(FIND('112'!$M$9,G6815,1)),"",IF((AND(LEFT(G6815,2)=LEFT('112'!$M$9,2),B6815&lt;'112'!$K$9,$N6815='112'!$I$6)),"x",""))</f>
        <v/>
      </c>
      <c r="V6815" s="79" t="str">
        <f>IF(ISERROR(FIND('112'!$M$9,G6815,1)),"",IF((AND(RIGHT(G6815,2)=RIGHT('112'!$M$9,2),B6815&lt;'112'!$K$9,$O6815='112'!$I$6)),"x",""))</f>
        <v/>
      </c>
      <c r="W6815" s="79" t="str">
        <f>IF(AND('341-CT'!$H$9=H6815,OR(LEFT(N6815,3)=$W$7,LEFT(O6815,3)=$W$7)),"x","")</f>
        <v/>
      </c>
      <c r="X6815" s="79" t="str">
        <f>IF(OR(TH!N6815=TH!$X$7,O6815=TH!$X$7),"x","")</f>
        <v/>
      </c>
      <c r="Y6815" s="79" t="str">
        <f>IF(AND(OR(N6815="131",O6815="131"),H6815='131-CT'!$H$9),"x","")</f>
        <v/>
      </c>
      <c r="Z6815" s="79"/>
      <c r="AA6815" s="79" t="str">
        <f>IF(AND(MONTH(E6815)='IN-NX'!$J$5,'IN-NX'!$D$7=D6815),"x","")</f>
        <v/>
      </c>
      <c r="AB6815" s="79" t="str">
        <f>IF(AND(OR(LEFT(TH!N6815,2)="15",LEFT(TH!O6815,2)="15"),LEFT(TH!O6815,3)&lt;&gt;"111",'152-CT'!$J$8=TH!F6815),"x","")</f>
        <v/>
      </c>
      <c r="AC6815" s="79" t="str">
        <f>IF(AND(OR(LEFT(TH!N6815,2)="15",LEFT(TH!O6815,2)="15"),TK!$E$7=TH!F6815),"x","")</f>
        <v/>
      </c>
      <c r="AD6815" s="79" t="str">
        <f>IF(AND(N6815="1521",MONTH(C6815)='BK-NL'!$M$11),"x","")</f>
        <v/>
      </c>
    </row>
    <row r="6816" spans="1:30" ht="16.5" customHeight="1">
      <c r="A6816" s="318" t="str">
        <f>IF(B6816&lt;&gt;"",IF(AND(B6816='IN-TC'!$S$4,OR(TH!N6816="1111",TH!O6816="1111")),TH!D6816,""),"")</f>
        <v/>
      </c>
      <c r="B6816" s="1163" t="str">
        <f t="shared" si="527"/>
        <v/>
      </c>
      <c r="C6816" s="61"/>
      <c r="D6816" s="61"/>
      <c r="E6816" s="61"/>
      <c r="F6816" s="69"/>
      <c r="G6816" s="64"/>
      <c r="H6816" s="69"/>
      <c r="I6816" s="385"/>
      <c r="J6816" s="392"/>
      <c r="K6816" s="385"/>
      <c r="L6816" s="392"/>
      <c r="M6816" s="62"/>
      <c r="N6816" s="63"/>
      <c r="O6816" s="63"/>
      <c r="P6816" s="79" t="str">
        <f>IF(AND('331-CT'!$E$7=TH!H6816,OR(N6816="331",O6816="331")),"x","")</f>
        <v/>
      </c>
      <c r="Q6816" s="79" t="str">
        <f>IF(AND(B6816='111'!$L$11,OR($N6816=$Q$7,$O6816=$Q$7)),"x","")</f>
        <v/>
      </c>
      <c r="R6816" s="79" t="str">
        <f>IF(AND($N6816=$Q$7,$B6816&lt;'111'!$L$11),"x","")</f>
        <v/>
      </c>
      <c r="S6816" s="79" t="str">
        <f>IF(AND($O6816=$Q$7,$B6816&lt;'111'!$L$11),"x","")</f>
        <v/>
      </c>
      <c r="T6816" s="79" t="str">
        <f>IF(ISERROR(FIND('112'!$M$9,G6816,1)),"",IF((AND(FIND('112'!$M$9,G6816,1)&gt;=1,B6816='112'!$K$9,OR($N6816='112'!$I$6,$O6816='112'!$I$6))),"x",""))</f>
        <v/>
      </c>
      <c r="U6816" s="79" t="str">
        <f>IF(ISERROR(FIND('112'!$M$9,G6816,1)),"",IF((AND(LEFT(G6816,2)=LEFT('112'!$M$9,2),B6816&lt;'112'!$K$9,$N6816='112'!$I$6)),"x",""))</f>
        <v/>
      </c>
      <c r="V6816" s="79" t="str">
        <f>IF(ISERROR(FIND('112'!$M$9,G6816,1)),"",IF((AND(RIGHT(G6816,2)=RIGHT('112'!$M$9,2),B6816&lt;'112'!$K$9,$O6816='112'!$I$6)),"x",""))</f>
        <v/>
      </c>
      <c r="W6816" s="79" t="str">
        <f>IF(AND('341-CT'!$H$9=H6816,OR(LEFT(N6816,3)=$W$7,LEFT(O6816,3)=$W$7)),"x","")</f>
        <v/>
      </c>
      <c r="X6816" s="79" t="str">
        <f>IF(OR(TH!N6816=TH!$X$7,O6816=TH!$X$7),"x","")</f>
        <v/>
      </c>
      <c r="Y6816" s="79" t="str">
        <f>IF(AND(OR(N6816="131",O6816="131"),H6816='131-CT'!$H$9),"x","")</f>
        <v/>
      </c>
      <c r="Z6816" s="79"/>
      <c r="AA6816" s="79" t="str">
        <f>IF(AND(MONTH(E6816)='IN-NX'!$J$5,'IN-NX'!$D$7=D6816),"x","")</f>
        <v/>
      </c>
      <c r="AB6816" s="79" t="str">
        <f>IF(AND(OR(LEFT(TH!N6816,2)="15",LEFT(TH!O6816,2)="15"),LEFT(TH!O6816,3)&lt;&gt;"111",'152-CT'!$J$8=TH!F6816),"x","")</f>
        <v/>
      </c>
      <c r="AC6816" s="79" t="str">
        <f>IF(AND(OR(LEFT(TH!N6816,2)="15",LEFT(TH!O6816,2)="15"),TK!$E$7=TH!F6816),"x","")</f>
        <v/>
      </c>
      <c r="AD6816" s="79" t="str">
        <f>IF(AND(N6816="1521",MONTH(C6816)='BK-NL'!$M$11),"x","")</f>
        <v/>
      </c>
    </row>
    <row r="6817" spans="1:30" ht="16.5" customHeight="1">
      <c r="A6817" s="318" t="str">
        <f>IF(B6817&lt;&gt;"",IF(AND(B6817='IN-TC'!$S$4,OR(TH!N6817="1111",TH!O6817="1111")),TH!D6817,""),"")</f>
        <v/>
      </c>
      <c r="B6817" s="1163" t="str">
        <f t="shared" si="527"/>
        <v/>
      </c>
      <c r="C6817" s="61"/>
      <c r="D6817" s="61"/>
      <c r="E6817" s="61"/>
      <c r="F6817" s="69"/>
      <c r="G6817" s="64"/>
      <c r="H6817" s="69"/>
      <c r="I6817" s="385"/>
      <c r="J6817" s="392"/>
      <c r="K6817" s="385"/>
      <c r="L6817" s="392"/>
      <c r="M6817" s="62"/>
      <c r="N6817" s="63"/>
      <c r="O6817" s="63"/>
      <c r="P6817" s="79" t="str">
        <f>IF(AND('331-CT'!$E$7=TH!H6817,OR(N6817="331",O6817="331")),"x","")</f>
        <v/>
      </c>
      <c r="Q6817" s="79" t="str">
        <f>IF(AND(B6817='111'!$L$11,OR($N6817=$Q$7,$O6817=$Q$7)),"x","")</f>
        <v/>
      </c>
      <c r="R6817" s="79" t="str">
        <f>IF(AND($N6817=$Q$7,$B6817&lt;'111'!$L$11),"x","")</f>
        <v/>
      </c>
      <c r="S6817" s="79" t="str">
        <f>IF(AND($O6817=$Q$7,$B6817&lt;'111'!$L$11),"x","")</f>
        <v/>
      </c>
      <c r="T6817" s="79" t="str">
        <f>IF(ISERROR(FIND('112'!$M$9,G6817,1)),"",IF((AND(FIND('112'!$M$9,G6817,1)&gt;=1,B6817='112'!$K$9,OR($N6817='112'!$I$6,$O6817='112'!$I$6))),"x",""))</f>
        <v/>
      </c>
      <c r="U6817" s="79" t="str">
        <f>IF(ISERROR(FIND('112'!$M$9,G6817,1)),"",IF((AND(LEFT(G6817,2)=LEFT('112'!$M$9,2),B6817&lt;'112'!$K$9,$N6817='112'!$I$6)),"x",""))</f>
        <v/>
      </c>
      <c r="V6817" s="79" t="str">
        <f>IF(ISERROR(FIND('112'!$M$9,G6817,1)),"",IF((AND(RIGHT(G6817,2)=RIGHT('112'!$M$9,2),B6817&lt;'112'!$K$9,$O6817='112'!$I$6)),"x",""))</f>
        <v/>
      </c>
      <c r="W6817" s="79" t="str">
        <f>IF(AND('341-CT'!$H$9=H6817,OR(LEFT(N6817,3)=$W$7,LEFT(O6817,3)=$W$7)),"x","")</f>
        <v/>
      </c>
      <c r="X6817" s="79" t="str">
        <f>IF(OR(TH!N6817=TH!$X$7,O6817=TH!$X$7),"x","")</f>
        <v/>
      </c>
      <c r="Y6817" s="79" t="str">
        <f>IF(AND(OR(N6817="131",O6817="131"),H6817='131-CT'!$H$9),"x","")</f>
        <v/>
      </c>
      <c r="Z6817" s="79"/>
      <c r="AA6817" s="79" t="str">
        <f>IF(AND(MONTH(E6817)='IN-NX'!$J$5,'IN-NX'!$D$7=D6817),"x","")</f>
        <v/>
      </c>
      <c r="AB6817" s="79" t="str">
        <f>IF(AND(OR(LEFT(TH!N6817,2)="15",LEFT(TH!O6817,2)="15"),LEFT(TH!O6817,3)&lt;&gt;"111",'152-CT'!$J$8=TH!F6817),"x","")</f>
        <v/>
      </c>
      <c r="AC6817" s="79" t="str">
        <f>IF(AND(OR(LEFT(TH!N6817,2)="15",LEFT(TH!O6817,2)="15"),TK!$E$7=TH!F6817),"x","")</f>
        <v/>
      </c>
      <c r="AD6817" s="79" t="str">
        <f>IF(AND(N6817="1521",MONTH(C6817)='BK-NL'!$M$11),"x","")</f>
        <v/>
      </c>
    </row>
    <row r="6818" spans="1:30" ht="16.5" customHeight="1">
      <c r="A6818" s="318" t="str">
        <f>IF(B6818&lt;&gt;"",IF(AND(B6818='IN-TC'!$S$4,OR(TH!N6818="1111",TH!O6818="1111")),TH!D6818,""),"")</f>
        <v/>
      </c>
      <c r="B6818" s="1163" t="str">
        <f t="shared" si="527"/>
        <v/>
      </c>
      <c r="C6818" s="61"/>
      <c r="D6818" s="61"/>
      <c r="E6818" s="61"/>
      <c r="F6818" s="69"/>
      <c r="G6818" s="64"/>
      <c r="H6818" s="69"/>
      <c r="I6818" s="385"/>
      <c r="J6818" s="392"/>
      <c r="K6818" s="385"/>
      <c r="L6818" s="392"/>
      <c r="M6818" s="62"/>
      <c r="N6818" s="63"/>
      <c r="O6818" s="63"/>
      <c r="P6818" s="79" t="str">
        <f>IF(AND('331-CT'!$E$7=TH!H6818,OR(N6818="331",O6818="331")),"x","")</f>
        <v/>
      </c>
      <c r="Q6818" s="79" t="str">
        <f>IF(AND(B6818='111'!$L$11,OR($N6818=$Q$7,$O6818=$Q$7)),"x","")</f>
        <v/>
      </c>
      <c r="R6818" s="79" t="str">
        <f>IF(AND($N6818=$Q$7,$B6818&lt;'111'!$L$11),"x","")</f>
        <v/>
      </c>
      <c r="S6818" s="79" t="str">
        <f>IF(AND($O6818=$Q$7,$B6818&lt;'111'!$L$11),"x","")</f>
        <v/>
      </c>
      <c r="T6818" s="79" t="str">
        <f>IF(ISERROR(FIND('112'!$M$9,G6818,1)),"",IF((AND(FIND('112'!$M$9,G6818,1)&gt;=1,B6818='112'!$K$9,OR($N6818='112'!$I$6,$O6818='112'!$I$6))),"x",""))</f>
        <v/>
      </c>
      <c r="U6818" s="79" t="str">
        <f>IF(ISERROR(FIND('112'!$M$9,G6818,1)),"",IF((AND(LEFT(G6818,2)=LEFT('112'!$M$9,2),B6818&lt;'112'!$K$9,$N6818='112'!$I$6)),"x",""))</f>
        <v/>
      </c>
      <c r="V6818" s="79" t="str">
        <f>IF(ISERROR(FIND('112'!$M$9,G6818,1)),"",IF((AND(RIGHT(G6818,2)=RIGHT('112'!$M$9,2),B6818&lt;'112'!$K$9,$O6818='112'!$I$6)),"x",""))</f>
        <v/>
      </c>
      <c r="W6818" s="79" t="str">
        <f>IF(AND('341-CT'!$H$9=H6818,OR(LEFT(N6818,3)=$W$7,LEFT(O6818,3)=$W$7)),"x","")</f>
        <v/>
      </c>
      <c r="X6818" s="79" t="str">
        <f>IF(OR(TH!N6818=TH!$X$7,O6818=TH!$X$7),"x","")</f>
        <v/>
      </c>
      <c r="Y6818" s="79" t="str">
        <f>IF(AND(OR(N6818="131",O6818="131"),H6818='131-CT'!$H$9),"x","")</f>
        <v/>
      </c>
      <c r="Z6818" s="79"/>
      <c r="AA6818" s="79" t="str">
        <f>IF(AND(MONTH(E6818)='IN-NX'!$J$5,'IN-NX'!$D$7=D6818),"x","")</f>
        <v/>
      </c>
      <c r="AB6818" s="79" t="str">
        <f>IF(AND(OR(LEFT(TH!N6818,2)="15",LEFT(TH!O6818,2)="15"),LEFT(TH!O6818,3)&lt;&gt;"111",'152-CT'!$J$8=TH!F6818),"x","")</f>
        <v/>
      </c>
      <c r="AC6818" s="79" t="str">
        <f>IF(AND(OR(LEFT(TH!N6818,2)="15",LEFT(TH!O6818,2)="15"),TK!$E$7=TH!F6818),"x","")</f>
        <v/>
      </c>
      <c r="AD6818" s="79" t="str">
        <f>IF(AND(N6818="1521",MONTH(C6818)='BK-NL'!$M$11),"x","")</f>
        <v/>
      </c>
    </row>
    <row r="6819" spans="1:30" ht="16.5" customHeight="1">
      <c r="A6819" s="318" t="str">
        <f>IF(B6819&lt;&gt;"",IF(AND(B6819='IN-TC'!$S$4,OR(TH!N6819="1111",TH!O6819="1111")),TH!D6819,""),"")</f>
        <v/>
      </c>
      <c r="B6819" s="1163" t="str">
        <f t="shared" si="527"/>
        <v/>
      </c>
      <c r="C6819" s="61"/>
      <c r="D6819" s="61"/>
      <c r="E6819" s="61"/>
      <c r="F6819" s="69"/>
      <c r="G6819" s="64"/>
      <c r="H6819" s="69"/>
      <c r="I6819" s="385"/>
      <c r="J6819" s="392"/>
      <c r="K6819" s="385"/>
      <c r="L6819" s="392"/>
      <c r="M6819" s="62"/>
      <c r="N6819" s="63"/>
      <c r="O6819" s="63"/>
      <c r="P6819" s="79" t="str">
        <f>IF(AND('331-CT'!$E$7=TH!H6819,OR(N6819="331",O6819="331")),"x","")</f>
        <v/>
      </c>
      <c r="Q6819" s="79" t="str">
        <f>IF(AND(B6819='111'!$L$11,OR($N6819=$Q$7,$O6819=$Q$7)),"x","")</f>
        <v/>
      </c>
      <c r="R6819" s="79" t="str">
        <f>IF(AND($N6819=$Q$7,$B6819&lt;'111'!$L$11),"x","")</f>
        <v/>
      </c>
      <c r="S6819" s="79" t="str">
        <f>IF(AND($O6819=$Q$7,$B6819&lt;'111'!$L$11),"x","")</f>
        <v/>
      </c>
      <c r="T6819" s="79" t="str">
        <f>IF(ISERROR(FIND('112'!$M$9,G6819,1)),"",IF((AND(FIND('112'!$M$9,G6819,1)&gt;=1,B6819='112'!$K$9,OR($N6819='112'!$I$6,$O6819='112'!$I$6))),"x",""))</f>
        <v/>
      </c>
      <c r="U6819" s="79" t="str">
        <f>IF(ISERROR(FIND('112'!$M$9,G6819,1)),"",IF((AND(LEFT(G6819,2)=LEFT('112'!$M$9,2),B6819&lt;'112'!$K$9,$N6819='112'!$I$6)),"x",""))</f>
        <v/>
      </c>
      <c r="V6819" s="79" t="str">
        <f>IF(ISERROR(FIND('112'!$M$9,G6819,1)),"",IF((AND(RIGHT(G6819,2)=RIGHT('112'!$M$9,2),B6819&lt;'112'!$K$9,$O6819='112'!$I$6)),"x",""))</f>
        <v/>
      </c>
      <c r="W6819" s="79" t="str">
        <f>IF(AND('341-CT'!$H$9=H6819,OR(LEFT(N6819,3)=$W$7,LEFT(O6819,3)=$W$7)),"x","")</f>
        <v/>
      </c>
      <c r="X6819" s="79" t="str">
        <f>IF(OR(TH!N6819=TH!$X$7,O6819=TH!$X$7),"x","")</f>
        <v/>
      </c>
      <c r="Y6819" s="79" t="str">
        <f>IF(AND(OR(N6819="131",O6819="131"),H6819='131-CT'!$H$9),"x","")</f>
        <v/>
      </c>
      <c r="Z6819" s="79"/>
      <c r="AA6819" s="79" t="str">
        <f>IF(AND(MONTH(E6819)='IN-NX'!$J$5,'IN-NX'!$D$7=D6819),"x","")</f>
        <v/>
      </c>
      <c r="AB6819" s="79" t="str">
        <f>IF(AND(OR(LEFT(TH!N6819,2)="15",LEFT(TH!O6819,2)="15"),LEFT(TH!O6819,3)&lt;&gt;"111",'152-CT'!$J$8=TH!F6819),"x","")</f>
        <v/>
      </c>
      <c r="AC6819" s="79" t="str">
        <f>IF(AND(OR(LEFT(TH!N6819,2)="15",LEFT(TH!O6819,2)="15"),TK!$E$7=TH!F6819),"x","")</f>
        <v/>
      </c>
      <c r="AD6819" s="79" t="str">
        <f>IF(AND(N6819="1521",MONTH(C6819)='BK-NL'!$M$11),"x","")</f>
        <v/>
      </c>
    </row>
    <row r="6820" spans="1:30" ht="16.5" customHeight="1">
      <c r="A6820" s="318" t="str">
        <f>IF(B6820&lt;&gt;"",IF(AND(B6820='IN-TC'!$S$4,OR(TH!N6820="1111",TH!O6820="1111")),TH!D6820,""),"")</f>
        <v/>
      </c>
      <c r="B6820" s="1163" t="str">
        <f t="shared" si="527"/>
        <v/>
      </c>
      <c r="C6820" s="61"/>
      <c r="D6820" s="61"/>
      <c r="E6820" s="61"/>
      <c r="F6820" s="69"/>
      <c r="G6820" s="64"/>
      <c r="H6820" s="69"/>
      <c r="I6820" s="385"/>
      <c r="J6820" s="392"/>
      <c r="K6820" s="385"/>
      <c r="L6820" s="392"/>
      <c r="M6820" s="62"/>
      <c r="N6820" s="63"/>
      <c r="O6820" s="63"/>
      <c r="P6820" s="79" t="str">
        <f>IF(AND('331-CT'!$E$7=TH!H6820,OR(N6820="331",O6820="331")),"x","")</f>
        <v/>
      </c>
      <c r="Q6820" s="79" t="str">
        <f>IF(AND(B6820='111'!$L$11,OR($N6820=$Q$7,$O6820=$Q$7)),"x","")</f>
        <v/>
      </c>
      <c r="R6820" s="79" t="str">
        <f>IF(AND($N6820=$Q$7,$B6820&lt;'111'!$L$11),"x","")</f>
        <v/>
      </c>
      <c r="S6820" s="79" t="str">
        <f>IF(AND($O6820=$Q$7,$B6820&lt;'111'!$L$11),"x","")</f>
        <v/>
      </c>
      <c r="T6820" s="79" t="str">
        <f>IF(ISERROR(FIND('112'!$M$9,G6820,1)),"",IF((AND(FIND('112'!$M$9,G6820,1)&gt;=1,B6820='112'!$K$9,OR($N6820='112'!$I$6,$O6820='112'!$I$6))),"x",""))</f>
        <v/>
      </c>
      <c r="U6820" s="79" t="str">
        <f>IF(ISERROR(FIND('112'!$M$9,G6820,1)),"",IF((AND(LEFT(G6820,2)=LEFT('112'!$M$9,2),B6820&lt;'112'!$K$9,$N6820='112'!$I$6)),"x",""))</f>
        <v/>
      </c>
      <c r="V6820" s="79" t="str">
        <f>IF(ISERROR(FIND('112'!$M$9,G6820,1)),"",IF((AND(RIGHT(G6820,2)=RIGHT('112'!$M$9,2),B6820&lt;'112'!$K$9,$O6820='112'!$I$6)),"x",""))</f>
        <v/>
      </c>
      <c r="W6820" s="79" t="str">
        <f>IF(AND('341-CT'!$H$9=H6820,OR(LEFT(N6820,3)=$W$7,LEFT(O6820,3)=$W$7)),"x","")</f>
        <v/>
      </c>
      <c r="X6820" s="79" t="str">
        <f>IF(OR(TH!N6820=TH!$X$7,O6820=TH!$X$7),"x","")</f>
        <v/>
      </c>
      <c r="Y6820" s="79" t="str">
        <f>IF(AND(OR(N6820="131",O6820="131"),H6820='131-CT'!$H$9),"x","")</f>
        <v/>
      </c>
      <c r="Z6820" s="79"/>
      <c r="AA6820" s="79" t="str">
        <f>IF(AND(MONTH(E6820)='IN-NX'!$J$5,'IN-NX'!$D$7=D6820),"x","")</f>
        <v/>
      </c>
      <c r="AB6820" s="79" t="str">
        <f>IF(AND(OR(LEFT(TH!N6820,2)="15",LEFT(TH!O6820,2)="15"),LEFT(TH!O6820,3)&lt;&gt;"111",'152-CT'!$J$8=TH!F6820),"x","")</f>
        <v/>
      </c>
      <c r="AC6820" s="79" t="str">
        <f>IF(AND(OR(LEFT(TH!N6820,2)="15",LEFT(TH!O6820,2)="15"),TK!$E$7=TH!F6820),"x","")</f>
        <v/>
      </c>
      <c r="AD6820" s="79" t="str">
        <f>IF(AND(N6820="1521",MONTH(C6820)='BK-NL'!$M$11),"x","")</f>
        <v/>
      </c>
    </row>
    <row r="6821" spans="1:30" ht="16.5" customHeight="1">
      <c r="A6821" s="318" t="str">
        <f>IF(B6821&lt;&gt;"",IF(AND(B6821='IN-TC'!$S$4,OR(TH!N6821="1111",TH!O6821="1111")),TH!D6821,""),"")</f>
        <v/>
      </c>
      <c r="B6821" s="1163" t="str">
        <f t="shared" si="527"/>
        <v/>
      </c>
      <c r="C6821" s="61"/>
      <c r="D6821" s="61"/>
      <c r="E6821" s="61"/>
      <c r="F6821" s="69"/>
      <c r="G6821" s="766"/>
      <c r="H6821" s="69"/>
      <c r="I6821" s="385"/>
      <c r="J6821" s="392"/>
      <c r="K6821" s="385"/>
      <c r="L6821" s="392"/>
      <c r="M6821" s="62"/>
      <c r="N6821" s="63"/>
      <c r="O6821" s="63"/>
      <c r="P6821" s="79" t="str">
        <f>IF(AND('331-CT'!$E$7=TH!H6821,OR(N6821="331",O6821="331")),"x","")</f>
        <v/>
      </c>
      <c r="Q6821" s="79" t="str">
        <f>IF(AND(B6821='111'!$L$11,OR($N6821=$Q$7,$O6821=$Q$7)),"x","")</f>
        <v/>
      </c>
      <c r="R6821" s="79" t="str">
        <f>IF(AND($N6821=$Q$7,$B6821&lt;'111'!$L$11),"x","")</f>
        <v/>
      </c>
      <c r="S6821" s="79" t="str">
        <f>IF(AND($O6821=$Q$7,$B6821&lt;'111'!$L$11),"x","")</f>
        <v/>
      </c>
      <c r="T6821" s="79" t="str">
        <f>IF(ISERROR(FIND('112'!$M$9,G6821,1)),"",IF((AND(FIND('112'!$M$9,G6821,1)&gt;=1,B6821='112'!$K$9,OR($N6821='112'!$I$6,$O6821='112'!$I$6))),"x",""))</f>
        <v/>
      </c>
      <c r="U6821" s="79" t="str">
        <f>IF(ISERROR(FIND('112'!$M$9,G6821,1)),"",IF((AND(LEFT(G6821,2)=LEFT('112'!$M$9,2),B6821&lt;'112'!$K$9,$N6821='112'!$I$6)),"x",""))</f>
        <v/>
      </c>
      <c r="V6821" s="79" t="str">
        <f>IF(ISERROR(FIND('112'!$M$9,G6821,1)),"",IF((AND(RIGHT(G6821,2)=RIGHT('112'!$M$9,2),B6821&lt;'112'!$K$9,$O6821='112'!$I$6)),"x",""))</f>
        <v/>
      </c>
      <c r="W6821" s="79" t="str">
        <f>IF(AND('341-CT'!$H$9=H6821,OR(LEFT(N6821,3)=$W$7,LEFT(O6821,3)=$W$7)),"x","")</f>
        <v/>
      </c>
      <c r="X6821" s="79" t="str">
        <f>IF(OR(TH!N6821=TH!$X$7,O6821=TH!$X$7),"x","")</f>
        <v/>
      </c>
      <c r="Y6821" s="79" t="str">
        <f>IF(AND(OR(N6821="131",O6821="131"),H6821='131-CT'!$H$9),"x","")</f>
        <v/>
      </c>
      <c r="Z6821" s="79"/>
      <c r="AA6821" s="79" t="str">
        <f>IF(AND(MONTH(E6821)='IN-NX'!$J$5,'IN-NX'!$D$7=D6821),"x","")</f>
        <v/>
      </c>
      <c r="AB6821" s="79" t="str">
        <f>IF(AND(OR(LEFT(TH!N6821,2)="15",LEFT(TH!O6821,2)="15"),LEFT(TH!O6821,3)&lt;&gt;"111",'152-CT'!$J$8=TH!F6821),"x","")</f>
        <v/>
      </c>
      <c r="AC6821" s="79" t="str">
        <f>IF(AND(OR(LEFT(TH!N6821,2)="15",LEFT(TH!O6821,2)="15"),TK!$E$7=TH!F6821),"x","")</f>
        <v/>
      </c>
      <c r="AD6821" s="79" t="str">
        <f>IF(AND(N6821="1521",MONTH(C6821)='BK-NL'!$M$11),"x","")</f>
        <v/>
      </c>
    </row>
    <row r="6822" spans="1:30" ht="16.5" customHeight="1">
      <c r="A6822" s="318" t="str">
        <f>IF(B6822&lt;&gt;"",IF(AND(B6822='IN-TC'!$S$4,OR(TH!N6822="1111",TH!O6822="1111")),TH!D6822,""),"")</f>
        <v/>
      </c>
      <c r="B6822" s="1163" t="str">
        <f t="shared" si="527"/>
        <v/>
      </c>
      <c r="C6822" s="61"/>
      <c r="D6822" s="61"/>
      <c r="E6822" s="61"/>
      <c r="F6822" s="69"/>
      <c r="G6822" s="766"/>
      <c r="H6822" s="69"/>
      <c r="I6822" s="385"/>
      <c r="J6822" s="392"/>
      <c r="K6822" s="385"/>
      <c r="L6822" s="392"/>
      <c r="M6822" s="62"/>
      <c r="N6822" s="63"/>
      <c r="O6822" s="63"/>
      <c r="P6822" s="79" t="str">
        <f>IF(AND('331-CT'!$E$7=TH!H6822,OR(N6822="331",O6822="331")),"x","")</f>
        <v/>
      </c>
      <c r="Q6822" s="79" t="str">
        <f>IF(AND(B6822='111'!$L$11,OR($N6822=$Q$7,$O6822=$Q$7)),"x","")</f>
        <v/>
      </c>
      <c r="R6822" s="79" t="str">
        <f>IF(AND($N6822=$Q$7,$B6822&lt;'111'!$L$11),"x","")</f>
        <v/>
      </c>
      <c r="S6822" s="79" t="str">
        <f>IF(AND($O6822=$Q$7,$B6822&lt;'111'!$L$11),"x","")</f>
        <v/>
      </c>
      <c r="T6822" s="79" t="str">
        <f>IF(ISERROR(FIND('112'!$M$9,G6822,1)),"",IF((AND(FIND('112'!$M$9,G6822,1)&gt;=1,B6822='112'!$K$9,OR($N6822='112'!$I$6,$O6822='112'!$I$6))),"x",""))</f>
        <v/>
      </c>
      <c r="U6822" s="79" t="str">
        <f>IF(ISERROR(FIND('112'!$M$9,G6822,1)),"",IF((AND(LEFT(G6822,2)=LEFT('112'!$M$9,2),B6822&lt;'112'!$K$9,$N6822='112'!$I$6)),"x",""))</f>
        <v/>
      </c>
      <c r="V6822" s="79" t="str">
        <f>IF(ISERROR(FIND('112'!$M$9,G6822,1)),"",IF((AND(RIGHT(G6822,2)=RIGHT('112'!$M$9,2),B6822&lt;'112'!$K$9,$O6822='112'!$I$6)),"x",""))</f>
        <v/>
      </c>
      <c r="W6822" s="79" t="str">
        <f>IF(AND('341-CT'!$H$9=H6822,OR(LEFT(N6822,3)=$W$7,LEFT(O6822,3)=$W$7)),"x","")</f>
        <v/>
      </c>
      <c r="X6822" s="79" t="str">
        <f>IF(OR(TH!N6822=TH!$X$7,O6822=TH!$X$7),"x","")</f>
        <v/>
      </c>
      <c r="Y6822" s="79" t="str">
        <f>IF(AND(OR(N6822="131",O6822="131"),H6822='131-CT'!$H$9),"x","")</f>
        <v/>
      </c>
      <c r="Z6822" s="79"/>
      <c r="AA6822" s="79" t="str">
        <f>IF(AND(MONTH(E6822)='IN-NX'!$J$5,'IN-NX'!$D$7=D6822),"x","")</f>
        <v/>
      </c>
      <c r="AB6822" s="79" t="str">
        <f>IF(AND(OR(LEFT(TH!N6822,2)="15",LEFT(TH!O6822,2)="15"),LEFT(TH!O6822,3)&lt;&gt;"111",'152-CT'!$J$8=TH!F6822),"x","")</f>
        <v/>
      </c>
      <c r="AC6822" s="79" t="str">
        <f>IF(AND(OR(LEFT(TH!N6822,2)="15",LEFT(TH!O6822,2)="15"),TK!$E$7=TH!F6822),"x","")</f>
        <v/>
      </c>
      <c r="AD6822" s="79" t="str">
        <f>IF(AND(N6822="1521",MONTH(C6822)='BK-NL'!$M$11),"x","")</f>
        <v/>
      </c>
    </row>
    <row r="6823" spans="1:30" ht="16.5" customHeight="1">
      <c r="A6823" s="318" t="str">
        <f>IF(B6823&lt;&gt;"",IF(AND(B6823='IN-TC'!$S$4,OR(TH!N6823="1111",TH!O6823="1111")),TH!D6823,""),"")</f>
        <v/>
      </c>
      <c r="B6823" s="1163" t="str">
        <f t="shared" si="527"/>
        <v/>
      </c>
      <c r="C6823" s="61"/>
      <c r="D6823" s="61"/>
      <c r="E6823" s="61"/>
      <c r="F6823" s="69"/>
      <c r="G6823" s="766"/>
      <c r="H6823" s="69"/>
      <c r="I6823" s="385"/>
      <c r="J6823" s="392"/>
      <c r="K6823" s="385"/>
      <c r="L6823" s="392"/>
      <c r="M6823" s="62"/>
      <c r="N6823" s="63"/>
      <c r="O6823" s="63"/>
      <c r="P6823" s="79" t="str">
        <f>IF(AND('331-CT'!$E$7=TH!H6823,OR(N6823="331",O6823="331")),"x","")</f>
        <v/>
      </c>
      <c r="Q6823" s="79" t="str">
        <f>IF(AND(B6823='111'!$L$11,OR($N6823=$Q$7,$O6823=$Q$7)),"x","")</f>
        <v/>
      </c>
      <c r="R6823" s="79" t="str">
        <f>IF(AND($N6823=$Q$7,$B6823&lt;'111'!$L$11),"x","")</f>
        <v/>
      </c>
      <c r="S6823" s="79" t="str">
        <f>IF(AND($O6823=$Q$7,$B6823&lt;'111'!$L$11),"x","")</f>
        <v/>
      </c>
      <c r="T6823" s="79" t="str">
        <f>IF(ISERROR(FIND('112'!$M$9,G6823,1)),"",IF((AND(FIND('112'!$M$9,G6823,1)&gt;=1,B6823='112'!$K$9,OR($N6823='112'!$I$6,$O6823='112'!$I$6))),"x",""))</f>
        <v/>
      </c>
      <c r="U6823" s="79" t="str">
        <f>IF(ISERROR(FIND('112'!$M$9,G6823,1)),"",IF((AND(LEFT(G6823,2)=LEFT('112'!$M$9,2),B6823&lt;'112'!$K$9,$N6823='112'!$I$6)),"x",""))</f>
        <v/>
      </c>
      <c r="V6823" s="79" t="str">
        <f>IF(ISERROR(FIND('112'!$M$9,G6823,1)),"",IF((AND(RIGHT(G6823,2)=RIGHT('112'!$M$9,2),B6823&lt;'112'!$K$9,$O6823='112'!$I$6)),"x",""))</f>
        <v/>
      </c>
      <c r="W6823" s="79" t="str">
        <f>IF(AND('341-CT'!$H$9=H6823,OR(LEFT(N6823,3)=$W$7,LEFT(O6823,3)=$W$7)),"x","")</f>
        <v/>
      </c>
      <c r="X6823" s="79" t="str">
        <f>IF(OR(TH!N6823=TH!$X$7,O6823=TH!$X$7),"x","")</f>
        <v/>
      </c>
      <c r="Y6823" s="79" t="str">
        <f>IF(AND(OR(N6823="131",O6823="131"),H6823='131-CT'!$H$9),"x","")</f>
        <v/>
      </c>
      <c r="Z6823" s="79"/>
      <c r="AA6823" s="79" t="str">
        <f>IF(AND(MONTH(E6823)='IN-NX'!$J$5,'IN-NX'!$D$7=D6823),"x","")</f>
        <v/>
      </c>
      <c r="AB6823" s="79" t="str">
        <f>IF(AND(OR(LEFT(TH!N6823,2)="15",LEFT(TH!O6823,2)="15"),LEFT(TH!O6823,3)&lt;&gt;"111",'152-CT'!$J$8=TH!F6823),"x","")</f>
        <v/>
      </c>
      <c r="AC6823" s="79" t="str">
        <f>IF(AND(OR(LEFT(TH!N6823,2)="15",LEFT(TH!O6823,2)="15"),TK!$E$7=TH!F6823),"x","")</f>
        <v/>
      </c>
      <c r="AD6823" s="79" t="str">
        <f>IF(AND(N6823="1521",MONTH(C6823)='BK-NL'!$M$11),"x","")</f>
        <v/>
      </c>
    </row>
    <row r="6824" spans="1:30" ht="16.5" customHeight="1">
      <c r="A6824" s="318" t="str">
        <f>IF(B6824&lt;&gt;"",IF(AND(B6824='IN-TC'!$S$4,OR(TH!N6824="1111",TH!O6824="1111")),TH!D6824,""),"")</f>
        <v/>
      </c>
      <c r="B6824" s="1163" t="str">
        <f t="shared" si="527"/>
        <v/>
      </c>
      <c r="C6824" s="61"/>
      <c r="D6824" s="61"/>
      <c r="E6824" s="61"/>
      <c r="F6824" s="69"/>
      <c r="G6824" s="64"/>
      <c r="H6824" s="69"/>
      <c r="I6824" s="385"/>
      <c r="J6824" s="392"/>
      <c r="K6824" s="385"/>
      <c r="L6824" s="392"/>
      <c r="M6824" s="62"/>
      <c r="N6824" s="63"/>
      <c r="O6824" s="63"/>
      <c r="P6824" s="79" t="str">
        <f>IF(AND('331-CT'!$E$7=TH!H6824,OR(N6824="331",O6824="331")),"x","")</f>
        <v/>
      </c>
      <c r="Q6824" s="79" t="str">
        <f>IF(AND(B6824='111'!$L$11,OR($N6824=$Q$7,$O6824=$Q$7)),"x","")</f>
        <v/>
      </c>
      <c r="R6824" s="79" t="str">
        <f>IF(AND($N6824=$Q$7,$B6824&lt;'111'!$L$11),"x","")</f>
        <v/>
      </c>
      <c r="S6824" s="79" t="str">
        <f>IF(AND($O6824=$Q$7,$B6824&lt;'111'!$L$11),"x","")</f>
        <v/>
      </c>
      <c r="T6824" s="79" t="str">
        <f>IF(ISERROR(FIND('112'!$M$9,G6824,1)),"",IF((AND(FIND('112'!$M$9,G6824,1)&gt;=1,B6824='112'!$K$9,OR($N6824='112'!$I$6,$O6824='112'!$I$6))),"x",""))</f>
        <v/>
      </c>
      <c r="U6824" s="79" t="str">
        <f>IF(ISERROR(FIND('112'!$M$9,G6824,1)),"",IF((AND(LEFT(G6824,2)=LEFT('112'!$M$9,2),B6824&lt;'112'!$K$9,$N6824='112'!$I$6)),"x",""))</f>
        <v/>
      </c>
      <c r="V6824" s="79" t="str">
        <f>IF(ISERROR(FIND('112'!$M$9,G6824,1)),"",IF((AND(RIGHT(G6824,2)=RIGHT('112'!$M$9,2),B6824&lt;'112'!$K$9,$O6824='112'!$I$6)),"x",""))</f>
        <v/>
      </c>
      <c r="W6824" s="79" t="str">
        <f>IF(AND('341-CT'!$H$9=H6824,OR(LEFT(N6824,3)=$W$7,LEFT(O6824,3)=$W$7)),"x","")</f>
        <v/>
      </c>
      <c r="X6824" s="79" t="str">
        <f>IF(OR(TH!N6824=TH!$X$7,O6824=TH!$X$7),"x","")</f>
        <v/>
      </c>
      <c r="Y6824" s="79" t="str">
        <f>IF(AND(OR(N6824="131",O6824="131"),H6824='131-CT'!$H$9),"x","")</f>
        <v/>
      </c>
      <c r="Z6824" s="79"/>
      <c r="AA6824" s="79" t="str">
        <f>IF(AND(MONTH(E6824)='IN-NX'!$J$5,'IN-NX'!$D$7=D6824),"x","")</f>
        <v/>
      </c>
      <c r="AB6824" s="79" t="str">
        <f>IF(AND(OR(LEFT(TH!N6824,2)="15",LEFT(TH!O6824,2)="15"),LEFT(TH!O6824,3)&lt;&gt;"111",'152-CT'!$J$8=TH!F6824),"x","")</f>
        <v/>
      </c>
      <c r="AC6824" s="79" t="str">
        <f>IF(AND(OR(LEFT(TH!N6824,2)="15",LEFT(TH!O6824,2)="15"),TK!$E$7=TH!F6824),"x","")</f>
        <v/>
      </c>
      <c r="AD6824" s="79" t="str">
        <f>IF(AND(N6824="1521",MONTH(C6824)='BK-NL'!$M$11),"x","")</f>
        <v/>
      </c>
    </row>
    <row r="6825" spans="1:30" ht="16.5" customHeight="1">
      <c r="A6825" s="318" t="str">
        <f>IF(B6825&lt;&gt;"",IF(AND(B6825='IN-TC'!$S$4,OR(TH!N6825="1111",TH!O6825="1111")),TH!D6825,""),"")</f>
        <v/>
      </c>
      <c r="B6825" s="1163" t="str">
        <f t="shared" si="527"/>
        <v/>
      </c>
      <c r="C6825" s="61"/>
      <c r="D6825" s="61"/>
      <c r="E6825" s="61"/>
      <c r="F6825" s="69"/>
      <c r="G6825" s="64"/>
      <c r="H6825" s="69"/>
      <c r="I6825" s="385"/>
      <c r="J6825" s="392"/>
      <c r="K6825" s="385"/>
      <c r="L6825" s="392"/>
      <c r="M6825" s="62"/>
      <c r="N6825" s="63"/>
      <c r="O6825" s="63"/>
      <c r="P6825" s="79" t="str">
        <f>IF(AND('331-CT'!$E$7=TH!H6825,OR(N6825="331",O6825="331")),"x","")</f>
        <v/>
      </c>
      <c r="Q6825" s="79" t="str">
        <f>IF(AND(B6825='111'!$L$11,OR($N6825=$Q$7,$O6825=$Q$7)),"x","")</f>
        <v/>
      </c>
      <c r="R6825" s="79" t="str">
        <f>IF(AND($N6825=$Q$7,$B6825&lt;'111'!$L$11),"x","")</f>
        <v/>
      </c>
      <c r="S6825" s="79" t="str">
        <f>IF(AND($O6825=$Q$7,$B6825&lt;'111'!$L$11),"x","")</f>
        <v/>
      </c>
      <c r="T6825" s="79" t="str">
        <f>IF(ISERROR(FIND('112'!$M$9,G6825,1)),"",IF((AND(FIND('112'!$M$9,G6825,1)&gt;=1,B6825='112'!$K$9,OR($N6825='112'!$I$6,$O6825='112'!$I$6))),"x",""))</f>
        <v/>
      </c>
      <c r="U6825" s="79" t="str">
        <f>IF(ISERROR(FIND('112'!$M$9,G6825,1)),"",IF((AND(LEFT(G6825,2)=LEFT('112'!$M$9,2),B6825&lt;'112'!$K$9,$N6825='112'!$I$6)),"x",""))</f>
        <v/>
      </c>
      <c r="V6825" s="79" t="str">
        <f>IF(ISERROR(FIND('112'!$M$9,G6825,1)),"",IF((AND(RIGHT(G6825,2)=RIGHT('112'!$M$9,2),B6825&lt;'112'!$K$9,$O6825='112'!$I$6)),"x",""))</f>
        <v/>
      </c>
      <c r="W6825" s="79" t="str">
        <f>IF(AND('341-CT'!$H$9=H6825,OR(LEFT(N6825,3)=$W$7,LEFT(O6825,3)=$W$7)),"x","")</f>
        <v/>
      </c>
      <c r="X6825" s="79" t="str">
        <f>IF(OR(TH!N6825=TH!$X$7,O6825=TH!$X$7),"x","")</f>
        <v/>
      </c>
      <c r="Y6825" s="79" t="str">
        <f>IF(AND(OR(N6825="131",O6825="131"),H6825='131-CT'!$H$9),"x","")</f>
        <v/>
      </c>
      <c r="Z6825" s="79"/>
      <c r="AA6825" s="79" t="str">
        <f>IF(AND(MONTH(E6825)='IN-NX'!$J$5,'IN-NX'!$D$7=D6825),"x","")</f>
        <v/>
      </c>
      <c r="AB6825" s="79" t="str">
        <f>IF(AND(OR(LEFT(TH!N6825,2)="15",LEFT(TH!O6825,2)="15"),LEFT(TH!O6825,3)&lt;&gt;"111",'152-CT'!$J$8=TH!F6825),"x","")</f>
        <v/>
      </c>
      <c r="AC6825" s="79" t="str">
        <f>IF(AND(OR(LEFT(TH!N6825,2)="15",LEFT(TH!O6825,2)="15"),TK!$E$7=TH!F6825),"x","")</f>
        <v/>
      </c>
      <c r="AD6825" s="79" t="str">
        <f>IF(AND(N6825="1521",MONTH(C6825)='BK-NL'!$M$11),"x","")</f>
        <v/>
      </c>
    </row>
    <row r="6826" spans="1:30" ht="16.5" customHeight="1">
      <c r="A6826" s="318" t="str">
        <f>IF(B6826&lt;&gt;"",IF(AND(B6826='IN-TC'!$S$4,OR(TH!N6826="1111",TH!O6826="1111")),TH!D6826,""),"")</f>
        <v/>
      </c>
      <c r="B6826" s="1163" t="str">
        <f t="shared" si="527"/>
        <v/>
      </c>
      <c r="C6826" s="61"/>
      <c r="D6826" s="61"/>
      <c r="E6826" s="61"/>
      <c r="F6826" s="69"/>
      <c r="G6826" s="766"/>
      <c r="H6826" s="69"/>
      <c r="I6826" s="385"/>
      <c r="J6826" s="392"/>
      <c r="K6826" s="385"/>
      <c r="L6826" s="392"/>
      <c r="M6826" s="62"/>
      <c r="N6826" s="63"/>
      <c r="O6826" s="63"/>
      <c r="P6826" s="79" t="str">
        <f>IF(AND('331-CT'!$E$7=TH!H6826,OR(N6826="331",O6826="331")),"x","")</f>
        <v/>
      </c>
      <c r="Q6826" s="79" t="str">
        <f>IF(AND(B6826='111'!$L$11,OR($N6826=$Q$7,$O6826=$Q$7)),"x","")</f>
        <v/>
      </c>
      <c r="R6826" s="79" t="str">
        <f>IF(AND($N6826=$Q$7,$B6826&lt;'111'!$L$11),"x","")</f>
        <v/>
      </c>
      <c r="S6826" s="79" t="str">
        <f>IF(AND($O6826=$Q$7,$B6826&lt;'111'!$L$11),"x","")</f>
        <v/>
      </c>
      <c r="T6826" s="79" t="str">
        <f>IF(ISERROR(FIND('112'!$M$9,G6826,1)),"",IF((AND(FIND('112'!$M$9,G6826,1)&gt;=1,B6826='112'!$K$9,OR($N6826='112'!$I$6,$O6826='112'!$I$6))),"x",""))</f>
        <v/>
      </c>
      <c r="U6826" s="79" t="str">
        <f>IF(ISERROR(FIND('112'!$M$9,G6826,1)),"",IF((AND(LEFT(G6826,2)=LEFT('112'!$M$9,2),B6826&lt;'112'!$K$9,$N6826='112'!$I$6)),"x",""))</f>
        <v/>
      </c>
      <c r="V6826" s="79" t="str">
        <f>IF(ISERROR(FIND('112'!$M$9,G6826,1)),"",IF((AND(RIGHT(G6826,2)=RIGHT('112'!$M$9,2),B6826&lt;'112'!$K$9,$O6826='112'!$I$6)),"x",""))</f>
        <v/>
      </c>
      <c r="W6826" s="79" t="str">
        <f>IF(AND('341-CT'!$H$9=H6826,OR(LEFT(N6826,3)=$W$7,LEFT(O6826,3)=$W$7)),"x","")</f>
        <v/>
      </c>
      <c r="X6826" s="79" t="str">
        <f>IF(OR(TH!N6826=TH!$X$7,O6826=TH!$X$7),"x","")</f>
        <v/>
      </c>
      <c r="Y6826" s="79" t="str">
        <f>IF(AND(OR(N6826="131",O6826="131"),H6826='131-CT'!$H$9),"x","")</f>
        <v/>
      </c>
      <c r="Z6826" s="79"/>
      <c r="AA6826" s="79" t="str">
        <f>IF(AND(MONTH(E6826)='IN-NX'!$J$5,'IN-NX'!$D$7=D6826),"x","")</f>
        <v/>
      </c>
      <c r="AB6826" s="79" t="str">
        <f>IF(AND(OR(LEFT(TH!N6826,2)="15",LEFT(TH!O6826,2)="15"),LEFT(TH!O6826,3)&lt;&gt;"111",'152-CT'!$J$8=TH!F6826),"x","")</f>
        <v/>
      </c>
      <c r="AC6826" s="79" t="str">
        <f>IF(AND(OR(LEFT(TH!N6826,2)="15",LEFT(TH!O6826,2)="15"),TK!$E$7=TH!F6826),"x","")</f>
        <v/>
      </c>
      <c r="AD6826" s="79" t="str">
        <f>IF(AND(N6826="1521",MONTH(C6826)='BK-NL'!$M$11),"x","")</f>
        <v/>
      </c>
    </row>
    <row r="6827" spans="1:30" ht="16.5" customHeight="1">
      <c r="A6827" s="318" t="str">
        <f>IF(B6827&lt;&gt;"",IF(AND(B6827='IN-TC'!$S$4,OR(TH!N6827="1111",TH!O6827="1111")),TH!D6827,""),"")</f>
        <v/>
      </c>
      <c r="B6827" s="1163" t="str">
        <f t="shared" si="527"/>
        <v/>
      </c>
      <c r="C6827" s="61"/>
      <c r="D6827" s="61"/>
      <c r="E6827" s="61"/>
      <c r="F6827" s="69"/>
      <c r="G6827" s="766"/>
      <c r="H6827" s="69"/>
      <c r="I6827" s="385"/>
      <c r="J6827" s="392"/>
      <c r="K6827" s="385"/>
      <c r="L6827" s="392"/>
      <c r="M6827" s="62"/>
      <c r="N6827" s="63"/>
      <c r="O6827" s="63"/>
      <c r="P6827" s="79" t="str">
        <f>IF(AND('331-CT'!$E$7=TH!H6827,OR(N6827="331",O6827="331")),"x","")</f>
        <v/>
      </c>
      <c r="Q6827" s="79" t="str">
        <f>IF(AND(B6827='111'!$L$11,OR($N6827=$Q$7,$O6827=$Q$7)),"x","")</f>
        <v/>
      </c>
      <c r="R6827" s="79" t="str">
        <f>IF(AND($N6827=$Q$7,$B6827&lt;'111'!$L$11),"x","")</f>
        <v/>
      </c>
      <c r="S6827" s="79" t="str">
        <f>IF(AND($O6827=$Q$7,$B6827&lt;'111'!$L$11),"x","")</f>
        <v/>
      </c>
      <c r="T6827" s="79" t="str">
        <f>IF(ISERROR(FIND('112'!$M$9,G6827,1)),"",IF((AND(FIND('112'!$M$9,G6827,1)&gt;=1,B6827='112'!$K$9,OR($N6827='112'!$I$6,$O6827='112'!$I$6))),"x",""))</f>
        <v/>
      </c>
      <c r="U6827" s="79" t="str">
        <f>IF(ISERROR(FIND('112'!$M$9,G6827,1)),"",IF((AND(LEFT(G6827,2)=LEFT('112'!$M$9,2),B6827&lt;'112'!$K$9,$N6827='112'!$I$6)),"x",""))</f>
        <v/>
      </c>
      <c r="V6827" s="79" t="str">
        <f>IF(ISERROR(FIND('112'!$M$9,G6827,1)),"",IF((AND(RIGHT(G6827,2)=RIGHT('112'!$M$9,2),B6827&lt;'112'!$K$9,$O6827='112'!$I$6)),"x",""))</f>
        <v/>
      </c>
      <c r="W6827" s="79" t="str">
        <f>IF(AND('341-CT'!$H$9=H6827,OR(LEFT(N6827,3)=$W$7,LEFT(O6827,3)=$W$7)),"x","")</f>
        <v/>
      </c>
      <c r="X6827" s="79" t="str">
        <f>IF(OR(TH!N6827=TH!$X$7,O6827=TH!$X$7),"x","")</f>
        <v/>
      </c>
      <c r="Y6827" s="79" t="str">
        <f>IF(AND(OR(N6827="131",O6827="131"),H6827='131-CT'!$H$9),"x","")</f>
        <v/>
      </c>
      <c r="Z6827" s="79"/>
      <c r="AA6827" s="79" t="str">
        <f>IF(AND(MONTH(E6827)='IN-NX'!$J$5,'IN-NX'!$D$7=D6827),"x","")</f>
        <v/>
      </c>
      <c r="AB6827" s="79" t="str">
        <f>IF(AND(OR(LEFT(TH!N6827,2)="15",LEFT(TH!O6827,2)="15"),LEFT(TH!O6827,3)&lt;&gt;"111",'152-CT'!$J$8=TH!F6827),"x","")</f>
        <v/>
      </c>
      <c r="AC6827" s="79" t="str">
        <f>IF(AND(OR(LEFT(TH!N6827,2)="15",LEFT(TH!O6827,2)="15"),TK!$E$7=TH!F6827),"x","")</f>
        <v/>
      </c>
      <c r="AD6827" s="79" t="str">
        <f>IF(AND(N6827="1521",MONTH(C6827)='BK-NL'!$M$11),"x","")</f>
        <v/>
      </c>
    </row>
    <row r="6828" spans="1:30" ht="16.5" customHeight="1">
      <c r="A6828" s="318" t="str">
        <f>IF(B6828&lt;&gt;"",IF(AND(B6828='IN-TC'!$S$4,OR(TH!N6828="1111",TH!O6828="1111")),TH!D6828,""),"")</f>
        <v/>
      </c>
      <c r="B6828" s="1163" t="str">
        <f t="shared" si="527"/>
        <v/>
      </c>
      <c r="C6828" s="61"/>
      <c r="D6828" s="61"/>
      <c r="E6828" s="61"/>
      <c r="F6828" s="69"/>
      <c r="G6828" s="766"/>
      <c r="H6828" s="69"/>
      <c r="I6828" s="385"/>
      <c r="J6828" s="392"/>
      <c r="K6828" s="385"/>
      <c r="L6828" s="392"/>
      <c r="M6828" s="62"/>
      <c r="N6828" s="63"/>
      <c r="O6828" s="63"/>
      <c r="P6828" s="79" t="str">
        <f>IF(AND('331-CT'!$E$7=TH!H6828,OR(N6828="331",O6828="331")),"x","")</f>
        <v/>
      </c>
      <c r="Q6828" s="79" t="str">
        <f>IF(AND(B6828='111'!$L$11,OR($N6828=$Q$7,$O6828=$Q$7)),"x","")</f>
        <v/>
      </c>
      <c r="R6828" s="79" t="str">
        <f>IF(AND($N6828=$Q$7,$B6828&lt;'111'!$L$11),"x","")</f>
        <v/>
      </c>
      <c r="S6828" s="79" t="str">
        <f>IF(AND($O6828=$Q$7,$B6828&lt;'111'!$L$11),"x","")</f>
        <v/>
      </c>
      <c r="T6828" s="79" t="str">
        <f>IF(ISERROR(FIND('112'!$M$9,G6828,1)),"",IF((AND(FIND('112'!$M$9,G6828,1)&gt;=1,B6828='112'!$K$9,OR($N6828='112'!$I$6,$O6828='112'!$I$6))),"x",""))</f>
        <v/>
      </c>
      <c r="U6828" s="79" t="str">
        <f>IF(ISERROR(FIND('112'!$M$9,G6828,1)),"",IF((AND(LEFT(G6828,2)=LEFT('112'!$M$9,2),B6828&lt;'112'!$K$9,$N6828='112'!$I$6)),"x",""))</f>
        <v/>
      </c>
      <c r="V6828" s="79" t="str">
        <f>IF(ISERROR(FIND('112'!$M$9,G6828,1)),"",IF((AND(RIGHT(G6828,2)=RIGHT('112'!$M$9,2),B6828&lt;'112'!$K$9,$O6828='112'!$I$6)),"x",""))</f>
        <v/>
      </c>
      <c r="W6828" s="79" t="str">
        <f>IF(AND('341-CT'!$H$9=H6828,OR(LEFT(N6828,3)=$W$7,LEFT(O6828,3)=$W$7)),"x","")</f>
        <v/>
      </c>
      <c r="X6828" s="79" t="str">
        <f>IF(OR(TH!N6828=TH!$X$7,O6828=TH!$X$7),"x","")</f>
        <v/>
      </c>
      <c r="Y6828" s="79" t="str">
        <f>IF(AND(OR(N6828="131",O6828="131"),H6828='131-CT'!$H$9),"x","")</f>
        <v/>
      </c>
      <c r="Z6828" s="79"/>
      <c r="AA6828" s="79" t="str">
        <f>IF(AND(MONTH(E6828)='IN-NX'!$J$5,'IN-NX'!$D$7=D6828),"x","")</f>
        <v/>
      </c>
      <c r="AB6828" s="79" t="str">
        <f>IF(AND(OR(LEFT(TH!N6828,2)="15",LEFT(TH!O6828,2)="15"),LEFT(TH!O6828,3)&lt;&gt;"111",'152-CT'!$J$8=TH!F6828),"x","")</f>
        <v/>
      </c>
      <c r="AC6828" s="79" t="str">
        <f>IF(AND(OR(LEFT(TH!N6828,2)="15",LEFT(TH!O6828,2)="15"),TK!$E$7=TH!F6828),"x","")</f>
        <v/>
      </c>
      <c r="AD6828" s="79" t="str">
        <f>IF(AND(N6828="1521",MONTH(C6828)='BK-NL'!$M$11),"x","")</f>
        <v/>
      </c>
    </row>
    <row r="6829" spans="1:30" ht="16.5" customHeight="1">
      <c r="A6829" s="318" t="str">
        <f>IF(B6829&lt;&gt;"",IF(AND(B6829='IN-TC'!$S$4,OR(TH!N6829="1111",TH!O6829="1111")),TH!D6829,""),"")</f>
        <v/>
      </c>
      <c r="B6829" s="1163" t="str">
        <f t="shared" si="527"/>
        <v/>
      </c>
      <c r="C6829" s="61"/>
      <c r="D6829" s="61"/>
      <c r="E6829" s="61"/>
      <c r="F6829" s="69"/>
      <c r="G6829" s="766"/>
      <c r="H6829" s="69"/>
      <c r="I6829" s="385"/>
      <c r="J6829" s="392"/>
      <c r="K6829" s="385"/>
      <c r="L6829" s="392"/>
      <c r="M6829" s="62"/>
      <c r="N6829" s="63"/>
      <c r="O6829" s="63"/>
      <c r="P6829" s="79" t="str">
        <f>IF(AND('331-CT'!$E$7=TH!H6829,OR(N6829="331",O6829="331")),"x","")</f>
        <v/>
      </c>
      <c r="Q6829" s="79" t="str">
        <f>IF(AND(B6829='111'!$L$11,OR($N6829=$Q$7,$O6829=$Q$7)),"x","")</f>
        <v/>
      </c>
      <c r="R6829" s="79" t="str">
        <f>IF(AND($N6829=$Q$7,$B6829&lt;'111'!$L$11),"x","")</f>
        <v/>
      </c>
      <c r="S6829" s="79" t="str">
        <f>IF(AND($O6829=$Q$7,$B6829&lt;'111'!$L$11),"x","")</f>
        <v/>
      </c>
      <c r="T6829" s="79" t="str">
        <f>IF(ISERROR(FIND('112'!$M$9,G6829,1)),"",IF((AND(FIND('112'!$M$9,G6829,1)&gt;=1,B6829='112'!$K$9,OR($N6829='112'!$I$6,$O6829='112'!$I$6))),"x",""))</f>
        <v/>
      </c>
      <c r="U6829" s="79" t="str">
        <f>IF(ISERROR(FIND('112'!$M$9,G6829,1)),"",IF((AND(LEFT(G6829,2)=LEFT('112'!$M$9,2),B6829&lt;'112'!$K$9,$N6829='112'!$I$6)),"x",""))</f>
        <v/>
      </c>
      <c r="V6829" s="79" t="str">
        <f>IF(ISERROR(FIND('112'!$M$9,G6829,1)),"",IF((AND(RIGHT(G6829,2)=RIGHT('112'!$M$9,2),B6829&lt;'112'!$K$9,$O6829='112'!$I$6)),"x",""))</f>
        <v/>
      </c>
      <c r="W6829" s="79" t="str">
        <f>IF(AND('341-CT'!$H$9=H6829,OR(LEFT(N6829,3)=$W$7,LEFT(O6829,3)=$W$7)),"x","")</f>
        <v/>
      </c>
      <c r="X6829" s="79" t="str">
        <f>IF(OR(TH!N6829=TH!$X$7,O6829=TH!$X$7),"x","")</f>
        <v/>
      </c>
      <c r="Y6829" s="79" t="str">
        <f>IF(AND(OR(N6829="131",O6829="131"),H6829='131-CT'!$H$9),"x","")</f>
        <v/>
      </c>
      <c r="Z6829" s="79"/>
      <c r="AA6829" s="79" t="str">
        <f>IF(AND(MONTH(E6829)='IN-NX'!$J$5,'IN-NX'!$D$7=D6829),"x","")</f>
        <v/>
      </c>
      <c r="AB6829" s="79" t="str">
        <f>IF(AND(OR(LEFT(TH!N6829,2)="15",LEFT(TH!O6829,2)="15"),LEFT(TH!O6829,3)&lt;&gt;"111",'152-CT'!$J$8=TH!F6829),"x","")</f>
        <v/>
      </c>
      <c r="AC6829" s="79" t="str">
        <f>IF(AND(OR(LEFT(TH!N6829,2)="15",LEFT(TH!O6829,2)="15"),TK!$E$7=TH!F6829),"x","")</f>
        <v/>
      </c>
      <c r="AD6829" s="79" t="str">
        <f>IF(AND(N6829="1521",MONTH(C6829)='BK-NL'!$M$11),"x","")</f>
        <v/>
      </c>
    </row>
    <row r="6830" spans="1:30" ht="16.5" customHeight="1">
      <c r="A6830" s="318" t="str">
        <f>IF(B6830&lt;&gt;"",IF(AND(B6830='IN-TC'!$S$4,OR(TH!N6830="1111",TH!O6830="1111")),TH!D6830,""),"")</f>
        <v/>
      </c>
      <c r="B6830" s="1163" t="str">
        <f t="shared" si="527"/>
        <v/>
      </c>
      <c r="C6830" s="61"/>
      <c r="D6830" s="61"/>
      <c r="E6830" s="61"/>
      <c r="F6830" s="69"/>
      <c r="G6830" s="766"/>
      <c r="H6830" s="69"/>
      <c r="I6830" s="385"/>
      <c r="J6830" s="392"/>
      <c r="K6830" s="385"/>
      <c r="L6830" s="392"/>
      <c r="M6830" s="62"/>
      <c r="N6830" s="63"/>
      <c r="O6830" s="63"/>
      <c r="P6830" s="79" t="str">
        <f>IF(AND('331-CT'!$E$7=TH!H6830,OR(N6830="331",O6830="331")),"x","")</f>
        <v/>
      </c>
      <c r="Q6830" s="79" t="str">
        <f>IF(AND(B6830='111'!$L$11,OR($N6830=$Q$7,$O6830=$Q$7)),"x","")</f>
        <v/>
      </c>
      <c r="R6830" s="79" t="str">
        <f>IF(AND($N6830=$Q$7,$B6830&lt;'111'!$L$11),"x","")</f>
        <v/>
      </c>
      <c r="S6830" s="79" t="str">
        <f>IF(AND($O6830=$Q$7,$B6830&lt;'111'!$L$11),"x","")</f>
        <v/>
      </c>
      <c r="T6830" s="79" t="str">
        <f>IF(ISERROR(FIND('112'!$M$9,G6830,1)),"",IF((AND(FIND('112'!$M$9,G6830,1)&gt;=1,B6830='112'!$K$9,OR($N6830='112'!$I$6,$O6830='112'!$I$6))),"x",""))</f>
        <v/>
      </c>
      <c r="U6830" s="79" t="str">
        <f>IF(ISERROR(FIND('112'!$M$9,G6830,1)),"",IF((AND(LEFT(G6830,2)=LEFT('112'!$M$9,2),B6830&lt;'112'!$K$9,$N6830='112'!$I$6)),"x",""))</f>
        <v/>
      </c>
      <c r="V6830" s="79" t="str">
        <f>IF(ISERROR(FIND('112'!$M$9,G6830,1)),"",IF((AND(RIGHT(G6830,2)=RIGHT('112'!$M$9,2),B6830&lt;'112'!$K$9,$O6830='112'!$I$6)),"x",""))</f>
        <v/>
      </c>
      <c r="W6830" s="79" t="str">
        <f>IF(AND('341-CT'!$H$9=H6830,OR(LEFT(N6830,3)=$W$7,LEFT(O6830,3)=$W$7)),"x","")</f>
        <v/>
      </c>
      <c r="X6830" s="79" t="str">
        <f>IF(OR(TH!N6830=TH!$X$7,O6830=TH!$X$7),"x","")</f>
        <v/>
      </c>
      <c r="Y6830" s="79" t="str">
        <f>IF(AND(OR(N6830="131",O6830="131"),H6830='131-CT'!$H$9),"x","")</f>
        <v/>
      </c>
      <c r="Z6830" s="79"/>
      <c r="AA6830" s="79" t="str">
        <f>IF(AND(MONTH(E6830)='IN-NX'!$J$5,'IN-NX'!$D$7=D6830),"x","")</f>
        <v/>
      </c>
      <c r="AB6830" s="79" t="str">
        <f>IF(AND(OR(LEFT(TH!N6830,2)="15",LEFT(TH!O6830,2)="15"),LEFT(TH!O6830,3)&lt;&gt;"111",'152-CT'!$J$8=TH!F6830),"x","")</f>
        <v/>
      </c>
      <c r="AC6830" s="79" t="str">
        <f>IF(AND(OR(LEFT(TH!N6830,2)="15",LEFT(TH!O6830,2)="15"),TK!$E$7=TH!F6830),"x","")</f>
        <v/>
      </c>
      <c r="AD6830" s="79" t="str">
        <f>IF(AND(N6830="1521",MONTH(C6830)='BK-NL'!$M$11),"x","")</f>
        <v/>
      </c>
    </row>
    <row r="6831" spans="1:30" ht="16.5" customHeight="1">
      <c r="A6831" s="318" t="str">
        <f>IF(B6831&lt;&gt;"",IF(AND(B6831='IN-TC'!$S$4,OR(TH!N6831="1111",TH!O6831="1111")),TH!D6831,""),"")</f>
        <v/>
      </c>
      <c r="B6831" s="1163" t="str">
        <f t="shared" si="527"/>
        <v/>
      </c>
      <c r="C6831" s="61"/>
      <c r="D6831" s="61"/>
      <c r="E6831" s="61"/>
      <c r="F6831" s="69"/>
      <c r="G6831" s="766"/>
      <c r="H6831" s="69"/>
      <c r="I6831" s="385"/>
      <c r="J6831" s="392"/>
      <c r="K6831" s="385"/>
      <c r="L6831" s="392"/>
      <c r="M6831" s="62"/>
      <c r="N6831" s="63"/>
      <c r="O6831" s="63"/>
      <c r="P6831" s="79" t="str">
        <f>IF(AND('331-CT'!$E$7=TH!H6831,OR(N6831="331",O6831="331")),"x","")</f>
        <v/>
      </c>
      <c r="Q6831" s="79" t="str">
        <f>IF(AND(B6831='111'!$L$11,OR($N6831=$Q$7,$O6831=$Q$7)),"x","")</f>
        <v/>
      </c>
      <c r="R6831" s="79" t="str">
        <f>IF(AND($N6831=$Q$7,$B6831&lt;'111'!$L$11),"x","")</f>
        <v/>
      </c>
      <c r="S6831" s="79" t="str">
        <f>IF(AND($O6831=$Q$7,$B6831&lt;'111'!$L$11),"x","")</f>
        <v/>
      </c>
      <c r="T6831" s="79" t="str">
        <f>IF(ISERROR(FIND('112'!$M$9,G6831,1)),"",IF((AND(FIND('112'!$M$9,G6831,1)&gt;=1,B6831='112'!$K$9,OR($N6831='112'!$I$6,$O6831='112'!$I$6))),"x",""))</f>
        <v/>
      </c>
      <c r="U6831" s="79" t="str">
        <f>IF(ISERROR(FIND('112'!$M$9,G6831,1)),"",IF((AND(LEFT(G6831,2)=LEFT('112'!$M$9,2),B6831&lt;'112'!$K$9,$N6831='112'!$I$6)),"x",""))</f>
        <v/>
      </c>
      <c r="V6831" s="79" t="str">
        <f>IF(ISERROR(FIND('112'!$M$9,G6831,1)),"",IF((AND(RIGHT(G6831,2)=RIGHT('112'!$M$9,2),B6831&lt;'112'!$K$9,$O6831='112'!$I$6)),"x",""))</f>
        <v/>
      </c>
      <c r="W6831" s="79" t="str">
        <f>IF(AND('341-CT'!$H$9=H6831,OR(LEFT(N6831,3)=$W$7,LEFT(O6831,3)=$W$7)),"x","")</f>
        <v/>
      </c>
      <c r="X6831" s="79" t="str">
        <f>IF(OR(TH!N6831=TH!$X$7,O6831=TH!$X$7),"x","")</f>
        <v/>
      </c>
      <c r="Y6831" s="79" t="str">
        <f>IF(AND(OR(N6831="131",O6831="131"),H6831='131-CT'!$H$9),"x","")</f>
        <v/>
      </c>
      <c r="Z6831" s="79"/>
      <c r="AA6831" s="79" t="str">
        <f>IF(AND(MONTH(E6831)='IN-NX'!$J$5,'IN-NX'!$D$7=D6831),"x","")</f>
        <v/>
      </c>
      <c r="AB6831" s="79" t="str">
        <f>IF(AND(OR(LEFT(TH!N6831,2)="15",LEFT(TH!O6831,2)="15"),LEFT(TH!O6831,3)&lt;&gt;"111",'152-CT'!$J$8=TH!F6831),"x","")</f>
        <v/>
      </c>
      <c r="AC6831" s="79" t="str">
        <f>IF(AND(OR(LEFT(TH!N6831,2)="15",LEFT(TH!O6831,2)="15"),TK!$E$7=TH!F6831),"x","")</f>
        <v/>
      </c>
      <c r="AD6831" s="79" t="str">
        <f>IF(AND(N6831="1521",MONTH(C6831)='BK-NL'!$M$11),"x","")</f>
        <v/>
      </c>
    </row>
    <row r="6832" spans="1:30" ht="16.5" customHeight="1">
      <c r="A6832" s="318" t="str">
        <f>IF(B6832&lt;&gt;"",IF(AND(B6832='IN-TC'!$S$4,OR(TH!N6832="1111",TH!O6832="1111")),TH!D6832,""),"")</f>
        <v/>
      </c>
      <c r="B6832" s="1163" t="str">
        <f t="shared" si="527"/>
        <v/>
      </c>
      <c r="C6832" s="61"/>
      <c r="D6832" s="61"/>
      <c r="E6832" s="61"/>
      <c r="F6832" s="69"/>
      <c r="G6832" s="766"/>
      <c r="H6832" s="69"/>
      <c r="I6832" s="385"/>
      <c r="J6832" s="392"/>
      <c r="K6832" s="385"/>
      <c r="L6832" s="392"/>
      <c r="M6832" s="62"/>
      <c r="N6832" s="63"/>
      <c r="O6832" s="63"/>
      <c r="P6832" s="79" t="str">
        <f>IF(AND('331-CT'!$E$7=TH!H6832,OR(N6832="331",O6832="331")),"x","")</f>
        <v/>
      </c>
      <c r="Q6832" s="79" t="str">
        <f>IF(AND(B6832='111'!$L$11,OR($N6832=$Q$7,$O6832=$Q$7)),"x","")</f>
        <v/>
      </c>
      <c r="R6832" s="79" t="str">
        <f>IF(AND($N6832=$Q$7,$B6832&lt;'111'!$L$11),"x","")</f>
        <v/>
      </c>
      <c r="S6832" s="79" t="str">
        <f>IF(AND($O6832=$Q$7,$B6832&lt;'111'!$L$11),"x","")</f>
        <v/>
      </c>
      <c r="T6832" s="79" t="str">
        <f>IF(ISERROR(FIND('112'!$M$9,G6832,1)),"",IF((AND(FIND('112'!$M$9,G6832,1)&gt;=1,B6832='112'!$K$9,OR($N6832='112'!$I$6,$O6832='112'!$I$6))),"x",""))</f>
        <v/>
      </c>
      <c r="U6832" s="79" t="str">
        <f>IF(ISERROR(FIND('112'!$M$9,G6832,1)),"",IF((AND(LEFT(G6832,2)=LEFT('112'!$M$9,2),B6832&lt;'112'!$K$9,$N6832='112'!$I$6)),"x",""))</f>
        <v/>
      </c>
      <c r="V6832" s="79" t="str">
        <f>IF(ISERROR(FIND('112'!$M$9,G6832,1)),"",IF((AND(RIGHT(G6832,2)=RIGHT('112'!$M$9,2),B6832&lt;'112'!$K$9,$O6832='112'!$I$6)),"x",""))</f>
        <v/>
      </c>
      <c r="W6832" s="79" t="str">
        <f>IF(AND('341-CT'!$H$9=H6832,OR(LEFT(N6832,3)=$W$7,LEFT(O6832,3)=$W$7)),"x","")</f>
        <v/>
      </c>
      <c r="X6832" s="79" t="str">
        <f>IF(OR(TH!N6832=TH!$X$7,O6832=TH!$X$7),"x","")</f>
        <v/>
      </c>
      <c r="Y6832" s="79" t="str">
        <f>IF(AND(OR(N6832="131",O6832="131"),H6832='131-CT'!$H$9),"x","")</f>
        <v/>
      </c>
      <c r="Z6832" s="79"/>
      <c r="AA6832" s="79" t="str">
        <f>IF(AND(MONTH(E6832)='IN-NX'!$J$5,'IN-NX'!$D$7=D6832),"x","")</f>
        <v/>
      </c>
      <c r="AB6832" s="79" t="str">
        <f>IF(AND(OR(LEFT(TH!N6832,2)="15",LEFT(TH!O6832,2)="15"),LEFT(TH!O6832,3)&lt;&gt;"111",'152-CT'!$J$8=TH!F6832),"x","")</f>
        <v/>
      </c>
      <c r="AC6832" s="79" t="str">
        <f>IF(AND(OR(LEFT(TH!N6832,2)="15",LEFT(TH!O6832,2)="15"),TK!$E$7=TH!F6832),"x","")</f>
        <v/>
      </c>
      <c r="AD6832" s="79" t="str">
        <f>IF(AND(N6832="1521",MONTH(C6832)='BK-NL'!$M$11),"x","")</f>
        <v/>
      </c>
    </row>
    <row r="6833" spans="1:30" ht="16.5" customHeight="1">
      <c r="A6833" s="318" t="str">
        <f>IF(B6833&lt;&gt;"",IF(AND(B6833='IN-TC'!$S$4,OR(TH!N6833="1111",TH!O6833="1111")),TH!D6833,""),"")</f>
        <v/>
      </c>
      <c r="B6833" s="1163" t="str">
        <f t="shared" si="527"/>
        <v/>
      </c>
      <c r="C6833" s="61"/>
      <c r="D6833" s="61"/>
      <c r="E6833" s="61"/>
      <c r="F6833" s="69"/>
      <c r="G6833" s="766"/>
      <c r="H6833" s="69"/>
      <c r="I6833" s="385"/>
      <c r="J6833" s="392"/>
      <c r="K6833" s="385"/>
      <c r="L6833" s="392"/>
      <c r="M6833" s="62"/>
      <c r="N6833" s="63"/>
      <c r="O6833" s="63"/>
      <c r="P6833" s="79" t="str">
        <f>IF(AND('331-CT'!$E$7=TH!H6833,OR(N6833="331",O6833="331")),"x","")</f>
        <v/>
      </c>
      <c r="Q6833" s="79" t="str">
        <f>IF(AND(B6833='111'!$L$11,OR($N6833=$Q$7,$O6833=$Q$7)),"x","")</f>
        <v/>
      </c>
      <c r="R6833" s="79" t="str">
        <f>IF(AND($N6833=$Q$7,$B6833&lt;'111'!$L$11),"x","")</f>
        <v/>
      </c>
      <c r="S6833" s="79" t="str">
        <f>IF(AND($O6833=$Q$7,$B6833&lt;'111'!$L$11),"x","")</f>
        <v/>
      </c>
      <c r="T6833" s="79" t="str">
        <f>IF(ISERROR(FIND('112'!$M$9,G6833,1)),"",IF((AND(FIND('112'!$M$9,G6833,1)&gt;=1,B6833='112'!$K$9,OR($N6833='112'!$I$6,$O6833='112'!$I$6))),"x",""))</f>
        <v/>
      </c>
      <c r="U6833" s="79" t="str">
        <f>IF(ISERROR(FIND('112'!$M$9,G6833,1)),"",IF((AND(LEFT(G6833,2)=LEFT('112'!$M$9,2),B6833&lt;'112'!$K$9,$N6833='112'!$I$6)),"x",""))</f>
        <v/>
      </c>
      <c r="V6833" s="79" t="str">
        <f>IF(ISERROR(FIND('112'!$M$9,G6833,1)),"",IF((AND(RIGHT(G6833,2)=RIGHT('112'!$M$9,2),B6833&lt;'112'!$K$9,$O6833='112'!$I$6)),"x",""))</f>
        <v/>
      </c>
      <c r="W6833" s="79" t="str">
        <f>IF(AND('341-CT'!$H$9=H6833,OR(LEFT(N6833,3)=$W$7,LEFT(O6833,3)=$W$7)),"x","")</f>
        <v/>
      </c>
      <c r="X6833" s="79" t="str">
        <f>IF(OR(TH!N6833=TH!$X$7,O6833=TH!$X$7),"x","")</f>
        <v/>
      </c>
      <c r="Y6833" s="79" t="str">
        <f>IF(AND(OR(N6833="131",O6833="131"),H6833='131-CT'!$H$9),"x","")</f>
        <v/>
      </c>
      <c r="Z6833" s="79"/>
      <c r="AA6833" s="79" t="str">
        <f>IF(AND(MONTH(E6833)='IN-NX'!$J$5,'IN-NX'!$D$7=D6833),"x","")</f>
        <v/>
      </c>
      <c r="AB6833" s="79" t="str">
        <f>IF(AND(OR(LEFT(TH!N6833,2)="15",LEFT(TH!O6833,2)="15"),LEFT(TH!O6833,3)&lt;&gt;"111",'152-CT'!$J$8=TH!F6833),"x","")</f>
        <v/>
      </c>
      <c r="AC6833" s="79" t="str">
        <f>IF(AND(OR(LEFT(TH!N6833,2)="15",LEFT(TH!O6833,2)="15"),TK!$E$7=TH!F6833),"x","")</f>
        <v/>
      </c>
      <c r="AD6833" s="79" t="str">
        <f>IF(AND(N6833="1521",MONTH(C6833)='BK-NL'!$M$11),"x","")</f>
        <v/>
      </c>
    </row>
    <row r="6834" spans="1:30" ht="16.5" customHeight="1">
      <c r="A6834" s="318" t="str">
        <f>IF(B6834&lt;&gt;"",IF(AND(B6834='IN-TC'!$S$4,OR(TH!N6834="1111",TH!O6834="1111")),TH!D6834,""),"")</f>
        <v/>
      </c>
      <c r="B6834" s="1163" t="str">
        <f t="shared" si="527"/>
        <v/>
      </c>
      <c r="C6834" s="61"/>
      <c r="D6834" s="61"/>
      <c r="E6834" s="61"/>
      <c r="F6834" s="69"/>
      <c r="G6834" s="766"/>
      <c r="H6834" s="69"/>
      <c r="I6834" s="385"/>
      <c r="J6834" s="392"/>
      <c r="K6834" s="385"/>
      <c r="L6834" s="392"/>
      <c r="M6834" s="62"/>
      <c r="N6834" s="63"/>
      <c r="O6834" s="63"/>
      <c r="P6834" s="79" t="str">
        <f>IF(AND('331-CT'!$E$7=TH!H6834,OR(N6834="331",O6834="331")),"x","")</f>
        <v/>
      </c>
      <c r="Q6834" s="79" t="str">
        <f>IF(AND(B6834='111'!$L$11,OR($N6834=$Q$7,$O6834=$Q$7)),"x","")</f>
        <v/>
      </c>
      <c r="R6834" s="79" t="str">
        <f>IF(AND($N6834=$Q$7,$B6834&lt;'111'!$L$11),"x","")</f>
        <v/>
      </c>
      <c r="S6834" s="79" t="str">
        <f>IF(AND($O6834=$Q$7,$B6834&lt;'111'!$L$11),"x","")</f>
        <v/>
      </c>
      <c r="T6834" s="79" t="str">
        <f>IF(ISERROR(FIND('112'!$M$9,G6834,1)),"",IF((AND(FIND('112'!$M$9,G6834,1)&gt;=1,B6834='112'!$K$9,OR($N6834='112'!$I$6,$O6834='112'!$I$6))),"x",""))</f>
        <v/>
      </c>
      <c r="U6834" s="79" t="str">
        <f>IF(ISERROR(FIND('112'!$M$9,G6834,1)),"",IF((AND(LEFT(G6834,2)=LEFT('112'!$M$9,2),B6834&lt;'112'!$K$9,$N6834='112'!$I$6)),"x",""))</f>
        <v/>
      </c>
      <c r="V6834" s="79" t="str">
        <f>IF(ISERROR(FIND('112'!$M$9,G6834,1)),"",IF((AND(RIGHT(G6834,2)=RIGHT('112'!$M$9,2),B6834&lt;'112'!$K$9,$O6834='112'!$I$6)),"x",""))</f>
        <v/>
      </c>
      <c r="W6834" s="79" t="str">
        <f>IF(AND('341-CT'!$H$9=H6834,OR(LEFT(N6834,3)=$W$7,LEFT(O6834,3)=$W$7)),"x","")</f>
        <v/>
      </c>
      <c r="X6834" s="79" t="str">
        <f>IF(OR(TH!N6834=TH!$X$7,O6834=TH!$X$7),"x","")</f>
        <v/>
      </c>
      <c r="Y6834" s="79" t="str">
        <f>IF(AND(OR(N6834="131",O6834="131"),H6834='131-CT'!$H$9),"x","")</f>
        <v/>
      </c>
      <c r="Z6834" s="79"/>
      <c r="AA6834" s="79" t="str">
        <f>IF(AND(MONTH(E6834)='IN-NX'!$J$5,'IN-NX'!$D$7=D6834),"x","")</f>
        <v/>
      </c>
      <c r="AB6834" s="79" t="str">
        <f>IF(AND(OR(LEFT(TH!N6834,2)="15",LEFT(TH!O6834,2)="15"),LEFT(TH!O6834,3)&lt;&gt;"111",'152-CT'!$J$8=TH!F6834),"x","")</f>
        <v/>
      </c>
      <c r="AC6834" s="79" t="str">
        <f>IF(AND(OR(LEFT(TH!N6834,2)="15",LEFT(TH!O6834,2)="15"),TK!$E$7=TH!F6834),"x","")</f>
        <v/>
      </c>
      <c r="AD6834" s="79" t="str">
        <f>IF(AND(N6834="1521",MONTH(C6834)='BK-NL'!$M$11),"x","")</f>
        <v/>
      </c>
    </row>
    <row r="6835" spans="1:30" ht="16.5" customHeight="1">
      <c r="A6835" s="318" t="str">
        <f>IF(B6835&lt;&gt;"",IF(AND(B6835='IN-TC'!$S$4,OR(TH!N6835="1111",TH!O6835="1111")),TH!D6835,""),"")</f>
        <v/>
      </c>
      <c r="B6835" s="1163" t="str">
        <f t="shared" si="527"/>
        <v/>
      </c>
      <c r="C6835" s="61"/>
      <c r="D6835" s="61"/>
      <c r="E6835" s="61"/>
      <c r="F6835" s="69"/>
      <c r="G6835" s="766"/>
      <c r="H6835" s="69"/>
      <c r="I6835" s="385"/>
      <c r="J6835" s="392"/>
      <c r="K6835" s="385"/>
      <c r="L6835" s="392"/>
      <c r="M6835" s="62"/>
      <c r="N6835" s="63"/>
      <c r="O6835" s="63"/>
      <c r="P6835" s="79" t="str">
        <f>IF(AND('331-CT'!$E$7=TH!H6835,OR(N6835="331",O6835="331")),"x","")</f>
        <v/>
      </c>
      <c r="Q6835" s="79" t="str">
        <f>IF(AND(B6835='111'!$L$11,OR($N6835=$Q$7,$O6835=$Q$7)),"x","")</f>
        <v/>
      </c>
      <c r="R6835" s="79" t="str">
        <f>IF(AND($N6835=$Q$7,$B6835&lt;'111'!$L$11),"x","")</f>
        <v/>
      </c>
      <c r="S6835" s="79" t="str">
        <f>IF(AND($O6835=$Q$7,$B6835&lt;'111'!$L$11),"x","")</f>
        <v/>
      </c>
      <c r="T6835" s="79" t="str">
        <f>IF(ISERROR(FIND('112'!$M$9,G6835,1)),"",IF((AND(FIND('112'!$M$9,G6835,1)&gt;=1,B6835='112'!$K$9,OR($N6835='112'!$I$6,$O6835='112'!$I$6))),"x",""))</f>
        <v/>
      </c>
      <c r="U6835" s="79" t="str">
        <f>IF(ISERROR(FIND('112'!$M$9,G6835,1)),"",IF((AND(LEFT(G6835,2)=LEFT('112'!$M$9,2),B6835&lt;'112'!$K$9,$N6835='112'!$I$6)),"x",""))</f>
        <v/>
      </c>
      <c r="V6835" s="79" t="str">
        <f>IF(ISERROR(FIND('112'!$M$9,G6835,1)),"",IF((AND(RIGHT(G6835,2)=RIGHT('112'!$M$9,2),B6835&lt;'112'!$K$9,$O6835='112'!$I$6)),"x",""))</f>
        <v/>
      </c>
      <c r="W6835" s="79" t="str">
        <f>IF(AND('341-CT'!$H$9=H6835,OR(LEFT(N6835,3)=$W$7,LEFT(O6835,3)=$W$7)),"x","")</f>
        <v/>
      </c>
      <c r="X6835" s="79" t="str">
        <f>IF(OR(TH!N6835=TH!$X$7,O6835=TH!$X$7),"x","")</f>
        <v/>
      </c>
      <c r="Y6835" s="79" t="str">
        <f>IF(AND(OR(N6835="131",O6835="131"),H6835='131-CT'!$H$9),"x","")</f>
        <v/>
      </c>
      <c r="Z6835" s="79"/>
      <c r="AA6835" s="79" t="str">
        <f>IF(AND(MONTH(E6835)='IN-NX'!$J$5,'IN-NX'!$D$7=D6835),"x","")</f>
        <v/>
      </c>
      <c r="AB6835" s="79" t="str">
        <f>IF(AND(OR(LEFT(TH!N6835,2)="15",LEFT(TH!O6835,2)="15"),LEFT(TH!O6835,3)&lt;&gt;"111",'152-CT'!$J$8=TH!F6835),"x","")</f>
        <v/>
      </c>
      <c r="AC6835" s="79" t="str">
        <f>IF(AND(OR(LEFT(TH!N6835,2)="15",LEFT(TH!O6835,2)="15"),TK!$E$7=TH!F6835),"x","")</f>
        <v/>
      </c>
      <c r="AD6835" s="79" t="str">
        <f>IF(AND(N6835="1521",MONTH(C6835)='BK-NL'!$M$11),"x","")</f>
        <v/>
      </c>
    </row>
    <row r="6836" spans="1:30" ht="16.5" customHeight="1">
      <c r="A6836" s="318" t="str">
        <f>IF(B6836&lt;&gt;"",IF(AND(B6836='IN-TC'!$S$4,OR(TH!N6836="1111",TH!O6836="1111")),TH!D6836,""),"")</f>
        <v/>
      </c>
      <c r="B6836" s="1163" t="str">
        <f t="shared" si="527"/>
        <v/>
      </c>
      <c r="C6836" s="61"/>
      <c r="D6836" s="61"/>
      <c r="E6836" s="61"/>
      <c r="F6836" s="69"/>
      <c r="G6836" s="766"/>
      <c r="H6836" s="69"/>
      <c r="I6836" s="385"/>
      <c r="J6836" s="392"/>
      <c r="K6836" s="385"/>
      <c r="L6836" s="392"/>
      <c r="M6836" s="62"/>
      <c r="N6836" s="63"/>
      <c r="O6836" s="63"/>
      <c r="P6836" s="79" t="str">
        <f>IF(AND('331-CT'!$E$7=TH!H6836,OR(N6836="331",O6836="331")),"x","")</f>
        <v/>
      </c>
      <c r="Q6836" s="79" t="str">
        <f>IF(AND(B6836='111'!$L$11,OR($N6836=$Q$7,$O6836=$Q$7)),"x","")</f>
        <v/>
      </c>
      <c r="R6836" s="79" t="str">
        <f>IF(AND($N6836=$Q$7,$B6836&lt;'111'!$L$11),"x","")</f>
        <v/>
      </c>
      <c r="S6836" s="79" t="str">
        <f>IF(AND($O6836=$Q$7,$B6836&lt;'111'!$L$11),"x","")</f>
        <v/>
      </c>
      <c r="T6836" s="79" t="str">
        <f>IF(ISERROR(FIND('112'!$M$9,G6836,1)),"",IF((AND(FIND('112'!$M$9,G6836,1)&gt;=1,B6836='112'!$K$9,OR($N6836='112'!$I$6,$O6836='112'!$I$6))),"x",""))</f>
        <v/>
      </c>
      <c r="U6836" s="79" t="str">
        <f>IF(ISERROR(FIND('112'!$M$9,G6836,1)),"",IF((AND(LEFT(G6836,2)=LEFT('112'!$M$9,2),B6836&lt;'112'!$K$9,$N6836='112'!$I$6)),"x",""))</f>
        <v/>
      </c>
      <c r="V6836" s="79" t="str">
        <f>IF(ISERROR(FIND('112'!$M$9,G6836,1)),"",IF((AND(RIGHT(G6836,2)=RIGHT('112'!$M$9,2),B6836&lt;'112'!$K$9,$O6836='112'!$I$6)),"x",""))</f>
        <v/>
      </c>
      <c r="W6836" s="79" t="str">
        <f>IF(AND('341-CT'!$H$9=H6836,OR(LEFT(N6836,3)=$W$7,LEFT(O6836,3)=$W$7)),"x","")</f>
        <v/>
      </c>
      <c r="X6836" s="79" t="str">
        <f>IF(OR(TH!N6836=TH!$X$7,O6836=TH!$X$7),"x","")</f>
        <v/>
      </c>
      <c r="Y6836" s="79" t="str">
        <f>IF(AND(OR(N6836="131",O6836="131"),H6836='131-CT'!$H$9),"x","")</f>
        <v/>
      </c>
      <c r="Z6836" s="79"/>
      <c r="AA6836" s="79" t="str">
        <f>IF(AND(MONTH(E6836)='IN-NX'!$J$5,'IN-NX'!$D$7=D6836),"x","")</f>
        <v/>
      </c>
      <c r="AB6836" s="79" t="str">
        <f>IF(AND(OR(LEFT(TH!N6836,2)="15",LEFT(TH!O6836,2)="15"),LEFT(TH!O6836,3)&lt;&gt;"111",'152-CT'!$J$8=TH!F6836),"x","")</f>
        <v/>
      </c>
      <c r="AC6836" s="79" t="str">
        <f>IF(AND(OR(LEFT(TH!N6836,2)="15",LEFT(TH!O6836,2)="15"),TK!$E$7=TH!F6836),"x","")</f>
        <v/>
      </c>
      <c r="AD6836" s="79" t="str">
        <f>IF(AND(N6836="1521",MONTH(C6836)='BK-NL'!$M$11),"x","")</f>
        <v/>
      </c>
    </row>
    <row r="6837" spans="1:30" ht="16.5" customHeight="1">
      <c r="A6837" s="318" t="str">
        <f>IF(B6837&lt;&gt;"",IF(AND(B6837='IN-TC'!$S$4,OR(TH!N6837="1111",TH!O6837="1111")),TH!D6837,""),"")</f>
        <v/>
      </c>
      <c r="B6837" s="1163" t="str">
        <f t="shared" si="527"/>
        <v/>
      </c>
      <c r="C6837" s="61"/>
      <c r="D6837" s="61"/>
      <c r="E6837" s="61"/>
      <c r="F6837" s="69"/>
      <c r="G6837" s="766"/>
      <c r="H6837" s="69"/>
      <c r="I6837" s="385"/>
      <c r="J6837" s="392"/>
      <c r="K6837" s="385"/>
      <c r="L6837" s="392"/>
      <c r="M6837" s="62"/>
      <c r="N6837" s="63"/>
      <c r="O6837" s="63"/>
      <c r="P6837" s="79" t="str">
        <f>IF(AND('331-CT'!$E$7=TH!H6837,OR(N6837="331",O6837="331")),"x","")</f>
        <v/>
      </c>
      <c r="Q6837" s="79" t="str">
        <f>IF(AND(B6837='111'!$L$11,OR($N6837=$Q$7,$O6837=$Q$7)),"x","")</f>
        <v/>
      </c>
      <c r="R6837" s="79" t="str">
        <f>IF(AND($N6837=$Q$7,$B6837&lt;'111'!$L$11),"x","")</f>
        <v/>
      </c>
      <c r="S6837" s="79" t="str">
        <f>IF(AND($O6837=$Q$7,$B6837&lt;'111'!$L$11),"x","")</f>
        <v/>
      </c>
      <c r="T6837" s="79" t="str">
        <f>IF(ISERROR(FIND('112'!$M$9,G6837,1)),"",IF((AND(FIND('112'!$M$9,G6837,1)&gt;=1,B6837='112'!$K$9,OR($N6837='112'!$I$6,$O6837='112'!$I$6))),"x",""))</f>
        <v/>
      </c>
      <c r="U6837" s="79" t="str">
        <f>IF(ISERROR(FIND('112'!$M$9,G6837,1)),"",IF((AND(LEFT(G6837,2)=LEFT('112'!$M$9,2),B6837&lt;'112'!$K$9,$N6837='112'!$I$6)),"x",""))</f>
        <v/>
      </c>
      <c r="V6837" s="79" t="str">
        <f>IF(ISERROR(FIND('112'!$M$9,G6837,1)),"",IF((AND(RIGHT(G6837,2)=RIGHT('112'!$M$9,2),B6837&lt;'112'!$K$9,$O6837='112'!$I$6)),"x",""))</f>
        <v/>
      </c>
      <c r="W6837" s="79" t="str">
        <f>IF(AND('341-CT'!$H$9=H6837,OR(LEFT(N6837,3)=$W$7,LEFT(O6837,3)=$W$7)),"x","")</f>
        <v/>
      </c>
      <c r="X6837" s="79" t="str">
        <f>IF(OR(TH!N6837=TH!$X$7,O6837=TH!$X$7),"x","")</f>
        <v/>
      </c>
      <c r="Y6837" s="79" t="str">
        <f>IF(AND(OR(N6837="131",O6837="131"),H6837='131-CT'!$H$9),"x","")</f>
        <v/>
      </c>
      <c r="Z6837" s="79"/>
      <c r="AA6837" s="79" t="str">
        <f>IF(AND(MONTH(E6837)='IN-NX'!$J$5,'IN-NX'!$D$7=D6837),"x","")</f>
        <v/>
      </c>
      <c r="AB6837" s="79" t="str">
        <f>IF(AND(OR(LEFT(TH!N6837,2)="15",LEFT(TH!O6837,2)="15"),LEFT(TH!O6837,3)&lt;&gt;"111",'152-CT'!$J$8=TH!F6837),"x","")</f>
        <v/>
      </c>
      <c r="AC6837" s="79" t="str">
        <f>IF(AND(OR(LEFT(TH!N6837,2)="15",LEFT(TH!O6837,2)="15"),TK!$E$7=TH!F6837),"x","")</f>
        <v/>
      </c>
      <c r="AD6837" s="79" t="str">
        <f>IF(AND(N6837="1521",MONTH(C6837)='BK-NL'!$M$11),"x","")</f>
        <v/>
      </c>
    </row>
    <row r="6838" spans="1:30" ht="16.5" customHeight="1">
      <c r="A6838" s="318" t="str">
        <f>IF(B6838&lt;&gt;"",IF(AND(B6838='IN-TC'!$S$4,OR(TH!N6838="1111",TH!O6838="1111")),TH!D6838,""),"")</f>
        <v/>
      </c>
      <c r="B6838" s="1163" t="str">
        <f t="shared" si="527"/>
        <v/>
      </c>
      <c r="C6838" s="61"/>
      <c r="D6838" s="61"/>
      <c r="E6838" s="61"/>
      <c r="F6838" s="69"/>
      <c r="G6838" s="766"/>
      <c r="H6838" s="69"/>
      <c r="I6838" s="385"/>
      <c r="J6838" s="392"/>
      <c r="K6838" s="385"/>
      <c r="L6838" s="392"/>
      <c r="M6838" s="62"/>
      <c r="N6838" s="63"/>
      <c r="O6838" s="63"/>
      <c r="P6838" s="79" t="str">
        <f>IF(AND('331-CT'!$E$7=TH!H6838,OR(N6838="331",O6838="331")),"x","")</f>
        <v/>
      </c>
      <c r="Q6838" s="79" t="str">
        <f>IF(AND(B6838='111'!$L$11,OR($N6838=$Q$7,$O6838=$Q$7)),"x","")</f>
        <v/>
      </c>
      <c r="R6838" s="79" t="str">
        <f>IF(AND($N6838=$Q$7,$B6838&lt;'111'!$L$11),"x","")</f>
        <v/>
      </c>
      <c r="S6838" s="79" t="str">
        <f>IF(AND($O6838=$Q$7,$B6838&lt;'111'!$L$11),"x","")</f>
        <v/>
      </c>
      <c r="T6838" s="79" t="str">
        <f>IF(ISERROR(FIND('112'!$M$9,G6838,1)),"",IF((AND(FIND('112'!$M$9,G6838,1)&gt;=1,B6838='112'!$K$9,OR($N6838='112'!$I$6,$O6838='112'!$I$6))),"x",""))</f>
        <v/>
      </c>
      <c r="U6838" s="79" t="str">
        <f>IF(ISERROR(FIND('112'!$M$9,G6838,1)),"",IF((AND(LEFT(G6838,2)=LEFT('112'!$M$9,2),B6838&lt;'112'!$K$9,$N6838='112'!$I$6)),"x",""))</f>
        <v/>
      </c>
      <c r="V6838" s="79" t="str">
        <f>IF(ISERROR(FIND('112'!$M$9,G6838,1)),"",IF((AND(RIGHT(G6838,2)=RIGHT('112'!$M$9,2),B6838&lt;'112'!$K$9,$O6838='112'!$I$6)),"x",""))</f>
        <v/>
      </c>
      <c r="W6838" s="79" t="str">
        <f>IF(AND('341-CT'!$H$9=H6838,OR(LEFT(N6838,3)=$W$7,LEFT(O6838,3)=$W$7)),"x","")</f>
        <v/>
      </c>
      <c r="X6838" s="79" t="str">
        <f>IF(OR(TH!N6838=TH!$X$7,O6838=TH!$X$7),"x","")</f>
        <v/>
      </c>
      <c r="Y6838" s="79" t="str">
        <f>IF(AND(OR(N6838="131",O6838="131"),H6838='131-CT'!$H$9),"x","")</f>
        <v/>
      </c>
      <c r="Z6838" s="79"/>
      <c r="AA6838" s="79" t="str">
        <f>IF(AND(MONTH(E6838)='IN-NX'!$J$5,'IN-NX'!$D$7=D6838),"x","")</f>
        <v/>
      </c>
      <c r="AB6838" s="79" t="str">
        <f>IF(AND(OR(LEFT(TH!N6838,2)="15",LEFT(TH!O6838,2)="15"),LEFT(TH!O6838,3)&lt;&gt;"111",'152-CT'!$J$8=TH!F6838),"x","")</f>
        <v/>
      </c>
      <c r="AC6838" s="79" t="str">
        <f>IF(AND(OR(LEFT(TH!N6838,2)="15",LEFT(TH!O6838,2)="15"),TK!$E$7=TH!F6838),"x","")</f>
        <v/>
      </c>
      <c r="AD6838" s="79" t="str">
        <f>IF(AND(N6838="1521",MONTH(C6838)='BK-NL'!$M$11),"x","")</f>
        <v/>
      </c>
    </row>
    <row r="6839" spans="1:30" ht="16.5" customHeight="1">
      <c r="A6839" s="318" t="str">
        <f>IF(B6839&lt;&gt;"",IF(AND(B6839='IN-TC'!$S$4,OR(TH!N6839="1111",TH!O6839="1111")),TH!D6839,""),"")</f>
        <v/>
      </c>
      <c r="B6839" s="1163" t="str">
        <f t="shared" si="527"/>
        <v/>
      </c>
      <c r="C6839" s="61"/>
      <c r="D6839" s="61"/>
      <c r="E6839" s="61"/>
      <c r="F6839" s="69"/>
      <c r="G6839" s="766"/>
      <c r="H6839" s="69"/>
      <c r="I6839" s="385"/>
      <c r="J6839" s="392"/>
      <c r="K6839" s="385"/>
      <c r="L6839" s="392"/>
      <c r="M6839" s="62"/>
      <c r="N6839" s="63"/>
      <c r="O6839" s="63"/>
      <c r="P6839" s="79" t="str">
        <f>IF(AND('331-CT'!$E$7=TH!H6839,OR(N6839="331",O6839="331")),"x","")</f>
        <v/>
      </c>
      <c r="Q6839" s="79" t="str">
        <f>IF(AND(B6839='111'!$L$11,OR($N6839=$Q$7,$O6839=$Q$7)),"x","")</f>
        <v/>
      </c>
      <c r="R6839" s="79" t="str">
        <f>IF(AND($N6839=$Q$7,$B6839&lt;'111'!$L$11),"x","")</f>
        <v/>
      </c>
      <c r="S6839" s="79" t="str">
        <f>IF(AND($O6839=$Q$7,$B6839&lt;'111'!$L$11),"x","")</f>
        <v/>
      </c>
      <c r="T6839" s="79" t="str">
        <f>IF(ISERROR(FIND('112'!$M$9,G6839,1)),"",IF((AND(FIND('112'!$M$9,G6839,1)&gt;=1,B6839='112'!$K$9,OR($N6839='112'!$I$6,$O6839='112'!$I$6))),"x",""))</f>
        <v/>
      </c>
      <c r="U6839" s="79" t="str">
        <f>IF(ISERROR(FIND('112'!$M$9,G6839,1)),"",IF((AND(LEFT(G6839,2)=LEFT('112'!$M$9,2),B6839&lt;'112'!$K$9,$N6839='112'!$I$6)),"x",""))</f>
        <v/>
      </c>
      <c r="V6839" s="79" t="str">
        <f>IF(ISERROR(FIND('112'!$M$9,G6839,1)),"",IF((AND(RIGHT(G6839,2)=RIGHT('112'!$M$9,2),B6839&lt;'112'!$K$9,$O6839='112'!$I$6)),"x",""))</f>
        <v/>
      </c>
      <c r="W6839" s="79" t="str">
        <f>IF(AND('341-CT'!$H$9=H6839,OR(LEFT(N6839,3)=$W$7,LEFT(O6839,3)=$W$7)),"x","")</f>
        <v/>
      </c>
      <c r="X6839" s="79" t="str">
        <f>IF(OR(TH!N6839=TH!$X$7,O6839=TH!$X$7),"x","")</f>
        <v/>
      </c>
      <c r="Y6839" s="79" t="str">
        <f>IF(AND(OR(N6839="131",O6839="131"),H6839='131-CT'!$H$9),"x","")</f>
        <v/>
      </c>
      <c r="Z6839" s="79"/>
      <c r="AA6839" s="79" t="str">
        <f>IF(AND(MONTH(E6839)='IN-NX'!$J$5,'IN-NX'!$D$7=D6839),"x","")</f>
        <v/>
      </c>
      <c r="AB6839" s="79" t="str">
        <f>IF(AND(OR(LEFT(TH!N6839,2)="15",LEFT(TH!O6839,2)="15"),LEFT(TH!O6839,3)&lt;&gt;"111",'152-CT'!$J$8=TH!F6839),"x","")</f>
        <v/>
      </c>
      <c r="AC6839" s="79" t="str">
        <f>IF(AND(OR(LEFT(TH!N6839,2)="15",LEFT(TH!O6839,2)="15"),TK!$E$7=TH!F6839),"x","")</f>
        <v/>
      </c>
      <c r="AD6839" s="79" t="str">
        <f>IF(AND(N6839="1521",MONTH(C6839)='BK-NL'!$M$11),"x","")</f>
        <v/>
      </c>
    </row>
    <row r="6840" spans="1:30" ht="16.5" customHeight="1">
      <c r="A6840" s="318" t="str">
        <f>IF(B6840&lt;&gt;"",IF(AND(B6840='IN-TC'!$S$4,OR(TH!N6840="1111",TH!O6840="1111")),TH!D6840,""),"")</f>
        <v/>
      </c>
      <c r="B6840" s="1163" t="str">
        <f t="shared" si="527"/>
        <v/>
      </c>
      <c r="C6840" s="61"/>
      <c r="D6840" s="61"/>
      <c r="E6840" s="61"/>
      <c r="F6840" s="69"/>
      <c r="G6840" s="64"/>
      <c r="H6840" s="69"/>
      <c r="I6840" s="385"/>
      <c r="J6840" s="392"/>
      <c r="K6840" s="385"/>
      <c r="L6840" s="392"/>
      <c r="M6840" s="62"/>
      <c r="N6840" s="63"/>
      <c r="O6840" s="63"/>
      <c r="P6840" s="79" t="str">
        <f>IF(AND('331-CT'!$E$7=TH!H6840,OR(N6840="331",O6840="331")),"x","")</f>
        <v/>
      </c>
      <c r="Q6840" s="79" t="str">
        <f>IF(AND(B6840='111'!$L$11,OR($N6840=$Q$7,$O6840=$Q$7)),"x","")</f>
        <v/>
      </c>
      <c r="R6840" s="79" t="str">
        <f>IF(AND($N6840=$Q$7,$B6840&lt;'111'!$L$11),"x","")</f>
        <v/>
      </c>
      <c r="S6840" s="79" t="str">
        <f>IF(AND($O6840=$Q$7,$B6840&lt;'111'!$L$11),"x","")</f>
        <v/>
      </c>
      <c r="T6840" s="79" t="str">
        <f>IF(ISERROR(FIND('112'!$M$9,G6840,1)),"",IF((AND(FIND('112'!$M$9,G6840,1)&gt;=1,B6840='112'!$K$9,OR($N6840='112'!$I$6,$O6840='112'!$I$6))),"x",""))</f>
        <v/>
      </c>
      <c r="U6840" s="79" t="str">
        <f>IF(ISERROR(FIND('112'!$M$9,G6840,1)),"",IF((AND(LEFT(G6840,2)=LEFT('112'!$M$9,2),B6840&lt;'112'!$K$9,$N6840='112'!$I$6)),"x",""))</f>
        <v/>
      </c>
      <c r="V6840" s="79" t="str">
        <f>IF(ISERROR(FIND('112'!$M$9,G6840,1)),"",IF((AND(RIGHT(G6840,2)=RIGHT('112'!$M$9,2),B6840&lt;'112'!$K$9,$O6840='112'!$I$6)),"x",""))</f>
        <v/>
      </c>
      <c r="W6840" s="79" t="str">
        <f>IF(AND('341-CT'!$H$9=H6840,OR(LEFT(N6840,3)=$W$7,LEFT(O6840,3)=$W$7)),"x","")</f>
        <v/>
      </c>
      <c r="X6840" s="79" t="str">
        <f>IF(OR(TH!N6840=TH!$X$7,O6840=TH!$X$7),"x","")</f>
        <v/>
      </c>
      <c r="Y6840" s="79" t="str">
        <f>IF(AND(OR(N6840="131",O6840="131"),H6840='131-CT'!$H$9),"x","")</f>
        <v/>
      </c>
      <c r="Z6840" s="79"/>
      <c r="AA6840" s="79" t="str">
        <f>IF(AND(MONTH(E6840)='IN-NX'!$J$5,'IN-NX'!$D$7=D6840),"x","")</f>
        <v/>
      </c>
      <c r="AB6840" s="79" t="str">
        <f>IF(AND(OR(LEFT(TH!N6840,2)="15",LEFT(TH!O6840,2)="15"),LEFT(TH!O6840,3)&lt;&gt;"111",'152-CT'!$J$8=TH!F6840),"x","")</f>
        <v/>
      </c>
      <c r="AC6840" s="79" t="str">
        <f>IF(AND(OR(LEFT(TH!N6840,2)="15",LEFT(TH!O6840,2)="15"),TK!$E$7=TH!F6840),"x","")</f>
        <v/>
      </c>
      <c r="AD6840" s="79" t="str">
        <f>IF(AND(N6840="1521",MONTH(C6840)='BK-NL'!$M$11),"x","")</f>
        <v/>
      </c>
    </row>
    <row r="6841" spans="1:30" ht="16.5" customHeight="1">
      <c r="A6841" s="318" t="str">
        <f>IF(B6841&lt;&gt;"",IF(AND(B6841='IN-TC'!$S$4,OR(TH!N6841="1111",TH!O6841="1111")),TH!D6841,""),"")</f>
        <v/>
      </c>
      <c r="B6841" s="1163" t="str">
        <f t="shared" si="527"/>
        <v/>
      </c>
      <c r="C6841" s="61"/>
      <c r="D6841" s="61"/>
      <c r="E6841" s="61"/>
      <c r="F6841" s="69"/>
      <c r="G6841" s="64"/>
      <c r="H6841" s="69"/>
      <c r="I6841" s="385"/>
      <c r="J6841" s="392"/>
      <c r="K6841" s="385"/>
      <c r="L6841" s="392"/>
      <c r="M6841" s="62"/>
      <c r="N6841" s="63"/>
      <c r="O6841" s="63"/>
      <c r="P6841" s="79" t="str">
        <f>IF(AND('331-CT'!$E$7=TH!H6841,OR(N6841="331",O6841="331")),"x","")</f>
        <v/>
      </c>
      <c r="Q6841" s="79" t="str">
        <f>IF(AND(B6841='111'!$L$11,OR($N6841=$Q$7,$O6841=$Q$7)),"x","")</f>
        <v/>
      </c>
      <c r="R6841" s="79" t="str">
        <f>IF(AND($N6841=$Q$7,$B6841&lt;'111'!$L$11),"x","")</f>
        <v/>
      </c>
      <c r="S6841" s="79" t="str">
        <f>IF(AND($O6841=$Q$7,$B6841&lt;'111'!$L$11),"x","")</f>
        <v/>
      </c>
      <c r="T6841" s="79" t="str">
        <f>IF(ISERROR(FIND('112'!$M$9,G6841,1)),"",IF((AND(FIND('112'!$M$9,G6841,1)&gt;=1,B6841='112'!$K$9,OR($N6841='112'!$I$6,$O6841='112'!$I$6))),"x",""))</f>
        <v/>
      </c>
      <c r="U6841" s="79" t="str">
        <f>IF(ISERROR(FIND('112'!$M$9,G6841,1)),"",IF((AND(LEFT(G6841,2)=LEFT('112'!$M$9,2),B6841&lt;'112'!$K$9,$N6841='112'!$I$6)),"x",""))</f>
        <v/>
      </c>
      <c r="V6841" s="79" t="str">
        <f>IF(ISERROR(FIND('112'!$M$9,G6841,1)),"",IF((AND(RIGHT(G6841,2)=RIGHT('112'!$M$9,2),B6841&lt;'112'!$K$9,$O6841='112'!$I$6)),"x",""))</f>
        <v/>
      </c>
      <c r="W6841" s="79" t="str">
        <f>IF(AND('341-CT'!$H$9=H6841,OR(LEFT(N6841,3)=$W$7,LEFT(O6841,3)=$W$7)),"x","")</f>
        <v/>
      </c>
      <c r="X6841" s="79" t="str">
        <f>IF(OR(TH!N6841=TH!$X$7,O6841=TH!$X$7),"x","")</f>
        <v/>
      </c>
      <c r="Y6841" s="79" t="str">
        <f>IF(AND(OR(N6841="131",O6841="131"),H6841='131-CT'!$H$9),"x","")</f>
        <v/>
      </c>
      <c r="Z6841" s="79"/>
      <c r="AA6841" s="79" t="str">
        <f>IF(AND(MONTH(E6841)='IN-NX'!$J$5,'IN-NX'!$D$7=D6841),"x","")</f>
        <v/>
      </c>
      <c r="AB6841" s="79" t="str">
        <f>IF(AND(OR(LEFT(TH!N6841,2)="15",LEFT(TH!O6841,2)="15"),LEFT(TH!O6841,3)&lt;&gt;"111",'152-CT'!$J$8=TH!F6841),"x","")</f>
        <v/>
      </c>
      <c r="AC6841" s="79" t="str">
        <f>IF(AND(OR(LEFT(TH!N6841,2)="15",LEFT(TH!O6841,2)="15"),TK!$E$7=TH!F6841),"x","")</f>
        <v/>
      </c>
      <c r="AD6841" s="79" t="str">
        <f>IF(AND(N6841="1521",MONTH(C6841)='BK-NL'!$M$11),"x","")</f>
        <v/>
      </c>
    </row>
    <row r="6842" spans="1:30" ht="16.5" customHeight="1">
      <c r="A6842" s="318" t="str">
        <f>IF(B6842&lt;&gt;"",IF(AND(B6842='IN-TC'!$S$4,OR(TH!N6842="1111",TH!O6842="1111")),TH!D6842,""),"")</f>
        <v/>
      </c>
      <c r="B6842" s="1163" t="str">
        <f t="shared" si="527"/>
        <v/>
      </c>
      <c r="C6842" s="61"/>
      <c r="D6842" s="61"/>
      <c r="E6842" s="61"/>
      <c r="F6842" s="69"/>
      <c r="G6842" s="64"/>
      <c r="H6842" s="69"/>
      <c r="I6842" s="385"/>
      <c r="J6842" s="392"/>
      <c r="K6842" s="385"/>
      <c r="L6842" s="392"/>
      <c r="M6842" s="62"/>
      <c r="N6842" s="63"/>
      <c r="O6842" s="63"/>
      <c r="P6842" s="79" t="str">
        <f>IF(AND('331-CT'!$E$7=TH!H6842,OR(N6842="331",O6842="331")),"x","")</f>
        <v/>
      </c>
      <c r="Q6842" s="79" t="str">
        <f>IF(AND(B6842='111'!$L$11,OR($N6842=$Q$7,$O6842=$Q$7)),"x","")</f>
        <v/>
      </c>
      <c r="R6842" s="79" t="str">
        <f>IF(AND($N6842=$Q$7,$B6842&lt;'111'!$L$11),"x","")</f>
        <v/>
      </c>
      <c r="S6842" s="79" t="str">
        <f>IF(AND($O6842=$Q$7,$B6842&lt;'111'!$L$11),"x","")</f>
        <v/>
      </c>
      <c r="T6842" s="79" t="str">
        <f>IF(ISERROR(FIND('112'!$M$9,G6842,1)),"",IF((AND(FIND('112'!$M$9,G6842,1)&gt;=1,B6842='112'!$K$9,OR($N6842='112'!$I$6,$O6842='112'!$I$6))),"x",""))</f>
        <v/>
      </c>
      <c r="U6842" s="79" t="str">
        <f>IF(ISERROR(FIND('112'!$M$9,G6842,1)),"",IF((AND(LEFT(G6842,2)=LEFT('112'!$M$9,2),B6842&lt;'112'!$K$9,$N6842='112'!$I$6)),"x",""))</f>
        <v/>
      </c>
      <c r="V6842" s="79" t="str">
        <f>IF(ISERROR(FIND('112'!$M$9,G6842,1)),"",IF((AND(RIGHT(G6842,2)=RIGHT('112'!$M$9,2),B6842&lt;'112'!$K$9,$O6842='112'!$I$6)),"x",""))</f>
        <v/>
      </c>
      <c r="W6842" s="79" t="str">
        <f>IF(AND('341-CT'!$H$9=H6842,OR(LEFT(N6842,3)=$W$7,LEFT(O6842,3)=$W$7)),"x","")</f>
        <v/>
      </c>
      <c r="X6842" s="79" t="str">
        <f>IF(OR(TH!N6842=TH!$X$7,O6842=TH!$X$7),"x","")</f>
        <v/>
      </c>
      <c r="Y6842" s="79" t="str">
        <f>IF(AND(OR(N6842="131",O6842="131"),H6842='131-CT'!$H$9),"x","")</f>
        <v/>
      </c>
      <c r="Z6842" s="79"/>
      <c r="AA6842" s="79" t="str">
        <f>IF(AND(MONTH(E6842)='IN-NX'!$J$5,'IN-NX'!$D$7=D6842),"x","")</f>
        <v/>
      </c>
      <c r="AB6842" s="79" t="str">
        <f>IF(AND(OR(LEFT(TH!N6842,2)="15",LEFT(TH!O6842,2)="15"),LEFT(TH!O6842,3)&lt;&gt;"111",'152-CT'!$J$8=TH!F6842),"x","")</f>
        <v/>
      </c>
      <c r="AC6842" s="79" t="str">
        <f>IF(AND(OR(LEFT(TH!N6842,2)="15",LEFT(TH!O6842,2)="15"),TK!$E$7=TH!F6842),"x","")</f>
        <v/>
      </c>
      <c r="AD6842" s="79" t="str">
        <f>IF(AND(N6842="1521",MONTH(C6842)='BK-NL'!$M$11),"x","")</f>
        <v/>
      </c>
    </row>
    <row r="6843" spans="1:30" ht="16.5" customHeight="1">
      <c r="A6843" s="318" t="str">
        <f>IF(B6843&lt;&gt;"",IF(AND(B6843='IN-TC'!$S$4,OR(TH!N6843="1111",TH!O6843="1111")),TH!D6843,""),"")</f>
        <v/>
      </c>
      <c r="B6843" s="1163" t="str">
        <f t="shared" si="527"/>
        <v/>
      </c>
      <c r="C6843" s="61"/>
      <c r="D6843" s="61"/>
      <c r="E6843" s="61"/>
      <c r="F6843" s="69"/>
      <c r="G6843" s="64"/>
      <c r="H6843" s="69"/>
      <c r="I6843" s="385"/>
      <c r="J6843" s="392"/>
      <c r="K6843" s="385"/>
      <c r="L6843" s="392"/>
      <c r="M6843" s="62"/>
      <c r="N6843" s="63"/>
      <c r="O6843" s="63"/>
      <c r="P6843" s="79" t="str">
        <f>IF(AND('331-CT'!$E$7=TH!H6843,OR(N6843="331",O6843="331")),"x","")</f>
        <v/>
      </c>
      <c r="Q6843" s="79" t="str">
        <f>IF(AND(B6843='111'!$L$11,OR($N6843=$Q$7,$O6843=$Q$7)),"x","")</f>
        <v/>
      </c>
      <c r="R6843" s="79" t="str">
        <f>IF(AND($N6843=$Q$7,$B6843&lt;'111'!$L$11),"x","")</f>
        <v/>
      </c>
      <c r="S6843" s="79" t="str">
        <f>IF(AND($O6843=$Q$7,$B6843&lt;'111'!$L$11),"x","")</f>
        <v/>
      </c>
      <c r="T6843" s="79" t="str">
        <f>IF(ISERROR(FIND('112'!$M$9,G6843,1)),"",IF((AND(FIND('112'!$M$9,G6843,1)&gt;=1,B6843='112'!$K$9,OR($N6843='112'!$I$6,$O6843='112'!$I$6))),"x",""))</f>
        <v/>
      </c>
      <c r="U6843" s="79" t="str">
        <f>IF(ISERROR(FIND('112'!$M$9,G6843,1)),"",IF((AND(LEFT(G6843,2)=LEFT('112'!$M$9,2),B6843&lt;'112'!$K$9,$N6843='112'!$I$6)),"x",""))</f>
        <v/>
      </c>
      <c r="V6843" s="79" t="str">
        <f>IF(ISERROR(FIND('112'!$M$9,G6843,1)),"",IF((AND(RIGHT(G6843,2)=RIGHT('112'!$M$9,2),B6843&lt;'112'!$K$9,$O6843='112'!$I$6)),"x",""))</f>
        <v/>
      </c>
      <c r="W6843" s="79" t="str">
        <f>IF(AND('341-CT'!$H$9=H6843,OR(LEFT(N6843,3)=$W$7,LEFT(O6843,3)=$W$7)),"x","")</f>
        <v/>
      </c>
      <c r="X6843" s="79" t="str">
        <f>IF(OR(TH!N6843=TH!$X$7,O6843=TH!$X$7),"x","")</f>
        <v/>
      </c>
      <c r="Y6843" s="79" t="str">
        <f>IF(AND(OR(N6843="131",O6843="131"),H6843='131-CT'!$H$9),"x","")</f>
        <v/>
      </c>
      <c r="Z6843" s="79"/>
      <c r="AA6843" s="79" t="str">
        <f>IF(AND(MONTH(E6843)='IN-NX'!$J$5,'IN-NX'!$D$7=D6843),"x","")</f>
        <v/>
      </c>
      <c r="AB6843" s="79" t="str">
        <f>IF(AND(OR(LEFT(TH!N6843,2)="15",LEFT(TH!O6843,2)="15"),LEFT(TH!O6843,3)&lt;&gt;"111",'152-CT'!$J$8=TH!F6843),"x","")</f>
        <v/>
      </c>
      <c r="AC6843" s="79" t="str">
        <f>IF(AND(OR(LEFT(TH!N6843,2)="15",LEFT(TH!O6843,2)="15"),TK!$E$7=TH!F6843),"x","")</f>
        <v/>
      </c>
      <c r="AD6843" s="79" t="str">
        <f>IF(AND(N6843="1521",MONTH(C6843)='BK-NL'!$M$11),"x","")</f>
        <v/>
      </c>
    </row>
    <row r="6844" spans="1:30" ht="16.5" customHeight="1">
      <c r="A6844" s="318" t="str">
        <f>IF(B6844&lt;&gt;"",IF(AND(B6844='IN-TC'!$S$4,OR(TH!N6844="1111",TH!O6844="1111")),TH!D6844,""),"")</f>
        <v/>
      </c>
      <c r="B6844" s="1163" t="str">
        <f t="shared" si="527"/>
        <v/>
      </c>
      <c r="C6844" s="61"/>
      <c r="D6844" s="61"/>
      <c r="E6844" s="61"/>
      <c r="F6844" s="69"/>
      <c r="G6844" s="64"/>
      <c r="H6844" s="69"/>
      <c r="I6844" s="385"/>
      <c r="J6844" s="392"/>
      <c r="K6844" s="385"/>
      <c r="L6844" s="392"/>
      <c r="M6844" s="62"/>
      <c r="N6844" s="63"/>
      <c r="O6844" s="63"/>
      <c r="P6844" s="79" t="str">
        <f>IF(AND('331-CT'!$E$7=TH!H6844,OR(N6844="331",O6844="331")),"x","")</f>
        <v/>
      </c>
      <c r="Q6844" s="79" t="str">
        <f>IF(AND(B6844='111'!$L$11,OR($N6844=$Q$7,$O6844=$Q$7)),"x","")</f>
        <v/>
      </c>
      <c r="R6844" s="79" t="str">
        <f>IF(AND($N6844=$Q$7,$B6844&lt;'111'!$L$11),"x","")</f>
        <v/>
      </c>
      <c r="S6844" s="79" t="str">
        <f>IF(AND($O6844=$Q$7,$B6844&lt;'111'!$L$11),"x","")</f>
        <v/>
      </c>
      <c r="T6844" s="79" t="str">
        <f>IF(ISERROR(FIND('112'!$M$9,G6844,1)),"",IF((AND(FIND('112'!$M$9,G6844,1)&gt;=1,B6844='112'!$K$9,OR($N6844='112'!$I$6,$O6844='112'!$I$6))),"x",""))</f>
        <v/>
      </c>
      <c r="U6844" s="79" t="str">
        <f>IF(ISERROR(FIND('112'!$M$9,G6844,1)),"",IF((AND(LEFT(G6844,2)=LEFT('112'!$M$9,2),B6844&lt;'112'!$K$9,$N6844='112'!$I$6)),"x",""))</f>
        <v/>
      </c>
      <c r="V6844" s="79" t="str">
        <f>IF(ISERROR(FIND('112'!$M$9,G6844,1)),"",IF((AND(RIGHT(G6844,2)=RIGHT('112'!$M$9,2),B6844&lt;'112'!$K$9,$O6844='112'!$I$6)),"x",""))</f>
        <v/>
      </c>
      <c r="W6844" s="79" t="str">
        <f>IF(AND('341-CT'!$H$9=H6844,OR(LEFT(N6844,3)=$W$7,LEFT(O6844,3)=$W$7)),"x","")</f>
        <v/>
      </c>
      <c r="X6844" s="79" t="str">
        <f>IF(OR(TH!N6844=TH!$X$7,O6844=TH!$X$7),"x","")</f>
        <v/>
      </c>
      <c r="Y6844" s="79" t="str">
        <f>IF(AND(OR(N6844="131",O6844="131"),H6844='131-CT'!$H$9),"x","")</f>
        <v/>
      </c>
      <c r="Z6844" s="79"/>
      <c r="AA6844" s="79" t="str">
        <f>IF(AND(MONTH(E6844)='IN-NX'!$J$5,'IN-NX'!$D$7=D6844),"x","")</f>
        <v/>
      </c>
      <c r="AB6844" s="79" t="str">
        <f>IF(AND(OR(LEFT(TH!N6844,2)="15",LEFT(TH!O6844,2)="15"),LEFT(TH!O6844,3)&lt;&gt;"111",'152-CT'!$J$8=TH!F6844),"x","")</f>
        <v/>
      </c>
      <c r="AC6844" s="79" t="str">
        <f>IF(AND(OR(LEFT(TH!N6844,2)="15",LEFT(TH!O6844,2)="15"),TK!$E$7=TH!F6844),"x","")</f>
        <v/>
      </c>
      <c r="AD6844" s="79" t="str">
        <f>IF(AND(N6844="1521",MONTH(C6844)='BK-NL'!$M$11),"x","")</f>
        <v/>
      </c>
    </row>
    <row r="6845" spans="1:30" ht="16.5" customHeight="1">
      <c r="A6845" s="318" t="str">
        <f>IF(B6845&lt;&gt;"",IF(AND(B6845='IN-TC'!$S$4,OR(TH!N6845="1111",TH!O6845="1111")),TH!D6845,""),"")</f>
        <v/>
      </c>
      <c r="B6845" s="1163" t="str">
        <f t="shared" si="527"/>
        <v/>
      </c>
      <c r="C6845" s="61"/>
      <c r="D6845" s="61"/>
      <c r="E6845" s="61"/>
      <c r="F6845" s="69"/>
      <c r="G6845" s="64"/>
      <c r="H6845" s="69"/>
      <c r="I6845" s="385"/>
      <c r="J6845" s="392"/>
      <c r="K6845" s="385"/>
      <c r="L6845" s="392"/>
      <c r="M6845" s="62"/>
      <c r="N6845" s="63"/>
      <c r="O6845" s="63"/>
      <c r="P6845" s="79" t="str">
        <f>IF(AND('331-CT'!$E$7=TH!H6845,OR(N6845="331",O6845="331")),"x","")</f>
        <v/>
      </c>
      <c r="Q6845" s="79" t="str">
        <f>IF(AND(B6845='111'!$L$11,OR($N6845=$Q$7,$O6845=$Q$7)),"x","")</f>
        <v/>
      </c>
      <c r="R6845" s="79" t="str">
        <f>IF(AND($N6845=$Q$7,$B6845&lt;'111'!$L$11),"x","")</f>
        <v/>
      </c>
      <c r="S6845" s="79" t="str">
        <f>IF(AND($O6845=$Q$7,$B6845&lt;'111'!$L$11),"x","")</f>
        <v/>
      </c>
      <c r="T6845" s="79" t="str">
        <f>IF(ISERROR(FIND('112'!$M$9,G6845,1)),"",IF((AND(FIND('112'!$M$9,G6845,1)&gt;=1,B6845='112'!$K$9,OR($N6845='112'!$I$6,$O6845='112'!$I$6))),"x",""))</f>
        <v/>
      </c>
      <c r="U6845" s="79" t="str">
        <f>IF(ISERROR(FIND('112'!$M$9,G6845,1)),"",IF((AND(LEFT(G6845,2)=LEFT('112'!$M$9,2),B6845&lt;'112'!$K$9,$N6845='112'!$I$6)),"x",""))</f>
        <v/>
      </c>
      <c r="V6845" s="79" t="str">
        <f>IF(ISERROR(FIND('112'!$M$9,G6845,1)),"",IF((AND(RIGHT(G6845,2)=RIGHT('112'!$M$9,2),B6845&lt;'112'!$K$9,$O6845='112'!$I$6)),"x",""))</f>
        <v/>
      </c>
      <c r="W6845" s="79" t="str">
        <f>IF(AND('341-CT'!$H$9=H6845,OR(LEFT(N6845,3)=$W$7,LEFT(O6845,3)=$W$7)),"x","")</f>
        <v/>
      </c>
      <c r="X6845" s="79" t="str">
        <f>IF(OR(TH!N6845=TH!$X$7,O6845=TH!$X$7),"x","")</f>
        <v/>
      </c>
      <c r="Y6845" s="79" t="str">
        <f>IF(AND(OR(N6845="131",O6845="131"),H6845='131-CT'!$H$9),"x","")</f>
        <v/>
      </c>
      <c r="Z6845" s="79"/>
      <c r="AA6845" s="79" t="str">
        <f>IF(AND(MONTH(E6845)='IN-NX'!$J$5,'IN-NX'!$D$7=D6845),"x","")</f>
        <v/>
      </c>
      <c r="AB6845" s="79" t="str">
        <f>IF(AND(OR(LEFT(TH!N6845,2)="15",LEFT(TH!O6845,2)="15"),LEFT(TH!O6845,3)&lt;&gt;"111",'152-CT'!$J$8=TH!F6845),"x","")</f>
        <v/>
      </c>
      <c r="AC6845" s="79" t="str">
        <f>IF(AND(OR(LEFT(TH!N6845,2)="15",LEFT(TH!O6845,2)="15"),TK!$E$7=TH!F6845),"x","")</f>
        <v/>
      </c>
      <c r="AD6845" s="79" t="str">
        <f>IF(AND(N6845="1521",MONTH(C6845)='BK-NL'!$M$11),"x","")</f>
        <v/>
      </c>
    </row>
    <row r="6846" spans="1:30" ht="16.5" customHeight="1">
      <c r="A6846" s="318" t="str">
        <f>IF(B6846&lt;&gt;"",IF(AND(B6846='IN-TC'!$S$4,OR(TH!N6846="1111",TH!O6846="1111")),TH!D6846,""),"")</f>
        <v/>
      </c>
      <c r="B6846" s="1163" t="str">
        <f t="shared" si="527"/>
        <v/>
      </c>
      <c r="C6846" s="61"/>
      <c r="D6846" s="61"/>
      <c r="E6846" s="61"/>
      <c r="F6846" s="69"/>
      <c r="G6846" s="64"/>
      <c r="H6846" s="69"/>
      <c r="I6846" s="385"/>
      <c r="J6846" s="392"/>
      <c r="K6846" s="385"/>
      <c r="L6846" s="392"/>
      <c r="M6846" s="62"/>
      <c r="N6846" s="63"/>
      <c r="O6846" s="63"/>
      <c r="P6846" s="79" t="str">
        <f>IF(AND('331-CT'!$E$7=TH!H6846,OR(N6846="331",O6846="331")),"x","")</f>
        <v/>
      </c>
      <c r="Q6846" s="79" t="str">
        <f>IF(AND(B6846='111'!$L$11,OR($N6846=$Q$7,$O6846=$Q$7)),"x","")</f>
        <v/>
      </c>
      <c r="R6846" s="79" t="str">
        <f>IF(AND($N6846=$Q$7,$B6846&lt;'111'!$L$11),"x","")</f>
        <v/>
      </c>
      <c r="S6846" s="79" t="str">
        <f>IF(AND($O6846=$Q$7,$B6846&lt;'111'!$L$11),"x","")</f>
        <v/>
      </c>
      <c r="T6846" s="79" t="str">
        <f>IF(ISERROR(FIND('112'!$M$9,G6846,1)),"",IF((AND(FIND('112'!$M$9,G6846,1)&gt;=1,B6846='112'!$K$9,OR($N6846='112'!$I$6,$O6846='112'!$I$6))),"x",""))</f>
        <v/>
      </c>
      <c r="U6846" s="79" t="str">
        <f>IF(ISERROR(FIND('112'!$M$9,G6846,1)),"",IF((AND(LEFT(G6846,2)=LEFT('112'!$M$9,2),B6846&lt;'112'!$K$9,$N6846='112'!$I$6)),"x",""))</f>
        <v/>
      </c>
      <c r="V6846" s="79" t="str">
        <f>IF(ISERROR(FIND('112'!$M$9,G6846,1)),"",IF((AND(RIGHT(G6846,2)=RIGHT('112'!$M$9,2),B6846&lt;'112'!$K$9,$O6846='112'!$I$6)),"x",""))</f>
        <v/>
      </c>
      <c r="W6846" s="79" t="str">
        <f>IF(AND('341-CT'!$H$9=H6846,OR(LEFT(N6846,3)=$W$7,LEFT(O6846,3)=$W$7)),"x","")</f>
        <v/>
      </c>
      <c r="X6846" s="79" t="str">
        <f>IF(OR(TH!N6846=TH!$X$7,O6846=TH!$X$7),"x","")</f>
        <v/>
      </c>
      <c r="Y6846" s="79" t="str">
        <f>IF(AND(OR(N6846="131",O6846="131"),H6846='131-CT'!$H$9),"x","")</f>
        <v/>
      </c>
      <c r="Z6846" s="79"/>
      <c r="AA6846" s="79" t="str">
        <f>IF(AND(MONTH(E6846)='IN-NX'!$J$5,'IN-NX'!$D$7=D6846),"x","")</f>
        <v/>
      </c>
      <c r="AB6846" s="79" t="str">
        <f>IF(AND(OR(LEFT(TH!N6846,2)="15",LEFT(TH!O6846,2)="15"),LEFT(TH!O6846,3)&lt;&gt;"111",'152-CT'!$J$8=TH!F6846),"x","")</f>
        <v/>
      </c>
      <c r="AC6846" s="79" t="str">
        <f>IF(AND(OR(LEFT(TH!N6846,2)="15",LEFT(TH!O6846,2)="15"),TK!$E$7=TH!F6846),"x","")</f>
        <v/>
      </c>
      <c r="AD6846" s="79" t="str">
        <f>IF(AND(N6846="1521",MONTH(C6846)='BK-NL'!$M$11),"x","")</f>
        <v/>
      </c>
    </row>
    <row r="6847" spans="1:30" ht="16.5" customHeight="1">
      <c r="A6847" s="318" t="str">
        <f>IF(B6847&lt;&gt;"",IF(AND(B6847='IN-TC'!$S$4,OR(TH!N6847="1111",TH!O6847="1111")),TH!D6847,""),"")</f>
        <v/>
      </c>
      <c r="B6847" s="1163" t="str">
        <f t="shared" si="527"/>
        <v/>
      </c>
      <c r="C6847" s="61"/>
      <c r="D6847" s="61"/>
      <c r="E6847" s="61"/>
      <c r="F6847" s="69"/>
      <c r="G6847" s="766"/>
      <c r="H6847" s="69"/>
      <c r="I6847" s="385"/>
      <c r="J6847" s="392"/>
      <c r="K6847" s="385"/>
      <c r="L6847" s="392"/>
      <c r="M6847" s="62"/>
      <c r="N6847" s="63"/>
      <c r="O6847" s="63"/>
      <c r="P6847" s="79" t="str">
        <f>IF(AND('331-CT'!$E$7=TH!H6847,OR(N6847="331",O6847="331")),"x","")</f>
        <v/>
      </c>
      <c r="Q6847" s="79" t="str">
        <f>IF(AND(B6847='111'!$L$11,OR($N6847=$Q$7,$O6847=$Q$7)),"x","")</f>
        <v/>
      </c>
      <c r="R6847" s="79" t="str">
        <f>IF(AND($N6847=$Q$7,$B6847&lt;'111'!$L$11),"x","")</f>
        <v/>
      </c>
      <c r="S6847" s="79" t="str">
        <f>IF(AND($O6847=$Q$7,$B6847&lt;'111'!$L$11),"x","")</f>
        <v/>
      </c>
      <c r="T6847" s="79" t="str">
        <f>IF(ISERROR(FIND('112'!$M$9,G6847,1)),"",IF((AND(FIND('112'!$M$9,G6847,1)&gt;=1,B6847='112'!$K$9,OR($N6847='112'!$I$6,$O6847='112'!$I$6))),"x",""))</f>
        <v/>
      </c>
      <c r="U6847" s="79" t="str">
        <f>IF(ISERROR(FIND('112'!$M$9,G6847,1)),"",IF((AND(LEFT(G6847,2)=LEFT('112'!$M$9,2),B6847&lt;'112'!$K$9,$N6847='112'!$I$6)),"x",""))</f>
        <v/>
      </c>
      <c r="V6847" s="79" t="str">
        <f>IF(ISERROR(FIND('112'!$M$9,G6847,1)),"",IF((AND(RIGHT(G6847,2)=RIGHT('112'!$M$9,2),B6847&lt;'112'!$K$9,$O6847='112'!$I$6)),"x",""))</f>
        <v/>
      </c>
      <c r="W6847" s="79" t="str">
        <f>IF(AND('341-CT'!$H$9=H6847,OR(LEFT(N6847,3)=$W$7,LEFT(O6847,3)=$W$7)),"x","")</f>
        <v/>
      </c>
      <c r="X6847" s="79" t="str">
        <f>IF(OR(TH!N6847=TH!$X$7,O6847=TH!$X$7),"x","")</f>
        <v/>
      </c>
      <c r="Y6847" s="79" t="str">
        <f>IF(AND(OR(N6847="131",O6847="131"),H6847='131-CT'!$H$9),"x","")</f>
        <v/>
      </c>
      <c r="Z6847" s="79"/>
      <c r="AA6847" s="79" t="str">
        <f>IF(AND(MONTH(E6847)='IN-NX'!$J$5,'IN-NX'!$D$7=D6847),"x","")</f>
        <v/>
      </c>
      <c r="AB6847" s="79" t="str">
        <f>IF(AND(OR(LEFT(TH!N6847,2)="15",LEFT(TH!O6847,2)="15"),LEFT(TH!O6847,3)&lt;&gt;"111",'152-CT'!$J$8=TH!F6847),"x","")</f>
        <v/>
      </c>
      <c r="AC6847" s="79" t="str">
        <f>IF(AND(OR(LEFT(TH!N6847,2)="15",LEFT(TH!O6847,2)="15"),TK!$E$7=TH!F6847),"x","")</f>
        <v/>
      </c>
      <c r="AD6847" s="79" t="str">
        <f>IF(AND(N6847="1521",MONTH(C6847)='BK-NL'!$M$11),"x","")</f>
        <v/>
      </c>
    </row>
    <row r="6848" spans="1:30" ht="16.5" customHeight="1">
      <c r="A6848" s="318" t="str">
        <f>IF(B6848&lt;&gt;"",IF(AND(B6848='IN-TC'!$S$4,OR(TH!N6848="1111",TH!O6848="1111")),TH!D6848,""),"")</f>
        <v/>
      </c>
      <c r="B6848" s="1163" t="str">
        <f t="shared" si="527"/>
        <v/>
      </c>
      <c r="C6848" s="61"/>
      <c r="D6848" s="61"/>
      <c r="E6848" s="61"/>
      <c r="F6848" s="69"/>
      <c r="G6848" s="64"/>
      <c r="H6848" s="69"/>
      <c r="I6848" s="385"/>
      <c r="J6848" s="392"/>
      <c r="K6848" s="385"/>
      <c r="L6848" s="392"/>
      <c r="M6848" s="62"/>
      <c r="N6848" s="63"/>
      <c r="O6848" s="63"/>
      <c r="P6848" s="79" t="str">
        <f>IF(AND('331-CT'!$E$7=TH!H6848,OR(N6848="331",O6848="331")),"x","")</f>
        <v/>
      </c>
      <c r="Q6848" s="79" t="str">
        <f>IF(AND(B6848='111'!$L$11,OR($N6848=$Q$7,$O6848=$Q$7)),"x","")</f>
        <v/>
      </c>
      <c r="R6848" s="79" t="str">
        <f>IF(AND($N6848=$Q$7,$B6848&lt;'111'!$L$11),"x","")</f>
        <v/>
      </c>
      <c r="S6848" s="79" t="str">
        <f>IF(AND($O6848=$Q$7,$B6848&lt;'111'!$L$11),"x","")</f>
        <v/>
      </c>
      <c r="T6848" s="79" t="str">
        <f>IF(ISERROR(FIND('112'!$M$9,G6848,1)),"",IF((AND(FIND('112'!$M$9,G6848,1)&gt;=1,B6848='112'!$K$9,OR($N6848='112'!$I$6,$O6848='112'!$I$6))),"x",""))</f>
        <v/>
      </c>
      <c r="U6848" s="79" t="str">
        <f>IF(ISERROR(FIND('112'!$M$9,G6848,1)),"",IF((AND(LEFT(G6848,2)=LEFT('112'!$M$9,2),B6848&lt;'112'!$K$9,$N6848='112'!$I$6)),"x",""))</f>
        <v/>
      </c>
      <c r="V6848" s="79" t="str">
        <f>IF(ISERROR(FIND('112'!$M$9,G6848,1)),"",IF((AND(RIGHT(G6848,2)=RIGHT('112'!$M$9,2),B6848&lt;'112'!$K$9,$O6848='112'!$I$6)),"x",""))</f>
        <v/>
      </c>
      <c r="W6848" s="79" t="str">
        <f>IF(AND('341-CT'!$H$9=H6848,OR(LEFT(N6848,3)=$W$7,LEFT(O6848,3)=$W$7)),"x","")</f>
        <v/>
      </c>
      <c r="X6848" s="79" t="str">
        <f>IF(OR(TH!N6848=TH!$X$7,O6848=TH!$X$7),"x","")</f>
        <v/>
      </c>
      <c r="Y6848" s="79" t="str">
        <f>IF(AND(OR(N6848="131",O6848="131"),H6848='131-CT'!$H$9),"x","")</f>
        <v/>
      </c>
      <c r="Z6848" s="79"/>
      <c r="AA6848" s="79" t="str">
        <f>IF(AND(MONTH(E6848)='IN-NX'!$J$5,'IN-NX'!$D$7=D6848),"x","")</f>
        <v/>
      </c>
      <c r="AB6848" s="79" t="str">
        <f>IF(AND(OR(LEFT(TH!N6848,2)="15",LEFT(TH!O6848,2)="15"),LEFT(TH!O6848,3)&lt;&gt;"111",'152-CT'!$J$8=TH!F6848),"x","")</f>
        <v/>
      </c>
      <c r="AC6848" s="79" t="str">
        <f>IF(AND(OR(LEFT(TH!N6848,2)="15",LEFT(TH!O6848,2)="15"),TK!$E$7=TH!F6848),"x","")</f>
        <v/>
      </c>
      <c r="AD6848" s="79" t="str">
        <f>IF(AND(N6848="1521",MONTH(C6848)='BK-NL'!$M$11),"x","")</f>
        <v/>
      </c>
    </row>
    <row r="6849" spans="1:30" ht="16.5" customHeight="1">
      <c r="A6849" s="318" t="str">
        <f>IF(B6849&lt;&gt;"",IF(AND(B6849='IN-TC'!$S$4,OR(TH!N6849="1111",TH!O6849="1111")),TH!D6849,""),"")</f>
        <v/>
      </c>
      <c r="B6849" s="1163" t="str">
        <f t="shared" si="527"/>
        <v/>
      </c>
      <c r="C6849" s="61"/>
      <c r="D6849" s="61"/>
      <c r="E6849" s="61"/>
      <c r="F6849" s="69"/>
      <c r="G6849" s="64"/>
      <c r="H6849" s="69"/>
      <c r="I6849" s="385"/>
      <c r="J6849" s="392"/>
      <c r="K6849" s="385"/>
      <c r="L6849" s="392"/>
      <c r="M6849" s="62"/>
      <c r="N6849" s="63"/>
      <c r="O6849" s="63"/>
      <c r="P6849" s="79" t="str">
        <f>IF(AND('331-CT'!$E$7=TH!H6849,OR(N6849="331",O6849="331")),"x","")</f>
        <v/>
      </c>
      <c r="Q6849" s="79" t="str">
        <f>IF(AND(B6849='111'!$L$11,OR($N6849=$Q$7,$O6849=$Q$7)),"x","")</f>
        <v/>
      </c>
      <c r="R6849" s="79" t="str">
        <f>IF(AND($N6849=$Q$7,$B6849&lt;'111'!$L$11),"x","")</f>
        <v/>
      </c>
      <c r="S6849" s="79" t="str">
        <f>IF(AND($O6849=$Q$7,$B6849&lt;'111'!$L$11),"x","")</f>
        <v/>
      </c>
      <c r="T6849" s="79" t="str">
        <f>IF(ISERROR(FIND('112'!$M$9,G6849,1)),"",IF((AND(FIND('112'!$M$9,G6849,1)&gt;=1,B6849='112'!$K$9,OR($N6849='112'!$I$6,$O6849='112'!$I$6))),"x",""))</f>
        <v/>
      </c>
      <c r="U6849" s="79" t="str">
        <f>IF(ISERROR(FIND('112'!$M$9,G6849,1)),"",IF((AND(LEFT(G6849,2)=LEFT('112'!$M$9,2),B6849&lt;'112'!$K$9,$N6849='112'!$I$6)),"x",""))</f>
        <v/>
      </c>
      <c r="V6849" s="79" t="str">
        <f>IF(ISERROR(FIND('112'!$M$9,G6849,1)),"",IF((AND(RIGHT(G6849,2)=RIGHT('112'!$M$9,2),B6849&lt;'112'!$K$9,$O6849='112'!$I$6)),"x",""))</f>
        <v/>
      </c>
      <c r="W6849" s="79" t="str">
        <f>IF(AND('341-CT'!$H$9=H6849,OR(LEFT(N6849,3)=$W$7,LEFT(O6849,3)=$W$7)),"x","")</f>
        <v/>
      </c>
      <c r="X6849" s="79" t="str">
        <f>IF(OR(TH!N6849=TH!$X$7,O6849=TH!$X$7),"x","")</f>
        <v/>
      </c>
      <c r="Y6849" s="79" t="str">
        <f>IF(AND(OR(N6849="131",O6849="131"),H6849='131-CT'!$H$9),"x","")</f>
        <v/>
      </c>
      <c r="Z6849" s="79"/>
      <c r="AA6849" s="79" t="str">
        <f>IF(AND(MONTH(E6849)='IN-NX'!$J$5,'IN-NX'!$D$7=D6849),"x","")</f>
        <v/>
      </c>
      <c r="AB6849" s="79" t="str">
        <f>IF(AND(OR(LEFT(TH!N6849,2)="15",LEFT(TH!O6849,2)="15"),LEFT(TH!O6849,3)&lt;&gt;"111",'152-CT'!$J$8=TH!F6849),"x","")</f>
        <v/>
      </c>
      <c r="AC6849" s="79" t="str">
        <f>IF(AND(OR(LEFT(TH!N6849,2)="15",LEFT(TH!O6849,2)="15"),TK!$E$7=TH!F6849),"x","")</f>
        <v/>
      </c>
      <c r="AD6849" s="79" t="str">
        <f>IF(AND(N6849="1521",MONTH(C6849)='BK-NL'!$M$11),"x","")</f>
        <v/>
      </c>
    </row>
    <row r="6850" spans="1:30" ht="16.5" customHeight="1">
      <c r="A6850" s="318" t="str">
        <f>IF(B6850&lt;&gt;"",IF(AND(B6850='IN-TC'!$S$4,OR(TH!N6850="1111",TH!O6850="1111")),TH!D6850,""),"")</f>
        <v/>
      </c>
      <c r="B6850" s="1163" t="str">
        <f t="shared" si="527"/>
        <v/>
      </c>
      <c r="C6850" s="61"/>
      <c r="D6850" s="61"/>
      <c r="E6850" s="61"/>
      <c r="F6850" s="69"/>
      <c r="G6850" s="64"/>
      <c r="H6850" s="69"/>
      <c r="I6850" s="385"/>
      <c r="J6850" s="392"/>
      <c r="K6850" s="385"/>
      <c r="L6850" s="392"/>
      <c r="M6850" s="62"/>
      <c r="N6850" s="63"/>
      <c r="O6850" s="63"/>
      <c r="P6850" s="79" t="str">
        <f>IF(AND('331-CT'!$E$7=TH!H6850,OR(N6850="331",O6850="331")),"x","")</f>
        <v/>
      </c>
      <c r="Q6850" s="79" t="str">
        <f>IF(AND(B6850='111'!$L$11,OR($N6850=$Q$7,$O6850=$Q$7)),"x","")</f>
        <v/>
      </c>
      <c r="R6850" s="79" t="str">
        <f>IF(AND($N6850=$Q$7,$B6850&lt;'111'!$L$11),"x","")</f>
        <v/>
      </c>
      <c r="S6850" s="79" t="str">
        <f>IF(AND($O6850=$Q$7,$B6850&lt;'111'!$L$11),"x","")</f>
        <v/>
      </c>
      <c r="T6850" s="79" t="str">
        <f>IF(ISERROR(FIND('112'!$M$9,G6850,1)),"",IF((AND(FIND('112'!$M$9,G6850,1)&gt;=1,B6850='112'!$K$9,OR($N6850='112'!$I$6,$O6850='112'!$I$6))),"x",""))</f>
        <v/>
      </c>
      <c r="U6850" s="79" t="str">
        <f>IF(ISERROR(FIND('112'!$M$9,G6850,1)),"",IF((AND(LEFT(G6850,2)=LEFT('112'!$M$9,2),B6850&lt;'112'!$K$9,$N6850='112'!$I$6)),"x",""))</f>
        <v/>
      </c>
      <c r="V6850" s="79" t="str">
        <f>IF(ISERROR(FIND('112'!$M$9,G6850,1)),"",IF((AND(RIGHT(G6850,2)=RIGHT('112'!$M$9,2),B6850&lt;'112'!$K$9,$O6850='112'!$I$6)),"x",""))</f>
        <v/>
      </c>
      <c r="W6850" s="79" t="str">
        <f>IF(AND('341-CT'!$H$9=H6850,OR(LEFT(N6850,3)=$W$7,LEFT(O6850,3)=$W$7)),"x","")</f>
        <v/>
      </c>
      <c r="X6850" s="79" t="str">
        <f>IF(OR(TH!N6850=TH!$X$7,O6850=TH!$X$7),"x","")</f>
        <v/>
      </c>
      <c r="Y6850" s="79" t="str">
        <f>IF(AND(OR(N6850="131",O6850="131"),H6850='131-CT'!$H$9),"x","")</f>
        <v/>
      </c>
      <c r="Z6850" s="79"/>
      <c r="AA6850" s="79" t="str">
        <f>IF(AND(MONTH(E6850)='IN-NX'!$J$5,'IN-NX'!$D$7=D6850),"x","")</f>
        <v/>
      </c>
      <c r="AB6850" s="79" t="str">
        <f>IF(AND(OR(LEFT(TH!N6850,2)="15",LEFT(TH!O6850,2)="15"),LEFT(TH!O6850,3)&lt;&gt;"111",'152-CT'!$J$8=TH!F6850),"x","")</f>
        <v/>
      </c>
      <c r="AC6850" s="79" t="str">
        <f>IF(AND(OR(LEFT(TH!N6850,2)="15",LEFT(TH!O6850,2)="15"),TK!$E$7=TH!F6850),"x","")</f>
        <v/>
      </c>
      <c r="AD6850" s="79" t="str">
        <f>IF(AND(N6850="1521",MONTH(C6850)='BK-NL'!$M$11),"x","")</f>
        <v/>
      </c>
    </row>
    <row r="6851" spans="1:30" ht="16.5" customHeight="1">
      <c r="A6851" s="318" t="str">
        <f>IF(B6851&lt;&gt;"",IF(AND(B6851='IN-TC'!$S$4,OR(TH!N6851="1111",TH!O6851="1111")),TH!D6851,""),"")</f>
        <v/>
      </c>
      <c r="B6851" s="1163" t="str">
        <f t="shared" ref="B6851:B6914" si="528">IF(C6851&lt;&gt;"",MONTH(C6851),"")</f>
        <v/>
      </c>
      <c r="C6851" s="61"/>
      <c r="D6851" s="61"/>
      <c r="E6851" s="61"/>
      <c r="F6851" s="69"/>
      <c r="G6851" s="64"/>
      <c r="H6851" s="69"/>
      <c r="I6851" s="385"/>
      <c r="J6851" s="392"/>
      <c r="K6851" s="385"/>
      <c r="L6851" s="392"/>
      <c r="M6851" s="62"/>
      <c r="N6851" s="63"/>
      <c r="O6851" s="63"/>
      <c r="P6851" s="79" t="str">
        <f>IF(AND('331-CT'!$E$7=TH!H6851,OR(N6851="331",O6851="331")),"x","")</f>
        <v/>
      </c>
      <c r="Q6851" s="79" t="str">
        <f>IF(AND(B6851='111'!$L$11,OR($N6851=$Q$7,$O6851=$Q$7)),"x","")</f>
        <v/>
      </c>
      <c r="R6851" s="79" t="str">
        <f>IF(AND($N6851=$Q$7,$B6851&lt;'111'!$L$11),"x","")</f>
        <v/>
      </c>
      <c r="S6851" s="79" t="str">
        <f>IF(AND($O6851=$Q$7,$B6851&lt;'111'!$L$11),"x","")</f>
        <v/>
      </c>
      <c r="T6851" s="79" t="str">
        <f>IF(ISERROR(FIND('112'!$M$9,G6851,1)),"",IF((AND(FIND('112'!$M$9,G6851,1)&gt;=1,B6851='112'!$K$9,OR($N6851='112'!$I$6,$O6851='112'!$I$6))),"x",""))</f>
        <v/>
      </c>
      <c r="U6851" s="79" t="str">
        <f>IF(ISERROR(FIND('112'!$M$9,G6851,1)),"",IF((AND(LEFT(G6851,2)=LEFT('112'!$M$9,2),B6851&lt;'112'!$K$9,$N6851='112'!$I$6)),"x",""))</f>
        <v/>
      </c>
      <c r="V6851" s="79" t="str">
        <f>IF(ISERROR(FIND('112'!$M$9,G6851,1)),"",IF((AND(RIGHT(G6851,2)=RIGHT('112'!$M$9,2),B6851&lt;'112'!$K$9,$O6851='112'!$I$6)),"x",""))</f>
        <v/>
      </c>
      <c r="W6851" s="79" t="str">
        <f>IF(AND('341-CT'!$H$9=H6851,OR(LEFT(N6851,3)=$W$7,LEFT(O6851,3)=$W$7)),"x","")</f>
        <v/>
      </c>
      <c r="X6851" s="79" t="str">
        <f>IF(OR(TH!N6851=TH!$X$7,O6851=TH!$X$7),"x","")</f>
        <v/>
      </c>
      <c r="Y6851" s="79" t="str">
        <f>IF(AND(OR(N6851="131",O6851="131"),H6851='131-CT'!$H$9),"x","")</f>
        <v/>
      </c>
      <c r="Z6851" s="79"/>
      <c r="AA6851" s="79" t="str">
        <f>IF(AND(MONTH(E6851)='IN-NX'!$J$5,'IN-NX'!$D$7=D6851),"x","")</f>
        <v/>
      </c>
      <c r="AB6851" s="79" t="str">
        <f>IF(AND(OR(LEFT(TH!N6851,2)="15",LEFT(TH!O6851,2)="15"),LEFT(TH!O6851,3)&lt;&gt;"111",'152-CT'!$J$8=TH!F6851),"x","")</f>
        <v/>
      </c>
      <c r="AC6851" s="79" t="str">
        <f>IF(AND(OR(LEFT(TH!N6851,2)="15",LEFT(TH!O6851,2)="15"),TK!$E$7=TH!F6851),"x","")</f>
        <v/>
      </c>
      <c r="AD6851" s="79" t="str">
        <f>IF(AND(N6851="1521",MONTH(C6851)='BK-NL'!$M$11),"x","")</f>
        <v/>
      </c>
    </row>
    <row r="6852" spans="1:30" ht="16.5" customHeight="1">
      <c r="A6852" s="318" t="str">
        <f>IF(B6852&lt;&gt;"",IF(AND(B6852='IN-TC'!$S$4,OR(TH!N6852="1111",TH!O6852="1111")),TH!D6852,""),"")</f>
        <v/>
      </c>
      <c r="B6852" s="1163" t="str">
        <f t="shared" si="528"/>
        <v/>
      </c>
      <c r="C6852" s="61"/>
      <c r="D6852" s="61"/>
      <c r="E6852" s="61"/>
      <c r="F6852" s="69"/>
      <c r="G6852" s="766"/>
      <c r="H6852" s="69"/>
      <c r="I6852" s="385"/>
      <c r="J6852" s="392"/>
      <c r="K6852" s="385"/>
      <c r="L6852" s="392"/>
      <c r="M6852" s="62"/>
      <c r="N6852" s="63"/>
      <c r="O6852" s="63"/>
      <c r="P6852" s="79" t="str">
        <f>IF(AND('331-CT'!$E$7=TH!H6852,OR(N6852="331",O6852="331")),"x","")</f>
        <v/>
      </c>
      <c r="Q6852" s="79" t="str">
        <f>IF(AND(B6852='111'!$L$11,OR($N6852=$Q$7,$O6852=$Q$7)),"x","")</f>
        <v/>
      </c>
      <c r="R6852" s="79" t="str">
        <f>IF(AND($N6852=$Q$7,$B6852&lt;'111'!$L$11),"x","")</f>
        <v/>
      </c>
      <c r="S6852" s="79" t="str">
        <f>IF(AND($O6852=$Q$7,$B6852&lt;'111'!$L$11),"x","")</f>
        <v/>
      </c>
      <c r="T6852" s="79" t="str">
        <f>IF(ISERROR(FIND('112'!$M$9,G6852,1)),"",IF((AND(FIND('112'!$M$9,G6852,1)&gt;=1,B6852='112'!$K$9,OR($N6852='112'!$I$6,$O6852='112'!$I$6))),"x",""))</f>
        <v/>
      </c>
      <c r="U6852" s="79" t="str">
        <f>IF(ISERROR(FIND('112'!$M$9,G6852,1)),"",IF((AND(LEFT(G6852,2)=LEFT('112'!$M$9,2),B6852&lt;'112'!$K$9,$N6852='112'!$I$6)),"x",""))</f>
        <v/>
      </c>
      <c r="V6852" s="79" t="str">
        <f>IF(ISERROR(FIND('112'!$M$9,G6852,1)),"",IF((AND(RIGHT(G6852,2)=RIGHT('112'!$M$9,2),B6852&lt;'112'!$K$9,$O6852='112'!$I$6)),"x",""))</f>
        <v/>
      </c>
      <c r="W6852" s="79" t="str">
        <f>IF(AND('341-CT'!$H$9=H6852,OR(LEFT(N6852,3)=$W$7,LEFT(O6852,3)=$W$7)),"x","")</f>
        <v/>
      </c>
      <c r="X6852" s="79" t="str">
        <f>IF(OR(TH!N6852=TH!$X$7,O6852=TH!$X$7),"x","")</f>
        <v/>
      </c>
      <c r="Y6852" s="79" t="str">
        <f>IF(AND(OR(N6852="131",O6852="131"),H6852='131-CT'!$H$9),"x","")</f>
        <v/>
      </c>
      <c r="Z6852" s="79"/>
      <c r="AA6852" s="79" t="str">
        <f>IF(AND(MONTH(E6852)='IN-NX'!$J$5,'IN-NX'!$D$7=D6852),"x","")</f>
        <v/>
      </c>
      <c r="AB6852" s="79" t="str">
        <f>IF(AND(OR(LEFT(TH!N6852,2)="15",LEFT(TH!O6852,2)="15"),LEFT(TH!O6852,3)&lt;&gt;"111",'152-CT'!$J$8=TH!F6852),"x","")</f>
        <v/>
      </c>
      <c r="AC6852" s="79" t="str">
        <f>IF(AND(OR(LEFT(TH!N6852,2)="15",LEFT(TH!O6852,2)="15"),TK!$E$7=TH!F6852),"x","")</f>
        <v/>
      </c>
      <c r="AD6852" s="79" t="str">
        <f>IF(AND(N6852="1521",MONTH(C6852)='BK-NL'!$M$11),"x","")</f>
        <v/>
      </c>
    </row>
    <row r="6853" spans="1:30" ht="16.5" customHeight="1">
      <c r="A6853" s="318" t="str">
        <f>IF(B6853&lt;&gt;"",IF(AND(B6853='IN-TC'!$S$4,OR(TH!N6853="1111",TH!O6853="1111")),TH!D6853,""),"")</f>
        <v/>
      </c>
      <c r="B6853" s="1163" t="str">
        <f t="shared" si="528"/>
        <v/>
      </c>
      <c r="C6853" s="61"/>
      <c r="D6853" s="61"/>
      <c r="E6853" s="61"/>
      <c r="F6853" s="69"/>
      <c r="G6853" s="766"/>
      <c r="H6853" s="69"/>
      <c r="I6853" s="385"/>
      <c r="J6853" s="392"/>
      <c r="K6853" s="385"/>
      <c r="L6853" s="392"/>
      <c r="M6853" s="62"/>
      <c r="N6853" s="63"/>
      <c r="O6853" s="63"/>
      <c r="P6853" s="79" t="str">
        <f>IF(AND('331-CT'!$E$7=TH!H6853,OR(N6853="331",O6853="331")),"x","")</f>
        <v/>
      </c>
      <c r="Q6853" s="79" t="str">
        <f>IF(AND(B6853='111'!$L$11,OR($N6853=$Q$7,$O6853=$Q$7)),"x","")</f>
        <v/>
      </c>
      <c r="R6853" s="79" t="str">
        <f>IF(AND($N6853=$Q$7,$B6853&lt;'111'!$L$11),"x","")</f>
        <v/>
      </c>
      <c r="S6853" s="79" t="str">
        <f>IF(AND($O6853=$Q$7,$B6853&lt;'111'!$L$11),"x","")</f>
        <v/>
      </c>
      <c r="T6853" s="79" t="str">
        <f>IF(ISERROR(FIND('112'!$M$9,G6853,1)),"",IF((AND(FIND('112'!$M$9,G6853,1)&gt;=1,B6853='112'!$K$9,OR($N6853='112'!$I$6,$O6853='112'!$I$6))),"x",""))</f>
        <v/>
      </c>
      <c r="U6853" s="79" t="str">
        <f>IF(ISERROR(FIND('112'!$M$9,G6853,1)),"",IF((AND(LEFT(G6853,2)=LEFT('112'!$M$9,2),B6853&lt;'112'!$K$9,$N6853='112'!$I$6)),"x",""))</f>
        <v/>
      </c>
      <c r="V6853" s="79" t="str">
        <f>IF(ISERROR(FIND('112'!$M$9,G6853,1)),"",IF((AND(RIGHT(G6853,2)=RIGHT('112'!$M$9,2),B6853&lt;'112'!$K$9,$O6853='112'!$I$6)),"x",""))</f>
        <v/>
      </c>
      <c r="W6853" s="79" t="str">
        <f>IF(AND('341-CT'!$H$9=H6853,OR(LEFT(N6853,3)=$W$7,LEFT(O6853,3)=$W$7)),"x","")</f>
        <v/>
      </c>
      <c r="X6853" s="79" t="str">
        <f>IF(OR(TH!N6853=TH!$X$7,O6853=TH!$X$7),"x","")</f>
        <v/>
      </c>
      <c r="Y6853" s="79" t="str">
        <f>IF(AND(OR(N6853="131",O6853="131"),H6853='131-CT'!$H$9),"x","")</f>
        <v/>
      </c>
      <c r="Z6853" s="79"/>
      <c r="AA6853" s="79" t="str">
        <f>IF(AND(MONTH(E6853)='IN-NX'!$J$5,'IN-NX'!$D$7=D6853),"x","")</f>
        <v/>
      </c>
      <c r="AB6853" s="79" t="str">
        <f>IF(AND(OR(LEFT(TH!N6853,2)="15",LEFT(TH!O6853,2)="15"),LEFT(TH!O6853,3)&lt;&gt;"111",'152-CT'!$J$8=TH!F6853),"x","")</f>
        <v/>
      </c>
      <c r="AC6853" s="79" t="str">
        <f>IF(AND(OR(LEFT(TH!N6853,2)="15",LEFT(TH!O6853,2)="15"),TK!$E$7=TH!F6853),"x","")</f>
        <v/>
      </c>
      <c r="AD6853" s="79" t="str">
        <f>IF(AND(N6853="1521",MONTH(C6853)='BK-NL'!$M$11),"x","")</f>
        <v/>
      </c>
    </row>
    <row r="6854" spans="1:30" ht="16.5" customHeight="1">
      <c r="A6854" s="318" t="str">
        <f>IF(B6854&lt;&gt;"",IF(AND(B6854='IN-TC'!$S$4,OR(TH!N6854="1111",TH!O6854="1111")),TH!D6854,""),"")</f>
        <v/>
      </c>
      <c r="B6854" s="1163" t="str">
        <f t="shared" si="528"/>
        <v/>
      </c>
      <c r="C6854" s="61"/>
      <c r="D6854" s="61"/>
      <c r="E6854" s="61"/>
      <c r="F6854" s="69"/>
      <c r="G6854" s="766"/>
      <c r="H6854" s="69"/>
      <c r="I6854" s="385"/>
      <c r="J6854" s="392"/>
      <c r="K6854" s="385"/>
      <c r="L6854" s="392"/>
      <c r="M6854" s="62"/>
      <c r="N6854" s="63"/>
      <c r="O6854" s="63"/>
      <c r="P6854" s="79" t="str">
        <f>IF(AND('331-CT'!$E$7=TH!H6854,OR(N6854="331",O6854="331")),"x","")</f>
        <v/>
      </c>
      <c r="Q6854" s="79" t="str">
        <f>IF(AND(B6854='111'!$L$11,OR($N6854=$Q$7,$O6854=$Q$7)),"x","")</f>
        <v/>
      </c>
      <c r="R6854" s="79" t="str">
        <f>IF(AND($N6854=$Q$7,$B6854&lt;'111'!$L$11),"x","")</f>
        <v/>
      </c>
      <c r="S6854" s="79" t="str">
        <f>IF(AND($O6854=$Q$7,$B6854&lt;'111'!$L$11),"x","")</f>
        <v/>
      </c>
      <c r="T6854" s="79" t="str">
        <f>IF(ISERROR(FIND('112'!$M$9,G6854,1)),"",IF((AND(FIND('112'!$M$9,G6854,1)&gt;=1,B6854='112'!$K$9,OR($N6854='112'!$I$6,$O6854='112'!$I$6))),"x",""))</f>
        <v/>
      </c>
      <c r="U6854" s="79" t="str">
        <f>IF(ISERROR(FIND('112'!$M$9,G6854,1)),"",IF((AND(LEFT(G6854,2)=LEFT('112'!$M$9,2),B6854&lt;'112'!$K$9,$N6854='112'!$I$6)),"x",""))</f>
        <v/>
      </c>
      <c r="V6854" s="79" t="str">
        <f>IF(ISERROR(FIND('112'!$M$9,G6854,1)),"",IF((AND(RIGHT(G6854,2)=RIGHT('112'!$M$9,2),B6854&lt;'112'!$K$9,$O6854='112'!$I$6)),"x",""))</f>
        <v/>
      </c>
      <c r="W6854" s="79" t="str">
        <f>IF(AND('341-CT'!$H$9=H6854,OR(LEFT(N6854,3)=$W$7,LEFT(O6854,3)=$W$7)),"x","")</f>
        <v/>
      </c>
      <c r="X6854" s="79" t="str">
        <f>IF(OR(TH!N6854=TH!$X$7,O6854=TH!$X$7),"x","")</f>
        <v/>
      </c>
      <c r="Y6854" s="79" t="str">
        <f>IF(AND(OR(N6854="131",O6854="131"),H6854='131-CT'!$H$9),"x","")</f>
        <v/>
      </c>
      <c r="Z6854" s="79"/>
      <c r="AA6854" s="79" t="str">
        <f>IF(AND(MONTH(E6854)='IN-NX'!$J$5,'IN-NX'!$D$7=D6854),"x","")</f>
        <v/>
      </c>
      <c r="AB6854" s="79" t="str">
        <f>IF(AND(OR(LEFT(TH!N6854,2)="15",LEFT(TH!O6854,2)="15"),LEFT(TH!O6854,3)&lt;&gt;"111",'152-CT'!$J$8=TH!F6854),"x","")</f>
        <v/>
      </c>
      <c r="AC6854" s="79" t="str">
        <f>IF(AND(OR(LEFT(TH!N6854,2)="15",LEFT(TH!O6854,2)="15"),TK!$E$7=TH!F6854),"x","")</f>
        <v/>
      </c>
      <c r="AD6854" s="79" t="str">
        <f>IF(AND(N6854="1521",MONTH(C6854)='BK-NL'!$M$11),"x","")</f>
        <v/>
      </c>
    </row>
    <row r="6855" spans="1:30" ht="16.5" customHeight="1">
      <c r="A6855" s="318" t="str">
        <f>IF(B6855&lt;&gt;"",IF(AND(B6855='IN-TC'!$S$4,OR(TH!N6855="1111",TH!O6855="1111")),TH!D6855,""),"")</f>
        <v/>
      </c>
      <c r="B6855" s="1163" t="str">
        <f t="shared" si="528"/>
        <v/>
      </c>
      <c r="C6855" s="61"/>
      <c r="D6855" s="61"/>
      <c r="E6855" s="61"/>
      <c r="F6855" s="69"/>
      <c r="G6855" s="64"/>
      <c r="H6855" s="69"/>
      <c r="I6855" s="385"/>
      <c r="J6855" s="392"/>
      <c r="K6855" s="385"/>
      <c r="L6855" s="392"/>
      <c r="M6855" s="62"/>
      <c r="N6855" s="63"/>
      <c r="O6855" s="63"/>
      <c r="P6855" s="79" t="str">
        <f>IF(AND('331-CT'!$E$7=TH!H6855,OR(N6855="331",O6855="331")),"x","")</f>
        <v/>
      </c>
      <c r="Q6855" s="79" t="str">
        <f>IF(AND(B6855='111'!$L$11,OR($N6855=$Q$7,$O6855=$Q$7)),"x","")</f>
        <v/>
      </c>
      <c r="R6855" s="79" t="str">
        <f>IF(AND($N6855=$Q$7,$B6855&lt;'111'!$L$11),"x","")</f>
        <v/>
      </c>
      <c r="S6855" s="79" t="str">
        <f>IF(AND($O6855=$Q$7,$B6855&lt;'111'!$L$11),"x","")</f>
        <v/>
      </c>
      <c r="T6855" s="79" t="str">
        <f>IF(ISERROR(FIND('112'!$M$9,G6855,1)),"",IF((AND(FIND('112'!$M$9,G6855,1)&gt;=1,B6855='112'!$K$9,OR($N6855='112'!$I$6,$O6855='112'!$I$6))),"x",""))</f>
        <v/>
      </c>
      <c r="U6855" s="79" t="str">
        <f>IF(ISERROR(FIND('112'!$M$9,G6855,1)),"",IF((AND(LEFT(G6855,2)=LEFT('112'!$M$9,2),B6855&lt;'112'!$K$9,$N6855='112'!$I$6)),"x",""))</f>
        <v/>
      </c>
      <c r="V6855" s="79" t="str">
        <f>IF(ISERROR(FIND('112'!$M$9,G6855,1)),"",IF((AND(RIGHT(G6855,2)=RIGHT('112'!$M$9,2),B6855&lt;'112'!$K$9,$O6855='112'!$I$6)),"x",""))</f>
        <v/>
      </c>
      <c r="W6855" s="79" t="str">
        <f>IF(AND('341-CT'!$H$9=H6855,OR(LEFT(N6855,3)=$W$7,LEFT(O6855,3)=$W$7)),"x","")</f>
        <v/>
      </c>
      <c r="X6855" s="79" t="str">
        <f>IF(OR(TH!N6855=TH!$X$7,O6855=TH!$X$7),"x","")</f>
        <v/>
      </c>
      <c r="Y6855" s="79" t="str">
        <f>IF(AND(OR(N6855="131",O6855="131"),H6855='131-CT'!$H$9),"x","")</f>
        <v/>
      </c>
      <c r="Z6855" s="79"/>
      <c r="AA6855" s="79" t="str">
        <f>IF(AND(MONTH(E6855)='IN-NX'!$J$5,'IN-NX'!$D$7=D6855),"x","")</f>
        <v/>
      </c>
      <c r="AB6855" s="79" t="str">
        <f>IF(AND(OR(LEFT(TH!N6855,2)="15",LEFT(TH!O6855,2)="15"),LEFT(TH!O6855,3)&lt;&gt;"111",'152-CT'!$J$8=TH!F6855),"x","")</f>
        <v/>
      </c>
      <c r="AC6855" s="79" t="str">
        <f>IF(AND(OR(LEFT(TH!N6855,2)="15",LEFT(TH!O6855,2)="15"),TK!$E$7=TH!F6855),"x","")</f>
        <v/>
      </c>
      <c r="AD6855" s="79" t="str">
        <f>IF(AND(N6855="1521",MONTH(C6855)='BK-NL'!$M$11),"x","")</f>
        <v/>
      </c>
    </row>
    <row r="6856" spans="1:30" ht="16.5" customHeight="1">
      <c r="A6856" s="318" t="str">
        <f>IF(B6856&lt;&gt;"",IF(AND(B6856='IN-TC'!$S$4,OR(TH!N6856="1111",TH!O6856="1111")),TH!D6856,""),"")</f>
        <v/>
      </c>
      <c r="B6856" s="1163" t="str">
        <f t="shared" si="528"/>
        <v/>
      </c>
      <c r="C6856" s="61"/>
      <c r="D6856" s="61"/>
      <c r="E6856" s="61"/>
      <c r="F6856" s="69"/>
      <c r="G6856" s="64"/>
      <c r="H6856" s="69"/>
      <c r="I6856" s="385"/>
      <c r="J6856" s="392"/>
      <c r="K6856" s="385"/>
      <c r="L6856" s="392"/>
      <c r="M6856" s="62"/>
      <c r="N6856" s="63"/>
      <c r="O6856" s="63"/>
      <c r="P6856" s="79" t="str">
        <f>IF(AND('331-CT'!$E$7=TH!H6856,OR(N6856="331",O6856="331")),"x","")</f>
        <v/>
      </c>
      <c r="Q6856" s="79" t="str">
        <f>IF(AND(B6856='111'!$L$11,OR($N6856=$Q$7,$O6856=$Q$7)),"x","")</f>
        <v/>
      </c>
      <c r="R6856" s="79" t="str">
        <f>IF(AND($N6856=$Q$7,$B6856&lt;'111'!$L$11),"x","")</f>
        <v/>
      </c>
      <c r="S6856" s="79" t="str">
        <f>IF(AND($O6856=$Q$7,$B6856&lt;'111'!$L$11),"x","")</f>
        <v/>
      </c>
      <c r="T6856" s="79" t="str">
        <f>IF(ISERROR(FIND('112'!$M$9,G6856,1)),"",IF((AND(FIND('112'!$M$9,G6856,1)&gt;=1,B6856='112'!$K$9,OR($N6856='112'!$I$6,$O6856='112'!$I$6))),"x",""))</f>
        <v/>
      </c>
      <c r="U6856" s="79" t="str">
        <f>IF(ISERROR(FIND('112'!$M$9,G6856,1)),"",IF((AND(LEFT(G6856,2)=LEFT('112'!$M$9,2),B6856&lt;'112'!$K$9,$N6856='112'!$I$6)),"x",""))</f>
        <v/>
      </c>
      <c r="V6856" s="79" t="str">
        <f>IF(ISERROR(FIND('112'!$M$9,G6856,1)),"",IF((AND(RIGHT(G6856,2)=RIGHT('112'!$M$9,2),B6856&lt;'112'!$K$9,$O6856='112'!$I$6)),"x",""))</f>
        <v/>
      </c>
      <c r="W6856" s="79" t="str">
        <f>IF(AND('341-CT'!$H$9=H6856,OR(LEFT(N6856,3)=$W$7,LEFT(O6856,3)=$W$7)),"x","")</f>
        <v/>
      </c>
      <c r="X6856" s="79" t="str">
        <f>IF(OR(TH!N6856=TH!$X$7,O6856=TH!$X$7),"x","")</f>
        <v/>
      </c>
      <c r="Y6856" s="79" t="str">
        <f>IF(AND(OR(N6856="131",O6856="131"),H6856='131-CT'!$H$9),"x","")</f>
        <v/>
      </c>
      <c r="Z6856" s="79"/>
      <c r="AA6856" s="79" t="str">
        <f>IF(AND(MONTH(E6856)='IN-NX'!$J$5,'IN-NX'!$D$7=D6856),"x","")</f>
        <v/>
      </c>
      <c r="AB6856" s="79" t="str">
        <f>IF(AND(OR(LEFT(TH!N6856,2)="15",LEFT(TH!O6856,2)="15"),LEFT(TH!O6856,3)&lt;&gt;"111",'152-CT'!$J$8=TH!F6856),"x","")</f>
        <v/>
      </c>
      <c r="AC6856" s="79" t="str">
        <f>IF(AND(OR(LEFT(TH!N6856,2)="15",LEFT(TH!O6856,2)="15"),TK!$E$7=TH!F6856),"x","")</f>
        <v/>
      </c>
      <c r="AD6856" s="79" t="str">
        <f>IF(AND(N6856="1521",MONTH(C6856)='BK-NL'!$M$11),"x","")</f>
        <v/>
      </c>
    </row>
    <row r="6857" spans="1:30" ht="16.5" customHeight="1">
      <c r="A6857" s="318" t="str">
        <f>IF(B6857&lt;&gt;"",IF(AND(B6857='IN-TC'!$S$4,OR(TH!N6857="1111",TH!O6857="1111")),TH!D6857,""),"")</f>
        <v/>
      </c>
      <c r="B6857" s="1163" t="str">
        <f t="shared" si="528"/>
        <v/>
      </c>
      <c r="C6857" s="61"/>
      <c r="D6857" s="61"/>
      <c r="E6857" s="61"/>
      <c r="F6857" s="69"/>
      <c r="G6857" s="64"/>
      <c r="H6857" s="321"/>
      <c r="I6857" s="385"/>
      <c r="J6857" s="392"/>
      <c r="K6857" s="385"/>
      <c r="L6857" s="392"/>
      <c r="M6857" s="62"/>
      <c r="N6857" s="63"/>
      <c r="O6857" s="63"/>
      <c r="P6857" s="79" t="str">
        <f>IF(AND('331-CT'!$E$7=TH!H6857,OR(N6857="331",O6857="331")),"x","")</f>
        <v/>
      </c>
      <c r="Q6857" s="79" t="str">
        <f>IF(AND(B6857='111'!$L$11,OR($N6857=$Q$7,$O6857=$Q$7)),"x","")</f>
        <v/>
      </c>
      <c r="R6857" s="79" t="str">
        <f>IF(AND($N6857=$Q$7,$B6857&lt;'111'!$L$11),"x","")</f>
        <v/>
      </c>
      <c r="S6857" s="79" t="str">
        <f>IF(AND($O6857=$Q$7,$B6857&lt;'111'!$L$11),"x","")</f>
        <v/>
      </c>
      <c r="T6857" s="79" t="str">
        <f>IF(ISERROR(FIND('112'!$M$9,G6857,1)),"",IF((AND(FIND('112'!$M$9,G6857,1)&gt;=1,B6857='112'!$K$9,OR($N6857='112'!$I$6,$O6857='112'!$I$6))),"x",""))</f>
        <v/>
      </c>
      <c r="U6857" s="79" t="str">
        <f>IF(ISERROR(FIND('112'!$M$9,G6857,1)),"",IF((AND(LEFT(G6857,2)=LEFT('112'!$M$9,2),B6857&lt;'112'!$K$9,$N6857='112'!$I$6)),"x",""))</f>
        <v/>
      </c>
      <c r="V6857" s="79" t="str">
        <f>IF(ISERROR(FIND('112'!$M$9,G6857,1)),"",IF((AND(RIGHT(G6857,2)=RIGHT('112'!$M$9,2),B6857&lt;'112'!$K$9,$O6857='112'!$I$6)),"x",""))</f>
        <v/>
      </c>
      <c r="W6857" s="79" t="str">
        <f>IF(AND('341-CT'!$H$9=H6857,OR(LEFT(N6857,3)=$W$7,LEFT(O6857,3)=$W$7)),"x","")</f>
        <v/>
      </c>
      <c r="X6857" s="79" t="str">
        <f>IF(OR(TH!N6857=TH!$X$7,O6857=TH!$X$7),"x","")</f>
        <v/>
      </c>
      <c r="Y6857" s="79" t="str">
        <f>IF(AND(OR(N6857="131",O6857="131"),H6857='131-CT'!$H$9),"x","")</f>
        <v/>
      </c>
      <c r="Z6857" s="79"/>
      <c r="AA6857" s="79" t="str">
        <f>IF(AND(MONTH(E6857)='IN-NX'!$J$5,'IN-NX'!$D$7=D6857),"x","")</f>
        <v/>
      </c>
      <c r="AB6857" s="79" t="str">
        <f>IF(AND(OR(LEFT(TH!N6857,2)="15",LEFT(TH!O6857,2)="15"),LEFT(TH!O6857,3)&lt;&gt;"111",'152-CT'!$J$8=TH!F6857),"x","")</f>
        <v/>
      </c>
      <c r="AC6857" s="79" t="str">
        <f>IF(AND(OR(LEFT(TH!N6857,2)="15",LEFT(TH!O6857,2)="15"),TK!$E$7=TH!F6857),"x","")</f>
        <v/>
      </c>
      <c r="AD6857" s="79" t="str">
        <f>IF(AND(N6857="1521",MONTH(C6857)='BK-NL'!$M$11),"x","")</f>
        <v/>
      </c>
    </row>
    <row r="6858" spans="1:30" ht="16.5" customHeight="1">
      <c r="A6858" s="318" t="str">
        <f>IF(B6858&lt;&gt;"",IF(AND(B6858='IN-TC'!$S$4,OR(TH!N6858="1111",TH!O6858="1111")),TH!D6858,""),"")</f>
        <v/>
      </c>
      <c r="B6858" s="1163" t="str">
        <f t="shared" si="528"/>
        <v/>
      </c>
      <c r="C6858" s="61"/>
      <c r="D6858" s="61"/>
      <c r="E6858" s="61"/>
      <c r="F6858" s="69"/>
      <c r="G6858" s="64"/>
      <c r="H6858" s="69"/>
      <c r="I6858" s="385"/>
      <c r="J6858" s="392"/>
      <c r="K6858" s="385"/>
      <c r="L6858" s="392"/>
      <c r="M6858" s="62"/>
      <c r="N6858" s="63"/>
      <c r="O6858" s="63"/>
      <c r="P6858" s="79" t="str">
        <f>IF(AND('331-CT'!$E$7=TH!H6858,OR(N6858="331",O6858="331")),"x","")</f>
        <v/>
      </c>
      <c r="Q6858" s="79" t="str">
        <f>IF(AND(B6858='111'!$L$11,OR($N6858=$Q$7,$O6858=$Q$7)),"x","")</f>
        <v/>
      </c>
      <c r="R6858" s="79" t="str">
        <f>IF(AND($N6858=$Q$7,$B6858&lt;'111'!$L$11),"x","")</f>
        <v/>
      </c>
      <c r="S6858" s="79" t="str">
        <f>IF(AND($O6858=$Q$7,$B6858&lt;'111'!$L$11),"x","")</f>
        <v/>
      </c>
      <c r="T6858" s="79" t="str">
        <f>IF(ISERROR(FIND('112'!$M$9,G6858,1)),"",IF((AND(FIND('112'!$M$9,G6858,1)&gt;=1,B6858='112'!$K$9,OR($N6858='112'!$I$6,$O6858='112'!$I$6))),"x",""))</f>
        <v/>
      </c>
      <c r="U6858" s="79" t="str">
        <f>IF(ISERROR(FIND('112'!$M$9,G6858,1)),"",IF((AND(LEFT(G6858,2)=LEFT('112'!$M$9,2),B6858&lt;'112'!$K$9,$N6858='112'!$I$6)),"x",""))</f>
        <v/>
      </c>
      <c r="V6858" s="79" t="str">
        <f>IF(ISERROR(FIND('112'!$M$9,G6858,1)),"",IF((AND(RIGHT(G6858,2)=RIGHT('112'!$M$9,2),B6858&lt;'112'!$K$9,$O6858='112'!$I$6)),"x",""))</f>
        <v/>
      </c>
      <c r="W6858" s="79" t="str">
        <f>IF(AND('341-CT'!$H$9=H6858,OR(LEFT(N6858,3)=$W$7,LEFT(O6858,3)=$W$7)),"x","")</f>
        <v/>
      </c>
      <c r="X6858" s="79" t="str">
        <f>IF(OR(TH!N6858=TH!$X$7,O6858=TH!$X$7),"x","")</f>
        <v/>
      </c>
      <c r="Y6858" s="79" t="str">
        <f>IF(AND(OR(N6858="131",O6858="131"),H6858='131-CT'!$H$9),"x","")</f>
        <v/>
      </c>
      <c r="Z6858" s="79"/>
      <c r="AA6858" s="79" t="str">
        <f>IF(AND(MONTH(E6858)='IN-NX'!$J$5,'IN-NX'!$D$7=D6858),"x","")</f>
        <v/>
      </c>
      <c r="AB6858" s="79" t="str">
        <f>IF(AND(OR(LEFT(TH!N6858,2)="15",LEFT(TH!O6858,2)="15"),LEFT(TH!O6858,3)&lt;&gt;"111",'152-CT'!$J$8=TH!F6858),"x","")</f>
        <v/>
      </c>
      <c r="AC6858" s="79" t="str">
        <f>IF(AND(OR(LEFT(TH!N6858,2)="15",LEFT(TH!O6858,2)="15"),TK!$E$7=TH!F6858),"x","")</f>
        <v/>
      </c>
      <c r="AD6858" s="79" t="str">
        <f>IF(AND(N6858="1521",MONTH(C6858)='BK-NL'!$M$11),"x","")</f>
        <v/>
      </c>
    </row>
    <row r="6859" spans="1:30" ht="16.5" customHeight="1">
      <c r="A6859" s="318" t="str">
        <f>IF(B6859&lt;&gt;"",IF(AND(B6859='IN-TC'!$S$4,OR(TH!N6859="1111",TH!O6859="1111")),TH!D6859,""),"")</f>
        <v/>
      </c>
      <c r="B6859" s="1163" t="str">
        <f t="shared" si="528"/>
        <v/>
      </c>
      <c r="C6859" s="61"/>
      <c r="D6859" s="61"/>
      <c r="E6859" s="61"/>
      <c r="F6859" s="69"/>
      <c r="G6859" s="64"/>
      <c r="H6859" s="321"/>
      <c r="I6859" s="385"/>
      <c r="J6859" s="392"/>
      <c r="K6859" s="387"/>
      <c r="L6859" s="392"/>
      <c r="M6859" s="62"/>
      <c r="N6859" s="63"/>
      <c r="O6859" s="63"/>
      <c r="P6859" s="79" t="str">
        <f>IF(AND('331-CT'!$E$7=TH!H6859,OR(N6859="331",O6859="331")),"x","")</f>
        <v/>
      </c>
      <c r="Q6859" s="79" t="str">
        <f>IF(AND(B6859='111'!$L$11,OR($N6859=$Q$7,$O6859=$Q$7)),"x","")</f>
        <v/>
      </c>
      <c r="R6859" s="79" t="str">
        <f>IF(AND($N6859=$Q$7,$B6859&lt;'111'!$L$11),"x","")</f>
        <v/>
      </c>
      <c r="S6859" s="79" t="str">
        <f>IF(AND($O6859=$Q$7,$B6859&lt;'111'!$L$11),"x","")</f>
        <v/>
      </c>
      <c r="T6859" s="79" t="str">
        <f>IF(ISERROR(FIND('112'!$M$9,G6859,1)),"",IF((AND(FIND('112'!$M$9,G6859,1)&gt;=1,B6859='112'!$K$9,OR($N6859='112'!$I$6,$O6859='112'!$I$6))),"x",""))</f>
        <v/>
      </c>
      <c r="U6859" s="79" t="str">
        <f>IF(ISERROR(FIND('112'!$M$9,G6859,1)),"",IF((AND(LEFT(G6859,2)=LEFT('112'!$M$9,2),B6859&lt;'112'!$K$9,$N6859='112'!$I$6)),"x",""))</f>
        <v/>
      </c>
      <c r="V6859" s="79" t="str">
        <f>IF(ISERROR(FIND('112'!$M$9,G6859,1)),"",IF((AND(RIGHT(G6859,2)=RIGHT('112'!$M$9,2),B6859&lt;'112'!$K$9,$O6859='112'!$I$6)),"x",""))</f>
        <v/>
      </c>
      <c r="W6859" s="79" t="str">
        <f>IF(AND('341-CT'!$H$9=H6859,OR(LEFT(N6859,3)=$W$7,LEFT(O6859,3)=$W$7)),"x","")</f>
        <v/>
      </c>
      <c r="X6859" s="79" t="str">
        <f>IF(OR(TH!N6859=TH!$X$7,O6859=TH!$X$7),"x","")</f>
        <v/>
      </c>
      <c r="Y6859" s="79" t="str">
        <f>IF(AND(OR(N6859="131",O6859="131"),H6859='131-CT'!$H$9),"x","")</f>
        <v/>
      </c>
      <c r="Z6859" s="79"/>
      <c r="AA6859" s="79" t="str">
        <f>IF(AND(MONTH(E6859)='IN-NX'!$J$5,'IN-NX'!$D$7=D6859),"x","")</f>
        <v/>
      </c>
      <c r="AB6859" s="79" t="str">
        <f>IF(AND(OR(LEFT(TH!N6859,2)="15",LEFT(TH!O6859,2)="15"),LEFT(TH!O6859,3)&lt;&gt;"111",'152-CT'!$J$8=TH!F6859),"x","")</f>
        <v/>
      </c>
      <c r="AC6859" s="79" t="str">
        <f>IF(AND(OR(LEFT(TH!N6859,2)="15",LEFT(TH!O6859,2)="15"),TK!$E$7=TH!F6859),"x","")</f>
        <v/>
      </c>
      <c r="AD6859" s="79" t="str">
        <f>IF(AND(N6859="1521",MONTH(C6859)='BK-NL'!$M$11),"x","")</f>
        <v/>
      </c>
    </row>
    <row r="6860" spans="1:30" ht="16.5" customHeight="1">
      <c r="A6860" s="318" t="str">
        <f>IF(B6860&lt;&gt;"",IF(AND(B6860='IN-TC'!$S$4,OR(TH!N6860="1111",TH!O6860="1111")),TH!D6860,""),"")</f>
        <v/>
      </c>
      <c r="B6860" s="1163" t="str">
        <f t="shared" si="528"/>
        <v/>
      </c>
      <c r="C6860" s="61"/>
      <c r="D6860" s="61"/>
      <c r="E6860" s="61"/>
      <c r="F6860" s="69"/>
      <c r="G6860" s="64"/>
      <c r="H6860" s="321"/>
      <c r="I6860" s="385"/>
      <c r="J6860" s="392"/>
      <c r="K6860" s="385"/>
      <c r="L6860" s="392"/>
      <c r="M6860" s="62"/>
      <c r="N6860" s="63"/>
      <c r="O6860" s="63"/>
      <c r="P6860" s="79" t="str">
        <f>IF(AND('331-CT'!$E$7=TH!H6860,OR(N6860="331",O6860="331")),"x","")</f>
        <v/>
      </c>
      <c r="Q6860" s="79" t="str">
        <f>IF(AND(B6860='111'!$L$11,OR($N6860=$Q$7,$O6860=$Q$7)),"x","")</f>
        <v/>
      </c>
      <c r="R6860" s="79" t="str">
        <f>IF(AND($N6860=$Q$7,$B6860&lt;'111'!$L$11),"x","")</f>
        <v/>
      </c>
      <c r="S6860" s="79" t="str">
        <f>IF(AND($O6860=$Q$7,$B6860&lt;'111'!$L$11),"x","")</f>
        <v/>
      </c>
      <c r="T6860" s="79" t="str">
        <f>IF(ISERROR(FIND('112'!$M$9,G6860,1)),"",IF((AND(FIND('112'!$M$9,G6860,1)&gt;=1,B6860='112'!$K$9,OR($N6860='112'!$I$6,$O6860='112'!$I$6))),"x",""))</f>
        <v/>
      </c>
      <c r="U6860" s="79" t="str">
        <f>IF(ISERROR(FIND('112'!$M$9,G6860,1)),"",IF((AND(LEFT(G6860,2)=LEFT('112'!$M$9,2),B6860&lt;'112'!$K$9,$N6860='112'!$I$6)),"x",""))</f>
        <v/>
      </c>
      <c r="V6860" s="79" t="str">
        <f>IF(ISERROR(FIND('112'!$M$9,G6860,1)),"",IF((AND(RIGHT(G6860,2)=RIGHT('112'!$M$9,2),B6860&lt;'112'!$K$9,$O6860='112'!$I$6)),"x",""))</f>
        <v/>
      </c>
      <c r="W6860" s="79" t="str">
        <f>IF(AND('341-CT'!$H$9=H6860,OR(LEFT(N6860,3)=$W$7,LEFT(O6860,3)=$W$7)),"x","")</f>
        <v/>
      </c>
      <c r="X6860" s="79" t="str">
        <f>IF(OR(TH!N6860=TH!$X$7,O6860=TH!$X$7),"x","")</f>
        <v/>
      </c>
      <c r="Y6860" s="79" t="str">
        <f>IF(AND(OR(N6860="131",O6860="131"),H6860='131-CT'!$H$9),"x","")</f>
        <v/>
      </c>
      <c r="Z6860" s="79"/>
      <c r="AA6860" s="79" t="str">
        <f>IF(AND(MONTH(E6860)='IN-NX'!$J$5,'IN-NX'!$D$7=D6860),"x","")</f>
        <v/>
      </c>
      <c r="AB6860" s="79" t="str">
        <f>IF(AND(OR(LEFT(TH!N6860,2)="15",LEFT(TH!O6860,2)="15"),LEFT(TH!O6860,3)&lt;&gt;"111",'152-CT'!$J$8=TH!F6860),"x","")</f>
        <v/>
      </c>
      <c r="AC6860" s="79" t="str">
        <f>IF(AND(OR(LEFT(TH!N6860,2)="15",LEFT(TH!O6860,2)="15"),TK!$E$7=TH!F6860),"x","")</f>
        <v/>
      </c>
      <c r="AD6860" s="79" t="str">
        <f>IF(AND(N6860="1521",MONTH(C6860)='BK-NL'!$M$11),"x","")</f>
        <v/>
      </c>
    </row>
    <row r="6861" spans="1:30" ht="16.5" customHeight="1">
      <c r="A6861" s="318" t="str">
        <f>IF(B6861&lt;&gt;"",IF(AND(B6861='IN-TC'!$S$4,OR(TH!N6861="1111",TH!O6861="1111")),TH!D6861,""),"")</f>
        <v/>
      </c>
      <c r="B6861" s="1163" t="str">
        <f t="shared" si="528"/>
        <v/>
      </c>
      <c r="C6861" s="61"/>
      <c r="D6861" s="61"/>
      <c r="E6861" s="61"/>
      <c r="F6861" s="69"/>
      <c r="G6861" s="64"/>
      <c r="H6861" s="321"/>
      <c r="I6861" s="385"/>
      <c r="J6861" s="392"/>
      <c r="K6861" s="385"/>
      <c r="L6861" s="392"/>
      <c r="M6861" s="62"/>
      <c r="N6861" s="63"/>
      <c r="O6861" s="63"/>
      <c r="P6861" s="79" t="str">
        <f>IF(AND('331-CT'!$E$7=TH!H6861,OR(N6861="331",O6861="331")),"x","")</f>
        <v/>
      </c>
      <c r="Q6861" s="79" t="str">
        <f>IF(AND(B6861='111'!$L$11,OR($N6861=$Q$7,$O6861=$Q$7)),"x","")</f>
        <v/>
      </c>
      <c r="R6861" s="79" t="str">
        <f>IF(AND($N6861=$Q$7,$B6861&lt;'111'!$L$11),"x","")</f>
        <v/>
      </c>
      <c r="S6861" s="79" t="str">
        <f>IF(AND($O6861=$Q$7,$B6861&lt;'111'!$L$11),"x","")</f>
        <v/>
      </c>
      <c r="T6861" s="79" t="str">
        <f>IF(ISERROR(FIND('112'!$M$9,G6861,1)),"",IF((AND(FIND('112'!$M$9,G6861,1)&gt;=1,B6861='112'!$K$9,OR($N6861='112'!$I$6,$O6861='112'!$I$6))),"x",""))</f>
        <v/>
      </c>
      <c r="U6861" s="79" t="str">
        <f>IF(ISERROR(FIND('112'!$M$9,G6861,1)),"",IF((AND(LEFT(G6861,2)=LEFT('112'!$M$9,2),B6861&lt;'112'!$K$9,$N6861='112'!$I$6)),"x",""))</f>
        <v/>
      </c>
      <c r="V6861" s="79" t="str">
        <f>IF(ISERROR(FIND('112'!$M$9,G6861,1)),"",IF((AND(RIGHT(G6861,2)=RIGHT('112'!$M$9,2),B6861&lt;'112'!$K$9,$O6861='112'!$I$6)),"x",""))</f>
        <v/>
      </c>
      <c r="W6861" s="79" t="str">
        <f>IF(AND('341-CT'!$H$9=H6861,OR(LEFT(N6861,3)=$W$7,LEFT(O6861,3)=$W$7)),"x","")</f>
        <v/>
      </c>
      <c r="X6861" s="79" t="str">
        <f>IF(OR(TH!N6861=TH!$X$7,O6861=TH!$X$7),"x","")</f>
        <v/>
      </c>
      <c r="Y6861" s="79" t="str">
        <f>IF(AND(OR(N6861="131",O6861="131"),H6861='131-CT'!$H$9),"x","")</f>
        <v/>
      </c>
      <c r="Z6861" s="79"/>
      <c r="AA6861" s="79" t="str">
        <f>IF(AND(MONTH(E6861)='IN-NX'!$J$5,'IN-NX'!$D$7=D6861),"x","")</f>
        <v/>
      </c>
      <c r="AB6861" s="79" t="str">
        <f>IF(AND(OR(LEFT(TH!N6861,2)="15",LEFT(TH!O6861,2)="15"),LEFT(TH!O6861,3)&lt;&gt;"111",'152-CT'!$J$8=TH!F6861),"x","")</f>
        <v/>
      </c>
      <c r="AC6861" s="79" t="str">
        <f>IF(AND(OR(LEFT(TH!N6861,2)="15",LEFT(TH!O6861,2)="15"),TK!$E$7=TH!F6861),"x","")</f>
        <v/>
      </c>
      <c r="AD6861" s="79" t="str">
        <f>IF(AND(N6861="1521",MONTH(C6861)='BK-NL'!$M$11),"x","")</f>
        <v/>
      </c>
    </row>
    <row r="6862" spans="1:30" ht="16.5" customHeight="1">
      <c r="A6862" s="318" t="str">
        <f>IF(B6862&lt;&gt;"",IF(AND(B6862='IN-TC'!$S$4,OR(TH!N6862="1111",TH!O6862="1111")),TH!D6862,""),"")</f>
        <v/>
      </c>
      <c r="B6862" s="1163" t="str">
        <f t="shared" si="528"/>
        <v/>
      </c>
      <c r="C6862" s="61"/>
      <c r="D6862" s="61"/>
      <c r="E6862" s="61"/>
      <c r="F6862" s="69"/>
      <c r="G6862" s="64"/>
      <c r="H6862" s="69"/>
      <c r="I6862" s="385"/>
      <c r="J6862" s="392"/>
      <c r="K6862" s="385"/>
      <c r="L6862" s="392"/>
      <c r="M6862" s="62"/>
      <c r="N6862" s="63"/>
      <c r="O6862" s="63"/>
      <c r="P6862" s="79" t="str">
        <f>IF(AND('331-CT'!$E$7=TH!H6862,OR(N6862="331",O6862="331")),"x","")</f>
        <v/>
      </c>
      <c r="Q6862" s="79" t="str">
        <f>IF(AND(B6862='111'!$L$11,OR($N6862=$Q$7,$O6862=$Q$7)),"x","")</f>
        <v/>
      </c>
      <c r="R6862" s="79" t="str">
        <f>IF(AND($N6862=$Q$7,$B6862&lt;'111'!$L$11),"x","")</f>
        <v/>
      </c>
      <c r="S6862" s="79" t="str">
        <f>IF(AND($O6862=$Q$7,$B6862&lt;'111'!$L$11),"x","")</f>
        <v/>
      </c>
      <c r="T6862" s="79" t="str">
        <f>IF(ISERROR(FIND('112'!$M$9,G6862,1)),"",IF((AND(FIND('112'!$M$9,G6862,1)&gt;=1,B6862='112'!$K$9,OR($N6862='112'!$I$6,$O6862='112'!$I$6))),"x",""))</f>
        <v/>
      </c>
      <c r="U6862" s="79" t="str">
        <f>IF(ISERROR(FIND('112'!$M$9,G6862,1)),"",IF((AND(LEFT(G6862,2)=LEFT('112'!$M$9,2),B6862&lt;'112'!$K$9,$N6862='112'!$I$6)),"x",""))</f>
        <v/>
      </c>
      <c r="V6862" s="79" t="str">
        <f>IF(ISERROR(FIND('112'!$M$9,G6862,1)),"",IF((AND(RIGHT(G6862,2)=RIGHT('112'!$M$9,2),B6862&lt;'112'!$K$9,$O6862='112'!$I$6)),"x",""))</f>
        <v/>
      </c>
      <c r="W6862" s="79" t="str">
        <f>IF(AND('341-CT'!$H$9=H6862,OR(LEFT(N6862,3)=$W$7,LEFT(O6862,3)=$W$7)),"x","")</f>
        <v/>
      </c>
      <c r="X6862" s="79" t="str">
        <f>IF(OR(TH!N6862=TH!$X$7,O6862=TH!$X$7),"x","")</f>
        <v/>
      </c>
      <c r="Y6862" s="79" t="str">
        <f>IF(AND(OR(N6862="131",O6862="131"),H6862='131-CT'!$H$9),"x","")</f>
        <v/>
      </c>
      <c r="Z6862" s="79"/>
      <c r="AA6862" s="79" t="str">
        <f>IF(AND(MONTH(E6862)='IN-NX'!$J$5,'IN-NX'!$D$7=D6862),"x","")</f>
        <v/>
      </c>
      <c r="AB6862" s="79" t="str">
        <f>IF(AND(OR(LEFT(TH!N6862,2)="15",LEFT(TH!O6862,2)="15"),LEFT(TH!O6862,3)&lt;&gt;"111",'152-CT'!$J$8=TH!F6862),"x","")</f>
        <v/>
      </c>
      <c r="AC6862" s="79" t="str">
        <f>IF(AND(OR(LEFT(TH!N6862,2)="15",LEFT(TH!O6862,2)="15"),TK!$E$7=TH!F6862),"x","")</f>
        <v/>
      </c>
      <c r="AD6862" s="79" t="str">
        <f>IF(AND(N6862="1521",MONTH(C6862)='BK-NL'!$M$11),"x","")</f>
        <v/>
      </c>
    </row>
    <row r="6863" spans="1:30" ht="16.5" customHeight="1">
      <c r="A6863" s="318" t="str">
        <f>IF(B6863&lt;&gt;"",IF(AND(B6863='IN-TC'!$S$4,OR(TH!N6863="1111",TH!O6863="1111")),TH!D6863,""),"")</f>
        <v/>
      </c>
      <c r="B6863" s="1163" t="str">
        <f t="shared" si="528"/>
        <v/>
      </c>
      <c r="C6863" s="61"/>
      <c r="D6863" s="61"/>
      <c r="E6863" s="61"/>
      <c r="F6863" s="69"/>
      <c r="G6863" s="64"/>
      <c r="H6863" s="69"/>
      <c r="I6863" s="385"/>
      <c r="J6863" s="392"/>
      <c r="K6863" s="385"/>
      <c r="L6863" s="392"/>
      <c r="M6863" s="62"/>
      <c r="N6863" s="63"/>
      <c r="O6863" s="63"/>
      <c r="P6863" s="79" t="str">
        <f>IF(AND('331-CT'!$E$7=TH!H6863,OR(N6863="331",O6863="331")),"x","")</f>
        <v/>
      </c>
      <c r="Q6863" s="79" t="str">
        <f>IF(AND(B6863='111'!$L$11,OR($N6863=$Q$7,$O6863=$Q$7)),"x","")</f>
        <v/>
      </c>
      <c r="R6863" s="79" t="str">
        <f>IF(AND($N6863=$Q$7,$B6863&lt;'111'!$L$11),"x","")</f>
        <v/>
      </c>
      <c r="S6863" s="79" t="str">
        <f>IF(AND($O6863=$Q$7,$B6863&lt;'111'!$L$11),"x","")</f>
        <v/>
      </c>
      <c r="T6863" s="79" t="str">
        <f>IF(ISERROR(FIND('112'!$M$9,G6863,1)),"",IF((AND(FIND('112'!$M$9,G6863,1)&gt;=1,B6863='112'!$K$9,OR($N6863='112'!$I$6,$O6863='112'!$I$6))),"x",""))</f>
        <v/>
      </c>
      <c r="U6863" s="79" t="str">
        <f>IF(ISERROR(FIND('112'!$M$9,G6863,1)),"",IF((AND(LEFT(G6863,2)=LEFT('112'!$M$9,2),B6863&lt;'112'!$K$9,$N6863='112'!$I$6)),"x",""))</f>
        <v/>
      </c>
      <c r="V6863" s="79" t="str">
        <f>IF(ISERROR(FIND('112'!$M$9,G6863,1)),"",IF((AND(RIGHT(G6863,2)=RIGHT('112'!$M$9,2),B6863&lt;'112'!$K$9,$O6863='112'!$I$6)),"x",""))</f>
        <v/>
      </c>
      <c r="W6863" s="79" t="str">
        <f>IF(AND('341-CT'!$H$9=H6863,OR(LEFT(N6863,3)=$W$7,LEFT(O6863,3)=$W$7)),"x","")</f>
        <v/>
      </c>
      <c r="X6863" s="79" t="str">
        <f>IF(OR(TH!N6863=TH!$X$7,O6863=TH!$X$7),"x","")</f>
        <v/>
      </c>
      <c r="Y6863" s="79" t="str">
        <f>IF(AND(OR(N6863="131",O6863="131"),H6863='131-CT'!$H$9),"x","")</f>
        <v/>
      </c>
      <c r="Z6863" s="79"/>
      <c r="AA6863" s="79" t="str">
        <f>IF(AND(MONTH(E6863)='IN-NX'!$J$5,'IN-NX'!$D$7=D6863),"x","")</f>
        <v/>
      </c>
      <c r="AB6863" s="79" t="str">
        <f>IF(AND(OR(LEFT(TH!N6863,2)="15",LEFT(TH!O6863,2)="15"),LEFT(TH!O6863,3)&lt;&gt;"111",'152-CT'!$J$8=TH!F6863),"x","")</f>
        <v/>
      </c>
      <c r="AC6863" s="79" t="str">
        <f>IF(AND(OR(LEFT(TH!N6863,2)="15",LEFT(TH!O6863,2)="15"),TK!$E$7=TH!F6863),"x","")</f>
        <v/>
      </c>
      <c r="AD6863" s="79" t="str">
        <f>IF(AND(N6863="1521",MONTH(C6863)='BK-NL'!$M$11),"x","")</f>
        <v/>
      </c>
    </row>
    <row r="6864" spans="1:30" ht="16.5" customHeight="1">
      <c r="A6864" s="318" t="str">
        <f>IF(B6864&lt;&gt;"",IF(AND(B6864='IN-TC'!$S$4,OR(TH!N6864="1111",TH!O6864="1111")),TH!D6864,""),"")</f>
        <v/>
      </c>
      <c r="B6864" s="1163" t="str">
        <f t="shared" si="528"/>
        <v/>
      </c>
      <c r="C6864" s="61"/>
      <c r="D6864" s="61"/>
      <c r="E6864" s="61"/>
      <c r="F6864" s="69"/>
      <c r="G6864" s="64"/>
      <c r="H6864" s="321"/>
      <c r="I6864" s="385"/>
      <c r="J6864" s="392"/>
      <c r="K6864" s="385"/>
      <c r="L6864" s="392"/>
      <c r="M6864" s="62"/>
      <c r="N6864" s="63"/>
      <c r="O6864" s="63"/>
      <c r="P6864" s="79" t="str">
        <f>IF(AND('331-CT'!$E$7=TH!H6864,OR(N6864="331",O6864="331")),"x","")</f>
        <v/>
      </c>
      <c r="Q6864" s="79" t="str">
        <f>IF(AND(B6864='111'!$L$11,OR($N6864=$Q$7,$O6864=$Q$7)),"x","")</f>
        <v/>
      </c>
      <c r="R6864" s="79" t="str">
        <f>IF(AND($N6864=$Q$7,$B6864&lt;'111'!$L$11),"x","")</f>
        <v/>
      </c>
      <c r="S6864" s="79" t="str">
        <f>IF(AND($O6864=$Q$7,$B6864&lt;'111'!$L$11),"x","")</f>
        <v/>
      </c>
      <c r="T6864" s="79" t="str">
        <f>IF(ISERROR(FIND('112'!$M$9,G6864,1)),"",IF((AND(FIND('112'!$M$9,G6864,1)&gt;=1,B6864='112'!$K$9,OR($N6864='112'!$I$6,$O6864='112'!$I$6))),"x",""))</f>
        <v/>
      </c>
      <c r="U6864" s="79" t="str">
        <f>IF(ISERROR(FIND('112'!$M$9,G6864,1)),"",IF((AND(LEFT(G6864,2)=LEFT('112'!$M$9,2),B6864&lt;'112'!$K$9,$N6864='112'!$I$6)),"x",""))</f>
        <v/>
      </c>
      <c r="V6864" s="79" t="str">
        <f>IF(ISERROR(FIND('112'!$M$9,G6864,1)),"",IF((AND(RIGHT(G6864,2)=RIGHT('112'!$M$9,2),B6864&lt;'112'!$K$9,$O6864='112'!$I$6)),"x",""))</f>
        <v/>
      </c>
      <c r="W6864" s="79" t="str">
        <f>IF(AND('341-CT'!$H$9=H6864,OR(LEFT(N6864,3)=$W$7,LEFT(O6864,3)=$W$7)),"x","")</f>
        <v/>
      </c>
      <c r="X6864" s="79" t="str">
        <f>IF(OR(TH!N6864=TH!$X$7,O6864=TH!$X$7),"x","")</f>
        <v/>
      </c>
      <c r="Y6864" s="79" t="str">
        <f>IF(AND(OR(N6864="131",O6864="131"),H6864='131-CT'!$H$9),"x","")</f>
        <v/>
      </c>
      <c r="Z6864" s="79"/>
      <c r="AA6864" s="79" t="str">
        <f>IF(AND(MONTH(E6864)='IN-NX'!$J$5,'IN-NX'!$D$7=D6864),"x","")</f>
        <v/>
      </c>
      <c r="AB6864" s="79" t="str">
        <f>IF(AND(OR(LEFT(TH!N6864,2)="15",LEFT(TH!O6864,2)="15"),LEFT(TH!O6864,3)&lt;&gt;"111",'152-CT'!$J$8=TH!F6864),"x","")</f>
        <v/>
      </c>
      <c r="AC6864" s="79" t="str">
        <f>IF(AND(OR(LEFT(TH!N6864,2)="15",LEFT(TH!O6864,2)="15"),TK!$E$7=TH!F6864),"x","")</f>
        <v/>
      </c>
      <c r="AD6864" s="79" t="str">
        <f>IF(AND(N6864="1521",MONTH(C6864)='BK-NL'!$M$11),"x","")</f>
        <v/>
      </c>
    </row>
    <row r="6865" spans="1:30" ht="16.5" customHeight="1">
      <c r="A6865" s="318" t="str">
        <f>IF(B6865&lt;&gt;"",IF(AND(B6865='IN-TC'!$S$4,OR(TH!N6865="1111",TH!O6865="1111")),TH!D6865,""),"")</f>
        <v/>
      </c>
      <c r="B6865" s="1163" t="str">
        <f t="shared" si="528"/>
        <v/>
      </c>
      <c r="C6865" s="61"/>
      <c r="D6865" s="61"/>
      <c r="E6865" s="61"/>
      <c r="F6865" s="69"/>
      <c r="G6865" s="64"/>
      <c r="H6865" s="69"/>
      <c r="I6865" s="385"/>
      <c r="J6865" s="392"/>
      <c r="K6865" s="385"/>
      <c r="L6865" s="392"/>
      <c r="M6865" s="62"/>
      <c r="N6865" s="63"/>
      <c r="O6865" s="63"/>
      <c r="P6865" s="79" t="str">
        <f>IF(AND('331-CT'!$E$7=TH!H6865,OR(N6865="331",O6865="331")),"x","")</f>
        <v/>
      </c>
      <c r="Q6865" s="79" t="str">
        <f>IF(AND(B6865='111'!$L$11,OR($N6865=$Q$7,$O6865=$Q$7)),"x","")</f>
        <v/>
      </c>
      <c r="R6865" s="79" t="str">
        <f>IF(AND($N6865=$Q$7,$B6865&lt;'111'!$L$11),"x","")</f>
        <v/>
      </c>
      <c r="S6865" s="79" t="str">
        <f>IF(AND($O6865=$Q$7,$B6865&lt;'111'!$L$11),"x","")</f>
        <v/>
      </c>
      <c r="T6865" s="79" t="str">
        <f>IF(ISERROR(FIND('112'!$M$9,G6865,1)),"",IF((AND(FIND('112'!$M$9,G6865,1)&gt;=1,B6865='112'!$K$9,OR($N6865='112'!$I$6,$O6865='112'!$I$6))),"x",""))</f>
        <v/>
      </c>
      <c r="U6865" s="79" t="str">
        <f>IF(ISERROR(FIND('112'!$M$9,G6865,1)),"",IF((AND(LEFT(G6865,2)=LEFT('112'!$M$9,2),B6865&lt;'112'!$K$9,$N6865='112'!$I$6)),"x",""))</f>
        <v/>
      </c>
      <c r="V6865" s="79" t="str">
        <f>IF(ISERROR(FIND('112'!$M$9,G6865,1)),"",IF((AND(RIGHT(G6865,2)=RIGHT('112'!$M$9,2),B6865&lt;'112'!$K$9,$O6865='112'!$I$6)),"x",""))</f>
        <v/>
      </c>
      <c r="W6865" s="79" t="str">
        <f>IF(AND('341-CT'!$H$9=H6865,OR(LEFT(N6865,3)=$W$7,LEFT(O6865,3)=$W$7)),"x","")</f>
        <v/>
      </c>
      <c r="X6865" s="79" t="str">
        <f>IF(OR(TH!N6865=TH!$X$7,O6865=TH!$X$7),"x","")</f>
        <v/>
      </c>
      <c r="Y6865" s="79" t="str">
        <f>IF(AND(OR(N6865="131",O6865="131"),H6865='131-CT'!$H$9),"x","")</f>
        <v/>
      </c>
      <c r="Z6865" s="79"/>
      <c r="AA6865" s="79" t="str">
        <f>IF(AND(MONTH(E6865)='IN-NX'!$J$5,'IN-NX'!$D$7=D6865),"x","")</f>
        <v/>
      </c>
      <c r="AB6865" s="79" t="str">
        <f>IF(AND(OR(LEFT(TH!N6865,2)="15",LEFT(TH!O6865,2)="15"),LEFT(TH!O6865,3)&lt;&gt;"111",'152-CT'!$J$8=TH!F6865),"x","")</f>
        <v/>
      </c>
      <c r="AC6865" s="79" t="str">
        <f>IF(AND(OR(LEFT(TH!N6865,2)="15",LEFT(TH!O6865,2)="15"),TK!$E$7=TH!F6865),"x","")</f>
        <v/>
      </c>
      <c r="AD6865" s="79" t="str">
        <f>IF(AND(N6865="1521",MONTH(C6865)='BK-NL'!$M$11),"x","")</f>
        <v/>
      </c>
    </row>
    <row r="6866" spans="1:30" ht="16.5" customHeight="1">
      <c r="A6866" s="318" t="str">
        <f>IF(B6866&lt;&gt;"",IF(AND(B6866='IN-TC'!$S$4,OR(TH!N6866="1111",TH!O6866="1111")),TH!D6866,""),"")</f>
        <v/>
      </c>
      <c r="B6866" s="1163" t="str">
        <f t="shared" si="528"/>
        <v/>
      </c>
      <c r="C6866" s="61"/>
      <c r="D6866" s="61"/>
      <c r="E6866" s="61"/>
      <c r="F6866" s="69"/>
      <c r="G6866" s="64"/>
      <c r="H6866" s="69"/>
      <c r="I6866" s="385"/>
      <c r="J6866" s="392"/>
      <c r="K6866" s="385"/>
      <c r="L6866" s="392"/>
      <c r="M6866" s="62"/>
      <c r="N6866" s="63"/>
      <c r="O6866" s="63"/>
      <c r="P6866" s="79" t="str">
        <f>IF(AND('331-CT'!$E$7=TH!H6866,OR(N6866="331",O6866="331")),"x","")</f>
        <v/>
      </c>
      <c r="Q6866" s="79" t="str">
        <f>IF(AND(B6866='111'!$L$11,OR($N6866=$Q$7,$O6866=$Q$7)),"x","")</f>
        <v/>
      </c>
      <c r="R6866" s="79" t="str">
        <f>IF(AND($N6866=$Q$7,$B6866&lt;'111'!$L$11),"x","")</f>
        <v/>
      </c>
      <c r="S6866" s="79" t="str">
        <f>IF(AND($O6866=$Q$7,$B6866&lt;'111'!$L$11),"x","")</f>
        <v/>
      </c>
      <c r="T6866" s="79" t="str">
        <f>IF(ISERROR(FIND('112'!$M$9,G6866,1)),"",IF((AND(FIND('112'!$M$9,G6866,1)&gt;=1,B6866='112'!$K$9,OR($N6866='112'!$I$6,$O6866='112'!$I$6))),"x",""))</f>
        <v/>
      </c>
      <c r="U6866" s="79" t="str">
        <f>IF(ISERROR(FIND('112'!$M$9,G6866,1)),"",IF((AND(LEFT(G6866,2)=LEFT('112'!$M$9,2),B6866&lt;'112'!$K$9,$N6866='112'!$I$6)),"x",""))</f>
        <v/>
      </c>
      <c r="V6866" s="79" t="str">
        <f>IF(ISERROR(FIND('112'!$M$9,G6866,1)),"",IF((AND(RIGHT(G6866,2)=RIGHT('112'!$M$9,2),B6866&lt;'112'!$K$9,$O6866='112'!$I$6)),"x",""))</f>
        <v/>
      </c>
      <c r="W6866" s="79" t="str">
        <f>IF(AND('341-CT'!$H$9=H6866,OR(LEFT(N6866,3)=$W$7,LEFT(O6866,3)=$W$7)),"x","")</f>
        <v/>
      </c>
      <c r="X6866" s="79" t="str">
        <f>IF(OR(TH!N6866=TH!$X$7,O6866=TH!$X$7),"x","")</f>
        <v/>
      </c>
      <c r="Y6866" s="79" t="str">
        <f>IF(AND(OR(N6866="131",O6866="131"),H6866='131-CT'!$H$9),"x","")</f>
        <v/>
      </c>
      <c r="Z6866" s="79"/>
      <c r="AA6866" s="79" t="str">
        <f>IF(AND(MONTH(E6866)='IN-NX'!$J$5,'IN-NX'!$D$7=D6866),"x","")</f>
        <v/>
      </c>
      <c r="AB6866" s="79" t="str">
        <f>IF(AND(OR(LEFT(TH!N6866,2)="15",LEFT(TH!O6866,2)="15"),LEFT(TH!O6866,3)&lt;&gt;"111",'152-CT'!$J$8=TH!F6866),"x","")</f>
        <v/>
      </c>
      <c r="AC6866" s="79" t="str">
        <f>IF(AND(OR(LEFT(TH!N6866,2)="15",LEFT(TH!O6866,2)="15"),TK!$E$7=TH!F6866),"x","")</f>
        <v/>
      </c>
      <c r="AD6866" s="79" t="str">
        <f>IF(AND(N6866="1521",MONTH(C6866)='BK-NL'!$M$11),"x","")</f>
        <v/>
      </c>
    </row>
    <row r="6867" spans="1:30" ht="16.5" customHeight="1">
      <c r="A6867" s="318" t="str">
        <f>IF(B6867&lt;&gt;"",IF(AND(B6867='IN-TC'!$S$4,OR(TH!N6867="1111",TH!O6867="1111")),TH!D6867,""),"")</f>
        <v/>
      </c>
      <c r="B6867" s="1163" t="str">
        <f t="shared" si="528"/>
        <v/>
      </c>
      <c r="C6867" s="61"/>
      <c r="D6867" s="61"/>
      <c r="E6867" s="61"/>
      <c r="F6867" s="69"/>
      <c r="G6867" s="64"/>
      <c r="H6867" s="303"/>
      <c r="I6867" s="385"/>
      <c r="J6867" s="392"/>
      <c r="K6867" s="385"/>
      <c r="L6867" s="392"/>
      <c r="M6867" s="62"/>
      <c r="N6867" s="63"/>
      <c r="O6867" s="63"/>
      <c r="P6867" s="79" t="str">
        <f>IF(AND('331-CT'!$E$7=TH!H6867,OR(N6867="331",O6867="331")),"x","")</f>
        <v/>
      </c>
      <c r="Q6867" s="79" t="str">
        <f>IF(AND(B6867='111'!$L$11,OR($N6867=$Q$7,$O6867=$Q$7)),"x","")</f>
        <v/>
      </c>
      <c r="R6867" s="79" t="str">
        <f>IF(AND($N6867=$Q$7,$B6867&lt;'111'!$L$11),"x","")</f>
        <v/>
      </c>
      <c r="S6867" s="79" t="str">
        <f>IF(AND($O6867=$Q$7,$B6867&lt;'111'!$L$11),"x","")</f>
        <v/>
      </c>
      <c r="T6867" s="79" t="str">
        <f>IF(ISERROR(FIND('112'!$M$9,G6867,1)),"",IF((AND(FIND('112'!$M$9,G6867,1)&gt;=1,B6867='112'!$K$9,OR($N6867='112'!$I$6,$O6867='112'!$I$6))),"x",""))</f>
        <v/>
      </c>
      <c r="U6867" s="79" t="str">
        <f>IF(ISERROR(FIND('112'!$M$9,G6867,1)),"",IF((AND(LEFT(G6867,2)=LEFT('112'!$M$9,2),B6867&lt;'112'!$K$9,$N6867='112'!$I$6)),"x",""))</f>
        <v/>
      </c>
      <c r="V6867" s="79" t="str">
        <f>IF(ISERROR(FIND('112'!$M$9,G6867,1)),"",IF((AND(RIGHT(G6867,2)=RIGHT('112'!$M$9,2),B6867&lt;'112'!$K$9,$O6867='112'!$I$6)),"x",""))</f>
        <v/>
      </c>
      <c r="W6867" s="79" t="str">
        <f>IF(AND('341-CT'!$H$9=H6867,OR(LEFT(N6867,3)=$W$7,LEFT(O6867,3)=$W$7)),"x","")</f>
        <v/>
      </c>
      <c r="X6867" s="79" t="str">
        <f>IF(OR(TH!N6867=TH!$X$7,O6867=TH!$X$7),"x","")</f>
        <v/>
      </c>
      <c r="Y6867" s="79" t="str">
        <f>IF(AND(OR(N6867="131",O6867="131"),H6867='131-CT'!$H$9),"x","")</f>
        <v/>
      </c>
      <c r="Z6867" s="79"/>
      <c r="AA6867" s="79" t="str">
        <f>IF(AND(MONTH(E6867)='IN-NX'!$J$5,'IN-NX'!$D$7=D6867),"x","")</f>
        <v/>
      </c>
      <c r="AB6867" s="79" t="str">
        <f>IF(AND(OR(LEFT(TH!N6867,2)="15",LEFT(TH!O6867,2)="15"),LEFT(TH!O6867,3)&lt;&gt;"111",'152-CT'!$J$8=TH!F6867),"x","")</f>
        <v/>
      </c>
      <c r="AC6867" s="79" t="str">
        <f>IF(AND(OR(LEFT(TH!N6867,2)="15",LEFT(TH!O6867,2)="15"),TK!$E$7=TH!F6867),"x","")</f>
        <v/>
      </c>
      <c r="AD6867" s="79" t="str">
        <f>IF(AND(N6867="1521",MONTH(C6867)='BK-NL'!$M$11),"x","")</f>
        <v/>
      </c>
    </row>
    <row r="6868" spans="1:30" ht="16.5" customHeight="1">
      <c r="A6868" s="318" t="str">
        <f>IF(B6868&lt;&gt;"",IF(AND(B6868='IN-TC'!$S$4,OR(TH!N6868="1111",TH!O6868="1111")),TH!D6868,""),"")</f>
        <v/>
      </c>
      <c r="B6868" s="1163" t="str">
        <f t="shared" si="528"/>
        <v/>
      </c>
      <c r="C6868" s="61"/>
      <c r="D6868" s="61"/>
      <c r="E6868" s="61"/>
      <c r="F6868" s="69"/>
      <c r="G6868" s="64"/>
      <c r="H6868" s="69"/>
      <c r="I6868" s="385"/>
      <c r="J6868" s="392"/>
      <c r="K6868" s="385"/>
      <c r="L6868" s="392"/>
      <c r="M6868" s="62"/>
      <c r="N6868" s="63"/>
      <c r="O6868" s="63"/>
      <c r="P6868" s="79" t="str">
        <f>IF(AND('331-CT'!$E$7=TH!H6868,OR(N6868="331",O6868="331")),"x","")</f>
        <v/>
      </c>
      <c r="Q6868" s="79" t="str">
        <f>IF(AND(B6868='111'!$L$11,OR($N6868=$Q$7,$O6868=$Q$7)),"x","")</f>
        <v/>
      </c>
      <c r="R6868" s="79" t="str">
        <f>IF(AND($N6868=$Q$7,$B6868&lt;'111'!$L$11),"x","")</f>
        <v/>
      </c>
      <c r="S6868" s="79" t="str">
        <f>IF(AND($O6868=$Q$7,$B6868&lt;'111'!$L$11),"x","")</f>
        <v/>
      </c>
      <c r="T6868" s="79" t="str">
        <f>IF(ISERROR(FIND('112'!$M$9,G6868,1)),"",IF((AND(FIND('112'!$M$9,G6868,1)&gt;=1,B6868='112'!$K$9,OR($N6868='112'!$I$6,$O6868='112'!$I$6))),"x",""))</f>
        <v/>
      </c>
      <c r="U6868" s="79" t="str">
        <f>IF(ISERROR(FIND('112'!$M$9,G6868,1)),"",IF((AND(LEFT(G6868,2)=LEFT('112'!$M$9,2),B6868&lt;'112'!$K$9,$N6868='112'!$I$6)),"x",""))</f>
        <v/>
      </c>
      <c r="V6868" s="79" t="str">
        <f>IF(ISERROR(FIND('112'!$M$9,G6868,1)),"",IF((AND(RIGHT(G6868,2)=RIGHT('112'!$M$9,2),B6868&lt;'112'!$K$9,$O6868='112'!$I$6)),"x",""))</f>
        <v/>
      </c>
      <c r="W6868" s="79" t="str">
        <f>IF(AND('341-CT'!$H$9=H6868,OR(LEFT(N6868,3)=$W$7,LEFT(O6868,3)=$W$7)),"x","")</f>
        <v/>
      </c>
      <c r="X6868" s="79" t="str">
        <f>IF(OR(TH!N6868=TH!$X$7,O6868=TH!$X$7),"x","")</f>
        <v/>
      </c>
      <c r="Y6868" s="79" t="str">
        <f>IF(AND(OR(N6868="131",O6868="131"),H6868='131-CT'!$H$9),"x","")</f>
        <v/>
      </c>
      <c r="Z6868" s="79"/>
      <c r="AA6868" s="79" t="str">
        <f>IF(AND(MONTH(E6868)='IN-NX'!$J$5,'IN-NX'!$D$7=D6868),"x","")</f>
        <v/>
      </c>
      <c r="AB6868" s="79" t="str">
        <f>IF(AND(OR(LEFT(TH!N6868,2)="15",LEFT(TH!O6868,2)="15"),LEFT(TH!O6868,3)&lt;&gt;"111",'152-CT'!$J$8=TH!F6868),"x","")</f>
        <v/>
      </c>
      <c r="AC6868" s="79" t="str">
        <f>IF(AND(OR(LEFT(TH!N6868,2)="15",LEFT(TH!O6868,2)="15"),TK!$E$7=TH!F6868),"x","")</f>
        <v/>
      </c>
      <c r="AD6868" s="79" t="str">
        <f>IF(AND(N6868="1521",MONTH(C6868)='BK-NL'!$M$11),"x","")</f>
        <v/>
      </c>
    </row>
    <row r="6869" spans="1:30" ht="16.5" customHeight="1">
      <c r="A6869" s="318" t="str">
        <f>IF(B6869&lt;&gt;"",IF(AND(B6869='IN-TC'!$S$4,OR(TH!N6869="1111",TH!O6869="1111")),TH!D6869,""),"")</f>
        <v/>
      </c>
      <c r="B6869" s="1163" t="str">
        <f t="shared" si="528"/>
        <v/>
      </c>
      <c r="C6869" s="61"/>
      <c r="D6869" s="61"/>
      <c r="E6869" s="61"/>
      <c r="F6869" s="69"/>
      <c r="G6869" s="64"/>
      <c r="H6869" s="69"/>
      <c r="I6869" s="385"/>
      <c r="J6869" s="392"/>
      <c r="K6869" s="385"/>
      <c r="L6869" s="392"/>
      <c r="M6869" s="62"/>
      <c r="N6869" s="63"/>
      <c r="O6869" s="63"/>
      <c r="P6869" s="79" t="str">
        <f>IF(AND('331-CT'!$E$7=TH!H6869,OR(N6869="331",O6869="331")),"x","")</f>
        <v/>
      </c>
      <c r="Q6869" s="79" t="str">
        <f>IF(AND(B6869='111'!$L$11,OR($N6869=$Q$7,$O6869=$Q$7)),"x","")</f>
        <v/>
      </c>
      <c r="R6869" s="79" t="str">
        <f>IF(AND($N6869=$Q$7,$B6869&lt;'111'!$L$11),"x","")</f>
        <v/>
      </c>
      <c r="S6869" s="79" t="str">
        <f>IF(AND($O6869=$Q$7,$B6869&lt;'111'!$L$11),"x","")</f>
        <v/>
      </c>
      <c r="T6869" s="79" t="str">
        <f>IF(ISERROR(FIND('112'!$M$9,G6869,1)),"",IF((AND(FIND('112'!$M$9,G6869,1)&gt;=1,B6869='112'!$K$9,OR($N6869='112'!$I$6,$O6869='112'!$I$6))),"x",""))</f>
        <v/>
      </c>
      <c r="U6869" s="79" t="str">
        <f>IF(ISERROR(FIND('112'!$M$9,G6869,1)),"",IF((AND(LEFT(G6869,2)=LEFT('112'!$M$9,2),B6869&lt;'112'!$K$9,$N6869='112'!$I$6)),"x",""))</f>
        <v/>
      </c>
      <c r="V6869" s="79" t="str">
        <f>IF(ISERROR(FIND('112'!$M$9,G6869,1)),"",IF((AND(RIGHT(G6869,2)=RIGHT('112'!$M$9,2),B6869&lt;'112'!$K$9,$O6869='112'!$I$6)),"x",""))</f>
        <v/>
      </c>
      <c r="W6869" s="79" t="str">
        <f>IF(AND('341-CT'!$H$9=H6869,OR(LEFT(N6869,3)=$W$7,LEFT(O6869,3)=$W$7)),"x","")</f>
        <v/>
      </c>
      <c r="X6869" s="79" t="str">
        <f>IF(OR(TH!N6869=TH!$X$7,O6869=TH!$X$7),"x","")</f>
        <v/>
      </c>
      <c r="Y6869" s="79" t="str">
        <f>IF(AND(OR(N6869="131",O6869="131"),H6869='131-CT'!$H$9),"x","")</f>
        <v/>
      </c>
      <c r="Z6869" s="79"/>
      <c r="AA6869" s="79" t="str">
        <f>IF(AND(MONTH(E6869)='IN-NX'!$J$5,'IN-NX'!$D$7=D6869),"x","")</f>
        <v/>
      </c>
      <c r="AB6869" s="79" t="str">
        <f>IF(AND(OR(LEFT(TH!N6869,2)="15",LEFT(TH!O6869,2)="15"),LEFT(TH!O6869,3)&lt;&gt;"111",'152-CT'!$J$8=TH!F6869),"x","")</f>
        <v/>
      </c>
      <c r="AC6869" s="79" t="str">
        <f>IF(AND(OR(LEFT(TH!N6869,2)="15",LEFT(TH!O6869,2)="15"),TK!$E$7=TH!F6869),"x","")</f>
        <v/>
      </c>
      <c r="AD6869" s="79" t="str">
        <f>IF(AND(N6869="1521",MONTH(C6869)='BK-NL'!$M$11),"x","")</f>
        <v/>
      </c>
    </row>
    <row r="6870" spans="1:30" ht="16.5" customHeight="1">
      <c r="A6870" s="318" t="str">
        <f>IF(B6870&lt;&gt;"",IF(AND(B6870='IN-TC'!$S$4,OR(TH!N6870="1111",TH!O6870="1111")),TH!D6870,""),"")</f>
        <v/>
      </c>
      <c r="B6870" s="1163" t="str">
        <f t="shared" si="528"/>
        <v/>
      </c>
      <c r="C6870" s="61"/>
      <c r="D6870" s="61"/>
      <c r="E6870" s="61"/>
      <c r="F6870" s="69"/>
      <c r="G6870" s="64"/>
      <c r="H6870" s="321"/>
      <c r="I6870" s="385"/>
      <c r="J6870" s="392"/>
      <c r="K6870" s="385"/>
      <c r="L6870" s="392"/>
      <c r="M6870" s="62"/>
      <c r="N6870" s="63"/>
      <c r="O6870" s="63"/>
      <c r="P6870" s="79" t="str">
        <f>IF(AND('331-CT'!$E$7=TH!H6870,OR(N6870="331",O6870="331")),"x","")</f>
        <v/>
      </c>
      <c r="Q6870" s="79" t="str">
        <f>IF(AND(B6870='111'!$L$11,OR($N6870=$Q$7,$O6870=$Q$7)),"x","")</f>
        <v/>
      </c>
      <c r="R6870" s="79" t="str">
        <f>IF(AND($N6870=$Q$7,$B6870&lt;'111'!$L$11),"x","")</f>
        <v/>
      </c>
      <c r="S6870" s="79" t="str">
        <f>IF(AND($O6870=$Q$7,$B6870&lt;'111'!$L$11),"x","")</f>
        <v/>
      </c>
      <c r="T6870" s="79" t="str">
        <f>IF(ISERROR(FIND('112'!$M$9,G6870,1)),"",IF((AND(FIND('112'!$M$9,G6870,1)&gt;=1,B6870='112'!$K$9,OR($N6870='112'!$I$6,$O6870='112'!$I$6))),"x",""))</f>
        <v/>
      </c>
      <c r="U6870" s="79" t="str">
        <f>IF(ISERROR(FIND('112'!$M$9,G6870,1)),"",IF((AND(LEFT(G6870,2)=LEFT('112'!$M$9,2),B6870&lt;'112'!$K$9,$N6870='112'!$I$6)),"x",""))</f>
        <v/>
      </c>
      <c r="V6870" s="79" t="str">
        <f>IF(ISERROR(FIND('112'!$M$9,G6870,1)),"",IF((AND(RIGHT(G6870,2)=RIGHT('112'!$M$9,2),B6870&lt;'112'!$K$9,$O6870='112'!$I$6)),"x",""))</f>
        <v/>
      </c>
      <c r="W6870" s="79" t="str">
        <f>IF(AND('341-CT'!$H$9=H6870,OR(LEFT(N6870,3)=$W$7,LEFT(O6870,3)=$W$7)),"x","")</f>
        <v/>
      </c>
      <c r="X6870" s="79" t="str">
        <f>IF(OR(TH!N6870=TH!$X$7,O6870=TH!$X$7),"x","")</f>
        <v/>
      </c>
      <c r="Y6870" s="79" t="str">
        <f>IF(AND(OR(N6870="131",O6870="131"),H6870='131-CT'!$H$9),"x","")</f>
        <v/>
      </c>
      <c r="Z6870" s="79"/>
      <c r="AA6870" s="79" t="str">
        <f>IF(AND(MONTH(E6870)='IN-NX'!$J$5,'IN-NX'!$D$7=D6870),"x","")</f>
        <v/>
      </c>
      <c r="AB6870" s="79" t="str">
        <f>IF(AND(OR(LEFT(TH!N6870,2)="15",LEFT(TH!O6870,2)="15"),LEFT(TH!O6870,3)&lt;&gt;"111",'152-CT'!$J$8=TH!F6870),"x","")</f>
        <v/>
      </c>
      <c r="AC6870" s="79" t="str">
        <f>IF(AND(OR(LEFT(TH!N6870,2)="15",LEFT(TH!O6870,2)="15"),TK!$E$7=TH!F6870),"x","")</f>
        <v/>
      </c>
      <c r="AD6870" s="79" t="str">
        <f>IF(AND(N6870="1521",MONTH(C6870)='BK-NL'!$M$11),"x","")</f>
        <v/>
      </c>
    </row>
    <row r="6871" spans="1:30" ht="16.5" customHeight="1">
      <c r="A6871" s="318" t="str">
        <f>IF(B6871&lt;&gt;"",IF(AND(B6871='IN-TC'!$S$4,OR(TH!N6871="1111",TH!O6871="1111")),TH!D6871,""),"")</f>
        <v/>
      </c>
      <c r="B6871" s="1163" t="str">
        <f t="shared" si="528"/>
        <v/>
      </c>
      <c r="C6871" s="61"/>
      <c r="D6871" s="61"/>
      <c r="E6871" s="61"/>
      <c r="F6871" s="69"/>
      <c r="G6871" s="64"/>
      <c r="H6871" s="69"/>
      <c r="I6871" s="385"/>
      <c r="J6871" s="392"/>
      <c r="K6871" s="385"/>
      <c r="L6871" s="392"/>
      <c r="M6871" s="62"/>
      <c r="N6871" s="63"/>
      <c r="O6871" s="63"/>
      <c r="P6871" s="79" t="str">
        <f>IF(AND('331-CT'!$E$7=TH!H6871,OR(N6871="331",O6871="331")),"x","")</f>
        <v/>
      </c>
      <c r="Q6871" s="79" t="str">
        <f>IF(AND(B6871='111'!$L$11,OR($N6871=$Q$7,$O6871=$Q$7)),"x","")</f>
        <v/>
      </c>
      <c r="R6871" s="79" t="str">
        <f>IF(AND($N6871=$Q$7,$B6871&lt;'111'!$L$11),"x","")</f>
        <v/>
      </c>
      <c r="S6871" s="79" t="str">
        <f>IF(AND($O6871=$Q$7,$B6871&lt;'111'!$L$11),"x","")</f>
        <v/>
      </c>
      <c r="T6871" s="79" t="str">
        <f>IF(ISERROR(FIND('112'!$M$9,G6871,1)),"",IF((AND(FIND('112'!$M$9,G6871,1)&gt;=1,B6871='112'!$K$9,OR($N6871='112'!$I$6,$O6871='112'!$I$6))),"x",""))</f>
        <v/>
      </c>
      <c r="U6871" s="79" t="str">
        <f>IF(ISERROR(FIND('112'!$M$9,G6871,1)),"",IF((AND(LEFT(G6871,2)=LEFT('112'!$M$9,2),B6871&lt;'112'!$K$9,$N6871='112'!$I$6)),"x",""))</f>
        <v/>
      </c>
      <c r="V6871" s="79" t="str">
        <f>IF(ISERROR(FIND('112'!$M$9,G6871,1)),"",IF((AND(RIGHT(G6871,2)=RIGHT('112'!$M$9,2),B6871&lt;'112'!$K$9,$O6871='112'!$I$6)),"x",""))</f>
        <v/>
      </c>
      <c r="W6871" s="79" t="str">
        <f>IF(AND('341-CT'!$H$9=H6871,OR(LEFT(N6871,3)=$W$7,LEFT(O6871,3)=$W$7)),"x","")</f>
        <v/>
      </c>
      <c r="X6871" s="79" t="str">
        <f>IF(OR(TH!N6871=TH!$X$7,O6871=TH!$X$7),"x","")</f>
        <v/>
      </c>
      <c r="Y6871" s="79" t="str">
        <f>IF(AND(OR(N6871="131",O6871="131"),H6871='131-CT'!$H$9),"x","")</f>
        <v/>
      </c>
      <c r="Z6871" s="79"/>
      <c r="AA6871" s="79" t="str">
        <f>IF(AND(MONTH(E6871)='IN-NX'!$J$5,'IN-NX'!$D$7=D6871),"x","")</f>
        <v/>
      </c>
      <c r="AB6871" s="79" t="str">
        <f>IF(AND(OR(LEFT(TH!N6871,2)="15",LEFT(TH!O6871,2)="15"),LEFT(TH!O6871,3)&lt;&gt;"111",'152-CT'!$J$8=TH!F6871),"x","")</f>
        <v/>
      </c>
      <c r="AC6871" s="79" t="str">
        <f>IF(AND(OR(LEFT(TH!N6871,2)="15",LEFT(TH!O6871,2)="15"),TK!$E$7=TH!F6871),"x","")</f>
        <v/>
      </c>
      <c r="AD6871" s="79" t="str">
        <f>IF(AND(N6871="1521",MONTH(C6871)='BK-NL'!$M$11),"x","")</f>
        <v/>
      </c>
    </row>
    <row r="6872" spans="1:30" ht="16.5" customHeight="1">
      <c r="A6872" s="318" t="str">
        <f>IF(B6872&lt;&gt;"",IF(AND(B6872='IN-TC'!$S$4,OR(TH!N6872="1111",TH!O6872="1111")),TH!D6872,""),"")</f>
        <v/>
      </c>
      <c r="B6872" s="1163" t="str">
        <f t="shared" si="528"/>
        <v/>
      </c>
      <c r="C6872" s="61"/>
      <c r="D6872" s="61"/>
      <c r="E6872" s="61"/>
      <c r="F6872" s="69"/>
      <c r="G6872" s="64"/>
      <c r="H6872" s="69"/>
      <c r="I6872" s="385"/>
      <c r="J6872" s="392"/>
      <c r="K6872" s="385"/>
      <c r="L6872" s="392"/>
      <c r="M6872" s="62"/>
      <c r="N6872" s="63"/>
      <c r="O6872" s="63"/>
      <c r="P6872" s="79" t="str">
        <f>IF(AND('331-CT'!$E$7=TH!H6872,OR(N6872="331",O6872="331")),"x","")</f>
        <v/>
      </c>
      <c r="Q6872" s="79" t="str">
        <f>IF(AND(B6872='111'!$L$11,OR($N6872=$Q$7,$O6872=$Q$7)),"x","")</f>
        <v/>
      </c>
      <c r="R6872" s="79" t="str">
        <f>IF(AND($N6872=$Q$7,$B6872&lt;'111'!$L$11),"x","")</f>
        <v/>
      </c>
      <c r="S6872" s="79" t="str">
        <f>IF(AND($O6872=$Q$7,$B6872&lt;'111'!$L$11),"x","")</f>
        <v/>
      </c>
      <c r="T6872" s="79" t="str">
        <f>IF(ISERROR(FIND('112'!$M$9,G6872,1)),"",IF((AND(FIND('112'!$M$9,G6872,1)&gt;=1,B6872='112'!$K$9,OR($N6872='112'!$I$6,$O6872='112'!$I$6))),"x",""))</f>
        <v/>
      </c>
      <c r="U6872" s="79" t="str">
        <f>IF(ISERROR(FIND('112'!$M$9,G6872,1)),"",IF((AND(LEFT(G6872,2)=LEFT('112'!$M$9,2),B6872&lt;'112'!$K$9,$N6872='112'!$I$6)),"x",""))</f>
        <v/>
      </c>
      <c r="V6872" s="79" t="str">
        <f>IF(ISERROR(FIND('112'!$M$9,G6872,1)),"",IF((AND(RIGHT(G6872,2)=RIGHT('112'!$M$9,2),B6872&lt;'112'!$K$9,$O6872='112'!$I$6)),"x",""))</f>
        <v/>
      </c>
      <c r="W6872" s="79" t="str">
        <f>IF(AND('341-CT'!$H$9=H6872,OR(LEFT(N6872,3)=$W$7,LEFT(O6872,3)=$W$7)),"x","")</f>
        <v/>
      </c>
      <c r="X6872" s="79" t="str">
        <f>IF(OR(TH!N6872=TH!$X$7,O6872=TH!$X$7),"x","")</f>
        <v/>
      </c>
      <c r="Y6872" s="79" t="str">
        <f>IF(AND(OR(N6872="131",O6872="131"),H6872='131-CT'!$H$9),"x","")</f>
        <v/>
      </c>
      <c r="Z6872" s="79"/>
      <c r="AA6872" s="79" t="str">
        <f>IF(AND(MONTH(E6872)='IN-NX'!$J$5,'IN-NX'!$D$7=D6872),"x","")</f>
        <v/>
      </c>
      <c r="AB6872" s="79" t="str">
        <f>IF(AND(OR(LEFT(TH!N6872,2)="15",LEFT(TH!O6872,2)="15"),LEFT(TH!O6872,3)&lt;&gt;"111",'152-CT'!$J$8=TH!F6872),"x","")</f>
        <v/>
      </c>
      <c r="AC6872" s="79" t="str">
        <f>IF(AND(OR(LEFT(TH!N6872,2)="15",LEFT(TH!O6872,2)="15"),TK!$E$7=TH!F6872),"x","")</f>
        <v/>
      </c>
      <c r="AD6872" s="79" t="str">
        <f>IF(AND(N6872="1521",MONTH(C6872)='BK-NL'!$M$11),"x","")</f>
        <v/>
      </c>
    </row>
    <row r="6873" spans="1:30" ht="16.5" customHeight="1">
      <c r="A6873" s="318" t="str">
        <f>IF(B6873&lt;&gt;"",IF(AND(B6873='IN-TC'!$S$4,OR(TH!N6873="1111",TH!O6873="1111")),TH!D6873,""),"")</f>
        <v/>
      </c>
      <c r="B6873" s="1163" t="str">
        <f t="shared" si="528"/>
        <v/>
      </c>
      <c r="C6873" s="61"/>
      <c r="D6873" s="61"/>
      <c r="E6873" s="61"/>
      <c r="F6873" s="69"/>
      <c r="G6873" s="64"/>
      <c r="H6873" s="69"/>
      <c r="I6873" s="385"/>
      <c r="J6873" s="392"/>
      <c r="K6873" s="385"/>
      <c r="L6873" s="392"/>
      <c r="M6873" s="62"/>
      <c r="N6873" s="63"/>
      <c r="O6873" s="63"/>
      <c r="P6873" s="79" t="str">
        <f>IF(AND('331-CT'!$E$7=TH!H6873,OR(N6873="331",O6873="331")),"x","")</f>
        <v/>
      </c>
      <c r="Q6873" s="79" t="str">
        <f>IF(AND(B6873='111'!$L$11,OR($N6873=$Q$7,$O6873=$Q$7)),"x","")</f>
        <v/>
      </c>
      <c r="R6873" s="79" t="str">
        <f>IF(AND($N6873=$Q$7,$B6873&lt;'111'!$L$11),"x","")</f>
        <v/>
      </c>
      <c r="S6873" s="79" t="str">
        <f>IF(AND($O6873=$Q$7,$B6873&lt;'111'!$L$11),"x","")</f>
        <v/>
      </c>
      <c r="T6873" s="79" t="str">
        <f>IF(ISERROR(FIND('112'!$M$9,G6873,1)),"",IF((AND(FIND('112'!$M$9,G6873,1)&gt;=1,B6873='112'!$K$9,OR($N6873='112'!$I$6,$O6873='112'!$I$6))),"x",""))</f>
        <v/>
      </c>
      <c r="U6873" s="79" t="str">
        <f>IF(ISERROR(FIND('112'!$M$9,G6873,1)),"",IF((AND(LEFT(G6873,2)=LEFT('112'!$M$9,2),B6873&lt;'112'!$K$9,$N6873='112'!$I$6)),"x",""))</f>
        <v/>
      </c>
      <c r="V6873" s="79" t="str">
        <f>IF(ISERROR(FIND('112'!$M$9,G6873,1)),"",IF((AND(RIGHT(G6873,2)=RIGHT('112'!$M$9,2),B6873&lt;'112'!$K$9,$O6873='112'!$I$6)),"x",""))</f>
        <v/>
      </c>
      <c r="W6873" s="79" t="str">
        <f>IF(AND('341-CT'!$H$9=H6873,OR(LEFT(N6873,3)=$W$7,LEFT(O6873,3)=$W$7)),"x","")</f>
        <v/>
      </c>
      <c r="X6873" s="79" t="str">
        <f>IF(OR(TH!N6873=TH!$X$7,O6873=TH!$X$7),"x","")</f>
        <v/>
      </c>
      <c r="Y6873" s="79" t="str">
        <f>IF(AND(OR(N6873="131",O6873="131"),H6873='131-CT'!$H$9),"x","")</f>
        <v/>
      </c>
      <c r="Z6873" s="79"/>
      <c r="AA6873" s="79" t="str">
        <f>IF(AND(MONTH(E6873)='IN-NX'!$J$5,'IN-NX'!$D$7=D6873),"x","")</f>
        <v/>
      </c>
      <c r="AB6873" s="79" t="str">
        <f>IF(AND(OR(LEFT(TH!N6873,2)="15",LEFT(TH!O6873,2)="15"),LEFT(TH!O6873,3)&lt;&gt;"111",'152-CT'!$J$8=TH!F6873),"x","")</f>
        <v/>
      </c>
      <c r="AC6873" s="79" t="str">
        <f>IF(AND(OR(LEFT(TH!N6873,2)="15",LEFT(TH!O6873,2)="15"),TK!$E$7=TH!F6873),"x","")</f>
        <v/>
      </c>
      <c r="AD6873" s="79" t="str">
        <f>IF(AND(N6873="1521",MONTH(C6873)='BK-NL'!$M$11),"x","")</f>
        <v/>
      </c>
    </row>
    <row r="6874" spans="1:30" ht="16.5" customHeight="1">
      <c r="A6874" s="318" t="str">
        <f>IF(B6874&lt;&gt;"",IF(AND(B6874='IN-TC'!$S$4,OR(TH!N6874="1111",TH!O6874="1111")),TH!D6874,""),"")</f>
        <v/>
      </c>
      <c r="B6874" s="1163" t="str">
        <f t="shared" si="528"/>
        <v/>
      </c>
      <c r="C6874" s="61"/>
      <c r="D6874" s="61"/>
      <c r="E6874" s="61"/>
      <c r="F6874" s="69"/>
      <c r="G6874" s="64"/>
      <c r="H6874" s="69"/>
      <c r="I6874" s="385"/>
      <c r="J6874" s="392"/>
      <c r="K6874" s="385"/>
      <c r="L6874" s="392"/>
      <c r="M6874" s="62"/>
      <c r="N6874" s="63"/>
      <c r="O6874" s="63"/>
      <c r="P6874" s="79" t="str">
        <f>IF(AND('331-CT'!$E$7=TH!H6874,OR(N6874="331",O6874="331")),"x","")</f>
        <v/>
      </c>
      <c r="Q6874" s="79" t="str">
        <f>IF(AND(B6874='111'!$L$11,OR($N6874=$Q$7,$O6874=$Q$7)),"x","")</f>
        <v/>
      </c>
      <c r="R6874" s="79" t="str">
        <f>IF(AND($N6874=$Q$7,$B6874&lt;'111'!$L$11),"x","")</f>
        <v/>
      </c>
      <c r="S6874" s="79" t="str">
        <f>IF(AND($O6874=$Q$7,$B6874&lt;'111'!$L$11),"x","")</f>
        <v/>
      </c>
      <c r="T6874" s="79" t="str">
        <f>IF(ISERROR(FIND('112'!$M$9,G6874,1)),"",IF((AND(FIND('112'!$M$9,G6874,1)&gt;=1,B6874='112'!$K$9,OR($N6874='112'!$I$6,$O6874='112'!$I$6))),"x",""))</f>
        <v/>
      </c>
      <c r="U6874" s="79" t="str">
        <f>IF(ISERROR(FIND('112'!$M$9,G6874,1)),"",IF((AND(LEFT(G6874,2)=LEFT('112'!$M$9,2),B6874&lt;'112'!$K$9,$N6874='112'!$I$6)),"x",""))</f>
        <v/>
      </c>
      <c r="V6874" s="79" t="str">
        <f>IF(ISERROR(FIND('112'!$M$9,G6874,1)),"",IF((AND(RIGHT(G6874,2)=RIGHT('112'!$M$9,2),B6874&lt;'112'!$K$9,$O6874='112'!$I$6)),"x",""))</f>
        <v/>
      </c>
      <c r="W6874" s="79" t="str">
        <f>IF(AND('341-CT'!$H$9=H6874,OR(LEFT(N6874,3)=$W$7,LEFT(O6874,3)=$W$7)),"x","")</f>
        <v/>
      </c>
      <c r="X6874" s="79" t="str">
        <f>IF(OR(TH!N6874=TH!$X$7,O6874=TH!$X$7),"x","")</f>
        <v/>
      </c>
      <c r="Y6874" s="79" t="str">
        <f>IF(AND(OR(N6874="131",O6874="131"),H6874='131-CT'!$H$9),"x","")</f>
        <v/>
      </c>
      <c r="Z6874" s="79"/>
      <c r="AA6874" s="79" t="str">
        <f>IF(AND(MONTH(E6874)='IN-NX'!$J$5,'IN-NX'!$D$7=D6874),"x","")</f>
        <v/>
      </c>
      <c r="AB6874" s="79" t="str">
        <f>IF(AND(OR(LEFT(TH!N6874,2)="15",LEFT(TH!O6874,2)="15"),LEFT(TH!O6874,3)&lt;&gt;"111",'152-CT'!$J$8=TH!F6874),"x","")</f>
        <v/>
      </c>
      <c r="AC6874" s="79" t="str">
        <f>IF(AND(OR(LEFT(TH!N6874,2)="15",LEFT(TH!O6874,2)="15"),TK!$E$7=TH!F6874),"x","")</f>
        <v/>
      </c>
      <c r="AD6874" s="79" t="str">
        <f>IF(AND(N6874="1521",MONTH(C6874)='BK-NL'!$M$11),"x","")</f>
        <v/>
      </c>
    </row>
    <row r="6875" spans="1:30" ht="16.5" customHeight="1">
      <c r="A6875" s="318" t="str">
        <f>IF(B6875&lt;&gt;"",IF(AND(B6875='IN-TC'!$S$4,OR(TH!N6875="1111",TH!O6875="1111")),TH!D6875,""),"")</f>
        <v/>
      </c>
      <c r="B6875" s="1163" t="str">
        <f t="shared" si="528"/>
        <v/>
      </c>
      <c r="C6875" s="61"/>
      <c r="D6875" s="61"/>
      <c r="E6875" s="61"/>
      <c r="F6875" s="69"/>
      <c r="G6875" s="64"/>
      <c r="H6875" s="69"/>
      <c r="I6875" s="385"/>
      <c r="J6875" s="392"/>
      <c r="K6875" s="385"/>
      <c r="L6875" s="392"/>
      <c r="M6875" s="62"/>
      <c r="N6875" s="63"/>
      <c r="O6875" s="63"/>
      <c r="P6875" s="79" t="str">
        <f>IF(AND('331-CT'!$E$7=TH!H6875,OR(N6875="331",O6875="331")),"x","")</f>
        <v/>
      </c>
      <c r="Q6875" s="79" t="str">
        <f>IF(AND(B6875='111'!$L$11,OR($N6875=$Q$7,$O6875=$Q$7)),"x","")</f>
        <v/>
      </c>
      <c r="R6875" s="79" t="str">
        <f>IF(AND($N6875=$Q$7,$B6875&lt;'111'!$L$11),"x","")</f>
        <v/>
      </c>
      <c r="S6875" s="79" t="str">
        <f>IF(AND($O6875=$Q$7,$B6875&lt;'111'!$L$11),"x","")</f>
        <v/>
      </c>
      <c r="T6875" s="79" t="str">
        <f>IF(ISERROR(FIND('112'!$M$9,G6875,1)),"",IF((AND(FIND('112'!$M$9,G6875,1)&gt;=1,B6875='112'!$K$9,OR($N6875='112'!$I$6,$O6875='112'!$I$6))),"x",""))</f>
        <v/>
      </c>
      <c r="U6875" s="79" t="str">
        <f>IF(ISERROR(FIND('112'!$M$9,G6875,1)),"",IF((AND(LEFT(G6875,2)=LEFT('112'!$M$9,2),B6875&lt;'112'!$K$9,$N6875='112'!$I$6)),"x",""))</f>
        <v/>
      </c>
      <c r="V6875" s="79" t="str">
        <f>IF(ISERROR(FIND('112'!$M$9,G6875,1)),"",IF((AND(RIGHT(G6875,2)=RIGHT('112'!$M$9,2),B6875&lt;'112'!$K$9,$O6875='112'!$I$6)),"x",""))</f>
        <v/>
      </c>
      <c r="W6875" s="79" t="str">
        <f>IF(AND('341-CT'!$H$9=H6875,OR(LEFT(N6875,3)=$W$7,LEFT(O6875,3)=$W$7)),"x","")</f>
        <v/>
      </c>
      <c r="X6875" s="79" t="str">
        <f>IF(OR(TH!N6875=TH!$X$7,O6875=TH!$X$7),"x","")</f>
        <v/>
      </c>
      <c r="Y6875" s="79" t="str">
        <f>IF(AND(OR(N6875="131",O6875="131"),H6875='131-CT'!$H$9),"x","")</f>
        <v/>
      </c>
      <c r="Z6875" s="79"/>
      <c r="AA6875" s="79" t="str">
        <f>IF(AND(MONTH(E6875)='IN-NX'!$J$5,'IN-NX'!$D$7=D6875),"x","")</f>
        <v/>
      </c>
      <c r="AB6875" s="79" t="str">
        <f>IF(AND(OR(LEFT(TH!N6875,2)="15",LEFT(TH!O6875,2)="15"),LEFT(TH!O6875,3)&lt;&gt;"111",'152-CT'!$J$8=TH!F6875),"x","")</f>
        <v/>
      </c>
      <c r="AC6875" s="79" t="str">
        <f>IF(AND(OR(LEFT(TH!N6875,2)="15",LEFT(TH!O6875,2)="15"),TK!$E$7=TH!F6875),"x","")</f>
        <v/>
      </c>
      <c r="AD6875" s="79" t="str">
        <f>IF(AND(N6875="1521",MONTH(C6875)='BK-NL'!$M$11),"x","")</f>
        <v/>
      </c>
    </row>
    <row r="6876" spans="1:30" ht="16.5" customHeight="1">
      <c r="A6876" s="318" t="str">
        <f>IF(B6876&lt;&gt;"",IF(AND(B6876='IN-TC'!$S$4,OR(TH!N6876="1111",TH!O6876="1111")),TH!D6876,""),"")</f>
        <v/>
      </c>
      <c r="B6876" s="1163" t="str">
        <f t="shared" si="528"/>
        <v/>
      </c>
      <c r="C6876" s="61"/>
      <c r="D6876" s="61"/>
      <c r="E6876" s="61"/>
      <c r="F6876" s="69"/>
      <c r="G6876" s="64"/>
      <c r="H6876" s="321"/>
      <c r="I6876" s="385"/>
      <c r="J6876" s="392"/>
      <c r="K6876" s="385"/>
      <c r="L6876" s="392"/>
      <c r="M6876" s="62"/>
      <c r="N6876" s="63"/>
      <c r="O6876" s="63"/>
      <c r="P6876" s="79" t="str">
        <f>IF(AND('331-CT'!$E$7=TH!H6876,OR(N6876="331",O6876="331")),"x","")</f>
        <v/>
      </c>
      <c r="Q6876" s="79" t="str">
        <f>IF(AND(B6876='111'!$L$11,OR($N6876=$Q$7,$O6876=$Q$7)),"x","")</f>
        <v/>
      </c>
      <c r="R6876" s="79" t="str">
        <f>IF(AND($N6876=$Q$7,$B6876&lt;'111'!$L$11),"x","")</f>
        <v/>
      </c>
      <c r="S6876" s="79" t="str">
        <f>IF(AND($O6876=$Q$7,$B6876&lt;'111'!$L$11),"x","")</f>
        <v/>
      </c>
      <c r="T6876" s="79" t="str">
        <f>IF(ISERROR(FIND('112'!$M$9,G6876,1)),"",IF((AND(FIND('112'!$M$9,G6876,1)&gt;=1,B6876='112'!$K$9,OR($N6876='112'!$I$6,$O6876='112'!$I$6))),"x",""))</f>
        <v/>
      </c>
      <c r="U6876" s="79" t="str">
        <f>IF(ISERROR(FIND('112'!$M$9,G6876,1)),"",IF((AND(LEFT(G6876,2)=LEFT('112'!$M$9,2),B6876&lt;'112'!$K$9,$N6876='112'!$I$6)),"x",""))</f>
        <v/>
      </c>
      <c r="V6876" s="79" t="str">
        <f>IF(ISERROR(FIND('112'!$M$9,G6876,1)),"",IF((AND(RIGHT(G6876,2)=RIGHT('112'!$M$9,2),B6876&lt;'112'!$K$9,$O6876='112'!$I$6)),"x",""))</f>
        <v/>
      </c>
      <c r="W6876" s="79" t="str">
        <f>IF(AND('341-CT'!$H$9=H6876,OR(LEFT(N6876,3)=$W$7,LEFT(O6876,3)=$W$7)),"x","")</f>
        <v/>
      </c>
      <c r="X6876" s="79" t="str">
        <f>IF(OR(TH!N6876=TH!$X$7,O6876=TH!$X$7),"x","")</f>
        <v/>
      </c>
      <c r="Y6876" s="79" t="str">
        <f>IF(AND(OR(N6876="131",O6876="131"),H6876='131-CT'!$H$9),"x","")</f>
        <v/>
      </c>
      <c r="Z6876" s="79"/>
      <c r="AA6876" s="79" t="str">
        <f>IF(AND(MONTH(E6876)='IN-NX'!$J$5,'IN-NX'!$D$7=D6876),"x","")</f>
        <v/>
      </c>
      <c r="AB6876" s="79" t="str">
        <f>IF(AND(OR(LEFT(TH!N6876,2)="15",LEFT(TH!O6876,2)="15"),LEFT(TH!O6876,3)&lt;&gt;"111",'152-CT'!$J$8=TH!F6876),"x","")</f>
        <v/>
      </c>
      <c r="AC6876" s="79" t="str">
        <f>IF(AND(OR(LEFT(TH!N6876,2)="15",LEFT(TH!O6876,2)="15"),TK!$E$7=TH!F6876),"x","")</f>
        <v/>
      </c>
      <c r="AD6876" s="79" t="str">
        <f>IF(AND(N6876="1521",MONTH(C6876)='BK-NL'!$M$11),"x","")</f>
        <v/>
      </c>
    </row>
    <row r="6877" spans="1:30" ht="16.5" customHeight="1">
      <c r="A6877" s="318" t="str">
        <f>IF(B6877&lt;&gt;"",IF(AND(B6877='IN-TC'!$S$4,OR(TH!N6877="1111",TH!O6877="1111")),TH!D6877,""),"")</f>
        <v/>
      </c>
      <c r="B6877" s="1163" t="str">
        <f t="shared" si="528"/>
        <v/>
      </c>
      <c r="C6877" s="61"/>
      <c r="D6877" s="61"/>
      <c r="E6877" s="61"/>
      <c r="F6877" s="69"/>
      <c r="G6877" s="64"/>
      <c r="H6877" s="69"/>
      <c r="I6877" s="385"/>
      <c r="J6877" s="392"/>
      <c r="K6877" s="385"/>
      <c r="L6877" s="392"/>
      <c r="M6877" s="62"/>
      <c r="N6877" s="63"/>
      <c r="O6877" s="63"/>
      <c r="P6877" s="79" t="str">
        <f>IF(AND('331-CT'!$E$7=TH!H6877,OR(N6877="331",O6877="331")),"x","")</f>
        <v/>
      </c>
      <c r="Q6877" s="79" t="str">
        <f>IF(AND(B6877='111'!$L$11,OR($N6877=$Q$7,$O6877=$Q$7)),"x","")</f>
        <v/>
      </c>
      <c r="R6877" s="79" t="str">
        <f>IF(AND($N6877=$Q$7,$B6877&lt;'111'!$L$11),"x","")</f>
        <v/>
      </c>
      <c r="S6877" s="79" t="str">
        <f>IF(AND($O6877=$Q$7,$B6877&lt;'111'!$L$11),"x","")</f>
        <v/>
      </c>
      <c r="T6877" s="79" t="str">
        <f>IF(ISERROR(FIND('112'!$M$9,G6877,1)),"",IF((AND(FIND('112'!$M$9,G6877,1)&gt;=1,B6877='112'!$K$9,OR($N6877='112'!$I$6,$O6877='112'!$I$6))),"x",""))</f>
        <v/>
      </c>
      <c r="U6877" s="79" t="str">
        <f>IF(ISERROR(FIND('112'!$M$9,G6877,1)),"",IF((AND(LEFT(G6877,2)=LEFT('112'!$M$9,2),B6877&lt;'112'!$K$9,$N6877='112'!$I$6)),"x",""))</f>
        <v/>
      </c>
      <c r="V6877" s="79" t="str">
        <f>IF(ISERROR(FIND('112'!$M$9,G6877,1)),"",IF((AND(RIGHT(G6877,2)=RIGHT('112'!$M$9,2),B6877&lt;'112'!$K$9,$O6877='112'!$I$6)),"x",""))</f>
        <v/>
      </c>
      <c r="W6877" s="79" t="str">
        <f>IF(AND('341-CT'!$H$9=H6877,OR(LEFT(N6877,3)=$W$7,LEFT(O6877,3)=$W$7)),"x","")</f>
        <v/>
      </c>
      <c r="X6877" s="79" t="str">
        <f>IF(OR(TH!N6877=TH!$X$7,O6877=TH!$X$7),"x","")</f>
        <v/>
      </c>
      <c r="Y6877" s="79" t="str">
        <f>IF(AND(OR(N6877="131",O6877="131"),H6877='131-CT'!$H$9),"x","")</f>
        <v/>
      </c>
      <c r="Z6877" s="79"/>
      <c r="AA6877" s="79" t="str">
        <f>IF(AND(MONTH(E6877)='IN-NX'!$J$5,'IN-NX'!$D$7=D6877),"x","")</f>
        <v/>
      </c>
      <c r="AB6877" s="79" t="str">
        <f>IF(AND(OR(LEFT(TH!N6877,2)="15",LEFT(TH!O6877,2)="15"),LEFT(TH!O6877,3)&lt;&gt;"111",'152-CT'!$J$8=TH!F6877),"x","")</f>
        <v/>
      </c>
      <c r="AC6877" s="79" t="str">
        <f>IF(AND(OR(LEFT(TH!N6877,2)="15",LEFT(TH!O6877,2)="15"),TK!$E$7=TH!F6877),"x","")</f>
        <v/>
      </c>
      <c r="AD6877" s="79" t="str">
        <f>IF(AND(N6877="1521",MONTH(C6877)='BK-NL'!$M$11),"x","")</f>
        <v/>
      </c>
    </row>
    <row r="6878" spans="1:30" ht="16.5" customHeight="1">
      <c r="A6878" s="318" t="str">
        <f>IF(B6878&lt;&gt;"",IF(AND(B6878='IN-TC'!$S$4,OR(TH!N6878="1111",TH!O6878="1111")),TH!D6878,""),"")</f>
        <v/>
      </c>
      <c r="B6878" s="1163" t="str">
        <f t="shared" si="528"/>
        <v/>
      </c>
      <c r="C6878" s="61"/>
      <c r="D6878" s="61"/>
      <c r="E6878" s="61"/>
      <c r="F6878" s="69"/>
      <c r="G6878" s="64"/>
      <c r="H6878" s="69"/>
      <c r="I6878" s="385"/>
      <c r="J6878" s="392"/>
      <c r="K6878" s="385"/>
      <c r="L6878" s="392"/>
      <c r="M6878" s="62"/>
      <c r="N6878" s="63"/>
      <c r="O6878" s="63"/>
      <c r="P6878" s="79" t="str">
        <f>IF(AND('331-CT'!$E$7=TH!H6878,OR(N6878="331",O6878="331")),"x","")</f>
        <v/>
      </c>
      <c r="Q6878" s="79" t="str">
        <f>IF(AND(B6878='111'!$L$11,OR($N6878=$Q$7,$O6878=$Q$7)),"x","")</f>
        <v/>
      </c>
      <c r="R6878" s="79" t="str">
        <f>IF(AND($N6878=$Q$7,$B6878&lt;'111'!$L$11),"x","")</f>
        <v/>
      </c>
      <c r="S6878" s="79" t="str">
        <f>IF(AND($O6878=$Q$7,$B6878&lt;'111'!$L$11),"x","")</f>
        <v/>
      </c>
      <c r="T6878" s="79" t="str">
        <f>IF(ISERROR(FIND('112'!$M$9,G6878,1)),"",IF((AND(FIND('112'!$M$9,G6878,1)&gt;=1,B6878='112'!$K$9,OR($N6878='112'!$I$6,$O6878='112'!$I$6))),"x",""))</f>
        <v/>
      </c>
      <c r="U6878" s="79" t="str">
        <f>IF(ISERROR(FIND('112'!$M$9,G6878,1)),"",IF((AND(LEFT(G6878,2)=LEFT('112'!$M$9,2),B6878&lt;'112'!$K$9,$N6878='112'!$I$6)),"x",""))</f>
        <v/>
      </c>
      <c r="V6878" s="79" t="str">
        <f>IF(ISERROR(FIND('112'!$M$9,G6878,1)),"",IF((AND(RIGHT(G6878,2)=RIGHT('112'!$M$9,2),B6878&lt;'112'!$K$9,$O6878='112'!$I$6)),"x",""))</f>
        <v/>
      </c>
      <c r="W6878" s="79" t="str">
        <f>IF(AND('341-CT'!$H$9=H6878,OR(LEFT(N6878,3)=$W$7,LEFT(O6878,3)=$W$7)),"x","")</f>
        <v/>
      </c>
      <c r="X6878" s="79" t="str">
        <f>IF(OR(TH!N6878=TH!$X$7,O6878=TH!$X$7),"x","")</f>
        <v/>
      </c>
      <c r="Y6878" s="79" t="str">
        <f>IF(AND(OR(N6878="131",O6878="131"),H6878='131-CT'!$H$9),"x","")</f>
        <v/>
      </c>
      <c r="Z6878" s="79"/>
      <c r="AA6878" s="79" t="str">
        <f>IF(AND(MONTH(E6878)='IN-NX'!$J$5,'IN-NX'!$D$7=D6878),"x","")</f>
        <v/>
      </c>
      <c r="AB6878" s="79" t="str">
        <f>IF(AND(OR(LEFT(TH!N6878,2)="15",LEFT(TH!O6878,2)="15"),LEFT(TH!O6878,3)&lt;&gt;"111",'152-CT'!$J$8=TH!F6878),"x","")</f>
        <v/>
      </c>
      <c r="AC6878" s="79" t="str">
        <f>IF(AND(OR(LEFT(TH!N6878,2)="15",LEFT(TH!O6878,2)="15"),TK!$E$7=TH!F6878),"x","")</f>
        <v/>
      </c>
      <c r="AD6878" s="79" t="str">
        <f>IF(AND(N6878="1521",MONTH(C6878)='BK-NL'!$M$11),"x","")</f>
        <v/>
      </c>
    </row>
    <row r="6879" spans="1:30" ht="16.5" customHeight="1">
      <c r="A6879" s="318" t="str">
        <f>IF(B6879&lt;&gt;"",IF(AND(B6879='IN-TC'!$S$4,OR(TH!N6879="1111",TH!O6879="1111")),TH!D6879,""),"")</f>
        <v/>
      </c>
      <c r="B6879" s="1163" t="str">
        <f t="shared" si="528"/>
        <v/>
      </c>
      <c r="C6879" s="61"/>
      <c r="D6879" s="61"/>
      <c r="E6879" s="61"/>
      <c r="F6879" s="69"/>
      <c r="G6879" s="766"/>
      <c r="H6879" s="69"/>
      <c r="I6879" s="385"/>
      <c r="J6879" s="392"/>
      <c r="K6879" s="385"/>
      <c r="L6879" s="392"/>
      <c r="M6879" s="62"/>
      <c r="N6879" s="63"/>
      <c r="O6879" s="63"/>
      <c r="P6879" s="79" t="str">
        <f>IF(AND('331-CT'!$E$7=TH!H6879,OR(N6879="331",O6879="331")),"x","")</f>
        <v/>
      </c>
      <c r="Q6879" s="79" t="str">
        <f>IF(AND(B6879='111'!$L$11,OR($N6879=$Q$7,$O6879=$Q$7)),"x","")</f>
        <v/>
      </c>
      <c r="R6879" s="79" t="str">
        <f>IF(AND($N6879=$Q$7,$B6879&lt;'111'!$L$11),"x","")</f>
        <v/>
      </c>
      <c r="S6879" s="79" t="str">
        <f>IF(AND($O6879=$Q$7,$B6879&lt;'111'!$L$11),"x","")</f>
        <v/>
      </c>
      <c r="T6879" s="79" t="str">
        <f>IF(ISERROR(FIND('112'!$M$9,G6879,1)),"",IF((AND(FIND('112'!$M$9,G6879,1)&gt;=1,B6879='112'!$K$9,OR($N6879='112'!$I$6,$O6879='112'!$I$6))),"x",""))</f>
        <v/>
      </c>
      <c r="U6879" s="79" t="str">
        <f>IF(ISERROR(FIND('112'!$M$9,G6879,1)),"",IF((AND(LEFT(G6879,2)=LEFT('112'!$M$9,2),B6879&lt;'112'!$K$9,$N6879='112'!$I$6)),"x",""))</f>
        <v/>
      </c>
      <c r="V6879" s="79" t="str">
        <f>IF(ISERROR(FIND('112'!$M$9,G6879,1)),"",IF((AND(RIGHT(G6879,2)=RIGHT('112'!$M$9,2),B6879&lt;'112'!$K$9,$O6879='112'!$I$6)),"x",""))</f>
        <v/>
      </c>
      <c r="W6879" s="79" t="str">
        <f>IF(AND('341-CT'!$H$9=H6879,OR(LEFT(N6879,3)=$W$7,LEFT(O6879,3)=$W$7)),"x","")</f>
        <v/>
      </c>
      <c r="X6879" s="79" t="str">
        <f>IF(OR(TH!N6879=TH!$X$7,O6879=TH!$X$7),"x","")</f>
        <v/>
      </c>
      <c r="Y6879" s="79" t="str">
        <f>IF(AND(OR(N6879="131",O6879="131"),H6879='131-CT'!$H$9),"x","")</f>
        <v/>
      </c>
      <c r="Z6879" s="79"/>
      <c r="AA6879" s="79" t="str">
        <f>IF(AND(MONTH(E6879)='IN-NX'!$J$5,'IN-NX'!$D$7=D6879),"x","")</f>
        <v/>
      </c>
      <c r="AB6879" s="79" t="str">
        <f>IF(AND(OR(LEFT(TH!N6879,2)="15",LEFT(TH!O6879,2)="15"),LEFT(TH!O6879,3)&lt;&gt;"111",'152-CT'!$J$8=TH!F6879),"x","")</f>
        <v/>
      </c>
      <c r="AC6879" s="79" t="str">
        <f>IF(AND(OR(LEFT(TH!N6879,2)="15",LEFT(TH!O6879,2)="15"),TK!$E$7=TH!F6879),"x","")</f>
        <v/>
      </c>
      <c r="AD6879" s="79" t="str">
        <f>IF(AND(N6879="1521",MONTH(C6879)='BK-NL'!$M$11),"x","")</f>
        <v/>
      </c>
    </row>
    <row r="6880" spans="1:30" ht="16.5" customHeight="1">
      <c r="A6880" s="318" t="str">
        <f>IF(B6880&lt;&gt;"",IF(AND(B6880='IN-TC'!$S$4,OR(TH!N6880="1111",TH!O6880="1111")),TH!D6880,""),"")</f>
        <v/>
      </c>
      <c r="B6880" s="1163" t="str">
        <f t="shared" si="528"/>
        <v/>
      </c>
      <c r="C6880" s="61"/>
      <c r="D6880" s="61"/>
      <c r="E6880" s="61"/>
      <c r="F6880" s="69"/>
      <c r="G6880" s="766"/>
      <c r="H6880" s="321"/>
      <c r="I6880" s="385"/>
      <c r="J6880" s="392"/>
      <c r="K6880" s="385"/>
      <c r="L6880" s="392"/>
      <c r="M6880" s="62"/>
      <c r="N6880" s="63"/>
      <c r="O6880" s="63"/>
      <c r="P6880" s="79" t="str">
        <f>IF(AND('331-CT'!$E$7=TH!H6880,OR(N6880="331",O6880="331")),"x","")</f>
        <v/>
      </c>
      <c r="Q6880" s="79" t="str">
        <f>IF(AND(B6880='111'!$L$11,OR($N6880=$Q$7,$O6880=$Q$7)),"x","")</f>
        <v/>
      </c>
      <c r="R6880" s="79" t="str">
        <f>IF(AND($N6880=$Q$7,$B6880&lt;'111'!$L$11),"x","")</f>
        <v/>
      </c>
      <c r="S6880" s="79" t="str">
        <f>IF(AND($O6880=$Q$7,$B6880&lt;'111'!$L$11),"x","")</f>
        <v/>
      </c>
      <c r="T6880" s="79" t="str">
        <f>IF(ISERROR(FIND('112'!$M$9,G6880,1)),"",IF((AND(FIND('112'!$M$9,G6880,1)&gt;=1,B6880='112'!$K$9,OR($N6880='112'!$I$6,$O6880='112'!$I$6))),"x",""))</f>
        <v/>
      </c>
      <c r="U6880" s="79" t="str">
        <f>IF(ISERROR(FIND('112'!$M$9,G6880,1)),"",IF((AND(LEFT(G6880,2)=LEFT('112'!$M$9,2),B6880&lt;'112'!$K$9,$N6880='112'!$I$6)),"x",""))</f>
        <v/>
      </c>
      <c r="V6880" s="79" t="str">
        <f>IF(ISERROR(FIND('112'!$M$9,G6880,1)),"",IF((AND(RIGHT(G6880,2)=RIGHT('112'!$M$9,2),B6880&lt;'112'!$K$9,$O6880='112'!$I$6)),"x",""))</f>
        <v/>
      </c>
      <c r="W6880" s="79" t="str">
        <f>IF(AND('341-CT'!$H$9=H6880,OR(LEFT(N6880,3)=$W$7,LEFT(O6880,3)=$W$7)),"x","")</f>
        <v/>
      </c>
      <c r="X6880" s="79" t="str">
        <f>IF(OR(TH!N6880=TH!$X$7,O6880=TH!$X$7),"x","")</f>
        <v/>
      </c>
      <c r="Y6880" s="79" t="str">
        <f>IF(AND(OR(N6880="131",O6880="131"),H6880='131-CT'!$H$9),"x","")</f>
        <v/>
      </c>
      <c r="Z6880" s="79"/>
      <c r="AA6880" s="79" t="str">
        <f>IF(AND(MONTH(E6880)='IN-NX'!$J$5,'IN-NX'!$D$7=D6880),"x","")</f>
        <v/>
      </c>
      <c r="AB6880" s="79" t="str">
        <f>IF(AND(OR(LEFT(TH!N6880,2)="15",LEFT(TH!O6880,2)="15"),LEFT(TH!O6880,3)&lt;&gt;"111",'152-CT'!$J$8=TH!F6880),"x","")</f>
        <v/>
      </c>
      <c r="AC6880" s="79" t="str">
        <f>IF(AND(OR(LEFT(TH!N6880,2)="15",LEFT(TH!O6880,2)="15"),TK!$E$7=TH!F6880),"x","")</f>
        <v/>
      </c>
      <c r="AD6880" s="79" t="str">
        <f>IF(AND(N6880="1521",MONTH(C6880)='BK-NL'!$M$11),"x","")</f>
        <v/>
      </c>
    </row>
    <row r="6881" spans="1:30" ht="16.5" customHeight="1">
      <c r="A6881" s="318" t="str">
        <f>IF(B6881&lt;&gt;"",IF(AND(B6881='IN-TC'!$S$4,OR(TH!N6881="1111",TH!O6881="1111")),TH!D6881,""),"")</f>
        <v/>
      </c>
      <c r="B6881" s="1163" t="str">
        <f t="shared" si="528"/>
        <v/>
      </c>
      <c r="C6881" s="61"/>
      <c r="D6881" s="61"/>
      <c r="E6881" s="61"/>
      <c r="F6881" s="69"/>
      <c r="G6881" s="64"/>
      <c r="H6881" s="69"/>
      <c r="I6881" s="385"/>
      <c r="J6881" s="392"/>
      <c r="K6881" s="385"/>
      <c r="L6881" s="392"/>
      <c r="M6881" s="62"/>
      <c r="N6881" s="63"/>
      <c r="O6881" s="63"/>
      <c r="P6881" s="79" t="str">
        <f>IF(AND('331-CT'!$E$7=TH!H6881,OR(N6881="331",O6881="331")),"x","")</f>
        <v/>
      </c>
      <c r="Q6881" s="79" t="str">
        <f>IF(AND(B6881='111'!$L$11,OR($N6881=$Q$7,$O6881=$Q$7)),"x","")</f>
        <v/>
      </c>
      <c r="R6881" s="79" t="str">
        <f>IF(AND($N6881=$Q$7,$B6881&lt;'111'!$L$11),"x","")</f>
        <v/>
      </c>
      <c r="S6881" s="79" t="str">
        <f>IF(AND($O6881=$Q$7,$B6881&lt;'111'!$L$11),"x","")</f>
        <v/>
      </c>
      <c r="T6881" s="79" t="str">
        <f>IF(ISERROR(FIND('112'!$M$9,G6881,1)),"",IF((AND(FIND('112'!$M$9,G6881,1)&gt;=1,B6881='112'!$K$9,OR($N6881='112'!$I$6,$O6881='112'!$I$6))),"x",""))</f>
        <v/>
      </c>
      <c r="U6881" s="79" t="str">
        <f>IF(ISERROR(FIND('112'!$M$9,G6881,1)),"",IF((AND(LEFT(G6881,2)=LEFT('112'!$M$9,2),B6881&lt;'112'!$K$9,$N6881='112'!$I$6)),"x",""))</f>
        <v/>
      </c>
      <c r="V6881" s="79" t="str">
        <f>IF(ISERROR(FIND('112'!$M$9,G6881,1)),"",IF((AND(RIGHT(G6881,2)=RIGHT('112'!$M$9,2),B6881&lt;'112'!$K$9,$O6881='112'!$I$6)),"x",""))</f>
        <v/>
      </c>
      <c r="W6881" s="79" t="str">
        <f>IF(AND('341-CT'!$H$9=H6881,OR(LEFT(N6881,3)=$W$7,LEFT(O6881,3)=$W$7)),"x","")</f>
        <v/>
      </c>
      <c r="X6881" s="79" t="str">
        <f>IF(OR(TH!N6881=TH!$X$7,O6881=TH!$X$7),"x","")</f>
        <v/>
      </c>
      <c r="Y6881" s="79" t="str">
        <f>IF(AND(OR(N6881="131",O6881="131"),H6881='131-CT'!$H$9),"x","")</f>
        <v/>
      </c>
      <c r="Z6881" s="79"/>
      <c r="AA6881" s="79" t="str">
        <f>IF(AND(MONTH(E6881)='IN-NX'!$J$5,'IN-NX'!$D$7=D6881),"x","")</f>
        <v/>
      </c>
      <c r="AB6881" s="79" t="str">
        <f>IF(AND(OR(LEFT(TH!N6881,2)="15",LEFT(TH!O6881,2)="15"),LEFT(TH!O6881,3)&lt;&gt;"111",'152-CT'!$J$8=TH!F6881),"x","")</f>
        <v/>
      </c>
      <c r="AC6881" s="79" t="str">
        <f>IF(AND(OR(LEFT(TH!N6881,2)="15",LEFT(TH!O6881,2)="15"),TK!$E$7=TH!F6881),"x","")</f>
        <v/>
      </c>
      <c r="AD6881" s="79" t="str">
        <f>IF(AND(N6881="1521",MONTH(C6881)='BK-NL'!$M$11),"x","")</f>
        <v/>
      </c>
    </row>
    <row r="6882" spans="1:30" ht="16.5" customHeight="1">
      <c r="A6882" s="318" t="str">
        <f>IF(B6882&lt;&gt;"",IF(AND(B6882='IN-TC'!$S$4,OR(TH!N6882="1111",TH!O6882="1111")),TH!D6882,""),"")</f>
        <v/>
      </c>
      <c r="B6882" s="1163" t="str">
        <f t="shared" si="528"/>
        <v/>
      </c>
      <c r="C6882" s="61"/>
      <c r="D6882" s="61"/>
      <c r="E6882" s="61"/>
      <c r="F6882" s="69"/>
      <c r="G6882" s="766"/>
      <c r="H6882" s="321"/>
      <c r="I6882" s="385"/>
      <c r="J6882" s="392"/>
      <c r="K6882" s="385"/>
      <c r="L6882" s="392"/>
      <c r="M6882" s="62"/>
      <c r="N6882" s="63"/>
      <c r="O6882" s="63"/>
      <c r="P6882" s="79" t="str">
        <f>IF(AND('331-CT'!$E$7=TH!H6882,OR(N6882="331",O6882="331")),"x","")</f>
        <v/>
      </c>
      <c r="Q6882" s="79" t="str">
        <f>IF(AND(B6882='111'!$L$11,OR($N6882=$Q$7,$O6882=$Q$7)),"x","")</f>
        <v/>
      </c>
      <c r="R6882" s="79" t="str">
        <f>IF(AND($N6882=$Q$7,$B6882&lt;'111'!$L$11),"x","")</f>
        <v/>
      </c>
      <c r="S6882" s="79" t="str">
        <f>IF(AND($O6882=$Q$7,$B6882&lt;'111'!$L$11),"x","")</f>
        <v/>
      </c>
      <c r="T6882" s="79" t="str">
        <f>IF(ISERROR(FIND('112'!$M$9,G6882,1)),"",IF((AND(FIND('112'!$M$9,G6882,1)&gt;=1,B6882='112'!$K$9,OR($N6882='112'!$I$6,$O6882='112'!$I$6))),"x",""))</f>
        <v/>
      </c>
      <c r="U6882" s="79" t="str">
        <f>IF(ISERROR(FIND('112'!$M$9,G6882,1)),"",IF((AND(LEFT(G6882,2)=LEFT('112'!$M$9,2),B6882&lt;'112'!$K$9,$N6882='112'!$I$6)),"x",""))</f>
        <v/>
      </c>
      <c r="V6882" s="79" t="str">
        <f>IF(ISERROR(FIND('112'!$M$9,G6882,1)),"",IF((AND(RIGHT(G6882,2)=RIGHT('112'!$M$9,2),B6882&lt;'112'!$K$9,$O6882='112'!$I$6)),"x",""))</f>
        <v/>
      </c>
      <c r="W6882" s="79" t="str">
        <f>IF(AND('341-CT'!$H$9=H6882,OR(LEFT(N6882,3)=$W$7,LEFT(O6882,3)=$W$7)),"x","")</f>
        <v/>
      </c>
      <c r="X6882" s="79" t="str">
        <f>IF(OR(TH!N6882=TH!$X$7,O6882=TH!$X$7),"x","")</f>
        <v/>
      </c>
      <c r="Y6882" s="79" t="str">
        <f>IF(AND(OR(N6882="131",O6882="131"),H6882='131-CT'!$H$9),"x","")</f>
        <v/>
      </c>
      <c r="Z6882" s="79"/>
      <c r="AA6882" s="79" t="str">
        <f>IF(AND(MONTH(E6882)='IN-NX'!$J$5,'IN-NX'!$D$7=D6882),"x","")</f>
        <v/>
      </c>
      <c r="AB6882" s="79" t="str">
        <f>IF(AND(OR(LEFT(TH!N6882,2)="15",LEFT(TH!O6882,2)="15"),LEFT(TH!O6882,3)&lt;&gt;"111",'152-CT'!$J$8=TH!F6882),"x","")</f>
        <v/>
      </c>
      <c r="AC6882" s="79" t="str">
        <f>IF(AND(OR(LEFT(TH!N6882,2)="15",LEFT(TH!O6882,2)="15"),TK!$E$7=TH!F6882),"x","")</f>
        <v/>
      </c>
      <c r="AD6882" s="79" t="str">
        <f>IF(AND(N6882="1521",MONTH(C6882)='BK-NL'!$M$11),"x","")</f>
        <v/>
      </c>
    </row>
    <row r="6883" spans="1:30" ht="16.5" customHeight="1">
      <c r="A6883" s="318" t="str">
        <f>IF(B6883&lt;&gt;"",IF(AND(B6883='IN-TC'!$S$4,OR(TH!N6883="1111",TH!O6883="1111")),TH!D6883,""),"")</f>
        <v/>
      </c>
      <c r="B6883" s="1163" t="str">
        <f t="shared" si="528"/>
        <v/>
      </c>
      <c r="C6883" s="61"/>
      <c r="D6883" s="61"/>
      <c r="E6883" s="61"/>
      <c r="F6883" s="69"/>
      <c r="G6883" s="766"/>
      <c r="H6883" s="69"/>
      <c r="I6883" s="385"/>
      <c r="J6883" s="392"/>
      <c r="K6883" s="385"/>
      <c r="L6883" s="392"/>
      <c r="M6883" s="62"/>
      <c r="N6883" s="63"/>
      <c r="O6883" s="63"/>
      <c r="P6883" s="79" t="str">
        <f>IF(AND('331-CT'!$E$7=TH!H6883,OR(N6883="331",O6883="331")),"x","")</f>
        <v/>
      </c>
      <c r="Q6883" s="79" t="str">
        <f>IF(AND(B6883='111'!$L$11,OR($N6883=$Q$7,$O6883=$Q$7)),"x","")</f>
        <v/>
      </c>
      <c r="R6883" s="79" t="str">
        <f>IF(AND($N6883=$Q$7,$B6883&lt;'111'!$L$11),"x","")</f>
        <v/>
      </c>
      <c r="S6883" s="79" t="str">
        <f>IF(AND($O6883=$Q$7,$B6883&lt;'111'!$L$11),"x","")</f>
        <v/>
      </c>
      <c r="T6883" s="79" t="str">
        <f>IF(ISERROR(FIND('112'!$M$9,G6883,1)),"",IF((AND(FIND('112'!$M$9,G6883,1)&gt;=1,B6883='112'!$K$9,OR($N6883='112'!$I$6,$O6883='112'!$I$6))),"x",""))</f>
        <v/>
      </c>
      <c r="U6883" s="79" t="str">
        <f>IF(ISERROR(FIND('112'!$M$9,G6883,1)),"",IF((AND(LEFT(G6883,2)=LEFT('112'!$M$9,2),B6883&lt;'112'!$K$9,$N6883='112'!$I$6)),"x",""))</f>
        <v/>
      </c>
      <c r="V6883" s="79" t="str">
        <f>IF(ISERROR(FIND('112'!$M$9,G6883,1)),"",IF((AND(RIGHT(G6883,2)=RIGHT('112'!$M$9,2),B6883&lt;'112'!$K$9,$O6883='112'!$I$6)),"x",""))</f>
        <v/>
      </c>
      <c r="W6883" s="79" t="str">
        <f>IF(AND('341-CT'!$H$9=H6883,OR(LEFT(N6883,3)=$W$7,LEFT(O6883,3)=$W$7)),"x","")</f>
        <v/>
      </c>
      <c r="X6883" s="79" t="str">
        <f>IF(OR(TH!N6883=TH!$X$7,O6883=TH!$X$7),"x","")</f>
        <v/>
      </c>
      <c r="Y6883" s="79" t="str">
        <f>IF(AND(OR(N6883="131",O6883="131"),H6883='131-CT'!$H$9),"x","")</f>
        <v/>
      </c>
      <c r="Z6883" s="79"/>
      <c r="AA6883" s="79" t="str">
        <f>IF(AND(MONTH(E6883)='IN-NX'!$J$5,'IN-NX'!$D$7=D6883),"x","")</f>
        <v/>
      </c>
      <c r="AB6883" s="79" t="str">
        <f>IF(AND(OR(LEFT(TH!N6883,2)="15",LEFT(TH!O6883,2)="15"),LEFT(TH!O6883,3)&lt;&gt;"111",'152-CT'!$J$8=TH!F6883),"x","")</f>
        <v/>
      </c>
      <c r="AC6883" s="79" t="str">
        <f>IF(AND(OR(LEFT(TH!N6883,2)="15",LEFT(TH!O6883,2)="15"),TK!$E$7=TH!F6883),"x","")</f>
        <v/>
      </c>
      <c r="AD6883" s="79" t="str">
        <f>IF(AND(N6883="1521",MONTH(C6883)='BK-NL'!$M$11),"x","")</f>
        <v/>
      </c>
    </row>
    <row r="6884" spans="1:30" ht="16.5" customHeight="1">
      <c r="A6884" s="318" t="str">
        <f>IF(B6884&lt;&gt;"",IF(AND(B6884='IN-TC'!$S$4,OR(TH!N6884="1111",TH!O6884="1111")),TH!D6884,""),"")</f>
        <v/>
      </c>
      <c r="B6884" s="1163" t="str">
        <f t="shared" si="528"/>
        <v/>
      </c>
      <c r="C6884" s="61"/>
      <c r="D6884" s="61"/>
      <c r="E6884" s="61"/>
      <c r="F6884" s="69"/>
      <c r="G6884" s="766"/>
      <c r="H6884" s="69"/>
      <c r="I6884" s="385"/>
      <c r="J6884" s="392"/>
      <c r="K6884" s="385"/>
      <c r="L6884" s="392"/>
      <c r="M6884" s="62"/>
      <c r="N6884" s="63"/>
      <c r="O6884" s="63"/>
      <c r="P6884" s="79" t="str">
        <f>IF(AND('331-CT'!$E$7=TH!H6884,OR(N6884="331",O6884="331")),"x","")</f>
        <v/>
      </c>
      <c r="Q6884" s="79" t="str">
        <f>IF(AND(B6884='111'!$L$11,OR($N6884=$Q$7,$O6884=$Q$7)),"x","")</f>
        <v/>
      </c>
      <c r="R6884" s="79" t="str">
        <f>IF(AND($N6884=$Q$7,$B6884&lt;'111'!$L$11),"x","")</f>
        <v/>
      </c>
      <c r="S6884" s="79" t="str">
        <f>IF(AND($O6884=$Q$7,$B6884&lt;'111'!$L$11),"x","")</f>
        <v/>
      </c>
      <c r="T6884" s="79" t="str">
        <f>IF(ISERROR(FIND('112'!$M$9,G6884,1)),"",IF((AND(FIND('112'!$M$9,G6884,1)&gt;=1,B6884='112'!$K$9,OR($N6884='112'!$I$6,$O6884='112'!$I$6))),"x",""))</f>
        <v/>
      </c>
      <c r="U6884" s="79" t="str">
        <f>IF(ISERROR(FIND('112'!$M$9,G6884,1)),"",IF((AND(LEFT(G6884,2)=LEFT('112'!$M$9,2),B6884&lt;'112'!$K$9,$N6884='112'!$I$6)),"x",""))</f>
        <v/>
      </c>
      <c r="V6884" s="79" t="str">
        <f>IF(ISERROR(FIND('112'!$M$9,G6884,1)),"",IF((AND(RIGHT(G6884,2)=RIGHT('112'!$M$9,2),B6884&lt;'112'!$K$9,$O6884='112'!$I$6)),"x",""))</f>
        <v/>
      </c>
      <c r="W6884" s="79" t="str">
        <f>IF(AND('341-CT'!$H$9=H6884,OR(LEFT(N6884,3)=$W$7,LEFT(O6884,3)=$W$7)),"x","")</f>
        <v/>
      </c>
      <c r="X6884" s="79" t="str">
        <f>IF(OR(TH!N6884=TH!$X$7,O6884=TH!$X$7),"x","")</f>
        <v/>
      </c>
      <c r="Y6884" s="79" t="str">
        <f>IF(AND(OR(N6884="131",O6884="131"),H6884='131-CT'!$H$9),"x","")</f>
        <v/>
      </c>
      <c r="Z6884" s="79"/>
      <c r="AA6884" s="79" t="str">
        <f>IF(AND(MONTH(E6884)='IN-NX'!$J$5,'IN-NX'!$D$7=D6884),"x","")</f>
        <v/>
      </c>
      <c r="AB6884" s="79" t="str">
        <f>IF(AND(OR(LEFT(TH!N6884,2)="15",LEFT(TH!O6884,2)="15"),LEFT(TH!O6884,3)&lt;&gt;"111",'152-CT'!$J$8=TH!F6884),"x","")</f>
        <v/>
      </c>
      <c r="AC6884" s="79" t="str">
        <f>IF(AND(OR(LEFT(TH!N6884,2)="15",LEFT(TH!O6884,2)="15"),TK!$E$7=TH!F6884),"x","")</f>
        <v/>
      </c>
      <c r="AD6884" s="79" t="str">
        <f>IF(AND(N6884="1521",MONTH(C6884)='BK-NL'!$M$11),"x","")</f>
        <v/>
      </c>
    </row>
    <row r="6885" spans="1:30" ht="16.5" customHeight="1">
      <c r="A6885" s="318" t="str">
        <f>IF(B6885&lt;&gt;"",IF(AND(B6885='IN-TC'!$S$4,OR(TH!N6885="1111",TH!O6885="1111")),TH!D6885,""),"")</f>
        <v/>
      </c>
      <c r="B6885" s="1163" t="str">
        <f t="shared" si="528"/>
        <v/>
      </c>
      <c r="C6885" s="61"/>
      <c r="D6885" s="61"/>
      <c r="E6885" s="61"/>
      <c r="F6885" s="446"/>
      <c r="G6885" s="64"/>
      <c r="H6885" s="69"/>
      <c r="I6885" s="385"/>
      <c r="J6885" s="392"/>
      <c r="K6885" s="385"/>
      <c r="L6885" s="392"/>
      <c r="M6885" s="62"/>
      <c r="N6885" s="63"/>
      <c r="O6885" s="63"/>
      <c r="P6885" s="79" t="str">
        <f>IF(AND('331-CT'!$E$7=TH!H6885,OR(N6885="331",O6885="331")),"x","")</f>
        <v/>
      </c>
      <c r="Q6885" s="79" t="str">
        <f>IF(AND(B6885='111'!$L$11,OR($N6885=$Q$7,$O6885=$Q$7)),"x","")</f>
        <v/>
      </c>
      <c r="R6885" s="79" t="str">
        <f>IF(AND($N6885=$Q$7,$B6885&lt;'111'!$L$11),"x","")</f>
        <v/>
      </c>
      <c r="S6885" s="79" t="str">
        <f>IF(AND($O6885=$Q$7,$B6885&lt;'111'!$L$11),"x","")</f>
        <v/>
      </c>
      <c r="T6885" s="79" t="str">
        <f>IF(ISERROR(FIND('112'!$M$9,G6885,1)),"",IF((AND(FIND('112'!$M$9,G6885,1)&gt;=1,B6885='112'!$K$9,OR($N6885='112'!$I$6,$O6885='112'!$I$6))),"x",""))</f>
        <v/>
      </c>
      <c r="U6885" s="79" t="str">
        <f>IF(ISERROR(FIND('112'!$M$9,G6885,1)),"",IF((AND(LEFT(G6885,2)=LEFT('112'!$M$9,2),B6885&lt;'112'!$K$9,$N6885='112'!$I$6)),"x",""))</f>
        <v/>
      </c>
      <c r="V6885" s="79" t="str">
        <f>IF(ISERROR(FIND('112'!$M$9,G6885,1)),"",IF((AND(RIGHT(G6885,2)=RIGHT('112'!$M$9,2),B6885&lt;'112'!$K$9,$O6885='112'!$I$6)),"x",""))</f>
        <v/>
      </c>
      <c r="W6885" s="79" t="str">
        <f>IF(AND('341-CT'!$H$9=H6885,OR(LEFT(N6885,3)=$W$7,LEFT(O6885,3)=$W$7)),"x","")</f>
        <v/>
      </c>
      <c r="X6885" s="79" t="str">
        <f>IF(OR(TH!N6885=TH!$X$7,O6885=TH!$X$7),"x","")</f>
        <v/>
      </c>
      <c r="Y6885" s="79" t="str">
        <f>IF(AND(OR(N6885="131",O6885="131"),H6885='131-CT'!$H$9),"x","")</f>
        <v/>
      </c>
      <c r="Z6885" s="79"/>
      <c r="AA6885" s="79" t="str">
        <f>IF(AND(MONTH(E6885)='IN-NX'!$J$5,'IN-NX'!$D$7=D6885),"x","")</f>
        <v/>
      </c>
      <c r="AB6885" s="79" t="str">
        <f>IF(AND(OR(LEFT(TH!N6885,2)="15",LEFT(TH!O6885,2)="15"),LEFT(TH!O6885,3)&lt;&gt;"111",'152-CT'!$J$8=TH!F6885),"x","")</f>
        <v/>
      </c>
      <c r="AC6885" s="79" t="str">
        <f>IF(AND(OR(LEFT(TH!N6885,2)="15",LEFT(TH!O6885,2)="15"),TK!$E$7=TH!F6885),"x","")</f>
        <v/>
      </c>
      <c r="AD6885" s="79" t="str">
        <f>IF(AND(N6885="1521",MONTH(C6885)='BK-NL'!$M$11),"x","")</f>
        <v/>
      </c>
    </row>
    <row r="6886" spans="1:30" ht="16.5" customHeight="1">
      <c r="A6886" s="318" t="str">
        <f>IF(B6886&lt;&gt;"",IF(AND(B6886='IN-TC'!$S$4,OR(TH!N6886="1111",TH!O6886="1111")),TH!D6886,""),"")</f>
        <v/>
      </c>
      <c r="B6886" s="1163" t="str">
        <f t="shared" si="528"/>
        <v/>
      </c>
      <c r="C6886" s="61"/>
      <c r="D6886" s="61"/>
      <c r="E6886" s="61"/>
      <c r="F6886" s="69"/>
      <c r="G6886" s="766"/>
      <c r="H6886" s="69"/>
      <c r="I6886" s="385"/>
      <c r="J6886" s="392"/>
      <c r="K6886" s="385"/>
      <c r="L6886" s="392"/>
      <c r="M6886" s="62"/>
      <c r="N6886" s="63"/>
      <c r="O6886" s="63"/>
      <c r="P6886" s="79" t="str">
        <f>IF(AND('331-CT'!$E$7=TH!H6886,OR(N6886="331",O6886="331")),"x","")</f>
        <v/>
      </c>
      <c r="Q6886" s="79" t="str">
        <f>IF(AND(B6886='111'!$L$11,OR($N6886=$Q$7,$O6886=$Q$7)),"x","")</f>
        <v/>
      </c>
      <c r="R6886" s="79" t="str">
        <f>IF(AND($N6886=$Q$7,$B6886&lt;'111'!$L$11),"x","")</f>
        <v/>
      </c>
      <c r="S6886" s="79" t="str">
        <f>IF(AND($O6886=$Q$7,$B6886&lt;'111'!$L$11),"x","")</f>
        <v/>
      </c>
      <c r="T6886" s="79" t="str">
        <f>IF(ISERROR(FIND('112'!$M$9,G6886,1)),"",IF((AND(FIND('112'!$M$9,G6886,1)&gt;=1,B6886='112'!$K$9,OR($N6886='112'!$I$6,$O6886='112'!$I$6))),"x",""))</f>
        <v/>
      </c>
      <c r="U6886" s="79" t="str">
        <f>IF(ISERROR(FIND('112'!$M$9,G6886,1)),"",IF((AND(LEFT(G6886,2)=LEFT('112'!$M$9,2),B6886&lt;'112'!$K$9,$N6886='112'!$I$6)),"x",""))</f>
        <v/>
      </c>
      <c r="V6886" s="79" t="str">
        <f>IF(ISERROR(FIND('112'!$M$9,G6886,1)),"",IF((AND(RIGHT(G6886,2)=RIGHT('112'!$M$9,2),B6886&lt;'112'!$K$9,$O6886='112'!$I$6)),"x",""))</f>
        <v/>
      </c>
      <c r="W6886" s="79" t="str">
        <f>IF(AND('341-CT'!$H$9=H6886,OR(LEFT(N6886,3)=$W$7,LEFT(O6886,3)=$W$7)),"x","")</f>
        <v/>
      </c>
      <c r="X6886" s="79" t="str">
        <f>IF(OR(TH!N6886=TH!$X$7,O6886=TH!$X$7),"x","")</f>
        <v/>
      </c>
      <c r="Y6886" s="79" t="str">
        <f>IF(AND(OR(N6886="131",O6886="131"),H6886='131-CT'!$H$9),"x","")</f>
        <v/>
      </c>
      <c r="Z6886" s="79"/>
      <c r="AA6886" s="79" t="str">
        <f>IF(AND(MONTH(E6886)='IN-NX'!$J$5,'IN-NX'!$D$7=D6886),"x","")</f>
        <v/>
      </c>
      <c r="AB6886" s="79" t="str">
        <f>IF(AND(OR(LEFT(TH!N6886,2)="15",LEFT(TH!O6886,2)="15"),LEFT(TH!O6886,3)&lt;&gt;"111",'152-CT'!$J$8=TH!F6886),"x","")</f>
        <v/>
      </c>
      <c r="AC6886" s="79" t="str">
        <f>IF(AND(OR(LEFT(TH!N6886,2)="15",LEFT(TH!O6886,2)="15"),TK!$E$7=TH!F6886),"x","")</f>
        <v/>
      </c>
      <c r="AD6886" s="79" t="str">
        <f>IF(AND(N6886="1521",MONTH(C6886)='BK-NL'!$M$11),"x","")</f>
        <v/>
      </c>
    </row>
    <row r="6887" spans="1:30" ht="16.5" customHeight="1">
      <c r="A6887" s="318" t="str">
        <f>IF(B6887&lt;&gt;"",IF(AND(B6887='IN-TC'!$S$4,OR(TH!N6887="1111",TH!O6887="1111")),TH!D6887,""),"")</f>
        <v/>
      </c>
      <c r="B6887" s="1163" t="str">
        <f t="shared" si="528"/>
        <v/>
      </c>
      <c r="C6887" s="61"/>
      <c r="D6887" s="61"/>
      <c r="E6887" s="61"/>
      <c r="F6887" s="69"/>
      <c r="G6887" s="766"/>
      <c r="H6887" s="69"/>
      <c r="I6887" s="385"/>
      <c r="J6887" s="392"/>
      <c r="K6887" s="385"/>
      <c r="L6887" s="392"/>
      <c r="M6887" s="62"/>
      <c r="N6887" s="63"/>
      <c r="O6887" s="63"/>
      <c r="P6887" s="79" t="str">
        <f>IF(AND('331-CT'!$E$7=TH!H6887,OR(N6887="331",O6887="331")),"x","")</f>
        <v/>
      </c>
      <c r="Q6887" s="79" t="str">
        <f>IF(AND(B6887='111'!$L$11,OR($N6887=$Q$7,$O6887=$Q$7)),"x","")</f>
        <v/>
      </c>
      <c r="R6887" s="79" t="str">
        <f>IF(AND($N6887=$Q$7,$B6887&lt;'111'!$L$11),"x","")</f>
        <v/>
      </c>
      <c r="S6887" s="79" t="str">
        <f>IF(AND($O6887=$Q$7,$B6887&lt;'111'!$L$11),"x","")</f>
        <v/>
      </c>
      <c r="T6887" s="79" t="str">
        <f>IF(ISERROR(FIND('112'!$M$9,G6887,1)),"",IF((AND(FIND('112'!$M$9,G6887,1)&gt;=1,B6887='112'!$K$9,OR($N6887='112'!$I$6,$O6887='112'!$I$6))),"x",""))</f>
        <v/>
      </c>
      <c r="U6887" s="79" t="str">
        <f>IF(ISERROR(FIND('112'!$M$9,G6887,1)),"",IF((AND(LEFT(G6887,2)=LEFT('112'!$M$9,2),B6887&lt;'112'!$K$9,$N6887='112'!$I$6)),"x",""))</f>
        <v/>
      </c>
      <c r="V6887" s="79" t="str">
        <f>IF(ISERROR(FIND('112'!$M$9,G6887,1)),"",IF((AND(RIGHT(G6887,2)=RIGHT('112'!$M$9,2),B6887&lt;'112'!$K$9,$O6887='112'!$I$6)),"x",""))</f>
        <v/>
      </c>
      <c r="W6887" s="79" t="str">
        <f>IF(AND('341-CT'!$H$9=H6887,OR(LEFT(N6887,3)=$W$7,LEFT(O6887,3)=$W$7)),"x","")</f>
        <v/>
      </c>
      <c r="X6887" s="79" t="str">
        <f>IF(OR(TH!N6887=TH!$X$7,O6887=TH!$X$7),"x","")</f>
        <v/>
      </c>
      <c r="Y6887" s="79" t="str">
        <f>IF(AND(OR(N6887="131",O6887="131"),H6887='131-CT'!$H$9),"x","")</f>
        <v/>
      </c>
      <c r="Z6887" s="79"/>
      <c r="AA6887" s="79" t="str">
        <f>IF(AND(MONTH(E6887)='IN-NX'!$J$5,'IN-NX'!$D$7=D6887),"x","")</f>
        <v/>
      </c>
      <c r="AB6887" s="79" t="str">
        <f>IF(AND(OR(LEFT(TH!N6887,2)="15",LEFT(TH!O6887,2)="15"),LEFT(TH!O6887,3)&lt;&gt;"111",'152-CT'!$J$8=TH!F6887),"x","")</f>
        <v/>
      </c>
      <c r="AC6887" s="79" t="str">
        <f>IF(AND(OR(LEFT(TH!N6887,2)="15",LEFT(TH!O6887,2)="15"),TK!$E$7=TH!F6887),"x","")</f>
        <v/>
      </c>
      <c r="AD6887" s="79" t="str">
        <f>IF(AND(N6887="1521",MONTH(C6887)='BK-NL'!$M$11),"x","")</f>
        <v/>
      </c>
    </row>
    <row r="6888" spans="1:30" ht="16.5" customHeight="1">
      <c r="A6888" s="318" t="str">
        <f>IF(B6888&lt;&gt;"",IF(AND(B6888='IN-TC'!$S$4,OR(TH!N6888="1111",TH!O6888="1111")),TH!D6888,""),"")</f>
        <v/>
      </c>
      <c r="B6888" s="1163" t="str">
        <f t="shared" si="528"/>
        <v/>
      </c>
      <c r="C6888" s="61"/>
      <c r="D6888" s="61"/>
      <c r="E6888" s="61"/>
      <c r="F6888" s="69"/>
      <c r="G6888" s="766"/>
      <c r="H6888" s="69"/>
      <c r="I6888" s="385"/>
      <c r="J6888" s="392"/>
      <c r="K6888" s="385"/>
      <c r="L6888" s="392"/>
      <c r="M6888" s="62"/>
      <c r="N6888" s="63"/>
      <c r="O6888" s="63"/>
      <c r="P6888" s="79" t="str">
        <f>IF(AND('331-CT'!$E$7=TH!H6888,OR(N6888="331",O6888="331")),"x","")</f>
        <v/>
      </c>
      <c r="Q6888" s="79" t="str">
        <f>IF(AND(B6888='111'!$L$11,OR($N6888=$Q$7,$O6888=$Q$7)),"x","")</f>
        <v/>
      </c>
      <c r="R6888" s="79" t="str">
        <f>IF(AND($N6888=$Q$7,$B6888&lt;'111'!$L$11),"x","")</f>
        <v/>
      </c>
      <c r="S6888" s="79" t="str">
        <f>IF(AND($O6888=$Q$7,$B6888&lt;'111'!$L$11),"x","")</f>
        <v/>
      </c>
      <c r="T6888" s="79" t="str">
        <f>IF(ISERROR(FIND('112'!$M$9,G6888,1)),"",IF((AND(FIND('112'!$M$9,G6888,1)&gt;=1,B6888='112'!$K$9,OR($N6888='112'!$I$6,$O6888='112'!$I$6))),"x",""))</f>
        <v/>
      </c>
      <c r="U6888" s="79" t="str">
        <f>IF(ISERROR(FIND('112'!$M$9,G6888,1)),"",IF((AND(LEFT(G6888,2)=LEFT('112'!$M$9,2),B6888&lt;'112'!$K$9,$N6888='112'!$I$6)),"x",""))</f>
        <v/>
      </c>
      <c r="V6888" s="79" t="str">
        <f>IF(ISERROR(FIND('112'!$M$9,G6888,1)),"",IF((AND(RIGHT(G6888,2)=RIGHT('112'!$M$9,2),B6888&lt;'112'!$K$9,$O6888='112'!$I$6)),"x",""))</f>
        <v/>
      </c>
      <c r="W6888" s="79" t="str">
        <f>IF(AND('341-CT'!$H$9=H6888,OR(LEFT(N6888,3)=$W$7,LEFT(O6888,3)=$W$7)),"x","")</f>
        <v/>
      </c>
      <c r="X6888" s="79" t="str">
        <f>IF(OR(TH!N6888=TH!$X$7,O6888=TH!$X$7),"x","")</f>
        <v/>
      </c>
      <c r="Y6888" s="79" t="str">
        <f>IF(AND(OR(N6888="131",O6888="131"),H6888='131-CT'!$H$9),"x","")</f>
        <v/>
      </c>
      <c r="Z6888" s="79"/>
      <c r="AA6888" s="79" t="str">
        <f>IF(AND(MONTH(E6888)='IN-NX'!$J$5,'IN-NX'!$D$7=D6888),"x","")</f>
        <v/>
      </c>
      <c r="AB6888" s="79" t="str">
        <f>IF(AND(OR(LEFT(TH!N6888,2)="15",LEFT(TH!O6888,2)="15"),LEFT(TH!O6888,3)&lt;&gt;"111",'152-CT'!$J$8=TH!F6888),"x","")</f>
        <v/>
      </c>
      <c r="AC6888" s="79" t="str">
        <f>IF(AND(OR(LEFT(TH!N6888,2)="15",LEFT(TH!O6888,2)="15"),TK!$E$7=TH!F6888),"x","")</f>
        <v/>
      </c>
      <c r="AD6888" s="79" t="str">
        <f>IF(AND(N6888="1521",MONTH(C6888)='BK-NL'!$M$11),"x","")</f>
        <v/>
      </c>
    </row>
    <row r="6889" spans="1:30" ht="16.5" customHeight="1">
      <c r="A6889" s="318" t="str">
        <f>IF(B6889&lt;&gt;"",IF(AND(B6889='IN-TC'!$S$4,OR(TH!N6889="1111",TH!O6889="1111")),TH!D6889,""),"")</f>
        <v/>
      </c>
      <c r="B6889" s="1163" t="str">
        <f t="shared" si="528"/>
        <v/>
      </c>
      <c r="C6889" s="61"/>
      <c r="D6889" s="61"/>
      <c r="E6889" s="61"/>
      <c r="F6889" s="69"/>
      <c r="G6889" s="766"/>
      <c r="H6889" s="69"/>
      <c r="I6889" s="385"/>
      <c r="J6889" s="392"/>
      <c r="K6889" s="385"/>
      <c r="L6889" s="392"/>
      <c r="M6889" s="62"/>
      <c r="N6889" s="63"/>
      <c r="O6889" s="63"/>
      <c r="P6889" s="79" t="str">
        <f>IF(AND('331-CT'!$E$7=TH!H6889,OR(N6889="331",O6889="331")),"x","")</f>
        <v/>
      </c>
      <c r="Q6889" s="79" t="str">
        <f>IF(AND(B6889='111'!$L$11,OR($N6889=$Q$7,$O6889=$Q$7)),"x","")</f>
        <v/>
      </c>
      <c r="R6889" s="79" t="str">
        <f>IF(AND($N6889=$Q$7,$B6889&lt;'111'!$L$11),"x","")</f>
        <v/>
      </c>
      <c r="S6889" s="79" t="str">
        <f>IF(AND($O6889=$Q$7,$B6889&lt;'111'!$L$11),"x","")</f>
        <v/>
      </c>
      <c r="T6889" s="79" t="str">
        <f>IF(ISERROR(FIND('112'!$M$9,G6889,1)),"",IF((AND(FIND('112'!$M$9,G6889,1)&gt;=1,B6889='112'!$K$9,OR($N6889='112'!$I$6,$O6889='112'!$I$6))),"x",""))</f>
        <v/>
      </c>
      <c r="U6889" s="79" t="str">
        <f>IF(ISERROR(FIND('112'!$M$9,G6889,1)),"",IF((AND(LEFT(G6889,2)=LEFT('112'!$M$9,2),B6889&lt;'112'!$K$9,$N6889='112'!$I$6)),"x",""))</f>
        <v/>
      </c>
      <c r="V6889" s="79" t="str">
        <f>IF(ISERROR(FIND('112'!$M$9,G6889,1)),"",IF((AND(RIGHT(G6889,2)=RIGHT('112'!$M$9,2),B6889&lt;'112'!$K$9,$O6889='112'!$I$6)),"x",""))</f>
        <v/>
      </c>
      <c r="W6889" s="79" t="str">
        <f>IF(AND('341-CT'!$H$9=H6889,OR(LEFT(N6889,3)=$W$7,LEFT(O6889,3)=$W$7)),"x","")</f>
        <v/>
      </c>
      <c r="X6889" s="79" t="str">
        <f>IF(OR(TH!N6889=TH!$X$7,O6889=TH!$X$7),"x","")</f>
        <v/>
      </c>
      <c r="Y6889" s="79" t="str">
        <f>IF(AND(OR(N6889="131",O6889="131"),H6889='131-CT'!$H$9),"x","")</f>
        <v/>
      </c>
      <c r="Z6889" s="79"/>
      <c r="AA6889" s="79" t="str">
        <f>IF(AND(MONTH(E6889)='IN-NX'!$J$5,'IN-NX'!$D$7=D6889),"x","")</f>
        <v/>
      </c>
      <c r="AB6889" s="79" t="str">
        <f>IF(AND(OR(LEFT(TH!N6889,2)="15",LEFT(TH!O6889,2)="15"),LEFT(TH!O6889,3)&lt;&gt;"111",'152-CT'!$J$8=TH!F6889),"x","")</f>
        <v/>
      </c>
      <c r="AC6889" s="79" t="str">
        <f>IF(AND(OR(LEFT(TH!N6889,2)="15",LEFT(TH!O6889,2)="15"),TK!$E$7=TH!F6889),"x","")</f>
        <v/>
      </c>
      <c r="AD6889" s="79" t="str">
        <f>IF(AND(N6889="1521",MONTH(C6889)='BK-NL'!$M$11),"x","")</f>
        <v/>
      </c>
    </row>
    <row r="6890" spans="1:30" ht="16.5" customHeight="1">
      <c r="A6890" s="318" t="str">
        <f>IF(B6890&lt;&gt;"",IF(AND(B6890='IN-TC'!$S$4,OR(TH!N6890="1111",TH!O6890="1111")),TH!D6890,""),"")</f>
        <v/>
      </c>
      <c r="B6890" s="1163" t="str">
        <f t="shared" si="528"/>
        <v/>
      </c>
      <c r="C6890" s="61"/>
      <c r="D6890" s="61"/>
      <c r="E6890" s="61"/>
      <c r="F6890" s="69"/>
      <c r="G6890" s="64"/>
      <c r="H6890" s="321"/>
      <c r="I6890" s="385"/>
      <c r="J6890" s="392"/>
      <c r="K6890" s="385"/>
      <c r="L6890" s="392"/>
      <c r="M6890" s="62"/>
      <c r="N6890" s="63"/>
      <c r="O6890" s="63"/>
      <c r="P6890" s="79" t="str">
        <f>IF(AND('331-CT'!$E$7=TH!H6890,OR(N6890="331",O6890="331")),"x","")</f>
        <v/>
      </c>
      <c r="Q6890" s="79" t="str">
        <f>IF(AND(B6890='111'!$L$11,OR($N6890=$Q$7,$O6890=$Q$7)),"x","")</f>
        <v/>
      </c>
      <c r="R6890" s="79" t="str">
        <f>IF(AND($N6890=$Q$7,$B6890&lt;'111'!$L$11),"x","")</f>
        <v/>
      </c>
      <c r="S6890" s="79" t="str">
        <f>IF(AND($O6890=$Q$7,$B6890&lt;'111'!$L$11),"x","")</f>
        <v/>
      </c>
      <c r="T6890" s="79" t="str">
        <f>IF(ISERROR(FIND('112'!$M$9,G6890,1)),"",IF((AND(FIND('112'!$M$9,G6890,1)&gt;=1,B6890='112'!$K$9,OR($N6890='112'!$I$6,$O6890='112'!$I$6))),"x",""))</f>
        <v/>
      </c>
      <c r="U6890" s="79" t="str">
        <f>IF(ISERROR(FIND('112'!$M$9,G6890,1)),"",IF((AND(LEFT(G6890,2)=LEFT('112'!$M$9,2),B6890&lt;'112'!$K$9,$N6890='112'!$I$6)),"x",""))</f>
        <v/>
      </c>
      <c r="V6890" s="79" t="str">
        <f>IF(ISERROR(FIND('112'!$M$9,G6890,1)),"",IF((AND(RIGHT(G6890,2)=RIGHT('112'!$M$9,2),B6890&lt;'112'!$K$9,$O6890='112'!$I$6)),"x",""))</f>
        <v/>
      </c>
      <c r="W6890" s="79" t="str">
        <f>IF(AND('341-CT'!$H$9=H6890,OR(LEFT(N6890,3)=$W$7,LEFT(O6890,3)=$W$7)),"x","")</f>
        <v/>
      </c>
      <c r="X6890" s="79" t="str">
        <f>IF(OR(TH!N6890=TH!$X$7,O6890=TH!$X$7),"x","")</f>
        <v/>
      </c>
      <c r="Y6890" s="79" t="str">
        <f>IF(AND(OR(N6890="131",O6890="131"),H6890='131-CT'!$H$9),"x","")</f>
        <v/>
      </c>
      <c r="Z6890" s="79"/>
      <c r="AA6890" s="79" t="str">
        <f>IF(AND(MONTH(E6890)='IN-NX'!$J$5,'IN-NX'!$D$7=D6890),"x","")</f>
        <v/>
      </c>
      <c r="AB6890" s="79" t="str">
        <f>IF(AND(OR(LEFT(TH!N6890,2)="15",LEFT(TH!O6890,2)="15"),LEFT(TH!O6890,3)&lt;&gt;"111",'152-CT'!$J$8=TH!F6890),"x","")</f>
        <v/>
      </c>
      <c r="AC6890" s="79" t="str">
        <f>IF(AND(OR(LEFT(TH!N6890,2)="15",LEFT(TH!O6890,2)="15"),TK!$E$7=TH!F6890),"x","")</f>
        <v/>
      </c>
      <c r="AD6890" s="79" t="str">
        <f>IF(AND(N6890="1521",MONTH(C6890)='BK-NL'!$M$11),"x","")</f>
        <v/>
      </c>
    </row>
    <row r="6891" spans="1:30" ht="16.5" customHeight="1">
      <c r="A6891" s="318" t="str">
        <f>IF(B6891&lt;&gt;"",IF(AND(B6891='IN-TC'!$S$4,OR(TH!N6891="1111",TH!O6891="1111")),TH!D6891,""),"")</f>
        <v/>
      </c>
      <c r="B6891" s="1163" t="str">
        <f t="shared" si="528"/>
        <v/>
      </c>
      <c r="C6891" s="61"/>
      <c r="D6891" s="61"/>
      <c r="E6891" s="61"/>
      <c r="F6891" s="69"/>
      <c r="G6891" s="64"/>
      <c r="H6891" s="321"/>
      <c r="I6891" s="385"/>
      <c r="J6891" s="392"/>
      <c r="K6891" s="385"/>
      <c r="L6891" s="392"/>
      <c r="M6891" s="62"/>
      <c r="N6891" s="63"/>
      <c r="O6891" s="63"/>
      <c r="P6891" s="79" t="str">
        <f>IF(AND('331-CT'!$E$7=TH!H6891,OR(N6891="331",O6891="331")),"x","")</f>
        <v/>
      </c>
      <c r="Q6891" s="79" t="str">
        <f>IF(AND(B6891='111'!$L$11,OR($N6891=$Q$7,$O6891=$Q$7)),"x","")</f>
        <v/>
      </c>
      <c r="R6891" s="79" t="str">
        <f>IF(AND($N6891=$Q$7,$B6891&lt;'111'!$L$11),"x","")</f>
        <v/>
      </c>
      <c r="S6891" s="79" t="str">
        <f>IF(AND($O6891=$Q$7,$B6891&lt;'111'!$L$11),"x","")</f>
        <v/>
      </c>
      <c r="T6891" s="79" t="str">
        <f>IF(ISERROR(FIND('112'!$M$9,G6891,1)),"",IF((AND(FIND('112'!$M$9,G6891,1)&gt;=1,B6891='112'!$K$9,OR($N6891='112'!$I$6,$O6891='112'!$I$6))),"x",""))</f>
        <v/>
      </c>
      <c r="U6891" s="79" t="str">
        <f>IF(ISERROR(FIND('112'!$M$9,G6891,1)),"",IF((AND(LEFT(G6891,2)=LEFT('112'!$M$9,2),B6891&lt;'112'!$K$9,$N6891='112'!$I$6)),"x",""))</f>
        <v/>
      </c>
      <c r="V6891" s="79" t="str">
        <f>IF(ISERROR(FIND('112'!$M$9,G6891,1)),"",IF((AND(RIGHT(G6891,2)=RIGHT('112'!$M$9,2),B6891&lt;'112'!$K$9,$O6891='112'!$I$6)),"x",""))</f>
        <v/>
      </c>
      <c r="W6891" s="79" t="str">
        <f>IF(AND('341-CT'!$H$9=H6891,OR(LEFT(N6891,3)=$W$7,LEFT(O6891,3)=$W$7)),"x","")</f>
        <v/>
      </c>
      <c r="X6891" s="79" t="str">
        <f>IF(OR(TH!N6891=TH!$X$7,O6891=TH!$X$7),"x","")</f>
        <v/>
      </c>
      <c r="Y6891" s="79" t="str">
        <f>IF(AND(OR(N6891="131",O6891="131"),H6891='131-CT'!$H$9),"x","")</f>
        <v/>
      </c>
      <c r="Z6891" s="79"/>
      <c r="AA6891" s="79" t="str">
        <f>IF(AND(MONTH(E6891)='IN-NX'!$J$5,'IN-NX'!$D$7=D6891),"x","")</f>
        <v/>
      </c>
      <c r="AB6891" s="79" t="str">
        <f>IF(AND(OR(LEFT(TH!N6891,2)="15",LEFT(TH!O6891,2)="15"),LEFT(TH!O6891,3)&lt;&gt;"111",'152-CT'!$J$8=TH!F6891),"x","")</f>
        <v/>
      </c>
      <c r="AC6891" s="79" t="str">
        <f>IF(AND(OR(LEFT(TH!N6891,2)="15",LEFT(TH!O6891,2)="15"),TK!$E$7=TH!F6891),"x","")</f>
        <v/>
      </c>
      <c r="AD6891" s="79" t="str">
        <f>IF(AND(N6891="1521",MONTH(C6891)='BK-NL'!$M$11),"x","")</f>
        <v/>
      </c>
    </row>
    <row r="6892" spans="1:30" ht="16.5" customHeight="1">
      <c r="A6892" s="318" t="str">
        <f>IF(B6892&lt;&gt;"",IF(AND(B6892='IN-TC'!$S$4,OR(TH!N6892="1111",TH!O6892="1111")),TH!D6892,""),"")</f>
        <v/>
      </c>
      <c r="B6892" s="1163" t="str">
        <f t="shared" si="528"/>
        <v/>
      </c>
      <c r="C6892" s="61"/>
      <c r="D6892" s="61"/>
      <c r="E6892" s="61"/>
      <c r="F6892" s="69"/>
      <c r="G6892" s="64"/>
      <c r="H6892" s="321"/>
      <c r="I6892" s="385"/>
      <c r="J6892" s="392"/>
      <c r="K6892" s="385"/>
      <c r="L6892" s="392"/>
      <c r="M6892" s="62"/>
      <c r="N6892" s="63"/>
      <c r="O6892" s="63"/>
      <c r="P6892" s="79" t="str">
        <f>IF(AND('331-CT'!$E$7=TH!H6892,OR(N6892="331",O6892="331")),"x","")</f>
        <v/>
      </c>
      <c r="Q6892" s="79" t="str">
        <f>IF(AND(B6892='111'!$L$11,OR($N6892=$Q$7,$O6892=$Q$7)),"x","")</f>
        <v/>
      </c>
      <c r="R6892" s="79" t="str">
        <f>IF(AND($N6892=$Q$7,$B6892&lt;'111'!$L$11),"x","")</f>
        <v/>
      </c>
      <c r="S6892" s="79" t="str">
        <f>IF(AND($O6892=$Q$7,$B6892&lt;'111'!$L$11),"x","")</f>
        <v/>
      </c>
      <c r="T6892" s="79" t="str">
        <f>IF(ISERROR(FIND('112'!$M$9,G6892,1)),"",IF((AND(FIND('112'!$M$9,G6892,1)&gt;=1,B6892='112'!$K$9,OR($N6892='112'!$I$6,$O6892='112'!$I$6))),"x",""))</f>
        <v/>
      </c>
      <c r="U6892" s="79" t="str">
        <f>IF(ISERROR(FIND('112'!$M$9,G6892,1)),"",IF((AND(LEFT(G6892,2)=LEFT('112'!$M$9,2),B6892&lt;'112'!$K$9,$N6892='112'!$I$6)),"x",""))</f>
        <v/>
      </c>
      <c r="V6892" s="79" t="str">
        <f>IF(ISERROR(FIND('112'!$M$9,G6892,1)),"",IF((AND(RIGHT(G6892,2)=RIGHT('112'!$M$9,2),B6892&lt;'112'!$K$9,$O6892='112'!$I$6)),"x",""))</f>
        <v/>
      </c>
      <c r="W6892" s="79" t="str">
        <f>IF(AND('341-CT'!$H$9=H6892,OR(LEFT(N6892,3)=$W$7,LEFT(O6892,3)=$W$7)),"x","")</f>
        <v/>
      </c>
      <c r="X6892" s="79" t="str">
        <f>IF(OR(TH!N6892=TH!$X$7,O6892=TH!$X$7),"x","")</f>
        <v/>
      </c>
      <c r="Y6892" s="79" t="str">
        <f>IF(AND(OR(N6892="131",O6892="131"),H6892='131-CT'!$H$9),"x","")</f>
        <v/>
      </c>
      <c r="Z6892" s="79"/>
      <c r="AA6892" s="79" t="str">
        <f>IF(AND(MONTH(E6892)='IN-NX'!$J$5,'IN-NX'!$D$7=D6892),"x","")</f>
        <v/>
      </c>
      <c r="AB6892" s="79" t="str">
        <f>IF(AND(OR(LEFT(TH!N6892,2)="15",LEFT(TH!O6892,2)="15"),LEFT(TH!O6892,3)&lt;&gt;"111",'152-CT'!$J$8=TH!F6892),"x","")</f>
        <v/>
      </c>
      <c r="AC6892" s="79" t="str">
        <f>IF(AND(OR(LEFT(TH!N6892,2)="15",LEFT(TH!O6892,2)="15"),TK!$E$7=TH!F6892),"x","")</f>
        <v/>
      </c>
      <c r="AD6892" s="79" t="str">
        <f>IF(AND(N6892="1521",MONTH(C6892)='BK-NL'!$M$11),"x","")</f>
        <v/>
      </c>
    </row>
    <row r="6893" spans="1:30" ht="16.5" customHeight="1">
      <c r="A6893" s="318" t="str">
        <f>IF(B6893&lt;&gt;"",IF(AND(B6893='IN-TC'!$S$4,OR(TH!N6893="1111",TH!O6893="1111")),TH!D6893,""),"")</f>
        <v/>
      </c>
      <c r="B6893" s="1163" t="str">
        <f t="shared" si="528"/>
        <v/>
      </c>
      <c r="C6893" s="61"/>
      <c r="D6893" s="61"/>
      <c r="E6893" s="61"/>
      <c r="F6893" s="69"/>
      <c r="G6893" s="64"/>
      <c r="H6893" s="321"/>
      <c r="I6893" s="385"/>
      <c r="J6893" s="392"/>
      <c r="K6893" s="385"/>
      <c r="L6893" s="392"/>
      <c r="M6893" s="62"/>
      <c r="N6893" s="63"/>
      <c r="O6893" s="63"/>
      <c r="P6893" s="79" t="str">
        <f>IF(AND('331-CT'!$E$7=TH!H6893,OR(N6893="331",O6893="331")),"x","")</f>
        <v/>
      </c>
      <c r="Q6893" s="79" t="str">
        <f>IF(AND(B6893='111'!$L$11,OR($N6893=$Q$7,$O6893=$Q$7)),"x","")</f>
        <v/>
      </c>
      <c r="R6893" s="79" t="str">
        <f>IF(AND($N6893=$Q$7,$B6893&lt;'111'!$L$11),"x","")</f>
        <v/>
      </c>
      <c r="S6893" s="79" t="str">
        <f>IF(AND($O6893=$Q$7,$B6893&lt;'111'!$L$11),"x","")</f>
        <v/>
      </c>
      <c r="T6893" s="79" t="str">
        <f>IF(ISERROR(FIND('112'!$M$9,G6893,1)),"",IF((AND(FIND('112'!$M$9,G6893,1)&gt;=1,B6893='112'!$K$9,OR($N6893='112'!$I$6,$O6893='112'!$I$6))),"x",""))</f>
        <v/>
      </c>
      <c r="U6893" s="79" t="str">
        <f>IF(ISERROR(FIND('112'!$M$9,G6893,1)),"",IF((AND(LEFT(G6893,2)=LEFT('112'!$M$9,2),B6893&lt;'112'!$K$9,$N6893='112'!$I$6)),"x",""))</f>
        <v/>
      </c>
      <c r="V6893" s="79" t="str">
        <f>IF(ISERROR(FIND('112'!$M$9,G6893,1)),"",IF((AND(RIGHT(G6893,2)=RIGHT('112'!$M$9,2),B6893&lt;'112'!$K$9,$O6893='112'!$I$6)),"x",""))</f>
        <v/>
      </c>
      <c r="W6893" s="79" t="str">
        <f>IF(AND('341-CT'!$H$9=H6893,OR(LEFT(N6893,3)=$W$7,LEFT(O6893,3)=$W$7)),"x","")</f>
        <v/>
      </c>
      <c r="X6893" s="79" t="str">
        <f>IF(OR(TH!N6893=TH!$X$7,O6893=TH!$X$7),"x","")</f>
        <v/>
      </c>
      <c r="Y6893" s="79" t="str">
        <f>IF(AND(OR(N6893="131",O6893="131"),H6893='131-CT'!$H$9),"x","")</f>
        <v/>
      </c>
      <c r="Z6893" s="79"/>
      <c r="AA6893" s="79" t="str">
        <f>IF(AND(MONTH(E6893)='IN-NX'!$J$5,'IN-NX'!$D$7=D6893),"x","")</f>
        <v/>
      </c>
      <c r="AB6893" s="79" t="str">
        <f>IF(AND(OR(LEFT(TH!N6893,2)="15",LEFT(TH!O6893,2)="15"),LEFT(TH!O6893,3)&lt;&gt;"111",'152-CT'!$J$8=TH!F6893),"x","")</f>
        <v/>
      </c>
      <c r="AC6893" s="79" t="str">
        <f>IF(AND(OR(LEFT(TH!N6893,2)="15",LEFT(TH!O6893,2)="15"),TK!$E$7=TH!F6893),"x","")</f>
        <v/>
      </c>
      <c r="AD6893" s="79" t="str">
        <f>IF(AND(N6893="1521",MONTH(C6893)='BK-NL'!$M$11),"x","")</f>
        <v/>
      </c>
    </row>
    <row r="6894" spans="1:30" ht="16.5" customHeight="1">
      <c r="A6894" s="318" t="str">
        <f>IF(B6894&lt;&gt;"",IF(AND(B6894='IN-TC'!$S$4,OR(TH!N6894="1111",TH!O6894="1111")),TH!D6894,""),"")</f>
        <v/>
      </c>
      <c r="B6894" s="1163" t="str">
        <f t="shared" si="528"/>
        <v/>
      </c>
      <c r="C6894" s="61"/>
      <c r="D6894" s="61"/>
      <c r="E6894" s="61"/>
      <c r="F6894" s="69"/>
      <c r="G6894" s="64"/>
      <c r="H6894" s="321"/>
      <c r="I6894" s="385"/>
      <c r="J6894" s="392"/>
      <c r="K6894" s="385"/>
      <c r="L6894" s="392"/>
      <c r="M6894" s="62"/>
      <c r="N6894" s="63"/>
      <c r="O6894" s="63"/>
      <c r="P6894" s="79" t="str">
        <f>IF(AND('331-CT'!$E$7=TH!H6894,OR(N6894="331",O6894="331")),"x","")</f>
        <v/>
      </c>
      <c r="Q6894" s="79" t="str">
        <f>IF(AND(B6894='111'!$L$11,OR($N6894=$Q$7,$O6894=$Q$7)),"x","")</f>
        <v/>
      </c>
      <c r="R6894" s="79" t="str">
        <f>IF(AND($N6894=$Q$7,$B6894&lt;'111'!$L$11),"x","")</f>
        <v/>
      </c>
      <c r="S6894" s="79" t="str">
        <f>IF(AND($O6894=$Q$7,$B6894&lt;'111'!$L$11),"x","")</f>
        <v/>
      </c>
      <c r="T6894" s="79" t="str">
        <f>IF(ISERROR(FIND('112'!$M$9,G6894,1)),"",IF((AND(FIND('112'!$M$9,G6894,1)&gt;=1,B6894='112'!$K$9,OR($N6894='112'!$I$6,$O6894='112'!$I$6))),"x",""))</f>
        <v/>
      </c>
      <c r="U6894" s="79" t="str">
        <f>IF(ISERROR(FIND('112'!$M$9,G6894,1)),"",IF((AND(LEFT(G6894,2)=LEFT('112'!$M$9,2),B6894&lt;'112'!$K$9,$N6894='112'!$I$6)),"x",""))</f>
        <v/>
      </c>
      <c r="V6894" s="79" t="str">
        <f>IF(ISERROR(FIND('112'!$M$9,G6894,1)),"",IF((AND(RIGHT(G6894,2)=RIGHT('112'!$M$9,2),B6894&lt;'112'!$K$9,$O6894='112'!$I$6)),"x",""))</f>
        <v/>
      </c>
      <c r="W6894" s="79" t="str">
        <f>IF(AND('341-CT'!$H$9=H6894,OR(LEFT(N6894,3)=$W$7,LEFT(O6894,3)=$W$7)),"x","")</f>
        <v/>
      </c>
      <c r="X6894" s="79" t="str">
        <f>IF(OR(TH!N6894=TH!$X$7,O6894=TH!$X$7),"x","")</f>
        <v/>
      </c>
      <c r="Y6894" s="79" t="str">
        <f>IF(AND(OR(N6894="131",O6894="131"),H6894='131-CT'!$H$9),"x","")</f>
        <v/>
      </c>
      <c r="Z6894" s="79"/>
      <c r="AA6894" s="79" t="str">
        <f>IF(AND(MONTH(E6894)='IN-NX'!$J$5,'IN-NX'!$D$7=D6894),"x","")</f>
        <v/>
      </c>
      <c r="AB6894" s="79" t="str">
        <f>IF(AND(OR(LEFT(TH!N6894,2)="15",LEFT(TH!O6894,2)="15"),LEFT(TH!O6894,3)&lt;&gt;"111",'152-CT'!$J$8=TH!F6894),"x","")</f>
        <v/>
      </c>
      <c r="AC6894" s="79" t="str">
        <f>IF(AND(OR(LEFT(TH!N6894,2)="15",LEFT(TH!O6894,2)="15"),TK!$E$7=TH!F6894),"x","")</f>
        <v/>
      </c>
      <c r="AD6894" s="79" t="str">
        <f>IF(AND(N6894="1521",MONTH(C6894)='BK-NL'!$M$11),"x","")</f>
        <v/>
      </c>
    </row>
    <row r="6895" spans="1:30" ht="16.5" customHeight="1">
      <c r="A6895" s="318" t="str">
        <f>IF(B6895&lt;&gt;"",IF(AND(B6895='IN-TC'!$S$4,OR(TH!N6895="1111",TH!O6895="1111")),TH!D6895,""),"")</f>
        <v/>
      </c>
      <c r="B6895" s="1163" t="str">
        <f t="shared" si="528"/>
        <v/>
      </c>
      <c r="C6895" s="61"/>
      <c r="D6895" s="61"/>
      <c r="E6895" s="61"/>
      <c r="F6895" s="69"/>
      <c r="G6895" s="64"/>
      <c r="H6895" s="321"/>
      <c r="I6895" s="385"/>
      <c r="J6895" s="392"/>
      <c r="K6895" s="385"/>
      <c r="L6895" s="392"/>
      <c r="M6895" s="62"/>
      <c r="N6895" s="63"/>
      <c r="O6895" s="63"/>
      <c r="P6895" s="79" t="str">
        <f>IF(AND('331-CT'!$E$7=TH!H6895,OR(N6895="331",O6895="331")),"x","")</f>
        <v/>
      </c>
      <c r="Q6895" s="79" t="str">
        <f>IF(AND(B6895='111'!$L$11,OR($N6895=$Q$7,$O6895=$Q$7)),"x","")</f>
        <v/>
      </c>
      <c r="R6895" s="79" t="str">
        <f>IF(AND($N6895=$Q$7,$B6895&lt;'111'!$L$11),"x","")</f>
        <v/>
      </c>
      <c r="S6895" s="79" t="str">
        <f>IF(AND($O6895=$Q$7,$B6895&lt;'111'!$L$11),"x","")</f>
        <v/>
      </c>
      <c r="T6895" s="79" t="str">
        <f>IF(ISERROR(FIND('112'!$M$9,G6895,1)),"",IF((AND(FIND('112'!$M$9,G6895,1)&gt;=1,B6895='112'!$K$9,OR($N6895='112'!$I$6,$O6895='112'!$I$6))),"x",""))</f>
        <v/>
      </c>
      <c r="U6895" s="79" t="str">
        <f>IF(ISERROR(FIND('112'!$M$9,G6895,1)),"",IF((AND(LEFT(G6895,2)=LEFT('112'!$M$9,2),B6895&lt;'112'!$K$9,$N6895='112'!$I$6)),"x",""))</f>
        <v/>
      </c>
      <c r="V6895" s="79" t="str">
        <f>IF(ISERROR(FIND('112'!$M$9,G6895,1)),"",IF((AND(RIGHT(G6895,2)=RIGHT('112'!$M$9,2),B6895&lt;'112'!$K$9,$O6895='112'!$I$6)),"x",""))</f>
        <v/>
      </c>
      <c r="W6895" s="79" t="str">
        <f>IF(AND('341-CT'!$H$9=H6895,OR(LEFT(N6895,3)=$W$7,LEFT(O6895,3)=$W$7)),"x","")</f>
        <v/>
      </c>
      <c r="X6895" s="79" t="str">
        <f>IF(OR(TH!N6895=TH!$X$7,O6895=TH!$X$7),"x","")</f>
        <v/>
      </c>
      <c r="Y6895" s="79" t="str">
        <f>IF(AND(OR(N6895="131",O6895="131"),H6895='131-CT'!$H$9),"x","")</f>
        <v/>
      </c>
      <c r="Z6895" s="79"/>
      <c r="AA6895" s="79" t="str">
        <f>IF(AND(MONTH(E6895)='IN-NX'!$J$5,'IN-NX'!$D$7=D6895),"x","")</f>
        <v/>
      </c>
      <c r="AB6895" s="79" t="str">
        <f>IF(AND(OR(LEFT(TH!N6895,2)="15",LEFT(TH!O6895,2)="15"),LEFT(TH!O6895,3)&lt;&gt;"111",'152-CT'!$J$8=TH!F6895),"x","")</f>
        <v/>
      </c>
      <c r="AC6895" s="79" t="str">
        <f>IF(AND(OR(LEFT(TH!N6895,2)="15",LEFT(TH!O6895,2)="15"),TK!$E$7=TH!F6895),"x","")</f>
        <v/>
      </c>
      <c r="AD6895" s="79" t="str">
        <f>IF(AND(N6895="1521",MONTH(C6895)='BK-NL'!$M$11),"x","")</f>
        <v/>
      </c>
    </row>
    <row r="6896" spans="1:30" ht="16.5" customHeight="1">
      <c r="A6896" s="318" t="str">
        <f>IF(B6896&lt;&gt;"",IF(AND(B6896='IN-TC'!$S$4,OR(TH!N6896="1111",TH!O6896="1111")),TH!D6896,""),"")</f>
        <v/>
      </c>
      <c r="B6896" s="1163" t="str">
        <f t="shared" si="528"/>
        <v/>
      </c>
      <c r="C6896" s="61"/>
      <c r="D6896" s="61"/>
      <c r="E6896" s="61"/>
      <c r="F6896" s="69"/>
      <c r="G6896" s="64"/>
      <c r="H6896" s="321"/>
      <c r="I6896" s="385"/>
      <c r="J6896" s="392"/>
      <c r="K6896" s="385"/>
      <c r="L6896" s="392"/>
      <c r="M6896" s="62"/>
      <c r="N6896" s="63"/>
      <c r="O6896" s="63"/>
      <c r="P6896" s="79" t="str">
        <f>IF(AND('331-CT'!$E$7=TH!H6896,OR(N6896="331",O6896="331")),"x","")</f>
        <v/>
      </c>
      <c r="Q6896" s="79" t="str">
        <f>IF(AND(B6896='111'!$L$11,OR($N6896=$Q$7,$O6896=$Q$7)),"x","")</f>
        <v/>
      </c>
      <c r="R6896" s="79" t="str">
        <f>IF(AND($N6896=$Q$7,$B6896&lt;'111'!$L$11),"x","")</f>
        <v/>
      </c>
      <c r="S6896" s="79" t="str">
        <f>IF(AND($O6896=$Q$7,$B6896&lt;'111'!$L$11),"x","")</f>
        <v/>
      </c>
      <c r="T6896" s="79" t="str">
        <f>IF(ISERROR(FIND('112'!$M$9,G6896,1)),"",IF((AND(FIND('112'!$M$9,G6896,1)&gt;=1,B6896='112'!$K$9,OR($N6896='112'!$I$6,$O6896='112'!$I$6))),"x",""))</f>
        <v/>
      </c>
      <c r="U6896" s="79" t="str">
        <f>IF(ISERROR(FIND('112'!$M$9,G6896,1)),"",IF((AND(LEFT(G6896,2)=LEFT('112'!$M$9,2),B6896&lt;'112'!$K$9,$N6896='112'!$I$6)),"x",""))</f>
        <v/>
      </c>
      <c r="V6896" s="79" t="str">
        <f>IF(ISERROR(FIND('112'!$M$9,G6896,1)),"",IF((AND(RIGHT(G6896,2)=RIGHT('112'!$M$9,2),B6896&lt;'112'!$K$9,$O6896='112'!$I$6)),"x",""))</f>
        <v/>
      </c>
      <c r="W6896" s="79" t="str">
        <f>IF(AND('341-CT'!$H$9=H6896,OR(LEFT(N6896,3)=$W$7,LEFT(O6896,3)=$W$7)),"x","")</f>
        <v/>
      </c>
      <c r="X6896" s="79" t="str">
        <f>IF(OR(TH!N6896=TH!$X$7,O6896=TH!$X$7),"x","")</f>
        <v/>
      </c>
      <c r="Y6896" s="79" t="str">
        <f>IF(AND(OR(N6896="131",O6896="131"),H6896='131-CT'!$H$9),"x","")</f>
        <v/>
      </c>
      <c r="Z6896" s="79"/>
      <c r="AA6896" s="79" t="str">
        <f>IF(AND(MONTH(E6896)='IN-NX'!$J$5,'IN-NX'!$D$7=D6896),"x","")</f>
        <v/>
      </c>
      <c r="AB6896" s="79" t="str">
        <f>IF(AND(OR(LEFT(TH!N6896,2)="15",LEFT(TH!O6896,2)="15"),LEFT(TH!O6896,3)&lt;&gt;"111",'152-CT'!$J$8=TH!F6896),"x","")</f>
        <v/>
      </c>
      <c r="AC6896" s="79" t="str">
        <f>IF(AND(OR(LEFT(TH!N6896,2)="15",LEFT(TH!O6896,2)="15"),TK!$E$7=TH!F6896),"x","")</f>
        <v/>
      </c>
      <c r="AD6896" s="79" t="str">
        <f>IF(AND(N6896="1521",MONTH(C6896)='BK-NL'!$M$11),"x","")</f>
        <v/>
      </c>
    </row>
    <row r="6897" spans="1:30" ht="16.5" customHeight="1">
      <c r="A6897" s="318" t="str">
        <f>IF(B6897&lt;&gt;"",IF(AND(B6897='IN-TC'!$S$4,OR(TH!N6897="1111",TH!O6897="1111")),TH!D6897,""),"")</f>
        <v/>
      </c>
      <c r="B6897" s="1163" t="str">
        <f t="shared" si="528"/>
        <v/>
      </c>
      <c r="C6897" s="61"/>
      <c r="D6897" s="61"/>
      <c r="E6897" s="61"/>
      <c r="F6897" s="69"/>
      <c r="G6897" s="64"/>
      <c r="H6897" s="321"/>
      <c r="I6897" s="385"/>
      <c r="J6897" s="392"/>
      <c r="K6897" s="385"/>
      <c r="L6897" s="392"/>
      <c r="M6897" s="62"/>
      <c r="N6897" s="63"/>
      <c r="O6897" s="63"/>
      <c r="P6897" s="79" t="str">
        <f>IF(AND('331-CT'!$E$7=TH!H6897,OR(N6897="331",O6897="331")),"x","")</f>
        <v/>
      </c>
      <c r="Q6897" s="79" t="str">
        <f>IF(AND(B6897='111'!$L$11,OR($N6897=$Q$7,$O6897=$Q$7)),"x","")</f>
        <v/>
      </c>
      <c r="R6897" s="79" t="str">
        <f>IF(AND($N6897=$Q$7,$B6897&lt;'111'!$L$11),"x","")</f>
        <v/>
      </c>
      <c r="S6897" s="79" t="str">
        <f>IF(AND($O6897=$Q$7,$B6897&lt;'111'!$L$11),"x","")</f>
        <v/>
      </c>
      <c r="T6897" s="79" t="str">
        <f>IF(ISERROR(FIND('112'!$M$9,G6897,1)),"",IF((AND(FIND('112'!$M$9,G6897,1)&gt;=1,B6897='112'!$K$9,OR($N6897='112'!$I$6,$O6897='112'!$I$6))),"x",""))</f>
        <v/>
      </c>
      <c r="U6897" s="79" t="str">
        <f>IF(ISERROR(FIND('112'!$M$9,G6897,1)),"",IF((AND(LEFT(G6897,2)=LEFT('112'!$M$9,2),B6897&lt;'112'!$K$9,$N6897='112'!$I$6)),"x",""))</f>
        <v/>
      </c>
      <c r="V6897" s="79" t="str">
        <f>IF(ISERROR(FIND('112'!$M$9,G6897,1)),"",IF((AND(RIGHT(G6897,2)=RIGHT('112'!$M$9,2),B6897&lt;'112'!$K$9,$O6897='112'!$I$6)),"x",""))</f>
        <v/>
      </c>
      <c r="W6897" s="79" t="str">
        <f>IF(AND('341-CT'!$H$9=H6897,OR(LEFT(N6897,3)=$W$7,LEFT(O6897,3)=$W$7)),"x","")</f>
        <v/>
      </c>
      <c r="X6897" s="79" t="str">
        <f>IF(OR(TH!N6897=TH!$X$7,O6897=TH!$X$7),"x","")</f>
        <v/>
      </c>
      <c r="Y6897" s="79" t="str">
        <f>IF(AND(OR(N6897="131",O6897="131"),H6897='131-CT'!$H$9),"x","")</f>
        <v/>
      </c>
      <c r="Z6897" s="79"/>
      <c r="AA6897" s="79" t="str">
        <f>IF(AND(MONTH(E6897)='IN-NX'!$J$5,'IN-NX'!$D$7=D6897),"x","")</f>
        <v/>
      </c>
      <c r="AB6897" s="79" t="str">
        <f>IF(AND(OR(LEFT(TH!N6897,2)="15",LEFT(TH!O6897,2)="15"),LEFT(TH!O6897,3)&lt;&gt;"111",'152-CT'!$J$8=TH!F6897),"x","")</f>
        <v/>
      </c>
      <c r="AC6897" s="79" t="str">
        <f>IF(AND(OR(LEFT(TH!N6897,2)="15",LEFT(TH!O6897,2)="15"),TK!$E$7=TH!F6897),"x","")</f>
        <v/>
      </c>
      <c r="AD6897" s="79" t="str">
        <f>IF(AND(N6897="1521",MONTH(C6897)='BK-NL'!$M$11),"x","")</f>
        <v/>
      </c>
    </row>
    <row r="6898" spans="1:30" ht="16.5" customHeight="1">
      <c r="A6898" s="318" t="str">
        <f>IF(B6898&lt;&gt;"",IF(AND(B6898='IN-TC'!$S$4,OR(TH!N6898="1111",TH!O6898="1111")),TH!D6898,""),"")</f>
        <v/>
      </c>
      <c r="B6898" s="1163" t="str">
        <f t="shared" si="528"/>
        <v/>
      </c>
      <c r="C6898" s="61"/>
      <c r="D6898" s="61"/>
      <c r="E6898" s="61"/>
      <c r="F6898" s="69"/>
      <c r="G6898" s="64"/>
      <c r="H6898" s="321"/>
      <c r="I6898" s="385"/>
      <c r="J6898" s="392"/>
      <c r="K6898" s="385"/>
      <c r="L6898" s="392"/>
      <c r="M6898" s="62"/>
      <c r="N6898" s="63"/>
      <c r="O6898" s="63"/>
      <c r="P6898" s="79" t="str">
        <f>IF(AND('331-CT'!$E$7=TH!H6898,OR(N6898="331",O6898="331")),"x","")</f>
        <v/>
      </c>
      <c r="Q6898" s="79" t="str">
        <f>IF(AND(B6898='111'!$L$11,OR($N6898=$Q$7,$O6898=$Q$7)),"x","")</f>
        <v/>
      </c>
      <c r="R6898" s="79" t="str">
        <f>IF(AND($N6898=$Q$7,$B6898&lt;'111'!$L$11),"x","")</f>
        <v/>
      </c>
      <c r="S6898" s="79" t="str">
        <f>IF(AND($O6898=$Q$7,$B6898&lt;'111'!$L$11),"x","")</f>
        <v/>
      </c>
      <c r="T6898" s="79" t="str">
        <f>IF(ISERROR(FIND('112'!$M$9,G6898,1)),"",IF((AND(FIND('112'!$M$9,G6898,1)&gt;=1,B6898='112'!$K$9,OR($N6898='112'!$I$6,$O6898='112'!$I$6))),"x",""))</f>
        <v/>
      </c>
      <c r="U6898" s="79" t="str">
        <f>IF(ISERROR(FIND('112'!$M$9,G6898,1)),"",IF((AND(LEFT(G6898,2)=LEFT('112'!$M$9,2),B6898&lt;'112'!$K$9,$N6898='112'!$I$6)),"x",""))</f>
        <v/>
      </c>
      <c r="V6898" s="79" t="str">
        <f>IF(ISERROR(FIND('112'!$M$9,G6898,1)),"",IF((AND(RIGHT(G6898,2)=RIGHT('112'!$M$9,2),B6898&lt;'112'!$K$9,$O6898='112'!$I$6)),"x",""))</f>
        <v/>
      </c>
      <c r="W6898" s="79" t="str">
        <f>IF(AND('341-CT'!$H$9=H6898,OR(LEFT(N6898,3)=$W$7,LEFT(O6898,3)=$W$7)),"x","")</f>
        <v/>
      </c>
      <c r="X6898" s="79" t="str">
        <f>IF(OR(TH!N6898=TH!$X$7,O6898=TH!$X$7),"x","")</f>
        <v/>
      </c>
      <c r="Y6898" s="79" t="str">
        <f>IF(AND(OR(N6898="131",O6898="131"),H6898='131-CT'!$H$9),"x","")</f>
        <v/>
      </c>
      <c r="Z6898" s="79"/>
      <c r="AA6898" s="79" t="str">
        <f>IF(AND(MONTH(E6898)='IN-NX'!$J$5,'IN-NX'!$D$7=D6898),"x","")</f>
        <v/>
      </c>
      <c r="AB6898" s="79" t="str">
        <f>IF(AND(OR(LEFT(TH!N6898,2)="15",LEFT(TH!O6898,2)="15"),LEFT(TH!O6898,3)&lt;&gt;"111",'152-CT'!$J$8=TH!F6898),"x","")</f>
        <v/>
      </c>
      <c r="AC6898" s="79" t="str">
        <f>IF(AND(OR(LEFT(TH!N6898,2)="15",LEFT(TH!O6898,2)="15"),TK!$E$7=TH!F6898),"x","")</f>
        <v/>
      </c>
      <c r="AD6898" s="79" t="str">
        <f>IF(AND(N6898="1521",MONTH(C6898)='BK-NL'!$M$11),"x","")</f>
        <v/>
      </c>
    </row>
    <row r="6899" spans="1:30" ht="16.5" customHeight="1">
      <c r="A6899" s="318" t="str">
        <f>IF(B6899&lt;&gt;"",IF(AND(B6899='IN-TC'!$S$4,OR(TH!N6899="1111",TH!O6899="1111")),TH!D6899,""),"")</f>
        <v/>
      </c>
      <c r="B6899" s="1163" t="str">
        <f t="shared" si="528"/>
        <v/>
      </c>
      <c r="C6899" s="61"/>
      <c r="D6899" s="61"/>
      <c r="E6899" s="61"/>
      <c r="F6899" s="69"/>
      <c r="G6899" s="64"/>
      <c r="H6899" s="321"/>
      <c r="I6899" s="385"/>
      <c r="J6899" s="392"/>
      <c r="K6899" s="385"/>
      <c r="L6899" s="392"/>
      <c r="M6899" s="62"/>
      <c r="N6899" s="63"/>
      <c r="O6899" s="63"/>
      <c r="P6899" s="79" t="str">
        <f>IF(AND('331-CT'!$E$7=TH!H6899,OR(N6899="331",O6899="331")),"x","")</f>
        <v/>
      </c>
      <c r="Q6899" s="79" t="str">
        <f>IF(AND(B6899='111'!$L$11,OR($N6899=$Q$7,$O6899=$Q$7)),"x","")</f>
        <v/>
      </c>
      <c r="R6899" s="79" t="str">
        <f>IF(AND($N6899=$Q$7,$B6899&lt;'111'!$L$11),"x","")</f>
        <v/>
      </c>
      <c r="S6899" s="79" t="str">
        <f>IF(AND($O6899=$Q$7,$B6899&lt;'111'!$L$11),"x","")</f>
        <v/>
      </c>
      <c r="T6899" s="79" t="str">
        <f>IF(ISERROR(FIND('112'!$M$9,G6899,1)),"",IF((AND(FIND('112'!$M$9,G6899,1)&gt;=1,B6899='112'!$K$9,OR($N6899='112'!$I$6,$O6899='112'!$I$6))),"x",""))</f>
        <v/>
      </c>
      <c r="U6899" s="79" t="str">
        <f>IF(ISERROR(FIND('112'!$M$9,G6899,1)),"",IF((AND(LEFT(G6899,2)=LEFT('112'!$M$9,2),B6899&lt;'112'!$K$9,$N6899='112'!$I$6)),"x",""))</f>
        <v/>
      </c>
      <c r="V6899" s="79" t="str">
        <f>IF(ISERROR(FIND('112'!$M$9,G6899,1)),"",IF((AND(RIGHT(G6899,2)=RIGHT('112'!$M$9,2),B6899&lt;'112'!$K$9,$O6899='112'!$I$6)),"x",""))</f>
        <v/>
      </c>
      <c r="W6899" s="79" t="str">
        <f>IF(AND('341-CT'!$H$9=H6899,OR(LEFT(N6899,3)=$W$7,LEFT(O6899,3)=$W$7)),"x","")</f>
        <v/>
      </c>
      <c r="X6899" s="79" t="str">
        <f>IF(OR(TH!N6899=TH!$X$7,O6899=TH!$X$7),"x","")</f>
        <v/>
      </c>
      <c r="Y6899" s="79" t="str">
        <f>IF(AND(OR(N6899="131",O6899="131"),H6899='131-CT'!$H$9),"x","")</f>
        <v/>
      </c>
      <c r="Z6899" s="79"/>
      <c r="AA6899" s="79" t="str">
        <f>IF(AND(MONTH(E6899)='IN-NX'!$J$5,'IN-NX'!$D$7=D6899),"x","")</f>
        <v/>
      </c>
      <c r="AB6899" s="79" t="str">
        <f>IF(AND(OR(LEFT(TH!N6899,2)="15",LEFT(TH!O6899,2)="15"),LEFT(TH!O6899,3)&lt;&gt;"111",'152-CT'!$J$8=TH!F6899),"x","")</f>
        <v/>
      </c>
      <c r="AC6899" s="79" t="str">
        <f>IF(AND(OR(LEFT(TH!N6899,2)="15",LEFT(TH!O6899,2)="15"),TK!$E$7=TH!F6899),"x","")</f>
        <v/>
      </c>
      <c r="AD6899" s="79" t="str">
        <f>IF(AND(N6899="1521",MONTH(C6899)='BK-NL'!$M$11),"x","")</f>
        <v/>
      </c>
    </row>
    <row r="6900" spans="1:30" ht="16.5" customHeight="1">
      <c r="A6900" s="318" t="str">
        <f>IF(B6900&lt;&gt;"",IF(AND(B6900='IN-TC'!$S$4,OR(TH!N6900="1111",TH!O6900="1111")),TH!D6900,""),"")</f>
        <v/>
      </c>
      <c r="B6900" s="1163" t="str">
        <f t="shared" si="528"/>
        <v/>
      </c>
      <c r="C6900" s="61"/>
      <c r="D6900" s="61"/>
      <c r="E6900" s="61"/>
      <c r="F6900" s="69"/>
      <c r="G6900" s="766"/>
      <c r="H6900" s="69"/>
      <c r="I6900" s="385"/>
      <c r="J6900" s="392"/>
      <c r="K6900" s="385"/>
      <c r="L6900" s="392"/>
      <c r="M6900" s="62"/>
      <c r="N6900" s="63"/>
      <c r="O6900" s="63"/>
      <c r="P6900" s="79" t="str">
        <f>IF(AND('331-CT'!$E$7=TH!H6900,OR(N6900="331",O6900="331")),"x","")</f>
        <v/>
      </c>
      <c r="Q6900" s="79" t="str">
        <f>IF(AND(B6900='111'!$L$11,OR($N6900=$Q$7,$O6900=$Q$7)),"x","")</f>
        <v/>
      </c>
      <c r="R6900" s="79" t="str">
        <f>IF(AND($N6900=$Q$7,$B6900&lt;'111'!$L$11),"x","")</f>
        <v/>
      </c>
      <c r="S6900" s="79" t="str">
        <f>IF(AND($O6900=$Q$7,$B6900&lt;'111'!$L$11),"x","")</f>
        <v/>
      </c>
      <c r="T6900" s="79" t="str">
        <f>IF(ISERROR(FIND('112'!$M$9,G6900,1)),"",IF((AND(FIND('112'!$M$9,G6900,1)&gt;=1,B6900='112'!$K$9,OR($N6900='112'!$I$6,$O6900='112'!$I$6))),"x",""))</f>
        <v/>
      </c>
      <c r="U6900" s="79" t="str">
        <f>IF(ISERROR(FIND('112'!$M$9,G6900,1)),"",IF((AND(LEFT(G6900,2)=LEFT('112'!$M$9,2),B6900&lt;'112'!$K$9,$N6900='112'!$I$6)),"x",""))</f>
        <v/>
      </c>
      <c r="V6900" s="79" t="str">
        <f>IF(ISERROR(FIND('112'!$M$9,G6900,1)),"",IF((AND(RIGHT(G6900,2)=RIGHT('112'!$M$9,2),B6900&lt;'112'!$K$9,$O6900='112'!$I$6)),"x",""))</f>
        <v/>
      </c>
      <c r="W6900" s="79" t="str">
        <f>IF(AND('341-CT'!$H$9=H6900,OR(LEFT(N6900,3)=$W$7,LEFT(O6900,3)=$W$7)),"x","")</f>
        <v/>
      </c>
      <c r="X6900" s="79" t="str">
        <f>IF(OR(TH!N6900=TH!$X$7,O6900=TH!$X$7),"x","")</f>
        <v/>
      </c>
      <c r="Y6900" s="79" t="str">
        <f>IF(AND(OR(N6900="131",O6900="131"),H6900='131-CT'!$H$9),"x","")</f>
        <v/>
      </c>
      <c r="Z6900" s="79"/>
      <c r="AA6900" s="79" t="str">
        <f>IF(AND(MONTH(E6900)='IN-NX'!$J$5,'IN-NX'!$D$7=D6900),"x","")</f>
        <v/>
      </c>
      <c r="AB6900" s="79" t="str">
        <f>IF(AND(OR(LEFT(TH!N6900,2)="15",LEFT(TH!O6900,2)="15"),LEFT(TH!O6900,3)&lt;&gt;"111",'152-CT'!$J$8=TH!F6900),"x","")</f>
        <v/>
      </c>
      <c r="AC6900" s="79" t="str">
        <f>IF(AND(OR(LEFT(TH!N6900,2)="15",LEFT(TH!O6900,2)="15"),TK!$E$7=TH!F6900),"x","")</f>
        <v/>
      </c>
      <c r="AD6900" s="79" t="str">
        <f>IF(AND(N6900="1521",MONTH(C6900)='BK-NL'!$M$11),"x","")</f>
        <v/>
      </c>
    </row>
    <row r="6901" spans="1:30" ht="16.5" customHeight="1">
      <c r="A6901" s="318" t="str">
        <f>IF(B6901&lt;&gt;"",IF(AND(B6901='IN-TC'!$S$4,OR(TH!N6901="1111",TH!O6901="1111")),TH!D6901,""),"")</f>
        <v/>
      </c>
      <c r="B6901" s="1163" t="str">
        <f t="shared" si="528"/>
        <v/>
      </c>
      <c r="C6901" s="61"/>
      <c r="D6901" s="61"/>
      <c r="E6901" s="61"/>
      <c r="F6901" s="69"/>
      <c r="G6901" s="766"/>
      <c r="H6901" s="69"/>
      <c r="I6901" s="385"/>
      <c r="J6901" s="392"/>
      <c r="K6901" s="385"/>
      <c r="L6901" s="392"/>
      <c r="M6901" s="62"/>
      <c r="N6901" s="63"/>
      <c r="O6901" s="63"/>
      <c r="P6901" s="79" t="str">
        <f>IF(AND('331-CT'!$E$7=TH!H6901,OR(N6901="331",O6901="331")),"x","")</f>
        <v/>
      </c>
      <c r="Q6901" s="79" t="str">
        <f>IF(AND(B6901='111'!$L$11,OR($N6901=$Q$7,$O6901=$Q$7)),"x","")</f>
        <v/>
      </c>
      <c r="R6901" s="79" t="str">
        <f>IF(AND($N6901=$Q$7,$B6901&lt;'111'!$L$11),"x","")</f>
        <v/>
      </c>
      <c r="S6901" s="79" t="str">
        <f>IF(AND($O6901=$Q$7,$B6901&lt;'111'!$L$11),"x","")</f>
        <v/>
      </c>
      <c r="T6901" s="79" t="str">
        <f>IF(ISERROR(FIND('112'!$M$9,G6901,1)),"",IF((AND(FIND('112'!$M$9,G6901,1)&gt;=1,B6901='112'!$K$9,OR($N6901='112'!$I$6,$O6901='112'!$I$6))),"x",""))</f>
        <v/>
      </c>
      <c r="U6901" s="79" t="str">
        <f>IF(ISERROR(FIND('112'!$M$9,G6901,1)),"",IF((AND(LEFT(G6901,2)=LEFT('112'!$M$9,2),B6901&lt;'112'!$K$9,$N6901='112'!$I$6)),"x",""))</f>
        <v/>
      </c>
      <c r="V6901" s="79" t="str">
        <f>IF(ISERROR(FIND('112'!$M$9,G6901,1)),"",IF((AND(RIGHT(G6901,2)=RIGHT('112'!$M$9,2),B6901&lt;'112'!$K$9,$O6901='112'!$I$6)),"x",""))</f>
        <v/>
      </c>
      <c r="W6901" s="79" t="str">
        <f>IF(AND('341-CT'!$H$9=H6901,OR(LEFT(N6901,3)=$W$7,LEFT(O6901,3)=$W$7)),"x","")</f>
        <v/>
      </c>
      <c r="X6901" s="79" t="str">
        <f>IF(OR(TH!N6901=TH!$X$7,O6901=TH!$X$7),"x","")</f>
        <v/>
      </c>
      <c r="Y6901" s="79" t="str">
        <f>IF(AND(OR(N6901="131",O6901="131"),H6901='131-CT'!$H$9),"x","")</f>
        <v/>
      </c>
      <c r="Z6901" s="79"/>
      <c r="AA6901" s="79" t="str">
        <f>IF(AND(MONTH(E6901)='IN-NX'!$J$5,'IN-NX'!$D$7=D6901),"x","")</f>
        <v/>
      </c>
      <c r="AB6901" s="79" t="str">
        <f>IF(AND(OR(LEFT(TH!N6901,2)="15",LEFT(TH!O6901,2)="15"),LEFT(TH!O6901,3)&lt;&gt;"111",'152-CT'!$J$8=TH!F6901),"x","")</f>
        <v/>
      </c>
      <c r="AC6901" s="79" t="str">
        <f>IF(AND(OR(LEFT(TH!N6901,2)="15",LEFT(TH!O6901,2)="15"),TK!$E$7=TH!F6901),"x","")</f>
        <v/>
      </c>
      <c r="AD6901" s="79" t="str">
        <f>IF(AND(N6901="1521",MONTH(C6901)='BK-NL'!$M$11),"x","")</f>
        <v/>
      </c>
    </row>
    <row r="6902" spans="1:30" ht="16.5" customHeight="1">
      <c r="A6902" s="318" t="str">
        <f>IF(B6902&lt;&gt;"",IF(AND(B6902='IN-TC'!$S$4,OR(TH!N6902="1111",TH!O6902="1111")),TH!D6902,""),"")</f>
        <v/>
      </c>
      <c r="B6902" s="1163" t="str">
        <f t="shared" si="528"/>
        <v/>
      </c>
      <c r="C6902" s="61"/>
      <c r="D6902" s="61"/>
      <c r="E6902" s="61"/>
      <c r="F6902" s="69"/>
      <c r="G6902" s="766"/>
      <c r="H6902" s="69"/>
      <c r="I6902" s="385"/>
      <c r="J6902" s="392"/>
      <c r="K6902" s="385"/>
      <c r="L6902" s="392"/>
      <c r="M6902" s="62"/>
      <c r="N6902" s="63"/>
      <c r="O6902" s="63"/>
      <c r="P6902" s="79" t="str">
        <f>IF(AND('331-CT'!$E$7=TH!H6902,OR(N6902="331",O6902="331")),"x","")</f>
        <v/>
      </c>
      <c r="Q6902" s="79" t="str">
        <f>IF(AND(B6902='111'!$L$11,OR($N6902=$Q$7,$O6902=$Q$7)),"x","")</f>
        <v/>
      </c>
      <c r="R6902" s="79" t="str">
        <f>IF(AND($N6902=$Q$7,$B6902&lt;'111'!$L$11),"x","")</f>
        <v/>
      </c>
      <c r="S6902" s="79" t="str">
        <f>IF(AND($O6902=$Q$7,$B6902&lt;'111'!$L$11),"x","")</f>
        <v/>
      </c>
      <c r="T6902" s="79" t="str">
        <f>IF(ISERROR(FIND('112'!$M$9,G6902,1)),"",IF((AND(FIND('112'!$M$9,G6902,1)&gt;=1,B6902='112'!$K$9,OR($N6902='112'!$I$6,$O6902='112'!$I$6))),"x",""))</f>
        <v/>
      </c>
      <c r="U6902" s="79" t="str">
        <f>IF(ISERROR(FIND('112'!$M$9,G6902,1)),"",IF((AND(LEFT(G6902,2)=LEFT('112'!$M$9,2),B6902&lt;'112'!$K$9,$N6902='112'!$I$6)),"x",""))</f>
        <v/>
      </c>
      <c r="V6902" s="79" t="str">
        <f>IF(ISERROR(FIND('112'!$M$9,G6902,1)),"",IF((AND(RIGHT(G6902,2)=RIGHT('112'!$M$9,2),B6902&lt;'112'!$K$9,$O6902='112'!$I$6)),"x",""))</f>
        <v/>
      </c>
      <c r="W6902" s="79" t="str">
        <f>IF(AND('341-CT'!$H$9=H6902,OR(LEFT(N6902,3)=$W$7,LEFT(O6902,3)=$W$7)),"x","")</f>
        <v/>
      </c>
      <c r="X6902" s="79" t="str">
        <f>IF(OR(TH!N6902=TH!$X$7,O6902=TH!$X$7),"x","")</f>
        <v/>
      </c>
      <c r="Y6902" s="79" t="str">
        <f>IF(AND(OR(N6902="131",O6902="131"),H6902='131-CT'!$H$9),"x","")</f>
        <v/>
      </c>
      <c r="Z6902" s="79"/>
      <c r="AA6902" s="79" t="str">
        <f>IF(AND(MONTH(E6902)='IN-NX'!$J$5,'IN-NX'!$D$7=D6902),"x","")</f>
        <v/>
      </c>
      <c r="AB6902" s="79" t="str">
        <f>IF(AND(OR(LEFT(TH!N6902,2)="15",LEFT(TH!O6902,2)="15"),LEFT(TH!O6902,3)&lt;&gt;"111",'152-CT'!$J$8=TH!F6902),"x","")</f>
        <v/>
      </c>
      <c r="AC6902" s="79" t="str">
        <f>IF(AND(OR(LEFT(TH!N6902,2)="15",LEFT(TH!O6902,2)="15"),TK!$E$7=TH!F6902),"x","")</f>
        <v/>
      </c>
      <c r="AD6902" s="79" t="str">
        <f>IF(AND(N6902="1521",MONTH(C6902)='BK-NL'!$M$11),"x","")</f>
        <v/>
      </c>
    </row>
    <row r="6903" spans="1:30" ht="16.5" customHeight="1">
      <c r="A6903" s="318" t="str">
        <f>IF(B6903&lt;&gt;"",IF(AND(B6903='IN-TC'!$S$4,OR(TH!N6903="1111",TH!O6903="1111")),TH!D6903,""),"")</f>
        <v/>
      </c>
      <c r="B6903" s="1163" t="str">
        <f t="shared" si="528"/>
        <v/>
      </c>
      <c r="C6903" s="61"/>
      <c r="D6903" s="61"/>
      <c r="E6903" s="61"/>
      <c r="F6903" s="69"/>
      <c r="G6903" s="64"/>
      <c r="H6903" s="69"/>
      <c r="I6903" s="385"/>
      <c r="J6903" s="392"/>
      <c r="K6903" s="385"/>
      <c r="L6903" s="392"/>
      <c r="M6903" s="62"/>
      <c r="N6903" s="63"/>
      <c r="O6903" s="63"/>
      <c r="P6903" s="79" t="str">
        <f>IF(AND('331-CT'!$E$7=TH!H6903,OR(N6903="331",O6903="331")),"x","")</f>
        <v/>
      </c>
      <c r="Q6903" s="79" t="str">
        <f>IF(AND(B6903='111'!$L$11,OR($N6903=$Q$7,$O6903=$Q$7)),"x","")</f>
        <v/>
      </c>
      <c r="R6903" s="79" t="str">
        <f>IF(AND($N6903=$Q$7,$B6903&lt;'111'!$L$11),"x","")</f>
        <v/>
      </c>
      <c r="S6903" s="79" t="str">
        <f>IF(AND($O6903=$Q$7,$B6903&lt;'111'!$L$11),"x","")</f>
        <v/>
      </c>
      <c r="T6903" s="79" t="str">
        <f>IF(ISERROR(FIND('112'!$M$9,G6903,1)),"",IF((AND(FIND('112'!$M$9,G6903,1)&gt;=1,B6903='112'!$K$9,OR($N6903='112'!$I$6,$O6903='112'!$I$6))),"x",""))</f>
        <v/>
      </c>
      <c r="U6903" s="79" t="str">
        <f>IF(ISERROR(FIND('112'!$M$9,G6903,1)),"",IF((AND(LEFT(G6903,2)=LEFT('112'!$M$9,2),B6903&lt;'112'!$K$9,$N6903='112'!$I$6)),"x",""))</f>
        <v/>
      </c>
      <c r="V6903" s="79" t="str">
        <f>IF(ISERROR(FIND('112'!$M$9,G6903,1)),"",IF((AND(RIGHT(G6903,2)=RIGHT('112'!$M$9,2),B6903&lt;'112'!$K$9,$O6903='112'!$I$6)),"x",""))</f>
        <v/>
      </c>
      <c r="W6903" s="79" t="str">
        <f>IF(AND('341-CT'!$H$9=H6903,OR(LEFT(N6903,3)=$W$7,LEFT(O6903,3)=$W$7)),"x","")</f>
        <v/>
      </c>
      <c r="X6903" s="79" t="str">
        <f>IF(OR(TH!N6903=TH!$X$7,O6903=TH!$X$7),"x","")</f>
        <v/>
      </c>
      <c r="Y6903" s="79" t="str">
        <f>IF(AND(OR(N6903="131",O6903="131"),H6903='131-CT'!$H$9),"x","")</f>
        <v/>
      </c>
      <c r="Z6903" s="79"/>
      <c r="AA6903" s="79" t="str">
        <f>IF(AND(MONTH(E6903)='IN-NX'!$J$5,'IN-NX'!$D$7=D6903),"x","")</f>
        <v/>
      </c>
      <c r="AB6903" s="79" t="str">
        <f>IF(AND(OR(LEFT(TH!N6903,2)="15",LEFT(TH!O6903,2)="15"),LEFT(TH!O6903,3)&lt;&gt;"111",'152-CT'!$J$8=TH!F6903),"x","")</f>
        <v/>
      </c>
      <c r="AC6903" s="79" t="str">
        <f>IF(AND(OR(LEFT(TH!N6903,2)="15",LEFT(TH!O6903,2)="15"),TK!$E$7=TH!F6903),"x","")</f>
        <v/>
      </c>
      <c r="AD6903" s="79" t="str">
        <f>IF(AND(N6903="1521",MONTH(C6903)='BK-NL'!$M$11),"x","")</f>
        <v/>
      </c>
    </row>
    <row r="6904" spans="1:30" ht="16.5" customHeight="1">
      <c r="A6904" s="318" t="str">
        <f>IF(B6904&lt;&gt;"",IF(AND(B6904='IN-TC'!$S$4,OR(TH!N6904="1111",TH!O6904="1111")),TH!D6904,""),"")</f>
        <v/>
      </c>
      <c r="B6904" s="1163" t="str">
        <f t="shared" si="528"/>
        <v/>
      </c>
      <c r="C6904" s="61"/>
      <c r="D6904" s="61"/>
      <c r="E6904" s="61"/>
      <c r="F6904" s="69"/>
      <c r="G6904" s="64"/>
      <c r="H6904" s="321"/>
      <c r="I6904" s="385"/>
      <c r="J6904" s="392"/>
      <c r="K6904" s="385"/>
      <c r="L6904" s="392"/>
      <c r="M6904" s="62"/>
      <c r="N6904" s="63"/>
      <c r="O6904" s="63"/>
      <c r="P6904" s="79" t="str">
        <f>IF(AND('331-CT'!$E$7=TH!H6904,OR(N6904="331",O6904="331")),"x","")</f>
        <v/>
      </c>
      <c r="Q6904" s="79" t="str">
        <f>IF(AND(B6904='111'!$L$11,OR($N6904=$Q$7,$O6904=$Q$7)),"x","")</f>
        <v/>
      </c>
      <c r="R6904" s="79" t="str">
        <f>IF(AND($N6904=$Q$7,$B6904&lt;'111'!$L$11),"x","")</f>
        <v/>
      </c>
      <c r="S6904" s="79" t="str">
        <f>IF(AND($O6904=$Q$7,$B6904&lt;'111'!$L$11),"x","")</f>
        <v/>
      </c>
      <c r="T6904" s="79" t="str">
        <f>IF(ISERROR(FIND('112'!$M$9,G6904,1)),"",IF((AND(FIND('112'!$M$9,G6904,1)&gt;=1,B6904='112'!$K$9,OR($N6904='112'!$I$6,$O6904='112'!$I$6))),"x",""))</f>
        <v/>
      </c>
      <c r="U6904" s="79" t="str">
        <f>IF(ISERROR(FIND('112'!$M$9,G6904,1)),"",IF((AND(LEFT(G6904,2)=LEFT('112'!$M$9,2),B6904&lt;'112'!$K$9,$N6904='112'!$I$6)),"x",""))</f>
        <v/>
      </c>
      <c r="V6904" s="79" t="str">
        <f>IF(ISERROR(FIND('112'!$M$9,G6904,1)),"",IF((AND(RIGHT(G6904,2)=RIGHT('112'!$M$9,2),B6904&lt;'112'!$K$9,$O6904='112'!$I$6)),"x",""))</f>
        <v/>
      </c>
      <c r="W6904" s="79" t="str">
        <f>IF(AND('341-CT'!$H$9=H6904,OR(LEFT(N6904,3)=$W$7,LEFT(O6904,3)=$W$7)),"x","")</f>
        <v/>
      </c>
      <c r="X6904" s="79" t="str">
        <f>IF(OR(TH!N6904=TH!$X$7,O6904=TH!$X$7),"x","")</f>
        <v/>
      </c>
      <c r="Y6904" s="79" t="str">
        <f>IF(AND(OR(N6904="131",O6904="131"),H6904='131-CT'!$H$9),"x","")</f>
        <v/>
      </c>
      <c r="Z6904" s="79"/>
      <c r="AA6904" s="79" t="str">
        <f>IF(AND(MONTH(E6904)='IN-NX'!$J$5,'IN-NX'!$D$7=D6904),"x","")</f>
        <v/>
      </c>
      <c r="AB6904" s="79" t="str">
        <f>IF(AND(OR(LEFT(TH!N6904,2)="15",LEFT(TH!O6904,2)="15"),LEFT(TH!O6904,3)&lt;&gt;"111",'152-CT'!$J$8=TH!F6904),"x","")</f>
        <v/>
      </c>
      <c r="AC6904" s="79" t="str">
        <f>IF(AND(OR(LEFT(TH!N6904,2)="15",LEFT(TH!O6904,2)="15"),TK!$E$7=TH!F6904),"x","")</f>
        <v/>
      </c>
      <c r="AD6904" s="79" t="str">
        <f>IF(AND(N6904="1521",MONTH(C6904)='BK-NL'!$M$11),"x","")</f>
        <v/>
      </c>
    </row>
    <row r="6905" spans="1:30" ht="16.5" customHeight="1">
      <c r="A6905" s="318" t="str">
        <f>IF(B6905&lt;&gt;"",IF(AND(B6905='IN-TC'!$S$4,OR(TH!N6905="1111",TH!O6905="1111")),TH!D6905,""),"")</f>
        <v/>
      </c>
      <c r="B6905" s="1163" t="str">
        <f t="shared" si="528"/>
        <v/>
      </c>
      <c r="C6905" s="61"/>
      <c r="D6905" s="61"/>
      <c r="E6905" s="61"/>
      <c r="F6905" s="69"/>
      <c r="G6905" s="64"/>
      <c r="H6905" s="69"/>
      <c r="I6905" s="385"/>
      <c r="J6905" s="392"/>
      <c r="K6905" s="385"/>
      <c r="L6905" s="392"/>
      <c r="M6905" s="62"/>
      <c r="N6905" s="63"/>
      <c r="O6905" s="63"/>
      <c r="P6905" s="79" t="str">
        <f>IF(AND('331-CT'!$E$7=TH!H6905,OR(N6905="331",O6905="331")),"x","")</f>
        <v/>
      </c>
      <c r="Q6905" s="79" t="str">
        <f>IF(AND(B6905='111'!$L$11,OR($N6905=$Q$7,$O6905=$Q$7)),"x","")</f>
        <v/>
      </c>
      <c r="R6905" s="79" t="str">
        <f>IF(AND($N6905=$Q$7,$B6905&lt;'111'!$L$11),"x","")</f>
        <v/>
      </c>
      <c r="S6905" s="79" t="str">
        <f>IF(AND($O6905=$Q$7,$B6905&lt;'111'!$L$11),"x","")</f>
        <v/>
      </c>
      <c r="T6905" s="79" t="str">
        <f>IF(ISERROR(FIND('112'!$M$9,G6905,1)),"",IF((AND(FIND('112'!$M$9,G6905,1)&gt;=1,B6905='112'!$K$9,OR($N6905='112'!$I$6,$O6905='112'!$I$6))),"x",""))</f>
        <v/>
      </c>
      <c r="U6905" s="79" t="str">
        <f>IF(ISERROR(FIND('112'!$M$9,G6905,1)),"",IF((AND(LEFT(G6905,2)=LEFT('112'!$M$9,2),B6905&lt;'112'!$K$9,$N6905='112'!$I$6)),"x",""))</f>
        <v/>
      </c>
      <c r="V6905" s="79" t="str">
        <f>IF(ISERROR(FIND('112'!$M$9,G6905,1)),"",IF((AND(RIGHT(G6905,2)=RIGHT('112'!$M$9,2),B6905&lt;'112'!$K$9,$O6905='112'!$I$6)),"x",""))</f>
        <v/>
      </c>
      <c r="W6905" s="79" t="str">
        <f>IF(AND('341-CT'!$H$9=H6905,OR(LEFT(N6905,3)=$W$7,LEFT(O6905,3)=$W$7)),"x","")</f>
        <v/>
      </c>
      <c r="X6905" s="79" t="str">
        <f>IF(OR(TH!N6905=TH!$X$7,O6905=TH!$X$7),"x","")</f>
        <v/>
      </c>
      <c r="Y6905" s="79" t="str">
        <f>IF(AND(OR(N6905="131",O6905="131"),H6905='131-CT'!$H$9),"x","")</f>
        <v/>
      </c>
      <c r="Z6905" s="79"/>
      <c r="AA6905" s="79" t="str">
        <f>IF(AND(MONTH(E6905)='IN-NX'!$J$5,'IN-NX'!$D$7=D6905),"x","")</f>
        <v/>
      </c>
      <c r="AB6905" s="79" t="str">
        <f>IF(AND(OR(LEFT(TH!N6905,2)="15",LEFT(TH!O6905,2)="15"),LEFT(TH!O6905,3)&lt;&gt;"111",'152-CT'!$J$8=TH!F6905),"x","")</f>
        <v/>
      </c>
      <c r="AC6905" s="79" t="str">
        <f>IF(AND(OR(LEFT(TH!N6905,2)="15",LEFT(TH!O6905,2)="15"),TK!$E$7=TH!F6905),"x","")</f>
        <v/>
      </c>
      <c r="AD6905" s="79" t="str">
        <f>IF(AND(N6905="1521",MONTH(C6905)='BK-NL'!$M$11),"x","")</f>
        <v/>
      </c>
    </row>
    <row r="6906" spans="1:30" ht="16.5" customHeight="1">
      <c r="A6906" s="318" t="str">
        <f>IF(B6906&lt;&gt;"",IF(AND(B6906='IN-TC'!$S$4,OR(TH!N6906="1111",TH!O6906="1111")),TH!D6906,""),"")</f>
        <v/>
      </c>
      <c r="B6906" s="1163" t="str">
        <f t="shared" si="528"/>
        <v/>
      </c>
      <c r="C6906" s="61"/>
      <c r="D6906" s="61"/>
      <c r="E6906" s="61"/>
      <c r="F6906" s="69"/>
      <c r="G6906" s="64"/>
      <c r="H6906" s="69"/>
      <c r="I6906" s="385"/>
      <c r="J6906" s="392"/>
      <c r="K6906" s="385"/>
      <c r="L6906" s="392"/>
      <c r="M6906" s="62"/>
      <c r="N6906" s="63"/>
      <c r="O6906" s="63"/>
      <c r="P6906" s="79" t="str">
        <f>IF(AND('331-CT'!$E$7=TH!H6906,OR(N6906="331",O6906="331")),"x","")</f>
        <v/>
      </c>
      <c r="Q6906" s="79" t="str">
        <f>IF(AND(B6906='111'!$L$11,OR($N6906=$Q$7,$O6906=$Q$7)),"x","")</f>
        <v/>
      </c>
      <c r="R6906" s="79" t="str">
        <f>IF(AND($N6906=$Q$7,$B6906&lt;'111'!$L$11),"x","")</f>
        <v/>
      </c>
      <c r="S6906" s="79" t="str">
        <f>IF(AND($O6906=$Q$7,$B6906&lt;'111'!$L$11),"x","")</f>
        <v/>
      </c>
      <c r="T6906" s="79" t="str">
        <f>IF(ISERROR(FIND('112'!$M$9,G6906,1)),"",IF((AND(FIND('112'!$M$9,G6906,1)&gt;=1,B6906='112'!$K$9,OR($N6906='112'!$I$6,$O6906='112'!$I$6))),"x",""))</f>
        <v/>
      </c>
      <c r="U6906" s="79" t="str">
        <f>IF(ISERROR(FIND('112'!$M$9,G6906,1)),"",IF((AND(LEFT(G6906,2)=LEFT('112'!$M$9,2),B6906&lt;'112'!$K$9,$N6906='112'!$I$6)),"x",""))</f>
        <v/>
      </c>
      <c r="V6906" s="79" t="str">
        <f>IF(ISERROR(FIND('112'!$M$9,G6906,1)),"",IF((AND(RIGHT(G6906,2)=RIGHT('112'!$M$9,2),B6906&lt;'112'!$K$9,$O6906='112'!$I$6)),"x",""))</f>
        <v/>
      </c>
      <c r="W6906" s="79" t="str">
        <f>IF(AND('341-CT'!$H$9=H6906,OR(LEFT(N6906,3)=$W$7,LEFT(O6906,3)=$W$7)),"x","")</f>
        <v/>
      </c>
      <c r="X6906" s="79" t="str">
        <f>IF(OR(TH!N6906=TH!$X$7,O6906=TH!$X$7),"x","")</f>
        <v/>
      </c>
      <c r="Y6906" s="79" t="str">
        <f>IF(AND(OR(N6906="131",O6906="131"),H6906='131-CT'!$H$9),"x","")</f>
        <v/>
      </c>
      <c r="Z6906" s="79"/>
      <c r="AA6906" s="79" t="str">
        <f>IF(AND(MONTH(E6906)='IN-NX'!$J$5,'IN-NX'!$D$7=D6906),"x","")</f>
        <v/>
      </c>
      <c r="AB6906" s="79" t="str">
        <f>IF(AND(OR(LEFT(TH!N6906,2)="15",LEFT(TH!O6906,2)="15"),LEFT(TH!O6906,3)&lt;&gt;"111",'152-CT'!$J$8=TH!F6906),"x","")</f>
        <v/>
      </c>
      <c r="AC6906" s="79" t="str">
        <f>IF(AND(OR(LEFT(TH!N6906,2)="15",LEFT(TH!O6906,2)="15"),TK!$E$7=TH!F6906),"x","")</f>
        <v/>
      </c>
      <c r="AD6906" s="79" t="str">
        <f>IF(AND(N6906="1521",MONTH(C6906)='BK-NL'!$M$11),"x","")</f>
        <v/>
      </c>
    </row>
    <row r="6907" spans="1:30" ht="16.5" customHeight="1">
      <c r="A6907" s="318" t="str">
        <f>IF(B6907&lt;&gt;"",IF(AND(B6907='IN-TC'!$S$4,OR(TH!N6907="1111",TH!O6907="1111")),TH!D6907,""),"")</f>
        <v/>
      </c>
      <c r="B6907" s="1163" t="str">
        <f t="shared" si="528"/>
        <v/>
      </c>
      <c r="C6907" s="61"/>
      <c r="D6907" s="61"/>
      <c r="E6907" s="61"/>
      <c r="F6907" s="446"/>
      <c r="G6907" s="64"/>
      <c r="H6907" s="69"/>
      <c r="I6907" s="385"/>
      <c r="J6907" s="392"/>
      <c r="K6907" s="385"/>
      <c r="L6907" s="392"/>
      <c r="M6907" s="62"/>
      <c r="N6907" s="63"/>
      <c r="O6907" s="63"/>
      <c r="P6907" s="79" t="str">
        <f>IF(AND('331-CT'!$E$7=TH!H6907,OR(N6907="331",O6907="331")),"x","")</f>
        <v/>
      </c>
      <c r="Q6907" s="79" t="str">
        <f>IF(AND(B6907='111'!$L$11,OR($N6907=$Q$7,$O6907=$Q$7)),"x","")</f>
        <v/>
      </c>
      <c r="R6907" s="79" t="str">
        <f>IF(AND($N6907=$Q$7,$B6907&lt;'111'!$L$11),"x","")</f>
        <v/>
      </c>
      <c r="S6907" s="79" t="str">
        <f>IF(AND($O6907=$Q$7,$B6907&lt;'111'!$L$11),"x","")</f>
        <v/>
      </c>
      <c r="T6907" s="79" t="str">
        <f>IF(ISERROR(FIND('112'!$M$9,G6907,1)),"",IF((AND(FIND('112'!$M$9,G6907,1)&gt;=1,B6907='112'!$K$9,OR($N6907='112'!$I$6,$O6907='112'!$I$6))),"x",""))</f>
        <v/>
      </c>
      <c r="U6907" s="79" t="str">
        <f>IF(ISERROR(FIND('112'!$M$9,G6907,1)),"",IF((AND(LEFT(G6907,2)=LEFT('112'!$M$9,2),B6907&lt;'112'!$K$9,$N6907='112'!$I$6)),"x",""))</f>
        <v/>
      </c>
      <c r="V6907" s="79" t="str">
        <f>IF(ISERROR(FIND('112'!$M$9,G6907,1)),"",IF((AND(RIGHT(G6907,2)=RIGHT('112'!$M$9,2),B6907&lt;'112'!$K$9,$O6907='112'!$I$6)),"x",""))</f>
        <v/>
      </c>
      <c r="W6907" s="79" t="str">
        <f>IF(AND('341-CT'!$H$9=H6907,OR(LEFT(N6907,3)=$W$7,LEFT(O6907,3)=$W$7)),"x","")</f>
        <v/>
      </c>
      <c r="X6907" s="79" t="str">
        <f>IF(OR(TH!N6907=TH!$X$7,O6907=TH!$X$7),"x","")</f>
        <v/>
      </c>
      <c r="Y6907" s="79" t="str">
        <f>IF(AND(OR(N6907="131",O6907="131"),H6907='131-CT'!$H$9),"x","")</f>
        <v/>
      </c>
      <c r="Z6907" s="79"/>
      <c r="AA6907" s="79" t="str">
        <f>IF(AND(MONTH(E6907)='IN-NX'!$J$5,'IN-NX'!$D$7=D6907),"x","")</f>
        <v/>
      </c>
      <c r="AB6907" s="79" t="str">
        <f>IF(AND(OR(LEFT(TH!N6907,2)="15",LEFT(TH!O6907,2)="15"),LEFT(TH!O6907,3)&lt;&gt;"111",'152-CT'!$J$8=TH!F6907),"x","")</f>
        <v/>
      </c>
      <c r="AC6907" s="79" t="str">
        <f>IF(AND(OR(LEFT(TH!N6907,2)="15",LEFT(TH!O6907,2)="15"),TK!$E$7=TH!F6907),"x","")</f>
        <v/>
      </c>
      <c r="AD6907" s="79" t="str">
        <f>IF(AND(N6907="1521",MONTH(C6907)='BK-NL'!$M$11),"x","")</f>
        <v/>
      </c>
    </row>
    <row r="6908" spans="1:30" ht="16.5" customHeight="1">
      <c r="A6908" s="318" t="str">
        <f>IF(B6908&lt;&gt;"",IF(AND(B6908='IN-TC'!$S$4,OR(TH!N6908="1111",TH!O6908="1111")),TH!D6908,""),"")</f>
        <v/>
      </c>
      <c r="B6908" s="1163" t="str">
        <f t="shared" si="528"/>
        <v/>
      </c>
      <c r="C6908" s="61"/>
      <c r="D6908" s="61"/>
      <c r="E6908" s="61"/>
      <c r="F6908" s="69"/>
      <c r="G6908" s="766"/>
      <c r="H6908" s="69"/>
      <c r="I6908" s="385"/>
      <c r="J6908" s="392"/>
      <c r="K6908" s="385"/>
      <c r="L6908" s="392"/>
      <c r="M6908" s="62"/>
      <c r="N6908" s="63"/>
      <c r="O6908" s="63"/>
      <c r="P6908" s="79" t="str">
        <f>IF(AND('331-CT'!$E$7=TH!H6908,OR(N6908="331",O6908="331")),"x","")</f>
        <v/>
      </c>
      <c r="Q6908" s="79" t="str">
        <f>IF(AND(B6908='111'!$L$11,OR($N6908=$Q$7,$O6908=$Q$7)),"x","")</f>
        <v/>
      </c>
      <c r="R6908" s="79" t="str">
        <f>IF(AND($N6908=$Q$7,$B6908&lt;'111'!$L$11),"x","")</f>
        <v/>
      </c>
      <c r="S6908" s="79" t="str">
        <f>IF(AND($O6908=$Q$7,$B6908&lt;'111'!$L$11),"x","")</f>
        <v/>
      </c>
      <c r="T6908" s="79" t="str">
        <f>IF(ISERROR(FIND('112'!$M$9,G6908,1)),"",IF((AND(FIND('112'!$M$9,G6908,1)&gt;=1,B6908='112'!$K$9,OR($N6908='112'!$I$6,$O6908='112'!$I$6))),"x",""))</f>
        <v/>
      </c>
      <c r="U6908" s="79" t="str">
        <f>IF(ISERROR(FIND('112'!$M$9,G6908,1)),"",IF((AND(LEFT(G6908,2)=LEFT('112'!$M$9,2),B6908&lt;'112'!$K$9,$N6908='112'!$I$6)),"x",""))</f>
        <v/>
      </c>
      <c r="V6908" s="79" t="str">
        <f>IF(ISERROR(FIND('112'!$M$9,G6908,1)),"",IF((AND(RIGHT(G6908,2)=RIGHT('112'!$M$9,2),B6908&lt;'112'!$K$9,$O6908='112'!$I$6)),"x",""))</f>
        <v/>
      </c>
      <c r="W6908" s="79" t="str">
        <f>IF(AND('341-CT'!$H$9=H6908,OR(LEFT(N6908,3)=$W$7,LEFT(O6908,3)=$W$7)),"x","")</f>
        <v/>
      </c>
      <c r="X6908" s="79" t="str">
        <f>IF(OR(TH!N6908=TH!$X$7,O6908=TH!$X$7),"x","")</f>
        <v/>
      </c>
      <c r="Y6908" s="79" t="str">
        <f>IF(AND(OR(N6908="131",O6908="131"),H6908='131-CT'!$H$9),"x","")</f>
        <v/>
      </c>
      <c r="Z6908" s="79"/>
      <c r="AA6908" s="79" t="str">
        <f>IF(AND(MONTH(E6908)='IN-NX'!$J$5,'IN-NX'!$D$7=D6908),"x","")</f>
        <v/>
      </c>
      <c r="AB6908" s="79" t="str">
        <f>IF(AND(OR(LEFT(TH!N6908,2)="15",LEFT(TH!O6908,2)="15"),LEFT(TH!O6908,3)&lt;&gt;"111",'152-CT'!$J$8=TH!F6908),"x","")</f>
        <v/>
      </c>
      <c r="AC6908" s="79" t="str">
        <f>IF(AND(OR(LEFT(TH!N6908,2)="15",LEFT(TH!O6908,2)="15"),TK!$E$7=TH!F6908),"x","")</f>
        <v/>
      </c>
      <c r="AD6908" s="79" t="str">
        <f>IF(AND(N6908="1521",MONTH(C6908)='BK-NL'!$M$11),"x","")</f>
        <v/>
      </c>
    </row>
    <row r="6909" spans="1:30" ht="16.5" customHeight="1">
      <c r="A6909" s="318" t="str">
        <f>IF(B6909&lt;&gt;"",IF(AND(B6909='IN-TC'!$S$4,OR(TH!N6909="1111",TH!O6909="1111")),TH!D6909,""),"")</f>
        <v/>
      </c>
      <c r="B6909" s="1163" t="str">
        <f t="shared" si="528"/>
        <v/>
      </c>
      <c r="C6909" s="61"/>
      <c r="D6909" s="61"/>
      <c r="E6909" s="61"/>
      <c r="F6909" s="69"/>
      <c r="G6909" s="766"/>
      <c r="H6909" s="69"/>
      <c r="I6909" s="385"/>
      <c r="J6909" s="392"/>
      <c r="K6909" s="385"/>
      <c r="L6909" s="392"/>
      <c r="M6909" s="62"/>
      <c r="N6909" s="63"/>
      <c r="O6909" s="63"/>
      <c r="P6909" s="79" t="str">
        <f>IF(AND('331-CT'!$E$7=TH!H6909,OR(N6909="331",O6909="331")),"x","")</f>
        <v/>
      </c>
      <c r="Q6909" s="79" t="str">
        <f>IF(AND(B6909='111'!$L$11,OR($N6909=$Q$7,$O6909=$Q$7)),"x","")</f>
        <v/>
      </c>
      <c r="R6909" s="79" t="str">
        <f>IF(AND($N6909=$Q$7,$B6909&lt;'111'!$L$11),"x","")</f>
        <v/>
      </c>
      <c r="S6909" s="79" t="str">
        <f>IF(AND($O6909=$Q$7,$B6909&lt;'111'!$L$11),"x","")</f>
        <v/>
      </c>
      <c r="T6909" s="79" t="str">
        <f>IF(ISERROR(FIND('112'!$M$9,G6909,1)),"",IF((AND(FIND('112'!$M$9,G6909,1)&gt;=1,B6909='112'!$K$9,OR($N6909='112'!$I$6,$O6909='112'!$I$6))),"x",""))</f>
        <v/>
      </c>
      <c r="U6909" s="79" t="str">
        <f>IF(ISERROR(FIND('112'!$M$9,G6909,1)),"",IF((AND(LEFT(G6909,2)=LEFT('112'!$M$9,2),B6909&lt;'112'!$K$9,$N6909='112'!$I$6)),"x",""))</f>
        <v/>
      </c>
      <c r="V6909" s="79" t="str">
        <f>IF(ISERROR(FIND('112'!$M$9,G6909,1)),"",IF((AND(RIGHT(G6909,2)=RIGHT('112'!$M$9,2),B6909&lt;'112'!$K$9,$O6909='112'!$I$6)),"x",""))</f>
        <v/>
      </c>
      <c r="W6909" s="79" t="str">
        <f>IF(AND('341-CT'!$H$9=H6909,OR(LEFT(N6909,3)=$W$7,LEFT(O6909,3)=$W$7)),"x","")</f>
        <v/>
      </c>
      <c r="X6909" s="79" t="str">
        <f>IF(OR(TH!N6909=TH!$X$7,O6909=TH!$X$7),"x","")</f>
        <v/>
      </c>
      <c r="Y6909" s="79" t="str">
        <f>IF(AND(OR(N6909="131",O6909="131"),H6909='131-CT'!$H$9),"x","")</f>
        <v/>
      </c>
      <c r="Z6909" s="79"/>
      <c r="AA6909" s="79" t="str">
        <f>IF(AND(MONTH(E6909)='IN-NX'!$J$5,'IN-NX'!$D$7=D6909),"x","")</f>
        <v/>
      </c>
      <c r="AB6909" s="79" t="str">
        <f>IF(AND(OR(LEFT(TH!N6909,2)="15",LEFT(TH!O6909,2)="15"),LEFT(TH!O6909,3)&lt;&gt;"111",'152-CT'!$J$8=TH!F6909),"x","")</f>
        <v/>
      </c>
      <c r="AC6909" s="79" t="str">
        <f>IF(AND(OR(LEFT(TH!N6909,2)="15",LEFT(TH!O6909,2)="15"),TK!$E$7=TH!F6909),"x","")</f>
        <v/>
      </c>
      <c r="AD6909" s="79" t="str">
        <f>IF(AND(N6909="1521",MONTH(C6909)='BK-NL'!$M$11),"x","")</f>
        <v/>
      </c>
    </row>
    <row r="6910" spans="1:30" ht="16.5" customHeight="1">
      <c r="A6910" s="318" t="str">
        <f>IF(B6910&lt;&gt;"",IF(AND(B6910='IN-TC'!$S$4,OR(TH!N6910="1111",TH!O6910="1111")),TH!D6910,""),"")</f>
        <v/>
      </c>
      <c r="B6910" s="1163" t="str">
        <f t="shared" si="528"/>
        <v/>
      </c>
      <c r="C6910" s="61"/>
      <c r="D6910" s="61"/>
      <c r="E6910" s="61"/>
      <c r="F6910" s="69"/>
      <c r="G6910" s="766"/>
      <c r="H6910" s="69"/>
      <c r="I6910" s="385"/>
      <c r="J6910" s="392"/>
      <c r="K6910" s="385"/>
      <c r="L6910" s="392"/>
      <c r="M6910" s="62"/>
      <c r="N6910" s="63"/>
      <c r="O6910" s="63"/>
      <c r="P6910" s="79" t="str">
        <f>IF(AND('331-CT'!$E$7=TH!H6910,OR(N6910="331",O6910="331")),"x","")</f>
        <v/>
      </c>
      <c r="Q6910" s="79" t="str">
        <f>IF(AND(B6910='111'!$L$11,OR($N6910=$Q$7,$O6910=$Q$7)),"x","")</f>
        <v/>
      </c>
      <c r="R6910" s="79" t="str">
        <f>IF(AND($N6910=$Q$7,$B6910&lt;'111'!$L$11),"x","")</f>
        <v/>
      </c>
      <c r="S6910" s="79" t="str">
        <f>IF(AND($O6910=$Q$7,$B6910&lt;'111'!$L$11),"x","")</f>
        <v/>
      </c>
      <c r="T6910" s="79" t="str">
        <f>IF(ISERROR(FIND('112'!$M$9,G6910,1)),"",IF((AND(FIND('112'!$M$9,G6910,1)&gt;=1,B6910='112'!$K$9,OR($N6910='112'!$I$6,$O6910='112'!$I$6))),"x",""))</f>
        <v/>
      </c>
      <c r="U6910" s="79" t="str">
        <f>IF(ISERROR(FIND('112'!$M$9,G6910,1)),"",IF((AND(LEFT(G6910,2)=LEFT('112'!$M$9,2),B6910&lt;'112'!$K$9,$N6910='112'!$I$6)),"x",""))</f>
        <v/>
      </c>
      <c r="V6910" s="79" t="str">
        <f>IF(ISERROR(FIND('112'!$M$9,G6910,1)),"",IF((AND(RIGHT(G6910,2)=RIGHT('112'!$M$9,2),B6910&lt;'112'!$K$9,$O6910='112'!$I$6)),"x",""))</f>
        <v/>
      </c>
      <c r="W6910" s="79" t="str">
        <f>IF(AND('341-CT'!$H$9=H6910,OR(LEFT(N6910,3)=$W$7,LEFT(O6910,3)=$W$7)),"x","")</f>
        <v/>
      </c>
      <c r="X6910" s="79" t="str">
        <f>IF(OR(TH!N6910=TH!$X$7,O6910=TH!$X$7),"x","")</f>
        <v/>
      </c>
      <c r="Y6910" s="79" t="str">
        <f>IF(AND(OR(N6910="131",O6910="131"),H6910='131-CT'!$H$9),"x","")</f>
        <v/>
      </c>
      <c r="Z6910" s="79"/>
      <c r="AA6910" s="79" t="str">
        <f>IF(AND(MONTH(E6910)='IN-NX'!$J$5,'IN-NX'!$D$7=D6910),"x","")</f>
        <v/>
      </c>
      <c r="AB6910" s="79" t="str">
        <f>IF(AND(OR(LEFT(TH!N6910,2)="15",LEFT(TH!O6910,2)="15"),LEFT(TH!O6910,3)&lt;&gt;"111",'152-CT'!$J$8=TH!F6910),"x","")</f>
        <v/>
      </c>
      <c r="AC6910" s="79" t="str">
        <f>IF(AND(OR(LEFT(TH!N6910,2)="15",LEFT(TH!O6910,2)="15"),TK!$E$7=TH!F6910),"x","")</f>
        <v/>
      </c>
      <c r="AD6910" s="79" t="str">
        <f>IF(AND(N6910="1521",MONTH(C6910)='BK-NL'!$M$11),"x","")</f>
        <v/>
      </c>
    </row>
    <row r="6911" spans="1:30" ht="16.5" customHeight="1">
      <c r="A6911" s="318" t="str">
        <f>IF(B6911&lt;&gt;"",IF(AND(B6911='IN-TC'!$S$4,OR(TH!N6911="1111",TH!O6911="1111")),TH!D6911,""),"")</f>
        <v/>
      </c>
      <c r="B6911" s="1163" t="str">
        <f t="shared" si="528"/>
        <v/>
      </c>
      <c r="C6911" s="61"/>
      <c r="D6911" s="61"/>
      <c r="E6911" s="61"/>
      <c r="F6911" s="69"/>
      <c r="G6911" s="64"/>
      <c r="H6911" s="69"/>
      <c r="I6911" s="385"/>
      <c r="J6911" s="392"/>
      <c r="K6911" s="385"/>
      <c r="L6911" s="392"/>
      <c r="M6911" s="62"/>
      <c r="N6911" s="63"/>
      <c r="O6911" s="63"/>
      <c r="P6911" s="79" t="str">
        <f>IF(AND('331-CT'!$E$7=TH!H6911,OR(N6911="331",O6911="331")),"x","")</f>
        <v/>
      </c>
      <c r="Q6911" s="79" t="str">
        <f>IF(AND(B6911='111'!$L$11,OR($N6911=$Q$7,$O6911=$Q$7)),"x","")</f>
        <v/>
      </c>
      <c r="R6911" s="79" t="str">
        <f>IF(AND($N6911=$Q$7,$B6911&lt;'111'!$L$11),"x","")</f>
        <v/>
      </c>
      <c r="S6911" s="79" t="str">
        <f>IF(AND($O6911=$Q$7,$B6911&lt;'111'!$L$11),"x","")</f>
        <v/>
      </c>
      <c r="T6911" s="79" t="str">
        <f>IF(ISERROR(FIND('112'!$M$9,G6911,1)),"",IF((AND(FIND('112'!$M$9,G6911,1)&gt;=1,B6911='112'!$K$9,OR($N6911='112'!$I$6,$O6911='112'!$I$6))),"x",""))</f>
        <v/>
      </c>
      <c r="U6911" s="79" t="str">
        <f>IF(ISERROR(FIND('112'!$M$9,G6911,1)),"",IF((AND(LEFT(G6911,2)=LEFT('112'!$M$9,2),B6911&lt;'112'!$K$9,$N6911='112'!$I$6)),"x",""))</f>
        <v/>
      </c>
      <c r="V6911" s="79" t="str">
        <f>IF(ISERROR(FIND('112'!$M$9,G6911,1)),"",IF((AND(RIGHT(G6911,2)=RIGHT('112'!$M$9,2),B6911&lt;'112'!$K$9,$O6911='112'!$I$6)),"x",""))</f>
        <v/>
      </c>
      <c r="W6911" s="79" t="str">
        <f>IF(AND('341-CT'!$H$9=H6911,OR(LEFT(N6911,3)=$W$7,LEFT(O6911,3)=$W$7)),"x","")</f>
        <v/>
      </c>
      <c r="X6911" s="79" t="str">
        <f>IF(OR(TH!N6911=TH!$X$7,O6911=TH!$X$7),"x","")</f>
        <v/>
      </c>
      <c r="Y6911" s="79" t="str">
        <f>IF(AND(OR(N6911="131",O6911="131"),H6911='131-CT'!$H$9),"x","")</f>
        <v/>
      </c>
      <c r="Z6911" s="79"/>
      <c r="AA6911" s="79" t="str">
        <f>IF(AND(MONTH(E6911)='IN-NX'!$J$5,'IN-NX'!$D$7=D6911),"x","")</f>
        <v/>
      </c>
      <c r="AB6911" s="79" t="str">
        <f>IF(AND(OR(LEFT(TH!N6911,2)="15",LEFT(TH!O6911,2)="15"),LEFT(TH!O6911,3)&lt;&gt;"111",'152-CT'!$J$8=TH!F6911),"x","")</f>
        <v/>
      </c>
      <c r="AC6911" s="79" t="str">
        <f>IF(AND(OR(LEFT(TH!N6911,2)="15",LEFT(TH!O6911,2)="15"),TK!$E$7=TH!F6911),"x","")</f>
        <v/>
      </c>
      <c r="AD6911" s="79" t="str">
        <f>IF(AND(N6911="1521",MONTH(C6911)='BK-NL'!$M$11),"x","")</f>
        <v/>
      </c>
    </row>
    <row r="6912" spans="1:30" ht="16.5" customHeight="1">
      <c r="A6912" s="318" t="str">
        <f>IF(B6912&lt;&gt;"",IF(AND(B6912='IN-TC'!$S$4,OR(TH!N6912="1111",TH!O6912="1111")),TH!D6912,""),"")</f>
        <v/>
      </c>
      <c r="B6912" s="1163" t="str">
        <f t="shared" si="528"/>
        <v/>
      </c>
      <c r="C6912" s="61"/>
      <c r="D6912" s="61"/>
      <c r="E6912" s="61"/>
      <c r="F6912" s="69"/>
      <c r="G6912" s="64"/>
      <c r="H6912" s="69"/>
      <c r="I6912" s="385"/>
      <c r="J6912" s="392"/>
      <c r="K6912" s="385"/>
      <c r="L6912" s="392"/>
      <c r="M6912" s="62"/>
      <c r="N6912" s="63"/>
      <c r="O6912" s="63"/>
      <c r="P6912" s="79" t="str">
        <f>IF(AND('331-CT'!$E$7=TH!H6912,OR(N6912="331",O6912="331")),"x","")</f>
        <v/>
      </c>
      <c r="Q6912" s="79" t="str">
        <f>IF(AND(B6912='111'!$L$11,OR($N6912=$Q$7,$O6912=$Q$7)),"x","")</f>
        <v/>
      </c>
      <c r="R6912" s="79" t="str">
        <f>IF(AND($N6912=$Q$7,$B6912&lt;'111'!$L$11),"x","")</f>
        <v/>
      </c>
      <c r="S6912" s="79" t="str">
        <f>IF(AND($O6912=$Q$7,$B6912&lt;'111'!$L$11),"x","")</f>
        <v/>
      </c>
      <c r="T6912" s="79" t="str">
        <f>IF(ISERROR(FIND('112'!$M$9,G6912,1)),"",IF((AND(FIND('112'!$M$9,G6912,1)&gt;=1,B6912='112'!$K$9,OR($N6912='112'!$I$6,$O6912='112'!$I$6))),"x",""))</f>
        <v/>
      </c>
      <c r="U6912" s="79" t="str">
        <f>IF(ISERROR(FIND('112'!$M$9,G6912,1)),"",IF((AND(LEFT(G6912,2)=LEFT('112'!$M$9,2),B6912&lt;'112'!$K$9,$N6912='112'!$I$6)),"x",""))</f>
        <v/>
      </c>
      <c r="V6912" s="79" t="str">
        <f>IF(ISERROR(FIND('112'!$M$9,G6912,1)),"",IF((AND(RIGHT(G6912,2)=RIGHT('112'!$M$9,2),B6912&lt;'112'!$K$9,$O6912='112'!$I$6)),"x",""))</f>
        <v/>
      </c>
      <c r="W6912" s="79" t="str">
        <f>IF(AND('341-CT'!$H$9=H6912,OR(LEFT(N6912,3)=$W$7,LEFT(O6912,3)=$W$7)),"x","")</f>
        <v/>
      </c>
      <c r="X6912" s="79" t="str">
        <f>IF(OR(TH!N6912=TH!$X$7,O6912=TH!$X$7),"x","")</f>
        <v/>
      </c>
      <c r="Y6912" s="79" t="str">
        <f>IF(AND(OR(N6912="131",O6912="131"),H6912='131-CT'!$H$9),"x","")</f>
        <v/>
      </c>
      <c r="Z6912" s="79"/>
      <c r="AA6912" s="79" t="str">
        <f>IF(AND(MONTH(E6912)='IN-NX'!$J$5,'IN-NX'!$D$7=D6912),"x","")</f>
        <v/>
      </c>
      <c r="AB6912" s="79" t="str">
        <f>IF(AND(OR(LEFT(TH!N6912,2)="15",LEFT(TH!O6912,2)="15"),LEFT(TH!O6912,3)&lt;&gt;"111",'152-CT'!$J$8=TH!F6912),"x","")</f>
        <v/>
      </c>
      <c r="AC6912" s="79" t="str">
        <f>IF(AND(OR(LEFT(TH!N6912,2)="15",LEFT(TH!O6912,2)="15"),TK!$E$7=TH!F6912),"x","")</f>
        <v/>
      </c>
      <c r="AD6912" s="79" t="str">
        <f>IF(AND(N6912="1521",MONTH(C6912)='BK-NL'!$M$11),"x","")</f>
        <v/>
      </c>
    </row>
    <row r="6913" spans="1:30" ht="16.5" customHeight="1">
      <c r="A6913" s="318" t="str">
        <f>IF(B6913&lt;&gt;"",IF(AND(B6913='IN-TC'!$S$4,OR(TH!N6913="1111",TH!O6913="1111")),TH!D6913,""),"")</f>
        <v/>
      </c>
      <c r="B6913" s="1163" t="str">
        <f t="shared" si="528"/>
        <v/>
      </c>
      <c r="C6913" s="61"/>
      <c r="D6913" s="61"/>
      <c r="E6913" s="61"/>
      <c r="F6913" s="69"/>
      <c r="G6913" s="64"/>
      <c r="H6913" s="69"/>
      <c r="I6913" s="385"/>
      <c r="J6913" s="392"/>
      <c r="K6913" s="385"/>
      <c r="L6913" s="392"/>
      <c r="M6913" s="62"/>
      <c r="N6913" s="63"/>
      <c r="O6913" s="63"/>
      <c r="P6913" s="79" t="str">
        <f>IF(AND('331-CT'!$E$7=TH!H6913,OR(N6913="331",O6913="331")),"x","")</f>
        <v/>
      </c>
      <c r="Q6913" s="79" t="str">
        <f>IF(AND(B6913='111'!$L$11,OR($N6913=$Q$7,$O6913=$Q$7)),"x","")</f>
        <v/>
      </c>
      <c r="R6913" s="79" t="str">
        <f>IF(AND($N6913=$Q$7,$B6913&lt;'111'!$L$11),"x","")</f>
        <v/>
      </c>
      <c r="S6913" s="79" t="str">
        <f>IF(AND($O6913=$Q$7,$B6913&lt;'111'!$L$11),"x","")</f>
        <v/>
      </c>
      <c r="T6913" s="79" t="str">
        <f>IF(ISERROR(FIND('112'!$M$9,G6913,1)),"",IF((AND(FIND('112'!$M$9,G6913,1)&gt;=1,B6913='112'!$K$9,OR($N6913='112'!$I$6,$O6913='112'!$I$6))),"x",""))</f>
        <v/>
      </c>
      <c r="U6913" s="79" t="str">
        <f>IF(ISERROR(FIND('112'!$M$9,G6913,1)),"",IF((AND(LEFT(G6913,2)=LEFT('112'!$M$9,2),B6913&lt;'112'!$K$9,$N6913='112'!$I$6)),"x",""))</f>
        <v/>
      </c>
      <c r="V6913" s="79" t="str">
        <f>IF(ISERROR(FIND('112'!$M$9,G6913,1)),"",IF((AND(RIGHT(G6913,2)=RIGHT('112'!$M$9,2),B6913&lt;'112'!$K$9,$O6913='112'!$I$6)),"x",""))</f>
        <v/>
      </c>
      <c r="W6913" s="79" t="str">
        <f>IF(AND('341-CT'!$H$9=H6913,OR(LEFT(N6913,3)=$W$7,LEFT(O6913,3)=$W$7)),"x","")</f>
        <v/>
      </c>
      <c r="X6913" s="79" t="str">
        <f>IF(OR(TH!N6913=TH!$X$7,O6913=TH!$X$7),"x","")</f>
        <v/>
      </c>
      <c r="Y6913" s="79" t="str">
        <f>IF(AND(OR(N6913="131",O6913="131"),H6913='131-CT'!$H$9),"x","")</f>
        <v/>
      </c>
      <c r="Z6913" s="79"/>
      <c r="AA6913" s="79" t="str">
        <f>IF(AND(MONTH(E6913)='IN-NX'!$J$5,'IN-NX'!$D$7=D6913),"x","")</f>
        <v/>
      </c>
      <c r="AB6913" s="79" t="str">
        <f>IF(AND(OR(LEFT(TH!N6913,2)="15",LEFT(TH!O6913,2)="15"),LEFT(TH!O6913,3)&lt;&gt;"111",'152-CT'!$J$8=TH!F6913),"x","")</f>
        <v/>
      </c>
      <c r="AC6913" s="79" t="str">
        <f>IF(AND(OR(LEFT(TH!N6913,2)="15",LEFT(TH!O6913,2)="15"),TK!$E$7=TH!F6913),"x","")</f>
        <v/>
      </c>
      <c r="AD6913" s="79" t="str">
        <f>IF(AND(N6913="1521",MONTH(C6913)='BK-NL'!$M$11),"x","")</f>
        <v/>
      </c>
    </row>
    <row r="6914" spans="1:30" ht="16.5" customHeight="1">
      <c r="A6914" s="318" t="str">
        <f>IF(B6914&lt;&gt;"",IF(AND(B6914='IN-TC'!$S$4,OR(TH!N6914="1111",TH!O6914="1111")),TH!D6914,""),"")</f>
        <v/>
      </c>
      <c r="B6914" s="1163" t="str">
        <f t="shared" si="528"/>
        <v/>
      </c>
      <c r="C6914" s="61"/>
      <c r="D6914" s="61"/>
      <c r="E6914" s="61"/>
      <c r="F6914" s="69"/>
      <c r="G6914" s="766"/>
      <c r="H6914" s="69"/>
      <c r="I6914" s="385"/>
      <c r="J6914" s="392"/>
      <c r="K6914" s="385"/>
      <c r="L6914" s="392"/>
      <c r="M6914" s="62"/>
      <c r="N6914" s="63"/>
      <c r="O6914" s="63"/>
      <c r="P6914" s="79" t="str">
        <f>IF(AND('331-CT'!$E$7=TH!H6914,OR(N6914="331",O6914="331")),"x","")</f>
        <v/>
      </c>
      <c r="Q6914" s="79" t="str">
        <f>IF(AND(B6914='111'!$L$11,OR($N6914=$Q$7,$O6914=$Q$7)),"x","")</f>
        <v/>
      </c>
      <c r="R6914" s="79" t="str">
        <f>IF(AND($N6914=$Q$7,$B6914&lt;'111'!$L$11),"x","")</f>
        <v/>
      </c>
      <c r="S6914" s="79" t="str">
        <f>IF(AND($O6914=$Q$7,$B6914&lt;'111'!$L$11),"x","")</f>
        <v/>
      </c>
      <c r="T6914" s="79" t="str">
        <f>IF(ISERROR(FIND('112'!$M$9,G6914,1)),"",IF((AND(FIND('112'!$M$9,G6914,1)&gt;=1,B6914='112'!$K$9,OR($N6914='112'!$I$6,$O6914='112'!$I$6))),"x",""))</f>
        <v/>
      </c>
      <c r="U6914" s="79" t="str">
        <f>IF(ISERROR(FIND('112'!$M$9,G6914,1)),"",IF((AND(LEFT(G6914,2)=LEFT('112'!$M$9,2),B6914&lt;'112'!$K$9,$N6914='112'!$I$6)),"x",""))</f>
        <v/>
      </c>
      <c r="V6914" s="79" t="str">
        <f>IF(ISERROR(FIND('112'!$M$9,G6914,1)),"",IF((AND(RIGHT(G6914,2)=RIGHT('112'!$M$9,2),B6914&lt;'112'!$K$9,$O6914='112'!$I$6)),"x",""))</f>
        <v/>
      </c>
      <c r="W6914" s="79" t="str">
        <f>IF(AND('341-CT'!$H$9=H6914,OR(LEFT(N6914,3)=$W$7,LEFT(O6914,3)=$W$7)),"x","")</f>
        <v/>
      </c>
      <c r="X6914" s="79" t="str">
        <f>IF(OR(TH!N6914=TH!$X$7,O6914=TH!$X$7),"x","")</f>
        <v/>
      </c>
      <c r="Y6914" s="79" t="str">
        <f>IF(AND(OR(N6914="131",O6914="131"),H6914='131-CT'!$H$9),"x","")</f>
        <v/>
      </c>
      <c r="Z6914" s="79"/>
      <c r="AA6914" s="79" t="str">
        <f>IF(AND(MONTH(E6914)='IN-NX'!$J$5,'IN-NX'!$D$7=D6914),"x","")</f>
        <v/>
      </c>
      <c r="AB6914" s="79" t="str">
        <f>IF(AND(OR(LEFT(TH!N6914,2)="15",LEFT(TH!O6914,2)="15"),LEFT(TH!O6914,3)&lt;&gt;"111",'152-CT'!$J$8=TH!F6914),"x","")</f>
        <v/>
      </c>
      <c r="AC6914" s="79" t="str">
        <f>IF(AND(OR(LEFT(TH!N6914,2)="15",LEFT(TH!O6914,2)="15"),TK!$E$7=TH!F6914),"x","")</f>
        <v/>
      </c>
      <c r="AD6914" s="79" t="str">
        <f>IF(AND(N6914="1521",MONTH(C6914)='BK-NL'!$M$11),"x","")</f>
        <v/>
      </c>
    </row>
    <row r="6915" spans="1:30" ht="16.5" customHeight="1">
      <c r="A6915" s="318" t="str">
        <f>IF(B6915&lt;&gt;"",IF(AND(B6915='IN-TC'!$S$4,OR(TH!N6915="1111",TH!O6915="1111")),TH!D6915,""),"")</f>
        <v/>
      </c>
      <c r="B6915" s="1163" t="str">
        <f t="shared" ref="B6915:B6978" si="529">IF(C6915&lt;&gt;"",MONTH(C6915),"")</f>
        <v/>
      </c>
      <c r="C6915" s="61"/>
      <c r="D6915" s="61"/>
      <c r="E6915" s="61"/>
      <c r="F6915" s="69"/>
      <c r="G6915" s="766"/>
      <c r="H6915" s="69"/>
      <c r="I6915" s="385"/>
      <c r="J6915" s="392"/>
      <c r="K6915" s="385"/>
      <c r="L6915" s="392"/>
      <c r="M6915" s="62"/>
      <c r="N6915" s="63"/>
      <c r="O6915" s="63"/>
      <c r="P6915" s="79" t="str">
        <f>IF(AND('331-CT'!$E$7=TH!H6915,OR(N6915="331",O6915="331")),"x","")</f>
        <v/>
      </c>
      <c r="Q6915" s="79" t="str">
        <f>IF(AND(B6915='111'!$L$11,OR($N6915=$Q$7,$O6915=$Q$7)),"x","")</f>
        <v/>
      </c>
      <c r="R6915" s="79" t="str">
        <f>IF(AND($N6915=$Q$7,$B6915&lt;'111'!$L$11),"x","")</f>
        <v/>
      </c>
      <c r="S6915" s="79" t="str">
        <f>IF(AND($O6915=$Q$7,$B6915&lt;'111'!$L$11),"x","")</f>
        <v/>
      </c>
      <c r="T6915" s="79" t="str">
        <f>IF(ISERROR(FIND('112'!$M$9,G6915,1)),"",IF((AND(FIND('112'!$M$9,G6915,1)&gt;=1,B6915='112'!$K$9,OR($N6915='112'!$I$6,$O6915='112'!$I$6))),"x",""))</f>
        <v/>
      </c>
      <c r="U6915" s="79" t="str">
        <f>IF(ISERROR(FIND('112'!$M$9,G6915,1)),"",IF((AND(LEFT(G6915,2)=LEFT('112'!$M$9,2),B6915&lt;'112'!$K$9,$N6915='112'!$I$6)),"x",""))</f>
        <v/>
      </c>
      <c r="V6915" s="79" t="str">
        <f>IF(ISERROR(FIND('112'!$M$9,G6915,1)),"",IF((AND(RIGHT(G6915,2)=RIGHT('112'!$M$9,2),B6915&lt;'112'!$K$9,$O6915='112'!$I$6)),"x",""))</f>
        <v/>
      </c>
      <c r="W6915" s="79" t="str">
        <f>IF(AND('341-CT'!$H$9=H6915,OR(LEFT(N6915,3)=$W$7,LEFT(O6915,3)=$W$7)),"x","")</f>
        <v/>
      </c>
      <c r="X6915" s="79" t="str">
        <f>IF(OR(TH!N6915=TH!$X$7,O6915=TH!$X$7),"x","")</f>
        <v/>
      </c>
      <c r="Y6915" s="79" t="str">
        <f>IF(AND(OR(N6915="131",O6915="131"),H6915='131-CT'!$H$9),"x","")</f>
        <v/>
      </c>
      <c r="Z6915" s="79"/>
      <c r="AA6915" s="79" t="str">
        <f>IF(AND(MONTH(E6915)='IN-NX'!$J$5,'IN-NX'!$D$7=D6915),"x","")</f>
        <v/>
      </c>
      <c r="AB6915" s="79" t="str">
        <f>IF(AND(OR(LEFT(TH!N6915,2)="15",LEFT(TH!O6915,2)="15"),LEFT(TH!O6915,3)&lt;&gt;"111",'152-CT'!$J$8=TH!F6915),"x","")</f>
        <v/>
      </c>
      <c r="AC6915" s="79" t="str">
        <f>IF(AND(OR(LEFT(TH!N6915,2)="15",LEFT(TH!O6915,2)="15"),TK!$E$7=TH!F6915),"x","")</f>
        <v/>
      </c>
      <c r="AD6915" s="79" t="str">
        <f>IF(AND(N6915="1521",MONTH(C6915)='BK-NL'!$M$11),"x","")</f>
        <v/>
      </c>
    </row>
    <row r="6916" spans="1:30" ht="16.5" customHeight="1">
      <c r="A6916" s="318" t="str">
        <f>IF(B6916&lt;&gt;"",IF(AND(B6916='IN-TC'!$S$4,OR(TH!N6916="1111",TH!O6916="1111")),TH!D6916,""),"")</f>
        <v/>
      </c>
      <c r="B6916" s="1163" t="str">
        <f t="shared" si="529"/>
        <v/>
      </c>
      <c r="C6916" s="61"/>
      <c r="D6916" s="61"/>
      <c r="E6916" s="61"/>
      <c r="F6916" s="69"/>
      <c r="G6916" s="64"/>
      <c r="H6916" s="69"/>
      <c r="I6916" s="385"/>
      <c r="J6916" s="392"/>
      <c r="K6916" s="385"/>
      <c r="L6916" s="392"/>
      <c r="M6916" s="62"/>
      <c r="N6916" s="63"/>
      <c r="O6916" s="63"/>
      <c r="P6916" s="79" t="str">
        <f>IF(AND('331-CT'!$E$7=TH!H6916,OR(N6916="331",O6916="331")),"x","")</f>
        <v/>
      </c>
      <c r="Q6916" s="79" t="str">
        <f>IF(AND(B6916='111'!$L$11,OR($N6916=$Q$7,$O6916=$Q$7)),"x","")</f>
        <v/>
      </c>
      <c r="R6916" s="79" t="str">
        <f>IF(AND($N6916=$Q$7,$B6916&lt;'111'!$L$11),"x","")</f>
        <v/>
      </c>
      <c r="S6916" s="79" t="str">
        <f>IF(AND($O6916=$Q$7,$B6916&lt;'111'!$L$11),"x","")</f>
        <v/>
      </c>
      <c r="T6916" s="79" t="str">
        <f>IF(ISERROR(FIND('112'!$M$9,G6916,1)),"",IF((AND(FIND('112'!$M$9,G6916,1)&gt;=1,B6916='112'!$K$9,OR($N6916='112'!$I$6,$O6916='112'!$I$6))),"x",""))</f>
        <v/>
      </c>
      <c r="U6916" s="79" t="str">
        <f>IF(ISERROR(FIND('112'!$M$9,G6916,1)),"",IF((AND(LEFT(G6916,2)=LEFT('112'!$M$9,2),B6916&lt;'112'!$K$9,$N6916='112'!$I$6)),"x",""))</f>
        <v/>
      </c>
      <c r="V6916" s="79" t="str">
        <f>IF(ISERROR(FIND('112'!$M$9,G6916,1)),"",IF((AND(RIGHT(G6916,2)=RIGHT('112'!$M$9,2),B6916&lt;'112'!$K$9,$O6916='112'!$I$6)),"x",""))</f>
        <v/>
      </c>
      <c r="W6916" s="79" t="str">
        <f>IF(AND('341-CT'!$H$9=H6916,OR(LEFT(N6916,3)=$W$7,LEFT(O6916,3)=$W$7)),"x","")</f>
        <v/>
      </c>
      <c r="X6916" s="79" t="str">
        <f>IF(OR(TH!N6916=TH!$X$7,O6916=TH!$X$7),"x","")</f>
        <v/>
      </c>
      <c r="Y6916" s="79" t="str">
        <f>IF(AND(OR(N6916="131",O6916="131"),H6916='131-CT'!$H$9),"x","")</f>
        <v/>
      </c>
      <c r="Z6916" s="79"/>
      <c r="AA6916" s="79" t="str">
        <f>IF(AND(MONTH(E6916)='IN-NX'!$J$5,'IN-NX'!$D$7=D6916),"x","")</f>
        <v/>
      </c>
      <c r="AB6916" s="79" t="str">
        <f>IF(AND(OR(LEFT(TH!N6916,2)="15",LEFT(TH!O6916,2)="15"),LEFT(TH!O6916,3)&lt;&gt;"111",'152-CT'!$J$8=TH!F6916),"x","")</f>
        <v/>
      </c>
      <c r="AC6916" s="79" t="str">
        <f>IF(AND(OR(LEFT(TH!N6916,2)="15",LEFT(TH!O6916,2)="15"),TK!$E$7=TH!F6916),"x","")</f>
        <v/>
      </c>
      <c r="AD6916" s="79" t="str">
        <f>IF(AND(N6916="1521",MONTH(C6916)='BK-NL'!$M$11),"x","")</f>
        <v/>
      </c>
    </row>
    <row r="6917" spans="1:30" ht="16.5" customHeight="1">
      <c r="A6917" s="318" t="str">
        <f>IF(B6917&lt;&gt;"",IF(AND(B6917='IN-TC'!$S$4,OR(TH!N6917="1111",TH!O6917="1111")),TH!D6917,""),"")</f>
        <v/>
      </c>
      <c r="B6917" s="1163" t="str">
        <f t="shared" si="529"/>
        <v/>
      </c>
      <c r="C6917" s="61"/>
      <c r="D6917" s="61"/>
      <c r="E6917" s="61"/>
      <c r="F6917" s="69"/>
      <c r="G6917" s="64"/>
      <c r="H6917" s="69"/>
      <c r="I6917" s="385"/>
      <c r="J6917" s="392"/>
      <c r="K6917" s="385"/>
      <c r="L6917" s="392"/>
      <c r="M6917" s="62"/>
      <c r="N6917" s="63"/>
      <c r="O6917" s="63"/>
      <c r="P6917" s="79" t="str">
        <f>IF(AND('331-CT'!$E$7=TH!H6917,OR(N6917="331",O6917="331")),"x","")</f>
        <v/>
      </c>
      <c r="Q6917" s="79" t="str">
        <f>IF(AND(B6917='111'!$L$11,OR($N6917=$Q$7,$O6917=$Q$7)),"x","")</f>
        <v/>
      </c>
      <c r="R6917" s="79" t="str">
        <f>IF(AND($N6917=$Q$7,$B6917&lt;'111'!$L$11),"x","")</f>
        <v/>
      </c>
      <c r="S6917" s="79" t="str">
        <f>IF(AND($O6917=$Q$7,$B6917&lt;'111'!$L$11),"x","")</f>
        <v/>
      </c>
      <c r="T6917" s="79" t="str">
        <f>IF(ISERROR(FIND('112'!$M$9,G6917,1)),"",IF((AND(FIND('112'!$M$9,G6917,1)&gt;=1,B6917='112'!$K$9,OR($N6917='112'!$I$6,$O6917='112'!$I$6))),"x",""))</f>
        <v/>
      </c>
      <c r="U6917" s="79" t="str">
        <f>IF(ISERROR(FIND('112'!$M$9,G6917,1)),"",IF((AND(LEFT(G6917,2)=LEFT('112'!$M$9,2),B6917&lt;'112'!$K$9,$N6917='112'!$I$6)),"x",""))</f>
        <v/>
      </c>
      <c r="V6917" s="79" t="str">
        <f>IF(ISERROR(FIND('112'!$M$9,G6917,1)),"",IF((AND(RIGHT(G6917,2)=RIGHT('112'!$M$9,2),B6917&lt;'112'!$K$9,$O6917='112'!$I$6)),"x",""))</f>
        <v/>
      </c>
      <c r="W6917" s="79" t="str">
        <f>IF(AND('341-CT'!$H$9=H6917,OR(LEFT(N6917,3)=$W$7,LEFT(O6917,3)=$W$7)),"x","")</f>
        <v/>
      </c>
      <c r="X6917" s="79" t="str">
        <f>IF(OR(TH!N6917=TH!$X$7,O6917=TH!$X$7),"x","")</f>
        <v/>
      </c>
      <c r="Y6917" s="79" t="str">
        <f>IF(AND(OR(N6917="131",O6917="131"),H6917='131-CT'!$H$9),"x","")</f>
        <v/>
      </c>
      <c r="Z6917" s="79"/>
      <c r="AA6917" s="79" t="str">
        <f>IF(AND(MONTH(E6917)='IN-NX'!$J$5,'IN-NX'!$D$7=D6917),"x","")</f>
        <v/>
      </c>
      <c r="AB6917" s="79" t="str">
        <f>IF(AND(OR(LEFT(TH!N6917,2)="15",LEFT(TH!O6917,2)="15"),LEFT(TH!O6917,3)&lt;&gt;"111",'152-CT'!$J$8=TH!F6917),"x","")</f>
        <v/>
      </c>
      <c r="AC6917" s="79" t="str">
        <f>IF(AND(OR(LEFT(TH!N6917,2)="15",LEFT(TH!O6917,2)="15"),TK!$E$7=TH!F6917),"x","")</f>
        <v/>
      </c>
      <c r="AD6917" s="79" t="str">
        <f>IF(AND(N6917="1521",MONTH(C6917)='BK-NL'!$M$11),"x","")</f>
        <v/>
      </c>
    </row>
    <row r="6918" spans="1:30" ht="16.5" customHeight="1">
      <c r="A6918" s="318" t="str">
        <f>IF(B6918&lt;&gt;"",IF(AND(B6918='IN-TC'!$S$4,OR(TH!N6918="1111",TH!O6918="1111")),TH!D6918,""),"")</f>
        <v/>
      </c>
      <c r="B6918" s="1163" t="str">
        <f t="shared" si="529"/>
        <v/>
      </c>
      <c r="C6918" s="61"/>
      <c r="D6918" s="61"/>
      <c r="E6918" s="61"/>
      <c r="F6918" s="69"/>
      <c r="G6918" s="64"/>
      <c r="H6918" s="321"/>
      <c r="I6918" s="385"/>
      <c r="J6918" s="392"/>
      <c r="K6918" s="385"/>
      <c r="L6918" s="392"/>
      <c r="M6918" s="62"/>
      <c r="N6918" s="63"/>
      <c r="O6918" s="63"/>
      <c r="P6918" s="79" t="str">
        <f>IF(AND('331-CT'!$E$7=TH!H6918,OR(N6918="331",O6918="331")),"x","")</f>
        <v/>
      </c>
      <c r="Q6918" s="79" t="str">
        <f>IF(AND(B6918='111'!$L$11,OR($N6918=$Q$7,$O6918=$Q$7)),"x","")</f>
        <v/>
      </c>
      <c r="R6918" s="79" t="str">
        <f>IF(AND($N6918=$Q$7,$B6918&lt;'111'!$L$11),"x","")</f>
        <v/>
      </c>
      <c r="S6918" s="79" t="str">
        <f>IF(AND($O6918=$Q$7,$B6918&lt;'111'!$L$11),"x","")</f>
        <v/>
      </c>
      <c r="T6918" s="79" t="str">
        <f>IF(ISERROR(FIND('112'!$M$9,G6918,1)),"",IF((AND(FIND('112'!$M$9,G6918,1)&gt;=1,B6918='112'!$K$9,OR($N6918='112'!$I$6,$O6918='112'!$I$6))),"x",""))</f>
        <v/>
      </c>
      <c r="U6918" s="79" t="str">
        <f>IF(ISERROR(FIND('112'!$M$9,G6918,1)),"",IF((AND(LEFT(G6918,2)=LEFT('112'!$M$9,2),B6918&lt;'112'!$K$9,$N6918='112'!$I$6)),"x",""))</f>
        <v/>
      </c>
      <c r="V6918" s="79" t="str">
        <f>IF(ISERROR(FIND('112'!$M$9,G6918,1)),"",IF((AND(RIGHT(G6918,2)=RIGHT('112'!$M$9,2),B6918&lt;'112'!$K$9,$O6918='112'!$I$6)),"x",""))</f>
        <v/>
      </c>
      <c r="W6918" s="79" t="str">
        <f>IF(AND('341-CT'!$H$9=H6918,OR(LEFT(N6918,3)=$W$7,LEFT(O6918,3)=$W$7)),"x","")</f>
        <v/>
      </c>
      <c r="X6918" s="79" t="str">
        <f>IF(OR(TH!N6918=TH!$X$7,O6918=TH!$X$7),"x","")</f>
        <v/>
      </c>
      <c r="Y6918" s="79" t="str">
        <f>IF(AND(OR(N6918="131",O6918="131"),H6918='131-CT'!$H$9),"x","")</f>
        <v/>
      </c>
      <c r="Z6918" s="79"/>
      <c r="AA6918" s="79" t="str">
        <f>IF(AND(MONTH(E6918)='IN-NX'!$J$5,'IN-NX'!$D$7=D6918),"x","")</f>
        <v/>
      </c>
      <c r="AB6918" s="79" t="str">
        <f>IF(AND(OR(LEFT(TH!N6918,2)="15",LEFT(TH!O6918,2)="15"),LEFT(TH!O6918,3)&lt;&gt;"111",'152-CT'!$J$8=TH!F6918),"x","")</f>
        <v/>
      </c>
      <c r="AC6918" s="79" t="str">
        <f>IF(AND(OR(LEFT(TH!N6918,2)="15",LEFT(TH!O6918,2)="15"),TK!$E$7=TH!F6918),"x","")</f>
        <v/>
      </c>
      <c r="AD6918" s="79" t="str">
        <f>IF(AND(N6918="1521",MONTH(C6918)='BK-NL'!$M$11),"x","")</f>
        <v/>
      </c>
    </row>
    <row r="6919" spans="1:30" ht="16.5" customHeight="1">
      <c r="A6919" s="318" t="str">
        <f>IF(B6919&lt;&gt;"",IF(AND(B6919='IN-TC'!$S$4,OR(TH!N6919="1111",TH!O6919="1111")),TH!D6919,""),"")</f>
        <v/>
      </c>
      <c r="B6919" s="1163" t="str">
        <f t="shared" si="529"/>
        <v/>
      </c>
      <c r="C6919" s="61"/>
      <c r="D6919" s="61"/>
      <c r="E6919" s="61"/>
      <c r="F6919" s="69"/>
      <c r="G6919" s="64"/>
      <c r="H6919" s="321"/>
      <c r="I6919" s="385"/>
      <c r="J6919" s="392"/>
      <c r="K6919" s="385"/>
      <c r="L6919" s="392"/>
      <c r="M6919" s="62"/>
      <c r="N6919" s="63"/>
      <c r="O6919" s="63"/>
      <c r="P6919" s="79" t="str">
        <f>IF(AND('331-CT'!$E$7=TH!H6919,OR(N6919="331",O6919="331")),"x","")</f>
        <v/>
      </c>
      <c r="Q6919" s="79" t="str">
        <f>IF(AND(B6919='111'!$L$11,OR($N6919=$Q$7,$O6919=$Q$7)),"x","")</f>
        <v/>
      </c>
      <c r="R6919" s="79" t="str">
        <f>IF(AND($N6919=$Q$7,$B6919&lt;'111'!$L$11),"x","")</f>
        <v/>
      </c>
      <c r="S6919" s="79" t="str">
        <f>IF(AND($O6919=$Q$7,$B6919&lt;'111'!$L$11),"x","")</f>
        <v/>
      </c>
      <c r="T6919" s="79" t="str">
        <f>IF(ISERROR(FIND('112'!$M$9,G6919,1)),"",IF((AND(FIND('112'!$M$9,G6919,1)&gt;=1,B6919='112'!$K$9,OR($N6919='112'!$I$6,$O6919='112'!$I$6))),"x",""))</f>
        <v/>
      </c>
      <c r="U6919" s="79" t="str">
        <f>IF(ISERROR(FIND('112'!$M$9,G6919,1)),"",IF((AND(LEFT(G6919,2)=LEFT('112'!$M$9,2),B6919&lt;'112'!$K$9,$N6919='112'!$I$6)),"x",""))</f>
        <v/>
      </c>
      <c r="V6919" s="79" t="str">
        <f>IF(ISERROR(FIND('112'!$M$9,G6919,1)),"",IF((AND(RIGHT(G6919,2)=RIGHT('112'!$M$9,2),B6919&lt;'112'!$K$9,$O6919='112'!$I$6)),"x",""))</f>
        <v/>
      </c>
      <c r="W6919" s="79" t="str">
        <f>IF(AND('341-CT'!$H$9=H6919,OR(LEFT(N6919,3)=$W$7,LEFT(O6919,3)=$W$7)),"x","")</f>
        <v/>
      </c>
      <c r="X6919" s="79" t="str">
        <f>IF(OR(TH!N6919=TH!$X$7,O6919=TH!$X$7),"x","")</f>
        <v/>
      </c>
      <c r="Y6919" s="79" t="str">
        <f>IF(AND(OR(N6919="131",O6919="131"),H6919='131-CT'!$H$9),"x","")</f>
        <v/>
      </c>
      <c r="Z6919" s="79"/>
      <c r="AA6919" s="79" t="str">
        <f>IF(AND(MONTH(E6919)='IN-NX'!$J$5,'IN-NX'!$D$7=D6919),"x","")</f>
        <v/>
      </c>
      <c r="AB6919" s="79" t="str">
        <f>IF(AND(OR(LEFT(TH!N6919,2)="15",LEFT(TH!O6919,2)="15"),LEFT(TH!O6919,3)&lt;&gt;"111",'152-CT'!$J$8=TH!F6919),"x","")</f>
        <v/>
      </c>
      <c r="AC6919" s="79" t="str">
        <f>IF(AND(OR(LEFT(TH!N6919,2)="15",LEFT(TH!O6919,2)="15"),TK!$E$7=TH!F6919),"x","")</f>
        <v/>
      </c>
      <c r="AD6919" s="79" t="str">
        <f>IF(AND(N6919="1521",MONTH(C6919)='BK-NL'!$M$11),"x","")</f>
        <v/>
      </c>
    </row>
    <row r="6920" spans="1:30" ht="16.5" customHeight="1">
      <c r="A6920" s="318" t="str">
        <f>IF(B6920&lt;&gt;"",IF(AND(B6920='IN-TC'!$S$4,OR(TH!N6920="1111",TH!O6920="1111")),TH!D6920,""),"")</f>
        <v/>
      </c>
      <c r="B6920" s="1163" t="str">
        <f t="shared" si="529"/>
        <v/>
      </c>
      <c r="C6920" s="61"/>
      <c r="D6920" s="61"/>
      <c r="E6920" s="61"/>
      <c r="F6920" s="69"/>
      <c r="G6920" s="64"/>
      <c r="H6920" s="321"/>
      <c r="I6920" s="385"/>
      <c r="J6920" s="392"/>
      <c r="K6920" s="385"/>
      <c r="L6920" s="392"/>
      <c r="M6920" s="62"/>
      <c r="N6920" s="63"/>
      <c r="O6920" s="63"/>
      <c r="P6920" s="79" t="str">
        <f>IF(AND('331-CT'!$E$7=TH!H6920,OR(N6920="331",O6920="331")),"x","")</f>
        <v/>
      </c>
      <c r="Q6920" s="79" t="str">
        <f>IF(AND(B6920='111'!$L$11,OR($N6920=$Q$7,$O6920=$Q$7)),"x","")</f>
        <v/>
      </c>
      <c r="R6920" s="79" t="str">
        <f>IF(AND($N6920=$Q$7,$B6920&lt;'111'!$L$11),"x","")</f>
        <v/>
      </c>
      <c r="S6920" s="79" t="str">
        <f>IF(AND($O6920=$Q$7,$B6920&lt;'111'!$L$11),"x","")</f>
        <v/>
      </c>
      <c r="T6920" s="79" t="str">
        <f>IF(ISERROR(FIND('112'!$M$9,G6920,1)),"",IF((AND(FIND('112'!$M$9,G6920,1)&gt;=1,B6920='112'!$K$9,OR($N6920='112'!$I$6,$O6920='112'!$I$6))),"x",""))</f>
        <v/>
      </c>
      <c r="U6920" s="79" t="str">
        <f>IF(ISERROR(FIND('112'!$M$9,G6920,1)),"",IF((AND(LEFT(G6920,2)=LEFT('112'!$M$9,2),B6920&lt;'112'!$K$9,$N6920='112'!$I$6)),"x",""))</f>
        <v/>
      </c>
      <c r="V6920" s="79" t="str">
        <f>IF(ISERROR(FIND('112'!$M$9,G6920,1)),"",IF((AND(RIGHT(G6920,2)=RIGHT('112'!$M$9,2),B6920&lt;'112'!$K$9,$O6920='112'!$I$6)),"x",""))</f>
        <v/>
      </c>
      <c r="W6920" s="79" t="str">
        <f>IF(AND('341-CT'!$H$9=H6920,OR(LEFT(N6920,3)=$W$7,LEFT(O6920,3)=$W$7)),"x","")</f>
        <v/>
      </c>
      <c r="X6920" s="79" t="str">
        <f>IF(OR(TH!N6920=TH!$X$7,O6920=TH!$X$7),"x","")</f>
        <v/>
      </c>
      <c r="Y6920" s="79" t="str">
        <f>IF(AND(OR(N6920="131",O6920="131"),H6920='131-CT'!$H$9),"x","")</f>
        <v/>
      </c>
      <c r="Z6920" s="79"/>
      <c r="AA6920" s="79" t="str">
        <f>IF(AND(MONTH(E6920)='IN-NX'!$J$5,'IN-NX'!$D$7=D6920),"x","")</f>
        <v/>
      </c>
      <c r="AB6920" s="79" t="str">
        <f>IF(AND(OR(LEFT(TH!N6920,2)="15",LEFT(TH!O6920,2)="15"),LEFT(TH!O6920,3)&lt;&gt;"111",'152-CT'!$J$8=TH!F6920),"x","")</f>
        <v/>
      </c>
      <c r="AC6920" s="79" t="str">
        <f>IF(AND(OR(LEFT(TH!N6920,2)="15",LEFT(TH!O6920,2)="15"),TK!$E$7=TH!F6920),"x","")</f>
        <v/>
      </c>
      <c r="AD6920" s="79" t="str">
        <f>IF(AND(N6920="1521",MONTH(C6920)='BK-NL'!$M$11),"x","")</f>
        <v/>
      </c>
    </row>
    <row r="6921" spans="1:30" ht="16.5" customHeight="1">
      <c r="A6921" s="318" t="str">
        <f>IF(B6921&lt;&gt;"",IF(AND(B6921='IN-TC'!$S$4,OR(TH!N6921="1111",TH!O6921="1111")),TH!D6921,""),"")</f>
        <v/>
      </c>
      <c r="B6921" s="1163" t="str">
        <f t="shared" si="529"/>
        <v/>
      </c>
      <c r="C6921" s="61"/>
      <c r="D6921" s="61"/>
      <c r="E6921" s="61"/>
      <c r="F6921" s="69"/>
      <c r="G6921" s="64"/>
      <c r="H6921" s="321"/>
      <c r="I6921" s="385"/>
      <c r="J6921" s="392"/>
      <c r="K6921" s="385"/>
      <c r="L6921" s="392"/>
      <c r="M6921" s="62"/>
      <c r="N6921" s="63"/>
      <c r="O6921" s="63"/>
      <c r="P6921" s="79" t="str">
        <f>IF(AND('331-CT'!$E$7=TH!H6921,OR(N6921="331",O6921="331")),"x","")</f>
        <v/>
      </c>
      <c r="Q6921" s="79" t="str">
        <f>IF(AND(B6921='111'!$L$11,OR($N6921=$Q$7,$O6921=$Q$7)),"x","")</f>
        <v/>
      </c>
      <c r="R6921" s="79" t="str">
        <f>IF(AND($N6921=$Q$7,$B6921&lt;'111'!$L$11),"x","")</f>
        <v/>
      </c>
      <c r="S6921" s="79" t="str">
        <f>IF(AND($O6921=$Q$7,$B6921&lt;'111'!$L$11),"x","")</f>
        <v/>
      </c>
      <c r="T6921" s="79" t="str">
        <f>IF(ISERROR(FIND('112'!$M$9,G6921,1)),"",IF((AND(FIND('112'!$M$9,G6921,1)&gt;=1,B6921='112'!$K$9,OR($N6921='112'!$I$6,$O6921='112'!$I$6))),"x",""))</f>
        <v/>
      </c>
      <c r="U6921" s="79" t="str">
        <f>IF(ISERROR(FIND('112'!$M$9,G6921,1)),"",IF((AND(LEFT(G6921,2)=LEFT('112'!$M$9,2),B6921&lt;'112'!$K$9,$N6921='112'!$I$6)),"x",""))</f>
        <v/>
      </c>
      <c r="V6921" s="79" t="str">
        <f>IF(ISERROR(FIND('112'!$M$9,G6921,1)),"",IF((AND(RIGHT(G6921,2)=RIGHT('112'!$M$9,2),B6921&lt;'112'!$K$9,$O6921='112'!$I$6)),"x",""))</f>
        <v/>
      </c>
      <c r="W6921" s="79" t="str">
        <f>IF(AND('341-CT'!$H$9=H6921,OR(LEFT(N6921,3)=$W$7,LEFT(O6921,3)=$W$7)),"x","")</f>
        <v/>
      </c>
      <c r="X6921" s="79" t="str">
        <f>IF(OR(TH!N6921=TH!$X$7,O6921=TH!$X$7),"x","")</f>
        <v/>
      </c>
      <c r="Y6921" s="79" t="str">
        <f>IF(AND(OR(N6921="131",O6921="131"),H6921='131-CT'!$H$9),"x","")</f>
        <v/>
      </c>
      <c r="Z6921" s="79"/>
      <c r="AA6921" s="79" t="str">
        <f>IF(AND(MONTH(E6921)='IN-NX'!$J$5,'IN-NX'!$D$7=D6921),"x","")</f>
        <v/>
      </c>
      <c r="AB6921" s="79" t="str">
        <f>IF(AND(OR(LEFT(TH!N6921,2)="15",LEFT(TH!O6921,2)="15"),LEFT(TH!O6921,3)&lt;&gt;"111",'152-CT'!$J$8=TH!F6921),"x","")</f>
        <v/>
      </c>
      <c r="AC6921" s="79" t="str">
        <f>IF(AND(OR(LEFT(TH!N6921,2)="15",LEFT(TH!O6921,2)="15"),TK!$E$7=TH!F6921),"x","")</f>
        <v/>
      </c>
      <c r="AD6921" s="79" t="str">
        <f>IF(AND(N6921="1521",MONTH(C6921)='BK-NL'!$M$11),"x","")</f>
        <v/>
      </c>
    </row>
    <row r="6922" spans="1:30" ht="16.5" customHeight="1">
      <c r="A6922" s="318" t="str">
        <f>IF(B6922&lt;&gt;"",IF(AND(B6922='IN-TC'!$S$4,OR(TH!N6922="1111",TH!O6922="1111")),TH!D6922,""),"")</f>
        <v/>
      </c>
      <c r="B6922" s="1163" t="str">
        <f t="shared" si="529"/>
        <v/>
      </c>
      <c r="C6922" s="61"/>
      <c r="D6922" s="61"/>
      <c r="E6922" s="61"/>
      <c r="F6922" s="69"/>
      <c r="G6922" s="766"/>
      <c r="H6922" s="69"/>
      <c r="I6922" s="385"/>
      <c r="J6922" s="392"/>
      <c r="K6922" s="385"/>
      <c r="L6922" s="392"/>
      <c r="M6922" s="62"/>
      <c r="N6922" s="63"/>
      <c r="O6922" s="63"/>
      <c r="P6922" s="79" t="str">
        <f>IF(AND('331-CT'!$E$7=TH!H6922,OR(N6922="331",O6922="331")),"x","")</f>
        <v/>
      </c>
      <c r="Q6922" s="79" t="str">
        <f>IF(AND(B6922='111'!$L$11,OR($N6922=$Q$7,$O6922=$Q$7)),"x","")</f>
        <v/>
      </c>
      <c r="R6922" s="79" t="str">
        <f>IF(AND($N6922=$Q$7,$B6922&lt;'111'!$L$11),"x","")</f>
        <v/>
      </c>
      <c r="S6922" s="79" t="str">
        <f>IF(AND($O6922=$Q$7,$B6922&lt;'111'!$L$11),"x","")</f>
        <v/>
      </c>
      <c r="T6922" s="79" t="str">
        <f>IF(ISERROR(FIND('112'!$M$9,G6922,1)),"",IF((AND(FIND('112'!$M$9,G6922,1)&gt;=1,B6922='112'!$K$9,OR($N6922='112'!$I$6,$O6922='112'!$I$6))),"x",""))</f>
        <v/>
      </c>
      <c r="U6922" s="79" t="str">
        <f>IF(ISERROR(FIND('112'!$M$9,G6922,1)),"",IF((AND(LEFT(G6922,2)=LEFT('112'!$M$9,2),B6922&lt;'112'!$K$9,$N6922='112'!$I$6)),"x",""))</f>
        <v/>
      </c>
      <c r="V6922" s="79" t="str">
        <f>IF(ISERROR(FIND('112'!$M$9,G6922,1)),"",IF((AND(RIGHT(G6922,2)=RIGHT('112'!$M$9,2),B6922&lt;'112'!$K$9,$O6922='112'!$I$6)),"x",""))</f>
        <v/>
      </c>
      <c r="W6922" s="79" t="str">
        <f>IF(AND('341-CT'!$H$9=H6922,OR(LEFT(N6922,3)=$W$7,LEFT(O6922,3)=$W$7)),"x","")</f>
        <v/>
      </c>
      <c r="X6922" s="79" t="str">
        <f>IF(OR(TH!N6922=TH!$X$7,O6922=TH!$X$7),"x","")</f>
        <v/>
      </c>
      <c r="Y6922" s="79" t="str">
        <f>IF(AND(OR(N6922="131",O6922="131"),H6922='131-CT'!$H$9),"x","")</f>
        <v/>
      </c>
      <c r="Z6922" s="79"/>
      <c r="AA6922" s="79" t="str">
        <f>IF(AND(MONTH(E6922)='IN-NX'!$J$5,'IN-NX'!$D$7=D6922),"x","")</f>
        <v/>
      </c>
      <c r="AB6922" s="79" t="str">
        <f>IF(AND(OR(LEFT(TH!N6922,2)="15",LEFT(TH!O6922,2)="15"),LEFT(TH!O6922,3)&lt;&gt;"111",'152-CT'!$J$8=TH!F6922),"x","")</f>
        <v/>
      </c>
      <c r="AC6922" s="79" t="str">
        <f>IF(AND(OR(LEFT(TH!N6922,2)="15",LEFT(TH!O6922,2)="15"),TK!$E$7=TH!F6922),"x","")</f>
        <v/>
      </c>
      <c r="AD6922" s="79" t="str">
        <f>IF(AND(N6922="1521",MONTH(C6922)='BK-NL'!$M$11),"x","")</f>
        <v/>
      </c>
    </row>
    <row r="6923" spans="1:30" ht="16.5" customHeight="1">
      <c r="A6923" s="318" t="str">
        <f>IF(B6923&lt;&gt;"",IF(AND(B6923='IN-TC'!$S$4,OR(TH!N6923="1111",TH!O6923="1111")),TH!D6923,""),"")</f>
        <v/>
      </c>
      <c r="B6923" s="1163" t="str">
        <f t="shared" si="529"/>
        <v/>
      </c>
      <c r="C6923" s="61"/>
      <c r="D6923" s="61"/>
      <c r="E6923" s="61"/>
      <c r="F6923" s="69"/>
      <c r="G6923" s="766"/>
      <c r="H6923" s="69"/>
      <c r="I6923" s="385"/>
      <c r="J6923" s="392"/>
      <c r="K6923" s="385"/>
      <c r="L6923" s="392"/>
      <c r="M6923" s="62"/>
      <c r="N6923" s="63"/>
      <c r="O6923" s="63"/>
      <c r="P6923" s="79" t="str">
        <f>IF(AND('331-CT'!$E$7=TH!H6923,OR(N6923="331",O6923="331")),"x","")</f>
        <v/>
      </c>
      <c r="Q6923" s="79" t="str">
        <f>IF(AND(B6923='111'!$L$11,OR($N6923=$Q$7,$O6923=$Q$7)),"x","")</f>
        <v/>
      </c>
      <c r="R6923" s="79" t="str">
        <f>IF(AND($N6923=$Q$7,$B6923&lt;'111'!$L$11),"x","")</f>
        <v/>
      </c>
      <c r="S6923" s="79" t="str">
        <f>IF(AND($O6923=$Q$7,$B6923&lt;'111'!$L$11),"x","")</f>
        <v/>
      </c>
      <c r="T6923" s="79" t="str">
        <f>IF(ISERROR(FIND('112'!$M$9,G6923,1)),"",IF((AND(FIND('112'!$M$9,G6923,1)&gt;=1,B6923='112'!$K$9,OR($N6923='112'!$I$6,$O6923='112'!$I$6))),"x",""))</f>
        <v/>
      </c>
      <c r="U6923" s="79" t="str">
        <f>IF(ISERROR(FIND('112'!$M$9,G6923,1)),"",IF((AND(LEFT(G6923,2)=LEFT('112'!$M$9,2),B6923&lt;'112'!$K$9,$N6923='112'!$I$6)),"x",""))</f>
        <v/>
      </c>
      <c r="V6923" s="79" t="str">
        <f>IF(ISERROR(FIND('112'!$M$9,G6923,1)),"",IF((AND(RIGHT(G6923,2)=RIGHT('112'!$M$9,2),B6923&lt;'112'!$K$9,$O6923='112'!$I$6)),"x",""))</f>
        <v/>
      </c>
      <c r="W6923" s="79" t="str">
        <f>IF(AND('341-CT'!$H$9=H6923,OR(LEFT(N6923,3)=$W$7,LEFT(O6923,3)=$W$7)),"x","")</f>
        <v/>
      </c>
      <c r="X6923" s="79" t="str">
        <f>IF(OR(TH!N6923=TH!$X$7,O6923=TH!$X$7),"x","")</f>
        <v/>
      </c>
      <c r="Y6923" s="79" t="str">
        <f>IF(AND(OR(N6923="131",O6923="131"),H6923='131-CT'!$H$9),"x","")</f>
        <v/>
      </c>
      <c r="Z6923" s="79"/>
      <c r="AA6923" s="79" t="str">
        <f>IF(AND(MONTH(E6923)='IN-NX'!$J$5,'IN-NX'!$D$7=D6923),"x","")</f>
        <v/>
      </c>
      <c r="AB6923" s="79" t="str">
        <f>IF(AND(OR(LEFT(TH!N6923,2)="15",LEFT(TH!O6923,2)="15"),LEFT(TH!O6923,3)&lt;&gt;"111",'152-CT'!$J$8=TH!F6923),"x","")</f>
        <v/>
      </c>
      <c r="AC6923" s="79" t="str">
        <f>IF(AND(OR(LEFT(TH!N6923,2)="15",LEFT(TH!O6923,2)="15"),TK!$E$7=TH!F6923),"x","")</f>
        <v/>
      </c>
      <c r="AD6923" s="79" t="str">
        <f>IF(AND(N6923="1521",MONTH(C6923)='BK-NL'!$M$11),"x","")</f>
        <v/>
      </c>
    </row>
    <row r="6924" spans="1:30" ht="16.5" customHeight="1">
      <c r="A6924" s="318" t="str">
        <f>IF(B6924&lt;&gt;"",IF(AND(B6924='IN-TC'!$S$4,OR(TH!N6924="1111",TH!O6924="1111")),TH!D6924,""),"")</f>
        <v/>
      </c>
      <c r="B6924" s="1163" t="str">
        <f t="shared" si="529"/>
        <v/>
      </c>
      <c r="C6924" s="61"/>
      <c r="D6924" s="61"/>
      <c r="E6924" s="61"/>
      <c r="F6924" s="69"/>
      <c r="G6924" s="766"/>
      <c r="H6924" s="69"/>
      <c r="I6924" s="385"/>
      <c r="J6924" s="392"/>
      <c r="K6924" s="385"/>
      <c r="L6924" s="392"/>
      <c r="M6924" s="62"/>
      <c r="N6924" s="63"/>
      <c r="O6924" s="63"/>
      <c r="P6924" s="79" t="str">
        <f>IF(AND('331-CT'!$E$7=TH!H6924,OR(N6924="331",O6924="331")),"x","")</f>
        <v/>
      </c>
      <c r="Q6924" s="79" t="str">
        <f>IF(AND(B6924='111'!$L$11,OR($N6924=$Q$7,$O6924=$Q$7)),"x","")</f>
        <v/>
      </c>
      <c r="R6924" s="79" t="str">
        <f>IF(AND($N6924=$Q$7,$B6924&lt;'111'!$L$11),"x","")</f>
        <v/>
      </c>
      <c r="S6924" s="79" t="str">
        <f>IF(AND($O6924=$Q$7,$B6924&lt;'111'!$L$11),"x","")</f>
        <v/>
      </c>
      <c r="T6924" s="79" t="str">
        <f>IF(ISERROR(FIND('112'!$M$9,G6924,1)),"",IF((AND(FIND('112'!$M$9,G6924,1)&gt;=1,B6924='112'!$K$9,OR($N6924='112'!$I$6,$O6924='112'!$I$6))),"x",""))</f>
        <v/>
      </c>
      <c r="U6924" s="79" t="str">
        <f>IF(ISERROR(FIND('112'!$M$9,G6924,1)),"",IF((AND(LEFT(G6924,2)=LEFT('112'!$M$9,2),B6924&lt;'112'!$K$9,$N6924='112'!$I$6)),"x",""))</f>
        <v/>
      </c>
      <c r="V6924" s="79" t="str">
        <f>IF(ISERROR(FIND('112'!$M$9,G6924,1)),"",IF((AND(RIGHT(G6924,2)=RIGHT('112'!$M$9,2),B6924&lt;'112'!$K$9,$O6924='112'!$I$6)),"x",""))</f>
        <v/>
      </c>
      <c r="W6924" s="79" t="str">
        <f>IF(AND('341-CT'!$H$9=H6924,OR(LEFT(N6924,3)=$W$7,LEFT(O6924,3)=$W$7)),"x","")</f>
        <v/>
      </c>
      <c r="X6924" s="79" t="str">
        <f>IF(OR(TH!N6924=TH!$X$7,O6924=TH!$X$7),"x","")</f>
        <v/>
      </c>
      <c r="Y6924" s="79" t="str">
        <f>IF(AND(OR(N6924="131",O6924="131"),H6924='131-CT'!$H$9),"x","")</f>
        <v/>
      </c>
      <c r="Z6924" s="79"/>
      <c r="AA6924" s="79" t="str">
        <f>IF(AND(MONTH(E6924)='IN-NX'!$J$5,'IN-NX'!$D$7=D6924),"x","")</f>
        <v/>
      </c>
      <c r="AB6924" s="79" t="str">
        <f>IF(AND(OR(LEFT(TH!N6924,2)="15",LEFT(TH!O6924,2)="15"),LEFT(TH!O6924,3)&lt;&gt;"111",'152-CT'!$J$8=TH!F6924),"x","")</f>
        <v/>
      </c>
      <c r="AC6924" s="79" t="str">
        <f>IF(AND(OR(LEFT(TH!N6924,2)="15",LEFT(TH!O6924,2)="15"),TK!$E$7=TH!F6924),"x","")</f>
        <v/>
      </c>
      <c r="AD6924" s="79" t="str">
        <f>IF(AND(N6924="1521",MONTH(C6924)='BK-NL'!$M$11),"x","")</f>
        <v/>
      </c>
    </row>
    <row r="6925" spans="1:30" ht="16.5" customHeight="1">
      <c r="A6925" s="318" t="str">
        <f>IF(B6925&lt;&gt;"",IF(AND(B6925='IN-TC'!$S$4,OR(TH!N6925="1111",TH!O6925="1111")),TH!D6925,""),"")</f>
        <v/>
      </c>
      <c r="B6925" s="1163" t="str">
        <f t="shared" si="529"/>
        <v/>
      </c>
      <c r="C6925" s="61"/>
      <c r="D6925" s="61"/>
      <c r="E6925" s="61"/>
      <c r="F6925" s="446"/>
      <c r="G6925" s="64"/>
      <c r="H6925" s="69"/>
      <c r="I6925" s="385"/>
      <c r="J6925" s="392"/>
      <c r="K6925" s="385"/>
      <c r="L6925" s="933"/>
      <c r="M6925" s="62"/>
      <c r="N6925" s="63"/>
      <c r="O6925" s="63"/>
      <c r="P6925" s="79" t="str">
        <f>IF(AND('331-CT'!$E$7=TH!H6925,OR(N6925="331",O6925="331")),"x","")</f>
        <v/>
      </c>
      <c r="Q6925" s="79" t="str">
        <f>IF(AND(B6925='111'!$L$11,OR($N6925=$Q$7,$O6925=$Q$7)),"x","")</f>
        <v/>
      </c>
      <c r="R6925" s="79" t="str">
        <f>IF(AND($N6925=$Q$7,$B6925&lt;'111'!$L$11),"x","")</f>
        <v/>
      </c>
      <c r="S6925" s="79" t="str">
        <f>IF(AND($O6925=$Q$7,$B6925&lt;'111'!$L$11),"x","")</f>
        <v/>
      </c>
      <c r="T6925" s="79" t="str">
        <f>IF(ISERROR(FIND('112'!$M$9,G6925,1)),"",IF((AND(FIND('112'!$M$9,G6925,1)&gt;=1,B6925='112'!$K$9,OR($N6925='112'!$I$6,$O6925='112'!$I$6))),"x",""))</f>
        <v/>
      </c>
      <c r="U6925" s="79" t="str">
        <f>IF(ISERROR(FIND('112'!$M$9,G6925,1)),"",IF((AND(LEFT(G6925,2)=LEFT('112'!$M$9,2),B6925&lt;'112'!$K$9,$N6925='112'!$I$6)),"x",""))</f>
        <v/>
      </c>
      <c r="V6925" s="79" t="str">
        <f>IF(ISERROR(FIND('112'!$M$9,G6925,1)),"",IF((AND(RIGHT(G6925,2)=RIGHT('112'!$M$9,2),B6925&lt;'112'!$K$9,$O6925='112'!$I$6)),"x",""))</f>
        <v/>
      </c>
      <c r="W6925" s="79" t="str">
        <f>IF(AND('341-CT'!$H$9=H6925,OR(LEFT(N6925,3)=$W$7,LEFT(O6925,3)=$W$7)),"x","")</f>
        <v/>
      </c>
      <c r="X6925" s="79" t="str">
        <f>IF(OR(TH!N6925=TH!$X$7,O6925=TH!$X$7),"x","")</f>
        <v/>
      </c>
      <c r="Y6925" s="79" t="str">
        <f>IF(AND(OR(N6925="131",O6925="131"),H6925='131-CT'!$H$9),"x","")</f>
        <v/>
      </c>
      <c r="Z6925" s="79"/>
      <c r="AA6925" s="79" t="str">
        <f>IF(AND(MONTH(E6925)='IN-NX'!$J$5,'IN-NX'!$D$7=D6925),"x","")</f>
        <v/>
      </c>
      <c r="AB6925" s="79" t="str">
        <f>IF(AND(OR(LEFT(TH!N6925,2)="15",LEFT(TH!O6925,2)="15"),LEFT(TH!O6925,3)&lt;&gt;"111",'152-CT'!$J$8=TH!F6925),"x","")</f>
        <v/>
      </c>
      <c r="AC6925" s="79" t="str">
        <f>IF(AND(OR(LEFT(TH!N6925,2)="15",LEFT(TH!O6925,2)="15"),TK!$E$7=TH!F6925),"x","")</f>
        <v/>
      </c>
      <c r="AD6925" s="79" t="str">
        <f>IF(AND(N6925="1521",MONTH(C6925)='BK-NL'!$M$11),"x","")</f>
        <v/>
      </c>
    </row>
    <row r="6926" spans="1:30" ht="16.5" customHeight="1">
      <c r="A6926" s="318" t="str">
        <f>IF(B6926&lt;&gt;"",IF(AND(B6926='IN-TC'!$S$4,OR(TH!N6926="1111",TH!O6926="1111")),TH!D6926,""),"")</f>
        <v/>
      </c>
      <c r="B6926" s="1163" t="str">
        <f t="shared" si="529"/>
        <v/>
      </c>
      <c r="C6926" s="61"/>
      <c r="D6926" s="61"/>
      <c r="E6926" s="61"/>
      <c r="F6926" s="69"/>
      <c r="G6926" s="64"/>
      <c r="H6926" s="69"/>
      <c r="I6926" s="385"/>
      <c r="J6926" s="392"/>
      <c r="K6926" s="385"/>
      <c r="L6926" s="392"/>
      <c r="M6926" s="62"/>
      <c r="N6926" s="63"/>
      <c r="O6926" s="63"/>
      <c r="P6926" s="79" t="str">
        <f>IF(AND('331-CT'!$E$7=TH!H6926,OR(N6926="331",O6926="331")),"x","")</f>
        <v/>
      </c>
      <c r="Q6926" s="79" t="str">
        <f>IF(AND(B6926='111'!$L$11,OR($N6926=$Q$7,$O6926=$Q$7)),"x","")</f>
        <v/>
      </c>
      <c r="R6926" s="79" t="str">
        <f>IF(AND($N6926=$Q$7,$B6926&lt;'111'!$L$11),"x","")</f>
        <v/>
      </c>
      <c r="S6926" s="79" t="str">
        <f>IF(AND($O6926=$Q$7,$B6926&lt;'111'!$L$11),"x","")</f>
        <v/>
      </c>
      <c r="T6926" s="79" t="str">
        <f>IF(ISERROR(FIND('112'!$M$9,G6926,1)),"",IF((AND(FIND('112'!$M$9,G6926,1)&gt;=1,B6926='112'!$K$9,OR($N6926='112'!$I$6,$O6926='112'!$I$6))),"x",""))</f>
        <v/>
      </c>
      <c r="U6926" s="79" t="str">
        <f>IF(ISERROR(FIND('112'!$M$9,G6926,1)),"",IF((AND(LEFT(G6926,2)=LEFT('112'!$M$9,2),B6926&lt;'112'!$K$9,$N6926='112'!$I$6)),"x",""))</f>
        <v/>
      </c>
      <c r="V6926" s="79" t="str">
        <f>IF(ISERROR(FIND('112'!$M$9,G6926,1)),"",IF((AND(RIGHT(G6926,2)=RIGHT('112'!$M$9,2),B6926&lt;'112'!$K$9,$O6926='112'!$I$6)),"x",""))</f>
        <v/>
      </c>
      <c r="W6926" s="79" t="str">
        <f>IF(AND('341-CT'!$H$9=H6926,OR(LEFT(N6926,3)=$W$7,LEFT(O6926,3)=$W$7)),"x","")</f>
        <v/>
      </c>
      <c r="X6926" s="79" t="str">
        <f>IF(OR(TH!N6926=TH!$X$7,O6926=TH!$X$7),"x","")</f>
        <v/>
      </c>
      <c r="Y6926" s="79" t="str">
        <f>IF(AND(OR(N6926="131",O6926="131"),H6926='131-CT'!$H$9),"x","")</f>
        <v/>
      </c>
      <c r="Z6926" s="79"/>
      <c r="AA6926" s="79" t="str">
        <f>IF(AND(MONTH(E6926)='IN-NX'!$J$5,'IN-NX'!$D$7=D6926),"x","")</f>
        <v/>
      </c>
      <c r="AB6926" s="79" t="str">
        <f>IF(AND(OR(LEFT(TH!N6926,2)="15",LEFT(TH!O6926,2)="15"),LEFT(TH!O6926,3)&lt;&gt;"111",'152-CT'!$J$8=TH!F6926),"x","")</f>
        <v/>
      </c>
      <c r="AC6926" s="79" t="str">
        <f>IF(AND(OR(LEFT(TH!N6926,2)="15",LEFT(TH!O6926,2)="15"),TK!$E$7=TH!F6926),"x","")</f>
        <v/>
      </c>
      <c r="AD6926" s="79" t="str">
        <f>IF(AND(N6926="1521",MONTH(C6926)='BK-NL'!$M$11),"x","")</f>
        <v/>
      </c>
    </row>
    <row r="6927" spans="1:30" ht="16.5" customHeight="1">
      <c r="A6927" s="318" t="str">
        <f>IF(B6927&lt;&gt;"",IF(AND(B6927='IN-TC'!$S$4,OR(TH!N6927="1111",TH!O6927="1111")),TH!D6927,""),"")</f>
        <v/>
      </c>
      <c r="B6927" s="1163" t="str">
        <f t="shared" si="529"/>
        <v/>
      </c>
      <c r="C6927" s="61"/>
      <c r="D6927" s="61"/>
      <c r="E6927" s="61"/>
      <c r="F6927" s="69"/>
      <c r="G6927" s="64"/>
      <c r="H6927" s="69"/>
      <c r="I6927" s="385"/>
      <c r="J6927" s="392"/>
      <c r="K6927" s="385"/>
      <c r="L6927" s="392"/>
      <c r="M6927" s="62"/>
      <c r="N6927" s="63"/>
      <c r="O6927" s="63"/>
      <c r="P6927" s="79" t="str">
        <f>IF(AND('331-CT'!$E$7=TH!H6927,OR(N6927="331",O6927="331")),"x","")</f>
        <v/>
      </c>
      <c r="Q6927" s="79" t="str">
        <f>IF(AND(B6927='111'!$L$11,OR($N6927=$Q$7,$O6927=$Q$7)),"x","")</f>
        <v/>
      </c>
      <c r="R6927" s="79" t="str">
        <f>IF(AND($N6927=$Q$7,$B6927&lt;'111'!$L$11),"x","")</f>
        <v/>
      </c>
      <c r="S6927" s="79" t="str">
        <f>IF(AND($O6927=$Q$7,$B6927&lt;'111'!$L$11),"x","")</f>
        <v/>
      </c>
      <c r="T6927" s="79" t="str">
        <f>IF(ISERROR(FIND('112'!$M$9,G6927,1)),"",IF((AND(FIND('112'!$M$9,G6927,1)&gt;=1,B6927='112'!$K$9,OR($N6927='112'!$I$6,$O6927='112'!$I$6))),"x",""))</f>
        <v/>
      </c>
      <c r="U6927" s="79" t="str">
        <f>IF(ISERROR(FIND('112'!$M$9,G6927,1)),"",IF((AND(LEFT(G6927,2)=LEFT('112'!$M$9,2),B6927&lt;'112'!$K$9,$N6927='112'!$I$6)),"x",""))</f>
        <v/>
      </c>
      <c r="V6927" s="79" t="str">
        <f>IF(ISERROR(FIND('112'!$M$9,G6927,1)),"",IF((AND(RIGHT(G6927,2)=RIGHT('112'!$M$9,2),B6927&lt;'112'!$K$9,$O6927='112'!$I$6)),"x",""))</f>
        <v/>
      </c>
      <c r="W6927" s="79" t="str">
        <f>IF(AND('341-CT'!$H$9=H6927,OR(LEFT(N6927,3)=$W$7,LEFT(O6927,3)=$W$7)),"x","")</f>
        <v/>
      </c>
      <c r="X6927" s="79" t="str">
        <f>IF(OR(TH!N6927=TH!$X$7,O6927=TH!$X$7),"x","")</f>
        <v/>
      </c>
      <c r="Y6927" s="79" t="str">
        <f>IF(AND(OR(N6927="131",O6927="131"),H6927='131-CT'!$H$9),"x","")</f>
        <v/>
      </c>
      <c r="Z6927" s="79"/>
      <c r="AA6927" s="79" t="str">
        <f>IF(AND(MONTH(E6927)='IN-NX'!$J$5,'IN-NX'!$D$7=D6927),"x","")</f>
        <v/>
      </c>
      <c r="AB6927" s="79" t="str">
        <f>IF(AND(OR(LEFT(TH!N6927,2)="15",LEFT(TH!O6927,2)="15"),LEFT(TH!O6927,3)&lt;&gt;"111",'152-CT'!$J$8=TH!F6927),"x","")</f>
        <v/>
      </c>
      <c r="AC6927" s="79" t="str">
        <f>IF(AND(OR(LEFT(TH!N6927,2)="15",LEFT(TH!O6927,2)="15"),TK!$E$7=TH!F6927),"x","")</f>
        <v/>
      </c>
      <c r="AD6927" s="79" t="str">
        <f>IF(AND(N6927="1521",MONTH(C6927)='BK-NL'!$M$11),"x","")</f>
        <v/>
      </c>
    </row>
    <row r="6928" spans="1:30" ht="16.5" customHeight="1">
      <c r="A6928" s="318" t="str">
        <f>IF(B6928&lt;&gt;"",IF(AND(B6928='IN-TC'!$S$4,OR(TH!N6928="1111",TH!O6928="1111")),TH!D6928,""),"")</f>
        <v/>
      </c>
      <c r="B6928" s="1163" t="str">
        <f t="shared" si="529"/>
        <v/>
      </c>
      <c r="C6928" s="61"/>
      <c r="D6928" s="61"/>
      <c r="E6928" s="61"/>
      <c r="F6928" s="69"/>
      <c r="G6928" s="64"/>
      <c r="H6928" s="69"/>
      <c r="I6928" s="385"/>
      <c r="J6928" s="392"/>
      <c r="K6928" s="385"/>
      <c r="L6928" s="392"/>
      <c r="M6928" s="62"/>
      <c r="N6928" s="63"/>
      <c r="O6928" s="63"/>
      <c r="P6928" s="79" t="str">
        <f>IF(AND('331-CT'!$E$7=TH!H6928,OR(N6928="331",O6928="331")),"x","")</f>
        <v/>
      </c>
      <c r="Q6928" s="79" t="str">
        <f>IF(AND(B6928='111'!$L$11,OR($N6928=$Q$7,$O6928=$Q$7)),"x","")</f>
        <v/>
      </c>
      <c r="R6928" s="79" t="str">
        <f>IF(AND($N6928=$Q$7,$B6928&lt;'111'!$L$11),"x","")</f>
        <v/>
      </c>
      <c r="S6928" s="79" t="str">
        <f>IF(AND($O6928=$Q$7,$B6928&lt;'111'!$L$11),"x","")</f>
        <v/>
      </c>
      <c r="T6928" s="79" t="str">
        <f>IF(ISERROR(FIND('112'!$M$9,G6928,1)),"",IF((AND(FIND('112'!$M$9,G6928,1)&gt;=1,B6928='112'!$K$9,OR($N6928='112'!$I$6,$O6928='112'!$I$6))),"x",""))</f>
        <v/>
      </c>
      <c r="U6928" s="79" t="str">
        <f>IF(ISERROR(FIND('112'!$M$9,G6928,1)),"",IF((AND(LEFT(G6928,2)=LEFT('112'!$M$9,2),B6928&lt;'112'!$K$9,$N6928='112'!$I$6)),"x",""))</f>
        <v/>
      </c>
      <c r="V6928" s="79" t="str">
        <f>IF(ISERROR(FIND('112'!$M$9,G6928,1)),"",IF((AND(RIGHT(G6928,2)=RIGHT('112'!$M$9,2),B6928&lt;'112'!$K$9,$O6928='112'!$I$6)),"x",""))</f>
        <v/>
      </c>
      <c r="W6928" s="79" t="str">
        <f>IF(AND('341-CT'!$H$9=H6928,OR(LEFT(N6928,3)=$W$7,LEFT(O6928,3)=$W$7)),"x","")</f>
        <v/>
      </c>
      <c r="X6928" s="79" t="str">
        <f>IF(OR(TH!N6928=TH!$X$7,O6928=TH!$X$7),"x","")</f>
        <v/>
      </c>
      <c r="Y6928" s="79" t="str">
        <f>IF(AND(OR(N6928="131",O6928="131"),H6928='131-CT'!$H$9),"x","")</f>
        <v/>
      </c>
      <c r="Z6928" s="79"/>
      <c r="AA6928" s="79" t="str">
        <f>IF(AND(MONTH(E6928)='IN-NX'!$J$5,'IN-NX'!$D$7=D6928),"x","")</f>
        <v/>
      </c>
      <c r="AB6928" s="79" t="str">
        <f>IF(AND(OR(LEFT(TH!N6928,2)="15",LEFT(TH!O6928,2)="15"),LEFT(TH!O6928,3)&lt;&gt;"111",'152-CT'!$J$8=TH!F6928),"x","")</f>
        <v/>
      </c>
      <c r="AC6928" s="79" t="str">
        <f>IF(AND(OR(LEFT(TH!N6928,2)="15",LEFT(TH!O6928,2)="15"),TK!$E$7=TH!F6928),"x","")</f>
        <v/>
      </c>
      <c r="AD6928" s="79" t="str">
        <f>IF(AND(N6928="1521",MONTH(C6928)='BK-NL'!$M$11),"x","")</f>
        <v/>
      </c>
    </row>
    <row r="6929" spans="1:30" ht="16.5" customHeight="1">
      <c r="A6929" s="318" t="str">
        <f>IF(B6929&lt;&gt;"",IF(AND(B6929='IN-TC'!$S$4,OR(TH!N6929="1111",TH!O6929="1111")),TH!D6929,""),"")</f>
        <v/>
      </c>
      <c r="B6929" s="1163" t="str">
        <f t="shared" si="529"/>
        <v/>
      </c>
      <c r="C6929" s="61"/>
      <c r="D6929" s="61"/>
      <c r="E6929" s="61"/>
      <c r="F6929" s="69"/>
      <c r="G6929" s="64"/>
      <c r="H6929" s="69"/>
      <c r="I6929" s="385"/>
      <c r="J6929" s="392"/>
      <c r="K6929" s="385"/>
      <c r="L6929" s="392"/>
      <c r="M6929" s="62"/>
      <c r="N6929" s="63"/>
      <c r="O6929" s="63"/>
      <c r="P6929" s="79" t="str">
        <f>IF(AND('331-CT'!$E$7=TH!H6929,OR(N6929="331",O6929="331")),"x","")</f>
        <v/>
      </c>
      <c r="Q6929" s="79" t="str">
        <f>IF(AND(B6929='111'!$L$11,OR($N6929=$Q$7,$O6929=$Q$7)),"x","")</f>
        <v/>
      </c>
      <c r="R6929" s="79" t="str">
        <f>IF(AND($N6929=$Q$7,$B6929&lt;'111'!$L$11),"x","")</f>
        <v/>
      </c>
      <c r="S6929" s="79" t="str">
        <f>IF(AND($O6929=$Q$7,$B6929&lt;'111'!$L$11),"x","")</f>
        <v/>
      </c>
      <c r="T6929" s="79" t="str">
        <f>IF(ISERROR(FIND('112'!$M$9,G6929,1)),"",IF((AND(FIND('112'!$M$9,G6929,1)&gt;=1,B6929='112'!$K$9,OR($N6929='112'!$I$6,$O6929='112'!$I$6))),"x",""))</f>
        <v/>
      </c>
      <c r="U6929" s="79" t="str">
        <f>IF(ISERROR(FIND('112'!$M$9,G6929,1)),"",IF((AND(LEFT(G6929,2)=LEFT('112'!$M$9,2),B6929&lt;'112'!$K$9,$N6929='112'!$I$6)),"x",""))</f>
        <v/>
      </c>
      <c r="V6929" s="79" t="str">
        <f>IF(ISERROR(FIND('112'!$M$9,G6929,1)),"",IF((AND(RIGHT(G6929,2)=RIGHT('112'!$M$9,2),B6929&lt;'112'!$K$9,$O6929='112'!$I$6)),"x",""))</f>
        <v/>
      </c>
      <c r="W6929" s="79" t="str">
        <f>IF(AND('341-CT'!$H$9=H6929,OR(LEFT(N6929,3)=$W$7,LEFT(O6929,3)=$W$7)),"x","")</f>
        <v/>
      </c>
      <c r="X6929" s="79" t="str">
        <f>IF(OR(TH!N6929=TH!$X$7,O6929=TH!$X$7),"x","")</f>
        <v/>
      </c>
      <c r="Y6929" s="79" t="str">
        <f>IF(AND(OR(N6929="131",O6929="131"),H6929='131-CT'!$H$9),"x","")</f>
        <v/>
      </c>
      <c r="Z6929" s="79"/>
      <c r="AA6929" s="79" t="str">
        <f>IF(AND(MONTH(E6929)='IN-NX'!$J$5,'IN-NX'!$D$7=D6929),"x","")</f>
        <v/>
      </c>
      <c r="AB6929" s="79" t="str">
        <f>IF(AND(OR(LEFT(TH!N6929,2)="15",LEFT(TH!O6929,2)="15"),LEFT(TH!O6929,3)&lt;&gt;"111",'152-CT'!$J$8=TH!F6929),"x","")</f>
        <v/>
      </c>
      <c r="AC6929" s="79" t="str">
        <f>IF(AND(OR(LEFT(TH!N6929,2)="15",LEFT(TH!O6929,2)="15"),TK!$E$7=TH!F6929),"x","")</f>
        <v/>
      </c>
      <c r="AD6929" s="79" t="str">
        <f>IF(AND(N6929="1521",MONTH(C6929)='BK-NL'!$M$11),"x","")</f>
        <v/>
      </c>
    </row>
    <row r="6930" spans="1:30" ht="16.5" customHeight="1">
      <c r="A6930" s="318" t="str">
        <f>IF(B6930&lt;&gt;"",IF(AND(B6930='IN-TC'!$S$4,OR(TH!N6930="1111",TH!O6930="1111")),TH!D6930,""),"")</f>
        <v/>
      </c>
      <c r="B6930" s="1163" t="str">
        <f t="shared" si="529"/>
        <v/>
      </c>
      <c r="C6930" s="61"/>
      <c r="D6930" s="61"/>
      <c r="E6930" s="61"/>
      <c r="F6930" s="69"/>
      <c r="G6930" s="64"/>
      <c r="H6930" s="69"/>
      <c r="I6930" s="385"/>
      <c r="J6930" s="392"/>
      <c r="K6930" s="385"/>
      <c r="L6930" s="392"/>
      <c r="M6930" s="62"/>
      <c r="N6930" s="63"/>
      <c r="O6930" s="63"/>
      <c r="P6930" s="79" t="str">
        <f>IF(AND('331-CT'!$E$7=TH!H6930,OR(N6930="331",O6930="331")),"x","")</f>
        <v/>
      </c>
      <c r="Q6930" s="79" t="str">
        <f>IF(AND(B6930='111'!$L$11,OR($N6930=$Q$7,$O6930=$Q$7)),"x","")</f>
        <v/>
      </c>
      <c r="R6930" s="79" t="str">
        <f>IF(AND($N6930=$Q$7,$B6930&lt;'111'!$L$11),"x","")</f>
        <v/>
      </c>
      <c r="S6930" s="79" t="str">
        <f>IF(AND($O6930=$Q$7,$B6930&lt;'111'!$L$11),"x","")</f>
        <v/>
      </c>
      <c r="T6930" s="79" t="str">
        <f>IF(ISERROR(FIND('112'!$M$9,G6930,1)),"",IF((AND(FIND('112'!$M$9,G6930,1)&gt;=1,B6930='112'!$K$9,OR($N6930='112'!$I$6,$O6930='112'!$I$6))),"x",""))</f>
        <v/>
      </c>
      <c r="U6930" s="79" t="str">
        <f>IF(ISERROR(FIND('112'!$M$9,G6930,1)),"",IF((AND(LEFT(G6930,2)=LEFT('112'!$M$9,2),B6930&lt;'112'!$K$9,$N6930='112'!$I$6)),"x",""))</f>
        <v/>
      </c>
      <c r="V6930" s="79" t="str">
        <f>IF(ISERROR(FIND('112'!$M$9,G6930,1)),"",IF((AND(RIGHT(G6930,2)=RIGHT('112'!$M$9,2),B6930&lt;'112'!$K$9,$O6930='112'!$I$6)),"x",""))</f>
        <v/>
      </c>
      <c r="W6930" s="79" t="str">
        <f>IF(AND('341-CT'!$H$9=H6930,OR(LEFT(N6930,3)=$W$7,LEFT(O6930,3)=$W$7)),"x","")</f>
        <v/>
      </c>
      <c r="X6930" s="79" t="str">
        <f>IF(OR(TH!N6930=TH!$X$7,O6930=TH!$X$7),"x","")</f>
        <v/>
      </c>
      <c r="Y6930" s="79" t="str">
        <f>IF(AND(OR(N6930="131",O6930="131"),H6930='131-CT'!$H$9),"x","")</f>
        <v/>
      </c>
      <c r="Z6930" s="79"/>
      <c r="AA6930" s="79" t="str">
        <f>IF(AND(MONTH(E6930)='IN-NX'!$J$5,'IN-NX'!$D$7=D6930),"x","")</f>
        <v/>
      </c>
      <c r="AB6930" s="79" t="str">
        <f>IF(AND(OR(LEFT(TH!N6930,2)="15",LEFT(TH!O6930,2)="15"),LEFT(TH!O6930,3)&lt;&gt;"111",'152-CT'!$J$8=TH!F6930),"x","")</f>
        <v/>
      </c>
      <c r="AC6930" s="79" t="str">
        <f>IF(AND(OR(LEFT(TH!N6930,2)="15",LEFT(TH!O6930,2)="15"),TK!$E$7=TH!F6930),"x","")</f>
        <v/>
      </c>
      <c r="AD6930" s="79" t="str">
        <f>IF(AND(N6930="1521",MONTH(C6930)='BK-NL'!$M$11),"x","")</f>
        <v/>
      </c>
    </row>
    <row r="6931" spans="1:30" ht="16.5" customHeight="1">
      <c r="A6931" s="318" t="str">
        <f>IF(B6931&lt;&gt;"",IF(AND(B6931='IN-TC'!$S$4,OR(TH!N6931="1111",TH!O6931="1111")),TH!D6931,""),"")</f>
        <v/>
      </c>
      <c r="B6931" s="1163" t="str">
        <f t="shared" si="529"/>
        <v/>
      </c>
      <c r="C6931" s="61"/>
      <c r="D6931" s="61"/>
      <c r="E6931" s="61"/>
      <c r="F6931" s="69"/>
      <c r="G6931" s="64"/>
      <c r="H6931" s="69"/>
      <c r="I6931" s="385"/>
      <c r="J6931" s="392"/>
      <c r="K6931" s="385"/>
      <c r="L6931" s="392"/>
      <c r="M6931" s="62"/>
      <c r="N6931" s="63"/>
      <c r="O6931" s="63"/>
      <c r="P6931" s="79" t="str">
        <f>IF(AND('331-CT'!$E$7=TH!H6931,OR(N6931="331",O6931="331")),"x","")</f>
        <v/>
      </c>
      <c r="Q6931" s="79" t="str">
        <f>IF(AND(B6931='111'!$L$11,OR($N6931=$Q$7,$O6931=$Q$7)),"x","")</f>
        <v/>
      </c>
      <c r="R6931" s="79" t="str">
        <f>IF(AND($N6931=$Q$7,$B6931&lt;'111'!$L$11),"x","")</f>
        <v/>
      </c>
      <c r="S6931" s="79" t="str">
        <f>IF(AND($O6931=$Q$7,$B6931&lt;'111'!$L$11),"x","")</f>
        <v/>
      </c>
      <c r="T6931" s="79" t="str">
        <f>IF(ISERROR(FIND('112'!$M$9,G6931,1)),"",IF((AND(FIND('112'!$M$9,G6931,1)&gt;=1,B6931='112'!$K$9,OR($N6931='112'!$I$6,$O6931='112'!$I$6))),"x",""))</f>
        <v/>
      </c>
      <c r="U6931" s="79" t="str">
        <f>IF(ISERROR(FIND('112'!$M$9,G6931,1)),"",IF((AND(LEFT(G6931,2)=LEFT('112'!$M$9,2),B6931&lt;'112'!$K$9,$N6931='112'!$I$6)),"x",""))</f>
        <v/>
      </c>
      <c r="V6931" s="79" t="str">
        <f>IF(ISERROR(FIND('112'!$M$9,G6931,1)),"",IF((AND(RIGHT(G6931,2)=RIGHT('112'!$M$9,2),B6931&lt;'112'!$K$9,$O6931='112'!$I$6)),"x",""))</f>
        <v/>
      </c>
      <c r="W6931" s="79" t="str">
        <f>IF(AND('341-CT'!$H$9=H6931,OR(LEFT(N6931,3)=$W$7,LEFT(O6931,3)=$W$7)),"x","")</f>
        <v/>
      </c>
      <c r="X6931" s="79" t="str">
        <f>IF(OR(TH!N6931=TH!$X$7,O6931=TH!$X$7),"x","")</f>
        <v/>
      </c>
      <c r="Y6931" s="79" t="str">
        <f>IF(AND(OR(N6931="131",O6931="131"),H6931='131-CT'!$H$9),"x","")</f>
        <v/>
      </c>
      <c r="Z6931" s="79"/>
      <c r="AA6931" s="79" t="str">
        <f>IF(AND(MONTH(E6931)='IN-NX'!$J$5,'IN-NX'!$D$7=D6931),"x","")</f>
        <v/>
      </c>
      <c r="AB6931" s="79" t="str">
        <f>IF(AND(OR(LEFT(TH!N6931,2)="15",LEFT(TH!O6931,2)="15"),LEFT(TH!O6931,3)&lt;&gt;"111",'152-CT'!$J$8=TH!F6931),"x","")</f>
        <v/>
      </c>
      <c r="AC6931" s="79" t="str">
        <f>IF(AND(OR(LEFT(TH!N6931,2)="15",LEFT(TH!O6931,2)="15"),TK!$E$7=TH!F6931),"x","")</f>
        <v/>
      </c>
      <c r="AD6931" s="79" t="str">
        <f>IF(AND(N6931="1521",MONTH(C6931)='BK-NL'!$M$11),"x","")</f>
        <v/>
      </c>
    </row>
    <row r="6932" spans="1:30" ht="16.5" customHeight="1">
      <c r="A6932" s="318" t="str">
        <f>IF(B6932&lt;&gt;"",IF(AND(B6932='IN-TC'!$S$4,OR(TH!N6932="1111",TH!O6932="1111")),TH!D6932,""),"")</f>
        <v/>
      </c>
      <c r="B6932" s="1163" t="str">
        <f t="shared" si="529"/>
        <v/>
      </c>
      <c r="C6932" s="61"/>
      <c r="D6932" s="61"/>
      <c r="E6932" s="61"/>
      <c r="F6932" s="69"/>
      <c r="G6932" s="64"/>
      <c r="H6932" s="69"/>
      <c r="I6932" s="385"/>
      <c r="J6932" s="392"/>
      <c r="K6932" s="385"/>
      <c r="L6932" s="392"/>
      <c r="M6932" s="62"/>
      <c r="N6932" s="63"/>
      <c r="O6932" s="63"/>
      <c r="P6932" s="79" t="str">
        <f>IF(AND('331-CT'!$E$7=TH!H6932,OR(N6932="331",O6932="331")),"x","")</f>
        <v/>
      </c>
      <c r="Q6932" s="79" t="str">
        <f>IF(AND(B6932='111'!$L$11,OR($N6932=$Q$7,$O6932=$Q$7)),"x","")</f>
        <v/>
      </c>
      <c r="R6932" s="79" t="str">
        <f>IF(AND($N6932=$Q$7,$B6932&lt;'111'!$L$11),"x","")</f>
        <v/>
      </c>
      <c r="S6932" s="79" t="str">
        <f>IF(AND($O6932=$Q$7,$B6932&lt;'111'!$L$11),"x","")</f>
        <v/>
      </c>
      <c r="T6932" s="79" t="str">
        <f>IF(ISERROR(FIND('112'!$M$9,G6932,1)),"",IF((AND(FIND('112'!$M$9,G6932,1)&gt;=1,B6932='112'!$K$9,OR($N6932='112'!$I$6,$O6932='112'!$I$6))),"x",""))</f>
        <v/>
      </c>
      <c r="U6932" s="79" t="str">
        <f>IF(ISERROR(FIND('112'!$M$9,G6932,1)),"",IF((AND(LEFT(G6932,2)=LEFT('112'!$M$9,2),B6932&lt;'112'!$K$9,$N6932='112'!$I$6)),"x",""))</f>
        <v/>
      </c>
      <c r="V6932" s="79" t="str">
        <f>IF(ISERROR(FIND('112'!$M$9,G6932,1)),"",IF((AND(RIGHT(G6932,2)=RIGHT('112'!$M$9,2),B6932&lt;'112'!$K$9,$O6932='112'!$I$6)),"x",""))</f>
        <v/>
      </c>
      <c r="W6932" s="79" t="str">
        <f>IF(AND('341-CT'!$H$9=H6932,OR(LEFT(N6932,3)=$W$7,LEFT(O6932,3)=$W$7)),"x","")</f>
        <v/>
      </c>
      <c r="X6932" s="79" t="str">
        <f>IF(OR(TH!N6932=TH!$X$7,O6932=TH!$X$7),"x","")</f>
        <v/>
      </c>
      <c r="Y6932" s="79" t="str">
        <f>IF(AND(OR(N6932="131",O6932="131"),H6932='131-CT'!$H$9),"x","")</f>
        <v/>
      </c>
      <c r="Z6932" s="79"/>
      <c r="AA6932" s="79" t="str">
        <f>IF(AND(MONTH(E6932)='IN-NX'!$J$5,'IN-NX'!$D$7=D6932),"x","")</f>
        <v/>
      </c>
      <c r="AB6932" s="79" t="str">
        <f>IF(AND(OR(LEFT(TH!N6932,2)="15",LEFT(TH!O6932,2)="15"),LEFT(TH!O6932,3)&lt;&gt;"111",'152-CT'!$J$8=TH!F6932),"x","")</f>
        <v/>
      </c>
      <c r="AC6932" s="79" t="str">
        <f>IF(AND(OR(LEFT(TH!N6932,2)="15",LEFT(TH!O6932,2)="15"),TK!$E$7=TH!F6932),"x","")</f>
        <v/>
      </c>
      <c r="AD6932" s="79" t="str">
        <f>IF(AND(N6932="1521",MONTH(C6932)='BK-NL'!$M$11),"x","")</f>
        <v/>
      </c>
    </row>
    <row r="6933" spans="1:30" ht="16.5" customHeight="1">
      <c r="A6933" s="318" t="str">
        <f>IF(B6933&lt;&gt;"",IF(AND(B6933='IN-TC'!$S$4,OR(TH!N6933="1111",TH!O6933="1111")),TH!D6933,""),"")</f>
        <v/>
      </c>
      <c r="B6933" s="1163" t="str">
        <f t="shared" si="529"/>
        <v/>
      </c>
      <c r="C6933" s="61"/>
      <c r="D6933" s="61"/>
      <c r="E6933" s="61"/>
      <c r="F6933" s="69"/>
      <c r="G6933" s="64"/>
      <c r="H6933" s="69"/>
      <c r="I6933" s="385"/>
      <c r="J6933" s="392"/>
      <c r="K6933" s="385"/>
      <c r="L6933" s="392"/>
      <c r="M6933" s="62"/>
      <c r="N6933" s="63"/>
      <c r="O6933" s="63"/>
      <c r="P6933" s="79" t="str">
        <f>IF(AND('331-CT'!$E$7=TH!H6933,OR(N6933="331",O6933="331")),"x","")</f>
        <v/>
      </c>
      <c r="Q6933" s="79" t="str">
        <f>IF(AND(B6933='111'!$L$11,OR($N6933=$Q$7,$O6933=$Q$7)),"x","")</f>
        <v/>
      </c>
      <c r="R6933" s="79" t="str">
        <f>IF(AND($N6933=$Q$7,$B6933&lt;'111'!$L$11),"x","")</f>
        <v/>
      </c>
      <c r="S6933" s="79" t="str">
        <f>IF(AND($O6933=$Q$7,$B6933&lt;'111'!$L$11),"x","")</f>
        <v/>
      </c>
      <c r="T6933" s="79" t="str">
        <f>IF(ISERROR(FIND('112'!$M$9,G6933,1)),"",IF((AND(FIND('112'!$M$9,G6933,1)&gt;=1,B6933='112'!$K$9,OR($N6933='112'!$I$6,$O6933='112'!$I$6))),"x",""))</f>
        <v/>
      </c>
      <c r="U6933" s="79" t="str">
        <f>IF(ISERROR(FIND('112'!$M$9,G6933,1)),"",IF((AND(LEFT(G6933,2)=LEFT('112'!$M$9,2),B6933&lt;'112'!$K$9,$N6933='112'!$I$6)),"x",""))</f>
        <v/>
      </c>
      <c r="V6933" s="79" t="str">
        <f>IF(ISERROR(FIND('112'!$M$9,G6933,1)),"",IF((AND(RIGHT(G6933,2)=RIGHT('112'!$M$9,2),B6933&lt;'112'!$K$9,$O6933='112'!$I$6)),"x",""))</f>
        <v/>
      </c>
      <c r="W6933" s="79" t="str">
        <f>IF(AND('341-CT'!$H$9=H6933,OR(LEFT(N6933,3)=$W$7,LEFT(O6933,3)=$W$7)),"x","")</f>
        <v/>
      </c>
      <c r="X6933" s="79" t="str">
        <f>IF(OR(TH!N6933=TH!$X$7,O6933=TH!$X$7),"x","")</f>
        <v/>
      </c>
      <c r="Y6933" s="79" t="str">
        <f>IF(AND(OR(N6933="131",O6933="131"),H6933='131-CT'!$H$9),"x","")</f>
        <v/>
      </c>
      <c r="Z6933" s="79"/>
      <c r="AA6933" s="79" t="str">
        <f>IF(AND(MONTH(E6933)='IN-NX'!$J$5,'IN-NX'!$D$7=D6933),"x","")</f>
        <v/>
      </c>
      <c r="AB6933" s="79" t="str">
        <f>IF(AND(OR(LEFT(TH!N6933,2)="15",LEFT(TH!O6933,2)="15"),LEFT(TH!O6933,3)&lt;&gt;"111",'152-CT'!$J$8=TH!F6933),"x","")</f>
        <v/>
      </c>
      <c r="AC6933" s="79" t="str">
        <f>IF(AND(OR(LEFT(TH!N6933,2)="15",LEFT(TH!O6933,2)="15"),TK!$E$7=TH!F6933),"x","")</f>
        <v/>
      </c>
      <c r="AD6933" s="79" t="str">
        <f>IF(AND(N6933="1521",MONTH(C6933)='BK-NL'!$M$11),"x","")</f>
        <v/>
      </c>
    </row>
    <row r="6934" spans="1:30" ht="16.5" customHeight="1">
      <c r="A6934" s="318" t="str">
        <f>IF(B6934&lt;&gt;"",IF(AND(B6934='IN-TC'!$S$4,OR(TH!N6934="1111",TH!O6934="1111")),TH!D6934,""),"")</f>
        <v/>
      </c>
      <c r="B6934" s="1163" t="str">
        <f t="shared" si="529"/>
        <v/>
      </c>
      <c r="C6934" s="61"/>
      <c r="D6934" s="61"/>
      <c r="E6934" s="61"/>
      <c r="F6934" s="69"/>
      <c r="G6934" s="64"/>
      <c r="H6934" s="69"/>
      <c r="I6934" s="385"/>
      <c r="J6934" s="392"/>
      <c r="K6934" s="385"/>
      <c r="L6934" s="392"/>
      <c r="M6934" s="62"/>
      <c r="N6934" s="63"/>
      <c r="O6934" s="63"/>
      <c r="P6934" s="79" t="str">
        <f>IF(AND('331-CT'!$E$7=TH!H6934,OR(N6934="331",O6934="331")),"x","")</f>
        <v/>
      </c>
      <c r="Q6934" s="79" t="str">
        <f>IF(AND(B6934='111'!$L$11,OR($N6934=$Q$7,$O6934=$Q$7)),"x","")</f>
        <v/>
      </c>
      <c r="R6934" s="79" t="str">
        <f>IF(AND($N6934=$Q$7,$B6934&lt;'111'!$L$11),"x","")</f>
        <v/>
      </c>
      <c r="S6934" s="79" t="str">
        <f>IF(AND($O6934=$Q$7,$B6934&lt;'111'!$L$11),"x","")</f>
        <v/>
      </c>
      <c r="T6934" s="79" t="str">
        <f>IF(ISERROR(FIND('112'!$M$9,G6934,1)),"",IF((AND(FIND('112'!$M$9,G6934,1)&gt;=1,B6934='112'!$K$9,OR($N6934='112'!$I$6,$O6934='112'!$I$6))),"x",""))</f>
        <v/>
      </c>
      <c r="U6934" s="79" t="str">
        <f>IF(ISERROR(FIND('112'!$M$9,G6934,1)),"",IF((AND(LEFT(G6934,2)=LEFT('112'!$M$9,2),B6934&lt;'112'!$K$9,$N6934='112'!$I$6)),"x",""))</f>
        <v/>
      </c>
      <c r="V6934" s="79" t="str">
        <f>IF(ISERROR(FIND('112'!$M$9,G6934,1)),"",IF((AND(RIGHT(G6934,2)=RIGHT('112'!$M$9,2),B6934&lt;'112'!$K$9,$O6934='112'!$I$6)),"x",""))</f>
        <v/>
      </c>
      <c r="W6934" s="79" t="str">
        <f>IF(AND('341-CT'!$H$9=H6934,OR(LEFT(N6934,3)=$W$7,LEFT(O6934,3)=$W$7)),"x","")</f>
        <v/>
      </c>
      <c r="X6934" s="79" t="str">
        <f>IF(OR(TH!N6934=TH!$X$7,O6934=TH!$X$7),"x","")</f>
        <v/>
      </c>
      <c r="Y6934" s="79" t="str">
        <f>IF(AND(OR(N6934="131",O6934="131"),H6934='131-CT'!$H$9),"x","")</f>
        <v/>
      </c>
      <c r="Z6934" s="79"/>
      <c r="AA6934" s="79" t="str">
        <f>IF(AND(MONTH(E6934)='IN-NX'!$J$5,'IN-NX'!$D$7=D6934),"x","")</f>
        <v/>
      </c>
      <c r="AB6934" s="79" t="str">
        <f>IF(AND(OR(LEFT(TH!N6934,2)="15",LEFT(TH!O6934,2)="15"),LEFT(TH!O6934,3)&lt;&gt;"111",'152-CT'!$J$8=TH!F6934),"x","")</f>
        <v/>
      </c>
      <c r="AC6934" s="79" t="str">
        <f>IF(AND(OR(LEFT(TH!N6934,2)="15",LEFT(TH!O6934,2)="15"),TK!$E$7=TH!F6934),"x","")</f>
        <v/>
      </c>
      <c r="AD6934" s="79" t="str">
        <f>IF(AND(N6934="1521",MONTH(C6934)='BK-NL'!$M$11),"x","")</f>
        <v/>
      </c>
    </row>
    <row r="6935" spans="1:30" ht="16.5" customHeight="1">
      <c r="A6935" s="318" t="str">
        <f>IF(B6935&lt;&gt;"",IF(AND(B6935='IN-TC'!$S$4,OR(TH!N6935="1111",TH!O6935="1111")),TH!D6935,""),"")</f>
        <v/>
      </c>
      <c r="B6935" s="1163" t="str">
        <f t="shared" si="529"/>
        <v/>
      </c>
      <c r="C6935" s="61"/>
      <c r="D6935" s="61"/>
      <c r="E6935" s="61"/>
      <c r="F6935" s="69"/>
      <c r="G6935" s="64"/>
      <c r="H6935" s="69"/>
      <c r="I6935" s="385"/>
      <c r="J6935" s="392"/>
      <c r="K6935" s="385"/>
      <c r="L6935" s="392"/>
      <c r="M6935" s="62"/>
      <c r="N6935" s="63"/>
      <c r="O6935" s="63"/>
      <c r="P6935" s="79" t="str">
        <f>IF(AND('331-CT'!$E$7=TH!H6935,OR(N6935="331",O6935="331")),"x","")</f>
        <v/>
      </c>
      <c r="Q6935" s="79" t="str">
        <f>IF(AND(B6935='111'!$L$11,OR($N6935=$Q$7,$O6935=$Q$7)),"x","")</f>
        <v/>
      </c>
      <c r="R6935" s="79" t="str">
        <f>IF(AND($N6935=$Q$7,$B6935&lt;'111'!$L$11),"x","")</f>
        <v/>
      </c>
      <c r="S6935" s="79" t="str">
        <f>IF(AND($O6935=$Q$7,$B6935&lt;'111'!$L$11),"x","")</f>
        <v/>
      </c>
      <c r="T6935" s="79" t="str">
        <f>IF(ISERROR(FIND('112'!$M$9,G6935,1)),"",IF((AND(FIND('112'!$M$9,G6935,1)&gt;=1,B6935='112'!$K$9,OR($N6935='112'!$I$6,$O6935='112'!$I$6))),"x",""))</f>
        <v/>
      </c>
      <c r="U6935" s="79" t="str">
        <f>IF(ISERROR(FIND('112'!$M$9,G6935,1)),"",IF((AND(LEFT(G6935,2)=LEFT('112'!$M$9,2),B6935&lt;'112'!$K$9,$N6935='112'!$I$6)),"x",""))</f>
        <v/>
      </c>
      <c r="V6935" s="79" t="str">
        <f>IF(ISERROR(FIND('112'!$M$9,G6935,1)),"",IF((AND(RIGHT(G6935,2)=RIGHT('112'!$M$9,2),B6935&lt;'112'!$K$9,$O6935='112'!$I$6)),"x",""))</f>
        <v/>
      </c>
      <c r="W6935" s="79" t="str">
        <f>IF(AND('341-CT'!$H$9=H6935,OR(LEFT(N6935,3)=$W$7,LEFT(O6935,3)=$W$7)),"x","")</f>
        <v/>
      </c>
      <c r="X6935" s="79" t="str">
        <f>IF(OR(TH!N6935=TH!$X$7,O6935=TH!$X$7),"x","")</f>
        <v/>
      </c>
      <c r="Y6935" s="79" t="str">
        <f>IF(AND(OR(N6935="131",O6935="131"),H6935='131-CT'!$H$9),"x","")</f>
        <v/>
      </c>
      <c r="Z6935" s="79"/>
      <c r="AA6935" s="79" t="str">
        <f>IF(AND(MONTH(E6935)='IN-NX'!$J$5,'IN-NX'!$D$7=D6935),"x","")</f>
        <v/>
      </c>
      <c r="AB6935" s="79" t="str">
        <f>IF(AND(OR(LEFT(TH!N6935,2)="15",LEFT(TH!O6935,2)="15"),LEFT(TH!O6935,3)&lt;&gt;"111",'152-CT'!$J$8=TH!F6935),"x","")</f>
        <v/>
      </c>
      <c r="AC6935" s="79" t="str">
        <f>IF(AND(OR(LEFT(TH!N6935,2)="15",LEFT(TH!O6935,2)="15"),TK!$E$7=TH!F6935),"x","")</f>
        <v/>
      </c>
      <c r="AD6935" s="79" t="str">
        <f>IF(AND(N6935="1521",MONTH(C6935)='BK-NL'!$M$11),"x","")</f>
        <v/>
      </c>
    </row>
    <row r="6936" spans="1:30" ht="16.5" customHeight="1">
      <c r="A6936" s="318" t="str">
        <f>IF(B6936&lt;&gt;"",IF(AND(B6936='IN-TC'!$S$4,OR(TH!N6936="1111",TH!O6936="1111")),TH!D6936,""),"")</f>
        <v/>
      </c>
      <c r="B6936" s="1163" t="str">
        <f t="shared" si="529"/>
        <v/>
      </c>
      <c r="C6936" s="61"/>
      <c r="D6936" s="61"/>
      <c r="E6936" s="61"/>
      <c r="F6936" s="69"/>
      <c r="G6936" s="64"/>
      <c r="H6936" s="69"/>
      <c r="I6936" s="385"/>
      <c r="J6936" s="392"/>
      <c r="K6936" s="385"/>
      <c r="L6936" s="392"/>
      <c r="M6936" s="62"/>
      <c r="N6936" s="63"/>
      <c r="O6936" s="63"/>
      <c r="P6936" s="79" t="str">
        <f>IF(AND('331-CT'!$E$7=TH!H6936,OR(N6936="331",O6936="331")),"x","")</f>
        <v/>
      </c>
      <c r="Q6936" s="79" t="str">
        <f>IF(AND(B6936='111'!$L$11,OR($N6936=$Q$7,$O6936=$Q$7)),"x","")</f>
        <v/>
      </c>
      <c r="R6936" s="79" t="str">
        <f>IF(AND($N6936=$Q$7,$B6936&lt;'111'!$L$11),"x","")</f>
        <v/>
      </c>
      <c r="S6936" s="79" t="str">
        <f>IF(AND($O6936=$Q$7,$B6936&lt;'111'!$L$11),"x","")</f>
        <v/>
      </c>
      <c r="T6936" s="79" t="str">
        <f>IF(ISERROR(FIND('112'!$M$9,G6936,1)),"",IF((AND(FIND('112'!$M$9,G6936,1)&gt;=1,B6936='112'!$K$9,OR($N6936='112'!$I$6,$O6936='112'!$I$6))),"x",""))</f>
        <v/>
      </c>
      <c r="U6936" s="79" t="str">
        <f>IF(ISERROR(FIND('112'!$M$9,G6936,1)),"",IF((AND(LEFT(G6936,2)=LEFT('112'!$M$9,2),B6936&lt;'112'!$K$9,$N6936='112'!$I$6)),"x",""))</f>
        <v/>
      </c>
      <c r="V6936" s="79" t="str">
        <f>IF(ISERROR(FIND('112'!$M$9,G6936,1)),"",IF((AND(RIGHT(G6936,2)=RIGHT('112'!$M$9,2),B6936&lt;'112'!$K$9,$O6936='112'!$I$6)),"x",""))</f>
        <v/>
      </c>
      <c r="W6936" s="79" t="str">
        <f>IF(AND('341-CT'!$H$9=H6936,OR(LEFT(N6936,3)=$W$7,LEFT(O6936,3)=$W$7)),"x","")</f>
        <v/>
      </c>
      <c r="X6936" s="79" t="str">
        <f>IF(OR(TH!N6936=TH!$X$7,O6936=TH!$X$7),"x","")</f>
        <v/>
      </c>
      <c r="Y6936" s="79" t="str">
        <f>IF(AND(OR(N6936="131",O6936="131"),H6936='131-CT'!$H$9),"x","")</f>
        <v/>
      </c>
      <c r="Z6936" s="79"/>
      <c r="AA6936" s="79" t="str">
        <f>IF(AND(MONTH(E6936)='IN-NX'!$J$5,'IN-NX'!$D$7=D6936),"x","")</f>
        <v/>
      </c>
      <c r="AB6936" s="79" t="str">
        <f>IF(AND(OR(LEFT(TH!N6936,2)="15",LEFT(TH!O6936,2)="15"),LEFT(TH!O6936,3)&lt;&gt;"111",'152-CT'!$J$8=TH!F6936),"x","")</f>
        <v/>
      </c>
      <c r="AC6936" s="79" t="str">
        <f>IF(AND(OR(LEFT(TH!N6936,2)="15",LEFT(TH!O6936,2)="15"),TK!$E$7=TH!F6936),"x","")</f>
        <v/>
      </c>
      <c r="AD6936" s="79" t="str">
        <f>IF(AND(N6936="1521",MONTH(C6936)='BK-NL'!$M$11),"x","")</f>
        <v/>
      </c>
    </row>
    <row r="6937" spans="1:30" ht="16.5" customHeight="1">
      <c r="A6937" s="318" t="str">
        <f>IF(B6937&lt;&gt;"",IF(AND(B6937='IN-TC'!$S$4,OR(TH!N6937="1111",TH!O6937="1111")),TH!D6937,""),"")</f>
        <v/>
      </c>
      <c r="B6937" s="1163" t="str">
        <f t="shared" si="529"/>
        <v/>
      </c>
      <c r="C6937" s="61"/>
      <c r="D6937" s="61"/>
      <c r="E6937" s="61"/>
      <c r="F6937" s="69"/>
      <c r="G6937" s="64"/>
      <c r="H6937" s="69"/>
      <c r="I6937" s="385"/>
      <c r="J6937" s="392"/>
      <c r="K6937" s="385"/>
      <c r="L6937" s="392"/>
      <c r="M6937" s="62"/>
      <c r="N6937" s="63"/>
      <c r="O6937" s="63"/>
      <c r="P6937" s="79" t="str">
        <f>IF(AND('331-CT'!$E$7=TH!H6937,OR(N6937="331",O6937="331")),"x","")</f>
        <v/>
      </c>
      <c r="Q6937" s="79" t="str">
        <f>IF(AND(B6937='111'!$L$11,OR($N6937=$Q$7,$O6937=$Q$7)),"x","")</f>
        <v/>
      </c>
      <c r="R6937" s="79" t="str">
        <f>IF(AND($N6937=$Q$7,$B6937&lt;'111'!$L$11),"x","")</f>
        <v/>
      </c>
      <c r="S6937" s="79" t="str">
        <f>IF(AND($O6937=$Q$7,$B6937&lt;'111'!$L$11),"x","")</f>
        <v/>
      </c>
      <c r="T6937" s="79" t="str">
        <f>IF(ISERROR(FIND('112'!$M$9,G6937,1)),"",IF((AND(FIND('112'!$M$9,G6937,1)&gt;=1,B6937='112'!$K$9,OR($N6937='112'!$I$6,$O6937='112'!$I$6))),"x",""))</f>
        <v/>
      </c>
      <c r="U6937" s="79" t="str">
        <f>IF(ISERROR(FIND('112'!$M$9,G6937,1)),"",IF((AND(LEFT(G6937,2)=LEFT('112'!$M$9,2),B6937&lt;'112'!$K$9,$N6937='112'!$I$6)),"x",""))</f>
        <v/>
      </c>
      <c r="V6937" s="79" t="str">
        <f>IF(ISERROR(FIND('112'!$M$9,G6937,1)),"",IF((AND(RIGHT(G6937,2)=RIGHT('112'!$M$9,2),B6937&lt;'112'!$K$9,$O6937='112'!$I$6)),"x",""))</f>
        <v/>
      </c>
      <c r="W6937" s="79" t="str">
        <f>IF(AND('341-CT'!$H$9=H6937,OR(LEFT(N6937,3)=$W$7,LEFT(O6937,3)=$W$7)),"x","")</f>
        <v/>
      </c>
      <c r="X6937" s="79" t="str">
        <f>IF(OR(TH!N6937=TH!$X$7,O6937=TH!$X$7),"x","")</f>
        <v/>
      </c>
      <c r="Y6937" s="79" t="str">
        <f>IF(AND(OR(N6937="131",O6937="131"),H6937='131-CT'!$H$9),"x","")</f>
        <v/>
      </c>
      <c r="Z6937" s="79"/>
      <c r="AA6937" s="79" t="str">
        <f>IF(AND(MONTH(E6937)='IN-NX'!$J$5,'IN-NX'!$D$7=D6937),"x","")</f>
        <v/>
      </c>
      <c r="AB6937" s="79" t="str">
        <f>IF(AND(OR(LEFT(TH!N6937,2)="15",LEFT(TH!O6937,2)="15"),LEFT(TH!O6937,3)&lt;&gt;"111",'152-CT'!$J$8=TH!F6937),"x","")</f>
        <v/>
      </c>
      <c r="AC6937" s="79" t="str">
        <f>IF(AND(OR(LEFT(TH!N6937,2)="15",LEFT(TH!O6937,2)="15"),TK!$E$7=TH!F6937),"x","")</f>
        <v/>
      </c>
      <c r="AD6937" s="79" t="str">
        <f>IF(AND(N6937="1521",MONTH(C6937)='BK-NL'!$M$11),"x","")</f>
        <v/>
      </c>
    </row>
    <row r="6938" spans="1:30" ht="16.5" customHeight="1">
      <c r="A6938" s="318" t="str">
        <f>IF(B6938&lt;&gt;"",IF(AND(B6938='IN-TC'!$S$4,OR(TH!N6938="1111",TH!O6938="1111")),TH!D6938,""),"")</f>
        <v/>
      </c>
      <c r="B6938" s="1163" t="str">
        <f t="shared" si="529"/>
        <v/>
      </c>
      <c r="C6938" s="61"/>
      <c r="D6938" s="61"/>
      <c r="E6938" s="61"/>
      <c r="F6938" s="69"/>
      <c r="G6938" s="64"/>
      <c r="H6938" s="69"/>
      <c r="I6938" s="385"/>
      <c r="J6938" s="392"/>
      <c r="K6938" s="385"/>
      <c r="L6938" s="392"/>
      <c r="M6938" s="62"/>
      <c r="N6938" s="63"/>
      <c r="O6938" s="63"/>
      <c r="P6938" s="79" t="str">
        <f>IF(AND('331-CT'!$E$7=TH!H6938,OR(N6938="331",O6938="331")),"x","")</f>
        <v/>
      </c>
      <c r="Q6938" s="79" t="str">
        <f>IF(AND(B6938='111'!$L$11,OR($N6938=$Q$7,$O6938=$Q$7)),"x","")</f>
        <v/>
      </c>
      <c r="R6938" s="79" t="str">
        <f>IF(AND($N6938=$Q$7,$B6938&lt;'111'!$L$11),"x","")</f>
        <v/>
      </c>
      <c r="S6938" s="79" t="str">
        <f>IF(AND($O6938=$Q$7,$B6938&lt;'111'!$L$11),"x","")</f>
        <v/>
      </c>
      <c r="T6938" s="79" t="str">
        <f>IF(ISERROR(FIND('112'!$M$9,G6938,1)),"",IF((AND(FIND('112'!$M$9,G6938,1)&gt;=1,B6938='112'!$K$9,OR($N6938='112'!$I$6,$O6938='112'!$I$6))),"x",""))</f>
        <v/>
      </c>
      <c r="U6938" s="79" t="str">
        <f>IF(ISERROR(FIND('112'!$M$9,G6938,1)),"",IF((AND(LEFT(G6938,2)=LEFT('112'!$M$9,2),B6938&lt;'112'!$K$9,$N6938='112'!$I$6)),"x",""))</f>
        <v/>
      </c>
      <c r="V6938" s="79" t="str">
        <f>IF(ISERROR(FIND('112'!$M$9,G6938,1)),"",IF((AND(RIGHT(G6938,2)=RIGHT('112'!$M$9,2),B6938&lt;'112'!$K$9,$O6938='112'!$I$6)),"x",""))</f>
        <v/>
      </c>
      <c r="W6938" s="79" t="str">
        <f>IF(AND('341-CT'!$H$9=H6938,OR(LEFT(N6938,3)=$W$7,LEFT(O6938,3)=$W$7)),"x","")</f>
        <v/>
      </c>
      <c r="X6938" s="79" t="str">
        <f>IF(OR(TH!N6938=TH!$X$7,O6938=TH!$X$7),"x","")</f>
        <v/>
      </c>
      <c r="Y6938" s="79" t="str">
        <f>IF(AND(OR(N6938="131",O6938="131"),H6938='131-CT'!$H$9),"x","")</f>
        <v/>
      </c>
      <c r="Z6938" s="79"/>
      <c r="AA6938" s="79" t="str">
        <f>IF(AND(MONTH(E6938)='IN-NX'!$J$5,'IN-NX'!$D$7=D6938),"x","")</f>
        <v/>
      </c>
      <c r="AB6938" s="79" t="str">
        <f>IF(AND(OR(LEFT(TH!N6938,2)="15",LEFT(TH!O6938,2)="15"),LEFT(TH!O6938,3)&lt;&gt;"111",'152-CT'!$J$8=TH!F6938),"x","")</f>
        <v/>
      </c>
      <c r="AC6938" s="79" t="str">
        <f>IF(AND(OR(LEFT(TH!N6938,2)="15",LEFT(TH!O6938,2)="15"),TK!$E$7=TH!F6938),"x","")</f>
        <v/>
      </c>
      <c r="AD6938" s="79" t="str">
        <f>IF(AND(N6938="1521",MONTH(C6938)='BK-NL'!$M$11),"x","")</f>
        <v/>
      </c>
    </row>
    <row r="6939" spans="1:30" ht="16.5" customHeight="1">
      <c r="A6939" s="318" t="str">
        <f>IF(B6939&lt;&gt;"",IF(AND(B6939='IN-TC'!$S$4,OR(TH!N6939="1111",TH!O6939="1111")),TH!D6939,""),"")</f>
        <v/>
      </c>
      <c r="B6939" s="1163" t="str">
        <f t="shared" si="529"/>
        <v/>
      </c>
      <c r="C6939" s="61"/>
      <c r="D6939" s="61"/>
      <c r="E6939" s="61"/>
      <c r="F6939" s="69"/>
      <c r="G6939" s="64"/>
      <c r="H6939" s="69"/>
      <c r="I6939" s="385"/>
      <c r="J6939" s="392"/>
      <c r="K6939" s="385"/>
      <c r="L6939" s="392"/>
      <c r="M6939" s="62"/>
      <c r="N6939" s="63"/>
      <c r="O6939" s="63"/>
      <c r="P6939" s="79" t="str">
        <f>IF(AND('331-CT'!$E$7=TH!H6939,OR(N6939="331",O6939="331")),"x","")</f>
        <v/>
      </c>
      <c r="Q6939" s="79" t="str">
        <f>IF(AND(B6939='111'!$L$11,OR($N6939=$Q$7,$O6939=$Q$7)),"x","")</f>
        <v/>
      </c>
      <c r="R6939" s="79" t="str">
        <f>IF(AND($N6939=$Q$7,$B6939&lt;'111'!$L$11),"x","")</f>
        <v/>
      </c>
      <c r="S6939" s="79" t="str">
        <f>IF(AND($O6939=$Q$7,$B6939&lt;'111'!$L$11),"x","")</f>
        <v/>
      </c>
      <c r="T6939" s="79" t="str">
        <f>IF(ISERROR(FIND('112'!$M$9,G6939,1)),"",IF((AND(FIND('112'!$M$9,G6939,1)&gt;=1,B6939='112'!$K$9,OR($N6939='112'!$I$6,$O6939='112'!$I$6))),"x",""))</f>
        <v/>
      </c>
      <c r="U6939" s="79" t="str">
        <f>IF(ISERROR(FIND('112'!$M$9,G6939,1)),"",IF((AND(LEFT(G6939,2)=LEFT('112'!$M$9,2),B6939&lt;'112'!$K$9,$N6939='112'!$I$6)),"x",""))</f>
        <v/>
      </c>
      <c r="V6939" s="79" t="str">
        <f>IF(ISERROR(FIND('112'!$M$9,G6939,1)),"",IF((AND(RIGHT(G6939,2)=RIGHT('112'!$M$9,2),B6939&lt;'112'!$K$9,$O6939='112'!$I$6)),"x",""))</f>
        <v/>
      </c>
      <c r="W6939" s="79" t="str">
        <f>IF(AND('341-CT'!$H$9=H6939,OR(LEFT(N6939,3)=$W$7,LEFT(O6939,3)=$W$7)),"x","")</f>
        <v/>
      </c>
      <c r="X6939" s="79" t="str">
        <f>IF(OR(TH!N6939=TH!$X$7,O6939=TH!$X$7),"x","")</f>
        <v/>
      </c>
      <c r="Y6939" s="79" t="str">
        <f>IF(AND(OR(N6939="131",O6939="131"),H6939='131-CT'!$H$9),"x","")</f>
        <v/>
      </c>
      <c r="Z6939" s="79"/>
      <c r="AA6939" s="79" t="str">
        <f>IF(AND(MONTH(E6939)='IN-NX'!$J$5,'IN-NX'!$D$7=D6939),"x","")</f>
        <v/>
      </c>
      <c r="AB6939" s="79" t="str">
        <f>IF(AND(OR(LEFT(TH!N6939,2)="15",LEFT(TH!O6939,2)="15"),LEFT(TH!O6939,3)&lt;&gt;"111",'152-CT'!$J$8=TH!F6939),"x","")</f>
        <v/>
      </c>
      <c r="AC6939" s="79" t="str">
        <f>IF(AND(OR(LEFT(TH!N6939,2)="15",LEFT(TH!O6939,2)="15"),TK!$E$7=TH!F6939),"x","")</f>
        <v/>
      </c>
      <c r="AD6939" s="79" t="str">
        <f>IF(AND(N6939="1521",MONTH(C6939)='BK-NL'!$M$11),"x","")</f>
        <v/>
      </c>
    </row>
    <row r="6940" spans="1:30" ht="16.5" customHeight="1">
      <c r="A6940" s="318" t="str">
        <f>IF(B6940&lt;&gt;"",IF(AND(B6940='IN-TC'!$S$4,OR(TH!N6940="1111",TH!O6940="1111")),TH!D6940,""),"")</f>
        <v/>
      </c>
      <c r="B6940" s="1163" t="str">
        <f t="shared" si="529"/>
        <v/>
      </c>
      <c r="C6940" s="61"/>
      <c r="D6940" s="61"/>
      <c r="E6940" s="61"/>
      <c r="F6940" s="69"/>
      <c r="G6940" s="64"/>
      <c r="H6940" s="69"/>
      <c r="I6940" s="385"/>
      <c r="J6940" s="392"/>
      <c r="K6940" s="385"/>
      <c r="L6940" s="392"/>
      <c r="M6940" s="62"/>
      <c r="N6940" s="63"/>
      <c r="O6940" s="63"/>
      <c r="P6940" s="79" t="str">
        <f>IF(AND('331-CT'!$E$7=TH!H6940,OR(N6940="331",O6940="331")),"x","")</f>
        <v/>
      </c>
      <c r="Q6940" s="79" t="str">
        <f>IF(AND(B6940='111'!$L$11,OR($N6940=$Q$7,$O6940=$Q$7)),"x","")</f>
        <v/>
      </c>
      <c r="R6940" s="79" t="str">
        <f>IF(AND($N6940=$Q$7,$B6940&lt;'111'!$L$11),"x","")</f>
        <v/>
      </c>
      <c r="S6940" s="79" t="str">
        <f>IF(AND($O6940=$Q$7,$B6940&lt;'111'!$L$11),"x","")</f>
        <v/>
      </c>
      <c r="T6940" s="79" t="str">
        <f>IF(ISERROR(FIND('112'!$M$9,G6940,1)),"",IF((AND(FIND('112'!$M$9,G6940,1)&gt;=1,B6940='112'!$K$9,OR($N6940='112'!$I$6,$O6940='112'!$I$6))),"x",""))</f>
        <v/>
      </c>
      <c r="U6940" s="79" t="str">
        <f>IF(ISERROR(FIND('112'!$M$9,G6940,1)),"",IF((AND(LEFT(G6940,2)=LEFT('112'!$M$9,2),B6940&lt;'112'!$K$9,$N6940='112'!$I$6)),"x",""))</f>
        <v/>
      </c>
      <c r="V6940" s="79" t="str">
        <f>IF(ISERROR(FIND('112'!$M$9,G6940,1)),"",IF((AND(RIGHT(G6940,2)=RIGHT('112'!$M$9,2),B6940&lt;'112'!$K$9,$O6940='112'!$I$6)),"x",""))</f>
        <v/>
      </c>
      <c r="W6940" s="79" t="str">
        <f>IF(AND('341-CT'!$H$9=H6940,OR(LEFT(N6940,3)=$W$7,LEFT(O6940,3)=$W$7)),"x","")</f>
        <v/>
      </c>
      <c r="X6940" s="79" t="str">
        <f>IF(OR(TH!N6940=TH!$X$7,O6940=TH!$X$7),"x","")</f>
        <v/>
      </c>
      <c r="Y6940" s="79" t="str">
        <f>IF(AND(OR(N6940="131",O6940="131"),H6940='131-CT'!$H$9),"x","")</f>
        <v/>
      </c>
      <c r="Z6940" s="79"/>
      <c r="AA6940" s="79" t="str">
        <f>IF(AND(MONTH(E6940)='IN-NX'!$J$5,'IN-NX'!$D$7=D6940),"x","")</f>
        <v/>
      </c>
      <c r="AB6940" s="79" t="str">
        <f>IF(AND(OR(LEFT(TH!N6940,2)="15",LEFT(TH!O6940,2)="15"),LEFT(TH!O6940,3)&lt;&gt;"111",'152-CT'!$J$8=TH!F6940),"x","")</f>
        <v/>
      </c>
      <c r="AC6940" s="79" t="str">
        <f>IF(AND(OR(LEFT(TH!N6940,2)="15",LEFT(TH!O6940,2)="15"),TK!$E$7=TH!F6940),"x","")</f>
        <v/>
      </c>
      <c r="AD6940" s="79" t="str">
        <f>IF(AND(N6940="1521",MONTH(C6940)='BK-NL'!$M$11),"x","")</f>
        <v/>
      </c>
    </row>
    <row r="6941" spans="1:30" ht="16.5" customHeight="1">
      <c r="A6941" s="318" t="str">
        <f>IF(B6941&lt;&gt;"",IF(AND(B6941='IN-TC'!$S$4,OR(TH!N6941="1111",TH!O6941="1111")),TH!D6941,""),"")</f>
        <v/>
      </c>
      <c r="B6941" s="1163" t="str">
        <f t="shared" si="529"/>
        <v/>
      </c>
      <c r="C6941" s="61"/>
      <c r="D6941" s="61"/>
      <c r="E6941" s="61"/>
      <c r="F6941" s="69"/>
      <c r="G6941" s="64"/>
      <c r="H6941" s="69"/>
      <c r="I6941" s="385"/>
      <c r="J6941" s="392"/>
      <c r="K6941" s="385"/>
      <c r="L6941" s="392"/>
      <c r="M6941" s="62"/>
      <c r="N6941" s="63"/>
      <c r="O6941" s="63"/>
      <c r="P6941" s="79" t="str">
        <f>IF(AND('331-CT'!$E$7=TH!H6941,OR(N6941="331",O6941="331")),"x","")</f>
        <v/>
      </c>
      <c r="Q6941" s="79" t="str">
        <f>IF(AND(B6941='111'!$L$11,OR($N6941=$Q$7,$O6941=$Q$7)),"x","")</f>
        <v/>
      </c>
      <c r="R6941" s="79" t="str">
        <f>IF(AND($N6941=$Q$7,$B6941&lt;'111'!$L$11),"x","")</f>
        <v/>
      </c>
      <c r="S6941" s="79" t="str">
        <f>IF(AND($O6941=$Q$7,$B6941&lt;'111'!$L$11),"x","")</f>
        <v/>
      </c>
      <c r="T6941" s="79" t="str">
        <f>IF(ISERROR(FIND('112'!$M$9,G6941,1)),"",IF((AND(FIND('112'!$M$9,G6941,1)&gt;=1,B6941='112'!$K$9,OR($N6941='112'!$I$6,$O6941='112'!$I$6))),"x",""))</f>
        <v/>
      </c>
      <c r="U6941" s="79" t="str">
        <f>IF(ISERROR(FIND('112'!$M$9,G6941,1)),"",IF((AND(LEFT(G6941,2)=LEFT('112'!$M$9,2),B6941&lt;'112'!$K$9,$N6941='112'!$I$6)),"x",""))</f>
        <v/>
      </c>
      <c r="V6941" s="79" t="str">
        <f>IF(ISERROR(FIND('112'!$M$9,G6941,1)),"",IF((AND(RIGHT(G6941,2)=RIGHT('112'!$M$9,2),B6941&lt;'112'!$K$9,$O6941='112'!$I$6)),"x",""))</f>
        <v/>
      </c>
      <c r="W6941" s="79" t="str">
        <f>IF(AND('341-CT'!$H$9=H6941,OR(LEFT(N6941,3)=$W$7,LEFT(O6941,3)=$W$7)),"x","")</f>
        <v/>
      </c>
      <c r="X6941" s="79" t="str">
        <f>IF(OR(TH!N6941=TH!$X$7,O6941=TH!$X$7),"x","")</f>
        <v/>
      </c>
      <c r="Y6941" s="79" t="str">
        <f>IF(AND(OR(N6941="131",O6941="131"),H6941='131-CT'!$H$9),"x","")</f>
        <v/>
      </c>
      <c r="Z6941" s="79"/>
      <c r="AA6941" s="79" t="str">
        <f>IF(AND(MONTH(E6941)='IN-NX'!$J$5,'IN-NX'!$D$7=D6941),"x","")</f>
        <v/>
      </c>
      <c r="AB6941" s="79" t="str">
        <f>IF(AND(OR(LEFT(TH!N6941,2)="15",LEFT(TH!O6941,2)="15"),LEFT(TH!O6941,3)&lt;&gt;"111",'152-CT'!$J$8=TH!F6941),"x","")</f>
        <v/>
      </c>
      <c r="AC6941" s="79" t="str">
        <f>IF(AND(OR(LEFT(TH!N6941,2)="15",LEFT(TH!O6941,2)="15"),TK!$E$7=TH!F6941),"x","")</f>
        <v/>
      </c>
      <c r="AD6941" s="79" t="str">
        <f>IF(AND(N6941="1521",MONTH(C6941)='BK-NL'!$M$11),"x","")</f>
        <v/>
      </c>
    </row>
    <row r="6942" spans="1:30" ht="16.5" customHeight="1">
      <c r="A6942" s="318" t="str">
        <f>IF(B6942&lt;&gt;"",IF(AND(B6942='IN-TC'!$S$4,OR(TH!N6942="1111",TH!O6942="1111")),TH!D6942,""),"")</f>
        <v/>
      </c>
      <c r="B6942" s="1163" t="str">
        <f t="shared" si="529"/>
        <v/>
      </c>
      <c r="C6942" s="61"/>
      <c r="D6942" s="61"/>
      <c r="E6942" s="61"/>
      <c r="F6942" s="69"/>
      <c r="G6942" s="64"/>
      <c r="H6942" s="69"/>
      <c r="I6942" s="385"/>
      <c r="J6942" s="392"/>
      <c r="K6942" s="385"/>
      <c r="L6942" s="392"/>
      <c r="M6942" s="62"/>
      <c r="N6942" s="63"/>
      <c r="O6942" s="63"/>
      <c r="P6942" s="79" t="str">
        <f>IF(AND('331-CT'!$E$7=TH!H6942,OR(N6942="331",O6942="331")),"x","")</f>
        <v/>
      </c>
      <c r="Q6942" s="79" t="str">
        <f>IF(AND(B6942='111'!$L$11,OR($N6942=$Q$7,$O6942=$Q$7)),"x","")</f>
        <v/>
      </c>
      <c r="R6942" s="79" t="str">
        <f>IF(AND($N6942=$Q$7,$B6942&lt;'111'!$L$11),"x","")</f>
        <v/>
      </c>
      <c r="S6942" s="79" t="str">
        <f>IF(AND($O6942=$Q$7,$B6942&lt;'111'!$L$11),"x","")</f>
        <v/>
      </c>
      <c r="T6942" s="79" t="str">
        <f>IF(ISERROR(FIND('112'!$M$9,G6942,1)),"",IF((AND(FIND('112'!$M$9,G6942,1)&gt;=1,B6942='112'!$K$9,OR($N6942='112'!$I$6,$O6942='112'!$I$6))),"x",""))</f>
        <v/>
      </c>
      <c r="U6942" s="79" t="str">
        <f>IF(ISERROR(FIND('112'!$M$9,G6942,1)),"",IF((AND(LEFT(G6942,2)=LEFT('112'!$M$9,2),B6942&lt;'112'!$K$9,$N6942='112'!$I$6)),"x",""))</f>
        <v/>
      </c>
      <c r="V6942" s="79" t="str">
        <f>IF(ISERROR(FIND('112'!$M$9,G6942,1)),"",IF((AND(RIGHT(G6942,2)=RIGHT('112'!$M$9,2),B6942&lt;'112'!$K$9,$O6942='112'!$I$6)),"x",""))</f>
        <v/>
      </c>
      <c r="W6942" s="79" t="str">
        <f>IF(AND('341-CT'!$H$9=H6942,OR(LEFT(N6942,3)=$W$7,LEFT(O6942,3)=$W$7)),"x","")</f>
        <v/>
      </c>
      <c r="X6942" s="79" t="str">
        <f>IF(OR(TH!N6942=TH!$X$7,O6942=TH!$X$7),"x","")</f>
        <v/>
      </c>
      <c r="Y6942" s="79" t="str">
        <f>IF(AND(OR(N6942="131",O6942="131"),H6942='131-CT'!$H$9),"x","")</f>
        <v/>
      </c>
      <c r="Z6942" s="79"/>
      <c r="AA6942" s="79" t="str">
        <f>IF(AND(MONTH(E6942)='IN-NX'!$J$5,'IN-NX'!$D$7=D6942),"x","")</f>
        <v/>
      </c>
      <c r="AB6942" s="79" t="str">
        <f>IF(AND(OR(LEFT(TH!N6942,2)="15",LEFT(TH!O6942,2)="15"),LEFT(TH!O6942,3)&lt;&gt;"111",'152-CT'!$J$8=TH!F6942),"x","")</f>
        <v/>
      </c>
      <c r="AC6942" s="79" t="str">
        <f>IF(AND(OR(LEFT(TH!N6942,2)="15",LEFT(TH!O6942,2)="15"),TK!$E$7=TH!F6942),"x","")</f>
        <v/>
      </c>
      <c r="AD6942" s="79" t="str">
        <f>IF(AND(N6942="1521",MONTH(C6942)='BK-NL'!$M$11),"x","")</f>
        <v/>
      </c>
    </row>
    <row r="6943" spans="1:30" ht="16.5" customHeight="1">
      <c r="A6943" s="318" t="str">
        <f>IF(B6943&lt;&gt;"",IF(AND(B6943='IN-TC'!$S$4,OR(TH!N6943="1111",TH!O6943="1111")),TH!D6943,""),"")</f>
        <v/>
      </c>
      <c r="B6943" s="1163" t="str">
        <f t="shared" si="529"/>
        <v/>
      </c>
      <c r="C6943" s="61"/>
      <c r="D6943" s="61"/>
      <c r="E6943" s="61"/>
      <c r="F6943" s="69"/>
      <c r="G6943" s="64"/>
      <c r="H6943" s="69"/>
      <c r="I6943" s="385"/>
      <c r="J6943" s="392"/>
      <c r="K6943" s="385"/>
      <c r="L6943" s="392"/>
      <c r="M6943" s="62"/>
      <c r="N6943" s="63"/>
      <c r="O6943" s="63"/>
      <c r="P6943" s="79" t="str">
        <f>IF(AND('331-CT'!$E$7=TH!H6943,OR(N6943="331",O6943="331")),"x","")</f>
        <v/>
      </c>
      <c r="Q6943" s="79" t="str">
        <f>IF(AND(B6943='111'!$L$11,OR($N6943=$Q$7,$O6943=$Q$7)),"x","")</f>
        <v/>
      </c>
      <c r="R6943" s="79" t="str">
        <f>IF(AND($N6943=$Q$7,$B6943&lt;'111'!$L$11),"x","")</f>
        <v/>
      </c>
      <c r="S6943" s="79" t="str">
        <f>IF(AND($O6943=$Q$7,$B6943&lt;'111'!$L$11),"x","")</f>
        <v/>
      </c>
      <c r="T6943" s="79" t="str">
        <f>IF(ISERROR(FIND('112'!$M$9,G6943,1)),"",IF((AND(FIND('112'!$M$9,G6943,1)&gt;=1,B6943='112'!$K$9,OR($N6943='112'!$I$6,$O6943='112'!$I$6))),"x",""))</f>
        <v/>
      </c>
      <c r="U6943" s="79" t="str">
        <f>IF(ISERROR(FIND('112'!$M$9,G6943,1)),"",IF((AND(LEFT(G6943,2)=LEFT('112'!$M$9,2),B6943&lt;'112'!$K$9,$N6943='112'!$I$6)),"x",""))</f>
        <v/>
      </c>
      <c r="V6943" s="79" t="str">
        <f>IF(ISERROR(FIND('112'!$M$9,G6943,1)),"",IF((AND(RIGHT(G6943,2)=RIGHT('112'!$M$9,2),B6943&lt;'112'!$K$9,$O6943='112'!$I$6)),"x",""))</f>
        <v/>
      </c>
      <c r="W6943" s="79" t="str">
        <f>IF(AND('341-CT'!$H$9=H6943,OR(LEFT(N6943,3)=$W$7,LEFT(O6943,3)=$W$7)),"x","")</f>
        <v/>
      </c>
      <c r="X6943" s="79" t="str">
        <f>IF(OR(TH!N6943=TH!$X$7,O6943=TH!$X$7),"x","")</f>
        <v/>
      </c>
      <c r="Y6943" s="79" t="str">
        <f>IF(AND(OR(N6943="131",O6943="131"),H6943='131-CT'!$H$9),"x","")</f>
        <v/>
      </c>
      <c r="Z6943" s="79"/>
      <c r="AA6943" s="79" t="str">
        <f>IF(AND(MONTH(E6943)='IN-NX'!$J$5,'IN-NX'!$D$7=D6943),"x","")</f>
        <v/>
      </c>
      <c r="AB6943" s="79" t="str">
        <f>IF(AND(OR(LEFT(TH!N6943,2)="15",LEFT(TH!O6943,2)="15"),LEFT(TH!O6943,3)&lt;&gt;"111",'152-CT'!$J$8=TH!F6943),"x","")</f>
        <v/>
      </c>
      <c r="AC6943" s="79" t="str">
        <f>IF(AND(OR(LEFT(TH!N6943,2)="15",LEFT(TH!O6943,2)="15"),TK!$E$7=TH!F6943),"x","")</f>
        <v/>
      </c>
      <c r="AD6943" s="79" t="str">
        <f>IF(AND(N6943="1521",MONTH(C6943)='BK-NL'!$M$11),"x","")</f>
        <v/>
      </c>
    </row>
    <row r="6944" spans="1:30" ht="16.5" customHeight="1">
      <c r="A6944" s="318" t="str">
        <f>IF(B6944&lt;&gt;"",IF(AND(B6944='IN-TC'!$S$4,OR(TH!N6944="1111",TH!O6944="1111")),TH!D6944,""),"")</f>
        <v/>
      </c>
      <c r="B6944" s="1163" t="str">
        <f t="shared" si="529"/>
        <v/>
      </c>
      <c r="C6944" s="61"/>
      <c r="D6944" s="61"/>
      <c r="E6944" s="61"/>
      <c r="F6944" s="69"/>
      <c r="G6944" s="64"/>
      <c r="H6944" s="69"/>
      <c r="I6944" s="385"/>
      <c r="J6944" s="392"/>
      <c r="K6944" s="385"/>
      <c r="L6944" s="392"/>
      <c r="M6944" s="62"/>
      <c r="N6944" s="63"/>
      <c r="O6944" s="63"/>
      <c r="P6944" s="79" t="str">
        <f>IF(AND('331-CT'!$E$7=TH!H6944,OR(N6944="331",O6944="331")),"x","")</f>
        <v/>
      </c>
      <c r="Q6944" s="79" t="str">
        <f>IF(AND(B6944='111'!$L$11,OR($N6944=$Q$7,$O6944=$Q$7)),"x","")</f>
        <v/>
      </c>
      <c r="R6944" s="79" t="str">
        <f>IF(AND($N6944=$Q$7,$B6944&lt;'111'!$L$11),"x","")</f>
        <v/>
      </c>
      <c r="S6944" s="79" t="str">
        <f>IF(AND($O6944=$Q$7,$B6944&lt;'111'!$L$11),"x","")</f>
        <v/>
      </c>
      <c r="T6944" s="79" t="str">
        <f>IF(ISERROR(FIND('112'!$M$9,G6944,1)),"",IF((AND(FIND('112'!$M$9,G6944,1)&gt;=1,B6944='112'!$K$9,OR($N6944='112'!$I$6,$O6944='112'!$I$6))),"x",""))</f>
        <v/>
      </c>
      <c r="U6944" s="79" t="str">
        <f>IF(ISERROR(FIND('112'!$M$9,G6944,1)),"",IF((AND(LEFT(G6944,2)=LEFT('112'!$M$9,2),B6944&lt;'112'!$K$9,$N6944='112'!$I$6)),"x",""))</f>
        <v/>
      </c>
      <c r="V6944" s="79" t="str">
        <f>IF(ISERROR(FIND('112'!$M$9,G6944,1)),"",IF((AND(RIGHT(G6944,2)=RIGHT('112'!$M$9,2),B6944&lt;'112'!$K$9,$O6944='112'!$I$6)),"x",""))</f>
        <v/>
      </c>
      <c r="W6944" s="79" t="str">
        <f>IF(AND('341-CT'!$H$9=H6944,OR(LEFT(N6944,3)=$W$7,LEFT(O6944,3)=$W$7)),"x","")</f>
        <v/>
      </c>
      <c r="X6944" s="79" t="str">
        <f>IF(OR(TH!N6944=TH!$X$7,O6944=TH!$X$7),"x","")</f>
        <v/>
      </c>
      <c r="Y6944" s="79" t="str">
        <f>IF(AND(OR(N6944="131",O6944="131"),H6944='131-CT'!$H$9),"x","")</f>
        <v/>
      </c>
      <c r="Z6944" s="79"/>
      <c r="AA6944" s="79" t="str">
        <f>IF(AND(MONTH(E6944)='IN-NX'!$J$5,'IN-NX'!$D$7=D6944),"x","")</f>
        <v/>
      </c>
      <c r="AB6944" s="79" t="str">
        <f>IF(AND(OR(LEFT(TH!N6944,2)="15",LEFT(TH!O6944,2)="15"),LEFT(TH!O6944,3)&lt;&gt;"111",'152-CT'!$J$8=TH!F6944),"x","")</f>
        <v/>
      </c>
      <c r="AC6944" s="79" t="str">
        <f>IF(AND(OR(LEFT(TH!N6944,2)="15",LEFT(TH!O6944,2)="15"),TK!$E$7=TH!F6944),"x","")</f>
        <v/>
      </c>
      <c r="AD6944" s="79" t="str">
        <f>IF(AND(N6944="1521",MONTH(C6944)='BK-NL'!$M$11),"x","")</f>
        <v/>
      </c>
    </row>
    <row r="6945" spans="1:30" ht="16.5" customHeight="1">
      <c r="A6945" s="318" t="str">
        <f>IF(B6945&lt;&gt;"",IF(AND(B6945='IN-TC'!$S$4,OR(TH!N6945="1111",TH!O6945="1111")),TH!D6945,""),"")</f>
        <v/>
      </c>
      <c r="B6945" s="1163" t="str">
        <f t="shared" si="529"/>
        <v/>
      </c>
      <c r="C6945" s="61"/>
      <c r="D6945" s="61"/>
      <c r="E6945" s="61"/>
      <c r="F6945" s="69"/>
      <c r="G6945" s="64"/>
      <c r="H6945" s="69"/>
      <c r="I6945" s="385"/>
      <c r="J6945" s="392"/>
      <c r="K6945" s="385"/>
      <c r="L6945" s="392"/>
      <c r="M6945" s="62"/>
      <c r="N6945" s="63"/>
      <c r="O6945" s="63"/>
      <c r="P6945" s="79" t="str">
        <f>IF(AND('331-CT'!$E$7=TH!H6945,OR(N6945="331",O6945="331")),"x","")</f>
        <v/>
      </c>
      <c r="Q6945" s="79" t="str">
        <f>IF(AND(B6945='111'!$L$11,OR($N6945=$Q$7,$O6945=$Q$7)),"x","")</f>
        <v/>
      </c>
      <c r="R6945" s="79" t="str">
        <f>IF(AND($N6945=$Q$7,$B6945&lt;'111'!$L$11),"x","")</f>
        <v/>
      </c>
      <c r="S6945" s="79" t="str">
        <f>IF(AND($O6945=$Q$7,$B6945&lt;'111'!$L$11),"x","")</f>
        <v/>
      </c>
      <c r="T6945" s="79" t="str">
        <f>IF(ISERROR(FIND('112'!$M$9,G6945,1)),"",IF((AND(FIND('112'!$M$9,G6945,1)&gt;=1,B6945='112'!$K$9,OR($N6945='112'!$I$6,$O6945='112'!$I$6))),"x",""))</f>
        <v/>
      </c>
      <c r="U6945" s="79" t="str">
        <f>IF(ISERROR(FIND('112'!$M$9,G6945,1)),"",IF((AND(LEFT(G6945,2)=LEFT('112'!$M$9,2),B6945&lt;'112'!$K$9,$N6945='112'!$I$6)),"x",""))</f>
        <v/>
      </c>
      <c r="V6945" s="79" t="str">
        <f>IF(ISERROR(FIND('112'!$M$9,G6945,1)),"",IF((AND(RIGHT(G6945,2)=RIGHT('112'!$M$9,2),B6945&lt;'112'!$K$9,$O6945='112'!$I$6)),"x",""))</f>
        <v/>
      </c>
      <c r="W6945" s="79" t="str">
        <f>IF(AND('341-CT'!$H$9=H6945,OR(LEFT(N6945,3)=$W$7,LEFT(O6945,3)=$W$7)),"x","")</f>
        <v/>
      </c>
      <c r="X6945" s="79" t="str">
        <f>IF(OR(TH!N6945=TH!$X$7,O6945=TH!$X$7),"x","")</f>
        <v/>
      </c>
      <c r="Y6945" s="79" t="str">
        <f>IF(AND(OR(N6945="131",O6945="131"),H6945='131-CT'!$H$9),"x","")</f>
        <v/>
      </c>
      <c r="Z6945" s="79"/>
      <c r="AA6945" s="79" t="str">
        <f>IF(AND(MONTH(E6945)='IN-NX'!$J$5,'IN-NX'!$D$7=D6945),"x","")</f>
        <v/>
      </c>
      <c r="AB6945" s="79" t="str">
        <f>IF(AND(OR(LEFT(TH!N6945,2)="15",LEFT(TH!O6945,2)="15"),LEFT(TH!O6945,3)&lt;&gt;"111",'152-CT'!$J$8=TH!F6945),"x","")</f>
        <v/>
      </c>
      <c r="AC6945" s="79" t="str">
        <f>IF(AND(OR(LEFT(TH!N6945,2)="15",LEFT(TH!O6945,2)="15"),TK!$E$7=TH!F6945),"x","")</f>
        <v/>
      </c>
      <c r="AD6945" s="79" t="str">
        <f>IF(AND(N6945="1521",MONTH(C6945)='BK-NL'!$M$11),"x","")</f>
        <v/>
      </c>
    </row>
    <row r="6946" spans="1:30" ht="16.5" customHeight="1">
      <c r="A6946" s="318" t="str">
        <f>IF(B6946&lt;&gt;"",IF(AND(B6946='IN-TC'!$S$4,OR(TH!N6946="1111",TH!O6946="1111")),TH!D6946,""),"")</f>
        <v/>
      </c>
      <c r="B6946" s="1163" t="str">
        <f t="shared" si="529"/>
        <v/>
      </c>
      <c r="C6946" s="61"/>
      <c r="D6946" s="61"/>
      <c r="E6946" s="61"/>
      <c r="F6946" s="69"/>
      <c r="G6946" s="64"/>
      <c r="H6946" s="69"/>
      <c r="I6946" s="385"/>
      <c r="J6946" s="392"/>
      <c r="K6946" s="385"/>
      <c r="L6946" s="392"/>
      <c r="M6946" s="62"/>
      <c r="N6946" s="63"/>
      <c r="O6946" s="63"/>
      <c r="P6946" s="79" t="str">
        <f>IF(AND('331-CT'!$E$7=TH!H6946,OR(N6946="331",O6946="331")),"x","")</f>
        <v/>
      </c>
      <c r="Q6946" s="79" t="str">
        <f>IF(AND(B6946='111'!$L$11,OR($N6946=$Q$7,$O6946=$Q$7)),"x","")</f>
        <v/>
      </c>
      <c r="R6946" s="79" t="str">
        <f>IF(AND($N6946=$Q$7,$B6946&lt;'111'!$L$11),"x","")</f>
        <v/>
      </c>
      <c r="S6946" s="79" t="str">
        <f>IF(AND($O6946=$Q$7,$B6946&lt;'111'!$L$11),"x","")</f>
        <v/>
      </c>
      <c r="T6946" s="79" t="str">
        <f>IF(ISERROR(FIND('112'!$M$9,G6946,1)),"",IF((AND(FIND('112'!$M$9,G6946,1)&gt;=1,B6946='112'!$K$9,OR($N6946='112'!$I$6,$O6946='112'!$I$6))),"x",""))</f>
        <v/>
      </c>
      <c r="U6946" s="79" t="str">
        <f>IF(ISERROR(FIND('112'!$M$9,G6946,1)),"",IF((AND(LEFT(G6946,2)=LEFT('112'!$M$9,2),B6946&lt;'112'!$K$9,$N6946='112'!$I$6)),"x",""))</f>
        <v/>
      </c>
      <c r="V6946" s="79" t="str">
        <f>IF(ISERROR(FIND('112'!$M$9,G6946,1)),"",IF((AND(RIGHT(G6946,2)=RIGHT('112'!$M$9,2),B6946&lt;'112'!$K$9,$O6946='112'!$I$6)),"x",""))</f>
        <v/>
      </c>
      <c r="W6946" s="79" t="str">
        <f>IF(AND('341-CT'!$H$9=H6946,OR(LEFT(N6946,3)=$W$7,LEFT(O6946,3)=$W$7)),"x","")</f>
        <v/>
      </c>
      <c r="X6946" s="79" t="str">
        <f>IF(OR(TH!N6946=TH!$X$7,O6946=TH!$X$7),"x","")</f>
        <v/>
      </c>
      <c r="Y6946" s="79" t="str">
        <f>IF(AND(OR(N6946="131",O6946="131"),H6946='131-CT'!$H$9),"x","")</f>
        <v/>
      </c>
      <c r="Z6946" s="79"/>
      <c r="AA6946" s="79" t="str">
        <f>IF(AND(MONTH(E6946)='IN-NX'!$J$5,'IN-NX'!$D$7=D6946),"x","")</f>
        <v/>
      </c>
      <c r="AB6946" s="79" t="str">
        <f>IF(AND(OR(LEFT(TH!N6946,2)="15",LEFT(TH!O6946,2)="15"),LEFT(TH!O6946,3)&lt;&gt;"111",'152-CT'!$J$8=TH!F6946),"x","")</f>
        <v/>
      </c>
      <c r="AC6946" s="79" t="str">
        <f>IF(AND(OR(LEFT(TH!N6946,2)="15",LEFT(TH!O6946,2)="15"),TK!$E$7=TH!F6946),"x","")</f>
        <v/>
      </c>
      <c r="AD6946" s="79" t="str">
        <f>IF(AND(N6946="1521",MONTH(C6946)='BK-NL'!$M$11),"x","")</f>
        <v/>
      </c>
    </row>
    <row r="6947" spans="1:30" ht="16.5" customHeight="1">
      <c r="A6947" s="318" t="str">
        <f>IF(B6947&lt;&gt;"",IF(AND(B6947='IN-TC'!$S$4,OR(TH!N6947="1111",TH!O6947="1111")),TH!D6947,""),"")</f>
        <v/>
      </c>
      <c r="B6947" s="1163" t="str">
        <f t="shared" si="529"/>
        <v/>
      </c>
      <c r="C6947" s="61"/>
      <c r="D6947" s="61"/>
      <c r="E6947" s="61"/>
      <c r="F6947" s="69"/>
      <c r="G6947" s="64"/>
      <c r="H6947" s="69"/>
      <c r="I6947" s="385"/>
      <c r="J6947" s="392"/>
      <c r="K6947" s="385"/>
      <c r="L6947" s="392"/>
      <c r="M6947" s="62"/>
      <c r="N6947" s="63"/>
      <c r="O6947" s="63"/>
      <c r="P6947" s="79" t="str">
        <f>IF(AND('331-CT'!$E$7=TH!H6947,OR(N6947="331",O6947="331")),"x","")</f>
        <v/>
      </c>
      <c r="Q6947" s="79" t="str">
        <f>IF(AND(B6947='111'!$L$11,OR($N6947=$Q$7,$O6947=$Q$7)),"x","")</f>
        <v/>
      </c>
      <c r="R6947" s="79" t="str">
        <f>IF(AND($N6947=$Q$7,$B6947&lt;'111'!$L$11),"x","")</f>
        <v/>
      </c>
      <c r="S6947" s="79" t="str">
        <f>IF(AND($O6947=$Q$7,$B6947&lt;'111'!$L$11),"x","")</f>
        <v/>
      </c>
      <c r="T6947" s="79" t="str">
        <f>IF(ISERROR(FIND('112'!$M$9,G6947,1)),"",IF((AND(FIND('112'!$M$9,G6947,1)&gt;=1,B6947='112'!$K$9,OR($N6947='112'!$I$6,$O6947='112'!$I$6))),"x",""))</f>
        <v/>
      </c>
      <c r="U6947" s="79" t="str">
        <f>IF(ISERROR(FIND('112'!$M$9,G6947,1)),"",IF((AND(LEFT(G6947,2)=LEFT('112'!$M$9,2),B6947&lt;'112'!$K$9,$N6947='112'!$I$6)),"x",""))</f>
        <v/>
      </c>
      <c r="V6947" s="79" t="str">
        <f>IF(ISERROR(FIND('112'!$M$9,G6947,1)),"",IF((AND(RIGHT(G6947,2)=RIGHT('112'!$M$9,2),B6947&lt;'112'!$K$9,$O6947='112'!$I$6)),"x",""))</f>
        <v/>
      </c>
      <c r="W6947" s="79" t="str">
        <f>IF(AND('341-CT'!$H$9=H6947,OR(LEFT(N6947,3)=$W$7,LEFT(O6947,3)=$W$7)),"x","")</f>
        <v/>
      </c>
      <c r="X6947" s="79" t="str">
        <f>IF(OR(TH!N6947=TH!$X$7,O6947=TH!$X$7),"x","")</f>
        <v/>
      </c>
      <c r="Y6947" s="79" t="str">
        <f>IF(AND(OR(N6947="131",O6947="131"),H6947='131-CT'!$H$9),"x","")</f>
        <v/>
      </c>
      <c r="Z6947" s="79"/>
      <c r="AA6947" s="79" t="str">
        <f>IF(AND(MONTH(E6947)='IN-NX'!$J$5,'IN-NX'!$D$7=D6947),"x","")</f>
        <v/>
      </c>
      <c r="AB6947" s="79" t="str">
        <f>IF(AND(OR(LEFT(TH!N6947,2)="15",LEFT(TH!O6947,2)="15"),LEFT(TH!O6947,3)&lt;&gt;"111",'152-CT'!$J$8=TH!F6947),"x","")</f>
        <v/>
      </c>
      <c r="AC6947" s="79" t="str">
        <f>IF(AND(OR(LEFT(TH!N6947,2)="15",LEFT(TH!O6947,2)="15"),TK!$E$7=TH!F6947),"x","")</f>
        <v/>
      </c>
      <c r="AD6947" s="79" t="str">
        <f>IF(AND(N6947="1521",MONTH(C6947)='BK-NL'!$M$11),"x","")</f>
        <v/>
      </c>
    </row>
    <row r="6948" spans="1:30" ht="16.5" customHeight="1">
      <c r="A6948" s="318" t="str">
        <f>IF(B6948&lt;&gt;"",IF(AND(B6948='IN-TC'!$S$4,OR(TH!N6948="1111",TH!O6948="1111")),TH!D6948,""),"")</f>
        <v/>
      </c>
      <c r="B6948" s="1163" t="str">
        <f t="shared" si="529"/>
        <v/>
      </c>
      <c r="C6948" s="61"/>
      <c r="D6948" s="61"/>
      <c r="E6948" s="61"/>
      <c r="F6948" s="69"/>
      <c r="G6948" s="64"/>
      <c r="H6948" s="69"/>
      <c r="I6948" s="385"/>
      <c r="J6948" s="392"/>
      <c r="K6948" s="385"/>
      <c r="L6948" s="392"/>
      <c r="M6948" s="62"/>
      <c r="N6948" s="63"/>
      <c r="O6948" s="63"/>
      <c r="P6948" s="79" t="str">
        <f>IF(AND('331-CT'!$E$7=TH!H6948,OR(N6948="331",O6948="331")),"x","")</f>
        <v/>
      </c>
      <c r="Q6948" s="79" t="str">
        <f>IF(AND(B6948='111'!$L$11,OR($N6948=$Q$7,$O6948=$Q$7)),"x","")</f>
        <v/>
      </c>
      <c r="R6948" s="79" t="str">
        <f>IF(AND($N6948=$Q$7,$B6948&lt;'111'!$L$11),"x","")</f>
        <v/>
      </c>
      <c r="S6948" s="79" t="str">
        <f>IF(AND($O6948=$Q$7,$B6948&lt;'111'!$L$11),"x","")</f>
        <v/>
      </c>
      <c r="T6948" s="79" t="str">
        <f>IF(ISERROR(FIND('112'!$M$9,G6948,1)),"",IF((AND(FIND('112'!$M$9,G6948,1)&gt;=1,B6948='112'!$K$9,OR($N6948='112'!$I$6,$O6948='112'!$I$6))),"x",""))</f>
        <v/>
      </c>
      <c r="U6948" s="79" t="str">
        <f>IF(ISERROR(FIND('112'!$M$9,G6948,1)),"",IF((AND(LEFT(G6948,2)=LEFT('112'!$M$9,2),B6948&lt;'112'!$K$9,$N6948='112'!$I$6)),"x",""))</f>
        <v/>
      </c>
      <c r="V6948" s="79" t="str">
        <f>IF(ISERROR(FIND('112'!$M$9,G6948,1)),"",IF((AND(RIGHT(G6948,2)=RIGHT('112'!$M$9,2),B6948&lt;'112'!$K$9,$O6948='112'!$I$6)),"x",""))</f>
        <v/>
      </c>
      <c r="W6948" s="79" t="str">
        <f>IF(AND('341-CT'!$H$9=H6948,OR(LEFT(N6948,3)=$W$7,LEFT(O6948,3)=$W$7)),"x","")</f>
        <v/>
      </c>
      <c r="X6948" s="79" t="str">
        <f>IF(OR(TH!N6948=TH!$X$7,O6948=TH!$X$7),"x","")</f>
        <v/>
      </c>
      <c r="Y6948" s="79" t="str">
        <f>IF(AND(OR(N6948="131",O6948="131"),H6948='131-CT'!$H$9),"x","")</f>
        <v/>
      </c>
      <c r="Z6948" s="79"/>
      <c r="AA6948" s="79" t="str">
        <f>IF(AND(MONTH(E6948)='IN-NX'!$J$5,'IN-NX'!$D$7=D6948),"x","")</f>
        <v/>
      </c>
      <c r="AB6948" s="79" t="str">
        <f>IF(AND(OR(LEFT(TH!N6948,2)="15",LEFT(TH!O6948,2)="15"),LEFT(TH!O6948,3)&lt;&gt;"111",'152-CT'!$J$8=TH!F6948),"x","")</f>
        <v/>
      </c>
      <c r="AC6948" s="79" t="str">
        <f>IF(AND(OR(LEFT(TH!N6948,2)="15",LEFT(TH!O6948,2)="15"),TK!$E$7=TH!F6948),"x","")</f>
        <v/>
      </c>
      <c r="AD6948" s="79" t="str">
        <f>IF(AND(N6948="1521",MONTH(C6948)='BK-NL'!$M$11),"x","")</f>
        <v/>
      </c>
    </row>
    <row r="6949" spans="1:30" ht="16.5" customHeight="1">
      <c r="A6949" s="318" t="str">
        <f>IF(B6949&lt;&gt;"",IF(AND(B6949='IN-TC'!$S$4,OR(TH!N6949="1111",TH!O6949="1111")),TH!D6949,""),"")</f>
        <v/>
      </c>
      <c r="B6949" s="1163" t="str">
        <f t="shared" si="529"/>
        <v/>
      </c>
      <c r="C6949" s="61"/>
      <c r="D6949" s="61"/>
      <c r="E6949" s="61"/>
      <c r="F6949" s="69"/>
      <c r="G6949" s="64"/>
      <c r="H6949" s="321"/>
      <c r="I6949" s="385"/>
      <c r="J6949" s="392"/>
      <c r="K6949" s="385"/>
      <c r="L6949" s="392"/>
      <c r="M6949" s="62"/>
      <c r="N6949" s="63"/>
      <c r="O6949" s="63"/>
      <c r="P6949" s="79" t="str">
        <f>IF(AND('331-CT'!$E$7=TH!H6949,OR(N6949="331",O6949="331")),"x","")</f>
        <v/>
      </c>
      <c r="Q6949" s="79" t="str">
        <f>IF(AND(B6949='111'!$L$11,OR($N6949=$Q$7,$O6949=$Q$7)),"x","")</f>
        <v/>
      </c>
      <c r="R6949" s="79" t="str">
        <f>IF(AND($N6949=$Q$7,$B6949&lt;'111'!$L$11),"x","")</f>
        <v/>
      </c>
      <c r="S6949" s="79" t="str">
        <f>IF(AND($O6949=$Q$7,$B6949&lt;'111'!$L$11),"x","")</f>
        <v/>
      </c>
      <c r="T6949" s="79" t="str">
        <f>IF(ISERROR(FIND('112'!$M$9,G6949,1)),"",IF((AND(FIND('112'!$M$9,G6949,1)&gt;=1,B6949='112'!$K$9,OR($N6949='112'!$I$6,$O6949='112'!$I$6))),"x",""))</f>
        <v/>
      </c>
      <c r="U6949" s="79" t="str">
        <f>IF(ISERROR(FIND('112'!$M$9,G6949,1)),"",IF((AND(LEFT(G6949,2)=LEFT('112'!$M$9,2),B6949&lt;'112'!$K$9,$N6949='112'!$I$6)),"x",""))</f>
        <v/>
      </c>
      <c r="V6949" s="79" t="str">
        <f>IF(ISERROR(FIND('112'!$M$9,G6949,1)),"",IF((AND(RIGHT(G6949,2)=RIGHT('112'!$M$9,2),B6949&lt;'112'!$K$9,$O6949='112'!$I$6)),"x",""))</f>
        <v/>
      </c>
      <c r="W6949" s="79" t="str">
        <f>IF(AND('341-CT'!$H$9=H6949,OR(LEFT(N6949,3)=$W$7,LEFT(O6949,3)=$W$7)),"x","")</f>
        <v/>
      </c>
      <c r="X6949" s="79" t="str">
        <f>IF(OR(TH!N6949=TH!$X$7,O6949=TH!$X$7),"x","")</f>
        <v/>
      </c>
      <c r="Y6949" s="79" t="str">
        <f>IF(AND(OR(N6949="131",O6949="131"),H6949='131-CT'!$H$9),"x","")</f>
        <v/>
      </c>
      <c r="Z6949" s="79"/>
      <c r="AA6949" s="79" t="str">
        <f>IF(AND(MONTH(E6949)='IN-NX'!$J$5,'IN-NX'!$D$7=D6949),"x","")</f>
        <v/>
      </c>
      <c r="AB6949" s="79" t="str">
        <f>IF(AND(OR(LEFT(TH!N6949,2)="15",LEFT(TH!O6949,2)="15"),LEFT(TH!O6949,3)&lt;&gt;"111",'152-CT'!$J$8=TH!F6949),"x","")</f>
        <v/>
      </c>
      <c r="AC6949" s="79" t="str">
        <f>IF(AND(OR(LEFT(TH!N6949,2)="15",LEFT(TH!O6949,2)="15"),TK!$E$7=TH!F6949),"x","")</f>
        <v/>
      </c>
      <c r="AD6949" s="79" t="str">
        <f>IF(AND(N6949="1521",MONTH(C6949)='BK-NL'!$M$11),"x","")</f>
        <v/>
      </c>
    </row>
    <row r="6950" spans="1:30" ht="16.5" customHeight="1">
      <c r="A6950" s="318" t="str">
        <f>IF(B6950&lt;&gt;"",IF(AND(B6950='IN-TC'!$S$4,OR(TH!N6950="1111",TH!O6950="1111")),TH!D6950,""),"")</f>
        <v/>
      </c>
      <c r="B6950" s="1163" t="str">
        <f t="shared" si="529"/>
        <v/>
      </c>
      <c r="C6950" s="61"/>
      <c r="D6950" s="61"/>
      <c r="E6950" s="61"/>
      <c r="F6950" s="69"/>
      <c r="G6950" s="64"/>
      <c r="H6950" s="69"/>
      <c r="I6950" s="385"/>
      <c r="J6950" s="392"/>
      <c r="K6950" s="385"/>
      <c r="L6950" s="392"/>
      <c r="M6950" s="62"/>
      <c r="N6950" s="63"/>
      <c r="O6950" s="63"/>
      <c r="P6950" s="79" t="str">
        <f>IF(AND('331-CT'!$E$7=TH!H6950,OR(N6950="331",O6950="331")),"x","")</f>
        <v/>
      </c>
      <c r="Q6950" s="79" t="str">
        <f>IF(AND(B6950='111'!$L$11,OR($N6950=$Q$7,$O6950=$Q$7)),"x","")</f>
        <v/>
      </c>
      <c r="R6950" s="79" t="str">
        <f>IF(AND($N6950=$Q$7,$B6950&lt;'111'!$L$11),"x","")</f>
        <v/>
      </c>
      <c r="S6950" s="79" t="str">
        <f>IF(AND($O6950=$Q$7,$B6950&lt;'111'!$L$11),"x","")</f>
        <v/>
      </c>
      <c r="T6950" s="79" t="str">
        <f>IF(ISERROR(FIND('112'!$M$9,G6950,1)),"",IF((AND(FIND('112'!$M$9,G6950,1)&gt;=1,B6950='112'!$K$9,OR($N6950='112'!$I$6,$O6950='112'!$I$6))),"x",""))</f>
        <v/>
      </c>
      <c r="U6950" s="79" t="str">
        <f>IF(ISERROR(FIND('112'!$M$9,G6950,1)),"",IF((AND(LEFT(G6950,2)=LEFT('112'!$M$9,2),B6950&lt;'112'!$K$9,$N6950='112'!$I$6)),"x",""))</f>
        <v/>
      </c>
      <c r="V6950" s="79" t="str">
        <f>IF(ISERROR(FIND('112'!$M$9,G6950,1)),"",IF((AND(RIGHT(G6950,2)=RIGHT('112'!$M$9,2),B6950&lt;'112'!$K$9,$O6950='112'!$I$6)),"x",""))</f>
        <v/>
      </c>
      <c r="W6950" s="79" t="str">
        <f>IF(AND('341-CT'!$H$9=H6950,OR(LEFT(N6950,3)=$W$7,LEFT(O6950,3)=$W$7)),"x","")</f>
        <v/>
      </c>
      <c r="X6950" s="79" t="str">
        <f>IF(OR(TH!N6950=TH!$X$7,O6950=TH!$X$7),"x","")</f>
        <v/>
      </c>
      <c r="Y6950" s="79" t="str">
        <f>IF(AND(OR(N6950="131",O6950="131"),H6950='131-CT'!$H$9),"x","")</f>
        <v/>
      </c>
      <c r="Z6950" s="79"/>
      <c r="AA6950" s="79" t="str">
        <f>IF(AND(MONTH(E6950)='IN-NX'!$J$5,'IN-NX'!$D$7=D6950),"x","")</f>
        <v/>
      </c>
      <c r="AB6950" s="79" t="str">
        <f>IF(AND(OR(LEFT(TH!N6950,2)="15",LEFT(TH!O6950,2)="15"),LEFT(TH!O6950,3)&lt;&gt;"111",'152-CT'!$J$8=TH!F6950),"x","")</f>
        <v/>
      </c>
      <c r="AC6950" s="79" t="str">
        <f>IF(AND(OR(LEFT(TH!N6950,2)="15",LEFT(TH!O6950,2)="15"),TK!$E$7=TH!F6950),"x","")</f>
        <v/>
      </c>
      <c r="AD6950" s="79" t="str">
        <f>IF(AND(N6950="1521",MONTH(C6950)='BK-NL'!$M$11),"x","")</f>
        <v/>
      </c>
    </row>
    <row r="6951" spans="1:30" ht="16.5" customHeight="1">
      <c r="A6951" s="318" t="str">
        <f>IF(B6951&lt;&gt;"",IF(AND(B6951='IN-TC'!$S$4,OR(TH!N6951="1111",TH!O6951="1111")),TH!D6951,""),"")</f>
        <v/>
      </c>
      <c r="B6951" s="1163" t="str">
        <f t="shared" si="529"/>
        <v/>
      </c>
      <c r="C6951" s="61"/>
      <c r="D6951" s="61"/>
      <c r="E6951" s="61"/>
      <c r="F6951" s="69"/>
      <c r="G6951" s="64"/>
      <c r="H6951" s="69"/>
      <c r="I6951" s="385"/>
      <c r="J6951" s="392"/>
      <c r="K6951" s="385"/>
      <c r="L6951" s="392"/>
      <c r="M6951" s="62"/>
      <c r="N6951" s="63"/>
      <c r="O6951" s="63"/>
      <c r="P6951" s="79" t="str">
        <f>IF(AND('331-CT'!$E$7=TH!H6951,OR(N6951="331",O6951="331")),"x","")</f>
        <v/>
      </c>
      <c r="Q6951" s="79" t="str">
        <f>IF(AND(B6951='111'!$L$11,OR($N6951=$Q$7,$O6951=$Q$7)),"x","")</f>
        <v/>
      </c>
      <c r="R6951" s="79" t="str">
        <f>IF(AND($N6951=$Q$7,$B6951&lt;'111'!$L$11),"x","")</f>
        <v/>
      </c>
      <c r="S6951" s="79" t="str">
        <f>IF(AND($O6951=$Q$7,$B6951&lt;'111'!$L$11),"x","")</f>
        <v/>
      </c>
      <c r="T6951" s="79" t="str">
        <f>IF(ISERROR(FIND('112'!$M$9,G6951,1)),"",IF((AND(FIND('112'!$M$9,G6951,1)&gt;=1,B6951='112'!$K$9,OR($N6951='112'!$I$6,$O6951='112'!$I$6))),"x",""))</f>
        <v/>
      </c>
      <c r="U6951" s="79" t="str">
        <f>IF(ISERROR(FIND('112'!$M$9,G6951,1)),"",IF((AND(LEFT(G6951,2)=LEFT('112'!$M$9,2),B6951&lt;'112'!$K$9,$N6951='112'!$I$6)),"x",""))</f>
        <v/>
      </c>
      <c r="V6951" s="79" t="str">
        <f>IF(ISERROR(FIND('112'!$M$9,G6951,1)),"",IF((AND(RIGHT(G6951,2)=RIGHT('112'!$M$9,2),B6951&lt;'112'!$K$9,$O6951='112'!$I$6)),"x",""))</f>
        <v/>
      </c>
      <c r="W6951" s="79" t="str">
        <f>IF(AND('341-CT'!$H$9=H6951,OR(LEFT(N6951,3)=$W$7,LEFT(O6951,3)=$W$7)),"x","")</f>
        <v/>
      </c>
      <c r="X6951" s="79" t="str">
        <f>IF(OR(TH!N6951=TH!$X$7,O6951=TH!$X$7),"x","")</f>
        <v/>
      </c>
      <c r="Y6951" s="79" t="str">
        <f>IF(AND(OR(N6951="131",O6951="131"),H6951='131-CT'!$H$9),"x","")</f>
        <v/>
      </c>
      <c r="Z6951" s="79"/>
      <c r="AA6951" s="79" t="str">
        <f>IF(AND(MONTH(E6951)='IN-NX'!$J$5,'IN-NX'!$D$7=D6951),"x","")</f>
        <v/>
      </c>
      <c r="AB6951" s="79" t="str">
        <f>IF(AND(OR(LEFT(TH!N6951,2)="15",LEFT(TH!O6951,2)="15"),LEFT(TH!O6951,3)&lt;&gt;"111",'152-CT'!$J$8=TH!F6951),"x","")</f>
        <v/>
      </c>
      <c r="AC6951" s="79" t="str">
        <f>IF(AND(OR(LEFT(TH!N6951,2)="15",LEFT(TH!O6951,2)="15"),TK!$E$7=TH!F6951),"x","")</f>
        <v/>
      </c>
      <c r="AD6951" s="79" t="str">
        <f>IF(AND(N6951="1521",MONTH(C6951)='BK-NL'!$M$11),"x","")</f>
        <v/>
      </c>
    </row>
    <row r="6952" spans="1:30" ht="16.5" customHeight="1">
      <c r="A6952" s="318" t="str">
        <f>IF(B6952&lt;&gt;"",IF(AND(B6952='IN-TC'!$S$4,OR(TH!N6952="1111",TH!O6952="1111")),TH!D6952,""),"")</f>
        <v/>
      </c>
      <c r="B6952" s="1163" t="str">
        <f t="shared" si="529"/>
        <v/>
      </c>
      <c r="C6952" s="61"/>
      <c r="D6952" s="61"/>
      <c r="E6952" s="61"/>
      <c r="F6952" s="69"/>
      <c r="G6952" s="64"/>
      <c r="H6952" s="321"/>
      <c r="I6952" s="385"/>
      <c r="J6952" s="392"/>
      <c r="K6952" s="385"/>
      <c r="L6952" s="392"/>
      <c r="M6952" s="62"/>
      <c r="N6952" s="63"/>
      <c r="O6952" s="63"/>
      <c r="P6952" s="79" t="str">
        <f>IF(AND('331-CT'!$E$7=TH!H6952,OR(N6952="331",O6952="331")),"x","")</f>
        <v/>
      </c>
      <c r="Q6952" s="79" t="str">
        <f>IF(AND(B6952='111'!$L$11,OR($N6952=$Q$7,$O6952=$Q$7)),"x","")</f>
        <v/>
      </c>
      <c r="R6952" s="79" t="str">
        <f>IF(AND($N6952=$Q$7,$B6952&lt;'111'!$L$11),"x","")</f>
        <v/>
      </c>
      <c r="S6952" s="79" t="str">
        <f>IF(AND($O6952=$Q$7,$B6952&lt;'111'!$L$11),"x","")</f>
        <v/>
      </c>
      <c r="T6952" s="79" t="str">
        <f>IF(ISERROR(FIND('112'!$M$9,G6952,1)),"",IF((AND(FIND('112'!$M$9,G6952,1)&gt;=1,B6952='112'!$K$9,OR($N6952='112'!$I$6,$O6952='112'!$I$6))),"x",""))</f>
        <v/>
      </c>
      <c r="U6952" s="79" t="str">
        <f>IF(ISERROR(FIND('112'!$M$9,G6952,1)),"",IF((AND(LEFT(G6952,2)=LEFT('112'!$M$9,2),B6952&lt;'112'!$K$9,$N6952='112'!$I$6)),"x",""))</f>
        <v/>
      </c>
      <c r="V6952" s="79" t="str">
        <f>IF(ISERROR(FIND('112'!$M$9,G6952,1)),"",IF((AND(RIGHT(G6952,2)=RIGHT('112'!$M$9,2),B6952&lt;'112'!$K$9,$O6952='112'!$I$6)),"x",""))</f>
        <v/>
      </c>
      <c r="W6952" s="79" t="str">
        <f>IF(AND('341-CT'!$H$9=H6952,OR(LEFT(N6952,3)=$W$7,LEFT(O6952,3)=$W$7)),"x","")</f>
        <v/>
      </c>
      <c r="X6952" s="79" t="str">
        <f>IF(OR(TH!N6952=TH!$X$7,O6952=TH!$X$7),"x","")</f>
        <v/>
      </c>
      <c r="Y6952" s="79" t="str">
        <f>IF(AND(OR(N6952="131",O6952="131"),H6952='131-CT'!$H$9),"x","")</f>
        <v/>
      </c>
      <c r="Z6952" s="79"/>
      <c r="AA6952" s="79" t="str">
        <f>IF(AND(MONTH(E6952)='IN-NX'!$J$5,'IN-NX'!$D$7=D6952),"x","")</f>
        <v/>
      </c>
      <c r="AB6952" s="79" t="str">
        <f>IF(AND(OR(LEFT(TH!N6952,2)="15",LEFT(TH!O6952,2)="15"),LEFT(TH!O6952,3)&lt;&gt;"111",'152-CT'!$J$8=TH!F6952),"x","")</f>
        <v/>
      </c>
      <c r="AC6952" s="79" t="str">
        <f>IF(AND(OR(LEFT(TH!N6952,2)="15",LEFT(TH!O6952,2)="15"),TK!$E$7=TH!F6952),"x","")</f>
        <v/>
      </c>
      <c r="AD6952" s="79" t="str">
        <f>IF(AND(N6952="1521",MONTH(C6952)='BK-NL'!$M$11),"x","")</f>
        <v/>
      </c>
    </row>
    <row r="6953" spans="1:30" ht="16.5" customHeight="1">
      <c r="A6953" s="318" t="str">
        <f>IF(B6953&lt;&gt;"",IF(AND(B6953='IN-TC'!$S$4,OR(TH!N6953="1111",TH!O6953="1111")),TH!D6953,""),"")</f>
        <v/>
      </c>
      <c r="B6953" s="1163" t="str">
        <f t="shared" si="529"/>
        <v/>
      </c>
      <c r="C6953" s="61"/>
      <c r="D6953" s="61"/>
      <c r="E6953" s="61"/>
      <c r="F6953" s="69"/>
      <c r="G6953" s="64"/>
      <c r="H6953" s="69"/>
      <c r="I6953" s="385"/>
      <c r="J6953" s="392"/>
      <c r="K6953" s="385"/>
      <c r="L6953" s="392"/>
      <c r="M6953" s="62"/>
      <c r="N6953" s="63"/>
      <c r="O6953" s="63"/>
      <c r="P6953" s="79" t="str">
        <f>IF(AND('331-CT'!$E$7=TH!H6953,OR(N6953="331",O6953="331")),"x","")</f>
        <v/>
      </c>
      <c r="Q6953" s="79" t="str">
        <f>IF(AND(B6953='111'!$L$11,OR($N6953=$Q$7,$O6953=$Q$7)),"x","")</f>
        <v/>
      </c>
      <c r="R6953" s="79" t="str">
        <f>IF(AND($N6953=$Q$7,$B6953&lt;'111'!$L$11),"x","")</f>
        <v/>
      </c>
      <c r="S6953" s="79" t="str">
        <f>IF(AND($O6953=$Q$7,$B6953&lt;'111'!$L$11),"x","")</f>
        <v/>
      </c>
      <c r="T6953" s="79" t="str">
        <f>IF(ISERROR(FIND('112'!$M$9,G6953,1)),"",IF((AND(FIND('112'!$M$9,G6953,1)&gt;=1,B6953='112'!$K$9,OR($N6953='112'!$I$6,$O6953='112'!$I$6))),"x",""))</f>
        <v/>
      </c>
      <c r="U6953" s="79" t="str">
        <f>IF(ISERROR(FIND('112'!$M$9,G6953,1)),"",IF((AND(LEFT(G6953,2)=LEFT('112'!$M$9,2),B6953&lt;'112'!$K$9,$N6953='112'!$I$6)),"x",""))</f>
        <v/>
      </c>
      <c r="V6953" s="79" t="str">
        <f>IF(ISERROR(FIND('112'!$M$9,G6953,1)),"",IF((AND(RIGHT(G6953,2)=RIGHT('112'!$M$9,2),B6953&lt;'112'!$K$9,$O6953='112'!$I$6)),"x",""))</f>
        <v/>
      </c>
      <c r="W6953" s="79" t="str">
        <f>IF(AND('341-CT'!$H$9=H6953,OR(LEFT(N6953,3)=$W$7,LEFT(O6953,3)=$W$7)),"x","")</f>
        <v/>
      </c>
      <c r="X6953" s="79" t="str">
        <f>IF(OR(TH!N6953=TH!$X$7,O6953=TH!$X$7),"x","")</f>
        <v/>
      </c>
      <c r="Y6953" s="79" t="str">
        <f>IF(AND(OR(N6953="131",O6953="131"),H6953='131-CT'!$H$9),"x","")</f>
        <v/>
      </c>
      <c r="Z6953" s="79"/>
      <c r="AA6953" s="79" t="str">
        <f>IF(AND(MONTH(E6953)='IN-NX'!$J$5,'IN-NX'!$D$7=D6953),"x","")</f>
        <v/>
      </c>
      <c r="AB6953" s="79" t="str">
        <f>IF(AND(OR(LEFT(TH!N6953,2)="15",LEFT(TH!O6953,2)="15"),LEFT(TH!O6953,3)&lt;&gt;"111",'152-CT'!$J$8=TH!F6953),"x","")</f>
        <v/>
      </c>
      <c r="AC6953" s="79" t="str">
        <f>IF(AND(OR(LEFT(TH!N6953,2)="15",LEFT(TH!O6953,2)="15"),TK!$E$7=TH!F6953),"x","")</f>
        <v/>
      </c>
      <c r="AD6953" s="79" t="str">
        <f>IF(AND(N6953="1521",MONTH(C6953)='BK-NL'!$M$11),"x","")</f>
        <v/>
      </c>
    </row>
    <row r="6954" spans="1:30" ht="16.5" customHeight="1">
      <c r="A6954" s="318" t="str">
        <f>IF(B6954&lt;&gt;"",IF(AND(B6954='IN-TC'!$S$4,OR(TH!N6954="1111",TH!O6954="1111")),TH!D6954,""),"")</f>
        <v/>
      </c>
      <c r="B6954" s="1163" t="str">
        <f t="shared" si="529"/>
        <v/>
      </c>
      <c r="C6954" s="61"/>
      <c r="D6954" s="61"/>
      <c r="E6954" s="61"/>
      <c r="F6954" s="69"/>
      <c r="G6954" s="64"/>
      <c r="H6954" s="69"/>
      <c r="I6954" s="385"/>
      <c r="J6954" s="392"/>
      <c r="K6954" s="385"/>
      <c r="L6954" s="392"/>
      <c r="M6954" s="62"/>
      <c r="N6954" s="63"/>
      <c r="O6954" s="63"/>
      <c r="P6954" s="79" t="str">
        <f>IF(AND('331-CT'!$E$7=TH!H6954,OR(N6954="331",O6954="331")),"x","")</f>
        <v/>
      </c>
      <c r="Q6954" s="79" t="str">
        <f>IF(AND(B6954='111'!$L$11,OR($N6954=$Q$7,$O6954=$Q$7)),"x","")</f>
        <v/>
      </c>
      <c r="R6954" s="79" t="str">
        <f>IF(AND($N6954=$Q$7,$B6954&lt;'111'!$L$11),"x","")</f>
        <v/>
      </c>
      <c r="S6954" s="79" t="str">
        <f>IF(AND($O6954=$Q$7,$B6954&lt;'111'!$L$11),"x","")</f>
        <v/>
      </c>
      <c r="T6954" s="79" t="str">
        <f>IF(ISERROR(FIND('112'!$M$9,G6954,1)),"",IF((AND(FIND('112'!$M$9,G6954,1)&gt;=1,B6954='112'!$K$9,OR($N6954='112'!$I$6,$O6954='112'!$I$6))),"x",""))</f>
        <v/>
      </c>
      <c r="U6954" s="79" t="str">
        <f>IF(ISERROR(FIND('112'!$M$9,G6954,1)),"",IF((AND(LEFT(G6954,2)=LEFT('112'!$M$9,2),B6954&lt;'112'!$K$9,$N6954='112'!$I$6)),"x",""))</f>
        <v/>
      </c>
      <c r="V6954" s="79" t="str">
        <f>IF(ISERROR(FIND('112'!$M$9,G6954,1)),"",IF((AND(RIGHT(G6954,2)=RIGHT('112'!$M$9,2),B6954&lt;'112'!$K$9,$O6954='112'!$I$6)),"x",""))</f>
        <v/>
      </c>
      <c r="W6954" s="79" t="str">
        <f>IF(AND('341-CT'!$H$9=H6954,OR(LEFT(N6954,3)=$W$7,LEFT(O6954,3)=$W$7)),"x","")</f>
        <v/>
      </c>
      <c r="X6954" s="79" t="str">
        <f>IF(OR(TH!N6954=TH!$X$7,O6954=TH!$X$7),"x","")</f>
        <v/>
      </c>
      <c r="Y6954" s="79" t="str">
        <f>IF(AND(OR(N6954="131",O6954="131"),H6954='131-CT'!$H$9),"x","")</f>
        <v/>
      </c>
      <c r="Z6954" s="79"/>
      <c r="AA6954" s="79" t="str">
        <f>IF(AND(MONTH(E6954)='IN-NX'!$J$5,'IN-NX'!$D$7=D6954),"x","")</f>
        <v/>
      </c>
      <c r="AB6954" s="79" t="str">
        <f>IF(AND(OR(LEFT(TH!N6954,2)="15",LEFT(TH!O6954,2)="15"),LEFT(TH!O6954,3)&lt;&gt;"111",'152-CT'!$J$8=TH!F6954),"x","")</f>
        <v/>
      </c>
      <c r="AC6954" s="79" t="str">
        <f>IF(AND(OR(LEFT(TH!N6954,2)="15",LEFT(TH!O6954,2)="15"),TK!$E$7=TH!F6954),"x","")</f>
        <v/>
      </c>
      <c r="AD6954" s="79" t="str">
        <f>IF(AND(N6954="1521",MONTH(C6954)='BK-NL'!$M$11),"x","")</f>
        <v/>
      </c>
    </row>
    <row r="6955" spans="1:30" ht="16.5" customHeight="1">
      <c r="A6955" s="318" t="str">
        <f>IF(B6955&lt;&gt;"",IF(AND(B6955='IN-TC'!$S$4,OR(TH!N6955="1111",TH!O6955="1111")),TH!D6955,""),"")</f>
        <v/>
      </c>
      <c r="B6955" s="1163" t="str">
        <f t="shared" si="529"/>
        <v/>
      </c>
      <c r="C6955" s="61"/>
      <c r="D6955" s="61"/>
      <c r="E6955" s="61"/>
      <c r="F6955" s="69"/>
      <c r="G6955" s="64"/>
      <c r="H6955" s="321"/>
      <c r="I6955" s="385"/>
      <c r="J6955" s="392"/>
      <c r="K6955" s="385"/>
      <c r="L6955" s="392"/>
      <c r="M6955" s="62"/>
      <c r="N6955" s="63"/>
      <c r="O6955" s="63"/>
      <c r="P6955" s="79" t="str">
        <f>IF(AND('331-CT'!$E$7=TH!H6955,OR(N6955="331",O6955="331")),"x","")</f>
        <v/>
      </c>
      <c r="Q6955" s="79" t="str">
        <f>IF(AND(B6955='111'!$L$11,OR($N6955=$Q$7,$O6955=$Q$7)),"x","")</f>
        <v/>
      </c>
      <c r="R6955" s="79" t="str">
        <f>IF(AND($N6955=$Q$7,$B6955&lt;'111'!$L$11),"x","")</f>
        <v/>
      </c>
      <c r="S6955" s="79" t="str">
        <f>IF(AND($O6955=$Q$7,$B6955&lt;'111'!$L$11),"x","")</f>
        <v/>
      </c>
      <c r="T6955" s="79" t="str">
        <f>IF(ISERROR(FIND('112'!$M$9,G6955,1)),"",IF((AND(FIND('112'!$M$9,G6955,1)&gt;=1,B6955='112'!$K$9,OR($N6955='112'!$I$6,$O6955='112'!$I$6))),"x",""))</f>
        <v/>
      </c>
      <c r="U6955" s="79" t="str">
        <f>IF(ISERROR(FIND('112'!$M$9,G6955,1)),"",IF((AND(LEFT(G6955,2)=LEFT('112'!$M$9,2),B6955&lt;'112'!$K$9,$N6955='112'!$I$6)),"x",""))</f>
        <v/>
      </c>
      <c r="V6955" s="79" t="str">
        <f>IF(ISERROR(FIND('112'!$M$9,G6955,1)),"",IF((AND(RIGHT(G6955,2)=RIGHT('112'!$M$9,2),B6955&lt;'112'!$K$9,$O6955='112'!$I$6)),"x",""))</f>
        <v/>
      </c>
      <c r="W6955" s="79" t="str">
        <f>IF(AND('341-CT'!$H$9=H6955,OR(LEFT(N6955,3)=$W$7,LEFT(O6955,3)=$W$7)),"x","")</f>
        <v/>
      </c>
      <c r="X6955" s="79" t="str">
        <f>IF(OR(TH!N6955=TH!$X$7,O6955=TH!$X$7),"x","")</f>
        <v/>
      </c>
      <c r="Y6955" s="79" t="str">
        <f>IF(AND(OR(N6955="131",O6955="131"),H6955='131-CT'!$H$9),"x","")</f>
        <v/>
      </c>
      <c r="Z6955" s="79"/>
      <c r="AA6955" s="79" t="str">
        <f>IF(AND(MONTH(E6955)='IN-NX'!$J$5,'IN-NX'!$D$7=D6955),"x","")</f>
        <v/>
      </c>
      <c r="AB6955" s="79" t="str">
        <f>IF(AND(OR(LEFT(TH!N6955,2)="15",LEFT(TH!O6955,2)="15"),LEFT(TH!O6955,3)&lt;&gt;"111",'152-CT'!$J$8=TH!F6955),"x","")</f>
        <v/>
      </c>
      <c r="AC6955" s="79" t="str">
        <f>IF(AND(OR(LEFT(TH!N6955,2)="15",LEFT(TH!O6955,2)="15"),TK!$E$7=TH!F6955),"x","")</f>
        <v/>
      </c>
      <c r="AD6955" s="79" t="str">
        <f>IF(AND(N6955="1521",MONTH(C6955)='BK-NL'!$M$11),"x","")</f>
        <v/>
      </c>
    </row>
    <row r="6956" spans="1:30" ht="16.5" customHeight="1">
      <c r="A6956" s="318" t="str">
        <f>IF(B6956&lt;&gt;"",IF(AND(B6956='IN-TC'!$S$4,OR(TH!N6956="1111",TH!O6956="1111")),TH!D6956,""),"")</f>
        <v/>
      </c>
      <c r="B6956" s="1163" t="str">
        <f t="shared" si="529"/>
        <v/>
      </c>
      <c r="C6956" s="61"/>
      <c r="D6956" s="61"/>
      <c r="E6956" s="61"/>
      <c r="F6956" s="69"/>
      <c r="G6956" s="64"/>
      <c r="H6956" s="69"/>
      <c r="I6956" s="385"/>
      <c r="J6956" s="392"/>
      <c r="K6956" s="385"/>
      <c r="L6956" s="392"/>
      <c r="M6956" s="62"/>
      <c r="N6956" s="63"/>
      <c r="O6956" s="63"/>
      <c r="P6956" s="79" t="str">
        <f>IF(AND('331-CT'!$E$7=TH!H6956,OR(N6956="331",O6956="331")),"x","")</f>
        <v/>
      </c>
      <c r="Q6956" s="79" t="str">
        <f>IF(AND(B6956='111'!$L$11,OR($N6956=$Q$7,$O6956=$Q$7)),"x","")</f>
        <v/>
      </c>
      <c r="R6956" s="79" t="str">
        <f>IF(AND($N6956=$Q$7,$B6956&lt;'111'!$L$11),"x","")</f>
        <v/>
      </c>
      <c r="S6956" s="79" t="str">
        <f>IF(AND($O6956=$Q$7,$B6956&lt;'111'!$L$11),"x","")</f>
        <v/>
      </c>
      <c r="T6956" s="79" t="str">
        <f>IF(ISERROR(FIND('112'!$M$9,G6956,1)),"",IF((AND(FIND('112'!$M$9,G6956,1)&gt;=1,B6956='112'!$K$9,OR($N6956='112'!$I$6,$O6956='112'!$I$6))),"x",""))</f>
        <v/>
      </c>
      <c r="U6956" s="79" t="str">
        <f>IF(ISERROR(FIND('112'!$M$9,G6956,1)),"",IF((AND(LEFT(G6956,2)=LEFT('112'!$M$9,2),B6956&lt;'112'!$K$9,$N6956='112'!$I$6)),"x",""))</f>
        <v/>
      </c>
      <c r="V6956" s="79" t="str">
        <f>IF(ISERROR(FIND('112'!$M$9,G6956,1)),"",IF((AND(RIGHT(G6956,2)=RIGHT('112'!$M$9,2),B6956&lt;'112'!$K$9,$O6956='112'!$I$6)),"x",""))</f>
        <v/>
      </c>
      <c r="W6956" s="79" t="str">
        <f>IF(AND('341-CT'!$H$9=H6956,OR(LEFT(N6956,3)=$W$7,LEFT(O6956,3)=$W$7)),"x","")</f>
        <v/>
      </c>
      <c r="X6956" s="79" t="str">
        <f>IF(OR(TH!N6956=TH!$X$7,O6956=TH!$X$7),"x","")</f>
        <v/>
      </c>
      <c r="Y6956" s="79" t="str">
        <f>IF(AND(OR(N6956="131",O6956="131"),H6956='131-CT'!$H$9),"x","")</f>
        <v/>
      </c>
      <c r="Z6956" s="79"/>
      <c r="AA6956" s="79" t="str">
        <f>IF(AND(MONTH(E6956)='IN-NX'!$J$5,'IN-NX'!$D$7=D6956),"x","")</f>
        <v/>
      </c>
      <c r="AB6956" s="79" t="str">
        <f>IF(AND(OR(LEFT(TH!N6956,2)="15",LEFT(TH!O6956,2)="15"),LEFT(TH!O6956,3)&lt;&gt;"111",'152-CT'!$J$8=TH!F6956),"x","")</f>
        <v/>
      </c>
      <c r="AC6956" s="79" t="str">
        <f>IF(AND(OR(LEFT(TH!N6956,2)="15",LEFT(TH!O6956,2)="15"),TK!$E$7=TH!F6956),"x","")</f>
        <v/>
      </c>
      <c r="AD6956" s="79" t="str">
        <f>IF(AND(N6956="1521",MONTH(C6956)='BK-NL'!$M$11),"x","")</f>
        <v/>
      </c>
    </row>
    <row r="6957" spans="1:30" ht="16.5" customHeight="1">
      <c r="A6957" s="318" t="str">
        <f>IF(B6957&lt;&gt;"",IF(AND(B6957='IN-TC'!$S$4,OR(TH!N6957="1111",TH!O6957="1111")),TH!D6957,""),"")</f>
        <v/>
      </c>
      <c r="B6957" s="1163" t="str">
        <f t="shared" si="529"/>
        <v/>
      </c>
      <c r="C6957" s="61"/>
      <c r="D6957" s="61"/>
      <c r="E6957" s="61"/>
      <c r="F6957" s="69"/>
      <c r="G6957" s="64"/>
      <c r="H6957" s="69"/>
      <c r="I6957" s="385"/>
      <c r="J6957" s="392"/>
      <c r="K6957" s="385"/>
      <c r="L6957" s="392"/>
      <c r="M6957" s="62"/>
      <c r="N6957" s="63"/>
      <c r="O6957" s="63"/>
      <c r="P6957" s="79" t="str">
        <f>IF(AND('331-CT'!$E$7=TH!H6957,OR(N6957="331",O6957="331")),"x","")</f>
        <v/>
      </c>
      <c r="Q6957" s="79" t="str">
        <f>IF(AND(B6957='111'!$L$11,OR($N6957=$Q$7,$O6957=$Q$7)),"x","")</f>
        <v/>
      </c>
      <c r="R6957" s="79" t="str">
        <f>IF(AND($N6957=$Q$7,$B6957&lt;'111'!$L$11),"x","")</f>
        <v/>
      </c>
      <c r="S6957" s="79" t="str">
        <f>IF(AND($O6957=$Q$7,$B6957&lt;'111'!$L$11),"x","")</f>
        <v/>
      </c>
      <c r="T6957" s="79" t="str">
        <f>IF(ISERROR(FIND('112'!$M$9,G6957,1)),"",IF((AND(FIND('112'!$M$9,G6957,1)&gt;=1,B6957='112'!$K$9,OR($N6957='112'!$I$6,$O6957='112'!$I$6))),"x",""))</f>
        <v/>
      </c>
      <c r="U6957" s="79" t="str">
        <f>IF(ISERROR(FIND('112'!$M$9,G6957,1)),"",IF((AND(LEFT(G6957,2)=LEFT('112'!$M$9,2),B6957&lt;'112'!$K$9,$N6957='112'!$I$6)),"x",""))</f>
        <v/>
      </c>
      <c r="V6957" s="79" t="str">
        <f>IF(ISERROR(FIND('112'!$M$9,G6957,1)),"",IF((AND(RIGHT(G6957,2)=RIGHT('112'!$M$9,2),B6957&lt;'112'!$K$9,$O6957='112'!$I$6)),"x",""))</f>
        <v/>
      </c>
      <c r="W6957" s="79" t="str">
        <f>IF(AND('341-CT'!$H$9=H6957,OR(LEFT(N6957,3)=$W$7,LEFT(O6957,3)=$W$7)),"x","")</f>
        <v/>
      </c>
      <c r="X6957" s="79" t="str">
        <f>IF(OR(TH!N6957=TH!$X$7,O6957=TH!$X$7),"x","")</f>
        <v/>
      </c>
      <c r="Y6957" s="79" t="str">
        <f>IF(AND(OR(N6957="131",O6957="131"),H6957='131-CT'!$H$9),"x","")</f>
        <v/>
      </c>
      <c r="Z6957" s="79"/>
      <c r="AA6957" s="79" t="str">
        <f>IF(AND(MONTH(E6957)='IN-NX'!$J$5,'IN-NX'!$D$7=D6957),"x","")</f>
        <v/>
      </c>
      <c r="AB6957" s="79" t="str">
        <f>IF(AND(OR(LEFT(TH!N6957,2)="15",LEFT(TH!O6957,2)="15"),LEFT(TH!O6957,3)&lt;&gt;"111",'152-CT'!$J$8=TH!F6957),"x","")</f>
        <v/>
      </c>
      <c r="AC6957" s="79" t="str">
        <f>IF(AND(OR(LEFT(TH!N6957,2)="15",LEFT(TH!O6957,2)="15"),TK!$E$7=TH!F6957),"x","")</f>
        <v/>
      </c>
      <c r="AD6957" s="79" t="str">
        <f>IF(AND(N6957="1521",MONTH(C6957)='BK-NL'!$M$11),"x","")</f>
        <v/>
      </c>
    </row>
    <row r="6958" spans="1:30" ht="16.5" customHeight="1">
      <c r="A6958" s="318" t="str">
        <f>IF(B6958&lt;&gt;"",IF(AND(B6958='IN-TC'!$S$4,OR(TH!N6958="1111",TH!O6958="1111")),TH!D6958,""),"")</f>
        <v/>
      </c>
      <c r="B6958" s="1163" t="str">
        <f t="shared" si="529"/>
        <v/>
      </c>
      <c r="C6958" s="61"/>
      <c r="D6958" s="61"/>
      <c r="E6958" s="61"/>
      <c r="F6958" s="69"/>
      <c r="G6958" s="64"/>
      <c r="H6958" s="69"/>
      <c r="I6958" s="385"/>
      <c r="J6958" s="392"/>
      <c r="K6958" s="385"/>
      <c r="L6958" s="392"/>
      <c r="M6958" s="62"/>
      <c r="N6958" s="63"/>
      <c r="O6958" s="63"/>
      <c r="P6958" s="79" t="str">
        <f>IF(AND('331-CT'!$E$7=TH!H6958,OR(N6958="331",O6958="331")),"x","")</f>
        <v/>
      </c>
      <c r="Q6958" s="79" t="str">
        <f>IF(AND(B6958='111'!$L$11,OR($N6958=$Q$7,$O6958=$Q$7)),"x","")</f>
        <v/>
      </c>
      <c r="R6958" s="79" t="str">
        <f>IF(AND($N6958=$Q$7,$B6958&lt;'111'!$L$11),"x","")</f>
        <v/>
      </c>
      <c r="S6958" s="79" t="str">
        <f>IF(AND($O6958=$Q$7,$B6958&lt;'111'!$L$11),"x","")</f>
        <v/>
      </c>
      <c r="T6958" s="79" t="str">
        <f>IF(ISERROR(FIND('112'!$M$9,G6958,1)),"",IF((AND(FIND('112'!$M$9,G6958,1)&gt;=1,B6958='112'!$K$9,OR($N6958='112'!$I$6,$O6958='112'!$I$6))),"x",""))</f>
        <v/>
      </c>
      <c r="U6958" s="79" t="str">
        <f>IF(ISERROR(FIND('112'!$M$9,G6958,1)),"",IF((AND(LEFT(G6958,2)=LEFT('112'!$M$9,2),B6958&lt;'112'!$K$9,$N6958='112'!$I$6)),"x",""))</f>
        <v/>
      </c>
      <c r="V6958" s="79" t="str">
        <f>IF(ISERROR(FIND('112'!$M$9,G6958,1)),"",IF((AND(RIGHT(G6958,2)=RIGHT('112'!$M$9,2),B6958&lt;'112'!$K$9,$O6958='112'!$I$6)),"x",""))</f>
        <v/>
      </c>
      <c r="W6958" s="79" t="str">
        <f>IF(AND('341-CT'!$H$9=H6958,OR(LEFT(N6958,3)=$W$7,LEFT(O6958,3)=$W$7)),"x","")</f>
        <v/>
      </c>
      <c r="X6958" s="79" t="str">
        <f>IF(OR(TH!N6958=TH!$X$7,O6958=TH!$X$7),"x","")</f>
        <v/>
      </c>
      <c r="Y6958" s="79" t="str">
        <f>IF(AND(OR(N6958="131",O6958="131"),H6958='131-CT'!$H$9),"x","")</f>
        <v/>
      </c>
      <c r="Z6958" s="79"/>
      <c r="AA6958" s="79" t="str">
        <f>IF(AND(MONTH(E6958)='IN-NX'!$J$5,'IN-NX'!$D$7=D6958),"x","")</f>
        <v/>
      </c>
      <c r="AB6958" s="79" t="str">
        <f>IF(AND(OR(LEFT(TH!N6958,2)="15",LEFT(TH!O6958,2)="15"),LEFT(TH!O6958,3)&lt;&gt;"111",'152-CT'!$J$8=TH!F6958),"x","")</f>
        <v/>
      </c>
      <c r="AC6958" s="79" t="str">
        <f>IF(AND(OR(LEFT(TH!N6958,2)="15",LEFT(TH!O6958,2)="15"),TK!$E$7=TH!F6958),"x","")</f>
        <v/>
      </c>
      <c r="AD6958" s="79" t="str">
        <f>IF(AND(N6958="1521",MONTH(C6958)='BK-NL'!$M$11),"x","")</f>
        <v/>
      </c>
    </row>
    <row r="6959" spans="1:30" ht="16.5" customHeight="1">
      <c r="A6959" s="318" t="str">
        <f>IF(B6959&lt;&gt;"",IF(AND(B6959='IN-TC'!$S$4,OR(TH!N6959="1111",TH!O6959="1111")),TH!D6959,""),"")</f>
        <v/>
      </c>
      <c r="B6959" s="1163" t="str">
        <f t="shared" si="529"/>
        <v/>
      </c>
      <c r="C6959" s="61"/>
      <c r="D6959" s="61"/>
      <c r="E6959" s="61"/>
      <c r="F6959" s="69"/>
      <c r="G6959" s="64"/>
      <c r="H6959" s="69"/>
      <c r="I6959" s="385"/>
      <c r="J6959" s="392"/>
      <c r="K6959" s="385"/>
      <c r="L6959" s="392"/>
      <c r="M6959" s="62"/>
      <c r="N6959" s="63"/>
      <c r="O6959" s="63"/>
      <c r="P6959" s="79" t="str">
        <f>IF(AND('331-CT'!$E$7=TH!H6959,OR(N6959="331",O6959="331")),"x","")</f>
        <v/>
      </c>
      <c r="Q6959" s="79" t="str">
        <f>IF(AND(B6959='111'!$L$11,OR($N6959=$Q$7,$O6959=$Q$7)),"x","")</f>
        <v/>
      </c>
      <c r="R6959" s="79" t="str">
        <f>IF(AND($N6959=$Q$7,$B6959&lt;'111'!$L$11),"x","")</f>
        <v/>
      </c>
      <c r="S6959" s="79" t="str">
        <f>IF(AND($O6959=$Q$7,$B6959&lt;'111'!$L$11),"x","")</f>
        <v/>
      </c>
      <c r="T6959" s="79" t="str">
        <f>IF(ISERROR(FIND('112'!$M$9,G6959,1)),"",IF((AND(FIND('112'!$M$9,G6959,1)&gt;=1,B6959='112'!$K$9,OR($N6959='112'!$I$6,$O6959='112'!$I$6))),"x",""))</f>
        <v/>
      </c>
      <c r="U6959" s="79" t="str">
        <f>IF(ISERROR(FIND('112'!$M$9,G6959,1)),"",IF((AND(LEFT(G6959,2)=LEFT('112'!$M$9,2),B6959&lt;'112'!$K$9,$N6959='112'!$I$6)),"x",""))</f>
        <v/>
      </c>
      <c r="V6959" s="79" t="str">
        <f>IF(ISERROR(FIND('112'!$M$9,G6959,1)),"",IF((AND(RIGHT(G6959,2)=RIGHT('112'!$M$9,2),B6959&lt;'112'!$K$9,$O6959='112'!$I$6)),"x",""))</f>
        <v/>
      </c>
      <c r="W6959" s="79" t="str">
        <f>IF(AND('341-CT'!$H$9=H6959,OR(LEFT(N6959,3)=$W$7,LEFT(O6959,3)=$W$7)),"x","")</f>
        <v/>
      </c>
      <c r="X6959" s="79" t="str">
        <f>IF(OR(TH!N6959=TH!$X$7,O6959=TH!$X$7),"x","")</f>
        <v/>
      </c>
      <c r="Y6959" s="79" t="str">
        <f>IF(AND(OR(N6959="131",O6959="131"),H6959='131-CT'!$H$9),"x","")</f>
        <v/>
      </c>
      <c r="Z6959" s="79"/>
      <c r="AA6959" s="79" t="str">
        <f>IF(AND(MONTH(E6959)='IN-NX'!$J$5,'IN-NX'!$D$7=D6959),"x","")</f>
        <v/>
      </c>
      <c r="AB6959" s="79" t="str">
        <f>IF(AND(OR(LEFT(TH!N6959,2)="15",LEFT(TH!O6959,2)="15"),LEFT(TH!O6959,3)&lt;&gt;"111",'152-CT'!$J$8=TH!F6959),"x","")</f>
        <v/>
      </c>
      <c r="AC6959" s="79" t="str">
        <f>IF(AND(OR(LEFT(TH!N6959,2)="15",LEFT(TH!O6959,2)="15"),TK!$E$7=TH!F6959),"x","")</f>
        <v/>
      </c>
      <c r="AD6959" s="79" t="str">
        <f>IF(AND(N6959="1521",MONTH(C6959)='BK-NL'!$M$11),"x","")</f>
        <v/>
      </c>
    </row>
    <row r="6960" spans="1:30" ht="16.5" customHeight="1">
      <c r="A6960" s="318" t="str">
        <f>IF(B6960&lt;&gt;"",IF(AND(B6960='IN-TC'!$S$4,OR(TH!N6960="1111",TH!O6960="1111")),TH!D6960,""),"")</f>
        <v/>
      </c>
      <c r="B6960" s="1163" t="str">
        <f t="shared" si="529"/>
        <v/>
      </c>
      <c r="C6960" s="61"/>
      <c r="D6960" s="61"/>
      <c r="E6960" s="61"/>
      <c r="F6960" s="69"/>
      <c r="G6960" s="64"/>
      <c r="H6960" s="69"/>
      <c r="I6960" s="385"/>
      <c r="J6960" s="392"/>
      <c r="K6960" s="385"/>
      <c r="L6960" s="392"/>
      <c r="M6960" s="62"/>
      <c r="N6960" s="63"/>
      <c r="O6960" s="63"/>
      <c r="P6960" s="79" t="str">
        <f>IF(AND('331-CT'!$E$7=TH!H6960,OR(N6960="331",O6960="331")),"x","")</f>
        <v/>
      </c>
      <c r="Q6960" s="79" t="str">
        <f>IF(AND(B6960='111'!$L$11,OR($N6960=$Q$7,$O6960=$Q$7)),"x","")</f>
        <v/>
      </c>
      <c r="R6960" s="79" t="str">
        <f>IF(AND($N6960=$Q$7,$B6960&lt;'111'!$L$11),"x","")</f>
        <v/>
      </c>
      <c r="S6960" s="79" t="str">
        <f>IF(AND($O6960=$Q$7,$B6960&lt;'111'!$L$11),"x","")</f>
        <v/>
      </c>
      <c r="T6960" s="79" t="str">
        <f>IF(ISERROR(FIND('112'!$M$9,G6960,1)),"",IF((AND(FIND('112'!$M$9,G6960,1)&gt;=1,B6960='112'!$K$9,OR($N6960='112'!$I$6,$O6960='112'!$I$6))),"x",""))</f>
        <v/>
      </c>
      <c r="U6960" s="79" t="str">
        <f>IF(ISERROR(FIND('112'!$M$9,G6960,1)),"",IF((AND(LEFT(G6960,2)=LEFT('112'!$M$9,2),B6960&lt;'112'!$K$9,$N6960='112'!$I$6)),"x",""))</f>
        <v/>
      </c>
      <c r="V6960" s="79" t="str">
        <f>IF(ISERROR(FIND('112'!$M$9,G6960,1)),"",IF((AND(RIGHT(G6960,2)=RIGHT('112'!$M$9,2),B6960&lt;'112'!$K$9,$O6960='112'!$I$6)),"x",""))</f>
        <v/>
      </c>
      <c r="W6960" s="79" t="str">
        <f>IF(AND('341-CT'!$H$9=H6960,OR(LEFT(N6960,3)=$W$7,LEFT(O6960,3)=$W$7)),"x","")</f>
        <v/>
      </c>
      <c r="X6960" s="79" t="str">
        <f>IF(OR(TH!N6960=TH!$X$7,O6960=TH!$X$7),"x","")</f>
        <v/>
      </c>
      <c r="Y6960" s="79" t="str">
        <f>IF(AND(OR(N6960="131",O6960="131"),H6960='131-CT'!$H$9),"x","")</f>
        <v/>
      </c>
      <c r="Z6960" s="79"/>
      <c r="AA6960" s="79" t="str">
        <f>IF(AND(MONTH(E6960)='IN-NX'!$J$5,'IN-NX'!$D$7=D6960),"x","")</f>
        <v/>
      </c>
      <c r="AB6960" s="79" t="str">
        <f>IF(AND(OR(LEFT(TH!N6960,2)="15",LEFT(TH!O6960,2)="15"),LEFT(TH!O6960,3)&lt;&gt;"111",'152-CT'!$J$8=TH!F6960),"x","")</f>
        <v/>
      </c>
      <c r="AC6960" s="79" t="str">
        <f>IF(AND(OR(LEFT(TH!N6960,2)="15",LEFT(TH!O6960,2)="15"),TK!$E$7=TH!F6960),"x","")</f>
        <v/>
      </c>
      <c r="AD6960" s="79" t="str">
        <f>IF(AND(N6960="1521",MONTH(C6960)='BK-NL'!$M$11),"x","")</f>
        <v/>
      </c>
    </row>
    <row r="6961" spans="1:30" ht="16.5" customHeight="1">
      <c r="A6961" s="318" t="str">
        <f>IF(B6961&lt;&gt;"",IF(AND(B6961='IN-TC'!$S$4,OR(TH!N6961="1111",TH!O6961="1111")),TH!D6961,""),"")</f>
        <v/>
      </c>
      <c r="B6961" s="1163" t="str">
        <f t="shared" si="529"/>
        <v/>
      </c>
      <c r="C6961" s="61"/>
      <c r="D6961" s="61"/>
      <c r="E6961" s="61"/>
      <c r="F6961" s="69"/>
      <c r="G6961" s="64"/>
      <c r="H6961" s="69"/>
      <c r="I6961" s="385"/>
      <c r="J6961" s="392"/>
      <c r="K6961" s="385"/>
      <c r="L6961" s="392"/>
      <c r="M6961" s="62"/>
      <c r="N6961" s="63"/>
      <c r="O6961" s="63"/>
      <c r="P6961" s="79" t="str">
        <f>IF(AND('331-CT'!$E$7=TH!H6961,OR(N6961="331",O6961="331")),"x","")</f>
        <v/>
      </c>
      <c r="Q6961" s="79" t="str">
        <f>IF(AND(B6961='111'!$L$11,OR($N6961=$Q$7,$O6961=$Q$7)),"x","")</f>
        <v/>
      </c>
      <c r="R6961" s="79" t="str">
        <f>IF(AND($N6961=$Q$7,$B6961&lt;'111'!$L$11),"x","")</f>
        <v/>
      </c>
      <c r="S6961" s="79" t="str">
        <f>IF(AND($O6961=$Q$7,$B6961&lt;'111'!$L$11),"x","")</f>
        <v/>
      </c>
      <c r="T6961" s="79" t="str">
        <f>IF(ISERROR(FIND('112'!$M$9,G6961,1)),"",IF((AND(FIND('112'!$M$9,G6961,1)&gt;=1,B6961='112'!$K$9,OR($N6961='112'!$I$6,$O6961='112'!$I$6))),"x",""))</f>
        <v/>
      </c>
      <c r="U6961" s="79" t="str">
        <f>IF(ISERROR(FIND('112'!$M$9,G6961,1)),"",IF((AND(LEFT(G6961,2)=LEFT('112'!$M$9,2),B6961&lt;'112'!$K$9,$N6961='112'!$I$6)),"x",""))</f>
        <v/>
      </c>
      <c r="V6961" s="79" t="str">
        <f>IF(ISERROR(FIND('112'!$M$9,G6961,1)),"",IF((AND(RIGHT(G6961,2)=RIGHT('112'!$M$9,2),B6961&lt;'112'!$K$9,$O6961='112'!$I$6)),"x",""))</f>
        <v/>
      </c>
      <c r="W6961" s="79" t="str">
        <f>IF(AND('341-CT'!$H$9=H6961,OR(LEFT(N6961,3)=$W$7,LEFT(O6961,3)=$W$7)),"x","")</f>
        <v/>
      </c>
      <c r="X6961" s="79" t="str">
        <f>IF(OR(TH!N6961=TH!$X$7,O6961=TH!$X$7),"x","")</f>
        <v/>
      </c>
      <c r="Y6961" s="79" t="str">
        <f>IF(AND(OR(N6961="131",O6961="131"),H6961='131-CT'!$H$9),"x","")</f>
        <v/>
      </c>
      <c r="Z6961" s="79"/>
      <c r="AA6961" s="79" t="str">
        <f>IF(AND(MONTH(E6961)='IN-NX'!$J$5,'IN-NX'!$D$7=D6961),"x","")</f>
        <v/>
      </c>
      <c r="AB6961" s="79" t="str">
        <f>IF(AND(OR(LEFT(TH!N6961,2)="15",LEFT(TH!O6961,2)="15"),LEFT(TH!O6961,3)&lt;&gt;"111",'152-CT'!$J$8=TH!F6961),"x","")</f>
        <v/>
      </c>
      <c r="AC6961" s="79" t="str">
        <f>IF(AND(OR(LEFT(TH!N6961,2)="15",LEFT(TH!O6961,2)="15"),TK!$E$7=TH!F6961),"x","")</f>
        <v/>
      </c>
      <c r="AD6961" s="79" t="str">
        <f>IF(AND(N6961="1521",MONTH(C6961)='BK-NL'!$M$11),"x","")</f>
        <v/>
      </c>
    </row>
    <row r="6962" spans="1:30" ht="16.5" customHeight="1">
      <c r="A6962" s="318" t="str">
        <f>IF(B6962&lt;&gt;"",IF(AND(B6962='IN-TC'!$S$4,OR(TH!N6962="1111",TH!O6962="1111")),TH!D6962,""),"")</f>
        <v/>
      </c>
      <c r="B6962" s="1163" t="str">
        <f t="shared" si="529"/>
        <v/>
      </c>
      <c r="C6962" s="61"/>
      <c r="D6962" s="61"/>
      <c r="E6962" s="61"/>
      <c r="F6962" s="69"/>
      <c r="G6962" s="64"/>
      <c r="H6962" s="69"/>
      <c r="I6962" s="385"/>
      <c r="J6962" s="392"/>
      <c r="K6962" s="385"/>
      <c r="L6962" s="392"/>
      <c r="M6962" s="62"/>
      <c r="N6962" s="63"/>
      <c r="O6962" s="63"/>
      <c r="P6962" s="79" t="str">
        <f>IF(AND('331-CT'!$E$7=TH!H6962,OR(N6962="331",O6962="331")),"x","")</f>
        <v/>
      </c>
      <c r="Q6962" s="79" t="str">
        <f>IF(AND(B6962='111'!$L$11,OR($N6962=$Q$7,$O6962=$Q$7)),"x","")</f>
        <v/>
      </c>
      <c r="R6962" s="79" t="str">
        <f>IF(AND($N6962=$Q$7,$B6962&lt;'111'!$L$11),"x","")</f>
        <v/>
      </c>
      <c r="S6962" s="79" t="str">
        <f>IF(AND($O6962=$Q$7,$B6962&lt;'111'!$L$11),"x","")</f>
        <v/>
      </c>
      <c r="T6962" s="79" t="str">
        <f>IF(ISERROR(FIND('112'!$M$9,G6962,1)),"",IF((AND(FIND('112'!$M$9,G6962,1)&gt;=1,B6962='112'!$K$9,OR($N6962='112'!$I$6,$O6962='112'!$I$6))),"x",""))</f>
        <v/>
      </c>
      <c r="U6962" s="79" t="str">
        <f>IF(ISERROR(FIND('112'!$M$9,G6962,1)),"",IF((AND(LEFT(G6962,2)=LEFT('112'!$M$9,2),B6962&lt;'112'!$K$9,$N6962='112'!$I$6)),"x",""))</f>
        <v/>
      </c>
      <c r="V6962" s="79" t="str">
        <f>IF(ISERROR(FIND('112'!$M$9,G6962,1)),"",IF((AND(RIGHT(G6962,2)=RIGHT('112'!$M$9,2),B6962&lt;'112'!$K$9,$O6962='112'!$I$6)),"x",""))</f>
        <v/>
      </c>
      <c r="W6962" s="79" t="str">
        <f>IF(AND('341-CT'!$H$9=H6962,OR(LEFT(N6962,3)=$W$7,LEFT(O6962,3)=$W$7)),"x","")</f>
        <v/>
      </c>
      <c r="X6962" s="79" t="str">
        <f>IF(OR(TH!N6962=TH!$X$7,O6962=TH!$X$7),"x","")</f>
        <v/>
      </c>
      <c r="Y6962" s="79" t="str">
        <f>IF(AND(OR(N6962="131",O6962="131"),H6962='131-CT'!$H$9),"x","")</f>
        <v/>
      </c>
      <c r="Z6962" s="79"/>
      <c r="AA6962" s="79" t="str">
        <f>IF(AND(MONTH(E6962)='IN-NX'!$J$5,'IN-NX'!$D$7=D6962),"x","")</f>
        <v/>
      </c>
      <c r="AB6962" s="79" t="str">
        <f>IF(AND(OR(LEFT(TH!N6962,2)="15",LEFT(TH!O6962,2)="15"),LEFT(TH!O6962,3)&lt;&gt;"111",'152-CT'!$J$8=TH!F6962),"x","")</f>
        <v/>
      </c>
      <c r="AC6962" s="79" t="str">
        <f>IF(AND(OR(LEFT(TH!N6962,2)="15",LEFT(TH!O6962,2)="15"),TK!$E$7=TH!F6962),"x","")</f>
        <v/>
      </c>
      <c r="AD6962" s="79" t="str">
        <f>IF(AND(N6962="1521",MONTH(C6962)='BK-NL'!$M$11),"x","")</f>
        <v/>
      </c>
    </row>
    <row r="6963" spans="1:30" ht="16.5" customHeight="1">
      <c r="A6963" s="318" t="str">
        <f>IF(B6963&lt;&gt;"",IF(AND(B6963='IN-TC'!$S$4,OR(TH!N6963="1111",TH!O6963="1111")),TH!D6963,""),"")</f>
        <v/>
      </c>
      <c r="B6963" s="1163" t="str">
        <f t="shared" si="529"/>
        <v/>
      </c>
      <c r="C6963" s="61"/>
      <c r="D6963" s="61"/>
      <c r="E6963" s="61"/>
      <c r="F6963" s="69"/>
      <c r="G6963" s="64"/>
      <c r="H6963" s="69"/>
      <c r="I6963" s="385"/>
      <c r="J6963" s="392"/>
      <c r="K6963" s="385"/>
      <c r="L6963" s="937"/>
      <c r="M6963" s="62"/>
      <c r="N6963" s="63"/>
      <c r="O6963" s="63"/>
      <c r="P6963" s="79" t="str">
        <f>IF(AND('331-CT'!$E$7=TH!H6963,OR(N6963="331",O6963="331")),"x","")</f>
        <v/>
      </c>
      <c r="Q6963" s="79" t="str">
        <f>IF(AND(B6963='111'!$L$11,OR($N6963=$Q$7,$O6963=$Q$7)),"x","")</f>
        <v/>
      </c>
      <c r="R6963" s="79" t="str">
        <f>IF(AND($N6963=$Q$7,$B6963&lt;'111'!$L$11),"x","")</f>
        <v/>
      </c>
      <c r="S6963" s="79" t="str">
        <f>IF(AND($O6963=$Q$7,$B6963&lt;'111'!$L$11),"x","")</f>
        <v/>
      </c>
      <c r="T6963" s="79" t="str">
        <f>IF(ISERROR(FIND('112'!$M$9,G6963,1)),"",IF((AND(FIND('112'!$M$9,G6963,1)&gt;=1,B6963='112'!$K$9,OR($N6963='112'!$I$6,$O6963='112'!$I$6))),"x",""))</f>
        <v/>
      </c>
      <c r="U6963" s="79" t="str">
        <f>IF(ISERROR(FIND('112'!$M$9,G6963,1)),"",IF((AND(LEFT(G6963,2)=LEFT('112'!$M$9,2),B6963&lt;'112'!$K$9,$N6963='112'!$I$6)),"x",""))</f>
        <v/>
      </c>
      <c r="V6963" s="79" t="str">
        <f>IF(ISERROR(FIND('112'!$M$9,G6963,1)),"",IF((AND(RIGHT(G6963,2)=RIGHT('112'!$M$9,2),B6963&lt;'112'!$K$9,$O6963='112'!$I$6)),"x",""))</f>
        <v/>
      </c>
      <c r="W6963" s="79" t="str">
        <f>IF(AND('341-CT'!$H$9=H6963,OR(LEFT(N6963,3)=$W$7,LEFT(O6963,3)=$W$7)),"x","")</f>
        <v/>
      </c>
      <c r="X6963" s="79" t="str">
        <f>IF(OR(TH!N6963=TH!$X$7,O6963=TH!$X$7),"x","")</f>
        <v/>
      </c>
      <c r="Y6963" s="79" t="str">
        <f>IF(AND(OR(N6963="131",O6963="131"),H6963='131-CT'!$H$9),"x","")</f>
        <v/>
      </c>
      <c r="Z6963" s="79"/>
      <c r="AA6963" s="79" t="str">
        <f>IF(AND(MONTH(E6963)='IN-NX'!$J$5,'IN-NX'!$D$7=D6963),"x","")</f>
        <v/>
      </c>
      <c r="AB6963" s="79" t="str">
        <f>IF(AND(OR(LEFT(TH!N6963,2)="15",LEFT(TH!O6963,2)="15"),LEFT(TH!O6963,3)&lt;&gt;"111",'152-CT'!$J$8=TH!F6963),"x","")</f>
        <v/>
      </c>
      <c r="AC6963" s="79" t="str">
        <f>IF(AND(OR(LEFT(TH!N6963,2)="15",LEFT(TH!O6963,2)="15"),TK!$E$7=TH!F6963),"x","")</f>
        <v/>
      </c>
      <c r="AD6963" s="79" t="str">
        <f>IF(AND(N6963="1521",MONTH(C6963)='BK-NL'!$M$11),"x","")</f>
        <v/>
      </c>
    </row>
    <row r="6964" spans="1:30" ht="16.5" customHeight="1">
      <c r="A6964" s="318" t="str">
        <f>IF(B6964&lt;&gt;"",IF(AND(B6964='IN-TC'!$S$4,OR(TH!N6964="1111",TH!O6964="1111")),TH!D6964,""),"")</f>
        <v/>
      </c>
      <c r="B6964" s="1163" t="str">
        <f t="shared" si="529"/>
        <v/>
      </c>
      <c r="C6964" s="61"/>
      <c r="D6964" s="61"/>
      <c r="E6964" s="61"/>
      <c r="F6964" s="69"/>
      <c r="G6964" s="64"/>
      <c r="H6964" s="69"/>
      <c r="I6964" s="385"/>
      <c r="J6964" s="392"/>
      <c r="K6964" s="385"/>
      <c r="L6964" s="392"/>
      <c r="M6964" s="62"/>
      <c r="N6964" s="63"/>
      <c r="O6964" s="63"/>
      <c r="P6964" s="79" t="str">
        <f>IF(AND('331-CT'!$E$7=TH!H6964,OR(N6964="331",O6964="331")),"x","")</f>
        <v/>
      </c>
      <c r="Q6964" s="79" t="str">
        <f>IF(AND(B6964='111'!$L$11,OR($N6964=$Q$7,$O6964=$Q$7)),"x","")</f>
        <v/>
      </c>
      <c r="R6964" s="79" t="str">
        <f>IF(AND($N6964=$Q$7,$B6964&lt;'111'!$L$11),"x","")</f>
        <v/>
      </c>
      <c r="S6964" s="79" t="str">
        <f>IF(AND($O6964=$Q$7,$B6964&lt;'111'!$L$11),"x","")</f>
        <v/>
      </c>
      <c r="T6964" s="79" t="str">
        <f>IF(ISERROR(FIND('112'!$M$9,G6964,1)),"",IF((AND(FIND('112'!$M$9,G6964,1)&gt;=1,B6964='112'!$K$9,OR($N6964='112'!$I$6,$O6964='112'!$I$6))),"x",""))</f>
        <v/>
      </c>
      <c r="U6964" s="79" t="str">
        <f>IF(ISERROR(FIND('112'!$M$9,G6964,1)),"",IF((AND(LEFT(G6964,2)=LEFT('112'!$M$9,2),B6964&lt;'112'!$K$9,$N6964='112'!$I$6)),"x",""))</f>
        <v/>
      </c>
      <c r="V6964" s="79" t="str">
        <f>IF(ISERROR(FIND('112'!$M$9,G6964,1)),"",IF((AND(RIGHT(G6964,2)=RIGHT('112'!$M$9,2),B6964&lt;'112'!$K$9,$O6964='112'!$I$6)),"x",""))</f>
        <v/>
      </c>
      <c r="W6964" s="79" t="str">
        <f>IF(AND('341-CT'!$H$9=H6964,OR(LEFT(N6964,3)=$W$7,LEFT(O6964,3)=$W$7)),"x","")</f>
        <v/>
      </c>
      <c r="X6964" s="79" t="str">
        <f>IF(OR(TH!N6964=TH!$X$7,O6964=TH!$X$7),"x","")</f>
        <v/>
      </c>
      <c r="Y6964" s="79" t="str">
        <f>IF(AND(OR(N6964="131",O6964="131"),H6964='131-CT'!$H$9),"x","")</f>
        <v/>
      </c>
      <c r="Z6964" s="79"/>
      <c r="AA6964" s="79" t="str">
        <f>IF(AND(MONTH(E6964)='IN-NX'!$J$5,'IN-NX'!$D$7=D6964),"x","")</f>
        <v/>
      </c>
      <c r="AB6964" s="79" t="str">
        <f>IF(AND(OR(LEFT(TH!N6964,2)="15",LEFT(TH!O6964,2)="15"),LEFT(TH!O6964,3)&lt;&gt;"111",'152-CT'!$J$8=TH!F6964),"x","")</f>
        <v/>
      </c>
      <c r="AC6964" s="79" t="str">
        <f>IF(AND(OR(LEFT(TH!N6964,2)="15",LEFT(TH!O6964,2)="15"),TK!$E$7=TH!F6964),"x","")</f>
        <v/>
      </c>
      <c r="AD6964" s="79" t="str">
        <f>IF(AND(N6964="1521",MONTH(C6964)='BK-NL'!$M$11),"x","")</f>
        <v/>
      </c>
    </row>
    <row r="6965" spans="1:30" ht="16.5" customHeight="1">
      <c r="A6965" s="318" t="str">
        <f>IF(B6965&lt;&gt;"",IF(AND(B6965='IN-TC'!$S$4,OR(TH!N6965="1111",TH!O6965="1111")),TH!D6965,""),"")</f>
        <v/>
      </c>
      <c r="B6965" s="1163" t="str">
        <f t="shared" si="529"/>
        <v/>
      </c>
      <c r="C6965" s="61"/>
      <c r="D6965" s="61"/>
      <c r="E6965" s="61"/>
      <c r="F6965" s="69"/>
      <c r="G6965" s="64"/>
      <c r="H6965" s="69"/>
      <c r="I6965" s="385"/>
      <c r="J6965" s="392"/>
      <c r="K6965" s="385"/>
      <c r="L6965" s="392"/>
      <c r="M6965" s="62"/>
      <c r="N6965" s="63"/>
      <c r="O6965" s="63"/>
      <c r="P6965" s="79" t="str">
        <f>IF(AND('331-CT'!$E$7=TH!H6965,OR(N6965="331",O6965="331")),"x","")</f>
        <v/>
      </c>
      <c r="Q6965" s="79" t="str">
        <f>IF(AND(B6965='111'!$L$11,OR($N6965=$Q$7,$O6965=$Q$7)),"x","")</f>
        <v/>
      </c>
      <c r="R6965" s="79" t="str">
        <f>IF(AND($N6965=$Q$7,$B6965&lt;'111'!$L$11),"x","")</f>
        <v/>
      </c>
      <c r="S6965" s="79" t="str">
        <f>IF(AND($O6965=$Q$7,$B6965&lt;'111'!$L$11),"x","")</f>
        <v/>
      </c>
      <c r="T6965" s="79" t="str">
        <f>IF(ISERROR(FIND('112'!$M$9,G6965,1)),"",IF((AND(FIND('112'!$M$9,G6965,1)&gt;=1,B6965='112'!$K$9,OR($N6965='112'!$I$6,$O6965='112'!$I$6))),"x",""))</f>
        <v/>
      </c>
      <c r="U6965" s="79" t="str">
        <f>IF(ISERROR(FIND('112'!$M$9,G6965,1)),"",IF((AND(LEFT(G6965,2)=LEFT('112'!$M$9,2),B6965&lt;'112'!$K$9,$N6965='112'!$I$6)),"x",""))</f>
        <v/>
      </c>
      <c r="V6965" s="79" t="str">
        <f>IF(ISERROR(FIND('112'!$M$9,G6965,1)),"",IF((AND(RIGHT(G6965,2)=RIGHT('112'!$M$9,2),B6965&lt;'112'!$K$9,$O6965='112'!$I$6)),"x",""))</f>
        <v/>
      </c>
      <c r="W6965" s="79" t="str">
        <f>IF(AND('341-CT'!$H$9=H6965,OR(LEFT(N6965,3)=$W$7,LEFT(O6965,3)=$W$7)),"x","")</f>
        <v/>
      </c>
      <c r="X6965" s="79" t="str">
        <f>IF(OR(TH!N6965=TH!$X$7,O6965=TH!$X$7),"x","")</f>
        <v/>
      </c>
      <c r="Y6965" s="79" t="str">
        <f>IF(AND(OR(N6965="131",O6965="131"),H6965='131-CT'!$H$9),"x","")</f>
        <v/>
      </c>
      <c r="Z6965" s="79"/>
      <c r="AA6965" s="79" t="str">
        <f>IF(AND(MONTH(E6965)='IN-NX'!$J$5,'IN-NX'!$D$7=D6965),"x","")</f>
        <v/>
      </c>
      <c r="AB6965" s="79" t="str">
        <f>IF(AND(OR(LEFT(TH!N6965,2)="15",LEFT(TH!O6965,2)="15"),LEFT(TH!O6965,3)&lt;&gt;"111",'152-CT'!$J$8=TH!F6965),"x","")</f>
        <v/>
      </c>
      <c r="AC6965" s="79" t="str">
        <f>IF(AND(OR(LEFT(TH!N6965,2)="15",LEFT(TH!O6965,2)="15"),TK!$E$7=TH!F6965),"x","")</f>
        <v/>
      </c>
      <c r="AD6965" s="79" t="str">
        <f>IF(AND(N6965="1521",MONTH(C6965)='BK-NL'!$M$11),"x","")</f>
        <v/>
      </c>
    </row>
    <row r="6966" spans="1:30" ht="16.5" customHeight="1">
      <c r="A6966" s="318" t="str">
        <f>IF(B6966&lt;&gt;"",IF(AND(B6966='IN-TC'!$S$4,OR(TH!N6966="1111",TH!O6966="1111")),TH!D6966,""),"")</f>
        <v/>
      </c>
      <c r="B6966" s="1163" t="str">
        <f t="shared" si="529"/>
        <v/>
      </c>
      <c r="C6966" s="61"/>
      <c r="D6966" s="61"/>
      <c r="E6966" s="61"/>
      <c r="F6966" s="69"/>
      <c r="G6966" s="64"/>
      <c r="H6966" s="69"/>
      <c r="I6966" s="385"/>
      <c r="J6966" s="392"/>
      <c r="K6966" s="385"/>
      <c r="L6966" s="392"/>
      <c r="M6966" s="62"/>
      <c r="N6966" s="63"/>
      <c r="O6966" s="63"/>
      <c r="P6966" s="79" t="str">
        <f>IF(AND('331-CT'!$E$7=TH!H6966,OR(N6966="331",O6966="331")),"x","")</f>
        <v/>
      </c>
      <c r="Q6966" s="79" t="str">
        <f>IF(AND(B6966='111'!$L$11,OR($N6966=$Q$7,$O6966=$Q$7)),"x","")</f>
        <v/>
      </c>
      <c r="R6966" s="79" t="str">
        <f>IF(AND($N6966=$Q$7,$B6966&lt;'111'!$L$11),"x","")</f>
        <v/>
      </c>
      <c r="S6966" s="79" t="str">
        <f>IF(AND($O6966=$Q$7,$B6966&lt;'111'!$L$11),"x","")</f>
        <v/>
      </c>
      <c r="T6966" s="79" t="str">
        <f>IF(ISERROR(FIND('112'!$M$9,G6966,1)),"",IF((AND(FIND('112'!$M$9,G6966,1)&gt;=1,B6966='112'!$K$9,OR($N6966='112'!$I$6,$O6966='112'!$I$6))),"x",""))</f>
        <v/>
      </c>
      <c r="U6966" s="79" t="str">
        <f>IF(ISERROR(FIND('112'!$M$9,G6966,1)),"",IF((AND(LEFT(G6966,2)=LEFT('112'!$M$9,2),B6966&lt;'112'!$K$9,$N6966='112'!$I$6)),"x",""))</f>
        <v/>
      </c>
      <c r="V6966" s="79" t="str">
        <f>IF(ISERROR(FIND('112'!$M$9,G6966,1)),"",IF((AND(RIGHT(G6966,2)=RIGHT('112'!$M$9,2),B6966&lt;'112'!$K$9,$O6966='112'!$I$6)),"x",""))</f>
        <v/>
      </c>
      <c r="W6966" s="79" t="str">
        <f>IF(AND('341-CT'!$H$9=H6966,OR(LEFT(N6966,3)=$W$7,LEFT(O6966,3)=$W$7)),"x","")</f>
        <v/>
      </c>
      <c r="X6966" s="79" t="str">
        <f>IF(OR(TH!N6966=TH!$X$7,O6966=TH!$X$7),"x","")</f>
        <v/>
      </c>
      <c r="Y6966" s="79" t="str">
        <f>IF(AND(OR(N6966="131",O6966="131"),H6966='131-CT'!$H$9),"x","")</f>
        <v/>
      </c>
      <c r="Z6966" s="79"/>
      <c r="AA6966" s="79" t="str">
        <f>IF(AND(MONTH(E6966)='IN-NX'!$J$5,'IN-NX'!$D$7=D6966),"x","")</f>
        <v/>
      </c>
      <c r="AB6966" s="79" t="str">
        <f>IF(AND(OR(LEFT(TH!N6966,2)="15",LEFT(TH!O6966,2)="15"),LEFT(TH!O6966,3)&lt;&gt;"111",'152-CT'!$J$8=TH!F6966),"x","")</f>
        <v/>
      </c>
      <c r="AC6966" s="79" t="str">
        <f>IF(AND(OR(LEFT(TH!N6966,2)="15",LEFT(TH!O6966,2)="15"),TK!$E$7=TH!F6966),"x","")</f>
        <v/>
      </c>
      <c r="AD6966" s="79" t="str">
        <f>IF(AND(N6966="1521",MONTH(C6966)='BK-NL'!$M$11),"x","")</f>
        <v/>
      </c>
    </row>
    <row r="6967" spans="1:30" ht="16.5" customHeight="1">
      <c r="A6967" s="318" t="str">
        <f>IF(B6967&lt;&gt;"",IF(AND(B6967='IN-TC'!$S$4,OR(TH!N6967="1111",TH!O6967="1111")),TH!D6967,""),"")</f>
        <v/>
      </c>
      <c r="B6967" s="1163" t="str">
        <f t="shared" si="529"/>
        <v/>
      </c>
      <c r="C6967" s="61"/>
      <c r="D6967" s="61"/>
      <c r="E6967" s="61"/>
      <c r="F6967" s="69"/>
      <c r="G6967" s="64"/>
      <c r="H6967" s="69"/>
      <c r="I6967" s="385"/>
      <c r="J6967" s="392"/>
      <c r="K6967" s="385"/>
      <c r="L6967" s="392"/>
      <c r="M6967" s="62"/>
      <c r="N6967" s="63"/>
      <c r="O6967" s="63"/>
      <c r="P6967" s="79" t="str">
        <f>IF(AND('331-CT'!$E$7=TH!H6967,OR(N6967="331",O6967="331")),"x","")</f>
        <v/>
      </c>
      <c r="Q6967" s="79" t="str">
        <f>IF(AND(B6967='111'!$L$11,OR($N6967=$Q$7,$O6967=$Q$7)),"x","")</f>
        <v/>
      </c>
      <c r="R6967" s="79" t="str">
        <f>IF(AND($N6967=$Q$7,$B6967&lt;'111'!$L$11),"x","")</f>
        <v/>
      </c>
      <c r="S6967" s="79" t="str">
        <f>IF(AND($O6967=$Q$7,$B6967&lt;'111'!$L$11),"x","")</f>
        <v/>
      </c>
      <c r="T6967" s="79" t="str">
        <f>IF(ISERROR(FIND('112'!$M$9,G6967,1)),"",IF((AND(FIND('112'!$M$9,G6967,1)&gt;=1,B6967='112'!$K$9,OR($N6967='112'!$I$6,$O6967='112'!$I$6))),"x",""))</f>
        <v/>
      </c>
      <c r="U6967" s="79" t="str">
        <f>IF(ISERROR(FIND('112'!$M$9,G6967,1)),"",IF((AND(LEFT(G6967,2)=LEFT('112'!$M$9,2),B6967&lt;'112'!$K$9,$N6967='112'!$I$6)),"x",""))</f>
        <v/>
      </c>
      <c r="V6967" s="79" t="str">
        <f>IF(ISERROR(FIND('112'!$M$9,G6967,1)),"",IF((AND(RIGHT(G6967,2)=RIGHT('112'!$M$9,2),B6967&lt;'112'!$K$9,$O6967='112'!$I$6)),"x",""))</f>
        <v/>
      </c>
      <c r="W6967" s="79" t="str">
        <f>IF(AND('341-CT'!$H$9=H6967,OR(LEFT(N6967,3)=$W$7,LEFT(O6967,3)=$W$7)),"x","")</f>
        <v/>
      </c>
      <c r="X6967" s="79" t="str">
        <f>IF(OR(TH!N6967=TH!$X$7,O6967=TH!$X$7),"x","")</f>
        <v/>
      </c>
      <c r="Y6967" s="79" t="str">
        <f>IF(AND(OR(N6967="131",O6967="131"),H6967='131-CT'!$H$9),"x","")</f>
        <v/>
      </c>
      <c r="Z6967" s="79"/>
      <c r="AA6967" s="79" t="str">
        <f>IF(AND(MONTH(E6967)='IN-NX'!$J$5,'IN-NX'!$D$7=D6967),"x","")</f>
        <v/>
      </c>
      <c r="AB6967" s="79" t="str">
        <f>IF(AND(OR(LEFT(TH!N6967,2)="15",LEFT(TH!O6967,2)="15"),LEFT(TH!O6967,3)&lt;&gt;"111",'152-CT'!$J$8=TH!F6967),"x","")</f>
        <v/>
      </c>
      <c r="AC6967" s="79" t="str">
        <f>IF(AND(OR(LEFT(TH!N6967,2)="15",LEFT(TH!O6967,2)="15"),TK!$E$7=TH!F6967),"x","")</f>
        <v/>
      </c>
      <c r="AD6967" s="79" t="str">
        <f>IF(AND(N6967="1521",MONTH(C6967)='BK-NL'!$M$11),"x","")</f>
        <v/>
      </c>
    </row>
    <row r="6968" spans="1:30" ht="16.5" customHeight="1">
      <c r="A6968" s="318" t="str">
        <f>IF(B6968&lt;&gt;"",IF(AND(B6968='IN-TC'!$S$4,OR(TH!N6968="1111",TH!O6968="1111")),TH!D6968,""),"")</f>
        <v/>
      </c>
      <c r="B6968" s="1163" t="str">
        <f t="shared" si="529"/>
        <v/>
      </c>
      <c r="C6968" s="61"/>
      <c r="D6968" s="61"/>
      <c r="E6968" s="61"/>
      <c r="F6968" s="69"/>
      <c r="G6968" s="766"/>
      <c r="H6968" s="69"/>
      <c r="I6968" s="385"/>
      <c r="J6968" s="392"/>
      <c r="K6968" s="385"/>
      <c r="L6968" s="392"/>
      <c r="M6968" s="62"/>
      <c r="N6968" s="63"/>
      <c r="O6968" s="63"/>
      <c r="P6968" s="79" t="str">
        <f>IF(AND('331-CT'!$E$7=TH!H6968,OR(N6968="331",O6968="331")),"x","")</f>
        <v/>
      </c>
      <c r="Q6968" s="79" t="str">
        <f>IF(AND(B6968='111'!$L$11,OR($N6968=$Q$7,$O6968=$Q$7)),"x","")</f>
        <v/>
      </c>
      <c r="R6968" s="79" t="str">
        <f>IF(AND($N6968=$Q$7,$B6968&lt;'111'!$L$11),"x","")</f>
        <v/>
      </c>
      <c r="S6968" s="79" t="str">
        <f>IF(AND($O6968=$Q$7,$B6968&lt;'111'!$L$11),"x","")</f>
        <v/>
      </c>
      <c r="T6968" s="79" t="str">
        <f>IF(ISERROR(FIND('112'!$M$9,G6968,1)),"",IF((AND(FIND('112'!$M$9,G6968,1)&gt;=1,B6968='112'!$K$9,OR($N6968='112'!$I$6,$O6968='112'!$I$6))),"x",""))</f>
        <v/>
      </c>
      <c r="U6968" s="79" t="str">
        <f>IF(ISERROR(FIND('112'!$M$9,G6968,1)),"",IF((AND(LEFT(G6968,2)=LEFT('112'!$M$9,2),B6968&lt;'112'!$K$9,$N6968='112'!$I$6)),"x",""))</f>
        <v/>
      </c>
      <c r="V6968" s="79" t="str">
        <f>IF(ISERROR(FIND('112'!$M$9,G6968,1)),"",IF((AND(RIGHT(G6968,2)=RIGHT('112'!$M$9,2),B6968&lt;'112'!$K$9,$O6968='112'!$I$6)),"x",""))</f>
        <v/>
      </c>
      <c r="W6968" s="79" t="str">
        <f>IF(AND('341-CT'!$H$9=H6968,OR(LEFT(N6968,3)=$W$7,LEFT(O6968,3)=$W$7)),"x","")</f>
        <v/>
      </c>
      <c r="X6968" s="79" t="str">
        <f>IF(OR(TH!N6968=TH!$X$7,O6968=TH!$X$7),"x","")</f>
        <v/>
      </c>
      <c r="Y6968" s="79" t="str">
        <f>IF(AND(OR(N6968="131",O6968="131"),H6968='131-CT'!$H$9),"x","")</f>
        <v/>
      </c>
      <c r="Z6968" s="79"/>
      <c r="AA6968" s="79" t="str">
        <f>IF(AND(MONTH(E6968)='IN-NX'!$J$5,'IN-NX'!$D$7=D6968),"x","")</f>
        <v/>
      </c>
      <c r="AB6968" s="79" t="str">
        <f>IF(AND(OR(LEFT(TH!N6968,2)="15",LEFT(TH!O6968,2)="15"),LEFT(TH!O6968,3)&lt;&gt;"111",'152-CT'!$J$8=TH!F6968),"x","")</f>
        <v/>
      </c>
      <c r="AC6968" s="79" t="str">
        <f>IF(AND(OR(LEFT(TH!N6968,2)="15",LEFT(TH!O6968,2)="15"),TK!$E$7=TH!F6968),"x","")</f>
        <v/>
      </c>
      <c r="AD6968" s="79" t="str">
        <f>IF(AND(N6968="1521",MONTH(C6968)='BK-NL'!$M$11),"x","")</f>
        <v/>
      </c>
    </row>
    <row r="6969" spans="1:30" ht="16.5" customHeight="1">
      <c r="A6969" s="318" t="str">
        <f>IF(B6969&lt;&gt;"",IF(AND(B6969='IN-TC'!$S$4,OR(TH!N6969="1111",TH!O6969="1111")),TH!D6969,""),"")</f>
        <v/>
      </c>
      <c r="B6969" s="1163" t="str">
        <f t="shared" si="529"/>
        <v/>
      </c>
      <c r="C6969" s="61"/>
      <c r="D6969" s="61"/>
      <c r="E6969" s="61"/>
      <c r="F6969" s="69"/>
      <c r="G6969" s="766"/>
      <c r="H6969" s="69"/>
      <c r="I6969" s="385"/>
      <c r="J6969" s="392"/>
      <c r="K6969" s="385"/>
      <c r="L6969" s="392"/>
      <c r="M6969" s="62"/>
      <c r="N6969" s="63"/>
      <c r="O6969" s="63"/>
      <c r="P6969" s="79" t="str">
        <f>IF(AND('331-CT'!$E$7=TH!H6969,OR(N6969="331",O6969="331")),"x","")</f>
        <v/>
      </c>
      <c r="Q6969" s="79" t="str">
        <f>IF(AND(B6969='111'!$L$11,OR($N6969=$Q$7,$O6969=$Q$7)),"x","")</f>
        <v/>
      </c>
      <c r="R6969" s="79" t="str">
        <f>IF(AND($N6969=$Q$7,$B6969&lt;'111'!$L$11),"x","")</f>
        <v/>
      </c>
      <c r="S6969" s="79" t="str">
        <f>IF(AND($O6969=$Q$7,$B6969&lt;'111'!$L$11),"x","")</f>
        <v/>
      </c>
      <c r="T6969" s="79" t="str">
        <f>IF(ISERROR(FIND('112'!$M$9,G6969,1)),"",IF((AND(FIND('112'!$M$9,G6969,1)&gt;=1,B6969='112'!$K$9,OR($N6969='112'!$I$6,$O6969='112'!$I$6))),"x",""))</f>
        <v/>
      </c>
      <c r="U6969" s="79" t="str">
        <f>IF(ISERROR(FIND('112'!$M$9,G6969,1)),"",IF((AND(LEFT(G6969,2)=LEFT('112'!$M$9,2),B6969&lt;'112'!$K$9,$N6969='112'!$I$6)),"x",""))</f>
        <v/>
      </c>
      <c r="V6969" s="79" t="str">
        <f>IF(ISERROR(FIND('112'!$M$9,G6969,1)),"",IF((AND(RIGHT(G6969,2)=RIGHT('112'!$M$9,2),B6969&lt;'112'!$K$9,$O6969='112'!$I$6)),"x",""))</f>
        <v/>
      </c>
      <c r="W6969" s="79" t="str">
        <f>IF(AND('341-CT'!$H$9=H6969,OR(LEFT(N6969,3)=$W$7,LEFT(O6969,3)=$W$7)),"x","")</f>
        <v/>
      </c>
      <c r="X6969" s="79" t="str">
        <f>IF(OR(TH!N6969=TH!$X$7,O6969=TH!$X$7),"x","")</f>
        <v/>
      </c>
      <c r="Y6969" s="79" t="str">
        <f>IF(AND(OR(N6969="131",O6969="131"),H6969='131-CT'!$H$9),"x","")</f>
        <v/>
      </c>
      <c r="Z6969" s="79"/>
      <c r="AA6969" s="79" t="str">
        <f>IF(AND(MONTH(E6969)='IN-NX'!$J$5,'IN-NX'!$D$7=D6969),"x","")</f>
        <v/>
      </c>
      <c r="AB6969" s="79" t="str">
        <f>IF(AND(OR(LEFT(TH!N6969,2)="15",LEFT(TH!O6969,2)="15"),LEFT(TH!O6969,3)&lt;&gt;"111",'152-CT'!$J$8=TH!F6969),"x","")</f>
        <v/>
      </c>
      <c r="AC6969" s="79" t="str">
        <f>IF(AND(OR(LEFT(TH!N6969,2)="15",LEFT(TH!O6969,2)="15"),TK!$E$7=TH!F6969),"x","")</f>
        <v/>
      </c>
      <c r="AD6969" s="79" t="str">
        <f>IF(AND(N6969="1521",MONTH(C6969)='BK-NL'!$M$11),"x","")</f>
        <v/>
      </c>
    </row>
    <row r="6970" spans="1:30" ht="16.5" customHeight="1">
      <c r="A6970" s="318" t="str">
        <f>IF(B6970&lt;&gt;"",IF(AND(B6970='IN-TC'!$S$4,OR(TH!N6970="1111",TH!O6970="1111")),TH!D6970,""),"")</f>
        <v/>
      </c>
      <c r="B6970" s="1163" t="str">
        <f t="shared" si="529"/>
        <v/>
      </c>
      <c r="C6970" s="61"/>
      <c r="D6970" s="61"/>
      <c r="E6970" s="61"/>
      <c r="F6970" s="69"/>
      <c r="G6970" s="64"/>
      <c r="H6970" s="69"/>
      <c r="I6970" s="385"/>
      <c r="J6970" s="392"/>
      <c r="K6970" s="385"/>
      <c r="L6970" s="392"/>
      <c r="M6970" s="62"/>
      <c r="N6970" s="63"/>
      <c r="O6970" s="63"/>
      <c r="P6970" s="79" t="str">
        <f>IF(AND('331-CT'!$E$7=TH!H6970,OR(N6970="331",O6970="331")),"x","")</f>
        <v/>
      </c>
      <c r="Q6970" s="79" t="str">
        <f>IF(AND(B6970='111'!$L$11,OR($N6970=$Q$7,$O6970=$Q$7)),"x","")</f>
        <v/>
      </c>
      <c r="R6970" s="79" t="str">
        <f>IF(AND($N6970=$Q$7,$B6970&lt;'111'!$L$11),"x","")</f>
        <v/>
      </c>
      <c r="S6970" s="79" t="str">
        <f>IF(AND($O6970=$Q$7,$B6970&lt;'111'!$L$11),"x","")</f>
        <v/>
      </c>
      <c r="T6970" s="79" t="str">
        <f>IF(ISERROR(FIND('112'!$M$9,G6970,1)),"",IF((AND(FIND('112'!$M$9,G6970,1)&gt;=1,B6970='112'!$K$9,OR($N6970='112'!$I$6,$O6970='112'!$I$6))),"x",""))</f>
        <v/>
      </c>
      <c r="U6970" s="79" t="str">
        <f>IF(ISERROR(FIND('112'!$M$9,G6970,1)),"",IF((AND(LEFT(G6970,2)=LEFT('112'!$M$9,2),B6970&lt;'112'!$K$9,$N6970='112'!$I$6)),"x",""))</f>
        <v/>
      </c>
      <c r="V6970" s="79" t="str">
        <f>IF(ISERROR(FIND('112'!$M$9,G6970,1)),"",IF((AND(RIGHT(G6970,2)=RIGHT('112'!$M$9,2),B6970&lt;'112'!$K$9,$O6970='112'!$I$6)),"x",""))</f>
        <v/>
      </c>
      <c r="W6970" s="79" t="str">
        <f>IF(AND('341-CT'!$H$9=H6970,OR(LEFT(N6970,3)=$W$7,LEFT(O6970,3)=$W$7)),"x","")</f>
        <v/>
      </c>
      <c r="X6970" s="79" t="str">
        <f>IF(OR(TH!N6970=TH!$X$7,O6970=TH!$X$7),"x","")</f>
        <v/>
      </c>
      <c r="Y6970" s="79" t="str">
        <f>IF(AND(OR(N6970="131",O6970="131"),H6970='131-CT'!$H$9),"x","")</f>
        <v/>
      </c>
      <c r="Z6970" s="79"/>
      <c r="AA6970" s="79" t="str">
        <f>IF(AND(MONTH(E6970)='IN-NX'!$J$5,'IN-NX'!$D$7=D6970),"x","")</f>
        <v/>
      </c>
      <c r="AB6970" s="79" t="str">
        <f>IF(AND(OR(LEFT(TH!N6970,2)="15",LEFT(TH!O6970,2)="15"),LEFT(TH!O6970,3)&lt;&gt;"111",'152-CT'!$J$8=TH!F6970),"x","")</f>
        <v/>
      </c>
      <c r="AC6970" s="79" t="str">
        <f>IF(AND(OR(LEFT(TH!N6970,2)="15",LEFT(TH!O6970,2)="15"),TK!$E$7=TH!F6970),"x","")</f>
        <v/>
      </c>
      <c r="AD6970" s="79" t="str">
        <f>IF(AND(N6970="1521",MONTH(C6970)='BK-NL'!$M$11),"x","")</f>
        <v/>
      </c>
    </row>
    <row r="6971" spans="1:30" ht="16.5" customHeight="1">
      <c r="A6971" s="318" t="str">
        <f>IF(B6971&lt;&gt;"",IF(AND(B6971='IN-TC'!$S$4,OR(TH!N6971="1111",TH!O6971="1111")),TH!D6971,""),"")</f>
        <v/>
      </c>
      <c r="B6971" s="1163" t="str">
        <f t="shared" si="529"/>
        <v/>
      </c>
      <c r="C6971" s="61"/>
      <c r="D6971" s="61"/>
      <c r="E6971" s="61"/>
      <c r="F6971" s="69"/>
      <c r="G6971" s="64"/>
      <c r="H6971" s="69"/>
      <c r="I6971" s="385"/>
      <c r="J6971" s="392"/>
      <c r="K6971" s="385"/>
      <c r="L6971" s="392"/>
      <c r="M6971" s="62"/>
      <c r="N6971" s="63"/>
      <c r="O6971" s="63"/>
      <c r="P6971" s="79" t="str">
        <f>IF(AND('331-CT'!$E$7=TH!H6971,OR(N6971="331",O6971="331")),"x","")</f>
        <v/>
      </c>
      <c r="Q6971" s="79" t="str">
        <f>IF(AND(B6971='111'!$L$11,OR($N6971=$Q$7,$O6971=$Q$7)),"x","")</f>
        <v/>
      </c>
      <c r="R6971" s="79" t="str">
        <f>IF(AND($N6971=$Q$7,$B6971&lt;'111'!$L$11),"x","")</f>
        <v/>
      </c>
      <c r="S6971" s="79" t="str">
        <f>IF(AND($O6971=$Q$7,$B6971&lt;'111'!$L$11),"x","")</f>
        <v/>
      </c>
      <c r="T6971" s="79" t="str">
        <f>IF(ISERROR(FIND('112'!$M$9,G6971,1)),"",IF((AND(FIND('112'!$M$9,G6971,1)&gt;=1,B6971='112'!$K$9,OR($N6971='112'!$I$6,$O6971='112'!$I$6))),"x",""))</f>
        <v/>
      </c>
      <c r="U6971" s="79" t="str">
        <f>IF(ISERROR(FIND('112'!$M$9,G6971,1)),"",IF((AND(LEFT(G6971,2)=LEFT('112'!$M$9,2),B6971&lt;'112'!$K$9,$N6971='112'!$I$6)),"x",""))</f>
        <v/>
      </c>
      <c r="V6971" s="79" t="str">
        <f>IF(ISERROR(FIND('112'!$M$9,G6971,1)),"",IF((AND(RIGHT(G6971,2)=RIGHT('112'!$M$9,2),B6971&lt;'112'!$K$9,$O6971='112'!$I$6)),"x",""))</f>
        <v/>
      </c>
      <c r="W6971" s="79" t="str">
        <f>IF(AND('341-CT'!$H$9=H6971,OR(LEFT(N6971,3)=$W$7,LEFT(O6971,3)=$W$7)),"x","")</f>
        <v/>
      </c>
      <c r="X6971" s="79" t="str">
        <f>IF(OR(TH!N6971=TH!$X$7,O6971=TH!$X$7),"x","")</f>
        <v/>
      </c>
      <c r="Y6971" s="79" t="str">
        <f>IF(AND(OR(N6971="131",O6971="131"),H6971='131-CT'!$H$9),"x","")</f>
        <v/>
      </c>
      <c r="Z6971" s="79"/>
      <c r="AA6971" s="79" t="str">
        <f>IF(AND(MONTH(E6971)='IN-NX'!$J$5,'IN-NX'!$D$7=D6971),"x","")</f>
        <v/>
      </c>
      <c r="AB6971" s="79" t="str">
        <f>IF(AND(OR(LEFT(TH!N6971,2)="15",LEFT(TH!O6971,2)="15"),LEFT(TH!O6971,3)&lt;&gt;"111",'152-CT'!$J$8=TH!F6971),"x","")</f>
        <v/>
      </c>
      <c r="AC6971" s="79" t="str">
        <f>IF(AND(OR(LEFT(TH!N6971,2)="15",LEFT(TH!O6971,2)="15"),TK!$E$7=TH!F6971),"x","")</f>
        <v/>
      </c>
      <c r="AD6971" s="79" t="str">
        <f>IF(AND(N6971="1521",MONTH(C6971)='BK-NL'!$M$11),"x","")</f>
        <v/>
      </c>
    </row>
    <row r="6972" spans="1:30" ht="16.5" customHeight="1">
      <c r="A6972" s="318" t="str">
        <f>IF(B6972&lt;&gt;"",IF(AND(B6972='IN-TC'!$S$4,OR(TH!N6972="1111",TH!O6972="1111")),TH!D6972,""),"")</f>
        <v/>
      </c>
      <c r="B6972" s="1163" t="str">
        <f t="shared" si="529"/>
        <v/>
      </c>
      <c r="C6972" s="61"/>
      <c r="D6972" s="61"/>
      <c r="E6972" s="61"/>
      <c r="F6972" s="69"/>
      <c r="G6972" s="766"/>
      <c r="H6972" s="69"/>
      <c r="I6972" s="385"/>
      <c r="J6972" s="392"/>
      <c r="K6972" s="385"/>
      <c r="L6972" s="392"/>
      <c r="M6972" s="62"/>
      <c r="N6972" s="63"/>
      <c r="O6972" s="63"/>
      <c r="P6972" s="79" t="str">
        <f>IF(AND('331-CT'!$E$7=TH!H6972,OR(N6972="331",O6972="331")),"x","")</f>
        <v/>
      </c>
      <c r="Q6972" s="79" t="str">
        <f>IF(AND(B6972='111'!$L$11,OR($N6972=$Q$7,$O6972=$Q$7)),"x","")</f>
        <v/>
      </c>
      <c r="R6972" s="79" t="str">
        <f>IF(AND($N6972=$Q$7,$B6972&lt;'111'!$L$11),"x","")</f>
        <v/>
      </c>
      <c r="S6972" s="79" t="str">
        <f>IF(AND($O6972=$Q$7,$B6972&lt;'111'!$L$11),"x","")</f>
        <v/>
      </c>
      <c r="T6972" s="79" t="str">
        <f>IF(ISERROR(FIND('112'!$M$9,G6972,1)),"",IF((AND(FIND('112'!$M$9,G6972,1)&gt;=1,B6972='112'!$K$9,OR($N6972='112'!$I$6,$O6972='112'!$I$6))),"x",""))</f>
        <v/>
      </c>
      <c r="U6972" s="79" t="str">
        <f>IF(ISERROR(FIND('112'!$M$9,G6972,1)),"",IF((AND(LEFT(G6972,2)=LEFT('112'!$M$9,2),B6972&lt;'112'!$K$9,$N6972='112'!$I$6)),"x",""))</f>
        <v/>
      </c>
      <c r="V6972" s="79" t="str">
        <f>IF(ISERROR(FIND('112'!$M$9,G6972,1)),"",IF((AND(RIGHT(G6972,2)=RIGHT('112'!$M$9,2),B6972&lt;'112'!$K$9,$O6972='112'!$I$6)),"x",""))</f>
        <v/>
      </c>
      <c r="W6972" s="79" t="str">
        <f>IF(AND('341-CT'!$H$9=H6972,OR(LEFT(N6972,3)=$W$7,LEFT(O6972,3)=$W$7)),"x","")</f>
        <v/>
      </c>
      <c r="X6972" s="79" t="str">
        <f>IF(OR(TH!N6972=TH!$X$7,O6972=TH!$X$7),"x","")</f>
        <v/>
      </c>
      <c r="Y6972" s="79" t="str">
        <f>IF(AND(OR(N6972="131",O6972="131"),H6972='131-CT'!$H$9),"x","")</f>
        <v/>
      </c>
      <c r="Z6972" s="79"/>
      <c r="AA6972" s="79" t="str">
        <f>IF(AND(MONTH(E6972)='IN-NX'!$J$5,'IN-NX'!$D$7=D6972),"x","")</f>
        <v/>
      </c>
      <c r="AB6972" s="79" t="str">
        <f>IF(AND(OR(LEFT(TH!N6972,2)="15",LEFT(TH!O6972,2)="15"),LEFT(TH!O6972,3)&lt;&gt;"111",'152-CT'!$J$8=TH!F6972),"x","")</f>
        <v/>
      </c>
      <c r="AC6972" s="79" t="str">
        <f>IF(AND(OR(LEFT(TH!N6972,2)="15",LEFT(TH!O6972,2)="15"),TK!$E$7=TH!F6972),"x","")</f>
        <v/>
      </c>
      <c r="AD6972" s="79" t="str">
        <f>IF(AND(N6972="1521",MONTH(C6972)='BK-NL'!$M$11),"x","")</f>
        <v/>
      </c>
    </row>
    <row r="6973" spans="1:30" ht="16.5" customHeight="1">
      <c r="A6973" s="318" t="str">
        <f>IF(B6973&lt;&gt;"",IF(AND(B6973='IN-TC'!$S$4,OR(TH!N6973="1111",TH!O6973="1111")),TH!D6973,""),"")</f>
        <v/>
      </c>
      <c r="B6973" s="1163" t="str">
        <f t="shared" si="529"/>
        <v/>
      </c>
      <c r="C6973" s="61"/>
      <c r="D6973" s="61"/>
      <c r="E6973" s="61"/>
      <c r="F6973" s="69"/>
      <c r="G6973" s="766"/>
      <c r="H6973" s="69"/>
      <c r="I6973" s="385"/>
      <c r="J6973" s="392"/>
      <c r="K6973" s="385"/>
      <c r="L6973" s="392"/>
      <c r="M6973" s="62"/>
      <c r="N6973" s="63"/>
      <c r="O6973" s="63"/>
      <c r="P6973" s="79" t="str">
        <f>IF(AND('331-CT'!$E$7=TH!H6973,OR(N6973="331",O6973="331")),"x","")</f>
        <v/>
      </c>
      <c r="Q6973" s="79" t="str">
        <f>IF(AND(B6973='111'!$L$11,OR($N6973=$Q$7,$O6973=$Q$7)),"x","")</f>
        <v/>
      </c>
      <c r="R6973" s="79" t="str">
        <f>IF(AND($N6973=$Q$7,$B6973&lt;'111'!$L$11),"x","")</f>
        <v/>
      </c>
      <c r="S6973" s="79" t="str">
        <f>IF(AND($O6973=$Q$7,$B6973&lt;'111'!$L$11),"x","")</f>
        <v/>
      </c>
      <c r="T6973" s="79" t="str">
        <f>IF(ISERROR(FIND('112'!$M$9,G6973,1)),"",IF((AND(FIND('112'!$M$9,G6973,1)&gt;=1,B6973='112'!$K$9,OR($N6973='112'!$I$6,$O6973='112'!$I$6))),"x",""))</f>
        <v/>
      </c>
      <c r="U6973" s="79" t="str">
        <f>IF(ISERROR(FIND('112'!$M$9,G6973,1)),"",IF((AND(LEFT(G6973,2)=LEFT('112'!$M$9,2),B6973&lt;'112'!$K$9,$N6973='112'!$I$6)),"x",""))</f>
        <v/>
      </c>
      <c r="V6973" s="79" t="str">
        <f>IF(ISERROR(FIND('112'!$M$9,G6973,1)),"",IF((AND(RIGHT(G6973,2)=RIGHT('112'!$M$9,2),B6973&lt;'112'!$K$9,$O6973='112'!$I$6)),"x",""))</f>
        <v/>
      </c>
      <c r="W6973" s="79" t="str">
        <f>IF(AND('341-CT'!$H$9=H6973,OR(LEFT(N6973,3)=$W$7,LEFT(O6973,3)=$W$7)),"x","")</f>
        <v/>
      </c>
      <c r="X6973" s="79" t="str">
        <f>IF(OR(TH!N6973=TH!$X$7,O6973=TH!$X$7),"x","")</f>
        <v/>
      </c>
      <c r="Y6973" s="79" t="str">
        <f>IF(AND(OR(N6973="131",O6973="131"),H6973='131-CT'!$H$9),"x","")</f>
        <v/>
      </c>
      <c r="Z6973" s="79"/>
      <c r="AA6973" s="79" t="str">
        <f>IF(AND(MONTH(E6973)='IN-NX'!$J$5,'IN-NX'!$D$7=D6973),"x","")</f>
        <v/>
      </c>
      <c r="AB6973" s="79" t="str">
        <f>IF(AND(OR(LEFT(TH!N6973,2)="15",LEFT(TH!O6973,2)="15"),LEFT(TH!O6973,3)&lt;&gt;"111",'152-CT'!$J$8=TH!F6973),"x","")</f>
        <v/>
      </c>
      <c r="AC6973" s="79" t="str">
        <f>IF(AND(OR(LEFT(TH!N6973,2)="15",LEFT(TH!O6973,2)="15"),TK!$E$7=TH!F6973),"x","")</f>
        <v/>
      </c>
      <c r="AD6973" s="79" t="str">
        <f>IF(AND(N6973="1521",MONTH(C6973)='BK-NL'!$M$11),"x","")</f>
        <v/>
      </c>
    </row>
    <row r="6974" spans="1:30" ht="16.5" customHeight="1">
      <c r="A6974" s="318" t="str">
        <f>IF(B6974&lt;&gt;"",IF(AND(B6974='IN-TC'!$S$4,OR(TH!N6974="1111",TH!O6974="1111")),TH!D6974,""),"")</f>
        <v/>
      </c>
      <c r="B6974" s="1163" t="str">
        <f t="shared" si="529"/>
        <v/>
      </c>
      <c r="C6974" s="61"/>
      <c r="D6974" s="61"/>
      <c r="E6974" s="61"/>
      <c r="F6974" s="69"/>
      <c r="G6974" s="64"/>
      <c r="H6974" s="69"/>
      <c r="I6974" s="385"/>
      <c r="J6974" s="392"/>
      <c r="K6974" s="385"/>
      <c r="L6974" s="392"/>
      <c r="M6974" s="62"/>
      <c r="N6974" s="63"/>
      <c r="O6974" s="63"/>
      <c r="P6974" s="79" t="str">
        <f>IF(AND('331-CT'!$E$7=TH!H6974,OR(N6974="331",O6974="331")),"x","")</f>
        <v/>
      </c>
      <c r="Q6974" s="79" t="str">
        <f>IF(AND(B6974='111'!$L$11,OR($N6974=$Q$7,$O6974=$Q$7)),"x","")</f>
        <v/>
      </c>
      <c r="R6974" s="79" t="str">
        <f>IF(AND($N6974=$Q$7,$B6974&lt;'111'!$L$11),"x","")</f>
        <v/>
      </c>
      <c r="S6974" s="79" t="str">
        <f>IF(AND($O6974=$Q$7,$B6974&lt;'111'!$L$11),"x","")</f>
        <v/>
      </c>
      <c r="T6974" s="79" t="str">
        <f>IF(ISERROR(FIND('112'!$M$9,G6974,1)),"",IF((AND(FIND('112'!$M$9,G6974,1)&gt;=1,B6974='112'!$K$9,OR($N6974='112'!$I$6,$O6974='112'!$I$6))),"x",""))</f>
        <v/>
      </c>
      <c r="U6974" s="79" t="str">
        <f>IF(ISERROR(FIND('112'!$M$9,G6974,1)),"",IF((AND(LEFT(G6974,2)=LEFT('112'!$M$9,2),B6974&lt;'112'!$K$9,$N6974='112'!$I$6)),"x",""))</f>
        <v/>
      </c>
      <c r="V6974" s="79" t="str">
        <f>IF(ISERROR(FIND('112'!$M$9,G6974,1)),"",IF((AND(RIGHT(G6974,2)=RIGHT('112'!$M$9,2),B6974&lt;'112'!$K$9,$O6974='112'!$I$6)),"x",""))</f>
        <v/>
      </c>
      <c r="W6974" s="79" t="str">
        <f>IF(AND('341-CT'!$H$9=H6974,OR(LEFT(N6974,3)=$W$7,LEFT(O6974,3)=$W$7)),"x","")</f>
        <v/>
      </c>
      <c r="X6974" s="79" t="str">
        <f>IF(OR(TH!N6974=TH!$X$7,O6974=TH!$X$7),"x","")</f>
        <v/>
      </c>
      <c r="Y6974" s="79" t="str">
        <f>IF(AND(OR(N6974="131",O6974="131"),H6974='131-CT'!$H$9),"x","")</f>
        <v/>
      </c>
      <c r="Z6974" s="79"/>
      <c r="AA6974" s="79" t="str">
        <f>IF(AND(MONTH(E6974)='IN-NX'!$J$5,'IN-NX'!$D$7=D6974),"x","")</f>
        <v/>
      </c>
      <c r="AB6974" s="79" t="str">
        <f>IF(AND(OR(LEFT(TH!N6974,2)="15",LEFT(TH!O6974,2)="15"),LEFT(TH!O6974,3)&lt;&gt;"111",'152-CT'!$J$8=TH!F6974),"x","")</f>
        <v/>
      </c>
      <c r="AC6974" s="79" t="str">
        <f>IF(AND(OR(LEFT(TH!N6974,2)="15",LEFT(TH!O6974,2)="15"),TK!$E$7=TH!F6974),"x","")</f>
        <v/>
      </c>
      <c r="AD6974" s="79" t="str">
        <f>IF(AND(N6974="1521",MONTH(C6974)='BK-NL'!$M$11),"x","")</f>
        <v/>
      </c>
    </row>
    <row r="6975" spans="1:30" ht="16.5" customHeight="1">
      <c r="A6975" s="318" t="str">
        <f>IF(B6975&lt;&gt;"",IF(AND(B6975='IN-TC'!$S$4,OR(TH!N6975="1111",TH!O6975="1111")),TH!D6975,""),"")</f>
        <v/>
      </c>
      <c r="B6975" s="1163" t="str">
        <f t="shared" si="529"/>
        <v/>
      </c>
      <c r="C6975" s="61"/>
      <c r="D6975" s="61"/>
      <c r="E6975" s="61"/>
      <c r="F6975" s="69"/>
      <c r="G6975" s="64"/>
      <c r="H6975" s="69"/>
      <c r="I6975" s="385"/>
      <c r="J6975" s="392"/>
      <c r="K6975" s="385"/>
      <c r="L6975" s="392"/>
      <c r="M6975" s="62"/>
      <c r="N6975" s="63"/>
      <c r="O6975" s="63"/>
      <c r="P6975" s="79" t="str">
        <f>IF(AND('331-CT'!$E$7=TH!H6975,OR(N6975="331",O6975="331")),"x","")</f>
        <v/>
      </c>
      <c r="Q6975" s="79" t="str">
        <f>IF(AND(B6975='111'!$L$11,OR($N6975=$Q$7,$O6975=$Q$7)),"x","")</f>
        <v/>
      </c>
      <c r="R6975" s="79" t="str">
        <f>IF(AND($N6975=$Q$7,$B6975&lt;'111'!$L$11),"x","")</f>
        <v/>
      </c>
      <c r="S6975" s="79" t="str">
        <f>IF(AND($O6975=$Q$7,$B6975&lt;'111'!$L$11),"x","")</f>
        <v/>
      </c>
      <c r="T6975" s="79" t="str">
        <f>IF(ISERROR(FIND('112'!$M$9,G6975,1)),"",IF((AND(FIND('112'!$M$9,G6975,1)&gt;=1,B6975='112'!$K$9,OR($N6975='112'!$I$6,$O6975='112'!$I$6))),"x",""))</f>
        <v/>
      </c>
      <c r="U6975" s="79" t="str">
        <f>IF(ISERROR(FIND('112'!$M$9,G6975,1)),"",IF((AND(LEFT(G6975,2)=LEFT('112'!$M$9,2),B6975&lt;'112'!$K$9,$N6975='112'!$I$6)),"x",""))</f>
        <v/>
      </c>
      <c r="V6975" s="79" t="str">
        <f>IF(ISERROR(FIND('112'!$M$9,G6975,1)),"",IF((AND(RIGHT(G6975,2)=RIGHT('112'!$M$9,2),B6975&lt;'112'!$K$9,$O6975='112'!$I$6)),"x",""))</f>
        <v/>
      </c>
      <c r="W6975" s="79" t="str">
        <f>IF(AND('341-CT'!$H$9=H6975,OR(LEFT(N6975,3)=$W$7,LEFT(O6975,3)=$W$7)),"x","")</f>
        <v/>
      </c>
      <c r="X6975" s="79" t="str">
        <f>IF(OR(TH!N6975=TH!$X$7,O6975=TH!$X$7),"x","")</f>
        <v/>
      </c>
      <c r="Y6975" s="79" t="str">
        <f>IF(AND(OR(N6975="131",O6975="131"),H6975='131-CT'!$H$9),"x","")</f>
        <v/>
      </c>
      <c r="Z6975" s="79"/>
      <c r="AA6975" s="79" t="str">
        <f>IF(AND(MONTH(E6975)='IN-NX'!$J$5,'IN-NX'!$D$7=D6975),"x","")</f>
        <v/>
      </c>
      <c r="AB6975" s="79" t="str">
        <f>IF(AND(OR(LEFT(TH!N6975,2)="15",LEFT(TH!O6975,2)="15"),LEFT(TH!O6975,3)&lt;&gt;"111",'152-CT'!$J$8=TH!F6975),"x","")</f>
        <v/>
      </c>
      <c r="AC6975" s="79" t="str">
        <f>IF(AND(OR(LEFT(TH!N6975,2)="15",LEFT(TH!O6975,2)="15"),TK!$E$7=TH!F6975),"x","")</f>
        <v/>
      </c>
      <c r="AD6975" s="79" t="str">
        <f>IF(AND(N6975="1521",MONTH(C6975)='BK-NL'!$M$11),"x","")</f>
        <v/>
      </c>
    </row>
    <row r="6976" spans="1:30" ht="16.5" customHeight="1">
      <c r="A6976" s="318" t="str">
        <f>IF(B6976&lt;&gt;"",IF(AND(B6976='IN-TC'!$S$4,OR(TH!N6976="1111",TH!O6976="1111")),TH!D6976,""),"")</f>
        <v/>
      </c>
      <c r="B6976" s="1163" t="str">
        <f t="shared" si="529"/>
        <v/>
      </c>
      <c r="C6976" s="61"/>
      <c r="D6976" s="61"/>
      <c r="E6976" s="61"/>
      <c r="F6976" s="69"/>
      <c r="G6976" s="64"/>
      <c r="H6976" s="69"/>
      <c r="I6976" s="385"/>
      <c r="J6976" s="392"/>
      <c r="K6976" s="385"/>
      <c r="L6976" s="392"/>
      <c r="M6976" s="62"/>
      <c r="N6976" s="63"/>
      <c r="O6976" s="63"/>
      <c r="P6976" s="79" t="str">
        <f>IF(AND('331-CT'!$E$7=TH!H6976,OR(N6976="331",O6976="331")),"x","")</f>
        <v/>
      </c>
      <c r="Q6976" s="79" t="str">
        <f>IF(AND(B6976='111'!$L$11,OR($N6976=$Q$7,$O6976=$Q$7)),"x","")</f>
        <v/>
      </c>
      <c r="R6976" s="79" t="str">
        <f>IF(AND($N6976=$Q$7,$B6976&lt;'111'!$L$11),"x","")</f>
        <v/>
      </c>
      <c r="S6976" s="79" t="str">
        <f>IF(AND($O6976=$Q$7,$B6976&lt;'111'!$L$11),"x","")</f>
        <v/>
      </c>
      <c r="T6976" s="79" t="str">
        <f>IF(ISERROR(FIND('112'!$M$9,G6976,1)),"",IF((AND(FIND('112'!$M$9,G6976,1)&gt;=1,B6976='112'!$K$9,OR($N6976='112'!$I$6,$O6976='112'!$I$6))),"x",""))</f>
        <v/>
      </c>
      <c r="U6976" s="79" t="str">
        <f>IF(ISERROR(FIND('112'!$M$9,G6976,1)),"",IF((AND(LEFT(G6976,2)=LEFT('112'!$M$9,2),B6976&lt;'112'!$K$9,$N6976='112'!$I$6)),"x",""))</f>
        <v/>
      </c>
      <c r="V6976" s="79" t="str">
        <f>IF(ISERROR(FIND('112'!$M$9,G6976,1)),"",IF((AND(RIGHT(G6976,2)=RIGHT('112'!$M$9,2),B6976&lt;'112'!$K$9,$O6976='112'!$I$6)),"x",""))</f>
        <v/>
      </c>
      <c r="W6976" s="79" t="str">
        <f>IF(AND('341-CT'!$H$9=H6976,OR(LEFT(N6976,3)=$W$7,LEFT(O6976,3)=$W$7)),"x","")</f>
        <v/>
      </c>
      <c r="X6976" s="79" t="str">
        <f>IF(OR(TH!N6976=TH!$X$7,O6976=TH!$X$7),"x","")</f>
        <v/>
      </c>
      <c r="Y6976" s="79" t="str">
        <f>IF(AND(OR(N6976="131",O6976="131"),H6976='131-CT'!$H$9),"x","")</f>
        <v/>
      </c>
      <c r="Z6976" s="79"/>
      <c r="AA6976" s="79" t="str">
        <f>IF(AND(MONTH(E6976)='IN-NX'!$J$5,'IN-NX'!$D$7=D6976),"x","")</f>
        <v/>
      </c>
      <c r="AB6976" s="79" t="str">
        <f>IF(AND(OR(LEFT(TH!N6976,2)="15",LEFT(TH!O6976,2)="15"),LEFT(TH!O6976,3)&lt;&gt;"111",'152-CT'!$J$8=TH!F6976),"x","")</f>
        <v/>
      </c>
      <c r="AC6976" s="79" t="str">
        <f>IF(AND(OR(LEFT(TH!N6976,2)="15",LEFT(TH!O6976,2)="15"),TK!$E$7=TH!F6976),"x","")</f>
        <v/>
      </c>
      <c r="AD6976" s="79" t="str">
        <f>IF(AND(N6976="1521",MONTH(C6976)='BK-NL'!$M$11),"x","")</f>
        <v/>
      </c>
    </row>
    <row r="6977" spans="1:30" ht="16.5" customHeight="1">
      <c r="A6977" s="318" t="str">
        <f>IF(B6977&lt;&gt;"",IF(AND(B6977='IN-TC'!$S$4,OR(TH!N6977="1111",TH!O6977="1111")),TH!D6977,""),"")</f>
        <v/>
      </c>
      <c r="B6977" s="1163" t="str">
        <f t="shared" si="529"/>
        <v/>
      </c>
      <c r="C6977" s="61"/>
      <c r="D6977" s="61"/>
      <c r="E6977" s="61"/>
      <c r="F6977" s="69"/>
      <c r="G6977" s="64"/>
      <c r="H6977" s="69"/>
      <c r="I6977" s="385"/>
      <c r="J6977" s="392"/>
      <c r="K6977" s="385"/>
      <c r="L6977" s="392"/>
      <c r="M6977" s="62"/>
      <c r="N6977" s="63"/>
      <c r="O6977" s="63"/>
      <c r="P6977" s="79" t="str">
        <f>IF(AND('331-CT'!$E$7=TH!H6977,OR(N6977="331",O6977="331")),"x","")</f>
        <v/>
      </c>
      <c r="Q6977" s="79" t="str">
        <f>IF(AND(B6977='111'!$L$11,OR($N6977=$Q$7,$O6977=$Q$7)),"x","")</f>
        <v/>
      </c>
      <c r="R6977" s="79" t="str">
        <f>IF(AND($N6977=$Q$7,$B6977&lt;'111'!$L$11),"x","")</f>
        <v/>
      </c>
      <c r="S6977" s="79" t="str">
        <f>IF(AND($O6977=$Q$7,$B6977&lt;'111'!$L$11),"x","")</f>
        <v/>
      </c>
      <c r="T6977" s="79" t="str">
        <f>IF(ISERROR(FIND('112'!$M$9,G6977,1)),"",IF((AND(FIND('112'!$M$9,G6977,1)&gt;=1,B6977='112'!$K$9,OR($N6977='112'!$I$6,$O6977='112'!$I$6))),"x",""))</f>
        <v/>
      </c>
      <c r="U6977" s="79" t="str">
        <f>IF(ISERROR(FIND('112'!$M$9,G6977,1)),"",IF((AND(LEFT(G6977,2)=LEFT('112'!$M$9,2),B6977&lt;'112'!$K$9,$N6977='112'!$I$6)),"x",""))</f>
        <v/>
      </c>
      <c r="V6977" s="79" t="str">
        <f>IF(ISERROR(FIND('112'!$M$9,G6977,1)),"",IF((AND(RIGHT(G6977,2)=RIGHT('112'!$M$9,2),B6977&lt;'112'!$K$9,$O6977='112'!$I$6)),"x",""))</f>
        <v/>
      </c>
      <c r="W6977" s="79" t="str">
        <f>IF(AND('341-CT'!$H$9=H6977,OR(LEFT(N6977,3)=$W$7,LEFT(O6977,3)=$W$7)),"x","")</f>
        <v/>
      </c>
      <c r="X6977" s="79" t="str">
        <f>IF(OR(TH!N6977=TH!$X$7,O6977=TH!$X$7),"x","")</f>
        <v/>
      </c>
      <c r="Y6977" s="79" t="str">
        <f>IF(AND(OR(N6977="131",O6977="131"),H6977='131-CT'!$H$9),"x","")</f>
        <v/>
      </c>
      <c r="Z6977" s="79"/>
      <c r="AA6977" s="79" t="str">
        <f>IF(AND(MONTH(E6977)='IN-NX'!$J$5,'IN-NX'!$D$7=D6977),"x","")</f>
        <v/>
      </c>
      <c r="AB6977" s="79" t="str">
        <f>IF(AND(OR(LEFT(TH!N6977,2)="15",LEFT(TH!O6977,2)="15"),LEFT(TH!O6977,3)&lt;&gt;"111",'152-CT'!$J$8=TH!F6977),"x","")</f>
        <v/>
      </c>
      <c r="AC6977" s="79" t="str">
        <f>IF(AND(OR(LEFT(TH!N6977,2)="15",LEFT(TH!O6977,2)="15"),TK!$E$7=TH!F6977),"x","")</f>
        <v/>
      </c>
      <c r="AD6977" s="79" t="str">
        <f>IF(AND(N6977="1521",MONTH(C6977)='BK-NL'!$M$11),"x","")</f>
        <v/>
      </c>
    </row>
    <row r="6978" spans="1:30" ht="16.5" customHeight="1">
      <c r="A6978" s="318" t="str">
        <f>IF(B6978&lt;&gt;"",IF(AND(B6978='IN-TC'!$S$4,OR(TH!N6978="1111",TH!O6978="1111")),TH!D6978,""),"")</f>
        <v/>
      </c>
      <c r="B6978" s="1163" t="str">
        <f t="shared" si="529"/>
        <v/>
      </c>
      <c r="C6978" s="61"/>
      <c r="D6978" s="61"/>
      <c r="E6978" s="61"/>
      <c r="F6978" s="69"/>
      <c r="G6978" s="64"/>
      <c r="H6978" s="69"/>
      <c r="I6978" s="385"/>
      <c r="J6978" s="392"/>
      <c r="K6978" s="385"/>
      <c r="L6978" s="392"/>
      <c r="M6978" s="62"/>
      <c r="N6978" s="63"/>
      <c r="O6978" s="63"/>
      <c r="P6978" s="79" t="str">
        <f>IF(AND('331-CT'!$E$7=TH!H6978,OR(N6978="331",O6978="331")),"x","")</f>
        <v/>
      </c>
      <c r="Q6978" s="79" t="str">
        <f>IF(AND(B6978='111'!$L$11,OR($N6978=$Q$7,$O6978=$Q$7)),"x","")</f>
        <v/>
      </c>
      <c r="R6978" s="79" t="str">
        <f>IF(AND($N6978=$Q$7,$B6978&lt;'111'!$L$11),"x","")</f>
        <v/>
      </c>
      <c r="S6978" s="79" t="str">
        <f>IF(AND($O6978=$Q$7,$B6978&lt;'111'!$L$11),"x","")</f>
        <v/>
      </c>
      <c r="T6978" s="79" t="str">
        <f>IF(ISERROR(FIND('112'!$M$9,G6978,1)),"",IF((AND(FIND('112'!$M$9,G6978,1)&gt;=1,B6978='112'!$K$9,OR($N6978='112'!$I$6,$O6978='112'!$I$6))),"x",""))</f>
        <v/>
      </c>
      <c r="U6978" s="79" t="str">
        <f>IF(ISERROR(FIND('112'!$M$9,G6978,1)),"",IF((AND(LEFT(G6978,2)=LEFT('112'!$M$9,2),B6978&lt;'112'!$K$9,$N6978='112'!$I$6)),"x",""))</f>
        <v/>
      </c>
      <c r="V6978" s="79" t="str">
        <f>IF(ISERROR(FIND('112'!$M$9,G6978,1)),"",IF((AND(RIGHT(G6978,2)=RIGHT('112'!$M$9,2),B6978&lt;'112'!$K$9,$O6978='112'!$I$6)),"x",""))</f>
        <v/>
      </c>
      <c r="W6978" s="79" t="str">
        <f>IF(AND('341-CT'!$H$9=H6978,OR(LEFT(N6978,3)=$W$7,LEFT(O6978,3)=$W$7)),"x","")</f>
        <v/>
      </c>
      <c r="X6978" s="79" t="str">
        <f>IF(OR(TH!N6978=TH!$X$7,O6978=TH!$X$7),"x","")</f>
        <v/>
      </c>
      <c r="Y6978" s="79" t="str">
        <f>IF(AND(OR(N6978="131",O6978="131"),H6978='131-CT'!$H$9),"x","")</f>
        <v/>
      </c>
      <c r="Z6978" s="79"/>
      <c r="AA6978" s="79" t="str">
        <f>IF(AND(MONTH(E6978)='IN-NX'!$J$5,'IN-NX'!$D$7=D6978),"x","")</f>
        <v/>
      </c>
      <c r="AB6978" s="79" t="str">
        <f>IF(AND(OR(LEFT(TH!N6978,2)="15",LEFT(TH!O6978,2)="15"),LEFT(TH!O6978,3)&lt;&gt;"111",'152-CT'!$J$8=TH!F6978),"x","")</f>
        <v/>
      </c>
      <c r="AC6978" s="79" t="str">
        <f>IF(AND(OR(LEFT(TH!N6978,2)="15",LEFT(TH!O6978,2)="15"),TK!$E$7=TH!F6978),"x","")</f>
        <v/>
      </c>
      <c r="AD6978" s="79" t="str">
        <f>IF(AND(N6978="1521",MONTH(C6978)='BK-NL'!$M$11),"x","")</f>
        <v/>
      </c>
    </row>
    <row r="6979" spans="1:30" ht="16.5" customHeight="1">
      <c r="A6979" s="318" t="str">
        <f>IF(B6979&lt;&gt;"",IF(AND(B6979='IN-TC'!$S$4,OR(TH!N6979="1111",TH!O6979="1111")),TH!D6979,""),"")</f>
        <v/>
      </c>
      <c r="B6979" s="1163" t="str">
        <f t="shared" ref="B6979:B7073" si="530">IF(C6979&lt;&gt;"",MONTH(C6979),"")</f>
        <v/>
      </c>
      <c r="C6979" s="61"/>
      <c r="D6979" s="61"/>
      <c r="E6979" s="61"/>
      <c r="F6979" s="69"/>
      <c r="G6979" s="64"/>
      <c r="H6979" s="69"/>
      <c r="I6979" s="385"/>
      <c r="J6979" s="392"/>
      <c r="K6979" s="385"/>
      <c r="L6979" s="392"/>
      <c r="M6979" s="62"/>
      <c r="N6979" s="63"/>
      <c r="O6979" s="63"/>
      <c r="P6979" s="79" t="str">
        <f>IF(AND('331-CT'!$E$7=TH!H6979,OR(N6979="331",O6979="331")),"x","")</f>
        <v/>
      </c>
      <c r="Q6979" s="79" t="str">
        <f>IF(AND(B6979='111'!$L$11,OR($N6979=$Q$7,$O6979=$Q$7)),"x","")</f>
        <v/>
      </c>
      <c r="R6979" s="79" t="str">
        <f>IF(AND($N6979=$Q$7,$B6979&lt;'111'!$L$11),"x","")</f>
        <v/>
      </c>
      <c r="S6979" s="79" t="str">
        <f>IF(AND($O6979=$Q$7,$B6979&lt;'111'!$L$11),"x","")</f>
        <v/>
      </c>
      <c r="T6979" s="79" t="str">
        <f>IF(ISERROR(FIND('112'!$M$9,G6979,1)),"",IF((AND(FIND('112'!$M$9,G6979,1)&gt;=1,B6979='112'!$K$9,OR($N6979='112'!$I$6,$O6979='112'!$I$6))),"x",""))</f>
        <v/>
      </c>
      <c r="U6979" s="79" t="str">
        <f>IF(ISERROR(FIND('112'!$M$9,G6979,1)),"",IF((AND(LEFT(G6979,2)=LEFT('112'!$M$9,2),B6979&lt;'112'!$K$9,$N6979='112'!$I$6)),"x",""))</f>
        <v/>
      </c>
      <c r="V6979" s="79" t="str">
        <f>IF(ISERROR(FIND('112'!$M$9,G6979,1)),"",IF((AND(RIGHT(G6979,2)=RIGHT('112'!$M$9,2),B6979&lt;'112'!$K$9,$O6979='112'!$I$6)),"x",""))</f>
        <v/>
      </c>
      <c r="W6979" s="79" t="str">
        <f>IF(AND('341-CT'!$H$9=H6979,OR(LEFT(N6979,3)=$W$7,LEFT(O6979,3)=$W$7)),"x","")</f>
        <v/>
      </c>
      <c r="X6979" s="79" t="str">
        <f>IF(OR(TH!N6979=TH!$X$7,O6979=TH!$X$7),"x","")</f>
        <v/>
      </c>
      <c r="Y6979" s="79" t="str">
        <f>IF(AND(OR(N6979="131",O6979="131"),H6979='131-CT'!$H$9),"x","")</f>
        <v/>
      </c>
      <c r="Z6979" s="79"/>
      <c r="AA6979" s="79" t="str">
        <f>IF(AND(MONTH(E6979)='IN-NX'!$J$5,'IN-NX'!$D$7=D6979),"x","")</f>
        <v/>
      </c>
      <c r="AB6979" s="79" t="str">
        <f>IF(AND(OR(LEFT(TH!N6979,2)="15",LEFT(TH!O6979,2)="15"),LEFT(TH!O6979,3)&lt;&gt;"111",'152-CT'!$J$8=TH!F6979),"x","")</f>
        <v/>
      </c>
      <c r="AC6979" s="79" t="str">
        <f>IF(AND(OR(LEFT(TH!N6979,2)="15",LEFT(TH!O6979,2)="15"),TK!$E$7=TH!F6979),"x","")</f>
        <v/>
      </c>
      <c r="AD6979" s="79" t="str">
        <f>IF(AND(N6979="1521",MONTH(C6979)='BK-NL'!$M$11),"x","")</f>
        <v/>
      </c>
    </row>
    <row r="6980" spans="1:30" ht="16.5" customHeight="1">
      <c r="A6980" s="318" t="str">
        <f>IF(B6980&lt;&gt;"",IF(AND(B6980='IN-TC'!$S$4,OR(TH!N6980="1111",TH!O6980="1111")),TH!D6980,""),"")</f>
        <v/>
      </c>
      <c r="B6980" s="1163" t="str">
        <f t="shared" si="530"/>
        <v/>
      </c>
      <c r="C6980" s="61"/>
      <c r="D6980" s="61"/>
      <c r="E6980" s="61"/>
      <c r="F6980" s="69"/>
      <c r="G6980" s="64"/>
      <c r="H6980" s="69"/>
      <c r="I6980" s="385"/>
      <c r="J6980" s="392"/>
      <c r="K6980" s="385"/>
      <c r="L6980" s="392"/>
      <c r="M6980" s="62"/>
      <c r="N6980" s="63"/>
      <c r="O6980" s="63"/>
      <c r="P6980" s="79" t="str">
        <f>IF(AND('331-CT'!$E$7=TH!H6980,OR(N6980="331",O6980="331")),"x","")</f>
        <v/>
      </c>
      <c r="Q6980" s="79" t="str">
        <f>IF(AND(B6980='111'!$L$11,OR($N6980=$Q$7,$O6980=$Q$7)),"x","")</f>
        <v/>
      </c>
      <c r="R6980" s="79" t="str">
        <f>IF(AND($N6980=$Q$7,$B6980&lt;'111'!$L$11),"x","")</f>
        <v/>
      </c>
      <c r="S6980" s="79" t="str">
        <f>IF(AND($O6980=$Q$7,$B6980&lt;'111'!$L$11),"x","")</f>
        <v/>
      </c>
      <c r="T6980" s="79" t="str">
        <f>IF(ISERROR(FIND('112'!$M$9,G6980,1)),"",IF((AND(FIND('112'!$M$9,G6980,1)&gt;=1,B6980='112'!$K$9,OR($N6980='112'!$I$6,$O6980='112'!$I$6))),"x",""))</f>
        <v/>
      </c>
      <c r="U6980" s="79" t="str">
        <f>IF(ISERROR(FIND('112'!$M$9,G6980,1)),"",IF((AND(LEFT(G6980,2)=LEFT('112'!$M$9,2),B6980&lt;'112'!$K$9,$N6980='112'!$I$6)),"x",""))</f>
        <v/>
      </c>
      <c r="V6980" s="79" t="str">
        <f>IF(ISERROR(FIND('112'!$M$9,G6980,1)),"",IF((AND(RIGHT(G6980,2)=RIGHT('112'!$M$9,2),B6980&lt;'112'!$K$9,$O6980='112'!$I$6)),"x",""))</f>
        <v/>
      </c>
      <c r="W6980" s="79" t="str">
        <f>IF(AND('341-CT'!$H$9=H6980,OR(LEFT(N6980,3)=$W$7,LEFT(O6980,3)=$W$7)),"x","")</f>
        <v/>
      </c>
      <c r="X6980" s="79" t="str">
        <f>IF(OR(TH!N6980=TH!$X$7,O6980=TH!$X$7),"x","")</f>
        <v/>
      </c>
      <c r="Y6980" s="79" t="str">
        <f>IF(AND(OR(N6980="131",O6980="131"),H6980='131-CT'!$H$9),"x","")</f>
        <v/>
      </c>
      <c r="Z6980" s="79"/>
      <c r="AA6980" s="79" t="str">
        <f>IF(AND(MONTH(E6980)='IN-NX'!$J$5,'IN-NX'!$D$7=D6980),"x","")</f>
        <v/>
      </c>
      <c r="AB6980" s="79" t="str">
        <f>IF(AND(OR(LEFT(TH!N6980,2)="15",LEFT(TH!O6980,2)="15"),LEFT(TH!O6980,3)&lt;&gt;"111",'152-CT'!$J$8=TH!F6980),"x","")</f>
        <v/>
      </c>
      <c r="AC6980" s="79" t="str">
        <f>IF(AND(OR(LEFT(TH!N6980,2)="15",LEFT(TH!O6980,2)="15"),TK!$E$7=TH!F6980),"x","")</f>
        <v/>
      </c>
      <c r="AD6980" s="79" t="str">
        <f>IF(AND(N6980="1521",MONTH(C6980)='BK-NL'!$M$11),"x","")</f>
        <v/>
      </c>
    </row>
    <row r="6981" spans="1:30" ht="16.5" customHeight="1">
      <c r="A6981" s="318" t="str">
        <f>IF(B6981&lt;&gt;"",IF(AND(B6981='IN-TC'!$S$4,OR(TH!N6981="1111",TH!O6981="1111")),TH!D6981,""),"")</f>
        <v/>
      </c>
      <c r="B6981" s="1163" t="str">
        <f t="shared" si="530"/>
        <v/>
      </c>
      <c r="C6981" s="61"/>
      <c r="D6981" s="61"/>
      <c r="E6981" s="61"/>
      <c r="F6981" s="69"/>
      <c r="G6981" s="64"/>
      <c r="H6981" s="925"/>
      <c r="I6981" s="385"/>
      <c r="J6981" s="392"/>
      <c r="K6981" s="385"/>
      <c r="L6981" s="392"/>
      <c r="M6981" s="62"/>
      <c r="N6981" s="63"/>
      <c r="O6981" s="63"/>
      <c r="P6981" s="79" t="str">
        <f>IF(AND('331-CT'!$E$7=TH!H6981,OR(N6981="331",O6981="331")),"x","")</f>
        <v/>
      </c>
      <c r="Q6981" s="79" t="str">
        <f>IF(AND(B6981='111'!$L$11,OR($N6981=$Q$7,$O6981=$Q$7)),"x","")</f>
        <v/>
      </c>
      <c r="R6981" s="79" t="str">
        <f>IF(AND($N6981=$Q$7,$B6981&lt;'111'!$L$11),"x","")</f>
        <v/>
      </c>
      <c r="S6981" s="79" t="str">
        <f>IF(AND($O6981=$Q$7,$B6981&lt;'111'!$L$11),"x","")</f>
        <v/>
      </c>
      <c r="T6981" s="79" t="str">
        <f>IF(ISERROR(FIND('112'!$M$9,G6981,1)),"",IF((AND(FIND('112'!$M$9,G6981,1)&gt;=1,B6981='112'!$K$9,OR($N6981='112'!$I$6,$O6981='112'!$I$6))),"x",""))</f>
        <v/>
      </c>
      <c r="U6981" s="79" t="str">
        <f>IF(ISERROR(FIND('112'!$M$9,G6981,1)),"",IF((AND(LEFT(G6981,2)=LEFT('112'!$M$9,2),B6981&lt;'112'!$K$9,$N6981='112'!$I$6)),"x",""))</f>
        <v/>
      </c>
      <c r="V6981" s="79" t="str">
        <f>IF(ISERROR(FIND('112'!$M$9,G6981,1)),"",IF((AND(RIGHT(G6981,2)=RIGHT('112'!$M$9,2),B6981&lt;'112'!$K$9,$O6981='112'!$I$6)),"x",""))</f>
        <v/>
      </c>
      <c r="W6981" s="79" t="str">
        <f>IF(AND('341-CT'!$H$9=H6981,OR(LEFT(N6981,3)=$W$7,LEFT(O6981,3)=$W$7)),"x","")</f>
        <v/>
      </c>
      <c r="X6981" s="79" t="str">
        <f>IF(OR(TH!N6981=TH!$X$7,O6981=TH!$X$7),"x","")</f>
        <v/>
      </c>
      <c r="Y6981" s="79" t="str">
        <f>IF(AND(OR(N6981="131",O6981="131"),H6981='131-CT'!$H$9),"x","")</f>
        <v/>
      </c>
      <c r="Z6981" s="79"/>
      <c r="AA6981" s="79" t="str">
        <f>IF(AND(MONTH(E6981)='IN-NX'!$J$5,'IN-NX'!$D$7=D6981),"x","")</f>
        <v/>
      </c>
      <c r="AB6981" s="79" t="str">
        <f>IF(AND(OR(LEFT(TH!N6981,2)="15",LEFT(TH!O6981,2)="15"),LEFT(TH!O6981,3)&lt;&gt;"111",'152-CT'!$J$8=TH!F6981),"x","")</f>
        <v/>
      </c>
      <c r="AC6981" s="79" t="str">
        <f>IF(AND(OR(LEFT(TH!N6981,2)="15",LEFT(TH!O6981,2)="15"),TK!$E$7=TH!F6981),"x","")</f>
        <v/>
      </c>
      <c r="AD6981" s="79" t="str">
        <f>IF(AND(N6981="1521",MONTH(C6981)='BK-NL'!$M$11),"x","")</f>
        <v/>
      </c>
    </row>
    <row r="6982" spans="1:30" ht="16.5" customHeight="1">
      <c r="A6982" s="318" t="str">
        <f>IF(B6982&lt;&gt;"",IF(AND(B6982='IN-TC'!$S$4,OR(TH!N6982="1111",TH!O6982="1111")),TH!D6982,""),"")</f>
        <v/>
      </c>
      <c r="B6982" s="1163" t="str">
        <f t="shared" si="530"/>
        <v/>
      </c>
      <c r="C6982" s="61"/>
      <c r="D6982" s="61"/>
      <c r="E6982" s="61"/>
      <c r="F6982" s="69"/>
      <c r="G6982" s="64"/>
      <c r="H6982" s="925"/>
      <c r="I6982" s="385"/>
      <c r="J6982" s="392"/>
      <c r="K6982" s="385"/>
      <c r="L6982" s="392"/>
      <c r="M6982" s="62"/>
      <c r="N6982" s="63"/>
      <c r="O6982" s="63"/>
      <c r="P6982" s="79" t="str">
        <f>IF(AND('331-CT'!$E$7=TH!H6982,OR(N6982="331",O6982="331")),"x","")</f>
        <v/>
      </c>
      <c r="Q6982" s="79" t="str">
        <f>IF(AND(B6982='111'!$L$11,OR($N6982=$Q$7,$O6982=$Q$7)),"x","")</f>
        <v/>
      </c>
      <c r="R6982" s="79" t="str">
        <f>IF(AND($N6982=$Q$7,$B6982&lt;'111'!$L$11),"x","")</f>
        <v/>
      </c>
      <c r="S6982" s="79" t="str">
        <f>IF(AND($O6982=$Q$7,$B6982&lt;'111'!$L$11),"x","")</f>
        <v/>
      </c>
      <c r="T6982" s="79" t="str">
        <f>IF(ISERROR(FIND('112'!$M$9,G6982,1)),"",IF((AND(FIND('112'!$M$9,G6982,1)&gt;=1,B6982='112'!$K$9,OR($N6982='112'!$I$6,$O6982='112'!$I$6))),"x",""))</f>
        <v/>
      </c>
      <c r="U6982" s="79" t="str">
        <f>IF(ISERROR(FIND('112'!$M$9,G6982,1)),"",IF((AND(LEFT(G6982,2)=LEFT('112'!$M$9,2),B6982&lt;'112'!$K$9,$N6982='112'!$I$6)),"x",""))</f>
        <v/>
      </c>
      <c r="V6982" s="79" t="str">
        <f>IF(ISERROR(FIND('112'!$M$9,G6982,1)),"",IF((AND(RIGHT(G6982,2)=RIGHT('112'!$M$9,2),B6982&lt;'112'!$K$9,$O6982='112'!$I$6)),"x",""))</f>
        <v/>
      </c>
      <c r="W6982" s="79" t="str">
        <f>IF(AND('341-CT'!$H$9=H6982,OR(LEFT(N6982,3)=$W$7,LEFT(O6982,3)=$W$7)),"x","")</f>
        <v/>
      </c>
      <c r="X6982" s="79" t="str">
        <f>IF(OR(TH!N6982=TH!$X$7,O6982=TH!$X$7),"x","")</f>
        <v/>
      </c>
      <c r="Y6982" s="79" t="str">
        <f>IF(AND(OR(N6982="131",O6982="131"),H6982='131-CT'!$H$9),"x","")</f>
        <v/>
      </c>
      <c r="Z6982" s="79"/>
      <c r="AA6982" s="79" t="str">
        <f>IF(AND(MONTH(E6982)='IN-NX'!$J$5,'IN-NX'!$D$7=D6982),"x","")</f>
        <v/>
      </c>
      <c r="AB6982" s="79" t="str">
        <f>IF(AND(OR(LEFT(TH!N6982,2)="15",LEFT(TH!O6982,2)="15"),LEFT(TH!O6982,3)&lt;&gt;"111",'152-CT'!$J$8=TH!F6982),"x","")</f>
        <v/>
      </c>
      <c r="AC6982" s="79" t="str">
        <f>IF(AND(OR(LEFT(TH!N6982,2)="15",LEFT(TH!O6982,2)="15"),TK!$E$7=TH!F6982),"x","")</f>
        <v/>
      </c>
      <c r="AD6982" s="79" t="str">
        <f>IF(AND(N6982="1521",MONTH(C6982)='BK-NL'!$M$11),"x","")</f>
        <v/>
      </c>
    </row>
    <row r="6983" spans="1:30" ht="16.5" customHeight="1">
      <c r="A6983" s="318" t="str">
        <f>IF(B6983&lt;&gt;"",IF(AND(B6983='IN-TC'!$S$4,OR(TH!N6983="1111",TH!O6983="1111")),TH!D6983,""),"")</f>
        <v/>
      </c>
      <c r="B6983" s="1163" t="str">
        <f t="shared" si="530"/>
        <v/>
      </c>
      <c r="C6983" s="61"/>
      <c r="D6983" s="61"/>
      <c r="E6983" s="61"/>
      <c r="F6983" s="69"/>
      <c r="G6983" s="64"/>
      <c r="H6983" s="925"/>
      <c r="I6983" s="385"/>
      <c r="J6983" s="392"/>
      <c r="K6983" s="385"/>
      <c r="L6983" s="392"/>
      <c r="M6983" s="62"/>
      <c r="N6983" s="63"/>
      <c r="O6983" s="63"/>
      <c r="P6983" s="79" t="str">
        <f>IF(AND('331-CT'!$E$7=TH!H6983,OR(N6983="331",O6983="331")),"x","")</f>
        <v/>
      </c>
      <c r="Q6983" s="79" t="str">
        <f>IF(AND(B6983='111'!$L$11,OR($N6983=$Q$7,$O6983=$Q$7)),"x","")</f>
        <v/>
      </c>
      <c r="R6983" s="79" t="str">
        <f>IF(AND($N6983=$Q$7,$B6983&lt;'111'!$L$11),"x","")</f>
        <v/>
      </c>
      <c r="S6983" s="79" t="str">
        <f>IF(AND($O6983=$Q$7,$B6983&lt;'111'!$L$11),"x","")</f>
        <v/>
      </c>
      <c r="T6983" s="79" t="str">
        <f>IF(ISERROR(FIND('112'!$M$9,G6983,1)),"",IF((AND(FIND('112'!$M$9,G6983,1)&gt;=1,B6983='112'!$K$9,OR($N6983='112'!$I$6,$O6983='112'!$I$6))),"x",""))</f>
        <v/>
      </c>
      <c r="U6983" s="79" t="str">
        <f>IF(ISERROR(FIND('112'!$M$9,G6983,1)),"",IF((AND(LEFT(G6983,2)=LEFT('112'!$M$9,2),B6983&lt;'112'!$K$9,$N6983='112'!$I$6)),"x",""))</f>
        <v/>
      </c>
      <c r="V6983" s="79" t="str">
        <f>IF(ISERROR(FIND('112'!$M$9,G6983,1)),"",IF((AND(RIGHT(G6983,2)=RIGHT('112'!$M$9,2),B6983&lt;'112'!$K$9,$O6983='112'!$I$6)),"x",""))</f>
        <v/>
      </c>
      <c r="W6983" s="79" t="str">
        <f>IF(AND('341-CT'!$H$9=H6983,OR(LEFT(N6983,3)=$W$7,LEFT(O6983,3)=$W$7)),"x","")</f>
        <v/>
      </c>
      <c r="X6983" s="79" t="str">
        <f>IF(OR(TH!N6983=TH!$X$7,O6983=TH!$X$7),"x","")</f>
        <v/>
      </c>
      <c r="Y6983" s="79" t="str">
        <f>IF(AND(OR(N6983="131",O6983="131"),H6983='131-CT'!$H$9),"x","")</f>
        <v/>
      </c>
      <c r="Z6983" s="79"/>
      <c r="AA6983" s="79" t="str">
        <f>IF(AND(MONTH(E6983)='IN-NX'!$J$5,'IN-NX'!$D$7=D6983),"x","")</f>
        <v/>
      </c>
      <c r="AB6983" s="79" t="str">
        <f>IF(AND(OR(LEFT(TH!N6983,2)="15",LEFT(TH!O6983,2)="15"),LEFT(TH!O6983,3)&lt;&gt;"111",'152-CT'!$J$8=TH!F6983),"x","")</f>
        <v/>
      </c>
      <c r="AC6983" s="79" t="str">
        <f>IF(AND(OR(LEFT(TH!N6983,2)="15",LEFT(TH!O6983,2)="15"),TK!$E$7=TH!F6983),"x","")</f>
        <v/>
      </c>
      <c r="AD6983" s="79" t="str">
        <f>IF(AND(N6983="1521",MONTH(C6983)='BK-NL'!$M$11),"x","")</f>
        <v/>
      </c>
    </row>
    <row r="6984" spans="1:30" ht="16.5" customHeight="1">
      <c r="A6984" s="318" t="str">
        <f>IF(B6984&lt;&gt;"",IF(AND(B6984='IN-TC'!$S$4,OR(TH!N6984="1111",TH!O6984="1111")),TH!D6984,""),"")</f>
        <v/>
      </c>
      <c r="B6984" s="1163" t="str">
        <f t="shared" si="530"/>
        <v/>
      </c>
      <c r="C6984" s="61"/>
      <c r="D6984" s="61"/>
      <c r="E6984" s="61"/>
      <c r="F6984" s="69"/>
      <c r="G6984" s="64"/>
      <c r="H6984" s="925"/>
      <c r="I6984" s="385"/>
      <c r="J6984" s="392"/>
      <c r="K6984" s="385"/>
      <c r="L6984" s="392"/>
      <c r="M6984" s="62"/>
      <c r="N6984" s="63"/>
      <c r="O6984" s="63"/>
      <c r="P6984" s="79" t="str">
        <f>IF(AND('331-CT'!$E$7=TH!H6984,OR(N6984="331",O6984="331")),"x","")</f>
        <v/>
      </c>
      <c r="Q6984" s="79" t="str">
        <f>IF(AND(B6984='111'!$L$11,OR($N6984=$Q$7,$O6984=$Q$7)),"x","")</f>
        <v/>
      </c>
      <c r="R6984" s="79" t="str">
        <f>IF(AND($N6984=$Q$7,$B6984&lt;'111'!$L$11),"x","")</f>
        <v/>
      </c>
      <c r="S6984" s="79" t="str">
        <f>IF(AND($O6984=$Q$7,$B6984&lt;'111'!$L$11),"x","")</f>
        <v/>
      </c>
      <c r="T6984" s="79" t="str">
        <f>IF(ISERROR(FIND('112'!$M$9,G6984,1)),"",IF((AND(FIND('112'!$M$9,G6984,1)&gt;=1,B6984='112'!$K$9,OR($N6984='112'!$I$6,$O6984='112'!$I$6))),"x",""))</f>
        <v/>
      </c>
      <c r="U6984" s="79" t="str">
        <f>IF(ISERROR(FIND('112'!$M$9,G6984,1)),"",IF((AND(LEFT(G6984,2)=LEFT('112'!$M$9,2),B6984&lt;'112'!$K$9,$N6984='112'!$I$6)),"x",""))</f>
        <v/>
      </c>
      <c r="V6984" s="79" t="str">
        <f>IF(ISERROR(FIND('112'!$M$9,G6984,1)),"",IF((AND(RIGHT(G6984,2)=RIGHT('112'!$M$9,2),B6984&lt;'112'!$K$9,$O6984='112'!$I$6)),"x",""))</f>
        <v/>
      </c>
      <c r="W6984" s="79" t="str">
        <f>IF(AND('341-CT'!$H$9=H6984,OR(LEFT(N6984,3)=$W$7,LEFT(O6984,3)=$W$7)),"x","")</f>
        <v/>
      </c>
      <c r="X6984" s="79" t="str">
        <f>IF(OR(TH!N6984=TH!$X$7,O6984=TH!$X$7),"x","")</f>
        <v/>
      </c>
      <c r="Y6984" s="79" t="str">
        <f>IF(AND(OR(N6984="131",O6984="131"),H6984='131-CT'!$H$9),"x","")</f>
        <v/>
      </c>
      <c r="Z6984" s="79"/>
      <c r="AA6984" s="79" t="str">
        <f>IF(AND(MONTH(E6984)='IN-NX'!$J$5,'IN-NX'!$D$7=D6984),"x","")</f>
        <v/>
      </c>
      <c r="AB6984" s="79" t="str">
        <f>IF(AND(OR(LEFT(TH!N6984,2)="15",LEFT(TH!O6984,2)="15"),LEFT(TH!O6984,3)&lt;&gt;"111",'152-CT'!$J$8=TH!F6984),"x","")</f>
        <v/>
      </c>
      <c r="AC6984" s="79" t="str">
        <f>IF(AND(OR(LEFT(TH!N6984,2)="15",LEFT(TH!O6984,2)="15"),TK!$E$7=TH!F6984),"x","")</f>
        <v/>
      </c>
      <c r="AD6984" s="79" t="str">
        <f>IF(AND(N6984="1521",MONTH(C6984)='BK-NL'!$M$11),"x","")</f>
        <v/>
      </c>
    </row>
    <row r="6985" spans="1:30" ht="16.5" customHeight="1">
      <c r="A6985" s="318" t="str">
        <f>IF(B6985&lt;&gt;"",IF(AND(B6985='IN-TC'!$S$4,OR(TH!N6985="1111",TH!O6985="1111")),TH!D6985,""),"")</f>
        <v/>
      </c>
      <c r="B6985" s="1163" t="str">
        <f t="shared" si="530"/>
        <v/>
      </c>
      <c r="C6985" s="61"/>
      <c r="D6985" s="61"/>
      <c r="E6985" s="61"/>
      <c r="F6985" s="69"/>
      <c r="G6985" s="64"/>
      <c r="H6985" s="925"/>
      <c r="I6985" s="385"/>
      <c r="J6985" s="392"/>
      <c r="K6985" s="385"/>
      <c r="L6985" s="392"/>
      <c r="M6985" s="62"/>
      <c r="N6985" s="63"/>
      <c r="O6985" s="63"/>
      <c r="P6985" s="79" t="str">
        <f>IF(AND('331-CT'!$E$7=TH!H6985,OR(N6985="331",O6985="331")),"x","")</f>
        <v/>
      </c>
      <c r="Q6985" s="79" t="str">
        <f>IF(AND(B6985='111'!$L$11,OR($N6985=$Q$7,$O6985=$Q$7)),"x","")</f>
        <v/>
      </c>
      <c r="R6985" s="79" t="str">
        <f>IF(AND($N6985=$Q$7,$B6985&lt;'111'!$L$11),"x","")</f>
        <v/>
      </c>
      <c r="S6985" s="79" t="str">
        <f>IF(AND($O6985=$Q$7,$B6985&lt;'111'!$L$11),"x","")</f>
        <v/>
      </c>
      <c r="T6985" s="79" t="str">
        <f>IF(ISERROR(FIND('112'!$M$9,G6985,1)),"",IF((AND(FIND('112'!$M$9,G6985,1)&gt;=1,B6985='112'!$K$9,OR($N6985='112'!$I$6,$O6985='112'!$I$6))),"x",""))</f>
        <v/>
      </c>
      <c r="U6985" s="79" t="str">
        <f>IF(ISERROR(FIND('112'!$M$9,G6985,1)),"",IF((AND(LEFT(G6985,2)=LEFT('112'!$M$9,2),B6985&lt;'112'!$K$9,$N6985='112'!$I$6)),"x",""))</f>
        <v/>
      </c>
      <c r="V6985" s="79" t="str">
        <f>IF(ISERROR(FIND('112'!$M$9,G6985,1)),"",IF((AND(RIGHT(G6985,2)=RIGHT('112'!$M$9,2),B6985&lt;'112'!$K$9,$O6985='112'!$I$6)),"x",""))</f>
        <v/>
      </c>
      <c r="W6985" s="79" t="str">
        <f>IF(AND('341-CT'!$H$9=H6985,OR(LEFT(N6985,3)=$W$7,LEFT(O6985,3)=$W$7)),"x","")</f>
        <v/>
      </c>
      <c r="X6985" s="79" t="str">
        <f>IF(OR(TH!N6985=TH!$X$7,O6985=TH!$X$7),"x","")</f>
        <v/>
      </c>
      <c r="Y6985" s="79" t="str">
        <f>IF(AND(OR(N6985="131",O6985="131"),H6985='131-CT'!$H$9),"x","")</f>
        <v/>
      </c>
      <c r="Z6985" s="79"/>
      <c r="AA6985" s="79" t="str">
        <f>IF(AND(MONTH(E6985)='IN-NX'!$J$5,'IN-NX'!$D$7=D6985),"x","")</f>
        <v/>
      </c>
      <c r="AB6985" s="79" t="str">
        <f>IF(AND(OR(LEFT(TH!N6985,2)="15",LEFT(TH!O6985,2)="15"),LEFT(TH!O6985,3)&lt;&gt;"111",'152-CT'!$J$8=TH!F6985),"x","")</f>
        <v/>
      </c>
      <c r="AC6985" s="79" t="str">
        <f>IF(AND(OR(LEFT(TH!N6985,2)="15",LEFT(TH!O6985,2)="15"),TK!$E$7=TH!F6985),"x","")</f>
        <v/>
      </c>
      <c r="AD6985" s="79" t="str">
        <f>IF(AND(N6985="1521",MONTH(C6985)='BK-NL'!$M$11),"x","")</f>
        <v/>
      </c>
    </row>
    <row r="6986" spans="1:30" ht="16.5" customHeight="1">
      <c r="A6986" s="318" t="str">
        <f>IF(B6986&lt;&gt;"",IF(AND(B6986='IN-TC'!$S$4,OR(TH!N6986="1111",TH!O6986="1111")),TH!D6986,""),"")</f>
        <v/>
      </c>
      <c r="B6986" s="1163" t="str">
        <f t="shared" si="530"/>
        <v/>
      </c>
      <c r="C6986" s="61"/>
      <c r="D6986" s="61"/>
      <c r="E6986" s="61"/>
      <c r="F6986" s="69"/>
      <c r="G6986" s="64"/>
      <c r="H6986" s="925"/>
      <c r="I6986" s="385"/>
      <c r="J6986" s="392"/>
      <c r="K6986" s="385"/>
      <c r="L6986" s="392"/>
      <c r="M6986" s="62"/>
      <c r="N6986" s="63"/>
      <c r="O6986" s="63"/>
      <c r="P6986" s="79" t="str">
        <f>IF(AND('331-CT'!$E$7=TH!H6986,OR(N6986="331",O6986="331")),"x","")</f>
        <v/>
      </c>
      <c r="Q6986" s="79" t="str">
        <f>IF(AND(B6986='111'!$L$11,OR($N6986=$Q$7,$O6986=$Q$7)),"x","")</f>
        <v/>
      </c>
      <c r="R6986" s="79" t="str">
        <f>IF(AND($N6986=$Q$7,$B6986&lt;'111'!$L$11),"x","")</f>
        <v/>
      </c>
      <c r="S6986" s="79" t="str">
        <f>IF(AND($O6986=$Q$7,$B6986&lt;'111'!$L$11),"x","")</f>
        <v/>
      </c>
      <c r="T6986" s="79" t="str">
        <f>IF(ISERROR(FIND('112'!$M$9,G6986,1)),"",IF((AND(FIND('112'!$M$9,G6986,1)&gt;=1,B6986='112'!$K$9,OR($N6986='112'!$I$6,$O6986='112'!$I$6))),"x",""))</f>
        <v/>
      </c>
      <c r="U6986" s="79" t="str">
        <f>IF(ISERROR(FIND('112'!$M$9,G6986,1)),"",IF((AND(LEFT(G6986,2)=LEFT('112'!$M$9,2),B6986&lt;'112'!$K$9,$N6986='112'!$I$6)),"x",""))</f>
        <v/>
      </c>
      <c r="V6986" s="79" t="str">
        <f>IF(ISERROR(FIND('112'!$M$9,G6986,1)),"",IF((AND(RIGHT(G6986,2)=RIGHT('112'!$M$9,2),B6986&lt;'112'!$K$9,$O6986='112'!$I$6)),"x",""))</f>
        <v/>
      </c>
      <c r="W6986" s="79" t="str">
        <f>IF(AND('341-CT'!$H$9=H6986,OR(LEFT(N6986,3)=$W$7,LEFT(O6986,3)=$W$7)),"x","")</f>
        <v/>
      </c>
      <c r="X6986" s="79" t="str">
        <f>IF(OR(TH!N6986=TH!$X$7,O6986=TH!$X$7),"x","")</f>
        <v/>
      </c>
      <c r="Y6986" s="79" t="str">
        <f>IF(AND(OR(N6986="131",O6986="131"),H6986='131-CT'!$H$9),"x","")</f>
        <v/>
      </c>
      <c r="Z6986" s="79"/>
      <c r="AA6986" s="79" t="str">
        <f>IF(AND(MONTH(E6986)='IN-NX'!$J$5,'IN-NX'!$D$7=D6986),"x","")</f>
        <v/>
      </c>
      <c r="AB6986" s="79" t="str">
        <f>IF(AND(OR(LEFT(TH!N6986,2)="15",LEFT(TH!O6986,2)="15"),LEFT(TH!O6986,3)&lt;&gt;"111",'152-CT'!$J$8=TH!F6986),"x","")</f>
        <v/>
      </c>
      <c r="AC6986" s="79" t="str">
        <f>IF(AND(OR(LEFT(TH!N6986,2)="15",LEFT(TH!O6986,2)="15"),TK!$E$7=TH!F6986),"x","")</f>
        <v/>
      </c>
      <c r="AD6986" s="79" t="str">
        <f>IF(AND(N6986="1521",MONTH(C6986)='BK-NL'!$M$11),"x","")</f>
        <v/>
      </c>
    </row>
    <row r="6987" spans="1:30" ht="16.5" customHeight="1">
      <c r="A6987" s="318" t="str">
        <f>IF(B6987&lt;&gt;"",IF(AND(B6987='IN-TC'!$S$4,OR(TH!N6987="1111",TH!O6987="1111")),TH!D6987,""),"")</f>
        <v/>
      </c>
      <c r="B6987" s="1163" t="str">
        <f t="shared" si="530"/>
        <v/>
      </c>
      <c r="C6987" s="61"/>
      <c r="D6987" s="61"/>
      <c r="E6987" s="61"/>
      <c r="F6987" s="69"/>
      <c r="G6987" s="64"/>
      <c r="H6987" s="69"/>
      <c r="I6987" s="385"/>
      <c r="J6987" s="392"/>
      <c r="K6987" s="385"/>
      <c r="L6987" s="392"/>
      <c r="M6987" s="62"/>
      <c r="N6987" s="63"/>
      <c r="O6987" s="63"/>
      <c r="P6987" s="79" t="str">
        <f>IF(AND('331-CT'!$E$7=TH!H6987,OR(N6987="331",O6987="331")),"x","")</f>
        <v/>
      </c>
      <c r="Q6987" s="79" t="str">
        <f>IF(AND(B6987='111'!$L$11,OR($N6987=$Q$7,$O6987=$Q$7)),"x","")</f>
        <v/>
      </c>
      <c r="R6987" s="79" t="str">
        <f>IF(AND($N6987=$Q$7,$B6987&lt;'111'!$L$11),"x","")</f>
        <v/>
      </c>
      <c r="S6987" s="79" t="str">
        <f>IF(AND($O6987=$Q$7,$B6987&lt;'111'!$L$11),"x","")</f>
        <v/>
      </c>
      <c r="T6987" s="79" t="str">
        <f>IF(ISERROR(FIND('112'!$M$9,G6987,1)),"",IF((AND(FIND('112'!$M$9,G6987,1)&gt;=1,B6987='112'!$K$9,OR($N6987='112'!$I$6,$O6987='112'!$I$6))),"x",""))</f>
        <v/>
      </c>
      <c r="U6987" s="79" t="str">
        <f>IF(ISERROR(FIND('112'!$M$9,G6987,1)),"",IF((AND(LEFT(G6987,2)=LEFT('112'!$M$9,2),B6987&lt;'112'!$K$9,$N6987='112'!$I$6)),"x",""))</f>
        <v/>
      </c>
      <c r="V6987" s="79" t="str">
        <f>IF(ISERROR(FIND('112'!$M$9,G6987,1)),"",IF((AND(RIGHT(G6987,2)=RIGHT('112'!$M$9,2),B6987&lt;'112'!$K$9,$O6987='112'!$I$6)),"x",""))</f>
        <v/>
      </c>
      <c r="W6987" s="79" t="str">
        <f>IF(AND('341-CT'!$H$9=H6987,OR(LEFT(N6987,3)=$W$7,LEFT(O6987,3)=$W$7)),"x","")</f>
        <v/>
      </c>
      <c r="X6987" s="79" t="str">
        <f>IF(OR(TH!N6987=TH!$X$7,O6987=TH!$X$7),"x","")</f>
        <v/>
      </c>
      <c r="Y6987" s="79" t="str">
        <f>IF(AND(OR(N6987="131",O6987="131"),H6987='131-CT'!$H$9),"x","")</f>
        <v/>
      </c>
      <c r="Z6987" s="79"/>
      <c r="AA6987" s="79" t="str">
        <f>IF(AND(MONTH(E6987)='IN-NX'!$J$5,'IN-NX'!$D$7=D6987),"x","")</f>
        <v/>
      </c>
      <c r="AB6987" s="79" t="str">
        <f>IF(AND(OR(LEFT(TH!N6987,2)="15",LEFT(TH!O6987,2)="15"),LEFT(TH!O6987,3)&lt;&gt;"111",'152-CT'!$J$8=TH!F6987),"x","")</f>
        <v/>
      </c>
      <c r="AC6987" s="79" t="str">
        <f>IF(AND(OR(LEFT(TH!N6987,2)="15",LEFT(TH!O6987,2)="15"),TK!$E$7=TH!F6987),"x","")</f>
        <v/>
      </c>
      <c r="AD6987" s="79" t="str">
        <f>IF(AND(N6987="1521",MONTH(C6987)='BK-NL'!$M$11),"x","")</f>
        <v/>
      </c>
    </row>
    <row r="6988" spans="1:30" ht="16.5" customHeight="1">
      <c r="A6988" s="318" t="str">
        <f>IF(B6988&lt;&gt;"",IF(AND(B6988='IN-TC'!$S$4,OR(TH!N6988="1111",TH!O6988="1111")),TH!D6988,""),"")</f>
        <v/>
      </c>
      <c r="B6988" s="1163" t="str">
        <f t="shared" si="530"/>
        <v/>
      </c>
      <c r="C6988" s="61"/>
      <c r="D6988" s="61"/>
      <c r="E6988" s="61"/>
      <c r="F6988" s="69"/>
      <c r="G6988" s="64"/>
      <c r="H6988" s="69"/>
      <c r="I6988" s="385"/>
      <c r="J6988" s="392"/>
      <c r="K6988" s="385"/>
      <c r="L6988" s="392"/>
      <c r="M6988" s="62"/>
      <c r="N6988" s="63"/>
      <c r="O6988" s="63"/>
      <c r="P6988" s="79" t="str">
        <f>IF(AND('331-CT'!$E$7=TH!H6988,OR(N6988="331",O6988="331")),"x","")</f>
        <v/>
      </c>
      <c r="Q6988" s="79" t="str">
        <f>IF(AND(B6988='111'!$L$11,OR($N6988=$Q$7,$O6988=$Q$7)),"x","")</f>
        <v/>
      </c>
      <c r="R6988" s="79" t="str">
        <f>IF(AND($N6988=$Q$7,$B6988&lt;'111'!$L$11),"x","")</f>
        <v/>
      </c>
      <c r="S6988" s="79" t="str">
        <f>IF(AND($O6988=$Q$7,$B6988&lt;'111'!$L$11),"x","")</f>
        <v/>
      </c>
      <c r="T6988" s="79" t="str">
        <f>IF(ISERROR(FIND('112'!$M$9,G6988,1)),"",IF((AND(FIND('112'!$M$9,G6988,1)&gt;=1,B6988='112'!$K$9,OR($N6988='112'!$I$6,$O6988='112'!$I$6))),"x",""))</f>
        <v/>
      </c>
      <c r="U6988" s="79" t="str">
        <f>IF(ISERROR(FIND('112'!$M$9,G6988,1)),"",IF((AND(LEFT(G6988,2)=LEFT('112'!$M$9,2),B6988&lt;'112'!$K$9,$N6988='112'!$I$6)),"x",""))</f>
        <v/>
      </c>
      <c r="V6988" s="79" t="str">
        <f>IF(ISERROR(FIND('112'!$M$9,G6988,1)),"",IF((AND(RIGHT(G6988,2)=RIGHT('112'!$M$9,2),B6988&lt;'112'!$K$9,$O6988='112'!$I$6)),"x",""))</f>
        <v/>
      </c>
      <c r="W6988" s="79" t="str">
        <f>IF(AND('341-CT'!$H$9=H6988,OR(LEFT(N6988,3)=$W$7,LEFT(O6988,3)=$W$7)),"x","")</f>
        <v/>
      </c>
      <c r="X6988" s="79" t="str">
        <f>IF(OR(TH!N6988=TH!$X$7,O6988=TH!$X$7),"x","")</f>
        <v/>
      </c>
      <c r="Y6988" s="79" t="str">
        <f>IF(AND(OR(N6988="131",O6988="131"),H6988='131-CT'!$H$9),"x","")</f>
        <v/>
      </c>
      <c r="Z6988" s="79"/>
      <c r="AA6988" s="79" t="str">
        <f>IF(AND(MONTH(E6988)='IN-NX'!$J$5,'IN-NX'!$D$7=D6988),"x","")</f>
        <v/>
      </c>
      <c r="AB6988" s="79" t="str">
        <f>IF(AND(OR(LEFT(TH!N6988,2)="15",LEFT(TH!O6988,2)="15"),LEFT(TH!O6988,3)&lt;&gt;"111",'152-CT'!$J$8=TH!F6988),"x","")</f>
        <v/>
      </c>
      <c r="AC6988" s="79" t="str">
        <f>IF(AND(OR(LEFT(TH!N6988,2)="15",LEFT(TH!O6988,2)="15"),TK!$E$7=TH!F6988),"x","")</f>
        <v/>
      </c>
      <c r="AD6988" s="79" t="str">
        <f>IF(AND(N6988="1521",MONTH(C6988)='BK-NL'!$M$11),"x","")</f>
        <v/>
      </c>
    </row>
    <row r="6989" spans="1:30" ht="16.5" customHeight="1">
      <c r="A6989" s="318" t="str">
        <f>IF(B6989&lt;&gt;"",IF(AND(B6989='IN-TC'!$S$4,OR(TH!N6989="1111",TH!O6989="1111")),TH!D6989,""),"")</f>
        <v/>
      </c>
      <c r="B6989" s="1163" t="str">
        <f t="shared" si="530"/>
        <v/>
      </c>
      <c r="C6989" s="61"/>
      <c r="D6989" s="61"/>
      <c r="E6989" s="61"/>
      <c r="F6989" s="69"/>
      <c r="G6989" s="64"/>
      <c r="H6989" s="69"/>
      <c r="I6989" s="385"/>
      <c r="J6989" s="392"/>
      <c r="K6989" s="385"/>
      <c r="L6989" s="392"/>
      <c r="M6989" s="62"/>
      <c r="N6989" s="63"/>
      <c r="O6989" s="63"/>
      <c r="P6989" s="79" t="str">
        <f>IF(AND('331-CT'!$E$7=TH!H6989,OR(N6989="331",O6989="331")),"x","")</f>
        <v/>
      </c>
      <c r="Q6989" s="79" t="str">
        <f>IF(AND(B6989='111'!$L$11,OR($N6989=$Q$7,$O6989=$Q$7)),"x","")</f>
        <v/>
      </c>
      <c r="R6989" s="79" t="str">
        <f>IF(AND($N6989=$Q$7,$B6989&lt;'111'!$L$11),"x","")</f>
        <v/>
      </c>
      <c r="S6989" s="79" t="str">
        <f>IF(AND($O6989=$Q$7,$B6989&lt;'111'!$L$11),"x","")</f>
        <v/>
      </c>
      <c r="T6989" s="79" t="str">
        <f>IF(ISERROR(FIND('112'!$M$9,G6989,1)),"",IF((AND(FIND('112'!$M$9,G6989,1)&gt;=1,B6989='112'!$K$9,OR($N6989='112'!$I$6,$O6989='112'!$I$6))),"x",""))</f>
        <v/>
      </c>
      <c r="U6989" s="79" t="str">
        <f>IF(ISERROR(FIND('112'!$M$9,G6989,1)),"",IF((AND(LEFT(G6989,2)=LEFT('112'!$M$9,2),B6989&lt;'112'!$K$9,$N6989='112'!$I$6)),"x",""))</f>
        <v/>
      </c>
      <c r="V6989" s="79" t="str">
        <f>IF(ISERROR(FIND('112'!$M$9,G6989,1)),"",IF((AND(RIGHT(G6989,2)=RIGHT('112'!$M$9,2),B6989&lt;'112'!$K$9,$O6989='112'!$I$6)),"x",""))</f>
        <v/>
      </c>
      <c r="W6989" s="79" t="str">
        <f>IF(AND('341-CT'!$H$9=H6989,OR(LEFT(N6989,3)=$W$7,LEFT(O6989,3)=$W$7)),"x","")</f>
        <v/>
      </c>
      <c r="X6989" s="79" t="str">
        <f>IF(OR(TH!N6989=TH!$X$7,O6989=TH!$X$7),"x","")</f>
        <v/>
      </c>
      <c r="Y6989" s="79" t="str">
        <f>IF(AND(OR(N6989="131",O6989="131"),H6989='131-CT'!$H$9),"x","")</f>
        <v/>
      </c>
      <c r="Z6989" s="79"/>
      <c r="AA6989" s="79" t="str">
        <f>IF(AND(MONTH(E6989)='IN-NX'!$J$5,'IN-NX'!$D$7=D6989),"x","")</f>
        <v/>
      </c>
      <c r="AB6989" s="79" t="str">
        <f>IF(AND(OR(LEFT(TH!N6989,2)="15",LEFT(TH!O6989,2)="15"),LEFT(TH!O6989,3)&lt;&gt;"111",'152-CT'!$J$8=TH!F6989),"x","")</f>
        <v/>
      </c>
      <c r="AC6989" s="79" t="str">
        <f>IF(AND(OR(LEFT(TH!N6989,2)="15",LEFT(TH!O6989,2)="15"),TK!$E$7=TH!F6989),"x","")</f>
        <v/>
      </c>
      <c r="AD6989" s="79" t="str">
        <f>IF(AND(N6989="1521",MONTH(C6989)='BK-NL'!$M$11),"x","")</f>
        <v/>
      </c>
    </row>
    <row r="6990" spans="1:30" ht="16.5" customHeight="1">
      <c r="A6990" s="318" t="str">
        <f>IF(B6990&lt;&gt;"",IF(AND(B6990='IN-TC'!$S$4,OR(TH!N6990="1111",TH!O6990="1111")),TH!D6990,""),"")</f>
        <v/>
      </c>
      <c r="B6990" s="1163" t="str">
        <f t="shared" si="530"/>
        <v/>
      </c>
      <c r="C6990" s="61"/>
      <c r="D6990" s="61"/>
      <c r="E6990" s="61"/>
      <c r="F6990" s="69"/>
      <c r="G6990" s="64"/>
      <c r="H6990" s="69"/>
      <c r="I6990" s="385"/>
      <c r="J6990" s="392"/>
      <c r="K6990" s="385"/>
      <c r="L6990" s="392"/>
      <c r="M6990" s="62"/>
      <c r="N6990" s="63"/>
      <c r="O6990" s="63"/>
      <c r="P6990" s="79" t="str">
        <f>IF(AND('331-CT'!$E$7=TH!H6990,OR(N6990="331",O6990="331")),"x","")</f>
        <v/>
      </c>
      <c r="Q6990" s="79" t="str">
        <f>IF(AND(B6990='111'!$L$11,OR($N6990=$Q$7,$O6990=$Q$7)),"x","")</f>
        <v/>
      </c>
      <c r="R6990" s="79" t="str">
        <f>IF(AND($N6990=$Q$7,$B6990&lt;'111'!$L$11),"x","")</f>
        <v/>
      </c>
      <c r="S6990" s="79" t="str">
        <f>IF(AND($O6990=$Q$7,$B6990&lt;'111'!$L$11),"x","")</f>
        <v/>
      </c>
      <c r="T6990" s="79" t="str">
        <f>IF(ISERROR(FIND('112'!$M$9,G6990,1)),"",IF((AND(FIND('112'!$M$9,G6990,1)&gt;=1,B6990='112'!$K$9,OR($N6990='112'!$I$6,$O6990='112'!$I$6))),"x",""))</f>
        <v/>
      </c>
      <c r="U6990" s="79" t="str">
        <f>IF(ISERROR(FIND('112'!$M$9,G6990,1)),"",IF((AND(LEFT(G6990,2)=LEFT('112'!$M$9,2),B6990&lt;'112'!$K$9,$N6990='112'!$I$6)),"x",""))</f>
        <v/>
      </c>
      <c r="V6990" s="79" t="str">
        <f>IF(ISERROR(FIND('112'!$M$9,G6990,1)),"",IF((AND(RIGHT(G6990,2)=RIGHT('112'!$M$9,2),B6990&lt;'112'!$K$9,$O6990='112'!$I$6)),"x",""))</f>
        <v/>
      </c>
      <c r="W6990" s="79" t="str">
        <f>IF(AND('341-CT'!$H$9=H6990,OR(LEFT(N6990,3)=$W$7,LEFT(O6990,3)=$W$7)),"x","")</f>
        <v/>
      </c>
      <c r="X6990" s="79" t="str">
        <f>IF(OR(TH!N6990=TH!$X$7,O6990=TH!$X$7),"x","")</f>
        <v/>
      </c>
      <c r="Y6990" s="79" t="str">
        <f>IF(AND(OR(N6990="131",O6990="131"),H6990='131-CT'!$H$9),"x","")</f>
        <v/>
      </c>
      <c r="Z6990" s="79"/>
      <c r="AA6990" s="79" t="str">
        <f>IF(AND(MONTH(E6990)='IN-NX'!$J$5,'IN-NX'!$D$7=D6990),"x","")</f>
        <v/>
      </c>
      <c r="AB6990" s="79" t="str">
        <f>IF(AND(OR(LEFT(TH!N6990,2)="15",LEFT(TH!O6990,2)="15"),LEFT(TH!O6990,3)&lt;&gt;"111",'152-CT'!$J$8=TH!F6990),"x","")</f>
        <v/>
      </c>
      <c r="AC6990" s="79" t="str">
        <f>IF(AND(OR(LEFT(TH!N6990,2)="15",LEFT(TH!O6990,2)="15"),TK!$E$7=TH!F6990),"x","")</f>
        <v/>
      </c>
      <c r="AD6990" s="79" t="str">
        <f>IF(AND(N6990="1521",MONTH(C6990)='BK-NL'!$M$11),"x","")</f>
        <v/>
      </c>
    </row>
    <row r="6991" spans="1:30" ht="16.5" customHeight="1">
      <c r="A6991" s="318" t="str">
        <f>IF(B6991&lt;&gt;"",IF(AND(B6991='IN-TC'!$S$4,OR(TH!N6991="1111",TH!O6991="1111")),TH!D6991,""),"")</f>
        <v/>
      </c>
      <c r="B6991" s="1163" t="str">
        <f t="shared" si="530"/>
        <v/>
      </c>
      <c r="C6991" s="61"/>
      <c r="D6991" s="61"/>
      <c r="E6991" s="61"/>
      <c r="F6991" s="69"/>
      <c r="G6991" s="64"/>
      <c r="H6991" s="69"/>
      <c r="I6991" s="385"/>
      <c r="J6991" s="392"/>
      <c r="K6991" s="385"/>
      <c r="L6991" s="392"/>
      <c r="M6991" s="62"/>
      <c r="N6991" s="63"/>
      <c r="O6991" s="63"/>
      <c r="P6991" s="79" t="str">
        <f>IF(AND('331-CT'!$E$7=TH!H6991,OR(N6991="331",O6991="331")),"x","")</f>
        <v/>
      </c>
      <c r="Q6991" s="79" t="str">
        <f>IF(AND(B6991='111'!$L$11,OR($N6991=$Q$7,$O6991=$Q$7)),"x","")</f>
        <v/>
      </c>
      <c r="R6991" s="79" t="str">
        <f>IF(AND($N6991=$Q$7,$B6991&lt;'111'!$L$11),"x","")</f>
        <v/>
      </c>
      <c r="S6991" s="79" t="str">
        <f>IF(AND($O6991=$Q$7,$B6991&lt;'111'!$L$11),"x","")</f>
        <v/>
      </c>
      <c r="T6991" s="79" t="str">
        <f>IF(ISERROR(FIND('112'!$M$9,G6991,1)),"",IF((AND(FIND('112'!$M$9,G6991,1)&gt;=1,B6991='112'!$K$9,OR($N6991='112'!$I$6,$O6991='112'!$I$6))),"x",""))</f>
        <v/>
      </c>
      <c r="U6991" s="79" t="str">
        <f>IF(ISERROR(FIND('112'!$M$9,G6991,1)),"",IF((AND(LEFT(G6991,2)=LEFT('112'!$M$9,2),B6991&lt;'112'!$K$9,$N6991='112'!$I$6)),"x",""))</f>
        <v/>
      </c>
      <c r="V6991" s="79" t="str">
        <f>IF(ISERROR(FIND('112'!$M$9,G6991,1)),"",IF((AND(RIGHT(G6991,2)=RIGHT('112'!$M$9,2),B6991&lt;'112'!$K$9,$O6991='112'!$I$6)),"x",""))</f>
        <v/>
      </c>
      <c r="W6991" s="79" t="str">
        <f>IF(AND('341-CT'!$H$9=H6991,OR(LEFT(N6991,3)=$W$7,LEFT(O6991,3)=$W$7)),"x","")</f>
        <v/>
      </c>
      <c r="X6991" s="79" t="str">
        <f>IF(OR(TH!N6991=TH!$X$7,O6991=TH!$X$7),"x","")</f>
        <v/>
      </c>
      <c r="Y6991" s="79" t="str">
        <f>IF(AND(OR(N6991="131",O6991="131"),H6991='131-CT'!$H$9),"x","")</f>
        <v/>
      </c>
      <c r="Z6991" s="79"/>
      <c r="AA6991" s="79" t="str">
        <f>IF(AND(MONTH(E6991)='IN-NX'!$J$5,'IN-NX'!$D$7=D6991),"x","")</f>
        <v/>
      </c>
      <c r="AB6991" s="79" t="str">
        <f>IF(AND(OR(LEFT(TH!N6991,2)="15",LEFT(TH!O6991,2)="15"),LEFT(TH!O6991,3)&lt;&gt;"111",'152-CT'!$J$8=TH!F6991),"x","")</f>
        <v/>
      </c>
      <c r="AC6991" s="79" t="str">
        <f>IF(AND(OR(LEFT(TH!N6991,2)="15",LEFT(TH!O6991,2)="15"),TK!$E$7=TH!F6991),"x","")</f>
        <v/>
      </c>
      <c r="AD6991" s="79" t="str">
        <f>IF(AND(N6991="1521",MONTH(C6991)='BK-NL'!$M$11),"x","")</f>
        <v/>
      </c>
    </row>
    <row r="6992" spans="1:30" ht="16.5" customHeight="1">
      <c r="A6992" s="318" t="str">
        <f>IF(B6992&lt;&gt;"",IF(AND(B6992='IN-TC'!$S$4,OR(TH!N6992="1111",TH!O6992="1111")),TH!D6992,""),"")</f>
        <v/>
      </c>
      <c r="B6992" s="1163" t="str">
        <f t="shared" si="530"/>
        <v/>
      </c>
      <c r="C6992" s="61"/>
      <c r="D6992" s="61"/>
      <c r="E6992" s="61"/>
      <c r="F6992" s="69"/>
      <c r="G6992" s="64"/>
      <c r="H6992" s="69"/>
      <c r="I6992" s="385"/>
      <c r="J6992" s="392"/>
      <c r="K6992" s="385"/>
      <c r="L6992" s="392"/>
      <c r="M6992" s="62"/>
      <c r="N6992" s="63"/>
      <c r="O6992" s="63"/>
      <c r="P6992" s="79" t="str">
        <f>IF(AND('331-CT'!$E$7=TH!H6992,OR(N6992="331",O6992="331")),"x","")</f>
        <v/>
      </c>
      <c r="Q6992" s="79" t="str">
        <f>IF(AND(B6992='111'!$L$11,OR($N6992=$Q$7,$O6992=$Q$7)),"x","")</f>
        <v/>
      </c>
      <c r="R6992" s="79" t="str">
        <f>IF(AND($N6992=$Q$7,$B6992&lt;'111'!$L$11),"x","")</f>
        <v/>
      </c>
      <c r="S6992" s="79" t="str">
        <f>IF(AND($O6992=$Q$7,$B6992&lt;'111'!$L$11),"x","")</f>
        <v/>
      </c>
      <c r="T6992" s="79" t="str">
        <f>IF(ISERROR(FIND('112'!$M$9,G6992,1)),"",IF((AND(FIND('112'!$M$9,G6992,1)&gt;=1,B6992='112'!$K$9,OR($N6992='112'!$I$6,$O6992='112'!$I$6))),"x",""))</f>
        <v/>
      </c>
      <c r="U6992" s="79" t="str">
        <f>IF(ISERROR(FIND('112'!$M$9,G6992,1)),"",IF((AND(LEFT(G6992,2)=LEFT('112'!$M$9,2),B6992&lt;'112'!$K$9,$N6992='112'!$I$6)),"x",""))</f>
        <v/>
      </c>
      <c r="V6992" s="79" t="str">
        <f>IF(ISERROR(FIND('112'!$M$9,G6992,1)),"",IF((AND(RIGHT(G6992,2)=RIGHT('112'!$M$9,2),B6992&lt;'112'!$K$9,$O6992='112'!$I$6)),"x",""))</f>
        <v/>
      </c>
      <c r="W6992" s="79" t="str">
        <f>IF(AND('341-CT'!$H$9=H6992,OR(LEFT(N6992,3)=$W$7,LEFT(O6992,3)=$W$7)),"x","")</f>
        <v/>
      </c>
      <c r="X6992" s="79" t="str">
        <f>IF(OR(TH!N6992=TH!$X$7,O6992=TH!$X$7),"x","")</f>
        <v/>
      </c>
      <c r="Y6992" s="79" t="str">
        <f>IF(AND(OR(N6992="131",O6992="131"),H6992='131-CT'!$H$9),"x","")</f>
        <v/>
      </c>
      <c r="Z6992" s="79"/>
      <c r="AA6992" s="79" t="str">
        <f>IF(AND(MONTH(E6992)='IN-NX'!$J$5,'IN-NX'!$D$7=D6992),"x","")</f>
        <v/>
      </c>
      <c r="AB6992" s="79" t="str">
        <f>IF(AND(OR(LEFT(TH!N6992,2)="15",LEFT(TH!O6992,2)="15"),LEFT(TH!O6992,3)&lt;&gt;"111",'152-CT'!$J$8=TH!F6992),"x","")</f>
        <v/>
      </c>
      <c r="AC6992" s="79" t="str">
        <f>IF(AND(OR(LEFT(TH!N6992,2)="15",LEFT(TH!O6992,2)="15"),TK!$E$7=TH!F6992),"x","")</f>
        <v/>
      </c>
      <c r="AD6992" s="79" t="str">
        <f>IF(AND(N6992="1521",MONTH(C6992)='BK-NL'!$M$11),"x","")</f>
        <v/>
      </c>
    </row>
    <row r="6993" spans="1:30" ht="16.5" customHeight="1">
      <c r="A6993" s="318" t="str">
        <f>IF(B6993&lt;&gt;"",IF(AND(B6993='IN-TC'!$S$4,OR(TH!N6993="1111",TH!O6993="1111")),TH!D6993,""),"")</f>
        <v/>
      </c>
      <c r="B6993" s="1163" t="str">
        <f t="shared" si="530"/>
        <v/>
      </c>
      <c r="C6993" s="61"/>
      <c r="D6993" s="61"/>
      <c r="E6993" s="61"/>
      <c r="F6993" s="69"/>
      <c r="G6993" s="766"/>
      <c r="H6993" s="303"/>
      <c r="I6993" s="385"/>
      <c r="J6993" s="392"/>
      <c r="K6993" s="385"/>
      <c r="L6993" s="392"/>
      <c r="M6993" s="62"/>
      <c r="N6993" s="63"/>
      <c r="O6993" s="63"/>
      <c r="P6993" s="79" t="str">
        <f>IF(AND('331-CT'!$E$7=TH!H6993,OR(N6993="331",O6993="331")),"x","")</f>
        <v/>
      </c>
      <c r="Q6993" s="79" t="str">
        <f>IF(AND(B6993='111'!$L$11,OR($N6993=$Q$7,$O6993=$Q$7)),"x","")</f>
        <v/>
      </c>
      <c r="R6993" s="79" t="str">
        <f>IF(AND($N6993=$Q$7,$B6993&lt;'111'!$L$11),"x","")</f>
        <v/>
      </c>
      <c r="S6993" s="79" t="str">
        <f>IF(AND($O6993=$Q$7,$B6993&lt;'111'!$L$11),"x","")</f>
        <v/>
      </c>
      <c r="T6993" s="79" t="str">
        <f>IF(ISERROR(FIND('112'!$M$9,G6993,1)),"",IF((AND(FIND('112'!$M$9,G6993,1)&gt;=1,B6993='112'!$K$9,OR($N6993='112'!$I$6,$O6993='112'!$I$6))),"x",""))</f>
        <v/>
      </c>
      <c r="U6993" s="79" t="str">
        <f>IF(ISERROR(FIND('112'!$M$9,G6993,1)),"",IF((AND(LEFT(G6993,2)=LEFT('112'!$M$9,2),B6993&lt;'112'!$K$9,$N6993='112'!$I$6)),"x",""))</f>
        <v/>
      </c>
      <c r="V6993" s="79" t="str">
        <f>IF(ISERROR(FIND('112'!$M$9,G6993,1)),"",IF((AND(RIGHT(G6993,2)=RIGHT('112'!$M$9,2),B6993&lt;'112'!$K$9,$O6993='112'!$I$6)),"x",""))</f>
        <v/>
      </c>
      <c r="W6993" s="79" t="str">
        <f>IF(AND('341-CT'!$H$9=H6993,OR(LEFT(N6993,3)=$W$7,LEFT(O6993,3)=$W$7)),"x","")</f>
        <v/>
      </c>
      <c r="X6993" s="79" t="str">
        <f>IF(OR(TH!N6993=TH!$X$7,O6993=TH!$X$7),"x","")</f>
        <v/>
      </c>
      <c r="Y6993" s="79" t="str">
        <f>IF(AND(OR(N6993="131",O6993="131"),H6993='131-CT'!$H$9),"x","")</f>
        <v/>
      </c>
      <c r="Z6993" s="79"/>
      <c r="AA6993" s="79" t="str">
        <f>IF(AND(MONTH(E6993)='IN-NX'!$J$5,'IN-NX'!$D$7=D6993),"x","")</f>
        <v/>
      </c>
      <c r="AB6993" s="79" t="str">
        <f>IF(AND(OR(LEFT(TH!N6993,2)="15",LEFT(TH!O6993,2)="15"),LEFT(TH!O6993,3)&lt;&gt;"111",'152-CT'!$J$8=TH!F6993),"x","")</f>
        <v/>
      </c>
      <c r="AC6993" s="79" t="str">
        <f>IF(AND(OR(LEFT(TH!N6993,2)="15",LEFT(TH!O6993,2)="15"),TK!$E$7=TH!F6993),"x","")</f>
        <v/>
      </c>
      <c r="AD6993" s="79" t="str">
        <f>IF(AND(N6993="1521",MONTH(C6993)='BK-NL'!$M$11),"x","")</f>
        <v/>
      </c>
    </row>
    <row r="6994" spans="1:30" ht="16.5" customHeight="1">
      <c r="A6994" s="318" t="str">
        <f>IF(B6994&lt;&gt;"",IF(AND(B6994='IN-TC'!$S$4,OR(TH!N6994="1111",TH!O6994="1111")),TH!D6994,""),"")</f>
        <v/>
      </c>
      <c r="B6994" s="1163" t="str">
        <f t="shared" si="530"/>
        <v/>
      </c>
      <c r="C6994" s="61"/>
      <c r="D6994" s="61"/>
      <c r="E6994" s="61"/>
      <c r="F6994" s="69"/>
      <c r="G6994" s="766"/>
      <c r="H6994" s="321"/>
      <c r="I6994" s="385"/>
      <c r="J6994" s="392"/>
      <c r="K6994" s="385"/>
      <c r="L6994" s="392"/>
      <c r="M6994" s="62"/>
      <c r="N6994" s="63"/>
      <c r="O6994" s="63"/>
      <c r="P6994" s="79" t="str">
        <f>IF(AND('331-CT'!$E$7=TH!H6994,OR(N6994="331",O6994="331")),"x","")</f>
        <v/>
      </c>
      <c r="Q6994" s="79" t="str">
        <f>IF(AND(B6994='111'!$L$11,OR($N6994=$Q$7,$O6994=$Q$7)),"x","")</f>
        <v/>
      </c>
      <c r="R6994" s="79" t="str">
        <f>IF(AND($N6994=$Q$7,$B6994&lt;'111'!$L$11),"x","")</f>
        <v/>
      </c>
      <c r="S6994" s="79" t="str">
        <f>IF(AND($O6994=$Q$7,$B6994&lt;'111'!$L$11),"x","")</f>
        <v/>
      </c>
      <c r="T6994" s="79" t="str">
        <f>IF(ISERROR(FIND('112'!$M$9,G6994,1)),"",IF((AND(FIND('112'!$M$9,G6994,1)&gt;=1,B6994='112'!$K$9,OR($N6994='112'!$I$6,$O6994='112'!$I$6))),"x",""))</f>
        <v/>
      </c>
      <c r="U6994" s="79" t="str">
        <f>IF(ISERROR(FIND('112'!$M$9,G6994,1)),"",IF((AND(LEFT(G6994,2)=LEFT('112'!$M$9,2),B6994&lt;'112'!$K$9,$N6994='112'!$I$6)),"x",""))</f>
        <v/>
      </c>
      <c r="V6994" s="79" t="str">
        <f>IF(ISERROR(FIND('112'!$M$9,G6994,1)),"",IF((AND(RIGHT(G6994,2)=RIGHT('112'!$M$9,2),B6994&lt;'112'!$K$9,$O6994='112'!$I$6)),"x",""))</f>
        <v/>
      </c>
      <c r="W6994" s="79" t="str">
        <f>IF(AND('341-CT'!$H$9=H6994,OR(LEFT(N6994,3)=$W$7,LEFT(O6994,3)=$W$7)),"x","")</f>
        <v/>
      </c>
      <c r="X6994" s="79" t="str">
        <f>IF(OR(TH!N6994=TH!$X$7,O6994=TH!$X$7),"x","")</f>
        <v/>
      </c>
      <c r="Y6994" s="79" t="str">
        <f>IF(AND(OR(N6994="131",O6994="131"),H6994='131-CT'!$H$9),"x","")</f>
        <v/>
      </c>
      <c r="Z6994" s="79"/>
      <c r="AA6994" s="79" t="str">
        <f>IF(AND(MONTH(E6994)='IN-NX'!$J$5,'IN-NX'!$D$7=D6994),"x","")</f>
        <v/>
      </c>
      <c r="AB6994" s="79" t="str">
        <f>IF(AND(OR(LEFT(TH!N6994,2)="15",LEFT(TH!O6994,2)="15"),LEFT(TH!O6994,3)&lt;&gt;"111",'152-CT'!$J$8=TH!F6994),"x","")</f>
        <v/>
      </c>
      <c r="AC6994" s="79" t="str">
        <f>IF(AND(OR(LEFT(TH!N6994,2)="15",LEFT(TH!O6994,2)="15"),TK!$E$7=TH!F6994),"x","")</f>
        <v/>
      </c>
      <c r="AD6994" s="79" t="str">
        <f>IF(AND(N6994="1521",MONTH(C6994)='BK-NL'!$M$11),"x","")</f>
        <v/>
      </c>
    </row>
    <row r="6995" spans="1:30" ht="16.5" customHeight="1">
      <c r="A6995" s="318" t="str">
        <f>IF(B6995&lt;&gt;"",IF(AND(B6995='IN-TC'!$S$4,OR(TH!N6995="1111",TH!O6995="1111")),TH!D6995,""),"")</f>
        <v/>
      </c>
      <c r="B6995" s="1163" t="str">
        <f t="shared" si="530"/>
        <v/>
      </c>
      <c r="C6995" s="61"/>
      <c r="D6995" s="61"/>
      <c r="E6995" s="61"/>
      <c r="F6995" s="69"/>
      <c r="G6995" s="766"/>
      <c r="H6995" s="321"/>
      <c r="I6995" s="385"/>
      <c r="J6995" s="392"/>
      <c r="K6995" s="385"/>
      <c r="L6995" s="392"/>
      <c r="M6995" s="62"/>
      <c r="N6995" s="63"/>
      <c r="O6995" s="63"/>
      <c r="P6995" s="79" t="str">
        <f>IF(AND('331-CT'!$E$7=TH!H6995,OR(N6995="331",O6995="331")),"x","")</f>
        <v/>
      </c>
      <c r="Q6995" s="79" t="str">
        <f>IF(AND(B6995='111'!$L$11,OR($N6995=$Q$7,$O6995=$Q$7)),"x","")</f>
        <v/>
      </c>
      <c r="R6995" s="79" t="str">
        <f>IF(AND($N6995=$Q$7,$B6995&lt;'111'!$L$11),"x","")</f>
        <v/>
      </c>
      <c r="S6995" s="79" t="str">
        <f>IF(AND($O6995=$Q$7,$B6995&lt;'111'!$L$11),"x","")</f>
        <v/>
      </c>
      <c r="T6995" s="79" t="str">
        <f>IF(ISERROR(FIND('112'!$M$9,G6995,1)),"",IF((AND(FIND('112'!$M$9,G6995,1)&gt;=1,B6995='112'!$K$9,OR($N6995='112'!$I$6,$O6995='112'!$I$6))),"x",""))</f>
        <v/>
      </c>
      <c r="U6995" s="79" t="str">
        <f>IF(ISERROR(FIND('112'!$M$9,G6995,1)),"",IF((AND(LEFT(G6995,2)=LEFT('112'!$M$9,2),B6995&lt;'112'!$K$9,$N6995='112'!$I$6)),"x",""))</f>
        <v/>
      </c>
      <c r="V6995" s="79" t="str">
        <f>IF(ISERROR(FIND('112'!$M$9,G6995,1)),"",IF((AND(RIGHT(G6995,2)=RIGHT('112'!$M$9,2),B6995&lt;'112'!$K$9,$O6995='112'!$I$6)),"x",""))</f>
        <v/>
      </c>
      <c r="W6995" s="79" t="str">
        <f>IF(AND('341-CT'!$H$9=H6995,OR(LEFT(N6995,3)=$W$7,LEFT(O6995,3)=$W$7)),"x","")</f>
        <v/>
      </c>
      <c r="X6995" s="79" t="str">
        <f>IF(OR(TH!N6995=TH!$X$7,O6995=TH!$X$7),"x","")</f>
        <v/>
      </c>
      <c r="Y6995" s="79" t="str">
        <f>IF(AND(OR(N6995="131",O6995="131"),H6995='131-CT'!$H$9),"x","")</f>
        <v/>
      </c>
      <c r="Z6995" s="79"/>
      <c r="AA6995" s="79" t="str">
        <f>IF(AND(MONTH(E6995)='IN-NX'!$J$5,'IN-NX'!$D$7=D6995),"x","")</f>
        <v/>
      </c>
      <c r="AB6995" s="79" t="str">
        <f>IF(AND(OR(LEFT(TH!N6995,2)="15",LEFT(TH!O6995,2)="15"),LEFT(TH!O6995,3)&lt;&gt;"111",'152-CT'!$J$8=TH!F6995),"x","")</f>
        <v/>
      </c>
      <c r="AC6995" s="79" t="str">
        <f>IF(AND(OR(LEFT(TH!N6995,2)="15",LEFT(TH!O6995,2)="15"),TK!$E$7=TH!F6995),"x","")</f>
        <v/>
      </c>
      <c r="AD6995" s="79" t="str">
        <f>IF(AND(N6995="1521",MONTH(C6995)='BK-NL'!$M$11),"x","")</f>
        <v/>
      </c>
    </row>
    <row r="6996" spans="1:30" ht="16.5" customHeight="1">
      <c r="A6996" s="318" t="str">
        <f>IF(B6996&lt;&gt;"",IF(AND(B6996='IN-TC'!$S$4,OR(TH!N6996="1111",TH!O6996="1111")),TH!D6996,""),"")</f>
        <v/>
      </c>
      <c r="B6996" s="1163" t="str">
        <f t="shared" si="530"/>
        <v/>
      </c>
      <c r="C6996" s="61"/>
      <c r="D6996" s="61"/>
      <c r="E6996" s="61"/>
      <c r="F6996" s="69"/>
      <c r="G6996" s="766"/>
      <c r="H6996" s="69"/>
      <c r="I6996" s="385"/>
      <c r="J6996" s="392"/>
      <c r="K6996" s="385"/>
      <c r="L6996" s="392"/>
      <c r="M6996" s="62"/>
      <c r="N6996" s="63"/>
      <c r="O6996" s="63"/>
      <c r="P6996" s="79" t="str">
        <f>IF(AND('331-CT'!$E$7=TH!H6996,OR(N6996="331",O6996="331")),"x","")</f>
        <v/>
      </c>
      <c r="Q6996" s="79" t="str">
        <f>IF(AND(B6996='111'!$L$11,OR($N6996=$Q$7,$O6996=$Q$7)),"x","")</f>
        <v/>
      </c>
      <c r="R6996" s="79" t="str">
        <f>IF(AND($N6996=$Q$7,$B6996&lt;'111'!$L$11),"x","")</f>
        <v/>
      </c>
      <c r="S6996" s="79" t="str">
        <f>IF(AND($O6996=$Q$7,$B6996&lt;'111'!$L$11),"x","")</f>
        <v/>
      </c>
      <c r="T6996" s="79" t="str">
        <f>IF(ISERROR(FIND('112'!$M$9,G6996,1)),"",IF((AND(FIND('112'!$M$9,G6996,1)&gt;=1,B6996='112'!$K$9,OR($N6996='112'!$I$6,$O6996='112'!$I$6))),"x",""))</f>
        <v/>
      </c>
      <c r="U6996" s="79" t="str">
        <f>IF(ISERROR(FIND('112'!$M$9,G6996,1)),"",IF((AND(LEFT(G6996,2)=LEFT('112'!$M$9,2),B6996&lt;'112'!$K$9,$N6996='112'!$I$6)),"x",""))</f>
        <v/>
      </c>
      <c r="V6996" s="79" t="str">
        <f>IF(ISERROR(FIND('112'!$M$9,G6996,1)),"",IF((AND(RIGHT(G6996,2)=RIGHT('112'!$M$9,2),B6996&lt;'112'!$K$9,$O6996='112'!$I$6)),"x",""))</f>
        <v/>
      </c>
      <c r="W6996" s="79" t="str">
        <f>IF(AND('341-CT'!$H$9=H6996,OR(LEFT(N6996,3)=$W$7,LEFT(O6996,3)=$W$7)),"x","")</f>
        <v/>
      </c>
      <c r="X6996" s="79" t="str">
        <f>IF(OR(TH!N6996=TH!$X$7,O6996=TH!$X$7),"x","")</f>
        <v/>
      </c>
      <c r="Y6996" s="79" t="str">
        <f>IF(AND(OR(N6996="131",O6996="131"),H6996='131-CT'!$H$9),"x","")</f>
        <v/>
      </c>
      <c r="Z6996" s="79"/>
      <c r="AA6996" s="79" t="str">
        <f>IF(AND(MONTH(E6996)='IN-NX'!$J$5,'IN-NX'!$D$7=D6996),"x","")</f>
        <v/>
      </c>
      <c r="AB6996" s="79" t="str">
        <f>IF(AND(OR(LEFT(TH!N6996,2)="15",LEFT(TH!O6996,2)="15"),LEFT(TH!O6996,3)&lt;&gt;"111",'152-CT'!$J$8=TH!F6996),"x","")</f>
        <v/>
      </c>
      <c r="AC6996" s="79" t="str">
        <f>IF(AND(OR(LEFT(TH!N6996,2)="15",LEFT(TH!O6996,2)="15"),TK!$E$7=TH!F6996),"x","")</f>
        <v/>
      </c>
      <c r="AD6996" s="79" t="str">
        <f>IF(AND(N6996="1521",MONTH(C6996)='BK-NL'!$M$11),"x","")</f>
        <v/>
      </c>
    </row>
    <row r="6997" spans="1:30" ht="16.5" customHeight="1">
      <c r="A6997" s="318" t="str">
        <f>IF(B6997&lt;&gt;"",IF(AND(B6997='IN-TC'!$S$4,OR(TH!N6997="1111",TH!O6997="1111")),TH!D6997,""),"")</f>
        <v/>
      </c>
      <c r="B6997" s="1163" t="str">
        <f t="shared" si="530"/>
        <v/>
      </c>
      <c r="C6997" s="61"/>
      <c r="D6997" s="61"/>
      <c r="E6997" s="61"/>
      <c r="F6997" s="69"/>
      <c r="G6997" s="766"/>
      <c r="H6997" s="69"/>
      <c r="I6997" s="385"/>
      <c r="J6997" s="392"/>
      <c r="K6997" s="385"/>
      <c r="L6997" s="392"/>
      <c r="M6997" s="62"/>
      <c r="N6997" s="63"/>
      <c r="O6997" s="63"/>
      <c r="P6997" s="79" t="str">
        <f>IF(AND('331-CT'!$E$7=TH!H6997,OR(N6997="331",O6997="331")),"x","")</f>
        <v/>
      </c>
      <c r="Q6997" s="79" t="str">
        <f>IF(AND(B6997='111'!$L$11,OR($N6997=$Q$7,$O6997=$Q$7)),"x","")</f>
        <v/>
      </c>
      <c r="R6997" s="79" t="str">
        <f>IF(AND($N6997=$Q$7,$B6997&lt;'111'!$L$11),"x","")</f>
        <v/>
      </c>
      <c r="S6997" s="79" t="str">
        <f>IF(AND($O6997=$Q$7,$B6997&lt;'111'!$L$11),"x","")</f>
        <v/>
      </c>
      <c r="T6997" s="79" t="str">
        <f>IF(ISERROR(FIND('112'!$M$9,G6997,1)),"",IF((AND(FIND('112'!$M$9,G6997,1)&gt;=1,B6997='112'!$K$9,OR($N6997='112'!$I$6,$O6997='112'!$I$6))),"x",""))</f>
        <v/>
      </c>
      <c r="U6997" s="79" t="str">
        <f>IF(ISERROR(FIND('112'!$M$9,G6997,1)),"",IF((AND(LEFT(G6997,2)=LEFT('112'!$M$9,2),B6997&lt;'112'!$K$9,$N6997='112'!$I$6)),"x",""))</f>
        <v/>
      </c>
      <c r="V6997" s="79" t="str">
        <f>IF(ISERROR(FIND('112'!$M$9,G6997,1)),"",IF((AND(RIGHT(G6997,2)=RIGHT('112'!$M$9,2),B6997&lt;'112'!$K$9,$O6997='112'!$I$6)),"x",""))</f>
        <v/>
      </c>
      <c r="W6997" s="79" t="str">
        <f>IF(AND('341-CT'!$H$9=H6997,OR(LEFT(N6997,3)=$W$7,LEFT(O6997,3)=$W$7)),"x","")</f>
        <v/>
      </c>
      <c r="X6997" s="79" t="str">
        <f>IF(OR(TH!N6997=TH!$X$7,O6997=TH!$X$7),"x","")</f>
        <v/>
      </c>
      <c r="Y6997" s="79" t="str">
        <f>IF(AND(OR(N6997="131",O6997="131"),H6997='131-CT'!$H$9),"x","")</f>
        <v/>
      </c>
      <c r="Z6997" s="79"/>
      <c r="AA6997" s="79" t="str">
        <f>IF(AND(MONTH(E6997)='IN-NX'!$J$5,'IN-NX'!$D$7=D6997),"x","")</f>
        <v/>
      </c>
      <c r="AB6997" s="79" t="str">
        <f>IF(AND(OR(LEFT(TH!N6997,2)="15",LEFT(TH!O6997,2)="15"),LEFT(TH!O6997,3)&lt;&gt;"111",'152-CT'!$J$8=TH!F6997),"x","")</f>
        <v/>
      </c>
      <c r="AC6997" s="79" t="str">
        <f>IF(AND(OR(LEFT(TH!N6997,2)="15",LEFT(TH!O6997,2)="15"),TK!$E$7=TH!F6997),"x","")</f>
        <v/>
      </c>
      <c r="AD6997" s="79" t="str">
        <f>IF(AND(N6997="1521",MONTH(C6997)='BK-NL'!$M$11),"x","")</f>
        <v/>
      </c>
    </row>
    <row r="6998" spans="1:30" ht="16.5" customHeight="1">
      <c r="A6998" s="318" t="str">
        <f>IF(B6998&lt;&gt;"",IF(AND(B6998='IN-TC'!$S$4,OR(TH!N6998="1111",TH!O6998="1111")),TH!D6998,""),"")</f>
        <v/>
      </c>
      <c r="B6998" s="1163" t="str">
        <f t="shared" si="530"/>
        <v/>
      </c>
      <c r="C6998" s="61"/>
      <c r="D6998" s="61"/>
      <c r="E6998" s="61"/>
      <c r="F6998" s="69"/>
      <c r="G6998" s="766"/>
      <c r="H6998" s="69"/>
      <c r="I6998" s="385"/>
      <c r="J6998" s="392"/>
      <c r="K6998" s="385"/>
      <c r="L6998" s="392"/>
      <c r="M6998" s="62"/>
      <c r="N6998" s="63"/>
      <c r="O6998" s="63"/>
      <c r="P6998" s="79" t="str">
        <f>IF(AND('331-CT'!$E$7=TH!H6998,OR(N6998="331",O6998="331")),"x","")</f>
        <v/>
      </c>
      <c r="Q6998" s="79" t="str">
        <f>IF(AND(B6998='111'!$L$11,OR($N6998=$Q$7,$O6998=$Q$7)),"x","")</f>
        <v/>
      </c>
      <c r="R6998" s="79" t="str">
        <f>IF(AND($N6998=$Q$7,$B6998&lt;'111'!$L$11),"x","")</f>
        <v/>
      </c>
      <c r="S6998" s="79" t="str">
        <f>IF(AND($O6998=$Q$7,$B6998&lt;'111'!$L$11),"x","")</f>
        <v/>
      </c>
      <c r="T6998" s="79" t="str">
        <f>IF(ISERROR(FIND('112'!$M$9,G6998,1)),"",IF((AND(FIND('112'!$M$9,G6998,1)&gt;=1,B6998='112'!$K$9,OR($N6998='112'!$I$6,$O6998='112'!$I$6))),"x",""))</f>
        <v/>
      </c>
      <c r="U6998" s="79" t="str">
        <f>IF(ISERROR(FIND('112'!$M$9,G6998,1)),"",IF((AND(LEFT(G6998,2)=LEFT('112'!$M$9,2),B6998&lt;'112'!$K$9,$N6998='112'!$I$6)),"x",""))</f>
        <v/>
      </c>
      <c r="V6998" s="79" t="str">
        <f>IF(ISERROR(FIND('112'!$M$9,G6998,1)),"",IF((AND(RIGHT(G6998,2)=RIGHT('112'!$M$9,2),B6998&lt;'112'!$K$9,$O6998='112'!$I$6)),"x",""))</f>
        <v/>
      </c>
      <c r="W6998" s="79" t="str">
        <f>IF(AND('341-CT'!$H$9=H6998,OR(LEFT(N6998,3)=$W$7,LEFT(O6998,3)=$W$7)),"x","")</f>
        <v/>
      </c>
      <c r="X6998" s="79" t="str">
        <f>IF(OR(TH!N6998=TH!$X$7,O6998=TH!$X$7),"x","")</f>
        <v/>
      </c>
      <c r="Y6998" s="79" t="str">
        <f>IF(AND(OR(N6998="131",O6998="131"),H6998='131-CT'!$H$9),"x","")</f>
        <v/>
      </c>
      <c r="Z6998" s="79"/>
      <c r="AA6998" s="79" t="str">
        <f>IF(AND(MONTH(E6998)='IN-NX'!$J$5,'IN-NX'!$D$7=D6998),"x","")</f>
        <v/>
      </c>
      <c r="AB6998" s="79" t="str">
        <f>IF(AND(OR(LEFT(TH!N6998,2)="15",LEFT(TH!O6998,2)="15"),LEFT(TH!O6998,3)&lt;&gt;"111",'152-CT'!$J$8=TH!F6998),"x","")</f>
        <v/>
      </c>
      <c r="AC6998" s="79" t="str">
        <f>IF(AND(OR(LEFT(TH!N6998,2)="15",LEFT(TH!O6998,2)="15"),TK!$E$7=TH!F6998),"x","")</f>
        <v/>
      </c>
      <c r="AD6998" s="79" t="str">
        <f>IF(AND(N6998="1521",MONTH(C6998)='BK-NL'!$M$11),"x","")</f>
        <v/>
      </c>
    </row>
    <row r="6999" spans="1:30" ht="16.5" customHeight="1">
      <c r="A6999" s="318" t="str">
        <f>IF(B6999&lt;&gt;"",IF(AND(B6999='IN-TC'!$S$4,OR(TH!N6999="1111",TH!O6999="1111")),TH!D6999,""),"")</f>
        <v/>
      </c>
      <c r="B6999" s="1163" t="str">
        <f t="shared" si="530"/>
        <v/>
      </c>
      <c r="C6999" s="61"/>
      <c r="D6999" s="61"/>
      <c r="E6999" s="61"/>
      <c r="F6999" s="69"/>
      <c r="G6999" s="766"/>
      <c r="H6999" s="69"/>
      <c r="I6999" s="385"/>
      <c r="J6999" s="392"/>
      <c r="K6999" s="385"/>
      <c r="L6999" s="392"/>
      <c r="M6999" s="62"/>
      <c r="N6999" s="63"/>
      <c r="O6999" s="63"/>
      <c r="P6999" s="79" t="str">
        <f>IF(AND('331-CT'!$E$7=TH!H6999,OR(N6999="331",O6999="331")),"x","")</f>
        <v/>
      </c>
      <c r="Q6999" s="79" t="str">
        <f>IF(AND(B6999='111'!$L$11,OR($N6999=$Q$7,$O6999=$Q$7)),"x","")</f>
        <v/>
      </c>
      <c r="R6999" s="79" t="str">
        <f>IF(AND($N6999=$Q$7,$B6999&lt;'111'!$L$11),"x","")</f>
        <v/>
      </c>
      <c r="S6999" s="79" t="str">
        <f>IF(AND($O6999=$Q$7,$B6999&lt;'111'!$L$11),"x","")</f>
        <v/>
      </c>
      <c r="T6999" s="79" t="str">
        <f>IF(ISERROR(FIND('112'!$M$9,G6999,1)),"",IF((AND(FIND('112'!$M$9,G6999,1)&gt;=1,B6999='112'!$K$9,OR($N6999='112'!$I$6,$O6999='112'!$I$6))),"x",""))</f>
        <v/>
      </c>
      <c r="U6999" s="79" t="str">
        <f>IF(ISERROR(FIND('112'!$M$9,G6999,1)),"",IF((AND(LEFT(G6999,2)=LEFT('112'!$M$9,2),B6999&lt;'112'!$K$9,$N6999='112'!$I$6)),"x",""))</f>
        <v/>
      </c>
      <c r="V6999" s="79" t="str">
        <f>IF(ISERROR(FIND('112'!$M$9,G6999,1)),"",IF((AND(RIGHT(G6999,2)=RIGHT('112'!$M$9,2),B6999&lt;'112'!$K$9,$O6999='112'!$I$6)),"x",""))</f>
        <v/>
      </c>
      <c r="W6999" s="79" t="str">
        <f>IF(AND('341-CT'!$H$9=H6999,OR(LEFT(N6999,3)=$W$7,LEFT(O6999,3)=$W$7)),"x","")</f>
        <v/>
      </c>
      <c r="X6999" s="79" t="str">
        <f>IF(OR(TH!N6999=TH!$X$7,O6999=TH!$X$7),"x","")</f>
        <v/>
      </c>
      <c r="Y6999" s="79" t="str">
        <f>IF(AND(OR(N6999="131",O6999="131"),H6999='131-CT'!$H$9),"x","")</f>
        <v/>
      </c>
      <c r="Z6999" s="79"/>
      <c r="AA6999" s="79" t="str">
        <f>IF(AND(MONTH(E6999)='IN-NX'!$J$5,'IN-NX'!$D$7=D6999),"x","")</f>
        <v/>
      </c>
      <c r="AB6999" s="79" t="str">
        <f>IF(AND(OR(LEFT(TH!N6999,2)="15",LEFT(TH!O6999,2)="15"),LEFT(TH!O6999,3)&lt;&gt;"111",'152-CT'!$J$8=TH!F6999),"x","")</f>
        <v/>
      </c>
      <c r="AC6999" s="79" t="str">
        <f>IF(AND(OR(LEFT(TH!N6999,2)="15",LEFT(TH!O6999,2)="15"),TK!$E$7=TH!F6999),"x","")</f>
        <v/>
      </c>
      <c r="AD6999" s="79" t="str">
        <f>IF(AND(N6999="1521",MONTH(C6999)='BK-NL'!$M$11),"x","")</f>
        <v/>
      </c>
    </row>
    <row r="7000" spans="1:30" ht="16.5" customHeight="1">
      <c r="A7000" s="318" t="str">
        <f>IF(B7000&lt;&gt;"",IF(AND(B7000='IN-TC'!$S$4,OR(TH!N7000="1111",TH!O7000="1111")),TH!D7000,""),"")</f>
        <v/>
      </c>
      <c r="B7000" s="1163" t="str">
        <f t="shared" si="530"/>
        <v/>
      </c>
      <c r="C7000" s="61"/>
      <c r="D7000" s="61"/>
      <c r="E7000" s="61"/>
      <c r="F7000" s="69"/>
      <c r="G7000" s="766"/>
      <c r="H7000" s="69"/>
      <c r="I7000" s="385"/>
      <c r="J7000" s="392"/>
      <c r="K7000" s="385"/>
      <c r="L7000" s="392"/>
      <c r="M7000" s="62"/>
      <c r="N7000" s="63"/>
      <c r="O7000" s="63"/>
      <c r="P7000" s="79" t="str">
        <f>IF(AND('331-CT'!$E$7=TH!H7000,OR(N7000="331",O7000="331")),"x","")</f>
        <v/>
      </c>
      <c r="Q7000" s="79" t="str">
        <f>IF(AND(B7000='111'!$L$11,OR($N7000=$Q$7,$O7000=$Q$7)),"x","")</f>
        <v/>
      </c>
      <c r="R7000" s="79" t="str">
        <f>IF(AND($N7000=$Q$7,$B7000&lt;'111'!$L$11),"x","")</f>
        <v/>
      </c>
      <c r="S7000" s="79" t="str">
        <f>IF(AND($O7000=$Q$7,$B7000&lt;'111'!$L$11),"x","")</f>
        <v/>
      </c>
      <c r="T7000" s="79" t="str">
        <f>IF(ISERROR(FIND('112'!$M$9,G7000,1)),"",IF((AND(FIND('112'!$M$9,G7000,1)&gt;=1,B7000='112'!$K$9,OR($N7000='112'!$I$6,$O7000='112'!$I$6))),"x",""))</f>
        <v/>
      </c>
      <c r="U7000" s="79" t="str">
        <f>IF(ISERROR(FIND('112'!$M$9,G7000,1)),"",IF((AND(LEFT(G7000,2)=LEFT('112'!$M$9,2),B7000&lt;'112'!$K$9,$N7000='112'!$I$6)),"x",""))</f>
        <v/>
      </c>
      <c r="V7000" s="79" t="str">
        <f>IF(ISERROR(FIND('112'!$M$9,G7000,1)),"",IF((AND(RIGHT(G7000,2)=RIGHT('112'!$M$9,2),B7000&lt;'112'!$K$9,$O7000='112'!$I$6)),"x",""))</f>
        <v/>
      </c>
      <c r="W7000" s="79" t="str">
        <f>IF(AND('341-CT'!$H$9=H7000,OR(LEFT(N7000,3)=$W$7,LEFT(O7000,3)=$W$7)),"x","")</f>
        <v/>
      </c>
      <c r="X7000" s="79" t="str">
        <f>IF(OR(TH!N7000=TH!$X$7,O7000=TH!$X$7),"x","")</f>
        <v/>
      </c>
      <c r="Y7000" s="79" t="str">
        <f>IF(AND(OR(N7000="131",O7000="131"),H7000='131-CT'!$H$9),"x","")</f>
        <v/>
      </c>
      <c r="Z7000" s="79"/>
      <c r="AA7000" s="79" t="str">
        <f>IF(AND(MONTH(E7000)='IN-NX'!$J$5,'IN-NX'!$D$7=D7000),"x","")</f>
        <v/>
      </c>
      <c r="AB7000" s="79" t="str">
        <f>IF(AND(OR(LEFT(TH!N7000,2)="15",LEFT(TH!O7000,2)="15"),LEFT(TH!O7000,3)&lt;&gt;"111",'152-CT'!$J$8=TH!F7000),"x","")</f>
        <v/>
      </c>
      <c r="AC7000" s="79" t="str">
        <f>IF(AND(OR(LEFT(TH!N7000,2)="15",LEFT(TH!O7000,2)="15"),TK!$E$7=TH!F7000),"x","")</f>
        <v/>
      </c>
      <c r="AD7000" s="79" t="str">
        <f>IF(AND(N7000="1521",MONTH(C7000)='BK-NL'!$M$11),"x","")</f>
        <v/>
      </c>
    </row>
    <row r="7001" spans="1:30" ht="16.5" customHeight="1">
      <c r="A7001" s="318" t="str">
        <f>IF(B7001&lt;&gt;"",IF(AND(B7001='IN-TC'!$S$4,OR(TH!N7001="1111",TH!O7001="1111")),TH!D7001,""),"")</f>
        <v/>
      </c>
      <c r="B7001" s="1163" t="str">
        <f t="shared" si="530"/>
        <v/>
      </c>
      <c r="C7001" s="61"/>
      <c r="D7001" s="61"/>
      <c r="E7001" s="61"/>
      <c r="F7001" s="69"/>
      <c r="G7001" s="766"/>
      <c r="H7001" s="69"/>
      <c r="I7001" s="385"/>
      <c r="J7001" s="392"/>
      <c r="K7001" s="385"/>
      <c r="L7001" s="392"/>
      <c r="M7001" s="62"/>
      <c r="N7001" s="63"/>
      <c r="O7001" s="63"/>
      <c r="P7001" s="79" t="str">
        <f>IF(AND('331-CT'!$E$7=TH!H7001,OR(N7001="331",O7001="331")),"x","")</f>
        <v/>
      </c>
      <c r="Q7001" s="79" t="str">
        <f>IF(AND(B7001='111'!$L$11,OR($N7001=$Q$7,$O7001=$Q$7)),"x","")</f>
        <v/>
      </c>
      <c r="R7001" s="79" t="str">
        <f>IF(AND($N7001=$Q$7,$B7001&lt;'111'!$L$11),"x","")</f>
        <v/>
      </c>
      <c r="S7001" s="79" t="str">
        <f>IF(AND($O7001=$Q$7,$B7001&lt;'111'!$L$11),"x","")</f>
        <v/>
      </c>
      <c r="T7001" s="79" t="str">
        <f>IF(ISERROR(FIND('112'!$M$9,G7001,1)),"",IF((AND(FIND('112'!$M$9,G7001,1)&gt;=1,B7001='112'!$K$9,OR($N7001='112'!$I$6,$O7001='112'!$I$6))),"x",""))</f>
        <v/>
      </c>
      <c r="U7001" s="79" t="str">
        <f>IF(ISERROR(FIND('112'!$M$9,G7001,1)),"",IF((AND(LEFT(G7001,2)=LEFT('112'!$M$9,2),B7001&lt;'112'!$K$9,$N7001='112'!$I$6)),"x",""))</f>
        <v/>
      </c>
      <c r="V7001" s="79" t="str">
        <f>IF(ISERROR(FIND('112'!$M$9,G7001,1)),"",IF((AND(RIGHT(G7001,2)=RIGHT('112'!$M$9,2),B7001&lt;'112'!$K$9,$O7001='112'!$I$6)),"x",""))</f>
        <v/>
      </c>
      <c r="W7001" s="79" t="str">
        <f>IF(AND('341-CT'!$H$9=H7001,OR(LEFT(N7001,3)=$W$7,LEFT(O7001,3)=$W$7)),"x","")</f>
        <v/>
      </c>
      <c r="X7001" s="79" t="str">
        <f>IF(OR(TH!N7001=TH!$X$7,O7001=TH!$X$7),"x","")</f>
        <v/>
      </c>
      <c r="Y7001" s="79" t="str">
        <f>IF(AND(OR(N7001="131",O7001="131"),H7001='131-CT'!$H$9),"x","")</f>
        <v/>
      </c>
      <c r="Z7001" s="79"/>
      <c r="AA7001" s="79" t="str">
        <f>IF(AND(MONTH(E7001)='IN-NX'!$J$5,'IN-NX'!$D$7=D7001),"x","")</f>
        <v/>
      </c>
      <c r="AB7001" s="79" t="str">
        <f>IF(AND(OR(LEFT(TH!N7001,2)="15",LEFT(TH!O7001,2)="15"),LEFT(TH!O7001,3)&lt;&gt;"111",'152-CT'!$J$8=TH!F7001),"x","")</f>
        <v/>
      </c>
      <c r="AC7001" s="79" t="str">
        <f>IF(AND(OR(LEFT(TH!N7001,2)="15",LEFT(TH!O7001,2)="15"),TK!$E$7=TH!F7001),"x","")</f>
        <v/>
      </c>
      <c r="AD7001" s="79" t="str">
        <f>IF(AND(N7001="1521",MONTH(C7001)='BK-NL'!$M$11),"x","")</f>
        <v/>
      </c>
    </row>
    <row r="7002" spans="1:30" ht="16.5" customHeight="1">
      <c r="A7002" s="318" t="str">
        <f>IF(B7002&lt;&gt;"",IF(AND(B7002='IN-TC'!$S$4,OR(TH!N7002="1111",TH!O7002="1111")),TH!D7002,""),"")</f>
        <v/>
      </c>
      <c r="B7002" s="1163" t="str">
        <f t="shared" si="530"/>
        <v/>
      </c>
      <c r="C7002" s="61"/>
      <c r="D7002" s="61"/>
      <c r="E7002" s="61"/>
      <c r="F7002" s="69"/>
      <c r="G7002" s="64"/>
      <c r="H7002" s="69"/>
      <c r="I7002" s="385"/>
      <c r="J7002" s="392"/>
      <c r="K7002" s="385"/>
      <c r="L7002" s="392"/>
      <c r="M7002" s="62"/>
      <c r="N7002" s="63"/>
      <c r="O7002" s="63"/>
      <c r="P7002" s="79" t="str">
        <f>IF(AND('331-CT'!$E$7=TH!H7002,OR(N7002="331",O7002="331")),"x","")</f>
        <v/>
      </c>
      <c r="Q7002" s="79" t="str">
        <f>IF(AND(B7002='111'!$L$11,OR($N7002=$Q$7,$O7002=$Q$7)),"x","")</f>
        <v/>
      </c>
      <c r="R7002" s="79" t="str">
        <f>IF(AND($N7002=$Q$7,$B7002&lt;'111'!$L$11),"x","")</f>
        <v/>
      </c>
      <c r="S7002" s="79" t="str">
        <f>IF(AND($O7002=$Q$7,$B7002&lt;'111'!$L$11),"x","")</f>
        <v/>
      </c>
      <c r="T7002" s="79" t="str">
        <f>IF(ISERROR(FIND('112'!$M$9,G7002,1)),"",IF((AND(FIND('112'!$M$9,G7002,1)&gt;=1,B7002='112'!$K$9,OR($N7002='112'!$I$6,$O7002='112'!$I$6))),"x",""))</f>
        <v/>
      </c>
      <c r="U7002" s="79" t="str">
        <f>IF(ISERROR(FIND('112'!$M$9,G7002,1)),"",IF((AND(LEFT(G7002,2)=LEFT('112'!$M$9,2),B7002&lt;'112'!$K$9,$N7002='112'!$I$6)),"x",""))</f>
        <v/>
      </c>
      <c r="V7002" s="79" t="str">
        <f>IF(ISERROR(FIND('112'!$M$9,G7002,1)),"",IF((AND(RIGHT(G7002,2)=RIGHT('112'!$M$9,2),B7002&lt;'112'!$K$9,$O7002='112'!$I$6)),"x",""))</f>
        <v/>
      </c>
      <c r="W7002" s="79" t="str">
        <f>IF(AND('341-CT'!$H$9=H7002,OR(LEFT(N7002,3)=$W$7,LEFT(O7002,3)=$W$7)),"x","")</f>
        <v/>
      </c>
      <c r="X7002" s="79" t="str">
        <f>IF(OR(TH!N7002=TH!$X$7,O7002=TH!$X$7),"x","")</f>
        <v/>
      </c>
      <c r="Y7002" s="79" t="str">
        <f>IF(AND(OR(N7002="131",O7002="131"),H7002='131-CT'!$H$9),"x","")</f>
        <v/>
      </c>
      <c r="Z7002" s="79"/>
      <c r="AA7002" s="79" t="str">
        <f>IF(AND(MONTH(E7002)='IN-NX'!$J$5,'IN-NX'!$D$7=D7002),"x","")</f>
        <v/>
      </c>
      <c r="AB7002" s="79" t="str">
        <f>IF(AND(OR(LEFT(TH!N7002,2)="15",LEFT(TH!O7002,2)="15"),LEFT(TH!O7002,3)&lt;&gt;"111",'152-CT'!$J$8=TH!F7002),"x","")</f>
        <v/>
      </c>
      <c r="AC7002" s="79" t="str">
        <f>IF(AND(OR(LEFT(TH!N7002,2)="15",LEFT(TH!O7002,2)="15"),TK!$E$7=TH!F7002),"x","")</f>
        <v/>
      </c>
      <c r="AD7002" s="79" t="str">
        <f>IF(AND(N7002="1521",MONTH(C7002)='BK-NL'!$M$11),"x","")</f>
        <v/>
      </c>
    </row>
    <row r="7003" spans="1:30" ht="16.5" customHeight="1">
      <c r="A7003" s="318" t="str">
        <f>IF(B7003&lt;&gt;"",IF(AND(B7003='IN-TC'!$S$4,OR(TH!N7003="1111",TH!O7003="1111")),TH!D7003,""),"")</f>
        <v/>
      </c>
      <c r="B7003" s="1163" t="str">
        <f t="shared" si="530"/>
        <v/>
      </c>
      <c r="C7003" s="61"/>
      <c r="D7003" s="61"/>
      <c r="E7003" s="61"/>
      <c r="F7003" s="69"/>
      <c r="G7003" s="64"/>
      <c r="H7003" s="69"/>
      <c r="I7003" s="385"/>
      <c r="J7003" s="392"/>
      <c r="K7003" s="385"/>
      <c r="L7003" s="392"/>
      <c r="M7003" s="62"/>
      <c r="N7003" s="63"/>
      <c r="O7003" s="63"/>
      <c r="P7003" s="79" t="str">
        <f>IF(AND('331-CT'!$E$7=TH!H7003,OR(N7003="331",O7003="331")),"x","")</f>
        <v/>
      </c>
      <c r="Q7003" s="79" t="str">
        <f>IF(AND(B7003='111'!$L$11,OR($N7003=$Q$7,$O7003=$Q$7)),"x","")</f>
        <v/>
      </c>
      <c r="R7003" s="79" t="str">
        <f>IF(AND($N7003=$Q$7,$B7003&lt;'111'!$L$11),"x","")</f>
        <v/>
      </c>
      <c r="S7003" s="79" t="str">
        <f>IF(AND($O7003=$Q$7,$B7003&lt;'111'!$L$11),"x","")</f>
        <v/>
      </c>
      <c r="T7003" s="79" t="str">
        <f>IF(ISERROR(FIND('112'!$M$9,G7003,1)),"",IF((AND(FIND('112'!$M$9,G7003,1)&gt;=1,B7003='112'!$K$9,OR($N7003='112'!$I$6,$O7003='112'!$I$6))),"x",""))</f>
        <v/>
      </c>
      <c r="U7003" s="79" t="str">
        <f>IF(ISERROR(FIND('112'!$M$9,G7003,1)),"",IF((AND(LEFT(G7003,2)=LEFT('112'!$M$9,2),B7003&lt;'112'!$K$9,$N7003='112'!$I$6)),"x",""))</f>
        <v/>
      </c>
      <c r="V7003" s="79" t="str">
        <f>IF(ISERROR(FIND('112'!$M$9,G7003,1)),"",IF((AND(RIGHT(G7003,2)=RIGHT('112'!$M$9,2),B7003&lt;'112'!$K$9,$O7003='112'!$I$6)),"x",""))</f>
        <v/>
      </c>
      <c r="W7003" s="79" t="str">
        <f>IF(AND('341-CT'!$H$9=H7003,OR(LEFT(N7003,3)=$W$7,LEFT(O7003,3)=$W$7)),"x","")</f>
        <v/>
      </c>
      <c r="X7003" s="79" t="str">
        <f>IF(OR(TH!N7003=TH!$X$7,O7003=TH!$X$7),"x","")</f>
        <v/>
      </c>
      <c r="Y7003" s="79" t="str">
        <f>IF(AND(OR(N7003="131",O7003="131"),H7003='131-CT'!$H$9),"x","")</f>
        <v/>
      </c>
      <c r="Z7003" s="79"/>
      <c r="AA7003" s="79" t="str">
        <f>IF(AND(MONTH(E7003)='IN-NX'!$J$5,'IN-NX'!$D$7=D7003),"x","")</f>
        <v/>
      </c>
      <c r="AB7003" s="79" t="str">
        <f>IF(AND(OR(LEFT(TH!N7003,2)="15",LEFT(TH!O7003,2)="15"),LEFT(TH!O7003,3)&lt;&gt;"111",'152-CT'!$J$8=TH!F7003),"x","")</f>
        <v/>
      </c>
      <c r="AC7003" s="79" t="str">
        <f>IF(AND(OR(LEFT(TH!N7003,2)="15",LEFT(TH!O7003,2)="15"),TK!$E$7=TH!F7003),"x","")</f>
        <v/>
      </c>
      <c r="AD7003" s="79" t="str">
        <f>IF(AND(N7003="1521",MONTH(C7003)='BK-NL'!$M$11),"x","")</f>
        <v/>
      </c>
    </row>
    <row r="7004" spans="1:30" ht="16.5" customHeight="1">
      <c r="A7004" s="318" t="str">
        <f>IF(B7004&lt;&gt;"",IF(AND(B7004='IN-TC'!$S$4,OR(TH!N7004="1111",TH!O7004="1111")),TH!D7004,""),"")</f>
        <v/>
      </c>
      <c r="B7004" s="1163" t="str">
        <f t="shared" si="530"/>
        <v/>
      </c>
      <c r="C7004" s="61"/>
      <c r="D7004" s="61"/>
      <c r="E7004" s="61"/>
      <c r="F7004" s="69"/>
      <c r="G7004" s="64"/>
      <c r="H7004" s="69"/>
      <c r="I7004" s="385"/>
      <c r="J7004" s="392"/>
      <c r="K7004" s="385"/>
      <c r="L7004" s="392"/>
      <c r="M7004" s="62"/>
      <c r="N7004" s="63"/>
      <c r="O7004" s="63"/>
      <c r="P7004" s="79" t="str">
        <f>IF(AND('331-CT'!$E$7=TH!H7004,OR(N7004="331",O7004="331")),"x","")</f>
        <v/>
      </c>
      <c r="Q7004" s="79" t="str">
        <f>IF(AND(B7004='111'!$L$11,OR($N7004=$Q$7,$O7004=$Q$7)),"x","")</f>
        <v/>
      </c>
      <c r="R7004" s="79" t="str">
        <f>IF(AND($N7004=$Q$7,$B7004&lt;'111'!$L$11),"x","")</f>
        <v/>
      </c>
      <c r="S7004" s="79" t="str">
        <f>IF(AND($O7004=$Q$7,$B7004&lt;'111'!$L$11),"x","")</f>
        <v/>
      </c>
      <c r="T7004" s="79" t="str">
        <f>IF(ISERROR(FIND('112'!$M$9,G7004,1)),"",IF((AND(FIND('112'!$M$9,G7004,1)&gt;=1,B7004='112'!$K$9,OR($N7004='112'!$I$6,$O7004='112'!$I$6))),"x",""))</f>
        <v/>
      </c>
      <c r="U7004" s="79" t="str">
        <f>IF(ISERROR(FIND('112'!$M$9,G7004,1)),"",IF((AND(LEFT(G7004,2)=LEFT('112'!$M$9,2),B7004&lt;'112'!$K$9,$N7004='112'!$I$6)),"x",""))</f>
        <v/>
      </c>
      <c r="V7004" s="79" t="str">
        <f>IF(ISERROR(FIND('112'!$M$9,G7004,1)),"",IF((AND(RIGHT(G7004,2)=RIGHT('112'!$M$9,2),B7004&lt;'112'!$K$9,$O7004='112'!$I$6)),"x",""))</f>
        <v/>
      </c>
      <c r="W7004" s="79" t="str">
        <f>IF(AND('341-CT'!$H$9=H7004,OR(LEFT(N7004,3)=$W$7,LEFT(O7004,3)=$W$7)),"x","")</f>
        <v/>
      </c>
      <c r="X7004" s="79" t="str">
        <f>IF(OR(TH!N7004=TH!$X$7,O7004=TH!$X$7),"x","")</f>
        <v/>
      </c>
      <c r="Y7004" s="79" t="str">
        <f>IF(AND(OR(N7004="131",O7004="131"),H7004='131-CT'!$H$9),"x","")</f>
        <v/>
      </c>
      <c r="Z7004" s="79"/>
      <c r="AA7004" s="79" t="str">
        <f>IF(AND(MONTH(E7004)='IN-NX'!$J$5,'IN-NX'!$D$7=D7004),"x","")</f>
        <v/>
      </c>
      <c r="AB7004" s="79" t="str">
        <f>IF(AND(OR(LEFT(TH!N7004,2)="15",LEFT(TH!O7004,2)="15"),LEFT(TH!O7004,3)&lt;&gt;"111",'152-CT'!$J$8=TH!F7004),"x","")</f>
        <v/>
      </c>
      <c r="AC7004" s="79" t="str">
        <f>IF(AND(OR(LEFT(TH!N7004,2)="15",LEFT(TH!O7004,2)="15"),TK!$E$7=TH!F7004),"x","")</f>
        <v/>
      </c>
      <c r="AD7004" s="79" t="str">
        <f>IF(AND(N7004="1521",MONTH(C7004)='BK-NL'!$M$11),"x","")</f>
        <v/>
      </c>
    </row>
    <row r="7005" spans="1:30" ht="16.5" customHeight="1">
      <c r="A7005" s="318" t="str">
        <f>IF(B7005&lt;&gt;"",IF(AND(B7005='IN-TC'!$S$4,OR(TH!N7005="1111",TH!O7005="1111")),TH!D7005,""),"")</f>
        <v/>
      </c>
      <c r="B7005" s="1163" t="str">
        <f t="shared" si="530"/>
        <v/>
      </c>
      <c r="C7005" s="61"/>
      <c r="D7005" s="61"/>
      <c r="E7005" s="61"/>
      <c r="F7005" s="69"/>
      <c r="G7005" s="64"/>
      <c r="H7005" s="69"/>
      <c r="I7005" s="385"/>
      <c r="J7005" s="392"/>
      <c r="K7005" s="385"/>
      <c r="L7005" s="392"/>
      <c r="M7005" s="62"/>
      <c r="N7005" s="63"/>
      <c r="O7005" s="63"/>
      <c r="P7005" s="79" t="str">
        <f>IF(AND('331-CT'!$E$7=TH!H7005,OR(N7005="331",O7005="331")),"x","")</f>
        <v/>
      </c>
      <c r="Q7005" s="79" t="str">
        <f>IF(AND(B7005='111'!$L$11,OR($N7005=$Q$7,$O7005=$Q$7)),"x","")</f>
        <v/>
      </c>
      <c r="R7005" s="79" t="str">
        <f>IF(AND($N7005=$Q$7,$B7005&lt;'111'!$L$11),"x","")</f>
        <v/>
      </c>
      <c r="S7005" s="79" t="str">
        <f>IF(AND($O7005=$Q$7,$B7005&lt;'111'!$L$11),"x","")</f>
        <v/>
      </c>
      <c r="T7005" s="79" t="str">
        <f>IF(ISERROR(FIND('112'!$M$9,G7005,1)),"",IF((AND(FIND('112'!$M$9,G7005,1)&gt;=1,B7005='112'!$K$9,OR($N7005='112'!$I$6,$O7005='112'!$I$6))),"x",""))</f>
        <v/>
      </c>
      <c r="U7005" s="79" t="str">
        <f>IF(ISERROR(FIND('112'!$M$9,G7005,1)),"",IF((AND(LEFT(G7005,2)=LEFT('112'!$M$9,2),B7005&lt;'112'!$K$9,$N7005='112'!$I$6)),"x",""))</f>
        <v/>
      </c>
      <c r="V7005" s="79" t="str">
        <f>IF(ISERROR(FIND('112'!$M$9,G7005,1)),"",IF((AND(RIGHT(G7005,2)=RIGHT('112'!$M$9,2),B7005&lt;'112'!$K$9,$O7005='112'!$I$6)),"x",""))</f>
        <v/>
      </c>
      <c r="W7005" s="79" t="str">
        <f>IF(AND('341-CT'!$H$9=H7005,OR(LEFT(N7005,3)=$W$7,LEFT(O7005,3)=$W$7)),"x","")</f>
        <v/>
      </c>
      <c r="X7005" s="79" t="str">
        <f>IF(OR(TH!N7005=TH!$X$7,O7005=TH!$X$7),"x","")</f>
        <v/>
      </c>
      <c r="Y7005" s="79" t="str">
        <f>IF(AND(OR(N7005="131",O7005="131"),H7005='131-CT'!$H$9),"x","")</f>
        <v/>
      </c>
      <c r="Z7005" s="79"/>
      <c r="AA7005" s="79" t="str">
        <f>IF(AND(MONTH(E7005)='IN-NX'!$J$5,'IN-NX'!$D$7=D7005),"x","")</f>
        <v/>
      </c>
      <c r="AB7005" s="79" t="str">
        <f>IF(AND(OR(LEFT(TH!N7005,2)="15",LEFT(TH!O7005,2)="15"),LEFT(TH!O7005,3)&lt;&gt;"111",'152-CT'!$J$8=TH!F7005),"x","")</f>
        <v/>
      </c>
      <c r="AC7005" s="79" t="str">
        <f>IF(AND(OR(LEFT(TH!N7005,2)="15",LEFT(TH!O7005,2)="15"),TK!$E$7=TH!F7005),"x","")</f>
        <v/>
      </c>
      <c r="AD7005" s="79" t="str">
        <f>IF(AND(N7005="1521",MONTH(C7005)='BK-NL'!$M$11),"x","")</f>
        <v/>
      </c>
    </row>
    <row r="7006" spans="1:30" ht="16.5" customHeight="1">
      <c r="A7006" s="318" t="str">
        <f>IF(B7006&lt;&gt;"",IF(AND(B7006='IN-TC'!$S$4,OR(TH!N7006="1111",TH!O7006="1111")),TH!D7006,""),"")</f>
        <v/>
      </c>
      <c r="B7006" s="1163" t="str">
        <f t="shared" si="530"/>
        <v/>
      </c>
      <c r="C7006" s="61"/>
      <c r="D7006" s="61"/>
      <c r="E7006" s="61"/>
      <c r="F7006" s="69"/>
      <c r="G7006" s="64"/>
      <c r="H7006" s="69"/>
      <c r="I7006" s="385"/>
      <c r="J7006" s="392"/>
      <c r="K7006" s="385"/>
      <c r="L7006" s="392"/>
      <c r="M7006" s="62"/>
      <c r="N7006" s="63"/>
      <c r="O7006" s="63"/>
      <c r="P7006" s="79" t="str">
        <f>IF(AND('331-CT'!$E$7=TH!H7006,OR(N7006="331",O7006="331")),"x","")</f>
        <v/>
      </c>
      <c r="Q7006" s="79" t="str">
        <f>IF(AND(B7006='111'!$L$11,OR($N7006=$Q$7,$O7006=$Q$7)),"x","")</f>
        <v/>
      </c>
      <c r="R7006" s="79" t="str">
        <f>IF(AND($N7006=$Q$7,$B7006&lt;'111'!$L$11),"x","")</f>
        <v/>
      </c>
      <c r="S7006" s="79" t="str">
        <f>IF(AND($O7006=$Q$7,$B7006&lt;'111'!$L$11),"x","")</f>
        <v/>
      </c>
      <c r="T7006" s="79" t="str">
        <f>IF(ISERROR(FIND('112'!$M$9,G7006,1)),"",IF((AND(FIND('112'!$M$9,G7006,1)&gt;=1,B7006='112'!$K$9,OR($N7006='112'!$I$6,$O7006='112'!$I$6))),"x",""))</f>
        <v/>
      </c>
      <c r="U7006" s="79" t="str">
        <f>IF(ISERROR(FIND('112'!$M$9,G7006,1)),"",IF((AND(LEFT(G7006,2)=LEFT('112'!$M$9,2),B7006&lt;'112'!$K$9,$N7006='112'!$I$6)),"x",""))</f>
        <v/>
      </c>
      <c r="V7006" s="79" t="str">
        <f>IF(ISERROR(FIND('112'!$M$9,G7006,1)),"",IF((AND(RIGHT(G7006,2)=RIGHT('112'!$M$9,2),B7006&lt;'112'!$K$9,$O7006='112'!$I$6)),"x",""))</f>
        <v/>
      </c>
      <c r="W7006" s="79" t="str">
        <f>IF(AND('341-CT'!$H$9=H7006,OR(LEFT(N7006,3)=$W$7,LEFT(O7006,3)=$W$7)),"x","")</f>
        <v/>
      </c>
      <c r="X7006" s="79" t="str">
        <f>IF(OR(TH!N7006=TH!$X$7,O7006=TH!$X$7),"x","")</f>
        <v/>
      </c>
      <c r="Y7006" s="79" t="str">
        <f>IF(AND(OR(N7006="131",O7006="131"),H7006='131-CT'!$H$9),"x","")</f>
        <v/>
      </c>
      <c r="Z7006" s="79"/>
      <c r="AA7006" s="79" t="str">
        <f>IF(AND(MONTH(E7006)='IN-NX'!$J$5,'IN-NX'!$D$7=D7006),"x","")</f>
        <v/>
      </c>
      <c r="AB7006" s="79" t="str">
        <f>IF(AND(OR(LEFT(TH!N7006,2)="15",LEFT(TH!O7006,2)="15"),LEFT(TH!O7006,3)&lt;&gt;"111",'152-CT'!$J$8=TH!F7006),"x","")</f>
        <v/>
      </c>
      <c r="AC7006" s="79" t="str">
        <f>IF(AND(OR(LEFT(TH!N7006,2)="15",LEFT(TH!O7006,2)="15"),TK!$E$7=TH!F7006),"x","")</f>
        <v/>
      </c>
      <c r="AD7006" s="79" t="str">
        <f>IF(AND(N7006="1521",MONTH(C7006)='BK-NL'!$M$11),"x","")</f>
        <v/>
      </c>
    </row>
    <row r="7007" spans="1:30" ht="16.5" customHeight="1">
      <c r="A7007" s="318" t="str">
        <f>IF(B7007&lt;&gt;"",IF(AND(B7007='IN-TC'!$S$4,OR(TH!N7007="1111",TH!O7007="1111")),TH!D7007,""),"")</f>
        <v/>
      </c>
      <c r="B7007" s="1163" t="str">
        <f t="shared" si="530"/>
        <v/>
      </c>
      <c r="C7007" s="61"/>
      <c r="D7007" s="61"/>
      <c r="E7007" s="61"/>
      <c r="F7007" s="69"/>
      <c r="G7007" s="64"/>
      <c r="H7007" s="69"/>
      <c r="I7007" s="385"/>
      <c r="J7007" s="392"/>
      <c r="K7007" s="385"/>
      <c r="L7007" s="392"/>
      <c r="M7007" s="62"/>
      <c r="N7007" s="63"/>
      <c r="O7007" s="63"/>
      <c r="P7007" s="79" t="str">
        <f>IF(AND('331-CT'!$E$7=TH!H7007,OR(N7007="331",O7007="331")),"x","")</f>
        <v/>
      </c>
      <c r="Q7007" s="79" t="str">
        <f>IF(AND(B7007='111'!$L$11,OR($N7007=$Q$7,$O7007=$Q$7)),"x","")</f>
        <v/>
      </c>
      <c r="R7007" s="79" t="str">
        <f>IF(AND($N7007=$Q$7,$B7007&lt;'111'!$L$11),"x","")</f>
        <v/>
      </c>
      <c r="S7007" s="79" t="str">
        <f>IF(AND($O7007=$Q$7,$B7007&lt;'111'!$L$11),"x","")</f>
        <v/>
      </c>
      <c r="T7007" s="79" t="str">
        <f>IF(ISERROR(FIND('112'!$M$9,G7007,1)),"",IF((AND(FIND('112'!$M$9,G7007,1)&gt;=1,B7007='112'!$K$9,OR($N7007='112'!$I$6,$O7007='112'!$I$6))),"x",""))</f>
        <v/>
      </c>
      <c r="U7007" s="79" t="str">
        <f>IF(ISERROR(FIND('112'!$M$9,G7007,1)),"",IF((AND(LEFT(G7007,2)=LEFT('112'!$M$9,2),B7007&lt;'112'!$K$9,$N7007='112'!$I$6)),"x",""))</f>
        <v/>
      </c>
      <c r="V7007" s="79" t="str">
        <f>IF(ISERROR(FIND('112'!$M$9,G7007,1)),"",IF((AND(RIGHT(G7007,2)=RIGHT('112'!$M$9,2),B7007&lt;'112'!$K$9,$O7007='112'!$I$6)),"x",""))</f>
        <v/>
      </c>
      <c r="W7007" s="79" t="str">
        <f>IF(AND('341-CT'!$H$9=H7007,OR(LEFT(N7007,3)=$W$7,LEFT(O7007,3)=$W$7)),"x","")</f>
        <v/>
      </c>
      <c r="X7007" s="79" t="str">
        <f>IF(OR(TH!N7007=TH!$X$7,O7007=TH!$X$7),"x","")</f>
        <v/>
      </c>
      <c r="Y7007" s="79" t="str">
        <f>IF(AND(OR(N7007="131",O7007="131"),H7007='131-CT'!$H$9),"x","")</f>
        <v/>
      </c>
      <c r="Z7007" s="79"/>
      <c r="AA7007" s="79" t="str">
        <f>IF(AND(MONTH(E7007)='IN-NX'!$J$5,'IN-NX'!$D$7=D7007),"x","")</f>
        <v/>
      </c>
      <c r="AB7007" s="79" t="str">
        <f>IF(AND(OR(LEFT(TH!N7007,2)="15",LEFT(TH!O7007,2)="15"),LEFT(TH!O7007,3)&lt;&gt;"111",'152-CT'!$J$8=TH!F7007),"x","")</f>
        <v/>
      </c>
      <c r="AC7007" s="79" t="str">
        <f>IF(AND(OR(LEFT(TH!N7007,2)="15",LEFT(TH!O7007,2)="15"),TK!$E$7=TH!F7007),"x","")</f>
        <v/>
      </c>
      <c r="AD7007" s="79" t="str">
        <f>IF(AND(N7007="1521",MONTH(C7007)='BK-NL'!$M$11),"x","")</f>
        <v/>
      </c>
    </row>
    <row r="7008" spans="1:30" ht="16.5" customHeight="1">
      <c r="A7008" s="318" t="str">
        <f>IF(B7008&lt;&gt;"",IF(AND(B7008='IN-TC'!$S$4,OR(TH!N7008="1111",TH!O7008="1111")),TH!D7008,""),"")</f>
        <v/>
      </c>
      <c r="B7008" s="1163" t="str">
        <f t="shared" si="530"/>
        <v/>
      </c>
      <c r="C7008" s="61"/>
      <c r="D7008" s="61"/>
      <c r="E7008" s="61"/>
      <c r="F7008" s="69"/>
      <c r="G7008" s="64"/>
      <c r="H7008" s="69"/>
      <c r="I7008" s="385"/>
      <c r="J7008" s="392"/>
      <c r="K7008" s="385"/>
      <c r="L7008" s="392"/>
      <c r="M7008" s="62"/>
      <c r="N7008" s="63"/>
      <c r="O7008" s="63"/>
      <c r="P7008" s="79" t="str">
        <f>IF(AND('331-CT'!$E$7=TH!H7008,OR(N7008="331",O7008="331")),"x","")</f>
        <v/>
      </c>
      <c r="Q7008" s="79" t="str">
        <f>IF(AND(B7008='111'!$L$11,OR($N7008=$Q$7,$O7008=$Q$7)),"x","")</f>
        <v/>
      </c>
      <c r="R7008" s="79" t="str">
        <f>IF(AND($N7008=$Q$7,$B7008&lt;'111'!$L$11),"x","")</f>
        <v/>
      </c>
      <c r="S7008" s="79" t="str">
        <f>IF(AND($O7008=$Q$7,$B7008&lt;'111'!$L$11),"x","")</f>
        <v/>
      </c>
      <c r="T7008" s="79" t="str">
        <f>IF(ISERROR(FIND('112'!$M$9,G7008,1)),"",IF((AND(FIND('112'!$M$9,G7008,1)&gt;=1,B7008='112'!$K$9,OR($N7008='112'!$I$6,$O7008='112'!$I$6))),"x",""))</f>
        <v/>
      </c>
      <c r="U7008" s="79" t="str">
        <f>IF(ISERROR(FIND('112'!$M$9,G7008,1)),"",IF((AND(LEFT(G7008,2)=LEFT('112'!$M$9,2),B7008&lt;'112'!$K$9,$N7008='112'!$I$6)),"x",""))</f>
        <v/>
      </c>
      <c r="V7008" s="79" t="str">
        <f>IF(ISERROR(FIND('112'!$M$9,G7008,1)),"",IF((AND(RIGHT(G7008,2)=RIGHT('112'!$M$9,2),B7008&lt;'112'!$K$9,$O7008='112'!$I$6)),"x",""))</f>
        <v/>
      </c>
      <c r="W7008" s="79" t="str">
        <f>IF(AND('341-CT'!$H$9=H7008,OR(LEFT(N7008,3)=$W$7,LEFT(O7008,3)=$W$7)),"x","")</f>
        <v/>
      </c>
      <c r="X7008" s="79" t="str">
        <f>IF(OR(TH!N7008=TH!$X$7,O7008=TH!$X$7),"x","")</f>
        <v/>
      </c>
      <c r="Y7008" s="79" t="str">
        <f>IF(AND(OR(N7008="131",O7008="131"),H7008='131-CT'!$H$9),"x","")</f>
        <v/>
      </c>
      <c r="Z7008" s="79"/>
      <c r="AA7008" s="79" t="str">
        <f>IF(AND(MONTH(E7008)='IN-NX'!$J$5,'IN-NX'!$D$7=D7008),"x","")</f>
        <v/>
      </c>
      <c r="AB7008" s="79" t="str">
        <f>IF(AND(OR(LEFT(TH!N7008,2)="15",LEFT(TH!O7008,2)="15"),LEFT(TH!O7008,3)&lt;&gt;"111",'152-CT'!$J$8=TH!F7008),"x","")</f>
        <v/>
      </c>
      <c r="AC7008" s="79" t="str">
        <f>IF(AND(OR(LEFT(TH!N7008,2)="15",LEFT(TH!O7008,2)="15"),TK!$E$7=TH!F7008),"x","")</f>
        <v/>
      </c>
      <c r="AD7008" s="79" t="str">
        <f>IF(AND(N7008="1521",MONTH(C7008)='BK-NL'!$M$11),"x","")</f>
        <v/>
      </c>
    </row>
    <row r="7009" spans="1:30" ht="16.5" customHeight="1">
      <c r="A7009" s="318" t="str">
        <f>IF(B7009&lt;&gt;"",IF(AND(B7009='IN-TC'!$S$4,OR(TH!N7009="1111",TH!O7009="1111")),TH!D7009,""),"")</f>
        <v/>
      </c>
      <c r="B7009" s="1163" t="str">
        <f t="shared" si="530"/>
        <v/>
      </c>
      <c r="C7009" s="61"/>
      <c r="D7009" s="61"/>
      <c r="E7009" s="61"/>
      <c r="F7009" s="69"/>
      <c r="G7009" s="64"/>
      <c r="H7009" s="69"/>
      <c r="I7009" s="385"/>
      <c r="J7009" s="392"/>
      <c r="K7009" s="385"/>
      <c r="L7009" s="392"/>
      <c r="M7009" s="62"/>
      <c r="N7009" s="63"/>
      <c r="O7009" s="63"/>
      <c r="P7009" s="79" t="str">
        <f>IF(AND('331-CT'!$E$7=TH!H7009,OR(N7009="331",O7009="331")),"x","")</f>
        <v/>
      </c>
      <c r="Q7009" s="79" t="str">
        <f>IF(AND(B7009='111'!$L$11,OR($N7009=$Q$7,$O7009=$Q$7)),"x","")</f>
        <v/>
      </c>
      <c r="R7009" s="79" t="str">
        <f>IF(AND($N7009=$Q$7,$B7009&lt;'111'!$L$11),"x","")</f>
        <v/>
      </c>
      <c r="S7009" s="79" t="str">
        <f>IF(AND($O7009=$Q$7,$B7009&lt;'111'!$L$11),"x","")</f>
        <v/>
      </c>
      <c r="T7009" s="79" t="str">
        <f>IF(ISERROR(FIND('112'!$M$9,G7009,1)),"",IF((AND(FIND('112'!$M$9,G7009,1)&gt;=1,B7009='112'!$K$9,OR($N7009='112'!$I$6,$O7009='112'!$I$6))),"x",""))</f>
        <v/>
      </c>
      <c r="U7009" s="79" t="str">
        <f>IF(ISERROR(FIND('112'!$M$9,G7009,1)),"",IF((AND(LEFT(G7009,2)=LEFT('112'!$M$9,2),B7009&lt;'112'!$K$9,$N7009='112'!$I$6)),"x",""))</f>
        <v/>
      </c>
      <c r="V7009" s="79" t="str">
        <f>IF(ISERROR(FIND('112'!$M$9,G7009,1)),"",IF((AND(RIGHT(G7009,2)=RIGHT('112'!$M$9,2),B7009&lt;'112'!$K$9,$O7009='112'!$I$6)),"x",""))</f>
        <v/>
      </c>
      <c r="W7009" s="79" t="str">
        <f>IF(AND('341-CT'!$H$9=H7009,OR(LEFT(N7009,3)=$W$7,LEFT(O7009,3)=$W$7)),"x","")</f>
        <v/>
      </c>
      <c r="X7009" s="79" t="str">
        <f>IF(OR(TH!N7009=TH!$X$7,O7009=TH!$X$7),"x","")</f>
        <v/>
      </c>
      <c r="Y7009" s="79" t="str">
        <f>IF(AND(OR(N7009="131",O7009="131"),H7009='131-CT'!$H$9),"x","")</f>
        <v/>
      </c>
      <c r="Z7009" s="79"/>
      <c r="AA7009" s="79" t="str">
        <f>IF(AND(MONTH(E7009)='IN-NX'!$J$5,'IN-NX'!$D$7=D7009),"x","")</f>
        <v/>
      </c>
      <c r="AB7009" s="79" t="str">
        <f>IF(AND(OR(LEFT(TH!N7009,2)="15",LEFT(TH!O7009,2)="15"),LEFT(TH!O7009,3)&lt;&gt;"111",'152-CT'!$J$8=TH!F7009),"x","")</f>
        <v/>
      </c>
      <c r="AC7009" s="79" t="str">
        <f>IF(AND(OR(LEFT(TH!N7009,2)="15",LEFT(TH!O7009,2)="15"),TK!$E$7=TH!F7009),"x","")</f>
        <v/>
      </c>
      <c r="AD7009" s="79" t="str">
        <f>IF(AND(N7009="1521",MONTH(C7009)='BK-NL'!$M$11),"x","")</f>
        <v/>
      </c>
    </row>
    <row r="7010" spans="1:30" ht="16.5" customHeight="1">
      <c r="A7010" s="318" t="str">
        <f>IF(B7010&lt;&gt;"",IF(AND(B7010='IN-TC'!$S$4,OR(TH!N7010="1111",TH!O7010="1111")),TH!D7010,""),"")</f>
        <v/>
      </c>
      <c r="B7010" s="1163" t="str">
        <f t="shared" si="530"/>
        <v/>
      </c>
      <c r="C7010" s="61"/>
      <c r="D7010" s="61"/>
      <c r="E7010" s="61"/>
      <c r="F7010" s="69"/>
      <c r="G7010" s="64"/>
      <c r="H7010" s="69"/>
      <c r="I7010" s="385"/>
      <c r="J7010" s="392"/>
      <c r="K7010" s="385"/>
      <c r="L7010" s="392"/>
      <c r="M7010" s="62"/>
      <c r="N7010" s="63"/>
      <c r="O7010" s="63"/>
      <c r="P7010" s="79" t="str">
        <f>IF(AND('331-CT'!$E$7=TH!H7010,OR(N7010="331",O7010="331")),"x","")</f>
        <v/>
      </c>
      <c r="Q7010" s="79" t="str">
        <f>IF(AND(B7010='111'!$L$11,OR($N7010=$Q$7,$O7010=$Q$7)),"x","")</f>
        <v/>
      </c>
      <c r="R7010" s="79" t="str">
        <f>IF(AND($N7010=$Q$7,$B7010&lt;'111'!$L$11),"x","")</f>
        <v/>
      </c>
      <c r="S7010" s="79" t="str">
        <f>IF(AND($O7010=$Q$7,$B7010&lt;'111'!$L$11),"x","")</f>
        <v/>
      </c>
      <c r="T7010" s="79" t="str">
        <f>IF(ISERROR(FIND('112'!$M$9,G7010,1)),"",IF((AND(FIND('112'!$M$9,G7010,1)&gt;=1,B7010='112'!$K$9,OR($N7010='112'!$I$6,$O7010='112'!$I$6))),"x",""))</f>
        <v/>
      </c>
      <c r="U7010" s="79" t="str">
        <f>IF(ISERROR(FIND('112'!$M$9,G7010,1)),"",IF((AND(LEFT(G7010,2)=LEFT('112'!$M$9,2),B7010&lt;'112'!$K$9,$N7010='112'!$I$6)),"x",""))</f>
        <v/>
      </c>
      <c r="V7010" s="79" t="str">
        <f>IF(ISERROR(FIND('112'!$M$9,G7010,1)),"",IF((AND(RIGHT(G7010,2)=RIGHT('112'!$M$9,2),B7010&lt;'112'!$K$9,$O7010='112'!$I$6)),"x",""))</f>
        <v/>
      </c>
      <c r="W7010" s="79" t="str">
        <f>IF(AND('341-CT'!$H$9=H7010,OR(LEFT(N7010,3)=$W$7,LEFT(O7010,3)=$W$7)),"x","")</f>
        <v/>
      </c>
      <c r="X7010" s="79" t="str">
        <f>IF(OR(TH!N7010=TH!$X$7,O7010=TH!$X$7),"x","")</f>
        <v/>
      </c>
      <c r="Y7010" s="79" t="str">
        <f>IF(AND(OR(N7010="131",O7010="131"),H7010='131-CT'!$H$9),"x","")</f>
        <v/>
      </c>
      <c r="Z7010" s="79"/>
      <c r="AA7010" s="79" t="str">
        <f>IF(AND(MONTH(E7010)='IN-NX'!$J$5,'IN-NX'!$D$7=D7010),"x","")</f>
        <v/>
      </c>
      <c r="AB7010" s="79" t="str">
        <f>IF(AND(OR(LEFT(TH!N7010,2)="15",LEFT(TH!O7010,2)="15"),LEFT(TH!O7010,3)&lt;&gt;"111",'152-CT'!$J$8=TH!F7010),"x","")</f>
        <v/>
      </c>
      <c r="AC7010" s="79" t="str">
        <f>IF(AND(OR(LEFT(TH!N7010,2)="15",LEFT(TH!O7010,2)="15"),TK!$E$7=TH!F7010),"x","")</f>
        <v/>
      </c>
      <c r="AD7010" s="79" t="str">
        <f>IF(AND(N7010="1521",MONTH(C7010)='BK-NL'!$M$11),"x","")</f>
        <v/>
      </c>
    </row>
    <row r="7011" spans="1:30" ht="16.5" customHeight="1">
      <c r="A7011" s="318" t="str">
        <f>IF(B7011&lt;&gt;"",IF(AND(B7011='IN-TC'!$S$4,OR(TH!N7011="1111",TH!O7011="1111")),TH!D7011,""),"")</f>
        <v/>
      </c>
      <c r="B7011" s="1163" t="str">
        <f t="shared" si="530"/>
        <v/>
      </c>
      <c r="C7011" s="61"/>
      <c r="D7011" s="61"/>
      <c r="E7011" s="61"/>
      <c r="F7011" s="69"/>
      <c r="G7011" s="64"/>
      <c r="H7011" s="69"/>
      <c r="I7011" s="385"/>
      <c r="J7011" s="392"/>
      <c r="K7011" s="385"/>
      <c r="L7011" s="392"/>
      <c r="M7011" s="62"/>
      <c r="N7011" s="63"/>
      <c r="O7011" s="63"/>
      <c r="P7011" s="79" t="str">
        <f>IF(AND('331-CT'!$E$7=TH!H7011,OR(N7011="331",O7011="331")),"x","")</f>
        <v/>
      </c>
      <c r="Q7011" s="79" t="str">
        <f>IF(AND(B7011='111'!$L$11,OR($N7011=$Q$7,$O7011=$Q$7)),"x","")</f>
        <v/>
      </c>
      <c r="R7011" s="79" t="str">
        <f>IF(AND($N7011=$Q$7,$B7011&lt;'111'!$L$11),"x","")</f>
        <v/>
      </c>
      <c r="S7011" s="79" t="str">
        <f>IF(AND($O7011=$Q$7,$B7011&lt;'111'!$L$11),"x","")</f>
        <v/>
      </c>
      <c r="T7011" s="79" t="str">
        <f>IF(ISERROR(FIND('112'!$M$9,G7011,1)),"",IF((AND(FIND('112'!$M$9,G7011,1)&gt;=1,B7011='112'!$K$9,OR($N7011='112'!$I$6,$O7011='112'!$I$6))),"x",""))</f>
        <v/>
      </c>
      <c r="U7011" s="79" t="str">
        <f>IF(ISERROR(FIND('112'!$M$9,G7011,1)),"",IF((AND(LEFT(G7011,2)=LEFT('112'!$M$9,2),B7011&lt;'112'!$K$9,$N7011='112'!$I$6)),"x",""))</f>
        <v/>
      </c>
      <c r="V7011" s="79" t="str">
        <f>IF(ISERROR(FIND('112'!$M$9,G7011,1)),"",IF((AND(RIGHT(G7011,2)=RIGHT('112'!$M$9,2),B7011&lt;'112'!$K$9,$O7011='112'!$I$6)),"x",""))</f>
        <v/>
      </c>
      <c r="W7011" s="79" t="str">
        <f>IF(AND('341-CT'!$H$9=H7011,OR(LEFT(N7011,3)=$W$7,LEFT(O7011,3)=$W$7)),"x","")</f>
        <v/>
      </c>
      <c r="X7011" s="79" t="str">
        <f>IF(OR(TH!N7011=TH!$X$7,O7011=TH!$X$7),"x","")</f>
        <v/>
      </c>
      <c r="Y7011" s="79" t="str">
        <f>IF(AND(OR(N7011="131",O7011="131"),H7011='131-CT'!$H$9),"x","")</f>
        <v/>
      </c>
      <c r="Z7011" s="79"/>
      <c r="AA7011" s="79" t="str">
        <f>IF(AND(MONTH(E7011)='IN-NX'!$J$5,'IN-NX'!$D$7=D7011),"x","")</f>
        <v/>
      </c>
      <c r="AB7011" s="79" t="str">
        <f>IF(AND(OR(LEFT(TH!N7011,2)="15",LEFT(TH!O7011,2)="15"),LEFT(TH!O7011,3)&lt;&gt;"111",'152-CT'!$J$8=TH!F7011),"x","")</f>
        <v/>
      </c>
      <c r="AC7011" s="79" t="str">
        <f>IF(AND(OR(LEFT(TH!N7011,2)="15",LEFT(TH!O7011,2)="15"),TK!$E$7=TH!F7011),"x","")</f>
        <v/>
      </c>
      <c r="AD7011" s="79" t="str">
        <f>IF(AND(N7011="1521",MONTH(C7011)='BK-NL'!$M$11),"x","")</f>
        <v/>
      </c>
    </row>
    <row r="7012" spans="1:30" ht="16.5" customHeight="1">
      <c r="A7012" s="318" t="str">
        <f>IF(B7012&lt;&gt;"",IF(AND(B7012='IN-TC'!$S$4,OR(TH!N7012="1111",TH!O7012="1111")),TH!D7012,""),"")</f>
        <v/>
      </c>
      <c r="B7012" s="1163" t="str">
        <f t="shared" si="530"/>
        <v/>
      </c>
      <c r="C7012" s="61"/>
      <c r="D7012" s="61"/>
      <c r="E7012" s="61"/>
      <c r="F7012" s="69"/>
      <c r="G7012" s="64"/>
      <c r="H7012" s="69"/>
      <c r="I7012" s="385"/>
      <c r="J7012" s="392"/>
      <c r="K7012" s="385"/>
      <c r="L7012" s="392"/>
      <c r="M7012" s="62"/>
      <c r="N7012" s="63"/>
      <c r="O7012" s="63"/>
      <c r="P7012" s="79" t="str">
        <f>IF(AND('331-CT'!$E$7=TH!H7012,OR(N7012="331",O7012="331")),"x","")</f>
        <v/>
      </c>
      <c r="Q7012" s="79" t="str">
        <f>IF(AND(B7012='111'!$L$11,OR($N7012=$Q$7,$O7012=$Q$7)),"x","")</f>
        <v/>
      </c>
      <c r="R7012" s="79" t="str">
        <f>IF(AND($N7012=$Q$7,$B7012&lt;'111'!$L$11),"x","")</f>
        <v/>
      </c>
      <c r="S7012" s="79" t="str">
        <f>IF(AND($O7012=$Q$7,$B7012&lt;'111'!$L$11),"x","")</f>
        <v/>
      </c>
      <c r="T7012" s="79" t="str">
        <f>IF(ISERROR(FIND('112'!$M$9,G7012,1)),"",IF((AND(FIND('112'!$M$9,G7012,1)&gt;=1,B7012='112'!$K$9,OR($N7012='112'!$I$6,$O7012='112'!$I$6))),"x",""))</f>
        <v/>
      </c>
      <c r="U7012" s="79" t="str">
        <f>IF(ISERROR(FIND('112'!$M$9,G7012,1)),"",IF((AND(LEFT(G7012,2)=LEFT('112'!$M$9,2),B7012&lt;'112'!$K$9,$N7012='112'!$I$6)),"x",""))</f>
        <v/>
      </c>
      <c r="V7012" s="79" t="str">
        <f>IF(ISERROR(FIND('112'!$M$9,G7012,1)),"",IF((AND(RIGHT(G7012,2)=RIGHT('112'!$M$9,2),B7012&lt;'112'!$K$9,$O7012='112'!$I$6)),"x",""))</f>
        <v/>
      </c>
      <c r="W7012" s="79" t="str">
        <f>IF(AND('341-CT'!$H$9=H7012,OR(LEFT(N7012,3)=$W$7,LEFT(O7012,3)=$W$7)),"x","")</f>
        <v/>
      </c>
      <c r="X7012" s="79" t="str">
        <f>IF(OR(TH!N7012=TH!$X$7,O7012=TH!$X$7),"x","")</f>
        <v/>
      </c>
      <c r="Y7012" s="79" t="str">
        <f>IF(AND(OR(N7012="131",O7012="131"),H7012='131-CT'!$H$9),"x","")</f>
        <v/>
      </c>
      <c r="Z7012" s="79"/>
      <c r="AA7012" s="79" t="str">
        <f>IF(AND(MONTH(E7012)='IN-NX'!$J$5,'IN-NX'!$D$7=D7012),"x","")</f>
        <v/>
      </c>
      <c r="AB7012" s="79" t="str">
        <f>IF(AND(OR(LEFT(TH!N7012,2)="15",LEFT(TH!O7012,2)="15"),LEFT(TH!O7012,3)&lt;&gt;"111",'152-CT'!$J$8=TH!F7012),"x","")</f>
        <v/>
      </c>
      <c r="AC7012" s="79" t="str">
        <f>IF(AND(OR(LEFT(TH!N7012,2)="15",LEFT(TH!O7012,2)="15"),TK!$E$7=TH!F7012),"x","")</f>
        <v/>
      </c>
      <c r="AD7012" s="79" t="str">
        <f>IF(AND(N7012="1521",MONTH(C7012)='BK-NL'!$M$11),"x","")</f>
        <v/>
      </c>
    </row>
    <row r="7013" spans="1:30" ht="16.5" customHeight="1">
      <c r="A7013" s="318" t="str">
        <f>IF(B7013&lt;&gt;"",IF(AND(B7013='IN-TC'!$S$4,OR(TH!N7013="1111",TH!O7013="1111")),TH!D7013,""),"")</f>
        <v/>
      </c>
      <c r="B7013" s="1163" t="str">
        <f t="shared" si="530"/>
        <v/>
      </c>
      <c r="C7013" s="61"/>
      <c r="D7013" s="61"/>
      <c r="E7013" s="61"/>
      <c r="F7013" s="69"/>
      <c r="G7013" s="64"/>
      <c r="H7013" s="69"/>
      <c r="I7013" s="385"/>
      <c r="J7013" s="392"/>
      <c r="K7013" s="385"/>
      <c r="L7013" s="392"/>
      <c r="M7013" s="62"/>
      <c r="N7013" s="63"/>
      <c r="O7013" s="63"/>
      <c r="P7013" s="79" t="str">
        <f>IF(AND('331-CT'!$E$7=TH!H7013,OR(N7013="331",O7013="331")),"x","")</f>
        <v/>
      </c>
      <c r="Q7013" s="79" t="str">
        <f>IF(AND(B7013='111'!$L$11,OR($N7013=$Q$7,$O7013=$Q$7)),"x","")</f>
        <v/>
      </c>
      <c r="R7013" s="79" t="str">
        <f>IF(AND($N7013=$Q$7,$B7013&lt;'111'!$L$11),"x","")</f>
        <v/>
      </c>
      <c r="S7013" s="79" t="str">
        <f>IF(AND($O7013=$Q$7,$B7013&lt;'111'!$L$11),"x","")</f>
        <v/>
      </c>
      <c r="T7013" s="79" t="str">
        <f>IF(ISERROR(FIND('112'!$M$9,G7013,1)),"",IF((AND(FIND('112'!$M$9,G7013,1)&gt;=1,B7013='112'!$K$9,OR($N7013='112'!$I$6,$O7013='112'!$I$6))),"x",""))</f>
        <v/>
      </c>
      <c r="U7013" s="79" t="str">
        <f>IF(ISERROR(FIND('112'!$M$9,G7013,1)),"",IF((AND(LEFT(G7013,2)=LEFT('112'!$M$9,2),B7013&lt;'112'!$K$9,$N7013='112'!$I$6)),"x",""))</f>
        <v/>
      </c>
      <c r="V7013" s="79" t="str">
        <f>IF(ISERROR(FIND('112'!$M$9,G7013,1)),"",IF((AND(RIGHT(G7013,2)=RIGHT('112'!$M$9,2),B7013&lt;'112'!$K$9,$O7013='112'!$I$6)),"x",""))</f>
        <v/>
      </c>
      <c r="W7013" s="79" t="str">
        <f>IF(AND('341-CT'!$H$9=H7013,OR(LEFT(N7013,3)=$W$7,LEFT(O7013,3)=$W$7)),"x","")</f>
        <v/>
      </c>
      <c r="X7013" s="79" t="str">
        <f>IF(OR(TH!N7013=TH!$X$7,O7013=TH!$X$7),"x","")</f>
        <v/>
      </c>
      <c r="Y7013" s="79" t="str">
        <f>IF(AND(OR(N7013="131",O7013="131"),H7013='131-CT'!$H$9),"x","")</f>
        <v/>
      </c>
      <c r="Z7013" s="79"/>
      <c r="AA7013" s="79" t="str">
        <f>IF(AND(MONTH(E7013)='IN-NX'!$J$5,'IN-NX'!$D$7=D7013),"x","")</f>
        <v/>
      </c>
      <c r="AB7013" s="79" t="str">
        <f>IF(AND(OR(LEFT(TH!N7013,2)="15",LEFT(TH!O7013,2)="15"),LEFT(TH!O7013,3)&lt;&gt;"111",'152-CT'!$J$8=TH!F7013),"x","")</f>
        <v/>
      </c>
      <c r="AC7013" s="79" t="str">
        <f>IF(AND(OR(LEFT(TH!N7013,2)="15",LEFT(TH!O7013,2)="15"),TK!$E$7=TH!F7013),"x","")</f>
        <v/>
      </c>
      <c r="AD7013" s="79" t="str">
        <f>IF(AND(N7013="1521",MONTH(C7013)='BK-NL'!$M$11),"x","")</f>
        <v/>
      </c>
    </row>
    <row r="7014" spans="1:30" ht="16.5" customHeight="1">
      <c r="A7014" s="318" t="str">
        <f>IF(B7014&lt;&gt;"",IF(AND(B7014='IN-TC'!$S$4,OR(TH!N7014="1111",TH!O7014="1111")),TH!D7014,""),"")</f>
        <v/>
      </c>
      <c r="B7014" s="1163" t="str">
        <f t="shared" si="530"/>
        <v/>
      </c>
      <c r="C7014" s="61"/>
      <c r="D7014" s="61"/>
      <c r="E7014" s="61"/>
      <c r="F7014" s="69"/>
      <c r="G7014" s="64"/>
      <c r="H7014" s="69"/>
      <c r="I7014" s="385"/>
      <c r="J7014" s="392"/>
      <c r="K7014" s="385"/>
      <c r="L7014" s="392"/>
      <c r="M7014" s="62"/>
      <c r="N7014" s="63"/>
      <c r="O7014" s="63"/>
      <c r="P7014" s="79" t="str">
        <f>IF(AND('331-CT'!$E$7=TH!H7014,OR(N7014="331",O7014="331")),"x","")</f>
        <v/>
      </c>
      <c r="Q7014" s="79" t="str">
        <f>IF(AND(B7014='111'!$L$11,OR($N7014=$Q$7,$O7014=$Q$7)),"x","")</f>
        <v/>
      </c>
      <c r="R7014" s="79" t="str">
        <f>IF(AND($N7014=$Q$7,$B7014&lt;'111'!$L$11),"x","")</f>
        <v/>
      </c>
      <c r="S7014" s="79" t="str">
        <f>IF(AND($O7014=$Q$7,$B7014&lt;'111'!$L$11),"x","")</f>
        <v/>
      </c>
      <c r="T7014" s="79" t="str">
        <f>IF(ISERROR(FIND('112'!$M$9,G7014,1)),"",IF((AND(FIND('112'!$M$9,G7014,1)&gt;=1,B7014='112'!$K$9,OR($N7014='112'!$I$6,$O7014='112'!$I$6))),"x",""))</f>
        <v/>
      </c>
      <c r="U7014" s="79" t="str">
        <f>IF(ISERROR(FIND('112'!$M$9,G7014,1)),"",IF((AND(LEFT(G7014,2)=LEFT('112'!$M$9,2),B7014&lt;'112'!$K$9,$N7014='112'!$I$6)),"x",""))</f>
        <v/>
      </c>
      <c r="V7014" s="79" t="str">
        <f>IF(ISERROR(FIND('112'!$M$9,G7014,1)),"",IF((AND(RIGHT(G7014,2)=RIGHT('112'!$M$9,2),B7014&lt;'112'!$K$9,$O7014='112'!$I$6)),"x",""))</f>
        <v/>
      </c>
      <c r="W7014" s="79" t="str">
        <f>IF(AND('341-CT'!$H$9=H7014,OR(LEFT(N7014,3)=$W$7,LEFT(O7014,3)=$W$7)),"x","")</f>
        <v/>
      </c>
      <c r="X7014" s="79" t="str">
        <f>IF(OR(TH!N7014=TH!$X$7,O7014=TH!$X$7),"x","")</f>
        <v/>
      </c>
      <c r="Y7014" s="79" t="str">
        <f>IF(AND(OR(N7014="131",O7014="131"),H7014='131-CT'!$H$9),"x","")</f>
        <v/>
      </c>
      <c r="Z7014" s="79"/>
      <c r="AA7014" s="79" t="str">
        <f>IF(AND(MONTH(E7014)='IN-NX'!$J$5,'IN-NX'!$D$7=D7014),"x","")</f>
        <v/>
      </c>
      <c r="AB7014" s="79" t="str">
        <f>IF(AND(OR(LEFT(TH!N7014,2)="15",LEFT(TH!O7014,2)="15"),LEFT(TH!O7014,3)&lt;&gt;"111",'152-CT'!$J$8=TH!F7014),"x","")</f>
        <v/>
      </c>
      <c r="AC7014" s="79" t="str">
        <f>IF(AND(OR(LEFT(TH!N7014,2)="15",LEFT(TH!O7014,2)="15"),TK!$E$7=TH!F7014),"x","")</f>
        <v/>
      </c>
      <c r="AD7014" s="79" t="str">
        <f>IF(AND(N7014="1521",MONTH(C7014)='BK-NL'!$M$11),"x","")</f>
        <v/>
      </c>
    </row>
    <row r="7015" spans="1:30" ht="16.5" customHeight="1">
      <c r="A7015" s="318" t="str">
        <f>IF(B7015&lt;&gt;"",IF(AND(B7015='IN-TC'!$S$4,OR(TH!N7015="1111",TH!O7015="1111")),TH!D7015,""),"")</f>
        <v/>
      </c>
      <c r="B7015" s="1163" t="str">
        <f t="shared" si="530"/>
        <v/>
      </c>
      <c r="C7015" s="61"/>
      <c r="D7015" s="61"/>
      <c r="E7015" s="61"/>
      <c r="F7015" s="69"/>
      <c r="G7015" s="64"/>
      <c r="H7015" s="69"/>
      <c r="I7015" s="385"/>
      <c r="J7015" s="392"/>
      <c r="K7015" s="385"/>
      <c r="L7015" s="392"/>
      <c r="M7015" s="62"/>
      <c r="N7015" s="63"/>
      <c r="O7015" s="63"/>
      <c r="P7015" s="79" t="str">
        <f>IF(AND('331-CT'!$E$7=TH!H7015,OR(N7015="331",O7015="331")),"x","")</f>
        <v/>
      </c>
      <c r="Q7015" s="79" t="str">
        <f>IF(AND(B7015='111'!$L$11,OR($N7015=$Q$7,$O7015=$Q$7)),"x","")</f>
        <v/>
      </c>
      <c r="R7015" s="79" t="str">
        <f>IF(AND($N7015=$Q$7,$B7015&lt;'111'!$L$11),"x","")</f>
        <v/>
      </c>
      <c r="S7015" s="79" t="str">
        <f>IF(AND($O7015=$Q$7,$B7015&lt;'111'!$L$11),"x","")</f>
        <v/>
      </c>
      <c r="T7015" s="79" t="str">
        <f>IF(ISERROR(FIND('112'!$M$9,G7015,1)),"",IF((AND(FIND('112'!$M$9,G7015,1)&gt;=1,B7015='112'!$K$9,OR($N7015='112'!$I$6,$O7015='112'!$I$6))),"x",""))</f>
        <v/>
      </c>
      <c r="U7015" s="79" t="str">
        <f>IF(ISERROR(FIND('112'!$M$9,G7015,1)),"",IF((AND(LEFT(G7015,2)=LEFT('112'!$M$9,2),B7015&lt;'112'!$K$9,$N7015='112'!$I$6)),"x",""))</f>
        <v/>
      </c>
      <c r="V7015" s="79" t="str">
        <f>IF(ISERROR(FIND('112'!$M$9,G7015,1)),"",IF((AND(RIGHT(G7015,2)=RIGHT('112'!$M$9,2),B7015&lt;'112'!$K$9,$O7015='112'!$I$6)),"x",""))</f>
        <v/>
      </c>
      <c r="W7015" s="79" t="str">
        <f>IF(AND('341-CT'!$H$9=H7015,OR(LEFT(N7015,3)=$W$7,LEFT(O7015,3)=$W$7)),"x","")</f>
        <v/>
      </c>
      <c r="X7015" s="79" t="str">
        <f>IF(OR(TH!N7015=TH!$X$7,O7015=TH!$X$7),"x","")</f>
        <v/>
      </c>
      <c r="Y7015" s="79" t="str">
        <f>IF(AND(OR(N7015="131",O7015="131"),H7015='131-CT'!$H$9),"x","")</f>
        <v/>
      </c>
      <c r="Z7015" s="79"/>
      <c r="AA7015" s="79" t="str">
        <f>IF(AND(MONTH(E7015)='IN-NX'!$J$5,'IN-NX'!$D$7=D7015),"x","")</f>
        <v/>
      </c>
      <c r="AB7015" s="79" t="str">
        <f>IF(AND(OR(LEFT(TH!N7015,2)="15",LEFT(TH!O7015,2)="15"),LEFT(TH!O7015,3)&lt;&gt;"111",'152-CT'!$J$8=TH!F7015),"x","")</f>
        <v/>
      </c>
      <c r="AC7015" s="79" t="str">
        <f>IF(AND(OR(LEFT(TH!N7015,2)="15",LEFT(TH!O7015,2)="15"),TK!$E$7=TH!F7015),"x","")</f>
        <v/>
      </c>
      <c r="AD7015" s="79" t="str">
        <f>IF(AND(N7015="1521",MONTH(C7015)='BK-NL'!$M$11),"x","")</f>
        <v/>
      </c>
    </row>
    <row r="7016" spans="1:30" ht="16.5" customHeight="1">
      <c r="A7016" s="318" t="str">
        <f>IF(B7016&lt;&gt;"",IF(AND(B7016='IN-TC'!$S$4,OR(TH!N7016="1111",TH!O7016="1111")),TH!D7016,""),"")</f>
        <v/>
      </c>
      <c r="B7016" s="1163" t="str">
        <f t="shared" si="530"/>
        <v/>
      </c>
      <c r="C7016" s="61"/>
      <c r="D7016" s="61"/>
      <c r="E7016" s="61"/>
      <c r="F7016" s="69"/>
      <c r="G7016" s="64"/>
      <c r="H7016" s="69"/>
      <c r="I7016" s="385"/>
      <c r="J7016" s="392"/>
      <c r="K7016" s="385"/>
      <c r="L7016" s="392"/>
      <c r="M7016" s="62"/>
      <c r="N7016" s="63"/>
      <c r="O7016" s="63"/>
      <c r="P7016" s="79" t="str">
        <f>IF(AND('331-CT'!$E$7=TH!H7016,OR(N7016="331",O7016="331")),"x","")</f>
        <v/>
      </c>
      <c r="Q7016" s="79" t="str">
        <f>IF(AND(B7016='111'!$L$11,OR($N7016=$Q$7,$O7016=$Q$7)),"x","")</f>
        <v/>
      </c>
      <c r="R7016" s="79" t="str">
        <f>IF(AND($N7016=$Q$7,$B7016&lt;'111'!$L$11),"x","")</f>
        <v/>
      </c>
      <c r="S7016" s="79" t="str">
        <f>IF(AND($O7016=$Q$7,$B7016&lt;'111'!$L$11),"x","")</f>
        <v/>
      </c>
      <c r="T7016" s="79" t="str">
        <f>IF(ISERROR(FIND('112'!$M$9,G7016,1)),"",IF((AND(FIND('112'!$M$9,G7016,1)&gt;=1,B7016='112'!$K$9,OR($N7016='112'!$I$6,$O7016='112'!$I$6))),"x",""))</f>
        <v/>
      </c>
      <c r="U7016" s="79" t="str">
        <f>IF(ISERROR(FIND('112'!$M$9,G7016,1)),"",IF((AND(LEFT(G7016,2)=LEFT('112'!$M$9,2),B7016&lt;'112'!$K$9,$N7016='112'!$I$6)),"x",""))</f>
        <v/>
      </c>
      <c r="V7016" s="79" t="str">
        <f>IF(ISERROR(FIND('112'!$M$9,G7016,1)),"",IF((AND(RIGHT(G7016,2)=RIGHT('112'!$M$9,2),B7016&lt;'112'!$K$9,$O7016='112'!$I$6)),"x",""))</f>
        <v/>
      </c>
      <c r="W7016" s="79" t="str">
        <f>IF(AND('341-CT'!$H$9=H7016,OR(LEFT(N7016,3)=$W$7,LEFT(O7016,3)=$W$7)),"x","")</f>
        <v/>
      </c>
      <c r="X7016" s="79" t="str">
        <f>IF(OR(TH!N7016=TH!$X$7,O7016=TH!$X$7),"x","")</f>
        <v/>
      </c>
      <c r="Y7016" s="79" t="str">
        <f>IF(AND(OR(N7016="131",O7016="131"),H7016='131-CT'!$H$9),"x","")</f>
        <v/>
      </c>
      <c r="Z7016" s="79"/>
      <c r="AA7016" s="79" t="str">
        <f>IF(AND(MONTH(E7016)='IN-NX'!$J$5,'IN-NX'!$D$7=D7016),"x","")</f>
        <v/>
      </c>
      <c r="AB7016" s="79" t="str">
        <f>IF(AND(OR(LEFT(TH!N7016,2)="15",LEFT(TH!O7016,2)="15"),LEFT(TH!O7016,3)&lt;&gt;"111",'152-CT'!$J$8=TH!F7016),"x","")</f>
        <v/>
      </c>
      <c r="AC7016" s="79" t="str">
        <f>IF(AND(OR(LEFT(TH!N7016,2)="15",LEFT(TH!O7016,2)="15"),TK!$E$7=TH!F7016),"x","")</f>
        <v/>
      </c>
      <c r="AD7016" s="79" t="str">
        <f>IF(AND(N7016="1521",MONTH(C7016)='BK-NL'!$M$11),"x","")</f>
        <v/>
      </c>
    </row>
    <row r="7017" spans="1:30" ht="16.5" customHeight="1">
      <c r="A7017" s="318" t="str">
        <f>IF(B7017&lt;&gt;"",IF(AND(B7017='IN-TC'!$S$4,OR(TH!N7017="1111",TH!O7017="1111")),TH!D7017,""),"")</f>
        <v/>
      </c>
      <c r="B7017" s="1163" t="str">
        <f t="shared" si="530"/>
        <v/>
      </c>
      <c r="C7017" s="61"/>
      <c r="D7017" s="61"/>
      <c r="E7017" s="61"/>
      <c r="F7017" s="69"/>
      <c r="G7017" s="64"/>
      <c r="H7017" s="69"/>
      <c r="I7017" s="385"/>
      <c r="J7017" s="392"/>
      <c r="K7017" s="385"/>
      <c r="L7017" s="392"/>
      <c r="M7017" s="62"/>
      <c r="N7017" s="63"/>
      <c r="O7017" s="63"/>
      <c r="P7017" s="79" t="str">
        <f>IF(AND('331-CT'!$E$7=TH!H7017,OR(N7017="331",O7017="331")),"x","")</f>
        <v/>
      </c>
      <c r="Q7017" s="79" t="str">
        <f>IF(AND(B7017='111'!$L$11,OR($N7017=$Q$7,$O7017=$Q$7)),"x","")</f>
        <v/>
      </c>
      <c r="R7017" s="79" t="str">
        <f>IF(AND($N7017=$Q$7,$B7017&lt;'111'!$L$11),"x","")</f>
        <v/>
      </c>
      <c r="S7017" s="79" t="str">
        <f>IF(AND($O7017=$Q$7,$B7017&lt;'111'!$L$11),"x","")</f>
        <v/>
      </c>
      <c r="T7017" s="79" t="str">
        <f>IF(ISERROR(FIND('112'!$M$9,G7017,1)),"",IF((AND(FIND('112'!$M$9,G7017,1)&gt;=1,B7017='112'!$K$9,OR($N7017='112'!$I$6,$O7017='112'!$I$6))),"x",""))</f>
        <v/>
      </c>
      <c r="U7017" s="79" t="str">
        <f>IF(ISERROR(FIND('112'!$M$9,G7017,1)),"",IF((AND(LEFT(G7017,2)=LEFT('112'!$M$9,2),B7017&lt;'112'!$K$9,$N7017='112'!$I$6)),"x",""))</f>
        <v/>
      </c>
      <c r="V7017" s="79" t="str">
        <f>IF(ISERROR(FIND('112'!$M$9,G7017,1)),"",IF((AND(RIGHT(G7017,2)=RIGHT('112'!$M$9,2),B7017&lt;'112'!$K$9,$O7017='112'!$I$6)),"x",""))</f>
        <v/>
      </c>
      <c r="W7017" s="79" t="str">
        <f>IF(AND('341-CT'!$H$9=H7017,OR(LEFT(N7017,3)=$W$7,LEFT(O7017,3)=$W$7)),"x","")</f>
        <v/>
      </c>
      <c r="X7017" s="79" t="str">
        <f>IF(OR(TH!N7017=TH!$X$7,O7017=TH!$X$7),"x","")</f>
        <v/>
      </c>
      <c r="Y7017" s="79" t="str">
        <f>IF(AND(OR(N7017="131",O7017="131"),H7017='131-CT'!$H$9),"x","")</f>
        <v/>
      </c>
      <c r="Z7017" s="79"/>
      <c r="AA7017" s="79" t="str">
        <f>IF(AND(MONTH(E7017)='IN-NX'!$J$5,'IN-NX'!$D$7=D7017),"x","")</f>
        <v/>
      </c>
      <c r="AB7017" s="79" t="str">
        <f>IF(AND(OR(LEFT(TH!N7017,2)="15",LEFT(TH!O7017,2)="15"),LEFT(TH!O7017,3)&lt;&gt;"111",'152-CT'!$J$8=TH!F7017),"x","")</f>
        <v/>
      </c>
      <c r="AC7017" s="79" t="str">
        <f>IF(AND(OR(LEFT(TH!N7017,2)="15",LEFT(TH!O7017,2)="15"),TK!$E$7=TH!F7017),"x","")</f>
        <v/>
      </c>
      <c r="AD7017" s="79" t="str">
        <f>IF(AND(N7017="1521",MONTH(C7017)='BK-NL'!$M$11),"x","")</f>
        <v/>
      </c>
    </row>
    <row r="7018" spans="1:30" ht="16.5" customHeight="1">
      <c r="A7018" s="318" t="str">
        <f>IF(B7018&lt;&gt;"",IF(AND(B7018='IN-TC'!$S$4,OR(TH!N7018="1111",TH!O7018="1111")),TH!D7018,""),"")</f>
        <v/>
      </c>
      <c r="B7018" s="1163" t="str">
        <f t="shared" si="530"/>
        <v/>
      </c>
      <c r="C7018" s="61"/>
      <c r="D7018" s="61"/>
      <c r="E7018" s="61"/>
      <c r="F7018" s="69"/>
      <c r="G7018" s="64"/>
      <c r="H7018" s="69"/>
      <c r="I7018" s="385"/>
      <c r="J7018" s="392"/>
      <c r="K7018" s="385"/>
      <c r="L7018" s="392"/>
      <c r="M7018" s="62"/>
      <c r="N7018" s="63"/>
      <c r="O7018" s="63"/>
      <c r="P7018" s="79" t="str">
        <f>IF(AND('331-CT'!$E$7=TH!H7018,OR(N7018="331",O7018="331")),"x","")</f>
        <v/>
      </c>
      <c r="Q7018" s="79" t="str">
        <f>IF(AND(B7018='111'!$L$11,OR($N7018=$Q$7,$O7018=$Q$7)),"x","")</f>
        <v/>
      </c>
      <c r="R7018" s="79" t="str">
        <f>IF(AND($N7018=$Q$7,$B7018&lt;'111'!$L$11),"x","")</f>
        <v/>
      </c>
      <c r="S7018" s="79" t="str">
        <f>IF(AND($O7018=$Q$7,$B7018&lt;'111'!$L$11),"x","")</f>
        <v/>
      </c>
      <c r="T7018" s="79" t="str">
        <f>IF(ISERROR(FIND('112'!$M$9,G7018,1)),"",IF((AND(FIND('112'!$M$9,G7018,1)&gt;=1,B7018='112'!$K$9,OR($N7018='112'!$I$6,$O7018='112'!$I$6))),"x",""))</f>
        <v/>
      </c>
      <c r="U7018" s="79" t="str">
        <f>IF(ISERROR(FIND('112'!$M$9,G7018,1)),"",IF((AND(LEFT(G7018,2)=LEFT('112'!$M$9,2),B7018&lt;'112'!$K$9,$N7018='112'!$I$6)),"x",""))</f>
        <v/>
      </c>
      <c r="V7018" s="79" t="str">
        <f>IF(ISERROR(FIND('112'!$M$9,G7018,1)),"",IF((AND(RIGHT(G7018,2)=RIGHT('112'!$M$9,2),B7018&lt;'112'!$K$9,$O7018='112'!$I$6)),"x",""))</f>
        <v/>
      </c>
      <c r="W7018" s="79" t="str">
        <f>IF(AND('341-CT'!$H$9=H7018,OR(LEFT(N7018,3)=$W$7,LEFT(O7018,3)=$W$7)),"x","")</f>
        <v/>
      </c>
      <c r="X7018" s="79" t="str">
        <f>IF(OR(TH!N7018=TH!$X$7,O7018=TH!$X$7),"x","")</f>
        <v/>
      </c>
      <c r="Y7018" s="79" t="str">
        <f>IF(AND(OR(N7018="131",O7018="131"),H7018='131-CT'!$H$9),"x","")</f>
        <v/>
      </c>
      <c r="Z7018" s="79"/>
      <c r="AA7018" s="79" t="str">
        <f>IF(AND(MONTH(E7018)='IN-NX'!$J$5,'IN-NX'!$D$7=D7018),"x","")</f>
        <v/>
      </c>
      <c r="AB7018" s="79" t="str">
        <f>IF(AND(OR(LEFT(TH!N7018,2)="15",LEFT(TH!O7018,2)="15"),LEFT(TH!O7018,3)&lt;&gt;"111",'152-CT'!$J$8=TH!F7018),"x","")</f>
        <v/>
      </c>
      <c r="AC7018" s="79" t="str">
        <f>IF(AND(OR(LEFT(TH!N7018,2)="15",LEFT(TH!O7018,2)="15"),TK!$E$7=TH!F7018),"x","")</f>
        <v/>
      </c>
      <c r="AD7018" s="79" t="str">
        <f>IF(AND(N7018="1521",MONTH(C7018)='BK-NL'!$M$11),"x","")</f>
        <v/>
      </c>
    </row>
    <row r="7019" spans="1:30" ht="16.5" customHeight="1">
      <c r="A7019" s="318" t="str">
        <f>IF(B7019&lt;&gt;"",IF(AND(B7019='IN-TC'!$S$4,OR(TH!N7019="1111",TH!O7019="1111")),TH!D7019,""),"")</f>
        <v/>
      </c>
      <c r="B7019" s="1163" t="str">
        <f t="shared" si="530"/>
        <v/>
      </c>
      <c r="C7019" s="61"/>
      <c r="D7019" s="61"/>
      <c r="E7019" s="61"/>
      <c r="F7019" s="69"/>
      <c r="G7019" s="64"/>
      <c r="H7019" s="69"/>
      <c r="I7019" s="385"/>
      <c r="J7019" s="392"/>
      <c r="K7019" s="385"/>
      <c r="L7019" s="392"/>
      <c r="M7019" s="62"/>
      <c r="N7019" s="63"/>
      <c r="O7019" s="63"/>
      <c r="P7019" s="79" t="str">
        <f>IF(AND('331-CT'!$E$7=TH!H7019,OR(N7019="331",O7019="331")),"x","")</f>
        <v/>
      </c>
      <c r="Q7019" s="79" t="str">
        <f>IF(AND(B7019='111'!$L$11,OR($N7019=$Q$7,$O7019=$Q$7)),"x","")</f>
        <v/>
      </c>
      <c r="R7019" s="79" t="str">
        <f>IF(AND($N7019=$Q$7,$B7019&lt;'111'!$L$11),"x","")</f>
        <v/>
      </c>
      <c r="S7019" s="79" t="str">
        <f>IF(AND($O7019=$Q$7,$B7019&lt;'111'!$L$11),"x","")</f>
        <v/>
      </c>
      <c r="T7019" s="79" t="str">
        <f>IF(ISERROR(FIND('112'!$M$9,G7019,1)),"",IF((AND(FIND('112'!$M$9,G7019,1)&gt;=1,B7019='112'!$K$9,OR($N7019='112'!$I$6,$O7019='112'!$I$6))),"x",""))</f>
        <v/>
      </c>
      <c r="U7019" s="79" t="str">
        <f>IF(ISERROR(FIND('112'!$M$9,G7019,1)),"",IF((AND(LEFT(G7019,2)=LEFT('112'!$M$9,2),B7019&lt;'112'!$K$9,$N7019='112'!$I$6)),"x",""))</f>
        <v/>
      </c>
      <c r="V7019" s="79" t="str">
        <f>IF(ISERROR(FIND('112'!$M$9,G7019,1)),"",IF((AND(RIGHT(G7019,2)=RIGHT('112'!$M$9,2),B7019&lt;'112'!$K$9,$O7019='112'!$I$6)),"x",""))</f>
        <v/>
      </c>
      <c r="W7019" s="79" t="str">
        <f>IF(AND('341-CT'!$H$9=H7019,OR(LEFT(N7019,3)=$W$7,LEFT(O7019,3)=$W$7)),"x","")</f>
        <v/>
      </c>
      <c r="X7019" s="79" t="str">
        <f>IF(OR(TH!N7019=TH!$X$7,O7019=TH!$X$7),"x","")</f>
        <v/>
      </c>
      <c r="Y7019" s="79" t="str">
        <f>IF(AND(OR(N7019="131",O7019="131"),H7019='131-CT'!$H$9),"x","")</f>
        <v/>
      </c>
      <c r="Z7019" s="79"/>
      <c r="AA7019" s="79" t="str">
        <f>IF(AND(MONTH(E7019)='IN-NX'!$J$5,'IN-NX'!$D$7=D7019),"x","")</f>
        <v/>
      </c>
      <c r="AB7019" s="79" t="str">
        <f>IF(AND(OR(LEFT(TH!N7019,2)="15",LEFT(TH!O7019,2)="15"),LEFT(TH!O7019,3)&lt;&gt;"111",'152-CT'!$J$8=TH!F7019),"x","")</f>
        <v/>
      </c>
      <c r="AC7019" s="79" t="str">
        <f>IF(AND(OR(LEFT(TH!N7019,2)="15",LEFT(TH!O7019,2)="15"),TK!$E$7=TH!F7019),"x","")</f>
        <v/>
      </c>
      <c r="AD7019" s="79" t="str">
        <f>IF(AND(N7019="1521",MONTH(C7019)='BK-NL'!$M$11),"x","")</f>
        <v/>
      </c>
    </row>
    <row r="7020" spans="1:30" ht="16.5" customHeight="1">
      <c r="A7020" s="318" t="str">
        <f>IF(B7020&lt;&gt;"",IF(AND(B7020='IN-TC'!$S$4,OR(TH!N7020="1111",TH!O7020="1111")),TH!D7020,""),"")</f>
        <v/>
      </c>
      <c r="B7020" s="1163" t="str">
        <f t="shared" si="530"/>
        <v/>
      </c>
      <c r="C7020" s="61"/>
      <c r="D7020" s="61"/>
      <c r="E7020" s="61"/>
      <c r="F7020" s="69"/>
      <c r="G7020" s="64"/>
      <c r="H7020" s="321"/>
      <c r="I7020" s="385"/>
      <c r="J7020" s="392"/>
      <c r="K7020" s="385"/>
      <c r="L7020" s="392"/>
      <c r="M7020" s="62"/>
      <c r="N7020" s="63"/>
      <c r="O7020" s="63"/>
      <c r="P7020" s="79" t="str">
        <f>IF(AND('331-CT'!$E$7=TH!H7020,OR(N7020="331",O7020="331")),"x","")</f>
        <v/>
      </c>
      <c r="Q7020" s="79" t="str">
        <f>IF(AND(B7020='111'!$L$11,OR($N7020=$Q$7,$O7020=$Q$7)),"x","")</f>
        <v/>
      </c>
      <c r="R7020" s="79" t="str">
        <f>IF(AND($N7020=$Q$7,$B7020&lt;'111'!$L$11),"x","")</f>
        <v/>
      </c>
      <c r="S7020" s="79" t="str">
        <f>IF(AND($O7020=$Q$7,$B7020&lt;'111'!$L$11),"x","")</f>
        <v/>
      </c>
      <c r="T7020" s="79" t="str">
        <f>IF(ISERROR(FIND('112'!$M$9,G7020,1)),"",IF((AND(FIND('112'!$M$9,G7020,1)&gt;=1,B7020='112'!$K$9,OR($N7020='112'!$I$6,$O7020='112'!$I$6))),"x",""))</f>
        <v/>
      </c>
      <c r="U7020" s="79" t="str">
        <f>IF(ISERROR(FIND('112'!$M$9,G7020,1)),"",IF((AND(LEFT(G7020,2)=LEFT('112'!$M$9,2),B7020&lt;'112'!$K$9,$N7020='112'!$I$6)),"x",""))</f>
        <v/>
      </c>
      <c r="V7020" s="79" t="str">
        <f>IF(ISERROR(FIND('112'!$M$9,G7020,1)),"",IF((AND(RIGHT(G7020,2)=RIGHT('112'!$M$9,2),B7020&lt;'112'!$K$9,$O7020='112'!$I$6)),"x",""))</f>
        <v/>
      </c>
      <c r="W7020" s="79" t="str">
        <f>IF(AND('341-CT'!$H$9=H7020,OR(LEFT(N7020,3)=$W$7,LEFT(O7020,3)=$W$7)),"x","")</f>
        <v/>
      </c>
      <c r="X7020" s="79" t="str">
        <f>IF(OR(TH!N7020=TH!$X$7,O7020=TH!$X$7),"x","")</f>
        <v/>
      </c>
      <c r="Y7020" s="79" t="str">
        <f>IF(AND(OR(N7020="131",O7020="131"),H7020='131-CT'!$H$9),"x","")</f>
        <v/>
      </c>
      <c r="Z7020" s="79"/>
      <c r="AA7020" s="79" t="str">
        <f>IF(AND(MONTH(E7020)='IN-NX'!$J$5,'IN-NX'!$D$7=D7020),"x","")</f>
        <v/>
      </c>
      <c r="AB7020" s="79" t="str">
        <f>IF(AND(OR(LEFT(TH!N7020,2)="15",LEFT(TH!O7020,2)="15"),LEFT(TH!O7020,3)&lt;&gt;"111",'152-CT'!$J$8=TH!F7020),"x","")</f>
        <v/>
      </c>
      <c r="AC7020" s="79" t="str">
        <f>IF(AND(OR(LEFT(TH!N7020,2)="15",LEFT(TH!O7020,2)="15"),TK!$E$7=TH!F7020),"x","")</f>
        <v/>
      </c>
      <c r="AD7020" s="79" t="str">
        <f>IF(AND(N7020="1521",MONTH(C7020)='BK-NL'!$M$11),"x","")</f>
        <v/>
      </c>
    </row>
    <row r="7021" spans="1:30" ht="16.5" customHeight="1">
      <c r="A7021" s="318" t="str">
        <f>IF(B7021&lt;&gt;"",IF(AND(B7021='IN-TC'!$S$4,OR(TH!N7021="1111",TH!O7021="1111")),TH!D7021,""),"")</f>
        <v/>
      </c>
      <c r="B7021" s="1163" t="str">
        <f t="shared" si="530"/>
        <v/>
      </c>
      <c r="C7021" s="61"/>
      <c r="D7021" s="61"/>
      <c r="E7021" s="61"/>
      <c r="F7021" s="69"/>
      <c r="G7021" s="64"/>
      <c r="H7021" s="69"/>
      <c r="I7021" s="385"/>
      <c r="J7021" s="392"/>
      <c r="K7021" s="385"/>
      <c r="L7021" s="392"/>
      <c r="M7021" s="62"/>
      <c r="N7021" s="63"/>
      <c r="O7021" s="63"/>
      <c r="P7021" s="79" t="str">
        <f>IF(AND('331-CT'!$E$7=TH!H7021,OR(N7021="331",O7021="331")),"x","")</f>
        <v/>
      </c>
      <c r="Q7021" s="79" t="str">
        <f>IF(AND(B7021='111'!$L$11,OR($N7021=$Q$7,$O7021=$Q$7)),"x","")</f>
        <v/>
      </c>
      <c r="R7021" s="79" t="str">
        <f>IF(AND($N7021=$Q$7,$B7021&lt;'111'!$L$11),"x","")</f>
        <v/>
      </c>
      <c r="S7021" s="79" t="str">
        <f>IF(AND($O7021=$Q$7,$B7021&lt;'111'!$L$11),"x","")</f>
        <v/>
      </c>
      <c r="T7021" s="79" t="str">
        <f>IF(ISERROR(FIND('112'!$M$9,G7021,1)),"",IF((AND(FIND('112'!$M$9,G7021,1)&gt;=1,B7021='112'!$K$9,OR($N7021='112'!$I$6,$O7021='112'!$I$6))),"x",""))</f>
        <v/>
      </c>
      <c r="U7021" s="79" t="str">
        <f>IF(ISERROR(FIND('112'!$M$9,G7021,1)),"",IF((AND(LEFT(G7021,2)=LEFT('112'!$M$9,2),B7021&lt;'112'!$K$9,$N7021='112'!$I$6)),"x",""))</f>
        <v/>
      </c>
      <c r="V7021" s="79" t="str">
        <f>IF(ISERROR(FIND('112'!$M$9,G7021,1)),"",IF((AND(RIGHT(G7021,2)=RIGHT('112'!$M$9,2),B7021&lt;'112'!$K$9,$O7021='112'!$I$6)),"x",""))</f>
        <v/>
      </c>
      <c r="W7021" s="79" t="str">
        <f>IF(AND('341-CT'!$H$9=H7021,OR(LEFT(N7021,3)=$W$7,LEFT(O7021,3)=$W$7)),"x","")</f>
        <v/>
      </c>
      <c r="X7021" s="79" t="str">
        <f>IF(OR(TH!N7021=TH!$X$7,O7021=TH!$X$7),"x","")</f>
        <v/>
      </c>
      <c r="Y7021" s="79" t="str">
        <f>IF(AND(OR(N7021="131",O7021="131"),H7021='131-CT'!$H$9),"x","")</f>
        <v/>
      </c>
      <c r="Z7021" s="79"/>
      <c r="AA7021" s="79" t="str">
        <f>IF(AND(MONTH(E7021)='IN-NX'!$J$5,'IN-NX'!$D$7=D7021),"x","")</f>
        <v/>
      </c>
      <c r="AB7021" s="79" t="str">
        <f>IF(AND(OR(LEFT(TH!N7021,2)="15",LEFT(TH!O7021,2)="15"),LEFT(TH!O7021,3)&lt;&gt;"111",'152-CT'!$J$8=TH!F7021),"x","")</f>
        <v/>
      </c>
      <c r="AC7021" s="79" t="str">
        <f>IF(AND(OR(LEFT(TH!N7021,2)="15",LEFT(TH!O7021,2)="15"),TK!$E$7=TH!F7021),"x","")</f>
        <v/>
      </c>
      <c r="AD7021" s="79" t="str">
        <f>IF(AND(N7021="1521",MONTH(C7021)='BK-NL'!$M$11),"x","")</f>
        <v/>
      </c>
    </row>
    <row r="7022" spans="1:30" ht="16.5" customHeight="1">
      <c r="A7022" s="318" t="str">
        <f>IF(B7022&lt;&gt;"",IF(AND(B7022='IN-TC'!$S$4,OR(TH!N7022="1111",TH!O7022="1111")),TH!D7022,""),"")</f>
        <v/>
      </c>
      <c r="B7022" s="1163" t="str">
        <f t="shared" si="530"/>
        <v/>
      </c>
      <c r="C7022" s="61"/>
      <c r="D7022" s="61"/>
      <c r="E7022" s="61"/>
      <c r="F7022" s="69"/>
      <c r="G7022" s="64"/>
      <c r="H7022" s="69"/>
      <c r="I7022" s="385"/>
      <c r="J7022" s="392"/>
      <c r="K7022" s="385"/>
      <c r="L7022" s="392"/>
      <c r="M7022" s="62"/>
      <c r="N7022" s="63"/>
      <c r="O7022" s="63"/>
      <c r="P7022" s="79" t="str">
        <f>IF(AND('331-CT'!$E$7=TH!H7022,OR(N7022="331",O7022="331")),"x","")</f>
        <v/>
      </c>
      <c r="Q7022" s="79" t="str">
        <f>IF(AND(B7022='111'!$L$11,OR($N7022=$Q$7,$O7022=$Q$7)),"x","")</f>
        <v/>
      </c>
      <c r="R7022" s="79" t="str">
        <f>IF(AND($N7022=$Q$7,$B7022&lt;'111'!$L$11),"x","")</f>
        <v/>
      </c>
      <c r="S7022" s="79" t="str">
        <f>IF(AND($O7022=$Q$7,$B7022&lt;'111'!$L$11),"x","")</f>
        <v/>
      </c>
      <c r="T7022" s="79" t="str">
        <f>IF(ISERROR(FIND('112'!$M$9,G7022,1)),"",IF((AND(FIND('112'!$M$9,G7022,1)&gt;=1,B7022='112'!$K$9,OR($N7022='112'!$I$6,$O7022='112'!$I$6))),"x",""))</f>
        <v/>
      </c>
      <c r="U7022" s="79" t="str">
        <f>IF(ISERROR(FIND('112'!$M$9,G7022,1)),"",IF((AND(LEFT(G7022,2)=LEFT('112'!$M$9,2),B7022&lt;'112'!$K$9,$N7022='112'!$I$6)),"x",""))</f>
        <v/>
      </c>
      <c r="V7022" s="79" t="str">
        <f>IF(ISERROR(FIND('112'!$M$9,G7022,1)),"",IF((AND(RIGHT(G7022,2)=RIGHT('112'!$M$9,2),B7022&lt;'112'!$K$9,$O7022='112'!$I$6)),"x",""))</f>
        <v/>
      </c>
      <c r="W7022" s="79" t="str">
        <f>IF(AND('341-CT'!$H$9=H7022,OR(LEFT(N7022,3)=$W$7,LEFT(O7022,3)=$W$7)),"x","")</f>
        <v/>
      </c>
      <c r="X7022" s="79" t="str">
        <f>IF(OR(TH!N7022=TH!$X$7,O7022=TH!$X$7),"x","")</f>
        <v/>
      </c>
      <c r="Y7022" s="79" t="str">
        <f>IF(AND(OR(N7022="131",O7022="131"),H7022='131-CT'!$H$9),"x","")</f>
        <v/>
      </c>
      <c r="Z7022" s="79"/>
      <c r="AA7022" s="79" t="str">
        <f>IF(AND(MONTH(E7022)='IN-NX'!$J$5,'IN-NX'!$D$7=D7022),"x","")</f>
        <v/>
      </c>
      <c r="AB7022" s="79" t="str">
        <f>IF(AND(OR(LEFT(TH!N7022,2)="15",LEFT(TH!O7022,2)="15"),LEFT(TH!O7022,3)&lt;&gt;"111",'152-CT'!$J$8=TH!F7022),"x","")</f>
        <v/>
      </c>
      <c r="AC7022" s="79" t="str">
        <f>IF(AND(OR(LEFT(TH!N7022,2)="15",LEFT(TH!O7022,2)="15"),TK!$E$7=TH!F7022),"x","")</f>
        <v/>
      </c>
      <c r="AD7022" s="79" t="str">
        <f>IF(AND(N7022="1521",MONTH(C7022)='BK-NL'!$M$11),"x","")</f>
        <v/>
      </c>
    </row>
    <row r="7023" spans="1:30" ht="16.5" customHeight="1">
      <c r="A7023" s="318" t="str">
        <f>IF(B7023&lt;&gt;"",IF(AND(B7023='IN-TC'!$S$4,OR(TH!N7023="1111",TH!O7023="1111")),TH!D7023,""),"")</f>
        <v/>
      </c>
      <c r="B7023" s="1163" t="str">
        <f t="shared" si="530"/>
        <v/>
      </c>
      <c r="C7023" s="61"/>
      <c r="D7023" s="61"/>
      <c r="E7023" s="61"/>
      <c r="F7023" s="69"/>
      <c r="G7023" s="766"/>
      <c r="H7023" s="69"/>
      <c r="I7023" s="385"/>
      <c r="J7023" s="392"/>
      <c r="K7023" s="385"/>
      <c r="L7023" s="392"/>
      <c r="M7023" s="62"/>
      <c r="N7023" s="63"/>
      <c r="O7023" s="63"/>
      <c r="P7023" s="79" t="str">
        <f>IF(AND('331-CT'!$E$7=TH!H7023,OR(N7023="331",O7023="331")),"x","")</f>
        <v/>
      </c>
      <c r="Q7023" s="79" t="str">
        <f>IF(AND(B7023='111'!$L$11,OR($N7023=$Q$7,$O7023=$Q$7)),"x","")</f>
        <v/>
      </c>
      <c r="R7023" s="79" t="str">
        <f>IF(AND($N7023=$Q$7,$B7023&lt;'111'!$L$11),"x","")</f>
        <v/>
      </c>
      <c r="S7023" s="79" t="str">
        <f>IF(AND($O7023=$Q$7,$B7023&lt;'111'!$L$11),"x","")</f>
        <v/>
      </c>
      <c r="T7023" s="79" t="str">
        <f>IF(ISERROR(FIND('112'!$M$9,G7023,1)),"",IF((AND(FIND('112'!$M$9,G7023,1)&gt;=1,B7023='112'!$K$9,OR($N7023='112'!$I$6,$O7023='112'!$I$6))),"x",""))</f>
        <v/>
      </c>
      <c r="U7023" s="79" t="str">
        <f>IF(ISERROR(FIND('112'!$M$9,G7023,1)),"",IF((AND(LEFT(G7023,2)=LEFT('112'!$M$9,2),B7023&lt;'112'!$K$9,$N7023='112'!$I$6)),"x",""))</f>
        <v/>
      </c>
      <c r="V7023" s="79" t="str">
        <f>IF(ISERROR(FIND('112'!$M$9,G7023,1)),"",IF((AND(RIGHT(G7023,2)=RIGHT('112'!$M$9,2),B7023&lt;'112'!$K$9,$O7023='112'!$I$6)),"x",""))</f>
        <v/>
      </c>
      <c r="W7023" s="79" t="str">
        <f>IF(AND('341-CT'!$H$9=H7023,OR(LEFT(N7023,3)=$W$7,LEFT(O7023,3)=$W$7)),"x","")</f>
        <v/>
      </c>
      <c r="X7023" s="79" t="str">
        <f>IF(OR(TH!N7023=TH!$X$7,O7023=TH!$X$7),"x","")</f>
        <v/>
      </c>
      <c r="Y7023" s="79" t="str">
        <f>IF(AND(OR(N7023="131",O7023="131"),H7023='131-CT'!$H$9),"x","")</f>
        <v/>
      </c>
      <c r="Z7023" s="79"/>
      <c r="AA7023" s="79" t="str">
        <f>IF(AND(MONTH(E7023)='IN-NX'!$J$5,'IN-NX'!$D$7=D7023),"x","")</f>
        <v/>
      </c>
      <c r="AB7023" s="79" t="str">
        <f>IF(AND(OR(LEFT(TH!N7023,2)="15",LEFT(TH!O7023,2)="15"),LEFT(TH!O7023,3)&lt;&gt;"111",'152-CT'!$J$8=TH!F7023),"x","")</f>
        <v/>
      </c>
      <c r="AC7023" s="79" t="str">
        <f>IF(AND(OR(LEFT(TH!N7023,2)="15",LEFT(TH!O7023,2)="15"),TK!$E$7=TH!F7023),"x","")</f>
        <v/>
      </c>
      <c r="AD7023" s="79" t="str">
        <f>IF(AND(N7023="1521",MONTH(C7023)='BK-NL'!$M$11),"x","")</f>
        <v/>
      </c>
    </row>
    <row r="7024" spans="1:30" ht="16.5" customHeight="1">
      <c r="A7024" s="318" t="str">
        <f>IF(B7024&lt;&gt;"",IF(AND(B7024='IN-TC'!$S$4,OR(TH!N7024="1111",TH!O7024="1111")),TH!D7024,""),"")</f>
        <v/>
      </c>
      <c r="B7024" s="1163" t="str">
        <f t="shared" si="530"/>
        <v/>
      </c>
      <c r="C7024" s="61"/>
      <c r="D7024" s="61"/>
      <c r="E7024" s="61"/>
      <c r="F7024" s="69"/>
      <c r="G7024" s="766"/>
      <c r="H7024" s="69"/>
      <c r="I7024" s="385"/>
      <c r="J7024" s="392"/>
      <c r="K7024" s="385"/>
      <c r="L7024" s="392"/>
      <c r="M7024" s="62"/>
      <c r="N7024" s="63"/>
      <c r="O7024" s="63"/>
      <c r="P7024" s="79" t="str">
        <f>IF(AND('331-CT'!$E$7=TH!H7024,OR(N7024="331",O7024="331")),"x","")</f>
        <v/>
      </c>
      <c r="Q7024" s="79" t="str">
        <f>IF(AND(B7024='111'!$L$11,OR($N7024=$Q$7,$O7024=$Q$7)),"x","")</f>
        <v/>
      </c>
      <c r="R7024" s="79" t="str">
        <f>IF(AND($N7024=$Q$7,$B7024&lt;'111'!$L$11),"x","")</f>
        <v/>
      </c>
      <c r="S7024" s="79" t="str">
        <f>IF(AND($O7024=$Q$7,$B7024&lt;'111'!$L$11),"x","")</f>
        <v/>
      </c>
      <c r="T7024" s="79" t="str">
        <f>IF(ISERROR(FIND('112'!$M$9,G7024,1)),"",IF((AND(FIND('112'!$M$9,G7024,1)&gt;=1,B7024='112'!$K$9,OR($N7024='112'!$I$6,$O7024='112'!$I$6))),"x",""))</f>
        <v/>
      </c>
      <c r="U7024" s="79" t="str">
        <f>IF(ISERROR(FIND('112'!$M$9,G7024,1)),"",IF((AND(LEFT(G7024,2)=LEFT('112'!$M$9,2),B7024&lt;'112'!$K$9,$N7024='112'!$I$6)),"x",""))</f>
        <v/>
      </c>
      <c r="V7024" s="79" t="str">
        <f>IF(ISERROR(FIND('112'!$M$9,G7024,1)),"",IF((AND(RIGHT(G7024,2)=RIGHT('112'!$M$9,2),B7024&lt;'112'!$K$9,$O7024='112'!$I$6)),"x",""))</f>
        <v/>
      </c>
      <c r="W7024" s="79" t="str">
        <f>IF(AND('341-CT'!$H$9=H7024,OR(LEFT(N7024,3)=$W$7,LEFT(O7024,3)=$W$7)),"x","")</f>
        <v/>
      </c>
      <c r="X7024" s="79" t="str">
        <f>IF(OR(TH!N7024=TH!$X$7,O7024=TH!$X$7),"x","")</f>
        <v/>
      </c>
      <c r="Y7024" s="79" t="str">
        <f>IF(AND(OR(N7024="131",O7024="131"),H7024='131-CT'!$H$9),"x","")</f>
        <v/>
      </c>
      <c r="Z7024" s="79"/>
      <c r="AA7024" s="79" t="str">
        <f>IF(AND(MONTH(E7024)='IN-NX'!$J$5,'IN-NX'!$D$7=D7024),"x","")</f>
        <v/>
      </c>
      <c r="AB7024" s="79" t="str">
        <f>IF(AND(OR(LEFT(TH!N7024,2)="15",LEFT(TH!O7024,2)="15"),LEFT(TH!O7024,3)&lt;&gt;"111",'152-CT'!$J$8=TH!F7024),"x","")</f>
        <v/>
      </c>
      <c r="AC7024" s="79" t="str">
        <f>IF(AND(OR(LEFT(TH!N7024,2)="15",LEFT(TH!O7024,2)="15"),TK!$E$7=TH!F7024),"x","")</f>
        <v/>
      </c>
      <c r="AD7024" s="79" t="str">
        <f>IF(AND(N7024="1521",MONTH(C7024)='BK-NL'!$M$11),"x","")</f>
        <v/>
      </c>
    </row>
    <row r="7025" spans="1:30" ht="16.5" customHeight="1">
      <c r="A7025" s="318" t="str">
        <f>IF(B7025&lt;&gt;"",IF(AND(B7025='IN-TC'!$S$4,OR(TH!N7025="1111",TH!O7025="1111")),TH!D7025,""),"")</f>
        <v/>
      </c>
      <c r="B7025" s="1163" t="str">
        <f t="shared" si="530"/>
        <v/>
      </c>
      <c r="C7025" s="61"/>
      <c r="D7025" s="61"/>
      <c r="E7025" s="61"/>
      <c r="F7025" s="69"/>
      <c r="G7025" s="64"/>
      <c r="H7025" s="69"/>
      <c r="I7025" s="385"/>
      <c r="J7025" s="392"/>
      <c r="K7025" s="385"/>
      <c r="L7025" s="392"/>
      <c r="M7025" s="62"/>
      <c r="N7025" s="63"/>
      <c r="O7025" s="63"/>
      <c r="P7025" s="79" t="str">
        <f>IF(AND('331-CT'!$E$7=TH!H7025,OR(N7025="331",O7025="331")),"x","")</f>
        <v/>
      </c>
      <c r="Q7025" s="79" t="str">
        <f>IF(AND(B7025='111'!$L$11,OR($N7025=$Q$7,$O7025=$Q$7)),"x","")</f>
        <v/>
      </c>
      <c r="R7025" s="79" t="str">
        <f>IF(AND($N7025=$Q$7,$B7025&lt;'111'!$L$11),"x","")</f>
        <v/>
      </c>
      <c r="S7025" s="79" t="str">
        <f>IF(AND($O7025=$Q$7,$B7025&lt;'111'!$L$11),"x","")</f>
        <v/>
      </c>
      <c r="T7025" s="79" t="str">
        <f>IF(ISERROR(FIND('112'!$M$9,G7025,1)),"",IF((AND(FIND('112'!$M$9,G7025,1)&gt;=1,B7025='112'!$K$9,OR($N7025='112'!$I$6,$O7025='112'!$I$6))),"x",""))</f>
        <v/>
      </c>
      <c r="U7025" s="79" t="str">
        <f>IF(ISERROR(FIND('112'!$M$9,G7025,1)),"",IF((AND(LEFT(G7025,2)=LEFT('112'!$M$9,2),B7025&lt;'112'!$K$9,$N7025='112'!$I$6)),"x",""))</f>
        <v/>
      </c>
      <c r="V7025" s="79" t="str">
        <f>IF(ISERROR(FIND('112'!$M$9,G7025,1)),"",IF((AND(RIGHT(G7025,2)=RIGHT('112'!$M$9,2),B7025&lt;'112'!$K$9,$O7025='112'!$I$6)),"x",""))</f>
        <v/>
      </c>
      <c r="W7025" s="79" t="str">
        <f>IF(AND('341-CT'!$H$9=H7025,OR(LEFT(N7025,3)=$W$7,LEFT(O7025,3)=$W$7)),"x","")</f>
        <v/>
      </c>
      <c r="X7025" s="79" t="str">
        <f>IF(OR(TH!N7025=TH!$X$7,O7025=TH!$X$7),"x","")</f>
        <v/>
      </c>
      <c r="Y7025" s="79" t="str">
        <f>IF(AND(OR(N7025="131",O7025="131"),H7025='131-CT'!$H$9),"x","")</f>
        <v/>
      </c>
      <c r="Z7025" s="79"/>
      <c r="AA7025" s="79" t="str">
        <f>IF(AND(MONTH(E7025)='IN-NX'!$J$5,'IN-NX'!$D$7=D7025),"x","")</f>
        <v/>
      </c>
      <c r="AB7025" s="79" t="str">
        <f>IF(AND(OR(LEFT(TH!N7025,2)="15",LEFT(TH!O7025,2)="15"),LEFT(TH!O7025,3)&lt;&gt;"111",'152-CT'!$J$8=TH!F7025),"x","")</f>
        <v/>
      </c>
      <c r="AC7025" s="79" t="str">
        <f>IF(AND(OR(LEFT(TH!N7025,2)="15",LEFT(TH!O7025,2)="15"),TK!$E$7=TH!F7025),"x","")</f>
        <v/>
      </c>
      <c r="AD7025" s="79" t="str">
        <f>IF(AND(N7025="1521",MONTH(C7025)='BK-NL'!$M$11),"x","")</f>
        <v/>
      </c>
    </row>
    <row r="7026" spans="1:30" ht="16.5" customHeight="1">
      <c r="A7026" s="318" t="str">
        <f>IF(B7026&lt;&gt;"",IF(AND(B7026='IN-TC'!$S$4,OR(TH!N7026="1111",TH!O7026="1111")),TH!D7026,""),"")</f>
        <v/>
      </c>
      <c r="B7026" s="1163" t="str">
        <f t="shared" si="530"/>
        <v/>
      </c>
      <c r="C7026" s="61"/>
      <c r="D7026" s="61"/>
      <c r="E7026" s="61"/>
      <c r="F7026" s="69"/>
      <c r="G7026" s="64"/>
      <c r="H7026" s="69"/>
      <c r="I7026" s="385"/>
      <c r="J7026" s="392"/>
      <c r="K7026" s="385"/>
      <c r="L7026" s="392"/>
      <c r="M7026" s="62"/>
      <c r="N7026" s="63"/>
      <c r="O7026" s="63"/>
      <c r="P7026" s="79" t="str">
        <f>IF(AND('331-CT'!$E$7=TH!H7026,OR(N7026="331",O7026="331")),"x","")</f>
        <v/>
      </c>
      <c r="Q7026" s="79" t="str">
        <f>IF(AND(B7026='111'!$L$11,OR($N7026=$Q$7,$O7026=$Q$7)),"x","")</f>
        <v/>
      </c>
      <c r="R7026" s="79" t="str">
        <f>IF(AND($N7026=$Q$7,$B7026&lt;'111'!$L$11),"x","")</f>
        <v/>
      </c>
      <c r="S7026" s="79" t="str">
        <f>IF(AND($O7026=$Q$7,$B7026&lt;'111'!$L$11),"x","")</f>
        <v/>
      </c>
      <c r="T7026" s="79" t="str">
        <f>IF(ISERROR(FIND('112'!$M$9,G7026,1)),"",IF((AND(FIND('112'!$M$9,G7026,1)&gt;=1,B7026='112'!$K$9,OR($N7026='112'!$I$6,$O7026='112'!$I$6))),"x",""))</f>
        <v/>
      </c>
      <c r="U7026" s="79" t="str">
        <f>IF(ISERROR(FIND('112'!$M$9,G7026,1)),"",IF((AND(LEFT(G7026,2)=LEFT('112'!$M$9,2),B7026&lt;'112'!$K$9,$N7026='112'!$I$6)),"x",""))</f>
        <v/>
      </c>
      <c r="V7026" s="79" t="str">
        <f>IF(ISERROR(FIND('112'!$M$9,G7026,1)),"",IF((AND(RIGHT(G7026,2)=RIGHT('112'!$M$9,2),B7026&lt;'112'!$K$9,$O7026='112'!$I$6)),"x",""))</f>
        <v/>
      </c>
      <c r="W7026" s="79" t="str">
        <f>IF(AND('341-CT'!$H$9=H7026,OR(LEFT(N7026,3)=$W$7,LEFT(O7026,3)=$W$7)),"x","")</f>
        <v/>
      </c>
      <c r="X7026" s="79" t="str">
        <f>IF(OR(TH!N7026=TH!$X$7,O7026=TH!$X$7),"x","")</f>
        <v/>
      </c>
      <c r="Y7026" s="79" t="str">
        <f>IF(AND(OR(N7026="131",O7026="131"),H7026='131-CT'!$H$9),"x","")</f>
        <v/>
      </c>
      <c r="Z7026" s="79"/>
      <c r="AA7026" s="79" t="str">
        <f>IF(AND(MONTH(E7026)='IN-NX'!$J$5,'IN-NX'!$D$7=D7026),"x","")</f>
        <v/>
      </c>
      <c r="AB7026" s="79" t="str">
        <f>IF(AND(OR(LEFT(TH!N7026,2)="15",LEFT(TH!O7026,2)="15"),LEFT(TH!O7026,3)&lt;&gt;"111",'152-CT'!$J$8=TH!F7026),"x","")</f>
        <v/>
      </c>
      <c r="AC7026" s="79" t="str">
        <f>IF(AND(OR(LEFT(TH!N7026,2)="15",LEFT(TH!O7026,2)="15"),TK!$E$7=TH!F7026),"x","")</f>
        <v/>
      </c>
      <c r="AD7026" s="79" t="str">
        <f>IF(AND(N7026="1521",MONTH(C7026)='BK-NL'!$M$11),"x","")</f>
        <v/>
      </c>
    </row>
    <row r="7027" spans="1:30" ht="16.5" customHeight="1">
      <c r="A7027" s="318" t="str">
        <f>IF(B7027&lt;&gt;"",IF(AND(B7027='IN-TC'!$S$4,OR(TH!N7027="1111",TH!O7027="1111")),TH!D7027,""),"")</f>
        <v/>
      </c>
      <c r="B7027" s="1163" t="str">
        <f t="shared" si="530"/>
        <v/>
      </c>
      <c r="C7027" s="61"/>
      <c r="D7027" s="61"/>
      <c r="E7027" s="61"/>
      <c r="F7027" s="69"/>
      <c r="G7027" s="64"/>
      <c r="H7027" s="69"/>
      <c r="I7027" s="385"/>
      <c r="J7027" s="392"/>
      <c r="K7027" s="385"/>
      <c r="L7027" s="392"/>
      <c r="M7027" s="62"/>
      <c r="N7027" s="63"/>
      <c r="O7027" s="63"/>
      <c r="P7027" s="79" t="str">
        <f>IF(AND('331-CT'!$E$7=TH!H7027,OR(N7027="331",O7027="331")),"x","")</f>
        <v/>
      </c>
      <c r="Q7027" s="79" t="str">
        <f>IF(AND(B7027='111'!$L$11,OR($N7027=$Q$7,$O7027=$Q$7)),"x","")</f>
        <v/>
      </c>
      <c r="R7027" s="79" t="str">
        <f>IF(AND($N7027=$Q$7,$B7027&lt;'111'!$L$11),"x","")</f>
        <v/>
      </c>
      <c r="S7027" s="79" t="str">
        <f>IF(AND($O7027=$Q$7,$B7027&lt;'111'!$L$11),"x","")</f>
        <v/>
      </c>
      <c r="T7027" s="79" t="str">
        <f>IF(ISERROR(FIND('112'!$M$9,G7027,1)),"",IF((AND(FIND('112'!$M$9,G7027,1)&gt;=1,B7027='112'!$K$9,OR($N7027='112'!$I$6,$O7027='112'!$I$6))),"x",""))</f>
        <v/>
      </c>
      <c r="U7027" s="79" t="str">
        <f>IF(ISERROR(FIND('112'!$M$9,G7027,1)),"",IF((AND(LEFT(G7027,2)=LEFT('112'!$M$9,2),B7027&lt;'112'!$K$9,$N7027='112'!$I$6)),"x",""))</f>
        <v/>
      </c>
      <c r="V7027" s="79" t="str">
        <f>IF(ISERROR(FIND('112'!$M$9,G7027,1)),"",IF((AND(RIGHT(G7027,2)=RIGHT('112'!$M$9,2),B7027&lt;'112'!$K$9,$O7027='112'!$I$6)),"x",""))</f>
        <v/>
      </c>
      <c r="W7027" s="79" t="str">
        <f>IF(AND('341-CT'!$H$9=H7027,OR(LEFT(N7027,3)=$W$7,LEFT(O7027,3)=$W$7)),"x","")</f>
        <v/>
      </c>
      <c r="X7027" s="79" t="str">
        <f>IF(OR(TH!N7027=TH!$X$7,O7027=TH!$X$7),"x","")</f>
        <v/>
      </c>
      <c r="Y7027" s="79" t="str">
        <f>IF(AND(OR(N7027="131",O7027="131"),H7027='131-CT'!$H$9),"x","")</f>
        <v/>
      </c>
      <c r="Z7027" s="79"/>
      <c r="AA7027" s="79" t="str">
        <f>IF(AND(MONTH(E7027)='IN-NX'!$J$5,'IN-NX'!$D$7=D7027),"x","")</f>
        <v/>
      </c>
      <c r="AB7027" s="79" t="str">
        <f>IF(AND(OR(LEFT(TH!N7027,2)="15",LEFT(TH!O7027,2)="15"),LEFT(TH!O7027,3)&lt;&gt;"111",'152-CT'!$J$8=TH!F7027),"x","")</f>
        <v/>
      </c>
      <c r="AC7027" s="79" t="str">
        <f>IF(AND(OR(LEFT(TH!N7027,2)="15",LEFT(TH!O7027,2)="15"),TK!$E$7=TH!F7027),"x","")</f>
        <v/>
      </c>
      <c r="AD7027" s="79" t="str">
        <f>IF(AND(N7027="1521",MONTH(C7027)='BK-NL'!$M$11),"x","")</f>
        <v/>
      </c>
    </row>
    <row r="7028" spans="1:30" ht="16.5" customHeight="1">
      <c r="A7028" s="318" t="str">
        <f>IF(B7028&lt;&gt;"",IF(AND(B7028='IN-TC'!$S$4,OR(TH!N7028="1111",TH!O7028="1111")),TH!D7028,""),"")</f>
        <v/>
      </c>
      <c r="B7028" s="1163" t="str">
        <f t="shared" si="530"/>
        <v/>
      </c>
      <c r="C7028" s="61"/>
      <c r="D7028" s="61"/>
      <c r="E7028" s="61"/>
      <c r="F7028" s="69"/>
      <c r="G7028" s="64"/>
      <c r="H7028" s="69"/>
      <c r="I7028" s="385"/>
      <c r="J7028" s="392"/>
      <c r="K7028" s="385"/>
      <c r="L7028" s="392"/>
      <c r="M7028" s="62"/>
      <c r="N7028" s="63"/>
      <c r="O7028" s="63"/>
      <c r="P7028" s="79" t="str">
        <f>IF(AND('331-CT'!$E$7=TH!H7028,OR(N7028="331",O7028="331")),"x","")</f>
        <v/>
      </c>
      <c r="Q7028" s="79" t="str">
        <f>IF(AND(B7028='111'!$L$11,OR($N7028=$Q$7,$O7028=$Q$7)),"x","")</f>
        <v/>
      </c>
      <c r="R7028" s="79" t="str">
        <f>IF(AND($N7028=$Q$7,$B7028&lt;'111'!$L$11),"x","")</f>
        <v/>
      </c>
      <c r="S7028" s="79" t="str">
        <f>IF(AND($O7028=$Q$7,$B7028&lt;'111'!$L$11),"x","")</f>
        <v/>
      </c>
      <c r="T7028" s="79" t="str">
        <f>IF(ISERROR(FIND('112'!$M$9,G7028,1)),"",IF((AND(FIND('112'!$M$9,G7028,1)&gt;=1,B7028='112'!$K$9,OR($N7028='112'!$I$6,$O7028='112'!$I$6))),"x",""))</f>
        <v/>
      </c>
      <c r="U7028" s="79" t="str">
        <f>IF(ISERROR(FIND('112'!$M$9,G7028,1)),"",IF((AND(LEFT(G7028,2)=LEFT('112'!$M$9,2),B7028&lt;'112'!$K$9,$N7028='112'!$I$6)),"x",""))</f>
        <v/>
      </c>
      <c r="V7028" s="79" t="str">
        <f>IF(ISERROR(FIND('112'!$M$9,G7028,1)),"",IF((AND(RIGHT(G7028,2)=RIGHT('112'!$M$9,2),B7028&lt;'112'!$K$9,$O7028='112'!$I$6)),"x",""))</f>
        <v/>
      </c>
      <c r="W7028" s="79" t="str">
        <f>IF(AND('341-CT'!$H$9=H7028,OR(LEFT(N7028,3)=$W$7,LEFT(O7028,3)=$W$7)),"x","")</f>
        <v/>
      </c>
      <c r="X7028" s="79" t="str">
        <f>IF(OR(TH!N7028=TH!$X$7,O7028=TH!$X$7),"x","")</f>
        <v/>
      </c>
      <c r="Y7028" s="79" t="str">
        <f>IF(AND(OR(N7028="131",O7028="131"),H7028='131-CT'!$H$9),"x","")</f>
        <v/>
      </c>
      <c r="Z7028" s="79"/>
      <c r="AA7028" s="79" t="str">
        <f>IF(AND(MONTH(E7028)='IN-NX'!$J$5,'IN-NX'!$D$7=D7028),"x","")</f>
        <v/>
      </c>
      <c r="AB7028" s="79" t="str">
        <f>IF(AND(OR(LEFT(TH!N7028,2)="15",LEFT(TH!O7028,2)="15"),LEFT(TH!O7028,3)&lt;&gt;"111",'152-CT'!$J$8=TH!F7028),"x","")</f>
        <v/>
      </c>
      <c r="AC7028" s="79" t="str">
        <f>IF(AND(OR(LEFT(TH!N7028,2)="15",LEFT(TH!O7028,2)="15"),TK!$E$7=TH!F7028),"x","")</f>
        <v/>
      </c>
      <c r="AD7028" s="79" t="str">
        <f>IF(AND(N7028="1521",MONTH(C7028)='BK-NL'!$M$11),"x","")</f>
        <v/>
      </c>
    </row>
    <row r="7029" spans="1:30" ht="16.5" customHeight="1">
      <c r="A7029" s="318" t="str">
        <f>IF(B7029&lt;&gt;"",IF(AND(B7029='IN-TC'!$S$4,OR(TH!N7029="1111",TH!O7029="1111")),TH!D7029,""),"")</f>
        <v/>
      </c>
      <c r="B7029" s="1163" t="str">
        <f t="shared" si="530"/>
        <v/>
      </c>
      <c r="C7029" s="61"/>
      <c r="D7029" s="61"/>
      <c r="E7029" s="61"/>
      <c r="F7029" s="69"/>
      <c r="G7029" s="64"/>
      <c r="H7029" s="69"/>
      <c r="I7029" s="385"/>
      <c r="J7029" s="392"/>
      <c r="K7029" s="385"/>
      <c r="L7029" s="392"/>
      <c r="M7029" s="62"/>
      <c r="N7029" s="63"/>
      <c r="O7029" s="63"/>
      <c r="P7029" s="79" t="str">
        <f>IF(AND('331-CT'!$E$7=TH!H7029,OR(N7029="331",O7029="331")),"x","")</f>
        <v/>
      </c>
      <c r="Q7029" s="79" t="str">
        <f>IF(AND(B7029='111'!$L$11,OR($N7029=$Q$7,$O7029=$Q$7)),"x","")</f>
        <v/>
      </c>
      <c r="R7029" s="79" t="str">
        <f>IF(AND($N7029=$Q$7,$B7029&lt;'111'!$L$11),"x","")</f>
        <v/>
      </c>
      <c r="S7029" s="79" t="str">
        <f>IF(AND($O7029=$Q$7,$B7029&lt;'111'!$L$11),"x","")</f>
        <v/>
      </c>
      <c r="T7029" s="79" t="str">
        <f>IF(ISERROR(FIND('112'!$M$9,G7029,1)),"",IF((AND(FIND('112'!$M$9,G7029,1)&gt;=1,B7029='112'!$K$9,OR($N7029='112'!$I$6,$O7029='112'!$I$6))),"x",""))</f>
        <v/>
      </c>
      <c r="U7029" s="79" t="str">
        <f>IF(ISERROR(FIND('112'!$M$9,G7029,1)),"",IF((AND(LEFT(G7029,2)=LEFT('112'!$M$9,2),B7029&lt;'112'!$K$9,$N7029='112'!$I$6)),"x",""))</f>
        <v/>
      </c>
      <c r="V7029" s="79" t="str">
        <f>IF(ISERROR(FIND('112'!$M$9,G7029,1)),"",IF((AND(RIGHT(G7029,2)=RIGHT('112'!$M$9,2),B7029&lt;'112'!$K$9,$O7029='112'!$I$6)),"x",""))</f>
        <v/>
      </c>
      <c r="W7029" s="79" t="str">
        <f>IF(AND('341-CT'!$H$9=H7029,OR(LEFT(N7029,3)=$W$7,LEFT(O7029,3)=$W$7)),"x","")</f>
        <v/>
      </c>
      <c r="X7029" s="79" t="str">
        <f>IF(OR(TH!N7029=TH!$X$7,O7029=TH!$X$7),"x","")</f>
        <v/>
      </c>
      <c r="Y7029" s="79" t="str">
        <f>IF(AND(OR(N7029="131",O7029="131"),H7029='131-CT'!$H$9),"x","")</f>
        <v/>
      </c>
      <c r="Z7029" s="79"/>
      <c r="AA7029" s="79" t="str">
        <f>IF(AND(MONTH(E7029)='IN-NX'!$J$5,'IN-NX'!$D$7=D7029),"x","")</f>
        <v/>
      </c>
      <c r="AB7029" s="79" t="str">
        <f>IF(AND(OR(LEFT(TH!N7029,2)="15",LEFT(TH!O7029,2)="15"),LEFT(TH!O7029,3)&lt;&gt;"111",'152-CT'!$J$8=TH!F7029),"x","")</f>
        <v/>
      </c>
      <c r="AC7029" s="79" t="str">
        <f>IF(AND(OR(LEFT(TH!N7029,2)="15",LEFT(TH!O7029,2)="15"),TK!$E$7=TH!F7029),"x","")</f>
        <v/>
      </c>
      <c r="AD7029" s="79" t="str">
        <f>IF(AND(N7029="1521",MONTH(C7029)='BK-NL'!$M$11),"x","")</f>
        <v/>
      </c>
    </row>
    <row r="7030" spans="1:30" ht="16.5" customHeight="1">
      <c r="A7030" s="318" t="str">
        <f>IF(B7030&lt;&gt;"",IF(AND(B7030='IN-TC'!$S$4,OR(TH!N7030="1111",TH!O7030="1111")),TH!D7030,""),"")</f>
        <v/>
      </c>
      <c r="B7030" s="1163" t="str">
        <f t="shared" si="530"/>
        <v/>
      </c>
      <c r="C7030" s="61"/>
      <c r="D7030" s="61"/>
      <c r="E7030" s="61"/>
      <c r="F7030" s="69"/>
      <c r="G7030" s="64"/>
      <c r="H7030" s="69"/>
      <c r="I7030" s="385"/>
      <c r="J7030" s="392"/>
      <c r="K7030" s="385"/>
      <c r="L7030" s="392"/>
      <c r="M7030" s="62"/>
      <c r="N7030" s="63"/>
      <c r="O7030" s="63"/>
      <c r="P7030" s="79" t="str">
        <f>IF(AND('331-CT'!$E$7=TH!H7030,OR(N7030="331",O7030="331")),"x","")</f>
        <v/>
      </c>
      <c r="Q7030" s="79" t="str">
        <f>IF(AND(B7030='111'!$L$11,OR($N7030=$Q$7,$O7030=$Q$7)),"x","")</f>
        <v/>
      </c>
      <c r="R7030" s="79" t="str">
        <f>IF(AND($N7030=$Q$7,$B7030&lt;'111'!$L$11),"x","")</f>
        <v/>
      </c>
      <c r="S7030" s="79" t="str">
        <f>IF(AND($O7030=$Q$7,$B7030&lt;'111'!$L$11),"x","")</f>
        <v/>
      </c>
      <c r="T7030" s="79" t="str">
        <f>IF(ISERROR(FIND('112'!$M$9,G7030,1)),"",IF((AND(FIND('112'!$M$9,G7030,1)&gt;=1,B7030='112'!$K$9,OR($N7030='112'!$I$6,$O7030='112'!$I$6))),"x",""))</f>
        <v/>
      </c>
      <c r="U7030" s="79" t="str">
        <f>IF(ISERROR(FIND('112'!$M$9,G7030,1)),"",IF((AND(LEFT(G7030,2)=LEFT('112'!$M$9,2),B7030&lt;'112'!$K$9,$N7030='112'!$I$6)),"x",""))</f>
        <v/>
      </c>
      <c r="V7030" s="79" t="str">
        <f>IF(ISERROR(FIND('112'!$M$9,G7030,1)),"",IF((AND(RIGHT(G7030,2)=RIGHT('112'!$M$9,2),B7030&lt;'112'!$K$9,$O7030='112'!$I$6)),"x",""))</f>
        <v/>
      </c>
      <c r="W7030" s="79" t="str">
        <f>IF(AND('341-CT'!$H$9=H7030,OR(LEFT(N7030,3)=$W$7,LEFT(O7030,3)=$W$7)),"x","")</f>
        <v/>
      </c>
      <c r="X7030" s="79" t="str">
        <f>IF(OR(TH!N7030=TH!$X$7,O7030=TH!$X$7),"x","")</f>
        <v/>
      </c>
      <c r="Y7030" s="79" t="str">
        <f>IF(AND(OR(N7030="131",O7030="131"),H7030='131-CT'!$H$9),"x","")</f>
        <v/>
      </c>
      <c r="Z7030" s="79"/>
      <c r="AA7030" s="79" t="str">
        <f>IF(AND(MONTH(E7030)='IN-NX'!$J$5,'IN-NX'!$D$7=D7030),"x","")</f>
        <v/>
      </c>
      <c r="AB7030" s="79" t="str">
        <f>IF(AND(OR(LEFT(TH!N7030,2)="15",LEFT(TH!O7030,2)="15"),LEFT(TH!O7030,3)&lt;&gt;"111",'152-CT'!$J$8=TH!F7030),"x","")</f>
        <v/>
      </c>
      <c r="AC7030" s="79" t="str">
        <f>IF(AND(OR(LEFT(TH!N7030,2)="15",LEFT(TH!O7030,2)="15"),TK!$E$7=TH!F7030),"x","")</f>
        <v/>
      </c>
      <c r="AD7030" s="79" t="str">
        <f>IF(AND(N7030="1521",MONTH(C7030)='BK-NL'!$M$11),"x","")</f>
        <v/>
      </c>
    </row>
    <row r="7031" spans="1:30" ht="16.5" customHeight="1">
      <c r="A7031" s="318" t="str">
        <f>IF(B7031&lt;&gt;"",IF(AND(B7031='IN-TC'!$S$4,OR(TH!N7031="1111",TH!O7031="1111")),TH!D7031,""),"")</f>
        <v/>
      </c>
      <c r="B7031" s="1163" t="str">
        <f t="shared" si="530"/>
        <v/>
      </c>
      <c r="C7031" s="61"/>
      <c r="D7031" s="61"/>
      <c r="E7031" s="61"/>
      <c r="F7031" s="69"/>
      <c r="G7031" s="64"/>
      <c r="H7031" s="69"/>
      <c r="I7031" s="385"/>
      <c r="J7031" s="392"/>
      <c r="K7031" s="385"/>
      <c r="L7031" s="392"/>
      <c r="M7031" s="62"/>
      <c r="N7031" s="63"/>
      <c r="O7031" s="63"/>
      <c r="P7031" s="79" t="str">
        <f>IF(AND('331-CT'!$E$7=TH!H7031,OR(N7031="331",O7031="331")),"x","")</f>
        <v/>
      </c>
      <c r="Q7031" s="79" t="str">
        <f>IF(AND(B7031='111'!$L$11,OR($N7031=$Q$7,$O7031=$Q$7)),"x","")</f>
        <v/>
      </c>
      <c r="R7031" s="79" t="str">
        <f>IF(AND($N7031=$Q$7,$B7031&lt;'111'!$L$11),"x","")</f>
        <v/>
      </c>
      <c r="S7031" s="79" t="str">
        <f>IF(AND($O7031=$Q$7,$B7031&lt;'111'!$L$11),"x","")</f>
        <v/>
      </c>
      <c r="T7031" s="79" t="str">
        <f>IF(ISERROR(FIND('112'!$M$9,G7031,1)),"",IF((AND(FIND('112'!$M$9,G7031,1)&gt;=1,B7031='112'!$K$9,OR($N7031='112'!$I$6,$O7031='112'!$I$6))),"x",""))</f>
        <v/>
      </c>
      <c r="U7031" s="79" t="str">
        <f>IF(ISERROR(FIND('112'!$M$9,G7031,1)),"",IF((AND(LEFT(G7031,2)=LEFT('112'!$M$9,2),B7031&lt;'112'!$K$9,$N7031='112'!$I$6)),"x",""))</f>
        <v/>
      </c>
      <c r="V7031" s="79" t="str">
        <f>IF(ISERROR(FIND('112'!$M$9,G7031,1)),"",IF((AND(RIGHT(G7031,2)=RIGHT('112'!$M$9,2),B7031&lt;'112'!$K$9,$O7031='112'!$I$6)),"x",""))</f>
        <v/>
      </c>
      <c r="W7031" s="79" t="str">
        <f>IF(AND('341-CT'!$H$9=H7031,OR(LEFT(N7031,3)=$W$7,LEFT(O7031,3)=$W$7)),"x","")</f>
        <v/>
      </c>
      <c r="X7031" s="79" t="str">
        <f>IF(OR(TH!N7031=TH!$X$7,O7031=TH!$X$7),"x","")</f>
        <v/>
      </c>
      <c r="Y7031" s="79" t="str">
        <f>IF(AND(OR(N7031="131",O7031="131"),H7031='131-CT'!$H$9),"x","")</f>
        <v/>
      </c>
      <c r="Z7031" s="79"/>
      <c r="AA7031" s="79" t="str">
        <f>IF(AND(MONTH(E7031)='IN-NX'!$J$5,'IN-NX'!$D$7=D7031),"x","")</f>
        <v/>
      </c>
      <c r="AB7031" s="79" t="str">
        <f>IF(AND(OR(LEFT(TH!N7031,2)="15",LEFT(TH!O7031,2)="15"),LEFT(TH!O7031,3)&lt;&gt;"111",'152-CT'!$J$8=TH!F7031),"x","")</f>
        <v/>
      </c>
      <c r="AC7031" s="79" t="str">
        <f>IF(AND(OR(LEFT(TH!N7031,2)="15",LEFT(TH!O7031,2)="15"),TK!$E$7=TH!F7031),"x","")</f>
        <v/>
      </c>
      <c r="AD7031" s="79" t="str">
        <f>IF(AND(N7031="1521",MONTH(C7031)='BK-NL'!$M$11),"x","")</f>
        <v/>
      </c>
    </row>
    <row r="7032" spans="1:30" ht="16.5" customHeight="1">
      <c r="A7032" s="318" t="str">
        <f>IF(B7032&lt;&gt;"",IF(AND(B7032='IN-TC'!$S$4,OR(TH!N7032="1111",TH!O7032="1111")),TH!D7032,""),"")</f>
        <v/>
      </c>
      <c r="B7032" s="1163" t="str">
        <f t="shared" si="530"/>
        <v/>
      </c>
      <c r="C7032" s="61"/>
      <c r="D7032" s="61"/>
      <c r="E7032" s="61"/>
      <c r="F7032" s="69"/>
      <c r="G7032" s="64"/>
      <c r="H7032" s="69"/>
      <c r="I7032" s="385"/>
      <c r="J7032" s="392"/>
      <c r="K7032" s="385"/>
      <c r="L7032" s="392"/>
      <c r="M7032" s="62"/>
      <c r="N7032" s="63"/>
      <c r="O7032" s="63"/>
      <c r="P7032" s="79" t="str">
        <f>IF(AND('331-CT'!$E$7=TH!H7032,OR(N7032="331",O7032="331")),"x","")</f>
        <v/>
      </c>
      <c r="Q7032" s="79" t="str">
        <f>IF(AND(B7032='111'!$L$11,OR($N7032=$Q$7,$O7032=$Q$7)),"x","")</f>
        <v/>
      </c>
      <c r="R7032" s="79" t="str">
        <f>IF(AND($N7032=$Q$7,$B7032&lt;'111'!$L$11),"x","")</f>
        <v/>
      </c>
      <c r="S7032" s="79" t="str">
        <f>IF(AND($O7032=$Q$7,$B7032&lt;'111'!$L$11),"x","")</f>
        <v/>
      </c>
      <c r="T7032" s="79" t="str">
        <f>IF(ISERROR(FIND('112'!$M$9,G7032,1)),"",IF((AND(FIND('112'!$M$9,G7032,1)&gt;=1,B7032='112'!$K$9,OR($N7032='112'!$I$6,$O7032='112'!$I$6))),"x",""))</f>
        <v/>
      </c>
      <c r="U7032" s="79" t="str">
        <f>IF(ISERROR(FIND('112'!$M$9,G7032,1)),"",IF((AND(LEFT(G7032,2)=LEFT('112'!$M$9,2),B7032&lt;'112'!$K$9,$N7032='112'!$I$6)),"x",""))</f>
        <v/>
      </c>
      <c r="V7032" s="79" t="str">
        <f>IF(ISERROR(FIND('112'!$M$9,G7032,1)),"",IF((AND(RIGHT(G7032,2)=RIGHT('112'!$M$9,2),B7032&lt;'112'!$K$9,$O7032='112'!$I$6)),"x",""))</f>
        <v/>
      </c>
      <c r="W7032" s="79" t="str">
        <f>IF(AND('341-CT'!$H$9=H7032,OR(LEFT(N7032,3)=$W$7,LEFT(O7032,3)=$W$7)),"x","")</f>
        <v/>
      </c>
      <c r="X7032" s="79" t="str">
        <f>IF(OR(TH!N7032=TH!$X$7,O7032=TH!$X$7),"x","")</f>
        <v/>
      </c>
      <c r="Y7032" s="79" t="str">
        <f>IF(AND(OR(N7032="131",O7032="131"),H7032='131-CT'!$H$9),"x","")</f>
        <v/>
      </c>
      <c r="Z7032" s="79"/>
      <c r="AA7032" s="79" t="str">
        <f>IF(AND(MONTH(E7032)='IN-NX'!$J$5,'IN-NX'!$D$7=D7032),"x","")</f>
        <v/>
      </c>
      <c r="AB7032" s="79" t="str">
        <f>IF(AND(OR(LEFT(TH!N7032,2)="15",LEFT(TH!O7032,2)="15"),LEFT(TH!O7032,3)&lt;&gt;"111",'152-CT'!$J$8=TH!F7032),"x","")</f>
        <v/>
      </c>
      <c r="AC7032" s="79" t="str">
        <f>IF(AND(OR(LEFT(TH!N7032,2)="15",LEFT(TH!O7032,2)="15"),TK!$E$7=TH!F7032),"x","")</f>
        <v/>
      </c>
      <c r="AD7032" s="79" t="str">
        <f>IF(AND(N7032="1521",MONTH(C7032)='BK-NL'!$M$11),"x","")</f>
        <v/>
      </c>
    </row>
    <row r="7033" spans="1:30" ht="16.5" customHeight="1">
      <c r="A7033" s="318" t="str">
        <f>IF(B7033&lt;&gt;"",IF(AND(B7033='IN-TC'!$S$4,OR(TH!N7033="1111",TH!O7033="1111")),TH!D7033,""),"")</f>
        <v/>
      </c>
      <c r="B7033" s="1163" t="str">
        <f t="shared" si="530"/>
        <v/>
      </c>
      <c r="C7033" s="61"/>
      <c r="D7033" s="61"/>
      <c r="E7033" s="61"/>
      <c r="F7033" s="69"/>
      <c r="G7033" s="64"/>
      <c r="H7033" s="69"/>
      <c r="I7033" s="385"/>
      <c r="J7033" s="392"/>
      <c r="K7033" s="385"/>
      <c r="L7033" s="392"/>
      <c r="M7033" s="62"/>
      <c r="N7033" s="63"/>
      <c r="O7033" s="63"/>
      <c r="P7033" s="79" t="str">
        <f>IF(AND('331-CT'!$E$7=TH!H7033,OR(N7033="331",O7033="331")),"x","")</f>
        <v/>
      </c>
      <c r="Q7033" s="79" t="str">
        <f>IF(AND(B7033='111'!$L$11,OR($N7033=$Q$7,$O7033=$Q$7)),"x","")</f>
        <v/>
      </c>
      <c r="R7033" s="79" t="str">
        <f>IF(AND($N7033=$Q$7,$B7033&lt;'111'!$L$11),"x","")</f>
        <v/>
      </c>
      <c r="S7033" s="79" t="str">
        <f>IF(AND($O7033=$Q$7,$B7033&lt;'111'!$L$11),"x","")</f>
        <v/>
      </c>
      <c r="T7033" s="79" t="str">
        <f>IF(ISERROR(FIND('112'!$M$9,G7033,1)),"",IF((AND(FIND('112'!$M$9,G7033,1)&gt;=1,B7033='112'!$K$9,OR($N7033='112'!$I$6,$O7033='112'!$I$6))),"x",""))</f>
        <v/>
      </c>
      <c r="U7033" s="79" t="str">
        <f>IF(ISERROR(FIND('112'!$M$9,G7033,1)),"",IF((AND(LEFT(G7033,2)=LEFT('112'!$M$9,2),B7033&lt;'112'!$K$9,$N7033='112'!$I$6)),"x",""))</f>
        <v/>
      </c>
      <c r="V7033" s="79" t="str">
        <f>IF(ISERROR(FIND('112'!$M$9,G7033,1)),"",IF((AND(RIGHT(G7033,2)=RIGHT('112'!$M$9,2),B7033&lt;'112'!$K$9,$O7033='112'!$I$6)),"x",""))</f>
        <v/>
      </c>
      <c r="W7033" s="79" t="str">
        <f>IF(AND('341-CT'!$H$9=H7033,OR(LEFT(N7033,3)=$W$7,LEFT(O7033,3)=$W$7)),"x","")</f>
        <v/>
      </c>
      <c r="X7033" s="79" t="str">
        <f>IF(OR(TH!N7033=TH!$X$7,O7033=TH!$X$7),"x","")</f>
        <v/>
      </c>
      <c r="Y7033" s="79" t="str">
        <f>IF(AND(OR(N7033="131",O7033="131"),H7033='131-CT'!$H$9),"x","")</f>
        <v/>
      </c>
      <c r="Z7033" s="79"/>
      <c r="AA7033" s="79" t="str">
        <f>IF(AND(MONTH(E7033)='IN-NX'!$J$5,'IN-NX'!$D$7=D7033),"x","")</f>
        <v/>
      </c>
      <c r="AB7033" s="79" t="str">
        <f>IF(AND(OR(LEFT(TH!N7033,2)="15",LEFT(TH!O7033,2)="15"),LEFT(TH!O7033,3)&lt;&gt;"111",'152-CT'!$J$8=TH!F7033),"x","")</f>
        <v/>
      </c>
      <c r="AC7033" s="79" t="str">
        <f>IF(AND(OR(LEFT(TH!N7033,2)="15",LEFT(TH!O7033,2)="15"),TK!$E$7=TH!F7033),"x","")</f>
        <v/>
      </c>
      <c r="AD7033" s="79" t="str">
        <f>IF(AND(N7033="1521",MONTH(C7033)='BK-NL'!$M$11),"x","")</f>
        <v/>
      </c>
    </row>
    <row r="7034" spans="1:30" ht="16.5" customHeight="1">
      <c r="A7034" s="318" t="str">
        <f>IF(B7034&lt;&gt;"",IF(AND(B7034='IN-TC'!$S$4,OR(TH!N7034="1111",TH!O7034="1111")),TH!D7034,""),"")</f>
        <v/>
      </c>
      <c r="B7034" s="1163" t="str">
        <f t="shared" si="530"/>
        <v/>
      </c>
      <c r="C7034" s="61"/>
      <c r="D7034" s="61"/>
      <c r="E7034" s="61"/>
      <c r="F7034" s="69"/>
      <c r="G7034" s="64"/>
      <c r="H7034" s="69"/>
      <c r="I7034" s="385"/>
      <c r="J7034" s="392"/>
      <c r="K7034" s="385"/>
      <c r="L7034" s="392"/>
      <c r="M7034" s="62"/>
      <c r="N7034" s="63"/>
      <c r="O7034" s="63"/>
      <c r="P7034" s="79" t="str">
        <f>IF(AND('331-CT'!$E$7=TH!H7034,OR(N7034="331",O7034="331")),"x","")</f>
        <v/>
      </c>
      <c r="Q7034" s="79" t="str">
        <f>IF(AND(B7034='111'!$L$11,OR($N7034=$Q$7,$O7034=$Q$7)),"x","")</f>
        <v/>
      </c>
      <c r="R7034" s="79" t="str">
        <f>IF(AND($N7034=$Q$7,$B7034&lt;'111'!$L$11),"x","")</f>
        <v/>
      </c>
      <c r="S7034" s="79" t="str">
        <f>IF(AND($O7034=$Q$7,$B7034&lt;'111'!$L$11),"x","")</f>
        <v/>
      </c>
      <c r="T7034" s="79" t="str">
        <f>IF(ISERROR(FIND('112'!$M$9,G7034,1)),"",IF((AND(FIND('112'!$M$9,G7034,1)&gt;=1,B7034='112'!$K$9,OR($N7034='112'!$I$6,$O7034='112'!$I$6))),"x",""))</f>
        <v/>
      </c>
      <c r="U7034" s="79" t="str">
        <f>IF(ISERROR(FIND('112'!$M$9,G7034,1)),"",IF((AND(LEFT(G7034,2)=LEFT('112'!$M$9,2),B7034&lt;'112'!$K$9,$N7034='112'!$I$6)),"x",""))</f>
        <v/>
      </c>
      <c r="V7034" s="79" t="str">
        <f>IF(ISERROR(FIND('112'!$M$9,G7034,1)),"",IF((AND(RIGHT(G7034,2)=RIGHT('112'!$M$9,2),B7034&lt;'112'!$K$9,$O7034='112'!$I$6)),"x",""))</f>
        <v/>
      </c>
      <c r="W7034" s="79" t="str">
        <f>IF(AND('341-CT'!$H$9=H7034,OR(LEFT(N7034,3)=$W$7,LEFT(O7034,3)=$W$7)),"x","")</f>
        <v/>
      </c>
      <c r="X7034" s="79" t="str">
        <f>IF(OR(TH!N7034=TH!$X$7,O7034=TH!$X$7),"x","")</f>
        <v/>
      </c>
      <c r="Y7034" s="79" t="str">
        <f>IF(AND(OR(N7034="131",O7034="131"),H7034='131-CT'!$H$9),"x","")</f>
        <v/>
      </c>
      <c r="Z7034" s="79"/>
      <c r="AA7034" s="79" t="str">
        <f>IF(AND(MONTH(E7034)='IN-NX'!$J$5,'IN-NX'!$D$7=D7034),"x","")</f>
        <v/>
      </c>
      <c r="AB7034" s="79" t="str">
        <f>IF(AND(OR(LEFT(TH!N7034,2)="15",LEFT(TH!O7034,2)="15"),LEFT(TH!O7034,3)&lt;&gt;"111",'152-CT'!$J$8=TH!F7034),"x","")</f>
        <v/>
      </c>
      <c r="AC7034" s="79" t="str">
        <f>IF(AND(OR(LEFT(TH!N7034,2)="15",LEFT(TH!O7034,2)="15"),TK!$E$7=TH!F7034),"x","")</f>
        <v/>
      </c>
      <c r="AD7034" s="79" t="str">
        <f>IF(AND(N7034="1521",MONTH(C7034)='BK-NL'!$M$11),"x","")</f>
        <v/>
      </c>
    </row>
    <row r="7035" spans="1:30" ht="16.5" customHeight="1">
      <c r="A7035" s="318" t="str">
        <f>IF(B7035&lt;&gt;"",IF(AND(B7035='IN-TC'!$S$4,OR(TH!N7035="1111",TH!O7035="1111")),TH!D7035,""),"")</f>
        <v/>
      </c>
      <c r="B7035" s="1163" t="str">
        <f t="shared" si="530"/>
        <v/>
      </c>
      <c r="C7035" s="61"/>
      <c r="D7035" s="61"/>
      <c r="E7035" s="61"/>
      <c r="F7035" s="69"/>
      <c r="G7035" s="64"/>
      <c r="H7035" s="69"/>
      <c r="I7035" s="385"/>
      <c r="J7035" s="392"/>
      <c r="K7035" s="385"/>
      <c r="L7035" s="392"/>
      <c r="M7035" s="62"/>
      <c r="N7035" s="63"/>
      <c r="O7035" s="63"/>
      <c r="P7035" s="79" t="str">
        <f>IF(AND('331-CT'!$E$7=TH!H7035,OR(N7035="331",O7035="331")),"x","")</f>
        <v/>
      </c>
      <c r="Q7035" s="79" t="str">
        <f>IF(AND(B7035='111'!$L$11,OR($N7035=$Q$7,$O7035=$Q$7)),"x","")</f>
        <v/>
      </c>
      <c r="R7035" s="79" t="str">
        <f>IF(AND($N7035=$Q$7,$B7035&lt;'111'!$L$11),"x","")</f>
        <v/>
      </c>
      <c r="S7035" s="79" t="str">
        <f>IF(AND($O7035=$Q$7,$B7035&lt;'111'!$L$11),"x","")</f>
        <v/>
      </c>
      <c r="T7035" s="79" t="str">
        <f>IF(ISERROR(FIND('112'!$M$9,G7035,1)),"",IF((AND(FIND('112'!$M$9,G7035,1)&gt;=1,B7035='112'!$K$9,OR($N7035='112'!$I$6,$O7035='112'!$I$6))),"x",""))</f>
        <v/>
      </c>
      <c r="U7035" s="79" t="str">
        <f>IF(ISERROR(FIND('112'!$M$9,G7035,1)),"",IF((AND(LEFT(G7035,2)=LEFT('112'!$M$9,2),B7035&lt;'112'!$K$9,$N7035='112'!$I$6)),"x",""))</f>
        <v/>
      </c>
      <c r="V7035" s="79" t="str">
        <f>IF(ISERROR(FIND('112'!$M$9,G7035,1)),"",IF((AND(RIGHT(G7035,2)=RIGHT('112'!$M$9,2),B7035&lt;'112'!$K$9,$O7035='112'!$I$6)),"x",""))</f>
        <v/>
      </c>
      <c r="W7035" s="79" t="str">
        <f>IF(AND('341-CT'!$H$9=H7035,OR(LEFT(N7035,3)=$W$7,LEFT(O7035,3)=$W$7)),"x","")</f>
        <v/>
      </c>
      <c r="X7035" s="79" t="str">
        <f>IF(OR(TH!N7035=TH!$X$7,O7035=TH!$X$7),"x","")</f>
        <v/>
      </c>
      <c r="Y7035" s="79" t="str">
        <f>IF(AND(OR(N7035="131",O7035="131"),H7035='131-CT'!$H$9),"x","")</f>
        <v/>
      </c>
      <c r="Z7035" s="79"/>
      <c r="AA7035" s="79" t="str">
        <f>IF(AND(MONTH(E7035)='IN-NX'!$J$5,'IN-NX'!$D$7=D7035),"x","")</f>
        <v/>
      </c>
      <c r="AB7035" s="79" t="str">
        <f>IF(AND(OR(LEFT(TH!N7035,2)="15",LEFT(TH!O7035,2)="15"),LEFT(TH!O7035,3)&lt;&gt;"111",'152-CT'!$J$8=TH!F7035),"x","")</f>
        <v/>
      </c>
      <c r="AC7035" s="79" t="str">
        <f>IF(AND(OR(LEFT(TH!N7035,2)="15",LEFT(TH!O7035,2)="15"),TK!$E$7=TH!F7035),"x","")</f>
        <v/>
      </c>
      <c r="AD7035" s="79" t="str">
        <f>IF(AND(N7035="1521",MONTH(C7035)='BK-NL'!$M$11),"x","")</f>
        <v/>
      </c>
    </row>
    <row r="7036" spans="1:30" ht="16.5" customHeight="1">
      <c r="A7036" s="318" t="str">
        <f>IF(B7036&lt;&gt;"",IF(AND(B7036='IN-TC'!$S$4,OR(TH!N7036="1111",TH!O7036="1111")),TH!D7036,""),"")</f>
        <v/>
      </c>
      <c r="B7036" s="1163" t="str">
        <f t="shared" si="530"/>
        <v/>
      </c>
      <c r="C7036" s="61"/>
      <c r="D7036" s="61"/>
      <c r="E7036" s="61"/>
      <c r="F7036" s="69"/>
      <c r="G7036" s="64"/>
      <c r="H7036" s="69"/>
      <c r="I7036" s="385"/>
      <c r="J7036" s="392"/>
      <c r="K7036" s="385"/>
      <c r="L7036" s="392"/>
      <c r="M7036" s="62"/>
      <c r="N7036" s="63"/>
      <c r="O7036" s="63"/>
      <c r="P7036" s="79" t="str">
        <f>IF(AND('331-CT'!$E$7=TH!H7036,OR(N7036="331",O7036="331")),"x","")</f>
        <v/>
      </c>
      <c r="Q7036" s="79" t="str">
        <f>IF(AND(B7036='111'!$L$11,OR($N7036=$Q$7,$O7036=$Q$7)),"x","")</f>
        <v/>
      </c>
      <c r="R7036" s="79" t="str">
        <f>IF(AND($N7036=$Q$7,$B7036&lt;'111'!$L$11),"x","")</f>
        <v/>
      </c>
      <c r="S7036" s="79" t="str">
        <f>IF(AND($O7036=$Q$7,$B7036&lt;'111'!$L$11),"x","")</f>
        <v/>
      </c>
      <c r="T7036" s="79" t="str">
        <f>IF(ISERROR(FIND('112'!$M$9,G7036,1)),"",IF((AND(FIND('112'!$M$9,G7036,1)&gt;=1,B7036='112'!$K$9,OR($N7036='112'!$I$6,$O7036='112'!$I$6))),"x",""))</f>
        <v/>
      </c>
      <c r="U7036" s="79" t="str">
        <f>IF(ISERROR(FIND('112'!$M$9,G7036,1)),"",IF((AND(LEFT(G7036,2)=LEFT('112'!$M$9,2),B7036&lt;'112'!$K$9,$N7036='112'!$I$6)),"x",""))</f>
        <v/>
      </c>
      <c r="V7036" s="79" t="str">
        <f>IF(ISERROR(FIND('112'!$M$9,G7036,1)),"",IF((AND(RIGHT(G7036,2)=RIGHT('112'!$M$9,2),B7036&lt;'112'!$K$9,$O7036='112'!$I$6)),"x",""))</f>
        <v/>
      </c>
      <c r="W7036" s="79" t="str">
        <f>IF(AND('341-CT'!$H$9=H7036,OR(LEFT(N7036,3)=$W$7,LEFT(O7036,3)=$W$7)),"x","")</f>
        <v/>
      </c>
      <c r="X7036" s="79" t="str">
        <f>IF(OR(TH!N7036=TH!$X$7,O7036=TH!$X$7),"x","")</f>
        <v/>
      </c>
      <c r="Y7036" s="79" t="str">
        <f>IF(AND(OR(N7036="131",O7036="131"),H7036='131-CT'!$H$9),"x","")</f>
        <v/>
      </c>
      <c r="Z7036" s="79"/>
      <c r="AA7036" s="79" t="str">
        <f>IF(AND(MONTH(E7036)='IN-NX'!$J$5,'IN-NX'!$D$7=D7036),"x","")</f>
        <v/>
      </c>
      <c r="AB7036" s="79" t="str">
        <f>IF(AND(OR(LEFT(TH!N7036,2)="15",LEFT(TH!O7036,2)="15"),LEFT(TH!O7036,3)&lt;&gt;"111",'152-CT'!$J$8=TH!F7036),"x","")</f>
        <v/>
      </c>
      <c r="AC7036" s="79" t="str">
        <f>IF(AND(OR(LEFT(TH!N7036,2)="15",LEFT(TH!O7036,2)="15"),TK!$E$7=TH!F7036),"x","")</f>
        <v/>
      </c>
      <c r="AD7036" s="79" t="str">
        <f>IF(AND(N7036="1521",MONTH(C7036)='BK-NL'!$M$11),"x","")</f>
        <v/>
      </c>
    </row>
    <row r="7037" spans="1:30" ht="16.5" customHeight="1">
      <c r="A7037" s="318" t="str">
        <f>IF(B7037&lt;&gt;"",IF(AND(B7037='IN-TC'!$S$4,OR(TH!N7037="1111",TH!O7037="1111")),TH!D7037,""),"")</f>
        <v/>
      </c>
      <c r="B7037" s="1163" t="str">
        <f t="shared" si="530"/>
        <v/>
      </c>
      <c r="C7037" s="61"/>
      <c r="D7037" s="61"/>
      <c r="E7037" s="61"/>
      <c r="F7037" s="69"/>
      <c r="G7037" s="64"/>
      <c r="H7037" s="69"/>
      <c r="I7037" s="385"/>
      <c r="J7037" s="392"/>
      <c r="K7037" s="385"/>
      <c r="L7037" s="392"/>
      <c r="M7037" s="62"/>
      <c r="N7037" s="63"/>
      <c r="O7037" s="63"/>
      <c r="P7037" s="79" t="str">
        <f>IF(AND('331-CT'!$E$7=TH!H7037,OR(N7037="331",O7037="331")),"x","")</f>
        <v/>
      </c>
      <c r="Q7037" s="79" t="str">
        <f>IF(AND(B7037='111'!$L$11,OR($N7037=$Q$7,$O7037=$Q$7)),"x","")</f>
        <v/>
      </c>
      <c r="R7037" s="79" t="str">
        <f>IF(AND($N7037=$Q$7,$B7037&lt;'111'!$L$11),"x","")</f>
        <v/>
      </c>
      <c r="S7037" s="79" t="str">
        <f>IF(AND($O7037=$Q$7,$B7037&lt;'111'!$L$11),"x","")</f>
        <v/>
      </c>
      <c r="T7037" s="79" t="str">
        <f>IF(ISERROR(FIND('112'!$M$9,G7037,1)),"",IF((AND(FIND('112'!$M$9,G7037,1)&gt;=1,B7037='112'!$K$9,OR($N7037='112'!$I$6,$O7037='112'!$I$6))),"x",""))</f>
        <v/>
      </c>
      <c r="U7037" s="79" t="str">
        <f>IF(ISERROR(FIND('112'!$M$9,G7037,1)),"",IF((AND(LEFT(G7037,2)=LEFT('112'!$M$9,2),B7037&lt;'112'!$K$9,$N7037='112'!$I$6)),"x",""))</f>
        <v/>
      </c>
      <c r="V7037" s="79" t="str">
        <f>IF(ISERROR(FIND('112'!$M$9,G7037,1)),"",IF((AND(RIGHT(G7037,2)=RIGHT('112'!$M$9,2),B7037&lt;'112'!$K$9,$O7037='112'!$I$6)),"x",""))</f>
        <v/>
      </c>
      <c r="W7037" s="79" t="str">
        <f>IF(AND('341-CT'!$H$9=H7037,OR(LEFT(N7037,3)=$W$7,LEFT(O7037,3)=$W$7)),"x","")</f>
        <v/>
      </c>
      <c r="X7037" s="79" t="str">
        <f>IF(OR(TH!N7037=TH!$X$7,O7037=TH!$X$7),"x","")</f>
        <v/>
      </c>
      <c r="Y7037" s="79" t="str">
        <f>IF(AND(OR(N7037="131",O7037="131"),H7037='131-CT'!$H$9),"x","")</f>
        <v/>
      </c>
      <c r="Z7037" s="79"/>
      <c r="AA7037" s="79" t="str">
        <f>IF(AND(MONTH(E7037)='IN-NX'!$J$5,'IN-NX'!$D$7=D7037),"x","")</f>
        <v/>
      </c>
      <c r="AB7037" s="79" t="str">
        <f>IF(AND(OR(LEFT(TH!N7037,2)="15",LEFT(TH!O7037,2)="15"),LEFT(TH!O7037,3)&lt;&gt;"111",'152-CT'!$J$8=TH!F7037),"x","")</f>
        <v/>
      </c>
      <c r="AC7037" s="79" t="str">
        <f>IF(AND(OR(LEFT(TH!N7037,2)="15",LEFT(TH!O7037,2)="15"),TK!$E$7=TH!F7037),"x","")</f>
        <v/>
      </c>
      <c r="AD7037" s="79" t="str">
        <f>IF(AND(N7037="1521",MONTH(C7037)='BK-NL'!$M$11),"x","")</f>
        <v/>
      </c>
    </row>
    <row r="7038" spans="1:30" ht="16.5" customHeight="1">
      <c r="A7038" s="318" t="str">
        <f>IF(B7038&lt;&gt;"",IF(AND(B7038='IN-TC'!$S$4,OR(TH!N7038="1111",TH!O7038="1111")),TH!D7038,""),"")</f>
        <v/>
      </c>
      <c r="B7038" s="1163" t="str">
        <f t="shared" si="530"/>
        <v/>
      </c>
      <c r="C7038" s="61"/>
      <c r="D7038" s="61"/>
      <c r="E7038" s="61"/>
      <c r="F7038" s="69"/>
      <c r="G7038" s="64"/>
      <c r="H7038" s="69"/>
      <c r="I7038" s="385"/>
      <c r="J7038" s="392"/>
      <c r="K7038" s="385"/>
      <c r="L7038" s="392"/>
      <c r="M7038" s="62"/>
      <c r="N7038" s="63"/>
      <c r="O7038" s="63"/>
      <c r="P7038" s="79" t="str">
        <f>IF(AND('331-CT'!$E$7=TH!H7038,OR(N7038="331",O7038="331")),"x","")</f>
        <v/>
      </c>
      <c r="Q7038" s="79" t="str">
        <f>IF(AND(B7038='111'!$L$11,OR($N7038=$Q$7,$O7038=$Q$7)),"x","")</f>
        <v/>
      </c>
      <c r="R7038" s="79" t="str">
        <f>IF(AND($N7038=$Q$7,$B7038&lt;'111'!$L$11),"x","")</f>
        <v/>
      </c>
      <c r="S7038" s="79" t="str">
        <f>IF(AND($O7038=$Q$7,$B7038&lt;'111'!$L$11),"x","")</f>
        <v/>
      </c>
      <c r="T7038" s="79" t="str">
        <f>IF(ISERROR(FIND('112'!$M$9,G7038,1)),"",IF((AND(FIND('112'!$M$9,G7038,1)&gt;=1,B7038='112'!$K$9,OR($N7038='112'!$I$6,$O7038='112'!$I$6))),"x",""))</f>
        <v/>
      </c>
      <c r="U7038" s="79" t="str">
        <f>IF(ISERROR(FIND('112'!$M$9,G7038,1)),"",IF((AND(LEFT(G7038,2)=LEFT('112'!$M$9,2),B7038&lt;'112'!$K$9,$N7038='112'!$I$6)),"x",""))</f>
        <v/>
      </c>
      <c r="V7038" s="79" t="str">
        <f>IF(ISERROR(FIND('112'!$M$9,G7038,1)),"",IF((AND(RIGHT(G7038,2)=RIGHT('112'!$M$9,2),B7038&lt;'112'!$K$9,$O7038='112'!$I$6)),"x",""))</f>
        <v/>
      </c>
      <c r="W7038" s="79" t="str">
        <f>IF(AND('341-CT'!$H$9=H7038,OR(LEFT(N7038,3)=$W$7,LEFT(O7038,3)=$W$7)),"x","")</f>
        <v/>
      </c>
      <c r="X7038" s="79" t="str">
        <f>IF(OR(TH!N7038=TH!$X$7,O7038=TH!$X$7),"x","")</f>
        <v/>
      </c>
      <c r="Y7038" s="79" t="str">
        <f>IF(AND(OR(N7038="131",O7038="131"),H7038='131-CT'!$H$9),"x","")</f>
        <v/>
      </c>
      <c r="Z7038" s="79"/>
      <c r="AA7038" s="79" t="str">
        <f>IF(AND(MONTH(E7038)='IN-NX'!$J$5,'IN-NX'!$D$7=D7038),"x","")</f>
        <v/>
      </c>
      <c r="AB7038" s="79" t="str">
        <f>IF(AND(OR(LEFT(TH!N7038,2)="15",LEFT(TH!O7038,2)="15"),LEFT(TH!O7038,3)&lt;&gt;"111",'152-CT'!$J$8=TH!F7038),"x","")</f>
        <v/>
      </c>
      <c r="AC7038" s="79" t="str">
        <f>IF(AND(OR(LEFT(TH!N7038,2)="15",LEFT(TH!O7038,2)="15"),TK!$E$7=TH!F7038),"x","")</f>
        <v/>
      </c>
      <c r="AD7038" s="79" t="str">
        <f>IF(AND(N7038="1521",MONTH(C7038)='BK-NL'!$M$11),"x","")</f>
        <v/>
      </c>
    </row>
    <row r="7039" spans="1:30" ht="16.5" customHeight="1">
      <c r="A7039" s="318" t="str">
        <f>IF(B7039&lt;&gt;"",IF(AND(B7039='IN-TC'!$S$4,OR(TH!N7039="1111",TH!O7039="1111")),TH!D7039,""),"")</f>
        <v/>
      </c>
      <c r="B7039" s="1163" t="str">
        <f t="shared" si="530"/>
        <v/>
      </c>
      <c r="C7039" s="61"/>
      <c r="D7039" s="61"/>
      <c r="E7039" s="61"/>
      <c r="F7039" s="69"/>
      <c r="G7039" s="64"/>
      <c r="H7039" s="69"/>
      <c r="I7039" s="385"/>
      <c r="J7039" s="392"/>
      <c r="K7039" s="385"/>
      <c r="L7039" s="392"/>
      <c r="M7039" s="62"/>
      <c r="N7039" s="63"/>
      <c r="O7039" s="63"/>
      <c r="P7039" s="79" t="str">
        <f>IF(AND('331-CT'!$E$7=TH!H7039,OR(N7039="331",O7039="331")),"x","")</f>
        <v/>
      </c>
      <c r="Q7039" s="79" t="str">
        <f>IF(AND(B7039='111'!$L$11,OR($N7039=$Q$7,$O7039=$Q$7)),"x","")</f>
        <v/>
      </c>
      <c r="R7039" s="79" t="str">
        <f>IF(AND($N7039=$Q$7,$B7039&lt;'111'!$L$11),"x","")</f>
        <v/>
      </c>
      <c r="S7039" s="79" t="str">
        <f>IF(AND($O7039=$Q$7,$B7039&lt;'111'!$L$11),"x","")</f>
        <v/>
      </c>
      <c r="T7039" s="79" t="str">
        <f>IF(ISERROR(FIND('112'!$M$9,G7039,1)),"",IF((AND(FIND('112'!$M$9,G7039,1)&gt;=1,B7039='112'!$K$9,OR($N7039='112'!$I$6,$O7039='112'!$I$6))),"x",""))</f>
        <v/>
      </c>
      <c r="U7039" s="79" t="str">
        <f>IF(ISERROR(FIND('112'!$M$9,G7039,1)),"",IF((AND(LEFT(G7039,2)=LEFT('112'!$M$9,2),B7039&lt;'112'!$K$9,$N7039='112'!$I$6)),"x",""))</f>
        <v/>
      </c>
      <c r="V7039" s="79" t="str">
        <f>IF(ISERROR(FIND('112'!$M$9,G7039,1)),"",IF((AND(RIGHT(G7039,2)=RIGHT('112'!$M$9,2),B7039&lt;'112'!$K$9,$O7039='112'!$I$6)),"x",""))</f>
        <v/>
      </c>
      <c r="W7039" s="79" t="str">
        <f>IF(AND('341-CT'!$H$9=H7039,OR(LEFT(N7039,3)=$W$7,LEFT(O7039,3)=$W$7)),"x","")</f>
        <v/>
      </c>
      <c r="X7039" s="79" t="str">
        <f>IF(OR(TH!N7039=TH!$X$7,O7039=TH!$X$7),"x","")</f>
        <v/>
      </c>
      <c r="Y7039" s="79" t="str">
        <f>IF(AND(OR(N7039="131",O7039="131"),H7039='131-CT'!$H$9),"x","")</f>
        <v/>
      </c>
      <c r="Z7039" s="79"/>
      <c r="AA7039" s="79" t="str">
        <f>IF(AND(MONTH(E7039)='IN-NX'!$J$5,'IN-NX'!$D$7=D7039),"x","")</f>
        <v/>
      </c>
      <c r="AB7039" s="79" t="str">
        <f>IF(AND(OR(LEFT(TH!N7039,2)="15",LEFT(TH!O7039,2)="15"),LEFT(TH!O7039,3)&lt;&gt;"111",'152-CT'!$J$8=TH!F7039),"x","")</f>
        <v/>
      </c>
      <c r="AC7039" s="79" t="str">
        <f>IF(AND(OR(LEFT(TH!N7039,2)="15",LEFT(TH!O7039,2)="15"),TK!$E$7=TH!F7039),"x","")</f>
        <v/>
      </c>
      <c r="AD7039" s="79" t="str">
        <f>IF(AND(N7039="1521",MONTH(C7039)='BK-NL'!$M$11),"x","")</f>
        <v/>
      </c>
    </row>
    <row r="7040" spans="1:30" ht="16.5" customHeight="1">
      <c r="A7040" s="318" t="str">
        <f>IF(B7040&lt;&gt;"",IF(AND(B7040='IN-TC'!$S$4,OR(TH!N7040="1111",TH!O7040="1111")),TH!D7040,""),"")</f>
        <v/>
      </c>
      <c r="B7040" s="1163" t="str">
        <f t="shared" si="530"/>
        <v/>
      </c>
      <c r="C7040" s="61"/>
      <c r="D7040" s="61"/>
      <c r="E7040" s="61"/>
      <c r="F7040" s="69"/>
      <c r="G7040" s="64"/>
      <c r="H7040" s="69"/>
      <c r="I7040" s="385"/>
      <c r="J7040" s="392"/>
      <c r="K7040" s="385"/>
      <c r="L7040" s="392"/>
      <c r="M7040" s="62"/>
      <c r="N7040" s="63"/>
      <c r="O7040" s="63"/>
      <c r="P7040" s="79" t="str">
        <f>IF(AND('331-CT'!$E$7=TH!H7040,OR(N7040="331",O7040="331")),"x","")</f>
        <v/>
      </c>
      <c r="Q7040" s="79" t="str">
        <f>IF(AND(B7040='111'!$L$11,OR($N7040=$Q$7,$O7040=$Q$7)),"x","")</f>
        <v/>
      </c>
      <c r="R7040" s="79" t="str">
        <f>IF(AND($N7040=$Q$7,$B7040&lt;'111'!$L$11),"x","")</f>
        <v/>
      </c>
      <c r="S7040" s="79" t="str">
        <f>IF(AND($O7040=$Q$7,$B7040&lt;'111'!$L$11),"x","")</f>
        <v/>
      </c>
      <c r="T7040" s="79" t="str">
        <f>IF(ISERROR(FIND('112'!$M$9,G7040,1)),"",IF((AND(FIND('112'!$M$9,G7040,1)&gt;=1,B7040='112'!$K$9,OR($N7040='112'!$I$6,$O7040='112'!$I$6))),"x",""))</f>
        <v/>
      </c>
      <c r="U7040" s="79" t="str">
        <f>IF(ISERROR(FIND('112'!$M$9,G7040,1)),"",IF((AND(LEFT(G7040,2)=LEFT('112'!$M$9,2),B7040&lt;'112'!$K$9,$N7040='112'!$I$6)),"x",""))</f>
        <v/>
      </c>
      <c r="V7040" s="79" t="str">
        <f>IF(ISERROR(FIND('112'!$M$9,G7040,1)),"",IF((AND(RIGHT(G7040,2)=RIGHT('112'!$M$9,2),B7040&lt;'112'!$K$9,$O7040='112'!$I$6)),"x",""))</f>
        <v/>
      </c>
      <c r="W7040" s="79" t="str">
        <f>IF(AND('341-CT'!$H$9=H7040,OR(LEFT(N7040,3)=$W$7,LEFT(O7040,3)=$W$7)),"x","")</f>
        <v/>
      </c>
      <c r="X7040" s="79" t="str">
        <f>IF(OR(TH!N7040=TH!$X$7,O7040=TH!$X$7),"x","")</f>
        <v/>
      </c>
      <c r="Y7040" s="79" t="str">
        <f>IF(AND(OR(N7040="131",O7040="131"),H7040='131-CT'!$H$9),"x","")</f>
        <v/>
      </c>
      <c r="Z7040" s="79"/>
      <c r="AA7040" s="79" t="str">
        <f>IF(AND(MONTH(E7040)='IN-NX'!$J$5,'IN-NX'!$D$7=D7040),"x","")</f>
        <v/>
      </c>
      <c r="AB7040" s="79" t="str">
        <f>IF(AND(OR(LEFT(TH!N7040,2)="15",LEFT(TH!O7040,2)="15"),LEFT(TH!O7040,3)&lt;&gt;"111",'152-CT'!$J$8=TH!F7040),"x","")</f>
        <v/>
      </c>
      <c r="AC7040" s="79" t="str">
        <f>IF(AND(OR(LEFT(TH!N7040,2)="15",LEFT(TH!O7040,2)="15"),TK!$E$7=TH!F7040),"x","")</f>
        <v/>
      </c>
      <c r="AD7040" s="79" t="str">
        <f>IF(AND(N7040="1521",MONTH(C7040)='BK-NL'!$M$11),"x","")</f>
        <v/>
      </c>
    </row>
    <row r="7041" spans="1:30" ht="16.5" customHeight="1">
      <c r="A7041" s="318" t="str">
        <f>IF(B7041&lt;&gt;"",IF(AND(B7041='IN-TC'!$S$4,OR(TH!N7041="1111",TH!O7041="1111")),TH!D7041,""),"")</f>
        <v/>
      </c>
      <c r="B7041" s="1163" t="str">
        <f t="shared" si="530"/>
        <v/>
      </c>
      <c r="C7041" s="61"/>
      <c r="D7041" s="61"/>
      <c r="E7041" s="61"/>
      <c r="F7041" s="69"/>
      <c r="G7041" s="64"/>
      <c r="H7041" s="69"/>
      <c r="I7041" s="385"/>
      <c r="J7041" s="392"/>
      <c r="K7041" s="385"/>
      <c r="L7041" s="392"/>
      <c r="M7041" s="62"/>
      <c r="N7041" s="63"/>
      <c r="O7041" s="63"/>
      <c r="P7041" s="79" t="str">
        <f>IF(AND('331-CT'!$E$7=TH!H7041,OR(N7041="331",O7041="331")),"x","")</f>
        <v/>
      </c>
      <c r="Q7041" s="79" t="str">
        <f>IF(AND(B7041='111'!$L$11,OR($N7041=$Q$7,$O7041=$Q$7)),"x","")</f>
        <v/>
      </c>
      <c r="R7041" s="79" t="str">
        <f>IF(AND($N7041=$Q$7,$B7041&lt;'111'!$L$11),"x","")</f>
        <v/>
      </c>
      <c r="S7041" s="79" t="str">
        <f>IF(AND($O7041=$Q$7,$B7041&lt;'111'!$L$11),"x","")</f>
        <v/>
      </c>
      <c r="T7041" s="79" t="str">
        <f>IF(ISERROR(FIND('112'!$M$9,G7041,1)),"",IF((AND(FIND('112'!$M$9,G7041,1)&gt;=1,B7041='112'!$K$9,OR($N7041='112'!$I$6,$O7041='112'!$I$6))),"x",""))</f>
        <v/>
      </c>
      <c r="U7041" s="79" t="str">
        <f>IF(ISERROR(FIND('112'!$M$9,G7041,1)),"",IF((AND(LEFT(G7041,2)=LEFT('112'!$M$9,2),B7041&lt;'112'!$K$9,$N7041='112'!$I$6)),"x",""))</f>
        <v/>
      </c>
      <c r="V7041" s="79" t="str">
        <f>IF(ISERROR(FIND('112'!$M$9,G7041,1)),"",IF((AND(RIGHT(G7041,2)=RIGHT('112'!$M$9,2),B7041&lt;'112'!$K$9,$O7041='112'!$I$6)),"x",""))</f>
        <v/>
      </c>
      <c r="W7041" s="79" t="str">
        <f>IF(AND('341-CT'!$H$9=H7041,OR(LEFT(N7041,3)=$W$7,LEFT(O7041,3)=$W$7)),"x","")</f>
        <v/>
      </c>
      <c r="X7041" s="79" t="str">
        <f>IF(OR(TH!N7041=TH!$X$7,O7041=TH!$X$7),"x","")</f>
        <v/>
      </c>
      <c r="Y7041" s="79" t="str">
        <f>IF(AND(OR(N7041="131",O7041="131"),H7041='131-CT'!$H$9),"x","")</f>
        <v/>
      </c>
      <c r="Z7041" s="79"/>
      <c r="AA7041" s="79" t="str">
        <f>IF(AND(MONTH(E7041)='IN-NX'!$J$5,'IN-NX'!$D$7=D7041),"x","")</f>
        <v/>
      </c>
      <c r="AB7041" s="79" t="str">
        <f>IF(AND(OR(LEFT(TH!N7041,2)="15",LEFT(TH!O7041,2)="15"),LEFT(TH!O7041,3)&lt;&gt;"111",'152-CT'!$J$8=TH!F7041),"x","")</f>
        <v/>
      </c>
      <c r="AC7041" s="79" t="str">
        <f>IF(AND(OR(LEFT(TH!N7041,2)="15",LEFT(TH!O7041,2)="15"),TK!$E$7=TH!F7041),"x","")</f>
        <v/>
      </c>
      <c r="AD7041" s="79" t="str">
        <f>IF(AND(N7041="1521",MONTH(C7041)='BK-NL'!$M$11),"x","")</f>
        <v/>
      </c>
    </row>
    <row r="7042" spans="1:30" ht="16.5" customHeight="1">
      <c r="A7042" s="318" t="str">
        <f>IF(B7042&lt;&gt;"",IF(AND(B7042='IN-TC'!$S$4,OR(TH!N7042="1111",TH!O7042="1111")),TH!D7042,""),"")</f>
        <v/>
      </c>
      <c r="B7042" s="1163" t="str">
        <f t="shared" si="530"/>
        <v/>
      </c>
      <c r="C7042" s="61"/>
      <c r="D7042" s="61"/>
      <c r="E7042" s="61"/>
      <c r="F7042" s="69"/>
      <c r="G7042" s="64"/>
      <c r="H7042" s="69"/>
      <c r="I7042" s="385"/>
      <c r="J7042" s="392"/>
      <c r="K7042" s="385"/>
      <c r="L7042" s="392"/>
      <c r="M7042" s="62"/>
      <c r="N7042" s="63"/>
      <c r="O7042" s="63"/>
      <c r="P7042" s="79" t="str">
        <f>IF(AND('331-CT'!$E$7=TH!H7042,OR(N7042="331",O7042="331")),"x","")</f>
        <v/>
      </c>
      <c r="Q7042" s="79" t="str">
        <f>IF(AND(B7042='111'!$L$11,OR($N7042=$Q$7,$O7042=$Q$7)),"x","")</f>
        <v/>
      </c>
      <c r="R7042" s="79" t="str">
        <f>IF(AND($N7042=$Q$7,$B7042&lt;'111'!$L$11),"x","")</f>
        <v/>
      </c>
      <c r="S7042" s="79" t="str">
        <f>IF(AND($O7042=$Q$7,$B7042&lt;'111'!$L$11),"x","")</f>
        <v/>
      </c>
      <c r="T7042" s="79" t="str">
        <f>IF(ISERROR(FIND('112'!$M$9,G7042,1)),"",IF((AND(FIND('112'!$M$9,G7042,1)&gt;=1,B7042='112'!$K$9,OR($N7042='112'!$I$6,$O7042='112'!$I$6))),"x",""))</f>
        <v/>
      </c>
      <c r="U7042" s="79" t="str">
        <f>IF(ISERROR(FIND('112'!$M$9,G7042,1)),"",IF((AND(LEFT(G7042,2)=LEFT('112'!$M$9,2),B7042&lt;'112'!$K$9,$N7042='112'!$I$6)),"x",""))</f>
        <v/>
      </c>
      <c r="V7042" s="79" t="str">
        <f>IF(ISERROR(FIND('112'!$M$9,G7042,1)),"",IF((AND(RIGHT(G7042,2)=RIGHT('112'!$M$9,2),B7042&lt;'112'!$K$9,$O7042='112'!$I$6)),"x",""))</f>
        <v/>
      </c>
      <c r="W7042" s="79" t="str">
        <f>IF(AND('341-CT'!$H$9=H7042,OR(LEFT(N7042,3)=$W$7,LEFT(O7042,3)=$W$7)),"x","")</f>
        <v/>
      </c>
      <c r="X7042" s="79" t="str">
        <f>IF(OR(TH!N7042=TH!$X$7,O7042=TH!$X$7),"x","")</f>
        <v/>
      </c>
      <c r="Y7042" s="79" t="str">
        <f>IF(AND(OR(N7042="131",O7042="131"),H7042='131-CT'!$H$9),"x","")</f>
        <v/>
      </c>
      <c r="Z7042" s="79"/>
      <c r="AA7042" s="79" t="str">
        <f>IF(AND(MONTH(E7042)='IN-NX'!$J$5,'IN-NX'!$D$7=D7042),"x","")</f>
        <v/>
      </c>
      <c r="AB7042" s="79" t="str">
        <f>IF(AND(OR(LEFT(TH!N7042,2)="15",LEFT(TH!O7042,2)="15"),LEFT(TH!O7042,3)&lt;&gt;"111",'152-CT'!$J$8=TH!F7042),"x","")</f>
        <v/>
      </c>
      <c r="AC7042" s="79" t="str">
        <f>IF(AND(OR(LEFT(TH!N7042,2)="15",LEFT(TH!O7042,2)="15"),TK!$E$7=TH!F7042),"x","")</f>
        <v/>
      </c>
      <c r="AD7042" s="79" t="str">
        <f>IF(AND(N7042="1521",MONTH(C7042)='BK-NL'!$M$11),"x","")</f>
        <v/>
      </c>
    </row>
    <row r="7043" spans="1:30" ht="16.5" customHeight="1">
      <c r="A7043" s="318" t="str">
        <f>IF(B7043&lt;&gt;"",IF(AND(B7043='IN-TC'!$S$4,OR(TH!N7043="1111",TH!O7043="1111")),TH!D7043,""),"")</f>
        <v/>
      </c>
      <c r="B7043" s="1163" t="str">
        <f t="shared" si="530"/>
        <v/>
      </c>
      <c r="C7043" s="61"/>
      <c r="D7043" s="61"/>
      <c r="E7043" s="61"/>
      <c r="F7043" s="69"/>
      <c r="G7043" s="64"/>
      <c r="H7043" s="69"/>
      <c r="I7043" s="385"/>
      <c r="J7043" s="392"/>
      <c r="K7043" s="385"/>
      <c r="L7043" s="392"/>
      <c r="M7043" s="62"/>
      <c r="N7043" s="63"/>
      <c r="O7043" s="63"/>
      <c r="P7043" s="79" t="str">
        <f>IF(AND('331-CT'!$E$7=TH!H7043,OR(N7043="331",O7043="331")),"x","")</f>
        <v/>
      </c>
      <c r="Q7043" s="79" t="str">
        <f>IF(AND(B7043='111'!$L$11,OR($N7043=$Q$7,$O7043=$Q$7)),"x","")</f>
        <v/>
      </c>
      <c r="R7043" s="79" t="str">
        <f>IF(AND($N7043=$Q$7,$B7043&lt;'111'!$L$11),"x","")</f>
        <v/>
      </c>
      <c r="S7043" s="79" t="str">
        <f>IF(AND($O7043=$Q$7,$B7043&lt;'111'!$L$11),"x","")</f>
        <v/>
      </c>
      <c r="T7043" s="79" t="str">
        <f>IF(ISERROR(FIND('112'!$M$9,G7043,1)),"",IF((AND(FIND('112'!$M$9,G7043,1)&gt;=1,B7043='112'!$K$9,OR($N7043='112'!$I$6,$O7043='112'!$I$6))),"x",""))</f>
        <v/>
      </c>
      <c r="U7043" s="79" t="str">
        <f>IF(ISERROR(FIND('112'!$M$9,G7043,1)),"",IF((AND(LEFT(G7043,2)=LEFT('112'!$M$9,2),B7043&lt;'112'!$K$9,$N7043='112'!$I$6)),"x",""))</f>
        <v/>
      </c>
      <c r="V7043" s="79" t="str">
        <f>IF(ISERROR(FIND('112'!$M$9,G7043,1)),"",IF((AND(RIGHT(G7043,2)=RIGHT('112'!$M$9,2),B7043&lt;'112'!$K$9,$O7043='112'!$I$6)),"x",""))</f>
        <v/>
      </c>
      <c r="W7043" s="79" t="str">
        <f>IF(AND('341-CT'!$H$9=H7043,OR(LEFT(N7043,3)=$W$7,LEFT(O7043,3)=$W$7)),"x","")</f>
        <v/>
      </c>
      <c r="X7043" s="79" t="str">
        <f>IF(OR(TH!N7043=TH!$X$7,O7043=TH!$X$7),"x","")</f>
        <v/>
      </c>
      <c r="Y7043" s="79" t="str">
        <f>IF(AND(OR(N7043="131",O7043="131"),H7043='131-CT'!$H$9),"x","")</f>
        <v/>
      </c>
      <c r="Z7043" s="79"/>
      <c r="AA7043" s="79" t="str">
        <f>IF(AND(MONTH(E7043)='IN-NX'!$J$5,'IN-NX'!$D$7=D7043),"x","")</f>
        <v/>
      </c>
      <c r="AB7043" s="79" t="str">
        <f>IF(AND(OR(LEFT(TH!N7043,2)="15",LEFT(TH!O7043,2)="15"),LEFT(TH!O7043,3)&lt;&gt;"111",'152-CT'!$J$8=TH!F7043),"x","")</f>
        <v/>
      </c>
      <c r="AC7043" s="79" t="str">
        <f>IF(AND(OR(LEFT(TH!N7043,2)="15",LEFT(TH!O7043,2)="15"),TK!$E$7=TH!F7043),"x","")</f>
        <v/>
      </c>
      <c r="AD7043" s="79" t="str">
        <f>IF(AND(N7043="1521",MONTH(C7043)='BK-NL'!$M$11),"x","")</f>
        <v/>
      </c>
    </row>
    <row r="7044" spans="1:30" ht="16.5" customHeight="1">
      <c r="A7044" s="318" t="str">
        <f>IF(B7044&lt;&gt;"",IF(AND(B7044='IN-TC'!$S$4,OR(TH!N7044="1111",TH!O7044="1111")),TH!D7044,""),"")</f>
        <v/>
      </c>
      <c r="B7044" s="1163" t="str">
        <f t="shared" si="530"/>
        <v/>
      </c>
      <c r="C7044" s="61"/>
      <c r="D7044" s="61"/>
      <c r="E7044" s="61"/>
      <c r="F7044" s="69"/>
      <c r="G7044" s="64"/>
      <c r="H7044" s="69"/>
      <c r="I7044" s="385"/>
      <c r="J7044" s="392"/>
      <c r="K7044" s="385"/>
      <c r="L7044" s="392"/>
      <c r="M7044" s="62"/>
      <c r="N7044" s="63"/>
      <c r="O7044" s="63"/>
      <c r="P7044" s="79" t="str">
        <f>IF(AND('331-CT'!$E$7=TH!H7044,OR(N7044="331",O7044="331")),"x","")</f>
        <v/>
      </c>
      <c r="Q7044" s="79" t="str">
        <f>IF(AND(B7044='111'!$L$11,OR($N7044=$Q$7,$O7044=$Q$7)),"x","")</f>
        <v/>
      </c>
      <c r="R7044" s="79" t="str">
        <f>IF(AND($N7044=$Q$7,$B7044&lt;'111'!$L$11),"x","")</f>
        <v/>
      </c>
      <c r="S7044" s="79" t="str">
        <f>IF(AND($O7044=$Q$7,$B7044&lt;'111'!$L$11),"x","")</f>
        <v/>
      </c>
      <c r="T7044" s="79" t="str">
        <f>IF(ISERROR(FIND('112'!$M$9,G7044,1)),"",IF((AND(FIND('112'!$M$9,G7044,1)&gt;=1,B7044='112'!$K$9,OR($N7044='112'!$I$6,$O7044='112'!$I$6))),"x",""))</f>
        <v/>
      </c>
      <c r="U7044" s="79" t="str">
        <f>IF(ISERROR(FIND('112'!$M$9,G7044,1)),"",IF((AND(LEFT(G7044,2)=LEFT('112'!$M$9,2),B7044&lt;'112'!$K$9,$N7044='112'!$I$6)),"x",""))</f>
        <v/>
      </c>
      <c r="V7044" s="79" t="str">
        <f>IF(ISERROR(FIND('112'!$M$9,G7044,1)),"",IF((AND(RIGHT(G7044,2)=RIGHT('112'!$M$9,2),B7044&lt;'112'!$K$9,$O7044='112'!$I$6)),"x",""))</f>
        <v/>
      </c>
      <c r="W7044" s="79" t="str">
        <f>IF(AND('341-CT'!$H$9=H7044,OR(LEFT(N7044,3)=$W$7,LEFT(O7044,3)=$W$7)),"x","")</f>
        <v/>
      </c>
      <c r="X7044" s="79" t="str">
        <f>IF(OR(TH!N7044=TH!$X$7,O7044=TH!$X$7),"x","")</f>
        <v/>
      </c>
      <c r="Y7044" s="79" t="str">
        <f>IF(AND(OR(N7044="131",O7044="131"),H7044='131-CT'!$H$9),"x","")</f>
        <v/>
      </c>
      <c r="Z7044" s="79"/>
      <c r="AA7044" s="79" t="str">
        <f>IF(AND(MONTH(E7044)='IN-NX'!$J$5,'IN-NX'!$D$7=D7044),"x","")</f>
        <v/>
      </c>
      <c r="AB7044" s="79" t="str">
        <f>IF(AND(OR(LEFT(TH!N7044,2)="15",LEFT(TH!O7044,2)="15"),LEFT(TH!O7044,3)&lt;&gt;"111",'152-CT'!$J$8=TH!F7044),"x","")</f>
        <v/>
      </c>
      <c r="AC7044" s="79" t="str">
        <f>IF(AND(OR(LEFT(TH!N7044,2)="15",LEFT(TH!O7044,2)="15"),TK!$E$7=TH!F7044),"x","")</f>
        <v/>
      </c>
      <c r="AD7044" s="79" t="str">
        <f>IF(AND(N7044="1521",MONTH(C7044)='BK-NL'!$M$11),"x","")</f>
        <v/>
      </c>
    </row>
    <row r="7045" spans="1:30" ht="16.5" customHeight="1">
      <c r="A7045" s="318" t="str">
        <f>IF(B7045&lt;&gt;"",IF(AND(B7045='IN-TC'!$S$4,OR(TH!N7045="1111",TH!O7045="1111")),TH!D7045,""),"")</f>
        <v/>
      </c>
      <c r="B7045" s="1163" t="str">
        <f t="shared" si="530"/>
        <v/>
      </c>
      <c r="C7045" s="61"/>
      <c r="D7045" s="61"/>
      <c r="E7045" s="61"/>
      <c r="F7045" s="69"/>
      <c r="G7045" s="64"/>
      <c r="H7045" s="69"/>
      <c r="I7045" s="385"/>
      <c r="J7045" s="392"/>
      <c r="K7045" s="385"/>
      <c r="L7045" s="392"/>
      <c r="M7045" s="62"/>
      <c r="N7045" s="63"/>
      <c r="O7045" s="63"/>
      <c r="P7045" s="79" t="str">
        <f>IF(AND('331-CT'!$E$7=TH!H7045,OR(N7045="331",O7045="331")),"x","")</f>
        <v/>
      </c>
      <c r="Q7045" s="79" t="str">
        <f>IF(AND(B7045='111'!$L$11,OR($N7045=$Q$7,$O7045=$Q$7)),"x","")</f>
        <v/>
      </c>
      <c r="R7045" s="79" t="str">
        <f>IF(AND($N7045=$Q$7,$B7045&lt;'111'!$L$11),"x","")</f>
        <v/>
      </c>
      <c r="S7045" s="79" t="str">
        <f>IF(AND($O7045=$Q$7,$B7045&lt;'111'!$L$11),"x","")</f>
        <v/>
      </c>
      <c r="T7045" s="79" t="str">
        <f>IF(ISERROR(FIND('112'!$M$9,G7045,1)),"",IF((AND(FIND('112'!$M$9,G7045,1)&gt;=1,B7045='112'!$K$9,OR($N7045='112'!$I$6,$O7045='112'!$I$6))),"x",""))</f>
        <v/>
      </c>
      <c r="U7045" s="79" t="str">
        <f>IF(ISERROR(FIND('112'!$M$9,G7045,1)),"",IF((AND(LEFT(G7045,2)=LEFT('112'!$M$9,2),B7045&lt;'112'!$K$9,$N7045='112'!$I$6)),"x",""))</f>
        <v/>
      </c>
      <c r="V7045" s="79" t="str">
        <f>IF(ISERROR(FIND('112'!$M$9,G7045,1)),"",IF((AND(RIGHT(G7045,2)=RIGHT('112'!$M$9,2),B7045&lt;'112'!$K$9,$O7045='112'!$I$6)),"x",""))</f>
        <v/>
      </c>
      <c r="W7045" s="79" t="str">
        <f>IF(AND('341-CT'!$H$9=H7045,OR(LEFT(N7045,3)=$W$7,LEFT(O7045,3)=$W$7)),"x","")</f>
        <v/>
      </c>
      <c r="X7045" s="79" t="str">
        <f>IF(OR(TH!N7045=TH!$X$7,O7045=TH!$X$7),"x","")</f>
        <v/>
      </c>
      <c r="Y7045" s="79" t="str">
        <f>IF(AND(OR(N7045="131",O7045="131"),H7045='131-CT'!$H$9),"x","")</f>
        <v/>
      </c>
      <c r="Z7045" s="79"/>
      <c r="AA7045" s="79" t="str">
        <f>IF(AND(MONTH(E7045)='IN-NX'!$J$5,'IN-NX'!$D$7=D7045),"x","")</f>
        <v/>
      </c>
      <c r="AB7045" s="79" t="str">
        <f>IF(AND(OR(LEFT(TH!N7045,2)="15",LEFT(TH!O7045,2)="15"),LEFT(TH!O7045,3)&lt;&gt;"111",'152-CT'!$J$8=TH!F7045),"x","")</f>
        <v/>
      </c>
      <c r="AC7045" s="79" t="str">
        <f>IF(AND(OR(LEFT(TH!N7045,2)="15",LEFT(TH!O7045,2)="15"),TK!$E$7=TH!F7045),"x","")</f>
        <v/>
      </c>
      <c r="AD7045" s="79" t="str">
        <f>IF(AND(N7045="1521",MONTH(C7045)='BK-NL'!$M$11),"x","")</f>
        <v/>
      </c>
    </row>
    <row r="7046" spans="1:30" ht="16.5" customHeight="1">
      <c r="A7046" s="318" t="str">
        <f>IF(B7046&lt;&gt;"",IF(AND(B7046='IN-TC'!$S$4,OR(TH!N7046="1111",TH!O7046="1111")),TH!D7046,""),"")</f>
        <v/>
      </c>
      <c r="B7046" s="1163" t="str">
        <f t="shared" si="530"/>
        <v/>
      </c>
      <c r="C7046" s="61"/>
      <c r="D7046" s="61"/>
      <c r="E7046" s="61"/>
      <c r="F7046" s="69"/>
      <c r="G7046" s="64"/>
      <c r="H7046" s="69"/>
      <c r="I7046" s="385"/>
      <c r="J7046" s="392"/>
      <c r="K7046" s="385"/>
      <c r="L7046" s="392"/>
      <c r="M7046" s="62"/>
      <c r="N7046" s="63"/>
      <c r="O7046" s="63"/>
      <c r="P7046" s="79" t="str">
        <f>IF(AND('331-CT'!$E$7=TH!H7046,OR(N7046="331",O7046="331")),"x","")</f>
        <v/>
      </c>
      <c r="Q7046" s="79" t="str">
        <f>IF(AND(B7046='111'!$L$11,OR($N7046=$Q$7,$O7046=$Q$7)),"x","")</f>
        <v/>
      </c>
      <c r="R7046" s="79" t="str">
        <f>IF(AND($N7046=$Q$7,$B7046&lt;'111'!$L$11),"x","")</f>
        <v/>
      </c>
      <c r="S7046" s="79" t="str">
        <f>IF(AND($O7046=$Q$7,$B7046&lt;'111'!$L$11),"x","")</f>
        <v/>
      </c>
      <c r="T7046" s="79" t="str">
        <f>IF(ISERROR(FIND('112'!$M$9,G7046,1)),"",IF((AND(FIND('112'!$M$9,G7046,1)&gt;=1,B7046='112'!$K$9,OR($N7046='112'!$I$6,$O7046='112'!$I$6))),"x",""))</f>
        <v/>
      </c>
      <c r="U7046" s="79" t="str">
        <f>IF(ISERROR(FIND('112'!$M$9,G7046,1)),"",IF((AND(LEFT(G7046,2)=LEFT('112'!$M$9,2),B7046&lt;'112'!$K$9,$N7046='112'!$I$6)),"x",""))</f>
        <v/>
      </c>
      <c r="V7046" s="79" t="str">
        <f>IF(ISERROR(FIND('112'!$M$9,G7046,1)),"",IF((AND(RIGHT(G7046,2)=RIGHT('112'!$M$9,2),B7046&lt;'112'!$K$9,$O7046='112'!$I$6)),"x",""))</f>
        <v/>
      </c>
      <c r="W7046" s="79" t="str">
        <f>IF(AND('341-CT'!$H$9=H7046,OR(LEFT(N7046,3)=$W$7,LEFT(O7046,3)=$W$7)),"x","")</f>
        <v/>
      </c>
      <c r="X7046" s="79" t="str">
        <f>IF(OR(TH!N7046=TH!$X$7,O7046=TH!$X$7),"x","")</f>
        <v/>
      </c>
      <c r="Y7046" s="79" t="str">
        <f>IF(AND(OR(N7046="131",O7046="131"),H7046='131-CT'!$H$9),"x","")</f>
        <v/>
      </c>
      <c r="Z7046" s="79"/>
      <c r="AA7046" s="79" t="str">
        <f>IF(AND(MONTH(E7046)='IN-NX'!$J$5,'IN-NX'!$D$7=D7046),"x","")</f>
        <v/>
      </c>
      <c r="AB7046" s="79" t="str">
        <f>IF(AND(OR(LEFT(TH!N7046,2)="15",LEFT(TH!O7046,2)="15"),LEFT(TH!O7046,3)&lt;&gt;"111",'152-CT'!$J$8=TH!F7046),"x","")</f>
        <v/>
      </c>
      <c r="AC7046" s="79" t="str">
        <f>IF(AND(OR(LEFT(TH!N7046,2)="15",LEFT(TH!O7046,2)="15"),TK!$E$7=TH!F7046),"x","")</f>
        <v/>
      </c>
      <c r="AD7046" s="79" t="str">
        <f>IF(AND(N7046="1521",MONTH(C7046)='BK-NL'!$M$11),"x","")</f>
        <v/>
      </c>
    </row>
    <row r="7047" spans="1:30" ht="16.5" customHeight="1">
      <c r="A7047" s="318" t="str">
        <f>IF(B7047&lt;&gt;"",IF(AND(B7047='IN-TC'!$S$4,OR(TH!N7047="1111",TH!O7047="1111")),TH!D7047,""),"")</f>
        <v/>
      </c>
      <c r="B7047" s="1163" t="str">
        <f t="shared" si="530"/>
        <v/>
      </c>
      <c r="C7047" s="61"/>
      <c r="D7047" s="61"/>
      <c r="E7047" s="61"/>
      <c r="F7047" s="69"/>
      <c r="G7047" s="64"/>
      <c r="H7047" s="69"/>
      <c r="I7047" s="385"/>
      <c r="J7047" s="392"/>
      <c r="K7047" s="385"/>
      <c r="L7047" s="392"/>
      <c r="M7047" s="62"/>
      <c r="N7047" s="63"/>
      <c r="O7047" s="63"/>
      <c r="P7047" s="79" t="str">
        <f>IF(AND('331-CT'!$E$7=TH!H7047,OR(N7047="331",O7047="331")),"x","")</f>
        <v/>
      </c>
      <c r="Q7047" s="79" t="str">
        <f>IF(AND(B7047='111'!$L$11,OR($N7047=$Q$7,$O7047=$Q$7)),"x","")</f>
        <v/>
      </c>
      <c r="R7047" s="79" t="str">
        <f>IF(AND($N7047=$Q$7,$B7047&lt;'111'!$L$11),"x","")</f>
        <v/>
      </c>
      <c r="S7047" s="79" t="str">
        <f>IF(AND($O7047=$Q$7,$B7047&lt;'111'!$L$11),"x","")</f>
        <v/>
      </c>
      <c r="T7047" s="79" t="str">
        <f>IF(ISERROR(FIND('112'!$M$9,G7047,1)),"",IF((AND(FIND('112'!$M$9,G7047,1)&gt;=1,B7047='112'!$K$9,OR($N7047='112'!$I$6,$O7047='112'!$I$6))),"x",""))</f>
        <v/>
      </c>
      <c r="U7047" s="79" t="str">
        <f>IF(ISERROR(FIND('112'!$M$9,G7047,1)),"",IF((AND(LEFT(G7047,2)=LEFT('112'!$M$9,2),B7047&lt;'112'!$K$9,$N7047='112'!$I$6)),"x",""))</f>
        <v/>
      </c>
      <c r="V7047" s="79" t="str">
        <f>IF(ISERROR(FIND('112'!$M$9,G7047,1)),"",IF((AND(RIGHT(G7047,2)=RIGHT('112'!$M$9,2),B7047&lt;'112'!$K$9,$O7047='112'!$I$6)),"x",""))</f>
        <v/>
      </c>
      <c r="W7047" s="79" t="str">
        <f>IF(AND('341-CT'!$H$9=H7047,OR(LEFT(N7047,3)=$W$7,LEFT(O7047,3)=$W$7)),"x","")</f>
        <v/>
      </c>
      <c r="X7047" s="79" t="str">
        <f>IF(OR(TH!N7047=TH!$X$7,O7047=TH!$X$7),"x","")</f>
        <v/>
      </c>
      <c r="Y7047" s="79" t="str">
        <f>IF(AND(OR(N7047="131",O7047="131"),H7047='131-CT'!$H$9),"x","")</f>
        <v/>
      </c>
      <c r="Z7047" s="79"/>
      <c r="AA7047" s="79" t="str">
        <f>IF(AND(MONTH(E7047)='IN-NX'!$J$5,'IN-NX'!$D$7=D7047),"x","")</f>
        <v/>
      </c>
      <c r="AB7047" s="79" t="str">
        <f>IF(AND(OR(LEFT(TH!N7047,2)="15",LEFT(TH!O7047,2)="15"),LEFT(TH!O7047,3)&lt;&gt;"111",'152-CT'!$J$8=TH!F7047),"x","")</f>
        <v/>
      </c>
      <c r="AC7047" s="79" t="str">
        <f>IF(AND(OR(LEFT(TH!N7047,2)="15",LEFT(TH!O7047,2)="15"),TK!$E$7=TH!F7047),"x","")</f>
        <v/>
      </c>
      <c r="AD7047" s="79" t="str">
        <f>IF(AND(N7047="1521",MONTH(C7047)='BK-NL'!$M$11),"x","")</f>
        <v/>
      </c>
    </row>
    <row r="7048" spans="1:30" ht="16.5" customHeight="1">
      <c r="A7048" s="318" t="str">
        <f>IF(B7048&lt;&gt;"",IF(AND(B7048='IN-TC'!$S$4,OR(TH!N7048="1111",TH!O7048="1111")),TH!D7048,""),"")</f>
        <v/>
      </c>
      <c r="B7048" s="1163" t="str">
        <f t="shared" si="530"/>
        <v/>
      </c>
      <c r="C7048" s="61"/>
      <c r="D7048" s="61"/>
      <c r="E7048" s="61"/>
      <c r="F7048" s="69"/>
      <c r="G7048" s="64"/>
      <c r="H7048" s="69"/>
      <c r="I7048" s="385"/>
      <c r="J7048" s="392"/>
      <c r="K7048" s="385"/>
      <c r="L7048" s="392"/>
      <c r="M7048" s="62"/>
      <c r="N7048" s="63"/>
      <c r="O7048" s="63"/>
      <c r="P7048" s="79" t="str">
        <f>IF(AND('331-CT'!$E$7=TH!H7048,OR(N7048="331",O7048="331")),"x","")</f>
        <v/>
      </c>
      <c r="Q7048" s="79" t="str">
        <f>IF(AND(B7048='111'!$L$11,OR($N7048=$Q$7,$O7048=$Q$7)),"x","")</f>
        <v/>
      </c>
      <c r="R7048" s="79" t="str">
        <f>IF(AND($N7048=$Q$7,$B7048&lt;'111'!$L$11),"x","")</f>
        <v/>
      </c>
      <c r="S7048" s="79" t="str">
        <f>IF(AND($O7048=$Q$7,$B7048&lt;'111'!$L$11),"x","")</f>
        <v/>
      </c>
      <c r="T7048" s="79" t="str">
        <f>IF(ISERROR(FIND('112'!$M$9,G7048,1)),"",IF((AND(FIND('112'!$M$9,G7048,1)&gt;=1,B7048='112'!$K$9,OR($N7048='112'!$I$6,$O7048='112'!$I$6))),"x",""))</f>
        <v/>
      </c>
      <c r="U7048" s="79" t="str">
        <f>IF(ISERROR(FIND('112'!$M$9,G7048,1)),"",IF((AND(LEFT(G7048,2)=LEFT('112'!$M$9,2),B7048&lt;'112'!$K$9,$N7048='112'!$I$6)),"x",""))</f>
        <v/>
      </c>
      <c r="V7048" s="79" t="str">
        <f>IF(ISERROR(FIND('112'!$M$9,G7048,1)),"",IF((AND(RIGHT(G7048,2)=RIGHT('112'!$M$9,2),B7048&lt;'112'!$K$9,$O7048='112'!$I$6)),"x",""))</f>
        <v/>
      </c>
      <c r="W7048" s="79" t="str">
        <f>IF(AND('341-CT'!$H$9=H7048,OR(LEFT(N7048,3)=$W$7,LEFT(O7048,3)=$W$7)),"x","")</f>
        <v/>
      </c>
      <c r="X7048" s="79" t="str">
        <f>IF(OR(TH!N7048=TH!$X$7,O7048=TH!$X$7),"x","")</f>
        <v/>
      </c>
      <c r="Y7048" s="79" t="str">
        <f>IF(AND(OR(N7048="131",O7048="131"),H7048='131-CT'!$H$9),"x","")</f>
        <v/>
      </c>
      <c r="Z7048" s="79"/>
      <c r="AA7048" s="79" t="str">
        <f>IF(AND(MONTH(E7048)='IN-NX'!$J$5,'IN-NX'!$D$7=D7048),"x","")</f>
        <v/>
      </c>
      <c r="AB7048" s="79" t="str">
        <f>IF(AND(OR(LEFT(TH!N7048,2)="15",LEFT(TH!O7048,2)="15"),LEFT(TH!O7048,3)&lt;&gt;"111",'152-CT'!$J$8=TH!F7048),"x","")</f>
        <v/>
      </c>
      <c r="AC7048" s="79" t="str">
        <f>IF(AND(OR(LEFT(TH!N7048,2)="15",LEFT(TH!O7048,2)="15"),TK!$E$7=TH!F7048),"x","")</f>
        <v/>
      </c>
      <c r="AD7048" s="79" t="str">
        <f>IF(AND(N7048="1521",MONTH(C7048)='BK-NL'!$M$11),"x","")</f>
        <v/>
      </c>
    </row>
    <row r="7049" spans="1:30" ht="16.5" customHeight="1">
      <c r="A7049" s="318" t="str">
        <f>IF(B7049&lt;&gt;"",IF(AND(B7049='IN-TC'!$S$4,OR(TH!N7049="1111",TH!O7049="1111")),TH!D7049,""),"")</f>
        <v/>
      </c>
      <c r="B7049" s="1163" t="str">
        <f t="shared" si="530"/>
        <v/>
      </c>
      <c r="C7049" s="61"/>
      <c r="D7049" s="61"/>
      <c r="E7049" s="61"/>
      <c r="F7049" s="69"/>
      <c r="G7049" s="64"/>
      <c r="H7049" s="69"/>
      <c r="I7049" s="385"/>
      <c r="J7049" s="392"/>
      <c r="K7049" s="385"/>
      <c r="L7049" s="392"/>
      <c r="M7049" s="62"/>
      <c r="N7049" s="63"/>
      <c r="O7049" s="63"/>
      <c r="P7049" s="79" t="str">
        <f>IF(AND('331-CT'!$E$7=TH!H7049,OR(N7049="331",O7049="331")),"x","")</f>
        <v/>
      </c>
      <c r="Q7049" s="79" t="str">
        <f>IF(AND(B7049='111'!$L$11,OR($N7049=$Q$7,$O7049=$Q$7)),"x","")</f>
        <v/>
      </c>
      <c r="R7049" s="79" t="str">
        <f>IF(AND($N7049=$Q$7,$B7049&lt;'111'!$L$11),"x","")</f>
        <v/>
      </c>
      <c r="S7049" s="79" t="str">
        <f>IF(AND($O7049=$Q$7,$B7049&lt;'111'!$L$11),"x","")</f>
        <v/>
      </c>
      <c r="T7049" s="79" t="str">
        <f>IF(ISERROR(FIND('112'!$M$9,G7049,1)),"",IF((AND(FIND('112'!$M$9,G7049,1)&gt;=1,B7049='112'!$K$9,OR($N7049='112'!$I$6,$O7049='112'!$I$6))),"x",""))</f>
        <v/>
      </c>
      <c r="U7049" s="79" t="str">
        <f>IF(ISERROR(FIND('112'!$M$9,G7049,1)),"",IF((AND(LEFT(G7049,2)=LEFT('112'!$M$9,2),B7049&lt;'112'!$K$9,$N7049='112'!$I$6)),"x",""))</f>
        <v/>
      </c>
      <c r="V7049" s="79" t="str">
        <f>IF(ISERROR(FIND('112'!$M$9,G7049,1)),"",IF((AND(RIGHT(G7049,2)=RIGHT('112'!$M$9,2),B7049&lt;'112'!$K$9,$O7049='112'!$I$6)),"x",""))</f>
        <v/>
      </c>
      <c r="W7049" s="79" t="str">
        <f>IF(AND('341-CT'!$H$9=H7049,OR(LEFT(N7049,3)=$W$7,LEFT(O7049,3)=$W$7)),"x","")</f>
        <v/>
      </c>
      <c r="X7049" s="79" t="str">
        <f>IF(OR(TH!N7049=TH!$X$7,O7049=TH!$X$7),"x","")</f>
        <v/>
      </c>
      <c r="Y7049" s="79" t="str">
        <f>IF(AND(OR(N7049="131",O7049="131"),H7049='131-CT'!$H$9),"x","")</f>
        <v/>
      </c>
      <c r="Z7049" s="79"/>
      <c r="AA7049" s="79" t="str">
        <f>IF(AND(MONTH(E7049)='IN-NX'!$J$5,'IN-NX'!$D$7=D7049),"x","")</f>
        <v/>
      </c>
      <c r="AB7049" s="79" t="str">
        <f>IF(AND(OR(LEFT(TH!N7049,2)="15",LEFT(TH!O7049,2)="15"),LEFT(TH!O7049,3)&lt;&gt;"111",'152-CT'!$J$8=TH!F7049),"x","")</f>
        <v/>
      </c>
      <c r="AC7049" s="79" t="str">
        <f>IF(AND(OR(LEFT(TH!N7049,2)="15",LEFT(TH!O7049,2)="15"),TK!$E$7=TH!F7049),"x","")</f>
        <v/>
      </c>
      <c r="AD7049" s="79" t="str">
        <f>IF(AND(N7049="1521",MONTH(C7049)='BK-NL'!$M$11),"x","")</f>
        <v/>
      </c>
    </row>
    <row r="7050" spans="1:30" ht="16.5" customHeight="1">
      <c r="A7050" s="318" t="str">
        <f>IF(B7050&lt;&gt;"",IF(AND(B7050='IN-TC'!$S$4,OR(TH!N7050="1111",TH!O7050="1111")),TH!D7050,""),"")</f>
        <v/>
      </c>
      <c r="B7050" s="1163" t="str">
        <f t="shared" si="530"/>
        <v/>
      </c>
      <c r="C7050" s="61"/>
      <c r="D7050" s="61"/>
      <c r="E7050" s="61"/>
      <c r="F7050" s="69"/>
      <c r="G7050" s="64"/>
      <c r="H7050" s="69"/>
      <c r="I7050" s="385"/>
      <c r="J7050" s="392"/>
      <c r="K7050" s="385"/>
      <c r="L7050" s="392"/>
      <c r="M7050" s="62"/>
      <c r="N7050" s="63"/>
      <c r="O7050" s="63"/>
      <c r="P7050" s="79" t="str">
        <f>IF(AND('331-CT'!$E$7=TH!H7050,OR(N7050="331",O7050="331")),"x","")</f>
        <v/>
      </c>
      <c r="Q7050" s="79" t="str">
        <f>IF(AND(B7050='111'!$L$11,OR($N7050=$Q$7,$O7050=$Q$7)),"x","")</f>
        <v/>
      </c>
      <c r="R7050" s="79" t="str">
        <f>IF(AND($N7050=$Q$7,$B7050&lt;'111'!$L$11),"x","")</f>
        <v/>
      </c>
      <c r="S7050" s="79" t="str">
        <f>IF(AND($O7050=$Q$7,$B7050&lt;'111'!$L$11),"x","")</f>
        <v/>
      </c>
      <c r="T7050" s="79" t="str">
        <f>IF(ISERROR(FIND('112'!$M$9,G7050,1)),"",IF((AND(FIND('112'!$M$9,G7050,1)&gt;=1,B7050='112'!$K$9,OR($N7050='112'!$I$6,$O7050='112'!$I$6))),"x",""))</f>
        <v/>
      </c>
      <c r="U7050" s="79" t="str">
        <f>IF(ISERROR(FIND('112'!$M$9,G7050,1)),"",IF((AND(LEFT(G7050,2)=LEFT('112'!$M$9,2),B7050&lt;'112'!$K$9,$N7050='112'!$I$6)),"x",""))</f>
        <v/>
      </c>
      <c r="V7050" s="79" t="str">
        <f>IF(ISERROR(FIND('112'!$M$9,G7050,1)),"",IF((AND(RIGHT(G7050,2)=RIGHT('112'!$M$9,2),B7050&lt;'112'!$K$9,$O7050='112'!$I$6)),"x",""))</f>
        <v/>
      </c>
      <c r="W7050" s="79" t="str">
        <f>IF(AND('341-CT'!$H$9=H7050,OR(LEFT(N7050,3)=$W$7,LEFT(O7050,3)=$W$7)),"x","")</f>
        <v/>
      </c>
      <c r="X7050" s="79" t="str">
        <f>IF(OR(TH!N7050=TH!$X$7,O7050=TH!$X$7),"x","")</f>
        <v/>
      </c>
      <c r="Y7050" s="79" t="str">
        <f>IF(AND(OR(N7050="131",O7050="131"),H7050='131-CT'!$H$9),"x","")</f>
        <v/>
      </c>
      <c r="Z7050" s="79"/>
      <c r="AA7050" s="79" t="str">
        <f>IF(AND(MONTH(E7050)='IN-NX'!$J$5,'IN-NX'!$D$7=D7050),"x","")</f>
        <v/>
      </c>
      <c r="AB7050" s="79" t="str">
        <f>IF(AND(OR(LEFT(TH!N7050,2)="15",LEFT(TH!O7050,2)="15"),LEFT(TH!O7050,3)&lt;&gt;"111",'152-CT'!$J$8=TH!F7050),"x","")</f>
        <v/>
      </c>
      <c r="AC7050" s="79" t="str">
        <f>IF(AND(OR(LEFT(TH!N7050,2)="15",LEFT(TH!O7050,2)="15"),TK!$E$7=TH!F7050),"x","")</f>
        <v/>
      </c>
      <c r="AD7050" s="79" t="str">
        <f>IF(AND(N7050="1521",MONTH(C7050)='BK-NL'!$M$11),"x","")</f>
        <v/>
      </c>
    </row>
    <row r="7051" spans="1:30" ht="16.5" customHeight="1">
      <c r="A7051" s="318" t="str">
        <f>IF(B7051&lt;&gt;"",IF(AND(B7051='IN-TC'!$S$4,OR(TH!N7051="1111",TH!O7051="1111")),TH!D7051,""),"")</f>
        <v/>
      </c>
      <c r="B7051" s="1163" t="str">
        <f t="shared" si="530"/>
        <v/>
      </c>
      <c r="C7051" s="61"/>
      <c r="D7051" s="61"/>
      <c r="E7051" s="61"/>
      <c r="F7051" s="69"/>
      <c r="G7051" s="64"/>
      <c r="H7051" s="69"/>
      <c r="I7051" s="385"/>
      <c r="J7051" s="392"/>
      <c r="K7051" s="385"/>
      <c r="L7051" s="392"/>
      <c r="M7051" s="62"/>
      <c r="N7051" s="63"/>
      <c r="O7051" s="63"/>
      <c r="P7051" s="79" t="str">
        <f>IF(AND('331-CT'!$E$7=TH!H7051,OR(N7051="331",O7051="331")),"x","")</f>
        <v/>
      </c>
      <c r="Q7051" s="79" t="str">
        <f>IF(AND(B7051='111'!$L$11,OR($N7051=$Q$7,$O7051=$Q$7)),"x","")</f>
        <v/>
      </c>
      <c r="R7051" s="79" t="str">
        <f>IF(AND($N7051=$Q$7,$B7051&lt;'111'!$L$11),"x","")</f>
        <v/>
      </c>
      <c r="S7051" s="79" t="str">
        <f>IF(AND($O7051=$Q$7,$B7051&lt;'111'!$L$11),"x","")</f>
        <v/>
      </c>
      <c r="T7051" s="79" t="str">
        <f>IF(ISERROR(FIND('112'!$M$9,G7051,1)),"",IF((AND(FIND('112'!$M$9,G7051,1)&gt;=1,B7051='112'!$K$9,OR($N7051='112'!$I$6,$O7051='112'!$I$6))),"x",""))</f>
        <v/>
      </c>
      <c r="U7051" s="79" t="str">
        <f>IF(ISERROR(FIND('112'!$M$9,G7051,1)),"",IF((AND(LEFT(G7051,2)=LEFT('112'!$M$9,2),B7051&lt;'112'!$K$9,$N7051='112'!$I$6)),"x",""))</f>
        <v/>
      </c>
      <c r="V7051" s="79" t="str">
        <f>IF(ISERROR(FIND('112'!$M$9,G7051,1)),"",IF((AND(RIGHT(G7051,2)=RIGHT('112'!$M$9,2),B7051&lt;'112'!$K$9,$O7051='112'!$I$6)),"x",""))</f>
        <v/>
      </c>
      <c r="W7051" s="79" t="str">
        <f>IF(AND('341-CT'!$H$9=H7051,OR(LEFT(N7051,3)=$W$7,LEFT(O7051,3)=$W$7)),"x","")</f>
        <v/>
      </c>
      <c r="X7051" s="79" t="str">
        <f>IF(OR(TH!N7051=TH!$X$7,O7051=TH!$X$7),"x","")</f>
        <v/>
      </c>
      <c r="Y7051" s="79" t="str">
        <f>IF(AND(OR(N7051="131",O7051="131"),H7051='131-CT'!$H$9),"x","")</f>
        <v/>
      </c>
      <c r="Z7051" s="79"/>
      <c r="AA7051" s="79" t="str">
        <f>IF(AND(MONTH(E7051)='IN-NX'!$J$5,'IN-NX'!$D$7=D7051),"x","")</f>
        <v/>
      </c>
      <c r="AB7051" s="79" t="str">
        <f>IF(AND(OR(LEFT(TH!N7051,2)="15",LEFT(TH!O7051,2)="15"),LEFT(TH!O7051,3)&lt;&gt;"111",'152-CT'!$J$8=TH!F7051),"x","")</f>
        <v/>
      </c>
      <c r="AC7051" s="79" t="str">
        <f>IF(AND(OR(LEFT(TH!N7051,2)="15",LEFT(TH!O7051,2)="15"),TK!$E$7=TH!F7051),"x","")</f>
        <v/>
      </c>
      <c r="AD7051" s="79" t="str">
        <f>IF(AND(N7051="1521",MONTH(C7051)='BK-NL'!$M$11),"x","")</f>
        <v/>
      </c>
    </row>
    <row r="7052" spans="1:30" ht="16.5" customHeight="1">
      <c r="A7052" s="318" t="str">
        <f>IF(B7052&lt;&gt;"",IF(AND(B7052='IN-TC'!$S$4,OR(TH!N7052="1111",TH!O7052="1111")),TH!D7052,""),"")</f>
        <v/>
      </c>
      <c r="B7052" s="1163" t="str">
        <f t="shared" si="530"/>
        <v/>
      </c>
      <c r="C7052" s="61"/>
      <c r="D7052" s="61"/>
      <c r="E7052" s="61"/>
      <c r="F7052" s="69"/>
      <c r="G7052" s="64"/>
      <c r="H7052" s="69"/>
      <c r="I7052" s="385"/>
      <c r="J7052" s="392"/>
      <c r="K7052" s="385"/>
      <c r="L7052" s="392"/>
      <c r="M7052" s="62"/>
      <c r="N7052" s="63"/>
      <c r="O7052" s="63"/>
      <c r="P7052" s="79" t="str">
        <f>IF(AND('331-CT'!$E$7=TH!H7052,OR(N7052="331",O7052="331")),"x","")</f>
        <v/>
      </c>
      <c r="Q7052" s="79" t="str">
        <f>IF(AND(B7052='111'!$L$11,OR($N7052=$Q$7,$O7052=$Q$7)),"x","")</f>
        <v/>
      </c>
      <c r="R7052" s="79" t="str">
        <f>IF(AND($N7052=$Q$7,$B7052&lt;'111'!$L$11),"x","")</f>
        <v/>
      </c>
      <c r="S7052" s="79" t="str">
        <f>IF(AND($O7052=$Q$7,$B7052&lt;'111'!$L$11),"x","")</f>
        <v/>
      </c>
      <c r="T7052" s="79" t="str">
        <f>IF(ISERROR(FIND('112'!$M$9,G7052,1)),"",IF((AND(FIND('112'!$M$9,G7052,1)&gt;=1,B7052='112'!$K$9,OR($N7052='112'!$I$6,$O7052='112'!$I$6))),"x",""))</f>
        <v/>
      </c>
      <c r="U7052" s="79" t="str">
        <f>IF(ISERROR(FIND('112'!$M$9,G7052,1)),"",IF((AND(LEFT(G7052,2)=LEFT('112'!$M$9,2),B7052&lt;'112'!$K$9,$N7052='112'!$I$6)),"x",""))</f>
        <v/>
      </c>
      <c r="V7052" s="79" t="str">
        <f>IF(ISERROR(FIND('112'!$M$9,G7052,1)),"",IF((AND(RIGHT(G7052,2)=RIGHT('112'!$M$9,2),B7052&lt;'112'!$K$9,$O7052='112'!$I$6)),"x",""))</f>
        <v/>
      </c>
      <c r="W7052" s="79" t="str">
        <f>IF(AND('341-CT'!$H$9=H7052,OR(LEFT(N7052,3)=$W$7,LEFT(O7052,3)=$W$7)),"x","")</f>
        <v/>
      </c>
      <c r="X7052" s="79" t="str">
        <f>IF(OR(TH!N7052=TH!$X$7,O7052=TH!$X$7),"x","")</f>
        <v/>
      </c>
      <c r="Y7052" s="79" t="str">
        <f>IF(AND(OR(N7052="131",O7052="131"),H7052='131-CT'!$H$9),"x","")</f>
        <v/>
      </c>
      <c r="Z7052" s="79"/>
      <c r="AA7052" s="79" t="str">
        <f>IF(AND(MONTH(E7052)='IN-NX'!$J$5,'IN-NX'!$D$7=D7052),"x","")</f>
        <v/>
      </c>
      <c r="AB7052" s="79" t="str">
        <f>IF(AND(OR(LEFT(TH!N7052,2)="15",LEFT(TH!O7052,2)="15"),LEFT(TH!O7052,3)&lt;&gt;"111",'152-CT'!$J$8=TH!F7052),"x","")</f>
        <v/>
      </c>
      <c r="AC7052" s="79" t="str">
        <f>IF(AND(OR(LEFT(TH!N7052,2)="15",LEFT(TH!O7052,2)="15"),TK!$E$7=TH!F7052),"x","")</f>
        <v/>
      </c>
      <c r="AD7052" s="79" t="str">
        <f>IF(AND(N7052="1521",MONTH(C7052)='BK-NL'!$M$11),"x","")</f>
        <v/>
      </c>
    </row>
    <row r="7053" spans="1:30" ht="16.5" customHeight="1">
      <c r="A7053" s="318" t="str">
        <f>IF(B7053&lt;&gt;"",IF(AND(B7053='IN-TC'!$S$4,OR(TH!N7053="1111",TH!O7053="1111")),TH!D7053,""),"")</f>
        <v/>
      </c>
      <c r="B7053" s="1163" t="str">
        <f t="shared" si="530"/>
        <v/>
      </c>
      <c r="C7053" s="61"/>
      <c r="D7053" s="61"/>
      <c r="E7053" s="61"/>
      <c r="F7053" s="69"/>
      <c r="G7053" s="64"/>
      <c r="H7053" s="69"/>
      <c r="I7053" s="385"/>
      <c r="J7053" s="392"/>
      <c r="K7053" s="385"/>
      <c r="L7053" s="392"/>
      <c r="M7053" s="62"/>
      <c r="N7053" s="63"/>
      <c r="O7053" s="63"/>
      <c r="P7053" s="79" t="str">
        <f>IF(AND('331-CT'!$E$7=TH!H7053,OR(N7053="331",O7053="331")),"x","")</f>
        <v/>
      </c>
      <c r="Q7053" s="79" t="str">
        <f>IF(AND(B7053='111'!$L$11,OR($N7053=$Q$7,$O7053=$Q$7)),"x","")</f>
        <v/>
      </c>
      <c r="R7053" s="79" t="str">
        <f>IF(AND($N7053=$Q$7,$B7053&lt;'111'!$L$11),"x","")</f>
        <v/>
      </c>
      <c r="S7053" s="79" t="str">
        <f>IF(AND($O7053=$Q$7,$B7053&lt;'111'!$L$11),"x","")</f>
        <v/>
      </c>
      <c r="T7053" s="79" t="str">
        <f>IF(ISERROR(FIND('112'!$M$9,G7053,1)),"",IF((AND(FIND('112'!$M$9,G7053,1)&gt;=1,B7053='112'!$K$9,OR($N7053='112'!$I$6,$O7053='112'!$I$6))),"x",""))</f>
        <v/>
      </c>
      <c r="U7053" s="79" t="str">
        <f>IF(ISERROR(FIND('112'!$M$9,G7053,1)),"",IF((AND(LEFT(G7053,2)=LEFT('112'!$M$9,2),B7053&lt;'112'!$K$9,$N7053='112'!$I$6)),"x",""))</f>
        <v/>
      </c>
      <c r="V7053" s="79" t="str">
        <f>IF(ISERROR(FIND('112'!$M$9,G7053,1)),"",IF((AND(RIGHT(G7053,2)=RIGHT('112'!$M$9,2),B7053&lt;'112'!$K$9,$O7053='112'!$I$6)),"x",""))</f>
        <v/>
      </c>
      <c r="W7053" s="79" t="str">
        <f>IF(AND('341-CT'!$H$9=H7053,OR(LEFT(N7053,3)=$W$7,LEFT(O7053,3)=$W$7)),"x","")</f>
        <v/>
      </c>
      <c r="X7053" s="79" t="str">
        <f>IF(OR(TH!N7053=TH!$X$7,O7053=TH!$X$7),"x","")</f>
        <v/>
      </c>
      <c r="Y7053" s="79" t="str">
        <f>IF(AND(OR(N7053="131",O7053="131"),H7053='131-CT'!$H$9),"x","")</f>
        <v/>
      </c>
      <c r="Z7053" s="79"/>
      <c r="AA7053" s="79" t="str">
        <f>IF(AND(MONTH(E7053)='IN-NX'!$J$5,'IN-NX'!$D$7=D7053),"x","")</f>
        <v/>
      </c>
      <c r="AB7053" s="79" t="str">
        <f>IF(AND(OR(LEFT(TH!N7053,2)="15",LEFT(TH!O7053,2)="15"),LEFT(TH!O7053,3)&lt;&gt;"111",'152-CT'!$J$8=TH!F7053),"x","")</f>
        <v/>
      </c>
      <c r="AC7053" s="79" t="str">
        <f>IF(AND(OR(LEFT(TH!N7053,2)="15",LEFT(TH!O7053,2)="15"),TK!$E$7=TH!F7053),"x","")</f>
        <v/>
      </c>
      <c r="AD7053" s="79" t="str">
        <f>IF(AND(N7053="1521",MONTH(C7053)='BK-NL'!$M$11),"x","")</f>
        <v/>
      </c>
    </row>
    <row r="7054" spans="1:30" ht="16.5" customHeight="1">
      <c r="A7054" s="318" t="str">
        <f>IF(B7054&lt;&gt;"",IF(AND(B7054='IN-TC'!$S$4,OR(TH!N7054="1111",TH!O7054="1111")),TH!D7054,""),"")</f>
        <v/>
      </c>
      <c r="B7054" s="1163" t="str">
        <f t="shared" si="530"/>
        <v/>
      </c>
      <c r="C7054" s="61"/>
      <c r="D7054" s="61"/>
      <c r="E7054" s="61"/>
      <c r="F7054" s="69"/>
      <c r="G7054" s="64"/>
      <c r="H7054" s="69"/>
      <c r="I7054" s="385"/>
      <c r="J7054" s="392"/>
      <c r="K7054" s="385"/>
      <c r="L7054" s="392"/>
      <c r="M7054" s="62"/>
      <c r="N7054" s="63"/>
      <c r="O7054" s="63"/>
      <c r="P7054" s="79" t="str">
        <f>IF(AND('331-CT'!$E$7=TH!H7054,OR(N7054="331",O7054="331")),"x","")</f>
        <v/>
      </c>
      <c r="Q7054" s="79" t="str">
        <f>IF(AND(B7054='111'!$L$11,OR($N7054=$Q$7,$O7054=$Q$7)),"x","")</f>
        <v/>
      </c>
      <c r="R7054" s="79" t="str">
        <f>IF(AND($N7054=$Q$7,$B7054&lt;'111'!$L$11),"x","")</f>
        <v/>
      </c>
      <c r="S7054" s="79" t="str">
        <f>IF(AND($O7054=$Q$7,$B7054&lt;'111'!$L$11),"x","")</f>
        <v/>
      </c>
      <c r="T7054" s="79" t="str">
        <f>IF(ISERROR(FIND('112'!$M$9,G7054,1)),"",IF((AND(FIND('112'!$M$9,G7054,1)&gt;=1,B7054='112'!$K$9,OR($N7054='112'!$I$6,$O7054='112'!$I$6))),"x",""))</f>
        <v/>
      </c>
      <c r="U7054" s="79" t="str">
        <f>IF(ISERROR(FIND('112'!$M$9,G7054,1)),"",IF((AND(LEFT(G7054,2)=LEFT('112'!$M$9,2),B7054&lt;'112'!$K$9,$N7054='112'!$I$6)),"x",""))</f>
        <v/>
      </c>
      <c r="V7054" s="79" t="str">
        <f>IF(ISERROR(FIND('112'!$M$9,G7054,1)),"",IF((AND(RIGHT(G7054,2)=RIGHT('112'!$M$9,2),B7054&lt;'112'!$K$9,$O7054='112'!$I$6)),"x",""))</f>
        <v/>
      </c>
      <c r="W7054" s="79" t="str">
        <f>IF(AND('341-CT'!$H$9=H7054,OR(LEFT(N7054,3)=$W$7,LEFT(O7054,3)=$W$7)),"x","")</f>
        <v/>
      </c>
      <c r="X7054" s="79" t="str">
        <f>IF(OR(TH!N7054=TH!$X$7,O7054=TH!$X$7),"x","")</f>
        <v/>
      </c>
      <c r="Y7054" s="79" t="str">
        <f>IF(AND(OR(N7054="131",O7054="131"),H7054='131-CT'!$H$9),"x","")</f>
        <v/>
      </c>
      <c r="Z7054" s="79"/>
      <c r="AA7054" s="79" t="str">
        <f>IF(AND(MONTH(E7054)='IN-NX'!$J$5,'IN-NX'!$D$7=D7054),"x","")</f>
        <v/>
      </c>
      <c r="AB7054" s="79" t="str">
        <f>IF(AND(OR(LEFT(TH!N7054,2)="15",LEFT(TH!O7054,2)="15"),LEFT(TH!O7054,3)&lt;&gt;"111",'152-CT'!$J$8=TH!F7054),"x","")</f>
        <v/>
      </c>
      <c r="AC7054" s="79" t="str">
        <f>IF(AND(OR(LEFT(TH!N7054,2)="15",LEFT(TH!O7054,2)="15"),TK!$E$7=TH!F7054),"x","")</f>
        <v/>
      </c>
      <c r="AD7054" s="79" t="str">
        <f>IF(AND(N7054="1521",MONTH(C7054)='BK-NL'!$M$11),"x","")</f>
        <v/>
      </c>
    </row>
    <row r="7055" spans="1:30" ht="16.5" customHeight="1">
      <c r="A7055" s="318" t="str">
        <f>IF(B7055&lt;&gt;"",IF(AND(B7055='IN-TC'!$S$4,OR(TH!N7055="1111",TH!O7055="1111")),TH!D7055,""),"")</f>
        <v/>
      </c>
      <c r="B7055" s="1163" t="str">
        <f t="shared" si="530"/>
        <v/>
      </c>
      <c r="C7055" s="61"/>
      <c r="D7055" s="61"/>
      <c r="E7055" s="61"/>
      <c r="F7055" s="69"/>
      <c r="G7055" s="64"/>
      <c r="H7055" s="69"/>
      <c r="I7055" s="385"/>
      <c r="J7055" s="392"/>
      <c r="K7055" s="385"/>
      <c r="L7055" s="392"/>
      <c r="M7055" s="62"/>
      <c r="N7055" s="63"/>
      <c r="O7055" s="63"/>
      <c r="P7055" s="79" t="str">
        <f>IF(AND('331-CT'!$E$7=TH!H7055,OR(N7055="331",O7055="331")),"x","")</f>
        <v/>
      </c>
      <c r="Q7055" s="79" t="str">
        <f>IF(AND(B7055='111'!$L$11,OR($N7055=$Q$7,$O7055=$Q$7)),"x","")</f>
        <v/>
      </c>
      <c r="R7055" s="79" t="str">
        <f>IF(AND($N7055=$Q$7,$B7055&lt;'111'!$L$11),"x","")</f>
        <v/>
      </c>
      <c r="S7055" s="79" t="str">
        <f>IF(AND($O7055=$Q$7,$B7055&lt;'111'!$L$11),"x","")</f>
        <v/>
      </c>
      <c r="T7055" s="79" t="str">
        <f>IF(ISERROR(FIND('112'!$M$9,G7055,1)),"",IF((AND(FIND('112'!$M$9,G7055,1)&gt;=1,B7055='112'!$K$9,OR($N7055='112'!$I$6,$O7055='112'!$I$6))),"x",""))</f>
        <v/>
      </c>
      <c r="U7055" s="79" t="str">
        <f>IF(ISERROR(FIND('112'!$M$9,G7055,1)),"",IF((AND(LEFT(G7055,2)=LEFT('112'!$M$9,2),B7055&lt;'112'!$K$9,$N7055='112'!$I$6)),"x",""))</f>
        <v/>
      </c>
      <c r="V7055" s="79" t="str">
        <f>IF(ISERROR(FIND('112'!$M$9,G7055,1)),"",IF((AND(RIGHT(G7055,2)=RIGHT('112'!$M$9,2),B7055&lt;'112'!$K$9,$O7055='112'!$I$6)),"x",""))</f>
        <v/>
      </c>
      <c r="W7055" s="79" t="str">
        <f>IF(AND('341-CT'!$H$9=H7055,OR(LEFT(N7055,3)=$W$7,LEFT(O7055,3)=$W$7)),"x","")</f>
        <v/>
      </c>
      <c r="X7055" s="79" t="str">
        <f>IF(OR(TH!N7055=TH!$X$7,O7055=TH!$X$7),"x","")</f>
        <v/>
      </c>
      <c r="Y7055" s="79" t="str">
        <f>IF(AND(OR(N7055="131",O7055="131"),H7055='131-CT'!$H$9),"x","")</f>
        <v/>
      </c>
      <c r="Z7055" s="79"/>
      <c r="AA7055" s="79" t="str">
        <f>IF(AND(MONTH(E7055)='IN-NX'!$J$5,'IN-NX'!$D$7=D7055),"x","")</f>
        <v/>
      </c>
      <c r="AB7055" s="79" t="str">
        <f>IF(AND(OR(LEFT(TH!N7055,2)="15",LEFT(TH!O7055,2)="15"),LEFT(TH!O7055,3)&lt;&gt;"111",'152-CT'!$J$8=TH!F7055),"x","")</f>
        <v/>
      </c>
      <c r="AC7055" s="79" t="str">
        <f>IF(AND(OR(LEFT(TH!N7055,2)="15",LEFT(TH!O7055,2)="15"),TK!$E$7=TH!F7055),"x","")</f>
        <v/>
      </c>
      <c r="AD7055" s="79" t="str">
        <f>IF(AND(N7055="1521",MONTH(C7055)='BK-NL'!$M$11),"x","")</f>
        <v/>
      </c>
    </row>
    <row r="7056" spans="1:30" ht="16.5" customHeight="1">
      <c r="A7056" s="318" t="str">
        <f>IF(B7056&lt;&gt;"",IF(AND(B7056='IN-TC'!$S$4,OR(TH!N7056="1111",TH!O7056="1111")),TH!D7056,""),"")</f>
        <v/>
      </c>
      <c r="B7056" s="1163" t="str">
        <f t="shared" si="530"/>
        <v/>
      </c>
      <c r="C7056" s="61"/>
      <c r="D7056" s="61"/>
      <c r="E7056" s="61"/>
      <c r="F7056" s="69"/>
      <c r="G7056" s="64"/>
      <c r="H7056" s="69"/>
      <c r="I7056" s="385"/>
      <c r="J7056" s="392"/>
      <c r="K7056" s="385"/>
      <c r="L7056" s="392"/>
      <c r="M7056" s="62"/>
      <c r="N7056" s="63"/>
      <c r="O7056" s="63"/>
      <c r="P7056" s="79" t="str">
        <f>IF(AND('331-CT'!$E$7=TH!H7056,OR(N7056="331",O7056="331")),"x","")</f>
        <v/>
      </c>
      <c r="Q7056" s="79" t="str">
        <f>IF(AND(B7056='111'!$L$11,OR($N7056=$Q$7,$O7056=$Q$7)),"x","")</f>
        <v/>
      </c>
      <c r="R7056" s="79" t="str">
        <f>IF(AND($N7056=$Q$7,$B7056&lt;'111'!$L$11),"x","")</f>
        <v/>
      </c>
      <c r="S7056" s="79" t="str">
        <f>IF(AND($O7056=$Q$7,$B7056&lt;'111'!$L$11),"x","")</f>
        <v/>
      </c>
      <c r="T7056" s="79" t="str">
        <f>IF(ISERROR(FIND('112'!$M$9,G7056,1)),"",IF((AND(FIND('112'!$M$9,G7056,1)&gt;=1,B7056='112'!$K$9,OR($N7056='112'!$I$6,$O7056='112'!$I$6))),"x",""))</f>
        <v/>
      </c>
      <c r="U7056" s="79" t="str">
        <f>IF(ISERROR(FIND('112'!$M$9,G7056,1)),"",IF((AND(LEFT(G7056,2)=LEFT('112'!$M$9,2),B7056&lt;'112'!$K$9,$N7056='112'!$I$6)),"x",""))</f>
        <v/>
      </c>
      <c r="V7056" s="79" t="str">
        <f>IF(ISERROR(FIND('112'!$M$9,G7056,1)),"",IF((AND(RIGHT(G7056,2)=RIGHT('112'!$M$9,2),B7056&lt;'112'!$K$9,$O7056='112'!$I$6)),"x",""))</f>
        <v/>
      </c>
      <c r="W7056" s="79" t="str">
        <f>IF(AND('341-CT'!$H$9=H7056,OR(LEFT(N7056,3)=$W$7,LEFT(O7056,3)=$W$7)),"x","")</f>
        <v/>
      </c>
      <c r="X7056" s="79" t="str">
        <f>IF(OR(TH!N7056=TH!$X$7,O7056=TH!$X$7),"x","")</f>
        <v/>
      </c>
      <c r="Y7056" s="79" t="str">
        <f>IF(AND(OR(N7056="131",O7056="131"),H7056='131-CT'!$H$9),"x","")</f>
        <v/>
      </c>
      <c r="Z7056" s="79"/>
      <c r="AA7056" s="79" t="str">
        <f>IF(AND(MONTH(E7056)='IN-NX'!$J$5,'IN-NX'!$D$7=D7056),"x","")</f>
        <v/>
      </c>
      <c r="AB7056" s="79" t="str">
        <f>IF(AND(OR(LEFT(TH!N7056,2)="15",LEFT(TH!O7056,2)="15"),LEFT(TH!O7056,3)&lt;&gt;"111",'152-CT'!$J$8=TH!F7056),"x","")</f>
        <v/>
      </c>
      <c r="AC7056" s="79" t="str">
        <f>IF(AND(OR(LEFT(TH!N7056,2)="15",LEFT(TH!O7056,2)="15"),TK!$E$7=TH!F7056),"x","")</f>
        <v/>
      </c>
      <c r="AD7056" s="79" t="str">
        <f>IF(AND(N7056="1521",MONTH(C7056)='BK-NL'!$M$11),"x","")</f>
        <v/>
      </c>
    </row>
    <row r="7057" spans="1:30" ht="16.5" customHeight="1">
      <c r="A7057" s="318" t="str">
        <f>IF(B7057&lt;&gt;"",IF(AND(B7057='IN-TC'!$S$4,OR(TH!N7057="1111",TH!O7057="1111")),TH!D7057,""),"")</f>
        <v/>
      </c>
      <c r="B7057" s="1163" t="str">
        <f t="shared" si="530"/>
        <v/>
      </c>
      <c r="C7057" s="61"/>
      <c r="D7057" s="61"/>
      <c r="E7057" s="61"/>
      <c r="F7057" s="69"/>
      <c r="G7057" s="64"/>
      <c r="H7057" s="69"/>
      <c r="I7057" s="385"/>
      <c r="J7057" s="392"/>
      <c r="K7057" s="385"/>
      <c r="L7057" s="392"/>
      <c r="M7057" s="62"/>
      <c r="N7057" s="63"/>
      <c r="O7057" s="63"/>
      <c r="P7057" s="79" t="str">
        <f>IF(AND('331-CT'!$E$7=TH!H7057,OR(N7057="331",O7057="331")),"x","")</f>
        <v/>
      </c>
      <c r="Q7057" s="79" t="str">
        <f>IF(AND(B7057='111'!$L$11,OR($N7057=$Q$7,$O7057=$Q$7)),"x","")</f>
        <v/>
      </c>
      <c r="R7057" s="79" t="str">
        <f>IF(AND($N7057=$Q$7,$B7057&lt;'111'!$L$11),"x","")</f>
        <v/>
      </c>
      <c r="S7057" s="79" t="str">
        <f>IF(AND($O7057=$Q$7,$B7057&lt;'111'!$L$11),"x","")</f>
        <v/>
      </c>
      <c r="T7057" s="79" t="str">
        <f>IF(ISERROR(FIND('112'!$M$9,G7057,1)),"",IF((AND(FIND('112'!$M$9,G7057,1)&gt;=1,B7057='112'!$K$9,OR($N7057='112'!$I$6,$O7057='112'!$I$6))),"x",""))</f>
        <v/>
      </c>
      <c r="U7057" s="79" t="str">
        <f>IF(ISERROR(FIND('112'!$M$9,G7057,1)),"",IF((AND(LEFT(G7057,2)=LEFT('112'!$M$9,2),B7057&lt;'112'!$K$9,$N7057='112'!$I$6)),"x",""))</f>
        <v/>
      </c>
      <c r="V7057" s="79" t="str">
        <f>IF(ISERROR(FIND('112'!$M$9,G7057,1)),"",IF((AND(RIGHT(G7057,2)=RIGHT('112'!$M$9,2),B7057&lt;'112'!$K$9,$O7057='112'!$I$6)),"x",""))</f>
        <v/>
      </c>
      <c r="W7057" s="79" t="str">
        <f>IF(AND('341-CT'!$H$9=H7057,OR(LEFT(N7057,3)=$W$7,LEFT(O7057,3)=$W$7)),"x","")</f>
        <v/>
      </c>
      <c r="X7057" s="79" t="str">
        <f>IF(OR(TH!N7057=TH!$X$7,O7057=TH!$X$7),"x","")</f>
        <v/>
      </c>
      <c r="Y7057" s="79" t="str">
        <f>IF(AND(OR(N7057="131",O7057="131"),H7057='131-CT'!$H$9),"x","")</f>
        <v/>
      </c>
      <c r="Z7057" s="79"/>
      <c r="AA7057" s="79" t="str">
        <f>IF(AND(MONTH(E7057)='IN-NX'!$J$5,'IN-NX'!$D$7=D7057),"x","")</f>
        <v/>
      </c>
      <c r="AB7057" s="79" t="str">
        <f>IF(AND(OR(LEFT(TH!N7057,2)="15",LEFT(TH!O7057,2)="15"),LEFT(TH!O7057,3)&lt;&gt;"111",'152-CT'!$J$8=TH!F7057),"x","")</f>
        <v/>
      </c>
      <c r="AC7057" s="79" t="str">
        <f>IF(AND(OR(LEFT(TH!N7057,2)="15",LEFT(TH!O7057,2)="15"),TK!$E$7=TH!F7057),"x","")</f>
        <v/>
      </c>
      <c r="AD7057" s="79" t="str">
        <f>IF(AND(N7057="1521",MONTH(C7057)='BK-NL'!$M$11),"x","")</f>
        <v/>
      </c>
    </row>
    <row r="7058" spans="1:30" ht="16.5" customHeight="1">
      <c r="A7058" s="318" t="str">
        <f>IF(B7058&lt;&gt;"",IF(AND(B7058='IN-TC'!$S$4,OR(TH!N7058="1111",TH!O7058="1111")),TH!D7058,""),"")</f>
        <v/>
      </c>
      <c r="B7058" s="1163" t="str">
        <f t="shared" si="530"/>
        <v/>
      </c>
      <c r="C7058" s="61"/>
      <c r="D7058" s="61"/>
      <c r="E7058" s="61"/>
      <c r="F7058" s="69"/>
      <c r="G7058" s="64"/>
      <c r="H7058" s="69"/>
      <c r="I7058" s="385"/>
      <c r="J7058" s="392"/>
      <c r="K7058" s="385"/>
      <c r="L7058" s="392"/>
      <c r="M7058" s="62"/>
      <c r="N7058" s="63"/>
      <c r="O7058" s="63"/>
      <c r="P7058" s="79" t="str">
        <f>IF(AND('331-CT'!$E$7=TH!H7058,OR(N7058="331",O7058="331")),"x","")</f>
        <v/>
      </c>
      <c r="Q7058" s="79" t="str">
        <f>IF(AND(B7058='111'!$L$11,OR($N7058=$Q$7,$O7058=$Q$7)),"x","")</f>
        <v/>
      </c>
      <c r="R7058" s="79" t="str">
        <f>IF(AND($N7058=$Q$7,$B7058&lt;'111'!$L$11),"x","")</f>
        <v/>
      </c>
      <c r="S7058" s="79" t="str">
        <f>IF(AND($O7058=$Q$7,$B7058&lt;'111'!$L$11),"x","")</f>
        <v/>
      </c>
      <c r="T7058" s="79" t="str">
        <f>IF(ISERROR(FIND('112'!$M$9,G7058,1)),"",IF((AND(FIND('112'!$M$9,G7058,1)&gt;=1,B7058='112'!$K$9,OR($N7058='112'!$I$6,$O7058='112'!$I$6))),"x",""))</f>
        <v/>
      </c>
      <c r="U7058" s="79" t="str">
        <f>IF(ISERROR(FIND('112'!$M$9,G7058,1)),"",IF((AND(LEFT(G7058,2)=LEFT('112'!$M$9,2),B7058&lt;'112'!$K$9,$N7058='112'!$I$6)),"x",""))</f>
        <v/>
      </c>
      <c r="V7058" s="79" t="str">
        <f>IF(ISERROR(FIND('112'!$M$9,G7058,1)),"",IF((AND(RIGHT(G7058,2)=RIGHT('112'!$M$9,2),B7058&lt;'112'!$K$9,$O7058='112'!$I$6)),"x",""))</f>
        <v/>
      </c>
      <c r="W7058" s="79" t="str">
        <f>IF(AND('341-CT'!$H$9=H7058,OR(LEFT(N7058,3)=$W$7,LEFT(O7058,3)=$W$7)),"x","")</f>
        <v/>
      </c>
      <c r="X7058" s="79" t="str">
        <f>IF(OR(TH!N7058=TH!$X$7,O7058=TH!$X$7),"x","")</f>
        <v/>
      </c>
      <c r="Y7058" s="79" t="str">
        <f>IF(AND(OR(N7058="131",O7058="131"),H7058='131-CT'!$H$9),"x","")</f>
        <v/>
      </c>
      <c r="Z7058" s="79"/>
      <c r="AA7058" s="79" t="str">
        <f>IF(AND(MONTH(E7058)='IN-NX'!$J$5,'IN-NX'!$D$7=D7058),"x","")</f>
        <v/>
      </c>
      <c r="AB7058" s="79" t="str">
        <f>IF(AND(OR(LEFT(TH!N7058,2)="15",LEFT(TH!O7058,2)="15"),LEFT(TH!O7058,3)&lt;&gt;"111",'152-CT'!$J$8=TH!F7058),"x","")</f>
        <v/>
      </c>
      <c r="AC7058" s="79" t="str">
        <f>IF(AND(OR(LEFT(TH!N7058,2)="15",LEFT(TH!O7058,2)="15"),TK!$E$7=TH!F7058),"x","")</f>
        <v/>
      </c>
      <c r="AD7058" s="79" t="str">
        <f>IF(AND(N7058="1521",MONTH(C7058)='BK-NL'!$M$11),"x","")</f>
        <v/>
      </c>
    </row>
    <row r="7059" spans="1:30" ht="16.5" customHeight="1">
      <c r="A7059" s="318" t="str">
        <f>IF(B7059&lt;&gt;"",IF(AND(B7059='IN-TC'!$S$4,OR(TH!N7059="1111",TH!O7059="1111")),TH!D7059,""),"")</f>
        <v/>
      </c>
      <c r="B7059" s="1163" t="str">
        <f t="shared" si="530"/>
        <v/>
      </c>
      <c r="C7059" s="61"/>
      <c r="D7059" s="61"/>
      <c r="E7059" s="61"/>
      <c r="F7059" s="69"/>
      <c r="G7059" s="64"/>
      <c r="H7059" s="69"/>
      <c r="I7059" s="385"/>
      <c r="J7059" s="392"/>
      <c r="K7059" s="385"/>
      <c r="L7059" s="392"/>
      <c r="M7059" s="62"/>
      <c r="N7059" s="63"/>
      <c r="O7059" s="63"/>
      <c r="P7059" s="79" t="str">
        <f>IF(AND('331-CT'!$E$7=TH!H7059,OR(N7059="331",O7059="331")),"x","")</f>
        <v/>
      </c>
      <c r="Q7059" s="79" t="str">
        <f>IF(AND(B7059='111'!$L$11,OR($N7059=$Q$7,$O7059=$Q$7)),"x","")</f>
        <v/>
      </c>
      <c r="R7059" s="79" t="str">
        <f>IF(AND($N7059=$Q$7,$B7059&lt;'111'!$L$11),"x","")</f>
        <v/>
      </c>
      <c r="S7059" s="79" t="str">
        <f>IF(AND($O7059=$Q$7,$B7059&lt;'111'!$L$11),"x","")</f>
        <v/>
      </c>
      <c r="T7059" s="79" t="str">
        <f>IF(ISERROR(FIND('112'!$M$9,G7059,1)),"",IF((AND(FIND('112'!$M$9,G7059,1)&gt;=1,B7059='112'!$K$9,OR($N7059='112'!$I$6,$O7059='112'!$I$6))),"x",""))</f>
        <v/>
      </c>
      <c r="U7059" s="79" t="str">
        <f>IF(ISERROR(FIND('112'!$M$9,G7059,1)),"",IF((AND(LEFT(G7059,2)=LEFT('112'!$M$9,2),B7059&lt;'112'!$K$9,$N7059='112'!$I$6)),"x",""))</f>
        <v/>
      </c>
      <c r="V7059" s="79" t="str">
        <f>IF(ISERROR(FIND('112'!$M$9,G7059,1)),"",IF((AND(RIGHT(G7059,2)=RIGHT('112'!$M$9,2),B7059&lt;'112'!$K$9,$O7059='112'!$I$6)),"x",""))</f>
        <v/>
      </c>
      <c r="W7059" s="79" t="str">
        <f>IF(AND('341-CT'!$H$9=H7059,OR(LEFT(N7059,3)=$W$7,LEFT(O7059,3)=$W$7)),"x","")</f>
        <v/>
      </c>
      <c r="X7059" s="79" t="str">
        <f>IF(OR(TH!N7059=TH!$X$7,O7059=TH!$X$7),"x","")</f>
        <v/>
      </c>
      <c r="Y7059" s="79" t="str">
        <f>IF(AND(OR(N7059="131",O7059="131"),H7059='131-CT'!$H$9),"x","")</f>
        <v/>
      </c>
      <c r="Z7059" s="79"/>
      <c r="AA7059" s="79" t="str">
        <f>IF(AND(MONTH(E7059)='IN-NX'!$J$5,'IN-NX'!$D$7=D7059),"x","")</f>
        <v/>
      </c>
      <c r="AB7059" s="79" t="str">
        <f>IF(AND(OR(LEFT(TH!N7059,2)="15",LEFT(TH!O7059,2)="15"),LEFT(TH!O7059,3)&lt;&gt;"111",'152-CT'!$J$8=TH!F7059),"x","")</f>
        <v/>
      </c>
      <c r="AC7059" s="79" t="str">
        <f>IF(AND(OR(LEFT(TH!N7059,2)="15",LEFT(TH!O7059,2)="15"),TK!$E$7=TH!F7059),"x","")</f>
        <v/>
      </c>
      <c r="AD7059" s="79" t="str">
        <f>IF(AND(N7059="1521",MONTH(C7059)='BK-NL'!$M$11),"x","")</f>
        <v/>
      </c>
    </row>
    <row r="7060" spans="1:30" ht="16.5" customHeight="1">
      <c r="A7060" s="318" t="str">
        <f>IF(B7060&lt;&gt;"",IF(AND(B7060='IN-TC'!$S$4,OR(TH!N7060="1111",TH!O7060="1111")),TH!D7060,""),"")</f>
        <v/>
      </c>
      <c r="B7060" s="1163" t="str">
        <f t="shared" si="530"/>
        <v/>
      </c>
      <c r="C7060" s="61"/>
      <c r="D7060" s="61"/>
      <c r="E7060" s="61"/>
      <c r="F7060" s="69"/>
      <c r="G7060" s="64"/>
      <c r="H7060" s="69"/>
      <c r="I7060" s="385"/>
      <c r="J7060" s="392"/>
      <c r="K7060" s="385"/>
      <c r="L7060" s="392"/>
      <c r="M7060" s="62"/>
      <c r="N7060" s="63"/>
      <c r="O7060" s="63"/>
      <c r="P7060" s="79" t="str">
        <f>IF(AND('331-CT'!$E$7=TH!H7060,OR(N7060="331",O7060="331")),"x","")</f>
        <v/>
      </c>
      <c r="Q7060" s="79" t="str">
        <f>IF(AND(B7060='111'!$L$11,OR($N7060=$Q$7,$O7060=$Q$7)),"x","")</f>
        <v/>
      </c>
      <c r="R7060" s="79" t="str">
        <f>IF(AND($N7060=$Q$7,$B7060&lt;'111'!$L$11),"x","")</f>
        <v/>
      </c>
      <c r="S7060" s="79" t="str">
        <f>IF(AND($O7060=$Q$7,$B7060&lt;'111'!$L$11),"x","")</f>
        <v/>
      </c>
      <c r="T7060" s="79" t="str">
        <f>IF(ISERROR(FIND('112'!$M$9,G7060,1)),"",IF((AND(FIND('112'!$M$9,G7060,1)&gt;=1,B7060='112'!$K$9,OR($N7060='112'!$I$6,$O7060='112'!$I$6))),"x",""))</f>
        <v/>
      </c>
      <c r="U7060" s="79" t="str">
        <f>IF(ISERROR(FIND('112'!$M$9,G7060,1)),"",IF((AND(LEFT(G7060,2)=LEFT('112'!$M$9,2),B7060&lt;'112'!$K$9,$N7060='112'!$I$6)),"x",""))</f>
        <v/>
      </c>
      <c r="V7060" s="79" t="str">
        <f>IF(ISERROR(FIND('112'!$M$9,G7060,1)),"",IF((AND(RIGHT(G7060,2)=RIGHT('112'!$M$9,2),B7060&lt;'112'!$K$9,$O7060='112'!$I$6)),"x",""))</f>
        <v/>
      </c>
      <c r="W7060" s="79" t="str">
        <f>IF(AND('341-CT'!$H$9=H7060,OR(LEFT(N7060,3)=$W$7,LEFT(O7060,3)=$W$7)),"x","")</f>
        <v/>
      </c>
      <c r="X7060" s="79" t="str">
        <f>IF(OR(TH!N7060=TH!$X$7,O7060=TH!$X$7),"x","")</f>
        <v/>
      </c>
      <c r="Y7060" s="79" t="str">
        <f>IF(AND(OR(N7060="131",O7060="131"),H7060='131-CT'!$H$9),"x","")</f>
        <v/>
      </c>
      <c r="Z7060" s="79"/>
      <c r="AA7060" s="79" t="str">
        <f>IF(AND(MONTH(E7060)='IN-NX'!$J$5,'IN-NX'!$D$7=D7060),"x","")</f>
        <v/>
      </c>
      <c r="AB7060" s="79" t="str">
        <f>IF(AND(OR(LEFT(TH!N7060,2)="15",LEFT(TH!O7060,2)="15"),LEFT(TH!O7060,3)&lt;&gt;"111",'152-CT'!$J$8=TH!F7060),"x","")</f>
        <v/>
      </c>
      <c r="AC7060" s="79" t="str">
        <f>IF(AND(OR(LEFT(TH!N7060,2)="15",LEFT(TH!O7060,2)="15"),TK!$E$7=TH!F7060),"x","")</f>
        <v/>
      </c>
      <c r="AD7060" s="79" t="str">
        <f>IF(AND(N7060="1521",MONTH(C7060)='BK-NL'!$M$11),"x","")</f>
        <v/>
      </c>
    </row>
    <row r="7061" spans="1:30" ht="16.5" customHeight="1">
      <c r="A7061" s="318" t="str">
        <f>IF(B7061&lt;&gt;"",IF(AND(B7061='IN-TC'!$S$4,OR(TH!N7061="1111",TH!O7061="1111")),TH!D7061,""),"")</f>
        <v/>
      </c>
      <c r="B7061" s="1163" t="str">
        <f t="shared" si="530"/>
        <v/>
      </c>
      <c r="C7061" s="61"/>
      <c r="D7061" s="61"/>
      <c r="E7061" s="61"/>
      <c r="F7061" s="69"/>
      <c r="G7061" s="64"/>
      <c r="H7061" s="69"/>
      <c r="I7061" s="385"/>
      <c r="J7061" s="392"/>
      <c r="K7061" s="385"/>
      <c r="L7061" s="392"/>
      <c r="M7061" s="62"/>
      <c r="N7061" s="63"/>
      <c r="O7061" s="63"/>
      <c r="P7061" s="79" t="str">
        <f>IF(AND('331-CT'!$E$7=TH!H7061,OR(N7061="331",O7061="331")),"x","")</f>
        <v/>
      </c>
      <c r="Q7061" s="79" t="str">
        <f>IF(AND(B7061='111'!$L$11,OR($N7061=$Q$7,$O7061=$Q$7)),"x","")</f>
        <v/>
      </c>
      <c r="R7061" s="79" t="str">
        <f>IF(AND($N7061=$Q$7,$B7061&lt;'111'!$L$11),"x","")</f>
        <v/>
      </c>
      <c r="S7061" s="79" t="str">
        <f>IF(AND($O7061=$Q$7,$B7061&lt;'111'!$L$11),"x","")</f>
        <v/>
      </c>
      <c r="T7061" s="79" t="str">
        <f>IF(ISERROR(FIND('112'!$M$9,G7061,1)),"",IF((AND(FIND('112'!$M$9,G7061,1)&gt;=1,B7061='112'!$K$9,OR($N7061='112'!$I$6,$O7061='112'!$I$6))),"x",""))</f>
        <v/>
      </c>
      <c r="U7061" s="79" t="str">
        <f>IF(ISERROR(FIND('112'!$M$9,G7061,1)),"",IF((AND(LEFT(G7061,2)=LEFT('112'!$M$9,2),B7061&lt;'112'!$K$9,$N7061='112'!$I$6)),"x",""))</f>
        <v/>
      </c>
      <c r="V7061" s="79" t="str">
        <f>IF(ISERROR(FIND('112'!$M$9,G7061,1)),"",IF((AND(RIGHT(G7061,2)=RIGHT('112'!$M$9,2),B7061&lt;'112'!$K$9,$O7061='112'!$I$6)),"x",""))</f>
        <v/>
      </c>
      <c r="W7061" s="79" t="str">
        <f>IF(AND('341-CT'!$H$9=H7061,OR(LEFT(N7061,3)=$W$7,LEFT(O7061,3)=$W$7)),"x","")</f>
        <v/>
      </c>
      <c r="X7061" s="79" t="str">
        <f>IF(OR(TH!N7061=TH!$X$7,O7061=TH!$X$7),"x","")</f>
        <v/>
      </c>
      <c r="Y7061" s="79" t="str">
        <f>IF(AND(OR(N7061="131",O7061="131"),H7061='131-CT'!$H$9),"x","")</f>
        <v/>
      </c>
      <c r="Z7061" s="79"/>
      <c r="AA7061" s="79" t="str">
        <f>IF(AND(MONTH(E7061)='IN-NX'!$J$5,'IN-NX'!$D$7=D7061),"x","")</f>
        <v/>
      </c>
      <c r="AB7061" s="79" t="str">
        <f>IF(AND(OR(LEFT(TH!N7061,2)="15",LEFT(TH!O7061,2)="15"),LEFT(TH!O7061,3)&lt;&gt;"111",'152-CT'!$J$8=TH!F7061),"x","")</f>
        <v/>
      </c>
      <c r="AC7061" s="79" t="str">
        <f>IF(AND(OR(LEFT(TH!N7061,2)="15",LEFT(TH!O7061,2)="15"),TK!$E$7=TH!F7061),"x","")</f>
        <v/>
      </c>
      <c r="AD7061" s="79" t="str">
        <f>IF(AND(N7061="1521",MONTH(C7061)='BK-NL'!$M$11),"x","")</f>
        <v/>
      </c>
    </row>
    <row r="7062" spans="1:30" ht="16.5" customHeight="1">
      <c r="A7062" s="318" t="str">
        <f>IF(B7062&lt;&gt;"",IF(AND(B7062='IN-TC'!$S$4,OR(TH!N7062="1111",TH!O7062="1111")),TH!D7062,""),"")</f>
        <v/>
      </c>
      <c r="B7062" s="1163" t="str">
        <f t="shared" si="530"/>
        <v/>
      </c>
      <c r="C7062" s="61"/>
      <c r="D7062" s="61"/>
      <c r="E7062" s="61"/>
      <c r="F7062" s="69"/>
      <c r="G7062" s="64"/>
      <c r="H7062" s="69"/>
      <c r="I7062" s="385"/>
      <c r="J7062" s="392"/>
      <c r="K7062" s="385"/>
      <c r="L7062" s="392"/>
      <c r="M7062" s="62"/>
      <c r="N7062" s="63"/>
      <c r="O7062" s="63"/>
      <c r="P7062" s="79" t="str">
        <f>IF(AND('331-CT'!$E$7=TH!H7062,OR(N7062="331",O7062="331")),"x","")</f>
        <v/>
      </c>
      <c r="Q7062" s="79" t="str">
        <f>IF(AND(B7062='111'!$L$11,OR($N7062=$Q$7,$O7062=$Q$7)),"x","")</f>
        <v/>
      </c>
      <c r="R7062" s="79" t="str">
        <f>IF(AND($N7062=$Q$7,$B7062&lt;'111'!$L$11),"x","")</f>
        <v/>
      </c>
      <c r="S7062" s="79" t="str">
        <f>IF(AND($O7062=$Q$7,$B7062&lt;'111'!$L$11),"x","")</f>
        <v/>
      </c>
      <c r="T7062" s="79" t="str">
        <f>IF(ISERROR(FIND('112'!$M$9,G7062,1)),"",IF((AND(FIND('112'!$M$9,G7062,1)&gt;=1,B7062='112'!$K$9,OR($N7062='112'!$I$6,$O7062='112'!$I$6))),"x",""))</f>
        <v/>
      </c>
      <c r="U7062" s="79" t="str">
        <f>IF(ISERROR(FIND('112'!$M$9,G7062,1)),"",IF((AND(LEFT(G7062,2)=LEFT('112'!$M$9,2),B7062&lt;'112'!$K$9,$N7062='112'!$I$6)),"x",""))</f>
        <v/>
      </c>
      <c r="V7062" s="79" t="str">
        <f>IF(ISERROR(FIND('112'!$M$9,G7062,1)),"",IF((AND(RIGHT(G7062,2)=RIGHT('112'!$M$9,2),B7062&lt;'112'!$K$9,$O7062='112'!$I$6)),"x",""))</f>
        <v/>
      </c>
      <c r="W7062" s="79" t="str">
        <f>IF(AND('341-CT'!$H$9=H7062,OR(LEFT(N7062,3)=$W$7,LEFT(O7062,3)=$W$7)),"x","")</f>
        <v/>
      </c>
      <c r="X7062" s="79" t="str">
        <f>IF(OR(TH!N7062=TH!$X$7,O7062=TH!$X$7),"x","")</f>
        <v/>
      </c>
      <c r="Y7062" s="79" t="str">
        <f>IF(AND(OR(N7062="131",O7062="131"),H7062='131-CT'!$H$9),"x","")</f>
        <v/>
      </c>
      <c r="Z7062" s="79"/>
      <c r="AA7062" s="79" t="str">
        <f>IF(AND(MONTH(E7062)='IN-NX'!$J$5,'IN-NX'!$D$7=D7062),"x","")</f>
        <v/>
      </c>
      <c r="AB7062" s="79" t="str">
        <f>IF(AND(OR(LEFT(TH!N7062,2)="15",LEFT(TH!O7062,2)="15"),LEFT(TH!O7062,3)&lt;&gt;"111",'152-CT'!$J$8=TH!F7062),"x","")</f>
        <v/>
      </c>
      <c r="AC7062" s="79" t="str">
        <f>IF(AND(OR(LEFT(TH!N7062,2)="15",LEFT(TH!O7062,2)="15"),TK!$E$7=TH!F7062),"x","")</f>
        <v/>
      </c>
      <c r="AD7062" s="79" t="str">
        <f>IF(AND(N7062="1521",MONTH(C7062)='BK-NL'!$M$11),"x","")</f>
        <v/>
      </c>
    </row>
    <row r="7063" spans="1:30" ht="16.5" customHeight="1">
      <c r="A7063" s="318" t="str">
        <f>IF(B7063&lt;&gt;"",IF(AND(B7063='IN-TC'!$S$4,OR(TH!N7063="1111",TH!O7063="1111")),TH!D7063,""),"")</f>
        <v/>
      </c>
      <c r="B7063" s="1163" t="str">
        <f t="shared" si="530"/>
        <v/>
      </c>
      <c r="C7063" s="61"/>
      <c r="D7063" s="61"/>
      <c r="E7063" s="61"/>
      <c r="F7063" s="69"/>
      <c r="G7063" s="64"/>
      <c r="H7063" s="69"/>
      <c r="I7063" s="385"/>
      <c r="J7063" s="392"/>
      <c r="K7063" s="385"/>
      <c r="L7063" s="392"/>
      <c r="M7063" s="62"/>
      <c r="N7063" s="63"/>
      <c r="O7063" s="63"/>
      <c r="P7063" s="79" t="str">
        <f>IF(AND('331-CT'!$E$7=TH!H7063,OR(N7063="331",O7063="331")),"x","")</f>
        <v/>
      </c>
      <c r="Q7063" s="79" t="str">
        <f>IF(AND(B7063='111'!$L$11,OR($N7063=$Q$7,$O7063=$Q$7)),"x","")</f>
        <v/>
      </c>
      <c r="R7063" s="79" t="str">
        <f>IF(AND($N7063=$Q$7,$B7063&lt;'111'!$L$11),"x","")</f>
        <v/>
      </c>
      <c r="S7063" s="79" t="str">
        <f>IF(AND($O7063=$Q$7,$B7063&lt;'111'!$L$11),"x","")</f>
        <v/>
      </c>
      <c r="T7063" s="79" t="str">
        <f>IF(ISERROR(FIND('112'!$M$9,G7063,1)),"",IF((AND(FIND('112'!$M$9,G7063,1)&gt;=1,B7063='112'!$K$9,OR($N7063='112'!$I$6,$O7063='112'!$I$6))),"x",""))</f>
        <v/>
      </c>
      <c r="U7063" s="79" t="str">
        <f>IF(ISERROR(FIND('112'!$M$9,G7063,1)),"",IF((AND(LEFT(G7063,2)=LEFT('112'!$M$9,2),B7063&lt;'112'!$K$9,$N7063='112'!$I$6)),"x",""))</f>
        <v/>
      </c>
      <c r="V7063" s="79" t="str">
        <f>IF(ISERROR(FIND('112'!$M$9,G7063,1)),"",IF((AND(RIGHT(G7063,2)=RIGHT('112'!$M$9,2),B7063&lt;'112'!$K$9,$O7063='112'!$I$6)),"x",""))</f>
        <v/>
      </c>
      <c r="W7063" s="79" t="str">
        <f>IF(AND('341-CT'!$H$9=H7063,OR(LEFT(N7063,3)=$W$7,LEFT(O7063,3)=$W$7)),"x","")</f>
        <v/>
      </c>
      <c r="X7063" s="79" t="str">
        <f>IF(OR(TH!N7063=TH!$X$7,O7063=TH!$X$7),"x","")</f>
        <v/>
      </c>
      <c r="Y7063" s="79" t="str">
        <f>IF(AND(OR(N7063="131",O7063="131"),H7063='131-CT'!$H$9),"x","")</f>
        <v/>
      </c>
      <c r="Z7063" s="79"/>
      <c r="AA7063" s="79" t="str">
        <f>IF(AND(MONTH(E7063)='IN-NX'!$J$5,'IN-NX'!$D$7=D7063),"x","")</f>
        <v/>
      </c>
      <c r="AB7063" s="79" t="str">
        <f>IF(AND(OR(LEFT(TH!N7063,2)="15",LEFT(TH!O7063,2)="15"),LEFT(TH!O7063,3)&lt;&gt;"111",'152-CT'!$J$8=TH!F7063),"x","")</f>
        <v/>
      </c>
      <c r="AC7063" s="79" t="str">
        <f>IF(AND(OR(LEFT(TH!N7063,2)="15",LEFT(TH!O7063,2)="15"),TK!$E$7=TH!F7063),"x","")</f>
        <v/>
      </c>
      <c r="AD7063" s="79" t="str">
        <f>IF(AND(N7063="1521",MONTH(C7063)='BK-NL'!$M$11),"x","")</f>
        <v/>
      </c>
    </row>
    <row r="7064" spans="1:30" ht="16.5" customHeight="1">
      <c r="A7064" s="318" t="str">
        <f>IF(B7064&lt;&gt;"",IF(AND(B7064='IN-TC'!$S$4,OR(TH!N7064="1111",TH!O7064="1111")),TH!D7064,""),"")</f>
        <v/>
      </c>
      <c r="B7064" s="1163" t="str">
        <f t="shared" si="530"/>
        <v/>
      </c>
      <c r="C7064" s="61"/>
      <c r="D7064" s="61"/>
      <c r="E7064" s="61"/>
      <c r="F7064" s="69"/>
      <c r="G7064" s="64"/>
      <c r="H7064" s="69"/>
      <c r="I7064" s="385"/>
      <c r="J7064" s="392"/>
      <c r="K7064" s="385"/>
      <c r="L7064" s="392"/>
      <c r="M7064" s="62"/>
      <c r="N7064" s="63"/>
      <c r="O7064" s="63"/>
      <c r="P7064" s="79" t="str">
        <f>IF(AND('331-CT'!$E$7=TH!H7064,OR(N7064="331",O7064="331")),"x","")</f>
        <v/>
      </c>
      <c r="Q7064" s="79" t="str">
        <f>IF(AND(B7064='111'!$L$11,OR($N7064=$Q$7,$O7064=$Q$7)),"x","")</f>
        <v/>
      </c>
      <c r="R7064" s="79" t="str">
        <f>IF(AND($N7064=$Q$7,$B7064&lt;'111'!$L$11),"x","")</f>
        <v/>
      </c>
      <c r="S7064" s="79" t="str">
        <f>IF(AND($O7064=$Q$7,$B7064&lt;'111'!$L$11),"x","")</f>
        <v/>
      </c>
      <c r="T7064" s="79" t="str">
        <f>IF(ISERROR(FIND('112'!$M$9,G7064,1)),"",IF((AND(FIND('112'!$M$9,G7064,1)&gt;=1,B7064='112'!$K$9,OR($N7064='112'!$I$6,$O7064='112'!$I$6))),"x",""))</f>
        <v/>
      </c>
      <c r="U7064" s="79" t="str">
        <f>IF(ISERROR(FIND('112'!$M$9,G7064,1)),"",IF((AND(LEFT(G7064,2)=LEFT('112'!$M$9,2),B7064&lt;'112'!$K$9,$N7064='112'!$I$6)),"x",""))</f>
        <v/>
      </c>
      <c r="V7064" s="79" t="str">
        <f>IF(ISERROR(FIND('112'!$M$9,G7064,1)),"",IF((AND(RIGHT(G7064,2)=RIGHT('112'!$M$9,2),B7064&lt;'112'!$K$9,$O7064='112'!$I$6)),"x",""))</f>
        <v/>
      </c>
      <c r="W7064" s="79" t="str">
        <f>IF(AND('341-CT'!$H$9=H7064,OR(LEFT(N7064,3)=$W$7,LEFT(O7064,3)=$W$7)),"x","")</f>
        <v/>
      </c>
      <c r="X7064" s="79" t="str">
        <f>IF(OR(TH!N7064=TH!$X$7,O7064=TH!$X$7),"x","")</f>
        <v/>
      </c>
      <c r="Y7064" s="79" t="str">
        <f>IF(AND(OR(N7064="131",O7064="131"),H7064='131-CT'!$H$9),"x","")</f>
        <v/>
      </c>
      <c r="Z7064" s="79"/>
      <c r="AA7064" s="79" t="str">
        <f>IF(AND(MONTH(E7064)='IN-NX'!$J$5,'IN-NX'!$D$7=D7064),"x","")</f>
        <v/>
      </c>
      <c r="AB7064" s="79" t="str">
        <f>IF(AND(OR(LEFT(TH!N7064,2)="15",LEFT(TH!O7064,2)="15"),LEFT(TH!O7064,3)&lt;&gt;"111",'152-CT'!$J$8=TH!F7064),"x","")</f>
        <v/>
      </c>
      <c r="AC7064" s="79" t="str">
        <f>IF(AND(OR(LEFT(TH!N7064,2)="15",LEFT(TH!O7064,2)="15"),TK!$E$7=TH!F7064),"x","")</f>
        <v/>
      </c>
      <c r="AD7064" s="79" t="str">
        <f>IF(AND(N7064="1521",MONTH(C7064)='BK-NL'!$M$11),"x","")</f>
        <v/>
      </c>
    </row>
    <row r="7065" spans="1:30" ht="16.5" customHeight="1">
      <c r="A7065" s="318" t="str">
        <f>IF(B7065&lt;&gt;"",IF(AND(B7065='IN-TC'!$S$4,OR(TH!N7065="1111",TH!O7065="1111")),TH!D7065,""),"")</f>
        <v/>
      </c>
      <c r="B7065" s="1163" t="str">
        <f t="shared" si="530"/>
        <v/>
      </c>
      <c r="C7065" s="61"/>
      <c r="D7065" s="61"/>
      <c r="E7065" s="61"/>
      <c r="F7065" s="69"/>
      <c r="G7065" s="64"/>
      <c r="H7065" s="69"/>
      <c r="I7065" s="385"/>
      <c r="J7065" s="392"/>
      <c r="K7065" s="385"/>
      <c r="L7065" s="392"/>
      <c r="M7065" s="62"/>
      <c r="N7065" s="63"/>
      <c r="O7065" s="63"/>
      <c r="P7065" s="79" t="str">
        <f>IF(AND('331-CT'!$E$7=TH!H7065,OR(N7065="331",O7065="331")),"x","")</f>
        <v/>
      </c>
      <c r="Q7065" s="79" t="str">
        <f>IF(AND(B7065='111'!$L$11,OR($N7065=$Q$7,$O7065=$Q$7)),"x","")</f>
        <v/>
      </c>
      <c r="R7065" s="79" t="str">
        <f>IF(AND($N7065=$Q$7,$B7065&lt;'111'!$L$11),"x","")</f>
        <v/>
      </c>
      <c r="S7065" s="79" t="str">
        <f>IF(AND($O7065=$Q$7,$B7065&lt;'111'!$L$11),"x","")</f>
        <v/>
      </c>
      <c r="T7065" s="79" t="str">
        <f>IF(ISERROR(FIND('112'!$M$9,G7065,1)),"",IF((AND(FIND('112'!$M$9,G7065,1)&gt;=1,B7065='112'!$K$9,OR($N7065='112'!$I$6,$O7065='112'!$I$6))),"x",""))</f>
        <v/>
      </c>
      <c r="U7065" s="79" t="str">
        <f>IF(ISERROR(FIND('112'!$M$9,G7065,1)),"",IF((AND(LEFT(G7065,2)=LEFT('112'!$M$9,2),B7065&lt;'112'!$K$9,$N7065='112'!$I$6)),"x",""))</f>
        <v/>
      </c>
      <c r="V7065" s="79" t="str">
        <f>IF(ISERROR(FIND('112'!$M$9,G7065,1)),"",IF((AND(RIGHT(G7065,2)=RIGHT('112'!$M$9,2),B7065&lt;'112'!$K$9,$O7065='112'!$I$6)),"x",""))</f>
        <v/>
      </c>
      <c r="W7065" s="79" t="str">
        <f>IF(AND('341-CT'!$H$9=H7065,OR(LEFT(N7065,3)=$W$7,LEFT(O7065,3)=$W$7)),"x","")</f>
        <v/>
      </c>
      <c r="X7065" s="79" t="str">
        <f>IF(OR(TH!N7065=TH!$X$7,O7065=TH!$X$7),"x","")</f>
        <v/>
      </c>
      <c r="Y7065" s="79" t="str">
        <f>IF(AND(OR(N7065="131",O7065="131"),H7065='131-CT'!$H$9),"x","")</f>
        <v/>
      </c>
      <c r="Z7065" s="79"/>
      <c r="AA7065" s="79" t="str">
        <f>IF(AND(MONTH(E7065)='IN-NX'!$J$5,'IN-NX'!$D$7=D7065),"x","")</f>
        <v/>
      </c>
      <c r="AB7065" s="79" t="str">
        <f>IF(AND(OR(LEFT(TH!N7065,2)="15",LEFT(TH!O7065,2)="15"),LEFT(TH!O7065,3)&lt;&gt;"111",'152-CT'!$J$8=TH!F7065),"x","")</f>
        <v/>
      </c>
      <c r="AC7065" s="79" t="str">
        <f>IF(AND(OR(LEFT(TH!N7065,2)="15",LEFT(TH!O7065,2)="15"),TK!$E$7=TH!F7065),"x","")</f>
        <v/>
      </c>
      <c r="AD7065" s="79" t="str">
        <f>IF(AND(N7065="1521",MONTH(C7065)='BK-NL'!$M$11),"x","")</f>
        <v/>
      </c>
    </row>
    <row r="7066" spans="1:30" ht="16.5" customHeight="1">
      <c r="A7066" s="318" t="str">
        <f>IF(B7066&lt;&gt;"",IF(AND(B7066='IN-TC'!$S$4,OR(TH!N7066="1111",TH!O7066="1111")),TH!D7066,""),"")</f>
        <v/>
      </c>
      <c r="B7066" s="1163" t="str">
        <f t="shared" si="530"/>
        <v/>
      </c>
      <c r="C7066" s="61"/>
      <c r="D7066" s="61"/>
      <c r="E7066" s="61"/>
      <c r="F7066" s="69"/>
      <c r="G7066" s="64"/>
      <c r="H7066" s="69"/>
      <c r="I7066" s="385"/>
      <c r="J7066" s="392"/>
      <c r="K7066" s="385"/>
      <c r="L7066" s="392"/>
      <c r="M7066" s="62"/>
      <c r="N7066" s="63"/>
      <c r="O7066" s="63"/>
      <c r="P7066" s="79" t="str">
        <f>IF(AND('331-CT'!$E$7=TH!H7066,OR(N7066="331",O7066="331")),"x","")</f>
        <v/>
      </c>
      <c r="Q7066" s="79" t="str">
        <f>IF(AND(B7066='111'!$L$11,OR($N7066=$Q$7,$O7066=$Q$7)),"x","")</f>
        <v/>
      </c>
      <c r="R7066" s="79" t="str">
        <f>IF(AND($N7066=$Q$7,$B7066&lt;'111'!$L$11),"x","")</f>
        <v/>
      </c>
      <c r="S7066" s="79" t="str">
        <f>IF(AND($O7066=$Q$7,$B7066&lt;'111'!$L$11),"x","")</f>
        <v/>
      </c>
      <c r="T7066" s="79" t="str">
        <f>IF(ISERROR(FIND('112'!$M$9,G7066,1)),"",IF((AND(FIND('112'!$M$9,G7066,1)&gt;=1,B7066='112'!$K$9,OR($N7066='112'!$I$6,$O7066='112'!$I$6))),"x",""))</f>
        <v/>
      </c>
      <c r="U7066" s="79" t="str">
        <f>IF(ISERROR(FIND('112'!$M$9,G7066,1)),"",IF((AND(LEFT(G7066,2)=LEFT('112'!$M$9,2),B7066&lt;'112'!$K$9,$N7066='112'!$I$6)),"x",""))</f>
        <v/>
      </c>
      <c r="V7066" s="79" t="str">
        <f>IF(ISERROR(FIND('112'!$M$9,G7066,1)),"",IF((AND(RIGHT(G7066,2)=RIGHT('112'!$M$9,2),B7066&lt;'112'!$K$9,$O7066='112'!$I$6)),"x",""))</f>
        <v/>
      </c>
      <c r="W7066" s="79" t="str">
        <f>IF(AND('341-CT'!$H$9=H7066,OR(LEFT(N7066,3)=$W$7,LEFT(O7066,3)=$W$7)),"x","")</f>
        <v/>
      </c>
      <c r="X7066" s="79" t="str">
        <f>IF(OR(TH!N7066=TH!$X$7,O7066=TH!$X$7),"x","")</f>
        <v/>
      </c>
      <c r="Y7066" s="79" t="str">
        <f>IF(AND(OR(N7066="131",O7066="131"),H7066='131-CT'!$H$9),"x","")</f>
        <v/>
      </c>
      <c r="Z7066" s="79"/>
      <c r="AA7066" s="79" t="str">
        <f>IF(AND(MONTH(E7066)='IN-NX'!$J$5,'IN-NX'!$D$7=D7066),"x","")</f>
        <v/>
      </c>
      <c r="AB7066" s="79" t="str">
        <f>IF(AND(OR(LEFT(TH!N7066,2)="15",LEFT(TH!O7066,2)="15"),LEFT(TH!O7066,3)&lt;&gt;"111",'152-CT'!$J$8=TH!F7066),"x","")</f>
        <v/>
      </c>
      <c r="AC7066" s="79" t="str">
        <f>IF(AND(OR(LEFT(TH!N7066,2)="15",LEFT(TH!O7066,2)="15"),TK!$E$7=TH!F7066),"x","")</f>
        <v/>
      </c>
      <c r="AD7066" s="79" t="str">
        <f>IF(AND(N7066="1521",MONTH(C7066)='BK-NL'!$M$11),"x","")</f>
        <v/>
      </c>
    </row>
    <row r="7067" spans="1:30" ht="16.5" customHeight="1">
      <c r="A7067" s="318" t="str">
        <f>IF(B7067&lt;&gt;"",IF(AND(B7067='IN-TC'!$S$4,OR(TH!N7067="1111",TH!O7067="1111")),TH!D7067,""),"")</f>
        <v/>
      </c>
      <c r="B7067" s="1163" t="str">
        <f t="shared" si="530"/>
        <v/>
      </c>
      <c r="C7067" s="61"/>
      <c r="D7067" s="61"/>
      <c r="E7067" s="61"/>
      <c r="F7067" s="69"/>
      <c r="G7067" s="64"/>
      <c r="H7067" s="69"/>
      <c r="I7067" s="385"/>
      <c r="J7067" s="392"/>
      <c r="K7067" s="385"/>
      <c r="L7067" s="392"/>
      <c r="M7067" s="62"/>
      <c r="N7067" s="63"/>
      <c r="O7067" s="63"/>
      <c r="P7067" s="79" t="str">
        <f>IF(AND('331-CT'!$E$7=TH!H7067,OR(N7067="331",O7067="331")),"x","")</f>
        <v/>
      </c>
      <c r="Q7067" s="79" t="str">
        <f>IF(AND(B7067='111'!$L$11,OR($N7067=$Q$7,$O7067=$Q$7)),"x","")</f>
        <v/>
      </c>
      <c r="R7067" s="79" t="str">
        <f>IF(AND($N7067=$Q$7,$B7067&lt;'111'!$L$11),"x","")</f>
        <v/>
      </c>
      <c r="S7067" s="79" t="str">
        <f>IF(AND($O7067=$Q$7,$B7067&lt;'111'!$L$11),"x","")</f>
        <v/>
      </c>
      <c r="T7067" s="79" t="str">
        <f>IF(ISERROR(FIND('112'!$M$9,G7067,1)),"",IF((AND(FIND('112'!$M$9,G7067,1)&gt;=1,B7067='112'!$K$9,OR($N7067='112'!$I$6,$O7067='112'!$I$6))),"x",""))</f>
        <v/>
      </c>
      <c r="U7067" s="79" t="str">
        <f>IF(ISERROR(FIND('112'!$M$9,G7067,1)),"",IF((AND(LEFT(G7067,2)=LEFT('112'!$M$9,2),B7067&lt;'112'!$K$9,$N7067='112'!$I$6)),"x",""))</f>
        <v/>
      </c>
      <c r="V7067" s="79" t="str">
        <f>IF(ISERROR(FIND('112'!$M$9,G7067,1)),"",IF((AND(RIGHT(G7067,2)=RIGHT('112'!$M$9,2),B7067&lt;'112'!$K$9,$O7067='112'!$I$6)),"x",""))</f>
        <v/>
      </c>
      <c r="W7067" s="79" t="str">
        <f>IF(AND('341-CT'!$H$9=H7067,OR(LEFT(N7067,3)=$W$7,LEFT(O7067,3)=$W$7)),"x","")</f>
        <v/>
      </c>
      <c r="X7067" s="79" t="str">
        <f>IF(OR(TH!N7067=TH!$X$7,O7067=TH!$X$7),"x","")</f>
        <v/>
      </c>
      <c r="Y7067" s="79" t="str">
        <f>IF(AND(OR(N7067="131",O7067="131"),H7067='131-CT'!$H$9),"x","")</f>
        <v/>
      </c>
      <c r="Z7067" s="79"/>
      <c r="AA7067" s="79" t="str">
        <f>IF(AND(MONTH(E7067)='IN-NX'!$J$5,'IN-NX'!$D$7=D7067),"x","")</f>
        <v/>
      </c>
      <c r="AB7067" s="79" t="str">
        <f>IF(AND(OR(LEFT(TH!N7067,2)="15",LEFT(TH!O7067,2)="15"),LEFT(TH!O7067,3)&lt;&gt;"111",'152-CT'!$J$8=TH!F7067),"x","")</f>
        <v/>
      </c>
      <c r="AC7067" s="79" t="str">
        <f>IF(AND(OR(LEFT(TH!N7067,2)="15",LEFT(TH!O7067,2)="15"),TK!$E$7=TH!F7067),"x","")</f>
        <v/>
      </c>
      <c r="AD7067" s="79" t="str">
        <f>IF(AND(N7067="1521",MONTH(C7067)='BK-NL'!$M$11),"x","")</f>
        <v/>
      </c>
    </row>
    <row r="7068" spans="1:30" ht="16.5" customHeight="1">
      <c r="A7068" s="318" t="str">
        <f>IF(B7068&lt;&gt;"",IF(AND(B7068='IN-TC'!$S$4,OR(TH!N7068="1111",TH!O7068="1111")),TH!D7068,""),"")</f>
        <v/>
      </c>
      <c r="B7068" s="1163" t="str">
        <f t="shared" si="530"/>
        <v/>
      </c>
      <c r="C7068" s="61"/>
      <c r="D7068" s="61"/>
      <c r="E7068" s="61"/>
      <c r="F7068" s="69"/>
      <c r="G7068" s="64"/>
      <c r="H7068" s="69"/>
      <c r="I7068" s="385"/>
      <c r="J7068" s="392"/>
      <c r="K7068" s="385"/>
      <c r="L7068" s="392"/>
      <c r="M7068" s="62"/>
      <c r="N7068" s="63"/>
      <c r="O7068" s="63"/>
      <c r="P7068" s="79" t="str">
        <f>IF(AND('331-CT'!$E$7=TH!H7068,OR(N7068="331",O7068="331")),"x","")</f>
        <v/>
      </c>
      <c r="Q7068" s="79" t="str">
        <f>IF(AND(B7068='111'!$L$11,OR($N7068=$Q$7,$O7068=$Q$7)),"x","")</f>
        <v/>
      </c>
      <c r="R7068" s="79" t="str">
        <f>IF(AND($N7068=$Q$7,$B7068&lt;'111'!$L$11),"x","")</f>
        <v/>
      </c>
      <c r="S7068" s="79" t="str">
        <f>IF(AND($O7068=$Q$7,$B7068&lt;'111'!$L$11),"x","")</f>
        <v/>
      </c>
      <c r="T7068" s="79" t="str">
        <f>IF(ISERROR(FIND('112'!$M$9,G7068,1)),"",IF((AND(FIND('112'!$M$9,G7068,1)&gt;=1,B7068='112'!$K$9,OR($N7068='112'!$I$6,$O7068='112'!$I$6))),"x",""))</f>
        <v/>
      </c>
      <c r="U7068" s="79" t="str">
        <f>IF(ISERROR(FIND('112'!$M$9,G7068,1)),"",IF((AND(LEFT(G7068,2)=LEFT('112'!$M$9,2),B7068&lt;'112'!$K$9,$N7068='112'!$I$6)),"x",""))</f>
        <v/>
      </c>
      <c r="V7068" s="79" t="str">
        <f>IF(ISERROR(FIND('112'!$M$9,G7068,1)),"",IF((AND(RIGHT(G7068,2)=RIGHT('112'!$M$9,2),B7068&lt;'112'!$K$9,$O7068='112'!$I$6)),"x",""))</f>
        <v/>
      </c>
      <c r="W7068" s="79" t="str">
        <f>IF(AND('341-CT'!$H$9=H7068,OR(LEFT(N7068,3)=$W$7,LEFT(O7068,3)=$W$7)),"x","")</f>
        <v/>
      </c>
      <c r="X7068" s="79" t="str">
        <f>IF(OR(TH!N7068=TH!$X$7,O7068=TH!$X$7),"x","")</f>
        <v/>
      </c>
      <c r="Y7068" s="79" t="str">
        <f>IF(AND(OR(N7068="131",O7068="131"),H7068='131-CT'!$H$9),"x","")</f>
        <v/>
      </c>
      <c r="Z7068" s="79"/>
      <c r="AA7068" s="79" t="str">
        <f>IF(AND(MONTH(E7068)='IN-NX'!$J$5,'IN-NX'!$D$7=D7068),"x","")</f>
        <v/>
      </c>
      <c r="AB7068" s="79" t="str">
        <f>IF(AND(OR(LEFT(TH!N7068,2)="15",LEFT(TH!O7068,2)="15"),LEFT(TH!O7068,3)&lt;&gt;"111",'152-CT'!$J$8=TH!F7068),"x","")</f>
        <v/>
      </c>
      <c r="AC7068" s="79" t="str">
        <f>IF(AND(OR(LEFT(TH!N7068,2)="15",LEFT(TH!O7068,2)="15"),TK!$E$7=TH!F7068),"x","")</f>
        <v/>
      </c>
      <c r="AD7068" s="79" t="str">
        <f>IF(AND(N7068="1521",MONTH(C7068)='BK-NL'!$M$11),"x","")</f>
        <v/>
      </c>
    </row>
    <row r="7069" spans="1:30" ht="16.5" customHeight="1">
      <c r="A7069" s="318" t="str">
        <f>IF(B7069&lt;&gt;"",IF(AND(B7069='IN-TC'!$S$4,OR(TH!N7069="1111",TH!O7069="1111")),TH!D7069,""),"")</f>
        <v/>
      </c>
      <c r="B7069" s="1163" t="str">
        <f t="shared" si="530"/>
        <v/>
      </c>
      <c r="C7069" s="61"/>
      <c r="D7069" s="61"/>
      <c r="E7069" s="61"/>
      <c r="F7069" s="69"/>
      <c r="G7069" s="64"/>
      <c r="H7069" s="69"/>
      <c r="I7069" s="385"/>
      <c r="J7069" s="392"/>
      <c r="K7069" s="385"/>
      <c r="L7069" s="392"/>
      <c r="M7069" s="62"/>
      <c r="N7069" s="63"/>
      <c r="O7069" s="63"/>
      <c r="P7069" s="79" t="str">
        <f>IF(AND('331-CT'!$E$7=TH!H7069,OR(N7069="331",O7069="331")),"x","")</f>
        <v/>
      </c>
      <c r="Q7069" s="79" t="str">
        <f>IF(AND(B7069='111'!$L$11,OR($N7069=$Q$7,$O7069=$Q$7)),"x","")</f>
        <v/>
      </c>
      <c r="R7069" s="79" t="str">
        <f>IF(AND($N7069=$Q$7,$B7069&lt;'111'!$L$11),"x","")</f>
        <v/>
      </c>
      <c r="S7069" s="79" t="str">
        <f>IF(AND($O7069=$Q$7,$B7069&lt;'111'!$L$11),"x","")</f>
        <v/>
      </c>
      <c r="T7069" s="79" t="str">
        <f>IF(ISERROR(FIND('112'!$M$9,G7069,1)),"",IF((AND(FIND('112'!$M$9,G7069,1)&gt;=1,B7069='112'!$K$9,OR($N7069='112'!$I$6,$O7069='112'!$I$6))),"x",""))</f>
        <v/>
      </c>
      <c r="U7069" s="79" t="str">
        <f>IF(ISERROR(FIND('112'!$M$9,G7069,1)),"",IF((AND(LEFT(G7069,2)=LEFT('112'!$M$9,2),B7069&lt;'112'!$K$9,$N7069='112'!$I$6)),"x",""))</f>
        <v/>
      </c>
      <c r="V7069" s="79" t="str">
        <f>IF(ISERROR(FIND('112'!$M$9,G7069,1)),"",IF((AND(RIGHT(G7069,2)=RIGHT('112'!$M$9,2),B7069&lt;'112'!$K$9,$O7069='112'!$I$6)),"x",""))</f>
        <v/>
      </c>
      <c r="W7069" s="79" t="str">
        <f>IF(AND('341-CT'!$H$9=H7069,OR(LEFT(N7069,3)=$W$7,LEFT(O7069,3)=$W$7)),"x","")</f>
        <v/>
      </c>
      <c r="X7069" s="79" t="str">
        <f>IF(OR(TH!N7069=TH!$X$7,O7069=TH!$X$7),"x","")</f>
        <v/>
      </c>
      <c r="Y7069" s="79" t="str">
        <f>IF(AND(OR(N7069="131",O7069="131"),H7069='131-CT'!$H$9),"x","")</f>
        <v/>
      </c>
      <c r="Z7069" s="79"/>
      <c r="AA7069" s="79" t="str">
        <f>IF(AND(MONTH(E7069)='IN-NX'!$J$5,'IN-NX'!$D$7=D7069),"x","")</f>
        <v/>
      </c>
      <c r="AB7069" s="79" t="str">
        <f>IF(AND(OR(LEFT(TH!N7069,2)="15",LEFT(TH!O7069,2)="15"),LEFT(TH!O7069,3)&lt;&gt;"111",'152-CT'!$J$8=TH!F7069),"x","")</f>
        <v/>
      </c>
      <c r="AC7069" s="79" t="str">
        <f>IF(AND(OR(LEFT(TH!N7069,2)="15",LEFT(TH!O7069,2)="15"),TK!$E$7=TH!F7069),"x","")</f>
        <v/>
      </c>
      <c r="AD7069" s="79" t="str">
        <f>IF(AND(N7069="1521",MONTH(C7069)='BK-NL'!$M$11),"x","")</f>
        <v/>
      </c>
    </row>
    <row r="7070" spans="1:30" ht="16.5" customHeight="1">
      <c r="A7070" s="318" t="str">
        <f>IF(B7070&lt;&gt;"",IF(AND(B7070='IN-TC'!$S$4,OR(TH!N7070="1111",TH!O7070="1111")),TH!D7070,""),"")</f>
        <v/>
      </c>
      <c r="B7070" s="1163" t="str">
        <f t="shared" si="530"/>
        <v/>
      </c>
      <c r="C7070" s="61"/>
      <c r="D7070" s="61"/>
      <c r="E7070" s="61"/>
      <c r="F7070" s="69"/>
      <c r="G7070" s="64"/>
      <c r="H7070" s="69"/>
      <c r="I7070" s="385"/>
      <c r="J7070" s="392"/>
      <c r="K7070" s="385"/>
      <c r="L7070" s="392"/>
      <c r="M7070" s="62"/>
      <c r="N7070" s="63"/>
      <c r="O7070" s="63"/>
      <c r="P7070" s="79" t="str">
        <f>IF(AND('331-CT'!$E$7=TH!H7070,OR(N7070="331",O7070="331")),"x","")</f>
        <v/>
      </c>
      <c r="Q7070" s="79" t="str">
        <f>IF(AND(B7070='111'!$L$11,OR($N7070=$Q$7,$O7070=$Q$7)),"x","")</f>
        <v/>
      </c>
      <c r="R7070" s="79" t="str">
        <f>IF(AND($N7070=$Q$7,$B7070&lt;'111'!$L$11),"x","")</f>
        <v/>
      </c>
      <c r="S7070" s="79" t="str">
        <f>IF(AND($O7070=$Q$7,$B7070&lt;'111'!$L$11),"x","")</f>
        <v/>
      </c>
      <c r="T7070" s="79" t="str">
        <f>IF(ISERROR(FIND('112'!$M$9,G7070,1)),"",IF((AND(FIND('112'!$M$9,G7070,1)&gt;=1,B7070='112'!$K$9,OR($N7070='112'!$I$6,$O7070='112'!$I$6))),"x",""))</f>
        <v/>
      </c>
      <c r="U7070" s="79" t="str">
        <f>IF(ISERROR(FIND('112'!$M$9,G7070,1)),"",IF((AND(LEFT(G7070,2)=LEFT('112'!$M$9,2),B7070&lt;'112'!$K$9,$N7070='112'!$I$6)),"x",""))</f>
        <v/>
      </c>
      <c r="V7070" s="79" t="str">
        <f>IF(ISERROR(FIND('112'!$M$9,G7070,1)),"",IF((AND(RIGHT(G7070,2)=RIGHT('112'!$M$9,2),B7070&lt;'112'!$K$9,$O7070='112'!$I$6)),"x",""))</f>
        <v/>
      </c>
      <c r="W7070" s="79" t="str">
        <f>IF(AND('341-CT'!$H$9=H7070,OR(LEFT(N7070,3)=$W$7,LEFT(O7070,3)=$W$7)),"x","")</f>
        <v/>
      </c>
      <c r="X7070" s="79" t="str">
        <f>IF(OR(TH!N7070=TH!$X$7,O7070=TH!$X$7),"x","")</f>
        <v/>
      </c>
      <c r="Y7070" s="79" t="str">
        <f>IF(AND(OR(N7070="131",O7070="131"),H7070='131-CT'!$H$9),"x","")</f>
        <v/>
      </c>
      <c r="Z7070" s="79"/>
      <c r="AA7070" s="79" t="str">
        <f>IF(AND(MONTH(E7070)='IN-NX'!$J$5,'IN-NX'!$D$7=D7070),"x","")</f>
        <v/>
      </c>
      <c r="AB7070" s="79" t="str">
        <f>IF(AND(OR(LEFT(TH!N7070,2)="15",LEFT(TH!O7070,2)="15"),LEFT(TH!O7070,3)&lt;&gt;"111",'152-CT'!$J$8=TH!F7070),"x","")</f>
        <v/>
      </c>
      <c r="AC7070" s="79" t="str">
        <f>IF(AND(OR(LEFT(TH!N7070,2)="15",LEFT(TH!O7070,2)="15"),TK!$E$7=TH!F7070),"x","")</f>
        <v/>
      </c>
      <c r="AD7070" s="79" t="str">
        <f>IF(AND(N7070="1521",MONTH(C7070)='BK-NL'!$M$11),"x","")</f>
        <v/>
      </c>
    </row>
    <row r="7071" spans="1:30" ht="16.5" customHeight="1">
      <c r="A7071" s="318" t="str">
        <f>IF(B7071&lt;&gt;"",IF(AND(B7071='IN-TC'!$S$4,OR(TH!N7071="1111",TH!O7071="1111")),TH!D7071,""),"")</f>
        <v/>
      </c>
      <c r="B7071" s="1163" t="str">
        <f t="shared" si="530"/>
        <v/>
      </c>
      <c r="C7071" s="61"/>
      <c r="D7071" s="61"/>
      <c r="E7071" s="61"/>
      <c r="F7071" s="69"/>
      <c r="G7071" s="64"/>
      <c r="H7071" s="69"/>
      <c r="I7071" s="385"/>
      <c r="J7071" s="392"/>
      <c r="K7071" s="385"/>
      <c r="L7071" s="392"/>
      <c r="M7071" s="62"/>
      <c r="N7071" s="63"/>
      <c r="O7071" s="63"/>
      <c r="P7071" s="79" t="str">
        <f>IF(AND('331-CT'!$E$7=TH!H7071,OR(N7071="331",O7071="331")),"x","")</f>
        <v/>
      </c>
      <c r="Q7071" s="79" t="str">
        <f>IF(AND(B7071='111'!$L$11,OR($N7071=$Q$7,$O7071=$Q$7)),"x","")</f>
        <v/>
      </c>
      <c r="R7071" s="79" t="str">
        <f>IF(AND($N7071=$Q$7,$B7071&lt;'111'!$L$11),"x","")</f>
        <v/>
      </c>
      <c r="S7071" s="79" t="str">
        <f>IF(AND($O7071=$Q$7,$B7071&lt;'111'!$L$11),"x","")</f>
        <v/>
      </c>
      <c r="T7071" s="79" t="str">
        <f>IF(ISERROR(FIND('112'!$M$9,G7071,1)),"",IF((AND(FIND('112'!$M$9,G7071,1)&gt;=1,B7071='112'!$K$9,OR($N7071='112'!$I$6,$O7071='112'!$I$6))),"x",""))</f>
        <v/>
      </c>
      <c r="U7071" s="79" t="str">
        <f>IF(ISERROR(FIND('112'!$M$9,G7071,1)),"",IF((AND(LEFT(G7071,2)=LEFT('112'!$M$9,2),B7071&lt;'112'!$K$9,$N7071='112'!$I$6)),"x",""))</f>
        <v/>
      </c>
      <c r="V7071" s="79" t="str">
        <f>IF(ISERROR(FIND('112'!$M$9,G7071,1)),"",IF((AND(RIGHT(G7071,2)=RIGHT('112'!$M$9,2),B7071&lt;'112'!$K$9,$O7071='112'!$I$6)),"x",""))</f>
        <v/>
      </c>
      <c r="W7071" s="79" t="str">
        <f>IF(AND('341-CT'!$H$9=H7071,OR(LEFT(N7071,3)=$W$7,LEFT(O7071,3)=$W$7)),"x","")</f>
        <v/>
      </c>
      <c r="X7071" s="79" t="str">
        <f>IF(OR(TH!N7071=TH!$X$7,O7071=TH!$X$7),"x","")</f>
        <v/>
      </c>
      <c r="Y7071" s="79" t="str">
        <f>IF(AND(OR(N7071="131",O7071="131"),H7071='131-CT'!$H$9),"x","")</f>
        <v/>
      </c>
      <c r="Z7071" s="79"/>
      <c r="AA7071" s="79" t="str">
        <f>IF(AND(MONTH(E7071)='IN-NX'!$J$5,'IN-NX'!$D$7=D7071),"x","")</f>
        <v/>
      </c>
      <c r="AB7071" s="79" t="str">
        <f>IF(AND(OR(LEFT(TH!N7071,2)="15",LEFT(TH!O7071,2)="15"),LEFT(TH!O7071,3)&lt;&gt;"111",'152-CT'!$J$8=TH!F7071),"x","")</f>
        <v/>
      </c>
      <c r="AC7071" s="79" t="str">
        <f>IF(AND(OR(LEFT(TH!N7071,2)="15",LEFT(TH!O7071,2)="15"),TK!$E$7=TH!F7071),"x","")</f>
        <v/>
      </c>
      <c r="AD7071" s="79" t="str">
        <f>IF(AND(N7071="1521",MONTH(C7071)='BK-NL'!$M$11),"x","")</f>
        <v/>
      </c>
    </row>
    <row r="7072" spans="1:30" ht="16.5" customHeight="1">
      <c r="A7072" s="318" t="str">
        <f>IF(B7072&lt;&gt;"",IF(AND(B7072='IN-TC'!$S$4,OR(TH!N7072="1111",TH!O7072="1111")),TH!D7072,""),"")</f>
        <v/>
      </c>
      <c r="B7072" s="1163" t="str">
        <f t="shared" si="530"/>
        <v/>
      </c>
      <c r="C7072" s="61"/>
      <c r="D7072" s="61"/>
      <c r="E7072" s="61"/>
      <c r="F7072" s="69"/>
      <c r="G7072" s="64"/>
      <c r="H7072" s="69"/>
      <c r="I7072" s="385"/>
      <c r="J7072" s="392"/>
      <c r="K7072" s="385"/>
      <c r="L7072" s="392"/>
      <c r="M7072" s="62"/>
      <c r="N7072" s="63"/>
      <c r="O7072" s="63"/>
      <c r="P7072" s="79" t="str">
        <f>IF(AND('331-CT'!$E$7=TH!H7072,OR(N7072="331",O7072="331")),"x","")</f>
        <v/>
      </c>
      <c r="Q7072" s="79" t="str">
        <f>IF(AND(B7072='111'!$L$11,OR($N7072=$Q$7,$O7072=$Q$7)),"x","")</f>
        <v/>
      </c>
      <c r="R7072" s="79" t="str">
        <f>IF(AND($N7072=$Q$7,$B7072&lt;'111'!$L$11),"x","")</f>
        <v/>
      </c>
      <c r="S7072" s="79" t="str">
        <f>IF(AND($O7072=$Q$7,$B7072&lt;'111'!$L$11),"x","")</f>
        <v/>
      </c>
      <c r="T7072" s="79" t="str">
        <f>IF(ISERROR(FIND('112'!$M$9,G7072,1)),"",IF((AND(FIND('112'!$M$9,G7072,1)&gt;=1,B7072='112'!$K$9,OR($N7072='112'!$I$6,$O7072='112'!$I$6))),"x",""))</f>
        <v/>
      </c>
      <c r="U7072" s="79" t="str">
        <f>IF(ISERROR(FIND('112'!$M$9,G7072,1)),"",IF((AND(LEFT(G7072,2)=LEFT('112'!$M$9,2),B7072&lt;'112'!$K$9,$N7072='112'!$I$6)),"x",""))</f>
        <v/>
      </c>
      <c r="V7072" s="79" t="str">
        <f>IF(ISERROR(FIND('112'!$M$9,G7072,1)),"",IF((AND(RIGHT(G7072,2)=RIGHT('112'!$M$9,2),B7072&lt;'112'!$K$9,$O7072='112'!$I$6)),"x",""))</f>
        <v/>
      </c>
      <c r="W7072" s="79" t="str">
        <f>IF(AND('341-CT'!$H$9=H7072,OR(LEFT(N7072,3)=$W$7,LEFT(O7072,3)=$W$7)),"x","")</f>
        <v/>
      </c>
      <c r="X7072" s="79" t="str">
        <f>IF(OR(TH!N7072=TH!$X$7,O7072=TH!$X$7),"x","")</f>
        <v/>
      </c>
      <c r="Y7072" s="79" t="str">
        <f>IF(AND(OR(N7072="131",O7072="131"),H7072='131-CT'!$H$9),"x","")</f>
        <v/>
      </c>
      <c r="Z7072" s="79"/>
      <c r="AA7072" s="79" t="str">
        <f>IF(AND(MONTH(E7072)='IN-NX'!$J$5,'IN-NX'!$D$7=D7072),"x","")</f>
        <v/>
      </c>
      <c r="AB7072" s="79" t="str">
        <f>IF(AND(OR(LEFT(TH!N7072,2)="15",LEFT(TH!O7072,2)="15"),LEFT(TH!O7072,3)&lt;&gt;"111",'152-CT'!$J$8=TH!F7072),"x","")</f>
        <v/>
      </c>
      <c r="AC7072" s="79" t="str">
        <f>IF(AND(OR(LEFT(TH!N7072,2)="15",LEFT(TH!O7072,2)="15"),TK!$E$7=TH!F7072),"x","")</f>
        <v/>
      </c>
      <c r="AD7072" s="79" t="str">
        <f>IF(AND(N7072="1521",MONTH(C7072)='BK-NL'!$M$11),"x","")</f>
        <v/>
      </c>
    </row>
    <row r="7073" spans="1:30" ht="16.5" customHeight="1">
      <c r="A7073" s="318" t="str">
        <f>IF(B7073&lt;&gt;"",IF(AND(B7073='IN-TC'!$S$4,OR(TH!N7073="1111",TH!O7073="1111")),TH!D7073,""),"")</f>
        <v/>
      </c>
      <c r="B7073" s="1163" t="str">
        <f t="shared" si="530"/>
        <v/>
      </c>
      <c r="C7073" s="61"/>
      <c r="D7073" s="61"/>
      <c r="E7073" s="61"/>
      <c r="F7073" s="69"/>
      <c r="G7073" s="64"/>
      <c r="H7073" s="69"/>
      <c r="I7073" s="385"/>
      <c r="J7073" s="392"/>
      <c r="K7073" s="385"/>
      <c r="L7073" s="392"/>
      <c r="M7073" s="62"/>
      <c r="N7073" s="63"/>
      <c r="O7073" s="63"/>
      <c r="P7073" s="79" t="str">
        <f>IF(AND('331-CT'!$E$7=TH!H7073,OR(N7073="331",O7073="331")),"x","")</f>
        <v/>
      </c>
      <c r="Q7073" s="79" t="str">
        <f>IF(AND(B7073='111'!$L$11,OR($N7073=$Q$7,$O7073=$Q$7)),"x","")</f>
        <v/>
      </c>
      <c r="R7073" s="79" t="str">
        <f>IF(AND($N7073=$Q$7,$B7073&lt;'111'!$L$11),"x","")</f>
        <v/>
      </c>
      <c r="S7073" s="79" t="str">
        <f>IF(AND($O7073=$Q$7,$B7073&lt;'111'!$L$11),"x","")</f>
        <v/>
      </c>
      <c r="T7073" s="79" t="str">
        <f>IF(ISERROR(FIND('112'!$M$9,G7073,1)),"",IF((AND(FIND('112'!$M$9,G7073,1)&gt;=1,B7073='112'!$K$9,OR($N7073='112'!$I$6,$O7073='112'!$I$6))),"x",""))</f>
        <v/>
      </c>
      <c r="U7073" s="79" t="str">
        <f>IF(ISERROR(FIND('112'!$M$9,G7073,1)),"",IF((AND(LEFT(G7073,2)=LEFT('112'!$M$9,2),B7073&lt;'112'!$K$9,$N7073='112'!$I$6)),"x",""))</f>
        <v/>
      </c>
      <c r="V7073" s="79" t="str">
        <f>IF(ISERROR(FIND('112'!$M$9,G7073,1)),"",IF((AND(RIGHT(G7073,2)=RIGHT('112'!$M$9,2),B7073&lt;'112'!$K$9,$O7073='112'!$I$6)),"x",""))</f>
        <v/>
      </c>
      <c r="W7073" s="79" t="str">
        <f>IF(AND('341-CT'!$H$9=H7073,OR(LEFT(N7073,3)=$W$7,LEFT(O7073,3)=$W$7)),"x","")</f>
        <v/>
      </c>
      <c r="X7073" s="79" t="str">
        <f>IF(OR(TH!N7073=TH!$X$7,O7073=TH!$X$7),"x","")</f>
        <v/>
      </c>
      <c r="Y7073" s="79" t="str">
        <f>IF(AND(OR(N7073="131",O7073="131"),H7073='131-CT'!$H$9),"x","")</f>
        <v/>
      </c>
      <c r="Z7073" s="79"/>
      <c r="AA7073" s="79" t="str">
        <f>IF(AND(MONTH(E7073)='IN-NX'!$J$5,'IN-NX'!$D$7=D7073),"x","")</f>
        <v/>
      </c>
      <c r="AB7073" s="79" t="str">
        <f>IF(AND(OR(LEFT(TH!N7073,2)="15",LEFT(TH!O7073,2)="15"),LEFT(TH!O7073,3)&lt;&gt;"111",'152-CT'!$J$8=TH!F7073),"x","")</f>
        <v/>
      </c>
      <c r="AC7073" s="79" t="str">
        <f>IF(AND(OR(LEFT(TH!N7073,2)="15",LEFT(TH!O7073,2)="15"),TK!$E$7=TH!F7073),"x","")</f>
        <v/>
      </c>
      <c r="AD7073" s="79" t="str">
        <f>IF(AND(N7073="1521",MONTH(C7073)='BK-NL'!$M$11),"x","")</f>
        <v/>
      </c>
    </row>
    <row r="7074" spans="1:30" ht="16.5" customHeight="1">
      <c r="A7074" s="318" t="str">
        <f>IF(B7074&lt;&gt;"",IF(AND(B7074='IN-TC'!$S$4,OR(TH!N7074="1111",TH!O7074="1111")),TH!D7074,""),"")</f>
        <v/>
      </c>
      <c r="B7074" s="1163" t="str">
        <f t="shared" ref="B7074:B7137" si="531">IF(C7074&lt;&gt;"",MONTH(C7074),"")</f>
        <v/>
      </c>
      <c r="C7074" s="61"/>
      <c r="D7074" s="61"/>
      <c r="E7074" s="61"/>
      <c r="F7074" s="69"/>
      <c r="G7074" s="64"/>
      <c r="H7074" s="69"/>
      <c r="I7074" s="385"/>
      <c r="J7074" s="392"/>
      <c r="K7074" s="385"/>
      <c r="L7074" s="392"/>
      <c r="M7074" s="62"/>
      <c r="N7074" s="63"/>
      <c r="O7074" s="63"/>
      <c r="P7074" s="79" t="str">
        <f>IF(AND('331-CT'!$E$7=TH!H7074,OR(N7074="331",O7074="331")),"x","")</f>
        <v/>
      </c>
      <c r="Q7074" s="79" t="str">
        <f>IF(AND(B7074='111'!$L$11,OR($N7074=$Q$7,$O7074=$Q$7)),"x","")</f>
        <v/>
      </c>
      <c r="R7074" s="79" t="str">
        <f>IF(AND($N7074=$Q$7,$B7074&lt;'111'!$L$11),"x","")</f>
        <v/>
      </c>
      <c r="S7074" s="79" t="str">
        <f>IF(AND($O7074=$Q$7,$B7074&lt;'111'!$L$11),"x","")</f>
        <v/>
      </c>
      <c r="T7074" s="79" t="str">
        <f>IF(ISERROR(FIND('112'!$M$9,G7074,1)),"",IF((AND(FIND('112'!$M$9,G7074,1)&gt;=1,B7074='112'!$K$9,OR($N7074='112'!$I$6,$O7074='112'!$I$6))),"x",""))</f>
        <v/>
      </c>
      <c r="U7074" s="79" t="str">
        <f>IF(ISERROR(FIND('112'!$M$9,G7074,1)),"",IF((AND(LEFT(G7074,2)=LEFT('112'!$M$9,2),B7074&lt;'112'!$K$9,$N7074='112'!$I$6)),"x",""))</f>
        <v/>
      </c>
      <c r="V7074" s="79" t="str">
        <f>IF(ISERROR(FIND('112'!$M$9,G7074,1)),"",IF((AND(RIGHT(G7074,2)=RIGHT('112'!$M$9,2),B7074&lt;'112'!$K$9,$O7074='112'!$I$6)),"x",""))</f>
        <v/>
      </c>
      <c r="W7074" s="79" t="str">
        <f>IF(AND('341-CT'!$H$9=H7074,OR(LEFT(N7074,3)=$W$7,LEFT(O7074,3)=$W$7)),"x","")</f>
        <v/>
      </c>
      <c r="X7074" s="79" t="str">
        <f>IF(OR(TH!N7074=TH!$X$7,O7074=TH!$X$7),"x","")</f>
        <v/>
      </c>
      <c r="Y7074" s="79" t="str">
        <f>IF(AND(OR(N7074="131",O7074="131"),H7074='131-CT'!$H$9),"x","")</f>
        <v/>
      </c>
      <c r="Z7074" s="79"/>
      <c r="AA7074" s="79" t="str">
        <f>IF(AND(MONTH(E7074)='IN-NX'!$J$5,'IN-NX'!$D$7=D7074),"x","")</f>
        <v/>
      </c>
      <c r="AB7074" s="79" t="str">
        <f>IF(AND(OR(LEFT(TH!N7074,2)="15",LEFT(TH!O7074,2)="15"),LEFT(TH!O7074,3)&lt;&gt;"111",'152-CT'!$J$8=TH!F7074),"x","")</f>
        <v/>
      </c>
      <c r="AC7074" s="79" t="str">
        <f>IF(AND(OR(LEFT(TH!N7074,2)="15",LEFT(TH!O7074,2)="15"),TK!$E$7=TH!F7074),"x","")</f>
        <v/>
      </c>
      <c r="AD7074" s="79" t="str">
        <f>IF(AND(N7074="1521",MONTH(C7074)='BK-NL'!$M$11),"x","")</f>
        <v/>
      </c>
    </row>
    <row r="7075" spans="1:30" ht="16.5" customHeight="1">
      <c r="A7075" s="318" t="str">
        <f>IF(B7075&lt;&gt;"",IF(AND(B7075='IN-TC'!$S$4,OR(TH!N7075="1111",TH!O7075="1111")),TH!D7075,""),"")</f>
        <v/>
      </c>
      <c r="B7075" s="1163" t="str">
        <f t="shared" si="531"/>
        <v/>
      </c>
      <c r="C7075" s="61"/>
      <c r="D7075" s="61"/>
      <c r="E7075" s="61"/>
      <c r="F7075" s="69"/>
      <c r="G7075" s="64"/>
      <c r="H7075" s="69"/>
      <c r="I7075" s="385"/>
      <c r="J7075" s="392"/>
      <c r="K7075" s="385"/>
      <c r="L7075" s="392"/>
      <c r="M7075" s="62"/>
      <c r="N7075" s="63"/>
      <c r="O7075" s="63"/>
      <c r="P7075" s="79" t="str">
        <f>IF(AND('331-CT'!$E$7=TH!H7075,OR(N7075="331",O7075="331")),"x","")</f>
        <v/>
      </c>
      <c r="Q7075" s="79" t="str">
        <f>IF(AND(B7075='111'!$L$11,OR($N7075=$Q$7,$O7075=$Q$7)),"x","")</f>
        <v/>
      </c>
      <c r="R7075" s="79" t="str">
        <f>IF(AND($N7075=$Q$7,$B7075&lt;'111'!$L$11),"x","")</f>
        <v/>
      </c>
      <c r="S7075" s="79" t="str">
        <f>IF(AND($O7075=$Q$7,$B7075&lt;'111'!$L$11),"x","")</f>
        <v/>
      </c>
      <c r="T7075" s="79" t="str">
        <f>IF(ISERROR(FIND('112'!$M$9,G7075,1)),"",IF((AND(FIND('112'!$M$9,G7075,1)&gt;=1,B7075='112'!$K$9,OR($N7075='112'!$I$6,$O7075='112'!$I$6))),"x",""))</f>
        <v/>
      </c>
      <c r="U7075" s="79" t="str">
        <f>IF(ISERROR(FIND('112'!$M$9,G7075,1)),"",IF((AND(LEFT(G7075,2)=LEFT('112'!$M$9,2),B7075&lt;'112'!$K$9,$N7075='112'!$I$6)),"x",""))</f>
        <v/>
      </c>
      <c r="V7075" s="79" t="str">
        <f>IF(ISERROR(FIND('112'!$M$9,G7075,1)),"",IF((AND(RIGHT(G7075,2)=RIGHT('112'!$M$9,2),B7075&lt;'112'!$K$9,$O7075='112'!$I$6)),"x",""))</f>
        <v/>
      </c>
      <c r="W7075" s="79" t="str">
        <f>IF(AND('341-CT'!$H$9=H7075,OR(LEFT(N7075,3)=$W$7,LEFT(O7075,3)=$W$7)),"x","")</f>
        <v/>
      </c>
      <c r="X7075" s="79" t="str">
        <f>IF(OR(TH!N7075=TH!$X$7,O7075=TH!$X$7),"x","")</f>
        <v/>
      </c>
      <c r="Y7075" s="79" t="str">
        <f>IF(AND(OR(N7075="131",O7075="131"),H7075='131-CT'!$H$9),"x","")</f>
        <v/>
      </c>
      <c r="Z7075" s="79"/>
      <c r="AA7075" s="79" t="str">
        <f>IF(AND(MONTH(E7075)='IN-NX'!$J$5,'IN-NX'!$D$7=D7075),"x","")</f>
        <v/>
      </c>
      <c r="AB7075" s="79" t="str">
        <f>IF(AND(OR(LEFT(TH!N7075,2)="15",LEFT(TH!O7075,2)="15"),LEFT(TH!O7075,3)&lt;&gt;"111",'152-CT'!$J$8=TH!F7075),"x","")</f>
        <v/>
      </c>
      <c r="AC7075" s="79" t="str">
        <f>IF(AND(OR(LEFT(TH!N7075,2)="15",LEFT(TH!O7075,2)="15"),TK!$E$7=TH!F7075),"x","")</f>
        <v/>
      </c>
      <c r="AD7075" s="79" t="str">
        <f>IF(AND(N7075="1521",MONTH(C7075)='BK-NL'!$M$11),"x","")</f>
        <v/>
      </c>
    </row>
    <row r="7076" spans="1:30" ht="16.5" customHeight="1">
      <c r="A7076" s="318" t="str">
        <f>IF(B7076&lt;&gt;"",IF(AND(B7076='IN-TC'!$S$4,OR(TH!N7076="1111",TH!O7076="1111")),TH!D7076,""),"")</f>
        <v/>
      </c>
      <c r="B7076" s="1163" t="str">
        <f t="shared" si="531"/>
        <v/>
      </c>
      <c r="C7076" s="61"/>
      <c r="D7076" s="61"/>
      <c r="E7076" s="61"/>
      <c r="F7076" s="69"/>
      <c r="G7076" s="766"/>
      <c r="H7076" s="69"/>
      <c r="I7076" s="385"/>
      <c r="J7076" s="392"/>
      <c r="K7076" s="385"/>
      <c r="L7076" s="392"/>
      <c r="M7076" s="62"/>
      <c r="N7076" s="63"/>
      <c r="O7076" s="63"/>
      <c r="P7076" s="79" t="str">
        <f>IF(AND('331-CT'!$E$7=TH!H7076,OR(N7076="331",O7076="331")),"x","")</f>
        <v/>
      </c>
      <c r="Q7076" s="79" t="str">
        <f>IF(AND(B7076='111'!$L$11,OR($N7076=$Q$7,$O7076=$Q$7)),"x","")</f>
        <v/>
      </c>
      <c r="R7076" s="79" t="str">
        <f>IF(AND($N7076=$Q$7,$B7076&lt;'111'!$L$11),"x","")</f>
        <v/>
      </c>
      <c r="S7076" s="79" t="str">
        <f>IF(AND($O7076=$Q$7,$B7076&lt;'111'!$L$11),"x","")</f>
        <v/>
      </c>
      <c r="T7076" s="79" t="str">
        <f>IF(ISERROR(FIND('112'!$M$9,G7076,1)),"",IF((AND(FIND('112'!$M$9,G7076,1)&gt;=1,B7076='112'!$K$9,OR($N7076='112'!$I$6,$O7076='112'!$I$6))),"x",""))</f>
        <v/>
      </c>
      <c r="U7076" s="79" t="str">
        <f>IF(ISERROR(FIND('112'!$M$9,G7076,1)),"",IF((AND(LEFT(G7076,2)=LEFT('112'!$M$9,2),B7076&lt;'112'!$K$9,$N7076='112'!$I$6)),"x",""))</f>
        <v/>
      </c>
      <c r="V7076" s="79" t="str">
        <f>IF(ISERROR(FIND('112'!$M$9,G7076,1)),"",IF((AND(RIGHT(G7076,2)=RIGHT('112'!$M$9,2),B7076&lt;'112'!$K$9,$O7076='112'!$I$6)),"x",""))</f>
        <v/>
      </c>
      <c r="W7076" s="79" t="str">
        <f>IF(AND('341-CT'!$H$9=H7076,OR(LEFT(N7076,3)=$W$7,LEFT(O7076,3)=$W$7)),"x","")</f>
        <v/>
      </c>
      <c r="X7076" s="79" t="str">
        <f>IF(OR(TH!N7076=TH!$X$7,O7076=TH!$X$7),"x","")</f>
        <v/>
      </c>
      <c r="Y7076" s="79" t="str">
        <f>IF(AND(OR(N7076="131",O7076="131"),H7076='131-CT'!$H$9),"x","")</f>
        <v/>
      </c>
      <c r="Z7076" s="79"/>
      <c r="AA7076" s="79" t="str">
        <f>IF(AND(MONTH(E7076)='IN-NX'!$J$5,'IN-NX'!$D$7=D7076),"x","")</f>
        <v/>
      </c>
      <c r="AB7076" s="79" t="str">
        <f>IF(AND(OR(LEFT(TH!N7076,2)="15",LEFT(TH!O7076,2)="15"),LEFT(TH!O7076,3)&lt;&gt;"111",'152-CT'!$J$8=TH!F7076),"x","")</f>
        <v/>
      </c>
      <c r="AC7076" s="79" t="str">
        <f>IF(AND(OR(LEFT(TH!N7076,2)="15",LEFT(TH!O7076,2)="15"),TK!$E$7=TH!F7076),"x","")</f>
        <v/>
      </c>
      <c r="AD7076" s="79" t="str">
        <f>IF(AND(N7076="1521",MONTH(C7076)='BK-NL'!$M$11),"x","")</f>
        <v/>
      </c>
    </row>
    <row r="7077" spans="1:30" ht="16.5" customHeight="1">
      <c r="A7077" s="318" t="str">
        <f>IF(B7077&lt;&gt;"",IF(AND(B7077='IN-TC'!$S$4,OR(TH!N7077="1111",TH!O7077="1111")),TH!D7077,""),"")</f>
        <v/>
      </c>
      <c r="B7077" s="1163" t="str">
        <f t="shared" si="531"/>
        <v/>
      </c>
      <c r="C7077" s="61"/>
      <c r="D7077" s="61"/>
      <c r="E7077" s="61"/>
      <c r="F7077" s="69"/>
      <c r="G7077" s="766"/>
      <c r="H7077" s="69"/>
      <c r="I7077" s="385"/>
      <c r="J7077" s="392"/>
      <c r="K7077" s="385"/>
      <c r="L7077" s="392"/>
      <c r="M7077" s="62"/>
      <c r="N7077" s="63"/>
      <c r="O7077" s="63"/>
      <c r="P7077" s="79" t="str">
        <f>IF(AND('331-CT'!$E$7=TH!H7077,OR(N7077="331",O7077="331")),"x","")</f>
        <v/>
      </c>
      <c r="Q7077" s="79" t="str">
        <f>IF(AND(B7077='111'!$L$11,OR($N7077=$Q$7,$O7077=$Q$7)),"x","")</f>
        <v/>
      </c>
      <c r="R7077" s="79" t="str">
        <f>IF(AND($N7077=$Q$7,$B7077&lt;'111'!$L$11),"x","")</f>
        <v/>
      </c>
      <c r="S7077" s="79" t="str">
        <f>IF(AND($O7077=$Q$7,$B7077&lt;'111'!$L$11),"x","")</f>
        <v/>
      </c>
      <c r="T7077" s="79" t="str">
        <f>IF(ISERROR(FIND('112'!$M$9,G7077,1)),"",IF((AND(FIND('112'!$M$9,G7077,1)&gt;=1,B7077='112'!$K$9,OR($N7077='112'!$I$6,$O7077='112'!$I$6))),"x",""))</f>
        <v/>
      </c>
      <c r="U7077" s="79" t="str">
        <f>IF(ISERROR(FIND('112'!$M$9,G7077,1)),"",IF((AND(LEFT(G7077,2)=LEFT('112'!$M$9,2),B7077&lt;'112'!$K$9,$N7077='112'!$I$6)),"x",""))</f>
        <v/>
      </c>
      <c r="V7077" s="79" t="str">
        <f>IF(ISERROR(FIND('112'!$M$9,G7077,1)),"",IF((AND(RIGHT(G7077,2)=RIGHT('112'!$M$9,2),B7077&lt;'112'!$K$9,$O7077='112'!$I$6)),"x",""))</f>
        <v/>
      </c>
      <c r="W7077" s="79" t="str">
        <f>IF(AND('341-CT'!$H$9=H7077,OR(LEFT(N7077,3)=$W$7,LEFT(O7077,3)=$W$7)),"x","")</f>
        <v/>
      </c>
      <c r="X7077" s="79" t="str">
        <f>IF(OR(TH!N7077=TH!$X$7,O7077=TH!$X$7),"x","")</f>
        <v/>
      </c>
      <c r="Y7077" s="79" t="str">
        <f>IF(AND(OR(N7077="131",O7077="131"),H7077='131-CT'!$H$9),"x","")</f>
        <v/>
      </c>
      <c r="Z7077" s="79"/>
      <c r="AA7077" s="79" t="str">
        <f>IF(AND(MONTH(E7077)='IN-NX'!$J$5,'IN-NX'!$D$7=D7077),"x","")</f>
        <v/>
      </c>
      <c r="AB7077" s="79" t="str">
        <f>IF(AND(OR(LEFT(TH!N7077,2)="15",LEFT(TH!O7077,2)="15"),LEFT(TH!O7077,3)&lt;&gt;"111",'152-CT'!$J$8=TH!F7077),"x","")</f>
        <v/>
      </c>
      <c r="AC7077" s="79" t="str">
        <f>IF(AND(OR(LEFT(TH!N7077,2)="15",LEFT(TH!O7077,2)="15"),TK!$E$7=TH!F7077),"x","")</f>
        <v/>
      </c>
      <c r="AD7077" s="79" t="str">
        <f>IF(AND(N7077="1521",MONTH(C7077)='BK-NL'!$M$11),"x","")</f>
        <v/>
      </c>
    </row>
    <row r="7078" spans="1:30" ht="16.5" customHeight="1">
      <c r="A7078" s="318" t="str">
        <f>IF(B7078&lt;&gt;"",IF(AND(B7078='IN-TC'!$S$4,OR(TH!N7078="1111",TH!O7078="1111")),TH!D7078,""),"")</f>
        <v/>
      </c>
      <c r="B7078" s="1163" t="str">
        <f t="shared" si="531"/>
        <v/>
      </c>
      <c r="C7078" s="61"/>
      <c r="D7078" s="61"/>
      <c r="E7078" s="61"/>
      <c r="F7078" s="69"/>
      <c r="G7078" s="766"/>
      <c r="H7078" s="69"/>
      <c r="I7078" s="385"/>
      <c r="J7078" s="392"/>
      <c r="K7078" s="385"/>
      <c r="L7078" s="392"/>
      <c r="M7078" s="62"/>
      <c r="N7078" s="63"/>
      <c r="O7078" s="63"/>
      <c r="P7078" s="79" t="str">
        <f>IF(AND('331-CT'!$E$7=TH!H7078,OR(N7078="331",O7078="331")),"x","")</f>
        <v/>
      </c>
      <c r="Q7078" s="79" t="str">
        <f>IF(AND(B7078='111'!$L$11,OR($N7078=$Q$7,$O7078=$Q$7)),"x","")</f>
        <v/>
      </c>
      <c r="R7078" s="79" t="str">
        <f>IF(AND($N7078=$Q$7,$B7078&lt;'111'!$L$11),"x","")</f>
        <v/>
      </c>
      <c r="S7078" s="79" t="str">
        <f>IF(AND($O7078=$Q$7,$B7078&lt;'111'!$L$11),"x","")</f>
        <v/>
      </c>
      <c r="T7078" s="79" t="str">
        <f>IF(ISERROR(FIND('112'!$M$9,G7078,1)),"",IF((AND(FIND('112'!$M$9,G7078,1)&gt;=1,B7078='112'!$K$9,OR($N7078='112'!$I$6,$O7078='112'!$I$6))),"x",""))</f>
        <v/>
      </c>
      <c r="U7078" s="79" t="str">
        <f>IF(ISERROR(FIND('112'!$M$9,G7078,1)),"",IF((AND(LEFT(G7078,2)=LEFT('112'!$M$9,2),B7078&lt;'112'!$K$9,$N7078='112'!$I$6)),"x",""))</f>
        <v/>
      </c>
      <c r="V7078" s="79" t="str">
        <f>IF(ISERROR(FIND('112'!$M$9,G7078,1)),"",IF((AND(RIGHT(G7078,2)=RIGHT('112'!$M$9,2),B7078&lt;'112'!$K$9,$O7078='112'!$I$6)),"x",""))</f>
        <v/>
      </c>
      <c r="W7078" s="79" t="str">
        <f>IF(AND('341-CT'!$H$9=H7078,OR(LEFT(N7078,3)=$W$7,LEFT(O7078,3)=$W$7)),"x","")</f>
        <v/>
      </c>
      <c r="X7078" s="79" t="str">
        <f>IF(OR(TH!N7078=TH!$X$7,O7078=TH!$X$7),"x","")</f>
        <v/>
      </c>
      <c r="Y7078" s="79" t="str">
        <f>IF(AND(OR(N7078="131",O7078="131"),H7078='131-CT'!$H$9),"x","")</f>
        <v/>
      </c>
      <c r="Z7078" s="79"/>
      <c r="AA7078" s="79" t="str">
        <f>IF(AND(MONTH(E7078)='IN-NX'!$J$5,'IN-NX'!$D$7=D7078),"x","")</f>
        <v/>
      </c>
      <c r="AB7078" s="79" t="str">
        <f>IF(AND(OR(LEFT(TH!N7078,2)="15",LEFT(TH!O7078,2)="15"),LEFT(TH!O7078,3)&lt;&gt;"111",'152-CT'!$J$8=TH!F7078),"x","")</f>
        <v/>
      </c>
      <c r="AC7078" s="79" t="str">
        <f>IF(AND(OR(LEFT(TH!N7078,2)="15",LEFT(TH!O7078,2)="15"),TK!$E$7=TH!F7078),"x","")</f>
        <v/>
      </c>
      <c r="AD7078" s="79" t="str">
        <f>IF(AND(N7078="1521",MONTH(C7078)='BK-NL'!$M$11),"x","")</f>
        <v/>
      </c>
    </row>
    <row r="7079" spans="1:30" ht="16.5" customHeight="1">
      <c r="A7079" s="318" t="str">
        <f>IF(B7079&lt;&gt;"",IF(AND(B7079='IN-TC'!$S$4,OR(TH!N7079="1111",TH!O7079="1111")),TH!D7079,""),"")</f>
        <v/>
      </c>
      <c r="B7079" s="1163" t="str">
        <f t="shared" si="531"/>
        <v/>
      </c>
      <c r="C7079" s="61"/>
      <c r="D7079" s="61"/>
      <c r="E7079" s="61"/>
      <c r="F7079" s="69"/>
      <c r="G7079" s="766"/>
      <c r="H7079" s="69"/>
      <c r="I7079" s="385"/>
      <c r="J7079" s="392"/>
      <c r="K7079" s="385"/>
      <c r="L7079" s="392"/>
      <c r="M7079" s="62"/>
      <c r="N7079" s="63"/>
      <c r="O7079" s="63"/>
      <c r="P7079" s="79" t="str">
        <f>IF(AND('331-CT'!$E$7=TH!H7079,OR(N7079="331",O7079="331")),"x","")</f>
        <v/>
      </c>
      <c r="Q7079" s="79" t="str">
        <f>IF(AND(B7079='111'!$L$11,OR($N7079=$Q$7,$O7079=$Q$7)),"x","")</f>
        <v/>
      </c>
      <c r="R7079" s="79" t="str">
        <f>IF(AND($N7079=$Q$7,$B7079&lt;'111'!$L$11),"x","")</f>
        <v/>
      </c>
      <c r="S7079" s="79" t="str">
        <f>IF(AND($O7079=$Q$7,$B7079&lt;'111'!$L$11),"x","")</f>
        <v/>
      </c>
      <c r="T7079" s="79" t="str">
        <f>IF(ISERROR(FIND('112'!$M$9,G7079,1)),"",IF((AND(FIND('112'!$M$9,G7079,1)&gt;=1,B7079='112'!$K$9,OR($N7079='112'!$I$6,$O7079='112'!$I$6))),"x",""))</f>
        <v/>
      </c>
      <c r="U7079" s="79" t="str">
        <f>IF(ISERROR(FIND('112'!$M$9,G7079,1)),"",IF((AND(LEFT(G7079,2)=LEFT('112'!$M$9,2),B7079&lt;'112'!$K$9,$N7079='112'!$I$6)),"x",""))</f>
        <v/>
      </c>
      <c r="V7079" s="79" t="str">
        <f>IF(ISERROR(FIND('112'!$M$9,G7079,1)),"",IF((AND(RIGHT(G7079,2)=RIGHT('112'!$M$9,2),B7079&lt;'112'!$K$9,$O7079='112'!$I$6)),"x",""))</f>
        <v/>
      </c>
      <c r="W7079" s="79" t="str">
        <f>IF(AND('341-CT'!$H$9=H7079,OR(LEFT(N7079,3)=$W$7,LEFT(O7079,3)=$W$7)),"x","")</f>
        <v/>
      </c>
      <c r="X7079" s="79" t="str">
        <f>IF(OR(TH!N7079=TH!$X$7,O7079=TH!$X$7),"x","")</f>
        <v/>
      </c>
      <c r="Y7079" s="79" t="str">
        <f>IF(AND(OR(N7079="131",O7079="131"),H7079='131-CT'!$H$9),"x","")</f>
        <v/>
      </c>
      <c r="Z7079" s="79"/>
      <c r="AA7079" s="79" t="str">
        <f>IF(AND(MONTH(E7079)='IN-NX'!$J$5,'IN-NX'!$D$7=D7079),"x","")</f>
        <v/>
      </c>
      <c r="AB7079" s="79" t="str">
        <f>IF(AND(OR(LEFT(TH!N7079,2)="15",LEFT(TH!O7079,2)="15"),LEFT(TH!O7079,3)&lt;&gt;"111",'152-CT'!$J$8=TH!F7079),"x","")</f>
        <v/>
      </c>
      <c r="AC7079" s="79" t="str">
        <f>IF(AND(OR(LEFT(TH!N7079,2)="15",LEFT(TH!O7079,2)="15"),TK!$E$7=TH!F7079),"x","")</f>
        <v/>
      </c>
      <c r="AD7079" s="79" t="str">
        <f>IF(AND(N7079="1521",MONTH(C7079)='BK-NL'!$M$11),"x","")</f>
        <v/>
      </c>
    </row>
    <row r="7080" spans="1:30" ht="16.5" customHeight="1">
      <c r="A7080" s="318" t="str">
        <f>IF(B7080&lt;&gt;"",IF(AND(B7080='IN-TC'!$S$4,OR(TH!N7080="1111",TH!O7080="1111")),TH!D7080,""),"")</f>
        <v/>
      </c>
      <c r="B7080" s="1163" t="str">
        <f t="shared" si="531"/>
        <v/>
      </c>
      <c r="C7080" s="61"/>
      <c r="D7080" s="61"/>
      <c r="E7080" s="61"/>
      <c r="F7080" s="446"/>
      <c r="G7080" s="64"/>
      <c r="H7080" s="69"/>
      <c r="I7080" s="385"/>
      <c r="J7080" s="392"/>
      <c r="K7080" s="385"/>
      <c r="L7080" s="933"/>
      <c r="M7080" s="62"/>
      <c r="N7080" s="63"/>
      <c r="O7080" s="63"/>
      <c r="P7080" s="79" t="str">
        <f>IF(AND('331-CT'!$E$7=TH!H7080,OR(N7080="331",O7080="331")),"x","")</f>
        <v/>
      </c>
      <c r="Q7080" s="79" t="str">
        <f>IF(AND(B7080='111'!$L$11,OR($N7080=$Q$7,$O7080=$Q$7)),"x","")</f>
        <v/>
      </c>
      <c r="R7080" s="79" t="str">
        <f>IF(AND($N7080=$Q$7,$B7080&lt;'111'!$L$11),"x","")</f>
        <v/>
      </c>
      <c r="S7080" s="79" t="str">
        <f>IF(AND($O7080=$Q$7,$B7080&lt;'111'!$L$11),"x","")</f>
        <v/>
      </c>
      <c r="T7080" s="79" t="str">
        <f>IF(ISERROR(FIND('112'!$M$9,G7080,1)),"",IF((AND(FIND('112'!$M$9,G7080,1)&gt;=1,B7080='112'!$K$9,OR($N7080='112'!$I$6,$O7080='112'!$I$6))),"x",""))</f>
        <v/>
      </c>
      <c r="U7080" s="79" t="str">
        <f>IF(ISERROR(FIND('112'!$M$9,G7080,1)),"",IF((AND(LEFT(G7080,2)=LEFT('112'!$M$9,2),B7080&lt;'112'!$K$9,$N7080='112'!$I$6)),"x",""))</f>
        <v/>
      </c>
      <c r="V7080" s="79" t="str">
        <f>IF(ISERROR(FIND('112'!$M$9,G7080,1)),"",IF((AND(RIGHT(G7080,2)=RIGHT('112'!$M$9,2),B7080&lt;'112'!$K$9,$O7080='112'!$I$6)),"x",""))</f>
        <v/>
      </c>
      <c r="W7080" s="79" t="str">
        <f>IF(AND('341-CT'!$H$9=H7080,OR(LEFT(N7080,3)=$W$7,LEFT(O7080,3)=$W$7)),"x","")</f>
        <v/>
      </c>
      <c r="X7080" s="79" t="str">
        <f>IF(OR(TH!N7080=TH!$X$7,O7080=TH!$X$7),"x","")</f>
        <v/>
      </c>
      <c r="Y7080" s="79" t="str">
        <f>IF(AND(OR(N7080="131",O7080="131"),H7080='131-CT'!$H$9),"x","")</f>
        <v/>
      </c>
      <c r="Z7080" s="79"/>
      <c r="AA7080" s="79" t="str">
        <f>IF(AND(MONTH(E7080)='IN-NX'!$J$5,'IN-NX'!$D$7=D7080),"x","")</f>
        <v/>
      </c>
      <c r="AB7080" s="79" t="str">
        <f>IF(AND(OR(LEFT(TH!N7080,2)="15",LEFT(TH!O7080,2)="15"),LEFT(TH!O7080,3)&lt;&gt;"111",'152-CT'!$J$8=TH!F7080),"x","")</f>
        <v/>
      </c>
      <c r="AC7080" s="79" t="str">
        <f>IF(AND(OR(LEFT(TH!N7080,2)="15",LEFT(TH!O7080,2)="15"),TK!$E$7=TH!F7080),"x","")</f>
        <v/>
      </c>
      <c r="AD7080" s="79" t="str">
        <f>IF(AND(N7080="1521",MONTH(C7080)='BK-NL'!$M$11),"x","")</f>
        <v/>
      </c>
    </row>
    <row r="7081" spans="1:30" ht="16.5" customHeight="1">
      <c r="A7081" s="318" t="str">
        <f>IF(B7081&lt;&gt;"",IF(AND(B7081='IN-TC'!$S$4,OR(TH!N7081="1111",TH!O7081="1111")),TH!D7081,""),"")</f>
        <v/>
      </c>
      <c r="B7081" s="1163" t="str">
        <f t="shared" si="531"/>
        <v/>
      </c>
      <c r="C7081" s="61"/>
      <c r="D7081" s="61"/>
      <c r="E7081" s="61"/>
      <c r="F7081" s="446"/>
      <c r="G7081" s="64"/>
      <c r="H7081" s="69"/>
      <c r="I7081" s="385"/>
      <c r="J7081" s="392"/>
      <c r="K7081" s="385"/>
      <c r="L7081" s="933"/>
      <c r="M7081" s="62"/>
      <c r="N7081" s="63"/>
      <c r="O7081" s="63"/>
      <c r="P7081" s="79" t="str">
        <f>IF(AND('331-CT'!$E$7=TH!H7081,OR(N7081="331",O7081="331")),"x","")</f>
        <v/>
      </c>
      <c r="Q7081" s="79" t="str">
        <f>IF(AND(B7081='111'!$L$11,OR($N7081=$Q$7,$O7081=$Q$7)),"x","")</f>
        <v/>
      </c>
      <c r="R7081" s="79" t="str">
        <f>IF(AND($N7081=$Q$7,$B7081&lt;'111'!$L$11),"x","")</f>
        <v/>
      </c>
      <c r="S7081" s="79" t="str">
        <f>IF(AND($O7081=$Q$7,$B7081&lt;'111'!$L$11),"x","")</f>
        <v/>
      </c>
      <c r="T7081" s="79" t="str">
        <f>IF(ISERROR(FIND('112'!$M$9,G7081,1)),"",IF((AND(FIND('112'!$M$9,G7081,1)&gt;=1,B7081='112'!$K$9,OR($N7081='112'!$I$6,$O7081='112'!$I$6))),"x",""))</f>
        <v/>
      </c>
      <c r="U7081" s="79" t="str">
        <f>IF(ISERROR(FIND('112'!$M$9,G7081,1)),"",IF((AND(LEFT(G7081,2)=LEFT('112'!$M$9,2),B7081&lt;'112'!$K$9,$N7081='112'!$I$6)),"x",""))</f>
        <v/>
      </c>
      <c r="V7081" s="79" t="str">
        <f>IF(ISERROR(FIND('112'!$M$9,G7081,1)),"",IF((AND(RIGHT(G7081,2)=RIGHT('112'!$M$9,2),B7081&lt;'112'!$K$9,$O7081='112'!$I$6)),"x",""))</f>
        <v/>
      </c>
      <c r="W7081" s="79" t="str">
        <f>IF(AND('341-CT'!$H$9=H7081,OR(LEFT(N7081,3)=$W$7,LEFT(O7081,3)=$W$7)),"x","")</f>
        <v/>
      </c>
      <c r="X7081" s="79" t="str">
        <f>IF(OR(TH!N7081=TH!$X$7,O7081=TH!$X$7),"x","")</f>
        <v/>
      </c>
      <c r="Y7081" s="79" t="str">
        <f>IF(AND(OR(N7081="131",O7081="131"),H7081='131-CT'!$H$9),"x","")</f>
        <v/>
      </c>
      <c r="Z7081" s="79"/>
      <c r="AA7081" s="79" t="str">
        <f>IF(AND(MONTH(E7081)='IN-NX'!$J$5,'IN-NX'!$D$7=D7081),"x","")</f>
        <v/>
      </c>
      <c r="AB7081" s="79" t="str">
        <f>IF(AND(OR(LEFT(TH!N7081,2)="15",LEFT(TH!O7081,2)="15"),LEFT(TH!O7081,3)&lt;&gt;"111",'152-CT'!$J$8=TH!F7081),"x","")</f>
        <v/>
      </c>
      <c r="AC7081" s="79" t="str">
        <f>IF(AND(OR(LEFT(TH!N7081,2)="15",LEFT(TH!O7081,2)="15"),TK!$E$7=TH!F7081),"x","")</f>
        <v/>
      </c>
      <c r="AD7081" s="79" t="str">
        <f>IF(AND(N7081="1521",MONTH(C7081)='BK-NL'!$M$11),"x","")</f>
        <v/>
      </c>
    </row>
    <row r="7082" spans="1:30" ht="16.5" customHeight="1">
      <c r="A7082" s="318" t="str">
        <f>IF(B7082&lt;&gt;"",IF(AND(B7082='IN-TC'!$S$4,OR(TH!N7082="1111",TH!O7082="1111")),TH!D7082,""),"")</f>
        <v/>
      </c>
      <c r="B7082" s="1163" t="str">
        <f t="shared" si="531"/>
        <v/>
      </c>
      <c r="C7082" s="61"/>
      <c r="D7082" s="61"/>
      <c r="E7082" s="61"/>
      <c r="F7082" s="69"/>
      <c r="G7082" s="766"/>
      <c r="H7082" s="69"/>
      <c r="I7082" s="385"/>
      <c r="J7082" s="392"/>
      <c r="K7082" s="385"/>
      <c r="L7082" s="392"/>
      <c r="M7082" s="62"/>
      <c r="N7082" s="63"/>
      <c r="O7082" s="63"/>
      <c r="P7082" s="79" t="str">
        <f>IF(AND('331-CT'!$E$7=TH!H7082,OR(N7082="331",O7082="331")),"x","")</f>
        <v/>
      </c>
      <c r="Q7082" s="79" t="str">
        <f>IF(AND(B7082='111'!$L$11,OR($N7082=$Q$7,$O7082=$Q$7)),"x","")</f>
        <v/>
      </c>
      <c r="R7082" s="79" t="str">
        <f>IF(AND($N7082=$Q$7,$B7082&lt;'111'!$L$11),"x","")</f>
        <v/>
      </c>
      <c r="S7082" s="79" t="str">
        <f>IF(AND($O7082=$Q$7,$B7082&lt;'111'!$L$11),"x","")</f>
        <v/>
      </c>
      <c r="T7082" s="79" t="str">
        <f>IF(ISERROR(FIND('112'!$M$9,G7082,1)),"",IF((AND(FIND('112'!$M$9,G7082,1)&gt;=1,B7082='112'!$K$9,OR($N7082='112'!$I$6,$O7082='112'!$I$6))),"x",""))</f>
        <v/>
      </c>
      <c r="U7082" s="79" t="str">
        <f>IF(ISERROR(FIND('112'!$M$9,G7082,1)),"",IF((AND(LEFT(G7082,2)=LEFT('112'!$M$9,2),B7082&lt;'112'!$K$9,$N7082='112'!$I$6)),"x",""))</f>
        <v/>
      </c>
      <c r="V7082" s="79" t="str">
        <f>IF(ISERROR(FIND('112'!$M$9,G7082,1)),"",IF((AND(RIGHT(G7082,2)=RIGHT('112'!$M$9,2),B7082&lt;'112'!$K$9,$O7082='112'!$I$6)),"x",""))</f>
        <v/>
      </c>
      <c r="W7082" s="79" t="str">
        <f>IF(AND('341-CT'!$H$9=H7082,OR(LEFT(N7082,3)=$W$7,LEFT(O7082,3)=$W$7)),"x","")</f>
        <v/>
      </c>
      <c r="X7082" s="79" t="str">
        <f>IF(OR(TH!N7082=TH!$X$7,O7082=TH!$X$7),"x","")</f>
        <v/>
      </c>
      <c r="Y7082" s="79" t="str">
        <f>IF(AND(OR(N7082="131",O7082="131"),H7082='131-CT'!$H$9),"x","")</f>
        <v/>
      </c>
      <c r="Z7082" s="79"/>
      <c r="AA7082" s="79" t="str">
        <f>IF(AND(MONTH(E7082)='IN-NX'!$J$5,'IN-NX'!$D$7=D7082),"x","")</f>
        <v/>
      </c>
      <c r="AB7082" s="79" t="str">
        <f>IF(AND(OR(LEFT(TH!N7082,2)="15",LEFT(TH!O7082,2)="15"),LEFT(TH!O7082,3)&lt;&gt;"111",'152-CT'!$J$8=TH!F7082),"x","")</f>
        <v/>
      </c>
      <c r="AC7082" s="79" t="str">
        <f>IF(AND(OR(LEFT(TH!N7082,2)="15",LEFT(TH!O7082,2)="15"),TK!$E$7=TH!F7082),"x","")</f>
        <v/>
      </c>
      <c r="AD7082" s="79" t="str">
        <f>IF(AND(N7082="1521",MONTH(C7082)='BK-NL'!$M$11),"x","")</f>
        <v/>
      </c>
    </row>
    <row r="7083" spans="1:30" ht="16.5" customHeight="1">
      <c r="A7083" s="318" t="str">
        <f>IF(B7083&lt;&gt;"",IF(AND(B7083='IN-TC'!$S$4,OR(TH!N7083="1111",TH!O7083="1111")),TH!D7083,""),"")</f>
        <v/>
      </c>
      <c r="B7083" s="1163" t="str">
        <f t="shared" si="531"/>
        <v/>
      </c>
      <c r="C7083" s="61"/>
      <c r="D7083" s="61"/>
      <c r="E7083" s="61"/>
      <c r="F7083" s="69"/>
      <c r="G7083" s="766"/>
      <c r="H7083" s="69"/>
      <c r="I7083" s="385"/>
      <c r="J7083" s="392"/>
      <c r="K7083" s="385"/>
      <c r="L7083" s="392"/>
      <c r="M7083" s="62"/>
      <c r="N7083" s="63"/>
      <c r="O7083" s="63"/>
      <c r="P7083" s="79" t="str">
        <f>IF(AND('331-CT'!$E$7=TH!H7083,OR(N7083="331",O7083="331")),"x","")</f>
        <v/>
      </c>
      <c r="Q7083" s="79" t="str">
        <f>IF(AND(B7083='111'!$L$11,OR($N7083=$Q$7,$O7083=$Q$7)),"x","")</f>
        <v/>
      </c>
      <c r="R7083" s="79" t="str">
        <f>IF(AND($N7083=$Q$7,$B7083&lt;'111'!$L$11),"x","")</f>
        <v/>
      </c>
      <c r="S7083" s="79" t="str">
        <f>IF(AND($O7083=$Q$7,$B7083&lt;'111'!$L$11),"x","")</f>
        <v/>
      </c>
      <c r="T7083" s="79" t="str">
        <f>IF(ISERROR(FIND('112'!$M$9,G7083,1)),"",IF((AND(FIND('112'!$M$9,G7083,1)&gt;=1,B7083='112'!$K$9,OR($N7083='112'!$I$6,$O7083='112'!$I$6))),"x",""))</f>
        <v/>
      </c>
      <c r="U7083" s="79" t="str">
        <f>IF(ISERROR(FIND('112'!$M$9,G7083,1)),"",IF((AND(LEFT(G7083,2)=LEFT('112'!$M$9,2),B7083&lt;'112'!$K$9,$N7083='112'!$I$6)),"x",""))</f>
        <v/>
      </c>
      <c r="V7083" s="79" t="str">
        <f>IF(ISERROR(FIND('112'!$M$9,G7083,1)),"",IF((AND(RIGHT(G7083,2)=RIGHT('112'!$M$9,2),B7083&lt;'112'!$K$9,$O7083='112'!$I$6)),"x",""))</f>
        <v/>
      </c>
      <c r="W7083" s="79" t="str">
        <f>IF(AND('341-CT'!$H$9=H7083,OR(LEFT(N7083,3)=$W$7,LEFT(O7083,3)=$W$7)),"x","")</f>
        <v/>
      </c>
      <c r="X7083" s="79" t="str">
        <f>IF(OR(TH!N7083=TH!$X$7,O7083=TH!$X$7),"x","")</f>
        <v/>
      </c>
      <c r="Y7083" s="79" t="str">
        <f>IF(AND(OR(N7083="131",O7083="131"),H7083='131-CT'!$H$9),"x","")</f>
        <v/>
      </c>
      <c r="Z7083" s="79"/>
      <c r="AA7083" s="79" t="str">
        <f>IF(AND(MONTH(E7083)='IN-NX'!$J$5,'IN-NX'!$D$7=D7083),"x","")</f>
        <v/>
      </c>
      <c r="AB7083" s="79" t="str">
        <f>IF(AND(OR(LEFT(TH!N7083,2)="15",LEFT(TH!O7083,2)="15"),LEFT(TH!O7083,3)&lt;&gt;"111",'152-CT'!$J$8=TH!F7083),"x","")</f>
        <v/>
      </c>
      <c r="AC7083" s="79" t="str">
        <f>IF(AND(OR(LEFT(TH!N7083,2)="15",LEFT(TH!O7083,2)="15"),TK!$E$7=TH!F7083),"x","")</f>
        <v/>
      </c>
      <c r="AD7083" s="79" t="str">
        <f>IF(AND(N7083="1521",MONTH(C7083)='BK-NL'!$M$11),"x","")</f>
        <v/>
      </c>
    </row>
    <row r="7084" spans="1:30" ht="16.5" customHeight="1">
      <c r="A7084" s="318" t="str">
        <f>IF(B7084&lt;&gt;"",IF(AND(B7084='IN-TC'!$S$4,OR(TH!N7084="1111",TH!O7084="1111")),TH!D7084,""),"")</f>
        <v/>
      </c>
      <c r="B7084" s="1163" t="str">
        <f t="shared" si="531"/>
        <v/>
      </c>
      <c r="C7084" s="61"/>
      <c r="D7084" s="61"/>
      <c r="E7084" s="61"/>
      <c r="F7084" s="69"/>
      <c r="G7084" s="766"/>
      <c r="H7084" s="69"/>
      <c r="I7084" s="385"/>
      <c r="J7084" s="392"/>
      <c r="K7084" s="385"/>
      <c r="L7084" s="392"/>
      <c r="M7084" s="62"/>
      <c r="N7084" s="63"/>
      <c r="O7084" s="63"/>
      <c r="P7084" s="79" t="str">
        <f>IF(AND('331-CT'!$E$7=TH!H7084,OR(N7084="331",O7084="331")),"x","")</f>
        <v/>
      </c>
      <c r="Q7084" s="79" t="str">
        <f>IF(AND(B7084='111'!$L$11,OR($N7084=$Q$7,$O7084=$Q$7)),"x","")</f>
        <v/>
      </c>
      <c r="R7084" s="79" t="str">
        <f>IF(AND($N7084=$Q$7,$B7084&lt;'111'!$L$11),"x","")</f>
        <v/>
      </c>
      <c r="S7084" s="79" t="str">
        <f>IF(AND($O7084=$Q$7,$B7084&lt;'111'!$L$11),"x","")</f>
        <v/>
      </c>
      <c r="T7084" s="79" t="str">
        <f>IF(ISERROR(FIND('112'!$M$9,G7084,1)),"",IF((AND(FIND('112'!$M$9,G7084,1)&gt;=1,B7084='112'!$K$9,OR($N7084='112'!$I$6,$O7084='112'!$I$6))),"x",""))</f>
        <v/>
      </c>
      <c r="U7084" s="79" t="str">
        <f>IF(ISERROR(FIND('112'!$M$9,G7084,1)),"",IF((AND(LEFT(G7084,2)=LEFT('112'!$M$9,2),B7084&lt;'112'!$K$9,$N7084='112'!$I$6)),"x",""))</f>
        <v/>
      </c>
      <c r="V7084" s="79" t="str">
        <f>IF(ISERROR(FIND('112'!$M$9,G7084,1)),"",IF((AND(RIGHT(G7084,2)=RIGHT('112'!$M$9,2),B7084&lt;'112'!$K$9,$O7084='112'!$I$6)),"x",""))</f>
        <v/>
      </c>
      <c r="W7084" s="79" t="str">
        <f>IF(AND('341-CT'!$H$9=H7084,OR(LEFT(N7084,3)=$W$7,LEFT(O7084,3)=$W$7)),"x","")</f>
        <v/>
      </c>
      <c r="X7084" s="79" t="str">
        <f>IF(OR(TH!N7084=TH!$X$7,O7084=TH!$X$7),"x","")</f>
        <v/>
      </c>
      <c r="Y7084" s="79" t="str">
        <f>IF(AND(OR(N7084="131",O7084="131"),H7084='131-CT'!$H$9),"x","")</f>
        <v/>
      </c>
      <c r="Z7084" s="79"/>
      <c r="AA7084" s="79" t="str">
        <f>IF(AND(MONTH(E7084)='IN-NX'!$J$5,'IN-NX'!$D$7=D7084),"x","")</f>
        <v/>
      </c>
      <c r="AB7084" s="79" t="str">
        <f>IF(AND(OR(LEFT(TH!N7084,2)="15",LEFT(TH!O7084,2)="15"),LEFT(TH!O7084,3)&lt;&gt;"111",'152-CT'!$J$8=TH!F7084),"x","")</f>
        <v/>
      </c>
      <c r="AC7084" s="79" t="str">
        <f>IF(AND(OR(LEFT(TH!N7084,2)="15",LEFT(TH!O7084,2)="15"),TK!$E$7=TH!F7084),"x","")</f>
        <v/>
      </c>
      <c r="AD7084" s="79" t="str">
        <f>IF(AND(N7084="1521",MONTH(C7084)='BK-NL'!$M$11),"x","")</f>
        <v/>
      </c>
    </row>
    <row r="7085" spans="1:30" ht="16.5" customHeight="1">
      <c r="A7085" s="318" t="str">
        <f>IF(B7085&lt;&gt;"",IF(AND(B7085='IN-TC'!$S$4,OR(TH!N7085="1111",TH!O7085="1111")),TH!D7085,""),"")</f>
        <v/>
      </c>
      <c r="B7085" s="1163" t="str">
        <f t="shared" si="531"/>
        <v/>
      </c>
      <c r="C7085" s="61"/>
      <c r="D7085" s="61"/>
      <c r="E7085" s="61"/>
      <c r="F7085" s="69"/>
      <c r="G7085" s="766"/>
      <c r="H7085" s="69"/>
      <c r="I7085" s="385"/>
      <c r="J7085" s="392"/>
      <c r="K7085" s="385"/>
      <c r="L7085" s="392"/>
      <c r="M7085" s="62"/>
      <c r="N7085" s="63"/>
      <c r="O7085" s="63"/>
      <c r="P7085" s="79" t="str">
        <f>IF(AND('331-CT'!$E$7=TH!H7085,OR(N7085="331",O7085="331")),"x","")</f>
        <v/>
      </c>
      <c r="Q7085" s="79" t="str">
        <f>IF(AND(B7085='111'!$L$11,OR($N7085=$Q$7,$O7085=$Q$7)),"x","")</f>
        <v/>
      </c>
      <c r="R7085" s="79" t="str">
        <f>IF(AND($N7085=$Q$7,$B7085&lt;'111'!$L$11),"x","")</f>
        <v/>
      </c>
      <c r="S7085" s="79" t="str">
        <f>IF(AND($O7085=$Q$7,$B7085&lt;'111'!$L$11),"x","")</f>
        <v/>
      </c>
      <c r="T7085" s="79" t="str">
        <f>IF(ISERROR(FIND('112'!$M$9,G7085,1)),"",IF((AND(FIND('112'!$M$9,G7085,1)&gt;=1,B7085='112'!$K$9,OR($N7085='112'!$I$6,$O7085='112'!$I$6))),"x",""))</f>
        <v/>
      </c>
      <c r="U7085" s="79" t="str">
        <f>IF(ISERROR(FIND('112'!$M$9,G7085,1)),"",IF((AND(LEFT(G7085,2)=LEFT('112'!$M$9,2),B7085&lt;'112'!$K$9,$N7085='112'!$I$6)),"x",""))</f>
        <v/>
      </c>
      <c r="V7085" s="79" t="str">
        <f>IF(ISERROR(FIND('112'!$M$9,G7085,1)),"",IF((AND(RIGHT(G7085,2)=RIGHT('112'!$M$9,2),B7085&lt;'112'!$K$9,$O7085='112'!$I$6)),"x",""))</f>
        <v/>
      </c>
      <c r="W7085" s="79" t="str">
        <f>IF(AND('341-CT'!$H$9=H7085,OR(LEFT(N7085,3)=$W$7,LEFT(O7085,3)=$W$7)),"x","")</f>
        <v/>
      </c>
      <c r="X7085" s="79" t="str">
        <f>IF(OR(TH!N7085=TH!$X$7,O7085=TH!$X$7),"x","")</f>
        <v/>
      </c>
      <c r="Y7085" s="79" t="str">
        <f>IF(AND(OR(N7085="131",O7085="131"),H7085='131-CT'!$H$9),"x","")</f>
        <v/>
      </c>
      <c r="Z7085" s="79"/>
      <c r="AA7085" s="79" t="str">
        <f>IF(AND(MONTH(E7085)='IN-NX'!$J$5,'IN-NX'!$D$7=D7085),"x","")</f>
        <v/>
      </c>
      <c r="AB7085" s="79" t="str">
        <f>IF(AND(OR(LEFT(TH!N7085,2)="15",LEFT(TH!O7085,2)="15"),LEFT(TH!O7085,3)&lt;&gt;"111",'152-CT'!$J$8=TH!F7085),"x","")</f>
        <v/>
      </c>
      <c r="AC7085" s="79" t="str">
        <f>IF(AND(OR(LEFT(TH!N7085,2)="15",LEFT(TH!O7085,2)="15"),TK!$E$7=TH!F7085),"x","")</f>
        <v/>
      </c>
      <c r="AD7085" s="79" t="str">
        <f>IF(AND(N7085="1521",MONTH(C7085)='BK-NL'!$M$11),"x","")</f>
        <v/>
      </c>
    </row>
    <row r="7086" spans="1:30" ht="16.5" customHeight="1">
      <c r="A7086" s="318" t="str">
        <f>IF(B7086&lt;&gt;"",IF(AND(B7086='IN-TC'!$S$4,OR(TH!N7086="1111",TH!O7086="1111")),TH!D7086,""),"")</f>
        <v/>
      </c>
      <c r="B7086" s="1163" t="str">
        <f t="shared" si="531"/>
        <v/>
      </c>
      <c r="C7086" s="61"/>
      <c r="D7086" s="61"/>
      <c r="E7086" s="61"/>
      <c r="F7086" s="69"/>
      <c r="G7086" s="766"/>
      <c r="H7086" s="69"/>
      <c r="I7086" s="385"/>
      <c r="J7086" s="392"/>
      <c r="K7086" s="385"/>
      <c r="L7086" s="392"/>
      <c r="M7086" s="62"/>
      <c r="N7086" s="63"/>
      <c r="O7086" s="63"/>
      <c r="P7086" s="79" t="str">
        <f>IF(AND('331-CT'!$E$7=TH!H7086,OR(N7086="331",O7086="331")),"x","")</f>
        <v/>
      </c>
      <c r="Q7086" s="79" t="str">
        <f>IF(AND(B7086='111'!$L$11,OR($N7086=$Q$7,$O7086=$Q$7)),"x","")</f>
        <v/>
      </c>
      <c r="R7086" s="79" t="str">
        <f>IF(AND($N7086=$Q$7,$B7086&lt;'111'!$L$11),"x","")</f>
        <v/>
      </c>
      <c r="S7086" s="79" t="str">
        <f>IF(AND($O7086=$Q$7,$B7086&lt;'111'!$L$11),"x","")</f>
        <v/>
      </c>
      <c r="T7086" s="79" t="str">
        <f>IF(ISERROR(FIND('112'!$M$9,G7086,1)),"",IF((AND(FIND('112'!$M$9,G7086,1)&gt;=1,B7086='112'!$K$9,OR($N7086='112'!$I$6,$O7086='112'!$I$6))),"x",""))</f>
        <v/>
      </c>
      <c r="U7086" s="79" t="str">
        <f>IF(ISERROR(FIND('112'!$M$9,G7086,1)),"",IF((AND(LEFT(G7086,2)=LEFT('112'!$M$9,2),B7086&lt;'112'!$K$9,$N7086='112'!$I$6)),"x",""))</f>
        <v/>
      </c>
      <c r="V7086" s="79" t="str">
        <f>IF(ISERROR(FIND('112'!$M$9,G7086,1)),"",IF((AND(RIGHT(G7086,2)=RIGHT('112'!$M$9,2),B7086&lt;'112'!$K$9,$O7086='112'!$I$6)),"x",""))</f>
        <v/>
      </c>
      <c r="W7086" s="79" t="str">
        <f>IF(AND('341-CT'!$H$9=H7086,OR(LEFT(N7086,3)=$W$7,LEFT(O7086,3)=$W$7)),"x","")</f>
        <v/>
      </c>
      <c r="X7086" s="79" t="str">
        <f>IF(OR(TH!N7086=TH!$X$7,O7086=TH!$X$7),"x","")</f>
        <v/>
      </c>
      <c r="Y7086" s="79" t="str">
        <f>IF(AND(OR(N7086="131",O7086="131"),H7086='131-CT'!$H$9),"x","")</f>
        <v/>
      </c>
      <c r="Z7086" s="79"/>
      <c r="AA7086" s="79" t="str">
        <f>IF(AND(MONTH(E7086)='IN-NX'!$J$5,'IN-NX'!$D$7=D7086),"x","")</f>
        <v/>
      </c>
      <c r="AB7086" s="79" t="str">
        <f>IF(AND(OR(LEFT(TH!N7086,2)="15",LEFT(TH!O7086,2)="15"),LEFT(TH!O7086,3)&lt;&gt;"111",'152-CT'!$J$8=TH!F7086),"x","")</f>
        <v/>
      </c>
      <c r="AC7086" s="79" t="str">
        <f>IF(AND(OR(LEFT(TH!N7086,2)="15",LEFT(TH!O7086,2)="15"),TK!$E$7=TH!F7086),"x","")</f>
        <v/>
      </c>
      <c r="AD7086" s="79" t="str">
        <f>IF(AND(N7086="1521",MONTH(C7086)='BK-NL'!$M$11),"x","")</f>
        <v/>
      </c>
    </row>
    <row r="7087" spans="1:30" ht="16.5" customHeight="1">
      <c r="A7087" s="318" t="str">
        <f>IF(B7087&lt;&gt;"",IF(AND(B7087='IN-TC'!$S$4,OR(TH!N7087="1111",TH!O7087="1111")),TH!D7087,""),"")</f>
        <v/>
      </c>
      <c r="B7087" s="1163" t="str">
        <f t="shared" si="531"/>
        <v/>
      </c>
      <c r="C7087" s="61"/>
      <c r="D7087" s="61"/>
      <c r="E7087" s="61"/>
      <c r="F7087" s="69"/>
      <c r="G7087" s="766"/>
      <c r="H7087" s="69"/>
      <c r="I7087" s="385"/>
      <c r="J7087" s="392"/>
      <c r="K7087" s="385"/>
      <c r="L7087" s="392"/>
      <c r="M7087" s="62"/>
      <c r="N7087" s="63"/>
      <c r="O7087" s="63"/>
      <c r="P7087" s="79" t="str">
        <f>IF(AND('331-CT'!$E$7=TH!H7087,OR(N7087="331",O7087="331")),"x","")</f>
        <v/>
      </c>
      <c r="Q7087" s="79" t="str">
        <f>IF(AND(B7087='111'!$L$11,OR($N7087=$Q$7,$O7087=$Q$7)),"x","")</f>
        <v/>
      </c>
      <c r="R7087" s="79" t="str">
        <f>IF(AND($N7087=$Q$7,$B7087&lt;'111'!$L$11),"x","")</f>
        <v/>
      </c>
      <c r="S7087" s="79" t="str">
        <f>IF(AND($O7087=$Q$7,$B7087&lt;'111'!$L$11),"x","")</f>
        <v/>
      </c>
      <c r="T7087" s="79" t="str">
        <f>IF(ISERROR(FIND('112'!$M$9,G7087,1)),"",IF((AND(FIND('112'!$M$9,G7087,1)&gt;=1,B7087='112'!$K$9,OR($N7087='112'!$I$6,$O7087='112'!$I$6))),"x",""))</f>
        <v/>
      </c>
      <c r="U7087" s="79" t="str">
        <f>IF(ISERROR(FIND('112'!$M$9,G7087,1)),"",IF((AND(LEFT(G7087,2)=LEFT('112'!$M$9,2),B7087&lt;'112'!$K$9,$N7087='112'!$I$6)),"x",""))</f>
        <v/>
      </c>
      <c r="V7087" s="79" t="str">
        <f>IF(ISERROR(FIND('112'!$M$9,G7087,1)),"",IF((AND(RIGHT(G7087,2)=RIGHT('112'!$M$9,2),B7087&lt;'112'!$K$9,$O7087='112'!$I$6)),"x",""))</f>
        <v/>
      </c>
      <c r="W7087" s="79" t="str">
        <f>IF(AND('341-CT'!$H$9=H7087,OR(LEFT(N7087,3)=$W$7,LEFT(O7087,3)=$W$7)),"x","")</f>
        <v/>
      </c>
      <c r="X7087" s="79" t="str">
        <f>IF(OR(TH!N7087=TH!$X$7,O7087=TH!$X$7),"x","")</f>
        <v/>
      </c>
      <c r="Y7087" s="79" t="str">
        <f>IF(AND(OR(N7087="131",O7087="131"),H7087='131-CT'!$H$9),"x","")</f>
        <v/>
      </c>
      <c r="Z7087" s="79"/>
      <c r="AA7087" s="79" t="str">
        <f>IF(AND(MONTH(E7087)='IN-NX'!$J$5,'IN-NX'!$D$7=D7087),"x","")</f>
        <v/>
      </c>
      <c r="AB7087" s="79" t="str">
        <f>IF(AND(OR(LEFT(TH!N7087,2)="15",LEFT(TH!O7087,2)="15"),LEFT(TH!O7087,3)&lt;&gt;"111",'152-CT'!$J$8=TH!F7087),"x","")</f>
        <v/>
      </c>
      <c r="AC7087" s="79" t="str">
        <f>IF(AND(OR(LEFT(TH!N7087,2)="15",LEFT(TH!O7087,2)="15"),TK!$E$7=TH!F7087),"x","")</f>
        <v/>
      </c>
      <c r="AD7087" s="79" t="str">
        <f>IF(AND(N7087="1521",MONTH(C7087)='BK-NL'!$M$11),"x","")</f>
        <v/>
      </c>
    </row>
    <row r="7088" spans="1:30" ht="16.5" customHeight="1">
      <c r="A7088" s="318" t="str">
        <f>IF(B7088&lt;&gt;"",IF(AND(B7088='IN-TC'!$S$4,OR(TH!N7088="1111",TH!O7088="1111")),TH!D7088,""),"")</f>
        <v/>
      </c>
      <c r="B7088" s="1163" t="str">
        <f t="shared" si="531"/>
        <v/>
      </c>
      <c r="C7088" s="61"/>
      <c r="D7088" s="61"/>
      <c r="E7088" s="61"/>
      <c r="F7088" s="446"/>
      <c r="G7088" s="64"/>
      <c r="H7088" s="69"/>
      <c r="I7088" s="385"/>
      <c r="J7088" s="392"/>
      <c r="K7088" s="385"/>
      <c r="L7088" s="933"/>
      <c r="M7088" s="62"/>
      <c r="N7088" s="63"/>
      <c r="O7088" s="63"/>
      <c r="P7088" s="79" t="str">
        <f>IF(AND('331-CT'!$E$7=TH!H7088,OR(N7088="331",O7088="331")),"x","")</f>
        <v/>
      </c>
      <c r="Q7088" s="79" t="str">
        <f>IF(AND(B7088='111'!$L$11,OR($N7088=$Q$7,$O7088=$Q$7)),"x","")</f>
        <v/>
      </c>
      <c r="R7088" s="79" t="str">
        <f>IF(AND($N7088=$Q$7,$B7088&lt;'111'!$L$11),"x","")</f>
        <v/>
      </c>
      <c r="S7088" s="79" t="str">
        <f>IF(AND($O7088=$Q$7,$B7088&lt;'111'!$L$11),"x","")</f>
        <v/>
      </c>
      <c r="T7088" s="79" t="str">
        <f>IF(ISERROR(FIND('112'!$M$9,G7088,1)),"",IF((AND(FIND('112'!$M$9,G7088,1)&gt;=1,B7088='112'!$K$9,OR($N7088='112'!$I$6,$O7088='112'!$I$6))),"x",""))</f>
        <v/>
      </c>
      <c r="U7088" s="79" t="str">
        <f>IF(ISERROR(FIND('112'!$M$9,G7088,1)),"",IF((AND(LEFT(G7088,2)=LEFT('112'!$M$9,2),B7088&lt;'112'!$K$9,$N7088='112'!$I$6)),"x",""))</f>
        <v/>
      </c>
      <c r="V7088" s="79" t="str">
        <f>IF(ISERROR(FIND('112'!$M$9,G7088,1)),"",IF((AND(RIGHT(G7088,2)=RIGHT('112'!$M$9,2),B7088&lt;'112'!$K$9,$O7088='112'!$I$6)),"x",""))</f>
        <v/>
      </c>
      <c r="W7088" s="79" t="str">
        <f>IF(AND('341-CT'!$H$9=H7088,OR(LEFT(N7088,3)=$W$7,LEFT(O7088,3)=$W$7)),"x","")</f>
        <v/>
      </c>
      <c r="X7088" s="79" t="str">
        <f>IF(OR(TH!N7088=TH!$X$7,O7088=TH!$X$7),"x","")</f>
        <v/>
      </c>
      <c r="Y7088" s="79" t="str">
        <f>IF(AND(OR(N7088="131",O7088="131"),H7088='131-CT'!$H$9),"x","")</f>
        <v/>
      </c>
      <c r="Z7088" s="79"/>
      <c r="AA7088" s="79" t="str">
        <f>IF(AND(MONTH(E7088)='IN-NX'!$J$5,'IN-NX'!$D$7=D7088),"x","")</f>
        <v/>
      </c>
      <c r="AB7088" s="79" t="str">
        <f>IF(AND(OR(LEFT(TH!N7088,2)="15",LEFT(TH!O7088,2)="15"),LEFT(TH!O7088,3)&lt;&gt;"111",'152-CT'!$J$8=TH!F7088),"x","")</f>
        <v/>
      </c>
      <c r="AC7088" s="79" t="str">
        <f>IF(AND(OR(LEFT(TH!N7088,2)="15",LEFT(TH!O7088,2)="15"),TK!$E$7=TH!F7088),"x","")</f>
        <v/>
      </c>
      <c r="AD7088" s="79" t="str">
        <f>IF(AND(N7088="1521",MONTH(C7088)='BK-NL'!$M$11),"x","")</f>
        <v/>
      </c>
    </row>
    <row r="7089" spans="1:30" ht="16.5" customHeight="1">
      <c r="A7089" s="318" t="str">
        <f>IF(B7089&lt;&gt;"",IF(AND(B7089='IN-TC'!$S$4,OR(TH!N7089="1111",TH!O7089="1111")),TH!D7089,""),"")</f>
        <v/>
      </c>
      <c r="B7089" s="1163" t="str">
        <f t="shared" si="531"/>
        <v/>
      </c>
      <c r="C7089" s="61"/>
      <c r="D7089" s="61"/>
      <c r="E7089" s="61"/>
      <c r="F7089" s="446"/>
      <c r="G7089" s="64"/>
      <c r="H7089" s="69"/>
      <c r="I7089" s="385"/>
      <c r="J7089" s="392"/>
      <c r="K7089" s="385"/>
      <c r="L7089" s="933"/>
      <c r="M7089" s="62"/>
      <c r="N7089" s="63"/>
      <c r="O7089" s="63"/>
      <c r="P7089" s="79" t="str">
        <f>IF(AND('331-CT'!$E$7=TH!H7089,OR(N7089="331",O7089="331")),"x","")</f>
        <v/>
      </c>
      <c r="Q7089" s="79" t="str">
        <f>IF(AND(B7089='111'!$L$11,OR($N7089=$Q$7,$O7089=$Q$7)),"x","")</f>
        <v/>
      </c>
      <c r="R7089" s="79" t="str">
        <f>IF(AND($N7089=$Q$7,$B7089&lt;'111'!$L$11),"x","")</f>
        <v/>
      </c>
      <c r="S7089" s="79" t="str">
        <f>IF(AND($O7089=$Q$7,$B7089&lt;'111'!$L$11),"x","")</f>
        <v/>
      </c>
      <c r="T7089" s="79" t="str">
        <f>IF(ISERROR(FIND('112'!$M$9,G7089,1)),"",IF((AND(FIND('112'!$M$9,G7089,1)&gt;=1,B7089='112'!$K$9,OR($N7089='112'!$I$6,$O7089='112'!$I$6))),"x",""))</f>
        <v/>
      </c>
      <c r="U7089" s="79" t="str">
        <f>IF(ISERROR(FIND('112'!$M$9,G7089,1)),"",IF((AND(LEFT(G7089,2)=LEFT('112'!$M$9,2),B7089&lt;'112'!$K$9,$N7089='112'!$I$6)),"x",""))</f>
        <v/>
      </c>
      <c r="V7089" s="79" t="str">
        <f>IF(ISERROR(FIND('112'!$M$9,G7089,1)),"",IF((AND(RIGHT(G7089,2)=RIGHT('112'!$M$9,2),B7089&lt;'112'!$K$9,$O7089='112'!$I$6)),"x",""))</f>
        <v/>
      </c>
      <c r="W7089" s="79" t="str">
        <f>IF(AND('341-CT'!$H$9=H7089,OR(LEFT(N7089,3)=$W$7,LEFT(O7089,3)=$W$7)),"x","")</f>
        <v/>
      </c>
      <c r="X7089" s="79" t="str">
        <f>IF(OR(TH!N7089=TH!$X$7,O7089=TH!$X$7),"x","")</f>
        <v/>
      </c>
      <c r="Y7089" s="79" t="str">
        <f>IF(AND(OR(N7089="131",O7089="131"),H7089='131-CT'!$H$9),"x","")</f>
        <v/>
      </c>
      <c r="Z7089" s="79"/>
      <c r="AA7089" s="79" t="str">
        <f>IF(AND(MONTH(E7089)='IN-NX'!$J$5,'IN-NX'!$D$7=D7089),"x","")</f>
        <v/>
      </c>
      <c r="AB7089" s="79" t="str">
        <f>IF(AND(OR(LEFT(TH!N7089,2)="15",LEFT(TH!O7089,2)="15"),LEFT(TH!O7089,3)&lt;&gt;"111",'152-CT'!$J$8=TH!F7089),"x","")</f>
        <v/>
      </c>
      <c r="AC7089" s="79" t="str">
        <f>IF(AND(OR(LEFT(TH!N7089,2)="15",LEFT(TH!O7089,2)="15"),TK!$E$7=TH!F7089),"x","")</f>
        <v/>
      </c>
      <c r="AD7089" s="79" t="str">
        <f>IF(AND(N7089="1521",MONTH(C7089)='BK-NL'!$M$11),"x","")</f>
        <v/>
      </c>
    </row>
    <row r="7090" spans="1:30" ht="16.5" customHeight="1">
      <c r="A7090" s="318" t="str">
        <f>IF(B7090&lt;&gt;"",IF(AND(B7090='IN-TC'!$S$4,OR(TH!N7090="1111",TH!O7090="1111")),TH!D7090,""),"")</f>
        <v/>
      </c>
      <c r="B7090" s="1163" t="str">
        <f t="shared" si="531"/>
        <v/>
      </c>
      <c r="C7090" s="61"/>
      <c r="D7090" s="61"/>
      <c r="E7090" s="61"/>
      <c r="F7090" s="69"/>
      <c r="G7090" s="766"/>
      <c r="H7090" s="69"/>
      <c r="I7090" s="385"/>
      <c r="J7090" s="392"/>
      <c r="K7090" s="385"/>
      <c r="L7090" s="392"/>
      <c r="M7090" s="62"/>
      <c r="N7090" s="63"/>
      <c r="O7090" s="63"/>
      <c r="P7090" s="79" t="str">
        <f>IF(AND('331-CT'!$E$7=TH!H7090,OR(N7090="331",O7090="331")),"x","")</f>
        <v/>
      </c>
      <c r="Q7090" s="79" t="str">
        <f>IF(AND(B7090='111'!$L$11,OR($N7090=$Q$7,$O7090=$Q$7)),"x","")</f>
        <v/>
      </c>
      <c r="R7090" s="79" t="str">
        <f>IF(AND($N7090=$Q$7,$B7090&lt;'111'!$L$11),"x","")</f>
        <v/>
      </c>
      <c r="S7090" s="79" t="str">
        <f>IF(AND($O7090=$Q$7,$B7090&lt;'111'!$L$11),"x","")</f>
        <v/>
      </c>
      <c r="T7090" s="79" t="str">
        <f>IF(ISERROR(FIND('112'!$M$9,G7090,1)),"",IF((AND(FIND('112'!$M$9,G7090,1)&gt;=1,B7090='112'!$K$9,OR($N7090='112'!$I$6,$O7090='112'!$I$6))),"x",""))</f>
        <v/>
      </c>
      <c r="U7090" s="79" t="str">
        <f>IF(ISERROR(FIND('112'!$M$9,G7090,1)),"",IF((AND(LEFT(G7090,2)=LEFT('112'!$M$9,2),B7090&lt;'112'!$K$9,$N7090='112'!$I$6)),"x",""))</f>
        <v/>
      </c>
      <c r="V7090" s="79" t="str">
        <f>IF(ISERROR(FIND('112'!$M$9,G7090,1)),"",IF((AND(RIGHT(G7090,2)=RIGHT('112'!$M$9,2),B7090&lt;'112'!$K$9,$O7090='112'!$I$6)),"x",""))</f>
        <v/>
      </c>
      <c r="W7090" s="79" t="str">
        <f>IF(AND('341-CT'!$H$9=H7090,OR(LEFT(N7090,3)=$W$7,LEFT(O7090,3)=$W$7)),"x","")</f>
        <v/>
      </c>
      <c r="X7090" s="79" t="str">
        <f>IF(OR(TH!N7090=TH!$X$7,O7090=TH!$X$7),"x","")</f>
        <v/>
      </c>
      <c r="Y7090" s="79" t="str">
        <f>IF(AND(OR(N7090="131",O7090="131"),H7090='131-CT'!$H$9),"x","")</f>
        <v/>
      </c>
      <c r="Z7090" s="79"/>
      <c r="AA7090" s="79" t="str">
        <f>IF(AND(MONTH(E7090)='IN-NX'!$J$5,'IN-NX'!$D$7=D7090),"x","")</f>
        <v/>
      </c>
      <c r="AB7090" s="79" t="str">
        <f>IF(AND(OR(LEFT(TH!N7090,2)="15",LEFT(TH!O7090,2)="15"),LEFT(TH!O7090,3)&lt;&gt;"111",'152-CT'!$J$8=TH!F7090),"x","")</f>
        <v/>
      </c>
      <c r="AC7090" s="79" t="str">
        <f>IF(AND(OR(LEFT(TH!N7090,2)="15",LEFT(TH!O7090,2)="15"),TK!$E$7=TH!F7090),"x","")</f>
        <v/>
      </c>
      <c r="AD7090" s="79" t="str">
        <f>IF(AND(N7090="1521",MONTH(C7090)='BK-NL'!$M$11),"x","")</f>
        <v/>
      </c>
    </row>
    <row r="7091" spans="1:30" ht="16.5" customHeight="1">
      <c r="A7091" s="318" t="str">
        <f>IF(B7091&lt;&gt;"",IF(AND(B7091='IN-TC'!$S$4,OR(TH!N7091="1111",TH!O7091="1111")),TH!D7091,""),"")</f>
        <v/>
      </c>
      <c r="B7091" s="1163" t="str">
        <f t="shared" si="531"/>
        <v/>
      </c>
      <c r="C7091" s="61"/>
      <c r="D7091" s="61"/>
      <c r="E7091" s="61"/>
      <c r="F7091" s="69"/>
      <c r="G7091" s="766"/>
      <c r="H7091" s="69"/>
      <c r="I7091" s="385"/>
      <c r="J7091" s="392"/>
      <c r="K7091" s="385"/>
      <c r="L7091" s="392"/>
      <c r="M7091" s="62"/>
      <c r="N7091" s="63"/>
      <c r="O7091" s="63"/>
      <c r="P7091" s="79" t="str">
        <f>IF(AND('331-CT'!$E$7=TH!H7091,OR(N7091="331",O7091="331")),"x","")</f>
        <v/>
      </c>
      <c r="Q7091" s="79" t="str">
        <f>IF(AND(B7091='111'!$L$11,OR($N7091=$Q$7,$O7091=$Q$7)),"x","")</f>
        <v/>
      </c>
      <c r="R7091" s="79" t="str">
        <f>IF(AND($N7091=$Q$7,$B7091&lt;'111'!$L$11),"x","")</f>
        <v/>
      </c>
      <c r="S7091" s="79" t="str">
        <f>IF(AND($O7091=$Q$7,$B7091&lt;'111'!$L$11),"x","")</f>
        <v/>
      </c>
      <c r="T7091" s="79" t="str">
        <f>IF(ISERROR(FIND('112'!$M$9,G7091,1)),"",IF((AND(FIND('112'!$M$9,G7091,1)&gt;=1,B7091='112'!$K$9,OR($N7091='112'!$I$6,$O7091='112'!$I$6))),"x",""))</f>
        <v/>
      </c>
      <c r="U7091" s="79" t="str">
        <f>IF(ISERROR(FIND('112'!$M$9,G7091,1)),"",IF((AND(LEFT(G7091,2)=LEFT('112'!$M$9,2),B7091&lt;'112'!$K$9,$N7091='112'!$I$6)),"x",""))</f>
        <v/>
      </c>
      <c r="V7091" s="79" t="str">
        <f>IF(ISERROR(FIND('112'!$M$9,G7091,1)),"",IF((AND(RIGHT(G7091,2)=RIGHT('112'!$M$9,2),B7091&lt;'112'!$K$9,$O7091='112'!$I$6)),"x",""))</f>
        <v/>
      </c>
      <c r="W7091" s="79" t="str">
        <f>IF(AND('341-CT'!$H$9=H7091,OR(LEFT(N7091,3)=$W$7,LEFT(O7091,3)=$W$7)),"x","")</f>
        <v/>
      </c>
      <c r="X7091" s="79" t="str">
        <f>IF(OR(TH!N7091=TH!$X$7,O7091=TH!$X$7),"x","")</f>
        <v/>
      </c>
      <c r="Y7091" s="79" t="str">
        <f>IF(AND(OR(N7091="131",O7091="131"),H7091='131-CT'!$H$9),"x","")</f>
        <v/>
      </c>
      <c r="Z7091" s="79"/>
      <c r="AA7091" s="79" t="str">
        <f>IF(AND(MONTH(E7091)='IN-NX'!$J$5,'IN-NX'!$D$7=D7091),"x","")</f>
        <v/>
      </c>
      <c r="AB7091" s="79" t="str">
        <f>IF(AND(OR(LEFT(TH!N7091,2)="15",LEFT(TH!O7091,2)="15"),LEFT(TH!O7091,3)&lt;&gt;"111",'152-CT'!$J$8=TH!F7091),"x","")</f>
        <v/>
      </c>
      <c r="AC7091" s="79" t="str">
        <f>IF(AND(OR(LEFT(TH!N7091,2)="15",LEFT(TH!O7091,2)="15"),TK!$E$7=TH!F7091),"x","")</f>
        <v/>
      </c>
      <c r="AD7091" s="79" t="str">
        <f>IF(AND(N7091="1521",MONTH(C7091)='BK-NL'!$M$11),"x","")</f>
        <v/>
      </c>
    </row>
    <row r="7092" spans="1:30" ht="16.5" customHeight="1">
      <c r="A7092" s="318" t="str">
        <f>IF(B7092&lt;&gt;"",IF(AND(B7092='IN-TC'!$S$4,OR(TH!N7092="1111",TH!O7092="1111")),TH!D7092,""),"")</f>
        <v/>
      </c>
      <c r="B7092" s="1163" t="str">
        <f t="shared" si="531"/>
        <v/>
      </c>
      <c r="C7092" s="61"/>
      <c r="D7092" s="61"/>
      <c r="E7092" s="61"/>
      <c r="F7092" s="69"/>
      <c r="G7092" s="766"/>
      <c r="H7092" s="69"/>
      <c r="I7092" s="385"/>
      <c r="J7092" s="392"/>
      <c r="K7092" s="385"/>
      <c r="L7092" s="392"/>
      <c r="M7092" s="62"/>
      <c r="N7092" s="63"/>
      <c r="O7092" s="63"/>
      <c r="P7092" s="79" t="str">
        <f>IF(AND('331-CT'!$E$7=TH!H7092,OR(N7092="331",O7092="331")),"x","")</f>
        <v/>
      </c>
      <c r="Q7092" s="79" t="str">
        <f>IF(AND(B7092='111'!$L$11,OR($N7092=$Q$7,$O7092=$Q$7)),"x","")</f>
        <v/>
      </c>
      <c r="R7092" s="79" t="str">
        <f>IF(AND($N7092=$Q$7,$B7092&lt;'111'!$L$11),"x","")</f>
        <v/>
      </c>
      <c r="S7092" s="79" t="str">
        <f>IF(AND($O7092=$Q$7,$B7092&lt;'111'!$L$11),"x","")</f>
        <v/>
      </c>
      <c r="T7092" s="79" t="str">
        <f>IF(ISERROR(FIND('112'!$M$9,G7092,1)),"",IF((AND(FIND('112'!$M$9,G7092,1)&gt;=1,B7092='112'!$K$9,OR($N7092='112'!$I$6,$O7092='112'!$I$6))),"x",""))</f>
        <v/>
      </c>
      <c r="U7092" s="79" t="str">
        <f>IF(ISERROR(FIND('112'!$M$9,G7092,1)),"",IF((AND(LEFT(G7092,2)=LEFT('112'!$M$9,2),B7092&lt;'112'!$K$9,$N7092='112'!$I$6)),"x",""))</f>
        <v/>
      </c>
      <c r="V7092" s="79" t="str">
        <f>IF(ISERROR(FIND('112'!$M$9,G7092,1)),"",IF((AND(RIGHT(G7092,2)=RIGHT('112'!$M$9,2),B7092&lt;'112'!$K$9,$O7092='112'!$I$6)),"x",""))</f>
        <v/>
      </c>
      <c r="W7092" s="79" t="str">
        <f>IF(AND('341-CT'!$H$9=H7092,OR(LEFT(N7092,3)=$W$7,LEFT(O7092,3)=$W$7)),"x","")</f>
        <v/>
      </c>
      <c r="X7092" s="79" t="str">
        <f>IF(OR(TH!N7092=TH!$X$7,O7092=TH!$X$7),"x","")</f>
        <v/>
      </c>
      <c r="Y7092" s="79" t="str">
        <f>IF(AND(OR(N7092="131",O7092="131"),H7092='131-CT'!$H$9),"x","")</f>
        <v/>
      </c>
      <c r="Z7092" s="79"/>
      <c r="AA7092" s="79" t="str">
        <f>IF(AND(MONTH(E7092)='IN-NX'!$J$5,'IN-NX'!$D$7=D7092),"x","")</f>
        <v/>
      </c>
      <c r="AB7092" s="79" t="str">
        <f>IF(AND(OR(LEFT(TH!N7092,2)="15",LEFT(TH!O7092,2)="15"),LEFT(TH!O7092,3)&lt;&gt;"111",'152-CT'!$J$8=TH!F7092),"x","")</f>
        <v/>
      </c>
      <c r="AC7092" s="79" t="str">
        <f>IF(AND(OR(LEFT(TH!N7092,2)="15",LEFT(TH!O7092,2)="15"),TK!$E$7=TH!F7092),"x","")</f>
        <v/>
      </c>
      <c r="AD7092" s="79" t="str">
        <f>IF(AND(N7092="1521",MONTH(C7092)='BK-NL'!$M$11),"x","")</f>
        <v/>
      </c>
    </row>
    <row r="7093" spans="1:30" ht="16.5" customHeight="1">
      <c r="A7093" s="318" t="str">
        <f>IF(B7093&lt;&gt;"",IF(AND(B7093='IN-TC'!$S$4,OR(TH!N7093="1111",TH!O7093="1111")),TH!D7093,""),"")</f>
        <v/>
      </c>
      <c r="B7093" s="1163" t="str">
        <f t="shared" si="531"/>
        <v/>
      </c>
      <c r="C7093" s="61"/>
      <c r="D7093" s="61"/>
      <c r="E7093" s="61"/>
      <c r="F7093" s="69"/>
      <c r="G7093" s="766"/>
      <c r="H7093" s="69"/>
      <c r="I7093" s="385"/>
      <c r="J7093" s="392"/>
      <c r="K7093" s="385"/>
      <c r="L7093" s="392"/>
      <c r="M7093" s="62"/>
      <c r="N7093" s="63"/>
      <c r="O7093" s="63"/>
      <c r="P7093" s="79" t="str">
        <f>IF(AND('331-CT'!$E$7=TH!H7093,OR(N7093="331",O7093="331")),"x","")</f>
        <v/>
      </c>
      <c r="Q7093" s="79" t="str">
        <f>IF(AND(B7093='111'!$L$11,OR($N7093=$Q$7,$O7093=$Q$7)),"x","")</f>
        <v/>
      </c>
      <c r="R7093" s="79" t="str">
        <f>IF(AND($N7093=$Q$7,$B7093&lt;'111'!$L$11),"x","")</f>
        <v/>
      </c>
      <c r="S7093" s="79" t="str">
        <f>IF(AND($O7093=$Q$7,$B7093&lt;'111'!$L$11),"x","")</f>
        <v/>
      </c>
      <c r="T7093" s="79" t="str">
        <f>IF(ISERROR(FIND('112'!$M$9,G7093,1)),"",IF((AND(FIND('112'!$M$9,G7093,1)&gt;=1,B7093='112'!$K$9,OR($N7093='112'!$I$6,$O7093='112'!$I$6))),"x",""))</f>
        <v/>
      </c>
      <c r="U7093" s="79" t="str">
        <f>IF(ISERROR(FIND('112'!$M$9,G7093,1)),"",IF((AND(LEFT(G7093,2)=LEFT('112'!$M$9,2),B7093&lt;'112'!$K$9,$N7093='112'!$I$6)),"x",""))</f>
        <v/>
      </c>
      <c r="V7093" s="79" t="str">
        <f>IF(ISERROR(FIND('112'!$M$9,G7093,1)),"",IF((AND(RIGHT(G7093,2)=RIGHT('112'!$M$9,2),B7093&lt;'112'!$K$9,$O7093='112'!$I$6)),"x",""))</f>
        <v/>
      </c>
      <c r="W7093" s="79" t="str">
        <f>IF(AND('341-CT'!$H$9=H7093,OR(LEFT(N7093,3)=$W$7,LEFT(O7093,3)=$W$7)),"x","")</f>
        <v/>
      </c>
      <c r="X7093" s="79" t="str">
        <f>IF(OR(TH!N7093=TH!$X$7,O7093=TH!$X$7),"x","")</f>
        <v/>
      </c>
      <c r="Y7093" s="79" t="str">
        <f>IF(AND(OR(N7093="131",O7093="131"),H7093='131-CT'!$H$9),"x","")</f>
        <v/>
      </c>
      <c r="Z7093" s="79"/>
      <c r="AA7093" s="79" t="str">
        <f>IF(AND(MONTH(E7093)='IN-NX'!$J$5,'IN-NX'!$D$7=D7093),"x","")</f>
        <v/>
      </c>
      <c r="AB7093" s="79" t="str">
        <f>IF(AND(OR(LEFT(TH!N7093,2)="15",LEFT(TH!O7093,2)="15"),LEFT(TH!O7093,3)&lt;&gt;"111",'152-CT'!$J$8=TH!F7093),"x","")</f>
        <v/>
      </c>
      <c r="AC7093" s="79" t="str">
        <f>IF(AND(OR(LEFT(TH!N7093,2)="15",LEFT(TH!O7093,2)="15"),TK!$E$7=TH!F7093),"x","")</f>
        <v/>
      </c>
      <c r="AD7093" s="79" t="str">
        <f>IF(AND(N7093="1521",MONTH(C7093)='BK-NL'!$M$11),"x","")</f>
        <v/>
      </c>
    </row>
    <row r="7094" spans="1:30" ht="16.5" customHeight="1">
      <c r="A7094" s="318" t="str">
        <f>IF(B7094&lt;&gt;"",IF(AND(B7094='IN-TC'!$S$4,OR(TH!N7094="1111",TH!O7094="1111")),TH!D7094,""),"")</f>
        <v/>
      </c>
      <c r="B7094" s="1163" t="str">
        <f t="shared" si="531"/>
        <v/>
      </c>
      <c r="C7094" s="61"/>
      <c r="D7094" s="61"/>
      <c r="E7094" s="61"/>
      <c r="F7094" s="446"/>
      <c r="G7094" s="64"/>
      <c r="H7094" s="69"/>
      <c r="I7094" s="385"/>
      <c r="J7094" s="392"/>
      <c r="K7094" s="385"/>
      <c r="L7094" s="933"/>
      <c r="M7094" s="62"/>
      <c r="N7094" s="63"/>
      <c r="O7094" s="63"/>
      <c r="P7094" s="79" t="str">
        <f>IF(AND('331-CT'!$E$7=TH!H7094,OR(N7094="331",O7094="331")),"x","")</f>
        <v/>
      </c>
      <c r="Q7094" s="79" t="str">
        <f>IF(AND(B7094='111'!$L$11,OR($N7094=$Q$7,$O7094=$Q$7)),"x","")</f>
        <v/>
      </c>
      <c r="R7094" s="79" t="str">
        <f>IF(AND($N7094=$Q$7,$B7094&lt;'111'!$L$11),"x","")</f>
        <v/>
      </c>
      <c r="S7094" s="79" t="str">
        <f>IF(AND($O7094=$Q$7,$B7094&lt;'111'!$L$11),"x","")</f>
        <v/>
      </c>
      <c r="T7094" s="79" t="str">
        <f>IF(ISERROR(FIND('112'!$M$9,G7094,1)),"",IF((AND(FIND('112'!$M$9,G7094,1)&gt;=1,B7094='112'!$K$9,OR($N7094='112'!$I$6,$O7094='112'!$I$6))),"x",""))</f>
        <v/>
      </c>
      <c r="U7094" s="79" t="str">
        <f>IF(ISERROR(FIND('112'!$M$9,G7094,1)),"",IF((AND(LEFT(G7094,2)=LEFT('112'!$M$9,2),B7094&lt;'112'!$K$9,$N7094='112'!$I$6)),"x",""))</f>
        <v/>
      </c>
      <c r="V7094" s="79" t="str">
        <f>IF(ISERROR(FIND('112'!$M$9,G7094,1)),"",IF((AND(RIGHT(G7094,2)=RIGHT('112'!$M$9,2),B7094&lt;'112'!$K$9,$O7094='112'!$I$6)),"x",""))</f>
        <v/>
      </c>
      <c r="W7094" s="79" t="str">
        <f>IF(AND('341-CT'!$H$9=H7094,OR(LEFT(N7094,3)=$W$7,LEFT(O7094,3)=$W$7)),"x","")</f>
        <v/>
      </c>
      <c r="X7094" s="79" t="str">
        <f>IF(OR(TH!N7094=TH!$X$7,O7094=TH!$X$7),"x","")</f>
        <v/>
      </c>
      <c r="Y7094" s="79" t="str">
        <f>IF(AND(OR(N7094="131",O7094="131"),H7094='131-CT'!$H$9),"x","")</f>
        <v/>
      </c>
      <c r="Z7094" s="79"/>
      <c r="AA7094" s="79" t="str">
        <f>IF(AND(MONTH(E7094)='IN-NX'!$J$5,'IN-NX'!$D$7=D7094),"x","")</f>
        <v/>
      </c>
      <c r="AB7094" s="79" t="str">
        <f>IF(AND(OR(LEFT(TH!N7094,2)="15",LEFT(TH!O7094,2)="15"),LEFT(TH!O7094,3)&lt;&gt;"111",'152-CT'!$J$8=TH!F7094),"x","")</f>
        <v/>
      </c>
      <c r="AC7094" s="79" t="str">
        <f>IF(AND(OR(LEFT(TH!N7094,2)="15",LEFT(TH!O7094,2)="15"),TK!$E$7=TH!F7094),"x","")</f>
        <v/>
      </c>
      <c r="AD7094" s="79" t="str">
        <f>IF(AND(N7094="1521",MONTH(C7094)='BK-NL'!$M$11),"x","")</f>
        <v/>
      </c>
    </row>
    <row r="7095" spans="1:30" ht="16.5" customHeight="1">
      <c r="A7095" s="318" t="str">
        <f>IF(B7095&lt;&gt;"",IF(AND(B7095='IN-TC'!$S$4,OR(TH!N7095="1111",TH!O7095="1111")),TH!D7095,""),"")</f>
        <v/>
      </c>
      <c r="B7095" s="1163" t="str">
        <f t="shared" si="531"/>
        <v/>
      </c>
      <c r="C7095" s="61"/>
      <c r="D7095" s="61"/>
      <c r="E7095" s="61"/>
      <c r="F7095" s="446"/>
      <c r="G7095" s="64"/>
      <c r="H7095" s="69"/>
      <c r="I7095" s="385"/>
      <c r="J7095" s="392"/>
      <c r="K7095" s="385"/>
      <c r="L7095" s="933"/>
      <c r="M7095" s="62"/>
      <c r="N7095" s="63"/>
      <c r="O7095" s="63"/>
      <c r="P7095" s="79" t="str">
        <f>IF(AND('331-CT'!$E$7=TH!H7095,OR(N7095="331",O7095="331")),"x","")</f>
        <v/>
      </c>
      <c r="Q7095" s="79" t="str">
        <f>IF(AND(B7095='111'!$L$11,OR($N7095=$Q$7,$O7095=$Q$7)),"x","")</f>
        <v/>
      </c>
      <c r="R7095" s="79" t="str">
        <f>IF(AND($N7095=$Q$7,$B7095&lt;'111'!$L$11),"x","")</f>
        <v/>
      </c>
      <c r="S7095" s="79" t="str">
        <f>IF(AND($O7095=$Q$7,$B7095&lt;'111'!$L$11),"x","")</f>
        <v/>
      </c>
      <c r="T7095" s="79" t="str">
        <f>IF(ISERROR(FIND('112'!$M$9,G7095,1)),"",IF((AND(FIND('112'!$M$9,G7095,1)&gt;=1,B7095='112'!$K$9,OR($N7095='112'!$I$6,$O7095='112'!$I$6))),"x",""))</f>
        <v/>
      </c>
      <c r="U7095" s="79" t="str">
        <f>IF(ISERROR(FIND('112'!$M$9,G7095,1)),"",IF((AND(LEFT(G7095,2)=LEFT('112'!$M$9,2),B7095&lt;'112'!$K$9,$N7095='112'!$I$6)),"x",""))</f>
        <v/>
      </c>
      <c r="V7095" s="79" t="str">
        <f>IF(ISERROR(FIND('112'!$M$9,G7095,1)),"",IF((AND(RIGHT(G7095,2)=RIGHT('112'!$M$9,2),B7095&lt;'112'!$K$9,$O7095='112'!$I$6)),"x",""))</f>
        <v/>
      </c>
      <c r="W7095" s="79" t="str">
        <f>IF(AND('341-CT'!$H$9=H7095,OR(LEFT(N7095,3)=$W$7,LEFT(O7095,3)=$W$7)),"x","")</f>
        <v/>
      </c>
      <c r="X7095" s="79" t="str">
        <f>IF(OR(TH!N7095=TH!$X$7,O7095=TH!$X$7),"x","")</f>
        <v/>
      </c>
      <c r="Y7095" s="79" t="str">
        <f>IF(AND(OR(N7095="131",O7095="131"),H7095='131-CT'!$H$9),"x","")</f>
        <v/>
      </c>
      <c r="Z7095" s="79"/>
      <c r="AA7095" s="79" t="str">
        <f>IF(AND(MONTH(E7095)='IN-NX'!$J$5,'IN-NX'!$D$7=D7095),"x","")</f>
        <v/>
      </c>
      <c r="AB7095" s="79" t="str">
        <f>IF(AND(OR(LEFT(TH!N7095,2)="15",LEFT(TH!O7095,2)="15"),LEFT(TH!O7095,3)&lt;&gt;"111",'152-CT'!$J$8=TH!F7095),"x","")</f>
        <v/>
      </c>
      <c r="AC7095" s="79" t="str">
        <f>IF(AND(OR(LEFT(TH!N7095,2)="15",LEFT(TH!O7095,2)="15"),TK!$E$7=TH!F7095),"x","")</f>
        <v/>
      </c>
      <c r="AD7095" s="79" t="str">
        <f>IF(AND(N7095="1521",MONTH(C7095)='BK-NL'!$M$11),"x","")</f>
        <v/>
      </c>
    </row>
    <row r="7096" spans="1:30" ht="16.5" customHeight="1">
      <c r="A7096" s="318" t="str">
        <f>IF(B7096&lt;&gt;"",IF(AND(B7096='IN-TC'!$S$4,OR(TH!N7096="1111",TH!O7096="1111")),TH!D7096,""),"")</f>
        <v/>
      </c>
      <c r="B7096" s="1163" t="str">
        <f t="shared" si="531"/>
        <v/>
      </c>
      <c r="C7096" s="61"/>
      <c r="D7096" s="61"/>
      <c r="E7096" s="61"/>
      <c r="F7096" s="69"/>
      <c r="G7096" s="766"/>
      <c r="H7096" s="69"/>
      <c r="I7096" s="385"/>
      <c r="J7096" s="392"/>
      <c r="K7096" s="385"/>
      <c r="L7096" s="392"/>
      <c r="M7096" s="62"/>
      <c r="N7096" s="63"/>
      <c r="O7096" s="63"/>
      <c r="P7096" s="79" t="str">
        <f>IF(AND('331-CT'!$E$7=TH!H7096,OR(N7096="331",O7096="331")),"x","")</f>
        <v/>
      </c>
      <c r="Q7096" s="79" t="str">
        <f>IF(AND(B7096='111'!$L$11,OR($N7096=$Q$7,$O7096=$Q$7)),"x","")</f>
        <v/>
      </c>
      <c r="R7096" s="79" t="str">
        <f>IF(AND($N7096=$Q$7,$B7096&lt;'111'!$L$11),"x","")</f>
        <v/>
      </c>
      <c r="S7096" s="79" t="str">
        <f>IF(AND($O7096=$Q$7,$B7096&lt;'111'!$L$11),"x","")</f>
        <v/>
      </c>
      <c r="T7096" s="79" t="str">
        <f>IF(ISERROR(FIND('112'!$M$9,G7096,1)),"",IF((AND(FIND('112'!$M$9,G7096,1)&gt;=1,B7096='112'!$K$9,OR($N7096='112'!$I$6,$O7096='112'!$I$6))),"x",""))</f>
        <v/>
      </c>
      <c r="U7096" s="79" t="str">
        <f>IF(ISERROR(FIND('112'!$M$9,G7096,1)),"",IF((AND(LEFT(G7096,2)=LEFT('112'!$M$9,2),B7096&lt;'112'!$K$9,$N7096='112'!$I$6)),"x",""))</f>
        <v/>
      </c>
      <c r="V7096" s="79" t="str">
        <f>IF(ISERROR(FIND('112'!$M$9,G7096,1)),"",IF((AND(RIGHT(G7096,2)=RIGHT('112'!$M$9,2),B7096&lt;'112'!$K$9,$O7096='112'!$I$6)),"x",""))</f>
        <v/>
      </c>
      <c r="W7096" s="79" t="str">
        <f>IF(AND('341-CT'!$H$9=H7096,OR(LEFT(N7096,3)=$W$7,LEFT(O7096,3)=$W$7)),"x","")</f>
        <v/>
      </c>
      <c r="X7096" s="79" t="str">
        <f>IF(OR(TH!N7096=TH!$X$7,O7096=TH!$X$7),"x","")</f>
        <v/>
      </c>
      <c r="Y7096" s="79" t="str">
        <f>IF(AND(OR(N7096="131",O7096="131"),H7096='131-CT'!$H$9),"x","")</f>
        <v/>
      </c>
      <c r="Z7096" s="79"/>
      <c r="AA7096" s="79" t="str">
        <f>IF(AND(MONTH(E7096)='IN-NX'!$J$5,'IN-NX'!$D$7=D7096),"x","")</f>
        <v/>
      </c>
      <c r="AB7096" s="79" t="str">
        <f>IF(AND(OR(LEFT(TH!N7096,2)="15",LEFT(TH!O7096,2)="15"),LEFT(TH!O7096,3)&lt;&gt;"111",'152-CT'!$J$8=TH!F7096),"x","")</f>
        <v/>
      </c>
      <c r="AC7096" s="79" t="str">
        <f>IF(AND(OR(LEFT(TH!N7096,2)="15",LEFT(TH!O7096,2)="15"),TK!$E$7=TH!F7096),"x","")</f>
        <v/>
      </c>
      <c r="AD7096" s="79" t="str">
        <f>IF(AND(N7096="1521",MONTH(C7096)='BK-NL'!$M$11),"x","")</f>
        <v/>
      </c>
    </row>
    <row r="7097" spans="1:30" ht="16.5" customHeight="1">
      <c r="A7097" s="318" t="str">
        <f>IF(B7097&lt;&gt;"",IF(AND(B7097='IN-TC'!$S$4,OR(TH!N7097="1111",TH!O7097="1111")),TH!D7097,""),"")</f>
        <v/>
      </c>
      <c r="B7097" s="1163" t="str">
        <f t="shared" si="531"/>
        <v/>
      </c>
      <c r="C7097" s="61"/>
      <c r="D7097" s="61"/>
      <c r="E7097" s="61"/>
      <c r="F7097" s="69"/>
      <c r="G7097" s="766"/>
      <c r="H7097" s="69"/>
      <c r="I7097" s="385"/>
      <c r="J7097" s="392"/>
      <c r="K7097" s="385"/>
      <c r="L7097" s="392"/>
      <c r="M7097" s="62"/>
      <c r="N7097" s="63"/>
      <c r="O7097" s="63"/>
      <c r="P7097" s="79" t="str">
        <f>IF(AND('331-CT'!$E$7=TH!H7097,OR(N7097="331",O7097="331")),"x","")</f>
        <v/>
      </c>
      <c r="Q7097" s="79" t="str">
        <f>IF(AND(B7097='111'!$L$11,OR($N7097=$Q$7,$O7097=$Q$7)),"x","")</f>
        <v/>
      </c>
      <c r="R7097" s="79" t="str">
        <f>IF(AND($N7097=$Q$7,$B7097&lt;'111'!$L$11),"x","")</f>
        <v/>
      </c>
      <c r="S7097" s="79" t="str">
        <f>IF(AND($O7097=$Q$7,$B7097&lt;'111'!$L$11),"x","")</f>
        <v/>
      </c>
      <c r="T7097" s="79" t="str">
        <f>IF(ISERROR(FIND('112'!$M$9,G7097,1)),"",IF((AND(FIND('112'!$M$9,G7097,1)&gt;=1,B7097='112'!$K$9,OR($N7097='112'!$I$6,$O7097='112'!$I$6))),"x",""))</f>
        <v/>
      </c>
      <c r="U7097" s="79" t="str">
        <f>IF(ISERROR(FIND('112'!$M$9,G7097,1)),"",IF((AND(LEFT(G7097,2)=LEFT('112'!$M$9,2),B7097&lt;'112'!$K$9,$N7097='112'!$I$6)),"x",""))</f>
        <v/>
      </c>
      <c r="V7097" s="79" t="str">
        <f>IF(ISERROR(FIND('112'!$M$9,G7097,1)),"",IF((AND(RIGHT(G7097,2)=RIGHT('112'!$M$9,2),B7097&lt;'112'!$K$9,$O7097='112'!$I$6)),"x",""))</f>
        <v/>
      </c>
      <c r="W7097" s="79" t="str">
        <f>IF(AND('341-CT'!$H$9=H7097,OR(LEFT(N7097,3)=$W$7,LEFT(O7097,3)=$W$7)),"x","")</f>
        <v/>
      </c>
      <c r="X7097" s="79" t="str">
        <f>IF(OR(TH!N7097=TH!$X$7,O7097=TH!$X$7),"x","")</f>
        <v/>
      </c>
      <c r="Y7097" s="79" t="str">
        <f>IF(AND(OR(N7097="131",O7097="131"),H7097='131-CT'!$H$9),"x","")</f>
        <v/>
      </c>
      <c r="Z7097" s="79"/>
      <c r="AA7097" s="79" t="str">
        <f>IF(AND(MONTH(E7097)='IN-NX'!$J$5,'IN-NX'!$D$7=D7097),"x","")</f>
        <v/>
      </c>
      <c r="AB7097" s="79" t="str">
        <f>IF(AND(OR(LEFT(TH!N7097,2)="15",LEFT(TH!O7097,2)="15"),LEFT(TH!O7097,3)&lt;&gt;"111",'152-CT'!$J$8=TH!F7097),"x","")</f>
        <v/>
      </c>
      <c r="AC7097" s="79" t="str">
        <f>IF(AND(OR(LEFT(TH!N7097,2)="15",LEFT(TH!O7097,2)="15"),TK!$E$7=TH!F7097),"x","")</f>
        <v/>
      </c>
      <c r="AD7097" s="79" t="str">
        <f>IF(AND(N7097="1521",MONTH(C7097)='BK-NL'!$M$11),"x","")</f>
        <v/>
      </c>
    </row>
    <row r="7098" spans="1:30" ht="16.5" customHeight="1">
      <c r="A7098" s="318" t="str">
        <f>IF(B7098&lt;&gt;"",IF(AND(B7098='IN-TC'!$S$4,OR(TH!N7098="1111",TH!O7098="1111")),TH!D7098,""),"")</f>
        <v/>
      </c>
      <c r="B7098" s="1163" t="str">
        <f t="shared" si="531"/>
        <v/>
      </c>
      <c r="C7098" s="61"/>
      <c r="D7098" s="61"/>
      <c r="E7098" s="61"/>
      <c r="F7098" s="69"/>
      <c r="G7098" s="766"/>
      <c r="H7098" s="69"/>
      <c r="I7098" s="385"/>
      <c r="J7098" s="392"/>
      <c r="K7098" s="385"/>
      <c r="L7098" s="392"/>
      <c r="M7098" s="62"/>
      <c r="N7098" s="63"/>
      <c r="O7098" s="63"/>
      <c r="P7098" s="79" t="str">
        <f>IF(AND('331-CT'!$E$7=TH!H7098,OR(N7098="331",O7098="331")),"x","")</f>
        <v/>
      </c>
      <c r="Q7098" s="79" t="str">
        <f>IF(AND(B7098='111'!$L$11,OR($N7098=$Q$7,$O7098=$Q$7)),"x","")</f>
        <v/>
      </c>
      <c r="R7098" s="79" t="str">
        <f>IF(AND($N7098=$Q$7,$B7098&lt;'111'!$L$11),"x","")</f>
        <v/>
      </c>
      <c r="S7098" s="79" t="str">
        <f>IF(AND($O7098=$Q$7,$B7098&lt;'111'!$L$11),"x","")</f>
        <v/>
      </c>
      <c r="T7098" s="79" t="str">
        <f>IF(ISERROR(FIND('112'!$M$9,G7098,1)),"",IF((AND(FIND('112'!$M$9,G7098,1)&gt;=1,B7098='112'!$K$9,OR($N7098='112'!$I$6,$O7098='112'!$I$6))),"x",""))</f>
        <v/>
      </c>
      <c r="U7098" s="79" t="str">
        <f>IF(ISERROR(FIND('112'!$M$9,G7098,1)),"",IF((AND(LEFT(G7098,2)=LEFT('112'!$M$9,2),B7098&lt;'112'!$K$9,$N7098='112'!$I$6)),"x",""))</f>
        <v/>
      </c>
      <c r="V7098" s="79" t="str">
        <f>IF(ISERROR(FIND('112'!$M$9,G7098,1)),"",IF((AND(RIGHT(G7098,2)=RIGHT('112'!$M$9,2),B7098&lt;'112'!$K$9,$O7098='112'!$I$6)),"x",""))</f>
        <v/>
      </c>
      <c r="W7098" s="79" t="str">
        <f>IF(AND('341-CT'!$H$9=H7098,OR(LEFT(N7098,3)=$W$7,LEFT(O7098,3)=$W$7)),"x","")</f>
        <v/>
      </c>
      <c r="X7098" s="79" t="str">
        <f>IF(OR(TH!N7098=TH!$X$7,O7098=TH!$X$7),"x","")</f>
        <v/>
      </c>
      <c r="Y7098" s="79" t="str">
        <f>IF(AND(OR(N7098="131",O7098="131"),H7098='131-CT'!$H$9),"x","")</f>
        <v/>
      </c>
      <c r="Z7098" s="79"/>
      <c r="AA7098" s="79" t="str">
        <f>IF(AND(MONTH(E7098)='IN-NX'!$J$5,'IN-NX'!$D$7=D7098),"x","")</f>
        <v/>
      </c>
      <c r="AB7098" s="79" t="str">
        <f>IF(AND(OR(LEFT(TH!N7098,2)="15",LEFT(TH!O7098,2)="15"),LEFT(TH!O7098,3)&lt;&gt;"111",'152-CT'!$J$8=TH!F7098),"x","")</f>
        <v/>
      </c>
      <c r="AC7098" s="79" t="str">
        <f>IF(AND(OR(LEFT(TH!N7098,2)="15",LEFT(TH!O7098,2)="15"),TK!$E$7=TH!F7098),"x","")</f>
        <v/>
      </c>
      <c r="AD7098" s="79" t="str">
        <f>IF(AND(N7098="1521",MONTH(C7098)='BK-NL'!$M$11),"x","")</f>
        <v/>
      </c>
    </row>
    <row r="7099" spans="1:30" ht="16.5" customHeight="1">
      <c r="A7099" s="318" t="str">
        <f>IF(B7099&lt;&gt;"",IF(AND(B7099='IN-TC'!$S$4,OR(TH!N7099="1111",TH!O7099="1111")),TH!D7099,""),"")</f>
        <v/>
      </c>
      <c r="B7099" s="1163" t="str">
        <f t="shared" si="531"/>
        <v/>
      </c>
      <c r="C7099" s="61"/>
      <c r="D7099" s="61"/>
      <c r="E7099" s="61"/>
      <c r="F7099" s="69"/>
      <c r="G7099" s="766"/>
      <c r="H7099" s="69"/>
      <c r="I7099" s="385"/>
      <c r="J7099" s="392"/>
      <c r="K7099" s="385"/>
      <c r="L7099" s="392"/>
      <c r="M7099" s="62"/>
      <c r="N7099" s="63"/>
      <c r="O7099" s="63"/>
      <c r="P7099" s="79" t="str">
        <f>IF(AND('331-CT'!$E$7=TH!H7099,OR(N7099="331",O7099="331")),"x","")</f>
        <v/>
      </c>
      <c r="Q7099" s="79" t="str">
        <f>IF(AND(B7099='111'!$L$11,OR($N7099=$Q$7,$O7099=$Q$7)),"x","")</f>
        <v/>
      </c>
      <c r="R7099" s="79" t="str">
        <f>IF(AND($N7099=$Q$7,$B7099&lt;'111'!$L$11),"x","")</f>
        <v/>
      </c>
      <c r="S7099" s="79" t="str">
        <f>IF(AND($O7099=$Q$7,$B7099&lt;'111'!$L$11),"x","")</f>
        <v/>
      </c>
      <c r="T7099" s="79" t="str">
        <f>IF(ISERROR(FIND('112'!$M$9,G7099,1)),"",IF((AND(FIND('112'!$M$9,G7099,1)&gt;=1,B7099='112'!$K$9,OR($N7099='112'!$I$6,$O7099='112'!$I$6))),"x",""))</f>
        <v/>
      </c>
      <c r="U7099" s="79" t="str">
        <f>IF(ISERROR(FIND('112'!$M$9,G7099,1)),"",IF((AND(LEFT(G7099,2)=LEFT('112'!$M$9,2),B7099&lt;'112'!$K$9,$N7099='112'!$I$6)),"x",""))</f>
        <v/>
      </c>
      <c r="V7099" s="79" t="str">
        <f>IF(ISERROR(FIND('112'!$M$9,G7099,1)),"",IF((AND(RIGHT(G7099,2)=RIGHT('112'!$M$9,2),B7099&lt;'112'!$K$9,$O7099='112'!$I$6)),"x",""))</f>
        <v/>
      </c>
      <c r="W7099" s="79" t="str">
        <f>IF(AND('341-CT'!$H$9=H7099,OR(LEFT(N7099,3)=$W$7,LEFT(O7099,3)=$W$7)),"x","")</f>
        <v/>
      </c>
      <c r="X7099" s="79" t="str">
        <f>IF(OR(TH!N7099=TH!$X$7,O7099=TH!$X$7),"x","")</f>
        <v/>
      </c>
      <c r="Y7099" s="79" t="str">
        <f>IF(AND(OR(N7099="131",O7099="131"),H7099='131-CT'!$H$9),"x","")</f>
        <v/>
      </c>
      <c r="Z7099" s="79"/>
      <c r="AA7099" s="79" t="str">
        <f>IF(AND(MONTH(E7099)='IN-NX'!$J$5,'IN-NX'!$D$7=D7099),"x","")</f>
        <v/>
      </c>
      <c r="AB7099" s="79" t="str">
        <f>IF(AND(OR(LEFT(TH!N7099,2)="15",LEFT(TH!O7099,2)="15"),LEFT(TH!O7099,3)&lt;&gt;"111",'152-CT'!$J$8=TH!F7099),"x","")</f>
        <v/>
      </c>
      <c r="AC7099" s="79" t="str">
        <f>IF(AND(OR(LEFT(TH!N7099,2)="15",LEFT(TH!O7099,2)="15"),TK!$E$7=TH!F7099),"x","")</f>
        <v/>
      </c>
      <c r="AD7099" s="79" t="str">
        <f>IF(AND(N7099="1521",MONTH(C7099)='BK-NL'!$M$11),"x","")</f>
        <v/>
      </c>
    </row>
    <row r="7100" spans="1:30" ht="16.5" customHeight="1">
      <c r="A7100" s="318" t="str">
        <f>IF(B7100&lt;&gt;"",IF(AND(B7100='IN-TC'!$S$4,OR(TH!N7100="1111",TH!O7100="1111")),TH!D7100,""),"")</f>
        <v/>
      </c>
      <c r="B7100" s="1163" t="str">
        <f t="shared" si="531"/>
        <v/>
      </c>
      <c r="C7100" s="61"/>
      <c r="D7100" s="61"/>
      <c r="E7100" s="61"/>
      <c r="F7100" s="69"/>
      <c r="G7100" s="766"/>
      <c r="H7100" s="69"/>
      <c r="I7100" s="385"/>
      <c r="J7100" s="392"/>
      <c r="K7100" s="385"/>
      <c r="L7100" s="392"/>
      <c r="M7100" s="62"/>
      <c r="N7100" s="63"/>
      <c r="O7100" s="63"/>
      <c r="P7100" s="79" t="str">
        <f>IF(AND('331-CT'!$E$7=TH!H7100,OR(N7100="331",O7100="331")),"x","")</f>
        <v/>
      </c>
      <c r="Q7100" s="79" t="str">
        <f>IF(AND(B7100='111'!$L$11,OR($N7100=$Q$7,$O7100=$Q$7)),"x","")</f>
        <v/>
      </c>
      <c r="R7100" s="79" t="str">
        <f>IF(AND($N7100=$Q$7,$B7100&lt;'111'!$L$11),"x","")</f>
        <v/>
      </c>
      <c r="S7100" s="79" t="str">
        <f>IF(AND($O7100=$Q$7,$B7100&lt;'111'!$L$11),"x","")</f>
        <v/>
      </c>
      <c r="T7100" s="79" t="str">
        <f>IF(ISERROR(FIND('112'!$M$9,G7100,1)),"",IF((AND(FIND('112'!$M$9,G7100,1)&gt;=1,B7100='112'!$K$9,OR($N7100='112'!$I$6,$O7100='112'!$I$6))),"x",""))</f>
        <v/>
      </c>
      <c r="U7100" s="79" t="str">
        <f>IF(ISERROR(FIND('112'!$M$9,G7100,1)),"",IF((AND(LEFT(G7100,2)=LEFT('112'!$M$9,2),B7100&lt;'112'!$K$9,$N7100='112'!$I$6)),"x",""))</f>
        <v/>
      </c>
      <c r="V7100" s="79" t="str">
        <f>IF(ISERROR(FIND('112'!$M$9,G7100,1)),"",IF((AND(RIGHT(G7100,2)=RIGHT('112'!$M$9,2),B7100&lt;'112'!$K$9,$O7100='112'!$I$6)),"x",""))</f>
        <v/>
      </c>
      <c r="W7100" s="79" t="str">
        <f>IF(AND('341-CT'!$H$9=H7100,OR(LEFT(N7100,3)=$W$7,LEFT(O7100,3)=$W$7)),"x","")</f>
        <v/>
      </c>
      <c r="X7100" s="79" t="str">
        <f>IF(OR(TH!N7100=TH!$X$7,O7100=TH!$X$7),"x","")</f>
        <v/>
      </c>
      <c r="Y7100" s="79" t="str">
        <f>IF(AND(OR(N7100="131",O7100="131"),H7100='131-CT'!$H$9),"x","")</f>
        <v/>
      </c>
      <c r="Z7100" s="79"/>
      <c r="AA7100" s="79" t="str">
        <f>IF(AND(MONTH(E7100)='IN-NX'!$J$5,'IN-NX'!$D$7=D7100),"x","")</f>
        <v/>
      </c>
      <c r="AB7100" s="79" t="str">
        <f>IF(AND(OR(LEFT(TH!N7100,2)="15",LEFT(TH!O7100,2)="15"),LEFT(TH!O7100,3)&lt;&gt;"111",'152-CT'!$J$8=TH!F7100),"x","")</f>
        <v/>
      </c>
      <c r="AC7100" s="79" t="str">
        <f>IF(AND(OR(LEFT(TH!N7100,2)="15",LEFT(TH!O7100,2)="15"),TK!$E$7=TH!F7100),"x","")</f>
        <v/>
      </c>
      <c r="AD7100" s="79" t="str">
        <f>IF(AND(N7100="1521",MONTH(C7100)='BK-NL'!$M$11),"x","")</f>
        <v/>
      </c>
    </row>
    <row r="7101" spans="1:30" ht="16.5" customHeight="1">
      <c r="A7101" s="318" t="str">
        <f>IF(B7101&lt;&gt;"",IF(AND(B7101='IN-TC'!$S$4,OR(TH!N7101="1111",TH!O7101="1111")),TH!D7101,""),"")</f>
        <v/>
      </c>
      <c r="B7101" s="1163" t="str">
        <f t="shared" si="531"/>
        <v/>
      </c>
      <c r="C7101" s="61"/>
      <c r="D7101" s="61"/>
      <c r="E7101" s="61"/>
      <c r="F7101" s="69"/>
      <c r="G7101" s="766"/>
      <c r="H7101" s="69"/>
      <c r="I7101" s="385"/>
      <c r="J7101" s="392"/>
      <c r="K7101" s="385"/>
      <c r="L7101" s="392"/>
      <c r="M7101" s="62"/>
      <c r="N7101" s="63"/>
      <c r="O7101" s="63"/>
      <c r="P7101" s="79" t="str">
        <f>IF(AND('331-CT'!$E$7=TH!H7101,OR(N7101="331",O7101="331")),"x","")</f>
        <v/>
      </c>
      <c r="Q7101" s="79" t="str">
        <f>IF(AND(B7101='111'!$L$11,OR($N7101=$Q$7,$O7101=$Q$7)),"x","")</f>
        <v/>
      </c>
      <c r="R7101" s="79" t="str">
        <f>IF(AND($N7101=$Q$7,$B7101&lt;'111'!$L$11),"x","")</f>
        <v/>
      </c>
      <c r="S7101" s="79" t="str">
        <f>IF(AND($O7101=$Q$7,$B7101&lt;'111'!$L$11),"x","")</f>
        <v/>
      </c>
      <c r="T7101" s="79" t="str">
        <f>IF(ISERROR(FIND('112'!$M$9,G7101,1)),"",IF((AND(FIND('112'!$M$9,G7101,1)&gt;=1,B7101='112'!$K$9,OR($N7101='112'!$I$6,$O7101='112'!$I$6))),"x",""))</f>
        <v/>
      </c>
      <c r="U7101" s="79" t="str">
        <f>IF(ISERROR(FIND('112'!$M$9,G7101,1)),"",IF((AND(LEFT(G7101,2)=LEFT('112'!$M$9,2),B7101&lt;'112'!$K$9,$N7101='112'!$I$6)),"x",""))</f>
        <v/>
      </c>
      <c r="V7101" s="79" t="str">
        <f>IF(ISERROR(FIND('112'!$M$9,G7101,1)),"",IF((AND(RIGHT(G7101,2)=RIGHT('112'!$M$9,2),B7101&lt;'112'!$K$9,$O7101='112'!$I$6)),"x",""))</f>
        <v/>
      </c>
      <c r="W7101" s="79" t="str">
        <f>IF(AND('341-CT'!$H$9=H7101,OR(LEFT(N7101,3)=$W$7,LEFT(O7101,3)=$W$7)),"x","")</f>
        <v/>
      </c>
      <c r="X7101" s="79" t="str">
        <f>IF(OR(TH!N7101=TH!$X$7,O7101=TH!$X$7),"x","")</f>
        <v/>
      </c>
      <c r="Y7101" s="79" t="str">
        <f>IF(AND(OR(N7101="131",O7101="131"),H7101='131-CT'!$H$9),"x","")</f>
        <v/>
      </c>
      <c r="Z7101" s="79"/>
      <c r="AA7101" s="79" t="str">
        <f>IF(AND(MONTH(E7101)='IN-NX'!$J$5,'IN-NX'!$D$7=D7101),"x","")</f>
        <v/>
      </c>
      <c r="AB7101" s="79" t="str">
        <f>IF(AND(OR(LEFT(TH!N7101,2)="15",LEFT(TH!O7101,2)="15"),LEFT(TH!O7101,3)&lt;&gt;"111",'152-CT'!$J$8=TH!F7101),"x","")</f>
        <v/>
      </c>
      <c r="AC7101" s="79" t="str">
        <f>IF(AND(OR(LEFT(TH!N7101,2)="15",LEFT(TH!O7101,2)="15"),TK!$E$7=TH!F7101),"x","")</f>
        <v/>
      </c>
      <c r="AD7101" s="79" t="str">
        <f>IF(AND(N7101="1521",MONTH(C7101)='BK-NL'!$M$11),"x","")</f>
        <v/>
      </c>
    </row>
    <row r="7102" spans="1:30" ht="16.5" customHeight="1">
      <c r="A7102" s="318" t="str">
        <f>IF(B7102&lt;&gt;"",IF(AND(B7102='IN-TC'!$S$4,OR(TH!N7102="1111",TH!O7102="1111")),TH!D7102,""),"")</f>
        <v/>
      </c>
      <c r="B7102" s="1163" t="str">
        <f t="shared" si="531"/>
        <v/>
      </c>
      <c r="C7102" s="61"/>
      <c r="D7102" s="61"/>
      <c r="E7102" s="61"/>
      <c r="F7102" s="69"/>
      <c r="G7102" s="64"/>
      <c r="H7102" s="69"/>
      <c r="I7102" s="385"/>
      <c r="J7102" s="392"/>
      <c r="K7102" s="385"/>
      <c r="L7102" s="392"/>
      <c r="M7102" s="62"/>
      <c r="N7102" s="63"/>
      <c r="O7102" s="63"/>
      <c r="P7102" s="79" t="str">
        <f>IF(AND('331-CT'!$E$7=TH!H7102,OR(N7102="331",O7102="331")),"x","")</f>
        <v/>
      </c>
      <c r="Q7102" s="79" t="str">
        <f>IF(AND(B7102='111'!$L$11,OR($N7102=$Q$7,$O7102=$Q$7)),"x","")</f>
        <v/>
      </c>
      <c r="R7102" s="79" t="str">
        <f>IF(AND($N7102=$Q$7,$B7102&lt;'111'!$L$11),"x","")</f>
        <v/>
      </c>
      <c r="S7102" s="79" t="str">
        <f>IF(AND($O7102=$Q$7,$B7102&lt;'111'!$L$11),"x","")</f>
        <v/>
      </c>
      <c r="T7102" s="79" t="str">
        <f>IF(ISERROR(FIND('112'!$M$9,G7102,1)),"",IF((AND(FIND('112'!$M$9,G7102,1)&gt;=1,B7102='112'!$K$9,OR($N7102='112'!$I$6,$O7102='112'!$I$6))),"x",""))</f>
        <v/>
      </c>
      <c r="U7102" s="79" t="str">
        <f>IF(ISERROR(FIND('112'!$M$9,G7102,1)),"",IF((AND(LEFT(G7102,2)=LEFT('112'!$M$9,2),B7102&lt;'112'!$K$9,$N7102='112'!$I$6)),"x",""))</f>
        <v/>
      </c>
      <c r="V7102" s="79" t="str">
        <f>IF(ISERROR(FIND('112'!$M$9,G7102,1)),"",IF((AND(RIGHT(G7102,2)=RIGHT('112'!$M$9,2),B7102&lt;'112'!$K$9,$O7102='112'!$I$6)),"x",""))</f>
        <v/>
      </c>
      <c r="W7102" s="79" t="str">
        <f>IF(AND('341-CT'!$H$9=H7102,OR(LEFT(N7102,3)=$W$7,LEFT(O7102,3)=$W$7)),"x","")</f>
        <v/>
      </c>
      <c r="X7102" s="79" t="str">
        <f>IF(OR(TH!N7102=TH!$X$7,O7102=TH!$X$7),"x","")</f>
        <v/>
      </c>
      <c r="Y7102" s="79" t="str">
        <f>IF(AND(OR(N7102="131",O7102="131"),H7102='131-CT'!$H$9),"x","")</f>
        <v/>
      </c>
      <c r="Z7102" s="79"/>
      <c r="AA7102" s="79" t="str">
        <f>IF(AND(MONTH(E7102)='IN-NX'!$J$5,'IN-NX'!$D$7=D7102),"x","")</f>
        <v/>
      </c>
      <c r="AB7102" s="79" t="str">
        <f>IF(AND(OR(LEFT(TH!N7102,2)="15",LEFT(TH!O7102,2)="15"),LEFT(TH!O7102,3)&lt;&gt;"111",'152-CT'!$J$8=TH!F7102),"x","")</f>
        <v/>
      </c>
      <c r="AC7102" s="79" t="str">
        <f>IF(AND(OR(LEFT(TH!N7102,2)="15",LEFT(TH!O7102,2)="15"),TK!$E$7=TH!F7102),"x","")</f>
        <v/>
      </c>
      <c r="AD7102" s="79" t="str">
        <f>IF(AND(N7102="1521",MONTH(C7102)='BK-NL'!$M$11),"x","")</f>
        <v/>
      </c>
    </row>
    <row r="7103" spans="1:30" ht="16.5" customHeight="1">
      <c r="A7103" s="318" t="str">
        <f>IF(B7103&lt;&gt;"",IF(AND(B7103='IN-TC'!$S$4,OR(TH!N7103="1111",TH!O7103="1111")),TH!D7103,""),"")</f>
        <v/>
      </c>
      <c r="B7103" s="1163" t="str">
        <f t="shared" si="531"/>
        <v/>
      </c>
      <c r="C7103" s="61"/>
      <c r="D7103" s="61"/>
      <c r="E7103" s="61"/>
      <c r="F7103" s="446"/>
      <c r="G7103" s="64"/>
      <c r="H7103" s="69"/>
      <c r="I7103" s="385"/>
      <c r="J7103" s="392"/>
      <c r="K7103" s="385"/>
      <c r="L7103" s="933"/>
      <c r="M7103" s="62"/>
      <c r="N7103" s="63"/>
      <c r="O7103" s="63"/>
      <c r="P7103" s="79" t="str">
        <f>IF(AND('331-CT'!$E$7=TH!H7103,OR(N7103="331",O7103="331")),"x","")</f>
        <v/>
      </c>
      <c r="Q7103" s="79" t="str">
        <f>IF(AND(B7103='111'!$L$11,OR($N7103=$Q$7,$O7103=$Q$7)),"x","")</f>
        <v/>
      </c>
      <c r="R7103" s="79" t="str">
        <f>IF(AND($N7103=$Q$7,$B7103&lt;'111'!$L$11),"x","")</f>
        <v/>
      </c>
      <c r="S7103" s="79" t="str">
        <f>IF(AND($O7103=$Q$7,$B7103&lt;'111'!$L$11),"x","")</f>
        <v/>
      </c>
      <c r="T7103" s="79" t="str">
        <f>IF(ISERROR(FIND('112'!$M$9,G7103,1)),"",IF((AND(FIND('112'!$M$9,G7103,1)&gt;=1,B7103='112'!$K$9,OR($N7103='112'!$I$6,$O7103='112'!$I$6))),"x",""))</f>
        <v/>
      </c>
      <c r="U7103" s="79" t="str">
        <f>IF(ISERROR(FIND('112'!$M$9,G7103,1)),"",IF((AND(LEFT(G7103,2)=LEFT('112'!$M$9,2),B7103&lt;'112'!$K$9,$N7103='112'!$I$6)),"x",""))</f>
        <v/>
      </c>
      <c r="V7103" s="79" t="str">
        <f>IF(ISERROR(FIND('112'!$M$9,G7103,1)),"",IF((AND(RIGHT(G7103,2)=RIGHT('112'!$M$9,2),B7103&lt;'112'!$K$9,$O7103='112'!$I$6)),"x",""))</f>
        <v/>
      </c>
      <c r="W7103" s="79" t="str">
        <f>IF(AND('341-CT'!$H$9=H7103,OR(LEFT(N7103,3)=$W$7,LEFT(O7103,3)=$W$7)),"x","")</f>
        <v/>
      </c>
      <c r="X7103" s="79" t="str">
        <f>IF(OR(TH!N7103=TH!$X$7,O7103=TH!$X$7),"x","")</f>
        <v/>
      </c>
      <c r="Y7103" s="79" t="str">
        <f>IF(AND(OR(N7103="131",O7103="131"),H7103='131-CT'!$H$9),"x","")</f>
        <v/>
      </c>
      <c r="Z7103" s="79"/>
      <c r="AA7103" s="79" t="str">
        <f>IF(AND(MONTH(E7103)='IN-NX'!$J$5,'IN-NX'!$D$7=D7103),"x","")</f>
        <v/>
      </c>
      <c r="AB7103" s="79" t="str">
        <f>IF(AND(OR(LEFT(TH!N7103,2)="15",LEFT(TH!O7103,2)="15"),LEFT(TH!O7103,3)&lt;&gt;"111",'152-CT'!$J$8=TH!F7103),"x","")</f>
        <v/>
      </c>
      <c r="AC7103" s="79" t="str">
        <f>IF(AND(OR(LEFT(TH!N7103,2)="15",LEFT(TH!O7103,2)="15"),TK!$E$7=TH!F7103),"x","")</f>
        <v/>
      </c>
      <c r="AD7103" s="79" t="str">
        <f>IF(AND(N7103="1521",MONTH(C7103)='BK-NL'!$M$11),"x","")</f>
        <v/>
      </c>
    </row>
    <row r="7104" spans="1:30" ht="16.5" customHeight="1">
      <c r="A7104" s="318" t="str">
        <f>IF(B7104&lt;&gt;"",IF(AND(B7104='IN-TC'!$S$4,OR(TH!N7104="1111",TH!O7104="1111")),TH!D7104,""),"")</f>
        <v/>
      </c>
      <c r="B7104" s="1163" t="str">
        <f t="shared" si="531"/>
        <v/>
      </c>
      <c r="C7104" s="61"/>
      <c r="D7104" s="61"/>
      <c r="E7104" s="61"/>
      <c r="F7104" s="69"/>
      <c r="G7104" s="64"/>
      <c r="H7104" s="69"/>
      <c r="I7104" s="385"/>
      <c r="J7104" s="392"/>
      <c r="K7104" s="385"/>
      <c r="L7104" s="392"/>
      <c r="M7104" s="62"/>
      <c r="N7104" s="63"/>
      <c r="O7104" s="63"/>
      <c r="P7104" s="79" t="str">
        <f>IF(AND('331-CT'!$E$7=TH!H7104,OR(N7104="331",O7104="331")),"x","")</f>
        <v/>
      </c>
      <c r="Q7104" s="79" t="str">
        <f>IF(AND(B7104='111'!$L$11,OR($N7104=$Q$7,$O7104=$Q$7)),"x","")</f>
        <v/>
      </c>
      <c r="R7104" s="79" t="str">
        <f>IF(AND($N7104=$Q$7,$B7104&lt;'111'!$L$11),"x","")</f>
        <v/>
      </c>
      <c r="S7104" s="79" t="str">
        <f>IF(AND($O7104=$Q$7,$B7104&lt;'111'!$L$11),"x","")</f>
        <v/>
      </c>
      <c r="T7104" s="79" t="str">
        <f>IF(ISERROR(FIND('112'!$M$9,G7104,1)),"",IF((AND(FIND('112'!$M$9,G7104,1)&gt;=1,B7104='112'!$K$9,OR($N7104='112'!$I$6,$O7104='112'!$I$6))),"x",""))</f>
        <v/>
      </c>
      <c r="U7104" s="79" t="str">
        <f>IF(ISERROR(FIND('112'!$M$9,G7104,1)),"",IF((AND(LEFT(G7104,2)=LEFT('112'!$M$9,2),B7104&lt;'112'!$K$9,$N7104='112'!$I$6)),"x",""))</f>
        <v/>
      </c>
      <c r="V7104" s="79" t="str">
        <f>IF(ISERROR(FIND('112'!$M$9,G7104,1)),"",IF((AND(RIGHT(G7104,2)=RIGHT('112'!$M$9,2),B7104&lt;'112'!$K$9,$O7104='112'!$I$6)),"x",""))</f>
        <v/>
      </c>
      <c r="W7104" s="79" t="str">
        <f>IF(AND('341-CT'!$H$9=H7104,OR(LEFT(N7104,3)=$W$7,LEFT(O7104,3)=$W$7)),"x","")</f>
        <v/>
      </c>
      <c r="X7104" s="79" t="str">
        <f>IF(OR(TH!N7104=TH!$X$7,O7104=TH!$X$7),"x","")</f>
        <v/>
      </c>
      <c r="Y7104" s="79" t="str">
        <f>IF(AND(OR(N7104="131",O7104="131"),H7104='131-CT'!$H$9),"x","")</f>
        <v/>
      </c>
      <c r="Z7104" s="79"/>
      <c r="AA7104" s="79" t="str">
        <f>IF(AND(MONTH(E7104)='IN-NX'!$J$5,'IN-NX'!$D$7=D7104),"x","")</f>
        <v/>
      </c>
      <c r="AB7104" s="79" t="str">
        <f>IF(AND(OR(LEFT(TH!N7104,2)="15",LEFT(TH!O7104,2)="15"),LEFT(TH!O7104,3)&lt;&gt;"111",'152-CT'!$J$8=TH!F7104),"x","")</f>
        <v/>
      </c>
      <c r="AC7104" s="79" t="str">
        <f>IF(AND(OR(LEFT(TH!N7104,2)="15",LEFT(TH!O7104,2)="15"),TK!$E$7=TH!F7104),"x","")</f>
        <v/>
      </c>
      <c r="AD7104" s="79" t="str">
        <f>IF(AND(N7104="1521",MONTH(C7104)='BK-NL'!$M$11),"x","")</f>
        <v/>
      </c>
    </row>
    <row r="7105" spans="1:30" ht="16.5" customHeight="1">
      <c r="A7105" s="318" t="str">
        <f>IF(B7105&lt;&gt;"",IF(AND(B7105='IN-TC'!$S$4,OR(TH!N7105="1111",TH!O7105="1111")),TH!D7105,""),"")</f>
        <v/>
      </c>
      <c r="B7105" s="1163" t="str">
        <f t="shared" si="531"/>
        <v/>
      </c>
      <c r="C7105" s="61"/>
      <c r="D7105" s="61"/>
      <c r="E7105" s="61"/>
      <c r="F7105" s="446"/>
      <c r="G7105" s="64"/>
      <c r="H7105" s="69"/>
      <c r="I7105" s="385"/>
      <c r="J7105" s="392"/>
      <c r="K7105" s="385"/>
      <c r="L7105" s="933"/>
      <c r="M7105" s="62"/>
      <c r="N7105" s="63"/>
      <c r="O7105" s="63"/>
      <c r="P7105" s="79" t="str">
        <f>IF(AND('331-CT'!$E$7=TH!H7105,OR(N7105="331",O7105="331")),"x","")</f>
        <v/>
      </c>
      <c r="Q7105" s="79" t="str">
        <f>IF(AND(B7105='111'!$L$11,OR($N7105=$Q$7,$O7105=$Q$7)),"x","")</f>
        <v/>
      </c>
      <c r="R7105" s="79" t="str">
        <f>IF(AND($N7105=$Q$7,$B7105&lt;'111'!$L$11),"x","")</f>
        <v/>
      </c>
      <c r="S7105" s="79" t="str">
        <f>IF(AND($O7105=$Q$7,$B7105&lt;'111'!$L$11),"x","")</f>
        <v/>
      </c>
      <c r="T7105" s="79" t="str">
        <f>IF(ISERROR(FIND('112'!$M$9,G7105,1)),"",IF((AND(FIND('112'!$M$9,G7105,1)&gt;=1,B7105='112'!$K$9,OR($N7105='112'!$I$6,$O7105='112'!$I$6))),"x",""))</f>
        <v/>
      </c>
      <c r="U7105" s="79" t="str">
        <f>IF(ISERROR(FIND('112'!$M$9,G7105,1)),"",IF((AND(LEFT(G7105,2)=LEFT('112'!$M$9,2),B7105&lt;'112'!$K$9,$N7105='112'!$I$6)),"x",""))</f>
        <v/>
      </c>
      <c r="V7105" s="79" t="str">
        <f>IF(ISERROR(FIND('112'!$M$9,G7105,1)),"",IF((AND(RIGHT(G7105,2)=RIGHT('112'!$M$9,2),B7105&lt;'112'!$K$9,$O7105='112'!$I$6)),"x",""))</f>
        <v/>
      </c>
      <c r="W7105" s="79" t="str">
        <f>IF(AND('341-CT'!$H$9=H7105,OR(LEFT(N7105,3)=$W$7,LEFT(O7105,3)=$W$7)),"x","")</f>
        <v/>
      </c>
      <c r="X7105" s="79" t="str">
        <f>IF(OR(TH!N7105=TH!$X$7,O7105=TH!$X$7),"x","")</f>
        <v/>
      </c>
      <c r="Y7105" s="79" t="str">
        <f>IF(AND(OR(N7105="131",O7105="131"),H7105='131-CT'!$H$9),"x","")</f>
        <v/>
      </c>
      <c r="Z7105" s="79"/>
      <c r="AA7105" s="79" t="str">
        <f>IF(AND(MONTH(E7105)='IN-NX'!$J$5,'IN-NX'!$D$7=D7105),"x","")</f>
        <v/>
      </c>
      <c r="AB7105" s="79" t="str">
        <f>IF(AND(OR(LEFT(TH!N7105,2)="15",LEFT(TH!O7105,2)="15"),LEFT(TH!O7105,3)&lt;&gt;"111",'152-CT'!$J$8=TH!F7105),"x","")</f>
        <v/>
      </c>
      <c r="AC7105" s="79" t="str">
        <f>IF(AND(OR(LEFT(TH!N7105,2)="15",LEFT(TH!O7105,2)="15"),TK!$E$7=TH!F7105),"x","")</f>
        <v/>
      </c>
      <c r="AD7105" s="79" t="str">
        <f>IF(AND(N7105="1521",MONTH(C7105)='BK-NL'!$M$11),"x","")</f>
        <v/>
      </c>
    </row>
    <row r="7106" spans="1:30" ht="16.5" customHeight="1">
      <c r="A7106" s="318" t="str">
        <f>IF(B7106&lt;&gt;"",IF(AND(B7106='IN-TC'!$S$4,OR(TH!N7106="1111",TH!O7106="1111")),TH!D7106,""),"")</f>
        <v/>
      </c>
      <c r="B7106" s="1163" t="str">
        <f t="shared" si="531"/>
        <v/>
      </c>
      <c r="C7106" s="61"/>
      <c r="D7106" s="61"/>
      <c r="E7106" s="61"/>
      <c r="F7106" s="69"/>
      <c r="G7106" s="766"/>
      <c r="H7106" s="69"/>
      <c r="I7106" s="385"/>
      <c r="J7106" s="392"/>
      <c r="K7106" s="385"/>
      <c r="L7106" s="392"/>
      <c r="M7106" s="62"/>
      <c r="N7106" s="63"/>
      <c r="O7106" s="63"/>
      <c r="P7106" s="79" t="str">
        <f>IF(AND('331-CT'!$E$7=TH!H7106,OR(N7106="331",O7106="331")),"x","")</f>
        <v/>
      </c>
      <c r="Q7106" s="79" t="str">
        <f>IF(AND(B7106='111'!$L$11,OR($N7106=$Q$7,$O7106=$Q$7)),"x","")</f>
        <v/>
      </c>
      <c r="R7106" s="79" t="str">
        <f>IF(AND($N7106=$Q$7,$B7106&lt;'111'!$L$11),"x","")</f>
        <v/>
      </c>
      <c r="S7106" s="79" t="str">
        <f>IF(AND($O7106=$Q$7,$B7106&lt;'111'!$L$11),"x","")</f>
        <v/>
      </c>
      <c r="T7106" s="79" t="str">
        <f>IF(ISERROR(FIND('112'!$M$9,G7106,1)),"",IF((AND(FIND('112'!$M$9,G7106,1)&gt;=1,B7106='112'!$K$9,OR($N7106='112'!$I$6,$O7106='112'!$I$6))),"x",""))</f>
        <v/>
      </c>
      <c r="U7106" s="79" t="str">
        <f>IF(ISERROR(FIND('112'!$M$9,G7106,1)),"",IF((AND(LEFT(G7106,2)=LEFT('112'!$M$9,2),B7106&lt;'112'!$K$9,$N7106='112'!$I$6)),"x",""))</f>
        <v/>
      </c>
      <c r="V7106" s="79" t="str">
        <f>IF(ISERROR(FIND('112'!$M$9,G7106,1)),"",IF((AND(RIGHT(G7106,2)=RIGHT('112'!$M$9,2),B7106&lt;'112'!$K$9,$O7106='112'!$I$6)),"x",""))</f>
        <v/>
      </c>
      <c r="W7106" s="79" t="str">
        <f>IF(AND('341-CT'!$H$9=H7106,OR(LEFT(N7106,3)=$W$7,LEFT(O7106,3)=$W$7)),"x","")</f>
        <v/>
      </c>
      <c r="X7106" s="79" t="str">
        <f>IF(OR(TH!N7106=TH!$X$7,O7106=TH!$X$7),"x","")</f>
        <v/>
      </c>
      <c r="Y7106" s="79" t="str">
        <f>IF(AND(OR(N7106="131",O7106="131"),H7106='131-CT'!$H$9),"x","")</f>
        <v/>
      </c>
      <c r="Z7106" s="79"/>
      <c r="AA7106" s="79" t="str">
        <f>IF(AND(MONTH(E7106)='IN-NX'!$J$5,'IN-NX'!$D$7=D7106),"x","")</f>
        <v/>
      </c>
      <c r="AB7106" s="79" t="str">
        <f>IF(AND(OR(LEFT(TH!N7106,2)="15",LEFT(TH!O7106,2)="15"),LEFT(TH!O7106,3)&lt;&gt;"111",'152-CT'!$J$8=TH!F7106),"x","")</f>
        <v/>
      </c>
      <c r="AC7106" s="79" t="str">
        <f>IF(AND(OR(LEFT(TH!N7106,2)="15",LEFT(TH!O7106,2)="15"),TK!$E$7=TH!F7106),"x","")</f>
        <v/>
      </c>
      <c r="AD7106" s="79" t="str">
        <f>IF(AND(N7106="1521",MONTH(C7106)='BK-NL'!$M$11),"x","")</f>
        <v/>
      </c>
    </row>
    <row r="7107" spans="1:30" ht="16.5" customHeight="1">
      <c r="A7107" s="318" t="str">
        <f>IF(B7107&lt;&gt;"",IF(AND(B7107='IN-TC'!$S$4,OR(TH!N7107="1111",TH!O7107="1111")),TH!D7107,""),"")</f>
        <v/>
      </c>
      <c r="B7107" s="1163" t="str">
        <f t="shared" si="531"/>
        <v/>
      </c>
      <c r="C7107" s="61"/>
      <c r="D7107" s="61"/>
      <c r="E7107" s="61"/>
      <c r="F7107" s="69"/>
      <c r="G7107" s="766"/>
      <c r="H7107" s="69"/>
      <c r="I7107" s="385"/>
      <c r="J7107" s="392"/>
      <c r="K7107" s="385"/>
      <c r="L7107" s="392"/>
      <c r="M7107" s="62"/>
      <c r="N7107" s="63"/>
      <c r="O7107" s="63"/>
      <c r="P7107" s="79" t="str">
        <f>IF(AND('331-CT'!$E$7=TH!H7107,OR(N7107="331",O7107="331")),"x","")</f>
        <v/>
      </c>
      <c r="Q7107" s="79" t="str">
        <f>IF(AND(B7107='111'!$L$11,OR($N7107=$Q$7,$O7107=$Q$7)),"x","")</f>
        <v/>
      </c>
      <c r="R7107" s="79" t="str">
        <f>IF(AND($N7107=$Q$7,$B7107&lt;'111'!$L$11),"x","")</f>
        <v/>
      </c>
      <c r="S7107" s="79" t="str">
        <f>IF(AND($O7107=$Q$7,$B7107&lt;'111'!$L$11),"x","")</f>
        <v/>
      </c>
      <c r="T7107" s="79" t="str">
        <f>IF(ISERROR(FIND('112'!$M$9,G7107,1)),"",IF((AND(FIND('112'!$M$9,G7107,1)&gt;=1,B7107='112'!$K$9,OR($N7107='112'!$I$6,$O7107='112'!$I$6))),"x",""))</f>
        <v/>
      </c>
      <c r="U7107" s="79" t="str">
        <f>IF(ISERROR(FIND('112'!$M$9,G7107,1)),"",IF((AND(LEFT(G7107,2)=LEFT('112'!$M$9,2),B7107&lt;'112'!$K$9,$N7107='112'!$I$6)),"x",""))</f>
        <v/>
      </c>
      <c r="V7107" s="79" t="str">
        <f>IF(ISERROR(FIND('112'!$M$9,G7107,1)),"",IF((AND(RIGHT(G7107,2)=RIGHT('112'!$M$9,2),B7107&lt;'112'!$K$9,$O7107='112'!$I$6)),"x",""))</f>
        <v/>
      </c>
      <c r="W7107" s="79" t="str">
        <f>IF(AND('341-CT'!$H$9=H7107,OR(LEFT(N7107,3)=$W$7,LEFT(O7107,3)=$W$7)),"x","")</f>
        <v/>
      </c>
      <c r="X7107" s="79" t="str">
        <f>IF(OR(TH!N7107=TH!$X$7,O7107=TH!$X$7),"x","")</f>
        <v/>
      </c>
      <c r="Y7107" s="79" t="str">
        <f>IF(AND(OR(N7107="131",O7107="131"),H7107='131-CT'!$H$9),"x","")</f>
        <v/>
      </c>
      <c r="Z7107" s="79"/>
      <c r="AA7107" s="79" t="str">
        <f>IF(AND(MONTH(E7107)='IN-NX'!$J$5,'IN-NX'!$D$7=D7107),"x","")</f>
        <v/>
      </c>
      <c r="AB7107" s="79" t="str">
        <f>IF(AND(OR(LEFT(TH!N7107,2)="15",LEFT(TH!O7107,2)="15"),LEFT(TH!O7107,3)&lt;&gt;"111",'152-CT'!$J$8=TH!F7107),"x","")</f>
        <v/>
      </c>
      <c r="AC7107" s="79" t="str">
        <f>IF(AND(OR(LEFT(TH!N7107,2)="15",LEFT(TH!O7107,2)="15"),TK!$E$7=TH!F7107),"x","")</f>
        <v/>
      </c>
      <c r="AD7107" s="79" t="str">
        <f>IF(AND(N7107="1521",MONTH(C7107)='BK-NL'!$M$11),"x","")</f>
        <v/>
      </c>
    </row>
    <row r="7108" spans="1:30" ht="16.5" customHeight="1">
      <c r="A7108" s="318" t="str">
        <f>IF(B7108&lt;&gt;"",IF(AND(B7108='IN-TC'!$S$4,OR(TH!N7108="1111",TH!O7108="1111")),TH!D7108,""),"")</f>
        <v/>
      </c>
      <c r="B7108" s="1163" t="str">
        <f t="shared" si="531"/>
        <v/>
      </c>
      <c r="C7108" s="61"/>
      <c r="D7108" s="61"/>
      <c r="E7108" s="61"/>
      <c r="F7108" s="69"/>
      <c r="G7108" s="766"/>
      <c r="H7108" s="69"/>
      <c r="I7108" s="385"/>
      <c r="J7108" s="392"/>
      <c r="K7108" s="385"/>
      <c r="L7108" s="392"/>
      <c r="M7108" s="62"/>
      <c r="N7108" s="63"/>
      <c r="O7108" s="63"/>
      <c r="P7108" s="79" t="str">
        <f>IF(AND('331-CT'!$E$7=TH!H7108,OR(N7108="331",O7108="331")),"x","")</f>
        <v/>
      </c>
      <c r="Q7108" s="79" t="str">
        <f>IF(AND(B7108='111'!$L$11,OR($N7108=$Q$7,$O7108=$Q$7)),"x","")</f>
        <v/>
      </c>
      <c r="R7108" s="79" t="str">
        <f>IF(AND($N7108=$Q$7,$B7108&lt;'111'!$L$11),"x","")</f>
        <v/>
      </c>
      <c r="S7108" s="79" t="str">
        <f>IF(AND($O7108=$Q$7,$B7108&lt;'111'!$L$11),"x","")</f>
        <v/>
      </c>
      <c r="T7108" s="79" t="str">
        <f>IF(ISERROR(FIND('112'!$M$9,G7108,1)),"",IF((AND(FIND('112'!$M$9,G7108,1)&gt;=1,B7108='112'!$K$9,OR($N7108='112'!$I$6,$O7108='112'!$I$6))),"x",""))</f>
        <v/>
      </c>
      <c r="U7108" s="79" t="str">
        <f>IF(ISERROR(FIND('112'!$M$9,G7108,1)),"",IF((AND(LEFT(G7108,2)=LEFT('112'!$M$9,2),B7108&lt;'112'!$K$9,$N7108='112'!$I$6)),"x",""))</f>
        <v/>
      </c>
      <c r="V7108" s="79" t="str">
        <f>IF(ISERROR(FIND('112'!$M$9,G7108,1)),"",IF((AND(RIGHT(G7108,2)=RIGHT('112'!$M$9,2),B7108&lt;'112'!$K$9,$O7108='112'!$I$6)),"x",""))</f>
        <v/>
      </c>
      <c r="W7108" s="79" t="str">
        <f>IF(AND('341-CT'!$H$9=H7108,OR(LEFT(N7108,3)=$W$7,LEFT(O7108,3)=$W$7)),"x","")</f>
        <v/>
      </c>
      <c r="X7108" s="79" t="str">
        <f>IF(OR(TH!N7108=TH!$X$7,O7108=TH!$X$7),"x","")</f>
        <v/>
      </c>
      <c r="Y7108" s="79" t="str">
        <f>IF(AND(OR(N7108="131",O7108="131"),H7108='131-CT'!$H$9),"x","")</f>
        <v/>
      </c>
      <c r="Z7108" s="79"/>
      <c r="AA7108" s="79" t="str">
        <f>IF(AND(MONTH(E7108)='IN-NX'!$J$5,'IN-NX'!$D$7=D7108),"x","")</f>
        <v/>
      </c>
      <c r="AB7108" s="79" t="str">
        <f>IF(AND(OR(LEFT(TH!N7108,2)="15",LEFT(TH!O7108,2)="15"),LEFT(TH!O7108,3)&lt;&gt;"111",'152-CT'!$J$8=TH!F7108),"x","")</f>
        <v/>
      </c>
      <c r="AC7108" s="79" t="str">
        <f>IF(AND(OR(LEFT(TH!N7108,2)="15",LEFT(TH!O7108,2)="15"),TK!$E$7=TH!F7108),"x","")</f>
        <v/>
      </c>
      <c r="AD7108" s="79" t="str">
        <f>IF(AND(N7108="1521",MONTH(C7108)='BK-NL'!$M$11),"x","")</f>
        <v/>
      </c>
    </row>
    <row r="7109" spans="1:30" ht="16.5" customHeight="1">
      <c r="A7109" s="318" t="str">
        <f>IF(B7109&lt;&gt;"",IF(AND(B7109='IN-TC'!$S$4,OR(TH!N7109="1111",TH!O7109="1111")),TH!D7109,""),"")</f>
        <v/>
      </c>
      <c r="B7109" s="1163" t="str">
        <f t="shared" si="531"/>
        <v/>
      </c>
      <c r="C7109" s="61"/>
      <c r="D7109" s="61"/>
      <c r="E7109" s="61"/>
      <c r="F7109" s="69"/>
      <c r="G7109" s="766"/>
      <c r="H7109" s="69"/>
      <c r="I7109" s="385"/>
      <c r="J7109" s="392"/>
      <c r="K7109" s="385"/>
      <c r="L7109" s="392"/>
      <c r="M7109" s="62"/>
      <c r="N7109" s="63"/>
      <c r="O7109" s="63"/>
      <c r="P7109" s="79" t="str">
        <f>IF(AND('331-CT'!$E$7=TH!H7109,OR(N7109="331",O7109="331")),"x","")</f>
        <v/>
      </c>
      <c r="Q7109" s="79" t="str">
        <f>IF(AND(B7109='111'!$L$11,OR($N7109=$Q$7,$O7109=$Q$7)),"x","")</f>
        <v/>
      </c>
      <c r="R7109" s="79" t="str">
        <f>IF(AND($N7109=$Q$7,$B7109&lt;'111'!$L$11),"x","")</f>
        <v/>
      </c>
      <c r="S7109" s="79" t="str">
        <f>IF(AND($O7109=$Q$7,$B7109&lt;'111'!$L$11),"x","")</f>
        <v/>
      </c>
      <c r="T7109" s="79" t="str">
        <f>IF(ISERROR(FIND('112'!$M$9,G7109,1)),"",IF((AND(FIND('112'!$M$9,G7109,1)&gt;=1,B7109='112'!$K$9,OR($N7109='112'!$I$6,$O7109='112'!$I$6))),"x",""))</f>
        <v/>
      </c>
      <c r="U7109" s="79" t="str">
        <f>IF(ISERROR(FIND('112'!$M$9,G7109,1)),"",IF((AND(LEFT(G7109,2)=LEFT('112'!$M$9,2),B7109&lt;'112'!$K$9,$N7109='112'!$I$6)),"x",""))</f>
        <v/>
      </c>
      <c r="V7109" s="79" t="str">
        <f>IF(ISERROR(FIND('112'!$M$9,G7109,1)),"",IF((AND(RIGHT(G7109,2)=RIGHT('112'!$M$9,2),B7109&lt;'112'!$K$9,$O7109='112'!$I$6)),"x",""))</f>
        <v/>
      </c>
      <c r="W7109" s="79" t="str">
        <f>IF(AND('341-CT'!$H$9=H7109,OR(LEFT(N7109,3)=$W$7,LEFT(O7109,3)=$W$7)),"x","")</f>
        <v/>
      </c>
      <c r="X7109" s="79" t="str">
        <f>IF(OR(TH!N7109=TH!$X$7,O7109=TH!$X$7),"x","")</f>
        <v/>
      </c>
      <c r="Y7109" s="79" t="str">
        <f>IF(AND(OR(N7109="131",O7109="131"),H7109='131-CT'!$H$9),"x","")</f>
        <v/>
      </c>
      <c r="Z7109" s="79"/>
      <c r="AA7109" s="79" t="str">
        <f>IF(AND(MONTH(E7109)='IN-NX'!$J$5,'IN-NX'!$D$7=D7109),"x","")</f>
        <v/>
      </c>
      <c r="AB7109" s="79" t="str">
        <f>IF(AND(OR(LEFT(TH!N7109,2)="15",LEFT(TH!O7109,2)="15"),LEFT(TH!O7109,3)&lt;&gt;"111",'152-CT'!$J$8=TH!F7109),"x","")</f>
        <v/>
      </c>
      <c r="AC7109" s="79" t="str">
        <f>IF(AND(OR(LEFT(TH!N7109,2)="15",LEFT(TH!O7109,2)="15"),TK!$E$7=TH!F7109),"x","")</f>
        <v/>
      </c>
      <c r="AD7109" s="79" t="str">
        <f>IF(AND(N7109="1521",MONTH(C7109)='BK-NL'!$M$11),"x","")</f>
        <v/>
      </c>
    </row>
    <row r="7110" spans="1:30" ht="16.5" customHeight="1">
      <c r="A7110" s="318" t="str">
        <f>IF(B7110&lt;&gt;"",IF(AND(B7110='IN-TC'!$S$4,OR(TH!N7110="1111",TH!O7110="1111")),TH!D7110,""),"")</f>
        <v/>
      </c>
      <c r="B7110" s="1163" t="str">
        <f t="shared" si="531"/>
        <v/>
      </c>
      <c r="C7110" s="61"/>
      <c r="D7110" s="61"/>
      <c r="E7110" s="61"/>
      <c r="F7110" s="69"/>
      <c r="G7110" s="766"/>
      <c r="H7110" s="69"/>
      <c r="I7110" s="385"/>
      <c r="J7110" s="392"/>
      <c r="K7110" s="385"/>
      <c r="L7110" s="392"/>
      <c r="M7110" s="62"/>
      <c r="N7110" s="63"/>
      <c r="O7110" s="63"/>
      <c r="P7110" s="79" t="str">
        <f>IF(AND('331-CT'!$E$7=TH!H7110,OR(N7110="331",O7110="331")),"x","")</f>
        <v/>
      </c>
      <c r="Q7110" s="79" t="str">
        <f>IF(AND(B7110='111'!$L$11,OR($N7110=$Q$7,$O7110=$Q$7)),"x","")</f>
        <v/>
      </c>
      <c r="R7110" s="79" t="str">
        <f>IF(AND($N7110=$Q$7,$B7110&lt;'111'!$L$11),"x","")</f>
        <v/>
      </c>
      <c r="S7110" s="79" t="str">
        <f>IF(AND($O7110=$Q$7,$B7110&lt;'111'!$L$11),"x","")</f>
        <v/>
      </c>
      <c r="T7110" s="79" t="str">
        <f>IF(ISERROR(FIND('112'!$M$9,G7110,1)),"",IF((AND(FIND('112'!$M$9,G7110,1)&gt;=1,B7110='112'!$K$9,OR($N7110='112'!$I$6,$O7110='112'!$I$6))),"x",""))</f>
        <v/>
      </c>
      <c r="U7110" s="79" t="str">
        <f>IF(ISERROR(FIND('112'!$M$9,G7110,1)),"",IF((AND(LEFT(G7110,2)=LEFT('112'!$M$9,2),B7110&lt;'112'!$K$9,$N7110='112'!$I$6)),"x",""))</f>
        <v/>
      </c>
      <c r="V7110" s="79" t="str">
        <f>IF(ISERROR(FIND('112'!$M$9,G7110,1)),"",IF((AND(RIGHT(G7110,2)=RIGHT('112'!$M$9,2),B7110&lt;'112'!$K$9,$O7110='112'!$I$6)),"x",""))</f>
        <v/>
      </c>
      <c r="W7110" s="79" t="str">
        <f>IF(AND('341-CT'!$H$9=H7110,OR(LEFT(N7110,3)=$W$7,LEFT(O7110,3)=$W$7)),"x","")</f>
        <v/>
      </c>
      <c r="X7110" s="79" t="str">
        <f>IF(OR(TH!N7110=TH!$X$7,O7110=TH!$X$7),"x","")</f>
        <v/>
      </c>
      <c r="Y7110" s="79" t="str">
        <f>IF(AND(OR(N7110="131",O7110="131"),H7110='131-CT'!$H$9),"x","")</f>
        <v/>
      </c>
      <c r="Z7110" s="79"/>
      <c r="AA7110" s="79" t="str">
        <f>IF(AND(MONTH(E7110)='IN-NX'!$J$5,'IN-NX'!$D$7=D7110),"x","")</f>
        <v/>
      </c>
      <c r="AB7110" s="79" t="str">
        <f>IF(AND(OR(LEFT(TH!N7110,2)="15",LEFT(TH!O7110,2)="15"),LEFT(TH!O7110,3)&lt;&gt;"111",'152-CT'!$J$8=TH!F7110),"x","")</f>
        <v/>
      </c>
      <c r="AC7110" s="79" t="str">
        <f>IF(AND(OR(LEFT(TH!N7110,2)="15",LEFT(TH!O7110,2)="15"),TK!$E$7=TH!F7110),"x","")</f>
        <v/>
      </c>
      <c r="AD7110" s="79" t="str">
        <f>IF(AND(N7110="1521",MONTH(C7110)='BK-NL'!$M$11),"x","")</f>
        <v/>
      </c>
    </row>
    <row r="7111" spans="1:30" ht="16.5" customHeight="1">
      <c r="A7111" s="318" t="str">
        <f>IF(B7111&lt;&gt;"",IF(AND(B7111='IN-TC'!$S$4,OR(TH!N7111="1111",TH!O7111="1111")),TH!D7111,""),"")</f>
        <v/>
      </c>
      <c r="B7111" s="1163" t="str">
        <f t="shared" si="531"/>
        <v/>
      </c>
      <c r="C7111" s="61"/>
      <c r="D7111" s="61"/>
      <c r="E7111" s="61"/>
      <c r="F7111" s="69"/>
      <c r="G7111" s="766"/>
      <c r="H7111" s="69"/>
      <c r="I7111" s="385"/>
      <c r="J7111" s="392"/>
      <c r="K7111" s="385"/>
      <c r="L7111" s="392"/>
      <c r="M7111" s="62"/>
      <c r="N7111" s="63"/>
      <c r="O7111" s="63"/>
      <c r="P7111" s="79" t="str">
        <f>IF(AND('331-CT'!$E$7=TH!H7111,OR(N7111="331",O7111="331")),"x","")</f>
        <v/>
      </c>
      <c r="Q7111" s="79" t="str">
        <f>IF(AND(B7111='111'!$L$11,OR($N7111=$Q$7,$O7111=$Q$7)),"x","")</f>
        <v/>
      </c>
      <c r="R7111" s="79" t="str">
        <f>IF(AND($N7111=$Q$7,$B7111&lt;'111'!$L$11),"x","")</f>
        <v/>
      </c>
      <c r="S7111" s="79" t="str">
        <f>IF(AND($O7111=$Q$7,$B7111&lt;'111'!$L$11),"x","")</f>
        <v/>
      </c>
      <c r="T7111" s="79" t="str">
        <f>IF(ISERROR(FIND('112'!$M$9,G7111,1)),"",IF((AND(FIND('112'!$M$9,G7111,1)&gt;=1,B7111='112'!$K$9,OR($N7111='112'!$I$6,$O7111='112'!$I$6))),"x",""))</f>
        <v/>
      </c>
      <c r="U7111" s="79" t="str">
        <f>IF(ISERROR(FIND('112'!$M$9,G7111,1)),"",IF((AND(LEFT(G7111,2)=LEFT('112'!$M$9,2),B7111&lt;'112'!$K$9,$N7111='112'!$I$6)),"x",""))</f>
        <v/>
      </c>
      <c r="V7111" s="79" t="str">
        <f>IF(ISERROR(FIND('112'!$M$9,G7111,1)),"",IF((AND(RIGHT(G7111,2)=RIGHT('112'!$M$9,2),B7111&lt;'112'!$K$9,$O7111='112'!$I$6)),"x",""))</f>
        <v/>
      </c>
      <c r="W7111" s="79" t="str">
        <f>IF(AND('341-CT'!$H$9=H7111,OR(LEFT(N7111,3)=$W$7,LEFT(O7111,3)=$W$7)),"x","")</f>
        <v/>
      </c>
      <c r="X7111" s="79" t="str">
        <f>IF(OR(TH!N7111=TH!$X$7,O7111=TH!$X$7),"x","")</f>
        <v/>
      </c>
      <c r="Y7111" s="79" t="str">
        <f>IF(AND(OR(N7111="131",O7111="131"),H7111='131-CT'!$H$9),"x","")</f>
        <v/>
      </c>
      <c r="Z7111" s="79"/>
      <c r="AA7111" s="79" t="str">
        <f>IF(AND(MONTH(E7111)='IN-NX'!$J$5,'IN-NX'!$D$7=D7111),"x","")</f>
        <v/>
      </c>
      <c r="AB7111" s="79" t="str">
        <f>IF(AND(OR(LEFT(TH!N7111,2)="15",LEFT(TH!O7111,2)="15"),LEFT(TH!O7111,3)&lt;&gt;"111",'152-CT'!$J$8=TH!F7111),"x","")</f>
        <v/>
      </c>
      <c r="AC7111" s="79" t="str">
        <f>IF(AND(OR(LEFT(TH!N7111,2)="15",LEFT(TH!O7111,2)="15"),TK!$E$7=TH!F7111),"x","")</f>
        <v/>
      </c>
      <c r="AD7111" s="79" t="str">
        <f>IF(AND(N7111="1521",MONTH(C7111)='BK-NL'!$M$11),"x","")</f>
        <v/>
      </c>
    </row>
    <row r="7112" spans="1:30" ht="16.5" customHeight="1">
      <c r="A7112" s="318" t="str">
        <f>IF(B7112&lt;&gt;"",IF(AND(B7112='IN-TC'!$S$4,OR(TH!N7112="1111",TH!O7112="1111")),TH!D7112,""),"")</f>
        <v/>
      </c>
      <c r="B7112" s="1163" t="str">
        <f t="shared" si="531"/>
        <v/>
      </c>
      <c r="C7112" s="61"/>
      <c r="D7112" s="61"/>
      <c r="E7112" s="61"/>
      <c r="F7112" s="69"/>
      <c r="G7112" s="64"/>
      <c r="H7112" s="69"/>
      <c r="I7112" s="385"/>
      <c r="J7112" s="392"/>
      <c r="K7112" s="385"/>
      <c r="L7112" s="392"/>
      <c r="M7112" s="62"/>
      <c r="N7112" s="63"/>
      <c r="O7112" s="63"/>
      <c r="P7112" s="79" t="str">
        <f>IF(AND('331-CT'!$E$7=TH!H7112,OR(N7112="331",O7112="331")),"x","")</f>
        <v/>
      </c>
      <c r="Q7112" s="79" t="str">
        <f>IF(AND(B7112='111'!$L$11,OR($N7112=$Q$7,$O7112=$Q$7)),"x","")</f>
        <v/>
      </c>
      <c r="R7112" s="79" t="str">
        <f>IF(AND($N7112=$Q$7,$B7112&lt;'111'!$L$11),"x","")</f>
        <v/>
      </c>
      <c r="S7112" s="79" t="str">
        <f>IF(AND($O7112=$Q$7,$B7112&lt;'111'!$L$11),"x","")</f>
        <v/>
      </c>
      <c r="T7112" s="79" t="str">
        <f>IF(ISERROR(FIND('112'!$M$9,G7112,1)),"",IF((AND(FIND('112'!$M$9,G7112,1)&gt;=1,B7112='112'!$K$9,OR($N7112='112'!$I$6,$O7112='112'!$I$6))),"x",""))</f>
        <v/>
      </c>
      <c r="U7112" s="79" t="str">
        <f>IF(ISERROR(FIND('112'!$M$9,G7112,1)),"",IF((AND(LEFT(G7112,2)=LEFT('112'!$M$9,2),B7112&lt;'112'!$K$9,$N7112='112'!$I$6)),"x",""))</f>
        <v/>
      </c>
      <c r="V7112" s="79" t="str">
        <f>IF(ISERROR(FIND('112'!$M$9,G7112,1)),"",IF((AND(RIGHT(G7112,2)=RIGHT('112'!$M$9,2),B7112&lt;'112'!$K$9,$O7112='112'!$I$6)),"x",""))</f>
        <v/>
      </c>
      <c r="W7112" s="79" t="str">
        <f>IF(AND('341-CT'!$H$9=H7112,OR(LEFT(N7112,3)=$W$7,LEFT(O7112,3)=$W$7)),"x","")</f>
        <v/>
      </c>
      <c r="X7112" s="79" t="str">
        <f>IF(OR(TH!N7112=TH!$X$7,O7112=TH!$X$7),"x","")</f>
        <v/>
      </c>
      <c r="Y7112" s="79" t="str">
        <f>IF(AND(OR(N7112="131",O7112="131"),H7112='131-CT'!$H$9),"x","")</f>
        <v/>
      </c>
      <c r="Z7112" s="79"/>
      <c r="AA7112" s="79" t="str">
        <f>IF(AND(MONTH(E7112)='IN-NX'!$J$5,'IN-NX'!$D$7=D7112),"x","")</f>
        <v/>
      </c>
      <c r="AB7112" s="79" t="str">
        <f>IF(AND(OR(LEFT(TH!N7112,2)="15",LEFT(TH!O7112,2)="15"),LEFT(TH!O7112,3)&lt;&gt;"111",'152-CT'!$J$8=TH!F7112),"x","")</f>
        <v/>
      </c>
      <c r="AC7112" s="79" t="str">
        <f>IF(AND(OR(LEFT(TH!N7112,2)="15",LEFT(TH!O7112,2)="15"),TK!$E$7=TH!F7112),"x","")</f>
        <v/>
      </c>
      <c r="AD7112" s="79" t="str">
        <f>IF(AND(N7112="1521",MONTH(C7112)='BK-NL'!$M$11),"x","")</f>
        <v/>
      </c>
    </row>
    <row r="7113" spans="1:30" ht="16.5" customHeight="1">
      <c r="A7113" s="318" t="str">
        <f>IF(B7113&lt;&gt;"",IF(AND(B7113='IN-TC'!$S$4,OR(TH!N7113="1111",TH!O7113="1111")),TH!D7113,""),"")</f>
        <v/>
      </c>
      <c r="B7113" s="1163" t="str">
        <f t="shared" si="531"/>
        <v/>
      </c>
      <c r="C7113" s="61"/>
      <c r="D7113" s="61"/>
      <c r="E7113" s="61"/>
      <c r="F7113" s="446"/>
      <c r="G7113" s="64"/>
      <c r="H7113" s="69"/>
      <c r="I7113" s="385"/>
      <c r="J7113" s="392"/>
      <c r="K7113" s="385"/>
      <c r="L7113" s="933"/>
      <c r="M7113" s="62"/>
      <c r="N7113" s="63"/>
      <c r="O7113" s="63"/>
      <c r="P7113" s="79" t="str">
        <f>IF(AND('331-CT'!$E$7=TH!H7113,OR(N7113="331",O7113="331")),"x","")</f>
        <v/>
      </c>
      <c r="Q7113" s="79" t="str">
        <f>IF(AND(B7113='111'!$L$11,OR($N7113=$Q$7,$O7113=$Q$7)),"x","")</f>
        <v/>
      </c>
      <c r="R7113" s="79" t="str">
        <f>IF(AND($N7113=$Q$7,$B7113&lt;'111'!$L$11),"x","")</f>
        <v/>
      </c>
      <c r="S7113" s="79" t="str">
        <f>IF(AND($O7113=$Q$7,$B7113&lt;'111'!$L$11),"x","")</f>
        <v/>
      </c>
      <c r="T7113" s="79" t="str">
        <f>IF(ISERROR(FIND('112'!$M$9,G7113,1)),"",IF((AND(FIND('112'!$M$9,G7113,1)&gt;=1,B7113='112'!$K$9,OR($N7113='112'!$I$6,$O7113='112'!$I$6))),"x",""))</f>
        <v/>
      </c>
      <c r="U7113" s="79" t="str">
        <f>IF(ISERROR(FIND('112'!$M$9,G7113,1)),"",IF((AND(LEFT(G7113,2)=LEFT('112'!$M$9,2),B7113&lt;'112'!$K$9,$N7113='112'!$I$6)),"x",""))</f>
        <v/>
      </c>
      <c r="V7113" s="79" t="str">
        <f>IF(ISERROR(FIND('112'!$M$9,G7113,1)),"",IF((AND(RIGHT(G7113,2)=RIGHT('112'!$M$9,2),B7113&lt;'112'!$K$9,$O7113='112'!$I$6)),"x",""))</f>
        <v/>
      </c>
      <c r="W7113" s="79" t="str">
        <f>IF(AND('341-CT'!$H$9=H7113,OR(LEFT(N7113,3)=$W$7,LEFT(O7113,3)=$W$7)),"x","")</f>
        <v/>
      </c>
      <c r="X7113" s="79" t="str">
        <f>IF(OR(TH!N7113=TH!$X$7,O7113=TH!$X$7),"x","")</f>
        <v/>
      </c>
      <c r="Y7113" s="79" t="str">
        <f>IF(AND(OR(N7113="131",O7113="131"),H7113='131-CT'!$H$9),"x","")</f>
        <v/>
      </c>
      <c r="Z7113" s="79"/>
      <c r="AA7113" s="79" t="str">
        <f>IF(AND(MONTH(E7113)='IN-NX'!$J$5,'IN-NX'!$D$7=D7113),"x","")</f>
        <v/>
      </c>
      <c r="AB7113" s="79" t="str">
        <f>IF(AND(OR(LEFT(TH!N7113,2)="15",LEFT(TH!O7113,2)="15"),LEFT(TH!O7113,3)&lt;&gt;"111",'152-CT'!$J$8=TH!F7113),"x","")</f>
        <v/>
      </c>
      <c r="AC7113" s="79" t="str">
        <f>IF(AND(OR(LEFT(TH!N7113,2)="15",LEFT(TH!O7113,2)="15"),TK!$E$7=TH!F7113),"x","")</f>
        <v/>
      </c>
      <c r="AD7113" s="79" t="str">
        <f>IF(AND(N7113="1521",MONTH(C7113)='BK-NL'!$M$11),"x","")</f>
        <v/>
      </c>
    </row>
    <row r="7114" spans="1:30" ht="16.5" customHeight="1">
      <c r="A7114" s="318" t="str">
        <f>IF(B7114&lt;&gt;"",IF(AND(B7114='IN-TC'!$S$4,OR(TH!N7114="1111",TH!O7114="1111")),TH!D7114,""),"")</f>
        <v/>
      </c>
      <c r="B7114" s="1163" t="str">
        <f t="shared" si="531"/>
        <v/>
      </c>
      <c r="C7114" s="61"/>
      <c r="D7114" s="61"/>
      <c r="E7114" s="61"/>
      <c r="F7114" s="446"/>
      <c r="G7114" s="64"/>
      <c r="H7114" s="69"/>
      <c r="I7114" s="385"/>
      <c r="J7114" s="392"/>
      <c r="K7114" s="385"/>
      <c r="L7114" s="933"/>
      <c r="M7114" s="62"/>
      <c r="N7114" s="63"/>
      <c r="O7114" s="63"/>
      <c r="P7114" s="79" t="str">
        <f>IF(AND('331-CT'!$E$7=TH!H7114,OR(N7114="331",O7114="331")),"x","")</f>
        <v/>
      </c>
      <c r="Q7114" s="79" t="str">
        <f>IF(AND(B7114='111'!$L$11,OR($N7114=$Q$7,$O7114=$Q$7)),"x","")</f>
        <v/>
      </c>
      <c r="R7114" s="79" t="str">
        <f>IF(AND($N7114=$Q$7,$B7114&lt;'111'!$L$11),"x","")</f>
        <v/>
      </c>
      <c r="S7114" s="79" t="str">
        <f>IF(AND($O7114=$Q$7,$B7114&lt;'111'!$L$11),"x","")</f>
        <v/>
      </c>
      <c r="T7114" s="79" t="str">
        <f>IF(ISERROR(FIND('112'!$M$9,G7114,1)),"",IF((AND(FIND('112'!$M$9,G7114,1)&gt;=1,B7114='112'!$K$9,OR($N7114='112'!$I$6,$O7114='112'!$I$6))),"x",""))</f>
        <v/>
      </c>
      <c r="U7114" s="79" t="str">
        <f>IF(ISERROR(FIND('112'!$M$9,G7114,1)),"",IF((AND(LEFT(G7114,2)=LEFT('112'!$M$9,2),B7114&lt;'112'!$K$9,$N7114='112'!$I$6)),"x",""))</f>
        <v/>
      </c>
      <c r="V7114" s="79" t="str">
        <f>IF(ISERROR(FIND('112'!$M$9,G7114,1)),"",IF((AND(RIGHT(G7114,2)=RIGHT('112'!$M$9,2),B7114&lt;'112'!$K$9,$O7114='112'!$I$6)),"x",""))</f>
        <v/>
      </c>
      <c r="W7114" s="79" t="str">
        <f>IF(AND('341-CT'!$H$9=H7114,OR(LEFT(N7114,3)=$W$7,LEFT(O7114,3)=$W$7)),"x","")</f>
        <v/>
      </c>
      <c r="X7114" s="79" t="str">
        <f>IF(OR(TH!N7114=TH!$X$7,O7114=TH!$X$7),"x","")</f>
        <v/>
      </c>
      <c r="Y7114" s="79" t="str">
        <f>IF(AND(OR(N7114="131",O7114="131"),H7114='131-CT'!$H$9),"x","")</f>
        <v/>
      </c>
      <c r="Z7114" s="79"/>
      <c r="AA7114" s="79" t="str">
        <f>IF(AND(MONTH(E7114)='IN-NX'!$J$5,'IN-NX'!$D$7=D7114),"x","")</f>
        <v/>
      </c>
      <c r="AB7114" s="79" t="str">
        <f>IF(AND(OR(LEFT(TH!N7114,2)="15",LEFT(TH!O7114,2)="15"),LEFT(TH!O7114,3)&lt;&gt;"111",'152-CT'!$J$8=TH!F7114),"x","")</f>
        <v/>
      </c>
      <c r="AC7114" s="79" t="str">
        <f>IF(AND(OR(LEFT(TH!N7114,2)="15",LEFT(TH!O7114,2)="15"),TK!$E$7=TH!F7114),"x","")</f>
        <v/>
      </c>
      <c r="AD7114" s="79" t="str">
        <f>IF(AND(N7114="1521",MONTH(C7114)='BK-NL'!$M$11),"x","")</f>
        <v/>
      </c>
    </row>
    <row r="7115" spans="1:30" ht="16.5" customHeight="1">
      <c r="A7115" s="318" t="str">
        <f>IF(B7115&lt;&gt;"",IF(AND(B7115='IN-TC'!$S$4,OR(TH!N7115="1111",TH!O7115="1111")),TH!D7115,""),"")</f>
        <v/>
      </c>
      <c r="B7115" s="1163" t="str">
        <f t="shared" si="531"/>
        <v/>
      </c>
      <c r="C7115" s="61"/>
      <c r="D7115" s="61"/>
      <c r="E7115" s="61"/>
      <c r="F7115" s="69"/>
      <c r="G7115" s="64"/>
      <c r="H7115" s="69"/>
      <c r="I7115" s="385"/>
      <c r="J7115" s="392"/>
      <c r="K7115" s="385"/>
      <c r="L7115" s="392"/>
      <c r="M7115" s="62"/>
      <c r="N7115" s="63"/>
      <c r="O7115" s="63"/>
      <c r="P7115" s="79" t="str">
        <f>IF(AND('331-CT'!$E$7=TH!H7115,OR(N7115="331",O7115="331")),"x","")</f>
        <v/>
      </c>
      <c r="Q7115" s="79" t="str">
        <f>IF(AND(B7115='111'!$L$11,OR($N7115=$Q$7,$O7115=$Q$7)),"x","")</f>
        <v/>
      </c>
      <c r="R7115" s="79" t="str">
        <f>IF(AND($N7115=$Q$7,$B7115&lt;'111'!$L$11),"x","")</f>
        <v/>
      </c>
      <c r="S7115" s="79" t="str">
        <f>IF(AND($O7115=$Q$7,$B7115&lt;'111'!$L$11),"x","")</f>
        <v/>
      </c>
      <c r="T7115" s="79" t="str">
        <f>IF(ISERROR(FIND('112'!$M$9,G7115,1)),"",IF((AND(FIND('112'!$M$9,G7115,1)&gt;=1,B7115='112'!$K$9,OR($N7115='112'!$I$6,$O7115='112'!$I$6))),"x",""))</f>
        <v/>
      </c>
      <c r="U7115" s="79" t="str">
        <f>IF(ISERROR(FIND('112'!$M$9,G7115,1)),"",IF((AND(LEFT(G7115,2)=LEFT('112'!$M$9,2),B7115&lt;'112'!$K$9,$N7115='112'!$I$6)),"x",""))</f>
        <v/>
      </c>
      <c r="V7115" s="79" t="str">
        <f>IF(ISERROR(FIND('112'!$M$9,G7115,1)),"",IF((AND(RIGHT(G7115,2)=RIGHT('112'!$M$9,2),B7115&lt;'112'!$K$9,$O7115='112'!$I$6)),"x",""))</f>
        <v/>
      </c>
      <c r="W7115" s="79" t="str">
        <f>IF(AND('341-CT'!$H$9=H7115,OR(LEFT(N7115,3)=$W$7,LEFT(O7115,3)=$W$7)),"x","")</f>
        <v/>
      </c>
      <c r="X7115" s="79" t="str">
        <f>IF(OR(TH!N7115=TH!$X$7,O7115=TH!$X$7),"x","")</f>
        <v/>
      </c>
      <c r="Y7115" s="79" t="str">
        <f>IF(AND(OR(N7115="131",O7115="131"),H7115='131-CT'!$H$9),"x","")</f>
        <v/>
      </c>
      <c r="Z7115" s="79"/>
      <c r="AA7115" s="79" t="str">
        <f>IF(AND(MONTH(E7115)='IN-NX'!$J$5,'IN-NX'!$D$7=D7115),"x","")</f>
        <v/>
      </c>
      <c r="AB7115" s="79" t="str">
        <f>IF(AND(OR(LEFT(TH!N7115,2)="15",LEFT(TH!O7115,2)="15"),LEFT(TH!O7115,3)&lt;&gt;"111",'152-CT'!$J$8=TH!F7115),"x","")</f>
        <v/>
      </c>
      <c r="AC7115" s="79" t="str">
        <f>IF(AND(OR(LEFT(TH!N7115,2)="15",LEFT(TH!O7115,2)="15"),TK!$E$7=TH!F7115),"x","")</f>
        <v/>
      </c>
      <c r="AD7115" s="79" t="str">
        <f>IF(AND(N7115="1521",MONTH(C7115)='BK-NL'!$M$11),"x","")</f>
        <v/>
      </c>
    </row>
    <row r="7116" spans="1:30" ht="16.5" customHeight="1">
      <c r="A7116" s="318" t="str">
        <f>IF(B7116&lt;&gt;"",IF(AND(B7116='IN-TC'!$S$4,OR(TH!N7116="1111",TH!O7116="1111")),TH!D7116,""),"")</f>
        <v/>
      </c>
      <c r="B7116" s="1163" t="str">
        <f t="shared" si="531"/>
        <v/>
      </c>
      <c r="C7116" s="61"/>
      <c r="D7116" s="61"/>
      <c r="E7116" s="61"/>
      <c r="F7116" s="69"/>
      <c r="G7116" s="64"/>
      <c r="H7116" s="69"/>
      <c r="I7116" s="385"/>
      <c r="J7116" s="392"/>
      <c r="K7116" s="385"/>
      <c r="L7116" s="392"/>
      <c r="M7116" s="62"/>
      <c r="N7116" s="63"/>
      <c r="O7116" s="63"/>
      <c r="P7116" s="79" t="str">
        <f>IF(AND('331-CT'!$E$7=TH!H7116,OR(N7116="331",O7116="331")),"x","")</f>
        <v/>
      </c>
      <c r="Q7116" s="79" t="str">
        <f>IF(AND(B7116='111'!$L$11,OR($N7116=$Q$7,$O7116=$Q$7)),"x","")</f>
        <v/>
      </c>
      <c r="R7116" s="79" t="str">
        <f>IF(AND($N7116=$Q$7,$B7116&lt;'111'!$L$11),"x","")</f>
        <v/>
      </c>
      <c r="S7116" s="79" t="str">
        <f>IF(AND($O7116=$Q$7,$B7116&lt;'111'!$L$11),"x","")</f>
        <v/>
      </c>
      <c r="T7116" s="79" t="str">
        <f>IF(ISERROR(FIND('112'!$M$9,G7116,1)),"",IF((AND(FIND('112'!$M$9,G7116,1)&gt;=1,B7116='112'!$K$9,OR($N7116='112'!$I$6,$O7116='112'!$I$6))),"x",""))</f>
        <v/>
      </c>
      <c r="U7116" s="79" t="str">
        <f>IF(ISERROR(FIND('112'!$M$9,G7116,1)),"",IF((AND(LEFT(G7116,2)=LEFT('112'!$M$9,2),B7116&lt;'112'!$K$9,$N7116='112'!$I$6)),"x",""))</f>
        <v/>
      </c>
      <c r="V7116" s="79" t="str">
        <f>IF(ISERROR(FIND('112'!$M$9,G7116,1)),"",IF((AND(RIGHT(G7116,2)=RIGHT('112'!$M$9,2),B7116&lt;'112'!$K$9,$O7116='112'!$I$6)),"x",""))</f>
        <v/>
      </c>
      <c r="W7116" s="79" t="str">
        <f>IF(AND('341-CT'!$H$9=H7116,OR(LEFT(N7116,3)=$W$7,LEFT(O7116,3)=$W$7)),"x","")</f>
        <v/>
      </c>
      <c r="X7116" s="79" t="str">
        <f>IF(OR(TH!N7116=TH!$X$7,O7116=TH!$X$7),"x","")</f>
        <v/>
      </c>
      <c r="Y7116" s="79" t="str">
        <f>IF(AND(OR(N7116="131",O7116="131"),H7116='131-CT'!$H$9),"x","")</f>
        <v/>
      </c>
      <c r="Z7116" s="79"/>
      <c r="AA7116" s="79" t="str">
        <f>IF(AND(MONTH(E7116)='IN-NX'!$J$5,'IN-NX'!$D$7=D7116),"x","")</f>
        <v/>
      </c>
      <c r="AB7116" s="79" t="str">
        <f>IF(AND(OR(LEFT(TH!N7116,2)="15",LEFT(TH!O7116,2)="15"),LEFT(TH!O7116,3)&lt;&gt;"111",'152-CT'!$J$8=TH!F7116),"x","")</f>
        <v/>
      </c>
      <c r="AC7116" s="79" t="str">
        <f>IF(AND(OR(LEFT(TH!N7116,2)="15",LEFT(TH!O7116,2)="15"),TK!$E$7=TH!F7116),"x","")</f>
        <v/>
      </c>
      <c r="AD7116" s="79" t="str">
        <f>IF(AND(N7116="1521",MONTH(C7116)='BK-NL'!$M$11),"x","")</f>
        <v/>
      </c>
    </row>
    <row r="7117" spans="1:30" ht="16.5" customHeight="1">
      <c r="A7117" s="318" t="str">
        <f>IF(B7117&lt;&gt;"",IF(AND(B7117='IN-TC'!$S$4,OR(TH!N7117="1111",TH!O7117="1111")),TH!D7117,""),"")</f>
        <v/>
      </c>
      <c r="B7117" s="1163" t="str">
        <f t="shared" si="531"/>
        <v/>
      </c>
      <c r="C7117" s="61"/>
      <c r="D7117" s="61"/>
      <c r="E7117" s="61"/>
      <c r="F7117" s="69"/>
      <c r="G7117" s="64"/>
      <c r="H7117" s="69"/>
      <c r="I7117" s="385"/>
      <c r="J7117" s="392"/>
      <c r="K7117" s="385"/>
      <c r="L7117" s="392"/>
      <c r="M7117" s="62"/>
      <c r="N7117" s="63"/>
      <c r="O7117" s="63"/>
      <c r="P7117" s="79" t="str">
        <f>IF(AND('331-CT'!$E$7=TH!H7117,OR(N7117="331",O7117="331")),"x","")</f>
        <v/>
      </c>
      <c r="Q7117" s="79" t="str">
        <f>IF(AND(B7117='111'!$L$11,OR($N7117=$Q$7,$O7117=$Q$7)),"x","")</f>
        <v/>
      </c>
      <c r="R7117" s="79" t="str">
        <f>IF(AND($N7117=$Q$7,$B7117&lt;'111'!$L$11),"x","")</f>
        <v/>
      </c>
      <c r="S7117" s="79" t="str">
        <f>IF(AND($O7117=$Q$7,$B7117&lt;'111'!$L$11),"x","")</f>
        <v/>
      </c>
      <c r="T7117" s="79" t="str">
        <f>IF(ISERROR(FIND('112'!$M$9,G7117,1)),"",IF((AND(FIND('112'!$M$9,G7117,1)&gt;=1,B7117='112'!$K$9,OR($N7117='112'!$I$6,$O7117='112'!$I$6))),"x",""))</f>
        <v/>
      </c>
      <c r="U7117" s="79" t="str">
        <f>IF(ISERROR(FIND('112'!$M$9,G7117,1)),"",IF((AND(LEFT(G7117,2)=LEFT('112'!$M$9,2),B7117&lt;'112'!$K$9,$N7117='112'!$I$6)),"x",""))</f>
        <v/>
      </c>
      <c r="V7117" s="79" t="str">
        <f>IF(ISERROR(FIND('112'!$M$9,G7117,1)),"",IF((AND(RIGHT(G7117,2)=RIGHT('112'!$M$9,2),B7117&lt;'112'!$K$9,$O7117='112'!$I$6)),"x",""))</f>
        <v/>
      </c>
      <c r="W7117" s="79" t="str">
        <f>IF(AND('341-CT'!$H$9=H7117,OR(LEFT(N7117,3)=$W$7,LEFT(O7117,3)=$W$7)),"x","")</f>
        <v/>
      </c>
      <c r="X7117" s="79" t="str">
        <f>IF(OR(TH!N7117=TH!$X$7,O7117=TH!$X$7),"x","")</f>
        <v/>
      </c>
      <c r="Y7117" s="79" t="str">
        <f>IF(AND(OR(N7117="131",O7117="131"),H7117='131-CT'!$H$9),"x","")</f>
        <v/>
      </c>
      <c r="Z7117" s="79"/>
      <c r="AA7117" s="79" t="str">
        <f>IF(AND(MONTH(E7117)='IN-NX'!$J$5,'IN-NX'!$D$7=D7117),"x","")</f>
        <v/>
      </c>
      <c r="AB7117" s="79" t="str">
        <f>IF(AND(OR(LEFT(TH!N7117,2)="15",LEFT(TH!O7117,2)="15"),LEFT(TH!O7117,3)&lt;&gt;"111",'152-CT'!$J$8=TH!F7117),"x","")</f>
        <v/>
      </c>
      <c r="AC7117" s="79" t="str">
        <f>IF(AND(OR(LEFT(TH!N7117,2)="15",LEFT(TH!O7117,2)="15"),TK!$E$7=TH!F7117),"x","")</f>
        <v/>
      </c>
      <c r="AD7117" s="79" t="str">
        <f>IF(AND(N7117="1521",MONTH(C7117)='BK-NL'!$M$11),"x","")</f>
        <v/>
      </c>
    </row>
    <row r="7118" spans="1:30" ht="16.5" customHeight="1">
      <c r="A7118" s="318" t="str">
        <f>IF(B7118&lt;&gt;"",IF(AND(B7118='IN-TC'!$S$4,OR(TH!N7118="1111",TH!O7118="1111")),TH!D7118,""),"")</f>
        <v/>
      </c>
      <c r="B7118" s="1163" t="str">
        <f t="shared" si="531"/>
        <v/>
      </c>
      <c r="C7118" s="61"/>
      <c r="D7118" s="61"/>
      <c r="E7118" s="61"/>
      <c r="F7118" s="69"/>
      <c r="G7118" s="64"/>
      <c r="H7118" s="69"/>
      <c r="I7118" s="385"/>
      <c r="J7118" s="392"/>
      <c r="K7118" s="385"/>
      <c r="L7118" s="392"/>
      <c r="M7118" s="62"/>
      <c r="N7118" s="63"/>
      <c r="O7118" s="63"/>
      <c r="P7118" s="79" t="str">
        <f>IF(AND('331-CT'!$E$7=TH!H7118,OR(N7118="331",O7118="331")),"x","")</f>
        <v/>
      </c>
      <c r="Q7118" s="79" t="str">
        <f>IF(AND(B7118='111'!$L$11,OR($N7118=$Q$7,$O7118=$Q$7)),"x","")</f>
        <v/>
      </c>
      <c r="R7118" s="79" t="str">
        <f>IF(AND($N7118=$Q$7,$B7118&lt;'111'!$L$11),"x","")</f>
        <v/>
      </c>
      <c r="S7118" s="79" t="str">
        <f>IF(AND($O7118=$Q$7,$B7118&lt;'111'!$L$11),"x","")</f>
        <v/>
      </c>
      <c r="T7118" s="79" t="str">
        <f>IF(ISERROR(FIND('112'!$M$9,G7118,1)),"",IF((AND(FIND('112'!$M$9,G7118,1)&gt;=1,B7118='112'!$K$9,OR($N7118='112'!$I$6,$O7118='112'!$I$6))),"x",""))</f>
        <v/>
      </c>
      <c r="U7118" s="79" t="str">
        <f>IF(ISERROR(FIND('112'!$M$9,G7118,1)),"",IF((AND(LEFT(G7118,2)=LEFT('112'!$M$9,2),B7118&lt;'112'!$K$9,$N7118='112'!$I$6)),"x",""))</f>
        <v/>
      </c>
      <c r="V7118" s="79" t="str">
        <f>IF(ISERROR(FIND('112'!$M$9,G7118,1)),"",IF((AND(RIGHT(G7118,2)=RIGHT('112'!$M$9,2),B7118&lt;'112'!$K$9,$O7118='112'!$I$6)),"x",""))</f>
        <v/>
      </c>
      <c r="W7118" s="79" t="str">
        <f>IF(AND('341-CT'!$H$9=H7118,OR(LEFT(N7118,3)=$W$7,LEFT(O7118,3)=$W$7)),"x","")</f>
        <v/>
      </c>
      <c r="X7118" s="79" t="str">
        <f>IF(OR(TH!N7118=TH!$X$7,O7118=TH!$X$7),"x","")</f>
        <v/>
      </c>
      <c r="Y7118" s="79" t="str">
        <f>IF(AND(OR(N7118="131",O7118="131"),H7118='131-CT'!$H$9),"x","")</f>
        <v/>
      </c>
      <c r="Z7118" s="79"/>
      <c r="AA7118" s="79" t="str">
        <f>IF(AND(MONTH(E7118)='IN-NX'!$J$5,'IN-NX'!$D$7=D7118),"x","")</f>
        <v/>
      </c>
      <c r="AB7118" s="79" t="str">
        <f>IF(AND(OR(LEFT(TH!N7118,2)="15",LEFT(TH!O7118,2)="15"),LEFT(TH!O7118,3)&lt;&gt;"111",'152-CT'!$J$8=TH!F7118),"x","")</f>
        <v/>
      </c>
      <c r="AC7118" s="79" t="str">
        <f>IF(AND(OR(LEFT(TH!N7118,2)="15",LEFT(TH!O7118,2)="15"),TK!$E$7=TH!F7118),"x","")</f>
        <v/>
      </c>
      <c r="AD7118" s="79" t="str">
        <f>IF(AND(N7118="1521",MONTH(C7118)='BK-NL'!$M$11),"x","")</f>
        <v/>
      </c>
    </row>
    <row r="7119" spans="1:30" ht="16.5" customHeight="1">
      <c r="A7119" s="318" t="str">
        <f>IF(B7119&lt;&gt;"",IF(AND(B7119='IN-TC'!$S$4,OR(TH!N7119="1111",TH!O7119="1111")),TH!D7119,""),"")</f>
        <v/>
      </c>
      <c r="B7119" s="1163" t="str">
        <f t="shared" si="531"/>
        <v/>
      </c>
      <c r="C7119" s="61"/>
      <c r="D7119" s="61"/>
      <c r="E7119" s="61"/>
      <c r="F7119" s="69"/>
      <c r="G7119" s="64"/>
      <c r="H7119" s="69"/>
      <c r="I7119" s="385"/>
      <c r="J7119" s="392"/>
      <c r="K7119" s="385"/>
      <c r="L7119" s="392"/>
      <c r="M7119" s="62"/>
      <c r="N7119" s="63"/>
      <c r="O7119" s="63"/>
      <c r="P7119" s="79" t="str">
        <f>IF(AND('331-CT'!$E$7=TH!H7119,OR(N7119="331",O7119="331")),"x","")</f>
        <v/>
      </c>
      <c r="Q7119" s="79" t="str">
        <f>IF(AND(B7119='111'!$L$11,OR($N7119=$Q$7,$O7119=$Q$7)),"x","")</f>
        <v/>
      </c>
      <c r="R7119" s="79" t="str">
        <f>IF(AND($N7119=$Q$7,$B7119&lt;'111'!$L$11),"x","")</f>
        <v/>
      </c>
      <c r="S7119" s="79" t="str">
        <f>IF(AND($O7119=$Q$7,$B7119&lt;'111'!$L$11),"x","")</f>
        <v/>
      </c>
      <c r="T7119" s="79" t="str">
        <f>IF(ISERROR(FIND('112'!$M$9,G7119,1)),"",IF((AND(FIND('112'!$M$9,G7119,1)&gt;=1,B7119='112'!$K$9,OR($N7119='112'!$I$6,$O7119='112'!$I$6))),"x",""))</f>
        <v/>
      </c>
      <c r="U7119" s="79" t="str">
        <f>IF(ISERROR(FIND('112'!$M$9,G7119,1)),"",IF((AND(LEFT(G7119,2)=LEFT('112'!$M$9,2),B7119&lt;'112'!$K$9,$N7119='112'!$I$6)),"x",""))</f>
        <v/>
      </c>
      <c r="V7119" s="79" t="str">
        <f>IF(ISERROR(FIND('112'!$M$9,G7119,1)),"",IF((AND(RIGHT(G7119,2)=RIGHT('112'!$M$9,2),B7119&lt;'112'!$K$9,$O7119='112'!$I$6)),"x",""))</f>
        <v/>
      </c>
      <c r="W7119" s="79" t="str">
        <f>IF(AND('341-CT'!$H$9=H7119,OR(LEFT(N7119,3)=$W$7,LEFT(O7119,3)=$W$7)),"x","")</f>
        <v/>
      </c>
      <c r="X7119" s="79" t="str">
        <f>IF(OR(TH!N7119=TH!$X$7,O7119=TH!$X$7),"x","")</f>
        <v/>
      </c>
      <c r="Y7119" s="79" t="str">
        <f>IF(AND(OR(N7119="131",O7119="131"),H7119='131-CT'!$H$9),"x","")</f>
        <v/>
      </c>
      <c r="Z7119" s="79"/>
      <c r="AA7119" s="79" t="str">
        <f>IF(AND(MONTH(E7119)='IN-NX'!$J$5,'IN-NX'!$D$7=D7119),"x","")</f>
        <v/>
      </c>
      <c r="AB7119" s="79" t="str">
        <f>IF(AND(OR(LEFT(TH!N7119,2)="15",LEFT(TH!O7119,2)="15"),LEFT(TH!O7119,3)&lt;&gt;"111",'152-CT'!$J$8=TH!F7119),"x","")</f>
        <v/>
      </c>
      <c r="AC7119" s="79" t="str">
        <f>IF(AND(OR(LEFT(TH!N7119,2)="15",LEFT(TH!O7119,2)="15"),TK!$E$7=TH!F7119),"x","")</f>
        <v/>
      </c>
      <c r="AD7119" s="79" t="str">
        <f>IF(AND(N7119="1521",MONTH(C7119)='BK-NL'!$M$11),"x","")</f>
        <v/>
      </c>
    </row>
    <row r="7120" spans="1:30" ht="16.5" customHeight="1">
      <c r="A7120" s="318" t="str">
        <f>IF(B7120&lt;&gt;"",IF(AND(B7120='IN-TC'!$S$4,OR(TH!N7120="1111",TH!O7120="1111")),TH!D7120,""),"")</f>
        <v/>
      </c>
      <c r="B7120" s="1163" t="str">
        <f t="shared" si="531"/>
        <v/>
      </c>
      <c r="C7120" s="61"/>
      <c r="D7120" s="61"/>
      <c r="E7120" s="61"/>
      <c r="F7120" s="69"/>
      <c r="G7120" s="64"/>
      <c r="H7120" s="69"/>
      <c r="I7120" s="385"/>
      <c r="J7120" s="392"/>
      <c r="K7120" s="385"/>
      <c r="L7120" s="392"/>
      <c r="M7120" s="62"/>
      <c r="N7120" s="63"/>
      <c r="O7120" s="63"/>
      <c r="P7120" s="79" t="str">
        <f>IF(AND('331-CT'!$E$7=TH!H7120,OR(N7120="331",O7120="331")),"x","")</f>
        <v/>
      </c>
      <c r="Q7120" s="79" t="str">
        <f>IF(AND(B7120='111'!$L$11,OR($N7120=$Q$7,$O7120=$Q$7)),"x","")</f>
        <v/>
      </c>
      <c r="R7120" s="79" t="str">
        <f>IF(AND($N7120=$Q$7,$B7120&lt;'111'!$L$11),"x","")</f>
        <v/>
      </c>
      <c r="S7120" s="79" t="str">
        <f>IF(AND($O7120=$Q$7,$B7120&lt;'111'!$L$11),"x","")</f>
        <v/>
      </c>
      <c r="T7120" s="79" t="str">
        <f>IF(ISERROR(FIND('112'!$M$9,G7120,1)),"",IF((AND(FIND('112'!$M$9,G7120,1)&gt;=1,B7120='112'!$K$9,OR($N7120='112'!$I$6,$O7120='112'!$I$6))),"x",""))</f>
        <v/>
      </c>
      <c r="U7120" s="79" t="str">
        <f>IF(ISERROR(FIND('112'!$M$9,G7120,1)),"",IF((AND(LEFT(G7120,2)=LEFT('112'!$M$9,2),B7120&lt;'112'!$K$9,$N7120='112'!$I$6)),"x",""))</f>
        <v/>
      </c>
      <c r="V7120" s="79" t="str">
        <f>IF(ISERROR(FIND('112'!$M$9,G7120,1)),"",IF((AND(RIGHT(G7120,2)=RIGHT('112'!$M$9,2),B7120&lt;'112'!$K$9,$O7120='112'!$I$6)),"x",""))</f>
        <v/>
      </c>
      <c r="W7120" s="79" t="str">
        <f>IF(AND('341-CT'!$H$9=H7120,OR(LEFT(N7120,3)=$W$7,LEFT(O7120,3)=$W$7)),"x","")</f>
        <v/>
      </c>
      <c r="X7120" s="79" t="str">
        <f>IF(OR(TH!N7120=TH!$X$7,O7120=TH!$X$7),"x","")</f>
        <v/>
      </c>
      <c r="Y7120" s="79" t="str">
        <f>IF(AND(OR(N7120="131",O7120="131"),H7120='131-CT'!$H$9),"x","")</f>
        <v/>
      </c>
      <c r="Z7120" s="79"/>
      <c r="AA7120" s="79" t="str">
        <f>IF(AND(MONTH(E7120)='IN-NX'!$J$5,'IN-NX'!$D$7=D7120),"x","")</f>
        <v/>
      </c>
      <c r="AB7120" s="79" t="str">
        <f>IF(AND(OR(LEFT(TH!N7120,2)="15",LEFT(TH!O7120,2)="15"),LEFT(TH!O7120,3)&lt;&gt;"111",'152-CT'!$J$8=TH!F7120),"x","")</f>
        <v/>
      </c>
      <c r="AC7120" s="79" t="str">
        <f>IF(AND(OR(LEFT(TH!N7120,2)="15",LEFT(TH!O7120,2)="15"),TK!$E$7=TH!F7120),"x","")</f>
        <v/>
      </c>
      <c r="AD7120" s="79" t="str">
        <f>IF(AND(N7120="1521",MONTH(C7120)='BK-NL'!$M$11),"x","")</f>
        <v/>
      </c>
    </row>
    <row r="7121" spans="1:30" ht="16.5" customHeight="1">
      <c r="A7121" s="318" t="str">
        <f>IF(B7121&lt;&gt;"",IF(AND(B7121='IN-TC'!$S$4,OR(TH!N7121="1111",TH!O7121="1111")),TH!D7121,""),"")</f>
        <v/>
      </c>
      <c r="B7121" s="1163" t="str">
        <f t="shared" si="531"/>
        <v/>
      </c>
      <c r="C7121" s="61"/>
      <c r="D7121" s="61"/>
      <c r="E7121" s="61"/>
      <c r="F7121" s="69"/>
      <c r="G7121" s="64"/>
      <c r="H7121" s="69"/>
      <c r="I7121" s="385"/>
      <c r="J7121" s="392"/>
      <c r="K7121" s="385"/>
      <c r="L7121" s="392"/>
      <c r="M7121" s="62"/>
      <c r="N7121" s="63"/>
      <c r="O7121" s="63"/>
      <c r="P7121" s="79" t="str">
        <f>IF(AND('331-CT'!$E$7=TH!H7121,OR(N7121="331",O7121="331")),"x","")</f>
        <v/>
      </c>
      <c r="Q7121" s="79" t="str">
        <f>IF(AND(B7121='111'!$L$11,OR($N7121=$Q$7,$O7121=$Q$7)),"x","")</f>
        <v/>
      </c>
      <c r="R7121" s="79" t="str">
        <f>IF(AND($N7121=$Q$7,$B7121&lt;'111'!$L$11),"x","")</f>
        <v/>
      </c>
      <c r="S7121" s="79" t="str">
        <f>IF(AND($O7121=$Q$7,$B7121&lt;'111'!$L$11),"x","")</f>
        <v/>
      </c>
      <c r="T7121" s="79" t="str">
        <f>IF(ISERROR(FIND('112'!$M$9,G7121,1)),"",IF((AND(FIND('112'!$M$9,G7121,1)&gt;=1,B7121='112'!$K$9,OR($N7121='112'!$I$6,$O7121='112'!$I$6))),"x",""))</f>
        <v/>
      </c>
      <c r="U7121" s="79" t="str">
        <f>IF(ISERROR(FIND('112'!$M$9,G7121,1)),"",IF((AND(LEFT(G7121,2)=LEFT('112'!$M$9,2),B7121&lt;'112'!$K$9,$N7121='112'!$I$6)),"x",""))</f>
        <v/>
      </c>
      <c r="V7121" s="79" t="str">
        <f>IF(ISERROR(FIND('112'!$M$9,G7121,1)),"",IF((AND(RIGHT(G7121,2)=RIGHT('112'!$M$9,2),B7121&lt;'112'!$K$9,$O7121='112'!$I$6)),"x",""))</f>
        <v/>
      </c>
      <c r="W7121" s="79" t="str">
        <f>IF(AND('341-CT'!$H$9=H7121,OR(LEFT(N7121,3)=$W$7,LEFT(O7121,3)=$W$7)),"x","")</f>
        <v/>
      </c>
      <c r="X7121" s="79" t="str">
        <f>IF(OR(TH!N7121=TH!$X$7,O7121=TH!$X$7),"x","")</f>
        <v/>
      </c>
      <c r="Y7121" s="79" t="str">
        <f>IF(AND(OR(N7121="131",O7121="131"),H7121='131-CT'!$H$9),"x","")</f>
        <v/>
      </c>
      <c r="Z7121" s="79"/>
      <c r="AA7121" s="79" t="str">
        <f>IF(AND(MONTH(E7121)='IN-NX'!$J$5,'IN-NX'!$D$7=D7121),"x","")</f>
        <v/>
      </c>
      <c r="AB7121" s="79" t="str">
        <f>IF(AND(OR(LEFT(TH!N7121,2)="15",LEFT(TH!O7121,2)="15"),LEFT(TH!O7121,3)&lt;&gt;"111",'152-CT'!$J$8=TH!F7121),"x","")</f>
        <v/>
      </c>
      <c r="AC7121" s="79" t="str">
        <f>IF(AND(OR(LEFT(TH!N7121,2)="15",LEFT(TH!O7121,2)="15"),TK!$E$7=TH!F7121),"x","")</f>
        <v/>
      </c>
      <c r="AD7121" s="79" t="str">
        <f>IF(AND(N7121="1521",MONTH(C7121)='BK-NL'!$M$11),"x","")</f>
        <v/>
      </c>
    </row>
    <row r="7122" spans="1:30" ht="16.5" customHeight="1">
      <c r="A7122" s="318" t="str">
        <f>IF(B7122&lt;&gt;"",IF(AND(B7122='IN-TC'!$S$4,OR(TH!N7122="1111",TH!O7122="1111")),TH!D7122,""),"")</f>
        <v/>
      </c>
      <c r="B7122" s="1163" t="str">
        <f t="shared" si="531"/>
        <v/>
      </c>
      <c r="C7122" s="61"/>
      <c r="D7122" s="61"/>
      <c r="E7122" s="61"/>
      <c r="F7122" s="69"/>
      <c r="G7122" s="64"/>
      <c r="H7122" s="321"/>
      <c r="I7122" s="385"/>
      <c r="J7122" s="392"/>
      <c r="K7122" s="385"/>
      <c r="L7122" s="392"/>
      <c r="M7122" s="62"/>
      <c r="N7122" s="63"/>
      <c r="O7122" s="63"/>
      <c r="P7122" s="79" t="str">
        <f>IF(AND('331-CT'!$E$7=TH!H7122,OR(N7122="331",O7122="331")),"x","")</f>
        <v/>
      </c>
      <c r="Q7122" s="79" t="str">
        <f>IF(AND(B7122='111'!$L$11,OR($N7122=$Q$7,$O7122=$Q$7)),"x","")</f>
        <v/>
      </c>
      <c r="R7122" s="79" t="str">
        <f>IF(AND($N7122=$Q$7,$B7122&lt;'111'!$L$11),"x","")</f>
        <v/>
      </c>
      <c r="S7122" s="79" t="str">
        <f>IF(AND($O7122=$Q$7,$B7122&lt;'111'!$L$11),"x","")</f>
        <v/>
      </c>
      <c r="T7122" s="79" t="str">
        <f>IF(ISERROR(FIND('112'!$M$9,G7122,1)),"",IF((AND(FIND('112'!$M$9,G7122,1)&gt;=1,B7122='112'!$K$9,OR($N7122='112'!$I$6,$O7122='112'!$I$6))),"x",""))</f>
        <v/>
      </c>
      <c r="U7122" s="79" t="str">
        <f>IF(ISERROR(FIND('112'!$M$9,G7122,1)),"",IF((AND(LEFT(G7122,2)=LEFT('112'!$M$9,2),B7122&lt;'112'!$K$9,$N7122='112'!$I$6)),"x",""))</f>
        <v/>
      </c>
      <c r="V7122" s="79" t="str">
        <f>IF(ISERROR(FIND('112'!$M$9,G7122,1)),"",IF((AND(RIGHT(G7122,2)=RIGHT('112'!$M$9,2),B7122&lt;'112'!$K$9,$O7122='112'!$I$6)),"x",""))</f>
        <v/>
      </c>
      <c r="W7122" s="79" t="str">
        <f>IF(AND('341-CT'!$H$9=H7122,OR(LEFT(N7122,3)=$W$7,LEFT(O7122,3)=$W$7)),"x","")</f>
        <v/>
      </c>
      <c r="X7122" s="79" t="str">
        <f>IF(OR(TH!N7122=TH!$X$7,O7122=TH!$X$7),"x","")</f>
        <v/>
      </c>
      <c r="Y7122" s="79" t="str">
        <f>IF(AND(OR(N7122="131",O7122="131"),H7122='131-CT'!$H$9),"x","")</f>
        <v/>
      </c>
      <c r="Z7122" s="79"/>
      <c r="AA7122" s="79" t="str">
        <f>IF(AND(MONTH(E7122)='IN-NX'!$J$5,'IN-NX'!$D$7=D7122),"x","")</f>
        <v/>
      </c>
      <c r="AB7122" s="79" t="str">
        <f>IF(AND(OR(LEFT(TH!N7122,2)="15",LEFT(TH!O7122,2)="15"),LEFT(TH!O7122,3)&lt;&gt;"111",'152-CT'!$J$8=TH!F7122),"x","")</f>
        <v/>
      </c>
      <c r="AC7122" s="79" t="str">
        <f>IF(AND(OR(LEFT(TH!N7122,2)="15",LEFT(TH!O7122,2)="15"),TK!$E$7=TH!F7122),"x","")</f>
        <v/>
      </c>
      <c r="AD7122" s="79" t="str">
        <f>IF(AND(N7122="1521",MONTH(C7122)='BK-NL'!$M$11),"x","")</f>
        <v/>
      </c>
    </row>
    <row r="7123" spans="1:30" ht="16.5" customHeight="1">
      <c r="A7123" s="318" t="str">
        <f>IF(B7123&lt;&gt;"",IF(AND(B7123='IN-TC'!$S$4,OR(TH!N7123="1111",TH!O7123="1111")),TH!D7123,""),"")</f>
        <v/>
      </c>
      <c r="B7123" s="1163" t="str">
        <f t="shared" si="531"/>
        <v/>
      </c>
      <c r="C7123" s="61"/>
      <c r="D7123" s="61"/>
      <c r="E7123" s="61"/>
      <c r="F7123" s="69"/>
      <c r="G7123" s="64"/>
      <c r="H7123" s="69"/>
      <c r="I7123" s="385"/>
      <c r="J7123" s="392"/>
      <c r="K7123" s="385"/>
      <c r="L7123" s="392"/>
      <c r="M7123" s="62"/>
      <c r="N7123" s="63"/>
      <c r="O7123" s="63"/>
      <c r="P7123" s="79" t="str">
        <f>IF(AND('331-CT'!$E$7=TH!H7123,OR(N7123="331",O7123="331")),"x","")</f>
        <v/>
      </c>
      <c r="Q7123" s="79" t="str">
        <f>IF(AND(B7123='111'!$L$11,OR($N7123=$Q$7,$O7123=$Q$7)),"x","")</f>
        <v/>
      </c>
      <c r="R7123" s="79" t="str">
        <f>IF(AND($N7123=$Q$7,$B7123&lt;'111'!$L$11),"x","")</f>
        <v/>
      </c>
      <c r="S7123" s="79" t="str">
        <f>IF(AND($O7123=$Q$7,$B7123&lt;'111'!$L$11),"x","")</f>
        <v/>
      </c>
      <c r="T7123" s="79" t="str">
        <f>IF(ISERROR(FIND('112'!$M$9,G7123,1)),"",IF((AND(FIND('112'!$M$9,G7123,1)&gt;=1,B7123='112'!$K$9,OR($N7123='112'!$I$6,$O7123='112'!$I$6))),"x",""))</f>
        <v/>
      </c>
      <c r="U7123" s="79" t="str">
        <f>IF(ISERROR(FIND('112'!$M$9,G7123,1)),"",IF((AND(LEFT(G7123,2)=LEFT('112'!$M$9,2),B7123&lt;'112'!$K$9,$N7123='112'!$I$6)),"x",""))</f>
        <v/>
      </c>
      <c r="V7123" s="79" t="str">
        <f>IF(ISERROR(FIND('112'!$M$9,G7123,1)),"",IF((AND(RIGHT(G7123,2)=RIGHT('112'!$M$9,2),B7123&lt;'112'!$K$9,$O7123='112'!$I$6)),"x",""))</f>
        <v/>
      </c>
      <c r="W7123" s="79" t="str">
        <f>IF(AND('341-CT'!$H$9=H7123,OR(LEFT(N7123,3)=$W$7,LEFT(O7123,3)=$W$7)),"x","")</f>
        <v/>
      </c>
      <c r="X7123" s="79" t="str">
        <f>IF(OR(TH!N7123=TH!$X$7,O7123=TH!$X$7),"x","")</f>
        <v/>
      </c>
      <c r="Y7123" s="79" t="str">
        <f>IF(AND(OR(N7123="131",O7123="131"),H7123='131-CT'!$H$9),"x","")</f>
        <v/>
      </c>
      <c r="Z7123" s="79"/>
      <c r="AA7123" s="79" t="str">
        <f>IF(AND(MONTH(E7123)='IN-NX'!$J$5,'IN-NX'!$D$7=D7123),"x","")</f>
        <v/>
      </c>
      <c r="AB7123" s="79" t="str">
        <f>IF(AND(OR(LEFT(TH!N7123,2)="15",LEFT(TH!O7123,2)="15"),LEFT(TH!O7123,3)&lt;&gt;"111",'152-CT'!$J$8=TH!F7123),"x","")</f>
        <v/>
      </c>
      <c r="AC7123" s="79" t="str">
        <f>IF(AND(OR(LEFT(TH!N7123,2)="15",LEFT(TH!O7123,2)="15"),TK!$E$7=TH!F7123),"x","")</f>
        <v/>
      </c>
      <c r="AD7123" s="79" t="str">
        <f>IF(AND(N7123="1521",MONTH(C7123)='BK-NL'!$M$11),"x","")</f>
        <v/>
      </c>
    </row>
    <row r="7124" spans="1:30" ht="16.5" customHeight="1">
      <c r="A7124" s="318" t="str">
        <f>IF(B7124&lt;&gt;"",IF(AND(B7124='IN-TC'!$S$4,OR(TH!N7124="1111",TH!O7124="1111")),TH!D7124,""),"")</f>
        <v/>
      </c>
      <c r="B7124" s="1163" t="str">
        <f t="shared" si="531"/>
        <v/>
      </c>
      <c r="C7124" s="61"/>
      <c r="D7124" s="61"/>
      <c r="E7124" s="61"/>
      <c r="F7124" s="69"/>
      <c r="G7124" s="64"/>
      <c r="H7124" s="69"/>
      <c r="I7124" s="385"/>
      <c r="J7124" s="392"/>
      <c r="K7124" s="385"/>
      <c r="L7124" s="392"/>
      <c r="M7124" s="62"/>
      <c r="N7124" s="63"/>
      <c r="O7124" s="63"/>
      <c r="P7124" s="79" t="str">
        <f>IF(AND('331-CT'!$E$7=TH!H7124,OR(N7124="331",O7124="331")),"x","")</f>
        <v/>
      </c>
      <c r="Q7124" s="79" t="str">
        <f>IF(AND(B7124='111'!$L$11,OR($N7124=$Q$7,$O7124=$Q$7)),"x","")</f>
        <v/>
      </c>
      <c r="R7124" s="79" t="str">
        <f>IF(AND($N7124=$Q$7,$B7124&lt;'111'!$L$11),"x","")</f>
        <v/>
      </c>
      <c r="S7124" s="79" t="str">
        <f>IF(AND($O7124=$Q$7,$B7124&lt;'111'!$L$11),"x","")</f>
        <v/>
      </c>
      <c r="T7124" s="79" t="str">
        <f>IF(ISERROR(FIND('112'!$M$9,G7124,1)),"",IF((AND(FIND('112'!$M$9,G7124,1)&gt;=1,B7124='112'!$K$9,OR($N7124='112'!$I$6,$O7124='112'!$I$6))),"x",""))</f>
        <v/>
      </c>
      <c r="U7124" s="79" t="str">
        <f>IF(ISERROR(FIND('112'!$M$9,G7124,1)),"",IF((AND(LEFT(G7124,2)=LEFT('112'!$M$9,2),B7124&lt;'112'!$K$9,$N7124='112'!$I$6)),"x",""))</f>
        <v/>
      </c>
      <c r="V7124" s="79" t="str">
        <f>IF(ISERROR(FIND('112'!$M$9,G7124,1)),"",IF((AND(RIGHT(G7124,2)=RIGHT('112'!$M$9,2),B7124&lt;'112'!$K$9,$O7124='112'!$I$6)),"x",""))</f>
        <v/>
      </c>
      <c r="W7124" s="79" t="str">
        <f>IF(AND('341-CT'!$H$9=H7124,OR(LEFT(N7124,3)=$W$7,LEFT(O7124,3)=$W$7)),"x","")</f>
        <v/>
      </c>
      <c r="X7124" s="79" t="str">
        <f>IF(OR(TH!N7124=TH!$X$7,O7124=TH!$X$7),"x","")</f>
        <v/>
      </c>
      <c r="Y7124" s="79" t="str">
        <f>IF(AND(OR(N7124="131",O7124="131"),H7124='131-CT'!$H$9),"x","")</f>
        <v/>
      </c>
      <c r="Z7124" s="79"/>
      <c r="AA7124" s="79" t="str">
        <f>IF(AND(MONTH(E7124)='IN-NX'!$J$5,'IN-NX'!$D$7=D7124),"x","")</f>
        <v/>
      </c>
      <c r="AB7124" s="79" t="str">
        <f>IF(AND(OR(LEFT(TH!N7124,2)="15",LEFT(TH!O7124,2)="15"),LEFT(TH!O7124,3)&lt;&gt;"111",'152-CT'!$J$8=TH!F7124),"x","")</f>
        <v/>
      </c>
      <c r="AC7124" s="79" t="str">
        <f>IF(AND(OR(LEFT(TH!N7124,2)="15",LEFT(TH!O7124,2)="15"),TK!$E$7=TH!F7124),"x","")</f>
        <v/>
      </c>
      <c r="AD7124" s="79" t="str">
        <f>IF(AND(N7124="1521",MONTH(C7124)='BK-NL'!$M$11),"x","")</f>
        <v/>
      </c>
    </row>
    <row r="7125" spans="1:30" ht="16.5" customHeight="1">
      <c r="A7125" s="318" t="str">
        <f>IF(B7125&lt;&gt;"",IF(AND(B7125='IN-TC'!$S$4,OR(TH!N7125="1111",TH!O7125="1111")),TH!D7125,""),"")</f>
        <v/>
      </c>
      <c r="B7125" s="1163" t="str">
        <f t="shared" si="531"/>
        <v/>
      </c>
      <c r="C7125" s="61"/>
      <c r="D7125" s="61"/>
      <c r="E7125" s="61"/>
      <c r="F7125" s="69"/>
      <c r="G7125" s="64"/>
      <c r="H7125" s="69"/>
      <c r="I7125" s="385"/>
      <c r="J7125" s="392"/>
      <c r="K7125" s="385"/>
      <c r="L7125" s="392"/>
      <c r="M7125" s="62"/>
      <c r="N7125" s="63"/>
      <c r="O7125" s="63"/>
      <c r="P7125" s="79" t="str">
        <f>IF(AND('331-CT'!$E$7=TH!H7125,OR(N7125="331",O7125="331")),"x","")</f>
        <v/>
      </c>
      <c r="Q7125" s="79" t="str">
        <f>IF(AND(B7125='111'!$L$11,OR($N7125=$Q$7,$O7125=$Q$7)),"x","")</f>
        <v/>
      </c>
      <c r="R7125" s="79" t="str">
        <f>IF(AND($N7125=$Q$7,$B7125&lt;'111'!$L$11),"x","")</f>
        <v/>
      </c>
      <c r="S7125" s="79" t="str">
        <f>IF(AND($O7125=$Q$7,$B7125&lt;'111'!$L$11),"x","")</f>
        <v/>
      </c>
      <c r="T7125" s="79" t="str">
        <f>IF(ISERROR(FIND('112'!$M$9,G7125,1)),"",IF((AND(FIND('112'!$M$9,G7125,1)&gt;=1,B7125='112'!$K$9,OR($N7125='112'!$I$6,$O7125='112'!$I$6))),"x",""))</f>
        <v/>
      </c>
      <c r="U7125" s="79" t="str">
        <f>IF(ISERROR(FIND('112'!$M$9,G7125,1)),"",IF((AND(LEFT(G7125,2)=LEFT('112'!$M$9,2),B7125&lt;'112'!$K$9,$N7125='112'!$I$6)),"x",""))</f>
        <v/>
      </c>
      <c r="V7125" s="79" t="str">
        <f>IF(ISERROR(FIND('112'!$M$9,G7125,1)),"",IF((AND(RIGHT(G7125,2)=RIGHT('112'!$M$9,2),B7125&lt;'112'!$K$9,$O7125='112'!$I$6)),"x",""))</f>
        <v/>
      </c>
      <c r="W7125" s="79" t="str">
        <f>IF(AND('341-CT'!$H$9=H7125,OR(LEFT(N7125,3)=$W$7,LEFT(O7125,3)=$W$7)),"x","")</f>
        <v/>
      </c>
      <c r="X7125" s="79" t="str">
        <f>IF(OR(TH!N7125=TH!$X$7,O7125=TH!$X$7),"x","")</f>
        <v/>
      </c>
      <c r="Y7125" s="79" t="str">
        <f>IF(AND(OR(N7125="131",O7125="131"),H7125='131-CT'!$H$9),"x","")</f>
        <v/>
      </c>
      <c r="Z7125" s="79"/>
      <c r="AA7125" s="79" t="str">
        <f>IF(AND(MONTH(E7125)='IN-NX'!$J$5,'IN-NX'!$D$7=D7125),"x","")</f>
        <v/>
      </c>
      <c r="AB7125" s="79" t="str">
        <f>IF(AND(OR(LEFT(TH!N7125,2)="15",LEFT(TH!O7125,2)="15"),LEFT(TH!O7125,3)&lt;&gt;"111",'152-CT'!$J$8=TH!F7125),"x","")</f>
        <v/>
      </c>
      <c r="AC7125" s="79" t="str">
        <f>IF(AND(OR(LEFT(TH!N7125,2)="15",LEFT(TH!O7125,2)="15"),TK!$E$7=TH!F7125),"x","")</f>
        <v/>
      </c>
      <c r="AD7125" s="79" t="str">
        <f>IF(AND(N7125="1521",MONTH(C7125)='BK-NL'!$M$11),"x","")</f>
        <v/>
      </c>
    </row>
    <row r="7126" spans="1:30" ht="16.5" customHeight="1">
      <c r="A7126" s="318" t="str">
        <f>IF(B7126&lt;&gt;"",IF(AND(B7126='IN-TC'!$S$4,OR(TH!N7126="1111",TH!O7126="1111")),TH!D7126,""),"")</f>
        <v/>
      </c>
      <c r="B7126" s="1163" t="str">
        <f t="shared" si="531"/>
        <v/>
      </c>
      <c r="C7126" s="61"/>
      <c r="D7126" s="61"/>
      <c r="E7126" s="61"/>
      <c r="F7126" s="69"/>
      <c r="G7126" s="64"/>
      <c r="H7126" s="69"/>
      <c r="I7126" s="385"/>
      <c r="J7126" s="392"/>
      <c r="K7126" s="385"/>
      <c r="L7126" s="392"/>
      <c r="M7126" s="62"/>
      <c r="N7126" s="63"/>
      <c r="O7126" s="63"/>
      <c r="P7126" s="79" t="str">
        <f>IF(AND('331-CT'!$E$7=TH!H7126,OR(N7126="331",O7126="331")),"x","")</f>
        <v/>
      </c>
      <c r="Q7126" s="79" t="str">
        <f>IF(AND(B7126='111'!$L$11,OR($N7126=$Q$7,$O7126=$Q$7)),"x","")</f>
        <v/>
      </c>
      <c r="R7126" s="79" t="str">
        <f>IF(AND($N7126=$Q$7,$B7126&lt;'111'!$L$11),"x","")</f>
        <v/>
      </c>
      <c r="S7126" s="79" t="str">
        <f>IF(AND($O7126=$Q$7,$B7126&lt;'111'!$L$11),"x","")</f>
        <v/>
      </c>
      <c r="T7126" s="79" t="str">
        <f>IF(ISERROR(FIND('112'!$M$9,G7126,1)),"",IF((AND(FIND('112'!$M$9,G7126,1)&gt;=1,B7126='112'!$K$9,OR($N7126='112'!$I$6,$O7126='112'!$I$6))),"x",""))</f>
        <v/>
      </c>
      <c r="U7126" s="79" t="str">
        <f>IF(ISERROR(FIND('112'!$M$9,G7126,1)),"",IF((AND(LEFT(G7126,2)=LEFT('112'!$M$9,2),B7126&lt;'112'!$K$9,$N7126='112'!$I$6)),"x",""))</f>
        <v/>
      </c>
      <c r="V7126" s="79" t="str">
        <f>IF(ISERROR(FIND('112'!$M$9,G7126,1)),"",IF((AND(RIGHT(G7126,2)=RIGHT('112'!$M$9,2),B7126&lt;'112'!$K$9,$O7126='112'!$I$6)),"x",""))</f>
        <v/>
      </c>
      <c r="W7126" s="79" t="str">
        <f>IF(AND('341-CT'!$H$9=H7126,OR(LEFT(N7126,3)=$W$7,LEFT(O7126,3)=$W$7)),"x","")</f>
        <v/>
      </c>
      <c r="X7126" s="79" t="str">
        <f>IF(OR(TH!N7126=TH!$X$7,O7126=TH!$X$7),"x","")</f>
        <v/>
      </c>
      <c r="Y7126" s="79" t="str">
        <f>IF(AND(OR(N7126="131",O7126="131"),H7126='131-CT'!$H$9),"x","")</f>
        <v/>
      </c>
      <c r="Z7126" s="79"/>
      <c r="AA7126" s="79" t="str">
        <f>IF(AND(MONTH(E7126)='IN-NX'!$J$5,'IN-NX'!$D$7=D7126),"x","")</f>
        <v/>
      </c>
      <c r="AB7126" s="79" t="str">
        <f>IF(AND(OR(LEFT(TH!N7126,2)="15",LEFT(TH!O7126,2)="15"),LEFT(TH!O7126,3)&lt;&gt;"111",'152-CT'!$J$8=TH!F7126),"x","")</f>
        <v/>
      </c>
      <c r="AC7126" s="79" t="str">
        <f>IF(AND(OR(LEFT(TH!N7126,2)="15",LEFT(TH!O7126,2)="15"),TK!$E$7=TH!F7126),"x","")</f>
        <v/>
      </c>
      <c r="AD7126" s="79" t="str">
        <f>IF(AND(N7126="1521",MONTH(C7126)='BK-NL'!$M$11),"x","")</f>
        <v/>
      </c>
    </row>
    <row r="7127" spans="1:30" ht="16.5" customHeight="1">
      <c r="A7127" s="318" t="str">
        <f>IF(B7127&lt;&gt;"",IF(AND(B7127='IN-TC'!$S$4,OR(TH!N7127="1111",TH!O7127="1111")),TH!D7127,""),"")</f>
        <v/>
      </c>
      <c r="B7127" s="1163" t="str">
        <f t="shared" si="531"/>
        <v/>
      </c>
      <c r="C7127" s="61"/>
      <c r="D7127" s="61"/>
      <c r="E7127" s="61"/>
      <c r="F7127" s="69"/>
      <c r="G7127" s="64"/>
      <c r="H7127" s="69"/>
      <c r="I7127" s="385"/>
      <c r="J7127" s="392"/>
      <c r="K7127" s="385"/>
      <c r="L7127" s="392"/>
      <c r="M7127" s="62"/>
      <c r="N7127" s="63"/>
      <c r="O7127" s="63"/>
      <c r="P7127" s="79" t="str">
        <f>IF(AND('331-CT'!$E$7=TH!H7127,OR(N7127="331",O7127="331")),"x","")</f>
        <v/>
      </c>
      <c r="Q7127" s="79" t="str">
        <f>IF(AND(B7127='111'!$L$11,OR($N7127=$Q$7,$O7127=$Q$7)),"x","")</f>
        <v/>
      </c>
      <c r="R7127" s="79" t="str">
        <f>IF(AND($N7127=$Q$7,$B7127&lt;'111'!$L$11),"x","")</f>
        <v/>
      </c>
      <c r="S7127" s="79" t="str">
        <f>IF(AND($O7127=$Q$7,$B7127&lt;'111'!$L$11),"x","")</f>
        <v/>
      </c>
      <c r="T7127" s="79" t="str">
        <f>IF(ISERROR(FIND('112'!$M$9,G7127,1)),"",IF((AND(FIND('112'!$M$9,G7127,1)&gt;=1,B7127='112'!$K$9,OR($N7127='112'!$I$6,$O7127='112'!$I$6))),"x",""))</f>
        <v/>
      </c>
      <c r="U7127" s="79" t="str">
        <f>IF(ISERROR(FIND('112'!$M$9,G7127,1)),"",IF((AND(LEFT(G7127,2)=LEFT('112'!$M$9,2),B7127&lt;'112'!$K$9,$N7127='112'!$I$6)),"x",""))</f>
        <v/>
      </c>
      <c r="V7127" s="79" t="str">
        <f>IF(ISERROR(FIND('112'!$M$9,G7127,1)),"",IF((AND(RIGHT(G7127,2)=RIGHT('112'!$M$9,2),B7127&lt;'112'!$K$9,$O7127='112'!$I$6)),"x",""))</f>
        <v/>
      </c>
      <c r="W7127" s="79" t="str">
        <f>IF(AND('341-CT'!$H$9=H7127,OR(LEFT(N7127,3)=$W$7,LEFT(O7127,3)=$W$7)),"x","")</f>
        <v/>
      </c>
      <c r="X7127" s="79" t="str">
        <f>IF(OR(TH!N7127=TH!$X$7,O7127=TH!$X$7),"x","")</f>
        <v/>
      </c>
      <c r="Y7127" s="79" t="str">
        <f>IF(AND(OR(N7127="131",O7127="131"),H7127='131-CT'!$H$9),"x","")</f>
        <v/>
      </c>
      <c r="Z7127" s="79"/>
      <c r="AA7127" s="79" t="str">
        <f>IF(AND(MONTH(E7127)='IN-NX'!$J$5,'IN-NX'!$D$7=D7127),"x","")</f>
        <v/>
      </c>
      <c r="AB7127" s="79" t="str">
        <f>IF(AND(OR(LEFT(TH!N7127,2)="15",LEFT(TH!O7127,2)="15"),LEFT(TH!O7127,3)&lt;&gt;"111",'152-CT'!$J$8=TH!F7127),"x","")</f>
        <v/>
      </c>
      <c r="AC7127" s="79" t="str">
        <f>IF(AND(OR(LEFT(TH!N7127,2)="15",LEFT(TH!O7127,2)="15"),TK!$E$7=TH!F7127),"x","")</f>
        <v/>
      </c>
      <c r="AD7127" s="79" t="str">
        <f>IF(AND(N7127="1521",MONTH(C7127)='BK-NL'!$M$11),"x","")</f>
        <v/>
      </c>
    </row>
    <row r="7128" spans="1:30" ht="16.5" customHeight="1">
      <c r="A7128" s="318" t="str">
        <f>IF(B7128&lt;&gt;"",IF(AND(B7128='IN-TC'!$S$4,OR(TH!N7128="1111",TH!O7128="1111")),TH!D7128,""),"")</f>
        <v/>
      </c>
      <c r="B7128" s="1163" t="str">
        <f t="shared" si="531"/>
        <v/>
      </c>
      <c r="C7128" s="61"/>
      <c r="D7128" s="61"/>
      <c r="E7128" s="61"/>
      <c r="F7128" s="69"/>
      <c r="G7128" s="64"/>
      <c r="H7128" s="69"/>
      <c r="I7128" s="385"/>
      <c r="J7128" s="392"/>
      <c r="K7128" s="385"/>
      <c r="L7128" s="392"/>
      <c r="M7128" s="62"/>
      <c r="N7128" s="63"/>
      <c r="O7128" s="63"/>
      <c r="P7128" s="79" t="str">
        <f>IF(AND('331-CT'!$E$7=TH!H7128,OR(N7128="331",O7128="331")),"x","")</f>
        <v/>
      </c>
      <c r="Q7128" s="79" t="str">
        <f>IF(AND(B7128='111'!$L$11,OR($N7128=$Q$7,$O7128=$Q$7)),"x","")</f>
        <v/>
      </c>
      <c r="R7128" s="79" t="str">
        <f>IF(AND($N7128=$Q$7,$B7128&lt;'111'!$L$11),"x","")</f>
        <v/>
      </c>
      <c r="S7128" s="79" t="str">
        <f>IF(AND($O7128=$Q$7,$B7128&lt;'111'!$L$11),"x","")</f>
        <v/>
      </c>
      <c r="T7128" s="79" t="str">
        <f>IF(ISERROR(FIND('112'!$M$9,G7128,1)),"",IF((AND(FIND('112'!$M$9,G7128,1)&gt;=1,B7128='112'!$K$9,OR($N7128='112'!$I$6,$O7128='112'!$I$6))),"x",""))</f>
        <v/>
      </c>
      <c r="U7128" s="79" t="str">
        <f>IF(ISERROR(FIND('112'!$M$9,G7128,1)),"",IF((AND(LEFT(G7128,2)=LEFT('112'!$M$9,2),B7128&lt;'112'!$K$9,$N7128='112'!$I$6)),"x",""))</f>
        <v/>
      </c>
      <c r="V7128" s="79" t="str">
        <f>IF(ISERROR(FIND('112'!$M$9,G7128,1)),"",IF((AND(RIGHT(G7128,2)=RIGHT('112'!$M$9,2),B7128&lt;'112'!$K$9,$O7128='112'!$I$6)),"x",""))</f>
        <v/>
      </c>
      <c r="W7128" s="79" t="str">
        <f>IF(AND('341-CT'!$H$9=H7128,OR(LEFT(N7128,3)=$W$7,LEFT(O7128,3)=$W$7)),"x","")</f>
        <v/>
      </c>
      <c r="X7128" s="79" t="str">
        <f>IF(OR(TH!N7128=TH!$X$7,O7128=TH!$X$7),"x","")</f>
        <v/>
      </c>
      <c r="Y7128" s="79" t="str">
        <f>IF(AND(OR(N7128="131",O7128="131"),H7128='131-CT'!$H$9),"x","")</f>
        <v/>
      </c>
      <c r="Z7128" s="79"/>
      <c r="AA7128" s="79" t="str">
        <f>IF(AND(MONTH(E7128)='IN-NX'!$J$5,'IN-NX'!$D$7=D7128),"x","")</f>
        <v/>
      </c>
      <c r="AB7128" s="79" t="str">
        <f>IF(AND(OR(LEFT(TH!N7128,2)="15",LEFT(TH!O7128,2)="15"),LEFT(TH!O7128,3)&lt;&gt;"111",'152-CT'!$J$8=TH!F7128),"x","")</f>
        <v/>
      </c>
      <c r="AC7128" s="79" t="str">
        <f>IF(AND(OR(LEFT(TH!N7128,2)="15",LEFT(TH!O7128,2)="15"),TK!$E$7=TH!F7128),"x","")</f>
        <v/>
      </c>
      <c r="AD7128" s="79" t="str">
        <f>IF(AND(N7128="1521",MONTH(C7128)='BK-NL'!$M$11),"x","")</f>
        <v/>
      </c>
    </row>
    <row r="7129" spans="1:30" ht="16.5" customHeight="1">
      <c r="A7129" s="318" t="str">
        <f>IF(B7129&lt;&gt;"",IF(AND(B7129='IN-TC'!$S$4,OR(TH!N7129="1111",TH!O7129="1111")),TH!D7129,""),"")</f>
        <v/>
      </c>
      <c r="B7129" s="1163" t="str">
        <f t="shared" si="531"/>
        <v/>
      </c>
      <c r="C7129" s="61"/>
      <c r="D7129" s="61"/>
      <c r="E7129" s="61"/>
      <c r="F7129" s="69"/>
      <c r="G7129" s="64"/>
      <c r="H7129" s="69"/>
      <c r="I7129" s="385"/>
      <c r="J7129" s="392"/>
      <c r="K7129" s="385"/>
      <c r="L7129" s="392"/>
      <c r="M7129" s="62"/>
      <c r="N7129" s="63"/>
      <c r="O7129" s="63"/>
      <c r="P7129" s="79" t="str">
        <f>IF(AND('331-CT'!$E$7=TH!H7129,OR(N7129="331",O7129="331")),"x","")</f>
        <v/>
      </c>
      <c r="Q7129" s="79" t="str">
        <f>IF(AND(B7129='111'!$L$11,OR($N7129=$Q$7,$O7129=$Q$7)),"x","")</f>
        <v/>
      </c>
      <c r="R7129" s="79" t="str">
        <f>IF(AND($N7129=$Q$7,$B7129&lt;'111'!$L$11),"x","")</f>
        <v/>
      </c>
      <c r="S7129" s="79" t="str">
        <f>IF(AND($O7129=$Q$7,$B7129&lt;'111'!$L$11),"x","")</f>
        <v/>
      </c>
      <c r="T7129" s="79" t="str">
        <f>IF(ISERROR(FIND('112'!$M$9,G7129,1)),"",IF((AND(FIND('112'!$M$9,G7129,1)&gt;=1,B7129='112'!$K$9,OR($N7129='112'!$I$6,$O7129='112'!$I$6))),"x",""))</f>
        <v/>
      </c>
      <c r="U7129" s="79" t="str">
        <f>IF(ISERROR(FIND('112'!$M$9,G7129,1)),"",IF((AND(LEFT(G7129,2)=LEFT('112'!$M$9,2),B7129&lt;'112'!$K$9,$N7129='112'!$I$6)),"x",""))</f>
        <v/>
      </c>
      <c r="V7129" s="79" t="str">
        <f>IF(ISERROR(FIND('112'!$M$9,G7129,1)),"",IF((AND(RIGHT(G7129,2)=RIGHT('112'!$M$9,2),B7129&lt;'112'!$K$9,$O7129='112'!$I$6)),"x",""))</f>
        <v/>
      </c>
      <c r="W7129" s="79" t="str">
        <f>IF(AND('341-CT'!$H$9=H7129,OR(LEFT(N7129,3)=$W$7,LEFT(O7129,3)=$W$7)),"x","")</f>
        <v/>
      </c>
      <c r="X7129" s="79" t="str">
        <f>IF(OR(TH!N7129=TH!$X$7,O7129=TH!$X$7),"x","")</f>
        <v/>
      </c>
      <c r="Y7129" s="79" t="str">
        <f>IF(AND(OR(N7129="131",O7129="131"),H7129='131-CT'!$H$9),"x","")</f>
        <v/>
      </c>
      <c r="Z7129" s="79"/>
      <c r="AA7129" s="79" t="str">
        <f>IF(AND(MONTH(E7129)='IN-NX'!$J$5,'IN-NX'!$D$7=D7129),"x","")</f>
        <v/>
      </c>
      <c r="AB7129" s="79" t="str">
        <f>IF(AND(OR(LEFT(TH!N7129,2)="15",LEFT(TH!O7129,2)="15"),LEFT(TH!O7129,3)&lt;&gt;"111",'152-CT'!$J$8=TH!F7129),"x","")</f>
        <v/>
      </c>
      <c r="AC7129" s="79" t="str">
        <f>IF(AND(OR(LEFT(TH!N7129,2)="15",LEFT(TH!O7129,2)="15"),TK!$E$7=TH!F7129),"x","")</f>
        <v/>
      </c>
      <c r="AD7129" s="79" t="str">
        <f>IF(AND(N7129="1521",MONTH(C7129)='BK-NL'!$M$11),"x","")</f>
        <v/>
      </c>
    </row>
    <row r="7130" spans="1:30" ht="16.5" customHeight="1">
      <c r="A7130" s="318" t="str">
        <f>IF(B7130&lt;&gt;"",IF(AND(B7130='IN-TC'!$S$4,OR(TH!N7130="1111",TH!O7130="1111")),TH!D7130,""),"")</f>
        <v/>
      </c>
      <c r="B7130" s="1163" t="str">
        <f t="shared" si="531"/>
        <v/>
      </c>
      <c r="C7130" s="61"/>
      <c r="D7130" s="61"/>
      <c r="E7130" s="61"/>
      <c r="F7130" s="69"/>
      <c r="G7130" s="64"/>
      <c r="H7130" s="69"/>
      <c r="I7130" s="385"/>
      <c r="J7130" s="392"/>
      <c r="K7130" s="385"/>
      <c r="L7130" s="392"/>
      <c r="M7130" s="62"/>
      <c r="N7130" s="63"/>
      <c r="O7130" s="63"/>
      <c r="P7130" s="79" t="str">
        <f>IF(AND('331-CT'!$E$7=TH!H7130,OR(N7130="331",O7130="331")),"x","")</f>
        <v/>
      </c>
      <c r="Q7130" s="79" t="str">
        <f>IF(AND(B7130='111'!$L$11,OR($N7130=$Q$7,$O7130=$Q$7)),"x","")</f>
        <v/>
      </c>
      <c r="R7130" s="79" t="str">
        <f>IF(AND($N7130=$Q$7,$B7130&lt;'111'!$L$11),"x","")</f>
        <v/>
      </c>
      <c r="S7130" s="79" t="str">
        <f>IF(AND($O7130=$Q$7,$B7130&lt;'111'!$L$11),"x","")</f>
        <v/>
      </c>
      <c r="T7130" s="79" t="str">
        <f>IF(ISERROR(FIND('112'!$M$9,G7130,1)),"",IF((AND(FIND('112'!$M$9,G7130,1)&gt;=1,B7130='112'!$K$9,OR($N7130='112'!$I$6,$O7130='112'!$I$6))),"x",""))</f>
        <v/>
      </c>
      <c r="U7130" s="79" t="str">
        <f>IF(ISERROR(FIND('112'!$M$9,G7130,1)),"",IF((AND(LEFT(G7130,2)=LEFT('112'!$M$9,2),B7130&lt;'112'!$K$9,$N7130='112'!$I$6)),"x",""))</f>
        <v/>
      </c>
      <c r="V7130" s="79" t="str">
        <f>IF(ISERROR(FIND('112'!$M$9,G7130,1)),"",IF((AND(RIGHT(G7130,2)=RIGHT('112'!$M$9,2),B7130&lt;'112'!$K$9,$O7130='112'!$I$6)),"x",""))</f>
        <v/>
      </c>
      <c r="W7130" s="79" t="str">
        <f>IF(AND('341-CT'!$H$9=H7130,OR(LEFT(N7130,3)=$W$7,LEFT(O7130,3)=$W$7)),"x","")</f>
        <v/>
      </c>
      <c r="X7130" s="79" t="str">
        <f>IF(OR(TH!N7130=TH!$X$7,O7130=TH!$X$7),"x","")</f>
        <v/>
      </c>
      <c r="Y7130" s="79" t="str">
        <f>IF(AND(OR(N7130="131",O7130="131"),H7130='131-CT'!$H$9),"x","")</f>
        <v/>
      </c>
      <c r="Z7130" s="79"/>
      <c r="AA7130" s="79" t="str">
        <f>IF(AND(MONTH(E7130)='IN-NX'!$J$5,'IN-NX'!$D$7=D7130),"x","")</f>
        <v/>
      </c>
      <c r="AB7130" s="79" t="str">
        <f>IF(AND(OR(LEFT(TH!N7130,2)="15",LEFT(TH!O7130,2)="15"),LEFT(TH!O7130,3)&lt;&gt;"111",'152-CT'!$J$8=TH!F7130),"x","")</f>
        <v/>
      </c>
      <c r="AC7130" s="79" t="str">
        <f>IF(AND(OR(LEFT(TH!N7130,2)="15",LEFT(TH!O7130,2)="15"),TK!$E$7=TH!F7130),"x","")</f>
        <v/>
      </c>
      <c r="AD7130" s="79" t="str">
        <f>IF(AND(N7130="1521",MONTH(C7130)='BK-NL'!$M$11),"x","")</f>
        <v/>
      </c>
    </row>
    <row r="7131" spans="1:30" ht="16.5" customHeight="1">
      <c r="A7131" s="318" t="str">
        <f>IF(B7131&lt;&gt;"",IF(AND(B7131='IN-TC'!$S$4,OR(TH!N7131="1111",TH!O7131="1111")),TH!D7131,""),"")</f>
        <v/>
      </c>
      <c r="B7131" s="1163" t="str">
        <f t="shared" si="531"/>
        <v/>
      </c>
      <c r="C7131" s="61"/>
      <c r="D7131" s="61"/>
      <c r="E7131" s="61"/>
      <c r="F7131" s="69"/>
      <c r="G7131" s="64"/>
      <c r="H7131" s="69"/>
      <c r="I7131" s="385"/>
      <c r="J7131" s="392"/>
      <c r="K7131" s="385"/>
      <c r="L7131" s="392"/>
      <c r="M7131" s="62"/>
      <c r="N7131" s="63"/>
      <c r="O7131" s="63"/>
      <c r="P7131" s="79" t="str">
        <f>IF(AND('331-CT'!$E$7=TH!H7131,OR(N7131="331",O7131="331")),"x","")</f>
        <v/>
      </c>
      <c r="Q7131" s="79" t="str">
        <f>IF(AND(B7131='111'!$L$11,OR($N7131=$Q$7,$O7131=$Q$7)),"x","")</f>
        <v/>
      </c>
      <c r="R7131" s="79" t="str">
        <f>IF(AND($N7131=$Q$7,$B7131&lt;'111'!$L$11),"x","")</f>
        <v/>
      </c>
      <c r="S7131" s="79" t="str">
        <f>IF(AND($O7131=$Q$7,$B7131&lt;'111'!$L$11),"x","")</f>
        <v/>
      </c>
      <c r="T7131" s="79" t="str">
        <f>IF(ISERROR(FIND('112'!$M$9,G7131,1)),"",IF((AND(FIND('112'!$M$9,G7131,1)&gt;=1,B7131='112'!$K$9,OR($N7131='112'!$I$6,$O7131='112'!$I$6))),"x",""))</f>
        <v/>
      </c>
      <c r="U7131" s="79" t="str">
        <f>IF(ISERROR(FIND('112'!$M$9,G7131,1)),"",IF((AND(LEFT(G7131,2)=LEFT('112'!$M$9,2),B7131&lt;'112'!$K$9,$N7131='112'!$I$6)),"x",""))</f>
        <v/>
      </c>
      <c r="V7131" s="79" t="str">
        <f>IF(ISERROR(FIND('112'!$M$9,G7131,1)),"",IF((AND(RIGHT(G7131,2)=RIGHT('112'!$M$9,2),B7131&lt;'112'!$K$9,$O7131='112'!$I$6)),"x",""))</f>
        <v/>
      </c>
      <c r="W7131" s="79" t="str">
        <f>IF(AND('341-CT'!$H$9=H7131,OR(LEFT(N7131,3)=$W$7,LEFT(O7131,3)=$W$7)),"x","")</f>
        <v/>
      </c>
      <c r="X7131" s="79" t="str">
        <f>IF(OR(TH!N7131=TH!$X$7,O7131=TH!$X$7),"x","")</f>
        <v/>
      </c>
      <c r="Y7131" s="79" t="str">
        <f>IF(AND(OR(N7131="131",O7131="131"),H7131='131-CT'!$H$9),"x","")</f>
        <v/>
      </c>
      <c r="Z7131" s="79"/>
      <c r="AA7131" s="79" t="str">
        <f>IF(AND(MONTH(E7131)='IN-NX'!$J$5,'IN-NX'!$D$7=D7131),"x","")</f>
        <v/>
      </c>
      <c r="AB7131" s="79" t="str">
        <f>IF(AND(OR(LEFT(TH!N7131,2)="15",LEFT(TH!O7131,2)="15"),LEFT(TH!O7131,3)&lt;&gt;"111",'152-CT'!$J$8=TH!F7131),"x","")</f>
        <v/>
      </c>
      <c r="AC7131" s="79" t="str">
        <f>IF(AND(OR(LEFT(TH!N7131,2)="15",LEFT(TH!O7131,2)="15"),TK!$E$7=TH!F7131),"x","")</f>
        <v/>
      </c>
      <c r="AD7131" s="79" t="str">
        <f>IF(AND(N7131="1521",MONTH(C7131)='BK-NL'!$M$11),"x","")</f>
        <v/>
      </c>
    </row>
    <row r="7132" spans="1:30" ht="16.5" customHeight="1">
      <c r="A7132" s="318" t="str">
        <f>IF(B7132&lt;&gt;"",IF(AND(B7132='IN-TC'!$S$4,OR(TH!N7132="1111",TH!O7132="1111")),TH!D7132,""),"")</f>
        <v/>
      </c>
      <c r="B7132" s="1163" t="str">
        <f t="shared" si="531"/>
        <v/>
      </c>
      <c r="C7132" s="61"/>
      <c r="D7132" s="61"/>
      <c r="E7132" s="61"/>
      <c r="F7132" s="69"/>
      <c r="G7132" s="64"/>
      <c r="H7132" s="69"/>
      <c r="I7132" s="385"/>
      <c r="J7132" s="392"/>
      <c r="K7132" s="385"/>
      <c r="L7132" s="392"/>
      <c r="M7132" s="62"/>
      <c r="N7132" s="63"/>
      <c r="O7132" s="63"/>
      <c r="P7132" s="79" t="str">
        <f>IF(AND('331-CT'!$E$7=TH!H7132,OR(N7132="331",O7132="331")),"x","")</f>
        <v/>
      </c>
      <c r="Q7132" s="79" t="str">
        <f>IF(AND(B7132='111'!$L$11,OR($N7132=$Q$7,$O7132=$Q$7)),"x","")</f>
        <v/>
      </c>
      <c r="R7132" s="79" t="str">
        <f>IF(AND($N7132=$Q$7,$B7132&lt;'111'!$L$11),"x","")</f>
        <v/>
      </c>
      <c r="S7132" s="79" t="str">
        <f>IF(AND($O7132=$Q$7,$B7132&lt;'111'!$L$11),"x","")</f>
        <v/>
      </c>
      <c r="T7132" s="79" t="str">
        <f>IF(ISERROR(FIND('112'!$M$9,G7132,1)),"",IF((AND(FIND('112'!$M$9,G7132,1)&gt;=1,B7132='112'!$K$9,OR($N7132='112'!$I$6,$O7132='112'!$I$6))),"x",""))</f>
        <v/>
      </c>
      <c r="U7132" s="79" t="str">
        <f>IF(ISERROR(FIND('112'!$M$9,G7132,1)),"",IF((AND(LEFT(G7132,2)=LEFT('112'!$M$9,2),B7132&lt;'112'!$K$9,$N7132='112'!$I$6)),"x",""))</f>
        <v/>
      </c>
      <c r="V7132" s="79" t="str">
        <f>IF(ISERROR(FIND('112'!$M$9,G7132,1)),"",IF((AND(RIGHT(G7132,2)=RIGHT('112'!$M$9,2),B7132&lt;'112'!$K$9,$O7132='112'!$I$6)),"x",""))</f>
        <v/>
      </c>
      <c r="W7132" s="79" t="str">
        <f>IF(AND('341-CT'!$H$9=H7132,OR(LEFT(N7132,3)=$W$7,LEFT(O7132,3)=$W$7)),"x","")</f>
        <v/>
      </c>
      <c r="X7132" s="79" t="str">
        <f>IF(OR(TH!N7132=TH!$X$7,O7132=TH!$X$7),"x","")</f>
        <v/>
      </c>
      <c r="Y7132" s="79" t="str">
        <f>IF(AND(OR(N7132="131",O7132="131"),H7132='131-CT'!$H$9),"x","")</f>
        <v/>
      </c>
      <c r="Z7132" s="79"/>
      <c r="AA7132" s="79" t="str">
        <f>IF(AND(MONTH(E7132)='IN-NX'!$J$5,'IN-NX'!$D$7=D7132),"x","")</f>
        <v/>
      </c>
      <c r="AB7132" s="79" t="str">
        <f>IF(AND(OR(LEFT(TH!N7132,2)="15",LEFT(TH!O7132,2)="15"),LEFT(TH!O7132,3)&lt;&gt;"111",'152-CT'!$J$8=TH!F7132),"x","")</f>
        <v/>
      </c>
      <c r="AC7132" s="79" t="str">
        <f>IF(AND(OR(LEFT(TH!N7132,2)="15",LEFT(TH!O7132,2)="15"),TK!$E$7=TH!F7132),"x","")</f>
        <v/>
      </c>
      <c r="AD7132" s="79" t="str">
        <f>IF(AND(N7132="1521",MONTH(C7132)='BK-NL'!$M$11),"x","")</f>
        <v/>
      </c>
    </row>
    <row r="7133" spans="1:30" ht="16.5" customHeight="1">
      <c r="A7133" s="318" t="str">
        <f>IF(B7133&lt;&gt;"",IF(AND(B7133='IN-TC'!$S$4,OR(TH!N7133="1111",TH!O7133="1111")),TH!D7133,""),"")</f>
        <v/>
      </c>
      <c r="B7133" s="1163" t="str">
        <f t="shared" si="531"/>
        <v/>
      </c>
      <c r="C7133" s="61"/>
      <c r="D7133" s="61"/>
      <c r="E7133" s="61"/>
      <c r="F7133" s="69"/>
      <c r="G7133" s="64"/>
      <c r="H7133" s="69"/>
      <c r="I7133" s="385"/>
      <c r="J7133" s="392"/>
      <c r="K7133" s="385"/>
      <c r="L7133" s="392"/>
      <c r="M7133" s="62"/>
      <c r="N7133" s="63"/>
      <c r="O7133" s="63"/>
      <c r="P7133" s="79" t="str">
        <f>IF(AND('331-CT'!$E$7=TH!H7133,OR(N7133="331",O7133="331")),"x","")</f>
        <v/>
      </c>
      <c r="Q7133" s="79" t="str">
        <f>IF(AND(B7133='111'!$L$11,OR($N7133=$Q$7,$O7133=$Q$7)),"x","")</f>
        <v/>
      </c>
      <c r="R7133" s="79" t="str">
        <f>IF(AND($N7133=$Q$7,$B7133&lt;'111'!$L$11),"x","")</f>
        <v/>
      </c>
      <c r="S7133" s="79" t="str">
        <f>IF(AND($O7133=$Q$7,$B7133&lt;'111'!$L$11),"x","")</f>
        <v/>
      </c>
      <c r="T7133" s="79" t="str">
        <f>IF(ISERROR(FIND('112'!$M$9,G7133,1)),"",IF((AND(FIND('112'!$M$9,G7133,1)&gt;=1,B7133='112'!$K$9,OR($N7133='112'!$I$6,$O7133='112'!$I$6))),"x",""))</f>
        <v/>
      </c>
      <c r="U7133" s="79" t="str">
        <f>IF(ISERROR(FIND('112'!$M$9,G7133,1)),"",IF((AND(LEFT(G7133,2)=LEFT('112'!$M$9,2),B7133&lt;'112'!$K$9,$N7133='112'!$I$6)),"x",""))</f>
        <v/>
      </c>
      <c r="V7133" s="79" t="str">
        <f>IF(ISERROR(FIND('112'!$M$9,G7133,1)),"",IF((AND(RIGHT(G7133,2)=RIGHT('112'!$M$9,2),B7133&lt;'112'!$K$9,$O7133='112'!$I$6)),"x",""))</f>
        <v/>
      </c>
      <c r="W7133" s="79" t="str">
        <f>IF(AND('341-CT'!$H$9=H7133,OR(LEFT(N7133,3)=$W$7,LEFT(O7133,3)=$W$7)),"x","")</f>
        <v/>
      </c>
      <c r="X7133" s="79" t="str">
        <f>IF(OR(TH!N7133=TH!$X$7,O7133=TH!$X$7),"x","")</f>
        <v/>
      </c>
      <c r="Y7133" s="79" t="str">
        <f>IF(AND(OR(N7133="131",O7133="131"),H7133='131-CT'!$H$9),"x","")</f>
        <v/>
      </c>
      <c r="Z7133" s="79"/>
      <c r="AA7133" s="79" t="str">
        <f>IF(AND(MONTH(E7133)='IN-NX'!$J$5,'IN-NX'!$D$7=D7133),"x","")</f>
        <v/>
      </c>
      <c r="AB7133" s="79" t="str">
        <f>IF(AND(OR(LEFT(TH!N7133,2)="15",LEFT(TH!O7133,2)="15"),LEFT(TH!O7133,3)&lt;&gt;"111",'152-CT'!$J$8=TH!F7133),"x","")</f>
        <v/>
      </c>
      <c r="AC7133" s="79" t="str">
        <f>IF(AND(OR(LEFT(TH!N7133,2)="15",LEFT(TH!O7133,2)="15"),TK!$E$7=TH!F7133),"x","")</f>
        <v/>
      </c>
      <c r="AD7133" s="79" t="str">
        <f>IF(AND(N7133="1521",MONTH(C7133)='BK-NL'!$M$11),"x","")</f>
        <v/>
      </c>
    </row>
    <row r="7134" spans="1:30" ht="16.5" customHeight="1">
      <c r="A7134" s="318" t="str">
        <f>IF(B7134&lt;&gt;"",IF(AND(B7134='IN-TC'!$S$4,OR(TH!N7134="1111",TH!O7134="1111")),TH!D7134,""),"")</f>
        <v/>
      </c>
      <c r="B7134" s="1163" t="str">
        <f t="shared" si="531"/>
        <v/>
      </c>
      <c r="C7134" s="61"/>
      <c r="D7134" s="61"/>
      <c r="E7134" s="61"/>
      <c r="F7134" s="69"/>
      <c r="G7134" s="64"/>
      <c r="H7134" s="69"/>
      <c r="I7134" s="385"/>
      <c r="J7134" s="392"/>
      <c r="K7134" s="385"/>
      <c r="L7134" s="392"/>
      <c r="M7134" s="62"/>
      <c r="N7134" s="63"/>
      <c r="O7134" s="63"/>
      <c r="P7134" s="79" t="str">
        <f>IF(AND('331-CT'!$E$7=TH!H7134,OR(N7134="331",O7134="331")),"x","")</f>
        <v/>
      </c>
      <c r="Q7134" s="79" t="str">
        <f>IF(AND(B7134='111'!$L$11,OR($N7134=$Q$7,$O7134=$Q$7)),"x","")</f>
        <v/>
      </c>
      <c r="R7134" s="79" t="str">
        <f>IF(AND($N7134=$Q$7,$B7134&lt;'111'!$L$11),"x","")</f>
        <v/>
      </c>
      <c r="S7134" s="79" t="str">
        <f>IF(AND($O7134=$Q$7,$B7134&lt;'111'!$L$11),"x","")</f>
        <v/>
      </c>
      <c r="T7134" s="79" t="str">
        <f>IF(ISERROR(FIND('112'!$M$9,G7134,1)),"",IF((AND(FIND('112'!$M$9,G7134,1)&gt;=1,B7134='112'!$K$9,OR($N7134='112'!$I$6,$O7134='112'!$I$6))),"x",""))</f>
        <v/>
      </c>
      <c r="U7134" s="79" t="str">
        <f>IF(ISERROR(FIND('112'!$M$9,G7134,1)),"",IF((AND(LEFT(G7134,2)=LEFT('112'!$M$9,2),B7134&lt;'112'!$K$9,$N7134='112'!$I$6)),"x",""))</f>
        <v/>
      </c>
      <c r="V7134" s="79" t="str">
        <f>IF(ISERROR(FIND('112'!$M$9,G7134,1)),"",IF((AND(RIGHT(G7134,2)=RIGHT('112'!$M$9,2),B7134&lt;'112'!$K$9,$O7134='112'!$I$6)),"x",""))</f>
        <v/>
      </c>
      <c r="W7134" s="79" t="str">
        <f>IF(AND('341-CT'!$H$9=H7134,OR(LEFT(N7134,3)=$W$7,LEFT(O7134,3)=$W$7)),"x","")</f>
        <v/>
      </c>
      <c r="X7134" s="79" t="str">
        <f>IF(OR(TH!N7134=TH!$X$7,O7134=TH!$X$7),"x","")</f>
        <v/>
      </c>
      <c r="Y7134" s="79" t="str">
        <f>IF(AND(OR(N7134="131",O7134="131"),H7134='131-CT'!$H$9),"x","")</f>
        <v/>
      </c>
      <c r="Z7134" s="79"/>
      <c r="AA7134" s="79" t="str">
        <f>IF(AND(MONTH(E7134)='IN-NX'!$J$5,'IN-NX'!$D$7=D7134),"x","")</f>
        <v/>
      </c>
      <c r="AB7134" s="79" t="str">
        <f>IF(AND(OR(LEFT(TH!N7134,2)="15",LEFT(TH!O7134,2)="15"),LEFT(TH!O7134,3)&lt;&gt;"111",'152-CT'!$J$8=TH!F7134),"x","")</f>
        <v/>
      </c>
      <c r="AC7134" s="79" t="str">
        <f>IF(AND(OR(LEFT(TH!N7134,2)="15",LEFT(TH!O7134,2)="15"),TK!$E$7=TH!F7134),"x","")</f>
        <v/>
      </c>
      <c r="AD7134" s="79" t="str">
        <f>IF(AND(N7134="1521",MONTH(C7134)='BK-NL'!$M$11),"x","")</f>
        <v/>
      </c>
    </row>
    <row r="7135" spans="1:30" ht="16.5" customHeight="1">
      <c r="A7135" s="318" t="str">
        <f>IF(B7135&lt;&gt;"",IF(AND(B7135='IN-TC'!$S$4,OR(TH!N7135="1111",TH!O7135="1111")),TH!D7135,""),"")</f>
        <v/>
      </c>
      <c r="B7135" s="1163" t="str">
        <f t="shared" si="531"/>
        <v/>
      </c>
      <c r="C7135" s="61"/>
      <c r="D7135" s="61"/>
      <c r="E7135" s="61"/>
      <c r="F7135" s="69"/>
      <c r="G7135" s="64"/>
      <c r="H7135" s="69"/>
      <c r="I7135" s="385"/>
      <c r="J7135" s="392"/>
      <c r="K7135" s="385"/>
      <c r="L7135" s="392"/>
      <c r="M7135" s="62"/>
      <c r="N7135" s="63"/>
      <c r="O7135" s="63"/>
      <c r="P7135" s="79" t="str">
        <f>IF(AND('331-CT'!$E$7=TH!H7135,OR(N7135="331",O7135="331")),"x","")</f>
        <v/>
      </c>
      <c r="Q7135" s="79" t="str">
        <f>IF(AND(B7135='111'!$L$11,OR($N7135=$Q$7,$O7135=$Q$7)),"x","")</f>
        <v/>
      </c>
      <c r="R7135" s="79" t="str">
        <f>IF(AND($N7135=$Q$7,$B7135&lt;'111'!$L$11),"x","")</f>
        <v/>
      </c>
      <c r="S7135" s="79" t="str">
        <f>IF(AND($O7135=$Q$7,$B7135&lt;'111'!$L$11),"x","")</f>
        <v/>
      </c>
      <c r="T7135" s="79" t="str">
        <f>IF(ISERROR(FIND('112'!$M$9,G7135,1)),"",IF((AND(FIND('112'!$M$9,G7135,1)&gt;=1,B7135='112'!$K$9,OR($N7135='112'!$I$6,$O7135='112'!$I$6))),"x",""))</f>
        <v/>
      </c>
      <c r="U7135" s="79" t="str">
        <f>IF(ISERROR(FIND('112'!$M$9,G7135,1)),"",IF((AND(LEFT(G7135,2)=LEFT('112'!$M$9,2),B7135&lt;'112'!$K$9,$N7135='112'!$I$6)),"x",""))</f>
        <v/>
      </c>
      <c r="V7135" s="79" t="str">
        <f>IF(ISERROR(FIND('112'!$M$9,G7135,1)),"",IF((AND(RIGHT(G7135,2)=RIGHT('112'!$M$9,2),B7135&lt;'112'!$K$9,$O7135='112'!$I$6)),"x",""))</f>
        <v/>
      </c>
      <c r="W7135" s="79" t="str">
        <f>IF(AND('341-CT'!$H$9=H7135,OR(LEFT(N7135,3)=$W$7,LEFT(O7135,3)=$W$7)),"x","")</f>
        <v/>
      </c>
      <c r="X7135" s="79" t="str">
        <f>IF(OR(TH!N7135=TH!$X$7,O7135=TH!$X$7),"x","")</f>
        <v/>
      </c>
      <c r="Y7135" s="79" t="str">
        <f>IF(AND(OR(N7135="131",O7135="131"),H7135='131-CT'!$H$9),"x","")</f>
        <v/>
      </c>
      <c r="Z7135" s="79"/>
      <c r="AA7135" s="79" t="str">
        <f>IF(AND(MONTH(E7135)='IN-NX'!$J$5,'IN-NX'!$D$7=D7135),"x","")</f>
        <v/>
      </c>
      <c r="AB7135" s="79" t="str">
        <f>IF(AND(OR(LEFT(TH!N7135,2)="15",LEFT(TH!O7135,2)="15"),LEFT(TH!O7135,3)&lt;&gt;"111",'152-CT'!$J$8=TH!F7135),"x","")</f>
        <v/>
      </c>
      <c r="AC7135" s="79" t="str">
        <f>IF(AND(OR(LEFT(TH!N7135,2)="15",LEFT(TH!O7135,2)="15"),TK!$E$7=TH!F7135),"x","")</f>
        <v/>
      </c>
      <c r="AD7135" s="79" t="str">
        <f>IF(AND(N7135="1521",MONTH(C7135)='BK-NL'!$M$11),"x","")</f>
        <v/>
      </c>
    </row>
    <row r="7136" spans="1:30" ht="16.5" customHeight="1">
      <c r="A7136" s="318" t="str">
        <f>IF(B7136&lt;&gt;"",IF(AND(B7136='IN-TC'!$S$4,OR(TH!N7136="1111",TH!O7136="1111")),TH!D7136,""),"")</f>
        <v/>
      </c>
      <c r="B7136" s="1163" t="str">
        <f t="shared" si="531"/>
        <v/>
      </c>
      <c r="C7136" s="61"/>
      <c r="D7136" s="61"/>
      <c r="E7136" s="61"/>
      <c r="F7136" s="69"/>
      <c r="G7136" s="64"/>
      <c r="H7136" s="69"/>
      <c r="I7136" s="385"/>
      <c r="J7136" s="392"/>
      <c r="K7136" s="385"/>
      <c r="L7136" s="392"/>
      <c r="M7136" s="62"/>
      <c r="N7136" s="63"/>
      <c r="O7136" s="63"/>
      <c r="P7136" s="79" t="str">
        <f>IF(AND('331-CT'!$E$7=TH!H7136,OR(N7136="331",O7136="331")),"x","")</f>
        <v/>
      </c>
      <c r="Q7136" s="79" t="str">
        <f>IF(AND(B7136='111'!$L$11,OR($N7136=$Q$7,$O7136=$Q$7)),"x","")</f>
        <v/>
      </c>
      <c r="R7136" s="79" t="str">
        <f>IF(AND($N7136=$Q$7,$B7136&lt;'111'!$L$11),"x","")</f>
        <v/>
      </c>
      <c r="S7136" s="79" t="str">
        <f>IF(AND($O7136=$Q$7,$B7136&lt;'111'!$L$11),"x","")</f>
        <v/>
      </c>
      <c r="T7136" s="79" t="str">
        <f>IF(ISERROR(FIND('112'!$M$9,G7136,1)),"",IF((AND(FIND('112'!$M$9,G7136,1)&gt;=1,B7136='112'!$K$9,OR($N7136='112'!$I$6,$O7136='112'!$I$6))),"x",""))</f>
        <v/>
      </c>
      <c r="U7136" s="79" t="str">
        <f>IF(ISERROR(FIND('112'!$M$9,G7136,1)),"",IF((AND(LEFT(G7136,2)=LEFT('112'!$M$9,2),B7136&lt;'112'!$K$9,$N7136='112'!$I$6)),"x",""))</f>
        <v/>
      </c>
      <c r="V7136" s="79" t="str">
        <f>IF(ISERROR(FIND('112'!$M$9,G7136,1)),"",IF((AND(RIGHT(G7136,2)=RIGHT('112'!$M$9,2),B7136&lt;'112'!$K$9,$O7136='112'!$I$6)),"x",""))</f>
        <v/>
      </c>
      <c r="W7136" s="79" t="str">
        <f>IF(AND('341-CT'!$H$9=H7136,OR(LEFT(N7136,3)=$W$7,LEFT(O7136,3)=$W$7)),"x","")</f>
        <v/>
      </c>
      <c r="X7136" s="79" t="str">
        <f>IF(OR(TH!N7136=TH!$X$7,O7136=TH!$X$7),"x","")</f>
        <v/>
      </c>
      <c r="Y7136" s="79" t="str">
        <f>IF(AND(OR(N7136="131",O7136="131"),H7136='131-CT'!$H$9),"x","")</f>
        <v/>
      </c>
      <c r="Z7136" s="79"/>
      <c r="AA7136" s="79" t="str">
        <f>IF(AND(MONTH(E7136)='IN-NX'!$J$5,'IN-NX'!$D$7=D7136),"x","")</f>
        <v/>
      </c>
      <c r="AB7136" s="79" t="str">
        <f>IF(AND(OR(LEFT(TH!N7136,2)="15",LEFT(TH!O7136,2)="15"),LEFT(TH!O7136,3)&lt;&gt;"111",'152-CT'!$J$8=TH!F7136),"x","")</f>
        <v/>
      </c>
      <c r="AC7136" s="79" t="str">
        <f>IF(AND(OR(LEFT(TH!N7136,2)="15",LEFT(TH!O7136,2)="15"),TK!$E$7=TH!F7136),"x","")</f>
        <v/>
      </c>
      <c r="AD7136" s="79" t="str">
        <f>IF(AND(N7136="1521",MONTH(C7136)='BK-NL'!$M$11),"x","")</f>
        <v/>
      </c>
    </row>
    <row r="7137" spans="1:30" ht="16.5" customHeight="1">
      <c r="A7137" s="318" t="str">
        <f>IF(B7137&lt;&gt;"",IF(AND(B7137='IN-TC'!$S$4,OR(TH!N7137="1111",TH!O7137="1111")),TH!D7137,""),"")</f>
        <v/>
      </c>
      <c r="B7137" s="1163" t="str">
        <f t="shared" si="531"/>
        <v/>
      </c>
      <c r="C7137" s="61"/>
      <c r="D7137" s="61"/>
      <c r="E7137" s="61"/>
      <c r="F7137" s="69"/>
      <c r="G7137" s="64"/>
      <c r="H7137" s="69"/>
      <c r="I7137" s="385"/>
      <c r="J7137" s="392"/>
      <c r="K7137" s="385"/>
      <c r="L7137" s="392"/>
      <c r="M7137" s="62"/>
      <c r="N7137" s="63"/>
      <c r="O7137" s="63"/>
      <c r="P7137" s="79" t="str">
        <f>IF(AND('331-CT'!$E$7=TH!H7137,OR(N7137="331",O7137="331")),"x","")</f>
        <v/>
      </c>
      <c r="Q7137" s="79" t="str">
        <f>IF(AND(B7137='111'!$L$11,OR($N7137=$Q$7,$O7137=$Q$7)),"x","")</f>
        <v/>
      </c>
      <c r="R7137" s="79" t="str">
        <f>IF(AND($N7137=$Q$7,$B7137&lt;'111'!$L$11),"x","")</f>
        <v/>
      </c>
      <c r="S7137" s="79" t="str">
        <f>IF(AND($O7137=$Q$7,$B7137&lt;'111'!$L$11),"x","")</f>
        <v/>
      </c>
      <c r="T7137" s="79" t="str">
        <f>IF(ISERROR(FIND('112'!$M$9,G7137,1)),"",IF((AND(FIND('112'!$M$9,G7137,1)&gt;=1,B7137='112'!$K$9,OR($N7137='112'!$I$6,$O7137='112'!$I$6))),"x",""))</f>
        <v/>
      </c>
      <c r="U7137" s="79" t="str">
        <f>IF(ISERROR(FIND('112'!$M$9,G7137,1)),"",IF((AND(LEFT(G7137,2)=LEFT('112'!$M$9,2),B7137&lt;'112'!$K$9,$N7137='112'!$I$6)),"x",""))</f>
        <v/>
      </c>
      <c r="V7137" s="79" t="str">
        <f>IF(ISERROR(FIND('112'!$M$9,G7137,1)),"",IF((AND(RIGHT(G7137,2)=RIGHT('112'!$M$9,2),B7137&lt;'112'!$K$9,$O7137='112'!$I$6)),"x",""))</f>
        <v/>
      </c>
      <c r="W7137" s="79" t="str">
        <f>IF(AND('341-CT'!$H$9=H7137,OR(LEFT(N7137,3)=$W$7,LEFT(O7137,3)=$W$7)),"x","")</f>
        <v/>
      </c>
      <c r="X7137" s="79" t="str">
        <f>IF(OR(TH!N7137=TH!$X$7,O7137=TH!$X$7),"x","")</f>
        <v/>
      </c>
      <c r="Y7137" s="79" t="str">
        <f>IF(AND(OR(N7137="131",O7137="131"),H7137='131-CT'!$H$9),"x","")</f>
        <v/>
      </c>
      <c r="Z7137" s="79"/>
      <c r="AA7137" s="79" t="str">
        <f>IF(AND(MONTH(E7137)='IN-NX'!$J$5,'IN-NX'!$D$7=D7137),"x","")</f>
        <v/>
      </c>
      <c r="AB7137" s="79" t="str">
        <f>IF(AND(OR(LEFT(TH!N7137,2)="15",LEFT(TH!O7137,2)="15"),LEFT(TH!O7137,3)&lt;&gt;"111",'152-CT'!$J$8=TH!F7137),"x","")</f>
        <v/>
      </c>
      <c r="AC7137" s="79" t="str">
        <f>IF(AND(OR(LEFT(TH!N7137,2)="15",LEFT(TH!O7137,2)="15"),TK!$E$7=TH!F7137),"x","")</f>
        <v/>
      </c>
      <c r="AD7137" s="79" t="str">
        <f>IF(AND(N7137="1521",MONTH(C7137)='BK-NL'!$M$11),"x","")</f>
        <v/>
      </c>
    </row>
    <row r="7138" spans="1:30" ht="16.5" customHeight="1">
      <c r="A7138" s="318" t="str">
        <f>IF(B7138&lt;&gt;"",IF(AND(B7138='IN-TC'!$S$4,OR(TH!N7138="1111",TH!O7138="1111")),TH!D7138,""),"")</f>
        <v/>
      </c>
      <c r="B7138" s="1163" t="str">
        <f t="shared" ref="B7138:B7174" si="532">IF(C7138&lt;&gt;"",MONTH(C7138),"")</f>
        <v/>
      </c>
      <c r="C7138" s="61"/>
      <c r="D7138" s="61"/>
      <c r="E7138" s="61"/>
      <c r="F7138" s="69"/>
      <c r="G7138" s="64"/>
      <c r="H7138" s="69"/>
      <c r="I7138" s="385"/>
      <c r="J7138" s="392"/>
      <c r="K7138" s="385"/>
      <c r="L7138" s="392"/>
      <c r="M7138" s="62"/>
      <c r="N7138" s="63"/>
      <c r="O7138" s="63"/>
      <c r="P7138" s="79" t="str">
        <f>IF(AND('331-CT'!$E$7=TH!H7138,OR(N7138="331",O7138="331")),"x","")</f>
        <v/>
      </c>
      <c r="Q7138" s="79" t="str">
        <f>IF(AND(B7138='111'!$L$11,OR($N7138=$Q$7,$O7138=$Q$7)),"x","")</f>
        <v/>
      </c>
      <c r="R7138" s="79" t="str">
        <f>IF(AND($N7138=$Q$7,$B7138&lt;'111'!$L$11),"x","")</f>
        <v/>
      </c>
      <c r="S7138" s="79" t="str">
        <f>IF(AND($O7138=$Q$7,$B7138&lt;'111'!$L$11),"x","")</f>
        <v/>
      </c>
      <c r="T7138" s="79" t="str">
        <f>IF(ISERROR(FIND('112'!$M$9,G7138,1)),"",IF((AND(FIND('112'!$M$9,G7138,1)&gt;=1,B7138='112'!$K$9,OR($N7138='112'!$I$6,$O7138='112'!$I$6))),"x",""))</f>
        <v/>
      </c>
      <c r="U7138" s="79" t="str">
        <f>IF(ISERROR(FIND('112'!$M$9,G7138,1)),"",IF((AND(LEFT(G7138,2)=LEFT('112'!$M$9,2),B7138&lt;'112'!$K$9,$N7138='112'!$I$6)),"x",""))</f>
        <v/>
      </c>
      <c r="V7138" s="79" t="str">
        <f>IF(ISERROR(FIND('112'!$M$9,G7138,1)),"",IF((AND(RIGHT(G7138,2)=RIGHT('112'!$M$9,2),B7138&lt;'112'!$K$9,$O7138='112'!$I$6)),"x",""))</f>
        <v/>
      </c>
      <c r="W7138" s="79" t="str">
        <f>IF(AND('341-CT'!$H$9=H7138,OR(LEFT(N7138,3)=$W$7,LEFT(O7138,3)=$W$7)),"x","")</f>
        <v/>
      </c>
      <c r="X7138" s="79" t="str">
        <f>IF(OR(TH!N7138=TH!$X$7,O7138=TH!$X$7),"x","")</f>
        <v/>
      </c>
      <c r="Y7138" s="79" t="str">
        <f>IF(AND(OR(N7138="131",O7138="131"),H7138='131-CT'!$H$9),"x","")</f>
        <v/>
      </c>
      <c r="Z7138" s="79"/>
      <c r="AA7138" s="79" t="str">
        <f>IF(AND(MONTH(E7138)='IN-NX'!$J$5,'IN-NX'!$D$7=D7138),"x","")</f>
        <v/>
      </c>
      <c r="AB7138" s="79" t="str">
        <f>IF(AND(OR(LEFT(TH!N7138,2)="15",LEFT(TH!O7138,2)="15"),LEFT(TH!O7138,3)&lt;&gt;"111",'152-CT'!$J$8=TH!F7138),"x","")</f>
        <v/>
      </c>
      <c r="AC7138" s="79" t="str">
        <f>IF(AND(OR(LEFT(TH!N7138,2)="15",LEFT(TH!O7138,2)="15"),TK!$E$7=TH!F7138),"x","")</f>
        <v/>
      </c>
      <c r="AD7138" s="79" t="str">
        <f>IF(AND(N7138="1521",MONTH(C7138)='BK-NL'!$M$11),"x","")</f>
        <v/>
      </c>
    </row>
    <row r="7139" spans="1:30" ht="16.5" customHeight="1">
      <c r="A7139" s="318" t="str">
        <f>IF(B7139&lt;&gt;"",IF(AND(B7139='IN-TC'!$S$4,OR(TH!N7139="1111",TH!O7139="1111")),TH!D7139,""),"")</f>
        <v/>
      </c>
      <c r="B7139" s="1163" t="str">
        <f t="shared" si="532"/>
        <v/>
      </c>
      <c r="C7139" s="61"/>
      <c r="D7139" s="61"/>
      <c r="E7139" s="61"/>
      <c r="F7139" s="69"/>
      <c r="G7139" s="64"/>
      <c r="H7139" s="69"/>
      <c r="I7139" s="385"/>
      <c r="J7139" s="392"/>
      <c r="K7139" s="385"/>
      <c r="L7139" s="392"/>
      <c r="M7139" s="62"/>
      <c r="N7139" s="63"/>
      <c r="O7139" s="63"/>
      <c r="P7139" s="79" t="str">
        <f>IF(AND('331-CT'!$E$7=TH!H7139,OR(N7139="331",O7139="331")),"x","")</f>
        <v/>
      </c>
      <c r="Q7139" s="79" t="str">
        <f>IF(AND(B7139='111'!$L$11,OR($N7139=$Q$7,$O7139=$Q$7)),"x","")</f>
        <v/>
      </c>
      <c r="R7139" s="79" t="str">
        <f>IF(AND($N7139=$Q$7,$B7139&lt;'111'!$L$11),"x","")</f>
        <v/>
      </c>
      <c r="S7139" s="79" t="str">
        <f>IF(AND($O7139=$Q$7,$B7139&lt;'111'!$L$11),"x","")</f>
        <v/>
      </c>
      <c r="T7139" s="79" t="str">
        <f>IF(ISERROR(FIND('112'!$M$9,G7139,1)),"",IF((AND(FIND('112'!$M$9,G7139,1)&gt;=1,B7139='112'!$K$9,OR($N7139='112'!$I$6,$O7139='112'!$I$6))),"x",""))</f>
        <v/>
      </c>
      <c r="U7139" s="79" t="str">
        <f>IF(ISERROR(FIND('112'!$M$9,G7139,1)),"",IF((AND(LEFT(G7139,2)=LEFT('112'!$M$9,2),B7139&lt;'112'!$K$9,$N7139='112'!$I$6)),"x",""))</f>
        <v/>
      </c>
      <c r="V7139" s="79" t="str">
        <f>IF(ISERROR(FIND('112'!$M$9,G7139,1)),"",IF((AND(RIGHT(G7139,2)=RIGHT('112'!$M$9,2),B7139&lt;'112'!$K$9,$O7139='112'!$I$6)),"x",""))</f>
        <v/>
      </c>
      <c r="W7139" s="79" t="str">
        <f>IF(AND('341-CT'!$H$9=H7139,OR(LEFT(N7139,3)=$W$7,LEFT(O7139,3)=$W$7)),"x","")</f>
        <v/>
      </c>
      <c r="X7139" s="79" t="str">
        <f>IF(OR(TH!N7139=TH!$X$7,O7139=TH!$X$7),"x","")</f>
        <v/>
      </c>
      <c r="Y7139" s="79" t="str">
        <f>IF(AND(OR(N7139="131",O7139="131"),H7139='131-CT'!$H$9),"x","")</f>
        <v/>
      </c>
      <c r="Z7139" s="79"/>
      <c r="AA7139" s="79" t="str">
        <f>IF(AND(MONTH(E7139)='IN-NX'!$J$5,'IN-NX'!$D$7=D7139),"x","")</f>
        <v/>
      </c>
      <c r="AB7139" s="79" t="str">
        <f>IF(AND(OR(LEFT(TH!N7139,2)="15",LEFT(TH!O7139,2)="15"),LEFT(TH!O7139,3)&lt;&gt;"111",'152-CT'!$J$8=TH!F7139),"x","")</f>
        <v/>
      </c>
      <c r="AC7139" s="79" t="str">
        <f>IF(AND(OR(LEFT(TH!N7139,2)="15",LEFT(TH!O7139,2)="15"),TK!$E$7=TH!F7139),"x","")</f>
        <v/>
      </c>
      <c r="AD7139" s="79" t="str">
        <f>IF(AND(N7139="1521",MONTH(C7139)='BK-NL'!$M$11),"x","")</f>
        <v/>
      </c>
    </row>
    <row r="7140" spans="1:30" ht="16.5" customHeight="1">
      <c r="A7140" s="318" t="str">
        <f>IF(B7140&lt;&gt;"",IF(AND(B7140='IN-TC'!$S$4,OR(TH!N7140="1111",TH!O7140="1111")),TH!D7140,""),"")</f>
        <v/>
      </c>
      <c r="B7140" s="1163" t="str">
        <f t="shared" si="532"/>
        <v/>
      </c>
      <c r="C7140" s="61"/>
      <c r="D7140" s="61"/>
      <c r="E7140" s="61"/>
      <c r="F7140" s="69"/>
      <c r="G7140" s="64"/>
      <c r="H7140" s="69"/>
      <c r="I7140" s="385"/>
      <c r="J7140" s="392"/>
      <c r="K7140" s="385"/>
      <c r="L7140" s="392"/>
      <c r="M7140" s="62"/>
      <c r="N7140" s="63"/>
      <c r="O7140" s="63"/>
      <c r="P7140" s="79" t="str">
        <f>IF(AND('331-CT'!$E$7=TH!H7140,OR(N7140="331",O7140="331")),"x","")</f>
        <v/>
      </c>
      <c r="Q7140" s="79" t="str">
        <f>IF(AND(B7140='111'!$L$11,OR($N7140=$Q$7,$O7140=$Q$7)),"x","")</f>
        <v/>
      </c>
      <c r="R7140" s="79" t="str">
        <f>IF(AND($N7140=$Q$7,$B7140&lt;'111'!$L$11),"x","")</f>
        <v/>
      </c>
      <c r="S7140" s="79" t="str">
        <f>IF(AND($O7140=$Q$7,$B7140&lt;'111'!$L$11),"x","")</f>
        <v/>
      </c>
      <c r="T7140" s="79" t="str">
        <f>IF(ISERROR(FIND('112'!$M$9,G7140,1)),"",IF((AND(FIND('112'!$M$9,G7140,1)&gt;=1,B7140='112'!$K$9,OR($N7140='112'!$I$6,$O7140='112'!$I$6))),"x",""))</f>
        <v/>
      </c>
      <c r="U7140" s="79" t="str">
        <f>IF(ISERROR(FIND('112'!$M$9,G7140,1)),"",IF((AND(LEFT(G7140,2)=LEFT('112'!$M$9,2),B7140&lt;'112'!$K$9,$N7140='112'!$I$6)),"x",""))</f>
        <v/>
      </c>
      <c r="V7140" s="79" t="str">
        <f>IF(ISERROR(FIND('112'!$M$9,G7140,1)),"",IF((AND(RIGHT(G7140,2)=RIGHT('112'!$M$9,2),B7140&lt;'112'!$K$9,$O7140='112'!$I$6)),"x",""))</f>
        <v/>
      </c>
      <c r="W7140" s="79" t="str">
        <f>IF(AND('341-CT'!$H$9=H7140,OR(LEFT(N7140,3)=$W$7,LEFT(O7140,3)=$W$7)),"x","")</f>
        <v/>
      </c>
      <c r="X7140" s="79" t="str">
        <f>IF(OR(TH!N7140=TH!$X$7,O7140=TH!$X$7),"x","")</f>
        <v/>
      </c>
      <c r="Y7140" s="79" t="str">
        <f>IF(AND(OR(N7140="131",O7140="131"),H7140='131-CT'!$H$9),"x","")</f>
        <v/>
      </c>
      <c r="Z7140" s="79"/>
      <c r="AA7140" s="79" t="str">
        <f>IF(AND(MONTH(E7140)='IN-NX'!$J$5,'IN-NX'!$D$7=D7140),"x","")</f>
        <v/>
      </c>
      <c r="AB7140" s="79" t="str">
        <f>IF(AND(OR(LEFT(TH!N7140,2)="15",LEFT(TH!O7140,2)="15"),LEFT(TH!O7140,3)&lt;&gt;"111",'152-CT'!$J$8=TH!F7140),"x","")</f>
        <v/>
      </c>
      <c r="AC7140" s="79" t="str">
        <f>IF(AND(OR(LEFT(TH!N7140,2)="15",LEFT(TH!O7140,2)="15"),TK!$E$7=TH!F7140),"x","")</f>
        <v/>
      </c>
      <c r="AD7140" s="79" t="str">
        <f>IF(AND(N7140="1521",MONTH(C7140)='BK-NL'!$M$11),"x","")</f>
        <v/>
      </c>
    </row>
    <row r="7141" spans="1:30" ht="16.5" customHeight="1">
      <c r="A7141" s="318" t="str">
        <f>IF(B7141&lt;&gt;"",IF(AND(B7141='IN-TC'!$S$4,OR(TH!N7141="1111",TH!O7141="1111")),TH!D7141,""),"")</f>
        <v/>
      </c>
      <c r="B7141" s="1163" t="str">
        <f t="shared" si="532"/>
        <v/>
      </c>
      <c r="C7141" s="61"/>
      <c r="D7141" s="61"/>
      <c r="E7141" s="61"/>
      <c r="F7141" s="69"/>
      <c r="G7141" s="64"/>
      <c r="H7141" s="69"/>
      <c r="I7141" s="385"/>
      <c r="J7141" s="392"/>
      <c r="K7141" s="385"/>
      <c r="L7141" s="392"/>
      <c r="M7141" s="62"/>
      <c r="N7141" s="63"/>
      <c r="O7141" s="63"/>
      <c r="P7141" s="79" t="str">
        <f>IF(AND('331-CT'!$E$7=TH!H7141,OR(N7141="331",O7141="331")),"x","")</f>
        <v/>
      </c>
      <c r="Q7141" s="79" t="str">
        <f>IF(AND(B7141='111'!$L$11,OR($N7141=$Q$7,$O7141=$Q$7)),"x","")</f>
        <v/>
      </c>
      <c r="R7141" s="79" t="str">
        <f>IF(AND($N7141=$Q$7,$B7141&lt;'111'!$L$11),"x","")</f>
        <v/>
      </c>
      <c r="S7141" s="79" t="str">
        <f>IF(AND($O7141=$Q$7,$B7141&lt;'111'!$L$11),"x","")</f>
        <v/>
      </c>
      <c r="T7141" s="79" t="str">
        <f>IF(ISERROR(FIND('112'!$M$9,G7141,1)),"",IF((AND(FIND('112'!$M$9,G7141,1)&gt;=1,B7141='112'!$K$9,OR($N7141='112'!$I$6,$O7141='112'!$I$6))),"x",""))</f>
        <v/>
      </c>
      <c r="U7141" s="79" t="str">
        <f>IF(ISERROR(FIND('112'!$M$9,G7141,1)),"",IF((AND(LEFT(G7141,2)=LEFT('112'!$M$9,2),B7141&lt;'112'!$K$9,$N7141='112'!$I$6)),"x",""))</f>
        <v/>
      </c>
      <c r="V7141" s="79" t="str">
        <f>IF(ISERROR(FIND('112'!$M$9,G7141,1)),"",IF((AND(RIGHT(G7141,2)=RIGHT('112'!$M$9,2),B7141&lt;'112'!$K$9,$O7141='112'!$I$6)),"x",""))</f>
        <v/>
      </c>
      <c r="W7141" s="79" t="str">
        <f>IF(AND('341-CT'!$H$9=H7141,OR(LEFT(N7141,3)=$W$7,LEFT(O7141,3)=$W$7)),"x","")</f>
        <v/>
      </c>
      <c r="X7141" s="79" t="str">
        <f>IF(OR(TH!N7141=TH!$X$7,O7141=TH!$X$7),"x","")</f>
        <v/>
      </c>
      <c r="Y7141" s="79" t="str">
        <f>IF(AND(OR(N7141="131",O7141="131"),H7141='131-CT'!$H$9),"x","")</f>
        <v/>
      </c>
      <c r="Z7141" s="79"/>
      <c r="AA7141" s="79" t="str">
        <f>IF(AND(MONTH(E7141)='IN-NX'!$J$5,'IN-NX'!$D$7=D7141),"x","")</f>
        <v/>
      </c>
      <c r="AB7141" s="79" t="str">
        <f>IF(AND(OR(LEFT(TH!N7141,2)="15",LEFT(TH!O7141,2)="15"),LEFT(TH!O7141,3)&lt;&gt;"111",'152-CT'!$J$8=TH!F7141),"x","")</f>
        <v/>
      </c>
      <c r="AC7141" s="79" t="str">
        <f>IF(AND(OR(LEFT(TH!N7141,2)="15",LEFT(TH!O7141,2)="15"),TK!$E$7=TH!F7141),"x","")</f>
        <v/>
      </c>
      <c r="AD7141" s="79" t="str">
        <f>IF(AND(N7141="1521",MONTH(C7141)='BK-NL'!$M$11),"x","")</f>
        <v/>
      </c>
    </row>
    <row r="7142" spans="1:30" ht="16.5" customHeight="1">
      <c r="A7142" s="318" t="str">
        <f>IF(B7142&lt;&gt;"",IF(AND(B7142='IN-TC'!$S$4,OR(TH!N7142="1111",TH!O7142="1111")),TH!D7142,""),"")</f>
        <v/>
      </c>
      <c r="B7142" s="1163" t="str">
        <f t="shared" si="532"/>
        <v/>
      </c>
      <c r="C7142" s="61"/>
      <c r="D7142" s="61"/>
      <c r="E7142" s="61"/>
      <c r="F7142" s="69"/>
      <c r="G7142" s="64"/>
      <c r="H7142" s="69"/>
      <c r="I7142" s="385"/>
      <c r="J7142" s="392"/>
      <c r="K7142" s="385"/>
      <c r="L7142" s="392"/>
      <c r="M7142" s="62"/>
      <c r="N7142" s="63"/>
      <c r="O7142" s="63"/>
      <c r="P7142" s="79" t="str">
        <f>IF(AND('331-CT'!$E$7=TH!H7142,OR(N7142="331",O7142="331")),"x","")</f>
        <v/>
      </c>
      <c r="Q7142" s="79" t="str">
        <f>IF(AND(B7142='111'!$L$11,OR($N7142=$Q$7,$O7142=$Q$7)),"x","")</f>
        <v/>
      </c>
      <c r="R7142" s="79" t="str">
        <f>IF(AND($N7142=$Q$7,$B7142&lt;'111'!$L$11),"x","")</f>
        <v/>
      </c>
      <c r="S7142" s="79" t="str">
        <f>IF(AND($O7142=$Q$7,$B7142&lt;'111'!$L$11),"x","")</f>
        <v/>
      </c>
      <c r="T7142" s="79" t="str">
        <f>IF(ISERROR(FIND('112'!$M$9,G7142,1)),"",IF((AND(FIND('112'!$M$9,G7142,1)&gt;=1,B7142='112'!$K$9,OR($N7142='112'!$I$6,$O7142='112'!$I$6))),"x",""))</f>
        <v/>
      </c>
      <c r="U7142" s="79" t="str">
        <f>IF(ISERROR(FIND('112'!$M$9,G7142,1)),"",IF((AND(LEFT(G7142,2)=LEFT('112'!$M$9,2),B7142&lt;'112'!$K$9,$N7142='112'!$I$6)),"x",""))</f>
        <v/>
      </c>
      <c r="V7142" s="79" t="str">
        <f>IF(ISERROR(FIND('112'!$M$9,G7142,1)),"",IF((AND(RIGHT(G7142,2)=RIGHT('112'!$M$9,2),B7142&lt;'112'!$K$9,$O7142='112'!$I$6)),"x",""))</f>
        <v/>
      </c>
      <c r="W7142" s="79" t="str">
        <f>IF(AND('341-CT'!$H$9=H7142,OR(LEFT(N7142,3)=$W$7,LEFT(O7142,3)=$W$7)),"x","")</f>
        <v/>
      </c>
      <c r="X7142" s="79" t="str">
        <f>IF(OR(TH!N7142=TH!$X$7,O7142=TH!$X$7),"x","")</f>
        <v/>
      </c>
      <c r="Y7142" s="79" t="str">
        <f>IF(AND(OR(N7142="131",O7142="131"),H7142='131-CT'!$H$9),"x","")</f>
        <v/>
      </c>
      <c r="Z7142" s="79"/>
      <c r="AA7142" s="79" t="str">
        <f>IF(AND(MONTH(E7142)='IN-NX'!$J$5,'IN-NX'!$D$7=D7142),"x","")</f>
        <v/>
      </c>
      <c r="AB7142" s="79" t="str">
        <f>IF(AND(OR(LEFT(TH!N7142,2)="15",LEFT(TH!O7142,2)="15"),LEFT(TH!O7142,3)&lt;&gt;"111",'152-CT'!$J$8=TH!F7142),"x","")</f>
        <v/>
      </c>
      <c r="AC7142" s="79" t="str">
        <f>IF(AND(OR(LEFT(TH!N7142,2)="15",LEFT(TH!O7142,2)="15"),TK!$E$7=TH!F7142),"x","")</f>
        <v/>
      </c>
      <c r="AD7142" s="79" t="str">
        <f>IF(AND(N7142="1521",MONTH(C7142)='BK-NL'!$M$11),"x","")</f>
        <v/>
      </c>
    </row>
    <row r="7143" spans="1:30" ht="16.5" customHeight="1">
      <c r="A7143" s="318" t="str">
        <f>IF(B7143&lt;&gt;"",IF(AND(B7143='IN-TC'!$S$4,OR(TH!N7143="1111",TH!O7143="1111")),TH!D7143,""),"")</f>
        <v/>
      </c>
      <c r="B7143" s="1163" t="str">
        <f t="shared" si="532"/>
        <v/>
      </c>
      <c r="C7143" s="61"/>
      <c r="D7143" s="61"/>
      <c r="E7143" s="61"/>
      <c r="F7143" s="69"/>
      <c r="G7143" s="64"/>
      <c r="H7143" s="69"/>
      <c r="I7143" s="385"/>
      <c r="J7143" s="392"/>
      <c r="K7143" s="385"/>
      <c r="L7143" s="392"/>
      <c r="M7143" s="62"/>
      <c r="N7143" s="63"/>
      <c r="O7143" s="63"/>
      <c r="P7143" s="79" t="str">
        <f>IF(AND('331-CT'!$E$7=TH!H7143,OR(N7143="331",O7143="331")),"x","")</f>
        <v/>
      </c>
      <c r="Q7143" s="79" t="str">
        <f>IF(AND(B7143='111'!$L$11,OR($N7143=$Q$7,$O7143=$Q$7)),"x","")</f>
        <v/>
      </c>
      <c r="R7143" s="79" t="str">
        <f>IF(AND($N7143=$Q$7,$B7143&lt;'111'!$L$11),"x","")</f>
        <v/>
      </c>
      <c r="S7143" s="79" t="str">
        <f>IF(AND($O7143=$Q$7,$B7143&lt;'111'!$L$11),"x","")</f>
        <v/>
      </c>
      <c r="T7143" s="79" t="str">
        <f>IF(ISERROR(FIND('112'!$M$9,G7143,1)),"",IF((AND(FIND('112'!$M$9,G7143,1)&gt;=1,B7143='112'!$K$9,OR($N7143='112'!$I$6,$O7143='112'!$I$6))),"x",""))</f>
        <v/>
      </c>
      <c r="U7143" s="79" t="str">
        <f>IF(ISERROR(FIND('112'!$M$9,G7143,1)),"",IF((AND(LEFT(G7143,2)=LEFT('112'!$M$9,2),B7143&lt;'112'!$K$9,$N7143='112'!$I$6)),"x",""))</f>
        <v/>
      </c>
      <c r="V7143" s="79" t="str">
        <f>IF(ISERROR(FIND('112'!$M$9,G7143,1)),"",IF((AND(RIGHT(G7143,2)=RIGHT('112'!$M$9,2),B7143&lt;'112'!$K$9,$O7143='112'!$I$6)),"x",""))</f>
        <v/>
      </c>
      <c r="W7143" s="79" t="str">
        <f>IF(AND('341-CT'!$H$9=H7143,OR(LEFT(N7143,3)=$W$7,LEFT(O7143,3)=$W$7)),"x","")</f>
        <v/>
      </c>
      <c r="X7143" s="79" t="str">
        <f>IF(OR(TH!N7143=TH!$X$7,O7143=TH!$X$7),"x","")</f>
        <v/>
      </c>
      <c r="Y7143" s="79" t="str">
        <f>IF(AND(OR(N7143="131",O7143="131"),H7143='131-CT'!$H$9),"x","")</f>
        <v/>
      </c>
      <c r="Z7143" s="79"/>
      <c r="AA7143" s="79" t="str">
        <f>IF(AND(MONTH(E7143)='IN-NX'!$J$5,'IN-NX'!$D$7=D7143),"x","")</f>
        <v/>
      </c>
      <c r="AB7143" s="79" t="str">
        <f>IF(AND(OR(LEFT(TH!N7143,2)="15",LEFT(TH!O7143,2)="15"),LEFT(TH!O7143,3)&lt;&gt;"111",'152-CT'!$J$8=TH!F7143),"x","")</f>
        <v/>
      </c>
      <c r="AC7143" s="79" t="str">
        <f>IF(AND(OR(LEFT(TH!N7143,2)="15",LEFT(TH!O7143,2)="15"),TK!$E$7=TH!F7143),"x","")</f>
        <v/>
      </c>
      <c r="AD7143" s="79" t="str">
        <f>IF(AND(N7143="1521",MONTH(C7143)='BK-NL'!$M$11),"x","")</f>
        <v/>
      </c>
    </row>
    <row r="7144" spans="1:30" ht="16.5" customHeight="1">
      <c r="A7144" s="318" t="str">
        <f>IF(B7144&lt;&gt;"",IF(AND(B7144='IN-TC'!$S$4,OR(TH!N7144="1111",TH!O7144="1111")),TH!D7144,""),"")</f>
        <v/>
      </c>
      <c r="B7144" s="1163" t="str">
        <f t="shared" si="532"/>
        <v/>
      </c>
      <c r="C7144" s="61"/>
      <c r="D7144" s="61"/>
      <c r="E7144" s="61"/>
      <c r="F7144" s="69"/>
      <c r="G7144" s="64"/>
      <c r="H7144" s="69"/>
      <c r="I7144" s="385"/>
      <c r="J7144" s="392"/>
      <c r="K7144" s="385"/>
      <c r="L7144" s="392"/>
      <c r="M7144" s="62"/>
      <c r="N7144" s="63"/>
      <c r="O7144" s="63"/>
      <c r="P7144" s="79" t="str">
        <f>IF(AND('331-CT'!$E$7=TH!H7144,OR(N7144="331",O7144="331")),"x","")</f>
        <v/>
      </c>
      <c r="Q7144" s="79" t="str">
        <f>IF(AND(B7144='111'!$L$11,OR($N7144=$Q$7,$O7144=$Q$7)),"x","")</f>
        <v/>
      </c>
      <c r="R7144" s="79" t="str">
        <f>IF(AND($N7144=$Q$7,$B7144&lt;'111'!$L$11),"x","")</f>
        <v/>
      </c>
      <c r="S7144" s="79" t="str">
        <f>IF(AND($O7144=$Q$7,$B7144&lt;'111'!$L$11),"x","")</f>
        <v/>
      </c>
      <c r="T7144" s="79" t="str">
        <f>IF(ISERROR(FIND('112'!$M$9,G7144,1)),"",IF((AND(FIND('112'!$M$9,G7144,1)&gt;=1,B7144='112'!$K$9,OR($N7144='112'!$I$6,$O7144='112'!$I$6))),"x",""))</f>
        <v/>
      </c>
      <c r="U7144" s="79" t="str">
        <f>IF(ISERROR(FIND('112'!$M$9,G7144,1)),"",IF((AND(LEFT(G7144,2)=LEFT('112'!$M$9,2),B7144&lt;'112'!$K$9,$N7144='112'!$I$6)),"x",""))</f>
        <v/>
      </c>
      <c r="V7144" s="79" t="str">
        <f>IF(ISERROR(FIND('112'!$M$9,G7144,1)),"",IF((AND(RIGHT(G7144,2)=RIGHT('112'!$M$9,2),B7144&lt;'112'!$K$9,$O7144='112'!$I$6)),"x",""))</f>
        <v/>
      </c>
      <c r="W7144" s="79" t="str">
        <f>IF(AND('341-CT'!$H$9=H7144,OR(LEFT(N7144,3)=$W$7,LEFT(O7144,3)=$W$7)),"x","")</f>
        <v/>
      </c>
      <c r="X7144" s="79" t="str">
        <f>IF(OR(TH!N7144=TH!$X$7,O7144=TH!$X$7),"x","")</f>
        <v/>
      </c>
      <c r="Y7144" s="79" t="str">
        <f>IF(AND(OR(N7144="131",O7144="131"),H7144='131-CT'!$H$9),"x","")</f>
        <v/>
      </c>
      <c r="Z7144" s="79"/>
      <c r="AA7144" s="79" t="str">
        <f>IF(AND(MONTH(E7144)='IN-NX'!$J$5,'IN-NX'!$D$7=D7144),"x","")</f>
        <v/>
      </c>
      <c r="AB7144" s="79" t="str">
        <f>IF(AND(OR(LEFT(TH!N7144,2)="15",LEFT(TH!O7144,2)="15"),LEFT(TH!O7144,3)&lt;&gt;"111",'152-CT'!$J$8=TH!F7144),"x","")</f>
        <v/>
      </c>
      <c r="AC7144" s="79" t="str">
        <f>IF(AND(OR(LEFT(TH!N7144,2)="15",LEFT(TH!O7144,2)="15"),TK!$E$7=TH!F7144),"x","")</f>
        <v/>
      </c>
      <c r="AD7144" s="79" t="str">
        <f>IF(AND(N7144="1521",MONTH(C7144)='BK-NL'!$M$11),"x","")</f>
        <v/>
      </c>
    </row>
    <row r="7145" spans="1:30" ht="16.5" customHeight="1">
      <c r="A7145" s="318" t="str">
        <f>IF(B7145&lt;&gt;"",IF(AND(B7145='IN-TC'!$S$4,OR(TH!N7145="1111",TH!O7145="1111")),TH!D7145,""),"")</f>
        <v/>
      </c>
      <c r="B7145" s="1163" t="str">
        <f t="shared" si="532"/>
        <v/>
      </c>
      <c r="C7145" s="61"/>
      <c r="D7145" s="61"/>
      <c r="E7145" s="61"/>
      <c r="F7145" s="69"/>
      <c r="G7145" s="64"/>
      <c r="H7145" s="69"/>
      <c r="I7145" s="385"/>
      <c r="J7145" s="392"/>
      <c r="K7145" s="385"/>
      <c r="L7145" s="392"/>
      <c r="M7145" s="62"/>
      <c r="N7145" s="63"/>
      <c r="O7145" s="63"/>
      <c r="P7145" s="79" t="str">
        <f>IF(AND('331-CT'!$E$7=TH!H7145,OR(N7145="331",O7145="331")),"x","")</f>
        <v/>
      </c>
      <c r="Q7145" s="79" t="str">
        <f>IF(AND(B7145='111'!$L$11,OR($N7145=$Q$7,$O7145=$Q$7)),"x","")</f>
        <v/>
      </c>
      <c r="R7145" s="79" t="str">
        <f>IF(AND($N7145=$Q$7,$B7145&lt;'111'!$L$11),"x","")</f>
        <v/>
      </c>
      <c r="S7145" s="79" t="str">
        <f>IF(AND($O7145=$Q$7,$B7145&lt;'111'!$L$11),"x","")</f>
        <v/>
      </c>
      <c r="T7145" s="79" t="str">
        <f>IF(ISERROR(FIND('112'!$M$9,G7145,1)),"",IF((AND(FIND('112'!$M$9,G7145,1)&gt;=1,B7145='112'!$K$9,OR($N7145='112'!$I$6,$O7145='112'!$I$6))),"x",""))</f>
        <v/>
      </c>
      <c r="U7145" s="79" t="str">
        <f>IF(ISERROR(FIND('112'!$M$9,G7145,1)),"",IF((AND(LEFT(G7145,2)=LEFT('112'!$M$9,2),B7145&lt;'112'!$K$9,$N7145='112'!$I$6)),"x",""))</f>
        <v/>
      </c>
      <c r="V7145" s="79" t="str">
        <f>IF(ISERROR(FIND('112'!$M$9,G7145,1)),"",IF((AND(RIGHT(G7145,2)=RIGHT('112'!$M$9,2),B7145&lt;'112'!$K$9,$O7145='112'!$I$6)),"x",""))</f>
        <v/>
      </c>
      <c r="W7145" s="79" t="str">
        <f>IF(AND('341-CT'!$H$9=H7145,OR(LEFT(N7145,3)=$W$7,LEFT(O7145,3)=$W$7)),"x","")</f>
        <v/>
      </c>
      <c r="X7145" s="79" t="str">
        <f>IF(OR(TH!N7145=TH!$X$7,O7145=TH!$X$7),"x","")</f>
        <v/>
      </c>
      <c r="Y7145" s="79" t="str">
        <f>IF(AND(OR(N7145="131",O7145="131"),H7145='131-CT'!$H$9),"x","")</f>
        <v/>
      </c>
      <c r="Z7145" s="79"/>
      <c r="AA7145" s="79" t="str">
        <f>IF(AND(MONTH(E7145)='IN-NX'!$J$5,'IN-NX'!$D$7=D7145),"x","")</f>
        <v/>
      </c>
      <c r="AB7145" s="79" t="str">
        <f>IF(AND(OR(LEFT(TH!N7145,2)="15",LEFT(TH!O7145,2)="15"),LEFT(TH!O7145,3)&lt;&gt;"111",'152-CT'!$J$8=TH!F7145),"x","")</f>
        <v/>
      </c>
      <c r="AC7145" s="79" t="str">
        <f>IF(AND(OR(LEFT(TH!N7145,2)="15",LEFT(TH!O7145,2)="15"),TK!$E$7=TH!F7145),"x","")</f>
        <v/>
      </c>
      <c r="AD7145" s="79" t="str">
        <f>IF(AND(N7145="1521",MONTH(C7145)='BK-NL'!$M$11),"x","")</f>
        <v/>
      </c>
    </row>
    <row r="7146" spans="1:30" ht="16.5" customHeight="1">
      <c r="A7146" s="318" t="str">
        <f>IF(B7146&lt;&gt;"",IF(AND(B7146='IN-TC'!$S$4,OR(TH!N7146="1111",TH!O7146="1111")),TH!D7146,""),"")</f>
        <v/>
      </c>
      <c r="B7146" s="1163" t="str">
        <f t="shared" si="532"/>
        <v/>
      </c>
      <c r="C7146" s="61"/>
      <c r="D7146" s="61"/>
      <c r="E7146" s="61"/>
      <c r="F7146" s="69"/>
      <c r="G7146" s="64"/>
      <c r="H7146" s="69"/>
      <c r="I7146" s="385"/>
      <c r="J7146" s="392"/>
      <c r="K7146" s="385"/>
      <c r="L7146" s="392"/>
      <c r="M7146" s="62"/>
      <c r="N7146" s="63"/>
      <c r="O7146" s="63"/>
      <c r="P7146" s="79" t="str">
        <f>IF(AND('331-CT'!$E$7=TH!H7146,OR(N7146="331",O7146="331")),"x","")</f>
        <v/>
      </c>
      <c r="Q7146" s="79" t="str">
        <f>IF(AND(B7146='111'!$L$11,OR($N7146=$Q$7,$O7146=$Q$7)),"x","")</f>
        <v/>
      </c>
      <c r="R7146" s="79" t="str">
        <f>IF(AND($N7146=$Q$7,$B7146&lt;'111'!$L$11),"x","")</f>
        <v/>
      </c>
      <c r="S7146" s="79" t="str">
        <f>IF(AND($O7146=$Q$7,$B7146&lt;'111'!$L$11),"x","")</f>
        <v/>
      </c>
      <c r="T7146" s="79" t="str">
        <f>IF(ISERROR(FIND('112'!$M$9,G7146,1)),"",IF((AND(FIND('112'!$M$9,G7146,1)&gt;=1,B7146='112'!$K$9,OR($N7146='112'!$I$6,$O7146='112'!$I$6))),"x",""))</f>
        <v/>
      </c>
      <c r="U7146" s="79" t="str">
        <f>IF(ISERROR(FIND('112'!$M$9,G7146,1)),"",IF((AND(LEFT(G7146,2)=LEFT('112'!$M$9,2),B7146&lt;'112'!$K$9,$N7146='112'!$I$6)),"x",""))</f>
        <v/>
      </c>
      <c r="V7146" s="79" t="str">
        <f>IF(ISERROR(FIND('112'!$M$9,G7146,1)),"",IF((AND(RIGHT(G7146,2)=RIGHT('112'!$M$9,2),B7146&lt;'112'!$K$9,$O7146='112'!$I$6)),"x",""))</f>
        <v/>
      </c>
      <c r="W7146" s="79" t="str">
        <f>IF(AND('341-CT'!$H$9=H7146,OR(LEFT(N7146,3)=$W$7,LEFT(O7146,3)=$W$7)),"x","")</f>
        <v/>
      </c>
      <c r="X7146" s="79" t="str">
        <f>IF(OR(TH!N7146=TH!$X$7,O7146=TH!$X$7),"x","")</f>
        <v/>
      </c>
      <c r="Y7146" s="79" t="str">
        <f>IF(AND(OR(N7146="131",O7146="131"),H7146='131-CT'!$H$9),"x","")</f>
        <v/>
      </c>
      <c r="Z7146" s="79"/>
      <c r="AA7146" s="79" t="str">
        <f>IF(AND(MONTH(E7146)='IN-NX'!$J$5,'IN-NX'!$D$7=D7146),"x","")</f>
        <v/>
      </c>
      <c r="AB7146" s="79" t="str">
        <f>IF(AND(OR(LEFT(TH!N7146,2)="15",LEFT(TH!O7146,2)="15"),LEFT(TH!O7146,3)&lt;&gt;"111",'152-CT'!$J$8=TH!F7146),"x","")</f>
        <v/>
      </c>
      <c r="AC7146" s="79" t="str">
        <f>IF(AND(OR(LEFT(TH!N7146,2)="15",LEFT(TH!O7146,2)="15"),TK!$E$7=TH!F7146),"x","")</f>
        <v/>
      </c>
      <c r="AD7146" s="79" t="str">
        <f>IF(AND(N7146="1521",MONTH(C7146)='BK-NL'!$M$11),"x","")</f>
        <v/>
      </c>
    </row>
    <row r="7147" spans="1:30" ht="16.5" customHeight="1">
      <c r="A7147" s="318" t="str">
        <f>IF(B7147&lt;&gt;"",IF(AND(B7147='IN-TC'!$S$4,OR(TH!N7147="1111",TH!O7147="1111")),TH!D7147,""),"")</f>
        <v/>
      </c>
      <c r="B7147" s="1163" t="str">
        <f t="shared" si="532"/>
        <v/>
      </c>
      <c r="C7147" s="61"/>
      <c r="D7147" s="61"/>
      <c r="E7147" s="61"/>
      <c r="F7147" s="69"/>
      <c r="G7147" s="64"/>
      <c r="H7147" s="69"/>
      <c r="I7147" s="385"/>
      <c r="J7147" s="392"/>
      <c r="K7147" s="385"/>
      <c r="L7147" s="392"/>
      <c r="M7147" s="62"/>
      <c r="N7147" s="63"/>
      <c r="O7147" s="63"/>
      <c r="P7147" s="79" t="str">
        <f>IF(AND('331-CT'!$E$7=TH!H7147,OR(N7147="331",O7147="331")),"x","")</f>
        <v/>
      </c>
      <c r="Q7147" s="79" t="str">
        <f>IF(AND(B7147='111'!$L$11,OR($N7147=$Q$7,$O7147=$Q$7)),"x","")</f>
        <v/>
      </c>
      <c r="R7147" s="79" t="str">
        <f>IF(AND($N7147=$Q$7,$B7147&lt;'111'!$L$11),"x","")</f>
        <v/>
      </c>
      <c r="S7147" s="79" t="str">
        <f>IF(AND($O7147=$Q$7,$B7147&lt;'111'!$L$11),"x","")</f>
        <v/>
      </c>
      <c r="T7147" s="79" t="str">
        <f>IF(ISERROR(FIND('112'!$M$9,G7147,1)),"",IF((AND(FIND('112'!$M$9,G7147,1)&gt;=1,B7147='112'!$K$9,OR($N7147='112'!$I$6,$O7147='112'!$I$6))),"x",""))</f>
        <v/>
      </c>
      <c r="U7147" s="79" t="str">
        <f>IF(ISERROR(FIND('112'!$M$9,G7147,1)),"",IF((AND(LEFT(G7147,2)=LEFT('112'!$M$9,2),B7147&lt;'112'!$K$9,$N7147='112'!$I$6)),"x",""))</f>
        <v/>
      </c>
      <c r="V7147" s="79" t="str">
        <f>IF(ISERROR(FIND('112'!$M$9,G7147,1)),"",IF((AND(RIGHT(G7147,2)=RIGHT('112'!$M$9,2),B7147&lt;'112'!$K$9,$O7147='112'!$I$6)),"x",""))</f>
        <v/>
      </c>
      <c r="W7147" s="79" t="str">
        <f>IF(AND('341-CT'!$H$9=H7147,OR(LEFT(N7147,3)=$W$7,LEFT(O7147,3)=$W$7)),"x","")</f>
        <v/>
      </c>
      <c r="X7147" s="79" t="str">
        <f>IF(OR(TH!N7147=TH!$X$7,O7147=TH!$X$7),"x","")</f>
        <v/>
      </c>
      <c r="Y7147" s="79" t="str">
        <f>IF(AND(OR(N7147="131",O7147="131"),H7147='131-CT'!$H$9),"x","")</f>
        <v/>
      </c>
      <c r="Z7147" s="79"/>
      <c r="AA7147" s="79" t="str">
        <f>IF(AND(MONTH(E7147)='IN-NX'!$J$5,'IN-NX'!$D$7=D7147),"x","")</f>
        <v/>
      </c>
      <c r="AB7147" s="79" t="str">
        <f>IF(AND(OR(LEFT(TH!N7147,2)="15",LEFT(TH!O7147,2)="15"),LEFT(TH!O7147,3)&lt;&gt;"111",'152-CT'!$J$8=TH!F7147),"x","")</f>
        <v/>
      </c>
      <c r="AC7147" s="79" t="str">
        <f>IF(AND(OR(LEFT(TH!N7147,2)="15",LEFT(TH!O7147,2)="15"),TK!$E$7=TH!F7147),"x","")</f>
        <v/>
      </c>
      <c r="AD7147" s="79" t="str">
        <f>IF(AND(N7147="1521",MONTH(C7147)='BK-NL'!$M$11),"x","")</f>
        <v/>
      </c>
    </row>
    <row r="7148" spans="1:30" ht="16.5" customHeight="1">
      <c r="A7148" s="318" t="str">
        <f>IF(B7148&lt;&gt;"",IF(AND(B7148='IN-TC'!$S$4,OR(TH!N7148="1111",TH!O7148="1111")),TH!D7148,""),"")</f>
        <v/>
      </c>
      <c r="B7148" s="1163" t="str">
        <f t="shared" si="532"/>
        <v/>
      </c>
      <c r="C7148" s="61"/>
      <c r="D7148" s="61"/>
      <c r="E7148" s="61"/>
      <c r="F7148" s="69"/>
      <c r="G7148" s="64"/>
      <c r="H7148" s="69"/>
      <c r="I7148" s="385"/>
      <c r="J7148" s="392"/>
      <c r="K7148" s="385"/>
      <c r="L7148" s="392"/>
      <c r="M7148" s="62"/>
      <c r="N7148" s="63"/>
      <c r="O7148" s="63"/>
      <c r="P7148" s="79" t="str">
        <f>IF(AND('331-CT'!$E$7=TH!H7148,OR(N7148="331",O7148="331")),"x","")</f>
        <v/>
      </c>
      <c r="Q7148" s="79" t="str">
        <f>IF(AND(B7148='111'!$L$11,OR($N7148=$Q$7,$O7148=$Q$7)),"x","")</f>
        <v/>
      </c>
      <c r="R7148" s="79" t="str">
        <f>IF(AND($N7148=$Q$7,$B7148&lt;'111'!$L$11),"x","")</f>
        <v/>
      </c>
      <c r="S7148" s="79" t="str">
        <f>IF(AND($O7148=$Q$7,$B7148&lt;'111'!$L$11),"x","")</f>
        <v/>
      </c>
      <c r="T7148" s="79" t="str">
        <f>IF(ISERROR(FIND('112'!$M$9,G7148,1)),"",IF((AND(FIND('112'!$M$9,G7148,1)&gt;=1,B7148='112'!$K$9,OR($N7148='112'!$I$6,$O7148='112'!$I$6))),"x",""))</f>
        <v/>
      </c>
      <c r="U7148" s="79" t="str">
        <f>IF(ISERROR(FIND('112'!$M$9,G7148,1)),"",IF((AND(LEFT(G7148,2)=LEFT('112'!$M$9,2),B7148&lt;'112'!$K$9,$N7148='112'!$I$6)),"x",""))</f>
        <v/>
      </c>
      <c r="V7148" s="79" t="str">
        <f>IF(ISERROR(FIND('112'!$M$9,G7148,1)),"",IF((AND(RIGHT(G7148,2)=RIGHT('112'!$M$9,2),B7148&lt;'112'!$K$9,$O7148='112'!$I$6)),"x",""))</f>
        <v/>
      </c>
      <c r="W7148" s="79" t="str">
        <f>IF(AND('341-CT'!$H$9=H7148,OR(LEFT(N7148,3)=$W$7,LEFT(O7148,3)=$W$7)),"x","")</f>
        <v/>
      </c>
      <c r="X7148" s="79" t="str">
        <f>IF(OR(TH!N7148=TH!$X$7,O7148=TH!$X$7),"x","")</f>
        <v/>
      </c>
      <c r="Y7148" s="79" t="str">
        <f>IF(AND(OR(N7148="131",O7148="131"),H7148='131-CT'!$H$9),"x","")</f>
        <v/>
      </c>
      <c r="Z7148" s="79"/>
      <c r="AA7148" s="79" t="str">
        <f>IF(AND(MONTH(E7148)='IN-NX'!$J$5,'IN-NX'!$D$7=D7148),"x","")</f>
        <v/>
      </c>
      <c r="AB7148" s="79" t="str">
        <f>IF(AND(OR(LEFT(TH!N7148,2)="15",LEFT(TH!O7148,2)="15"),LEFT(TH!O7148,3)&lt;&gt;"111",'152-CT'!$J$8=TH!F7148),"x","")</f>
        <v/>
      </c>
      <c r="AC7148" s="79" t="str">
        <f>IF(AND(OR(LEFT(TH!N7148,2)="15",LEFT(TH!O7148,2)="15"),TK!$E$7=TH!F7148),"x","")</f>
        <v/>
      </c>
      <c r="AD7148" s="79" t="str">
        <f>IF(AND(N7148="1521",MONTH(C7148)='BK-NL'!$M$11),"x","")</f>
        <v/>
      </c>
    </row>
    <row r="7149" spans="1:30" ht="16.5" customHeight="1">
      <c r="A7149" s="318" t="str">
        <f>IF(B7149&lt;&gt;"",IF(AND(B7149='IN-TC'!$S$4,OR(TH!N7149="1111",TH!O7149="1111")),TH!D7149,""),"")</f>
        <v/>
      </c>
      <c r="B7149" s="1163" t="str">
        <f t="shared" si="532"/>
        <v/>
      </c>
      <c r="C7149" s="61"/>
      <c r="D7149" s="61"/>
      <c r="E7149" s="61"/>
      <c r="F7149" s="69"/>
      <c r="G7149" s="64"/>
      <c r="H7149" s="69"/>
      <c r="I7149" s="385"/>
      <c r="J7149" s="392"/>
      <c r="K7149" s="385"/>
      <c r="L7149" s="392"/>
      <c r="M7149" s="62"/>
      <c r="N7149" s="63"/>
      <c r="O7149" s="63"/>
      <c r="P7149" s="79" t="str">
        <f>IF(AND('331-CT'!$E$7=TH!H7149,OR(N7149="331",O7149="331")),"x","")</f>
        <v/>
      </c>
      <c r="Q7149" s="79" t="str">
        <f>IF(AND(B7149='111'!$L$11,OR($N7149=$Q$7,$O7149=$Q$7)),"x","")</f>
        <v/>
      </c>
      <c r="R7149" s="79" t="str">
        <f>IF(AND($N7149=$Q$7,$B7149&lt;'111'!$L$11),"x","")</f>
        <v/>
      </c>
      <c r="S7149" s="79" t="str">
        <f>IF(AND($O7149=$Q$7,$B7149&lt;'111'!$L$11),"x","")</f>
        <v/>
      </c>
      <c r="T7149" s="79" t="str">
        <f>IF(ISERROR(FIND('112'!$M$9,G7149,1)),"",IF((AND(FIND('112'!$M$9,G7149,1)&gt;=1,B7149='112'!$K$9,OR($N7149='112'!$I$6,$O7149='112'!$I$6))),"x",""))</f>
        <v/>
      </c>
      <c r="U7149" s="79" t="str">
        <f>IF(ISERROR(FIND('112'!$M$9,G7149,1)),"",IF((AND(LEFT(G7149,2)=LEFT('112'!$M$9,2),B7149&lt;'112'!$K$9,$N7149='112'!$I$6)),"x",""))</f>
        <v/>
      </c>
      <c r="V7149" s="79" t="str">
        <f>IF(ISERROR(FIND('112'!$M$9,G7149,1)),"",IF((AND(RIGHT(G7149,2)=RIGHT('112'!$M$9,2),B7149&lt;'112'!$K$9,$O7149='112'!$I$6)),"x",""))</f>
        <v/>
      </c>
      <c r="W7149" s="79" t="str">
        <f>IF(AND('341-CT'!$H$9=H7149,OR(LEFT(N7149,3)=$W$7,LEFT(O7149,3)=$W$7)),"x","")</f>
        <v/>
      </c>
      <c r="X7149" s="79" t="str">
        <f>IF(OR(TH!N7149=TH!$X$7,O7149=TH!$X$7),"x","")</f>
        <v/>
      </c>
      <c r="Y7149" s="79" t="str">
        <f>IF(AND(OR(N7149="131",O7149="131"),H7149='131-CT'!$H$9),"x","")</f>
        <v/>
      </c>
      <c r="Z7149" s="79"/>
      <c r="AA7149" s="79" t="str">
        <f>IF(AND(MONTH(E7149)='IN-NX'!$J$5,'IN-NX'!$D$7=D7149),"x","")</f>
        <v/>
      </c>
      <c r="AB7149" s="79" t="str">
        <f>IF(AND(OR(LEFT(TH!N7149,2)="15",LEFT(TH!O7149,2)="15"),LEFT(TH!O7149,3)&lt;&gt;"111",'152-CT'!$J$8=TH!F7149),"x","")</f>
        <v/>
      </c>
      <c r="AC7149" s="79" t="str">
        <f>IF(AND(OR(LEFT(TH!N7149,2)="15",LEFT(TH!O7149,2)="15"),TK!$E$7=TH!F7149),"x","")</f>
        <v/>
      </c>
      <c r="AD7149" s="79" t="str">
        <f>IF(AND(N7149="1521",MONTH(C7149)='BK-NL'!$M$11),"x","")</f>
        <v/>
      </c>
    </row>
    <row r="7150" spans="1:30" ht="16.5" customHeight="1">
      <c r="A7150" s="318" t="str">
        <f>IF(B7150&lt;&gt;"",IF(AND(B7150='IN-TC'!$S$4,OR(TH!N7150="1111",TH!O7150="1111")),TH!D7150,""),"")</f>
        <v/>
      </c>
      <c r="B7150" s="1163" t="str">
        <f t="shared" si="532"/>
        <v/>
      </c>
      <c r="C7150" s="61"/>
      <c r="D7150" s="61"/>
      <c r="E7150" s="61"/>
      <c r="F7150" s="69"/>
      <c r="G7150" s="64"/>
      <c r="H7150" s="69"/>
      <c r="I7150" s="385"/>
      <c r="J7150" s="392"/>
      <c r="K7150" s="385"/>
      <c r="L7150" s="392"/>
      <c r="M7150" s="62"/>
      <c r="N7150" s="63"/>
      <c r="O7150" s="63"/>
      <c r="P7150" s="79" t="str">
        <f>IF(AND('331-CT'!$E$7=TH!H7150,OR(N7150="331",O7150="331")),"x","")</f>
        <v/>
      </c>
      <c r="Q7150" s="79" t="str">
        <f>IF(AND(B7150='111'!$L$11,OR($N7150=$Q$7,$O7150=$Q$7)),"x","")</f>
        <v/>
      </c>
      <c r="R7150" s="79" t="str">
        <f>IF(AND($N7150=$Q$7,$B7150&lt;'111'!$L$11),"x","")</f>
        <v/>
      </c>
      <c r="S7150" s="79" t="str">
        <f>IF(AND($O7150=$Q$7,$B7150&lt;'111'!$L$11),"x","")</f>
        <v/>
      </c>
      <c r="T7150" s="79" t="str">
        <f>IF(ISERROR(FIND('112'!$M$9,G7150,1)),"",IF((AND(FIND('112'!$M$9,G7150,1)&gt;=1,B7150='112'!$K$9,OR($N7150='112'!$I$6,$O7150='112'!$I$6))),"x",""))</f>
        <v/>
      </c>
      <c r="U7150" s="79" t="str">
        <f>IF(ISERROR(FIND('112'!$M$9,G7150,1)),"",IF((AND(LEFT(G7150,2)=LEFT('112'!$M$9,2),B7150&lt;'112'!$K$9,$N7150='112'!$I$6)),"x",""))</f>
        <v/>
      </c>
      <c r="V7150" s="79" t="str">
        <f>IF(ISERROR(FIND('112'!$M$9,G7150,1)),"",IF((AND(RIGHT(G7150,2)=RIGHT('112'!$M$9,2),B7150&lt;'112'!$K$9,$O7150='112'!$I$6)),"x",""))</f>
        <v/>
      </c>
      <c r="W7150" s="79" t="str">
        <f>IF(AND('341-CT'!$H$9=H7150,OR(LEFT(N7150,3)=$W$7,LEFT(O7150,3)=$W$7)),"x","")</f>
        <v/>
      </c>
      <c r="X7150" s="79" t="str">
        <f>IF(OR(TH!N7150=TH!$X$7,O7150=TH!$X$7),"x","")</f>
        <v/>
      </c>
      <c r="Y7150" s="79" t="str">
        <f>IF(AND(OR(N7150="131",O7150="131"),H7150='131-CT'!$H$9),"x","")</f>
        <v/>
      </c>
      <c r="Z7150" s="79"/>
      <c r="AA7150" s="79" t="str">
        <f>IF(AND(MONTH(E7150)='IN-NX'!$J$5,'IN-NX'!$D$7=D7150),"x","")</f>
        <v/>
      </c>
      <c r="AB7150" s="79" t="str">
        <f>IF(AND(OR(LEFT(TH!N7150,2)="15",LEFT(TH!O7150,2)="15"),LEFT(TH!O7150,3)&lt;&gt;"111",'152-CT'!$J$8=TH!F7150),"x","")</f>
        <v/>
      </c>
      <c r="AC7150" s="79" t="str">
        <f>IF(AND(OR(LEFT(TH!N7150,2)="15",LEFT(TH!O7150,2)="15"),TK!$E$7=TH!F7150),"x","")</f>
        <v/>
      </c>
      <c r="AD7150" s="79" t="str">
        <f>IF(AND(N7150="1521",MONTH(C7150)='BK-NL'!$M$11),"x","")</f>
        <v/>
      </c>
    </row>
    <row r="7151" spans="1:30" ht="16.5" customHeight="1">
      <c r="A7151" s="318" t="str">
        <f>IF(B7151&lt;&gt;"",IF(AND(B7151='IN-TC'!$S$4,OR(TH!N7151="1111",TH!O7151="1111")),TH!D7151,""),"")</f>
        <v/>
      </c>
      <c r="B7151" s="1163" t="str">
        <f t="shared" si="532"/>
        <v/>
      </c>
      <c r="C7151" s="61"/>
      <c r="D7151" s="61"/>
      <c r="E7151" s="61"/>
      <c r="F7151" s="69"/>
      <c r="G7151" s="64"/>
      <c r="H7151" s="69"/>
      <c r="I7151" s="385"/>
      <c r="J7151" s="392"/>
      <c r="K7151" s="385"/>
      <c r="L7151" s="392"/>
      <c r="M7151" s="62"/>
      <c r="N7151" s="63"/>
      <c r="O7151" s="63"/>
      <c r="P7151" s="79" t="str">
        <f>IF(AND('331-CT'!$E$7=TH!H7151,OR(N7151="331",O7151="331")),"x","")</f>
        <v/>
      </c>
      <c r="Q7151" s="79" t="str">
        <f>IF(AND(B7151='111'!$L$11,OR($N7151=$Q$7,$O7151=$Q$7)),"x","")</f>
        <v/>
      </c>
      <c r="R7151" s="79" t="str">
        <f>IF(AND($N7151=$Q$7,$B7151&lt;'111'!$L$11),"x","")</f>
        <v/>
      </c>
      <c r="S7151" s="79" t="str">
        <f>IF(AND($O7151=$Q$7,$B7151&lt;'111'!$L$11),"x","")</f>
        <v/>
      </c>
      <c r="T7151" s="79" t="str">
        <f>IF(ISERROR(FIND('112'!$M$9,G7151,1)),"",IF((AND(FIND('112'!$M$9,G7151,1)&gt;=1,B7151='112'!$K$9,OR($N7151='112'!$I$6,$O7151='112'!$I$6))),"x",""))</f>
        <v/>
      </c>
      <c r="U7151" s="79" t="str">
        <f>IF(ISERROR(FIND('112'!$M$9,G7151,1)),"",IF((AND(LEFT(G7151,2)=LEFT('112'!$M$9,2),B7151&lt;'112'!$K$9,$N7151='112'!$I$6)),"x",""))</f>
        <v/>
      </c>
      <c r="V7151" s="79" t="str">
        <f>IF(ISERROR(FIND('112'!$M$9,G7151,1)),"",IF((AND(RIGHT(G7151,2)=RIGHT('112'!$M$9,2),B7151&lt;'112'!$K$9,$O7151='112'!$I$6)),"x",""))</f>
        <v/>
      </c>
      <c r="W7151" s="79" t="str">
        <f>IF(AND('341-CT'!$H$9=H7151,OR(LEFT(N7151,3)=$W$7,LEFT(O7151,3)=$W$7)),"x","")</f>
        <v/>
      </c>
      <c r="X7151" s="79" t="str">
        <f>IF(OR(TH!N7151=TH!$X$7,O7151=TH!$X$7),"x","")</f>
        <v/>
      </c>
      <c r="Y7151" s="79" t="str">
        <f>IF(AND(OR(N7151="131",O7151="131"),H7151='131-CT'!$H$9),"x","")</f>
        <v/>
      </c>
      <c r="Z7151" s="79"/>
      <c r="AA7151" s="79" t="str">
        <f>IF(AND(MONTH(E7151)='IN-NX'!$J$5,'IN-NX'!$D$7=D7151),"x","")</f>
        <v/>
      </c>
      <c r="AB7151" s="79" t="str">
        <f>IF(AND(OR(LEFT(TH!N7151,2)="15",LEFT(TH!O7151,2)="15"),LEFT(TH!O7151,3)&lt;&gt;"111",'152-CT'!$J$8=TH!F7151),"x","")</f>
        <v/>
      </c>
      <c r="AC7151" s="79" t="str">
        <f>IF(AND(OR(LEFT(TH!N7151,2)="15",LEFT(TH!O7151,2)="15"),TK!$E$7=TH!F7151),"x","")</f>
        <v/>
      </c>
      <c r="AD7151" s="79" t="str">
        <f>IF(AND(N7151="1521",MONTH(C7151)='BK-NL'!$M$11),"x","")</f>
        <v/>
      </c>
    </row>
    <row r="7152" spans="1:30" ht="16.5" customHeight="1">
      <c r="A7152" s="318" t="str">
        <f>IF(B7152&lt;&gt;"",IF(AND(B7152='IN-TC'!$S$4,OR(TH!N7152="1111",TH!O7152="1111")),TH!D7152,""),"")</f>
        <v/>
      </c>
      <c r="B7152" s="1163" t="str">
        <f t="shared" si="532"/>
        <v/>
      </c>
      <c r="C7152" s="61"/>
      <c r="D7152" s="61"/>
      <c r="E7152" s="61"/>
      <c r="F7152" s="69"/>
      <c r="G7152" s="64"/>
      <c r="H7152" s="69"/>
      <c r="I7152" s="385"/>
      <c r="J7152" s="392"/>
      <c r="K7152" s="385"/>
      <c r="L7152" s="392"/>
      <c r="M7152" s="62"/>
      <c r="N7152" s="63"/>
      <c r="O7152" s="63"/>
      <c r="P7152" s="79" t="str">
        <f>IF(AND('331-CT'!$E$7=TH!H7152,OR(N7152="331",O7152="331")),"x","")</f>
        <v/>
      </c>
      <c r="Q7152" s="79" t="str">
        <f>IF(AND(B7152='111'!$L$11,OR($N7152=$Q$7,$O7152=$Q$7)),"x","")</f>
        <v/>
      </c>
      <c r="R7152" s="79" t="str">
        <f>IF(AND($N7152=$Q$7,$B7152&lt;'111'!$L$11),"x","")</f>
        <v/>
      </c>
      <c r="S7152" s="79" t="str">
        <f>IF(AND($O7152=$Q$7,$B7152&lt;'111'!$L$11),"x","")</f>
        <v/>
      </c>
      <c r="T7152" s="79" t="str">
        <f>IF(ISERROR(FIND('112'!$M$9,G7152,1)),"",IF((AND(FIND('112'!$M$9,G7152,1)&gt;=1,B7152='112'!$K$9,OR($N7152='112'!$I$6,$O7152='112'!$I$6))),"x",""))</f>
        <v/>
      </c>
      <c r="U7152" s="79" t="str">
        <f>IF(ISERROR(FIND('112'!$M$9,G7152,1)),"",IF((AND(LEFT(G7152,2)=LEFT('112'!$M$9,2),B7152&lt;'112'!$K$9,$N7152='112'!$I$6)),"x",""))</f>
        <v/>
      </c>
      <c r="V7152" s="79" t="str">
        <f>IF(ISERROR(FIND('112'!$M$9,G7152,1)),"",IF((AND(RIGHT(G7152,2)=RIGHT('112'!$M$9,2),B7152&lt;'112'!$K$9,$O7152='112'!$I$6)),"x",""))</f>
        <v/>
      </c>
      <c r="W7152" s="79" t="str">
        <f>IF(AND('341-CT'!$H$9=H7152,OR(LEFT(N7152,3)=$W$7,LEFT(O7152,3)=$W$7)),"x","")</f>
        <v/>
      </c>
      <c r="X7152" s="79" t="str">
        <f>IF(OR(TH!N7152=TH!$X$7,O7152=TH!$X$7),"x","")</f>
        <v/>
      </c>
      <c r="Y7152" s="79" t="str">
        <f>IF(AND(OR(N7152="131",O7152="131"),H7152='131-CT'!$H$9),"x","")</f>
        <v/>
      </c>
      <c r="Z7152" s="79"/>
      <c r="AA7152" s="79" t="str">
        <f>IF(AND(MONTH(E7152)='IN-NX'!$J$5,'IN-NX'!$D$7=D7152),"x","")</f>
        <v/>
      </c>
      <c r="AB7152" s="79" t="str">
        <f>IF(AND(OR(LEFT(TH!N7152,2)="15",LEFT(TH!O7152,2)="15"),LEFT(TH!O7152,3)&lt;&gt;"111",'152-CT'!$J$8=TH!F7152),"x","")</f>
        <v/>
      </c>
      <c r="AC7152" s="79" t="str">
        <f>IF(AND(OR(LEFT(TH!N7152,2)="15",LEFT(TH!O7152,2)="15"),TK!$E$7=TH!F7152),"x","")</f>
        <v/>
      </c>
      <c r="AD7152" s="79" t="str">
        <f>IF(AND(N7152="1521",MONTH(C7152)='BK-NL'!$M$11),"x","")</f>
        <v/>
      </c>
    </row>
    <row r="7153" spans="1:30" ht="16.5" customHeight="1">
      <c r="A7153" s="318" t="str">
        <f>IF(B7153&lt;&gt;"",IF(AND(B7153='IN-TC'!$S$4,OR(TH!N7153="1111",TH!O7153="1111")),TH!D7153,""),"")</f>
        <v/>
      </c>
      <c r="B7153" s="1163" t="str">
        <f t="shared" si="532"/>
        <v/>
      </c>
      <c r="C7153" s="61"/>
      <c r="D7153" s="61"/>
      <c r="E7153" s="61"/>
      <c r="F7153" s="69"/>
      <c r="G7153" s="64"/>
      <c r="H7153" s="69"/>
      <c r="I7153" s="385"/>
      <c r="J7153" s="392"/>
      <c r="K7153" s="385"/>
      <c r="L7153" s="392"/>
      <c r="M7153" s="62"/>
      <c r="N7153" s="63"/>
      <c r="O7153" s="63"/>
      <c r="P7153" s="79" t="str">
        <f>IF(AND('331-CT'!$E$7=TH!H7153,OR(N7153="331",O7153="331")),"x","")</f>
        <v/>
      </c>
      <c r="Q7153" s="79" t="str">
        <f>IF(AND(B7153='111'!$L$11,OR($N7153=$Q$7,$O7153=$Q$7)),"x","")</f>
        <v/>
      </c>
      <c r="R7153" s="79" t="str">
        <f>IF(AND($N7153=$Q$7,$B7153&lt;'111'!$L$11),"x","")</f>
        <v/>
      </c>
      <c r="S7153" s="79" t="str">
        <f>IF(AND($O7153=$Q$7,$B7153&lt;'111'!$L$11),"x","")</f>
        <v/>
      </c>
      <c r="T7153" s="79" t="str">
        <f>IF(ISERROR(FIND('112'!$M$9,G7153,1)),"",IF((AND(FIND('112'!$M$9,G7153,1)&gt;=1,B7153='112'!$K$9,OR($N7153='112'!$I$6,$O7153='112'!$I$6))),"x",""))</f>
        <v/>
      </c>
      <c r="U7153" s="79" t="str">
        <f>IF(ISERROR(FIND('112'!$M$9,G7153,1)),"",IF((AND(LEFT(G7153,2)=LEFT('112'!$M$9,2),B7153&lt;'112'!$K$9,$N7153='112'!$I$6)),"x",""))</f>
        <v/>
      </c>
      <c r="V7153" s="79" t="str">
        <f>IF(ISERROR(FIND('112'!$M$9,G7153,1)),"",IF((AND(RIGHT(G7153,2)=RIGHT('112'!$M$9,2),B7153&lt;'112'!$K$9,$O7153='112'!$I$6)),"x",""))</f>
        <v/>
      </c>
      <c r="W7153" s="79" t="str">
        <f>IF(AND('341-CT'!$H$9=H7153,OR(LEFT(N7153,3)=$W$7,LEFT(O7153,3)=$W$7)),"x","")</f>
        <v/>
      </c>
      <c r="X7153" s="79" t="str">
        <f>IF(OR(TH!N7153=TH!$X$7,O7153=TH!$X$7),"x","")</f>
        <v/>
      </c>
      <c r="Y7153" s="79" t="str">
        <f>IF(AND(OR(N7153="131",O7153="131"),H7153='131-CT'!$H$9),"x","")</f>
        <v/>
      </c>
      <c r="Z7153" s="79"/>
      <c r="AA7153" s="79" t="str">
        <f>IF(AND(MONTH(E7153)='IN-NX'!$J$5,'IN-NX'!$D$7=D7153),"x","")</f>
        <v/>
      </c>
      <c r="AB7153" s="79" t="str">
        <f>IF(AND(OR(LEFT(TH!N7153,2)="15",LEFT(TH!O7153,2)="15"),LEFT(TH!O7153,3)&lt;&gt;"111",'152-CT'!$J$8=TH!F7153),"x","")</f>
        <v/>
      </c>
      <c r="AC7153" s="79" t="str">
        <f>IF(AND(OR(LEFT(TH!N7153,2)="15",LEFT(TH!O7153,2)="15"),TK!$E$7=TH!F7153),"x","")</f>
        <v/>
      </c>
      <c r="AD7153" s="79" t="str">
        <f>IF(AND(N7153="1521",MONTH(C7153)='BK-NL'!$M$11),"x","")</f>
        <v/>
      </c>
    </row>
    <row r="7154" spans="1:30" ht="16.5" customHeight="1">
      <c r="A7154" s="318" t="str">
        <f>IF(B7154&lt;&gt;"",IF(AND(B7154='IN-TC'!$S$4,OR(TH!N7154="1111",TH!O7154="1111")),TH!D7154,""),"")</f>
        <v/>
      </c>
      <c r="B7154" s="1163" t="str">
        <f t="shared" si="532"/>
        <v/>
      </c>
      <c r="C7154" s="61"/>
      <c r="D7154" s="61"/>
      <c r="E7154" s="61"/>
      <c r="F7154" s="69"/>
      <c r="G7154" s="64"/>
      <c r="H7154" s="69"/>
      <c r="I7154" s="385"/>
      <c r="J7154" s="392"/>
      <c r="K7154" s="385"/>
      <c r="L7154" s="392"/>
      <c r="M7154" s="62"/>
      <c r="N7154" s="63"/>
      <c r="O7154" s="63"/>
      <c r="P7154" s="79" t="str">
        <f>IF(AND('331-CT'!$E$7=TH!H7154,OR(N7154="331",O7154="331")),"x","")</f>
        <v/>
      </c>
      <c r="Q7154" s="79" t="str">
        <f>IF(AND(B7154='111'!$L$11,OR($N7154=$Q$7,$O7154=$Q$7)),"x","")</f>
        <v/>
      </c>
      <c r="R7154" s="79" t="str">
        <f>IF(AND($N7154=$Q$7,$B7154&lt;'111'!$L$11),"x","")</f>
        <v/>
      </c>
      <c r="S7154" s="79" t="str">
        <f>IF(AND($O7154=$Q$7,$B7154&lt;'111'!$L$11),"x","")</f>
        <v/>
      </c>
      <c r="T7154" s="79" t="str">
        <f>IF(ISERROR(FIND('112'!$M$9,G7154,1)),"",IF((AND(FIND('112'!$M$9,G7154,1)&gt;=1,B7154='112'!$K$9,OR($N7154='112'!$I$6,$O7154='112'!$I$6))),"x",""))</f>
        <v/>
      </c>
      <c r="U7154" s="79" t="str">
        <f>IF(ISERROR(FIND('112'!$M$9,G7154,1)),"",IF((AND(LEFT(G7154,2)=LEFT('112'!$M$9,2),B7154&lt;'112'!$K$9,$N7154='112'!$I$6)),"x",""))</f>
        <v/>
      </c>
      <c r="V7154" s="79" t="str">
        <f>IF(ISERROR(FIND('112'!$M$9,G7154,1)),"",IF((AND(RIGHT(G7154,2)=RIGHT('112'!$M$9,2),B7154&lt;'112'!$K$9,$O7154='112'!$I$6)),"x",""))</f>
        <v/>
      </c>
      <c r="W7154" s="79" t="str">
        <f>IF(AND('341-CT'!$H$9=H7154,OR(LEFT(N7154,3)=$W$7,LEFT(O7154,3)=$W$7)),"x","")</f>
        <v/>
      </c>
      <c r="X7154" s="79" t="str">
        <f>IF(OR(TH!N7154=TH!$X$7,O7154=TH!$X$7),"x","")</f>
        <v/>
      </c>
      <c r="Y7154" s="79" t="str">
        <f>IF(AND(OR(N7154="131",O7154="131"),H7154='131-CT'!$H$9),"x","")</f>
        <v/>
      </c>
      <c r="Z7154" s="79"/>
      <c r="AA7154" s="79" t="str">
        <f>IF(AND(MONTH(E7154)='IN-NX'!$J$5,'IN-NX'!$D$7=D7154),"x","")</f>
        <v/>
      </c>
      <c r="AB7154" s="79" t="str">
        <f>IF(AND(OR(LEFT(TH!N7154,2)="15",LEFT(TH!O7154,2)="15"),LEFT(TH!O7154,3)&lt;&gt;"111",'152-CT'!$J$8=TH!F7154),"x","")</f>
        <v/>
      </c>
      <c r="AC7154" s="79" t="str">
        <f>IF(AND(OR(LEFT(TH!N7154,2)="15",LEFT(TH!O7154,2)="15"),TK!$E$7=TH!F7154),"x","")</f>
        <v/>
      </c>
      <c r="AD7154" s="79" t="str">
        <f>IF(AND(N7154="1521",MONTH(C7154)='BK-NL'!$M$11),"x","")</f>
        <v/>
      </c>
    </row>
    <row r="7155" spans="1:30" ht="16.5" customHeight="1">
      <c r="A7155" s="318" t="str">
        <f>IF(B7155&lt;&gt;"",IF(AND(B7155='IN-TC'!$S$4,OR(TH!N7155="1111",TH!O7155="1111")),TH!D7155,""),"")</f>
        <v/>
      </c>
      <c r="B7155" s="1163" t="str">
        <f t="shared" si="532"/>
        <v/>
      </c>
      <c r="C7155" s="61"/>
      <c r="D7155" s="61"/>
      <c r="E7155" s="61"/>
      <c r="F7155" s="69"/>
      <c r="G7155" s="64"/>
      <c r="H7155" s="69"/>
      <c r="I7155" s="385"/>
      <c r="J7155" s="392"/>
      <c r="K7155" s="385"/>
      <c r="L7155" s="392"/>
      <c r="M7155" s="62"/>
      <c r="N7155" s="63"/>
      <c r="O7155" s="63"/>
      <c r="P7155" s="79" t="str">
        <f>IF(AND('331-CT'!$E$7=TH!H7155,OR(N7155="331",O7155="331")),"x","")</f>
        <v/>
      </c>
      <c r="Q7155" s="79" t="str">
        <f>IF(AND(B7155='111'!$L$11,OR($N7155=$Q$7,$O7155=$Q$7)),"x","")</f>
        <v/>
      </c>
      <c r="R7155" s="79" t="str">
        <f>IF(AND($N7155=$Q$7,$B7155&lt;'111'!$L$11),"x","")</f>
        <v/>
      </c>
      <c r="S7155" s="79" t="str">
        <f>IF(AND($O7155=$Q$7,$B7155&lt;'111'!$L$11),"x","")</f>
        <v/>
      </c>
      <c r="T7155" s="79" t="str">
        <f>IF(ISERROR(FIND('112'!$M$9,G7155,1)),"",IF((AND(FIND('112'!$M$9,G7155,1)&gt;=1,B7155='112'!$K$9,OR($N7155='112'!$I$6,$O7155='112'!$I$6))),"x",""))</f>
        <v/>
      </c>
      <c r="U7155" s="79" t="str">
        <f>IF(ISERROR(FIND('112'!$M$9,G7155,1)),"",IF((AND(LEFT(G7155,2)=LEFT('112'!$M$9,2),B7155&lt;'112'!$K$9,$N7155='112'!$I$6)),"x",""))</f>
        <v/>
      </c>
      <c r="V7155" s="79" t="str">
        <f>IF(ISERROR(FIND('112'!$M$9,G7155,1)),"",IF((AND(RIGHT(G7155,2)=RIGHT('112'!$M$9,2),B7155&lt;'112'!$K$9,$O7155='112'!$I$6)),"x",""))</f>
        <v/>
      </c>
      <c r="W7155" s="79" t="str">
        <f>IF(AND('341-CT'!$H$9=H7155,OR(LEFT(N7155,3)=$W$7,LEFT(O7155,3)=$W$7)),"x","")</f>
        <v/>
      </c>
      <c r="X7155" s="79" t="str">
        <f>IF(OR(TH!N7155=TH!$X$7,O7155=TH!$X$7),"x","")</f>
        <v/>
      </c>
      <c r="Y7155" s="79" t="str">
        <f>IF(AND(OR(N7155="131",O7155="131"),H7155='131-CT'!$H$9),"x","")</f>
        <v/>
      </c>
      <c r="Z7155" s="79"/>
      <c r="AA7155" s="79" t="str">
        <f>IF(AND(MONTH(E7155)='IN-NX'!$J$5,'IN-NX'!$D$7=D7155),"x","")</f>
        <v/>
      </c>
      <c r="AB7155" s="79" t="str">
        <f>IF(AND(OR(LEFT(TH!N7155,2)="15",LEFT(TH!O7155,2)="15"),LEFT(TH!O7155,3)&lt;&gt;"111",'152-CT'!$J$8=TH!F7155),"x","")</f>
        <v/>
      </c>
      <c r="AC7155" s="79" t="str">
        <f>IF(AND(OR(LEFT(TH!N7155,2)="15",LEFT(TH!O7155,2)="15"),TK!$E$7=TH!F7155),"x","")</f>
        <v/>
      </c>
      <c r="AD7155" s="79" t="str">
        <f>IF(AND(N7155="1521",MONTH(C7155)='BK-NL'!$M$11),"x","")</f>
        <v/>
      </c>
    </row>
    <row r="7156" spans="1:30" ht="16.5" customHeight="1">
      <c r="A7156" s="318" t="str">
        <f>IF(B7156&lt;&gt;"",IF(AND(B7156='IN-TC'!$S$4,OR(TH!N7156="1111",TH!O7156="1111")),TH!D7156,""),"")</f>
        <v/>
      </c>
      <c r="B7156" s="1163" t="str">
        <f t="shared" si="532"/>
        <v/>
      </c>
      <c r="C7156" s="61"/>
      <c r="D7156" s="61"/>
      <c r="E7156" s="61"/>
      <c r="F7156" s="69"/>
      <c r="G7156" s="64"/>
      <c r="H7156" s="69"/>
      <c r="I7156" s="385"/>
      <c r="J7156" s="392"/>
      <c r="K7156" s="385"/>
      <c r="L7156" s="392"/>
      <c r="M7156" s="62"/>
      <c r="N7156" s="63"/>
      <c r="O7156" s="63"/>
      <c r="P7156" s="79" t="str">
        <f>IF(AND('331-CT'!$E$7=TH!H7156,OR(N7156="331",O7156="331")),"x","")</f>
        <v/>
      </c>
      <c r="Q7156" s="79" t="str">
        <f>IF(AND(B7156='111'!$L$11,OR($N7156=$Q$7,$O7156=$Q$7)),"x","")</f>
        <v/>
      </c>
      <c r="R7156" s="79" t="str">
        <f>IF(AND($N7156=$Q$7,$B7156&lt;'111'!$L$11),"x","")</f>
        <v/>
      </c>
      <c r="S7156" s="79" t="str">
        <f>IF(AND($O7156=$Q$7,$B7156&lt;'111'!$L$11),"x","")</f>
        <v/>
      </c>
      <c r="T7156" s="79" t="str">
        <f>IF(ISERROR(FIND('112'!$M$9,G7156,1)),"",IF((AND(FIND('112'!$M$9,G7156,1)&gt;=1,B7156='112'!$K$9,OR($N7156='112'!$I$6,$O7156='112'!$I$6))),"x",""))</f>
        <v/>
      </c>
      <c r="U7156" s="79" t="str">
        <f>IF(ISERROR(FIND('112'!$M$9,G7156,1)),"",IF((AND(LEFT(G7156,2)=LEFT('112'!$M$9,2),B7156&lt;'112'!$K$9,$N7156='112'!$I$6)),"x",""))</f>
        <v/>
      </c>
      <c r="V7156" s="79" t="str">
        <f>IF(ISERROR(FIND('112'!$M$9,G7156,1)),"",IF((AND(RIGHT(G7156,2)=RIGHT('112'!$M$9,2),B7156&lt;'112'!$K$9,$O7156='112'!$I$6)),"x",""))</f>
        <v/>
      </c>
      <c r="W7156" s="79" t="str">
        <f>IF(AND('341-CT'!$H$9=H7156,OR(LEFT(N7156,3)=$W$7,LEFT(O7156,3)=$W$7)),"x","")</f>
        <v/>
      </c>
      <c r="X7156" s="79" t="str">
        <f>IF(OR(TH!N7156=TH!$X$7,O7156=TH!$X$7),"x","")</f>
        <v/>
      </c>
      <c r="Y7156" s="79" t="str">
        <f>IF(AND(OR(N7156="131",O7156="131"),H7156='131-CT'!$H$9),"x","")</f>
        <v/>
      </c>
      <c r="Z7156" s="79"/>
      <c r="AA7156" s="79" t="str">
        <f>IF(AND(MONTH(E7156)='IN-NX'!$J$5,'IN-NX'!$D$7=D7156),"x","")</f>
        <v/>
      </c>
      <c r="AB7156" s="79" t="str">
        <f>IF(AND(OR(LEFT(TH!N7156,2)="15",LEFT(TH!O7156,2)="15"),LEFT(TH!O7156,3)&lt;&gt;"111",'152-CT'!$J$8=TH!F7156),"x","")</f>
        <v/>
      </c>
      <c r="AC7156" s="79" t="str">
        <f>IF(AND(OR(LEFT(TH!N7156,2)="15",LEFT(TH!O7156,2)="15"),TK!$E$7=TH!F7156),"x","")</f>
        <v/>
      </c>
      <c r="AD7156" s="79" t="str">
        <f>IF(AND(N7156="1521",MONTH(C7156)='BK-NL'!$M$11),"x","")</f>
        <v/>
      </c>
    </row>
    <row r="7157" spans="1:30" ht="16.5" customHeight="1">
      <c r="A7157" s="318" t="str">
        <f>IF(B7157&lt;&gt;"",IF(AND(B7157='IN-TC'!$S$4,OR(TH!N7157="1111",TH!O7157="1111")),TH!D7157,""),"")</f>
        <v/>
      </c>
      <c r="B7157" s="1163" t="str">
        <f t="shared" si="532"/>
        <v/>
      </c>
      <c r="C7157" s="61"/>
      <c r="D7157" s="61"/>
      <c r="E7157" s="61"/>
      <c r="F7157" s="69"/>
      <c r="G7157" s="64"/>
      <c r="H7157" s="69"/>
      <c r="I7157" s="385"/>
      <c r="J7157" s="392"/>
      <c r="K7157" s="385"/>
      <c r="L7157" s="392"/>
      <c r="M7157" s="62"/>
      <c r="N7157" s="63"/>
      <c r="O7157" s="63"/>
      <c r="P7157" s="79" t="str">
        <f>IF(AND('331-CT'!$E$7=TH!H7157,OR(N7157="331",O7157="331")),"x","")</f>
        <v/>
      </c>
      <c r="Q7157" s="79" t="str">
        <f>IF(AND(B7157='111'!$L$11,OR($N7157=$Q$7,$O7157=$Q$7)),"x","")</f>
        <v/>
      </c>
      <c r="R7157" s="79" t="str">
        <f>IF(AND($N7157=$Q$7,$B7157&lt;'111'!$L$11),"x","")</f>
        <v/>
      </c>
      <c r="S7157" s="79" t="str">
        <f>IF(AND($O7157=$Q$7,$B7157&lt;'111'!$L$11),"x","")</f>
        <v/>
      </c>
      <c r="T7157" s="79" t="str">
        <f>IF(ISERROR(FIND('112'!$M$9,G7157,1)),"",IF((AND(FIND('112'!$M$9,G7157,1)&gt;=1,B7157='112'!$K$9,OR($N7157='112'!$I$6,$O7157='112'!$I$6))),"x",""))</f>
        <v/>
      </c>
      <c r="U7157" s="79" t="str">
        <f>IF(ISERROR(FIND('112'!$M$9,G7157,1)),"",IF((AND(LEFT(G7157,2)=LEFT('112'!$M$9,2),B7157&lt;'112'!$K$9,$N7157='112'!$I$6)),"x",""))</f>
        <v/>
      </c>
      <c r="V7157" s="79" t="str">
        <f>IF(ISERROR(FIND('112'!$M$9,G7157,1)),"",IF((AND(RIGHT(G7157,2)=RIGHT('112'!$M$9,2),B7157&lt;'112'!$K$9,$O7157='112'!$I$6)),"x",""))</f>
        <v/>
      </c>
      <c r="W7157" s="79" t="str">
        <f>IF(AND('341-CT'!$H$9=H7157,OR(LEFT(N7157,3)=$W$7,LEFT(O7157,3)=$W$7)),"x","")</f>
        <v/>
      </c>
      <c r="X7157" s="79" t="str">
        <f>IF(OR(TH!N7157=TH!$X$7,O7157=TH!$X$7),"x","")</f>
        <v/>
      </c>
      <c r="Y7157" s="79" t="str">
        <f>IF(AND(OR(N7157="131",O7157="131"),H7157='131-CT'!$H$9),"x","")</f>
        <v/>
      </c>
      <c r="Z7157" s="79"/>
      <c r="AA7157" s="79" t="str">
        <f>IF(AND(MONTH(E7157)='IN-NX'!$J$5,'IN-NX'!$D$7=D7157),"x","")</f>
        <v/>
      </c>
      <c r="AB7157" s="79" t="str">
        <f>IF(AND(OR(LEFT(TH!N7157,2)="15",LEFT(TH!O7157,2)="15"),LEFT(TH!O7157,3)&lt;&gt;"111",'152-CT'!$J$8=TH!F7157),"x","")</f>
        <v/>
      </c>
      <c r="AC7157" s="79" t="str">
        <f>IF(AND(OR(LEFT(TH!N7157,2)="15",LEFT(TH!O7157,2)="15"),TK!$E$7=TH!F7157),"x","")</f>
        <v/>
      </c>
      <c r="AD7157" s="79" t="str">
        <f>IF(AND(N7157="1521",MONTH(C7157)='BK-NL'!$M$11),"x","")</f>
        <v/>
      </c>
    </row>
    <row r="7158" spans="1:30" ht="16.5" customHeight="1">
      <c r="A7158" s="318" t="str">
        <f>IF(B7158&lt;&gt;"",IF(AND(B7158='IN-TC'!$S$4,OR(TH!N7158="1111",TH!O7158="1111")),TH!D7158,""),"")</f>
        <v/>
      </c>
      <c r="B7158" s="1163" t="str">
        <f t="shared" si="532"/>
        <v/>
      </c>
      <c r="C7158" s="61"/>
      <c r="D7158" s="61"/>
      <c r="E7158" s="61"/>
      <c r="F7158" s="69"/>
      <c r="G7158" s="766"/>
      <c r="H7158" s="69"/>
      <c r="I7158" s="385"/>
      <c r="J7158" s="392"/>
      <c r="K7158" s="385"/>
      <c r="L7158" s="392"/>
      <c r="M7158" s="62"/>
      <c r="N7158" s="63"/>
      <c r="O7158" s="63"/>
      <c r="P7158" s="79" t="str">
        <f>IF(AND('331-CT'!$E$7=TH!H7158,OR(N7158="331",O7158="331")),"x","")</f>
        <v/>
      </c>
      <c r="Q7158" s="79" t="str">
        <f>IF(AND(B7158='111'!$L$11,OR($N7158=$Q$7,$O7158=$Q$7)),"x","")</f>
        <v/>
      </c>
      <c r="R7158" s="79" t="str">
        <f>IF(AND($N7158=$Q$7,$B7158&lt;'111'!$L$11),"x","")</f>
        <v/>
      </c>
      <c r="S7158" s="79" t="str">
        <f>IF(AND($O7158=$Q$7,$B7158&lt;'111'!$L$11),"x","")</f>
        <v/>
      </c>
      <c r="T7158" s="79" t="str">
        <f>IF(ISERROR(FIND('112'!$M$9,G7158,1)),"",IF((AND(FIND('112'!$M$9,G7158,1)&gt;=1,B7158='112'!$K$9,OR($N7158='112'!$I$6,$O7158='112'!$I$6))),"x",""))</f>
        <v/>
      </c>
      <c r="U7158" s="79" t="str">
        <f>IF(ISERROR(FIND('112'!$M$9,G7158,1)),"",IF((AND(LEFT(G7158,2)=LEFT('112'!$M$9,2),B7158&lt;'112'!$K$9,$N7158='112'!$I$6)),"x",""))</f>
        <v/>
      </c>
      <c r="V7158" s="79" t="str">
        <f>IF(ISERROR(FIND('112'!$M$9,G7158,1)),"",IF((AND(RIGHT(G7158,2)=RIGHT('112'!$M$9,2),B7158&lt;'112'!$K$9,$O7158='112'!$I$6)),"x",""))</f>
        <v/>
      </c>
      <c r="W7158" s="79" t="str">
        <f>IF(AND('341-CT'!$H$9=H7158,OR(LEFT(N7158,3)=$W$7,LEFT(O7158,3)=$W$7)),"x","")</f>
        <v/>
      </c>
      <c r="X7158" s="79" t="str">
        <f>IF(OR(TH!N7158=TH!$X$7,O7158=TH!$X$7),"x","")</f>
        <v/>
      </c>
      <c r="Y7158" s="79" t="str">
        <f>IF(AND(OR(N7158="131",O7158="131"),H7158='131-CT'!$H$9),"x","")</f>
        <v/>
      </c>
      <c r="Z7158" s="79"/>
      <c r="AA7158" s="79" t="str">
        <f>IF(AND(MONTH(E7158)='IN-NX'!$J$5,'IN-NX'!$D$7=D7158),"x","")</f>
        <v/>
      </c>
      <c r="AB7158" s="79" t="str">
        <f>IF(AND(OR(LEFT(TH!N7158,2)="15",LEFT(TH!O7158,2)="15"),LEFT(TH!O7158,3)&lt;&gt;"111",'152-CT'!$J$8=TH!F7158),"x","")</f>
        <v/>
      </c>
      <c r="AC7158" s="79" t="str">
        <f>IF(AND(OR(LEFT(TH!N7158,2)="15",LEFT(TH!O7158,2)="15"),TK!$E$7=TH!F7158),"x","")</f>
        <v/>
      </c>
      <c r="AD7158" s="79" t="str">
        <f>IF(AND(N7158="1521",MONTH(C7158)='BK-NL'!$M$11),"x","")</f>
        <v/>
      </c>
    </row>
    <row r="7159" spans="1:30" ht="16.5" customHeight="1">
      <c r="A7159" s="318" t="str">
        <f>IF(B7159&lt;&gt;"",IF(AND(B7159='IN-TC'!$S$4,OR(TH!N7159="1111",TH!O7159="1111")),TH!D7159,""),"")</f>
        <v/>
      </c>
      <c r="B7159" s="1163" t="str">
        <f t="shared" si="532"/>
        <v/>
      </c>
      <c r="C7159" s="61"/>
      <c r="D7159" s="61"/>
      <c r="E7159" s="61"/>
      <c r="F7159" s="69"/>
      <c r="G7159" s="766"/>
      <c r="H7159" s="69"/>
      <c r="I7159" s="385"/>
      <c r="J7159" s="392"/>
      <c r="K7159" s="385"/>
      <c r="L7159" s="392"/>
      <c r="M7159" s="62"/>
      <c r="N7159" s="63"/>
      <c r="O7159" s="63"/>
      <c r="P7159" s="79" t="str">
        <f>IF(AND('331-CT'!$E$7=TH!H7159,OR(N7159="331",O7159="331")),"x","")</f>
        <v/>
      </c>
      <c r="Q7159" s="79" t="str">
        <f>IF(AND(B7159='111'!$L$11,OR($N7159=$Q$7,$O7159=$Q$7)),"x","")</f>
        <v/>
      </c>
      <c r="R7159" s="79" t="str">
        <f>IF(AND($N7159=$Q$7,$B7159&lt;'111'!$L$11),"x","")</f>
        <v/>
      </c>
      <c r="S7159" s="79" t="str">
        <f>IF(AND($O7159=$Q$7,$B7159&lt;'111'!$L$11),"x","")</f>
        <v/>
      </c>
      <c r="T7159" s="79" t="str">
        <f>IF(ISERROR(FIND('112'!$M$9,G7159,1)),"",IF((AND(FIND('112'!$M$9,G7159,1)&gt;=1,B7159='112'!$K$9,OR($N7159='112'!$I$6,$O7159='112'!$I$6))),"x",""))</f>
        <v/>
      </c>
      <c r="U7159" s="79" t="str">
        <f>IF(ISERROR(FIND('112'!$M$9,G7159,1)),"",IF((AND(LEFT(G7159,2)=LEFT('112'!$M$9,2),B7159&lt;'112'!$K$9,$N7159='112'!$I$6)),"x",""))</f>
        <v/>
      </c>
      <c r="V7159" s="79" t="str">
        <f>IF(ISERROR(FIND('112'!$M$9,G7159,1)),"",IF((AND(RIGHT(G7159,2)=RIGHT('112'!$M$9,2),B7159&lt;'112'!$K$9,$O7159='112'!$I$6)),"x",""))</f>
        <v/>
      </c>
      <c r="W7159" s="79" t="str">
        <f>IF(AND('341-CT'!$H$9=H7159,OR(LEFT(N7159,3)=$W$7,LEFT(O7159,3)=$W$7)),"x","")</f>
        <v/>
      </c>
      <c r="X7159" s="79" t="str">
        <f>IF(OR(TH!N7159=TH!$X$7,O7159=TH!$X$7),"x","")</f>
        <v/>
      </c>
      <c r="Y7159" s="79" t="str">
        <f>IF(AND(OR(N7159="131",O7159="131"),H7159='131-CT'!$H$9),"x","")</f>
        <v/>
      </c>
      <c r="Z7159" s="79"/>
      <c r="AA7159" s="79" t="str">
        <f>IF(AND(MONTH(E7159)='IN-NX'!$J$5,'IN-NX'!$D$7=D7159),"x","")</f>
        <v/>
      </c>
      <c r="AB7159" s="79" t="str">
        <f>IF(AND(OR(LEFT(TH!N7159,2)="15",LEFT(TH!O7159,2)="15"),LEFT(TH!O7159,3)&lt;&gt;"111",'152-CT'!$J$8=TH!F7159),"x","")</f>
        <v/>
      </c>
      <c r="AC7159" s="79" t="str">
        <f>IF(AND(OR(LEFT(TH!N7159,2)="15",LEFT(TH!O7159,2)="15"),TK!$E$7=TH!F7159),"x","")</f>
        <v/>
      </c>
      <c r="AD7159" s="79" t="str">
        <f>IF(AND(N7159="1521",MONTH(C7159)='BK-NL'!$M$11),"x","")</f>
        <v/>
      </c>
    </row>
    <row r="7160" spans="1:30" ht="16.5" customHeight="1">
      <c r="A7160" s="318" t="str">
        <f>IF(B7160&lt;&gt;"",IF(AND(B7160='IN-TC'!$S$4,OR(TH!N7160="1111",TH!O7160="1111")),TH!D7160,""),"")</f>
        <v/>
      </c>
      <c r="B7160" s="1163" t="str">
        <f t="shared" si="532"/>
        <v/>
      </c>
      <c r="C7160" s="61"/>
      <c r="D7160" s="61"/>
      <c r="E7160" s="61"/>
      <c r="F7160" s="69"/>
      <c r="G7160" s="766"/>
      <c r="H7160" s="69"/>
      <c r="I7160" s="385"/>
      <c r="J7160" s="392"/>
      <c r="K7160" s="385"/>
      <c r="L7160" s="392"/>
      <c r="M7160" s="62"/>
      <c r="N7160" s="63"/>
      <c r="O7160" s="63"/>
      <c r="P7160" s="79" t="str">
        <f>IF(AND('331-CT'!$E$7=TH!H7160,OR(N7160="331",O7160="331")),"x","")</f>
        <v/>
      </c>
      <c r="Q7160" s="79" t="str">
        <f>IF(AND(B7160='111'!$L$11,OR($N7160=$Q$7,$O7160=$Q$7)),"x","")</f>
        <v/>
      </c>
      <c r="R7160" s="79" t="str">
        <f>IF(AND($N7160=$Q$7,$B7160&lt;'111'!$L$11),"x","")</f>
        <v/>
      </c>
      <c r="S7160" s="79" t="str">
        <f>IF(AND($O7160=$Q$7,$B7160&lt;'111'!$L$11),"x","")</f>
        <v/>
      </c>
      <c r="T7160" s="79" t="str">
        <f>IF(ISERROR(FIND('112'!$M$9,G7160,1)),"",IF((AND(FIND('112'!$M$9,G7160,1)&gt;=1,B7160='112'!$K$9,OR($N7160='112'!$I$6,$O7160='112'!$I$6))),"x",""))</f>
        <v/>
      </c>
      <c r="U7160" s="79" t="str">
        <f>IF(ISERROR(FIND('112'!$M$9,G7160,1)),"",IF((AND(LEFT(G7160,2)=LEFT('112'!$M$9,2),B7160&lt;'112'!$K$9,$N7160='112'!$I$6)),"x",""))</f>
        <v/>
      </c>
      <c r="V7160" s="79" t="str">
        <f>IF(ISERROR(FIND('112'!$M$9,G7160,1)),"",IF((AND(RIGHT(G7160,2)=RIGHT('112'!$M$9,2),B7160&lt;'112'!$K$9,$O7160='112'!$I$6)),"x",""))</f>
        <v/>
      </c>
      <c r="W7160" s="79" t="str">
        <f>IF(AND('341-CT'!$H$9=H7160,OR(LEFT(N7160,3)=$W$7,LEFT(O7160,3)=$W$7)),"x","")</f>
        <v/>
      </c>
      <c r="X7160" s="79" t="str">
        <f>IF(OR(TH!N7160=TH!$X$7,O7160=TH!$X$7),"x","")</f>
        <v/>
      </c>
      <c r="Y7160" s="79" t="str">
        <f>IF(AND(OR(N7160="131",O7160="131"),H7160='131-CT'!$H$9),"x","")</f>
        <v/>
      </c>
      <c r="Z7160" s="79"/>
      <c r="AA7160" s="79" t="str">
        <f>IF(AND(MONTH(E7160)='IN-NX'!$J$5,'IN-NX'!$D$7=D7160),"x","")</f>
        <v/>
      </c>
      <c r="AB7160" s="79" t="str">
        <f>IF(AND(OR(LEFT(TH!N7160,2)="15",LEFT(TH!O7160,2)="15"),LEFT(TH!O7160,3)&lt;&gt;"111",'152-CT'!$J$8=TH!F7160),"x","")</f>
        <v/>
      </c>
      <c r="AC7160" s="79" t="str">
        <f>IF(AND(OR(LEFT(TH!N7160,2)="15",LEFT(TH!O7160,2)="15"),TK!$E$7=TH!F7160),"x","")</f>
        <v/>
      </c>
      <c r="AD7160" s="79" t="str">
        <f>IF(AND(N7160="1521",MONTH(C7160)='BK-NL'!$M$11),"x","")</f>
        <v/>
      </c>
    </row>
    <row r="7161" spans="1:30" ht="16.5" customHeight="1">
      <c r="A7161" s="318" t="str">
        <f>IF(B7161&lt;&gt;"",IF(AND(B7161='IN-TC'!$S$4,OR(TH!N7161="1111",TH!O7161="1111")),TH!D7161,""),"")</f>
        <v/>
      </c>
      <c r="B7161" s="1163" t="str">
        <f t="shared" si="532"/>
        <v/>
      </c>
      <c r="C7161" s="61"/>
      <c r="D7161" s="61"/>
      <c r="E7161" s="61"/>
      <c r="F7161" s="69"/>
      <c r="G7161" s="766"/>
      <c r="H7161" s="69"/>
      <c r="I7161" s="385"/>
      <c r="J7161" s="392"/>
      <c r="K7161" s="385"/>
      <c r="L7161" s="392"/>
      <c r="M7161" s="62"/>
      <c r="N7161" s="63"/>
      <c r="O7161" s="63"/>
      <c r="P7161" s="79" t="str">
        <f>IF(AND('331-CT'!$E$7=TH!H7161,OR(N7161="331",O7161="331")),"x","")</f>
        <v/>
      </c>
      <c r="Q7161" s="79" t="str">
        <f>IF(AND(B7161='111'!$L$11,OR($N7161=$Q$7,$O7161=$Q$7)),"x","")</f>
        <v/>
      </c>
      <c r="R7161" s="79" t="str">
        <f>IF(AND($N7161=$Q$7,$B7161&lt;'111'!$L$11),"x","")</f>
        <v/>
      </c>
      <c r="S7161" s="79" t="str">
        <f>IF(AND($O7161=$Q$7,$B7161&lt;'111'!$L$11),"x","")</f>
        <v/>
      </c>
      <c r="T7161" s="79" t="str">
        <f>IF(ISERROR(FIND('112'!$M$9,G7161,1)),"",IF((AND(FIND('112'!$M$9,G7161,1)&gt;=1,B7161='112'!$K$9,OR($N7161='112'!$I$6,$O7161='112'!$I$6))),"x",""))</f>
        <v/>
      </c>
      <c r="U7161" s="79" t="str">
        <f>IF(ISERROR(FIND('112'!$M$9,G7161,1)),"",IF((AND(LEFT(G7161,2)=LEFT('112'!$M$9,2),B7161&lt;'112'!$K$9,$N7161='112'!$I$6)),"x",""))</f>
        <v/>
      </c>
      <c r="V7161" s="79" t="str">
        <f>IF(ISERROR(FIND('112'!$M$9,G7161,1)),"",IF((AND(RIGHT(G7161,2)=RIGHT('112'!$M$9,2),B7161&lt;'112'!$K$9,$O7161='112'!$I$6)),"x",""))</f>
        <v/>
      </c>
      <c r="W7161" s="79" t="str">
        <f>IF(AND('341-CT'!$H$9=H7161,OR(LEFT(N7161,3)=$W$7,LEFT(O7161,3)=$W$7)),"x","")</f>
        <v/>
      </c>
      <c r="X7161" s="79" t="str">
        <f>IF(OR(TH!N7161=TH!$X$7,O7161=TH!$X$7),"x","")</f>
        <v/>
      </c>
      <c r="Y7161" s="79" t="str">
        <f>IF(AND(OR(N7161="131",O7161="131"),H7161='131-CT'!$H$9),"x","")</f>
        <v/>
      </c>
      <c r="Z7161" s="79"/>
      <c r="AA7161" s="79" t="str">
        <f>IF(AND(MONTH(E7161)='IN-NX'!$J$5,'IN-NX'!$D$7=D7161),"x","")</f>
        <v/>
      </c>
      <c r="AB7161" s="79" t="str">
        <f>IF(AND(OR(LEFT(TH!N7161,2)="15",LEFT(TH!O7161,2)="15"),LEFT(TH!O7161,3)&lt;&gt;"111",'152-CT'!$J$8=TH!F7161),"x","")</f>
        <v/>
      </c>
      <c r="AC7161" s="79" t="str">
        <f>IF(AND(OR(LEFT(TH!N7161,2)="15",LEFT(TH!O7161,2)="15"),TK!$E$7=TH!F7161),"x","")</f>
        <v/>
      </c>
      <c r="AD7161" s="79" t="str">
        <f>IF(AND(N7161="1521",MONTH(C7161)='BK-NL'!$M$11),"x","")</f>
        <v/>
      </c>
    </row>
    <row r="7162" spans="1:30" ht="16.5" customHeight="1">
      <c r="A7162" s="318" t="str">
        <f>IF(B7162&lt;&gt;"",IF(AND(B7162='IN-TC'!$S$4,OR(TH!N7162="1111",TH!O7162="1111")),TH!D7162,""),"")</f>
        <v/>
      </c>
      <c r="B7162" s="1163" t="str">
        <f t="shared" si="532"/>
        <v/>
      </c>
      <c r="C7162" s="61"/>
      <c r="D7162" s="61"/>
      <c r="E7162" s="61"/>
      <c r="F7162" s="69"/>
      <c r="G7162" s="766"/>
      <c r="H7162" s="69"/>
      <c r="I7162" s="385"/>
      <c r="J7162" s="392"/>
      <c r="K7162" s="385"/>
      <c r="L7162" s="392"/>
      <c r="M7162" s="62"/>
      <c r="N7162" s="63"/>
      <c r="O7162" s="63"/>
      <c r="P7162" s="79" t="str">
        <f>IF(AND('331-CT'!$E$7=TH!H7162,OR(N7162="331",O7162="331")),"x","")</f>
        <v/>
      </c>
      <c r="Q7162" s="79" t="str">
        <f>IF(AND(B7162='111'!$L$11,OR($N7162=$Q$7,$O7162=$Q$7)),"x","")</f>
        <v/>
      </c>
      <c r="R7162" s="79" t="str">
        <f>IF(AND($N7162=$Q$7,$B7162&lt;'111'!$L$11),"x","")</f>
        <v/>
      </c>
      <c r="S7162" s="79" t="str">
        <f>IF(AND($O7162=$Q$7,$B7162&lt;'111'!$L$11),"x","")</f>
        <v/>
      </c>
      <c r="T7162" s="79" t="str">
        <f>IF(ISERROR(FIND('112'!$M$9,G7162,1)),"",IF((AND(FIND('112'!$M$9,G7162,1)&gt;=1,B7162='112'!$K$9,OR($N7162='112'!$I$6,$O7162='112'!$I$6))),"x",""))</f>
        <v/>
      </c>
      <c r="U7162" s="79" t="str">
        <f>IF(ISERROR(FIND('112'!$M$9,G7162,1)),"",IF((AND(LEFT(G7162,2)=LEFT('112'!$M$9,2),B7162&lt;'112'!$K$9,$N7162='112'!$I$6)),"x",""))</f>
        <v/>
      </c>
      <c r="V7162" s="79" t="str">
        <f>IF(ISERROR(FIND('112'!$M$9,G7162,1)),"",IF((AND(RIGHT(G7162,2)=RIGHT('112'!$M$9,2),B7162&lt;'112'!$K$9,$O7162='112'!$I$6)),"x",""))</f>
        <v/>
      </c>
      <c r="W7162" s="79" t="str">
        <f>IF(AND('341-CT'!$H$9=H7162,OR(LEFT(N7162,3)=$W$7,LEFT(O7162,3)=$W$7)),"x","")</f>
        <v/>
      </c>
      <c r="X7162" s="79" t="str">
        <f>IF(OR(TH!N7162=TH!$X$7,O7162=TH!$X$7),"x","")</f>
        <v/>
      </c>
      <c r="Y7162" s="79" t="str">
        <f>IF(AND(OR(N7162="131",O7162="131"),H7162='131-CT'!$H$9),"x","")</f>
        <v/>
      </c>
      <c r="Z7162" s="79"/>
      <c r="AA7162" s="79" t="str">
        <f>IF(AND(MONTH(E7162)='IN-NX'!$J$5,'IN-NX'!$D$7=D7162),"x","")</f>
        <v/>
      </c>
      <c r="AB7162" s="79" t="str">
        <f>IF(AND(OR(LEFT(TH!N7162,2)="15",LEFT(TH!O7162,2)="15"),LEFT(TH!O7162,3)&lt;&gt;"111",'152-CT'!$J$8=TH!F7162),"x","")</f>
        <v/>
      </c>
      <c r="AC7162" s="79" t="str">
        <f>IF(AND(OR(LEFT(TH!N7162,2)="15",LEFT(TH!O7162,2)="15"),TK!$E$7=TH!F7162),"x","")</f>
        <v/>
      </c>
      <c r="AD7162" s="79" t="str">
        <f>IF(AND(N7162="1521",MONTH(C7162)='BK-NL'!$M$11),"x","")</f>
        <v/>
      </c>
    </row>
    <row r="7163" spans="1:30" ht="16.5" customHeight="1">
      <c r="A7163" s="318" t="str">
        <f>IF(B7163&lt;&gt;"",IF(AND(B7163='IN-TC'!$S$4,OR(TH!N7163="1111",TH!O7163="1111")),TH!D7163,""),"")</f>
        <v/>
      </c>
      <c r="B7163" s="1163" t="str">
        <f t="shared" si="532"/>
        <v/>
      </c>
      <c r="C7163" s="61"/>
      <c r="D7163" s="61"/>
      <c r="E7163" s="61"/>
      <c r="F7163" s="69"/>
      <c r="G7163" s="766"/>
      <c r="H7163" s="69"/>
      <c r="I7163" s="385"/>
      <c r="J7163" s="392"/>
      <c r="K7163" s="385"/>
      <c r="L7163" s="392"/>
      <c r="M7163" s="62"/>
      <c r="N7163" s="63"/>
      <c r="O7163" s="63"/>
      <c r="P7163" s="79" t="str">
        <f>IF(AND('331-CT'!$E$7=TH!H7163,OR(N7163="331",O7163="331")),"x","")</f>
        <v/>
      </c>
      <c r="Q7163" s="79" t="str">
        <f>IF(AND(B7163='111'!$L$11,OR($N7163=$Q$7,$O7163=$Q$7)),"x","")</f>
        <v/>
      </c>
      <c r="R7163" s="79" t="str">
        <f>IF(AND($N7163=$Q$7,$B7163&lt;'111'!$L$11),"x","")</f>
        <v/>
      </c>
      <c r="S7163" s="79" t="str">
        <f>IF(AND($O7163=$Q$7,$B7163&lt;'111'!$L$11),"x","")</f>
        <v/>
      </c>
      <c r="T7163" s="79" t="str">
        <f>IF(ISERROR(FIND('112'!$M$9,G7163,1)),"",IF((AND(FIND('112'!$M$9,G7163,1)&gt;=1,B7163='112'!$K$9,OR($N7163='112'!$I$6,$O7163='112'!$I$6))),"x",""))</f>
        <v/>
      </c>
      <c r="U7163" s="79" t="str">
        <f>IF(ISERROR(FIND('112'!$M$9,G7163,1)),"",IF((AND(LEFT(G7163,2)=LEFT('112'!$M$9,2),B7163&lt;'112'!$K$9,$N7163='112'!$I$6)),"x",""))</f>
        <v/>
      </c>
      <c r="V7163" s="79" t="str">
        <f>IF(ISERROR(FIND('112'!$M$9,G7163,1)),"",IF((AND(RIGHT(G7163,2)=RIGHT('112'!$M$9,2),B7163&lt;'112'!$K$9,$O7163='112'!$I$6)),"x",""))</f>
        <v/>
      </c>
      <c r="W7163" s="79" t="str">
        <f>IF(AND('341-CT'!$H$9=H7163,OR(LEFT(N7163,3)=$W$7,LEFT(O7163,3)=$W$7)),"x","")</f>
        <v/>
      </c>
      <c r="X7163" s="79" t="str">
        <f>IF(OR(TH!N7163=TH!$X$7,O7163=TH!$X$7),"x","")</f>
        <v/>
      </c>
      <c r="Y7163" s="79" t="str">
        <f>IF(AND(OR(N7163="131",O7163="131"),H7163='131-CT'!$H$9),"x","")</f>
        <v/>
      </c>
      <c r="Z7163" s="79"/>
      <c r="AA7163" s="79" t="str">
        <f>IF(AND(MONTH(E7163)='IN-NX'!$J$5,'IN-NX'!$D$7=D7163),"x","")</f>
        <v/>
      </c>
      <c r="AB7163" s="79" t="str">
        <f>IF(AND(OR(LEFT(TH!N7163,2)="15",LEFT(TH!O7163,2)="15"),LEFT(TH!O7163,3)&lt;&gt;"111",'152-CT'!$J$8=TH!F7163),"x","")</f>
        <v/>
      </c>
      <c r="AC7163" s="79" t="str">
        <f>IF(AND(OR(LEFT(TH!N7163,2)="15",LEFT(TH!O7163,2)="15"),TK!$E$7=TH!F7163),"x","")</f>
        <v/>
      </c>
      <c r="AD7163" s="79" t="str">
        <f>IF(AND(N7163="1521",MONTH(C7163)='BK-NL'!$M$11),"x","")</f>
        <v/>
      </c>
    </row>
    <row r="7164" spans="1:30" ht="16.5" customHeight="1">
      <c r="A7164" s="318" t="str">
        <f>IF(B7164&lt;&gt;"",IF(AND(B7164='IN-TC'!$S$4,OR(TH!N7164="1111",TH!O7164="1111")),TH!D7164,""),"")</f>
        <v/>
      </c>
      <c r="B7164" s="1163" t="str">
        <f t="shared" si="532"/>
        <v/>
      </c>
      <c r="C7164" s="61"/>
      <c r="D7164" s="61"/>
      <c r="E7164" s="61"/>
      <c r="F7164" s="69"/>
      <c r="G7164" s="64"/>
      <c r="H7164" s="69"/>
      <c r="I7164" s="385"/>
      <c r="J7164" s="392"/>
      <c r="K7164" s="385"/>
      <c r="L7164" s="392"/>
      <c r="M7164" s="62"/>
      <c r="N7164" s="63"/>
      <c r="O7164" s="63"/>
      <c r="P7164" s="79" t="str">
        <f>IF(AND('331-CT'!$E$7=TH!H7164,OR(N7164="331",O7164="331")),"x","")</f>
        <v/>
      </c>
      <c r="Q7164" s="79" t="str">
        <f>IF(AND(B7164='111'!$L$11,OR($N7164=$Q$7,$O7164=$Q$7)),"x","")</f>
        <v/>
      </c>
      <c r="R7164" s="79" t="str">
        <f>IF(AND($N7164=$Q$7,$B7164&lt;'111'!$L$11),"x","")</f>
        <v/>
      </c>
      <c r="S7164" s="79" t="str">
        <f>IF(AND($O7164=$Q$7,$B7164&lt;'111'!$L$11),"x","")</f>
        <v/>
      </c>
      <c r="T7164" s="79" t="str">
        <f>IF(ISERROR(FIND('112'!$M$9,G7164,1)),"",IF((AND(FIND('112'!$M$9,G7164,1)&gt;=1,B7164='112'!$K$9,OR($N7164='112'!$I$6,$O7164='112'!$I$6))),"x",""))</f>
        <v/>
      </c>
      <c r="U7164" s="79" t="str">
        <f>IF(ISERROR(FIND('112'!$M$9,G7164,1)),"",IF((AND(LEFT(G7164,2)=LEFT('112'!$M$9,2),B7164&lt;'112'!$K$9,$N7164='112'!$I$6)),"x",""))</f>
        <v/>
      </c>
      <c r="V7164" s="79" t="str">
        <f>IF(ISERROR(FIND('112'!$M$9,G7164,1)),"",IF((AND(RIGHT(G7164,2)=RIGHT('112'!$M$9,2),B7164&lt;'112'!$K$9,$O7164='112'!$I$6)),"x",""))</f>
        <v/>
      </c>
      <c r="W7164" s="79" t="str">
        <f>IF(AND('341-CT'!$H$9=H7164,OR(LEFT(N7164,3)=$W$7,LEFT(O7164,3)=$W$7)),"x","")</f>
        <v/>
      </c>
      <c r="X7164" s="79" t="str">
        <f>IF(OR(TH!N7164=TH!$X$7,O7164=TH!$X$7),"x","")</f>
        <v/>
      </c>
      <c r="Y7164" s="79" t="str">
        <f>IF(AND(OR(N7164="131",O7164="131"),H7164='131-CT'!$H$9),"x","")</f>
        <v/>
      </c>
      <c r="Z7164" s="79"/>
      <c r="AA7164" s="79" t="str">
        <f>IF(AND(MONTH(E7164)='IN-NX'!$J$5,'IN-NX'!$D$7=D7164),"x","")</f>
        <v/>
      </c>
      <c r="AB7164" s="79" t="str">
        <f>IF(AND(OR(LEFT(TH!N7164,2)="15",LEFT(TH!O7164,2)="15"),LEFT(TH!O7164,3)&lt;&gt;"111",'152-CT'!$J$8=TH!F7164),"x","")</f>
        <v/>
      </c>
      <c r="AC7164" s="79" t="str">
        <f>IF(AND(OR(LEFT(TH!N7164,2)="15",LEFT(TH!O7164,2)="15"),TK!$E$7=TH!F7164),"x","")</f>
        <v/>
      </c>
      <c r="AD7164" s="79" t="str">
        <f>IF(AND(N7164="1521",MONTH(C7164)='BK-NL'!$M$11),"x","")</f>
        <v/>
      </c>
    </row>
    <row r="7165" spans="1:30" ht="16.5" customHeight="1">
      <c r="A7165" s="318" t="str">
        <f>IF(B7165&lt;&gt;"",IF(AND(B7165='IN-TC'!$S$4,OR(TH!N7165="1111",TH!O7165="1111")),TH!D7165,""),"")</f>
        <v/>
      </c>
      <c r="B7165" s="1163" t="str">
        <f t="shared" si="532"/>
        <v/>
      </c>
      <c r="C7165" s="61"/>
      <c r="D7165" s="61"/>
      <c r="E7165" s="61"/>
      <c r="F7165" s="69"/>
      <c r="G7165" s="766"/>
      <c r="H7165" s="69"/>
      <c r="I7165" s="385"/>
      <c r="J7165" s="392"/>
      <c r="K7165" s="385"/>
      <c r="L7165" s="392"/>
      <c r="M7165" s="62"/>
      <c r="N7165" s="63"/>
      <c r="O7165" s="63"/>
      <c r="P7165" s="79" t="str">
        <f>IF(AND('331-CT'!$E$7=TH!H7165,OR(N7165="331",O7165="331")),"x","")</f>
        <v/>
      </c>
      <c r="Q7165" s="79" t="str">
        <f>IF(AND(B7165='111'!$L$11,OR($N7165=$Q$7,$O7165=$Q$7)),"x","")</f>
        <v/>
      </c>
      <c r="R7165" s="79" t="str">
        <f>IF(AND($N7165=$Q$7,$B7165&lt;'111'!$L$11),"x","")</f>
        <v/>
      </c>
      <c r="S7165" s="79" t="str">
        <f>IF(AND($O7165=$Q$7,$B7165&lt;'111'!$L$11),"x","")</f>
        <v/>
      </c>
      <c r="T7165" s="79" t="str">
        <f>IF(ISERROR(FIND('112'!$M$9,G7165,1)),"",IF((AND(FIND('112'!$M$9,G7165,1)&gt;=1,B7165='112'!$K$9,OR($N7165='112'!$I$6,$O7165='112'!$I$6))),"x",""))</f>
        <v/>
      </c>
      <c r="U7165" s="79" t="str">
        <f>IF(ISERROR(FIND('112'!$M$9,G7165,1)),"",IF((AND(LEFT(G7165,2)=LEFT('112'!$M$9,2),B7165&lt;'112'!$K$9,$N7165='112'!$I$6)),"x",""))</f>
        <v/>
      </c>
      <c r="V7165" s="79" t="str">
        <f>IF(ISERROR(FIND('112'!$M$9,G7165,1)),"",IF((AND(RIGHT(G7165,2)=RIGHT('112'!$M$9,2),B7165&lt;'112'!$K$9,$O7165='112'!$I$6)),"x",""))</f>
        <v/>
      </c>
      <c r="W7165" s="79" t="str">
        <f>IF(AND('341-CT'!$H$9=H7165,OR(LEFT(N7165,3)=$W$7,LEFT(O7165,3)=$W$7)),"x","")</f>
        <v/>
      </c>
      <c r="X7165" s="79" t="str">
        <f>IF(OR(TH!N7165=TH!$X$7,O7165=TH!$X$7),"x","")</f>
        <v/>
      </c>
      <c r="Y7165" s="79" t="str">
        <f>IF(AND(OR(N7165="131",O7165="131"),H7165='131-CT'!$H$9),"x","")</f>
        <v/>
      </c>
      <c r="Z7165" s="79"/>
      <c r="AA7165" s="79" t="str">
        <f>IF(AND(MONTH(E7165)='IN-NX'!$J$5,'IN-NX'!$D$7=D7165),"x","")</f>
        <v/>
      </c>
      <c r="AB7165" s="79" t="str">
        <f>IF(AND(OR(LEFT(TH!N7165,2)="15",LEFT(TH!O7165,2)="15"),LEFT(TH!O7165,3)&lt;&gt;"111",'152-CT'!$J$8=TH!F7165),"x","")</f>
        <v/>
      </c>
      <c r="AC7165" s="79" t="str">
        <f>IF(AND(OR(LEFT(TH!N7165,2)="15",LEFT(TH!O7165,2)="15"),TK!$E$7=TH!F7165),"x","")</f>
        <v/>
      </c>
      <c r="AD7165" s="79" t="str">
        <f>IF(AND(N7165="1521",MONTH(C7165)='BK-NL'!$M$11),"x","")</f>
        <v/>
      </c>
    </row>
    <row r="7166" spans="1:30" ht="16.5" customHeight="1">
      <c r="A7166" s="318" t="str">
        <f>IF(B7166&lt;&gt;"",IF(AND(B7166='IN-TC'!$S$4,OR(TH!N7166="1111",TH!O7166="1111")),TH!D7166,""),"")</f>
        <v/>
      </c>
      <c r="B7166" s="1163" t="str">
        <f t="shared" si="532"/>
        <v/>
      </c>
      <c r="C7166" s="61"/>
      <c r="D7166" s="61"/>
      <c r="E7166" s="61"/>
      <c r="F7166" s="446"/>
      <c r="G7166" s="64"/>
      <c r="H7166" s="69"/>
      <c r="I7166" s="385"/>
      <c r="J7166" s="392"/>
      <c r="K7166" s="385"/>
      <c r="L7166" s="392"/>
      <c r="M7166" s="62"/>
      <c r="N7166" s="63"/>
      <c r="O7166" s="63"/>
      <c r="P7166" s="79" t="str">
        <f>IF(AND('331-CT'!$E$7=TH!H7166,OR(N7166="331",O7166="331")),"x","")</f>
        <v/>
      </c>
      <c r="Q7166" s="79" t="str">
        <f>IF(AND(B7166='111'!$L$11,OR($N7166=$Q$7,$O7166=$Q$7)),"x","")</f>
        <v/>
      </c>
      <c r="R7166" s="79" t="str">
        <f>IF(AND($N7166=$Q$7,$B7166&lt;'111'!$L$11),"x","")</f>
        <v/>
      </c>
      <c r="S7166" s="79" t="str">
        <f>IF(AND($O7166=$Q$7,$B7166&lt;'111'!$L$11),"x","")</f>
        <v/>
      </c>
      <c r="T7166" s="79" t="str">
        <f>IF(ISERROR(FIND('112'!$M$9,G7166,1)),"",IF((AND(FIND('112'!$M$9,G7166,1)&gt;=1,B7166='112'!$K$9,OR($N7166='112'!$I$6,$O7166='112'!$I$6))),"x",""))</f>
        <v/>
      </c>
      <c r="U7166" s="79" t="str">
        <f>IF(ISERROR(FIND('112'!$M$9,G7166,1)),"",IF((AND(LEFT(G7166,2)=LEFT('112'!$M$9,2),B7166&lt;'112'!$K$9,$N7166='112'!$I$6)),"x",""))</f>
        <v/>
      </c>
      <c r="V7166" s="79" t="str">
        <f>IF(ISERROR(FIND('112'!$M$9,G7166,1)),"",IF((AND(RIGHT(G7166,2)=RIGHT('112'!$M$9,2),B7166&lt;'112'!$K$9,$O7166='112'!$I$6)),"x",""))</f>
        <v/>
      </c>
      <c r="W7166" s="79" t="str">
        <f>IF(AND('341-CT'!$H$9=H7166,OR(LEFT(N7166,3)=$W$7,LEFT(O7166,3)=$W$7)),"x","")</f>
        <v/>
      </c>
      <c r="X7166" s="79" t="str">
        <f>IF(OR(TH!N7166=TH!$X$7,O7166=TH!$X$7),"x","")</f>
        <v/>
      </c>
      <c r="Y7166" s="79" t="str">
        <f>IF(AND(OR(N7166="131",O7166="131"),H7166='131-CT'!$H$9),"x","")</f>
        <v/>
      </c>
      <c r="Z7166" s="79"/>
      <c r="AA7166" s="79" t="str">
        <f>IF(AND(MONTH(E7166)='IN-NX'!$J$5,'IN-NX'!$D$7=D7166),"x","")</f>
        <v/>
      </c>
      <c r="AB7166" s="79" t="str">
        <f>IF(AND(OR(LEFT(TH!N7166,2)="15",LEFT(TH!O7166,2)="15"),LEFT(TH!O7166,3)&lt;&gt;"111",'152-CT'!$J$8=TH!F7166),"x","")</f>
        <v/>
      </c>
      <c r="AC7166" s="79" t="str">
        <f>IF(AND(OR(LEFT(TH!N7166,2)="15",LEFT(TH!O7166,2)="15"),TK!$E$7=TH!F7166),"x","")</f>
        <v/>
      </c>
      <c r="AD7166" s="79" t="str">
        <f>IF(AND(N7166="1521",MONTH(C7166)='BK-NL'!$M$11),"x","")</f>
        <v/>
      </c>
    </row>
    <row r="7167" spans="1:30" ht="16.5" customHeight="1">
      <c r="A7167" s="318" t="str">
        <f>IF(B7167&lt;&gt;"",IF(AND(B7167='IN-TC'!$S$4,OR(TH!N7167="1111",TH!O7167="1111")),TH!D7167,""),"")</f>
        <v/>
      </c>
      <c r="B7167" s="1163" t="str">
        <f t="shared" si="532"/>
        <v/>
      </c>
      <c r="C7167" s="61"/>
      <c r="D7167" s="61"/>
      <c r="E7167" s="61"/>
      <c r="F7167" s="446"/>
      <c r="G7167" s="64"/>
      <c r="H7167" s="69"/>
      <c r="I7167" s="385"/>
      <c r="J7167" s="392"/>
      <c r="K7167" s="385"/>
      <c r="L7167" s="392"/>
      <c r="M7167" s="62"/>
      <c r="N7167" s="63"/>
      <c r="O7167" s="63"/>
      <c r="P7167" s="79" t="str">
        <f>IF(AND('331-CT'!$E$7=TH!H7167,OR(N7167="331",O7167="331")),"x","")</f>
        <v/>
      </c>
      <c r="Q7167" s="79" t="str">
        <f>IF(AND(B7167='111'!$L$11,OR($N7167=$Q$7,$O7167=$Q$7)),"x","")</f>
        <v/>
      </c>
      <c r="R7167" s="79" t="str">
        <f>IF(AND($N7167=$Q$7,$B7167&lt;'111'!$L$11),"x","")</f>
        <v/>
      </c>
      <c r="S7167" s="79" t="str">
        <f>IF(AND($O7167=$Q$7,$B7167&lt;'111'!$L$11),"x","")</f>
        <v/>
      </c>
      <c r="T7167" s="79" t="str">
        <f>IF(ISERROR(FIND('112'!$M$9,G7167,1)),"",IF((AND(FIND('112'!$M$9,G7167,1)&gt;=1,B7167='112'!$K$9,OR($N7167='112'!$I$6,$O7167='112'!$I$6))),"x",""))</f>
        <v/>
      </c>
      <c r="U7167" s="79" t="str">
        <f>IF(ISERROR(FIND('112'!$M$9,G7167,1)),"",IF((AND(LEFT(G7167,2)=LEFT('112'!$M$9,2),B7167&lt;'112'!$K$9,$N7167='112'!$I$6)),"x",""))</f>
        <v/>
      </c>
      <c r="V7167" s="79" t="str">
        <f>IF(ISERROR(FIND('112'!$M$9,G7167,1)),"",IF((AND(RIGHT(G7167,2)=RIGHT('112'!$M$9,2),B7167&lt;'112'!$K$9,$O7167='112'!$I$6)),"x",""))</f>
        <v/>
      </c>
      <c r="W7167" s="79" t="str">
        <f>IF(AND('341-CT'!$H$9=H7167,OR(LEFT(N7167,3)=$W$7,LEFT(O7167,3)=$W$7)),"x","")</f>
        <v/>
      </c>
      <c r="X7167" s="79" t="str">
        <f>IF(OR(TH!N7167=TH!$X$7,O7167=TH!$X$7),"x","")</f>
        <v/>
      </c>
      <c r="Y7167" s="79" t="str">
        <f>IF(AND(OR(N7167="131",O7167="131"),H7167='131-CT'!$H$9),"x","")</f>
        <v/>
      </c>
      <c r="Z7167" s="79"/>
      <c r="AA7167" s="79" t="str">
        <f>IF(AND(MONTH(E7167)='IN-NX'!$J$5,'IN-NX'!$D$7=D7167),"x","")</f>
        <v/>
      </c>
      <c r="AB7167" s="79" t="str">
        <f>IF(AND(OR(LEFT(TH!N7167,2)="15",LEFT(TH!O7167,2)="15"),LEFT(TH!O7167,3)&lt;&gt;"111",'152-CT'!$J$8=TH!F7167),"x","")</f>
        <v/>
      </c>
      <c r="AC7167" s="79" t="str">
        <f>IF(AND(OR(LEFT(TH!N7167,2)="15",LEFT(TH!O7167,2)="15"),TK!$E$7=TH!F7167),"x","")</f>
        <v/>
      </c>
      <c r="AD7167" s="79" t="str">
        <f>IF(AND(N7167="1521",MONTH(C7167)='BK-NL'!$M$11),"x","")</f>
        <v/>
      </c>
    </row>
    <row r="7168" spans="1:30" ht="16.5" customHeight="1">
      <c r="A7168" s="318" t="str">
        <f>IF(B7168&lt;&gt;"",IF(AND(B7168='IN-TC'!$S$4,OR(TH!N7168="1111",TH!O7168="1111")),TH!D7168,""),"")</f>
        <v/>
      </c>
      <c r="B7168" s="1163" t="str">
        <f t="shared" si="532"/>
        <v/>
      </c>
      <c r="C7168" s="61"/>
      <c r="D7168" s="61"/>
      <c r="E7168" s="61"/>
      <c r="F7168" s="69"/>
      <c r="G7168" s="766"/>
      <c r="H7168" s="69"/>
      <c r="I7168" s="385"/>
      <c r="J7168" s="392"/>
      <c r="K7168" s="385"/>
      <c r="L7168" s="392"/>
      <c r="M7168" s="62"/>
      <c r="N7168" s="63"/>
      <c r="O7168" s="63"/>
      <c r="P7168" s="79" t="str">
        <f>IF(AND('331-CT'!$E$7=TH!H7168,OR(N7168="331",O7168="331")),"x","")</f>
        <v/>
      </c>
      <c r="Q7168" s="79" t="str">
        <f>IF(AND(B7168='111'!$L$11,OR($N7168=$Q$7,$O7168=$Q$7)),"x","")</f>
        <v/>
      </c>
      <c r="R7168" s="79" t="str">
        <f>IF(AND($N7168=$Q$7,$B7168&lt;'111'!$L$11),"x","")</f>
        <v/>
      </c>
      <c r="S7168" s="79" t="str">
        <f>IF(AND($O7168=$Q$7,$B7168&lt;'111'!$L$11),"x","")</f>
        <v/>
      </c>
      <c r="T7168" s="79" t="str">
        <f>IF(ISERROR(FIND('112'!$M$9,G7168,1)),"",IF((AND(FIND('112'!$M$9,G7168,1)&gt;=1,B7168='112'!$K$9,OR($N7168='112'!$I$6,$O7168='112'!$I$6))),"x",""))</f>
        <v/>
      </c>
      <c r="U7168" s="79" t="str">
        <f>IF(ISERROR(FIND('112'!$M$9,G7168,1)),"",IF((AND(LEFT(G7168,2)=LEFT('112'!$M$9,2),B7168&lt;'112'!$K$9,$N7168='112'!$I$6)),"x",""))</f>
        <v/>
      </c>
      <c r="V7168" s="79" t="str">
        <f>IF(ISERROR(FIND('112'!$M$9,G7168,1)),"",IF((AND(RIGHT(G7168,2)=RIGHT('112'!$M$9,2),B7168&lt;'112'!$K$9,$O7168='112'!$I$6)),"x",""))</f>
        <v/>
      </c>
      <c r="W7168" s="79" t="str">
        <f>IF(AND('341-CT'!$H$9=H7168,OR(LEFT(N7168,3)=$W$7,LEFT(O7168,3)=$W$7)),"x","")</f>
        <v/>
      </c>
      <c r="X7168" s="79" t="str">
        <f>IF(OR(TH!N7168=TH!$X$7,O7168=TH!$X$7),"x","")</f>
        <v/>
      </c>
      <c r="Y7168" s="79" t="str">
        <f>IF(AND(OR(N7168="131",O7168="131"),H7168='131-CT'!$H$9),"x","")</f>
        <v/>
      </c>
      <c r="Z7168" s="79"/>
      <c r="AA7168" s="79" t="str">
        <f>IF(AND(MONTH(E7168)='IN-NX'!$J$5,'IN-NX'!$D$7=D7168),"x","")</f>
        <v/>
      </c>
      <c r="AB7168" s="79" t="str">
        <f>IF(AND(OR(LEFT(TH!N7168,2)="15",LEFT(TH!O7168,2)="15"),LEFT(TH!O7168,3)&lt;&gt;"111",'152-CT'!$J$8=TH!F7168),"x","")</f>
        <v/>
      </c>
      <c r="AC7168" s="79" t="str">
        <f>IF(AND(OR(LEFT(TH!N7168,2)="15",LEFT(TH!O7168,2)="15"),TK!$E$7=TH!F7168),"x","")</f>
        <v/>
      </c>
      <c r="AD7168" s="79" t="str">
        <f>IF(AND(N7168="1521",MONTH(C7168)='BK-NL'!$M$11),"x","")</f>
        <v/>
      </c>
    </row>
    <row r="7169" spans="1:30" ht="16.5" customHeight="1">
      <c r="A7169" s="318" t="str">
        <f>IF(B7169&lt;&gt;"",IF(AND(B7169='IN-TC'!$S$4,OR(TH!N7169="1111",TH!O7169="1111")),TH!D7169,""),"")</f>
        <v/>
      </c>
      <c r="B7169" s="1163" t="str">
        <f t="shared" si="532"/>
        <v/>
      </c>
      <c r="C7169" s="61"/>
      <c r="D7169" s="61"/>
      <c r="E7169" s="61"/>
      <c r="F7169" s="69"/>
      <c r="G7169" s="766"/>
      <c r="H7169" s="69"/>
      <c r="I7169" s="385"/>
      <c r="J7169" s="392"/>
      <c r="K7169" s="385"/>
      <c r="L7169" s="392"/>
      <c r="M7169" s="62"/>
      <c r="N7169" s="63"/>
      <c r="O7169" s="63"/>
      <c r="P7169" s="79" t="str">
        <f>IF(AND('331-CT'!$E$7=TH!H7169,OR(N7169="331",O7169="331")),"x","")</f>
        <v/>
      </c>
      <c r="Q7169" s="79" t="str">
        <f>IF(AND(B7169='111'!$L$11,OR($N7169=$Q$7,$O7169=$Q$7)),"x","")</f>
        <v/>
      </c>
      <c r="R7169" s="79" t="str">
        <f>IF(AND($N7169=$Q$7,$B7169&lt;'111'!$L$11),"x","")</f>
        <v/>
      </c>
      <c r="S7169" s="79" t="str">
        <f>IF(AND($O7169=$Q$7,$B7169&lt;'111'!$L$11),"x","")</f>
        <v/>
      </c>
      <c r="T7169" s="79" t="str">
        <f>IF(ISERROR(FIND('112'!$M$9,G7169,1)),"",IF((AND(FIND('112'!$M$9,G7169,1)&gt;=1,B7169='112'!$K$9,OR($N7169='112'!$I$6,$O7169='112'!$I$6))),"x",""))</f>
        <v/>
      </c>
      <c r="U7169" s="79" t="str">
        <f>IF(ISERROR(FIND('112'!$M$9,G7169,1)),"",IF((AND(LEFT(G7169,2)=LEFT('112'!$M$9,2),B7169&lt;'112'!$K$9,$N7169='112'!$I$6)),"x",""))</f>
        <v/>
      </c>
      <c r="V7169" s="79" t="str">
        <f>IF(ISERROR(FIND('112'!$M$9,G7169,1)),"",IF((AND(RIGHT(G7169,2)=RIGHT('112'!$M$9,2),B7169&lt;'112'!$K$9,$O7169='112'!$I$6)),"x",""))</f>
        <v/>
      </c>
      <c r="W7169" s="79" t="str">
        <f>IF(AND('341-CT'!$H$9=H7169,OR(LEFT(N7169,3)=$W$7,LEFT(O7169,3)=$W$7)),"x","")</f>
        <v/>
      </c>
      <c r="X7169" s="79" t="str">
        <f>IF(OR(TH!N7169=TH!$X$7,O7169=TH!$X$7),"x","")</f>
        <v/>
      </c>
      <c r="Y7169" s="79" t="str">
        <f>IF(AND(OR(N7169="131",O7169="131"),H7169='131-CT'!$H$9),"x","")</f>
        <v/>
      </c>
      <c r="Z7169" s="79"/>
      <c r="AA7169" s="79" t="str">
        <f>IF(AND(MONTH(E7169)='IN-NX'!$J$5,'IN-NX'!$D$7=D7169),"x","")</f>
        <v/>
      </c>
      <c r="AB7169" s="79" t="str">
        <f>IF(AND(OR(LEFT(TH!N7169,2)="15",LEFT(TH!O7169,2)="15"),LEFT(TH!O7169,3)&lt;&gt;"111",'152-CT'!$J$8=TH!F7169),"x","")</f>
        <v/>
      </c>
      <c r="AC7169" s="79" t="str">
        <f>IF(AND(OR(LEFT(TH!N7169,2)="15",LEFT(TH!O7169,2)="15"),TK!$E$7=TH!F7169),"x","")</f>
        <v/>
      </c>
      <c r="AD7169" s="79" t="str">
        <f>IF(AND(N7169="1521",MONTH(C7169)='BK-NL'!$M$11),"x","")</f>
        <v/>
      </c>
    </row>
    <row r="7170" spans="1:30" ht="16.5" customHeight="1">
      <c r="A7170" s="318" t="str">
        <f>IF(B7170&lt;&gt;"",IF(AND(B7170='IN-TC'!$S$4,OR(TH!N7170="1111",TH!O7170="1111")),TH!D7170,""),"")</f>
        <v/>
      </c>
      <c r="B7170" s="1163" t="str">
        <f t="shared" si="532"/>
        <v/>
      </c>
      <c r="C7170" s="61"/>
      <c r="D7170" s="61"/>
      <c r="E7170" s="61"/>
      <c r="F7170" s="69"/>
      <c r="G7170" s="64"/>
      <c r="H7170" s="69"/>
      <c r="I7170" s="385"/>
      <c r="J7170" s="392"/>
      <c r="K7170" s="385"/>
      <c r="L7170" s="392"/>
      <c r="M7170" s="62"/>
      <c r="N7170" s="63"/>
      <c r="O7170" s="63"/>
      <c r="P7170" s="79" t="str">
        <f>IF(AND('331-CT'!$E$7=TH!H7170,OR(N7170="331",O7170="331")),"x","")</f>
        <v/>
      </c>
      <c r="Q7170" s="79" t="str">
        <f>IF(AND(B7170='111'!$L$11,OR($N7170=$Q$7,$O7170=$Q$7)),"x","")</f>
        <v/>
      </c>
      <c r="R7170" s="79" t="str">
        <f>IF(AND($N7170=$Q$7,$B7170&lt;'111'!$L$11),"x","")</f>
        <v/>
      </c>
      <c r="S7170" s="79" t="str">
        <f>IF(AND($O7170=$Q$7,$B7170&lt;'111'!$L$11),"x","")</f>
        <v/>
      </c>
      <c r="T7170" s="79" t="str">
        <f>IF(ISERROR(FIND('112'!$M$9,G7170,1)),"",IF((AND(FIND('112'!$M$9,G7170,1)&gt;=1,B7170='112'!$K$9,OR($N7170='112'!$I$6,$O7170='112'!$I$6))),"x",""))</f>
        <v/>
      </c>
      <c r="U7170" s="79" t="str">
        <f>IF(ISERROR(FIND('112'!$M$9,G7170,1)),"",IF((AND(LEFT(G7170,2)=LEFT('112'!$M$9,2),B7170&lt;'112'!$K$9,$N7170='112'!$I$6)),"x",""))</f>
        <v/>
      </c>
      <c r="V7170" s="79" t="str">
        <f>IF(ISERROR(FIND('112'!$M$9,G7170,1)),"",IF((AND(RIGHT(G7170,2)=RIGHT('112'!$M$9,2),B7170&lt;'112'!$K$9,$O7170='112'!$I$6)),"x",""))</f>
        <v/>
      </c>
      <c r="W7170" s="79" t="str">
        <f>IF(AND('341-CT'!$H$9=H7170,OR(LEFT(N7170,3)=$W$7,LEFT(O7170,3)=$W$7)),"x","")</f>
        <v/>
      </c>
      <c r="X7170" s="79" t="str">
        <f>IF(OR(TH!N7170=TH!$X$7,O7170=TH!$X$7),"x","")</f>
        <v/>
      </c>
      <c r="Y7170" s="79" t="str">
        <f>IF(AND(OR(N7170="131",O7170="131"),H7170='131-CT'!$H$9),"x","")</f>
        <v/>
      </c>
      <c r="Z7170" s="79"/>
      <c r="AA7170" s="79" t="str">
        <f>IF(AND(MONTH(E7170)='IN-NX'!$J$5,'IN-NX'!$D$7=D7170),"x","")</f>
        <v/>
      </c>
      <c r="AB7170" s="79" t="str">
        <f>IF(AND(OR(LEFT(TH!N7170,2)="15",LEFT(TH!O7170,2)="15"),LEFT(TH!O7170,3)&lt;&gt;"111",'152-CT'!$J$8=TH!F7170),"x","")</f>
        <v/>
      </c>
      <c r="AC7170" s="79" t="str">
        <f>IF(AND(OR(LEFT(TH!N7170,2)="15",LEFT(TH!O7170,2)="15"),TK!$E$7=TH!F7170),"x","")</f>
        <v/>
      </c>
      <c r="AD7170" s="79" t="str">
        <f>IF(AND(N7170="1521",MONTH(C7170)='BK-NL'!$M$11),"x","")</f>
        <v/>
      </c>
    </row>
    <row r="7171" spans="1:30" ht="16.5" customHeight="1">
      <c r="A7171" s="318" t="str">
        <f>IF(B7171&lt;&gt;"",IF(AND(B7171='IN-TC'!$S$4,OR(TH!N7171="1111",TH!O7171="1111")),TH!D7171,""),"")</f>
        <v/>
      </c>
      <c r="B7171" s="1163" t="str">
        <f t="shared" si="532"/>
        <v/>
      </c>
      <c r="C7171" s="61"/>
      <c r="D7171" s="61"/>
      <c r="E7171" s="61"/>
      <c r="F7171" s="69"/>
      <c r="G7171" s="766"/>
      <c r="H7171" s="69"/>
      <c r="I7171" s="385"/>
      <c r="J7171" s="392"/>
      <c r="K7171" s="385"/>
      <c r="L7171" s="392"/>
      <c r="M7171" s="62"/>
      <c r="N7171" s="63"/>
      <c r="O7171" s="63"/>
      <c r="P7171" s="79" t="str">
        <f>IF(AND('331-CT'!$E$7=TH!H7171,OR(N7171="331",O7171="331")),"x","")</f>
        <v/>
      </c>
      <c r="Q7171" s="79" t="str">
        <f>IF(AND(B7171='111'!$L$11,OR($N7171=$Q$7,$O7171=$Q$7)),"x","")</f>
        <v/>
      </c>
      <c r="R7171" s="79" t="str">
        <f>IF(AND($N7171=$Q$7,$B7171&lt;'111'!$L$11),"x","")</f>
        <v/>
      </c>
      <c r="S7171" s="79" t="str">
        <f>IF(AND($O7171=$Q$7,$B7171&lt;'111'!$L$11),"x","")</f>
        <v/>
      </c>
      <c r="T7171" s="79" t="str">
        <f>IF(ISERROR(FIND('112'!$M$9,G7171,1)),"",IF((AND(FIND('112'!$M$9,G7171,1)&gt;=1,B7171='112'!$K$9,OR($N7171='112'!$I$6,$O7171='112'!$I$6))),"x",""))</f>
        <v/>
      </c>
      <c r="U7171" s="79" t="str">
        <f>IF(ISERROR(FIND('112'!$M$9,G7171,1)),"",IF((AND(LEFT(G7171,2)=LEFT('112'!$M$9,2),B7171&lt;'112'!$K$9,$N7171='112'!$I$6)),"x",""))</f>
        <v/>
      </c>
      <c r="V7171" s="79" t="str">
        <f>IF(ISERROR(FIND('112'!$M$9,G7171,1)),"",IF((AND(RIGHT(G7171,2)=RIGHT('112'!$M$9,2),B7171&lt;'112'!$K$9,$O7171='112'!$I$6)),"x",""))</f>
        <v/>
      </c>
      <c r="W7171" s="79" t="str">
        <f>IF(AND('341-CT'!$H$9=H7171,OR(LEFT(N7171,3)=$W$7,LEFT(O7171,3)=$W$7)),"x","")</f>
        <v/>
      </c>
      <c r="X7171" s="79" t="str">
        <f>IF(OR(TH!N7171=TH!$X$7,O7171=TH!$X$7),"x","")</f>
        <v/>
      </c>
      <c r="Y7171" s="79" t="str">
        <f>IF(AND(OR(N7171="131",O7171="131"),H7171='131-CT'!$H$9),"x","")</f>
        <v/>
      </c>
      <c r="Z7171" s="79"/>
      <c r="AA7171" s="79" t="str">
        <f>IF(AND(MONTH(E7171)='IN-NX'!$J$5,'IN-NX'!$D$7=D7171),"x","")</f>
        <v/>
      </c>
      <c r="AB7171" s="79" t="str">
        <f>IF(AND(OR(LEFT(TH!N7171,2)="15",LEFT(TH!O7171,2)="15"),LEFT(TH!O7171,3)&lt;&gt;"111",'152-CT'!$J$8=TH!F7171),"x","")</f>
        <v/>
      </c>
      <c r="AC7171" s="79" t="str">
        <f>IF(AND(OR(LEFT(TH!N7171,2)="15",LEFT(TH!O7171,2)="15"),TK!$E$7=TH!F7171),"x","")</f>
        <v/>
      </c>
      <c r="AD7171" s="79" t="str">
        <f>IF(AND(N7171="1521",MONTH(C7171)='BK-NL'!$M$11),"x","")</f>
        <v/>
      </c>
    </row>
    <row r="7172" spans="1:30" ht="16.5" customHeight="1">
      <c r="A7172" s="318" t="str">
        <f>IF(B7172&lt;&gt;"",IF(AND(B7172='IN-TC'!$S$4,OR(TH!N7172="1111",TH!O7172="1111")),TH!D7172,""),"")</f>
        <v/>
      </c>
      <c r="B7172" s="1163" t="str">
        <f t="shared" si="532"/>
        <v/>
      </c>
      <c r="C7172" s="61"/>
      <c r="D7172" s="61"/>
      <c r="E7172" s="61"/>
      <c r="F7172" s="69"/>
      <c r="G7172" s="766"/>
      <c r="H7172" s="69"/>
      <c r="I7172" s="385"/>
      <c r="J7172" s="392"/>
      <c r="K7172" s="385"/>
      <c r="L7172" s="392"/>
      <c r="M7172" s="62"/>
      <c r="N7172" s="63"/>
      <c r="O7172" s="63"/>
      <c r="P7172" s="79" t="str">
        <f>IF(AND('331-CT'!$E$7=TH!H7172,OR(N7172="331",O7172="331")),"x","")</f>
        <v/>
      </c>
      <c r="Q7172" s="79" t="str">
        <f>IF(AND(B7172='111'!$L$11,OR($N7172=$Q$7,$O7172=$Q$7)),"x","")</f>
        <v/>
      </c>
      <c r="R7172" s="79" t="str">
        <f>IF(AND($N7172=$Q$7,$B7172&lt;'111'!$L$11),"x","")</f>
        <v/>
      </c>
      <c r="S7172" s="79" t="str">
        <f>IF(AND($O7172=$Q$7,$B7172&lt;'111'!$L$11),"x","")</f>
        <v/>
      </c>
      <c r="T7172" s="79" t="str">
        <f>IF(ISERROR(FIND('112'!$M$9,G7172,1)),"",IF((AND(FIND('112'!$M$9,G7172,1)&gt;=1,B7172='112'!$K$9,OR($N7172='112'!$I$6,$O7172='112'!$I$6))),"x",""))</f>
        <v/>
      </c>
      <c r="U7172" s="79" t="str">
        <f>IF(ISERROR(FIND('112'!$M$9,G7172,1)),"",IF((AND(LEFT(G7172,2)=LEFT('112'!$M$9,2),B7172&lt;'112'!$K$9,$N7172='112'!$I$6)),"x",""))</f>
        <v/>
      </c>
      <c r="V7172" s="79" t="str">
        <f>IF(ISERROR(FIND('112'!$M$9,G7172,1)),"",IF((AND(RIGHT(G7172,2)=RIGHT('112'!$M$9,2),B7172&lt;'112'!$K$9,$O7172='112'!$I$6)),"x",""))</f>
        <v/>
      </c>
      <c r="W7172" s="79" t="str">
        <f>IF(AND('341-CT'!$H$9=H7172,OR(LEFT(N7172,3)=$W$7,LEFT(O7172,3)=$W$7)),"x","")</f>
        <v/>
      </c>
      <c r="X7172" s="79" t="str">
        <f>IF(OR(TH!N7172=TH!$X$7,O7172=TH!$X$7),"x","")</f>
        <v/>
      </c>
      <c r="Y7172" s="79" t="str">
        <f>IF(AND(OR(N7172="131",O7172="131"),H7172='131-CT'!$H$9),"x","")</f>
        <v/>
      </c>
      <c r="Z7172" s="79"/>
      <c r="AA7172" s="79" t="str">
        <f>IF(AND(MONTH(E7172)='IN-NX'!$J$5,'IN-NX'!$D$7=D7172),"x","")</f>
        <v/>
      </c>
      <c r="AB7172" s="79" t="str">
        <f>IF(AND(OR(LEFT(TH!N7172,2)="15",LEFT(TH!O7172,2)="15"),LEFT(TH!O7172,3)&lt;&gt;"111",'152-CT'!$J$8=TH!F7172),"x","")</f>
        <v/>
      </c>
      <c r="AC7172" s="79" t="str">
        <f>IF(AND(OR(LEFT(TH!N7172,2)="15",LEFT(TH!O7172,2)="15"),TK!$E$7=TH!F7172),"x","")</f>
        <v/>
      </c>
      <c r="AD7172" s="79" t="str">
        <f>IF(AND(N7172="1521",MONTH(C7172)='BK-NL'!$M$11),"x","")</f>
        <v/>
      </c>
    </row>
    <row r="7173" spans="1:30" ht="16.5" customHeight="1">
      <c r="A7173" s="318" t="str">
        <f>IF(B7173&lt;&gt;"",IF(AND(B7173='IN-TC'!$S$4,OR(TH!N7173="1111",TH!O7173="1111")),TH!D7173,""),"")</f>
        <v/>
      </c>
      <c r="B7173" s="1163" t="str">
        <f t="shared" si="532"/>
        <v/>
      </c>
      <c r="C7173" s="61"/>
      <c r="D7173" s="61"/>
      <c r="E7173" s="61"/>
      <c r="F7173" s="69"/>
      <c r="G7173" s="766"/>
      <c r="H7173" s="69"/>
      <c r="I7173" s="385"/>
      <c r="J7173" s="392"/>
      <c r="K7173" s="385"/>
      <c r="L7173" s="392"/>
      <c r="M7173" s="62"/>
      <c r="N7173" s="63"/>
      <c r="O7173" s="63"/>
      <c r="P7173" s="79" t="str">
        <f>IF(AND('331-CT'!$E$7=TH!H7173,OR(N7173="331",O7173="331")),"x","")</f>
        <v/>
      </c>
      <c r="Q7173" s="79" t="str">
        <f>IF(AND(B7173='111'!$L$11,OR($N7173=$Q$7,$O7173=$Q$7)),"x","")</f>
        <v/>
      </c>
      <c r="R7173" s="79" t="str">
        <f>IF(AND($N7173=$Q$7,$B7173&lt;'111'!$L$11),"x","")</f>
        <v/>
      </c>
      <c r="S7173" s="79" t="str">
        <f>IF(AND($O7173=$Q$7,$B7173&lt;'111'!$L$11),"x","")</f>
        <v/>
      </c>
      <c r="T7173" s="79" t="str">
        <f>IF(ISERROR(FIND('112'!$M$9,G7173,1)),"",IF((AND(FIND('112'!$M$9,G7173,1)&gt;=1,B7173='112'!$K$9,OR($N7173='112'!$I$6,$O7173='112'!$I$6))),"x",""))</f>
        <v/>
      </c>
      <c r="U7173" s="79" t="str">
        <f>IF(ISERROR(FIND('112'!$M$9,G7173,1)),"",IF((AND(LEFT(G7173,2)=LEFT('112'!$M$9,2),B7173&lt;'112'!$K$9,$N7173='112'!$I$6)),"x",""))</f>
        <v/>
      </c>
      <c r="V7173" s="79" t="str">
        <f>IF(ISERROR(FIND('112'!$M$9,G7173,1)),"",IF((AND(RIGHT(G7173,2)=RIGHT('112'!$M$9,2),B7173&lt;'112'!$K$9,$O7173='112'!$I$6)),"x",""))</f>
        <v/>
      </c>
      <c r="W7173" s="79" t="str">
        <f>IF(AND('341-CT'!$H$9=H7173,OR(LEFT(N7173,3)=$W$7,LEFT(O7173,3)=$W$7)),"x","")</f>
        <v/>
      </c>
      <c r="X7173" s="79" t="str">
        <f>IF(OR(TH!N7173=TH!$X$7,O7173=TH!$X$7),"x","")</f>
        <v/>
      </c>
      <c r="Y7173" s="79" t="str">
        <f>IF(AND(OR(N7173="131",O7173="131"),H7173='131-CT'!$H$9),"x","")</f>
        <v/>
      </c>
      <c r="Z7173" s="79"/>
      <c r="AA7173" s="79" t="str">
        <f>IF(AND(MONTH(E7173)='IN-NX'!$J$5,'IN-NX'!$D$7=D7173),"x","")</f>
        <v/>
      </c>
      <c r="AB7173" s="79" t="str">
        <f>IF(AND(OR(LEFT(TH!N7173,2)="15",LEFT(TH!O7173,2)="15"),LEFT(TH!O7173,3)&lt;&gt;"111",'152-CT'!$J$8=TH!F7173),"x","")</f>
        <v/>
      </c>
      <c r="AC7173" s="79" t="str">
        <f>IF(AND(OR(LEFT(TH!N7173,2)="15",LEFT(TH!O7173,2)="15"),TK!$E$7=TH!F7173),"x","")</f>
        <v/>
      </c>
      <c r="AD7173" s="79" t="str">
        <f>IF(AND(N7173="1521",MONTH(C7173)='BK-NL'!$M$11),"x","")</f>
        <v/>
      </c>
    </row>
    <row r="7174" spans="1:30" ht="16.5" customHeight="1">
      <c r="A7174" s="318" t="str">
        <f>IF(B7174&lt;&gt;"",IF(AND(B7174='IN-TC'!$S$4,OR(TH!N7174="1111",TH!O7174="1111")),TH!D7174,""),"")</f>
        <v/>
      </c>
      <c r="B7174" s="1163" t="str">
        <f t="shared" si="532"/>
        <v/>
      </c>
      <c r="C7174" s="61"/>
      <c r="D7174" s="61"/>
      <c r="E7174" s="61"/>
      <c r="F7174" s="69"/>
      <c r="G7174" s="766"/>
      <c r="H7174" s="69"/>
      <c r="I7174" s="385"/>
      <c r="J7174" s="392"/>
      <c r="K7174" s="385"/>
      <c r="L7174" s="392"/>
      <c r="M7174" s="62"/>
      <c r="N7174" s="63"/>
      <c r="O7174" s="63"/>
      <c r="P7174" s="79" t="str">
        <f>IF(AND('331-CT'!$E$7=TH!H7174,OR(N7174="331",O7174="331")),"x","")</f>
        <v/>
      </c>
      <c r="Q7174" s="79" t="str">
        <f>IF(AND(B7174='111'!$L$11,OR($N7174=$Q$7,$O7174=$Q$7)),"x","")</f>
        <v/>
      </c>
      <c r="R7174" s="79" t="str">
        <f>IF(AND($N7174=$Q$7,$B7174&lt;'111'!$L$11),"x","")</f>
        <v/>
      </c>
      <c r="S7174" s="79" t="str">
        <f>IF(AND($O7174=$Q$7,$B7174&lt;'111'!$L$11),"x","")</f>
        <v/>
      </c>
      <c r="T7174" s="79" t="str">
        <f>IF(ISERROR(FIND('112'!$M$9,G7174,1)),"",IF((AND(FIND('112'!$M$9,G7174,1)&gt;=1,B7174='112'!$K$9,OR($N7174='112'!$I$6,$O7174='112'!$I$6))),"x",""))</f>
        <v/>
      </c>
      <c r="U7174" s="79" t="str">
        <f>IF(ISERROR(FIND('112'!$M$9,G7174,1)),"",IF((AND(LEFT(G7174,2)=LEFT('112'!$M$9,2),B7174&lt;'112'!$K$9,$N7174='112'!$I$6)),"x",""))</f>
        <v/>
      </c>
      <c r="V7174" s="79" t="str">
        <f>IF(ISERROR(FIND('112'!$M$9,G7174,1)),"",IF((AND(RIGHT(G7174,2)=RIGHT('112'!$M$9,2),B7174&lt;'112'!$K$9,$O7174='112'!$I$6)),"x",""))</f>
        <v/>
      </c>
      <c r="W7174" s="79" t="str">
        <f>IF(AND('341-CT'!$H$9=H7174,OR(LEFT(N7174,3)=$W$7,LEFT(O7174,3)=$W$7)),"x","")</f>
        <v/>
      </c>
      <c r="X7174" s="79" t="str">
        <f>IF(OR(TH!N7174=TH!$X$7,O7174=TH!$X$7),"x","")</f>
        <v/>
      </c>
      <c r="Y7174" s="79" t="str">
        <f>IF(AND(OR(N7174="131",O7174="131"),H7174='131-CT'!$H$9),"x","")</f>
        <v/>
      </c>
      <c r="Z7174" s="79"/>
      <c r="AA7174" s="79" t="str">
        <f>IF(AND(MONTH(E7174)='IN-NX'!$J$5,'IN-NX'!$D$7=D7174),"x","")</f>
        <v/>
      </c>
      <c r="AB7174" s="79" t="str">
        <f>IF(AND(OR(LEFT(TH!N7174,2)="15",LEFT(TH!O7174,2)="15"),LEFT(TH!O7174,3)&lt;&gt;"111",'152-CT'!$J$8=TH!F7174),"x","")</f>
        <v/>
      </c>
      <c r="AC7174" s="79" t="str">
        <f>IF(AND(OR(LEFT(TH!N7174,2)="15",LEFT(TH!O7174,2)="15"),TK!$E$7=TH!F7174),"x","")</f>
        <v/>
      </c>
      <c r="AD7174" s="79" t="str">
        <f>IF(AND(N7174="1521",MONTH(C7174)='BK-NL'!$M$11),"x","")</f>
        <v/>
      </c>
    </row>
    <row r="7175" spans="1:30" ht="15.75" customHeight="1">
      <c r="A7175" s="928"/>
      <c r="B7175" s="929"/>
      <c r="C7175" s="930"/>
      <c r="D7175" s="930"/>
      <c r="E7175" s="930"/>
      <c r="F7175" s="931"/>
      <c r="G7175" s="931"/>
      <c r="H7175" s="932"/>
      <c r="I7175" s="934"/>
      <c r="J7175" s="933"/>
      <c r="K7175" s="934"/>
      <c r="L7175" s="933"/>
      <c r="M7175" s="935"/>
      <c r="N7175" s="936"/>
      <c r="O7175" s="936"/>
    </row>
    <row r="7176" spans="1:30" ht="18.75" customHeight="1">
      <c r="A7176" s="319"/>
      <c r="B7176" s="323"/>
      <c r="C7176" s="961"/>
      <c r="D7176" s="313"/>
      <c r="E7176" s="961"/>
      <c r="F7176" s="323"/>
      <c r="G7176" s="770"/>
      <c r="H7176" s="324"/>
      <c r="I7176" s="1195"/>
      <c r="J7176" s="949"/>
      <c r="K7176" s="949">
        <f>SUBTOTAL(9,$K$10:$K$7174)</f>
        <v>1482094.86</v>
      </c>
      <c r="L7176" s="949"/>
      <c r="M7176" s="949">
        <f>SUBTOTAL(9,$M$10:$M$7174)</f>
        <v>56347680816</v>
      </c>
      <c r="N7176" s="949"/>
      <c r="O7176" s="949"/>
    </row>
    <row r="7177" spans="1:30">
      <c r="B7177" s="323"/>
    </row>
    <row r="7178" spans="1:30">
      <c r="B7178" s="323"/>
    </row>
    <row r="7179" spans="1:30">
      <c r="B7179" s="323"/>
      <c r="M7179" s="1292"/>
    </row>
  </sheetData>
  <autoFilter ref="A9:AE7175"/>
  <sortState ref="A3327:AD3895">
    <sortCondition ref="E3327:E3895"/>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BG24"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5703125" style="238" customWidth="1"/>
    <col min="3" max="3" width="7.42578125" style="238" customWidth="1"/>
    <col min="4" max="4" width="9" style="238" customWidth="1"/>
    <col min="5" max="5" width="40" style="238" customWidth="1"/>
    <col min="6" max="6" width="14.140625" style="238" customWidth="1"/>
    <col min="7" max="8" width="5.85546875" style="239" customWidth="1"/>
    <col min="9" max="9" width="4.85546875" style="238" customWidth="1"/>
    <col min="10" max="10" width="13" style="238" customWidth="1"/>
    <col min="11" max="11" width="12" style="238" customWidth="1"/>
    <col min="12" max="12" width="13.28515625" style="238" customWidth="1"/>
    <col min="13" max="13" width="13.5703125" style="238" customWidth="1"/>
    <col min="14" max="14" width="13.28515625" style="238" customWidth="1"/>
    <col min="15" max="15" width="13.5703125" style="238" customWidth="1"/>
    <col min="16" max="16" width="11.7109375" style="238" customWidth="1"/>
    <col min="17" max="17" width="6.140625" style="238" customWidth="1"/>
    <col min="18" max="18" width="8.140625" style="238" customWidth="1"/>
    <col min="19" max="19" width="7.28515625" style="238" customWidth="1"/>
    <col min="20" max="20" width="12.7109375" style="238" customWidth="1"/>
    <col min="21" max="21" width="7.140625" style="238" customWidth="1"/>
    <col min="22" max="22" width="13.85546875" style="238" customWidth="1"/>
    <col min="23" max="23" width="5.85546875" style="238" customWidth="1"/>
    <col min="24" max="24" width="7.140625" style="238" customWidth="1"/>
    <col min="25" max="25" width="6" style="238" customWidth="1"/>
    <col min="26" max="26" width="11.28515625" style="238" customWidth="1"/>
    <col min="27" max="28" width="11.5703125" style="238" customWidth="1"/>
    <col min="29" max="29" width="12" style="238" customWidth="1"/>
    <col min="30" max="30" width="6.5703125" style="238" customWidth="1"/>
    <col min="31" max="31" width="15.7109375" style="238" customWidth="1"/>
    <col min="32" max="32" width="13" style="238" customWidth="1"/>
    <col min="33" max="33" width="6.42578125" style="238" customWidth="1"/>
    <col min="34" max="34" width="6.28515625" style="238" customWidth="1"/>
    <col min="35" max="36" width="12.5703125" style="238" customWidth="1"/>
    <col min="37" max="37" width="6.28515625" style="238" customWidth="1"/>
    <col min="38" max="38" width="14.42578125" style="238" customWidth="1"/>
    <col min="39" max="39" width="7" style="238" customWidth="1"/>
    <col min="40" max="40" width="12.5703125" style="238" customWidth="1"/>
    <col min="41" max="41" width="6.140625" style="238" customWidth="1"/>
    <col min="42" max="42" width="5.28515625" style="238" customWidth="1"/>
    <col min="43" max="43" width="12.5703125" style="238" customWidth="1"/>
    <col min="44" max="44" width="4.85546875" style="238" customWidth="1"/>
    <col min="45" max="45" width="12.5703125" style="238" customWidth="1"/>
    <col min="46" max="46" width="10.140625" style="238" customWidth="1"/>
    <col min="47" max="47" width="11.85546875" style="238" customWidth="1"/>
    <col min="48" max="48" width="9.140625" style="238" customWidth="1"/>
    <col min="49" max="49" width="10.7109375" style="238" customWidth="1"/>
    <col min="50" max="53" width="7.28515625" style="238" customWidth="1"/>
    <col min="54" max="64" width="9.140625" style="238"/>
    <col min="65" max="65" width="11.42578125" style="238" customWidth="1"/>
    <col min="66" max="71" width="9.140625" style="238"/>
    <col min="72" max="72" width="5.5703125" style="238" customWidth="1"/>
    <col min="73" max="73" width="12.5703125" style="238" customWidth="1"/>
    <col min="74" max="74" width="5.5703125" style="238" customWidth="1"/>
    <col min="75" max="75" width="12.5703125" style="238" customWidth="1"/>
    <col min="76" max="76" width="6.42578125" style="238" customWidth="1"/>
    <col min="77" max="77" width="13" style="238" customWidth="1"/>
    <col min="78" max="103" width="9.140625" style="238"/>
    <col min="104" max="105" width="12.85546875" style="238" customWidth="1"/>
    <col min="106" max="16384" width="9.140625" style="238"/>
  </cols>
  <sheetData>
    <row r="1" spans="1:105" ht="12.75" customHeight="1">
      <c r="A1" s="234"/>
      <c r="B1" s="235" t="s">
        <v>121</v>
      </c>
      <c r="C1" s="236"/>
      <c r="D1" s="236"/>
      <c r="E1" s="237"/>
      <c r="I1" s="236"/>
      <c r="M1" s="1349" t="s">
        <v>188</v>
      </c>
      <c r="N1" s="1349"/>
      <c r="O1" s="1349"/>
      <c r="P1" s="1349"/>
      <c r="Q1" s="1349"/>
      <c r="R1" s="1349"/>
      <c r="S1" s="1349"/>
      <c r="X1" s="236"/>
      <c r="Y1" s="236"/>
      <c r="Z1" s="237"/>
      <c r="AA1" s="237"/>
      <c r="AB1" s="237"/>
      <c r="AC1" s="237"/>
      <c r="AD1" s="237"/>
      <c r="AE1" s="237"/>
      <c r="AF1" s="237"/>
      <c r="AG1" s="237"/>
      <c r="AH1" s="237"/>
      <c r="AI1" s="237"/>
      <c r="AJ1" s="237"/>
      <c r="AK1" s="237"/>
      <c r="AL1" s="237"/>
      <c r="AM1" s="237"/>
      <c r="AN1" s="237"/>
      <c r="AO1" s="237"/>
      <c r="AP1" s="237"/>
      <c r="AQ1" s="237"/>
      <c r="AR1" s="237"/>
      <c r="AS1" s="237"/>
      <c r="AT1" s="236"/>
      <c r="AU1" s="236"/>
      <c r="AV1" s="236"/>
      <c r="AW1" s="236"/>
      <c r="AX1" s="236"/>
      <c r="AY1" s="236"/>
      <c r="AZ1" s="236"/>
      <c r="BA1" s="236"/>
    </row>
    <row r="2" spans="1:105" ht="12.75" customHeight="1">
      <c r="A2" s="234"/>
      <c r="B2" s="235" t="s">
        <v>177</v>
      </c>
      <c r="C2" s="236"/>
      <c r="D2" s="236"/>
      <c r="E2" s="236"/>
      <c r="I2" s="240"/>
      <c r="M2" s="1350" t="s">
        <v>144</v>
      </c>
      <c r="N2" s="1350"/>
      <c r="O2" s="1350"/>
      <c r="P2" s="1350"/>
      <c r="Q2" s="1350"/>
      <c r="R2" s="1350"/>
      <c r="S2" s="1350"/>
      <c r="X2" s="240"/>
      <c r="Y2" s="240"/>
      <c r="Z2" s="241"/>
      <c r="AA2" s="241"/>
      <c r="AB2" s="241"/>
      <c r="AC2" s="241"/>
      <c r="AD2" s="241"/>
      <c r="AE2" s="241"/>
      <c r="AF2" s="241"/>
      <c r="AG2" s="241"/>
      <c r="AH2" s="241"/>
      <c r="AI2" s="241"/>
      <c r="AJ2" s="241"/>
      <c r="AK2" s="241"/>
      <c r="AL2" s="241"/>
      <c r="AM2" s="241"/>
      <c r="AN2" s="241"/>
      <c r="AO2" s="241"/>
      <c r="AP2" s="241"/>
      <c r="AQ2" s="241"/>
      <c r="AR2" s="241"/>
      <c r="AS2" s="241"/>
      <c r="AT2" s="240"/>
      <c r="AU2" s="240"/>
      <c r="AV2" s="240"/>
      <c r="AW2" s="240"/>
      <c r="AX2" s="240"/>
      <c r="AY2" s="240"/>
      <c r="AZ2" s="240"/>
      <c r="BA2" s="240"/>
    </row>
    <row r="3" spans="1:105" ht="10.5" customHeight="1">
      <c r="A3" s="236"/>
      <c r="B3" s="236"/>
      <c r="C3" s="236"/>
      <c r="D3" s="236"/>
      <c r="E3" s="236"/>
      <c r="F3" s="240"/>
      <c r="G3" s="242"/>
      <c r="H3" s="242"/>
      <c r="I3" s="240"/>
      <c r="M3" s="1350"/>
      <c r="N3" s="1350"/>
      <c r="O3" s="1350"/>
      <c r="P3" s="1350"/>
      <c r="Q3" s="1350"/>
      <c r="R3" s="1350"/>
      <c r="S3" s="1350"/>
      <c r="X3" s="240"/>
      <c r="Y3" s="240"/>
      <c r="Z3" s="241"/>
      <c r="AA3" s="241"/>
      <c r="AB3" s="241"/>
      <c r="AC3" s="241"/>
      <c r="AD3" s="241"/>
      <c r="AE3" s="241"/>
      <c r="AF3" s="241"/>
      <c r="AG3" s="241"/>
      <c r="AH3" s="241"/>
      <c r="AI3" s="241"/>
      <c r="AJ3" s="241"/>
      <c r="AK3" s="241"/>
      <c r="AL3" s="241"/>
      <c r="AM3" s="241"/>
      <c r="AN3" s="241"/>
      <c r="AO3" s="241"/>
      <c r="AP3" s="241"/>
      <c r="AQ3" s="241"/>
      <c r="AR3" s="241"/>
      <c r="AS3" s="241"/>
      <c r="AT3" s="240"/>
      <c r="AU3" s="240"/>
      <c r="AV3" s="240"/>
      <c r="AW3" s="240"/>
      <c r="AX3" s="240"/>
      <c r="AY3" s="240"/>
      <c r="AZ3" s="240"/>
      <c r="BA3" s="240"/>
    </row>
    <row r="4" spans="1:105" ht="19.5" customHeight="1">
      <c r="B4" s="1351" t="s">
        <v>112</v>
      </c>
      <c r="C4" s="1351"/>
      <c r="D4" s="1351"/>
      <c r="E4" s="1351"/>
      <c r="F4" s="1351"/>
      <c r="G4" s="1351"/>
      <c r="H4" s="1351"/>
      <c r="I4" s="1351"/>
      <c r="J4" s="1351"/>
      <c r="K4" s="1351"/>
      <c r="L4" s="1351"/>
      <c r="M4" s="1351"/>
      <c r="N4" s="1351"/>
      <c r="O4" s="1351"/>
      <c r="P4" s="1351"/>
      <c r="Q4" s="1351"/>
      <c r="R4" s="1351"/>
      <c r="S4" s="243"/>
      <c r="T4" s="243"/>
      <c r="U4" s="243"/>
      <c r="V4" s="243"/>
      <c r="W4" s="243"/>
      <c r="X4" s="244"/>
      <c r="Y4" s="244"/>
      <c r="Z4" s="243"/>
      <c r="AA4" s="243"/>
      <c r="AB4" s="243"/>
      <c r="AC4" s="243"/>
      <c r="AD4" s="243"/>
      <c r="AE4" s="243"/>
      <c r="AF4" s="243"/>
      <c r="AG4" s="243"/>
      <c r="AH4" s="243"/>
      <c r="AI4" s="243"/>
      <c r="AJ4" s="243"/>
      <c r="AK4" s="243"/>
      <c r="AL4" s="243"/>
      <c r="AM4" s="243"/>
      <c r="AN4" s="243"/>
      <c r="AO4" s="243"/>
      <c r="AP4" s="243"/>
      <c r="AQ4" s="243"/>
      <c r="AR4" s="243"/>
      <c r="AS4" s="243"/>
      <c r="AT4" s="245"/>
      <c r="AU4" s="245"/>
      <c r="AV4" s="245"/>
      <c r="AW4" s="245"/>
      <c r="AX4" s="245"/>
      <c r="AY4" s="245"/>
      <c r="AZ4" s="245"/>
      <c r="BA4" s="245"/>
    </row>
    <row r="5" spans="1:105" ht="15">
      <c r="B5" s="1352" t="s">
        <v>189</v>
      </c>
      <c r="C5" s="1352"/>
      <c r="D5" s="1352"/>
      <c r="E5" s="1352"/>
      <c r="F5" s="1352"/>
      <c r="G5" s="1352"/>
      <c r="H5" s="1352"/>
      <c r="I5" s="1352"/>
      <c r="J5" s="1352"/>
      <c r="K5" s="1352"/>
      <c r="L5" s="1352"/>
      <c r="M5" s="1352"/>
      <c r="N5" s="1352"/>
      <c r="O5" s="1352"/>
      <c r="P5" s="1352"/>
      <c r="Q5" s="1352"/>
      <c r="R5" s="1352"/>
      <c r="S5" s="246"/>
      <c r="T5" s="246"/>
      <c r="U5" s="246"/>
      <c r="V5" s="246"/>
      <c r="W5" s="246"/>
      <c r="X5" s="247"/>
      <c r="Y5" s="247"/>
      <c r="Z5" s="246"/>
      <c r="AA5" s="246"/>
      <c r="AB5" s="246"/>
      <c r="AC5" s="246"/>
      <c r="AD5" s="246"/>
      <c r="AE5" s="246"/>
      <c r="AF5" s="246"/>
      <c r="AG5" s="246"/>
      <c r="AH5" s="246"/>
      <c r="AI5" s="246"/>
      <c r="AJ5" s="246"/>
      <c r="AK5" s="246"/>
      <c r="AL5" s="246"/>
      <c r="AM5" s="246"/>
      <c r="AN5" s="246"/>
      <c r="AO5" s="246"/>
      <c r="AP5" s="246"/>
      <c r="AQ5" s="246"/>
      <c r="AR5" s="246"/>
      <c r="AS5" s="246"/>
    </row>
    <row r="6" spans="1:105">
      <c r="P6" s="238" t="s">
        <v>148</v>
      </c>
    </row>
    <row r="7" spans="1:105" ht="13.5" customHeight="1">
      <c r="A7" s="1353" t="s">
        <v>37</v>
      </c>
      <c r="B7" s="1348" t="s">
        <v>22</v>
      </c>
      <c r="C7" s="1355" t="s">
        <v>1</v>
      </c>
      <c r="D7" s="1356"/>
      <c r="E7" s="1348" t="s">
        <v>0</v>
      </c>
      <c r="F7" s="1348" t="s">
        <v>113</v>
      </c>
      <c r="G7" s="1357" t="s">
        <v>114</v>
      </c>
      <c r="H7" s="1357"/>
      <c r="I7" s="1358" t="s">
        <v>37</v>
      </c>
      <c r="J7" s="1348" t="s">
        <v>190</v>
      </c>
      <c r="K7" s="1348"/>
      <c r="L7" s="1348" t="s">
        <v>191</v>
      </c>
      <c r="M7" s="1348"/>
      <c r="N7" s="1348" t="s">
        <v>258</v>
      </c>
      <c r="O7" s="1348"/>
      <c r="P7" s="1348" t="s">
        <v>596</v>
      </c>
      <c r="Q7" s="1348"/>
      <c r="R7" s="1348" t="s">
        <v>192</v>
      </c>
      <c r="S7" s="1348"/>
      <c r="T7" s="1348" t="s">
        <v>193</v>
      </c>
      <c r="U7" s="1348"/>
      <c r="V7" s="1348" t="s">
        <v>597</v>
      </c>
      <c r="W7" s="1348"/>
      <c r="X7" s="1348" t="s">
        <v>598</v>
      </c>
      <c r="Y7" s="1348"/>
      <c r="Z7" s="1348" t="s">
        <v>599</v>
      </c>
      <c r="AA7" s="1348"/>
      <c r="AB7" s="1348" t="s">
        <v>600</v>
      </c>
      <c r="AC7" s="1348"/>
      <c r="AD7" s="1348" t="s">
        <v>601</v>
      </c>
      <c r="AE7" s="1348"/>
      <c r="AF7" s="1348" t="s">
        <v>602</v>
      </c>
      <c r="AG7" s="1348"/>
      <c r="AH7" s="1348" t="s">
        <v>603</v>
      </c>
      <c r="AI7" s="1348"/>
      <c r="AJ7" s="1348" t="s">
        <v>604</v>
      </c>
      <c r="AK7" s="1348"/>
      <c r="AL7" s="1348" t="s">
        <v>605</v>
      </c>
      <c r="AM7" s="1348"/>
      <c r="AN7" s="1348" t="s">
        <v>606</v>
      </c>
      <c r="AO7" s="1348"/>
      <c r="AP7" s="1348" t="s">
        <v>607</v>
      </c>
      <c r="AQ7" s="1348"/>
      <c r="AR7" s="1348" t="s">
        <v>608</v>
      </c>
      <c r="AS7" s="1348"/>
      <c r="AT7" s="1348" t="s">
        <v>194</v>
      </c>
      <c r="AU7" s="1348"/>
      <c r="AV7" s="1348" t="s">
        <v>195</v>
      </c>
      <c r="AW7" s="1348"/>
      <c r="AX7" s="1348" t="s">
        <v>609</v>
      </c>
      <c r="AY7" s="1348"/>
      <c r="AZ7" s="1348" t="s">
        <v>610</v>
      </c>
      <c r="BA7" s="1348"/>
      <c r="BB7" s="1348" t="s">
        <v>611</v>
      </c>
      <c r="BC7" s="1348"/>
      <c r="BD7" s="1348" t="s">
        <v>196</v>
      </c>
      <c r="BE7" s="1348"/>
      <c r="BF7" s="1348" t="s">
        <v>612</v>
      </c>
      <c r="BG7" s="1348"/>
      <c r="BH7" s="1348" t="s">
        <v>197</v>
      </c>
      <c r="BI7" s="1348"/>
      <c r="BJ7" s="1348" t="s">
        <v>613</v>
      </c>
      <c r="BK7" s="1348"/>
      <c r="BL7" s="1348" t="s">
        <v>614</v>
      </c>
      <c r="BM7" s="1348"/>
      <c r="BN7" s="1348" t="s">
        <v>615</v>
      </c>
      <c r="BO7" s="1348"/>
      <c r="BP7" s="1348" t="s">
        <v>616</v>
      </c>
      <c r="BQ7" s="1348"/>
      <c r="BR7" s="1348" t="s">
        <v>198</v>
      </c>
      <c r="BS7" s="1348"/>
      <c r="BT7" s="1348" t="s">
        <v>199</v>
      </c>
      <c r="BU7" s="1348"/>
      <c r="BV7" s="1348" t="s">
        <v>253</v>
      </c>
      <c r="BW7" s="1348"/>
      <c r="BX7" s="1348" t="s">
        <v>200</v>
      </c>
      <c r="BY7" s="1348"/>
      <c r="BZ7" s="1348" t="s">
        <v>201</v>
      </c>
      <c r="CA7" s="1348"/>
      <c r="CB7" s="1348" t="s">
        <v>202</v>
      </c>
      <c r="CC7" s="1348"/>
      <c r="CD7" s="1348" t="s">
        <v>617</v>
      </c>
      <c r="CE7" s="1348"/>
      <c r="CF7" s="1348" t="s">
        <v>618</v>
      </c>
      <c r="CG7" s="1348"/>
      <c r="CH7" s="1348" t="s">
        <v>203</v>
      </c>
      <c r="CI7" s="1348"/>
      <c r="CJ7" s="1348" t="s">
        <v>619</v>
      </c>
      <c r="CK7" s="1348"/>
      <c r="CL7" s="1348" t="s">
        <v>620</v>
      </c>
      <c r="CM7" s="1348"/>
      <c r="CN7" s="1348" t="s">
        <v>204</v>
      </c>
      <c r="CO7" s="1348"/>
      <c r="CP7" s="1348" t="s">
        <v>621</v>
      </c>
      <c r="CQ7" s="1348"/>
      <c r="CR7" s="1348" t="s">
        <v>205</v>
      </c>
      <c r="CS7" s="1348"/>
      <c r="CT7" s="1348" t="s">
        <v>206</v>
      </c>
      <c r="CU7" s="1348"/>
      <c r="CV7" s="1348" t="s">
        <v>207</v>
      </c>
      <c r="CW7" s="1348"/>
      <c r="CX7" s="1348" t="s">
        <v>208</v>
      </c>
      <c r="CY7" s="1348"/>
      <c r="CZ7" s="1348" t="s">
        <v>209</v>
      </c>
      <c r="DA7" s="1348"/>
    </row>
    <row r="8" spans="1:105" ht="22.5" customHeight="1">
      <c r="A8" s="1354"/>
      <c r="B8" s="1348"/>
      <c r="C8" s="749" t="s">
        <v>17</v>
      </c>
      <c r="D8" s="748" t="s">
        <v>34</v>
      </c>
      <c r="E8" s="1348"/>
      <c r="F8" s="1348"/>
      <c r="G8" s="750" t="s">
        <v>24</v>
      </c>
      <c r="H8" s="750" t="s">
        <v>25</v>
      </c>
      <c r="I8" s="1358"/>
      <c r="J8" s="748" t="s">
        <v>24</v>
      </c>
      <c r="K8" s="748" t="s">
        <v>25</v>
      </c>
      <c r="L8" s="748" t="s">
        <v>24</v>
      </c>
      <c r="M8" s="748" t="s">
        <v>25</v>
      </c>
      <c r="N8" s="748" t="s">
        <v>24</v>
      </c>
      <c r="O8" s="748" t="s">
        <v>25</v>
      </c>
      <c r="P8" s="748" t="s">
        <v>24</v>
      </c>
      <c r="Q8" s="748" t="s">
        <v>25</v>
      </c>
      <c r="R8" s="748" t="s">
        <v>24</v>
      </c>
      <c r="S8" s="748" t="s">
        <v>25</v>
      </c>
      <c r="T8" s="748" t="s">
        <v>24</v>
      </c>
      <c r="U8" s="748" t="s">
        <v>25</v>
      </c>
      <c r="V8" s="748" t="s">
        <v>24</v>
      </c>
      <c r="W8" s="748" t="s">
        <v>25</v>
      </c>
      <c r="X8" s="748" t="s">
        <v>24</v>
      </c>
      <c r="Y8" s="748" t="s">
        <v>25</v>
      </c>
      <c r="Z8" s="748" t="s">
        <v>24</v>
      </c>
      <c r="AA8" s="748" t="s">
        <v>25</v>
      </c>
      <c r="AB8" s="748" t="s">
        <v>24</v>
      </c>
      <c r="AC8" s="748" t="s">
        <v>25</v>
      </c>
      <c r="AD8" s="748" t="s">
        <v>24</v>
      </c>
      <c r="AE8" s="748" t="s">
        <v>25</v>
      </c>
      <c r="AF8" s="748" t="s">
        <v>24</v>
      </c>
      <c r="AG8" s="748" t="s">
        <v>25</v>
      </c>
      <c r="AH8" s="748" t="s">
        <v>24</v>
      </c>
      <c r="AI8" s="748" t="s">
        <v>25</v>
      </c>
      <c r="AJ8" s="748" t="s">
        <v>24</v>
      </c>
      <c r="AK8" s="748" t="s">
        <v>25</v>
      </c>
      <c r="AL8" s="748" t="s">
        <v>24</v>
      </c>
      <c r="AM8" s="748" t="s">
        <v>25</v>
      </c>
      <c r="AN8" s="748" t="s">
        <v>24</v>
      </c>
      <c r="AO8" s="748" t="s">
        <v>25</v>
      </c>
      <c r="AP8" s="748" t="s">
        <v>24</v>
      </c>
      <c r="AQ8" s="748" t="s">
        <v>25</v>
      </c>
      <c r="AR8" s="748" t="s">
        <v>24</v>
      </c>
      <c r="AS8" s="748" t="s">
        <v>25</v>
      </c>
      <c r="AT8" s="748" t="s">
        <v>24</v>
      </c>
      <c r="AU8" s="748" t="s">
        <v>25</v>
      </c>
      <c r="AV8" s="748" t="s">
        <v>24</v>
      </c>
      <c r="AW8" s="748" t="s">
        <v>25</v>
      </c>
      <c r="AX8" s="748" t="s">
        <v>24</v>
      </c>
      <c r="AY8" s="748" t="s">
        <v>25</v>
      </c>
      <c r="AZ8" s="748" t="s">
        <v>24</v>
      </c>
      <c r="BA8" s="748" t="s">
        <v>25</v>
      </c>
      <c r="BB8" s="748" t="s">
        <v>24</v>
      </c>
      <c r="BC8" s="748" t="s">
        <v>25</v>
      </c>
      <c r="BD8" s="748" t="s">
        <v>24</v>
      </c>
      <c r="BE8" s="748" t="s">
        <v>25</v>
      </c>
      <c r="BF8" s="748" t="s">
        <v>24</v>
      </c>
      <c r="BG8" s="748" t="s">
        <v>25</v>
      </c>
      <c r="BH8" s="748" t="s">
        <v>24</v>
      </c>
      <c r="BI8" s="748" t="s">
        <v>25</v>
      </c>
      <c r="BJ8" s="748" t="s">
        <v>24</v>
      </c>
      <c r="BK8" s="748" t="s">
        <v>25</v>
      </c>
      <c r="BL8" s="748" t="s">
        <v>24</v>
      </c>
      <c r="BM8" s="748" t="s">
        <v>25</v>
      </c>
      <c r="BN8" s="748" t="s">
        <v>24</v>
      </c>
      <c r="BO8" s="748" t="s">
        <v>25</v>
      </c>
      <c r="BP8" s="748" t="s">
        <v>24</v>
      </c>
      <c r="BQ8" s="748" t="s">
        <v>25</v>
      </c>
      <c r="BR8" s="748" t="s">
        <v>24</v>
      </c>
      <c r="BS8" s="748" t="s">
        <v>25</v>
      </c>
      <c r="BT8" s="748" t="s">
        <v>24</v>
      </c>
      <c r="BU8" s="748" t="s">
        <v>25</v>
      </c>
      <c r="BV8" s="748" t="s">
        <v>24</v>
      </c>
      <c r="BW8" s="748" t="s">
        <v>25</v>
      </c>
      <c r="BX8" s="748" t="s">
        <v>24</v>
      </c>
      <c r="BY8" s="748" t="s">
        <v>25</v>
      </c>
      <c r="BZ8" s="748" t="s">
        <v>24</v>
      </c>
      <c r="CA8" s="748" t="s">
        <v>25</v>
      </c>
      <c r="CB8" s="748" t="s">
        <v>24</v>
      </c>
      <c r="CC8" s="748" t="s">
        <v>25</v>
      </c>
      <c r="CD8" s="748" t="s">
        <v>24</v>
      </c>
      <c r="CE8" s="748" t="s">
        <v>25</v>
      </c>
      <c r="CF8" s="748" t="s">
        <v>24</v>
      </c>
      <c r="CG8" s="748" t="s">
        <v>25</v>
      </c>
      <c r="CH8" s="748" t="s">
        <v>24</v>
      </c>
      <c r="CI8" s="748" t="s">
        <v>25</v>
      </c>
      <c r="CJ8" s="748" t="s">
        <v>24</v>
      </c>
      <c r="CK8" s="748" t="s">
        <v>25</v>
      </c>
      <c r="CL8" s="748" t="s">
        <v>24</v>
      </c>
      <c r="CM8" s="748" t="s">
        <v>25</v>
      </c>
      <c r="CN8" s="748" t="s">
        <v>24</v>
      </c>
      <c r="CO8" s="748" t="s">
        <v>25</v>
      </c>
      <c r="CP8" s="748" t="s">
        <v>24</v>
      </c>
      <c r="CQ8" s="748" t="s">
        <v>25</v>
      </c>
      <c r="CR8" s="748" t="s">
        <v>24</v>
      </c>
      <c r="CS8" s="748" t="s">
        <v>25</v>
      </c>
      <c r="CT8" s="748" t="s">
        <v>24</v>
      </c>
      <c r="CU8" s="748" t="s">
        <v>25</v>
      </c>
      <c r="CV8" s="748" t="s">
        <v>24</v>
      </c>
      <c r="CW8" s="748" t="s">
        <v>25</v>
      </c>
      <c r="CX8" s="748" t="s">
        <v>24</v>
      </c>
      <c r="CY8" s="748" t="s">
        <v>25</v>
      </c>
      <c r="CZ8" s="748" t="s">
        <v>24</v>
      </c>
      <c r="DA8" s="748"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CDPS!C10</f>
        <v>0</v>
      </c>
      <c r="K10" s="256">
        <f>CDPS!D10</f>
        <v>0</v>
      </c>
      <c r="L10" s="256">
        <f>CDPS!C12</f>
        <v>0</v>
      </c>
      <c r="M10" s="256">
        <f>CDPS!D12</f>
        <v>0</v>
      </c>
      <c r="N10" s="256">
        <f>CDPS!C13</f>
        <v>0</v>
      </c>
      <c r="O10" s="256">
        <f>CDPS!D13</f>
        <v>0</v>
      </c>
      <c r="P10" s="256">
        <f>CDPS!C17</f>
        <v>0</v>
      </c>
      <c r="Q10" s="256">
        <f>CDPS!D17</f>
        <v>0</v>
      </c>
      <c r="R10" s="256">
        <f>CDPS!C18</f>
        <v>0</v>
      </c>
      <c r="S10" s="256">
        <f>CDPS!D18</f>
        <v>0</v>
      </c>
      <c r="T10" s="256">
        <f>CDPS!C20</f>
        <v>0</v>
      </c>
      <c r="U10" s="256">
        <f>CDPS!D20</f>
        <v>0</v>
      </c>
      <c r="V10" s="256">
        <f>CDPS!C22</f>
        <v>0</v>
      </c>
      <c r="W10" s="256">
        <f>CDPS!D22</f>
        <v>0</v>
      </c>
      <c r="X10" s="256">
        <f>CDPS!C23</f>
        <v>0</v>
      </c>
      <c r="Y10" s="256">
        <f>CDPS!D23</f>
        <v>0</v>
      </c>
      <c r="Z10" s="256">
        <f>CDPS!C24</f>
        <v>0</v>
      </c>
      <c r="AA10" s="256">
        <f>CDPS!D24</f>
        <v>0</v>
      </c>
      <c r="AB10" s="256">
        <f>CDPS!C26</f>
        <v>0</v>
      </c>
      <c r="AC10" s="256">
        <f>CDPS!D26</f>
        <v>0</v>
      </c>
      <c r="AD10" s="256">
        <f>CDPS!C27</f>
        <v>0</v>
      </c>
      <c r="AE10" s="256">
        <f>CDPS!D27</f>
        <v>0</v>
      </c>
      <c r="AF10" s="256">
        <f>CDPS!C28</f>
        <v>0</v>
      </c>
      <c r="AG10" s="256">
        <f>CDPS!D28</f>
        <v>0</v>
      </c>
      <c r="AH10" s="256">
        <f>CDPS!C29</f>
        <v>0</v>
      </c>
      <c r="AI10" s="256">
        <f>CDPS!D29</f>
        <v>0</v>
      </c>
      <c r="AJ10" s="256">
        <f>CDPS!C30</f>
        <v>0</v>
      </c>
      <c r="AK10" s="256">
        <f>CDPS!D30</f>
        <v>0</v>
      </c>
      <c r="AL10" s="256">
        <f>CDPS!C31</f>
        <v>0</v>
      </c>
      <c r="AM10" s="256">
        <f>CDPS!D31</f>
        <v>0</v>
      </c>
      <c r="AN10" s="256">
        <f>CDPS!C33</f>
        <v>0</v>
      </c>
      <c r="AO10" s="256">
        <f>CDPS!D33</f>
        <v>0</v>
      </c>
      <c r="AP10" s="256">
        <f>CDPS!C35</f>
        <v>0</v>
      </c>
      <c r="AQ10" s="256">
        <f>CDPS!D35</f>
        <v>0</v>
      </c>
      <c r="AR10" s="256">
        <f>CDPS!C36</f>
        <v>0</v>
      </c>
      <c r="AS10" s="256">
        <f>CDPS!D36</f>
        <v>0</v>
      </c>
      <c r="AT10" s="256">
        <f>CDPS!C38</f>
        <v>0</v>
      </c>
      <c r="AU10" s="256">
        <f>CDPS!D38</f>
        <v>0</v>
      </c>
      <c r="AV10" s="256">
        <f>CDPS!C40</f>
        <v>0</v>
      </c>
      <c r="AW10" s="256">
        <f>CDPS!D40</f>
        <v>0</v>
      </c>
      <c r="AX10" s="256"/>
      <c r="AY10" s="256"/>
      <c r="AZ10" s="256"/>
      <c r="BA10" s="256"/>
      <c r="BB10" s="256"/>
      <c r="BC10" s="256"/>
      <c r="BD10" s="256">
        <f>CDPS!C44</f>
        <v>0</v>
      </c>
      <c r="BE10" s="256">
        <f>CDPS!D44</f>
        <v>0</v>
      </c>
      <c r="BF10" s="256">
        <f>CDPS!C45</f>
        <v>0</v>
      </c>
      <c r="BG10" s="256">
        <f>CDPS!D45</f>
        <v>0</v>
      </c>
      <c r="BH10" s="256">
        <f>CDPS!C46</f>
        <v>0</v>
      </c>
      <c r="BI10" s="256">
        <f>CDPS!D46</f>
        <v>0</v>
      </c>
      <c r="BJ10" s="256">
        <f>CDPS!C49</f>
        <v>0</v>
      </c>
      <c r="BK10" s="256">
        <f>CDPS!D49</f>
        <v>0</v>
      </c>
      <c r="BL10" s="256">
        <f>CDPS!C51</f>
        <v>0</v>
      </c>
      <c r="BM10" s="256">
        <f>CDPS!D51</f>
        <v>0</v>
      </c>
      <c r="BN10" s="256">
        <f>CDPS!C52</f>
        <v>0</v>
      </c>
      <c r="BO10" s="256">
        <f>CDPS!D52</f>
        <v>0</v>
      </c>
      <c r="BP10" s="256">
        <f>CDPS!C53</f>
        <v>0</v>
      </c>
      <c r="BQ10" s="256">
        <f>CDPS!D53</f>
        <v>0</v>
      </c>
      <c r="BR10" s="256">
        <f>CDPS!C54</f>
        <v>0</v>
      </c>
      <c r="BS10" s="256">
        <f>CDPS!D54</f>
        <v>0</v>
      </c>
      <c r="BT10" s="256">
        <f>CDPS!C56</f>
        <v>0</v>
      </c>
      <c r="BU10" s="256">
        <f>CDPS!D56</f>
        <v>0</v>
      </c>
      <c r="BV10" s="256">
        <f>CDPS!C57</f>
        <v>0</v>
      </c>
      <c r="BW10" s="256">
        <f>CDPS!D57</f>
        <v>0</v>
      </c>
      <c r="BX10" s="256">
        <f>CDPS!C59</f>
        <v>0</v>
      </c>
      <c r="BY10" s="256">
        <f>CDPS!D59</f>
        <v>0</v>
      </c>
      <c r="BZ10" s="256">
        <f>CDPS!C61</f>
        <v>0</v>
      </c>
      <c r="CA10" s="256">
        <f>CDPS!D61</f>
        <v>0</v>
      </c>
      <c r="CB10" s="256">
        <f>CDPS!C62</f>
        <v>0</v>
      </c>
      <c r="CC10" s="256">
        <f>CDPS!D62</f>
        <v>0</v>
      </c>
      <c r="CD10" s="256"/>
      <c r="CE10" s="256"/>
      <c r="CF10" s="256"/>
      <c r="CG10" s="256"/>
      <c r="CH10" s="256"/>
      <c r="CI10" s="256"/>
      <c r="CJ10" s="256"/>
      <c r="CK10" s="256"/>
      <c r="CL10" s="256"/>
      <c r="CM10" s="256"/>
      <c r="CN10" s="256"/>
      <c r="CO10" s="256"/>
      <c r="CP10" s="256"/>
      <c r="CQ10" s="256"/>
      <c r="CR10" s="256"/>
      <c r="CS10" s="256"/>
      <c r="CT10" s="256"/>
      <c r="CU10" s="256"/>
      <c r="CV10" s="256"/>
      <c r="CW10" s="256"/>
      <c r="CX10" s="256"/>
      <c r="CY10" s="256"/>
      <c r="CZ10" s="256"/>
      <c r="DA10" s="256"/>
    </row>
    <row r="11" spans="1:105" s="257" customFormat="1" ht="12.75" customHeight="1">
      <c r="A11" s="60">
        <f t="array" aca="1" ref="A11" ca="1">IF(C11&lt;&gt;0,SUM(($C$11:C11&lt;&gt;0)*1),"")</f>
        <v>1</v>
      </c>
      <c r="B11" s="258" t="str">
        <f ca="1">IF(ROWS($1:1)&gt;COUNT(Dong6),"",OFFSET(TH!C$1,SMALL(Dong6,ROWS($1:1)),))</f>
        <v/>
      </c>
      <c r="C11" s="258" t="str">
        <f ca="1">IF(ROWS($1:1)&gt;COUNT(Dong6),"",OFFSET(TH!D$1,SMALL(Dong6,ROWS($1:1)),))</f>
        <v/>
      </c>
      <c r="D11" s="258" t="str">
        <f ca="1">IF(ROWS($1:1)&gt;COUNT(Dong6),"",OFFSET(TH!E$1,SMALL(Dong6,ROWS($1:1)),))</f>
        <v/>
      </c>
      <c r="E11" s="308" t="str">
        <f ca="1">IF(ROWS($1:1)&gt;COUNT(Dong6),"",OFFSET(TH!F$1,SMALL(Dong6,ROWS($1:1)),))</f>
        <v/>
      </c>
      <c r="F11" s="309" t="str">
        <f ca="1">IF(ROWS($1:1)&gt;COUNT(Dong6),"",OFFSET(TH!M$1,SMALL(Dong6,ROWS($1:1)),))</f>
        <v/>
      </c>
      <c r="G11" s="310" t="str">
        <f ca="1">IF(ROWS($1:1)&gt;COUNT(Dong6),"",OFFSET(TH!N$1,SMALL(Dong6,ROWS($1:1)),))</f>
        <v/>
      </c>
      <c r="H11" s="310" t="str">
        <f ca="1">IF(ROWS($1:1)&gt;COUNT(Dong6),"",OFFSET(TH!O$1,SMALL(Dong6,ROWS($1:1)),))</f>
        <v/>
      </c>
      <c r="I11" s="60">
        <f t="shared" ref="I11:I34" ca="1" si="0">A11</f>
        <v>1</v>
      </c>
      <c r="J11" s="260">
        <f ca="1">IF($G11="1111",$F11,0)</f>
        <v>0</v>
      </c>
      <c r="K11" s="260">
        <f ca="1">IF($H11="1111",$F11,0)</f>
        <v>0</v>
      </c>
      <c r="L11" s="260">
        <f t="shared" ref="L11:L51" ca="1" si="1">IF($G11="1121",$F11,0)</f>
        <v>0</v>
      </c>
      <c r="M11" s="260">
        <f t="shared" ref="M11:M51" ca="1" si="2">IF($H11="1121",$F11,0)</f>
        <v>0</v>
      </c>
      <c r="N11" s="260">
        <f t="shared" ref="N11:N51" ca="1" si="3">IF($G11="1122",$F11,0)</f>
        <v>0</v>
      </c>
      <c r="O11" s="260">
        <f t="shared" ref="O11:O51" ca="1" si="4">IF($H11="1122",$F11,0)</f>
        <v>0</v>
      </c>
      <c r="P11" s="260">
        <f t="shared" ref="P11:P51" ca="1" si="5">IF($G11="131",$F11,0)</f>
        <v>0</v>
      </c>
      <c r="Q11" s="260">
        <f t="shared" ref="Q11:Q51" ca="1" si="6">IF($H11="131",$F11,0)</f>
        <v>0</v>
      </c>
      <c r="R11" s="260">
        <f t="shared" ref="R11:R51" ca="1" si="7">IF($G11="1331",$F11,0)</f>
        <v>0</v>
      </c>
      <c r="S11" s="260">
        <f t="shared" ref="S11:S51" ca="1" si="8">IF($H11="1331",$F11,0)</f>
        <v>0</v>
      </c>
      <c r="T11" s="260">
        <f t="shared" ref="T11:T51" ca="1" si="9">IF($G11="1388",$F11,0)</f>
        <v>0</v>
      </c>
      <c r="U11" s="260">
        <f t="shared" ref="U11:U51" ca="1" si="10">IF($H11="1388",$F11,0)</f>
        <v>0</v>
      </c>
      <c r="V11" s="260">
        <f t="shared" ref="V11:V51" ca="1" si="11">IF($G11="141",$F11,0)</f>
        <v>0</v>
      </c>
      <c r="W11" s="260">
        <f t="shared" ref="W11:W51" ca="1" si="12">IF($H11="141",$F11,0)</f>
        <v>0</v>
      </c>
      <c r="X11" s="260">
        <f t="shared" ref="X11:X51" ca="1" si="13">IF($G11="1521",$F11,0)</f>
        <v>0</v>
      </c>
      <c r="Y11" s="260">
        <f t="shared" ref="Y11:Y51" ca="1" si="14">IF($H11="1521",$F11,0)</f>
        <v>0</v>
      </c>
      <c r="Z11" s="260">
        <f t="shared" ref="Z11:Z51" ca="1" si="15">IF($G11="1522",$F11,0)</f>
        <v>0</v>
      </c>
      <c r="AA11" s="260">
        <f t="shared" ref="AA11:AA51" ca="1" si="16">IF($H11="1522",$F11,0)</f>
        <v>0</v>
      </c>
      <c r="AB11" s="260">
        <f ca="1">IF($G11="153",$F11,0)</f>
        <v>0</v>
      </c>
      <c r="AC11" s="260">
        <f ca="1">IF($H11="153",$F11,0)</f>
        <v>0</v>
      </c>
      <c r="AD11" s="260">
        <f t="shared" ref="AD11:AD51" ca="1" si="17">IF($G11="154",$F11,0)</f>
        <v>0</v>
      </c>
      <c r="AE11" s="260">
        <f t="shared" ref="AE11:AE51" ca="1" si="18">IF($H11="154",$F11,0)</f>
        <v>0</v>
      </c>
      <c r="AF11" s="260">
        <f t="shared" ref="AF11:AF51" ca="1" si="19">IF($G11="155",$F11,0)</f>
        <v>0</v>
      </c>
      <c r="AG11" s="260">
        <f t="shared" ref="AG11:AG51"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1" ca="1" si="21">IF($G11="2141",$F11,0)</f>
        <v>0</v>
      </c>
      <c r="AQ11" s="260">
        <f t="shared" ref="AQ11:AQ51" ca="1" si="22">IF($H11="2141",$F11,0)</f>
        <v>0</v>
      </c>
      <c r="AR11" s="260">
        <f t="shared" ref="AR11:AR51" ca="1" si="23">IF($G11="2143",$F11,0)</f>
        <v>0</v>
      </c>
      <c r="AS11" s="260">
        <f t="shared" ref="AS11:AS51" ca="1" si="24">IF($H11="2143",$F11,0)</f>
        <v>0</v>
      </c>
      <c r="AT11" s="260">
        <f ca="1">IF($G11="2412",$F11,0)</f>
        <v>0</v>
      </c>
      <c r="AU11" s="260">
        <f ca="1">IF($H11="2412",$F11,0)</f>
        <v>0</v>
      </c>
      <c r="AV11" s="260">
        <f t="shared" ref="AV11:AV51" ca="1" si="25">IF($G11="331",$F11,0)</f>
        <v>0</v>
      </c>
      <c r="AW11" s="260">
        <f t="shared" ref="AW11:AW51" ca="1" si="26">IF($H11="331",$F11,0)</f>
        <v>0</v>
      </c>
      <c r="AX11" s="260">
        <f t="shared" ref="AX11:AX51" ca="1" si="27">IF($G11="33311",$F11,0)</f>
        <v>0</v>
      </c>
      <c r="AY11" s="260">
        <f t="shared" ref="AY11:AY51" ca="1" si="28">IF($H11="33311",$F11,0)</f>
        <v>0</v>
      </c>
      <c r="AZ11" s="260">
        <f t="shared" ref="AZ11:AZ51" ca="1" si="29">IF($G11="33312",$F11,0)</f>
        <v>0</v>
      </c>
      <c r="BA11" s="260">
        <f t="shared" ref="BA11:BA51" ca="1" si="30">IF($H11="33312",$F11,0)</f>
        <v>0</v>
      </c>
      <c r="BB11" s="260">
        <f t="shared" ref="BB11:BB51" ca="1" si="31">IF($G11="3333",$F11,0)</f>
        <v>0</v>
      </c>
      <c r="BC11" s="260">
        <f t="shared" ref="BC11:BC51" ca="1" si="32">IF($H11="3333",$F11,0)</f>
        <v>0</v>
      </c>
      <c r="BD11" s="260">
        <f t="shared" ref="BD11:BD51" ca="1" si="33">IF($G11="3334",$F11,0)</f>
        <v>0</v>
      </c>
      <c r="BE11" s="260">
        <f t="shared" ref="BE11:BE51" ca="1" si="34">IF($H11="3334",$F11,0)</f>
        <v>0</v>
      </c>
      <c r="BF11" s="260">
        <f t="shared" ref="BF11:BF51" ca="1" si="35">IF($G11="3335",$F11,0)</f>
        <v>0</v>
      </c>
      <c r="BG11" s="260">
        <f t="shared" ref="BG11:BG51" ca="1" si="36">IF($H11="3335",$F11,0)</f>
        <v>0</v>
      </c>
      <c r="BH11" s="260">
        <f ca="1">IF($G11="33382",$F11,0)</f>
        <v>0</v>
      </c>
      <c r="BI11" s="260">
        <f ca="1">IF($H11="33382",$F11,0)</f>
        <v>0</v>
      </c>
      <c r="BJ11" s="260">
        <f t="shared" ref="BJ11:BJ51" ca="1" si="37">IF($G11="3341",$F11,0)</f>
        <v>0</v>
      </c>
      <c r="BK11" s="260">
        <f t="shared" ref="BK11:BK51" ca="1" si="38">IF($H11="3341",$F11,0)</f>
        <v>0</v>
      </c>
      <c r="BL11" s="260">
        <f t="shared" ref="BL11:BL51" ca="1" si="39">IF($G11="3383",$F11,0)</f>
        <v>0</v>
      </c>
      <c r="BM11" s="260">
        <f t="shared" ref="BM11:BM51" ca="1" si="40">IF($H11="3383",$F11,0)</f>
        <v>0</v>
      </c>
      <c r="BN11" s="260">
        <f t="shared" ref="BN11:BN51" ca="1" si="41">IF($G11="3384",$F11,0)</f>
        <v>0</v>
      </c>
      <c r="BO11" s="260">
        <f t="shared" ref="BO11:BO51" ca="1" si="42">IF($H11="3384",$F11,0)</f>
        <v>0</v>
      </c>
      <c r="BP11" s="260">
        <f ca="1">IF($G11="3386",$F11,0)</f>
        <v>0</v>
      </c>
      <c r="BQ11" s="260">
        <f ca="1">IF($H11="3386",$F11,0)</f>
        <v>0</v>
      </c>
      <c r="BR11" s="260">
        <f t="shared" ref="BR11:BR51" ca="1" si="43">IF($G11="3388",$F11,0)</f>
        <v>0</v>
      </c>
      <c r="BS11" s="260">
        <f t="shared" ref="BS11:BS51" ca="1" si="44">IF($H11="3388",$F11,0)</f>
        <v>0</v>
      </c>
      <c r="BT11" s="260">
        <f ca="1">IF($G11="3411",$F11,0)</f>
        <v>0</v>
      </c>
      <c r="BU11" s="260">
        <f ca="1">IF($H11="3411",$F11,0)</f>
        <v>0</v>
      </c>
      <c r="BV11" s="260">
        <f ca="1">IF($G11="3412",$F11,0)</f>
        <v>0</v>
      </c>
      <c r="BW11" s="260">
        <f ca="1">IF($H11="3412",$F11,0)</f>
        <v>0</v>
      </c>
      <c r="BX11" s="260">
        <f t="shared" ref="BX11:BX51" ca="1" si="45">IF($G11="4111",$F11,0)</f>
        <v>0</v>
      </c>
      <c r="BY11" s="260">
        <f t="shared" ref="BY11:BY51" ca="1" si="46">IF($H11="4111",$F11,0)</f>
        <v>0</v>
      </c>
      <c r="BZ11" s="260">
        <f t="shared" ref="BZ11:BZ51" ca="1" si="47">IF($G11="4211",$F11,0)</f>
        <v>0</v>
      </c>
      <c r="CA11" s="260">
        <f t="shared" ref="CA11:CA51" ca="1" si="48">IF($H11="4211",$F11,0)</f>
        <v>0</v>
      </c>
      <c r="CB11" s="260">
        <f t="shared" ref="CB11:CB51" ca="1" si="49">IF($G11="4212",$F11,0)</f>
        <v>0</v>
      </c>
      <c r="CC11" s="260">
        <f t="shared" ref="CC11:CC51" ca="1" si="50">IF($H11="4212",$F11,0)</f>
        <v>0</v>
      </c>
      <c r="CD11" s="260">
        <f ca="1">IF($G11="5112N",$F11,0)</f>
        <v>0</v>
      </c>
      <c r="CE11" s="260">
        <f ca="1">IF($H11="5112N",$F11,0)</f>
        <v>0</v>
      </c>
      <c r="CF11" s="260">
        <f ca="1">IF($G11="5112X",$F11,0)</f>
        <v>0</v>
      </c>
      <c r="CG11" s="260">
        <f ca="1">IF($H11="5112X",$F11,0)</f>
        <v>0</v>
      </c>
      <c r="CH11" s="260">
        <f t="shared" ref="CH11:CH51" ca="1" si="51">IF($G11="515",$F11,0)</f>
        <v>0</v>
      </c>
      <c r="CI11" s="260">
        <f t="shared" ref="CI11:CI51" ca="1" si="52">IF($H11="515",$F11,0)</f>
        <v>0</v>
      </c>
      <c r="CJ11" s="260">
        <f ca="1">IF($G11="5213",$F11,0)</f>
        <v>0</v>
      </c>
      <c r="CK11" s="260">
        <f ca="1">IF($H11="5213",$F11,0)</f>
        <v>0</v>
      </c>
      <c r="CL11" s="260">
        <f t="shared" ref="CL11:CL51" ca="1" si="53">IF($G11="632",$F11,0)</f>
        <v>0</v>
      </c>
      <c r="CM11" s="260">
        <f t="shared" ref="CM11:CM51" ca="1" si="54">IF($H11="632",$F11,0)</f>
        <v>0</v>
      </c>
      <c r="CN11" s="260">
        <f t="shared" ref="CN11:CN51" ca="1" si="55">IF($G11="635",$F11,0)</f>
        <v>0</v>
      </c>
      <c r="CO11" s="260">
        <f t="shared" ref="CO11:CO51" ca="1" si="56">IF($H11="635",$F11,0)</f>
        <v>0</v>
      </c>
      <c r="CP11" s="260">
        <f ca="1">IF($G11="641",$F11,0)</f>
        <v>0</v>
      </c>
      <c r="CQ11" s="260">
        <f ca="1">IF($H11="641",$F11,0)</f>
        <v>0</v>
      </c>
      <c r="CR11" s="260">
        <f ca="1">IF($G11="642",$F11,0)</f>
        <v>0</v>
      </c>
      <c r="CS11" s="260">
        <f ca="1">IF($H11="642",$F11,0)</f>
        <v>0</v>
      </c>
      <c r="CT11" s="260">
        <f t="shared" ref="CT11:CT51" ca="1" si="57">IF($G11="711",$F11,0)</f>
        <v>0</v>
      </c>
      <c r="CU11" s="260">
        <f t="shared" ref="CU11:CU51" ca="1" si="58">IF($H11="711",$F11,0)</f>
        <v>0</v>
      </c>
      <c r="CV11" s="260">
        <f t="shared" ref="CV11:CV51" ca="1" si="59">IF($G11="811",$F11,0)</f>
        <v>0</v>
      </c>
      <c r="CW11" s="260">
        <f t="shared" ref="CW11:CW51" ca="1" si="60">IF($H11="811",$F11,0)</f>
        <v>0</v>
      </c>
      <c r="CX11" s="260">
        <f ca="1">IF($G11="821",$F11,0)</f>
        <v>0</v>
      </c>
      <c r="CY11" s="260">
        <f ca="1">IF($H11="821",$F11,0)</f>
        <v>0</v>
      </c>
      <c r="CZ11" s="260">
        <f ca="1">IF($G11="911",$F11,0)</f>
        <v>0</v>
      </c>
      <c r="DA11" s="260">
        <f ca="1">IF($H11="911",$F11,0)</f>
        <v>0</v>
      </c>
    </row>
    <row r="12" spans="1:105" s="257" customFormat="1" ht="15" customHeight="1">
      <c r="A12" s="60">
        <f t="array" aca="1" ref="A12" ca="1">IF(C12&lt;&gt;0,SUM(($C$11:C12&lt;&gt;0)*1),"")</f>
        <v>2</v>
      </c>
      <c r="B12" s="258" t="str">
        <f ca="1">IF(ROWS($1:2)&gt;COUNT(Dong6),"",OFFSET(TH!C$1,SMALL(Dong6,ROWS($1:2)),))</f>
        <v/>
      </c>
      <c r="C12" s="258" t="str">
        <f ca="1">IF(ROWS($1:2)&gt;COUNT(Dong6),"",OFFSET(TH!D$1,SMALL(Dong6,ROWS($1:2)),))</f>
        <v/>
      </c>
      <c r="D12" s="258" t="str">
        <f ca="1">IF(ROWS($1:2)&gt;COUNT(Dong6),"",OFFSET(TH!E$1,SMALL(Dong6,ROWS($1:2)),))</f>
        <v/>
      </c>
      <c r="E12" s="308" t="str">
        <f ca="1">IF(ROWS($1:2)&gt;COUNT(Dong6),"",OFFSET(TH!F$1,SMALL(Dong6,ROWS($1:2)),))</f>
        <v/>
      </c>
      <c r="F12" s="309" t="str">
        <f ca="1">IF(ROWS($1:2)&gt;COUNT(Dong6),"",OFFSET(TH!M$1,SMALL(Dong6,ROWS($1:2)),))</f>
        <v/>
      </c>
      <c r="G12" s="310" t="str">
        <f ca="1">IF(ROWS($1:2)&gt;COUNT(Dong6),"",OFFSET(TH!N$1,SMALL(Dong6,ROWS($1:2)),))</f>
        <v/>
      </c>
      <c r="H12" s="310" t="str">
        <f ca="1">IF(ROWS($1:2)&gt;COUNT(Dong6),"",OFFSET(TH!O$1,SMALL(Dong6,ROWS($1:2)),))</f>
        <v/>
      </c>
      <c r="I12" s="60">
        <f t="shared" ca="1" si="0"/>
        <v>2</v>
      </c>
      <c r="J12" s="260">
        <f t="shared" ref="J12:J51" ca="1" si="61">IF($G12="1111",$F12,0)</f>
        <v>0</v>
      </c>
      <c r="K12" s="260">
        <f t="shared" ref="K12:K51" ca="1" si="62">IF($H12="1111",$F12,0)</f>
        <v>0</v>
      </c>
      <c r="L12" s="260">
        <f t="shared" ca="1" si="1"/>
        <v>0</v>
      </c>
      <c r="M12" s="260">
        <f t="shared" ca="1" si="2"/>
        <v>0</v>
      </c>
      <c r="N12" s="260">
        <f t="shared" ca="1" si="3"/>
        <v>0</v>
      </c>
      <c r="O12" s="260">
        <f t="shared" ca="1" si="4"/>
        <v>0</v>
      </c>
      <c r="P12" s="260">
        <f t="shared" ca="1" si="5"/>
        <v>0</v>
      </c>
      <c r="Q12" s="260">
        <f t="shared" ca="1" si="6"/>
        <v>0</v>
      </c>
      <c r="R12" s="260">
        <f t="shared" ca="1" si="7"/>
        <v>0</v>
      </c>
      <c r="S12" s="260">
        <f t="shared" ca="1" si="8"/>
        <v>0</v>
      </c>
      <c r="T12" s="260">
        <f t="shared" ca="1" si="9"/>
        <v>0</v>
      </c>
      <c r="U12" s="260">
        <f t="shared" ca="1" si="10"/>
        <v>0</v>
      </c>
      <c r="V12" s="260">
        <f t="shared" ca="1" si="11"/>
        <v>0</v>
      </c>
      <c r="W12" s="260">
        <f t="shared" ca="1" si="12"/>
        <v>0</v>
      </c>
      <c r="X12" s="260">
        <f t="shared" ca="1" si="13"/>
        <v>0</v>
      </c>
      <c r="Y12" s="260">
        <f t="shared" ca="1" si="14"/>
        <v>0</v>
      </c>
      <c r="Z12" s="260">
        <f t="shared" ca="1" si="15"/>
        <v>0</v>
      </c>
      <c r="AA12" s="260">
        <f t="shared" ca="1" si="16"/>
        <v>0</v>
      </c>
      <c r="AB12" s="260">
        <f t="shared" ref="AB12:AB51" ca="1" si="63">IF($G12="153",$F12,0)</f>
        <v>0</v>
      </c>
      <c r="AC12" s="260">
        <f t="shared" ref="AC12:AC51" ca="1" si="64">IF($H12="153",$F12,0)</f>
        <v>0</v>
      </c>
      <c r="AD12" s="260">
        <f t="shared" ca="1" si="17"/>
        <v>0</v>
      </c>
      <c r="AE12" s="260">
        <f t="shared" ca="1" si="18"/>
        <v>0</v>
      </c>
      <c r="AF12" s="260">
        <f t="shared" ca="1" si="19"/>
        <v>0</v>
      </c>
      <c r="AG12" s="260">
        <f t="shared" ca="1" si="20"/>
        <v>0</v>
      </c>
      <c r="AH12" s="260">
        <f t="shared" ref="AH12:AH51" ca="1" si="65">IF($G12="2111",$F12,0)</f>
        <v>0</v>
      </c>
      <c r="AI12" s="260">
        <f t="shared" ref="AI12:AI51" ca="1" si="66">IF($H12="2111",$F12,0)</f>
        <v>0</v>
      </c>
      <c r="AJ12" s="260">
        <f t="shared" ref="AJ12:AJ51" ca="1" si="67">IF($G12="2112",$F12,0)</f>
        <v>0</v>
      </c>
      <c r="AK12" s="260">
        <f t="shared" ref="AK12:AK51" ca="1" si="68">IF($H12="2112",$F12,0)</f>
        <v>0</v>
      </c>
      <c r="AL12" s="260">
        <f t="shared" ref="AL12:AL51" ca="1" si="69">IF($G12="2113",$F12,0)</f>
        <v>0</v>
      </c>
      <c r="AM12" s="260">
        <f t="shared" ref="AM12:AM51" ca="1" si="70">IF($H12="2113",$F12,0)</f>
        <v>0</v>
      </c>
      <c r="AN12" s="260">
        <f t="shared" ref="AN12:AN51" ca="1" si="71">IF($G12="2131",$F12,0)</f>
        <v>0</v>
      </c>
      <c r="AO12" s="260">
        <f t="shared" ref="AO12:AO51" ca="1" si="72">IF($H12="2131",$F12,0)</f>
        <v>0</v>
      </c>
      <c r="AP12" s="260">
        <f t="shared" ca="1" si="21"/>
        <v>0</v>
      </c>
      <c r="AQ12" s="260">
        <f t="shared" ca="1" si="22"/>
        <v>0</v>
      </c>
      <c r="AR12" s="260">
        <f t="shared" ca="1" si="23"/>
        <v>0</v>
      </c>
      <c r="AS12" s="260">
        <f t="shared" ca="1" si="24"/>
        <v>0</v>
      </c>
      <c r="AT12" s="260">
        <f t="shared" ref="AT12:AT38" ca="1" si="73">IF($G12="2412",$F12,0)</f>
        <v>0</v>
      </c>
      <c r="AU12" s="260">
        <f t="shared" ref="AU12:AU38" ca="1" si="74">IF($H12="2412",$F12,0)</f>
        <v>0</v>
      </c>
      <c r="AV12" s="260">
        <f t="shared" ca="1" si="25"/>
        <v>0</v>
      </c>
      <c r="AW12" s="260">
        <f t="shared" ca="1" si="26"/>
        <v>0</v>
      </c>
      <c r="AX12" s="260">
        <f t="shared" ca="1" si="27"/>
        <v>0</v>
      </c>
      <c r="AY12" s="260">
        <f t="shared" ca="1" si="28"/>
        <v>0</v>
      </c>
      <c r="AZ12" s="260">
        <f t="shared" ca="1" si="29"/>
        <v>0</v>
      </c>
      <c r="BA12" s="260">
        <f t="shared" ca="1" si="30"/>
        <v>0</v>
      </c>
      <c r="BB12" s="260">
        <f t="shared" ca="1" si="31"/>
        <v>0</v>
      </c>
      <c r="BC12" s="260">
        <f t="shared" ca="1" si="32"/>
        <v>0</v>
      </c>
      <c r="BD12" s="260">
        <f t="shared" ca="1" si="33"/>
        <v>0</v>
      </c>
      <c r="BE12" s="260">
        <f t="shared" ca="1" si="34"/>
        <v>0</v>
      </c>
      <c r="BF12" s="260">
        <f t="shared" ca="1" si="35"/>
        <v>0</v>
      </c>
      <c r="BG12" s="260">
        <f t="shared" ca="1" si="36"/>
        <v>0</v>
      </c>
      <c r="BH12" s="260">
        <f t="shared" ref="BH12:BH51" ca="1" si="75">IF($G12="33382",$F12,0)</f>
        <v>0</v>
      </c>
      <c r="BI12" s="260">
        <f t="shared" ref="BI12:BI51" ca="1" si="76">IF($H12="33382",$F12,0)</f>
        <v>0</v>
      </c>
      <c r="BJ12" s="260">
        <f t="shared" ca="1" si="37"/>
        <v>0</v>
      </c>
      <c r="BK12" s="260">
        <f t="shared" ca="1" si="38"/>
        <v>0</v>
      </c>
      <c r="BL12" s="260">
        <f t="shared" ca="1" si="39"/>
        <v>0</v>
      </c>
      <c r="BM12" s="260">
        <f t="shared" ca="1" si="40"/>
        <v>0</v>
      </c>
      <c r="BN12" s="260">
        <f t="shared" ca="1" si="41"/>
        <v>0</v>
      </c>
      <c r="BO12" s="260">
        <f t="shared" ca="1" si="42"/>
        <v>0</v>
      </c>
      <c r="BP12" s="260">
        <f t="shared" ref="BP12:BP51" ca="1" si="77">IF($G12="3386",$F12,0)</f>
        <v>0</v>
      </c>
      <c r="BQ12" s="260">
        <f t="shared" ref="BQ12:BQ51" ca="1" si="78">IF($H12="3386",$F12,0)</f>
        <v>0</v>
      </c>
      <c r="BR12" s="260">
        <f t="shared" ca="1" si="43"/>
        <v>0</v>
      </c>
      <c r="BS12" s="260">
        <f t="shared" ca="1" si="44"/>
        <v>0</v>
      </c>
      <c r="BT12" s="260">
        <f t="shared" ref="BT12:BT51" ca="1" si="79">IF($G12="3411",$F12,0)</f>
        <v>0</v>
      </c>
      <c r="BU12" s="260">
        <f t="shared" ref="BU12:BU51" ca="1" si="80">IF($H12="3411",$F12,0)</f>
        <v>0</v>
      </c>
      <c r="BV12" s="260">
        <f t="shared" ref="BV12:BV38" ca="1" si="81">IF($G12="3412",$F12,0)</f>
        <v>0</v>
      </c>
      <c r="BW12" s="260">
        <f t="shared" ref="BW12:BW38" ca="1" si="82">IF($H12="3412",$F12,0)</f>
        <v>0</v>
      </c>
      <c r="BX12" s="260">
        <f t="shared" ca="1" si="45"/>
        <v>0</v>
      </c>
      <c r="BY12" s="260">
        <f t="shared" ca="1" si="46"/>
        <v>0</v>
      </c>
      <c r="BZ12" s="260">
        <f t="shared" ca="1" si="47"/>
        <v>0</v>
      </c>
      <c r="CA12" s="260">
        <f t="shared" ca="1" si="48"/>
        <v>0</v>
      </c>
      <c r="CB12" s="260">
        <f t="shared" ca="1" si="49"/>
        <v>0</v>
      </c>
      <c r="CC12" s="260">
        <f t="shared" ca="1" si="50"/>
        <v>0</v>
      </c>
      <c r="CD12" s="260">
        <f t="shared" ref="CD12:CD51" ca="1" si="83">IF($G12="5112N",$F12,0)</f>
        <v>0</v>
      </c>
      <c r="CE12" s="260">
        <f t="shared" ref="CE12:CE51" ca="1" si="84">IF($H12="5112N",$F12,0)</f>
        <v>0</v>
      </c>
      <c r="CF12" s="260">
        <f t="shared" ref="CF12:CF51" ca="1" si="85">IF($G12="5112X",$F12,0)</f>
        <v>0</v>
      </c>
      <c r="CG12" s="260">
        <f t="shared" ref="CG12:CG51" ca="1" si="86">IF($H12="5112X",$F12,0)</f>
        <v>0</v>
      </c>
      <c r="CH12" s="260">
        <f t="shared" ca="1" si="51"/>
        <v>0</v>
      </c>
      <c r="CI12" s="260">
        <f t="shared" ca="1" si="52"/>
        <v>0</v>
      </c>
      <c r="CJ12" s="260">
        <f t="shared" ref="CJ12:CJ51" ca="1" si="87">IF($G12="5213",$F12,0)</f>
        <v>0</v>
      </c>
      <c r="CK12" s="260">
        <f t="shared" ref="CK12:CK51" ca="1" si="88">IF($H12="5213",$F12,0)</f>
        <v>0</v>
      </c>
      <c r="CL12" s="260">
        <f t="shared" ca="1" si="53"/>
        <v>0</v>
      </c>
      <c r="CM12" s="260">
        <f t="shared" ca="1" si="54"/>
        <v>0</v>
      </c>
      <c r="CN12" s="260">
        <f t="shared" ca="1" si="55"/>
        <v>0</v>
      </c>
      <c r="CO12" s="260">
        <f t="shared" ca="1" si="56"/>
        <v>0</v>
      </c>
      <c r="CP12" s="260">
        <f t="shared" ref="CP12:CP51" ca="1" si="89">IF($G12="641",$F12,0)</f>
        <v>0</v>
      </c>
      <c r="CQ12" s="260">
        <f t="shared" ref="CQ12:CQ51" ca="1" si="90">IF($H12="641",$F12,0)</f>
        <v>0</v>
      </c>
      <c r="CR12" s="260">
        <f t="shared" ref="CR12:CR51" ca="1" si="91">IF($G12="642",$F12,0)</f>
        <v>0</v>
      </c>
      <c r="CS12" s="260">
        <f t="shared" ref="CS12:CS51" ca="1" si="92">IF($H12="642",$F12,0)</f>
        <v>0</v>
      </c>
      <c r="CT12" s="260">
        <f t="shared" ca="1" si="57"/>
        <v>0</v>
      </c>
      <c r="CU12" s="260">
        <f t="shared" ca="1" si="58"/>
        <v>0</v>
      </c>
      <c r="CV12" s="260">
        <f t="shared" ca="1" si="59"/>
        <v>0</v>
      </c>
      <c r="CW12" s="260">
        <f t="shared" ca="1" si="60"/>
        <v>0</v>
      </c>
      <c r="CX12" s="260">
        <f t="shared" ref="CX12:CX51" ca="1" si="93">IF($G12="821",$F12,0)</f>
        <v>0</v>
      </c>
      <c r="CY12" s="260">
        <f t="shared" ref="CY12:CY51" ca="1" si="94">IF($H12="821",$F12,0)</f>
        <v>0</v>
      </c>
      <c r="CZ12" s="260">
        <f t="shared" ref="CZ12:CZ51" ca="1" si="95">IF($G12="911",$F12,0)</f>
        <v>0</v>
      </c>
      <c r="DA12" s="260">
        <f t="shared" ref="DA12:DA51" ca="1" si="96">IF($H12="911",$F12,0)</f>
        <v>0</v>
      </c>
    </row>
    <row r="13" spans="1:105" s="257" customFormat="1" ht="15" customHeight="1">
      <c r="A13" s="60">
        <f t="array" aca="1" ref="A13" ca="1">IF(C13&lt;&gt;0,SUM(($C$11:C13&lt;&gt;0)*1),"")</f>
        <v>3</v>
      </c>
      <c r="B13" s="258" t="str">
        <f ca="1">IF(ROWS($1:3)&gt;COUNT(Dong6),"",OFFSET(TH!C$1,SMALL(Dong6,ROWS($1:3)),))</f>
        <v/>
      </c>
      <c r="C13" s="258" t="str">
        <f ca="1">IF(ROWS($1:3)&gt;COUNT(Dong6),"",OFFSET(TH!D$1,SMALL(Dong6,ROWS($1:3)),))</f>
        <v/>
      </c>
      <c r="D13" s="258" t="str">
        <f ca="1">IF(ROWS($1:3)&gt;COUNT(Dong6),"",OFFSET(TH!E$1,SMALL(Dong6,ROWS($1:3)),))</f>
        <v/>
      </c>
      <c r="E13" s="308" t="str">
        <f ca="1">IF(ROWS($1:3)&gt;COUNT(Dong6),"",OFFSET(TH!F$1,SMALL(Dong6,ROWS($1:3)),))</f>
        <v/>
      </c>
      <c r="F13" s="309" t="str">
        <f ca="1">IF(ROWS($1:3)&gt;COUNT(Dong6),"",OFFSET(TH!M$1,SMALL(Dong6,ROWS($1:3)),))</f>
        <v/>
      </c>
      <c r="G13" s="310" t="str">
        <f ca="1">IF(ROWS($1:3)&gt;COUNT(Dong6),"",OFFSET(TH!N$1,SMALL(Dong6,ROWS($1:3)),))</f>
        <v/>
      </c>
      <c r="H13" s="310" t="str">
        <f ca="1">IF(ROWS($1:3)&gt;COUNT(Dong6),"",OFFSET(TH!O$1,SMALL(Dong6,ROWS($1:3)),))</f>
        <v/>
      </c>
      <c r="I13" s="60">
        <f t="shared" ca="1" si="0"/>
        <v>3</v>
      </c>
      <c r="J13" s="260">
        <f t="shared" ca="1" si="61"/>
        <v>0</v>
      </c>
      <c r="K13" s="260">
        <f t="shared" ca="1" si="62"/>
        <v>0</v>
      </c>
      <c r="L13" s="260">
        <f t="shared" ca="1" si="1"/>
        <v>0</v>
      </c>
      <c r="M13" s="260">
        <f t="shared" ca="1" si="2"/>
        <v>0</v>
      </c>
      <c r="N13" s="260">
        <f t="shared" ca="1" si="3"/>
        <v>0</v>
      </c>
      <c r="O13" s="260">
        <f t="shared" ca="1" si="4"/>
        <v>0</v>
      </c>
      <c r="P13" s="260">
        <f t="shared" ca="1" si="5"/>
        <v>0</v>
      </c>
      <c r="Q13" s="260">
        <f t="shared" ca="1" si="6"/>
        <v>0</v>
      </c>
      <c r="R13" s="260">
        <f t="shared" ca="1" si="7"/>
        <v>0</v>
      </c>
      <c r="S13" s="260">
        <f t="shared" ca="1" si="8"/>
        <v>0</v>
      </c>
      <c r="T13" s="260">
        <f t="shared" ca="1" si="9"/>
        <v>0</v>
      </c>
      <c r="U13" s="260">
        <f t="shared" ca="1" si="10"/>
        <v>0</v>
      </c>
      <c r="V13" s="260">
        <f t="shared" ca="1" si="11"/>
        <v>0</v>
      </c>
      <c r="W13" s="260">
        <f t="shared" ca="1" si="12"/>
        <v>0</v>
      </c>
      <c r="X13" s="260">
        <f t="shared" ca="1" si="13"/>
        <v>0</v>
      </c>
      <c r="Y13" s="260">
        <f t="shared" ca="1" si="14"/>
        <v>0</v>
      </c>
      <c r="Z13" s="260">
        <f t="shared" ca="1" si="15"/>
        <v>0</v>
      </c>
      <c r="AA13" s="260">
        <f t="shared" ca="1" si="16"/>
        <v>0</v>
      </c>
      <c r="AB13" s="260">
        <f t="shared" ca="1" si="63"/>
        <v>0</v>
      </c>
      <c r="AC13" s="260">
        <f t="shared" ca="1" si="64"/>
        <v>0</v>
      </c>
      <c r="AD13" s="260">
        <f t="shared" ca="1" si="17"/>
        <v>0</v>
      </c>
      <c r="AE13" s="260">
        <f t="shared" ca="1" si="18"/>
        <v>0</v>
      </c>
      <c r="AF13" s="260">
        <f t="shared" ca="1" si="19"/>
        <v>0</v>
      </c>
      <c r="AG13" s="260">
        <f t="shared" ca="1" si="20"/>
        <v>0</v>
      </c>
      <c r="AH13" s="260">
        <f t="shared" ca="1" si="65"/>
        <v>0</v>
      </c>
      <c r="AI13" s="260">
        <f t="shared" ca="1" si="66"/>
        <v>0</v>
      </c>
      <c r="AJ13" s="260">
        <f t="shared" ca="1" si="67"/>
        <v>0</v>
      </c>
      <c r="AK13" s="260">
        <f t="shared" ca="1" si="68"/>
        <v>0</v>
      </c>
      <c r="AL13" s="260">
        <f t="shared" ca="1" si="69"/>
        <v>0</v>
      </c>
      <c r="AM13" s="260">
        <f t="shared" ca="1" si="70"/>
        <v>0</v>
      </c>
      <c r="AN13" s="260">
        <f t="shared" ca="1" si="71"/>
        <v>0</v>
      </c>
      <c r="AO13" s="260">
        <f t="shared" ca="1" si="72"/>
        <v>0</v>
      </c>
      <c r="AP13" s="260">
        <f t="shared" ca="1" si="21"/>
        <v>0</v>
      </c>
      <c r="AQ13" s="260">
        <f t="shared" ca="1" si="22"/>
        <v>0</v>
      </c>
      <c r="AR13" s="260">
        <f t="shared" ca="1" si="23"/>
        <v>0</v>
      </c>
      <c r="AS13" s="260">
        <f t="shared" ca="1" si="24"/>
        <v>0</v>
      </c>
      <c r="AT13" s="260">
        <f t="shared" ca="1" si="73"/>
        <v>0</v>
      </c>
      <c r="AU13" s="260">
        <f t="shared" ca="1" si="74"/>
        <v>0</v>
      </c>
      <c r="AV13" s="260">
        <f t="shared" ca="1" si="25"/>
        <v>0</v>
      </c>
      <c r="AW13" s="260">
        <f t="shared" ca="1" si="26"/>
        <v>0</v>
      </c>
      <c r="AX13" s="260">
        <f t="shared" ca="1" si="27"/>
        <v>0</v>
      </c>
      <c r="AY13" s="260">
        <f t="shared" ca="1" si="28"/>
        <v>0</v>
      </c>
      <c r="AZ13" s="260">
        <f t="shared" ca="1" si="29"/>
        <v>0</v>
      </c>
      <c r="BA13" s="260">
        <f t="shared" ca="1" si="30"/>
        <v>0</v>
      </c>
      <c r="BB13" s="260">
        <f t="shared" ca="1" si="31"/>
        <v>0</v>
      </c>
      <c r="BC13" s="260">
        <f t="shared" ca="1" si="32"/>
        <v>0</v>
      </c>
      <c r="BD13" s="260">
        <f t="shared" ca="1" si="33"/>
        <v>0</v>
      </c>
      <c r="BE13" s="260">
        <f t="shared" ca="1" si="34"/>
        <v>0</v>
      </c>
      <c r="BF13" s="260">
        <f t="shared" ca="1" si="35"/>
        <v>0</v>
      </c>
      <c r="BG13" s="260">
        <f t="shared" ca="1" si="36"/>
        <v>0</v>
      </c>
      <c r="BH13" s="260">
        <f t="shared" ca="1" si="75"/>
        <v>0</v>
      </c>
      <c r="BI13" s="260">
        <f t="shared" ca="1" si="76"/>
        <v>0</v>
      </c>
      <c r="BJ13" s="260">
        <f t="shared" ca="1" si="37"/>
        <v>0</v>
      </c>
      <c r="BK13" s="260">
        <f t="shared" ca="1" si="38"/>
        <v>0</v>
      </c>
      <c r="BL13" s="260">
        <f t="shared" ca="1" si="39"/>
        <v>0</v>
      </c>
      <c r="BM13" s="260">
        <f t="shared" ca="1" si="40"/>
        <v>0</v>
      </c>
      <c r="BN13" s="260">
        <f t="shared" ca="1" si="41"/>
        <v>0</v>
      </c>
      <c r="BO13" s="260">
        <f t="shared" ca="1" si="42"/>
        <v>0</v>
      </c>
      <c r="BP13" s="260">
        <f t="shared" ca="1" si="77"/>
        <v>0</v>
      </c>
      <c r="BQ13" s="260">
        <f t="shared" ca="1" si="78"/>
        <v>0</v>
      </c>
      <c r="BR13" s="260">
        <f t="shared" ca="1" si="43"/>
        <v>0</v>
      </c>
      <c r="BS13" s="260">
        <f t="shared" ca="1" si="44"/>
        <v>0</v>
      </c>
      <c r="BT13" s="260">
        <f t="shared" ca="1" si="79"/>
        <v>0</v>
      </c>
      <c r="BU13" s="260">
        <f t="shared" ca="1" si="80"/>
        <v>0</v>
      </c>
      <c r="BV13" s="260">
        <f t="shared" ca="1" si="81"/>
        <v>0</v>
      </c>
      <c r="BW13" s="260">
        <f t="shared" ca="1" si="82"/>
        <v>0</v>
      </c>
      <c r="BX13" s="260">
        <f t="shared" ca="1" si="45"/>
        <v>0</v>
      </c>
      <c r="BY13" s="260">
        <f t="shared" ca="1" si="46"/>
        <v>0</v>
      </c>
      <c r="BZ13" s="260">
        <f t="shared" ca="1" si="47"/>
        <v>0</v>
      </c>
      <c r="CA13" s="260">
        <f t="shared" ca="1" si="48"/>
        <v>0</v>
      </c>
      <c r="CB13" s="260">
        <f t="shared" ca="1" si="49"/>
        <v>0</v>
      </c>
      <c r="CC13" s="260">
        <f t="shared" ca="1" si="50"/>
        <v>0</v>
      </c>
      <c r="CD13" s="260">
        <f t="shared" ca="1" si="83"/>
        <v>0</v>
      </c>
      <c r="CE13" s="260">
        <f t="shared" ca="1" si="84"/>
        <v>0</v>
      </c>
      <c r="CF13" s="260">
        <f t="shared" ca="1" si="85"/>
        <v>0</v>
      </c>
      <c r="CG13" s="260">
        <f t="shared" ca="1" si="86"/>
        <v>0</v>
      </c>
      <c r="CH13" s="260">
        <f t="shared" ca="1" si="51"/>
        <v>0</v>
      </c>
      <c r="CI13" s="260">
        <f t="shared" ca="1" si="52"/>
        <v>0</v>
      </c>
      <c r="CJ13" s="260">
        <f t="shared" ca="1" si="87"/>
        <v>0</v>
      </c>
      <c r="CK13" s="260">
        <f t="shared" ca="1" si="88"/>
        <v>0</v>
      </c>
      <c r="CL13" s="260">
        <f t="shared" ca="1" si="53"/>
        <v>0</v>
      </c>
      <c r="CM13" s="260">
        <f t="shared" ca="1" si="54"/>
        <v>0</v>
      </c>
      <c r="CN13" s="260">
        <f t="shared" ca="1" si="55"/>
        <v>0</v>
      </c>
      <c r="CO13" s="260">
        <f t="shared" ca="1" si="56"/>
        <v>0</v>
      </c>
      <c r="CP13" s="260">
        <f t="shared" ca="1" si="89"/>
        <v>0</v>
      </c>
      <c r="CQ13" s="260">
        <f t="shared" ca="1" si="90"/>
        <v>0</v>
      </c>
      <c r="CR13" s="260">
        <f t="shared" ca="1" si="91"/>
        <v>0</v>
      </c>
      <c r="CS13" s="260">
        <f t="shared" ca="1" si="92"/>
        <v>0</v>
      </c>
      <c r="CT13" s="260">
        <f t="shared" ca="1" si="57"/>
        <v>0</v>
      </c>
      <c r="CU13" s="260">
        <f t="shared" ca="1" si="58"/>
        <v>0</v>
      </c>
      <c r="CV13" s="260">
        <f t="shared" ca="1" si="59"/>
        <v>0</v>
      </c>
      <c r="CW13" s="260">
        <f t="shared" ca="1" si="60"/>
        <v>0</v>
      </c>
      <c r="CX13" s="260">
        <f t="shared" ca="1" si="93"/>
        <v>0</v>
      </c>
      <c r="CY13" s="260">
        <f t="shared" ca="1" si="94"/>
        <v>0</v>
      </c>
      <c r="CZ13" s="260">
        <f t="shared" ca="1" si="95"/>
        <v>0</v>
      </c>
      <c r="DA13" s="260">
        <f t="shared" ca="1" si="96"/>
        <v>0</v>
      </c>
    </row>
    <row r="14" spans="1:105" s="257" customFormat="1" ht="15" customHeight="1">
      <c r="A14" s="60">
        <f t="array" aca="1" ref="A14" ca="1">IF(C14&lt;&gt;0,SUM(($C$11:C14&lt;&gt;0)*1),"")</f>
        <v>4</v>
      </c>
      <c r="B14" s="258" t="str">
        <f ca="1">IF(ROWS($1:4)&gt;COUNT(Dong6),"",OFFSET(TH!C$1,SMALL(Dong6,ROWS($1:4)),))</f>
        <v/>
      </c>
      <c r="C14" s="258" t="str">
        <f ca="1">IF(ROWS($1:4)&gt;COUNT(Dong6),"",OFFSET(TH!D$1,SMALL(Dong6,ROWS($1:4)),))</f>
        <v/>
      </c>
      <c r="D14" s="258" t="str">
        <f ca="1">IF(ROWS($1:4)&gt;COUNT(Dong6),"",OFFSET(TH!E$1,SMALL(Dong6,ROWS($1:4)),))</f>
        <v/>
      </c>
      <c r="E14" s="308" t="str">
        <f ca="1">IF(ROWS($1:4)&gt;COUNT(Dong6),"",OFFSET(TH!F$1,SMALL(Dong6,ROWS($1:4)),))</f>
        <v/>
      </c>
      <c r="F14" s="309" t="str">
        <f ca="1">IF(ROWS($1:4)&gt;COUNT(Dong6),"",OFFSET(TH!M$1,SMALL(Dong6,ROWS($1:4)),))</f>
        <v/>
      </c>
      <c r="G14" s="310" t="str">
        <f ca="1">IF(ROWS($1:4)&gt;COUNT(Dong6),"",OFFSET(TH!N$1,SMALL(Dong6,ROWS($1:4)),))</f>
        <v/>
      </c>
      <c r="H14" s="310" t="str">
        <f ca="1">IF(ROWS($1:4)&gt;COUNT(Dong6),"",OFFSET(TH!O$1,SMALL(Dong6,ROWS($1:4)),))</f>
        <v/>
      </c>
      <c r="I14" s="60">
        <f t="shared" ca="1" si="0"/>
        <v>4</v>
      </c>
      <c r="J14" s="260">
        <f t="shared" ca="1" si="61"/>
        <v>0</v>
      </c>
      <c r="K14" s="260">
        <f t="shared" ca="1" si="62"/>
        <v>0</v>
      </c>
      <c r="L14" s="260">
        <f t="shared" ca="1" si="1"/>
        <v>0</v>
      </c>
      <c r="M14" s="260">
        <f t="shared" ca="1" si="2"/>
        <v>0</v>
      </c>
      <c r="N14" s="260">
        <f t="shared" ca="1" si="3"/>
        <v>0</v>
      </c>
      <c r="O14" s="260">
        <f t="shared" ca="1" si="4"/>
        <v>0</v>
      </c>
      <c r="P14" s="260">
        <f t="shared" ca="1" si="5"/>
        <v>0</v>
      </c>
      <c r="Q14" s="260">
        <f t="shared" ca="1" si="6"/>
        <v>0</v>
      </c>
      <c r="R14" s="260">
        <f t="shared" ca="1" si="7"/>
        <v>0</v>
      </c>
      <c r="S14" s="260">
        <f t="shared" ca="1" si="8"/>
        <v>0</v>
      </c>
      <c r="T14" s="260">
        <f t="shared" ca="1" si="9"/>
        <v>0</v>
      </c>
      <c r="U14" s="260">
        <f t="shared" ca="1" si="10"/>
        <v>0</v>
      </c>
      <c r="V14" s="260">
        <f t="shared" ca="1" si="11"/>
        <v>0</v>
      </c>
      <c r="W14" s="260">
        <f t="shared" ca="1" si="12"/>
        <v>0</v>
      </c>
      <c r="X14" s="260">
        <f t="shared" ca="1" si="13"/>
        <v>0</v>
      </c>
      <c r="Y14" s="260">
        <f t="shared" ca="1" si="14"/>
        <v>0</v>
      </c>
      <c r="Z14" s="260">
        <f t="shared" ca="1" si="15"/>
        <v>0</v>
      </c>
      <c r="AA14" s="260">
        <f t="shared" ca="1" si="16"/>
        <v>0</v>
      </c>
      <c r="AB14" s="260">
        <f t="shared" ca="1" si="63"/>
        <v>0</v>
      </c>
      <c r="AC14" s="260">
        <f t="shared" ca="1" si="64"/>
        <v>0</v>
      </c>
      <c r="AD14" s="260">
        <f t="shared" ca="1" si="17"/>
        <v>0</v>
      </c>
      <c r="AE14" s="260">
        <f t="shared" ca="1" si="18"/>
        <v>0</v>
      </c>
      <c r="AF14" s="260">
        <f t="shared" ca="1" si="19"/>
        <v>0</v>
      </c>
      <c r="AG14" s="260">
        <f t="shared" ca="1" si="20"/>
        <v>0</v>
      </c>
      <c r="AH14" s="260">
        <f t="shared" ca="1" si="65"/>
        <v>0</v>
      </c>
      <c r="AI14" s="260">
        <f t="shared" ca="1" si="66"/>
        <v>0</v>
      </c>
      <c r="AJ14" s="260">
        <f t="shared" ca="1" si="67"/>
        <v>0</v>
      </c>
      <c r="AK14" s="260">
        <f t="shared" ca="1" si="68"/>
        <v>0</v>
      </c>
      <c r="AL14" s="260">
        <f t="shared" ca="1" si="69"/>
        <v>0</v>
      </c>
      <c r="AM14" s="260">
        <f t="shared" ca="1" si="70"/>
        <v>0</v>
      </c>
      <c r="AN14" s="260">
        <f t="shared" ca="1" si="71"/>
        <v>0</v>
      </c>
      <c r="AO14" s="260">
        <f t="shared" ca="1" si="72"/>
        <v>0</v>
      </c>
      <c r="AP14" s="260">
        <f t="shared" ca="1" si="21"/>
        <v>0</v>
      </c>
      <c r="AQ14" s="260">
        <f t="shared" ca="1" si="22"/>
        <v>0</v>
      </c>
      <c r="AR14" s="260">
        <f t="shared" ca="1" si="23"/>
        <v>0</v>
      </c>
      <c r="AS14" s="260">
        <f t="shared" ca="1" si="24"/>
        <v>0</v>
      </c>
      <c r="AT14" s="260">
        <f t="shared" ca="1" si="73"/>
        <v>0</v>
      </c>
      <c r="AU14" s="260">
        <f t="shared" ca="1" si="74"/>
        <v>0</v>
      </c>
      <c r="AV14" s="260">
        <f t="shared" ca="1" si="25"/>
        <v>0</v>
      </c>
      <c r="AW14" s="260">
        <f t="shared" ca="1" si="26"/>
        <v>0</v>
      </c>
      <c r="AX14" s="260">
        <f t="shared" ca="1" si="27"/>
        <v>0</v>
      </c>
      <c r="AY14" s="260">
        <f t="shared" ca="1" si="28"/>
        <v>0</v>
      </c>
      <c r="AZ14" s="260">
        <f t="shared" ca="1" si="29"/>
        <v>0</v>
      </c>
      <c r="BA14" s="260">
        <f t="shared" ca="1" si="30"/>
        <v>0</v>
      </c>
      <c r="BB14" s="260">
        <f t="shared" ca="1" si="31"/>
        <v>0</v>
      </c>
      <c r="BC14" s="260">
        <f t="shared" ca="1" si="32"/>
        <v>0</v>
      </c>
      <c r="BD14" s="260">
        <f t="shared" ca="1" si="33"/>
        <v>0</v>
      </c>
      <c r="BE14" s="260">
        <f t="shared" ca="1" si="34"/>
        <v>0</v>
      </c>
      <c r="BF14" s="260">
        <f t="shared" ca="1" si="35"/>
        <v>0</v>
      </c>
      <c r="BG14" s="260">
        <f t="shared" ca="1" si="36"/>
        <v>0</v>
      </c>
      <c r="BH14" s="260">
        <f t="shared" ca="1" si="75"/>
        <v>0</v>
      </c>
      <c r="BI14" s="260">
        <f t="shared" ca="1" si="76"/>
        <v>0</v>
      </c>
      <c r="BJ14" s="260">
        <f t="shared" ca="1" si="37"/>
        <v>0</v>
      </c>
      <c r="BK14" s="260">
        <f t="shared" ca="1" si="38"/>
        <v>0</v>
      </c>
      <c r="BL14" s="260">
        <f t="shared" ca="1" si="39"/>
        <v>0</v>
      </c>
      <c r="BM14" s="260">
        <f t="shared" ca="1" si="40"/>
        <v>0</v>
      </c>
      <c r="BN14" s="260">
        <f t="shared" ca="1" si="41"/>
        <v>0</v>
      </c>
      <c r="BO14" s="260">
        <f t="shared" ca="1" si="42"/>
        <v>0</v>
      </c>
      <c r="BP14" s="260">
        <f t="shared" ca="1" si="77"/>
        <v>0</v>
      </c>
      <c r="BQ14" s="260">
        <f t="shared" ca="1" si="78"/>
        <v>0</v>
      </c>
      <c r="BR14" s="260">
        <f t="shared" ca="1" si="43"/>
        <v>0</v>
      </c>
      <c r="BS14" s="260">
        <f t="shared" ca="1" si="44"/>
        <v>0</v>
      </c>
      <c r="BT14" s="260">
        <f t="shared" ca="1" si="79"/>
        <v>0</v>
      </c>
      <c r="BU14" s="260">
        <f t="shared" ca="1" si="80"/>
        <v>0</v>
      </c>
      <c r="BV14" s="260">
        <f t="shared" ca="1" si="81"/>
        <v>0</v>
      </c>
      <c r="BW14" s="260">
        <f t="shared" ca="1" si="82"/>
        <v>0</v>
      </c>
      <c r="BX14" s="260">
        <f t="shared" ca="1" si="45"/>
        <v>0</v>
      </c>
      <c r="BY14" s="260">
        <f t="shared" ca="1" si="46"/>
        <v>0</v>
      </c>
      <c r="BZ14" s="260">
        <f t="shared" ca="1" si="47"/>
        <v>0</v>
      </c>
      <c r="CA14" s="260">
        <f t="shared" ca="1" si="48"/>
        <v>0</v>
      </c>
      <c r="CB14" s="260">
        <f t="shared" ca="1" si="49"/>
        <v>0</v>
      </c>
      <c r="CC14" s="260">
        <f t="shared" ca="1" si="50"/>
        <v>0</v>
      </c>
      <c r="CD14" s="260">
        <f t="shared" ca="1" si="83"/>
        <v>0</v>
      </c>
      <c r="CE14" s="260">
        <f t="shared" ca="1" si="84"/>
        <v>0</v>
      </c>
      <c r="CF14" s="260">
        <f t="shared" ca="1" si="85"/>
        <v>0</v>
      </c>
      <c r="CG14" s="260">
        <f t="shared" ca="1" si="86"/>
        <v>0</v>
      </c>
      <c r="CH14" s="260">
        <f t="shared" ca="1" si="51"/>
        <v>0</v>
      </c>
      <c r="CI14" s="260">
        <f t="shared" ca="1" si="52"/>
        <v>0</v>
      </c>
      <c r="CJ14" s="260">
        <f t="shared" ca="1" si="87"/>
        <v>0</v>
      </c>
      <c r="CK14" s="260">
        <f t="shared" ca="1" si="88"/>
        <v>0</v>
      </c>
      <c r="CL14" s="260">
        <f t="shared" ca="1" si="53"/>
        <v>0</v>
      </c>
      <c r="CM14" s="260">
        <f t="shared" ca="1" si="54"/>
        <v>0</v>
      </c>
      <c r="CN14" s="260">
        <f t="shared" ca="1" si="55"/>
        <v>0</v>
      </c>
      <c r="CO14" s="260">
        <f t="shared" ca="1" si="56"/>
        <v>0</v>
      </c>
      <c r="CP14" s="260">
        <f t="shared" ca="1" si="89"/>
        <v>0</v>
      </c>
      <c r="CQ14" s="260">
        <f t="shared" ca="1" si="90"/>
        <v>0</v>
      </c>
      <c r="CR14" s="260">
        <f t="shared" ca="1" si="91"/>
        <v>0</v>
      </c>
      <c r="CS14" s="260">
        <f t="shared" ca="1" si="92"/>
        <v>0</v>
      </c>
      <c r="CT14" s="260">
        <f t="shared" ca="1" si="57"/>
        <v>0</v>
      </c>
      <c r="CU14" s="260">
        <f t="shared" ca="1" si="58"/>
        <v>0</v>
      </c>
      <c r="CV14" s="260">
        <f t="shared" ca="1" si="59"/>
        <v>0</v>
      </c>
      <c r="CW14" s="260">
        <f t="shared" ca="1" si="60"/>
        <v>0</v>
      </c>
      <c r="CX14" s="260">
        <f t="shared" ca="1" si="93"/>
        <v>0</v>
      </c>
      <c r="CY14" s="260">
        <f t="shared" ca="1" si="94"/>
        <v>0</v>
      </c>
      <c r="CZ14" s="260">
        <f t="shared" ca="1" si="95"/>
        <v>0</v>
      </c>
      <c r="DA14" s="260">
        <f t="shared" ca="1" si="96"/>
        <v>0</v>
      </c>
    </row>
    <row r="15" spans="1:105" s="257" customFormat="1" ht="15" customHeight="1">
      <c r="A15" s="60">
        <f t="array" aca="1" ref="A15" ca="1">IF(C15&lt;&gt;0,SUM(($C$11:C15&lt;&gt;0)*1),"")</f>
        <v>5</v>
      </c>
      <c r="B15" s="258" t="str">
        <f ca="1">IF(ROWS($1:5)&gt;COUNT(Dong6),"",OFFSET(TH!C$1,SMALL(Dong6,ROWS($1:5)),))</f>
        <v/>
      </c>
      <c r="C15" s="258" t="str">
        <f ca="1">IF(ROWS($1:5)&gt;COUNT(Dong6),"",OFFSET(TH!D$1,SMALL(Dong6,ROWS($1:5)),))</f>
        <v/>
      </c>
      <c r="D15" s="258" t="str">
        <f ca="1">IF(ROWS($1:5)&gt;COUNT(Dong6),"",OFFSET(TH!E$1,SMALL(Dong6,ROWS($1:5)),))</f>
        <v/>
      </c>
      <c r="E15" s="308" t="str">
        <f ca="1">IF(ROWS($1:5)&gt;COUNT(Dong6),"",OFFSET(TH!F$1,SMALL(Dong6,ROWS($1:5)),))</f>
        <v/>
      </c>
      <c r="F15" s="309" t="str">
        <f ca="1">IF(ROWS($1:5)&gt;COUNT(Dong6),"",OFFSET(TH!M$1,SMALL(Dong6,ROWS($1:5)),))</f>
        <v/>
      </c>
      <c r="G15" s="310" t="str">
        <f ca="1">IF(ROWS($1:5)&gt;COUNT(Dong6),"",OFFSET(TH!N$1,SMALL(Dong6,ROWS($1:5)),))</f>
        <v/>
      </c>
      <c r="H15" s="310" t="str">
        <f ca="1">IF(ROWS($1:5)&gt;COUNT(Dong6),"",OFFSET(TH!O$1,SMALL(Dong6,ROWS($1:5)),))</f>
        <v/>
      </c>
      <c r="I15" s="60">
        <f t="shared" ca="1" si="0"/>
        <v>5</v>
      </c>
      <c r="J15" s="260">
        <f t="shared" ca="1" si="61"/>
        <v>0</v>
      </c>
      <c r="K15" s="260">
        <f t="shared" ca="1" si="62"/>
        <v>0</v>
      </c>
      <c r="L15" s="260">
        <f t="shared" ca="1" si="1"/>
        <v>0</v>
      </c>
      <c r="M15" s="260">
        <f t="shared" ca="1" si="2"/>
        <v>0</v>
      </c>
      <c r="N15" s="260">
        <f t="shared" ca="1" si="3"/>
        <v>0</v>
      </c>
      <c r="O15" s="260">
        <f t="shared" ca="1" si="4"/>
        <v>0</v>
      </c>
      <c r="P15" s="260">
        <f t="shared" ca="1" si="5"/>
        <v>0</v>
      </c>
      <c r="Q15" s="260">
        <f t="shared" ca="1" si="6"/>
        <v>0</v>
      </c>
      <c r="R15" s="260">
        <f t="shared" ca="1" si="7"/>
        <v>0</v>
      </c>
      <c r="S15" s="260">
        <f t="shared" ca="1" si="8"/>
        <v>0</v>
      </c>
      <c r="T15" s="260">
        <f t="shared" ca="1" si="9"/>
        <v>0</v>
      </c>
      <c r="U15" s="260">
        <f t="shared" ca="1" si="10"/>
        <v>0</v>
      </c>
      <c r="V15" s="260">
        <f t="shared" ca="1" si="11"/>
        <v>0</v>
      </c>
      <c r="W15" s="260">
        <f t="shared" ca="1" si="12"/>
        <v>0</v>
      </c>
      <c r="X15" s="260">
        <f t="shared" ca="1" si="13"/>
        <v>0</v>
      </c>
      <c r="Y15" s="260">
        <f t="shared" ca="1" si="14"/>
        <v>0</v>
      </c>
      <c r="Z15" s="260">
        <f t="shared" ca="1" si="15"/>
        <v>0</v>
      </c>
      <c r="AA15" s="260">
        <f t="shared" ca="1" si="16"/>
        <v>0</v>
      </c>
      <c r="AB15" s="260">
        <f t="shared" ca="1" si="63"/>
        <v>0</v>
      </c>
      <c r="AC15" s="260">
        <f t="shared" ca="1" si="64"/>
        <v>0</v>
      </c>
      <c r="AD15" s="260">
        <f t="shared" ca="1" si="17"/>
        <v>0</v>
      </c>
      <c r="AE15" s="260">
        <f t="shared" ca="1" si="18"/>
        <v>0</v>
      </c>
      <c r="AF15" s="260">
        <f t="shared" ca="1" si="19"/>
        <v>0</v>
      </c>
      <c r="AG15" s="260">
        <f t="shared" ca="1" si="20"/>
        <v>0</v>
      </c>
      <c r="AH15" s="260">
        <f t="shared" ca="1" si="65"/>
        <v>0</v>
      </c>
      <c r="AI15" s="260">
        <f t="shared" ca="1" si="66"/>
        <v>0</v>
      </c>
      <c r="AJ15" s="260">
        <f t="shared" ca="1" si="67"/>
        <v>0</v>
      </c>
      <c r="AK15" s="260">
        <f t="shared" ca="1" si="68"/>
        <v>0</v>
      </c>
      <c r="AL15" s="260">
        <f t="shared" ca="1" si="69"/>
        <v>0</v>
      </c>
      <c r="AM15" s="260">
        <f t="shared" ca="1" si="70"/>
        <v>0</v>
      </c>
      <c r="AN15" s="260">
        <f t="shared" ca="1" si="71"/>
        <v>0</v>
      </c>
      <c r="AO15" s="260">
        <f t="shared" ca="1" si="72"/>
        <v>0</v>
      </c>
      <c r="AP15" s="260">
        <f t="shared" ca="1" si="21"/>
        <v>0</v>
      </c>
      <c r="AQ15" s="260">
        <f t="shared" ca="1" si="22"/>
        <v>0</v>
      </c>
      <c r="AR15" s="260">
        <f t="shared" ca="1" si="23"/>
        <v>0</v>
      </c>
      <c r="AS15" s="260">
        <f t="shared" ca="1" si="24"/>
        <v>0</v>
      </c>
      <c r="AT15" s="260">
        <f t="shared" ca="1" si="73"/>
        <v>0</v>
      </c>
      <c r="AU15" s="260">
        <f t="shared" ca="1" si="74"/>
        <v>0</v>
      </c>
      <c r="AV15" s="260">
        <f t="shared" ca="1" si="25"/>
        <v>0</v>
      </c>
      <c r="AW15" s="260">
        <f t="shared" ca="1" si="26"/>
        <v>0</v>
      </c>
      <c r="AX15" s="260">
        <f t="shared" ca="1" si="27"/>
        <v>0</v>
      </c>
      <c r="AY15" s="260">
        <f t="shared" ca="1" si="28"/>
        <v>0</v>
      </c>
      <c r="AZ15" s="260">
        <f t="shared" ca="1" si="29"/>
        <v>0</v>
      </c>
      <c r="BA15" s="260">
        <f t="shared" ca="1" si="30"/>
        <v>0</v>
      </c>
      <c r="BB15" s="260">
        <f t="shared" ca="1" si="31"/>
        <v>0</v>
      </c>
      <c r="BC15" s="260">
        <f t="shared" ca="1" si="32"/>
        <v>0</v>
      </c>
      <c r="BD15" s="260">
        <f t="shared" ca="1" si="33"/>
        <v>0</v>
      </c>
      <c r="BE15" s="260">
        <f t="shared" ca="1" si="34"/>
        <v>0</v>
      </c>
      <c r="BF15" s="260">
        <f t="shared" ca="1" si="35"/>
        <v>0</v>
      </c>
      <c r="BG15" s="260">
        <f t="shared" ca="1" si="36"/>
        <v>0</v>
      </c>
      <c r="BH15" s="260">
        <f t="shared" ca="1" si="75"/>
        <v>0</v>
      </c>
      <c r="BI15" s="260">
        <f t="shared" ca="1" si="76"/>
        <v>0</v>
      </c>
      <c r="BJ15" s="260">
        <f t="shared" ca="1" si="37"/>
        <v>0</v>
      </c>
      <c r="BK15" s="260">
        <f t="shared" ca="1" si="38"/>
        <v>0</v>
      </c>
      <c r="BL15" s="260">
        <f t="shared" ca="1" si="39"/>
        <v>0</v>
      </c>
      <c r="BM15" s="260">
        <f t="shared" ca="1" si="40"/>
        <v>0</v>
      </c>
      <c r="BN15" s="260">
        <f t="shared" ca="1" si="41"/>
        <v>0</v>
      </c>
      <c r="BO15" s="260">
        <f t="shared" ca="1" si="42"/>
        <v>0</v>
      </c>
      <c r="BP15" s="260">
        <f t="shared" ca="1" si="77"/>
        <v>0</v>
      </c>
      <c r="BQ15" s="260">
        <f t="shared" ca="1" si="78"/>
        <v>0</v>
      </c>
      <c r="BR15" s="260">
        <f t="shared" ca="1" si="43"/>
        <v>0</v>
      </c>
      <c r="BS15" s="260">
        <f t="shared" ca="1" si="44"/>
        <v>0</v>
      </c>
      <c r="BT15" s="260">
        <f t="shared" ca="1" si="79"/>
        <v>0</v>
      </c>
      <c r="BU15" s="260">
        <f t="shared" ca="1" si="80"/>
        <v>0</v>
      </c>
      <c r="BV15" s="260">
        <f t="shared" ca="1" si="81"/>
        <v>0</v>
      </c>
      <c r="BW15" s="260">
        <f t="shared" ca="1" si="82"/>
        <v>0</v>
      </c>
      <c r="BX15" s="260">
        <f t="shared" ca="1" si="45"/>
        <v>0</v>
      </c>
      <c r="BY15" s="260">
        <f t="shared" ca="1" si="46"/>
        <v>0</v>
      </c>
      <c r="BZ15" s="260">
        <f t="shared" ca="1" si="47"/>
        <v>0</v>
      </c>
      <c r="CA15" s="260">
        <f t="shared" ca="1" si="48"/>
        <v>0</v>
      </c>
      <c r="CB15" s="260">
        <f t="shared" ca="1" si="49"/>
        <v>0</v>
      </c>
      <c r="CC15" s="260">
        <f t="shared" ca="1" si="50"/>
        <v>0</v>
      </c>
      <c r="CD15" s="260">
        <f t="shared" ca="1" si="83"/>
        <v>0</v>
      </c>
      <c r="CE15" s="260">
        <f t="shared" ca="1" si="84"/>
        <v>0</v>
      </c>
      <c r="CF15" s="260">
        <f t="shared" ca="1" si="85"/>
        <v>0</v>
      </c>
      <c r="CG15" s="260">
        <f t="shared" ca="1" si="86"/>
        <v>0</v>
      </c>
      <c r="CH15" s="260">
        <f t="shared" ca="1" si="51"/>
        <v>0</v>
      </c>
      <c r="CI15" s="260">
        <f t="shared" ca="1" si="52"/>
        <v>0</v>
      </c>
      <c r="CJ15" s="260">
        <f t="shared" ca="1" si="87"/>
        <v>0</v>
      </c>
      <c r="CK15" s="260">
        <f t="shared" ca="1" si="88"/>
        <v>0</v>
      </c>
      <c r="CL15" s="260">
        <f t="shared" ca="1" si="53"/>
        <v>0</v>
      </c>
      <c r="CM15" s="260">
        <f t="shared" ca="1" si="54"/>
        <v>0</v>
      </c>
      <c r="CN15" s="260">
        <f t="shared" ca="1" si="55"/>
        <v>0</v>
      </c>
      <c r="CO15" s="260">
        <f t="shared" ca="1" si="56"/>
        <v>0</v>
      </c>
      <c r="CP15" s="260">
        <f t="shared" ca="1" si="89"/>
        <v>0</v>
      </c>
      <c r="CQ15" s="260">
        <f t="shared" ca="1" si="90"/>
        <v>0</v>
      </c>
      <c r="CR15" s="260">
        <f t="shared" ca="1" si="91"/>
        <v>0</v>
      </c>
      <c r="CS15" s="260">
        <f t="shared" ca="1" si="92"/>
        <v>0</v>
      </c>
      <c r="CT15" s="260">
        <f t="shared" ca="1" si="57"/>
        <v>0</v>
      </c>
      <c r="CU15" s="260">
        <f t="shared" ca="1" si="58"/>
        <v>0</v>
      </c>
      <c r="CV15" s="260">
        <f t="shared" ca="1" si="59"/>
        <v>0</v>
      </c>
      <c r="CW15" s="260">
        <f t="shared" ca="1" si="60"/>
        <v>0</v>
      </c>
      <c r="CX15" s="260">
        <f t="shared" ca="1" si="93"/>
        <v>0</v>
      </c>
      <c r="CY15" s="260">
        <f t="shared" ca="1" si="94"/>
        <v>0</v>
      </c>
      <c r="CZ15" s="260">
        <f t="shared" ca="1" si="95"/>
        <v>0</v>
      </c>
      <c r="DA15" s="260">
        <f t="shared" ca="1" si="96"/>
        <v>0</v>
      </c>
    </row>
    <row r="16" spans="1:105" s="257" customFormat="1" ht="15" customHeight="1">
      <c r="A16" s="60">
        <f t="array" aca="1" ref="A16" ca="1">IF(C16&lt;&gt;0,SUM(($C$11:C16&lt;&gt;0)*1),"")</f>
        <v>6</v>
      </c>
      <c r="B16" s="258" t="str">
        <f ca="1">IF(ROWS($1:6)&gt;COUNT(Dong6),"",OFFSET(TH!C$1,SMALL(Dong6,ROWS($1:6)),))</f>
        <v/>
      </c>
      <c r="C16" s="258" t="str">
        <f ca="1">IF(ROWS($1:6)&gt;COUNT(Dong6),"",OFFSET(TH!D$1,SMALL(Dong6,ROWS($1:6)),))</f>
        <v/>
      </c>
      <c r="D16" s="258" t="str">
        <f ca="1">IF(ROWS($1:6)&gt;COUNT(Dong6),"",OFFSET(TH!E$1,SMALL(Dong6,ROWS($1:6)),))</f>
        <v/>
      </c>
      <c r="E16" s="308" t="str">
        <f ca="1">IF(ROWS($1:6)&gt;COUNT(Dong6),"",OFFSET(TH!F$1,SMALL(Dong6,ROWS($1:6)),))</f>
        <v/>
      </c>
      <c r="F16" s="309" t="str">
        <f ca="1">IF(ROWS($1:6)&gt;COUNT(Dong6),"",OFFSET(TH!M$1,SMALL(Dong6,ROWS($1:6)),))</f>
        <v/>
      </c>
      <c r="G16" s="310" t="str">
        <f ca="1">IF(ROWS($1:6)&gt;COUNT(Dong6),"",OFFSET(TH!N$1,SMALL(Dong6,ROWS($1:6)),))</f>
        <v/>
      </c>
      <c r="H16" s="310" t="str">
        <f ca="1">IF(ROWS($1:6)&gt;COUNT(Dong6),"",OFFSET(TH!O$1,SMALL(Dong6,ROWS($1:6)),))</f>
        <v/>
      </c>
      <c r="I16" s="60">
        <f t="shared" ca="1" si="0"/>
        <v>6</v>
      </c>
      <c r="J16" s="260">
        <f t="shared" ca="1" si="61"/>
        <v>0</v>
      </c>
      <c r="K16" s="260">
        <f t="shared" ca="1" si="62"/>
        <v>0</v>
      </c>
      <c r="L16" s="260">
        <f t="shared" ca="1" si="1"/>
        <v>0</v>
      </c>
      <c r="M16" s="260">
        <f t="shared" ca="1" si="2"/>
        <v>0</v>
      </c>
      <c r="N16" s="260">
        <f t="shared" ca="1" si="3"/>
        <v>0</v>
      </c>
      <c r="O16" s="260">
        <f t="shared" ca="1" si="4"/>
        <v>0</v>
      </c>
      <c r="P16" s="260">
        <f t="shared" ca="1" si="5"/>
        <v>0</v>
      </c>
      <c r="Q16" s="260">
        <f t="shared" ca="1" si="6"/>
        <v>0</v>
      </c>
      <c r="R16" s="260">
        <f t="shared" ca="1" si="7"/>
        <v>0</v>
      </c>
      <c r="S16" s="260">
        <f t="shared" ca="1" si="8"/>
        <v>0</v>
      </c>
      <c r="T16" s="260">
        <f t="shared" ca="1" si="9"/>
        <v>0</v>
      </c>
      <c r="U16" s="260">
        <f t="shared" ca="1" si="10"/>
        <v>0</v>
      </c>
      <c r="V16" s="260">
        <f t="shared" ca="1" si="11"/>
        <v>0</v>
      </c>
      <c r="W16" s="260">
        <f t="shared" ca="1" si="12"/>
        <v>0</v>
      </c>
      <c r="X16" s="260">
        <f t="shared" ca="1" si="13"/>
        <v>0</v>
      </c>
      <c r="Y16" s="260">
        <f t="shared" ca="1" si="14"/>
        <v>0</v>
      </c>
      <c r="Z16" s="260">
        <f t="shared" ca="1" si="15"/>
        <v>0</v>
      </c>
      <c r="AA16" s="260">
        <f t="shared" ca="1" si="16"/>
        <v>0</v>
      </c>
      <c r="AB16" s="260">
        <f t="shared" ca="1" si="63"/>
        <v>0</v>
      </c>
      <c r="AC16" s="260">
        <f t="shared" ca="1" si="64"/>
        <v>0</v>
      </c>
      <c r="AD16" s="260">
        <f t="shared" ca="1" si="17"/>
        <v>0</v>
      </c>
      <c r="AE16" s="260">
        <f t="shared" ca="1" si="18"/>
        <v>0</v>
      </c>
      <c r="AF16" s="260">
        <f t="shared" ca="1" si="19"/>
        <v>0</v>
      </c>
      <c r="AG16" s="260">
        <f t="shared" ca="1" si="20"/>
        <v>0</v>
      </c>
      <c r="AH16" s="260">
        <f t="shared" ca="1" si="65"/>
        <v>0</v>
      </c>
      <c r="AI16" s="260">
        <f t="shared" ca="1" si="66"/>
        <v>0</v>
      </c>
      <c r="AJ16" s="260">
        <f t="shared" ca="1" si="67"/>
        <v>0</v>
      </c>
      <c r="AK16" s="260">
        <f t="shared" ca="1" si="68"/>
        <v>0</v>
      </c>
      <c r="AL16" s="260">
        <f t="shared" ca="1" si="69"/>
        <v>0</v>
      </c>
      <c r="AM16" s="260">
        <f t="shared" ca="1" si="70"/>
        <v>0</v>
      </c>
      <c r="AN16" s="260">
        <f t="shared" ca="1" si="71"/>
        <v>0</v>
      </c>
      <c r="AO16" s="260">
        <f t="shared" ca="1" si="72"/>
        <v>0</v>
      </c>
      <c r="AP16" s="260">
        <f t="shared" ca="1" si="21"/>
        <v>0</v>
      </c>
      <c r="AQ16" s="260">
        <f t="shared" ca="1" si="22"/>
        <v>0</v>
      </c>
      <c r="AR16" s="260">
        <f t="shared" ca="1" si="23"/>
        <v>0</v>
      </c>
      <c r="AS16" s="260">
        <f t="shared" ca="1" si="24"/>
        <v>0</v>
      </c>
      <c r="AT16" s="260">
        <f t="shared" ca="1" si="73"/>
        <v>0</v>
      </c>
      <c r="AU16" s="260">
        <f t="shared" ca="1" si="74"/>
        <v>0</v>
      </c>
      <c r="AV16" s="260">
        <f t="shared" ca="1" si="25"/>
        <v>0</v>
      </c>
      <c r="AW16" s="260">
        <f t="shared" ca="1" si="26"/>
        <v>0</v>
      </c>
      <c r="AX16" s="260">
        <f t="shared" ca="1" si="27"/>
        <v>0</v>
      </c>
      <c r="AY16" s="260">
        <f t="shared" ca="1" si="28"/>
        <v>0</v>
      </c>
      <c r="AZ16" s="260">
        <f t="shared" ca="1" si="29"/>
        <v>0</v>
      </c>
      <c r="BA16" s="260">
        <f t="shared" ca="1" si="30"/>
        <v>0</v>
      </c>
      <c r="BB16" s="260">
        <f t="shared" ca="1" si="31"/>
        <v>0</v>
      </c>
      <c r="BC16" s="260">
        <f t="shared" ca="1" si="32"/>
        <v>0</v>
      </c>
      <c r="BD16" s="260">
        <f t="shared" ca="1" si="33"/>
        <v>0</v>
      </c>
      <c r="BE16" s="260">
        <f t="shared" ca="1" si="34"/>
        <v>0</v>
      </c>
      <c r="BF16" s="260">
        <f t="shared" ca="1" si="35"/>
        <v>0</v>
      </c>
      <c r="BG16" s="260">
        <f t="shared" ca="1" si="36"/>
        <v>0</v>
      </c>
      <c r="BH16" s="260">
        <f t="shared" ca="1" si="75"/>
        <v>0</v>
      </c>
      <c r="BI16" s="260">
        <f t="shared" ca="1" si="76"/>
        <v>0</v>
      </c>
      <c r="BJ16" s="260">
        <f t="shared" ca="1" si="37"/>
        <v>0</v>
      </c>
      <c r="BK16" s="260">
        <f t="shared" ca="1" si="38"/>
        <v>0</v>
      </c>
      <c r="BL16" s="260">
        <f t="shared" ca="1" si="39"/>
        <v>0</v>
      </c>
      <c r="BM16" s="260">
        <f t="shared" ca="1" si="40"/>
        <v>0</v>
      </c>
      <c r="BN16" s="260">
        <f t="shared" ca="1" si="41"/>
        <v>0</v>
      </c>
      <c r="BO16" s="260">
        <f t="shared" ca="1" si="42"/>
        <v>0</v>
      </c>
      <c r="BP16" s="260">
        <f t="shared" ca="1" si="77"/>
        <v>0</v>
      </c>
      <c r="BQ16" s="260">
        <f t="shared" ca="1" si="78"/>
        <v>0</v>
      </c>
      <c r="BR16" s="260">
        <f t="shared" ca="1" si="43"/>
        <v>0</v>
      </c>
      <c r="BS16" s="260">
        <f t="shared" ca="1" si="44"/>
        <v>0</v>
      </c>
      <c r="BT16" s="260">
        <f t="shared" ca="1" si="79"/>
        <v>0</v>
      </c>
      <c r="BU16" s="260">
        <f t="shared" ca="1" si="80"/>
        <v>0</v>
      </c>
      <c r="BV16" s="260">
        <f t="shared" ca="1" si="81"/>
        <v>0</v>
      </c>
      <c r="BW16" s="260">
        <f t="shared" ca="1" si="82"/>
        <v>0</v>
      </c>
      <c r="BX16" s="260">
        <f t="shared" ca="1" si="45"/>
        <v>0</v>
      </c>
      <c r="BY16" s="260">
        <f t="shared" ca="1" si="46"/>
        <v>0</v>
      </c>
      <c r="BZ16" s="260">
        <f t="shared" ca="1" si="47"/>
        <v>0</v>
      </c>
      <c r="CA16" s="260">
        <f t="shared" ca="1" si="48"/>
        <v>0</v>
      </c>
      <c r="CB16" s="260">
        <f t="shared" ca="1" si="49"/>
        <v>0</v>
      </c>
      <c r="CC16" s="260">
        <f t="shared" ca="1" si="50"/>
        <v>0</v>
      </c>
      <c r="CD16" s="260">
        <f t="shared" ca="1" si="83"/>
        <v>0</v>
      </c>
      <c r="CE16" s="260">
        <f t="shared" ca="1" si="84"/>
        <v>0</v>
      </c>
      <c r="CF16" s="260">
        <f t="shared" ca="1" si="85"/>
        <v>0</v>
      </c>
      <c r="CG16" s="260">
        <f t="shared" ca="1" si="86"/>
        <v>0</v>
      </c>
      <c r="CH16" s="260">
        <f t="shared" ca="1" si="51"/>
        <v>0</v>
      </c>
      <c r="CI16" s="260">
        <f t="shared" ca="1" si="52"/>
        <v>0</v>
      </c>
      <c r="CJ16" s="260">
        <f t="shared" ca="1" si="87"/>
        <v>0</v>
      </c>
      <c r="CK16" s="260">
        <f t="shared" ca="1" si="88"/>
        <v>0</v>
      </c>
      <c r="CL16" s="260">
        <f t="shared" ca="1" si="53"/>
        <v>0</v>
      </c>
      <c r="CM16" s="260">
        <f t="shared" ca="1" si="54"/>
        <v>0</v>
      </c>
      <c r="CN16" s="260">
        <f t="shared" ca="1" si="55"/>
        <v>0</v>
      </c>
      <c r="CO16" s="260">
        <f t="shared" ca="1" si="56"/>
        <v>0</v>
      </c>
      <c r="CP16" s="260">
        <f t="shared" ca="1" si="89"/>
        <v>0</v>
      </c>
      <c r="CQ16" s="260">
        <f t="shared" ca="1" si="90"/>
        <v>0</v>
      </c>
      <c r="CR16" s="260">
        <f t="shared" ca="1" si="91"/>
        <v>0</v>
      </c>
      <c r="CS16" s="260">
        <f t="shared" ca="1" si="92"/>
        <v>0</v>
      </c>
      <c r="CT16" s="260">
        <f t="shared" ca="1" si="57"/>
        <v>0</v>
      </c>
      <c r="CU16" s="260">
        <f t="shared" ca="1" si="58"/>
        <v>0</v>
      </c>
      <c r="CV16" s="260">
        <f t="shared" ca="1" si="59"/>
        <v>0</v>
      </c>
      <c r="CW16" s="260">
        <f t="shared" ca="1" si="60"/>
        <v>0</v>
      </c>
      <c r="CX16" s="260">
        <f t="shared" ca="1" si="93"/>
        <v>0</v>
      </c>
      <c r="CY16" s="260">
        <f t="shared" ca="1" si="94"/>
        <v>0</v>
      </c>
      <c r="CZ16" s="260">
        <f t="shared" ca="1" si="95"/>
        <v>0</v>
      </c>
      <c r="DA16" s="260">
        <f t="shared" ca="1" si="96"/>
        <v>0</v>
      </c>
    </row>
    <row r="17" spans="1:105" s="257" customFormat="1" ht="15" customHeight="1">
      <c r="A17" s="60">
        <f t="array" aca="1" ref="A17" ca="1">IF(C17&lt;&gt;0,SUM(($C$11:C17&lt;&gt;0)*1),"")</f>
        <v>7</v>
      </c>
      <c r="B17" s="258" t="str">
        <f ca="1">IF(ROWS($1:7)&gt;COUNT(Dong6),"",OFFSET(TH!C$1,SMALL(Dong6,ROWS($1:7)),))</f>
        <v/>
      </c>
      <c r="C17" s="258" t="str">
        <f ca="1">IF(ROWS($1:7)&gt;COUNT(Dong6),"",OFFSET(TH!D$1,SMALL(Dong6,ROWS($1:7)),))</f>
        <v/>
      </c>
      <c r="D17" s="258" t="str">
        <f ca="1">IF(ROWS($1:7)&gt;COUNT(Dong6),"",OFFSET(TH!E$1,SMALL(Dong6,ROWS($1:7)),))</f>
        <v/>
      </c>
      <c r="E17" s="308" t="str">
        <f ca="1">IF(ROWS($1:7)&gt;COUNT(Dong6),"",OFFSET(TH!F$1,SMALL(Dong6,ROWS($1:7)),))</f>
        <v/>
      </c>
      <c r="F17" s="309" t="str">
        <f ca="1">IF(ROWS($1:7)&gt;COUNT(Dong6),"",OFFSET(TH!M$1,SMALL(Dong6,ROWS($1:7)),))</f>
        <v/>
      </c>
      <c r="G17" s="310" t="str">
        <f ca="1">IF(ROWS($1:7)&gt;COUNT(Dong6),"",OFFSET(TH!N$1,SMALL(Dong6,ROWS($1:7)),))</f>
        <v/>
      </c>
      <c r="H17" s="310" t="str">
        <f ca="1">IF(ROWS($1:7)&gt;COUNT(Dong6),"",OFFSET(TH!O$1,SMALL(Dong6,ROWS($1:7)),))</f>
        <v/>
      </c>
      <c r="I17" s="60">
        <f t="shared" ca="1" si="0"/>
        <v>7</v>
      </c>
      <c r="J17" s="260">
        <f t="shared" ca="1" si="61"/>
        <v>0</v>
      </c>
      <c r="K17" s="260">
        <f t="shared" ca="1" si="62"/>
        <v>0</v>
      </c>
      <c r="L17" s="260">
        <f t="shared" ca="1" si="1"/>
        <v>0</v>
      </c>
      <c r="M17" s="260">
        <f t="shared" ca="1" si="2"/>
        <v>0</v>
      </c>
      <c r="N17" s="260">
        <f t="shared" ca="1" si="3"/>
        <v>0</v>
      </c>
      <c r="O17" s="260">
        <f t="shared" ca="1" si="4"/>
        <v>0</v>
      </c>
      <c r="P17" s="260">
        <f t="shared" ca="1" si="5"/>
        <v>0</v>
      </c>
      <c r="Q17" s="260">
        <f t="shared" ca="1" si="6"/>
        <v>0</v>
      </c>
      <c r="R17" s="260">
        <f t="shared" ca="1" si="7"/>
        <v>0</v>
      </c>
      <c r="S17" s="260">
        <f t="shared" ca="1" si="8"/>
        <v>0</v>
      </c>
      <c r="T17" s="260">
        <f t="shared" ca="1" si="9"/>
        <v>0</v>
      </c>
      <c r="U17" s="260">
        <f t="shared" ca="1" si="10"/>
        <v>0</v>
      </c>
      <c r="V17" s="260">
        <f t="shared" ca="1" si="11"/>
        <v>0</v>
      </c>
      <c r="W17" s="260">
        <f t="shared" ca="1" si="12"/>
        <v>0</v>
      </c>
      <c r="X17" s="260">
        <f t="shared" ca="1" si="13"/>
        <v>0</v>
      </c>
      <c r="Y17" s="260">
        <f t="shared" ca="1" si="14"/>
        <v>0</v>
      </c>
      <c r="Z17" s="260">
        <f t="shared" ca="1" si="15"/>
        <v>0</v>
      </c>
      <c r="AA17" s="260">
        <f t="shared" ca="1" si="16"/>
        <v>0</v>
      </c>
      <c r="AB17" s="260">
        <f t="shared" ca="1" si="63"/>
        <v>0</v>
      </c>
      <c r="AC17" s="260">
        <f t="shared" ca="1" si="64"/>
        <v>0</v>
      </c>
      <c r="AD17" s="260">
        <f t="shared" ca="1" si="17"/>
        <v>0</v>
      </c>
      <c r="AE17" s="260">
        <f t="shared" ca="1" si="18"/>
        <v>0</v>
      </c>
      <c r="AF17" s="260">
        <f t="shared" ca="1" si="19"/>
        <v>0</v>
      </c>
      <c r="AG17" s="260">
        <f t="shared" ca="1" si="20"/>
        <v>0</v>
      </c>
      <c r="AH17" s="260">
        <f t="shared" ca="1" si="65"/>
        <v>0</v>
      </c>
      <c r="AI17" s="260">
        <f t="shared" ca="1" si="66"/>
        <v>0</v>
      </c>
      <c r="AJ17" s="260">
        <f t="shared" ca="1" si="67"/>
        <v>0</v>
      </c>
      <c r="AK17" s="260">
        <f t="shared" ca="1" si="68"/>
        <v>0</v>
      </c>
      <c r="AL17" s="260">
        <f t="shared" ca="1" si="69"/>
        <v>0</v>
      </c>
      <c r="AM17" s="260">
        <f t="shared" ca="1" si="70"/>
        <v>0</v>
      </c>
      <c r="AN17" s="260">
        <f t="shared" ca="1" si="71"/>
        <v>0</v>
      </c>
      <c r="AO17" s="260">
        <f t="shared" ca="1" si="72"/>
        <v>0</v>
      </c>
      <c r="AP17" s="260">
        <f t="shared" ca="1" si="21"/>
        <v>0</v>
      </c>
      <c r="AQ17" s="260">
        <f t="shared" ca="1" si="22"/>
        <v>0</v>
      </c>
      <c r="AR17" s="260">
        <f t="shared" ca="1" si="23"/>
        <v>0</v>
      </c>
      <c r="AS17" s="260">
        <f t="shared" ca="1" si="24"/>
        <v>0</v>
      </c>
      <c r="AT17" s="260">
        <f t="shared" ca="1" si="73"/>
        <v>0</v>
      </c>
      <c r="AU17" s="260">
        <f t="shared" ca="1" si="74"/>
        <v>0</v>
      </c>
      <c r="AV17" s="260">
        <f t="shared" ca="1" si="25"/>
        <v>0</v>
      </c>
      <c r="AW17" s="260">
        <f t="shared" ca="1" si="26"/>
        <v>0</v>
      </c>
      <c r="AX17" s="260">
        <f t="shared" ca="1" si="27"/>
        <v>0</v>
      </c>
      <c r="AY17" s="260">
        <f t="shared" ca="1" si="28"/>
        <v>0</v>
      </c>
      <c r="AZ17" s="260">
        <f t="shared" ca="1" si="29"/>
        <v>0</v>
      </c>
      <c r="BA17" s="260">
        <f t="shared" ca="1" si="30"/>
        <v>0</v>
      </c>
      <c r="BB17" s="260">
        <f t="shared" ca="1" si="31"/>
        <v>0</v>
      </c>
      <c r="BC17" s="260">
        <f t="shared" ca="1" si="32"/>
        <v>0</v>
      </c>
      <c r="BD17" s="260">
        <f t="shared" ca="1" si="33"/>
        <v>0</v>
      </c>
      <c r="BE17" s="260">
        <f t="shared" ca="1" si="34"/>
        <v>0</v>
      </c>
      <c r="BF17" s="260">
        <f t="shared" ca="1" si="35"/>
        <v>0</v>
      </c>
      <c r="BG17" s="260">
        <f t="shared" ca="1" si="36"/>
        <v>0</v>
      </c>
      <c r="BH17" s="260">
        <f t="shared" ca="1" si="75"/>
        <v>0</v>
      </c>
      <c r="BI17" s="260">
        <f t="shared" ca="1" si="76"/>
        <v>0</v>
      </c>
      <c r="BJ17" s="260">
        <f t="shared" ca="1" si="37"/>
        <v>0</v>
      </c>
      <c r="BK17" s="260">
        <f t="shared" ca="1" si="38"/>
        <v>0</v>
      </c>
      <c r="BL17" s="260">
        <f t="shared" ca="1" si="39"/>
        <v>0</v>
      </c>
      <c r="BM17" s="260">
        <f t="shared" ca="1" si="40"/>
        <v>0</v>
      </c>
      <c r="BN17" s="260">
        <f t="shared" ca="1" si="41"/>
        <v>0</v>
      </c>
      <c r="BO17" s="260">
        <f t="shared" ca="1" si="42"/>
        <v>0</v>
      </c>
      <c r="BP17" s="260">
        <f t="shared" ca="1" si="77"/>
        <v>0</v>
      </c>
      <c r="BQ17" s="260">
        <f t="shared" ca="1" si="78"/>
        <v>0</v>
      </c>
      <c r="BR17" s="260">
        <f t="shared" ca="1" si="43"/>
        <v>0</v>
      </c>
      <c r="BS17" s="260">
        <f t="shared" ca="1" si="44"/>
        <v>0</v>
      </c>
      <c r="BT17" s="260">
        <f t="shared" ca="1" si="79"/>
        <v>0</v>
      </c>
      <c r="BU17" s="260">
        <f t="shared" ca="1" si="80"/>
        <v>0</v>
      </c>
      <c r="BV17" s="260">
        <f t="shared" ca="1" si="81"/>
        <v>0</v>
      </c>
      <c r="BW17" s="260">
        <f t="shared" ca="1" si="82"/>
        <v>0</v>
      </c>
      <c r="BX17" s="260">
        <f t="shared" ca="1" si="45"/>
        <v>0</v>
      </c>
      <c r="BY17" s="260">
        <f t="shared" ca="1" si="46"/>
        <v>0</v>
      </c>
      <c r="BZ17" s="260">
        <f t="shared" ca="1" si="47"/>
        <v>0</v>
      </c>
      <c r="CA17" s="260">
        <f t="shared" ca="1" si="48"/>
        <v>0</v>
      </c>
      <c r="CB17" s="260">
        <f t="shared" ca="1" si="49"/>
        <v>0</v>
      </c>
      <c r="CC17" s="260">
        <f t="shared" ca="1" si="50"/>
        <v>0</v>
      </c>
      <c r="CD17" s="260">
        <f t="shared" ca="1" si="83"/>
        <v>0</v>
      </c>
      <c r="CE17" s="260">
        <f t="shared" ca="1" si="84"/>
        <v>0</v>
      </c>
      <c r="CF17" s="260">
        <f t="shared" ca="1" si="85"/>
        <v>0</v>
      </c>
      <c r="CG17" s="260">
        <f t="shared" ca="1" si="86"/>
        <v>0</v>
      </c>
      <c r="CH17" s="260">
        <f t="shared" ca="1" si="51"/>
        <v>0</v>
      </c>
      <c r="CI17" s="260">
        <f t="shared" ca="1" si="52"/>
        <v>0</v>
      </c>
      <c r="CJ17" s="260">
        <f t="shared" ca="1" si="87"/>
        <v>0</v>
      </c>
      <c r="CK17" s="260">
        <f t="shared" ca="1" si="88"/>
        <v>0</v>
      </c>
      <c r="CL17" s="260">
        <f t="shared" ca="1" si="53"/>
        <v>0</v>
      </c>
      <c r="CM17" s="260">
        <f t="shared" ca="1" si="54"/>
        <v>0</v>
      </c>
      <c r="CN17" s="260">
        <f t="shared" ca="1" si="55"/>
        <v>0</v>
      </c>
      <c r="CO17" s="260">
        <f t="shared" ca="1" si="56"/>
        <v>0</v>
      </c>
      <c r="CP17" s="260">
        <f t="shared" ca="1" si="89"/>
        <v>0</v>
      </c>
      <c r="CQ17" s="260">
        <f t="shared" ca="1" si="90"/>
        <v>0</v>
      </c>
      <c r="CR17" s="260">
        <f t="shared" ca="1" si="91"/>
        <v>0</v>
      </c>
      <c r="CS17" s="260">
        <f t="shared" ca="1" si="92"/>
        <v>0</v>
      </c>
      <c r="CT17" s="260">
        <f t="shared" ca="1" si="57"/>
        <v>0</v>
      </c>
      <c r="CU17" s="260">
        <f t="shared" ca="1" si="58"/>
        <v>0</v>
      </c>
      <c r="CV17" s="260">
        <f t="shared" ca="1" si="59"/>
        <v>0</v>
      </c>
      <c r="CW17" s="260">
        <f t="shared" ca="1" si="60"/>
        <v>0</v>
      </c>
      <c r="CX17" s="260">
        <f t="shared" ca="1" si="93"/>
        <v>0</v>
      </c>
      <c r="CY17" s="260">
        <f t="shared" ca="1" si="94"/>
        <v>0</v>
      </c>
      <c r="CZ17" s="260">
        <f t="shared" ca="1" si="95"/>
        <v>0</v>
      </c>
      <c r="DA17" s="260">
        <f t="shared" ca="1" si="96"/>
        <v>0</v>
      </c>
    </row>
    <row r="18" spans="1:105" s="257" customFormat="1" ht="15" customHeight="1">
      <c r="A18" s="60">
        <f t="array" aca="1" ref="A18" ca="1">IF(C18&lt;&gt;0,SUM(($C$11:C18&lt;&gt;0)*1),"")</f>
        <v>8</v>
      </c>
      <c r="B18" s="258" t="str">
        <f ca="1">IF(ROWS($1:8)&gt;COUNT(Dong6),"",OFFSET(TH!C$1,SMALL(Dong6,ROWS($1:8)),))</f>
        <v/>
      </c>
      <c r="C18" s="258" t="str">
        <f ca="1">IF(ROWS($1:8)&gt;COUNT(Dong6),"",OFFSET(TH!D$1,SMALL(Dong6,ROWS($1:8)),))</f>
        <v/>
      </c>
      <c r="D18" s="258" t="str">
        <f ca="1">IF(ROWS($1:8)&gt;COUNT(Dong6),"",OFFSET(TH!E$1,SMALL(Dong6,ROWS($1:8)),))</f>
        <v/>
      </c>
      <c r="E18" s="308" t="str">
        <f ca="1">IF(ROWS($1:8)&gt;COUNT(Dong6),"",OFFSET(TH!F$1,SMALL(Dong6,ROWS($1:8)),))</f>
        <v/>
      </c>
      <c r="F18" s="309" t="str">
        <f ca="1">IF(ROWS($1:8)&gt;COUNT(Dong6),"",OFFSET(TH!M$1,SMALL(Dong6,ROWS($1:8)),))</f>
        <v/>
      </c>
      <c r="G18" s="310" t="str">
        <f ca="1">IF(ROWS($1:8)&gt;COUNT(Dong6),"",OFFSET(TH!N$1,SMALL(Dong6,ROWS($1:8)),))</f>
        <v/>
      </c>
      <c r="H18" s="310" t="str">
        <f ca="1">IF(ROWS($1:8)&gt;COUNT(Dong6),"",OFFSET(TH!O$1,SMALL(Dong6,ROWS($1:8)),))</f>
        <v/>
      </c>
      <c r="I18" s="60">
        <f t="shared" ca="1" si="0"/>
        <v>8</v>
      </c>
      <c r="J18" s="260">
        <f t="shared" ca="1" si="61"/>
        <v>0</v>
      </c>
      <c r="K18" s="260">
        <f t="shared" ca="1" si="62"/>
        <v>0</v>
      </c>
      <c r="L18" s="260">
        <f t="shared" ca="1" si="1"/>
        <v>0</v>
      </c>
      <c r="M18" s="260">
        <f t="shared" ca="1" si="2"/>
        <v>0</v>
      </c>
      <c r="N18" s="260">
        <f t="shared" ca="1" si="3"/>
        <v>0</v>
      </c>
      <c r="O18" s="260">
        <f t="shared" ca="1" si="4"/>
        <v>0</v>
      </c>
      <c r="P18" s="260">
        <f t="shared" ca="1" si="5"/>
        <v>0</v>
      </c>
      <c r="Q18" s="260">
        <f t="shared" ca="1" si="6"/>
        <v>0</v>
      </c>
      <c r="R18" s="260">
        <f t="shared" ca="1" si="7"/>
        <v>0</v>
      </c>
      <c r="S18" s="260">
        <f t="shared" ca="1" si="8"/>
        <v>0</v>
      </c>
      <c r="T18" s="260">
        <f t="shared" ca="1" si="9"/>
        <v>0</v>
      </c>
      <c r="U18" s="260">
        <f t="shared" ca="1" si="10"/>
        <v>0</v>
      </c>
      <c r="V18" s="260">
        <f t="shared" ca="1" si="11"/>
        <v>0</v>
      </c>
      <c r="W18" s="260">
        <f t="shared" ca="1" si="12"/>
        <v>0</v>
      </c>
      <c r="X18" s="260">
        <f t="shared" ca="1" si="13"/>
        <v>0</v>
      </c>
      <c r="Y18" s="260">
        <f t="shared" ca="1" si="14"/>
        <v>0</v>
      </c>
      <c r="Z18" s="260">
        <f t="shared" ca="1" si="15"/>
        <v>0</v>
      </c>
      <c r="AA18" s="260">
        <f t="shared" ca="1" si="16"/>
        <v>0</v>
      </c>
      <c r="AB18" s="260">
        <f t="shared" ca="1" si="63"/>
        <v>0</v>
      </c>
      <c r="AC18" s="260">
        <f t="shared" ca="1" si="64"/>
        <v>0</v>
      </c>
      <c r="AD18" s="260">
        <f t="shared" ca="1" si="17"/>
        <v>0</v>
      </c>
      <c r="AE18" s="260">
        <f t="shared" ca="1" si="18"/>
        <v>0</v>
      </c>
      <c r="AF18" s="260">
        <f t="shared" ca="1" si="19"/>
        <v>0</v>
      </c>
      <c r="AG18" s="260">
        <f t="shared" ca="1" si="20"/>
        <v>0</v>
      </c>
      <c r="AH18" s="260">
        <f t="shared" ca="1" si="65"/>
        <v>0</v>
      </c>
      <c r="AI18" s="260">
        <f t="shared" ca="1" si="66"/>
        <v>0</v>
      </c>
      <c r="AJ18" s="260">
        <f t="shared" ca="1" si="67"/>
        <v>0</v>
      </c>
      <c r="AK18" s="260">
        <f t="shared" ca="1" si="68"/>
        <v>0</v>
      </c>
      <c r="AL18" s="260">
        <f t="shared" ca="1" si="69"/>
        <v>0</v>
      </c>
      <c r="AM18" s="260">
        <f t="shared" ca="1" si="70"/>
        <v>0</v>
      </c>
      <c r="AN18" s="260">
        <f t="shared" ca="1" si="71"/>
        <v>0</v>
      </c>
      <c r="AO18" s="260">
        <f t="shared" ca="1" si="72"/>
        <v>0</v>
      </c>
      <c r="AP18" s="260">
        <f t="shared" ca="1" si="21"/>
        <v>0</v>
      </c>
      <c r="AQ18" s="260">
        <f t="shared" ca="1" si="22"/>
        <v>0</v>
      </c>
      <c r="AR18" s="260">
        <f t="shared" ca="1" si="23"/>
        <v>0</v>
      </c>
      <c r="AS18" s="260">
        <f t="shared" ca="1" si="24"/>
        <v>0</v>
      </c>
      <c r="AT18" s="260">
        <f t="shared" ca="1" si="73"/>
        <v>0</v>
      </c>
      <c r="AU18" s="260">
        <f t="shared" ca="1" si="74"/>
        <v>0</v>
      </c>
      <c r="AV18" s="260">
        <f t="shared" ca="1" si="25"/>
        <v>0</v>
      </c>
      <c r="AW18" s="260">
        <f t="shared" ca="1" si="26"/>
        <v>0</v>
      </c>
      <c r="AX18" s="260">
        <f t="shared" ca="1" si="27"/>
        <v>0</v>
      </c>
      <c r="AY18" s="260">
        <f t="shared" ca="1" si="28"/>
        <v>0</v>
      </c>
      <c r="AZ18" s="260">
        <f t="shared" ca="1" si="29"/>
        <v>0</v>
      </c>
      <c r="BA18" s="260">
        <f t="shared" ca="1" si="30"/>
        <v>0</v>
      </c>
      <c r="BB18" s="260">
        <f t="shared" ca="1" si="31"/>
        <v>0</v>
      </c>
      <c r="BC18" s="260">
        <f t="shared" ca="1" si="32"/>
        <v>0</v>
      </c>
      <c r="BD18" s="260">
        <f t="shared" ca="1" si="33"/>
        <v>0</v>
      </c>
      <c r="BE18" s="260">
        <f t="shared" ca="1" si="34"/>
        <v>0</v>
      </c>
      <c r="BF18" s="260">
        <f t="shared" ca="1" si="35"/>
        <v>0</v>
      </c>
      <c r="BG18" s="260">
        <f t="shared" ca="1" si="36"/>
        <v>0</v>
      </c>
      <c r="BH18" s="260">
        <f t="shared" ca="1" si="75"/>
        <v>0</v>
      </c>
      <c r="BI18" s="260">
        <f t="shared" ca="1" si="76"/>
        <v>0</v>
      </c>
      <c r="BJ18" s="260">
        <f t="shared" ca="1" si="37"/>
        <v>0</v>
      </c>
      <c r="BK18" s="260">
        <f t="shared" ca="1" si="38"/>
        <v>0</v>
      </c>
      <c r="BL18" s="260">
        <f t="shared" ca="1" si="39"/>
        <v>0</v>
      </c>
      <c r="BM18" s="260">
        <f t="shared" ca="1" si="40"/>
        <v>0</v>
      </c>
      <c r="BN18" s="260">
        <f t="shared" ca="1" si="41"/>
        <v>0</v>
      </c>
      <c r="BO18" s="260">
        <f t="shared" ca="1" si="42"/>
        <v>0</v>
      </c>
      <c r="BP18" s="260">
        <f t="shared" ca="1" si="77"/>
        <v>0</v>
      </c>
      <c r="BQ18" s="260">
        <f t="shared" ca="1" si="78"/>
        <v>0</v>
      </c>
      <c r="BR18" s="260">
        <f t="shared" ca="1" si="43"/>
        <v>0</v>
      </c>
      <c r="BS18" s="260">
        <f t="shared" ca="1" si="44"/>
        <v>0</v>
      </c>
      <c r="BT18" s="260">
        <f t="shared" ca="1" si="79"/>
        <v>0</v>
      </c>
      <c r="BU18" s="260">
        <f t="shared" ca="1" si="80"/>
        <v>0</v>
      </c>
      <c r="BV18" s="260">
        <f t="shared" ca="1" si="81"/>
        <v>0</v>
      </c>
      <c r="BW18" s="260">
        <f t="shared" ca="1" si="82"/>
        <v>0</v>
      </c>
      <c r="BX18" s="260">
        <f t="shared" ca="1" si="45"/>
        <v>0</v>
      </c>
      <c r="BY18" s="260">
        <f t="shared" ca="1" si="46"/>
        <v>0</v>
      </c>
      <c r="BZ18" s="260">
        <f t="shared" ca="1" si="47"/>
        <v>0</v>
      </c>
      <c r="CA18" s="260">
        <f t="shared" ca="1" si="48"/>
        <v>0</v>
      </c>
      <c r="CB18" s="260">
        <f t="shared" ca="1" si="49"/>
        <v>0</v>
      </c>
      <c r="CC18" s="260">
        <f t="shared" ca="1" si="50"/>
        <v>0</v>
      </c>
      <c r="CD18" s="260">
        <f t="shared" ca="1" si="83"/>
        <v>0</v>
      </c>
      <c r="CE18" s="260">
        <f t="shared" ca="1" si="84"/>
        <v>0</v>
      </c>
      <c r="CF18" s="260">
        <f t="shared" ca="1" si="85"/>
        <v>0</v>
      </c>
      <c r="CG18" s="260">
        <f t="shared" ca="1" si="86"/>
        <v>0</v>
      </c>
      <c r="CH18" s="260">
        <f t="shared" ca="1" si="51"/>
        <v>0</v>
      </c>
      <c r="CI18" s="260">
        <f t="shared" ca="1" si="52"/>
        <v>0</v>
      </c>
      <c r="CJ18" s="260">
        <f t="shared" ca="1" si="87"/>
        <v>0</v>
      </c>
      <c r="CK18" s="260">
        <f t="shared" ca="1" si="88"/>
        <v>0</v>
      </c>
      <c r="CL18" s="260">
        <f t="shared" ca="1" si="53"/>
        <v>0</v>
      </c>
      <c r="CM18" s="260">
        <f t="shared" ca="1" si="54"/>
        <v>0</v>
      </c>
      <c r="CN18" s="260">
        <f t="shared" ca="1" si="55"/>
        <v>0</v>
      </c>
      <c r="CO18" s="260">
        <f t="shared" ca="1" si="56"/>
        <v>0</v>
      </c>
      <c r="CP18" s="260">
        <f t="shared" ca="1" si="89"/>
        <v>0</v>
      </c>
      <c r="CQ18" s="260">
        <f t="shared" ca="1" si="90"/>
        <v>0</v>
      </c>
      <c r="CR18" s="260">
        <f t="shared" ca="1" si="91"/>
        <v>0</v>
      </c>
      <c r="CS18" s="260">
        <f t="shared" ca="1" si="92"/>
        <v>0</v>
      </c>
      <c r="CT18" s="260">
        <f t="shared" ca="1" si="57"/>
        <v>0</v>
      </c>
      <c r="CU18" s="260">
        <f t="shared" ca="1" si="58"/>
        <v>0</v>
      </c>
      <c r="CV18" s="260">
        <f t="shared" ca="1" si="59"/>
        <v>0</v>
      </c>
      <c r="CW18" s="260">
        <f t="shared" ca="1" si="60"/>
        <v>0</v>
      </c>
      <c r="CX18" s="260">
        <f t="shared" ca="1" si="93"/>
        <v>0</v>
      </c>
      <c r="CY18" s="260">
        <f t="shared" ca="1" si="94"/>
        <v>0</v>
      </c>
      <c r="CZ18" s="260">
        <f t="shared" ca="1" si="95"/>
        <v>0</v>
      </c>
      <c r="DA18" s="260">
        <f t="shared" ca="1" si="96"/>
        <v>0</v>
      </c>
    </row>
    <row r="19" spans="1:105" s="257" customFormat="1" ht="15" customHeight="1">
      <c r="A19" s="60">
        <f t="array" aca="1" ref="A19" ca="1">IF(C19&lt;&gt;0,SUM(($C$11:C19&lt;&gt;0)*1),"")</f>
        <v>9</v>
      </c>
      <c r="B19" s="258" t="str">
        <f ca="1">IF(ROWS($1:9)&gt;COUNT(Dong6),"",OFFSET(TH!C$1,SMALL(Dong6,ROWS($1:9)),))</f>
        <v/>
      </c>
      <c r="C19" s="258" t="str">
        <f ca="1">IF(ROWS($1:9)&gt;COUNT(Dong6),"",OFFSET(TH!D$1,SMALL(Dong6,ROWS($1:9)),))</f>
        <v/>
      </c>
      <c r="D19" s="258" t="str">
        <f ca="1">IF(ROWS($1:9)&gt;COUNT(Dong6),"",OFFSET(TH!E$1,SMALL(Dong6,ROWS($1:9)),))</f>
        <v/>
      </c>
      <c r="E19" s="308" t="str">
        <f ca="1">IF(ROWS($1:9)&gt;COUNT(Dong6),"",OFFSET(TH!F$1,SMALL(Dong6,ROWS($1:9)),))</f>
        <v/>
      </c>
      <c r="F19" s="309" t="str">
        <f ca="1">IF(ROWS($1:9)&gt;COUNT(Dong6),"",OFFSET(TH!M$1,SMALL(Dong6,ROWS($1:9)),))</f>
        <v/>
      </c>
      <c r="G19" s="310" t="str">
        <f ca="1">IF(ROWS($1:9)&gt;COUNT(Dong6),"",OFFSET(TH!N$1,SMALL(Dong6,ROWS($1:9)),))</f>
        <v/>
      </c>
      <c r="H19" s="310" t="str">
        <f ca="1">IF(ROWS($1:9)&gt;COUNT(Dong6),"",OFFSET(TH!O$1,SMALL(Dong6,ROWS($1:9)),))</f>
        <v/>
      </c>
      <c r="I19" s="60">
        <f t="shared" ca="1" si="0"/>
        <v>9</v>
      </c>
      <c r="J19" s="260">
        <f t="shared" ca="1" si="61"/>
        <v>0</v>
      </c>
      <c r="K19" s="260">
        <f t="shared" ca="1" si="62"/>
        <v>0</v>
      </c>
      <c r="L19" s="260">
        <f t="shared" ca="1" si="1"/>
        <v>0</v>
      </c>
      <c r="M19" s="260">
        <f t="shared" ca="1" si="2"/>
        <v>0</v>
      </c>
      <c r="N19" s="260">
        <f t="shared" ca="1" si="3"/>
        <v>0</v>
      </c>
      <c r="O19" s="260">
        <f t="shared" ca="1" si="4"/>
        <v>0</v>
      </c>
      <c r="P19" s="260">
        <f t="shared" ca="1" si="5"/>
        <v>0</v>
      </c>
      <c r="Q19" s="260">
        <f t="shared" ca="1" si="6"/>
        <v>0</v>
      </c>
      <c r="R19" s="260">
        <f t="shared" ca="1" si="7"/>
        <v>0</v>
      </c>
      <c r="S19" s="260">
        <f t="shared" ca="1" si="8"/>
        <v>0</v>
      </c>
      <c r="T19" s="260">
        <f t="shared" ca="1" si="9"/>
        <v>0</v>
      </c>
      <c r="U19" s="260">
        <f t="shared" ca="1" si="10"/>
        <v>0</v>
      </c>
      <c r="V19" s="260">
        <f t="shared" ca="1" si="11"/>
        <v>0</v>
      </c>
      <c r="W19" s="260">
        <f t="shared" ca="1" si="12"/>
        <v>0</v>
      </c>
      <c r="X19" s="260">
        <f t="shared" ca="1" si="13"/>
        <v>0</v>
      </c>
      <c r="Y19" s="260">
        <f t="shared" ca="1" si="14"/>
        <v>0</v>
      </c>
      <c r="Z19" s="260">
        <f t="shared" ca="1" si="15"/>
        <v>0</v>
      </c>
      <c r="AA19" s="260">
        <f t="shared" ca="1" si="16"/>
        <v>0</v>
      </c>
      <c r="AB19" s="260">
        <f t="shared" ca="1" si="63"/>
        <v>0</v>
      </c>
      <c r="AC19" s="260">
        <f t="shared" ca="1" si="64"/>
        <v>0</v>
      </c>
      <c r="AD19" s="260">
        <f t="shared" ca="1" si="17"/>
        <v>0</v>
      </c>
      <c r="AE19" s="260">
        <f t="shared" ca="1" si="18"/>
        <v>0</v>
      </c>
      <c r="AF19" s="260">
        <f t="shared" ca="1" si="19"/>
        <v>0</v>
      </c>
      <c r="AG19" s="260">
        <f t="shared" ca="1" si="20"/>
        <v>0</v>
      </c>
      <c r="AH19" s="260">
        <f t="shared" ca="1" si="65"/>
        <v>0</v>
      </c>
      <c r="AI19" s="260">
        <f t="shared" ca="1" si="66"/>
        <v>0</v>
      </c>
      <c r="AJ19" s="260">
        <f t="shared" ca="1" si="67"/>
        <v>0</v>
      </c>
      <c r="AK19" s="260">
        <f t="shared" ca="1" si="68"/>
        <v>0</v>
      </c>
      <c r="AL19" s="260">
        <f t="shared" ca="1" si="69"/>
        <v>0</v>
      </c>
      <c r="AM19" s="260">
        <f t="shared" ca="1" si="70"/>
        <v>0</v>
      </c>
      <c r="AN19" s="260">
        <f t="shared" ca="1" si="71"/>
        <v>0</v>
      </c>
      <c r="AO19" s="260">
        <f t="shared" ca="1" si="72"/>
        <v>0</v>
      </c>
      <c r="AP19" s="260">
        <f t="shared" ca="1" si="21"/>
        <v>0</v>
      </c>
      <c r="AQ19" s="260">
        <f t="shared" ca="1" si="22"/>
        <v>0</v>
      </c>
      <c r="AR19" s="260">
        <f t="shared" ca="1" si="23"/>
        <v>0</v>
      </c>
      <c r="AS19" s="260">
        <f t="shared" ca="1" si="24"/>
        <v>0</v>
      </c>
      <c r="AT19" s="260">
        <f t="shared" ca="1" si="73"/>
        <v>0</v>
      </c>
      <c r="AU19" s="260">
        <f t="shared" ca="1" si="74"/>
        <v>0</v>
      </c>
      <c r="AV19" s="260">
        <f t="shared" ca="1" si="25"/>
        <v>0</v>
      </c>
      <c r="AW19" s="260">
        <f t="shared" ca="1" si="26"/>
        <v>0</v>
      </c>
      <c r="AX19" s="260">
        <f t="shared" ca="1" si="27"/>
        <v>0</v>
      </c>
      <c r="AY19" s="260">
        <f t="shared" ca="1" si="28"/>
        <v>0</v>
      </c>
      <c r="AZ19" s="260">
        <f t="shared" ca="1" si="29"/>
        <v>0</v>
      </c>
      <c r="BA19" s="260">
        <f t="shared" ca="1" si="30"/>
        <v>0</v>
      </c>
      <c r="BB19" s="260">
        <f t="shared" ca="1" si="31"/>
        <v>0</v>
      </c>
      <c r="BC19" s="260">
        <f t="shared" ca="1" si="32"/>
        <v>0</v>
      </c>
      <c r="BD19" s="260">
        <f t="shared" ca="1" si="33"/>
        <v>0</v>
      </c>
      <c r="BE19" s="260">
        <f t="shared" ca="1" si="34"/>
        <v>0</v>
      </c>
      <c r="BF19" s="260">
        <f t="shared" ca="1" si="35"/>
        <v>0</v>
      </c>
      <c r="BG19" s="260">
        <f t="shared" ca="1" si="36"/>
        <v>0</v>
      </c>
      <c r="BH19" s="260">
        <f t="shared" ca="1" si="75"/>
        <v>0</v>
      </c>
      <c r="BI19" s="260">
        <f t="shared" ca="1" si="76"/>
        <v>0</v>
      </c>
      <c r="BJ19" s="260">
        <f t="shared" ca="1" si="37"/>
        <v>0</v>
      </c>
      <c r="BK19" s="260">
        <f t="shared" ca="1" si="38"/>
        <v>0</v>
      </c>
      <c r="BL19" s="260">
        <f t="shared" ca="1" si="39"/>
        <v>0</v>
      </c>
      <c r="BM19" s="260">
        <f t="shared" ca="1" si="40"/>
        <v>0</v>
      </c>
      <c r="BN19" s="260">
        <f t="shared" ca="1" si="41"/>
        <v>0</v>
      </c>
      <c r="BO19" s="260">
        <f t="shared" ca="1" si="42"/>
        <v>0</v>
      </c>
      <c r="BP19" s="260">
        <f t="shared" ca="1" si="77"/>
        <v>0</v>
      </c>
      <c r="BQ19" s="260">
        <f t="shared" ca="1" si="78"/>
        <v>0</v>
      </c>
      <c r="BR19" s="260">
        <f t="shared" ca="1" si="43"/>
        <v>0</v>
      </c>
      <c r="BS19" s="260">
        <f t="shared" ca="1" si="44"/>
        <v>0</v>
      </c>
      <c r="BT19" s="260">
        <f t="shared" ca="1" si="79"/>
        <v>0</v>
      </c>
      <c r="BU19" s="260">
        <f t="shared" ca="1" si="80"/>
        <v>0</v>
      </c>
      <c r="BV19" s="260">
        <f t="shared" ca="1" si="81"/>
        <v>0</v>
      </c>
      <c r="BW19" s="260">
        <f t="shared" ca="1" si="82"/>
        <v>0</v>
      </c>
      <c r="BX19" s="260">
        <f t="shared" ca="1" si="45"/>
        <v>0</v>
      </c>
      <c r="BY19" s="260">
        <f t="shared" ca="1" si="46"/>
        <v>0</v>
      </c>
      <c r="BZ19" s="260">
        <f t="shared" ca="1" si="47"/>
        <v>0</v>
      </c>
      <c r="CA19" s="260">
        <f t="shared" ca="1" si="48"/>
        <v>0</v>
      </c>
      <c r="CB19" s="260">
        <f t="shared" ca="1" si="49"/>
        <v>0</v>
      </c>
      <c r="CC19" s="260">
        <f t="shared" ca="1" si="50"/>
        <v>0</v>
      </c>
      <c r="CD19" s="260">
        <f t="shared" ca="1" si="83"/>
        <v>0</v>
      </c>
      <c r="CE19" s="260">
        <f t="shared" ca="1" si="84"/>
        <v>0</v>
      </c>
      <c r="CF19" s="260">
        <f t="shared" ca="1" si="85"/>
        <v>0</v>
      </c>
      <c r="CG19" s="260">
        <f t="shared" ca="1" si="86"/>
        <v>0</v>
      </c>
      <c r="CH19" s="260">
        <f t="shared" ca="1" si="51"/>
        <v>0</v>
      </c>
      <c r="CI19" s="260">
        <f t="shared" ca="1" si="52"/>
        <v>0</v>
      </c>
      <c r="CJ19" s="260">
        <f t="shared" ca="1" si="87"/>
        <v>0</v>
      </c>
      <c r="CK19" s="260">
        <f t="shared" ca="1" si="88"/>
        <v>0</v>
      </c>
      <c r="CL19" s="260">
        <f t="shared" ca="1" si="53"/>
        <v>0</v>
      </c>
      <c r="CM19" s="260">
        <f t="shared" ca="1" si="54"/>
        <v>0</v>
      </c>
      <c r="CN19" s="260">
        <f t="shared" ca="1" si="55"/>
        <v>0</v>
      </c>
      <c r="CO19" s="260">
        <f t="shared" ca="1" si="56"/>
        <v>0</v>
      </c>
      <c r="CP19" s="260">
        <f t="shared" ca="1" si="89"/>
        <v>0</v>
      </c>
      <c r="CQ19" s="260">
        <f t="shared" ca="1" si="90"/>
        <v>0</v>
      </c>
      <c r="CR19" s="260">
        <f t="shared" ca="1" si="91"/>
        <v>0</v>
      </c>
      <c r="CS19" s="260">
        <f t="shared" ca="1" si="92"/>
        <v>0</v>
      </c>
      <c r="CT19" s="260">
        <f t="shared" ca="1" si="57"/>
        <v>0</v>
      </c>
      <c r="CU19" s="260">
        <f t="shared" ca="1" si="58"/>
        <v>0</v>
      </c>
      <c r="CV19" s="260">
        <f t="shared" ca="1" si="59"/>
        <v>0</v>
      </c>
      <c r="CW19" s="260">
        <f t="shared" ca="1" si="60"/>
        <v>0</v>
      </c>
      <c r="CX19" s="260">
        <f t="shared" ca="1" si="93"/>
        <v>0</v>
      </c>
      <c r="CY19" s="260">
        <f t="shared" ca="1" si="94"/>
        <v>0</v>
      </c>
      <c r="CZ19" s="260">
        <f t="shared" ca="1" si="95"/>
        <v>0</v>
      </c>
      <c r="DA19" s="260">
        <f t="shared" ca="1" si="96"/>
        <v>0</v>
      </c>
    </row>
    <row r="20" spans="1:105" s="257" customFormat="1" ht="15" customHeight="1">
      <c r="A20" s="60">
        <f t="array" aca="1" ref="A20" ca="1">IF(C20&lt;&gt;0,SUM(($C$11:C20&lt;&gt;0)*1),"")</f>
        <v>10</v>
      </c>
      <c r="B20" s="258" t="str">
        <f ca="1">IF(ROWS($1:10)&gt;COUNT(Dong6),"",OFFSET(TH!C$1,SMALL(Dong6,ROWS($1:10)),))</f>
        <v/>
      </c>
      <c r="C20" s="258" t="str">
        <f ca="1">IF(ROWS($1:10)&gt;COUNT(Dong6),"",OFFSET(TH!D$1,SMALL(Dong6,ROWS($1:10)),))</f>
        <v/>
      </c>
      <c r="D20" s="258" t="str">
        <f ca="1">IF(ROWS($1:10)&gt;COUNT(Dong6),"",OFFSET(TH!E$1,SMALL(Dong6,ROWS($1:10)),))</f>
        <v/>
      </c>
      <c r="E20" s="308" t="str">
        <f ca="1">IF(ROWS($1:10)&gt;COUNT(Dong6),"",OFFSET(TH!F$1,SMALL(Dong6,ROWS($1:10)),))</f>
        <v/>
      </c>
      <c r="F20" s="309" t="str">
        <f ca="1">IF(ROWS($1:10)&gt;COUNT(Dong6),"",OFFSET(TH!M$1,SMALL(Dong6,ROWS($1:10)),))</f>
        <v/>
      </c>
      <c r="G20" s="310" t="str">
        <f ca="1">IF(ROWS($1:10)&gt;COUNT(Dong6),"",OFFSET(TH!N$1,SMALL(Dong6,ROWS($1:10)),))</f>
        <v/>
      </c>
      <c r="H20" s="310" t="str">
        <f ca="1">IF(ROWS($1:10)&gt;COUNT(Dong6),"",OFFSET(TH!O$1,SMALL(Dong6,ROWS($1:10)),))</f>
        <v/>
      </c>
      <c r="I20" s="60">
        <f t="shared" ca="1" si="0"/>
        <v>10</v>
      </c>
      <c r="J20" s="260">
        <f t="shared" ca="1" si="61"/>
        <v>0</v>
      </c>
      <c r="K20" s="260">
        <f t="shared" ca="1" si="62"/>
        <v>0</v>
      </c>
      <c r="L20" s="260">
        <f t="shared" ca="1" si="1"/>
        <v>0</v>
      </c>
      <c r="M20" s="260">
        <f t="shared" ca="1" si="2"/>
        <v>0</v>
      </c>
      <c r="N20" s="260">
        <f t="shared" ca="1" si="3"/>
        <v>0</v>
      </c>
      <c r="O20" s="260">
        <f t="shared" ca="1" si="4"/>
        <v>0</v>
      </c>
      <c r="P20" s="260">
        <f t="shared" ca="1" si="5"/>
        <v>0</v>
      </c>
      <c r="Q20" s="260">
        <f t="shared" ca="1" si="6"/>
        <v>0</v>
      </c>
      <c r="R20" s="260">
        <f t="shared" ca="1" si="7"/>
        <v>0</v>
      </c>
      <c r="S20" s="260">
        <f t="shared" ca="1" si="8"/>
        <v>0</v>
      </c>
      <c r="T20" s="260">
        <f t="shared" ca="1" si="9"/>
        <v>0</v>
      </c>
      <c r="U20" s="260">
        <f t="shared" ca="1" si="10"/>
        <v>0</v>
      </c>
      <c r="V20" s="260">
        <f t="shared" ca="1" si="11"/>
        <v>0</v>
      </c>
      <c r="W20" s="260">
        <f t="shared" ca="1" si="12"/>
        <v>0</v>
      </c>
      <c r="X20" s="260">
        <f t="shared" ca="1" si="13"/>
        <v>0</v>
      </c>
      <c r="Y20" s="260">
        <f t="shared" ca="1" si="14"/>
        <v>0</v>
      </c>
      <c r="Z20" s="260">
        <f t="shared" ca="1" si="15"/>
        <v>0</v>
      </c>
      <c r="AA20" s="260">
        <f t="shared" ca="1" si="16"/>
        <v>0</v>
      </c>
      <c r="AB20" s="260">
        <f t="shared" ca="1" si="63"/>
        <v>0</v>
      </c>
      <c r="AC20" s="260">
        <f t="shared" ca="1" si="64"/>
        <v>0</v>
      </c>
      <c r="AD20" s="260">
        <f t="shared" ca="1" si="17"/>
        <v>0</v>
      </c>
      <c r="AE20" s="260">
        <f t="shared" ca="1" si="18"/>
        <v>0</v>
      </c>
      <c r="AF20" s="260">
        <f t="shared" ca="1" si="19"/>
        <v>0</v>
      </c>
      <c r="AG20" s="260">
        <f t="shared" ca="1" si="20"/>
        <v>0</v>
      </c>
      <c r="AH20" s="260">
        <f t="shared" ca="1" si="65"/>
        <v>0</v>
      </c>
      <c r="AI20" s="260">
        <f t="shared" ca="1" si="66"/>
        <v>0</v>
      </c>
      <c r="AJ20" s="260">
        <f t="shared" ca="1" si="67"/>
        <v>0</v>
      </c>
      <c r="AK20" s="260">
        <f t="shared" ca="1" si="68"/>
        <v>0</v>
      </c>
      <c r="AL20" s="260">
        <f t="shared" ca="1" si="69"/>
        <v>0</v>
      </c>
      <c r="AM20" s="260">
        <f t="shared" ca="1" si="70"/>
        <v>0</v>
      </c>
      <c r="AN20" s="260">
        <f t="shared" ca="1" si="71"/>
        <v>0</v>
      </c>
      <c r="AO20" s="260">
        <f t="shared" ca="1" si="72"/>
        <v>0</v>
      </c>
      <c r="AP20" s="260">
        <f t="shared" ca="1" si="21"/>
        <v>0</v>
      </c>
      <c r="AQ20" s="260">
        <f t="shared" ca="1" si="22"/>
        <v>0</v>
      </c>
      <c r="AR20" s="260">
        <f t="shared" ca="1" si="23"/>
        <v>0</v>
      </c>
      <c r="AS20" s="260">
        <f t="shared" ca="1" si="24"/>
        <v>0</v>
      </c>
      <c r="AT20" s="260">
        <f t="shared" ca="1" si="73"/>
        <v>0</v>
      </c>
      <c r="AU20" s="260">
        <f t="shared" ca="1" si="74"/>
        <v>0</v>
      </c>
      <c r="AV20" s="260">
        <f t="shared" ca="1" si="25"/>
        <v>0</v>
      </c>
      <c r="AW20" s="260">
        <f t="shared" ca="1" si="26"/>
        <v>0</v>
      </c>
      <c r="AX20" s="260">
        <f t="shared" ca="1" si="27"/>
        <v>0</v>
      </c>
      <c r="AY20" s="260">
        <f t="shared" ca="1" si="28"/>
        <v>0</v>
      </c>
      <c r="AZ20" s="260">
        <f t="shared" ca="1" si="29"/>
        <v>0</v>
      </c>
      <c r="BA20" s="260">
        <f t="shared" ca="1" si="30"/>
        <v>0</v>
      </c>
      <c r="BB20" s="260">
        <f t="shared" ca="1" si="31"/>
        <v>0</v>
      </c>
      <c r="BC20" s="260">
        <f t="shared" ca="1" si="32"/>
        <v>0</v>
      </c>
      <c r="BD20" s="260">
        <f t="shared" ca="1" si="33"/>
        <v>0</v>
      </c>
      <c r="BE20" s="260">
        <f t="shared" ca="1" si="34"/>
        <v>0</v>
      </c>
      <c r="BF20" s="260">
        <f t="shared" ca="1" si="35"/>
        <v>0</v>
      </c>
      <c r="BG20" s="260">
        <f t="shared" ca="1" si="36"/>
        <v>0</v>
      </c>
      <c r="BH20" s="260">
        <f t="shared" ca="1" si="75"/>
        <v>0</v>
      </c>
      <c r="BI20" s="260">
        <f t="shared" ca="1" si="76"/>
        <v>0</v>
      </c>
      <c r="BJ20" s="260">
        <f t="shared" ca="1" si="37"/>
        <v>0</v>
      </c>
      <c r="BK20" s="260">
        <f t="shared" ca="1" si="38"/>
        <v>0</v>
      </c>
      <c r="BL20" s="260">
        <f t="shared" ca="1" si="39"/>
        <v>0</v>
      </c>
      <c r="BM20" s="260">
        <f t="shared" ca="1" si="40"/>
        <v>0</v>
      </c>
      <c r="BN20" s="260">
        <f t="shared" ca="1" si="41"/>
        <v>0</v>
      </c>
      <c r="BO20" s="260">
        <f t="shared" ca="1" si="42"/>
        <v>0</v>
      </c>
      <c r="BP20" s="260">
        <f t="shared" ca="1" si="77"/>
        <v>0</v>
      </c>
      <c r="BQ20" s="260">
        <f t="shared" ca="1" si="78"/>
        <v>0</v>
      </c>
      <c r="BR20" s="260">
        <f t="shared" ca="1" si="43"/>
        <v>0</v>
      </c>
      <c r="BS20" s="260">
        <f t="shared" ca="1" si="44"/>
        <v>0</v>
      </c>
      <c r="BT20" s="260">
        <f t="shared" ca="1" si="79"/>
        <v>0</v>
      </c>
      <c r="BU20" s="260">
        <f t="shared" ca="1" si="80"/>
        <v>0</v>
      </c>
      <c r="BV20" s="260">
        <f t="shared" ca="1" si="81"/>
        <v>0</v>
      </c>
      <c r="BW20" s="260">
        <f t="shared" ca="1" si="82"/>
        <v>0</v>
      </c>
      <c r="BX20" s="260">
        <f t="shared" ca="1" si="45"/>
        <v>0</v>
      </c>
      <c r="BY20" s="260">
        <f t="shared" ca="1" si="46"/>
        <v>0</v>
      </c>
      <c r="BZ20" s="260">
        <f t="shared" ca="1" si="47"/>
        <v>0</v>
      </c>
      <c r="CA20" s="260">
        <f t="shared" ca="1" si="48"/>
        <v>0</v>
      </c>
      <c r="CB20" s="260">
        <f t="shared" ca="1" si="49"/>
        <v>0</v>
      </c>
      <c r="CC20" s="260">
        <f t="shared" ca="1" si="50"/>
        <v>0</v>
      </c>
      <c r="CD20" s="260">
        <f t="shared" ca="1" si="83"/>
        <v>0</v>
      </c>
      <c r="CE20" s="260">
        <f t="shared" ca="1" si="84"/>
        <v>0</v>
      </c>
      <c r="CF20" s="260">
        <f t="shared" ca="1" si="85"/>
        <v>0</v>
      </c>
      <c r="CG20" s="260">
        <f t="shared" ca="1" si="86"/>
        <v>0</v>
      </c>
      <c r="CH20" s="260">
        <f t="shared" ca="1" si="51"/>
        <v>0</v>
      </c>
      <c r="CI20" s="260">
        <f t="shared" ca="1" si="52"/>
        <v>0</v>
      </c>
      <c r="CJ20" s="260">
        <f t="shared" ca="1" si="87"/>
        <v>0</v>
      </c>
      <c r="CK20" s="260">
        <f t="shared" ca="1" si="88"/>
        <v>0</v>
      </c>
      <c r="CL20" s="260">
        <f t="shared" ca="1" si="53"/>
        <v>0</v>
      </c>
      <c r="CM20" s="260">
        <f t="shared" ca="1" si="54"/>
        <v>0</v>
      </c>
      <c r="CN20" s="260">
        <f t="shared" ca="1" si="55"/>
        <v>0</v>
      </c>
      <c r="CO20" s="260">
        <f t="shared" ca="1" si="56"/>
        <v>0</v>
      </c>
      <c r="CP20" s="260">
        <f t="shared" ca="1" si="89"/>
        <v>0</v>
      </c>
      <c r="CQ20" s="260">
        <f t="shared" ca="1" si="90"/>
        <v>0</v>
      </c>
      <c r="CR20" s="260">
        <f t="shared" ca="1" si="91"/>
        <v>0</v>
      </c>
      <c r="CS20" s="260">
        <f t="shared" ca="1" si="92"/>
        <v>0</v>
      </c>
      <c r="CT20" s="260">
        <f t="shared" ca="1" si="57"/>
        <v>0</v>
      </c>
      <c r="CU20" s="260">
        <f t="shared" ca="1" si="58"/>
        <v>0</v>
      </c>
      <c r="CV20" s="260">
        <f t="shared" ca="1" si="59"/>
        <v>0</v>
      </c>
      <c r="CW20" s="260">
        <f t="shared" ca="1" si="60"/>
        <v>0</v>
      </c>
      <c r="CX20" s="260">
        <f t="shared" ca="1" si="93"/>
        <v>0</v>
      </c>
      <c r="CY20" s="260">
        <f t="shared" ca="1" si="94"/>
        <v>0</v>
      </c>
      <c r="CZ20" s="260">
        <f t="shared" ca="1" si="95"/>
        <v>0</v>
      </c>
      <c r="DA20" s="260">
        <f t="shared" ca="1" si="96"/>
        <v>0</v>
      </c>
    </row>
    <row r="21" spans="1:105" s="257" customFormat="1" ht="15" customHeight="1">
      <c r="A21" s="60">
        <f t="array" aca="1" ref="A21" ca="1">IF(C21&lt;&gt;0,SUM(($C$11:C21&lt;&gt;0)*1),"")</f>
        <v>11</v>
      </c>
      <c r="B21" s="258" t="str">
        <f ca="1">IF(ROWS($1:11)&gt;COUNT(Dong6),"",OFFSET(TH!C$1,SMALL(Dong6,ROWS($1:11)),))</f>
        <v/>
      </c>
      <c r="C21" s="258" t="str">
        <f ca="1">IF(ROWS($1:11)&gt;COUNT(Dong6),"",OFFSET(TH!D$1,SMALL(Dong6,ROWS($1:11)),))</f>
        <v/>
      </c>
      <c r="D21" s="258" t="str">
        <f ca="1">IF(ROWS($1:11)&gt;COUNT(Dong6),"",OFFSET(TH!E$1,SMALL(Dong6,ROWS($1:11)),))</f>
        <v/>
      </c>
      <c r="E21" s="308" t="str">
        <f ca="1">IF(ROWS($1:11)&gt;COUNT(Dong6),"",OFFSET(TH!F$1,SMALL(Dong6,ROWS($1:11)),))</f>
        <v/>
      </c>
      <c r="F21" s="309" t="str">
        <f ca="1">IF(ROWS($1:11)&gt;COUNT(Dong6),"",OFFSET(TH!M$1,SMALL(Dong6,ROWS($1:11)),))</f>
        <v/>
      </c>
      <c r="G21" s="310" t="str">
        <f ca="1">IF(ROWS($1:11)&gt;COUNT(Dong6),"",OFFSET(TH!N$1,SMALL(Dong6,ROWS($1:11)),))</f>
        <v/>
      </c>
      <c r="H21" s="310" t="str">
        <f ca="1">IF(ROWS($1:11)&gt;COUNT(Dong6),"",OFFSET(TH!O$1,SMALL(Dong6,ROWS($1:11)),))</f>
        <v/>
      </c>
      <c r="I21" s="60">
        <f t="shared" ca="1" si="0"/>
        <v>11</v>
      </c>
      <c r="J21" s="260">
        <f t="shared" ca="1" si="61"/>
        <v>0</v>
      </c>
      <c r="K21" s="260">
        <f t="shared" ca="1" si="62"/>
        <v>0</v>
      </c>
      <c r="L21" s="260">
        <f t="shared" ca="1" si="1"/>
        <v>0</v>
      </c>
      <c r="M21" s="260">
        <f t="shared" ca="1" si="2"/>
        <v>0</v>
      </c>
      <c r="N21" s="260">
        <f t="shared" ca="1" si="3"/>
        <v>0</v>
      </c>
      <c r="O21" s="260">
        <f t="shared" ca="1" si="4"/>
        <v>0</v>
      </c>
      <c r="P21" s="260">
        <f t="shared" ca="1" si="5"/>
        <v>0</v>
      </c>
      <c r="Q21" s="260">
        <f t="shared" ca="1" si="6"/>
        <v>0</v>
      </c>
      <c r="R21" s="260">
        <f t="shared" ca="1" si="7"/>
        <v>0</v>
      </c>
      <c r="S21" s="260">
        <f t="shared" ca="1" si="8"/>
        <v>0</v>
      </c>
      <c r="T21" s="260">
        <f t="shared" ca="1" si="9"/>
        <v>0</v>
      </c>
      <c r="U21" s="260">
        <f t="shared" ca="1" si="10"/>
        <v>0</v>
      </c>
      <c r="V21" s="260">
        <f t="shared" ca="1" si="11"/>
        <v>0</v>
      </c>
      <c r="W21" s="260">
        <f t="shared" ca="1" si="12"/>
        <v>0</v>
      </c>
      <c r="X21" s="260">
        <f t="shared" ca="1" si="13"/>
        <v>0</v>
      </c>
      <c r="Y21" s="260">
        <f t="shared" ca="1" si="14"/>
        <v>0</v>
      </c>
      <c r="Z21" s="260">
        <f t="shared" ca="1" si="15"/>
        <v>0</v>
      </c>
      <c r="AA21" s="260">
        <f t="shared" ca="1" si="16"/>
        <v>0</v>
      </c>
      <c r="AB21" s="260">
        <f t="shared" ca="1" si="63"/>
        <v>0</v>
      </c>
      <c r="AC21" s="260">
        <f t="shared" ca="1" si="64"/>
        <v>0</v>
      </c>
      <c r="AD21" s="260">
        <f t="shared" ca="1" si="17"/>
        <v>0</v>
      </c>
      <c r="AE21" s="260">
        <f t="shared" ca="1" si="18"/>
        <v>0</v>
      </c>
      <c r="AF21" s="260">
        <f t="shared" ca="1" si="19"/>
        <v>0</v>
      </c>
      <c r="AG21" s="260">
        <f t="shared" ca="1" si="20"/>
        <v>0</v>
      </c>
      <c r="AH21" s="260">
        <f t="shared" ca="1" si="65"/>
        <v>0</v>
      </c>
      <c r="AI21" s="260">
        <f t="shared" ca="1" si="66"/>
        <v>0</v>
      </c>
      <c r="AJ21" s="260">
        <f t="shared" ca="1" si="67"/>
        <v>0</v>
      </c>
      <c r="AK21" s="260">
        <f t="shared" ca="1" si="68"/>
        <v>0</v>
      </c>
      <c r="AL21" s="260">
        <f t="shared" ca="1" si="69"/>
        <v>0</v>
      </c>
      <c r="AM21" s="260">
        <f t="shared" ca="1" si="70"/>
        <v>0</v>
      </c>
      <c r="AN21" s="260">
        <f t="shared" ca="1" si="71"/>
        <v>0</v>
      </c>
      <c r="AO21" s="260">
        <f t="shared" ca="1" si="72"/>
        <v>0</v>
      </c>
      <c r="AP21" s="260">
        <f t="shared" ca="1" si="21"/>
        <v>0</v>
      </c>
      <c r="AQ21" s="260">
        <f t="shared" ca="1" si="22"/>
        <v>0</v>
      </c>
      <c r="AR21" s="260">
        <f t="shared" ca="1" si="23"/>
        <v>0</v>
      </c>
      <c r="AS21" s="260">
        <f t="shared" ca="1" si="24"/>
        <v>0</v>
      </c>
      <c r="AT21" s="260">
        <f t="shared" ca="1" si="73"/>
        <v>0</v>
      </c>
      <c r="AU21" s="260">
        <f t="shared" ca="1" si="74"/>
        <v>0</v>
      </c>
      <c r="AV21" s="260">
        <f t="shared" ca="1" si="25"/>
        <v>0</v>
      </c>
      <c r="AW21" s="260">
        <f t="shared" ca="1" si="26"/>
        <v>0</v>
      </c>
      <c r="AX21" s="260">
        <f t="shared" ca="1" si="27"/>
        <v>0</v>
      </c>
      <c r="AY21" s="260">
        <f t="shared" ca="1" si="28"/>
        <v>0</v>
      </c>
      <c r="AZ21" s="260">
        <f t="shared" ca="1" si="29"/>
        <v>0</v>
      </c>
      <c r="BA21" s="260">
        <f t="shared" ca="1" si="30"/>
        <v>0</v>
      </c>
      <c r="BB21" s="260">
        <f t="shared" ca="1" si="31"/>
        <v>0</v>
      </c>
      <c r="BC21" s="260">
        <f t="shared" ca="1" si="32"/>
        <v>0</v>
      </c>
      <c r="BD21" s="260">
        <f t="shared" ca="1" si="33"/>
        <v>0</v>
      </c>
      <c r="BE21" s="260">
        <f t="shared" ca="1" si="34"/>
        <v>0</v>
      </c>
      <c r="BF21" s="260">
        <f t="shared" ca="1" si="35"/>
        <v>0</v>
      </c>
      <c r="BG21" s="260">
        <f t="shared" ca="1" si="36"/>
        <v>0</v>
      </c>
      <c r="BH21" s="260">
        <f t="shared" ca="1" si="75"/>
        <v>0</v>
      </c>
      <c r="BI21" s="260">
        <f t="shared" ca="1" si="76"/>
        <v>0</v>
      </c>
      <c r="BJ21" s="260">
        <f t="shared" ca="1" si="37"/>
        <v>0</v>
      </c>
      <c r="BK21" s="260">
        <f t="shared" ca="1" si="38"/>
        <v>0</v>
      </c>
      <c r="BL21" s="260">
        <f t="shared" ca="1" si="39"/>
        <v>0</v>
      </c>
      <c r="BM21" s="260">
        <f t="shared" ca="1" si="40"/>
        <v>0</v>
      </c>
      <c r="BN21" s="260">
        <f t="shared" ca="1" si="41"/>
        <v>0</v>
      </c>
      <c r="BO21" s="260">
        <f t="shared" ca="1" si="42"/>
        <v>0</v>
      </c>
      <c r="BP21" s="260">
        <f t="shared" ca="1" si="77"/>
        <v>0</v>
      </c>
      <c r="BQ21" s="260">
        <f t="shared" ca="1" si="78"/>
        <v>0</v>
      </c>
      <c r="BR21" s="260">
        <f t="shared" ca="1" si="43"/>
        <v>0</v>
      </c>
      <c r="BS21" s="260">
        <f t="shared" ca="1" si="44"/>
        <v>0</v>
      </c>
      <c r="BT21" s="260">
        <f t="shared" ca="1" si="79"/>
        <v>0</v>
      </c>
      <c r="BU21" s="260">
        <f t="shared" ca="1" si="80"/>
        <v>0</v>
      </c>
      <c r="BV21" s="260">
        <f t="shared" ca="1" si="81"/>
        <v>0</v>
      </c>
      <c r="BW21" s="260">
        <f t="shared" ca="1" si="82"/>
        <v>0</v>
      </c>
      <c r="BX21" s="260">
        <f t="shared" ca="1" si="45"/>
        <v>0</v>
      </c>
      <c r="BY21" s="260">
        <f t="shared" ca="1" si="46"/>
        <v>0</v>
      </c>
      <c r="BZ21" s="260">
        <f t="shared" ca="1" si="47"/>
        <v>0</v>
      </c>
      <c r="CA21" s="260">
        <f t="shared" ca="1" si="48"/>
        <v>0</v>
      </c>
      <c r="CB21" s="260">
        <f t="shared" ca="1" si="49"/>
        <v>0</v>
      </c>
      <c r="CC21" s="260">
        <f t="shared" ca="1" si="50"/>
        <v>0</v>
      </c>
      <c r="CD21" s="260">
        <f t="shared" ca="1" si="83"/>
        <v>0</v>
      </c>
      <c r="CE21" s="260">
        <f t="shared" ca="1" si="84"/>
        <v>0</v>
      </c>
      <c r="CF21" s="260">
        <f t="shared" ca="1" si="85"/>
        <v>0</v>
      </c>
      <c r="CG21" s="260">
        <f t="shared" ca="1" si="86"/>
        <v>0</v>
      </c>
      <c r="CH21" s="260">
        <f t="shared" ca="1" si="51"/>
        <v>0</v>
      </c>
      <c r="CI21" s="260">
        <f t="shared" ca="1" si="52"/>
        <v>0</v>
      </c>
      <c r="CJ21" s="260">
        <f t="shared" ca="1" si="87"/>
        <v>0</v>
      </c>
      <c r="CK21" s="260">
        <f t="shared" ca="1" si="88"/>
        <v>0</v>
      </c>
      <c r="CL21" s="260">
        <f t="shared" ca="1" si="53"/>
        <v>0</v>
      </c>
      <c r="CM21" s="260">
        <f t="shared" ca="1" si="54"/>
        <v>0</v>
      </c>
      <c r="CN21" s="260">
        <f t="shared" ca="1" si="55"/>
        <v>0</v>
      </c>
      <c r="CO21" s="260">
        <f t="shared" ca="1" si="56"/>
        <v>0</v>
      </c>
      <c r="CP21" s="260">
        <f t="shared" ca="1" si="89"/>
        <v>0</v>
      </c>
      <c r="CQ21" s="260">
        <f t="shared" ca="1" si="90"/>
        <v>0</v>
      </c>
      <c r="CR21" s="260">
        <f t="shared" ca="1" si="91"/>
        <v>0</v>
      </c>
      <c r="CS21" s="260">
        <f t="shared" ca="1" si="92"/>
        <v>0</v>
      </c>
      <c r="CT21" s="260">
        <f t="shared" ca="1" si="57"/>
        <v>0</v>
      </c>
      <c r="CU21" s="260">
        <f t="shared" ca="1" si="58"/>
        <v>0</v>
      </c>
      <c r="CV21" s="260">
        <f t="shared" ca="1" si="59"/>
        <v>0</v>
      </c>
      <c r="CW21" s="260">
        <f t="shared" ca="1" si="60"/>
        <v>0</v>
      </c>
      <c r="CX21" s="260">
        <f t="shared" ca="1" si="93"/>
        <v>0</v>
      </c>
      <c r="CY21" s="260">
        <f t="shared" ca="1" si="94"/>
        <v>0</v>
      </c>
      <c r="CZ21" s="260">
        <f t="shared" ca="1" si="95"/>
        <v>0</v>
      </c>
      <c r="DA21" s="260">
        <f t="shared" ca="1" si="96"/>
        <v>0</v>
      </c>
    </row>
    <row r="22" spans="1:105" s="257" customFormat="1" ht="15" customHeight="1">
      <c r="A22" s="60">
        <f t="array" aca="1" ref="A22" ca="1">IF(C22&lt;&gt;0,SUM(($C$11:C22&lt;&gt;0)*1),"")</f>
        <v>12</v>
      </c>
      <c r="B22" s="258" t="str">
        <f ca="1">IF(ROWS($1:12)&gt;COUNT(Dong6),"",OFFSET(TH!C$1,SMALL(Dong6,ROWS($1:12)),))</f>
        <v/>
      </c>
      <c r="C22" s="258" t="str">
        <f ca="1">IF(ROWS($1:12)&gt;COUNT(Dong6),"",OFFSET(TH!D$1,SMALL(Dong6,ROWS($1:12)),))</f>
        <v/>
      </c>
      <c r="D22" s="258" t="str">
        <f ca="1">IF(ROWS($1:12)&gt;COUNT(Dong6),"",OFFSET(TH!E$1,SMALL(Dong6,ROWS($1:12)),))</f>
        <v/>
      </c>
      <c r="E22" s="308" t="str">
        <f ca="1">IF(ROWS($1:12)&gt;COUNT(Dong6),"",OFFSET(TH!F$1,SMALL(Dong6,ROWS($1:12)),))</f>
        <v/>
      </c>
      <c r="F22" s="309" t="str">
        <f ca="1">IF(ROWS($1:12)&gt;COUNT(Dong6),"",OFFSET(TH!M$1,SMALL(Dong6,ROWS($1:12)),))</f>
        <v/>
      </c>
      <c r="G22" s="310" t="str">
        <f ca="1">IF(ROWS($1:12)&gt;COUNT(Dong6),"",OFFSET(TH!N$1,SMALL(Dong6,ROWS($1:12)),))</f>
        <v/>
      </c>
      <c r="H22" s="310" t="str">
        <f ca="1">IF(ROWS($1:12)&gt;COUNT(Dong6),"",OFFSET(TH!O$1,SMALL(Dong6,ROWS($1:12)),))</f>
        <v/>
      </c>
      <c r="I22" s="60">
        <f t="shared" ca="1" si="0"/>
        <v>12</v>
      </c>
      <c r="J22" s="260">
        <f t="shared" ca="1" si="61"/>
        <v>0</v>
      </c>
      <c r="K22" s="260">
        <f t="shared" ca="1" si="62"/>
        <v>0</v>
      </c>
      <c r="L22" s="260">
        <f t="shared" ca="1" si="1"/>
        <v>0</v>
      </c>
      <c r="M22" s="260">
        <f t="shared" ca="1" si="2"/>
        <v>0</v>
      </c>
      <c r="N22" s="260">
        <f t="shared" ca="1" si="3"/>
        <v>0</v>
      </c>
      <c r="O22" s="260">
        <f t="shared" ca="1" si="4"/>
        <v>0</v>
      </c>
      <c r="P22" s="260">
        <f t="shared" ca="1" si="5"/>
        <v>0</v>
      </c>
      <c r="Q22" s="260">
        <f t="shared" ca="1" si="6"/>
        <v>0</v>
      </c>
      <c r="R22" s="260">
        <f t="shared" ca="1" si="7"/>
        <v>0</v>
      </c>
      <c r="S22" s="260">
        <f t="shared" ca="1" si="8"/>
        <v>0</v>
      </c>
      <c r="T22" s="260">
        <f t="shared" ca="1" si="9"/>
        <v>0</v>
      </c>
      <c r="U22" s="260">
        <f t="shared" ca="1" si="10"/>
        <v>0</v>
      </c>
      <c r="V22" s="260">
        <f t="shared" ca="1" si="11"/>
        <v>0</v>
      </c>
      <c r="W22" s="260">
        <f t="shared" ca="1" si="12"/>
        <v>0</v>
      </c>
      <c r="X22" s="260">
        <f t="shared" ca="1" si="13"/>
        <v>0</v>
      </c>
      <c r="Y22" s="260">
        <f t="shared" ca="1" si="14"/>
        <v>0</v>
      </c>
      <c r="Z22" s="260">
        <f t="shared" ca="1" si="15"/>
        <v>0</v>
      </c>
      <c r="AA22" s="260">
        <f t="shared" ca="1" si="16"/>
        <v>0</v>
      </c>
      <c r="AB22" s="260">
        <f t="shared" ca="1" si="63"/>
        <v>0</v>
      </c>
      <c r="AC22" s="260">
        <f t="shared" ca="1" si="64"/>
        <v>0</v>
      </c>
      <c r="AD22" s="260">
        <f t="shared" ca="1" si="17"/>
        <v>0</v>
      </c>
      <c r="AE22" s="260">
        <f t="shared" ca="1" si="18"/>
        <v>0</v>
      </c>
      <c r="AF22" s="260">
        <f t="shared" ca="1" si="19"/>
        <v>0</v>
      </c>
      <c r="AG22" s="260">
        <f t="shared" ca="1" si="20"/>
        <v>0</v>
      </c>
      <c r="AH22" s="260">
        <f t="shared" ca="1" si="65"/>
        <v>0</v>
      </c>
      <c r="AI22" s="260">
        <f t="shared" ca="1" si="66"/>
        <v>0</v>
      </c>
      <c r="AJ22" s="260">
        <f t="shared" ca="1" si="67"/>
        <v>0</v>
      </c>
      <c r="AK22" s="260">
        <f t="shared" ca="1" si="68"/>
        <v>0</v>
      </c>
      <c r="AL22" s="260">
        <f t="shared" ca="1" si="69"/>
        <v>0</v>
      </c>
      <c r="AM22" s="260">
        <f t="shared" ca="1" si="70"/>
        <v>0</v>
      </c>
      <c r="AN22" s="260">
        <f t="shared" ca="1" si="71"/>
        <v>0</v>
      </c>
      <c r="AO22" s="260">
        <f t="shared" ca="1" si="72"/>
        <v>0</v>
      </c>
      <c r="AP22" s="260">
        <f t="shared" ca="1" si="21"/>
        <v>0</v>
      </c>
      <c r="AQ22" s="260">
        <f t="shared" ca="1" si="22"/>
        <v>0</v>
      </c>
      <c r="AR22" s="260">
        <f t="shared" ca="1" si="23"/>
        <v>0</v>
      </c>
      <c r="AS22" s="260">
        <f t="shared" ca="1" si="24"/>
        <v>0</v>
      </c>
      <c r="AT22" s="260">
        <f t="shared" ca="1" si="73"/>
        <v>0</v>
      </c>
      <c r="AU22" s="260">
        <f t="shared" ca="1" si="74"/>
        <v>0</v>
      </c>
      <c r="AV22" s="260">
        <f t="shared" ca="1" si="25"/>
        <v>0</v>
      </c>
      <c r="AW22" s="260">
        <f t="shared" ca="1" si="26"/>
        <v>0</v>
      </c>
      <c r="AX22" s="260">
        <f t="shared" ca="1" si="27"/>
        <v>0</v>
      </c>
      <c r="AY22" s="260">
        <f t="shared" ca="1" si="28"/>
        <v>0</v>
      </c>
      <c r="AZ22" s="260">
        <f t="shared" ca="1" si="29"/>
        <v>0</v>
      </c>
      <c r="BA22" s="260">
        <f t="shared" ca="1" si="30"/>
        <v>0</v>
      </c>
      <c r="BB22" s="260">
        <f t="shared" ca="1" si="31"/>
        <v>0</v>
      </c>
      <c r="BC22" s="260">
        <f t="shared" ca="1" si="32"/>
        <v>0</v>
      </c>
      <c r="BD22" s="260">
        <f t="shared" ca="1" si="33"/>
        <v>0</v>
      </c>
      <c r="BE22" s="260">
        <f t="shared" ca="1" si="34"/>
        <v>0</v>
      </c>
      <c r="BF22" s="260">
        <f t="shared" ca="1" si="35"/>
        <v>0</v>
      </c>
      <c r="BG22" s="260">
        <f t="shared" ca="1" si="36"/>
        <v>0</v>
      </c>
      <c r="BH22" s="260">
        <f t="shared" ca="1" si="75"/>
        <v>0</v>
      </c>
      <c r="BI22" s="260">
        <f t="shared" ca="1" si="76"/>
        <v>0</v>
      </c>
      <c r="BJ22" s="260">
        <f t="shared" ca="1" si="37"/>
        <v>0</v>
      </c>
      <c r="BK22" s="260">
        <f t="shared" ca="1" si="38"/>
        <v>0</v>
      </c>
      <c r="BL22" s="260">
        <f t="shared" ca="1" si="39"/>
        <v>0</v>
      </c>
      <c r="BM22" s="260">
        <f t="shared" ca="1" si="40"/>
        <v>0</v>
      </c>
      <c r="BN22" s="260">
        <f t="shared" ca="1" si="41"/>
        <v>0</v>
      </c>
      <c r="BO22" s="260">
        <f t="shared" ca="1" si="42"/>
        <v>0</v>
      </c>
      <c r="BP22" s="260">
        <f t="shared" ca="1" si="77"/>
        <v>0</v>
      </c>
      <c r="BQ22" s="260">
        <f t="shared" ca="1" si="78"/>
        <v>0</v>
      </c>
      <c r="BR22" s="260">
        <f t="shared" ca="1" si="43"/>
        <v>0</v>
      </c>
      <c r="BS22" s="260">
        <f t="shared" ca="1" si="44"/>
        <v>0</v>
      </c>
      <c r="BT22" s="260">
        <f t="shared" ca="1" si="79"/>
        <v>0</v>
      </c>
      <c r="BU22" s="260">
        <f t="shared" ca="1" si="80"/>
        <v>0</v>
      </c>
      <c r="BV22" s="260">
        <f t="shared" ca="1" si="81"/>
        <v>0</v>
      </c>
      <c r="BW22" s="260">
        <f t="shared" ca="1" si="82"/>
        <v>0</v>
      </c>
      <c r="BX22" s="260">
        <f t="shared" ca="1" si="45"/>
        <v>0</v>
      </c>
      <c r="BY22" s="260">
        <f t="shared" ca="1" si="46"/>
        <v>0</v>
      </c>
      <c r="BZ22" s="260">
        <f t="shared" ca="1" si="47"/>
        <v>0</v>
      </c>
      <c r="CA22" s="260">
        <f t="shared" ca="1" si="48"/>
        <v>0</v>
      </c>
      <c r="CB22" s="260">
        <f t="shared" ca="1" si="49"/>
        <v>0</v>
      </c>
      <c r="CC22" s="260">
        <f t="shared" ca="1" si="50"/>
        <v>0</v>
      </c>
      <c r="CD22" s="260">
        <f t="shared" ca="1" si="83"/>
        <v>0</v>
      </c>
      <c r="CE22" s="260">
        <f t="shared" ca="1" si="84"/>
        <v>0</v>
      </c>
      <c r="CF22" s="260">
        <f t="shared" ca="1" si="85"/>
        <v>0</v>
      </c>
      <c r="CG22" s="260">
        <f t="shared" ca="1" si="86"/>
        <v>0</v>
      </c>
      <c r="CH22" s="260">
        <f t="shared" ca="1" si="51"/>
        <v>0</v>
      </c>
      <c r="CI22" s="260">
        <f t="shared" ca="1" si="52"/>
        <v>0</v>
      </c>
      <c r="CJ22" s="260">
        <f t="shared" ca="1" si="87"/>
        <v>0</v>
      </c>
      <c r="CK22" s="260">
        <f t="shared" ca="1" si="88"/>
        <v>0</v>
      </c>
      <c r="CL22" s="260">
        <f t="shared" ca="1" si="53"/>
        <v>0</v>
      </c>
      <c r="CM22" s="260">
        <f t="shared" ca="1" si="54"/>
        <v>0</v>
      </c>
      <c r="CN22" s="260">
        <f t="shared" ca="1" si="55"/>
        <v>0</v>
      </c>
      <c r="CO22" s="260">
        <f t="shared" ca="1" si="56"/>
        <v>0</v>
      </c>
      <c r="CP22" s="260">
        <f t="shared" ca="1" si="89"/>
        <v>0</v>
      </c>
      <c r="CQ22" s="260">
        <f t="shared" ca="1" si="90"/>
        <v>0</v>
      </c>
      <c r="CR22" s="260">
        <f t="shared" ca="1" si="91"/>
        <v>0</v>
      </c>
      <c r="CS22" s="260">
        <f t="shared" ca="1" si="92"/>
        <v>0</v>
      </c>
      <c r="CT22" s="260">
        <f t="shared" ca="1" si="57"/>
        <v>0</v>
      </c>
      <c r="CU22" s="260">
        <f t="shared" ca="1" si="58"/>
        <v>0</v>
      </c>
      <c r="CV22" s="260">
        <f t="shared" ca="1" si="59"/>
        <v>0</v>
      </c>
      <c r="CW22" s="260">
        <f t="shared" ca="1" si="60"/>
        <v>0</v>
      </c>
      <c r="CX22" s="260">
        <f t="shared" ca="1" si="93"/>
        <v>0</v>
      </c>
      <c r="CY22" s="260">
        <f t="shared" ca="1" si="94"/>
        <v>0</v>
      </c>
      <c r="CZ22" s="260">
        <f t="shared" ca="1" si="95"/>
        <v>0</v>
      </c>
      <c r="DA22" s="260">
        <f t="shared" ca="1" si="96"/>
        <v>0</v>
      </c>
    </row>
    <row r="23" spans="1:105" s="257" customFormat="1" ht="15" customHeight="1">
      <c r="A23" s="60">
        <f t="array" aca="1" ref="A23" ca="1">IF(C23&lt;&gt;0,SUM(($C$11:C23&lt;&gt;0)*1),"")</f>
        <v>13</v>
      </c>
      <c r="B23" s="258" t="str">
        <f ca="1">IF(ROWS($1:13)&gt;COUNT(Dong6),"",OFFSET(TH!C$1,SMALL(Dong6,ROWS($1:13)),))</f>
        <v/>
      </c>
      <c r="C23" s="258" t="str">
        <f ca="1">IF(ROWS($1:13)&gt;COUNT(Dong6),"",OFFSET(TH!D$1,SMALL(Dong6,ROWS($1:13)),))</f>
        <v/>
      </c>
      <c r="D23" s="258" t="str">
        <f ca="1">IF(ROWS($1:13)&gt;COUNT(Dong6),"",OFFSET(TH!E$1,SMALL(Dong6,ROWS($1:13)),))</f>
        <v/>
      </c>
      <c r="E23" s="308" t="str">
        <f ca="1">IF(ROWS($1:13)&gt;COUNT(Dong6),"",OFFSET(TH!F$1,SMALL(Dong6,ROWS($1:13)),))</f>
        <v/>
      </c>
      <c r="F23" s="309" t="str">
        <f ca="1">IF(ROWS($1:13)&gt;COUNT(Dong6),"",OFFSET(TH!M$1,SMALL(Dong6,ROWS($1:13)),))</f>
        <v/>
      </c>
      <c r="G23" s="310" t="str">
        <f ca="1">IF(ROWS($1:13)&gt;COUNT(Dong6),"",OFFSET(TH!N$1,SMALL(Dong6,ROWS($1:13)),))</f>
        <v/>
      </c>
      <c r="H23" s="310" t="str">
        <f ca="1">IF(ROWS($1:13)&gt;COUNT(Dong6),"",OFFSET(TH!O$1,SMALL(Dong6,ROWS($1:13)),))</f>
        <v/>
      </c>
      <c r="I23" s="60">
        <f t="shared" ca="1" si="0"/>
        <v>13</v>
      </c>
      <c r="J23" s="260">
        <f t="shared" ca="1" si="61"/>
        <v>0</v>
      </c>
      <c r="K23" s="260">
        <f t="shared" ca="1" si="62"/>
        <v>0</v>
      </c>
      <c r="L23" s="260">
        <f t="shared" ca="1" si="1"/>
        <v>0</v>
      </c>
      <c r="M23" s="260">
        <f t="shared" ca="1" si="2"/>
        <v>0</v>
      </c>
      <c r="N23" s="260">
        <f t="shared" ca="1" si="3"/>
        <v>0</v>
      </c>
      <c r="O23" s="260">
        <f t="shared" ca="1" si="4"/>
        <v>0</v>
      </c>
      <c r="P23" s="260">
        <f t="shared" ca="1" si="5"/>
        <v>0</v>
      </c>
      <c r="Q23" s="260">
        <f t="shared" ca="1" si="6"/>
        <v>0</v>
      </c>
      <c r="R23" s="260">
        <f t="shared" ca="1" si="7"/>
        <v>0</v>
      </c>
      <c r="S23" s="260">
        <f t="shared" ca="1" si="8"/>
        <v>0</v>
      </c>
      <c r="T23" s="260">
        <f t="shared" ca="1" si="9"/>
        <v>0</v>
      </c>
      <c r="U23" s="260">
        <f t="shared" ca="1" si="10"/>
        <v>0</v>
      </c>
      <c r="V23" s="260">
        <f t="shared" ca="1" si="11"/>
        <v>0</v>
      </c>
      <c r="W23" s="260">
        <f t="shared" ca="1" si="12"/>
        <v>0</v>
      </c>
      <c r="X23" s="260">
        <f t="shared" ca="1" si="13"/>
        <v>0</v>
      </c>
      <c r="Y23" s="260">
        <f t="shared" ca="1" si="14"/>
        <v>0</v>
      </c>
      <c r="Z23" s="260">
        <f t="shared" ca="1" si="15"/>
        <v>0</v>
      </c>
      <c r="AA23" s="260">
        <f t="shared" ca="1" si="16"/>
        <v>0</v>
      </c>
      <c r="AB23" s="260">
        <f t="shared" ca="1" si="63"/>
        <v>0</v>
      </c>
      <c r="AC23" s="260">
        <f t="shared" ca="1" si="64"/>
        <v>0</v>
      </c>
      <c r="AD23" s="260">
        <f t="shared" ca="1" si="17"/>
        <v>0</v>
      </c>
      <c r="AE23" s="260">
        <f t="shared" ca="1" si="18"/>
        <v>0</v>
      </c>
      <c r="AF23" s="260">
        <f t="shared" ca="1" si="19"/>
        <v>0</v>
      </c>
      <c r="AG23" s="260">
        <f t="shared" ca="1" si="20"/>
        <v>0</v>
      </c>
      <c r="AH23" s="260">
        <f t="shared" ca="1" si="65"/>
        <v>0</v>
      </c>
      <c r="AI23" s="260">
        <f t="shared" ca="1" si="66"/>
        <v>0</v>
      </c>
      <c r="AJ23" s="260">
        <f t="shared" ca="1" si="67"/>
        <v>0</v>
      </c>
      <c r="AK23" s="260">
        <f t="shared" ca="1" si="68"/>
        <v>0</v>
      </c>
      <c r="AL23" s="260">
        <f t="shared" ca="1" si="69"/>
        <v>0</v>
      </c>
      <c r="AM23" s="260">
        <f t="shared" ca="1" si="70"/>
        <v>0</v>
      </c>
      <c r="AN23" s="260">
        <f t="shared" ca="1" si="71"/>
        <v>0</v>
      </c>
      <c r="AO23" s="260">
        <f t="shared" ca="1" si="72"/>
        <v>0</v>
      </c>
      <c r="AP23" s="260">
        <f t="shared" ca="1" si="21"/>
        <v>0</v>
      </c>
      <c r="AQ23" s="260">
        <f t="shared" ca="1" si="22"/>
        <v>0</v>
      </c>
      <c r="AR23" s="260">
        <f t="shared" ca="1" si="23"/>
        <v>0</v>
      </c>
      <c r="AS23" s="260">
        <f t="shared" ca="1" si="24"/>
        <v>0</v>
      </c>
      <c r="AT23" s="260">
        <f t="shared" ca="1" si="73"/>
        <v>0</v>
      </c>
      <c r="AU23" s="260">
        <f t="shared" ca="1" si="74"/>
        <v>0</v>
      </c>
      <c r="AV23" s="260">
        <f t="shared" ca="1" si="25"/>
        <v>0</v>
      </c>
      <c r="AW23" s="260">
        <f t="shared" ca="1" si="26"/>
        <v>0</v>
      </c>
      <c r="AX23" s="260">
        <f t="shared" ca="1" si="27"/>
        <v>0</v>
      </c>
      <c r="AY23" s="260">
        <f t="shared" ca="1" si="28"/>
        <v>0</v>
      </c>
      <c r="AZ23" s="260">
        <f t="shared" ca="1" si="29"/>
        <v>0</v>
      </c>
      <c r="BA23" s="260">
        <f t="shared" ca="1" si="30"/>
        <v>0</v>
      </c>
      <c r="BB23" s="260">
        <f t="shared" ca="1" si="31"/>
        <v>0</v>
      </c>
      <c r="BC23" s="260">
        <f t="shared" ca="1" si="32"/>
        <v>0</v>
      </c>
      <c r="BD23" s="260">
        <f t="shared" ca="1" si="33"/>
        <v>0</v>
      </c>
      <c r="BE23" s="260">
        <f t="shared" ca="1" si="34"/>
        <v>0</v>
      </c>
      <c r="BF23" s="260">
        <f t="shared" ca="1" si="35"/>
        <v>0</v>
      </c>
      <c r="BG23" s="260">
        <f t="shared" ca="1" si="36"/>
        <v>0</v>
      </c>
      <c r="BH23" s="260">
        <f t="shared" ca="1" si="75"/>
        <v>0</v>
      </c>
      <c r="BI23" s="260">
        <f t="shared" ca="1" si="76"/>
        <v>0</v>
      </c>
      <c r="BJ23" s="260">
        <f t="shared" ca="1" si="37"/>
        <v>0</v>
      </c>
      <c r="BK23" s="260">
        <f t="shared" ca="1" si="38"/>
        <v>0</v>
      </c>
      <c r="BL23" s="260">
        <f t="shared" ca="1" si="39"/>
        <v>0</v>
      </c>
      <c r="BM23" s="260">
        <f t="shared" ca="1" si="40"/>
        <v>0</v>
      </c>
      <c r="BN23" s="260">
        <f t="shared" ca="1" si="41"/>
        <v>0</v>
      </c>
      <c r="BO23" s="260">
        <f t="shared" ca="1" si="42"/>
        <v>0</v>
      </c>
      <c r="BP23" s="260">
        <f t="shared" ca="1" si="77"/>
        <v>0</v>
      </c>
      <c r="BQ23" s="260">
        <f t="shared" ca="1" si="78"/>
        <v>0</v>
      </c>
      <c r="BR23" s="260">
        <f t="shared" ca="1" si="43"/>
        <v>0</v>
      </c>
      <c r="BS23" s="260">
        <f t="shared" ca="1" si="44"/>
        <v>0</v>
      </c>
      <c r="BT23" s="260">
        <f t="shared" ca="1" si="79"/>
        <v>0</v>
      </c>
      <c r="BU23" s="260">
        <f t="shared" ca="1" si="80"/>
        <v>0</v>
      </c>
      <c r="BV23" s="260">
        <f t="shared" ca="1" si="81"/>
        <v>0</v>
      </c>
      <c r="BW23" s="260">
        <f t="shared" ca="1" si="82"/>
        <v>0</v>
      </c>
      <c r="BX23" s="260">
        <f t="shared" ca="1" si="45"/>
        <v>0</v>
      </c>
      <c r="BY23" s="260">
        <f t="shared" ca="1" si="46"/>
        <v>0</v>
      </c>
      <c r="BZ23" s="260">
        <f t="shared" ca="1" si="47"/>
        <v>0</v>
      </c>
      <c r="CA23" s="260">
        <f t="shared" ca="1" si="48"/>
        <v>0</v>
      </c>
      <c r="CB23" s="260">
        <f t="shared" ca="1" si="49"/>
        <v>0</v>
      </c>
      <c r="CC23" s="260">
        <f t="shared" ca="1" si="50"/>
        <v>0</v>
      </c>
      <c r="CD23" s="260">
        <f t="shared" ca="1" si="83"/>
        <v>0</v>
      </c>
      <c r="CE23" s="260">
        <f t="shared" ca="1" si="84"/>
        <v>0</v>
      </c>
      <c r="CF23" s="260">
        <f t="shared" ca="1" si="85"/>
        <v>0</v>
      </c>
      <c r="CG23" s="260">
        <f t="shared" ca="1" si="86"/>
        <v>0</v>
      </c>
      <c r="CH23" s="260">
        <f t="shared" ca="1" si="51"/>
        <v>0</v>
      </c>
      <c r="CI23" s="260">
        <f t="shared" ca="1" si="52"/>
        <v>0</v>
      </c>
      <c r="CJ23" s="260">
        <f t="shared" ca="1" si="87"/>
        <v>0</v>
      </c>
      <c r="CK23" s="260">
        <f t="shared" ca="1" si="88"/>
        <v>0</v>
      </c>
      <c r="CL23" s="260">
        <f t="shared" ca="1" si="53"/>
        <v>0</v>
      </c>
      <c r="CM23" s="260">
        <f t="shared" ca="1" si="54"/>
        <v>0</v>
      </c>
      <c r="CN23" s="260">
        <f t="shared" ca="1" si="55"/>
        <v>0</v>
      </c>
      <c r="CO23" s="260">
        <f t="shared" ca="1" si="56"/>
        <v>0</v>
      </c>
      <c r="CP23" s="260">
        <f t="shared" ca="1" si="89"/>
        <v>0</v>
      </c>
      <c r="CQ23" s="260">
        <f t="shared" ca="1" si="90"/>
        <v>0</v>
      </c>
      <c r="CR23" s="260">
        <f t="shared" ca="1" si="91"/>
        <v>0</v>
      </c>
      <c r="CS23" s="260">
        <f t="shared" ca="1" si="92"/>
        <v>0</v>
      </c>
      <c r="CT23" s="260">
        <f t="shared" ca="1" si="57"/>
        <v>0</v>
      </c>
      <c r="CU23" s="260">
        <f t="shared" ca="1" si="58"/>
        <v>0</v>
      </c>
      <c r="CV23" s="260">
        <f t="shared" ca="1" si="59"/>
        <v>0</v>
      </c>
      <c r="CW23" s="260">
        <f t="shared" ca="1" si="60"/>
        <v>0</v>
      </c>
      <c r="CX23" s="260">
        <f t="shared" ca="1" si="93"/>
        <v>0</v>
      </c>
      <c r="CY23" s="260">
        <f t="shared" ca="1" si="94"/>
        <v>0</v>
      </c>
      <c r="CZ23" s="260">
        <f t="shared" ca="1" si="95"/>
        <v>0</v>
      </c>
      <c r="DA23" s="260">
        <f t="shared" ca="1" si="96"/>
        <v>0</v>
      </c>
    </row>
    <row r="24" spans="1:105" s="257" customFormat="1" ht="15" customHeight="1">
      <c r="A24" s="60">
        <f t="array" aca="1" ref="A24" ca="1">IF(C24&lt;&gt;0,SUM(($C$11:C24&lt;&gt;0)*1),"")</f>
        <v>14</v>
      </c>
      <c r="B24" s="258" t="str">
        <f ca="1">IF(ROWS($1:14)&gt;COUNT(Dong6),"",OFFSET(TH!C$1,SMALL(Dong6,ROWS($1:14)),))</f>
        <v/>
      </c>
      <c r="C24" s="258" t="str">
        <f ca="1">IF(ROWS($1:14)&gt;COUNT(Dong6),"",OFFSET(TH!D$1,SMALL(Dong6,ROWS($1:14)),))</f>
        <v/>
      </c>
      <c r="D24" s="258" t="str">
        <f ca="1">IF(ROWS($1:14)&gt;COUNT(Dong6),"",OFFSET(TH!E$1,SMALL(Dong6,ROWS($1:14)),))</f>
        <v/>
      </c>
      <c r="E24" s="308" t="str">
        <f ca="1">IF(ROWS($1:14)&gt;COUNT(Dong6),"",OFFSET(TH!F$1,SMALL(Dong6,ROWS($1:14)),))</f>
        <v/>
      </c>
      <c r="F24" s="309" t="str">
        <f ca="1">IF(ROWS($1:14)&gt;COUNT(Dong6),"",OFFSET(TH!M$1,SMALL(Dong6,ROWS($1:14)),))</f>
        <v/>
      </c>
      <c r="G24" s="310" t="str">
        <f ca="1">IF(ROWS($1:14)&gt;COUNT(Dong6),"",OFFSET(TH!N$1,SMALL(Dong6,ROWS($1:14)),))</f>
        <v/>
      </c>
      <c r="H24" s="310" t="str">
        <f ca="1">IF(ROWS($1:14)&gt;COUNT(Dong6),"",OFFSET(TH!O$1,SMALL(Dong6,ROWS($1:14)),))</f>
        <v/>
      </c>
      <c r="I24" s="60">
        <f t="shared" ca="1" si="0"/>
        <v>14</v>
      </c>
      <c r="J24" s="260">
        <f t="shared" ca="1" si="61"/>
        <v>0</v>
      </c>
      <c r="K24" s="260">
        <f t="shared" ca="1" si="62"/>
        <v>0</v>
      </c>
      <c r="L24" s="260">
        <f t="shared" ca="1" si="1"/>
        <v>0</v>
      </c>
      <c r="M24" s="260">
        <f t="shared" ca="1" si="2"/>
        <v>0</v>
      </c>
      <c r="N24" s="260">
        <f t="shared" ca="1" si="3"/>
        <v>0</v>
      </c>
      <c r="O24" s="260">
        <f t="shared" ca="1" si="4"/>
        <v>0</v>
      </c>
      <c r="P24" s="260">
        <f t="shared" ca="1" si="5"/>
        <v>0</v>
      </c>
      <c r="Q24" s="260">
        <f t="shared" ca="1" si="6"/>
        <v>0</v>
      </c>
      <c r="R24" s="260">
        <f t="shared" ca="1" si="7"/>
        <v>0</v>
      </c>
      <c r="S24" s="260">
        <f t="shared" ca="1" si="8"/>
        <v>0</v>
      </c>
      <c r="T24" s="260">
        <f t="shared" ca="1" si="9"/>
        <v>0</v>
      </c>
      <c r="U24" s="260">
        <f t="shared" ca="1" si="10"/>
        <v>0</v>
      </c>
      <c r="V24" s="260">
        <f t="shared" ca="1" si="11"/>
        <v>0</v>
      </c>
      <c r="W24" s="260">
        <f t="shared" ca="1" si="12"/>
        <v>0</v>
      </c>
      <c r="X24" s="260">
        <f t="shared" ca="1" si="13"/>
        <v>0</v>
      </c>
      <c r="Y24" s="260">
        <f t="shared" ca="1" si="14"/>
        <v>0</v>
      </c>
      <c r="Z24" s="260">
        <f t="shared" ca="1" si="15"/>
        <v>0</v>
      </c>
      <c r="AA24" s="260">
        <f t="shared" ca="1" si="16"/>
        <v>0</v>
      </c>
      <c r="AB24" s="260">
        <f t="shared" ca="1" si="63"/>
        <v>0</v>
      </c>
      <c r="AC24" s="260">
        <f t="shared" ca="1" si="64"/>
        <v>0</v>
      </c>
      <c r="AD24" s="260">
        <f t="shared" ca="1" si="17"/>
        <v>0</v>
      </c>
      <c r="AE24" s="260">
        <f t="shared" ca="1" si="18"/>
        <v>0</v>
      </c>
      <c r="AF24" s="260">
        <f t="shared" ca="1" si="19"/>
        <v>0</v>
      </c>
      <c r="AG24" s="260">
        <f t="shared" ca="1" si="20"/>
        <v>0</v>
      </c>
      <c r="AH24" s="260">
        <f t="shared" ca="1" si="65"/>
        <v>0</v>
      </c>
      <c r="AI24" s="260">
        <f t="shared" ca="1" si="66"/>
        <v>0</v>
      </c>
      <c r="AJ24" s="260">
        <f t="shared" ca="1" si="67"/>
        <v>0</v>
      </c>
      <c r="AK24" s="260">
        <f t="shared" ca="1" si="68"/>
        <v>0</v>
      </c>
      <c r="AL24" s="260">
        <f t="shared" ca="1" si="69"/>
        <v>0</v>
      </c>
      <c r="AM24" s="260">
        <f t="shared" ca="1" si="70"/>
        <v>0</v>
      </c>
      <c r="AN24" s="260">
        <f t="shared" ca="1" si="71"/>
        <v>0</v>
      </c>
      <c r="AO24" s="260">
        <f t="shared" ca="1" si="72"/>
        <v>0</v>
      </c>
      <c r="AP24" s="260">
        <f t="shared" ca="1" si="21"/>
        <v>0</v>
      </c>
      <c r="AQ24" s="260">
        <f t="shared" ca="1" si="22"/>
        <v>0</v>
      </c>
      <c r="AR24" s="260">
        <f t="shared" ca="1" si="23"/>
        <v>0</v>
      </c>
      <c r="AS24" s="260">
        <f t="shared" ca="1" si="24"/>
        <v>0</v>
      </c>
      <c r="AT24" s="260">
        <f t="shared" ca="1" si="73"/>
        <v>0</v>
      </c>
      <c r="AU24" s="260">
        <f t="shared" ca="1" si="74"/>
        <v>0</v>
      </c>
      <c r="AV24" s="260">
        <f t="shared" ca="1" si="25"/>
        <v>0</v>
      </c>
      <c r="AW24" s="260">
        <f t="shared" ca="1" si="26"/>
        <v>0</v>
      </c>
      <c r="AX24" s="260">
        <f t="shared" ca="1" si="27"/>
        <v>0</v>
      </c>
      <c r="AY24" s="260">
        <f t="shared" ca="1" si="28"/>
        <v>0</v>
      </c>
      <c r="AZ24" s="260">
        <f t="shared" ca="1" si="29"/>
        <v>0</v>
      </c>
      <c r="BA24" s="260">
        <f t="shared" ca="1" si="30"/>
        <v>0</v>
      </c>
      <c r="BB24" s="260">
        <f t="shared" ca="1" si="31"/>
        <v>0</v>
      </c>
      <c r="BC24" s="260">
        <f t="shared" ca="1" si="32"/>
        <v>0</v>
      </c>
      <c r="BD24" s="260">
        <f t="shared" ca="1" si="33"/>
        <v>0</v>
      </c>
      <c r="BE24" s="260">
        <f t="shared" ca="1" si="34"/>
        <v>0</v>
      </c>
      <c r="BF24" s="260">
        <f t="shared" ca="1" si="35"/>
        <v>0</v>
      </c>
      <c r="BG24" s="260">
        <f t="shared" ca="1" si="36"/>
        <v>0</v>
      </c>
      <c r="BH24" s="260">
        <f t="shared" ca="1" si="75"/>
        <v>0</v>
      </c>
      <c r="BI24" s="260">
        <f t="shared" ca="1" si="76"/>
        <v>0</v>
      </c>
      <c r="BJ24" s="260">
        <f t="shared" ca="1" si="37"/>
        <v>0</v>
      </c>
      <c r="BK24" s="260">
        <f t="shared" ca="1" si="38"/>
        <v>0</v>
      </c>
      <c r="BL24" s="260">
        <f t="shared" ca="1" si="39"/>
        <v>0</v>
      </c>
      <c r="BM24" s="260">
        <f t="shared" ca="1" si="40"/>
        <v>0</v>
      </c>
      <c r="BN24" s="260">
        <f t="shared" ca="1" si="41"/>
        <v>0</v>
      </c>
      <c r="BO24" s="260">
        <f t="shared" ca="1" si="42"/>
        <v>0</v>
      </c>
      <c r="BP24" s="260">
        <f t="shared" ca="1" si="77"/>
        <v>0</v>
      </c>
      <c r="BQ24" s="260">
        <f t="shared" ca="1" si="78"/>
        <v>0</v>
      </c>
      <c r="BR24" s="260">
        <f t="shared" ca="1" si="43"/>
        <v>0</v>
      </c>
      <c r="BS24" s="260">
        <f t="shared" ca="1" si="44"/>
        <v>0</v>
      </c>
      <c r="BT24" s="260">
        <f t="shared" ca="1" si="79"/>
        <v>0</v>
      </c>
      <c r="BU24" s="260">
        <f t="shared" ca="1" si="80"/>
        <v>0</v>
      </c>
      <c r="BV24" s="260">
        <f t="shared" ca="1" si="81"/>
        <v>0</v>
      </c>
      <c r="BW24" s="260">
        <f t="shared" ca="1" si="82"/>
        <v>0</v>
      </c>
      <c r="BX24" s="260">
        <f t="shared" ca="1" si="45"/>
        <v>0</v>
      </c>
      <c r="BY24" s="260">
        <f t="shared" ca="1" si="46"/>
        <v>0</v>
      </c>
      <c r="BZ24" s="260">
        <f t="shared" ca="1" si="47"/>
        <v>0</v>
      </c>
      <c r="CA24" s="260">
        <f t="shared" ca="1" si="48"/>
        <v>0</v>
      </c>
      <c r="CB24" s="260">
        <f t="shared" ca="1" si="49"/>
        <v>0</v>
      </c>
      <c r="CC24" s="260">
        <f t="shared" ca="1" si="50"/>
        <v>0</v>
      </c>
      <c r="CD24" s="260">
        <f t="shared" ca="1" si="83"/>
        <v>0</v>
      </c>
      <c r="CE24" s="260">
        <f t="shared" ca="1" si="84"/>
        <v>0</v>
      </c>
      <c r="CF24" s="260">
        <f t="shared" ca="1" si="85"/>
        <v>0</v>
      </c>
      <c r="CG24" s="260">
        <f t="shared" ca="1" si="86"/>
        <v>0</v>
      </c>
      <c r="CH24" s="260">
        <f t="shared" ca="1" si="51"/>
        <v>0</v>
      </c>
      <c r="CI24" s="260">
        <f t="shared" ca="1" si="52"/>
        <v>0</v>
      </c>
      <c r="CJ24" s="260">
        <f t="shared" ca="1" si="87"/>
        <v>0</v>
      </c>
      <c r="CK24" s="260">
        <f t="shared" ca="1" si="88"/>
        <v>0</v>
      </c>
      <c r="CL24" s="260">
        <f t="shared" ca="1" si="53"/>
        <v>0</v>
      </c>
      <c r="CM24" s="260">
        <f t="shared" ca="1" si="54"/>
        <v>0</v>
      </c>
      <c r="CN24" s="260">
        <f t="shared" ca="1" si="55"/>
        <v>0</v>
      </c>
      <c r="CO24" s="260">
        <f t="shared" ca="1" si="56"/>
        <v>0</v>
      </c>
      <c r="CP24" s="260">
        <f t="shared" ca="1" si="89"/>
        <v>0</v>
      </c>
      <c r="CQ24" s="260">
        <f t="shared" ca="1" si="90"/>
        <v>0</v>
      </c>
      <c r="CR24" s="260">
        <f t="shared" ca="1" si="91"/>
        <v>0</v>
      </c>
      <c r="CS24" s="260">
        <f t="shared" ca="1" si="92"/>
        <v>0</v>
      </c>
      <c r="CT24" s="260">
        <f t="shared" ca="1" si="57"/>
        <v>0</v>
      </c>
      <c r="CU24" s="260">
        <f t="shared" ca="1" si="58"/>
        <v>0</v>
      </c>
      <c r="CV24" s="260">
        <f t="shared" ca="1" si="59"/>
        <v>0</v>
      </c>
      <c r="CW24" s="260">
        <f t="shared" ca="1" si="60"/>
        <v>0</v>
      </c>
      <c r="CX24" s="260">
        <f t="shared" ca="1" si="93"/>
        <v>0</v>
      </c>
      <c r="CY24" s="260">
        <f t="shared" ca="1" si="94"/>
        <v>0</v>
      </c>
      <c r="CZ24" s="260">
        <f t="shared" ca="1" si="95"/>
        <v>0</v>
      </c>
      <c r="DA24" s="260">
        <f t="shared" ca="1" si="96"/>
        <v>0</v>
      </c>
    </row>
    <row r="25" spans="1:105" s="257" customFormat="1" ht="15" customHeight="1">
      <c r="A25" s="60">
        <f t="array" aca="1" ref="A25" ca="1">IF(C25&lt;&gt;0,SUM(($C$11:C25&lt;&gt;0)*1),"")</f>
        <v>15</v>
      </c>
      <c r="B25" s="258" t="str">
        <f ca="1">IF(ROWS($1:15)&gt;COUNT(Dong6),"",OFFSET(TH!C$1,SMALL(Dong6,ROWS($1:15)),))</f>
        <v/>
      </c>
      <c r="C25" s="258" t="str">
        <f ca="1">IF(ROWS($1:15)&gt;COUNT(Dong6),"",OFFSET(TH!D$1,SMALL(Dong6,ROWS($1:15)),))</f>
        <v/>
      </c>
      <c r="D25" s="258" t="str">
        <f ca="1">IF(ROWS($1:15)&gt;COUNT(Dong6),"",OFFSET(TH!E$1,SMALL(Dong6,ROWS($1:15)),))</f>
        <v/>
      </c>
      <c r="E25" s="308" t="str">
        <f ca="1">IF(ROWS($1:15)&gt;COUNT(Dong6),"",OFFSET(TH!F$1,SMALL(Dong6,ROWS($1:15)),))</f>
        <v/>
      </c>
      <c r="F25" s="309" t="str">
        <f ca="1">IF(ROWS($1:15)&gt;COUNT(Dong6),"",OFFSET(TH!M$1,SMALL(Dong6,ROWS($1:15)),))</f>
        <v/>
      </c>
      <c r="G25" s="310" t="str">
        <f ca="1">IF(ROWS($1:15)&gt;COUNT(Dong6),"",OFFSET(TH!N$1,SMALL(Dong6,ROWS($1:15)),))</f>
        <v/>
      </c>
      <c r="H25" s="310" t="str">
        <f ca="1">IF(ROWS($1:15)&gt;COUNT(Dong6),"",OFFSET(TH!O$1,SMALL(Dong6,ROWS($1:15)),))</f>
        <v/>
      </c>
      <c r="I25" s="60">
        <f t="shared" ca="1" si="0"/>
        <v>15</v>
      </c>
      <c r="J25" s="260">
        <f t="shared" ca="1" si="61"/>
        <v>0</v>
      </c>
      <c r="K25" s="260">
        <f t="shared" ca="1" si="62"/>
        <v>0</v>
      </c>
      <c r="L25" s="260">
        <f t="shared" ca="1" si="1"/>
        <v>0</v>
      </c>
      <c r="M25" s="260">
        <f t="shared" ca="1" si="2"/>
        <v>0</v>
      </c>
      <c r="N25" s="260">
        <f t="shared" ca="1" si="3"/>
        <v>0</v>
      </c>
      <c r="O25" s="260">
        <f t="shared" ca="1" si="4"/>
        <v>0</v>
      </c>
      <c r="P25" s="260">
        <f t="shared" ca="1" si="5"/>
        <v>0</v>
      </c>
      <c r="Q25" s="260">
        <f t="shared" ca="1" si="6"/>
        <v>0</v>
      </c>
      <c r="R25" s="260">
        <f t="shared" ca="1" si="7"/>
        <v>0</v>
      </c>
      <c r="S25" s="260">
        <f t="shared" ca="1" si="8"/>
        <v>0</v>
      </c>
      <c r="T25" s="260">
        <f t="shared" ca="1" si="9"/>
        <v>0</v>
      </c>
      <c r="U25" s="260">
        <f t="shared" ca="1" si="10"/>
        <v>0</v>
      </c>
      <c r="V25" s="260">
        <f t="shared" ca="1" si="11"/>
        <v>0</v>
      </c>
      <c r="W25" s="260">
        <f t="shared" ca="1" si="12"/>
        <v>0</v>
      </c>
      <c r="X25" s="260">
        <f t="shared" ca="1" si="13"/>
        <v>0</v>
      </c>
      <c r="Y25" s="260">
        <f t="shared" ca="1" si="14"/>
        <v>0</v>
      </c>
      <c r="Z25" s="260">
        <f t="shared" ca="1" si="15"/>
        <v>0</v>
      </c>
      <c r="AA25" s="260">
        <f t="shared" ca="1" si="16"/>
        <v>0</v>
      </c>
      <c r="AB25" s="260">
        <f t="shared" ca="1" si="63"/>
        <v>0</v>
      </c>
      <c r="AC25" s="260">
        <f t="shared" ca="1" si="64"/>
        <v>0</v>
      </c>
      <c r="AD25" s="260">
        <f t="shared" ca="1" si="17"/>
        <v>0</v>
      </c>
      <c r="AE25" s="260">
        <f t="shared" ca="1" si="18"/>
        <v>0</v>
      </c>
      <c r="AF25" s="260">
        <f t="shared" ca="1" si="19"/>
        <v>0</v>
      </c>
      <c r="AG25" s="260">
        <f t="shared" ca="1" si="20"/>
        <v>0</v>
      </c>
      <c r="AH25" s="260">
        <f t="shared" ca="1" si="65"/>
        <v>0</v>
      </c>
      <c r="AI25" s="260">
        <f t="shared" ca="1" si="66"/>
        <v>0</v>
      </c>
      <c r="AJ25" s="260">
        <f t="shared" ca="1" si="67"/>
        <v>0</v>
      </c>
      <c r="AK25" s="260">
        <f t="shared" ca="1" si="68"/>
        <v>0</v>
      </c>
      <c r="AL25" s="260">
        <f t="shared" ca="1" si="69"/>
        <v>0</v>
      </c>
      <c r="AM25" s="260">
        <f t="shared" ca="1" si="70"/>
        <v>0</v>
      </c>
      <c r="AN25" s="260">
        <f t="shared" ca="1" si="71"/>
        <v>0</v>
      </c>
      <c r="AO25" s="260">
        <f t="shared" ca="1" si="72"/>
        <v>0</v>
      </c>
      <c r="AP25" s="260">
        <f t="shared" ca="1" si="21"/>
        <v>0</v>
      </c>
      <c r="AQ25" s="260">
        <f t="shared" ca="1" si="22"/>
        <v>0</v>
      </c>
      <c r="AR25" s="260">
        <f t="shared" ca="1" si="23"/>
        <v>0</v>
      </c>
      <c r="AS25" s="260">
        <f t="shared" ca="1" si="24"/>
        <v>0</v>
      </c>
      <c r="AT25" s="260">
        <f t="shared" ca="1" si="73"/>
        <v>0</v>
      </c>
      <c r="AU25" s="260">
        <f t="shared" ca="1" si="74"/>
        <v>0</v>
      </c>
      <c r="AV25" s="260">
        <f t="shared" ca="1" si="25"/>
        <v>0</v>
      </c>
      <c r="AW25" s="260">
        <f t="shared" ca="1" si="26"/>
        <v>0</v>
      </c>
      <c r="AX25" s="260">
        <f t="shared" ca="1" si="27"/>
        <v>0</v>
      </c>
      <c r="AY25" s="260">
        <f t="shared" ca="1" si="28"/>
        <v>0</v>
      </c>
      <c r="AZ25" s="260">
        <f t="shared" ca="1" si="29"/>
        <v>0</v>
      </c>
      <c r="BA25" s="260">
        <f t="shared" ca="1" si="30"/>
        <v>0</v>
      </c>
      <c r="BB25" s="260">
        <f t="shared" ca="1" si="31"/>
        <v>0</v>
      </c>
      <c r="BC25" s="260">
        <f t="shared" ca="1" si="32"/>
        <v>0</v>
      </c>
      <c r="BD25" s="260">
        <f t="shared" ca="1" si="33"/>
        <v>0</v>
      </c>
      <c r="BE25" s="260">
        <f t="shared" ca="1" si="34"/>
        <v>0</v>
      </c>
      <c r="BF25" s="260">
        <f t="shared" ca="1" si="35"/>
        <v>0</v>
      </c>
      <c r="BG25" s="260">
        <f t="shared" ca="1" si="36"/>
        <v>0</v>
      </c>
      <c r="BH25" s="260">
        <f t="shared" ca="1" si="75"/>
        <v>0</v>
      </c>
      <c r="BI25" s="260">
        <f t="shared" ca="1" si="76"/>
        <v>0</v>
      </c>
      <c r="BJ25" s="260">
        <f t="shared" ca="1" si="37"/>
        <v>0</v>
      </c>
      <c r="BK25" s="260">
        <f t="shared" ca="1" si="38"/>
        <v>0</v>
      </c>
      <c r="BL25" s="260">
        <f t="shared" ca="1" si="39"/>
        <v>0</v>
      </c>
      <c r="BM25" s="260">
        <f t="shared" ca="1" si="40"/>
        <v>0</v>
      </c>
      <c r="BN25" s="260">
        <f t="shared" ca="1" si="41"/>
        <v>0</v>
      </c>
      <c r="BO25" s="260">
        <f t="shared" ca="1" si="42"/>
        <v>0</v>
      </c>
      <c r="BP25" s="260">
        <f t="shared" ca="1" si="77"/>
        <v>0</v>
      </c>
      <c r="BQ25" s="260">
        <f t="shared" ca="1" si="78"/>
        <v>0</v>
      </c>
      <c r="BR25" s="260">
        <f t="shared" ca="1" si="43"/>
        <v>0</v>
      </c>
      <c r="BS25" s="260">
        <f t="shared" ca="1" si="44"/>
        <v>0</v>
      </c>
      <c r="BT25" s="260">
        <f t="shared" ca="1" si="79"/>
        <v>0</v>
      </c>
      <c r="BU25" s="260">
        <f t="shared" ca="1" si="80"/>
        <v>0</v>
      </c>
      <c r="BV25" s="260">
        <f t="shared" ca="1" si="81"/>
        <v>0</v>
      </c>
      <c r="BW25" s="260">
        <f t="shared" ca="1" si="82"/>
        <v>0</v>
      </c>
      <c r="BX25" s="260">
        <f t="shared" ca="1" si="45"/>
        <v>0</v>
      </c>
      <c r="BY25" s="260">
        <f t="shared" ca="1" si="46"/>
        <v>0</v>
      </c>
      <c r="BZ25" s="260">
        <f t="shared" ca="1" si="47"/>
        <v>0</v>
      </c>
      <c r="CA25" s="260">
        <f t="shared" ca="1" si="48"/>
        <v>0</v>
      </c>
      <c r="CB25" s="260">
        <f t="shared" ca="1" si="49"/>
        <v>0</v>
      </c>
      <c r="CC25" s="260">
        <f t="shared" ca="1" si="50"/>
        <v>0</v>
      </c>
      <c r="CD25" s="260">
        <f t="shared" ca="1" si="83"/>
        <v>0</v>
      </c>
      <c r="CE25" s="260">
        <f t="shared" ca="1" si="84"/>
        <v>0</v>
      </c>
      <c r="CF25" s="260">
        <f t="shared" ca="1" si="85"/>
        <v>0</v>
      </c>
      <c r="CG25" s="260">
        <f t="shared" ca="1" si="86"/>
        <v>0</v>
      </c>
      <c r="CH25" s="260">
        <f t="shared" ca="1" si="51"/>
        <v>0</v>
      </c>
      <c r="CI25" s="260">
        <f t="shared" ca="1" si="52"/>
        <v>0</v>
      </c>
      <c r="CJ25" s="260">
        <f t="shared" ca="1" si="87"/>
        <v>0</v>
      </c>
      <c r="CK25" s="260">
        <f t="shared" ca="1" si="88"/>
        <v>0</v>
      </c>
      <c r="CL25" s="260">
        <f t="shared" ca="1" si="53"/>
        <v>0</v>
      </c>
      <c r="CM25" s="260">
        <f t="shared" ca="1" si="54"/>
        <v>0</v>
      </c>
      <c r="CN25" s="260">
        <f t="shared" ca="1" si="55"/>
        <v>0</v>
      </c>
      <c r="CO25" s="260">
        <f t="shared" ca="1" si="56"/>
        <v>0</v>
      </c>
      <c r="CP25" s="260">
        <f t="shared" ca="1" si="89"/>
        <v>0</v>
      </c>
      <c r="CQ25" s="260">
        <f t="shared" ca="1" si="90"/>
        <v>0</v>
      </c>
      <c r="CR25" s="260">
        <f t="shared" ca="1" si="91"/>
        <v>0</v>
      </c>
      <c r="CS25" s="260">
        <f t="shared" ca="1" si="92"/>
        <v>0</v>
      </c>
      <c r="CT25" s="260">
        <f t="shared" ca="1" si="57"/>
        <v>0</v>
      </c>
      <c r="CU25" s="260">
        <f t="shared" ca="1" si="58"/>
        <v>0</v>
      </c>
      <c r="CV25" s="260">
        <f t="shared" ca="1" si="59"/>
        <v>0</v>
      </c>
      <c r="CW25" s="260">
        <f t="shared" ca="1" si="60"/>
        <v>0</v>
      </c>
      <c r="CX25" s="260">
        <f t="shared" ca="1" si="93"/>
        <v>0</v>
      </c>
      <c r="CY25" s="260">
        <f t="shared" ca="1" si="94"/>
        <v>0</v>
      </c>
      <c r="CZ25" s="260">
        <f t="shared" ca="1" si="95"/>
        <v>0</v>
      </c>
      <c r="DA25" s="260">
        <f t="shared" ca="1" si="96"/>
        <v>0</v>
      </c>
    </row>
    <row r="26" spans="1:105" s="257" customFormat="1" ht="15" customHeight="1">
      <c r="A26" s="60">
        <f t="array" aca="1" ref="A26" ca="1">IF(C26&lt;&gt;0,SUM(($C$11:C26&lt;&gt;0)*1),"")</f>
        <v>16</v>
      </c>
      <c r="B26" s="258" t="str">
        <f ca="1">IF(ROWS($1:16)&gt;COUNT(Dong6),"",OFFSET(TH!C$1,SMALL(Dong6,ROWS($1:16)),))</f>
        <v/>
      </c>
      <c r="C26" s="258" t="str">
        <f ca="1">IF(ROWS($1:16)&gt;COUNT(Dong6),"",OFFSET(TH!D$1,SMALL(Dong6,ROWS($1:16)),))</f>
        <v/>
      </c>
      <c r="D26" s="258" t="str">
        <f ca="1">IF(ROWS($1:16)&gt;COUNT(Dong6),"",OFFSET(TH!E$1,SMALL(Dong6,ROWS($1:16)),))</f>
        <v/>
      </c>
      <c r="E26" s="308" t="str">
        <f ca="1">IF(ROWS($1:16)&gt;COUNT(Dong6),"",OFFSET(TH!F$1,SMALL(Dong6,ROWS($1:16)),))</f>
        <v/>
      </c>
      <c r="F26" s="309" t="str">
        <f ca="1">IF(ROWS($1:16)&gt;COUNT(Dong6),"",OFFSET(TH!M$1,SMALL(Dong6,ROWS($1:16)),))</f>
        <v/>
      </c>
      <c r="G26" s="310" t="str">
        <f ca="1">IF(ROWS($1:16)&gt;COUNT(Dong6),"",OFFSET(TH!N$1,SMALL(Dong6,ROWS($1:16)),))</f>
        <v/>
      </c>
      <c r="H26" s="310" t="str">
        <f ca="1">IF(ROWS($1:16)&gt;COUNT(Dong6),"",OFFSET(TH!O$1,SMALL(Dong6,ROWS($1:16)),))</f>
        <v/>
      </c>
      <c r="I26" s="60">
        <f t="shared" ca="1" si="0"/>
        <v>16</v>
      </c>
      <c r="J26" s="260">
        <f t="shared" ca="1" si="61"/>
        <v>0</v>
      </c>
      <c r="K26" s="260">
        <f t="shared" ca="1" si="62"/>
        <v>0</v>
      </c>
      <c r="L26" s="260">
        <f t="shared" ca="1" si="1"/>
        <v>0</v>
      </c>
      <c r="M26" s="260">
        <f t="shared" ca="1" si="2"/>
        <v>0</v>
      </c>
      <c r="N26" s="260">
        <f t="shared" ca="1" si="3"/>
        <v>0</v>
      </c>
      <c r="O26" s="260">
        <f t="shared" ca="1" si="4"/>
        <v>0</v>
      </c>
      <c r="P26" s="260">
        <f t="shared" ca="1" si="5"/>
        <v>0</v>
      </c>
      <c r="Q26" s="260">
        <f t="shared" ca="1" si="6"/>
        <v>0</v>
      </c>
      <c r="R26" s="260">
        <f t="shared" ca="1" si="7"/>
        <v>0</v>
      </c>
      <c r="S26" s="260">
        <f t="shared" ca="1" si="8"/>
        <v>0</v>
      </c>
      <c r="T26" s="260">
        <f t="shared" ca="1" si="9"/>
        <v>0</v>
      </c>
      <c r="U26" s="260">
        <f t="shared" ca="1" si="10"/>
        <v>0</v>
      </c>
      <c r="V26" s="260">
        <f t="shared" ca="1" si="11"/>
        <v>0</v>
      </c>
      <c r="W26" s="260">
        <f t="shared" ca="1" si="12"/>
        <v>0</v>
      </c>
      <c r="X26" s="260">
        <f t="shared" ca="1" si="13"/>
        <v>0</v>
      </c>
      <c r="Y26" s="260">
        <f t="shared" ca="1" si="14"/>
        <v>0</v>
      </c>
      <c r="Z26" s="260">
        <f t="shared" ca="1" si="15"/>
        <v>0</v>
      </c>
      <c r="AA26" s="260">
        <f t="shared" ca="1" si="16"/>
        <v>0</v>
      </c>
      <c r="AB26" s="260">
        <f t="shared" ca="1" si="63"/>
        <v>0</v>
      </c>
      <c r="AC26" s="260">
        <f t="shared" ca="1" si="64"/>
        <v>0</v>
      </c>
      <c r="AD26" s="260">
        <f t="shared" ca="1" si="17"/>
        <v>0</v>
      </c>
      <c r="AE26" s="260">
        <f t="shared" ca="1" si="18"/>
        <v>0</v>
      </c>
      <c r="AF26" s="260">
        <f t="shared" ca="1" si="19"/>
        <v>0</v>
      </c>
      <c r="AG26" s="260">
        <f t="shared" ca="1" si="20"/>
        <v>0</v>
      </c>
      <c r="AH26" s="260">
        <f t="shared" ca="1" si="65"/>
        <v>0</v>
      </c>
      <c r="AI26" s="260">
        <f t="shared" ca="1" si="66"/>
        <v>0</v>
      </c>
      <c r="AJ26" s="260">
        <f t="shared" ca="1" si="67"/>
        <v>0</v>
      </c>
      <c r="AK26" s="260">
        <f t="shared" ca="1" si="68"/>
        <v>0</v>
      </c>
      <c r="AL26" s="260">
        <f t="shared" ca="1" si="69"/>
        <v>0</v>
      </c>
      <c r="AM26" s="260">
        <f t="shared" ca="1" si="70"/>
        <v>0</v>
      </c>
      <c r="AN26" s="260">
        <f t="shared" ca="1" si="71"/>
        <v>0</v>
      </c>
      <c r="AO26" s="260">
        <f t="shared" ca="1" si="72"/>
        <v>0</v>
      </c>
      <c r="AP26" s="260">
        <f t="shared" ca="1" si="21"/>
        <v>0</v>
      </c>
      <c r="AQ26" s="260">
        <f t="shared" ca="1" si="22"/>
        <v>0</v>
      </c>
      <c r="AR26" s="260">
        <f t="shared" ca="1" si="23"/>
        <v>0</v>
      </c>
      <c r="AS26" s="260">
        <f t="shared" ca="1" si="24"/>
        <v>0</v>
      </c>
      <c r="AT26" s="260">
        <f t="shared" ca="1" si="73"/>
        <v>0</v>
      </c>
      <c r="AU26" s="260">
        <f t="shared" ca="1" si="74"/>
        <v>0</v>
      </c>
      <c r="AV26" s="260">
        <f t="shared" ca="1" si="25"/>
        <v>0</v>
      </c>
      <c r="AW26" s="260">
        <f t="shared" ca="1" si="26"/>
        <v>0</v>
      </c>
      <c r="AX26" s="260">
        <f t="shared" ca="1" si="27"/>
        <v>0</v>
      </c>
      <c r="AY26" s="260">
        <f t="shared" ca="1" si="28"/>
        <v>0</v>
      </c>
      <c r="AZ26" s="260">
        <f t="shared" ca="1" si="29"/>
        <v>0</v>
      </c>
      <c r="BA26" s="260">
        <f t="shared" ca="1" si="30"/>
        <v>0</v>
      </c>
      <c r="BB26" s="260">
        <f t="shared" ca="1" si="31"/>
        <v>0</v>
      </c>
      <c r="BC26" s="260">
        <f t="shared" ca="1" si="32"/>
        <v>0</v>
      </c>
      <c r="BD26" s="260">
        <f t="shared" ca="1" si="33"/>
        <v>0</v>
      </c>
      <c r="BE26" s="260">
        <f t="shared" ca="1" si="34"/>
        <v>0</v>
      </c>
      <c r="BF26" s="260">
        <f t="shared" ca="1" si="35"/>
        <v>0</v>
      </c>
      <c r="BG26" s="260">
        <f t="shared" ca="1" si="36"/>
        <v>0</v>
      </c>
      <c r="BH26" s="260">
        <f t="shared" ca="1" si="75"/>
        <v>0</v>
      </c>
      <c r="BI26" s="260">
        <f t="shared" ca="1" si="76"/>
        <v>0</v>
      </c>
      <c r="BJ26" s="260">
        <f t="shared" ca="1" si="37"/>
        <v>0</v>
      </c>
      <c r="BK26" s="260">
        <f t="shared" ca="1" si="38"/>
        <v>0</v>
      </c>
      <c r="BL26" s="260">
        <f t="shared" ca="1" si="39"/>
        <v>0</v>
      </c>
      <c r="BM26" s="260">
        <f t="shared" ca="1" si="40"/>
        <v>0</v>
      </c>
      <c r="BN26" s="260">
        <f t="shared" ca="1" si="41"/>
        <v>0</v>
      </c>
      <c r="BO26" s="260">
        <f t="shared" ca="1" si="42"/>
        <v>0</v>
      </c>
      <c r="BP26" s="260">
        <f t="shared" ca="1" si="77"/>
        <v>0</v>
      </c>
      <c r="BQ26" s="260">
        <f t="shared" ca="1" si="78"/>
        <v>0</v>
      </c>
      <c r="BR26" s="260">
        <f t="shared" ca="1" si="43"/>
        <v>0</v>
      </c>
      <c r="BS26" s="260">
        <f t="shared" ca="1" si="44"/>
        <v>0</v>
      </c>
      <c r="BT26" s="260">
        <f t="shared" ca="1" si="79"/>
        <v>0</v>
      </c>
      <c r="BU26" s="260">
        <f t="shared" ca="1" si="80"/>
        <v>0</v>
      </c>
      <c r="BV26" s="260">
        <f t="shared" ca="1" si="81"/>
        <v>0</v>
      </c>
      <c r="BW26" s="260">
        <f t="shared" ca="1" si="82"/>
        <v>0</v>
      </c>
      <c r="BX26" s="260">
        <f t="shared" ca="1" si="45"/>
        <v>0</v>
      </c>
      <c r="BY26" s="260">
        <f t="shared" ca="1" si="46"/>
        <v>0</v>
      </c>
      <c r="BZ26" s="260">
        <f t="shared" ca="1" si="47"/>
        <v>0</v>
      </c>
      <c r="CA26" s="260">
        <f t="shared" ca="1" si="48"/>
        <v>0</v>
      </c>
      <c r="CB26" s="260">
        <f t="shared" ca="1" si="49"/>
        <v>0</v>
      </c>
      <c r="CC26" s="260">
        <f t="shared" ca="1" si="50"/>
        <v>0</v>
      </c>
      <c r="CD26" s="260">
        <f t="shared" ca="1" si="83"/>
        <v>0</v>
      </c>
      <c r="CE26" s="260">
        <f t="shared" ca="1" si="84"/>
        <v>0</v>
      </c>
      <c r="CF26" s="260">
        <f t="shared" ca="1" si="85"/>
        <v>0</v>
      </c>
      <c r="CG26" s="260">
        <f t="shared" ca="1" si="86"/>
        <v>0</v>
      </c>
      <c r="CH26" s="260">
        <f t="shared" ca="1" si="51"/>
        <v>0</v>
      </c>
      <c r="CI26" s="260">
        <f t="shared" ca="1" si="52"/>
        <v>0</v>
      </c>
      <c r="CJ26" s="260">
        <f t="shared" ca="1" si="87"/>
        <v>0</v>
      </c>
      <c r="CK26" s="260">
        <f t="shared" ca="1" si="88"/>
        <v>0</v>
      </c>
      <c r="CL26" s="260">
        <f t="shared" ca="1" si="53"/>
        <v>0</v>
      </c>
      <c r="CM26" s="260">
        <f t="shared" ca="1" si="54"/>
        <v>0</v>
      </c>
      <c r="CN26" s="260">
        <f t="shared" ca="1" si="55"/>
        <v>0</v>
      </c>
      <c r="CO26" s="260">
        <f t="shared" ca="1" si="56"/>
        <v>0</v>
      </c>
      <c r="CP26" s="260">
        <f t="shared" ca="1" si="89"/>
        <v>0</v>
      </c>
      <c r="CQ26" s="260">
        <f t="shared" ca="1" si="90"/>
        <v>0</v>
      </c>
      <c r="CR26" s="260">
        <f t="shared" ca="1" si="91"/>
        <v>0</v>
      </c>
      <c r="CS26" s="260">
        <f t="shared" ca="1" si="92"/>
        <v>0</v>
      </c>
      <c r="CT26" s="260">
        <f t="shared" ca="1" si="57"/>
        <v>0</v>
      </c>
      <c r="CU26" s="260">
        <f t="shared" ca="1" si="58"/>
        <v>0</v>
      </c>
      <c r="CV26" s="260">
        <f t="shared" ca="1" si="59"/>
        <v>0</v>
      </c>
      <c r="CW26" s="260">
        <f t="shared" ca="1" si="60"/>
        <v>0</v>
      </c>
      <c r="CX26" s="260">
        <f t="shared" ca="1" si="93"/>
        <v>0</v>
      </c>
      <c r="CY26" s="260">
        <f t="shared" ca="1" si="94"/>
        <v>0</v>
      </c>
      <c r="CZ26" s="260">
        <f t="shared" ca="1" si="95"/>
        <v>0</v>
      </c>
      <c r="DA26" s="260">
        <f t="shared" ca="1" si="96"/>
        <v>0</v>
      </c>
    </row>
    <row r="27" spans="1:105" s="257" customFormat="1" ht="15" customHeight="1">
      <c r="A27" s="60">
        <f t="array" aca="1" ref="A27" ca="1">IF(C27&lt;&gt;0,SUM(($C$11:C27&lt;&gt;0)*1),"")</f>
        <v>17</v>
      </c>
      <c r="B27" s="258" t="str">
        <f ca="1">IF(ROWS($1:17)&gt;COUNT(Dong6),"",OFFSET(TH!C$1,SMALL(Dong6,ROWS($1:17)),))</f>
        <v/>
      </c>
      <c r="C27" s="258" t="str">
        <f ca="1">IF(ROWS($1:17)&gt;COUNT(Dong6),"",OFFSET(TH!D$1,SMALL(Dong6,ROWS($1:17)),))</f>
        <v/>
      </c>
      <c r="D27" s="258" t="str">
        <f ca="1">IF(ROWS($1:17)&gt;COUNT(Dong6),"",OFFSET(TH!E$1,SMALL(Dong6,ROWS($1:17)),))</f>
        <v/>
      </c>
      <c r="E27" s="308" t="str">
        <f ca="1">IF(ROWS($1:17)&gt;COUNT(Dong6),"",OFFSET(TH!F$1,SMALL(Dong6,ROWS($1:17)),))</f>
        <v/>
      </c>
      <c r="F27" s="309" t="str">
        <f ca="1">IF(ROWS($1:17)&gt;COUNT(Dong6),"",OFFSET(TH!M$1,SMALL(Dong6,ROWS($1:17)),))</f>
        <v/>
      </c>
      <c r="G27" s="310" t="str">
        <f ca="1">IF(ROWS($1:17)&gt;COUNT(Dong6),"",OFFSET(TH!N$1,SMALL(Dong6,ROWS($1:17)),))</f>
        <v/>
      </c>
      <c r="H27" s="310" t="str">
        <f ca="1">IF(ROWS($1:17)&gt;COUNT(Dong6),"",OFFSET(TH!O$1,SMALL(Dong6,ROWS($1:17)),))</f>
        <v/>
      </c>
      <c r="I27" s="60">
        <f t="shared" ca="1" si="0"/>
        <v>17</v>
      </c>
      <c r="J27" s="260">
        <f t="shared" ca="1" si="61"/>
        <v>0</v>
      </c>
      <c r="K27" s="260">
        <f t="shared" ca="1" si="62"/>
        <v>0</v>
      </c>
      <c r="L27" s="260">
        <f t="shared" ca="1" si="1"/>
        <v>0</v>
      </c>
      <c r="M27" s="260">
        <f t="shared" ca="1" si="2"/>
        <v>0</v>
      </c>
      <c r="N27" s="260">
        <f t="shared" ca="1" si="3"/>
        <v>0</v>
      </c>
      <c r="O27" s="260">
        <f t="shared" ca="1" si="4"/>
        <v>0</v>
      </c>
      <c r="P27" s="260">
        <f t="shared" ca="1" si="5"/>
        <v>0</v>
      </c>
      <c r="Q27" s="260">
        <f t="shared" ca="1" si="6"/>
        <v>0</v>
      </c>
      <c r="R27" s="260">
        <f t="shared" ca="1" si="7"/>
        <v>0</v>
      </c>
      <c r="S27" s="260">
        <f t="shared" ca="1" si="8"/>
        <v>0</v>
      </c>
      <c r="T27" s="260">
        <f t="shared" ca="1" si="9"/>
        <v>0</v>
      </c>
      <c r="U27" s="260">
        <f t="shared" ca="1" si="10"/>
        <v>0</v>
      </c>
      <c r="V27" s="260">
        <f t="shared" ca="1" si="11"/>
        <v>0</v>
      </c>
      <c r="W27" s="260">
        <f t="shared" ca="1" si="12"/>
        <v>0</v>
      </c>
      <c r="X27" s="260">
        <f t="shared" ca="1" si="13"/>
        <v>0</v>
      </c>
      <c r="Y27" s="260">
        <f t="shared" ca="1" si="14"/>
        <v>0</v>
      </c>
      <c r="Z27" s="260">
        <f t="shared" ca="1" si="15"/>
        <v>0</v>
      </c>
      <c r="AA27" s="260">
        <f t="shared" ca="1" si="16"/>
        <v>0</v>
      </c>
      <c r="AB27" s="260">
        <f t="shared" ca="1" si="63"/>
        <v>0</v>
      </c>
      <c r="AC27" s="260">
        <f t="shared" ca="1" si="64"/>
        <v>0</v>
      </c>
      <c r="AD27" s="260">
        <f t="shared" ca="1" si="17"/>
        <v>0</v>
      </c>
      <c r="AE27" s="260">
        <f t="shared" ca="1" si="18"/>
        <v>0</v>
      </c>
      <c r="AF27" s="260">
        <f t="shared" ca="1" si="19"/>
        <v>0</v>
      </c>
      <c r="AG27" s="260">
        <f t="shared" ca="1" si="20"/>
        <v>0</v>
      </c>
      <c r="AH27" s="260">
        <f t="shared" ca="1" si="65"/>
        <v>0</v>
      </c>
      <c r="AI27" s="260">
        <f t="shared" ca="1" si="66"/>
        <v>0</v>
      </c>
      <c r="AJ27" s="260">
        <f t="shared" ca="1" si="67"/>
        <v>0</v>
      </c>
      <c r="AK27" s="260">
        <f t="shared" ca="1" si="68"/>
        <v>0</v>
      </c>
      <c r="AL27" s="260">
        <f t="shared" ca="1" si="69"/>
        <v>0</v>
      </c>
      <c r="AM27" s="260">
        <f t="shared" ca="1" si="70"/>
        <v>0</v>
      </c>
      <c r="AN27" s="260">
        <f t="shared" ca="1" si="71"/>
        <v>0</v>
      </c>
      <c r="AO27" s="260">
        <f t="shared" ca="1" si="72"/>
        <v>0</v>
      </c>
      <c r="AP27" s="260">
        <f t="shared" ca="1" si="21"/>
        <v>0</v>
      </c>
      <c r="AQ27" s="260">
        <f t="shared" ca="1" si="22"/>
        <v>0</v>
      </c>
      <c r="AR27" s="260">
        <f t="shared" ca="1" si="23"/>
        <v>0</v>
      </c>
      <c r="AS27" s="260">
        <f t="shared" ca="1" si="24"/>
        <v>0</v>
      </c>
      <c r="AT27" s="260">
        <f t="shared" ca="1" si="73"/>
        <v>0</v>
      </c>
      <c r="AU27" s="260">
        <f t="shared" ca="1" si="74"/>
        <v>0</v>
      </c>
      <c r="AV27" s="260">
        <f t="shared" ca="1" si="25"/>
        <v>0</v>
      </c>
      <c r="AW27" s="260">
        <f t="shared" ca="1" si="26"/>
        <v>0</v>
      </c>
      <c r="AX27" s="260">
        <f t="shared" ca="1" si="27"/>
        <v>0</v>
      </c>
      <c r="AY27" s="260">
        <f t="shared" ca="1" si="28"/>
        <v>0</v>
      </c>
      <c r="AZ27" s="260">
        <f t="shared" ca="1" si="29"/>
        <v>0</v>
      </c>
      <c r="BA27" s="260">
        <f t="shared" ca="1" si="30"/>
        <v>0</v>
      </c>
      <c r="BB27" s="260">
        <f t="shared" ca="1" si="31"/>
        <v>0</v>
      </c>
      <c r="BC27" s="260">
        <f t="shared" ca="1" si="32"/>
        <v>0</v>
      </c>
      <c r="BD27" s="260">
        <f t="shared" ca="1" si="33"/>
        <v>0</v>
      </c>
      <c r="BE27" s="260">
        <f t="shared" ca="1" si="34"/>
        <v>0</v>
      </c>
      <c r="BF27" s="260">
        <f t="shared" ca="1" si="35"/>
        <v>0</v>
      </c>
      <c r="BG27" s="260">
        <f t="shared" ca="1" si="36"/>
        <v>0</v>
      </c>
      <c r="BH27" s="260">
        <f t="shared" ca="1" si="75"/>
        <v>0</v>
      </c>
      <c r="BI27" s="260">
        <f t="shared" ca="1" si="76"/>
        <v>0</v>
      </c>
      <c r="BJ27" s="260">
        <f t="shared" ca="1" si="37"/>
        <v>0</v>
      </c>
      <c r="BK27" s="260">
        <f t="shared" ca="1" si="38"/>
        <v>0</v>
      </c>
      <c r="BL27" s="260">
        <f t="shared" ca="1" si="39"/>
        <v>0</v>
      </c>
      <c r="BM27" s="260">
        <f t="shared" ca="1" si="40"/>
        <v>0</v>
      </c>
      <c r="BN27" s="260">
        <f t="shared" ca="1" si="41"/>
        <v>0</v>
      </c>
      <c r="BO27" s="260">
        <f t="shared" ca="1" si="42"/>
        <v>0</v>
      </c>
      <c r="BP27" s="260">
        <f t="shared" ca="1" si="77"/>
        <v>0</v>
      </c>
      <c r="BQ27" s="260">
        <f t="shared" ca="1" si="78"/>
        <v>0</v>
      </c>
      <c r="BR27" s="260">
        <f t="shared" ca="1" si="43"/>
        <v>0</v>
      </c>
      <c r="BS27" s="260">
        <f t="shared" ca="1" si="44"/>
        <v>0</v>
      </c>
      <c r="BT27" s="260">
        <f t="shared" ca="1" si="79"/>
        <v>0</v>
      </c>
      <c r="BU27" s="260">
        <f t="shared" ca="1" si="80"/>
        <v>0</v>
      </c>
      <c r="BV27" s="260">
        <f t="shared" ca="1" si="81"/>
        <v>0</v>
      </c>
      <c r="BW27" s="260">
        <f t="shared" ca="1" si="82"/>
        <v>0</v>
      </c>
      <c r="BX27" s="260">
        <f t="shared" ca="1" si="45"/>
        <v>0</v>
      </c>
      <c r="BY27" s="260">
        <f t="shared" ca="1" si="46"/>
        <v>0</v>
      </c>
      <c r="BZ27" s="260">
        <f t="shared" ca="1" si="47"/>
        <v>0</v>
      </c>
      <c r="CA27" s="260">
        <f t="shared" ca="1" si="48"/>
        <v>0</v>
      </c>
      <c r="CB27" s="260">
        <f t="shared" ca="1" si="49"/>
        <v>0</v>
      </c>
      <c r="CC27" s="260">
        <f t="shared" ca="1" si="50"/>
        <v>0</v>
      </c>
      <c r="CD27" s="260">
        <f t="shared" ca="1" si="83"/>
        <v>0</v>
      </c>
      <c r="CE27" s="260">
        <f t="shared" ca="1" si="84"/>
        <v>0</v>
      </c>
      <c r="CF27" s="260">
        <f t="shared" ca="1" si="85"/>
        <v>0</v>
      </c>
      <c r="CG27" s="260">
        <f t="shared" ca="1" si="86"/>
        <v>0</v>
      </c>
      <c r="CH27" s="260">
        <f t="shared" ca="1" si="51"/>
        <v>0</v>
      </c>
      <c r="CI27" s="260">
        <f t="shared" ca="1" si="52"/>
        <v>0</v>
      </c>
      <c r="CJ27" s="260">
        <f t="shared" ca="1" si="87"/>
        <v>0</v>
      </c>
      <c r="CK27" s="260">
        <f t="shared" ca="1" si="88"/>
        <v>0</v>
      </c>
      <c r="CL27" s="260">
        <f t="shared" ca="1" si="53"/>
        <v>0</v>
      </c>
      <c r="CM27" s="260">
        <f t="shared" ca="1" si="54"/>
        <v>0</v>
      </c>
      <c r="CN27" s="260">
        <f t="shared" ca="1" si="55"/>
        <v>0</v>
      </c>
      <c r="CO27" s="260">
        <f t="shared" ca="1" si="56"/>
        <v>0</v>
      </c>
      <c r="CP27" s="260">
        <f t="shared" ca="1" si="89"/>
        <v>0</v>
      </c>
      <c r="CQ27" s="260">
        <f t="shared" ca="1" si="90"/>
        <v>0</v>
      </c>
      <c r="CR27" s="260">
        <f t="shared" ca="1" si="91"/>
        <v>0</v>
      </c>
      <c r="CS27" s="260">
        <f t="shared" ca="1" si="92"/>
        <v>0</v>
      </c>
      <c r="CT27" s="260">
        <f t="shared" ca="1" si="57"/>
        <v>0</v>
      </c>
      <c r="CU27" s="260">
        <f t="shared" ca="1" si="58"/>
        <v>0</v>
      </c>
      <c r="CV27" s="260">
        <f t="shared" ca="1" si="59"/>
        <v>0</v>
      </c>
      <c r="CW27" s="260">
        <f t="shared" ca="1" si="60"/>
        <v>0</v>
      </c>
      <c r="CX27" s="260">
        <f t="shared" ca="1" si="93"/>
        <v>0</v>
      </c>
      <c r="CY27" s="260">
        <f t="shared" ca="1" si="94"/>
        <v>0</v>
      </c>
      <c r="CZ27" s="260">
        <f t="shared" ca="1" si="95"/>
        <v>0</v>
      </c>
      <c r="DA27" s="260">
        <f t="shared" ca="1" si="96"/>
        <v>0</v>
      </c>
    </row>
    <row r="28" spans="1:105" s="257" customFormat="1" ht="15" customHeight="1">
      <c r="A28" s="60">
        <f t="array" aca="1" ref="A28" ca="1">IF(C28&lt;&gt;0,SUM(($C$11:C28&lt;&gt;0)*1),"")</f>
        <v>18</v>
      </c>
      <c r="B28" s="258" t="str">
        <f ca="1">IF(ROWS($1:18)&gt;COUNT(Dong6),"",OFFSET(TH!C$1,SMALL(Dong6,ROWS($1:18)),))</f>
        <v/>
      </c>
      <c r="C28" s="258" t="str">
        <f ca="1">IF(ROWS($1:18)&gt;COUNT(Dong6),"",OFFSET(TH!D$1,SMALL(Dong6,ROWS($1:18)),))</f>
        <v/>
      </c>
      <c r="D28" s="258" t="str">
        <f ca="1">IF(ROWS($1:18)&gt;COUNT(Dong6),"",OFFSET(TH!E$1,SMALL(Dong6,ROWS($1:18)),))</f>
        <v/>
      </c>
      <c r="E28" s="308" t="str">
        <f ca="1">IF(ROWS($1:18)&gt;COUNT(Dong6),"",OFFSET(TH!F$1,SMALL(Dong6,ROWS($1:18)),))</f>
        <v/>
      </c>
      <c r="F28" s="309" t="str">
        <f ca="1">IF(ROWS($1:18)&gt;COUNT(Dong6),"",OFFSET(TH!M$1,SMALL(Dong6,ROWS($1:18)),))</f>
        <v/>
      </c>
      <c r="G28" s="310" t="str">
        <f ca="1">IF(ROWS($1:18)&gt;COUNT(Dong6),"",OFFSET(TH!N$1,SMALL(Dong6,ROWS($1:18)),))</f>
        <v/>
      </c>
      <c r="H28" s="310" t="str">
        <f ca="1">IF(ROWS($1:18)&gt;COUNT(Dong6),"",OFFSET(TH!O$1,SMALL(Dong6,ROWS($1:18)),))</f>
        <v/>
      </c>
      <c r="I28" s="60">
        <f t="shared" ca="1" si="0"/>
        <v>18</v>
      </c>
      <c r="J28" s="260">
        <f t="shared" ca="1" si="61"/>
        <v>0</v>
      </c>
      <c r="K28" s="260">
        <f t="shared" ca="1" si="62"/>
        <v>0</v>
      </c>
      <c r="L28" s="260">
        <f t="shared" ca="1" si="1"/>
        <v>0</v>
      </c>
      <c r="M28" s="260">
        <f t="shared" ca="1" si="2"/>
        <v>0</v>
      </c>
      <c r="N28" s="260">
        <f t="shared" ca="1" si="3"/>
        <v>0</v>
      </c>
      <c r="O28" s="260">
        <f t="shared" ca="1" si="4"/>
        <v>0</v>
      </c>
      <c r="P28" s="260">
        <f t="shared" ca="1" si="5"/>
        <v>0</v>
      </c>
      <c r="Q28" s="260">
        <f t="shared" ca="1" si="6"/>
        <v>0</v>
      </c>
      <c r="R28" s="260">
        <f t="shared" ca="1" si="7"/>
        <v>0</v>
      </c>
      <c r="S28" s="260">
        <f t="shared" ca="1" si="8"/>
        <v>0</v>
      </c>
      <c r="T28" s="260">
        <f t="shared" ca="1" si="9"/>
        <v>0</v>
      </c>
      <c r="U28" s="260">
        <f t="shared" ca="1" si="10"/>
        <v>0</v>
      </c>
      <c r="V28" s="260">
        <f t="shared" ca="1" si="11"/>
        <v>0</v>
      </c>
      <c r="W28" s="260">
        <f t="shared" ca="1" si="12"/>
        <v>0</v>
      </c>
      <c r="X28" s="260">
        <f t="shared" ca="1" si="13"/>
        <v>0</v>
      </c>
      <c r="Y28" s="260">
        <f t="shared" ca="1" si="14"/>
        <v>0</v>
      </c>
      <c r="Z28" s="260">
        <f t="shared" ca="1" si="15"/>
        <v>0</v>
      </c>
      <c r="AA28" s="260">
        <f t="shared" ca="1" si="16"/>
        <v>0</v>
      </c>
      <c r="AB28" s="260">
        <f t="shared" ca="1" si="63"/>
        <v>0</v>
      </c>
      <c r="AC28" s="260">
        <f t="shared" ca="1" si="64"/>
        <v>0</v>
      </c>
      <c r="AD28" s="260">
        <f t="shared" ca="1" si="17"/>
        <v>0</v>
      </c>
      <c r="AE28" s="260">
        <f t="shared" ca="1" si="18"/>
        <v>0</v>
      </c>
      <c r="AF28" s="260">
        <f t="shared" ca="1" si="19"/>
        <v>0</v>
      </c>
      <c r="AG28" s="260">
        <f t="shared" ca="1" si="20"/>
        <v>0</v>
      </c>
      <c r="AH28" s="260">
        <f t="shared" ca="1" si="65"/>
        <v>0</v>
      </c>
      <c r="AI28" s="260">
        <f t="shared" ca="1" si="66"/>
        <v>0</v>
      </c>
      <c r="AJ28" s="260">
        <f t="shared" ca="1" si="67"/>
        <v>0</v>
      </c>
      <c r="AK28" s="260">
        <f t="shared" ca="1" si="68"/>
        <v>0</v>
      </c>
      <c r="AL28" s="260">
        <f t="shared" ca="1" si="69"/>
        <v>0</v>
      </c>
      <c r="AM28" s="260">
        <f t="shared" ca="1" si="70"/>
        <v>0</v>
      </c>
      <c r="AN28" s="260">
        <f t="shared" ca="1" si="71"/>
        <v>0</v>
      </c>
      <c r="AO28" s="260">
        <f t="shared" ca="1" si="72"/>
        <v>0</v>
      </c>
      <c r="AP28" s="260">
        <f t="shared" ca="1" si="21"/>
        <v>0</v>
      </c>
      <c r="AQ28" s="260">
        <f t="shared" ca="1" si="22"/>
        <v>0</v>
      </c>
      <c r="AR28" s="260">
        <f t="shared" ca="1" si="23"/>
        <v>0</v>
      </c>
      <c r="AS28" s="260">
        <f t="shared" ca="1" si="24"/>
        <v>0</v>
      </c>
      <c r="AT28" s="260">
        <f t="shared" ca="1" si="73"/>
        <v>0</v>
      </c>
      <c r="AU28" s="260">
        <f t="shared" ca="1" si="74"/>
        <v>0</v>
      </c>
      <c r="AV28" s="260">
        <f t="shared" ca="1" si="25"/>
        <v>0</v>
      </c>
      <c r="AW28" s="260">
        <f t="shared" ca="1" si="26"/>
        <v>0</v>
      </c>
      <c r="AX28" s="260">
        <f t="shared" ca="1" si="27"/>
        <v>0</v>
      </c>
      <c r="AY28" s="260">
        <f t="shared" ca="1" si="28"/>
        <v>0</v>
      </c>
      <c r="AZ28" s="260">
        <f t="shared" ca="1" si="29"/>
        <v>0</v>
      </c>
      <c r="BA28" s="260">
        <f t="shared" ca="1" si="30"/>
        <v>0</v>
      </c>
      <c r="BB28" s="260">
        <f t="shared" ca="1" si="31"/>
        <v>0</v>
      </c>
      <c r="BC28" s="260">
        <f t="shared" ca="1" si="32"/>
        <v>0</v>
      </c>
      <c r="BD28" s="260">
        <f t="shared" ca="1" si="33"/>
        <v>0</v>
      </c>
      <c r="BE28" s="260">
        <f t="shared" ca="1" si="34"/>
        <v>0</v>
      </c>
      <c r="BF28" s="260">
        <f t="shared" ca="1" si="35"/>
        <v>0</v>
      </c>
      <c r="BG28" s="260">
        <f t="shared" ca="1" si="36"/>
        <v>0</v>
      </c>
      <c r="BH28" s="260">
        <f t="shared" ca="1" si="75"/>
        <v>0</v>
      </c>
      <c r="BI28" s="260">
        <f t="shared" ca="1" si="76"/>
        <v>0</v>
      </c>
      <c r="BJ28" s="260">
        <f t="shared" ca="1" si="37"/>
        <v>0</v>
      </c>
      <c r="BK28" s="260">
        <f t="shared" ca="1" si="38"/>
        <v>0</v>
      </c>
      <c r="BL28" s="260">
        <f t="shared" ca="1" si="39"/>
        <v>0</v>
      </c>
      <c r="BM28" s="260">
        <f t="shared" ca="1" si="40"/>
        <v>0</v>
      </c>
      <c r="BN28" s="260">
        <f t="shared" ca="1" si="41"/>
        <v>0</v>
      </c>
      <c r="BO28" s="260">
        <f t="shared" ca="1" si="42"/>
        <v>0</v>
      </c>
      <c r="BP28" s="260">
        <f t="shared" ca="1" si="77"/>
        <v>0</v>
      </c>
      <c r="BQ28" s="260">
        <f t="shared" ca="1" si="78"/>
        <v>0</v>
      </c>
      <c r="BR28" s="260">
        <f t="shared" ca="1" si="43"/>
        <v>0</v>
      </c>
      <c r="BS28" s="260">
        <f t="shared" ca="1" si="44"/>
        <v>0</v>
      </c>
      <c r="BT28" s="260">
        <f t="shared" ca="1" si="79"/>
        <v>0</v>
      </c>
      <c r="BU28" s="260">
        <f t="shared" ca="1" si="80"/>
        <v>0</v>
      </c>
      <c r="BV28" s="260">
        <f t="shared" ca="1" si="81"/>
        <v>0</v>
      </c>
      <c r="BW28" s="260">
        <f t="shared" ca="1" si="82"/>
        <v>0</v>
      </c>
      <c r="BX28" s="260">
        <f t="shared" ca="1" si="45"/>
        <v>0</v>
      </c>
      <c r="BY28" s="260">
        <f t="shared" ca="1" si="46"/>
        <v>0</v>
      </c>
      <c r="BZ28" s="260">
        <f t="shared" ca="1" si="47"/>
        <v>0</v>
      </c>
      <c r="CA28" s="260">
        <f t="shared" ca="1" si="48"/>
        <v>0</v>
      </c>
      <c r="CB28" s="260">
        <f t="shared" ca="1" si="49"/>
        <v>0</v>
      </c>
      <c r="CC28" s="260">
        <f t="shared" ca="1" si="50"/>
        <v>0</v>
      </c>
      <c r="CD28" s="260">
        <f t="shared" ca="1" si="83"/>
        <v>0</v>
      </c>
      <c r="CE28" s="260">
        <f t="shared" ca="1" si="84"/>
        <v>0</v>
      </c>
      <c r="CF28" s="260">
        <f t="shared" ca="1" si="85"/>
        <v>0</v>
      </c>
      <c r="CG28" s="260">
        <f t="shared" ca="1" si="86"/>
        <v>0</v>
      </c>
      <c r="CH28" s="260">
        <f t="shared" ca="1" si="51"/>
        <v>0</v>
      </c>
      <c r="CI28" s="260">
        <f t="shared" ca="1" si="52"/>
        <v>0</v>
      </c>
      <c r="CJ28" s="260">
        <f t="shared" ca="1" si="87"/>
        <v>0</v>
      </c>
      <c r="CK28" s="260">
        <f t="shared" ca="1" si="88"/>
        <v>0</v>
      </c>
      <c r="CL28" s="260">
        <f t="shared" ca="1" si="53"/>
        <v>0</v>
      </c>
      <c r="CM28" s="260">
        <f t="shared" ca="1" si="54"/>
        <v>0</v>
      </c>
      <c r="CN28" s="260">
        <f t="shared" ca="1" si="55"/>
        <v>0</v>
      </c>
      <c r="CO28" s="260">
        <f t="shared" ca="1" si="56"/>
        <v>0</v>
      </c>
      <c r="CP28" s="260">
        <f t="shared" ca="1" si="89"/>
        <v>0</v>
      </c>
      <c r="CQ28" s="260">
        <f t="shared" ca="1" si="90"/>
        <v>0</v>
      </c>
      <c r="CR28" s="260">
        <f t="shared" ca="1" si="91"/>
        <v>0</v>
      </c>
      <c r="CS28" s="260">
        <f t="shared" ca="1" si="92"/>
        <v>0</v>
      </c>
      <c r="CT28" s="260">
        <f t="shared" ca="1" si="57"/>
        <v>0</v>
      </c>
      <c r="CU28" s="260">
        <f t="shared" ca="1" si="58"/>
        <v>0</v>
      </c>
      <c r="CV28" s="260">
        <f t="shared" ca="1" si="59"/>
        <v>0</v>
      </c>
      <c r="CW28" s="260">
        <f t="shared" ca="1" si="60"/>
        <v>0</v>
      </c>
      <c r="CX28" s="260">
        <f t="shared" ca="1" si="93"/>
        <v>0</v>
      </c>
      <c r="CY28" s="260">
        <f t="shared" ca="1" si="94"/>
        <v>0</v>
      </c>
      <c r="CZ28" s="260">
        <f t="shared" ca="1" si="95"/>
        <v>0</v>
      </c>
      <c r="DA28" s="260">
        <f t="shared" ca="1" si="96"/>
        <v>0</v>
      </c>
    </row>
    <row r="29" spans="1:105" s="257" customFormat="1" ht="15" customHeight="1">
      <c r="A29" s="60">
        <f t="array" aca="1" ref="A29" ca="1">IF(C29&lt;&gt;0,SUM(($C$11:C29&lt;&gt;0)*1),"")</f>
        <v>19</v>
      </c>
      <c r="B29" s="258" t="str">
        <f ca="1">IF(ROWS($1:19)&gt;COUNT(Dong6),"",OFFSET(TH!C$1,SMALL(Dong6,ROWS($1:19)),))</f>
        <v/>
      </c>
      <c r="C29" s="258" t="str">
        <f ca="1">IF(ROWS($1:19)&gt;COUNT(Dong6),"",OFFSET(TH!D$1,SMALL(Dong6,ROWS($1:19)),))</f>
        <v/>
      </c>
      <c r="D29" s="258" t="str">
        <f ca="1">IF(ROWS($1:19)&gt;COUNT(Dong6),"",OFFSET(TH!E$1,SMALL(Dong6,ROWS($1:19)),))</f>
        <v/>
      </c>
      <c r="E29" s="308" t="str">
        <f ca="1">IF(ROWS($1:19)&gt;COUNT(Dong6),"",OFFSET(TH!F$1,SMALL(Dong6,ROWS($1:19)),))</f>
        <v/>
      </c>
      <c r="F29" s="309" t="str">
        <f ca="1">IF(ROWS($1:19)&gt;COUNT(Dong6),"",OFFSET(TH!M$1,SMALL(Dong6,ROWS($1:19)),))</f>
        <v/>
      </c>
      <c r="G29" s="310" t="str">
        <f ca="1">IF(ROWS($1:19)&gt;COUNT(Dong6),"",OFFSET(TH!N$1,SMALL(Dong6,ROWS($1:19)),))</f>
        <v/>
      </c>
      <c r="H29" s="310" t="str">
        <f ca="1">IF(ROWS($1:19)&gt;COUNT(Dong6),"",OFFSET(TH!O$1,SMALL(Dong6,ROWS($1:19)),))</f>
        <v/>
      </c>
      <c r="I29" s="60">
        <f t="shared" ca="1" si="0"/>
        <v>19</v>
      </c>
      <c r="J29" s="260">
        <f t="shared" ca="1" si="61"/>
        <v>0</v>
      </c>
      <c r="K29" s="260">
        <f t="shared" ca="1" si="62"/>
        <v>0</v>
      </c>
      <c r="L29" s="260">
        <f t="shared" ca="1" si="1"/>
        <v>0</v>
      </c>
      <c r="M29" s="260">
        <f t="shared" ca="1" si="2"/>
        <v>0</v>
      </c>
      <c r="N29" s="260">
        <f t="shared" ca="1" si="3"/>
        <v>0</v>
      </c>
      <c r="O29" s="260">
        <f t="shared" ca="1" si="4"/>
        <v>0</v>
      </c>
      <c r="P29" s="260">
        <f t="shared" ca="1" si="5"/>
        <v>0</v>
      </c>
      <c r="Q29" s="260">
        <f t="shared" ca="1" si="6"/>
        <v>0</v>
      </c>
      <c r="R29" s="260">
        <f t="shared" ca="1" si="7"/>
        <v>0</v>
      </c>
      <c r="S29" s="260">
        <f t="shared" ca="1" si="8"/>
        <v>0</v>
      </c>
      <c r="T29" s="260">
        <f t="shared" ca="1" si="9"/>
        <v>0</v>
      </c>
      <c r="U29" s="260">
        <f t="shared" ca="1" si="10"/>
        <v>0</v>
      </c>
      <c r="V29" s="260">
        <f t="shared" ca="1" si="11"/>
        <v>0</v>
      </c>
      <c r="W29" s="260">
        <f t="shared" ca="1" si="12"/>
        <v>0</v>
      </c>
      <c r="X29" s="260">
        <f t="shared" ca="1" si="13"/>
        <v>0</v>
      </c>
      <c r="Y29" s="260">
        <f t="shared" ca="1" si="14"/>
        <v>0</v>
      </c>
      <c r="Z29" s="260">
        <f t="shared" ca="1" si="15"/>
        <v>0</v>
      </c>
      <c r="AA29" s="260">
        <f t="shared" ca="1" si="16"/>
        <v>0</v>
      </c>
      <c r="AB29" s="260">
        <f t="shared" ca="1" si="63"/>
        <v>0</v>
      </c>
      <c r="AC29" s="260">
        <f t="shared" ca="1" si="64"/>
        <v>0</v>
      </c>
      <c r="AD29" s="260">
        <f t="shared" ca="1" si="17"/>
        <v>0</v>
      </c>
      <c r="AE29" s="260">
        <f t="shared" ca="1" si="18"/>
        <v>0</v>
      </c>
      <c r="AF29" s="260">
        <f t="shared" ca="1" si="19"/>
        <v>0</v>
      </c>
      <c r="AG29" s="260">
        <f t="shared" ca="1" si="20"/>
        <v>0</v>
      </c>
      <c r="AH29" s="260">
        <f t="shared" ca="1" si="65"/>
        <v>0</v>
      </c>
      <c r="AI29" s="260">
        <f t="shared" ca="1" si="66"/>
        <v>0</v>
      </c>
      <c r="AJ29" s="260">
        <f t="shared" ca="1" si="67"/>
        <v>0</v>
      </c>
      <c r="AK29" s="260">
        <f t="shared" ca="1" si="68"/>
        <v>0</v>
      </c>
      <c r="AL29" s="260">
        <f t="shared" ca="1" si="69"/>
        <v>0</v>
      </c>
      <c r="AM29" s="260">
        <f t="shared" ca="1" si="70"/>
        <v>0</v>
      </c>
      <c r="AN29" s="260">
        <f t="shared" ca="1" si="71"/>
        <v>0</v>
      </c>
      <c r="AO29" s="260">
        <f t="shared" ca="1" si="72"/>
        <v>0</v>
      </c>
      <c r="AP29" s="260">
        <f t="shared" ca="1" si="21"/>
        <v>0</v>
      </c>
      <c r="AQ29" s="260">
        <f t="shared" ca="1" si="22"/>
        <v>0</v>
      </c>
      <c r="AR29" s="260">
        <f t="shared" ca="1" si="23"/>
        <v>0</v>
      </c>
      <c r="AS29" s="260">
        <f t="shared" ca="1" si="24"/>
        <v>0</v>
      </c>
      <c r="AT29" s="260">
        <f t="shared" ca="1" si="73"/>
        <v>0</v>
      </c>
      <c r="AU29" s="260">
        <f t="shared" ca="1" si="74"/>
        <v>0</v>
      </c>
      <c r="AV29" s="260">
        <f t="shared" ca="1" si="25"/>
        <v>0</v>
      </c>
      <c r="AW29" s="260">
        <f t="shared" ca="1" si="26"/>
        <v>0</v>
      </c>
      <c r="AX29" s="260">
        <f t="shared" ca="1" si="27"/>
        <v>0</v>
      </c>
      <c r="AY29" s="260">
        <f t="shared" ca="1" si="28"/>
        <v>0</v>
      </c>
      <c r="AZ29" s="260">
        <f t="shared" ca="1" si="29"/>
        <v>0</v>
      </c>
      <c r="BA29" s="260">
        <f t="shared" ca="1" si="30"/>
        <v>0</v>
      </c>
      <c r="BB29" s="260">
        <f t="shared" ca="1" si="31"/>
        <v>0</v>
      </c>
      <c r="BC29" s="260">
        <f t="shared" ca="1" si="32"/>
        <v>0</v>
      </c>
      <c r="BD29" s="260">
        <f t="shared" ca="1" si="33"/>
        <v>0</v>
      </c>
      <c r="BE29" s="260">
        <f t="shared" ca="1" si="34"/>
        <v>0</v>
      </c>
      <c r="BF29" s="260">
        <f t="shared" ca="1" si="35"/>
        <v>0</v>
      </c>
      <c r="BG29" s="260">
        <f t="shared" ca="1" si="36"/>
        <v>0</v>
      </c>
      <c r="BH29" s="260">
        <f t="shared" ca="1" si="75"/>
        <v>0</v>
      </c>
      <c r="BI29" s="260">
        <f t="shared" ca="1" si="76"/>
        <v>0</v>
      </c>
      <c r="BJ29" s="260">
        <f t="shared" ca="1" si="37"/>
        <v>0</v>
      </c>
      <c r="BK29" s="260">
        <f t="shared" ca="1" si="38"/>
        <v>0</v>
      </c>
      <c r="BL29" s="260">
        <f t="shared" ca="1" si="39"/>
        <v>0</v>
      </c>
      <c r="BM29" s="260">
        <f t="shared" ca="1" si="40"/>
        <v>0</v>
      </c>
      <c r="BN29" s="260">
        <f t="shared" ca="1" si="41"/>
        <v>0</v>
      </c>
      <c r="BO29" s="260">
        <f t="shared" ca="1" si="42"/>
        <v>0</v>
      </c>
      <c r="BP29" s="260">
        <f t="shared" ca="1" si="77"/>
        <v>0</v>
      </c>
      <c r="BQ29" s="260">
        <f t="shared" ca="1" si="78"/>
        <v>0</v>
      </c>
      <c r="BR29" s="260">
        <f t="shared" ca="1" si="43"/>
        <v>0</v>
      </c>
      <c r="BS29" s="260">
        <f t="shared" ca="1" si="44"/>
        <v>0</v>
      </c>
      <c r="BT29" s="260">
        <f t="shared" ca="1" si="79"/>
        <v>0</v>
      </c>
      <c r="BU29" s="260">
        <f t="shared" ca="1" si="80"/>
        <v>0</v>
      </c>
      <c r="BV29" s="260">
        <f t="shared" ca="1" si="81"/>
        <v>0</v>
      </c>
      <c r="BW29" s="260">
        <f t="shared" ca="1" si="82"/>
        <v>0</v>
      </c>
      <c r="BX29" s="260">
        <f t="shared" ca="1" si="45"/>
        <v>0</v>
      </c>
      <c r="BY29" s="260">
        <f t="shared" ca="1" si="46"/>
        <v>0</v>
      </c>
      <c r="BZ29" s="260">
        <f t="shared" ca="1" si="47"/>
        <v>0</v>
      </c>
      <c r="CA29" s="260">
        <f t="shared" ca="1" si="48"/>
        <v>0</v>
      </c>
      <c r="CB29" s="260">
        <f t="shared" ca="1" si="49"/>
        <v>0</v>
      </c>
      <c r="CC29" s="260">
        <f t="shared" ca="1" si="50"/>
        <v>0</v>
      </c>
      <c r="CD29" s="260">
        <f t="shared" ca="1" si="83"/>
        <v>0</v>
      </c>
      <c r="CE29" s="260">
        <f t="shared" ca="1" si="84"/>
        <v>0</v>
      </c>
      <c r="CF29" s="260">
        <f t="shared" ca="1" si="85"/>
        <v>0</v>
      </c>
      <c r="CG29" s="260">
        <f t="shared" ca="1" si="86"/>
        <v>0</v>
      </c>
      <c r="CH29" s="260">
        <f t="shared" ca="1" si="51"/>
        <v>0</v>
      </c>
      <c r="CI29" s="260">
        <f t="shared" ca="1" si="52"/>
        <v>0</v>
      </c>
      <c r="CJ29" s="260">
        <f t="shared" ca="1" si="87"/>
        <v>0</v>
      </c>
      <c r="CK29" s="260">
        <f t="shared" ca="1" si="88"/>
        <v>0</v>
      </c>
      <c r="CL29" s="260">
        <f t="shared" ca="1" si="53"/>
        <v>0</v>
      </c>
      <c r="CM29" s="260">
        <f t="shared" ca="1" si="54"/>
        <v>0</v>
      </c>
      <c r="CN29" s="260">
        <f t="shared" ca="1" si="55"/>
        <v>0</v>
      </c>
      <c r="CO29" s="260">
        <f t="shared" ca="1" si="56"/>
        <v>0</v>
      </c>
      <c r="CP29" s="260">
        <f t="shared" ca="1" si="89"/>
        <v>0</v>
      </c>
      <c r="CQ29" s="260">
        <f t="shared" ca="1" si="90"/>
        <v>0</v>
      </c>
      <c r="CR29" s="260">
        <f t="shared" ca="1" si="91"/>
        <v>0</v>
      </c>
      <c r="CS29" s="260">
        <f t="shared" ca="1" si="92"/>
        <v>0</v>
      </c>
      <c r="CT29" s="260">
        <f t="shared" ca="1" si="57"/>
        <v>0</v>
      </c>
      <c r="CU29" s="260">
        <f t="shared" ca="1" si="58"/>
        <v>0</v>
      </c>
      <c r="CV29" s="260">
        <f t="shared" ca="1" si="59"/>
        <v>0</v>
      </c>
      <c r="CW29" s="260">
        <f t="shared" ca="1" si="60"/>
        <v>0</v>
      </c>
      <c r="CX29" s="260">
        <f t="shared" ca="1" si="93"/>
        <v>0</v>
      </c>
      <c r="CY29" s="260">
        <f t="shared" ca="1" si="94"/>
        <v>0</v>
      </c>
      <c r="CZ29" s="260">
        <f t="shared" ca="1" si="95"/>
        <v>0</v>
      </c>
      <c r="DA29" s="260">
        <f t="shared" ca="1" si="96"/>
        <v>0</v>
      </c>
    </row>
    <row r="30" spans="1:105" s="257" customFormat="1" ht="15" customHeight="1">
      <c r="A30" s="60">
        <f t="array" aca="1" ref="A30" ca="1">IF(C30&lt;&gt;0,SUM(($C$11:C30&lt;&gt;0)*1),"")</f>
        <v>20</v>
      </c>
      <c r="B30" s="258" t="str">
        <f ca="1">IF(ROWS($1:20)&gt;COUNT(Dong6),"",OFFSET(TH!C$1,SMALL(Dong6,ROWS($1:20)),))</f>
        <v/>
      </c>
      <c r="C30" s="258" t="str">
        <f ca="1">IF(ROWS($1:20)&gt;COUNT(Dong6),"",OFFSET(TH!D$1,SMALL(Dong6,ROWS($1:20)),))</f>
        <v/>
      </c>
      <c r="D30" s="258" t="str">
        <f ca="1">IF(ROWS($1:20)&gt;COUNT(Dong6),"",OFFSET(TH!E$1,SMALL(Dong6,ROWS($1:20)),))</f>
        <v/>
      </c>
      <c r="E30" s="308" t="str">
        <f ca="1">IF(ROWS($1:20)&gt;COUNT(Dong6),"",OFFSET(TH!F$1,SMALL(Dong6,ROWS($1:20)),))</f>
        <v/>
      </c>
      <c r="F30" s="309" t="str">
        <f ca="1">IF(ROWS($1:20)&gt;COUNT(Dong6),"",OFFSET(TH!M$1,SMALL(Dong6,ROWS($1:20)),))</f>
        <v/>
      </c>
      <c r="G30" s="310" t="str">
        <f ca="1">IF(ROWS($1:20)&gt;COUNT(Dong6),"",OFFSET(TH!N$1,SMALL(Dong6,ROWS($1:20)),))</f>
        <v/>
      </c>
      <c r="H30" s="310" t="str">
        <f ca="1">IF(ROWS($1:20)&gt;COUNT(Dong6),"",OFFSET(TH!O$1,SMALL(Dong6,ROWS($1:20)),))</f>
        <v/>
      </c>
      <c r="I30" s="60">
        <f t="shared" ca="1" si="0"/>
        <v>20</v>
      </c>
      <c r="J30" s="260">
        <f t="shared" ca="1" si="61"/>
        <v>0</v>
      </c>
      <c r="K30" s="260">
        <f t="shared" ca="1" si="62"/>
        <v>0</v>
      </c>
      <c r="L30" s="260">
        <f t="shared" ca="1" si="1"/>
        <v>0</v>
      </c>
      <c r="M30" s="260">
        <f t="shared" ca="1" si="2"/>
        <v>0</v>
      </c>
      <c r="N30" s="260">
        <f t="shared" ca="1" si="3"/>
        <v>0</v>
      </c>
      <c r="O30" s="260">
        <f t="shared" ca="1" si="4"/>
        <v>0</v>
      </c>
      <c r="P30" s="260">
        <f t="shared" ca="1" si="5"/>
        <v>0</v>
      </c>
      <c r="Q30" s="260">
        <f t="shared" ca="1" si="6"/>
        <v>0</v>
      </c>
      <c r="R30" s="260">
        <f t="shared" ca="1" si="7"/>
        <v>0</v>
      </c>
      <c r="S30" s="260">
        <f t="shared" ca="1" si="8"/>
        <v>0</v>
      </c>
      <c r="T30" s="260">
        <f t="shared" ca="1" si="9"/>
        <v>0</v>
      </c>
      <c r="U30" s="260">
        <f t="shared" ca="1" si="10"/>
        <v>0</v>
      </c>
      <c r="V30" s="260">
        <f t="shared" ca="1" si="11"/>
        <v>0</v>
      </c>
      <c r="W30" s="260">
        <f t="shared" ca="1" si="12"/>
        <v>0</v>
      </c>
      <c r="X30" s="260">
        <f t="shared" ca="1" si="13"/>
        <v>0</v>
      </c>
      <c r="Y30" s="260">
        <f t="shared" ca="1" si="14"/>
        <v>0</v>
      </c>
      <c r="Z30" s="260">
        <f t="shared" ca="1" si="15"/>
        <v>0</v>
      </c>
      <c r="AA30" s="260">
        <f t="shared" ca="1" si="16"/>
        <v>0</v>
      </c>
      <c r="AB30" s="260">
        <f t="shared" ca="1" si="63"/>
        <v>0</v>
      </c>
      <c r="AC30" s="260">
        <f t="shared" ca="1" si="64"/>
        <v>0</v>
      </c>
      <c r="AD30" s="260">
        <f t="shared" ca="1" si="17"/>
        <v>0</v>
      </c>
      <c r="AE30" s="260">
        <f t="shared" ca="1" si="18"/>
        <v>0</v>
      </c>
      <c r="AF30" s="260">
        <f t="shared" ca="1" si="19"/>
        <v>0</v>
      </c>
      <c r="AG30" s="260">
        <f t="shared" ca="1" si="20"/>
        <v>0</v>
      </c>
      <c r="AH30" s="260">
        <f t="shared" ca="1" si="65"/>
        <v>0</v>
      </c>
      <c r="AI30" s="260">
        <f t="shared" ca="1" si="66"/>
        <v>0</v>
      </c>
      <c r="AJ30" s="260">
        <f t="shared" ca="1" si="67"/>
        <v>0</v>
      </c>
      <c r="AK30" s="260">
        <f t="shared" ca="1" si="68"/>
        <v>0</v>
      </c>
      <c r="AL30" s="260">
        <f t="shared" ca="1" si="69"/>
        <v>0</v>
      </c>
      <c r="AM30" s="260">
        <f t="shared" ca="1" si="70"/>
        <v>0</v>
      </c>
      <c r="AN30" s="260">
        <f t="shared" ca="1" si="71"/>
        <v>0</v>
      </c>
      <c r="AO30" s="260">
        <f t="shared" ca="1" si="72"/>
        <v>0</v>
      </c>
      <c r="AP30" s="260">
        <f t="shared" ca="1" si="21"/>
        <v>0</v>
      </c>
      <c r="AQ30" s="260">
        <f t="shared" ca="1" si="22"/>
        <v>0</v>
      </c>
      <c r="AR30" s="260">
        <f t="shared" ca="1" si="23"/>
        <v>0</v>
      </c>
      <c r="AS30" s="260">
        <f t="shared" ca="1" si="24"/>
        <v>0</v>
      </c>
      <c r="AT30" s="260">
        <f t="shared" ca="1" si="73"/>
        <v>0</v>
      </c>
      <c r="AU30" s="260">
        <f t="shared" ca="1" si="74"/>
        <v>0</v>
      </c>
      <c r="AV30" s="260">
        <f t="shared" ca="1" si="25"/>
        <v>0</v>
      </c>
      <c r="AW30" s="260">
        <f t="shared" ca="1" si="26"/>
        <v>0</v>
      </c>
      <c r="AX30" s="260">
        <f t="shared" ca="1" si="27"/>
        <v>0</v>
      </c>
      <c r="AY30" s="260">
        <f t="shared" ca="1" si="28"/>
        <v>0</v>
      </c>
      <c r="AZ30" s="260">
        <f t="shared" ca="1" si="29"/>
        <v>0</v>
      </c>
      <c r="BA30" s="260">
        <f t="shared" ca="1" si="30"/>
        <v>0</v>
      </c>
      <c r="BB30" s="260">
        <f t="shared" ca="1" si="31"/>
        <v>0</v>
      </c>
      <c r="BC30" s="260">
        <f t="shared" ca="1" si="32"/>
        <v>0</v>
      </c>
      <c r="BD30" s="260">
        <f t="shared" ca="1" si="33"/>
        <v>0</v>
      </c>
      <c r="BE30" s="260">
        <f t="shared" ca="1" si="34"/>
        <v>0</v>
      </c>
      <c r="BF30" s="260">
        <f t="shared" ca="1" si="35"/>
        <v>0</v>
      </c>
      <c r="BG30" s="260">
        <f t="shared" ca="1" si="36"/>
        <v>0</v>
      </c>
      <c r="BH30" s="260">
        <f t="shared" ca="1" si="75"/>
        <v>0</v>
      </c>
      <c r="BI30" s="260">
        <f t="shared" ca="1" si="76"/>
        <v>0</v>
      </c>
      <c r="BJ30" s="260">
        <f t="shared" ca="1" si="37"/>
        <v>0</v>
      </c>
      <c r="BK30" s="260">
        <f t="shared" ca="1" si="38"/>
        <v>0</v>
      </c>
      <c r="BL30" s="260">
        <f t="shared" ca="1" si="39"/>
        <v>0</v>
      </c>
      <c r="BM30" s="260">
        <f t="shared" ca="1" si="40"/>
        <v>0</v>
      </c>
      <c r="BN30" s="260">
        <f t="shared" ca="1" si="41"/>
        <v>0</v>
      </c>
      <c r="BO30" s="260">
        <f t="shared" ca="1" si="42"/>
        <v>0</v>
      </c>
      <c r="BP30" s="260">
        <f t="shared" ca="1" si="77"/>
        <v>0</v>
      </c>
      <c r="BQ30" s="260">
        <f t="shared" ca="1" si="78"/>
        <v>0</v>
      </c>
      <c r="BR30" s="260">
        <f t="shared" ca="1" si="43"/>
        <v>0</v>
      </c>
      <c r="BS30" s="260">
        <f t="shared" ca="1" si="44"/>
        <v>0</v>
      </c>
      <c r="BT30" s="260">
        <f t="shared" ca="1" si="79"/>
        <v>0</v>
      </c>
      <c r="BU30" s="260">
        <f t="shared" ca="1" si="80"/>
        <v>0</v>
      </c>
      <c r="BV30" s="260">
        <f t="shared" ca="1" si="81"/>
        <v>0</v>
      </c>
      <c r="BW30" s="260">
        <f t="shared" ca="1" si="82"/>
        <v>0</v>
      </c>
      <c r="BX30" s="260">
        <f t="shared" ca="1" si="45"/>
        <v>0</v>
      </c>
      <c r="BY30" s="260">
        <f t="shared" ca="1" si="46"/>
        <v>0</v>
      </c>
      <c r="BZ30" s="260">
        <f t="shared" ca="1" si="47"/>
        <v>0</v>
      </c>
      <c r="CA30" s="260">
        <f t="shared" ca="1" si="48"/>
        <v>0</v>
      </c>
      <c r="CB30" s="260">
        <f t="shared" ca="1" si="49"/>
        <v>0</v>
      </c>
      <c r="CC30" s="260">
        <f t="shared" ca="1" si="50"/>
        <v>0</v>
      </c>
      <c r="CD30" s="260">
        <f t="shared" ca="1" si="83"/>
        <v>0</v>
      </c>
      <c r="CE30" s="260">
        <f t="shared" ca="1" si="84"/>
        <v>0</v>
      </c>
      <c r="CF30" s="260">
        <f t="shared" ca="1" si="85"/>
        <v>0</v>
      </c>
      <c r="CG30" s="260">
        <f t="shared" ca="1" si="86"/>
        <v>0</v>
      </c>
      <c r="CH30" s="260">
        <f t="shared" ca="1" si="51"/>
        <v>0</v>
      </c>
      <c r="CI30" s="260">
        <f t="shared" ca="1" si="52"/>
        <v>0</v>
      </c>
      <c r="CJ30" s="260">
        <f t="shared" ca="1" si="87"/>
        <v>0</v>
      </c>
      <c r="CK30" s="260">
        <f t="shared" ca="1" si="88"/>
        <v>0</v>
      </c>
      <c r="CL30" s="260">
        <f t="shared" ca="1" si="53"/>
        <v>0</v>
      </c>
      <c r="CM30" s="260">
        <f t="shared" ca="1" si="54"/>
        <v>0</v>
      </c>
      <c r="CN30" s="260">
        <f t="shared" ca="1" si="55"/>
        <v>0</v>
      </c>
      <c r="CO30" s="260">
        <f t="shared" ca="1" si="56"/>
        <v>0</v>
      </c>
      <c r="CP30" s="260">
        <f t="shared" ca="1" si="89"/>
        <v>0</v>
      </c>
      <c r="CQ30" s="260">
        <f t="shared" ca="1" si="90"/>
        <v>0</v>
      </c>
      <c r="CR30" s="260">
        <f t="shared" ca="1" si="91"/>
        <v>0</v>
      </c>
      <c r="CS30" s="260">
        <f t="shared" ca="1" si="92"/>
        <v>0</v>
      </c>
      <c r="CT30" s="260">
        <f t="shared" ca="1" si="57"/>
        <v>0</v>
      </c>
      <c r="CU30" s="260">
        <f t="shared" ca="1" si="58"/>
        <v>0</v>
      </c>
      <c r="CV30" s="260">
        <f t="shared" ca="1" si="59"/>
        <v>0</v>
      </c>
      <c r="CW30" s="260">
        <f t="shared" ca="1" si="60"/>
        <v>0</v>
      </c>
      <c r="CX30" s="260">
        <f t="shared" ca="1" si="93"/>
        <v>0</v>
      </c>
      <c r="CY30" s="260">
        <f t="shared" ca="1" si="94"/>
        <v>0</v>
      </c>
      <c r="CZ30" s="260">
        <f t="shared" ca="1" si="95"/>
        <v>0</v>
      </c>
      <c r="DA30" s="260">
        <f t="shared" ca="1" si="96"/>
        <v>0</v>
      </c>
    </row>
    <row r="31" spans="1:105" s="257" customFormat="1" ht="15" customHeight="1">
      <c r="A31" s="60">
        <f t="array" aca="1" ref="A31" ca="1">IF(C31&lt;&gt;0,SUM(($C$11:C31&lt;&gt;0)*1),"")</f>
        <v>21</v>
      </c>
      <c r="B31" s="258" t="str">
        <f ca="1">IF(ROWS($1:21)&gt;COUNT(Dong6),"",OFFSET(TH!C$1,SMALL(Dong6,ROWS($1:21)),))</f>
        <v/>
      </c>
      <c r="C31" s="258" t="str">
        <f ca="1">IF(ROWS($1:21)&gt;COUNT(Dong6),"",OFFSET(TH!D$1,SMALL(Dong6,ROWS($1:21)),))</f>
        <v/>
      </c>
      <c r="D31" s="258" t="str">
        <f ca="1">IF(ROWS($1:21)&gt;COUNT(Dong6),"",OFFSET(TH!E$1,SMALL(Dong6,ROWS($1:21)),))</f>
        <v/>
      </c>
      <c r="E31" s="308" t="str">
        <f ca="1">IF(ROWS($1:21)&gt;COUNT(Dong6),"",OFFSET(TH!F$1,SMALL(Dong6,ROWS($1:21)),))</f>
        <v/>
      </c>
      <c r="F31" s="309" t="str">
        <f ca="1">IF(ROWS($1:21)&gt;COUNT(Dong6),"",OFFSET(TH!M$1,SMALL(Dong6,ROWS($1:21)),))</f>
        <v/>
      </c>
      <c r="G31" s="310" t="str">
        <f ca="1">IF(ROWS($1:21)&gt;COUNT(Dong6),"",OFFSET(TH!N$1,SMALL(Dong6,ROWS($1:21)),))</f>
        <v/>
      </c>
      <c r="H31" s="310" t="str">
        <f ca="1">IF(ROWS($1:21)&gt;COUNT(Dong6),"",OFFSET(TH!O$1,SMALL(Dong6,ROWS($1:21)),))</f>
        <v/>
      </c>
      <c r="I31" s="60">
        <f t="shared" ca="1" si="0"/>
        <v>21</v>
      </c>
      <c r="J31" s="260">
        <f t="shared" ca="1" si="61"/>
        <v>0</v>
      </c>
      <c r="K31" s="260">
        <f t="shared" ca="1" si="62"/>
        <v>0</v>
      </c>
      <c r="L31" s="260">
        <f t="shared" ca="1" si="1"/>
        <v>0</v>
      </c>
      <c r="M31" s="260">
        <f t="shared" ca="1" si="2"/>
        <v>0</v>
      </c>
      <c r="N31" s="260">
        <f t="shared" ca="1" si="3"/>
        <v>0</v>
      </c>
      <c r="O31" s="260">
        <f t="shared" ca="1" si="4"/>
        <v>0</v>
      </c>
      <c r="P31" s="260">
        <f t="shared" ca="1" si="5"/>
        <v>0</v>
      </c>
      <c r="Q31" s="260">
        <f t="shared" ca="1" si="6"/>
        <v>0</v>
      </c>
      <c r="R31" s="260">
        <f t="shared" ca="1" si="7"/>
        <v>0</v>
      </c>
      <c r="S31" s="260">
        <f t="shared" ca="1" si="8"/>
        <v>0</v>
      </c>
      <c r="T31" s="260">
        <f t="shared" ca="1" si="9"/>
        <v>0</v>
      </c>
      <c r="U31" s="260">
        <f t="shared" ca="1" si="10"/>
        <v>0</v>
      </c>
      <c r="V31" s="260">
        <f t="shared" ca="1" si="11"/>
        <v>0</v>
      </c>
      <c r="W31" s="260">
        <f t="shared" ca="1" si="12"/>
        <v>0</v>
      </c>
      <c r="X31" s="260">
        <f t="shared" ca="1" si="13"/>
        <v>0</v>
      </c>
      <c r="Y31" s="260">
        <f t="shared" ca="1" si="14"/>
        <v>0</v>
      </c>
      <c r="Z31" s="260">
        <f t="shared" ca="1" si="15"/>
        <v>0</v>
      </c>
      <c r="AA31" s="260">
        <f t="shared" ca="1" si="16"/>
        <v>0</v>
      </c>
      <c r="AB31" s="260">
        <f t="shared" ca="1" si="63"/>
        <v>0</v>
      </c>
      <c r="AC31" s="260">
        <f t="shared" ca="1" si="64"/>
        <v>0</v>
      </c>
      <c r="AD31" s="260">
        <f t="shared" ca="1" si="17"/>
        <v>0</v>
      </c>
      <c r="AE31" s="260">
        <f t="shared" ca="1" si="18"/>
        <v>0</v>
      </c>
      <c r="AF31" s="260">
        <f t="shared" ca="1" si="19"/>
        <v>0</v>
      </c>
      <c r="AG31" s="260">
        <f t="shared" ca="1" si="20"/>
        <v>0</v>
      </c>
      <c r="AH31" s="260">
        <f t="shared" ca="1" si="65"/>
        <v>0</v>
      </c>
      <c r="AI31" s="260">
        <f t="shared" ca="1" si="66"/>
        <v>0</v>
      </c>
      <c r="AJ31" s="260">
        <f t="shared" ca="1" si="67"/>
        <v>0</v>
      </c>
      <c r="AK31" s="260">
        <f t="shared" ca="1" si="68"/>
        <v>0</v>
      </c>
      <c r="AL31" s="260">
        <f t="shared" ca="1" si="69"/>
        <v>0</v>
      </c>
      <c r="AM31" s="260">
        <f t="shared" ca="1" si="70"/>
        <v>0</v>
      </c>
      <c r="AN31" s="260">
        <f t="shared" ca="1" si="71"/>
        <v>0</v>
      </c>
      <c r="AO31" s="260">
        <f t="shared" ca="1" si="72"/>
        <v>0</v>
      </c>
      <c r="AP31" s="260">
        <f t="shared" ca="1" si="21"/>
        <v>0</v>
      </c>
      <c r="AQ31" s="260">
        <f t="shared" ca="1" si="22"/>
        <v>0</v>
      </c>
      <c r="AR31" s="260">
        <f t="shared" ca="1" si="23"/>
        <v>0</v>
      </c>
      <c r="AS31" s="260">
        <f t="shared" ca="1" si="24"/>
        <v>0</v>
      </c>
      <c r="AT31" s="260">
        <f t="shared" ca="1" si="73"/>
        <v>0</v>
      </c>
      <c r="AU31" s="260">
        <f t="shared" ca="1" si="74"/>
        <v>0</v>
      </c>
      <c r="AV31" s="260">
        <f t="shared" ca="1" si="25"/>
        <v>0</v>
      </c>
      <c r="AW31" s="260">
        <f t="shared" ca="1" si="26"/>
        <v>0</v>
      </c>
      <c r="AX31" s="260">
        <f t="shared" ca="1" si="27"/>
        <v>0</v>
      </c>
      <c r="AY31" s="260">
        <f t="shared" ca="1" si="28"/>
        <v>0</v>
      </c>
      <c r="AZ31" s="260">
        <f t="shared" ca="1" si="29"/>
        <v>0</v>
      </c>
      <c r="BA31" s="260">
        <f t="shared" ca="1" si="30"/>
        <v>0</v>
      </c>
      <c r="BB31" s="260">
        <f t="shared" ca="1" si="31"/>
        <v>0</v>
      </c>
      <c r="BC31" s="260">
        <f t="shared" ca="1" si="32"/>
        <v>0</v>
      </c>
      <c r="BD31" s="260">
        <f t="shared" ca="1" si="33"/>
        <v>0</v>
      </c>
      <c r="BE31" s="260">
        <f t="shared" ca="1" si="34"/>
        <v>0</v>
      </c>
      <c r="BF31" s="260">
        <f t="shared" ca="1" si="35"/>
        <v>0</v>
      </c>
      <c r="BG31" s="260">
        <f t="shared" ca="1" si="36"/>
        <v>0</v>
      </c>
      <c r="BH31" s="260">
        <f t="shared" ca="1" si="75"/>
        <v>0</v>
      </c>
      <c r="BI31" s="260">
        <f t="shared" ca="1" si="76"/>
        <v>0</v>
      </c>
      <c r="BJ31" s="260">
        <f t="shared" ca="1" si="37"/>
        <v>0</v>
      </c>
      <c r="BK31" s="260">
        <f t="shared" ca="1" si="38"/>
        <v>0</v>
      </c>
      <c r="BL31" s="260">
        <f t="shared" ca="1" si="39"/>
        <v>0</v>
      </c>
      <c r="BM31" s="260">
        <f t="shared" ca="1" si="40"/>
        <v>0</v>
      </c>
      <c r="BN31" s="260">
        <f t="shared" ca="1" si="41"/>
        <v>0</v>
      </c>
      <c r="BO31" s="260">
        <f t="shared" ca="1" si="42"/>
        <v>0</v>
      </c>
      <c r="BP31" s="260">
        <f t="shared" ca="1" si="77"/>
        <v>0</v>
      </c>
      <c r="BQ31" s="260">
        <f t="shared" ca="1" si="78"/>
        <v>0</v>
      </c>
      <c r="BR31" s="260">
        <f t="shared" ca="1" si="43"/>
        <v>0</v>
      </c>
      <c r="BS31" s="260">
        <f t="shared" ca="1" si="44"/>
        <v>0</v>
      </c>
      <c r="BT31" s="260">
        <f t="shared" ca="1" si="79"/>
        <v>0</v>
      </c>
      <c r="BU31" s="260">
        <f t="shared" ca="1" si="80"/>
        <v>0</v>
      </c>
      <c r="BV31" s="260">
        <f t="shared" ca="1" si="81"/>
        <v>0</v>
      </c>
      <c r="BW31" s="260">
        <f t="shared" ca="1" si="82"/>
        <v>0</v>
      </c>
      <c r="BX31" s="260">
        <f t="shared" ca="1" si="45"/>
        <v>0</v>
      </c>
      <c r="BY31" s="260">
        <f t="shared" ca="1" si="46"/>
        <v>0</v>
      </c>
      <c r="BZ31" s="260">
        <f t="shared" ca="1" si="47"/>
        <v>0</v>
      </c>
      <c r="CA31" s="260">
        <f t="shared" ca="1" si="48"/>
        <v>0</v>
      </c>
      <c r="CB31" s="260">
        <f t="shared" ca="1" si="49"/>
        <v>0</v>
      </c>
      <c r="CC31" s="260">
        <f t="shared" ca="1" si="50"/>
        <v>0</v>
      </c>
      <c r="CD31" s="260">
        <f t="shared" ca="1" si="83"/>
        <v>0</v>
      </c>
      <c r="CE31" s="260">
        <f t="shared" ca="1" si="84"/>
        <v>0</v>
      </c>
      <c r="CF31" s="260">
        <f t="shared" ca="1" si="85"/>
        <v>0</v>
      </c>
      <c r="CG31" s="260">
        <f t="shared" ca="1" si="86"/>
        <v>0</v>
      </c>
      <c r="CH31" s="260">
        <f t="shared" ca="1" si="51"/>
        <v>0</v>
      </c>
      <c r="CI31" s="260">
        <f t="shared" ca="1" si="52"/>
        <v>0</v>
      </c>
      <c r="CJ31" s="260">
        <f t="shared" ca="1" si="87"/>
        <v>0</v>
      </c>
      <c r="CK31" s="260">
        <f t="shared" ca="1" si="88"/>
        <v>0</v>
      </c>
      <c r="CL31" s="260">
        <f t="shared" ca="1" si="53"/>
        <v>0</v>
      </c>
      <c r="CM31" s="260">
        <f t="shared" ca="1" si="54"/>
        <v>0</v>
      </c>
      <c r="CN31" s="260">
        <f t="shared" ca="1" si="55"/>
        <v>0</v>
      </c>
      <c r="CO31" s="260">
        <f t="shared" ca="1" si="56"/>
        <v>0</v>
      </c>
      <c r="CP31" s="260">
        <f t="shared" ca="1" si="89"/>
        <v>0</v>
      </c>
      <c r="CQ31" s="260">
        <f t="shared" ca="1" si="90"/>
        <v>0</v>
      </c>
      <c r="CR31" s="260">
        <f t="shared" ca="1" si="91"/>
        <v>0</v>
      </c>
      <c r="CS31" s="260">
        <f t="shared" ca="1" si="92"/>
        <v>0</v>
      </c>
      <c r="CT31" s="260">
        <f t="shared" ca="1" si="57"/>
        <v>0</v>
      </c>
      <c r="CU31" s="260">
        <f t="shared" ca="1" si="58"/>
        <v>0</v>
      </c>
      <c r="CV31" s="260">
        <f t="shared" ca="1" si="59"/>
        <v>0</v>
      </c>
      <c r="CW31" s="260">
        <f t="shared" ca="1" si="60"/>
        <v>0</v>
      </c>
      <c r="CX31" s="260">
        <f t="shared" ca="1" si="93"/>
        <v>0</v>
      </c>
      <c r="CY31" s="260">
        <f t="shared" ca="1" si="94"/>
        <v>0</v>
      </c>
      <c r="CZ31" s="260">
        <f t="shared" ca="1" si="95"/>
        <v>0</v>
      </c>
      <c r="DA31" s="260">
        <f t="shared" ca="1" si="96"/>
        <v>0</v>
      </c>
    </row>
    <row r="32" spans="1:105" s="257" customFormat="1" ht="15" customHeight="1">
      <c r="A32" s="60">
        <f t="array" aca="1" ref="A32" ca="1">IF(C32&lt;&gt;0,SUM(($C$11:C32&lt;&gt;0)*1),"")</f>
        <v>22</v>
      </c>
      <c r="B32" s="258" t="str">
        <f ca="1">IF(ROWS($1:22)&gt;COUNT(Dong6),"",OFFSET(TH!C$1,SMALL(Dong6,ROWS($1:22)),))</f>
        <v/>
      </c>
      <c r="C32" s="258" t="str">
        <f ca="1">IF(ROWS($1:22)&gt;COUNT(Dong6),"",OFFSET(TH!D$1,SMALL(Dong6,ROWS($1:22)),))</f>
        <v/>
      </c>
      <c r="D32" s="258" t="str">
        <f ca="1">IF(ROWS($1:22)&gt;COUNT(Dong6),"",OFFSET(TH!E$1,SMALL(Dong6,ROWS($1:22)),))</f>
        <v/>
      </c>
      <c r="E32" s="308" t="str">
        <f ca="1">IF(ROWS($1:22)&gt;COUNT(Dong6),"",OFFSET(TH!F$1,SMALL(Dong6,ROWS($1:22)),))</f>
        <v/>
      </c>
      <c r="F32" s="309" t="str">
        <f ca="1">IF(ROWS($1:22)&gt;COUNT(Dong6),"",OFFSET(TH!M$1,SMALL(Dong6,ROWS($1:22)),))</f>
        <v/>
      </c>
      <c r="G32" s="310" t="str">
        <f ca="1">IF(ROWS($1:22)&gt;COUNT(Dong6),"",OFFSET(TH!N$1,SMALL(Dong6,ROWS($1:22)),))</f>
        <v/>
      </c>
      <c r="H32" s="310" t="str">
        <f ca="1">IF(ROWS($1:22)&gt;COUNT(Dong6),"",OFFSET(TH!O$1,SMALL(Dong6,ROWS($1:22)),))</f>
        <v/>
      </c>
      <c r="I32" s="60">
        <f t="shared" ca="1" si="0"/>
        <v>22</v>
      </c>
      <c r="J32" s="260">
        <f t="shared" ca="1" si="61"/>
        <v>0</v>
      </c>
      <c r="K32" s="260">
        <f t="shared" ca="1" si="62"/>
        <v>0</v>
      </c>
      <c r="L32" s="260">
        <f t="shared" ca="1" si="1"/>
        <v>0</v>
      </c>
      <c r="M32" s="260">
        <f t="shared" ca="1" si="2"/>
        <v>0</v>
      </c>
      <c r="N32" s="260">
        <f t="shared" ca="1" si="3"/>
        <v>0</v>
      </c>
      <c r="O32" s="260">
        <f t="shared" ca="1" si="4"/>
        <v>0</v>
      </c>
      <c r="P32" s="260">
        <f t="shared" ca="1" si="5"/>
        <v>0</v>
      </c>
      <c r="Q32" s="260">
        <f t="shared" ca="1" si="6"/>
        <v>0</v>
      </c>
      <c r="R32" s="260">
        <f t="shared" ca="1" si="7"/>
        <v>0</v>
      </c>
      <c r="S32" s="260">
        <f t="shared" ca="1" si="8"/>
        <v>0</v>
      </c>
      <c r="T32" s="260">
        <f t="shared" ca="1" si="9"/>
        <v>0</v>
      </c>
      <c r="U32" s="260">
        <f t="shared" ca="1" si="10"/>
        <v>0</v>
      </c>
      <c r="V32" s="260">
        <f t="shared" ca="1" si="11"/>
        <v>0</v>
      </c>
      <c r="W32" s="260">
        <f t="shared" ca="1" si="12"/>
        <v>0</v>
      </c>
      <c r="X32" s="260">
        <f t="shared" ca="1" si="13"/>
        <v>0</v>
      </c>
      <c r="Y32" s="260">
        <f t="shared" ca="1" si="14"/>
        <v>0</v>
      </c>
      <c r="Z32" s="260">
        <f t="shared" ca="1" si="15"/>
        <v>0</v>
      </c>
      <c r="AA32" s="260">
        <f t="shared" ca="1" si="16"/>
        <v>0</v>
      </c>
      <c r="AB32" s="260">
        <f t="shared" ca="1" si="63"/>
        <v>0</v>
      </c>
      <c r="AC32" s="260">
        <f t="shared" ca="1" si="64"/>
        <v>0</v>
      </c>
      <c r="AD32" s="260">
        <f t="shared" ca="1" si="17"/>
        <v>0</v>
      </c>
      <c r="AE32" s="260">
        <f t="shared" ca="1" si="18"/>
        <v>0</v>
      </c>
      <c r="AF32" s="260">
        <f t="shared" ca="1" si="19"/>
        <v>0</v>
      </c>
      <c r="AG32" s="260">
        <f t="shared" ca="1" si="20"/>
        <v>0</v>
      </c>
      <c r="AH32" s="260">
        <f t="shared" ca="1" si="65"/>
        <v>0</v>
      </c>
      <c r="AI32" s="260">
        <f t="shared" ca="1" si="66"/>
        <v>0</v>
      </c>
      <c r="AJ32" s="260">
        <f t="shared" ca="1" si="67"/>
        <v>0</v>
      </c>
      <c r="AK32" s="260">
        <f t="shared" ca="1" si="68"/>
        <v>0</v>
      </c>
      <c r="AL32" s="260">
        <f t="shared" ca="1" si="69"/>
        <v>0</v>
      </c>
      <c r="AM32" s="260">
        <f t="shared" ca="1" si="70"/>
        <v>0</v>
      </c>
      <c r="AN32" s="260">
        <f t="shared" ca="1" si="71"/>
        <v>0</v>
      </c>
      <c r="AO32" s="260">
        <f t="shared" ca="1" si="72"/>
        <v>0</v>
      </c>
      <c r="AP32" s="260">
        <f t="shared" ca="1" si="21"/>
        <v>0</v>
      </c>
      <c r="AQ32" s="260">
        <f t="shared" ca="1" si="22"/>
        <v>0</v>
      </c>
      <c r="AR32" s="260">
        <f t="shared" ca="1" si="23"/>
        <v>0</v>
      </c>
      <c r="AS32" s="260">
        <f t="shared" ca="1" si="24"/>
        <v>0</v>
      </c>
      <c r="AT32" s="260">
        <f t="shared" ca="1" si="73"/>
        <v>0</v>
      </c>
      <c r="AU32" s="260">
        <f t="shared" ca="1" si="74"/>
        <v>0</v>
      </c>
      <c r="AV32" s="260">
        <f t="shared" ca="1" si="25"/>
        <v>0</v>
      </c>
      <c r="AW32" s="260">
        <f t="shared" ca="1" si="26"/>
        <v>0</v>
      </c>
      <c r="AX32" s="260">
        <f t="shared" ca="1" si="27"/>
        <v>0</v>
      </c>
      <c r="AY32" s="260">
        <f t="shared" ca="1" si="28"/>
        <v>0</v>
      </c>
      <c r="AZ32" s="260">
        <f t="shared" ca="1" si="29"/>
        <v>0</v>
      </c>
      <c r="BA32" s="260">
        <f t="shared" ca="1" si="30"/>
        <v>0</v>
      </c>
      <c r="BB32" s="260">
        <f t="shared" ca="1" si="31"/>
        <v>0</v>
      </c>
      <c r="BC32" s="260">
        <f t="shared" ca="1" si="32"/>
        <v>0</v>
      </c>
      <c r="BD32" s="260">
        <f t="shared" ca="1" si="33"/>
        <v>0</v>
      </c>
      <c r="BE32" s="260">
        <f t="shared" ca="1" si="34"/>
        <v>0</v>
      </c>
      <c r="BF32" s="260">
        <f t="shared" ca="1" si="35"/>
        <v>0</v>
      </c>
      <c r="BG32" s="260">
        <f t="shared" ca="1" si="36"/>
        <v>0</v>
      </c>
      <c r="BH32" s="260">
        <f t="shared" ca="1" si="75"/>
        <v>0</v>
      </c>
      <c r="BI32" s="260">
        <f t="shared" ca="1" si="76"/>
        <v>0</v>
      </c>
      <c r="BJ32" s="260">
        <f t="shared" ca="1" si="37"/>
        <v>0</v>
      </c>
      <c r="BK32" s="260">
        <f t="shared" ca="1" si="38"/>
        <v>0</v>
      </c>
      <c r="BL32" s="260">
        <f t="shared" ca="1" si="39"/>
        <v>0</v>
      </c>
      <c r="BM32" s="260">
        <f t="shared" ca="1" si="40"/>
        <v>0</v>
      </c>
      <c r="BN32" s="260">
        <f t="shared" ca="1" si="41"/>
        <v>0</v>
      </c>
      <c r="BO32" s="260">
        <f t="shared" ca="1" si="42"/>
        <v>0</v>
      </c>
      <c r="BP32" s="260">
        <f t="shared" ca="1" si="77"/>
        <v>0</v>
      </c>
      <c r="BQ32" s="260">
        <f t="shared" ca="1" si="78"/>
        <v>0</v>
      </c>
      <c r="BR32" s="260">
        <f t="shared" ca="1" si="43"/>
        <v>0</v>
      </c>
      <c r="BS32" s="260">
        <f t="shared" ca="1" si="44"/>
        <v>0</v>
      </c>
      <c r="BT32" s="260">
        <f t="shared" ca="1" si="79"/>
        <v>0</v>
      </c>
      <c r="BU32" s="260">
        <f t="shared" ca="1" si="80"/>
        <v>0</v>
      </c>
      <c r="BV32" s="260">
        <f t="shared" ca="1" si="81"/>
        <v>0</v>
      </c>
      <c r="BW32" s="260">
        <f t="shared" ca="1" si="82"/>
        <v>0</v>
      </c>
      <c r="BX32" s="260">
        <f t="shared" ca="1" si="45"/>
        <v>0</v>
      </c>
      <c r="BY32" s="260">
        <f t="shared" ca="1" si="46"/>
        <v>0</v>
      </c>
      <c r="BZ32" s="260">
        <f t="shared" ca="1" si="47"/>
        <v>0</v>
      </c>
      <c r="CA32" s="260">
        <f t="shared" ca="1" si="48"/>
        <v>0</v>
      </c>
      <c r="CB32" s="260">
        <f t="shared" ca="1" si="49"/>
        <v>0</v>
      </c>
      <c r="CC32" s="260">
        <f t="shared" ca="1" si="50"/>
        <v>0</v>
      </c>
      <c r="CD32" s="260">
        <f t="shared" ca="1" si="83"/>
        <v>0</v>
      </c>
      <c r="CE32" s="260">
        <f t="shared" ca="1" si="84"/>
        <v>0</v>
      </c>
      <c r="CF32" s="260">
        <f t="shared" ca="1" si="85"/>
        <v>0</v>
      </c>
      <c r="CG32" s="260">
        <f t="shared" ca="1" si="86"/>
        <v>0</v>
      </c>
      <c r="CH32" s="260">
        <f t="shared" ca="1" si="51"/>
        <v>0</v>
      </c>
      <c r="CI32" s="260">
        <f t="shared" ca="1" si="52"/>
        <v>0</v>
      </c>
      <c r="CJ32" s="260">
        <f t="shared" ca="1" si="87"/>
        <v>0</v>
      </c>
      <c r="CK32" s="260">
        <f t="shared" ca="1" si="88"/>
        <v>0</v>
      </c>
      <c r="CL32" s="260">
        <f t="shared" ca="1" si="53"/>
        <v>0</v>
      </c>
      <c r="CM32" s="260">
        <f t="shared" ca="1" si="54"/>
        <v>0</v>
      </c>
      <c r="CN32" s="260">
        <f t="shared" ca="1" si="55"/>
        <v>0</v>
      </c>
      <c r="CO32" s="260">
        <f t="shared" ca="1" si="56"/>
        <v>0</v>
      </c>
      <c r="CP32" s="260">
        <f t="shared" ca="1" si="89"/>
        <v>0</v>
      </c>
      <c r="CQ32" s="260">
        <f t="shared" ca="1" si="90"/>
        <v>0</v>
      </c>
      <c r="CR32" s="260">
        <f t="shared" ca="1" si="91"/>
        <v>0</v>
      </c>
      <c r="CS32" s="260">
        <f t="shared" ca="1" si="92"/>
        <v>0</v>
      </c>
      <c r="CT32" s="260">
        <f t="shared" ca="1" si="57"/>
        <v>0</v>
      </c>
      <c r="CU32" s="260">
        <f t="shared" ca="1" si="58"/>
        <v>0</v>
      </c>
      <c r="CV32" s="260">
        <f t="shared" ca="1" si="59"/>
        <v>0</v>
      </c>
      <c r="CW32" s="260">
        <f t="shared" ca="1" si="60"/>
        <v>0</v>
      </c>
      <c r="CX32" s="260">
        <f t="shared" ca="1" si="93"/>
        <v>0</v>
      </c>
      <c r="CY32" s="260">
        <f t="shared" ca="1" si="94"/>
        <v>0</v>
      </c>
      <c r="CZ32" s="260">
        <f t="shared" ca="1" si="95"/>
        <v>0</v>
      </c>
      <c r="DA32" s="260">
        <f t="shared" ca="1" si="96"/>
        <v>0</v>
      </c>
    </row>
    <row r="33" spans="1:105" s="257" customFormat="1" ht="15" customHeight="1">
      <c r="A33" s="60">
        <f t="array" aca="1" ref="A33" ca="1">IF(C33&lt;&gt;0,SUM(($C$11:C33&lt;&gt;0)*1),"")</f>
        <v>23</v>
      </c>
      <c r="B33" s="258" t="str">
        <f ca="1">IF(ROWS($1:23)&gt;COUNT(Dong6),"",OFFSET(TH!C$1,SMALL(Dong6,ROWS($1:23)),))</f>
        <v/>
      </c>
      <c r="C33" s="258" t="str">
        <f ca="1">IF(ROWS($1:23)&gt;COUNT(Dong6),"",OFFSET(TH!D$1,SMALL(Dong6,ROWS($1:23)),))</f>
        <v/>
      </c>
      <c r="D33" s="258" t="str">
        <f ca="1">IF(ROWS($1:23)&gt;COUNT(Dong6),"",OFFSET(TH!E$1,SMALL(Dong6,ROWS($1:23)),))</f>
        <v/>
      </c>
      <c r="E33" s="308" t="str">
        <f ca="1">IF(ROWS($1:23)&gt;COUNT(Dong6),"",OFFSET(TH!F$1,SMALL(Dong6,ROWS($1:23)),))</f>
        <v/>
      </c>
      <c r="F33" s="309" t="str">
        <f ca="1">IF(ROWS($1:23)&gt;COUNT(Dong6),"",OFFSET(TH!M$1,SMALL(Dong6,ROWS($1:23)),))</f>
        <v/>
      </c>
      <c r="G33" s="310" t="str">
        <f ca="1">IF(ROWS($1:23)&gt;COUNT(Dong6),"",OFFSET(TH!N$1,SMALL(Dong6,ROWS($1:23)),))</f>
        <v/>
      </c>
      <c r="H33" s="310" t="str">
        <f ca="1">IF(ROWS($1:23)&gt;COUNT(Dong6),"",OFFSET(TH!O$1,SMALL(Dong6,ROWS($1:23)),))</f>
        <v/>
      </c>
      <c r="I33" s="60">
        <f t="shared" ca="1" si="0"/>
        <v>23</v>
      </c>
      <c r="J33" s="260">
        <f t="shared" ca="1" si="61"/>
        <v>0</v>
      </c>
      <c r="K33" s="260">
        <f t="shared" ca="1" si="62"/>
        <v>0</v>
      </c>
      <c r="L33" s="260">
        <f t="shared" ca="1" si="1"/>
        <v>0</v>
      </c>
      <c r="M33" s="260">
        <f t="shared" ca="1" si="2"/>
        <v>0</v>
      </c>
      <c r="N33" s="260">
        <f t="shared" ca="1" si="3"/>
        <v>0</v>
      </c>
      <c r="O33" s="260">
        <f t="shared" ca="1" si="4"/>
        <v>0</v>
      </c>
      <c r="P33" s="260">
        <f t="shared" ca="1" si="5"/>
        <v>0</v>
      </c>
      <c r="Q33" s="260">
        <f t="shared" ca="1" si="6"/>
        <v>0</v>
      </c>
      <c r="R33" s="260">
        <f t="shared" ca="1" si="7"/>
        <v>0</v>
      </c>
      <c r="S33" s="260">
        <f t="shared" ca="1" si="8"/>
        <v>0</v>
      </c>
      <c r="T33" s="260">
        <f t="shared" ca="1" si="9"/>
        <v>0</v>
      </c>
      <c r="U33" s="260">
        <f t="shared" ca="1" si="10"/>
        <v>0</v>
      </c>
      <c r="V33" s="260">
        <f t="shared" ca="1" si="11"/>
        <v>0</v>
      </c>
      <c r="W33" s="260">
        <f t="shared" ca="1" si="12"/>
        <v>0</v>
      </c>
      <c r="X33" s="260">
        <f t="shared" ca="1" si="13"/>
        <v>0</v>
      </c>
      <c r="Y33" s="260">
        <f t="shared" ca="1" si="14"/>
        <v>0</v>
      </c>
      <c r="Z33" s="260">
        <f t="shared" ca="1" si="15"/>
        <v>0</v>
      </c>
      <c r="AA33" s="260">
        <f t="shared" ca="1" si="16"/>
        <v>0</v>
      </c>
      <c r="AB33" s="260">
        <f t="shared" ca="1" si="63"/>
        <v>0</v>
      </c>
      <c r="AC33" s="260">
        <f t="shared" ca="1" si="64"/>
        <v>0</v>
      </c>
      <c r="AD33" s="260">
        <f t="shared" ca="1" si="17"/>
        <v>0</v>
      </c>
      <c r="AE33" s="260">
        <f t="shared" ca="1" si="18"/>
        <v>0</v>
      </c>
      <c r="AF33" s="260">
        <f t="shared" ca="1" si="19"/>
        <v>0</v>
      </c>
      <c r="AG33" s="260">
        <f t="shared" ca="1" si="20"/>
        <v>0</v>
      </c>
      <c r="AH33" s="260">
        <f t="shared" ca="1" si="65"/>
        <v>0</v>
      </c>
      <c r="AI33" s="260">
        <f t="shared" ca="1" si="66"/>
        <v>0</v>
      </c>
      <c r="AJ33" s="260">
        <f t="shared" ca="1" si="67"/>
        <v>0</v>
      </c>
      <c r="AK33" s="260">
        <f t="shared" ca="1" si="68"/>
        <v>0</v>
      </c>
      <c r="AL33" s="260">
        <f t="shared" ca="1" si="69"/>
        <v>0</v>
      </c>
      <c r="AM33" s="260">
        <f t="shared" ca="1" si="70"/>
        <v>0</v>
      </c>
      <c r="AN33" s="260">
        <f t="shared" ca="1" si="71"/>
        <v>0</v>
      </c>
      <c r="AO33" s="260">
        <f t="shared" ca="1" si="72"/>
        <v>0</v>
      </c>
      <c r="AP33" s="260">
        <f t="shared" ca="1" si="21"/>
        <v>0</v>
      </c>
      <c r="AQ33" s="260">
        <f t="shared" ca="1" si="22"/>
        <v>0</v>
      </c>
      <c r="AR33" s="260">
        <f t="shared" ca="1" si="23"/>
        <v>0</v>
      </c>
      <c r="AS33" s="260">
        <f t="shared" ca="1" si="24"/>
        <v>0</v>
      </c>
      <c r="AT33" s="260">
        <f t="shared" ca="1" si="73"/>
        <v>0</v>
      </c>
      <c r="AU33" s="260">
        <f t="shared" ca="1" si="74"/>
        <v>0</v>
      </c>
      <c r="AV33" s="260">
        <f t="shared" ca="1" si="25"/>
        <v>0</v>
      </c>
      <c r="AW33" s="260">
        <f t="shared" ca="1" si="26"/>
        <v>0</v>
      </c>
      <c r="AX33" s="260">
        <f t="shared" ca="1" si="27"/>
        <v>0</v>
      </c>
      <c r="AY33" s="260">
        <f t="shared" ca="1" si="28"/>
        <v>0</v>
      </c>
      <c r="AZ33" s="260">
        <f t="shared" ca="1" si="29"/>
        <v>0</v>
      </c>
      <c r="BA33" s="260">
        <f t="shared" ca="1" si="30"/>
        <v>0</v>
      </c>
      <c r="BB33" s="260">
        <f t="shared" ca="1" si="31"/>
        <v>0</v>
      </c>
      <c r="BC33" s="260">
        <f t="shared" ca="1" si="32"/>
        <v>0</v>
      </c>
      <c r="BD33" s="260">
        <f t="shared" ca="1" si="33"/>
        <v>0</v>
      </c>
      <c r="BE33" s="260">
        <f t="shared" ca="1" si="34"/>
        <v>0</v>
      </c>
      <c r="BF33" s="260">
        <f t="shared" ca="1" si="35"/>
        <v>0</v>
      </c>
      <c r="BG33" s="260">
        <f t="shared" ca="1" si="36"/>
        <v>0</v>
      </c>
      <c r="BH33" s="260">
        <f t="shared" ca="1" si="75"/>
        <v>0</v>
      </c>
      <c r="BI33" s="260">
        <f t="shared" ca="1" si="76"/>
        <v>0</v>
      </c>
      <c r="BJ33" s="260">
        <f t="shared" ca="1" si="37"/>
        <v>0</v>
      </c>
      <c r="BK33" s="260">
        <f t="shared" ca="1" si="38"/>
        <v>0</v>
      </c>
      <c r="BL33" s="260">
        <f t="shared" ca="1" si="39"/>
        <v>0</v>
      </c>
      <c r="BM33" s="260">
        <f t="shared" ca="1" si="40"/>
        <v>0</v>
      </c>
      <c r="BN33" s="260">
        <f t="shared" ca="1" si="41"/>
        <v>0</v>
      </c>
      <c r="BO33" s="260">
        <f t="shared" ca="1" si="42"/>
        <v>0</v>
      </c>
      <c r="BP33" s="260">
        <f t="shared" ca="1" si="77"/>
        <v>0</v>
      </c>
      <c r="BQ33" s="260">
        <f t="shared" ca="1" si="78"/>
        <v>0</v>
      </c>
      <c r="BR33" s="260">
        <f t="shared" ca="1" si="43"/>
        <v>0</v>
      </c>
      <c r="BS33" s="260">
        <f t="shared" ca="1" si="44"/>
        <v>0</v>
      </c>
      <c r="BT33" s="260">
        <f t="shared" ca="1" si="79"/>
        <v>0</v>
      </c>
      <c r="BU33" s="260">
        <f t="shared" ca="1" si="80"/>
        <v>0</v>
      </c>
      <c r="BV33" s="260">
        <f t="shared" ca="1" si="81"/>
        <v>0</v>
      </c>
      <c r="BW33" s="260">
        <f t="shared" ca="1" si="82"/>
        <v>0</v>
      </c>
      <c r="BX33" s="260">
        <f t="shared" ca="1" si="45"/>
        <v>0</v>
      </c>
      <c r="BY33" s="260">
        <f t="shared" ca="1" si="46"/>
        <v>0</v>
      </c>
      <c r="BZ33" s="260">
        <f t="shared" ca="1" si="47"/>
        <v>0</v>
      </c>
      <c r="CA33" s="260">
        <f t="shared" ca="1" si="48"/>
        <v>0</v>
      </c>
      <c r="CB33" s="260">
        <f t="shared" ca="1" si="49"/>
        <v>0</v>
      </c>
      <c r="CC33" s="260">
        <f t="shared" ca="1" si="50"/>
        <v>0</v>
      </c>
      <c r="CD33" s="260">
        <f t="shared" ca="1" si="83"/>
        <v>0</v>
      </c>
      <c r="CE33" s="260">
        <f t="shared" ca="1" si="84"/>
        <v>0</v>
      </c>
      <c r="CF33" s="260">
        <f t="shared" ca="1" si="85"/>
        <v>0</v>
      </c>
      <c r="CG33" s="260">
        <f t="shared" ca="1" si="86"/>
        <v>0</v>
      </c>
      <c r="CH33" s="260">
        <f t="shared" ca="1" si="51"/>
        <v>0</v>
      </c>
      <c r="CI33" s="260">
        <f t="shared" ca="1" si="52"/>
        <v>0</v>
      </c>
      <c r="CJ33" s="260">
        <f t="shared" ca="1" si="87"/>
        <v>0</v>
      </c>
      <c r="CK33" s="260">
        <f t="shared" ca="1" si="88"/>
        <v>0</v>
      </c>
      <c r="CL33" s="260">
        <f t="shared" ca="1" si="53"/>
        <v>0</v>
      </c>
      <c r="CM33" s="260">
        <f t="shared" ca="1" si="54"/>
        <v>0</v>
      </c>
      <c r="CN33" s="260">
        <f t="shared" ca="1" si="55"/>
        <v>0</v>
      </c>
      <c r="CO33" s="260">
        <f t="shared" ca="1" si="56"/>
        <v>0</v>
      </c>
      <c r="CP33" s="260">
        <f t="shared" ca="1" si="89"/>
        <v>0</v>
      </c>
      <c r="CQ33" s="260">
        <f t="shared" ca="1" si="90"/>
        <v>0</v>
      </c>
      <c r="CR33" s="260">
        <f t="shared" ca="1" si="91"/>
        <v>0</v>
      </c>
      <c r="CS33" s="260">
        <f t="shared" ca="1" si="92"/>
        <v>0</v>
      </c>
      <c r="CT33" s="260">
        <f t="shared" ca="1" si="57"/>
        <v>0</v>
      </c>
      <c r="CU33" s="260">
        <f t="shared" ca="1" si="58"/>
        <v>0</v>
      </c>
      <c r="CV33" s="260">
        <f t="shared" ca="1" si="59"/>
        <v>0</v>
      </c>
      <c r="CW33" s="260">
        <f t="shared" ca="1" si="60"/>
        <v>0</v>
      </c>
      <c r="CX33" s="260">
        <f t="shared" ca="1" si="93"/>
        <v>0</v>
      </c>
      <c r="CY33" s="260">
        <f t="shared" ca="1" si="94"/>
        <v>0</v>
      </c>
      <c r="CZ33" s="260">
        <f t="shared" ca="1" si="95"/>
        <v>0</v>
      </c>
      <c r="DA33" s="260">
        <f t="shared" ca="1" si="96"/>
        <v>0</v>
      </c>
    </row>
    <row r="34" spans="1:105" s="257" customFormat="1" ht="15" customHeight="1">
      <c r="A34" s="60">
        <f t="array" aca="1" ref="A34" ca="1">IF(C34&lt;&gt;0,SUM(($C$11:C34&lt;&gt;0)*1),"")</f>
        <v>24</v>
      </c>
      <c r="B34" s="258" t="str">
        <f ca="1">IF(ROWS($1:24)&gt;COUNT(Dong6),"",OFFSET(TH!C$1,SMALL(Dong6,ROWS($1:24)),))</f>
        <v/>
      </c>
      <c r="C34" s="258" t="str">
        <f ca="1">IF(ROWS($1:24)&gt;COUNT(Dong6),"",OFFSET(TH!D$1,SMALL(Dong6,ROWS($1:24)),))</f>
        <v/>
      </c>
      <c r="D34" s="258" t="str">
        <f ca="1">IF(ROWS($1:24)&gt;COUNT(Dong6),"",OFFSET(TH!E$1,SMALL(Dong6,ROWS($1:24)),))</f>
        <v/>
      </c>
      <c r="E34" s="308" t="str">
        <f ca="1">IF(ROWS($1:24)&gt;COUNT(Dong6),"",OFFSET(TH!F$1,SMALL(Dong6,ROWS($1:24)),))</f>
        <v/>
      </c>
      <c r="F34" s="309" t="str">
        <f ca="1">IF(ROWS($1:24)&gt;COUNT(Dong6),"",OFFSET(TH!M$1,SMALL(Dong6,ROWS($1:24)),))</f>
        <v/>
      </c>
      <c r="G34" s="310" t="str">
        <f ca="1">IF(ROWS($1:24)&gt;COUNT(Dong6),"",OFFSET(TH!N$1,SMALL(Dong6,ROWS($1:24)),))</f>
        <v/>
      </c>
      <c r="H34" s="310" t="str">
        <f ca="1">IF(ROWS($1:24)&gt;COUNT(Dong6),"",OFFSET(TH!O$1,SMALL(Dong6,ROWS($1:24)),))</f>
        <v/>
      </c>
      <c r="I34" s="60">
        <f t="shared" ca="1" si="0"/>
        <v>24</v>
      </c>
      <c r="J34" s="260">
        <f t="shared" ca="1" si="61"/>
        <v>0</v>
      </c>
      <c r="K34" s="260">
        <f t="shared" ca="1" si="62"/>
        <v>0</v>
      </c>
      <c r="L34" s="260">
        <f t="shared" ca="1" si="1"/>
        <v>0</v>
      </c>
      <c r="M34" s="260">
        <f t="shared" ca="1" si="2"/>
        <v>0</v>
      </c>
      <c r="N34" s="260">
        <f t="shared" ca="1" si="3"/>
        <v>0</v>
      </c>
      <c r="O34" s="260">
        <f t="shared" ca="1" si="4"/>
        <v>0</v>
      </c>
      <c r="P34" s="260">
        <f t="shared" ca="1" si="5"/>
        <v>0</v>
      </c>
      <c r="Q34" s="260">
        <f t="shared" ca="1" si="6"/>
        <v>0</v>
      </c>
      <c r="R34" s="260">
        <f t="shared" ca="1" si="7"/>
        <v>0</v>
      </c>
      <c r="S34" s="260">
        <f t="shared" ca="1" si="8"/>
        <v>0</v>
      </c>
      <c r="T34" s="260">
        <f t="shared" ca="1" si="9"/>
        <v>0</v>
      </c>
      <c r="U34" s="260">
        <f t="shared" ca="1" si="10"/>
        <v>0</v>
      </c>
      <c r="V34" s="260">
        <f t="shared" ca="1" si="11"/>
        <v>0</v>
      </c>
      <c r="W34" s="260">
        <f t="shared" ca="1" si="12"/>
        <v>0</v>
      </c>
      <c r="X34" s="260">
        <f t="shared" ca="1" si="13"/>
        <v>0</v>
      </c>
      <c r="Y34" s="260">
        <f t="shared" ca="1" si="14"/>
        <v>0</v>
      </c>
      <c r="Z34" s="260">
        <f t="shared" ca="1" si="15"/>
        <v>0</v>
      </c>
      <c r="AA34" s="260">
        <f t="shared" ca="1" si="16"/>
        <v>0</v>
      </c>
      <c r="AB34" s="260">
        <f t="shared" ca="1" si="63"/>
        <v>0</v>
      </c>
      <c r="AC34" s="260">
        <f t="shared" ca="1" si="64"/>
        <v>0</v>
      </c>
      <c r="AD34" s="260">
        <f t="shared" ca="1" si="17"/>
        <v>0</v>
      </c>
      <c r="AE34" s="260">
        <f t="shared" ca="1" si="18"/>
        <v>0</v>
      </c>
      <c r="AF34" s="260">
        <f t="shared" ca="1" si="19"/>
        <v>0</v>
      </c>
      <c r="AG34" s="260">
        <f t="shared" ca="1" si="20"/>
        <v>0</v>
      </c>
      <c r="AH34" s="260">
        <f t="shared" ca="1" si="65"/>
        <v>0</v>
      </c>
      <c r="AI34" s="260">
        <f t="shared" ca="1" si="66"/>
        <v>0</v>
      </c>
      <c r="AJ34" s="260">
        <f t="shared" ca="1" si="67"/>
        <v>0</v>
      </c>
      <c r="AK34" s="260">
        <f t="shared" ca="1" si="68"/>
        <v>0</v>
      </c>
      <c r="AL34" s="260">
        <f t="shared" ca="1" si="69"/>
        <v>0</v>
      </c>
      <c r="AM34" s="260">
        <f t="shared" ca="1" si="70"/>
        <v>0</v>
      </c>
      <c r="AN34" s="260">
        <f t="shared" ca="1" si="71"/>
        <v>0</v>
      </c>
      <c r="AO34" s="260">
        <f t="shared" ca="1" si="72"/>
        <v>0</v>
      </c>
      <c r="AP34" s="260">
        <f t="shared" ca="1" si="21"/>
        <v>0</v>
      </c>
      <c r="AQ34" s="260">
        <f t="shared" ca="1" si="22"/>
        <v>0</v>
      </c>
      <c r="AR34" s="260">
        <f t="shared" ca="1" si="23"/>
        <v>0</v>
      </c>
      <c r="AS34" s="260">
        <f t="shared" ca="1" si="24"/>
        <v>0</v>
      </c>
      <c r="AT34" s="260">
        <f t="shared" ca="1" si="73"/>
        <v>0</v>
      </c>
      <c r="AU34" s="260">
        <f t="shared" ca="1" si="74"/>
        <v>0</v>
      </c>
      <c r="AV34" s="260">
        <f t="shared" ca="1" si="25"/>
        <v>0</v>
      </c>
      <c r="AW34" s="260">
        <f t="shared" ca="1" si="26"/>
        <v>0</v>
      </c>
      <c r="AX34" s="260">
        <f t="shared" ca="1" si="27"/>
        <v>0</v>
      </c>
      <c r="AY34" s="260">
        <f t="shared" ca="1" si="28"/>
        <v>0</v>
      </c>
      <c r="AZ34" s="260">
        <f t="shared" ca="1" si="29"/>
        <v>0</v>
      </c>
      <c r="BA34" s="260">
        <f t="shared" ca="1" si="30"/>
        <v>0</v>
      </c>
      <c r="BB34" s="260">
        <f t="shared" ca="1" si="31"/>
        <v>0</v>
      </c>
      <c r="BC34" s="260">
        <f t="shared" ca="1" si="32"/>
        <v>0</v>
      </c>
      <c r="BD34" s="260">
        <f t="shared" ca="1" si="33"/>
        <v>0</v>
      </c>
      <c r="BE34" s="260">
        <f t="shared" ca="1" si="34"/>
        <v>0</v>
      </c>
      <c r="BF34" s="260">
        <f t="shared" ca="1" si="35"/>
        <v>0</v>
      </c>
      <c r="BG34" s="260">
        <f t="shared" ca="1" si="36"/>
        <v>0</v>
      </c>
      <c r="BH34" s="260">
        <f t="shared" ca="1" si="75"/>
        <v>0</v>
      </c>
      <c r="BI34" s="260">
        <f t="shared" ca="1" si="76"/>
        <v>0</v>
      </c>
      <c r="BJ34" s="260">
        <f t="shared" ca="1" si="37"/>
        <v>0</v>
      </c>
      <c r="BK34" s="260">
        <f t="shared" ca="1" si="38"/>
        <v>0</v>
      </c>
      <c r="BL34" s="260">
        <f t="shared" ca="1" si="39"/>
        <v>0</v>
      </c>
      <c r="BM34" s="260">
        <f t="shared" ca="1" si="40"/>
        <v>0</v>
      </c>
      <c r="BN34" s="260">
        <f t="shared" ca="1" si="41"/>
        <v>0</v>
      </c>
      <c r="BO34" s="260">
        <f t="shared" ca="1" si="42"/>
        <v>0</v>
      </c>
      <c r="BP34" s="260">
        <f t="shared" ca="1" si="77"/>
        <v>0</v>
      </c>
      <c r="BQ34" s="260">
        <f t="shared" ca="1" si="78"/>
        <v>0</v>
      </c>
      <c r="BR34" s="260">
        <f t="shared" ca="1" si="43"/>
        <v>0</v>
      </c>
      <c r="BS34" s="260">
        <f t="shared" ca="1" si="44"/>
        <v>0</v>
      </c>
      <c r="BT34" s="260">
        <f t="shared" ca="1" si="79"/>
        <v>0</v>
      </c>
      <c r="BU34" s="260">
        <f t="shared" ca="1" si="80"/>
        <v>0</v>
      </c>
      <c r="BV34" s="260">
        <f t="shared" ca="1" si="81"/>
        <v>0</v>
      </c>
      <c r="BW34" s="260">
        <f t="shared" ca="1" si="82"/>
        <v>0</v>
      </c>
      <c r="BX34" s="260">
        <f t="shared" ca="1" si="45"/>
        <v>0</v>
      </c>
      <c r="BY34" s="260">
        <f t="shared" ca="1" si="46"/>
        <v>0</v>
      </c>
      <c r="BZ34" s="260">
        <f t="shared" ca="1" si="47"/>
        <v>0</v>
      </c>
      <c r="CA34" s="260">
        <f t="shared" ca="1" si="48"/>
        <v>0</v>
      </c>
      <c r="CB34" s="260">
        <f t="shared" ca="1" si="49"/>
        <v>0</v>
      </c>
      <c r="CC34" s="260">
        <f t="shared" ca="1" si="50"/>
        <v>0</v>
      </c>
      <c r="CD34" s="260">
        <f t="shared" ca="1" si="83"/>
        <v>0</v>
      </c>
      <c r="CE34" s="260">
        <f t="shared" ca="1" si="84"/>
        <v>0</v>
      </c>
      <c r="CF34" s="260">
        <f t="shared" ca="1" si="85"/>
        <v>0</v>
      </c>
      <c r="CG34" s="260">
        <f t="shared" ca="1" si="86"/>
        <v>0</v>
      </c>
      <c r="CH34" s="260">
        <f t="shared" ca="1" si="51"/>
        <v>0</v>
      </c>
      <c r="CI34" s="260">
        <f t="shared" ca="1" si="52"/>
        <v>0</v>
      </c>
      <c r="CJ34" s="260">
        <f t="shared" ca="1" si="87"/>
        <v>0</v>
      </c>
      <c r="CK34" s="260">
        <f t="shared" ca="1" si="88"/>
        <v>0</v>
      </c>
      <c r="CL34" s="260">
        <f t="shared" ca="1" si="53"/>
        <v>0</v>
      </c>
      <c r="CM34" s="260">
        <f t="shared" ca="1" si="54"/>
        <v>0</v>
      </c>
      <c r="CN34" s="260">
        <f t="shared" ca="1" si="55"/>
        <v>0</v>
      </c>
      <c r="CO34" s="260">
        <f t="shared" ca="1" si="56"/>
        <v>0</v>
      </c>
      <c r="CP34" s="260">
        <f t="shared" ca="1" si="89"/>
        <v>0</v>
      </c>
      <c r="CQ34" s="260">
        <f t="shared" ca="1" si="90"/>
        <v>0</v>
      </c>
      <c r="CR34" s="260">
        <f t="shared" ca="1" si="91"/>
        <v>0</v>
      </c>
      <c r="CS34" s="260">
        <f t="shared" ca="1" si="92"/>
        <v>0</v>
      </c>
      <c r="CT34" s="260">
        <f t="shared" ca="1" si="57"/>
        <v>0</v>
      </c>
      <c r="CU34" s="260">
        <f t="shared" ca="1" si="58"/>
        <v>0</v>
      </c>
      <c r="CV34" s="260">
        <f t="shared" ca="1" si="59"/>
        <v>0</v>
      </c>
      <c r="CW34" s="260">
        <f t="shared" ca="1" si="60"/>
        <v>0</v>
      </c>
      <c r="CX34" s="260">
        <f t="shared" ca="1" si="93"/>
        <v>0</v>
      </c>
      <c r="CY34" s="260">
        <f t="shared" ca="1" si="94"/>
        <v>0</v>
      </c>
      <c r="CZ34" s="260">
        <f t="shared" ca="1" si="95"/>
        <v>0</v>
      </c>
      <c r="DA34" s="260">
        <f t="shared" ca="1" si="96"/>
        <v>0</v>
      </c>
    </row>
    <row r="35" spans="1:105" s="257" customFormat="1" ht="15" customHeight="1">
      <c r="A35" s="60">
        <f t="array" aca="1" ref="A35" ca="1">IF(C35&lt;&gt;0,SUM(($C$11:C35&lt;&gt;0)*1),"")</f>
        <v>25</v>
      </c>
      <c r="B35" s="258" t="str">
        <f ca="1">IF(ROWS($1:25)&gt;COUNT(Dong6),"",OFFSET(TH!C$1,SMALL(Dong6,ROWS($1:25)),))</f>
        <v/>
      </c>
      <c r="C35" s="258" t="str">
        <f ca="1">IF(ROWS($1:25)&gt;COUNT(Dong6),"",OFFSET(TH!D$1,SMALL(Dong6,ROWS($1:25)),))</f>
        <v/>
      </c>
      <c r="D35" s="258" t="str">
        <f ca="1">IF(ROWS($1:25)&gt;COUNT(Dong6),"",OFFSET(TH!E$1,SMALL(Dong6,ROWS($1:25)),))</f>
        <v/>
      </c>
      <c r="E35" s="308" t="str">
        <f ca="1">IF(ROWS($1:25)&gt;COUNT(Dong6),"",OFFSET(TH!F$1,SMALL(Dong6,ROWS($1:25)),))</f>
        <v/>
      </c>
      <c r="F35" s="309" t="str">
        <f ca="1">IF(ROWS($1:25)&gt;COUNT(Dong6),"",OFFSET(TH!M$1,SMALL(Dong6,ROWS($1:25)),))</f>
        <v/>
      </c>
      <c r="G35" s="310" t="str">
        <f ca="1">IF(ROWS($1:25)&gt;COUNT(Dong6),"",OFFSET(TH!N$1,SMALL(Dong6,ROWS($1:25)),))</f>
        <v/>
      </c>
      <c r="H35" s="310" t="str">
        <f ca="1">IF(ROWS($1:25)&gt;COUNT(Dong6),"",OFFSET(TH!O$1,SMALL(Dong6,ROWS($1:25)),))</f>
        <v/>
      </c>
      <c r="I35" s="60">
        <f ca="1">A35</f>
        <v>25</v>
      </c>
      <c r="J35" s="260">
        <f t="shared" ca="1" si="61"/>
        <v>0</v>
      </c>
      <c r="K35" s="260">
        <f t="shared" ca="1" si="62"/>
        <v>0</v>
      </c>
      <c r="L35" s="260">
        <f t="shared" ca="1" si="1"/>
        <v>0</v>
      </c>
      <c r="M35" s="260">
        <f t="shared" ca="1" si="2"/>
        <v>0</v>
      </c>
      <c r="N35" s="260">
        <f t="shared" ca="1" si="3"/>
        <v>0</v>
      </c>
      <c r="O35" s="260">
        <f t="shared" ca="1" si="4"/>
        <v>0</v>
      </c>
      <c r="P35" s="260">
        <f t="shared" ca="1" si="5"/>
        <v>0</v>
      </c>
      <c r="Q35" s="260">
        <f t="shared" ca="1" si="6"/>
        <v>0</v>
      </c>
      <c r="R35" s="260">
        <f t="shared" ca="1" si="7"/>
        <v>0</v>
      </c>
      <c r="S35" s="260">
        <f t="shared" ca="1" si="8"/>
        <v>0</v>
      </c>
      <c r="T35" s="260">
        <f t="shared" ca="1" si="9"/>
        <v>0</v>
      </c>
      <c r="U35" s="260">
        <f t="shared" ca="1" si="10"/>
        <v>0</v>
      </c>
      <c r="V35" s="260">
        <f t="shared" ca="1" si="11"/>
        <v>0</v>
      </c>
      <c r="W35" s="260">
        <f t="shared" ca="1" si="12"/>
        <v>0</v>
      </c>
      <c r="X35" s="260">
        <f t="shared" ca="1" si="13"/>
        <v>0</v>
      </c>
      <c r="Y35" s="260">
        <f t="shared" ca="1" si="14"/>
        <v>0</v>
      </c>
      <c r="Z35" s="260">
        <f t="shared" ca="1" si="15"/>
        <v>0</v>
      </c>
      <c r="AA35" s="260">
        <f t="shared" ca="1" si="16"/>
        <v>0</v>
      </c>
      <c r="AB35" s="260">
        <f t="shared" ca="1" si="63"/>
        <v>0</v>
      </c>
      <c r="AC35" s="260">
        <f t="shared" ca="1" si="64"/>
        <v>0</v>
      </c>
      <c r="AD35" s="260">
        <f t="shared" ca="1" si="17"/>
        <v>0</v>
      </c>
      <c r="AE35" s="260">
        <f t="shared" ca="1" si="18"/>
        <v>0</v>
      </c>
      <c r="AF35" s="260">
        <f t="shared" ca="1" si="19"/>
        <v>0</v>
      </c>
      <c r="AG35" s="260">
        <f t="shared" ca="1" si="20"/>
        <v>0</v>
      </c>
      <c r="AH35" s="260">
        <f t="shared" ca="1" si="65"/>
        <v>0</v>
      </c>
      <c r="AI35" s="260">
        <f t="shared" ca="1" si="66"/>
        <v>0</v>
      </c>
      <c r="AJ35" s="260">
        <f t="shared" ca="1" si="67"/>
        <v>0</v>
      </c>
      <c r="AK35" s="260">
        <f t="shared" ca="1" si="68"/>
        <v>0</v>
      </c>
      <c r="AL35" s="260">
        <f t="shared" ca="1" si="69"/>
        <v>0</v>
      </c>
      <c r="AM35" s="260">
        <f t="shared" ca="1" si="70"/>
        <v>0</v>
      </c>
      <c r="AN35" s="260">
        <f t="shared" ca="1" si="71"/>
        <v>0</v>
      </c>
      <c r="AO35" s="260">
        <f t="shared" ca="1" si="72"/>
        <v>0</v>
      </c>
      <c r="AP35" s="260">
        <f t="shared" ca="1" si="21"/>
        <v>0</v>
      </c>
      <c r="AQ35" s="260">
        <f t="shared" ca="1" si="22"/>
        <v>0</v>
      </c>
      <c r="AR35" s="260">
        <f t="shared" ca="1" si="23"/>
        <v>0</v>
      </c>
      <c r="AS35" s="260">
        <f t="shared" ca="1" si="24"/>
        <v>0</v>
      </c>
      <c r="AT35" s="260">
        <f t="shared" ca="1" si="73"/>
        <v>0</v>
      </c>
      <c r="AU35" s="260">
        <f t="shared" ca="1" si="74"/>
        <v>0</v>
      </c>
      <c r="AV35" s="260">
        <f t="shared" ca="1" si="25"/>
        <v>0</v>
      </c>
      <c r="AW35" s="260">
        <f t="shared" ca="1" si="26"/>
        <v>0</v>
      </c>
      <c r="AX35" s="260">
        <f t="shared" ca="1" si="27"/>
        <v>0</v>
      </c>
      <c r="AY35" s="260">
        <f t="shared" ca="1" si="28"/>
        <v>0</v>
      </c>
      <c r="AZ35" s="260">
        <f t="shared" ca="1" si="29"/>
        <v>0</v>
      </c>
      <c r="BA35" s="260">
        <f t="shared" ca="1" si="30"/>
        <v>0</v>
      </c>
      <c r="BB35" s="260">
        <f t="shared" ca="1" si="31"/>
        <v>0</v>
      </c>
      <c r="BC35" s="260">
        <f t="shared" ca="1" si="32"/>
        <v>0</v>
      </c>
      <c r="BD35" s="260">
        <f t="shared" ca="1" si="33"/>
        <v>0</v>
      </c>
      <c r="BE35" s="260">
        <f t="shared" ca="1" si="34"/>
        <v>0</v>
      </c>
      <c r="BF35" s="260">
        <f t="shared" ca="1" si="35"/>
        <v>0</v>
      </c>
      <c r="BG35" s="260">
        <f t="shared" ca="1" si="36"/>
        <v>0</v>
      </c>
      <c r="BH35" s="260">
        <f t="shared" ca="1" si="75"/>
        <v>0</v>
      </c>
      <c r="BI35" s="260">
        <f t="shared" ca="1" si="76"/>
        <v>0</v>
      </c>
      <c r="BJ35" s="260">
        <f t="shared" ca="1" si="37"/>
        <v>0</v>
      </c>
      <c r="BK35" s="260">
        <f t="shared" ca="1" si="38"/>
        <v>0</v>
      </c>
      <c r="BL35" s="260">
        <f t="shared" ca="1" si="39"/>
        <v>0</v>
      </c>
      <c r="BM35" s="260">
        <f t="shared" ca="1" si="40"/>
        <v>0</v>
      </c>
      <c r="BN35" s="260">
        <f t="shared" ca="1" si="41"/>
        <v>0</v>
      </c>
      <c r="BO35" s="260">
        <f t="shared" ca="1" si="42"/>
        <v>0</v>
      </c>
      <c r="BP35" s="260">
        <f t="shared" ca="1" si="77"/>
        <v>0</v>
      </c>
      <c r="BQ35" s="260">
        <f t="shared" ca="1" si="78"/>
        <v>0</v>
      </c>
      <c r="BR35" s="260">
        <f t="shared" ca="1" si="43"/>
        <v>0</v>
      </c>
      <c r="BS35" s="260">
        <f t="shared" ca="1" si="44"/>
        <v>0</v>
      </c>
      <c r="BT35" s="260">
        <f t="shared" ca="1" si="79"/>
        <v>0</v>
      </c>
      <c r="BU35" s="260">
        <f t="shared" ca="1" si="80"/>
        <v>0</v>
      </c>
      <c r="BV35" s="260">
        <f t="shared" ca="1" si="81"/>
        <v>0</v>
      </c>
      <c r="BW35" s="260">
        <f t="shared" ca="1" si="82"/>
        <v>0</v>
      </c>
      <c r="BX35" s="260">
        <f t="shared" ca="1" si="45"/>
        <v>0</v>
      </c>
      <c r="BY35" s="260">
        <f t="shared" ca="1" si="46"/>
        <v>0</v>
      </c>
      <c r="BZ35" s="260">
        <f t="shared" ca="1" si="47"/>
        <v>0</v>
      </c>
      <c r="CA35" s="260">
        <f t="shared" ca="1" si="48"/>
        <v>0</v>
      </c>
      <c r="CB35" s="260">
        <f t="shared" ca="1" si="49"/>
        <v>0</v>
      </c>
      <c r="CC35" s="260">
        <f t="shared" ca="1" si="50"/>
        <v>0</v>
      </c>
      <c r="CD35" s="260">
        <f t="shared" ca="1" si="83"/>
        <v>0</v>
      </c>
      <c r="CE35" s="260">
        <f t="shared" ca="1" si="84"/>
        <v>0</v>
      </c>
      <c r="CF35" s="260">
        <f t="shared" ca="1" si="85"/>
        <v>0</v>
      </c>
      <c r="CG35" s="260">
        <f t="shared" ca="1" si="86"/>
        <v>0</v>
      </c>
      <c r="CH35" s="260">
        <f t="shared" ca="1" si="51"/>
        <v>0</v>
      </c>
      <c r="CI35" s="260">
        <f t="shared" ca="1" si="52"/>
        <v>0</v>
      </c>
      <c r="CJ35" s="260">
        <f t="shared" ca="1" si="87"/>
        <v>0</v>
      </c>
      <c r="CK35" s="260">
        <f t="shared" ca="1" si="88"/>
        <v>0</v>
      </c>
      <c r="CL35" s="260">
        <f t="shared" ca="1" si="53"/>
        <v>0</v>
      </c>
      <c r="CM35" s="260">
        <f t="shared" ca="1" si="54"/>
        <v>0</v>
      </c>
      <c r="CN35" s="260">
        <f t="shared" ca="1" si="55"/>
        <v>0</v>
      </c>
      <c r="CO35" s="260">
        <f t="shared" ca="1" si="56"/>
        <v>0</v>
      </c>
      <c r="CP35" s="260">
        <f t="shared" ca="1" si="89"/>
        <v>0</v>
      </c>
      <c r="CQ35" s="260">
        <f t="shared" ca="1" si="90"/>
        <v>0</v>
      </c>
      <c r="CR35" s="260">
        <f t="shared" ca="1" si="91"/>
        <v>0</v>
      </c>
      <c r="CS35" s="260">
        <f t="shared" ca="1" si="92"/>
        <v>0</v>
      </c>
      <c r="CT35" s="260">
        <f t="shared" ca="1" si="57"/>
        <v>0</v>
      </c>
      <c r="CU35" s="260">
        <f t="shared" ca="1" si="58"/>
        <v>0</v>
      </c>
      <c r="CV35" s="260">
        <f t="shared" ca="1" si="59"/>
        <v>0</v>
      </c>
      <c r="CW35" s="260">
        <f t="shared" ca="1" si="60"/>
        <v>0</v>
      </c>
      <c r="CX35" s="260">
        <f t="shared" ca="1" si="93"/>
        <v>0</v>
      </c>
      <c r="CY35" s="260">
        <f t="shared" ca="1" si="94"/>
        <v>0</v>
      </c>
      <c r="CZ35" s="260">
        <f t="shared" ca="1" si="95"/>
        <v>0</v>
      </c>
      <c r="DA35" s="260">
        <f t="shared" ca="1" si="96"/>
        <v>0</v>
      </c>
    </row>
    <row r="36" spans="1:105" s="257" customFormat="1" ht="15" customHeight="1">
      <c r="A36" s="60">
        <f t="array" aca="1" ref="A36" ca="1">IF(C36&lt;&gt;0,SUM(($C$11:C36&lt;&gt;0)*1),"")</f>
        <v>26</v>
      </c>
      <c r="B36" s="258" t="str">
        <f ca="1">IF(ROWS($1:26)&gt;COUNT(Dong6),"",OFFSET(TH!C$1,SMALL(Dong6,ROWS($1:26)),))</f>
        <v/>
      </c>
      <c r="C36" s="258" t="str">
        <f ca="1">IF(ROWS($1:26)&gt;COUNT(Dong6),"",OFFSET(TH!D$1,SMALL(Dong6,ROWS($1:26)),))</f>
        <v/>
      </c>
      <c r="D36" s="258" t="str">
        <f ca="1">IF(ROWS($1:26)&gt;COUNT(Dong6),"",OFFSET(TH!E$1,SMALL(Dong6,ROWS($1:26)),))</f>
        <v/>
      </c>
      <c r="E36" s="308" t="str">
        <f ca="1">IF(ROWS($1:26)&gt;COUNT(Dong6),"",OFFSET(TH!F$1,SMALL(Dong6,ROWS($1:26)),))</f>
        <v/>
      </c>
      <c r="F36" s="309" t="str">
        <f ca="1">IF(ROWS($1:26)&gt;COUNT(Dong6),"",OFFSET(TH!M$1,SMALL(Dong6,ROWS($1:26)),))</f>
        <v/>
      </c>
      <c r="G36" s="310" t="str">
        <f ca="1">IF(ROWS($1:26)&gt;COUNT(Dong6),"",OFFSET(TH!N$1,SMALL(Dong6,ROWS($1:26)),))</f>
        <v/>
      </c>
      <c r="H36" s="310" t="str">
        <f ca="1">IF(ROWS($1:26)&gt;COUNT(Dong6),"",OFFSET(TH!O$1,SMALL(Dong6,ROWS($1:26)),))</f>
        <v/>
      </c>
      <c r="I36" s="60">
        <f ca="1">A36</f>
        <v>26</v>
      </c>
      <c r="J36" s="260">
        <f t="shared" ca="1" si="61"/>
        <v>0</v>
      </c>
      <c r="K36" s="260">
        <f t="shared" ca="1" si="62"/>
        <v>0</v>
      </c>
      <c r="L36" s="260">
        <f t="shared" ca="1" si="1"/>
        <v>0</v>
      </c>
      <c r="M36" s="260">
        <f t="shared" ca="1" si="2"/>
        <v>0</v>
      </c>
      <c r="N36" s="260">
        <f t="shared" ca="1" si="3"/>
        <v>0</v>
      </c>
      <c r="O36" s="260">
        <f t="shared" ca="1" si="4"/>
        <v>0</v>
      </c>
      <c r="P36" s="260">
        <f t="shared" ca="1" si="5"/>
        <v>0</v>
      </c>
      <c r="Q36" s="260">
        <f t="shared" ca="1" si="6"/>
        <v>0</v>
      </c>
      <c r="R36" s="260">
        <f t="shared" ca="1" si="7"/>
        <v>0</v>
      </c>
      <c r="S36" s="260">
        <f t="shared" ca="1" si="8"/>
        <v>0</v>
      </c>
      <c r="T36" s="260">
        <f t="shared" ca="1" si="9"/>
        <v>0</v>
      </c>
      <c r="U36" s="260">
        <f t="shared" ca="1" si="10"/>
        <v>0</v>
      </c>
      <c r="V36" s="260">
        <f t="shared" ca="1" si="11"/>
        <v>0</v>
      </c>
      <c r="W36" s="260">
        <f t="shared" ca="1" si="12"/>
        <v>0</v>
      </c>
      <c r="X36" s="260">
        <f t="shared" ca="1" si="13"/>
        <v>0</v>
      </c>
      <c r="Y36" s="260">
        <f t="shared" ca="1" si="14"/>
        <v>0</v>
      </c>
      <c r="Z36" s="260">
        <f t="shared" ca="1" si="15"/>
        <v>0</v>
      </c>
      <c r="AA36" s="260">
        <f t="shared" ca="1" si="16"/>
        <v>0</v>
      </c>
      <c r="AB36" s="260">
        <f t="shared" ca="1" si="63"/>
        <v>0</v>
      </c>
      <c r="AC36" s="260">
        <f t="shared" ca="1" si="64"/>
        <v>0</v>
      </c>
      <c r="AD36" s="260">
        <f t="shared" ca="1" si="17"/>
        <v>0</v>
      </c>
      <c r="AE36" s="260">
        <f t="shared" ca="1" si="18"/>
        <v>0</v>
      </c>
      <c r="AF36" s="260">
        <f t="shared" ca="1" si="19"/>
        <v>0</v>
      </c>
      <c r="AG36" s="260">
        <f t="shared" ca="1" si="20"/>
        <v>0</v>
      </c>
      <c r="AH36" s="260">
        <f t="shared" ca="1" si="65"/>
        <v>0</v>
      </c>
      <c r="AI36" s="260">
        <f t="shared" ca="1" si="66"/>
        <v>0</v>
      </c>
      <c r="AJ36" s="260">
        <f t="shared" ca="1" si="67"/>
        <v>0</v>
      </c>
      <c r="AK36" s="260">
        <f t="shared" ca="1" si="68"/>
        <v>0</v>
      </c>
      <c r="AL36" s="260">
        <f t="shared" ca="1" si="69"/>
        <v>0</v>
      </c>
      <c r="AM36" s="260">
        <f t="shared" ca="1" si="70"/>
        <v>0</v>
      </c>
      <c r="AN36" s="260">
        <f t="shared" ca="1" si="71"/>
        <v>0</v>
      </c>
      <c r="AO36" s="260">
        <f t="shared" ca="1" si="72"/>
        <v>0</v>
      </c>
      <c r="AP36" s="260">
        <f t="shared" ca="1" si="21"/>
        <v>0</v>
      </c>
      <c r="AQ36" s="260">
        <f t="shared" ca="1" si="22"/>
        <v>0</v>
      </c>
      <c r="AR36" s="260">
        <f t="shared" ca="1" si="23"/>
        <v>0</v>
      </c>
      <c r="AS36" s="260">
        <f t="shared" ca="1" si="24"/>
        <v>0</v>
      </c>
      <c r="AT36" s="260">
        <f t="shared" ca="1" si="73"/>
        <v>0</v>
      </c>
      <c r="AU36" s="260">
        <f t="shared" ca="1" si="74"/>
        <v>0</v>
      </c>
      <c r="AV36" s="260">
        <f t="shared" ca="1" si="25"/>
        <v>0</v>
      </c>
      <c r="AW36" s="260">
        <f t="shared" ca="1" si="26"/>
        <v>0</v>
      </c>
      <c r="AX36" s="260">
        <f t="shared" ca="1" si="27"/>
        <v>0</v>
      </c>
      <c r="AY36" s="260">
        <f t="shared" ca="1" si="28"/>
        <v>0</v>
      </c>
      <c r="AZ36" s="260">
        <f t="shared" ca="1" si="29"/>
        <v>0</v>
      </c>
      <c r="BA36" s="260">
        <f t="shared" ca="1" si="30"/>
        <v>0</v>
      </c>
      <c r="BB36" s="260">
        <f t="shared" ca="1" si="31"/>
        <v>0</v>
      </c>
      <c r="BC36" s="260">
        <f t="shared" ca="1" si="32"/>
        <v>0</v>
      </c>
      <c r="BD36" s="260">
        <f t="shared" ca="1" si="33"/>
        <v>0</v>
      </c>
      <c r="BE36" s="260">
        <f t="shared" ca="1" si="34"/>
        <v>0</v>
      </c>
      <c r="BF36" s="260">
        <f t="shared" ca="1" si="35"/>
        <v>0</v>
      </c>
      <c r="BG36" s="260">
        <f t="shared" ca="1" si="36"/>
        <v>0</v>
      </c>
      <c r="BH36" s="260">
        <f t="shared" ca="1" si="75"/>
        <v>0</v>
      </c>
      <c r="BI36" s="260">
        <f t="shared" ca="1" si="76"/>
        <v>0</v>
      </c>
      <c r="BJ36" s="260">
        <f t="shared" ca="1" si="37"/>
        <v>0</v>
      </c>
      <c r="BK36" s="260">
        <f t="shared" ca="1" si="38"/>
        <v>0</v>
      </c>
      <c r="BL36" s="260">
        <f t="shared" ca="1" si="39"/>
        <v>0</v>
      </c>
      <c r="BM36" s="260">
        <f t="shared" ca="1" si="40"/>
        <v>0</v>
      </c>
      <c r="BN36" s="260">
        <f t="shared" ca="1" si="41"/>
        <v>0</v>
      </c>
      <c r="BO36" s="260">
        <f t="shared" ca="1" si="42"/>
        <v>0</v>
      </c>
      <c r="BP36" s="260">
        <f t="shared" ca="1" si="77"/>
        <v>0</v>
      </c>
      <c r="BQ36" s="260">
        <f t="shared" ca="1" si="78"/>
        <v>0</v>
      </c>
      <c r="BR36" s="260">
        <f t="shared" ca="1" si="43"/>
        <v>0</v>
      </c>
      <c r="BS36" s="260">
        <f t="shared" ca="1" si="44"/>
        <v>0</v>
      </c>
      <c r="BT36" s="260">
        <f t="shared" ca="1" si="79"/>
        <v>0</v>
      </c>
      <c r="BU36" s="260">
        <f t="shared" ca="1" si="80"/>
        <v>0</v>
      </c>
      <c r="BV36" s="260">
        <f t="shared" ca="1" si="81"/>
        <v>0</v>
      </c>
      <c r="BW36" s="260">
        <f t="shared" ca="1" si="82"/>
        <v>0</v>
      </c>
      <c r="BX36" s="260">
        <f t="shared" ca="1" si="45"/>
        <v>0</v>
      </c>
      <c r="BY36" s="260">
        <f t="shared" ca="1" si="46"/>
        <v>0</v>
      </c>
      <c r="BZ36" s="260">
        <f t="shared" ca="1" si="47"/>
        <v>0</v>
      </c>
      <c r="CA36" s="260">
        <f t="shared" ca="1" si="48"/>
        <v>0</v>
      </c>
      <c r="CB36" s="260">
        <f t="shared" ca="1" si="49"/>
        <v>0</v>
      </c>
      <c r="CC36" s="260">
        <f t="shared" ca="1" si="50"/>
        <v>0</v>
      </c>
      <c r="CD36" s="260">
        <f t="shared" ca="1" si="83"/>
        <v>0</v>
      </c>
      <c r="CE36" s="260">
        <f t="shared" ca="1" si="84"/>
        <v>0</v>
      </c>
      <c r="CF36" s="260">
        <f t="shared" ca="1" si="85"/>
        <v>0</v>
      </c>
      <c r="CG36" s="260">
        <f t="shared" ca="1" si="86"/>
        <v>0</v>
      </c>
      <c r="CH36" s="260">
        <f t="shared" ca="1" si="51"/>
        <v>0</v>
      </c>
      <c r="CI36" s="260">
        <f t="shared" ca="1" si="52"/>
        <v>0</v>
      </c>
      <c r="CJ36" s="260">
        <f t="shared" ca="1" si="87"/>
        <v>0</v>
      </c>
      <c r="CK36" s="260">
        <f t="shared" ca="1" si="88"/>
        <v>0</v>
      </c>
      <c r="CL36" s="260">
        <f t="shared" ca="1" si="53"/>
        <v>0</v>
      </c>
      <c r="CM36" s="260">
        <f t="shared" ca="1" si="54"/>
        <v>0</v>
      </c>
      <c r="CN36" s="260">
        <f t="shared" ca="1" si="55"/>
        <v>0</v>
      </c>
      <c r="CO36" s="260">
        <f t="shared" ca="1" si="56"/>
        <v>0</v>
      </c>
      <c r="CP36" s="260">
        <f t="shared" ca="1" si="89"/>
        <v>0</v>
      </c>
      <c r="CQ36" s="260">
        <f t="shared" ca="1" si="90"/>
        <v>0</v>
      </c>
      <c r="CR36" s="260">
        <f t="shared" ca="1" si="91"/>
        <v>0</v>
      </c>
      <c r="CS36" s="260">
        <f t="shared" ca="1" si="92"/>
        <v>0</v>
      </c>
      <c r="CT36" s="260">
        <f t="shared" ca="1" si="57"/>
        <v>0</v>
      </c>
      <c r="CU36" s="260">
        <f t="shared" ca="1" si="58"/>
        <v>0</v>
      </c>
      <c r="CV36" s="260">
        <f t="shared" ca="1" si="59"/>
        <v>0</v>
      </c>
      <c r="CW36" s="260">
        <f t="shared" ca="1" si="60"/>
        <v>0</v>
      </c>
      <c r="CX36" s="260">
        <f t="shared" ca="1" si="93"/>
        <v>0</v>
      </c>
      <c r="CY36" s="260">
        <f t="shared" ca="1" si="94"/>
        <v>0</v>
      </c>
      <c r="CZ36" s="260">
        <f t="shared" ca="1" si="95"/>
        <v>0</v>
      </c>
      <c r="DA36" s="260">
        <f t="shared" ca="1" si="96"/>
        <v>0</v>
      </c>
    </row>
    <row r="37" spans="1:105" s="257" customFormat="1" ht="15" customHeight="1">
      <c r="A37" s="60">
        <f t="array" aca="1" ref="A37" ca="1">IF(C37&lt;&gt;0,SUM(($C$11:C37&lt;&gt;0)*1),"")</f>
        <v>27</v>
      </c>
      <c r="B37" s="258" t="str">
        <f ca="1">IF(ROWS($1:27)&gt;COUNT(Dong6),"",OFFSET(TH!C$1,SMALL(Dong6,ROWS($1:27)),))</f>
        <v/>
      </c>
      <c r="C37" s="258" t="str">
        <f ca="1">IF(ROWS($1:27)&gt;COUNT(Dong6),"",OFFSET(TH!D$1,SMALL(Dong6,ROWS($1:27)),))</f>
        <v/>
      </c>
      <c r="D37" s="258" t="str">
        <f ca="1">IF(ROWS($1:27)&gt;COUNT(Dong6),"",OFFSET(TH!E$1,SMALL(Dong6,ROWS($1:27)),))</f>
        <v/>
      </c>
      <c r="E37" s="308" t="str">
        <f ca="1">IF(ROWS($1:27)&gt;COUNT(Dong6),"",OFFSET(TH!F$1,SMALL(Dong6,ROWS($1:27)),))</f>
        <v/>
      </c>
      <c r="F37" s="309" t="str">
        <f ca="1">IF(ROWS($1:27)&gt;COUNT(Dong6),"",OFFSET(TH!M$1,SMALL(Dong6,ROWS($1:27)),))</f>
        <v/>
      </c>
      <c r="G37" s="310" t="str">
        <f ca="1">IF(ROWS($1:27)&gt;COUNT(Dong6),"",OFFSET(TH!N$1,SMALL(Dong6,ROWS($1:27)),))</f>
        <v/>
      </c>
      <c r="H37" s="310" t="str">
        <f ca="1">IF(ROWS($1:27)&gt;COUNT(Dong6),"",OFFSET(TH!O$1,SMALL(Dong6,ROWS($1:27)),))</f>
        <v/>
      </c>
      <c r="I37" s="60">
        <f ca="1">A37</f>
        <v>27</v>
      </c>
      <c r="J37" s="260">
        <f t="shared" ca="1" si="61"/>
        <v>0</v>
      </c>
      <c r="K37" s="260">
        <f t="shared" ca="1" si="62"/>
        <v>0</v>
      </c>
      <c r="L37" s="260">
        <f t="shared" ca="1" si="1"/>
        <v>0</v>
      </c>
      <c r="M37" s="260">
        <f t="shared" ca="1" si="2"/>
        <v>0</v>
      </c>
      <c r="N37" s="260">
        <f t="shared" ca="1" si="3"/>
        <v>0</v>
      </c>
      <c r="O37" s="260">
        <f t="shared" ca="1" si="4"/>
        <v>0</v>
      </c>
      <c r="P37" s="260">
        <f t="shared" ca="1" si="5"/>
        <v>0</v>
      </c>
      <c r="Q37" s="260">
        <f t="shared" ca="1" si="6"/>
        <v>0</v>
      </c>
      <c r="R37" s="260">
        <f t="shared" ca="1" si="7"/>
        <v>0</v>
      </c>
      <c r="S37" s="260">
        <f t="shared" ca="1" si="8"/>
        <v>0</v>
      </c>
      <c r="T37" s="260">
        <f t="shared" ca="1" si="9"/>
        <v>0</v>
      </c>
      <c r="U37" s="260">
        <f t="shared" ca="1" si="10"/>
        <v>0</v>
      </c>
      <c r="V37" s="260">
        <f t="shared" ca="1" si="11"/>
        <v>0</v>
      </c>
      <c r="W37" s="260">
        <f t="shared" ca="1" si="12"/>
        <v>0</v>
      </c>
      <c r="X37" s="260">
        <f t="shared" ca="1" si="13"/>
        <v>0</v>
      </c>
      <c r="Y37" s="260">
        <f t="shared" ca="1" si="14"/>
        <v>0</v>
      </c>
      <c r="Z37" s="260">
        <f t="shared" ca="1" si="15"/>
        <v>0</v>
      </c>
      <c r="AA37" s="260">
        <f t="shared" ca="1" si="16"/>
        <v>0</v>
      </c>
      <c r="AB37" s="260">
        <f t="shared" ca="1" si="63"/>
        <v>0</v>
      </c>
      <c r="AC37" s="260">
        <f t="shared" ca="1" si="64"/>
        <v>0</v>
      </c>
      <c r="AD37" s="260">
        <f t="shared" ca="1" si="17"/>
        <v>0</v>
      </c>
      <c r="AE37" s="260">
        <f t="shared" ca="1" si="18"/>
        <v>0</v>
      </c>
      <c r="AF37" s="260">
        <f t="shared" ca="1" si="19"/>
        <v>0</v>
      </c>
      <c r="AG37" s="260">
        <f t="shared" ca="1" si="20"/>
        <v>0</v>
      </c>
      <c r="AH37" s="260">
        <f t="shared" ca="1" si="65"/>
        <v>0</v>
      </c>
      <c r="AI37" s="260">
        <f t="shared" ca="1" si="66"/>
        <v>0</v>
      </c>
      <c r="AJ37" s="260">
        <f t="shared" ca="1" si="67"/>
        <v>0</v>
      </c>
      <c r="AK37" s="260">
        <f t="shared" ca="1" si="68"/>
        <v>0</v>
      </c>
      <c r="AL37" s="260">
        <f t="shared" ca="1" si="69"/>
        <v>0</v>
      </c>
      <c r="AM37" s="260">
        <f t="shared" ca="1" si="70"/>
        <v>0</v>
      </c>
      <c r="AN37" s="260">
        <f t="shared" ca="1" si="71"/>
        <v>0</v>
      </c>
      <c r="AO37" s="260">
        <f t="shared" ca="1" si="72"/>
        <v>0</v>
      </c>
      <c r="AP37" s="260">
        <f t="shared" ca="1" si="21"/>
        <v>0</v>
      </c>
      <c r="AQ37" s="260">
        <f t="shared" ca="1" si="22"/>
        <v>0</v>
      </c>
      <c r="AR37" s="260">
        <f t="shared" ca="1" si="23"/>
        <v>0</v>
      </c>
      <c r="AS37" s="260">
        <f t="shared" ca="1" si="24"/>
        <v>0</v>
      </c>
      <c r="AT37" s="260">
        <f t="shared" ca="1" si="73"/>
        <v>0</v>
      </c>
      <c r="AU37" s="260">
        <f t="shared" ca="1" si="74"/>
        <v>0</v>
      </c>
      <c r="AV37" s="260">
        <f t="shared" ca="1" si="25"/>
        <v>0</v>
      </c>
      <c r="AW37" s="260">
        <f t="shared" ca="1" si="26"/>
        <v>0</v>
      </c>
      <c r="AX37" s="260">
        <f t="shared" ca="1" si="27"/>
        <v>0</v>
      </c>
      <c r="AY37" s="260">
        <f t="shared" ca="1" si="28"/>
        <v>0</v>
      </c>
      <c r="AZ37" s="260">
        <f t="shared" ca="1" si="29"/>
        <v>0</v>
      </c>
      <c r="BA37" s="260">
        <f t="shared" ca="1" si="30"/>
        <v>0</v>
      </c>
      <c r="BB37" s="260">
        <f t="shared" ca="1" si="31"/>
        <v>0</v>
      </c>
      <c r="BC37" s="260">
        <f t="shared" ca="1" si="32"/>
        <v>0</v>
      </c>
      <c r="BD37" s="260">
        <f t="shared" ca="1" si="33"/>
        <v>0</v>
      </c>
      <c r="BE37" s="260">
        <f t="shared" ca="1" si="34"/>
        <v>0</v>
      </c>
      <c r="BF37" s="260">
        <f t="shared" ca="1" si="35"/>
        <v>0</v>
      </c>
      <c r="BG37" s="260">
        <f t="shared" ca="1" si="36"/>
        <v>0</v>
      </c>
      <c r="BH37" s="260">
        <f t="shared" ca="1" si="75"/>
        <v>0</v>
      </c>
      <c r="BI37" s="260">
        <f t="shared" ca="1" si="76"/>
        <v>0</v>
      </c>
      <c r="BJ37" s="260">
        <f t="shared" ca="1" si="37"/>
        <v>0</v>
      </c>
      <c r="BK37" s="260">
        <f t="shared" ca="1" si="38"/>
        <v>0</v>
      </c>
      <c r="BL37" s="260">
        <f t="shared" ca="1" si="39"/>
        <v>0</v>
      </c>
      <c r="BM37" s="260">
        <f t="shared" ca="1" si="40"/>
        <v>0</v>
      </c>
      <c r="BN37" s="260">
        <f t="shared" ca="1" si="41"/>
        <v>0</v>
      </c>
      <c r="BO37" s="260">
        <f t="shared" ca="1" si="42"/>
        <v>0</v>
      </c>
      <c r="BP37" s="260">
        <f t="shared" ca="1" si="77"/>
        <v>0</v>
      </c>
      <c r="BQ37" s="260">
        <f t="shared" ca="1" si="78"/>
        <v>0</v>
      </c>
      <c r="BR37" s="260">
        <f t="shared" ca="1" si="43"/>
        <v>0</v>
      </c>
      <c r="BS37" s="260">
        <f t="shared" ca="1" si="44"/>
        <v>0</v>
      </c>
      <c r="BT37" s="260">
        <f t="shared" ca="1" si="79"/>
        <v>0</v>
      </c>
      <c r="BU37" s="260">
        <f t="shared" ca="1" si="80"/>
        <v>0</v>
      </c>
      <c r="BV37" s="260">
        <f t="shared" ca="1" si="81"/>
        <v>0</v>
      </c>
      <c r="BW37" s="260">
        <f t="shared" ca="1" si="82"/>
        <v>0</v>
      </c>
      <c r="BX37" s="260">
        <f t="shared" ca="1" si="45"/>
        <v>0</v>
      </c>
      <c r="BY37" s="260">
        <f t="shared" ca="1" si="46"/>
        <v>0</v>
      </c>
      <c r="BZ37" s="260">
        <f t="shared" ca="1" si="47"/>
        <v>0</v>
      </c>
      <c r="CA37" s="260">
        <f t="shared" ca="1" si="48"/>
        <v>0</v>
      </c>
      <c r="CB37" s="260">
        <f t="shared" ca="1" si="49"/>
        <v>0</v>
      </c>
      <c r="CC37" s="260">
        <f t="shared" ca="1" si="50"/>
        <v>0</v>
      </c>
      <c r="CD37" s="260">
        <f t="shared" ca="1" si="83"/>
        <v>0</v>
      </c>
      <c r="CE37" s="260">
        <f t="shared" ca="1" si="84"/>
        <v>0</v>
      </c>
      <c r="CF37" s="260">
        <f t="shared" ca="1" si="85"/>
        <v>0</v>
      </c>
      <c r="CG37" s="260">
        <f t="shared" ca="1" si="86"/>
        <v>0</v>
      </c>
      <c r="CH37" s="260">
        <f t="shared" ca="1" si="51"/>
        <v>0</v>
      </c>
      <c r="CI37" s="260">
        <f t="shared" ca="1" si="52"/>
        <v>0</v>
      </c>
      <c r="CJ37" s="260">
        <f t="shared" ca="1" si="87"/>
        <v>0</v>
      </c>
      <c r="CK37" s="260">
        <f t="shared" ca="1" si="88"/>
        <v>0</v>
      </c>
      <c r="CL37" s="260">
        <f t="shared" ca="1" si="53"/>
        <v>0</v>
      </c>
      <c r="CM37" s="260">
        <f t="shared" ca="1" si="54"/>
        <v>0</v>
      </c>
      <c r="CN37" s="260">
        <f t="shared" ca="1" si="55"/>
        <v>0</v>
      </c>
      <c r="CO37" s="260">
        <f t="shared" ca="1" si="56"/>
        <v>0</v>
      </c>
      <c r="CP37" s="260">
        <f t="shared" ca="1" si="89"/>
        <v>0</v>
      </c>
      <c r="CQ37" s="260">
        <f t="shared" ca="1" si="90"/>
        <v>0</v>
      </c>
      <c r="CR37" s="260">
        <f t="shared" ca="1" si="91"/>
        <v>0</v>
      </c>
      <c r="CS37" s="260">
        <f t="shared" ca="1" si="92"/>
        <v>0</v>
      </c>
      <c r="CT37" s="260">
        <f t="shared" ca="1" si="57"/>
        <v>0</v>
      </c>
      <c r="CU37" s="260">
        <f t="shared" ca="1" si="58"/>
        <v>0</v>
      </c>
      <c r="CV37" s="260">
        <f t="shared" ca="1" si="59"/>
        <v>0</v>
      </c>
      <c r="CW37" s="260">
        <f t="shared" ca="1" si="60"/>
        <v>0</v>
      </c>
      <c r="CX37" s="260">
        <f t="shared" ca="1" si="93"/>
        <v>0</v>
      </c>
      <c r="CY37" s="260">
        <f t="shared" ca="1" si="94"/>
        <v>0</v>
      </c>
      <c r="CZ37" s="260">
        <f t="shared" ca="1" si="95"/>
        <v>0</v>
      </c>
      <c r="DA37" s="260">
        <f t="shared" ca="1" si="96"/>
        <v>0</v>
      </c>
    </row>
    <row r="38" spans="1:105" s="257" customFormat="1" ht="15" customHeight="1">
      <c r="A38" s="60">
        <f t="array" aca="1" ref="A38" ca="1">IF(C38&lt;&gt;0,SUM(($C$11:C38&lt;&gt;0)*1),"")</f>
        <v>28</v>
      </c>
      <c r="B38" s="258" t="str">
        <f ca="1">IF(ROWS($1:28)&gt;COUNT(Dong6),"",OFFSET(TH!C$1,SMALL(Dong6,ROWS($1:28)),))</f>
        <v/>
      </c>
      <c r="C38" s="258" t="str">
        <f ca="1">IF(ROWS($1:28)&gt;COUNT(Dong6),"",OFFSET(TH!D$1,SMALL(Dong6,ROWS($1:28)),))</f>
        <v/>
      </c>
      <c r="D38" s="258" t="str">
        <f ca="1">IF(ROWS($1:28)&gt;COUNT(Dong6),"",OFFSET(TH!E$1,SMALL(Dong6,ROWS($1:28)),))</f>
        <v/>
      </c>
      <c r="E38" s="308" t="str">
        <f ca="1">IF(ROWS($1:28)&gt;COUNT(Dong6),"",OFFSET(TH!F$1,SMALL(Dong6,ROWS($1:28)),))</f>
        <v/>
      </c>
      <c r="F38" s="309" t="str">
        <f ca="1">IF(ROWS($1:28)&gt;COUNT(Dong6),"",OFFSET(TH!M$1,SMALL(Dong6,ROWS($1:28)),))</f>
        <v/>
      </c>
      <c r="G38" s="310" t="str">
        <f ca="1">IF(ROWS($1:28)&gt;COUNT(Dong6),"",OFFSET(TH!N$1,SMALL(Dong6,ROWS($1:28)),))</f>
        <v/>
      </c>
      <c r="H38" s="310" t="str">
        <f ca="1">IF(ROWS($1:28)&gt;COUNT(Dong6),"",OFFSET(TH!O$1,SMALL(Dong6,ROWS($1:28)),))</f>
        <v/>
      </c>
      <c r="I38" s="60">
        <f ca="1">A38</f>
        <v>28</v>
      </c>
      <c r="J38" s="260">
        <f t="shared" ca="1" si="61"/>
        <v>0</v>
      </c>
      <c r="K38" s="260">
        <f t="shared" ca="1" si="62"/>
        <v>0</v>
      </c>
      <c r="L38" s="260">
        <f t="shared" ca="1" si="1"/>
        <v>0</v>
      </c>
      <c r="M38" s="260">
        <f t="shared" ca="1" si="2"/>
        <v>0</v>
      </c>
      <c r="N38" s="260">
        <f t="shared" ca="1" si="3"/>
        <v>0</v>
      </c>
      <c r="O38" s="260">
        <f t="shared" ca="1" si="4"/>
        <v>0</v>
      </c>
      <c r="P38" s="260">
        <f t="shared" ca="1" si="5"/>
        <v>0</v>
      </c>
      <c r="Q38" s="260">
        <f t="shared" ca="1" si="6"/>
        <v>0</v>
      </c>
      <c r="R38" s="260">
        <f t="shared" ca="1" si="7"/>
        <v>0</v>
      </c>
      <c r="S38" s="260">
        <f t="shared" ca="1" si="8"/>
        <v>0</v>
      </c>
      <c r="T38" s="260">
        <f t="shared" ca="1" si="9"/>
        <v>0</v>
      </c>
      <c r="U38" s="260">
        <f t="shared" ca="1" si="10"/>
        <v>0</v>
      </c>
      <c r="V38" s="260">
        <f t="shared" ca="1" si="11"/>
        <v>0</v>
      </c>
      <c r="W38" s="260">
        <f t="shared" ca="1" si="12"/>
        <v>0</v>
      </c>
      <c r="X38" s="260">
        <f t="shared" ca="1" si="13"/>
        <v>0</v>
      </c>
      <c r="Y38" s="260">
        <f t="shared" ca="1" si="14"/>
        <v>0</v>
      </c>
      <c r="Z38" s="260">
        <f t="shared" ca="1" si="15"/>
        <v>0</v>
      </c>
      <c r="AA38" s="260">
        <f t="shared" ca="1" si="16"/>
        <v>0</v>
      </c>
      <c r="AB38" s="260">
        <f t="shared" ca="1" si="63"/>
        <v>0</v>
      </c>
      <c r="AC38" s="260">
        <f t="shared" ca="1" si="64"/>
        <v>0</v>
      </c>
      <c r="AD38" s="260">
        <f t="shared" ca="1" si="17"/>
        <v>0</v>
      </c>
      <c r="AE38" s="260">
        <f t="shared" ca="1" si="18"/>
        <v>0</v>
      </c>
      <c r="AF38" s="260">
        <f t="shared" ca="1" si="19"/>
        <v>0</v>
      </c>
      <c r="AG38" s="260">
        <f t="shared" ca="1" si="20"/>
        <v>0</v>
      </c>
      <c r="AH38" s="260">
        <f t="shared" ca="1" si="65"/>
        <v>0</v>
      </c>
      <c r="AI38" s="260">
        <f t="shared" ca="1" si="66"/>
        <v>0</v>
      </c>
      <c r="AJ38" s="260">
        <f t="shared" ca="1" si="67"/>
        <v>0</v>
      </c>
      <c r="AK38" s="260">
        <f t="shared" ca="1" si="68"/>
        <v>0</v>
      </c>
      <c r="AL38" s="260">
        <f t="shared" ca="1" si="69"/>
        <v>0</v>
      </c>
      <c r="AM38" s="260">
        <f t="shared" ca="1" si="70"/>
        <v>0</v>
      </c>
      <c r="AN38" s="260">
        <f t="shared" ca="1" si="71"/>
        <v>0</v>
      </c>
      <c r="AO38" s="260">
        <f t="shared" ca="1" si="72"/>
        <v>0</v>
      </c>
      <c r="AP38" s="260">
        <f t="shared" ca="1" si="21"/>
        <v>0</v>
      </c>
      <c r="AQ38" s="260">
        <f t="shared" ca="1" si="22"/>
        <v>0</v>
      </c>
      <c r="AR38" s="260">
        <f t="shared" ca="1" si="23"/>
        <v>0</v>
      </c>
      <c r="AS38" s="260">
        <f t="shared" ca="1" si="24"/>
        <v>0</v>
      </c>
      <c r="AT38" s="260">
        <f t="shared" ca="1" si="73"/>
        <v>0</v>
      </c>
      <c r="AU38" s="260">
        <f t="shared" ca="1" si="74"/>
        <v>0</v>
      </c>
      <c r="AV38" s="260">
        <f t="shared" ca="1" si="25"/>
        <v>0</v>
      </c>
      <c r="AW38" s="260">
        <f t="shared" ca="1" si="26"/>
        <v>0</v>
      </c>
      <c r="AX38" s="260">
        <f t="shared" ca="1" si="27"/>
        <v>0</v>
      </c>
      <c r="AY38" s="260">
        <f t="shared" ca="1" si="28"/>
        <v>0</v>
      </c>
      <c r="AZ38" s="260">
        <f t="shared" ca="1" si="29"/>
        <v>0</v>
      </c>
      <c r="BA38" s="260">
        <f t="shared" ca="1" si="30"/>
        <v>0</v>
      </c>
      <c r="BB38" s="260">
        <f t="shared" ca="1" si="31"/>
        <v>0</v>
      </c>
      <c r="BC38" s="260">
        <f t="shared" ca="1" si="32"/>
        <v>0</v>
      </c>
      <c r="BD38" s="260">
        <f t="shared" ca="1" si="33"/>
        <v>0</v>
      </c>
      <c r="BE38" s="260">
        <f t="shared" ca="1" si="34"/>
        <v>0</v>
      </c>
      <c r="BF38" s="260">
        <f t="shared" ca="1" si="35"/>
        <v>0</v>
      </c>
      <c r="BG38" s="260">
        <f t="shared" ca="1" si="36"/>
        <v>0</v>
      </c>
      <c r="BH38" s="260">
        <f t="shared" ca="1" si="75"/>
        <v>0</v>
      </c>
      <c r="BI38" s="260">
        <f t="shared" ca="1" si="76"/>
        <v>0</v>
      </c>
      <c r="BJ38" s="260">
        <f t="shared" ca="1" si="37"/>
        <v>0</v>
      </c>
      <c r="BK38" s="260">
        <f t="shared" ca="1" si="38"/>
        <v>0</v>
      </c>
      <c r="BL38" s="260">
        <f t="shared" ca="1" si="39"/>
        <v>0</v>
      </c>
      <c r="BM38" s="260">
        <f t="shared" ca="1" si="40"/>
        <v>0</v>
      </c>
      <c r="BN38" s="260">
        <f t="shared" ca="1" si="41"/>
        <v>0</v>
      </c>
      <c r="BO38" s="260">
        <f t="shared" ca="1" si="42"/>
        <v>0</v>
      </c>
      <c r="BP38" s="260">
        <f t="shared" ca="1" si="77"/>
        <v>0</v>
      </c>
      <c r="BQ38" s="260">
        <f t="shared" ca="1" si="78"/>
        <v>0</v>
      </c>
      <c r="BR38" s="260">
        <f t="shared" ca="1" si="43"/>
        <v>0</v>
      </c>
      <c r="BS38" s="260">
        <f t="shared" ca="1" si="44"/>
        <v>0</v>
      </c>
      <c r="BT38" s="260">
        <f t="shared" ca="1" si="79"/>
        <v>0</v>
      </c>
      <c r="BU38" s="260">
        <f t="shared" ca="1" si="80"/>
        <v>0</v>
      </c>
      <c r="BV38" s="260">
        <f t="shared" ca="1" si="81"/>
        <v>0</v>
      </c>
      <c r="BW38" s="260">
        <f t="shared" ca="1" si="82"/>
        <v>0</v>
      </c>
      <c r="BX38" s="260">
        <f t="shared" ca="1" si="45"/>
        <v>0</v>
      </c>
      <c r="BY38" s="260">
        <f t="shared" ca="1" si="46"/>
        <v>0</v>
      </c>
      <c r="BZ38" s="260">
        <f t="shared" ca="1" si="47"/>
        <v>0</v>
      </c>
      <c r="CA38" s="260">
        <f t="shared" ca="1" si="48"/>
        <v>0</v>
      </c>
      <c r="CB38" s="260">
        <f t="shared" ca="1" si="49"/>
        <v>0</v>
      </c>
      <c r="CC38" s="260">
        <f t="shared" ca="1" si="50"/>
        <v>0</v>
      </c>
      <c r="CD38" s="260">
        <f t="shared" ca="1" si="83"/>
        <v>0</v>
      </c>
      <c r="CE38" s="260">
        <f t="shared" ca="1" si="84"/>
        <v>0</v>
      </c>
      <c r="CF38" s="260">
        <f t="shared" ca="1" si="85"/>
        <v>0</v>
      </c>
      <c r="CG38" s="260">
        <f t="shared" ca="1" si="86"/>
        <v>0</v>
      </c>
      <c r="CH38" s="260">
        <f t="shared" ca="1" si="51"/>
        <v>0</v>
      </c>
      <c r="CI38" s="260">
        <f t="shared" ca="1" si="52"/>
        <v>0</v>
      </c>
      <c r="CJ38" s="260">
        <f t="shared" ca="1" si="87"/>
        <v>0</v>
      </c>
      <c r="CK38" s="260">
        <f t="shared" ca="1" si="88"/>
        <v>0</v>
      </c>
      <c r="CL38" s="260">
        <f t="shared" ca="1" si="53"/>
        <v>0</v>
      </c>
      <c r="CM38" s="260">
        <f t="shared" ca="1" si="54"/>
        <v>0</v>
      </c>
      <c r="CN38" s="260">
        <f t="shared" ca="1" si="55"/>
        <v>0</v>
      </c>
      <c r="CO38" s="260">
        <f t="shared" ca="1" si="56"/>
        <v>0</v>
      </c>
      <c r="CP38" s="260">
        <f t="shared" ca="1" si="89"/>
        <v>0</v>
      </c>
      <c r="CQ38" s="260">
        <f t="shared" ca="1" si="90"/>
        <v>0</v>
      </c>
      <c r="CR38" s="260">
        <f t="shared" ca="1" si="91"/>
        <v>0</v>
      </c>
      <c r="CS38" s="260">
        <f t="shared" ca="1" si="92"/>
        <v>0</v>
      </c>
      <c r="CT38" s="260">
        <f t="shared" ca="1" si="57"/>
        <v>0</v>
      </c>
      <c r="CU38" s="260">
        <f t="shared" ca="1" si="58"/>
        <v>0</v>
      </c>
      <c r="CV38" s="260">
        <f t="shared" ca="1" si="59"/>
        <v>0</v>
      </c>
      <c r="CW38" s="260">
        <f t="shared" ca="1" si="60"/>
        <v>0</v>
      </c>
      <c r="CX38" s="260">
        <f t="shared" ca="1" si="93"/>
        <v>0</v>
      </c>
      <c r="CY38" s="260">
        <f t="shared" ca="1" si="94"/>
        <v>0</v>
      </c>
      <c r="CZ38" s="260">
        <f t="shared" ca="1" si="95"/>
        <v>0</v>
      </c>
      <c r="DA38" s="260">
        <f t="shared" ca="1" si="96"/>
        <v>0</v>
      </c>
    </row>
    <row r="39" spans="1:105" s="257" customFormat="1" ht="15" customHeight="1">
      <c r="A39" s="60">
        <f t="array" aca="1" ref="A39" ca="1">IF(C39&lt;&gt;0,SUM(($C$11:C39&lt;&gt;0)*1),"")</f>
        <v>29</v>
      </c>
      <c r="B39" s="258">
        <v>42460</v>
      </c>
      <c r="C39" s="261" t="s">
        <v>115</v>
      </c>
      <c r="D39" s="261">
        <f t="shared" ref="D39:D44" si="97">B39</f>
        <v>42460</v>
      </c>
      <c r="E39" s="760" t="s">
        <v>211</v>
      </c>
      <c r="F39" s="761">
        <f>[4]CDPS!D59</f>
        <v>107861885.00000048</v>
      </c>
      <c r="G39" s="762" t="s">
        <v>94</v>
      </c>
      <c r="H39" s="762" t="s">
        <v>92</v>
      </c>
      <c r="I39" s="60">
        <f t="shared" ref="I39:I50" ca="1" si="98">A39</f>
        <v>29</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ref="AT39:AT51" si="99">IF($G39="2412",$F39,0)</f>
        <v>0</v>
      </c>
      <c r="AU39" s="260">
        <f t="shared" ref="AU39:AU51" si="100">IF($H39="2412",$F39,0)</f>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ref="BV39:BV51" si="101">IF($G39="3412",$F39,0)</f>
        <v>0</v>
      </c>
      <c r="BW39" s="260">
        <f t="shared" ref="BW39:BW51" si="102">IF($H39="3412",$F39,0)</f>
        <v>0</v>
      </c>
      <c r="BX39" s="260">
        <f t="shared" si="45"/>
        <v>0</v>
      </c>
      <c r="BY39" s="260">
        <f t="shared" si="46"/>
        <v>0</v>
      </c>
      <c r="BZ39" s="260">
        <f t="shared" si="47"/>
        <v>0</v>
      </c>
      <c r="CA39" s="260">
        <f t="shared" si="48"/>
        <v>107861885.00000048</v>
      </c>
      <c r="CB39" s="260">
        <f t="shared" si="49"/>
        <v>107861885.00000048</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5" customHeight="1">
      <c r="A40" s="60">
        <f t="array" aca="1" ref="A40" ca="1">IF(C40&lt;&gt;0,SUM(($C$11:C40&lt;&gt;0)*1),"")</f>
        <v>30</v>
      </c>
      <c r="B40" s="258">
        <v>42460</v>
      </c>
      <c r="C40" s="261" t="s">
        <v>115</v>
      </c>
      <c r="D40" s="261">
        <f t="shared" si="97"/>
        <v>42460</v>
      </c>
      <c r="E40" s="760" t="s">
        <v>590</v>
      </c>
      <c r="F40" s="761">
        <f ca="1">AY52</f>
        <v>0</v>
      </c>
      <c r="G40" s="762" t="s">
        <v>595</v>
      </c>
      <c r="H40" s="762" t="s">
        <v>9</v>
      </c>
      <c r="I40" s="60">
        <f t="shared" ca="1" si="98"/>
        <v>30</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99"/>
        <v>0</v>
      </c>
      <c r="AU40" s="260">
        <f t="shared" si="100"/>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101"/>
        <v>0</v>
      </c>
      <c r="BW40" s="260">
        <f t="shared" si="10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5" customHeight="1">
      <c r="A41" s="60">
        <f t="array" aca="1" ref="A41" ca="1">IF(C41&lt;&gt;0,SUM(($C$11:C41&lt;&gt;0)*1),"")</f>
        <v>31</v>
      </c>
      <c r="B41" s="258">
        <v>42460</v>
      </c>
      <c r="C41" s="261" t="s">
        <v>115</v>
      </c>
      <c r="D41" s="261">
        <f t="shared" si="97"/>
        <v>42460</v>
      </c>
      <c r="E41" s="760" t="s">
        <v>591</v>
      </c>
      <c r="F41" s="761">
        <f ca="1">CL52</f>
        <v>0</v>
      </c>
      <c r="G41" s="762" t="s">
        <v>109</v>
      </c>
      <c r="H41" s="762" t="s">
        <v>284</v>
      </c>
      <c r="I41" s="60">
        <f t="shared" ca="1" si="98"/>
        <v>31</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99"/>
        <v>0</v>
      </c>
      <c r="AU41" s="260">
        <f t="shared" si="100"/>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101"/>
        <v>0</v>
      </c>
      <c r="BW41" s="260">
        <f t="shared" si="10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5" customHeight="1">
      <c r="A42" s="60">
        <f t="array" aca="1" ref="A42" ca="1">IF(C42&lt;&gt;0,SUM(($C$11:C42&lt;&gt;0)*1),"")</f>
        <v>32</v>
      </c>
      <c r="B42" s="258">
        <v>42460</v>
      </c>
      <c r="C42" s="261" t="s">
        <v>115</v>
      </c>
      <c r="D42" s="261">
        <f t="shared" si="97"/>
        <v>42460</v>
      </c>
      <c r="E42" s="760" t="s">
        <v>116</v>
      </c>
      <c r="F42" s="761">
        <f ca="1">CN52</f>
        <v>0</v>
      </c>
      <c r="G42" s="762" t="s">
        <v>109</v>
      </c>
      <c r="H42" s="762" t="s">
        <v>99</v>
      </c>
      <c r="I42" s="60">
        <f t="shared" ca="1" si="98"/>
        <v>32</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99"/>
        <v>0</v>
      </c>
      <c r="AU42" s="260">
        <f t="shared" si="100"/>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101"/>
        <v>0</v>
      </c>
      <c r="BW42" s="260">
        <f t="shared" si="10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5" customHeight="1">
      <c r="A43" s="60">
        <f t="array" aca="1" ref="A43" ca="1">IF(C43&lt;&gt;0,SUM(($C$11:C43&lt;&gt;0)*1),"")</f>
        <v>33</v>
      </c>
      <c r="B43" s="258">
        <v>42460</v>
      </c>
      <c r="C43" s="261" t="s">
        <v>115</v>
      </c>
      <c r="D43" s="261">
        <f t="shared" si="97"/>
        <v>42460</v>
      </c>
      <c r="E43" s="760" t="s">
        <v>592</v>
      </c>
      <c r="F43" s="761">
        <f ca="1">CP52</f>
        <v>0</v>
      </c>
      <c r="G43" s="762" t="s">
        <v>109</v>
      </c>
      <c r="H43" s="762" t="s">
        <v>540</v>
      </c>
      <c r="I43" s="60">
        <f t="shared" ca="1" si="98"/>
        <v>33</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99"/>
        <v>0</v>
      </c>
      <c r="AU43" s="260">
        <f t="shared" si="100"/>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101"/>
        <v>0</v>
      </c>
      <c r="BW43" s="260">
        <f t="shared" si="10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5" customHeight="1">
      <c r="A44" s="60">
        <f t="array" aca="1" ref="A44" ca="1">IF(C44&lt;&gt;0,SUM(($C$11:C44&lt;&gt;0)*1),"")</f>
        <v>34</v>
      </c>
      <c r="B44" s="258">
        <v>42460</v>
      </c>
      <c r="C44" s="261" t="s">
        <v>115</v>
      </c>
      <c r="D44" s="261">
        <f t="shared" si="97"/>
        <v>42460</v>
      </c>
      <c r="E44" s="760" t="s">
        <v>117</v>
      </c>
      <c r="F44" s="761">
        <f ca="1">CR52</f>
        <v>0</v>
      </c>
      <c r="G44" s="762" t="s">
        <v>109</v>
      </c>
      <c r="H44" s="762" t="s">
        <v>101</v>
      </c>
      <c r="I44" s="60">
        <f t="shared" ca="1" si="98"/>
        <v>34</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99"/>
        <v>0</v>
      </c>
      <c r="AU44" s="260">
        <f t="shared" si="100"/>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101"/>
        <v>0</v>
      </c>
      <c r="BW44" s="260">
        <f t="shared" si="10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5" customHeight="1">
      <c r="A45" s="60">
        <f t="array" aca="1" ref="A45" ca="1">IF(C45&lt;&gt;0,SUM(($C$11:C45&lt;&gt;0)*1),"")</f>
        <v>35</v>
      </c>
      <c r="B45" s="258">
        <v>42460</v>
      </c>
      <c r="C45" s="261" t="s">
        <v>115</v>
      </c>
      <c r="D45" s="261">
        <f t="shared" ref="D45:D50" si="103">B45</f>
        <v>42460</v>
      </c>
      <c r="E45" s="760" t="s">
        <v>212</v>
      </c>
      <c r="F45" s="761"/>
      <c r="G45" s="762" t="s">
        <v>109</v>
      </c>
      <c r="H45" s="762" t="s">
        <v>94</v>
      </c>
      <c r="I45" s="60">
        <f t="shared" ca="1" si="98"/>
        <v>35</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99"/>
        <v>0</v>
      </c>
      <c r="AU45" s="260">
        <f t="shared" si="100"/>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101"/>
        <v>0</v>
      </c>
      <c r="BW45" s="260">
        <f t="shared" si="10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5" customHeight="1">
      <c r="A46" s="60">
        <f t="array" aca="1" ref="A46" ca="1">IF(C46&lt;&gt;0,SUM(($C$11:C46&lt;&gt;0)*1),"")</f>
        <v>36</v>
      </c>
      <c r="B46" s="258">
        <v>42460</v>
      </c>
      <c r="C46" s="261" t="s">
        <v>115</v>
      </c>
      <c r="D46" s="261">
        <f t="shared" si="103"/>
        <v>42460</v>
      </c>
      <c r="E46" s="760" t="s">
        <v>118</v>
      </c>
      <c r="F46" s="761">
        <f ca="1">CI52</f>
        <v>0</v>
      </c>
      <c r="G46" s="762" t="s">
        <v>43</v>
      </c>
      <c r="H46" s="762" t="s">
        <v>109</v>
      </c>
      <c r="I46" s="60">
        <f t="shared" ca="1" si="98"/>
        <v>36</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99"/>
        <v>0</v>
      </c>
      <c r="AU46" s="260">
        <f t="shared" si="100"/>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101"/>
        <v>0</v>
      </c>
      <c r="BW46" s="260">
        <f t="shared" si="10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5" customHeight="1">
      <c r="A47" s="60">
        <f t="array" aca="1" ref="A47" ca="1">IF(C47&lt;&gt;0,SUM(($C$11:C47&lt;&gt;0)*1),"")</f>
        <v>37</v>
      </c>
      <c r="B47" s="258">
        <v>42460</v>
      </c>
      <c r="C47" s="261" t="s">
        <v>115</v>
      </c>
      <c r="D47" s="261">
        <f t="shared" si="103"/>
        <v>42460</v>
      </c>
      <c r="E47" s="760" t="s">
        <v>593</v>
      </c>
      <c r="F47" s="761">
        <f ca="1">CE52</f>
        <v>0</v>
      </c>
      <c r="G47" s="762" t="s">
        <v>286</v>
      </c>
      <c r="H47" s="762" t="s">
        <v>109</v>
      </c>
      <c r="I47" s="60">
        <f t="shared" ca="1" si="98"/>
        <v>37</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99"/>
        <v>0</v>
      </c>
      <c r="AU47" s="260">
        <f t="shared" si="100"/>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101"/>
        <v>0</v>
      </c>
      <c r="BW47" s="260">
        <f t="shared" si="10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5" customHeight="1">
      <c r="A48" s="60">
        <f t="array" aca="1" ref="A48" ca="1">IF(C48&lt;&gt;0,SUM(($C$11:C48&lt;&gt;0)*1),"")</f>
        <v>38</v>
      </c>
      <c r="B48" s="258">
        <v>42460</v>
      </c>
      <c r="C48" s="261" t="s">
        <v>115</v>
      </c>
      <c r="D48" s="261">
        <f t="shared" si="103"/>
        <v>42460</v>
      </c>
      <c r="E48" s="760" t="s">
        <v>594</v>
      </c>
      <c r="F48" s="761">
        <f ca="1">CG52</f>
        <v>0</v>
      </c>
      <c r="G48" s="762" t="s">
        <v>288</v>
      </c>
      <c r="H48" s="762" t="s">
        <v>109</v>
      </c>
      <c r="I48" s="60">
        <f t="shared" ca="1" si="98"/>
        <v>38</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99"/>
        <v>0</v>
      </c>
      <c r="AU48" s="260">
        <f t="shared" si="100"/>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101"/>
        <v>0</v>
      </c>
      <c r="BW48" s="260">
        <f t="shared" si="10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5" customHeight="1">
      <c r="A49" s="60">
        <f t="array" aca="1" ref="A49" ca="1">IF(C49&lt;&gt;0,SUM(($C$11:C49&lt;&gt;0)*1),"")</f>
        <v>39</v>
      </c>
      <c r="B49" s="258">
        <v>42460</v>
      </c>
      <c r="C49" s="261" t="s">
        <v>115</v>
      </c>
      <c r="D49" s="261">
        <f t="shared" si="103"/>
        <v>42460</v>
      </c>
      <c r="E49" s="760" t="s">
        <v>119</v>
      </c>
      <c r="F49" s="761">
        <f ca="1">CU52</f>
        <v>0</v>
      </c>
      <c r="G49" s="762" t="s">
        <v>103</v>
      </c>
      <c r="H49" s="762" t="s">
        <v>109</v>
      </c>
      <c r="I49" s="60">
        <f t="shared" ca="1" si="98"/>
        <v>39</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99"/>
        <v>0</v>
      </c>
      <c r="AU49" s="260">
        <f t="shared" si="100"/>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101"/>
        <v>0</v>
      </c>
      <c r="BW49" s="260">
        <f t="shared" si="10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5" customHeight="1">
      <c r="A50" s="60">
        <f t="array" aca="1" ref="A50" ca="1">IF(C50&lt;&gt;0,SUM(($C$11:C50&lt;&gt;0)*1),"")</f>
        <v>40</v>
      </c>
      <c r="B50" s="258">
        <v>42460</v>
      </c>
      <c r="C50" s="261" t="s">
        <v>115</v>
      </c>
      <c r="D50" s="261">
        <f t="shared" si="103"/>
        <v>42460</v>
      </c>
      <c r="E50" s="760" t="s">
        <v>120</v>
      </c>
      <c r="F50" s="761">
        <f ca="1">CV52</f>
        <v>0</v>
      </c>
      <c r="G50" s="762" t="s">
        <v>109</v>
      </c>
      <c r="H50" s="762" t="s">
        <v>105</v>
      </c>
      <c r="I50" s="60">
        <f t="shared" ca="1" si="98"/>
        <v>40</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99"/>
        <v>0</v>
      </c>
      <c r="AU50" s="260">
        <f t="shared" si="100"/>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101"/>
        <v>0</v>
      </c>
      <c r="BW50" s="260">
        <f t="shared" si="10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5" customHeight="1">
      <c r="A51" s="60" t="str">
        <f t="array" ref="A51">IF(C51&lt;&gt;0,SUM(($C$11:C51&lt;&gt;0)*1),"")</f>
        <v/>
      </c>
      <c r="B51" s="226"/>
      <c r="C51" s="262"/>
      <c r="D51" s="226"/>
      <c r="E51" s="259"/>
      <c r="F51" s="62"/>
      <c r="G51" s="263"/>
      <c r="H51" s="263"/>
      <c r="I51" s="60" t="str">
        <f>A51</f>
        <v/>
      </c>
      <c r="J51" s="260">
        <f t="shared" si="61"/>
        <v>0</v>
      </c>
      <c r="K51" s="260">
        <f t="shared" si="62"/>
        <v>0</v>
      </c>
      <c r="L51" s="260">
        <f t="shared" si="1"/>
        <v>0</v>
      </c>
      <c r="M51" s="260">
        <f t="shared" si="2"/>
        <v>0</v>
      </c>
      <c r="N51" s="260">
        <f t="shared" si="3"/>
        <v>0</v>
      </c>
      <c r="O51" s="260">
        <f t="shared" si="4"/>
        <v>0</v>
      </c>
      <c r="P51" s="260">
        <f t="shared" si="5"/>
        <v>0</v>
      </c>
      <c r="Q51" s="260">
        <f t="shared" si="6"/>
        <v>0</v>
      </c>
      <c r="R51" s="260">
        <f t="shared" si="7"/>
        <v>0</v>
      </c>
      <c r="S51" s="260">
        <f t="shared" si="8"/>
        <v>0</v>
      </c>
      <c r="T51" s="260">
        <f t="shared" si="9"/>
        <v>0</v>
      </c>
      <c r="U51" s="260">
        <f t="shared" si="10"/>
        <v>0</v>
      </c>
      <c r="V51" s="260">
        <f t="shared" si="11"/>
        <v>0</v>
      </c>
      <c r="W51" s="260">
        <f t="shared" si="12"/>
        <v>0</v>
      </c>
      <c r="X51" s="260">
        <f t="shared" si="13"/>
        <v>0</v>
      </c>
      <c r="Y51" s="260">
        <f t="shared" si="14"/>
        <v>0</v>
      </c>
      <c r="Z51" s="260">
        <f t="shared" si="15"/>
        <v>0</v>
      </c>
      <c r="AA51" s="260">
        <f t="shared" si="16"/>
        <v>0</v>
      </c>
      <c r="AB51" s="260">
        <f t="shared" si="63"/>
        <v>0</v>
      </c>
      <c r="AC51" s="260">
        <f t="shared" si="64"/>
        <v>0</v>
      </c>
      <c r="AD51" s="260">
        <f t="shared" si="17"/>
        <v>0</v>
      </c>
      <c r="AE51" s="260">
        <f t="shared" si="18"/>
        <v>0</v>
      </c>
      <c r="AF51" s="260">
        <f t="shared" si="19"/>
        <v>0</v>
      </c>
      <c r="AG51" s="260">
        <f t="shared" si="20"/>
        <v>0</v>
      </c>
      <c r="AH51" s="260">
        <f t="shared" si="65"/>
        <v>0</v>
      </c>
      <c r="AI51" s="260">
        <f t="shared" si="66"/>
        <v>0</v>
      </c>
      <c r="AJ51" s="260">
        <f t="shared" si="67"/>
        <v>0</v>
      </c>
      <c r="AK51" s="260">
        <f t="shared" si="68"/>
        <v>0</v>
      </c>
      <c r="AL51" s="260">
        <f t="shared" si="69"/>
        <v>0</v>
      </c>
      <c r="AM51" s="260">
        <f t="shared" si="70"/>
        <v>0</v>
      </c>
      <c r="AN51" s="260">
        <f t="shared" si="71"/>
        <v>0</v>
      </c>
      <c r="AO51" s="260">
        <f t="shared" si="72"/>
        <v>0</v>
      </c>
      <c r="AP51" s="260">
        <f t="shared" si="21"/>
        <v>0</v>
      </c>
      <c r="AQ51" s="260">
        <f t="shared" si="22"/>
        <v>0</v>
      </c>
      <c r="AR51" s="260">
        <f t="shared" si="23"/>
        <v>0</v>
      </c>
      <c r="AS51" s="260">
        <f t="shared" si="24"/>
        <v>0</v>
      </c>
      <c r="AT51" s="260">
        <f t="shared" si="99"/>
        <v>0</v>
      </c>
      <c r="AU51" s="260">
        <f t="shared" si="100"/>
        <v>0</v>
      </c>
      <c r="AV51" s="260">
        <f t="shared" si="25"/>
        <v>0</v>
      </c>
      <c r="AW51" s="260">
        <f t="shared" si="26"/>
        <v>0</v>
      </c>
      <c r="AX51" s="260">
        <f t="shared" si="27"/>
        <v>0</v>
      </c>
      <c r="AY51" s="260">
        <f t="shared" si="28"/>
        <v>0</v>
      </c>
      <c r="AZ51" s="260">
        <f t="shared" si="29"/>
        <v>0</v>
      </c>
      <c r="BA51" s="260">
        <f t="shared" si="30"/>
        <v>0</v>
      </c>
      <c r="BB51" s="260">
        <f t="shared" si="31"/>
        <v>0</v>
      </c>
      <c r="BC51" s="260">
        <f t="shared" si="32"/>
        <v>0</v>
      </c>
      <c r="BD51" s="260">
        <f t="shared" si="33"/>
        <v>0</v>
      </c>
      <c r="BE51" s="260">
        <f t="shared" si="34"/>
        <v>0</v>
      </c>
      <c r="BF51" s="260">
        <f t="shared" si="35"/>
        <v>0</v>
      </c>
      <c r="BG51" s="260">
        <f t="shared" si="36"/>
        <v>0</v>
      </c>
      <c r="BH51" s="260">
        <f t="shared" si="75"/>
        <v>0</v>
      </c>
      <c r="BI51" s="260">
        <f t="shared" si="76"/>
        <v>0</v>
      </c>
      <c r="BJ51" s="260">
        <f t="shared" si="37"/>
        <v>0</v>
      </c>
      <c r="BK51" s="260">
        <f t="shared" si="38"/>
        <v>0</v>
      </c>
      <c r="BL51" s="260">
        <f t="shared" si="39"/>
        <v>0</v>
      </c>
      <c r="BM51" s="260">
        <f t="shared" si="40"/>
        <v>0</v>
      </c>
      <c r="BN51" s="260">
        <f t="shared" si="41"/>
        <v>0</v>
      </c>
      <c r="BO51" s="260">
        <f t="shared" si="42"/>
        <v>0</v>
      </c>
      <c r="BP51" s="260">
        <f t="shared" si="77"/>
        <v>0</v>
      </c>
      <c r="BQ51" s="260">
        <f t="shared" si="78"/>
        <v>0</v>
      </c>
      <c r="BR51" s="260">
        <f t="shared" si="43"/>
        <v>0</v>
      </c>
      <c r="BS51" s="260">
        <f t="shared" si="44"/>
        <v>0</v>
      </c>
      <c r="BT51" s="260">
        <f t="shared" si="79"/>
        <v>0</v>
      </c>
      <c r="BU51" s="260">
        <f t="shared" si="80"/>
        <v>0</v>
      </c>
      <c r="BV51" s="260">
        <f t="shared" si="101"/>
        <v>0</v>
      </c>
      <c r="BW51" s="260">
        <f t="shared" si="102"/>
        <v>0</v>
      </c>
      <c r="BX51" s="260">
        <f t="shared" si="45"/>
        <v>0</v>
      </c>
      <c r="BY51" s="260">
        <f t="shared" si="46"/>
        <v>0</v>
      </c>
      <c r="BZ51" s="260">
        <f t="shared" si="47"/>
        <v>0</v>
      </c>
      <c r="CA51" s="260">
        <f t="shared" si="48"/>
        <v>0</v>
      </c>
      <c r="CB51" s="260">
        <f t="shared" si="49"/>
        <v>0</v>
      </c>
      <c r="CC51" s="260">
        <f t="shared" si="50"/>
        <v>0</v>
      </c>
      <c r="CD51" s="260">
        <f t="shared" si="83"/>
        <v>0</v>
      </c>
      <c r="CE51" s="260">
        <f t="shared" si="84"/>
        <v>0</v>
      </c>
      <c r="CF51" s="260">
        <f t="shared" si="85"/>
        <v>0</v>
      </c>
      <c r="CG51" s="260">
        <f t="shared" si="86"/>
        <v>0</v>
      </c>
      <c r="CH51" s="260">
        <f t="shared" si="51"/>
        <v>0</v>
      </c>
      <c r="CI51" s="260">
        <f t="shared" si="52"/>
        <v>0</v>
      </c>
      <c r="CJ51" s="260">
        <f t="shared" si="87"/>
        <v>0</v>
      </c>
      <c r="CK51" s="260">
        <f t="shared" si="88"/>
        <v>0</v>
      </c>
      <c r="CL51" s="260">
        <f t="shared" si="53"/>
        <v>0</v>
      </c>
      <c r="CM51" s="260">
        <f t="shared" si="54"/>
        <v>0</v>
      </c>
      <c r="CN51" s="260">
        <f t="shared" si="55"/>
        <v>0</v>
      </c>
      <c r="CO51" s="260">
        <f t="shared" si="56"/>
        <v>0</v>
      </c>
      <c r="CP51" s="260">
        <f t="shared" si="89"/>
        <v>0</v>
      </c>
      <c r="CQ51" s="260">
        <f t="shared" si="90"/>
        <v>0</v>
      </c>
      <c r="CR51" s="260">
        <f t="shared" si="91"/>
        <v>0</v>
      </c>
      <c r="CS51" s="260">
        <f t="shared" si="92"/>
        <v>0</v>
      </c>
      <c r="CT51" s="260">
        <f t="shared" si="57"/>
        <v>0</v>
      </c>
      <c r="CU51" s="260">
        <f t="shared" si="58"/>
        <v>0</v>
      </c>
      <c r="CV51" s="260">
        <f t="shared" si="59"/>
        <v>0</v>
      </c>
      <c r="CW51" s="260">
        <f t="shared" si="60"/>
        <v>0</v>
      </c>
      <c r="CX51" s="260">
        <f t="shared" si="93"/>
        <v>0</v>
      </c>
      <c r="CY51" s="260">
        <f t="shared" si="94"/>
        <v>0</v>
      </c>
      <c r="CZ51" s="260">
        <f t="shared" si="95"/>
        <v>0</v>
      </c>
      <c r="DA51" s="260">
        <f t="shared" si="96"/>
        <v>0</v>
      </c>
    </row>
    <row r="52" spans="1:105" s="257" customFormat="1" ht="15" customHeight="1">
      <c r="A52" s="60" t="str">
        <f t="array" ref="A52">IF(C52&lt;&gt;0,SUM(($C$11:C52&lt;&gt;0)*1),"")</f>
        <v/>
      </c>
      <c r="B52" s="264"/>
      <c r="C52" s="264"/>
      <c r="D52" s="264"/>
      <c r="E52" s="259" t="s">
        <v>174</v>
      </c>
      <c r="F52" s="264"/>
      <c r="G52" s="263"/>
      <c r="H52" s="263"/>
      <c r="I52" s="264"/>
      <c r="J52" s="260">
        <f t="shared" ref="J52:AO52" ca="1" si="104">SUM(J11:J51)</f>
        <v>0</v>
      </c>
      <c r="K52" s="260">
        <f t="shared" ca="1" si="104"/>
        <v>0</v>
      </c>
      <c r="L52" s="260">
        <f t="shared" ca="1" si="104"/>
        <v>0</v>
      </c>
      <c r="M52" s="260">
        <f t="shared" ca="1" si="104"/>
        <v>0</v>
      </c>
      <c r="N52" s="260">
        <f t="shared" ca="1" si="104"/>
        <v>0</v>
      </c>
      <c r="O52" s="260">
        <f t="shared" ca="1" si="104"/>
        <v>0</v>
      </c>
      <c r="P52" s="260">
        <f t="shared" ca="1" si="104"/>
        <v>0</v>
      </c>
      <c r="Q52" s="260">
        <f t="shared" ca="1" si="104"/>
        <v>0</v>
      </c>
      <c r="R52" s="260">
        <f t="shared" ca="1" si="104"/>
        <v>0</v>
      </c>
      <c r="S52" s="260">
        <f t="shared" ca="1" si="104"/>
        <v>0</v>
      </c>
      <c r="T52" s="260">
        <f t="shared" ca="1" si="104"/>
        <v>0</v>
      </c>
      <c r="U52" s="260">
        <f t="shared" ca="1" si="104"/>
        <v>0</v>
      </c>
      <c r="V52" s="260">
        <f t="shared" ca="1" si="104"/>
        <v>0</v>
      </c>
      <c r="W52" s="260">
        <f t="shared" ca="1" si="104"/>
        <v>0</v>
      </c>
      <c r="X52" s="260">
        <f t="shared" ca="1" si="104"/>
        <v>0</v>
      </c>
      <c r="Y52" s="260">
        <f t="shared" ca="1" si="104"/>
        <v>0</v>
      </c>
      <c r="Z52" s="260">
        <f t="shared" ca="1" si="104"/>
        <v>0</v>
      </c>
      <c r="AA52" s="260">
        <f t="shared" ca="1" si="104"/>
        <v>0</v>
      </c>
      <c r="AB52" s="260">
        <f t="shared" ca="1" si="104"/>
        <v>0</v>
      </c>
      <c r="AC52" s="260">
        <f t="shared" ca="1" si="104"/>
        <v>0</v>
      </c>
      <c r="AD52" s="260">
        <f t="shared" ca="1" si="104"/>
        <v>0</v>
      </c>
      <c r="AE52" s="260">
        <f t="shared" ca="1" si="104"/>
        <v>0</v>
      </c>
      <c r="AF52" s="260">
        <f t="shared" ca="1" si="104"/>
        <v>0</v>
      </c>
      <c r="AG52" s="260">
        <f t="shared" ca="1" si="104"/>
        <v>0</v>
      </c>
      <c r="AH52" s="260">
        <f t="shared" ca="1" si="104"/>
        <v>0</v>
      </c>
      <c r="AI52" s="260">
        <f t="shared" ca="1" si="104"/>
        <v>0</v>
      </c>
      <c r="AJ52" s="260">
        <f t="shared" ca="1" si="104"/>
        <v>0</v>
      </c>
      <c r="AK52" s="260">
        <f t="shared" ca="1" si="104"/>
        <v>0</v>
      </c>
      <c r="AL52" s="260">
        <f t="shared" ca="1" si="104"/>
        <v>0</v>
      </c>
      <c r="AM52" s="260">
        <f t="shared" ca="1" si="104"/>
        <v>0</v>
      </c>
      <c r="AN52" s="260">
        <f t="shared" ca="1" si="104"/>
        <v>0</v>
      </c>
      <c r="AO52" s="260">
        <f t="shared" ca="1" si="104"/>
        <v>0</v>
      </c>
      <c r="AP52" s="260">
        <f t="shared" ref="AP52:BU52" ca="1" si="105">SUM(AP11:AP51)</f>
        <v>0</v>
      </c>
      <c r="AQ52" s="260">
        <f t="shared" ca="1" si="105"/>
        <v>0</v>
      </c>
      <c r="AR52" s="260">
        <f t="shared" ca="1" si="105"/>
        <v>0</v>
      </c>
      <c r="AS52" s="260">
        <f t="shared" ca="1" si="105"/>
        <v>0</v>
      </c>
      <c r="AT52" s="260">
        <f t="shared" ca="1" si="105"/>
        <v>0</v>
      </c>
      <c r="AU52" s="260">
        <f t="shared" ca="1" si="105"/>
        <v>0</v>
      </c>
      <c r="AV52" s="260">
        <f t="shared" ca="1" si="105"/>
        <v>0</v>
      </c>
      <c r="AW52" s="260">
        <f t="shared" ca="1" si="105"/>
        <v>0</v>
      </c>
      <c r="AX52" s="260">
        <f t="shared" ca="1" si="105"/>
        <v>0</v>
      </c>
      <c r="AY52" s="260">
        <f t="shared" ca="1" si="105"/>
        <v>0</v>
      </c>
      <c r="AZ52" s="260">
        <f t="shared" ca="1" si="105"/>
        <v>0</v>
      </c>
      <c r="BA52" s="260">
        <f t="shared" ca="1" si="105"/>
        <v>0</v>
      </c>
      <c r="BB52" s="260">
        <f t="shared" ca="1" si="105"/>
        <v>0</v>
      </c>
      <c r="BC52" s="260">
        <f t="shared" ca="1" si="105"/>
        <v>0</v>
      </c>
      <c r="BD52" s="260">
        <f t="shared" ca="1" si="105"/>
        <v>0</v>
      </c>
      <c r="BE52" s="260">
        <f t="shared" ca="1" si="105"/>
        <v>0</v>
      </c>
      <c r="BF52" s="260">
        <f t="shared" ca="1" si="105"/>
        <v>0</v>
      </c>
      <c r="BG52" s="260">
        <f t="shared" ca="1" si="105"/>
        <v>0</v>
      </c>
      <c r="BH52" s="260">
        <f t="shared" ca="1" si="105"/>
        <v>0</v>
      </c>
      <c r="BI52" s="260">
        <f t="shared" ca="1" si="105"/>
        <v>0</v>
      </c>
      <c r="BJ52" s="260">
        <f t="shared" ca="1" si="105"/>
        <v>0</v>
      </c>
      <c r="BK52" s="260">
        <f t="shared" ca="1" si="105"/>
        <v>0</v>
      </c>
      <c r="BL52" s="260">
        <f t="shared" ca="1" si="105"/>
        <v>0</v>
      </c>
      <c r="BM52" s="260">
        <f t="shared" ca="1" si="105"/>
        <v>0</v>
      </c>
      <c r="BN52" s="260">
        <f t="shared" ca="1" si="105"/>
        <v>0</v>
      </c>
      <c r="BO52" s="260">
        <f t="shared" ca="1" si="105"/>
        <v>0</v>
      </c>
      <c r="BP52" s="260">
        <f t="shared" ca="1" si="105"/>
        <v>0</v>
      </c>
      <c r="BQ52" s="260">
        <f t="shared" ca="1" si="105"/>
        <v>0</v>
      </c>
      <c r="BR52" s="260">
        <f t="shared" ca="1" si="105"/>
        <v>0</v>
      </c>
      <c r="BS52" s="260">
        <f t="shared" ca="1" si="105"/>
        <v>0</v>
      </c>
      <c r="BT52" s="260">
        <f t="shared" ca="1" si="105"/>
        <v>0</v>
      </c>
      <c r="BU52" s="260">
        <f t="shared" ca="1" si="105"/>
        <v>0</v>
      </c>
      <c r="BV52" s="260">
        <f t="shared" ref="BV52:DA52" ca="1" si="106">SUM(BV11:BV51)</f>
        <v>0</v>
      </c>
      <c r="BW52" s="260">
        <f t="shared" ca="1" si="106"/>
        <v>0</v>
      </c>
      <c r="BX52" s="260">
        <f t="shared" ca="1" si="106"/>
        <v>0</v>
      </c>
      <c r="BY52" s="260">
        <f t="shared" ca="1" si="106"/>
        <v>0</v>
      </c>
      <c r="BZ52" s="260">
        <f t="shared" ca="1" si="106"/>
        <v>0</v>
      </c>
      <c r="CA52" s="260">
        <f t="shared" ca="1" si="106"/>
        <v>107861885.00000048</v>
      </c>
      <c r="CB52" s="260">
        <f t="shared" ca="1" si="106"/>
        <v>107861885.00000048</v>
      </c>
      <c r="CC52" s="260">
        <f t="shared" ca="1" si="106"/>
        <v>0</v>
      </c>
      <c r="CD52" s="260">
        <f t="shared" ca="1" si="106"/>
        <v>0</v>
      </c>
      <c r="CE52" s="260">
        <f t="shared" ca="1" si="106"/>
        <v>0</v>
      </c>
      <c r="CF52" s="260">
        <f t="shared" ca="1" si="106"/>
        <v>0</v>
      </c>
      <c r="CG52" s="260">
        <f t="shared" ca="1" si="106"/>
        <v>0</v>
      </c>
      <c r="CH52" s="260">
        <f t="shared" ca="1" si="106"/>
        <v>0</v>
      </c>
      <c r="CI52" s="260">
        <f t="shared" ca="1" si="106"/>
        <v>0</v>
      </c>
      <c r="CJ52" s="260">
        <f t="shared" ca="1" si="106"/>
        <v>0</v>
      </c>
      <c r="CK52" s="260">
        <f t="shared" ca="1" si="106"/>
        <v>0</v>
      </c>
      <c r="CL52" s="260">
        <f t="shared" ca="1" si="106"/>
        <v>0</v>
      </c>
      <c r="CM52" s="260">
        <f t="shared" ca="1" si="106"/>
        <v>0</v>
      </c>
      <c r="CN52" s="260">
        <f t="shared" ca="1" si="106"/>
        <v>0</v>
      </c>
      <c r="CO52" s="260">
        <f t="shared" ca="1" si="106"/>
        <v>0</v>
      </c>
      <c r="CP52" s="260">
        <f t="shared" ca="1" si="106"/>
        <v>0</v>
      </c>
      <c r="CQ52" s="260">
        <f t="shared" ca="1" si="106"/>
        <v>0</v>
      </c>
      <c r="CR52" s="260">
        <f t="shared" ca="1" si="106"/>
        <v>0</v>
      </c>
      <c r="CS52" s="260">
        <f t="shared" ca="1" si="106"/>
        <v>0</v>
      </c>
      <c r="CT52" s="260">
        <f t="shared" ca="1" si="106"/>
        <v>0</v>
      </c>
      <c r="CU52" s="260">
        <f t="shared" ca="1" si="106"/>
        <v>0</v>
      </c>
      <c r="CV52" s="260">
        <f t="shared" ca="1" si="106"/>
        <v>0</v>
      </c>
      <c r="CW52" s="260">
        <f t="shared" ca="1" si="106"/>
        <v>0</v>
      </c>
      <c r="CX52" s="260">
        <f t="shared" ca="1" si="106"/>
        <v>0</v>
      </c>
      <c r="CY52" s="260">
        <f t="shared" ca="1" si="106"/>
        <v>0</v>
      </c>
      <c r="CZ52" s="260">
        <f t="shared" ca="1" si="106"/>
        <v>0</v>
      </c>
      <c r="DA52" s="260">
        <f t="shared" ca="1" si="106"/>
        <v>0</v>
      </c>
    </row>
    <row r="53" spans="1:105" s="257" customFormat="1" ht="15" customHeight="1">
      <c r="A53" s="265"/>
      <c r="B53" s="265"/>
      <c r="C53" s="265"/>
      <c r="D53" s="265"/>
      <c r="E53" s="266" t="s">
        <v>213</v>
      </c>
      <c r="F53" s="265"/>
      <c r="G53" s="267"/>
      <c r="H53" s="267"/>
      <c r="I53" s="265"/>
      <c r="J53" s="268">
        <f ca="1">MAX(J10+J52-K10-K52,0)</f>
        <v>0</v>
      </c>
      <c r="K53" s="268">
        <f ca="1">MAX(K10+K52-J10-J52,0)</f>
        <v>0</v>
      </c>
      <c r="L53" s="268">
        <f ca="1">MAX(L10+L52-M10-M52,0)</f>
        <v>0</v>
      </c>
      <c r="M53" s="268">
        <f ca="1">MAX(M10+M52-L10-L52,0)</f>
        <v>0</v>
      </c>
      <c r="N53" s="268">
        <f ca="1">MAX(N10+N52-O10-O52,0)</f>
        <v>0</v>
      </c>
      <c r="O53" s="268">
        <f ca="1">MAX(O10+O52-N10-N52,0)</f>
        <v>0</v>
      </c>
      <c r="P53" s="268">
        <f ca="1">MAX(P10+P52-Q10-Q52,0)</f>
        <v>0</v>
      </c>
      <c r="Q53" s="268">
        <f ca="1">MAX(Q10+Q52-P10-P52,0)</f>
        <v>0</v>
      </c>
      <c r="R53" s="268">
        <f ca="1">MAX(R10+R52-S10-S52,0)</f>
        <v>0</v>
      </c>
      <c r="S53" s="268">
        <f ca="1">MAX(S10+S52-R10-R52,0)</f>
        <v>0</v>
      </c>
      <c r="T53" s="268">
        <f ca="1">MAX(T10+T52-U10-U52,0)</f>
        <v>0</v>
      </c>
      <c r="U53" s="268">
        <f ca="1">MAX(U10+U52-T10-T52,0)</f>
        <v>0</v>
      </c>
      <c r="V53" s="268">
        <f ca="1">MAX(V10+V52-W10-W52,0)</f>
        <v>0</v>
      </c>
      <c r="W53" s="268">
        <f ca="1">MAX(W10+W52-V10-V52,0)</f>
        <v>0</v>
      </c>
      <c r="X53" s="268">
        <f ca="1">MAX(X10+X52-Y10-Y52,0)</f>
        <v>0</v>
      </c>
      <c r="Y53" s="268">
        <f ca="1">MAX(Y10+Y52-X10-X52,0)</f>
        <v>0</v>
      </c>
      <c r="Z53" s="268">
        <f ca="1">MAX(Z10+Z52-AA10-AA52,0)</f>
        <v>0</v>
      </c>
      <c r="AA53" s="268">
        <f ca="1">MAX(AA10+AA52-Z10-Z52,0)</f>
        <v>0</v>
      </c>
      <c r="AB53" s="268">
        <f ca="1">MAX(AB10+AB52-AC10-AC52,0)</f>
        <v>0</v>
      </c>
      <c r="AC53" s="268">
        <f ca="1">MAX(AC10+AC52-AB10-AB52,0)</f>
        <v>0</v>
      </c>
      <c r="AD53" s="268">
        <f ca="1">MAX(AD10+AD52-AE10-AE52,0)</f>
        <v>0</v>
      </c>
      <c r="AE53" s="268">
        <f ca="1">MAX(AE10+AE52-AD10-AD52,0)</f>
        <v>0</v>
      </c>
      <c r="AF53" s="268">
        <f ca="1">MAX(AF10+AF52-AG10-AG52,0)</f>
        <v>0</v>
      </c>
      <c r="AG53" s="268">
        <f ca="1">MAX(AG10+AG52-AF10-AF52,0)</f>
        <v>0</v>
      </c>
      <c r="AH53" s="268">
        <f ca="1">MAX(AH10+AH52-AI10-AI52,0)</f>
        <v>0</v>
      </c>
      <c r="AI53" s="268">
        <f ca="1">MAX(AI10+AI52-AH10-AH52,0)</f>
        <v>0</v>
      </c>
      <c r="AJ53" s="268">
        <f ca="1">MAX(AJ10+AJ52-AK10-AK52,0)</f>
        <v>0</v>
      </c>
      <c r="AK53" s="268">
        <f ca="1">MAX(AK10+AK52-AJ10-AJ52,0)</f>
        <v>0</v>
      </c>
      <c r="AL53" s="268">
        <f ca="1">MAX(AL10+AL52-AM10-AM52,0)</f>
        <v>0</v>
      </c>
      <c r="AM53" s="268">
        <f ca="1">MAX(AM10+AM52-AL10-AL52,0)</f>
        <v>0</v>
      </c>
      <c r="AN53" s="268">
        <f ca="1">MAX(AN10+AN52-AO10-AO52,0)</f>
        <v>0</v>
      </c>
      <c r="AO53" s="268">
        <f ca="1">MAX(AO10+AO52-AN10-AN52,0)</f>
        <v>0</v>
      </c>
      <c r="AP53" s="268">
        <f ca="1">MAX(AP10+AP52-AQ10-AQ52,0)</f>
        <v>0</v>
      </c>
      <c r="AQ53" s="268">
        <f ca="1">MAX(AQ10+AQ52-AP10-AP52,0)</f>
        <v>0</v>
      </c>
      <c r="AR53" s="268">
        <f ca="1">MAX(AR10+AR52-AS10-AS52,0)</f>
        <v>0</v>
      </c>
      <c r="AS53" s="268">
        <f ca="1">MAX(AS10+AS52-AR10-AR52,0)</f>
        <v>0</v>
      </c>
      <c r="AT53" s="268">
        <f ca="1">MAX(AT10+AT52-AU10-AU52,0)</f>
        <v>0</v>
      </c>
      <c r="AU53" s="268">
        <f ca="1">MAX(AU10+AU52-AT10-AT52,0)</f>
        <v>0</v>
      </c>
      <c r="AV53" s="268">
        <f ca="1">MAX(AV10+AV52-AW10-AW52,0)</f>
        <v>0</v>
      </c>
      <c r="AW53" s="268">
        <f ca="1">MAX(AW10+AW52-AV10-AV52,0)</f>
        <v>0</v>
      </c>
      <c r="AX53" s="268">
        <f ca="1">MAX(AX10+AX52-AY10-AY52,0)</f>
        <v>0</v>
      </c>
      <c r="AY53" s="268">
        <f ca="1">MAX(AY10+AY52-AX10-AX52,0)</f>
        <v>0</v>
      </c>
      <c r="AZ53" s="268">
        <f ca="1">MAX(AZ10+AZ52-BA10-BA52,0)</f>
        <v>0</v>
      </c>
      <c r="BA53" s="268">
        <f ca="1">MAX(BA10+BA52-AZ10-AZ52,0)</f>
        <v>0</v>
      </c>
      <c r="BB53" s="268">
        <f ca="1">MAX(BB10+BB52-BC10-BC52,0)</f>
        <v>0</v>
      </c>
      <c r="BC53" s="268">
        <f ca="1">MAX(BC10+BC52-BB10-BB52,0)</f>
        <v>0</v>
      </c>
      <c r="BD53" s="268">
        <f ca="1">MAX(BD10+BD52-BE10-BE52,0)</f>
        <v>0</v>
      </c>
      <c r="BE53" s="268">
        <f ca="1">MAX(BE10+BE52-BD10-BD52,0)</f>
        <v>0</v>
      </c>
      <c r="BF53" s="268">
        <f ca="1">MAX(BF10+BF52-BG10-BG52,0)</f>
        <v>0</v>
      </c>
      <c r="BG53" s="268">
        <f ca="1">MAX(BG10+BG52-BF10-BF52,0)</f>
        <v>0</v>
      </c>
      <c r="BH53" s="268">
        <f ca="1">MAX(BH10+BH52-BI10-BI52,0)</f>
        <v>0</v>
      </c>
      <c r="BI53" s="268">
        <f ca="1">MAX(BI10+BI52-BH10-BH52,0)</f>
        <v>0</v>
      </c>
      <c r="BJ53" s="268">
        <f ca="1">MAX(BJ10+BJ52-BK10-BK52,0)</f>
        <v>0</v>
      </c>
      <c r="BK53" s="268">
        <f ca="1">MAX(BK10+BK52-BJ10-BJ52,0)</f>
        <v>0</v>
      </c>
      <c r="BL53" s="268">
        <f ca="1">MAX(BL10+BL52-BM10-BM52,0)</f>
        <v>0</v>
      </c>
      <c r="BM53" s="268">
        <f ca="1">MAX(BM10+BM52-BL10-BL52,0)</f>
        <v>0</v>
      </c>
      <c r="BN53" s="268">
        <f ca="1">MAX(BN10+BN52-BO10-BO52,0)</f>
        <v>0</v>
      </c>
      <c r="BO53" s="268">
        <f ca="1">MAX(BO10+BO52-BN10-BN52,0)</f>
        <v>0</v>
      </c>
      <c r="BP53" s="268">
        <f ca="1">MAX(BP10+BP52-BQ10-BQ52,0)</f>
        <v>0</v>
      </c>
      <c r="BQ53" s="268">
        <f ca="1">MAX(BQ10+BQ52-BP10-BP52,0)</f>
        <v>0</v>
      </c>
      <c r="BR53" s="268">
        <f ca="1">MAX(BR10+BR52-BS10-BS52,0)</f>
        <v>0</v>
      </c>
      <c r="BS53" s="268">
        <f ca="1">MAX(BS10+BS52-BR10-BR52,0)</f>
        <v>0</v>
      </c>
      <c r="BT53" s="268">
        <f ca="1">MAX(BT10+BT52-BU10-BU52,0)</f>
        <v>0</v>
      </c>
      <c r="BU53" s="268">
        <f ca="1">MAX(BU10+BU52-BT10-BT52,0)</f>
        <v>0</v>
      </c>
      <c r="BV53" s="268">
        <f ca="1">MAX(BV10+BV52-BW10-BW52,0)</f>
        <v>0</v>
      </c>
      <c r="BW53" s="268">
        <f ca="1">MAX(BW10+BW52-BV10-BV52,0)</f>
        <v>0</v>
      </c>
      <c r="BX53" s="268">
        <f ca="1">MAX(BX10+BX52-BY10-BY52,0)</f>
        <v>0</v>
      </c>
      <c r="BY53" s="268">
        <f ca="1">MAX(BY10+BY52-BX10-BX52,0)</f>
        <v>0</v>
      </c>
      <c r="BZ53" s="268">
        <f ca="1">MAX(BZ10+BZ52-CA10-CA52,0)</f>
        <v>0</v>
      </c>
      <c r="CA53" s="268">
        <f ca="1">MAX(CA10+CA52-BZ10-BZ52,0)</f>
        <v>107861885.00000048</v>
      </c>
      <c r="CB53" s="268">
        <f ca="1">MAX(CB10+CB52-CC10-CC52,0)</f>
        <v>107861885.00000048</v>
      </c>
      <c r="CC53" s="268">
        <f ca="1">MAX(CC10+CC52-CB10-CB52,0)</f>
        <v>0</v>
      </c>
      <c r="CD53" s="268">
        <f ca="1">MAX(CD10+CD52-CE10-CE52,0)</f>
        <v>0</v>
      </c>
      <c r="CE53" s="268">
        <f ca="1">MAX(CE10+CE52-CD10-CD52,0)</f>
        <v>0</v>
      </c>
      <c r="CF53" s="268">
        <f ca="1">MAX(CF10+CF52-CG10-CG52,0)</f>
        <v>0</v>
      </c>
      <c r="CG53" s="268">
        <f ca="1">MAX(CG10+CG52-CF10-CF52,0)</f>
        <v>0</v>
      </c>
      <c r="CH53" s="268">
        <f ca="1">MAX(CH10+CH52-CI10-CI52,0)</f>
        <v>0</v>
      </c>
      <c r="CI53" s="268">
        <f ca="1">MAX(CI10+CI52-CH10-CH52,0)</f>
        <v>0</v>
      </c>
      <c r="CJ53" s="268">
        <f ca="1">MAX(CJ10+CJ52-CK10-CK52,0)</f>
        <v>0</v>
      </c>
      <c r="CK53" s="268">
        <f ca="1">MAX(CK10+CK52-CJ10-CJ52,0)</f>
        <v>0</v>
      </c>
      <c r="CL53" s="268">
        <f ca="1">MAX(CL10+CL52-CM10-CM52,0)</f>
        <v>0</v>
      </c>
      <c r="CM53" s="268">
        <f ca="1">MAX(CM10+CM52-CL10-CL52,0)</f>
        <v>0</v>
      </c>
      <c r="CN53" s="268">
        <f ca="1">MAX(CN10+CN52-CO10-CO52,0)</f>
        <v>0</v>
      </c>
      <c r="CO53" s="268">
        <f ca="1">MAX(CO10+CO52-CN10-CN52,0)</f>
        <v>0</v>
      </c>
      <c r="CP53" s="268">
        <f ca="1">MAX(CP10+CP52-CQ10-CQ52,0)</f>
        <v>0</v>
      </c>
      <c r="CQ53" s="268">
        <f ca="1">MAX(CQ10+CQ52-CP10-CP52,0)</f>
        <v>0</v>
      </c>
      <c r="CR53" s="268">
        <f ca="1">MAX(CR10+CR52-CS10-CS52,0)</f>
        <v>0</v>
      </c>
      <c r="CS53" s="268">
        <f ca="1">MAX(CS10+CS52-CR10-CR52,0)</f>
        <v>0</v>
      </c>
      <c r="CT53" s="268">
        <f ca="1">MAX(CT10+CT52-CU10-CU52,0)</f>
        <v>0</v>
      </c>
      <c r="CU53" s="268">
        <f ca="1">MAX(CU10+CU52-CT10-CT52,0)</f>
        <v>0</v>
      </c>
      <c r="CV53" s="268">
        <f ca="1">MAX(CV10+CV52-CW10-CW52,0)</f>
        <v>0</v>
      </c>
      <c r="CW53" s="268">
        <f ca="1">MAX(CW10+CW52-CV10-CV52,0)</f>
        <v>0</v>
      </c>
      <c r="CX53" s="268">
        <f ca="1">MAX(CX10+CX52-CY10-CY52,0)</f>
        <v>0</v>
      </c>
      <c r="CY53" s="268">
        <f ca="1">MAX(CY10+CY52-CX10-CX52,0)</f>
        <v>0</v>
      </c>
      <c r="CZ53" s="268">
        <f ca="1">MAX(CZ10+CZ52-DA10-DA52,0)</f>
        <v>0</v>
      </c>
      <c r="DA53" s="268">
        <f ca="1">MAX(DA10+DA52-CZ10-CZ52,0)</f>
        <v>0</v>
      </c>
    </row>
    <row r="54" spans="1:105" s="257" customFormat="1" ht="15" customHeight="1">
      <c r="A54" s="269"/>
      <c r="B54" s="269"/>
      <c r="C54" s="270"/>
      <c r="D54" s="269"/>
      <c r="E54" s="271" t="s">
        <v>214</v>
      </c>
      <c r="F54" s="269"/>
      <c r="G54" s="272"/>
      <c r="H54" s="272"/>
      <c r="I54" s="269"/>
      <c r="J54" s="273">
        <f ca="1">J52</f>
        <v>0</v>
      </c>
      <c r="K54" s="273">
        <f ca="1">K52</f>
        <v>0</v>
      </c>
      <c r="L54" s="273">
        <f t="shared" ref="L54:BY54" ca="1" si="107">L52</f>
        <v>0</v>
      </c>
      <c r="M54" s="273">
        <f t="shared" ca="1" si="107"/>
        <v>0</v>
      </c>
      <c r="N54" s="273">
        <f t="shared" ca="1" si="107"/>
        <v>0</v>
      </c>
      <c r="O54" s="273">
        <f t="shared" ca="1" si="107"/>
        <v>0</v>
      </c>
      <c r="P54" s="273">
        <f t="shared" ca="1" si="107"/>
        <v>0</v>
      </c>
      <c r="Q54" s="273">
        <f t="shared" ca="1" si="107"/>
        <v>0</v>
      </c>
      <c r="R54" s="273">
        <f t="shared" ca="1" si="107"/>
        <v>0</v>
      </c>
      <c r="S54" s="273">
        <f t="shared" ca="1" si="107"/>
        <v>0</v>
      </c>
      <c r="T54" s="273">
        <f t="shared" ca="1" si="107"/>
        <v>0</v>
      </c>
      <c r="U54" s="273">
        <f t="shared" ca="1" si="107"/>
        <v>0</v>
      </c>
      <c r="V54" s="273">
        <f t="shared" ca="1" si="107"/>
        <v>0</v>
      </c>
      <c r="W54" s="273">
        <f t="shared" ca="1" si="107"/>
        <v>0</v>
      </c>
      <c r="X54" s="273">
        <f t="shared" ca="1" si="107"/>
        <v>0</v>
      </c>
      <c r="Y54" s="273">
        <f t="shared" ca="1" si="107"/>
        <v>0</v>
      </c>
      <c r="Z54" s="273">
        <f t="shared" ca="1" si="107"/>
        <v>0</v>
      </c>
      <c r="AA54" s="273">
        <f t="shared" ca="1" si="107"/>
        <v>0</v>
      </c>
      <c r="AB54" s="273">
        <f t="shared" ca="1" si="107"/>
        <v>0</v>
      </c>
      <c r="AC54" s="273">
        <f t="shared" ca="1" si="107"/>
        <v>0</v>
      </c>
      <c r="AD54" s="273">
        <f t="shared" ca="1" si="107"/>
        <v>0</v>
      </c>
      <c r="AE54" s="273">
        <f t="shared" ca="1" si="107"/>
        <v>0</v>
      </c>
      <c r="AF54" s="273">
        <f t="shared" ca="1" si="107"/>
        <v>0</v>
      </c>
      <c r="AG54" s="273">
        <f t="shared" ca="1" si="107"/>
        <v>0</v>
      </c>
      <c r="AH54" s="273">
        <f t="shared" ca="1" si="107"/>
        <v>0</v>
      </c>
      <c r="AI54" s="273">
        <f t="shared" ca="1" si="107"/>
        <v>0</v>
      </c>
      <c r="AJ54" s="273">
        <f t="shared" ca="1" si="107"/>
        <v>0</v>
      </c>
      <c r="AK54" s="273">
        <f t="shared" ca="1" si="107"/>
        <v>0</v>
      </c>
      <c r="AL54" s="273">
        <f t="shared" ca="1" si="107"/>
        <v>0</v>
      </c>
      <c r="AM54" s="273">
        <f t="shared" ca="1" si="107"/>
        <v>0</v>
      </c>
      <c r="AN54" s="273">
        <f t="shared" ca="1" si="107"/>
        <v>0</v>
      </c>
      <c r="AO54" s="273">
        <f t="shared" ca="1" si="107"/>
        <v>0</v>
      </c>
      <c r="AP54" s="273">
        <f t="shared" ca="1" si="107"/>
        <v>0</v>
      </c>
      <c r="AQ54" s="273">
        <f t="shared" ca="1" si="107"/>
        <v>0</v>
      </c>
      <c r="AR54" s="273">
        <f t="shared" ca="1" si="107"/>
        <v>0</v>
      </c>
      <c r="AS54" s="273">
        <f t="shared" ca="1" si="107"/>
        <v>0</v>
      </c>
      <c r="AT54" s="273">
        <f ca="1">AT52</f>
        <v>0</v>
      </c>
      <c r="AU54" s="273">
        <f ca="1">AU52</f>
        <v>0</v>
      </c>
      <c r="AV54" s="273">
        <f t="shared" ca="1" si="107"/>
        <v>0</v>
      </c>
      <c r="AW54" s="273">
        <f t="shared" ca="1" si="107"/>
        <v>0</v>
      </c>
      <c r="AX54" s="273">
        <f t="shared" ca="1" si="107"/>
        <v>0</v>
      </c>
      <c r="AY54" s="273">
        <f t="shared" ca="1" si="107"/>
        <v>0</v>
      </c>
      <c r="AZ54" s="273">
        <f t="shared" ca="1" si="107"/>
        <v>0</v>
      </c>
      <c r="BA54" s="273">
        <f t="shared" ca="1" si="107"/>
        <v>0</v>
      </c>
      <c r="BB54" s="273">
        <f t="shared" ca="1" si="107"/>
        <v>0</v>
      </c>
      <c r="BC54" s="273">
        <f t="shared" ca="1" si="107"/>
        <v>0</v>
      </c>
      <c r="BD54" s="273">
        <f t="shared" ca="1" si="107"/>
        <v>0</v>
      </c>
      <c r="BE54" s="273">
        <f t="shared" ca="1" si="107"/>
        <v>0</v>
      </c>
      <c r="BF54" s="273">
        <f t="shared" ca="1" si="107"/>
        <v>0</v>
      </c>
      <c r="BG54" s="273">
        <f t="shared" ca="1" si="107"/>
        <v>0</v>
      </c>
      <c r="BH54" s="273">
        <f t="shared" ca="1" si="107"/>
        <v>0</v>
      </c>
      <c r="BI54" s="273">
        <f t="shared" ca="1" si="107"/>
        <v>0</v>
      </c>
      <c r="BJ54" s="273">
        <f t="shared" ca="1" si="107"/>
        <v>0</v>
      </c>
      <c r="BK54" s="273">
        <f t="shared" ca="1" si="107"/>
        <v>0</v>
      </c>
      <c r="BL54" s="273">
        <f t="shared" ca="1" si="107"/>
        <v>0</v>
      </c>
      <c r="BM54" s="273">
        <f t="shared" ca="1" si="107"/>
        <v>0</v>
      </c>
      <c r="BN54" s="273">
        <f t="shared" ca="1" si="107"/>
        <v>0</v>
      </c>
      <c r="BO54" s="273">
        <f t="shared" ca="1" si="107"/>
        <v>0</v>
      </c>
      <c r="BP54" s="273">
        <f t="shared" ca="1" si="107"/>
        <v>0</v>
      </c>
      <c r="BQ54" s="273">
        <f t="shared" ca="1" si="107"/>
        <v>0</v>
      </c>
      <c r="BR54" s="273">
        <f t="shared" ca="1" si="107"/>
        <v>0</v>
      </c>
      <c r="BS54" s="273">
        <f t="shared" ca="1" si="107"/>
        <v>0</v>
      </c>
      <c r="BT54" s="273">
        <f t="shared" ca="1" si="107"/>
        <v>0</v>
      </c>
      <c r="BU54" s="273">
        <f t="shared" ca="1" si="107"/>
        <v>0</v>
      </c>
      <c r="BV54" s="273">
        <f ca="1">BV52</f>
        <v>0</v>
      </c>
      <c r="BW54" s="273">
        <f ca="1">BW52</f>
        <v>0</v>
      </c>
      <c r="BX54" s="273">
        <f t="shared" ca="1" si="107"/>
        <v>0</v>
      </c>
      <c r="BY54" s="273">
        <f t="shared" ca="1" si="107"/>
        <v>0</v>
      </c>
      <c r="BZ54" s="273">
        <f t="shared" ref="BZ54:DA54" ca="1" si="108">BZ52</f>
        <v>0</v>
      </c>
      <c r="CA54" s="273">
        <f t="shared" ca="1" si="108"/>
        <v>107861885.00000048</v>
      </c>
      <c r="CB54" s="273">
        <f t="shared" ca="1" si="108"/>
        <v>107861885.00000048</v>
      </c>
      <c r="CC54" s="273">
        <f t="shared" ca="1" si="108"/>
        <v>0</v>
      </c>
      <c r="CD54" s="273">
        <f t="shared" ca="1" si="108"/>
        <v>0</v>
      </c>
      <c r="CE54" s="273">
        <f t="shared" ca="1" si="108"/>
        <v>0</v>
      </c>
      <c r="CF54" s="273">
        <f t="shared" ca="1" si="108"/>
        <v>0</v>
      </c>
      <c r="CG54" s="273">
        <f t="shared" ca="1" si="108"/>
        <v>0</v>
      </c>
      <c r="CH54" s="273">
        <f t="shared" ca="1" si="108"/>
        <v>0</v>
      </c>
      <c r="CI54" s="273">
        <f t="shared" ca="1" si="108"/>
        <v>0</v>
      </c>
      <c r="CJ54" s="273">
        <f t="shared" ca="1" si="108"/>
        <v>0</v>
      </c>
      <c r="CK54" s="273">
        <f t="shared" ca="1" si="108"/>
        <v>0</v>
      </c>
      <c r="CL54" s="273">
        <f t="shared" ca="1" si="108"/>
        <v>0</v>
      </c>
      <c r="CM54" s="273">
        <f t="shared" ca="1" si="108"/>
        <v>0</v>
      </c>
      <c r="CN54" s="273">
        <f t="shared" ca="1" si="108"/>
        <v>0</v>
      </c>
      <c r="CO54" s="273">
        <f t="shared" ca="1" si="108"/>
        <v>0</v>
      </c>
      <c r="CP54" s="273">
        <f t="shared" ca="1" si="108"/>
        <v>0</v>
      </c>
      <c r="CQ54" s="273">
        <f t="shared" ca="1" si="108"/>
        <v>0</v>
      </c>
      <c r="CR54" s="273">
        <f t="shared" ca="1" si="108"/>
        <v>0</v>
      </c>
      <c r="CS54" s="273">
        <f t="shared" ca="1" si="108"/>
        <v>0</v>
      </c>
      <c r="CT54" s="273">
        <f t="shared" ca="1" si="108"/>
        <v>0</v>
      </c>
      <c r="CU54" s="273">
        <f t="shared" ca="1" si="108"/>
        <v>0</v>
      </c>
      <c r="CV54" s="273">
        <f t="shared" ca="1" si="108"/>
        <v>0</v>
      </c>
      <c r="CW54" s="273">
        <f t="shared" ca="1" si="108"/>
        <v>0</v>
      </c>
      <c r="CX54" s="273">
        <f t="shared" ca="1" si="108"/>
        <v>0</v>
      </c>
      <c r="CY54" s="273">
        <f t="shared" ca="1" si="108"/>
        <v>0</v>
      </c>
      <c r="CZ54" s="273">
        <f t="shared" ca="1" si="108"/>
        <v>0</v>
      </c>
      <c r="DA54" s="273">
        <f t="shared" ca="1" si="108"/>
        <v>0</v>
      </c>
    </row>
    <row r="55" spans="1:105" ht="12" customHeight="1">
      <c r="B55" s="274"/>
      <c r="C55" s="275"/>
      <c r="D55" s="275"/>
      <c r="E55" s="275"/>
      <c r="F55" s="275"/>
      <c r="G55" s="276"/>
      <c r="H55" s="276"/>
      <c r="I55" s="275"/>
      <c r="J55" s="275"/>
      <c r="K55" s="275"/>
    </row>
    <row r="56" spans="1:105">
      <c r="F56" s="277"/>
      <c r="M56" s="277"/>
      <c r="O56" s="277"/>
      <c r="Q56" s="277"/>
      <c r="R56" s="277"/>
      <c r="S56" s="277"/>
      <c r="T56" s="277"/>
      <c r="U56" s="277"/>
      <c r="V56" s="277"/>
      <c r="AN56" s="278" t="s">
        <v>215</v>
      </c>
      <c r="AO56" s="279"/>
      <c r="AP56" s="279"/>
      <c r="AQ56" s="279"/>
      <c r="AR56" s="280"/>
      <c r="AS56" s="280"/>
      <c r="AT56" s="279"/>
    </row>
    <row r="57" spans="1:105">
      <c r="F57" s="277"/>
      <c r="M57" s="277"/>
      <c r="O57" s="277"/>
      <c r="Q57" s="277"/>
      <c r="R57" s="277"/>
      <c r="S57" s="277"/>
      <c r="T57" s="277"/>
      <c r="U57" s="277"/>
      <c r="V57" s="277"/>
      <c r="AN57" s="281" t="s">
        <v>216</v>
      </c>
      <c r="AO57" s="279"/>
      <c r="AP57" s="279"/>
      <c r="AQ57" s="279"/>
      <c r="AR57" s="280"/>
      <c r="AS57" s="280"/>
      <c r="AT57" s="279"/>
    </row>
    <row r="58" spans="1:105">
      <c r="F58" s="277"/>
      <c r="M58" s="277"/>
      <c r="O58" s="277"/>
      <c r="Q58" s="277"/>
      <c r="R58" s="277"/>
      <c r="S58" s="277"/>
      <c r="T58" s="277"/>
      <c r="U58" s="277"/>
      <c r="V58" s="277"/>
      <c r="AN58" s="279"/>
      <c r="AO58" s="279"/>
      <c r="AP58" s="279"/>
      <c r="AQ58" s="279"/>
      <c r="AR58" s="279"/>
      <c r="AS58" s="279"/>
      <c r="AT58" s="280"/>
    </row>
    <row r="59" spans="1:105">
      <c r="F59" s="277"/>
      <c r="AN59" s="279"/>
      <c r="AO59" s="279"/>
      <c r="AP59" s="279"/>
      <c r="AQ59" s="279"/>
      <c r="AR59" s="279"/>
      <c r="AS59" s="279"/>
      <c r="AT59" s="280"/>
      <c r="AZ59" s="282" t="str">
        <f>"Ngày 31 tháng 03 năm 2015 "</f>
        <v xml:space="preserve">Ngày 31 tháng 03 năm 2015 </v>
      </c>
    </row>
    <row r="60" spans="1:105">
      <c r="F60" s="277"/>
      <c r="M60" s="277"/>
      <c r="O60" s="277"/>
      <c r="Q60" s="277"/>
      <c r="R60" s="277"/>
      <c r="S60" s="277"/>
      <c r="T60" s="277"/>
      <c r="U60" s="277"/>
      <c r="V60" s="277"/>
      <c r="AN60" s="279"/>
      <c r="AO60" s="283" t="s">
        <v>11</v>
      </c>
      <c r="AP60" s="279"/>
      <c r="AQ60" s="279"/>
      <c r="AR60" s="279"/>
      <c r="AS60" s="284" t="s">
        <v>12</v>
      </c>
      <c r="AT60" s="280"/>
      <c r="AZ60" s="283" t="s">
        <v>131</v>
      </c>
    </row>
    <row r="61" spans="1:105">
      <c r="F61" s="277"/>
      <c r="M61" s="277"/>
      <c r="O61" s="277"/>
      <c r="Q61" s="277"/>
      <c r="R61" s="277"/>
      <c r="S61" s="277"/>
      <c r="T61" s="277"/>
      <c r="U61" s="277"/>
      <c r="V61" s="277"/>
      <c r="AN61" s="279"/>
      <c r="AO61" s="285" t="s">
        <v>13</v>
      </c>
      <c r="AP61" s="279"/>
      <c r="AQ61" s="279"/>
      <c r="AR61" s="279"/>
      <c r="AS61" s="286" t="s">
        <v>13</v>
      </c>
      <c r="AT61" s="280"/>
      <c r="AZ61" s="285" t="s">
        <v>161</v>
      </c>
    </row>
    <row r="62" spans="1:105">
      <c r="F62" s="277"/>
      <c r="M62" s="277"/>
      <c r="O62" s="277"/>
      <c r="Q62" s="277"/>
      <c r="R62" s="277"/>
      <c r="S62" s="277"/>
      <c r="T62" s="277"/>
      <c r="U62" s="277"/>
      <c r="V62" s="277"/>
      <c r="AL62" s="279"/>
      <c r="AM62" s="279"/>
      <c r="AN62" s="279"/>
      <c r="AO62" s="279"/>
      <c r="AP62" s="279"/>
      <c r="AQ62" s="279"/>
      <c r="AR62" s="279"/>
      <c r="AS62" s="279"/>
      <c r="AT62" s="280"/>
      <c r="AZ62" s="279"/>
    </row>
    <row r="63" spans="1:105">
      <c r="F63" s="277"/>
      <c r="M63" s="277"/>
      <c r="O63" s="277"/>
      <c r="Q63" s="277"/>
      <c r="R63" s="277"/>
      <c r="S63" s="277"/>
      <c r="T63" s="277"/>
      <c r="U63" s="277"/>
      <c r="V63" s="277"/>
      <c r="AZ63" s="279"/>
    </row>
    <row r="64" spans="1:105">
      <c r="F64" s="277"/>
      <c r="M64" s="277"/>
      <c r="O64" s="277"/>
      <c r="Q64" s="277"/>
      <c r="R64" s="277"/>
      <c r="S64" s="277"/>
      <c r="T64" s="277"/>
      <c r="U64" s="277"/>
      <c r="V64" s="277"/>
    </row>
    <row r="65" spans="6:22">
      <c r="F65" s="277"/>
      <c r="M65" s="277"/>
      <c r="O65" s="277"/>
      <c r="Q65" s="277"/>
      <c r="R65" s="277"/>
      <c r="S65" s="277"/>
      <c r="T65" s="277"/>
      <c r="U65" s="277"/>
      <c r="V65" s="277"/>
    </row>
    <row r="66" spans="6:22">
      <c r="F66" s="277"/>
    </row>
    <row r="67" spans="6:22">
      <c r="F67" s="277"/>
      <c r="M67" s="277"/>
      <c r="O67" s="277"/>
      <c r="Q67" s="277"/>
      <c r="R67" s="277"/>
      <c r="S67" s="277"/>
      <c r="T67" s="277"/>
      <c r="U67" s="277"/>
      <c r="V67" s="277"/>
    </row>
    <row r="68" spans="6:22">
      <c r="F68" s="277"/>
      <c r="M68" s="277"/>
      <c r="O68" s="277"/>
      <c r="Q68" s="277"/>
      <c r="R68" s="277"/>
      <c r="S68" s="277"/>
      <c r="T68" s="277"/>
      <c r="U68" s="277"/>
      <c r="V68" s="277"/>
    </row>
    <row r="69" spans="6:22">
      <c r="F69" s="277"/>
      <c r="M69" s="277"/>
      <c r="O69" s="277"/>
      <c r="Q69" s="277"/>
      <c r="R69" s="277"/>
      <c r="S69" s="277"/>
      <c r="T69" s="277"/>
      <c r="U69" s="277"/>
      <c r="V69" s="277"/>
    </row>
    <row r="70" spans="6:22">
      <c r="F70" s="277"/>
      <c r="M70" s="277"/>
      <c r="O70" s="277"/>
      <c r="Q70" s="277"/>
      <c r="R70" s="277"/>
      <c r="S70" s="277"/>
      <c r="T70" s="277"/>
      <c r="U70" s="277"/>
      <c r="V70" s="277"/>
    </row>
    <row r="71" spans="6:22">
      <c r="F71" s="277"/>
      <c r="M71" s="277"/>
      <c r="O71" s="277"/>
      <c r="Q71" s="277"/>
      <c r="R71" s="277"/>
      <c r="S71" s="277"/>
      <c r="T71" s="277"/>
      <c r="U71" s="277"/>
      <c r="V71" s="277"/>
    </row>
    <row r="72" spans="6:22">
      <c r="F72" s="277"/>
      <c r="M72" s="277"/>
      <c r="O72" s="277"/>
      <c r="Q72" s="277"/>
      <c r="R72" s="277"/>
      <c r="S72" s="277"/>
      <c r="T72" s="277"/>
      <c r="U72" s="277"/>
      <c r="V72" s="277"/>
    </row>
    <row r="73" spans="6:22">
      <c r="F73" s="277"/>
      <c r="M73" s="277"/>
      <c r="O73" s="277"/>
      <c r="Q73" s="277"/>
      <c r="R73" s="277"/>
      <c r="S73" s="277"/>
      <c r="T73" s="277"/>
      <c r="U73" s="277"/>
      <c r="V73" s="277"/>
    </row>
    <row r="74" spans="6:22">
      <c r="F74" s="277"/>
      <c r="M74" s="277"/>
      <c r="O74" s="277"/>
      <c r="Q74" s="277"/>
      <c r="R74" s="277"/>
      <c r="S74" s="277"/>
      <c r="T74" s="277"/>
      <c r="U74" s="277"/>
      <c r="V74" s="277"/>
    </row>
    <row r="75" spans="6:22">
      <c r="F75" s="277"/>
      <c r="M75" s="277"/>
      <c r="O75" s="277"/>
      <c r="Q75" s="277"/>
      <c r="R75" s="277"/>
      <c r="S75" s="277"/>
      <c r="T75" s="277"/>
      <c r="U75" s="277"/>
      <c r="V75" s="277"/>
    </row>
    <row r="76" spans="6:22">
      <c r="F76" s="277"/>
      <c r="M76" s="277"/>
      <c r="O76" s="277"/>
      <c r="Q76" s="277"/>
      <c r="R76" s="277"/>
      <c r="S76" s="277"/>
      <c r="T76" s="277"/>
      <c r="U76" s="277"/>
      <c r="V76" s="277"/>
    </row>
    <row r="77" spans="6:22">
      <c r="F77" s="277"/>
      <c r="M77" s="277"/>
      <c r="O77" s="277"/>
      <c r="Q77" s="277"/>
      <c r="R77" s="277"/>
      <c r="S77" s="277"/>
      <c r="T77" s="277"/>
      <c r="U77" s="277"/>
      <c r="V77" s="277"/>
    </row>
    <row r="78" spans="6:22">
      <c r="F78" s="277"/>
      <c r="M78" s="277"/>
      <c r="O78" s="277"/>
      <c r="Q78" s="277"/>
      <c r="R78" s="277"/>
      <c r="S78" s="277"/>
      <c r="T78" s="277"/>
      <c r="U78" s="277"/>
      <c r="V78" s="277"/>
    </row>
    <row r="79" spans="6:22">
      <c r="F79" s="277"/>
      <c r="M79" s="277"/>
      <c r="O79" s="277"/>
      <c r="Q79" s="277"/>
      <c r="R79" s="277"/>
      <c r="S79" s="277"/>
      <c r="T79" s="277"/>
      <c r="U79" s="277"/>
      <c r="V79" s="277"/>
    </row>
    <row r="80" spans="6:22">
      <c r="F80" s="277"/>
      <c r="M80" s="277"/>
      <c r="O80" s="277"/>
      <c r="Q80" s="277"/>
      <c r="R80" s="277"/>
      <c r="S80" s="277"/>
      <c r="T80" s="277"/>
      <c r="U80" s="277"/>
      <c r="V80" s="277"/>
    </row>
    <row r="81" spans="6:22">
      <c r="F81" s="277"/>
      <c r="M81" s="277"/>
      <c r="O81" s="277"/>
      <c r="Q81" s="277"/>
      <c r="R81" s="277"/>
      <c r="S81" s="277"/>
      <c r="T81" s="277"/>
      <c r="U81" s="277"/>
      <c r="V81" s="277"/>
    </row>
    <row r="82" spans="6:22">
      <c r="F82" s="277"/>
      <c r="M82" s="277"/>
      <c r="O82" s="277"/>
      <c r="Q82" s="277"/>
      <c r="R82" s="277"/>
      <c r="S82" s="277"/>
      <c r="T82" s="277"/>
      <c r="U82" s="277"/>
      <c r="V82" s="277"/>
    </row>
    <row r="83" spans="6:22">
      <c r="F83" s="277"/>
      <c r="M83" s="277"/>
      <c r="O83" s="277"/>
      <c r="Q83" s="277"/>
      <c r="R83" s="277"/>
      <c r="S83" s="277"/>
      <c r="T83" s="277"/>
      <c r="U83" s="277"/>
      <c r="V83" s="277"/>
    </row>
    <row r="84" spans="6:22">
      <c r="F84" s="277"/>
      <c r="M84" s="277"/>
      <c r="O84" s="277"/>
      <c r="Q84" s="277"/>
      <c r="R84" s="277"/>
      <c r="S84" s="277"/>
      <c r="T84" s="277"/>
      <c r="U84" s="277"/>
      <c r="V84" s="277"/>
    </row>
    <row r="85" spans="6:22">
      <c r="F85" s="277"/>
      <c r="M85" s="277"/>
      <c r="O85" s="277"/>
      <c r="Q85" s="277"/>
      <c r="R85" s="277"/>
      <c r="S85" s="277"/>
      <c r="T85" s="277"/>
      <c r="U85" s="277"/>
      <c r="V85" s="277"/>
    </row>
    <row r="86" spans="6:22">
      <c r="F86" s="277"/>
      <c r="M86" s="277"/>
      <c r="O86" s="277"/>
      <c r="Q86" s="277"/>
      <c r="R86" s="277"/>
      <c r="S86" s="277"/>
      <c r="T86" s="277"/>
      <c r="U86" s="277"/>
      <c r="V86" s="277"/>
    </row>
    <row r="87" spans="6:22">
      <c r="F87" s="277"/>
      <c r="M87" s="277"/>
      <c r="O87" s="277"/>
      <c r="Q87" s="277"/>
      <c r="R87" s="277"/>
      <c r="S87" s="277"/>
      <c r="T87" s="277"/>
      <c r="U87" s="277"/>
      <c r="V87" s="277"/>
    </row>
    <row r="88" spans="6:22">
      <c r="F88" s="277"/>
      <c r="M88" s="277"/>
      <c r="O88" s="277"/>
      <c r="Q88" s="277"/>
      <c r="R88" s="277"/>
      <c r="S88" s="277"/>
      <c r="T88" s="277"/>
      <c r="U88" s="277"/>
      <c r="V88" s="277"/>
    </row>
    <row r="89" spans="6:22">
      <c r="F89" s="277"/>
      <c r="M89" s="277"/>
      <c r="O89" s="277"/>
      <c r="Q89" s="277"/>
      <c r="R89" s="277"/>
      <c r="S89" s="277"/>
      <c r="T89" s="277"/>
      <c r="U89" s="277"/>
      <c r="V89" s="277"/>
    </row>
    <row r="90" spans="6:22">
      <c r="F90" s="277"/>
      <c r="M90" s="277"/>
      <c r="O90" s="277"/>
      <c r="Q90" s="277"/>
      <c r="R90" s="277"/>
      <c r="S90" s="277"/>
      <c r="T90" s="277"/>
      <c r="U90" s="277"/>
      <c r="V90" s="277"/>
    </row>
    <row r="91" spans="6:22">
      <c r="F91" s="277"/>
      <c r="M91" s="277"/>
      <c r="O91" s="277"/>
      <c r="Q91" s="277"/>
      <c r="R91" s="277"/>
      <c r="S91" s="277"/>
      <c r="T91" s="277"/>
      <c r="U91" s="277"/>
      <c r="V91" s="277"/>
    </row>
    <row r="92" spans="6:22">
      <c r="F92" s="277"/>
      <c r="M92" s="277"/>
      <c r="O92" s="277"/>
      <c r="Q92" s="277"/>
      <c r="R92" s="277"/>
      <c r="S92" s="277"/>
      <c r="T92" s="277"/>
      <c r="U92" s="277"/>
      <c r="V92" s="277"/>
    </row>
    <row r="93" spans="6:22">
      <c r="F93" s="277"/>
      <c r="M93" s="277"/>
      <c r="O93" s="277"/>
      <c r="Q93" s="277"/>
      <c r="R93" s="277"/>
      <c r="S93" s="277"/>
      <c r="T93" s="277"/>
      <c r="U93" s="277"/>
      <c r="V93" s="277"/>
    </row>
    <row r="94" spans="6:22">
      <c r="F94" s="277"/>
      <c r="M94" s="277"/>
      <c r="O94" s="277"/>
      <c r="Q94" s="277"/>
      <c r="R94" s="277"/>
      <c r="S94" s="277"/>
      <c r="T94" s="277"/>
      <c r="U94" s="277"/>
      <c r="V94" s="277"/>
    </row>
    <row r="95" spans="6:22">
      <c r="F95" s="277"/>
      <c r="M95" s="277"/>
      <c r="O95" s="277"/>
      <c r="Q95" s="277"/>
      <c r="R95" s="277"/>
      <c r="S95" s="277"/>
      <c r="T95" s="277"/>
      <c r="U95" s="277"/>
      <c r="V95" s="277"/>
    </row>
    <row r="96" spans="6:22">
      <c r="F96" s="277"/>
      <c r="M96" s="277"/>
      <c r="O96" s="277"/>
      <c r="Q96" s="277"/>
      <c r="R96" s="277"/>
      <c r="S96" s="277"/>
      <c r="T96" s="277"/>
      <c r="U96" s="277"/>
      <c r="V96" s="277"/>
    </row>
    <row r="97" spans="6:22">
      <c r="F97" s="277"/>
      <c r="M97" s="277"/>
      <c r="O97" s="277"/>
      <c r="Q97" s="277"/>
      <c r="R97" s="277"/>
      <c r="S97" s="277"/>
      <c r="T97" s="277"/>
      <c r="U97" s="277"/>
      <c r="V97" s="277"/>
    </row>
    <row r="98" spans="6:22">
      <c r="F98" s="277"/>
      <c r="M98" s="277"/>
      <c r="O98" s="277"/>
      <c r="Q98" s="277"/>
      <c r="R98" s="277"/>
      <c r="S98" s="277"/>
      <c r="T98" s="277"/>
      <c r="U98" s="277"/>
      <c r="V98" s="277"/>
    </row>
    <row r="99" spans="6:22">
      <c r="F99" s="277"/>
      <c r="M99" s="277"/>
      <c r="O99" s="277"/>
      <c r="Q99" s="277"/>
      <c r="R99" s="277"/>
      <c r="S99" s="277"/>
      <c r="T99" s="277"/>
      <c r="U99" s="277"/>
      <c r="V99" s="277"/>
    </row>
    <row r="100" spans="6:22">
      <c r="F100" s="277"/>
      <c r="M100" s="277"/>
      <c r="O100" s="277"/>
      <c r="Q100" s="277"/>
      <c r="R100" s="277"/>
      <c r="S100" s="277"/>
      <c r="T100" s="277"/>
      <c r="U100" s="277"/>
      <c r="V100" s="277"/>
    </row>
    <row r="101" spans="6:22">
      <c r="F101" s="277"/>
      <c r="M101" s="277"/>
      <c r="O101" s="277"/>
      <c r="Q101" s="277"/>
      <c r="R101" s="277"/>
      <c r="S101" s="277"/>
      <c r="T101" s="277"/>
      <c r="U101" s="277"/>
      <c r="V101" s="277"/>
    </row>
    <row r="102" spans="6:22">
      <c r="F102" s="277"/>
      <c r="M102" s="277"/>
      <c r="O102" s="277"/>
      <c r="Q102" s="277"/>
      <c r="R102" s="277"/>
      <c r="S102" s="277"/>
      <c r="T102" s="277"/>
      <c r="U102" s="277"/>
      <c r="V102" s="277"/>
    </row>
    <row r="103" spans="6:22">
      <c r="F103" s="277"/>
      <c r="M103" s="277"/>
      <c r="O103" s="277"/>
      <c r="Q103" s="277"/>
      <c r="R103" s="277"/>
      <c r="S103" s="277"/>
      <c r="T103" s="277"/>
      <c r="U103" s="277"/>
      <c r="V103" s="277"/>
    </row>
    <row r="104" spans="6:22">
      <c r="F104" s="277"/>
      <c r="M104" s="277"/>
      <c r="O104" s="277"/>
      <c r="Q104" s="277"/>
      <c r="R104" s="277"/>
      <c r="S104" s="277"/>
      <c r="T104" s="277"/>
      <c r="U104" s="277"/>
      <c r="V104" s="277"/>
    </row>
    <row r="105" spans="6:22">
      <c r="F105" s="277"/>
      <c r="M105" s="277"/>
      <c r="O105" s="277"/>
      <c r="Q105" s="277"/>
      <c r="R105" s="277"/>
      <c r="S105" s="277"/>
      <c r="T105" s="277"/>
      <c r="U105" s="277"/>
      <c r="V105" s="277"/>
    </row>
    <row r="106" spans="6:22">
      <c r="F106" s="277"/>
      <c r="M106" s="277"/>
      <c r="O106" s="277"/>
      <c r="Q106" s="277"/>
      <c r="R106" s="277"/>
      <c r="S106" s="277"/>
      <c r="T106" s="277"/>
      <c r="U106" s="277"/>
      <c r="V106" s="277"/>
    </row>
    <row r="107" spans="6:22">
      <c r="F107" s="277"/>
      <c r="M107" s="277"/>
      <c r="O107" s="277"/>
      <c r="Q107" s="277"/>
      <c r="R107" s="277"/>
      <c r="S107" s="277"/>
      <c r="T107" s="277"/>
      <c r="U107" s="277"/>
      <c r="V107" s="277"/>
    </row>
    <row r="108" spans="6:22">
      <c r="F108" s="277"/>
      <c r="M108" s="277"/>
      <c r="O108" s="277"/>
      <c r="Q108" s="277"/>
      <c r="R108" s="277"/>
      <c r="S108" s="277"/>
      <c r="T108" s="277"/>
      <c r="U108" s="277"/>
      <c r="V108" s="277"/>
    </row>
    <row r="109" spans="6:22">
      <c r="F109" s="277"/>
      <c r="M109" s="277"/>
      <c r="O109" s="277"/>
      <c r="Q109" s="277"/>
      <c r="R109" s="277"/>
      <c r="S109" s="277"/>
      <c r="T109" s="277"/>
      <c r="U109" s="277"/>
      <c r="V109" s="277"/>
    </row>
    <row r="110" spans="6:22">
      <c r="F110" s="277"/>
      <c r="M110" s="277"/>
      <c r="O110" s="277"/>
      <c r="Q110" s="277"/>
      <c r="R110" s="277"/>
      <c r="S110" s="277"/>
      <c r="T110" s="277"/>
      <c r="U110" s="277"/>
      <c r="V110" s="277"/>
    </row>
    <row r="111" spans="6:22">
      <c r="M111" s="277"/>
      <c r="O111" s="277"/>
      <c r="Q111" s="277"/>
      <c r="R111" s="277"/>
      <c r="S111" s="277"/>
      <c r="T111" s="277"/>
      <c r="U111" s="277"/>
      <c r="V111" s="277"/>
    </row>
    <row r="112" spans="6:22">
      <c r="M112" s="277"/>
      <c r="O112" s="277"/>
      <c r="Q112" s="277"/>
      <c r="R112" s="277"/>
      <c r="S112" s="277"/>
      <c r="T112" s="277"/>
      <c r="U112" s="277"/>
      <c r="V112" s="277"/>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42578125" style="238" customWidth="1"/>
    <col min="3" max="3" width="7.42578125" style="238" customWidth="1"/>
    <col min="4" max="4" width="8.42578125" style="238" customWidth="1"/>
    <col min="5" max="5" width="37.28515625" style="238" customWidth="1"/>
    <col min="6" max="6" width="12.7109375" style="238" customWidth="1"/>
    <col min="7" max="8" width="5.85546875" style="239" customWidth="1"/>
    <col min="9" max="9" width="4.85546875" style="238" customWidth="1"/>
    <col min="10" max="10" width="12.5703125" style="238" customWidth="1"/>
    <col min="11" max="11" width="12.28515625" style="238" customWidth="1"/>
    <col min="12" max="12" width="12.85546875" style="238" customWidth="1"/>
    <col min="13" max="13" width="12.7109375" style="238" customWidth="1"/>
    <col min="14" max="14" width="12.85546875" style="238" customWidth="1"/>
    <col min="15" max="15" width="12.7109375" style="238" customWidth="1"/>
    <col min="16" max="16" width="11.85546875" style="238" customWidth="1"/>
    <col min="17" max="17" width="5" style="238" customWidth="1"/>
    <col min="18" max="18" width="11.28515625" style="238" customWidth="1"/>
    <col min="19" max="19" width="11.42578125" style="238" customWidth="1"/>
    <col min="20" max="20" width="13.140625" style="238" customWidth="1"/>
    <col min="21" max="21" width="6" style="238" customWidth="1"/>
    <col min="22" max="22" width="13.5703125" style="238" customWidth="1"/>
    <col min="23" max="23" width="13.42578125" style="238" customWidth="1"/>
    <col min="24" max="24" width="6.5703125" style="238" customWidth="1"/>
    <col min="25" max="25" width="6.42578125" style="238" customWidth="1"/>
    <col min="26" max="26" width="9.5703125" style="238" customWidth="1"/>
    <col min="27" max="27" width="9.42578125" style="238" customWidth="1"/>
    <col min="28" max="29" width="11.28515625" style="238" customWidth="1"/>
    <col min="30" max="30" width="5.28515625" style="238" customWidth="1"/>
    <col min="31" max="31" width="15" style="238" customWidth="1"/>
    <col min="32" max="32" width="5.28515625" style="238" customWidth="1"/>
    <col min="33" max="33" width="15" style="238" customWidth="1"/>
    <col min="34" max="34" width="4.85546875" style="238" customWidth="1"/>
    <col min="35" max="35" width="13.85546875" style="238" customWidth="1"/>
    <col min="36" max="36" width="11.5703125" style="238" customWidth="1"/>
    <col min="37" max="37" width="5.7109375" style="238" customWidth="1"/>
    <col min="38" max="38" width="12.42578125" style="238" customWidth="1"/>
    <col min="39" max="39" width="10.85546875" style="238" customWidth="1"/>
    <col min="40" max="40" width="9.85546875" style="238" customWidth="1"/>
    <col min="41" max="41" width="9.7109375" style="238" customWidth="1"/>
    <col min="42" max="42" width="13.140625" style="238" customWidth="1"/>
    <col min="43" max="43" width="12.5703125" style="238" customWidth="1"/>
    <col min="44" max="45" width="14.28515625" style="238" customWidth="1"/>
    <col min="46" max="46" width="7" style="238" customWidth="1"/>
    <col min="47" max="47" width="7.5703125" style="238" customWidth="1"/>
    <col min="48" max="48" width="4.7109375" style="238" customWidth="1"/>
    <col min="49" max="49" width="9.5703125" style="238" customWidth="1"/>
    <col min="50" max="51" width="12.28515625" style="238" customWidth="1"/>
    <col min="52" max="52" width="15.7109375" style="238" customWidth="1"/>
    <col min="53" max="53" width="15.85546875" style="238" customWidth="1"/>
    <col min="54" max="16384" width="9.140625" style="238"/>
  </cols>
  <sheetData>
    <row r="1" spans="1:105" ht="12.75" customHeight="1">
      <c r="A1" s="234"/>
      <c r="B1" s="235" t="s">
        <v>121</v>
      </c>
      <c r="C1" s="236"/>
      <c r="D1" s="236"/>
      <c r="E1" s="237"/>
      <c r="I1" s="236"/>
      <c r="M1" s="1349" t="str">
        <f>'SC-I'!M1:S1</f>
        <v>Mẫu số S01-DN</v>
      </c>
      <c r="N1" s="1349"/>
      <c r="O1" s="1349"/>
      <c r="P1" s="1349"/>
      <c r="Q1" s="1349"/>
      <c r="R1" s="1349"/>
      <c r="S1" s="1349"/>
      <c r="X1" s="236"/>
      <c r="Y1" s="236"/>
      <c r="Z1" s="236"/>
      <c r="AA1" s="236"/>
      <c r="AB1" s="237"/>
      <c r="AC1" s="237"/>
      <c r="AD1" s="237"/>
      <c r="AE1" s="237"/>
      <c r="AF1" s="237"/>
      <c r="AG1" s="237"/>
      <c r="AH1" s="237"/>
      <c r="AI1" s="237"/>
      <c r="AJ1" s="237"/>
      <c r="AK1" s="237"/>
      <c r="AL1" s="236"/>
      <c r="AM1" s="236"/>
      <c r="AN1" s="236"/>
      <c r="AO1" s="236"/>
      <c r="AP1" s="236"/>
      <c r="AQ1" s="236"/>
      <c r="AR1" s="236"/>
      <c r="AS1" s="236"/>
      <c r="AT1" s="236"/>
      <c r="AU1" s="236"/>
      <c r="AV1" s="236"/>
      <c r="AW1" s="236"/>
      <c r="AX1" s="236"/>
      <c r="AY1" s="236"/>
      <c r="AZ1" s="236"/>
      <c r="BA1" s="236"/>
    </row>
    <row r="2" spans="1:105" ht="12.75" customHeight="1">
      <c r="A2" s="234"/>
      <c r="B2" s="235" t="s">
        <v>177</v>
      </c>
      <c r="C2" s="236"/>
      <c r="D2" s="236"/>
      <c r="E2" s="236"/>
      <c r="I2" s="240"/>
      <c r="M2" s="1350" t="str">
        <f>'SC-I'!M2:S3</f>
        <v>(Ban hành theo Thông tư số 200/2014/TT-BTC  Ngày 22/12/2014 của Bộ Tài chính)</v>
      </c>
      <c r="N2" s="1350"/>
      <c r="O2" s="1350"/>
      <c r="P2" s="1350"/>
      <c r="Q2" s="1350"/>
      <c r="R2" s="1350"/>
      <c r="S2" s="1350"/>
      <c r="X2" s="240"/>
      <c r="Y2" s="240"/>
      <c r="Z2" s="240"/>
      <c r="AA2" s="240"/>
      <c r="AB2" s="241"/>
      <c r="AC2" s="241"/>
      <c r="AD2" s="241"/>
      <c r="AE2" s="241"/>
      <c r="AF2" s="241"/>
      <c r="AG2" s="241"/>
      <c r="AH2" s="241"/>
      <c r="AI2" s="241"/>
      <c r="AJ2" s="241"/>
      <c r="AK2" s="241"/>
      <c r="AL2" s="240"/>
      <c r="AM2" s="240"/>
      <c r="AN2" s="240"/>
      <c r="AO2" s="240"/>
      <c r="AP2" s="240"/>
      <c r="AQ2" s="240"/>
      <c r="AR2" s="240"/>
      <c r="AS2" s="240"/>
      <c r="AT2" s="240"/>
      <c r="AU2" s="240"/>
      <c r="AV2" s="240"/>
      <c r="AW2" s="240"/>
      <c r="AX2" s="240"/>
      <c r="AY2" s="240"/>
      <c r="AZ2" s="240"/>
      <c r="BA2" s="240"/>
    </row>
    <row r="3" spans="1:105" ht="10.5" customHeight="1">
      <c r="A3" s="236"/>
      <c r="B3" s="236"/>
      <c r="C3" s="236"/>
      <c r="D3" s="236"/>
      <c r="E3" s="236"/>
      <c r="F3" s="240"/>
      <c r="G3" s="242"/>
      <c r="H3" s="242"/>
      <c r="I3" s="240"/>
      <c r="M3" s="1350"/>
      <c r="N3" s="1350"/>
      <c r="O3" s="1350"/>
      <c r="P3" s="1350"/>
      <c r="Q3" s="1350"/>
      <c r="R3" s="1350"/>
      <c r="S3" s="1350"/>
      <c r="X3" s="240"/>
      <c r="Y3" s="240"/>
      <c r="Z3" s="240"/>
      <c r="AA3" s="240"/>
      <c r="AB3" s="241"/>
      <c r="AC3" s="241"/>
      <c r="AD3" s="241"/>
      <c r="AE3" s="241"/>
      <c r="AF3" s="241"/>
      <c r="AG3" s="241"/>
      <c r="AH3" s="241"/>
      <c r="AI3" s="241"/>
      <c r="AJ3" s="241"/>
      <c r="AK3" s="241"/>
      <c r="AL3" s="240"/>
      <c r="AM3" s="240"/>
      <c r="AN3" s="240"/>
      <c r="AO3" s="240"/>
      <c r="AP3" s="240"/>
      <c r="AQ3" s="240"/>
      <c r="AR3" s="240"/>
      <c r="AS3" s="240"/>
      <c r="AT3" s="240"/>
      <c r="AU3" s="240"/>
      <c r="AV3" s="240"/>
      <c r="AW3" s="240"/>
      <c r="AX3" s="240"/>
      <c r="AY3" s="240"/>
      <c r="AZ3" s="240"/>
      <c r="BA3" s="240"/>
    </row>
    <row r="4" spans="1:105" ht="19.5" customHeight="1">
      <c r="B4" s="1351" t="s">
        <v>112</v>
      </c>
      <c r="C4" s="1351"/>
      <c r="D4" s="1351"/>
      <c r="E4" s="1351"/>
      <c r="F4" s="1351"/>
      <c r="G4" s="1351"/>
      <c r="H4" s="1351"/>
      <c r="I4" s="1351"/>
      <c r="J4" s="1351"/>
      <c r="K4" s="1351"/>
      <c r="L4" s="1351"/>
      <c r="M4" s="1351"/>
      <c r="N4" s="1351"/>
      <c r="O4" s="1351"/>
      <c r="P4" s="1351"/>
      <c r="Q4" s="1351"/>
      <c r="R4" s="1351"/>
      <c r="S4" s="243"/>
      <c r="T4" s="243"/>
      <c r="U4" s="243"/>
      <c r="V4" s="243"/>
      <c r="W4" s="243"/>
      <c r="X4" s="244"/>
      <c r="Y4" s="244"/>
      <c r="Z4" s="245"/>
      <c r="AA4" s="245"/>
      <c r="AB4" s="243"/>
      <c r="AC4" s="243"/>
      <c r="AD4" s="243"/>
      <c r="AE4" s="243"/>
      <c r="AF4" s="243"/>
      <c r="AG4" s="243"/>
      <c r="AH4" s="243"/>
      <c r="AI4" s="243"/>
      <c r="AJ4" s="243"/>
      <c r="AK4" s="243"/>
      <c r="AL4" s="245"/>
      <c r="AM4" s="245"/>
      <c r="AN4" s="245"/>
      <c r="AO4" s="245"/>
      <c r="AP4" s="245"/>
      <c r="AQ4" s="245"/>
      <c r="AR4" s="245"/>
      <c r="AS4" s="245"/>
      <c r="AT4" s="245"/>
      <c r="AU4" s="245"/>
      <c r="AV4" s="245"/>
      <c r="AW4" s="245"/>
      <c r="AX4" s="245"/>
      <c r="AY4" s="245"/>
      <c r="AZ4" s="245"/>
      <c r="BA4" s="245"/>
    </row>
    <row r="5" spans="1:105" ht="15">
      <c r="B5" s="1352" t="s">
        <v>217</v>
      </c>
      <c r="C5" s="1352"/>
      <c r="D5" s="1352"/>
      <c r="E5" s="1352"/>
      <c r="F5" s="1352"/>
      <c r="G5" s="1352"/>
      <c r="H5" s="1352"/>
      <c r="I5" s="1352"/>
      <c r="J5" s="1352"/>
      <c r="K5" s="1352"/>
      <c r="L5" s="1352"/>
      <c r="M5" s="1352"/>
      <c r="N5" s="1352"/>
      <c r="O5" s="1352"/>
      <c r="P5" s="1352"/>
      <c r="Q5" s="1352"/>
      <c r="R5" s="1352"/>
      <c r="S5" s="246"/>
      <c r="T5" s="246"/>
      <c r="U5" s="246"/>
      <c r="V5" s="246"/>
      <c r="W5" s="246"/>
      <c r="X5" s="247"/>
      <c r="Y5" s="247"/>
      <c r="AB5" s="246"/>
      <c r="AC5" s="246"/>
      <c r="AD5" s="246"/>
      <c r="AE5" s="246"/>
      <c r="AF5" s="246"/>
      <c r="AG5" s="246"/>
      <c r="AH5" s="246"/>
      <c r="AI5" s="246"/>
      <c r="AJ5" s="246"/>
      <c r="AK5" s="246"/>
    </row>
    <row r="6" spans="1:105">
      <c r="P6" s="238" t="s">
        <v>148</v>
      </c>
    </row>
    <row r="7" spans="1:105" ht="13.5" customHeight="1">
      <c r="A7" s="1353" t="s">
        <v>37</v>
      </c>
      <c r="B7" s="1348" t="s">
        <v>22</v>
      </c>
      <c r="C7" s="1355" t="s">
        <v>1</v>
      </c>
      <c r="D7" s="1356"/>
      <c r="E7" s="1348" t="s">
        <v>0</v>
      </c>
      <c r="F7" s="1348" t="s">
        <v>113</v>
      </c>
      <c r="G7" s="1357" t="s">
        <v>114</v>
      </c>
      <c r="H7" s="1357"/>
      <c r="I7" s="1358" t="s">
        <v>37</v>
      </c>
      <c r="J7" s="1348" t="s">
        <v>190</v>
      </c>
      <c r="K7" s="1348"/>
      <c r="L7" s="1348" t="s">
        <v>191</v>
      </c>
      <c r="M7" s="1348"/>
      <c r="N7" s="1348" t="s">
        <v>258</v>
      </c>
      <c r="O7" s="1348"/>
      <c r="P7" s="1348" t="s">
        <v>596</v>
      </c>
      <c r="Q7" s="1348"/>
      <c r="R7" s="1348" t="s">
        <v>192</v>
      </c>
      <c r="S7" s="1348"/>
      <c r="T7" s="1348" t="s">
        <v>193</v>
      </c>
      <c r="U7" s="1348"/>
      <c r="V7" s="1348" t="s">
        <v>597</v>
      </c>
      <c r="W7" s="1348"/>
      <c r="X7" s="1348" t="s">
        <v>598</v>
      </c>
      <c r="Y7" s="1348"/>
      <c r="Z7" s="1348" t="s">
        <v>599</v>
      </c>
      <c r="AA7" s="1348"/>
      <c r="AB7" s="1348" t="s">
        <v>600</v>
      </c>
      <c r="AC7" s="1348"/>
      <c r="AD7" s="1348" t="s">
        <v>601</v>
      </c>
      <c r="AE7" s="1348"/>
      <c r="AF7" s="1348" t="s">
        <v>602</v>
      </c>
      <c r="AG7" s="1348"/>
      <c r="AH7" s="1348" t="s">
        <v>603</v>
      </c>
      <c r="AI7" s="1348"/>
      <c r="AJ7" s="1348" t="s">
        <v>604</v>
      </c>
      <c r="AK7" s="1348"/>
      <c r="AL7" s="1348" t="s">
        <v>605</v>
      </c>
      <c r="AM7" s="1348"/>
      <c r="AN7" s="1348" t="s">
        <v>606</v>
      </c>
      <c r="AO7" s="1348"/>
      <c r="AP7" s="1348" t="s">
        <v>607</v>
      </c>
      <c r="AQ7" s="1348"/>
      <c r="AR7" s="1348" t="s">
        <v>608</v>
      </c>
      <c r="AS7" s="1348"/>
      <c r="AT7" s="1348" t="s">
        <v>194</v>
      </c>
      <c r="AU7" s="1348"/>
      <c r="AV7" s="1348" t="s">
        <v>195</v>
      </c>
      <c r="AW7" s="1348"/>
      <c r="AX7" s="1348" t="s">
        <v>609</v>
      </c>
      <c r="AY7" s="1348"/>
      <c r="AZ7" s="1348" t="s">
        <v>610</v>
      </c>
      <c r="BA7" s="1348"/>
      <c r="BB7" s="1348" t="s">
        <v>611</v>
      </c>
      <c r="BC7" s="1348"/>
      <c r="BD7" s="1348" t="s">
        <v>196</v>
      </c>
      <c r="BE7" s="1348"/>
      <c r="BF7" s="1348" t="s">
        <v>612</v>
      </c>
      <c r="BG7" s="1348"/>
      <c r="BH7" s="1348" t="s">
        <v>197</v>
      </c>
      <c r="BI7" s="1348"/>
      <c r="BJ7" s="1348" t="s">
        <v>613</v>
      </c>
      <c r="BK7" s="1348"/>
      <c r="BL7" s="1348" t="s">
        <v>614</v>
      </c>
      <c r="BM7" s="1348"/>
      <c r="BN7" s="1348" t="s">
        <v>615</v>
      </c>
      <c r="BO7" s="1348"/>
      <c r="BP7" s="1348" t="s">
        <v>616</v>
      </c>
      <c r="BQ7" s="1348"/>
      <c r="BR7" s="1348" t="s">
        <v>198</v>
      </c>
      <c r="BS7" s="1348"/>
      <c r="BT7" s="1348" t="s">
        <v>199</v>
      </c>
      <c r="BU7" s="1348"/>
      <c r="BV7" s="1348" t="s">
        <v>253</v>
      </c>
      <c r="BW7" s="1348"/>
      <c r="BX7" s="1348" t="s">
        <v>200</v>
      </c>
      <c r="BY7" s="1348"/>
      <c r="BZ7" s="1348" t="s">
        <v>201</v>
      </c>
      <c r="CA7" s="1348"/>
      <c r="CB7" s="1348" t="s">
        <v>202</v>
      </c>
      <c r="CC7" s="1348"/>
      <c r="CD7" s="1348" t="s">
        <v>617</v>
      </c>
      <c r="CE7" s="1348"/>
      <c r="CF7" s="1348" t="s">
        <v>618</v>
      </c>
      <c r="CG7" s="1348"/>
      <c r="CH7" s="1348" t="s">
        <v>203</v>
      </c>
      <c r="CI7" s="1348"/>
      <c r="CJ7" s="1348" t="s">
        <v>619</v>
      </c>
      <c r="CK7" s="1348"/>
      <c r="CL7" s="1348" t="s">
        <v>620</v>
      </c>
      <c r="CM7" s="1348"/>
      <c r="CN7" s="1348" t="s">
        <v>204</v>
      </c>
      <c r="CO7" s="1348"/>
      <c r="CP7" s="1348" t="s">
        <v>621</v>
      </c>
      <c r="CQ7" s="1348"/>
      <c r="CR7" s="1348" t="s">
        <v>205</v>
      </c>
      <c r="CS7" s="1348"/>
      <c r="CT7" s="1348" t="s">
        <v>206</v>
      </c>
      <c r="CU7" s="1348"/>
      <c r="CV7" s="1348" t="s">
        <v>207</v>
      </c>
      <c r="CW7" s="1348"/>
      <c r="CX7" s="1348" t="s">
        <v>208</v>
      </c>
      <c r="CY7" s="1348"/>
      <c r="CZ7" s="1348" t="s">
        <v>209</v>
      </c>
      <c r="DA7" s="1348"/>
    </row>
    <row r="8" spans="1:105" ht="22.5" customHeight="1">
      <c r="A8" s="1354"/>
      <c r="B8" s="1348"/>
      <c r="C8" s="772" t="s">
        <v>17</v>
      </c>
      <c r="D8" s="771" t="s">
        <v>34</v>
      </c>
      <c r="E8" s="1348"/>
      <c r="F8" s="1348"/>
      <c r="G8" s="773" t="s">
        <v>24</v>
      </c>
      <c r="H8" s="773" t="s">
        <v>25</v>
      </c>
      <c r="I8" s="1358"/>
      <c r="J8" s="771" t="s">
        <v>24</v>
      </c>
      <c r="K8" s="771" t="s">
        <v>25</v>
      </c>
      <c r="L8" s="771" t="s">
        <v>24</v>
      </c>
      <c r="M8" s="771" t="s">
        <v>25</v>
      </c>
      <c r="N8" s="771" t="s">
        <v>24</v>
      </c>
      <c r="O8" s="771" t="s">
        <v>25</v>
      </c>
      <c r="P8" s="771" t="s">
        <v>24</v>
      </c>
      <c r="Q8" s="771" t="s">
        <v>25</v>
      </c>
      <c r="R8" s="771" t="s">
        <v>24</v>
      </c>
      <c r="S8" s="771" t="s">
        <v>25</v>
      </c>
      <c r="T8" s="771" t="s">
        <v>24</v>
      </c>
      <c r="U8" s="771" t="s">
        <v>25</v>
      </c>
      <c r="V8" s="771" t="s">
        <v>24</v>
      </c>
      <c r="W8" s="771" t="s">
        <v>25</v>
      </c>
      <c r="X8" s="771" t="s">
        <v>24</v>
      </c>
      <c r="Y8" s="771" t="s">
        <v>25</v>
      </c>
      <c r="Z8" s="771" t="s">
        <v>24</v>
      </c>
      <c r="AA8" s="771" t="s">
        <v>25</v>
      </c>
      <c r="AB8" s="771" t="s">
        <v>24</v>
      </c>
      <c r="AC8" s="771" t="s">
        <v>25</v>
      </c>
      <c r="AD8" s="771" t="s">
        <v>24</v>
      </c>
      <c r="AE8" s="771" t="s">
        <v>25</v>
      </c>
      <c r="AF8" s="771" t="s">
        <v>24</v>
      </c>
      <c r="AG8" s="771" t="s">
        <v>25</v>
      </c>
      <c r="AH8" s="771" t="s">
        <v>24</v>
      </c>
      <c r="AI8" s="771" t="s">
        <v>25</v>
      </c>
      <c r="AJ8" s="771" t="s">
        <v>24</v>
      </c>
      <c r="AK8" s="771" t="s">
        <v>25</v>
      </c>
      <c r="AL8" s="771" t="s">
        <v>24</v>
      </c>
      <c r="AM8" s="771" t="s">
        <v>25</v>
      </c>
      <c r="AN8" s="771" t="s">
        <v>24</v>
      </c>
      <c r="AO8" s="771" t="s">
        <v>25</v>
      </c>
      <c r="AP8" s="771" t="s">
        <v>24</v>
      </c>
      <c r="AQ8" s="771" t="s">
        <v>25</v>
      </c>
      <c r="AR8" s="771" t="s">
        <v>24</v>
      </c>
      <c r="AS8" s="771" t="s">
        <v>25</v>
      </c>
      <c r="AT8" s="771" t="s">
        <v>24</v>
      </c>
      <c r="AU8" s="771" t="s">
        <v>25</v>
      </c>
      <c r="AV8" s="771" t="s">
        <v>24</v>
      </c>
      <c r="AW8" s="771" t="s">
        <v>25</v>
      </c>
      <c r="AX8" s="771" t="s">
        <v>24</v>
      </c>
      <c r="AY8" s="771" t="s">
        <v>25</v>
      </c>
      <c r="AZ8" s="771" t="s">
        <v>24</v>
      </c>
      <c r="BA8" s="771" t="s">
        <v>25</v>
      </c>
      <c r="BB8" s="771" t="s">
        <v>24</v>
      </c>
      <c r="BC8" s="771" t="s">
        <v>25</v>
      </c>
      <c r="BD8" s="771" t="s">
        <v>24</v>
      </c>
      <c r="BE8" s="771" t="s">
        <v>25</v>
      </c>
      <c r="BF8" s="771" t="s">
        <v>24</v>
      </c>
      <c r="BG8" s="771" t="s">
        <v>25</v>
      </c>
      <c r="BH8" s="771" t="s">
        <v>24</v>
      </c>
      <c r="BI8" s="771" t="s">
        <v>25</v>
      </c>
      <c r="BJ8" s="771" t="s">
        <v>24</v>
      </c>
      <c r="BK8" s="771" t="s">
        <v>25</v>
      </c>
      <c r="BL8" s="771" t="s">
        <v>24</v>
      </c>
      <c r="BM8" s="771" t="s">
        <v>25</v>
      </c>
      <c r="BN8" s="771" t="s">
        <v>24</v>
      </c>
      <c r="BO8" s="771" t="s">
        <v>25</v>
      </c>
      <c r="BP8" s="771" t="s">
        <v>24</v>
      </c>
      <c r="BQ8" s="771" t="s">
        <v>25</v>
      </c>
      <c r="BR8" s="771" t="s">
        <v>24</v>
      </c>
      <c r="BS8" s="771" t="s">
        <v>25</v>
      </c>
      <c r="BT8" s="771" t="s">
        <v>24</v>
      </c>
      <c r="BU8" s="771" t="s">
        <v>25</v>
      </c>
      <c r="BV8" s="771" t="s">
        <v>24</v>
      </c>
      <c r="BW8" s="771" t="s">
        <v>25</v>
      </c>
      <c r="BX8" s="771" t="s">
        <v>24</v>
      </c>
      <c r="BY8" s="771" t="s">
        <v>25</v>
      </c>
      <c r="BZ8" s="771" t="s">
        <v>24</v>
      </c>
      <c r="CA8" s="771" t="s">
        <v>25</v>
      </c>
      <c r="CB8" s="771" t="s">
        <v>24</v>
      </c>
      <c r="CC8" s="771" t="s">
        <v>25</v>
      </c>
      <c r="CD8" s="771" t="s">
        <v>24</v>
      </c>
      <c r="CE8" s="771" t="s">
        <v>25</v>
      </c>
      <c r="CF8" s="771" t="s">
        <v>24</v>
      </c>
      <c r="CG8" s="771" t="s">
        <v>25</v>
      </c>
      <c r="CH8" s="771" t="s">
        <v>24</v>
      </c>
      <c r="CI8" s="771" t="s">
        <v>25</v>
      </c>
      <c r="CJ8" s="771" t="s">
        <v>24</v>
      </c>
      <c r="CK8" s="771" t="s">
        <v>25</v>
      </c>
      <c r="CL8" s="771" t="s">
        <v>24</v>
      </c>
      <c r="CM8" s="771" t="s">
        <v>25</v>
      </c>
      <c r="CN8" s="771" t="s">
        <v>24</v>
      </c>
      <c r="CO8" s="771" t="s">
        <v>25</v>
      </c>
      <c r="CP8" s="771" t="s">
        <v>24</v>
      </c>
      <c r="CQ8" s="771" t="s">
        <v>25</v>
      </c>
      <c r="CR8" s="771" t="s">
        <v>24</v>
      </c>
      <c r="CS8" s="771" t="s">
        <v>25</v>
      </c>
      <c r="CT8" s="771" t="s">
        <v>24</v>
      </c>
      <c r="CU8" s="771" t="s">
        <v>25</v>
      </c>
      <c r="CV8" s="771" t="s">
        <v>24</v>
      </c>
      <c r="CW8" s="771" t="s">
        <v>25</v>
      </c>
      <c r="CX8" s="771" t="s">
        <v>24</v>
      </c>
      <c r="CY8" s="771" t="s">
        <v>25</v>
      </c>
      <c r="CZ8" s="771" t="s">
        <v>24</v>
      </c>
      <c r="DA8" s="771"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 ca="1">'SC-I'!J53</f>
        <v>0</v>
      </c>
      <c r="K10" s="256">
        <f ca="1">'SC-I'!K53</f>
        <v>0</v>
      </c>
      <c r="L10" s="256">
        <f ca="1">'SC-I'!L53</f>
        <v>0</v>
      </c>
      <c r="M10" s="256">
        <f ca="1">'SC-I'!M53</f>
        <v>0</v>
      </c>
      <c r="N10" s="256">
        <f ca="1">'SC-I'!N53</f>
        <v>0</v>
      </c>
      <c r="O10" s="256">
        <f ca="1">'SC-I'!O53</f>
        <v>0</v>
      </c>
      <c r="P10" s="256">
        <f ca="1">'SC-I'!P53</f>
        <v>0</v>
      </c>
      <c r="Q10" s="256">
        <f ca="1">'SC-I'!Q53</f>
        <v>0</v>
      </c>
      <c r="R10" s="256">
        <f ca="1">'SC-I'!R53</f>
        <v>0</v>
      </c>
      <c r="S10" s="256">
        <f ca="1">'SC-I'!S53</f>
        <v>0</v>
      </c>
      <c r="T10" s="256">
        <f ca="1">'SC-I'!T53</f>
        <v>0</v>
      </c>
      <c r="U10" s="256">
        <f ca="1">'SC-I'!U53</f>
        <v>0</v>
      </c>
      <c r="V10" s="256">
        <f ca="1">'SC-I'!V53</f>
        <v>0</v>
      </c>
      <c r="W10" s="256">
        <f ca="1">'SC-I'!W53</f>
        <v>0</v>
      </c>
      <c r="X10" s="256">
        <f ca="1">'SC-I'!X53</f>
        <v>0</v>
      </c>
      <c r="Y10" s="256">
        <f ca="1">'SC-I'!Y53</f>
        <v>0</v>
      </c>
      <c r="Z10" s="256">
        <f ca="1">'SC-I'!Z53</f>
        <v>0</v>
      </c>
      <c r="AA10" s="256">
        <f ca="1">'SC-I'!AA53</f>
        <v>0</v>
      </c>
      <c r="AB10" s="256">
        <f ca="1">'SC-I'!AB53</f>
        <v>0</v>
      </c>
      <c r="AC10" s="256">
        <f ca="1">'SC-I'!AC53</f>
        <v>0</v>
      </c>
      <c r="AD10" s="256">
        <f ca="1">'SC-I'!AD53</f>
        <v>0</v>
      </c>
      <c r="AE10" s="256">
        <f ca="1">'SC-I'!AE53</f>
        <v>0</v>
      </c>
      <c r="AF10" s="256">
        <f ca="1">'SC-I'!AF53</f>
        <v>0</v>
      </c>
      <c r="AG10" s="256">
        <f ca="1">'SC-I'!AG53</f>
        <v>0</v>
      </c>
      <c r="AH10" s="256">
        <f ca="1">'SC-I'!AH53</f>
        <v>0</v>
      </c>
      <c r="AI10" s="256">
        <f ca="1">'SC-I'!AI53</f>
        <v>0</v>
      </c>
      <c r="AJ10" s="256">
        <f ca="1">'SC-I'!AJ53</f>
        <v>0</v>
      </c>
      <c r="AK10" s="256">
        <f ca="1">'SC-I'!AK53</f>
        <v>0</v>
      </c>
      <c r="AL10" s="256">
        <f ca="1">'SC-I'!AL53</f>
        <v>0</v>
      </c>
      <c r="AM10" s="256">
        <f ca="1">'SC-I'!AM53</f>
        <v>0</v>
      </c>
      <c r="AN10" s="256">
        <f ca="1">'SC-I'!AN53</f>
        <v>0</v>
      </c>
      <c r="AO10" s="256">
        <f ca="1">'SC-I'!AO53</f>
        <v>0</v>
      </c>
      <c r="AP10" s="256">
        <f ca="1">'SC-I'!AP53</f>
        <v>0</v>
      </c>
      <c r="AQ10" s="256">
        <f ca="1">'SC-I'!AQ53</f>
        <v>0</v>
      </c>
      <c r="AR10" s="256">
        <f ca="1">'SC-I'!AR53</f>
        <v>0</v>
      </c>
      <c r="AS10" s="256">
        <f ca="1">'SC-I'!AS53</f>
        <v>0</v>
      </c>
      <c r="AT10" s="256">
        <f ca="1">'SC-I'!AT53</f>
        <v>0</v>
      </c>
      <c r="AU10" s="256">
        <f ca="1">'SC-I'!AU53</f>
        <v>0</v>
      </c>
      <c r="AV10" s="256">
        <f ca="1">'SC-I'!AV53</f>
        <v>0</v>
      </c>
      <c r="AW10" s="256">
        <f ca="1">'SC-I'!AW53</f>
        <v>0</v>
      </c>
      <c r="AX10" s="256">
        <f ca="1">'SC-I'!AX53</f>
        <v>0</v>
      </c>
      <c r="AY10" s="256">
        <f ca="1">'SC-I'!AY53</f>
        <v>0</v>
      </c>
      <c r="AZ10" s="256">
        <f ca="1">'SC-I'!AZ53</f>
        <v>0</v>
      </c>
      <c r="BA10" s="256">
        <f ca="1">'SC-I'!BA53</f>
        <v>0</v>
      </c>
      <c r="BB10" s="256">
        <f ca="1">'SC-I'!BB53</f>
        <v>0</v>
      </c>
      <c r="BC10" s="256">
        <f ca="1">'SC-I'!BC53</f>
        <v>0</v>
      </c>
      <c r="BD10" s="256">
        <f ca="1">'SC-I'!BD53</f>
        <v>0</v>
      </c>
      <c r="BE10" s="256">
        <f ca="1">'SC-I'!BE53</f>
        <v>0</v>
      </c>
      <c r="BF10" s="256">
        <f ca="1">'SC-I'!BF53</f>
        <v>0</v>
      </c>
      <c r="BG10" s="256">
        <f ca="1">'SC-I'!BG53</f>
        <v>0</v>
      </c>
      <c r="BH10" s="256">
        <f ca="1">'SC-I'!BH53</f>
        <v>0</v>
      </c>
      <c r="BI10" s="256">
        <f ca="1">'SC-I'!BI53</f>
        <v>0</v>
      </c>
      <c r="BJ10" s="256">
        <f ca="1">'SC-I'!BJ53</f>
        <v>0</v>
      </c>
      <c r="BK10" s="256">
        <f ca="1">'SC-I'!BK53</f>
        <v>0</v>
      </c>
      <c r="BL10" s="256">
        <f ca="1">'SC-I'!BL53</f>
        <v>0</v>
      </c>
      <c r="BM10" s="256">
        <f ca="1">'SC-I'!BM53</f>
        <v>0</v>
      </c>
      <c r="BN10" s="256">
        <f ca="1">'SC-I'!BN53</f>
        <v>0</v>
      </c>
      <c r="BO10" s="256">
        <f ca="1">'SC-I'!BO53</f>
        <v>0</v>
      </c>
      <c r="BP10" s="256">
        <f ca="1">'SC-I'!BP53</f>
        <v>0</v>
      </c>
      <c r="BQ10" s="256">
        <f ca="1">'SC-I'!BQ53</f>
        <v>0</v>
      </c>
      <c r="BR10" s="256">
        <f ca="1">'SC-I'!BR53</f>
        <v>0</v>
      </c>
      <c r="BS10" s="256">
        <f ca="1">'SC-I'!BS53</f>
        <v>0</v>
      </c>
      <c r="BT10" s="256">
        <f ca="1">'SC-I'!BT53</f>
        <v>0</v>
      </c>
      <c r="BU10" s="256">
        <f ca="1">'SC-I'!BU53</f>
        <v>0</v>
      </c>
      <c r="BV10" s="256">
        <f ca="1">'SC-I'!BV53</f>
        <v>0</v>
      </c>
      <c r="BW10" s="256">
        <f ca="1">'SC-I'!BW53</f>
        <v>0</v>
      </c>
      <c r="BX10" s="256">
        <f ca="1">'SC-I'!BX53</f>
        <v>0</v>
      </c>
      <c r="BY10" s="256">
        <f ca="1">'SC-I'!BY53</f>
        <v>0</v>
      </c>
      <c r="BZ10" s="256">
        <f ca="1">'SC-I'!BZ53</f>
        <v>0</v>
      </c>
      <c r="CA10" s="256">
        <f ca="1">'SC-I'!CA53</f>
        <v>107861885.00000048</v>
      </c>
      <c r="CB10" s="256">
        <f ca="1">'SC-I'!CB53</f>
        <v>107861885.00000048</v>
      </c>
      <c r="CC10" s="256">
        <f ca="1">'SC-I'!CC53</f>
        <v>0</v>
      </c>
      <c r="CD10" s="256">
        <f ca="1">'SC-I'!CD53</f>
        <v>0</v>
      </c>
      <c r="CE10" s="256">
        <f ca="1">'SC-I'!CE53</f>
        <v>0</v>
      </c>
      <c r="CF10" s="256">
        <f ca="1">'SC-I'!CF53</f>
        <v>0</v>
      </c>
      <c r="CG10" s="256">
        <f ca="1">'SC-I'!CG53</f>
        <v>0</v>
      </c>
      <c r="CH10" s="256">
        <f ca="1">'SC-I'!CH53</f>
        <v>0</v>
      </c>
      <c r="CI10" s="256">
        <f ca="1">'SC-I'!CI53</f>
        <v>0</v>
      </c>
      <c r="CJ10" s="256">
        <f ca="1">'SC-I'!CJ53</f>
        <v>0</v>
      </c>
      <c r="CK10" s="256">
        <f ca="1">'SC-I'!CK53</f>
        <v>0</v>
      </c>
      <c r="CL10" s="256">
        <f ca="1">'SC-I'!CL53</f>
        <v>0</v>
      </c>
      <c r="CM10" s="256">
        <f ca="1">'SC-I'!CM53</f>
        <v>0</v>
      </c>
      <c r="CN10" s="256">
        <f ca="1">'SC-I'!CN53</f>
        <v>0</v>
      </c>
      <c r="CO10" s="256">
        <f ca="1">'SC-I'!CO53</f>
        <v>0</v>
      </c>
      <c r="CP10" s="256">
        <f ca="1">'SC-I'!CP53</f>
        <v>0</v>
      </c>
      <c r="CQ10" s="256">
        <f ca="1">'SC-I'!CQ53</f>
        <v>0</v>
      </c>
      <c r="CR10" s="256">
        <f ca="1">'SC-I'!CR53</f>
        <v>0</v>
      </c>
      <c r="CS10" s="256">
        <f ca="1">'SC-I'!CS53</f>
        <v>0</v>
      </c>
      <c r="CT10" s="256">
        <f ca="1">'SC-I'!CT53</f>
        <v>0</v>
      </c>
      <c r="CU10" s="256">
        <f ca="1">'SC-I'!CU53</f>
        <v>0</v>
      </c>
      <c r="CV10" s="256">
        <f ca="1">'SC-I'!CV53</f>
        <v>0</v>
      </c>
      <c r="CW10" s="256">
        <f ca="1">'SC-I'!CW53</f>
        <v>0</v>
      </c>
      <c r="CX10" s="256">
        <f ca="1">'SC-I'!CX53</f>
        <v>0</v>
      </c>
      <c r="CY10" s="256">
        <f ca="1">'SC-I'!CY53</f>
        <v>0</v>
      </c>
      <c r="CZ10" s="256">
        <f ca="1">'SC-I'!CZ53</f>
        <v>0</v>
      </c>
      <c r="DA10" s="256">
        <f ca="1">'SC-I'!DA53</f>
        <v>0</v>
      </c>
    </row>
    <row r="11" spans="1:105" s="257" customFormat="1" ht="15" customHeight="1">
      <c r="A11" s="60">
        <f t="array" aca="1" ref="A11" ca="1">IF(C11&lt;&gt;0,SUM(($C$11:C11&lt;&gt;0)*1),"")</f>
        <v>1</v>
      </c>
      <c r="B11" s="258" t="str">
        <f ca="1">IF(ROWS($1:1)&gt;COUNT(Dong7),"",OFFSET(TH!C$1,SMALL(Dong7,ROWS($1:1)),))</f>
        <v/>
      </c>
      <c r="C11" s="258" t="str">
        <f ca="1">IF(ROWS($1:1)&gt;COUNT(Dong7),"",OFFSET(TH!D$1,SMALL(Dong7,ROWS($1:1)),))</f>
        <v/>
      </c>
      <c r="D11" s="258" t="str">
        <f ca="1">IF(ROWS($1:1)&gt;COUNT(Dong7),"",OFFSET(TH!E$1,SMALL(Dong7,ROWS($1:1)),))</f>
        <v/>
      </c>
      <c r="E11" s="337" t="str">
        <f ca="1">IF(ROWS($1:1)&gt;COUNT(Dong7),"",OFFSET(TH!F$1,SMALL(Dong7,ROWS($1:1)),))</f>
        <v/>
      </c>
      <c r="F11" s="309" t="str">
        <f ca="1">IF(ROWS($1:1)&gt;COUNT(Dong7),"",OFFSET(TH!M$1,SMALL(Dong7,ROWS($1:1)),))</f>
        <v/>
      </c>
      <c r="G11" s="311" t="str">
        <f ca="1">IF(ROWS($1:1)&gt;COUNT(Dong7),"",OFFSET(TH!N$1,SMALL(Dong7,ROWS($1:1)),))</f>
        <v/>
      </c>
      <c r="H11" s="311" t="str">
        <f ca="1">IF(ROWS($1:1)&gt;COUNT(Dong7),"",OFFSET(TH!O$1,SMALL(Dong7,ROWS($1:1)),))</f>
        <v/>
      </c>
      <c r="I11" s="60">
        <f t="shared" ref="I11:I21" ca="1" si="0">A11</f>
        <v>1</v>
      </c>
      <c r="J11" s="260">
        <f ca="1">IF($G11="1111",$F11,0)</f>
        <v>0</v>
      </c>
      <c r="K11" s="260">
        <f ca="1">IF($H11="1111",$F11,0)</f>
        <v>0</v>
      </c>
      <c r="L11" s="260">
        <f t="shared" ref="L11:L50" ca="1" si="1">IF($G11="1121",$F11,0)</f>
        <v>0</v>
      </c>
      <c r="M11" s="260">
        <f t="shared" ref="M11:M50" ca="1" si="2">IF($H11="1121",$F11,0)</f>
        <v>0</v>
      </c>
      <c r="N11" s="260">
        <f t="shared" ref="N11:N50" ca="1" si="3">IF($G11="1122",$F11,0)</f>
        <v>0</v>
      </c>
      <c r="O11" s="260">
        <f t="shared" ref="O11:O50" ca="1" si="4">IF($H11="1122",$F11,0)</f>
        <v>0</v>
      </c>
      <c r="P11" s="260">
        <f t="shared" ref="P11:P50" ca="1" si="5">IF($G11="131",$F11,0)</f>
        <v>0</v>
      </c>
      <c r="Q11" s="260">
        <f t="shared" ref="Q11:Q50" ca="1" si="6">IF($H11="131",$F11,0)</f>
        <v>0</v>
      </c>
      <c r="R11" s="260">
        <f t="shared" ref="R11:R50" ca="1" si="7">IF($G11="1331",$F11,0)</f>
        <v>0</v>
      </c>
      <c r="S11" s="260">
        <f t="shared" ref="S11:S50" ca="1" si="8">IF($H11="1331",$F11,0)</f>
        <v>0</v>
      </c>
      <c r="T11" s="260">
        <f t="shared" ref="T11:T50" ca="1" si="9">IF($G11="1388",$F11,0)</f>
        <v>0</v>
      </c>
      <c r="U11" s="260">
        <f t="shared" ref="U11:U50" ca="1" si="10">IF($H11="1388",$F11,0)</f>
        <v>0</v>
      </c>
      <c r="V11" s="260">
        <f t="shared" ref="V11:V50" ca="1" si="11">IF($G11="141",$F11,0)</f>
        <v>0</v>
      </c>
      <c r="W11" s="260">
        <f t="shared" ref="W11:W50" ca="1" si="12">IF($H11="141",$F11,0)</f>
        <v>0</v>
      </c>
      <c r="X11" s="260">
        <f t="shared" ref="X11:X50" ca="1" si="13">IF($G11="1521",$F11,0)</f>
        <v>0</v>
      </c>
      <c r="Y11" s="260">
        <f t="shared" ref="Y11:Y50" ca="1" si="14">IF($H11="1521",$F11,0)</f>
        <v>0</v>
      </c>
      <c r="Z11" s="260">
        <f t="shared" ref="Z11:Z50" ca="1" si="15">IF($G11="1522",$F11,0)</f>
        <v>0</v>
      </c>
      <c r="AA11" s="260">
        <f t="shared" ref="AA11:AA50" ca="1" si="16">IF($H11="1522",$F11,0)</f>
        <v>0</v>
      </c>
      <c r="AB11" s="260">
        <f ca="1">IF($G11="153",$F11,0)</f>
        <v>0</v>
      </c>
      <c r="AC11" s="260">
        <f ca="1">IF($H11="153",$F11,0)</f>
        <v>0</v>
      </c>
      <c r="AD11" s="260">
        <f t="shared" ref="AD11:AD50" ca="1" si="17">IF($G11="154",$F11,0)</f>
        <v>0</v>
      </c>
      <c r="AE11" s="260">
        <f t="shared" ref="AE11:AE50" ca="1" si="18">IF($H11="154",$F11,0)</f>
        <v>0</v>
      </c>
      <c r="AF11" s="260">
        <f t="shared" ref="AF11:AF50" ca="1" si="19">IF($G11="155",$F11,0)</f>
        <v>0</v>
      </c>
      <c r="AG11" s="260">
        <f t="shared" ref="AG11:AG50"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0" ca="1" si="21">IF($G11="2141",$F11,0)</f>
        <v>0</v>
      </c>
      <c r="AQ11" s="260">
        <f t="shared" ref="AQ11:AQ50" ca="1" si="22">IF($H11="2141",$F11,0)</f>
        <v>0</v>
      </c>
      <c r="AR11" s="260">
        <f t="shared" ref="AR11:AR50" ca="1" si="23">IF($G11="2143",$F11,0)</f>
        <v>0</v>
      </c>
      <c r="AS11" s="260">
        <f t="shared" ref="AS11:AS50" ca="1" si="24">IF($H11="2143",$F11,0)</f>
        <v>0</v>
      </c>
      <c r="AT11" s="260">
        <f ca="1">IF($G11="2412",$F11,0)</f>
        <v>0</v>
      </c>
      <c r="AU11" s="260">
        <f ca="1">IF($H11="2412",$F11,0)</f>
        <v>0</v>
      </c>
      <c r="AV11" s="260">
        <f t="shared" ref="AV11:AV50" ca="1" si="25">IF($G11="331",$F11,0)</f>
        <v>0</v>
      </c>
      <c r="AW11" s="260">
        <f t="shared" ref="AW11:AW50" ca="1" si="26">IF($H11="331",$F11,0)</f>
        <v>0</v>
      </c>
      <c r="AX11" s="260">
        <f t="shared" ref="AX11:AX50" ca="1" si="27">IF($G11="33311",$F11,0)</f>
        <v>0</v>
      </c>
      <c r="AY11" s="260">
        <f t="shared" ref="AY11:AY50" ca="1" si="28">IF($H11="33311",$F11,0)</f>
        <v>0</v>
      </c>
      <c r="AZ11" s="260">
        <f t="shared" ref="AZ11:AZ50" ca="1" si="29">IF($G11="33312",$F11,0)</f>
        <v>0</v>
      </c>
      <c r="BA11" s="260">
        <f t="shared" ref="BA11:BA50" ca="1" si="30">IF($H11="33312",$F11,0)</f>
        <v>0</v>
      </c>
      <c r="BB11" s="260">
        <f t="shared" ref="BB11:BB50" ca="1" si="31">IF($G11="3333",$F11,0)</f>
        <v>0</v>
      </c>
      <c r="BC11" s="260">
        <f t="shared" ref="BC11:BC50" ca="1" si="32">IF($H11="3333",$F11,0)</f>
        <v>0</v>
      </c>
      <c r="BD11" s="260">
        <f t="shared" ref="BD11:BD50" ca="1" si="33">IF($G11="3334",$F11,0)</f>
        <v>0</v>
      </c>
      <c r="BE11" s="260">
        <f t="shared" ref="BE11:BE50" ca="1" si="34">IF($H11="3334",$F11,0)</f>
        <v>0</v>
      </c>
      <c r="BF11" s="260">
        <f t="shared" ref="BF11:BF50" ca="1" si="35">IF($G11="3335",$F11,0)</f>
        <v>0</v>
      </c>
      <c r="BG11" s="260">
        <f t="shared" ref="BG11:BG50" ca="1" si="36">IF($H11="3335",$F11,0)</f>
        <v>0</v>
      </c>
      <c r="BH11" s="260">
        <f ca="1">IF($G11="33382",$F11,0)</f>
        <v>0</v>
      </c>
      <c r="BI11" s="260">
        <f ca="1">IF($H11="33382",$F11,0)</f>
        <v>0</v>
      </c>
      <c r="BJ11" s="260">
        <f t="shared" ref="BJ11:BJ50" ca="1" si="37">IF($G11="3341",$F11,0)</f>
        <v>0</v>
      </c>
      <c r="BK11" s="260">
        <f t="shared" ref="BK11:BK50" ca="1" si="38">IF($H11="3341",$F11,0)</f>
        <v>0</v>
      </c>
      <c r="BL11" s="260">
        <f t="shared" ref="BL11:BL50" ca="1" si="39">IF($G11="3383",$F11,0)</f>
        <v>0</v>
      </c>
      <c r="BM11" s="260">
        <f t="shared" ref="BM11:BM50" ca="1" si="40">IF($H11="3383",$F11,0)</f>
        <v>0</v>
      </c>
      <c r="BN11" s="260">
        <f t="shared" ref="BN11:BN50" ca="1" si="41">IF($G11="3384",$F11,0)</f>
        <v>0</v>
      </c>
      <c r="BO11" s="260">
        <f t="shared" ref="BO11:BO50" ca="1" si="42">IF($H11="3384",$F11,0)</f>
        <v>0</v>
      </c>
      <c r="BP11" s="260">
        <f ca="1">IF($G11="3386",$F11,0)</f>
        <v>0</v>
      </c>
      <c r="BQ11" s="260">
        <f ca="1">IF($H11="3386",$F11,0)</f>
        <v>0</v>
      </c>
      <c r="BR11" s="260">
        <f t="shared" ref="BR11:BR50" ca="1" si="43">IF($G11="3388",$F11,0)</f>
        <v>0</v>
      </c>
      <c r="BS11" s="260">
        <f t="shared" ref="BS11:BS50" ca="1" si="44">IF($H11="3388",$F11,0)</f>
        <v>0</v>
      </c>
      <c r="BT11" s="260">
        <f ca="1">IF($G11="3411",$F11,0)</f>
        <v>0</v>
      </c>
      <c r="BU11" s="260">
        <f ca="1">IF($H11="3411",$F11,0)</f>
        <v>0</v>
      </c>
      <c r="BV11" s="260">
        <f ca="1">IF($G11="3412",$F11,0)</f>
        <v>0</v>
      </c>
      <c r="BW11" s="260">
        <f ca="1">IF($H11="3412",$F11,0)</f>
        <v>0</v>
      </c>
      <c r="BX11" s="260">
        <f t="shared" ref="BX11:BX50" ca="1" si="45">IF($G11="4111",$F11,0)</f>
        <v>0</v>
      </c>
      <c r="BY11" s="260">
        <f t="shared" ref="BY11:BY50" ca="1" si="46">IF($H11="4111",$F11,0)</f>
        <v>0</v>
      </c>
      <c r="BZ11" s="260">
        <f t="shared" ref="BZ11:BZ50" ca="1" si="47">IF($G11="4211",$F11,0)</f>
        <v>0</v>
      </c>
      <c r="CA11" s="260">
        <f t="shared" ref="CA11:CA50" ca="1" si="48">IF($H11="4211",$F11,0)</f>
        <v>0</v>
      </c>
      <c r="CB11" s="260">
        <f t="shared" ref="CB11:CB50" ca="1" si="49">IF($G11="4212",$F11,0)</f>
        <v>0</v>
      </c>
      <c r="CC11" s="260">
        <f t="shared" ref="CC11:CC50" ca="1" si="50">IF($H11="4212",$F11,0)</f>
        <v>0</v>
      </c>
      <c r="CD11" s="260">
        <f ca="1">IF($G11="5112N",$F11,0)</f>
        <v>0</v>
      </c>
      <c r="CE11" s="260">
        <f ca="1">IF($H11="5112N",$F11,0)</f>
        <v>0</v>
      </c>
      <c r="CF11" s="260">
        <f ca="1">IF($G11="5112X",$F11,0)</f>
        <v>0</v>
      </c>
      <c r="CG11" s="260">
        <f ca="1">IF($H11="5112X",$F11,0)</f>
        <v>0</v>
      </c>
      <c r="CH11" s="260">
        <f t="shared" ref="CH11:CH50" ca="1" si="51">IF($G11="515",$F11,0)</f>
        <v>0</v>
      </c>
      <c r="CI11" s="260">
        <f t="shared" ref="CI11:CI50" ca="1" si="52">IF($H11="515",$F11,0)</f>
        <v>0</v>
      </c>
      <c r="CJ11" s="260">
        <f ca="1">IF($G11="5213",$F11,0)</f>
        <v>0</v>
      </c>
      <c r="CK11" s="260">
        <f ca="1">IF($H11="5213",$F11,0)</f>
        <v>0</v>
      </c>
      <c r="CL11" s="260">
        <f t="shared" ref="CL11:CL50" ca="1" si="53">IF($G11="632",$F11,0)</f>
        <v>0</v>
      </c>
      <c r="CM11" s="260">
        <f t="shared" ref="CM11:CM50" ca="1" si="54">IF($H11="632",$F11,0)</f>
        <v>0</v>
      </c>
      <c r="CN11" s="260">
        <f t="shared" ref="CN11:CN50" ca="1" si="55">IF($G11="635",$F11,0)</f>
        <v>0</v>
      </c>
      <c r="CO11" s="260">
        <f t="shared" ref="CO11:CO50" ca="1" si="56">IF($H11="635",$F11,0)</f>
        <v>0</v>
      </c>
      <c r="CP11" s="260">
        <f ca="1">IF($G11="641",$F11,0)</f>
        <v>0</v>
      </c>
      <c r="CQ11" s="260">
        <f ca="1">IF($H11="641",$F11,0)</f>
        <v>0</v>
      </c>
      <c r="CR11" s="260">
        <f ca="1">IF($G11="642",$F11,0)</f>
        <v>0</v>
      </c>
      <c r="CS11" s="260">
        <f ca="1">IF($H11="642",$F11,0)</f>
        <v>0</v>
      </c>
      <c r="CT11" s="260">
        <f t="shared" ref="CT11:CT50" ca="1" si="57">IF($G11="711",$F11,0)</f>
        <v>0</v>
      </c>
      <c r="CU11" s="260">
        <f t="shared" ref="CU11:CU50" ca="1" si="58">IF($H11="711",$F11,0)</f>
        <v>0</v>
      </c>
      <c r="CV11" s="260">
        <f t="shared" ref="CV11:CV50" ca="1" si="59">IF($G11="811",$F11,0)</f>
        <v>0</v>
      </c>
      <c r="CW11" s="260">
        <f t="shared" ref="CW11:CW50" ca="1" si="60">IF($H11="811",$F11,0)</f>
        <v>0</v>
      </c>
      <c r="CX11" s="260">
        <f ca="1">IF($G11="821",$F11,0)</f>
        <v>0</v>
      </c>
      <c r="CY11" s="260">
        <f ca="1">IF($H11="821",$F11,0)</f>
        <v>0</v>
      </c>
      <c r="CZ11" s="260">
        <f ca="1">IF($G11="911",$F11,0)</f>
        <v>0</v>
      </c>
      <c r="DA11" s="260">
        <f ca="1">IF($H11="911",$F11,0)</f>
        <v>0</v>
      </c>
    </row>
    <row r="12" spans="1:105" s="257" customFormat="1" ht="15" customHeight="1">
      <c r="A12" s="60" t="str">
        <f t="array" ref="A12">IF(C12&lt;&gt;0,SUM(($C$11:C12&lt;&gt;0)*1),"")</f>
        <v/>
      </c>
      <c r="B12" s="258"/>
      <c r="C12" s="258"/>
      <c r="D12" s="258"/>
      <c r="E12" s="337"/>
      <c r="F12" s="309"/>
      <c r="G12" s="311"/>
      <c r="H12" s="311"/>
      <c r="I12" s="60" t="str">
        <f t="shared" si="0"/>
        <v/>
      </c>
      <c r="J12" s="260">
        <f t="shared" ref="J12:J50" si="61">IF($G12="1111",$F12,0)</f>
        <v>0</v>
      </c>
      <c r="K12" s="260">
        <f t="shared" ref="K12:K50" si="62">IF($H12="1111",$F12,0)</f>
        <v>0</v>
      </c>
      <c r="L12" s="260">
        <f t="shared" si="1"/>
        <v>0</v>
      </c>
      <c r="M12" s="260">
        <f t="shared" si="2"/>
        <v>0</v>
      </c>
      <c r="N12" s="260">
        <f t="shared" si="3"/>
        <v>0</v>
      </c>
      <c r="O12" s="260">
        <f t="shared" si="4"/>
        <v>0</v>
      </c>
      <c r="P12" s="260">
        <f t="shared" si="5"/>
        <v>0</v>
      </c>
      <c r="Q12" s="260">
        <f t="shared" si="6"/>
        <v>0</v>
      </c>
      <c r="R12" s="260">
        <f t="shared" si="7"/>
        <v>0</v>
      </c>
      <c r="S12" s="260">
        <f t="shared" si="8"/>
        <v>0</v>
      </c>
      <c r="T12" s="260">
        <f t="shared" si="9"/>
        <v>0</v>
      </c>
      <c r="U12" s="260">
        <f t="shared" si="10"/>
        <v>0</v>
      </c>
      <c r="V12" s="260">
        <f t="shared" si="11"/>
        <v>0</v>
      </c>
      <c r="W12" s="260">
        <f t="shared" si="12"/>
        <v>0</v>
      </c>
      <c r="X12" s="260">
        <f t="shared" si="13"/>
        <v>0</v>
      </c>
      <c r="Y12" s="260">
        <f t="shared" si="14"/>
        <v>0</v>
      </c>
      <c r="Z12" s="260">
        <f t="shared" si="15"/>
        <v>0</v>
      </c>
      <c r="AA12" s="260">
        <f t="shared" si="16"/>
        <v>0</v>
      </c>
      <c r="AB12" s="260">
        <f t="shared" ref="AB12:AB50" si="63">IF($G12="153",$F12,0)</f>
        <v>0</v>
      </c>
      <c r="AC12" s="260">
        <f t="shared" ref="AC12:AC50" si="64">IF($H12="153",$F12,0)</f>
        <v>0</v>
      </c>
      <c r="AD12" s="260">
        <f t="shared" si="17"/>
        <v>0</v>
      </c>
      <c r="AE12" s="260">
        <f t="shared" si="18"/>
        <v>0</v>
      </c>
      <c r="AF12" s="260">
        <f t="shared" si="19"/>
        <v>0</v>
      </c>
      <c r="AG12" s="260">
        <f t="shared" si="20"/>
        <v>0</v>
      </c>
      <c r="AH12" s="260">
        <f t="shared" ref="AH12:AH50" si="65">IF($G12="2111",$F12,0)</f>
        <v>0</v>
      </c>
      <c r="AI12" s="260">
        <f t="shared" ref="AI12:AI50" si="66">IF($H12="2111",$F12,0)</f>
        <v>0</v>
      </c>
      <c r="AJ12" s="260">
        <f t="shared" ref="AJ12:AJ50" si="67">IF($G12="2112",$F12,0)</f>
        <v>0</v>
      </c>
      <c r="AK12" s="260">
        <f t="shared" ref="AK12:AK50" si="68">IF($H12="2112",$F12,0)</f>
        <v>0</v>
      </c>
      <c r="AL12" s="260">
        <f t="shared" ref="AL12:AL50" si="69">IF($G12="2113",$F12,0)</f>
        <v>0</v>
      </c>
      <c r="AM12" s="260">
        <f t="shared" ref="AM12:AM50" si="70">IF($H12="2113",$F12,0)</f>
        <v>0</v>
      </c>
      <c r="AN12" s="260">
        <f t="shared" ref="AN12:AN50" si="71">IF($G12="2131",$F12,0)</f>
        <v>0</v>
      </c>
      <c r="AO12" s="260">
        <f t="shared" ref="AO12:AO50" si="72">IF($H12="2131",$F12,0)</f>
        <v>0</v>
      </c>
      <c r="AP12" s="260">
        <f t="shared" si="21"/>
        <v>0</v>
      </c>
      <c r="AQ12" s="260">
        <f t="shared" si="22"/>
        <v>0</v>
      </c>
      <c r="AR12" s="260">
        <f t="shared" si="23"/>
        <v>0</v>
      </c>
      <c r="AS12" s="260">
        <f t="shared" si="24"/>
        <v>0</v>
      </c>
      <c r="AT12" s="260">
        <f t="shared" ref="AT12:AT50" si="73">IF($G12="2412",$F12,0)</f>
        <v>0</v>
      </c>
      <c r="AU12" s="260">
        <f t="shared" ref="AU12:AU50" si="74">IF($H12="2412",$F12,0)</f>
        <v>0</v>
      </c>
      <c r="AV12" s="260">
        <f t="shared" si="25"/>
        <v>0</v>
      </c>
      <c r="AW12" s="260">
        <f t="shared" si="26"/>
        <v>0</v>
      </c>
      <c r="AX12" s="260">
        <f t="shared" si="27"/>
        <v>0</v>
      </c>
      <c r="AY12" s="260">
        <f t="shared" si="28"/>
        <v>0</v>
      </c>
      <c r="AZ12" s="260">
        <f t="shared" si="29"/>
        <v>0</v>
      </c>
      <c r="BA12" s="260">
        <f t="shared" si="30"/>
        <v>0</v>
      </c>
      <c r="BB12" s="260">
        <f t="shared" si="31"/>
        <v>0</v>
      </c>
      <c r="BC12" s="260">
        <f t="shared" si="32"/>
        <v>0</v>
      </c>
      <c r="BD12" s="260">
        <f t="shared" si="33"/>
        <v>0</v>
      </c>
      <c r="BE12" s="260">
        <f t="shared" si="34"/>
        <v>0</v>
      </c>
      <c r="BF12" s="260">
        <f t="shared" si="35"/>
        <v>0</v>
      </c>
      <c r="BG12" s="260">
        <f t="shared" si="36"/>
        <v>0</v>
      </c>
      <c r="BH12" s="260">
        <f t="shared" ref="BH12:BH50" si="75">IF($G12="33382",$F12,0)</f>
        <v>0</v>
      </c>
      <c r="BI12" s="260">
        <f t="shared" ref="BI12:BI50" si="76">IF($H12="33382",$F12,0)</f>
        <v>0</v>
      </c>
      <c r="BJ12" s="260">
        <f t="shared" si="37"/>
        <v>0</v>
      </c>
      <c r="BK12" s="260">
        <f t="shared" si="38"/>
        <v>0</v>
      </c>
      <c r="BL12" s="260">
        <f t="shared" si="39"/>
        <v>0</v>
      </c>
      <c r="BM12" s="260">
        <f t="shared" si="40"/>
        <v>0</v>
      </c>
      <c r="BN12" s="260">
        <f t="shared" si="41"/>
        <v>0</v>
      </c>
      <c r="BO12" s="260">
        <f t="shared" si="42"/>
        <v>0</v>
      </c>
      <c r="BP12" s="260">
        <f t="shared" ref="BP12:BP50" si="77">IF($G12="3386",$F12,0)</f>
        <v>0</v>
      </c>
      <c r="BQ12" s="260">
        <f t="shared" ref="BQ12:BQ50" si="78">IF($H12="3386",$F12,0)</f>
        <v>0</v>
      </c>
      <c r="BR12" s="260">
        <f t="shared" si="43"/>
        <v>0</v>
      </c>
      <c r="BS12" s="260">
        <f t="shared" si="44"/>
        <v>0</v>
      </c>
      <c r="BT12" s="260">
        <f t="shared" ref="BT12:BT50" si="79">IF($G12="3411",$F12,0)</f>
        <v>0</v>
      </c>
      <c r="BU12" s="260">
        <f t="shared" ref="BU12:BU50" si="80">IF($H12="3411",$F12,0)</f>
        <v>0</v>
      </c>
      <c r="BV12" s="260">
        <f t="shared" ref="BV12:BV50" si="81">IF($G12="3412",$F12,0)</f>
        <v>0</v>
      </c>
      <c r="BW12" s="260">
        <f t="shared" ref="BW12:BW50" si="82">IF($H12="3412",$F12,0)</f>
        <v>0</v>
      </c>
      <c r="BX12" s="260">
        <f t="shared" si="45"/>
        <v>0</v>
      </c>
      <c r="BY12" s="260">
        <f t="shared" si="46"/>
        <v>0</v>
      </c>
      <c r="BZ12" s="260">
        <f t="shared" si="47"/>
        <v>0</v>
      </c>
      <c r="CA12" s="260">
        <f t="shared" si="48"/>
        <v>0</v>
      </c>
      <c r="CB12" s="260">
        <f t="shared" si="49"/>
        <v>0</v>
      </c>
      <c r="CC12" s="260">
        <f t="shared" si="50"/>
        <v>0</v>
      </c>
      <c r="CD12" s="260">
        <f t="shared" ref="CD12:CD50" si="83">IF($G12="5112N",$F12,0)</f>
        <v>0</v>
      </c>
      <c r="CE12" s="260">
        <f t="shared" ref="CE12:CE50" si="84">IF($H12="5112N",$F12,0)</f>
        <v>0</v>
      </c>
      <c r="CF12" s="260">
        <f t="shared" ref="CF12:CF50" si="85">IF($G12="5112X",$F12,0)</f>
        <v>0</v>
      </c>
      <c r="CG12" s="260">
        <f t="shared" ref="CG12:CG50" si="86">IF($H12="5112X",$F12,0)</f>
        <v>0</v>
      </c>
      <c r="CH12" s="260">
        <f t="shared" si="51"/>
        <v>0</v>
      </c>
      <c r="CI12" s="260">
        <f t="shared" si="52"/>
        <v>0</v>
      </c>
      <c r="CJ12" s="260">
        <f t="shared" ref="CJ12:CJ50" si="87">IF($G12="5213",$F12,0)</f>
        <v>0</v>
      </c>
      <c r="CK12" s="260">
        <f t="shared" ref="CK12:CK50" si="88">IF($H12="5213",$F12,0)</f>
        <v>0</v>
      </c>
      <c r="CL12" s="260">
        <f t="shared" si="53"/>
        <v>0</v>
      </c>
      <c r="CM12" s="260">
        <f t="shared" si="54"/>
        <v>0</v>
      </c>
      <c r="CN12" s="260">
        <f t="shared" si="55"/>
        <v>0</v>
      </c>
      <c r="CO12" s="260">
        <f t="shared" si="56"/>
        <v>0</v>
      </c>
      <c r="CP12" s="260">
        <f t="shared" ref="CP12:CP50" si="89">IF($G12="641",$F12,0)</f>
        <v>0</v>
      </c>
      <c r="CQ12" s="260">
        <f t="shared" ref="CQ12:CQ50" si="90">IF($H12="641",$F12,0)</f>
        <v>0</v>
      </c>
      <c r="CR12" s="260">
        <f t="shared" ref="CR12:CR50" si="91">IF($G12="642",$F12,0)</f>
        <v>0</v>
      </c>
      <c r="CS12" s="260">
        <f t="shared" ref="CS12:CS50" si="92">IF($H12="642",$F12,0)</f>
        <v>0</v>
      </c>
      <c r="CT12" s="260">
        <f t="shared" si="57"/>
        <v>0</v>
      </c>
      <c r="CU12" s="260">
        <f t="shared" si="58"/>
        <v>0</v>
      </c>
      <c r="CV12" s="260">
        <f t="shared" si="59"/>
        <v>0</v>
      </c>
      <c r="CW12" s="260">
        <f t="shared" si="60"/>
        <v>0</v>
      </c>
      <c r="CX12" s="260">
        <f t="shared" ref="CX12:CX50" si="93">IF($G12="821",$F12,0)</f>
        <v>0</v>
      </c>
      <c r="CY12" s="260">
        <f t="shared" ref="CY12:CY50" si="94">IF($H12="821",$F12,0)</f>
        <v>0</v>
      </c>
      <c r="CZ12" s="260">
        <f t="shared" ref="CZ12:CZ50" si="95">IF($G12="911",$F12,0)</f>
        <v>0</v>
      </c>
      <c r="DA12" s="260">
        <f t="shared" ref="DA12:DA50" si="96">IF($H12="911",$F12,0)</f>
        <v>0</v>
      </c>
    </row>
    <row r="13" spans="1:105" s="257" customFormat="1" ht="15" customHeight="1">
      <c r="A13" s="60" t="str">
        <f t="array" ref="A13">IF(C13&lt;&gt;0,SUM(($C$11:C13&lt;&gt;0)*1),"")</f>
        <v/>
      </c>
      <c r="B13" s="258"/>
      <c r="C13" s="258"/>
      <c r="D13" s="258"/>
      <c r="E13" s="337"/>
      <c r="F13" s="309"/>
      <c r="G13" s="311"/>
      <c r="H13" s="311"/>
      <c r="I13" s="60" t="str">
        <f t="shared" si="0"/>
        <v/>
      </c>
      <c r="J13" s="260">
        <f t="shared" si="61"/>
        <v>0</v>
      </c>
      <c r="K13" s="260">
        <f t="shared" si="62"/>
        <v>0</v>
      </c>
      <c r="L13" s="260">
        <f t="shared" si="1"/>
        <v>0</v>
      </c>
      <c r="M13" s="260">
        <f t="shared" si="2"/>
        <v>0</v>
      </c>
      <c r="N13" s="260">
        <f t="shared" si="3"/>
        <v>0</v>
      </c>
      <c r="O13" s="260">
        <f t="shared" si="4"/>
        <v>0</v>
      </c>
      <c r="P13" s="260">
        <f t="shared" si="5"/>
        <v>0</v>
      </c>
      <c r="Q13" s="260">
        <f t="shared" si="6"/>
        <v>0</v>
      </c>
      <c r="R13" s="260">
        <f t="shared" si="7"/>
        <v>0</v>
      </c>
      <c r="S13" s="260">
        <f t="shared" si="8"/>
        <v>0</v>
      </c>
      <c r="T13" s="260">
        <f t="shared" si="9"/>
        <v>0</v>
      </c>
      <c r="U13" s="260">
        <f t="shared" si="10"/>
        <v>0</v>
      </c>
      <c r="V13" s="260">
        <f t="shared" si="11"/>
        <v>0</v>
      </c>
      <c r="W13" s="260">
        <f t="shared" si="12"/>
        <v>0</v>
      </c>
      <c r="X13" s="260">
        <f t="shared" si="13"/>
        <v>0</v>
      </c>
      <c r="Y13" s="260">
        <f t="shared" si="14"/>
        <v>0</v>
      </c>
      <c r="Z13" s="260">
        <f t="shared" si="15"/>
        <v>0</v>
      </c>
      <c r="AA13" s="260">
        <f t="shared" si="16"/>
        <v>0</v>
      </c>
      <c r="AB13" s="260">
        <f t="shared" si="63"/>
        <v>0</v>
      </c>
      <c r="AC13" s="260">
        <f t="shared" si="64"/>
        <v>0</v>
      </c>
      <c r="AD13" s="260">
        <f t="shared" si="17"/>
        <v>0</v>
      </c>
      <c r="AE13" s="260">
        <f t="shared" si="18"/>
        <v>0</v>
      </c>
      <c r="AF13" s="260">
        <f t="shared" si="19"/>
        <v>0</v>
      </c>
      <c r="AG13" s="260">
        <f t="shared" si="20"/>
        <v>0</v>
      </c>
      <c r="AH13" s="260">
        <f t="shared" si="65"/>
        <v>0</v>
      </c>
      <c r="AI13" s="260">
        <f t="shared" si="66"/>
        <v>0</v>
      </c>
      <c r="AJ13" s="260">
        <f t="shared" si="67"/>
        <v>0</v>
      </c>
      <c r="AK13" s="260">
        <f t="shared" si="68"/>
        <v>0</v>
      </c>
      <c r="AL13" s="260">
        <f t="shared" si="69"/>
        <v>0</v>
      </c>
      <c r="AM13" s="260">
        <f t="shared" si="70"/>
        <v>0</v>
      </c>
      <c r="AN13" s="260">
        <f t="shared" si="71"/>
        <v>0</v>
      </c>
      <c r="AO13" s="260">
        <f t="shared" si="72"/>
        <v>0</v>
      </c>
      <c r="AP13" s="260">
        <f t="shared" si="21"/>
        <v>0</v>
      </c>
      <c r="AQ13" s="260">
        <f t="shared" si="22"/>
        <v>0</v>
      </c>
      <c r="AR13" s="260">
        <f t="shared" si="23"/>
        <v>0</v>
      </c>
      <c r="AS13" s="260">
        <f t="shared" si="24"/>
        <v>0</v>
      </c>
      <c r="AT13" s="260">
        <f t="shared" si="73"/>
        <v>0</v>
      </c>
      <c r="AU13" s="260">
        <f t="shared" si="74"/>
        <v>0</v>
      </c>
      <c r="AV13" s="260">
        <f t="shared" si="25"/>
        <v>0</v>
      </c>
      <c r="AW13" s="260">
        <f t="shared" si="26"/>
        <v>0</v>
      </c>
      <c r="AX13" s="260">
        <f t="shared" si="27"/>
        <v>0</v>
      </c>
      <c r="AY13" s="260">
        <f t="shared" si="28"/>
        <v>0</v>
      </c>
      <c r="AZ13" s="260">
        <f t="shared" si="29"/>
        <v>0</v>
      </c>
      <c r="BA13" s="260">
        <f t="shared" si="30"/>
        <v>0</v>
      </c>
      <c r="BB13" s="260">
        <f t="shared" si="31"/>
        <v>0</v>
      </c>
      <c r="BC13" s="260">
        <f t="shared" si="32"/>
        <v>0</v>
      </c>
      <c r="BD13" s="260">
        <f t="shared" si="33"/>
        <v>0</v>
      </c>
      <c r="BE13" s="260">
        <f t="shared" si="34"/>
        <v>0</v>
      </c>
      <c r="BF13" s="260">
        <f t="shared" si="35"/>
        <v>0</v>
      </c>
      <c r="BG13" s="260">
        <f t="shared" si="36"/>
        <v>0</v>
      </c>
      <c r="BH13" s="260">
        <f t="shared" si="75"/>
        <v>0</v>
      </c>
      <c r="BI13" s="260">
        <f t="shared" si="76"/>
        <v>0</v>
      </c>
      <c r="BJ13" s="260">
        <f t="shared" si="37"/>
        <v>0</v>
      </c>
      <c r="BK13" s="260">
        <f t="shared" si="38"/>
        <v>0</v>
      </c>
      <c r="BL13" s="260">
        <f t="shared" si="39"/>
        <v>0</v>
      </c>
      <c r="BM13" s="260">
        <f t="shared" si="40"/>
        <v>0</v>
      </c>
      <c r="BN13" s="260">
        <f t="shared" si="41"/>
        <v>0</v>
      </c>
      <c r="BO13" s="260">
        <f t="shared" si="42"/>
        <v>0</v>
      </c>
      <c r="BP13" s="260">
        <f t="shared" si="77"/>
        <v>0</v>
      </c>
      <c r="BQ13" s="260">
        <f t="shared" si="78"/>
        <v>0</v>
      </c>
      <c r="BR13" s="260">
        <f t="shared" si="43"/>
        <v>0</v>
      </c>
      <c r="BS13" s="260">
        <f t="shared" si="44"/>
        <v>0</v>
      </c>
      <c r="BT13" s="260">
        <f t="shared" si="79"/>
        <v>0</v>
      </c>
      <c r="BU13" s="260">
        <f t="shared" si="80"/>
        <v>0</v>
      </c>
      <c r="BV13" s="260">
        <f t="shared" si="81"/>
        <v>0</v>
      </c>
      <c r="BW13" s="260">
        <f t="shared" si="82"/>
        <v>0</v>
      </c>
      <c r="BX13" s="260">
        <f t="shared" si="45"/>
        <v>0</v>
      </c>
      <c r="BY13" s="260">
        <f t="shared" si="46"/>
        <v>0</v>
      </c>
      <c r="BZ13" s="260">
        <f t="shared" si="47"/>
        <v>0</v>
      </c>
      <c r="CA13" s="260">
        <f t="shared" si="48"/>
        <v>0</v>
      </c>
      <c r="CB13" s="260">
        <f t="shared" si="49"/>
        <v>0</v>
      </c>
      <c r="CC13" s="260">
        <f t="shared" si="50"/>
        <v>0</v>
      </c>
      <c r="CD13" s="260">
        <f t="shared" si="83"/>
        <v>0</v>
      </c>
      <c r="CE13" s="260">
        <f t="shared" si="84"/>
        <v>0</v>
      </c>
      <c r="CF13" s="260">
        <f t="shared" si="85"/>
        <v>0</v>
      </c>
      <c r="CG13" s="260">
        <f t="shared" si="86"/>
        <v>0</v>
      </c>
      <c r="CH13" s="260">
        <f t="shared" si="51"/>
        <v>0</v>
      </c>
      <c r="CI13" s="260">
        <f t="shared" si="52"/>
        <v>0</v>
      </c>
      <c r="CJ13" s="260">
        <f t="shared" si="87"/>
        <v>0</v>
      </c>
      <c r="CK13" s="260">
        <f t="shared" si="88"/>
        <v>0</v>
      </c>
      <c r="CL13" s="260">
        <f t="shared" si="53"/>
        <v>0</v>
      </c>
      <c r="CM13" s="260">
        <f t="shared" si="54"/>
        <v>0</v>
      </c>
      <c r="CN13" s="260">
        <f t="shared" si="55"/>
        <v>0</v>
      </c>
      <c r="CO13" s="260">
        <f t="shared" si="56"/>
        <v>0</v>
      </c>
      <c r="CP13" s="260">
        <f t="shared" si="89"/>
        <v>0</v>
      </c>
      <c r="CQ13" s="260">
        <f t="shared" si="90"/>
        <v>0</v>
      </c>
      <c r="CR13" s="260">
        <f t="shared" si="91"/>
        <v>0</v>
      </c>
      <c r="CS13" s="260">
        <f t="shared" si="92"/>
        <v>0</v>
      </c>
      <c r="CT13" s="260">
        <f t="shared" si="57"/>
        <v>0</v>
      </c>
      <c r="CU13" s="260">
        <f t="shared" si="58"/>
        <v>0</v>
      </c>
      <c r="CV13" s="260">
        <f t="shared" si="59"/>
        <v>0</v>
      </c>
      <c r="CW13" s="260">
        <f t="shared" si="60"/>
        <v>0</v>
      </c>
      <c r="CX13" s="260">
        <f t="shared" si="93"/>
        <v>0</v>
      </c>
      <c r="CY13" s="260">
        <f t="shared" si="94"/>
        <v>0</v>
      </c>
      <c r="CZ13" s="260">
        <f t="shared" si="95"/>
        <v>0</v>
      </c>
      <c r="DA13" s="260">
        <f t="shared" si="96"/>
        <v>0</v>
      </c>
    </row>
    <row r="14" spans="1:105" s="257" customFormat="1" ht="15" customHeight="1">
      <c r="A14" s="60" t="str">
        <f t="array" ref="A14">IF(C14&lt;&gt;0,SUM(($C$11:C14&lt;&gt;0)*1),"")</f>
        <v/>
      </c>
      <c r="B14" s="258"/>
      <c r="C14" s="258"/>
      <c r="D14" s="258"/>
      <c r="E14" s="337"/>
      <c r="F14" s="309"/>
      <c r="G14" s="311"/>
      <c r="H14" s="311"/>
      <c r="I14" s="60" t="str">
        <f t="shared" si="0"/>
        <v/>
      </c>
      <c r="J14" s="260">
        <f t="shared" si="61"/>
        <v>0</v>
      </c>
      <c r="K14" s="260">
        <f t="shared" si="62"/>
        <v>0</v>
      </c>
      <c r="L14" s="260">
        <f t="shared" si="1"/>
        <v>0</v>
      </c>
      <c r="M14" s="260">
        <f t="shared" si="2"/>
        <v>0</v>
      </c>
      <c r="N14" s="260">
        <f t="shared" si="3"/>
        <v>0</v>
      </c>
      <c r="O14" s="260">
        <f t="shared" si="4"/>
        <v>0</v>
      </c>
      <c r="P14" s="260">
        <f t="shared" si="5"/>
        <v>0</v>
      </c>
      <c r="Q14" s="260">
        <f t="shared" si="6"/>
        <v>0</v>
      </c>
      <c r="R14" s="260">
        <f t="shared" si="7"/>
        <v>0</v>
      </c>
      <c r="S14" s="260">
        <f t="shared" si="8"/>
        <v>0</v>
      </c>
      <c r="T14" s="260">
        <f t="shared" si="9"/>
        <v>0</v>
      </c>
      <c r="U14" s="260">
        <f t="shared" si="10"/>
        <v>0</v>
      </c>
      <c r="V14" s="260">
        <f t="shared" si="11"/>
        <v>0</v>
      </c>
      <c r="W14" s="260">
        <f t="shared" si="12"/>
        <v>0</v>
      </c>
      <c r="X14" s="260">
        <f t="shared" si="13"/>
        <v>0</v>
      </c>
      <c r="Y14" s="260">
        <f t="shared" si="14"/>
        <v>0</v>
      </c>
      <c r="Z14" s="260">
        <f t="shared" si="15"/>
        <v>0</v>
      </c>
      <c r="AA14" s="260">
        <f t="shared" si="16"/>
        <v>0</v>
      </c>
      <c r="AB14" s="260">
        <f t="shared" si="63"/>
        <v>0</v>
      </c>
      <c r="AC14" s="260">
        <f t="shared" si="64"/>
        <v>0</v>
      </c>
      <c r="AD14" s="260">
        <f t="shared" si="17"/>
        <v>0</v>
      </c>
      <c r="AE14" s="260">
        <f t="shared" si="18"/>
        <v>0</v>
      </c>
      <c r="AF14" s="260">
        <f t="shared" si="19"/>
        <v>0</v>
      </c>
      <c r="AG14" s="260">
        <f t="shared" si="20"/>
        <v>0</v>
      </c>
      <c r="AH14" s="260">
        <f t="shared" si="65"/>
        <v>0</v>
      </c>
      <c r="AI14" s="260">
        <f t="shared" si="66"/>
        <v>0</v>
      </c>
      <c r="AJ14" s="260">
        <f t="shared" si="67"/>
        <v>0</v>
      </c>
      <c r="AK14" s="260">
        <f t="shared" si="68"/>
        <v>0</v>
      </c>
      <c r="AL14" s="260">
        <f t="shared" si="69"/>
        <v>0</v>
      </c>
      <c r="AM14" s="260">
        <f t="shared" si="70"/>
        <v>0</v>
      </c>
      <c r="AN14" s="260">
        <f t="shared" si="71"/>
        <v>0</v>
      </c>
      <c r="AO14" s="260">
        <f t="shared" si="72"/>
        <v>0</v>
      </c>
      <c r="AP14" s="260">
        <f t="shared" si="21"/>
        <v>0</v>
      </c>
      <c r="AQ14" s="260">
        <f t="shared" si="22"/>
        <v>0</v>
      </c>
      <c r="AR14" s="260">
        <f t="shared" si="23"/>
        <v>0</v>
      </c>
      <c r="AS14" s="260">
        <f t="shared" si="24"/>
        <v>0</v>
      </c>
      <c r="AT14" s="260">
        <f t="shared" si="73"/>
        <v>0</v>
      </c>
      <c r="AU14" s="260">
        <f t="shared" si="74"/>
        <v>0</v>
      </c>
      <c r="AV14" s="260">
        <f t="shared" si="25"/>
        <v>0</v>
      </c>
      <c r="AW14" s="260">
        <f t="shared" si="26"/>
        <v>0</v>
      </c>
      <c r="AX14" s="260">
        <f t="shared" si="27"/>
        <v>0</v>
      </c>
      <c r="AY14" s="260">
        <f t="shared" si="28"/>
        <v>0</v>
      </c>
      <c r="AZ14" s="260">
        <f t="shared" si="29"/>
        <v>0</v>
      </c>
      <c r="BA14" s="260">
        <f t="shared" si="30"/>
        <v>0</v>
      </c>
      <c r="BB14" s="260">
        <f t="shared" si="31"/>
        <v>0</v>
      </c>
      <c r="BC14" s="260">
        <f t="shared" si="32"/>
        <v>0</v>
      </c>
      <c r="BD14" s="260">
        <f t="shared" si="33"/>
        <v>0</v>
      </c>
      <c r="BE14" s="260">
        <f t="shared" si="34"/>
        <v>0</v>
      </c>
      <c r="BF14" s="260">
        <f t="shared" si="35"/>
        <v>0</v>
      </c>
      <c r="BG14" s="260">
        <f t="shared" si="36"/>
        <v>0</v>
      </c>
      <c r="BH14" s="260">
        <f t="shared" si="75"/>
        <v>0</v>
      </c>
      <c r="BI14" s="260">
        <f t="shared" si="76"/>
        <v>0</v>
      </c>
      <c r="BJ14" s="260">
        <f t="shared" si="37"/>
        <v>0</v>
      </c>
      <c r="BK14" s="260">
        <f t="shared" si="38"/>
        <v>0</v>
      </c>
      <c r="BL14" s="260">
        <f t="shared" si="39"/>
        <v>0</v>
      </c>
      <c r="BM14" s="260">
        <f t="shared" si="40"/>
        <v>0</v>
      </c>
      <c r="BN14" s="260">
        <f t="shared" si="41"/>
        <v>0</v>
      </c>
      <c r="BO14" s="260">
        <f t="shared" si="42"/>
        <v>0</v>
      </c>
      <c r="BP14" s="260">
        <f t="shared" si="77"/>
        <v>0</v>
      </c>
      <c r="BQ14" s="260">
        <f t="shared" si="78"/>
        <v>0</v>
      </c>
      <c r="BR14" s="260">
        <f t="shared" si="43"/>
        <v>0</v>
      </c>
      <c r="BS14" s="260">
        <f t="shared" si="44"/>
        <v>0</v>
      </c>
      <c r="BT14" s="260">
        <f t="shared" si="79"/>
        <v>0</v>
      </c>
      <c r="BU14" s="260">
        <f t="shared" si="80"/>
        <v>0</v>
      </c>
      <c r="BV14" s="260">
        <f t="shared" si="81"/>
        <v>0</v>
      </c>
      <c r="BW14" s="260">
        <f t="shared" si="82"/>
        <v>0</v>
      </c>
      <c r="BX14" s="260">
        <f t="shared" si="45"/>
        <v>0</v>
      </c>
      <c r="BY14" s="260">
        <f t="shared" si="46"/>
        <v>0</v>
      </c>
      <c r="BZ14" s="260">
        <f t="shared" si="47"/>
        <v>0</v>
      </c>
      <c r="CA14" s="260">
        <f t="shared" si="48"/>
        <v>0</v>
      </c>
      <c r="CB14" s="260">
        <f t="shared" si="49"/>
        <v>0</v>
      </c>
      <c r="CC14" s="260">
        <f t="shared" si="50"/>
        <v>0</v>
      </c>
      <c r="CD14" s="260">
        <f t="shared" si="83"/>
        <v>0</v>
      </c>
      <c r="CE14" s="260">
        <f t="shared" si="84"/>
        <v>0</v>
      </c>
      <c r="CF14" s="260">
        <f t="shared" si="85"/>
        <v>0</v>
      </c>
      <c r="CG14" s="260">
        <f t="shared" si="86"/>
        <v>0</v>
      </c>
      <c r="CH14" s="260">
        <f t="shared" si="51"/>
        <v>0</v>
      </c>
      <c r="CI14" s="260">
        <f t="shared" si="52"/>
        <v>0</v>
      </c>
      <c r="CJ14" s="260">
        <f t="shared" si="87"/>
        <v>0</v>
      </c>
      <c r="CK14" s="260">
        <f t="shared" si="88"/>
        <v>0</v>
      </c>
      <c r="CL14" s="260">
        <f t="shared" si="53"/>
        <v>0</v>
      </c>
      <c r="CM14" s="260">
        <f t="shared" si="54"/>
        <v>0</v>
      </c>
      <c r="CN14" s="260">
        <f t="shared" si="55"/>
        <v>0</v>
      </c>
      <c r="CO14" s="260">
        <f t="shared" si="56"/>
        <v>0</v>
      </c>
      <c r="CP14" s="260">
        <f t="shared" si="89"/>
        <v>0</v>
      </c>
      <c r="CQ14" s="260">
        <f t="shared" si="90"/>
        <v>0</v>
      </c>
      <c r="CR14" s="260">
        <f t="shared" si="91"/>
        <v>0</v>
      </c>
      <c r="CS14" s="260">
        <f t="shared" si="92"/>
        <v>0</v>
      </c>
      <c r="CT14" s="260">
        <f t="shared" si="57"/>
        <v>0</v>
      </c>
      <c r="CU14" s="260">
        <f t="shared" si="58"/>
        <v>0</v>
      </c>
      <c r="CV14" s="260">
        <f t="shared" si="59"/>
        <v>0</v>
      </c>
      <c r="CW14" s="260">
        <f t="shared" si="60"/>
        <v>0</v>
      </c>
      <c r="CX14" s="260">
        <f t="shared" si="93"/>
        <v>0</v>
      </c>
      <c r="CY14" s="260">
        <f t="shared" si="94"/>
        <v>0</v>
      </c>
      <c r="CZ14" s="260">
        <f t="shared" si="95"/>
        <v>0</v>
      </c>
      <c r="DA14" s="260">
        <f t="shared" si="96"/>
        <v>0</v>
      </c>
    </row>
    <row r="15" spans="1:105" s="257" customFormat="1" ht="15" customHeight="1">
      <c r="A15" s="60" t="str">
        <f t="array" ref="A15">IF(C15&lt;&gt;0,SUM(($C$11:C15&lt;&gt;0)*1),"")</f>
        <v/>
      </c>
      <c r="B15" s="258"/>
      <c r="C15" s="258"/>
      <c r="D15" s="258"/>
      <c r="E15" s="337"/>
      <c r="F15" s="309"/>
      <c r="G15" s="311"/>
      <c r="H15" s="311"/>
      <c r="I15" s="60" t="str">
        <f t="shared" si="0"/>
        <v/>
      </c>
      <c r="J15" s="260">
        <f t="shared" si="61"/>
        <v>0</v>
      </c>
      <c r="K15" s="260">
        <f t="shared" si="62"/>
        <v>0</v>
      </c>
      <c r="L15" s="260">
        <f t="shared" si="1"/>
        <v>0</v>
      </c>
      <c r="M15" s="260">
        <f t="shared" si="2"/>
        <v>0</v>
      </c>
      <c r="N15" s="260">
        <f t="shared" si="3"/>
        <v>0</v>
      </c>
      <c r="O15" s="260">
        <f t="shared" si="4"/>
        <v>0</v>
      </c>
      <c r="P15" s="260">
        <f t="shared" si="5"/>
        <v>0</v>
      </c>
      <c r="Q15" s="260">
        <f t="shared" si="6"/>
        <v>0</v>
      </c>
      <c r="R15" s="260">
        <f t="shared" si="7"/>
        <v>0</v>
      </c>
      <c r="S15" s="260">
        <f t="shared" si="8"/>
        <v>0</v>
      </c>
      <c r="T15" s="260">
        <f t="shared" si="9"/>
        <v>0</v>
      </c>
      <c r="U15" s="260">
        <f t="shared" si="10"/>
        <v>0</v>
      </c>
      <c r="V15" s="260">
        <f t="shared" si="11"/>
        <v>0</v>
      </c>
      <c r="W15" s="260">
        <f t="shared" si="12"/>
        <v>0</v>
      </c>
      <c r="X15" s="260">
        <f t="shared" si="13"/>
        <v>0</v>
      </c>
      <c r="Y15" s="260">
        <f t="shared" si="14"/>
        <v>0</v>
      </c>
      <c r="Z15" s="260">
        <f t="shared" si="15"/>
        <v>0</v>
      </c>
      <c r="AA15" s="260">
        <f t="shared" si="16"/>
        <v>0</v>
      </c>
      <c r="AB15" s="260">
        <f t="shared" si="63"/>
        <v>0</v>
      </c>
      <c r="AC15" s="260">
        <f t="shared" si="64"/>
        <v>0</v>
      </c>
      <c r="AD15" s="260">
        <f t="shared" si="17"/>
        <v>0</v>
      </c>
      <c r="AE15" s="260">
        <f t="shared" si="18"/>
        <v>0</v>
      </c>
      <c r="AF15" s="260">
        <f t="shared" si="19"/>
        <v>0</v>
      </c>
      <c r="AG15" s="260">
        <f t="shared" si="20"/>
        <v>0</v>
      </c>
      <c r="AH15" s="260">
        <f t="shared" si="65"/>
        <v>0</v>
      </c>
      <c r="AI15" s="260">
        <f t="shared" si="66"/>
        <v>0</v>
      </c>
      <c r="AJ15" s="260">
        <f t="shared" si="67"/>
        <v>0</v>
      </c>
      <c r="AK15" s="260">
        <f t="shared" si="68"/>
        <v>0</v>
      </c>
      <c r="AL15" s="260">
        <f t="shared" si="69"/>
        <v>0</v>
      </c>
      <c r="AM15" s="260">
        <f t="shared" si="70"/>
        <v>0</v>
      </c>
      <c r="AN15" s="260">
        <f t="shared" si="71"/>
        <v>0</v>
      </c>
      <c r="AO15" s="260">
        <f t="shared" si="72"/>
        <v>0</v>
      </c>
      <c r="AP15" s="260">
        <f t="shared" si="21"/>
        <v>0</v>
      </c>
      <c r="AQ15" s="260">
        <f t="shared" si="22"/>
        <v>0</v>
      </c>
      <c r="AR15" s="260">
        <f t="shared" si="23"/>
        <v>0</v>
      </c>
      <c r="AS15" s="260">
        <f t="shared" si="24"/>
        <v>0</v>
      </c>
      <c r="AT15" s="260">
        <f t="shared" si="73"/>
        <v>0</v>
      </c>
      <c r="AU15" s="260">
        <f t="shared" si="74"/>
        <v>0</v>
      </c>
      <c r="AV15" s="260">
        <f t="shared" si="25"/>
        <v>0</v>
      </c>
      <c r="AW15" s="260">
        <f t="shared" si="26"/>
        <v>0</v>
      </c>
      <c r="AX15" s="260">
        <f t="shared" si="27"/>
        <v>0</v>
      </c>
      <c r="AY15" s="260">
        <f t="shared" si="28"/>
        <v>0</v>
      </c>
      <c r="AZ15" s="260">
        <f t="shared" si="29"/>
        <v>0</v>
      </c>
      <c r="BA15" s="260">
        <f t="shared" si="30"/>
        <v>0</v>
      </c>
      <c r="BB15" s="260">
        <f t="shared" si="31"/>
        <v>0</v>
      </c>
      <c r="BC15" s="260">
        <f t="shared" si="32"/>
        <v>0</v>
      </c>
      <c r="BD15" s="260">
        <f t="shared" si="33"/>
        <v>0</v>
      </c>
      <c r="BE15" s="260">
        <f t="shared" si="34"/>
        <v>0</v>
      </c>
      <c r="BF15" s="260">
        <f t="shared" si="35"/>
        <v>0</v>
      </c>
      <c r="BG15" s="260">
        <f t="shared" si="36"/>
        <v>0</v>
      </c>
      <c r="BH15" s="260">
        <f t="shared" si="75"/>
        <v>0</v>
      </c>
      <c r="BI15" s="260">
        <f t="shared" si="76"/>
        <v>0</v>
      </c>
      <c r="BJ15" s="260">
        <f t="shared" si="37"/>
        <v>0</v>
      </c>
      <c r="BK15" s="260">
        <f t="shared" si="38"/>
        <v>0</v>
      </c>
      <c r="BL15" s="260">
        <f t="shared" si="39"/>
        <v>0</v>
      </c>
      <c r="BM15" s="260">
        <f t="shared" si="40"/>
        <v>0</v>
      </c>
      <c r="BN15" s="260">
        <f t="shared" si="41"/>
        <v>0</v>
      </c>
      <c r="BO15" s="260">
        <f t="shared" si="42"/>
        <v>0</v>
      </c>
      <c r="BP15" s="260">
        <f t="shared" si="77"/>
        <v>0</v>
      </c>
      <c r="BQ15" s="260">
        <f t="shared" si="78"/>
        <v>0</v>
      </c>
      <c r="BR15" s="260">
        <f t="shared" si="43"/>
        <v>0</v>
      </c>
      <c r="BS15" s="260">
        <f t="shared" si="44"/>
        <v>0</v>
      </c>
      <c r="BT15" s="260">
        <f t="shared" si="79"/>
        <v>0</v>
      </c>
      <c r="BU15" s="260">
        <f t="shared" si="80"/>
        <v>0</v>
      </c>
      <c r="BV15" s="260">
        <f t="shared" si="81"/>
        <v>0</v>
      </c>
      <c r="BW15" s="260">
        <f t="shared" si="82"/>
        <v>0</v>
      </c>
      <c r="BX15" s="260">
        <f t="shared" si="45"/>
        <v>0</v>
      </c>
      <c r="BY15" s="260">
        <f t="shared" si="46"/>
        <v>0</v>
      </c>
      <c r="BZ15" s="260">
        <f t="shared" si="47"/>
        <v>0</v>
      </c>
      <c r="CA15" s="260">
        <f t="shared" si="48"/>
        <v>0</v>
      </c>
      <c r="CB15" s="260">
        <f t="shared" si="49"/>
        <v>0</v>
      </c>
      <c r="CC15" s="260">
        <f t="shared" si="50"/>
        <v>0</v>
      </c>
      <c r="CD15" s="260">
        <f t="shared" si="83"/>
        <v>0</v>
      </c>
      <c r="CE15" s="260">
        <f t="shared" si="84"/>
        <v>0</v>
      </c>
      <c r="CF15" s="260">
        <f t="shared" si="85"/>
        <v>0</v>
      </c>
      <c r="CG15" s="260">
        <f t="shared" si="86"/>
        <v>0</v>
      </c>
      <c r="CH15" s="260">
        <f t="shared" si="51"/>
        <v>0</v>
      </c>
      <c r="CI15" s="260">
        <f t="shared" si="52"/>
        <v>0</v>
      </c>
      <c r="CJ15" s="260">
        <f t="shared" si="87"/>
        <v>0</v>
      </c>
      <c r="CK15" s="260">
        <f t="shared" si="88"/>
        <v>0</v>
      </c>
      <c r="CL15" s="260">
        <f t="shared" si="53"/>
        <v>0</v>
      </c>
      <c r="CM15" s="260">
        <f t="shared" si="54"/>
        <v>0</v>
      </c>
      <c r="CN15" s="260">
        <f t="shared" si="55"/>
        <v>0</v>
      </c>
      <c r="CO15" s="260">
        <f t="shared" si="56"/>
        <v>0</v>
      </c>
      <c r="CP15" s="260">
        <f t="shared" si="89"/>
        <v>0</v>
      </c>
      <c r="CQ15" s="260">
        <f t="shared" si="90"/>
        <v>0</v>
      </c>
      <c r="CR15" s="260">
        <f t="shared" si="91"/>
        <v>0</v>
      </c>
      <c r="CS15" s="260">
        <f t="shared" si="92"/>
        <v>0</v>
      </c>
      <c r="CT15" s="260">
        <f t="shared" si="57"/>
        <v>0</v>
      </c>
      <c r="CU15" s="260">
        <f t="shared" si="58"/>
        <v>0</v>
      </c>
      <c r="CV15" s="260">
        <f t="shared" si="59"/>
        <v>0</v>
      </c>
      <c r="CW15" s="260">
        <f t="shared" si="60"/>
        <v>0</v>
      </c>
      <c r="CX15" s="260">
        <f t="shared" si="93"/>
        <v>0</v>
      </c>
      <c r="CY15" s="260">
        <f t="shared" si="94"/>
        <v>0</v>
      </c>
      <c r="CZ15" s="260">
        <f t="shared" si="95"/>
        <v>0</v>
      </c>
      <c r="DA15" s="260">
        <f t="shared" si="96"/>
        <v>0</v>
      </c>
    </row>
    <row r="16" spans="1:105" s="257" customFormat="1" ht="15" customHeight="1">
      <c r="A16" s="60" t="str">
        <f t="array" ref="A16">IF(C16&lt;&gt;0,SUM(($C$11:C16&lt;&gt;0)*1),"")</f>
        <v/>
      </c>
      <c r="B16" s="258"/>
      <c r="C16" s="258"/>
      <c r="D16" s="258"/>
      <c r="E16" s="337"/>
      <c r="F16" s="309"/>
      <c r="G16" s="311"/>
      <c r="H16" s="311"/>
      <c r="I16" s="60" t="str">
        <f t="shared" si="0"/>
        <v/>
      </c>
      <c r="J16" s="260">
        <f t="shared" si="61"/>
        <v>0</v>
      </c>
      <c r="K16" s="260">
        <f t="shared" si="62"/>
        <v>0</v>
      </c>
      <c r="L16" s="260">
        <f t="shared" si="1"/>
        <v>0</v>
      </c>
      <c r="M16" s="260">
        <f t="shared" si="2"/>
        <v>0</v>
      </c>
      <c r="N16" s="260">
        <f t="shared" si="3"/>
        <v>0</v>
      </c>
      <c r="O16" s="260">
        <f t="shared" si="4"/>
        <v>0</v>
      </c>
      <c r="P16" s="260">
        <f t="shared" si="5"/>
        <v>0</v>
      </c>
      <c r="Q16" s="260">
        <f t="shared" si="6"/>
        <v>0</v>
      </c>
      <c r="R16" s="260">
        <f t="shared" si="7"/>
        <v>0</v>
      </c>
      <c r="S16" s="260">
        <f t="shared" si="8"/>
        <v>0</v>
      </c>
      <c r="T16" s="260">
        <f t="shared" si="9"/>
        <v>0</v>
      </c>
      <c r="U16" s="260">
        <f t="shared" si="10"/>
        <v>0</v>
      </c>
      <c r="V16" s="260">
        <f t="shared" si="11"/>
        <v>0</v>
      </c>
      <c r="W16" s="260">
        <f t="shared" si="12"/>
        <v>0</v>
      </c>
      <c r="X16" s="260">
        <f t="shared" si="13"/>
        <v>0</v>
      </c>
      <c r="Y16" s="260">
        <f t="shared" si="14"/>
        <v>0</v>
      </c>
      <c r="Z16" s="260">
        <f t="shared" si="15"/>
        <v>0</v>
      </c>
      <c r="AA16" s="260">
        <f t="shared" si="16"/>
        <v>0</v>
      </c>
      <c r="AB16" s="260">
        <f t="shared" si="63"/>
        <v>0</v>
      </c>
      <c r="AC16" s="260">
        <f t="shared" si="64"/>
        <v>0</v>
      </c>
      <c r="AD16" s="260">
        <f t="shared" si="17"/>
        <v>0</v>
      </c>
      <c r="AE16" s="260">
        <f t="shared" si="18"/>
        <v>0</v>
      </c>
      <c r="AF16" s="260">
        <f t="shared" si="19"/>
        <v>0</v>
      </c>
      <c r="AG16" s="260">
        <f t="shared" si="20"/>
        <v>0</v>
      </c>
      <c r="AH16" s="260">
        <f t="shared" si="65"/>
        <v>0</v>
      </c>
      <c r="AI16" s="260">
        <f t="shared" si="66"/>
        <v>0</v>
      </c>
      <c r="AJ16" s="260">
        <f t="shared" si="67"/>
        <v>0</v>
      </c>
      <c r="AK16" s="260">
        <f t="shared" si="68"/>
        <v>0</v>
      </c>
      <c r="AL16" s="260">
        <f t="shared" si="69"/>
        <v>0</v>
      </c>
      <c r="AM16" s="260">
        <f t="shared" si="70"/>
        <v>0</v>
      </c>
      <c r="AN16" s="260">
        <f t="shared" si="71"/>
        <v>0</v>
      </c>
      <c r="AO16" s="260">
        <f t="shared" si="72"/>
        <v>0</v>
      </c>
      <c r="AP16" s="260">
        <f t="shared" si="21"/>
        <v>0</v>
      </c>
      <c r="AQ16" s="260">
        <f t="shared" si="22"/>
        <v>0</v>
      </c>
      <c r="AR16" s="260">
        <f t="shared" si="23"/>
        <v>0</v>
      </c>
      <c r="AS16" s="260">
        <f t="shared" si="24"/>
        <v>0</v>
      </c>
      <c r="AT16" s="260">
        <f t="shared" si="73"/>
        <v>0</v>
      </c>
      <c r="AU16" s="260">
        <f t="shared" si="74"/>
        <v>0</v>
      </c>
      <c r="AV16" s="260">
        <f t="shared" si="25"/>
        <v>0</v>
      </c>
      <c r="AW16" s="260">
        <f t="shared" si="26"/>
        <v>0</v>
      </c>
      <c r="AX16" s="260">
        <f t="shared" si="27"/>
        <v>0</v>
      </c>
      <c r="AY16" s="260">
        <f t="shared" si="28"/>
        <v>0</v>
      </c>
      <c r="AZ16" s="260">
        <f t="shared" si="29"/>
        <v>0</v>
      </c>
      <c r="BA16" s="260">
        <f t="shared" si="30"/>
        <v>0</v>
      </c>
      <c r="BB16" s="260">
        <f t="shared" si="31"/>
        <v>0</v>
      </c>
      <c r="BC16" s="260">
        <f t="shared" si="32"/>
        <v>0</v>
      </c>
      <c r="BD16" s="260">
        <f t="shared" si="33"/>
        <v>0</v>
      </c>
      <c r="BE16" s="260">
        <f t="shared" si="34"/>
        <v>0</v>
      </c>
      <c r="BF16" s="260">
        <f t="shared" si="35"/>
        <v>0</v>
      </c>
      <c r="BG16" s="260">
        <f t="shared" si="36"/>
        <v>0</v>
      </c>
      <c r="BH16" s="260">
        <f t="shared" si="75"/>
        <v>0</v>
      </c>
      <c r="BI16" s="260">
        <f t="shared" si="76"/>
        <v>0</v>
      </c>
      <c r="BJ16" s="260">
        <f t="shared" si="37"/>
        <v>0</v>
      </c>
      <c r="BK16" s="260">
        <f t="shared" si="38"/>
        <v>0</v>
      </c>
      <c r="BL16" s="260">
        <f t="shared" si="39"/>
        <v>0</v>
      </c>
      <c r="BM16" s="260">
        <f t="shared" si="40"/>
        <v>0</v>
      </c>
      <c r="BN16" s="260">
        <f t="shared" si="41"/>
        <v>0</v>
      </c>
      <c r="BO16" s="260">
        <f t="shared" si="42"/>
        <v>0</v>
      </c>
      <c r="BP16" s="260">
        <f t="shared" si="77"/>
        <v>0</v>
      </c>
      <c r="BQ16" s="260">
        <f t="shared" si="78"/>
        <v>0</v>
      </c>
      <c r="BR16" s="260">
        <f t="shared" si="43"/>
        <v>0</v>
      </c>
      <c r="BS16" s="260">
        <f t="shared" si="44"/>
        <v>0</v>
      </c>
      <c r="BT16" s="260">
        <f t="shared" si="79"/>
        <v>0</v>
      </c>
      <c r="BU16" s="260">
        <f t="shared" si="80"/>
        <v>0</v>
      </c>
      <c r="BV16" s="260">
        <f t="shared" si="81"/>
        <v>0</v>
      </c>
      <c r="BW16" s="260">
        <f t="shared" si="82"/>
        <v>0</v>
      </c>
      <c r="BX16" s="260">
        <f t="shared" si="45"/>
        <v>0</v>
      </c>
      <c r="BY16" s="260">
        <f t="shared" si="46"/>
        <v>0</v>
      </c>
      <c r="BZ16" s="260">
        <f t="shared" si="47"/>
        <v>0</v>
      </c>
      <c r="CA16" s="260">
        <f t="shared" si="48"/>
        <v>0</v>
      </c>
      <c r="CB16" s="260">
        <f t="shared" si="49"/>
        <v>0</v>
      </c>
      <c r="CC16" s="260">
        <f t="shared" si="50"/>
        <v>0</v>
      </c>
      <c r="CD16" s="260">
        <f t="shared" si="83"/>
        <v>0</v>
      </c>
      <c r="CE16" s="260">
        <f t="shared" si="84"/>
        <v>0</v>
      </c>
      <c r="CF16" s="260">
        <f t="shared" si="85"/>
        <v>0</v>
      </c>
      <c r="CG16" s="260">
        <f t="shared" si="86"/>
        <v>0</v>
      </c>
      <c r="CH16" s="260">
        <f t="shared" si="51"/>
        <v>0</v>
      </c>
      <c r="CI16" s="260">
        <f t="shared" si="52"/>
        <v>0</v>
      </c>
      <c r="CJ16" s="260">
        <f t="shared" si="87"/>
        <v>0</v>
      </c>
      <c r="CK16" s="260">
        <f t="shared" si="88"/>
        <v>0</v>
      </c>
      <c r="CL16" s="260">
        <f t="shared" si="53"/>
        <v>0</v>
      </c>
      <c r="CM16" s="260">
        <f t="shared" si="54"/>
        <v>0</v>
      </c>
      <c r="CN16" s="260">
        <f t="shared" si="55"/>
        <v>0</v>
      </c>
      <c r="CO16" s="260">
        <f t="shared" si="56"/>
        <v>0</v>
      </c>
      <c r="CP16" s="260">
        <f t="shared" si="89"/>
        <v>0</v>
      </c>
      <c r="CQ16" s="260">
        <f t="shared" si="90"/>
        <v>0</v>
      </c>
      <c r="CR16" s="260">
        <f t="shared" si="91"/>
        <v>0</v>
      </c>
      <c r="CS16" s="260">
        <f t="shared" si="92"/>
        <v>0</v>
      </c>
      <c r="CT16" s="260">
        <f t="shared" si="57"/>
        <v>0</v>
      </c>
      <c r="CU16" s="260">
        <f t="shared" si="58"/>
        <v>0</v>
      </c>
      <c r="CV16" s="260">
        <f t="shared" si="59"/>
        <v>0</v>
      </c>
      <c r="CW16" s="260">
        <f t="shared" si="60"/>
        <v>0</v>
      </c>
      <c r="CX16" s="260">
        <f t="shared" si="93"/>
        <v>0</v>
      </c>
      <c r="CY16" s="260">
        <f t="shared" si="94"/>
        <v>0</v>
      </c>
      <c r="CZ16" s="260">
        <f t="shared" si="95"/>
        <v>0</v>
      </c>
      <c r="DA16" s="260">
        <f t="shared" si="96"/>
        <v>0</v>
      </c>
    </row>
    <row r="17" spans="1:105" s="257" customFormat="1" ht="15" customHeight="1">
      <c r="A17" s="60" t="str">
        <f t="array" ref="A17">IF(C17&lt;&gt;0,SUM(($C$11:C17&lt;&gt;0)*1),"")</f>
        <v/>
      </c>
      <c r="B17" s="258"/>
      <c r="C17" s="258"/>
      <c r="D17" s="258"/>
      <c r="E17" s="337"/>
      <c r="F17" s="309"/>
      <c r="G17" s="311"/>
      <c r="H17" s="311"/>
      <c r="I17" s="60" t="str">
        <f t="shared" si="0"/>
        <v/>
      </c>
      <c r="J17" s="260">
        <f t="shared" si="61"/>
        <v>0</v>
      </c>
      <c r="K17" s="260">
        <f t="shared" si="62"/>
        <v>0</v>
      </c>
      <c r="L17" s="260">
        <f t="shared" si="1"/>
        <v>0</v>
      </c>
      <c r="M17" s="260">
        <f t="shared" si="2"/>
        <v>0</v>
      </c>
      <c r="N17" s="260">
        <f t="shared" si="3"/>
        <v>0</v>
      </c>
      <c r="O17" s="260">
        <f t="shared" si="4"/>
        <v>0</v>
      </c>
      <c r="P17" s="260">
        <f t="shared" si="5"/>
        <v>0</v>
      </c>
      <c r="Q17" s="260">
        <f t="shared" si="6"/>
        <v>0</v>
      </c>
      <c r="R17" s="260">
        <f t="shared" si="7"/>
        <v>0</v>
      </c>
      <c r="S17" s="260">
        <f t="shared" si="8"/>
        <v>0</v>
      </c>
      <c r="T17" s="260">
        <f t="shared" si="9"/>
        <v>0</v>
      </c>
      <c r="U17" s="260">
        <f t="shared" si="10"/>
        <v>0</v>
      </c>
      <c r="V17" s="260">
        <f t="shared" si="11"/>
        <v>0</v>
      </c>
      <c r="W17" s="260">
        <f t="shared" si="12"/>
        <v>0</v>
      </c>
      <c r="X17" s="260">
        <f t="shared" si="13"/>
        <v>0</v>
      </c>
      <c r="Y17" s="260">
        <f t="shared" si="14"/>
        <v>0</v>
      </c>
      <c r="Z17" s="260">
        <f t="shared" si="15"/>
        <v>0</v>
      </c>
      <c r="AA17" s="260">
        <f t="shared" si="16"/>
        <v>0</v>
      </c>
      <c r="AB17" s="260">
        <f t="shared" si="63"/>
        <v>0</v>
      </c>
      <c r="AC17" s="260">
        <f t="shared" si="64"/>
        <v>0</v>
      </c>
      <c r="AD17" s="260">
        <f t="shared" si="17"/>
        <v>0</v>
      </c>
      <c r="AE17" s="260">
        <f t="shared" si="18"/>
        <v>0</v>
      </c>
      <c r="AF17" s="260">
        <f t="shared" si="19"/>
        <v>0</v>
      </c>
      <c r="AG17" s="260">
        <f t="shared" si="20"/>
        <v>0</v>
      </c>
      <c r="AH17" s="260">
        <f t="shared" si="65"/>
        <v>0</v>
      </c>
      <c r="AI17" s="260">
        <f t="shared" si="66"/>
        <v>0</v>
      </c>
      <c r="AJ17" s="260">
        <f t="shared" si="67"/>
        <v>0</v>
      </c>
      <c r="AK17" s="260">
        <f t="shared" si="68"/>
        <v>0</v>
      </c>
      <c r="AL17" s="260">
        <f t="shared" si="69"/>
        <v>0</v>
      </c>
      <c r="AM17" s="260">
        <f t="shared" si="70"/>
        <v>0</v>
      </c>
      <c r="AN17" s="260">
        <f t="shared" si="71"/>
        <v>0</v>
      </c>
      <c r="AO17" s="260">
        <f t="shared" si="72"/>
        <v>0</v>
      </c>
      <c r="AP17" s="260">
        <f t="shared" si="21"/>
        <v>0</v>
      </c>
      <c r="AQ17" s="260">
        <f t="shared" si="22"/>
        <v>0</v>
      </c>
      <c r="AR17" s="260">
        <f t="shared" si="23"/>
        <v>0</v>
      </c>
      <c r="AS17" s="260">
        <f t="shared" si="24"/>
        <v>0</v>
      </c>
      <c r="AT17" s="260">
        <f t="shared" si="73"/>
        <v>0</v>
      </c>
      <c r="AU17" s="260">
        <f t="shared" si="74"/>
        <v>0</v>
      </c>
      <c r="AV17" s="260">
        <f t="shared" si="25"/>
        <v>0</v>
      </c>
      <c r="AW17" s="260">
        <f t="shared" si="26"/>
        <v>0</v>
      </c>
      <c r="AX17" s="260">
        <f t="shared" si="27"/>
        <v>0</v>
      </c>
      <c r="AY17" s="260">
        <f t="shared" si="28"/>
        <v>0</v>
      </c>
      <c r="AZ17" s="260">
        <f t="shared" si="29"/>
        <v>0</v>
      </c>
      <c r="BA17" s="260">
        <f t="shared" si="30"/>
        <v>0</v>
      </c>
      <c r="BB17" s="260">
        <f t="shared" si="31"/>
        <v>0</v>
      </c>
      <c r="BC17" s="260">
        <f t="shared" si="32"/>
        <v>0</v>
      </c>
      <c r="BD17" s="260">
        <f t="shared" si="33"/>
        <v>0</v>
      </c>
      <c r="BE17" s="260">
        <f t="shared" si="34"/>
        <v>0</v>
      </c>
      <c r="BF17" s="260">
        <f t="shared" si="35"/>
        <v>0</v>
      </c>
      <c r="BG17" s="260">
        <f t="shared" si="36"/>
        <v>0</v>
      </c>
      <c r="BH17" s="260">
        <f t="shared" si="75"/>
        <v>0</v>
      </c>
      <c r="BI17" s="260">
        <f t="shared" si="76"/>
        <v>0</v>
      </c>
      <c r="BJ17" s="260">
        <f t="shared" si="37"/>
        <v>0</v>
      </c>
      <c r="BK17" s="260">
        <f t="shared" si="38"/>
        <v>0</v>
      </c>
      <c r="BL17" s="260">
        <f t="shared" si="39"/>
        <v>0</v>
      </c>
      <c r="BM17" s="260">
        <f t="shared" si="40"/>
        <v>0</v>
      </c>
      <c r="BN17" s="260">
        <f t="shared" si="41"/>
        <v>0</v>
      </c>
      <c r="BO17" s="260">
        <f t="shared" si="42"/>
        <v>0</v>
      </c>
      <c r="BP17" s="260">
        <f t="shared" si="77"/>
        <v>0</v>
      </c>
      <c r="BQ17" s="260">
        <f t="shared" si="78"/>
        <v>0</v>
      </c>
      <c r="BR17" s="260">
        <f t="shared" si="43"/>
        <v>0</v>
      </c>
      <c r="BS17" s="260">
        <f t="shared" si="44"/>
        <v>0</v>
      </c>
      <c r="BT17" s="260">
        <f t="shared" si="79"/>
        <v>0</v>
      </c>
      <c r="BU17" s="260">
        <f t="shared" si="80"/>
        <v>0</v>
      </c>
      <c r="BV17" s="260">
        <f t="shared" si="81"/>
        <v>0</v>
      </c>
      <c r="BW17" s="260">
        <f t="shared" si="82"/>
        <v>0</v>
      </c>
      <c r="BX17" s="260">
        <f t="shared" si="45"/>
        <v>0</v>
      </c>
      <c r="BY17" s="260">
        <f t="shared" si="46"/>
        <v>0</v>
      </c>
      <c r="BZ17" s="260">
        <f t="shared" si="47"/>
        <v>0</v>
      </c>
      <c r="CA17" s="260">
        <f t="shared" si="48"/>
        <v>0</v>
      </c>
      <c r="CB17" s="260">
        <f t="shared" si="49"/>
        <v>0</v>
      </c>
      <c r="CC17" s="260">
        <f t="shared" si="50"/>
        <v>0</v>
      </c>
      <c r="CD17" s="260">
        <f t="shared" si="83"/>
        <v>0</v>
      </c>
      <c r="CE17" s="260">
        <f t="shared" si="84"/>
        <v>0</v>
      </c>
      <c r="CF17" s="260">
        <f t="shared" si="85"/>
        <v>0</v>
      </c>
      <c r="CG17" s="260">
        <f t="shared" si="86"/>
        <v>0</v>
      </c>
      <c r="CH17" s="260">
        <f t="shared" si="51"/>
        <v>0</v>
      </c>
      <c r="CI17" s="260">
        <f t="shared" si="52"/>
        <v>0</v>
      </c>
      <c r="CJ17" s="260">
        <f t="shared" si="87"/>
        <v>0</v>
      </c>
      <c r="CK17" s="260">
        <f t="shared" si="88"/>
        <v>0</v>
      </c>
      <c r="CL17" s="260">
        <f t="shared" si="53"/>
        <v>0</v>
      </c>
      <c r="CM17" s="260">
        <f t="shared" si="54"/>
        <v>0</v>
      </c>
      <c r="CN17" s="260">
        <f t="shared" si="55"/>
        <v>0</v>
      </c>
      <c r="CO17" s="260">
        <f t="shared" si="56"/>
        <v>0</v>
      </c>
      <c r="CP17" s="260">
        <f t="shared" si="89"/>
        <v>0</v>
      </c>
      <c r="CQ17" s="260">
        <f t="shared" si="90"/>
        <v>0</v>
      </c>
      <c r="CR17" s="260">
        <f t="shared" si="91"/>
        <v>0</v>
      </c>
      <c r="CS17" s="260">
        <f t="shared" si="92"/>
        <v>0</v>
      </c>
      <c r="CT17" s="260">
        <f t="shared" si="57"/>
        <v>0</v>
      </c>
      <c r="CU17" s="260">
        <f t="shared" si="58"/>
        <v>0</v>
      </c>
      <c r="CV17" s="260">
        <f t="shared" si="59"/>
        <v>0</v>
      </c>
      <c r="CW17" s="260">
        <f t="shared" si="60"/>
        <v>0</v>
      </c>
      <c r="CX17" s="260">
        <f t="shared" si="93"/>
        <v>0</v>
      </c>
      <c r="CY17" s="260">
        <f t="shared" si="94"/>
        <v>0</v>
      </c>
      <c r="CZ17" s="260">
        <f t="shared" si="95"/>
        <v>0</v>
      </c>
      <c r="DA17" s="260">
        <f t="shared" si="96"/>
        <v>0</v>
      </c>
    </row>
    <row r="18" spans="1:105" s="257" customFormat="1" ht="15" customHeight="1">
      <c r="A18" s="60" t="str">
        <f t="array" ref="A18">IF(C18&lt;&gt;0,SUM(($C$11:C18&lt;&gt;0)*1),"")</f>
        <v/>
      </c>
      <c r="B18" s="258"/>
      <c r="C18" s="258"/>
      <c r="D18" s="258"/>
      <c r="E18" s="337"/>
      <c r="F18" s="309"/>
      <c r="G18" s="311"/>
      <c r="H18" s="311"/>
      <c r="I18" s="60" t="str">
        <f t="shared" si="0"/>
        <v/>
      </c>
      <c r="J18" s="260">
        <f t="shared" si="61"/>
        <v>0</v>
      </c>
      <c r="K18" s="260">
        <f t="shared" si="62"/>
        <v>0</v>
      </c>
      <c r="L18" s="260">
        <f t="shared" si="1"/>
        <v>0</v>
      </c>
      <c r="M18" s="260">
        <f t="shared" si="2"/>
        <v>0</v>
      </c>
      <c r="N18" s="260">
        <f t="shared" si="3"/>
        <v>0</v>
      </c>
      <c r="O18" s="260">
        <f t="shared" si="4"/>
        <v>0</v>
      </c>
      <c r="P18" s="260">
        <f t="shared" si="5"/>
        <v>0</v>
      </c>
      <c r="Q18" s="260">
        <f t="shared" si="6"/>
        <v>0</v>
      </c>
      <c r="R18" s="260">
        <f t="shared" si="7"/>
        <v>0</v>
      </c>
      <c r="S18" s="260">
        <f t="shared" si="8"/>
        <v>0</v>
      </c>
      <c r="T18" s="260">
        <f t="shared" si="9"/>
        <v>0</v>
      </c>
      <c r="U18" s="260">
        <f t="shared" si="10"/>
        <v>0</v>
      </c>
      <c r="V18" s="260">
        <f t="shared" si="11"/>
        <v>0</v>
      </c>
      <c r="W18" s="260">
        <f t="shared" si="12"/>
        <v>0</v>
      </c>
      <c r="X18" s="260">
        <f t="shared" si="13"/>
        <v>0</v>
      </c>
      <c r="Y18" s="260">
        <f t="shared" si="14"/>
        <v>0</v>
      </c>
      <c r="Z18" s="260">
        <f t="shared" si="15"/>
        <v>0</v>
      </c>
      <c r="AA18" s="260">
        <f t="shared" si="16"/>
        <v>0</v>
      </c>
      <c r="AB18" s="260">
        <f t="shared" si="63"/>
        <v>0</v>
      </c>
      <c r="AC18" s="260">
        <f t="shared" si="64"/>
        <v>0</v>
      </c>
      <c r="AD18" s="260">
        <f t="shared" si="17"/>
        <v>0</v>
      </c>
      <c r="AE18" s="260">
        <f t="shared" si="18"/>
        <v>0</v>
      </c>
      <c r="AF18" s="260">
        <f t="shared" si="19"/>
        <v>0</v>
      </c>
      <c r="AG18" s="260">
        <f t="shared" si="20"/>
        <v>0</v>
      </c>
      <c r="AH18" s="260">
        <f t="shared" si="65"/>
        <v>0</v>
      </c>
      <c r="AI18" s="260">
        <f t="shared" si="66"/>
        <v>0</v>
      </c>
      <c r="AJ18" s="260">
        <f t="shared" si="67"/>
        <v>0</v>
      </c>
      <c r="AK18" s="260">
        <f t="shared" si="68"/>
        <v>0</v>
      </c>
      <c r="AL18" s="260">
        <f t="shared" si="69"/>
        <v>0</v>
      </c>
      <c r="AM18" s="260">
        <f t="shared" si="70"/>
        <v>0</v>
      </c>
      <c r="AN18" s="260">
        <f t="shared" si="71"/>
        <v>0</v>
      </c>
      <c r="AO18" s="260">
        <f t="shared" si="72"/>
        <v>0</v>
      </c>
      <c r="AP18" s="260">
        <f t="shared" si="21"/>
        <v>0</v>
      </c>
      <c r="AQ18" s="260">
        <f t="shared" si="22"/>
        <v>0</v>
      </c>
      <c r="AR18" s="260">
        <f t="shared" si="23"/>
        <v>0</v>
      </c>
      <c r="AS18" s="260">
        <f t="shared" si="24"/>
        <v>0</v>
      </c>
      <c r="AT18" s="260">
        <f t="shared" si="73"/>
        <v>0</v>
      </c>
      <c r="AU18" s="260">
        <f t="shared" si="74"/>
        <v>0</v>
      </c>
      <c r="AV18" s="260">
        <f t="shared" si="25"/>
        <v>0</v>
      </c>
      <c r="AW18" s="260">
        <f t="shared" si="26"/>
        <v>0</v>
      </c>
      <c r="AX18" s="260">
        <f t="shared" si="27"/>
        <v>0</v>
      </c>
      <c r="AY18" s="260">
        <f t="shared" si="28"/>
        <v>0</v>
      </c>
      <c r="AZ18" s="260">
        <f t="shared" si="29"/>
        <v>0</v>
      </c>
      <c r="BA18" s="260">
        <f t="shared" si="30"/>
        <v>0</v>
      </c>
      <c r="BB18" s="260">
        <f t="shared" si="31"/>
        <v>0</v>
      </c>
      <c r="BC18" s="260">
        <f t="shared" si="32"/>
        <v>0</v>
      </c>
      <c r="BD18" s="260">
        <f t="shared" si="33"/>
        <v>0</v>
      </c>
      <c r="BE18" s="260">
        <f t="shared" si="34"/>
        <v>0</v>
      </c>
      <c r="BF18" s="260">
        <f t="shared" si="35"/>
        <v>0</v>
      </c>
      <c r="BG18" s="260">
        <f t="shared" si="36"/>
        <v>0</v>
      </c>
      <c r="BH18" s="260">
        <f t="shared" si="75"/>
        <v>0</v>
      </c>
      <c r="BI18" s="260">
        <f t="shared" si="76"/>
        <v>0</v>
      </c>
      <c r="BJ18" s="260">
        <f t="shared" si="37"/>
        <v>0</v>
      </c>
      <c r="BK18" s="260">
        <f t="shared" si="38"/>
        <v>0</v>
      </c>
      <c r="BL18" s="260">
        <f t="shared" si="39"/>
        <v>0</v>
      </c>
      <c r="BM18" s="260">
        <f t="shared" si="40"/>
        <v>0</v>
      </c>
      <c r="BN18" s="260">
        <f t="shared" si="41"/>
        <v>0</v>
      </c>
      <c r="BO18" s="260">
        <f t="shared" si="42"/>
        <v>0</v>
      </c>
      <c r="BP18" s="260">
        <f t="shared" si="77"/>
        <v>0</v>
      </c>
      <c r="BQ18" s="260">
        <f t="shared" si="78"/>
        <v>0</v>
      </c>
      <c r="BR18" s="260">
        <f t="shared" si="43"/>
        <v>0</v>
      </c>
      <c r="BS18" s="260">
        <f t="shared" si="44"/>
        <v>0</v>
      </c>
      <c r="BT18" s="260">
        <f t="shared" si="79"/>
        <v>0</v>
      </c>
      <c r="BU18" s="260">
        <f t="shared" si="80"/>
        <v>0</v>
      </c>
      <c r="BV18" s="260">
        <f t="shared" si="81"/>
        <v>0</v>
      </c>
      <c r="BW18" s="260">
        <f t="shared" si="82"/>
        <v>0</v>
      </c>
      <c r="BX18" s="260">
        <f t="shared" si="45"/>
        <v>0</v>
      </c>
      <c r="BY18" s="260">
        <f t="shared" si="46"/>
        <v>0</v>
      </c>
      <c r="BZ18" s="260">
        <f t="shared" si="47"/>
        <v>0</v>
      </c>
      <c r="CA18" s="260">
        <f t="shared" si="48"/>
        <v>0</v>
      </c>
      <c r="CB18" s="260">
        <f t="shared" si="49"/>
        <v>0</v>
      </c>
      <c r="CC18" s="260">
        <f t="shared" si="50"/>
        <v>0</v>
      </c>
      <c r="CD18" s="260">
        <f t="shared" si="83"/>
        <v>0</v>
      </c>
      <c r="CE18" s="260">
        <f t="shared" si="84"/>
        <v>0</v>
      </c>
      <c r="CF18" s="260">
        <f t="shared" si="85"/>
        <v>0</v>
      </c>
      <c r="CG18" s="260">
        <f t="shared" si="86"/>
        <v>0</v>
      </c>
      <c r="CH18" s="260">
        <f t="shared" si="51"/>
        <v>0</v>
      </c>
      <c r="CI18" s="260">
        <f t="shared" si="52"/>
        <v>0</v>
      </c>
      <c r="CJ18" s="260">
        <f t="shared" si="87"/>
        <v>0</v>
      </c>
      <c r="CK18" s="260">
        <f t="shared" si="88"/>
        <v>0</v>
      </c>
      <c r="CL18" s="260">
        <f t="shared" si="53"/>
        <v>0</v>
      </c>
      <c r="CM18" s="260">
        <f t="shared" si="54"/>
        <v>0</v>
      </c>
      <c r="CN18" s="260">
        <f t="shared" si="55"/>
        <v>0</v>
      </c>
      <c r="CO18" s="260">
        <f t="shared" si="56"/>
        <v>0</v>
      </c>
      <c r="CP18" s="260">
        <f t="shared" si="89"/>
        <v>0</v>
      </c>
      <c r="CQ18" s="260">
        <f t="shared" si="90"/>
        <v>0</v>
      </c>
      <c r="CR18" s="260">
        <f t="shared" si="91"/>
        <v>0</v>
      </c>
      <c r="CS18" s="260">
        <f t="shared" si="92"/>
        <v>0</v>
      </c>
      <c r="CT18" s="260">
        <f t="shared" si="57"/>
        <v>0</v>
      </c>
      <c r="CU18" s="260">
        <f t="shared" si="58"/>
        <v>0</v>
      </c>
      <c r="CV18" s="260">
        <f t="shared" si="59"/>
        <v>0</v>
      </c>
      <c r="CW18" s="260">
        <f t="shared" si="60"/>
        <v>0</v>
      </c>
      <c r="CX18" s="260">
        <f t="shared" si="93"/>
        <v>0</v>
      </c>
      <c r="CY18" s="260">
        <f t="shared" si="94"/>
        <v>0</v>
      </c>
      <c r="CZ18" s="260">
        <f t="shared" si="95"/>
        <v>0</v>
      </c>
      <c r="DA18" s="260">
        <f t="shared" si="96"/>
        <v>0</v>
      </c>
    </row>
    <row r="19" spans="1:105" s="257" customFormat="1" ht="15" customHeight="1">
      <c r="A19" s="60" t="str">
        <f t="array" ref="A19">IF(C19&lt;&gt;0,SUM(($C$11:C19&lt;&gt;0)*1),"")</f>
        <v/>
      </c>
      <c r="B19" s="258"/>
      <c r="C19" s="258"/>
      <c r="D19" s="258"/>
      <c r="E19" s="337"/>
      <c r="F19" s="309"/>
      <c r="G19" s="311"/>
      <c r="H19" s="311"/>
      <c r="I19" s="60" t="str">
        <f t="shared" si="0"/>
        <v/>
      </c>
      <c r="J19" s="260">
        <f t="shared" si="61"/>
        <v>0</v>
      </c>
      <c r="K19" s="260">
        <f t="shared" si="62"/>
        <v>0</v>
      </c>
      <c r="L19" s="260">
        <f t="shared" si="1"/>
        <v>0</v>
      </c>
      <c r="M19" s="260">
        <f t="shared" si="2"/>
        <v>0</v>
      </c>
      <c r="N19" s="260">
        <f t="shared" si="3"/>
        <v>0</v>
      </c>
      <c r="O19" s="260">
        <f t="shared" si="4"/>
        <v>0</v>
      </c>
      <c r="P19" s="260">
        <f t="shared" si="5"/>
        <v>0</v>
      </c>
      <c r="Q19" s="260">
        <f t="shared" si="6"/>
        <v>0</v>
      </c>
      <c r="R19" s="260">
        <f t="shared" si="7"/>
        <v>0</v>
      </c>
      <c r="S19" s="260">
        <f t="shared" si="8"/>
        <v>0</v>
      </c>
      <c r="T19" s="260">
        <f t="shared" si="9"/>
        <v>0</v>
      </c>
      <c r="U19" s="260">
        <f t="shared" si="10"/>
        <v>0</v>
      </c>
      <c r="V19" s="260">
        <f t="shared" si="11"/>
        <v>0</v>
      </c>
      <c r="W19" s="260">
        <f t="shared" si="12"/>
        <v>0</v>
      </c>
      <c r="X19" s="260">
        <f t="shared" si="13"/>
        <v>0</v>
      </c>
      <c r="Y19" s="260">
        <f t="shared" si="14"/>
        <v>0</v>
      </c>
      <c r="Z19" s="260">
        <f t="shared" si="15"/>
        <v>0</v>
      </c>
      <c r="AA19" s="260">
        <f t="shared" si="16"/>
        <v>0</v>
      </c>
      <c r="AB19" s="260">
        <f t="shared" si="63"/>
        <v>0</v>
      </c>
      <c r="AC19" s="260">
        <f t="shared" si="64"/>
        <v>0</v>
      </c>
      <c r="AD19" s="260">
        <f t="shared" si="17"/>
        <v>0</v>
      </c>
      <c r="AE19" s="260">
        <f t="shared" si="18"/>
        <v>0</v>
      </c>
      <c r="AF19" s="260">
        <f t="shared" si="19"/>
        <v>0</v>
      </c>
      <c r="AG19" s="260">
        <f t="shared" si="20"/>
        <v>0</v>
      </c>
      <c r="AH19" s="260">
        <f t="shared" si="65"/>
        <v>0</v>
      </c>
      <c r="AI19" s="260">
        <f t="shared" si="66"/>
        <v>0</v>
      </c>
      <c r="AJ19" s="260">
        <f t="shared" si="67"/>
        <v>0</v>
      </c>
      <c r="AK19" s="260">
        <f t="shared" si="68"/>
        <v>0</v>
      </c>
      <c r="AL19" s="260">
        <f t="shared" si="69"/>
        <v>0</v>
      </c>
      <c r="AM19" s="260">
        <f t="shared" si="70"/>
        <v>0</v>
      </c>
      <c r="AN19" s="260">
        <f t="shared" si="71"/>
        <v>0</v>
      </c>
      <c r="AO19" s="260">
        <f t="shared" si="72"/>
        <v>0</v>
      </c>
      <c r="AP19" s="260">
        <f t="shared" si="21"/>
        <v>0</v>
      </c>
      <c r="AQ19" s="260">
        <f t="shared" si="22"/>
        <v>0</v>
      </c>
      <c r="AR19" s="260">
        <f t="shared" si="23"/>
        <v>0</v>
      </c>
      <c r="AS19" s="260">
        <f t="shared" si="24"/>
        <v>0</v>
      </c>
      <c r="AT19" s="260">
        <f t="shared" si="73"/>
        <v>0</v>
      </c>
      <c r="AU19" s="260">
        <f t="shared" si="74"/>
        <v>0</v>
      </c>
      <c r="AV19" s="260">
        <f t="shared" si="25"/>
        <v>0</v>
      </c>
      <c r="AW19" s="260">
        <f t="shared" si="26"/>
        <v>0</v>
      </c>
      <c r="AX19" s="260">
        <f t="shared" si="27"/>
        <v>0</v>
      </c>
      <c r="AY19" s="260">
        <f t="shared" si="28"/>
        <v>0</v>
      </c>
      <c r="AZ19" s="260">
        <f t="shared" si="29"/>
        <v>0</v>
      </c>
      <c r="BA19" s="260">
        <f t="shared" si="30"/>
        <v>0</v>
      </c>
      <c r="BB19" s="260">
        <f t="shared" si="31"/>
        <v>0</v>
      </c>
      <c r="BC19" s="260">
        <f t="shared" si="32"/>
        <v>0</v>
      </c>
      <c r="BD19" s="260">
        <f t="shared" si="33"/>
        <v>0</v>
      </c>
      <c r="BE19" s="260">
        <f t="shared" si="34"/>
        <v>0</v>
      </c>
      <c r="BF19" s="260">
        <f t="shared" si="35"/>
        <v>0</v>
      </c>
      <c r="BG19" s="260">
        <f t="shared" si="36"/>
        <v>0</v>
      </c>
      <c r="BH19" s="260">
        <f t="shared" si="75"/>
        <v>0</v>
      </c>
      <c r="BI19" s="260">
        <f t="shared" si="76"/>
        <v>0</v>
      </c>
      <c r="BJ19" s="260">
        <f t="shared" si="37"/>
        <v>0</v>
      </c>
      <c r="BK19" s="260">
        <f t="shared" si="38"/>
        <v>0</v>
      </c>
      <c r="BL19" s="260">
        <f t="shared" si="39"/>
        <v>0</v>
      </c>
      <c r="BM19" s="260">
        <f t="shared" si="40"/>
        <v>0</v>
      </c>
      <c r="BN19" s="260">
        <f t="shared" si="41"/>
        <v>0</v>
      </c>
      <c r="BO19" s="260">
        <f t="shared" si="42"/>
        <v>0</v>
      </c>
      <c r="BP19" s="260">
        <f t="shared" si="77"/>
        <v>0</v>
      </c>
      <c r="BQ19" s="260">
        <f t="shared" si="78"/>
        <v>0</v>
      </c>
      <c r="BR19" s="260">
        <f t="shared" si="43"/>
        <v>0</v>
      </c>
      <c r="BS19" s="260">
        <f t="shared" si="44"/>
        <v>0</v>
      </c>
      <c r="BT19" s="260">
        <f t="shared" si="79"/>
        <v>0</v>
      </c>
      <c r="BU19" s="260">
        <f t="shared" si="80"/>
        <v>0</v>
      </c>
      <c r="BV19" s="260">
        <f t="shared" si="81"/>
        <v>0</v>
      </c>
      <c r="BW19" s="260">
        <f t="shared" si="82"/>
        <v>0</v>
      </c>
      <c r="BX19" s="260">
        <f t="shared" si="45"/>
        <v>0</v>
      </c>
      <c r="BY19" s="260">
        <f t="shared" si="46"/>
        <v>0</v>
      </c>
      <c r="BZ19" s="260">
        <f t="shared" si="47"/>
        <v>0</v>
      </c>
      <c r="CA19" s="260">
        <f t="shared" si="48"/>
        <v>0</v>
      </c>
      <c r="CB19" s="260">
        <f t="shared" si="49"/>
        <v>0</v>
      </c>
      <c r="CC19" s="260">
        <f t="shared" si="50"/>
        <v>0</v>
      </c>
      <c r="CD19" s="260">
        <f t="shared" si="83"/>
        <v>0</v>
      </c>
      <c r="CE19" s="260">
        <f t="shared" si="84"/>
        <v>0</v>
      </c>
      <c r="CF19" s="260">
        <f t="shared" si="85"/>
        <v>0</v>
      </c>
      <c r="CG19" s="260">
        <f t="shared" si="86"/>
        <v>0</v>
      </c>
      <c r="CH19" s="260">
        <f t="shared" si="51"/>
        <v>0</v>
      </c>
      <c r="CI19" s="260">
        <f t="shared" si="52"/>
        <v>0</v>
      </c>
      <c r="CJ19" s="260">
        <f t="shared" si="87"/>
        <v>0</v>
      </c>
      <c r="CK19" s="260">
        <f t="shared" si="88"/>
        <v>0</v>
      </c>
      <c r="CL19" s="260">
        <f t="shared" si="53"/>
        <v>0</v>
      </c>
      <c r="CM19" s="260">
        <f t="shared" si="54"/>
        <v>0</v>
      </c>
      <c r="CN19" s="260">
        <f t="shared" si="55"/>
        <v>0</v>
      </c>
      <c r="CO19" s="260">
        <f t="shared" si="56"/>
        <v>0</v>
      </c>
      <c r="CP19" s="260">
        <f t="shared" si="89"/>
        <v>0</v>
      </c>
      <c r="CQ19" s="260">
        <f t="shared" si="90"/>
        <v>0</v>
      </c>
      <c r="CR19" s="260">
        <f t="shared" si="91"/>
        <v>0</v>
      </c>
      <c r="CS19" s="260">
        <f t="shared" si="92"/>
        <v>0</v>
      </c>
      <c r="CT19" s="260">
        <f t="shared" si="57"/>
        <v>0</v>
      </c>
      <c r="CU19" s="260">
        <f t="shared" si="58"/>
        <v>0</v>
      </c>
      <c r="CV19" s="260">
        <f t="shared" si="59"/>
        <v>0</v>
      </c>
      <c r="CW19" s="260">
        <f t="shared" si="60"/>
        <v>0</v>
      </c>
      <c r="CX19" s="260">
        <f t="shared" si="93"/>
        <v>0</v>
      </c>
      <c r="CY19" s="260">
        <f t="shared" si="94"/>
        <v>0</v>
      </c>
      <c r="CZ19" s="260">
        <f t="shared" si="95"/>
        <v>0</v>
      </c>
      <c r="DA19" s="260">
        <f t="shared" si="96"/>
        <v>0</v>
      </c>
    </row>
    <row r="20" spans="1:105" s="257" customFormat="1" ht="15" customHeight="1">
      <c r="A20" s="60" t="str">
        <f t="array" ref="A20">IF(C20&lt;&gt;0,SUM(($C$11:C20&lt;&gt;0)*1),"")</f>
        <v/>
      </c>
      <c r="B20" s="258"/>
      <c r="C20" s="258"/>
      <c r="D20" s="258"/>
      <c r="E20" s="337"/>
      <c r="F20" s="309"/>
      <c r="G20" s="311"/>
      <c r="H20" s="311"/>
      <c r="I20" s="60" t="str">
        <f t="shared" si="0"/>
        <v/>
      </c>
      <c r="J20" s="260">
        <f t="shared" si="61"/>
        <v>0</v>
      </c>
      <c r="K20" s="260">
        <f t="shared" si="62"/>
        <v>0</v>
      </c>
      <c r="L20" s="260">
        <f t="shared" si="1"/>
        <v>0</v>
      </c>
      <c r="M20" s="260">
        <f t="shared" si="2"/>
        <v>0</v>
      </c>
      <c r="N20" s="260">
        <f t="shared" si="3"/>
        <v>0</v>
      </c>
      <c r="O20" s="260">
        <f t="shared" si="4"/>
        <v>0</v>
      </c>
      <c r="P20" s="260">
        <f t="shared" si="5"/>
        <v>0</v>
      </c>
      <c r="Q20" s="260">
        <f t="shared" si="6"/>
        <v>0</v>
      </c>
      <c r="R20" s="260">
        <f t="shared" si="7"/>
        <v>0</v>
      </c>
      <c r="S20" s="260">
        <f t="shared" si="8"/>
        <v>0</v>
      </c>
      <c r="T20" s="260">
        <f t="shared" si="9"/>
        <v>0</v>
      </c>
      <c r="U20" s="260">
        <f t="shared" si="10"/>
        <v>0</v>
      </c>
      <c r="V20" s="260">
        <f t="shared" si="11"/>
        <v>0</v>
      </c>
      <c r="W20" s="260">
        <f t="shared" si="12"/>
        <v>0</v>
      </c>
      <c r="X20" s="260">
        <f t="shared" si="13"/>
        <v>0</v>
      </c>
      <c r="Y20" s="260">
        <f t="shared" si="14"/>
        <v>0</v>
      </c>
      <c r="Z20" s="260">
        <f t="shared" si="15"/>
        <v>0</v>
      </c>
      <c r="AA20" s="260">
        <f t="shared" si="16"/>
        <v>0</v>
      </c>
      <c r="AB20" s="260">
        <f t="shared" si="63"/>
        <v>0</v>
      </c>
      <c r="AC20" s="260">
        <f t="shared" si="64"/>
        <v>0</v>
      </c>
      <c r="AD20" s="260">
        <f t="shared" si="17"/>
        <v>0</v>
      </c>
      <c r="AE20" s="260">
        <f t="shared" si="18"/>
        <v>0</v>
      </c>
      <c r="AF20" s="260">
        <f t="shared" si="19"/>
        <v>0</v>
      </c>
      <c r="AG20" s="260">
        <f t="shared" si="20"/>
        <v>0</v>
      </c>
      <c r="AH20" s="260">
        <f t="shared" si="65"/>
        <v>0</v>
      </c>
      <c r="AI20" s="260">
        <f t="shared" si="66"/>
        <v>0</v>
      </c>
      <c r="AJ20" s="260">
        <f t="shared" si="67"/>
        <v>0</v>
      </c>
      <c r="AK20" s="260">
        <f t="shared" si="68"/>
        <v>0</v>
      </c>
      <c r="AL20" s="260">
        <f t="shared" si="69"/>
        <v>0</v>
      </c>
      <c r="AM20" s="260">
        <f t="shared" si="70"/>
        <v>0</v>
      </c>
      <c r="AN20" s="260">
        <f t="shared" si="71"/>
        <v>0</v>
      </c>
      <c r="AO20" s="260">
        <f t="shared" si="72"/>
        <v>0</v>
      </c>
      <c r="AP20" s="260">
        <f t="shared" si="21"/>
        <v>0</v>
      </c>
      <c r="AQ20" s="260">
        <f t="shared" si="22"/>
        <v>0</v>
      </c>
      <c r="AR20" s="260">
        <f t="shared" si="23"/>
        <v>0</v>
      </c>
      <c r="AS20" s="260">
        <f t="shared" si="24"/>
        <v>0</v>
      </c>
      <c r="AT20" s="260">
        <f t="shared" si="73"/>
        <v>0</v>
      </c>
      <c r="AU20" s="260">
        <f t="shared" si="74"/>
        <v>0</v>
      </c>
      <c r="AV20" s="260">
        <f t="shared" si="25"/>
        <v>0</v>
      </c>
      <c r="AW20" s="260">
        <f t="shared" si="26"/>
        <v>0</v>
      </c>
      <c r="AX20" s="260">
        <f t="shared" si="27"/>
        <v>0</v>
      </c>
      <c r="AY20" s="260">
        <f t="shared" si="28"/>
        <v>0</v>
      </c>
      <c r="AZ20" s="260">
        <f t="shared" si="29"/>
        <v>0</v>
      </c>
      <c r="BA20" s="260">
        <f t="shared" si="30"/>
        <v>0</v>
      </c>
      <c r="BB20" s="260">
        <f t="shared" si="31"/>
        <v>0</v>
      </c>
      <c r="BC20" s="260">
        <f t="shared" si="32"/>
        <v>0</v>
      </c>
      <c r="BD20" s="260">
        <f t="shared" si="33"/>
        <v>0</v>
      </c>
      <c r="BE20" s="260">
        <f t="shared" si="34"/>
        <v>0</v>
      </c>
      <c r="BF20" s="260">
        <f t="shared" si="35"/>
        <v>0</v>
      </c>
      <c r="BG20" s="260">
        <f t="shared" si="36"/>
        <v>0</v>
      </c>
      <c r="BH20" s="260">
        <f t="shared" si="75"/>
        <v>0</v>
      </c>
      <c r="BI20" s="260">
        <f t="shared" si="76"/>
        <v>0</v>
      </c>
      <c r="BJ20" s="260">
        <f t="shared" si="37"/>
        <v>0</v>
      </c>
      <c r="BK20" s="260">
        <f t="shared" si="38"/>
        <v>0</v>
      </c>
      <c r="BL20" s="260">
        <f t="shared" si="39"/>
        <v>0</v>
      </c>
      <c r="BM20" s="260">
        <f t="shared" si="40"/>
        <v>0</v>
      </c>
      <c r="BN20" s="260">
        <f t="shared" si="41"/>
        <v>0</v>
      </c>
      <c r="BO20" s="260">
        <f t="shared" si="42"/>
        <v>0</v>
      </c>
      <c r="BP20" s="260">
        <f t="shared" si="77"/>
        <v>0</v>
      </c>
      <c r="BQ20" s="260">
        <f t="shared" si="78"/>
        <v>0</v>
      </c>
      <c r="BR20" s="260">
        <f t="shared" si="43"/>
        <v>0</v>
      </c>
      <c r="BS20" s="260">
        <f t="shared" si="44"/>
        <v>0</v>
      </c>
      <c r="BT20" s="260">
        <f t="shared" si="79"/>
        <v>0</v>
      </c>
      <c r="BU20" s="260">
        <f t="shared" si="80"/>
        <v>0</v>
      </c>
      <c r="BV20" s="260">
        <f t="shared" si="81"/>
        <v>0</v>
      </c>
      <c r="BW20" s="260">
        <f t="shared" si="82"/>
        <v>0</v>
      </c>
      <c r="BX20" s="260">
        <f t="shared" si="45"/>
        <v>0</v>
      </c>
      <c r="BY20" s="260">
        <f t="shared" si="46"/>
        <v>0</v>
      </c>
      <c r="BZ20" s="260">
        <f t="shared" si="47"/>
        <v>0</v>
      </c>
      <c r="CA20" s="260">
        <f t="shared" si="48"/>
        <v>0</v>
      </c>
      <c r="CB20" s="260">
        <f t="shared" si="49"/>
        <v>0</v>
      </c>
      <c r="CC20" s="260">
        <f t="shared" si="50"/>
        <v>0</v>
      </c>
      <c r="CD20" s="260">
        <f t="shared" si="83"/>
        <v>0</v>
      </c>
      <c r="CE20" s="260">
        <f t="shared" si="84"/>
        <v>0</v>
      </c>
      <c r="CF20" s="260">
        <f t="shared" si="85"/>
        <v>0</v>
      </c>
      <c r="CG20" s="260">
        <f t="shared" si="86"/>
        <v>0</v>
      </c>
      <c r="CH20" s="260">
        <f t="shared" si="51"/>
        <v>0</v>
      </c>
      <c r="CI20" s="260">
        <f t="shared" si="52"/>
        <v>0</v>
      </c>
      <c r="CJ20" s="260">
        <f t="shared" si="87"/>
        <v>0</v>
      </c>
      <c r="CK20" s="260">
        <f t="shared" si="88"/>
        <v>0</v>
      </c>
      <c r="CL20" s="260">
        <f t="shared" si="53"/>
        <v>0</v>
      </c>
      <c r="CM20" s="260">
        <f t="shared" si="54"/>
        <v>0</v>
      </c>
      <c r="CN20" s="260">
        <f t="shared" si="55"/>
        <v>0</v>
      </c>
      <c r="CO20" s="260">
        <f t="shared" si="56"/>
        <v>0</v>
      </c>
      <c r="CP20" s="260">
        <f t="shared" si="89"/>
        <v>0</v>
      </c>
      <c r="CQ20" s="260">
        <f t="shared" si="90"/>
        <v>0</v>
      </c>
      <c r="CR20" s="260">
        <f t="shared" si="91"/>
        <v>0</v>
      </c>
      <c r="CS20" s="260">
        <f t="shared" si="92"/>
        <v>0</v>
      </c>
      <c r="CT20" s="260">
        <f t="shared" si="57"/>
        <v>0</v>
      </c>
      <c r="CU20" s="260">
        <f t="shared" si="58"/>
        <v>0</v>
      </c>
      <c r="CV20" s="260">
        <f t="shared" si="59"/>
        <v>0</v>
      </c>
      <c r="CW20" s="260">
        <f t="shared" si="60"/>
        <v>0</v>
      </c>
      <c r="CX20" s="260">
        <f t="shared" si="93"/>
        <v>0</v>
      </c>
      <c r="CY20" s="260">
        <f t="shared" si="94"/>
        <v>0</v>
      </c>
      <c r="CZ20" s="260">
        <f t="shared" si="95"/>
        <v>0</v>
      </c>
      <c r="DA20" s="260">
        <f t="shared" si="96"/>
        <v>0</v>
      </c>
    </row>
    <row r="21" spans="1:105" s="257" customFormat="1" ht="15" customHeight="1">
      <c r="A21" s="60" t="str">
        <f t="array" ref="A21">IF(C21&lt;&gt;0,SUM(($C$11:C21&lt;&gt;0)*1),"")</f>
        <v/>
      </c>
      <c r="B21" s="258"/>
      <c r="C21" s="258"/>
      <c r="D21" s="258"/>
      <c r="E21" s="337"/>
      <c r="F21" s="309"/>
      <c r="G21" s="311"/>
      <c r="H21" s="311"/>
      <c r="I21" s="60" t="str">
        <f t="shared" si="0"/>
        <v/>
      </c>
      <c r="J21" s="260">
        <f t="shared" si="61"/>
        <v>0</v>
      </c>
      <c r="K21" s="260">
        <f t="shared" si="62"/>
        <v>0</v>
      </c>
      <c r="L21" s="260">
        <f t="shared" si="1"/>
        <v>0</v>
      </c>
      <c r="M21" s="260">
        <f t="shared" si="2"/>
        <v>0</v>
      </c>
      <c r="N21" s="260">
        <f t="shared" si="3"/>
        <v>0</v>
      </c>
      <c r="O21" s="260">
        <f t="shared" si="4"/>
        <v>0</v>
      </c>
      <c r="P21" s="260">
        <f t="shared" si="5"/>
        <v>0</v>
      </c>
      <c r="Q21" s="260">
        <f t="shared" si="6"/>
        <v>0</v>
      </c>
      <c r="R21" s="260">
        <f t="shared" si="7"/>
        <v>0</v>
      </c>
      <c r="S21" s="260">
        <f t="shared" si="8"/>
        <v>0</v>
      </c>
      <c r="T21" s="260">
        <f t="shared" si="9"/>
        <v>0</v>
      </c>
      <c r="U21" s="260">
        <f t="shared" si="10"/>
        <v>0</v>
      </c>
      <c r="V21" s="260">
        <f t="shared" si="11"/>
        <v>0</v>
      </c>
      <c r="W21" s="260">
        <f t="shared" si="12"/>
        <v>0</v>
      </c>
      <c r="X21" s="260">
        <f t="shared" si="13"/>
        <v>0</v>
      </c>
      <c r="Y21" s="260">
        <f t="shared" si="14"/>
        <v>0</v>
      </c>
      <c r="Z21" s="260">
        <f t="shared" si="15"/>
        <v>0</v>
      </c>
      <c r="AA21" s="260">
        <f t="shared" si="16"/>
        <v>0</v>
      </c>
      <c r="AB21" s="260">
        <f t="shared" si="63"/>
        <v>0</v>
      </c>
      <c r="AC21" s="260">
        <f t="shared" si="64"/>
        <v>0</v>
      </c>
      <c r="AD21" s="260">
        <f t="shared" si="17"/>
        <v>0</v>
      </c>
      <c r="AE21" s="260">
        <f t="shared" si="18"/>
        <v>0</v>
      </c>
      <c r="AF21" s="260">
        <f t="shared" si="19"/>
        <v>0</v>
      </c>
      <c r="AG21" s="260">
        <f t="shared" si="20"/>
        <v>0</v>
      </c>
      <c r="AH21" s="260">
        <f t="shared" si="65"/>
        <v>0</v>
      </c>
      <c r="AI21" s="260">
        <f t="shared" si="66"/>
        <v>0</v>
      </c>
      <c r="AJ21" s="260">
        <f t="shared" si="67"/>
        <v>0</v>
      </c>
      <c r="AK21" s="260">
        <f t="shared" si="68"/>
        <v>0</v>
      </c>
      <c r="AL21" s="260">
        <f t="shared" si="69"/>
        <v>0</v>
      </c>
      <c r="AM21" s="260">
        <f t="shared" si="70"/>
        <v>0</v>
      </c>
      <c r="AN21" s="260">
        <f t="shared" si="71"/>
        <v>0</v>
      </c>
      <c r="AO21" s="260">
        <f t="shared" si="72"/>
        <v>0</v>
      </c>
      <c r="AP21" s="260">
        <f t="shared" si="21"/>
        <v>0</v>
      </c>
      <c r="AQ21" s="260">
        <f t="shared" si="22"/>
        <v>0</v>
      </c>
      <c r="AR21" s="260">
        <f t="shared" si="23"/>
        <v>0</v>
      </c>
      <c r="AS21" s="260">
        <f t="shared" si="24"/>
        <v>0</v>
      </c>
      <c r="AT21" s="260">
        <f t="shared" si="73"/>
        <v>0</v>
      </c>
      <c r="AU21" s="260">
        <f t="shared" si="74"/>
        <v>0</v>
      </c>
      <c r="AV21" s="260">
        <f t="shared" si="25"/>
        <v>0</v>
      </c>
      <c r="AW21" s="260">
        <f t="shared" si="26"/>
        <v>0</v>
      </c>
      <c r="AX21" s="260">
        <f t="shared" si="27"/>
        <v>0</v>
      </c>
      <c r="AY21" s="260">
        <f t="shared" si="28"/>
        <v>0</v>
      </c>
      <c r="AZ21" s="260">
        <f t="shared" si="29"/>
        <v>0</v>
      </c>
      <c r="BA21" s="260">
        <f t="shared" si="30"/>
        <v>0</v>
      </c>
      <c r="BB21" s="260">
        <f t="shared" si="31"/>
        <v>0</v>
      </c>
      <c r="BC21" s="260">
        <f t="shared" si="32"/>
        <v>0</v>
      </c>
      <c r="BD21" s="260">
        <f t="shared" si="33"/>
        <v>0</v>
      </c>
      <c r="BE21" s="260">
        <f t="shared" si="34"/>
        <v>0</v>
      </c>
      <c r="BF21" s="260">
        <f t="shared" si="35"/>
        <v>0</v>
      </c>
      <c r="BG21" s="260">
        <f t="shared" si="36"/>
        <v>0</v>
      </c>
      <c r="BH21" s="260">
        <f t="shared" si="75"/>
        <v>0</v>
      </c>
      <c r="BI21" s="260">
        <f t="shared" si="76"/>
        <v>0</v>
      </c>
      <c r="BJ21" s="260">
        <f t="shared" si="37"/>
        <v>0</v>
      </c>
      <c r="BK21" s="260">
        <f t="shared" si="38"/>
        <v>0</v>
      </c>
      <c r="BL21" s="260">
        <f t="shared" si="39"/>
        <v>0</v>
      </c>
      <c r="BM21" s="260">
        <f t="shared" si="40"/>
        <v>0</v>
      </c>
      <c r="BN21" s="260">
        <f t="shared" si="41"/>
        <v>0</v>
      </c>
      <c r="BO21" s="260">
        <f t="shared" si="42"/>
        <v>0</v>
      </c>
      <c r="BP21" s="260">
        <f t="shared" si="77"/>
        <v>0</v>
      </c>
      <c r="BQ21" s="260">
        <f t="shared" si="78"/>
        <v>0</v>
      </c>
      <c r="BR21" s="260">
        <f t="shared" si="43"/>
        <v>0</v>
      </c>
      <c r="BS21" s="260">
        <f t="shared" si="44"/>
        <v>0</v>
      </c>
      <c r="BT21" s="260">
        <f t="shared" si="79"/>
        <v>0</v>
      </c>
      <c r="BU21" s="260">
        <f t="shared" si="80"/>
        <v>0</v>
      </c>
      <c r="BV21" s="260">
        <f t="shared" si="81"/>
        <v>0</v>
      </c>
      <c r="BW21" s="260">
        <f t="shared" si="82"/>
        <v>0</v>
      </c>
      <c r="BX21" s="260">
        <f t="shared" si="45"/>
        <v>0</v>
      </c>
      <c r="BY21" s="260">
        <f t="shared" si="46"/>
        <v>0</v>
      </c>
      <c r="BZ21" s="260">
        <f t="shared" si="47"/>
        <v>0</v>
      </c>
      <c r="CA21" s="260">
        <f t="shared" si="48"/>
        <v>0</v>
      </c>
      <c r="CB21" s="260">
        <f t="shared" si="49"/>
        <v>0</v>
      </c>
      <c r="CC21" s="260">
        <f t="shared" si="50"/>
        <v>0</v>
      </c>
      <c r="CD21" s="260">
        <f t="shared" si="83"/>
        <v>0</v>
      </c>
      <c r="CE21" s="260">
        <f t="shared" si="84"/>
        <v>0</v>
      </c>
      <c r="CF21" s="260">
        <f t="shared" si="85"/>
        <v>0</v>
      </c>
      <c r="CG21" s="260">
        <f t="shared" si="86"/>
        <v>0</v>
      </c>
      <c r="CH21" s="260">
        <f t="shared" si="51"/>
        <v>0</v>
      </c>
      <c r="CI21" s="260">
        <f t="shared" si="52"/>
        <v>0</v>
      </c>
      <c r="CJ21" s="260">
        <f t="shared" si="87"/>
        <v>0</v>
      </c>
      <c r="CK21" s="260">
        <f t="shared" si="88"/>
        <v>0</v>
      </c>
      <c r="CL21" s="260">
        <f t="shared" si="53"/>
        <v>0</v>
      </c>
      <c r="CM21" s="260">
        <f t="shared" si="54"/>
        <v>0</v>
      </c>
      <c r="CN21" s="260">
        <f t="shared" si="55"/>
        <v>0</v>
      </c>
      <c r="CO21" s="260">
        <f t="shared" si="56"/>
        <v>0</v>
      </c>
      <c r="CP21" s="260">
        <f t="shared" si="89"/>
        <v>0</v>
      </c>
      <c r="CQ21" s="260">
        <f t="shared" si="90"/>
        <v>0</v>
      </c>
      <c r="CR21" s="260">
        <f t="shared" si="91"/>
        <v>0</v>
      </c>
      <c r="CS21" s="260">
        <f t="shared" si="92"/>
        <v>0</v>
      </c>
      <c r="CT21" s="260">
        <f t="shared" si="57"/>
        <v>0</v>
      </c>
      <c r="CU21" s="260">
        <f t="shared" si="58"/>
        <v>0</v>
      </c>
      <c r="CV21" s="260">
        <f t="shared" si="59"/>
        <v>0</v>
      </c>
      <c r="CW21" s="260">
        <f t="shared" si="60"/>
        <v>0</v>
      </c>
      <c r="CX21" s="260">
        <f t="shared" si="93"/>
        <v>0</v>
      </c>
      <c r="CY21" s="260">
        <f t="shared" si="94"/>
        <v>0</v>
      </c>
      <c r="CZ21" s="260">
        <f t="shared" si="95"/>
        <v>0</v>
      </c>
      <c r="DA21" s="260">
        <f t="shared" si="96"/>
        <v>0</v>
      </c>
    </row>
    <row r="22" spans="1:105" s="257" customFormat="1" ht="15" customHeight="1">
      <c r="A22" s="60" t="str">
        <f t="array" ref="A22">IF(C22&lt;&gt;0,SUM(($C$11:C22&lt;&gt;0)*1),"")</f>
        <v/>
      </c>
      <c r="B22" s="258"/>
      <c r="C22" s="258"/>
      <c r="D22" s="258"/>
      <c r="E22" s="337"/>
      <c r="F22" s="309"/>
      <c r="G22" s="311"/>
      <c r="H22" s="311"/>
      <c r="I22" s="60" t="str">
        <f t="shared" ref="I22:I50" si="97">A22</f>
        <v/>
      </c>
      <c r="J22" s="260">
        <f t="shared" si="61"/>
        <v>0</v>
      </c>
      <c r="K22" s="260">
        <f t="shared" si="62"/>
        <v>0</v>
      </c>
      <c r="L22" s="260">
        <f t="shared" si="1"/>
        <v>0</v>
      </c>
      <c r="M22" s="260">
        <f t="shared" si="2"/>
        <v>0</v>
      </c>
      <c r="N22" s="260">
        <f t="shared" si="3"/>
        <v>0</v>
      </c>
      <c r="O22" s="260">
        <f t="shared" si="4"/>
        <v>0</v>
      </c>
      <c r="P22" s="260">
        <f t="shared" si="5"/>
        <v>0</v>
      </c>
      <c r="Q22" s="260">
        <f t="shared" si="6"/>
        <v>0</v>
      </c>
      <c r="R22" s="260">
        <f t="shared" si="7"/>
        <v>0</v>
      </c>
      <c r="S22" s="260">
        <f t="shared" si="8"/>
        <v>0</v>
      </c>
      <c r="T22" s="260">
        <f t="shared" si="9"/>
        <v>0</v>
      </c>
      <c r="U22" s="260">
        <f t="shared" si="10"/>
        <v>0</v>
      </c>
      <c r="V22" s="260">
        <f t="shared" si="11"/>
        <v>0</v>
      </c>
      <c r="W22" s="260">
        <f t="shared" si="12"/>
        <v>0</v>
      </c>
      <c r="X22" s="260">
        <f t="shared" si="13"/>
        <v>0</v>
      </c>
      <c r="Y22" s="260">
        <f t="shared" si="14"/>
        <v>0</v>
      </c>
      <c r="Z22" s="260">
        <f t="shared" si="15"/>
        <v>0</v>
      </c>
      <c r="AA22" s="260">
        <f t="shared" si="16"/>
        <v>0</v>
      </c>
      <c r="AB22" s="260">
        <f t="shared" si="63"/>
        <v>0</v>
      </c>
      <c r="AC22" s="260">
        <f t="shared" si="64"/>
        <v>0</v>
      </c>
      <c r="AD22" s="260">
        <f t="shared" si="17"/>
        <v>0</v>
      </c>
      <c r="AE22" s="260">
        <f t="shared" si="18"/>
        <v>0</v>
      </c>
      <c r="AF22" s="260">
        <f t="shared" si="19"/>
        <v>0</v>
      </c>
      <c r="AG22" s="260">
        <f t="shared" si="20"/>
        <v>0</v>
      </c>
      <c r="AH22" s="260">
        <f t="shared" si="65"/>
        <v>0</v>
      </c>
      <c r="AI22" s="260">
        <f t="shared" si="66"/>
        <v>0</v>
      </c>
      <c r="AJ22" s="260">
        <f t="shared" si="67"/>
        <v>0</v>
      </c>
      <c r="AK22" s="260">
        <f t="shared" si="68"/>
        <v>0</v>
      </c>
      <c r="AL22" s="260">
        <f t="shared" si="69"/>
        <v>0</v>
      </c>
      <c r="AM22" s="260">
        <f t="shared" si="70"/>
        <v>0</v>
      </c>
      <c r="AN22" s="260">
        <f t="shared" si="71"/>
        <v>0</v>
      </c>
      <c r="AO22" s="260">
        <f t="shared" si="72"/>
        <v>0</v>
      </c>
      <c r="AP22" s="260">
        <f t="shared" si="21"/>
        <v>0</v>
      </c>
      <c r="AQ22" s="260">
        <f t="shared" si="22"/>
        <v>0</v>
      </c>
      <c r="AR22" s="260">
        <f t="shared" si="23"/>
        <v>0</v>
      </c>
      <c r="AS22" s="260">
        <f t="shared" si="24"/>
        <v>0</v>
      </c>
      <c r="AT22" s="260">
        <f t="shared" si="73"/>
        <v>0</v>
      </c>
      <c r="AU22" s="260">
        <f t="shared" si="74"/>
        <v>0</v>
      </c>
      <c r="AV22" s="260">
        <f t="shared" si="25"/>
        <v>0</v>
      </c>
      <c r="AW22" s="260">
        <f t="shared" si="26"/>
        <v>0</v>
      </c>
      <c r="AX22" s="260">
        <f t="shared" si="27"/>
        <v>0</v>
      </c>
      <c r="AY22" s="260">
        <f t="shared" si="28"/>
        <v>0</v>
      </c>
      <c r="AZ22" s="260">
        <f t="shared" si="29"/>
        <v>0</v>
      </c>
      <c r="BA22" s="260">
        <f t="shared" si="30"/>
        <v>0</v>
      </c>
      <c r="BB22" s="260">
        <f t="shared" si="31"/>
        <v>0</v>
      </c>
      <c r="BC22" s="260">
        <f t="shared" si="32"/>
        <v>0</v>
      </c>
      <c r="BD22" s="260">
        <f t="shared" si="33"/>
        <v>0</v>
      </c>
      <c r="BE22" s="260">
        <f t="shared" si="34"/>
        <v>0</v>
      </c>
      <c r="BF22" s="260">
        <f t="shared" si="35"/>
        <v>0</v>
      </c>
      <c r="BG22" s="260">
        <f t="shared" si="36"/>
        <v>0</v>
      </c>
      <c r="BH22" s="260">
        <f t="shared" si="75"/>
        <v>0</v>
      </c>
      <c r="BI22" s="260">
        <f t="shared" si="76"/>
        <v>0</v>
      </c>
      <c r="BJ22" s="260">
        <f t="shared" si="37"/>
        <v>0</v>
      </c>
      <c r="BK22" s="260">
        <f t="shared" si="38"/>
        <v>0</v>
      </c>
      <c r="BL22" s="260">
        <f t="shared" si="39"/>
        <v>0</v>
      </c>
      <c r="BM22" s="260">
        <f t="shared" si="40"/>
        <v>0</v>
      </c>
      <c r="BN22" s="260">
        <f t="shared" si="41"/>
        <v>0</v>
      </c>
      <c r="BO22" s="260">
        <f t="shared" si="42"/>
        <v>0</v>
      </c>
      <c r="BP22" s="260">
        <f t="shared" si="77"/>
        <v>0</v>
      </c>
      <c r="BQ22" s="260">
        <f t="shared" si="78"/>
        <v>0</v>
      </c>
      <c r="BR22" s="260">
        <f t="shared" si="43"/>
        <v>0</v>
      </c>
      <c r="BS22" s="260">
        <f t="shared" si="44"/>
        <v>0</v>
      </c>
      <c r="BT22" s="260">
        <f t="shared" si="79"/>
        <v>0</v>
      </c>
      <c r="BU22" s="260">
        <f t="shared" si="80"/>
        <v>0</v>
      </c>
      <c r="BV22" s="260">
        <f t="shared" si="81"/>
        <v>0</v>
      </c>
      <c r="BW22" s="260">
        <f t="shared" si="82"/>
        <v>0</v>
      </c>
      <c r="BX22" s="260">
        <f t="shared" si="45"/>
        <v>0</v>
      </c>
      <c r="BY22" s="260">
        <f t="shared" si="46"/>
        <v>0</v>
      </c>
      <c r="BZ22" s="260">
        <f t="shared" si="47"/>
        <v>0</v>
      </c>
      <c r="CA22" s="260">
        <f t="shared" si="48"/>
        <v>0</v>
      </c>
      <c r="CB22" s="260">
        <f t="shared" si="49"/>
        <v>0</v>
      </c>
      <c r="CC22" s="260">
        <f t="shared" si="50"/>
        <v>0</v>
      </c>
      <c r="CD22" s="260">
        <f t="shared" si="83"/>
        <v>0</v>
      </c>
      <c r="CE22" s="260">
        <f t="shared" si="84"/>
        <v>0</v>
      </c>
      <c r="CF22" s="260">
        <f t="shared" si="85"/>
        <v>0</v>
      </c>
      <c r="CG22" s="260">
        <f t="shared" si="86"/>
        <v>0</v>
      </c>
      <c r="CH22" s="260">
        <f t="shared" si="51"/>
        <v>0</v>
      </c>
      <c r="CI22" s="260">
        <f t="shared" si="52"/>
        <v>0</v>
      </c>
      <c r="CJ22" s="260">
        <f t="shared" si="87"/>
        <v>0</v>
      </c>
      <c r="CK22" s="260">
        <f t="shared" si="88"/>
        <v>0</v>
      </c>
      <c r="CL22" s="260">
        <f t="shared" si="53"/>
        <v>0</v>
      </c>
      <c r="CM22" s="260">
        <f t="shared" si="54"/>
        <v>0</v>
      </c>
      <c r="CN22" s="260">
        <f t="shared" si="55"/>
        <v>0</v>
      </c>
      <c r="CO22" s="260">
        <f t="shared" si="56"/>
        <v>0</v>
      </c>
      <c r="CP22" s="260">
        <f t="shared" si="89"/>
        <v>0</v>
      </c>
      <c r="CQ22" s="260">
        <f t="shared" si="90"/>
        <v>0</v>
      </c>
      <c r="CR22" s="260">
        <f t="shared" si="91"/>
        <v>0</v>
      </c>
      <c r="CS22" s="260">
        <f t="shared" si="92"/>
        <v>0</v>
      </c>
      <c r="CT22" s="260">
        <f t="shared" si="57"/>
        <v>0</v>
      </c>
      <c r="CU22" s="260">
        <f t="shared" si="58"/>
        <v>0</v>
      </c>
      <c r="CV22" s="260">
        <f t="shared" si="59"/>
        <v>0</v>
      </c>
      <c r="CW22" s="260">
        <f t="shared" si="60"/>
        <v>0</v>
      </c>
      <c r="CX22" s="260">
        <f t="shared" si="93"/>
        <v>0</v>
      </c>
      <c r="CY22" s="260">
        <f t="shared" si="94"/>
        <v>0</v>
      </c>
      <c r="CZ22" s="260">
        <f t="shared" si="95"/>
        <v>0</v>
      </c>
      <c r="DA22" s="260">
        <f t="shared" si="96"/>
        <v>0</v>
      </c>
    </row>
    <row r="23" spans="1:105" s="257" customFormat="1" ht="15" customHeight="1">
      <c r="A23" s="60" t="str">
        <f t="array" ref="A23">IF(C23&lt;&gt;0,SUM(($C$11:C23&lt;&gt;0)*1),"")</f>
        <v/>
      </c>
      <c r="B23" s="258"/>
      <c r="C23" s="258"/>
      <c r="D23" s="258"/>
      <c r="E23" s="337"/>
      <c r="F23" s="309"/>
      <c r="G23" s="311"/>
      <c r="H23" s="311"/>
      <c r="I23" s="60" t="str">
        <f t="shared" si="97"/>
        <v/>
      </c>
      <c r="J23" s="260">
        <f t="shared" si="61"/>
        <v>0</v>
      </c>
      <c r="K23" s="260">
        <f t="shared" si="62"/>
        <v>0</v>
      </c>
      <c r="L23" s="260">
        <f t="shared" si="1"/>
        <v>0</v>
      </c>
      <c r="M23" s="260">
        <f t="shared" si="2"/>
        <v>0</v>
      </c>
      <c r="N23" s="260">
        <f t="shared" si="3"/>
        <v>0</v>
      </c>
      <c r="O23" s="260">
        <f t="shared" si="4"/>
        <v>0</v>
      </c>
      <c r="P23" s="260">
        <f t="shared" si="5"/>
        <v>0</v>
      </c>
      <c r="Q23" s="260">
        <f t="shared" si="6"/>
        <v>0</v>
      </c>
      <c r="R23" s="260">
        <f t="shared" si="7"/>
        <v>0</v>
      </c>
      <c r="S23" s="260">
        <f t="shared" si="8"/>
        <v>0</v>
      </c>
      <c r="T23" s="260">
        <f t="shared" si="9"/>
        <v>0</v>
      </c>
      <c r="U23" s="260">
        <f t="shared" si="10"/>
        <v>0</v>
      </c>
      <c r="V23" s="260">
        <f t="shared" si="11"/>
        <v>0</v>
      </c>
      <c r="W23" s="260">
        <f t="shared" si="12"/>
        <v>0</v>
      </c>
      <c r="X23" s="260">
        <f t="shared" si="13"/>
        <v>0</v>
      </c>
      <c r="Y23" s="260">
        <f t="shared" si="14"/>
        <v>0</v>
      </c>
      <c r="Z23" s="260">
        <f t="shared" si="15"/>
        <v>0</v>
      </c>
      <c r="AA23" s="260">
        <f t="shared" si="16"/>
        <v>0</v>
      </c>
      <c r="AB23" s="260">
        <f t="shared" si="63"/>
        <v>0</v>
      </c>
      <c r="AC23" s="260">
        <f t="shared" si="64"/>
        <v>0</v>
      </c>
      <c r="AD23" s="260">
        <f t="shared" si="17"/>
        <v>0</v>
      </c>
      <c r="AE23" s="260">
        <f t="shared" si="18"/>
        <v>0</v>
      </c>
      <c r="AF23" s="260">
        <f t="shared" si="19"/>
        <v>0</v>
      </c>
      <c r="AG23" s="260">
        <f t="shared" si="20"/>
        <v>0</v>
      </c>
      <c r="AH23" s="260">
        <f t="shared" si="65"/>
        <v>0</v>
      </c>
      <c r="AI23" s="260">
        <f t="shared" si="66"/>
        <v>0</v>
      </c>
      <c r="AJ23" s="260">
        <f t="shared" si="67"/>
        <v>0</v>
      </c>
      <c r="AK23" s="260">
        <f t="shared" si="68"/>
        <v>0</v>
      </c>
      <c r="AL23" s="260">
        <f t="shared" si="69"/>
        <v>0</v>
      </c>
      <c r="AM23" s="260">
        <f t="shared" si="70"/>
        <v>0</v>
      </c>
      <c r="AN23" s="260">
        <f t="shared" si="71"/>
        <v>0</v>
      </c>
      <c r="AO23" s="260">
        <f t="shared" si="72"/>
        <v>0</v>
      </c>
      <c r="AP23" s="260">
        <f t="shared" si="21"/>
        <v>0</v>
      </c>
      <c r="AQ23" s="260">
        <f t="shared" si="22"/>
        <v>0</v>
      </c>
      <c r="AR23" s="260">
        <f t="shared" si="23"/>
        <v>0</v>
      </c>
      <c r="AS23" s="260">
        <f t="shared" si="24"/>
        <v>0</v>
      </c>
      <c r="AT23" s="260">
        <f t="shared" si="73"/>
        <v>0</v>
      </c>
      <c r="AU23" s="260">
        <f t="shared" si="74"/>
        <v>0</v>
      </c>
      <c r="AV23" s="260">
        <f t="shared" si="25"/>
        <v>0</v>
      </c>
      <c r="AW23" s="260">
        <f t="shared" si="26"/>
        <v>0</v>
      </c>
      <c r="AX23" s="260">
        <f t="shared" si="27"/>
        <v>0</v>
      </c>
      <c r="AY23" s="260">
        <f t="shared" si="28"/>
        <v>0</v>
      </c>
      <c r="AZ23" s="260">
        <f t="shared" si="29"/>
        <v>0</v>
      </c>
      <c r="BA23" s="260">
        <f t="shared" si="30"/>
        <v>0</v>
      </c>
      <c r="BB23" s="260">
        <f t="shared" si="31"/>
        <v>0</v>
      </c>
      <c r="BC23" s="260">
        <f t="shared" si="32"/>
        <v>0</v>
      </c>
      <c r="BD23" s="260">
        <f t="shared" si="33"/>
        <v>0</v>
      </c>
      <c r="BE23" s="260">
        <f t="shared" si="34"/>
        <v>0</v>
      </c>
      <c r="BF23" s="260">
        <f t="shared" si="35"/>
        <v>0</v>
      </c>
      <c r="BG23" s="260">
        <f t="shared" si="36"/>
        <v>0</v>
      </c>
      <c r="BH23" s="260">
        <f t="shared" si="75"/>
        <v>0</v>
      </c>
      <c r="BI23" s="260">
        <f t="shared" si="76"/>
        <v>0</v>
      </c>
      <c r="BJ23" s="260">
        <f t="shared" si="37"/>
        <v>0</v>
      </c>
      <c r="BK23" s="260">
        <f t="shared" si="38"/>
        <v>0</v>
      </c>
      <c r="BL23" s="260">
        <f t="shared" si="39"/>
        <v>0</v>
      </c>
      <c r="BM23" s="260">
        <f t="shared" si="40"/>
        <v>0</v>
      </c>
      <c r="BN23" s="260">
        <f t="shared" si="41"/>
        <v>0</v>
      </c>
      <c r="BO23" s="260">
        <f t="shared" si="42"/>
        <v>0</v>
      </c>
      <c r="BP23" s="260">
        <f t="shared" si="77"/>
        <v>0</v>
      </c>
      <c r="BQ23" s="260">
        <f t="shared" si="78"/>
        <v>0</v>
      </c>
      <c r="BR23" s="260">
        <f t="shared" si="43"/>
        <v>0</v>
      </c>
      <c r="BS23" s="260">
        <f t="shared" si="44"/>
        <v>0</v>
      </c>
      <c r="BT23" s="260">
        <f t="shared" si="79"/>
        <v>0</v>
      </c>
      <c r="BU23" s="260">
        <f t="shared" si="80"/>
        <v>0</v>
      </c>
      <c r="BV23" s="260">
        <f t="shared" si="81"/>
        <v>0</v>
      </c>
      <c r="BW23" s="260">
        <f t="shared" si="82"/>
        <v>0</v>
      </c>
      <c r="BX23" s="260">
        <f t="shared" si="45"/>
        <v>0</v>
      </c>
      <c r="BY23" s="260">
        <f t="shared" si="46"/>
        <v>0</v>
      </c>
      <c r="BZ23" s="260">
        <f t="shared" si="47"/>
        <v>0</v>
      </c>
      <c r="CA23" s="260">
        <f t="shared" si="48"/>
        <v>0</v>
      </c>
      <c r="CB23" s="260">
        <f t="shared" si="49"/>
        <v>0</v>
      </c>
      <c r="CC23" s="260">
        <f t="shared" si="50"/>
        <v>0</v>
      </c>
      <c r="CD23" s="260">
        <f t="shared" si="83"/>
        <v>0</v>
      </c>
      <c r="CE23" s="260">
        <f t="shared" si="84"/>
        <v>0</v>
      </c>
      <c r="CF23" s="260">
        <f t="shared" si="85"/>
        <v>0</v>
      </c>
      <c r="CG23" s="260">
        <f t="shared" si="86"/>
        <v>0</v>
      </c>
      <c r="CH23" s="260">
        <f t="shared" si="51"/>
        <v>0</v>
      </c>
      <c r="CI23" s="260">
        <f t="shared" si="52"/>
        <v>0</v>
      </c>
      <c r="CJ23" s="260">
        <f t="shared" si="87"/>
        <v>0</v>
      </c>
      <c r="CK23" s="260">
        <f t="shared" si="88"/>
        <v>0</v>
      </c>
      <c r="CL23" s="260">
        <f t="shared" si="53"/>
        <v>0</v>
      </c>
      <c r="CM23" s="260">
        <f t="shared" si="54"/>
        <v>0</v>
      </c>
      <c r="CN23" s="260">
        <f t="shared" si="55"/>
        <v>0</v>
      </c>
      <c r="CO23" s="260">
        <f t="shared" si="56"/>
        <v>0</v>
      </c>
      <c r="CP23" s="260">
        <f t="shared" si="89"/>
        <v>0</v>
      </c>
      <c r="CQ23" s="260">
        <f t="shared" si="90"/>
        <v>0</v>
      </c>
      <c r="CR23" s="260">
        <f t="shared" si="91"/>
        <v>0</v>
      </c>
      <c r="CS23" s="260">
        <f t="shared" si="92"/>
        <v>0</v>
      </c>
      <c r="CT23" s="260">
        <f t="shared" si="57"/>
        <v>0</v>
      </c>
      <c r="CU23" s="260">
        <f t="shared" si="58"/>
        <v>0</v>
      </c>
      <c r="CV23" s="260">
        <f t="shared" si="59"/>
        <v>0</v>
      </c>
      <c r="CW23" s="260">
        <f t="shared" si="60"/>
        <v>0</v>
      </c>
      <c r="CX23" s="260">
        <f t="shared" si="93"/>
        <v>0</v>
      </c>
      <c r="CY23" s="260">
        <f t="shared" si="94"/>
        <v>0</v>
      </c>
      <c r="CZ23" s="260">
        <f t="shared" si="95"/>
        <v>0</v>
      </c>
      <c r="DA23" s="260">
        <f t="shared" si="96"/>
        <v>0</v>
      </c>
    </row>
    <row r="24" spans="1:105" s="257" customFormat="1" ht="15" customHeight="1">
      <c r="A24" s="60" t="str">
        <f t="array" ref="A24">IF(C24&lt;&gt;0,SUM(($C$11:C24&lt;&gt;0)*1),"")</f>
        <v/>
      </c>
      <c r="B24" s="258"/>
      <c r="C24" s="258"/>
      <c r="D24" s="258"/>
      <c r="E24" s="337"/>
      <c r="F24" s="309"/>
      <c r="G24" s="311"/>
      <c r="H24" s="311"/>
      <c r="I24" s="60" t="str">
        <f t="shared" si="97"/>
        <v/>
      </c>
      <c r="J24" s="260">
        <f t="shared" si="61"/>
        <v>0</v>
      </c>
      <c r="K24" s="260">
        <f t="shared" si="62"/>
        <v>0</v>
      </c>
      <c r="L24" s="260">
        <f t="shared" si="1"/>
        <v>0</v>
      </c>
      <c r="M24" s="260">
        <f t="shared" si="2"/>
        <v>0</v>
      </c>
      <c r="N24" s="260">
        <f t="shared" si="3"/>
        <v>0</v>
      </c>
      <c r="O24" s="260">
        <f t="shared" si="4"/>
        <v>0</v>
      </c>
      <c r="P24" s="260">
        <f t="shared" si="5"/>
        <v>0</v>
      </c>
      <c r="Q24" s="260">
        <f t="shared" si="6"/>
        <v>0</v>
      </c>
      <c r="R24" s="260">
        <f t="shared" si="7"/>
        <v>0</v>
      </c>
      <c r="S24" s="260">
        <f t="shared" si="8"/>
        <v>0</v>
      </c>
      <c r="T24" s="260">
        <f t="shared" si="9"/>
        <v>0</v>
      </c>
      <c r="U24" s="260">
        <f t="shared" si="10"/>
        <v>0</v>
      </c>
      <c r="V24" s="260">
        <f t="shared" si="11"/>
        <v>0</v>
      </c>
      <c r="W24" s="260">
        <f t="shared" si="12"/>
        <v>0</v>
      </c>
      <c r="X24" s="260">
        <f t="shared" si="13"/>
        <v>0</v>
      </c>
      <c r="Y24" s="260">
        <f t="shared" si="14"/>
        <v>0</v>
      </c>
      <c r="Z24" s="260">
        <f t="shared" si="15"/>
        <v>0</v>
      </c>
      <c r="AA24" s="260">
        <f t="shared" si="16"/>
        <v>0</v>
      </c>
      <c r="AB24" s="260">
        <f t="shared" si="63"/>
        <v>0</v>
      </c>
      <c r="AC24" s="260">
        <f t="shared" si="64"/>
        <v>0</v>
      </c>
      <c r="AD24" s="260">
        <f t="shared" si="17"/>
        <v>0</v>
      </c>
      <c r="AE24" s="260">
        <f t="shared" si="18"/>
        <v>0</v>
      </c>
      <c r="AF24" s="260">
        <f t="shared" si="19"/>
        <v>0</v>
      </c>
      <c r="AG24" s="260">
        <f t="shared" si="20"/>
        <v>0</v>
      </c>
      <c r="AH24" s="260">
        <f t="shared" si="65"/>
        <v>0</v>
      </c>
      <c r="AI24" s="260">
        <f t="shared" si="66"/>
        <v>0</v>
      </c>
      <c r="AJ24" s="260">
        <f t="shared" si="67"/>
        <v>0</v>
      </c>
      <c r="AK24" s="260">
        <f t="shared" si="68"/>
        <v>0</v>
      </c>
      <c r="AL24" s="260">
        <f t="shared" si="69"/>
        <v>0</v>
      </c>
      <c r="AM24" s="260">
        <f t="shared" si="70"/>
        <v>0</v>
      </c>
      <c r="AN24" s="260">
        <f t="shared" si="71"/>
        <v>0</v>
      </c>
      <c r="AO24" s="260">
        <f t="shared" si="72"/>
        <v>0</v>
      </c>
      <c r="AP24" s="260">
        <f t="shared" si="21"/>
        <v>0</v>
      </c>
      <c r="AQ24" s="260">
        <f t="shared" si="22"/>
        <v>0</v>
      </c>
      <c r="AR24" s="260">
        <f t="shared" si="23"/>
        <v>0</v>
      </c>
      <c r="AS24" s="260">
        <f t="shared" si="24"/>
        <v>0</v>
      </c>
      <c r="AT24" s="260">
        <f t="shared" si="73"/>
        <v>0</v>
      </c>
      <c r="AU24" s="260">
        <f t="shared" si="74"/>
        <v>0</v>
      </c>
      <c r="AV24" s="260">
        <f t="shared" si="25"/>
        <v>0</v>
      </c>
      <c r="AW24" s="260">
        <f t="shared" si="26"/>
        <v>0</v>
      </c>
      <c r="AX24" s="260">
        <f t="shared" si="27"/>
        <v>0</v>
      </c>
      <c r="AY24" s="260">
        <f t="shared" si="28"/>
        <v>0</v>
      </c>
      <c r="AZ24" s="260">
        <f t="shared" si="29"/>
        <v>0</v>
      </c>
      <c r="BA24" s="260">
        <f t="shared" si="30"/>
        <v>0</v>
      </c>
      <c r="BB24" s="260">
        <f t="shared" si="31"/>
        <v>0</v>
      </c>
      <c r="BC24" s="260">
        <f t="shared" si="32"/>
        <v>0</v>
      </c>
      <c r="BD24" s="260">
        <f t="shared" si="33"/>
        <v>0</v>
      </c>
      <c r="BE24" s="260">
        <f t="shared" si="34"/>
        <v>0</v>
      </c>
      <c r="BF24" s="260">
        <f t="shared" si="35"/>
        <v>0</v>
      </c>
      <c r="BG24" s="260">
        <f t="shared" si="36"/>
        <v>0</v>
      </c>
      <c r="BH24" s="260">
        <f t="shared" si="75"/>
        <v>0</v>
      </c>
      <c r="BI24" s="260">
        <f t="shared" si="76"/>
        <v>0</v>
      </c>
      <c r="BJ24" s="260">
        <f t="shared" si="37"/>
        <v>0</v>
      </c>
      <c r="BK24" s="260">
        <f t="shared" si="38"/>
        <v>0</v>
      </c>
      <c r="BL24" s="260">
        <f t="shared" si="39"/>
        <v>0</v>
      </c>
      <c r="BM24" s="260">
        <f t="shared" si="40"/>
        <v>0</v>
      </c>
      <c r="BN24" s="260">
        <f t="shared" si="41"/>
        <v>0</v>
      </c>
      <c r="BO24" s="260">
        <f t="shared" si="42"/>
        <v>0</v>
      </c>
      <c r="BP24" s="260">
        <f t="shared" si="77"/>
        <v>0</v>
      </c>
      <c r="BQ24" s="260">
        <f t="shared" si="78"/>
        <v>0</v>
      </c>
      <c r="BR24" s="260">
        <f t="shared" si="43"/>
        <v>0</v>
      </c>
      <c r="BS24" s="260">
        <f t="shared" si="44"/>
        <v>0</v>
      </c>
      <c r="BT24" s="260">
        <f t="shared" si="79"/>
        <v>0</v>
      </c>
      <c r="BU24" s="260">
        <f t="shared" si="80"/>
        <v>0</v>
      </c>
      <c r="BV24" s="260">
        <f t="shared" si="81"/>
        <v>0</v>
      </c>
      <c r="BW24" s="260">
        <f t="shared" si="82"/>
        <v>0</v>
      </c>
      <c r="BX24" s="260">
        <f t="shared" si="45"/>
        <v>0</v>
      </c>
      <c r="BY24" s="260">
        <f t="shared" si="46"/>
        <v>0</v>
      </c>
      <c r="BZ24" s="260">
        <f t="shared" si="47"/>
        <v>0</v>
      </c>
      <c r="CA24" s="260">
        <f t="shared" si="48"/>
        <v>0</v>
      </c>
      <c r="CB24" s="260">
        <f t="shared" si="49"/>
        <v>0</v>
      </c>
      <c r="CC24" s="260">
        <f t="shared" si="50"/>
        <v>0</v>
      </c>
      <c r="CD24" s="260">
        <f t="shared" si="83"/>
        <v>0</v>
      </c>
      <c r="CE24" s="260">
        <f t="shared" si="84"/>
        <v>0</v>
      </c>
      <c r="CF24" s="260">
        <f t="shared" si="85"/>
        <v>0</v>
      </c>
      <c r="CG24" s="260">
        <f t="shared" si="86"/>
        <v>0</v>
      </c>
      <c r="CH24" s="260">
        <f t="shared" si="51"/>
        <v>0</v>
      </c>
      <c r="CI24" s="260">
        <f t="shared" si="52"/>
        <v>0</v>
      </c>
      <c r="CJ24" s="260">
        <f t="shared" si="87"/>
        <v>0</v>
      </c>
      <c r="CK24" s="260">
        <f t="shared" si="88"/>
        <v>0</v>
      </c>
      <c r="CL24" s="260">
        <f t="shared" si="53"/>
        <v>0</v>
      </c>
      <c r="CM24" s="260">
        <f t="shared" si="54"/>
        <v>0</v>
      </c>
      <c r="CN24" s="260">
        <f t="shared" si="55"/>
        <v>0</v>
      </c>
      <c r="CO24" s="260">
        <f t="shared" si="56"/>
        <v>0</v>
      </c>
      <c r="CP24" s="260">
        <f t="shared" si="89"/>
        <v>0</v>
      </c>
      <c r="CQ24" s="260">
        <f t="shared" si="90"/>
        <v>0</v>
      </c>
      <c r="CR24" s="260">
        <f t="shared" si="91"/>
        <v>0</v>
      </c>
      <c r="CS24" s="260">
        <f t="shared" si="92"/>
        <v>0</v>
      </c>
      <c r="CT24" s="260">
        <f t="shared" si="57"/>
        <v>0</v>
      </c>
      <c r="CU24" s="260">
        <f t="shared" si="58"/>
        <v>0</v>
      </c>
      <c r="CV24" s="260">
        <f t="shared" si="59"/>
        <v>0</v>
      </c>
      <c r="CW24" s="260">
        <f t="shared" si="60"/>
        <v>0</v>
      </c>
      <c r="CX24" s="260">
        <f t="shared" si="93"/>
        <v>0</v>
      </c>
      <c r="CY24" s="260">
        <f t="shared" si="94"/>
        <v>0</v>
      </c>
      <c r="CZ24" s="260">
        <f t="shared" si="95"/>
        <v>0</v>
      </c>
      <c r="DA24" s="260">
        <f t="shared" si="96"/>
        <v>0</v>
      </c>
    </row>
    <row r="25" spans="1:105" s="257" customFormat="1" ht="15" customHeight="1">
      <c r="A25" s="60" t="str">
        <f t="array" ref="A25">IF(C25&lt;&gt;0,SUM(($C$11:C25&lt;&gt;0)*1),"")</f>
        <v/>
      </c>
      <c r="B25" s="258"/>
      <c r="C25" s="258"/>
      <c r="D25" s="258"/>
      <c r="E25" s="337"/>
      <c r="F25" s="309"/>
      <c r="G25" s="311"/>
      <c r="H25" s="311"/>
      <c r="I25" s="60" t="str">
        <f t="shared" si="97"/>
        <v/>
      </c>
      <c r="J25" s="260">
        <f t="shared" si="61"/>
        <v>0</v>
      </c>
      <c r="K25" s="260">
        <f t="shared" si="62"/>
        <v>0</v>
      </c>
      <c r="L25" s="260">
        <f t="shared" si="1"/>
        <v>0</v>
      </c>
      <c r="M25" s="260">
        <f t="shared" si="2"/>
        <v>0</v>
      </c>
      <c r="N25" s="260">
        <f t="shared" si="3"/>
        <v>0</v>
      </c>
      <c r="O25" s="260">
        <f t="shared" si="4"/>
        <v>0</v>
      </c>
      <c r="P25" s="260">
        <f t="shared" si="5"/>
        <v>0</v>
      </c>
      <c r="Q25" s="260">
        <f t="shared" si="6"/>
        <v>0</v>
      </c>
      <c r="R25" s="260">
        <f t="shared" si="7"/>
        <v>0</v>
      </c>
      <c r="S25" s="260">
        <f t="shared" si="8"/>
        <v>0</v>
      </c>
      <c r="T25" s="260">
        <f t="shared" si="9"/>
        <v>0</v>
      </c>
      <c r="U25" s="260">
        <f t="shared" si="10"/>
        <v>0</v>
      </c>
      <c r="V25" s="260">
        <f t="shared" si="11"/>
        <v>0</v>
      </c>
      <c r="W25" s="260">
        <f t="shared" si="12"/>
        <v>0</v>
      </c>
      <c r="X25" s="260">
        <f t="shared" si="13"/>
        <v>0</v>
      </c>
      <c r="Y25" s="260">
        <f t="shared" si="14"/>
        <v>0</v>
      </c>
      <c r="Z25" s="260">
        <f t="shared" si="15"/>
        <v>0</v>
      </c>
      <c r="AA25" s="260">
        <f t="shared" si="16"/>
        <v>0</v>
      </c>
      <c r="AB25" s="260">
        <f t="shared" si="63"/>
        <v>0</v>
      </c>
      <c r="AC25" s="260">
        <f t="shared" si="64"/>
        <v>0</v>
      </c>
      <c r="AD25" s="260">
        <f t="shared" si="17"/>
        <v>0</v>
      </c>
      <c r="AE25" s="260">
        <f t="shared" si="18"/>
        <v>0</v>
      </c>
      <c r="AF25" s="260">
        <f t="shared" si="19"/>
        <v>0</v>
      </c>
      <c r="AG25" s="260">
        <f t="shared" si="20"/>
        <v>0</v>
      </c>
      <c r="AH25" s="260">
        <f t="shared" si="65"/>
        <v>0</v>
      </c>
      <c r="AI25" s="260">
        <f t="shared" si="66"/>
        <v>0</v>
      </c>
      <c r="AJ25" s="260">
        <f t="shared" si="67"/>
        <v>0</v>
      </c>
      <c r="AK25" s="260">
        <f t="shared" si="68"/>
        <v>0</v>
      </c>
      <c r="AL25" s="260">
        <f t="shared" si="69"/>
        <v>0</v>
      </c>
      <c r="AM25" s="260">
        <f t="shared" si="70"/>
        <v>0</v>
      </c>
      <c r="AN25" s="260">
        <f t="shared" si="71"/>
        <v>0</v>
      </c>
      <c r="AO25" s="260">
        <f t="shared" si="72"/>
        <v>0</v>
      </c>
      <c r="AP25" s="260">
        <f t="shared" si="21"/>
        <v>0</v>
      </c>
      <c r="AQ25" s="260">
        <f t="shared" si="22"/>
        <v>0</v>
      </c>
      <c r="AR25" s="260">
        <f t="shared" si="23"/>
        <v>0</v>
      </c>
      <c r="AS25" s="260">
        <f t="shared" si="24"/>
        <v>0</v>
      </c>
      <c r="AT25" s="260">
        <f t="shared" si="73"/>
        <v>0</v>
      </c>
      <c r="AU25" s="260">
        <f t="shared" si="74"/>
        <v>0</v>
      </c>
      <c r="AV25" s="260">
        <f t="shared" si="25"/>
        <v>0</v>
      </c>
      <c r="AW25" s="260">
        <f t="shared" si="26"/>
        <v>0</v>
      </c>
      <c r="AX25" s="260">
        <f t="shared" si="27"/>
        <v>0</v>
      </c>
      <c r="AY25" s="260">
        <f t="shared" si="28"/>
        <v>0</v>
      </c>
      <c r="AZ25" s="260">
        <f t="shared" si="29"/>
        <v>0</v>
      </c>
      <c r="BA25" s="260">
        <f t="shared" si="30"/>
        <v>0</v>
      </c>
      <c r="BB25" s="260">
        <f t="shared" si="31"/>
        <v>0</v>
      </c>
      <c r="BC25" s="260">
        <f t="shared" si="32"/>
        <v>0</v>
      </c>
      <c r="BD25" s="260">
        <f t="shared" si="33"/>
        <v>0</v>
      </c>
      <c r="BE25" s="260">
        <f t="shared" si="34"/>
        <v>0</v>
      </c>
      <c r="BF25" s="260">
        <f t="shared" si="35"/>
        <v>0</v>
      </c>
      <c r="BG25" s="260">
        <f t="shared" si="36"/>
        <v>0</v>
      </c>
      <c r="BH25" s="260">
        <f t="shared" si="75"/>
        <v>0</v>
      </c>
      <c r="BI25" s="260">
        <f t="shared" si="76"/>
        <v>0</v>
      </c>
      <c r="BJ25" s="260">
        <f t="shared" si="37"/>
        <v>0</v>
      </c>
      <c r="BK25" s="260">
        <f t="shared" si="38"/>
        <v>0</v>
      </c>
      <c r="BL25" s="260">
        <f t="shared" si="39"/>
        <v>0</v>
      </c>
      <c r="BM25" s="260">
        <f t="shared" si="40"/>
        <v>0</v>
      </c>
      <c r="BN25" s="260">
        <f t="shared" si="41"/>
        <v>0</v>
      </c>
      <c r="BO25" s="260">
        <f t="shared" si="42"/>
        <v>0</v>
      </c>
      <c r="BP25" s="260">
        <f t="shared" si="77"/>
        <v>0</v>
      </c>
      <c r="BQ25" s="260">
        <f t="shared" si="78"/>
        <v>0</v>
      </c>
      <c r="BR25" s="260">
        <f t="shared" si="43"/>
        <v>0</v>
      </c>
      <c r="BS25" s="260">
        <f t="shared" si="44"/>
        <v>0</v>
      </c>
      <c r="BT25" s="260">
        <f t="shared" si="79"/>
        <v>0</v>
      </c>
      <c r="BU25" s="260">
        <f t="shared" si="80"/>
        <v>0</v>
      </c>
      <c r="BV25" s="260">
        <f t="shared" si="81"/>
        <v>0</v>
      </c>
      <c r="BW25" s="260">
        <f t="shared" si="82"/>
        <v>0</v>
      </c>
      <c r="BX25" s="260">
        <f t="shared" si="45"/>
        <v>0</v>
      </c>
      <c r="BY25" s="260">
        <f t="shared" si="46"/>
        <v>0</v>
      </c>
      <c r="BZ25" s="260">
        <f t="shared" si="47"/>
        <v>0</v>
      </c>
      <c r="CA25" s="260">
        <f t="shared" si="48"/>
        <v>0</v>
      </c>
      <c r="CB25" s="260">
        <f t="shared" si="49"/>
        <v>0</v>
      </c>
      <c r="CC25" s="260">
        <f t="shared" si="50"/>
        <v>0</v>
      </c>
      <c r="CD25" s="260">
        <f t="shared" si="83"/>
        <v>0</v>
      </c>
      <c r="CE25" s="260">
        <f t="shared" si="84"/>
        <v>0</v>
      </c>
      <c r="CF25" s="260">
        <f t="shared" si="85"/>
        <v>0</v>
      </c>
      <c r="CG25" s="260">
        <f t="shared" si="86"/>
        <v>0</v>
      </c>
      <c r="CH25" s="260">
        <f t="shared" si="51"/>
        <v>0</v>
      </c>
      <c r="CI25" s="260">
        <f t="shared" si="52"/>
        <v>0</v>
      </c>
      <c r="CJ25" s="260">
        <f t="shared" si="87"/>
        <v>0</v>
      </c>
      <c r="CK25" s="260">
        <f t="shared" si="88"/>
        <v>0</v>
      </c>
      <c r="CL25" s="260">
        <f t="shared" si="53"/>
        <v>0</v>
      </c>
      <c r="CM25" s="260">
        <f t="shared" si="54"/>
        <v>0</v>
      </c>
      <c r="CN25" s="260">
        <f t="shared" si="55"/>
        <v>0</v>
      </c>
      <c r="CO25" s="260">
        <f t="shared" si="56"/>
        <v>0</v>
      </c>
      <c r="CP25" s="260">
        <f t="shared" si="89"/>
        <v>0</v>
      </c>
      <c r="CQ25" s="260">
        <f t="shared" si="90"/>
        <v>0</v>
      </c>
      <c r="CR25" s="260">
        <f t="shared" si="91"/>
        <v>0</v>
      </c>
      <c r="CS25" s="260">
        <f t="shared" si="92"/>
        <v>0</v>
      </c>
      <c r="CT25" s="260">
        <f t="shared" si="57"/>
        <v>0</v>
      </c>
      <c r="CU25" s="260">
        <f t="shared" si="58"/>
        <v>0</v>
      </c>
      <c r="CV25" s="260">
        <f t="shared" si="59"/>
        <v>0</v>
      </c>
      <c r="CW25" s="260">
        <f t="shared" si="60"/>
        <v>0</v>
      </c>
      <c r="CX25" s="260">
        <f t="shared" si="93"/>
        <v>0</v>
      </c>
      <c r="CY25" s="260">
        <f t="shared" si="94"/>
        <v>0</v>
      </c>
      <c r="CZ25" s="260">
        <f t="shared" si="95"/>
        <v>0</v>
      </c>
      <c r="DA25" s="260">
        <f t="shared" si="96"/>
        <v>0</v>
      </c>
    </row>
    <row r="26" spans="1:105" s="257" customFormat="1" ht="15" customHeight="1">
      <c r="A26" s="60" t="str">
        <f t="array" ref="A26">IF(C26&lt;&gt;0,SUM(($C$11:C26&lt;&gt;0)*1),"")</f>
        <v/>
      </c>
      <c r="B26" s="258"/>
      <c r="C26" s="258"/>
      <c r="D26" s="258"/>
      <c r="E26" s="337"/>
      <c r="F26" s="309"/>
      <c r="G26" s="311"/>
      <c r="H26" s="311"/>
      <c r="I26" s="60" t="str">
        <f t="shared" si="97"/>
        <v/>
      </c>
      <c r="J26" s="260">
        <f t="shared" si="61"/>
        <v>0</v>
      </c>
      <c r="K26" s="260">
        <f t="shared" si="62"/>
        <v>0</v>
      </c>
      <c r="L26" s="260">
        <f t="shared" si="1"/>
        <v>0</v>
      </c>
      <c r="M26" s="260">
        <f t="shared" si="2"/>
        <v>0</v>
      </c>
      <c r="N26" s="260">
        <f t="shared" si="3"/>
        <v>0</v>
      </c>
      <c r="O26" s="260">
        <f t="shared" si="4"/>
        <v>0</v>
      </c>
      <c r="P26" s="260">
        <f t="shared" si="5"/>
        <v>0</v>
      </c>
      <c r="Q26" s="260">
        <f t="shared" si="6"/>
        <v>0</v>
      </c>
      <c r="R26" s="260">
        <f t="shared" si="7"/>
        <v>0</v>
      </c>
      <c r="S26" s="260">
        <f t="shared" si="8"/>
        <v>0</v>
      </c>
      <c r="T26" s="260">
        <f t="shared" si="9"/>
        <v>0</v>
      </c>
      <c r="U26" s="260">
        <f t="shared" si="10"/>
        <v>0</v>
      </c>
      <c r="V26" s="260">
        <f t="shared" si="11"/>
        <v>0</v>
      </c>
      <c r="W26" s="260">
        <f t="shared" si="12"/>
        <v>0</v>
      </c>
      <c r="X26" s="260">
        <f t="shared" si="13"/>
        <v>0</v>
      </c>
      <c r="Y26" s="260">
        <f t="shared" si="14"/>
        <v>0</v>
      </c>
      <c r="Z26" s="260">
        <f t="shared" si="15"/>
        <v>0</v>
      </c>
      <c r="AA26" s="260">
        <f t="shared" si="16"/>
        <v>0</v>
      </c>
      <c r="AB26" s="260">
        <f t="shared" si="63"/>
        <v>0</v>
      </c>
      <c r="AC26" s="260">
        <f t="shared" si="64"/>
        <v>0</v>
      </c>
      <c r="AD26" s="260">
        <f t="shared" si="17"/>
        <v>0</v>
      </c>
      <c r="AE26" s="260">
        <f t="shared" si="18"/>
        <v>0</v>
      </c>
      <c r="AF26" s="260">
        <f t="shared" si="19"/>
        <v>0</v>
      </c>
      <c r="AG26" s="260">
        <f t="shared" si="20"/>
        <v>0</v>
      </c>
      <c r="AH26" s="260">
        <f t="shared" si="65"/>
        <v>0</v>
      </c>
      <c r="AI26" s="260">
        <f t="shared" si="66"/>
        <v>0</v>
      </c>
      <c r="AJ26" s="260">
        <f t="shared" si="67"/>
        <v>0</v>
      </c>
      <c r="AK26" s="260">
        <f t="shared" si="68"/>
        <v>0</v>
      </c>
      <c r="AL26" s="260">
        <f t="shared" si="69"/>
        <v>0</v>
      </c>
      <c r="AM26" s="260">
        <f t="shared" si="70"/>
        <v>0</v>
      </c>
      <c r="AN26" s="260">
        <f t="shared" si="71"/>
        <v>0</v>
      </c>
      <c r="AO26" s="260">
        <f t="shared" si="72"/>
        <v>0</v>
      </c>
      <c r="AP26" s="260">
        <f t="shared" si="21"/>
        <v>0</v>
      </c>
      <c r="AQ26" s="260">
        <f t="shared" si="22"/>
        <v>0</v>
      </c>
      <c r="AR26" s="260">
        <f t="shared" si="23"/>
        <v>0</v>
      </c>
      <c r="AS26" s="260">
        <f t="shared" si="24"/>
        <v>0</v>
      </c>
      <c r="AT26" s="260">
        <f t="shared" si="73"/>
        <v>0</v>
      </c>
      <c r="AU26" s="260">
        <f t="shared" si="74"/>
        <v>0</v>
      </c>
      <c r="AV26" s="260">
        <f t="shared" si="25"/>
        <v>0</v>
      </c>
      <c r="AW26" s="260">
        <f t="shared" si="26"/>
        <v>0</v>
      </c>
      <c r="AX26" s="260">
        <f t="shared" si="27"/>
        <v>0</v>
      </c>
      <c r="AY26" s="260">
        <f t="shared" si="28"/>
        <v>0</v>
      </c>
      <c r="AZ26" s="260">
        <f t="shared" si="29"/>
        <v>0</v>
      </c>
      <c r="BA26" s="260">
        <f t="shared" si="30"/>
        <v>0</v>
      </c>
      <c r="BB26" s="260">
        <f t="shared" si="31"/>
        <v>0</v>
      </c>
      <c r="BC26" s="260">
        <f t="shared" si="32"/>
        <v>0</v>
      </c>
      <c r="BD26" s="260">
        <f t="shared" si="33"/>
        <v>0</v>
      </c>
      <c r="BE26" s="260">
        <f t="shared" si="34"/>
        <v>0</v>
      </c>
      <c r="BF26" s="260">
        <f t="shared" si="35"/>
        <v>0</v>
      </c>
      <c r="BG26" s="260">
        <f t="shared" si="36"/>
        <v>0</v>
      </c>
      <c r="BH26" s="260">
        <f t="shared" si="75"/>
        <v>0</v>
      </c>
      <c r="BI26" s="260">
        <f t="shared" si="76"/>
        <v>0</v>
      </c>
      <c r="BJ26" s="260">
        <f t="shared" si="37"/>
        <v>0</v>
      </c>
      <c r="BK26" s="260">
        <f t="shared" si="38"/>
        <v>0</v>
      </c>
      <c r="BL26" s="260">
        <f t="shared" si="39"/>
        <v>0</v>
      </c>
      <c r="BM26" s="260">
        <f t="shared" si="40"/>
        <v>0</v>
      </c>
      <c r="BN26" s="260">
        <f t="shared" si="41"/>
        <v>0</v>
      </c>
      <c r="BO26" s="260">
        <f t="shared" si="42"/>
        <v>0</v>
      </c>
      <c r="BP26" s="260">
        <f t="shared" si="77"/>
        <v>0</v>
      </c>
      <c r="BQ26" s="260">
        <f t="shared" si="78"/>
        <v>0</v>
      </c>
      <c r="BR26" s="260">
        <f t="shared" si="43"/>
        <v>0</v>
      </c>
      <c r="BS26" s="260">
        <f t="shared" si="44"/>
        <v>0</v>
      </c>
      <c r="BT26" s="260">
        <f t="shared" si="79"/>
        <v>0</v>
      </c>
      <c r="BU26" s="260">
        <f t="shared" si="80"/>
        <v>0</v>
      </c>
      <c r="BV26" s="260">
        <f t="shared" si="81"/>
        <v>0</v>
      </c>
      <c r="BW26" s="260">
        <f t="shared" si="82"/>
        <v>0</v>
      </c>
      <c r="BX26" s="260">
        <f t="shared" si="45"/>
        <v>0</v>
      </c>
      <c r="BY26" s="260">
        <f t="shared" si="46"/>
        <v>0</v>
      </c>
      <c r="BZ26" s="260">
        <f t="shared" si="47"/>
        <v>0</v>
      </c>
      <c r="CA26" s="260">
        <f t="shared" si="48"/>
        <v>0</v>
      </c>
      <c r="CB26" s="260">
        <f t="shared" si="49"/>
        <v>0</v>
      </c>
      <c r="CC26" s="260">
        <f t="shared" si="50"/>
        <v>0</v>
      </c>
      <c r="CD26" s="260">
        <f t="shared" si="83"/>
        <v>0</v>
      </c>
      <c r="CE26" s="260">
        <f t="shared" si="84"/>
        <v>0</v>
      </c>
      <c r="CF26" s="260">
        <f t="shared" si="85"/>
        <v>0</v>
      </c>
      <c r="CG26" s="260">
        <f t="shared" si="86"/>
        <v>0</v>
      </c>
      <c r="CH26" s="260">
        <f t="shared" si="51"/>
        <v>0</v>
      </c>
      <c r="CI26" s="260">
        <f t="shared" si="52"/>
        <v>0</v>
      </c>
      <c r="CJ26" s="260">
        <f t="shared" si="87"/>
        <v>0</v>
      </c>
      <c r="CK26" s="260">
        <f t="shared" si="88"/>
        <v>0</v>
      </c>
      <c r="CL26" s="260">
        <f t="shared" si="53"/>
        <v>0</v>
      </c>
      <c r="CM26" s="260">
        <f t="shared" si="54"/>
        <v>0</v>
      </c>
      <c r="CN26" s="260">
        <f t="shared" si="55"/>
        <v>0</v>
      </c>
      <c r="CO26" s="260">
        <f t="shared" si="56"/>
        <v>0</v>
      </c>
      <c r="CP26" s="260">
        <f t="shared" si="89"/>
        <v>0</v>
      </c>
      <c r="CQ26" s="260">
        <f t="shared" si="90"/>
        <v>0</v>
      </c>
      <c r="CR26" s="260">
        <f t="shared" si="91"/>
        <v>0</v>
      </c>
      <c r="CS26" s="260">
        <f t="shared" si="92"/>
        <v>0</v>
      </c>
      <c r="CT26" s="260">
        <f t="shared" si="57"/>
        <v>0</v>
      </c>
      <c r="CU26" s="260">
        <f t="shared" si="58"/>
        <v>0</v>
      </c>
      <c r="CV26" s="260">
        <f t="shared" si="59"/>
        <v>0</v>
      </c>
      <c r="CW26" s="260">
        <f t="shared" si="60"/>
        <v>0</v>
      </c>
      <c r="CX26" s="260">
        <f t="shared" si="93"/>
        <v>0</v>
      </c>
      <c r="CY26" s="260">
        <f t="shared" si="94"/>
        <v>0</v>
      </c>
      <c r="CZ26" s="260">
        <f t="shared" si="95"/>
        <v>0</v>
      </c>
      <c r="DA26" s="260">
        <f t="shared" si="96"/>
        <v>0</v>
      </c>
    </row>
    <row r="27" spans="1:105" s="257" customFormat="1" ht="15" customHeight="1">
      <c r="A27" s="60" t="str">
        <f t="array" ref="A27">IF(C27&lt;&gt;0,SUM(($C$11:C27&lt;&gt;0)*1),"")</f>
        <v/>
      </c>
      <c r="B27" s="258"/>
      <c r="C27" s="258"/>
      <c r="D27" s="258"/>
      <c r="E27" s="337"/>
      <c r="F27" s="309"/>
      <c r="G27" s="311"/>
      <c r="H27" s="311"/>
      <c r="I27" s="60" t="str">
        <f t="shared" si="97"/>
        <v/>
      </c>
      <c r="J27" s="260">
        <f t="shared" si="61"/>
        <v>0</v>
      </c>
      <c r="K27" s="260">
        <f t="shared" si="62"/>
        <v>0</v>
      </c>
      <c r="L27" s="260">
        <f t="shared" si="1"/>
        <v>0</v>
      </c>
      <c r="M27" s="260">
        <f t="shared" si="2"/>
        <v>0</v>
      </c>
      <c r="N27" s="260">
        <f t="shared" si="3"/>
        <v>0</v>
      </c>
      <c r="O27" s="260">
        <f t="shared" si="4"/>
        <v>0</v>
      </c>
      <c r="P27" s="260">
        <f t="shared" si="5"/>
        <v>0</v>
      </c>
      <c r="Q27" s="260">
        <f t="shared" si="6"/>
        <v>0</v>
      </c>
      <c r="R27" s="260">
        <f t="shared" si="7"/>
        <v>0</v>
      </c>
      <c r="S27" s="260">
        <f t="shared" si="8"/>
        <v>0</v>
      </c>
      <c r="T27" s="260">
        <f t="shared" si="9"/>
        <v>0</v>
      </c>
      <c r="U27" s="260">
        <f t="shared" si="10"/>
        <v>0</v>
      </c>
      <c r="V27" s="260">
        <f t="shared" si="11"/>
        <v>0</v>
      </c>
      <c r="W27" s="260">
        <f t="shared" si="12"/>
        <v>0</v>
      </c>
      <c r="X27" s="260">
        <f t="shared" si="13"/>
        <v>0</v>
      </c>
      <c r="Y27" s="260">
        <f t="shared" si="14"/>
        <v>0</v>
      </c>
      <c r="Z27" s="260">
        <f t="shared" si="15"/>
        <v>0</v>
      </c>
      <c r="AA27" s="260">
        <f t="shared" si="16"/>
        <v>0</v>
      </c>
      <c r="AB27" s="260">
        <f t="shared" si="63"/>
        <v>0</v>
      </c>
      <c r="AC27" s="260">
        <f t="shared" si="64"/>
        <v>0</v>
      </c>
      <c r="AD27" s="260">
        <f t="shared" si="17"/>
        <v>0</v>
      </c>
      <c r="AE27" s="260">
        <f t="shared" si="18"/>
        <v>0</v>
      </c>
      <c r="AF27" s="260">
        <f t="shared" si="19"/>
        <v>0</v>
      </c>
      <c r="AG27" s="260">
        <f t="shared" si="20"/>
        <v>0</v>
      </c>
      <c r="AH27" s="260">
        <f t="shared" si="65"/>
        <v>0</v>
      </c>
      <c r="AI27" s="260">
        <f t="shared" si="66"/>
        <v>0</v>
      </c>
      <c r="AJ27" s="260">
        <f t="shared" si="67"/>
        <v>0</v>
      </c>
      <c r="AK27" s="260">
        <f t="shared" si="68"/>
        <v>0</v>
      </c>
      <c r="AL27" s="260">
        <f t="shared" si="69"/>
        <v>0</v>
      </c>
      <c r="AM27" s="260">
        <f t="shared" si="70"/>
        <v>0</v>
      </c>
      <c r="AN27" s="260">
        <f t="shared" si="71"/>
        <v>0</v>
      </c>
      <c r="AO27" s="260">
        <f t="shared" si="72"/>
        <v>0</v>
      </c>
      <c r="AP27" s="260">
        <f t="shared" si="21"/>
        <v>0</v>
      </c>
      <c r="AQ27" s="260">
        <f t="shared" si="22"/>
        <v>0</v>
      </c>
      <c r="AR27" s="260">
        <f t="shared" si="23"/>
        <v>0</v>
      </c>
      <c r="AS27" s="260">
        <f t="shared" si="24"/>
        <v>0</v>
      </c>
      <c r="AT27" s="260">
        <f t="shared" si="73"/>
        <v>0</v>
      </c>
      <c r="AU27" s="260">
        <f t="shared" si="74"/>
        <v>0</v>
      </c>
      <c r="AV27" s="260">
        <f t="shared" si="25"/>
        <v>0</v>
      </c>
      <c r="AW27" s="260">
        <f t="shared" si="26"/>
        <v>0</v>
      </c>
      <c r="AX27" s="260">
        <f t="shared" si="27"/>
        <v>0</v>
      </c>
      <c r="AY27" s="260">
        <f t="shared" si="28"/>
        <v>0</v>
      </c>
      <c r="AZ27" s="260">
        <f t="shared" si="29"/>
        <v>0</v>
      </c>
      <c r="BA27" s="260">
        <f t="shared" si="30"/>
        <v>0</v>
      </c>
      <c r="BB27" s="260">
        <f t="shared" si="31"/>
        <v>0</v>
      </c>
      <c r="BC27" s="260">
        <f t="shared" si="32"/>
        <v>0</v>
      </c>
      <c r="BD27" s="260">
        <f t="shared" si="33"/>
        <v>0</v>
      </c>
      <c r="BE27" s="260">
        <f t="shared" si="34"/>
        <v>0</v>
      </c>
      <c r="BF27" s="260">
        <f t="shared" si="35"/>
        <v>0</v>
      </c>
      <c r="BG27" s="260">
        <f t="shared" si="36"/>
        <v>0</v>
      </c>
      <c r="BH27" s="260">
        <f t="shared" si="75"/>
        <v>0</v>
      </c>
      <c r="BI27" s="260">
        <f t="shared" si="76"/>
        <v>0</v>
      </c>
      <c r="BJ27" s="260">
        <f t="shared" si="37"/>
        <v>0</v>
      </c>
      <c r="BK27" s="260">
        <f t="shared" si="38"/>
        <v>0</v>
      </c>
      <c r="BL27" s="260">
        <f t="shared" si="39"/>
        <v>0</v>
      </c>
      <c r="BM27" s="260">
        <f t="shared" si="40"/>
        <v>0</v>
      </c>
      <c r="BN27" s="260">
        <f t="shared" si="41"/>
        <v>0</v>
      </c>
      <c r="BO27" s="260">
        <f t="shared" si="42"/>
        <v>0</v>
      </c>
      <c r="BP27" s="260">
        <f t="shared" si="77"/>
        <v>0</v>
      </c>
      <c r="BQ27" s="260">
        <f t="shared" si="78"/>
        <v>0</v>
      </c>
      <c r="BR27" s="260">
        <f t="shared" si="43"/>
        <v>0</v>
      </c>
      <c r="BS27" s="260">
        <f t="shared" si="44"/>
        <v>0</v>
      </c>
      <c r="BT27" s="260">
        <f t="shared" si="79"/>
        <v>0</v>
      </c>
      <c r="BU27" s="260">
        <f t="shared" si="80"/>
        <v>0</v>
      </c>
      <c r="BV27" s="260">
        <f t="shared" si="81"/>
        <v>0</v>
      </c>
      <c r="BW27" s="260">
        <f t="shared" si="82"/>
        <v>0</v>
      </c>
      <c r="BX27" s="260">
        <f t="shared" si="45"/>
        <v>0</v>
      </c>
      <c r="BY27" s="260">
        <f t="shared" si="46"/>
        <v>0</v>
      </c>
      <c r="BZ27" s="260">
        <f t="shared" si="47"/>
        <v>0</v>
      </c>
      <c r="CA27" s="260">
        <f t="shared" si="48"/>
        <v>0</v>
      </c>
      <c r="CB27" s="260">
        <f t="shared" si="49"/>
        <v>0</v>
      </c>
      <c r="CC27" s="260">
        <f t="shared" si="50"/>
        <v>0</v>
      </c>
      <c r="CD27" s="260">
        <f t="shared" si="83"/>
        <v>0</v>
      </c>
      <c r="CE27" s="260">
        <f t="shared" si="84"/>
        <v>0</v>
      </c>
      <c r="CF27" s="260">
        <f t="shared" si="85"/>
        <v>0</v>
      </c>
      <c r="CG27" s="260">
        <f t="shared" si="86"/>
        <v>0</v>
      </c>
      <c r="CH27" s="260">
        <f t="shared" si="51"/>
        <v>0</v>
      </c>
      <c r="CI27" s="260">
        <f t="shared" si="52"/>
        <v>0</v>
      </c>
      <c r="CJ27" s="260">
        <f t="shared" si="87"/>
        <v>0</v>
      </c>
      <c r="CK27" s="260">
        <f t="shared" si="88"/>
        <v>0</v>
      </c>
      <c r="CL27" s="260">
        <f t="shared" si="53"/>
        <v>0</v>
      </c>
      <c r="CM27" s="260">
        <f t="shared" si="54"/>
        <v>0</v>
      </c>
      <c r="CN27" s="260">
        <f t="shared" si="55"/>
        <v>0</v>
      </c>
      <c r="CO27" s="260">
        <f t="shared" si="56"/>
        <v>0</v>
      </c>
      <c r="CP27" s="260">
        <f t="shared" si="89"/>
        <v>0</v>
      </c>
      <c r="CQ27" s="260">
        <f t="shared" si="90"/>
        <v>0</v>
      </c>
      <c r="CR27" s="260">
        <f t="shared" si="91"/>
        <v>0</v>
      </c>
      <c r="CS27" s="260">
        <f t="shared" si="92"/>
        <v>0</v>
      </c>
      <c r="CT27" s="260">
        <f t="shared" si="57"/>
        <v>0</v>
      </c>
      <c r="CU27" s="260">
        <f t="shared" si="58"/>
        <v>0</v>
      </c>
      <c r="CV27" s="260">
        <f t="shared" si="59"/>
        <v>0</v>
      </c>
      <c r="CW27" s="260">
        <f t="shared" si="60"/>
        <v>0</v>
      </c>
      <c r="CX27" s="260">
        <f t="shared" si="93"/>
        <v>0</v>
      </c>
      <c r="CY27" s="260">
        <f t="shared" si="94"/>
        <v>0</v>
      </c>
      <c r="CZ27" s="260">
        <f t="shared" si="95"/>
        <v>0</v>
      </c>
      <c r="DA27" s="260">
        <f t="shared" si="96"/>
        <v>0</v>
      </c>
    </row>
    <row r="28" spans="1:105" s="257" customFormat="1" ht="15" customHeight="1">
      <c r="A28" s="60" t="str">
        <f t="array" ref="A28">IF(C28&lt;&gt;0,SUM(($C$11:C28&lt;&gt;0)*1),"")</f>
        <v/>
      </c>
      <c r="B28" s="258"/>
      <c r="C28" s="258"/>
      <c r="D28" s="258"/>
      <c r="E28" s="337"/>
      <c r="F28" s="309"/>
      <c r="G28" s="311"/>
      <c r="H28" s="311"/>
      <c r="I28" s="60" t="str">
        <f t="shared" si="97"/>
        <v/>
      </c>
      <c r="J28" s="260">
        <f t="shared" si="61"/>
        <v>0</v>
      </c>
      <c r="K28" s="260">
        <f t="shared" si="62"/>
        <v>0</v>
      </c>
      <c r="L28" s="260">
        <f t="shared" si="1"/>
        <v>0</v>
      </c>
      <c r="M28" s="260">
        <f t="shared" si="2"/>
        <v>0</v>
      </c>
      <c r="N28" s="260">
        <f t="shared" si="3"/>
        <v>0</v>
      </c>
      <c r="O28" s="260">
        <f t="shared" si="4"/>
        <v>0</v>
      </c>
      <c r="P28" s="260">
        <f t="shared" si="5"/>
        <v>0</v>
      </c>
      <c r="Q28" s="260">
        <f t="shared" si="6"/>
        <v>0</v>
      </c>
      <c r="R28" s="260">
        <f t="shared" si="7"/>
        <v>0</v>
      </c>
      <c r="S28" s="260">
        <f t="shared" si="8"/>
        <v>0</v>
      </c>
      <c r="T28" s="260">
        <f t="shared" si="9"/>
        <v>0</v>
      </c>
      <c r="U28" s="260">
        <f t="shared" si="10"/>
        <v>0</v>
      </c>
      <c r="V28" s="260">
        <f t="shared" si="11"/>
        <v>0</v>
      </c>
      <c r="W28" s="260">
        <f t="shared" si="12"/>
        <v>0</v>
      </c>
      <c r="X28" s="260">
        <f t="shared" si="13"/>
        <v>0</v>
      </c>
      <c r="Y28" s="260">
        <f t="shared" si="14"/>
        <v>0</v>
      </c>
      <c r="Z28" s="260">
        <f t="shared" si="15"/>
        <v>0</v>
      </c>
      <c r="AA28" s="260">
        <f t="shared" si="16"/>
        <v>0</v>
      </c>
      <c r="AB28" s="260">
        <f t="shared" si="63"/>
        <v>0</v>
      </c>
      <c r="AC28" s="260">
        <f t="shared" si="64"/>
        <v>0</v>
      </c>
      <c r="AD28" s="260">
        <f t="shared" si="17"/>
        <v>0</v>
      </c>
      <c r="AE28" s="260">
        <f t="shared" si="18"/>
        <v>0</v>
      </c>
      <c r="AF28" s="260">
        <f t="shared" si="19"/>
        <v>0</v>
      </c>
      <c r="AG28" s="260">
        <f t="shared" si="20"/>
        <v>0</v>
      </c>
      <c r="AH28" s="260">
        <f t="shared" si="65"/>
        <v>0</v>
      </c>
      <c r="AI28" s="260">
        <f t="shared" si="66"/>
        <v>0</v>
      </c>
      <c r="AJ28" s="260">
        <f t="shared" si="67"/>
        <v>0</v>
      </c>
      <c r="AK28" s="260">
        <f t="shared" si="68"/>
        <v>0</v>
      </c>
      <c r="AL28" s="260">
        <f t="shared" si="69"/>
        <v>0</v>
      </c>
      <c r="AM28" s="260">
        <f t="shared" si="70"/>
        <v>0</v>
      </c>
      <c r="AN28" s="260">
        <f t="shared" si="71"/>
        <v>0</v>
      </c>
      <c r="AO28" s="260">
        <f t="shared" si="72"/>
        <v>0</v>
      </c>
      <c r="AP28" s="260">
        <f t="shared" si="21"/>
        <v>0</v>
      </c>
      <c r="AQ28" s="260">
        <f t="shared" si="22"/>
        <v>0</v>
      </c>
      <c r="AR28" s="260">
        <f t="shared" si="23"/>
        <v>0</v>
      </c>
      <c r="AS28" s="260">
        <f t="shared" si="24"/>
        <v>0</v>
      </c>
      <c r="AT28" s="260">
        <f t="shared" si="73"/>
        <v>0</v>
      </c>
      <c r="AU28" s="260">
        <f t="shared" si="74"/>
        <v>0</v>
      </c>
      <c r="AV28" s="260">
        <f t="shared" si="25"/>
        <v>0</v>
      </c>
      <c r="AW28" s="260">
        <f t="shared" si="26"/>
        <v>0</v>
      </c>
      <c r="AX28" s="260">
        <f t="shared" si="27"/>
        <v>0</v>
      </c>
      <c r="AY28" s="260">
        <f t="shared" si="28"/>
        <v>0</v>
      </c>
      <c r="AZ28" s="260">
        <f t="shared" si="29"/>
        <v>0</v>
      </c>
      <c r="BA28" s="260">
        <f t="shared" si="30"/>
        <v>0</v>
      </c>
      <c r="BB28" s="260">
        <f t="shared" si="31"/>
        <v>0</v>
      </c>
      <c r="BC28" s="260">
        <f t="shared" si="32"/>
        <v>0</v>
      </c>
      <c r="BD28" s="260">
        <f t="shared" si="33"/>
        <v>0</v>
      </c>
      <c r="BE28" s="260">
        <f t="shared" si="34"/>
        <v>0</v>
      </c>
      <c r="BF28" s="260">
        <f t="shared" si="35"/>
        <v>0</v>
      </c>
      <c r="BG28" s="260">
        <f t="shared" si="36"/>
        <v>0</v>
      </c>
      <c r="BH28" s="260">
        <f t="shared" si="75"/>
        <v>0</v>
      </c>
      <c r="BI28" s="260">
        <f t="shared" si="76"/>
        <v>0</v>
      </c>
      <c r="BJ28" s="260">
        <f t="shared" si="37"/>
        <v>0</v>
      </c>
      <c r="BK28" s="260">
        <f t="shared" si="38"/>
        <v>0</v>
      </c>
      <c r="BL28" s="260">
        <f t="shared" si="39"/>
        <v>0</v>
      </c>
      <c r="BM28" s="260">
        <f t="shared" si="40"/>
        <v>0</v>
      </c>
      <c r="BN28" s="260">
        <f t="shared" si="41"/>
        <v>0</v>
      </c>
      <c r="BO28" s="260">
        <f t="shared" si="42"/>
        <v>0</v>
      </c>
      <c r="BP28" s="260">
        <f t="shared" si="77"/>
        <v>0</v>
      </c>
      <c r="BQ28" s="260">
        <f t="shared" si="78"/>
        <v>0</v>
      </c>
      <c r="BR28" s="260">
        <f t="shared" si="43"/>
        <v>0</v>
      </c>
      <c r="BS28" s="260">
        <f t="shared" si="44"/>
        <v>0</v>
      </c>
      <c r="BT28" s="260">
        <f t="shared" si="79"/>
        <v>0</v>
      </c>
      <c r="BU28" s="260">
        <f t="shared" si="80"/>
        <v>0</v>
      </c>
      <c r="BV28" s="260">
        <f t="shared" si="81"/>
        <v>0</v>
      </c>
      <c r="BW28" s="260">
        <f t="shared" si="82"/>
        <v>0</v>
      </c>
      <c r="BX28" s="260">
        <f t="shared" si="45"/>
        <v>0</v>
      </c>
      <c r="BY28" s="260">
        <f t="shared" si="46"/>
        <v>0</v>
      </c>
      <c r="BZ28" s="260">
        <f t="shared" si="47"/>
        <v>0</v>
      </c>
      <c r="CA28" s="260">
        <f t="shared" si="48"/>
        <v>0</v>
      </c>
      <c r="CB28" s="260">
        <f t="shared" si="49"/>
        <v>0</v>
      </c>
      <c r="CC28" s="260">
        <f t="shared" si="50"/>
        <v>0</v>
      </c>
      <c r="CD28" s="260">
        <f t="shared" si="83"/>
        <v>0</v>
      </c>
      <c r="CE28" s="260">
        <f t="shared" si="84"/>
        <v>0</v>
      </c>
      <c r="CF28" s="260">
        <f t="shared" si="85"/>
        <v>0</v>
      </c>
      <c r="CG28" s="260">
        <f t="shared" si="86"/>
        <v>0</v>
      </c>
      <c r="CH28" s="260">
        <f t="shared" si="51"/>
        <v>0</v>
      </c>
      <c r="CI28" s="260">
        <f t="shared" si="52"/>
        <v>0</v>
      </c>
      <c r="CJ28" s="260">
        <f t="shared" si="87"/>
        <v>0</v>
      </c>
      <c r="CK28" s="260">
        <f t="shared" si="88"/>
        <v>0</v>
      </c>
      <c r="CL28" s="260">
        <f t="shared" si="53"/>
        <v>0</v>
      </c>
      <c r="CM28" s="260">
        <f t="shared" si="54"/>
        <v>0</v>
      </c>
      <c r="CN28" s="260">
        <f t="shared" si="55"/>
        <v>0</v>
      </c>
      <c r="CO28" s="260">
        <f t="shared" si="56"/>
        <v>0</v>
      </c>
      <c r="CP28" s="260">
        <f t="shared" si="89"/>
        <v>0</v>
      </c>
      <c r="CQ28" s="260">
        <f t="shared" si="90"/>
        <v>0</v>
      </c>
      <c r="CR28" s="260">
        <f t="shared" si="91"/>
        <v>0</v>
      </c>
      <c r="CS28" s="260">
        <f t="shared" si="92"/>
        <v>0</v>
      </c>
      <c r="CT28" s="260">
        <f t="shared" si="57"/>
        <v>0</v>
      </c>
      <c r="CU28" s="260">
        <f t="shared" si="58"/>
        <v>0</v>
      </c>
      <c r="CV28" s="260">
        <f t="shared" si="59"/>
        <v>0</v>
      </c>
      <c r="CW28" s="260">
        <f t="shared" si="60"/>
        <v>0</v>
      </c>
      <c r="CX28" s="260">
        <f t="shared" si="93"/>
        <v>0</v>
      </c>
      <c r="CY28" s="260">
        <f t="shared" si="94"/>
        <v>0</v>
      </c>
      <c r="CZ28" s="260">
        <f t="shared" si="95"/>
        <v>0</v>
      </c>
      <c r="DA28" s="260">
        <f t="shared" si="96"/>
        <v>0</v>
      </c>
    </row>
    <row r="29" spans="1:105" s="257" customFormat="1" ht="15" customHeight="1">
      <c r="A29" s="60" t="str">
        <f t="array" ref="A29">IF(C29&lt;&gt;0,SUM(($C$11:C29&lt;&gt;0)*1),"")</f>
        <v/>
      </c>
      <c r="B29" s="258"/>
      <c r="C29" s="258"/>
      <c r="D29" s="258"/>
      <c r="E29" s="337"/>
      <c r="F29" s="309"/>
      <c r="G29" s="311"/>
      <c r="H29" s="311"/>
      <c r="I29" s="60" t="str">
        <f t="shared" si="97"/>
        <v/>
      </c>
      <c r="J29" s="260">
        <f t="shared" si="61"/>
        <v>0</v>
      </c>
      <c r="K29" s="260">
        <f t="shared" si="62"/>
        <v>0</v>
      </c>
      <c r="L29" s="260">
        <f t="shared" si="1"/>
        <v>0</v>
      </c>
      <c r="M29" s="260">
        <f t="shared" si="2"/>
        <v>0</v>
      </c>
      <c r="N29" s="260">
        <f t="shared" si="3"/>
        <v>0</v>
      </c>
      <c r="O29" s="260">
        <f t="shared" si="4"/>
        <v>0</v>
      </c>
      <c r="P29" s="260">
        <f t="shared" si="5"/>
        <v>0</v>
      </c>
      <c r="Q29" s="260">
        <f t="shared" si="6"/>
        <v>0</v>
      </c>
      <c r="R29" s="260">
        <f t="shared" si="7"/>
        <v>0</v>
      </c>
      <c r="S29" s="260">
        <f t="shared" si="8"/>
        <v>0</v>
      </c>
      <c r="T29" s="260">
        <f t="shared" si="9"/>
        <v>0</v>
      </c>
      <c r="U29" s="260">
        <f t="shared" si="10"/>
        <v>0</v>
      </c>
      <c r="V29" s="260">
        <f t="shared" si="11"/>
        <v>0</v>
      </c>
      <c r="W29" s="260">
        <f t="shared" si="12"/>
        <v>0</v>
      </c>
      <c r="X29" s="260">
        <f t="shared" si="13"/>
        <v>0</v>
      </c>
      <c r="Y29" s="260">
        <f t="shared" si="14"/>
        <v>0</v>
      </c>
      <c r="Z29" s="260">
        <f t="shared" si="15"/>
        <v>0</v>
      </c>
      <c r="AA29" s="260">
        <f t="shared" si="16"/>
        <v>0</v>
      </c>
      <c r="AB29" s="260">
        <f t="shared" si="63"/>
        <v>0</v>
      </c>
      <c r="AC29" s="260">
        <f t="shared" si="64"/>
        <v>0</v>
      </c>
      <c r="AD29" s="260">
        <f t="shared" si="17"/>
        <v>0</v>
      </c>
      <c r="AE29" s="260">
        <f t="shared" si="18"/>
        <v>0</v>
      </c>
      <c r="AF29" s="260">
        <f t="shared" si="19"/>
        <v>0</v>
      </c>
      <c r="AG29" s="260">
        <f t="shared" si="20"/>
        <v>0</v>
      </c>
      <c r="AH29" s="260">
        <f t="shared" si="65"/>
        <v>0</v>
      </c>
      <c r="AI29" s="260">
        <f t="shared" si="66"/>
        <v>0</v>
      </c>
      <c r="AJ29" s="260">
        <f t="shared" si="67"/>
        <v>0</v>
      </c>
      <c r="AK29" s="260">
        <f t="shared" si="68"/>
        <v>0</v>
      </c>
      <c r="AL29" s="260">
        <f t="shared" si="69"/>
        <v>0</v>
      </c>
      <c r="AM29" s="260">
        <f t="shared" si="70"/>
        <v>0</v>
      </c>
      <c r="AN29" s="260">
        <f t="shared" si="71"/>
        <v>0</v>
      </c>
      <c r="AO29" s="260">
        <f t="shared" si="72"/>
        <v>0</v>
      </c>
      <c r="AP29" s="260">
        <f t="shared" si="21"/>
        <v>0</v>
      </c>
      <c r="AQ29" s="260">
        <f t="shared" si="22"/>
        <v>0</v>
      </c>
      <c r="AR29" s="260">
        <f t="shared" si="23"/>
        <v>0</v>
      </c>
      <c r="AS29" s="260">
        <f t="shared" si="24"/>
        <v>0</v>
      </c>
      <c r="AT29" s="260">
        <f t="shared" si="73"/>
        <v>0</v>
      </c>
      <c r="AU29" s="260">
        <f t="shared" si="74"/>
        <v>0</v>
      </c>
      <c r="AV29" s="260">
        <f t="shared" si="25"/>
        <v>0</v>
      </c>
      <c r="AW29" s="260">
        <f t="shared" si="26"/>
        <v>0</v>
      </c>
      <c r="AX29" s="260">
        <f t="shared" si="27"/>
        <v>0</v>
      </c>
      <c r="AY29" s="260">
        <f t="shared" si="28"/>
        <v>0</v>
      </c>
      <c r="AZ29" s="260">
        <f t="shared" si="29"/>
        <v>0</v>
      </c>
      <c r="BA29" s="260">
        <f t="shared" si="30"/>
        <v>0</v>
      </c>
      <c r="BB29" s="260">
        <f t="shared" si="31"/>
        <v>0</v>
      </c>
      <c r="BC29" s="260">
        <f t="shared" si="32"/>
        <v>0</v>
      </c>
      <c r="BD29" s="260">
        <f t="shared" si="33"/>
        <v>0</v>
      </c>
      <c r="BE29" s="260">
        <f t="shared" si="34"/>
        <v>0</v>
      </c>
      <c r="BF29" s="260">
        <f t="shared" si="35"/>
        <v>0</v>
      </c>
      <c r="BG29" s="260">
        <f t="shared" si="36"/>
        <v>0</v>
      </c>
      <c r="BH29" s="260">
        <f t="shared" si="75"/>
        <v>0</v>
      </c>
      <c r="BI29" s="260">
        <f t="shared" si="76"/>
        <v>0</v>
      </c>
      <c r="BJ29" s="260">
        <f t="shared" si="37"/>
        <v>0</v>
      </c>
      <c r="BK29" s="260">
        <f t="shared" si="38"/>
        <v>0</v>
      </c>
      <c r="BL29" s="260">
        <f t="shared" si="39"/>
        <v>0</v>
      </c>
      <c r="BM29" s="260">
        <f t="shared" si="40"/>
        <v>0</v>
      </c>
      <c r="BN29" s="260">
        <f t="shared" si="41"/>
        <v>0</v>
      </c>
      <c r="BO29" s="260">
        <f t="shared" si="42"/>
        <v>0</v>
      </c>
      <c r="BP29" s="260">
        <f t="shared" si="77"/>
        <v>0</v>
      </c>
      <c r="BQ29" s="260">
        <f t="shared" si="78"/>
        <v>0</v>
      </c>
      <c r="BR29" s="260">
        <f t="shared" si="43"/>
        <v>0</v>
      </c>
      <c r="BS29" s="260">
        <f t="shared" si="44"/>
        <v>0</v>
      </c>
      <c r="BT29" s="260">
        <f t="shared" si="79"/>
        <v>0</v>
      </c>
      <c r="BU29" s="260">
        <f t="shared" si="80"/>
        <v>0</v>
      </c>
      <c r="BV29" s="260">
        <f t="shared" si="81"/>
        <v>0</v>
      </c>
      <c r="BW29" s="260">
        <f t="shared" si="82"/>
        <v>0</v>
      </c>
      <c r="BX29" s="260">
        <f t="shared" si="45"/>
        <v>0</v>
      </c>
      <c r="BY29" s="260">
        <f t="shared" si="46"/>
        <v>0</v>
      </c>
      <c r="BZ29" s="260">
        <f t="shared" si="47"/>
        <v>0</v>
      </c>
      <c r="CA29" s="260">
        <f t="shared" si="48"/>
        <v>0</v>
      </c>
      <c r="CB29" s="260">
        <f t="shared" si="49"/>
        <v>0</v>
      </c>
      <c r="CC29" s="260">
        <f t="shared" si="50"/>
        <v>0</v>
      </c>
      <c r="CD29" s="260">
        <f t="shared" si="83"/>
        <v>0</v>
      </c>
      <c r="CE29" s="260">
        <f t="shared" si="84"/>
        <v>0</v>
      </c>
      <c r="CF29" s="260">
        <f t="shared" si="85"/>
        <v>0</v>
      </c>
      <c r="CG29" s="260">
        <f t="shared" si="86"/>
        <v>0</v>
      </c>
      <c r="CH29" s="260">
        <f t="shared" si="51"/>
        <v>0</v>
      </c>
      <c r="CI29" s="260">
        <f t="shared" si="52"/>
        <v>0</v>
      </c>
      <c r="CJ29" s="260">
        <f t="shared" si="87"/>
        <v>0</v>
      </c>
      <c r="CK29" s="260">
        <f t="shared" si="88"/>
        <v>0</v>
      </c>
      <c r="CL29" s="260">
        <f t="shared" si="53"/>
        <v>0</v>
      </c>
      <c r="CM29" s="260">
        <f t="shared" si="54"/>
        <v>0</v>
      </c>
      <c r="CN29" s="260">
        <f t="shared" si="55"/>
        <v>0</v>
      </c>
      <c r="CO29" s="260">
        <f t="shared" si="56"/>
        <v>0</v>
      </c>
      <c r="CP29" s="260">
        <f t="shared" si="89"/>
        <v>0</v>
      </c>
      <c r="CQ29" s="260">
        <f t="shared" si="90"/>
        <v>0</v>
      </c>
      <c r="CR29" s="260">
        <f t="shared" si="91"/>
        <v>0</v>
      </c>
      <c r="CS29" s="260">
        <f t="shared" si="92"/>
        <v>0</v>
      </c>
      <c r="CT29" s="260">
        <f t="shared" si="57"/>
        <v>0</v>
      </c>
      <c r="CU29" s="260">
        <f t="shared" si="58"/>
        <v>0</v>
      </c>
      <c r="CV29" s="260">
        <f t="shared" si="59"/>
        <v>0</v>
      </c>
      <c r="CW29" s="260">
        <f t="shared" si="60"/>
        <v>0</v>
      </c>
      <c r="CX29" s="260">
        <f t="shared" si="93"/>
        <v>0</v>
      </c>
      <c r="CY29" s="260">
        <f t="shared" si="94"/>
        <v>0</v>
      </c>
      <c r="CZ29" s="260">
        <f t="shared" si="95"/>
        <v>0</v>
      </c>
      <c r="DA29" s="260">
        <f t="shared" si="96"/>
        <v>0</v>
      </c>
    </row>
    <row r="30" spans="1:105" s="257" customFormat="1" ht="15" customHeight="1">
      <c r="A30" s="60" t="str">
        <f t="array" ref="A30">IF(C30&lt;&gt;0,SUM(($C$11:C30&lt;&gt;0)*1),"")</f>
        <v/>
      </c>
      <c r="B30" s="258"/>
      <c r="C30" s="258"/>
      <c r="D30" s="258"/>
      <c r="E30" s="337"/>
      <c r="F30" s="309"/>
      <c r="G30" s="311"/>
      <c r="H30" s="311"/>
      <c r="I30" s="60" t="str">
        <f t="shared" si="97"/>
        <v/>
      </c>
      <c r="J30" s="260">
        <f t="shared" si="61"/>
        <v>0</v>
      </c>
      <c r="K30" s="260">
        <f t="shared" si="62"/>
        <v>0</v>
      </c>
      <c r="L30" s="260">
        <f t="shared" si="1"/>
        <v>0</v>
      </c>
      <c r="M30" s="260">
        <f t="shared" si="2"/>
        <v>0</v>
      </c>
      <c r="N30" s="260">
        <f t="shared" si="3"/>
        <v>0</v>
      </c>
      <c r="O30" s="260">
        <f t="shared" si="4"/>
        <v>0</v>
      </c>
      <c r="P30" s="260">
        <f t="shared" si="5"/>
        <v>0</v>
      </c>
      <c r="Q30" s="260">
        <f t="shared" si="6"/>
        <v>0</v>
      </c>
      <c r="R30" s="260">
        <f t="shared" si="7"/>
        <v>0</v>
      </c>
      <c r="S30" s="260">
        <f t="shared" si="8"/>
        <v>0</v>
      </c>
      <c r="T30" s="260">
        <f t="shared" si="9"/>
        <v>0</v>
      </c>
      <c r="U30" s="260">
        <f t="shared" si="10"/>
        <v>0</v>
      </c>
      <c r="V30" s="260">
        <f t="shared" si="11"/>
        <v>0</v>
      </c>
      <c r="W30" s="260">
        <f t="shared" si="12"/>
        <v>0</v>
      </c>
      <c r="X30" s="260">
        <f t="shared" si="13"/>
        <v>0</v>
      </c>
      <c r="Y30" s="260">
        <f t="shared" si="14"/>
        <v>0</v>
      </c>
      <c r="Z30" s="260">
        <f t="shared" si="15"/>
        <v>0</v>
      </c>
      <c r="AA30" s="260">
        <f t="shared" si="16"/>
        <v>0</v>
      </c>
      <c r="AB30" s="260">
        <f t="shared" si="63"/>
        <v>0</v>
      </c>
      <c r="AC30" s="260">
        <f t="shared" si="64"/>
        <v>0</v>
      </c>
      <c r="AD30" s="260">
        <f t="shared" si="17"/>
        <v>0</v>
      </c>
      <c r="AE30" s="260">
        <f t="shared" si="18"/>
        <v>0</v>
      </c>
      <c r="AF30" s="260">
        <f t="shared" si="19"/>
        <v>0</v>
      </c>
      <c r="AG30" s="260">
        <f t="shared" si="20"/>
        <v>0</v>
      </c>
      <c r="AH30" s="260">
        <f t="shared" si="65"/>
        <v>0</v>
      </c>
      <c r="AI30" s="260">
        <f t="shared" si="66"/>
        <v>0</v>
      </c>
      <c r="AJ30" s="260">
        <f t="shared" si="67"/>
        <v>0</v>
      </c>
      <c r="AK30" s="260">
        <f t="shared" si="68"/>
        <v>0</v>
      </c>
      <c r="AL30" s="260">
        <f t="shared" si="69"/>
        <v>0</v>
      </c>
      <c r="AM30" s="260">
        <f t="shared" si="70"/>
        <v>0</v>
      </c>
      <c r="AN30" s="260">
        <f t="shared" si="71"/>
        <v>0</v>
      </c>
      <c r="AO30" s="260">
        <f t="shared" si="72"/>
        <v>0</v>
      </c>
      <c r="AP30" s="260">
        <f t="shared" si="21"/>
        <v>0</v>
      </c>
      <c r="AQ30" s="260">
        <f t="shared" si="22"/>
        <v>0</v>
      </c>
      <c r="AR30" s="260">
        <f t="shared" si="23"/>
        <v>0</v>
      </c>
      <c r="AS30" s="260">
        <f t="shared" si="24"/>
        <v>0</v>
      </c>
      <c r="AT30" s="260">
        <f t="shared" si="73"/>
        <v>0</v>
      </c>
      <c r="AU30" s="260">
        <f t="shared" si="74"/>
        <v>0</v>
      </c>
      <c r="AV30" s="260">
        <f t="shared" si="25"/>
        <v>0</v>
      </c>
      <c r="AW30" s="260">
        <f t="shared" si="26"/>
        <v>0</v>
      </c>
      <c r="AX30" s="260">
        <f t="shared" si="27"/>
        <v>0</v>
      </c>
      <c r="AY30" s="260">
        <f t="shared" si="28"/>
        <v>0</v>
      </c>
      <c r="AZ30" s="260">
        <f t="shared" si="29"/>
        <v>0</v>
      </c>
      <c r="BA30" s="260">
        <f t="shared" si="30"/>
        <v>0</v>
      </c>
      <c r="BB30" s="260">
        <f t="shared" si="31"/>
        <v>0</v>
      </c>
      <c r="BC30" s="260">
        <f t="shared" si="32"/>
        <v>0</v>
      </c>
      <c r="BD30" s="260">
        <f t="shared" si="33"/>
        <v>0</v>
      </c>
      <c r="BE30" s="260">
        <f t="shared" si="34"/>
        <v>0</v>
      </c>
      <c r="BF30" s="260">
        <f t="shared" si="35"/>
        <v>0</v>
      </c>
      <c r="BG30" s="260">
        <f t="shared" si="36"/>
        <v>0</v>
      </c>
      <c r="BH30" s="260">
        <f t="shared" si="75"/>
        <v>0</v>
      </c>
      <c r="BI30" s="260">
        <f t="shared" si="76"/>
        <v>0</v>
      </c>
      <c r="BJ30" s="260">
        <f t="shared" si="37"/>
        <v>0</v>
      </c>
      <c r="BK30" s="260">
        <f t="shared" si="38"/>
        <v>0</v>
      </c>
      <c r="BL30" s="260">
        <f t="shared" si="39"/>
        <v>0</v>
      </c>
      <c r="BM30" s="260">
        <f t="shared" si="40"/>
        <v>0</v>
      </c>
      <c r="BN30" s="260">
        <f t="shared" si="41"/>
        <v>0</v>
      </c>
      <c r="BO30" s="260">
        <f t="shared" si="42"/>
        <v>0</v>
      </c>
      <c r="BP30" s="260">
        <f t="shared" si="77"/>
        <v>0</v>
      </c>
      <c r="BQ30" s="260">
        <f t="shared" si="78"/>
        <v>0</v>
      </c>
      <c r="BR30" s="260">
        <f t="shared" si="43"/>
        <v>0</v>
      </c>
      <c r="BS30" s="260">
        <f t="shared" si="44"/>
        <v>0</v>
      </c>
      <c r="BT30" s="260">
        <f t="shared" si="79"/>
        <v>0</v>
      </c>
      <c r="BU30" s="260">
        <f t="shared" si="80"/>
        <v>0</v>
      </c>
      <c r="BV30" s="260">
        <f t="shared" si="81"/>
        <v>0</v>
      </c>
      <c r="BW30" s="260">
        <f t="shared" si="82"/>
        <v>0</v>
      </c>
      <c r="BX30" s="260">
        <f t="shared" si="45"/>
        <v>0</v>
      </c>
      <c r="BY30" s="260">
        <f t="shared" si="46"/>
        <v>0</v>
      </c>
      <c r="BZ30" s="260">
        <f t="shared" si="47"/>
        <v>0</v>
      </c>
      <c r="CA30" s="260">
        <f t="shared" si="48"/>
        <v>0</v>
      </c>
      <c r="CB30" s="260">
        <f t="shared" si="49"/>
        <v>0</v>
      </c>
      <c r="CC30" s="260">
        <f t="shared" si="50"/>
        <v>0</v>
      </c>
      <c r="CD30" s="260">
        <f t="shared" si="83"/>
        <v>0</v>
      </c>
      <c r="CE30" s="260">
        <f t="shared" si="84"/>
        <v>0</v>
      </c>
      <c r="CF30" s="260">
        <f t="shared" si="85"/>
        <v>0</v>
      </c>
      <c r="CG30" s="260">
        <f t="shared" si="86"/>
        <v>0</v>
      </c>
      <c r="CH30" s="260">
        <f t="shared" si="51"/>
        <v>0</v>
      </c>
      <c r="CI30" s="260">
        <f t="shared" si="52"/>
        <v>0</v>
      </c>
      <c r="CJ30" s="260">
        <f t="shared" si="87"/>
        <v>0</v>
      </c>
      <c r="CK30" s="260">
        <f t="shared" si="88"/>
        <v>0</v>
      </c>
      <c r="CL30" s="260">
        <f t="shared" si="53"/>
        <v>0</v>
      </c>
      <c r="CM30" s="260">
        <f t="shared" si="54"/>
        <v>0</v>
      </c>
      <c r="CN30" s="260">
        <f t="shared" si="55"/>
        <v>0</v>
      </c>
      <c r="CO30" s="260">
        <f t="shared" si="56"/>
        <v>0</v>
      </c>
      <c r="CP30" s="260">
        <f t="shared" si="89"/>
        <v>0</v>
      </c>
      <c r="CQ30" s="260">
        <f t="shared" si="90"/>
        <v>0</v>
      </c>
      <c r="CR30" s="260">
        <f t="shared" si="91"/>
        <v>0</v>
      </c>
      <c r="CS30" s="260">
        <f t="shared" si="92"/>
        <v>0</v>
      </c>
      <c r="CT30" s="260">
        <f t="shared" si="57"/>
        <v>0</v>
      </c>
      <c r="CU30" s="260">
        <f t="shared" si="58"/>
        <v>0</v>
      </c>
      <c r="CV30" s="260">
        <f t="shared" si="59"/>
        <v>0</v>
      </c>
      <c r="CW30" s="260">
        <f t="shared" si="60"/>
        <v>0</v>
      </c>
      <c r="CX30" s="260">
        <f t="shared" si="93"/>
        <v>0</v>
      </c>
      <c r="CY30" s="260">
        <f t="shared" si="94"/>
        <v>0</v>
      </c>
      <c r="CZ30" s="260">
        <f t="shared" si="95"/>
        <v>0</v>
      </c>
      <c r="DA30" s="260">
        <f t="shared" si="96"/>
        <v>0</v>
      </c>
    </row>
    <row r="31" spans="1:105" s="257" customFormat="1" ht="15" customHeight="1">
      <c r="A31" s="60" t="str">
        <f t="array" ref="A31">IF(C31&lt;&gt;0,SUM(($C$11:C31&lt;&gt;0)*1),"")</f>
        <v/>
      </c>
      <c r="B31" s="258"/>
      <c r="C31" s="258"/>
      <c r="D31" s="258"/>
      <c r="E31" s="337"/>
      <c r="F31" s="309"/>
      <c r="G31" s="311"/>
      <c r="H31" s="311"/>
      <c r="I31" s="60" t="str">
        <f t="shared" si="97"/>
        <v/>
      </c>
      <c r="J31" s="260">
        <f t="shared" si="61"/>
        <v>0</v>
      </c>
      <c r="K31" s="260">
        <f t="shared" si="62"/>
        <v>0</v>
      </c>
      <c r="L31" s="260">
        <f t="shared" si="1"/>
        <v>0</v>
      </c>
      <c r="M31" s="260">
        <f t="shared" si="2"/>
        <v>0</v>
      </c>
      <c r="N31" s="260">
        <f t="shared" si="3"/>
        <v>0</v>
      </c>
      <c r="O31" s="260">
        <f t="shared" si="4"/>
        <v>0</v>
      </c>
      <c r="P31" s="260">
        <f t="shared" si="5"/>
        <v>0</v>
      </c>
      <c r="Q31" s="260">
        <f t="shared" si="6"/>
        <v>0</v>
      </c>
      <c r="R31" s="260">
        <f t="shared" si="7"/>
        <v>0</v>
      </c>
      <c r="S31" s="260">
        <f t="shared" si="8"/>
        <v>0</v>
      </c>
      <c r="T31" s="260">
        <f t="shared" si="9"/>
        <v>0</v>
      </c>
      <c r="U31" s="260">
        <f t="shared" si="10"/>
        <v>0</v>
      </c>
      <c r="V31" s="260">
        <f t="shared" si="11"/>
        <v>0</v>
      </c>
      <c r="W31" s="260">
        <f t="shared" si="12"/>
        <v>0</v>
      </c>
      <c r="X31" s="260">
        <f t="shared" si="13"/>
        <v>0</v>
      </c>
      <c r="Y31" s="260">
        <f t="shared" si="14"/>
        <v>0</v>
      </c>
      <c r="Z31" s="260">
        <f t="shared" si="15"/>
        <v>0</v>
      </c>
      <c r="AA31" s="260">
        <f t="shared" si="16"/>
        <v>0</v>
      </c>
      <c r="AB31" s="260">
        <f t="shared" si="63"/>
        <v>0</v>
      </c>
      <c r="AC31" s="260">
        <f t="shared" si="64"/>
        <v>0</v>
      </c>
      <c r="AD31" s="260">
        <f t="shared" si="17"/>
        <v>0</v>
      </c>
      <c r="AE31" s="260">
        <f t="shared" si="18"/>
        <v>0</v>
      </c>
      <c r="AF31" s="260">
        <f t="shared" si="19"/>
        <v>0</v>
      </c>
      <c r="AG31" s="260">
        <f t="shared" si="20"/>
        <v>0</v>
      </c>
      <c r="AH31" s="260">
        <f t="shared" si="65"/>
        <v>0</v>
      </c>
      <c r="AI31" s="260">
        <f t="shared" si="66"/>
        <v>0</v>
      </c>
      <c r="AJ31" s="260">
        <f t="shared" si="67"/>
        <v>0</v>
      </c>
      <c r="AK31" s="260">
        <f t="shared" si="68"/>
        <v>0</v>
      </c>
      <c r="AL31" s="260">
        <f t="shared" si="69"/>
        <v>0</v>
      </c>
      <c r="AM31" s="260">
        <f t="shared" si="70"/>
        <v>0</v>
      </c>
      <c r="AN31" s="260">
        <f t="shared" si="71"/>
        <v>0</v>
      </c>
      <c r="AO31" s="260">
        <f t="shared" si="72"/>
        <v>0</v>
      </c>
      <c r="AP31" s="260">
        <f t="shared" si="21"/>
        <v>0</v>
      </c>
      <c r="AQ31" s="260">
        <f t="shared" si="22"/>
        <v>0</v>
      </c>
      <c r="AR31" s="260">
        <f t="shared" si="23"/>
        <v>0</v>
      </c>
      <c r="AS31" s="260">
        <f t="shared" si="24"/>
        <v>0</v>
      </c>
      <c r="AT31" s="260">
        <f t="shared" si="73"/>
        <v>0</v>
      </c>
      <c r="AU31" s="260">
        <f t="shared" si="74"/>
        <v>0</v>
      </c>
      <c r="AV31" s="260">
        <f t="shared" si="25"/>
        <v>0</v>
      </c>
      <c r="AW31" s="260">
        <f t="shared" si="26"/>
        <v>0</v>
      </c>
      <c r="AX31" s="260">
        <f t="shared" si="27"/>
        <v>0</v>
      </c>
      <c r="AY31" s="260">
        <f t="shared" si="28"/>
        <v>0</v>
      </c>
      <c r="AZ31" s="260">
        <f t="shared" si="29"/>
        <v>0</v>
      </c>
      <c r="BA31" s="260">
        <f t="shared" si="30"/>
        <v>0</v>
      </c>
      <c r="BB31" s="260">
        <f t="shared" si="31"/>
        <v>0</v>
      </c>
      <c r="BC31" s="260">
        <f t="shared" si="32"/>
        <v>0</v>
      </c>
      <c r="BD31" s="260">
        <f t="shared" si="33"/>
        <v>0</v>
      </c>
      <c r="BE31" s="260">
        <f t="shared" si="34"/>
        <v>0</v>
      </c>
      <c r="BF31" s="260">
        <f t="shared" si="35"/>
        <v>0</v>
      </c>
      <c r="BG31" s="260">
        <f t="shared" si="36"/>
        <v>0</v>
      </c>
      <c r="BH31" s="260">
        <f t="shared" si="75"/>
        <v>0</v>
      </c>
      <c r="BI31" s="260">
        <f t="shared" si="76"/>
        <v>0</v>
      </c>
      <c r="BJ31" s="260">
        <f t="shared" si="37"/>
        <v>0</v>
      </c>
      <c r="BK31" s="260">
        <f t="shared" si="38"/>
        <v>0</v>
      </c>
      <c r="BL31" s="260">
        <f t="shared" si="39"/>
        <v>0</v>
      </c>
      <c r="BM31" s="260">
        <f t="shared" si="40"/>
        <v>0</v>
      </c>
      <c r="BN31" s="260">
        <f t="shared" si="41"/>
        <v>0</v>
      </c>
      <c r="BO31" s="260">
        <f t="shared" si="42"/>
        <v>0</v>
      </c>
      <c r="BP31" s="260">
        <f t="shared" si="77"/>
        <v>0</v>
      </c>
      <c r="BQ31" s="260">
        <f t="shared" si="78"/>
        <v>0</v>
      </c>
      <c r="BR31" s="260">
        <f t="shared" si="43"/>
        <v>0</v>
      </c>
      <c r="BS31" s="260">
        <f t="shared" si="44"/>
        <v>0</v>
      </c>
      <c r="BT31" s="260">
        <f t="shared" si="79"/>
        <v>0</v>
      </c>
      <c r="BU31" s="260">
        <f t="shared" si="80"/>
        <v>0</v>
      </c>
      <c r="BV31" s="260">
        <f t="shared" si="81"/>
        <v>0</v>
      </c>
      <c r="BW31" s="260">
        <f t="shared" si="82"/>
        <v>0</v>
      </c>
      <c r="BX31" s="260">
        <f t="shared" si="45"/>
        <v>0</v>
      </c>
      <c r="BY31" s="260">
        <f t="shared" si="46"/>
        <v>0</v>
      </c>
      <c r="BZ31" s="260">
        <f t="shared" si="47"/>
        <v>0</v>
      </c>
      <c r="CA31" s="260">
        <f t="shared" si="48"/>
        <v>0</v>
      </c>
      <c r="CB31" s="260">
        <f t="shared" si="49"/>
        <v>0</v>
      </c>
      <c r="CC31" s="260">
        <f t="shared" si="50"/>
        <v>0</v>
      </c>
      <c r="CD31" s="260">
        <f t="shared" si="83"/>
        <v>0</v>
      </c>
      <c r="CE31" s="260">
        <f t="shared" si="84"/>
        <v>0</v>
      </c>
      <c r="CF31" s="260">
        <f t="shared" si="85"/>
        <v>0</v>
      </c>
      <c r="CG31" s="260">
        <f t="shared" si="86"/>
        <v>0</v>
      </c>
      <c r="CH31" s="260">
        <f t="shared" si="51"/>
        <v>0</v>
      </c>
      <c r="CI31" s="260">
        <f t="shared" si="52"/>
        <v>0</v>
      </c>
      <c r="CJ31" s="260">
        <f t="shared" si="87"/>
        <v>0</v>
      </c>
      <c r="CK31" s="260">
        <f t="shared" si="88"/>
        <v>0</v>
      </c>
      <c r="CL31" s="260">
        <f t="shared" si="53"/>
        <v>0</v>
      </c>
      <c r="CM31" s="260">
        <f t="shared" si="54"/>
        <v>0</v>
      </c>
      <c r="CN31" s="260">
        <f t="shared" si="55"/>
        <v>0</v>
      </c>
      <c r="CO31" s="260">
        <f t="shared" si="56"/>
        <v>0</v>
      </c>
      <c r="CP31" s="260">
        <f t="shared" si="89"/>
        <v>0</v>
      </c>
      <c r="CQ31" s="260">
        <f t="shared" si="90"/>
        <v>0</v>
      </c>
      <c r="CR31" s="260">
        <f t="shared" si="91"/>
        <v>0</v>
      </c>
      <c r="CS31" s="260">
        <f t="shared" si="92"/>
        <v>0</v>
      </c>
      <c r="CT31" s="260">
        <f t="shared" si="57"/>
        <v>0</v>
      </c>
      <c r="CU31" s="260">
        <f t="shared" si="58"/>
        <v>0</v>
      </c>
      <c r="CV31" s="260">
        <f t="shared" si="59"/>
        <v>0</v>
      </c>
      <c r="CW31" s="260">
        <f t="shared" si="60"/>
        <v>0</v>
      </c>
      <c r="CX31" s="260">
        <f t="shared" si="93"/>
        <v>0</v>
      </c>
      <c r="CY31" s="260">
        <f t="shared" si="94"/>
        <v>0</v>
      </c>
      <c r="CZ31" s="260">
        <f t="shared" si="95"/>
        <v>0</v>
      </c>
      <c r="DA31" s="260">
        <f t="shared" si="96"/>
        <v>0</v>
      </c>
    </row>
    <row r="32" spans="1:105" s="257" customFormat="1" ht="15" customHeight="1">
      <c r="A32" s="60" t="str">
        <f t="array" ref="A32">IF(C32&lt;&gt;0,SUM(($C$11:C32&lt;&gt;0)*1),"")</f>
        <v/>
      </c>
      <c r="B32" s="258"/>
      <c r="C32" s="258"/>
      <c r="D32" s="258"/>
      <c r="E32" s="337"/>
      <c r="F32" s="309"/>
      <c r="G32" s="311"/>
      <c r="H32" s="311"/>
      <c r="I32" s="60" t="str">
        <f t="shared" si="97"/>
        <v/>
      </c>
      <c r="J32" s="260">
        <f t="shared" si="61"/>
        <v>0</v>
      </c>
      <c r="K32" s="260">
        <f t="shared" si="62"/>
        <v>0</v>
      </c>
      <c r="L32" s="260">
        <f t="shared" si="1"/>
        <v>0</v>
      </c>
      <c r="M32" s="260">
        <f t="shared" si="2"/>
        <v>0</v>
      </c>
      <c r="N32" s="260">
        <f t="shared" si="3"/>
        <v>0</v>
      </c>
      <c r="O32" s="260">
        <f t="shared" si="4"/>
        <v>0</v>
      </c>
      <c r="P32" s="260">
        <f t="shared" si="5"/>
        <v>0</v>
      </c>
      <c r="Q32" s="260">
        <f t="shared" si="6"/>
        <v>0</v>
      </c>
      <c r="R32" s="260">
        <f t="shared" si="7"/>
        <v>0</v>
      </c>
      <c r="S32" s="260">
        <f t="shared" si="8"/>
        <v>0</v>
      </c>
      <c r="T32" s="260">
        <f t="shared" si="9"/>
        <v>0</v>
      </c>
      <c r="U32" s="260">
        <f t="shared" si="10"/>
        <v>0</v>
      </c>
      <c r="V32" s="260">
        <f t="shared" si="11"/>
        <v>0</v>
      </c>
      <c r="W32" s="260">
        <f t="shared" si="12"/>
        <v>0</v>
      </c>
      <c r="X32" s="260">
        <f t="shared" si="13"/>
        <v>0</v>
      </c>
      <c r="Y32" s="260">
        <f t="shared" si="14"/>
        <v>0</v>
      </c>
      <c r="Z32" s="260">
        <f t="shared" si="15"/>
        <v>0</v>
      </c>
      <c r="AA32" s="260">
        <f t="shared" si="16"/>
        <v>0</v>
      </c>
      <c r="AB32" s="260">
        <f t="shared" si="63"/>
        <v>0</v>
      </c>
      <c r="AC32" s="260">
        <f t="shared" si="64"/>
        <v>0</v>
      </c>
      <c r="AD32" s="260">
        <f t="shared" si="17"/>
        <v>0</v>
      </c>
      <c r="AE32" s="260">
        <f t="shared" si="18"/>
        <v>0</v>
      </c>
      <c r="AF32" s="260">
        <f t="shared" si="19"/>
        <v>0</v>
      </c>
      <c r="AG32" s="260">
        <f t="shared" si="20"/>
        <v>0</v>
      </c>
      <c r="AH32" s="260">
        <f t="shared" si="65"/>
        <v>0</v>
      </c>
      <c r="AI32" s="260">
        <f t="shared" si="66"/>
        <v>0</v>
      </c>
      <c r="AJ32" s="260">
        <f t="shared" si="67"/>
        <v>0</v>
      </c>
      <c r="AK32" s="260">
        <f t="shared" si="68"/>
        <v>0</v>
      </c>
      <c r="AL32" s="260">
        <f t="shared" si="69"/>
        <v>0</v>
      </c>
      <c r="AM32" s="260">
        <f t="shared" si="70"/>
        <v>0</v>
      </c>
      <c r="AN32" s="260">
        <f t="shared" si="71"/>
        <v>0</v>
      </c>
      <c r="AO32" s="260">
        <f t="shared" si="72"/>
        <v>0</v>
      </c>
      <c r="AP32" s="260">
        <f t="shared" si="21"/>
        <v>0</v>
      </c>
      <c r="AQ32" s="260">
        <f t="shared" si="22"/>
        <v>0</v>
      </c>
      <c r="AR32" s="260">
        <f t="shared" si="23"/>
        <v>0</v>
      </c>
      <c r="AS32" s="260">
        <f t="shared" si="24"/>
        <v>0</v>
      </c>
      <c r="AT32" s="260">
        <f t="shared" si="73"/>
        <v>0</v>
      </c>
      <c r="AU32" s="260">
        <f t="shared" si="74"/>
        <v>0</v>
      </c>
      <c r="AV32" s="260">
        <f t="shared" si="25"/>
        <v>0</v>
      </c>
      <c r="AW32" s="260">
        <f t="shared" si="26"/>
        <v>0</v>
      </c>
      <c r="AX32" s="260">
        <f t="shared" si="27"/>
        <v>0</v>
      </c>
      <c r="AY32" s="260">
        <f t="shared" si="28"/>
        <v>0</v>
      </c>
      <c r="AZ32" s="260">
        <f t="shared" si="29"/>
        <v>0</v>
      </c>
      <c r="BA32" s="260">
        <f t="shared" si="30"/>
        <v>0</v>
      </c>
      <c r="BB32" s="260">
        <f t="shared" si="31"/>
        <v>0</v>
      </c>
      <c r="BC32" s="260">
        <f t="shared" si="32"/>
        <v>0</v>
      </c>
      <c r="BD32" s="260">
        <f t="shared" si="33"/>
        <v>0</v>
      </c>
      <c r="BE32" s="260">
        <f t="shared" si="34"/>
        <v>0</v>
      </c>
      <c r="BF32" s="260">
        <f t="shared" si="35"/>
        <v>0</v>
      </c>
      <c r="BG32" s="260">
        <f t="shared" si="36"/>
        <v>0</v>
      </c>
      <c r="BH32" s="260">
        <f t="shared" si="75"/>
        <v>0</v>
      </c>
      <c r="BI32" s="260">
        <f t="shared" si="76"/>
        <v>0</v>
      </c>
      <c r="BJ32" s="260">
        <f t="shared" si="37"/>
        <v>0</v>
      </c>
      <c r="BK32" s="260">
        <f t="shared" si="38"/>
        <v>0</v>
      </c>
      <c r="BL32" s="260">
        <f t="shared" si="39"/>
        <v>0</v>
      </c>
      <c r="BM32" s="260">
        <f t="shared" si="40"/>
        <v>0</v>
      </c>
      <c r="BN32" s="260">
        <f t="shared" si="41"/>
        <v>0</v>
      </c>
      <c r="BO32" s="260">
        <f t="shared" si="42"/>
        <v>0</v>
      </c>
      <c r="BP32" s="260">
        <f t="shared" si="77"/>
        <v>0</v>
      </c>
      <c r="BQ32" s="260">
        <f t="shared" si="78"/>
        <v>0</v>
      </c>
      <c r="BR32" s="260">
        <f t="shared" si="43"/>
        <v>0</v>
      </c>
      <c r="BS32" s="260">
        <f t="shared" si="44"/>
        <v>0</v>
      </c>
      <c r="BT32" s="260">
        <f t="shared" si="79"/>
        <v>0</v>
      </c>
      <c r="BU32" s="260">
        <f t="shared" si="80"/>
        <v>0</v>
      </c>
      <c r="BV32" s="260">
        <f t="shared" si="81"/>
        <v>0</v>
      </c>
      <c r="BW32" s="260">
        <f t="shared" si="82"/>
        <v>0</v>
      </c>
      <c r="BX32" s="260">
        <f t="shared" si="45"/>
        <v>0</v>
      </c>
      <c r="BY32" s="260">
        <f t="shared" si="46"/>
        <v>0</v>
      </c>
      <c r="BZ32" s="260">
        <f t="shared" si="47"/>
        <v>0</v>
      </c>
      <c r="CA32" s="260">
        <f t="shared" si="48"/>
        <v>0</v>
      </c>
      <c r="CB32" s="260">
        <f t="shared" si="49"/>
        <v>0</v>
      </c>
      <c r="CC32" s="260">
        <f t="shared" si="50"/>
        <v>0</v>
      </c>
      <c r="CD32" s="260">
        <f t="shared" si="83"/>
        <v>0</v>
      </c>
      <c r="CE32" s="260">
        <f t="shared" si="84"/>
        <v>0</v>
      </c>
      <c r="CF32" s="260">
        <f t="shared" si="85"/>
        <v>0</v>
      </c>
      <c r="CG32" s="260">
        <f t="shared" si="86"/>
        <v>0</v>
      </c>
      <c r="CH32" s="260">
        <f t="shared" si="51"/>
        <v>0</v>
      </c>
      <c r="CI32" s="260">
        <f t="shared" si="52"/>
        <v>0</v>
      </c>
      <c r="CJ32" s="260">
        <f t="shared" si="87"/>
        <v>0</v>
      </c>
      <c r="CK32" s="260">
        <f t="shared" si="88"/>
        <v>0</v>
      </c>
      <c r="CL32" s="260">
        <f t="shared" si="53"/>
        <v>0</v>
      </c>
      <c r="CM32" s="260">
        <f t="shared" si="54"/>
        <v>0</v>
      </c>
      <c r="CN32" s="260">
        <f t="shared" si="55"/>
        <v>0</v>
      </c>
      <c r="CO32" s="260">
        <f t="shared" si="56"/>
        <v>0</v>
      </c>
      <c r="CP32" s="260">
        <f t="shared" si="89"/>
        <v>0</v>
      </c>
      <c r="CQ32" s="260">
        <f t="shared" si="90"/>
        <v>0</v>
      </c>
      <c r="CR32" s="260">
        <f t="shared" si="91"/>
        <v>0</v>
      </c>
      <c r="CS32" s="260">
        <f t="shared" si="92"/>
        <v>0</v>
      </c>
      <c r="CT32" s="260">
        <f t="shared" si="57"/>
        <v>0</v>
      </c>
      <c r="CU32" s="260">
        <f t="shared" si="58"/>
        <v>0</v>
      </c>
      <c r="CV32" s="260">
        <f t="shared" si="59"/>
        <v>0</v>
      </c>
      <c r="CW32" s="260">
        <f t="shared" si="60"/>
        <v>0</v>
      </c>
      <c r="CX32" s="260">
        <f t="shared" si="93"/>
        <v>0</v>
      </c>
      <c r="CY32" s="260">
        <f t="shared" si="94"/>
        <v>0</v>
      </c>
      <c r="CZ32" s="260">
        <f t="shared" si="95"/>
        <v>0</v>
      </c>
      <c r="DA32" s="260">
        <f t="shared" si="96"/>
        <v>0</v>
      </c>
    </row>
    <row r="33" spans="1:105" s="257" customFormat="1" ht="15" customHeight="1">
      <c r="A33" s="60" t="str">
        <f t="array" ref="A33">IF(C33&lt;&gt;0,SUM(($C$11:C33&lt;&gt;0)*1),"")</f>
        <v/>
      </c>
      <c r="B33" s="258"/>
      <c r="C33" s="258"/>
      <c r="D33" s="258"/>
      <c r="E33" s="337"/>
      <c r="F33" s="309"/>
      <c r="G33" s="311"/>
      <c r="H33" s="311"/>
      <c r="I33" s="60" t="str">
        <f t="shared" si="97"/>
        <v/>
      </c>
      <c r="J33" s="260">
        <f t="shared" si="61"/>
        <v>0</v>
      </c>
      <c r="K33" s="260">
        <f t="shared" si="62"/>
        <v>0</v>
      </c>
      <c r="L33" s="260">
        <f t="shared" si="1"/>
        <v>0</v>
      </c>
      <c r="M33" s="260">
        <f t="shared" si="2"/>
        <v>0</v>
      </c>
      <c r="N33" s="260">
        <f t="shared" si="3"/>
        <v>0</v>
      </c>
      <c r="O33" s="260">
        <f t="shared" si="4"/>
        <v>0</v>
      </c>
      <c r="P33" s="260">
        <f t="shared" si="5"/>
        <v>0</v>
      </c>
      <c r="Q33" s="260">
        <f t="shared" si="6"/>
        <v>0</v>
      </c>
      <c r="R33" s="260">
        <f t="shared" si="7"/>
        <v>0</v>
      </c>
      <c r="S33" s="260">
        <f t="shared" si="8"/>
        <v>0</v>
      </c>
      <c r="T33" s="260">
        <f t="shared" si="9"/>
        <v>0</v>
      </c>
      <c r="U33" s="260">
        <f t="shared" si="10"/>
        <v>0</v>
      </c>
      <c r="V33" s="260">
        <f t="shared" si="11"/>
        <v>0</v>
      </c>
      <c r="W33" s="260">
        <f t="shared" si="12"/>
        <v>0</v>
      </c>
      <c r="X33" s="260">
        <f t="shared" si="13"/>
        <v>0</v>
      </c>
      <c r="Y33" s="260">
        <f t="shared" si="14"/>
        <v>0</v>
      </c>
      <c r="Z33" s="260">
        <f t="shared" si="15"/>
        <v>0</v>
      </c>
      <c r="AA33" s="260">
        <f t="shared" si="16"/>
        <v>0</v>
      </c>
      <c r="AB33" s="260">
        <f t="shared" si="63"/>
        <v>0</v>
      </c>
      <c r="AC33" s="260">
        <f t="shared" si="64"/>
        <v>0</v>
      </c>
      <c r="AD33" s="260">
        <f t="shared" si="17"/>
        <v>0</v>
      </c>
      <c r="AE33" s="260">
        <f t="shared" si="18"/>
        <v>0</v>
      </c>
      <c r="AF33" s="260">
        <f t="shared" si="19"/>
        <v>0</v>
      </c>
      <c r="AG33" s="260">
        <f t="shared" si="20"/>
        <v>0</v>
      </c>
      <c r="AH33" s="260">
        <f t="shared" si="65"/>
        <v>0</v>
      </c>
      <c r="AI33" s="260">
        <f t="shared" si="66"/>
        <v>0</v>
      </c>
      <c r="AJ33" s="260">
        <f t="shared" si="67"/>
        <v>0</v>
      </c>
      <c r="AK33" s="260">
        <f t="shared" si="68"/>
        <v>0</v>
      </c>
      <c r="AL33" s="260">
        <f t="shared" si="69"/>
        <v>0</v>
      </c>
      <c r="AM33" s="260">
        <f t="shared" si="70"/>
        <v>0</v>
      </c>
      <c r="AN33" s="260">
        <f t="shared" si="71"/>
        <v>0</v>
      </c>
      <c r="AO33" s="260">
        <f t="shared" si="72"/>
        <v>0</v>
      </c>
      <c r="AP33" s="260">
        <f t="shared" si="21"/>
        <v>0</v>
      </c>
      <c r="AQ33" s="260">
        <f t="shared" si="22"/>
        <v>0</v>
      </c>
      <c r="AR33" s="260">
        <f t="shared" si="23"/>
        <v>0</v>
      </c>
      <c r="AS33" s="260">
        <f t="shared" si="24"/>
        <v>0</v>
      </c>
      <c r="AT33" s="260">
        <f t="shared" si="73"/>
        <v>0</v>
      </c>
      <c r="AU33" s="260">
        <f t="shared" si="74"/>
        <v>0</v>
      </c>
      <c r="AV33" s="260">
        <f t="shared" si="25"/>
        <v>0</v>
      </c>
      <c r="AW33" s="260">
        <f t="shared" si="26"/>
        <v>0</v>
      </c>
      <c r="AX33" s="260">
        <f t="shared" si="27"/>
        <v>0</v>
      </c>
      <c r="AY33" s="260">
        <f t="shared" si="28"/>
        <v>0</v>
      </c>
      <c r="AZ33" s="260">
        <f t="shared" si="29"/>
        <v>0</v>
      </c>
      <c r="BA33" s="260">
        <f t="shared" si="30"/>
        <v>0</v>
      </c>
      <c r="BB33" s="260">
        <f t="shared" si="31"/>
        <v>0</v>
      </c>
      <c r="BC33" s="260">
        <f t="shared" si="32"/>
        <v>0</v>
      </c>
      <c r="BD33" s="260">
        <f t="shared" si="33"/>
        <v>0</v>
      </c>
      <c r="BE33" s="260">
        <f t="shared" si="34"/>
        <v>0</v>
      </c>
      <c r="BF33" s="260">
        <f t="shared" si="35"/>
        <v>0</v>
      </c>
      <c r="BG33" s="260">
        <f t="shared" si="36"/>
        <v>0</v>
      </c>
      <c r="BH33" s="260">
        <f t="shared" si="75"/>
        <v>0</v>
      </c>
      <c r="BI33" s="260">
        <f t="shared" si="76"/>
        <v>0</v>
      </c>
      <c r="BJ33" s="260">
        <f t="shared" si="37"/>
        <v>0</v>
      </c>
      <c r="BK33" s="260">
        <f t="shared" si="38"/>
        <v>0</v>
      </c>
      <c r="BL33" s="260">
        <f t="shared" si="39"/>
        <v>0</v>
      </c>
      <c r="BM33" s="260">
        <f t="shared" si="40"/>
        <v>0</v>
      </c>
      <c r="BN33" s="260">
        <f t="shared" si="41"/>
        <v>0</v>
      </c>
      <c r="BO33" s="260">
        <f t="shared" si="42"/>
        <v>0</v>
      </c>
      <c r="BP33" s="260">
        <f t="shared" si="77"/>
        <v>0</v>
      </c>
      <c r="BQ33" s="260">
        <f t="shared" si="78"/>
        <v>0</v>
      </c>
      <c r="BR33" s="260">
        <f t="shared" si="43"/>
        <v>0</v>
      </c>
      <c r="BS33" s="260">
        <f t="shared" si="44"/>
        <v>0</v>
      </c>
      <c r="BT33" s="260">
        <f t="shared" si="79"/>
        <v>0</v>
      </c>
      <c r="BU33" s="260">
        <f t="shared" si="80"/>
        <v>0</v>
      </c>
      <c r="BV33" s="260">
        <f t="shared" si="81"/>
        <v>0</v>
      </c>
      <c r="BW33" s="260">
        <f t="shared" si="82"/>
        <v>0</v>
      </c>
      <c r="BX33" s="260">
        <f t="shared" si="45"/>
        <v>0</v>
      </c>
      <c r="BY33" s="260">
        <f t="shared" si="46"/>
        <v>0</v>
      </c>
      <c r="BZ33" s="260">
        <f t="shared" si="47"/>
        <v>0</v>
      </c>
      <c r="CA33" s="260">
        <f t="shared" si="48"/>
        <v>0</v>
      </c>
      <c r="CB33" s="260">
        <f t="shared" si="49"/>
        <v>0</v>
      </c>
      <c r="CC33" s="260">
        <f t="shared" si="50"/>
        <v>0</v>
      </c>
      <c r="CD33" s="260">
        <f t="shared" si="83"/>
        <v>0</v>
      </c>
      <c r="CE33" s="260">
        <f t="shared" si="84"/>
        <v>0</v>
      </c>
      <c r="CF33" s="260">
        <f t="shared" si="85"/>
        <v>0</v>
      </c>
      <c r="CG33" s="260">
        <f t="shared" si="86"/>
        <v>0</v>
      </c>
      <c r="CH33" s="260">
        <f t="shared" si="51"/>
        <v>0</v>
      </c>
      <c r="CI33" s="260">
        <f t="shared" si="52"/>
        <v>0</v>
      </c>
      <c r="CJ33" s="260">
        <f t="shared" si="87"/>
        <v>0</v>
      </c>
      <c r="CK33" s="260">
        <f t="shared" si="88"/>
        <v>0</v>
      </c>
      <c r="CL33" s="260">
        <f t="shared" si="53"/>
        <v>0</v>
      </c>
      <c r="CM33" s="260">
        <f t="shared" si="54"/>
        <v>0</v>
      </c>
      <c r="CN33" s="260">
        <f t="shared" si="55"/>
        <v>0</v>
      </c>
      <c r="CO33" s="260">
        <f t="shared" si="56"/>
        <v>0</v>
      </c>
      <c r="CP33" s="260">
        <f t="shared" si="89"/>
        <v>0</v>
      </c>
      <c r="CQ33" s="260">
        <f t="shared" si="90"/>
        <v>0</v>
      </c>
      <c r="CR33" s="260">
        <f t="shared" si="91"/>
        <v>0</v>
      </c>
      <c r="CS33" s="260">
        <f t="shared" si="92"/>
        <v>0</v>
      </c>
      <c r="CT33" s="260">
        <f t="shared" si="57"/>
        <v>0</v>
      </c>
      <c r="CU33" s="260">
        <f t="shared" si="58"/>
        <v>0</v>
      </c>
      <c r="CV33" s="260">
        <f t="shared" si="59"/>
        <v>0</v>
      </c>
      <c r="CW33" s="260">
        <f t="shared" si="60"/>
        <v>0</v>
      </c>
      <c r="CX33" s="260">
        <f t="shared" si="93"/>
        <v>0</v>
      </c>
      <c r="CY33" s="260">
        <f t="shared" si="94"/>
        <v>0</v>
      </c>
      <c r="CZ33" s="260">
        <f t="shared" si="95"/>
        <v>0</v>
      </c>
      <c r="DA33" s="260">
        <f t="shared" si="96"/>
        <v>0</v>
      </c>
    </row>
    <row r="34" spans="1:105" s="257" customFormat="1" ht="15" customHeight="1">
      <c r="A34" s="60" t="str">
        <f t="array" ref="A34">IF(C34&lt;&gt;0,SUM(($C$11:C34&lt;&gt;0)*1),"")</f>
        <v/>
      </c>
      <c r="B34" s="258"/>
      <c r="C34" s="258"/>
      <c r="D34" s="258"/>
      <c r="E34" s="337"/>
      <c r="F34" s="309"/>
      <c r="G34" s="311"/>
      <c r="H34" s="311"/>
      <c r="I34" s="60" t="str">
        <f t="shared" si="97"/>
        <v/>
      </c>
      <c r="J34" s="260">
        <f t="shared" si="61"/>
        <v>0</v>
      </c>
      <c r="K34" s="260">
        <f t="shared" si="62"/>
        <v>0</v>
      </c>
      <c r="L34" s="260">
        <f t="shared" si="1"/>
        <v>0</v>
      </c>
      <c r="M34" s="260">
        <f t="shared" si="2"/>
        <v>0</v>
      </c>
      <c r="N34" s="260">
        <f t="shared" si="3"/>
        <v>0</v>
      </c>
      <c r="O34" s="260">
        <f t="shared" si="4"/>
        <v>0</v>
      </c>
      <c r="P34" s="260">
        <f t="shared" si="5"/>
        <v>0</v>
      </c>
      <c r="Q34" s="260">
        <f t="shared" si="6"/>
        <v>0</v>
      </c>
      <c r="R34" s="260">
        <f t="shared" si="7"/>
        <v>0</v>
      </c>
      <c r="S34" s="260">
        <f t="shared" si="8"/>
        <v>0</v>
      </c>
      <c r="T34" s="260">
        <f t="shared" si="9"/>
        <v>0</v>
      </c>
      <c r="U34" s="260">
        <f t="shared" si="10"/>
        <v>0</v>
      </c>
      <c r="V34" s="260">
        <f t="shared" si="11"/>
        <v>0</v>
      </c>
      <c r="W34" s="260">
        <f t="shared" si="12"/>
        <v>0</v>
      </c>
      <c r="X34" s="260">
        <f t="shared" si="13"/>
        <v>0</v>
      </c>
      <c r="Y34" s="260">
        <f t="shared" si="14"/>
        <v>0</v>
      </c>
      <c r="Z34" s="260">
        <f t="shared" si="15"/>
        <v>0</v>
      </c>
      <c r="AA34" s="260">
        <f t="shared" si="16"/>
        <v>0</v>
      </c>
      <c r="AB34" s="260">
        <f t="shared" si="63"/>
        <v>0</v>
      </c>
      <c r="AC34" s="260">
        <f t="shared" si="64"/>
        <v>0</v>
      </c>
      <c r="AD34" s="260">
        <f t="shared" si="17"/>
        <v>0</v>
      </c>
      <c r="AE34" s="260">
        <f t="shared" si="18"/>
        <v>0</v>
      </c>
      <c r="AF34" s="260">
        <f t="shared" si="19"/>
        <v>0</v>
      </c>
      <c r="AG34" s="260">
        <f t="shared" si="20"/>
        <v>0</v>
      </c>
      <c r="AH34" s="260">
        <f t="shared" si="65"/>
        <v>0</v>
      </c>
      <c r="AI34" s="260">
        <f t="shared" si="66"/>
        <v>0</v>
      </c>
      <c r="AJ34" s="260">
        <f t="shared" si="67"/>
        <v>0</v>
      </c>
      <c r="AK34" s="260">
        <f t="shared" si="68"/>
        <v>0</v>
      </c>
      <c r="AL34" s="260">
        <f t="shared" si="69"/>
        <v>0</v>
      </c>
      <c r="AM34" s="260">
        <f t="shared" si="70"/>
        <v>0</v>
      </c>
      <c r="AN34" s="260">
        <f t="shared" si="71"/>
        <v>0</v>
      </c>
      <c r="AO34" s="260">
        <f t="shared" si="72"/>
        <v>0</v>
      </c>
      <c r="AP34" s="260">
        <f t="shared" si="21"/>
        <v>0</v>
      </c>
      <c r="AQ34" s="260">
        <f t="shared" si="22"/>
        <v>0</v>
      </c>
      <c r="AR34" s="260">
        <f t="shared" si="23"/>
        <v>0</v>
      </c>
      <c r="AS34" s="260">
        <f t="shared" si="24"/>
        <v>0</v>
      </c>
      <c r="AT34" s="260">
        <f t="shared" si="73"/>
        <v>0</v>
      </c>
      <c r="AU34" s="260">
        <f t="shared" si="74"/>
        <v>0</v>
      </c>
      <c r="AV34" s="260">
        <f t="shared" si="25"/>
        <v>0</v>
      </c>
      <c r="AW34" s="260">
        <f t="shared" si="26"/>
        <v>0</v>
      </c>
      <c r="AX34" s="260">
        <f t="shared" si="27"/>
        <v>0</v>
      </c>
      <c r="AY34" s="260">
        <f t="shared" si="28"/>
        <v>0</v>
      </c>
      <c r="AZ34" s="260">
        <f t="shared" si="29"/>
        <v>0</v>
      </c>
      <c r="BA34" s="260">
        <f t="shared" si="30"/>
        <v>0</v>
      </c>
      <c r="BB34" s="260">
        <f t="shared" si="31"/>
        <v>0</v>
      </c>
      <c r="BC34" s="260">
        <f t="shared" si="32"/>
        <v>0</v>
      </c>
      <c r="BD34" s="260">
        <f t="shared" si="33"/>
        <v>0</v>
      </c>
      <c r="BE34" s="260">
        <f t="shared" si="34"/>
        <v>0</v>
      </c>
      <c r="BF34" s="260">
        <f t="shared" si="35"/>
        <v>0</v>
      </c>
      <c r="BG34" s="260">
        <f t="shared" si="36"/>
        <v>0</v>
      </c>
      <c r="BH34" s="260">
        <f t="shared" si="75"/>
        <v>0</v>
      </c>
      <c r="BI34" s="260">
        <f t="shared" si="76"/>
        <v>0</v>
      </c>
      <c r="BJ34" s="260">
        <f t="shared" si="37"/>
        <v>0</v>
      </c>
      <c r="BK34" s="260">
        <f t="shared" si="38"/>
        <v>0</v>
      </c>
      <c r="BL34" s="260">
        <f t="shared" si="39"/>
        <v>0</v>
      </c>
      <c r="BM34" s="260">
        <f t="shared" si="40"/>
        <v>0</v>
      </c>
      <c r="BN34" s="260">
        <f t="shared" si="41"/>
        <v>0</v>
      </c>
      <c r="BO34" s="260">
        <f t="shared" si="42"/>
        <v>0</v>
      </c>
      <c r="BP34" s="260">
        <f t="shared" si="77"/>
        <v>0</v>
      </c>
      <c r="BQ34" s="260">
        <f t="shared" si="78"/>
        <v>0</v>
      </c>
      <c r="BR34" s="260">
        <f t="shared" si="43"/>
        <v>0</v>
      </c>
      <c r="BS34" s="260">
        <f t="shared" si="44"/>
        <v>0</v>
      </c>
      <c r="BT34" s="260">
        <f t="shared" si="79"/>
        <v>0</v>
      </c>
      <c r="BU34" s="260">
        <f t="shared" si="80"/>
        <v>0</v>
      </c>
      <c r="BV34" s="260">
        <f t="shared" si="81"/>
        <v>0</v>
      </c>
      <c r="BW34" s="260">
        <f t="shared" si="82"/>
        <v>0</v>
      </c>
      <c r="BX34" s="260">
        <f t="shared" si="45"/>
        <v>0</v>
      </c>
      <c r="BY34" s="260">
        <f t="shared" si="46"/>
        <v>0</v>
      </c>
      <c r="BZ34" s="260">
        <f t="shared" si="47"/>
        <v>0</v>
      </c>
      <c r="CA34" s="260">
        <f t="shared" si="48"/>
        <v>0</v>
      </c>
      <c r="CB34" s="260">
        <f t="shared" si="49"/>
        <v>0</v>
      </c>
      <c r="CC34" s="260">
        <f t="shared" si="50"/>
        <v>0</v>
      </c>
      <c r="CD34" s="260">
        <f t="shared" si="83"/>
        <v>0</v>
      </c>
      <c r="CE34" s="260">
        <f t="shared" si="84"/>
        <v>0</v>
      </c>
      <c r="CF34" s="260">
        <f t="shared" si="85"/>
        <v>0</v>
      </c>
      <c r="CG34" s="260">
        <f t="shared" si="86"/>
        <v>0</v>
      </c>
      <c r="CH34" s="260">
        <f t="shared" si="51"/>
        <v>0</v>
      </c>
      <c r="CI34" s="260">
        <f t="shared" si="52"/>
        <v>0</v>
      </c>
      <c r="CJ34" s="260">
        <f t="shared" si="87"/>
        <v>0</v>
      </c>
      <c r="CK34" s="260">
        <f t="shared" si="88"/>
        <v>0</v>
      </c>
      <c r="CL34" s="260">
        <f t="shared" si="53"/>
        <v>0</v>
      </c>
      <c r="CM34" s="260">
        <f t="shared" si="54"/>
        <v>0</v>
      </c>
      <c r="CN34" s="260">
        <f t="shared" si="55"/>
        <v>0</v>
      </c>
      <c r="CO34" s="260">
        <f t="shared" si="56"/>
        <v>0</v>
      </c>
      <c r="CP34" s="260">
        <f t="shared" si="89"/>
        <v>0</v>
      </c>
      <c r="CQ34" s="260">
        <f t="shared" si="90"/>
        <v>0</v>
      </c>
      <c r="CR34" s="260">
        <f t="shared" si="91"/>
        <v>0</v>
      </c>
      <c r="CS34" s="260">
        <f t="shared" si="92"/>
        <v>0</v>
      </c>
      <c r="CT34" s="260">
        <f t="shared" si="57"/>
        <v>0</v>
      </c>
      <c r="CU34" s="260">
        <f t="shared" si="58"/>
        <v>0</v>
      </c>
      <c r="CV34" s="260">
        <f t="shared" si="59"/>
        <v>0</v>
      </c>
      <c r="CW34" s="260">
        <f t="shared" si="60"/>
        <v>0</v>
      </c>
      <c r="CX34" s="260">
        <f t="shared" si="93"/>
        <v>0</v>
      </c>
      <c r="CY34" s="260">
        <f t="shared" si="94"/>
        <v>0</v>
      </c>
      <c r="CZ34" s="260">
        <f t="shared" si="95"/>
        <v>0</v>
      </c>
      <c r="DA34" s="260">
        <f t="shared" si="96"/>
        <v>0</v>
      </c>
    </row>
    <row r="35" spans="1:105" s="257" customFormat="1" ht="15" customHeight="1">
      <c r="A35" s="60" t="str">
        <f t="array" ref="A35">IF(C35&lt;&gt;0,SUM(($C$11:C35&lt;&gt;0)*1),"")</f>
        <v/>
      </c>
      <c r="B35" s="258"/>
      <c r="C35" s="258"/>
      <c r="D35" s="258"/>
      <c r="E35" s="337"/>
      <c r="F35" s="309"/>
      <c r="G35" s="311"/>
      <c r="H35" s="311"/>
      <c r="I35" s="60" t="str">
        <f t="shared" si="97"/>
        <v/>
      </c>
      <c r="J35" s="260">
        <f t="shared" si="61"/>
        <v>0</v>
      </c>
      <c r="K35" s="260">
        <f t="shared" si="62"/>
        <v>0</v>
      </c>
      <c r="L35" s="260">
        <f t="shared" si="1"/>
        <v>0</v>
      </c>
      <c r="M35" s="260">
        <f t="shared" si="2"/>
        <v>0</v>
      </c>
      <c r="N35" s="260">
        <f t="shared" si="3"/>
        <v>0</v>
      </c>
      <c r="O35" s="260">
        <f t="shared" si="4"/>
        <v>0</v>
      </c>
      <c r="P35" s="260">
        <f t="shared" si="5"/>
        <v>0</v>
      </c>
      <c r="Q35" s="260">
        <f t="shared" si="6"/>
        <v>0</v>
      </c>
      <c r="R35" s="260">
        <f t="shared" si="7"/>
        <v>0</v>
      </c>
      <c r="S35" s="260">
        <f t="shared" si="8"/>
        <v>0</v>
      </c>
      <c r="T35" s="260">
        <f t="shared" si="9"/>
        <v>0</v>
      </c>
      <c r="U35" s="260">
        <f t="shared" si="10"/>
        <v>0</v>
      </c>
      <c r="V35" s="260">
        <f t="shared" si="11"/>
        <v>0</v>
      </c>
      <c r="W35" s="260">
        <f t="shared" si="12"/>
        <v>0</v>
      </c>
      <c r="X35" s="260">
        <f t="shared" si="13"/>
        <v>0</v>
      </c>
      <c r="Y35" s="260">
        <f t="shared" si="14"/>
        <v>0</v>
      </c>
      <c r="Z35" s="260">
        <f t="shared" si="15"/>
        <v>0</v>
      </c>
      <c r="AA35" s="260">
        <f t="shared" si="16"/>
        <v>0</v>
      </c>
      <c r="AB35" s="260">
        <f t="shared" si="63"/>
        <v>0</v>
      </c>
      <c r="AC35" s="260">
        <f t="shared" si="64"/>
        <v>0</v>
      </c>
      <c r="AD35" s="260">
        <f t="shared" si="17"/>
        <v>0</v>
      </c>
      <c r="AE35" s="260">
        <f t="shared" si="18"/>
        <v>0</v>
      </c>
      <c r="AF35" s="260">
        <f t="shared" si="19"/>
        <v>0</v>
      </c>
      <c r="AG35" s="260">
        <f t="shared" si="20"/>
        <v>0</v>
      </c>
      <c r="AH35" s="260">
        <f t="shared" si="65"/>
        <v>0</v>
      </c>
      <c r="AI35" s="260">
        <f t="shared" si="66"/>
        <v>0</v>
      </c>
      <c r="AJ35" s="260">
        <f t="shared" si="67"/>
        <v>0</v>
      </c>
      <c r="AK35" s="260">
        <f t="shared" si="68"/>
        <v>0</v>
      </c>
      <c r="AL35" s="260">
        <f t="shared" si="69"/>
        <v>0</v>
      </c>
      <c r="AM35" s="260">
        <f t="shared" si="70"/>
        <v>0</v>
      </c>
      <c r="AN35" s="260">
        <f t="shared" si="71"/>
        <v>0</v>
      </c>
      <c r="AO35" s="260">
        <f t="shared" si="72"/>
        <v>0</v>
      </c>
      <c r="AP35" s="260">
        <f t="shared" si="21"/>
        <v>0</v>
      </c>
      <c r="AQ35" s="260">
        <f t="shared" si="22"/>
        <v>0</v>
      </c>
      <c r="AR35" s="260">
        <f t="shared" si="23"/>
        <v>0</v>
      </c>
      <c r="AS35" s="260">
        <f t="shared" si="24"/>
        <v>0</v>
      </c>
      <c r="AT35" s="260">
        <f t="shared" si="73"/>
        <v>0</v>
      </c>
      <c r="AU35" s="260">
        <f t="shared" si="74"/>
        <v>0</v>
      </c>
      <c r="AV35" s="260">
        <f t="shared" si="25"/>
        <v>0</v>
      </c>
      <c r="AW35" s="260">
        <f t="shared" si="26"/>
        <v>0</v>
      </c>
      <c r="AX35" s="260">
        <f t="shared" si="27"/>
        <v>0</v>
      </c>
      <c r="AY35" s="260">
        <f t="shared" si="28"/>
        <v>0</v>
      </c>
      <c r="AZ35" s="260">
        <f t="shared" si="29"/>
        <v>0</v>
      </c>
      <c r="BA35" s="260">
        <f t="shared" si="30"/>
        <v>0</v>
      </c>
      <c r="BB35" s="260">
        <f t="shared" si="31"/>
        <v>0</v>
      </c>
      <c r="BC35" s="260">
        <f t="shared" si="32"/>
        <v>0</v>
      </c>
      <c r="BD35" s="260">
        <f t="shared" si="33"/>
        <v>0</v>
      </c>
      <c r="BE35" s="260">
        <f t="shared" si="34"/>
        <v>0</v>
      </c>
      <c r="BF35" s="260">
        <f t="shared" si="35"/>
        <v>0</v>
      </c>
      <c r="BG35" s="260">
        <f t="shared" si="36"/>
        <v>0</v>
      </c>
      <c r="BH35" s="260">
        <f t="shared" si="75"/>
        <v>0</v>
      </c>
      <c r="BI35" s="260">
        <f t="shared" si="76"/>
        <v>0</v>
      </c>
      <c r="BJ35" s="260">
        <f t="shared" si="37"/>
        <v>0</v>
      </c>
      <c r="BK35" s="260">
        <f t="shared" si="38"/>
        <v>0</v>
      </c>
      <c r="BL35" s="260">
        <f t="shared" si="39"/>
        <v>0</v>
      </c>
      <c r="BM35" s="260">
        <f t="shared" si="40"/>
        <v>0</v>
      </c>
      <c r="BN35" s="260">
        <f t="shared" si="41"/>
        <v>0</v>
      </c>
      <c r="BO35" s="260">
        <f t="shared" si="42"/>
        <v>0</v>
      </c>
      <c r="BP35" s="260">
        <f t="shared" si="77"/>
        <v>0</v>
      </c>
      <c r="BQ35" s="260">
        <f t="shared" si="78"/>
        <v>0</v>
      </c>
      <c r="BR35" s="260">
        <f t="shared" si="43"/>
        <v>0</v>
      </c>
      <c r="BS35" s="260">
        <f t="shared" si="44"/>
        <v>0</v>
      </c>
      <c r="BT35" s="260">
        <f t="shared" si="79"/>
        <v>0</v>
      </c>
      <c r="BU35" s="260">
        <f t="shared" si="80"/>
        <v>0</v>
      </c>
      <c r="BV35" s="260">
        <f t="shared" si="81"/>
        <v>0</v>
      </c>
      <c r="BW35" s="260">
        <f t="shared" si="82"/>
        <v>0</v>
      </c>
      <c r="BX35" s="260">
        <f t="shared" si="45"/>
        <v>0</v>
      </c>
      <c r="BY35" s="260">
        <f t="shared" si="46"/>
        <v>0</v>
      </c>
      <c r="BZ35" s="260">
        <f t="shared" si="47"/>
        <v>0</v>
      </c>
      <c r="CA35" s="260">
        <f t="shared" si="48"/>
        <v>0</v>
      </c>
      <c r="CB35" s="260">
        <f t="shared" si="49"/>
        <v>0</v>
      </c>
      <c r="CC35" s="260">
        <f t="shared" si="50"/>
        <v>0</v>
      </c>
      <c r="CD35" s="260">
        <f t="shared" si="83"/>
        <v>0</v>
      </c>
      <c r="CE35" s="260">
        <f t="shared" si="84"/>
        <v>0</v>
      </c>
      <c r="CF35" s="260">
        <f t="shared" si="85"/>
        <v>0</v>
      </c>
      <c r="CG35" s="260">
        <f t="shared" si="86"/>
        <v>0</v>
      </c>
      <c r="CH35" s="260">
        <f t="shared" si="51"/>
        <v>0</v>
      </c>
      <c r="CI35" s="260">
        <f t="shared" si="52"/>
        <v>0</v>
      </c>
      <c r="CJ35" s="260">
        <f t="shared" si="87"/>
        <v>0</v>
      </c>
      <c r="CK35" s="260">
        <f t="shared" si="88"/>
        <v>0</v>
      </c>
      <c r="CL35" s="260">
        <f t="shared" si="53"/>
        <v>0</v>
      </c>
      <c r="CM35" s="260">
        <f t="shared" si="54"/>
        <v>0</v>
      </c>
      <c r="CN35" s="260">
        <f t="shared" si="55"/>
        <v>0</v>
      </c>
      <c r="CO35" s="260">
        <f t="shared" si="56"/>
        <v>0</v>
      </c>
      <c r="CP35" s="260">
        <f t="shared" si="89"/>
        <v>0</v>
      </c>
      <c r="CQ35" s="260">
        <f t="shared" si="90"/>
        <v>0</v>
      </c>
      <c r="CR35" s="260">
        <f t="shared" si="91"/>
        <v>0</v>
      </c>
      <c r="CS35" s="260">
        <f t="shared" si="92"/>
        <v>0</v>
      </c>
      <c r="CT35" s="260">
        <f t="shared" si="57"/>
        <v>0</v>
      </c>
      <c r="CU35" s="260">
        <f t="shared" si="58"/>
        <v>0</v>
      </c>
      <c r="CV35" s="260">
        <f t="shared" si="59"/>
        <v>0</v>
      </c>
      <c r="CW35" s="260">
        <f t="shared" si="60"/>
        <v>0</v>
      </c>
      <c r="CX35" s="260">
        <f t="shared" si="93"/>
        <v>0</v>
      </c>
      <c r="CY35" s="260">
        <f t="shared" si="94"/>
        <v>0</v>
      </c>
      <c r="CZ35" s="260">
        <f t="shared" si="95"/>
        <v>0</v>
      </c>
      <c r="DA35" s="260">
        <f t="shared" si="96"/>
        <v>0</v>
      </c>
    </row>
    <row r="36" spans="1:105" s="257" customFormat="1" ht="15" customHeight="1">
      <c r="A36" s="60" t="str">
        <f t="array" ref="A36">IF(C36&lt;&gt;0,SUM(($C$11:C36&lt;&gt;0)*1),"")</f>
        <v/>
      </c>
      <c r="B36" s="258"/>
      <c r="C36" s="258"/>
      <c r="D36" s="258"/>
      <c r="E36" s="337"/>
      <c r="F36" s="309"/>
      <c r="G36" s="311"/>
      <c r="H36" s="311"/>
      <c r="I36" s="60" t="str">
        <f t="shared" si="97"/>
        <v/>
      </c>
      <c r="J36" s="260">
        <f t="shared" si="61"/>
        <v>0</v>
      </c>
      <c r="K36" s="260">
        <f t="shared" si="62"/>
        <v>0</v>
      </c>
      <c r="L36" s="260">
        <f t="shared" si="1"/>
        <v>0</v>
      </c>
      <c r="M36" s="260">
        <f t="shared" si="2"/>
        <v>0</v>
      </c>
      <c r="N36" s="260">
        <f t="shared" si="3"/>
        <v>0</v>
      </c>
      <c r="O36" s="260">
        <f t="shared" si="4"/>
        <v>0</v>
      </c>
      <c r="P36" s="260">
        <f t="shared" si="5"/>
        <v>0</v>
      </c>
      <c r="Q36" s="260">
        <f t="shared" si="6"/>
        <v>0</v>
      </c>
      <c r="R36" s="260">
        <f t="shared" si="7"/>
        <v>0</v>
      </c>
      <c r="S36" s="260">
        <f t="shared" si="8"/>
        <v>0</v>
      </c>
      <c r="T36" s="260">
        <f t="shared" si="9"/>
        <v>0</v>
      </c>
      <c r="U36" s="260">
        <f t="shared" si="10"/>
        <v>0</v>
      </c>
      <c r="V36" s="260">
        <f t="shared" si="11"/>
        <v>0</v>
      </c>
      <c r="W36" s="260">
        <f t="shared" si="12"/>
        <v>0</v>
      </c>
      <c r="X36" s="260">
        <f t="shared" si="13"/>
        <v>0</v>
      </c>
      <c r="Y36" s="260">
        <f t="shared" si="14"/>
        <v>0</v>
      </c>
      <c r="Z36" s="260">
        <f t="shared" si="15"/>
        <v>0</v>
      </c>
      <c r="AA36" s="260">
        <f t="shared" si="16"/>
        <v>0</v>
      </c>
      <c r="AB36" s="260">
        <f t="shared" si="63"/>
        <v>0</v>
      </c>
      <c r="AC36" s="260">
        <f t="shared" si="64"/>
        <v>0</v>
      </c>
      <c r="AD36" s="260">
        <f t="shared" si="17"/>
        <v>0</v>
      </c>
      <c r="AE36" s="260">
        <f t="shared" si="18"/>
        <v>0</v>
      </c>
      <c r="AF36" s="260">
        <f t="shared" si="19"/>
        <v>0</v>
      </c>
      <c r="AG36" s="260">
        <f t="shared" si="20"/>
        <v>0</v>
      </c>
      <c r="AH36" s="260">
        <f t="shared" si="65"/>
        <v>0</v>
      </c>
      <c r="AI36" s="260">
        <f t="shared" si="66"/>
        <v>0</v>
      </c>
      <c r="AJ36" s="260">
        <f t="shared" si="67"/>
        <v>0</v>
      </c>
      <c r="AK36" s="260">
        <f t="shared" si="68"/>
        <v>0</v>
      </c>
      <c r="AL36" s="260">
        <f t="shared" si="69"/>
        <v>0</v>
      </c>
      <c r="AM36" s="260">
        <f t="shared" si="70"/>
        <v>0</v>
      </c>
      <c r="AN36" s="260">
        <f t="shared" si="71"/>
        <v>0</v>
      </c>
      <c r="AO36" s="260">
        <f t="shared" si="72"/>
        <v>0</v>
      </c>
      <c r="AP36" s="260">
        <f t="shared" si="21"/>
        <v>0</v>
      </c>
      <c r="AQ36" s="260">
        <f t="shared" si="22"/>
        <v>0</v>
      </c>
      <c r="AR36" s="260">
        <f t="shared" si="23"/>
        <v>0</v>
      </c>
      <c r="AS36" s="260">
        <f t="shared" si="24"/>
        <v>0</v>
      </c>
      <c r="AT36" s="260">
        <f t="shared" si="73"/>
        <v>0</v>
      </c>
      <c r="AU36" s="260">
        <f t="shared" si="74"/>
        <v>0</v>
      </c>
      <c r="AV36" s="260">
        <f t="shared" si="25"/>
        <v>0</v>
      </c>
      <c r="AW36" s="260">
        <f t="shared" si="26"/>
        <v>0</v>
      </c>
      <c r="AX36" s="260">
        <f t="shared" si="27"/>
        <v>0</v>
      </c>
      <c r="AY36" s="260">
        <f t="shared" si="28"/>
        <v>0</v>
      </c>
      <c r="AZ36" s="260">
        <f t="shared" si="29"/>
        <v>0</v>
      </c>
      <c r="BA36" s="260">
        <f t="shared" si="30"/>
        <v>0</v>
      </c>
      <c r="BB36" s="260">
        <f t="shared" si="31"/>
        <v>0</v>
      </c>
      <c r="BC36" s="260">
        <f t="shared" si="32"/>
        <v>0</v>
      </c>
      <c r="BD36" s="260">
        <f t="shared" si="33"/>
        <v>0</v>
      </c>
      <c r="BE36" s="260">
        <f t="shared" si="34"/>
        <v>0</v>
      </c>
      <c r="BF36" s="260">
        <f t="shared" si="35"/>
        <v>0</v>
      </c>
      <c r="BG36" s="260">
        <f t="shared" si="36"/>
        <v>0</v>
      </c>
      <c r="BH36" s="260">
        <f t="shared" si="75"/>
        <v>0</v>
      </c>
      <c r="BI36" s="260">
        <f t="shared" si="76"/>
        <v>0</v>
      </c>
      <c r="BJ36" s="260">
        <f t="shared" si="37"/>
        <v>0</v>
      </c>
      <c r="BK36" s="260">
        <f t="shared" si="38"/>
        <v>0</v>
      </c>
      <c r="BL36" s="260">
        <f t="shared" si="39"/>
        <v>0</v>
      </c>
      <c r="BM36" s="260">
        <f t="shared" si="40"/>
        <v>0</v>
      </c>
      <c r="BN36" s="260">
        <f t="shared" si="41"/>
        <v>0</v>
      </c>
      <c r="BO36" s="260">
        <f t="shared" si="42"/>
        <v>0</v>
      </c>
      <c r="BP36" s="260">
        <f t="shared" si="77"/>
        <v>0</v>
      </c>
      <c r="BQ36" s="260">
        <f t="shared" si="78"/>
        <v>0</v>
      </c>
      <c r="BR36" s="260">
        <f t="shared" si="43"/>
        <v>0</v>
      </c>
      <c r="BS36" s="260">
        <f t="shared" si="44"/>
        <v>0</v>
      </c>
      <c r="BT36" s="260">
        <f t="shared" si="79"/>
        <v>0</v>
      </c>
      <c r="BU36" s="260">
        <f t="shared" si="80"/>
        <v>0</v>
      </c>
      <c r="BV36" s="260">
        <f t="shared" si="81"/>
        <v>0</v>
      </c>
      <c r="BW36" s="260">
        <f t="shared" si="82"/>
        <v>0</v>
      </c>
      <c r="BX36" s="260">
        <f t="shared" si="45"/>
        <v>0</v>
      </c>
      <c r="BY36" s="260">
        <f t="shared" si="46"/>
        <v>0</v>
      </c>
      <c r="BZ36" s="260">
        <f t="shared" si="47"/>
        <v>0</v>
      </c>
      <c r="CA36" s="260">
        <f t="shared" si="48"/>
        <v>0</v>
      </c>
      <c r="CB36" s="260">
        <f t="shared" si="49"/>
        <v>0</v>
      </c>
      <c r="CC36" s="260">
        <f t="shared" si="50"/>
        <v>0</v>
      </c>
      <c r="CD36" s="260">
        <f t="shared" si="83"/>
        <v>0</v>
      </c>
      <c r="CE36" s="260">
        <f t="shared" si="84"/>
        <v>0</v>
      </c>
      <c r="CF36" s="260">
        <f t="shared" si="85"/>
        <v>0</v>
      </c>
      <c r="CG36" s="260">
        <f t="shared" si="86"/>
        <v>0</v>
      </c>
      <c r="CH36" s="260">
        <f t="shared" si="51"/>
        <v>0</v>
      </c>
      <c r="CI36" s="260">
        <f t="shared" si="52"/>
        <v>0</v>
      </c>
      <c r="CJ36" s="260">
        <f t="shared" si="87"/>
        <v>0</v>
      </c>
      <c r="CK36" s="260">
        <f t="shared" si="88"/>
        <v>0</v>
      </c>
      <c r="CL36" s="260">
        <f t="shared" si="53"/>
        <v>0</v>
      </c>
      <c r="CM36" s="260">
        <f t="shared" si="54"/>
        <v>0</v>
      </c>
      <c r="CN36" s="260">
        <f t="shared" si="55"/>
        <v>0</v>
      </c>
      <c r="CO36" s="260">
        <f t="shared" si="56"/>
        <v>0</v>
      </c>
      <c r="CP36" s="260">
        <f t="shared" si="89"/>
        <v>0</v>
      </c>
      <c r="CQ36" s="260">
        <f t="shared" si="90"/>
        <v>0</v>
      </c>
      <c r="CR36" s="260">
        <f t="shared" si="91"/>
        <v>0</v>
      </c>
      <c r="CS36" s="260">
        <f t="shared" si="92"/>
        <v>0</v>
      </c>
      <c r="CT36" s="260">
        <f t="shared" si="57"/>
        <v>0</v>
      </c>
      <c r="CU36" s="260">
        <f t="shared" si="58"/>
        <v>0</v>
      </c>
      <c r="CV36" s="260">
        <f t="shared" si="59"/>
        <v>0</v>
      </c>
      <c r="CW36" s="260">
        <f t="shared" si="60"/>
        <v>0</v>
      </c>
      <c r="CX36" s="260">
        <f t="shared" si="93"/>
        <v>0</v>
      </c>
      <c r="CY36" s="260">
        <f t="shared" si="94"/>
        <v>0</v>
      </c>
      <c r="CZ36" s="260">
        <f t="shared" si="95"/>
        <v>0</v>
      </c>
      <c r="DA36" s="260">
        <f t="shared" si="96"/>
        <v>0</v>
      </c>
    </row>
    <row r="37" spans="1:105" s="257" customFormat="1" ht="15" customHeight="1">
      <c r="A37" s="60" t="str">
        <f t="array" ref="A37">IF(C37&lt;&gt;0,SUM(($C$11:C37&lt;&gt;0)*1),"")</f>
        <v/>
      </c>
      <c r="B37" s="258"/>
      <c r="C37" s="258"/>
      <c r="D37" s="258"/>
      <c r="E37" s="337"/>
      <c r="F37" s="309"/>
      <c r="G37" s="311"/>
      <c r="H37" s="311"/>
      <c r="I37" s="60" t="str">
        <f t="shared" si="97"/>
        <v/>
      </c>
      <c r="J37" s="260">
        <f t="shared" si="61"/>
        <v>0</v>
      </c>
      <c r="K37" s="260">
        <f t="shared" si="62"/>
        <v>0</v>
      </c>
      <c r="L37" s="260">
        <f t="shared" si="1"/>
        <v>0</v>
      </c>
      <c r="M37" s="260">
        <f t="shared" si="2"/>
        <v>0</v>
      </c>
      <c r="N37" s="260">
        <f t="shared" si="3"/>
        <v>0</v>
      </c>
      <c r="O37" s="260">
        <f t="shared" si="4"/>
        <v>0</v>
      </c>
      <c r="P37" s="260">
        <f t="shared" si="5"/>
        <v>0</v>
      </c>
      <c r="Q37" s="260">
        <f t="shared" si="6"/>
        <v>0</v>
      </c>
      <c r="R37" s="260">
        <f t="shared" si="7"/>
        <v>0</v>
      </c>
      <c r="S37" s="260">
        <f t="shared" si="8"/>
        <v>0</v>
      </c>
      <c r="T37" s="260">
        <f t="shared" si="9"/>
        <v>0</v>
      </c>
      <c r="U37" s="260">
        <f t="shared" si="10"/>
        <v>0</v>
      </c>
      <c r="V37" s="260">
        <f t="shared" si="11"/>
        <v>0</v>
      </c>
      <c r="W37" s="260">
        <f t="shared" si="12"/>
        <v>0</v>
      </c>
      <c r="X37" s="260">
        <f t="shared" si="13"/>
        <v>0</v>
      </c>
      <c r="Y37" s="260">
        <f t="shared" si="14"/>
        <v>0</v>
      </c>
      <c r="Z37" s="260">
        <f t="shared" si="15"/>
        <v>0</v>
      </c>
      <c r="AA37" s="260">
        <f t="shared" si="16"/>
        <v>0</v>
      </c>
      <c r="AB37" s="260">
        <f t="shared" si="63"/>
        <v>0</v>
      </c>
      <c r="AC37" s="260">
        <f t="shared" si="64"/>
        <v>0</v>
      </c>
      <c r="AD37" s="260">
        <f t="shared" si="17"/>
        <v>0</v>
      </c>
      <c r="AE37" s="260">
        <f t="shared" si="18"/>
        <v>0</v>
      </c>
      <c r="AF37" s="260">
        <f t="shared" si="19"/>
        <v>0</v>
      </c>
      <c r="AG37" s="260">
        <f t="shared" si="20"/>
        <v>0</v>
      </c>
      <c r="AH37" s="260">
        <f t="shared" si="65"/>
        <v>0</v>
      </c>
      <c r="AI37" s="260">
        <f t="shared" si="66"/>
        <v>0</v>
      </c>
      <c r="AJ37" s="260">
        <f t="shared" si="67"/>
        <v>0</v>
      </c>
      <c r="AK37" s="260">
        <f t="shared" si="68"/>
        <v>0</v>
      </c>
      <c r="AL37" s="260">
        <f t="shared" si="69"/>
        <v>0</v>
      </c>
      <c r="AM37" s="260">
        <f t="shared" si="70"/>
        <v>0</v>
      </c>
      <c r="AN37" s="260">
        <f t="shared" si="71"/>
        <v>0</v>
      </c>
      <c r="AO37" s="260">
        <f t="shared" si="72"/>
        <v>0</v>
      </c>
      <c r="AP37" s="260">
        <f t="shared" si="21"/>
        <v>0</v>
      </c>
      <c r="AQ37" s="260">
        <f t="shared" si="22"/>
        <v>0</v>
      </c>
      <c r="AR37" s="260">
        <f t="shared" si="23"/>
        <v>0</v>
      </c>
      <c r="AS37" s="260">
        <f t="shared" si="24"/>
        <v>0</v>
      </c>
      <c r="AT37" s="260">
        <f t="shared" si="73"/>
        <v>0</v>
      </c>
      <c r="AU37" s="260">
        <f t="shared" si="74"/>
        <v>0</v>
      </c>
      <c r="AV37" s="260">
        <f t="shared" si="25"/>
        <v>0</v>
      </c>
      <c r="AW37" s="260">
        <f t="shared" si="26"/>
        <v>0</v>
      </c>
      <c r="AX37" s="260">
        <f t="shared" si="27"/>
        <v>0</v>
      </c>
      <c r="AY37" s="260">
        <f t="shared" si="28"/>
        <v>0</v>
      </c>
      <c r="AZ37" s="260">
        <f t="shared" si="29"/>
        <v>0</v>
      </c>
      <c r="BA37" s="260">
        <f t="shared" si="30"/>
        <v>0</v>
      </c>
      <c r="BB37" s="260">
        <f t="shared" si="31"/>
        <v>0</v>
      </c>
      <c r="BC37" s="260">
        <f t="shared" si="32"/>
        <v>0</v>
      </c>
      <c r="BD37" s="260">
        <f t="shared" si="33"/>
        <v>0</v>
      </c>
      <c r="BE37" s="260">
        <f t="shared" si="34"/>
        <v>0</v>
      </c>
      <c r="BF37" s="260">
        <f t="shared" si="35"/>
        <v>0</v>
      </c>
      <c r="BG37" s="260">
        <f t="shared" si="36"/>
        <v>0</v>
      </c>
      <c r="BH37" s="260">
        <f t="shared" si="75"/>
        <v>0</v>
      </c>
      <c r="BI37" s="260">
        <f t="shared" si="76"/>
        <v>0</v>
      </c>
      <c r="BJ37" s="260">
        <f t="shared" si="37"/>
        <v>0</v>
      </c>
      <c r="BK37" s="260">
        <f t="shared" si="38"/>
        <v>0</v>
      </c>
      <c r="BL37" s="260">
        <f t="shared" si="39"/>
        <v>0</v>
      </c>
      <c r="BM37" s="260">
        <f t="shared" si="40"/>
        <v>0</v>
      </c>
      <c r="BN37" s="260">
        <f t="shared" si="41"/>
        <v>0</v>
      </c>
      <c r="BO37" s="260">
        <f t="shared" si="42"/>
        <v>0</v>
      </c>
      <c r="BP37" s="260">
        <f t="shared" si="77"/>
        <v>0</v>
      </c>
      <c r="BQ37" s="260">
        <f t="shared" si="78"/>
        <v>0</v>
      </c>
      <c r="BR37" s="260">
        <f t="shared" si="43"/>
        <v>0</v>
      </c>
      <c r="BS37" s="260">
        <f t="shared" si="44"/>
        <v>0</v>
      </c>
      <c r="BT37" s="260">
        <f t="shared" si="79"/>
        <v>0</v>
      </c>
      <c r="BU37" s="260">
        <f t="shared" si="80"/>
        <v>0</v>
      </c>
      <c r="BV37" s="260">
        <f t="shared" si="81"/>
        <v>0</v>
      </c>
      <c r="BW37" s="260">
        <f t="shared" si="82"/>
        <v>0</v>
      </c>
      <c r="BX37" s="260">
        <f t="shared" si="45"/>
        <v>0</v>
      </c>
      <c r="BY37" s="260">
        <f t="shared" si="46"/>
        <v>0</v>
      </c>
      <c r="BZ37" s="260">
        <f t="shared" si="47"/>
        <v>0</v>
      </c>
      <c r="CA37" s="260">
        <f t="shared" si="48"/>
        <v>0</v>
      </c>
      <c r="CB37" s="260">
        <f t="shared" si="49"/>
        <v>0</v>
      </c>
      <c r="CC37" s="260">
        <f t="shared" si="50"/>
        <v>0</v>
      </c>
      <c r="CD37" s="260">
        <f t="shared" si="83"/>
        <v>0</v>
      </c>
      <c r="CE37" s="260">
        <f t="shared" si="84"/>
        <v>0</v>
      </c>
      <c r="CF37" s="260">
        <f t="shared" si="85"/>
        <v>0</v>
      </c>
      <c r="CG37" s="260">
        <f t="shared" si="86"/>
        <v>0</v>
      </c>
      <c r="CH37" s="260">
        <f t="shared" si="51"/>
        <v>0</v>
      </c>
      <c r="CI37" s="260">
        <f t="shared" si="52"/>
        <v>0</v>
      </c>
      <c r="CJ37" s="260">
        <f t="shared" si="87"/>
        <v>0</v>
      </c>
      <c r="CK37" s="260">
        <f t="shared" si="88"/>
        <v>0</v>
      </c>
      <c r="CL37" s="260">
        <f t="shared" si="53"/>
        <v>0</v>
      </c>
      <c r="CM37" s="260">
        <f t="shared" si="54"/>
        <v>0</v>
      </c>
      <c r="CN37" s="260">
        <f t="shared" si="55"/>
        <v>0</v>
      </c>
      <c r="CO37" s="260">
        <f t="shared" si="56"/>
        <v>0</v>
      </c>
      <c r="CP37" s="260">
        <f t="shared" si="89"/>
        <v>0</v>
      </c>
      <c r="CQ37" s="260">
        <f t="shared" si="90"/>
        <v>0</v>
      </c>
      <c r="CR37" s="260">
        <f t="shared" si="91"/>
        <v>0</v>
      </c>
      <c r="CS37" s="260">
        <f t="shared" si="92"/>
        <v>0</v>
      </c>
      <c r="CT37" s="260">
        <f t="shared" si="57"/>
        <v>0</v>
      </c>
      <c r="CU37" s="260">
        <f t="shared" si="58"/>
        <v>0</v>
      </c>
      <c r="CV37" s="260">
        <f t="shared" si="59"/>
        <v>0</v>
      </c>
      <c r="CW37" s="260">
        <f t="shared" si="60"/>
        <v>0</v>
      </c>
      <c r="CX37" s="260">
        <f t="shared" si="93"/>
        <v>0</v>
      </c>
      <c r="CY37" s="260">
        <f t="shared" si="94"/>
        <v>0</v>
      </c>
      <c r="CZ37" s="260">
        <f t="shared" si="95"/>
        <v>0</v>
      </c>
      <c r="DA37" s="260">
        <f t="shared" si="96"/>
        <v>0</v>
      </c>
    </row>
    <row r="38" spans="1:105" s="257" customFormat="1" ht="15" customHeight="1">
      <c r="A38" s="60" t="str">
        <f t="array" ref="A38">IF(C38&lt;&gt;0,SUM(($C$11:C38&lt;&gt;0)*1),"")</f>
        <v/>
      </c>
      <c r="B38" s="258"/>
      <c r="C38" s="258"/>
      <c r="D38" s="258"/>
      <c r="E38" s="337"/>
      <c r="F38" s="309"/>
      <c r="G38" s="311"/>
      <c r="H38" s="311"/>
      <c r="I38" s="60" t="str">
        <f t="shared" si="97"/>
        <v/>
      </c>
      <c r="J38" s="260">
        <f t="shared" si="61"/>
        <v>0</v>
      </c>
      <c r="K38" s="260">
        <f t="shared" si="62"/>
        <v>0</v>
      </c>
      <c r="L38" s="260">
        <f t="shared" si="1"/>
        <v>0</v>
      </c>
      <c r="M38" s="260">
        <f t="shared" si="2"/>
        <v>0</v>
      </c>
      <c r="N38" s="260">
        <f t="shared" si="3"/>
        <v>0</v>
      </c>
      <c r="O38" s="260">
        <f t="shared" si="4"/>
        <v>0</v>
      </c>
      <c r="P38" s="260">
        <f t="shared" si="5"/>
        <v>0</v>
      </c>
      <c r="Q38" s="260">
        <f t="shared" si="6"/>
        <v>0</v>
      </c>
      <c r="R38" s="260">
        <f t="shared" si="7"/>
        <v>0</v>
      </c>
      <c r="S38" s="260">
        <f t="shared" si="8"/>
        <v>0</v>
      </c>
      <c r="T38" s="260">
        <f t="shared" si="9"/>
        <v>0</v>
      </c>
      <c r="U38" s="260">
        <f t="shared" si="10"/>
        <v>0</v>
      </c>
      <c r="V38" s="260">
        <f t="shared" si="11"/>
        <v>0</v>
      </c>
      <c r="W38" s="260">
        <f t="shared" si="12"/>
        <v>0</v>
      </c>
      <c r="X38" s="260">
        <f t="shared" si="13"/>
        <v>0</v>
      </c>
      <c r="Y38" s="260">
        <f t="shared" si="14"/>
        <v>0</v>
      </c>
      <c r="Z38" s="260">
        <f t="shared" si="15"/>
        <v>0</v>
      </c>
      <c r="AA38" s="260">
        <f t="shared" si="16"/>
        <v>0</v>
      </c>
      <c r="AB38" s="260">
        <f t="shared" si="63"/>
        <v>0</v>
      </c>
      <c r="AC38" s="260">
        <f t="shared" si="64"/>
        <v>0</v>
      </c>
      <c r="AD38" s="260">
        <f t="shared" si="17"/>
        <v>0</v>
      </c>
      <c r="AE38" s="260">
        <f t="shared" si="18"/>
        <v>0</v>
      </c>
      <c r="AF38" s="260">
        <f t="shared" si="19"/>
        <v>0</v>
      </c>
      <c r="AG38" s="260">
        <f t="shared" si="20"/>
        <v>0</v>
      </c>
      <c r="AH38" s="260">
        <f t="shared" si="65"/>
        <v>0</v>
      </c>
      <c r="AI38" s="260">
        <f t="shared" si="66"/>
        <v>0</v>
      </c>
      <c r="AJ38" s="260">
        <f t="shared" si="67"/>
        <v>0</v>
      </c>
      <c r="AK38" s="260">
        <f t="shared" si="68"/>
        <v>0</v>
      </c>
      <c r="AL38" s="260">
        <f t="shared" si="69"/>
        <v>0</v>
      </c>
      <c r="AM38" s="260">
        <f t="shared" si="70"/>
        <v>0</v>
      </c>
      <c r="AN38" s="260">
        <f t="shared" si="71"/>
        <v>0</v>
      </c>
      <c r="AO38" s="260">
        <f t="shared" si="72"/>
        <v>0</v>
      </c>
      <c r="AP38" s="260">
        <f t="shared" si="21"/>
        <v>0</v>
      </c>
      <c r="AQ38" s="260">
        <f t="shared" si="22"/>
        <v>0</v>
      </c>
      <c r="AR38" s="260">
        <f t="shared" si="23"/>
        <v>0</v>
      </c>
      <c r="AS38" s="260">
        <f t="shared" si="24"/>
        <v>0</v>
      </c>
      <c r="AT38" s="260">
        <f t="shared" si="73"/>
        <v>0</v>
      </c>
      <c r="AU38" s="260">
        <f t="shared" si="74"/>
        <v>0</v>
      </c>
      <c r="AV38" s="260">
        <f t="shared" si="25"/>
        <v>0</v>
      </c>
      <c r="AW38" s="260">
        <f t="shared" si="26"/>
        <v>0</v>
      </c>
      <c r="AX38" s="260">
        <f t="shared" si="27"/>
        <v>0</v>
      </c>
      <c r="AY38" s="260">
        <f t="shared" si="28"/>
        <v>0</v>
      </c>
      <c r="AZ38" s="260">
        <f t="shared" si="29"/>
        <v>0</v>
      </c>
      <c r="BA38" s="260">
        <f t="shared" si="30"/>
        <v>0</v>
      </c>
      <c r="BB38" s="260">
        <f t="shared" si="31"/>
        <v>0</v>
      </c>
      <c r="BC38" s="260">
        <f t="shared" si="32"/>
        <v>0</v>
      </c>
      <c r="BD38" s="260">
        <f t="shared" si="33"/>
        <v>0</v>
      </c>
      <c r="BE38" s="260">
        <f t="shared" si="34"/>
        <v>0</v>
      </c>
      <c r="BF38" s="260">
        <f t="shared" si="35"/>
        <v>0</v>
      </c>
      <c r="BG38" s="260">
        <f t="shared" si="36"/>
        <v>0</v>
      </c>
      <c r="BH38" s="260">
        <f t="shared" si="75"/>
        <v>0</v>
      </c>
      <c r="BI38" s="260">
        <f t="shared" si="76"/>
        <v>0</v>
      </c>
      <c r="BJ38" s="260">
        <f t="shared" si="37"/>
        <v>0</v>
      </c>
      <c r="BK38" s="260">
        <f t="shared" si="38"/>
        <v>0</v>
      </c>
      <c r="BL38" s="260">
        <f t="shared" si="39"/>
        <v>0</v>
      </c>
      <c r="BM38" s="260">
        <f t="shared" si="40"/>
        <v>0</v>
      </c>
      <c r="BN38" s="260">
        <f t="shared" si="41"/>
        <v>0</v>
      </c>
      <c r="BO38" s="260">
        <f t="shared" si="42"/>
        <v>0</v>
      </c>
      <c r="BP38" s="260">
        <f t="shared" si="77"/>
        <v>0</v>
      </c>
      <c r="BQ38" s="260">
        <f t="shared" si="78"/>
        <v>0</v>
      </c>
      <c r="BR38" s="260">
        <f t="shared" si="43"/>
        <v>0</v>
      </c>
      <c r="BS38" s="260">
        <f t="shared" si="44"/>
        <v>0</v>
      </c>
      <c r="BT38" s="260">
        <f t="shared" si="79"/>
        <v>0</v>
      </c>
      <c r="BU38" s="260">
        <f t="shared" si="80"/>
        <v>0</v>
      </c>
      <c r="BV38" s="260">
        <f t="shared" si="81"/>
        <v>0</v>
      </c>
      <c r="BW38" s="260">
        <f t="shared" si="82"/>
        <v>0</v>
      </c>
      <c r="BX38" s="260">
        <f t="shared" si="45"/>
        <v>0</v>
      </c>
      <c r="BY38" s="260">
        <f t="shared" si="46"/>
        <v>0</v>
      </c>
      <c r="BZ38" s="260">
        <f t="shared" si="47"/>
        <v>0</v>
      </c>
      <c r="CA38" s="260">
        <f t="shared" si="48"/>
        <v>0</v>
      </c>
      <c r="CB38" s="260">
        <f t="shared" si="49"/>
        <v>0</v>
      </c>
      <c r="CC38" s="260">
        <f t="shared" si="50"/>
        <v>0</v>
      </c>
      <c r="CD38" s="260">
        <f t="shared" si="83"/>
        <v>0</v>
      </c>
      <c r="CE38" s="260">
        <f t="shared" si="84"/>
        <v>0</v>
      </c>
      <c r="CF38" s="260">
        <f t="shared" si="85"/>
        <v>0</v>
      </c>
      <c r="CG38" s="260">
        <f t="shared" si="86"/>
        <v>0</v>
      </c>
      <c r="CH38" s="260">
        <f t="shared" si="51"/>
        <v>0</v>
      </c>
      <c r="CI38" s="260">
        <f t="shared" si="52"/>
        <v>0</v>
      </c>
      <c r="CJ38" s="260">
        <f t="shared" si="87"/>
        <v>0</v>
      </c>
      <c r="CK38" s="260">
        <f t="shared" si="88"/>
        <v>0</v>
      </c>
      <c r="CL38" s="260">
        <f t="shared" si="53"/>
        <v>0</v>
      </c>
      <c r="CM38" s="260">
        <f t="shared" si="54"/>
        <v>0</v>
      </c>
      <c r="CN38" s="260">
        <f t="shared" si="55"/>
        <v>0</v>
      </c>
      <c r="CO38" s="260">
        <f t="shared" si="56"/>
        <v>0</v>
      </c>
      <c r="CP38" s="260">
        <f t="shared" si="89"/>
        <v>0</v>
      </c>
      <c r="CQ38" s="260">
        <f t="shared" si="90"/>
        <v>0</v>
      </c>
      <c r="CR38" s="260">
        <f t="shared" si="91"/>
        <v>0</v>
      </c>
      <c r="CS38" s="260">
        <f t="shared" si="92"/>
        <v>0</v>
      </c>
      <c r="CT38" s="260">
        <f t="shared" si="57"/>
        <v>0</v>
      </c>
      <c r="CU38" s="260">
        <f t="shared" si="58"/>
        <v>0</v>
      </c>
      <c r="CV38" s="260">
        <f t="shared" si="59"/>
        <v>0</v>
      </c>
      <c r="CW38" s="260">
        <f t="shared" si="60"/>
        <v>0</v>
      </c>
      <c r="CX38" s="260">
        <f t="shared" si="93"/>
        <v>0</v>
      </c>
      <c r="CY38" s="260">
        <f t="shared" si="94"/>
        <v>0</v>
      </c>
      <c r="CZ38" s="260">
        <f t="shared" si="95"/>
        <v>0</v>
      </c>
      <c r="DA38" s="260">
        <f t="shared" si="96"/>
        <v>0</v>
      </c>
    </row>
    <row r="39" spans="1:105" s="257" customFormat="1" ht="15" customHeight="1">
      <c r="A39" s="60" t="str">
        <f t="array" ref="A39">IF(C39&lt;&gt;0,SUM(($C$11:C39&lt;&gt;0)*1),"")</f>
        <v/>
      </c>
      <c r="B39" s="258"/>
      <c r="C39" s="258"/>
      <c r="D39" s="258"/>
      <c r="E39" s="337"/>
      <c r="F39" s="309"/>
      <c r="G39" s="311"/>
      <c r="H39" s="311"/>
      <c r="I39" s="60" t="str">
        <f t="shared" si="97"/>
        <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si="73"/>
        <v>0</v>
      </c>
      <c r="AU39" s="260">
        <f t="shared" si="74"/>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si="81"/>
        <v>0</v>
      </c>
      <c r="BW39" s="260">
        <f t="shared" si="82"/>
        <v>0</v>
      </c>
      <c r="BX39" s="260">
        <f t="shared" si="45"/>
        <v>0</v>
      </c>
      <c r="BY39" s="260">
        <f t="shared" si="46"/>
        <v>0</v>
      </c>
      <c r="BZ39" s="260">
        <f t="shared" si="47"/>
        <v>0</v>
      </c>
      <c r="CA39" s="260">
        <f t="shared" si="48"/>
        <v>0</v>
      </c>
      <c r="CB39" s="260">
        <f t="shared" si="49"/>
        <v>0</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5" customHeight="1">
      <c r="A40" s="60">
        <f t="array" aca="1" ref="A40" ca="1">IF(C40&lt;&gt;0,SUM(($C$11:C40&lt;&gt;0)*1),"")</f>
        <v>2</v>
      </c>
      <c r="B40" s="258">
        <v>42551</v>
      </c>
      <c r="C40" s="261" t="s">
        <v>115</v>
      </c>
      <c r="D40" s="261">
        <f t="shared" ref="D40:D50" si="98">B40</f>
        <v>42551</v>
      </c>
      <c r="E40" s="760" t="s">
        <v>590</v>
      </c>
      <c r="F40" s="761">
        <f ca="1">AY52</f>
        <v>0</v>
      </c>
      <c r="G40" s="762" t="s">
        <v>595</v>
      </c>
      <c r="H40" s="762" t="s">
        <v>9</v>
      </c>
      <c r="I40" s="60">
        <f t="shared" ca="1" si="97"/>
        <v>2</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73"/>
        <v>0</v>
      </c>
      <c r="AU40" s="260">
        <f t="shared" si="74"/>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81"/>
        <v>0</v>
      </c>
      <c r="BW40" s="260">
        <f t="shared" si="8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5" customHeight="1">
      <c r="A41" s="60">
        <f t="array" aca="1" ref="A41" ca="1">IF(C41&lt;&gt;0,SUM(($C$11:C41&lt;&gt;0)*1),"")</f>
        <v>3</v>
      </c>
      <c r="B41" s="258">
        <v>42551</v>
      </c>
      <c r="C41" s="261" t="s">
        <v>115</v>
      </c>
      <c r="D41" s="261">
        <f t="shared" si="98"/>
        <v>42551</v>
      </c>
      <c r="E41" s="760" t="s">
        <v>591</v>
      </c>
      <c r="F41" s="761">
        <f ca="1">CL52</f>
        <v>0</v>
      </c>
      <c r="G41" s="762" t="s">
        <v>109</v>
      </c>
      <c r="H41" s="762" t="s">
        <v>284</v>
      </c>
      <c r="I41" s="60">
        <f t="shared" ca="1" si="97"/>
        <v>3</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73"/>
        <v>0</v>
      </c>
      <c r="AU41" s="260">
        <f t="shared" si="74"/>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81"/>
        <v>0</v>
      </c>
      <c r="BW41" s="260">
        <f t="shared" si="8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5" customHeight="1">
      <c r="A42" s="60">
        <f t="array" aca="1" ref="A42" ca="1">IF(C42&lt;&gt;0,SUM(($C$11:C42&lt;&gt;0)*1),"")</f>
        <v>4</v>
      </c>
      <c r="B42" s="258">
        <v>42551</v>
      </c>
      <c r="C42" s="261" t="s">
        <v>115</v>
      </c>
      <c r="D42" s="261">
        <f t="shared" si="98"/>
        <v>42551</v>
      </c>
      <c r="E42" s="760" t="s">
        <v>116</v>
      </c>
      <c r="F42" s="761">
        <f ca="1">CN52</f>
        <v>0</v>
      </c>
      <c r="G42" s="762" t="s">
        <v>109</v>
      </c>
      <c r="H42" s="762" t="s">
        <v>99</v>
      </c>
      <c r="I42" s="60">
        <f t="shared" ca="1" si="97"/>
        <v>4</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73"/>
        <v>0</v>
      </c>
      <c r="AU42" s="260">
        <f t="shared" si="74"/>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81"/>
        <v>0</v>
      </c>
      <c r="BW42" s="260">
        <f t="shared" si="8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5" customHeight="1">
      <c r="A43" s="60">
        <f t="array" aca="1" ref="A43" ca="1">IF(C43&lt;&gt;0,SUM(($C$11:C43&lt;&gt;0)*1),"")</f>
        <v>5</v>
      </c>
      <c r="B43" s="258">
        <v>42551</v>
      </c>
      <c r="C43" s="261" t="s">
        <v>115</v>
      </c>
      <c r="D43" s="261">
        <f t="shared" si="98"/>
        <v>42551</v>
      </c>
      <c r="E43" s="760" t="s">
        <v>592</v>
      </c>
      <c r="F43" s="761">
        <f ca="1">CP52</f>
        <v>0</v>
      </c>
      <c r="G43" s="762" t="s">
        <v>109</v>
      </c>
      <c r="H43" s="762" t="s">
        <v>540</v>
      </c>
      <c r="I43" s="60">
        <f t="shared" ca="1" si="97"/>
        <v>5</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73"/>
        <v>0</v>
      </c>
      <c r="AU43" s="260">
        <f t="shared" si="74"/>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81"/>
        <v>0</v>
      </c>
      <c r="BW43" s="260">
        <f t="shared" si="8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5" customHeight="1">
      <c r="A44" s="60">
        <f t="array" aca="1" ref="A44" ca="1">IF(C44&lt;&gt;0,SUM(($C$11:C44&lt;&gt;0)*1),"")</f>
        <v>6</v>
      </c>
      <c r="B44" s="258">
        <v>42551</v>
      </c>
      <c r="C44" s="261" t="s">
        <v>115</v>
      </c>
      <c r="D44" s="261">
        <f t="shared" si="98"/>
        <v>42551</v>
      </c>
      <c r="E44" s="760" t="s">
        <v>117</v>
      </c>
      <c r="F44" s="761">
        <f ca="1">CR52</f>
        <v>0</v>
      </c>
      <c r="G44" s="762" t="s">
        <v>109</v>
      </c>
      <c r="H44" s="762" t="s">
        <v>101</v>
      </c>
      <c r="I44" s="60">
        <f t="shared" ca="1" si="97"/>
        <v>6</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73"/>
        <v>0</v>
      </c>
      <c r="AU44" s="260">
        <f t="shared" si="74"/>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81"/>
        <v>0</v>
      </c>
      <c r="BW44" s="260">
        <f t="shared" si="8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5" customHeight="1">
      <c r="A45" s="60">
        <f t="array" aca="1" ref="A45" ca="1">IF(C45&lt;&gt;0,SUM(($C$11:C45&lt;&gt;0)*1),"")</f>
        <v>7</v>
      </c>
      <c r="B45" s="258">
        <v>42551</v>
      </c>
      <c r="C45" s="261" t="s">
        <v>115</v>
      </c>
      <c r="D45" s="261">
        <f t="shared" si="98"/>
        <v>42551</v>
      </c>
      <c r="E45" s="760" t="s">
        <v>212</v>
      </c>
      <c r="F45" s="761"/>
      <c r="G45" s="762" t="s">
        <v>109</v>
      </c>
      <c r="H45" s="762" t="s">
        <v>94</v>
      </c>
      <c r="I45" s="60">
        <f t="shared" ca="1" si="97"/>
        <v>7</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73"/>
        <v>0</v>
      </c>
      <c r="AU45" s="260">
        <f t="shared" si="74"/>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81"/>
        <v>0</v>
      </c>
      <c r="BW45" s="260">
        <f t="shared" si="8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5" customHeight="1">
      <c r="A46" s="60">
        <f t="array" aca="1" ref="A46" ca="1">IF(C46&lt;&gt;0,SUM(($C$11:C46&lt;&gt;0)*1),"")</f>
        <v>8</v>
      </c>
      <c r="B46" s="258">
        <v>42551</v>
      </c>
      <c r="C46" s="261" t="s">
        <v>115</v>
      </c>
      <c r="D46" s="261">
        <f t="shared" si="98"/>
        <v>42551</v>
      </c>
      <c r="E46" s="760" t="s">
        <v>118</v>
      </c>
      <c r="F46" s="761">
        <f ca="1">CI52</f>
        <v>0</v>
      </c>
      <c r="G46" s="762" t="s">
        <v>43</v>
      </c>
      <c r="H46" s="762" t="s">
        <v>109</v>
      </c>
      <c r="I46" s="60">
        <f t="shared" ca="1" si="97"/>
        <v>8</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73"/>
        <v>0</v>
      </c>
      <c r="AU46" s="260">
        <f t="shared" si="74"/>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81"/>
        <v>0</v>
      </c>
      <c r="BW46" s="260">
        <f t="shared" si="8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5" customHeight="1">
      <c r="A47" s="60">
        <f t="array" aca="1" ref="A47" ca="1">IF(C47&lt;&gt;0,SUM(($C$11:C47&lt;&gt;0)*1),"")</f>
        <v>9</v>
      </c>
      <c r="B47" s="258">
        <v>42551</v>
      </c>
      <c r="C47" s="261" t="s">
        <v>115</v>
      </c>
      <c r="D47" s="261">
        <f t="shared" si="98"/>
        <v>42551</v>
      </c>
      <c r="E47" s="760" t="s">
        <v>593</v>
      </c>
      <c r="F47" s="761">
        <f ca="1">CE52</f>
        <v>0</v>
      </c>
      <c r="G47" s="762" t="s">
        <v>286</v>
      </c>
      <c r="H47" s="762" t="s">
        <v>109</v>
      </c>
      <c r="I47" s="60">
        <f t="shared" ca="1" si="97"/>
        <v>9</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73"/>
        <v>0</v>
      </c>
      <c r="AU47" s="260">
        <f t="shared" si="74"/>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81"/>
        <v>0</v>
      </c>
      <c r="BW47" s="260">
        <f t="shared" si="8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5" customHeight="1">
      <c r="A48" s="60">
        <f t="array" aca="1" ref="A48" ca="1">IF(C48&lt;&gt;0,SUM(($C$11:C48&lt;&gt;0)*1),"")</f>
        <v>10</v>
      </c>
      <c r="B48" s="258">
        <v>42551</v>
      </c>
      <c r="C48" s="261" t="s">
        <v>115</v>
      </c>
      <c r="D48" s="261">
        <f t="shared" si="98"/>
        <v>42551</v>
      </c>
      <c r="E48" s="760" t="s">
        <v>594</v>
      </c>
      <c r="F48" s="761">
        <f ca="1">CG52</f>
        <v>0</v>
      </c>
      <c r="G48" s="762" t="s">
        <v>288</v>
      </c>
      <c r="H48" s="762" t="s">
        <v>109</v>
      </c>
      <c r="I48" s="60">
        <f t="shared" ca="1" si="97"/>
        <v>10</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73"/>
        <v>0</v>
      </c>
      <c r="AU48" s="260">
        <f t="shared" si="74"/>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81"/>
        <v>0</v>
      </c>
      <c r="BW48" s="260">
        <f t="shared" si="8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5" customHeight="1">
      <c r="A49" s="60">
        <f t="array" aca="1" ref="A49" ca="1">IF(C49&lt;&gt;0,SUM(($C$11:C49&lt;&gt;0)*1),"")</f>
        <v>11</v>
      </c>
      <c r="B49" s="258">
        <v>42551</v>
      </c>
      <c r="C49" s="261" t="s">
        <v>115</v>
      </c>
      <c r="D49" s="261">
        <f t="shared" si="98"/>
        <v>42551</v>
      </c>
      <c r="E49" s="760" t="s">
        <v>119</v>
      </c>
      <c r="F49" s="761">
        <f ca="1">CU52</f>
        <v>0</v>
      </c>
      <c r="G49" s="762" t="s">
        <v>103</v>
      </c>
      <c r="H49" s="762" t="s">
        <v>109</v>
      </c>
      <c r="I49" s="60">
        <f t="shared" ca="1" si="97"/>
        <v>11</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73"/>
        <v>0</v>
      </c>
      <c r="AU49" s="260">
        <f t="shared" si="74"/>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81"/>
        <v>0</v>
      </c>
      <c r="BW49" s="260">
        <f t="shared" si="8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5" customHeight="1">
      <c r="A50" s="60">
        <f t="array" aca="1" ref="A50" ca="1">IF(C50&lt;&gt;0,SUM(($C$11:C50&lt;&gt;0)*1),"")</f>
        <v>12</v>
      </c>
      <c r="B50" s="258">
        <v>42551</v>
      </c>
      <c r="C50" s="261" t="s">
        <v>115</v>
      </c>
      <c r="D50" s="261">
        <f t="shared" si="98"/>
        <v>42551</v>
      </c>
      <c r="E50" s="760" t="s">
        <v>120</v>
      </c>
      <c r="F50" s="761">
        <f ca="1">CV52</f>
        <v>0</v>
      </c>
      <c r="G50" s="762" t="s">
        <v>109</v>
      </c>
      <c r="H50" s="762" t="s">
        <v>105</v>
      </c>
      <c r="I50" s="60">
        <f t="shared" ca="1" si="97"/>
        <v>12</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73"/>
        <v>0</v>
      </c>
      <c r="AU50" s="260">
        <f t="shared" si="74"/>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81"/>
        <v>0</v>
      </c>
      <c r="BW50" s="260">
        <f t="shared" si="8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5" customHeight="1">
      <c r="A51" s="60" t="str">
        <f t="array" ref="A51">IF(C51&lt;&gt;0,SUM(($C$11:C51&lt;&gt;0)*1),"")</f>
        <v/>
      </c>
      <c r="B51" s="226"/>
      <c r="C51" s="262"/>
      <c r="D51" s="226"/>
      <c r="E51" s="259"/>
      <c r="F51" s="62"/>
      <c r="G51" s="263"/>
      <c r="H51" s="263"/>
      <c r="I51" s="60" t="str">
        <f>A51</f>
        <v/>
      </c>
      <c r="J51" s="260">
        <f>IF($G51="1111",$F51,0)</f>
        <v>0</v>
      </c>
      <c r="K51" s="260">
        <f>IF($H51="1111",$F51,0)</f>
        <v>0</v>
      </c>
      <c r="L51" s="260">
        <f>IF($G51="1121",$F51,0)</f>
        <v>0</v>
      </c>
      <c r="M51" s="260">
        <f>IF($H51="1121",$F51,0)</f>
        <v>0</v>
      </c>
      <c r="N51" s="260">
        <f>IF($G51="1122",$F51,0)</f>
        <v>0</v>
      </c>
      <c r="O51" s="260">
        <f>IF($H51="1122",$F51,0)</f>
        <v>0</v>
      </c>
      <c r="P51" s="260">
        <f>IF($G51="131",$F51,0)</f>
        <v>0</v>
      </c>
      <c r="Q51" s="260">
        <f>IF($H51="131",$F51,0)</f>
        <v>0</v>
      </c>
      <c r="R51" s="260">
        <f>IF($G51="1331",$F51,0)</f>
        <v>0</v>
      </c>
      <c r="S51" s="260">
        <f>IF($H51="1331",$F51,0)</f>
        <v>0</v>
      </c>
      <c r="T51" s="260">
        <f>IF($G51="1388",$F51,0)</f>
        <v>0</v>
      </c>
      <c r="U51" s="260">
        <f>IF($H51="1388",$F51,0)</f>
        <v>0</v>
      </c>
      <c r="V51" s="260">
        <f>IF($G51="141",$F51,0)</f>
        <v>0</v>
      </c>
      <c r="W51" s="260">
        <f>IF($H51="141",$F51,0)</f>
        <v>0</v>
      </c>
      <c r="X51" s="260">
        <f>IF($G51="1521",$F51,0)</f>
        <v>0</v>
      </c>
      <c r="Y51" s="260">
        <f>IF($H51="1521",$F51,0)</f>
        <v>0</v>
      </c>
      <c r="Z51" s="260">
        <f>IF($G51="1522",$F51,0)</f>
        <v>0</v>
      </c>
      <c r="AA51" s="260">
        <f>IF($H51="1522",$F51,0)</f>
        <v>0</v>
      </c>
      <c r="AB51" s="260">
        <f>IF($G51="153",$F51,0)</f>
        <v>0</v>
      </c>
      <c r="AC51" s="260">
        <f>IF($H51="153",$F51,0)</f>
        <v>0</v>
      </c>
      <c r="AD51" s="260">
        <f>IF($G51="154",$F51,0)</f>
        <v>0</v>
      </c>
      <c r="AE51" s="260">
        <f>IF($H51="154",$F51,0)</f>
        <v>0</v>
      </c>
      <c r="AF51" s="260">
        <f>IF($G51="155",$F51,0)</f>
        <v>0</v>
      </c>
      <c r="AG51" s="260">
        <f>IF($H51="155",$F51,0)</f>
        <v>0</v>
      </c>
      <c r="AH51" s="260">
        <f>IF($G51="2111",$F51,0)</f>
        <v>0</v>
      </c>
      <c r="AI51" s="260">
        <f>IF($H51="2111",$F51,0)</f>
        <v>0</v>
      </c>
      <c r="AJ51" s="260">
        <f>IF($G51="2112",$F51,0)</f>
        <v>0</v>
      </c>
      <c r="AK51" s="260">
        <f>IF($H51="2112",$F51,0)</f>
        <v>0</v>
      </c>
      <c r="AL51" s="260">
        <f>IF($G51="2113",$F51,0)</f>
        <v>0</v>
      </c>
      <c r="AM51" s="260">
        <f>IF($H51="2113",$F51,0)</f>
        <v>0</v>
      </c>
      <c r="AN51" s="260">
        <f>IF($G51="2131",$F51,0)</f>
        <v>0</v>
      </c>
      <c r="AO51" s="260">
        <f>IF($H51="2131",$F51,0)</f>
        <v>0</v>
      </c>
      <c r="AP51" s="260">
        <f>IF($G51="2141",$F51,0)</f>
        <v>0</v>
      </c>
      <c r="AQ51" s="260">
        <f>IF($H51="2141",$F51,0)</f>
        <v>0</v>
      </c>
      <c r="AR51" s="260">
        <f>IF($G51="2143",$F51,0)</f>
        <v>0</v>
      </c>
      <c r="AS51" s="260">
        <f>IF($H51="2143",$F51,0)</f>
        <v>0</v>
      </c>
      <c r="AT51" s="260">
        <f>IF($G51="2412",$F51,0)</f>
        <v>0</v>
      </c>
      <c r="AU51" s="260">
        <f>IF($H51="2412",$F51,0)</f>
        <v>0</v>
      </c>
      <c r="AV51" s="260">
        <f>IF($G51="331",$F51,0)</f>
        <v>0</v>
      </c>
      <c r="AW51" s="260">
        <f>IF($H51="331",$F51,0)</f>
        <v>0</v>
      </c>
      <c r="AX51" s="260">
        <f>IF($G51="33311",$F51,0)</f>
        <v>0</v>
      </c>
      <c r="AY51" s="260">
        <f>IF($H51="33311",$F51,0)</f>
        <v>0</v>
      </c>
      <c r="AZ51" s="260">
        <f>IF($G51="33312",$F51,0)</f>
        <v>0</v>
      </c>
      <c r="BA51" s="260">
        <f>IF($H51="33312",$F51,0)</f>
        <v>0</v>
      </c>
      <c r="BB51" s="260">
        <f>IF($G51="3333",$F51,0)</f>
        <v>0</v>
      </c>
      <c r="BC51" s="260">
        <f>IF($H51="3333",$F51,0)</f>
        <v>0</v>
      </c>
      <c r="BD51" s="260">
        <f>IF($G51="3334",$F51,0)</f>
        <v>0</v>
      </c>
      <c r="BE51" s="260">
        <f>IF($H51="3334",$F51,0)</f>
        <v>0</v>
      </c>
      <c r="BF51" s="260">
        <f>IF($G51="3335",$F51,0)</f>
        <v>0</v>
      </c>
      <c r="BG51" s="260">
        <f>IF($H51="3335",$F51,0)</f>
        <v>0</v>
      </c>
      <c r="BH51" s="260">
        <f>IF($G51="33382",$F51,0)</f>
        <v>0</v>
      </c>
      <c r="BI51" s="260">
        <f>IF($H51="33382",$F51,0)</f>
        <v>0</v>
      </c>
      <c r="BJ51" s="260">
        <f>IF($G51="3341",$F51,0)</f>
        <v>0</v>
      </c>
      <c r="BK51" s="260">
        <f>IF($H51="3341",$F51,0)</f>
        <v>0</v>
      </c>
      <c r="BL51" s="260">
        <f>IF($G51="3383",$F51,0)</f>
        <v>0</v>
      </c>
      <c r="BM51" s="260">
        <f>IF($H51="3383",$F51,0)</f>
        <v>0</v>
      </c>
      <c r="BN51" s="260">
        <f>IF($G51="3384",$F51,0)</f>
        <v>0</v>
      </c>
      <c r="BO51" s="260">
        <f>IF($H51="3384",$F51,0)</f>
        <v>0</v>
      </c>
      <c r="BP51" s="260">
        <f>IF($G51="3386",$F51,0)</f>
        <v>0</v>
      </c>
      <c r="BQ51" s="260">
        <f>IF($H51="3386",$F51,0)</f>
        <v>0</v>
      </c>
      <c r="BR51" s="260">
        <f>IF($G51="3388",$F51,0)</f>
        <v>0</v>
      </c>
      <c r="BS51" s="260">
        <f>IF($H51="3388",$F51,0)</f>
        <v>0</v>
      </c>
      <c r="BT51" s="260">
        <f>IF($G51="3411",$F51,0)</f>
        <v>0</v>
      </c>
      <c r="BU51" s="260">
        <f>IF($H51="3411",$F51,0)</f>
        <v>0</v>
      </c>
      <c r="BV51" s="260">
        <f>IF($G51="3412",$F51,0)</f>
        <v>0</v>
      </c>
      <c r="BW51" s="260">
        <f>IF($H51="3412",$F51,0)</f>
        <v>0</v>
      </c>
      <c r="BX51" s="260">
        <f>IF($G51="4111",$F51,0)</f>
        <v>0</v>
      </c>
      <c r="BY51" s="260">
        <f>IF($H51="4111",$F51,0)</f>
        <v>0</v>
      </c>
      <c r="BZ51" s="260">
        <f>IF($G51="4211",$F51,0)</f>
        <v>0</v>
      </c>
      <c r="CA51" s="260">
        <f>IF($H51="4211",$F51,0)</f>
        <v>0</v>
      </c>
      <c r="CB51" s="260">
        <f>IF($G51="4212",$F51,0)</f>
        <v>0</v>
      </c>
      <c r="CC51" s="260">
        <f>IF($H51="4212",$F51,0)</f>
        <v>0</v>
      </c>
      <c r="CD51" s="260">
        <f>IF($G51="5112N",$F51,0)</f>
        <v>0</v>
      </c>
      <c r="CE51" s="260">
        <f>IF($H51="5112N",$F51,0)</f>
        <v>0</v>
      </c>
      <c r="CF51" s="260">
        <f>IF($G51="5112X",$F51,0)</f>
        <v>0</v>
      </c>
      <c r="CG51" s="260">
        <f>IF($H51="5112X",$F51,0)</f>
        <v>0</v>
      </c>
      <c r="CH51" s="260">
        <f>IF($G51="515",$F51,0)</f>
        <v>0</v>
      </c>
      <c r="CI51" s="260">
        <f>IF($H51="515",$F51,0)</f>
        <v>0</v>
      </c>
      <c r="CJ51" s="260">
        <f>IF($G51="5213",$F51,0)</f>
        <v>0</v>
      </c>
      <c r="CK51" s="260">
        <f>IF($H51="5213",$F51,0)</f>
        <v>0</v>
      </c>
      <c r="CL51" s="260">
        <f>IF($G51="632",$F51,0)</f>
        <v>0</v>
      </c>
      <c r="CM51" s="260">
        <f>IF($H51="632",$F51,0)</f>
        <v>0</v>
      </c>
      <c r="CN51" s="260">
        <f>IF($G51="635",$F51,0)</f>
        <v>0</v>
      </c>
      <c r="CO51" s="260">
        <f>IF($H51="635",$F51,0)</f>
        <v>0</v>
      </c>
      <c r="CP51" s="260">
        <f>IF($G51="641",$F51,0)</f>
        <v>0</v>
      </c>
      <c r="CQ51" s="260">
        <f>IF($H51="641",$F51,0)</f>
        <v>0</v>
      </c>
      <c r="CR51" s="260">
        <f>IF($G51="642",$F51,0)</f>
        <v>0</v>
      </c>
      <c r="CS51" s="260">
        <f>IF($H51="642",$F51,0)</f>
        <v>0</v>
      </c>
      <c r="CT51" s="260">
        <f>IF($G51="711",$F51,0)</f>
        <v>0</v>
      </c>
      <c r="CU51" s="260">
        <f>IF($H51="711",$F51,0)</f>
        <v>0</v>
      </c>
      <c r="CV51" s="260">
        <f>IF($G51="811",$F51,0)</f>
        <v>0</v>
      </c>
      <c r="CW51" s="260">
        <f>IF($H51="811",$F51,0)</f>
        <v>0</v>
      </c>
      <c r="CX51" s="260">
        <f>IF($G51="821",$F51,0)</f>
        <v>0</v>
      </c>
      <c r="CY51" s="260">
        <f>IF($H51="821",$F51,0)</f>
        <v>0</v>
      </c>
      <c r="CZ51" s="260">
        <f>IF($G51="911",$F51,0)</f>
        <v>0</v>
      </c>
      <c r="DA51" s="260">
        <f>IF($H51="911",$F51,0)</f>
        <v>0</v>
      </c>
    </row>
    <row r="52" spans="1:105" s="257" customFormat="1" ht="15" customHeight="1">
      <c r="A52" s="264"/>
      <c r="B52" s="264"/>
      <c r="C52" s="264"/>
      <c r="D52" s="264"/>
      <c r="E52" s="259" t="s">
        <v>174</v>
      </c>
      <c r="F52" s="264"/>
      <c r="G52" s="263"/>
      <c r="H52" s="263"/>
      <c r="I52" s="264"/>
      <c r="J52" s="264">
        <f t="shared" ref="J52:AO52" ca="1" si="99">SUM(J11:J51)</f>
        <v>0</v>
      </c>
      <c r="K52" s="264">
        <f t="shared" ca="1" si="99"/>
        <v>0</v>
      </c>
      <c r="L52" s="264">
        <f t="shared" ca="1" si="99"/>
        <v>0</v>
      </c>
      <c r="M52" s="264">
        <f t="shared" ca="1" si="99"/>
        <v>0</v>
      </c>
      <c r="N52" s="264">
        <f t="shared" ca="1" si="99"/>
        <v>0</v>
      </c>
      <c r="O52" s="264">
        <f t="shared" ca="1" si="99"/>
        <v>0</v>
      </c>
      <c r="P52" s="264">
        <f t="shared" ca="1" si="99"/>
        <v>0</v>
      </c>
      <c r="Q52" s="264">
        <f t="shared" ca="1" si="99"/>
        <v>0</v>
      </c>
      <c r="R52" s="264">
        <f t="shared" ca="1" si="99"/>
        <v>0</v>
      </c>
      <c r="S52" s="264">
        <f t="shared" ca="1" si="99"/>
        <v>0</v>
      </c>
      <c r="T52" s="264">
        <f t="shared" ca="1" si="99"/>
        <v>0</v>
      </c>
      <c r="U52" s="264">
        <f t="shared" ca="1" si="99"/>
        <v>0</v>
      </c>
      <c r="V52" s="264">
        <f t="shared" ca="1" si="99"/>
        <v>0</v>
      </c>
      <c r="W52" s="264">
        <f t="shared" ca="1" si="99"/>
        <v>0</v>
      </c>
      <c r="X52" s="264">
        <f t="shared" ca="1" si="99"/>
        <v>0</v>
      </c>
      <c r="Y52" s="264">
        <f t="shared" ca="1" si="99"/>
        <v>0</v>
      </c>
      <c r="Z52" s="264">
        <f t="shared" ca="1" si="99"/>
        <v>0</v>
      </c>
      <c r="AA52" s="264">
        <f t="shared" ca="1" si="99"/>
        <v>0</v>
      </c>
      <c r="AB52" s="264">
        <f t="shared" ca="1" si="99"/>
        <v>0</v>
      </c>
      <c r="AC52" s="264">
        <f t="shared" ca="1" si="99"/>
        <v>0</v>
      </c>
      <c r="AD52" s="264">
        <f t="shared" ca="1" si="99"/>
        <v>0</v>
      </c>
      <c r="AE52" s="264">
        <f t="shared" ca="1" si="99"/>
        <v>0</v>
      </c>
      <c r="AF52" s="264">
        <f t="shared" ca="1" si="99"/>
        <v>0</v>
      </c>
      <c r="AG52" s="264">
        <f t="shared" ca="1" si="99"/>
        <v>0</v>
      </c>
      <c r="AH52" s="264">
        <f t="shared" ca="1" si="99"/>
        <v>0</v>
      </c>
      <c r="AI52" s="264">
        <f t="shared" ca="1" si="99"/>
        <v>0</v>
      </c>
      <c r="AJ52" s="264">
        <f t="shared" ca="1" si="99"/>
        <v>0</v>
      </c>
      <c r="AK52" s="264">
        <f t="shared" ca="1" si="99"/>
        <v>0</v>
      </c>
      <c r="AL52" s="264">
        <f t="shared" ca="1" si="99"/>
        <v>0</v>
      </c>
      <c r="AM52" s="264">
        <f t="shared" ca="1" si="99"/>
        <v>0</v>
      </c>
      <c r="AN52" s="264">
        <f t="shared" ca="1" si="99"/>
        <v>0</v>
      </c>
      <c r="AO52" s="264">
        <f t="shared" ca="1" si="99"/>
        <v>0</v>
      </c>
      <c r="AP52" s="264">
        <f t="shared" ref="AP52:BU52" ca="1" si="100">SUM(AP11:AP51)</f>
        <v>0</v>
      </c>
      <c r="AQ52" s="264">
        <f t="shared" ca="1" si="100"/>
        <v>0</v>
      </c>
      <c r="AR52" s="264">
        <f t="shared" ca="1" si="100"/>
        <v>0</v>
      </c>
      <c r="AS52" s="264">
        <f t="shared" ca="1" si="100"/>
        <v>0</v>
      </c>
      <c r="AT52" s="264">
        <f t="shared" ca="1" si="100"/>
        <v>0</v>
      </c>
      <c r="AU52" s="264">
        <f t="shared" ca="1" si="100"/>
        <v>0</v>
      </c>
      <c r="AV52" s="264">
        <f t="shared" ca="1" si="100"/>
        <v>0</v>
      </c>
      <c r="AW52" s="264">
        <f t="shared" ca="1" si="100"/>
        <v>0</v>
      </c>
      <c r="AX52" s="264">
        <f t="shared" ca="1" si="100"/>
        <v>0</v>
      </c>
      <c r="AY52" s="264">
        <f t="shared" ca="1" si="100"/>
        <v>0</v>
      </c>
      <c r="AZ52" s="264">
        <f t="shared" ca="1" si="100"/>
        <v>0</v>
      </c>
      <c r="BA52" s="264">
        <f t="shared" ca="1" si="100"/>
        <v>0</v>
      </c>
      <c r="BB52" s="264">
        <f t="shared" ca="1" si="100"/>
        <v>0</v>
      </c>
      <c r="BC52" s="264">
        <f t="shared" ca="1" si="100"/>
        <v>0</v>
      </c>
      <c r="BD52" s="264">
        <f t="shared" ca="1" si="100"/>
        <v>0</v>
      </c>
      <c r="BE52" s="264">
        <f t="shared" ca="1" si="100"/>
        <v>0</v>
      </c>
      <c r="BF52" s="264">
        <f t="shared" ca="1" si="100"/>
        <v>0</v>
      </c>
      <c r="BG52" s="264">
        <f t="shared" ca="1" si="100"/>
        <v>0</v>
      </c>
      <c r="BH52" s="264">
        <f t="shared" ca="1" si="100"/>
        <v>0</v>
      </c>
      <c r="BI52" s="264">
        <f t="shared" ca="1" si="100"/>
        <v>0</v>
      </c>
      <c r="BJ52" s="264">
        <f t="shared" ca="1" si="100"/>
        <v>0</v>
      </c>
      <c r="BK52" s="264">
        <f t="shared" ca="1" si="100"/>
        <v>0</v>
      </c>
      <c r="BL52" s="264">
        <f t="shared" ca="1" si="100"/>
        <v>0</v>
      </c>
      <c r="BM52" s="264">
        <f t="shared" ca="1" si="100"/>
        <v>0</v>
      </c>
      <c r="BN52" s="264">
        <f t="shared" ca="1" si="100"/>
        <v>0</v>
      </c>
      <c r="BO52" s="264">
        <f t="shared" ca="1" si="100"/>
        <v>0</v>
      </c>
      <c r="BP52" s="264">
        <f t="shared" ca="1" si="100"/>
        <v>0</v>
      </c>
      <c r="BQ52" s="264">
        <f t="shared" ca="1" si="100"/>
        <v>0</v>
      </c>
      <c r="BR52" s="264">
        <f t="shared" ca="1" si="100"/>
        <v>0</v>
      </c>
      <c r="BS52" s="264">
        <f t="shared" ca="1" si="100"/>
        <v>0</v>
      </c>
      <c r="BT52" s="264">
        <f t="shared" ca="1" si="100"/>
        <v>0</v>
      </c>
      <c r="BU52" s="264">
        <f t="shared" ca="1" si="100"/>
        <v>0</v>
      </c>
      <c r="BV52" s="264">
        <f t="shared" ref="BV52:DA52" ca="1" si="101">SUM(BV11:BV51)</f>
        <v>0</v>
      </c>
      <c r="BW52" s="264">
        <f t="shared" ca="1" si="101"/>
        <v>0</v>
      </c>
      <c r="BX52" s="264">
        <f t="shared" ca="1" si="101"/>
        <v>0</v>
      </c>
      <c r="BY52" s="264">
        <f t="shared" ca="1" si="101"/>
        <v>0</v>
      </c>
      <c r="BZ52" s="264">
        <f t="shared" ca="1" si="101"/>
        <v>0</v>
      </c>
      <c r="CA52" s="264">
        <f t="shared" ca="1" si="101"/>
        <v>0</v>
      </c>
      <c r="CB52" s="264">
        <f t="shared" ca="1" si="101"/>
        <v>0</v>
      </c>
      <c r="CC52" s="264">
        <f t="shared" ca="1" si="101"/>
        <v>0</v>
      </c>
      <c r="CD52" s="264">
        <f t="shared" ca="1" si="101"/>
        <v>0</v>
      </c>
      <c r="CE52" s="264">
        <f t="shared" ca="1" si="101"/>
        <v>0</v>
      </c>
      <c r="CF52" s="264">
        <f t="shared" ca="1" si="101"/>
        <v>0</v>
      </c>
      <c r="CG52" s="264">
        <f t="shared" ca="1" si="101"/>
        <v>0</v>
      </c>
      <c r="CH52" s="264">
        <f t="shared" ca="1" si="101"/>
        <v>0</v>
      </c>
      <c r="CI52" s="264">
        <f t="shared" ca="1" si="101"/>
        <v>0</v>
      </c>
      <c r="CJ52" s="264">
        <f t="shared" ca="1" si="101"/>
        <v>0</v>
      </c>
      <c r="CK52" s="264">
        <f t="shared" ca="1" si="101"/>
        <v>0</v>
      </c>
      <c r="CL52" s="264">
        <f t="shared" ca="1" si="101"/>
        <v>0</v>
      </c>
      <c r="CM52" s="264">
        <f t="shared" ca="1" si="101"/>
        <v>0</v>
      </c>
      <c r="CN52" s="264">
        <f t="shared" ca="1" si="101"/>
        <v>0</v>
      </c>
      <c r="CO52" s="264">
        <f t="shared" ca="1" si="101"/>
        <v>0</v>
      </c>
      <c r="CP52" s="264">
        <f t="shared" ca="1" si="101"/>
        <v>0</v>
      </c>
      <c r="CQ52" s="264">
        <f t="shared" ca="1" si="101"/>
        <v>0</v>
      </c>
      <c r="CR52" s="264">
        <f t="shared" ca="1" si="101"/>
        <v>0</v>
      </c>
      <c r="CS52" s="264">
        <f t="shared" ca="1" si="101"/>
        <v>0</v>
      </c>
      <c r="CT52" s="264">
        <f t="shared" ca="1" si="101"/>
        <v>0</v>
      </c>
      <c r="CU52" s="264">
        <f t="shared" ca="1" si="101"/>
        <v>0</v>
      </c>
      <c r="CV52" s="264">
        <f t="shared" ca="1" si="101"/>
        <v>0</v>
      </c>
      <c r="CW52" s="264">
        <f t="shared" ca="1" si="101"/>
        <v>0</v>
      </c>
      <c r="CX52" s="264">
        <f t="shared" ca="1" si="101"/>
        <v>0</v>
      </c>
      <c r="CY52" s="264">
        <f t="shared" ca="1" si="101"/>
        <v>0</v>
      </c>
      <c r="CZ52" s="264">
        <f t="shared" ca="1" si="101"/>
        <v>0</v>
      </c>
      <c r="DA52" s="264">
        <f t="shared" ca="1" si="101"/>
        <v>0</v>
      </c>
    </row>
    <row r="53" spans="1:105" s="257" customFormat="1" ht="15" customHeight="1">
      <c r="A53" s="265"/>
      <c r="B53" s="265"/>
      <c r="C53" s="265"/>
      <c r="D53" s="265"/>
      <c r="E53" s="266" t="s">
        <v>213</v>
      </c>
      <c r="F53" s="265"/>
      <c r="G53" s="267"/>
      <c r="H53" s="267"/>
      <c r="I53" s="265"/>
      <c r="J53" s="287">
        <f ca="1">MAX(J10+J52-K10-K52,0)</f>
        <v>0</v>
      </c>
      <c r="K53" s="287">
        <f ca="1">MAX(K10+K52-J10-J52,0)</f>
        <v>0</v>
      </c>
      <c r="L53" s="287">
        <f ca="1">MAX(L10+L52-M10-M52,0)</f>
        <v>0</v>
      </c>
      <c r="M53" s="287">
        <f ca="1">MAX(M10+M52-L10-L52,0)</f>
        <v>0</v>
      </c>
      <c r="N53" s="287">
        <f ca="1">MAX(N10+N52-O10-O52,0)</f>
        <v>0</v>
      </c>
      <c r="O53" s="287">
        <f ca="1">MAX(O10+O52-N10-N52,0)</f>
        <v>0</v>
      </c>
      <c r="P53" s="287">
        <f ca="1">MAX(P10+P52-Q10-Q52,0)</f>
        <v>0</v>
      </c>
      <c r="Q53" s="287">
        <f ca="1">MAX(Q10+Q52-P10-P52,0)</f>
        <v>0</v>
      </c>
      <c r="R53" s="287">
        <f ca="1">MAX(R10+R52-S10-S52,0)</f>
        <v>0</v>
      </c>
      <c r="S53" s="287">
        <f ca="1">MAX(S10+S52-R10-R52,0)</f>
        <v>0</v>
      </c>
      <c r="T53" s="287">
        <f ca="1">MAX(T10+T52-U10-U52,0)</f>
        <v>0</v>
      </c>
      <c r="U53" s="287">
        <f ca="1">MAX(U10+U52-T10-T52,0)</f>
        <v>0</v>
      </c>
      <c r="V53" s="287">
        <f ca="1">MAX(V10+V52-W10-W52,0)</f>
        <v>0</v>
      </c>
      <c r="W53" s="287">
        <f ca="1">MAX(W10+W52-V10-V52,0)</f>
        <v>0</v>
      </c>
      <c r="X53" s="287">
        <f ca="1">MAX(X10+X52-Y10-Y52,0)</f>
        <v>0</v>
      </c>
      <c r="Y53" s="287">
        <f ca="1">MAX(Y10+Y52-X10-X52,0)</f>
        <v>0</v>
      </c>
      <c r="Z53" s="287">
        <f ca="1">MAX(Z10+Z52-AA10-AA52,0)</f>
        <v>0</v>
      </c>
      <c r="AA53" s="287">
        <f ca="1">MAX(AA10+AA52-Z10-Z52,0)</f>
        <v>0</v>
      </c>
      <c r="AB53" s="287">
        <f ca="1">MAX(AB10+AB52-AC10-AC52,0)</f>
        <v>0</v>
      </c>
      <c r="AC53" s="287">
        <f ca="1">MAX(AC10+AC52-AB10-AB52,0)</f>
        <v>0</v>
      </c>
      <c r="AD53" s="287">
        <f ca="1">MAX(AD10+AD52-AE10-AE52,0)</f>
        <v>0</v>
      </c>
      <c r="AE53" s="287">
        <f ca="1">MAX(AE10+AE52-AD10-AD52,0)</f>
        <v>0</v>
      </c>
      <c r="AF53" s="287">
        <f ca="1">MAX(AF10+AF52-AG10-AG52,0)</f>
        <v>0</v>
      </c>
      <c r="AG53" s="287">
        <f ca="1">MAX(AG10+AG52-AF10-AF52,0)</f>
        <v>0</v>
      </c>
      <c r="AH53" s="287">
        <f ca="1">MAX(AH10+AH52-AI10-AI52,0)</f>
        <v>0</v>
      </c>
      <c r="AI53" s="287">
        <f ca="1">MAX(AI10+AI52-AH10-AH52,0)</f>
        <v>0</v>
      </c>
      <c r="AJ53" s="287">
        <f ca="1">MAX(AJ10+AJ52-AK10-AK52,0)</f>
        <v>0</v>
      </c>
      <c r="AK53" s="287">
        <f ca="1">MAX(AK10+AK52-AJ10-AJ52,0)</f>
        <v>0</v>
      </c>
      <c r="AL53" s="287">
        <f ca="1">MAX(AL10+AL52-AM10-AM52,0)</f>
        <v>0</v>
      </c>
      <c r="AM53" s="287">
        <f ca="1">MAX(AM10+AM52-AL10-AL52,0)</f>
        <v>0</v>
      </c>
      <c r="AN53" s="287">
        <f ca="1">MAX(AN10+AN52-AO10-AO52,0)</f>
        <v>0</v>
      </c>
      <c r="AO53" s="287">
        <f ca="1">MAX(AO10+AO52-AN10-AN52,0)</f>
        <v>0</v>
      </c>
      <c r="AP53" s="287">
        <f ca="1">MAX(AP10+AP52-AQ10-AQ52,0)</f>
        <v>0</v>
      </c>
      <c r="AQ53" s="287">
        <f ca="1">MAX(AQ10+AQ52-AP10-AP52,0)</f>
        <v>0</v>
      </c>
      <c r="AR53" s="287">
        <f ca="1">MAX(AR10+AR52-AS10-AS52,0)</f>
        <v>0</v>
      </c>
      <c r="AS53" s="287">
        <f ca="1">MAX(AS10+AS52-AR10-AR52,0)</f>
        <v>0</v>
      </c>
      <c r="AT53" s="287">
        <f ca="1">MAX(AT10+AT52-AU10-AU52,0)</f>
        <v>0</v>
      </c>
      <c r="AU53" s="287">
        <f ca="1">MAX(AU10+AU52-AT10-AT52,0)</f>
        <v>0</v>
      </c>
      <c r="AV53" s="287">
        <f ca="1">MAX(AV10+AV52-AW10-AW52,0)</f>
        <v>0</v>
      </c>
      <c r="AW53" s="287">
        <f ca="1">MAX(AW10+AW52-AV10-AV52,0)</f>
        <v>0</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0</v>
      </c>
      <c r="BF53" s="287">
        <f ca="1">MAX(BF10+BF52-BG10-BG52,0)</f>
        <v>0</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0</v>
      </c>
      <c r="BN53" s="287">
        <f ca="1">MAX(BN10+BN52-BO10-BO52,0)</f>
        <v>0</v>
      </c>
      <c r="BO53" s="287">
        <f ca="1">MAX(BO10+BO52-BN10-BN52,0)</f>
        <v>0</v>
      </c>
      <c r="BP53" s="287">
        <f ca="1">MAX(BP10+BP52-BQ10-BQ52,0)</f>
        <v>0</v>
      </c>
      <c r="BQ53" s="287">
        <f ca="1">MAX(BQ10+BQ52-BP10-BP52,0)</f>
        <v>0</v>
      </c>
      <c r="BR53" s="287">
        <f ca="1">MAX(BR10+BR52-BS10-BS52,0)</f>
        <v>0</v>
      </c>
      <c r="BS53" s="287">
        <f ca="1">MAX(BS10+BS52-BR10-BR52,0)</f>
        <v>0</v>
      </c>
      <c r="BT53" s="287">
        <f ca="1">MAX(BT10+BT52-BU10-BU52,0)</f>
        <v>0</v>
      </c>
      <c r="BU53" s="287">
        <f ca="1">MAX(BU10+BU52-BT10-BT52,0)</f>
        <v>0</v>
      </c>
      <c r="BV53" s="287">
        <f ca="1">MAX(BV10+BV52-BW10-BW52,0)</f>
        <v>0</v>
      </c>
      <c r="BW53" s="287">
        <f ca="1">MAX(BW10+BW52-BV10-BV52,0)</f>
        <v>0</v>
      </c>
      <c r="BX53" s="287">
        <f ca="1">MAX(BX10+BX52-BY10-BY52,0)</f>
        <v>0</v>
      </c>
      <c r="BY53" s="287">
        <f ca="1">MAX(BY10+BY52-BX10-BX52,0)</f>
        <v>0</v>
      </c>
      <c r="BZ53" s="287">
        <f ca="1">MAX(BZ10+BZ52-CA10-CA52,0)</f>
        <v>0</v>
      </c>
      <c r="CA53" s="287">
        <f ca="1">MAX(CA10+CA52-BZ10-BZ52,0)</f>
        <v>107861885.00000048</v>
      </c>
      <c r="CB53" s="287">
        <f ca="1">MAX(CB10+CB52-CC10-CC52,0)</f>
        <v>107861885.00000048</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57" customFormat="1" ht="15" customHeight="1">
      <c r="A54" s="269"/>
      <c r="B54" s="269"/>
      <c r="C54" s="270"/>
      <c r="D54" s="269"/>
      <c r="E54" s="271" t="s">
        <v>214</v>
      </c>
      <c r="F54" s="269"/>
      <c r="G54" s="272"/>
      <c r="H54" s="272"/>
      <c r="I54" s="269"/>
      <c r="J54" s="269">
        <f ca="1">J52+'SC-I'!J54</f>
        <v>0</v>
      </c>
      <c r="K54" s="269">
        <f ca="1">K52+'SC-I'!K54</f>
        <v>0</v>
      </c>
      <c r="L54" s="269">
        <f ca="1">L52+'SC-I'!L54</f>
        <v>0</v>
      </c>
      <c r="M54" s="269">
        <f ca="1">M52+'SC-I'!M54</f>
        <v>0</v>
      </c>
      <c r="N54" s="269">
        <f ca="1">N52+'SC-I'!N54</f>
        <v>0</v>
      </c>
      <c r="O54" s="269">
        <f ca="1">O52+'SC-I'!O54</f>
        <v>0</v>
      </c>
      <c r="P54" s="269">
        <f ca="1">P52+'SC-I'!P54</f>
        <v>0</v>
      </c>
      <c r="Q54" s="269">
        <f ca="1">Q52+'SC-I'!Q54</f>
        <v>0</v>
      </c>
      <c r="R54" s="269">
        <f ca="1">R52+'SC-I'!R54</f>
        <v>0</v>
      </c>
      <c r="S54" s="269">
        <f ca="1">S52+'SC-I'!S54</f>
        <v>0</v>
      </c>
      <c r="T54" s="269">
        <f ca="1">T52+'SC-I'!T54</f>
        <v>0</v>
      </c>
      <c r="U54" s="269">
        <f ca="1">U52+'SC-I'!U54</f>
        <v>0</v>
      </c>
      <c r="V54" s="269">
        <f ca="1">V52+'SC-I'!V54</f>
        <v>0</v>
      </c>
      <c r="W54" s="269">
        <f ca="1">W52+'SC-I'!W54</f>
        <v>0</v>
      </c>
      <c r="X54" s="269">
        <f ca="1">X52+'SC-I'!X54</f>
        <v>0</v>
      </c>
      <c r="Y54" s="269">
        <f ca="1">Y52+'SC-I'!Y54</f>
        <v>0</v>
      </c>
      <c r="Z54" s="269">
        <f ca="1">Z52+'SC-I'!Z54</f>
        <v>0</v>
      </c>
      <c r="AA54" s="269">
        <f ca="1">AA52+'SC-I'!AA54</f>
        <v>0</v>
      </c>
      <c r="AB54" s="269">
        <f ca="1">AB52+'SC-I'!AB54</f>
        <v>0</v>
      </c>
      <c r="AC54" s="269">
        <f ca="1">AC52+'SC-I'!AC54</f>
        <v>0</v>
      </c>
      <c r="AD54" s="269">
        <f ca="1">AD52+'SC-I'!AD54</f>
        <v>0</v>
      </c>
      <c r="AE54" s="269">
        <f ca="1">AE52+'SC-I'!AE54</f>
        <v>0</v>
      </c>
      <c r="AF54" s="269">
        <f ca="1">AF52+'SC-I'!AF54</f>
        <v>0</v>
      </c>
      <c r="AG54" s="269">
        <f ca="1">AG52+'SC-I'!AG54</f>
        <v>0</v>
      </c>
      <c r="AH54" s="269">
        <f ca="1">AH52+'SC-I'!AH54</f>
        <v>0</v>
      </c>
      <c r="AI54" s="269">
        <f ca="1">AI52+'SC-I'!AI54</f>
        <v>0</v>
      </c>
      <c r="AJ54" s="269">
        <f ca="1">AJ52+'SC-I'!AJ54</f>
        <v>0</v>
      </c>
      <c r="AK54" s="269">
        <f ca="1">AK52+'SC-I'!AK54</f>
        <v>0</v>
      </c>
      <c r="AL54" s="269">
        <f ca="1">AL52+'SC-I'!AL54</f>
        <v>0</v>
      </c>
      <c r="AM54" s="269">
        <f ca="1">AM52+'SC-I'!AM54</f>
        <v>0</v>
      </c>
      <c r="AN54" s="269">
        <f ca="1">AN52+'SC-I'!AN54</f>
        <v>0</v>
      </c>
      <c r="AO54" s="269">
        <f ca="1">AO52+'SC-I'!AO54</f>
        <v>0</v>
      </c>
      <c r="AP54" s="269">
        <f ca="1">AP52+'SC-I'!AP54</f>
        <v>0</v>
      </c>
      <c r="AQ54" s="269">
        <f ca="1">AQ52+'SC-I'!AQ54</f>
        <v>0</v>
      </c>
      <c r="AR54" s="269">
        <f ca="1">AR52+'SC-I'!AR54</f>
        <v>0</v>
      </c>
      <c r="AS54" s="269">
        <f ca="1">AS52+'SC-I'!AS54</f>
        <v>0</v>
      </c>
      <c r="AT54" s="269">
        <f ca="1">AT52+'SC-I'!AT54</f>
        <v>0</v>
      </c>
      <c r="AU54" s="269">
        <f ca="1">AU52+'SC-I'!AU54</f>
        <v>0</v>
      </c>
      <c r="AV54" s="269">
        <f ca="1">AV52+'SC-I'!AV54</f>
        <v>0</v>
      </c>
      <c r="AW54" s="269">
        <f ca="1">AW52+'SC-I'!AW54</f>
        <v>0</v>
      </c>
      <c r="AX54" s="269">
        <f ca="1">AX52+'SC-I'!AX54</f>
        <v>0</v>
      </c>
      <c r="AY54" s="269">
        <f ca="1">AY52+'SC-I'!AY54</f>
        <v>0</v>
      </c>
      <c r="AZ54" s="269">
        <f ca="1">AZ52+'SC-I'!AZ54</f>
        <v>0</v>
      </c>
      <c r="BA54" s="269">
        <f ca="1">BA52+'SC-I'!BA54</f>
        <v>0</v>
      </c>
      <c r="BB54" s="269">
        <f ca="1">BB52+'SC-I'!BB54</f>
        <v>0</v>
      </c>
      <c r="BC54" s="269">
        <f ca="1">BC52+'SC-I'!BC54</f>
        <v>0</v>
      </c>
      <c r="BD54" s="269">
        <f ca="1">BD52+'SC-I'!BD54</f>
        <v>0</v>
      </c>
      <c r="BE54" s="269">
        <f ca="1">BE52+'SC-I'!BE54</f>
        <v>0</v>
      </c>
      <c r="BF54" s="269">
        <f ca="1">BF52+'SC-I'!BF54</f>
        <v>0</v>
      </c>
      <c r="BG54" s="269">
        <f ca="1">BG52+'SC-I'!BG54</f>
        <v>0</v>
      </c>
      <c r="BH54" s="269">
        <f ca="1">BH52+'SC-I'!BH54</f>
        <v>0</v>
      </c>
      <c r="BI54" s="269">
        <f ca="1">BI52+'SC-I'!BI54</f>
        <v>0</v>
      </c>
      <c r="BJ54" s="269">
        <f ca="1">BJ52+'SC-I'!BJ54</f>
        <v>0</v>
      </c>
      <c r="BK54" s="269">
        <f ca="1">BK52+'SC-I'!BK54</f>
        <v>0</v>
      </c>
      <c r="BL54" s="269">
        <f ca="1">BL52+'SC-I'!BL54</f>
        <v>0</v>
      </c>
      <c r="BM54" s="269">
        <f ca="1">BM52+'SC-I'!BM54</f>
        <v>0</v>
      </c>
      <c r="BN54" s="269">
        <f ca="1">BN52+'SC-I'!BN54</f>
        <v>0</v>
      </c>
      <c r="BO54" s="269">
        <f ca="1">BO52+'SC-I'!BO54</f>
        <v>0</v>
      </c>
      <c r="BP54" s="269">
        <f ca="1">BP52+'SC-I'!BP54</f>
        <v>0</v>
      </c>
      <c r="BQ54" s="269">
        <f ca="1">BQ52+'SC-I'!BQ54</f>
        <v>0</v>
      </c>
      <c r="BR54" s="269">
        <f ca="1">BR52+'SC-I'!BR54</f>
        <v>0</v>
      </c>
      <c r="BS54" s="269">
        <f ca="1">BS52+'SC-I'!BS54</f>
        <v>0</v>
      </c>
      <c r="BT54" s="269">
        <f ca="1">BT52+'SC-I'!BT54</f>
        <v>0</v>
      </c>
      <c r="BU54" s="269">
        <f ca="1">BU52+'SC-I'!BU54</f>
        <v>0</v>
      </c>
      <c r="BV54" s="269">
        <f ca="1">BV52+'SC-I'!BV54</f>
        <v>0</v>
      </c>
      <c r="BW54" s="269">
        <f ca="1">BW52+'SC-I'!BW54</f>
        <v>0</v>
      </c>
      <c r="BX54" s="269">
        <f ca="1">BX52+'SC-I'!BX54</f>
        <v>0</v>
      </c>
      <c r="BY54" s="269">
        <f ca="1">BY52+'SC-I'!BY54</f>
        <v>0</v>
      </c>
      <c r="BZ54" s="269">
        <f ca="1">BZ52+'SC-I'!BZ54</f>
        <v>0</v>
      </c>
      <c r="CA54" s="269">
        <f ca="1">CA52+'SC-I'!CA54</f>
        <v>107861885.00000048</v>
      </c>
      <c r="CB54" s="269">
        <f ca="1">CB52+'SC-I'!CB54</f>
        <v>107861885.00000048</v>
      </c>
      <c r="CC54" s="269">
        <f ca="1">CC52+'SC-I'!CC54</f>
        <v>0</v>
      </c>
      <c r="CD54" s="269">
        <f ca="1">CD52+'SC-I'!CD54</f>
        <v>0</v>
      </c>
      <c r="CE54" s="269">
        <f ca="1">CE52+'SC-I'!CE54</f>
        <v>0</v>
      </c>
      <c r="CF54" s="269">
        <f ca="1">CF52+'SC-I'!CF54</f>
        <v>0</v>
      </c>
      <c r="CG54" s="269">
        <f ca="1">CG52+'SC-I'!CG54</f>
        <v>0</v>
      </c>
      <c r="CH54" s="269">
        <f ca="1">CH52+'SC-I'!CH54</f>
        <v>0</v>
      </c>
      <c r="CI54" s="269">
        <f ca="1">CI52+'SC-I'!CI54</f>
        <v>0</v>
      </c>
      <c r="CJ54" s="269">
        <f ca="1">CJ52+'SC-I'!CJ54</f>
        <v>0</v>
      </c>
      <c r="CK54" s="269">
        <f ca="1">CK52+'SC-I'!CK54</f>
        <v>0</v>
      </c>
      <c r="CL54" s="269">
        <f ca="1">CL52+'SC-I'!CL54</f>
        <v>0</v>
      </c>
      <c r="CM54" s="269">
        <f ca="1">CM52+'SC-I'!CM54</f>
        <v>0</v>
      </c>
      <c r="CN54" s="269">
        <f ca="1">CN52+'SC-I'!CN54</f>
        <v>0</v>
      </c>
      <c r="CO54" s="269">
        <f ca="1">CO52+'SC-I'!CO54</f>
        <v>0</v>
      </c>
      <c r="CP54" s="269">
        <f ca="1">CP52+'SC-I'!CP54</f>
        <v>0</v>
      </c>
      <c r="CQ54" s="269">
        <f ca="1">CQ52+'SC-I'!CQ54</f>
        <v>0</v>
      </c>
      <c r="CR54" s="269">
        <f ca="1">CR52+'SC-I'!CR54</f>
        <v>0</v>
      </c>
      <c r="CS54" s="269">
        <f ca="1">CS52+'SC-I'!CS54</f>
        <v>0</v>
      </c>
      <c r="CT54" s="269">
        <f ca="1">CT52+'SC-I'!CT54</f>
        <v>0</v>
      </c>
      <c r="CU54" s="269">
        <f ca="1">CU52+'SC-I'!CU54</f>
        <v>0</v>
      </c>
      <c r="CV54" s="269">
        <f ca="1">CV52+'SC-I'!CV54</f>
        <v>0</v>
      </c>
      <c r="CW54" s="269">
        <f ca="1">CW52+'SC-I'!CW54</f>
        <v>0</v>
      </c>
      <c r="CX54" s="269">
        <f ca="1">CX52+'SC-I'!CX54</f>
        <v>0</v>
      </c>
      <c r="CY54" s="269">
        <f ca="1">CY52+'SC-I'!CY54</f>
        <v>0</v>
      </c>
      <c r="CZ54" s="269">
        <f ca="1">CZ52+'SC-I'!CZ54</f>
        <v>0</v>
      </c>
      <c r="DA54" s="269">
        <f ca="1">DA52+'SC-I'!DA54</f>
        <v>0</v>
      </c>
    </row>
    <row r="55" spans="1:105" ht="12" customHeight="1">
      <c r="B55" s="274"/>
      <c r="C55" s="275"/>
      <c r="D55" s="275"/>
      <c r="E55" s="275"/>
      <c r="F55" s="275"/>
      <c r="G55" s="276"/>
      <c r="H55" s="276"/>
      <c r="I55" s="275"/>
      <c r="J55" s="275"/>
      <c r="K55" s="275"/>
    </row>
    <row r="56" spans="1:105">
      <c r="M56" s="277"/>
      <c r="O56" s="277"/>
      <c r="Q56" s="277"/>
      <c r="R56" s="277"/>
      <c r="S56" s="277"/>
      <c r="T56" s="277"/>
      <c r="U56" s="277"/>
      <c r="V56" s="277"/>
      <c r="AM56" s="279"/>
      <c r="AN56" s="278" t="s">
        <v>227</v>
      </c>
      <c r="AO56" s="279"/>
      <c r="AP56" s="279"/>
      <c r="AQ56" s="279"/>
      <c r="AR56" s="280"/>
      <c r="AS56" s="280"/>
      <c r="AT56" s="279"/>
    </row>
    <row r="57" spans="1:105">
      <c r="M57" s="277"/>
      <c r="O57" s="277"/>
      <c r="Q57" s="277"/>
      <c r="R57" s="277"/>
      <c r="S57" s="277"/>
      <c r="T57" s="277"/>
      <c r="U57" s="277"/>
      <c r="V57" s="277"/>
      <c r="AM57" s="279"/>
      <c r="AN57" s="281" t="s">
        <v>218</v>
      </c>
      <c r="AO57" s="279"/>
      <c r="AP57" s="279"/>
      <c r="AQ57" s="279"/>
      <c r="AR57" s="280"/>
      <c r="AS57" s="280"/>
      <c r="AT57" s="279"/>
    </row>
    <row r="58" spans="1:105">
      <c r="M58" s="277"/>
      <c r="O58" s="277"/>
      <c r="Q58" s="277"/>
      <c r="R58" s="277"/>
      <c r="S58" s="277"/>
      <c r="T58" s="277"/>
      <c r="U58" s="277"/>
      <c r="V58" s="277"/>
      <c r="AL58" s="279"/>
      <c r="AM58" s="279"/>
      <c r="AN58" s="279"/>
      <c r="AO58" s="279"/>
      <c r="AP58" s="279"/>
      <c r="AQ58" s="279"/>
      <c r="AR58" s="279"/>
      <c r="AS58" s="279"/>
      <c r="AT58" s="280"/>
    </row>
    <row r="59" spans="1:105">
      <c r="M59" s="277"/>
      <c r="O59" s="277"/>
      <c r="Q59" s="277"/>
      <c r="R59" s="277"/>
      <c r="S59" s="277"/>
      <c r="T59" s="277"/>
      <c r="U59" s="277"/>
      <c r="V59" s="277"/>
      <c r="AL59" s="279"/>
      <c r="AM59" s="279"/>
      <c r="AN59" s="279"/>
      <c r="AO59" s="283" t="s">
        <v>11</v>
      </c>
      <c r="AQ59" s="279"/>
      <c r="AR59" s="279"/>
      <c r="AS59" s="279"/>
      <c r="AT59" s="280"/>
      <c r="AZ59" s="282" t="str">
        <f>"Ngày 30 tháng 06 năm 2015 "</f>
        <v xml:space="preserve">Ngày 30 tháng 06 năm 2015 </v>
      </c>
    </row>
    <row r="60" spans="1:105">
      <c r="M60" s="277"/>
      <c r="O60" s="277"/>
      <c r="Q60" s="277"/>
      <c r="R60" s="277"/>
      <c r="S60" s="277"/>
      <c r="T60" s="277"/>
      <c r="U60" s="277"/>
      <c r="V60" s="277"/>
      <c r="AL60" s="279"/>
      <c r="AN60" s="279"/>
      <c r="AO60" s="285" t="s">
        <v>13</v>
      </c>
      <c r="AQ60" s="279"/>
      <c r="AR60" s="279"/>
      <c r="AS60" s="284" t="s">
        <v>12</v>
      </c>
      <c r="AT60" s="280"/>
      <c r="AZ60" s="283" t="s">
        <v>131</v>
      </c>
    </row>
    <row r="61" spans="1:105">
      <c r="M61" s="277"/>
      <c r="O61" s="277"/>
      <c r="Q61" s="277"/>
      <c r="R61" s="277"/>
      <c r="S61" s="277"/>
      <c r="T61" s="277"/>
      <c r="U61" s="277"/>
      <c r="V61" s="277"/>
      <c r="AL61" s="279"/>
      <c r="AN61" s="279"/>
      <c r="AO61" s="279"/>
      <c r="AQ61" s="279"/>
      <c r="AR61" s="279"/>
      <c r="AS61" s="286" t="s">
        <v>13</v>
      </c>
      <c r="AT61" s="280"/>
      <c r="AZ61" s="285" t="s">
        <v>161</v>
      </c>
    </row>
    <row r="62" spans="1:105">
      <c r="M62" s="277"/>
      <c r="O62" s="277"/>
      <c r="Q62" s="277"/>
      <c r="R62" s="277"/>
      <c r="S62" s="277"/>
      <c r="T62" s="277"/>
      <c r="U62" s="277"/>
      <c r="V62" s="277"/>
      <c r="AL62" s="279"/>
      <c r="AN62" s="279"/>
      <c r="AO62" s="279"/>
      <c r="AP62" s="279"/>
      <c r="AQ62" s="279"/>
      <c r="AR62" s="279"/>
      <c r="AS62" s="279"/>
      <c r="AT62" s="280"/>
      <c r="AZ62" s="279"/>
    </row>
    <row r="63" spans="1:105">
      <c r="M63" s="277"/>
      <c r="O63" s="277"/>
      <c r="Q63" s="277"/>
      <c r="R63" s="277"/>
      <c r="S63" s="277"/>
      <c r="T63" s="277"/>
      <c r="U63" s="277"/>
      <c r="V63" s="277"/>
      <c r="AZ63" s="279"/>
    </row>
    <row r="64" spans="1:105">
      <c r="M64" s="277"/>
      <c r="O64" s="277"/>
      <c r="Q64" s="277"/>
      <c r="R64" s="277"/>
      <c r="S64" s="277"/>
      <c r="T64" s="277"/>
      <c r="U64" s="277"/>
      <c r="V64" s="277"/>
    </row>
    <row r="65" spans="13:22">
      <c r="M65" s="277"/>
      <c r="O65" s="277"/>
      <c r="Q65" s="277"/>
      <c r="R65" s="277"/>
      <c r="S65" s="277"/>
      <c r="T65" s="277"/>
      <c r="U65" s="277"/>
      <c r="V65" s="277"/>
    </row>
    <row r="66" spans="13:22">
      <c r="M66" s="277"/>
      <c r="O66" s="277"/>
      <c r="Q66" s="277"/>
      <c r="R66" s="277"/>
      <c r="S66" s="277"/>
      <c r="T66" s="277"/>
      <c r="U66" s="277"/>
      <c r="V66" s="277"/>
    </row>
    <row r="67" spans="13:22">
      <c r="M67" s="277"/>
      <c r="O67" s="277"/>
      <c r="Q67" s="277"/>
      <c r="R67" s="277"/>
      <c r="S67" s="277"/>
      <c r="T67" s="277"/>
      <c r="U67" s="277"/>
      <c r="V67" s="277"/>
    </row>
    <row r="68" spans="13:22">
      <c r="M68" s="277"/>
      <c r="O68" s="277"/>
      <c r="Q68" s="277"/>
      <c r="R68" s="277"/>
      <c r="S68" s="277"/>
      <c r="T68" s="277"/>
      <c r="U68" s="277"/>
      <c r="V68" s="277"/>
    </row>
    <row r="69" spans="13:22">
      <c r="M69" s="277"/>
      <c r="O69" s="277"/>
      <c r="Q69" s="277"/>
      <c r="R69" s="277"/>
      <c r="S69" s="277"/>
      <c r="T69" s="277"/>
      <c r="U69" s="277"/>
      <c r="V69" s="277"/>
    </row>
    <row r="70" spans="13:22">
      <c r="M70" s="277"/>
      <c r="O70" s="277"/>
      <c r="Q70" s="277"/>
      <c r="R70" s="277"/>
      <c r="S70" s="277"/>
      <c r="T70" s="277"/>
      <c r="U70" s="277"/>
      <c r="V70" s="277"/>
    </row>
    <row r="71" spans="13:22">
      <c r="M71" s="277"/>
      <c r="O71" s="277"/>
      <c r="Q71" s="277"/>
      <c r="R71" s="277"/>
      <c r="S71" s="277"/>
      <c r="T71" s="277"/>
      <c r="U71" s="277"/>
      <c r="V71" s="277"/>
    </row>
    <row r="72" spans="13:22">
      <c r="M72" s="277"/>
      <c r="O72" s="277"/>
      <c r="Q72" s="277"/>
      <c r="R72" s="277"/>
      <c r="S72" s="277"/>
      <c r="T72" s="277"/>
      <c r="U72" s="277"/>
      <c r="V72" s="277"/>
    </row>
    <row r="73" spans="13:22">
      <c r="M73" s="277"/>
      <c r="O73" s="277"/>
      <c r="Q73" s="277"/>
      <c r="R73" s="277"/>
      <c r="S73" s="277"/>
      <c r="T73" s="277"/>
      <c r="U73" s="277"/>
      <c r="V73" s="277"/>
    </row>
    <row r="74" spans="13:22">
      <c r="M74" s="277"/>
      <c r="O74" s="277"/>
      <c r="Q74" s="277"/>
      <c r="R74" s="277"/>
      <c r="S74" s="277"/>
      <c r="T74" s="277"/>
      <c r="U74" s="277"/>
      <c r="V74" s="277"/>
    </row>
    <row r="75" spans="13:22">
      <c r="M75" s="277"/>
      <c r="O75" s="277"/>
      <c r="Q75" s="277"/>
      <c r="R75" s="277"/>
      <c r="S75" s="277"/>
      <c r="T75" s="277"/>
      <c r="U75" s="277"/>
      <c r="V75" s="277"/>
    </row>
    <row r="76" spans="13:22">
      <c r="M76" s="277"/>
      <c r="O76" s="277"/>
      <c r="Q76" s="277"/>
      <c r="R76" s="277"/>
      <c r="S76" s="277"/>
      <c r="T76" s="277"/>
      <c r="U76" s="277"/>
      <c r="V76" s="277"/>
    </row>
    <row r="77" spans="13:22">
      <c r="M77" s="277"/>
      <c r="O77" s="277"/>
      <c r="Q77" s="277"/>
      <c r="R77" s="277"/>
      <c r="S77" s="277"/>
      <c r="T77" s="277"/>
      <c r="U77" s="277"/>
      <c r="V77" s="277"/>
    </row>
    <row r="78" spans="13:22">
      <c r="M78" s="277"/>
      <c r="O78" s="277"/>
      <c r="Q78" s="277"/>
      <c r="R78" s="277"/>
      <c r="S78" s="277"/>
      <c r="T78" s="277"/>
      <c r="U78" s="277"/>
      <c r="V78" s="277"/>
    </row>
    <row r="79" spans="13:22">
      <c r="M79" s="277"/>
      <c r="O79" s="277"/>
      <c r="Q79" s="277"/>
      <c r="R79" s="277"/>
      <c r="S79" s="277"/>
      <c r="T79" s="277"/>
      <c r="U79" s="277"/>
      <c r="V79" s="277"/>
    </row>
    <row r="80" spans="13:22">
      <c r="M80" s="277"/>
      <c r="O80" s="277"/>
      <c r="Q80" s="277"/>
      <c r="R80" s="277"/>
      <c r="S80" s="277"/>
      <c r="T80" s="277"/>
      <c r="U80" s="277"/>
      <c r="V80" s="277"/>
    </row>
    <row r="81" spans="13:22">
      <c r="M81" s="277"/>
      <c r="O81" s="277"/>
      <c r="Q81" s="277"/>
      <c r="R81" s="277"/>
      <c r="S81" s="277"/>
      <c r="T81" s="277"/>
      <c r="U81" s="277"/>
      <c r="V81" s="277"/>
    </row>
    <row r="82" spans="13:22">
      <c r="M82" s="277"/>
      <c r="O82" s="277"/>
      <c r="Q82" s="277"/>
      <c r="R82" s="277"/>
      <c r="S82" s="277"/>
      <c r="T82" s="277"/>
      <c r="U82" s="277"/>
      <c r="V82" s="277"/>
    </row>
    <row r="83" spans="13:22">
      <c r="M83" s="277"/>
      <c r="O83" s="277"/>
      <c r="Q83" s="277"/>
      <c r="R83" s="277"/>
      <c r="S83" s="277"/>
      <c r="T83" s="277"/>
      <c r="U83" s="277"/>
      <c r="V83" s="277"/>
    </row>
    <row r="84" spans="13:22">
      <c r="M84" s="277"/>
      <c r="O84" s="277"/>
      <c r="Q84" s="277"/>
      <c r="R84" s="277"/>
      <c r="S84" s="277"/>
      <c r="T84" s="277"/>
      <c r="U84" s="277"/>
      <c r="V84" s="277"/>
    </row>
    <row r="85" spans="13:22">
      <c r="M85" s="277"/>
      <c r="O85" s="277"/>
      <c r="Q85" s="277"/>
      <c r="R85" s="277"/>
      <c r="S85" s="277"/>
      <c r="T85" s="277"/>
      <c r="U85" s="277"/>
      <c r="V85" s="277"/>
    </row>
    <row r="86" spans="13:22">
      <c r="M86" s="277"/>
      <c r="O86" s="277"/>
      <c r="Q86" s="277"/>
      <c r="R86" s="277"/>
      <c r="S86" s="277"/>
      <c r="T86" s="277"/>
      <c r="U86" s="277"/>
      <c r="V86" s="277"/>
    </row>
    <row r="87" spans="13:22">
      <c r="M87" s="277"/>
      <c r="O87" s="277"/>
      <c r="Q87" s="277"/>
      <c r="R87" s="277"/>
      <c r="S87" s="277"/>
      <c r="T87" s="277"/>
      <c r="U87" s="277"/>
      <c r="V87" s="277"/>
    </row>
    <row r="88" spans="13:22">
      <c r="M88" s="277"/>
      <c r="O88" s="277"/>
      <c r="Q88" s="277"/>
      <c r="R88" s="277"/>
      <c r="S88" s="277"/>
      <c r="T88" s="277"/>
      <c r="U88" s="277"/>
      <c r="V88" s="277"/>
    </row>
    <row r="89" spans="13:22">
      <c r="M89" s="277"/>
      <c r="O89" s="277"/>
      <c r="Q89" s="277"/>
      <c r="R89" s="277"/>
      <c r="S89" s="277"/>
      <c r="T89" s="277"/>
      <c r="U89" s="277"/>
      <c r="V89" s="277"/>
    </row>
    <row r="90" spans="13:22">
      <c r="M90" s="277"/>
      <c r="O90" s="277"/>
      <c r="Q90" s="277"/>
      <c r="R90" s="277"/>
      <c r="S90" s="277"/>
      <c r="T90" s="277"/>
      <c r="U90" s="277"/>
      <c r="V90" s="277"/>
    </row>
    <row r="91" spans="13:22">
      <c r="M91" s="277"/>
      <c r="O91" s="277"/>
      <c r="Q91" s="277"/>
      <c r="R91" s="277"/>
      <c r="S91" s="277"/>
      <c r="T91" s="277"/>
      <c r="U91" s="277"/>
      <c r="V91" s="277"/>
    </row>
    <row r="92" spans="13:22">
      <c r="M92" s="277"/>
      <c r="O92" s="277"/>
      <c r="Q92" s="277"/>
      <c r="R92" s="277"/>
      <c r="S92" s="277"/>
      <c r="T92" s="277"/>
      <c r="U92" s="277"/>
      <c r="V92" s="277"/>
    </row>
    <row r="93" spans="13:22">
      <c r="M93" s="277"/>
      <c r="O93" s="277"/>
      <c r="Q93" s="277"/>
      <c r="R93" s="277"/>
      <c r="S93" s="277"/>
      <c r="T93" s="277"/>
      <c r="U93" s="277"/>
      <c r="V93" s="277"/>
    </row>
    <row r="94" spans="13:22">
      <c r="M94" s="277"/>
      <c r="O94" s="277"/>
      <c r="Q94" s="277"/>
      <c r="R94" s="277"/>
      <c r="S94" s="277"/>
      <c r="T94" s="277"/>
      <c r="U94" s="277"/>
      <c r="V94" s="277"/>
    </row>
    <row r="95" spans="13:22">
      <c r="M95" s="277"/>
      <c r="O95" s="277"/>
      <c r="Q95" s="277"/>
      <c r="R95" s="277"/>
      <c r="S95" s="277"/>
      <c r="T95" s="277"/>
      <c r="U95" s="277"/>
      <c r="V95" s="277"/>
    </row>
    <row r="96" spans="13:22">
      <c r="M96" s="277"/>
      <c r="O96" s="277"/>
      <c r="Q96" s="277"/>
      <c r="R96" s="277"/>
      <c r="S96" s="277"/>
      <c r="T96" s="277"/>
      <c r="U96" s="277"/>
      <c r="V96" s="277"/>
    </row>
    <row r="97" spans="13:22">
      <c r="M97" s="277"/>
      <c r="O97" s="277"/>
      <c r="Q97" s="277"/>
      <c r="R97" s="277"/>
      <c r="S97" s="277"/>
      <c r="T97" s="277"/>
      <c r="U97" s="277"/>
      <c r="V97" s="277"/>
    </row>
    <row r="98" spans="13:22">
      <c r="M98" s="277"/>
      <c r="O98" s="277"/>
      <c r="Q98" s="277"/>
      <c r="R98" s="277"/>
      <c r="S98" s="277"/>
      <c r="T98" s="277"/>
      <c r="U98" s="277"/>
      <c r="V98" s="277"/>
    </row>
    <row r="99" spans="13:22">
      <c r="M99" s="277"/>
      <c r="O99" s="277"/>
      <c r="Q99" s="277"/>
      <c r="R99" s="277"/>
      <c r="S99" s="277"/>
      <c r="T99" s="277"/>
      <c r="U99" s="277"/>
      <c r="V99" s="277"/>
    </row>
    <row r="100" spans="13:22">
      <c r="M100" s="277"/>
      <c r="O100" s="277"/>
      <c r="Q100" s="277"/>
      <c r="R100" s="277"/>
      <c r="S100" s="277"/>
      <c r="T100" s="277"/>
      <c r="U100" s="277"/>
      <c r="V100" s="277"/>
    </row>
    <row r="101" spans="13:22">
      <c r="M101" s="277"/>
      <c r="O101" s="277"/>
      <c r="Q101" s="277"/>
      <c r="R101" s="277"/>
      <c r="S101" s="277"/>
      <c r="T101" s="277"/>
      <c r="U101" s="277"/>
      <c r="V101" s="277"/>
    </row>
    <row r="102" spans="13:22">
      <c r="M102" s="277"/>
      <c r="O102" s="277"/>
      <c r="Q102" s="277"/>
      <c r="R102" s="277"/>
      <c r="S102" s="277"/>
      <c r="T102" s="277"/>
      <c r="U102" s="277"/>
      <c r="V102" s="277"/>
    </row>
    <row r="103" spans="13:22">
      <c r="M103" s="277"/>
      <c r="O103" s="277"/>
      <c r="Q103" s="277"/>
      <c r="R103" s="277"/>
      <c r="S103" s="277"/>
      <c r="T103" s="277"/>
      <c r="U103" s="277"/>
      <c r="V103" s="277"/>
    </row>
    <row r="104" spans="13:22">
      <c r="M104" s="277"/>
      <c r="O104" s="277"/>
      <c r="Q104" s="277"/>
      <c r="R104" s="277"/>
      <c r="S104" s="277"/>
      <c r="T104" s="277"/>
      <c r="U104" s="277"/>
      <c r="V104" s="277"/>
    </row>
    <row r="105" spans="13:22">
      <c r="M105" s="277"/>
      <c r="O105" s="277"/>
      <c r="Q105" s="277"/>
      <c r="R105" s="277"/>
      <c r="S105" s="277"/>
      <c r="T105" s="277"/>
      <c r="U105" s="277"/>
      <c r="V105" s="277"/>
    </row>
    <row r="106" spans="13:22">
      <c r="M106" s="277"/>
      <c r="O106" s="277"/>
      <c r="Q106" s="277"/>
      <c r="R106" s="277"/>
      <c r="S106" s="277"/>
      <c r="T106" s="277"/>
      <c r="U106" s="277"/>
      <c r="V106" s="277"/>
    </row>
    <row r="107" spans="13:22">
      <c r="M107" s="277"/>
      <c r="O107" s="277"/>
      <c r="Q107" s="277"/>
      <c r="R107" s="277"/>
      <c r="S107" s="277"/>
      <c r="T107" s="277"/>
      <c r="U107" s="277"/>
      <c r="V107" s="277"/>
    </row>
    <row r="108" spans="13:22">
      <c r="M108" s="277"/>
      <c r="O108" s="277"/>
      <c r="Q108" s="277"/>
      <c r="R108" s="277"/>
      <c r="S108" s="277"/>
      <c r="T108" s="277"/>
      <c r="U108" s="277"/>
      <c r="V108" s="277"/>
    </row>
    <row r="109" spans="13:22">
      <c r="M109" s="277"/>
      <c r="O109" s="277"/>
      <c r="Q109" s="277"/>
      <c r="R109" s="277"/>
      <c r="S109" s="277"/>
      <c r="T109" s="277"/>
      <c r="U109" s="277"/>
      <c r="V109" s="277"/>
    </row>
    <row r="110" spans="13:22">
      <c r="M110" s="277"/>
      <c r="O110" s="277"/>
      <c r="Q110" s="277"/>
      <c r="R110" s="277"/>
      <c r="S110" s="277"/>
      <c r="T110" s="277"/>
      <c r="U110" s="277"/>
      <c r="V110" s="277"/>
    </row>
    <row r="111" spans="13:22">
      <c r="M111" s="277"/>
      <c r="O111" s="277"/>
      <c r="Q111" s="277"/>
      <c r="R111" s="277"/>
      <c r="S111" s="277"/>
      <c r="T111" s="277"/>
      <c r="U111" s="277"/>
      <c r="V111" s="277"/>
    </row>
    <row r="112" spans="13:22">
      <c r="M112" s="277"/>
      <c r="O112" s="277"/>
      <c r="Q112" s="277"/>
      <c r="R112" s="277"/>
      <c r="S112" s="277"/>
      <c r="T112" s="277"/>
      <c r="U112" s="277"/>
      <c r="V112" s="277"/>
    </row>
    <row r="113" spans="13:22">
      <c r="M113" s="277"/>
      <c r="O113" s="277"/>
      <c r="Q113" s="277"/>
      <c r="R113" s="277"/>
      <c r="S113" s="277"/>
      <c r="T113" s="277"/>
      <c r="U113" s="277"/>
      <c r="V113" s="277"/>
    </row>
    <row r="114" spans="13:22">
      <c r="M114" s="277"/>
      <c r="O114" s="277"/>
      <c r="Q114" s="277"/>
      <c r="R114" s="277"/>
      <c r="S114" s="277"/>
      <c r="T114" s="277"/>
      <c r="U114" s="277"/>
      <c r="V114" s="277"/>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28515625" style="238" customWidth="1"/>
    <col min="3" max="3" width="7.85546875" style="238" customWidth="1"/>
    <col min="4" max="4" width="8.28515625" style="238" customWidth="1"/>
    <col min="5" max="5" width="44.7109375" style="238" customWidth="1"/>
    <col min="6" max="6" width="15.140625" style="288" customWidth="1"/>
    <col min="7" max="8" width="5.85546875" style="239" customWidth="1"/>
    <col min="9" max="9" width="4.85546875" style="238" customWidth="1"/>
    <col min="10" max="10" width="13.28515625" style="238" customWidth="1"/>
    <col min="11" max="11" width="12.85546875" style="238" customWidth="1"/>
    <col min="12" max="15" width="13.42578125" style="238" customWidth="1"/>
    <col min="16" max="16" width="13.5703125" style="238" customWidth="1"/>
    <col min="17" max="17" width="13.28515625" style="238" customWidth="1"/>
    <col min="18" max="18" width="13.5703125" style="238" customWidth="1"/>
    <col min="19" max="19" width="11.42578125" style="238" customWidth="1"/>
    <col min="20" max="20" width="13.7109375" style="238" customWidth="1"/>
    <col min="21" max="21" width="4.42578125" style="238" customWidth="1"/>
    <col min="22" max="22" width="14.140625" style="238" customWidth="1"/>
    <col min="23" max="23" width="13.85546875" style="238" customWidth="1"/>
    <col min="24" max="24" width="5.42578125" style="238" customWidth="1"/>
    <col min="25" max="25" width="6.140625" style="238" customWidth="1"/>
    <col min="26" max="26" width="9.5703125" style="238" customWidth="1"/>
    <col min="27" max="27" width="9.7109375" style="238" customWidth="1"/>
    <col min="28" max="28" width="13" style="238" customWidth="1"/>
    <col min="29" max="29" width="12.85546875" style="238" customWidth="1"/>
    <col min="30" max="30" width="4.5703125" style="238" customWidth="1"/>
    <col min="31" max="31" width="13.85546875" style="238" customWidth="1"/>
    <col min="32" max="32" width="4.5703125" style="238" customWidth="1"/>
    <col min="33" max="33" width="13.85546875" style="238" customWidth="1"/>
    <col min="34" max="34" width="4.7109375" style="238" customWidth="1"/>
    <col min="35" max="35" width="12.5703125" style="238" customWidth="1"/>
    <col min="36" max="36" width="11.7109375" style="238" customWidth="1"/>
    <col min="37" max="37" width="5.28515625" style="238" customWidth="1"/>
    <col min="38" max="38" width="11.140625" style="238" customWidth="1"/>
    <col min="39" max="39" width="10.28515625" style="238" customWidth="1"/>
    <col min="40" max="40" width="9.5703125" style="238" customWidth="1"/>
    <col min="41" max="41" width="9.140625" style="238" customWidth="1"/>
    <col min="42" max="42" width="12.7109375" style="238" customWidth="1"/>
    <col min="43" max="43" width="12.5703125" style="238" customWidth="1"/>
    <col min="44" max="44" width="15.140625" style="238" customWidth="1"/>
    <col min="45" max="45" width="15.5703125" style="238" customWidth="1"/>
    <col min="46" max="47" width="10.85546875" style="238" customWidth="1"/>
    <col min="48" max="48" width="7" style="238" customWidth="1"/>
    <col min="49" max="49" width="7.7109375" style="238" customWidth="1"/>
    <col min="50" max="50" width="7.140625" style="238" customWidth="1"/>
    <col min="51" max="51" width="6.7109375" style="238" customWidth="1"/>
    <col min="52" max="52" width="14.7109375" style="238" customWidth="1"/>
    <col min="53" max="53" width="15.140625" style="238" customWidth="1"/>
    <col min="54" max="16384" width="9.140625" style="238"/>
  </cols>
  <sheetData>
    <row r="1" spans="1:105" ht="12.75" customHeight="1">
      <c r="A1" s="234"/>
      <c r="B1" s="235" t="s">
        <v>121</v>
      </c>
      <c r="C1" s="236"/>
      <c r="D1" s="236"/>
      <c r="E1" s="237"/>
      <c r="I1" s="236"/>
      <c r="K1" s="1349" t="s">
        <v>188</v>
      </c>
      <c r="L1" s="1349"/>
      <c r="M1" s="1349"/>
      <c r="N1" s="1349"/>
      <c r="O1" s="1349"/>
      <c r="P1" s="1349"/>
      <c r="Q1" s="1349"/>
      <c r="R1" s="237"/>
      <c r="T1" s="236"/>
      <c r="U1" s="236"/>
      <c r="V1" s="236"/>
      <c r="W1" s="236"/>
      <c r="X1" s="236"/>
      <c r="Y1" s="236"/>
      <c r="Z1" s="236"/>
      <c r="AA1" s="236"/>
      <c r="AB1" s="236"/>
      <c r="AC1" s="236"/>
      <c r="AD1" s="236"/>
      <c r="AE1" s="236"/>
      <c r="AF1" s="380"/>
      <c r="AG1" s="380"/>
      <c r="AH1" s="236"/>
      <c r="AI1" s="236"/>
      <c r="AJ1" s="236"/>
      <c r="AK1" s="236"/>
      <c r="AL1" s="236"/>
      <c r="AM1" s="236"/>
      <c r="AN1" s="236"/>
      <c r="AO1" s="236"/>
      <c r="AP1" s="237"/>
      <c r="AQ1" s="237"/>
      <c r="AR1" s="236"/>
      <c r="AS1" s="236"/>
      <c r="AT1" s="236"/>
      <c r="AU1" s="236"/>
      <c r="AV1" s="236"/>
      <c r="AW1" s="236"/>
      <c r="AX1" s="236"/>
      <c r="AY1" s="236"/>
      <c r="AZ1" s="236"/>
      <c r="BA1" s="236"/>
    </row>
    <row r="2" spans="1:105" ht="12.75" customHeight="1">
      <c r="A2" s="234"/>
      <c r="B2" s="235" t="s">
        <v>177</v>
      </c>
      <c r="C2" s="236"/>
      <c r="D2" s="236"/>
      <c r="E2" s="236"/>
      <c r="I2" s="240"/>
      <c r="K2" s="1350" t="s">
        <v>144</v>
      </c>
      <c r="L2" s="1350"/>
      <c r="M2" s="1350"/>
      <c r="N2" s="1350"/>
      <c r="O2" s="1350"/>
      <c r="P2" s="1350"/>
      <c r="Q2" s="1350"/>
      <c r="R2" s="241"/>
      <c r="T2" s="240"/>
      <c r="U2" s="240"/>
      <c r="V2" s="240"/>
      <c r="W2" s="240"/>
      <c r="X2" s="240"/>
      <c r="Y2" s="240"/>
      <c r="Z2" s="240"/>
      <c r="AA2" s="240"/>
      <c r="AB2" s="240"/>
      <c r="AC2" s="240"/>
      <c r="AD2" s="240"/>
      <c r="AE2" s="240"/>
      <c r="AF2" s="381"/>
      <c r="AG2" s="381"/>
      <c r="AH2" s="240"/>
      <c r="AI2" s="240"/>
      <c r="AJ2" s="240"/>
      <c r="AK2" s="240"/>
      <c r="AL2" s="240"/>
      <c r="AM2" s="240"/>
      <c r="AN2" s="240"/>
      <c r="AO2" s="240"/>
      <c r="AP2" s="241"/>
      <c r="AQ2" s="241"/>
      <c r="AR2" s="240"/>
      <c r="AS2" s="240"/>
      <c r="AT2" s="240"/>
      <c r="AU2" s="240"/>
      <c r="AV2" s="240"/>
      <c r="AW2" s="240"/>
      <c r="AX2" s="240"/>
      <c r="AY2" s="240"/>
      <c r="AZ2" s="240"/>
      <c r="BA2" s="240"/>
    </row>
    <row r="3" spans="1:105" ht="10.5" customHeight="1">
      <c r="A3" s="236"/>
      <c r="B3" s="236"/>
      <c r="C3" s="236"/>
      <c r="D3" s="236"/>
      <c r="E3" s="236"/>
      <c r="F3" s="289"/>
      <c r="G3" s="242"/>
      <c r="H3" s="242"/>
      <c r="I3" s="240"/>
      <c r="K3" s="1350"/>
      <c r="L3" s="1350"/>
      <c r="M3" s="1350"/>
      <c r="N3" s="1350"/>
      <c r="O3" s="1350"/>
      <c r="P3" s="1350"/>
      <c r="Q3" s="1350"/>
      <c r="R3" s="241"/>
      <c r="T3" s="240"/>
      <c r="U3" s="240"/>
      <c r="V3" s="240"/>
      <c r="W3" s="240"/>
      <c r="X3" s="240"/>
      <c r="Y3" s="240"/>
      <c r="Z3" s="240"/>
      <c r="AA3" s="240"/>
      <c r="AB3" s="240"/>
      <c r="AC3" s="240"/>
      <c r="AD3" s="240"/>
      <c r="AE3" s="240"/>
      <c r="AF3" s="381"/>
      <c r="AG3" s="381"/>
      <c r="AH3" s="240"/>
      <c r="AI3" s="240"/>
      <c r="AJ3" s="240"/>
      <c r="AK3" s="240"/>
      <c r="AL3" s="240"/>
      <c r="AM3" s="240"/>
      <c r="AN3" s="240"/>
      <c r="AO3" s="240"/>
      <c r="AP3" s="241"/>
      <c r="AQ3" s="241"/>
      <c r="AR3" s="240"/>
      <c r="AS3" s="240"/>
      <c r="AT3" s="240"/>
      <c r="AU3" s="240"/>
      <c r="AV3" s="240"/>
      <c r="AW3" s="240"/>
      <c r="AX3" s="240"/>
      <c r="AY3" s="240"/>
      <c r="AZ3" s="240"/>
      <c r="BA3" s="240"/>
    </row>
    <row r="4" spans="1:105" ht="19.5" customHeight="1">
      <c r="B4" s="1351" t="s">
        <v>112</v>
      </c>
      <c r="C4" s="1351"/>
      <c r="D4" s="1351"/>
      <c r="E4" s="1351"/>
      <c r="F4" s="1351"/>
      <c r="G4" s="1351"/>
      <c r="H4" s="1351"/>
      <c r="I4" s="1351"/>
      <c r="J4" s="1351"/>
      <c r="K4" s="1351"/>
      <c r="L4" s="1351"/>
      <c r="M4" s="1351"/>
      <c r="N4" s="1351"/>
      <c r="O4" s="1351"/>
      <c r="P4" s="1351"/>
      <c r="Q4" s="1351"/>
      <c r="R4" s="1351"/>
      <c r="S4" s="243"/>
      <c r="T4" s="245"/>
      <c r="U4" s="245"/>
      <c r="V4" s="245"/>
      <c r="W4" s="245"/>
      <c r="X4" s="245"/>
      <c r="Y4" s="245"/>
      <c r="Z4" s="245"/>
      <c r="AA4" s="245"/>
      <c r="AB4" s="245"/>
      <c r="AC4" s="245"/>
      <c r="AD4" s="245"/>
      <c r="AE4" s="245"/>
      <c r="AF4" s="245"/>
      <c r="AG4" s="245"/>
      <c r="AH4" s="245"/>
      <c r="AI4" s="245"/>
      <c r="AJ4" s="245"/>
      <c r="AK4" s="245"/>
      <c r="AL4" s="245"/>
      <c r="AM4" s="245"/>
      <c r="AN4" s="245"/>
      <c r="AO4" s="245"/>
      <c r="AP4" s="290"/>
      <c r="AQ4" s="290"/>
      <c r="AR4" s="245"/>
      <c r="AS4" s="245"/>
      <c r="AT4" s="245"/>
      <c r="AU4" s="245"/>
      <c r="AV4" s="245"/>
      <c r="AW4" s="245"/>
      <c r="AX4" s="245"/>
      <c r="AY4" s="245"/>
      <c r="AZ4" s="245"/>
      <c r="BA4" s="245"/>
    </row>
    <row r="5" spans="1:105" ht="15">
      <c r="B5" s="1352" t="s">
        <v>219</v>
      </c>
      <c r="C5" s="1352"/>
      <c r="D5" s="1352"/>
      <c r="E5" s="1352"/>
      <c r="F5" s="1352"/>
      <c r="G5" s="1352"/>
      <c r="H5" s="1352"/>
      <c r="I5" s="1352"/>
      <c r="J5" s="1352"/>
      <c r="K5" s="1352"/>
      <c r="L5" s="1352"/>
      <c r="M5" s="1352"/>
      <c r="N5" s="1352"/>
      <c r="O5" s="1352"/>
      <c r="P5" s="1352"/>
      <c r="Q5" s="1352"/>
      <c r="R5" s="1352"/>
      <c r="S5" s="246"/>
      <c r="AP5" s="246"/>
      <c r="AQ5" s="246"/>
    </row>
    <row r="7" spans="1:105" ht="13.5" customHeight="1">
      <c r="A7" s="1353" t="s">
        <v>37</v>
      </c>
      <c r="B7" s="1348" t="s">
        <v>22</v>
      </c>
      <c r="C7" s="1355" t="s">
        <v>1</v>
      </c>
      <c r="D7" s="1356"/>
      <c r="E7" s="1348" t="s">
        <v>0</v>
      </c>
      <c r="F7" s="1348" t="s">
        <v>113</v>
      </c>
      <c r="G7" s="1357" t="s">
        <v>114</v>
      </c>
      <c r="H7" s="1357"/>
      <c r="I7" s="1358" t="s">
        <v>37</v>
      </c>
      <c r="J7" s="1348" t="s">
        <v>190</v>
      </c>
      <c r="K7" s="1348"/>
      <c r="L7" s="1348" t="s">
        <v>191</v>
      </c>
      <c r="M7" s="1348"/>
      <c r="N7" s="1348" t="s">
        <v>258</v>
      </c>
      <c r="O7" s="1348"/>
      <c r="P7" s="1348" t="s">
        <v>596</v>
      </c>
      <c r="Q7" s="1348"/>
      <c r="R7" s="1348" t="s">
        <v>192</v>
      </c>
      <c r="S7" s="1348"/>
      <c r="T7" s="1348" t="s">
        <v>193</v>
      </c>
      <c r="U7" s="1348"/>
      <c r="V7" s="1348" t="s">
        <v>597</v>
      </c>
      <c r="W7" s="1348"/>
      <c r="X7" s="1348" t="s">
        <v>598</v>
      </c>
      <c r="Y7" s="1348"/>
      <c r="Z7" s="1348" t="s">
        <v>599</v>
      </c>
      <c r="AA7" s="1348"/>
      <c r="AB7" s="1348" t="s">
        <v>600</v>
      </c>
      <c r="AC7" s="1348"/>
      <c r="AD7" s="1348" t="s">
        <v>601</v>
      </c>
      <c r="AE7" s="1348"/>
      <c r="AF7" s="1348" t="s">
        <v>602</v>
      </c>
      <c r="AG7" s="1348"/>
      <c r="AH7" s="1348" t="s">
        <v>603</v>
      </c>
      <c r="AI7" s="1348"/>
      <c r="AJ7" s="1348" t="s">
        <v>604</v>
      </c>
      <c r="AK7" s="1348"/>
      <c r="AL7" s="1348" t="s">
        <v>605</v>
      </c>
      <c r="AM7" s="1348"/>
      <c r="AN7" s="1348" t="s">
        <v>606</v>
      </c>
      <c r="AO7" s="1348"/>
      <c r="AP7" s="1348" t="s">
        <v>607</v>
      </c>
      <c r="AQ7" s="1348"/>
      <c r="AR7" s="1348" t="s">
        <v>608</v>
      </c>
      <c r="AS7" s="1348"/>
      <c r="AT7" s="1348" t="s">
        <v>194</v>
      </c>
      <c r="AU7" s="1348"/>
      <c r="AV7" s="1348" t="s">
        <v>195</v>
      </c>
      <c r="AW7" s="1348"/>
      <c r="AX7" s="1348" t="s">
        <v>609</v>
      </c>
      <c r="AY7" s="1348"/>
      <c r="AZ7" s="1348" t="s">
        <v>610</v>
      </c>
      <c r="BA7" s="1348"/>
      <c r="BB7" s="1348" t="s">
        <v>611</v>
      </c>
      <c r="BC7" s="1348"/>
      <c r="BD7" s="1348" t="s">
        <v>196</v>
      </c>
      <c r="BE7" s="1348"/>
      <c r="BF7" s="1348" t="s">
        <v>612</v>
      </c>
      <c r="BG7" s="1348"/>
      <c r="BH7" s="1348" t="s">
        <v>197</v>
      </c>
      <c r="BI7" s="1348"/>
      <c r="BJ7" s="1348" t="s">
        <v>613</v>
      </c>
      <c r="BK7" s="1348"/>
      <c r="BL7" s="1348" t="s">
        <v>614</v>
      </c>
      <c r="BM7" s="1348"/>
      <c r="BN7" s="1348" t="s">
        <v>615</v>
      </c>
      <c r="BO7" s="1348"/>
      <c r="BP7" s="1348" t="s">
        <v>616</v>
      </c>
      <c r="BQ7" s="1348"/>
      <c r="BR7" s="1348" t="s">
        <v>198</v>
      </c>
      <c r="BS7" s="1348"/>
      <c r="BT7" s="1348" t="s">
        <v>199</v>
      </c>
      <c r="BU7" s="1348"/>
      <c r="BV7" s="1348" t="s">
        <v>253</v>
      </c>
      <c r="BW7" s="1348"/>
      <c r="BX7" s="1348" t="s">
        <v>200</v>
      </c>
      <c r="BY7" s="1348"/>
      <c r="BZ7" s="1348" t="s">
        <v>201</v>
      </c>
      <c r="CA7" s="1348"/>
      <c r="CB7" s="1348" t="s">
        <v>202</v>
      </c>
      <c r="CC7" s="1348"/>
      <c r="CD7" s="1348" t="s">
        <v>617</v>
      </c>
      <c r="CE7" s="1348"/>
      <c r="CF7" s="1348" t="s">
        <v>618</v>
      </c>
      <c r="CG7" s="1348"/>
      <c r="CH7" s="1348" t="s">
        <v>203</v>
      </c>
      <c r="CI7" s="1348"/>
      <c r="CJ7" s="1348" t="s">
        <v>619</v>
      </c>
      <c r="CK7" s="1348"/>
      <c r="CL7" s="1348" t="s">
        <v>620</v>
      </c>
      <c r="CM7" s="1348"/>
      <c r="CN7" s="1348" t="s">
        <v>204</v>
      </c>
      <c r="CO7" s="1348"/>
      <c r="CP7" s="1348" t="s">
        <v>621</v>
      </c>
      <c r="CQ7" s="1348"/>
      <c r="CR7" s="1348" t="s">
        <v>205</v>
      </c>
      <c r="CS7" s="1348"/>
      <c r="CT7" s="1348" t="s">
        <v>206</v>
      </c>
      <c r="CU7" s="1348"/>
      <c r="CV7" s="1348" t="s">
        <v>207</v>
      </c>
      <c r="CW7" s="1348"/>
      <c r="CX7" s="1348" t="s">
        <v>208</v>
      </c>
      <c r="CY7" s="1348"/>
      <c r="CZ7" s="1348" t="s">
        <v>209</v>
      </c>
      <c r="DA7" s="1348"/>
    </row>
    <row r="8" spans="1:105" ht="22.5" customHeight="1">
      <c r="A8" s="1354"/>
      <c r="B8" s="1348"/>
      <c r="C8" s="772" t="s">
        <v>17</v>
      </c>
      <c r="D8" s="771" t="s">
        <v>34</v>
      </c>
      <c r="E8" s="1348"/>
      <c r="F8" s="1348"/>
      <c r="G8" s="773" t="s">
        <v>24</v>
      </c>
      <c r="H8" s="773" t="s">
        <v>25</v>
      </c>
      <c r="I8" s="1358"/>
      <c r="J8" s="771" t="s">
        <v>24</v>
      </c>
      <c r="K8" s="771" t="s">
        <v>25</v>
      </c>
      <c r="L8" s="771" t="s">
        <v>24</v>
      </c>
      <c r="M8" s="771" t="s">
        <v>25</v>
      </c>
      <c r="N8" s="771" t="s">
        <v>24</v>
      </c>
      <c r="O8" s="771" t="s">
        <v>25</v>
      </c>
      <c r="P8" s="771" t="s">
        <v>24</v>
      </c>
      <c r="Q8" s="771" t="s">
        <v>25</v>
      </c>
      <c r="R8" s="771" t="s">
        <v>24</v>
      </c>
      <c r="S8" s="771" t="s">
        <v>25</v>
      </c>
      <c r="T8" s="771" t="s">
        <v>24</v>
      </c>
      <c r="U8" s="771" t="s">
        <v>25</v>
      </c>
      <c r="V8" s="771" t="s">
        <v>24</v>
      </c>
      <c r="W8" s="771" t="s">
        <v>25</v>
      </c>
      <c r="X8" s="771" t="s">
        <v>24</v>
      </c>
      <c r="Y8" s="771" t="s">
        <v>25</v>
      </c>
      <c r="Z8" s="771" t="s">
        <v>24</v>
      </c>
      <c r="AA8" s="771" t="s">
        <v>25</v>
      </c>
      <c r="AB8" s="771" t="s">
        <v>24</v>
      </c>
      <c r="AC8" s="771" t="s">
        <v>25</v>
      </c>
      <c r="AD8" s="771" t="s">
        <v>24</v>
      </c>
      <c r="AE8" s="771" t="s">
        <v>25</v>
      </c>
      <c r="AF8" s="771" t="s">
        <v>24</v>
      </c>
      <c r="AG8" s="771" t="s">
        <v>25</v>
      </c>
      <c r="AH8" s="771" t="s">
        <v>24</v>
      </c>
      <c r="AI8" s="771" t="s">
        <v>25</v>
      </c>
      <c r="AJ8" s="771" t="s">
        <v>24</v>
      </c>
      <c r="AK8" s="771" t="s">
        <v>25</v>
      </c>
      <c r="AL8" s="771" t="s">
        <v>24</v>
      </c>
      <c r="AM8" s="771" t="s">
        <v>25</v>
      </c>
      <c r="AN8" s="771" t="s">
        <v>24</v>
      </c>
      <c r="AO8" s="771" t="s">
        <v>25</v>
      </c>
      <c r="AP8" s="771" t="s">
        <v>24</v>
      </c>
      <c r="AQ8" s="771" t="s">
        <v>25</v>
      </c>
      <c r="AR8" s="771" t="s">
        <v>24</v>
      </c>
      <c r="AS8" s="771" t="s">
        <v>25</v>
      </c>
      <c r="AT8" s="771" t="s">
        <v>24</v>
      </c>
      <c r="AU8" s="771" t="s">
        <v>25</v>
      </c>
      <c r="AV8" s="771" t="s">
        <v>24</v>
      </c>
      <c r="AW8" s="771" t="s">
        <v>25</v>
      </c>
      <c r="AX8" s="771" t="s">
        <v>24</v>
      </c>
      <c r="AY8" s="771" t="s">
        <v>25</v>
      </c>
      <c r="AZ8" s="771" t="s">
        <v>24</v>
      </c>
      <c r="BA8" s="771" t="s">
        <v>25</v>
      </c>
      <c r="BB8" s="771" t="s">
        <v>24</v>
      </c>
      <c r="BC8" s="771" t="s">
        <v>25</v>
      </c>
      <c r="BD8" s="771" t="s">
        <v>24</v>
      </c>
      <c r="BE8" s="771" t="s">
        <v>25</v>
      </c>
      <c r="BF8" s="771" t="s">
        <v>24</v>
      </c>
      <c r="BG8" s="771" t="s">
        <v>25</v>
      </c>
      <c r="BH8" s="771" t="s">
        <v>24</v>
      </c>
      <c r="BI8" s="771" t="s">
        <v>25</v>
      </c>
      <c r="BJ8" s="771" t="s">
        <v>24</v>
      </c>
      <c r="BK8" s="771" t="s">
        <v>25</v>
      </c>
      <c r="BL8" s="771" t="s">
        <v>24</v>
      </c>
      <c r="BM8" s="771" t="s">
        <v>25</v>
      </c>
      <c r="BN8" s="771" t="s">
        <v>24</v>
      </c>
      <c r="BO8" s="771" t="s">
        <v>25</v>
      </c>
      <c r="BP8" s="771" t="s">
        <v>24</v>
      </c>
      <c r="BQ8" s="771" t="s">
        <v>25</v>
      </c>
      <c r="BR8" s="771" t="s">
        <v>24</v>
      </c>
      <c r="BS8" s="771" t="s">
        <v>25</v>
      </c>
      <c r="BT8" s="771" t="s">
        <v>24</v>
      </c>
      <c r="BU8" s="771" t="s">
        <v>25</v>
      </c>
      <c r="BV8" s="771" t="s">
        <v>24</v>
      </c>
      <c r="BW8" s="771" t="s">
        <v>25</v>
      </c>
      <c r="BX8" s="771" t="s">
        <v>24</v>
      </c>
      <c r="BY8" s="771" t="s">
        <v>25</v>
      </c>
      <c r="BZ8" s="771" t="s">
        <v>24</v>
      </c>
      <c r="CA8" s="771" t="s">
        <v>25</v>
      </c>
      <c r="CB8" s="771" t="s">
        <v>24</v>
      </c>
      <c r="CC8" s="771" t="s">
        <v>25</v>
      </c>
      <c r="CD8" s="771" t="s">
        <v>24</v>
      </c>
      <c r="CE8" s="771" t="s">
        <v>25</v>
      </c>
      <c r="CF8" s="771" t="s">
        <v>24</v>
      </c>
      <c r="CG8" s="771" t="s">
        <v>25</v>
      </c>
      <c r="CH8" s="771" t="s">
        <v>24</v>
      </c>
      <c r="CI8" s="771" t="s">
        <v>25</v>
      </c>
      <c r="CJ8" s="771" t="s">
        <v>24</v>
      </c>
      <c r="CK8" s="771" t="s">
        <v>25</v>
      </c>
      <c r="CL8" s="771" t="s">
        <v>24</v>
      </c>
      <c r="CM8" s="771" t="s">
        <v>25</v>
      </c>
      <c r="CN8" s="771" t="s">
        <v>24</v>
      </c>
      <c r="CO8" s="771" t="s">
        <v>25</v>
      </c>
      <c r="CP8" s="771" t="s">
        <v>24</v>
      </c>
      <c r="CQ8" s="771" t="s">
        <v>25</v>
      </c>
      <c r="CR8" s="771" t="s">
        <v>24</v>
      </c>
      <c r="CS8" s="771" t="s">
        <v>25</v>
      </c>
      <c r="CT8" s="771" t="s">
        <v>24</v>
      </c>
      <c r="CU8" s="771" t="s">
        <v>25</v>
      </c>
      <c r="CV8" s="771" t="s">
        <v>24</v>
      </c>
      <c r="CW8" s="771" t="s">
        <v>25</v>
      </c>
      <c r="CX8" s="771" t="s">
        <v>24</v>
      </c>
      <c r="CY8" s="771" t="s">
        <v>25</v>
      </c>
      <c r="CZ8" s="771" t="s">
        <v>24</v>
      </c>
      <c r="DA8" s="771"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 ca="1">'SC-II'!J53</f>
        <v>0</v>
      </c>
      <c r="K10" s="256">
        <f ca="1">'SC-II'!K53</f>
        <v>0</v>
      </c>
      <c r="L10" s="256">
        <f ca="1">'SC-II'!L53</f>
        <v>0</v>
      </c>
      <c r="M10" s="256">
        <f ca="1">'SC-II'!M53</f>
        <v>0</v>
      </c>
      <c r="N10" s="256">
        <f ca="1">'SC-II'!N53</f>
        <v>0</v>
      </c>
      <c r="O10" s="256">
        <f ca="1">'SC-II'!O53</f>
        <v>0</v>
      </c>
      <c r="P10" s="256">
        <f ca="1">'SC-II'!P53</f>
        <v>0</v>
      </c>
      <c r="Q10" s="256">
        <f ca="1">'SC-II'!Q53</f>
        <v>0</v>
      </c>
      <c r="R10" s="256">
        <f ca="1">'SC-II'!R53</f>
        <v>0</v>
      </c>
      <c r="S10" s="256">
        <f ca="1">'SC-II'!S53</f>
        <v>0</v>
      </c>
      <c r="T10" s="256">
        <f ca="1">'SC-II'!T53</f>
        <v>0</v>
      </c>
      <c r="U10" s="256">
        <f ca="1">'SC-II'!U53</f>
        <v>0</v>
      </c>
      <c r="V10" s="256">
        <f ca="1">'SC-II'!V53</f>
        <v>0</v>
      </c>
      <c r="W10" s="256">
        <f ca="1">'SC-II'!W53</f>
        <v>0</v>
      </c>
      <c r="X10" s="256">
        <f ca="1">'SC-II'!X53</f>
        <v>0</v>
      </c>
      <c r="Y10" s="256">
        <f ca="1">'SC-II'!Y53</f>
        <v>0</v>
      </c>
      <c r="Z10" s="256">
        <f ca="1">'SC-II'!Z53</f>
        <v>0</v>
      </c>
      <c r="AA10" s="256">
        <f ca="1">'SC-II'!AA53</f>
        <v>0</v>
      </c>
      <c r="AB10" s="256">
        <f ca="1">'SC-II'!AB53</f>
        <v>0</v>
      </c>
      <c r="AC10" s="256">
        <f ca="1">'SC-II'!AC53</f>
        <v>0</v>
      </c>
      <c r="AD10" s="256">
        <f ca="1">'SC-II'!AD53</f>
        <v>0</v>
      </c>
      <c r="AE10" s="256">
        <f ca="1">'SC-II'!AE53</f>
        <v>0</v>
      </c>
      <c r="AF10" s="256">
        <f ca="1">'SC-II'!AF53</f>
        <v>0</v>
      </c>
      <c r="AG10" s="256">
        <f ca="1">'SC-II'!AG53</f>
        <v>0</v>
      </c>
      <c r="AH10" s="256">
        <f ca="1">'SC-II'!AH53</f>
        <v>0</v>
      </c>
      <c r="AI10" s="256">
        <f ca="1">'SC-II'!AI53</f>
        <v>0</v>
      </c>
      <c r="AJ10" s="256">
        <f ca="1">'SC-II'!AJ53</f>
        <v>0</v>
      </c>
      <c r="AK10" s="256">
        <f ca="1">'SC-II'!AK53</f>
        <v>0</v>
      </c>
      <c r="AL10" s="256">
        <f ca="1">'SC-II'!AL53</f>
        <v>0</v>
      </c>
      <c r="AM10" s="256">
        <f ca="1">'SC-II'!AM53</f>
        <v>0</v>
      </c>
      <c r="AN10" s="256">
        <f ca="1">'SC-II'!AN53</f>
        <v>0</v>
      </c>
      <c r="AO10" s="256">
        <f ca="1">'SC-II'!AO53</f>
        <v>0</v>
      </c>
      <c r="AP10" s="256">
        <f ca="1">'SC-II'!AP53</f>
        <v>0</v>
      </c>
      <c r="AQ10" s="256">
        <f ca="1">'SC-II'!AQ53</f>
        <v>0</v>
      </c>
      <c r="AR10" s="256">
        <f ca="1">'SC-II'!AR53</f>
        <v>0</v>
      </c>
      <c r="AS10" s="256">
        <f ca="1">'SC-II'!AS53</f>
        <v>0</v>
      </c>
      <c r="AT10" s="256">
        <f ca="1">'SC-II'!AT53</f>
        <v>0</v>
      </c>
      <c r="AU10" s="256">
        <f ca="1">'SC-II'!AU53</f>
        <v>0</v>
      </c>
      <c r="AV10" s="256">
        <f ca="1">'SC-II'!AV53</f>
        <v>0</v>
      </c>
      <c r="AW10" s="256">
        <f ca="1">'SC-II'!AW53</f>
        <v>0</v>
      </c>
      <c r="AX10" s="256">
        <f ca="1">'SC-II'!AX53</f>
        <v>0</v>
      </c>
      <c r="AY10" s="256">
        <f ca="1">'SC-II'!AY53</f>
        <v>0</v>
      </c>
      <c r="AZ10" s="256">
        <f ca="1">'SC-II'!AZ53</f>
        <v>0</v>
      </c>
      <c r="BA10" s="256">
        <f ca="1">'SC-II'!BA53</f>
        <v>0</v>
      </c>
      <c r="BB10" s="256">
        <f ca="1">'SC-II'!BB53</f>
        <v>0</v>
      </c>
      <c r="BC10" s="256">
        <f ca="1">'SC-II'!BC53</f>
        <v>0</v>
      </c>
      <c r="BD10" s="256">
        <f ca="1">'SC-II'!BD53</f>
        <v>0</v>
      </c>
      <c r="BE10" s="256">
        <f ca="1">'SC-II'!BE53</f>
        <v>0</v>
      </c>
      <c r="BF10" s="256">
        <f ca="1">'SC-II'!BF53</f>
        <v>0</v>
      </c>
      <c r="BG10" s="256">
        <f ca="1">'SC-II'!BG53</f>
        <v>0</v>
      </c>
      <c r="BH10" s="256">
        <f ca="1">'SC-II'!BH53</f>
        <v>0</v>
      </c>
      <c r="BI10" s="256">
        <f ca="1">'SC-II'!BI53</f>
        <v>0</v>
      </c>
      <c r="BJ10" s="256">
        <f ca="1">'SC-II'!BJ53</f>
        <v>0</v>
      </c>
      <c r="BK10" s="256">
        <f ca="1">'SC-II'!BK53</f>
        <v>0</v>
      </c>
      <c r="BL10" s="256">
        <f ca="1">'SC-II'!BL53</f>
        <v>0</v>
      </c>
      <c r="BM10" s="256">
        <f ca="1">'SC-II'!BM53</f>
        <v>0</v>
      </c>
      <c r="BN10" s="256">
        <f ca="1">'SC-II'!BN53</f>
        <v>0</v>
      </c>
      <c r="BO10" s="256">
        <f ca="1">'SC-II'!BO53</f>
        <v>0</v>
      </c>
      <c r="BP10" s="256">
        <f ca="1">'SC-II'!BP53</f>
        <v>0</v>
      </c>
      <c r="BQ10" s="256">
        <f ca="1">'SC-II'!BQ53</f>
        <v>0</v>
      </c>
      <c r="BR10" s="256">
        <f ca="1">'SC-II'!BR53</f>
        <v>0</v>
      </c>
      <c r="BS10" s="256">
        <f ca="1">'SC-II'!BS53</f>
        <v>0</v>
      </c>
      <c r="BT10" s="256">
        <f ca="1">'SC-II'!BT53</f>
        <v>0</v>
      </c>
      <c r="BU10" s="256">
        <f ca="1">'SC-II'!BU53</f>
        <v>0</v>
      </c>
      <c r="BV10" s="256">
        <f ca="1">'SC-II'!BV53</f>
        <v>0</v>
      </c>
      <c r="BW10" s="256">
        <f ca="1">'SC-II'!BW53</f>
        <v>0</v>
      </c>
      <c r="BX10" s="256">
        <f ca="1">'SC-II'!BX53</f>
        <v>0</v>
      </c>
      <c r="BY10" s="256">
        <f ca="1">'SC-II'!BY53</f>
        <v>0</v>
      </c>
      <c r="BZ10" s="256">
        <f ca="1">'SC-II'!BZ53</f>
        <v>0</v>
      </c>
      <c r="CA10" s="256">
        <f ca="1">'SC-II'!CA53</f>
        <v>107861885.00000048</v>
      </c>
      <c r="CB10" s="256">
        <f ca="1">'SC-II'!CB53</f>
        <v>107861885.00000048</v>
      </c>
      <c r="CC10" s="256">
        <f ca="1">'SC-II'!CC53</f>
        <v>0</v>
      </c>
      <c r="CD10" s="256">
        <f ca="1">'SC-II'!CD53</f>
        <v>0</v>
      </c>
      <c r="CE10" s="256">
        <f ca="1">'SC-II'!CE53</f>
        <v>0</v>
      </c>
      <c r="CF10" s="256">
        <f ca="1">'SC-II'!CF53</f>
        <v>0</v>
      </c>
      <c r="CG10" s="256">
        <f ca="1">'SC-II'!CG53</f>
        <v>0</v>
      </c>
      <c r="CH10" s="256">
        <f ca="1">'SC-II'!CH53</f>
        <v>0</v>
      </c>
      <c r="CI10" s="256">
        <f ca="1">'SC-II'!CI53</f>
        <v>0</v>
      </c>
      <c r="CJ10" s="256">
        <f ca="1">'SC-II'!CJ53</f>
        <v>0</v>
      </c>
      <c r="CK10" s="256">
        <f ca="1">'SC-II'!CK53</f>
        <v>0</v>
      </c>
      <c r="CL10" s="256">
        <f ca="1">'SC-II'!CL53</f>
        <v>0</v>
      </c>
      <c r="CM10" s="256">
        <f ca="1">'SC-II'!CM53</f>
        <v>0</v>
      </c>
      <c r="CN10" s="256">
        <f ca="1">'SC-II'!CN53</f>
        <v>0</v>
      </c>
      <c r="CO10" s="256">
        <f ca="1">'SC-II'!CO53</f>
        <v>0</v>
      </c>
      <c r="CP10" s="256">
        <f ca="1">'SC-II'!CP53</f>
        <v>0</v>
      </c>
      <c r="CQ10" s="256">
        <f ca="1">'SC-II'!CQ53</f>
        <v>0</v>
      </c>
      <c r="CR10" s="256">
        <f ca="1">'SC-II'!CR53</f>
        <v>0</v>
      </c>
      <c r="CS10" s="256">
        <f ca="1">'SC-II'!CS53</f>
        <v>0</v>
      </c>
      <c r="CT10" s="256">
        <f ca="1">'SC-II'!CT53</f>
        <v>0</v>
      </c>
      <c r="CU10" s="256">
        <f ca="1">'SC-II'!CU53</f>
        <v>0</v>
      </c>
      <c r="CV10" s="256">
        <f ca="1">'SC-II'!CV53</f>
        <v>0</v>
      </c>
      <c r="CW10" s="256">
        <f ca="1">'SC-II'!CW53</f>
        <v>0</v>
      </c>
      <c r="CX10" s="256">
        <f ca="1">'SC-II'!CX53</f>
        <v>0</v>
      </c>
      <c r="CY10" s="256">
        <f ca="1">'SC-II'!CY53</f>
        <v>0</v>
      </c>
      <c r="CZ10" s="256">
        <f ca="1">'SC-II'!CZ53</f>
        <v>0</v>
      </c>
      <c r="DA10" s="256">
        <f ca="1">'SC-II'!DA53</f>
        <v>0</v>
      </c>
    </row>
    <row r="11" spans="1:105" s="257" customFormat="1" ht="15.75" customHeight="1">
      <c r="A11" s="60">
        <f t="array" aca="1" ref="A11" ca="1">IF(C11&lt;&gt;0,SUM(($C$11:C11&lt;&gt;0)*1),"")</f>
        <v>1</v>
      </c>
      <c r="B11" s="258" t="str">
        <f ca="1">IF(ROWS($1:1)&gt;COUNT(Dong8),"",OFFSET(TH!C$1,SMALL(Dong8,ROWS($1:1)),))</f>
        <v/>
      </c>
      <c r="C11" s="258" t="str">
        <f ca="1">IF(ROWS($1:1)&gt;COUNT(Dong8),"",OFFSET(TH!D$1,SMALL(Dong8,ROWS($1:1)),))</f>
        <v/>
      </c>
      <c r="D11" s="258" t="str">
        <f ca="1">IF(ROWS($1:1)&gt;COUNT(Dong8),"",OFFSET(TH!E$1,SMALL(Dong8,ROWS($1:1)),))</f>
        <v/>
      </c>
      <c r="E11" s="337" t="str">
        <f ca="1">IF(ROWS($1:1)&gt;COUNT(Dong8),"",OFFSET(TH!F$1,SMALL(Dong8,ROWS($1:1)),))</f>
        <v/>
      </c>
      <c r="F11" s="309" t="str">
        <f ca="1">IF(ROWS($1:1)&gt;COUNT(Dong8),"",OFFSET(TH!M$1,SMALL(Dong8,ROWS($1:1)),))</f>
        <v/>
      </c>
      <c r="G11" s="311" t="str">
        <f ca="1">IF(ROWS($1:1)&gt;COUNT(Dong8),"",OFFSET(TH!N$1,SMALL(Dong8,ROWS($1:1)),))</f>
        <v/>
      </c>
      <c r="H11" s="311" t="str">
        <f ca="1">IF(ROWS($1:1)&gt;COUNT(Dong8),"",OFFSET(TH!O$1,SMALL(Dong8,ROWS($1:1)),))</f>
        <v/>
      </c>
      <c r="I11" s="60">
        <f t="shared" ref="I11:I26" ca="1" si="0">A11</f>
        <v>1</v>
      </c>
      <c r="J11" s="260">
        <f ca="1">IF($G11="1111",$F11,0)</f>
        <v>0</v>
      </c>
      <c r="K11" s="260">
        <f ca="1">IF($H11="1111",$F11,0)</f>
        <v>0</v>
      </c>
      <c r="L11" s="260">
        <f t="shared" ref="L11:L50" ca="1" si="1">IF($G11="1121",$F11,0)</f>
        <v>0</v>
      </c>
      <c r="M11" s="260">
        <f t="shared" ref="M11:M50" ca="1" si="2">IF($H11="1121",$F11,0)</f>
        <v>0</v>
      </c>
      <c r="N11" s="260">
        <f t="shared" ref="N11:N50" ca="1" si="3">IF($G11="1122",$F11,0)</f>
        <v>0</v>
      </c>
      <c r="O11" s="260">
        <f t="shared" ref="O11:O50" ca="1" si="4">IF($H11="1122",$F11,0)</f>
        <v>0</v>
      </c>
      <c r="P11" s="260">
        <f t="shared" ref="P11:P50" ca="1" si="5">IF($G11="131",$F11,0)</f>
        <v>0</v>
      </c>
      <c r="Q11" s="260">
        <f t="shared" ref="Q11:Q50" ca="1" si="6">IF($H11="131",$F11,0)</f>
        <v>0</v>
      </c>
      <c r="R11" s="260">
        <f t="shared" ref="R11:R50" ca="1" si="7">IF($G11="1331",$F11,0)</f>
        <v>0</v>
      </c>
      <c r="S11" s="260">
        <f t="shared" ref="S11:S50" ca="1" si="8">IF($H11="1331",$F11,0)</f>
        <v>0</v>
      </c>
      <c r="T11" s="260">
        <f t="shared" ref="T11:T50" ca="1" si="9">IF($G11="1388",$F11,0)</f>
        <v>0</v>
      </c>
      <c r="U11" s="260">
        <f t="shared" ref="U11:U50" ca="1" si="10">IF($H11="1388",$F11,0)</f>
        <v>0</v>
      </c>
      <c r="V11" s="260">
        <f t="shared" ref="V11:V50" ca="1" si="11">IF($G11="141",$F11,0)</f>
        <v>0</v>
      </c>
      <c r="W11" s="260">
        <f t="shared" ref="W11:W50" ca="1" si="12">IF($H11="141",$F11,0)</f>
        <v>0</v>
      </c>
      <c r="X11" s="260">
        <f t="shared" ref="X11:X50" ca="1" si="13">IF($G11="1521",$F11,0)</f>
        <v>0</v>
      </c>
      <c r="Y11" s="260">
        <f t="shared" ref="Y11:Y50" ca="1" si="14">IF($H11="1521",$F11,0)</f>
        <v>0</v>
      </c>
      <c r="Z11" s="260">
        <f t="shared" ref="Z11:Z50" ca="1" si="15">IF($G11="1522",$F11,0)</f>
        <v>0</v>
      </c>
      <c r="AA11" s="260">
        <f t="shared" ref="AA11:AA50" ca="1" si="16">IF($H11="1522",$F11,0)</f>
        <v>0</v>
      </c>
      <c r="AB11" s="260">
        <f ca="1">IF($G11="153",$F11,0)</f>
        <v>0</v>
      </c>
      <c r="AC11" s="260">
        <f ca="1">IF($H11="153",$F11,0)</f>
        <v>0</v>
      </c>
      <c r="AD11" s="260">
        <f t="shared" ref="AD11:AD50" ca="1" si="17">IF($G11="154",$F11,0)</f>
        <v>0</v>
      </c>
      <c r="AE11" s="260">
        <f t="shared" ref="AE11:AE50" ca="1" si="18">IF($H11="154",$F11,0)</f>
        <v>0</v>
      </c>
      <c r="AF11" s="260">
        <f t="shared" ref="AF11:AF50" ca="1" si="19">IF($G11="155",$F11,0)</f>
        <v>0</v>
      </c>
      <c r="AG11" s="260">
        <f t="shared" ref="AG11:AG50"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0" ca="1" si="21">IF($G11="2141",$F11,0)</f>
        <v>0</v>
      </c>
      <c r="AQ11" s="260">
        <f t="shared" ref="AQ11:AQ50" ca="1" si="22">IF($H11="2141",$F11,0)</f>
        <v>0</v>
      </c>
      <c r="AR11" s="260">
        <f t="shared" ref="AR11:AR50" ca="1" si="23">IF($G11="2143",$F11,0)</f>
        <v>0</v>
      </c>
      <c r="AS11" s="260">
        <f t="shared" ref="AS11:AS50" ca="1" si="24">IF($H11="2143",$F11,0)</f>
        <v>0</v>
      </c>
      <c r="AT11" s="260">
        <f ca="1">IF($G11="2412",$F11,0)</f>
        <v>0</v>
      </c>
      <c r="AU11" s="260">
        <f ca="1">IF($H11="2412",$F11,0)</f>
        <v>0</v>
      </c>
      <c r="AV11" s="260">
        <f t="shared" ref="AV11:AV50" ca="1" si="25">IF($G11="331",$F11,0)</f>
        <v>0</v>
      </c>
      <c r="AW11" s="260">
        <f t="shared" ref="AW11:AW50" ca="1" si="26">IF($H11="331",$F11,0)</f>
        <v>0</v>
      </c>
      <c r="AX11" s="260">
        <f t="shared" ref="AX11:AX50" ca="1" si="27">IF($G11="33311",$F11,0)</f>
        <v>0</v>
      </c>
      <c r="AY11" s="260">
        <f t="shared" ref="AY11:AY50" ca="1" si="28">IF($H11="33311",$F11,0)</f>
        <v>0</v>
      </c>
      <c r="AZ11" s="260">
        <f t="shared" ref="AZ11:AZ50" ca="1" si="29">IF($G11="33312",$F11,0)</f>
        <v>0</v>
      </c>
      <c r="BA11" s="260">
        <f t="shared" ref="BA11:BA50" ca="1" si="30">IF($H11="33312",$F11,0)</f>
        <v>0</v>
      </c>
      <c r="BB11" s="260">
        <f t="shared" ref="BB11:BB50" ca="1" si="31">IF($G11="3333",$F11,0)</f>
        <v>0</v>
      </c>
      <c r="BC11" s="260">
        <f t="shared" ref="BC11:BC50" ca="1" si="32">IF($H11="3333",$F11,0)</f>
        <v>0</v>
      </c>
      <c r="BD11" s="260">
        <f t="shared" ref="BD11:BD50" ca="1" si="33">IF($G11="3334",$F11,0)</f>
        <v>0</v>
      </c>
      <c r="BE11" s="260">
        <f t="shared" ref="BE11:BE50" ca="1" si="34">IF($H11="3334",$F11,0)</f>
        <v>0</v>
      </c>
      <c r="BF11" s="260">
        <f t="shared" ref="BF11:BF50" ca="1" si="35">IF($G11="3335",$F11,0)</f>
        <v>0</v>
      </c>
      <c r="BG11" s="260">
        <f t="shared" ref="BG11:BG50" ca="1" si="36">IF($H11="3335",$F11,0)</f>
        <v>0</v>
      </c>
      <c r="BH11" s="260">
        <f ca="1">IF($G11="33382",$F11,0)</f>
        <v>0</v>
      </c>
      <c r="BI11" s="260">
        <f ca="1">IF($H11="33382",$F11,0)</f>
        <v>0</v>
      </c>
      <c r="BJ11" s="260">
        <f t="shared" ref="BJ11:BJ50" ca="1" si="37">IF($G11="3341",$F11,0)</f>
        <v>0</v>
      </c>
      <c r="BK11" s="260">
        <f t="shared" ref="BK11:BK50" ca="1" si="38">IF($H11="3341",$F11,0)</f>
        <v>0</v>
      </c>
      <c r="BL11" s="260">
        <f t="shared" ref="BL11:BL50" ca="1" si="39">IF($G11="3383",$F11,0)</f>
        <v>0</v>
      </c>
      <c r="BM11" s="260">
        <f t="shared" ref="BM11:BM50" ca="1" si="40">IF($H11="3383",$F11,0)</f>
        <v>0</v>
      </c>
      <c r="BN11" s="260">
        <f t="shared" ref="BN11:BN50" ca="1" si="41">IF($G11="3384",$F11,0)</f>
        <v>0</v>
      </c>
      <c r="BO11" s="260">
        <f t="shared" ref="BO11:BO50" ca="1" si="42">IF($H11="3384",$F11,0)</f>
        <v>0</v>
      </c>
      <c r="BP11" s="260">
        <f ca="1">IF($G11="3386",$F11,0)</f>
        <v>0</v>
      </c>
      <c r="BQ11" s="260">
        <f ca="1">IF($H11="3386",$F11,0)</f>
        <v>0</v>
      </c>
      <c r="BR11" s="260">
        <f t="shared" ref="BR11:BR50" ca="1" si="43">IF($G11="3388",$F11,0)</f>
        <v>0</v>
      </c>
      <c r="BS11" s="260">
        <f t="shared" ref="BS11:BS50" ca="1" si="44">IF($H11="3388",$F11,0)</f>
        <v>0</v>
      </c>
      <c r="BT11" s="260">
        <f ca="1">IF($G11="3411",$F11,0)</f>
        <v>0</v>
      </c>
      <c r="BU11" s="260">
        <f ca="1">IF($H11="3411",$F11,0)</f>
        <v>0</v>
      </c>
      <c r="BV11" s="260">
        <f ca="1">IF($G11="3412",$F11,0)</f>
        <v>0</v>
      </c>
      <c r="BW11" s="260">
        <f ca="1">IF($H11="3412",$F11,0)</f>
        <v>0</v>
      </c>
      <c r="BX11" s="260">
        <f t="shared" ref="BX11:BX50" ca="1" si="45">IF($G11="4111",$F11,0)</f>
        <v>0</v>
      </c>
      <c r="BY11" s="260">
        <f t="shared" ref="BY11:BY50" ca="1" si="46">IF($H11="4111",$F11,0)</f>
        <v>0</v>
      </c>
      <c r="BZ11" s="260">
        <f t="shared" ref="BZ11:BZ50" ca="1" si="47">IF($G11="4211",$F11,0)</f>
        <v>0</v>
      </c>
      <c r="CA11" s="260">
        <f t="shared" ref="CA11:CA50" ca="1" si="48">IF($H11="4211",$F11,0)</f>
        <v>0</v>
      </c>
      <c r="CB11" s="260">
        <f t="shared" ref="CB11:CB50" ca="1" si="49">IF($G11="4212",$F11,0)</f>
        <v>0</v>
      </c>
      <c r="CC11" s="260">
        <f t="shared" ref="CC11:CC50" ca="1" si="50">IF($H11="4212",$F11,0)</f>
        <v>0</v>
      </c>
      <c r="CD11" s="260">
        <f ca="1">IF($G11="5112N",$F11,0)</f>
        <v>0</v>
      </c>
      <c r="CE11" s="260">
        <f ca="1">IF($H11="5112N",$F11,0)</f>
        <v>0</v>
      </c>
      <c r="CF11" s="260">
        <f ca="1">IF($G11="5112X",$F11,0)</f>
        <v>0</v>
      </c>
      <c r="CG11" s="260">
        <f ca="1">IF($H11="5112X",$F11,0)</f>
        <v>0</v>
      </c>
      <c r="CH11" s="260">
        <f t="shared" ref="CH11:CH50" ca="1" si="51">IF($G11="515",$F11,0)</f>
        <v>0</v>
      </c>
      <c r="CI11" s="260">
        <f t="shared" ref="CI11:CI50" ca="1" si="52">IF($H11="515",$F11,0)</f>
        <v>0</v>
      </c>
      <c r="CJ11" s="260">
        <f ca="1">IF($G11="5213",$F11,0)</f>
        <v>0</v>
      </c>
      <c r="CK11" s="260">
        <f ca="1">IF($H11="5213",$F11,0)</f>
        <v>0</v>
      </c>
      <c r="CL11" s="260">
        <f t="shared" ref="CL11:CL50" ca="1" si="53">IF($G11="632",$F11,0)</f>
        <v>0</v>
      </c>
      <c r="CM11" s="260">
        <f t="shared" ref="CM11:CM50" ca="1" si="54">IF($H11="632",$F11,0)</f>
        <v>0</v>
      </c>
      <c r="CN11" s="260">
        <f t="shared" ref="CN11:CN50" ca="1" si="55">IF($G11="635",$F11,0)</f>
        <v>0</v>
      </c>
      <c r="CO11" s="260">
        <f t="shared" ref="CO11:CO50" ca="1" si="56">IF($H11="635",$F11,0)</f>
        <v>0</v>
      </c>
      <c r="CP11" s="260">
        <f ca="1">IF($G11="641",$F11,0)</f>
        <v>0</v>
      </c>
      <c r="CQ11" s="260">
        <f ca="1">IF($H11="641",$F11,0)</f>
        <v>0</v>
      </c>
      <c r="CR11" s="260">
        <f ca="1">IF($G11="642",$F11,0)</f>
        <v>0</v>
      </c>
      <c r="CS11" s="260">
        <f ca="1">IF($H11="642",$F11,0)</f>
        <v>0</v>
      </c>
      <c r="CT11" s="260">
        <f t="shared" ref="CT11:CT50" ca="1" si="57">IF($G11="711",$F11,0)</f>
        <v>0</v>
      </c>
      <c r="CU11" s="260">
        <f t="shared" ref="CU11:CU50" ca="1" si="58">IF($H11="711",$F11,0)</f>
        <v>0</v>
      </c>
      <c r="CV11" s="260">
        <f t="shared" ref="CV11:CV50" ca="1" si="59">IF($G11="811",$F11,0)</f>
        <v>0</v>
      </c>
      <c r="CW11" s="260">
        <f t="shared" ref="CW11:CW50" ca="1" si="60">IF($H11="811",$F11,0)</f>
        <v>0</v>
      </c>
      <c r="CX11" s="260">
        <f ca="1">IF($G11="821",$F11,0)</f>
        <v>0</v>
      </c>
      <c r="CY11" s="260">
        <f ca="1">IF($H11="821",$F11,0)</f>
        <v>0</v>
      </c>
      <c r="CZ11" s="260">
        <f ca="1">IF($G11="911",$F11,0)</f>
        <v>0</v>
      </c>
      <c r="DA11" s="260">
        <f ca="1">IF($H11="911",$F11,0)</f>
        <v>0</v>
      </c>
    </row>
    <row r="12" spans="1:105" s="257" customFormat="1" ht="15.75" customHeight="1">
      <c r="A12" s="60" t="str">
        <f t="array" ref="A12">IF(C12&lt;&gt;0,SUM(($C$11:C12&lt;&gt;0)*1),"")</f>
        <v/>
      </c>
      <c r="B12" s="258"/>
      <c r="C12" s="258"/>
      <c r="D12" s="258"/>
      <c r="E12" s="337"/>
      <c r="F12" s="309"/>
      <c r="G12" s="311"/>
      <c r="H12" s="311"/>
      <c r="I12" s="60" t="str">
        <f t="shared" si="0"/>
        <v/>
      </c>
      <c r="J12" s="260">
        <f t="shared" ref="J12:J50" si="61">IF($G12="1111",$F12,0)</f>
        <v>0</v>
      </c>
      <c r="K12" s="260">
        <f t="shared" ref="K12:K50" si="62">IF($H12="1111",$F12,0)</f>
        <v>0</v>
      </c>
      <c r="L12" s="260">
        <f t="shared" si="1"/>
        <v>0</v>
      </c>
      <c r="M12" s="260">
        <f t="shared" si="2"/>
        <v>0</v>
      </c>
      <c r="N12" s="260">
        <f t="shared" si="3"/>
        <v>0</v>
      </c>
      <c r="O12" s="260">
        <f t="shared" si="4"/>
        <v>0</v>
      </c>
      <c r="P12" s="260">
        <f t="shared" si="5"/>
        <v>0</v>
      </c>
      <c r="Q12" s="260">
        <f t="shared" si="6"/>
        <v>0</v>
      </c>
      <c r="R12" s="260">
        <f t="shared" si="7"/>
        <v>0</v>
      </c>
      <c r="S12" s="260">
        <f t="shared" si="8"/>
        <v>0</v>
      </c>
      <c r="T12" s="260">
        <f t="shared" si="9"/>
        <v>0</v>
      </c>
      <c r="U12" s="260">
        <f t="shared" si="10"/>
        <v>0</v>
      </c>
      <c r="V12" s="260">
        <f t="shared" si="11"/>
        <v>0</v>
      </c>
      <c r="W12" s="260">
        <f t="shared" si="12"/>
        <v>0</v>
      </c>
      <c r="X12" s="260">
        <f t="shared" si="13"/>
        <v>0</v>
      </c>
      <c r="Y12" s="260">
        <f t="shared" si="14"/>
        <v>0</v>
      </c>
      <c r="Z12" s="260">
        <f t="shared" si="15"/>
        <v>0</v>
      </c>
      <c r="AA12" s="260">
        <f t="shared" si="16"/>
        <v>0</v>
      </c>
      <c r="AB12" s="260">
        <f t="shared" ref="AB12:AB50" si="63">IF($G12="153",$F12,0)</f>
        <v>0</v>
      </c>
      <c r="AC12" s="260">
        <f t="shared" ref="AC12:AC50" si="64">IF($H12="153",$F12,0)</f>
        <v>0</v>
      </c>
      <c r="AD12" s="260">
        <f t="shared" si="17"/>
        <v>0</v>
      </c>
      <c r="AE12" s="260">
        <f t="shared" si="18"/>
        <v>0</v>
      </c>
      <c r="AF12" s="260">
        <f t="shared" si="19"/>
        <v>0</v>
      </c>
      <c r="AG12" s="260">
        <f t="shared" si="20"/>
        <v>0</v>
      </c>
      <c r="AH12" s="260">
        <f t="shared" ref="AH12:AH50" si="65">IF($G12="2111",$F12,0)</f>
        <v>0</v>
      </c>
      <c r="AI12" s="260">
        <f t="shared" ref="AI12:AI50" si="66">IF($H12="2111",$F12,0)</f>
        <v>0</v>
      </c>
      <c r="AJ12" s="260">
        <f t="shared" ref="AJ12:AJ50" si="67">IF($G12="2112",$F12,0)</f>
        <v>0</v>
      </c>
      <c r="AK12" s="260">
        <f t="shared" ref="AK12:AK50" si="68">IF($H12="2112",$F12,0)</f>
        <v>0</v>
      </c>
      <c r="AL12" s="260">
        <f t="shared" ref="AL12:AL50" si="69">IF($G12="2113",$F12,0)</f>
        <v>0</v>
      </c>
      <c r="AM12" s="260">
        <f t="shared" ref="AM12:AM50" si="70">IF($H12="2113",$F12,0)</f>
        <v>0</v>
      </c>
      <c r="AN12" s="260">
        <f t="shared" ref="AN12:AN50" si="71">IF($G12="2131",$F12,0)</f>
        <v>0</v>
      </c>
      <c r="AO12" s="260">
        <f t="shared" ref="AO12:AO50" si="72">IF($H12="2131",$F12,0)</f>
        <v>0</v>
      </c>
      <c r="AP12" s="260">
        <f t="shared" si="21"/>
        <v>0</v>
      </c>
      <c r="AQ12" s="260">
        <f t="shared" si="22"/>
        <v>0</v>
      </c>
      <c r="AR12" s="260">
        <f t="shared" si="23"/>
        <v>0</v>
      </c>
      <c r="AS12" s="260">
        <f t="shared" si="24"/>
        <v>0</v>
      </c>
      <c r="AT12" s="260">
        <f t="shared" ref="AT12:AT50" si="73">IF($G12="2412",$F12,0)</f>
        <v>0</v>
      </c>
      <c r="AU12" s="260">
        <f t="shared" ref="AU12:AU50" si="74">IF($H12="2412",$F12,0)</f>
        <v>0</v>
      </c>
      <c r="AV12" s="260">
        <f t="shared" si="25"/>
        <v>0</v>
      </c>
      <c r="AW12" s="260">
        <f t="shared" si="26"/>
        <v>0</v>
      </c>
      <c r="AX12" s="260">
        <f t="shared" si="27"/>
        <v>0</v>
      </c>
      <c r="AY12" s="260">
        <f t="shared" si="28"/>
        <v>0</v>
      </c>
      <c r="AZ12" s="260">
        <f t="shared" si="29"/>
        <v>0</v>
      </c>
      <c r="BA12" s="260">
        <f t="shared" si="30"/>
        <v>0</v>
      </c>
      <c r="BB12" s="260">
        <f t="shared" si="31"/>
        <v>0</v>
      </c>
      <c r="BC12" s="260">
        <f t="shared" si="32"/>
        <v>0</v>
      </c>
      <c r="BD12" s="260">
        <f t="shared" si="33"/>
        <v>0</v>
      </c>
      <c r="BE12" s="260">
        <f t="shared" si="34"/>
        <v>0</v>
      </c>
      <c r="BF12" s="260">
        <f t="shared" si="35"/>
        <v>0</v>
      </c>
      <c r="BG12" s="260">
        <f t="shared" si="36"/>
        <v>0</v>
      </c>
      <c r="BH12" s="260">
        <f t="shared" ref="BH12:BH50" si="75">IF($G12="33382",$F12,0)</f>
        <v>0</v>
      </c>
      <c r="BI12" s="260">
        <f t="shared" ref="BI12:BI50" si="76">IF($H12="33382",$F12,0)</f>
        <v>0</v>
      </c>
      <c r="BJ12" s="260">
        <f t="shared" si="37"/>
        <v>0</v>
      </c>
      <c r="BK12" s="260">
        <f t="shared" si="38"/>
        <v>0</v>
      </c>
      <c r="BL12" s="260">
        <f t="shared" si="39"/>
        <v>0</v>
      </c>
      <c r="BM12" s="260">
        <f t="shared" si="40"/>
        <v>0</v>
      </c>
      <c r="BN12" s="260">
        <f t="shared" si="41"/>
        <v>0</v>
      </c>
      <c r="BO12" s="260">
        <f t="shared" si="42"/>
        <v>0</v>
      </c>
      <c r="BP12" s="260">
        <f t="shared" ref="BP12:BP50" si="77">IF($G12="3386",$F12,0)</f>
        <v>0</v>
      </c>
      <c r="BQ12" s="260">
        <f t="shared" ref="BQ12:BQ50" si="78">IF($H12="3386",$F12,0)</f>
        <v>0</v>
      </c>
      <c r="BR12" s="260">
        <f t="shared" si="43"/>
        <v>0</v>
      </c>
      <c r="BS12" s="260">
        <f t="shared" si="44"/>
        <v>0</v>
      </c>
      <c r="BT12" s="260">
        <f t="shared" ref="BT12:BT50" si="79">IF($G12="3411",$F12,0)</f>
        <v>0</v>
      </c>
      <c r="BU12" s="260">
        <f t="shared" ref="BU12:BU50" si="80">IF($H12="3411",$F12,0)</f>
        <v>0</v>
      </c>
      <c r="BV12" s="260">
        <f t="shared" ref="BV12:BV50" si="81">IF($G12="3412",$F12,0)</f>
        <v>0</v>
      </c>
      <c r="BW12" s="260">
        <f t="shared" ref="BW12:BW50" si="82">IF($H12="3412",$F12,0)</f>
        <v>0</v>
      </c>
      <c r="BX12" s="260">
        <f t="shared" si="45"/>
        <v>0</v>
      </c>
      <c r="BY12" s="260">
        <f t="shared" si="46"/>
        <v>0</v>
      </c>
      <c r="BZ12" s="260">
        <f t="shared" si="47"/>
        <v>0</v>
      </c>
      <c r="CA12" s="260">
        <f t="shared" si="48"/>
        <v>0</v>
      </c>
      <c r="CB12" s="260">
        <f t="shared" si="49"/>
        <v>0</v>
      </c>
      <c r="CC12" s="260">
        <f t="shared" si="50"/>
        <v>0</v>
      </c>
      <c r="CD12" s="260">
        <f t="shared" ref="CD12:CD50" si="83">IF($G12="5112N",$F12,0)</f>
        <v>0</v>
      </c>
      <c r="CE12" s="260">
        <f t="shared" ref="CE12:CE50" si="84">IF($H12="5112N",$F12,0)</f>
        <v>0</v>
      </c>
      <c r="CF12" s="260">
        <f t="shared" ref="CF12:CF50" si="85">IF($G12="5112X",$F12,0)</f>
        <v>0</v>
      </c>
      <c r="CG12" s="260">
        <f t="shared" ref="CG12:CG50" si="86">IF($H12="5112X",$F12,0)</f>
        <v>0</v>
      </c>
      <c r="CH12" s="260">
        <f t="shared" si="51"/>
        <v>0</v>
      </c>
      <c r="CI12" s="260">
        <f t="shared" si="52"/>
        <v>0</v>
      </c>
      <c r="CJ12" s="260">
        <f t="shared" ref="CJ12:CJ50" si="87">IF($G12="5213",$F12,0)</f>
        <v>0</v>
      </c>
      <c r="CK12" s="260">
        <f t="shared" ref="CK12:CK50" si="88">IF($H12="5213",$F12,0)</f>
        <v>0</v>
      </c>
      <c r="CL12" s="260">
        <f t="shared" si="53"/>
        <v>0</v>
      </c>
      <c r="CM12" s="260">
        <f t="shared" si="54"/>
        <v>0</v>
      </c>
      <c r="CN12" s="260">
        <f t="shared" si="55"/>
        <v>0</v>
      </c>
      <c r="CO12" s="260">
        <f t="shared" si="56"/>
        <v>0</v>
      </c>
      <c r="CP12" s="260">
        <f t="shared" ref="CP12:CP50" si="89">IF($G12="641",$F12,0)</f>
        <v>0</v>
      </c>
      <c r="CQ12" s="260">
        <f t="shared" ref="CQ12:CQ50" si="90">IF($H12="641",$F12,0)</f>
        <v>0</v>
      </c>
      <c r="CR12" s="260">
        <f t="shared" ref="CR12:CR50" si="91">IF($G12="642",$F12,0)</f>
        <v>0</v>
      </c>
      <c r="CS12" s="260">
        <f t="shared" ref="CS12:CS50" si="92">IF($H12="642",$F12,0)</f>
        <v>0</v>
      </c>
      <c r="CT12" s="260">
        <f t="shared" si="57"/>
        <v>0</v>
      </c>
      <c r="CU12" s="260">
        <f t="shared" si="58"/>
        <v>0</v>
      </c>
      <c r="CV12" s="260">
        <f t="shared" si="59"/>
        <v>0</v>
      </c>
      <c r="CW12" s="260">
        <f t="shared" si="60"/>
        <v>0</v>
      </c>
      <c r="CX12" s="260">
        <f t="shared" ref="CX12:CX50" si="93">IF($G12="821",$F12,0)</f>
        <v>0</v>
      </c>
      <c r="CY12" s="260">
        <f t="shared" ref="CY12:CY50" si="94">IF($H12="821",$F12,0)</f>
        <v>0</v>
      </c>
      <c r="CZ12" s="260">
        <f t="shared" ref="CZ12:CZ50" si="95">IF($G12="911",$F12,0)</f>
        <v>0</v>
      </c>
      <c r="DA12" s="260">
        <f t="shared" ref="DA12:DA50" si="96">IF($H12="911",$F12,0)</f>
        <v>0</v>
      </c>
    </row>
    <row r="13" spans="1:105" s="257" customFormat="1" ht="15.75" customHeight="1">
      <c r="A13" s="60" t="str">
        <f t="array" ref="A13">IF(C13&lt;&gt;0,SUM(($C$11:C13&lt;&gt;0)*1),"")</f>
        <v/>
      </c>
      <c r="B13" s="258"/>
      <c r="C13" s="258"/>
      <c r="D13" s="258"/>
      <c r="E13" s="337"/>
      <c r="F13" s="309"/>
      <c r="G13" s="311"/>
      <c r="H13" s="311"/>
      <c r="I13" s="60" t="str">
        <f t="shared" si="0"/>
        <v/>
      </c>
      <c r="J13" s="260">
        <f t="shared" si="61"/>
        <v>0</v>
      </c>
      <c r="K13" s="260">
        <f t="shared" si="62"/>
        <v>0</v>
      </c>
      <c r="L13" s="260">
        <f t="shared" si="1"/>
        <v>0</v>
      </c>
      <c r="M13" s="260">
        <f t="shared" si="2"/>
        <v>0</v>
      </c>
      <c r="N13" s="260">
        <f t="shared" si="3"/>
        <v>0</v>
      </c>
      <c r="O13" s="260">
        <f t="shared" si="4"/>
        <v>0</v>
      </c>
      <c r="P13" s="260">
        <f t="shared" si="5"/>
        <v>0</v>
      </c>
      <c r="Q13" s="260">
        <f t="shared" si="6"/>
        <v>0</v>
      </c>
      <c r="R13" s="260">
        <f t="shared" si="7"/>
        <v>0</v>
      </c>
      <c r="S13" s="260">
        <f t="shared" si="8"/>
        <v>0</v>
      </c>
      <c r="T13" s="260">
        <f t="shared" si="9"/>
        <v>0</v>
      </c>
      <c r="U13" s="260">
        <f t="shared" si="10"/>
        <v>0</v>
      </c>
      <c r="V13" s="260">
        <f t="shared" si="11"/>
        <v>0</v>
      </c>
      <c r="W13" s="260">
        <f t="shared" si="12"/>
        <v>0</v>
      </c>
      <c r="X13" s="260">
        <f t="shared" si="13"/>
        <v>0</v>
      </c>
      <c r="Y13" s="260">
        <f t="shared" si="14"/>
        <v>0</v>
      </c>
      <c r="Z13" s="260">
        <f t="shared" si="15"/>
        <v>0</v>
      </c>
      <c r="AA13" s="260">
        <f t="shared" si="16"/>
        <v>0</v>
      </c>
      <c r="AB13" s="260">
        <f t="shared" si="63"/>
        <v>0</v>
      </c>
      <c r="AC13" s="260">
        <f t="shared" si="64"/>
        <v>0</v>
      </c>
      <c r="AD13" s="260">
        <f t="shared" si="17"/>
        <v>0</v>
      </c>
      <c r="AE13" s="260">
        <f t="shared" si="18"/>
        <v>0</v>
      </c>
      <c r="AF13" s="260">
        <f t="shared" si="19"/>
        <v>0</v>
      </c>
      <c r="AG13" s="260">
        <f t="shared" si="20"/>
        <v>0</v>
      </c>
      <c r="AH13" s="260">
        <f t="shared" si="65"/>
        <v>0</v>
      </c>
      <c r="AI13" s="260">
        <f t="shared" si="66"/>
        <v>0</v>
      </c>
      <c r="AJ13" s="260">
        <f t="shared" si="67"/>
        <v>0</v>
      </c>
      <c r="AK13" s="260">
        <f t="shared" si="68"/>
        <v>0</v>
      </c>
      <c r="AL13" s="260">
        <f t="shared" si="69"/>
        <v>0</v>
      </c>
      <c r="AM13" s="260">
        <f t="shared" si="70"/>
        <v>0</v>
      </c>
      <c r="AN13" s="260">
        <f t="shared" si="71"/>
        <v>0</v>
      </c>
      <c r="AO13" s="260">
        <f t="shared" si="72"/>
        <v>0</v>
      </c>
      <c r="AP13" s="260">
        <f t="shared" si="21"/>
        <v>0</v>
      </c>
      <c r="AQ13" s="260">
        <f t="shared" si="22"/>
        <v>0</v>
      </c>
      <c r="AR13" s="260">
        <f t="shared" si="23"/>
        <v>0</v>
      </c>
      <c r="AS13" s="260">
        <f t="shared" si="24"/>
        <v>0</v>
      </c>
      <c r="AT13" s="260">
        <f t="shared" si="73"/>
        <v>0</v>
      </c>
      <c r="AU13" s="260">
        <f t="shared" si="74"/>
        <v>0</v>
      </c>
      <c r="AV13" s="260">
        <f t="shared" si="25"/>
        <v>0</v>
      </c>
      <c r="AW13" s="260">
        <f t="shared" si="26"/>
        <v>0</v>
      </c>
      <c r="AX13" s="260">
        <f t="shared" si="27"/>
        <v>0</v>
      </c>
      <c r="AY13" s="260">
        <f t="shared" si="28"/>
        <v>0</v>
      </c>
      <c r="AZ13" s="260">
        <f t="shared" si="29"/>
        <v>0</v>
      </c>
      <c r="BA13" s="260">
        <f t="shared" si="30"/>
        <v>0</v>
      </c>
      <c r="BB13" s="260">
        <f t="shared" si="31"/>
        <v>0</v>
      </c>
      <c r="BC13" s="260">
        <f t="shared" si="32"/>
        <v>0</v>
      </c>
      <c r="BD13" s="260">
        <f t="shared" si="33"/>
        <v>0</v>
      </c>
      <c r="BE13" s="260">
        <f t="shared" si="34"/>
        <v>0</v>
      </c>
      <c r="BF13" s="260">
        <f t="shared" si="35"/>
        <v>0</v>
      </c>
      <c r="BG13" s="260">
        <f t="shared" si="36"/>
        <v>0</v>
      </c>
      <c r="BH13" s="260">
        <f t="shared" si="75"/>
        <v>0</v>
      </c>
      <c r="BI13" s="260">
        <f t="shared" si="76"/>
        <v>0</v>
      </c>
      <c r="BJ13" s="260">
        <f t="shared" si="37"/>
        <v>0</v>
      </c>
      <c r="BK13" s="260">
        <f t="shared" si="38"/>
        <v>0</v>
      </c>
      <c r="BL13" s="260">
        <f t="shared" si="39"/>
        <v>0</v>
      </c>
      <c r="BM13" s="260">
        <f t="shared" si="40"/>
        <v>0</v>
      </c>
      <c r="BN13" s="260">
        <f t="shared" si="41"/>
        <v>0</v>
      </c>
      <c r="BO13" s="260">
        <f t="shared" si="42"/>
        <v>0</v>
      </c>
      <c r="BP13" s="260">
        <f t="shared" si="77"/>
        <v>0</v>
      </c>
      <c r="BQ13" s="260">
        <f t="shared" si="78"/>
        <v>0</v>
      </c>
      <c r="BR13" s="260">
        <f t="shared" si="43"/>
        <v>0</v>
      </c>
      <c r="BS13" s="260">
        <f t="shared" si="44"/>
        <v>0</v>
      </c>
      <c r="BT13" s="260">
        <f t="shared" si="79"/>
        <v>0</v>
      </c>
      <c r="BU13" s="260">
        <f t="shared" si="80"/>
        <v>0</v>
      </c>
      <c r="BV13" s="260">
        <f t="shared" si="81"/>
        <v>0</v>
      </c>
      <c r="BW13" s="260">
        <f t="shared" si="82"/>
        <v>0</v>
      </c>
      <c r="BX13" s="260">
        <f t="shared" si="45"/>
        <v>0</v>
      </c>
      <c r="BY13" s="260">
        <f t="shared" si="46"/>
        <v>0</v>
      </c>
      <c r="BZ13" s="260">
        <f t="shared" si="47"/>
        <v>0</v>
      </c>
      <c r="CA13" s="260">
        <f t="shared" si="48"/>
        <v>0</v>
      </c>
      <c r="CB13" s="260">
        <f t="shared" si="49"/>
        <v>0</v>
      </c>
      <c r="CC13" s="260">
        <f t="shared" si="50"/>
        <v>0</v>
      </c>
      <c r="CD13" s="260">
        <f t="shared" si="83"/>
        <v>0</v>
      </c>
      <c r="CE13" s="260">
        <f t="shared" si="84"/>
        <v>0</v>
      </c>
      <c r="CF13" s="260">
        <f t="shared" si="85"/>
        <v>0</v>
      </c>
      <c r="CG13" s="260">
        <f t="shared" si="86"/>
        <v>0</v>
      </c>
      <c r="CH13" s="260">
        <f t="shared" si="51"/>
        <v>0</v>
      </c>
      <c r="CI13" s="260">
        <f t="shared" si="52"/>
        <v>0</v>
      </c>
      <c r="CJ13" s="260">
        <f t="shared" si="87"/>
        <v>0</v>
      </c>
      <c r="CK13" s="260">
        <f t="shared" si="88"/>
        <v>0</v>
      </c>
      <c r="CL13" s="260">
        <f t="shared" si="53"/>
        <v>0</v>
      </c>
      <c r="CM13" s="260">
        <f t="shared" si="54"/>
        <v>0</v>
      </c>
      <c r="CN13" s="260">
        <f t="shared" si="55"/>
        <v>0</v>
      </c>
      <c r="CO13" s="260">
        <f t="shared" si="56"/>
        <v>0</v>
      </c>
      <c r="CP13" s="260">
        <f t="shared" si="89"/>
        <v>0</v>
      </c>
      <c r="CQ13" s="260">
        <f t="shared" si="90"/>
        <v>0</v>
      </c>
      <c r="CR13" s="260">
        <f t="shared" si="91"/>
        <v>0</v>
      </c>
      <c r="CS13" s="260">
        <f t="shared" si="92"/>
        <v>0</v>
      </c>
      <c r="CT13" s="260">
        <f t="shared" si="57"/>
        <v>0</v>
      </c>
      <c r="CU13" s="260">
        <f t="shared" si="58"/>
        <v>0</v>
      </c>
      <c r="CV13" s="260">
        <f t="shared" si="59"/>
        <v>0</v>
      </c>
      <c r="CW13" s="260">
        <f t="shared" si="60"/>
        <v>0</v>
      </c>
      <c r="CX13" s="260">
        <f t="shared" si="93"/>
        <v>0</v>
      </c>
      <c r="CY13" s="260">
        <f t="shared" si="94"/>
        <v>0</v>
      </c>
      <c r="CZ13" s="260">
        <f t="shared" si="95"/>
        <v>0</v>
      </c>
      <c r="DA13" s="260">
        <f t="shared" si="96"/>
        <v>0</v>
      </c>
    </row>
    <row r="14" spans="1:105" s="257" customFormat="1" ht="15.75" customHeight="1">
      <c r="A14" s="60" t="str">
        <f t="array" ref="A14">IF(C14&lt;&gt;0,SUM(($C$11:C14&lt;&gt;0)*1),"")</f>
        <v/>
      </c>
      <c r="B14" s="258"/>
      <c r="C14" s="258"/>
      <c r="D14" s="258"/>
      <c r="E14" s="337"/>
      <c r="F14" s="309"/>
      <c r="G14" s="311"/>
      <c r="H14" s="311"/>
      <c r="I14" s="60" t="str">
        <f t="shared" si="0"/>
        <v/>
      </c>
      <c r="J14" s="260">
        <f t="shared" si="61"/>
        <v>0</v>
      </c>
      <c r="K14" s="260">
        <f t="shared" si="62"/>
        <v>0</v>
      </c>
      <c r="L14" s="260">
        <f t="shared" si="1"/>
        <v>0</v>
      </c>
      <c r="M14" s="260">
        <f t="shared" si="2"/>
        <v>0</v>
      </c>
      <c r="N14" s="260">
        <f t="shared" si="3"/>
        <v>0</v>
      </c>
      <c r="O14" s="260">
        <f t="shared" si="4"/>
        <v>0</v>
      </c>
      <c r="P14" s="260">
        <f t="shared" si="5"/>
        <v>0</v>
      </c>
      <c r="Q14" s="260">
        <f t="shared" si="6"/>
        <v>0</v>
      </c>
      <c r="R14" s="260">
        <f t="shared" si="7"/>
        <v>0</v>
      </c>
      <c r="S14" s="260">
        <f t="shared" si="8"/>
        <v>0</v>
      </c>
      <c r="T14" s="260">
        <f t="shared" si="9"/>
        <v>0</v>
      </c>
      <c r="U14" s="260">
        <f t="shared" si="10"/>
        <v>0</v>
      </c>
      <c r="V14" s="260">
        <f t="shared" si="11"/>
        <v>0</v>
      </c>
      <c r="W14" s="260">
        <f t="shared" si="12"/>
        <v>0</v>
      </c>
      <c r="X14" s="260">
        <f t="shared" si="13"/>
        <v>0</v>
      </c>
      <c r="Y14" s="260">
        <f t="shared" si="14"/>
        <v>0</v>
      </c>
      <c r="Z14" s="260">
        <f t="shared" si="15"/>
        <v>0</v>
      </c>
      <c r="AA14" s="260">
        <f t="shared" si="16"/>
        <v>0</v>
      </c>
      <c r="AB14" s="260">
        <f t="shared" si="63"/>
        <v>0</v>
      </c>
      <c r="AC14" s="260">
        <f t="shared" si="64"/>
        <v>0</v>
      </c>
      <c r="AD14" s="260">
        <f t="shared" si="17"/>
        <v>0</v>
      </c>
      <c r="AE14" s="260">
        <f t="shared" si="18"/>
        <v>0</v>
      </c>
      <c r="AF14" s="260">
        <f t="shared" si="19"/>
        <v>0</v>
      </c>
      <c r="AG14" s="260">
        <f t="shared" si="20"/>
        <v>0</v>
      </c>
      <c r="AH14" s="260">
        <f t="shared" si="65"/>
        <v>0</v>
      </c>
      <c r="AI14" s="260">
        <f t="shared" si="66"/>
        <v>0</v>
      </c>
      <c r="AJ14" s="260">
        <f t="shared" si="67"/>
        <v>0</v>
      </c>
      <c r="AK14" s="260">
        <f t="shared" si="68"/>
        <v>0</v>
      </c>
      <c r="AL14" s="260">
        <f t="shared" si="69"/>
        <v>0</v>
      </c>
      <c r="AM14" s="260">
        <f t="shared" si="70"/>
        <v>0</v>
      </c>
      <c r="AN14" s="260">
        <f t="shared" si="71"/>
        <v>0</v>
      </c>
      <c r="AO14" s="260">
        <f t="shared" si="72"/>
        <v>0</v>
      </c>
      <c r="AP14" s="260">
        <f t="shared" si="21"/>
        <v>0</v>
      </c>
      <c r="AQ14" s="260">
        <f t="shared" si="22"/>
        <v>0</v>
      </c>
      <c r="AR14" s="260">
        <f t="shared" si="23"/>
        <v>0</v>
      </c>
      <c r="AS14" s="260">
        <f t="shared" si="24"/>
        <v>0</v>
      </c>
      <c r="AT14" s="260">
        <f t="shared" si="73"/>
        <v>0</v>
      </c>
      <c r="AU14" s="260">
        <f t="shared" si="74"/>
        <v>0</v>
      </c>
      <c r="AV14" s="260">
        <f t="shared" si="25"/>
        <v>0</v>
      </c>
      <c r="AW14" s="260">
        <f t="shared" si="26"/>
        <v>0</v>
      </c>
      <c r="AX14" s="260">
        <f t="shared" si="27"/>
        <v>0</v>
      </c>
      <c r="AY14" s="260">
        <f t="shared" si="28"/>
        <v>0</v>
      </c>
      <c r="AZ14" s="260">
        <f t="shared" si="29"/>
        <v>0</v>
      </c>
      <c r="BA14" s="260">
        <f t="shared" si="30"/>
        <v>0</v>
      </c>
      <c r="BB14" s="260">
        <f t="shared" si="31"/>
        <v>0</v>
      </c>
      <c r="BC14" s="260">
        <f t="shared" si="32"/>
        <v>0</v>
      </c>
      <c r="BD14" s="260">
        <f t="shared" si="33"/>
        <v>0</v>
      </c>
      <c r="BE14" s="260">
        <f t="shared" si="34"/>
        <v>0</v>
      </c>
      <c r="BF14" s="260">
        <f t="shared" si="35"/>
        <v>0</v>
      </c>
      <c r="BG14" s="260">
        <f t="shared" si="36"/>
        <v>0</v>
      </c>
      <c r="BH14" s="260">
        <f t="shared" si="75"/>
        <v>0</v>
      </c>
      <c r="BI14" s="260">
        <f t="shared" si="76"/>
        <v>0</v>
      </c>
      <c r="BJ14" s="260">
        <f t="shared" si="37"/>
        <v>0</v>
      </c>
      <c r="BK14" s="260">
        <f t="shared" si="38"/>
        <v>0</v>
      </c>
      <c r="BL14" s="260">
        <f t="shared" si="39"/>
        <v>0</v>
      </c>
      <c r="BM14" s="260">
        <f t="shared" si="40"/>
        <v>0</v>
      </c>
      <c r="BN14" s="260">
        <f t="shared" si="41"/>
        <v>0</v>
      </c>
      <c r="BO14" s="260">
        <f t="shared" si="42"/>
        <v>0</v>
      </c>
      <c r="BP14" s="260">
        <f t="shared" si="77"/>
        <v>0</v>
      </c>
      <c r="BQ14" s="260">
        <f t="shared" si="78"/>
        <v>0</v>
      </c>
      <c r="BR14" s="260">
        <f t="shared" si="43"/>
        <v>0</v>
      </c>
      <c r="BS14" s="260">
        <f t="shared" si="44"/>
        <v>0</v>
      </c>
      <c r="BT14" s="260">
        <f t="shared" si="79"/>
        <v>0</v>
      </c>
      <c r="BU14" s="260">
        <f t="shared" si="80"/>
        <v>0</v>
      </c>
      <c r="BV14" s="260">
        <f t="shared" si="81"/>
        <v>0</v>
      </c>
      <c r="BW14" s="260">
        <f t="shared" si="82"/>
        <v>0</v>
      </c>
      <c r="BX14" s="260">
        <f t="shared" si="45"/>
        <v>0</v>
      </c>
      <c r="BY14" s="260">
        <f t="shared" si="46"/>
        <v>0</v>
      </c>
      <c r="BZ14" s="260">
        <f t="shared" si="47"/>
        <v>0</v>
      </c>
      <c r="CA14" s="260">
        <f t="shared" si="48"/>
        <v>0</v>
      </c>
      <c r="CB14" s="260">
        <f t="shared" si="49"/>
        <v>0</v>
      </c>
      <c r="CC14" s="260">
        <f t="shared" si="50"/>
        <v>0</v>
      </c>
      <c r="CD14" s="260">
        <f t="shared" si="83"/>
        <v>0</v>
      </c>
      <c r="CE14" s="260">
        <f t="shared" si="84"/>
        <v>0</v>
      </c>
      <c r="CF14" s="260">
        <f t="shared" si="85"/>
        <v>0</v>
      </c>
      <c r="CG14" s="260">
        <f t="shared" si="86"/>
        <v>0</v>
      </c>
      <c r="CH14" s="260">
        <f t="shared" si="51"/>
        <v>0</v>
      </c>
      <c r="CI14" s="260">
        <f t="shared" si="52"/>
        <v>0</v>
      </c>
      <c r="CJ14" s="260">
        <f t="shared" si="87"/>
        <v>0</v>
      </c>
      <c r="CK14" s="260">
        <f t="shared" si="88"/>
        <v>0</v>
      </c>
      <c r="CL14" s="260">
        <f t="shared" si="53"/>
        <v>0</v>
      </c>
      <c r="CM14" s="260">
        <f t="shared" si="54"/>
        <v>0</v>
      </c>
      <c r="CN14" s="260">
        <f t="shared" si="55"/>
        <v>0</v>
      </c>
      <c r="CO14" s="260">
        <f t="shared" si="56"/>
        <v>0</v>
      </c>
      <c r="CP14" s="260">
        <f t="shared" si="89"/>
        <v>0</v>
      </c>
      <c r="CQ14" s="260">
        <f t="shared" si="90"/>
        <v>0</v>
      </c>
      <c r="CR14" s="260">
        <f t="shared" si="91"/>
        <v>0</v>
      </c>
      <c r="CS14" s="260">
        <f t="shared" si="92"/>
        <v>0</v>
      </c>
      <c r="CT14" s="260">
        <f t="shared" si="57"/>
        <v>0</v>
      </c>
      <c r="CU14" s="260">
        <f t="shared" si="58"/>
        <v>0</v>
      </c>
      <c r="CV14" s="260">
        <f t="shared" si="59"/>
        <v>0</v>
      </c>
      <c r="CW14" s="260">
        <f t="shared" si="60"/>
        <v>0</v>
      </c>
      <c r="CX14" s="260">
        <f t="shared" si="93"/>
        <v>0</v>
      </c>
      <c r="CY14" s="260">
        <f t="shared" si="94"/>
        <v>0</v>
      </c>
      <c r="CZ14" s="260">
        <f t="shared" si="95"/>
        <v>0</v>
      </c>
      <c r="DA14" s="260">
        <f t="shared" si="96"/>
        <v>0</v>
      </c>
    </row>
    <row r="15" spans="1:105" s="257" customFormat="1" ht="15.75" customHeight="1">
      <c r="A15" s="60" t="str">
        <f t="array" ref="A15">IF(C15&lt;&gt;0,SUM(($C$11:C15&lt;&gt;0)*1),"")</f>
        <v/>
      </c>
      <c r="B15" s="258"/>
      <c r="C15" s="258"/>
      <c r="D15" s="258"/>
      <c r="E15" s="337"/>
      <c r="F15" s="309"/>
      <c r="G15" s="311"/>
      <c r="H15" s="311"/>
      <c r="I15" s="60" t="str">
        <f t="shared" si="0"/>
        <v/>
      </c>
      <c r="J15" s="260">
        <f t="shared" si="61"/>
        <v>0</v>
      </c>
      <c r="K15" s="260">
        <f t="shared" si="62"/>
        <v>0</v>
      </c>
      <c r="L15" s="260">
        <f t="shared" si="1"/>
        <v>0</v>
      </c>
      <c r="M15" s="260">
        <f t="shared" si="2"/>
        <v>0</v>
      </c>
      <c r="N15" s="260">
        <f t="shared" si="3"/>
        <v>0</v>
      </c>
      <c r="O15" s="260">
        <f t="shared" si="4"/>
        <v>0</v>
      </c>
      <c r="P15" s="260">
        <f t="shared" si="5"/>
        <v>0</v>
      </c>
      <c r="Q15" s="260">
        <f t="shared" si="6"/>
        <v>0</v>
      </c>
      <c r="R15" s="260">
        <f t="shared" si="7"/>
        <v>0</v>
      </c>
      <c r="S15" s="260">
        <f t="shared" si="8"/>
        <v>0</v>
      </c>
      <c r="T15" s="260">
        <f t="shared" si="9"/>
        <v>0</v>
      </c>
      <c r="U15" s="260">
        <f t="shared" si="10"/>
        <v>0</v>
      </c>
      <c r="V15" s="260">
        <f t="shared" si="11"/>
        <v>0</v>
      </c>
      <c r="W15" s="260">
        <f t="shared" si="12"/>
        <v>0</v>
      </c>
      <c r="X15" s="260">
        <f t="shared" si="13"/>
        <v>0</v>
      </c>
      <c r="Y15" s="260">
        <f t="shared" si="14"/>
        <v>0</v>
      </c>
      <c r="Z15" s="260">
        <f t="shared" si="15"/>
        <v>0</v>
      </c>
      <c r="AA15" s="260">
        <f t="shared" si="16"/>
        <v>0</v>
      </c>
      <c r="AB15" s="260">
        <f t="shared" si="63"/>
        <v>0</v>
      </c>
      <c r="AC15" s="260">
        <f t="shared" si="64"/>
        <v>0</v>
      </c>
      <c r="AD15" s="260">
        <f t="shared" si="17"/>
        <v>0</v>
      </c>
      <c r="AE15" s="260">
        <f t="shared" si="18"/>
        <v>0</v>
      </c>
      <c r="AF15" s="260">
        <f t="shared" si="19"/>
        <v>0</v>
      </c>
      <c r="AG15" s="260">
        <f t="shared" si="20"/>
        <v>0</v>
      </c>
      <c r="AH15" s="260">
        <f t="shared" si="65"/>
        <v>0</v>
      </c>
      <c r="AI15" s="260">
        <f t="shared" si="66"/>
        <v>0</v>
      </c>
      <c r="AJ15" s="260">
        <f t="shared" si="67"/>
        <v>0</v>
      </c>
      <c r="AK15" s="260">
        <f t="shared" si="68"/>
        <v>0</v>
      </c>
      <c r="AL15" s="260">
        <f t="shared" si="69"/>
        <v>0</v>
      </c>
      <c r="AM15" s="260">
        <f t="shared" si="70"/>
        <v>0</v>
      </c>
      <c r="AN15" s="260">
        <f t="shared" si="71"/>
        <v>0</v>
      </c>
      <c r="AO15" s="260">
        <f t="shared" si="72"/>
        <v>0</v>
      </c>
      <c r="AP15" s="260">
        <f t="shared" si="21"/>
        <v>0</v>
      </c>
      <c r="AQ15" s="260">
        <f t="shared" si="22"/>
        <v>0</v>
      </c>
      <c r="AR15" s="260">
        <f t="shared" si="23"/>
        <v>0</v>
      </c>
      <c r="AS15" s="260">
        <f t="shared" si="24"/>
        <v>0</v>
      </c>
      <c r="AT15" s="260">
        <f t="shared" si="73"/>
        <v>0</v>
      </c>
      <c r="AU15" s="260">
        <f t="shared" si="74"/>
        <v>0</v>
      </c>
      <c r="AV15" s="260">
        <f t="shared" si="25"/>
        <v>0</v>
      </c>
      <c r="AW15" s="260">
        <f t="shared" si="26"/>
        <v>0</v>
      </c>
      <c r="AX15" s="260">
        <f t="shared" si="27"/>
        <v>0</v>
      </c>
      <c r="AY15" s="260">
        <f t="shared" si="28"/>
        <v>0</v>
      </c>
      <c r="AZ15" s="260">
        <f t="shared" si="29"/>
        <v>0</v>
      </c>
      <c r="BA15" s="260">
        <f t="shared" si="30"/>
        <v>0</v>
      </c>
      <c r="BB15" s="260">
        <f t="shared" si="31"/>
        <v>0</v>
      </c>
      <c r="BC15" s="260">
        <f t="shared" si="32"/>
        <v>0</v>
      </c>
      <c r="BD15" s="260">
        <f t="shared" si="33"/>
        <v>0</v>
      </c>
      <c r="BE15" s="260">
        <f t="shared" si="34"/>
        <v>0</v>
      </c>
      <c r="BF15" s="260">
        <f t="shared" si="35"/>
        <v>0</v>
      </c>
      <c r="BG15" s="260">
        <f t="shared" si="36"/>
        <v>0</v>
      </c>
      <c r="BH15" s="260">
        <f t="shared" si="75"/>
        <v>0</v>
      </c>
      <c r="BI15" s="260">
        <f t="shared" si="76"/>
        <v>0</v>
      </c>
      <c r="BJ15" s="260">
        <f t="shared" si="37"/>
        <v>0</v>
      </c>
      <c r="BK15" s="260">
        <f t="shared" si="38"/>
        <v>0</v>
      </c>
      <c r="BL15" s="260">
        <f t="shared" si="39"/>
        <v>0</v>
      </c>
      <c r="BM15" s="260">
        <f t="shared" si="40"/>
        <v>0</v>
      </c>
      <c r="BN15" s="260">
        <f t="shared" si="41"/>
        <v>0</v>
      </c>
      <c r="BO15" s="260">
        <f t="shared" si="42"/>
        <v>0</v>
      </c>
      <c r="BP15" s="260">
        <f t="shared" si="77"/>
        <v>0</v>
      </c>
      <c r="BQ15" s="260">
        <f t="shared" si="78"/>
        <v>0</v>
      </c>
      <c r="BR15" s="260">
        <f t="shared" si="43"/>
        <v>0</v>
      </c>
      <c r="BS15" s="260">
        <f t="shared" si="44"/>
        <v>0</v>
      </c>
      <c r="BT15" s="260">
        <f t="shared" si="79"/>
        <v>0</v>
      </c>
      <c r="BU15" s="260">
        <f t="shared" si="80"/>
        <v>0</v>
      </c>
      <c r="BV15" s="260">
        <f t="shared" si="81"/>
        <v>0</v>
      </c>
      <c r="BW15" s="260">
        <f t="shared" si="82"/>
        <v>0</v>
      </c>
      <c r="BX15" s="260">
        <f t="shared" si="45"/>
        <v>0</v>
      </c>
      <c r="BY15" s="260">
        <f t="shared" si="46"/>
        <v>0</v>
      </c>
      <c r="BZ15" s="260">
        <f t="shared" si="47"/>
        <v>0</v>
      </c>
      <c r="CA15" s="260">
        <f t="shared" si="48"/>
        <v>0</v>
      </c>
      <c r="CB15" s="260">
        <f t="shared" si="49"/>
        <v>0</v>
      </c>
      <c r="CC15" s="260">
        <f t="shared" si="50"/>
        <v>0</v>
      </c>
      <c r="CD15" s="260">
        <f t="shared" si="83"/>
        <v>0</v>
      </c>
      <c r="CE15" s="260">
        <f t="shared" si="84"/>
        <v>0</v>
      </c>
      <c r="CF15" s="260">
        <f t="shared" si="85"/>
        <v>0</v>
      </c>
      <c r="CG15" s="260">
        <f t="shared" si="86"/>
        <v>0</v>
      </c>
      <c r="CH15" s="260">
        <f t="shared" si="51"/>
        <v>0</v>
      </c>
      <c r="CI15" s="260">
        <f t="shared" si="52"/>
        <v>0</v>
      </c>
      <c r="CJ15" s="260">
        <f t="shared" si="87"/>
        <v>0</v>
      </c>
      <c r="CK15" s="260">
        <f t="shared" si="88"/>
        <v>0</v>
      </c>
      <c r="CL15" s="260">
        <f t="shared" si="53"/>
        <v>0</v>
      </c>
      <c r="CM15" s="260">
        <f t="shared" si="54"/>
        <v>0</v>
      </c>
      <c r="CN15" s="260">
        <f t="shared" si="55"/>
        <v>0</v>
      </c>
      <c r="CO15" s="260">
        <f t="shared" si="56"/>
        <v>0</v>
      </c>
      <c r="CP15" s="260">
        <f t="shared" si="89"/>
        <v>0</v>
      </c>
      <c r="CQ15" s="260">
        <f t="shared" si="90"/>
        <v>0</v>
      </c>
      <c r="CR15" s="260">
        <f t="shared" si="91"/>
        <v>0</v>
      </c>
      <c r="CS15" s="260">
        <f t="shared" si="92"/>
        <v>0</v>
      </c>
      <c r="CT15" s="260">
        <f t="shared" si="57"/>
        <v>0</v>
      </c>
      <c r="CU15" s="260">
        <f t="shared" si="58"/>
        <v>0</v>
      </c>
      <c r="CV15" s="260">
        <f t="shared" si="59"/>
        <v>0</v>
      </c>
      <c r="CW15" s="260">
        <f t="shared" si="60"/>
        <v>0</v>
      </c>
      <c r="CX15" s="260">
        <f t="shared" si="93"/>
        <v>0</v>
      </c>
      <c r="CY15" s="260">
        <f t="shared" si="94"/>
        <v>0</v>
      </c>
      <c r="CZ15" s="260">
        <f t="shared" si="95"/>
        <v>0</v>
      </c>
      <c r="DA15" s="260">
        <f t="shared" si="96"/>
        <v>0</v>
      </c>
    </row>
    <row r="16" spans="1:105" s="257" customFormat="1" ht="15.75" customHeight="1">
      <c r="A16" s="60" t="str">
        <f t="array" ref="A16">IF(C16&lt;&gt;0,SUM(($C$11:C16&lt;&gt;0)*1),"")</f>
        <v/>
      </c>
      <c r="B16" s="258"/>
      <c r="C16" s="258"/>
      <c r="D16" s="258"/>
      <c r="E16" s="337"/>
      <c r="F16" s="309"/>
      <c r="G16" s="311"/>
      <c r="H16" s="311"/>
      <c r="I16" s="60" t="str">
        <f t="shared" si="0"/>
        <v/>
      </c>
      <c r="J16" s="260">
        <f t="shared" si="61"/>
        <v>0</v>
      </c>
      <c r="K16" s="260">
        <f t="shared" si="62"/>
        <v>0</v>
      </c>
      <c r="L16" s="260">
        <f t="shared" si="1"/>
        <v>0</v>
      </c>
      <c r="M16" s="260">
        <f t="shared" si="2"/>
        <v>0</v>
      </c>
      <c r="N16" s="260">
        <f t="shared" si="3"/>
        <v>0</v>
      </c>
      <c r="O16" s="260">
        <f t="shared" si="4"/>
        <v>0</v>
      </c>
      <c r="P16" s="260">
        <f t="shared" si="5"/>
        <v>0</v>
      </c>
      <c r="Q16" s="260">
        <f t="shared" si="6"/>
        <v>0</v>
      </c>
      <c r="R16" s="260">
        <f t="shared" si="7"/>
        <v>0</v>
      </c>
      <c r="S16" s="260">
        <f t="shared" si="8"/>
        <v>0</v>
      </c>
      <c r="T16" s="260">
        <f t="shared" si="9"/>
        <v>0</v>
      </c>
      <c r="U16" s="260">
        <f t="shared" si="10"/>
        <v>0</v>
      </c>
      <c r="V16" s="260">
        <f t="shared" si="11"/>
        <v>0</v>
      </c>
      <c r="W16" s="260">
        <f t="shared" si="12"/>
        <v>0</v>
      </c>
      <c r="X16" s="260">
        <f t="shared" si="13"/>
        <v>0</v>
      </c>
      <c r="Y16" s="260">
        <f t="shared" si="14"/>
        <v>0</v>
      </c>
      <c r="Z16" s="260">
        <f t="shared" si="15"/>
        <v>0</v>
      </c>
      <c r="AA16" s="260">
        <f t="shared" si="16"/>
        <v>0</v>
      </c>
      <c r="AB16" s="260">
        <f t="shared" si="63"/>
        <v>0</v>
      </c>
      <c r="AC16" s="260">
        <f t="shared" si="64"/>
        <v>0</v>
      </c>
      <c r="AD16" s="260">
        <f t="shared" si="17"/>
        <v>0</v>
      </c>
      <c r="AE16" s="260">
        <f t="shared" si="18"/>
        <v>0</v>
      </c>
      <c r="AF16" s="260">
        <f t="shared" si="19"/>
        <v>0</v>
      </c>
      <c r="AG16" s="260">
        <f t="shared" si="20"/>
        <v>0</v>
      </c>
      <c r="AH16" s="260">
        <f t="shared" si="65"/>
        <v>0</v>
      </c>
      <c r="AI16" s="260">
        <f t="shared" si="66"/>
        <v>0</v>
      </c>
      <c r="AJ16" s="260">
        <f t="shared" si="67"/>
        <v>0</v>
      </c>
      <c r="AK16" s="260">
        <f t="shared" si="68"/>
        <v>0</v>
      </c>
      <c r="AL16" s="260">
        <f t="shared" si="69"/>
        <v>0</v>
      </c>
      <c r="AM16" s="260">
        <f t="shared" si="70"/>
        <v>0</v>
      </c>
      <c r="AN16" s="260">
        <f t="shared" si="71"/>
        <v>0</v>
      </c>
      <c r="AO16" s="260">
        <f t="shared" si="72"/>
        <v>0</v>
      </c>
      <c r="AP16" s="260">
        <f t="shared" si="21"/>
        <v>0</v>
      </c>
      <c r="AQ16" s="260">
        <f t="shared" si="22"/>
        <v>0</v>
      </c>
      <c r="AR16" s="260">
        <f t="shared" si="23"/>
        <v>0</v>
      </c>
      <c r="AS16" s="260">
        <f t="shared" si="24"/>
        <v>0</v>
      </c>
      <c r="AT16" s="260">
        <f t="shared" si="73"/>
        <v>0</v>
      </c>
      <c r="AU16" s="260">
        <f t="shared" si="74"/>
        <v>0</v>
      </c>
      <c r="AV16" s="260">
        <f t="shared" si="25"/>
        <v>0</v>
      </c>
      <c r="AW16" s="260">
        <f t="shared" si="26"/>
        <v>0</v>
      </c>
      <c r="AX16" s="260">
        <f t="shared" si="27"/>
        <v>0</v>
      </c>
      <c r="AY16" s="260">
        <f t="shared" si="28"/>
        <v>0</v>
      </c>
      <c r="AZ16" s="260">
        <f t="shared" si="29"/>
        <v>0</v>
      </c>
      <c r="BA16" s="260">
        <f t="shared" si="30"/>
        <v>0</v>
      </c>
      <c r="BB16" s="260">
        <f t="shared" si="31"/>
        <v>0</v>
      </c>
      <c r="BC16" s="260">
        <f t="shared" si="32"/>
        <v>0</v>
      </c>
      <c r="BD16" s="260">
        <f t="shared" si="33"/>
        <v>0</v>
      </c>
      <c r="BE16" s="260">
        <f t="shared" si="34"/>
        <v>0</v>
      </c>
      <c r="BF16" s="260">
        <f t="shared" si="35"/>
        <v>0</v>
      </c>
      <c r="BG16" s="260">
        <f t="shared" si="36"/>
        <v>0</v>
      </c>
      <c r="BH16" s="260">
        <f t="shared" si="75"/>
        <v>0</v>
      </c>
      <c r="BI16" s="260">
        <f t="shared" si="76"/>
        <v>0</v>
      </c>
      <c r="BJ16" s="260">
        <f t="shared" si="37"/>
        <v>0</v>
      </c>
      <c r="BK16" s="260">
        <f t="shared" si="38"/>
        <v>0</v>
      </c>
      <c r="BL16" s="260">
        <f t="shared" si="39"/>
        <v>0</v>
      </c>
      <c r="BM16" s="260">
        <f t="shared" si="40"/>
        <v>0</v>
      </c>
      <c r="BN16" s="260">
        <f t="shared" si="41"/>
        <v>0</v>
      </c>
      <c r="BO16" s="260">
        <f t="shared" si="42"/>
        <v>0</v>
      </c>
      <c r="BP16" s="260">
        <f t="shared" si="77"/>
        <v>0</v>
      </c>
      <c r="BQ16" s="260">
        <f t="shared" si="78"/>
        <v>0</v>
      </c>
      <c r="BR16" s="260">
        <f t="shared" si="43"/>
        <v>0</v>
      </c>
      <c r="BS16" s="260">
        <f t="shared" si="44"/>
        <v>0</v>
      </c>
      <c r="BT16" s="260">
        <f t="shared" si="79"/>
        <v>0</v>
      </c>
      <c r="BU16" s="260">
        <f t="shared" si="80"/>
        <v>0</v>
      </c>
      <c r="BV16" s="260">
        <f t="shared" si="81"/>
        <v>0</v>
      </c>
      <c r="BW16" s="260">
        <f t="shared" si="82"/>
        <v>0</v>
      </c>
      <c r="BX16" s="260">
        <f t="shared" si="45"/>
        <v>0</v>
      </c>
      <c r="BY16" s="260">
        <f t="shared" si="46"/>
        <v>0</v>
      </c>
      <c r="BZ16" s="260">
        <f t="shared" si="47"/>
        <v>0</v>
      </c>
      <c r="CA16" s="260">
        <f t="shared" si="48"/>
        <v>0</v>
      </c>
      <c r="CB16" s="260">
        <f t="shared" si="49"/>
        <v>0</v>
      </c>
      <c r="CC16" s="260">
        <f t="shared" si="50"/>
        <v>0</v>
      </c>
      <c r="CD16" s="260">
        <f t="shared" si="83"/>
        <v>0</v>
      </c>
      <c r="CE16" s="260">
        <f t="shared" si="84"/>
        <v>0</v>
      </c>
      <c r="CF16" s="260">
        <f t="shared" si="85"/>
        <v>0</v>
      </c>
      <c r="CG16" s="260">
        <f t="shared" si="86"/>
        <v>0</v>
      </c>
      <c r="CH16" s="260">
        <f t="shared" si="51"/>
        <v>0</v>
      </c>
      <c r="CI16" s="260">
        <f t="shared" si="52"/>
        <v>0</v>
      </c>
      <c r="CJ16" s="260">
        <f t="shared" si="87"/>
        <v>0</v>
      </c>
      <c r="CK16" s="260">
        <f t="shared" si="88"/>
        <v>0</v>
      </c>
      <c r="CL16" s="260">
        <f t="shared" si="53"/>
        <v>0</v>
      </c>
      <c r="CM16" s="260">
        <f t="shared" si="54"/>
        <v>0</v>
      </c>
      <c r="CN16" s="260">
        <f t="shared" si="55"/>
        <v>0</v>
      </c>
      <c r="CO16" s="260">
        <f t="shared" si="56"/>
        <v>0</v>
      </c>
      <c r="CP16" s="260">
        <f t="shared" si="89"/>
        <v>0</v>
      </c>
      <c r="CQ16" s="260">
        <f t="shared" si="90"/>
        <v>0</v>
      </c>
      <c r="CR16" s="260">
        <f t="shared" si="91"/>
        <v>0</v>
      </c>
      <c r="CS16" s="260">
        <f t="shared" si="92"/>
        <v>0</v>
      </c>
      <c r="CT16" s="260">
        <f t="shared" si="57"/>
        <v>0</v>
      </c>
      <c r="CU16" s="260">
        <f t="shared" si="58"/>
        <v>0</v>
      </c>
      <c r="CV16" s="260">
        <f t="shared" si="59"/>
        <v>0</v>
      </c>
      <c r="CW16" s="260">
        <f t="shared" si="60"/>
        <v>0</v>
      </c>
      <c r="CX16" s="260">
        <f t="shared" si="93"/>
        <v>0</v>
      </c>
      <c r="CY16" s="260">
        <f t="shared" si="94"/>
        <v>0</v>
      </c>
      <c r="CZ16" s="260">
        <f t="shared" si="95"/>
        <v>0</v>
      </c>
      <c r="DA16" s="260">
        <f t="shared" si="96"/>
        <v>0</v>
      </c>
    </row>
    <row r="17" spans="1:105" s="257" customFormat="1" ht="15.75" customHeight="1">
      <c r="A17" s="60" t="str">
        <f t="array" ref="A17">IF(C17&lt;&gt;0,SUM(($C$11:C17&lt;&gt;0)*1),"")</f>
        <v/>
      </c>
      <c r="B17" s="258"/>
      <c r="C17" s="258"/>
      <c r="D17" s="258"/>
      <c r="E17" s="337"/>
      <c r="F17" s="309"/>
      <c r="G17" s="311"/>
      <c r="H17" s="311"/>
      <c r="I17" s="60" t="str">
        <f t="shared" si="0"/>
        <v/>
      </c>
      <c r="J17" s="260">
        <f t="shared" si="61"/>
        <v>0</v>
      </c>
      <c r="K17" s="260">
        <f t="shared" si="62"/>
        <v>0</v>
      </c>
      <c r="L17" s="260">
        <f t="shared" si="1"/>
        <v>0</v>
      </c>
      <c r="M17" s="260">
        <f t="shared" si="2"/>
        <v>0</v>
      </c>
      <c r="N17" s="260">
        <f t="shared" si="3"/>
        <v>0</v>
      </c>
      <c r="O17" s="260">
        <f t="shared" si="4"/>
        <v>0</v>
      </c>
      <c r="P17" s="260">
        <f t="shared" si="5"/>
        <v>0</v>
      </c>
      <c r="Q17" s="260">
        <f t="shared" si="6"/>
        <v>0</v>
      </c>
      <c r="R17" s="260">
        <f t="shared" si="7"/>
        <v>0</v>
      </c>
      <c r="S17" s="260">
        <f t="shared" si="8"/>
        <v>0</v>
      </c>
      <c r="T17" s="260">
        <f t="shared" si="9"/>
        <v>0</v>
      </c>
      <c r="U17" s="260">
        <f t="shared" si="10"/>
        <v>0</v>
      </c>
      <c r="V17" s="260">
        <f t="shared" si="11"/>
        <v>0</v>
      </c>
      <c r="W17" s="260">
        <f t="shared" si="12"/>
        <v>0</v>
      </c>
      <c r="X17" s="260">
        <f t="shared" si="13"/>
        <v>0</v>
      </c>
      <c r="Y17" s="260">
        <f t="shared" si="14"/>
        <v>0</v>
      </c>
      <c r="Z17" s="260">
        <f t="shared" si="15"/>
        <v>0</v>
      </c>
      <c r="AA17" s="260">
        <f t="shared" si="16"/>
        <v>0</v>
      </c>
      <c r="AB17" s="260">
        <f t="shared" si="63"/>
        <v>0</v>
      </c>
      <c r="AC17" s="260">
        <f t="shared" si="64"/>
        <v>0</v>
      </c>
      <c r="AD17" s="260">
        <f t="shared" si="17"/>
        <v>0</v>
      </c>
      <c r="AE17" s="260">
        <f t="shared" si="18"/>
        <v>0</v>
      </c>
      <c r="AF17" s="260">
        <f t="shared" si="19"/>
        <v>0</v>
      </c>
      <c r="AG17" s="260">
        <f t="shared" si="20"/>
        <v>0</v>
      </c>
      <c r="AH17" s="260">
        <f t="shared" si="65"/>
        <v>0</v>
      </c>
      <c r="AI17" s="260">
        <f t="shared" si="66"/>
        <v>0</v>
      </c>
      <c r="AJ17" s="260">
        <f t="shared" si="67"/>
        <v>0</v>
      </c>
      <c r="AK17" s="260">
        <f t="shared" si="68"/>
        <v>0</v>
      </c>
      <c r="AL17" s="260">
        <f t="shared" si="69"/>
        <v>0</v>
      </c>
      <c r="AM17" s="260">
        <f t="shared" si="70"/>
        <v>0</v>
      </c>
      <c r="AN17" s="260">
        <f t="shared" si="71"/>
        <v>0</v>
      </c>
      <c r="AO17" s="260">
        <f t="shared" si="72"/>
        <v>0</v>
      </c>
      <c r="AP17" s="260">
        <f t="shared" si="21"/>
        <v>0</v>
      </c>
      <c r="AQ17" s="260">
        <f t="shared" si="22"/>
        <v>0</v>
      </c>
      <c r="AR17" s="260">
        <f t="shared" si="23"/>
        <v>0</v>
      </c>
      <c r="AS17" s="260">
        <f t="shared" si="24"/>
        <v>0</v>
      </c>
      <c r="AT17" s="260">
        <f t="shared" si="73"/>
        <v>0</v>
      </c>
      <c r="AU17" s="260">
        <f t="shared" si="74"/>
        <v>0</v>
      </c>
      <c r="AV17" s="260">
        <f t="shared" si="25"/>
        <v>0</v>
      </c>
      <c r="AW17" s="260">
        <f t="shared" si="26"/>
        <v>0</v>
      </c>
      <c r="AX17" s="260">
        <f t="shared" si="27"/>
        <v>0</v>
      </c>
      <c r="AY17" s="260">
        <f t="shared" si="28"/>
        <v>0</v>
      </c>
      <c r="AZ17" s="260">
        <f t="shared" si="29"/>
        <v>0</v>
      </c>
      <c r="BA17" s="260">
        <f t="shared" si="30"/>
        <v>0</v>
      </c>
      <c r="BB17" s="260">
        <f t="shared" si="31"/>
        <v>0</v>
      </c>
      <c r="BC17" s="260">
        <f t="shared" si="32"/>
        <v>0</v>
      </c>
      <c r="BD17" s="260">
        <f t="shared" si="33"/>
        <v>0</v>
      </c>
      <c r="BE17" s="260">
        <f t="shared" si="34"/>
        <v>0</v>
      </c>
      <c r="BF17" s="260">
        <f t="shared" si="35"/>
        <v>0</v>
      </c>
      <c r="BG17" s="260">
        <f t="shared" si="36"/>
        <v>0</v>
      </c>
      <c r="BH17" s="260">
        <f t="shared" si="75"/>
        <v>0</v>
      </c>
      <c r="BI17" s="260">
        <f t="shared" si="76"/>
        <v>0</v>
      </c>
      <c r="BJ17" s="260">
        <f t="shared" si="37"/>
        <v>0</v>
      </c>
      <c r="BK17" s="260">
        <f t="shared" si="38"/>
        <v>0</v>
      </c>
      <c r="BL17" s="260">
        <f t="shared" si="39"/>
        <v>0</v>
      </c>
      <c r="BM17" s="260">
        <f t="shared" si="40"/>
        <v>0</v>
      </c>
      <c r="BN17" s="260">
        <f t="shared" si="41"/>
        <v>0</v>
      </c>
      <c r="BO17" s="260">
        <f t="shared" si="42"/>
        <v>0</v>
      </c>
      <c r="BP17" s="260">
        <f t="shared" si="77"/>
        <v>0</v>
      </c>
      <c r="BQ17" s="260">
        <f t="shared" si="78"/>
        <v>0</v>
      </c>
      <c r="BR17" s="260">
        <f t="shared" si="43"/>
        <v>0</v>
      </c>
      <c r="BS17" s="260">
        <f t="shared" si="44"/>
        <v>0</v>
      </c>
      <c r="BT17" s="260">
        <f t="shared" si="79"/>
        <v>0</v>
      </c>
      <c r="BU17" s="260">
        <f t="shared" si="80"/>
        <v>0</v>
      </c>
      <c r="BV17" s="260">
        <f t="shared" si="81"/>
        <v>0</v>
      </c>
      <c r="BW17" s="260">
        <f t="shared" si="82"/>
        <v>0</v>
      </c>
      <c r="BX17" s="260">
        <f t="shared" si="45"/>
        <v>0</v>
      </c>
      <c r="BY17" s="260">
        <f t="shared" si="46"/>
        <v>0</v>
      </c>
      <c r="BZ17" s="260">
        <f t="shared" si="47"/>
        <v>0</v>
      </c>
      <c r="CA17" s="260">
        <f t="shared" si="48"/>
        <v>0</v>
      </c>
      <c r="CB17" s="260">
        <f t="shared" si="49"/>
        <v>0</v>
      </c>
      <c r="CC17" s="260">
        <f t="shared" si="50"/>
        <v>0</v>
      </c>
      <c r="CD17" s="260">
        <f t="shared" si="83"/>
        <v>0</v>
      </c>
      <c r="CE17" s="260">
        <f t="shared" si="84"/>
        <v>0</v>
      </c>
      <c r="CF17" s="260">
        <f t="shared" si="85"/>
        <v>0</v>
      </c>
      <c r="CG17" s="260">
        <f t="shared" si="86"/>
        <v>0</v>
      </c>
      <c r="CH17" s="260">
        <f t="shared" si="51"/>
        <v>0</v>
      </c>
      <c r="CI17" s="260">
        <f t="shared" si="52"/>
        <v>0</v>
      </c>
      <c r="CJ17" s="260">
        <f t="shared" si="87"/>
        <v>0</v>
      </c>
      <c r="CK17" s="260">
        <f t="shared" si="88"/>
        <v>0</v>
      </c>
      <c r="CL17" s="260">
        <f t="shared" si="53"/>
        <v>0</v>
      </c>
      <c r="CM17" s="260">
        <f t="shared" si="54"/>
        <v>0</v>
      </c>
      <c r="CN17" s="260">
        <f t="shared" si="55"/>
        <v>0</v>
      </c>
      <c r="CO17" s="260">
        <f t="shared" si="56"/>
        <v>0</v>
      </c>
      <c r="CP17" s="260">
        <f t="shared" si="89"/>
        <v>0</v>
      </c>
      <c r="CQ17" s="260">
        <f t="shared" si="90"/>
        <v>0</v>
      </c>
      <c r="CR17" s="260">
        <f t="shared" si="91"/>
        <v>0</v>
      </c>
      <c r="CS17" s="260">
        <f t="shared" si="92"/>
        <v>0</v>
      </c>
      <c r="CT17" s="260">
        <f t="shared" si="57"/>
        <v>0</v>
      </c>
      <c r="CU17" s="260">
        <f t="shared" si="58"/>
        <v>0</v>
      </c>
      <c r="CV17" s="260">
        <f t="shared" si="59"/>
        <v>0</v>
      </c>
      <c r="CW17" s="260">
        <f t="shared" si="60"/>
        <v>0</v>
      </c>
      <c r="CX17" s="260">
        <f t="shared" si="93"/>
        <v>0</v>
      </c>
      <c r="CY17" s="260">
        <f t="shared" si="94"/>
        <v>0</v>
      </c>
      <c r="CZ17" s="260">
        <f t="shared" si="95"/>
        <v>0</v>
      </c>
      <c r="DA17" s="260">
        <f t="shared" si="96"/>
        <v>0</v>
      </c>
    </row>
    <row r="18" spans="1:105" s="257" customFormat="1" ht="15.75" customHeight="1">
      <c r="A18" s="60" t="str">
        <f t="array" ref="A18">IF(C18&lt;&gt;0,SUM(($C$11:C18&lt;&gt;0)*1),"")</f>
        <v/>
      </c>
      <c r="B18" s="258"/>
      <c r="C18" s="258"/>
      <c r="D18" s="258"/>
      <c r="E18" s="337"/>
      <c r="F18" s="309"/>
      <c r="G18" s="311"/>
      <c r="H18" s="311"/>
      <c r="I18" s="60" t="str">
        <f t="shared" si="0"/>
        <v/>
      </c>
      <c r="J18" s="260">
        <f t="shared" si="61"/>
        <v>0</v>
      </c>
      <c r="K18" s="260">
        <f t="shared" si="62"/>
        <v>0</v>
      </c>
      <c r="L18" s="260">
        <f t="shared" si="1"/>
        <v>0</v>
      </c>
      <c r="M18" s="260">
        <f t="shared" si="2"/>
        <v>0</v>
      </c>
      <c r="N18" s="260">
        <f t="shared" si="3"/>
        <v>0</v>
      </c>
      <c r="O18" s="260">
        <f t="shared" si="4"/>
        <v>0</v>
      </c>
      <c r="P18" s="260">
        <f t="shared" si="5"/>
        <v>0</v>
      </c>
      <c r="Q18" s="260">
        <f t="shared" si="6"/>
        <v>0</v>
      </c>
      <c r="R18" s="260">
        <f t="shared" si="7"/>
        <v>0</v>
      </c>
      <c r="S18" s="260">
        <f t="shared" si="8"/>
        <v>0</v>
      </c>
      <c r="T18" s="260">
        <f t="shared" si="9"/>
        <v>0</v>
      </c>
      <c r="U18" s="260">
        <f t="shared" si="10"/>
        <v>0</v>
      </c>
      <c r="V18" s="260">
        <f t="shared" si="11"/>
        <v>0</v>
      </c>
      <c r="W18" s="260">
        <f t="shared" si="12"/>
        <v>0</v>
      </c>
      <c r="X18" s="260">
        <f t="shared" si="13"/>
        <v>0</v>
      </c>
      <c r="Y18" s="260">
        <f t="shared" si="14"/>
        <v>0</v>
      </c>
      <c r="Z18" s="260">
        <f t="shared" si="15"/>
        <v>0</v>
      </c>
      <c r="AA18" s="260">
        <f t="shared" si="16"/>
        <v>0</v>
      </c>
      <c r="AB18" s="260">
        <f t="shared" si="63"/>
        <v>0</v>
      </c>
      <c r="AC18" s="260">
        <f t="shared" si="64"/>
        <v>0</v>
      </c>
      <c r="AD18" s="260">
        <f t="shared" si="17"/>
        <v>0</v>
      </c>
      <c r="AE18" s="260">
        <f t="shared" si="18"/>
        <v>0</v>
      </c>
      <c r="AF18" s="260">
        <f t="shared" si="19"/>
        <v>0</v>
      </c>
      <c r="AG18" s="260">
        <f t="shared" si="20"/>
        <v>0</v>
      </c>
      <c r="AH18" s="260">
        <f t="shared" si="65"/>
        <v>0</v>
      </c>
      <c r="AI18" s="260">
        <f t="shared" si="66"/>
        <v>0</v>
      </c>
      <c r="AJ18" s="260">
        <f t="shared" si="67"/>
        <v>0</v>
      </c>
      <c r="AK18" s="260">
        <f t="shared" si="68"/>
        <v>0</v>
      </c>
      <c r="AL18" s="260">
        <f t="shared" si="69"/>
        <v>0</v>
      </c>
      <c r="AM18" s="260">
        <f t="shared" si="70"/>
        <v>0</v>
      </c>
      <c r="AN18" s="260">
        <f t="shared" si="71"/>
        <v>0</v>
      </c>
      <c r="AO18" s="260">
        <f t="shared" si="72"/>
        <v>0</v>
      </c>
      <c r="AP18" s="260">
        <f t="shared" si="21"/>
        <v>0</v>
      </c>
      <c r="AQ18" s="260">
        <f t="shared" si="22"/>
        <v>0</v>
      </c>
      <c r="AR18" s="260">
        <f t="shared" si="23"/>
        <v>0</v>
      </c>
      <c r="AS18" s="260">
        <f t="shared" si="24"/>
        <v>0</v>
      </c>
      <c r="AT18" s="260">
        <f t="shared" si="73"/>
        <v>0</v>
      </c>
      <c r="AU18" s="260">
        <f t="shared" si="74"/>
        <v>0</v>
      </c>
      <c r="AV18" s="260">
        <f t="shared" si="25"/>
        <v>0</v>
      </c>
      <c r="AW18" s="260">
        <f t="shared" si="26"/>
        <v>0</v>
      </c>
      <c r="AX18" s="260">
        <f t="shared" si="27"/>
        <v>0</v>
      </c>
      <c r="AY18" s="260">
        <f t="shared" si="28"/>
        <v>0</v>
      </c>
      <c r="AZ18" s="260">
        <f t="shared" si="29"/>
        <v>0</v>
      </c>
      <c r="BA18" s="260">
        <f t="shared" si="30"/>
        <v>0</v>
      </c>
      <c r="BB18" s="260">
        <f t="shared" si="31"/>
        <v>0</v>
      </c>
      <c r="BC18" s="260">
        <f t="shared" si="32"/>
        <v>0</v>
      </c>
      <c r="BD18" s="260">
        <f t="shared" si="33"/>
        <v>0</v>
      </c>
      <c r="BE18" s="260">
        <f t="shared" si="34"/>
        <v>0</v>
      </c>
      <c r="BF18" s="260">
        <f t="shared" si="35"/>
        <v>0</v>
      </c>
      <c r="BG18" s="260">
        <f t="shared" si="36"/>
        <v>0</v>
      </c>
      <c r="BH18" s="260">
        <f t="shared" si="75"/>
        <v>0</v>
      </c>
      <c r="BI18" s="260">
        <f t="shared" si="76"/>
        <v>0</v>
      </c>
      <c r="BJ18" s="260">
        <f t="shared" si="37"/>
        <v>0</v>
      </c>
      <c r="BK18" s="260">
        <f t="shared" si="38"/>
        <v>0</v>
      </c>
      <c r="BL18" s="260">
        <f t="shared" si="39"/>
        <v>0</v>
      </c>
      <c r="BM18" s="260">
        <f t="shared" si="40"/>
        <v>0</v>
      </c>
      <c r="BN18" s="260">
        <f t="shared" si="41"/>
        <v>0</v>
      </c>
      <c r="BO18" s="260">
        <f t="shared" si="42"/>
        <v>0</v>
      </c>
      <c r="BP18" s="260">
        <f t="shared" si="77"/>
        <v>0</v>
      </c>
      <c r="BQ18" s="260">
        <f t="shared" si="78"/>
        <v>0</v>
      </c>
      <c r="BR18" s="260">
        <f t="shared" si="43"/>
        <v>0</v>
      </c>
      <c r="BS18" s="260">
        <f t="shared" si="44"/>
        <v>0</v>
      </c>
      <c r="BT18" s="260">
        <f t="shared" si="79"/>
        <v>0</v>
      </c>
      <c r="BU18" s="260">
        <f t="shared" si="80"/>
        <v>0</v>
      </c>
      <c r="BV18" s="260">
        <f t="shared" si="81"/>
        <v>0</v>
      </c>
      <c r="BW18" s="260">
        <f t="shared" si="82"/>
        <v>0</v>
      </c>
      <c r="BX18" s="260">
        <f t="shared" si="45"/>
        <v>0</v>
      </c>
      <c r="BY18" s="260">
        <f t="shared" si="46"/>
        <v>0</v>
      </c>
      <c r="BZ18" s="260">
        <f t="shared" si="47"/>
        <v>0</v>
      </c>
      <c r="CA18" s="260">
        <f t="shared" si="48"/>
        <v>0</v>
      </c>
      <c r="CB18" s="260">
        <f t="shared" si="49"/>
        <v>0</v>
      </c>
      <c r="CC18" s="260">
        <f t="shared" si="50"/>
        <v>0</v>
      </c>
      <c r="CD18" s="260">
        <f t="shared" si="83"/>
        <v>0</v>
      </c>
      <c r="CE18" s="260">
        <f t="shared" si="84"/>
        <v>0</v>
      </c>
      <c r="CF18" s="260">
        <f t="shared" si="85"/>
        <v>0</v>
      </c>
      <c r="CG18" s="260">
        <f t="shared" si="86"/>
        <v>0</v>
      </c>
      <c r="CH18" s="260">
        <f t="shared" si="51"/>
        <v>0</v>
      </c>
      <c r="CI18" s="260">
        <f t="shared" si="52"/>
        <v>0</v>
      </c>
      <c r="CJ18" s="260">
        <f t="shared" si="87"/>
        <v>0</v>
      </c>
      <c r="CK18" s="260">
        <f t="shared" si="88"/>
        <v>0</v>
      </c>
      <c r="CL18" s="260">
        <f t="shared" si="53"/>
        <v>0</v>
      </c>
      <c r="CM18" s="260">
        <f t="shared" si="54"/>
        <v>0</v>
      </c>
      <c r="CN18" s="260">
        <f t="shared" si="55"/>
        <v>0</v>
      </c>
      <c r="CO18" s="260">
        <f t="shared" si="56"/>
        <v>0</v>
      </c>
      <c r="CP18" s="260">
        <f t="shared" si="89"/>
        <v>0</v>
      </c>
      <c r="CQ18" s="260">
        <f t="shared" si="90"/>
        <v>0</v>
      </c>
      <c r="CR18" s="260">
        <f t="shared" si="91"/>
        <v>0</v>
      </c>
      <c r="CS18" s="260">
        <f t="shared" si="92"/>
        <v>0</v>
      </c>
      <c r="CT18" s="260">
        <f t="shared" si="57"/>
        <v>0</v>
      </c>
      <c r="CU18" s="260">
        <f t="shared" si="58"/>
        <v>0</v>
      </c>
      <c r="CV18" s="260">
        <f t="shared" si="59"/>
        <v>0</v>
      </c>
      <c r="CW18" s="260">
        <f t="shared" si="60"/>
        <v>0</v>
      </c>
      <c r="CX18" s="260">
        <f t="shared" si="93"/>
        <v>0</v>
      </c>
      <c r="CY18" s="260">
        <f t="shared" si="94"/>
        <v>0</v>
      </c>
      <c r="CZ18" s="260">
        <f t="shared" si="95"/>
        <v>0</v>
      </c>
      <c r="DA18" s="260">
        <f t="shared" si="96"/>
        <v>0</v>
      </c>
    </row>
    <row r="19" spans="1:105" s="257" customFormat="1" ht="15.75" customHeight="1">
      <c r="A19" s="60" t="str">
        <f t="array" ref="A19">IF(C19&lt;&gt;0,SUM(($C$11:C19&lt;&gt;0)*1),"")</f>
        <v/>
      </c>
      <c r="B19" s="258"/>
      <c r="C19" s="258"/>
      <c r="D19" s="258"/>
      <c r="E19" s="337"/>
      <c r="F19" s="309"/>
      <c r="G19" s="311"/>
      <c r="H19" s="311"/>
      <c r="I19" s="60" t="str">
        <f t="shared" si="0"/>
        <v/>
      </c>
      <c r="J19" s="260">
        <f t="shared" si="61"/>
        <v>0</v>
      </c>
      <c r="K19" s="260">
        <f t="shared" si="62"/>
        <v>0</v>
      </c>
      <c r="L19" s="260">
        <f t="shared" si="1"/>
        <v>0</v>
      </c>
      <c r="M19" s="260">
        <f t="shared" si="2"/>
        <v>0</v>
      </c>
      <c r="N19" s="260">
        <f t="shared" si="3"/>
        <v>0</v>
      </c>
      <c r="O19" s="260">
        <f t="shared" si="4"/>
        <v>0</v>
      </c>
      <c r="P19" s="260">
        <f t="shared" si="5"/>
        <v>0</v>
      </c>
      <c r="Q19" s="260">
        <f t="shared" si="6"/>
        <v>0</v>
      </c>
      <c r="R19" s="260">
        <f t="shared" si="7"/>
        <v>0</v>
      </c>
      <c r="S19" s="260">
        <f t="shared" si="8"/>
        <v>0</v>
      </c>
      <c r="T19" s="260">
        <f t="shared" si="9"/>
        <v>0</v>
      </c>
      <c r="U19" s="260">
        <f t="shared" si="10"/>
        <v>0</v>
      </c>
      <c r="V19" s="260">
        <f t="shared" si="11"/>
        <v>0</v>
      </c>
      <c r="W19" s="260">
        <f t="shared" si="12"/>
        <v>0</v>
      </c>
      <c r="X19" s="260">
        <f t="shared" si="13"/>
        <v>0</v>
      </c>
      <c r="Y19" s="260">
        <f t="shared" si="14"/>
        <v>0</v>
      </c>
      <c r="Z19" s="260">
        <f t="shared" si="15"/>
        <v>0</v>
      </c>
      <c r="AA19" s="260">
        <f t="shared" si="16"/>
        <v>0</v>
      </c>
      <c r="AB19" s="260">
        <f t="shared" si="63"/>
        <v>0</v>
      </c>
      <c r="AC19" s="260">
        <f t="shared" si="64"/>
        <v>0</v>
      </c>
      <c r="AD19" s="260">
        <f t="shared" si="17"/>
        <v>0</v>
      </c>
      <c r="AE19" s="260">
        <f t="shared" si="18"/>
        <v>0</v>
      </c>
      <c r="AF19" s="260">
        <f t="shared" si="19"/>
        <v>0</v>
      </c>
      <c r="AG19" s="260">
        <f t="shared" si="20"/>
        <v>0</v>
      </c>
      <c r="AH19" s="260">
        <f t="shared" si="65"/>
        <v>0</v>
      </c>
      <c r="AI19" s="260">
        <f t="shared" si="66"/>
        <v>0</v>
      </c>
      <c r="AJ19" s="260">
        <f t="shared" si="67"/>
        <v>0</v>
      </c>
      <c r="AK19" s="260">
        <f t="shared" si="68"/>
        <v>0</v>
      </c>
      <c r="AL19" s="260">
        <f t="shared" si="69"/>
        <v>0</v>
      </c>
      <c r="AM19" s="260">
        <f t="shared" si="70"/>
        <v>0</v>
      </c>
      <c r="AN19" s="260">
        <f t="shared" si="71"/>
        <v>0</v>
      </c>
      <c r="AO19" s="260">
        <f t="shared" si="72"/>
        <v>0</v>
      </c>
      <c r="AP19" s="260">
        <f t="shared" si="21"/>
        <v>0</v>
      </c>
      <c r="AQ19" s="260">
        <f t="shared" si="22"/>
        <v>0</v>
      </c>
      <c r="AR19" s="260">
        <f t="shared" si="23"/>
        <v>0</v>
      </c>
      <c r="AS19" s="260">
        <f t="shared" si="24"/>
        <v>0</v>
      </c>
      <c r="AT19" s="260">
        <f t="shared" si="73"/>
        <v>0</v>
      </c>
      <c r="AU19" s="260">
        <f t="shared" si="74"/>
        <v>0</v>
      </c>
      <c r="AV19" s="260">
        <f t="shared" si="25"/>
        <v>0</v>
      </c>
      <c r="AW19" s="260">
        <f t="shared" si="26"/>
        <v>0</v>
      </c>
      <c r="AX19" s="260">
        <f t="shared" si="27"/>
        <v>0</v>
      </c>
      <c r="AY19" s="260">
        <f t="shared" si="28"/>
        <v>0</v>
      </c>
      <c r="AZ19" s="260">
        <f t="shared" si="29"/>
        <v>0</v>
      </c>
      <c r="BA19" s="260">
        <f t="shared" si="30"/>
        <v>0</v>
      </c>
      <c r="BB19" s="260">
        <f t="shared" si="31"/>
        <v>0</v>
      </c>
      <c r="BC19" s="260">
        <f t="shared" si="32"/>
        <v>0</v>
      </c>
      <c r="BD19" s="260">
        <f t="shared" si="33"/>
        <v>0</v>
      </c>
      <c r="BE19" s="260">
        <f t="shared" si="34"/>
        <v>0</v>
      </c>
      <c r="BF19" s="260">
        <f t="shared" si="35"/>
        <v>0</v>
      </c>
      <c r="BG19" s="260">
        <f t="shared" si="36"/>
        <v>0</v>
      </c>
      <c r="BH19" s="260">
        <f t="shared" si="75"/>
        <v>0</v>
      </c>
      <c r="BI19" s="260">
        <f t="shared" si="76"/>
        <v>0</v>
      </c>
      <c r="BJ19" s="260">
        <f t="shared" si="37"/>
        <v>0</v>
      </c>
      <c r="BK19" s="260">
        <f t="shared" si="38"/>
        <v>0</v>
      </c>
      <c r="BL19" s="260">
        <f t="shared" si="39"/>
        <v>0</v>
      </c>
      <c r="BM19" s="260">
        <f t="shared" si="40"/>
        <v>0</v>
      </c>
      <c r="BN19" s="260">
        <f t="shared" si="41"/>
        <v>0</v>
      </c>
      <c r="BO19" s="260">
        <f t="shared" si="42"/>
        <v>0</v>
      </c>
      <c r="BP19" s="260">
        <f t="shared" si="77"/>
        <v>0</v>
      </c>
      <c r="BQ19" s="260">
        <f t="shared" si="78"/>
        <v>0</v>
      </c>
      <c r="BR19" s="260">
        <f t="shared" si="43"/>
        <v>0</v>
      </c>
      <c r="BS19" s="260">
        <f t="shared" si="44"/>
        <v>0</v>
      </c>
      <c r="BT19" s="260">
        <f t="shared" si="79"/>
        <v>0</v>
      </c>
      <c r="BU19" s="260">
        <f t="shared" si="80"/>
        <v>0</v>
      </c>
      <c r="BV19" s="260">
        <f t="shared" si="81"/>
        <v>0</v>
      </c>
      <c r="BW19" s="260">
        <f t="shared" si="82"/>
        <v>0</v>
      </c>
      <c r="BX19" s="260">
        <f t="shared" si="45"/>
        <v>0</v>
      </c>
      <c r="BY19" s="260">
        <f t="shared" si="46"/>
        <v>0</v>
      </c>
      <c r="BZ19" s="260">
        <f t="shared" si="47"/>
        <v>0</v>
      </c>
      <c r="CA19" s="260">
        <f t="shared" si="48"/>
        <v>0</v>
      </c>
      <c r="CB19" s="260">
        <f t="shared" si="49"/>
        <v>0</v>
      </c>
      <c r="CC19" s="260">
        <f t="shared" si="50"/>
        <v>0</v>
      </c>
      <c r="CD19" s="260">
        <f t="shared" si="83"/>
        <v>0</v>
      </c>
      <c r="CE19" s="260">
        <f t="shared" si="84"/>
        <v>0</v>
      </c>
      <c r="CF19" s="260">
        <f t="shared" si="85"/>
        <v>0</v>
      </c>
      <c r="CG19" s="260">
        <f t="shared" si="86"/>
        <v>0</v>
      </c>
      <c r="CH19" s="260">
        <f t="shared" si="51"/>
        <v>0</v>
      </c>
      <c r="CI19" s="260">
        <f t="shared" si="52"/>
        <v>0</v>
      </c>
      <c r="CJ19" s="260">
        <f t="shared" si="87"/>
        <v>0</v>
      </c>
      <c r="CK19" s="260">
        <f t="shared" si="88"/>
        <v>0</v>
      </c>
      <c r="CL19" s="260">
        <f t="shared" si="53"/>
        <v>0</v>
      </c>
      <c r="CM19" s="260">
        <f t="shared" si="54"/>
        <v>0</v>
      </c>
      <c r="CN19" s="260">
        <f t="shared" si="55"/>
        <v>0</v>
      </c>
      <c r="CO19" s="260">
        <f t="shared" si="56"/>
        <v>0</v>
      </c>
      <c r="CP19" s="260">
        <f t="shared" si="89"/>
        <v>0</v>
      </c>
      <c r="CQ19" s="260">
        <f t="shared" si="90"/>
        <v>0</v>
      </c>
      <c r="CR19" s="260">
        <f t="shared" si="91"/>
        <v>0</v>
      </c>
      <c r="CS19" s="260">
        <f t="shared" si="92"/>
        <v>0</v>
      </c>
      <c r="CT19" s="260">
        <f t="shared" si="57"/>
        <v>0</v>
      </c>
      <c r="CU19" s="260">
        <f t="shared" si="58"/>
        <v>0</v>
      </c>
      <c r="CV19" s="260">
        <f t="shared" si="59"/>
        <v>0</v>
      </c>
      <c r="CW19" s="260">
        <f t="shared" si="60"/>
        <v>0</v>
      </c>
      <c r="CX19" s="260">
        <f t="shared" si="93"/>
        <v>0</v>
      </c>
      <c r="CY19" s="260">
        <f t="shared" si="94"/>
        <v>0</v>
      </c>
      <c r="CZ19" s="260">
        <f t="shared" si="95"/>
        <v>0</v>
      </c>
      <c r="DA19" s="260">
        <f t="shared" si="96"/>
        <v>0</v>
      </c>
    </row>
    <row r="20" spans="1:105" s="257" customFormat="1" ht="15.75" customHeight="1">
      <c r="A20" s="60" t="str">
        <f t="array" ref="A20">IF(C20&lt;&gt;0,SUM(($C$11:C20&lt;&gt;0)*1),"")</f>
        <v/>
      </c>
      <c r="B20" s="258"/>
      <c r="C20" s="258"/>
      <c r="D20" s="258"/>
      <c r="E20" s="337"/>
      <c r="F20" s="309"/>
      <c r="G20" s="311"/>
      <c r="H20" s="311"/>
      <c r="I20" s="60" t="str">
        <f t="shared" si="0"/>
        <v/>
      </c>
      <c r="J20" s="260">
        <f t="shared" si="61"/>
        <v>0</v>
      </c>
      <c r="K20" s="260">
        <f t="shared" si="62"/>
        <v>0</v>
      </c>
      <c r="L20" s="260">
        <f t="shared" si="1"/>
        <v>0</v>
      </c>
      <c r="M20" s="260">
        <f t="shared" si="2"/>
        <v>0</v>
      </c>
      <c r="N20" s="260">
        <f t="shared" si="3"/>
        <v>0</v>
      </c>
      <c r="O20" s="260">
        <f t="shared" si="4"/>
        <v>0</v>
      </c>
      <c r="P20" s="260">
        <f t="shared" si="5"/>
        <v>0</v>
      </c>
      <c r="Q20" s="260">
        <f t="shared" si="6"/>
        <v>0</v>
      </c>
      <c r="R20" s="260">
        <f t="shared" si="7"/>
        <v>0</v>
      </c>
      <c r="S20" s="260">
        <f t="shared" si="8"/>
        <v>0</v>
      </c>
      <c r="T20" s="260">
        <f t="shared" si="9"/>
        <v>0</v>
      </c>
      <c r="U20" s="260">
        <f t="shared" si="10"/>
        <v>0</v>
      </c>
      <c r="V20" s="260">
        <f t="shared" si="11"/>
        <v>0</v>
      </c>
      <c r="W20" s="260">
        <f t="shared" si="12"/>
        <v>0</v>
      </c>
      <c r="X20" s="260">
        <f t="shared" si="13"/>
        <v>0</v>
      </c>
      <c r="Y20" s="260">
        <f t="shared" si="14"/>
        <v>0</v>
      </c>
      <c r="Z20" s="260">
        <f t="shared" si="15"/>
        <v>0</v>
      </c>
      <c r="AA20" s="260">
        <f t="shared" si="16"/>
        <v>0</v>
      </c>
      <c r="AB20" s="260">
        <f t="shared" si="63"/>
        <v>0</v>
      </c>
      <c r="AC20" s="260">
        <f t="shared" si="64"/>
        <v>0</v>
      </c>
      <c r="AD20" s="260">
        <f t="shared" si="17"/>
        <v>0</v>
      </c>
      <c r="AE20" s="260">
        <f t="shared" si="18"/>
        <v>0</v>
      </c>
      <c r="AF20" s="260">
        <f t="shared" si="19"/>
        <v>0</v>
      </c>
      <c r="AG20" s="260">
        <f t="shared" si="20"/>
        <v>0</v>
      </c>
      <c r="AH20" s="260">
        <f t="shared" si="65"/>
        <v>0</v>
      </c>
      <c r="AI20" s="260">
        <f t="shared" si="66"/>
        <v>0</v>
      </c>
      <c r="AJ20" s="260">
        <f t="shared" si="67"/>
        <v>0</v>
      </c>
      <c r="AK20" s="260">
        <f t="shared" si="68"/>
        <v>0</v>
      </c>
      <c r="AL20" s="260">
        <f t="shared" si="69"/>
        <v>0</v>
      </c>
      <c r="AM20" s="260">
        <f t="shared" si="70"/>
        <v>0</v>
      </c>
      <c r="AN20" s="260">
        <f t="shared" si="71"/>
        <v>0</v>
      </c>
      <c r="AO20" s="260">
        <f t="shared" si="72"/>
        <v>0</v>
      </c>
      <c r="AP20" s="260">
        <f t="shared" si="21"/>
        <v>0</v>
      </c>
      <c r="AQ20" s="260">
        <f t="shared" si="22"/>
        <v>0</v>
      </c>
      <c r="AR20" s="260">
        <f t="shared" si="23"/>
        <v>0</v>
      </c>
      <c r="AS20" s="260">
        <f t="shared" si="24"/>
        <v>0</v>
      </c>
      <c r="AT20" s="260">
        <f t="shared" si="73"/>
        <v>0</v>
      </c>
      <c r="AU20" s="260">
        <f t="shared" si="74"/>
        <v>0</v>
      </c>
      <c r="AV20" s="260">
        <f t="shared" si="25"/>
        <v>0</v>
      </c>
      <c r="AW20" s="260">
        <f t="shared" si="26"/>
        <v>0</v>
      </c>
      <c r="AX20" s="260">
        <f t="shared" si="27"/>
        <v>0</v>
      </c>
      <c r="AY20" s="260">
        <f t="shared" si="28"/>
        <v>0</v>
      </c>
      <c r="AZ20" s="260">
        <f t="shared" si="29"/>
        <v>0</v>
      </c>
      <c r="BA20" s="260">
        <f t="shared" si="30"/>
        <v>0</v>
      </c>
      <c r="BB20" s="260">
        <f t="shared" si="31"/>
        <v>0</v>
      </c>
      <c r="BC20" s="260">
        <f t="shared" si="32"/>
        <v>0</v>
      </c>
      <c r="BD20" s="260">
        <f t="shared" si="33"/>
        <v>0</v>
      </c>
      <c r="BE20" s="260">
        <f t="shared" si="34"/>
        <v>0</v>
      </c>
      <c r="BF20" s="260">
        <f t="shared" si="35"/>
        <v>0</v>
      </c>
      <c r="BG20" s="260">
        <f t="shared" si="36"/>
        <v>0</v>
      </c>
      <c r="BH20" s="260">
        <f t="shared" si="75"/>
        <v>0</v>
      </c>
      <c r="BI20" s="260">
        <f t="shared" si="76"/>
        <v>0</v>
      </c>
      <c r="BJ20" s="260">
        <f t="shared" si="37"/>
        <v>0</v>
      </c>
      <c r="BK20" s="260">
        <f t="shared" si="38"/>
        <v>0</v>
      </c>
      <c r="BL20" s="260">
        <f t="shared" si="39"/>
        <v>0</v>
      </c>
      <c r="BM20" s="260">
        <f t="shared" si="40"/>
        <v>0</v>
      </c>
      <c r="BN20" s="260">
        <f t="shared" si="41"/>
        <v>0</v>
      </c>
      <c r="BO20" s="260">
        <f t="shared" si="42"/>
        <v>0</v>
      </c>
      <c r="BP20" s="260">
        <f t="shared" si="77"/>
        <v>0</v>
      </c>
      <c r="BQ20" s="260">
        <f t="shared" si="78"/>
        <v>0</v>
      </c>
      <c r="BR20" s="260">
        <f t="shared" si="43"/>
        <v>0</v>
      </c>
      <c r="BS20" s="260">
        <f t="shared" si="44"/>
        <v>0</v>
      </c>
      <c r="BT20" s="260">
        <f t="shared" si="79"/>
        <v>0</v>
      </c>
      <c r="BU20" s="260">
        <f t="shared" si="80"/>
        <v>0</v>
      </c>
      <c r="BV20" s="260">
        <f t="shared" si="81"/>
        <v>0</v>
      </c>
      <c r="BW20" s="260">
        <f t="shared" si="82"/>
        <v>0</v>
      </c>
      <c r="BX20" s="260">
        <f t="shared" si="45"/>
        <v>0</v>
      </c>
      <c r="BY20" s="260">
        <f t="shared" si="46"/>
        <v>0</v>
      </c>
      <c r="BZ20" s="260">
        <f t="shared" si="47"/>
        <v>0</v>
      </c>
      <c r="CA20" s="260">
        <f t="shared" si="48"/>
        <v>0</v>
      </c>
      <c r="CB20" s="260">
        <f t="shared" si="49"/>
        <v>0</v>
      </c>
      <c r="CC20" s="260">
        <f t="shared" si="50"/>
        <v>0</v>
      </c>
      <c r="CD20" s="260">
        <f t="shared" si="83"/>
        <v>0</v>
      </c>
      <c r="CE20" s="260">
        <f t="shared" si="84"/>
        <v>0</v>
      </c>
      <c r="CF20" s="260">
        <f t="shared" si="85"/>
        <v>0</v>
      </c>
      <c r="CG20" s="260">
        <f t="shared" si="86"/>
        <v>0</v>
      </c>
      <c r="CH20" s="260">
        <f t="shared" si="51"/>
        <v>0</v>
      </c>
      <c r="CI20" s="260">
        <f t="shared" si="52"/>
        <v>0</v>
      </c>
      <c r="CJ20" s="260">
        <f t="shared" si="87"/>
        <v>0</v>
      </c>
      <c r="CK20" s="260">
        <f t="shared" si="88"/>
        <v>0</v>
      </c>
      <c r="CL20" s="260">
        <f t="shared" si="53"/>
        <v>0</v>
      </c>
      <c r="CM20" s="260">
        <f t="shared" si="54"/>
        <v>0</v>
      </c>
      <c r="CN20" s="260">
        <f t="shared" si="55"/>
        <v>0</v>
      </c>
      <c r="CO20" s="260">
        <f t="shared" si="56"/>
        <v>0</v>
      </c>
      <c r="CP20" s="260">
        <f t="shared" si="89"/>
        <v>0</v>
      </c>
      <c r="CQ20" s="260">
        <f t="shared" si="90"/>
        <v>0</v>
      </c>
      <c r="CR20" s="260">
        <f t="shared" si="91"/>
        <v>0</v>
      </c>
      <c r="CS20" s="260">
        <f t="shared" si="92"/>
        <v>0</v>
      </c>
      <c r="CT20" s="260">
        <f t="shared" si="57"/>
        <v>0</v>
      </c>
      <c r="CU20" s="260">
        <f t="shared" si="58"/>
        <v>0</v>
      </c>
      <c r="CV20" s="260">
        <f t="shared" si="59"/>
        <v>0</v>
      </c>
      <c r="CW20" s="260">
        <f t="shared" si="60"/>
        <v>0</v>
      </c>
      <c r="CX20" s="260">
        <f t="shared" si="93"/>
        <v>0</v>
      </c>
      <c r="CY20" s="260">
        <f t="shared" si="94"/>
        <v>0</v>
      </c>
      <c r="CZ20" s="260">
        <f t="shared" si="95"/>
        <v>0</v>
      </c>
      <c r="DA20" s="260">
        <f t="shared" si="96"/>
        <v>0</v>
      </c>
    </row>
    <row r="21" spans="1:105" s="257" customFormat="1" ht="15.75" customHeight="1">
      <c r="A21" s="60" t="str">
        <f t="array" ref="A21">IF(C21&lt;&gt;0,SUM(($C$11:C21&lt;&gt;0)*1),"")</f>
        <v/>
      </c>
      <c r="B21" s="258"/>
      <c r="C21" s="258"/>
      <c r="D21" s="258"/>
      <c r="E21" s="337"/>
      <c r="F21" s="309"/>
      <c r="G21" s="311"/>
      <c r="H21" s="311"/>
      <c r="I21" s="60" t="str">
        <f t="shared" si="0"/>
        <v/>
      </c>
      <c r="J21" s="260">
        <f t="shared" si="61"/>
        <v>0</v>
      </c>
      <c r="K21" s="260">
        <f t="shared" si="62"/>
        <v>0</v>
      </c>
      <c r="L21" s="260">
        <f t="shared" si="1"/>
        <v>0</v>
      </c>
      <c r="M21" s="260">
        <f t="shared" si="2"/>
        <v>0</v>
      </c>
      <c r="N21" s="260">
        <f t="shared" si="3"/>
        <v>0</v>
      </c>
      <c r="O21" s="260">
        <f t="shared" si="4"/>
        <v>0</v>
      </c>
      <c r="P21" s="260">
        <f t="shared" si="5"/>
        <v>0</v>
      </c>
      <c r="Q21" s="260">
        <f t="shared" si="6"/>
        <v>0</v>
      </c>
      <c r="R21" s="260">
        <f t="shared" si="7"/>
        <v>0</v>
      </c>
      <c r="S21" s="260">
        <f t="shared" si="8"/>
        <v>0</v>
      </c>
      <c r="T21" s="260">
        <f t="shared" si="9"/>
        <v>0</v>
      </c>
      <c r="U21" s="260">
        <f t="shared" si="10"/>
        <v>0</v>
      </c>
      <c r="V21" s="260">
        <f t="shared" si="11"/>
        <v>0</v>
      </c>
      <c r="W21" s="260">
        <f t="shared" si="12"/>
        <v>0</v>
      </c>
      <c r="X21" s="260">
        <f t="shared" si="13"/>
        <v>0</v>
      </c>
      <c r="Y21" s="260">
        <f t="shared" si="14"/>
        <v>0</v>
      </c>
      <c r="Z21" s="260">
        <f t="shared" si="15"/>
        <v>0</v>
      </c>
      <c r="AA21" s="260">
        <f t="shared" si="16"/>
        <v>0</v>
      </c>
      <c r="AB21" s="260">
        <f t="shared" si="63"/>
        <v>0</v>
      </c>
      <c r="AC21" s="260">
        <f t="shared" si="64"/>
        <v>0</v>
      </c>
      <c r="AD21" s="260">
        <f t="shared" si="17"/>
        <v>0</v>
      </c>
      <c r="AE21" s="260">
        <f t="shared" si="18"/>
        <v>0</v>
      </c>
      <c r="AF21" s="260">
        <f t="shared" si="19"/>
        <v>0</v>
      </c>
      <c r="AG21" s="260">
        <f t="shared" si="20"/>
        <v>0</v>
      </c>
      <c r="AH21" s="260">
        <f t="shared" si="65"/>
        <v>0</v>
      </c>
      <c r="AI21" s="260">
        <f t="shared" si="66"/>
        <v>0</v>
      </c>
      <c r="AJ21" s="260">
        <f t="shared" si="67"/>
        <v>0</v>
      </c>
      <c r="AK21" s="260">
        <f t="shared" si="68"/>
        <v>0</v>
      </c>
      <c r="AL21" s="260">
        <f t="shared" si="69"/>
        <v>0</v>
      </c>
      <c r="AM21" s="260">
        <f t="shared" si="70"/>
        <v>0</v>
      </c>
      <c r="AN21" s="260">
        <f t="shared" si="71"/>
        <v>0</v>
      </c>
      <c r="AO21" s="260">
        <f t="shared" si="72"/>
        <v>0</v>
      </c>
      <c r="AP21" s="260">
        <f t="shared" si="21"/>
        <v>0</v>
      </c>
      <c r="AQ21" s="260">
        <f t="shared" si="22"/>
        <v>0</v>
      </c>
      <c r="AR21" s="260">
        <f t="shared" si="23"/>
        <v>0</v>
      </c>
      <c r="AS21" s="260">
        <f t="shared" si="24"/>
        <v>0</v>
      </c>
      <c r="AT21" s="260">
        <f t="shared" si="73"/>
        <v>0</v>
      </c>
      <c r="AU21" s="260">
        <f t="shared" si="74"/>
        <v>0</v>
      </c>
      <c r="AV21" s="260">
        <f t="shared" si="25"/>
        <v>0</v>
      </c>
      <c r="AW21" s="260">
        <f t="shared" si="26"/>
        <v>0</v>
      </c>
      <c r="AX21" s="260">
        <f t="shared" si="27"/>
        <v>0</v>
      </c>
      <c r="AY21" s="260">
        <f t="shared" si="28"/>
        <v>0</v>
      </c>
      <c r="AZ21" s="260">
        <f t="shared" si="29"/>
        <v>0</v>
      </c>
      <c r="BA21" s="260">
        <f t="shared" si="30"/>
        <v>0</v>
      </c>
      <c r="BB21" s="260">
        <f t="shared" si="31"/>
        <v>0</v>
      </c>
      <c r="BC21" s="260">
        <f t="shared" si="32"/>
        <v>0</v>
      </c>
      <c r="BD21" s="260">
        <f t="shared" si="33"/>
        <v>0</v>
      </c>
      <c r="BE21" s="260">
        <f t="shared" si="34"/>
        <v>0</v>
      </c>
      <c r="BF21" s="260">
        <f t="shared" si="35"/>
        <v>0</v>
      </c>
      <c r="BG21" s="260">
        <f t="shared" si="36"/>
        <v>0</v>
      </c>
      <c r="BH21" s="260">
        <f t="shared" si="75"/>
        <v>0</v>
      </c>
      <c r="BI21" s="260">
        <f t="shared" si="76"/>
        <v>0</v>
      </c>
      <c r="BJ21" s="260">
        <f t="shared" si="37"/>
        <v>0</v>
      </c>
      <c r="BK21" s="260">
        <f t="shared" si="38"/>
        <v>0</v>
      </c>
      <c r="BL21" s="260">
        <f t="shared" si="39"/>
        <v>0</v>
      </c>
      <c r="BM21" s="260">
        <f t="shared" si="40"/>
        <v>0</v>
      </c>
      <c r="BN21" s="260">
        <f t="shared" si="41"/>
        <v>0</v>
      </c>
      <c r="BO21" s="260">
        <f t="shared" si="42"/>
        <v>0</v>
      </c>
      <c r="BP21" s="260">
        <f t="shared" si="77"/>
        <v>0</v>
      </c>
      <c r="BQ21" s="260">
        <f t="shared" si="78"/>
        <v>0</v>
      </c>
      <c r="BR21" s="260">
        <f t="shared" si="43"/>
        <v>0</v>
      </c>
      <c r="BS21" s="260">
        <f t="shared" si="44"/>
        <v>0</v>
      </c>
      <c r="BT21" s="260">
        <f t="shared" si="79"/>
        <v>0</v>
      </c>
      <c r="BU21" s="260">
        <f t="shared" si="80"/>
        <v>0</v>
      </c>
      <c r="BV21" s="260">
        <f t="shared" si="81"/>
        <v>0</v>
      </c>
      <c r="BW21" s="260">
        <f t="shared" si="82"/>
        <v>0</v>
      </c>
      <c r="BX21" s="260">
        <f t="shared" si="45"/>
        <v>0</v>
      </c>
      <c r="BY21" s="260">
        <f t="shared" si="46"/>
        <v>0</v>
      </c>
      <c r="BZ21" s="260">
        <f t="shared" si="47"/>
        <v>0</v>
      </c>
      <c r="CA21" s="260">
        <f t="shared" si="48"/>
        <v>0</v>
      </c>
      <c r="CB21" s="260">
        <f t="shared" si="49"/>
        <v>0</v>
      </c>
      <c r="CC21" s="260">
        <f t="shared" si="50"/>
        <v>0</v>
      </c>
      <c r="CD21" s="260">
        <f t="shared" si="83"/>
        <v>0</v>
      </c>
      <c r="CE21" s="260">
        <f t="shared" si="84"/>
        <v>0</v>
      </c>
      <c r="CF21" s="260">
        <f t="shared" si="85"/>
        <v>0</v>
      </c>
      <c r="CG21" s="260">
        <f t="shared" si="86"/>
        <v>0</v>
      </c>
      <c r="CH21" s="260">
        <f t="shared" si="51"/>
        <v>0</v>
      </c>
      <c r="CI21" s="260">
        <f t="shared" si="52"/>
        <v>0</v>
      </c>
      <c r="CJ21" s="260">
        <f t="shared" si="87"/>
        <v>0</v>
      </c>
      <c r="CK21" s="260">
        <f t="shared" si="88"/>
        <v>0</v>
      </c>
      <c r="CL21" s="260">
        <f t="shared" si="53"/>
        <v>0</v>
      </c>
      <c r="CM21" s="260">
        <f t="shared" si="54"/>
        <v>0</v>
      </c>
      <c r="CN21" s="260">
        <f t="shared" si="55"/>
        <v>0</v>
      </c>
      <c r="CO21" s="260">
        <f t="shared" si="56"/>
        <v>0</v>
      </c>
      <c r="CP21" s="260">
        <f t="shared" si="89"/>
        <v>0</v>
      </c>
      <c r="CQ21" s="260">
        <f t="shared" si="90"/>
        <v>0</v>
      </c>
      <c r="CR21" s="260">
        <f t="shared" si="91"/>
        <v>0</v>
      </c>
      <c r="CS21" s="260">
        <f t="shared" si="92"/>
        <v>0</v>
      </c>
      <c r="CT21" s="260">
        <f t="shared" si="57"/>
        <v>0</v>
      </c>
      <c r="CU21" s="260">
        <f t="shared" si="58"/>
        <v>0</v>
      </c>
      <c r="CV21" s="260">
        <f t="shared" si="59"/>
        <v>0</v>
      </c>
      <c r="CW21" s="260">
        <f t="shared" si="60"/>
        <v>0</v>
      </c>
      <c r="CX21" s="260">
        <f t="shared" si="93"/>
        <v>0</v>
      </c>
      <c r="CY21" s="260">
        <f t="shared" si="94"/>
        <v>0</v>
      </c>
      <c r="CZ21" s="260">
        <f t="shared" si="95"/>
        <v>0</v>
      </c>
      <c r="DA21" s="260">
        <f t="shared" si="96"/>
        <v>0</v>
      </c>
    </row>
    <row r="22" spans="1:105" s="257" customFormat="1" ht="15.75" customHeight="1">
      <c r="A22" s="60" t="str">
        <f t="array" ref="A22">IF(C22&lt;&gt;0,SUM(($C$11:C22&lt;&gt;0)*1),"")</f>
        <v/>
      </c>
      <c r="B22" s="258"/>
      <c r="C22" s="258"/>
      <c r="D22" s="258"/>
      <c r="E22" s="337"/>
      <c r="F22" s="309"/>
      <c r="G22" s="311"/>
      <c r="H22" s="311"/>
      <c r="I22" s="60" t="str">
        <f t="shared" si="0"/>
        <v/>
      </c>
      <c r="J22" s="260">
        <f t="shared" si="61"/>
        <v>0</v>
      </c>
      <c r="K22" s="260">
        <f t="shared" si="62"/>
        <v>0</v>
      </c>
      <c r="L22" s="260">
        <f t="shared" si="1"/>
        <v>0</v>
      </c>
      <c r="M22" s="260">
        <f t="shared" si="2"/>
        <v>0</v>
      </c>
      <c r="N22" s="260">
        <f t="shared" si="3"/>
        <v>0</v>
      </c>
      <c r="O22" s="260">
        <f t="shared" si="4"/>
        <v>0</v>
      </c>
      <c r="P22" s="260">
        <f t="shared" si="5"/>
        <v>0</v>
      </c>
      <c r="Q22" s="260">
        <f t="shared" si="6"/>
        <v>0</v>
      </c>
      <c r="R22" s="260">
        <f t="shared" si="7"/>
        <v>0</v>
      </c>
      <c r="S22" s="260">
        <f t="shared" si="8"/>
        <v>0</v>
      </c>
      <c r="T22" s="260">
        <f t="shared" si="9"/>
        <v>0</v>
      </c>
      <c r="U22" s="260">
        <f t="shared" si="10"/>
        <v>0</v>
      </c>
      <c r="V22" s="260">
        <f t="shared" si="11"/>
        <v>0</v>
      </c>
      <c r="W22" s="260">
        <f t="shared" si="12"/>
        <v>0</v>
      </c>
      <c r="X22" s="260">
        <f t="shared" si="13"/>
        <v>0</v>
      </c>
      <c r="Y22" s="260">
        <f t="shared" si="14"/>
        <v>0</v>
      </c>
      <c r="Z22" s="260">
        <f t="shared" si="15"/>
        <v>0</v>
      </c>
      <c r="AA22" s="260">
        <f t="shared" si="16"/>
        <v>0</v>
      </c>
      <c r="AB22" s="260">
        <f t="shared" si="63"/>
        <v>0</v>
      </c>
      <c r="AC22" s="260">
        <f t="shared" si="64"/>
        <v>0</v>
      </c>
      <c r="AD22" s="260">
        <f t="shared" si="17"/>
        <v>0</v>
      </c>
      <c r="AE22" s="260">
        <f t="shared" si="18"/>
        <v>0</v>
      </c>
      <c r="AF22" s="260">
        <f t="shared" si="19"/>
        <v>0</v>
      </c>
      <c r="AG22" s="260">
        <f t="shared" si="20"/>
        <v>0</v>
      </c>
      <c r="AH22" s="260">
        <f t="shared" si="65"/>
        <v>0</v>
      </c>
      <c r="AI22" s="260">
        <f t="shared" si="66"/>
        <v>0</v>
      </c>
      <c r="AJ22" s="260">
        <f t="shared" si="67"/>
        <v>0</v>
      </c>
      <c r="AK22" s="260">
        <f t="shared" si="68"/>
        <v>0</v>
      </c>
      <c r="AL22" s="260">
        <f t="shared" si="69"/>
        <v>0</v>
      </c>
      <c r="AM22" s="260">
        <f t="shared" si="70"/>
        <v>0</v>
      </c>
      <c r="AN22" s="260">
        <f t="shared" si="71"/>
        <v>0</v>
      </c>
      <c r="AO22" s="260">
        <f t="shared" si="72"/>
        <v>0</v>
      </c>
      <c r="AP22" s="260">
        <f t="shared" si="21"/>
        <v>0</v>
      </c>
      <c r="AQ22" s="260">
        <f t="shared" si="22"/>
        <v>0</v>
      </c>
      <c r="AR22" s="260">
        <f t="shared" si="23"/>
        <v>0</v>
      </c>
      <c r="AS22" s="260">
        <f t="shared" si="24"/>
        <v>0</v>
      </c>
      <c r="AT22" s="260">
        <f t="shared" si="73"/>
        <v>0</v>
      </c>
      <c r="AU22" s="260">
        <f t="shared" si="74"/>
        <v>0</v>
      </c>
      <c r="AV22" s="260">
        <f t="shared" si="25"/>
        <v>0</v>
      </c>
      <c r="AW22" s="260">
        <f t="shared" si="26"/>
        <v>0</v>
      </c>
      <c r="AX22" s="260">
        <f t="shared" si="27"/>
        <v>0</v>
      </c>
      <c r="AY22" s="260">
        <f t="shared" si="28"/>
        <v>0</v>
      </c>
      <c r="AZ22" s="260">
        <f t="shared" si="29"/>
        <v>0</v>
      </c>
      <c r="BA22" s="260">
        <f t="shared" si="30"/>
        <v>0</v>
      </c>
      <c r="BB22" s="260">
        <f t="shared" si="31"/>
        <v>0</v>
      </c>
      <c r="BC22" s="260">
        <f t="shared" si="32"/>
        <v>0</v>
      </c>
      <c r="BD22" s="260">
        <f t="shared" si="33"/>
        <v>0</v>
      </c>
      <c r="BE22" s="260">
        <f t="shared" si="34"/>
        <v>0</v>
      </c>
      <c r="BF22" s="260">
        <f t="shared" si="35"/>
        <v>0</v>
      </c>
      <c r="BG22" s="260">
        <f t="shared" si="36"/>
        <v>0</v>
      </c>
      <c r="BH22" s="260">
        <f t="shared" si="75"/>
        <v>0</v>
      </c>
      <c r="BI22" s="260">
        <f t="shared" si="76"/>
        <v>0</v>
      </c>
      <c r="BJ22" s="260">
        <f t="shared" si="37"/>
        <v>0</v>
      </c>
      <c r="BK22" s="260">
        <f t="shared" si="38"/>
        <v>0</v>
      </c>
      <c r="BL22" s="260">
        <f t="shared" si="39"/>
        <v>0</v>
      </c>
      <c r="BM22" s="260">
        <f t="shared" si="40"/>
        <v>0</v>
      </c>
      <c r="BN22" s="260">
        <f t="shared" si="41"/>
        <v>0</v>
      </c>
      <c r="BO22" s="260">
        <f t="shared" si="42"/>
        <v>0</v>
      </c>
      <c r="BP22" s="260">
        <f t="shared" si="77"/>
        <v>0</v>
      </c>
      <c r="BQ22" s="260">
        <f t="shared" si="78"/>
        <v>0</v>
      </c>
      <c r="BR22" s="260">
        <f t="shared" si="43"/>
        <v>0</v>
      </c>
      <c r="BS22" s="260">
        <f t="shared" si="44"/>
        <v>0</v>
      </c>
      <c r="BT22" s="260">
        <f t="shared" si="79"/>
        <v>0</v>
      </c>
      <c r="BU22" s="260">
        <f t="shared" si="80"/>
        <v>0</v>
      </c>
      <c r="BV22" s="260">
        <f t="shared" si="81"/>
        <v>0</v>
      </c>
      <c r="BW22" s="260">
        <f t="shared" si="82"/>
        <v>0</v>
      </c>
      <c r="BX22" s="260">
        <f t="shared" si="45"/>
        <v>0</v>
      </c>
      <c r="BY22" s="260">
        <f t="shared" si="46"/>
        <v>0</v>
      </c>
      <c r="BZ22" s="260">
        <f t="shared" si="47"/>
        <v>0</v>
      </c>
      <c r="CA22" s="260">
        <f t="shared" si="48"/>
        <v>0</v>
      </c>
      <c r="CB22" s="260">
        <f t="shared" si="49"/>
        <v>0</v>
      </c>
      <c r="CC22" s="260">
        <f t="shared" si="50"/>
        <v>0</v>
      </c>
      <c r="CD22" s="260">
        <f t="shared" si="83"/>
        <v>0</v>
      </c>
      <c r="CE22" s="260">
        <f t="shared" si="84"/>
        <v>0</v>
      </c>
      <c r="CF22" s="260">
        <f t="shared" si="85"/>
        <v>0</v>
      </c>
      <c r="CG22" s="260">
        <f t="shared" si="86"/>
        <v>0</v>
      </c>
      <c r="CH22" s="260">
        <f t="shared" si="51"/>
        <v>0</v>
      </c>
      <c r="CI22" s="260">
        <f t="shared" si="52"/>
        <v>0</v>
      </c>
      <c r="CJ22" s="260">
        <f t="shared" si="87"/>
        <v>0</v>
      </c>
      <c r="CK22" s="260">
        <f t="shared" si="88"/>
        <v>0</v>
      </c>
      <c r="CL22" s="260">
        <f t="shared" si="53"/>
        <v>0</v>
      </c>
      <c r="CM22" s="260">
        <f t="shared" si="54"/>
        <v>0</v>
      </c>
      <c r="CN22" s="260">
        <f t="shared" si="55"/>
        <v>0</v>
      </c>
      <c r="CO22" s="260">
        <f t="shared" si="56"/>
        <v>0</v>
      </c>
      <c r="CP22" s="260">
        <f t="shared" si="89"/>
        <v>0</v>
      </c>
      <c r="CQ22" s="260">
        <f t="shared" si="90"/>
        <v>0</v>
      </c>
      <c r="CR22" s="260">
        <f t="shared" si="91"/>
        <v>0</v>
      </c>
      <c r="CS22" s="260">
        <f t="shared" si="92"/>
        <v>0</v>
      </c>
      <c r="CT22" s="260">
        <f t="shared" si="57"/>
        <v>0</v>
      </c>
      <c r="CU22" s="260">
        <f t="shared" si="58"/>
        <v>0</v>
      </c>
      <c r="CV22" s="260">
        <f t="shared" si="59"/>
        <v>0</v>
      </c>
      <c r="CW22" s="260">
        <f t="shared" si="60"/>
        <v>0</v>
      </c>
      <c r="CX22" s="260">
        <f t="shared" si="93"/>
        <v>0</v>
      </c>
      <c r="CY22" s="260">
        <f t="shared" si="94"/>
        <v>0</v>
      </c>
      <c r="CZ22" s="260">
        <f t="shared" si="95"/>
        <v>0</v>
      </c>
      <c r="DA22" s="260">
        <f t="shared" si="96"/>
        <v>0</v>
      </c>
    </row>
    <row r="23" spans="1:105" s="257" customFormat="1" ht="15.75" customHeight="1">
      <c r="A23" s="60" t="str">
        <f t="array" ref="A23">IF(C23&lt;&gt;0,SUM(($C$11:C23&lt;&gt;0)*1),"")</f>
        <v/>
      </c>
      <c r="B23" s="258"/>
      <c r="C23" s="258"/>
      <c r="D23" s="258"/>
      <c r="E23" s="337"/>
      <c r="F23" s="309"/>
      <c r="G23" s="311"/>
      <c r="H23" s="311"/>
      <c r="I23" s="60" t="str">
        <f t="shared" si="0"/>
        <v/>
      </c>
      <c r="J23" s="260">
        <f t="shared" si="61"/>
        <v>0</v>
      </c>
      <c r="K23" s="260">
        <f t="shared" si="62"/>
        <v>0</v>
      </c>
      <c r="L23" s="260">
        <f t="shared" si="1"/>
        <v>0</v>
      </c>
      <c r="M23" s="260">
        <f t="shared" si="2"/>
        <v>0</v>
      </c>
      <c r="N23" s="260">
        <f t="shared" si="3"/>
        <v>0</v>
      </c>
      <c r="O23" s="260">
        <f t="shared" si="4"/>
        <v>0</v>
      </c>
      <c r="P23" s="260">
        <f t="shared" si="5"/>
        <v>0</v>
      </c>
      <c r="Q23" s="260">
        <f t="shared" si="6"/>
        <v>0</v>
      </c>
      <c r="R23" s="260">
        <f t="shared" si="7"/>
        <v>0</v>
      </c>
      <c r="S23" s="260">
        <f t="shared" si="8"/>
        <v>0</v>
      </c>
      <c r="T23" s="260">
        <f t="shared" si="9"/>
        <v>0</v>
      </c>
      <c r="U23" s="260">
        <f t="shared" si="10"/>
        <v>0</v>
      </c>
      <c r="V23" s="260">
        <f t="shared" si="11"/>
        <v>0</v>
      </c>
      <c r="W23" s="260">
        <f t="shared" si="12"/>
        <v>0</v>
      </c>
      <c r="X23" s="260">
        <f t="shared" si="13"/>
        <v>0</v>
      </c>
      <c r="Y23" s="260">
        <f t="shared" si="14"/>
        <v>0</v>
      </c>
      <c r="Z23" s="260">
        <f t="shared" si="15"/>
        <v>0</v>
      </c>
      <c r="AA23" s="260">
        <f t="shared" si="16"/>
        <v>0</v>
      </c>
      <c r="AB23" s="260">
        <f t="shared" si="63"/>
        <v>0</v>
      </c>
      <c r="AC23" s="260">
        <f t="shared" si="64"/>
        <v>0</v>
      </c>
      <c r="AD23" s="260">
        <f t="shared" si="17"/>
        <v>0</v>
      </c>
      <c r="AE23" s="260">
        <f t="shared" si="18"/>
        <v>0</v>
      </c>
      <c r="AF23" s="260">
        <f t="shared" si="19"/>
        <v>0</v>
      </c>
      <c r="AG23" s="260">
        <f t="shared" si="20"/>
        <v>0</v>
      </c>
      <c r="AH23" s="260">
        <f t="shared" si="65"/>
        <v>0</v>
      </c>
      <c r="AI23" s="260">
        <f t="shared" si="66"/>
        <v>0</v>
      </c>
      <c r="AJ23" s="260">
        <f t="shared" si="67"/>
        <v>0</v>
      </c>
      <c r="AK23" s="260">
        <f t="shared" si="68"/>
        <v>0</v>
      </c>
      <c r="AL23" s="260">
        <f t="shared" si="69"/>
        <v>0</v>
      </c>
      <c r="AM23" s="260">
        <f t="shared" si="70"/>
        <v>0</v>
      </c>
      <c r="AN23" s="260">
        <f t="shared" si="71"/>
        <v>0</v>
      </c>
      <c r="AO23" s="260">
        <f t="shared" si="72"/>
        <v>0</v>
      </c>
      <c r="AP23" s="260">
        <f t="shared" si="21"/>
        <v>0</v>
      </c>
      <c r="AQ23" s="260">
        <f t="shared" si="22"/>
        <v>0</v>
      </c>
      <c r="AR23" s="260">
        <f t="shared" si="23"/>
        <v>0</v>
      </c>
      <c r="AS23" s="260">
        <f t="shared" si="24"/>
        <v>0</v>
      </c>
      <c r="AT23" s="260">
        <f t="shared" si="73"/>
        <v>0</v>
      </c>
      <c r="AU23" s="260">
        <f t="shared" si="74"/>
        <v>0</v>
      </c>
      <c r="AV23" s="260">
        <f t="shared" si="25"/>
        <v>0</v>
      </c>
      <c r="AW23" s="260">
        <f t="shared" si="26"/>
        <v>0</v>
      </c>
      <c r="AX23" s="260">
        <f t="shared" si="27"/>
        <v>0</v>
      </c>
      <c r="AY23" s="260">
        <f t="shared" si="28"/>
        <v>0</v>
      </c>
      <c r="AZ23" s="260">
        <f t="shared" si="29"/>
        <v>0</v>
      </c>
      <c r="BA23" s="260">
        <f t="shared" si="30"/>
        <v>0</v>
      </c>
      <c r="BB23" s="260">
        <f t="shared" si="31"/>
        <v>0</v>
      </c>
      <c r="BC23" s="260">
        <f t="shared" si="32"/>
        <v>0</v>
      </c>
      <c r="BD23" s="260">
        <f t="shared" si="33"/>
        <v>0</v>
      </c>
      <c r="BE23" s="260">
        <f t="shared" si="34"/>
        <v>0</v>
      </c>
      <c r="BF23" s="260">
        <f t="shared" si="35"/>
        <v>0</v>
      </c>
      <c r="BG23" s="260">
        <f t="shared" si="36"/>
        <v>0</v>
      </c>
      <c r="BH23" s="260">
        <f t="shared" si="75"/>
        <v>0</v>
      </c>
      <c r="BI23" s="260">
        <f t="shared" si="76"/>
        <v>0</v>
      </c>
      <c r="BJ23" s="260">
        <f t="shared" si="37"/>
        <v>0</v>
      </c>
      <c r="BK23" s="260">
        <f t="shared" si="38"/>
        <v>0</v>
      </c>
      <c r="BL23" s="260">
        <f t="shared" si="39"/>
        <v>0</v>
      </c>
      <c r="BM23" s="260">
        <f t="shared" si="40"/>
        <v>0</v>
      </c>
      <c r="BN23" s="260">
        <f t="shared" si="41"/>
        <v>0</v>
      </c>
      <c r="BO23" s="260">
        <f t="shared" si="42"/>
        <v>0</v>
      </c>
      <c r="BP23" s="260">
        <f t="shared" si="77"/>
        <v>0</v>
      </c>
      <c r="BQ23" s="260">
        <f t="shared" si="78"/>
        <v>0</v>
      </c>
      <c r="BR23" s="260">
        <f t="shared" si="43"/>
        <v>0</v>
      </c>
      <c r="BS23" s="260">
        <f t="shared" si="44"/>
        <v>0</v>
      </c>
      <c r="BT23" s="260">
        <f t="shared" si="79"/>
        <v>0</v>
      </c>
      <c r="BU23" s="260">
        <f t="shared" si="80"/>
        <v>0</v>
      </c>
      <c r="BV23" s="260">
        <f t="shared" si="81"/>
        <v>0</v>
      </c>
      <c r="BW23" s="260">
        <f t="shared" si="82"/>
        <v>0</v>
      </c>
      <c r="BX23" s="260">
        <f t="shared" si="45"/>
        <v>0</v>
      </c>
      <c r="BY23" s="260">
        <f t="shared" si="46"/>
        <v>0</v>
      </c>
      <c r="BZ23" s="260">
        <f t="shared" si="47"/>
        <v>0</v>
      </c>
      <c r="CA23" s="260">
        <f t="shared" si="48"/>
        <v>0</v>
      </c>
      <c r="CB23" s="260">
        <f t="shared" si="49"/>
        <v>0</v>
      </c>
      <c r="CC23" s="260">
        <f t="shared" si="50"/>
        <v>0</v>
      </c>
      <c r="CD23" s="260">
        <f t="shared" si="83"/>
        <v>0</v>
      </c>
      <c r="CE23" s="260">
        <f t="shared" si="84"/>
        <v>0</v>
      </c>
      <c r="CF23" s="260">
        <f t="shared" si="85"/>
        <v>0</v>
      </c>
      <c r="CG23" s="260">
        <f t="shared" si="86"/>
        <v>0</v>
      </c>
      <c r="CH23" s="260">
        <f t="shared" si="51"/>
        <v>0</v>
      </c>
      <c r="CI23" s="260">
        <f t="shared" si="52"/>
        <v>0</v>
      </c>
      <c r="CJ23" s="260">
        <f t="shared" si="87"/>
        <v>0</v>
      </c>
      <c r="CK23" s="260">
        <f t="shared" si="88"/>
        <v>0</v>
      </c>
      <c r="CL23" s="260">
        <f t="shared" si="53"/>
        <v>0</v>
      </c>
      <c r="CM23" s="260">
        <f t="shared" si="54"/>
        <v>0</v>
      </c>
      <c r="CN23" s="260">
        <f t="shared" si="55"/>
        <v>0</v>
      </c>
      <c r="CO23" s="260">
        <f t="shared" si="56"/>
        <v>0</v>
      </c>
      <c r="CP23" s="260">
        <f t="shared" si="89"/>
        <v>0</v>
      </c>
      <c r="CQ23" s="260">
        <f t="shared" si="90"/>
        <v>0</v>
      </c>
      <c r="CR23" s="260">
        <f t="shared" si="91"/>
        <v>0</v>
      </c>
      <c r="CS23" s="260">
        <f t="shared" si="92"/>
        <v>0</v>
      </c>
      <c r="CT23" s="260">
        <f t="shared" si="57"/>
        <v>0</v>
      </c>
      <c r="CU23" s="260">
        <f t="shared" si="58"/>
        <v>0</v>
      </c>
      <c r="CV23" s="260">
        <f t="shared" si="59"/>
        <v>0</v>
      </c>
      <c r="CW23" s="260">
        <f t="shared" si="60"/>
        <v>0</v>
      </c>
      <c r="CX23" s="260">
        <f t="shared" si="93"/>
        <v>0</v>
      </c>
      <c r="CY23" s="260">
        <f t="shared" si="94"/>
        <v>0</v>
      </c>
      <c r="CZ23" s="260">
        <f t="shared" si="95"/>
        <v>0</v>
      </c>
      <c r="DA23" s="260">
        <f t="shared" si="96"/>
        <v>0</v>
      </c>
    </row>
    <row r="24" spans="1:105" s="257" customFormat="1" ht="15.75" customHeight="1">
      <c r="A24" s="60" t="str">
        <f t="array" ref="A24">IF(C24&lt;&gt;0,SUM(($C$11:C24&lt;&gt;0)*1),"")</f>
        <v/>
      </c>
      <c r="B24" s="258"/>
      <c r="C24" s="258"/>
      <c r="D24" s="258"/>
      <c r="E24" s="337"/>
      <c r="F24" s="309"/>
      <c r="G24" s="311"/>
      <c r="H24" s="311"/>
      <c r="I24" s="60" t="str">
        <f t="shared" si="0"/>
        <v/>
      </c>
      <c r="J24" s="260">
        <f t="shared" si="61"/>
        <v>0</v>
      </c>
      <c r="K24" s="260">
        <f t="shared" si="62"/>
        <v>0</v>
      </c>
      <c r="L24" s="260">
        <f t="shared" si="1"/>
        <v>0</v>
      </c>
      <c r="M24" s="260">
        <f t="shared" si="2"/>
        <v>0</v>
      </c>
      <c r="N24" s="260">
        <f t="shared" si="3"/>
        <v>0</v>
      </c>
      <c r="O24" s="260">
        <f t="shared" si="4"/>
        <v>0</v>
      </c>
      <c r="P24" s="260">
        <f t="shared" si="5"/>
        <v>0</v>
      </c>
      <c r="Q24" s="260">
        <f t="shared" si="6"/>
        <v>0</v>
      </c>
      <c r="R24" s="260">
        <f t="shared" si="7"/>
        <v>0</v>
      </c>
      <c r="S24" s="260">
        <f t="shared" si="8"/>
        <v>0</v>
      </c>
      <c r="T24" s="260">
        <f t="shared" si="9"/>
        <v>0</v>
      </c>
      <c r="U24" s="260">
        <f t="shared" si="10"/>
        <v>0</v>
      </c>
      <c r="V24" s="260">
        <f t="shared" si="11"/>
        <v>0</v>
      </c>
      <c r="W24" s="260">
        <f t="shared" si="12"/>
        <v>0</v>
      </c>
      <c r="X24" s="260">
        <f t="shared" si="13"/>
        <v>0</v>
      </c>
      <c r="Y24" s="260">
        <f t="shared" si="14"/>
        <v>0</v>
      </c>
      <c r="Z24" s="260">
        <f t="shared" si="15"/>
        <v>0</v>
      </c>
      <c r="AA24" s="260">
        <f t="shared" si="16"/>
        <v>0</v>
      </c>
      <c r="AB24" s="260">
        <f t="shared" si="63"/>
        <v>0</v>
      </c>
      <c r="AC24" s="260">
        <f t="shared" si="64"/>
        <v>0</v>
      </c>
      <c r="AD24" s="260">
        <f t="shared" si="17"/>
        <v>0</v>
      </c>
      <c r="AE24" s="260">
        <f t="shared" si="18"/>
        <v>0</v>
      </c>
      <c r="AF24" s="260">
        <f t="shared" si="19"/>
        <v>0</v>
      </c>
      <c r="AG24" s="260">
        <f t="shared" si="20"/>
        <v>0</v>
      </c>
      <c r="AH24" s="260">
        <f t="shared" si="65"/>
        <v>0</v>
      </c>
      <c r="AI24" s="260">
        <f t="shared" si="66"/>
        <v>0</v>
      </c>
      <c r="AJ24" s="260">
        <f t="shared" si="67"/>
        <v>0</v>
      </c>
      <c r="AK24" s="260">
        <f t="shared" si="68"/>
        <v>0</v>
      </c>
      <c r="AL24" s="260">
        <f t="shared" si="69"/>
        <v>0</v>
      </c>
      <c r="AM24" s="260">
        <f t="shared" si="70"/>
        <v>0</v>
      </c>
      <c r="AN24" s="260">
        <f t="shared" si="71"/>
        <v>0</v>
      </c>
      <c r="AO24" s="260">
        <f t="shared" si="72"/>
        <v>0</v>
      </c>
      <c r="AP24" s="260">
        <f t="shared" si="21"/>
        <v>0</v>
      </c>
      <c r="AQ24" s="260">
        <f t="shared" si="22"/>
        <v>0</v>
      </c>
      <c r="AR24" s="260">
        <f t="shared" si="23"/>
        <v>0</v>
      </c>
      <c r="AS24" s="260">
        <f t="shared" si="24"/>
        <v>0</v>
      </c>
      <c r="AT24" s="260">
        <f t="shared" si="73"/>
        <v>0</v>
      </c>
      <c r="AU24" s="260">
        <f t="shared" si="74"/>
        <v>0</v>
      </c>
      <c r="AV24" s="260">
        <f t="shared" si="25"/>
        <v>0</v>
      </c>
      <c r="AW24" s="260">
        <f t="shared" si="26"/>
        <v>0</v>
      </c>
      <c r="AX24" s="260">
        <f t="shared" si="27"/>
        <v>0</v>
      </c>
      <c r="AY24" s="260">
        <f t="shared" si="28"/>
        <v>0</v>
      </c>
      <c r="AZ24" s="260">
        <f t="shared" si="29"/>
        <v>0</v>
      </c>
      <c r="BA24" s="260">
        <f t="shared" si="30"/>
        <v>0</v>
      </c>
      <c r="BB24" s="260">
        <f t="shared" si="31"/>
        <v>0</v>
      </c>
      <c r="BC24" s="260">
        <f t="shared" si="32"/>
        <v>0</v>
      </c>
      <c r="BD24" s="260">
        <f t="shared" si="33"/>
        <v>0</v>
      </c>
      <c r="BE24" s="260">
        <f t="shared" si="34"/>
        <v>0</v>
      </c>
      <c r="BF24" s="260">
        <f t="shared" si="35"/>
        <v>0</v>
      </c>
      <c r="BG24" s="260">
        <f t="shared" si="36"/>
        <v>0</v>
      </c>
      <c r="BH24" s="260">
        <f t="shared" si="75"/>
        <v>0</v>
      </c>
      <c r="BI24" s="260">
        <f t="shared" si="76"/>
        <v>0</v>
      </c>
      <c r="BJ24" s="260">
        <f t="shared" si="37"/>
        <v>0</v>
      </c>
      <c r="BK24" s="260">
        <f t="shared" si="38"/>
        <v>0</v>
      </c>
      <c r="BL24" s="260">
        <f t="shared" si="39"/>
        <v>0</v>
      </c>
      <c r="BM24" s="260">
        <f t="shared" si="40"/>
        <v>0</v>
      </c>
      <c r="BN24" s="260">
        <f t="shared" si="41"/>
        <v>0</v>
      </c>
      <c r="BO24" s="260">
        <f t="shared" si="42"/>
        <v>0</v>
      </c>
      <c r="BP24" s="260">
        <f t="shared" si="77"/>
        <v>0</v>
      </c>
      <c r="BQ24" s="260">
        <f t="shared" si="78"/>
        <v>0</v>
      </c>
      <c r="BR24" s="260">
        <f t="shared" si="43"/>
        <v>0</v>
      </c>
      <c r="BS24" s="260">
        <f t="shared" si="44"/>
        <v>0</v>
      </c>
      <c r="BT24" s="260">
        <f t="shared" si="79"/>
        <v>0</v>
      </c>
      <c r="BU24" s="260">
        <f t="shared" si="80"/>
        <v>0</v>
      </c>
      <c r="BV24" s="260">
        <f t="shared" si="81"/>
        <v>0</v>
      </c>
      <c r="BW24" s="260">
        <f t="shared" si="82"/>
        <v>0</v>
      </c>
      <c r="BX24" s="260">
        <f t="shared" si="45"/>
        <v>0</v>
      </c>
      <c r="BY24" s="260">
        <f t="shared" si="46"/>
        <v>0</v>
      </c>
      <c r="BZ24" s="260">
        <f t="shared" si="47"/>
        <v>0</v>
      </c>
      <c r="CA24" s="260">
        <f t="shared" si="48"/>
        <v>0</v>
      </c>
      <c r="CB24" s="260">
        <f t="shared" si="49"/>
        <v>0</v>
      </c>
      <c r="CC24" s="260">
        <f t="shared" si="50"/>
        <v>0</v>
      </c>
      <c r="CD24" s="260">
        <f t="shared" si="83"/>
        <v>0</v>
      </c>
      <c r="CE24" s="260">
        <f t="shared" si="84"/>
        <v>0</v>
      </c>
      <c r="CF24" s="260">
        <f t="shared" si="85"/>
        <v>0</v>
      </c>
      <c r="CG24" s="260">
        <f t="shared" si="86"/>
        <v>0</v>
      </c>
      <c r="CH24" s="260">
        <f t="shared" si="51"/>
        <v>0</v>
      </c>
      <c r="CI24" s="260">
        <f t="shared" si="52"/>
        <v>0</v>
      </c>
      <c r="CJ24" s="260">
        <f t="shared" si="87"/>
        <v>0</v>
      </c>
      <c r="CK24" s="260">
        <f t="shared" si="88"/>
        <v>0</v>
      </c>
      <c r="CL24" s="260">
        <f t="shared" si="53"/>
        <v>0</v>
      </c>
      <c r="CM24" s="260">
        <f t="shared" si="54"/>
        <v>0</v>
      </c>
      <c r="CN24" s="260">
        <f t="shared" si="55"/>
        <v>0</v>
      </c>
      <c r="CO24" s="260">
        <f t="shared" si="56"/>
        <v>0</v>
      </c>
      <c r="CP24" s="260">
        <f t="shared" si="89"/>
        <v>0</v>
      </c>
      <c r="CQ24" s="260">
        <f t="shared" si="90"/>
        <v>0</v>
      </c>
      <c r="CR24" s="260">
        <f t="shared" si="91"/>
        <v>0</v>
      </c>
      <c r="CS24" s="260">
        <f t="shared" si="92"/>
        <v>0</v>
      </c>
      <c r="CT24" s="260">
        <f t="shared" si="57"/>
        <v>0</v>
      </c>
      <c r="CU24" s="260">
        <f t="shared" si="58"/>
        <v>0</v>
      </c>
      <c r="CV24" s="260">
        <f t="shared" si="59"/>
        <v>0</v>
      </c>
      <c r="CW24" s="260">
        <f t="shared" si="60"/>
        <v>0</v>
      </c>
      <c r="CX24" s="260">
        <f t="shared" si="93"/>
        <v>0</v>
      </c>
      <c r="CY24" s="260">
        <f t="shared" si="94"/>
        <v>0</v>
      </c>
      <c r="CZ24" s="260">
        <f t="shared" si="95"/>
        <v>0</v>
      </c>
      <c r="DA24" s="260">
        <f t="shared" si="96"/>
        <v>0</v>
      </c>
    </row>
    <row r="25" spans="1:105" s="257" customFormat="1" ht="15.75" customHeight="1">
      <c r="A25" s="60" t="str">
        <f t="array" ref="A25">IF(C25&lt;&gt;0,SUM(($C$11:C25&lt;&gt;0)*1),"")</f>
        <v/>
      </c>
      <c r="B25" s="258"/>
      <c r="C25" s="258"/>
      <c r="D25" s="258"/>
      <c r="E25" s="337"/>
      <c r="F25" s="309"/>
      <c r="G25" s="311"/>
      <c r="H25" s="311"/>
      <c r="I25" s="60" t="str">
        <f t="shared" si="0"/>
        <v/>
      </c>
      <c r="J25" s="260">
        <f t="shared" si="61"/>
        <v>0</v>
      </c>
      <c r="K25" s="260">
        <f t="shared" si="62"/>
        <v>0</v>
      </c>
      <c r="L25" s="260">
        <f t="shared" si="1"/>
        <v>0</v>
      </c>
      <c r="M25" s="260">
        <f t="shared" si="2"/>
        <v>0</v>
      </c>
      <c r="N25" s="260">
        <f t="shared" si="3"/>
        <v>0</v>
      </c>
      <c r="O25" s="260">
        <f t="shared" si="4"/>
        <v>0</v>
      </c>
      <c r="P25" s="260">
        <f t="shared" si="5"/>
        <v>0</v>
      </c>
      <c r="Q25" s="260">
        <f t="shared" si="6"/>
        <v>0</v>
      </c>
      <c r="R25" s="260">
        <f t="shared" si="7"/>
        <v>0</v>
      </c>
      <c r="S25" s="260">
        <f t="shared" si="8"/>
        <v>0</v>
      </c>
      <c r="T25" s="260">
        <f t="shared" si="9"/>
        <v>0</v>
      </c>
      <c r="U25" s="260">
        <f t="shared" si="10"/>
        <v>0</v>
      </c>
      <c r="V25" s="260">
        <f t="shared" si="11"/>
        <v>0</v>
      </c>
      <c r="W25" s="260">
        <f t="shared" si="12"/>
        <v>0</v>
      </c>
      <c r="X25" s="260">
        <f t="shared" si="13"/>
        <v>0</v>
      </c>
      <c r="Y25" s="260">
        <f t="shared" si="14"/>
        <v>0</v>
      </c>
      <c r="Z25" s="260">
        <f t="shared" si="15"/>
        <v>0</v>
      </c>
      <c r="AA25" s="260">
        <f t="shared" si="16"/>
        <v>0</v>
      </c>
      <c r="AB25" s="260">
        <f t="shared" si="63"/>
        <v>0</v>
      </c>
      <c r="AC25" s="260">
        <f t="shared" si="64"/>
        <v>0</v>
      </c>
      <c r="AD25" s="260">
        <f t="shared" si="17"/>
        <v>0</v>
      </c>
      <c r="AE25" s="260">
        <f t="shared" si="18"/>
        <v>0</v>
      </c>
      <c r="AF25" s="260">
        <f t="shared" si="19"/>
        <v>0</v>
      </c>
      <c r="AG25" s="260">
        <f t="shared" si="20"/>
        <v>0</v>
      </c>
      <c r="AH25" s="260">
        <f t="shared" si="65"/>
        <v>0</v>
      </c>
      <c r="AI25" s="260">
        <f t="shared" si="66"/>
        <v>0</v>
      </c>
      <c r="AJ25" s="260">
        <f t="shared" si="67"/>
        <v>0</v>
      </c>
      <c r="AK25" s="260">
        <f t="shared" si="68"/>
        <v>0</v>
      </c>
      <c r="AL25" s="260">
        <f t="shared" si="69"/>
        <v>0</v>
      </c>
      <c r="AM25" s="260">
        <f t="shared" si="70"/>
        <v>0</v>
      </c>
      <c r="AN25" s="260">
        <f t="shared" si="71"/>
        <v>0</v>
      </c>
      <c r="AO25" s="260">
        <f t="shared" si="72"/>
        <v>0</v>
      </c>
      <c r="AP25" s="260">
        <f t="shared" si="21"/>
        <v>0</v>
      </c>
      <c r="AQ25" s="260">
        <f t="shared" si="22"/>
        <v>0</v>
      </c>
      <c r="AR25" s="260">
        <f t="shared" si="23"/>
        <v>0</v>
      </c>
      <c r="AS25" s="260">
        <f t="shared" si="24"/>
        <v>0</v>
      </c>
      <c r="AT25" s="260">
        <f t="shared" si="73"/>
        <v>0</v>
      </c>
      <c r="AU25" s="260">
        <f t="shared" si="74"/>
        <v>0</v>
      </c>
      <c r="AV25" s="260">
        <f t="shared" si="25"/>
        <v>0</v>
      </c>
      <c r="AW25" s="260">
        <f t="shared" si="26"/>
        <v>0</v>
      </c>
      <c r="AX25" s="260">
        <f t="shared" si="27"/>
        <v>0</v>
      </c>
      <c r="AY25" s="260">
        <f t="shared" si="28"/>
        <v>0</v>
      </c>
      <c r="AZ25" s="260">
        <f t="shared" si="29"/>
        <v>0</v>
      </c>
      <c r="BA25" s="260">
        <f t="shared" si="30"/>
        <v>0</v>
      </c>
      <c r="BB25" s="260">
        <f t="shared" si="31"/>
        <v>0</v>
      </c>
      <c r="BC25" s="260">
        <f t="shared" si="32"/>
        <v>0</v>
      </c>
      <c r="BD25" s="260">
        <f t="shared" si="33"/>
        <v>0</v>
      </c>
      <c r="BE25" s="260">
        <f t="shared" si="34"/>
        <v>0</v>
      </c>
      <c r="BF25" s="260">
        <f t="shared" si="35"/>
        <v>0</v>
      </c>
      <c r="BG25" s="260">
        <f t="shared" si="36"/>
        <v>0</v>
      </c>
      <c r="BH25" s="260">
        <f t="shared" si="75"/>
        <v>0</v>
      </c>
      <c r="BI25" s="260">
        <f t="shared" si="76"/>
        <v>0</v>
      </c>
      <c r="BJ25" s="260">
        <f t="shared" si="37"/>
        <v>0</v>
      </c>
      <c r="BK25" s="260">
        <f t="shared" si="38"/>
        <v>0</v>
      </c>
      <c r="BL25" s="260">
        <f t="shared" si="39"/>
        <v>0</v>
      </c>
      <c r="BM25" s="260">
        <f t="shared" si="40"/>
        <v>0</v>
      </c>
      <c r="BN25" s="260">
        <f t="shared" si="41"/>
        <v>0</v>
      </c>
      <c r="BO25" s="260">
        <f t="shared" si="42"/>
        <v>0</v>
      </c>
      <c r="BP25" s="260">
        <f t="shared" si="77"/>
        <v>0</v>
      </c>
      <c r="BQ25" s="260">
        <f t="shared" si="78"/>
        <v>0</v>
      </c>
      <c r="BR25" s="260">
        <f t="shared" si="43"/>
        <v>0</v>
      </c>
      <c r="BS25" s="260">
        <f t="shared" si="44"/>
        <v>0</v>
      </c>
      <c r="BT25" s="260">
        <f t="shared" si="79"/>
        <v>0</v>
      </c>
      <c r="BU25" s="260">
        <f t="shared" si="80"/>
        <v>0</v>
      </c>
      <c r="BV25" s="260">
        <f t="shared" si="81"/>
        <v>0</v>
      </c>
      <c r="BW25" s="260">
        <f t="shared" si="82"/>
        <v>0</v>
      </c>
      <c r="BX25" s="260">
        <f t="shared" si="45"/>
        <v>0</v>
      </c>
      <c r="BY25" s="260">
        <f t="shared" si="46"/>
        <v>0</v>
      </c>
      <c r="BZ25" s="260">
        <f t="shared" si="47"/>
        <v>0</v>
      </c>
      <c r="CA25" s="260">
        <f t="shared" si="48"/>
        <v>0</v>
      </c>
      <c r="CB25" s="260">
        <f t="shared" si="49"/>
        <v>0</v>
      </c>
      <c r="CC25" s="260">
        <f t="shared" si="50"/>
        <v>0</v>
      </c>
      <c r="CD25" s="260">
        <f t="shared" si="83"/>
        <v>0</v>
      </c>
      <c r="CE25" s="260">
        <f t="shared" si="84"/>
        <v>0</v>
      </c>
      <c r="CF25" s="260">
        <f t="shared" si="85"/>
        <v>0</v>
      </c>
      <c r="CG25" s="260">
        <f t="shared" si="86"/>
        <v>0</v>
      </c>
      <c r="CH25" s="260">
        <f t="shared" si="51"/>
        <v>0</v>
      </c>
      <c r="CI25" s="260">
        <f t="shared" si="52"/>
        <v>0</v>
      </c>
      <c r="CJ25" s="260">
        <f t="shared" si="87"/>
        <v>0</v>
      </c>
      <c r="CK25" s="260">
        <f t="shared" si="88"/>
        <v>0</v>
      </c>
      <c r="CL25" s="260">
        <f t="shared" si="53"/>
        <v>0</v>
      </c>
      <c r="CM25" s="260">
        <f t="shared" si="54"/>
        <v>0</v>
      </c>
      <c r="CN25" s="260">
        <f t="shared" si="55"/>
        <v>0</v>
      </c>
      <c r="CO25" s="260">
        <f t="shared" si="56"/>
        <v>0</v>
      </c>
      <c r="CP25" s="260">
        <f t="shared" si="89"/>
        <v>0</v>
      </c>
      <c r="CQ25" s="260">
        <f t="shared" si="90"/>
        <v>0</v>
      </c>
      <c r="CR25" s="260">
        <f t="shared" si="91"/>
        <v>0</v>
      </c>
      <c r="CS25" s="260">
        <f t="shared" si="92"/>
        <v>0</v>
      </c>
      <c r="CT25" s="260">
        <f t="shared" si="57"/>
        <v>0</v>
      </c>
      <c r="CU25" s="260">
        <f t="shared" si="58"/>
        <v>0</v>
      </c>
      <c r="CV25" s="260">
        <f t="shared" si="59"/>
        <v>0</v>
      </c>
      <c r="CW25" s="260">
        <f t="shared" si="60"/>
        <v>0</v>
      </c>
      <c r="CX25" s="260">
        <f t="shared" si="93"/>
        <v>0</v>
      </c>
      <c r="CY25" s="260">
        <f t="shared" si="94"/>
        <v>0</v>
      </c>
      <c r="CZ25" s="260">
        <f t="shared" si="95"/>
        <v>0</v>
      </c>
      <c r="DA25" s="260">
        <f t="shared" si="96"/>
        <v>0</v>
      </c>
    </row>
    <row r="26" spans="1:105" s="257" customFormat="1" ht="15.75" customHeight="1">
      <c r="A26" s="60" t="str">
        <f t="array" ref="A26">IF(C26&lt;&gt;0,SUM(($C$11:C26&lt;&gt;0)*1),"")</f>
        <v/>
      </c>
      <c r="B26" s="258"/>
      <c r="C26" s="258"/>
      <c r="D26" s="258"/>
      <c r="E26" s="337"/>
      <c r="F26" s="309"/>
      <c r="G26" s="311"/>
      <c r="H26" s="311"/>
      <c r="I26" s="60" t="str">
        <f t="shared" si="0"/>
        <v/>
      </c>
      <c r="J26" s="260">
        <f t="shared" si="61"/>
        <v>0</v>
      </c>
      <c r="K26" s="260">
        <f t="shared" si="62"/>
        <v>0</v>
      </c>
      <c r="L26" s="260">
        <f t="shared" si="1"/>
        <v>0</v>
      </c>
      <c r="M26" s="260">
        <f t="shared" si="2"/>
        <v>0</v>
      </c>
      <c r="N26" s="260">
        <f t="shared" si="3"/>
        <v>0</v>
      </c>
      <c r="O26" s="260">
        <f t="shared" si="4"/>
        <v>0</v>
      </c>
      <c r="P26" s="260">
        <f t="shared" si="5"/>
        <v>0</v>
      </c>
      <c r="Q26" s="260">
        <f t="shared" si="6"/>
        <v>0</v>
      </c>
      <c r="R26" s="260">
        <f t="shared" si="7"/>
        <v>0</v>
      </c>
      <c r="S26" s="260">
        <f t="shared" si="8"/>
        <v>0</v>
      </c>
      <c r="T26" s="260">
        <f t="shared" si="9"/>
        <v>0</v>
      </c>
      <c r="U26" s="260">
        <f t="shared" si="10"/>
        <v>0</v>
      </c>
      <c r="V26" s="260">
        <f t="shared" si="11"/>
        <v>0</v>
      </c>
      <c r="W26" s="260">
        <f t="shared" si="12"/>
        <v>0</v>
      </c>
      <c r="X26" s="260">
        <f t="shared" si="13"/>
        <v>0</v>
      </c>
      <c r="Y26" s="260">
        <f t="shared" si="14"/>
        <v>0</v>
      </c>
      <c r="Z26" s="260">
        <f t="shared" si="15"/>
        <v>0</v>
      </c>
      <c r="AA26" s="260">
        <f t="shared" si="16"/>
        <v>0</v>
      </c>
      <c r="AB26" s="260">
        <f t="shared" si="63"/>
        <v>0</v>
      </c>
      <c r="AC26" s="260">
        <f t="shared" si="64"/>
        <v>0</v>
      </c>
      <c r="AD26" s="260">
        <f t="shared" si="17"/>
        <v>0</v>
      </c>
      <c r="AE26" s="260">
        <f t="shared" si="18"/>
        <v>0</v>
      </c>
      <c r="AF26" s="260">
        <f t="shared" si="19"/>
        <v>0</v>
      </c>
      <c r="AG26" s="260">
        <f t="shared" si="20"/>
        <v>0</v>
      </c>
      <c r="AH26" s="260">
        <f t="shared" si="65"/>
        <v>0</v>
      </c>
      <c r="AI26" s="260">
        <f t="shared" si="66"/>
        <v>0</v>
      </c>
      <c r="AJ26" s="260">
        <f t="shared" si="67"/>
        <v>0</v>
      </c>
      <c r="AK26" s="260">
        <f t="shared" si="68"/>
        <v>0</v>
      </c>
      <c r="AL26" s="260">
        <f t="shared" si="69"/>
        <v>0</v>
      </c>
      <c r="AM26" s="260">
        <f t="shared" si="70"/>
        <v>0</v>
      </c>
      <c r="AN26" s="260">
        <f t="shared" si="71"/>
        <v>0</v>
      </c>
      <c r="AO26" s="260">
        <f t="shared" si="72"/>
        <v>0</v>
      </c>
      <c r="AP26" s="260">
        <f t="shared" si="21"/>
        <v>0</v>
      </c>
      <c r="AQ26" s="260">
        <f t="shared" si="22"/>
        <v>0</v>
      </c>
      <c r="AR26" s="260">
        <f t="shared" si="23"/>
        <v>0</v>
      </c>
      <c r="AS26" s="260">
        <f t="shared" si="24"/>
        <v>0</v>
      </c>
      <c r="AT26" s="260">
        <f t="shared" si="73"/>
        <v>0</v>
      </c>
      <c r="AU26" s="260">
        <f t="shared" si="74"/>
        <v>0</v>
      </c>
      <c r="AV26" s="260">
        <f t="shared" si="25"/>
        <v>0</v>
      </c>
      <c r="AW26" s="260">
        <f t="shared" si="26"/>
        <v>0</v>
      </c>
      <c r="AX26" s="260">
        <f t="shared" si="27"/>
        <v>0</v>
      </c>
      <c r="AY26" s="260">
        <f t="shared" si="28"/>
        <v>0</v>
      </c>
      <c r="AZ26" s="260">
        <f t="shared" si="29"/>
        <v>0</v>
      </c>
      <c r="BA26" s="260">
        <f t="shared" si="30"/>
        <v>0</v>
      </c>
      <c r="BB26" s="260">
        <f t="shared" si="31"/>
        <v>0</v>
      </c>
      <c r="BC26" s="260">
        <f t="shared" si="32"/>
        <v>0</v>
      </c>
      <c r="BD26" s="260">
        <f t="shared" si="33"/>
        <v>0</v>
      </c>
      <c r="BE26" s="260">
        <f t="shared" si="34"/>
        <v>0</v>
      </c>
      <c r="BF26" s="260">
        <f t="shared" si="35"/>
        <v>0</v>
      </c>
      <c r="BG26" s="260">
        <f t="shared" si="36"/>
        <v>0</v>
      </c>
      <c r="BH26" s="260">
        <f t="shared" si="75"/>
        <v>0</v>
      </c>
      <c r="BI26" s="260">
        <f t="shared" si="76"/>
        <v>0</v>
      </c>
      <c r="BJ26" s="260">
        <f t="shared" si="37"/>
        <v>0</v>
      </c>
      <c r="BK26" s="260">
        <f t="shared" si="38"/>
        <v>0</v>
      </c>
      <c r="BL26" s="260">
        <f t="shared" si="39"/>
        <v>0</v>
      </c>
      <c r="BM26" s="260">
        <f t="shared" si="40"/>
        <v>0</v>
      </c>
      <c r="BN26" s="260">
        <f t="shared" si="41"/>
        <v>0</v>
      </c>
      <c r="BO26" s="260">
        <f t="shared" si="42"/>
        <v>0</v>
      </c>
      <c r="BP26" s="260">
        <f t="shared" si="77"/>
        <v>0</v>
      </c>
      <c r="BQ26" s="260">
        <f t="shared" si="78"/>
        <v>0</v>
      </c>
      <c r="BR26" s="260">
        <f t="shared" si="43"/>
        <v>0</v>
      </c>
      <c r="BS26" s="260">
        <f t="shared" si="44"/>
        <v>0</v>
      </c>
      <c r="BT26" s="260">
        <f t="shared" si="79"/>
        <v>0</v>
      </c>
      <c r="BU26" s="260">
        <f t="shared" si="80"/>
        <v>0</v>
      </c>
      <c r="BV26" s="260">
        <f t="shared" si="81"/>
        <v>0</v>
      </c>
      <c r="BW26" s="260">
        <f t="shared" si="82"/>
        <v>0</v>
      </c>
      <c r="BX26" s="260">
        <f t="shared" si="45"/>
        <v>0</v>
      </c>
      <c r="BY26" s="260">
        <f t="shared" si="46"/>
        <v>0</v>
      </c>
      <c r="BZ26" s="260">
        <f t="shared" si="47"/>
        <v>0</v>
      </c>
      <c r="CA26" s="260">
        <f t="shared" si="48"/>
        <v>0</v>
      </c>
      <c r="CB26" s="260">
        <f t="shared" si="49"/>
        <v>0</v>
      </c>
      <c r="CC26" s="260">
        <f t="shared" si="50"/>
        <v>0</v>
      </c>
      <c r="CD26" s="260">
        <f t="shared" si="83"/>
        <v>0</v>
      </c>
      <c r="CE26" s="260">
        <f t="shared" si="84"/>
        <v>0</v>
      </c>
      <c r="CF26" s="260">
        <f t="shared" si="85"/>
        <v>0</v>
      </c>
      <c r="CG26" s="260">
        <f t="shared" si="86"/>
        <v>0</v>
      </c>
      <c r="CH26" s="260">
        <f t="shared" si="51"/>
        <v>0</v>
      </c>
      <c r="CI26" s="260">
        <f t="shared" si="52"/>
        <v>0</v>
      </c>
      <c r="CJ26" s="260">
        <f t="shared" si="87"/>
        <v>0</v>
      </c>
      <c r="CK26" s="260">
        <f t="shared" si="88"/>
        <v>0</v>
      </c>
      <c r="CL26" s="260">
        <f t="shared" si="53"/>
        <v>0</v>
      </c>
      <c r="CM26" s="260">
        <f t="shared" si="54"/>
        <v>0</v>
      </c>
      <c r="CN26" s="260">
        <f t="shared" si="55"/>
        <v>0</v>
      </c>
      <c r="CO26" s="260">
        <f t="shared" si="56"/>
        <v>0</v>
      </c>
      <c r="CP26" s="260">
        <f t="shared" si="89"/>
        <v>0</v>
      </c>
      <c r="CQ26" s="260">
        <f t="shared" si="90"/>
        <v>0</v>
      </c>
      <c r="CR26" s="260">
        <f t="shared" si="91"/>
        <v>0</v>
      </c>
      <c r="CS26" s="260">
        <f t="shared" si="92"/>
        <v>0</v>
      </c>
      <c r="CT26" s="260">
        <f t="shared" si="57"/>
        <v>0</v>
      </c>
      <c r="CU26" s="260">
        <f t="shared" si="58"/>
        <v>0</v>
      </c>
      <c r="CV26" s="260">
        <f t="shared" si="59"/>
        <v>0</v>
      </c>
      <c r="CW26" s="260">
        <f t="shared" si="60"/>
        <v>0</v>
      </c>
      <c r="CX26" s="260">
        <f t="shared" si="93"/>
        <v>0</v>
      </c>
      <c r="CY26" s="260">
        <f t="shared" si="94"/>
        <v>0</v>
      </c>
      <c r="CZ26" s="260">
        <f t="shared" si="95"/>
        <v>0</v>
      </c>
      <c r="DA26" s="260">
        <f t="shared" si="96"/>
        <v>0</v>
      </c>
    </row>
    <row r="27" spans="1:105" s="257" customFormat="1" ht="15.75" customHeight="1">
      <c r="A27" s="60" t="str">
        <f t="array" ref="A27">IF(C27&lt;&gt;0,SUM(($C$11:C27&lt;&gt;0)*1),"")</f>
        <v/>
      </c>
      <c r="B27" s="258"/>
      <c r="C27" s="258"/>
      <c r="D27" s="258"/>
      <c r="E27" s="337"/>
      <c r="F27" s="309"/>
      <c r="G27" s="311"/>
      <c r="H27" s="311"/>
      <c r="I27" s="60" t="str">
        <f>A27</f>
        <v/>
      </c>
      <c r="J27" s="260">
        <f t="shared" si="61"/>
        <v>0</v>
      </c>
      <c r="K27" s="260">
        <f t="shared" si="62"/>
        <v>0</v>
      </c>
      <c r="L27" s="260">
        <f t="shared" si="1"/>
        <v>0</v>
      </c>
      <c r="M27" s="260">
        <f t="shared" si="2"/>
        <v>0</v>
      </c>
      <c r="N27" s="260">
        <f t="shared" si="3"/>
        <v>0</v>
      </c>
      <c r="O27" s="260">
        <f t="shared" si="4"/>
        <v>0</v>
      </c>
      <c r="P27" s="260">
        <f t="shared" si="5"/>
        <v>0</v>
      </c>
      <c r="Q27" s="260">
        <f t="shared" si="6"/>
        <v>0</v>
      </c>
      <c r="R27" s="260">
        <f t="shared" si="7"/>
        <v>0</v>
      </c>
      <c r="S27" s="260">
        <f t="shared" si="8"/>
        <v>0</v>
      </c>
      <c r="T27" s="260">
        <f t="shared" si="9"/>
        <v>0</v>
      </c>
      <c r="U27" s="260">
        <f t="shared" si="10"/>
        <v>0</v>
      </c>
      <c r="V27" s="260">
        <f t="shared" si="11"/>
        <v>0</v>
      </c>
      <c r="W27" s="260">
        <f t="shared" si="12"/>
        <v>0</v>
      </c>
      <c r="X27" s="260">
        <f t="shared" si="13"/>
        <v>0</v>
      </c>
      <c r="Y27" s="260">
        <f t="shared" si="14"/>
        <v>0</v>
      </c>
      <c r="Z27" s="260">
        <f t="shared" si="15"/>
        <v>0</v>
      </c>
      <c r="AA27" s="260">
        <f t="shared" si="16"/>
        <v>0</v>
      </c>
      <c r="AB27" s="260">
        <f t="shared" si="63"/>
        <v>0</v>
      </c>
      <c r="AC27" s="260">
        <f t="shared" si="64"/>
        <v>0</v>
      </c>
      <c r="AD27" s="260">
        <f t="shared" si="17"/>
        <v>0</v>
      </c>
      <c r="AE27" s="260">
        <f t="shared" si="18"/>
        <v>0</v>
      </c>
      <c r="AF27" s="260">
        <f t="shared" si="19"/>
        <v>0</v>
      </c>
      <c r="AG27" s="260">
        <f t="shared" si="20"/>
        <v>0</v>
      </c>
      <c r="AH27" s="260">
        <f t="shared" si="65"/>
        <v>0</v>
      </c>
      <c r="AI27" s="260">
        <f t="shared" si="66"/>
        <v>0</v>
      </c>
      <c r="AJ27" s="260">
        <f t="shared" si="67"/>
        <v>0</v>
      </c>
      <c r="AK27" s="260">
        <f t="shared" si="68"/>
        <v>0</v>
      </c>
      <c r="AL27" s="260">
        <f t="shared" si="69"/>
        <v>0</v>
      </c>
      <c r="AM27" s="260">
        <f t="shared" si="70"/>
        <v>0</v>
      </c>
      <c r="AN27" s="260">
        <f t="shared" si="71"/>
        <v>0</v>
      </c>
      <c r="AO27" s="260">
        <f t="shared" si="72"/>
        <v>0</v>
      </c>
      <c r="AP27" s="260">
        <f t="shared" si="21"/>
        <v>0</v>
      </c>
      <c r="AQ27" s="260">
        <f t="shared" si="22"/>
        <v>0</v>
      </c>
      <c r="AR27" s="260">
        <f t="shared" si="23"/>
        <v>0</v>
      </c>
      <c r="AS27" s="260">
        <f t="shared" si="24"/>
        <v>0</v>
      </c>
      <c r="AT27" s="260">
        <f t="shared" si="73"/>
        <v>0</v>
      </c>
      <c r="AU27" s="260">
        <f t="shared" si="74"/>
        <v>0</v>
      </c>
      <c r="AV27" s="260">
        <f t="shared" si="25"/>
        <v>0</v>
      </c>
      <c r="AW27" s="260">
        <f t="shared" si="26"/>
        <v>0</v>
      </c>
      <c r="AX27" s="260">
        <f t="shared" si="27"/>
        <v>0</v>
      </c>
      <c r="AY27" s="260">
        <f t="shared" si="28"/>
        <v>0</v>
      </c>
      <c r="AZ27" s="260">
        <f t="shared" si="29"/>
        <v>0</v>
      </c>
      <c r="BA27" s="260">
        <f t="shared" si="30"/>
        <v>0</v>
      </c>
      <c r="BB27" s="260">
        <f t="shared" si="31"/>
        <v>0</v>
      </c>
      <c r="BC27" s="260">
        <f t="shared" si="32"/>
        <v>0</v>
      </c>
      <c r="BD27" s="260">
        <f t="shared" si="33"/>
        <v>0</v>
      </c>
      <c r="BE27" s="260">
        <f t="shared" si="34"/>
        <v>0</v>
      </c>
      <c r="BF27" s="260">
        <f t="shared" si="35"/>
        <v>0</v>
      </c>
      <c r="BG27" s="260">
        <f t="shared" si="36"/>
        <v>0</v>
      </c>
      <c r="BH27" s="260">
        <f t="shared" si="75"/>
        <v>0</v>
      </c>
      <c r="BI27" s="260">
        <f t="shared" si="76"/>
        <v>0</v>
      </c>
      <c r="BJ27" s="260">
        <f t="shared" si="37"/>
        <v>0</v>
      </c>
      <c r="BK27" s="260">
        <f t="shared" si="38"/>
        <v>0</v>
      </c>
      <c r="BL27" s="260">
        <f t="shared" si="39"/>
        <v>0</v>
      </c>
      <c r="BM27" s="260">
        <f t="shared" si="40"/>
        <v>0</v>
      </c>
      <c r="BN27" s="260">
        <f t="shared" si="41"/>
        <v>0</v>
      </c>
      <c r="BO27" s="260">
        <f t="shared" si="42"/>
        <v>0</v>
      </c>
      <c r="BP27" s="260">
        <f t="shared" si="77"/>
        <v>0</v>
      </c>
      <c r="BQ27" s="260">
        <f t="shared" si="78"/>
        <v>0</v>
      </c>
      <c r="BR27" s="260">
        <f t="shared" si="43"/>
        <v>0</v>
      </c>
      <c r="BS27" s="260">
        <f t="shared" si="44"/>
        <v>0</v>
      </c>
      <c r="BT27" s="260">
        <f t="shared" si="79"/>
        <v>0</v>
      </c>
      <c r="BU27" s="260">
        <f t="shared" si="80"/>
        <v>0</v>
      </c>
      <c r="BV27" s="260">
        <f t="shared" si="81"/>
        <v>0</v>
      </c>
      <c r="BW27" s="260">
        <f t="shared" si="82"/>
        <v>0</v>
      </c>
      <c r="BX27" s="260">
        <f t="shared" si="45"/>
        <v>0</v>
      </c>
      <c r="BY27" s="260">
        <f t="shared" si="46"/>
        <v>0</v>
      </c>
      <c r="BZ27" s="260">
        <f t="shared" si="47"/>
        <v>0</v>
      </c>
      <c r="CA27" s="260">
        <f t="shared" si="48"/>
        <v>0</v>
      </c>
      <c r="CB27" s="260">
        <f t="shared" si="49"/>
        <v>0</v>
      </c>
      <c r="CC27" s="260">
        <f t="shared" si="50"/>
        <v>0</v>
      </c>
      <c r="CD27" s="260">
        <f t="shared" si="83"/>
        <v>0</v>
      </c>
      <c r="CE27" s="260">
        <f t="shared" si="84"/>
        <v>0</v>
      </c>
      <c r="CF27" s="260">
        <f t="shared" si="85"/>
        <v>0</v>
      </c>
      <c r="CG27" s="260">
        <f t="shared" si="86"/>
        <v>0</v>
      </c>
      <c r="CH27" s="260">
        <f t="shared" si="51"/>
        <v>0</v>
      </c>
      <c r="CI27" s="260">
        <f t="shared" si="52"/>
        <v>0</v>
      </c>
      <c r="CJ27" s="260">
        <f t="shared" si="87"/>
        <v>0</v>
      </c>
      <c r="CK27" s="260">
        <f t="shared" si="88"/>
        <v>0</v>
      </c>
      <c r="CL27" s="260">
        <f t="shared" si="53"/>
        <v>0</v>
      </c>
      <c r="CM27" s="260">
        <f t="shared" si="54"/>
        <v>0</v>
      </c>
      <c r="CN27" s="260">
        <f t="shared" si="55"/>
        <v>0</v>
      </c>
      <c r="CO27" s="260">
        <f t="shared" si="56"/>
        <v>0</v>
      </c>
      <c r="CP27" s="260">
        <f t="shared" si="89"/>
        <v>0</v>
      </c>
      <c r="CQ27" s="260">
        <f t="shared" si="90"/>
        <v>0</v>
      </c>
      <c r="CR27" s="260">
        <f t="shared" si="91"/>
        <v>0</v>
      </c>
      <c r="CS27" s="260">
        <f t="shared" si="92"/>
        <v>0</v>
      </c>
      <c r="CT27" s="260">
        <f t="shared" si="57"/>
        <v>0</v>
      </c>
      <c r="CU27" s="260">
        <f t="shared" si="58"/>
        <v>0</v>
      </c>
      <c r="CV27" s="260">
        <f t="shared" si="59"/>
        <v>0</v>
      </c>
      <c r="CW27" s="260">
        <f t="shared" si="60"/>
        <v>0</v>
      </c>
      <c r="CX27" s="260">
        <f t="shared" si="93"/>
        <v>0</v>
      </c>
      <c r="CY27" s="260">
        <f t="shared" si="94"/>
        <v>0</v>
      </c>
      <c r="CZ27" s="260">
        <f t="shared" si="95"/>
        <v>0</v>
      </c>
      <c r="DA27" s="260">
        <f t="shared" si="96"/>
        <v>0</v>
      </c>
    </row>
    <row r="28" spans="1:105" s="257" customFormat="1" ht="15.75" customHeight="1">
      <c r="A28" s="60" t="str">
        <f t="array" ref="A28">IF(C28&lt;&gt;0,SUM(($C$11:C28&lt;&gt;0)*1),"")</f>
        <v/>
      </c>
      <c r="B28" s="258"/>
      <c r="C28" s="258"/>
      <c r="D28" s="258"/>
      <c r="E28" s="337"/>
      <c r="F28" s="309"/>
      <c r="G28" s="311"/>
      <c r="H28" s="311"/>
      <c r="I28" s="60" t="str">
        <f t="shared" ref="I28:I50" si="97">A28</f>
        <v/>
      </c>
      <c r="J28" s="260">
        <f t="shared" si="61"/>
        <v>0</v>
      </c>
      <c r="K28" s="260">
        <f t="shared" si="62"/>
        <v>0</v>
      </c>
      <c r="L28" s="260">
        <f t="shared" si="1"/>
        <v>0</v>
      </c>
      <c r="M28" s="260">
        <f t="shared" si="2"/>
        <v>0</v>
      </c>
      <c r="N28" s="260">
        <f t="shared" si="3"/>
        <v>0</v>
      </c>
      <c r="O28" s="260">
        <f t="shared" si="4"/>
        <v>0</v>
      </c>
      <c r="P28" s="260">
        <f t="shared" si="5"/>
        <v>0</v>
      </c>
      <c r="Q28" s="260">
        <f t="shared" si="6"/>
        <v>0</v>
      </c>
      <c r="R28" s="260">
        <f t="shared" si="7"/>
        <v>0</v>
      </c>
      <c r="S28" s="260">
        <f t="shared" si="8"/>
        <v>0</v>
      </c>
      <c r="T28" s="260">
        <f t="shared" si="9"/>
        <v>0</v>
      </c>
      <c r="U28" s="260">
        <f t="shared" si="10"/>
        <v>0</v>
      </c>
      <c r="V28" s="260">
        <f t="shared" si="11"/>
        <v>0</v>
      </c>
      <c r="W28" s="260">
        <f t="shared" si="12"/>
        <v>0</v>
      </c>
      <c r="X28" s="260">
        <f t="shared" si="13"/>
        <v>0</v>
      </c>
      <c r="Y28" s="260">
        <f t="shared" si="14"/>
        <v>0</v>
      </c>
      <c r="Z28" s="260">
        <f t="shared" si="15"/>
        <v>0</v>
      </c>
      <c r="AA28" s="260">
        <f t="shared" si="16"/>
        <v>0</v>
      </c>
      <c r="AB28" s="260">
        <f t="shared" si="63"/>
        <v>0</v>
      </c>
      <c r="AC28" s="260">
        <f t="shared" si="64"/>
        <v>0</v>
      </c>
      <c r="AD28" s="260">
        <f t="shared" si="17"/>
        <v>0</v>
      </c>
      <c r="AE28" s="260">
        <f t="shared" si="18"/>
        <v>0</v>
      </c>
      <c r="AF28" s="260">
        <f t="shared" si="19"/>
        <v>0</v>
      </c>
      <c r="AG28" s="260">
        <f t="shared" si="20"/>
        <v>0</v>
      </c>
      <c r="AH28" s="260">
        <f t="shared" si="65"/>
        <v>0</v>
      </c>
      <c r="AI28" s="260">
        <f t="shared" si="66"/>
        <v>0</v>
      </c>
      <c r="AJ28" s="260">
        <f t="shared" si="67"/>
        <v>0</v>
      </c>
      <c r="AK28" s="260">
        <f t="shared" si="68"/>
        <v>0</v>
      </c>
      <c r="AL28" s="260">
        <f t="shared" si="69"/>
        <v>0</v>
      </c>
      <c r="AM28" s="260">
        <f t="shared" si="70"/>
        <v>0</v>
      </c>
      <c r="AN28" s="260">
        <f t="shared" si="71"/>
        <v>0</v>
      </c>
      <c r="AO28" s="260">
        <f t="shared" si="72"/>
        <v>0</v>
      </c>
      <c r="AP28" s="260">
        <f t="shared" si="21"/>
        <v>0</v>
      </c>
      <c r="AQ28" s="260">
        <f t="shared" si="22"/>
        <v>0</v>
      </c>
      <c r="AR28" s="260">
        <f t="shared" si="23"/>
        <v>0</v>
      </c>
      <c r="AS28" s="260">
        <f t="shared" si="24"/>
        <v>0</v>
      </c>
      <c r="AT28" s="260">
        <f t="shared" si="73"/>
        <v>0</v>
      </c>
      <c r="AU28" s="260">
        <f t="shared" si="74"/>
        <v>0</v>
      </c>
      <c r="AV28" s="260">
        <f t="shared" si="25"/>
        <v>0</v>
      </c>
      <c r="AW28" s="260">
        <f t="shared" si="26"/>
        <v>0</v>
      </c>
      <c r="AX28" s="260">
        <f t="shared" si="27"/>
        <v>0</v>
      </c>
      <c r="AY28" s="260">
        <f t="shared" si="28"/>
        <v>0</v>
      </c>
      <c r="AZ28" s="260">
        <f t="shared" si="29"/>
        <v>0</v>
      </c>
      <c r="BA28" s="260">
        <f t="shared" si="30"/>
        <v>0</v>
      </c>
      <c r="BB28" s="260">
        <f t="shared" si="31"/>
        <v>0</v>
      </c>
      <c r="BC28" s="260">
        <f t="shared" si="32"/>
        <v>0</v>
      </c>
      <c r="BD28" s="260">
        <f t="shared" si="33"/>
        <v>0</v>
      </c>
      <c r="BE28" s="260">
        <f t="shared" si="34"/>
        <v>0</v>
      </c>
      <c r="BF28" s="260">
        <f t="shared" si="35"/>
        <v>0</v>
      </c>
      <c r="BG28" s="260">
        <f t="shared" si="36"/>
        <v>0</v>
      </c>
      <c r="BH28" s="260">
        <f t="shared" si="75"/>
        <v>0</v>
      </c>
      <c r="BI28" s="260">
        <f t="shared" si="76"/>
        <v>0</v>
      </c>
      <c r="BJ28" s="260">
        <f t="shared" si="37"/>
        <v>0</v>
      </c>
      <c r="BK28" s="260">
        <f t="shared" si="38"/>
        <v>0</v>
      </c>
      <c r="BL28" s="260">
        <f t="shared" si="39"/>
        <v>0</v>
      </c>
      <c r="BM28" s="260">
        <f t="shared" si="40"/>
        <v>0</v>
      </c>
      <c r="BN28" s="260">
        <f t="shared" si="41"/>
        <v>0</v>
      </c>
      <c r="BO28" s="260">
        <f t="shared" si="42"/>
        <v>0</v>
      </c>
      <c r="BP28" s="260">
        <f t="shared" si="77"/>
        <v>0</v>
      </c>
      <c r="BQ28" s="260">
        <f t="shared" si="78"/>
        <v>0</v>
      </c>
      <c r="BR28" s="260">
        <f t="shared" si="43"/>
        <v>0</v>
      </c>
      <c r="BS28" s="260">
        <f t="shared" si="44"/>
        <v>0</v>
      </c>
      <c r="BT28" s="260">
        <f t="shared" si="79"/>
        <v>0</v>
      </c>
      <c r="BU28" s="260">
        <f t="shared" si="80"/>
        <v>0</v>
      </c>
      <c r="BV28" s="260">
        <f t="shared" si="81"/>
        <v>0</v>
      </c>
      <c r="BW28" s="260">
        <f t="shared" si="82"/>
        <v>0</v>
      </c>
      <c r="BX28" s="260">
        <f t="shared" si="45"/>
        <v>0</v>
      </c>
      <c r="BY28" s="260">
        <f t="shared" si="46"/>
        <v>0</v>
      </c>
      <c r="BZ28" s="260">
        <f t="shared" si="47"/>
        <v>0</v>
      </c>
      <c r="CA28" s="260">
        <f t="shared" si="48"/>
        <v>0</v>
      </c>
      <c r="CB28" s="260">
        <f t="shared" si="49"/>
        <v>0</v>
      </c>
      <c r="CC28" s="260">
        <f t="shared" si="50"/>
        <v>0</v>
      </c>
      <c r="CD28" s="260">
        <f t="shared" si="83"/>
        <v>0</v>
      </c>
      <c r="CE28" s="260">
        <f t="shared" si="84"/>
        <v>0</v>
      </c>
      <c r="CF28" s="260">
        <f t="shared" si="85"/>
        <v>0</v>
      </c>
      <c r="CG28" s="260">
        <f t="shared" si="86"/>
        <v>0</v>
      </c>
      <c r="CH28" s="260">
        <f t="shared" si="51"/>
        <v>0</v>
      </c>
      <c r="CI28" s="260">
        <f t="shared" si="52"/>
        <v>0</v>
      </c>
      <c r="CJ28" s="260">
        <f t="shared" si="87"/>
        <v>0</v>
      </c>
      <c r="CK28" s="260">
        <f t="shared" si="88"/>
        <v>0</v>
      </c>
      <c r="CL28" s="260">
        <f t="shared" si="53"/>
        <v>0</v>
      </c>
      <c r="CM28" s="260">
        <f t="shared" si="54"/>
        <v>0</v>
      </c>
      <c r="CN28" s="260">
        <f t="shared" si="55"/>
        <v>0</v>
      </c>
      <c r="CO28" s="260">
        <f t="shared" si="56"/>
        <v>0</v>
      </c>
      <c r="CP28" s="260">
        <f t="shared" si="89"/>
        <v>0</v>
      </c>
      <c r="CQ28" s="260">
        <f t="shared" si="90"/>
        <v>0</v>
      </c>
      <c r="CR28" s="260">
        <f t="shared" si="91"/>
        <v>0</v>
      </c>
      <c r="CS28" s="260">
        <f t="shared" si="92"/>
        <v>0</v>
      </c>
      <c r="CT28" s="260">
        <f t="shared" si="57"/>
        <v>0</v>
      </c>
      <c r="CU28" s="260">
        <f t="shared" si="58"/>
        <v>0</v>
      </c>
      <c r="CV28" s="260">
        <f t="shared" si="59"/>
        <v>0</v>
      </c>
      <c r="CW28" s="260">
        <f t="shared" si="60"/>
        <v>0</v>
      </c>
      <c r="CX28" s="260">
        <f t="shared" si="93"/>
        <v>0</v>
      </c>
      <c r="CY28" s="260">
        <f t="shared" si="94"/>
        <v>0</v>
      </c>
      <c r="CZ28" s="260">
        <f t="shared" si="95"/>
        <v>0</v>
      </c>
      <c r="DA28" s="260">
        <f t="shared" si="96"/>
        <v>0</v>
      </c>
    </row>
    <row r="29" spans="1:105" s="257" customFormat="1" ht="15.75" customHeight="1">
      <c r="A29" s="60" t="str">
        <f t="array" ref="A29">IF(C29&lt;&gt;0,SUM(($C$11:C29&lt;&gt;0)*1),"")</f>
        <v/>
      </c>
      <c r="B29" s="258"/>
      <c r="C29" s="258"/>
      <c r="D29" s="258"/>
      <c r="E29" s="337"/>
      <c r="F29" s="309"/>
      <c r="G29" s="311"/>
      <c r="H29" s="311"/>
      <c r="I29" s="60" t="str">
        <f t="shared" si="97"/>
        <v/>
      </c>
      <c r="J29" s="260">
        <f t="shared" si="61"/>
        <v>0</v>
      </c>
      <c r="K29" s="260">
        <f t="shared" si="62"/>
        <v>0</v>
      </c>
      <c r="L29" s="260">
        <f t="shared" si="1"/>
        <v>0</v>
      </c>
      <c r="M29" s="260">
        <f t="shared" si="2"/>
        <v>0</v>
      </c>
      <c r="N29" s="260">
        <f t="shared" si="3"/>
        <v>0</v>
      </c>
      <c r="O29" s="260">
        <f t="shared" si="4"/>
        <v>0</v>
      </c>
      <c r="P29" s="260">
        <f t="shared" si="5"/>
        <v>0</v>
      </c>
      <c r="Q29" s="260">
        <f t="shared" si="6"/>
        <v>0</v>
      </c>
      <c r="R29" s="260">
        <f t="shared" si="7"/>
        <v>0</v>
      </c>
      <c r="S29" s="260">
        <f t="shared" si="8"/>
        <v>0</v>
      </c>
      <c r="T29" s="260">
        <f t="shared" si="9"/>
        <v>0</v>
      </c>
      <c r="U29" s="260">
        <f t="shared" si="10"/>
        <v>0</v>
      </c>
      <c r="V29" s="260">
        <f t="shared" si="11"/>
        <v>0</v>
      </c>
      <c r="W29" s="260">
        <f t="shared" si="12"/>
        <v>0</v>
      </c>
      <c r="X29" s="260">
        <f t="shared" si="13"/>
        <v>0</v>
      </c>
      <c r="Y29" s="260">
        <f t="shared" si="14"/>
        <v>0</v>
      </c>
      <c r="Z29" s="260">
        <f t="shared" si="15"/>
        <v>0</v>
      </c>
      <c r="AA29" s="260">
        <f t="shared" si="16"/>
        <v>0</v>
      </c>
      <c r="AB29" s="260">
        <f t="shared" si="63"/>
        <v>0</v>
      </c>
      <c r="AC29" s="260">
        <f t="shared" si="64"/>
        <v>0</v>
      </c>
      <c r="AD29" s="260">
        <f t="shared" si="17"/>
        <v>0</v>
      </c>
      <c r="AE29" s="260">
        <f t="shared" si="18"/>
        <v>0</v>
      </c>
      <c r="AF29" s="260">
        <f t="shared" si="19"/>
        <v>0</v>
      </c>
      <c r="AG29" s="260">
        <f t="shared" si="20"/>
        <v>0</v>
      </c>
      <c r="AH29" s="260">
        <f t="shared" si="65"/>
        <v>0</v>
      </c>
      <c r="AI29" s="260">
        <f t="shared" si="66"/>
        <v>0</v>
      </c>
      <c r="AJ29" s="260">
        <f t="shared" si="67"/>
        <v>0</v>
      </c>
      <c r="AK29" s="260">
        <f t="shared" si="68"/>
        <v>0</v>
      </c>
      <c r="AL29" s="260">
        <f t="shared" si="69"/>
        <v>0</v>
      </c>
      <c r="AM29" s="260">
        <f t="shared" si="70"/>
        <v>0</v>
      </c>
      <c r="AN29" s="260">
        <f t="shared" si="71"/>
        <v>0</v>
      </c>
      <c r="AO29" s="260">
        <f t="shared" si="72"/>
        <v>0</v>
      </c>
      <c r="AP29" s="260">
        <f t="shared" si="21"/>
        <v>0</v>
      </c>
      <c r="AQ29" s="260">
        <f t="shared" si="22"/>
        <v>0</v>
      </c>
      <c r="AR29" s="260">
        <f t="shared" si="23"/>
        <v>0</v>
      </c>
      <c r="AS29" s="260">
        <f t="shared" si="24"/>
        <v>0</v>
      </c>
      <c r="AT29" s="260">
        <f t="shared" si="73"/>
        <v>0</v>
      </c>
      <c r="AU29" s="260">
        <f t="shared" si="74"/>
        <v>0</v>
      </c>
      <c r="AV29" s="260">
        <f t="shared" si="25"/>
        <v>0</v>
      </c>
      <c r="AW29" s="260">
        <f t="shared" si="26"/>
        <v>0</v>
      </c>
      <c r="AX29" s="260">
        <f t="shared" si="27"/>
        <v>0</v>
      </c>
      <c r="AY29" s="260">
        <f t="shared" si="28"/>
        <v>0</v>
      </c>
      <c r="AZ29" s="260">
        <f t="shared" si="29"/>
        <v>0</v>
      </c>
      <c r="BA29" s="260">
        <f t="shared" si="30"/>
        <v>0</v>
      </c>
      <c r="BB29" s="260">
        <f t="shared" si="31"/>
        <v>0</v>
      </c>
      <c r="BC29" s="260">
        <f t="shared" si="32"/>
        <v>0</v>
      </c>
      <c r="BD29" s="260">
        <f t="shared" si="33"/>
        <v>0</v>
      </c>
      <c r="BE29" s="260">
        <f t="shared" si="34"/>
        <v>0</v>
      </c>
      <c r="BF29" s="260">
        <f t="shared" si="35"/>
        <v>0</v>
      </c>
      <c r="BG29" s="260">
        <f t="shared" si="36"/>
        <v>0</v>
      </c>
      <c r="BH29" s="260">
        <f t="shared" si="75"/>
        <v>0</v>
      </c>
      <c r="BI29" s="260">
        <f t="shared" si="76"/>
        <v>0</v>
      </c>
      <c r="BJ29" s="260">
        <f t="shared" si="37"/>
        <v>0</v>
      </c>
      <c r="BK29" s="260">
        <f t="shared" si="38"/>
        <v>0</v>
      </c>
      <c r="BL29" s="260">
        <f t="shared" si="39"/>
        <v>0</v>
      </c>
      <c r="BM29" s="260">
        <f t="shared" si="40"/>
        <v>0</v>
      </c>
      <c r="BN29" s="260">
        <f t="shared" si="41"/>
        <v>0</v>
      </c>
      <c r="BO29" s="260">
        <f t="shared" si="42"/>
        <v>0</v>
      </c>
      <c r="BP29" s="260">
        <f t="shared" si="77"/>
        <v>0</v>
      </c>
      <c r="BQ29" s="260">
        <f t="shared" si="78"/>
        <v>0</v>
      </c>
      <c r="BR29" s="260">
        <f t="shared" si="43"/>
        <v>0</v>
      </c>
      <c r="BS29" s="260">
        <f t="shared" si="44"/>
        <v>0</v>
      </c>
      <c r="BT29" s="260">
        <f t="shared" si="79"/>
        <v>0</v>
      </c>
      <c r="BU29" s="260">
        <f t="shared" si="80"/>
        <v>0</v>
      </c>
      <c r="BV29" s="260">
        <f t="shared" si="81"/>
        <v>0</v>
      </c>
      <c r="BW29" s="260">
        <f t="shared" si="82"/>
        <v>0</v>
      </c>
      <c r="BX29" s="260">
        <f t="shared" si="45"/>
        <v>0</v>
      </c>
      <c r="BY29" s="260">
        <f t="shared" si="46"/>
        <v>0</v>
      </c>
      <c r="BZ29" s="260">
        <f t="shared" si="47"/>
        <v>0</v>
      </c>
      <c r="CA29" s="260">
        <f t="shared" si="48"/>
        <v>0</v>
      </c>
      <c r="CB29" s="260">
        <f t="shared" si="49"/>
        <v>0</v>
      </c>
      <c r="CC29" s="260">
        <f t="shared" si="50"/>
        <v>0</v>
      </c>
      <c r="CD29" s="260">
        <f t="shared" si="83"/>
        <v>0</v>
      </c>
      <c r="CE29" s="260">
        <f t="shared" si="84"/>
        <v>0</v>
      </c>
      <c r="CF29" s="260">
        <f t="shared" si="85"/>
        <v>0</v>
      </c>
      <c r="CG29" s="260">
        <f t="shared" si="86"/>
        <v>0</v>
      </c>
      <c r="CH29" s="260">
        <f t="shared" si="51"/>
        <v>0</v>
      </c>
      <c r="CI29" s="260">
        <f t="shared" si="52"/>
        <v>0</v>
      </c>
      <c r="CJ29" s="260">
        <f t="shared" si="87"/>
        <v>0</v>
      </c>
      <c r="CK29" s="260">
        <f t="shared" si="88"/>
        <v>0</v>
      </c>
      <c r="CL29" s="260">
        <f t="shared" si="53"/>
        <v>0</v>
      </c>
      <c r="CM29" s="260">
        <f t="shared" si="54"/>
        <v>0</v>
      </c>
      <c r="CN29" s="260">
        <f t="shared" si="55"/>
        <v>0</v>
      </c>
      <c r="CO29" s="260">
        <f t="shared" si="56"/>
        <v>0</v>
      </c>
      <c r="CP29" s="260">
        <f t="shared" si="89"/>
        <v>0</v>
      </c>
      <c r="CQ29" s="260">
        <f t="shared" si="90"/>
        <v>0</v>
      </c>
      <c r="CR29" s="260">
        <f t="shared" si="91"/>
        <v>0</v>
      </c>
      <c r="CS29" s="260">
        <f t="shared" si="92"/>
        <v>0</v>
      </c>
      <c r="CT29" s="260">
        <f t="shared" si="57"/>
        <v>0</v>
      </c>
      <c r="CU29" s="260">
        <f t="shared" si="58"/>
        <v>0</v>
      </c>
      <c r="CV29" s="260">
        <f t="shared" si="59"/>
        <v>0</v>
      </c>
      <c r="CW29" s="260">
        <f t="shared" si="60"/>
        <v>0</v>
      </c>
      <c r="CX29" s="260">
        <f t="shared" si="93"/>
        <v>0</v>
      </c>
      <c r="CY29" s="260">
        <f t="shared" si="94"/>
        <v>0</v>
      </c>
      <c r="CZ29" s="260">
        <f t="shared" si="95"/>
        <v>0</v>
      </c>
      <c r="DA29" s="260">
        <f t="shared" si="96"/>
        <v>0</v>
      </c>
    </row>
    <row r="30" spans="1:105" s="257" customFormat="1" ht="15.75" customHeight="1">
      <c r="A30" s="60" t="str">
        <f t="array" ref="A30">IF(C30&lt;&gt;0,SUM(($C$11:C30&lt;&gt;0)*1),"")</f>
        <v/>
      </c>
      <c r="B30" s="258"/>
      <c r="C30" s="258"/>
      <c r="D30" s="258"/>
      <c r="E30" s="337"/>
      <c r="F30" s="309"/>
      <c r="G30" s="311"/>
      <c r="H30" s="311"/>
      <c r="I30" s="60" t="str">
        <f t="shared" si="97"/>
        <v/>
      </c>
      <c r="J30" s="260">
        <f t="shared" si="61"/>
        <v>0</v>
      </c>
      <c r="K30" s="260">
        <f t="shared" si="62"/>
        <v>0</v>
      </c>
      <c r="L30" s="260">
        <f t="shared" si="1"/>
        <v>0</v>
      </c>
      <c r="M30" s="260">
        <f t="shared" si="2"/>
        <v>0</v>
      </c>
      <c r="N30" s="260">
        <f t="shared" si="3"/>
        <v>0</v>
      </c>
      <c r="O30" s="260">
        <f t="shared" si="4"/>
        <v>0</v>
      </c>
      <c r="P30" s="260">
        <f t="shared" si="5"/>
        <v>0</v>
      </c>
      <c r="Q30" s="260">
        <f t="shared" si="6"/>
        <v>0</v>
      </c>
      <c r="R30" s="260">
        <f t="shared" si="7"/>
        <v>0</v>
      </c>
      <c r="S30" s="260">
        <f t="shared" si="8"/>
        <v>0</v>
      </c>
      <c r="T30" s="260">
        <f t="shared" si="9"/>
        <v>0</v>
      </c>
      <c r="U30" s="260">
        <f t="shared" si="10"/>
        <v>0</v>
      </c>
      <c r="V30" s="260">
        <f t="shared" si="11"/>
        <v>0</v>
      </c>
      <c r="W30" s="260">
        <f t="shared" si="12"/>
        <v>0</v>
      </c>
      <c r="X30" s="260">
        <f t="shared" si="13"/>
        <v>0</v>
      </c>
      <c r="Y30" s="260">
        <f t="shared" si="14"/>
        <v>0</v>
      </c>
      <c r="Z30" s="260">
        <f t="shared" si="15"/>
        <v>0</v>
      </c>
      <c r="AA30" s="260">
        <f t="shared" si="16"/>
        <v>0</v>
      </c>
      <c r="AB30" s="260">
        <f t="shared" si="63"/>
        <v>0</v>
      </c>
      <c r="AC30" s="260">
        <f t="shared" si="64"/>
        <v>0</v>
      </c>
      <c r="AD30" s="260">
        <f t="shared" si="17"/>
        <v>0</v>
      </c>
      <c r="AE30" s="260">
        <f t="shared" si="18"/>
        <v>0</v>
      </c>
      <c r="AF30" s="260">
        <f t="shared" si="19"/>
        <v>0</v>
      </c>
      <c r="AG30" s="260">
        <f t="shared" si="20"/>
        <v>0</v>
      </c>
      <c r="AH30" s="260">
        <f t="shared" si="65"/>
        <v>0</v>
      </c>
      <c r="AI30" s="260">
        <f t="shared" si="66"/>
        <v>0</v>
      </c>
      <c r="AJ30" s="260">
        <f t="shared" si="67"/>
        <v>0</v>
      </c>
      <c r="AK30" s="260">
        <f t="shared" si="68"/>
        <v>0</v>
      </c>
      <c r="AL30" s="260">
        <f t="shared" si="69"/>
        <v>0</v>
      </c>
      <c r="AM30" s="260">
        <f t="shared" si="70"/>
        <v>0</v>
      </c>
      <c r="AN30" s="260">
        <f t="shared" si="71"/>
        <v>0</v>
      </c>
      <c r="AO30" s="260">
        <f t="shared" si="72"/>
        <v>0</v>
      </c>
      <c r="AP30" s="260">
        <f t="shared" si="21"/>
        <v>0</v>
      </c>
      <c r="AQ30" s="260">
        <f t="shared" si="22"/>
        <v>0</v>
      </c>
      <c r="AR30" s="260">
        <f t="shared" si="23"/>
        <v>0</v>
      </c>
      <c r="AS30" s="260">
        <f t="shared" si="24"/>
        <v>0</v>
      </c>
      <c r="AT30" s="260">
        <f t="shared" si="73"/>
        <v>0</v>
      </c>
      <c r="AU30" s="260">
        <f t="shared" si="74"/>
        <v>0</v>
      </c>
      <c r="AV30" s="260">
        <f t="shared" si="25"/>
        <v>0</v>
      </c>
      <c r="AW30" s="260">
        <f t="shared" si="26"/>
        <v>0</v>
      </c>
      <c r="AX30" s="260">
        <f t="shared" si="27"/>
        <v>0</v>
      </c>
      <c r="AY30" s="260">
        <f t="shared" si="28"/>
        <v>0</v>
      </c>
      <c r="AZ30" s="260">
        <f t="shared" si="29"/>
        <v>0</v>
      </c>
      <c r="BA30" s="260">
        <f t="shared" si="30"/>
        <v>0</v>
      </c>
      <c r="BB30" s="260">
        <f t="shared" si="31"/>
        <v>0</v>
      </c>
      <c r="BC30" s="260">
        <f t="shared" si="32"/>
        <v>0</v>
      </c>
      <c r="BD30" s="260">
        <f t="shared" si="33"/>
        <v>0</v>
      </c>
      <c r="BE30" s="260">
        <f t="shared" si="34"/>
        <v>0</v>
      </c>
      <c r="BF30" s="260">
        <f t="shared" si="35"/>
        <v>0</v>
      </c>
      <c r="BG30" s="260">
        <f t="shared" si="36"/>
        <v>0</v>
      </c>
      <c r="BH30" s="260">
        <f t="shared" si="75"/>
        <v>0</v>
      </c>
      <c r="BI30" s="260">
        <f t="shared" si="76"/>
        <v>0</v>
      </c>
      <c r="BJ30" s="260">
        <f t="shared" si="37"/>
        <v>0</v>
      </c>
      <c r="BK30" s="260">
        <f t="shared" si="38"/>
        <v>0</v>
      </c>
      <c r="BL30" s="260">
        <f t="shared" si="39"/>
        <v>0</v>
      </c>
      <c r="BM30" s="260">
        <f t="shared" si="40"/>
        <v>0</v>
      </c>
      <c r="BN30" s="260">
        <f t="shared" si="41"/>
        <v>0</v>
      </c>
      <c r="BO30" s="260">
        <f t="shared" si="42"/>
        <v>0</v>
      </c>
      <c r="BP30" s="260">
        <f t="shared" si="77"/>
        <v>0</v>
      </c>
      <c r="BQ30" s="260">
        <f t="shared" si="78"/>
        <v>0</v>
      </c>
      <c r="BR30" s="260">
        <f t="shared" si="43"/>
        <v>0</v>
      </c>
      <c r="BS30" s="260">
        <f t="shared" si="44"/>
        <v>0</v>
      </c>
      <c r="BT30" s="260">
        <f t="shared" si="79"/>
        <v>0</v>
      </c>
      <c r="BU30" s="260">
        <f t="shared" si="80"/>
        <v>0</v>
      </c>
      <c r="BV30" s="260">
        <f t="shared" si="81"/>
        <v>0</v>
      </c>
      <c r="BW30" s="260">
        <f t="shared" si="82"/>
        <v>0</v>
      </c>
      <c r="BX30" s="260">
        <f t="shared" si="45"/>
        <v>0</v>
      </c>
      <c r="BY30" s="260">
        <f t="shared" si="46"/>
        <v>0</v>
      </c>
      <c r="BZ30" s="260">
        <f t="shared" si="47"/>
        <v>0</v>
      </c>
      <c r="CA30" s="260">
        <f t="shared" si="48"/>
        <v>0</v>
      </c>
      <c r="CB30" s="260">
        <f t="shared" si="49"/>
        <v>0</v>
      </c>
      <c r="CC30" s="260">
        <f t="shared" si="50"/>
        <v>0</v>
      </c>
      <c r="CD30" s="260">
        <f t="shared" si="83"/>
        <v>0</v>
      </c>
      <c r="CE30" s="260">
        <f t="shared" si="84"/>
        <v>0</v>
      </c>
      <c r="CF30" s="260">
        <f t="shared" si="85"/>
        <v>0</v>
      </c>
      <c r="CG30" s="260">
        <f t="shared" si="86"/>
        <v>0</v>
      </c>
      <c r="CH30" s="260">
        <f t="shared" si="51"/>
        <v>0</v>
      </c>
      <c r="CI30" s="260">
        <f t="shared" si="52"/>
        <v>0</v>
      </c>
      <c r="CJ30" s="260">
        <f t="shared" si="87"/>
        <v>0</v>
      </c>
      <c r="CK30" s="260">
        <f t="shared" si="88"/>
        <v>0</v>
      </c>
      <c r="CL30" s="260">
        <f t="shared" si="53"/>
        <v>0</v>
      </c>
      <c r="CM30" s="260">
        <f t="shared" si="54"/>
        <v>0</v>
      </c>
      <c r="CN30" s="260">
        <f t="shared" si="55"/>
        <v>0</v>
      </c>
      <c r="CO30" s="260">
        <f t="shared" si="56"/>
        <v>0</v>
      </c>
      <c r="CP30" s="260">
        <f t="shared" si="89"/>
        <v>0</v>
      </c>
      <c r="CQ30" s="260">
        <f t="shared" si="90"/>
        <v>0</v>
      </c>
      <c r="CR30" s="260">
        <f t="shared" si="91"/>
        <v>0</v>
      </c>
      <c r="CS30" s="260">
        <f t="shared" si="92"/>
        <v>0</v>
      </c>
      <c r="CT30" s="260">
        <f t="shared" si="57"/>
        <v>0</v>
      </c>
      <c r="CU30" s="260">
        <f t="shared" si="58"/>
        <v>0</v>
      </c>
      <c r="CV30" s="260">
        <f t="shared" si="59"/>
        <v>0</v>
      </c>
      <c r="CW30" s="260">
        <f t="shared" si="60"/>
        <v>0</v>
      </c>
      <c r="CX30" s="260">
        <f t="shared" si="93"/>
        <v>0</v>
      </c>
      <c r="CY30" s="260">
        <f t="shared" si="94"/>
        <v>0</v>
      </c>
      <c r="CZ30" s="260">
        <f t="shared" si="95"/>
        <v>0</v>
      </c>
      <c r="DA30" s="260">
        <f t="shared" si="96"/>
        <v>0</v>
      </c>
    </row>
    <row r="31" spans="1:105" s="257" customFormat="1" ht="15.75" customHeight="1">
      <c r="A31" s="60" t="str">
        <f t="array" ref="A31">IF(C31&lt;&gt;0,SUM(($C$11:C31&lt;&gt;0)*1),"")</f>
        <v/>
      </c>
      <c r="B31" s="258"/>
      <c r="C31" s="258"/>
      <c r="D31" s="258"/>
      <c r="E31" s="337"/>
      <c r="F31" s="309"/>
      <c r="G31" s="311"/>
      <c r="H31" s="311"/>
      <c r="I31" s="60" t="str">
        <f t="shared" si="97"/>
        <v/>
      </c>
      <c r="J31" s="260">
        <f t="shared" si="61"/>
        <v>0</v>
      </c>
      <c r="K31" s="260">
        <f t="shared" si="62"/>
        <v>0</v>
      </c>
      <c r="L31" s="260">
        <f t="shared" si="1"/>
        <v>0</v>
      </c>
      <c r="M31" s="260">
        <f t="shared" si="2"/>
        <v>0</v>
      </c>
      <c r="N31" s="260">
        <f t="shared" si="3"/>
        <v>0</v>
      </c>
      <c r="O31" s="260">
        <f t="shared" si="4"/>
        <v>0</v>
      </c>
      <c r="P31" s="260">
        <f t="shared" si="5"/>
        <v>0</v>
      </c>
      <c r="Q31" s="260">
        <f t="shared" si="6"/>
        <v>0</v>
      </c>
      <c r="R31" s="260">
        <f t="shared" si="7"/>
        <v>0</v>
      </c>
      <c r="S31" s="260">
        <f t="shared" si="8"/>
        <v>0</v>
      </c>
      <c r="T31" s="260">
        <f t="shared" si="9"/>
        <v>0</v>
      </c>
      <c r="U31" s="260">
        <f t="shared" si="10"/>
        <v>0</v>
      </c>
      <c r="V31" s="260">
        <f t="shared" si="11"/>
        <v>0</v>
      </c>
      <c r="W31" s="260">
        <f t="shared" si="12"/>
        <v>0</v>
      </c>
      <c r="X31" s="260">
        <f t="shared" si="13"/>
        <v>0</v>
      </c>
      <c r="Y31" s="260">
        <f t="shared" si="14"/>
        <v>0</v>
      </c>
      <c r="Z31" s="260">
        <f t="shared" si="15"/>
        <v>0</v>
      </c>
      <c r="AA31" s="260">
        <f t="shared" si="16"/>
        <v>0</v>
      </c>
      <c r="AB31" s="260">
        <f t="shared" si="63"/>
        <v>0</v>
      </c>
      <c r="AC31" s="260">
        <f t="shared" si="64"/>
        <v>0</v>
      </c>
      <c r="AD31" s="260">
        <f t="shared" si="17"/>
        <v>0</v>
      </c>
      <c r="AE31" s="260">
        <f t="shared" si="18"/>
        <v>0</v>
      </c>
      <c r="AF31" s="260">
        <f t="shared" si="19"/>
        <v>0</v>
      </c>
      <c r="AG31" s="260">
        <f t="shared" si="20"/>
        <v>0</v>
      </c>
      <c r="AH31" s="260">
        <f t="shared" si="65"/>
        <v>0</v>
      </c>
      <c r="AI31" s="260">
        <f t="shared" si="66"/>
        <v>0</v>
      </c>
      <c r="AJ31" s="260">
        <f t="shared" si="67"/>
        <v>0</v>
      </c>
      <c r="AK31" s="260">
        <f t="shared" si="68"/>
        <v>0</v>
      </c>
      <c r="AL31" s="260">
        <f t="shared" si="69"/>
        <v>0</v>
      </c>
      <c r="AM31" s="260">
        <f t="shared" si="70"/>
        <v>0</v>
      </c>
      <c r="AN31" s="260">
        <f t="shared" si="71"/>
        <v>0</v>
      </c>
      <c r="AO31" s="260">
        <f t="shared" si="72"/>
        <v>0</v>
      </c>
      <c r="AP31" s="260">
        <f t="shared" si="21"/>
        <v>0</v>
      </c>
      <c r="AQ31" s="260">
        <f t="shared" si="22"/>
        <v>0</v>
      </c>
      <c r="AR31" s="260">
        <f t="shared" si="23"/>
        <v>0</v>
      </c>
      <c r="AS31" s="260">
        <f t="shared" si="24"/>
        <v>0</v>
      </c>
      <c r="AT31" s="260">
        <f t="shared" si="73"/>
        <v>0</v>
      </c>
      <c r="AU31" s="260">
        <f t="shared" si="74"/>
        <v>0</v>
      </c>
      <c r="AV31" s="260">
        <f t="shared" si="25"/>
        <v>0</v>
      </c>
      <c r="AW31" s="260">
        <f t="shared" si="26"/>
        <v>0</v>
      </c>
      <c r="AX31" s="260">
        <f t="shared" si="27"/>
        <v>0</v>
      </c>
      <c r="AY31" s="260">
        <f t="shared" si="28"/>
        <v>0</v>
      </c>
      <c r="AZ31" s="260">
        <f t="shared" si="29"/>
        <v>0</v>
      </c>
      <c r="BA31" s="260">
        <f t="shared" si="30"/>
        <v>0</v>
      </c>
      <c r="BB31" s="260">
        <f t="shared" si="31"/>
        <v>0</v>
      </c>
      <c r="BC31" s="260">
        <f t="shared" si="32"/>
        <v>0</v>
      </c>
      <c r="BD31" s="260">
        <f t="shared" si="33"/>
        <v>0</v>
      </c>
      <c r="BE31" s="260">
        <f t="shared" si="34"/>
        <v>0</v>
      </c>
      <c r="BF31" s="260">
        <f t="shared" si="35"/>
        <v>0</v>
      </c>
      <c r="BG31" s="260">
        <f t="shared" si="36"/>
        <v>0</v>
      </c>
      <c r="BH31" s="260">
        <f t="shared" si="75"/>
        <v>0</v>
      </c>
      <c r="BI31" s="260">
        <f t="shared" si="76"/>
        <v>0</v>
      </c>
      <c r="BJ31" s="260">
        <f t="shared" si="37"/>
        <v>0</v>
      </c>
      <c r="BK31" s="260">
        <f t="shared" si="38"/>
        <v>0</v>
      </c>
      <c r="BL31" s="260">
        <f t="shared" si="39"/>
        <v>0</v>
      </c>
      <c r="BM31" s="260">
        <f t="shared" si="40"/>
        <v>0</v>
      </c>
      <c r="BN31" s="260">
        <f t="shared" si="41"/>
        <v>0</v>
      </c>
      <c r="BO31" s="260">
        <f t="shared" si="42"/>
        <v>0</v>
      </c>
      <c r="BP31" s="260">
        <f t="shared" si="77"/>
        <v>0</v>
      </c>
      <c r="BQ31" s="260">
        <f t="shared" si="78"/>
        <v>0</v>
      </c>
      <c r="BR31" s="260">
        <f t="shared" si="43"/>
        <v>0</v>
      </c>
      <c r="BS31" s="260">
        <f t="shared" si="44"/>
        <v>0</v>
      </c>
      <c r="BT31" s="260">
        <f t="shared" si="79"/>
        <v>0</v>
      </c>
      <c r="BU31" s="260">
        <f t="shared" si="80"/>
        <v>0</v>
      </c>
      <c r="BV31" s="260">
        <f t="shared" si="81"/>
        <v>0</v>
      </c>
      <c r="BW31" s="260">
        <f t="shared" si="82"/>
        <v>0</v>
      </c>
      <c r="BX31" s="260">
        <f t="shared" si="45"/>
        <v>0</v>
      </c>
      <c r="BY31" s="260">
        <f t="shared" si="46"/>
        <v>0</v>
      </c>
      <c r="BZ31" s="260">
        <f t="shared" si="47"/>
        <v>0</v>
      </c>
      <c r="CA31" s="260">
        <f t="shared" si="48"/>
        <v>0</v>
      </c>
      <c r="CB31" s="260">
        <f t="shared" si="49"/>
        <v>0</v>
      </c>
      <c r="CC31" s="260">
        <f t="shared" si="50"/>
        <v>0</v>
      </c>
      <c r="CD31" s="260">
        <f t="shared" si="83"/>
        <v>0</v>
      </c>
      <c r="CE31" s="260">
        <f t="shared" si="84"/>
        <v>0</v>
      </c>
      <c r="CF31" s="260">
        <f t="shared" si="85"/>
        <v>0</v>
      </c>
      <c r="CG31" s="260">
        <f t="shared" si="86"/>
        <v>0</v>
      </c>
      <c r="CH31" s="260">
        <f t="shared" si="51"/>
        <v>0</v>
      </c>
      <c r="CI31" s="260">
        <f t="shared" si="52"/>
        <v>0</v>
      </c>
      <c r="CJ31" s="260">
        <f t="shared" si="87"/>
        <v>0</v>
      </c>
      <c r="CK31" s="260">
        <f t="shared" si="88"/>
        <v>0</v>
      </c>
      <c r="CL31" s="260">
        <f t="shared" si="53"/>
        <v>0</v>
      </c>
      <c r="CM31" s="260">
        <f t="shared" si="54"/>
        <v>0</v>
      </c>
      <c r="CN31" s="260">
        <f t="shared" si="55"/>
        <v>0</v>
      </c>
      <c r="CO31" s="260">
        <f t="shared" si="56"/>
        <v>0</v>
      </c>
      <c r="CP31" s="260">
        <f t="shared" si="89"/>
        <v>0</v>
      </c>
      <c r="CQ31" s="260">
        <f t="shared" si="90"/>
        <v>0</v>
      </c>
      <c r="CR31" s="260">
        <f t="shared" si="91"/>
        <v>0</v>
      </c>
      <c r="CS31" s="260">
        <f t="shared" si="92"/>
        <v>0</v>
      </c>
      <c r="CT31" s="260">
        <f t="shared" si="57"/>
        <v>0</v>
      </c>
      <c r="CU31" s="260">
        <f t="shared" si="58"/>
        <v>0</v>
      </c>
      <c r="CV31" s="260">
        <f t="shared" si="59"/>
        <v>0</v>
      </c>
      <c r="CW31" s="260">
        <f t="shared" si="60"/>
        <v>0</v>
      </c>
      <c r="CX31" s="260">
        <f t="shared" si="93"/>
        <v>0</v>
      </c>
      <c r="CY31" s="260">
        <f t="shared" si="94"/>
        <v>0</v>
      </c>
      <c r="CZ31" s="260">
        <f t="shared" si="95"/>
        <v>0</v>
      </c>
      <c r="DA31" s="260">
        <f t="shared" si="96"/>
        <v>0</v>
      </c>
    </row>
    <row r="32" spans="1:105" s="257" customFormat="1" ht="15.75" customHeight="1">
      <c r="A32" s="60" t="str">
        <f t="array" ref="A32">IF(C32&lt;&gt;0,SUM(($C$11:C32&lt;&gt;0)*1),"")</f>
        <v/>
      </c>
      <c r="B32" s="258"/>
      <c r="C32" s="258"/>
      <c r="D32" s="258"/>
      <c r="E32" s="337"/>
      <c r="F32" s="309"/>
      <c r="G32" s="311"/>
      <c r="H32" s="311"/>
      <c r="I32" s="60" t="str">
        <f t="shared" si="97"/>
        <v/>
      </c>
      <c r="J32" s="260">
        <f t="shared" si="61"/>
        <v>0</v>
      </c>
      <c r="K32" s="260">
        <f t="shared" si="62"/>
        <v>0</v>
      </c>
      <c r="L32" s="260">
        <f t="shared" si="1"/>
        <v>0</v>
      </c>
      <c r="M32" s="260">
        <f t="shared" si="2"/>
        <v>0</v>
      </c>
      <c r="N32" s="260">
        <f t="shared" si="3"/>
        <v>0</v>
      </c>
      <c r="O32" s="260">
        <f t="shared" si="4"/>
        <v>0</v>
      </c>
      <c r="P32" s="260">
        <f t="shared" si="5"/>
        <v>0</v>
      </c>
      <c r="Q32" s="260">
        <f t="shared" si="6"/>
        <v>0</v>
      </c>
      <c r="R32" s="260">
        <f t="shared" si="7"/>
        <v>0</v>
      </c>
      <c r="S32" s="260">
        <f t="shared" si="8"/>
        <v>0</v>
      </c>
      <c r="T32" s="260">
        <f t="shared" si="9"/>
        <v>0</v>
      </c>
      <c r="U32" s="260">
        <f t="shared" si="10"/>
        <v>0</v>
      </c>
      <c r="V32" s="260">
        <f t="shared" si="11"/>
        <v>0</v>
      </c>
      <c r="W32" s="260">
        <f t="shared" si="12"/>
        <v>0</v>
      </c>
      <c r="X32" s="260">
        <f t="shared" si="13"/>
        <v>0</v>
      </c>
      <c r="Y32" s="260">
        <f t="shared" si="14"/>
        <v>0</v>
      </c>
      <c r="Z32" s="260">
        <f t="shared" si="15"/>
        <v>0</v>
      </c>
      <c r="AA32" s="260">
        <f t="shared" si="16"/>
        <v>0</v>
      </c>
      <c r="AB32" s="260">
        <f t="shared" si="63"/>
        <v>0</v>
      </c>
      <c r="AC32" s="260">
        <f t="shared" si="64"/>
        <v>0</v>
      </c>
      <c r="AD32" s="260">
        <f t="shared" si="17"/>
        <v>0</v>
      </c>
      <c r="AE32" s="260">
        <f t="shared" si="18"/>
        <v>0</v>
      </c>
      <c r="AF32" s="260">
        <f t="shared" si="19"/>
        <v>0</v>
      </c>
      <c r="AG32" s="260">
        <f t="shared" si="20"/>
        <v>0</v>
      </c>
      <c r="AH32" s="260">
        <f t="shared" si="65"/>
        <v>0</v>
      </c>
      <c r="AI32" s="260">
        <f t="shared" si="66"/>
        <v>0</v>
      </c>
      <c r="AJ32" s="260">
        <f t="shared" si="67"/>
        <v>0</v>
      </c>
      <c r="AK32" s="260">
        <f t="shared" si="68"/>
        <v>0</v>
      </c>
      <c r="AL32" s="260">
        <f t="shared" si="69"/>
        <v>0</v>
      </c>
      <c r="AM32" s="260">
        <f t="shared" si="70"/>
        <v>0</v>
      </c>
      <c r="AN32" s="260">
        <f t="shared" si="71"/>
        <v>0</v>
      </c>
      <c r="AO32" s="260">
        <f t="shared" si="72"/>
        <v>0</v>
      </c>
      <c r="AP32" s="260">
        <f t="shared" si="21"/>
        <v>0</v>
      </c>
      <c r="AQ32" s="260">
        <f t="shared" si="22"/>
        <v>0</v>
      </c>
      <c r="AR32" s="260">
        <f t="shared" si="23"/>
        <v>0</v>
      </c>
      <c r="AS32" s="260">
        <f t="shared" si="24"/>
        <v>0</v>
      </c>
      <c r="AT32" s="260">
        <f t="shared" si="73"/>
        <v>0</v>
      </c>
      <c r="AU32" s="260">
        <f t="shared" si="74"/>
        <v>0</v>
      </c>
      <c r="AV32" s="260">
        <f t="shared" si="25"/>
        <v>0</v>
      </c>
      <c r="AW32" s="260">
        <f t="shared" si="26"/>
        <v>0</v>
      </c>
      <c r="AX32" s="260">
        <f t="shared" si="27"/>
        <v>0</v>
      </c>
      <c r="AY32" s="260">
        <f t="shared" si="28"/>
        <v>0</v>
      </c>
      <c r="AZ32" s="260">
        <f t="shared" si="29"/>
        <v>0</v>
      </c>
      <c r="BA32" s="260">
        <f t="shared" si="30"/>
        <v>0</v>
      </c>
      <c r="BB32" s="260">
        <f t="shared" si="31"/>
        <v>0</v>
      </c>
      <c r="BC32" s="260">
        <f t="shared" si="32"/>
        <v>0</v>
      </c>
      <c r="BD32" s="260">
        <f t="shared" si="33"/>
        <v>0</v>
      </c>
      <c r="BE32" s="260">
        <f t="shared" si="34"/>
        <v>0</v>
      </c>
      <c r="BF32" s="260">
        <f t="shared" si="35"/>
        <v>0</v>
      </c>
      <c r="BG32" s="260">
        <f t="shared" si="36"/>
        <v>0</v>
      </c>
      <c r="BH32" s="260">
        <f t="shared" si="75"/>
        <v>0</v>
      </c>
      <c r="BI32" s="260">
        <f t="shared" si="76"/>
        <v>0</v>
      </c>
      <c r="BJ32" s="260">
        <f t="shared" si="37"/>
        <v>0</v>
      </c>
      <c r="BK32" s="260">
        <f t="shared" si="38"/>
        <v>0</v>
      </c>
      <c r="BL32" s="260">
        <f t="shared" si="39"/>
        <v>0</v>
      </c>
      <c r="BM32" s="260">
        <f t="shared" si="40"/>
        <v>0</v>
      </c>
      <c r="BN32" s="260">
        <f t="shared" si="41"/>
        <v>0</v>
      </c>
      <c r="BO32" s="260">
        <f t="shared" si="42"/>
        <v>0</v>
      </c>
      <c r="BP32" s="260">
        <f t="shared" si="77"/>
        <v>0</v>
      </c>
      <c r="BQ32" s="260">
        <f t="shared" si="78"/>
        <v>0</v>
      </c>
      <c r="BR32" s="260">
        <f t="shared" si="43"/>
        <v>0</v>
      </c>
      <c r="BS32" s="260">
        <f t="shared" si="44"/>
        <v>0</v>
      </c>
      <c r="BT32" s="260">
        <f t="shared" si="79"/>
        <v>0</v>
      </c>
      <c r="BU32" s="260">
        <f t="shared" si="80"/>
        <v>0</v>
      </c>
      <c r="BV32" s="260">
        <f t="shared" si="81"/>
        <v>0</v>
      </c>
      <c r="BW32" s="260">
        <f t="shared" si="82"/>
        <v>0</v>
      </c>
      <c r="BX32" s="260">
        <f t="shared" si="45"/>
        <v>0</v>
      </c>
      <c r="BY32" s="260">
        <f t="shared" si="46"/>
        <v>0</v>
      </c>
      <c r="BZ32" s="260">
        <f t="shared" si="47"/>
        <v>0</v>
      </c>
      <c r="CA32" s="260">
        <f t="shared" si="48"/>
        <v>0</v>
      </c>
      <c r="CB32" s="260">
        <f t="shared" si="49"/>
        <v>0</v>
      </c>
      <c r="CC32" s="260">
        <f t="shared" si="50"/>
        <v>0</v>
      </c>
      <c r="CD32" s="260">
        <f t="shared" si="83"/>
        <v>0</v>
      </c>
      <c r="CE32" s="260">
        <f t="shared" si="84"/>
        <v>0</v>
      </c>
      <c r="CF32" s="260">
        <f t="shared" si="85"/>
        <v>0</v>
      </c>
      <c r="CG32" s="260">
        <f t="shared" si="86"/>
        <v>0</v>
      </c>
      <c r="CH32" s="260">
        <f t="shared" si="51"/>
        <v>0</v>
      </c>
      <c r="CI32" s="260">
        <f t="shared" si="52"/>
        <v>0</v>
      </c>
      <c r="CJ32" s="260">
        <f t="shared" si="87"/>
        <v>0</v>
      </c>
      <c r="CK32" s="260">
        <f t="shared" si="88"/>
        <v>0</v>
      </c>
      <c r="CL32" s="260">
        <f t="shared" si="53"/>
        <v>0</v>
      </c>
      <c r="CM32" s="260">
        <f t="shared" si="54"/>
        <v>0</v>
      </c>
      <c r="CN32" s="260">
        <f t="shared" si="55"/>
        <v>0</v>
      </c>
      <c r="CO32" s="260">
        <f t="shared" si="56"/>
        <v>0</v>
      </c>
      <c r="CP32" s="260">
        <f t="shared" si="89"/>
        <v>0</v>
      </c>
      <c r="CQ32" s="260">
        <f t="shared" si="90"/>
        <v>0</v>
      </c>
      <c r="CR32" s="260">
        <f t="shared" si="91"/>
        <v>0</v>
      </c>
      <c r="CS32" s="260">
        <f t="shared" si="92"/>
        <v>0</v>
      </c>
      <c r="CT32" s="260">
        <f t="shared" si="57"/>
        <v>0</v>
      </c>
      <c r="CU32" s="260">
        <f t="shared" si="58"/>
        <v>0</v>
      </c>
      <c r="CV32" s="260">
        <f t="shared" si="59"/>
        <v>0</v>
      </c>
      <c r="CW32" s="260">
        <f t="shared" si="60"/>
        <v>0</v>
      </c>
      <c r="CX32" s="260">
        <f t="shared" si="93"/>
        <v>0</v>
      </c>
      <c r="CY32" s="260">
        <f t="shared" si="94"/>
        <v>0</v>
      </c>
      <c r="CZ32" s="260">
        <f t="shared" si="95"/>
        <v>0</v>
      </c>
      <c r="DA32" s="260">
        <f t="shared" si="96"/>
        <v>0</v>
      </c>
    </row>
    <row r="33" spans="1:105" s="257" customFormat="1" ht="15.75" customHeight="1">
      <c r="A33" s="60" t="str">
        <f t="array" ref="A33">IF(C33&lt;&gt;0,SUM(($C$11:C33&lt;&gt;0)*1),"")</f>
        <v/>
      </c>
      <c r="B33" s="258"/>
      <c r="C33" s="258"/>
      <c r="D33" s="258"/>
      <c r="E33" s="337"/>
      <c r="F33" s="309"/>
      <c r="G33" s="311"/>
      <c r="H33" s="311"/>
      <c r="I33" s="60" t="str">
        <f t="shared" si="97"/>
        <v/>
      </c>
      <c r="J33" s="260">
        <f t="shared" si="61"/>
        <v>0</v>
      </c>
      <c r="K33" s="260">
        <f t="shared" si="62"/>
        <v>0</v>
      </c>
      <c r="L33" s="260">
        <f t="shared" si="1"/>
        <v>0</v>
      </c>
      <c r="M33" s="260">
        <f t="shared" si="2"/>
        <v>0</v>
      </c>
      <c r="N33" s="260">
        <f t="shared" si="3"/>
        <v>0</v>
      </c>
      <c r="O33" s="260">
        <f t="shared" si="4"/>
        <v>0</v>
      </c>
      <c r="P33" s="260">
        <f t="shared" si="5"/>
        <v>0</v>
      </c>
      <c r="Q33" s="260">
        <f t="shared" si="6"/>
        <v>0</v>
      </c>
      <c r="R33" s="260">
        <f t="shared" si="7"/>
        <v>0</v>
      </c>
      <c r="S33" s="260">
        <f t="shared" si="8"/>
        <v>0</v>
      </c>
      <c r="T33" s="260">
        <f t="shared" si="9"/>
        <v>0</v>
      </c>
      <c r="U33" s="260">
        <f t="shared" si="10"/>
        <v>0</v>
      </c>
      <c r="V33" s="260">
        <f t="shared" si="11"/>
        <v>0</v>
      </c>
      <c r="W33" s="260">
        <f t="shared" si="12"/>
        <v>0</v>
      </c>
      <c r="X33" s="260">
        <f t="shared" si="13"/>
        <v>0</v>
      </c>
      <c r="Y33" s="260">
        <f t="shared" si="14"/>
        <v>0</v>
      </c>
      <c r="Z33" s="260">
        <f t="shared" si="15"/>
        <v>0</v>
      </c>
      <c r="AA33" s="260">
        <f t="shared" si="16"/>
        <v>0</v>
      </c>
      <c r="AB33" s="260">
        <f t="shared" si="63"/>
        <v>0</v>
      </c>
      <c r="AC33" s="260">
        <f t="shared" si="64"/>
        <v>0</v>
      </c>
      <c r="AD33" s="260">
        <f t="shared" si="17"/>
        <v>0</v>
      </c>
      <c r="AE33" s="260">
        <f t="shared" si="18"/>
        <v>0</v>
      </c>
      <c r="AF33" s="260">
        <f t="shared" si="19"/>
        <v>0</v>
      </c>
      <c r="AG33" s="260">
        <f t="shared" si="20"/>
        <v>0</v>
      </c>
      <c r="AH33" s="260">
        <f t="shared" si="65"/>
        <v>0</v>
      </c>
      <c r="AI33" s="260">
        <f t="shared" si="66"/>
        <v>0</v>
      </c>
      <c r="AJ33" s="260">
        <f t="shared" si="67"/>
        <v>0</v>
      </c>
      <c r="AK33" s="260">
        <f t="shared" si="68"/>
        <v>0</v>
      </c>
      <c r="AL33" s="260">
        <f t="shared" si="69"/>
        <v>0</v>
      </c>
      <c r="AM33" s="260">
        <f t="shared" si="70"/>
        <v>0</v>
      </c>
      <c r="AN33" s="260">
        <f t="shared" si="71"/>
        <v>0</v>
      </c>
      <c r="AO33" s="260">
        <f t="shared" si="72"/>
        <v>0</v>
      </c>
      <c r="AP33" s="260">
        <f t="shared" si="21"/>
        <v>0</v>
      </c>
      <c r="AQ33" s="260">
        <f t="shared" si="22"/>
        <v>0</v>
      </c>
      <c r="AR33" s="260">
        <f t="shared" si="23"/>
        <v>0</v>
      </c>
      <c r="AS33" s="260">
        <f t="shared" si="24"/>
        <v>0</v>
      </c>
      <c r="AT33" s="260">
        <f t="shared" si="73"/>
        <v>0</v>
      </c>
      <c r="AU33" s="260">
        <f t="shared" si="74"/>
        <v>0</v>
      </c>
      <c r="AV33" s="260">
        <f t="shared" si="25"/>
        <v>0</v>
      </c>
      <c r="AW33" s="260">
        <f t="shared" si="26"/>
        <v>0</v>
      </c>
      <c r="AX33" s="260">
        <f t="shared" si="27"/>
        <v>0</v>
      </c>
      <c r="AY33" s="260">
        <f t="shared" si="28"/>
        <v>0</v>
      </c>
      <c r="AZ33" s="260">
        <f t="shared" si="29"/>
        <v>0</v>
      </c>
      <c r="BA33" s="260">
        <f t="shared" si="30"/>
        <v>0</v>
      </c>
      <c r="BB33" s="260">
        <f t="shared" si="31"/>
        <v>0</v>
      </c>
      <c r="BC33" s="260">
        <f t="shared" si="32"/>
        <v>0</v>
      </c>
      <c r="BD33" s="260">
        <f t="shared" si="33"/>
        <v>0</v>
      </c>
      <c r="BE33" s="260">
        <f t="shared" si="34"/>
        <v>0</v>
      </c>
      <c r="BF33" s="260">
        <f t="shared" si="35"/>
        <v>0</v>
      </c>
      <c r="BG33" s="260">
        <f t="shared" si="36"/>
        <v>0</v>
      </c>
      <c r="BH33" s="260">
        <f t="shared" si="75"/>
        <v>0</v>
      </c>
      <c r="BI33" s="260">
        <f t="shared" si="76"/>
        <v>0</v>
      </c>
      <c r="BJ33" s="260">
        <f t="shared" si="37"/>
        <v>0</v>
      </c>
      <c r="BK33" s="260">
        <f t="shared" si="38"/>
        <v>0</v>
      </c>
      <c r="BL33" s="260">
        <f t="shared" si="39"/>
        <v>0</v>
      </c>
      <c r="BM33" s="260">
        <f t="shared" si="40"/>
        <v>0</v>
      </c>
      <c r="BN33" s="260">
        <f t="shared" si="41"/>
        <v>0</v>
      </c>
      <c r="BO33" s="260">
        <f t="shared" si="42"/>
        <v>0</v>
      </c>
      <c r="BP33" s="260">
        <f t="shared" si="77"/>
        <v>0</v>
      </c>
      <c r="BQ33" s="260">
        <f t="shared" si="78"/>
        <v>0</v>
      </c>
      <c r="BR33" s="260">
        <f t="shared" si="43"/>
        <v>0</v>
      </c>
      <c r="BS33" s="260">
        <f t="shared" si="44"/>
        <v>0</v>
      </c>
      <c r="BT33" s="260">
        <f t="shared" si="79"/>
        <v>0</v>
      </c>
      <c r="BU33" s="260">
        <f t="shared" si="80"/>
        <v>0</v>
      </c>
      <c r="BV33" s="260">
        <f t="shared" si="81"/>
        <v>0</v>
      </c>
      <c r="BW33" s="260">
        <f t="shared" si="82"/>
        <v>0</v>
      </c>
      <c r="BX33" s="260">
        <f t="shared" si="45"/>
        <v>0</v>
      </c>
      <c r="BY33" s="260">
        <f t="shared" si="46"/>
        <v>0</v>
      </c>
      <c r="BZ33" s="260">
        <f t="shared" si="47"/>
        <v>0</v>
      </c>
      <c r="CA33" s="260">
        <f t="shared" si="48"/>
        <v>0</v>
      </c>
      <c r="CB33" s="260">
        <f t="shared" si="49"/>
        <v>0</v>
      </c>
      <c r="CC33" s="260">
        <f t="shared" si="50"/>
        <v>0</v>
      </c>
      <c r="CD33" s="260">
        <f t="shared" si="83"/>
        <v>0</v>
      </c>
      <c r="CE33" s="260">
        <f t="shared" si="84"/>
        <v>0</v>
      </c>
      <c r="CF33" s="260">
        <f t="shared" si="85"/>
        <v>0</v>
      </c>
      <c r="CG33" s="260">
        <f t="shared" si="86"/>
        <v>0</v>
      </c>
      <c r="CH33" s="260">
        <f t="shared" si="51"/>
        <v>0</v>
      </c>
      <c r="CI33" s="260">
        <f t="shared" si="52"/>
        <v>0</v>
      </c>
      <c r="CJ33" s="260">
        <f t="shared" si="87"/>
        <v>0</v>
      </c>
      <c r="CK33" s="260">
        <f t="shared" si="88"/>
        <v>0</v>
      </c>
      <c r="CL33" s="260">
        <f t="shared" si="53"/>
        <v>0</v>
      </c>
      <c r="CM33" s="260">
        <f t="shared" si="54"/>
        <v>0</v>
      </c>
      <c r="CN33" s="260">
        <f t="shared" si="55"/>
        <v>0</v>
      </c>
      <c r="CO33" s="260">
        <f t="shared" si="56"/>
        <v>0</v>
      </c>
      <c r="CP33" s="260">
        <f t="shared" si="89"/>
        <v>0</v>
      </c>
      <c r="CQ33" s="260">
        <f t="shared" si="90"/>
        <v>0</v>
      </c>
      <c r="CR33" s="260">
        <f t="shared" si="91"/>
        <v>0</v>
      </c>
      <c r="CS33" s="260">
        <f t="shared" si="92"/>
        <v>0</v>
      </c>
      <c r="CT33" s="260">
        <f t="shared" si="57"/>
        <v>0</v>
      </c>
      <c r="CU33" s="260">
        <f t="shared" si="58"/>
        <v>0</v>
      </c>
      <c r="CV33" s="260">
        <f t="shared" si="59"/>
        <v>0</v>
      </c>
      <c r="CW33" s="260">
        <f t="shared" si="60"/>
        <v>0</v>
      </c>
      <c r="CX33" s="260">
        <f t="shared" si="93"/>
        <v>0</v>
      </c>
      <c r="CY33" s="260">
        <f t="shared" si="94"/>
        <v>0</v>
      </c>
      <c r="CZ33" s="260">
        <f t="shared" si="95"/>
        <v>0</v>
      </c>
      <c r="DA33" s="260">
        <f t="shared" si="96"/>
        <v>0</v>
      </c>
    </row>
    <row r="34" spans="1:105" s="257" customFormat="1" ht="15.75" customHeight="1">
      <c r="A34" s="60" t="str">
        <f t="array" ref="A34">IF(C34&lt;&gt;0,SUM(($C$11:C34&lt;&gt;0)*1),"")</f>
        <v/>
      </c>
      <c r="B34" s="258"/>
      <c r="C34" s="258"/>
      <c r="D34" s="258"/>
      <c r="E34" s="337"/>
      <c r="F34" s="309"/>
      <c r="G34" s="311"/>
      <c r="H34" s="311"/>
      <c r="I34" s="60" t="str">
        <f t="shared" si="97"/>
        <v/>
      </c>
      <c r="J34" s="260">
        <f t="shared" si="61"/>
        <v>0</v>
      </c>
      <c r="K34" s="260">
        <f t="shared" si="62"/>
        <v>0</v>
      </c>
      <c r="L34" s="260">
        <f t="shared" si="1"/>
        <v>0</v>
      </c>
      <c r="M34" s="260">
        <f t="shared" si="2"/>
        <v>0</v>
      </c>
      <c r="N34" s="260">
        <f t="shared" si="3"/>
        <v>0</v>
      </c>
      <c r="O34" s="260">
        <f t="shared" si="4"/>
        <v>0</v>
      </c>
      <c r="P34" s="260">
        <f t="shared" si="5"/>
        <v>0</v>
      </c>
      <c r="Q34" s="260">
        <f t="shared" si="6"/>
        <v>0</v>
      </c>
      <c r="R34" s="260">
        <f t="shared" si="7"/>
        <v>0</v>
      </c>
      <c r="S34" s="260">
        <f t="shared" si="8"/>
        <v>0</v>
      </c>
      <c r="T34" s="260">
        <f t="shared" si="9"/>
        <v>0</v>
      </c>
      <c r="U34" s="260">
        <f t="shared" si="10"/>
        <v>0</v>
      </c>
      <c r="V34" s="260">
        <f t="shared" si="11"/>
        <v>0</v>
      </c>
      <c r="W34" s="260">
        <f t="shared" si="12"/>
        <v>0</v>
      </c>
      <c r="X34" s="260">
        <f t="shared" si="13"/>
        <v>0</v>
      </c>
      <c r="Y34" s="260">
        <f t="shared" si="14"/>
        <v>0</v>
      </c>
      <c r="Z34" s="260">
        <f t="shared" si="15"/>
        <v>0</v>
      </c>
      <c r="AA34" s="260">
        <f t="shared" si="16"/>
        <v>0</v>
      </c>
      <c r="AB34" s="260">
        <f t="shared" si="63"/>
        <v>0</v>
      </c>
      <c r="AC34" s="260">
        <f t="shared" si="64"/>
        <v>0</v>
      </c>
      <c r="AD34" s="260">
        <f t="shared" si="17"/>
        <v>0</v>
      </c>
      <c r="AE34" s="260">
        <f t="shared" si="18"/>
        <v>0</v>
      </c>
      <c r="AF34" s="260">
        <f t="shared" si="19"/>
        <v>0</v>
      </c>
      <c r="AG34" s="260">
        <f t="shared" si="20"/>
        <v>0</v>
      </c>
      <c r="AH34" s="260">
        <f t="shared" si="65"/>
        <v>0</v>
      </c>
      <c r="AI34" s="260">
        <f t="shared" si="66"/>
        <v>0</v>
      </c>
      <c r="AJ34" s="260">
        <f t="shared" si="67"/>
        <v>0</v>
      </c>
      <c r="AK34" s="260">
        <f t="shared" si="68"/>
        <v>0</v>
      </c>
      <c r="AL34" s="260">
        <f t="shared" si="69"/>
        <v>0</v>
      </c>
      <c r="AM34" s="260">
        <f t="shared" si="70"/>
        <v>0</v>
      </c>
      <c r="AN34" s="260">
        <f t="shared" si="71"/>
        <v>0</v>
      </c>
      <c r="AO34" s="260">
        <f t="shared" si="72"/>
        <v>0</v>
      </c>
      <c r="AP34" s="260">
        <f t="shared" si="21"/>
        <v>0</v>
      </c>
      <c r="AQ34" s="260">
        <f t="shared" si="22"/>
        <v>0</v>
      </c>
      <c r="AR34" s="260">
        <f t="shared" si="23"/>
        <v>0</v>
      </c>
      <c r="AS34" s="260">
        <f t="shared" si="24"/>
        <v>0</v>
      </c>
      <c r="AT34" s="260">
        <f t="shared" si="73"/>
        <v>0</v>
      </c>
      <c r="AU34" s="260">
        <f t="shared" si="74"/>
        <v>0</v>
      </c>
      <c r="AV34" s="260">
        <f t="shared" si="25"/>
        <v>0</v>
      </c>
      <c r="AW34" s="260">
        <f t="shared" si="26"/>
        <v>0</v>
      </c>
      <c r="AX34" s="260">
        <f t="shared" si="27"/>
        <v>0</v>
      </c>
      <c r="AY34" s="260">
        <f t="shared" si="28"/>
        <v>0</v>
      </c>
      <c r="AZ34" s="260">
        <f t="shared" si="29"/>
        <v>0</v>
      </c>
      <c r="BA34" s="260">
        <f t="shared" si="30"/>
        <v>0</v>
      </c>
      <c r="BB34" s="260">
        <f t="shared" si="31"/>
        <v>0</v>
      </c>
      <c r="BC34" s="260">
        <f t="shared" si="32"/>
        <v>0</v>
      </c>
      <c r="BD34" s="260">
        <f t="shared" si="33"/>
        <v>0</v>
      </c>
      <c r="BE34" s="260">
        <f t="shared" si="34"/>
        <v>0</v>
      </c>
      <c r="BF34" s="260">
        <f t="shared" si="35"/>
        <v>0</v>
      </c>
      <c r="BG34" s="260">
        <f t="shared" si="36"/>
        <v>0</v>
      </c>
      <c r="BH34" s="260">
        <f t="shared" si="75"/>
        <v>0</v>
      </c>
      <c r="BI34" s="260">
        <f t="shared" si="76"/>
        <v>0</v>
      </c>
      <c r="BJ34" s="260">
        <f t="shared" si="37"/>
        <v>0</v>
      </c>
      <c r="BK34" s="260">
        <f t="shared" si="38"/>
        <v>0</v>
      </c>
      <c r="BL34" s="260">
        <f t="shared" si="39"/>
        <v>0</v>
      </c>
      <c r="BM34" s="260">
        <f t="shared" si="40"/>
        <v>0</v>
      </c>
      <c r="BN34" s="260">
        <f t="shared" si="41"/>
        <v>0</v>
      </c>
      <c r="BO34" s="260">
        <f t="shared" si="42"/>
        <v>0</v>
      </c>
      <c r="BP34" s="260">
        <f t="shared" si="77"/>
        <v>0</v>
      </c>
      <c r="BQ34" s="260">
        <f t="shared" si="78"/>
        <v>0</v>
      </c>
      <c r="BR34" s="260">
        <f t="shared" si="43"/>
        <v>0</v>
      </c>
      <c r="BS34" s="260">
        <f t="shared" si="44"/>
        <v>0</v>
      </c>
      <c r="BT34" s="260">
        <f t="shared" si="79"/>
        <v>0</v>
      </c>
      <c r="BU34" s="260">
        <f t="shared" si="80"/>
        <v>0</v>
      </c>
      <c r="BV34" s="260">
        <f t="shared" si="81"/>
        <v>0</v>
      </c>
      <c r="BW34" s="260">
        <f t="shared" si="82"/>
        <v>0</v>
      </c>
      <c r="BX34" s="260">
        <f t="shared" si="45"/>
        <v>0</v>
      </c>
      <c r="BY34" s="260">
        <f t="shared" si="46"/>
        <v>0</v>
      </c>
      <c r="BZ34" s="260">
        <f t="shared" si="47"/>
        <v>0</v>
      </c>
      <c r="CA34" s="260">
        <f t="shared" si="48"/>
        <v>0</v>
      </c>
      <c r="CB34" s="260">
        <f t="shared" si="49"/>
        <v>0</v>
      </c>
      <c r="CC34" s="260">
        <f t="shared" si="50"/>
        <v>0</v>
      </c>
      <c r="CD34" s="260">
        <f t="shared" si="83"/>
        <v>0</v>
      </c>
      <c r="CE34" s="260">
        <f t="shared" si="84"/>
        <v>0</v>
      </c>
      <c r="CF34" s="260">
        <f t="shared" si="85"/>
        <v>0</v>
      </c>
      <c r="CG34" s="260">
        <f t="shared" si="86"/>
        <v>0</v>
      </c>
      <c r="CH34" s="260">
        <f t="shared" si="51"/>
        <v>0</v>
      </c>
      <c r="CI34" s="260">
        <f t="shared" si="52"/>
        <v>0</v>
      </c>
      <c r="CJ34" s="260">
        <f t="shared" si="87"/>
        <v>0</v>
      </c>
      <c r="CK34" s="260">
        <f t="shared" si="88"/>
        <v>0</v>
      </c>
      <c r="CL34" s="260">
        <f t="shared" si="53"/>
        <v>0</v>
      </c>
      <c r="CM34" s="260">
        <f t="shared" si="54"/>
        <v>0</v>
      </c>
      <c r="CN34" s="260">
        <f t="shared" si="55"/>
        <v>0</v>
      </c>
      <c r="CO34" s="260">
        <f t="shared" si="56"/>
        <v>0</v>
      </c>
      <c r="CP34" s="260">
        <f t="shared" si="89"/>
        <v>0</v>
      </c>
      <c r="CQ34" s="260">
        <f t="shared" si="90"/>
        <v>0</v>
      </c>
      <c r="CR34" s="260">
        <f t="shared" si="91"/>
        <v>0</v>
      </c>
      <c r="CS34" s="260">
        <f t="shared" si="92"/>
        <v>0</v>
      </c>
      <c r="CT34" s="260">
        <f t="shared" si="57"/>
        <v>0</v>
      </c>
      <c r="CU34" s="260">
        <f t="shared" si="58"/>
        <v>0</v>
      </c>
      <c r="CV34" s="260">
        <f t="shared" si="59"/>
        <v>0</v>
      </c>
      <c r="CW34" s="260">
        <f t="shared" si="60"/>
        <v>0</v>
      </c>
      <c r="CX34" s="260">
        <f t="shared" si="93"/>
        <v>0</v>
      </c>
      <c r="CY34" s="260">
        <f t="shared" si="94"/>
        <v>0</v>
      </c>
      <c r="CZ34" s="260">
        <f t="shared" si="95"/>
        <v>0</v>
      </c>
      <c r="DA34" s="260">
        <f t="shared" si="96"/>
        <v>0</v>
      </c>
    </row>
    <row r="35" spans="1:105" s="257" customFormat="1" ht="15.75" customHeight="1">
      <c r="A35" s="60" t="str">
        <f t="array" ref="A35">IF(C35&lt;&gt;0,SUM(($C$11:C35&lt;&gt;0)*1),"")</f>
        <v/>
      </c>
      <c r="B35" s="258"/>
      <c r="C35" s="258"/>
      <c r="D35" s="258"/>
      <c r="E35" s="337"/>
      <c r="F35" s="309"/>
      <c r="G35" s="311"/>
      <c r="H35" s="311"/>
      <c r="I35" s="60" t="str">
        <f t="shared" si="97"/>
        <v/>
      </c>
      <c r="J35" s="260">
        <f t="shared" si="61"/>
        <v>0</v>
      </c>
      <c r="K35" s="260">
        <f t="shared" si="62"/>
        <v>0</v>
      </c>
      <c r="L35" s="260">
        <f t="shared" si="1"/>
        <v>0</v>
      </c>
      <c r="M35" s="260">
        <f t="shared" si="2"/>
        <v>0</v>
      </c>
      <c r="N35" s="260">
        <f t="shared" si="3"/>
        <v>0</v>
      </c>
      <c r="O35" s="260">
        <f t="shared" si="4"/>
        <v>0</v>
      </c>
      <c r="P35" s="260">
        <f t="shared" si="5"/>
        <v>0</v>
      </c>
      <c r="Q35" s="260">
        <f t="shared" si="6"/>
        <v>0</v>
      </c>
      <c r="R35" s="260">
        <f t="shared" si="7"/>
        <v>0</v>
      </c>
      <c r="S35" s="260">
        <f t="shared" si="8"/>
        <v>0</v>
      </c>
      <c r="T35" s="260">
        <f t="shared" si="9"/>
        <v>0</v>
      </c>
      <c r="U35" s="260">
        <f t="shared" si="10"/>
        <v>0</v>
      </c>
      <c r="V35" s="260">
        <f t="shared" si="11"/>
        <v>0</v>
      </c>
      <c r="W35" s="260">
        <f t="shared" si="12"/>
        <v>0</v>
      </c>
      <c r="X35" s="260">
        <f t="shared" si="13"/>
        <v>0</v>
      </c>
      <c r="Y35" s="260">
        <f t="shared" si="14"/>
        <v>0</v>
      </c>
      <c r="Z35" s="260">
        <f t="shared" si="15"/>
        <v>0</v>
      </c>
      <c r="AA35" s="260">
        <f t="shared" si="16"/>
        <v>0</v>
      </c>
      <c r="AB35" s="260">
        <f t="shared" si="63"/>
        <v>0</v>
      </c>
      <c r="AC35" s="260">
        <f t="shared" si="64"/>
        <v>0</v>
      </c>
      <c r="AD35" s="260">
        <f t="shared" si="17"/>
        <v>0</v>
      </c>
      <c r="AE35" s="260">
        <f t="shared" si="18"/>
        <v>0</v>
      </c>
      <c r="AF35" s="260">
        <f t="shared" si="19"/>
        <v>0</v>
      </c>
      <c r="AG35" s="260">
        <f t="shared" si="20"/>
        <v>0</v>
      </c>
      <c r="AH35" s="260">
        <f t="shared" si="65"/>
        <v>0</v>
      </c>
      <c r="AI35" s="260">
        <f t="shared" si="66"/>
        <v>0</v>
      </c>
      <c r="AJ35" s="260">
        <f t="shared" si="67"/>
        <v>0</v>
      </c>
      <c r="AK35" s="260">
        <f t="shared" si="68"/>
        <v>0</v>
      </c>
      <c r="AL35" s="260">
        <f t="shared" si="69"/>
        <v>0</v>
      </c>
      <c r="AM35" s="260">
        <f t="shared" si="70"/>
        <v>0</v>
      </c>
      <c r="AN35" s="260">
        <f t="shared" si="71"/>
        <v>0</v>
      </c>
      <c r="AO35" s="260">
        <f t="shared" si="72"/>
        <v>0</v>
      </c>
      <c r="AP35" s="260">
        <f t="shared" si="21"/>
        <v>0</v>
      </c>
      <c r="AQ35" s="260">
        <f t="shared" si="22"/>
        <v>0</v>
      </c>
      <c r="AR35" s="260">
        <f t="shared" si="23"/>
        <v>0</v>
      </c>
      <c r="AS35" s="260">
        <f t="shared" si="24"/>
        <v>0</v>
      </c>
      <c r="AT35" s="260">
        <f t="shared" si="73"/>
        <v>0</v>
      </c>
      <c r="AU35" s="260">
        <f t="shared" si="74"/>
        <v>0</v>
      </c>
      <c r="AV35" s="260">
        <f t="shared" si="25"/>
        <v>0</v>
      </c>
      <c r="AW35" s="260">
        <f t="shared" si="26"/>
        <v>0</v>
      </c>
      <c r="AX35" s="260">
        <f t="shared" si="27"/>
        <v>0</v>
      </c>
      <c r="AY35" s="260">
        <f t="shared" si="28"/>
        <v>0</v>
      </c>
      <c r="AZ35" s="260">
        <f t="shared" si="29"/>
        <v>0</v>
      </c>
      <c r="BA35" s="260">
        <f t="shared" si="30"/>
        <v>0</v>
      </c>
      <c r="BB35" s="260">
        <f t="shared" si="31"/>
        <v>0</v>
      </c>
      <c r="BC35" s="260">
        <f t="shared" si="32"/>
        <v>0</v>
      </c>
      <c r="BD35" s="260">
        <f t="shared" si="33"/>
        <v>0</v>
      </c>
      <c r="BE35" s="260">
        <f t="shared" si="34"/>
        <v>0</v>
      </c>
      <c r="BF35" s="260">
        <f t="shared" si="35"/>
        <v>0</v>
      </c>
      <c r="BG35" s="260">
        <f t="shared" si="36"/>
        <v>0</v>
      </c>
      <c r="BH35" s="260">
        <f t="shared" si="75"/>
        <v>0</v>
      </c>
      <c r="BI35" s="260">
        <f t="shared" si="76"/>
        <v>0</v>
      </c>
      <c r="BJ35" s="260">
        <f t="shared" si="37"/>
        <v>0</v>
      </c>
      <c r="BK35" s="260">
        <f t="shared" si="38"/>
        <v>0</v>
      </c>
      <c r="BL35" s="260">
        <f t="shared" si="39"/>
        <v>0</v>
      </c>
      <c r="BM35" s="260">
        <f t="shared" si="40"/>
        <v>0</v>
      </c>
      <c r="BN35" s="260">
        <f t="shared" si="41"/>
        <v>0</v>
      </c>
      <c r="BO35" s="260">
        <f t="shared" si="42"/>
        <v>0</v>
      </c>
      <c r="BP35" s="260">
        <f t="shared" si="77"/>
        <v>0</v>
      </c>
      <c r="BQ35" s="260">
        <f t="shared" si="78"/>
        <v>0</v>
      </c>
      <c r="BR35" s="260">
        <f t="shared" si="43"/>
        <v>0</v>
      </c>
      <c r="BS35" s="260">
        <f t="shared" si="44"/>
        <v>0</v>
      </c>
      <c r="BT35" s="260">
        <f t="shared" si="79"/>
        <v>0</v>
      </c>
      <c r="BU35" s="260">
        <f t="shared" si="80"/>
        <v>0</v>
      </c>
      <c r="BV35" s="260">
        <f t="shared" si="81"/>
        <v>0</v>
      </c>
      <c r="BW35" s="260">
        <f t="shared" si="82"/>
        <v>0</v>
      </c>
      <c r="BX35" s="260">
        <f t="shared" si="45"/>
        <v>0</v>
      </c>
      <c r="BY35" s="260">
        <f t="shared" si="46"/>
        <v>0</v>
      </c>
      <c r="BZ35" s="260">
        <f t="shared" si="47"/>
        <v>0</v>
      </c>
      <c r="CA35" s="260">
        <f t="shared" si="48"/>
        <v>0</v>
      </c>
      <c r="CB35" s="260">
        <f t="shared" si="49"/>
        <v>0</v>
      </c>
      <c r="CC35" s="260">
        <f t="shared" si="50"/>
        <v>0</v>
      </c>
      <c r="CD35" s="260">
        <f t="shared" si="83"/>
        <v>0</v>
      </c>
      <c r="CE35" s="260">
        <f t="shared" si="84"/>
        <v>0</v>
      </c>
      <c r="CF35" s="260">
        <f t="shared" si="85"/>
        <v>0</v>
      </c>
      <c r="CG35" s="260">
        <f t="shared" si="86"/>
        <v>0</v>
      </c>
      <c r="CH35" s="260">
        <f t="shared" si="51"/>
        <v>0</v>
      </c>
      <c r="CI35" s="260">
        <f t="shared" si="52"/>
        <v>0</v>
      </c>
      <c r="CJ35" s="260">
        <f t="shared" si="87"/>
        <v>0</v>
      </c>
      <c r="CK35" s="260">
        <f t="shared" si="88"/>
        <v>0</v>
      </c>
      <c r="CL35" s="260">
        <f t="shared" si="53"/>
        <v>0</v>
      </c>
      <c r="CM35" s="260">
        <f t="shared" si="54"/>
        <v>0</v>
      </c>
      <c r="CN35" s="260">
        <f t="shared" si="55"/>
        <v>0</v>
      </c>
      <c r="CO35" s="260">
        <f t="shared" si="56"/>
        <v>0</v>
      </c>
      <c r="CP35" s="260">
        <f t="shared" si="89"/>
        <v>0</v>
      </c>
      <c r="CQ35" s="260">
        <f t="shared" si="90"/>
        <v>0</v>
      </c>
      <c r="CR35" s="260">
        <f t="shared" si="91"/>
        <v>0</v>
      </c>
      <c r="CS35" s="260">
        <f t="shared" si="92"/>
        <v>0</v>
      </c>
      <c r="CT35" s="260">
        <f t="shared" si="57"/>
        <v>0</v>
      </c>
      <c r="CU35" s="260">
        <f t="shared" si="58"/>
        <v>0</v>
      </c>
      <c r="CV35" s="260">
        <f t="shared" si="59"/>
        <v>0</v>
      </c>
      <c r="CW35" s="260">
        <f t="shared" si="60"/>
        <v>0</v>
      </c>
      <c r="CX35" s="260">
        <f t="shared" si="93"/>
        <v>0</v>
      </c>
      <c r="CY35" s="260">
        <f t="shared" si="94"/>
        <v>0</v>
      </c>
      <c r="CZ35" s="260">
        <f t="shared" si="95"/>
        <v>0</v>
      </c>
      <c r="DA35" s="260">
        <f t="shared" si="96"/>
        <v>0</v>
      </c>
    </row>
    <row r="36" spans="1:105" s="257" customFormat="1" ht="15.75" customHeight="1">
      <c r="A36" s="60" t="str">
        <f t="array" ref="A36">IF(C36&lt;&gt;0,SUM(($C$11:C36&lt;&gt;0)*1),"")</f>
        <v/>
      </c>
      <c r="B36" s="258"/>
      <c r="C36" s="258"/>
      <c r="D36" s="258"/>
      <c r="E36" s="337"/>
      <c r="F36" s="309"/>
      <c r="G36" s="311"/>
      <c r="H36" s="311"/>
      <c r="I36" s="60" t="str">
        <f t="shared" si="97"/>
        <v/>
      </c>
      <c r="J36" s="260">
        <f t="shared" si="61"/>
        <v>0</v>
      </c>
      <c r="K36" s="260">
        <f t="shared" si="62"/>
        <v>0</v>
      </c>
      <c r="L36" s="260">
        <f t="shared" si="1"/>
        <v>0</v>
      </c>
      <c r="M36" s="260">
        <f t="shared" si="2"/>
        <v>0</v>
      </c>
      <c r="N36" s="260">
        <f t="shared" si="3"/>
        <v>0</v>
      </c>
      <c r="O36" s="260">
        <f t="shared" si="4"/>
        <v>0</v>
      </c>
      <c r="P36" s="260">
        <f t="shared" si="5"/>
        <v>0</v>
      </c>
      <c r="Q36" s="260">
        <f t="shared" si="6"/>
        <v>0</v>
      </c>
      <c r="R36" s="260">
        <f t="shared" si="7"/>
        <v>0</v>
      </c>
      <c r="S36" s="260">
        <f t="shared" si="8"/>
        <v>0</v>
      </c>
      <c r="T36" s="260">
        <f t="shared" si="9"/>
        <v>0</v>
      </c>
      <c r="U36" s="260">
        <f t="shared" si="10"/>
        <v>0</v>
      </c>
      <c r="V36" s="260">
        <f t="shared" si="11"/>
        <v>0</v>
      </c>
      <c r="W36" s="260">
        <f t="shared" si="12"/>
        <v>0</v>
      </c>
      <c r="X36" s="260">
        <f t="shared" si="13"/>
        <v>0</v>
      </c>
      <c r="Y36" s="260">
        <f t="shared" si="14"/>
        <v>0</v>
      </c>
      <c r="Z36" s="260">
        <f t="shared" si="15"/>
        <v>0</v>
      </c>
      <c r="AA36" s="260">
        <f t="shared" si="16"/>
        <v>0</v>
      </c>
      <c r="AB36" s="260">
        <f t="shared" si="63"/>
        <v>0</v>
      </c>
      <c r="AC36" s="260">
        <f t="shared" si="64"/>
        <v>0</v>
      </c>
      <c r="AD36" s="260">
        <f t="shared" si="17"/>
        <v>0</v>
      </c>
      <c r="AE36" s="260">
        <f t="shared" si="18"/>
        <v>0</v>
      </c>
      <c r="AF36" s="260">
        <f t="shared" si="19"/>
        <v>0</v>
      </c>
      <c r="AG36" s="260">
        <f t="shared" si="20"/>
        <v>0</v>
      </c>
      <c r="AH36" s="260">
        <f t="shared" si="65"/>
        <v>0</v>
      </c>
      <c r="AI36" s="260">
        <f t="shared" si="66"/>
        <v>0</v>
      </c>
      <c r="AJ36" s="260">
        <f t="shared" si="67"/>
        <v>0</v>
      </c>
      <c r="AK36" s="260">
        <f t="shared" si="68"/>
        <v>0</v>
      </c>
      <c r="AL36" s="260">
        <f t="shared" si="69"/>
        <v>0</v>
      </c>
      <c r="AM36" s="260">
        <f t="shared" si="70"/>
        <v>0</v>
      </c>
      <c r="AN36" s="260">
        <f t="shared" si="71"/>
        <v>0</v>
      </c>
      <c r="AO36" s="260">
        <f t="shared" si="72"/>
        <v>0</v>
      </c>
      <c r="AP36" s="260">
        <f t="shared" si="21"/>
        <v>0</v>
      </c>
      <c r="AQ36" s="260">
        <f t="shared" si="22"/>
        <v>0</v>
      </c>
      <c r="AR36" s="260">
        <f t="shared" si="23"/>
        <v>0</v>
      </c>
      <c r="AS36" s="260">
        <f t="shared" si="24"/>
        <v>0</v>
      </c>
      <c r="AT36" s="260">
        <f t="shared" si="73"/>
        <v>0</v>
      </c>
      <c r="AU36" s="260">
        <f t="shared" si="74"/>
        <v>0</v>
      </c>
      <c r="AV36" s="260">
        <f t="shared" si="25"/>
        <v>0</v>
      </c>
      <c r="AW36" s="260">
        <f t="shared" si="26"/>
        <v>0</v>
      </c>
      <c r="AX36" s="260">
        <f t="shared" si="27"/>
        <v>0</v>
      </c>
      <c r="AY36" s="260">
        <f t="shared" si="28"/>
        <v>0</v>
      </c>
      <c r="AZ36" s="260">
        <f t="shared" si="29"/>
        <v>0</v>
      </c>
      <c r="BA36" s="260">
        <f t="shared" si="30"/>
        <v>0</v>
      </c>
      <c r="BB36" s="260">
        <f t="shared" si="31"/>
        <v>0</v>
      </c>
      <c r="BC36" s="260">
        <f t="shared" si="32"/>
        <v>0</v>
      </c>
      <c r="BD36" s="260">
        <f t="shared" si="33"/>
        <v>0</v>
      </c>
      <c r="BE36" s="260">
        <f t="shared" si="34"/>
        <v>0</v>
      </c>
      <c r="BF36" s="260">
        <f t="shared" si="35"/>
        <v>0</v>
      </c>
      <c r="BG36" s="260">
        <f t="shared" si="36"/>
        <v>0</v>
      </c>
      <c r="BH36" s="260">
        <f t="shared" si="75"/>
        <v>0</v>
      </c>
      <c r="BI36" s="260">
        <f t="shared" si="76"/>
        <v>0</v>
      </c>
      <c r="BJ36" s="260">
        <f t="shared" si="37"/>
        <v>0</v>
      </c>
      <c r="BK36" s="260">
        <f t="shared" si="38"/>
        <v>0</v>
      </c>
      <c r="BL36" s="260">
        <f t="shared" si="39"/>
        <v>0</v>
      </c>
      <c r="BM36" s="260">
        <f t="shared" si="40"/>
        <v>0</v>
      </c>
      <c r="BN36" s="260">
        <f t="shared" si="41"/>
        <v>0</v>
      </c>
      <c r="BO36" s="260">
        <f t="shared" si="42"/>
        <v>0</v>
      </c>
      <c r="BP36" s="260">
        <f t="shared" si="77"/>
        <v>0</v>
      </c>
      <c r="BQ36" s="260">
        <f t="shared" si="78"/>
        <v>0</v>
      </c>
      <c r="BR36" s="260">
        <f t="shared" si="43"/>
        <v>0</v>
      </c>
      <c r="BS36" s="260">
        <f t="shared" si="44"/>
        <v>0</v>
      </c>
      <c r="BT36" s="260">
        <f t="shared" si="79"/>
        <v>0</v>
      </c>
      <c r="BU36" s="260">
        <f t="shared" si="80"/>
        <v>0</v>
      </c>
      <c r="BV36" s="260">
        <f t="shared" si="81"/>
        <v>0</v>
      </c>
      <c r="BW36" s="260">
        <f t="shared" si="82"/>
        <v>0</v>
      </c>
      <c r="BX36" s="260">
        <f t="shared" si="45"/>
        <v>0</v>
      </c>
      <c r="BY36" s="260">
        <f t="shared" si="46"/>
        <v>0</v>
      </c>
      <c r="BZ36" s="260">
        <f t="shared" si="47"/>
        <v>0</v>
      </c>
      <c r="CA36" s="260">
        <f t="shared" si="48"/>
        <v>0</v>
      </c>
      <c r="CB36" s="260">
        <f t="shared" si="49"/>
        <v>0</v>
      </c>
      <c r="CC36" s="260">
        <f t="shared" si="50"/>
        <v>0</v>
      </c>
      <c r="CD36" s="260">
        <f t="shared" si="83"/>
        <v>0</v>
      </c>
      <c r="CE36" s="260">
        <f t="shared" si="84"/>
        <v>0</v>
      </c>
      <c r="CF36" s="260">
        <f t="shared" si="85"/>
        <v>0</v>
      </c>
      <c r="CG36" s="260">
        <f t="shared" si="86"/>
        <v>0</v>
      </c>
      <c r="CH36" s="260">
        <f t="shared" si="51"/>
        <v>0</v>
      </c>
      <c r="CI36" s="260">
        <f t="shared" si="52"/>
        <v>0</v>
      </c>
      <c r="CJ36" s="260">
        <f t="shared" si="87"/>
        <v>0</v>
      </c>
      <c r="CK36" s="260">
        <f t="shared" si="88"/>
        <v>0</v>
      </c>
      <c r="CL36" s="260">
        <f t="shared" si="53"/>
        <v>0</v>
      </c>
      <c r="CM36" s="260">
        <f t="shared" si="54"/>
        <v>0</v>
      </c>
      <c r="CN36" s="260">
        <f t="shared" si="55"/>
        <v>0</v>
      </c>
      <c r="CO36" s="260">
        <f t="shared" si="56"/>
        <v>0</v>
      </c>
      <c r="CP36" s="260">
        <f t="shared" si="89"/>
        <v>0</v>
      </c>
      <c r="CQ36" s="260">
        <f t="shared" si="90"/>
        <v>0</v>
      </c>
      <c r="CR36" s="260">
        <f t="shared" si="91"/>
        <v>0</v>
      </c>
      <c r="CS36" s="260">
        <f t="shared" si="92"/>
        <v>0</v>
      </c>
      <c r="CT36" s="260">
        <f t="shared" si="57"/>
        <v>0</v>
      </c>
      <c r="CU36" s="260">
        <f t="shared" si="58"/>
        <v>0</v>
      </c>
      <c r="CV36" s="260">
        <f t="shared" si="59"/>
        <v>0</v>
      </c>
      <c r="CW36" s="260">
        <f t="shared" si="60"/>
        <v>0</v>
      </c>
      <c r="CX36" s="260">
        <f t="shared" si="93"/>
        <v>0</v>
      </c>
      <c r="CY36" s="260">
        <f t="shared" si="94"/>
        <v>0</v>
      </c>
      <c r="CZ36" s="260">
        <f t="shared" si="95"/>
        <v>0</v>
      </c>
      <c r="DA36" s="260">
        <f t="shared" si="96"/>
        <v>0</v>
      </c>
    </row>
    <row r="37" spans="1:105" s="257" customFormat="1" ht="15.75" customHeight="1">
      <c r="A37" s="60" t="str">
        <f t="array" ref="A37">IF(C37&lt;&gt;0,SUM(($C$11:C37&lt;&gt;0)*1),"")</f>
        <v/>
      </c>
      <c r="B37" s="258"/>
      <c r="C37" s="258"/>
      <c r="D37" s="258"/>
      <c r="E37" s="337"/>
      <c r="F37" s="309"/>
      <c r="G37" s="311"/>
      <c r="H37" s="311"/>
      <c r="I37" s="60" t="str">
        <f t="shared" si="97"/>
        <v/>
      </c>
      <c r="J37" s="260">
        <f t="shared" si="61"/>
        <v>0</v>
      </c>
      <c r="K37" s="260">
        <f t="shared" si="62"/>
        <v>0</v>
      </c>
      <c r="L37" s="260">
        <f t="shared" si="1"/>
        <v>0</v>
      </c>
      <c r="M37" s="260">
        <f t="shared" si="2"/>
        <v>0</v>
      </c>
      <c r="N37" s="260">
        <f t="shared" si="3"/>
        <v>0</v>
      </c>
      <c r="O37" s="260">
        <f t="shared" si="4"/>
        <v>0</v>
      </c>
      <c r="P37" s="260">
        <f t="shared" si="5"/>
        <v>0</v>
      </c>
      <c r="Q37" s="260">
        <f t="shared" si="6"/>
        <v>0</v>
      </c>
      <c r="R37" s="260">
        <f t="shared" si="7"/>
        <v>0</v>
      </c>
      <c r="S37" s="260">
        <f t="shared" si="8"/>
        <v>0</v>
      </c>
      <c r="T37" s="260">
        <f t="shared" si="9"/>
        <v>0</v>
      </c>
      <c r="U37" s="260">
        <f t="shared" si="10"/>
        <v>0</v>
      </c>
      <c r="V37" s="260">
        <f t="shared" si="11"/>
        <v>0</v>
      </c>
      <c r="W37" s="260">
        <f t="shared" si="12"/>
        <v>0</v>
      </c>
      <c r="X37" s="260">
        <f t="shared" si="13"/>
        <v>0</v>
      </c>
      <c r="Y37" s="260">
        <f t="shared" si="14"/>
        <v>0</v>
      </c>
      <c r="Z37" s="260">
        <f t="shared" si="15"/>
        <v>0</v>
      </c>
      <c r="AA37" s="260">
        <f t="shared" si="16"/>
        <v>0</v>
      </c>
      <c r="AB37" s="260">
        <f t="shared" si="63"/>
        <v>0</v>
      </c>
      <c r="AC37" s="260">
        <f t="shared" si="64"/>
        <v>0</v>
      </c>
      <c r="AD37" s="260">
        <f t="shared" si="17"/>
        <v>0</v>
      </c>
      <c r="AE37" s="260">
        <f t="shared" si="18"/>
        <v>0</v>
      </c>
      <c r="AF37" s="260">
        <f t="shared" si="19"/>
        <v>0</v>
      </c>
      <c r="AG37" s="260">
        <f t="shared" si="20"/>
        <v>0</v>
      </c>
      <c r="AH37" s="260">
        <f t="shared" si="65"/>
        <v>0</v>
      </c>
      <c r="AI37" s="260">
        <f t="shared" si="66"/>
        <v>0</v>
      </c>
      <c r="AJ37" s="260">
        <f t="shared" si="67"/>
        <v>0</v>
      </c>
      <c r="AK37" s="260">
        <f t="shared" si="68"/>
        <v>0</v>
      </c>
      <c r="AL37" s="260">
        <f t="shared" si="69"/>
        <v>0</v>
      </c>
      <c r="AM37" s="260">
        <f t="shared" si="70"/>
        <v>0</v>
      </c>
      <c r="AN37" s="260">
        <f t="shared" si="71"/>
        <v>0</v>
      </c>
      <c r="AO37" s="260">
        <f t="shared" si="72"/>
        <v>0</v>
      </c>
      <c r="AP37" s="260">
        <f t="shared" si="21"/>
        <v>0</v>
      </c>
      <c r="AQ37" s="260">
        <f t="shared" si="22"/>
        <v>0</v>
      </c>
      <c r="AR37" s="260">
        <f t="shared" si="23"/>
        <v>0</v>
      </c>
      <c r="AS37" s="260">
        <f t="shared" si="24"/>
        <v>0</v>
      </c>
      <c r="AT37" s="260">
        <f t="shared" si="73"/>
        <v>0</v>
      </c>
      <c r="AU37" s="260">
        <f t="shared" si="74"/>
        <v>0</v>
      </c>
      <c r="AV37" s="260">
        <f t="shared" si="25"/>
        <v>0</v>
      </c>
      <c r="AW37" s="260">
        <f t="shared" si="26"/>
        <v>0</v>
      </c>
      <c r="AX37" s="260">
        <f t="shared" si="27"/>
        <v>0</v>
      </c>
      <c r="AY37" s="260">
        <f t="shared" si="28"/>
        <v>0</v>
      </c>
      <c r="AZ37" s="260">
        <f t="shared" si="29"/>
        <v>0</v>
      </c>
      <c r="BA37" s="260">
        <f t="shared" si="30"/>
        <v>0</v>
      </c>
      <c r="BB37" s="260">
        <f t="shared" si="31"/>
        <v>0</v>
      </c>
      <c r="BC37" s="260">
        <f t="shared" si="32"/>
        <v>0</v>
      </c>
      <c r="BD37" s="260">
        <f t="shared" si="33"/>
        <v>0</v>
      </c>
      <c r="BE37" s="260">
        <f t="shared" si="34"/>
        <v>0</v>
      </c>
      <c r="BF37" s="260">
        <f t="shared" si="35"/>
        <v>0</v>
      </c>
      <c r="BG37" s="260">
        <f t="shared" si="36"/>
        <v>0</v>
      </c>
      <c r="BH37" s="260">
        <f t="shared" si="75"/>
        <v>0</v>
      </c>
      <c r="BI37" s="260">
        <f t="shared" si="76"/>
        <v>0</v>
      </c>
      <c r="BJ37" s="260">
        <f t="shared" si="37"/>
        <v>0</v>
      </c>
      <c r="BK37" s="260">
        <f t="shared" si="38"/>
        <v>0</v>
      </c>
      <c r="BL37" s="260">
        <f t="shared" si="39"/>
        <v>0</v>
      </c>
      <c r="BM37" s="260">
        <f t="shared" si="40"/>
        <v>0</v>
      </c>
      <c r="BN37" s="260">
        <f t="shared" si="41"/>
        <v>0</v>
      </c>
      <c r="BO37" s="260">
        <f t="shared" si="42"/>
        <v>0</v>
      </c>
      <c r="BP37" s="260">
        <f t="shared" si="77"/>
        <v>0</v>
      </c>
      <c r="BQ37" s="260">
        <f t="shared" si="78"/>
        <v>0</v>
      </c>
      <c r="BR37" s="260">
        <f t="shared" si="43"/>
        <v>0</v>
      </c>
      <c r="BS37" s="260">
        <f t="shared" si="44"/>
        <v>0</v>
      </c>
      <c r="BT37" s="260">
        <f t="shared" si="79"/>
        <v>0</v>
      </c>
      <c r="BU37" s="260">
        <f t="shared" si="80"/>
        <v>0</v>
      </c>
      <c r="BV37" s="260">
        <f t="shared" si="81"/>
        <v>0</v>
      </c>
      <c r="BW37" s="260">
        <f t="shared" si="82"/>
        <v>0</v>
      </c>
      <c r="BX37" s="260">
        <f t="shared" si="45"/>
        <v>0</v>
      </c>
      <c r="BY37" s="260">
        <f t="shared" si="46"/>
        <v>0</v>
      </c>
      <c r="BZ37" s="260">
        <f t="shared" si="47"/>
        <v>0</v>
      </c>
      <c r="CA37" s="260">
        <f t="shared" si="48"/>
        <v>0</v>
      </c>
      <c r="CB37" s="260">
        <f t="shared" si="49"/>
        <v>0</v>
      </c>
      <c r="CC37" s="260">
        <f t="shared" si="50"/>
        <v>0</v>
      </c>
      <c r="CD37" s="260">
        <f t="shared" si="83"/>
        <v>0</v>
      </c>
      <c r="CE37" s="260">
        <f t="shared" si="84"/>
        <v>0</v>
      </c>
      <c r="CF37" s="260">
        <f t="shared" si="85"/>
        <v>0</v>
      </c>
      <c r="CG37" s="260">
        <f t="shared" si="86"/>
        <v>0</v>
      </c>
      <c r="CH37" s="260">
        <f t="shared" si="51"/>
        <v>0</v>
      </c>
      <c r="CI37" s="260">
        <f t="shared" si="52"/>
        <v>0</v>
      </c>
      <c r="CJ37" s="260">
        <f t="shared" si="87"/>
        <v>0</v>
      </c>
      <c r="CK37" s="260">
        <f t="shared" si="88"/>
        <v>0</v>
      </c>
      <c r="CL37" s="260">
        <f t="shared" si="53"/>
        <v>0</v>
      </c>
      <c r="CM37" s="260">
        <f t="shared" si="54"/>
        <v>0</v>
      </c>
      <c r="CN37" s="260">
        <f t="shared" si="55"/>
        <v>0</v>
      </c>
      <c r="CO37" s="260">
        <f t="shared" si="56"/>
        <v>0</v>
      </c>
      <c r="CP37" s="260">
        <f t="shared" si="89"/>
        <v>0</v>
      </c>
      <c r="CQ37" s="260">
        <f t="shared" si="90"/>
        <v>0</v>
      </c>
      <c r="CR37" s="260">
        <f t="shared" si="91"/>
        <v>0</v>
      </c>
      <c r="CS37" s="260">
        <f t="shared" si="92"/>
        <v>0</v>
      </c>
      <c r="CT37" s="260">
        <f t="shared" si="57"/>
        <v>0</v>
      </c>
      <c r="CU37" s="260">
        <f t="shared" si="58"/>
        <v>0</v>
      </c>
      <c r="CV37" s="260">
        <f t="shared" si="59"/>
        <v>0</v>
      </c>
      <c r="CW37" s="260">
        <f t="shared" si="60"/>
        <v>0</v>
      </c>
      <c r="CX37" s="260">
        <f t="shared" si="93"/>
        <v>0</v>
      </c>
      <c r="CY37" s="260">
        <f t="shared" si="94"/>
        <v>0</v>
      </c>
      <c r="CZ37" s="260">
        <f t="shared" si="95"/>
        <v>0</v>
      </c>
      <c r="DA37" s="260">
        <f t="shared" si="96"/>
        <v>0</v>
      </c>
    </row>
    <row r="38" spans="1:105" s="257" customFormat="1" ht="15.75" customHeight="1">
      <c r="A38" s="60" t="str">
        <f t="array" ref="A38">IF(C38&lt;&gt;0,SUM(($C$11:C38&lt;&gt;0)*1),"")</f>
        <v/>
      </c>
      <c r="B38" s="258"/>
      <c r="C38" s="258"/>
      <c r="D38" s="258"/>
      <c r="E38" s="337"/>
      <c r="F38" s="309"/>
      <c r="G38" s="311"/>
      <c r="H38" s="311"/>
      <c r="I38" s="60" t="str">
        <f t="shared" si="97"/>
        <v/>
      </c>
      <c r="J38" s="260">
        <f t="shared" si="61"/>
        <v>0</v>
      </c>
      <c r="K38" s="260">
        <f t="shared" si="62"/>
        <v>0</v>
      </c>
      <c r="L38" s="260">
        <f t="shared" si="1"/>
        <v>0</v>
      </c>
      <c r="M38" s="260">
        <f t="shared" si="2"/>
        <v>0</v>
      </c>
      <c r="N38" s="260">
        <f t="shared" si="3"/>
        <v>0</v>
      </c>
      <c r="O38" s="260">
        <f t="shared" si="4"/>
        <v>0</v>
      </c>
      <c r="P38" s="260">
        <f t="shared" si="5"/>
        <v>0</v>
      </c>
      <c r="Q38" s="260">
        <f t="shared" si="6"/>
        <v>0</v>
      </c>
      <c r="R38" s="260">
        <f t="shared" si="7"/>
        <v>0</v>
      </c>
      <c r="S38" s="260">
        <f t="shared" si="8"/>
        <v>0</v>
      </c>
      <c r="T38" s="260">
        <f t="shared" si="9"/>
        <v>0</v>
      </c>
      <c r="U38" s="260">
        <f t="shared" si="10"/>
        <v>0</v>
      </c>
      <c r="V38" s="260">
        <f t="shared" si="11"/>
        <v>0</v>
      </c>
      <c r="W38" s="260">
        <f t="shared" si="12"/>
        <v>0</v>
      </c>
      <c r="X38" s="260">
        <f t="shared" si="13"/>
        <v>0</v>
      </c>
      <c r="Y38" s="260">
        <f t="shared" si="14"/>
        <v>0</v>
      </c>
      <c r="Z38" s="260">
        <f t="shared" si="15"/>
        <v>0</v>
      </c>
      <c r="AA38" s="260">
        <f t="shared" si="16"/>
        <v>0</v>
      </c>
      <c r="AB38" s="260">
        <f t="shared" si="63"/>
        <v>0</v>
      </c>
      <c r="AC38" s="260">
        <f t="shared" si="64"/>
        <v>0</v>
      </c>
      <c r="AD38" s="260">
        <f t="shared" si="17"/>
        <v>0</v>
      </c>
      <c r="AE38" s="260">
        <f t="shared" si="18"/>
        <v>0</v>
      </c>
      <c r="AF38" s="260">
        <f t="shared" si="19"/>
        <v>0</v>
      </c>
      <c r="AG38" s="260">
        <f t="shared" si="20"/>
        <v>0</v>
      </c>
      <c r="AH38" s="260">
        <f t="shared" si="65"/>
        <v>0</v>
      </c>
      <c r="AI38" s="260">
        <f t="shared" si="66"/>
        <v>0</v>
      </c>
      <c r="AJ38" s="260">
        <f t="shared" si="67"/>
        <v>0</v>
      </c>
      <c r="AK38" s="260">
        <f t="shared" si="68"/>
        <v>0</v>
      </c>
      <c r="AL38" s="260">
        <f t="shared" si="69"/>
        <v>0</v>
      </c>
      <c r="AM38" s="260">
        <f t="shared" si="70"/>
        <v>0</v>
      </c>
      <c r="AN38" s="260">
        <f t="shared" si="71"/>
        <v>0</v>
      </c>
      <c r="AO38" s="260">
        <f t="shared" si="72"/>
        <v>0</v>
      </c>
      <c r="AP38" s="260">
        <f t="shared" si="21"/>
        <v>0</v>
      </c>
      <c r="AQ38" s="260">
        <f t="shared" si="22"/>
        <v>0</v>
      </c>
      <c r="AR38" s="260">
        <f t="shared" si="23"/>
        <v>0</v>
      </c>
      <c r="AS38" s="260">
        <f t="shared" si="24"/>
        <v>0</v>
      </c>
      <c r="AT38" s="260">
        <f t="shared" si="73"/>
        <v>0</v>
      </c>
      <c r="AU38" s="260">
        <f t="shared" si="74"/>
        <v>0</v>
      </c>
      <c r="AV38" s="260">
        <f t="shared" si="25"/>
        <v>0</v>
      </c>
      <c r="AW38" s="260">
        <f t="shared" si="26"/>
        <v>0</v>
      </c>
      <c r="AX38" s="260">
        <f t="shared" si="27"/>
        <v>0</v>
      </c>
      <c r="AY38" s="260">
        <f t="shared" si="28"/>
        <v>0</v>
      </c>
      <c r="AZ38" s="260">
        <f t="shared" si="29"/>
        <v>0</v>
      </c>
      <c r="BA38" s="260">
        <f t="shared" si="30"/>
        <v>0</v>
      </c>
      <c r="BB38" s="260">
        <f t="shared" si="31"/>
        <v>0</v>
      </c>
      <c r="BC38" s="260">
        <f t="shared" si="32"/>
        <v>0</v>
      </c>
      <c r="BD38" s="260">
        <f t="shared" si="33"/>
        <v>0</v>
      </c>
      <c r="BE38" s="260">
        <f t="shared" si="34"/>
        <v>0</v>
      </c>
      <c r="BF38" s="260">
        <f t="shared" si="35"/>
        <v>0</v>
      </c>
      <c r="BG38" s="260">
        <f t="shared" si="36"/>
        <v>0</v>
      </c>
      <c r="BH38" s="260">
        <f t="shared" si="75"/>
        <v>0</v>
      </c>
      <c r="BI38" s="260">
        <f t="shared" si="76"/>
        <v>0</v>
      </c>
      <c r="BJ38" s="260">
        <f t="shared" si="37"/>
        <v>0</v>
      </c>
      <c r="BK38" s="260">
        <f t="shared" si="38"/>
        <v>0</v>
      </c>
      <c r="BL38" s="260">
        <f t="shared" si="39"/>
        <v>0</v>
      </c>
      <c r="BM38" s="260">
        <f t="shared" si="40"/>
        <v>0</v>
      </c>
      <c r="BN38" s="260">
        <f t="shared" si="41"/>
        <v>0</v>
      </c>
      <c r="BO38" s="260">
        <f t="shared" si="42"/>
        <v>0</v>
      </c>
      <c r="BP38" s="260">
        <f t="shared" si="77"/>
        <v>0</v>
      </c>
      <c r="BQ38" s="260">
        <f t="shared" si="78"/>
        <v>0</v>
      </c>
      <c r="BR38" s="260">
        <f t="shared" si="43"/>
        <v>0</v>
      </c>
      <c r="BS38" s="260">
        <f t="shared" si="44"/>
        <v>0</v>
      </c>
      <c r="BT38" s="260">
        <f t="shared" si="79"/>
        <v>0</v>
      </c>
      <c r="BU38" s="260">
        <f t="shared" si="80"/>
        <v>0</v>
      </c>
      <c r="BV38" s="260">
        <f t="shared" si="81"/>
        <v>0</v>
      </c>
      <c r="BW38" s="260">
        <f t="shared" si="82"/>
        <v>0</v>
      </c>
      <c r="BX38" s="260">
        <f t="shared" si="45"/>
        <v>0</v>
      </c>
      <c r="BY38" s="260">
        <f t="shared" si="46"/>
        <v>0</v>
      </c>
      <c r="BZ38" s="260">
        <f t="shared" si="47"/>
        <v>0</v>
      </c>
      <c r="CA38" s="260">
        <f t="shared" si="48"/>
        <v>0</v>
      </c>
      <c r="CB38" s="260">
        <f t="shared" si="49"/>
        <v>0</v>
      </c>
      <c r="CC38" s="260">
        <f t="shared" si="50"/>
        <v>0</v>
      </c>
      <c r="CD38" s="260">
        <f t="shared" si="83"/>
        <v>0</v>
      </c>
      <c r="CE38" s="260">
        <f t="shared" si="84"/>
        <v>0</v>
      </c>
      <c r="CF38" s="260">
        <f t="shared" si="85"/>
        <v>0</v>
      </c>
      <c r="CG38" s="260">
        <f t="shared" si="86"/>
        <v>0</v>
      </c>
      <c r="CH38" s="260">
        <f t="shared" si="51"/>
        <v>0</v>
      </c>
      <c r="CI38" s="260">
        <f t="shared" si="52"/>
        <v>0</v>
      </c>
      <c r="CJ38" s="260">
        <f t="shared" si="87"/>
        <v>0</v>
      </c>
      <c r="CK38" s="260">
        <f t="shared" si="88"/>
        <v>0</v>
      </c>
      <c r="CL38" s="260">
        <f t="shared" si="53"/>
        <v>0</v>
      </c>
      <c r="CM38" s="260">
        <f t="shared" si="54"/>
        <v>0</v>
      </c>
      <c r="CN38" s="260">
        <f t="shared" si="55"/>
        <v>0</v>
      </c>
      <c r="CO38" s="260">
        <f t="shared" si="56"/>
        <v>0</v>
      </c>
      <c r="CP38" s="260">
        <f t="shared" si="89"/>
        <v>0</v>
      </c>
      <c r="CQ38" s="260">
        <f t="shared" si="90"/>
        <v>0</v>
      </c>
      <c r="CR38" s="260">
        <f t="shared" si="91"/>
        <v>0</v>
      </c>
      <c r="CS38" s="260">
        <f t="shared" si="92"/>
        <v>0</v>
      </c>
      <c r="CT38" s="260">
        <f t="shared" si="57"/>
        <v>0</v>
      </c>
      <c r="CU38" s="260">
        <f t="shared" si="58"/>
        <v>0</v>
      </c>
      <c r="CV38" s="260">
        <f t="shared" si="59"/>
        <v>0</v>
      </c>
      <c r="CW38" s="260">
        <f t="shared" si="60"/>
        <v>0</v>
      </c>
      <c r="CX38" s="260">
        <f t="shared" si="93"/>
        <v>0</v>
      </c>
      <c r="CY38" s="260">
        <f t="shared" si="94"/>
        <v>0</v>
      </c>
      <c r="CZ38" s="260">
        <f t="shared" si="95"/>
        <v>0</v>
      </c>
      <c r="DA38" s="260">
        <f t="shared" si="96"/>
        <v>0</v>
      </c>
    </row>
    <row r="39" spans="1:105" s="257" customFormat="1" ht="15.75" customHeight="1">
      <c r="A39" s="60" t="str">
        <f t="array" ref="A39">IF(C39&lt;&gt;0,SUM(($C$11:C39&lt;&gt;0)*1),"")</f>
        <v/>
      </c>
      <c r="B39" s="258"/>
      <c r="C39" s="258"/>
      <c r="D39" s="258"/>
      <c r="E39" s="337"/>
      <c r="F39" s="309"/>
      <c r="G39" s="311"/>
      <c r="H39" s="311"/>
      <c r="I39" s="60" t="str">
        <f t="shared" si="97"/>
        <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si="73"/>
        <v>0</v>
      </c>
      <c r="AU39" s="260">
        <f t="shared" si="74"/>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si="81"/>
        <v>0</v>
      </c>
      <c r="BW39" s="260">
        <f t="shared" si="82"/>
        <v>0</v>
      </c>
      <c r="BX39" s="260">
        <f t="shared" si="45"/>
        <v>0</v>
      </c>
      <c r="BY39" s="260">
        <f t="shared" si="46"/>
        <v>0</v>
      </c>
      <c r="BZ39" s="260">
        <f t="shared" si="47"/>
        <v>0</v>
      </c>
      <c r="CA39" s="260">
        <f t="shared" si="48"/>
        <v>0</v>
      </c>
      <c r="CB39" s="260">
        <f t="shared" si="49"/>
        <v>0</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5.75" customHeight="1">
      <c r="A40" s="60">
        <f t="array" aca="1" ref="A40" ca="1">IF(C40&lt;&gt;0,SUM(($C$11:C40&lt;&gt;0)*1),"")</f>
        <v>2</v>
      </c>
      <c r="B40" s="258">
        <v>42643</v>
      </c>
      <c r="C40" s="261" t="s">
        <v>115</v>
      </c>
      <c r="D40" s="261">
        <f t="shared" ref="D40:D50" si="98">B40</f>
        <v>42643</v>
      </c>
      <c r="E40" s="760" t="s">
        <v>590</v>
      </c>
      <c r="F40" s="761">
        <f ca="1">AY52</f>
        <v>0</v>
      </c>
      <c r="G40" s="762" t="s">
        <v>595</v>
      </c>
      <c r="H40" s="762" t="s">
        <v>9</v>
      </c>
      <c r="I40" s="60">
        <f t="shared" ca="1" si="97"/>
        <v>2</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73"/>
        <v>0</v>
      </c>
      <c r="AU40" s="260">
        <f t="shared" si="74"/>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81"/>
        <v>0</v>
      </c>
      <c r="BW40" s="260">
        <f t="shared" si="8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5.75" customHeight="1">
      <c r="A41" s="60">
        <f t="array" aca="1" ref="A41" ca="1">IF(C41&lt;&gt;0,SUM(($C$11:C41&lt;&gt;0)*1),"")</f>
        <v>3</v>
      </c>
      <c r="B41" s="258">
        <v>42643</v>
      </c>
      <c r="C41" s="261" t="s">
        <v>115</v>
      </c>
      <c r="D41" s="261">
        <f t="shared" si="98"/>
        <v>42643</v>
      </c>
      <c r="E41" s="760" t="s">
        <v>591</v>
      </c>
      <c r="F41" s="761">
        <f ca="1">CL52</f>
        <v>0</v>
      </c>
      <c r="G41" s="762" t="s">
        <v>109</v>
      </c>
      <c r="H41" s="762" t="s">
        <v>284</v>
      </c>
      <c r="I41" s="60">
        <f t="shared" ca="1" si="97"/>
        <v>3</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73"/>
        <v>0</v>
      </c>
      <c r="AU41" s="260">
        <f t="shared" si="74"/>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81"/>
        <v>0</v>
      </c>
      <c r="BW41" s="260">
        <f t="shared" si="8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5.75" customHeight="1">
      <c r="A42" s="60">
        <f t="array" aca="1" ref="A42" ca="1">IF(C42&lt;&gt;0,SUM(($C$11:C42&lt;&gt;0)*1),"")</f>
        <v>4</v>
      </c>
      <c r="B42" s="258">
        <v>42643</v>
      </c>
      <c r="C42" s="261" t="s">
        <v>115</v>
      </c>
      <c r="D42" s="261">
        <f t="shared" si="98"/>
        <v>42643</v>
      </c>
      <c r="E42" s="760" t="s">
        <v>116</v>
      </c>
      <c r="F42" s="761">
        <f ca="1">CN52</f>
        <v>0</v>
      </c>
      <c r="G42" s="762" t="s">
        <v>109</v>
      </c>
      <c r="H42" s="762" t="s">
        <v>99</v>
      </c>
      <c r="I42" s="60">
        <f t="shared" ca="1" si="97"/>
        <v>4</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73"/>
        <v>0</v>
      </c>
      <c r="AU42" s="260">
        <f t="shared" si="74"/>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81"/>
        <v>0</v>
      </c>
      <c r="BW42" s="260">
        <f t="shared" si="8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5.75" customHeight="1">
      <c r="A43" s="60">
        <f t="array" aca="1" ref="A43" ca="1">IF(C43&lt;&gt;0,SUM(($C$11:C43&lt;&gt;0)*1),"")</f>
        <v>5</v>
      </c>
      <c r="B43" s="258">
        <v>42643</v>
      </c>
      <c r="C43" s="261" t="s">
        <v>115</v>
      </c>
      <c r="D43" s="261">
        <f t="shared" si="98"/>
        <v>42643</v>
      </c>
      <c r="E43" s="760" t="s">
        <v>592</v>
      </c>
      <c r="F43" s="761">
        <f ca="1">CP52</f>
        <v>0</v>
      </c>
      <c r="G43" s="762" t="s">
        <v>109</v>
      </c>
      <c r="H43" s="762" t="s">
        <v>540</v>
      </c>
      <c r="I43" s="60">
        <f t="shared" ca="1" si="97"/>
        <v>5</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73"/>
        <v>0</v>
      </c>
      <c r="AU43" s="260">
        <f t="shared" si="74"/>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81"/>
        <v>0</v>
      </c>
      <c r="BW43" s="260">
        <f t="shared" si="8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5.75" customHeight="1">
      <c r="A44" s="60">
        <f t="array" aca="1" ref="A44" ca="1">IF(C44&lt;&gt;0,SUM(($C$11:C44&lt;&gt;0)*1),"")</f>
        <v>6</v>
      </c>
      <c r="B44" s="258">
        <v>42643</v>
      </c>
      <c r="C44" s="261" t="s">
        <v>115</v>
      </c>
      <c r="D44" s="261">
        <f t="shared" si="98"/>
        <v>42643</v>
      </c>
      <c r="E44" s="760" t="s">
        <v>117</v>
      </c>
      <c r="F44" s="761">
        <f ca="1">CR52</f>
        <v>0</v>
      </c>
      <c r="G44" s="762" t="s">
        <v>109</v>
      </c>
      <c r="H44" s="762" t="s">
        <v>101</v>
      </c>
      <c r="I44" s="60">
        <f t="shared" ca="1" si="97"/>
        <v>6</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73"/>
        <v>0</v>
      </c>
      <c r="AU44" s="260">
        <f t="shared" si="74"/>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81"/>
        <v>0</v>
      </c>
      <c r="BW44" s="260">
        <f t="shared" si="8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5.75" customHeight="1">
      <c r="A45" s="60">
        <f t="array" aca="1" ref="A45" ca="1">IF(C45&lt;&gt;0,SUM(($C$11:C45&lt;&gt;0)*1),"")</f>
        <v>7</v>
      </c>
      <c r="B45" s="258">
        <v>42643</v>
      </c>
      <c r="C45" s="261" t="s">
        <v>115</v>
      </c>
      <c r="D45" s="261">
        <f t="shared" si="98"/>
        <v>42643</v>
      </c>
      <c r="E45" s="760" t="s">
        <v>212</v>
      </c>
      <c r="F45" s="761"/>
      <c r="G45" s="762" t="s">
        <v>109</v>
      </c>
      <c r="H45" s="762" t="s">
        <v>94</v>
      </c>
      <c r="I45" s="60">
        <f t="shared" ca="1" si="97"/>
        <v>7</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73"/>
        <v>0</v>
      </c>
      <c r="AU45" s="260">
        <f t="shared" si="74"/>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81"/>
        <v>0</v>
      </c>
      <c r="BW45" s="260">
        <f t="shared" si="8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5.75" customHeight="1">
      <c r="A46" s="60">
        <f t="array" aca="1" ref="A46" ca="1">IF(C46&lt;&gt;0,SUM(($C$11:C46&lt;&gt;0)*1),"")</f>
        <v>8</v>
      </c>
      <c r="B46" s="258">
        <v>42643</v>
      </c>
      <c r="C46" s="261" t="s">
        <v>115</v>
      </c>
      <c r="D46" s="261">
        <f t="shared" si="98"/>
        <v>42643</v>
      </c>
      <c r="E46" s="760" t="s">
        <v>118</v>
      </c>
      <c r="F46" s="761">
        <f ca="1">CI52</f>
        <v>0</v>
      </c>
      <c r="G46" s="762" t="s">
        <v>43</v>
      </c>
      <c r="H46" s="762" t="s">
        <v>109</v>
      </c>
      <c r="I46" s="60">
        <f t="shared" ca="1" si="97"/>
        <v>8</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73"/>
        <v>0</v>
      </c>
      <c r="AU46" s="260">
        <f t="shared" si="74"/>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81"/>
        <v>0</v>
      </c>
      <c r="BW46" s="260">
        <f t="shared" si="8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5.75" customHeight="1">
      <c r="A47" s="60">
        <f t="array" aca="1" ref="A47" ca="1">IF(C47&lt;&gt;0,SUM(($C$11:C47&lt;&gt;0)*1),"")</f>
        <v>9</v>
      </c>
      <c r="B47" s="258">
        <v>42643</v>
      </c>
      <c r="C47" s="261" t="s">
        <v>115</v>
      </c>
      <c r="D47" s="261">
        <f t="shared" si="98"/>
        <v>42643</v>
      </c>
      <c r="E47" s="760" t="s">
        <v>593</v>
      </c>
      <c r="F47" s="761">
        <f ca="1">CE52</f>
        <v>0</v>
      </c>
      <c r="G47" s="762" t="s">
        <v>286</v>
      </c>
      <c r="H47" s="762" t="s">
        <v>109</v>
      </c>
      <c r="I47" s="60">
        <f t="shared" ca="1" si="97"/>
        <v>9</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73"/>
        <v>0</v>
      </c>
      <c r="AU47" s="260">
        <f t="shared" si="74"/>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81"/>
        <v>0</v>
      </c>
      <c r="BW47" s="260">
        <f t="shared" si="8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5.75" customHeight="1">
      <c r="A48" s="60">
        <f t="array" aca="1" ref="A48" ca="1">IF(C48&lt;&gt;0,SUM(($C$11:C48&lt;&gt;0)*1),"")</f>
        <v>10</v>
      </c>
      <c r="B48" s="258">
        <v>42643</v>
      </c>
      <c r="C48" s="261" t="s">
        <v>115</v>
      </c>
      <c r="D48" s="261">
        <f t="shared" si="98"/>
        <v>42643</v>
      </c>
      <c r="E48" s="760" t="s">
        <v>594</v>
      </c>
      <c r="F48" s="761">
        <f ca="1">CG52</f>
        <v>0</v>
      </c>
      <c r="G48" s="762" t="s">
        <v>288</v>
      </c>
      <c r="H48" s="762" t="s">
        <v>109</v>
      </c>
      <c r="I48" s="60">
        <f t="shared" ca="1" si="97"/>
        <v>10</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73"/>
        <v>0</v>
      </c>
      <c r="AU48" s="260">
        <f t="shared" si="74"/>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81"/>
        <v>0</v>
      </c>
      <c r="BW48" s="260">
        <f t="shared" si="8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5.75" customHeight="1">
      <c r="A49" s="60">
        <f t="array" aca="1" ref="A49" ca="1">IF(C49&lt;&gt;0,SUM(($C$11:C49&lt;&gt;0)*1),"")</f>
        <v>11</v>
      </c>
      <c r="B49" s="258">
        <v>42643</v>
      </c>
      <c r="C49" s="261" t="s">
        <v>115</v>
      </c>
      <c r="D49" s="261">
        <f t="shared" si="98"/>
        <v>42643</v>
      </c>
      <c r="E49" s="760" t="s">
        <v>119</v>
      </c>
      <c r="F49" s="761">
        <f ca="1">CU52</f>
        <v>0</v>
      </c>
      <c r="G49" s="762" t="s">
        <v>103</v>
      </c>
      <c r="H49" s="762" t="s">
        <v>109</v>
      </c>
      <c r="I49" s="60">
        <f t="shared" ca="1" si="97"/>
        <v>11</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73"/>
        <v>0</v>
      </c>
      <c r="AU49" s="260">
        <f t="shared" si="74"/>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81"/>
        <v>0</v>
      </c>
      <c r="BW49" s="260">
        <f t="shared" si="8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5.75" customHeight="1">
      <c r="A50" s="60">
        <f t="array" aca="1" ref="A50" ca="1">IF(C50&lt;&gt;0,SUM(($C$11:C50&lt;&gt;0)*1),"")</f>
        <v>12</v>
      </c>
      <c r="B50" s="258">
        <v>42643</v>
      </c>
      <c r="C50" s="261" t="s">
        <v>115</v>
      </c>
      <c r="D50" s="261">
        <f t="shared" si="98"/>
        <v>42643</v>
      </c>
      <c r="E50" s="760" t="s">
        <v>120</v>
      </c>
      <c r="F50" s="761">
        <f ca="1">CV52</f>
        <v>0</v>
      </c>
      <c r="G50" s="762" t="s">
        <v>109</v>
      </c>
      <c r="H50" s="762" t="s">
        <v>105</v>
      </c>
      <c r="I50" s="60">
        <f t="shared" ca="1" si="97"/>
        <v>12</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73"/>
        <v>0</v>
      </c>
      <c r="AU50" s="260">
        <f t="shared" si="74"/>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81"/>
        <v>0</v>
      </c>
      <c r="BW50" s="260">
        <f t="shared" si="8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5.75" customHeight="1">
      <c r="A51" s="60" t="str">
        <f t="array" ref="A51">IF(C51&lt;&gt;0,SUM(($C$11:C51&lt;&gt;0)*1),"")</f>
        <v/>
      </c>
      <c r="B51" s="226"/>
      <c r="C51" s="262"/>
      <c r="D51" s="226"/>
      <c r="E51" s="259"/>
      <c r="F51" s="62"/>
      <c r="G51" s="263"/>
      <c r="H51" s="263"/>
      <c r="I51" s="60" t="str">
        <f>A51</f>
        <v/>
      </c>
      <c r="J51" s="260">
        <f>IF($G51="1111",$F51,0)</f>
        <v>0</v>
      </c>
      <c r="K51" s="260">
        <f>IF($H51="1111",$F51,0)</f>
        <v>0</v>
      </c>
      <c r="L51" s="260">
        <f>IF($G51="1121",$F51,0)</f>
        <v>0</v>
      </c>
      <c r="M51" s="260">
        <f>IF($H51="1121",$F51,0)</f>
        <v>0</v>
      </c>
      <c r="N51" s="260">
        <f>IF($G51="1122",$F51,0)</f>
        <v>0</v>
      </c>
      <c r="O51" s="260">
        <f>IF($H51="1122",$F51,0)</f>
        <v>0</v>
      </c>
      <c r="P51" s="260">
        <f>IF($G51="131",$F51,0)</f>
        <v>0</v>
      </c>
      <c r="Q51" s="260">
        <f>IF($H51="131",$F51,0)</f>
        <v>0</v>
      </c>
      <c r="R51" s="260">
        <f>IF($G51="1331",$F51,0)</f>
        <v>0</v>
      </c>
      <c r="S51" s="260">
        <f>IF($H51="1331",$F51,0)</f>
        <v>0</v>
      </c>
      <c r="T51" s="260">
        <f>IF($G51="1388",$F51,0)</f>
        <v>0</v>
      </c>
      <c r="U51" s="260">
        <f>IF($H51="1388",$F51,0)</f>
        <v>0</v>
      </c>
      <c r="V51" s="260">
        <f>IF($G51="141",$F51,0)</f>
        <v>0</v>
      </c>
      <c r="W51" s="260">
        <f>IF($H51="141",$F51,0)</f>
        <v>0</v>
      </c>
      <c r="X51" s="260">
        <f>IF($G51="1521",$F51,0)</f>
        <v>0</v>
      </c>
      <c r="Y51" s="260">
        <f>IF($H51="1521",$F51,0)</f>
        <v>0</v>
      </c>
      <c r="Z51" s="260">
        <f>IF($G51="1522",$F51,0)</f>
        <v>0</v>
      </c>
      <c r="AA51" s="260">
        <f>IF($H51="1522",$F51,0)</f>
        <v>0</v>
      </c>
      <c r="AB51" s="260">
        <f>IF($G51="153",$F51,0)</f>
        <v>0</v>
      </c>
      <c r="AC51" s="260">
        <f>IF($H51="153",$F51,0)</f>
        <v>0</v>
      </c>
      <c r="AD51" s="260">
        <f>IF($G51="154",$F51,0)</f>
        <v>0</v>
      </c>
      <c r="AE51" s="260">
        <f>IF($H51="154",$F51,0)</f>
        <v>0</v>
      </c>
      <c r="AF51" s="260">
        <f>IF($G51="155",$F51,0)</f>
        <v>0</v>
      </c>
      <c r="AG51" s="260">
        <f>IF($H51="155",$F51,0)</f>
        <v>0</v>
      </c>
      <c r="AH51" s="260">
        <f>IF($G51="2111",$F51,0)</f>
        <v>0</v>
      </c>
      <c r="AI51" s="260">
        <f>IF($H51="2111",$F51,0)</f>
        <v>0</v>
      </c>
      <c r="AJ51" s="260">
        <f>IF($G51="2112",$F51,0)</f>
        <v>0</v>
      </c>
      <c r="AK51" s="260">
        <f>IF($H51="2112",$F51,0)</f>
        <v>0</v>
      </c>
      <c r="AL51" s="260">
        <f>IF($G51="2113",$F51,0)</f>
        <v>0</v>
      </c>
      <c r="AM51" s="260">
        <f>IF($H51="2113",$F51,0)</f>
        <v>0</v>
      </c>
      <c r="AN51" s="260">
        <f>IF($G51="2131",$F51,0)</f>
        <v>0</v>
      </c>
      <c r="AO51" s="260">
        <f>IF($H51="2131",$F51,0)</f>
        <v>0</v>
      </c>
      <c r="AP51" s="260">
        <f>IF($G51="2141",$F51,0)</f>
        <v>0</v>
      </c>
      <c r="AQ51" s="260">
        <f>IF($H51="2141",$F51,0)</f>
        <v>0</v>
      </c>
      <c r="AR51" s="260">
        <f>IF($G51="2143",$F51,0)</f>
        <v>0</v>
      </c>
      <c r="AS51" s="260">
        <f>IF($H51="2143",$F51,0)</f>
        <v>0</v>
      </c>
      <c r="AT51" s="260">
        <f>IF($G51="2412",$F51,0)</f>
        <v>0</v>
      </c>
      <c r="AU51" s="260">
        <f>IF($H51="2412",$F51,0)</f>
        <v>0</v>
      </c>
      <c r="AV51" s="260">
        <f>IF($G51="331",$F51,0)</f>
        <v>0</v>
      </c>
      <c r="AW51" s="260">
        <f>IF($H51="331",$F51,0)</f>
        <v>0</v>
      </c>
      <c r="AX51" s="260">
        <f>IF($G51="33311",$F51,0)</f>
        <v>0</v>
      </c>
      <c r="AY51" s="260">
        <f>IF($H51="33311",$F51,0)</f>
        <v>0</v>
      </c>
      <c r="AZ51" s="260">
        <f>IF($G51="33312",$F51,0)</f>
        <v>0</v>
      </c>
      <c r="BA51" s="260">
        <f>IF($H51="33312",$F51,0)</f>
        <v>0</v>
      </c>
      <c r="BB51" s="260">
        <f>IF($G51="3333",$F51,0)</f>
        <v>0</v>
      </c>
      <c r="BC51" s="260">
        <f>IF($H51="3333",$F51,0)</f>
        <v>0</v>
      </c>
      <c r="BD51" s="260">
        <f>IF($G51="3334",$F51,0)</f>
        <v>0</v>
      </c>
      <c r="BE51" s="260">
        <f>IF($H51="3334",$F51,0)</f>
        <v>0</v>
      </c>
      <c r="BF51" s="260">
        <f>IF($G51="3335",$F51,0)</f>
        <v>0</v>
      </c>
      <c r="BG51" s="260">
        <f>IF($H51="3335",$F51,0)</f>
        <v>0</v>
      </c>
      <c r="BH51" s="260">
        <f>IF($G51="33382",$F51,0)</f>
        <v>0</v>
      </c>
      <c r="BI51" s="260">
        <f>IF($H51="33382",$F51,0)</f>
        <v>0</v>
      </c>
      <c r="BJ51" s="260">
        <f>IF($G51="3341",$F51,0)</f>
        <v>0</v>
      </c>
      <c r="BK51" s="260">
        <f>IF($H51="3341",$F51,0)</f>
        <v>0</v>
      </c>
      <c r="BL51" s="260">
        <f>IF($G51="3383",$F51,0)</f>
        <v>0</v>
      </c>
      <c r="BM51" s="260">
        <f>IF($H51="3383",$F51,0)</f>
        <v>0</v>
      </c>
      <c r="BN51" s="260">
        <f>IF($G51="3384",$F51,0)</f>
        <v>0</v>
      </c>
      <c r="BO51" s="260">
        <f>IF($H51="3384",$F51,0)</f>
        <v>0</v>
      </c>
      <c r="BP51" s="260">
        <f>IF($G51="3386",$F51,0)</f>
        <v>0</v>
      </c>
      <c r="BQ51" s="260">
        <f>IF($H51="3386",$F51,0)</f>
        <v>0</v>
      </c>
      <c r="BR51" s="260">
        <f>IF($G51="3388",$F51,0)</f>
        <v>0</v>
      </c>
      <c r="BS51" s="260">
        <f>IF($H51="3388",$F51,0)</f>
        <v>0</v>
      </c>
      <c r="BT51" s="260">
        <f>IF($G51="3411",$F51,0)</f>
        <v>0</v>
      </c>
      <c r="BU51" s="260">
        <f>IF($H51="3411",$F51,0)</f>
        <v>0</v>
      </c>
      <c r="BV51" s="260">
        <f>IF($G51="3412",$F51,0)</f>
        <v>0</v>
      </c>
      <c r="BW51" s="260">
        <f>IF($H51="3412",$F51,0)</f>
        <v>0</v>
      </c>
      <c r="BX51" s="260">
        <f>IF($G51="4111",$F51,0)</f>
        <v>0</v>
      </c>
      <c r="BY51" s="260">
        <f>IF($H51="4111",$F51,0)</f>
        <v>0</v>
      </c>
      <c r="BZ51" s="260">
        <f>IF($G51="4211",$F51,0)</f>
        <v>0</v>
      </c>
      <c r="CA51" s="260">
        <f>IF($H51="4211",$F51,0)</f>
        <v>0</v>
      </c>
      <c r="CB51" s="260">
        <f>IF($G51="4212",$F51,0)</f>
        <v>0</v>
      </c>
      <c r="CC51" s="260">
        <f>IF($H51="4212",$F51,0)</f>
        <v>0</v>
      </c>
      <c r="CD51" s="260">
        <f>IF($G51="5112N",$F51,0)</f>
        <v>0</v>
      </c>
      <c r="CE51" s="260">
        <f>IF($H51="5112N",$F51,0)</f>
        <v>0</v>
      </c>
      <c r="CF51" s="260">
        <f>IF($G51="5112X",$F51,0)</f>
        <v>0</v>
      </c>
      <c r="CG51" s="260">
        <f>IF($H51="5112X",$F51,0)</f>
        <v>0</v>
      </c>
      <c r="CH51" s="260">
        <f>IF($G51="515",$F51,0)</f>
        <v>0</v>
      </c>
      <c r="CI51" s="260">
        <f>IF($H51="515",$F51,0)</f>
        <v>0</v>
      </c>
      <c r="CJ51" s="260">
        <f>IF($G51="5213",$F51,0)</f>
        <v>0</v>
      </c>
      <c r="CK51" s="260">
        <f>IF($H51="5213",$F51,0)</f>
        <v>0</v>
      </c>
      <c r="CL51" s="260">
        <f>IF($G51="632",$F51,0)</f>
        <v>0</v>
      </c>
      <c r="CM51" s="260">
        <f>IF($H51="632",$F51,0)</f>
        <v>0</v>
      </c>
      <c r="CN51" s="260">
        <f>IF($G51="635",$F51,0)</f>
        <v>0</v>
      </c>
      <c r="CO51" s="260">
        <f>IF($H51="635",$F51,0)</f>
        <v>0</v>
      </c>
      <c r="CP51" s="260">
        <f>IF($G51="641",$F51,0)</f>
        <v>0</v>
      </c>
      <c r="CQ51" s="260">
        <f>IF($H51="641",$F51,0)</f>
        <v>0</v>
      </c>
      <c r="CR51" s="260">
        <f>IF($G51="642",$F51,0)</f>
        <v>0</v>
      </c>
      <c r="CS51" s="260">
        <f>IF($H51="642",$F51,0)</f>
        <v>0</v>
      </c>
      <c r="CT51" s="260">
        <f>IF($G51="711",$F51,0)</f>
        <v>0</v>
      </c>
      <c r="CU51" s="260">
        <f>IF($H51="711",$F51,0)</f>
        <v>0</v>
      </c>
      <c r="CV51" s="260">
        <f>IF($G51="811",$F51,0)</f>
        <v>0</v>
      </c>
      <c r="CW51" s="260">
        <f>IF($H51="811",$F51,0)</f>
        <v>0</v>
      </c>
      <c r="CX51" s="260">
        <f>IF($G51="821",$F51,0)</f>
        <v>0</v>
      </c>
      <c r="CY51" s="260">
        <f>IF($H51="821",$F51,0)</f>
        <v>0</v>
      </c>
      <c r="CZ51" s="260">
        <f>IF($G51="911",$F51,0)</f>
        <v>0</v>
      </c>
      <c r="DA51" s="260">
        <f>IF($H51="911",$F51,0)</f>
        <v>0</v>
      </c>
    </row>
    <row r="52" spans="1:105" s="257" customFormat="1" ht="15.75" customHeight="1">
      <c r="A52" s="264"/>
      <c r="B52" s="264"/>
      <c r="C52" s="291"/>
      <c r="D52" s="264"/>
      <c r="E52" s="259" t="s">
        <v>174</v>
      </c>
      <c r="F52" s="264"/>
      <c r="G52" s="263"/>
      <c r="H52" s="263"/>
      <c r="I52" s="264"/>
      <c r="J52" s="264">
        <f t="shared" ref="J52:AO52" ca="1" si="99">SUM(J11:J51)</f>
        <v>0</v>
      </c>
      <c r="K52" s="264">
        <f t="shared" ca="1" si="99"/>
        <v>0</v>
      </c>
      <c r="L52" s="264">
        <f t="shared" ca="1" si="99"/>
        <v>0</v>
      </c>
      <c r="M52" s="264">
        <f t="shared" ca="1" si="99"/>
        <v>0</v>
      </c>
      <c r="N52" s="264">
        <f t="shared" ca="1" si="99"/>
        <v>0</v>
      </c>
      <c r="O52" s="264">
        <f t="shared" ca="1" si="99"/>
        <v>0</v>
      </c>
      <c r="P52" s="264">
        <f t="shared" ca="1" si="99"/>
        <v>0</v>
      </c>
      <c r="Q52" s="264">
        <f t="shared" ca="1" si="99"/>
        <v>0</v>
      </c>
      <c r="R52" s="264">
        <f t="shared" ca="1" si="99"/>
        <v>0</v>
      </c>
      <c r="S52" s="264">
        <f t="shared" ca="1" si="99"/>
        <v>0</v>
      </c>
      <c r="T52" s="264">
        <f t="shared" ca="1" si="99"/>
        <v>0</v>
      </c>
      <c r="U52" s="264">
        <f t="shared" ca="1" si="99"/>
        <v>0</v>
      </c>
      <c r="V52" s="264">
        <f t="shared" ca="1" si="99"/>
        <v>0</v>
      </c>
      <c r="W52" s="264">
        <f t="shared" ca="1" si="99"/>
        <v>0</v>
      </c>
      <c r="X52" s="264">
        <f t="shared" ca="1" si="99"/>
        <v>0</v>
      </c>
      <c r="Y52" s="264">
        <f t="shared" ca="1" si="99"/>
        <v>0</v>
      </c>
      <c r="Z52" s="264">
        <f t="shared" ca="1" si="99"/>
        <v>0</v>
      </c>
      <c r="AA52" s="264">
        <f t="shared" ca="1" si="99"/>
        <v>0</v>
      </c>
      <c r="AB52" s="264">
        <f t="shared" ca="1" si="99"/>
        <v>0</v>
      </c>
      <c r="AC52" s="264">
        <f t="shared" ca="1" si="99"/>
        <v>0</v>
      </c>
      <c r="AD52" s="264">
        <f t="shared" ca="1" si="99"/>
        <v>0</v>
      </c>
      <c r="AE52" s="264">
        <f t="shared" ca="1" si="99"/>
        <v>0</v>
      </c>
      <c r="AF52" s="264">
        <f t="shared" ca="1" si="99"/>
        <v>0</v>
      </c>
      <c r="AG52" s="264">
        <f t="shared" ca="1" si="99"/>
        <v>0</v>
      </c>
      <c r="AH52" s="264">
        <f t="shared" ca="1" si="99"/>
        <v>0</v>
      </c>
      <c r="AI52" s="264">
        <f t="shared" ca="1" si="99"/>
        <v>0</v>
      </c>
      <c r="AJ52" s="264">
        <f t="shared" ca="1" si="99"/>
        <v>0</v>
      </c>
      <c r="AK52" s="264">
        <f t="shared" ca="1" si="99"/>
        <v>0</v>
      </c>
      <c r="AL52" s="264">
        <f t="shared" ca="1" si="99"/>
        <v>0</v>
      </c>
      <c r="AM52" s="264">
        <f t="shared" ca="1" si="99"/>
        <v>0</v>
      </c>
      <c r="AN52" s="264">
        <f t="shared" ca="1" si="99"/>
        <v>0</v>
      </c>
      <c r="AO52" s="264">
        <f t="shared" ca="1" si="99"/>
        <v>0</v>
      </c>
      <c r="AP52" s="264">
        <f t="shared" ref="AP52:BU52" ca="1" si="100">SUM(AP11:AP51)</f>
        <v>0</v>
      </c>
      <c r="AQ52" s="264">
        <f t="shared" ca="1" si="100"/>
        <v>0</v>
      </c>
      <c r="AR52" s="264">
        <f t="shared" ca="1" si="100"/>
        <v>0</v>
      </c>
      <c r="AS52" s="264">
        <f t="shared" ca="1" si="100"/>
        <v>0</v>
      </c>
      <c r="AT52" s="264">
        <f t="shared" ca="1" si="100"/>
        <v>0</v>
      </c>
      <c r="AU52" s="264">
        <f t="shared" ca="1" si="100"/>
        <v>0</v>
      </c>
      <c r="AV52" s="264">
        <f t="shared" ca="1" si="100"/>
        <v>0</v>
      </c>
      <c r="AW52" s="264">
        <f t="shared" ca="1" si="100"/>
        <v>0</v>
      </c>
      <c r="AX52" s="264">
        <f t="shared" ca="1" si="100"/>
        <v>0</v>
      </c>
      <c r="AY52" s="264">
        <f t="shared" ca="1" si="100"/>
        <v>0</v>
      </c>
      <c r="AZ52" s="264">
        <f t="shared" ca="1" si="100"/>
        <v>0</v>
      </c>
      <c r="BA52" s="264">
        <f t="shared" ca="1" si="100"/>
        <v>0</v>
      </c>
      <c r="BB52" s="264">
        <f t="shared" ca="1" si="100"/>
        <v>0</v>
      </c>
      <c r="BC52" s="264">
        <f t="shared" ca="1" si="100"/>
        <v>0</v>
      </c>
      <c r="BD52" s="264">
        <f t="shared" ca="1" si="100"/>
        <v>0</v>
      </c>
      <c r="BE52" s="264">
        <f t="shared" ca="1" si="100"/>
        <v>0</v>
      </c>
      <c r="BF52" s="264">
        <f t="shared" ca="1" si="100"/>
        <v>0</v>
      </c>
      <c r="BG52" s="264">
        <f t="shared" ca="1" si="100"/>
        <v>0</v>
      </c>
      <c r="BH52" s="264">
        <f t="shared" ca="1" si="100"/>
        <v>0</v>
      </c>
      <c r="BI52" s="264">
        <f t="shared" ca="1" si="100"/>
        <v>0</v>
      </c>
      <c r="BJ52" s="264">
        <f t="shared" ca="1" si="100"/>
        <v>0</v>
      </c>
      <c r="BK52" s="264">
        <f t="shared" ca="1" si="100"/>
        <v>0</v>
      </c>
      <c r="BL52" s="264">
        <f t="shared" ca="1" si="100"/>
        <v>0</v>
      </c>
      <c r="BM52" s="264">
        <f t="shared" ca="1" si="100"/>
        <v>0</v>
      </c>
      <c r="BN52" s="264">
        <f t="shared" ca="1" si="100"/>
        <v>0</v>
      </c>
      <c r="BO52" s="264">
        <f t="shared" ca="1" si="100"/>
        <v>0</v>
      </c>
      <c r="BP52" s="264">
        <f t="shared" ca="1" si="100"/>
        <v>0</v>
      </c>
      <c r="BQ52" s="264">
        <f t="shared" ca="1" si="100"/>
        <v>0</v>
      </c>
      <c r="BR52" s="264">
        <f t="shared" ca="1" si="100"/>
        <v>0</v>
      </c>
      <c r="BS52" s="264">
        <f t="shared" ca="1" si="100"/>
        <v>0</v>
      </c>
      <c r="BT52" s="264">
        <f t="shared" ca="1" si="100"/>
        <v>0</v>
      </c>
      <c r="BU52" s="264">
        <f t="shared" ca="1" si="100"/>
        <v>0</v>
      </c>
      <c r="BV52" s="264">
        <f t="shared" ref="BV52:DA52" ca="1" si="101">SUM(BV11:BV51)</f>
        <v>0</v>
      </c>
      <c r="BW52" s="264">
        <f t="shared" ca="1" si="101"/>
        <v>0</v>
      </c>
      <c r="BX52" s="264">
        <f t="shared" ca="1" si="101"/>
        <v>0</v>
      </c>
      <c r="BY52" s="264">
        <f t="shared" ca="1" si="101"/>
        <v>0</v>
      </c>
      <c r="BZ52" s="264">
        <f t="shared" ca="1" si="101"/>
        <v>0</v>
      </c>
      <c r="CA52" s="264">
        <f t="shared" ca="1" si="101"/>
        <v>0</v>
      </c>
      <c r="CB52" s="264">
        <f t="shared" ca="1" si="101"/>
        <v>0</v>
      </c>
      <c r="CC52" s="264">
        <f t="shared" ca="1" si="101"/>
        <v>0</v>
      </c>
      <c r="CD52" s="264">
        <f t="shared" ca="1" si="101"/>
        <v>0</v>
      </c>
      <c r="CE52" s="264">
        <f t="shared" ca="1" si="101"/>
        <v>0</v>
      </c>
      <c r="CF52" s="264">
        <f t="shared" ca="1" si="101"/>
        <v>0</v>
      </c>
      <c r="CG52" s="264">
        <f t="shared" ca="1" si="101"/>
        <v>0</v>
      </c>
      <c r="CH52" s="264">
        <f t="shared" ca="1" si="101"/>
        <v>0</v>
      </c>
      <c r="CI52" s="264">
        <f t="shared" ca="1" si="101"/>
        <v>0</v>
      </c>
      <c r="CJ52" s="264">
        <f t="shared" ca="1" si="101"/>
        <v>0</v>
      </c>
      <c r="CK52" s="264">
        <f t="shared" ca="1" si="101"/>
        <v>0</v>
      </c>
      <c r="CL52" s="264">
        <f t="shared" ca="1" si="101"/>
        <v>0</v>
      </c>
      <c r="CM52" s="264">
        <f t="shared" ca="1" si="101"/>
        <v>0</v>
      </c>
      <c r="CN52" s="264">
        <f t="shared" ca="1" si="101"/>
        <v>0</v>
      </c>
      <c r="CO52" s="264">
        <f t="shared" ca="1" si="101"/>
        <v>0</v>
      </c>
      <c r="CP52" s="264">
        <f t="shared" ca="1" si="101"/>
        <v>0</v>
      </c>
      <c r="CQ52" s="264">
        <f t="shared" ca="1" si="101"/>
        <v>0</v>
      </c>
      <c r="CR52" s="264">
        <f t="shared" ca="1" si="101"/>
        <v>0</v>
      </c>
      <c r="CS52" s="264">
        <f t="shared" ca="1" si="101"/>
        <v>0</v>
      </c>
      <c r="CT52" s="264">
        <f t="shared" ca="1" si="101"/>
        <v>0</v>
      </c>
      <c r="CU52" s="264">
        <f t="shared" ca="1" si="101"/>
        <v>0</v>
      </c>
      <c r="CV52" s="264">
        <f t="shared" ca="1" si="101"/>
        <v>0</v>
      </c>
      <c r="CW52" s="264">
        <f t="shared" ca="1" si="101"/>
        <v>0</v>
      </c>
      <c r="CX52" s="264">
        <f t="shared" ca="1" si="101"/>
        <v>0</v>
      </c>
      <c r="CY52" s="264">
        <f t="shared" ca="1" si="101"/>
        <v>0</v>
      </c>
      <c r="CZ52" s="264">
        <f t="shared" ca="1" si="101"/>
        <v>0</v>
      </c>
      <c r="DA52" s="264">
        <f t="shared" ca="1" si="101"/>
        <v>0</v>
      </c>
    </row>
    <row r="53" spans="1:105" s="257" customFormat="1" ht="15.75" customHeight="1">
      <c r="A53" s="265"/>
      <c r="B53" s="265"/>
      <c r="C53" s="265"/>
      <c r="D53" s="265"/>
      <c r="E53" s="266" t="s">
        <v>213</v>
      </c>
      <c r="F53" s="265"/>
      <c r="G53" s="267"/>
      <c r="H53" s="267"/>
      <c r="I53" s="265"/>
      <c r="J53" s="287">
        <f ca="1">MAX(J10+J52-K10-K52,0)</f>
        <v>0</v>
      </c>
      <c r="K53" s="287">
        <f ca="1">MAX(K10+K52-J10-J52,0)</f>
        <v>0</v>
      </c>
      <c r="L53" s="287">
        <f ca="1">MAX(L10+L52-M10-M52,0)</f>
        <v>0</v>
      </c>
      <c r="M53" s="287">
        <f ca="1">MAX(M10+M52-L10-L52,0)</f>
        <v>0</v>
      </c>
      <c r="N53" s="287">
        <f ca="1">MAX(N10+N52-O10-O52,0)</f>
        <v>0</v>
      </c>
      <c r="O53" s="287">
        <f ca="1">MAX(O10+O52-N10-N52,0)</f>
        <v>0</v>
      </c>
      <c r="P53" s="287">
        <f ca="1">MAX(P10+P52-Q10-Q52,0)</f>
        <v>0</v>
      </c>
      <c r="Q53" s="287">
        <f ca="1">MAX(Q10+Q52-P10-P52,0)</f>
        <v>0</v>
      </c>
      <c r="R53" s="287">
        <f ca="1">MAX(R10+R52-S10-S52,0)</f>
        <v>0</v>
      </c>
      <c r="S53" s="287">
        <f ca="1">MAX(S10+S52-R10-R52,0)</f>
        <v>0</v>
      </c>
      <c r="T53" s="287">
        <f ca="1">MAX(T10+T52-U10-U52,0)</f>
        <v>0</v>
      </c>
      <c r="U53" s="287">
        <f ca="1">MAX(U10+U52-T10-T52,0)</f>
        <v>0</v>
      </c>
      <c r="V53" s="287">
        <f ca="1">MAX(V10+V52-W10-W52,0)</f>
        <v>0</v>
      </c>
      <c r="W53" s="287">
        <f ca="1">MAX(W10+W52-V10-V52,0)</f>
        <v>0</v>
      </c>
      <c r="X53" s="287">
        <f ca="1">MAX(X10+X52-Y10-Y52,0)</f>
        <v>0</v>
      </c>
      <c r="Y53" s="287">
        <f ca="1">MAX(Y10+Y52-X10-X52,0)</f>
        <v>0</v>
      </c>
      <c r="Z53" s="287">
        <f ca="1">MAX(Z10+Z52-AA10-AA52,0)</f>
        <v>0</v>
      </c>
      <c r="AA53" s="287">
        <f ca="1">MAX(AA10+AA52-Z10-Z52,0)</f>
        <v>0</v>
      </c>
      <c r="AB53" s="287">
        <f ca="1">MAX(AB10+AB52-AC10-AC52,0)</f>
        <v>0</v>
      </c>
      <c r="AC53" s="287">
        <f ca="1">MAX(AC10+AC52-AB10-AB52,0)</f>
        <v>0</v>
      </c>
      <c r="AD53" s="287">
        <f ca="1">MAX(AD10+AD52-AE10-AE52,0)</f>
        <v>0</v>
      </c>
      <c r="AE53" s="287">
        <f ca="1">MAX(AE10+AE52-AD10-AD52,0)</f>
        <v>0</v>
      </c>
      <c r="AF53" s="287">
        <f ca="1">MAX(AF10+AF52-AG10-AG52,0)</f>
        <v>0</v>
      </c>
      <c r="AG53" s="287">
        <f ca="1">MAX(AG10+AG52-AF10-AF52,0)</f>
        <v>0</v>
      </c>
      <c r="AH53" s="287">
        <f ca="1">MAX(AH10+AH52-AI10-AI52,0)</f>
        <v>0</v>
      </c>
      <c r="AI53" s="287">
        <f ca="1">MAX(AI10+AI52-AH10-AH52,0)</f>
        <v>0</v>
      </c>
      <c r="AJ53" s="287">
        <f ca="1">MAX(AJ10+AJ52-AK10-AK52,0)</f>
        <v>0</v>
      </c>
      <c r="AK53" s="287">
        <f ca="1">MAX(AK10+AK52-AJ10-AJ52,0)</f>
        <v>0</v>
      </c>
      <c r="AL53" s="287">
        <f ca="1">MAX(AL10+AL52-AM10-AM52,0)</f>
        <v>0</v>
      </c>
      <c r="AM53" s="287">
        <f ca="1">MAX(AM10+AM52-AL10-AL52,0)</f>
        <v>0</v>
      </c>
      <c r="AN53" s="287">
        <f ca="1">MAX(AN10+AN52-AO10-AO52,0)</f>
        <v>0</v>
      </c>
      <c r="AO53" s="287">
        <f ca="1">MAX(AO10+AO52-AN10-AN52,0)</f>
        <v>0</v>
      </c>
      <c r="AP53" s="287">
        <f ca="1">MAX(AP10+AP52-AQ10-AQ52,0)</f>
        <v>0</v>
      </c>
      <c r="AQ53" s="287">
        <f ca="1">MAX(AQ10+AQ52-AP10-AP52,0)</f>
        <v>0</v>
      </c>
      <c r="AR53" s="287">
        <f ca="1">MAX(AR10+AR52-AS10-AS52,0)</f>
        <v>0</v>
      </c>
      <c r="AS53" s="287">
        <f ca="1">MAX(AS10+AS52-AR10-AR52,0)</f>
        <v>0</v>
      </c>
      <c r="AT53" s="287">
        <f ca="1">MAX(AT10+AT52-AU10-AU52,0)</f>
        <v>0</v>
      </c>
      <c r="AU53" s="287">
        <f ca="1">MAX(AU10+AU52-AT10-AT52,0)</f>
        <v>0</v>
      </c>
      <c r="AV53" s="287">
        <f ca="1">MAX(AV10+AV52-AW10-AW52,0)</f>
        <v>0</v>
      </c>
      <c r="AW53" s="287">
        <f ca="1">MAX(AW10+AW52-AV10-AV52,0)</f>
        <v>0</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0</v>
      </c>
      <c r="BF53" s="287">
        <f ca="1">MAX(BF10+BF52-BG10-BG52,0)</f>
        <v>0</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0</v>
      </c>
      <c r="BN53" s="287">
        <f ca="1">MAX(BN10+BN52-BO10-BO52,0)</f>
        <v>0</v>
      </c>
      <c r="BO53" s="287">
        <f ca="1">MAX(BO10+BO52-BN10-BN52,0)</f>
        <v>0</v>
      </c>
      <c r="BP53" s="287">
        <f ca="1">MAX(BP10+BP52-BQ10-BQ52,0)</f>
        <v>0</v>
      </c>
      <c r="BQ53" s="287">
        <f ca="1">MAX(BQ10+BQ52-BP10-BP52,0)</f>
        <v>0</v>
      </c>
      <c r="BR53" s="287">
        <f ca="1">MAX(BR10+BR52-BS10-BS52,0)</f>
        <v>0</v>
      </c>
      <c r="BS53" s="287">
        <f ca="1">MAX(BS10+BS52-BR10-BR52,0)</f>
        <v>0</v>
      </c>
      <c r="BT53" s="287">
        <f ca="1">MAX(BT10+BT52-BU10-BU52,0)</f>
        <v>0</v>
      </c>
      <c r="BU53" s="287">
        <f ca="1">MAX(BU10+BU52-BT10-BT52,0)</f>
        <v>0</v>
      </c>
      <c r="BV53" s="287">
        <f ca="1">MAX(BV10+BV52-BW10-BW52,0)</f>
        <v>0</v>
      </c>
      <c r="BW53" s="287">
        <f ca="1">MAX(BW10+BW52-BV10-BV52,0)</f>
        <v>0</v>
      </c>
      <c r="BX53" s="287">
        <f ca="1">MAX(BX10+BX52-BY10-BY52,0)</f>
        <v>0</v>
      </c>
      <c r="BY53" s="287">
        <f ca="1">MAX(BY10+BY52-BX10-BX52,0)</f>
        <v>0</v>
      </c>
      <c r="BZ53" s="287">
        <f ca="1">MAX(BZ10+BZ52-CA10-CA52,0)</f>
        <v>0</v>
      </c>
      <c r="CA53" s="287">
        <f ca="1">MAX(CA10+CA52-BZ10-BZ52,0)</f>
        <v>107861885.00000048</v>
      </c>
      <c r="CB53" s="287">
        <f ca="1">MAX(CB10+CB52-CC10-CC52,0)</f>
        <v>107861885.00000048</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57" customFormat="1" ht="15.75" customHeight="1">
      <c r="A54" s="269"/>
      <c r="B54" s="269"/>
      <c r="C54" s="270"/>
      <c r="D54" s="269"/>
      <c r="E54" s="271" t="s">
        <v>214</v>
      </c>
      <c r="F54" s="269"/>
      <c r="G54" s="272"/>
      <c r="H54" s="272"/>
      <c r="I54" s="269"/>
      <c r="J54" s="269">
        <f ca="1">J52+'SC-II'!J54</f>
        <v>0</v>
      </c>
      <c r="K54" s="269">
        <f ca="1">K52+'SC-II'!K54</f>
        <v>0</v>
      </c>
      <c r="L54" s="269">
        <f ca="1">L52+'SC-II'!L54</f>
        <v>0</v>
      </c>
      <c r="M54" s="269">
        <f ca="1">M52+'SC-II'!M54</f>
        <v>0</v>
      </c>
      <c r="N54" s="269">
        <f ca="1">N52+'SC-II'!N54</f>
        <v>0</v>
      </c>
      <c r="O54" s="269">
        <f ca="1">O52+'SC-II'!O54</f>
        <v>0</v>
      </c>
      <c r="P54" s="269">
        <f ca="1">P52+'SC-II'!P54</f>
        <v>0</v>
      </c>
      <c r="Q54" s="269">
        <f ca="1">Q52+'SC-II'!Q54</f>
        <v>0</v>
      </c>
      <c r="R54" s="269">
        <f ca="1">R52+'SC-II'!R54</f>
        <v>0</v>
      </c>
      <c r="S54" s="269">
        <f ca="1">S52+'SC-II'!S54</f>
        <v>0</v>
      </c>
      <c r="T54" s="269">
        <f ca="1">T52+'SC-II'!T54</f>
        <v>0</v>
      </c>
      <c r="U54" s="269">
        <f ca="1">U52+'SC-II'!U54</f>
        <v>0</v>
      </c>
      <c r="V54" s="269">
        <f ca="1">V52+'SC-II'!V54</f>
        <v>0</v>
      </c>
      <c r="W54" s="269">
        <f ca="1">W52+'SC-II'!W54</f>
        <v>0</v>
      </c>
      <c r="X54" s="269">
        <f ca="1">X52+'SC-II'!X54</f>
        <v>0</v>
      </c>
      <c r="Y54" s="269">
        <f ca="1">Y52+'SC-II'!Y54</f>
        <v>0</v>
      </c>
      <c r="Z54" s="269">
        <f ca="1">Z52+'SC-II'!Z54</f>
        <v>0</v>
      </c>
      <c r="AA54" s="269">
        <f ca="1">AA52+'SC-II'!AA54</f>
        <v>0</v>
      </c>
      <c r="AB54" s="269">
        <f ca="1">AB52+'SC-II'!AB54</f>
        <v>0</v>
      </c>
      <c r="AC54" s="269">
        <f ca="1">AC52+'SC-II'!AC54</f>
        <v>0</v>
      </c>
      <c r="AD54" s="269">
        <f ca="1">AD52+'SC-II'!AD54</f>
        <v>0</v>
      </c>
      <c r="AE54" s="269">
        <f ca="1">AE52+'SC-II'!AE54</f>
        <v>0</v>
      </c>
      <c r="AF54" s="269">
        <f ca="1">AF52+'SC-II'!AF54</f>
        <v>0</v>
      </c>
      <c r="AG54" s="269">
        <f ca="1">AG52+'SC-II'!AG54</f>
        <v>0</v>
      </c>
      <c r="AH54" s="269">
        <f ca="1">AH52+'SC-II'!AH54</f>
        <v>0</v>
      </c>
      <c r="AI54" s="269">
        <f ca="1">AI52+'SC-II'!AI54</f>
        <v>0</v>
      </c>
      <c r="AJ54" s="269">
        <f ca="1">AJ52+'SC-II'!AJ54</f>
        <v>0</v>
      </c>
      <c r="AK54" s="269">
        <f ca="1">AK52+'SC-II'!AK54</f>
        <v>0</v>
      </c>
      <c r="AL54" s="269">
        <f ca="1">AL52+'SC-II'!AL54</f>
        <v>0</v>
      </c>
      <c r="AM54" s="269">
        <f ca="1">AM52+'SC-II'!AM54</f>
        <v>0</v>
      </c>
      <c r="AN54" s="269">
        <f ca="1">AN52+'SC-II'!AN54</f>
        <v>0</v>
      </c>
      <c r="AO54" s="269">
        <f ca="1">AO52+'SC-II'!AO54</f>
        <v>0</v>
      </c>
      <c r="AP54" s="269">
        <f ca="1">AP52+'SC-II'!AP54</f>
        <v>0</v>
      </c>
      <c r="AQ54" s="269">
        <f ca="1">AQ52+'SC-II'!AQ54</f>
        <v>0</v>
      </c>
      <c r="AR54" s="269">
        <f ca="1">AR52+'SC-II'!AR54</f>
        <v>0</v>
      </c>
      <c r="AS54" s="269">
        <f ca="1">AS52+'SC-II'!AS54</f>
        <v>0</v>
      </c>
      <c r="AT54" s="269">
        <f ca="1">AT52+'SC-II'!AT54</f>
        <v>0</v>
      </c>
      <c r="AU54" s="269">
        <f ca="1">AU52+'SC-II'!AU54</f>
        <v>0</v>
      </c>
      <c r="AV54" s="269">
        <f ca="1">AV52+'SC-II'!AV54</f>
        <v>0</v>
      </c>
      <c r="AW54" s="269">
        <f ca="1">AW52+'SC-II'!AW54</f>
        <v>0</v>
      </c>
      <c r="AX54" s="269">
        <f ca="1">AX52+'SC-II'!AX54</f>
        <v>0</v>
      </c>
      <c r="AY54" s="269">
        <f ca="1">AY52+'SC-II'!AY54</f>
        <v>0</v>
      </c>
      <c r="AZ54" s="269">
        <f ca="1">AZ52+'SC-II'!AZ54</f>
        <v>0</v>
      </c>
      <c r="BA54" s="269">
        <f ca="1">BA52+'SC-II'!BA54</f>
        <v>0</v>
      </c>
      <c r="BB54" s="269">
        <f ca="1">BB52+'SC-II'!BB54</f>
        <v>0</v>
      </c>
      <c r="BC54" s="269">
        <f ca="1">BC52+'SC-II'!BC54</f>
        <v>0</v>
      </c>
      <c r="BD54" s="269">
        <f ca="1">BD52+'SC-II'!BD54</f>
        <v>0</v>
      </c>
      <c r="BE54" s="269">
        <f ca="1">BE52+'SC-II'!BE54</f>
        <v>0</v>
      </c>
      <c r="BF54" s="269">
        <f ca="1">BF52+'SC-II'!BF54</f>
        <v>0</v>
      </c>
      <c r="BG54" s="269">
        <f ca="1">BG52+'SC-II'!BG54</f>
        <v>0</v>
      </c>
      <c r="BH54" s="269">
        <f ca="1">BH52+'SC-II'!BH54</f>
        <v>0</v>
      </c>
      <c r="BI54" s="269">
        <f ca="1">BI52+'SC-II'!BI54</f>
        <v>0</v>
      </c>
      <c r="BJ54" s="269">
        <f ca="1">BJ52+'SC-II'!BJ54</f>
        <v>0</v>
      </c>
      <c r="BK54" s="269">
        <f ca="1">BK52+'SC-II'!BK54</f>
        <v>0</v>
      </c>
      <c r="BL54" s="269">
        <f ca="1">BL52+'SC-II'!BL54</f>
        <v>0</v>
      </c>
      <c r="BM54" s="269">
        <f ca="1">BM52+'SC-II'!BM54</f>
        <v>0</v>
      </c>
      <c r="BN54" s="269">
        <f ca="1">BN52+'SC-II'!BN54</f>
        <v>0</v>
      </c>
      <c r="BO54" s="269">
        <f ca="1">BO52+'SC-II'!BO54</f>
        <v>0</v>
      </c>
      <c r="BP54" s="269">
        <f ca="1">BP52+'SC-II'!BP54</f>
        <v>0</v>
      </c>
      <c r="BQ54" s="269">
        <f ca="1">BQ52+'SC-II'!BQ54</f>
        <v>0</v>
      </c>
      <c r="BR54" s="269">
        <f ca="1">BR52+'SC-II'!BR54</f>
        <v>0</v>
      </c>
      <c r="BS54" s="269">
        <f ca="1">BS52+'SC-II'!BS54</f>
        <v>0</v>
      </c>
      <c r="BT54" s="269">
        <f ca="1">BT52+'SC-II'!BT54</f>
        <v>0</v>
      </c>
      <c r="BU54" s="269">
        <f ca="1">BU52+'SC-II'!BU54</f>
        <v>0</v>
      </c>
      <c r="BV54" s="269">
        <f ca="1">BV52+'SC-II'!BV54</f>
        <v>0</v>
      </c>
      <c r="BW54" s="269">
        <f ca="1">BW52+'SC-II'!BW54</f>
        <v>0</v>
      </c>
      <c r="BX54" s="269">
        <f ca="1">BX52+'SC-II'!BX54</f>
        <v>0</v>
      </c>
      <c r="BY54" s="269">
        <f ca="1">BY52+'SC-II'!BY54</f>
        <v>0</v>
      </c>
      <c r="BZ54" s="269">
        <f ca="1">BZ52+'SC-II'!BZ54</f>
        <v>0</v>
      </c>
      <c r="CA54" s="269">
        <f ca="1">CA52+'SC-II'!CA54</f>
        <v>107861885.00000048</v>
      </c>
      <c r="CB54" s="269">
        <f ca="1">CB52+'SC-II'!CB54</f>
        <v>107861885.00000048</v>
      </c>
      <c r="CC54" s="269">
        <f ca="1">CC52+'SC-II'!CC54</f>
        <v>0</v>
      </c>
      <c r="CD54" s="269">
        <f ca="1">CD52+'SC-II'!CD54</f>
        <v>0</v>
      </c>
      <c r="CE54" s="269">
        <f ca="1">CE52+'SC-II'!CE54</f>
        <v>0</v>
      </c>
      <c r="CF54" s="269">
        <f ca="1">CF52+'SC-II'!CF54</f>
        <v>0</v>
      </c>
      <c r="CG54" s="269">
        <f ca="1">CG52+'SC-II'!CG54</f>
        <v>0</v>
      </c>
      <c r="CH54" s="269">
        <f ca="1">CH52+'SC-II'!CH54</f>
        <v>0</v>
      </c>
      <c r="CI54" s="269">
        <f ca="1">CI52+'SC-II'!CI54</f>
        <v>0</v>
      </c>
      <c r="CJ54" s="269">
        <f ca="1">CJ52+'SC-II'!CJ54</f>
        <v>0</v>
      </c>
      <c r="CK54" s="269">
        <f ca="1">CK52+'SC-II'!CK54</f>
        <v>0</v>
      </c>
      <c r="CL54" s="269">
        <f ca="1">CL52+'SC-II'!CL54</f>
        <v>0</v>
      </c>
      <c r="CM54" s="269">
        <f ca="1">CM52+'SC-II'!CM54</f>
        <v>0</v>
      </c>
      <c r="CN54" s="269">
        <f ca="1">CN52+'SC-II'!CN54</f>
        <v>0</v>
      </c>
      <c r="CO54" s="269">
        <f ca="1">CO52+'SC-II'!CO54</f>
        <v>0</v>
      </c>
      <c r="CP54" s="269">
        <f ca="1">CP52+'SC-II'!CP54</f>
        <v>0</v>
      </c>
      <c r="CQ54" s="269">
        <f ca="1">CQ52+'SC-II'!CQ54</f>
        <v>0</v>
      </c>
      <c r="CR54" s="269">
        <f ca="1">CR52+'SC-II'!CR54</f>
        <v>0</v>
      </c>
      <c r="CS54" s="269">
        <f ca="1">CS52+'SC-II'!CS54</f>
        <v>0</v>
      </c>
      <c r="CT54" s="269">
        <f ca="1">CT52+'SC-II'!CT54</f>
        <v>0</v>
      </c>
      <c r="CU54" s="269">
        <f ca="1">CU52+'SC-II'!CU54</f>
        <v>0</v>
      </c>
      <c r="CV54" s="269">
        <f ca="1">CV52+'SC-II'!CV54</f>
        <v>0</v>
      </c>
      <c r="CW54" s="269">
        <f ca="1">CW52+'SC-II'!CW54</f>
        <v>0</v>
      </c>
      <c r="CX54" s="269">
        <f ca="1">CX52+'SC-II'!CX54</f>
        <v>0</v>
      </c>
      <c r="CY54" s="269">
        <f ca="1">CY52+'SC-II'!CY54</f>
        <v>0</v>
      </c>
      <c r="CZ54" s="269">
        <f ca="1">CZ52+'SC-II'!CZ54</f>
        <v>0</v>
      </c>
      <c r="DA54" s="269">
        <f ca="1">DA52+'SC-II'!DA54</f>
        <v>0</v>
      </c>
    </row>
    <row r="55" spans="1:105" ht="12" customHeight="1">
      <c r="B55" s="274"/>
      <c r="C55" s="275"/>
      <c r="D55" s="275"/>
      <c r="E55" s="275"/>
      <c r="F55" s="275"/>
      <c r="G55" s="276"/>
      <c r="H55" s="276"/>
      <c r="I55" s="275"/>
      <c r="J55" s="275"/>
      <c r="K55" s="275"/>
      <c r="AR55" s="274"/>
      <c r="AS55" s="274"/>
      <c r="AT55" s="275"/>
      <c r="AU55" s="275"/>
      <c r="AV55" s="275"/>
      <c r="AW55" s="276"/>
      <c r="AX55" s="276"/>
      <c r="AY55" s="276"/>
      <c r="AZ55" s="276"/>
      <c r="BA55" s="292"/>
    </row>
    <row r="56" spans="1:105">
      <c r="F56" s="238"/>
      <c r="M56" s="277"/>
      <c r="O56" s="277"/>
      <c r="Q56" s="277"/>
      <c r="R56" s="277"/>
      <c r="S56" s="277"/>
      <c r="T56" s="277"/>
      <c r="U56" s="277"/>
      <c r="V56" s="277"/>
      <c r="AL56" s="278" t="s">
        <v>228</v>
      </c>
      <c r="AM56" s="279"/>
      <c r="AN56" s="279"/>
      <c r="AO56" s="279"/>
      <c r="AP56" s="279"/>
      <c r="AQ56" s="279"/>
      <c r="AR56" s="280"/>
      <c r="AS56" s="280"/>
      <c r="AT56" s="279"/>
    </row>
    <row r="57" spans="1:105">
      <c r="F57" s="238"/>
      <c r="M57" s="277"/>
      <c r="O57" s="277"/>
      <c r="Q57" s="277"/>
      <c r="R57" s="277"/>
      <c r="S57" s="277"/>
      <c r="T57" s="277"/>
      <c r="U57" s="277"/>
      <c r="V57" s="277"/>
      <c r="AL57" s="281" t="s">
        <v>220</v>
      </c>
      <c r="AM57" s="279"/>
      <c r="AN57" s="279"/>
      <c r="AO57" s="279"/>
      <c r="AP57" s="279"/>
      <c r="AQ57" s="279"/>
      <c r="AR57" s="280"/>
      <c r="AS57" s="280"/>
      <c r="AT57" s="279"/>
    </row>
    <row r="58" spans="1:105">
      <c r="F58" s="238"/>
      <c r="M58" s="277"/>
      <c r="O58" s="277"/>
      <c r="Q58" s="277"/>
      <c r="R58" s="277"/>
      <c r="S58" s="277"/>
      <c r="T58" s="277"/>
      <c r="U58" s="277"/>
      <c r="V58" s="277"/>
      <c r="AL58" s="279"/>
      <c r="AM58" s="279"/>
      <c r="AN58" s="279"/>
      <c r="AO58" s="279"/>
      <c r="AP58" s="279"/>
      <c r="AQ58" s="279"/>
      <c r="AR58" s="279"/>
      <c r="AS58" s="279"/>
      <c r="AT58" s="280"/>
    </row>
    <row r="59" spans="1:105">
      <c r="F59" s="238"/>
      <c r="M59" s="277"/>
      <c r="O59" s="277"/>
      <c r="Q59" s="277"/>
      <c r="R59" s="277"/>
      <c r="S59" s="277"/>
      <c r="T59" s="277"/>
      <c r="U59" s="277"/>
      <c r="V59" s="277"/>
      <c r="AL59" s="279"/>
      <c r="AM59" s="279"/>
      <c r="AN59" s="279"/>
      <c r="AO59" s="279"/>
      <c r="AP59" s="279"/>
      <c r="AQ59" s="279"/>
      <c r="AR59" s="279"/>
      <c r="AS59" s="279"/>
      <c r="AT59" s="280"/>
      <c r="AZ59" s="282" t="str">
        <f>"Ngày 30 tháng 09 năm 2015 "</f>
        <v xml:space="preserve">Ngày 30 tháng 09 năm 2015 </v>
      </c>
    </row>
    <row r="60" spans="1:105">
      <c r="F60" s="238"/>
      <c r="M60" s="277"/>
      <c r="O60" s="277"/>
      <c r="Q60" s="277"/>
      <c r="R60" s="277"/>
      <c r="S60" s="277"/>
      <c r="T60" s="277"/>
      <c r="U60" s="277"/>
      <c r="V60" s="277"/>
      <c r="AL60" s="279"/>
      <c r="AM60" s="283" t="s">
        <v>11</v>
      </c>
      <c r="AN60" s="279"/>
      <c r="AO60" s="279"/>
      <c r="AP60" s="279"/>
      <c r="AQ60" s="279"/>
      <c r="AR60" s="279"/>
      <c r="AS60" s="284" t="s">
        <v>12</v>
      </c>
      <c r="AT60" s="280"/>
      <c r="AZ60" s="283" t="s">
        <v>131</v>
      </c>
    </row>
    <row r="61" spans="1:105">
      <c r="F61" s="238"/>
      <c r="M61" s="277"/>
      <c r="O61" s="277"/>
      <c r="Q61" s="277"/>
      <c r="R61" s="277"/>
      <c r="S61" s="277"/>
      <c r="T61" s="277"/>
      <c r="U61" s="277"/>
      <c r="V61" s="277"/>
      <c r="AL61" s="279"/>
      <c r="AM61" s="285" t="s">
        <v>13</v>
      </c>
      <c r="AN61" s="279"/>
      <c r="AO61" s="279"/>
      <c r="AP61" s="279"/>
      <c r="AQ61" s="279"/>
      <c r="AR61" s="279"/>
      <c r="AS61" s="286" t="s">
        <v>13</v>
      </c>
      <c r="AT61" s="280"/>
      <c r="AZ61" s="285" t="s">
        <v>161</v>
      </c>
    </row>
    <row r="62" spans="1:105">
      <c r="F62" s="238"/>
      <c r="M62" s="277"/>
      <c r="O62" s="277"/>
      <c r="Q62" s="277"/>
      <c r="R62" s="277"/>
      <c r="S62" s="277"/>
      <c r="T62" s="277"/>
      <c r="U62" s="277"/>
      <c r="V62" s="277"/>
      <c r="AL62" s="279"/>
      <c r="AM62" s="279"/>
      <c r="AN62" s="279"/>
      <c r="AO62" s="279"/>
      <c r="AP62" s="279"/>
      <c r="AQ62" s="279"/>
      <c r="AR62" s="279"/>
      <c r="AS62" s="279"/>
      <c r="AT62" s="280"/>
      <c r="AZ62" s="279"/>
    </row>
    <row r="63" spans="1:105">
      <c r="F63" s="238"/>
      <c r="M63" s="277"/>
      <c r="O63" s="277"/>
      <c r="Q63" s="277"/>
      <c r="R63" s="277"/>
      <c r="S63" s="277"/>
      <c r="T63" s="277"/>
      <c r="U63" s="277"/>
      <c r="V63" s="277"/>
      <c r="AZ63" s="279"/>
    </row>
    <row r="64" spans="1:105">
      <c r="F64" s="238"/>
      <c r="M64" s="277"/>
      <c r="O64" s="277"/>
      <c r="Q64" s="277"/>
      <c r="R64" s="277"/>
      <c r="S64" s="277"/>
      <c r="T64" s="277"/>
      <c r="U64" s="277"/>
      <c r="V64" s="277"/>
    </row>
    <row r="65" spans="6:22">
      <c r="F65" s="238"/>
      <c r="M65" s="277"/>
      <c r="O65" s="277"/>
      <c r="Q65" s="277"/>
      <c r="R65" s="277"/>
      <c r="S65" s="277"/>
      <c r="T65" s="277"/>
      <c r="U65" s="277"/>
      <c r="V65" s="277"/>
    </row>
    <row r="66" spans="6:22">
      <c r="F66" s="238"/>
      <c r="M66" s="277"/>
      <c r="O66" s="277"/>
      <c r="Q66" s="277"/>
      <c r="R66" s="277"/>
      <c r="S66" s="277"/>
      <c r="T66" s="277"/>
      <c r="U66" s="277"/>
      <c r="V66" s="277"/>
    </row>
    <row r="67" spans="6:22">
      <c r="F67" s="238"/>
      <c r="M67" s="277"/>
      <c r="O67" s="277"/>
      <c r="Q67" s="277"/>
      <c r="R67" s="277"/>
      <c r="S67" s="277"/>
      <c r="T67" s="277"/>
      <c r="U67" s="277"/>
      <c r="V67" s="277"/>
    </row>
    <row r="68" spans="6:22">
      <c r="F68" s="238"/>
      <c r="M68" s="277"/>
      <c r="O68" s="277"/>
      <c r="Q68" s="277"/>
      <c r="R68" s="277"/>
      <c r="S68" s="277"/>
      <c r="T68" s="277"/>
      <c r="U68" s="277"/>
      <c r="V68" s="277"/>
    </row>
    <row r="69" spans="6:22">
      <c r="F69" s="238"/>
      <c r="M69" s="277"/>
      <c r="O69" s="277"/>
      <c r="Q69" s="277"/>
      <c r="R69" s="277"/>
      <c r="S69" s="277"/>
      <c r="T69" s="277"/>
      <c r="U69" s="277"/>
      <c r="V69" s="277"/>
    </row>
    <row r="78" spans="6:22">
      <c r="R78" s="277"/>
    </row>
    <row r="79" spans="6:22">
      <c r="R79" s="277"/>
    </row>
    <row r="80" spans="6:22">
      <c r="M80" s="277"/>
      <c r="O80" s="277"/>
      <c r="P80" s="277"/>
      <c r="Q80" s="277"/>
      <c r="R80" s="277"/>
    </row>
    <row r="81" spans="13:18">
      <c r="M81" s="277"/>
      <c r="O81" s="277"/>
      <c r="P81" s="277"/>
      <c r="Q81" s="277"/>
      <c r="R81" s="277"/>
    </row>
    <row r="82" spans="13:18">
      <c r="M82" s="277"/>
      <c r="O82" s="277"/>
      <c r="P82" s="277"/>
      <c r="Q82" s="277"/>
    </row>
    <row r="83" spans="13:18">
      <c r="M83" s="277"/>
      <c r="O83" s="277"/>
      <c r="P83" s="277"/>
      <c r="Q83" s="277"/>
    </row>
    <row r="85" spans="13:18">
      <c r="M85" s="277"/>
      <c r="O85" s="277"/>
      <c r="P85" s="277"/>
      <c r="Q85" s="277"/>
      <c r="R85" s="277"/>
    </row>
    <row r="86" spans="13:18">
      <c r="M86" s="277"/>
      <c r="O86" s="277"/>
      <c r="P86" s="277"/>
      <c r="Q86" s="277"/>
      <c r="R86" s="277"/>
    </row>
    <row r="93" spans="13:18">
      <c r="M93" s="277"/>
      <c r="O93" s="277"/>
      <c r="P93" s="277"/>
      <c r="Q93" s="277"/>
      <c r="R93" s="277"/>
    </row>
    <row r="94" spans="13:18">
      <c r="M94" s="277"/>
      <c r="O94" s="277"/>
      <c r="P94" s="277"/>
      <c r="Q94" s="277"/>
      <c r="R94" s="277"/>
    </row>
    <row r="95" spans="13:18">
      <c r="M95" s="277"/>
      <c r="O95" s="277"/>
      <c r="P95" s="277"/>
      <c r="Q95" s="277"/>
      <c r="R95" s="277"/>
    </row>
    <row r="99" spans="13:18">
      <c r="M99" s="277"/>
      <c r="O99" s="277"/>
      <c r="P99" s="277"/>
      <c r="Q99" s="277"/>
      <c r="R99" s="277"/>
    </row>
    <row r="100" spans="13:18">
      <c r="M100" s="277"/>
      <c r="O100" s="277"/>
      <c r="P100" s="277"/>
      <c r="Q100" s="277"/>
      <c r="R100" s="277"/>
    </row>
    <row r="101" spans="13:18">
      <c r="M101" s="277"/>
      <c r="O101" s="277"/>
      <c r="P101" s="277"/>
      <c r="Q101" s="277"/>
      <c r="R101" s="277"/>
    </row>
    <row r="102" spans="13:18">
      <c r="M102" s="277"/>
      <c r="O102" s="277"/>
      <c r="P102" s="277"/>
      <c r="Q102" s="277"/>
      <c r="R102" s="277"/>
    </row>
    <row r="103" spans="13:18">
      <c r="M103" s="277"/>
      <c r="O103" s="277"/>
      <c r="P103" s="277"/>
      <c r="Q103" s="277"/>
      <c r="R103" s="277"/>
    </row>
    <row r="104" spans="13:18">
      <c r="M104" s="277"/>
      <c r="O104" s="277"/>
      <c r="P104" s="277"/>
      <c r="Q104" s="277"/>
      <c r="R104" s="277"/>
    </row>
    <row r="105" spans="13:18">
      <c r="M105" s="277"/>
      <c r="O105" s="277"/>
      <c r="P105" s="277"/>
      <c r="Q105" s="277"/>
      <c r="R105" s="277"/>
    </row>
    <row r="106" spans="13:18">
      <c r="M106" s="277"/>
      <c r="O106" s="277"/>
      <c r="P106" s="277"/>
      <c r="Q106" s="277"/>
      <c r="R106" s="277"/>
    </row>
    <row r="107" spans="13:18">
      <c r="M107" s="277"/>
      <c r="O107" s="277"/>
      <c r="P107" s="277"/>
      <c r="Q107" s="277"/>
      <c r="R107" s="277"/>
    </row>
    <row r="108" spans="13:18">
      <c r="M108" s="277"/>
      <c r="O108" s="277"/>
      <c r="P108" s="277"/>
      <c r="Q108" s="277"/>
      <c r="R108" s="277"/>
    </row>
    <row r="109" spans="13:18">
      <c r="M109" s="277"/>
      <c r="O109" s="277"/>
      <c r="P109" s="277"/>
      <c r="Q109" s="277"/>
      <c r="R109" s="277"/>
    </row>
    <row r="110" spans="13:18">
      <c r="M110" s="277"/>
      <c r="O110" s="277"/>
      <c r="P110" s="277"/>
      <c r="Q110" s="277"/>
      <c r="R110" s="277"/>
    </row>
    <row r="111" spans="13:18">
      <c r="M111" s="277"/>
      <c r="O111" s="277"/>
      <c r="P111" s="277"/>
      <c r="Q111" s="277"/>
      <c r="R111" s="277"/>
    </row>
    <row r="112" spans="13:18">
      <c r="M112" s="277"/>
      <c r="O112" s="277"/>
      <c r="P112" s="277"/>
      <c r="Q112" s="277"/>
      <c r="R112" s="277"/>
    </row>
    <row r="113" spans="13:18">
      <c r="M113" s="277"/>
      <c r="O113" s="277"/>
      <c r="P113" s="277"/>
      <c r="Q113" s="277"/>
      <c r="R113" s="277"/>
    </row>
    <row r="114" spans="13:18">
      <c r="M114" s="277"/>
      <c r="O114" s="277"/>
      <c r="P114" s="277"/>
      <c r="Q114" s="277"/>
      <c r="R114" s="277"/>
    </row>
    <row r="115" spans="13:18">
      <c r="M115" s="277"/>
      <c r="O115" s="277"/>
      <c r="P115" s="277"/>
      <c r="Q115" s="277"/>
      <c r="R115" s="277"/>
    </row>
    <row r="116" spans="13:18">
      <c r="M116" s="277"/>
      <c r="O116" s="277"/>
      <c r="P116" s="277"/>
      <c r="Q116" s="277"/>
      <c r="R116" s="277"/>
    </row>
    <row r="117" spans="13:18">
      <c r="M117" s="277"/>
      <c r="O117" s="277"/>
      <c r="P117" s="277"/>
      <c r="Q117" s="277"/>
      <c r="R117" s="277"/>
    </row>
    <row r="118" spans="13:18">
      <c r="M118" s="277"/>
      <c r="O118" s="277"/>
      <c r="P118" s="277"/>
      <c r="Q118" s="277"/>
      <c r="R118" s="277"/>
    </row>
    <row r="119" spans="13:18">
      <c r="M119" s="277"/>
      <c r="O119" s="277"/>
      <c r="P119" s="277"/>
      <c r="Q119" s="277"/>
      <c r="R119" s="277"/>
    </row>
    <row r="120" spans="13:18">
      <c r="M120" s="277"/>
      <c r="O120" s="277"/>
      <c r="P120" s="277"/>
      <c r="Q120" s="277"/>
      <c r="R120" s="277"/>
    </row>
    <row r="121" spans="13:18">
      <c r="M121" s="277"/>
      <c r="O121" s="277"/>
      <c r="P121" s="277"/>
      <c r="Q121" s="277"/>
      <c r="R121" s="277"/>
    </row>
    <row r="122" spans="13:18">
      <c r="M122" s="277"/>
      <c r="O122" s="277"/>
      <c r="P122" s="277"/>
      <c r="Q122" s="277"/>
      <c r="R122" s="277"/>
    </row>
    <row r="123" spans="13:18">
      <c r="M123" s="277"/>
      <c r="O123" s="277"/>
      <c r="P123" s="277"/>
      <c r="Q123" s="277"/>
      <c r="R123" s="277"/>
    </row>
    <row r="124" spans="13:18">
      <c r="M124" s="277"/>
      <c r="O124" s="277"/>
      <c r="P124" s="277"/>
      <c r="Q124" s="277"/>
      <c r="R124" s="277"/>
    </row>
    <row r="125" spans="13:18">
      <c r="M125" s="277"/>
      <c r="O125" s="277"/>
      <c r="P125" s="277"/>
      <c r="Q125" s="277"/>
      <c r="R125" s="277"/>
    </row>
    <row r="126" spans="13:18">
      <c r="M126" s="277"/>
      <c r="O126" s="277"/>
      <c r="P126" s="277"/>
      <c r="Q126" s="277"/>
      <c r="R126" s="277"/>
    </row>
    <row r="127" spans="13:18">
      <c r="M127" s="277"/>
      <c r="O127" s="277"/>
      <c r="P127" s="277"/>
      <c r="Q127" s="277"/>
      <c r="R127" s="277"/>
    </row>
    <row r="128" spans="13:18">
      <c r="M128" s="277"/>
      <c r="O128" s="277"/>
      <c r="P128" s="277"/>
      <c r="Q128" s="277"/>
      <c r="R128" s="277"/>
    </row>
    <row r="129" spans="13:18">
      <c r="M129" s="277"/>
      <c r="O129" s="277"/>
      <c r="P129" s="277"/>
      <c r="Q129" s="277"/>
      <c r="R129" s="277"/>
    </row>
    <row r="130" spans="13:18">
      <c r="M130" s="277"/>
      <c r="O130" s="277"/>
      <c r="P130" s="277"/>
      <c r="Q130" s="277"/>
      <c r="R130" s="277"/>
    </row>
    <row r="131" spans="13:18">
      <c r="M131" s="277"/>
      <c r="O131" s="277"/>
      <c r="P131" s="277"/>
      <c r="Q131" s="277"/>
      <c r="R131" s="277"/>
    </row>
    <row r="132" spans="13:18">
      <c r="M132" s="277"/>
      <c r="O132" s="277"/>
      <c r="P132" s="277"/>
      <c r="Q132" s="277"/>
      <c r="R132" s="277"/>
    </row>
    <row r="133" spans="13:18">
      <c r="M133" s="277"/>
      <c r="O133" s="277"/>
      <c r="P133" s="277"/>
      <c r="Q133" s="277"/>
      <c r="R133" s="277"/>
    </row>
    <row r="134" spans="13:18">
      <c r="M134" s="277"/>
      <c r="O134" s="277"/>
      <c r="P134" s="277"/>
      <c r="Q134" s="277"/>
      <c r="R134" s="277"/>
    </row>
    <row r="135" spans="13:18">
      <c r="M135" s="277"/>
      <c r="O135" s="277"/>
      <c r="P135" s="277"/>
      <c r="Q135" s="277"/>
      <c r="R135" s="277"/>
    </row>
    <row r="136" spans="13:18">
      <c r="M136" s="277"/>
      <c r="O136" s="277"/>
      <c r="P136" s="277"/>
      <c r="Q136" s="277"/>
      <c r="R136" s="277"/>
    </row>
    <row r="137" spans="13:18">
      <c r="M137" s="277"/>
      <c r="O137" s="277"/>
      <c r="P137" s="277"/>
      <c r="Q137" s="277"/>
      <c r="R137" s="277"/>
    </row>
    <row r="138" spans="13:18">
      <c r="M138" s="277"/>
      <c r="O138" s="277"/>
      <c r="P138" s="277"/>
      <c r="Q138" s="277"/>
      <c r="R138" s="277"/>
    </row>
    <row r="139" spans="13:18">
      <c r="M139" s="277"/>
      <c r="O139" s="277"/>
      <c r="P139" s="277"/>
      <c r="Q139" s="277"/>
      <c r="R139" s="277"/>
    </row>
    <row r="140" spans="13:18">
      <c r="M140" s="277"/>
      <c r="O140" s="277"/>
      <c r="P140" s="277"/>
      <c r="Q140" s="277"/>
      <c r="R140" s="277"/>
    </row>
    <row r="141" spans="13:18">
      <c r="M141" s="277"/>
      <c r="O141" s="277"/>
      <c r="P141" s="277"/>
      <c r="Q141" s="277"/>
      <c r="R141" s="277"/>
    </row>
    <row r="142" spans="13:18">
      <c r="M142" s="277"/>
      <c r="O142" s="277"/>
      <c r="P142" s="277"/>
      <c r="Q142" s="277"/>
      <c r="R142" s="277"/>
    </row>
    <row r="143" spans="13:18">
      <c r="M143" s="277"/>
      <c r="O143" s="277"/>
      <c r="P143" s="277"/>
      <c r="Q143" s="277"/>
      <c r="R143" s="277"/>
    </row>
    <row r="144" spans="13:18">
      <c r="M144" s="277"/>
      <c r="O144" s="277"/>
      <c r="P144" s="277"/>
      <c r="Q144" s="277"/>
      <c r="R144" s="277"/>
    </row>
    <row r="145" spans="13:18">
      <c r="M145" s="277"/>
      <c r="O145" s="277"/>
      <c r="P145" s="277"/>
      <c r="Q145" s="277"/>
      <c r="R145" s="277"/>
    </row>
    <row r="146" spans="13:18">
      <c r="M146" s="277"/>
      <c r="O146" s="277"/>
      <c r="P146" s="277"/>
      <c r="Q146" s="277"/>
      <c r="R146" s="277"/>
    </row>
    <row r="147" spans="13:18">
      <c r="M147" s="277"/>
      <c r="O147" s="277"/>
      <c r="P147" s="277"/>
      <c r="Q147" s="277"/>
      <c r="R147" s="277"/>
    </row>
    <row r="148" spans="13:18">
      <c r="M148" s="277"/>
      <c r="O148" s="277"/>
      <c r="P148" s="277"/>
      <c r="Q148" s="277"/>
      <c r="R148" s="277"/>
    </row>
    <row r="149" spans="13:18">
      <c r="M149" s="277"/>
      <c r="O149" s="277"/>
      <c r="P149" s="277"/>
      <c r="Q149" s="277"/>
      <c r="R149" s="277"/>
    </row>
    <row r="150" spans="13:18">
      <c r="M150" s="277"/>
      <c r="O150" s="277"/>
      <c r="P150" s="277"/>
      <c r="Q150" s="277"/>
      <c r="R150" s="277"/>
    </row>
    <row r="151" spans="13:18">
      <c r="M151" s="277"/>
      <c r="O151" s="277"/>
      <c r="P151" s="277"/>
      <c r="Q151" s="277"/>
      <c r="R151" s="277"/>
    </row>
    <row r="152" spans="13:18">
      <c r="M152" s="277"/>
      <c r="O152" s="277"/>
      <c r="P152" s="277"/>
      <c r="Q152" s="277"/>
      <c r="R152" s="277"/>
    </row>
    <row r="153" spans="13:18">
      <c r="M153" s="277"/>
      <c r="O153" s="277"/>
      <c r="P153" s="277"/>
      <c r="Q153" s="277"/>
      <c r="R153" s="277"/>
    </row>
    <row r="154" spans="13:18">
      <c r="M154" s="277"/>
      <c r="O154" s="277"/>
      <c r="P154" s="277"/>
      <c r="Q154" s="277"/>
      <c r="R154" s="277"/>
    </row>
    <row r="155" spans="13:18">
      <c r="M155" s="277"/>
      <c r="O155" s="277"/>
      <c r="P155" s="277"/>
      <c r="Q155" s="277"/>
      <c r="R155" s="277"/>
    </row>
    <row r="156" spans="13:18">
      <c r="M156" s="277"/>
      <c r="O156" s="277"/>
      <c r="P156" s="277"/>
      <c r="Q156" s="277"/>
      <c r="R156" s="277"/>
    </row>
    <row r="157" spans="13:18">
      <c r="M157" s="277"/>
      <c r="O157" s="277"/>
      <c r="P157" s="277"/>
      <c r="Q157" s="277"/>
      <c r="R157" s="277"/>
    </row>
    <row r="158" spans="13:18">
      <c r="M158" s="277"/>
      <c r="O158" s="277"/>
      <c r="P158" s="277"/>
      <c r="Q158" s="277"/>
      <c r="R158" s="277"/>
    </row>
    <row r="159" spans="13:18">
      <c r="M159" s="277"/>
      <c r="O159" s="277"/>
      <c r="P159" s="277"/>
      <c r="Q159" s="277"/>
      <c r="R159" s="277"/>
    </row>
    <row r="160" spans="13:18">
      <c r="M160" s="277"/>
      <c r="O160" s="277"/>
      <c r="P160" s="277"/>
      <c r="Q160" s="277"/>
      <c r="R160" s="277"/>
    </row>
    <row r="161" spans="13:18">
      <c r="M161" s="277"/>
      <c r="O161" s="277"/>
      <c r="P161" s="277"/>
      <c r="Q161" s="277"/>
      <c r="R161" s="277"/>
    </row>
    <row r="162" spans="13:18">
      <c r="M162" s="277"/>
      <c r="O162" s="277"/>
      <c r="P162" s="277"/>
      <c r="Q162" s="277"/>
      <c r="R162" s="277"/>
    </row>
    <row r="163" spans="13:18">
      <c r="M163" s="277"/>
      <c r="O163" s="277"/>
      <c r="P163" s="277"/>
      <c r="Q163" s="277"/>
      <c r="R163" s="277"/>
    </row>
    <row r="164" spans="13:18">
      <c r="M164" s="277"/>
      <c r="O164" s="277"/>
      <c r="P164" s="277"/>
      <c r="Q164" s="277"/>
      <c r="R164" s="277"/>
    </row>
    <row r="165" spans="13:18">
      <c r="M165" s="277"/>
      <c r="O165" s="277"/>
      <c r="P165" s="277"/>
      <c r="Q165" s="277"/>
      <c r="R165" s="277"/>
    </row>
    <row r="166" spans="13:18">
      <c r="M166" s="277"/>
      <c r="O166" s="277"/>
      <c r="P166" s="277"/>
      <c r="Q166" s="277"/>
      <c r="R166" s="277"/>
    </row>
    <row r="167" spans="13:18">
      <c r="M167" s="277"/>
      <c r="O167" s="277"/>
      <c r="P167" s="277"/>
      <c r="Q167" s="277"/>
      <c r="R167" s="277"/>
    </row>
    <row r="168" spans="13:18">
      <c r="M168" s="277"/>
      <c r="O168" s="277"/>
      <c r="P168" s="277"/>
      <c r="Q168" s="277"/>
      <c r="R168" s="277"/>
    </row>
    <row r="169" spans="13:18">
      <c r="M169" s="277"/>
      <c r="O169" s="277"/>
      <c r="P169" s="277"/>
      <c r="Q169" s="277"/>
      <c r="R169" s="277"/>
    </row>
    <row r="170" spans="13:18">
      <c r="M170" s="277"/>
      <c r="O170" s="277"/>
      <c r="P170" s="277"/>
      <c r="Q170" s="277"/>
      <c r="R170" s="277"/>
    </row>
    <row r="171" spans="13:18">
      <c r="M171" s="277"/>
      <c r="O171" s="277"/>
      <c r="P171" s="277"/>
      <c r="Q171" s="277"/>
      <c r="R171" s="277"/>
    </row>
    <row r="172" spans="13:18">
      <c r="M172" s="277"/>
      <c r="O172" s="277"/>
      <c r="P172" s="277"/>
      <c r="Q172" s="277"/>
      <c r="R172" s="277"/>
    </row>
    <row r="173" spans="13:18">
      <c r="M173" s="277"/>
      <c r="O173" s="277"/>
      <c r="P173" s="277"/>
      <c r="Q173" s="277"/>
      <c r="R173" s="277"/>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8" customWidth="1"/>
    <col min="2" max="2" width="8.42578125" style="238" customWidth="1"/>
    <col min="3" max="3" width="7.85546875" style="238" customWidth="1"/>
    <col min="4" max="4" width="8.7109375" style="238" customWidth="1"/>
    <col min="5" max="5" width="44" style="238" customWidth="1"/>
    <col min="6" max="6" width="13.5703125" style="238" customWidth="1"/>
    <col min="7" max="8" width="5.85546875" style="239" customWidth="1"/>
    <col min="9" max="9" width="4.85546875" style="238" customWidth="1"/>
    <col min="10" max="10" width="13.140625" style="238" customWidth="1"/>
    <col min="11" max="11" width="13.28515625" style="238" customWidth="1"/>
    <col min="12" max="12" width="13.7109375" style="238" customWidth="1"/>
    <col min="13" max="13" width="14" style="238" customWidth="1"/>
    <col min="14" max="14" width="13.7109375" style="238" customWidth="1"/>
    <col min="15" max="15" width="14" style="238" customWidth="1"/>
    <col min="16" max="16" width="12.7109375" style="238" customWidth="1"/>
    <col min="17" max="17" width="14.5703125" style="238" customWidth="1"/>
    <col min="18" max="18" width="13.28515625" style="238" customWidth="1"/>
    <col min="19" max="19" width="13" style="238" customWidth="1"/>
    <col min="20" max="20" width="14" style="238" customWidth="1"/>
    <col min="21" max="21" width="5" style="238" customWidth="1"/>
    <col min="22" max="22" width="13.7109375" style="238" customWidth="1"/>
    <col min="23" max="23" width="13.42578125" style="238" customWidth="1"/>
    <col min="24" max="24" width="6.140625" style="238" customWidth="1"/>
    <col min="25" max="25" width="7.140625" style="238" customWidth="1"/>
    <col min="26" max="27" width="9.42578125" style="238" customWidth="1"/>
    <col min="28" max="28" width="11.140625" style="238" customWidth="1"/>
    <col min="29" max="29" width="13" style="238" customWidth="1"/>
    <col min="30" max="30" width="4.5703125" style="238" customWidth="1"/>
    <col min="31" max="31" width="13.5703125" style="238" customWidth="1"/>
    <col min="32" max="32" width="4.5703125" style="238" customWidth="1"/>
    <col min="33" max="33" width="13.5703125" style="238" customWidth="1"/>
    <col min="34" max="34" width="4.42578125" style="238" customWidth="1"/>
    <col min="35" max="35" width="12.7109375" style="238" customWidth="1"/>
    <col min="36" max="36" width="11.140625" style="238" customWidth="1"/>
    <col min="37" max="37" width="4.7109375" style="238" customWidth="1"/>
    <col min="38" max="38" width="12.28515625" style="238" customWidth="1"/>
    <col min="39" max="39" width="11.42578125" style="238" customWidth="1"/>
    <col min="40" max="40" width="11.28515625" style="238" customWidth="1"/>
    <col min="41" max="41" width="11.140625" style="238" customWidth="1"/>
    <col min="42" max="43" width="12.5703125" style="238" customWidth="1"/>
    <col min="44" max="44" width="13.42578125" style="238" customWidth="1"/>
    <col min="45" max="45" width="12.7109375" style="238" customWidth="1"/>
    <col min="46" max="46" width="11.85546875" style="238" customWidth="1"/>
    <col min="47" max="47" width="11.5703125" style="238" customWidth="1"/>
    <col min="48" max="48" width="7.5703125" style="238" customWidth="1"/>
    <col min="49" max="49" width="8.140625" style="238" customWidth="1"/>
    <col min="50" max="50" width="7.5703125" style="238" customWidth="1"/>
    <col min="51" max="51" width="7.42578125" style="238" customWidth="1"/>
    <col min="52" max="53" width="13.140625" style="238" customWidth="1"/>
    <col min="54" max="16384" width="9.140625" style="238"/>
  </cols>
  <sheetData>
    <row r="1" spans="1:105" ht="12.75" customHeight="1">
      <c r="A1" s="234"/>
      <c r="B1" s="235" t="s">
        <v>121</v>
      </c>
      <c r="C1" s="236"/>
      <c r="D1" s="236"/>
      <c r="E1" s="237"/>
      <c r="I1" s="236"/>
      <c r="L1" s="1349" t="s">
        <v>188</v>
      </c>
      <c r="M1" s="1349"/>
      <c r="N1" s="1349"/>
      <c r="O1" s="1349"/>
      <c r="P1" s="1349"/>
      <c r="Q1" s="1349"/>
      <c r="R1" s="326"/>
      <c r="T1" s="236"/>
      <c r="U1" s="236"/>
      <c r="V1" s="236"/>
      <c r="W1" s="236"/>
      <c r="X1" s="236"/>
      <c r="Y1" s="236"/>
      <c r="Z1" s="236"/>
      <c r="AA1" s="236"/>
      <c r="AB1" s="236"/>
      <c r="AC1" s="236"/>
      <c r="AD1" s="236"/>
      <c r="AE1" s="236"/>
      <c r="AF1" s="380"/>
      <c r="AG1" s="380"/>
      <c r="AH1" s="236"/>
      <c r="AI1" s="236"/>
      <c r="AJ1" s="236"/>
      <c r="AK1" s="236"/>
      <c r="AL1" s="236"/>
      <c r="AM1" s="236"/>
      <c r="AN1" s="236"/>
      <c r="AO1" s="236"/>
      <c r="AP1" s="236"/>
      <c r="AQ1" s="236"/>
      <c r="AR1" s="236"/>
      <c r="AS1" s="236"/>
      <c r="AT1" s="236"/>
      <c r="AU1" s="236"/>
      <c r="AV1" s="236"/>
      <c r="AW1" s="236"/>
      <c r="AX1" s="236"/>
      <c r="AY1" s="236"/>
      <c r="AZ1" s="236"/>
      <c r="BA1" s="236"/>
    </row>
    <row r="2" spans="1:105" ht="12.75" customHeight="1">
      <c r="A2" s="234"/>
      <c r="B2" s="235" t="s">
        <v>177</v>
      </c>
      <c r="C2" s="236"/>
      <c r="D2" s="236"/>
      <c r="E2" s="236"/>
      <c r="I2" s="240"/>
      <c r="L2" s="1350" t="s">
        <v>144</v>
      </c>
      <c r="M2" s="1350"/>
      <c r="N2" s="1350"/>
      <c r="O2" s="1350"/>
      <c r="P2" s="1350"/>
      <c r="Q2" s="1350"/>
      <c r="R2" s="327"/>
      <c r="T2" s="240"/>
      <c r="U2" s="240"/>
      <c r="V2" s="240"/>
      <c r="W2" s="240"/>
      <c r="X2" s="240"/>
      <c r="Y2" s="240"/>
      <c r="Z2" s="240"/>
      <c r="AA2" s="240"/>
      <c r="AB2" s="240"/>
      <c r="AC2" s="240"/>
      <c r="AD2" s="240"/>
      <c r="AE2" s="240"/>
      <c r="AF2" s="381"/>
      <c r="AG2" s="381"/>
      <c r="AH2" s="240"/>
      <c r="AI2" s="240"/>
      <c r="AJ2" s="240"/>
      <c r="AK2" s="240"/>
      <c r="AL2" s="240"/>
      <c r="AM2" s="240"/>
      <c r="AN2" s="240"/>
      <c r="AO2" s="240"/>
      <c r="AP2" s="240"/>
      <c r="AQ2" s="240"/>
      <c r="AR2" s="240"/>
      <c r="AS2" s="240"/>
      <c r="AT2" s="240"/>
      <c r="AU2" s="240"/>
      <c r="AV2" s="240"/>
      <c r="AW2" s="240"/>
      <c r="AX2" s="240"/>
      <c r="AY2" s="240"/>
      <c r="AZ2" s="240"/>
      <c r="BA2" s="240"/>
    </row>
    <row r="3" spans="1:105" ht="10.5" customHeight="1">
      <c r="A3" s="236"/>
      <c r="B3" s="236"/>
      <c r="C3" s="236"/>
      <c r="D3" s="236"/>
      <c r="E3" s="236"/>
      <c r="F3" s="240"/>
      <c r="G3" s="242"/>
      <c r="H3" s="242"/>
      <c r="I3" s="240"/>
      <c r="L3" s="1350"/>
      <c r="M3" s="1350"/>
      <c r="N3" s="1350"/>
      <c r="O3" s="1350"/>
      <c r="P3" s="1350"/>
      <c r="Q3" s="1350"/>
      <c r="R3" s="327"/>
      <c r="T3" s="240"/>
      <c r="U3" s="240"/>
      <c r="V3" s="240"/>
      <c r="W3" s="240"/>
      <c r="X3" s="240"/>
      <c r="Y3" s="240"/>
      <c r="Z3" s="240"/>
      <c r="AA3" s="240"/>
      <c r="AB3" s="240"/>
      <c r="AC3" s="240"/>
      <c r="AD3" s="240"/>
      <c r="AE3" s="240"/>
      <c r="AF3" s="381"/>
      <c r="AG3" s="381"/>
      <c r="AH3" s="240"/>
      <c r="AI3" s="240"/>
      <c r="AJ3" s="240"/>
      <c r="AK3" s="240"/>
      <c r="AL3" s="240"/>
      <c r="AM3" s="240"/>
      <c r="AN3" s="240"/>
      <c r="AO3" s="240"/>
      <c r="AP3" s="240"/>
      <c r="AQ3" s="240"/>
      <c r="AR3" s="240"/>
      <c r="AS3" s="240"/>
      <c r="AT3" s="240"/>
      <c r="AU3" s="240"/>
      <c r="AV3" s="240"/>
      <c r="AW3" s="240"/>
      <c r="AX3" s="240"/>
      <c r="AY3" s="240"/>
      <c r="AZ3" s="240"/>
      <c r="BA3" s="240"/>
    </row>
    <row r="4" spans="1:105" ht="19.5" customHeight="1">
      <c r="B4" s="1351" t="s">
        <v>112</v>
      </c>
      <c r="C4" s="1351"/>
      <c r="D4" s="1351"/>
      <c r="E4" s="1351"/>
      <c r="F4" s="1351"/>
      <c r="G4" s="1351"/>
      <c r="H4" s="1351"/>
      <c r="I4" s="1351"/>
      <c r="J4" s="1351"/>
      <c r="K4" s="1351"/>
      <c r="L4" s="1351"/>
      <c r="M4" s="1351"/>
      <c r="N4" s="1351"/>
      <c r="O4" s="1351"/>
      <c r="P4" s="1351"/>
      <c r="Q4" s="1351"/>
      <c r="R4" s="1351"/>
      <c r="S4" s="243"/>
      <c r="T4" s="245"/>
      <c r="U4" s="245"/>
      <c r="V4" s="245"/>
      <c r="W4" s="245"/>
      <c r="X4" s="245"/>
      <c r="Y4" s="245"/>
      <c r="Z4" s="245"/>
      <c r="AA4" s="245"/>
      <c r="AB4" s="245"/>
      <c r="AC4" s="245"/>
      <c r="AD4" s="245"/>
      <c r="AE4" s="245"/>
      <c r="AF4" s="245"/>
      <c r="AG4" s="245"/>
      <c r="AH4" s="245"/>
      <c r="AI4" s="245"/>
      <c r="AJ4" s="245"/>
      <c r="AK4" s="245"/>
      <c r="AL4" s="245"/>
      <c r="AM4" s="245"/>
      <c r="AN4" s="245"/>
      <c r="AO4" s="245"/>
      <c r="AP4" s="245"/>
      <c r="AQ4" s="245"/>
      <c r="AR4" s="245"/>
      <c r="AS4" s="245"/>
      <c r="AT4" s="245"/>
      <c r="AU4" s="245"/>
      <c r="AV4" s="245"/>
      <c r="AW4" s="245"/>
      <c r="AX4" s="245"/>
      <c r="AY4" s="245"/>
      <c r="AZ4" s="245"/>
      <c r="BA4" s="245"/>
    </row>
    <row r="5" spans="1:105" ht="15">
      <c r="B5" s="1352" t="s">
        <v>221</v>
      </c>
      <c r="C5" s="1352"/>
      <c r="D5" s="1352"/>
      <c r="E5" s="1352"/>
      <c r="F5" s="1352"/>
      <c r="G5" s="1352"/>
      <c r="H5" s="1352"/>
      <c r="I5" s="1352"/>
      <c r="J5" s="1352"/>
      <c r="K5" s="1352"/>
      <c r="L5" s="1352"/>
      <c r="M5" s="1352"/>
      <c r="N5" s="1352"/>
      <c r="O5" s="1352"/>
      <c r="P5" s="1352"/>
      <c r="Q5" s="1352"/>
      <c r="R5" s="1352"/>
      <c r="S5" s="246"/>
    </row>
    <row r="7" spans="1:105" ht="13.5" customHeight="1">
      <c r="A7" s="1353" t="s">
        <v>37</v>
      </c>
      <c r="B7" s="1348" t="s">
        <v>22</v>
      </c>
      <c r="C7" s="1355" t="s">
        <v>1</v>
      </c>
      <c r="D7" s="1356"/>
      <c r="E7" s="1348" t="s">
        <v>0</v>
      </c>
      <c r="F7" s="1348" t="s">
        <v>113</v>
      </c>
      <c r="G7" s="1357" t="s">
        <v>114</v>
      </c>
      <c r="H7" s="1357"/>
      <c r="I7" s="1358" t="s">
        <v>37</v>
      </c>
      <c r="J7" s="1348" t="s">
        <v>190</v>
      </c>
      <c r="K7" s="1348"/>
      <c r="L7" s="1348" t="s">
        <v>191</v>
      </c>
      <c r="M7" s="1348"/>
      <c r="N7" s="1348" t="s">
        <v>258</v>
      </c>
      <c r="O7" s="1348"/>
      <c r="P7" s="1348" t="s">
        <v>596</v>
      </c>
      <c r="Q7" s="1348"/>
      <c r="R7" s="1348" t="s">
        <v>192</v>
      </c>
      <c r="S7" s="1348"/>
      <c r="T7" s="1348" t="s">
        <v>193</v>
      </c>
      <c r="U7" s="1348"/>
      <c r="V7" s="1348" t="s">
        <v>597</v>
      </c>
      <c r="W7" s="1348"/>
      <c r="X7" s="1348" t="s">
        <v>598</v>
      </c>
      <c r="Y7" s="1348"/>
      <c r="Z7" s="1348" t="s">
        <v>599</v>
      </c>
      <c r="AA7" s="1348"/>
      <c r="AB7" s="1348" t="s">
        <v>600</v>
      </c>
      <c r="AC7" s="1348"/>
      <c r="AD7" s="1348" t="s">
        <v>601</v>
      </c>
      <c r="AE7" s="1348"/>
      <c r="AF7" s="1348" t="s">
        <v>602</v>
      </c>
      <c r="AG7" s="1348"/>
      <c r="AH7" s="1348" t="s">
        <v>603</v>
      </c>
      <c r="AI7" s="1348"/>
      <c r="AJ7" s="1348" t="s">
        <v>604</v>
      </c>
      <c r="AK7" s="1348"/>
      <c r="AL7" s="1348" t="s">
        <v>605</v>
      </c>
      <c r="AM7" s="1348"/>
      <c r="AN7" s="1348" t="s">
        <v>606</v>
      </c>
      <c r="AO7" s="1348"/>
      <c r="AP7" s="1348" t="s">
        <v>607</v>
      </c>
      <c r="AQ7" s="1348"/>
      <c r="AR7" s="1348" t="s">
        <v>608</v>
      </c>
      <c r="AS7" s="1348"/>
      <c r="AT7" s="1348" t="s">
        <v>194</v>
      </c>
      <c r="AU7" s="1348"/>
      <c r="AV7" s="1348" t="s">
        <v>195</v>
      </c>
      <c r="AW7" s="1348"/>
      <c r="AX7" s="1348" t="s">
        <v>609</v>
      </c>
      <c r="AY7" s="1348"/>
      <c r="AZ7" s="1348" t="s">
        <v>610</v>
      </c>
      <c r="BA7" s="1348"/>
      <c r="BB7" s="1348" t="s">
        <v>611</v>
      </c>
      <c r="BC7" s="1348"/>
      <c r="BD7" s="1348" t="s">
        <v>196</v>
      </c>
      <c r="BE7" s="1348"/>
      <c r="BF7" s="1348" t="s">
        <v>612</v>
      </c>
      <c r="BG7" s="1348"/>
      <c r="BH7" s="1348" t="s">
        <v>197</v>
      </c>
      <c r="BI7" s="1348"/>
      <c r="BJ7" s="1348" t="s">
        <v>613</v>
      </c>
      <c r="BK7" s="1348"/>
      <c r="BL7" s="1348" t="s">
        <v>614</v>
      </c>
      <c r="BM7" s="1348"/>
      <c r="BN7" s="1348" t="s">
        <v>615</v>
      </c>
      <c r="BO7" s="1348"/>
      <c r="BP7" s="1348" t="s">
        <v>616</v>
      </c>
      <c r="BQ7" s="1348"/>
      <c r="BR7" s="1348" t="s">
        <v>198</v>
      </c>
      <c r="BS7" s="1348"/>
      <c r="BT7" s="1348" t="s">
        <v>199</v>
      </c>
      <c r="BU7" s="1348"/>
      <c r="BV7" s="1348" t="s">
        <v>253</v>
      </c>
      <c r="BW7" s="1348"/>
      <c r="BX7" s="1348" t="s">
        <v>200</v>
      </c>
      <c r="BY7" s="1348"/>
      <c r="BZ7" s="1348" t="s">
        <v>201</v>
      </c>
      <c r="CA7" s="1348"/>
      <c r="CB7" s="1348" t="s">
        <v>202</v>
      </c>
      <c r="CC7" s="1348"/>
      <c r="CD7" s="1348" t="s">
        <v>617</v>
      </c>
      <c r="CE7" s="1348"/>
      <c r="CF7" s="1348" t="s">
        <v>618</v>
      </c>
      <c r="CG7" s="1348"/>
      <c r="CH7" s="1348" t="s">
        <v>203</v>
      </c>
      <c r="CI7" s="1348"/>
      <c r="CJ7" s="1348" t="s">
        <v>619</v>
      </c>
      <c r="CK7" s="1348"/>
      <c r="CL7" s="1348" t="s">
        <v>620</v>
      </c>
      <c r="CM7" s="1348"/>
      <c r="CN7" s="1348" t="s">
        <v>204</v>
      </c>
      <c r="CO7" s="1348"/>
      <c r="CP7" s="1348" t="s">
        <v>621</v>
      </c>
      <c r="CQ7" s="1348"/>
      <c r="CR7" s="1348" t="s">
        <v>205</v>
      </c>
      <c r="CS7" s="1348"/>
      <c r="CT7" s="1348" t="s">
        <v>206</v>
      </c>
      <c r="CU7" s="1348"/>
      <c r="CV7" s="1348" t="s">
        <v>207</v>
      </c>
      <c r="CW7" s="1348"/>
      <c r="CX7" s="1348" t="s">
        <v>208</v>
      </c>
      <c r="CY7" s="1348"/>
      <c r="CZ7" s="1348" t="s">
        <v>209</v>
      </c>
      <c r="DA7" s="1348"/>
    </row>
    <row r="8" spans="1:105" ht="22.5" customHeight="1">
      <c r="A8" s="1354"/>
      <c r="B8" s="1348"/>
      <c r="C8" s="772" t="s">
        <v>17</v>
      </c>
      <c r="D8" s="771" t="s">
        <v>34</v>
      </c>
      <c r="E8" s="1348"/>
      <c r="F8" s="1348"/>
      <c r="G8" s="773" t="s">
        <v>24</v>
      </c>
      <c r="H8" s="773" t="s">
        <v>25</v>
      </c>
      <c r="I8" s="1358"/>
      <c r="J8" s="771" t="s">
        <v>24</v>
      </c>
      <c r="K8" s="771" t="s">
        <v>25</v>
      </c>
      <c r="L8" s="771" t="s">
        <v>24</v>
      </c>
      <c r="M8" s="771" t="s">
        <v>25</v>
      </c>
      <c r="N8" s="771" t="s">
        <v>24</v>
      </c>
      <c r="O8" s="771" t="s">
        <v>25</v>
      </c>
      <c r="P8" s="771" t="s">
        <v>24</v>
      </c>
      <c r="Q8" s="771" t="s">
        <v>25</v>
      </c>
      <c r="R8" s="771" t="s">
        <v>24</v>
      </c>
      <c r="S8" s="771" t="s">
        <v>25</v>
      </c>
      <c r="T8" s="771" t="s">
        <v>24</v>
      </c>
      <c r="U8" s="771" t="s">
        <v>25</v>
      </c>
      <c r="V8" s="771" t="s">
        <v>24</v>
      </c>
      <c r="W8" s="771" t="s">
        <v>25</v>
      </c>
      <c r="X8" s="771" t="s">
        <v>24</v>
      </c>
      <c r="Y8" s="771" t="s">
        <v>25</v>
      </c>
      <c r="Z8" s="771" t="s">
        <v>24</v>
      </c>
      <c r="AA8" s="771" t="s">
        <v>25</v>
      </c>
      <c r="AB8" s="771" t="s">
        <v>24</v>
      </c>
      <c r="AC8" s="771" t="s">
        <v>25</v>
      </c>
      <c r="AD8" s="771" t="s">
        <v>24</v>
      </c>
      <c r="AE8" s="771" t="s">
        <v>25</v>
      </c>
      <c r="AF8" s="771" t="s">
        <v>24</v>
      </c>
      <c r="AG8" s="771" t="s">
        <v>25</v>
      </c>
      <c r="AH8" s="771" t="s">
        <v>24</v>
      </c>
      <c r="AI8" s="771" t="s">
        <v>25</v>
      </c>
      <c r="AJ8" s="771" t="s">
        <v>24</v>
      </c>
      <c r="AK8" s="771" t="s">
        <v>25</v>
      </c>
      <c r="AL8" s="771" t="s">
        <v>24</v>
      </c>
      <c r="AM8" s="771" t="s">
        <v>25</v>
      </c>
      <c r="AN8" s="771" t="s">
        <v>24</v>
      </c>
      <c r="AO8" s="771" t="s">
        <v>25</v>
      </c>
      <c r="AP8" s="771" t="s">
        <v>24</v>
      </c>
      <c r="AQ8" s="771" t="s">
        <v>25</v>
      </c>
      <c r="AR8" s="771" t="s">
        <v>24</v>
      </c>
      <c r="AS8" s="771" t="s">
        <v>25</v>
      </c>
      <c r="AT8" s="771" t="s">
        <v>24</v>
      </c>
      <c r="AU8" s="771" t="s">
        <v>25</v>
      </c>
      <c r="AV8" s="771" t="s">
        <v>24</v>
      </c>
      <c r="AW8" s="771" t="s">
        <v>25</v>
      </c>
      <c r="AX8" s="771" t="s">
        <v>24</v>
      </c>
      <c r="AY8" s="771" t="s">
        <v>25</v>
      </c>
      <c r="AZ8" s="771" t="s">
        <v>24</v>
      </c>
      <c r="BA8" s="771" t="s">
        <v>25</v>
      </c>
      <c r="BB8" s="771" t="s">
        <v>24</v>
      </c>
      <c r="BC8" s="771" t="s">
        <v>25</v>
      </c>
      <c r="BD8" s="771" t="s">
        <v>24</v>
      </c>
      <c r="BE8" s="771" t="s">
        <v>25</v>
      </c>
      <c r="BF8" s="771" t="s">
        <v>24</v>
      </c>
      <c r="BG8" s="771" t="s">
        <v>25</v>
      </c>
      <c r="BH8" s="771" t="s">
        <v>24</v>
      </c>
      <c r="BI8" s="771" t="s">
        <v>25</v>
      </c>
      <c r="BJ8" s="771" t="s">
        <v>24</v>
      </c>
      <c r="BK8" s="771" t="s">
        <v>25</v>
      </c>
      <c r="BL8" s="771" t="s">
        <v>24</v>
      </c>
      <c r="BM8" s="771" t="s">
        <v>25</v>
      </c>
      <c r="BN8" s="771" t="s">
        <v>24</v>
      </c>
      <c r="BO8" s="771" t="s">
        <v>25</v>
      </c>
      <c r="BP8" s="771" t="s">
        <v>24</v>
      </c>
      <c r="BQ8" s="771" t="s">
        <v>25</v>
      </c>
      <c r="BR8" s="771" t="s">
        <v>24</v>
      </c>
      <c r="BS8" s="771" t="s">
        <v>25</v>
      </c>
      <c r="BT8" s="771" t="s">
        <v>24</v>
      </c>
      <c r="BU8" s="771" t="s">
        <v>25</v>
      </c>
      <c r="BV8" s="771" t="s">
        <v>24</v>
      </c>
      <c r="BW8" s="771" t="s">
        <v>25</v>
      </c>
      <c r="BX8" s="771" t="s">
        <v>24</v>
      </c>
      <c r="BY8" s="771" t="s">
        <v>25</v>
      </c>
      <c r="BZ8" s="771" t="s">
        <v>24</v>
      </c>
      <c r="CA8" s="771" t="s">
        <v>25</v>
      </c>
      <c r="CB8" s="771" t="s">
        <v>24</v>
      </c>
      <c r="CC8" s="771" t="s">
        <v>25</v>
      </c>
      <c r="CD8" s="771" t="s">
        <v>24</v>
      </c>
      <c r="CE8" s="771" t="s">
        <v>25</v>
      </c>
      <c r="CF8" s="771" t="s">
        <v>24</v>
      </c>
      <c r="CG8" s="771" t="s">
        <v>25</v>
      </c>
      <c r="CH8" s="771" t="s">
        <v>24</v>
      </c>
      <c r="CI8" s="771" t="s">
        <v>25</v>
      </c>
      <c r="CJ8" s="771" t="s">
        <v>24</v>
      </c>
      <c r="CK8" s="771" t="s">
        <v>25</v>
      </c>
      <c r="CL8" s="771" t="s">
        <v>24</v>
      </c>
      <c r="CM8" s="771" t="s">
        <v>25</v>
      </c>
      <c r="CN8" s="771" t="s">
        <v>24</v>
      </c>
      <c r="CO8" s="771" t="s">
        <v>25</v>
      </c>
      <c r="CP8" s="771" t="s">
        <v>24</v>
      </c>
      <c r="CQ8" s="771" t="s">
        <v>25</v>
      </c>
      <c r="CR8" s="771" t="s">
        <v>24</v>
      </c>
      <c r="CS8" s="771" t="s">
        <v>25</v>
      </c>
      <c r="CT8" s="771" t="s">
        <v>24</v>
      </c>
      <c r="CU8" s="771" t="s">
        <v>25</v>
      </c>
      <c r="CV8" s="771" t="s">
        <v>24</v>
      </c>
      <c r="CW8" s="771" t="s">
        <v>25</v>
      </c>
      <c r="CX8" s="771" t="s">
        <v>24</v>
      </c>
      <c r="CY8" s="771" t="s">
        <v>25</v>
      </c>
      <c r="CZ8" s="771" t="s">
        <v>24</v>
      </c>
      <c r="DA8" s="771" t="s">
        <v>25</v>
      </c>
    </row>
    <row r="9" spans="1:105" s="249" customFormat="1" ht="8.25" customHeight="1">
      <c r="A9" s="248">
        <v>1</v>
      </c>
      <c r="B9" s="248">
        <v>2</v>
      </c>
      <c r="C9" s="248">
        <v>3</v>
      </c>
      <c r="D9" s="248">
        <v>4</v>
      </c>
      <c r="E9" s="248">
        <v>5</v>
      </c>
      <c r="F9" s="248">
        <v>6</v>
      </c>
      <c r="G9" s="248">
        <v>7</v>
      </c>
      <c r="H9" s="248">
        <v>8</v>
      </c>
      <c r="I9" s="248">
        <v>9</v>
      </c>
      <c r="J9" s="248">
        <v>10</v>
      </c>
      <c r="K9" s="248">
        <v>11</v>
      </c>
      <c r="L9" s="248">
        <v>12</v>
      </c>
      <c r="M9" s="248">
        <v>13</v>
      </c>
      <c r="N9" s="248">
        <v>14</v>
      </c>
      <c r="O9" s="248">
        <v>15</v>
      </c>
      <c r="P9" s="248">
        <v>16</v>
      </c>
      <c r="Q9" s="248">
        <v>17</v>
      </c>
      <c r="R9" s="248">
        <v>18</v>
      </c>
      <c r="S9" s="248">
        <v>19</v>
      </c>
      <c r="T9" s="248">
        <v>20</v>
      </c>
      <c r="U9" s="248">
        <v>21</v>
      </c>
      <c r="V9" s="248">
        <v>22</v>
      </c>
      <c r="W9" s="248">
        <v>23</v>
      </c>
      <c r="X9" s="248">
        <v>24</v>
      </c>
      <c r="Y9" s="248">
        <v>25</v>
      </c>
      <c r="Z9" s="248">
        <v>26</v>
      </c>
      <c r="AA9" s="248">
        <v>27</v>
      </c>
      <c r="AB9" s="248">
        <v>28</v>
      </c>
      <c r="AC9" s="248">
        <v>29</v>
      </c>
      <c r="AD9" s="248">
        <v>30</v>
      </c>
      <c r="AE9" s="248">
        <v>31</v>
      </c>
      <c r="AF9" s="248">
        <v>32</v>
      </c>
      <c r="AG9" s="248">
        <v>33</v>
      </c>
      <c r="AH9" s="248">
        <v>34</v>
      </c>
      <c r="AI9" s="248">
        <v>35</v>
      </c>
      <c r="AJ9" s="248">
        <v>36</v>
      </c>
      <c r="AK9" s="248">
        <v>37</v>
      </c>
      <c r="AL9" s="248">
        <v>38</v>
      </c>
      <c r="AM9" s="248">
        <v>39</v>
      </c>
      <c r="AN9" s="248">
        <v>40</v>
      </c>
      <c r="AO9" s="248">
        <v>41</v>
      </c>
      <c r="AP9" s="248">
        <v>42</v>
      </c>
      <c r="AQ9" s="248">
        <v>43</v>
      </c>
      <c r="AR9" s="248">
        <v>44</v>
      </c>
      <c r="AS9" s="248">
        <v>45</v>
      </c>
      <c r="AT9" s="248">
        <v>46</v>
      </c>
      <c r="AU9" s="248">
        <v>47</v>
      </c>
      <c r="AV9" s="248">
        <v>48</v>
      </c>
      <c r="AW9" s="248">
        <v>49</v>
      </c>
      <c r="AX9" s="248">
        <v>50</v>
      </c>
      <c r="AY9" s="248">
        <v>51</v>
      </c>
      <c r="AZ9" s="248">
        <v>52</v>
      </c>
      <c r="BA9" s="248">
        <v>53</v>
      </c>
      <c r="BB9" s="248">
        <v>54</v>
      </c>
      <c r="BC9" s="248">
        <v>55</v>
      </c>
      <c r="BD9" s="248">
        <v>56</v>
      </c>
      <c r="BE9" s="248">
        <v>57</v>
      </c>
      <c r="BF9" s="248">
        <v>58</v>
      </c>
      <c r="BG9" s="248">
        <v>59</v>
      </c>
      <c r="BH9" s="248">
        <v>60</v>
      </c>
      <c r="BI9" s="248">
        <v>61</v>
      </c>
      <c r="BJ9" s="248">
        <v>62</v>
      </c>
      <c r="BK9" s="248">
        <v>63</v>
      </c>
      <c r="BL9" s="248">
        <v>64</v>
      </c>
      <c r="BM9" s="248">
        <v>65</v>
      </c>
      <c r="BN9" s="248">
        <v>66</v>
      </c>
      <c r="BO9" s="248">
        <v>67</v>
      </c>
      <c r="BP9" s="248">
        <v>68</v>
      </c>
      <c r="BQ9" s="248">
        <v>69</v>
      </c>
      <c r="BR9" s="248">
        <v>70</v>
      </c>
      <c r="BS9" s="248">
        <v>71</v>
      </c>
      <c r="BT9" s="248">
        <v>72</v>
      </c>
      <c r="BU9" s="248">
        <v>73</v>
      </c>
      <c r="BV9" s="248">
        <v>72</v>
      </c>
      <c r="BW9" s="248">
        <v>73</v>
      </c>
      <c r="BX9" s="248">
        <v>74</v>
      </c>
      <c r="BY9" s="248">
        <v>75</v>
      </c>
      <c r="BZ9" s="248">
        <v>76</v>
      </c>
      <c r="CA9" s="248">
        <v>77</v>
      </c>
      <c r="CB9" s="248">
        <v>78</v>
      </c>
      <c r="CC9" s="248">
        <v>79</v>
      </c>
      <c r="CD9" s="248">
        <v>80</v>
      </c>
      <c r="CE9" s="248">
        <v>81</v>
      </c>
      <c r="CF9" s="248">
        <v>82</v>
      </c>
      <c r="CG9" s="248">
        <v>83</v>
      </c>
      <c r="CH9" s="248">
        <v>84</v>
      </c>
      <c r="CI9" s="248">
        <v>85</v>
      </c>
      <c r="CJ9" s="248">
        <v>86</v>
      </c>
      <c r="CK9" s="248">
        <v>87</v>
      </c>
      <c r="CL9" s="248">
        <v>88</v>
      </c>
      <c r="CM9" s="248">
        <v>89</v>
      </c>
      <c r="CN9" s="248">
        <v>90</v>
      </c>
      <c r="CO9" s="248">
        <v>91</v>
      </c>
      <c r="CP9" s="248">
        <v>92</v>
      </c>
      <c r="CQ9" s="248">
        <v>93</v>
      </c>
      <c r="CR9" s="248">
        <v>94</v>
      </c>
      <c r="CS9" s="248">
        <v>95</v>
      </c>
      <c r="CT9" s="248">
        <v>96</v>
      </c>
      <c r="CU9" s="248">
        <v>97</v>
      </c>
      <c r="CV9" s="248">
        <v>98</v>
      </c>
      <c r="CW9" s="248">
        <v>99</v>
      </c>
      <c r="CX9" s="248">
        <v>100</v>
      </c>
      <c r="CY9" s="248">
        <v>101</v>
      </c>
      <c r="CZ9" s="248">
        <v>102</v>
      </c>
      <c r="DA9" s="248">
        <v>103</v>
      </c>
    </row>
    <row r="10" spans="1:105" s="257" customFormat="1" ht="12.75" customHeight="1">
      <c r="A10" s="60" t="str">
        <f t="array" ref="A10">IF(C10&lt;&gt;0,SUM(($C10:C$16&lt;&gt;0)*1),"")</f>
        <v/>
      </c>
      <c r="B10" s="250"/>
      <c r="C10" s="251"/>
      <c r="D10" s="250"/>
      <c r="E10" s="252" t="s">
        <v>210</v>
      </c>
      <c r="F10" s="253"/>
      <c r="G10" s="254"/>
      <c r="H10" s="254"/>
      <c r="I10" s="255"/>
      <c r="J10" s="256">
        <f ca="1">'SC-III'!J53</f>
        <v>0</v>
      </c>
      <c r="K10" s="256">
        <f ca="1">'SC-III'!K53</f>
        <v>0</v>
      </c>
      <c r="L10" s="256">
        <f ca="1">'SC-III'!L53</f>
        <v>0</v>
      </c>
      <c r="M10" s="256">
        <f ca="1">'SC-III'!M53</f>
        <v>0</v>
      </c>
      <c r="N10" s="256">
        <f ca="1">'SC-III'!N53</f>
        <v>0</v>
      </c>
      <c r="O10" s="256">
        <f ca="1">'SC-III'!O53</f>
        <v>0</v>
      </c>
      <c r="P10" s="256">
        <f ca="1">'SC-III'!P53</f>
        <v>0</v>
      </c>
      <c r="Q10" s="256">
        <f ca="1">'SC-III'!Q53</f>
        <v>0</v>
      </c>
      <c r="R10" s="256">
        <f ca="1">'SC-III'!R53</f>
        <v>0</v>
      </c>
      <c r="S10" s="256">
        <f ca="1">'SC-III'!S53</f>
        <v>0</v>
      </c>
      <c r="T10" s="256">
        <f ca="1">'SC-III'!T53</f>
        <v>0</v>
      </c>
      <c r="U10" s="256">
        <f ca="1">'SC-III'!U53</f>
        <v>0</v>
      </c>
      <c r="V10" s="256">
        <f ca="1">'SC-III'!V53</f>
        <v>0</v>
      </c>
      <c r="W10" s="256">
        <f ca="1">'SC-III'!W53</f>
        <v>0</v>
      </c>
      <c r="X10" s="256">
        <f ca="1">'SC-III'!X53</f>
        <v>0</v>
      </c>
      <c r="Y10" s="256">
        <f ca="1">'SC-III'!Y53</f>
        <v>0</v>
      </c>
      <c r="Z10" s="256">
        <f ca="1">'SC-III'!Z53</f>
        <v>0</v>
      </c>
      <c r="AA10" s="256">
        <f ca="1">'SC-III'!AA53</f>
        <v>0</v>
      </c>
      <c r="AB10" s="256">
        <f ca="1">'SC-III'!AB53</f>
        <v>0</v>
      </c>
      <c r="AC10" s="256">
        <f ca="1">'SC-III'!AC53</f>
        <v>0</v>
      </c>
      <c r="AD10" s="256">
        <f ca="1">'SC-III'!AD53</f>
        <v>0</v>
      </c>
      <c r="AE10" s="256">
        <f ca="1">'SC-III'!AE53</f>
        <v>0</v>
      </c>
      <c r="AF10" s="256">
        <f ca="1">'SC-III'!AF53</f>
        <v>0</v>
      </c>
      <c r="AG10" s="256">
        <f ca="1">'SC-III'!AG53</f>
        <v>0</v>
      </c>
      <c r="AH10" s="256">
        <f ca="1">'SC-III'!AH53</f>
        <v>0</v>
      </c>
      <c r="AI10" s="256">
        <f ca="1">'SC-III'!AI53</f>
        <v>0</v>
      </c>
      <c r="AJ10" s="256">
        <f ca="1">'SC-III'!AJ53</f>
        <v>0</v>
      </c>
      <c r="AK10" s="256">
        <f ca="1">'SC-III'!AK53</f>
        <v>0</v>
      </c>
      <c r="AL10" s="256">
        <f ca="1">'SC-III'!AL53</f>
        <v>0</v>
      </c>
      <c r="AM10" s="256">
        <f ca="1">'SC-III'!AM53</f>
        <v>0</v>
      </c>
      <c r="AN10" s="256">
        <f ca="1">'SC-III'!AN53</f>
        <v>0</v>
      </c>
      <c r="AO10" s="256">
        <f ca="1">'SC-III'!AO53</f>
        <v>0</v>
      </c>
      <c r="AP10" s="256">
        <f ca="1">'SC-III'!AP53</f>
        <v>0</v>
      </c>
      <c r="AQ10" s="256">
        <f ca="1">'SC-III'!AQ53</f>
        <v>0</v>
      </c>
      <c r="AR10" s="256">
        <f ca="1">'SC-III'!AR53</f>
        <v>0</v>
      </c>
      <c r="AS10" s="256">
        <f ca="1">'SC-III'!AS53</f>
        <v>0</v>
      </c>
      <c r="AT10" s="256">
        <f ca="1">'SC-III'!AT53</f>
        <v>0</v>
      </c>
      <c r="AU10" s="256">
        <f ca="1">'SC-III'!AU53</f>
        <v>0</v>
      </c>
      <c r="AV10" s="256">
        <f ca="1">'SC-III'!AV53</f>
        <v>0</v>
      </c>
      <c r="AW10" s="256">
        <f ca="1">'SC-III'!AW53</f>
        <v>0</v>
      </c>
      <c r="AX10" s="256">
        <f ca="1">'SC-III'!AX53</f>
        <v>0</v>
      </c>
      <c r="AY10" s="256">
        <f ca="1">'SC-III'!AY53</f>
        <v>0</v>
      </c>
      <c r="AZ10" s="256">
        <f ca="1">'SC-III'!AZ53</f>
        <v>0</v>
      </c>
      <c r="BA10" s="256">
        <f ca="1">'SC-III'!BA53</f>
        <v>0</v>
      </c>
      <c r="BB10" s="256">
        <f ca="1">'SC-III'!BB53</f>
        <v>0</v>
      </c>
      <c r="BC10" s="256">
        <f ca="1">'SC-III'!BC53</f>
        <v>0</v>
      </c>
      <c r="BD10" s="256">
        <f ca="1">'SC-III'!BD53</f>
        <v>0</v>
      </c>
      <c r="BE10" s="256">
        <f ca="1">'SC-III'!BE53</f>
        <v>0</v>
      </c>
      <c r="BF10" s="256">
        <f ca="1">'SC-III'!BF53</f>
        <v>0</v>
      </c>
      <c r="BG10" s="256">
        <f ca="1">'SC-III'!BG53</f>
        <v>0</v>
      </c>
      <c r="BH10" s="256">
        <f ca="1">'SC-III'!BH53</f>
        <v>0</v>
      </c>
      <c r="BI10" s="256">
        <f ca="1">'SC-III'!BI53</f>
        <v>0</v>
      </c>
      <c r="BJ10" s="256">
        <f ca="1">'SC-III'!BJ53</f>
        <v>0</v>
      </c>
      <c r="BK10" s="256">
        <f ca="1">'SC-III'!BK53</f>
        <v>0</v>
      </c>
      <c r="BL10" s="256">
        <f ca="1">'SC-III'!BL53</f>
        <v>0</v>
      </c>
      <c r="BM10" s="256">
        <f ca="1">'SC-III'!BM53</f>
        <v>0</v>
      </c>
      <c r="BN10" s="256">
        <f ca="1">'SC-III'!BN53</f>
        <v>0</v>
      </c>
      <c r="BO10" s="256">
        <f ca="1">'SC-III'!BO53</f>
        <v>0</v>
      </c>
      <c r="BP10" s="256">
        <f ca="1">'SC-III'!BP53</f>
        <v>0</v>
      </c>
      <c r="BQ10" s="256">
        <f ca="1">'SC-III'!BQ53</f>
        <v>0</v>
      </c>
      <c r="BR10" s="256">
        <f ca="1">'SC-III'!BR53</f>
        <v>0</v>
      </c>
      <c r="BS10" s="256">
        <f ca="1">'SC-III'!BS53</f>
        <v>0</v>
      </c>
      <c r="BT10" s="256">
        <f ca="1">'SC-III'!BT53</f>
        <v>0</v>
      </c>
      <c r="BU10" s="256">
        <f ca="1">'SC-III'!BU53</f>
        <v>0</v>
      </c>
      <c r="BV10" s="256">
        <f ca="1">'SC-III'!BV53</f>
        <v>0</v>
      </c>
      <c r="BW10" s="256">
        <f ca="1">'SC-III'!BW53</f>
        <v>0</v>
      </c>
      <c r="BX10" s="256">
        <f ca="1">'SC-III'!BX53</f>
        <v>0</v>
      </c>
      <c r="BY10" s="256">
        <f ca="1">'SC-III'!BY53</f>
        <v>0</v>
      </c>
      <c r="BZ10" s="256">
        <f ca="1">'SC-III'!BZ53</f>
        <v>0</v>
      </c>
      <c r="CA10" s="256">
        <f ca="1">'SC-III'!CA53</f>
        <v>107861885.00000048</v>
      </c>
      <c r="CB10" s="256">
        <f ca="1">'SC-III'!CB53</f>
        <v>107861885.00000048</v>
      </c>
      <c r="CC10" s="256">
        <f ca="1">'SC-III'!CC53</f>
        <v>0</v>
      </c>
      <c r="CD10" s="256">
        <f ca="1">'SC-III'!CD53</f>
        <v>0</v>
      </c>
      <c r="CE10" s="256">
        <f ca="1">'SC-III'!CE53</f>
        <v>0</v>
      </c>
      <c r="CF10" s="256">
        <f ca="1">'SC-III'!CF53</f>
        <v>0</v>
      </c>
      <c r="CG10" s="256">
        <f ca="1">'SC-III'!CG53</f>
        <v>0</v>
      </c>
      <c r="CH10" s="256">
        <f ca="1">'SC-III'!CH53</f>
        <v>0</v>
      </c>
      <c r="CI10" s="256">
        <f ca="1">'SC-III'!CI53</f>
        <v>0</v>
      </c>
      <c r="CJ10" s="256">
        <f ca="1">'SC-III'!CJ53</f>
        <v>0</v>
      </c>
      <c r="CK10" s="256">
        <f ca="1">'SC-III'!CK53</f>
        <v>0</v>
      </c>
      <c r="CL10" s="256">
        <f ca="1">'SC-III'!CL53</f>
        <v>0</v>
      </c>
      <c r="CM10" s="256">
        <f ca="1">'SC-III'!CM53</f>
        <v>0</v>
      </c>
      <c r="CN10" s="256">
        <f ca="1">'SC-III'!CN53</f>
        <v>0</v>
      </c>
      <c r="CO10" s="256">
        <f ca="1">'SC-III'!CO53</f>
        <v>0</v>
      </c>
      <c r="CP10" s="256">
        <f ca="1">'SC-III'!CP53</f>
        <v>0</v>
      </c>
      <c r="CQ10" s="256">
        <f ca="1">'SC-III'!CQ53</f>
        <v>0</v>
      </c>
      <c r="CR10" s="256">
        <f ca="1">'SC-III'!CR53</f>
        <v>0</v>
      </c>
      <c r="CS10" s="256">
        <f ca="1">'SC-III'!CS53</f>
        <v>0</v>
      </c>
      <c r="CT10" s="256">
        <f ca="1">'SC-III'!CT53</f>
        <v>0</v>
      </c>
      <c r="CU10" s="256">
        <f ca="1">'SC-III'!CU53</f>
        <v>0</v>
      </c>
      <c r="CV10" s="256">
        <f ca="1">'SC-III'!CV53</f>
        <v>0</v>
      </c>
      <c r="CW10" s="256">
        <f ca="1">'SC-III'!CW53</f>
        <v>0</v>
      </c>
      <c r="CX10" s="256">
        <f ca="1">'SC-III'!CX53</f>
        <v>0</v>
      </c>
      <c r="CY10" s="256">
        <f ca="1">'SC-III'!CY53</f>
        <v>0</v>
      </c>
      <c r="CZ10" s="256">
        <f ca="1">'SC-III'!CZ53</f>
        <v>0</v>
      </c>
      <c r="DA10" s="256">
        <f ca="1">'SC-III'!DA53</f>
        <v>0</v>
      </c>
    </row>
    <row r="11" spans="1:105" s="257" customFormat="1" ht="16.5" customHeight="1">
      <c r="A11" s="60">
        <f t="array" aca="1" ref="A11" ca="1">IF(C11&lt;&gt;0,SUM(($C$11:C11&lt;&gt;0)*1),"")</f>
        <v>1</v>
      </c>
      <c r="B11" s="258" t="str">
        <f ca="1">IF(ROWS($1:1)&gt;COUNT(Dong9),"",OFFSET(TH!C$1,SMALL(Dong9,ROWS($1:1)),))</f>
        <v/>
      </c>
      <c r="C11" s="258" t="str">
        <f ca="1">IF(ROWS($1:1)&gt;COUNT(Dong9),"",OFFSET(TH!D$1,SMALL(Dong9,ROWS($1:1)),))</f>
        <v/>
      </c>
      <c r="D11" s="258" t="str">
        <f ca="1">IF(ROWS($1:1)&gt;COUNT(Dong9),"",OFFSET(TH!E$1,SMALL(Dong9,ROWS($1:1)),))</f>
        <v/>
      </c>
      <c r="E11" s="337" t="str">
        <f ca="1">IF(ROWS($1:1)&gt;COUNT(Dong9),"",OFFSET(TH!F$1,SMALL(Dong9,ROWS($1:1)),))</f>
        <v/>
      </c>
      <c r="F11" s="309" t="str">
        <f ca="1">IF(ROWS($1:1)&gt;COUNT(Dong9),"",OFFSET(TH!M$1,SMALL(Dong9,ROWS($1:1)),))</f>
        <v/>
      </c>
      <c r="G11" s="311" t="str">
        <f ca="1">IF(ROWS($1:1)&gt;COUNT(Dong9),"",OFFSET(TH!N$1,SMALL(Dong9,ROWS($1:1)),))</f>
        <v/>
      </c>
      <c r="H11" s="311" t="str">
        <f ca="1">IF(ROWS($1:1)&gt;COUNT(Dong9),"",OFFSET(TH!O$1,SMALL(Dong9,ROWS($1:1)),))</f>
        <v/>
      </c>
      <c r="I11" s="60">
        <f t="shared" ref="I11:I50" ca="1" si="0">A11</f>
        <v>1</v>
      </c>
      <c r="J11" s="260">
        <f ca="1">IF($G11="1111",$F11,0)</f>
        <v>0</v>
      </c>
      <c r="K11" s="260">
        <f ca="1">IF($H11="1111",$F11,0)</f>
        <v>0</v>
      </c>
      <c r="L11" s="260">
        <f t="shared" ref="L11:L50" ca="1" si="1">IF($G11="1121",$F11,0)</f>
        <v>0</v>
      </c>
      <c r="M11" s="260">
        <f t="shared" ref="M11:M50" ca="1" si="2">IF($H11="1121",$F11,0)</f>
        <v>0</v>
      </c>
      <c r="N11" s="260">
        <f t="shared" ref="N11:N50" ca="1" si="3">IF($G11="1122",$F11,0)</f>
        <v>0</v>
      </c>
      <c r="O11" s="260">
        <f t="shared" ref="O11:O50" ca="1" si="4">IF($H11="1122",$F11,0)</f>
        <v>0</v>
      </c>
      <c r="P11" s="260">
        <f t="shared" ref="P11:P50" ca="1" si="5">IF($G11="131",$F11,0)</f>
        <v>0</v>
      </c>
      <c r="Q11" s="260">
        <f t="shared" ref="Q11:Q50" ca="1" si="6">IF($H11="131",$F11,0)</f>
        <v>0</v>
      </c>
      <c r="R11" s="260">
        <f t="shared" ref="R11:R50" ca="1" si="7">IF($G11="1331",$F11,0)</f>
        <v>0</v>
      </c>
      <c r="S11" s="260">
        <f t="shared" ref="S11:S50" ca="1" si="8">IF($H11="1331",$F11,0)</f>
        <v>0</v>
      </c>
      <c r="T11" s="260">
        <f t="shared" ref="T11:T50" ca="1" si="9">IF($G11="1388",$F11,0)</f>
        <v>0</v>
      </c>
      <c r="U11" s="260">
        <f t="shared" ref="U11:U50" ca="1" si="10">IF($H11="1388",$F11,0)</f>
        <v>0</v>
      </c>
      <c r="V11" s="260">
        <f t="shared" ref="V11:V50" ca="1" si="11">IF($G11="141",$F11,0)</f>
        <v>0</v>
      </c>
      <c r="W11" s="260">
        <f t="shared" ref="W11:W50" ca="1" si="12">IF($H11="141",$F11,0)</f>
        <v>0</v>
      </c>
      <c r="X11" s="260">
        <f t="shared" ref="X11:X50" ca="1" si="13">IF($G11="1521",$F11,0)</f>
        <v>0</v>
      </c>
      <c r="Y11" s="260">
        <f t="shared" ref="Y11:Y50" ca="1" si="14">IF($H11="1521",$F11,0)</f>
        <v>0</v>
      </c>
      <c r="Z11" s="260">
        <f t="shared" ref="Z11:Z50" ca="1" si="15">IF($G11="1522",$F11,0)</f>
        <v>0</v>
      </c>
      <c r="AA11" s="260">
        <f t="shared" ref="AA11:AA50" ca="1" si="16">IF($H11="1522",$F11,0)</f>
        <v>0</v>
      </c>
      <c r="AB11" s="260">
        <f ca="1">IF($G11="153",$F11,0)</f>
        <v>0</v>
      </c>
      <c r="AC11" s="260">
        <f ca="1">IF($H11="153",$F11,0)</f>
        <v>0</v>
      </c>
      <c r="AD11" s="260">
        <f t="shared" ref="AD11:AD50" ca="1" si="17">IF($G11="154",$F11,0)</f>
        <v>0</v>
      </c>
      <c r="AE11" s="260">
        <f t="shared" ref="AE11:AE50" ca="1" si="18">IF($H11="154",$F11,0)</f>
        <v>0</v>
      </c>
      <c r="AF11" s="260">
        <f t="shared" ref="AF11:AF50" ca="1" si="19">IF($G11="155",$F11,0)</f>
        <v>0</v>
      </c>
      <c r="AG11" s="260">
        <f t="shared" ref="AG11:AG50" ca="1" si="20">IF($H11="155",$F11,0)</f>
        <v>0</v>
      </c>
      <c r="AH11" s="260">
        <f ca="1">IF($G11="2111",$F11,0)</f>
        <v>0</v>
      </c>
      <c r="AI11" s="260">
        <f ca="1">IF($H11="2111",$F11,0)</f>
        <v>0</v>
      </c>
      <c r="AJ11" s="260">
        <f ca="1">IF($G11="2112",$F11,0)</f>
        <v>0</v>
      </c>
      <c r="AK11" s="260">
        <f ca="1">IF($H11="2112",$F11,0)</f>
        <v>0</v>
      </c>
      <c r="AL11" s="260">
        <f ca="1">IF($G11="2113",$F11,0)</f>
        <v>0</v>
      </c>
      <c r="AM11" s="260">
        <f ca="1">IF($H11="2113",$F11,0)</f>
        <v>0</v>
      </c>
      <c r="AN11" s="260">
        <f ca="1">IF($G11="2131",$F11,0)</f>
        <v>0</v>
      </c>
      <c r="AO11" s="260">
        <f ca="1">IF($H11="2131",$F11,0)</f>
        <v>0</v>
      </c>
      <c r="AP11" s="260">
        <f t="shared" ref="AP11:AP50" ca="1" si="21">IF($G11="2141",$F11,0)</f>
        <v>0</v>
      </c>
      <c r="AQ11" s="260">
        <f t="shared" ref="AQ11:AQ50" ca="1" si="22">IF($H11="2141",$F11,0)</f>
        <v>0</v>
      </c>
      <c r="AR11" s="260">
        <f t="shared" ref="AR11:AR50" ca="1" si="23">IF($G11="2143",$F11,0)</f>
        <v>0</v>
      </c>
      <c r="AS11" s="260">
        <f t="shared" ref="AS11:AS50" ca="1" si="24">IF($H11="2143",$F11,0)</f>
        <v>0</v>
      </c>
      <c r="AT11" s="260">
        <f ca="1">IF($G11="2412",$F11,0)</f>
        <v>0</v>
      </c>
      <c r="AU11" s="260">
        <f ca="1">IF($H11="2412",$F11,0)</f>
        <v>0</v>
      </c>
      <c r="AV11" s="260">
        <f t="shared" ref="AV11:AV50" ca="1" si="25">IF($G11="331",$F11,0)</f>
        <v>0</v>
      </c>
      <c r="AW11" s="260">
        <f t="shared" ref="AW11:AW50" ca="1" si="26">IF($H11="331",$F11,0)</f>
        <v>0</v>
      </c>
      <c r="AX11" s="260">
        <f t="shared" ref="AX11:AX50" ca="1" si="27">IF($G11="33311",$F11,0)</f>
        <v>0</v>
      </c>
      <c r="AY11" s="260">
        <f t="shared" ref="AY11:AY50" ca="1" si="28">IF($H11="33311",$F11,0)</f>
        <v>0</v>
      </c>
      <c r="AZ11" s="260">
        <f t="shared" ref="AZ11:AZ50" ca="1" si="29">IF($G11="33312",$F11,0)</f>
        <v>0</v>
      </c>
      <c r="BA11" s="260">
        <f t="shared" ref="BA11:BA50" ca="1" si="30">IF($H11="33312",$F11,0)</f>
        <v>0</v>
      </c>
      <c r="BB11" s="260">
        <f t="shared" ref="BB11:BB50" ca="1" si="31">IF($G11="3333",$F11,0)</f>
        <v>0</v>
      </c>
      <c r="BC11" s="260">
        <f t="shared" ref="BC11:BC50" ca="1" si="32">IF($H11="3333",$F11,0)</f>
        <v>0</v>
      </c>
      <c r="BD11" s="260">
        <f t="shared" ref="BD11:BD50" ca="1" si="33">IF($G11="3334",$F11,0)</f>
        <v>0</v>
      </c>
      <c r="BE11" s="260">
        <f t="shared" ref="BE11:BE50" ca="1" si="34">IF($H11="3334",$F11,0)</f>
        <v>0</v>
      </c>
      <c r="BF11" s="260">
        <f t="shared" ref="BF11:BF50" ca="1" si="35">IF($G11="3335",$F11,0)</f>
        <v>0</v>
      </c>
      <c r="BG11" s="260">
        <f t="shared" ref="BG11:BG50" ca="1" si="36">IF($H11="3335",$F11,0)</f>
        <v>0</v>
      </c>
      <c r="BH11" s="260">
        <f ca="1">IF($G11="33382",$F11,0)</f>
        <v>0</v>
      </c>
      <c r="BI11" s="260">
        <f ca="1">IF($H11="33382",$F11,0)</f>
        <v>0</v>
      </c>
      <c r="BJ11" s="260">
        <f t="shared" ref="BJ11:BJ50" ca="1" si="37">IF($G11="3341",$F11,0)</f>
        <v>0</v>
      </c>
      <c r="BK11" s="260">
        <f t="shared" ref="BK11:BK50" ca="1" si="38">IF($H11="3341",$F11,0)</f>
        <v>0</v>
      </c>
      <c r="BL11" s="260">
        <f t="shared" ref="BL11:BL50" ca="1" si="39">IF($G11="3383",$F11,0)</f>
        <v>0</v>
      </c>
      <c r="BM11" s="260">
        <f t="shared" ref="BM11:BM50" ca="1" si="40">IF($H11="3383",$F11,0)</f>
        <v>0</v>
      </c>
      <c r="BN11" s="260">
        <f t="shared" ref="BN11:BN50" ca="1" si="41">IF($G11="3384",$F11,0)</f>
        <v>0</v>
      </c>
      <c r="BO11" s="260">
        <f t="shared" ref="BO11:BO50" ca="1" si="42">IF($H11="3384",$F11,0)</f>
        <v>0</v>
      </c>
      <c r="BP11" s="260">
        <f ca="1">IF($G11="3386",$F11,0)</f>
        <v>0</v>
      </c>
      <c r="BQ11" s="260">
        <f ca="1">IF($H11="3386",$F11,0)</f>
        <v>0</v>
      </c>
      <c r="BR11" s="260">
        <f t="shared" ref="BR11:BR50" ca="1" si="43">IF($G11="3388",$F11,0)</f>
        <v>0</v>
      </c>
      <c r="BS11" s="260">
        <f t="shared" ref="BS11:BS50" ca="1" si="44">IF($H11="3388",$F11,0)</f>
        <v>0</v>
      </c>
      <c r="BT11" s="260">
        <f ca="1">IF($G11="3411",$F11,0)</f>
        <v>0</v>
      </c>
      <c r="BU11" s="260">
        <f ca="1">IF($H11="3411",$F11,0)</f>
        <v>0</v>
      </c>
      <c r="BV11" s="260">
        <f ca="1">IF($G11="3412",$F11,0)</f>
        <v>0</v>
      </c>
      <c r="BW11" s="260">
        <f ca="1">IF($H11="3412",$F11,0)</f>
        <v>0</v>
      </c>
      <c r="BX11" s="260">
        <f t="shared" ref="BX11:BX50" ca="1" si="45">IF($G11="4111",$F11,0)</f>
        <v>0</v>
      </c>
      <c r="BY11" s="260">
        <f t="shared" ref="BY11:BY50" ca="1" si="46">IF($H11="4111",$F11,0)</f>
        <v>0</v>
      </c>
      <c r="BZ11" s="260">
        <f t="shared" ref="BZ11:BZ50" ca="1" si="47">IF($G11="4211",$F11,0)</f>
        <v>0</v>
      </c>
      <c r="CA11" s="260">
        <f t="shared" ref="CA11:CA50" ca="1" si="48">IF($H11="4211",$F11,0)</f>
        <v>0</v>
      </c>
      <c r="CB11" s="260">
        <f t="shared" ref="CB11:CB50" ca="1" si="49">IF($G11="4212",$F11,0)</f>
        <v>0</v>
      </c>
      <c r="CC11" s="260">
        <f t="shared" ref="CC11:CC50" ca="1" si="50">IF($H11="4212",$F11,0)</f>
        <v>0</v>
      </c>
      <c r="CD11" s="260">
        <f ca="1">IF($G11="5112N",$F11,0)</f>
        <v>0</v>
      </c>
      <c r="CE11" s="260">
        <f ca="1">IF($H11="5112N",$F11,0)</f>
        <v>0</v>
      </c>
      <c r="CF11" s="260">
        <f ca="1">IF($G11="5112X",$F11,0)</f>
        <v>0</v>
      </c>
      <c r="CG11" s="260">
        <f ca="1">IF($H11="5112X",$F11,0)</f>
        <v>0</v>
      </c>
      <c r="CH11" s="260">
        <f t="shared" ref="CH11:CH50" ca="1" si="51">IF($G11="515",$F11,0)</f>
        <v>0</v>
      </c>
      <c r="CI11" s="260">
        <f t="shared" ref="CI11:CI50" ca="1" si="52">IF($H11="515",$F11,0)</f>
        <v>0</v>
      </c>
      <c r="CJ11" s="260">
        <f ca="1">IF($G11="5213",$F11,0)</f>
        <v>0</v>
      </c>
      <c r="CK11" s="260">
        <f ca="1">IF($H11="5213",$F11,0)</f>
        <v>0</v>
      </c>
      <c r="CL11" s="260">
        <f t="shared" ref="CL11:CL50" ca="1" si="53">IF($G11="632",$F11,0)</f>
        <v>0</v>
      </c>
      <c r="CM11" s="260">
        <f t="shared" ref="CM11:CM50" ca="1" si="54">IF($H11="632",$F11,0)</f>
        <v>0</v>
      </c>
      <c r="CN11" s="260">
        <f t="shared" ref="CN11:CN50" ca="1" si="55">IF($G11="635",$F11,0)</f>
        <v>0</v>
      </c>
      <c r="CO11" s="260">
        <f t="shared" ref="CO11:CO50" ca="1" si="56">IF($H11="635",$F11,0)</f>
        <v>0</v>
      </c>
      <c r="CP11" s="260">
        <f ca="1">IF($G11="641",$F11,0)</f>
        <v>0</v>
      </c>
      <c r="CQ11" s="260">
        <f ca="1">IF($H11="641",$F11,0)</f>
        <v>0</v>
      </c>
      <c r="CR11" s="260">
        <f ca="1">IF($G11="642",$F11,0)</f>
        <v>0</v>
      </c>
      <c r="CS11" s="260">
        <f ca="1">IF($H11="642",$F11,0)</f>
        <v>0</v>
      </c>
      <c r="CT11" s="260">
        <f t="shared" ref="CT11:CT50" ca="1" si="57">IF($G11="711",$F11,0)</f>
        <v>0</v>
      </c>
      <c r="CU11" s="260">
        <f t="shared" ref="CU11:CU50" ca="1" si="58">IF($H11="711",$F11,0)</f>
        <v>0</v>
      </c>
      <c r="CV11" s="260">
        <f t="shared" ref="CV11:CV50" ca="1" si="59">IF($G11="811",$F11,0)</f>
        <v>0</v>
      </c>
      <c r="CW11" s="260">
        <f t="shared" ref="CW11:CW50" ca="1" si="60">IF($H11="811",$F11,0)</f>
        <v>0</v>
      </c>
      <c r="CX11" s="260">
        <f ca="1">IF($G11="821",$F11,0)</f>
        <v>0</v>
      </c>
      <c r="CY11" s="260">
        <f ca="1">IF($H11="821",$F11,0)</f>
        <v>0</v>
      </c>
      <c r="CZ11" s="260">
        <f ca="1">IF($G11="911",$F11,0)</f>
        <v>0</v>
      </c>
      <c r="DA11" s="260">
        <f ca="1">IF($H11="911",$F11,0)</f>
        <v>0</v>
      </c>
    </row>
    <row r="12" spans="1:105" s="257" customFormat="1" ht="16.5" customHeight="1">
      <c r="A12" s="60" t="str">
        <f t="array" ref="A12">IF(C12&lt;&gt;0,SUM(($C$11:C12&lt;&gt;0)*1),"")</f>
        <v/>
      </c>
      <c r="B12" s="258"/>
      <c r="C12" s="258"/>
      <c r="D12" s="258"/>
      <c r="E12" s="337"/>
      <c r="F12" s="309"/>
      <c r="G12" s="311"/>
      <c r="H12" s="311"/>
      <c r="I12" s="60" t="str">
        <f t="shared" si="0"/>
        <v/>
      </c>
      <c r="J12" s="260">
        <f t="shared" ref="J12:J50" si="61">IF($G12="1111",$F12,0)</f>
        <v>0</v>
      </c>
      <c r="K12" s="260">
        <f t="shared" ref="K12:K50" si="62">IF($H12="1111",$F12,0)</f>
        <v>0</v>
      </c>
      <c r="L12" s="260">
        <f t="shared" si="1"/>
        <v>0</v>
      </c>
      <c r="M12" s="260">
        <f t="shared" si="2"/>
        <v>0</v>
      </c>
      <c r="N12" s="260">
        <f t="shared" si="3"/>
        <v>0</v>
      </c>
      <c r="O12" s="260">
        <f t="shared" si="4"/>
        <v>0</v>
      </c>
      <c r="P12" s="260">
        <f t="shared" si="5"/>
        <v>0</v>
      </c>
      <c r="Q12" s="260">
        <f t="shared" si="6"/>
        <v>0</v>
      </c>
      <c r="R12" s="260">
        <f t="shared" si="7"/>
        <v>0</v>
      </c>
      <c r="S12" s="260">
        <f t="shared" si="8"/>
        <v>0</v>
      </c>
      <c r="T12" s="260">
        <f t="shared" si="9"/>
        <v>0</v>
      </c>
      <c r="U12" s="260">
        <f t="shared" si="10"/>
        <v>0</v>
      </c>
      <c r="V12" s="260">
        <f t="shared" si="11"/>
        <v>0</v>
      </c>
      <c r="W12" s="260">
        <f t="shared" si="12"/>
        <v>0</v>
      </c>
      <c r="X12" s="260">
        <f t="shared" si="13"/>
        <v>0</v>
      </c>
      <c r="Y12" s="260">
        <f t="shared" si="14"/>
        <v>0</v>
      </c>
      <c r="Z12" s="260">
        <f t="shared" si="15"/>
        <v>0</v>
      </c>
      <c r="AA12" s="260">
        <f t="shared" si="16"/>
        <v>0</v>
      </c>
      <c r="AB12" s="260">
        <f t="shared" ref="AB12:AB50" si="63">IF($G12="153",$F12,0)</f>
        <v>0</v>
      </c>
      <c r="AC12" s="260">
        <f t="shared" ref="AC12:AC50" si="64">IF($H12="153",$F12,0)</f>
        <v>0</v>
      </c>
      <c r="AD12" s="260">
        <f t="shared" si="17"/>
        <v>0</v>
      </c>
      <c r="AE12" s="260">
        <f t="shared" si="18"/>
        <v>0</v>
      </c>
      <c r="AF12" s="260">
        <f t="shared" si="19"/>
        <v>0</v>
      </c>
      <c r="AG12" s="260">
        <f t="shared" si="20"/>
        <v>0</v>
      </c>
      <c r="AH12" s="260">
        <f t="shared" ref="AH12:AH50" si="65">IF($G12="2111",$F12,0)</f>
        <v>0</v>
      </c>
      <c r="AI12" s="260">
        <f t="shared" ref="AI12:AI50" si="66">IF($H12="2111",$F12,0)</f>
        <v>0</v>
      </c>
      <c r="AJ12" s="260">
        <f t="shared" ref="AJ12:AJ50" si="67">IF($G12="2112",$F12,0)</f>
        <v>0</v>
      </c>
      <c r="AK12" s="260">
        <f t="shared" ref="AK12:AK50" si="68">IF($H12="2112",$F12,0)</f>
        <v>0</v>
      </c>
      <c r="AL12" s="260">
        <f t="shared" ref="AL12:AL50" si="69">IF($G12="2113",$F12,0)</f>
        <v>0</v>
      </c>
      <c r="AM12" s="260">
        <f t="shared" ref="AM12:AM50" si="70">IF($H12="2113",$F12,0)</f>
        <v>0</v>
      </c>
      <c r="AN12" s="260">
        <f t="shared" ref="AN12:AN50" si="71">IF($G12="2131",$F12,0)</f>
        <v>0</v>
      </c>
      <c r="AO12" s="260">
        <f t="shared" ref="AO12:AO50" si="72">IF($H12="2131",$F12,0)</f>
        <v>0</v>
      </c>
      <c r="AP12" s="260">
        <f t="shared" si="21"/>
        <v>0</v>
      </c>
      <c r="AQ12" s="260">
        <f t="shared" si="22"/>
        <v>0</v>
      </c>
      <c r="AR12" s="260">
        <f t="shared" si="23"/>
        <v>0</v>
      </c>
      <c r="AS12" s="260">
        <f t="shared" si="24"/>
        <v>0</v>
      </c>
      <c r="AT12" s="260">
        <f t="shared" ref="AT12:AT50" si="73">IF($G12="2412",$F12,0)</f>
        <v>0</v>
      </c>
      <c r="AU12" s="260">
        <f t="shared" ref="AU12:AU50" si="74">IF($H12="2412",$F12,0)</f>
        <v>0</v>
      </c>
      <c r="AV12" s="260">
        <f t="shared" si="25"/>
        <v>0</v>
      </c>
      <c r="AW12" s="260">
        <f t="shared" si="26"/>
        <v>0</v>
      </c>
      <c r="AX12" s="260">
        <f t="shared" si="27"/>
        <v>0</v>
      </c>
      <c r="AY12" s="260">
        <f t="shared" si="28"/>
        <v>0</v>
      </c>
      <c r="AZ12" s="260">
        <f t="shared" si="29"/>
        <v>0</v>
      </c>
      <c r="BA12" s="260">
        <f t="shared" si="30"/>
        <v>0</v>
      </c>
      <c r="BB12" s="260">
        <f t="shared" si="31"/>
        <v>0</v>
      </c>
      <c r="BC12" s="260">
        <f t="shared" si="32"/>
        <v>0</v>
      </c>
      <c r="BD12" s="260">
        <f t="shared" si="33"/>
        <v>0</v>
      </c>
      <c r="BE12" s="260">
        <f t="shared" si="34"/>
        <v>0</v>
      </c>
      <c r="BF12" s="260">
        <f t="shared" si="35"/>
        <v>0</v>
      </c>
      <c r="BG12" s="260">
        <f t="shared" si="36"/>
        <v>0</v>
      </c>
      <c r="BH12" s="260">
        <f t="shared" ref="BH12:BH50" si="75">IF($G12="33382",$F12,0)</f>
        <v>0</v>
      </c>
      <c r="BI12" s="260">
        <f t="shared" ref="BI12:BI50" si="76">IF($H12="33382",$F12,0)</f>
        <v>0</v>
      </c>
      <c r="BJ12" s="260">
        <f t="shared" si="37"/>
        <v>0</v>
      </c>
      <c r="BK12" s="260">
        <f t="shared" si="38"/>
        <v>0</v>
      </c>
      <c r="BL12" s="260">
        <f t="shared" si="39"/>
        <v>0</v>
      </c>
      <c r="BM12" s="260">
        <f t="shared" si="40"/>
        <v>0</v>
      </c>
      <c r="BN12" s="260">
        <f t="shared" si="41"/>
        <v>0</v>
      </c>
      <c r="BO12" s="260">
        <f t="shared" si="42"/>
        <v>0</v>
      </c>
      <c r="BP12" s="260">
        <f t="shared" ref="BP12:BP50" si="77">IF($G12="3386",$F12,0)</f>
        <v>0</v>
      </c>
      <c r="BQ12" s="260">
        <f t="shared" ref="BQ12:BQ50" si="78">IF($H12="3386",$F12,0)</f>
        <v>0</v>
      </c>
      <c r="BR12" s="260">
        <f t="shared" si="43"/>
        <v>0</v>
      </c>
      <c r="BS12" s="260">
        <f t="shared" si="44"/>
        <v>0</v>
      </c>
      <c r="BT12" s="260">
        <f t="shared" ref="BT12:BT50" si="79">IF($G12="3411",$F12,0)</f>
        <v>0</v>
      </c>
      <c r="BU12" s="260">
        <f t="shared" ref="BU12:BU50" si="80">IF($H12="3411",$F12,0)</f>
        <v>0</v>
      </c>
      <c r="BV12" s="260">
        <f t="shared" ref="BV12:BV50" si="81">IF($G12="3412",$F12,0)</f>
        <v>0</v>
      </c>
      <c r="BW12" s="260">
        <f t="shared" ref="BW12:BW50" si="82">IF($H12="3412",$F12,0)</f>
        <v>0</v>
      </c>
      <c r="BX12" s="260">
        <f t="shared" si="45"/>
        <v>0</v>
      </c>
      <c r="BY12" s="260">
        <f t="shared" si="46"/>
        <v>0</v>
      </c>
      <c r="BZ12" s="260">
        <f t="shared" si="47"/>
        <v>0</v>
      </c>
      <c r="CA12" s="260">
        <f t="shared" si="48"/>
        <v>0</v>
      </c>
      <c r="CB12" s="260">
        <f t="shared" si="49"/>
        <v>0</v>
      </c>
      <c r="CC12" s="260">
        <f t="shared" si="50"/>
        <v>0</v>
      </c>
      <c r="CD12" s="260">
        <f t="shared" ref="CD12:CD50" si="83">IF($G12="5112N",$F12,0)</f>
        <v>0</v>
      </c>
      <c r="CE12" s="260">
        <f t="shared" ref="CE12:CE50" si="84">IF($H12="5112N",$F12,0)</f>
        <v>0</v>
      </c>
      <c r="CF12" s="260">
        <f t="shared" ref="CF12:CF50" si="85">IF($G12="5112X",$F12,0)</f>
        <v>0</v>
      </c>
      <c r="CG12" s="260">
        <f t="shared" ref="CG12:CG50" si="86">IF($H12="5112X",$F12,0)</f>
        <v>0</v>
      </c>
      <c r="CH12" s="260">
        <f t="shared" si="51"/>
        <v>0</v>
      </c>
      <c r="CI12" s="260">
        <f t="shared" si="52"/>
        <v>0</v>
      </c>
      <c r="CJ12" s="260">
        <f t="shared" ref="CJ12:CJ50" si="87">IF($G12="5213",$F12,0)</f>
        <v>0</v>
      </c>
      <c r="CK12" s="260">
        <f t="shared" ref="CK12:CK50" si="88">IF($H12="5213",$F12,0)</f>
        <v>0</v>
      </c>
      <c r="CL12" s="260">
        <f t="shared" si="53"/>
        <v>0</v>
      </c>
      <c r="CM12" s="260">
        <f t="shared" si="54"/>
        <v>0</v>
      </c>
      <c r="CN12" s="260">
        <f t="shared" si="55"/>
        <v>0</v>
      </c>
      <c r="CO12" s="260">
        <f t="shared" si="56"/>
        <v>0</v>
      </c>
      <c r="CP12" s="260">
        <f t="shared" ref="CP12:CP50" si="89">IF($G12="641",$F12,0)</f>
        <v>0</v>
      </c>
      <c r="CQ12" s="260">
        <f t="shared" ref="CQ12:CQ50" si="90">IF($H12="641",$F12,0)</f>
        <v>0</v>
      </c>
      <c r="CR12" s="260">
        <f t="shared" ref="CR12:CR50" si="91">IF($G12="642",$F12,0)</f>
        <v>0</v>
      </c>
      <c r="CS12" s="260">
        <f t="shared" ref="CS12:CS50" si="92">IF($H12="642",$F12,0)</f>
        <v>0</v>
      </c>
      <c r="CT12" s="260">
        <f t="shared" si="57"/>
        <v>0</v>
      </c>
      <c r="CU12" s="260">
        <f t="shared" si="58"/>
        <v>0</v>
      </c>
      <c r="CV12" s="260">
        <f t="shared" si="59"/>
        <v>0</v>
      </c>
      <c r="CW12" s="260">
        <f t="shared" si="60"/>
        <v>0</v>
      </c>
      <c r="CX12" s="260">
        <f t="shared" ref="CX12:CX50" si="93">IF($G12="821",$F12,0)</f>
        <v>0</v>
      </c>
      <c r="CY12" s="260">
        <f t="shared" ref="CY12:CY50" si="94">IF($H12="821",$F12,0)</f>
        <v>0</v>
      </c>
      <c r="CZ12" s="260">
        <f t="shared" ref="CZ12:CZ50" si="95">IF($G12="911",$F12,0)</f>
        <v>0</v>
      </c>
      <c r="DA12" s="260">
        <f t="shared" ref="DA12:DA50" si="96">IF($H12="911",$F12,0)</f>
        <v>0</v>
      </c>
    </row>
    <row r="13" spans="1:105" s="257" customFormat="1" ht="16.5" customHeight="1">
      <c r="A13" s="60" t="str">
        <f t="array" ref="A13">IF(C13&lt;&gt;0,SUM(($C$11:C13&lt;&gt;0)*1),"")</f>
        <v/>
      </c>
      <c r="B13" s="258"/>
      <c r="C13" s="258"/>
      <c r="D13" s="258"/>
      <c r="E13" s="337"/>
      <c r="F13" s="309"/>
      <c r="G13" s="311"/>
      <c r="H13" s="311"/>
      <c r="I13" s="60" t="str">
        <f t="shared" si="0"/>
        <v/>
      </c>
      <c r="J13" s="260">
        <f t="shared" si="61"/>
        <v>0</v>
      </c>
      <c r="K13" s="260">
        <f t="shared" si="62"/>
        <v>0</v>
      </c>
      <c r="L13" s="260">
        <f t="shared" si="1"/>
        <v>0</v>
      </c>
      <c r="M13" s="260">
        <f t="shared" si="2"/>
        <v>0</v>
      </c>
      <c r="N13" s="260">
        <f t="shared" si="3"/>
        <v>0</v>
      </c>
      <c r="O13" s="260">
        <f t="shared" si="4"/>
        <v>0</v>
      </c>
      <c r="P13" s="260">
        <f t="shared" si="5"/>
        <v>0</v>
      </c>
      <c r="Q13" s="260">
        <f t="shared" si="6"/>
        <v>0</v>
      </c>
      <c r="R13" s="260">
        <f t="shared" si="7"/>
        <v>0</v>
      </c>
      <c r="S13" s="260">
        <f t="shared" si="8"/>
        <v>0</v>
      </c>
      <c r="T13" s="260">
        <f t="shared" si="9"/>
        <v>0</v>
      </c>
      <c r="U13" s="260">
        <f t="shared" si="10"/>
        <v>0</v>
      </c>
      <c r="V13" s="260">
        <f t="shared" si="11"/>
        <v>0</v>
      </c>
      <c r="W13" s="260">
        <f t="shared" si="12"/>
        <v>0</v>
      </c>
      <c r="X13" s="260">
        <f t="shared" si="13"/>
        <v>0</v>
      </c>
      <c r="Y13" s="260">
        <f t="shared" si="14"/>
        <v>0</v>
      </c>
      <c r="Z13" s="260">
        <f t="shared" si="15"/>
        <v>0</v>
      </c>
      <c r="AA13" s="260">
        <f t="shared" si="16"/>
        <v>0</v>
      </c>
      <c r="AB13" s="260">
        <f t="shared" si="63"/>
        <v>0</v>
      </c>
      <c r="AC13" s="260">
        <f t="shared" si="64"/>
        <v>0</v>
      </c>
      <c r="AD13" s="260">
        <f t="shared" si="17"/>
        <v>0</v>
      </c>
      <c r="AE13" s="260">
        <f t="shared" si="18"/>
        <v>0</v>
      </c>
      <c r="AF13" s="260">
        <f t="shared" si="19"/>
        <v>0</v>
      </c>
      <c r="AG13" s="260">
        <f t="shared" si="20"/>
        <v>0</v>
      </c>
      <c r="AH13" s="260">
        <f t="shared" si="65"/>
        <v>0</v>
      </c>
      <c r="AI13" s="260">
        <f t="shared" si="66"/>
        <v>0</v>
      </c>
      <c r="AJ13" s="260">
        <f t="shared" si="67"/>
        <v>0</v>
      </c>
      <c r="AK13" s="260">
        <f t="shared" si="68"/>
        <v>0</v>
      </c>
      <c r="AL13" s="260">
        <f t="shared" si="69"/>
        <v>0</v>
      </c>
      <c r="AM13" s="260">
        <f t="shared" si="70"/>
        <v>0</v>
      </c>
      <c r="AN13" s="260">
        <f t="shared" si="71"/>
        <v>0</v>
      </c>
      <c r="AO13" s="260">
        <f t="shared" si="72"/>
        <v>0</v>
      </c>
      <c r="AP13" s="260">
        <f t="shared" si="21"/>
        <v>0</v>
      </c>
      <c r="AQ13" s="260">
        <f t="shared" si="22"/>
        <v>0</v>
      </c>
      <c r="AR13" s="260">
        <f t="shared" si="23"/>
        <v>0</v>
      </c>
      <c r="AS13" s="260">
        <f t="shared" si="24"/>
        <v>0</v>
      </c>
      <c r="AT13" s="260">
        <f t="shared" si="73"/>
        <v>0</v>
      </c>
      <c r="AU13" s="260">
        <f t="shared" si="74"/>
        <v>0</v>
      </c>
      <c r="AV13" s="260">
        <f t="shared" si="25"/>
        <v>0</v>
      </c>
      <c r="AW13" s="260">
        <f t="shared" si="26"/>
        <v>0</v>
      </c>
      <c r="AX13" s="260">
        <f t="shared" si="27"/>
        <v>0</v>
      </c>
      <c r="AY13" s="260">
        <f t="shared" si="28"/>
        <v>0</v>
      </c>
      <c r="AZ13" s="260">
        <f t="shared" si="29"/>
        <v>0</v>
      </c>
      <c r="BA13" s="260">
        <f t="shared" si="30"/>
        <v>0</v>
      </c>
      <c r="BB13" s="260">
        <f t="shared" si="31"/>
        <v>0</v>
      </c>
      <c r="BC13" s="260">
        <f t="shared" si="32"/>
        <v>0</v>
      </c>
      <c r="BD13" s="260">
        <f t="shared" si="33"/>
        <v>0</v>
      </c>
      <c r="BE13" s="260">
        <f t="shared" si="34"/>
        <v>0</v>
      </c>
      <c r="BF13" s="260">
        <f t="shared" si="35"/>
        <v>0</v>
      </c>
      <c r="BG13" s="260">
        <f t="shared" si="36"/>
        <v>0</v>
      </c>
      <c r="BH13" s="260">
        <f t="shared" si="75"/>
        <v>0</v>
      </c>
      <c r="BI13" s="260">
        <f t="shared" si="76"/>
        <v>0</v>
      </c>
      <c r="BJ13" s="260">
        <f t="shared" si="37"/>
        <v>0</v>
      </c>
      <c r="BK13" s="260">
        <f t="shared" si="38"/>
        <v>0</v>
      </c>
      <c r="BL13" s="260">
        <f t="shared" si="39"/>
        <v>0</v>
      </c>
      <c r="BM13" s="260">
        <f t="shared" si="40"/>
        <v>0</v>
      </c>
      <c r="BN13" s="260">
        <f t="shared" si="41"/>
        <v>0</v>
      </c>
      <c r="BO13" s="260">
        <f t="shared" si="42"/>
        <v>0</v>
      </c>
      <c r="BP13" s="260">
        <f t="shared" si="77"/>
        <v>0</v>
      </c>
      <c r="BQ13" s="260">
        <f t="shared" si="78"/>
        <v>0</v>
      </c>
      <c r="BR13" s="260">
        <f t="shared" si="43"/>
        <v>0</v>
      </c>
      <c r="BS13" s="260">
        <f t="shared" si="44"/>
        <v>0</v>
      </c>
      <c r="BT13" s="260">
        <f t="shared" si="79"/>
        <v>0</v>
      </c>
      <c r="BU13" s="260">
        <f t="shared" si="80"/>
        <v>0</v>
      </c>
      <c r="BV13" s="260">
        <f t="shared" si="81"/>
        <v>0</v>
      </c>
      <c r="BW13" s="260">
        <f t="shared" si="82"/>
        <v>0</v>
      </c>
      <c r="BX13" s="260">
        <f t="shared" si="45"/>
        <v>0</v>
      </c>
      <c r="BY13" s="260">
        <f t="shared" si="46"/>
        <v>0</v>
      </c>
      <c r="BZ13" s="260">
        <f t="shared" si="47"/>
        <v>0</v>
      </c>
      <c r="CA13" s="260">
        <f t="shared" si="48"/>
        <v>0</v>
      </c>
      <c r="CB13" s="260">
        <f t="shared" si="49"/>
        <v>0</v>
      </c>
      <c r="CC13" s="260">
        <f t="shared" si="50"/>
        <v>0</v>
      </c>
      <c r="CD13" s="260">
        <f t="shared" si="83"/>
        <v>0</v>
      </c>
      <c r="CE13" s="260">
        <f t="shared" si="84"/>
        <v>0</v>
      </c>
      <c r="CF13" s="260">
        <f t="shared" si="85"/>
        <v>0</v>
      </c>
      <c r="CG13" s="260">
        <f t="shared" si="86"/>
        <v>0</v>
      </c>
      <c r="CH13" s="260">
        <f t="shared" si="51"/>
        <v>0</v>
      </c>
      <c r="CI13" s="260">
        <f t="shared" si="52"/>
        <v>0</v>
      </c>
      <c r="CJ13" s="260">
        <f t="shared" si="87"/>
        <v>0</v>
      </c>
      <c r="CK13" s="260">
        <f t="shared" si="88"/>
        <v>0</v>
      </c>
      <c r="CL13" s="260">
        <f t="shared" si="53"/>
        <v>0</v>
      </c>
      <c r="CM13" s="260">
        <f t="shared" si="54"/>
        <v>0</v>
      </c>
      <c r="CN13" s="260">
        <f t="shared" si="55"/>
        <v>0</v>
      </c>
      <c r="CO13" s="260">
        <f t="shared" si="56"/>
        <v>0</v>
      </c>
      <c r="CP13" s="260">
        <f t="shared" si="89"/>
        <v>0</v>
      </c>
      <c r="CQ13" s="260">
        <f t="shared" si="90"/>
        <v>0</v>
      </c>
      <c r="CR13" s="260">
        <f t="shared" si="91"/>
        <v>0</v>
      </c>
      <c r="CS13" s="260">
        <f t="shared" si="92"/>
        <v>0</v>
      </c>
      <c r="CT13" s="260">
        <f t="shared" si="57"/>
        <v>0</v>
      </c>
      <c r="CU13" s="260">
        <f t="shared" si="58"/>
        <v>0</v>
      </c>
      <c r="CV13" s="260">
        <f t="shared" si="59"/>
        <v>0</v>
      </c>
      <c r="CW13" s="260">
        <f t="shared" si="60"/>
        <v>0</v>
      </c>
      <c r="CX13" s="260">
        <f t="shared" si="93"/>
        <v>0</v>
      </c>
      <c r="CY13" s="260">
        <f t="shared" si="94"/>
        <v>0</v>
      </c>
      <c r="CZ13" s="260">
        <f t="shared" si="95"/>
        <v>0</v>
      </c>
      <c r="DA13" s="260">
        <f t="shared" si="96"/>
        <v>0</v>
      </c>
    </row>
    <row r="14" spans="1:105" s="257" customFormat="1" ht="16.5" customHeight="1">
      <c r="A14" s="60" t="str">
        <f t="array" ref="A14">IF(C14&lt;&gt;0,SUM(($C$11:C14&lt;&gt;0)*1),"")</f>
        <v/>
      </c>
      <c r="B14" s="258"/>
      <c r="C14" s="258"/>
      <c r="D14" s="258"/>
      <c r="E14" s="337"/>
      <c r="F14" s="309"/>
      <c r="G14" s="311"/>
      <c r="H14" s="311"/>
      <c r="I14" s="60" t="str">
        <f t="shared" si="0"/>
        <v/>
      </c>
      <c r="J14" s="260">
        <f t="shared" si="61"/>
        <v>0</v>
      </c>
      <c r="K14" s="260">
        <f t="shared" si="62"/>
        <v>0</v>
      </c>
      <c r="L14" s="260">
        <f t="shared" si="1"/>
        <v>0</v>
      </c>
      <c r="M14" s="260">
        <f t="shared" si="2"/>
        <v>0</v>
      </c>
      <c r="N14" s="260">
        <f t="shared" si="3"/>
        <v>0</v>
      </c>
      <c r="O14" s="260">
        <f t="shared" si="4"/>
        <v>0</v>
      </c>
      <c r="P14" s="260">
        <f t="shared" si="5"/>
        <v>0</v>
      </c>
      <c r="Q14" s="260">
        <f t="shared" si="6"/>
        <v>0</v>
      </c>
      <c r="R14" s="260">
        <f t="shared" si="7"/>
        <v>0</v>
      </c>
      <c r="S14" s="260">
        <f t="shared" si="8"/>
        <v>0</v>
      </c>
      <c r="T14" s="260">
        <f t="shared" si="9"/>
        <v>0</v>
      </c>
      <c r="U14" s="260">
        <f t="shared" si="10"/>
        <v>0</v>
      </c>
      <c r="V14" s="260">
        <f t="shared" si="11"/>
        <v>0</v>
      </c>
      <c r="W14" s="260">
        <f t="shared" si="12"/>
        <v>0</v>
      </c>
      <c r="X14" s="260">
        <f t="shared" si="13"/>
        <v>0</v>
      </c>
      <c r="Y14" s="260">
        <f t="shared" si="14"/>
        <v>0</v>
      </c>
      <c r="Z14" s="260">
        <f t="shared" si="15"/>
        <v>0</v>
      </c>
      <c r="AA14" s="260">
        <f t="shared" si="16"/>
        <v>0</v>
      </c>
      <c r="AB14" s="260">
        <f t="shared" si="63"/>
        <v>0</v>
      </c>
      <c r="AC14" s="260">
        <f t="shared" si="64"/>
        <v>0</v>
      </c>
      <c r="AD14" s="260">
        <f t="shared" si="17"/>
        <v>0</v>
      </c>
      <c r="AE14" s="260">
        <f t="shared" si="18"/>
        <v>0</v>
      </c>
      <c r="AF14" s="260">
        <f t="shared" si="19"/>
        <v>0</v>
      </c>
      <c r="AG14" s="260">
        <f t="shared" si="20"/>
        <v>0</v>
      </c>
      <c r="AH14" s="260">
        <f t="shared" si="65"/>
        <v>0</v>
      </c>
      <c r="AI14" s="260">
        <f t="shared" si="66"/>
        <v>0</v>
      </c>
      <c r="AJ14" s="260">
        <f t="shared" si="67"/>
        <v>0</v>
      </c>
      <c r="AK14" s="260">
        <f t="shared" si="68"/>
        <v>0</v>
      </c>
      <c r="AL14" s="260">
        <f t="shared" si="69"/>
        <v>0</v>
      </c>
      <c r="AM14" s="260">
        <f t="shared" si="70"/>
        <v>0</v>
      </c>
      <c r="AN14" s="260">
        <f t="shared" si="71"/>
        <v>0</v>
      </c>
      <c r="AO14" s="260">
        <f t="shared" si="72"/>
        <v>0</v>
      </c>
      <c r="AP14" s="260">
        <f t="shared" si="21"/>
        <v>0</v>
      </c>
      <c r="AQ14" s="260">
        <f t="shared" si="22"/>
        <v>0</v>
      </c>
      <c r="AR14" s="260">
        <f t="shared" si="23"/>
        <v>0</v>
      </c>
      <c r="AS14" s="260">
        <f t="shared" si="24"/>
        <v>0</v>
      </c>
      <c r="AT14" s="260">
        <f t="shared" si="73"/>
        <v>0</v>
      </c>
      <c r="AU14" s="260">
        <f t="shared" si="74"/>
        <v>0</v>
      </c>
      <c r="AV14" s="260">
        <f t="shared" si="25"/>
        <v>0</v>
      </c>
      <c r="AW14" s="260">
        <f t="shared" si="26"/>
        <v>0</v>
      </c>
      <c r="AX14" s="260">
        <f t="shared" si="27"/>
        <v>0</v>
      </c>
      <c r="AY14" s="260">
        <f t="shared" si="28"/>
        <v>0</v>
      </c>
      <c r="AZ14" s="260">
        <f t="shared" si="29"/>
        <v>0</v>
      </c>
      <c r="BA14" s="260">
        <f t="shared" si="30"/>
        <v>0</v>
      </c>
      <c r="BB14" s="260">
        <f t="shared" si="31"/>
        <v>0</v>
      </c>
      <c r="BC14" s="260">
        <f t="shared" si="32"/>
        <v>0</v>
      </c>
      <c r="BD14" s="260">
        <f t="shared" si="33"/>
        <v>0</v>
      </c>
      <c r="BE14" s="260">
        <f t="shared" si="34"/>
        <v>0</v>
      </c>
      <c r="BF14" s="260">
        <f t="shared" si="35"/>
        <v>0</v>
      </c>
      <c r="BG14" s="260">
        <f t="shared" si="36"/>
        <v>0</v>
      </c>
      <c r="BH14" s="260">
        <f t="shared" si="75"/>
        <v>0</v>
      </c>
      <c r="BI14" s="260">
        <f t="shared" si="76"/>
        <v>0</v>
      </c>
      <c r="BJ14" s="260">
        <f t="shared" si="37"/>
        <v>0</v>
      </c>
      <c r="BK14" s="260">
        <f t="shared" si="38"/>
        <v>0</v>
      </c>
      <c r="BL14" s="260">
        <f t="shared" si="39"/>
        <v>0</v>
      </c>
      <c r="BM14" s="260">
        <f t="shared" si="40"/>
        <v>0</v>
      </c>
      <c r="BN14" s="260">
        <f t="shared" si="41"/>
        <v>0</v>
      </c>
      <c r="BO14" s="260">
        <f t="shared" si="42"/>
        <v>0</v>
      </c>
      <c r="BP14" s="260">
        <f t="shared" si="77"/>
        <v>0</v>
      </c>
      <c r="BQ14" s="260">
        <f t="shared" si="78"/>
        <v>0</v>
      </c>
      <c r="BR14" s="260">
        <f t="shared" si="43"/>
        <v>0</v>
      </c>
      <c r="BS14" s="260">
        <f t="shared" si="44"/>
        <v>0</v>
      </c>
      <c r="BT14" s="260">
        <f t="shared" si="79"/>
        <v>0</v>
      </c>
      <c r="BU14" s="260">
        <f t="shared" si="80"/>
        <v>0</v>
      </c>
      <c r="BV14" s="260">
        <f t="shared" si="81"/>
        <v>0</v>
      </c>
      <c r="BW14" s="260">
        <f t="shared" si="82"/>
        <v>0</v>
      </c>
      <c r="BX14" s="260">
        <f t="shared" si="45"/>
        <v>0</v>
      </c>
      <c r="BY14" s="260">
        <f t="shared" si="46"/>
        <v>0</v>
      </c>
      <c r="BZ14" s="260">
        <f t="shared" si="47"/>
        <v>0</v>
      </c>
      <c r="CA14" s="260">
        <f t="shared" si="48"/>
        <v>0</v>
      </c>
      <c r="CB14" s="260">
        <f t="shared" si="49"/>
        <v>0</v>
      </c>
      <c r="CC14" s="260">
        <f t="shared" si="50"/>
        <v>0</v>
      </c>
      <c r="CD14" s="260">
        <f t="shared" si="83"/>
        <v>0</v>
      </c>
      <c r="CE14" s="260">
        <f t="shared" si="84"/>
        <v>0</v>
      </c>
      <c r="CF14" s="260">
        <f t="shared" si="85"/>
        <v>0</v>
      </c>
      <c r="CG14" s="260">
        <f t="shared" si="86"/>
        <v>0</v>
      </c>
      <c r="CH14" s="260">
        <f t="shared" si="51"/>
        <v>0</v>
      </c>
      <c r="CI14" s="260">
        <f t="shared" si="52"/>
        <v>0</v>
      </c>
      <c r="CJ14" s="260">
        <f t="shared" si="87"/>
        <v>0</v>
      </c>
      <c r="CK14" s="260">
        <f t="shared" si="88"/>
        <v>0</v>
      </c>
      <c r="CL14" s="260">
        <f t="shared" si="53"/>
        <v>0</v>
      </c>
      <c r="CM14" s="260">
        <f t="shared" si="54"/>
        <v>0</v>
      </c>
      <c r="CN14" s="260">
        <f t="shared" si="55"/>
        <v>0</v>
      </c>
      <c r="CO14" s="260">
        <f t="shared" si="56"/>
        <v>0</v>
      </c>
      <c r="CP14" s="260">
        <f t="shared" si="89"/>
        <v>0</v>
      </c>
      <c r="CQ14" s="260">
        <f t="shared" si="90"/>
        <v>0</v>
      </c>
      <c r="CR14" s="260">
        <f t="shared" si="91"/>
        <v>0</v>
      </c>
      <c r="CS14" s="260">
        <f t="shared" si="92"/>
        <v>0</v>
      </c>
      <c r="CT14" s="260">
        <f t="shared" si="57"/>
        <v>0</v>
      </c>
      <c r="CU14" s="260">
        <f t="shared" si="58"/>
        <v>0</v>
      </c>
      <c r="CV14" s="260">
        <f t="shared" si="59"/>
        <v>0</v>
      </c>
      <c r="CW14" s="260">
        <f t="shared" si="60"/>
        <v>0</v>
      </c>
      <c r="CX14" s="260">
        <f t="shared" si="93"/>
        <v>0</v>
      </c>
      <c r="CY14" s="260">
        <f t="shared" si="94"/>
        <v>0</v>
      </c>
      <c r="CZ14" s="260">
        <f t="shared" si="95"/>
        <v>0</v>
      </c>
      <c r="DA14" s="260">
        <f t="shared" si="96"/>
        <v>0</v>
      </c>
    </row>
    <row r="15" spans="1:105" s="257" customFormat="1" ht="16.5" customHeight="1">
      <c r="A15" s="60" t="str">
        <f t="array" ref="A15">IF(C15&lt;&gt;0,SUM(($C$11:C15&lt;&gt;0)*1),"")</f>
        <v/>
      </c>
      <c r="B15" s="258"/>
      <c r="C15" s="258"/>
      <c r="D15" s="258"/>
      <c r="E15" s="337"/>
      <c r="F15" s="309"/>
      <c r="G15" s="311"/>
      <c r="H15" s="311"/>
      <c r="I15" s="60" t="str">
        <f t="shared" si="0"/>
        <v/>
      </c>
      <c r="J15" s="260">
        <f t="shared" si="61"/>
        <v>0</v>
      </c>
      <c r="K15" s="260">
        <f t="shared" si="62"/>
        <v>0</v>
      </c>
      <c r="L15" s="260">
        <f t="shared" si="1"/>
        <v>0</v>
      </c>
      <c r="M15" s="260">
        <f t="shared" si="2"/>
        <v>0</v>
      </c>
      <c r="N15" s="260">
        <f t="shared" si="3"/>
        <v>0</v>
      </c>
      <c r="O15" s="260">
        <f t="shared" si="4"/>
        <v>0</v>
      </c>
      <c r="P15" s="260">
        <f t="shared" si="5"/>
        <v>0</v>
      </c>
      <c r="Q15" s="260">
        <f t="shared" si="6"/>
        <v>0</v>
      </c>
      <c r="R15" s="260">
        <f t="shared" si="7"/>
        <v>0</v>
      </c>
      <c r="S15" s="260">
        <f t="shared" si="8"/>
        <v>0</v>
      </c>
      <c r="T15" s="260">
        <f t="shared" si="9"/>
        <v>0</v>
      </c>
      <c r="U15" s="260">
        <f t="shared" si="10"/>
        <v>0</v>
      </c>
      <c r="V15" s="260">
        <f t="shared" si="11"/>
        <v>0</v>
      </c>
      <c r="W15" s="260">
        <f t="shared" si="12"/>
        <v>0</v>
      </c>
      <c r="X15" s="260">
        <f t="shared" si="13"/>
        <v>0</v>
      </c>
      <c r="Y15" s="260">
        <f t="shared" si="14"/>
        <v>0</v>
      </c>
      <c r="Z15" s="260">
        <f t="shared" si="15"/>
        <v>0</v>
      </c>
      <c r="AA15" s="260">
        <f t="shared" si="16"/>
        <v>0</v>
      </c>
      <c r="AB15" s="260">
        <f t="shared" si="63"/>
        <v>0</v>
      </c>
      <c r="AC15" s="260">
        <f t="shared" si="64"/>
        <v>0</v>
      </c>
      <c r="AD15" s="260">
        <f t="shared" si="17"/>
        <v>0</v>
      </c>
      <c r="AE15" s="260">
        <f t="shared" si="18"/>
        <v>0</v>
      </c>
      <c r="AF15" s="260">
        <f t="shared" si="19"/>
        <v>0</v>
      </c>
      <c r="AG15" s="260">
        <f t="shared" si="20"/>
        <v>0</v>
      </c>
      <c r="AH15" s="260">
        <f t="shared" si="65"/>
        <v>0</v>
      </c>
      <c r="AI15" s="260">
        <f t="shared" si="66"/>
        <v>0</v>
      </c>
      <c r="AJ15" s="260">
        <f t="shared" si="67"/>
        <v>0</v>
      </c>
      <c r="AK15" s="260">
        <f t="shared" si="68"/>
        <v>0</v>
      </c>
      <c r="AL15" s="260">
        <f t="shared" si="69"/>
        <v>0</v>
      </c>
      <c r="AM15" s="260">
        <f t="shared" si="70"/>
        <v>0</v>
      </c>
      <c r="AN15" s="260">
        <f t="shared" si="71"/>
        <v>0</v>
      </c>
      <c r="AO15" s="260">
        <f t="shared" si="72"/>
        <v>0</v>
      </c>
      <c r="AP15" s="260">
        <f t="shared" si="21"/>
        <v>0</v>
      </c>
      <c r="AQ15" s="260">
        <f t="shared" si="22"/>
        <v>0</v>
      </c>
      <c r="AR15" s="260">
        <f t="shared" si="23"/>
        <v>0</v>
      </c>
      <c r="AS15" s="260">
        <f t="shared" si="24"/>
        <v>0</v>
      </c>
      <c r="AT15" s="260">
        <f t="shared" si="73"/>
        <v>0</v>
      </c>
      <c r="AU15" s="260">
        <f t="shared" si="74"/>
        <v>0</v>
      </c>
      <c r="AV15" s="260">
        <f t="shared" si="25"/>
        <v>0</v>
      </c>
      <c r="AW15" s="260">
        <f t="shared" si="26"/>
        <v>0</v>
      </c>
      <c r="AX15" s="260">
        <f t="shared" si="27"/>
        <v>0</v>
      </c>
      <c r="AY15" s="260">
        <f t="shared" si="28"/>
        <v>0</v>
      </c>
      <c r="AZ15" s="260">
        <f t="shared" si="29"/>
        <v>0</v>
      </c>
      <c r="BA15" s="260">
        <f t="shared" si="30"/>
        <v>0</v>
      </c>
      <c r="BB15" s="260">
        <f t="shared" si="31"/>
        <v>0</v>
      </c>
      <c r="BC15" s="260">
        <f t="shared" si="32"/>
        <v>0</v>
      </c>
      <c r="BD15" s="260">
        <f t="shared" si="33"/>
        <v>0</v>
      </c>
      <c r="BE15" s="260">
        <f t="shared" si="34"/>
        <v>0</v>
      </c>
      <c r="BF15" s="260">
        <f t="shared" si="35"/>
        <v>0</v>
      </c>
      <c r="BG15" s="260">
        <f t="shared" si="36"/>
        <v>0</v>
      </c>
      <c r="BH15" s="260">
        <f t="shared" si="75"/>
        <v>0</v>
      </c>
      <c r="BI15" s="260">
        <f t="shared" si="76"/>
        <v>0</v>
      </c>
      <c r="BJ15" s="260">
        <f t="shared" si="37"/>
        <v>0</v>
      </c>
      <c r="BK15" s="260">
        <f t="shared" si="38"/>
        <v>0</v>
      </c>
      <c r="BL15" s="260">
        <f t="shared" si="39"/>
        <v>0</v>
      </c>
      <c r="BM15" s="260">
        <f t="shared" si="40"/>
        <v>0</v>
      </c>
      <c r="BN15" s="260">
        <f t="shared" si="41"/>
        <v>0</v>
      </c>
      <c r="BO15" s="260">
        <f t="shared" si="42"/>
        <v>0</v>
      </c>
      <c r="BP15" s="260">
        <f t="shared" si="77"/>
        <v>0</v>
      </c>
      <c r="BQ15" s="260">
        <f t="shared" si="78"/>
        <v>0</v>
      </c>
      <c r="BR15" s="260">
        <f t="shared" si="43"/>
        <v>0</v>
      </c>
      <c r="BS15" s="260">
        <f t="shared" si="44"/>
        <v>0</v>
      </c>
      <c r="BT15" s="260">
        <f t="shared" si="79"/>
        <v>0</v>
      </c>
      <c r="BU15" s="260">
        <f t="shared" si="80"/>
        <v>0</v>
      </c>
      <c r="BV15" s="260">
        <f t="shared" si="81"/>
        <v>0</v>
      </c>
      <c r="BW15" s="260">
        <f t="shared" si="82"/>
        <v>0</v>
      </c>
      <c r="BX15" s="260">
        <f t="shared" si="45"/>
        <v>0</v>
      </c>
      <c r="BY15" s="260">
        <f t="shared" si="46"/>
        <v>0</v>
      </c>
      <c r="BZ15" s="260">
        <f t="shared" si="47"/>
        <v>0</v>
      </c>
      <c r="CA15" s="260">
        <f t="shared" si="48"/>
        <v>0</v>
      </c>
      <c r="CB15" s="260">
        <f t="shared" si="49"/>
        <v>0</v>
      </c>
      <c r="CC15" s="260">
        <f t="shared" si="50"/>
        <v>0</v>
      </c>
      <c r="CD15" s="260">
        <f t="shared" si="83"/>
        <v>0</v>
      </c>
      <c r="CE15" s="260">
        <f t="shared" si="84"/>
        <v>0</v>
      </c>
      <c r="CF15" s="260">
        <f t="shared" si="85"/>
        <v>0</v>
      </c>
      <c r="CG15" s="260">
        <f t="shared" si="86"/>
        <v>0</v>
      </c>
      <c r="CH15" s="260">
        <f t="shared" si="51"/>
        <v>0</v>
      </c>
      <c r="CI15" s="260">
        <f t="shared" si="52"/>
        <v>0</v>
      </c>
      <c r="CJ15" s="260">
        <f t="shared" si="87"/>
        <v>0</v>
      </c>
      <c r="CK15" s="260">
        <f t="shared" si="88"/>
        <v>0</v>
      </c>
      <c r="CL15" s="260">
        <f t="shared" si="53"/>
        <v>0</v>
      </c>
      <c r="CM15" s="260">
        <f t="shared" si="54"/>
        <v>0</v>
      </c>
      <c r="CN15" s="260">
        <f t="shared" si="55"/>
        <v>0</v>
      </c>
      <c r="CO15" s="260">
        <f t="shared" si="56"/>
        <v>0</v>
      </c>
      <c r="CP15" s="260">
        <f t="shared" si="89"/>
        <v>0</v>
      </c>
      <c r="CQ15" s="260">
        <f t="shared" si="90"/>
        <v>0</v>
      </c>
      <c r="CR15" s="260">
        <f t="shared" si="91"/>
        <v>0</v>
      </c>
      <c r="CS15" s="260">
        <f t="shared" si="92"/>
        <v>0</v>
      </c>
      <c r="CT15" s="260">
        <f t="shared" si="57"/>
        <v>0</v>
      </c>
      <c r="CU15" s="260">
        <f t="shared" si="58"/>
        <v>0</v>
      </c>
      <c r="CV15" s="260">
        <f t="shared" si="59"/>
        <v>0</v>
      </c>
      <c r="CW15" s="260">
        <f t="shared" si="60"/>
        <v>0</v>
      </c>
      <c r="CX15" s="260">
        <f t="shared" si="93"/>
        <v>0</v>
      </c>
      <c r="CY15" s="260">
        <f t="shared" si="94"/>
        <v>0</v>
      </c>
      <c r="CZ15" s="260">
        <f t="shared" si="95"/>
        <v>0</v>
      </c>
      <c r="DA15" s="260">
        <f t="shared" si="96"/>
        <v>0</v>
      </c>
    </row>
    <row r="16" spans="1:105" s="257" customFormat="1" ht="16.5" customHeight="1">
      <c r="A16" s="60" t="str">
        <f t="array" ref="A16">IF(C16&lt;&gt;0,SUM(($C$11:C16&lt;&gt;0)*1),"")</f>
        <v/>
      </c>
      <c r="B16" s="258"/>
      <c r="C16" s="258"/>
      <c r="D16" s="258"/>
      <c r="E16" s="337"/>
      <c r="F16" s="309"/>
      <c r="G16" s="311"/>
      <c r="H16" s="311"/>
      <c r="I16" s="60" t="str">
        <f t="shared" si="0"/>
        <v/>
      </c>
      <c r="J16" s="260">
        <f t="shared" si="61"/>
        <v>0</v>
      </c>
      <c r="K16" s="260">
        <f t="shared" si="62"/>
        <v>0</v>
      </c>
      <c r="L16" s="260">
        <f t="shared" si="1"/>
        <v>0</v>
      </c>
      <c r="M16" s="260">
        <f t="shared" si="2"/>
        <v>0</v>
      </c>
      <c r="N16" s="260">
        <f t="shared" si="3"/>
        <v>0</v>
      </c>
      <c r="O16" s="260">
        <f t="shared" si="4"/>
        <v>0</v>
      </c>
      <c r="P16" s="260">
        <f t="shared" si="5"/>
        <v>0</v>
      </c>
      <c r="Q16" s="260">
        <f t="shared" si="6"/>
        <v>0</v>
      </c>
      <c r="R16" s="260">
        <f t="shared" si="7"/>
        <v>0</v>
      </c>
      <c r="S16" s="260">
        <f t="shared" si="8"/>
        <v>0</v>
      </c>
      <c r="T16" s="260">
        <f t="shared" si="9"/>
        <v>0</v>
      </c>
      <c r="U16" s="260">
        <f t="shared" si="10"/>
        <v>0</v>
      </c>
      <c r="V16" s="260">
        <f t="shared" si="11"/>
        <v>0</v>
      </c>
      <c r="W16" s="260">
        <f t="shared" si="12"/>
        <v>0</v>
      </c>
      <c r="X16" s="260">
        <f t="shared" si="13"/>
        <v>0</v>
      </c>
      <c r="Y16" s="260">
        <f t="shared" si="14"/>
        <v>0</v>
      </c>
      <c r="Z16" s="260">
        <f t="shared" si="15"/>
        <v>0</v>
      </c>
      <c r="AA16" s="260">
        <f t="shared" si="16"/>
        <v>0</v>
      </c>
      <c r="AB16" s="260">
        <f t="shared" si="63"/>
        <v>0</v>
      </c>
      <c r="AC16" s="260">
        <f t="shared" si="64"/>
        <v>0</v>
      </c>
      <c r="AD16" s="260">
        <f t="shared" si="17"/>
        <v>0</v>
      </c>
      <c r="AE16" s="260">
        <f t="shared" si="18"/>
        <v>0</v>
      </c>
      <c r="AF16" s="260">
        <f t="shared" si="19"/>
        <v>0</v>
      </c>
      <c r="AG16" s="260">
        <f t="shared" si="20"/>
        <v>0</v>
      </c>
      <c r="AH16" s="260">
        <f t="shared" si="65"/>
        <v>0</v>
      </c>
      <c r="AI16" s="260">
        <f t="shared" si="66"/>
        <v>0</v>
      </c>
      <c r="AJ16" s="260">
        <f t="shared" si="67"/>
        <v>0</v>
      </c>
      <c r="AK16" s="260">
        <f t="shared" si="68"/>
        <v>0</v>
      </c>
      <c r="AL16" s="260">
        <f t="shared" si="69"/>
        <v>0</v>
      </c>
      <c r="AM16" s="260">
        <f t="shared" si="70"/>
        <v>0</v>
      </c>
      <c r="AN16" s="260">
        <f t="shared" si="71"/>
        <v>0</v>
      </c>
      <c r="AO16" s="260">
        <f t="shared" si="72"/>
        <v>0</v>
      </c>
      <c r="AP16" s="260">
        <f t="shared" si="21"/>
        <v>0</v>
      </c>
      <c r="AQ16" s="260">
        <f t="shared" si="22"/>
        <v>0</v>
      </c>
      <c r="AR16" s="260">
        <f t="shared" si="23"/>
        <v>0</v>
      </c>
      <c r="AS16" s="260">
        <f t="shared" si="24"/>
        <v>0</v>
      </c>
      <c r="AT16" s="260">
        <f t="shared" si="73"/>
        <v>0</v>
      </c>
      <c r="AU16" s="260">
        <f t="shared" si="74"/>
        <v>0</v>
      </c>
      <c r="AV16" s="260">
        <f t="shared" si="25"/>
        <v>0</v>
      </c>
      <c r="AW16" s="260">
        <f t="shared" si="26"/>
        <v>0</v>
      </c>
      <c r="AX16" s="260">
        <f t="shared" si="27"/>
        <v>0</v>
      </c>
      <c r="AY16" s="260">
        <f t="shared" si="28"/>
        <v>0</v>
      </c>
      <c r="AZ16" s="260">
        <f t="shared" si="29"/>
        <v>0</v>
      </c>
      <c r="BA16" s="260">
        <f t="shared" si="30"/>
        <v>0</v>
      </c>
      <c r="BB16" s="260">
        <f t="shared" si="31"/>
        <v>0</v>
      </c>
      <c r="BC16" s="260">
        <f t="shared" si="32"/>
        <v>0</v>
      </c>
      <c r="BD16" s="260">
        <f t="shared" si="33"/>
        <v>0</v>
      </c>
      <c r="BE16" s="260">
        <f t="shared" si="34"/>
        <v>0</v>
      </c>
      <c r="BF16" s="260">
        <f t="shared" si="35"/>
        <v>0</v>
      </c>
      <c r="BG16" s="260">
        <f t="shared" si="36"/>
        <v>0</v>
      </c>
      <c r="BH16" s="260">
        <f t="shared" si="75"/>
        <v>0</v>
      </c>
      <c r="BI16" s="260">
        <f t="shared" si="76"/>
        <v>0</v>
      </c>
      <c r="BJ16" s="260">
        <f t="shared" si="37"/>
        <v>0</v>
      </c>
      <c r="BK16" s="260">
        <f t="shared" si="38"/>
        <v>0</v>
      </c>
      <c r="BL16" s="260">
        <f t="shared" si="39"/>
        <v>0</v>
      </c>
      <c r="BM16" s="260">
        <f t="shared" si="40"/>
        <v>0</v>
      </c>
      <c r="BN16" s="260">
        <f t="shared" si="41"/>
        <v>0</v>
      </c>
      <c r="BO16" s="260">
        <f t="shared" si="42"/>
        <v>0</v>
      </c>
      <c r="BP16" s="260">
        <f t="shared" si="77"/>
        <v>0</v>
      </c>
      <c r="BQ16" s="260">
        <f t="shared" si="78"/>
        <v>0</v>
      </c>
      <c r="BR16" s="260">
        <f t="shared" si="43"/>
        <v>0</v>
      </c>
      <c r="BS16" s="260">
        <f t="shared" si="44"/>
        <v>0</v>
      </c>
      <c r="BT16" s="260">
        <f t="shared" si="79"/>
        <v>0</v>
      </c>
      <c r="BU16" s="260">
        <f t="shared" si="80"/>
        <v>0</v>
      </c>
      <c r="BV16" s="260">
        <f t="shared" si="81"/>
        <v>0</v>
      </c>
      <c r="BW16" s="260">
        <f t="shared" si="82"/>
        <v>0</v>
      </c>
      <c r="BX16" s="260">
        <f t="shared" si="45"/>
        <v>0</v>
      </c>
      <c r="BY16" s="260">
        <f t="shared" si="46"/>
        <v>0</v>
      </c>
      <c r="BZ16" s="260">
        <f t="shared" si="47"/>
        <v>0</v>
      </c>
      <c r="CA16" s="260">
        <f t="shared" si="48"/>
        <v>0</v>
      </c>
      <c r="CB16" s="260">
        <f t="shared" si="49"/>
        <v>0</v>
      </c>
      <c r="CC16" s="260">
        <f t="shared" si="50"/>
        <v>0</v>
      </c>
      <c r="CD16" s="260">
        <f t="shared" si="83"/>
        <v>0</v>
      </c>
      <c r="CE16" s="260">
        <f t="shared" si="84"/>
        <v>0</v>
      </c>
      <c r="CF16" s="260">
        <f t="shared" si="85"/>
        <v>0</v>
      </c>
      <c r="CG16" s="260">
        <f t="shared" si="86"/>
        <v>0</v>
      </c>
      <c r="CH16" s="260">
        <f t="shared" si="51"/>
        <v>0</v>
      </c>
      <c r="CI16" s="260">
        <f t="shared" si="52"/>
        <v>0</v>
      </c>
      <c r="CJ16" s="260">
        <f t="shared" si="87"/>
        <v>0</v>
      </c>
      <c r="CK16" s="260">
        <f t="shared" si="88"/>
        <v>0</v>
      </c>
      <c r="CL16" s="260">
        <f t="shared" si="53"/>
        <v>0</v>
      </c>
      <c r="CM16" s="260">
        <f t="shared" si="54"/>
        <v>0</v>
      </c>
      <c r="CN16" s="260">
        <f t="shared" si="55"/>
        <v>0</v>
      </c>
      <c r="CO16" s="260">
        <f t="shared" si="56"/>
        <v>0</v>
      </c>
      <c r="CP16" s="260">
        <f t="shared" si="89"/>
        <v>0</v>
      </c>
      <c r="CQ16" s="260">
        <f t="shared" si="90"/>
        <v>0</v>
      </c>
      <c r="CR16" s="260">
        <f t="shared" si="91"/>
        <v>0</v>
      </c>
      <c r="CS16" s="260">
        <f t="shared" si="92"/>
        <v>0</v>
      </c>
      <c r="CT16" s="260">
        <f t="shared" si="57"/>
        <v>0</v>
      </c>
      <c r="CU16" s="260">
        <f t="shared" si="58"/>
        <v>0</v>
      </c>
      <c r="CV16" s="260">
        <f t="shared" si="59"/>
        <v>0</v>
      </c>
      <c r="CW16" s="260">
        <f t="shared" si="60"/>
        <v>0</v>
      </c>
      <c r="CX16" s="260">
        <f t="shared" si="93"/>
        <v>0</v>
      </c>
      <c r="CY16" s="260">
        <f t="shared" si="94"/>
        <v>0</v>
      </c>
      <c r="CZ16" s="260">
        <f t="shared" si="95"/>
        <v>0</v>
      </c>
      <c r="DA16" s="260">
        <f t="shared" si="96"/>
        <v>0</v>
      </c>
    </row>
    <row r="17" spans="1:105" s="257" customFormat="1" ht="16.5" customHeight="1">
      <c r="A17" s="60" t="str">
        <f t="array" ref="A17">IF(C17&lt;&gt;0,SUM(($C$11:C17&lt;&gt;0)*1),"")</f>
        <v/>
      </c>
      <c r="B17" s="258"/>
      <c r="C17" s="258"/>
      <c r="D17" s="258"/>
      <c r="E17" s="337"/>
      <c r="F17" s="309"/>
      <c r="G17" s="311"/>
      <c r="H17" s="311"/>
      <c r="I17" s="60" t="str">
        <f t="shared" si="0"/>
        <v/>
      </c>
      <c r="J17" s="260">
        <f t="shared" si="61"/>
        <v>0</v>
      </c>
      <c r="K17" s="260">
        <f t="shared" si="62"/>
        <v>0</v>
      </c>
      <c r="L17" s="260">
        <f t="shared" si="1"/>
        <v>0</v>
      </c>
      <c r="M17" s="260">
        <f t="shared" si="2"/>
        <v>0</v>
      </c>
      <c r="N17" s="260">
        <f t="shared" si="3"/>
        <v>0</v>
      </c>
      <c r="O17" s="260">
        <f t="shared" si="4"/>
        <v>0</v>
      </c>
      <c r="P17" s="260">
        <f t="shared" si="5"/>
        <v>0</v>
      </c>
      <c r="Q17" s="260">
        <f t="shared" si="6"/>
        <v>0</v>
      </c>
      <c r="R17" s="260">
        <f t="shared" si="7"/>
        <v>0</v>
      </c>
      <c r="S17" s="260">
        <f t="shared" si="8"/>
        <v>0</v>
      </c>
      <c r="T17" s="260">
        <f t="shared" si="9"/>
        <v>0</v>
      </c>
      <c r="U17" s="260">
        <f t="shared" si="10"/>
        <v>0</v>
      </c>
      <c r="V17" s="260">
        <f t="shared" si="11"/>
        <v>0</v>
      </c>
      <c r="W17" s="260">
        <f t="shared" si="12"/>
        <v>0</v>
      </c>
      <c r="X17" s="260">
        <f t="shared" si="13"/>
        <v>0</v>
      </c>
      <c r="Y17" s="260">
        <f t="shared" si="14"/>
        <v>0</v>
      </c>
      <c r="Z17" s="260">
        <f t="shared" si="15"/>
        <v>0</v>
      </c>
      <c r="AA17" s="260">
        <f t="shared" si="16"/>
        <v>0</v>
      </c>
      <c r="AB17" s="260">
        <f t="shared" si="63"/>
        <v>0</v>
      </c>
      <c r="AC17" s="260">
        <f t="shared" si="64"/>
        <v>0</v>
      </c>
      <c r="AD17" s="260">
        <f t="shared" si="17"/>
        <v>0</v>
      </c>
      <c r="AE17" s="260">
        <f t="shared" si="18"/>
        <v>0</v>
      </c>
      <c r="AF17" s="260">
        <f t="shared" si="19"/>
        <v>0</v>
      </c>
      <c r="AG17" s="260">
        <f t="shared" si="20"/>
        <v>0</v>
      </c>
      <c r="AH17" s="260">
        <f t="shared" si="65"/>
        <v>0</v>
      </c>
      <c r="AI17" s="260">
        <f t="shared" si="66"/>
        <v>0</v>
      </c>
      <c r="AJ17" s="260">
        <f t="shared" si="67"/>
        <v>0</v>
      </c>
      <c r="AK17" s="260">
        <f t="shared" si="68"/>
        <v>0</v>
      </c>
      <c r="AL17" s="260">
        <f t="shared" si="69"/>
        <v>0</v>
      </c>
      <c r="AM17" s="260">
        <f t="shared" si="70"/>
        <v>0</v>
      </c>
      <c r="AN17" s="260">
        <f t="shared" si="71"/>
        <v>0</v>
      </c>
      <c r="AO17" s="260">
        <f t="shared" si="72"/>
        <v>0</v>
      </c>
      <c r="AP17" s="260">
        <f t="shared" si="21"/>
        <v>0</v>
      </c>
      <c r="AQ17" s="260">
        <f t="shared" si="22"/>
        <v>0</v>
      </c>
      <c r="AR17" s="260">
        <f t="shared" si="23"/>
        <v>0</v>
      </c>
      <c r="AS17" s="260">
        <f t="shared" si="24"/>
        <v>0</v>
      </c>
      <c r="AT17" s="260">
        <f t="shared" si="73"/>
        <v>0</v>
      </c>
      <c r="AU17" s="260">
        <f t="shared" si="74"/>
        <v>0</v>
      </c>
      <c r="AV17" s="260">
        <f t="shared" si="25"/>
        <v>0</v>
      </c>
      <c r="AW17" s="260">
        <f t="shared" si="26"/>
        <v>0</v>
      </c>
      <c r="AX17" s="260">
        <f t="shared" si="27"/>
        <v>0</v>
      </c>
      <c r="AY17" s="260">
        <f t="shared" si="28"/>
        <v>0</v>
      </c>
      <c r="AZ17" s="260">
        <f t="shared" si="29"/>
        <v>0</v>
      </c>
      <c r="BA17" s="260">
        <f t="shared" si="30"/>
        <v>0</v>
      </c>
      <c r="BB17" s="260">
        <f t="shared" si="31"/>
        <v>0</v>
      </c>
      <c r="BC17" s="260">
        <f t="shared" si="32"/>
        <v>0</v>
      </c>
      <c r="BD17" s="260">
        <f t="shared" si="33"/>
        <v>0</v>
      </c>
      <c r="BE17" s="260">
        <f t="shared" si="34"/>
        <v>0</v>
      </c>
      <c r="BF17" s="260">
        <f t="shared" si="35"/>
        <v>0</v>
      </c>
      <c r="BG17" s="260">
        <f t="shared" si="36"/>
        <v>0</v>
      </c>
      <c r="BH17" s="260">
        <f t="shared" si="75"/>
        <v>0</v>
      </c>
      <c r="BI17" s="260">
        <f t="shared" si="76"/>
        <v>0</v>
      </c>
      <c r="BJ17" s="260">
        <f t="shared" si="37"/>
        <v>0</v>
      </c>
      <c r="BK17" s="260">
        <f t="shared" si="38"/>
        <v>0</v>
      </c>
      <c r="BL17" s="260">
        <f t="shared" si="39"/>
        <v>0</v>
      </c>
      <c r="BM17" s="260">
        <f t="shared" si="40"/>
        <v>0</v>
      </c>
      <c r="BN17" s="260">
        <f t="shared" si="41"/>
        <v>0</v>
      </c>
      <c r="BO17" s="260">
        <f t="shared" si="42"/>
        <v>0</v>
      </c>
      <c r="BP17" s="260">
        <f t="shared" si="77"/>
        <v>0</v>
      </c>
      <c r="BQ17" s="260">
        <f t="shared" si="78"/>
        <v>0</v>
      </c>
      <c r="BR17" s="260">
        <f t="shared" si="43"/>
        <v>0</v>
      </c>
      <c r="BS17" s="260">
        <f t="shared" si="44"/>
        <v>0</v>
      </c>
      <c r="BT17" s="260">
        <f t="shared" si="79"/>
        <v>0</v>
      </c>
      <c r="BU17" s="260">
        <f t="shared" si="80"/>
        <v>0</v>
      </c>
      <c r="BV17" s="260">
        <f t="shared" si="81"/>
        <v>0</v>
      </c>
      <c r="BW17" s="260">
        <f t="shared" si="82"/>
        <v>0</v>
      </c>
      <c r="BX17" s="260">
        <f t="shared" si="45"/>
        <v>0</v>
      </c>
      <c r="BY17" s="260">
        <f t="shared" si="46"/>
        <v>0</v>
      </c>
      <c r="BZ17" s="260">
        <f t="shared" si="47"/>
        <v>0</v>
      </c>
      <c r="CA17" s="260">
        <f t="shared" si="48"/>
        <v>0</v>
      </c>
      <c r="CB17" s="260">
        <f t="shared" si="49"/>
        <v>0</v>
      </c>
      <c r="CC17" s="260">
        <f t="shared" si="50"/>
        <v>0</v>
      </c>
      <c r="CD17" s="260">
        <f t="shared" si="83"/>
        <v>0</v>
      </c>
      <c r="CE17" s="260">
        <f t="shared" si="84"/>
        <v>0</v>
      </c>
      <c r="CF17" s="260">
        <f t="shared" si="85"/>
        <v>0</v>
      </c>
      <c r="CG17" s="260">
        <f t="shared" si="86"/>
        <v>0</v>
      </c>
      <c r="CH17" s="260">
        <f t="shared" si="51"/>
        <v>0</v>
      </c>
      <c r="CI17" s="260">
        <f t="shared" si="52"/>
        <v>0</v>
      </c>
      <c r="CJ17" s="260">
        <f t="shared" si="87"/>
        <v>0</v>
      </c>
      <c r="CK17" s="260">
        <f t="shared" si="88"/>
        <v>0</v>
      </c>
      <c r="CL17" s="260">
        <f t="shared" si="53"/>
        <v>0</v>
      </c>
      <c r="CM17" s="260">
        <f t="shared" si="54"/>
        <v>0</v>
      </c>
      <c r="CN17" s="260">
        <f t="shared" si="55"/>
        <v>0</v>
      </c>
      <c r="CO17" s="260">
        <f t="shared" si="56"/>
        <v>0</v>
      </c>
      <c r="CP17" s="260">
        <f t="shared" si="89"/>
        <v>0</v>
      </c>
      <c r="CQ17" s="260">
        <f t="shared" si="90"/>
        <v>0</v>
      </c>
      <c r="CR17" s="260">
        <f t="shared" si="91"/>
        <v>0</v>
      </c>
      <c r="CS17" s="260">
        <f t="shared" si="92"/>
        <v>0</v>
      </c>
      <c r="CT17" s="260">
        <f t="shared" si="57"/>
        <v>0</v>
      </c>
      <c r="CU17" s="260">
        <f t="shared" si="58"/>
        <v>0</v>
      </c>
      <c r="CV17" s="260">
        <f t="shared" si="59"/>
        <v>0</v>
      </c>
      <c r="CW17" s="260">
        <f t="shared" si="60"/>
        <v>0</v>
      </c>
      <c r="CX17" s="260">
        <f t="shared" si="93"/>
        <v>0</v>
      </c>
      <c r="CY17" s="260">
        <f t="shared" si="94"/>
        <v>0</v>
      </c>
      <c r="CZ17" s="260">
        <f t="shared" si="95"/>
        <v>0</v>
      </c>
      <c r="DA17" s="260">
        <f t="shared" si="96"/>
        <v>0</v>
      </c>
    </row>
    <row r="18" spans="1:105" s="257" customFormat="1" ht="16.5" customHeight="1">
      <c r="A18" s="60" t="str">
        <f t="array" ref="A18">IF(C18&lt;&gt;0,SUM(($C$11:C18&lt;&gt;0)*1),"")</f>
        <v/>
      </c>
      <c r="B18" s="258"/>
      <c r="C18" s="258"/>
      <c r="D18" s="258"/>
      <c r="E18" s="337"/>
      <c r="F18" s="309"/>
      <c r="G18" s="311"/>
      <c r="H18" s="311"/>
      <c r="I18" s="60" t="str">
        <f t="shared" si="0"/>
        <v/>
      </c>
      <c r="J18" s="260">
        <f t="shared" si="61"/>
        <v>0</v>
      </c>
      <c r="K18" s="260">
        <f t="shared" si="62"/>
        <v>0</v>
      </c>
      <c r="L18" s="260">
        <f t="shared" si="1"/>
        <v>0</v>
      </c>
      <c r="M18" s="260">
        <f t="shared" si="2"/>
        <v>0</v>
      </c>
      <c r="N18" s="260">
        <f t="shared" si="3"/>
        <v>0</v>
      </c>
      <c r="O18" s="260">
        <f t="shared" si="4"/>
        <v>0</v>
      </c>
      <c r="P18" s="260">
        <f t="shared" si="5"/>
        <v>0</v>
      </c>
      <c r="Q18" s="260">
        <f t="shared" si="6"/>
        <v>0</v>
      </c>
      <c r="R18" s="260">
        <f t="shared" si="7"/>
        <v>0</v>
      </c>
      <c r="S18" s="260">
        <f t="shared" si="8"/>
        <v>0</v>
      </c>
      <c r="T18" s="260">
        <f t="shared" si="9"/>
        <v>0</v>
      </c>
      <c r="U18" s="260">
        <f t="shared" si="10"/>
        <v>0</v>
      </c>
      <c r="V18" s="260">
        <f t="shared" si="11"/>
        <v>0</v>
      </c>
      <c r="W18" s="260">
        <f t="shared" si="12"/>
        <v>0</v>
      </c>
      <c r="X18" s="260">
        <f t="shared" si="13"/>
        <v>0</v>
      </c>
      <c r="Y18" s="260">
        <f t="shared" si="14"/>
        <v>0</v>
      </c>
      <c r="Z18" s="260">
        <f t="shared" si="15"/>
        <v>0</v>
      </c>
      <c r="AA18" s="260">
        <f t="shared" si="16"/>
        <v>0</v>
      </c>
      <c r="AB18" s="260">
        <f t="shared" si="63"/>
        <v>0</v>
      </c>
      <c r="AC18" s="260">
        <f t="shared" si="64"/>
        <v>0</v>
      </c>
      <c r="AD18" s="260">
        <f t="shared" si="17"/>
        <v>0</v>
      </c>
      <c r="AE18" s="260">
        <f t="shared" si="18"/>
        <v>0</v>
      </c>
      <c r="AF18" s="260">
        <f t="shared" si="19"/>
        <v>0</v>
      </c>
      <c r="AG18" s="260">
        <f t="shared" si="20"/>
        <v>0</v>
      </c>
      <c r="AH18" s="260">
        <f t="shared" si="65"/>
        <v>0</v>
      </c>
      <c r="AI18" s="260">
        <f t="shared" si="66"/>
        <v>0</v>
      </c>
      <c r="AJ18" s="260">
        <f t="shared" si="67"/>
        <v>0</v>
      </c>
      <c r="AK18" s="260">
        <f t="shared" si="68"/>
        <v>0</v>
      </c>
      <c r="AL18" s="260">
        <f t="shared" si="69"/>
        <v>0</v>
      </c>
      <c r="AM18" s="260">
        <f t="shared" si="70"/>
        <v>0</v>
      </c>
      <c r="AN18" s="260">
        <f t="shared" si="71"/>
        <v>0</v>
      </c>
      <c r="AO18" s="260">
        <f t="shared" si="72"/>
        <v>0</v>
      </c>
      <c r="AP18" s="260">
        <f t="shared" si="21"/>
        <v>0</v>
      </c>
      <c r="AQ18" s="260">
        <f t="shared" si="22"/>
        <v>0</v>
      </c>
      <c r="AR18" s="260">
        <f t="shared" si="23"/>
        <v>0</v>
      </c>
      <c r="AS18" s="260">
        <f t="shared" si="24"/>
        <v>0</v>
      </c>
      <c r="AT18" s="260">
        <f t="shared" si="73"/>
        <v>0</v>
      </c>
      <c r="AU18" s="260">
        <f t="shared" si="74"/>
        <v>0</v>
      </c>
      <c r="AV18" s="260">
        <f t="shared" si="25"/>
        <v>0</v>
      </c>
      <c r="AW18" s="260">
        <f t="shared" si="26"/>
        <v>0</v>
      </c>
      <c r="AX18" s="260">
        <f t="shared" si="27"/>
        <v>0</v>
      </c>
      <c r="AY18" s="260">
        <f t="shared" si="28"/>
        <v>0</v>
      </c>
      <c r="AZ18" s="260">
        <f t="shared" si="29"/>
        <v>0</v>
      </c>
      <c r="BA18" s="260">
        <f t="shared" si="30"/>
        <v>0</v>
      </c>
      <c r="BB18" s="260">
        <f t="shared" si="31"/>
        <v>0</v>
      </c>
      <c r="BC18" s="260">
        <f t="shared" si="32"/>
        <v>0</v>
      </c>
      <c r="BD18" s="260">
        <f t="shared" si="33"/>
        <v>0</v>
      </c>
      <c r="BE18" s="260">
        <f t="shared" si="34"/>
        <v>0</v>
      </c>
      <c r="BF18" s="260">
        <f t="shared" si="35"/>
        <v>0</v>
      </c>
      <c r="BG18" s="260">
        <f t="shared" si="36"/>
        <v>0</v>
      </c>
      <c r="BH18" s="260">
        <f t="shared" si="75"/>
        <v>0</v>
      </c>
      <c r="BI18" s="260">
        <f t="shared" si="76"/>
        <v>0</v>
      </c>
      <c r="BJ18" s="260">
        <f t="shared" si="37"/>
        <v>0</v>
      </c>
      <c r="BK18" s="260">
        <f t="shared" si="38"/>
        <v>0</v>
      </c>
      <c r="BL18" s="260">
        <f t="shared" si="39"/>
        <v>0</v>
      </c>
      <c r="BM18" s="260">
        <f t="shared" si="40"/>
        <v>0</v>
      </c>
      <c r="BN18" s="260">
        <f t="shared" si="41"/>
        <v>0</v>
      </c>
      <c r="BO18" s="260">
        <f t="shared" si="42"/>
        <v>0</v>
      </c>
      <c r="BP18" s="260">
        <f t="shared" si="77"/>
        <v>0</v>
      </c>
      <c r="BQ18" s="260">
        <f t="shared" si="78"/>
        <v>0</v>
      </c>
      <c r="BR18" s="260">
        <f t="shared" si="43"/>
        <v>0</v>
      </c>
      <c r="BS18" s="260">
        <f t="shared" si="44"/>
        <v>0</v>
      </c>
      <c r="BT18" s="260">
        <f t="shared" si="79"/>
        <v>0</v>
      </c>
      <c r="BU18" s="260">
        <f t="shared" si="80"/>
        <v>0</v>
      </c>
      <c r="BV18" s="260">
        <f t="shared" si="81"/>
        <v>0</v>
      </c>
      <c r="BW18" s="260">
        <f t="shared" si="82"/>
        <v>0</v>
      </c>
      <c r="BX18" s="260">
        <f t="shared" si="45"/>
        <v>0</v>
      </c>
      <c r="BY18" s="260">
        <f t="shared" si="46"/>
        <v>0</v>
      </c>
      <c r="BZ18" s="260">
        <f t="shared" si="47"/>
        <v>0</v>
      </c>
      <c r="CA18" s="260">
        <f t="shared" si="48"/>
        <v>0</v>
      </c>
      <c r="CB18" s="260">
        <f t="shared" si="49"/>
        <v>0</v>
      </c>
      <c r="CC18" s="260">
        <f t="shared" si="50"/>
        <v>0</v>
      </c>
      <c r="CD18" s="260">
        <f t="shared" si="83"/>
        <v>0</v>
      </c>
      <c r="CE18" s="260">
        <f t="shared" si="84"/>
        <v>0</v>
      </c>
      <c r="CF18" s="260">
        <f t="shared" si="85"/>
        <v>0</v>
      </c>
      <c r="CG18" s="260">
        <f t="shared" si="86"/>
        <v>0</v>
      </c>
      <c r="CH18" s="260">
        <f t="shared" si="51"/>
        <v>0</v>
      </c>
      <c r="CI18" s="260">
        <f t="shared" si="52"/>
        <v>0</v>
      </c>
      <c r="CJ18" s="260">
        <f t="shared" si="87"/>
        <v>0</v>
      </c>
      <c r="CK18" s="260">
        <f t="shared" si="88"/>
        <v>0</v>
      </c>
      <c r="CL18" s="260">
        <f t="shared" si="53"/>
        <v>0</v>
      </c>
      <c r="CM18" s="260">
        <f t="shared" si="54"/>
        <v>0</v>
      </c>
      <c r="CN18" s="260">
        <f t="shared" si="55"/>
        <v>0</v>
      </c>
      <c r="CO18" s="260">
        <f t="shared" si="56"/>
        <v>0</v>
      </c>
      <c r="CP18" s="260">
        <f t="shared" si="89"/>
        <v>0</v>
      </c>
      <c r="CQ18" s="260">
        <f t="shared" si="90"/>
        <v>0</v>
      </c>
      <c r="CR18" s="260">
        <f t="shared" si="91"/>
        <v>0</v>
      </c>
      <c r="CS18" s="260">
        <f t="shared" si="92"/>
        <v>0</v>
      </c>
      <c r="CT18" s="260">
        <f t="shared" si="57"/>
        <v>0</v>
      </c>
      <c r="CU18" s="260">
        <f t="shared" si="58"/>
        <v>0</v>
      </c>
      <c r="CV18" s="260">
        <f t="shared" si="59"/>
        <v>0</v>
      </c>
      <c r="CW18" s="260">
        <f t="shared" si="60"/>
        <v>0</v>
      </c>
      <c r="CX18" s="260">
        <f t="shared" si="93"/>
        <v>0</v>
      </c>
      <c r="CY18" s="260">
        <f t="shared" si="94"/>
        <v>0</v>
      </c>
      <c r="CZ18" s="260">
        <f t="shared" si="95"/>
        <v>0</v>
      </c>
      <c r="DA18" s="260">
        <f t="shared" si="96"/>
        <v>0</v>
      </c>
    </row>
    <row r="19" spans="1:105" s="257" customFormat="1" ht="16.5" customHeight="1">
      <c r="A19" s="60" t="str">
        <f t="array" ref="A19">IF(C19&lt;&gt;0,SUM(($C$11:C19&lt;&gt;0)*1),"")</f>
        <v/>
      </c>
      <c r="B19" s="258"/>
      <c r="C19" s="258"/>
      <c r="D19" s="258"/>
      <c r="E19" s="337"/>
      <c r="F19" s="309"/>
      <c r="G19" s="311"/>
      <c r="H19" s="311"/>
      <c r="I19" s="60" t="str">
        <f t="shared" si="0"/>
        <v/>
      </c>
      <c r="J19" s="260">
        <f t="shared" si="61"/>
        <v>0</v>
      </c>
      <c r="K19" s="260">
        <f t="shared" si="62"/>
        <v>0</v>
      </c>
      <c r="L19" s="260">
        <f t="shared" si="1"/>
        <v>0</v>
      </c>
      <c r="M19" s="260">
        <f t="shared" si="2"/>
        <v>0</v>
      </c>
      <c r="N19" s="260">
        <f t="shared" si="3"/>
        <v>0</v>
      </c>
      <c r="O19" s="260">
        <f t="shared" si="4"/>
        <v>0</v>
      </c>
      <c r="P19" s="260">
        <f t="shared" si="5"/>
        <v>0</v>
      </c>
      <c r="Q19" s="260">
        <f t="shared" si="6"/>
        <v>0</v>
      </c>
      <c r="R19" s="260">
        <f t="shared" si="7"/>
        <v>0</v>
      </c>
      <c r="S19" s="260">
        <f t="shared" si="8"/>
        <v>0</v>
      </c>
      <c r="T19" s="260">
        <f t="shared" si="9"/>
        <v>0</v>
      </c>
      <c r="U19" s="260">
        <f t="shared" si="10"/>
        <v>0</v>
      </c>
      <c r="V19" s="260">
        <f t="shared" si="11"/>
        <v>0</v>
      </c>
      <c r="W19" s="260">
        <f t="shared" si="12"/>
        <v>0</v>
      </c>
      <c r="X19" s="260">
        <f t="shared" si="13"/>
        <v>0</v>
      </c>
      <c r="Y19" s="260">
        <f t="shared" si="14"/>
        <v>0</v>
      </c>
      <c r="Z19" s="260">
        <f t="shared" si="15"/>
        <v>0</v>
      </c>
      <c r="AA19" s="260">
        <f t="shared" si="16"/>
        <v>0</v>
      </c>
      <c r="AB19" s="260">
        <f t="shared" si="63"/>
        <v>0</v>
      </c>
      <c r="AC19" s="260">
        <f t="shared" si="64"/>
        <v>0</v>
      </c>
      <c r="AD19" s="260">
        <f t="shared" si="17"/>
        <v>0</v>
      </c>
      <c r="AE19" s="260">
        <f t="shared" si="18"/>
        <v>0</v>
      </c>
      <c r="AF19" s="260">
        <f t="shared" si="19"/>
        <v>0</v>
      </c>
      <c r="AG19" s="260">
        <f t="shared" si="20"/>
        <v>0</v>
      </c>
      <c r="AH19" s="260">
        <f t="shared" si="65"/>
        <v>0</v>
      </c>
      <c r="AI19" s="260">
        <f t="shared" si="66"/>
        <v>0</v>
      </c>
      <c r="AJ19" s="260">
        <f t="shared" si="67"/>
        <v>0</v>
      </c>
      <c r="AK19" s="260">
        <f t="shared" si="68"/>
        <v>0</v>
      </c>
      <c r="AL19" s="260">
        <f t="shared" si="69"/>
        <v>0</v>
      </c>
      <c r="AM19" s="260">
        <f t="shared" si="70"/>
        <v>0</v>
      </c>
      <c r="AN19" s="260">
        <f t="shared" si="71"/>
        <v>0</v>
      </c>
      <c r="AO19" s="260">
        <f t="shared" si="72"/>
        <v>0</v>
      </c>
      <c r="AP19" s="260">
        <f t="shared" si="21"/>
        <v>0</v>
      </c>
      <c r="AQ19" s="260">
        <f t="shared" si="22"/>
        <v>0</v>
      </c>
      <c r="AR19" s="260">
        <f t="shared" si="23"/>
        <v>0</v>
      </c>
      <c r="AS19" s="260">
        <f t="shared" si="24"/>
        <v>0</v>
      </c>
      <c r="AT19" s="260">
        <f t="shared" si="73"/>
        <v>0</v>
      </c>
      <c r="AU19" s="260">
        <f t="shared" si="74"/>
        <v>0</v>
      </c>
      <c r="AV19" s="260">
        <f t="shared" si="25"/>
        <v>0</v>
      </c>
      <c r="AW19" s="260">
        <f t="shared" si="26"/>
        <v>0</v>
      </c>
      <c r="AX19" s="260">
        <f t="shared" si="27"/>
        <v>0</v>
      </c>
      <c r="AY19" s="260">
        <f t="shared" si="28"/>
        <v>0</v>
      </c>
      <c r="AZ19" s="260">
        <f t="shared" si="29"/>
        <v>0</v>
      </c>
      <c r="BA19" s="260">
        <f t="shared" si="30"/>
        <v>0</v>
      </c>
      <c r="BB19" s="260">
        <f t="shared" si="31"/>
        <v>0</v>
      </c>
      <c r="BC19" s="260">
        <f t="shared" si="32"/>
        <v>0</v>
      </c>
      <c r="BD19" s="260">
        <f t="shared" si="33"/>
        <v>0</v>
      </c>
      <c r="BE19" s="260">
        <f t="shared" si="34"/>
        <v>0</v>
      </c>
      <c r="BF19" s="260">
        <f t="shared" si="35"/>
        <v>0</v>
      </c>
      <c r="BG19" s="260">
        <f t="shared" si="36"/>
        <v>0</v>
      </c>
      <c r="BH19" s="260">
        <f t="shared" si="75"/>
        <v>0</v>
      </c>
      <c r="BI19" s="260">
        <f t="shared" si="76"/>
        <v>0</v>
      </c>
      <c r="BJ19" s="260">
        <f t="shared" si="37"/>
        <v>0</v>
      </c>
      <c r="BK19" s="260">
        <f t="shared" si="38"/>
        <v>0</v>
      </c>
      <c r="BL19" s="260">
        <f t="shared" si="39"/>
        <v>0</v>
      </c>
      <c r="BM19" s="260">
        <f t="shared" si="40"/>
        <v>0</v>
      </c>
      <c r="BN19" s="260">
        <f t="shared" si="41"/>
        <v>0</v>
      </c>
      <c r="BO19" s="260">
        <f t="shared" si="42"/>
        <v>0</v>
      </c>
      <c r="BP19" s="260">
        <f t="shared" si="77"/>
        <v>0</v>
      </c>
      <c r="BQ19" s="260">
        <f t="shared" si="78"/>
        <v>0</v>
      </c>
      <c r="BR19" s="260">
        <f t="shared" si="43"/>
        <v>0</v>
      </c>
      <c r="BS19" s="260">
        <f t="shared" si="44"/>
        <v>0</v>
      </c>
      <c r="BT19" s="260">
        <f t="shared" si="79"/>
        <v>0</v>
      </c>
      <c r="BU19" s="260">
        <f t="shared" si="80"/>
        <v>0</v>
      </c>
      <c r="BV19" s="260">
        <f t="shared" si="81"/>
        <v>0</v>
      </c>
      <c r="BW19" s="260">
        <f t="shared" si="82"/>
        <v>0</v>
      </c>
      <c r="BX19" s="260">
        <f t="shared" si="45"/>
        <v>0</v>
      </c>
      <c r="BY19" s="260">
        <f t="shared" si="46"/>
        <v>0</v>
      </c>
      <c r="BZ19" s="260">
        <f t="shared" si="47"/>
        <v>0</v>
      </c>
      <c r="CA19" s="260">
        <f t="shared" si="48"/>
        <v>0</v>
      </c>
      <c r="CB19" s="260">
        <f t="shared" si="49"/>
        <v>0</v>
      </c>
      <c r="CC19" s="260">
        <f t="shared" si="50"/>
        <v>0</v>
      </c>
      <c r="CD19" s="260">
        <f t="shared" si="83"/>
        <v>0</v>
      </c>
      <c r="CE19" s="260">
        <f t="shared" si="84"/>
        <v>0</v>
      </c>
      <c r="CF19" s="260">
        <f t="shared" si="85"/>
        <v>0</v>
      </c>
      <c r="CG19" s="260">
        <f t="shared" si="86"/>
        <v>0</v>
      </c>
      <c r="CH19" s="260">
        <f t="shared" si="51"/>
        <v>0</v>
      </c>
      <c r="CI19" s="260">
        <f t="shared" si="52"/>
        <v>0</v>
      </c>
      <c r="CJ19" s="260">
        <f t="shared" si="87"/>
        <v>0</v>
      </c>
      <c r="CK19" s="260">
        <f t="shared" si="88"/>
        <v>0</v>
      </c>
      <c r="CL19" s="260">
        <f t="shared" si="53"/>
        <v>0</v>
      </c>
      <c r="CM19" s="260">
        <f t="shared" si="54"/>
        <v>0</v>
      </c>
      <c r="CN19" s="260">
        <f t="shared" si="55"/>
        <v>0</v>
      </c>
      <c r="CO19" s="260">
        <f t="shared" si="56"/>
        <v>0</v>
      </c>
      <c r="CP19" s="260">
        <f t="shared" si="89"/>
        <v>0</v>
      </c>
      <c r="CQ19" s="260">
        <f t="shared" si="90"/>
        <v>0</v>
      </c>
      <c r="CR19" s="260">
        <f t="shared" si="91"/>
        <v>0</v>
      </c>
      <c r="CS19" s="260">
        <f t="shared" si="92"/>
        <v>0</v>
      </c>
      <c r="CT19" s="260">
        <f t="shared" si="57"/>
        <v>0</v>
      </c>
      <c r="CU19" s="260">
        <f t="shared" si="58"/>
        <v>0</v>
      </c>
      <c r="CV19" s="260">
        <f t="shared" si="59"/>
        <v>0</v>
      </c>
      <c r="CW19" s="260">
        <f t="shared" si="60"/>
        <v>0</v>
      </c>
      <c r="CX19" s="260">
        <f t="shared" si="93"/>
        <v>0</v>
      </c>
      <c r="CY19" s="260">
        <f t="shared" si="94"/>
        <v>0</v>
      </c>
      <c r="CZ19" s="260">
        <f t="shared" si="95"/>
        <v>0</v>
      </c>
      <c r="DA19" s="260">
        <f t="shared" si="96"/>
        <v>0</v>
      </c>
    </row>
    <row r="20" spans="1:105" s="257" customFormat="1" ht="16.5" customHeight="1">
      <c r="A20" s="60" t="str">
        <f t="array" ref="A20">IF(C20&lt;&gt;0,SUM(($C$11:C20&lt;&gt;0)*1),"")</f>
        <v/>
      </c>
      <c r="B20" s="258"/>
      <c r="C20" s="258"/>
      <c r="D20" s="258"/>
      <c r="E20" s="337"/>
      <c r="F20" s="309"/>
      <c r="G20" s="311"/>
      <c r="H20" s="311"/>
      <c r="I20" s="60" t="str">
        <f t="shared" si="0"/>
        <v/>
      </c>
      <c r="J20" s="260">
        <f t="shared" si="61"/>
        <v>0</v>
      </c>
      <c r="K20" s="260">
        <f t="shared" si="62"/>
        <v>0</v>
      </c>
      <c r="L20" s="260">
        <f t="shared" si="1"/>
        <v>0</v>
      </c>
      <c r="M20" s="260">
        <f t="shared" si="2"/>
        <v>0</v>
      </c>
      <c r="N20" s="260">
        <f t="shared" si="3"/>
        <v>0</v>
      </c>
      <c r="O20" s="260">
        <f t="shared" si="4"/>
        <v>0</v>
      </c>
      <c r="P20" s="260">
        <f t="shared" si="5"/>
        <v>0</v>
      </c>
      <c r="Q20" s="260">
        <f t="shared" si="6"/>
        <v>0</v>
      </c>
      <c r="R20" s="260">
        <f t="shared" si="7"/>
        <v>0</v>
      </c>
      <c r="S20" s="260">
        <f t="shared" si="8"/>
        <v>0</v>
      </c>
      <c r="T20" s="260">
        <f t="shared" si="9"/>
        <v>0</v>
      </c>
      <c r="U20" s="260">
        <f t="shared" si="10"/>
        <v>0</v>
      </c>
      <c r="V20" s="260">
        <f t="shared" si="11"/>
        <v>0</v>
      </c>
      <c r="W20" s="260">
        <f t="shared" si="12"/>
        <v>0</v>
      </c>
      <c r="X20" s="260">
        <f t="shared" si="13"/>
        <v>0</v>
      </c>
      <c r="Y20" s="260">
        <f t="shared" si="14"/>
        <v>0</v>
      </c>
      <c r="Z20" s="260">
        <f t="shared" si="15"/>
        <v>0</v>
      </c>
      <c r="AA20" s="260">
        <f t="shared" si="16"/>
        <v>0</v>
      </c>
      <c r="AB20" s="260">
        <f t="shared" si="63"/>
        <v>0</v>
      </c>
      <c r="AC20" s="260">
        <f t="shared" si="64"/>
        <v>0</v>
      </c>
      <c r="AD20" s="260">
        <f t="shared" si="17"/>
        <v>0</v>
      </c>
      <c r="AE20" s="260">
        <f t="shared" si="18"/>
        <v>0</v>
      </c>
      <c r="AF20" s="260">
        <f t="shared" si="19"/>
        <v>0</v>
      </c>
      <c r="AG20" s="260">
        <f t="shared" si="20"/>
        <v>0</v>
      </c>
      <c r="AH20" s="260">
        <f t="shared" si="65"/>
        <v>0</v>
      </c>
      <c r="AI20" s="260">
        <f t="shared" si="66"/>
        <v>0</v>
      </c>
      <c r="AJ20" s="260">
        <f t="shared" si="67"/>
        <v>0</v>
      </c>
      <c r="AK20" s="260">
        <f t="shared" si="68"/>
        <v>0</v>
      </c>
      <c r="AL20" s="260">
        <f t="shared" si="69"/>
        <v>0</v>
      </c>
      <c r="AM20" s="260">
        <f t="shared" si="70"/>
        <v>0</v>
      </c>
      <c r="AN20" s="260">
        <f t="shared" si="71"/>
        <v>0</v>
      </c>
      <c r="AO20" s="260">
        <f t="shared" si="72"/>
        <v>0</v>
      </c>
      <c r="AP20" s="260">
        <f t="shared" si="21"/>
        <v>0</v>
      </c>
      <c r="AQ20" s="260">
        <f t="shared" si="22"/>
        <v>0</v>
      </c>
      <c r="AR20" s="260">
        <f t="shared" si="23"/>
        <v>0</v>
      </c>
      <c r="AS20" s="260">
        <f t="shared" si="24"/>
        <v>0</v>
      </c>
      <c r="AT20" s="260">
        <f t="shared" si="73"/>
        <v>0</v>
      </c>
      <c r="AU20" s="260">
        <f t="shared" si="74"/>
        <v>0</v>
      </c>
      <c r="AV20" s="260">
        <f t="shared" si="25"/>
        <v>0</v>
      </c>
      <c r="AW20" s="260">
        <f t="shared" si="26"/>
        <v>0</v>
      </c>
      <c r="AX20" s="260">
        <f t="shared" si="27"/>
        <v>0</v>
      </c>
      <c r="AY20" s="260">
        <f t="shared" si="28"/>
        <v>0</v>
      </c>
      <c r="AZ20" s="260">
        <f t="shared" si="29"/>
        <v>0</v>
      </c>
      <c r="BA20" s="260">
        <f t="shared" si="30"/>
        <v>0</v>
      </c>
      <c r="BB20" s="260">
        <f t="shared" si="31"/>
        <v>0</v>
      </c>
      <c r="BC20" s="260">
        <f t="shared" si="32"/>
        <v>0</v>
      </c>
      <c r="BD20" s="260">
        <f t="shared" si="33"/>
        <v>0</v>
      </c>
      <c r="BE20" s="260">
        <f t="shared" si="34"/>
        <v>0</v>
      </c>
      <c r="BF20" s="260">
        <f t="shared" si="35"/>
        <v>0</v>
      </c>
      <c r="BG20" s="260">
        <f t="shared" si="36"/>
        <v>0</v>
      </c>
      <c r="BH20" s="260">
        <f t="shared" si="75"/>
        <v>0</v>
      </c>
      <c r="BI20" s="260">
        <f t="shared" si="76"/>
        <v>0</v>
      </c>
      <c r="BJ20" s="260">
        <f t="shared" si="37"/>
        <v>0</v>
      </c>
      <c r="BK20" s="260">
        <f t="shared" si="38"/>
        <v>0</v>
      </c>
      <c r="BL20" s="260">
        <f t="shared" si="39"/>
        <v>0</v>
      </c>
      <c r="BM20" s="260">
        <f t="shared" si="40"/>
        <v>0</v>
      </c>
      <c r="BN20" s="260">
        <f t="shared" si="41"/>
        <v>0</v>
      </c>
      <c r="BO20" s="260">
        <f t="shared" si="42"/>
        <v>0</v>
      </c>
      <c r="BP20" s="260">
        <f t="shared" si="77"/>
        <v>0</v>
      </c>
      <c r="BQ20" s="260">
        <f t="shared" si="78"/>
        <v>0</v>
      </c>
      <c r="BR20" s="260">
        <f t="shared" si="43"/>
        <v>0</v>
      </c>
      <c r="BS20" s="260">
        <f t="shared" si="44"/>
        <v>0</v>
      </c>
      <c r="BT20" s="260">
        <f t="shared" si="79"/>
        <v>0</v>
      </c>
      <c r="BU20" s="260">
        <f t="shared" si="80"/>
        <v>0</v>
      </c>
      <c r="BV20" s="260">
        <f t="shared" si="81"/>
        <v>0</v>
      </c>
      <c r="BW20" s="260">
        <f t="shared" si="82"/>
        <v>0</v>
      </c>
      <c r="BX20" s="260">
        <f t="shared" si="45"/>
        <v>0</v>
      </c>
      <c r="BY20" s="260">
        <f t="shared" si="46"/>
        <v>0</v>
      </c>
      <c r="BZ20" s="260">
        <f t="shared" si="47"/>
        <v>0</v>
      </c>
      <c r="CA20" s="260">
        <f t="shared" si="48"/>
        <v>0</v>
      </c>
      <c r="CB20" s="260">
        <f t="shared" si="49"/>
        <v>0</v>
      </c>
      <c r="CC20" s="260">
        <f t="shared" si="50"/>
        <v>0</v>
      </c>
      <c r="CD20" s="260">
        <f t="shared" si="83"/>
        <v>0</v>
      </c>
      <c r="CE20" s="260">
        <f t="shared" si="84"/>
        <v>0</v>
      </c>
      <c r="CF20" s="260">
        <f t="shared" si="85"/>
        <v>0</v>
      </c>
      <c r="CG20" s="260">
        <f t="shared" si="86"/>
        <v>0</v>
      </c>
      <c r="CH20" s="260">
        <f t="shared" si="51"/>
        <v>0</v>
      </c>
      <c r="CI20" s="260">
        <f t="shared" si="52"/>
        <v>0</v>
      </c>
      <c r="CJ20" s="260">
        <f t="shared" si="87"/>
        <v>0</v>
      </c>
      <c r="CK20" s="260">
        <f t="shared" si="88"/>
        <v>0</v>
      </c>
      <c r="CL20" s="260">
        <f t="shared" si="53"/>
        <v>0</v>
      </c>
      <c r="CM20" s="260">
        <f t="shared" si="54"/>
        <v>0</v>
      </c>
      <c r="CN20" s="260">
        <f t="shared" si="55"/>
        <v>0</v>
      </c>
      <c r="CO20" s="260">
        <f t="shared" si="56"/>
        <v>0</v>
      </c>
      <c r="CP20" s="260">
        <f t="shared" si="89"/>
        <v>0</v>
      </c>
      <c r="CQ20" s="260">
        <f t="shared" si="90"/>
        <v>0</v>
      </c>
      <c r="CR20" s="260">
        <f t="shared" si="91"/>
        <v>0</v>
      </c>
      <c r="CS20" s="260">
        <f t="shared" si="92"/>
        <v>0</v>
      </c>
      <c r="CT20" s="260">
        <f t="shared" si="57"/>
        <v>0</v>
      </c>
      <c r="CU20" s="260">
        <f t="shared" si="58"/>
        <v>0</v>
      </c>
      <c r="CV20" s="260">
        <f t="shared" si="59"/>
        <v>0</v>
      </c>
      <c r="CW20" s="260">
        <f t="shared" si="60"/>
        <v>0</v>
      </c>
      <c r="CX20" s="260">
        <f t="shared" si="93"/>
        <v>0</v>
      </c>
      <c r="CY20" s="260">
        <f t="shared" si="94"/>
        <v>0</v>
      </c>
      <c r="CZ20" s="260">
        <f t="shared" si="95"/>
        <v>0</v>
      </c>
      <c r="DA20" s="260">
        <f t="shared" si="96"/>
        <v>0</v>
      </c>
    </row>
    <row r="21" spans="1:105" s="257" customFormat="1" ht="16.5" customHeight="1">
      <c r="A21" s="60" t="str">
        <f t="array" ref="A21">IF(C21&lt;&gt;0,SUM(($C$11:C21&lt;&gt;0)*1),"")</f>
        <v/>
      </c>
      <c r="B21" s="258"/>
      <c r="C21" s="258"/>
      <c r="D21" s="258"/>
      <c r="E21" s="337"/>
      <c r="F21" s="309"/>
      <c r="G21" s="311"/>
      <c r="H21" s="311"/>
      <c r="I21" s="60" t="str">
        <f t="shared" si="0"/>
        <v/>
      </c>
      <c r="J21" s="260">
        <f t="shared" si="61"/>
        <v>0</v>
      </c>
      <c r="K21" s="260">
        <f t="shared" si="62"/>
        <v>0</v>
      </c>
      <c r="L21" s="260">
        <f t="shared" si="1"/>
        <v>0</v>
      </c>
      <c r="M21" s="260">
        <f t="shared" si="2"/>
        <v>0</v>
      </c>
      <c r="N21" s="260">
        <f t="shared" si="3"/>
        <v>0</v>
      </c>
      <c r="O21" s="260">
        <f t="shared" si="4"/>
        <v>0</v>
      </c>
      <c r="P21" s="260">
        <f t="shared" si="5"/>
        <v>0</v>
      </c>
      <c r="Q21" s="260">
        <f t="shared" si="6"/>
        <v>0</v>
      </c>
      <c r="R21" s="260">
        <f t="shared" si="7"/>
        <v>0</v>
      </c>
      <c r="S21" s="260">
        <f t="shared" si="8"/>
        <v>0</v>
      </c>
      <c r="T21" s="260">
        <f t="shared" si="9"/>
        <v>0</v>
      </c>
      <c r="U21" s="260">
        <f t="shared" si="10"/>
        <v>0</v>
      </c>
      <c r="V21" s="260">
        <f t="shared" si="11"/>
        <v>0</v>
      </c>
      <c r="W21" s="260">
        <f t="shared" si="12"/>
        <v>0</v>
      </c>
      <c r="X21" s="260">
        <f t="shared" si="13"/>
        <v>0</v>
      </c>
      <c r="Y21" s="260">
        <f t="shared" si="14"/>
        <v>0</v>
      </c>
      <c r="Z21" s="260">
        <f t="shared" si="15"/>
        <v>0</v>
      </c>
      <c r="AA21" s="260">
        <f t="shared" si="16"/>
        <v>0</v>
      </c>
      <c r="AB21" s="260">
        <f t="shared" si="63"/>
        <v>0</v>
      </c>
      <c r="AC21" s="260">
        <f t="shared" si="64"/>
        <v>0</v>
      </c>
      <c r="AD21" s="260">
        <f t="shared" si="17"/>
        <v>0</v>
      </c>
      <c r="AE21" s="260">
        <f t="shared" si="18"/>
        <v>0</v>
      </c>
      <c r="AF21" s="260">
        <f t="shared" si="19"/>
        <v>0</v>
      </c>
      <c r="AG21" s="260">
        <f t="shared" si="20"/>
        <v>0</v>
      </c>
      <c r="AH21" s="260">
        <f t="shared" si="65"/>
        <v>0</v>
      </c>
      <c r="AI21" s="260">
        <f t="shared" si="66"/>
        <v>0</v>
      </c>
      <c r="AJ21" s="260">
        <f t="shared" si="67"/>
        <v>0</v>
      </c>
      <c r="AK21" s="260">
        <f t="shared" si="68"/>
        <v>0</v>
      </c>
      <c r="AL21" s="260">
        <f t="shared" si="69"/>
        <v>0</v>
      </c>
      <c r="AM21" s="260">
        <f t="shared" si="70"/>
        <v>0</v>
      </c>
      <c r="AN21" s="260">
        <f t="shared" si="71"/>
        <v>0</v>
      </c>
      <c r="AO21" s="260">
        <f t="shared" si="72"/>
        <v>0</v>
      </c>
      <c r="AP21" s="260">
        <f t="shared" si="21"/>
        <v>0</v>
      </c>
      <c r="AQ21" s="260">
        <f t="shared" si="22"/>
        <v>0</v>
      </c>
      <c r="AR21" s="260">
        <f t="shared" si="23"/>
        <v>0</v>
      </c>
      <c r="AS21" s="260">
        <f t="shared" si="24"/>
        <v>0</v>
      </c>
      <c r="AT21" s="260">
        <f t="shared" si="73"/>
        <v>0</v>
      </c>
      <c r="AU21" s="260">
        <f t="shared" si="74"/>
        <v>0</v>
      </c>
      <c r="AV21" s="260">
        <f t="shared" si="25"/>
        <v>0</v>
      </c>
      <c r="AW21" s="260">
        <f t="shared" si="26"/>
        <v>0</v>
      </c>
      <c r="AX21" s="260">
        <f t="shared" si="27"/>
        <v>0</v>
      </c>
      <c r="AY21" s="260">
        <f t="shared" si="28"/>
        <v>0</v>
      </c>
      <c r="AZ21" s="260">
        <f t="shared" si="29"/>
        <v>0</v>
      </c>
      <c r="BA21" s="260">
        <f t="shared" si="30"/>
        <v>0</v>
      </c>
      <c r="BB21" s="260">
        <f t="shared" si="31"/>
        <v>0</v>
      </c>
      <c r="BC21" s="260">
        <f t="shared" si="32"/>
        <v>0</v>
      </c>
      <c r="BD21" s="260">
        <f t="shared" si="33"/>
        <v>0</v>
      </c>
      <c r="BE21" s="260">
        <f t="shared" si="34"/>
        <v>0</v>
      </c>
      <c r="BF21" s="260">
        <f t="shared" si="35"/>
        <v>0</v>
      </c>
      <c r="BG21" s="260">
        <f t="shared" si="36"/>
        <v>0</v>
      </c>
      <c r="BH21" s="260">
        <f t="shared" si="75"/>
        <v>0</v>
      </c>
      <c r="BI21" s="260">
        <f t="shared" si="76"/>
        <v>0</v>
      </c>
      <c r="BJ21" s="260">
        <f t="shared" si="37"/>
        <v>0</v>
      </c>
      <c r="BK21" s="260">
        <f t="shared" si="38"/>
        <v>0</v>
      </c>
      <c r="BL21" s="260">
        <f t="shared" si="39"/>
        <v>0</v>
      </c>
      <c r="BM21" s="260">
        <f t="shared" si="40"/>
        <v>0</v>
      </c>
      <c r="BN21" s="260">
        <f t="shared" si="41"/>
        <v>0</v>
      </c>
      <c r="BO21" s="260">
        <f t="shared" si="42"/>
        <v>0</v>
      </c>
      <c r="BP21" s="260">
        <f t="shared" si="77"/>
        <v>0</v>
      </c>
      <c r="BQ21" s="260">
        <f t="shared" si="78"/>
        <v>0</v>
      </c>
      <c r="BR21" s="260">
        <f t="shared" si="43"/>
        <v>0</v>
      </c>
      <c r="BS21" s="260">
        <f t="shared" si="44"/>
        <v>0</v>
      </c>
      <c r="BT21" s="260">
        <f t="shared" si="79"/>
        <v>0</v>
      </c>
      <c r="BU21" s="260">
        <f t="shared" si="80"/>
        <v>0</v>
      </c>
      <c r="BV21" s="260">
        <f t="shared" si="81"/>
        <v>0</v>
      </c>
      <c r="BW21" s="260">
        <f t="shared" si="82"/>
        <v>0</v>
      </c>
      <c r="BX21" s="260">
        <f t="shared" si="45"/>
        <v>0</v>
      </c>
      <c r="BY21" s="260">
        <f t="shared" si="46"/>
        <v>0</v>
      </c>
      <c r="BZ21" s="260">
        <f t="shared" si="47"/>
        <v>0</v>
      </c>
      <c r="CA21" s="260">
        <f t="shared" si="48"/>
        <v>0</v>
      </c>
      <c r="CB21" s="260">
        <f t="shared" si="49"/>
        <v>0</v>
      </c>
      <c r="CC21" s="260">
        <f t="shared" si="50"/>
        <v>0</v>
      </c>
      <c r="CD21" s="260">
        <f t="shared" si="83"/>
        <v>0</v>
      </c>
      <c r="CE21" s="260">
        <f t="shared" si="84"/>
        <v>0</v>
      </c>
      <c r="CF21" s="260">
        <f t="shared" si="85"/>
        <v>0</v>
      </c>
      <c r="CG21" s="260">
        <f t="shared" si="86"/>
        <v>0</v>
      </c>
      <c r="CH21" s="260">
        <f t="shared" si="51"/>
        <v>0</v>
      </c>
      <c r="CI21" s="260">
        <f t="shared" si="52"/>
        <v>0</v>
      </c>
      <c r="CJ21" s="260">
        <f t="shared" si="87"/>
        <v>0</v>
      </c>
      <c r="CK21" s="260">
        <f t="shared" si="88"/>
        <v>0</v>
      </c>
      <c r="CL21" s="260">
        <f t="shared" si="53"/>
        <v>0</v>
      </c>
      <c r="CM21" s="260">
        <f t="shared" si="54"/>
        <v>0</v>
      </c>
      <c r="CN21" s="260">
        <f t="shared" si="55"/>
        <v>0</v>
      </c>
      <c r="CO21" s="260">
        <f t="shared" si="56"/>
        <v>0</v>
      </c>
      <c r="CP21" s="260">
        <f t="shared" si="89"/>
        <v>0</v>
      </c>
      <c r="CQ21" s="260">
        <f t="shared" si="90"/>
        <v>0</v>
      </c>
      <c r="CR21" s="260">
        <f t="shared" si="91"/>
        <v>0</v>
      </c>
      <c r="CS21" s="260">
        <f t="shared" si="92"/>
        <v>0</v>
      </c>
      <c r="CT21" s="260">
        <f t="shared" si="57"/>
        <v>0</v>
      </c>
      <c r="CU21" s="260">
        <f t="shared" si="58"/>
        <v>0</v>
      </c>
      <c r="CV21" s="260">
        <f t="shared" si="59"/>
        <v>0</v>
      </c>
      <c r="CW21" s="260">
        <f t="shared" si="60"/>
        <v>0</v>
      </c>
      <c r="CX21" s="260">
        <f t="shared" si="93"/>
        <v>0</v>
      </c>
      <c r="CY21" s="260">
        <f t="shared" si="94"/>
        <v>0</v>
      </c>
      <c r="CZ21" s="260">
        <f t="shared" si="95"/>
        <v>0</v>
      </c>
      <c r="DA21" s="260">
        <f t="shared" si="96"/>
        <v>0</v>
      </c>
    </row>
    <row r="22" spans="1:105" s="257" customFormat="1" ht="16.5" customHeight="1">
      <c r="A22" s="60" t="str">
        <f t="array" ref="A22">IF(C22&lt;&gt;0,SUM(($C$11:C22&lt;&gt;0)*1),"")</f>
        <v/>
      </c>
      <c r="B22" s="258"/>
      <c r="C22" s="258"/>
      <c r="D22" s="258"/>
      <c r="E22" s="337"/>
      <c r="F22" s="309"/>
      <c r="G22" s="311"/>
      <c r="H22" s="311"/>
      <c r="I22" s="60" t="str">
        <f t="shared" si="0"/>
        <v/>
      </c>
      <c r="J22" s="260">
        <f t="shared" si="61"/>
        <v>0</v>
      </c>
      <c r="K22" s="260">
        <f t="shared" si="62"/>
        <v>0</v>
      </c>
      <c r="L22" s="260">
        <f t="shared" si="1"/>
        <v>0</v>
      </c>
      <c r="M22" s="260">
        <f t="shared" si="2"/>
        <v>0</v>
      </c>
      <c r="N22" s="260">
        <f t="shared" si="3"/>
        <v>0</v>
      </c>
      <c r="O22" s="260">
        <f t="shared" si="4"/>
        <v>0</v>
      </c>
      <c r="P22" s="260">
        <f t="shared" si="5"/>
        <v>0</v>
      </c>
      <c r="Q22" s="260">
        <f t="shared" si="6"/>
        <v>0</v>
      </c>
      <c r="R22" s="260">
        <f t="shared" si="7"/>
        <v>0</v>
      </c>
      <c r="S22" s="260">
        <f t="shared" si="8"/>
        <v>0</v>
      </c>
      <c r="T22" s="260">
        <f t="shared" si="9"/>
        <v>0</v>
      </c>
      <c r="U22" s="260">
        <f t="shared" si="10"/>
        <v>0</v>
      </c>
      <c r="V22" s="260">
        <f t="shared" si="11"/>
        <v>0</v>
      </c>
      <c r="W22" s="260">
        <f t="shared" si="12"/>
        <v>0</v>
      </c>
      <c r="X22" s="260">
        <f t="shared" si="13"/>
        <v>0</v>
      </c>
      <c r="Y22" s="260">
        <f t="shared" si="14"/>
        <v>0</v>
      </c>
      <c r="Z22" s="260">
        <f t="shared" si="15"/>
        <v>0</v>
      </c>
      <c r="AA22" s="260">
        <f t="shared" si="16"/>
        <v>0</v>
      </c>
      <c r="AB22" s="260">
        <f t="shared" si="63"/>
        <v>0</v>
      </c>
      <c r="AC22" s="260">
        <f t="shared" si="64"/>
        <v>0</v>
      </c>
      <c r="AD22" s="260">
        <f t="shared" si="17"/>
        <v>0</v>
      </c>
      <c r="AE22" s="260">
        <f t="shared" si="18"/>
        <v>0</v>
      </c>
      <c r="AF22" s="260">
        <f t="shared" si="19"/>
        <v>0</v>
      </c>
      <c r="AG22" s="260">
        <f t="shared" si="20"/>
        <v>0</v>
      </c>
      <c r="AH22" s="260">
        <f t="shared" si="65"/>
        <v>0</v>
      </c>
      <c r="AI22" s="260">
        <f t="shared" si="66"/>
        <v>0</v>
      </c>
      <c r="AJ22" s="260">
        <f t="shared" si="67"/>
        <v>0</v>
      </c>
      <c r="AK22" s="260">
        <f t="shared" si="68"/>
        <v>0</v>
      </c>
      <c r="AL22" s="260">
        <f t="shared" si="69"/>
        <v>0</v>
      </c>
      <c r="AM22" s="260">
        <f t="shared" si="70"/>
        <v>0</v>
      </c>
      <c r="AN22" s="260">
        <f t="shared" si="71"/>
        <v>0</v>
      </c>
      <c r="AO22" s="260">
        <f t="shared" si="72"/>
        <v>0</v>
      </c>
      <c r="AP22" s="260">
        <f t="shared" si="21"/>
        <v>0</v>
      </c>
      <c r="AQ22" s="260">
        <f t="shared" si="22"/>
        <v>0</v>
      </c>
      <c r="AR22" s="260">
        <f t="shared" si="23"/>
        <v>0</v>
      </c>
      <c r="AS22" s="260">
        <f t="shared" si="24"/>
        <v>0</v>
      </c>
      <c r="AT22" s="260">
        <f t="shared" si="73"/>
        <v>0</v>
      </c>
      <c r="AU22" s="260">
        <f t="shared" si="74"/>
        <v>0</v>
      </c>
      <c r="AV22" s="260">
        <f t="shared" si="25"/>
        <v>0</v>
      </c>
      <c r="AW22" s="260">
        <f t="shared" si="26"/>
        <v>0</v>
      </c>
      <c r="AX22" s="260">
        <f t="shared" si="27"/>
        <v>0</v>
      </c>
      <c r="AY22" s="260">
        <f t="shared" si="28"/>
        <v>0</v>
      </c>
      <c r="AZ22" s="260">
        <f t="shared" si="29"/>
        <v>0</v>
      </c>
      <c r="BA22" s="260">
        <f t="shared" si="30"/>
        <v>0</v>
      </c>
      <c r="BB22" s="260">
        <f t="shared" si="31"/>
        <v>0</v>
      </c>
      <c r="BC22" s="260">
        <f t="shared" si="32"/>
        <v>0</v>
      </c>
      <c r="BD22" s="260">
        <f t="shared" si="33"/>
        <v>0</v>
      </c>
      <c r="BE22" s="260">
        <f t="shared" si="34"/>
        <v>0</v>
      </c>
      <c r="BF22" s="260">
        <f t="shared" si="35"/>
        <v>0</v>
      </c>
      <c r="BG22" s="260">
        <f t="shared" si="36"/>
        <v>0</v>
      </c>
      <c r="BH22" s="260">
        <f t="shared" si="75"/>
        <v>0</v>
      </c>
      <c r="BI22" s="260">
        <f t="shared" si="76"/>
        <v>0</v>
      </c>
      <c r="BJ22" s="260">
        <f t="shared" si="37"/>
        <v>0</v>
      </c>
      <c r="BK22" s="260">
        <f t="shared" si="38"/>
        <v>0</v>
      </c>
      <c r="BL22" s="260">
        <f t="shared" si="39"/>
        <v>0</v>
      </c>
      <c r="BM22" s="260">
        <f t="shared" si="40"/>
        <v>0</v>
      </c>
      <c r="BN22" s="260">
        <f t="shared" si="41"/>
        <v>0</v>
      </c>
      <c r="BO22" s="260">
        <f t="shared" si="42"/>
        <v>0</v>
      </c>
      <c r="BP22" s="260">
        <f t="shared" si="77"/>
        <v>0</v>
      </c>
      <c r="BQ22" s="260">
        <f t="shared" si="78"/>
        <v>0</v>
      </c>
      <c r="BR22" s="260">
        <f t="shared" si="43"/>
        <v>0</v>
      </c>
      <c r="BS22" s="260">
        <f t="shared" si="44"/>
        <v>0</v>
      </c>
      <c r="BT22" s="260">
        <f t="shared" si="79"/>
        <v>0</v>
      </c>
      <c r="BU22" s="260">
        <f t="shared" si="80"/>
        <v>0</v>
      </c>
      <c r="BV22" s="260">
        <f t="shared" si="81"/>
        <v>0</v>
      </c>
      <c r="BW22" s="260">
        <f t="shared" si="82"/>
        <v>0</v>
      </c>
      <c r="BX22" s="260">
        <f t="shared" si="45"/>
        <v>0</v>
      </c>
      <c r="BY22" s="260">
        <f t="shared" si="46"/>
        <v>0</v>
      </c>
      <c r="BZ22" s="260">
        <f t="shared" si="47"/>
        <v>0</v>
      </c>
      <c r="CA22" s="260">
        <f t="shared" si="48"/>
        <v>0</v>
      </c>
      <c r="CB22" s="260">
        <f t="shared" si="49"/>
        <v>0</v>
      </c>
      <c r="CC22" s="260">
        <f t="shared" si="50"/>
        <v>0</v>
      </c>
      <c r="CD22" s="260">
        <f t="shared" si="83"/>
        <v>0</v>
      </c>
      <c r="CE22" s="260">
        <f t="shared" si="84"/>
        <v>0</v>
      </c>
      <c r="CF22" s="260">
        <f t="shared" si="85"/>
        <v>0</v>
      </c>
      <c r="CG22" s="260">
        <f t="shared" si="86"/>
        <v>0</v>
      </c>
      <c r="CH22" s="260">
        <f t="shared" si="51"/>
        <v>0</v>
      </c>
      <c r="CI22" s="260">
        <f t="shared" si="52"/>
        <v>0</v>
      </c>
      <c r="CJ22" s="260">
        <f t="shared" si="87"/>
        <v>0</v>
      </c>
      <c r="CK22" s="260">
        <f t="shared" si="88"/>
        <v>0</v>
      </c>
      <c r="CL22" s="260">
        <f t="shared" si="53"/>
        <v>0</v>
      </c>
      <c r="CM22" s="260">
        <f t="shared" si="54"/>
        <v>0</v>
      </c>
      <c r="CN22" s="260">
        <f t="shared" si="55"/>
        <v>0</v>
      </c>
      <c r="CO22" s="260">
        <f t="shared" si="56"/>
        <v>0</v>
      </c>
      <c r="CP22" s="260">
        <f t="shared" si="89"/>
        <v>0</v>
      </c>
      <c r="CQ22" s="260">
        <f t="shared" si="90"/>
        <v>0</v>
      </c>
      <c r="CR22" s="260">
        <f t="shared" si="91"/>
        <v>0</v>
      </c>
      <c r="CS22" s="260">
        <f t="shared" si="92"/>
        <v>0</v>
      </c>
      <c r="CT22" s="260">
        <f t="shared" si="57"/>
        <v>0</v>
      </c>
      <c r="CU22" s="260">
        <f t="shared" si="58"/>
        <v>0</v>
      </c>
      <c r="CV22" s="260">
        <f t="shared" si="59"/>
        <v>0</v>
      </c>
      <c r="CW22" s="260">
        <f t="shared" si="60"/>
        <v>0</v>
      </c>
      <c r="CX22" s="260">
        <f t="shared" si="93"/>
        <v>0</v>
      </c>
      <c r="CY22" s="260">
        <f t="shared" si="94"/>
        <v>0</v>
      </c>
      <c r="CZ22" s="260">
        <f t="shared" si="95"/>
        <v>0</v>
      </c>
      <c r="DA22" s="260">
        <f t="shared" si="96"/>
        <v>0</v>
      </c>
    </row>
    <row r="23" spans="1:105" s="257" customFormat="1" ht="16.5" customHeight="1">
      <c r="A23" s="60" t="str">
        <f t="array" ref="A23">IF(C23&lt;&gt;0,SUM(($C$11:C23&lt;&gt;0)*1),"")</f>
        <v/>
      </c>
      <c r="B23" s="258"/>
      <c r="C23" s="258"/>
      <c r="D23" s="258"/>
      <c r="E23" s="337"/>
      <c r="F23" s="309"/>
      <c r="G23" s="311"/>
      <c r="H23" s="311"/>
      <c r="I23" s="60" t="str">
        <f t="shared" si="0"/>
        <v/>
      </c>
      <c r="J23" s="260">
        <f t="shared" si="61"/>
        <v>0</v>
      </c>
      <c r="K23" s="260">
        <f t="shared" si="62"/>
        <v>0</v>
      </c>
      <c r="L23" s="260">
        <f t="shared" si="1"/>
        <v>0</v>
      </c>
      <c r="M23" s="260">
        <f t="shared" si="2"/>
        <v>0</v>
      </c>
      <c r="N23" s="260">
        <f t="shared" si="3"/>
        <v>0</v>
      </c>
      <c r="O23" s="260">
        <f t="shared" si="4"/>
        <v>0</v>
      </c>
      <c r="P23" s="260">
        <f t="shared" si="5"/>
        <v>0</v>
      </c>
      <c r="Q23" s="260">
        <f t="shared" si="6"/>
        <v>0</v>
      </c>
      <c r="R23" s="260">
        <f t="shared" si="7"/>
        <v>0</v>
      </c>
      <c r="S23" s="260">
        <f t="shared" si="8"/>
        <v>0</v>
      </c>
      <c r="T23" s="260">
        <f t="shared" si="9"/>
        <v>0</v>
      </c>
      <c r="U23" s="260">
        <f t="shared" si="10"/>
        <v>0</v>
      </c>
      <c r="V23" s="260">
        <f t="shared" si="11"/>
        <v>0</v>
      </c>
      <c r="W23" s="260">
        <f t="shared" si="12"/>
        <v>0</v>
      </c>
      <c r="X23" s="260">
        <f t="shared" si="13"/>
        <v>0</v>
      </c>
      <c r="Y23" s="260">
        <f t="shared" si="14"/>
        <v>0</v>
      </c>
      <c r="Z23" s="260">
        <f t="shared" si="15"/>
        <v>0</v>
      </c>
      <c r="AA23" s="260">
        <f t="shared" si="16"/>
        <v>0</v>
      </c>
      <c r="AB23" s="260">
        <f t="shared" si="63"/>
        <v>0</v>
      </c>
      <c r="AC23" s="260">
        <f t="shared" si="64"/>
        <v>0</v>
      </c>
      <c r="AD23" s="260">
        <f t="shared" si="17"/>
        <v>0</v>
      </c>
      <c r="AE23" s="260">
        <f t="shared" si="18"/>
        <v>0</v>
      </c>
      <c r="AF23" s="260">
        <f t="shared" si="19"/>
        <v>0</v>
      </c>
      <c r="AG23" s="260">
        <f t="shared" si="20"/>
        <v>0</v>
      </c>
      <c r="AH23" s="260">
        <f t="shared" si="65"/>
        <v>0</v>
      </c>
      <c r="AI23" s="260">
        <f t="shared" si="66"/>
        <v>0</v>
      </c>
      <c r="AJ23" s="260">
        <f t="shared" si="67"/>
        <v>0</v>
      </c>
      <c r="AK23" s="260">
        <f t="shared" si="68"/>
        <v>0</v>
      </c>
      <c r="AL23" s="260">
        <f t="shared" si="69"/>
        <v>0</v>
      </c>
      <c r="AM23" s="260">
        <f t="shared" si="70"/>
        <v>0</v>
      </c>
      <c r="AN23" s="260">
        <f t="shared" si="71"/>
        <v>0</v>
      </c>
      <c r="AO23" s="260">
        <f t="shared" si="72"/>
        <v>0</v>
      </c>
      <c r="AP23" s="260">
        <f t="shared" si="21"/>
        <v>0</v>
      </c>
      <c r="AQ23" s="260">
        <f t="shared" si="22"/>
        <v>0</v>
      </c>
      <c r="AR23" s="260">
        <f t="shared" si="23"/>
        <v>0</v>
      </c>
      <c r="AS23" s="260">
        <f t="shared" si="24"/>
        <v>0</v>
      </c>
      <c r="AT23" s="260">
        <f t="shared" si="73"/>
        <v>0</v>
      </c>
      <c r="AU23" s="260">
        <f t="shared" si="74"/>
        <v>0</v>
      </c>
      <c r="AV23" s="260">
        <f t="shared" si="25"/>
        <v>0</v>
      </c>
      <c r="AW23" s="260">
        <f t="shared" si="26"/>
        <v>0</v>
      </c>
      <c r="AX23" s="260">
        <f t="shared" si="27"/>
        <v>0</v>
      </c>
      <c r="AY23" s="260">
        <f t="shared" si="28"/>
        <v>0</v>
      </c>
      <c r="AZ23" s="260">
        <f t="shared" si="29"/>
        <v>0</v>
      </c>
      <c r="BA23" s="260">
        <f t="shared" si="30"/>
        <v>0</v>
      </c>
      <c r="BB23" s="260">
        <f t="shared" si="31"/>
        <v>0</v>
      </c>
      <c r="BC23" s="260">
        <f t="shared" si="32"/>
        <v>0</v>
      </c>
      <c r="BD23" s="260">
        <f t="shared" si="33"/>
        <v>0</v>
      </c>
      <c r="BE23" s="260">
        <f t="shared" si="34"/>
        <v>0</v>
      </c>
      <c r="BF23" s="260">
        <f t="shared" si="35"/>
        <v>0</v>
      </c>
      <c r="BG23" s="260">
        <f t="shared" si="36"/>
        <v>0</v>
      </c>
      <c r="BH23" s="260">
        <f t="shared" si="75"/>
        <v>0</v>
      </c>
      <c r="BI23" s="260">
        <f t="shared" si="76"/>
        <v>0</v>
      </c>
      <c r="BJ23" s="260">
        <f t="shared" si="37"/>
        <v>0</v>
      </c>
      <c r="BK23" s="260">
        <f t="shared" si="38"/>
        <v>0</v>
      </c>
      <c r="BL23" s="260">
        <f t="shared" si="39"/>
        <v>0</v>
      </c>
      <c r="BM23" s="260">
        <f t="shared" si="40"/>
        <v>0</v>
      </c>
      <c r="BN23" s="260">
        <f t="shared" si="41"/>
        <v>0</v>
      </c>
      <c r="BO23" s="260">
        <f t="shared" si="42"/>
        <v>0</v>
      </c>
      <c r="BP23" s="260">
        <f t="shared" si="77"/>
        <v>0</v>
      </c>
      <c r="BQ23" s="260">
        <f t="shared" si="78"/>
        <v>0</v>
      </c>
      <c r="BR23" s="260">
        <f t="shared" si="43"/>
        <v>0</v>
      </c>
      <c r="BS23" s="260">
        <f t="shared" si="44"/>
        <v>0</v>
      </c>
      <c r="BT23" s="260">
        <f t="shared" si="79"/>
        <v>0</v>
      </c>
      <c r="BU23" s="260">
        <f t="shared" si="80"/>
        <v>0</v>
      </c>
      <c r="BV23" s="260">
        <f t="shared" si="81"/>
        <v>0</v>
      </c>
      <c r="BW23" s="260">
        <f t="shared" si="82"/>
        <v>0</v>
      </c>
      <c r="BX23" s="260">
        <f t="shared" si="45"/>
        <v>0</v>
      </c>
      <c r="BY23" s="260">
        <f t="shared" si="46"/>
        <v>0</v>
      </c>
      <c r="BZ23" s="260">
        <f t="shared" si="47"/>
        <v>0</v>
      </c>
      <c r="CA23" s="260">
        <f t="shared" si="48"/>
        <v>0</v>
      </c>
      <c r="CB23" s="260">
        <f t="shared" si="49"/>
        <v>0</v>
      </c>
      <c r="CC23" s="260">
        <f t="shared" si="50"/>
        <v>0</v>
      </c>
      <c r="CD23" s="260">
        <f t="shared" si="83"/>
        <v>0</v>
      </c>
      <c r="CE23" s="260">
        <f t="shared" si="84"/>
        <v>0</v>
      </c>
      <c r="CF23" s="260">
        <f t="shared" si="85"/>
        <v>0</v>
      </c>
      <c r="CG23" s="260">
        <f t="shared" si="86"/>
        <v>0</v>
      </c>
      <c r="CH23" s="260">
        <f t="shared" si="51"/>
        <v>0</v>
      </c>
      <c r="CI23" s="260">
        <f t="shared" si="52"/>
        <v>0</v>
      </c>
      <c r="CJ23" s="260">
        <f t="shared" si="87"/>
        <v>0</v>
      </c>
      <c r="CK23" s="260">
        <f t="shared" si="88"/>
        <v>0</v>
      </c>
      <c r="CL23" s="260">
        <f t="shared" si="53"/>
        <v>0</v>
      </c>
      <c r="CM23" s="260">
        <f t="shared" si="54"/>
        <v>0</v>
      </c>
      <c r="CN23" s="260">
        <f t="shared" si="55"/>
        <v>0</v>
      </c>
      <c r="CO23" s="260">
        <f t="shared" si="56"/>
        <v>0</v>
      </c>
      <c r="CP23" s="260">
        <f t="shared" si="89"/>
        <v>0</v>
      </c>
      <c r="CQ23" s="260">
        <f t="shared" si="90"/>
        <v>0</v>
      </c>
      <c r="CR23" s="260">
        <f t="shared" si="91"/>
        <v>0</v>
      </c>
      <c r="CS23" s="260">
        <f t="shared" si="92"/>
        <v>0</v>
      </c>
      <c r="CT23" s="260">
        <f t="shared" si="57"/>
        <v>0</v>
      </c>
      <c r="CU23" s="260">
        <f t="shared" si="58"/>
        <v>0</v>
      </c>
      <c r="CV23" s="260">
        <f t="shared" si="59"/>
        <v>0</v>
      </c>
      <c r="CW23" s="260">
        <f t="shared" si="60"/>
        <v>0</v>
      </c>
      <c r="CX23" s="260">
        <f t="shared" si="93"/>
        <v>0</v>
      </c>
      <c r="CY23" s="260">
        <f t="shared" si="94"/>
        <v>0</v>
      </c>
      <c r="CZ23" s="260">
        <f t="shared" si="95"/>
        <v>0</v>
      </c>
      <c r="DA23" s="260">
        <f t="shared" si="96"/>
        <v>0</v>
      </c>
    </row>
    <row r="24" spans="1:105" s="257" customFormat="1" ht="16.5" customHeight="1">
      <c r="A24" s="60" t="str">
        <f t="array" ref="A24">IF(C24&lt;&gt;0,SUM(($C$11:C24&lt;&gt;0)*1),"")</f>
        <v/>
      </c>
      <c r="B24" s="258"/>
      <c r="C24" s="258"/>
      <c r="D24" s="258"/>
      <c r="E24" s="337"/>
      <c r="F24" s="309"/>
      <c r="G24" s="311"/>
      <c r="H24" s="311"/>
      <c r="I24" s="60" t="str">
        <f t="shared" si="0"/>
        <v/>
      </c>
      <c r="J24" s="260">
        <f t="shared" si="61"/>
        <v>0</v>
      </c>
      <c r="K24" s="260">
        <f t="shared" si="62"/>
        <v>0</v>
      </c>
      <c r="L24" s="260">
        <f t="shared" si="1"/>
        <v>0</v>
      </c>
      <c r="M24" s="260">
        <f t="shared" si="2"/>
        <v>0</v>
      </c>
      <c r="N24" s="260">
        <f t="shared" si="3"/>
        <v>0</v>
      </c>
      <c r="O24" s="260">
        <f t="shared" si="4"/>
        <v>0</v>
      </c>
      <c r="P24" s="260">
        <f t="shared" si="5"/>
        <v>0</v>
      </c>
      <c r="Q24" s="260">
        <f t="shared" si="6"/>
        <v>0</v>
      </c>
      <c r="R24" s="260">
        <f t="shared" si="7"/>
        <v>0</v>
      </c>
      <c r="S24" s="260">
        <f t="shared" si="8"/>
        <v>0</v>
      </c>
      <c r="T24" s="260">
        <f t="shared" si="9"/>
        <v>0</v>
      </c>
      <c r="U24" s="260">
        <f t="shared" si="10"/>
        <v>0</v>
      </c>
      <c r="V24" s="260">
        <f t="shared" si="11"/>
        <v>0</v>
      </c>
      <c r="W24" s="260">
        <f t="shared" si="12"/>
        <v>0</v>
      </c>
      <c r="X24" s="260">
        <f t="shared" si="13"/>
        <v>0</v>
      </c>
      <c r="Y24" s="260">
        <f t="shared" si="14"/>
        <v>0</v>
      </c>
      <c r="Z24" s="260">
        <f t="shared" si="15"/>
        <v>0</v>
      </c>
      <c r="AA24" s="260">
        <f t="shared" si="16"/>
        <v>0</v>
      </c>
      <c r="AB24" s="260">
        <f t="shared" si="63"/>
        <v>0</v>
      </c>
      <c r="AC24" s="260">
        <f t="shared" si="64"/>
        <v>0</v>
      </c>
      <c r="AD24" s="260">
        <f t="shared" si="17"/>
        <v>0</v>
      </c>
      <c r="AE24" s="260">
        <f t="shared" si="18"/>
        <v>0</v>
      </c>
      <c r="AF24" s="260">
        <f t="shared" si="19"/>
        <v>0</v>
      </c>
      <c r="AG24" s="260">
        <f t="shared" si="20"/>
        <v>0</v>
      </c>
      <c r="AH24" s="260">
        <f t="shared" si="65"/>
        <v>0</v>
      </c>
      <c r="AI24" s="260">
        <f t="shared" si="66"/>
        <v>0</v>
      </c>
      <c r="AJ24" s="260">
        <f t="shared" si="67"/>
        <v>0</v>
      </c>
      <c r="AK24" s="260">
        <f t="shared" si="68"/>
        <v>0</v>
      </c>
      <c r="AL24" s="260">
        <f t="shared" si="69"/>
        <v>0</v>
      </c>
      <c r="AM24" s="260">
        <f t="shared" si="70"/>
        <v>0</v>
      </c>
      <c r="AN24" s="260">
        <f t="shared" si="71"/>
        <v>0</v>
      </c>
      <c r="AO24" s="260">
        <f t="shared" si="72"/>
        <v>0</v>
      </c>
      <c r="AP24" s="260">
        <f t="shared" si="21"/>
        <v>0</v>
      </c>
      <c r="AQ24" s="260">
        <f t="shared" si="22"/>
        <v>0</v>
      </c>
      <c r="AR24" s="260">
        <f t="shared" si="23"/>
        <v>0</v>
      </c>
      <c r="AS24" s="260">
        <f t="shared" si="24"/>
        <v>0</v>
      </c>
      <c r="AT24" s="260">
        <f t="shared" si="73"/>
        <v>0</v>
      </c>
      <c r="AU24" s="260">
        <f t="shared" si="74"/>
        <v>0</v>
      </c>
      <c r="AV24" s="260">
        <f t="shared" si="25"/>
        <v>0</v>
      </c>
      <c r="AW24" s="260">
        <f t="shared" si="26"/>
        <v>0</v>
      </c>
      <c r="AX24" s="260">
        <f t="shared" si="27"/>
        <v>0</v>
      </c>
      <c r="AY24" s="260">
        <f t="shared" si="28"/>
        <v>0</v>
      </c>
      <c r="AZ24" s="260">
        <f t="shared" si="29"/>
        <v>0</v>
      </c>
      <c r="BA24" s="260">
        <f t="shared" si="30"/>
        <v>0</v>
      </c>
      <c r="BB24" s="260">
        <f t="shared" si="31"/>
        <v>0</v>
      </c>
      <c r="BC24" s="260">
        <f t="shared" si="32"/>
        <v>0</v>
      </c>
      <c r="BD24" s="260">
        <f t="shared" si="33"/>
        <v>0</v>
      </c>
      <c r="BE24" s="260">
        <f t="shared" si="34"/>
        <v>0</v>
      </c>
      <c r="BF24" s="260">
        <f t="shared" si="35"/>
        <v>0</v>
      </c>
      <c r="BG24" s="260">
        <f t="shared" si="36"/>
        <v>0</v>
      </c>
      <c r="BH24" s="260">
        <f t="shared" si="75"/>
        <v>0</v>
      </c>
      <c r="BI24" s="260">
        <f t="shared" si="76"/>
        <v>0</v>
      </c>
      <c r="BJ24" s="260">
        <f t="shared" si="37"/>
        <v>0</v>
      </c>
      <c r="BK24" s="260">
        <f t="shared" si="38"/>
        <v>0</v>
      </c>
      <c r="BL24" s="260">
        <f t="shared" si="39"/>
        <v>0</v>
      </c>
      <c r="BM24" s="260">
        <f t="shared" si="40"/>
        <v>0</v>
      </c>
      <c r="BN24" s="260">
        <f t="shared" si="41"/>
        <v>0</v>
      </c>
      <c r="BO24" s="260">
        <f t="shared" si="42"/>
        <v>0</v>
      </c>
      <c r="BP24" s="260">
        <f t="shared" si="77"/>
        <v>0</v>
      </c>
      <c r="BQ24" s="260">
        <f t="shared" si="78"/>
        <v>0</v>
      </c>
      <c r="BR24" s="260">
        <f t="shared" si="43"/>
        <v>0</v>
      </c>
      <c r="BS24" s="260">
        <f t="shared" si="44"/>
        <v>0</v>
      </c>
      <c r="BT24" s="260">
        <f t="shared" si="79"/>
        <v>0</v>
      </c>
      <c r="BU24" s="260">
        <f t="shared" si="80"/>
        <v>0</v>
      </c>
      <c r="BV24" s="260">
        <f t="shared" si="81"/>
        <v>0</v>
      </c>
      <c r="BW24" s="260">
        <f t="shared" si="82"/>
        <v>0</v>
      </c>
      <c r="BX24" s="260">
        <f t="shared" si="45"/>
        <v>0</v>
      </c>
      <c r="BY24" s="260">
        <f t="shared" si="46"/>
        <v>0</v>
      </c>
      <c r="BZ24" s="260">
        <f t="shared" si="47"/>
        <v>0</v>
      </c>
      <c r="CA24" s="260">
        <f t="shared" si="48"/>
        <v>0</v>
      </c>
      <c r="CB24" s="260">
        <f t="shared" si="49"/>
        <v>0</v>
      </c>
      <c r="CC24" s="260">
        <f t="shared" si="50"/>
        <v>0</v>
      </c>
      <c r="CD24" s="260">
        <f t="shared" si="83"/>
        <v>0</v>
      </c>
      <c r="CE24" s="260">
        <f t="shared" si="84"/>
        <v>0</v>
      </c>
      <c r="CF24" s="260">
        <f t="shared" si="85"/>
        <v>0</v>
      </c>
      <c r="CG24" s="260">
        <f t="shared" si="86"/>
        <v>0</v>
      </c>
      <c r="CH24" s="260">
        <f t="shared" si="51"/>
        <v>0</v>
      </c>
      <c r="CI24" s="260">
        <f t="shared" si="52"/>
        <v>0</v>
      </c>
      <c r="CJ24" s="260">
        <f t="shared" si="87"/>
        <v>0</v>
      </c>
      <c r="CK24" s="260">
        <f t="shared" si="88"/>
        <v>0</v>
      </c>
      <c r="CL24" s="260">
        <f t="shared" si="53"/>
        <v>0</v>
      </c>
      <c r="CM24" s="260">
        <f t="shared" si="54"/>
        <v>0</v>
      </c>
      <c r="CN24" s="260">
        <f t="shared" si="55"/>
        <v>0</v>
      </c>
      <c r="CO24" s="260">
        <f t="shared" si="56"/>
        <v>0</v>
      </c>
      <c r="CP24" s="260">
        <f t="shared" si="89"/>
        <v>0</v>
      </c>
      <c r="CQ24" s="260">
        <f t="shared" si="90"/>
        <v>0</v>
      </c>
      <c r="CR24" s="260">
        <f t="shared" si="91"/>
        <v>0</v>
      </c>
      <c r="CS24" s="260">
        <f t="shared" si="92"/>
        <v>0</v>
      </c>
      <c r="CT24" s="260">
        <f t="shared" si="57"/>
        <v>0</v>
      </c>
      <c r="CU24" s="260">
        <f t="shared" si="58"/>
        <v>0</v>
      </c>
      <c r="CV24" s="260">
        <f t="shared" si="59"/>
        <v>0</v>
      </c>
      <c r="CW24" s="260">
        <f t="shared" si="60"/>
        <v>0</v>
      </c>
      <c r="CX24" s="260">
        <f t="shared" si="93"/>
        <v>0</v>
      </c>
      <c r="CY24" s="260">
        <f t="shared" si="94"/>
        <v>0</v>
      </c>
      <c r="CZ24" s="260">
        <f t="shared" si="95"/>
        <v>0</v>
      </c>
      <c r="DA24" s="260">
        <f t="shared" si="96"/>
        <v>0</v>
      </c>
    </row>
    <row r="25" spans="1:105" s="257" customFormat="1" ht="16.5" customHeight="1">
      <c r="A25" s="60" t="str">
        <f t="array" ref="A25">IF(C25&lt;&gt;0,SUM(($C$11:C25&lt;&gt;0)*1),"")</f>
        <v/>
      </c>
      <c r="B25" s="258"/>
      <c r="C25" s="258"/>
      <c r="D25" s="258"/>
      <c r="E25" s="337"/>
      <c r="F25" s="309"/>
      <c r="G25" s="311"/>
      <c r="H25" s="311"/>
      <c r="I25" s="60" t="str">
        <f t="shared" si="0"/>
        <v/>
      </c>
      <c r="J25" s="260">
        <f t="shared" si="61"/>
        <v>0</v>
      </c>
      <c r="K25" s="260">
        <f t="shared" si="62"/>
        <v>0</v>
      </c>
      <c r="L25" s="260">
        <f t="shared" si="1"/>
        <v>0</v>
      </c>
      <c r="M25" s="260">
        <f t="shared" si="2"/>
        <v>0</v>
      </c>
      <c r="N25" s="260">
        <f t="shared" si="3"/>
        <v>0</v>
      </c>
      <c r="O25" s="260">
        <f t="shared" si="4"/>
        <v>0</v>
      </c>
      <c r="P25" s="260">
        <f t="shared" si="5"/>
        <v>0</v>
      </c>
      <c r="Q25" s="260">
        <f t="shared" si="6"/>
        <v>0</v>
      </c>
      <c r="R25" s="260">
        <f t="shared" si="7"/>
        <v>0</v>
      </c>
      <c r="S25" s="260">
        <f t="shared" si="8"/>
        <v>0</v>
      </c>
      <c r="T25" s="260">
        <f t="shared" si="9"/>
        <v>0</v>
      </c>
      <c r="U25" s="260">
        <f t="shared" si="10"/>
        <v>0</v>
      </c>
      <c r="V25" s="260">
        <f t="shared" si="11"/>
        <v>0</v>
      </c>
      <c r="W25" s="260">
        <f t="shared" si="12"/>
        <v>0</v>
      </c>
      <c r="X25" s="260">
        <f t="shared" si="13"/>
        <v>0</v>
      </c>
      <c r="Y25" s="260">
        <f t="shared" si="14"/>
        <v>0</v>
      </c>
      <c r="Z25" s="260">
        <f t="shared" si="15"/>
        <v>0</v>
      </c>
      <c r="AA25" s="260">
        <f t="shared" si="16"/>
        <v>0</v>
      </c>
      <c r="AB25" s="260">
        <f t="shared" si="63"/>
        <v>0</v>
      </c>
      <c r="AC25" s="260">
        <f t="shared" si="64"/>
        <v>0</v>
      </c>
      <c r="AD25" s="260">
        <f t="shared" si="17"/>
        <v>0</v>
      </c>
      <c r="AE25" s="260">
        <f t="shared" si="18"/>
        <v>0</v>
      </c>
      <c r="AF25" s="260">
        <f t="shared" si="19"/>
        <v>0</v>
      </c>
      <c r="AG25" s="260">
        <f t="shared" si="20"/>
        <v>0</v>
      </c>
      <c r="AH25" s="260">
        <f t="shared" si="65"/>
        <v>0</v>
      </c>
      <c r="AI25" s="260">
        <f t="shared" si="66"/>
        <v>0</v>
      </c>
      <c r="AJ25" s="260">
        <f t="shared" si="67"/>
        <v>0</v>
      </c>
      <c r="AK25" s="260">
        <f t="shared" si="68"/>
        <v>0</v>
      </c>
      <c r="AL25" s="260">
        <f t="shared" si="69"/>
        <v>0</v>
      </c>
      <c r="AM25" s="260">
        <f t="shared" si="70"/>
        <v>0</v>
      </c>
      <c r="AN25" s="260">
        <f t="shared" si="71"/>
        <v>0</v>
      </c>
      <c r="AO25" s="260">
        <f t="shared" si="72"/>
        <v>0</v>
      </c>
      <c r="AP25" s="260">
        <f t="shared" si="21"/>
        <v>0</v>
      </c>
      <c r="AQ25" s="260">
        <f t="shared" si="22"/>
        <v>0</v>
      </c>
      <c r="AR25" s="260">
        <f t="shared" si="23"/>
        <v>0</v>
      </c>
      <c r="AS25" s="260">
        <f t="shared" si="24"/>
        <v>0</v>
      </c>
      <c r="AT25" s="260">
        <f t="shared" si="73"/>
        <v>0</v>
      </c>
      <c r="AU25" s="260">
        <f t="shared" si="74"/>
        <v>0</v>
      </c>
      <c r="AV25" s="260">
        <f t="shared" si="25"/>
        <v>0</v>
      </c>
      <c r="AW25" s="260">
        <f t="shared" si="26"/>
        <v>0</v>
      </c>
      <c r="AX25" s="260">
        <f t="shared" si="27"/>
        <v>0</v>
      </c>
      <c r="AY25" s="260">
        <f t="shared" si="28"/>
        <v>0</v>
      </c>
      <c r="AZ25" s="260">
        <f t="shared" si="29"/>
        <v>0</v>
      </c>
      <c r="BA25" s="260">
        <f t="shared" si="30"/>
        <v>0</v>
      </c>
      <c r="BB25" s="260">
        <f t="shared" si="31"/>
        <v>0</v>
      </c>
      <c r="BC25" s="260">
        <f t="shared" si="32"/>
        <v>0</v>
      </c>
      <c r="BD25" s="260">
        <f t="shared" si="33"/>
        <v>0</v>
      </c>
      <c r="BE25" s="260">
        <f t="shared" si="34"/>
        <v>0</v>
      </c>
      <c r="BF25" s="260">
        <f t="shared" si="35"/>
        <v>0</v>
      </c>
      <c r="BG25" s="260">
        <f t="shared" si="36"/>
        <v>0</v>
      </c>
      <c r="BH25" s="260">
        <f t="shared" si="75"/>
        <v>0</v>
      </c>
      <c r="BI25" s="260">
        <f t="shared" si="76"/>
        <v>0</v>
      </c>
      <c r="BJ25" s="260">
        <f t="shared" si="37"/>
        <v>0</v>
      </c>
      <c r="BK25" s="260">
        <f t="shared" si="38"/>
        <v>0</v>
      </c>
      <c r="BL25" s="260">
        <f t="shared" si="39"/>
        <v>0</v>
      </c>
      <c r="BM25" s="260">
        <f t="shared" si="40"/>
        <v>0</v>
      </c>
      <c r="BN25" s="260">
        <f t="shared" si="41"/>
        <v>0</v>
      </c>
      <c r="BO25" s="260">
        <f t="shared" si="42"/>
        <v>0</v>
      </c>
      <c r="BP25" s="260">
        <f t="shared" si="77"/>
        <v>0</v>
      </c>
      <c r="BQ25" s="260">
        <f t="shared" si="78"/>
        <v>0</v>
      </c>
      <c r="BR25" s="260">
        <f t="shared" si="43"/>
        <v>0</v>
      </c>
      <c r="BS25" s="260">
        <f t="shared" si="44"/>
        <v>0</v>
      </c>
      <c r="BT25" s="260">
        <f t="shared" si="79"/>
        <v>0</v>
      </c>
      <c r="BU25" s="260">
        <f t="shared" si="80"/>
        <v>0</v>
      </c>
      <c r="BV25" s="260">
        <f t="shared" si="81"/>
        <v>0</v>
      </c>
      <c r="BW25" s="260">
        <f t="shared" si="82"/>
        <v>0</v>
      </c>
      <c r="BX25" s="260">
        <f t="shared" si="45"/>
        <v>0</v>
      </c>
      <c r="BY25" s="260">
        <f t="shared" si="46"/>
        <v>0</v>
      </c>
      <c r="BZ25" s="260">
        <f t="shared" si="47"/>
        <v>0</v>
      </c>
      <c r="CA25" s="260">
        <f t="shared" si="48"/>
        <v>0</v>
      </c>
      <c r="CB25" s="260">
        <f t="shared" si="49"/>
        <v>0</v>
      </c>
      <c r="CC25" s="260">
        <f t="shared" si="50"/>
        <v>0</v>
      </c>
      <c r="CD25" s="260">
        <f t="shared" si="83"/>
        <v>0</v>
      </c>
      <c r="CE25" s="260">
        <f t="shared" si="84"/>
        <v>0</v>
      </c>
      <c r="CF25" s="260">
        <f t="shared" si="85"/>
        <v>0</v>
      </c>
      <c r="CG25" s="260">
        <f t="shared" si="86"/>
        <v>0</v>
      </c>
      <c r="CH25" s="260">
        <f t="shared" si="51"/>
        <v>0</v>
      </c>
      <c r="CI25" s="260">
        <f t="shared" si="52"/>
        <v>0</v>
      </c>
      <c r="CJ25" s="260">
        <f t="shared" si="87"/>
        <v>0</v>
      </c>
      <c r="CK25" s="260">
        <f t="shared" si="88"/>
        <v>0</v>
      </c>
      <c r="CL25" s="260">
        <f t="shared" si="53"/>
        <v>0</v>
      </c>
      <c r="CM25" s="260">
        <f t="shared" si="54"/>
        <v>0</v>
      </c>
      <c r="CN25" s="260">
        <f t="shared" si="55"/>
        <v>0</v>
      </c>
      <c r="CO25" s="260">
        <f t="shared" si="56"/>
        <v>0</v>
      </c>
      <c r="CP25" s="260">
        <f t="shared" si="89"/>
        <v>0</v>
      </c>
      <c r="CQ25" s="260">
        <f t="shared" si="90"/>
        <v>0</v>
      </c>
      <c r="CR25" s="260">
        <f t="shared" si="91"/>
        <v>0</v>
      </c>
      <c r="CS25" s="260">
        <f t="shared" si="92"/>
        <v>0</v>
      </c>
      <c r="CT25" s="260">
        <f t="shared" si="57"/>
        <v>0</v>
      </c>
      <c r="CU25" s="260">
        <f t="shared" si="58"/>
        <v>0</v>
      </c>
      <c r="CV25" s="260">
        <f t="shared" si="59"/>
        <v>0</v>
      </c>
      <c r="CW25" s="260">
        <f t="shared" si="60"/>
        <v>0</v>
      </c>
      <c r="CX25" s="260">
        <f t="shared" si="93"/>
        <v>0</v>
      </c>
      <c r="CY25" s="260">
        <f t="shared" si="94"/>
        <v>0</v>
      </c>
      <c r="CZ25" s="260">
        <f t="shared" si="95"/>
        <v>0</v>
      </c>
      <c r="DA25" s="260">
        <f t="shared" si="96"/>
        <v>0</v>
      </c>
    </row>
    <row r="26" spans="1:105" s="257" customFormat="1" ht="16.5" customHeight="1">
      <c r="A26" s="60" t="str">
        <f t="array" ref="A26">IF(C26&lt;&gt;0,SUM(($C$11:C26&lt;&gt;0)*1),"")</f>
        <v/>
      </c>
      <c r="B26" s="258"/>
      <c r="C26" s="258"/>
      <c r="D26" s="258"/>
      <c r="E26" s="337"/>
      <c r="F26" s="309"/>
      <c r="G26" s="311"/>
      <c r="H26" s="311"/>
      <c r="I26" s="60" t="str">
        <f t="shared" si="0"/>
        <v/>
      </c>
      <c r="J26" s="260">
        <f t="shared" si="61"/>
        <v>0</v>
      </c>
      <c r="K26" s="260">
        <f t="shared" si="62"/>
        <v>0</v>
      </c>
      <c r="L26" s="260">
        <f t="shared" si="1"/>
        <v>0</v>
      </c>
      <c r="M26" s="260">
        <f t="shared" si="2"/>
        <v>0</v>
      </c>
      <c r="N26" s="260">
        <f t="shared" si="3"/>
        <v>0</v>
      </c>
      <c r="O26" s="260">
        <f t="shared" si="4"/>
        <v>0</v>
      </c>
      <c r="P26" s="260">
        <f t="shared" si="5"/>
        <v>0</v>
      </c>
      <c r="Q26" s="260">
        <f t="shared" si="6"/>
        <v>0</v>
      </c>
      <c r="R26" s="260">
        <f t="shared" si="7"/>
        <v>0</v>
      </c>
      <c r="S26" s="260">
        <f t="shared" si="8"/>
        <v>0</v>
      </c>
      <c r="T26" s="260">
        <f t="shared" si="9"/>
        <v>0</v>
      </c>
      <c r="U26" s="260">
        <f t="shared" si="10"/>
        <v>0</v>
      </c>
      <c r="V26" s="260">
        <f t="shared" si="11"/>
        <v>0</v>
      </c>
      <c r="W26" s="260">
        <f t="shared" si="12"/>
        <v>0</v>
      </c>
      <c r="X26" s="260">
        <f t="shared" si="13"/>
        <v>0</v>
      </c>
      <c r="Y26" s="260">
        <f t="shared" si="14"/>
        <v>0</v>
      </c>
      <c r="Z26" s="260">
        <f t="shared" si="15"/>
        <v>0</v>
      </c>
      <c r="AA26" s="260">
        <f t="shared" si="16"/>
        <v>0</v>
      </c>
      <c r="AB26" s="260">
        <f t="shared" si="63"/>
        <v>0</v>
      </c>
      <c r="AC26" s="260">
        <f t="shared" si="64"/>
        <v>0</v>
      </c>
      <c r="AD26" s="260">
        <f t="shared" si="17"/>
        <v>0</v>
      </c>
      <c r="AE26" s="260">
        <f t="shared" si="18"/>
        <v>0</v>
      </c>
      <c r="AF26" s="260">
        <f t="shared" si="19"/>
        <v>0</v>
      </c>
      <c r="AG26" s="260">
        <f t="shared" si="20"/>
        <v>0</v>
      </c>
      <c r="AH26" s="260">
        <f t="shared" si="65"/>
        <v>0</v>
      </c>
      <c r="AI26" s="260">
        <f t="shared" si="66"/>
        <v>0</v>
      </c>
      <c r="AJ26" s="260">
        <f t="shared" si="67"/>
        <v>0</v>
      </c>
      <c r="AK26" s="260">
        <f t="shared" si="68"/>
        <v>0</v>
      </c>
      <c r="AL26" s="260">
        <f t="shared" si="69"/>
        <v>0</v>
      </c>
      <c r="AM26" s="260">
        <f t="shared" si="70"/>
        <v>0</v>
      </c>
      <c r="AN26" s="260">
        <f t="shared" si="71"/>
        <v>0</v>
      </c>
      <c r="AO26" s="260">
        <f t="shared" si="72"/>
        <v>0</v>
      </c>
      <c r="AP26" s="260">
        <f t="shared" si="21"/>
        <v>0</v>
      </c>
      <c r="AQ26" s="260">
        <f t="shared" si="22"/>
        <v>0</v>
      </c>
      <c r="AR26" s="260">
        <f t="shared" si="23"/>
        <v>0</v>
      </c>
      <c r="AS26" s="260">
        <f t="shared" si="24"/>
        <v>0</v>
      </c>
      <c r="AT26" s="260">
        <f t="shared" si="73"/>
        <v>0</v>
      </c>
      <c r="AU26" s="260">
        <f t="shared" si="74"/>
        <v>0</v>
      </c>
      <c r="AV26" s="260">
        <f t="shared" si="25"/>
        <v>0</v>
      </c>
      <c r="AW26" s="260">
        <f t="shared" si="26"/>
        <v>0</v>
      </c>
      <c r="AX26" s="260">
        <f t="shared" si="27"/>
        <v>0</v>
      </c>
      <c r="AY26" s="260">
        <f t="shared" si="28"/>
        <v>0</v>
      </c>
      <c r="AZ26" s="260">
        <f t="shared" si="29"/>
        <v>0</v>
      </c>
      <c r="BA26" s="260">
        <f t="shared" si="30"/>
        <v>0</v>
      </c>
      <c r="BB26" s="260">
        <f t="shared" si="31"/>
        <v>0</v>
      </c>
      <c r="BC26" s="260">
        <f t="shared" si="32"/>
        <v>0</v>
      </c>
      <c r="BD26" s="260">
        <f t="shared" si="33"/>
        <v>0</v>
      </c>
      <c r="BE26" s="260">
        <f t="shared" si="34"/>
        <v>0</v>
      </c>
      <c r="BF26" s="260">
        <f t="shared" si="35"/>
        <v>0</v>
      </c>
      <c r="BG26" s="260">
        <f t="shared" si="36"/>
        <v>0</v>
      </c>
      <c r="BH26" s="260">
        <f t="shared" si="75"/>
        <v>0</v>
      </c>
      <c r="BI26" s="260">
        <f t="shared" si="76"/>
        <v>0</v>
      </c>
      <c r="BJ26" s="260">
        <f t="shared" si="37"/>
        <v>0</v>
      </c>
      <c r="BK26" s="260">
        <f t="shared" si="38"/>
        <v>0</v>
      </c>
      <c r="BL26" s="260">
        <f t="shared" si="39"/>
        <v>0</v>
      </c>
      <c r="BM26" s="260">
        <f t="shared" si="40"/>
        <v>0</v>
      </c>
      <c r="BN26" s="260">
        <f t="shared" si="41"/>
        <v>0</v>
      </c>
      <c r="BO26" s="260">
        <f t="shared" si="42"/>
        <v>0</v>
      </c>
      <c r="BP26" s="260">
        <f t="shared" si="77"/>
        <v>0</v>
      </c>
      <c r="BQ26" s="260">
        <f t="shared" si="78"/>
        <v>0</v>
      </c>
      <c r="BR26" s="260">
        <f t="shared" si="43"/>
        <v>0</v>
      </c>
      <c r="BS26" s="260">
        <f t="shared" si="44"/>
        <v>0</v>
      </c>
      <c r="BT26" s="260">
        <f t="shared" si="79"/>
        <v>0</v>
      </c>
      <c r="BU26" s="260">
        <f t="shared" si="80"/>
        <v>0</v>
      </c>
      <c r="BV26" s="260">
        <f t="shared" si="81"/>
        <v>0</v>
      </c>
      <c r="BW26" s="260">
        <f t="shared" si="82"/>
        <v>0</v>
      </c>
      <c r="BX26" s="260">
        <f t="shared" si="45"/>
        <v>0</v>
      </c>
      <c r="BY26" s="260">
        <f t="shared" si="46"/>
        <v>0</v>
      </c>
      <c r="BZ26" s="260">
        <f t="shared" si="47"/>
        <v>0</v>
      </c>
      <c r="CA26" s="260">
        <f t="shared" si="48"/>
        <v>0</v>
      </c>
      <c r="CB26" s="260">
        <f t="shared" si="49"/>
        <v>0</v>
      </c>
      <c r="CC26" s="260">
        <f t="shared" si="50"/>
        <v>0</v>
      </c>
      <c r="CD26" s="260">
        <f t="shared" si="83"/>
        <v>0</v>
      </c>
      <c r="CE26" s="260">
        <f t="shared" si="84"/>
        <v>0</v>
      </c>
      <c r="CF26" s="260">
        <f t="shared" si="85"/>
        <v>0</v>
      </c>
      <c r="CG26" s="260">
        <f t="shared" si="86"/>
        <v>0</v>
      </c>
      <c r="CH26" s="260">
        <f t="shared" si="51"/>
        <v>0</v>
      </c>
      <c r="CI26" s="260">
        <f t="shared" si="52"/>
        <v>0</v>
      </c>
      <c r="CJ26" s="260">
        <f t="shared" si="87"/>
        <v>0</v>
      </c>
      <c r="CK26" s="260">
        <f t="shared" si="88"/>
        <v>0</v>
      </c>
      <c r="CL26" s="260">
        <f t="shared" si="53"/>
        <v>0</v>
      </c>
      <c r="CM26" s="260">
        <f t="shared" si="54"/>
        <v>0</v>
      </c>
      <c r="CN26" s="260">
        <f t="shared" si="55"/>
        <v>0</v>
      </c>
      <c r="CO26" s="260">
        <f t="shared" si="56"/>
        <v>0</v>
      </c>
      <c r="CP26" s="260">
        <f t="shared" si="89"/>
        <v>0</v>
      </c>
      <c r="CQ26" s="260">
        <f t="shared" si="90"/>
        <v>0</v>
      </c>
      <c r="CR26" s="260">
        <f t="shared" si="91"/>
        <v>0</v>
      </c>
      <c r="CS26" s="260">
        <f t="shared" si="92"/>
        <v>0</v>
      </c>
      <c r="CT26" s="260">
        <f t="shared" si="57"/>
        <v>0</v>
      </c>
      <c r="CU26" s="260">
        <f t="shared" si="58"/>
        <v>0</v>
      </c>
      <c r="CV26" s="260">
        <f t="shared" si="59"/>
        <v>0</v>
      </c>
      <c r="CW26" s="260">
        <f t="shared" si="60"/>
        <v>0</v>
      </c>
      <c r="CX26" s="260">
        <f t="shared" si="93"/>
        <v>0</v>
      </c>
      <c r="CY26" s="260">
        <f t="shared" si="94"/>
        <v>0</v>
      </c>
      <c r="CZ26" s="260">
        <f t="shared" si="95"/>
        <v>0</v>
      </c>
      <c r="DA26" s="260">
        <f t="shared" si="96"/>
        <v>0</v>
      </c>
    </row>
    <row r="27" spans="1:105" s="257" customFormat="1" ht="16.5" customHeight="1">
      <c r="A27" s="60" t="str">
        <f t="array" ref="A27">IF(C27&lt;&gt;0,SUM(($C$11:C27&lt;&gt;0)*1),"")</f>
        <v/>
      </c>
      <c r="B27" s="258"/>
      <c r="C27" s="258"/>
      <c r="D27" s="258"/>
      <c r="E27" s="337"/>
      <c r="F27" s="309"/>
      <c r="G27" s="311"/>
      <c r="H27" s="311"/>
      <c r="I27" s="60" t="str">
        <f t="shared" si="0"/>
        <v/>
      </c>
      <c r="J27" s="260">
        <f t="shared" si="61"/>
        <v>0</v>
      </c>
      <c r="K27" s="260">
        <f t="shared" si="62"/>
        <v>0</v>
      </c>
      <c r="L27" s="260">
        <f t="shared" si="1"/>
        <v>0</v>
      </c>
      <c r="M27" s="260">
        <f t="shared" si="2"/>
        <v>0</v>
      </c>
      <c r="N27" s="260">
        <f t="shared" si="3"/>
        <v>0</v>
      </c>
      <c r="O27" s="260">
        <f t="shared" si="4"/>
        <v>0</v>
      </c>
      <c r="P27" s="260">
        <f t="shared" si="5"/>
        <v>0</v>
      </c>
      <c r="Q27" s="260">
        <f t="shared" si="6"/>
        <v>0</v>
      </c>
      <c r="R27" s="260">
        <f t="shared" si="7"/>
        <v>0</v>
      </c>
      <c r="S27" s="260">
        <f t="shared" si="8"/>
        <v>0</v>
      </c>
      <c r="T27" s="260">
        <f t="shared" si="9"/>
        <v>0</v>
      </c>
      <c r="U27" s="260">
        <f t="shared" si="10"/>
        <v>0</v>
      </c>
      <c r="V27" s="260">
        <f t="shared" si="11"/>
        <v>0</v>
      </c>
      <c r="W27" s="260">
        <f t="shared" si="12"/>
        <v>0</v>
      </c>
      <c r="X27" s="260">
        <f t="shared" si="13"/>
        <v>0</v>
      </c>
      <c r="Y27" s="260">
        <f t="shared" si="14"/>
        <v>0</v>
      </c>
      <c r="Z27" s="260">
        <f t="shared" si="15"/>
        <v>0</v>
      </c>
      <c r="AA27" s="260">
        <f t="shared" si="16"/>
        <v>0</v>
      </c>
      <c r="AB27" s="260">
        <f t="shared" si="63"/>
        <v>0</v>
      </c>
      <c r="AC27" s="260">
        <f t="shared" si="64"/>
        <v>0</v>
      </c>
      <c r="AD27" s="260">
        <f t="shared" si="17"/>
        <v>0</v>
      </c>
      <c r="AE27" s="260">
        <f t="shared" si="18"/>
        <v>0</v>
      </c>
      <c r="AF27" s="260">
        <f t="shared" si="19"/>
        <v>0</v>
      </c>
      <c r="AG27" s="260">
        <f t="shared" si="20"/>
        <v>0</v>
      </c>
      <c r="AH27" s="260">
        <f t="shared" si="65"/>
        <v>0</v>
      </c>
      <c r="AI27" s="260">
        <f t="shared" si="66"/>
        <v>0</v>
      </c>
      <c r="AJ27" s="260">
        <f t="shared" si="67"/>
        <v>0</v>
      </c>
      <c r="AK27" s="260">
        <f t="shared" si="68"/>
        <v>0</v>
      </c>
      <c r="AL27" s="260">
        <f t="shared" si="69"/>
        <v>0</v>
      </c>
      <c r="AM27" s="260">
        <f t="shared" si="70"/>
        <v>0</v>
      </c>
      <c r="AN27" s="260">
        <f t="shared" si="71"/>
        <v>0</v>
      </c>
      <c r="AO27" s="260">
        <f t="shared" si="72"/>
        <v>0</v>
      </c>
      <c r="AP27" s="260">
        <f t="shared" si="21"/>
        <v>0</v>
      </c>
      <c r="AQ27" s="260">
        <f t="shared" si="22"/>
        <v>0</v>
      </c>
      <c r="AR27" s="260">
        <f t="shared" si="23"/>
        <v>0</v>
      </c>
      <c r="AS27" s="260">
        <f t="shared" si="24"/>
        <v>0</v>
      </c>
      <c r="AT27" s="260">
        <f t="shared" si="73"/>
        <v>0</v>
      </c>
      <c r="AU27" s="260">
        <f t="shared" si="74"/>
        <v>0</v>
      </c>
      <c r="AV27" s="260">
        <f t="shared" si="25"/>
        <v>0</v>
      </c>
      <c r="AW27" s="260">
        <f t="shared" si="26"/>
        <v>0</v>
      </c>
      <c r="AX27" s="260">
        <f t="shared" si="27"/>
        <v>0</v>
      </c>
      <c r="AY27" s="260">
        <f t="shared" si="28"/>
        <v>0</v>
      </c>
      <c r="AZ27" s="260">
        <f t="shared" si="29"/>
        <v>0</v>
      </c>
      <c r="BA27" s="260">
        <f t="shared" si="30"/>
        <v>0</v>
      </c>
      <c r="BB27" s="260">
        <f t="shared" si="31"/>
        <v>0</v>
      </c>
      <c r="BC27" s="260">
        <f t="shared" si="32"/>
        <v>0</v>
      </c>
      <c r="BD27" s="260">
        <f t="shared" si="33"/>
        <v>0</v>
      </c>
      <c r="BE27" s="260">
        <f t="shared" si="34"/>
        <v>0</v>
      </c>
      <c r="BF27" s="260">
        <f t="shared" si="35"/>
        <v>0</v>
      </c>
      <c r="BG27" s="260">
        <f t="shared" si="36"/>
        <v>0</v>
      </c>
      <c r="BH27" s="260">
        <f t="shared" si="75"/>
        <v>0</v>
      </c>
      <c r="BI27" s="260">
        <f t="shared" si="76"/>
        <v>0</v>
      </c>
      <c r="BJ27" s="260">
        <f t="shared" si="37"/>
        <v>0</v>
      </c>
      <c r="BK27" s="260">
        <f t="shared" si="38"/>
        <v>0</v>
      </c>
      <c r="BL27" s="260">
        <f t="shared" si="39"/>
        <v>0</v>
      </c>
      <c r="BM27" s="260">
        <f t="shared" si="40"/>
        <v>0</v>
      </c>
      <c r="BN27" s="260">
        <f t="shared" si="41"/>
        <v>0</v>
      </c>
      <c r="BO27" s="260">
        <f t="shared" si="42"/>
        <v>0</v>
      </c>
      <c r="BP27" s="260">
        <f t="shared" si="77"/>
        <v>0</v>
      </c>
      <c r="BQ27" s="260">
        <f t="shared" si="78"/>
        <v>0</v>
      </c>
      <c r="BR27" s="260">
        <f t="shared" si="43"/>
        <v>0</v>
      </c>
      <c r="BS27" s="260">
        <f t="shared" si="44"/>
        <v>0</v>
      </c>
      <c r="BT27" s="260">
        <f t="shared" si="79"/>
        <v>0</v>
      </c>
      <c r="BU27" s="260">
        <f t="shared" si="80"/>
        <v>0</v>
      </c>
      <c r="BV27" s="260">
        <f t="shared" si="81"/>
        <v>0</v>
      </c>
      <c r="BW27" s="260">
        <f t="shared" si="82"/>
        <v>0</v>
      </c>
      <c r="BX27" s="260">
        <f t="shared" si="45"/>
        <v>0</v>
      </c>
      <c r="BY27" s="260">
        <f t="shared" si="46"/>
        <v>0</v>
      </c>
      <c r="BZ27" s="260">
        <f t="shared" si="47"/>
        <v>0</v>
      </c>
      <c r="CA27" s="260">
        <f t="shared" si="48"/>
        <v>0</v>
      </c>
      <c r="CB27" s="260">
        <f t="shared" si="49"/>
        <v>0</v>
      </c>
      <c r="CC27" s="260">
        <f t="shared" si="50"/>
        <v>0</v>
      </c>
      <c r="CD27" s="260">
        <f t="shared" si="83"/>
        <v>0</v>
      </c>
      <c r="CE27" s="260">
        <f t="shared" si="84"/>
        <v>0</v>
      </c>
      <c r="CF27" s="260">
        <f t="shared" si="85"/>
        <v>0</v>
      </c>
      <c r="CG27" s="260">
        <f t="shared" si="86"/>
        <v>0</v>
      </c>
      <c r="CH27" s="260">
        <f t="shared" si="51"/>
        <v>0</v>
      </c>
      <c r="CI27" s="260">
        <f t="shared" si="52"/>
        <v>0</v>
      </c>
      <c r="CJ27" s="260">
        <f t="shared" si="87"/>
        <v>0</v>
      </c>
      <c r="CK27" s="260">
        <f t="shared" si="88"/>
        <v>0</v>
      </c>
      <c r="CL27" s="260">
        <f t="shared" si="53"/>
        <v>0</v>
      </c>
      <c r="CM27" s="260">
        <f t="shared" si="54"/>
        <v>0</v>
      </c>
      <c r="CN27" s="260">
        <f t="shared" si="55"/>
        <v>0</v>
      </c>
      <c r="CO27" s="260">
        <f t="shared" si="56"/>
        <v>0</v>
      </c>
      <c r="CP27" s="260">
        <f t="shared" si="89"/>
        <v>0</v>
      </c>
      <c r="CQ27" s="260">
        <f t="shared" si="90"/>
        <v>0</v>
      </c>
      <c r="CR27" s="260">
        <f t="shared" si="91"/>
        <v>0</v>
      </c>
      <c r="CS27" s="260">
        <f t="shared" si="92"/>
        <v>0</v>
      </c>
      <c r="CT27" s="260">
        <f t="shared" si="57"/>
        <v>0</v>
      </c>
      <c r="CU27" s="260">
        <f t="shared" si="58"/>
        <v>0</v>
      </c>
      <c r="CV27" s="260">
        <f t="shared" si="59"/>
        <v>0</v>
      </c>
      <c r="CW27" s="260">
        <f t="shared" si="60"/>
        <v>0</v>
      </c>
      <c r="CX27" s="260">
        <f t="shared" si="93"/>
        <v>0</v>
      </c>
      <c r="CY27" s="260">
        <f t="shared" si="94"/>
        <v>0</v>
      </c>
      <c r="CZ27" s="260">
        <f t="shared" si="95"/>
        <v>0</v>
      </c>
      <c r="DA27" s="260">
        <f t="shared" si="96"/>
        <v>0</v>
      </c>
    </row>
    <row r="28" spans="1:105" s="257" customFormat="1" ht="16.5" customHeight="1">
      <c r="A28" s="60" t="str">
        <f t="array" ref="A28">IF(C28&lt;&gt;0,SUM(($C$11:C28&lt;&gt;0)*1),"")</f>
        <v/>
      </c>
      <c r="B28" s="258"/>
      <c r="C28" s="258"/>
      <c r="D28" s="258"/>
      <c r="E28" s="337"/>
      <c r="F28" s="309"/>
      <c r="G28" s="311"/>
      <c r="H28" s="311"/>
      <c r="I28" s="60" t="str">
        <f t="shared" si="0"/>
        <v/>
      </c>
      <c r="J28" s="260">
        <f t="shared" si="61"/>
        <v>0</v>
      </c>
      <c r="K28" s="260">
        <f t="shared" si="62"/>
        <v>0</v>
      </c>
      <c r="L28" s="260">
        <f t="shared" si="1"/>
        <v>0</v>
      </c>
      <c r="M28" s="260">
        <f t="shared" si="2"/>
        <v>0</v>
      </c>
      <c r="N28" s="260">
        <f t="shared" si="3"/>
        <v>0</v>
      </c>
      <c r="O28" s="260">
        <f t="shared" si="4"/>
        <v>0</v>
      </c>
      <c r="P28" s="260">
        <f t="shared" si="5"/>
        <v>0</v>
      </c>
      <c r="Q28" s="260">
        <f t="shared" si="6"/>
        <v>0</v>
      </c>
      <c r="R28" s="260">
        <f t="shared" si="7"/>
        <v>0</v>
      </c>
      <c r="S28" s="260">
        <f t="shared" si="8"/>
        <v>0</v>
      </c>
      <c r="T28" s="260">
        <f t="shared" si="9"/>
        <v>0</v>
      </c>
      <c r="U28" s="260">
        <f t="shared" si="10"/>
        <v>0</v>
      </c>
      <c r="V28" s="260">
        <f t="shared" si="11"/>
        <v>0</v>
      </c>
      <c r="W28" s="260">
        <f t="shared" si="12"/>
        <v>0</v>
      </c>
      <c r="X28" s="260">
        <f t="shared" si="13"/>
        <v>0</v>
      </c>
      <c r="Y28" s="260">
        <f t="shared" si="14"/>
        <v>0</v>
      </c>
      <c r="Z28" s="260">
        <f t="shared" si="15"/>
        <v>0</v>
      </c>
      <c r="AA28" s="260">
        <f t="shared" si="16"/>
        <v>0</v>
      </c>
      <c r="AB28" s="260">
        <f t="shared" si="63"/>
        <v>0</v>
      </c>
      <c r="AC28" s="260">
        <f t="shared" si="64"/>
        <v>0</v>
      </c>
      <c r="AD28" s="260">
        <f t="shared" si="17"/>
        <v>0</v>
      </c>
      <c r="AE28" s="260">
        <f t="shared" si="18"/>
        <v>0</v>
      </c>
      <c r="AF28" s="260">
        <f t="shared" si="19"/>
        <v>0</v>
      </c>
      <c r="AG28" s="260">
        <f t="shared" si="20"/>
        <v>0</v>
      </c>
      <c r="AH28" s="260">
        <f t="shared" si="65"/>
        <v>0</v>
      </c>
      <c r="AI28" s="260">
        <f t="shared" si="66"/>
        <v>0</v>
      </c>
      <c r="AJ28" s="260">
        <f t="shared" si="67"/>
        <v>0</v>
      </c>
      <c r="AK28" s="260">
        <f t="shared" si="68"/>
        <v>0</v>
      </c>
      <c r="AL28" s="260">
        <f t="shared" si="69"/>
        <v>0</v>
      </c>
      <c r="AM28" s="260">
        <f t="shared" si="70"/>
        <v>0</v>
      </c>
      <c r="AN28" s="260">
        <f t="shared" si="71"/>
        <v>0</v>
      </c>
      <c r="AO28" s="260">
        <f t="shared" si="72"/>
        <v>0</v>
      </c>
      <c r="AP28" s="260">
        <f t="shared" si="21"/>
        <v>0</v>
      </c>
      <c r="AQ28" s="260">
        <f t="shared" si="22"/>
        <v>0</v>
      </c>
      <c r="AR28" s="260">
        <f t="shared" si="23"/>
        <v>0</v>
      </c>
      <c r="AS28" s="260">
        <f t="shared" si="24"/>
        <v>0</v>
      </c>
      <c r="AT28" s="260">
        <f t="shared" si="73"/>
        <v>0</v>
      </c>
      <c r="AU28" s="260">
        <f t="shared" si="74"/>
        <v>0</v>
      </c>
      <c r="AV28" s="260">
        <f t="shared" si="25"/>
        <v>0</v>
      </c>
      <c r="AW28" s="260">
        <f t="shared" si="26"/>
        <v>0</v>
      </c>
      <c r="AX28" s="260">
        <f t="shared" si="27"/>
        <v>0</v>
      </c>
      <c r="AY28" s="260">
        <f t="shared" si="28"/>
        <v>0</v>
      </c>
      <c r="AZ28" s="260">
        <f t="shared" si="29"/>
        <v>0</v>
      </c>
      <c r="BA28" s="260">
        <f t="shared" si="30"/>
        <v>0</v>
      </c>
      <c r="BB28" s="260">
        <f t="shared" si="31"/>
        <v>0</v>
      </c>
      <c r="BC28" s="260">
        <f t="shared" si="32"/>
        <v>0</v>
      </c>
      <c r="BD28" s="260">
        <f t="shared" si="33"/>
        <v>0</v>
      </c>
      <c r="BE28" s="260">
        <f t="shared" si="34"/>
        <v>0</v>
      </c>
      <c r="BF28" s="260">
        <f t="shared" si="35"/>
        <v>0</v>
      </c>
      <c r="BG28" s="260">
        <f t="shared" si="36"/>
        <v>0</v>
      </c>
      <c r="BH28" s="260">
        <f t="shared" si="75"/>
        <v>0</v>
      </c>
      <c r="BI28" s="260">
        <f t="shared" si="76"/>
        <v>0</v>
      </c>
      <c r="BJ28" s="260">
        <f t="shared" si="37"/>
        <v>0</v>
      </c>
      <c r="BK28" s="260">
        <f t="shared" si="38"/>
        <v>0</v>
      </c>
      <c r="BL28" s="260">
        <f t="shared" si="39"/>
        <v>0</v>
      </c>
      <c r="BM28" s="260">
        <f t="shared" si="40"/>
        <v>0</v>
      </c>
      <c r="BN28" s="260">
        <f t="shared" si="41"/>
        <v>0</v>
      </c>
      <c r="BO28" s="260">
        <f t="shared" si="42"/>
        <v>0</v>
      </c>
      <c r="BP28" s="260">
        <f t="shared" si="77"/>
        <v>0</v>
      </c>
      <c r="BQ28" s="260">
        <f t="shared" si="78"/>
        <v>0</v>
      </c>
      <c r="BR28" s="260">
        <f t="shared" si="43"/>
        <v>0</v>
      </c>
      <c r="BS28" s="260">
        <f t="shared" si="44"/>
        <v>0</v>
      </c>
      <c r="BT28" s="260">
        <f t="shared" si="79"/>
        <v>0</v>
      </c>
      <c r="BU28" s="260">
        <f t="shared" si="80"/>
        <v>0</v>
      </c>
      <c r="BV28" s="260">
        <f t="shared" si="81"/>
        <v>0</v>
      </c>
      <c r="BW28" s="260">
        <f t="shared" si="82"/>
        <v>0</v>
      </c>
      <c r="BX28" s="260">
        <f t="shared" si="45"/>
        <v>0</v>
      </c>
      <c r="BY28" s="260">
        <f t="shared" si="46"/>
        <v>0</v>
      </c>
      <c r="BZ28" s="260">
        <f t="shared" si="47"/>
        <v>0</v>
      </c>
      <c r="CA28" s="260">
        <f t="shared" si="48"/>
        <v>0</v>
      </c>
      <c r="CB28" s="260">
        <f t="shared" si="49"/>
        <v>0</v>
      </c>
      <c r="CC28" s="260">
        <f t="shared" si="50"/>
        <v>0</v>
      </c>
      <c r="CD28" s="260">
        <f t="shared" si="83"/>
        <v>0</v>
      </c>
      <c r="CE28" s="260">
        <f t="shared" si="84"/>
        <v>0</v>
      </c>
      <c r="CF28" s="260">
        <f t="shared" si="85"/>
        <v>0</v>
      </c>
      <c r="CG28" s="260">
        <f t="shared" si="86"/>
        <v>0</v>
      </c>
      <c r="CH28" s="260">
        <f t="shared" si="51"/>
        <v>0</v>
      </c>
      <c r="CI28" s="260">
        <f t="shared" si="52"/>
        <v>0</v>
      </c>
      <c r="CJ28" s="260">
        <f t="shared" si="87"/>
        <v>0</v>
      </c>
      <c r="CK28" s="260">
        <f t="shared" si="88"/>
        <v>0</v>
      </c>
      <c r="CL28" s="260">
        <f t="shared" si="53"/>
        <v>0</v>
      </c>
      <c r="CM28" s="260">
        <f t="shared" si="54"/>
        <v>0</v>
      </c>
      <c r="CN28" s="260">
        <f t="shared" si="55"/>
        <v>0</v>
      </c>
      <c r="CO28" s="260">
        <f t="shared" si="56"/>
        <v>0</v>
      </c>
      <c r="CP28" s="260">
        <f t="shared" si="89"/>
        <v>0</v>
      </c>
      <c r="CQ28" s="260">
        <f t="shared" si="90"/>
        <v>0</v>
      </c>
      <c r="CR28" s="260">
        <f t="shared" si="91"/>
        <v>0</v>
      </c>
      <c r="CS28" s="260">
        <f t="shared" si="92"/>
        <v>0</v>
      </c>
      <c r="CT28" s="260">
        <f t="shared" si="57"/>
        <v>0</v>
      </c>
      <c r="CU28" s="260">
        <f t="shared" si="58"/>
        <v>0</v>
      </c>
      <c r="CV28" s="260">
        <f t="shared" si="59"/>
        <v>0</v>
      </c>
      <c r="CW28" s="260">
        <f t="shared" si="60"/>
        <v>0</v>
      </c>
      <c r="CX28" s="260">
        <f t="shared" si="93"/>
        <v>0</v>
      </c>
      <c r="CY28" s="260">
        <f t="shared" si="94"/>
        <v>0</v>
      </c>
      <c r="CZ28" s="260">
        <f t="shared" si="95"/>
        <v>0</v>
      </c>
      <c r="DA28" s="260">
        <f t="shared" si="96"/>
        <v>0</v>
      </c>
    </row>
    <row r="29" spans="1:105" s="257" customFormat="1" ht="16.5" customHeight="1">
      <c r="A29" s="60" t="str">
        <f t="array" ref="A29">IF(C29&lt;&gt;0,SUM(($C$11:C29&lt;&gt;0)*1),"")</f>
        <v/>
      </c>
      <c r="B29" s="258"/>
      <c r="C29" s="258"/>
      <c r="D29" s="258"/>
      <c r="E29" s="337"/>
      <c r="F29" s="309"/>
      <c r="G29" s="311"/>
      <c r="H29" s="311"/>
      <c r="I29" s="60" t="str">
        <f t="shared" si="0"/>
        <v/>
      </c>
      <c r="J29" s="260">
        <f t="shared" si="61"/>
        <v>0</v>
      </c>
      <c r="K29" s="260">
        <f t="shared" si="62"/>
        <v>0</v>
      </c>
      <c r="L29" s="260">
        <f t="shared" si="1"/>
        <v>0</v>
      </c>
      <c r="M29" s="260">
        <f t="shared" si="2"/>
        <v>0</v>
      </c>
      <c r="N29" s="260">
        <f t="shared" si="3"/>
        <v>0</v>
      </c>
      <c r="O29" s="260">
        <f t="shared" si="4"/>
        <v>0</v>
      </c>
      <c r="P29" s="260">
        <f t="shared" si="5"/>
        <v>0</v>
      </c>
      <c r="Q29" s="260">
        <f t="shared" si="6"/>
        <v>0</v>
      </c>
      <c r="R29" s="260">
        <f t="shared" si="7"/>
        <v>0</v>
      </c>
      <c r="S29" s="260">
        <f t="shared" si="8"/>
        <v>0</v>
      </c>
      <c r="T29" s="260">
        <f t="shared" si="9"/>
        <v>0</v>
      </c>
      <c r="U29" s="260">
        <f t="shared" si="10"/>
        <v>0</v>
      </c>
      <c r="V29" s="260">
        <f t="shared" si="11"/>
        <v>0</v>
      </c>
      <c r="W29" s="260">
        <f t="shared" si="12"/>
        <v>0</v>
      </c>
      <c r="X29" s="260">
        <f t="shared" si="13"/>
        <v>0</v>
      </c>
      <c r="Y29" s="260">
        <f t="shared" si="14"/>
        <v>0</v>
      </c>
      <c r="Z29" s="260">
        <f t="shared" si="15"/>
        <v>0</v>
      </c>
      <c r="AA29" s="260">
        <f t="shared" si="16"/>
        <v>0</v>
      </c>
      <c r="AB29" s="260">
        <f t="shared" si="63"/>
        <v>0</v>
      </c>
      <c r="AC29" s="260">
        <f t="shared" si="64"/>
        <v>0</v>
      </c>
      <c r="AD29" s="260">
        <f t="shared" si="17"/>
        <v>0</v>
      </c>
      <c r="AE29" s="260">
        <f t="shared" si="18"/>
        <v>0</v>
      </c>
      <c r="AF29" s="260">
        <f t="shared" si="19"/>
        <v>0</v>
      </c>
      <c r="AG29" s="260">
        <f t="shared" si="20"/>
        <v>0</v>
      </c>
      <c r="AH29" s="260">
        <f t="shared" si="65"/>
        <v>0</v>
      </c>
      <c r="AI29" s="260">
        <f t="shared" si="66"/>
        <v>0</v>
      </c>
      <c r="AJ29" s="260">
        <f t="shared" si="67"/>
        <v>0</v>
      </c>
      <c r="AK29" s="260">
        <f t="shared" si="68"/>
        <v>0</v>
      </c>
      <c r="AL29" s="260">
        <f t="shared" si="69"/>
        <v>0</v>
      </c>
      <c r="AM29" s="260">
        <f t="shared" si="70"/>
        <v>0</v>
      </c>
      <c r="AN29" s="260">
        <f t="shared" si="71"/>
        <v>0</v>
      </c>
      <c r="AO29" s="260">
        <f t="shared" si="72"/>
        <v>0</v>
      </c>
      <c r="AP29" s="260">
        <f t="shared" si="21"/>
        <v>0</v>
      </c>
      <c r="AQ29" s="260">
        <f t="shared" si="22"/>
        <v>0</v>
      </c>
      <c r="AR29" s="260">
        <f t="shared" si="23"/>
        <v>0</v>
      </c>
      <c r="AS29" s="260">
        <f t="shared" si="24"/>
        <v>0</v>
      </c>
      <c r="AT29" s="260">
        <f t="shared" si="73"/>
        <v>0</v>
      </c>
      <c r="AU29" s="260">
        <f t="shared" si="74"/>
        <v>0</v>
      </c>
      <c r="AV29" s="260">
        <f t="shared" si="25"/>
        <v>0</v>
      </c>
      <c r="AW29" s="260">
        <f t="shared" si="26"/>
        <v>0</v>
      </c>
      <c r="AX29" s="260">
        <f t="shared" si="27"/>
        <v>0</v>
      </c>
      <c r="AY29" s="260">
        <f t="shared" si="28"/>
        <v>0</v>
      </c>
      <c r="AZ29" s="260">
        <f t="shared" si="29"/>
        <v>0</v>
      </c>
      <c r="BA29" s="260">
        <f t="shared" si="30"/>
        <v>0</v>
      </c>
      <c r="BB29" s="260">
        <f t="shared" si="31"/>
        <v>0</v>
      </c>
      <c r="BC29" s="260">
        <f t="shared" si="32"/>
        <v>0</v>
      </c>
      <c r="BD29" s="260">
        <f t="shared" si="33"/>
        <v>0</v>
      </c>
      <c r="BE29" s="260">
        <f t="shared" si="34"/>
        <v>0</v>
      </c>
      <c r="BF29" s="260">
        <f t="shared" si="35"/>
        <v>0</v>
      </c>
      <c r="BG29" s="260">
        <f t="shared" si="36"/>
        <v>0</v>
      </c>
      <c r="BH29" s="260">
        <f t="shared" si="75"/>
        <v>0</v>
      </c>
      <c r="BI29" s="260">
        <f t="shared" si="76"/>
        <v>0</v>
      </c>
      <c r="BJ29" s="260">
        <f t="shared" si="37"/>
        <v>0</v>
      </c>
      <c r="BK29" s="260">
        <f t="shared" si="38"/>
        <v>0</v>
      </c>
      <c r="BL29" s="260">
        <f t="shared" si="39"/>
        <v>0</v>
      </c>
      <c r="BM29" s="260">
        <f t="shared" si="40"/>
        <v>0</v>
      </c>
      <c r="BN29" s="260">
        <f t="shared" si="41"/>
        <v>0</v>
      </c>
      <c r="BO29" s="260">
        <f t="shared" si="42"/>
        <v>0</v>
      </c>
      <c r="BP29" s="260">
        <f t="shared" si="77"/>
        <v>0</v>
      </c>
      <c r="BQ29" s="260">
        <f t="shared" si="78"/>
        <v>0</v>
      </c>
      <c r="BR29" s="260">
        <f t="shared" si="43"/>
        <v>0</v>
      </c>
      <c r="BS29" s="260">
        <f t="shared" si="44"/>
        <v>0</v>
      </c>
      <c r="BT29" s="260">
        <f t="shared" si="79"/>
        <v>0</v>
      </c>
      <c r="BU29" s="260">
        <f t="shared" si="80"/>
        <v>0</v>
      </c>
      <c r="BV29" s="260">
        <f t="shared" si="81"/>
        <v>0</v>
      </c>
      <c r="BW29" s="260">
        <f t="shared" si="82"/>
        <v>0</v>
      </c>
      <c r="BX29" s="260">
        <f t="shared" si="45"/>
        <v>0</v>
      </c>
      <c r="BY29" s="260">
        <f t="shared" si="46"/>
        <v>0</v>
      </c>
      <c r="BZ29" s="260">
        <f t="shared" si="47"/>
        <v>0</v>
      </c>
      <c r="CA29" s="260">
        <f t="shared" si="48"/>
        <v>0</v>
      </c>
      <c r="CB29" s="260">
        <f t="shared" si="49"/>
        <v>0</v>
      </c>
      <c r="CC29" s="260">
        <f t="shared" si="50"/>
        <v>0</v>
      </c>
      <c r="CD29" s="260">
        <f t="shared" si="83"/>
        <v>0</v>
      </c>
      <c r="CE29" s="260">
        <f t="shared" si="84"/>
        <v>0</v>
      </c>
      <c r="CF29" s="260">
        <f t="shared" si="85"/>
        <v>0</v>
      </c>
      <c r="CG29" s="260">
        <f t="shared" si="86"/>
        <v>0</v>
      </c>
      <c r="CH29" s="260">
        <f t="shared" si="51"/>
        <v>0</v>
      </c>
      <c r="CI29" s="260">
        <f t="shared" si="52"/>
        <v>0</v>
      </c>
      <c r="CJ29" s="260">
        <f t="shared" si="87"/>
        <v>0</v>
      </c>
      <c r="CK29" s="260">
        <f t="shared" si="88"/>
        <v>0</v>
      </c>
      <c r="CL29" s="260">
        <f t="shared" si="53"/>
        <v>0</v>
      </c>
      <c r="CM29" s="260">
        <f t="shared" si="54"/>
        <v>0</v>
      </c>
      <c r="CN29" s="260">
        <f t="shared" si="55"/>
        <v>0</v>
      </c>
      <c r="CO29" s="260">
        <f t="shared" si="56"/>
        <v>0</v>
      </c>
      <c r="CP29" s="260">
        <f t="shared" si="89"/>
        <v>0</v>
      </c>
      <c r="CQ29" s="260">
        <f t="shared" si="90"/>
        <v>0</v>
      </c>
      <c r="CR29" s="260">
        <f t="shared" si="91"/>
        <v>0</v>
      </c>
      <c r="CS29" s="260">
        <f t="shared" si="92"/>
        <v>0</v>
      </c>
      <c r="CT29" s="260">
        <f t="shared" si="57"/>
        <v>0</v>
      </c>
      <c r="CU29" s="260">
        <f t="shared" si="58"/>
        <v>0</v>
      </c>
      <c r="CV29" s="260">
        <f t="shared" si="59"/>
        <v>0</v>
      </c>
      <c r="CW29" s="260">
        <f t="shared" si="60"/>
        <v>0</v>
      </c>
      <c r="CX29" s="260">
        <f t="shared" si="93"/>
        <v>0</v>
      </c>
      <c r="CY29" s="260">
        <f t="shared" si="94"/>
        <v>0</v>
      </c>
      <c r="CZ29" s="260">
        <f t="shared" si="95"/>
        <v>0</v>
      </c>
      <c r="DA29" s="260">
        <f t="shared" si="96"/>
        <v>0</v>
      </c>
    </row>
    <row r="30" spans="1:105" s="257" customFormat="1" ht="16.5" customHeight="1">
      <c r="A30" s="60" t="str">
        <f t="array" ref="A30">IF(C30&lt;&gt;0,SUM(($C$11:C30&lt;&gt;0)*1),"")</f>
        <v/>
      </c>
      <c r="B30" s="258"/>
      <c r="C30" s="258"/>
      <c r="D30" s="258"/>
      <c r="E30" s="337"/>
      <c r="F30" s="309"/>
      <c r="G30" s="311"/>
      <c r="H30" s="311"/>
      <c r="I30" s="60" t="str">
        <f t="shared" si="0"/>
        <v/>
      </c>
      <c r="J30" s="260">
        <f t="shared" si="61"/>
        <v>0</v>
      </c>
      <c r="K30" s="260">
        <f t="shared" si="62"/>
        <v>0</v>
      </c>
      <c r="L30" s="260">
        <f t="shared" si="1"/>
        <v>0</v>
      </c>
      <c r="M30" s="260">
        <f t="shared" si="2"/>
        <v>0</v>
      </c>
      <c r="N30" s="260">
        <f t="shared" si="3"/>
        <v>0</v>
      </c>
      <c r="O30" s="260">
        <f t="shared" si="4"/>
        <v>0</v>
      </c>
      <c r="P30" s="260">
        <f t="shared" si="5"/>
        <v>0</v>
      </c>
      <c r="Q30" s="260">
        <f t="shared" si="6"/>
        <v>0</v>
      </c>
      <c r="R30" s="260">
        <f t="shared" si="7"/>
        <v>0</v>
      </c>
      <c r="S30" s="260">
        <f t="shared" si="8"/>
        <v>0</v>
      </c>
      <c r="T30" s="260">
        <f t="shared" si="9"/>
        <v>0</v>
      </c>
      <c r="U30" s="260">
        <f t="shared" si="10"/>
        <v>0</v>
      </c>
      <c r="V30" s="260">
        <f t="shared" si="11"/>
        <v>0</v>
      </c>
      <c r="W30" s="260">
        <f t="shared" si="12"/>
        <v>0</v>
      </c>
      <c r="X30" s="260">
        <f t="shared" si="13"/>
        <v>0</v>
      </c>
      <c r="Y30" s="260">
        <f t="shared" si="14"/>
        <v>0</v>
      </c>
      <c r="Z30" s="260">
        <f t="shared" si="15"/>
        <v>0</v>
      </c>
      <c r="AA30" s="260">
        <f t="shared" si="16"/>
        <v>0</v>
      </c>
      <c r="AB30" s="260">
        <f t="shared" si="63"/>
        <v>0</v>
      </c>
      <c r="AC30" s="260">
        <f t="shared" si="64"/>
        <v>0</v>
      </c>
      <c r="AD30" s="260">
        <f t="shared" si="17"/>
        <v>0</v>
      </c>
      <c r="AE30" s="260">
        <f t="shared" si="18"/>
        <v>0</v>
      </c>
      <c r="AF30" s="260">
        <f t="shared" si="19"/>
        <v>0</v>
      </c>
      <c r="AG30" s="260">
        <f t="shared" si="20"/>
        <v>0</v>
      </c>
      <c r="AH30" s="260">
        <f t="shared" si="65"/>
        <v>0</v>
      </c>
      <c r="AI30" s="260">
        <f t="shared" si="66"/>
        <v>0</v>
      </c>
      <c r="AJ30" s="260">
        <f t="shared" si="67"/>
        <v>0</v>
      </c>
      <c r="AK30" s="260">
        <f t="shared" si="68"/>
        <v>0</v>
      </c>
      <c r="AL30" s="260">
        <f t="shared" si="69"/>
        <v>0</v>
      </c>
      <c r="AM30" s="260">
        <f t="shared" si="70"/>
        <v>0</v>
      </c>
      <c r="AN30" s="260">
        <f t="shared" si="71"/>
        <v>0</v>
      </c>
      <c r="AO30" s="260">
        <f t="shared" si="72"/>
        <v>0</v>
      </c>
      <c r="AP30" s="260">
        <f t="shared" si="21"/>
        <v>0</v>
      </c>
      <c r="AQ30" s="260">
        <f t="shared" si="22"/>
        <v>0</v>
      </c>
      <c r="AR30" s="260">
        <f t="shared" si="23"/>
        <v>0</v>
      </c>
      <c r="AS30" s="260">
        <f t="shared" si="24"/>
        <v>0</v>
      </c>
      <c r="AT30" s="260">
        <f t="shared" si="73"/>
        <v>0</v>
      </c>
      <c r="AU30" s="260">
        <f t="shared" si="74"/>
        <v>0</v>
      </c>
      <c r="AV30" s="260">
        <f t="shared" si="25"/>
        <v>0</v>
      </c>
      <c r="AW30" s="260">
        <f t="shared" si="26"/>
        <v>0</v>
      </c>
      <c r="AX30" s="260">
        <f t="shared" si="27"/>
        <v>0</v>
      </c>
      <c r="AY30" s="260">
        <f t="shared" si="28"/>
        <v>0</v>
      </c>
      <c r="AZ30" s="260">
        <f t="shared" si="29"/>
        <v>0</v>
      </c>
      <c r="BA30" s="260">
        <f t="shared" si="30"/>
        <v>0</v>
      </c>
      <c r="BB30" s="260">
        <f t="shared" si="31"/>
        <v>0</v>
      </c>
      <c r="BC30" s="260">
        <f t="shared" si="32"/>
        <v>0</v>
      </c>
      <c r="BD30" s="260">
        <f t="shared" si="33"/>
        <v>0</v>
      </c>
      <c r="BE30" s="260">
        <f t="shared" si="34"/>
        <v>0</v>
      </c>
      <c r="BF30" s="260">
        <f t="shared" si="35"/>
        <v>0</v>
      </c>
      <c r="BG30" s="260">
        <f t="shared" si="36"/>
        <v>0</v>
      </c>
      <c r="BH30" s="260">
        <f t="shared" si="75"/>
        <v>0</v>
      </c>
      <c r="BI30" s="260">
        <f t="shared" si="76"/>
        <v>0</v>
      </c>
      <c r="BJ30" s="260">
        <f t="shared" si="37"/>
        <v>0</v>
      </c>
      <c r="BK30" s="260">
        <f t="shared" si="38"/>
        <v>0</v>
      </c>
      <c r="BL30" s="260">
        <f t="shared" si="39"/>
        <v>0</v>
      </c>
      <c r="BM30" s="260">
        <f t="shared" si="40"/>
        <v>0</v>
      </c>
      <c r="BN30" s="260">
        <f t="shared" si="41"/>
        <v>0</v>
      </c>
      <c r="BO30" s="260">
        <f t="shared" si="42"/>
        <v>0</v>
      </c>
      <c r="BP30" s="260">
        <f t="shared" si="77"/>
        <v>0</v>
      </c>
      <c r="BQ30" s="260">
        <f t="shared" si="78"/>
        <v>0</v>
      </c>
      <c r="BR30" s="260">
        <f t="shared" si="43"/>
        <v>0</v>
      </c>
      <c r="BS30" s="260">
        <f t="shared" si="44"/>
        <v>0</v>
      </c>
      <c r="BT30" s="260">
        <f t="shared" si="79"/>
        <v>0</v>
      </c>
      <c r="BU30" s="260">
        <f t="shared" si="80"/>
        <v>0</v>
      </c>
      <c r="BV30" s="260">
        <f t="shared" si="81"/>
        <v>0</v>
      </c>
      <c r="BW30" s="260">
        <f t="shared" si="82"/>
        <v>0</v>
      </c>
      <c r="BX30" s="260">
        <f t="shared" si="45"/>
        <v>0</v>
      </c>
      <c r="BY30" s="260">
        <f t="shared" si="46"/>
        <v>0</v>
      </c>
      <c r="BZ30" s="260">
        <f t="shared" si="47"/>
        <v>0</v>
      </c>
      <c r="CA30" s="260">
        <f t="shared" si="48"/>
        <v>0</v>
      </c>
      <c r="CB30" s="260">
        <f t="shared" si="49"/>
        <v>0</v>
      </c>
      <c r="CC30" s="260">
        <f t="shared" si="50"/>
        <v>0</v>
      </c>
      <c r="CD30" s="260">
        <f t="shared" si="83"/>
        <v>0</v>
      </c>
      <c r="CE30" s="260">
        <f t="shared" si="84"/>
        <v>0</v>
      </c>
      <c r="CF30" s="260">
        <f t="shared" si="85"/>
        <v>0</v>
      </c>
      <c r="CG30" s="260">
        <f t="shared" si="86"/>
        <v>0</v>
      </c>
      <c r="CH30" s="260">
        <f t="shared" si="51"/>
        <v>0</v>
      </c>
      <c r="CI30" s="260">
        <f t="shared" si="52"/>
        <v>0</v>
      </c>
      <c r="CJ30" s="260">
        <f t="shared" si="87"/>
        <v>0</v>
      </c>
      <c r="CK30" s="260">
        <f t="shared" si="88"/>
        <v>0</v>
      </c>
      <c r="CL30" s="260">
        <f t="shared" si="53"/>
        <v>0</v>
      </c>
      <c r="CM30" s="260">
        <f t="shared" si="54"/>
        <v>0</v>
      </c>
      <c r="CN30" s="260">
        <f t="shared" si="55"/>
        <v>0</v>
      </c>
      <c r="CO30" s="260">
        <f t="shared" si="56"/>
        <v>0</v>
      </c>
      <c r="CP30" s="260">
        <f t="shared" si="89"/>
        <v>0</v>
      </c>
      <c r="CQ30" s="260">
        <f t="shared" si="90"/>
        <v>0</v>
      </c>
      <c r="CR30" s="260">
        <f t="shared" si="91"/>
        <v>0</v>
      </c>
      <c r="CS30" s="260">
        <f t="shared" si="92"/>
        <v>0</v>
      </c>
      <c r="CT30" s="260">
        <f t="shared" si="57"/>
        <v>0</v>
      </c>
      <c r="CU30" s="260">
        <f t="shared" si="58"/>
        <v>0</v>
      </c>
      <c r="CV30" s="260">
        <f t="shared" si="59"/>
        <v>0</v>
      </c>
      <c r="CW30" s="260">
        <f t="shared" si="60"/>
        <v>0</v>
      </c>
      <c r="CX30" s="260">
        <f t="shared" si="93"/>
        <v>0</v>
      </c>
      <c r="CY30" s="260">
        <f t="shared" si="94"/>
        <v>0</v>
      </c>
      <c r="CZ30" s="260">
        <f t="shared" si="95"/>
        <v>0</v>
      </c>
      <c r="DA30" s="260">
        <f t="shared" si="96"/>
        <v>0</v>
      </c>
    </row>
    <row r="31" spans="1:105" s="257" customFormat="1" ht="16.5" customHeight="1">
      <c r="A31" s="60" t="str">
        <f t="array" ref="A31">IF(C31&lt;&gt;0,SUM(($C$11:C31&lt;&gt;0)*1),"")</f>
        <v/>
      </c>
      <c r="B31" s="258"/>
      <c r="C31" s="258"/>
      <c r="D31" s="258"/>
      <c r="E31" s="337"/>
      <c r="F31" s="309"/>
      <c r="G31" s="311"/>
      <c r="H31" s="311"/>
      <c r="I31" s="60" t="str">
        <f t="shared" si="0"/>
        <v/>
      </c>
      <c r="J31" s="260">
        <f t="shared" si="61"/>
        <v>0</v>
      </c>
      <c r="K31" s="260">
        <f t="shared" si="62"/>
        <v>0</v>
      </c>
      <c r="L31" s="260">
        <f t="shared" si="1"/>
        <v>0</v>
      </c>
      <c r="M31" s="260">
        <f t="shared" si="2"/>
        <v>0</v>
      </c>
      <c r="N31" s="260">
        <f t="shared" si="3"/>
        <v>0</v>
      </c>
      <c r="O31" s="260">
        <f t="shared" si="4"/>
        <v>0</v>
      </c>
      <c r="P31" s="260">
        <f t="shared" si="5"/>
        <v>0</v>
      </c>
      <c r="Q31" s="260">
        <f t="shared" si="6"/>
        <v>0</v>
      </c>
      <c r="R31" s="260">
        <f t="shared" si="7"/>
        <v>0</v>
      </c>
      <c r="S31" s="260">
        <f t="shared" si="8"/>
        <v>0</v>
      </c>
      <c r="T31" s="260">
        <f t="shared" si="9"/>
        <v>0</v>
      </c>
      <c r="U31" s="260">
        <f t="shared" si="10"/>
        <v>0</v>
      </c>
      <c r="V31" s="260">
        <f t="shared" si="11"/>
        <v>0</v>
      </c>
      <c r="W31" s="260">
        <f t="shared" si="12"/>
        <v>0</v>
      </c>
      <c r="X31" s="260">
        <f t="shared" si="13"/>
        <v>0</v>
      </c>
      <c r="Y31" s="260">
        <f t="shared" si="14"/>
        <v>0</v>
      </c>
      <c r="Z31" s="260">
        <f t="shared" si="15"/>
        <v>0</v>
      </c>
      <c r="AA31" s="260">
        <f t="shared" si="16"/>
        <v>0</v>
      </c>
      <c r="AB31" s="260">
        <f t="shared" si="63"/>
        <v>0</v>
      </c>
      <c r="AC31" s="260">
        <f t="shared" si="64"/>
        <v>0</v>
      </c>
      <c r="AD31" s="260">
        <f t="shared" si="17"/>
        <v>0</v>
      </c>
      <c r="AE31" s="260">
        <f t="shared" si="18"/>
        <v>0</v>
      </c>
      <c r="AF31" s="260">
        <f t="shared" si="19"/>
        <v>0</v>
      </c>
      <c r="AG31" s="260">
        <f t="shared" si="20"/>
        <v>0</v>
      </c>
      <c r="AH31" s="260">
        <f t="shared" si="65"/>
        <v>0</v>
      </c>
      <c r="AI31" s="260">
        <f t="shared" si="66"/>
        <v>0</v>
      </c>
      <c r="AJ31" s="260">
        <f t="shared" si="67"/>
        <v>0</v>
      </c>
      <c r="AK31" s="260">
        <f t="shared" si="68"/>
        <v>0</v>
      </c>
      <c r="AL31" s="260">
        <f t="shared" si="69"/>
        <v>0</v>
      </c>
      <c r="AM31" s="260">
        <f t="shared" si="70"/>
        <v>0</v>
      </c>
      <c r="AN31" s="260">
        <f t="shared" si="71"/>
        <v>0</v>
      </c>
      <c r="AO31" s="260">
        <f t="shared" si="72"/>
        <v>0</v>
      </c>
      <c r="AP31" s="260">
        <f t="shared" si="21"/>
        <v>0</v>
      </c>
      <c r="AQ31" s="260">
        <f t="shared" si="22"/>
        <v>0</v>
      </c>
      <c r="AR31" s="260">
        <f t="shared" si="23"/>
        <v>0</v>
      </c>
      <c r="AS31" s="260">
        <f t="shared" si="24"/>
        <v>0</v>
      </c>
      <c r="AT31" s="260">
        <f t="shared" si="73"/>
        <v>0</v>
      </c>
      <c r="AU31" s="260">
        <f t="shared" si="74"/>
        <v>0</v>
      </c>
      <c r="AV31" s="260">
        <f t="shared" si="25"/>
        <v>0</v>
      </c>
      <c r="AW31" s="260">
        <f t="shared" si="26"/>
        <v>0</v>
      </c>
      <c r="AX31" s="260">
        <f t="shared" si="27"/>
        <v>0</v>
      </c>
      <c r="AY31" s="260">
        <f t="shared" si="28"/>
        <v>0</v>
      </c>
      <c r="AZ31" s="260">
        <f t="shared" si="29"/>
        <v>0</v>
      </c>
      <c r="BA31" s="260">
        <f t="shared" si="30"/>
        <v>0</v>
      </c>
      <c r="BB31" s="260">
        <f t="shared" si="31"/>
        <v>0</v>
      </c>
      <c r="BC31" s="260">
        <f t="shared" si="32"/>
        <v>0</v>
      </c>
      <c r="BD31" s="260">
        <f t="shared" si="33"/>
        <v>0</v>
      </c>
      <c r="BE31" s="260">
        <f t="shared" si="34"/>
        <v>0</v>
      </c>
      <c r="BF31" s="260">
        <f t="shared" si="35"/>
        <v>0</v>
      </c>
      <c r="BG31" s="260">
        <f t="shared" si="36"/>
        <v>0</v>
      </c>
      <c r="BH31" s="260">
        <f t="shared" si="75"/>
        <v>0</v>
      </c>
      <c r="BI31" s="260">
        <f t="shared" si="76"/>
        <v>0</v>
      </c>
      <c r="BJ31" s="260">
        <f t="shared" si="37"/>
        <v>0</v>
      </c>
      <c r="BK31" s="260">
        <f t="shared" si="38"/>
        <v>0</v>
      </c>
      <c r="BL31" s="260">
        <f t="shared" si="39"/>
        <v>0</v>
      </c>
      <c r="BM31" s="260">
        <f t="shared" si="40"/>
        <v>0</v>
      </c>
      <c r="BN31" s="260">
        <f t="shared" si="41"/>
        <v>0</v>
      </c>
      <c r="BO31" s="260">
        <f t="shared" si="42"/>
        <v>0</v>
      </c>
      <c r="BP31" s="260">
        <f t="shared" si="77"/>
        <v>0</v>
      </c>
      <c r="BQ31" s="260">
        <f t="shared" si="78"/>
        <v>0</v>
      </c>
      <c r="BR31" s="260">
        <f t="shared" si="43"/>
        <v>0</v>
      </c>
      <c r="BS31" s="260">
        <f t="shared" si="44"/>
        <v>0</v>
      </c>
      <c r="BT31" s="260">
        <f t="shared" si="79"/>
        <v>0</v>
      </c>
      <c r="BU31" s="260">
        <f t="shared" si="80"/>
        <v>0</v>
      </c>
      <c r="BV31" s="260">
        <f t="shared" si="81"/>
        <v>0</v>
      </c>
      <c r="BW31" s="260">
        <f t="shared" si="82"/>
        <v>0</v>
      </c>
      <c r="BX31" s="260">
        <f t="shared" si="45"/>
        <v>0</v>
      </c>
      <c r="BY31" s="260">
        <f t="shared" si="46"/>
        <v>0</v>
      </c>
      <c r="BZ31" s="260">
        <f t="shared" si="47"/>
        <v>0</v>
      </c>
      <c r="CA31" s="260">
        <f t="shared" si="48"/>
        <v>0</v>
      </c>
      <c r="CB31" s="260">
        <f t="shared" si="49"/>
        <v>0</v>
      </c>
      <c r="CC31" s="260">
        <f t="shared" si="50"/>
        <v>0</v>
      </c>
      <c r="CD31" s="260">
        <f t="shared" si="83"/>
        <v>0</v>
      </c>
      <c r="CE31" s="260">
        <f t="shared" si="84"/>
        <v>0</v>
      </c>
      <c r="CF31" s="260">
        <f t="shared" si="85"/>
        <v>0</v>
      </c>
      <c r="CG31" s="260">
        <f t="shared" si="86"/>
        <v>0</v>
      </c>
      <c r="CH31" s="260">
        <f t="shared" si="51"/>
        <v>0</v>
      </c>
      <c r="CI31" s="260">
        <f t="shared" si="52"/>
        <v>0</v>
      </c>
      <c r="CJ31" s="260">
        <f t="shared" si="87"/>
        <v>0</v>
      </c>
      <c r="CK31" s="260">
        <f t="shared" si="88"/>
        <v>0</v>
      </c>
      <c r="CL31" s="260">
        <f t="shared" si="53"/>
        <v>0</v>
      </c>
      <c r="CM31" s="260">
        <f t="shared" si="54"/>
        <v>0</v>
      </c>
      <c r="CN31" s="260">
        <f t="shared" si="55"/>
        <v>0</v>
      </c>
      <c r="CO31" s="260">
        <f t="shared" si="56"/>
        <v>0</v>
      </c>
      <c r="CP31" s="260">
        <f t="shared" si="89"/>
        <v>0</v>
      </c>
      <c r="CQ31" s="260">
        <f t="shared" si="90"/>
        <v>0</v>
      </c>
      <c r="CR31" s="260">
        <f t="shared" si="91"/>
        <v>0</v>
      </c>
      <c r="CS31" s="260">
        <f t="shared" si="92"/>
        <v>0</v>
      </c>
      <c r="CT31" s="260">
        <f t="shared" si="57"/>
        <v>0</v>
      </c>
      <c r="CU31" s="260">
        <f t="shared" si="58"/>
        <v>0</v>
      </c>
      <c r="CV31" s="260">
        <f t="shared" si="59"/>
        <v>0</v>
      </c>
      <c r="CW31" s="260">
        <f t="shared" si="60"/>
        <v>0</v>
      </c>
      <c r="CX31" s="260">
        <f t="shared" si="93"/>
        <v>0</v>
      </c>
      <c r="CY31" s="260">
        <f t="shared" si="94"/>
        <v>0</v>
      </c>
      <c r="CZ31" s="260">
        <f t="shared" si="95"/>
        <v>0</v>
      </c>
      <c r="DA31" s="260">
        <f t="shared" si="96"/>
        <v>0</v>
      </c>
    </row>
    <row r="32" spans="1:105" s="257" customFormat="1" ht="16.5" customHeight="1">
      <c r="A32" s="60" t="str">
        <f t="array" ref="A32">IF(C32&lt;&gt;0,SUM(($C$11:C32&lt;&gt;0)*1),"")</f>
        <v/>
      </c>
      <c r="B32" s="258"/>
      <c r="C32" s="258"/>
      <c r="D32" s="258"/>
      <c r="E32" s="337"/>
      <c r="F32" s="309"/>
      <c r="G32" s="311"/>
      <c r="H32" s="311"/>
      <c r="I32" s="60" t="str">
        <f t="shared" si="0"/>
        <v/>
      </c>
      <c r="J32" s="260">
        <f t="shared" si="61"/>
        <v>0</v>
      </c>
      <c r="K32" s="260">
        <f t="shared" si="62"/>
        <v>0</v>
      </c>
      <c r="L32" s="260">
        <f t="shared" si="1"/>
        <v>0</v>
      </c>
      <c r="M32" s="260">
        <f t="shared" si="2"/>
        <v>0</v>
      </c>
      <c r="N32" s="260">
        <f t="shared" si="3"/>
        <v>0</v>
      </c>
      <c r="O32" s="260">
        <f t="shared" si="4"/>
        <v>0</v>
      </c>
      <c r="P32" s="260">
        <f t="shared" si="5"/>
        <v>0</v>
      </c>
      <c r="Q32" s="260">
        <f t="shared" si="6"/>
        <v>0</v>
      </c>
      <c r="R32" s="260">
        <f t="shared" si="7"/>
        <v>0</v>
      </c>
      <c r="S32" s="260">
        <f t="shared" si="8"/>
        <v>0</v>
      </c>
      <c r="T32" s="260">
        <f t="shared" si="9"/>
        <v>0</v>
      </c>
      <c r="U32" s="260">
        <f t="shared" si="10"/>
        <v>0</v>
      </c>
      <c r="V32" s="260">
        <f t="shared" si="11"/>
        <v>0</v>
      </c>
      <c r="W32" s="260">
        <f t="shared" si="12"/>
        <v>0</v>
      </c>
      <c r="X32" s="260">
        <f t="shared" si="13"/>
        <v>0</v>
      </c>
      <c r="Y32" s="260">
        <f t="shared" si="14"/>
        <v>0</v>
      </c>
      <c r="Z32" s="260">
        <f t="shared" si="15"/>
        <v>0</v>
      </c>
      <c r="AA32" s="260">
        <f t="shared" si="16"/>
        <v>0</v>
      </c>
      <c r="AB32" s="260">
        <f t="shared" si="63"/>
        <v>0</v>
      </c>
      <c r="AC32" s="260">
        <f t="shared" si="64"/>
        <v>0</v>
      </c>
      <c r="AD32" s="260">
        <f t="shared" si="17"/>
        <v>0</v>
      </c>
      <c r="AE32" s="260">
        <f t="shared" si="18"/>
        <v>0</v>
      </c>
      <c r="AF32" s="260">
        <f t="shared" si="19"/>
        <v>0</v>
      </c>
      <c r="AG32" s="260">
        <f t="shared" si="20"/>
        <v>0</v>
      </c>
      <c r="AH32" s="260">
        <f t="shared" si="65"/>
        <v>0</v>
      </c>
      <c r="AI32" s="260">
        <f t="shared" si="66"/>
        <v>0</v>
      </c>
      <c r="AJ32" s="260">
        <f t="shared" si="67"/>
        <v>0</v>
      </c>
      <c r="AK32" s="260">
        <f t="shared" si="68"/>
        <v>0</v>
      </c>
      <c r="AL32" s="260">
        <f t="shared" si="69"/>
        <v>0</v>
      </c>
      <c r="AM32" s="260">
        <f t="shared" si="70"/>
        <v>0</v>
      </c>
      <c r="AN32" s="260">
        <f t="shared" si="71"/>
        <v>0</v>
      </c>
      <c r="AO32" s="260">
        <f t="shared" si="72"/>
        <v>0</v>
      </c>
      <c r="AP32" s="260">
        <f t="shared" si="21"/>
        <v>0</v>
      </c>
      <c r="AQ32" s="260">
        <f t="shared" si="22"/>
        <v>0</v>
      </c>
      <c r="AR32" s="260">
        <f t="shared" si="23"/>
        <v>0</v>
      </c>
      <c r="AS32" s="260">
        <f t="shared" si="24"/>
        <v>0</v>
      </c>
      <c r="AT32" s="260">
        <f t="shared" si="73"/>
        <v>0</v>
      </c>
      <c r="AU32" s="260">
        <f t="shared" si="74"/>
        <v>0</v>
      </c>
      <c r="AV32" s="260">
        <f t="shared" si="25"/>
        <v>0</v>
      </c>
      <c r="AW32" s="260">
        <f t="shared" si="26"/>
        <v>0</v>
      </c>
      <c r="AX32" s="260">
        <f t="shared" si="27"/>
        <v>0</v>
      </c>
      <c r="AY32" s="260">
        <f t="shared" si="28"/>
        <v>0</v>
      </c>
      <c r="AZ32" s="260">
        <f t="shared" si="29"/>
        <v>0</v>
      </c>
      <c r="BA32" s="260">
        <f t="shared" si="30"/>
        <v>0</v>
      </c>
      <c r="BB32" s="260">
        <f t="shared" si="31"/>
        <v>0</v>
      </c>
      <c r="BC32" s="260">
        <f t="shared" si="32"/>
        <v>0</v>
      </c>
      <c r="BD32" s="260">
        <f t="shared" si="33"/>
        <v>0</v>
      </c>
      <c r="BE32" s="260">
        <f t="shared" si="34"/>
        <v>0</v>
      </c>
      <c r="BF32" s="260">
        <f t="shared" si="35"/>
        <v>0</v>
      </c>
      <c r="BG32" s="260">
        <f t="shared" si="36"/>
        <v>0</v>
      </c>
      <c r="BH32" s="260">
        <f t="shared" si="75"/>
        <v>0</v>
      </c>
      <c r="BI32" s="260">
        <f t="shared" si="76"/>
        <v>0</v>
      </c>
      <c r="BJ32" s="260">
        <f t="shared" si="37"/>
        <v>0</v>
      </c>
      <c r="BK32" s="260">
        <f t="shared" si="38"/>
        <v>0</v>
      </c>
      <c r="BL32" s="260">
        <f t="shared" si="39"/>
        <v>0</v>
      </c>
      <c r="BM32" s="260">
        <f t="shared" si="40"/>
        <v>0</v>
      </c>
      <c r="BN32" s="260">
        <f t="shared" si="41"/>
        <v>0</v>
      </c>
      <c r="BO32" s="260">
        <f t="shared" si="42"/>
        <v>0</v>
      </c>
      <c r="BP32" s="260">
        <f t="shared" si="77"/>
        <v>0</v>
      </c>
      <c r="BQ32" s="260">
        <f t="shared" si="78"/>
        <v>0</v>
      </c>
      <c r="BR32" s="260">
        <f t="shared" si="43"/>
        <v>0</v>
      </c>
      <c r="BS32" s="260">
        <f t="shared" si="44"/>
        <v>0</v>
      </c>
      <c r="BT32" s="260">
        <f t="shared" si="79"/>
        <v>0</v>
      </c>
      <c r="BU32" s="260">
        <f t="shared" si="80"/>
        <v>0</v>
      </c>
      <c r="BV32" s="260">
        <f t="shared" si="81"/>
        <v>0</v>
      </c>
      <c r="BW32" s="260">
        <f t="shared" si="82"/>
        <v>0</v>
      </c>
      <c r="BX32" s="260">
        <f t="shared" si="45"/>
        <v>0</v>
      </c>
      <c r="BY32" s="260">
        <f t="shared" si="46"/>
        <v>0</v>
      </c>
      <c r="BZ32" s="260">
        <f t="shared" si="47"/>
        <v>0</v>
      </c>
      <c r="CA32" s="260">
        <f t="shared" si="48"/>
        <v>0</v>
      </c>
      <c r="CB32" s="260">
        <f t="shared" si="49"/>
        <v>0</v>
      </c>
      <c r="CC32" s="260">
        <f t="shared" si="50"/>
        <v>0</v>
      </c>
      <c r="CD32" s="260">
        <f t="shared" si="83"/>
        <v>0</v>
      </c>
      <c r="CE32" s="260">
        <f t="shared" si="84"/>
        <v>0</v>
      </c>
      <c r="CF32" s="260">
        <f t="shared" si="85"/>
        <v>0</v>
      </c>
      <c r="CG32" s="260">
        <f t="shared" si="86"/>
        <v>0</v>
      </c>
      <c r="CH32" s="260">
        <f t="shared" si="51"/>
        <v>0</v>
      </c>
      <c r="CI32" s="260">
        <f t="shared" si="52"/>
        <v>0</v>
      </c>
      <c r="CJ32" s="260">
        <f t="shared" si="87"/>
        <v>0</v>
      </c>
      <c r="CK32" s="260">
        <f t="shared" si="88"/>
        <v>0</v>
      </c>
      <c r="CL32" s="260">
        <f t="shared" si="53"/>
        <v>0</v>
      </c>
      <c r="CM32" s="260">
        <f t="shared" si="54"/>
        <v>0</v>
      </c>
      <c r="CN32" s="260">
        <f t="shared" si="55"/>
        <v>0</v>
      </c>
      <c r="CO32" s="260">
        <f t="shared" si="56"/>
        <v>0</v>
      </c>
      <c r="CP32" s="260">
        <f t="shared" si="89"/>
        <v>0</v>
      </c>
      <c r="CQ32" s="260">
        <f t="shared" si="90"/>
        <v>0</v>
      </c>
      <c r="CR32" s="260">
        <f t="shared" si="91"/>
        <v>0</v>
      </c>
      <c r="CS32" s="260">
        <f t="shared" si="92"/>
        <v>0</v>
      </c>
      <c r="CT32" s="260">
        <f t="shared" si="57"/>
        <v>0</v>
      </c>
      <c r="CU32" s="260">
        <f t="shared" si="58"/>
        <v>0</v>
      </c>
      <c r="CV32" s="260">
        <f t="shared" si="59"/>
        <v>0</v>
      </c>
      <c r="CW32" s="260">
        <f t="shared" si="60"/>
        <v>0</v>
      </c>
      <c r="CX32" s="260">
        <f t="shared" si="93"/>
        <v>0</v>
      </c>
      <c r="CY32" s="260">
        <f t="shared" si="94"/>
        <v>0</v>
      </c>
      <c r="CZ32" s="260">
        <f t="shared" si="95"/>
        <v>0</v>
      </c>
      <c r="DA32" s="260">
        <f t="shared" si="96"/>
        <v>0</v>
      </c>
    </row>
    <row r="33" spans="1:105" s="257" customFormat="1" ht="16.5" customHeight="1">
      <c r="A33" s="60" t="str">
        <f t="array" ref="A33">IF(C33&lt;&gt;0,SUM(($C$11:C33&lt;&gt;0)*1),"")</f>
        <v/>
      </c>
      <c r="B33" s="258"/>
      <c r="C33" s="258"/>
      <c r="D33" s="258"/>
      <c r="E33" s="337"/>
      <c r="F33" s="309"/>
      <c r="G33" s="311"/>
      <c r="H33" s="311"/>
      <c r="I33" s="60" t="str">
        <f t="shared" si="0"/>
        <v/>
      </c>
      <c r="J33" s="260">
        <f t="shared" si="61"/>
        <v>0</v>
      </c>
      <c r="K33" s="260">
        <f t="shared" si="62"/>
        <v>0</v>
      </c>
      <c r="L33" s="260">
        <f t="shared" si="1"/>
        <v>0</v>
      </c>
      <c r="M33" s="260">
        <f t="shared" si="2"/>
        <v>0</v>
      </c>
      <c r="N33" s="260">
        <f t="shared" si="3"/>
        <v>0</v>
      </c>
      <c r="O33" s="260">
        <f t="shared" si="4"/>
        <v>0</v>
      </c>
      <c r="P33" s="260">
        <f t="shared" si="5"/>
        <v>0</v>
      </c>
      <c r="Q33" s="260">
        <f t="shared" si="6"/>
        <v>0</v>
      </c>
      <c r="R33" s="260">
        <f t="shared" si="7"/>
        <v>0</v>
      </c>
      <c r="S33" s="260">
        <f t="shared" si="8"/>
        <v>0</v>
      </c>
      <c r="T33" s="260">
        <f t="shared" si="9"/>
        <v>0</v>
      </c>
      <c r="U33" s="260">
        <f t="shared" si="10"/>
        <v>0</v>
      </c>
      <c r="V33" s="260">
        <f t="shared" si="11"/>
        <v>0</v>
      </c>
      <c r="W33" s="260">
        <f t="shared" si="12"/>
        <v>0</v>
      </c>
      <c r="X33" s="260">
        <f t="shared" si="13"/>
        <v>0</v>
      </c>
      <c r="Y33" s="260">
        <f t="shared" si="14"/>
        <v>0</v>
      </c>
      <c r="Z33" s="260">
        <f t="shared" si="15"/>
        <v>0</v>
      </c>
      <c r="AA33" s="260">
        <f t="shared" si="16"/>
        <v>0</v>
      </c>
      <c r="AB33" s="260">
        <f t="shared" si="63"/>
        <v>0</v>
      </c>
      <c r="AC33" s="260">
        <f t="shared" si="64"/>
        <v>0</v>
      </c>
      <c r="AD33" s="260">
        <f t="shared" si="17"/>
        <v>0</v>
      </c>
      <c r="AE33" s="260">
        <f t="shared" si="18"/>
        <v>0</v>
      </c>
      <c r="AF33" s="260">
        <f t="shared" si="19"/>
        <v>0</v>
      </c>
      <c r="AG33" s="260">
        <f t="shared" si="20"/>
        <v>0</v>
      </c>
      <c r="AH33" s="260">
        <f t="shared" si="65"/>
        <v>0</v>
      </c>
      <c r="AI33" s="260">
        <f t="shared" si="66"/>
        <v>0</v>
      </c>
      <c r="AJ33" s="260">
        <f t="shared" si="67"/>
        <v>0</v>
      </c>
      <c r="AK33" s="260">
        <f t="shared" si="68"/>
        <v>0</v>
      </c>
      <c r="AL33" s="260">
        <f t="shared" si="69"/>
        <v>0</v>
      </c>
      <c r="AM33" s="260">
        <f t="shared" si="70"/>
        <v>0</v>
      </c>
      <c r="AN33" s="260">
        <f t="shared" si="71"/>
        <v>0</v>
      </c>
      <c r="AO33" s="260">
        <f t="shared" si="72"/>
        <v>0</v>
      </c>
      <c r="AP33" s="260">
        <f t="shared" si="21"/>
        <v>0</v>
      </c>
      <c r="AQ33" s="260">
        <f t="shared" si="22"/>
        <v>0</v>
      </c>
      <c r="AR33" s="260">
        <f t="shared" si="23"/>
        <v>0</v>
      </c>
      <c r="AS33" s="260">
        <f t="shared" si="24"/>
        <v>0</v>
      </c>
      <c r="AT33" s="260">
        <f t="shared" si="73"/>
        <v>0</v>
      </c>
      <c r="AU33" s="260">
        <f t="shared" si="74"/>
        <v>0</v>
      </c>
      <c r="AV33" s="260">
        <f t="shared" si="25"/>
        <v>0</v>
      </c>
      <c r="AW33" s="260">
        <f t="shared" si="26"/>
        <v>0</v>
      </c>
      <c r="AX33" s="260">
        <f t="shared" si="27"/>
        <v>0</v>
      </c>
      <c r="AY33" s="260">
        <f t="shared" si="28"/>
        <v>0</v>
      </c>
      <c r="AZ33" s="260">
        <f t="shared" si="29"/>
        <v>0</v>
      </c>
      <c r="BA33" s="260">
        <f t="shared" si="30"/>
        <v>0</v>
      </c>
      <c r="BB33" s="260">
        <f t="shared" si="31"/>
        <v>0</v>
      </c>
      <c r="BC33" s="260">
        <f t="shared" si="32"/>
        <v>0</v>
      </c>
      <c r="BD33" s="260">
        <f t="shared" si="33"/>
        <v>0</v>
      </c>
      <c r="BE33" s="260">
        <f t="shared" si="34"/>
        <v>0</v>
      </c>
      <c r="BF33" s="260">
        <f t="shared" si="35"/>
        <v>0</v>
      </c>
      <c r="BG33" s="260">
        <f t="shared" si="36"/>
        <v>0</v>
      </c>
      <c r="BH33" s="260">
        <f t="shared" si="75"/>
        <v>0</v>
      </c>
      <c r="BI33" s="260">
        <f t="shared" si="76"/>
        <v>0</v>
      </c>
      <c r="BJ33" s="260">
        <f t="shared" si="37"/>
        <v>0</v>
      </c>
      <c r="BK33" s="260">
        <f t="shared" si="38"/>
        <v>0</v>
      </c>
      <c r="BL33" s="260">
        <f t="shared" si="39"/>
        <v>0</v>
      </c>
      <c r="BM33" s="260">
        <f t="shared" si="40"/>
        <v>0</v>
      </c>
      <c r="BN33" s="260">
        <f t="shared" si="41"/>
        <v>0</v>
      </c>
      <c r="BO33" s="260">
        <f t="shared" si="42"/>
        <v>0</v>
      </c>
      <c r="BP33" s="260">
        <f t="shared" si="77"/>
        <v>0</v>
      </c>
      <c r="BQ33" s="260">
        <f t="shared" si="78"/>
        <v>0</v>
      </c>
      <c r="BR33" s="260">
        <f t="shared" si="43"/>
        <v>0</v>
      </c>
      <c r="BS33" s="260">
        <f t="shared" si="44"/>
        <v>0</v>
      </c>
      <c r="BT33" s="260">
        <f t="shared" si="79"/>
        <v>0</v>
      </c>
      <c r="BU33" s="260">
        <f t="shared" si="80"/>
        <v>0</v>
      </c>
      <c r="BV33" s="260">
        <f t="shared" si="81"/>
        <v>0</v>
      </c>
      <c r="BW33" s="260">
        <f t="shared" si="82"/>
        <v>0</v>
      </c>
      <c r="BX33" s="260">
        <f t="shared" si="45"/>
        <v>0</v>
      </c>
      <c r="BY33" s="260">
        <f t="shared" si="46"/>
        <v>0</v>
      </c>
      <c r="BZ33" s="260">
        <f t="shared" si="47"/>
        <v>0</v>
      </c>
      <c r="CA33" s="260">
        <f t="shared" si="48"/>
        <v>0</v>
      </c>
      <c r="CB33" s="260">
        <f t="shared" si="49"/>
        <v>0</v>
      </c>
      <c r="CC33" s="260">
        <f t="shared" si="50"/>
        <v>0</v>
      </c>
      <c r="CD33" s="260">
        <f t="shared" si="83"/>
        <v>0</v>
      </c>
      <c r="CE33" s="260">
        <f t="shared" si="84"/>
        <v>0</v>
      </c>
      <c r="CF33" s="260">
        <f t="shared" si="85"/>
        <v>0</v>
      </c>
      <c r="CG33" s="260">
        <f t="shared" si="86"/>
        <v>0</v>
      </c>
      <c r="CH33" s="260">
        <f t="shared" si="51"/>
        <v>0</v>
      </c>
      <c r="CI33" s="260">
        <f t="shared" si="52"/>
        <v>0</v>
      </c>
      <c r="CJ33" s="260">
        <f t="shared" si="87"/>
        <v>0</v>
      </c>
      <c r="CK33" s="260">
        <f t="shared" si="88"/>
        <v>0</v>
      </c>
      <c r="CL33" s="260">
        <f t="shared" si="53"/>
        <v>0</v>
      </c>
      <c r="CM33" s="260">
        <f t="shared" si="54"/>
        <v>0</v>
      </c>
      <c r="CN33" s="260">
        <f t="shared" si="55"/>
        <v>0</v>
      </c>
      <c r="CO33" s="260">
        <f t="shared" si="56"/>
        <v>0</v>
      </c>
      <c r="CP33" s="260">
        <f t="shared" si="89"/>
        <v>0</v>
      </c>
      <c r="CQ33" s="260">
        <f t="shared" si="90"/>
        <v>0</v>
      </c>
      <c r="CR33" s="260">
        <f t="shared" si="91"/>
        <v>0</v>
      </c>
      <c r="CS33" s="260">
        <f t="shared" si="92"/>
        <v>0</v>
      </c>
      <c r="CT33" s="260">
        <f t="shared" si="57"/>
        <v>0</v>
      </c>
      <c r="CU33" s="260">
        <f t="shared" si="58"/>
        <v>0</v>
      </c>
      <c r="CV33" s="260">
        <f t="shared" si="59"/>
        <v>0</v>
      </c>
      <c r="CW33" s="260">
        <f t="shared" si="60"/>
        <v>0</v>
      </c>
      <c r="CX33" s="260">
        <f t="shared" si="93"/>
        <v>0</v>
      </c>
      <c r="CY33" s="260">
        <f t="shared" si="94"/>
        <v>0</v>
      </c>
      <c r="CZ33" s="260">
        <f t="shared" si="95"/>
        <v>0</v>
      </c>
      <c r="DA33" s="260">
        <f t="shared" si="96"/>
        <v>0</v>
      </c>
    </row>
    <row r="34" spans="1:105" s="257" customFormat="1" ht="16.5" customHeight="1">
      <c r="A34" s="60" t="str">
        <f t="array" ref="A34">IF(C34&lt;&gt;0,SUM(($C$11:C34&lt;&gt;0)*1),"")</f>
        <v/>
      </c>
      <c r="B34" s="258"/>
      <c r="C34" s="258"/>
      <c r="D34" s="258"/>
      <c r="E34" s="337"/>
      <c r="F34" s="309"/>
      <c r="G34" s="311"/>
      <c r="H34" s="311"/>
      <c r="I34" s="60" t="str">
        <f t="shared" si="0"/>
        <v/>
      </c>
      <c r="J34" s="260">
        <f t="shared" si="61"/>
        <v>0</v>
      </c>
      <c r="K34" s="260">
        <f t="shared" si="62"/>
        <v>0</v>
      </c>
      <c r="L34" s="260">
        <f t="shared" si="1"/>
        <v>0</v>
      </c>
      <c r="M34" s="260">
        <f t="shared" si="2"/>
        <v>0</v>
      </c>
      <c r="N34" s="260">
        <f t="shared" si="3"/>
        <v>0</v>
      </c>
      <c r="O34" s="260">
        <f t="shared" si="4"/>
        <v>0</v>
      </c>
      <c r="P34" s="260">
        <f t="shared" si="5"/>
        <v>0</v>
      </c>
      <c r="Q34" s="260">
        <f t="shared" si="6"/>
        <v>0</v>
      </c>
      <c r="R34" s="260">
        <f t="shared" si="7"/>
        <v>0</v>
      </c>
      <c r="S34" s="260">
        <f t="shared" si="8"/>
        <v>0</v>
      </c>
      <c r="T34" s="260">
        <f t="shared" si="9"/>
        <v>0</v>
      </c>
      <c r="U34" s="260">
        <f t="shared" si="10"/>
        <v>0</v>
      </c>
      <c r="V34" s="260">
        <f t="shared" si="11"/>
        <v>0</v>
      </c>
      <c r="W34" s="260">
        <f t="shared" si="12"/>
        <v>0</v>
      </c>
      <c r="X34" s="260">
        <f t="shared" si="13"/>
        <v>0</v>
      </c>
      <c r="Y34" s="260">
        <f t="shared" si="14"/>
        <v>0</v>
      </c>
      <c r="Z34" s="260">
        <f t="shared" si="15"/>
        <v>0</v>
      </c>
      <c r="AA34" s="260">
        <f t="shared" si="16"/>
        <v>0</v>
      </c>
      <c r="AB34" s="260">
        <f t="shared" si="63"/>
        <v>0</v>
      </c>
      <c r="AC34" s="260">
        <f t="shared" si="64"/>
        <v>0</v>
      </c>
      <c r="AD34" s="260">
        <f t="shared" si="17"/>
        <v>0</v>
      </c>
      <c r="AE34" s="260">
        <f t="shared" si="18"/>
        <v>0</v>
      </c>
      <c r="AF34" s="260">
        <f t="shared" si="19"/>
        <v>0</v>
      </c>
      <c r="AG34" s="260">
        <f t="shared" si="20"/>
        <v>0</v>
      </c>
      <c r="AH34" s="260">
        <f t="shared" si="65"/>
        <v>0</v>
      </c>
      <c r="AI34" s="260">
        <f t="shared" si="66"/>
        <v>0</v>
      </c>
      <c r="AJ34" s="260">
        <f t="shared" si="67"/>
        <v>0</v>
      </c>
      <c r="AK34" s="260">
        <f t="shared" si="68"/>
        <v>0</v>
      </c>
      <c r="AL34" s="260">
        <f t="shared" si="69"/>
        <v>0</v>
      </c>
      <c r="AM34" s="260">
        <f t="shared" si="70"/>
        <v>0</v>
      </c>
      <c r="AN34" s="260">
        <f t="shared" si="71"/>
        <v>0</v>
      </c>
      <c r="AO34" s="260">
        <f t="shared" si="72"/>
        <v>0</v>
      </c>
      <c r="AP34" s="260">
        <f t="shared" si="21"/>
        <v>0</v>
      </c>
      <c r="AQ34" s="260">
        <f t="shared" si="22"/>
        <v>0</v>
      </c>
      <c r="AR34" s="260">
        <f t="shared" si="23"/>
        <v>0</v>
      </c>
      <c r="AS34" s="260">
        <f t="shared" si="24"/>
        <v>0</v>
      </c>
      <c r="AT34" s="260">
        <f t="shared" si="73"/>
        <v>0</v>
      </c>
      <c r="AU34" s="260">
        <f t="shared" si="74"/>
        <v>0</v>
      </c>
      <c r="AV34" s="260">
        <f t="shared" si="25"/>
        <v>0</v>
      </c>
      <c r="AW34" s="260">
        <f t="shared" si="26"/>
        <v>0</v>
      </c>
      <c r="AX34" s="260">
        <f t="shared" si="27"/>
        <v>0</v>
      </c>
      <c r="AY34" s="260">
        <f t="shared" si="28"/>
        <v>0</v>
      </c>
      <c r="AZ34" s="260">
        <f t="shared" si="29"/>
        <v>0</v>
      </c>
      <c r="BA34" s="260">
        <f t="shared" si="30"/>
        <v>0</v>
      </c>
      <c r="BB34" s="260">
        <f t="shared" si="31"/>
        <v>0</v>
      </c>
      <c r="BC34" s="260">
        <f t="shared" si="32"/>
        <v>0</v>
      </c>
      <c r="BD34" s="260">
        <f t="shared" si="33"/>
        <v>0</v>
      </c>
      <c r="BE34" s="260">
        <f t="shared" si="34"/>
        <v>0</v>
      </c>
      <c r="BF34" s="260">
        <f t="shared" si="35"/>
        <v>0</v>
      </c>
      <c r="BG34" s="260">
        <f t="shared" si="36"/>
        <v>0</v>
      </c>
      <c r="BH34" s="260">
        <f t="shared" si="75"/>
        <v>0</v>
      </c>
      <c r="BI34" s="260">
        <f t="shared" si="76"/>
        <v>0</v>
      </c>
      <c r="BJ34" s="260">
        <f t="shared" si="37"/>
        <v>0</v>
      </c>
      <c r="BK34" s="260">
        <f t="shared" si="38"/>
        <v>0</v>
      </c>
      <c r="BL34" s="260">
        <f t="shared" si="39"/>
        <v>0</v>
      </c>
      <c r="BM34" s="260">
        <f t="shared" si="40"/>
        <v>0</v>
      </c>
      <c r="BN34" s="260">
        <f t="shared" si="41"/>
        <v>0</v>
      </c>
      <c r="BO34" s="260">
        <f t="shared" si="42"/>
        <v>0</v>
      </c>
      <c r="BP34" s="260">
        <f t="shared" si="77"/>
        <v>0</v>
      </c>
      <c r="BQ34" s="260">
        <f t="shared" si="78"/>
        <v>0</v>
      </c>
      <c r="BR34" s="260">
        <f t="shared" si="43"/>
        <v>0</v>
      </c>
      <c r="BS34" s="260">
        <f t="shared" si="44"/>
        <v>0</v>
      </c>
      <c r="BT34" s="260">
        <f t="shared" si="79"/>
        <v>0</v>
      </c>
      <c r="BU34" s="260">
        <f t="shared" si="80"/>
        <v>0</v>
      </c>
      <c r="BV34" s="260">
        <f t="shared" si="81"/>
        <v>0</v>
      </c>
      <c r="BW34" s="260">
        <f t="shared" si="82"/>
        <v>0</v>
      </c>
      <c r="BX34" s="260">
        <f t="shared" si="45"/>
        <v>0</v>
      </c>
      <c r="BY34" s="260">
        <f t="shared" si="46"/>
        <v>0</v>
      </c>
      <c r="BZ34" s="260">
        <f t="shared" si="47"/>
        <v>0</v>
      </c>
      <c r="CA34" s="260">
        <f t="shared" si="48"/>
        <v>0</v>
      </c>
      <c r="CB34" s="260">
        <f t="shared" si="49"/>
        <v>0</v>
      </c>
      <c r="CC34" s="260">
        <f t="shared" si="50"/>
        <v>0</v>
      </c>
      <c r="CD34" s="260">
        <f t="shared" si="83"/>
        <v>0</v>
      </c>
      <c r="CE34" s="260">
        <f t="shared" si="84"/>
        <v>0</v>
      </c>
      <c r="CF34" s="260">
        <f t="shared" si="85"/>
        <v>0</v>
      </c>
      <c r="CG34" s="260">
        <f t="shared" si="86"/>
        <v>0</v>
      </c>
      <c r="CH34" s="260">
        <f t="shared" si="51"/>
        <v>0</v>
      </c>
      <c r="CI34" s="260">
        <f t="shared" si="52"/>
        <v>0</v>
      </c>
      <c r="CJ34" s="260">
        <f t="shared" si="87"/>
        <v>0</v>
      </c>
      <c r="CK34" s="260">
        <f t="shared" si="88"/>
        <v>0</v>
      </c>
      <c r="CL34" s="260">
        <f t="shared" si="53"/>
        <v>0</v>
      </c>
      <c r="CM34" s="260">
        <f t="shared" si="54"/>
        <v>0</v>
      </c>
      <c r="CN34" s="260">
        <f t="shared" si="55"/>
        <v>0</v>
      </c>
      <c r="CO34" s="260">
        <f t="shared" si="56"/>
        <v>0</v>
      </c>
      <c r="CP34" s="260">
        <f t="shared" si="89"/>
        <v>0</v>
      </c>
      <c r="CQ34" s="260">
        <f t="shared" si="90"/>
        <v>0</v>
      </c>
      <c r="CR34" s="260">
        <f t="shared" si="91"/>
        <v>0</v>
      </c>
      <c r="CS34" s="260">
        <f t="shared" si="92"/>
        <v>0</v>
      </c>
      <c r="CT34" s="260">
        <f t="shared" si="57"/>
        <v>0</v>
      </c>
      <c r="CU34" s="260">
        <f t="shared" si="58"/>
        <v>0</v>
      </c>
      <c r="CV34" s="260">
        <f t="shared" si="59"/>
        <v>0</v>
      </c>
      <c r="CW34" s="260">
        <f t="shared" si="60"/>
        <v>0</v>
      </c>
      <c r="CX34" s="260">
        <f t="shared" si="93"/>
        <v>0</v>
      </c>
      <c r="CY34" s="260">
        <f t="shared" si="94"/>
        <v>0</v>
      </c>
      <c r="CZ34" s="260">
        <f t="shared" si="95"/>
        <v>0</v>
      </c>
      <c r="DA34" s="260">
        <f t="shared" si="96"/>
        <v>0</v>
      </c>
    </row>
    <row r="35" spans="1:105" s="257" customFormat="1" ht="16.5" customHeight="1">
      <c r="A35" s="60" t="str">
        <f t="array" ref="A35">IF(C35&lt;&gt;0,SUM(($C$11:C35&lt;&gt;0)*1),"")</f>
        <v/>
      </c>
      <c r="B35" s="258"/>
      <c r="C35" s="258"/>
      <c r="D35" s="258"/>
      <c r="E35" s="337"/>
      <c r="F35" s="309"/>
      <c r="G35" s="311"/>
      <c r="H35" s="311"/>
      <c r="I35" s="60" t="str">
        <f t="shared" si="0"/>
        <v/>
      </c>
      <c r="J35" s="260">
        <f t="shared" si="61"/>
        <v>0</v>
      </c>
      <c r="K35" s="260">
        <f t="shared" si="62"/>
        <v>0</v>
      </c>
      <c r="L35" s="260">
        <f t="shared" si="1"/>
        <v>0</v>
      </c>
      <c r="M35" s="260">
        <f t="shared" si="2"/>
        <v>0</v>
      </c>
      <c r="N35" s="260">
        <f t="shared" si="3"/>
        <v>0</v>
      </c>
      <c r="O35" s="260">
        <f t="shared" si="4"/>
        <v>0</v>
      </c>
      <c r="P35" s="260">
        <f t="shared" si="5"/>
        <v>0</v>
      </c>
      <c r="Q35" s="260">
        <f t="shared" si="6"/>
        <v>0</v>
      </c>
      <c r="R35" s="260">
        <f t="shared" si="7"/>
        <v>0</v>
      </c>
      <c r="S35" s="260">
        <f t="shared" si="8"/>
        <v>0</v>
      </c>
      <c r="T35" s="260">
        <f t="shared" si="9"/>
        <v>0</v>
      </c>
      <c r="U35" s="260">
        <f t="shared" si="10"/>
        <v>0</v>
      </c>
      <c r="V35" s="260">
        <f t="shared" si="11"/>
        <v>0</v>
      </c>
      <c r="W35" s="260">
        <f t="shared" si="12"/>
        <v>0</v>
      </c>
      <c r="X35" s="260">
        <f t="shared" si="13"/>
        <v>0</v>
      </c>
      <c r="Y35" s="260">
        <f t="shared" si="14"/>
        <v>0</v>
      </c>
      <c r="Z35" s="260">
        <f t="shared" si="15"/>
        <v>0</v>
      </c>
      <c r="AA35" s="260">
        <f t="shared" si="16"/>
        <v>0</v>
      </c>
      <c r="AB35" s="260">
        <f t="shared" si="63"/>
        <v>0</v>
      </c>
      <c r="AC35" s="260">
        <f t="shared" si="64"/>
        <v>0</v>
      </c>
      <c r="AD35" s="260">
        <f t="shared" si="17"/>
        <v>0</v>
      </c>
      <c r="AE35" s="260">
        <f t="shared" si="18"/>
        <v>0</v>
      </c>
      <c r="AF35" s="260">
        <f t="shared" si="19"/>
        <v>0</v>
      </c>
      <c r="AG35" s="260">
        <f t="shared" si="20"/>
        <v>0</v>
      </c>
      <c r="AH35" s="260">
        <f t="shared" si="65"/>
        <v>0</v>
      </c>
      <c r="AI35" s="260">
        <f t="shared" si="66"/>
        <v>0</v>
      </c>
      <c r="AJ35" s="260">
        <f t="shared" si="67"/>
        <v>0</v>
      </c>
      <c r="AK35" s="260">
        <f t="shared" si="68"/>
        <v>0</v>
      </c>
      <c r="AL35" s="260">
        <f t="shared" si="69"/>
        <v>0</v>
      </c>
      <c r="AM35" s="260">
        <f t="shared" si="70"/>
        <v>0</v>
      </c>
      <c r="AN35" s="260">
        <f t="shared" si="71"/>
        <v>0</v>
      </c>
      <c r="AO35" s="260">
        <f t="shared" si="72"/>
        <v>0</v>
      </c>
      <c r="AP35" s="260">
        <f t="shared" si="21"/>
        <v>0</v>
      </c>
      <c r="AQ35" s="260">
        <f t="shared" si="22"/>
        <v>0</v>
      </c>
      <c r="AR35" s="260">
        <f t="shared" si="23"/>
        <v>0</v>
      </c>
      <c r="AS35" s="260">
        <f t="shared" si="24"/>
        <v>0</v>
      </c>
      <c r="AT35" s="260">
        <f t="shared" si="73"/>
        <v>0</v>
      </c>
      <c r="AU35" s="260">
        <f t="shared" si="74"/>
        <v>0</v>
      </c>
      <c r="AV35" s="260">
        <f t="shared" si="25"/>
        <v>0</v>
      </c>
      <c r="AW35" s="260">
        <f t="shared" si="26"/>
        <v>0</v>
      </c>
      <c r="AX35" s="260">
        <f t="shared" si="27"/>
        <v>0</v>
      </c>
      <c r="AY35" s="260">
        <f t="shared" si="28"/>
        <v>0</v>
      </c>
      <c r="AZ35" s="260">
        <f t="shared" si="29"/>
        <v>0</v>
      </c>
      <c r="BA35" s="260">
        <f t="shared" si="30"/>
        <v>0</v>
      </c>
      <c r="BB35" s="260">
        <f t="shared" si="31"/>
        <v>0</v>
      </c>
      <c r="BC35" s="260">
        <f t="shared" si="32"/>
        <v>0</v>
      </c>
      <c r="BD35" s="260">
        <f t="shared" si="33"/>
        <v>0</v>
      </c>
      <c r="BE35" s="260">
        <f t="shared" si="34"/>
        <v>0</v>
      </c>
      <c r="BF35" s="260">
        <f t="shared" si="35"/>
        <v>0</v>
      </c>
      <c r="BG35" s="260">
        <f t="shared" si="36"/>
        <v>0</v>
      </c>
      <c r="BH35" s="260">
        <f t="shared" si="75"/>
        <v>0</v>
      </c>
      <c r="BI35" s="260">
        <f t="shared" si="76"/>
        <v>0</v>
      </c>
      <c r="BJ35" s="260">
        <f t="shared" si="37"/>
        <v>0</v>
      </c>
      <c r="BK35" s="260">
        <f t="shared" si="38"/>
        <v>0</v>
      </c>
      <c r="BL35" s="260">
        <f t="shared" si="39"/>
        <v>0</v>
      </c>
      <c r="BM35" s="260">
        <f t="shared" si="40"/>
        <v>0</v>
      </c>
      <c r="BN35" s="260">
        <f t="shared" si="41"/>
        <v>0</v>
      </c>
      <c r="BO35" s="260">
        <f t="shared" si="42"/>
        <v>0</v>
      </c>
      <c r="BP35" s="260">
        <f t="shared" si="77"/>
        <v>0</v>
      </c>
      <c r="BQ35" s="260">
        <f t="shared" si="78"/>
        <v>0</v>
      </c>
      <c r="BR35" s="260">
        <f t="shared" si="43"/>
        <v>0</v>
      </c>
      <c r="BS35" s="260">
        <f t="shared" si="44"/>
        <v>0</v>
      </c>
      <c r="BT35" s="260">
        <f t="shared" si="79"/>
        <v>0</v>
      </c>
      <c r="BU35" s="260">
        <f t="shared" si="80"/>
        <v>0</v>
      </c>
      <c r="BV35" s="260">
        <f t="shared" si="81"/>
        <v>0</v>
      </c>
      <c r="BW35" s="260">
        <f t="shared" si="82"/>
        <v>0</v>
      </c>
      <c r="BX35" s="260">
        <f t="shared" si="45"/>
        <v>0</v>
      </c>
      <c r="BY35" s="260">
        <f t="shared" si="46"/>
        <v>0</v>
      </c>
      <c r="BZ35" s="260">
        <f t="shared" si="47"/>
        <v>0</v>
      </c>
      <c r="CA35" s="260">
        <f t="shared" si="48"/>
        <v>0</v>
      </c>
      <c r="CB35" s="260">
        <f t="shared" si="49"/>
        <v>0</v>
      </c>
      <c r="CC35" s="260">
        <f t="shared" si="50"/>
        <v>0</v>
      </c>
      <c r="CD35" s="260">
        <f t="shared" si="83"/>
        <v>0</v>
      </c>
      <c r="CE35" s="260">
        <f t="shared" si="84"/>
        <v>0</v>
      </c>
      <c r="CF35" s="260">
        <f t="shared" si="85"/>
        <v>0</v>
      </c>
      <c r="CG35" s="260">
        <f t="shared" si="86"/>
        <v>0</v>
      </c>
      <c r="CH35" s="260">
        <f t="shared" si="51"/>
        <v>0</v>
      </c>
      <c r="CI35" s="260">
        <f t="shared" si="52"/>
        <v>0</v>
      </c>
      <c r="CJ35" s="260">
        <f t="shared" si="87"/>
        <v>0</v>
      </c>
      <c r="CK35" s="260">
        <f t="shared" si="88"/>
        <v>0</v>
      </c>
      <c r="CL35" s="260">
        <f t="shared" si="53"/>
        <v>0</v>
      </c>
      <c r="CM35" s="260">
        <f t="shared" si="54"/>
        <v>0</v>
      </c>
      <c r="CN35" s="260">
        <f t="shared" si="55"/>
        <v>0</v>
      </c>
      <c r="CO35" s="260">
        <f t="shared" si="56"/>
        <v>0</v>
      </c>
      <c r="CP35" s="260">
        <f t="shared" si="89"/>
        <v>0</v>
      </c>
      <c r="CQ35" s="260">
        <f t="shared" si="90"/>
        <v>0</v>
      </c>
      <c r="CR35" s="260">
        <f t="shared" si="91"/>
        <v>0</v>
      </c>
      <c r="CS35" s="260">
        <f t="shared" si="92"/>
        <v>0</v>
      </c>
      <c r="CT35" s="260">
        <f t="shared" si="57"/>
        <v>0</v>
      </c>
      <c r="CU35" s="260">
        <f t="shared" si="58"/>
        <v>0</v>
      </c>
      <c r="CV35" s="260">
        <f t="shared" si="59"/>
        <v>0</v>
      </c>
      <c r="CW35" s="260">
        <f t="shared" si="60"/>
        <v>0</v>
      </c>
      <c r="CX35" s="260">
        <f t="shared" si="93"/>
        <v>0</v>
      </c>
      <c r="CY35" s="260">
        <f t="shared" si="94"/>
        <v>0</v>
      </c>
      <c r="CZ35" s="260">
        <f t="shared" si="95"/>
        <v>0</v>
      </c>
      <c r="DA35" s="260">
        <f t="shared" si="96"/>
        <v>0</v>
      </c>
    </row>
    <row r="36" spans="1:105" s="257" customFormat="1" ht="16.5" customHeight="1">
      <c r="A36" s="60" t="str">
        <f t="array" ref="A36">IF(C36&lt;&gt;0,SUM(($C$11:C36&lt;&gt;0)*1),"")</f>
        <v/>
      </c>
      <c r="B36" s="258"/>
      <c r="C36" s="258"/>
      <c r="D36" s="258"/>
      <c r="E36" s="337"/>
      <c r="F36" s="309"/>
      <c r="G36" s="311"/>
      <c r="H36" s="311"/>
      <c r="I36" s="60" t="str">
        <f t="shared" si="0"/>
        <v/>
      </c>
      <c r="J36" s="260">
        <f t="shared" si="61"/>
        <v>0</v>
      </c>
      <c r="K36" s="260">
        <f t="shared" si="62"/>
        <v>0</v>
      </c>
      <c r="L36" s="260">
        <f t="shared" si="1"/>
        <v>0</v>
      </c>
      <c r="M36" s="260">
        <f t="shared" si="2"/>
        <v>0</v>
      </c>
      <c r="N36" s="260">
        <f t="shared" si="3"/>
        <v>0</v>
      </c>
      <c r="O36" s="260">
        <f t="shared" si="4"/>
        <v>0</v>
      </c>
      <c r="P36" s="260">
        <f t="shared" si="5"/>
        <v>0</v>
      </c>
      <c r="Q36" s="260">
        <f t="shared" si="6"/>
        <v>0</v>
      </c>
      <c r="R36" s="260">
        <f t="shared" si="7"/>
        <v>0</v>
      </c>
      <c r="S36" s="260">
        <f t="shared" si="8"/>
        <v>0</v>
      </c>
      <c r="T36" s="260">
        <f t="shared" si="9"/>
        <v>0</v>
      </c>
      <c r="U36" s="260">
        <f t="shared" si="10"/>
        <v>0</v>
      </c>
      <c r="V36" s="260">
        <f t="shared" si="11"/>
        <v>0</v>
      </c>
      <c r="W36" s="260">
        <f t="shared" si="12"/>
        <v>0</v>
      </c>
      <c r="X36" s="260">
        <f t="shared" si="13"/>
        <v>0</v>
      </c>
      <c r="Y36" s="260">
        <f t="shared" si="14"/>
        <v>0</v>
      </c>
      <c r="Z36" s="260">
        <f t="shared" si="15"/>
        <v>0</v>
      </c>
      <c r="AA36" s="260">
        <f t="shared" si="16"/>
        <v>0</v>
      </c>
      <c r="AB36" s="260">
        <f t="shared" si="63"/>
        <v>0</v>
      </c>
      <c r="AC36" s="260">
        <f t="shared" si="64"/>
        <v>0</v>
      </c>
      <c r="AD36" s="260">
        <f t="shared" si="17"/>
        <v>0</v>
      </c>
      <c r="AE36" s="260">
        <f t="shared" si="18"/>
        <v>0</v>
      </c>
      <c r="AF36" s="260">
        <f t="shared" si="19"/>
        <v>0</v>
      </c>
      <c r="AG36" s="260">
        <f t="shared" si="20"/>
        <v>0</v>
      </c>
      <c r="AH36" s="260">
        <f t="shared" si="65"/>
        <v>0</v>
      </c>
      <c r="AI36" s="260">
        <f t="shared" si="66"/>
        <v>0</v>
      </c>
      <c r="AJ36" s="260">
        <f t="shared" si="67"/>
        <v>0</v>
      </c>
      <c r="AK36" s="260">
        <f t="shared" si="68"/>
        <v>0</v>
      </c>
      <c r="AL36" s="260">
        <f t="shared" si="69"/>
        <v>0</v>
      </c>
      <c r="AM36" s="260">
        <f t="shared" si="70"/>
        <v>0</v>
      </c>
      <c r="AN36" s="260">
        <f t="shared" si="71"/>
        <v>0</v>
      </c>
      <c r="AO36" s="260">
        <f t="shared" si="72"/>
        <v>0</v>
      </c>
      <c r="AP36" s="260">
        <f t="shared" si="21"/>
        <v>0</v>
      </c>
      <c r="AQ36" s="260">
        <f t="shared" si="22"/>
        <v>0</v>
      </c>
      <c r="AR36" s="260">
        <f t="shared" si="23"/>
        <v>0</v>
      </c>
      <c r="AS36" s="260">
        <f t="shared" si="24"/>
        <v>0</v>
      </c>
      <c r="AT36" s="260">
        <f t="shared" si="73"/>
        <v>0</v>
      </c>
      <c r="AU36" s="260">
        <f t="shared" si="74"/>
        <v>0</v>
      </c>
      <c r="AV36" s="260">
        <f t="shared" si="25"/>
        <v>0</v>
      </c>
      <c r="AW36" s="260">
        <f t="shared" si="26"/>
        <v>0</v>
      </c>
      <c r="AX36" s="260">
        <f t="shared" si="27"/>
        <v>0</v>
      </c>
      <c r="AY36" s="260">
        <f t="shared" si="28"/>
        <v>0</v>
      </c>
      <c r="AZ36" s="260">
        <f t="shared" si="29"/>
        <v>0</v>
      </c>
      <c r="BA36" s="260">
        <f t="shared" si="30"/>
        <v>0</v>
      </c>
      <c r="BB36" s="260">
        <f t="shared" si="31"/>
        <v>0</v>
      </c>
      <c r="BC36" s="260">
        <f t="shared" si="32"/>
        <v>0</v>
      </c>
      <c r="BD36" s="260">
        <f t="shared" si="33"/>
        <v>0</v>
      </c>
      <c r="BE36" s="260">
        <f t="shared" si="34"/>
        <v>0</v>
      </c>
      <c r="BF36" s="260">
        <f t="shared" si="35"/>
        <v>0</v>
      </c>
      <c r="BG36" s="260">
        <f t="shared" si="36"/>
        <v>0</v>
      </c>
      <c r="BH36" s="260">
        <f t="shared" si="75"/>
        <v>0</v>
      </c>
      <c r="BI36" s="260">
        <f t="shared" si="76"/>
        <v>0</v>
      </c>
      <c r="BJ36" s="260">
        <f t="shared" si="37"/>
        <v>0</v>
      </c>
      <c r="BK36" s="260">
        <f t="shared" si="38"/>
        <v>0</v>
      </c>
      <c r="BL36" s="260">
        <f t="shared" si="39"/>
        <v>0</v>
      </c>
      <c r="BM36" s="260">
        <f t="shared" si="40"/>
        <v>0</v>
      </c>
      <c r="BN36" s="260">
        <f t="shared" si="41"/>
        <v>0</v>
      </c>
      <c r="BO36" s="260">
        <f t="shared" si="42"/>
        <v>0</v>
      </c>
      <c r="BP36" s="260">
        <f t="shared" si="77"/>
        <v>0</v>
      </c>
      <c r="BQ36" s="260">
        <f t="shared" si="78"/>
        <v>0</v>
      </c>
      <c r="BR36" s="260">
        <f t="shared" si="43"/>
        <v>0</v>
      </c>
      <c r="BS36" s="260">
        <f t="shared" si="44"/>
        <v>0</v>
      </c>
      <c r="BT36" s="260">
        <f t="shared" si="79"/>
        <v>0</v>
      </c>
      <c r="BU36" s="260">
        <f t="shared" si="80"/>
        <v>0</v>
      </c>
      <c r="BV36" s="260">
        <f t="shared" si="81"/>
        <v>0</v>
      </c>
      <c r="BW36" s="260">
        <f t="shared" si="82"/>
        <v>0</v>
      </c>
      <c r="BX36" s="260">
        <f t="shared" si="45"/>
        <v>0</v>
      </c>
      <c r="BY36" s="260">
        <f t="shared" si="46"/>
        <v>0</v>
      </c>
      <c r="BZ36" s="260">
        <f t="shared" si="47"/>
        <v>0</v>
      </c>
      <c r="CA36" s="260">
        <f t="shared" si="48"/>
        <v>0</v>
      </c>
      <c r="CB36" s="260">
        <f t="shared" si="49"/>
        <v>0</v>
      </c>
      <c r="CC36" s="260">
        <f t="shared" si="50"/>
        <v>0</v>
      </c>
      <c r="CD36" s="260">
        <f t="shared" si="83"/>
        <v>0</v>
      </c>
      <c r="CE36" s="260">
        <f t="shared" si="84"/>
        <v>0</v>
      </c>
      <c r="CF36" s="260">
        <f t="shared" si="85"/>
        <v>0</v>
      </c>
      <c r="CG36" s="260">
        <f t="shared" si="86"/>
        <v>0</v>
      </c>
      <c r="CH36" s="260">
        <f t="shared" si="51"/>
        <v>0</v>
      </c>
      <c r="CI36" s="260">
        <f t="shared" si="52"/>
        <v>0</v>
      </c>
      <c r="CJ36" s="260">
        <f t="shared" si="87"/>
        <v>0</v>
      </c>
      <c r="CK36" s="260">
        <f t="shared" si="88"/>
        <v>0</v>
      </c>
      <c r="CL36" s="260">
        <f t="shared" si="53"/>
        <v>0</v>
      </c>
      <c r="CM36" s="260">
        <f t="shared" si="54"/>
        <v>0</v>
      </c>
      <c r="CN36" s="260">
        <f t="shared" si="55"/>
        <v>0</v>
      </c>
      <c r="CO36" s="260">
        <f t="shared" si="56"/>
        <v>0</v>
      </c>
      <c r="CP36" s="260">
        <f t="shared" si="89"/>
        <v>0</v>
      </c>
      <c r="CQ36" s="260">
        <f t="shared" si="90"/>
        <v>0</v>
      </c>
      <c r="CR36" s="260">
        <f t="shared" si="91"/>
        <v>0</v>
      </c>
      <c r="CS36" s="260">
        <f t="shared" si="92"/>
        <v>0</v>
      </c>
      <c r="CT36" s="260">
        <f t="shared" si="57"/>
        <v>0</v>
      </c>
      <c r="CU36" s="260">
        <f t="shared" si="58"/>
        <v>0</v>
      </c>
      <c r="CV36" s="260">
        <f t="shared" si="59"/>
        <v>0</v>
      </c>
      <c r="CW36" s="260">
        <f t="shared" si="60"/>
        <v>0</v>
      </c>
      <c r="CX36" s="260">
        <f t="shared" si="93"/>
        <v>0</v>
      </c>
      <c r="CY36" s="260">
        <f t="shared" si="94"/>
        <v>0</v>
      </c>
      <c r="CZ36" s="260">
        <f t="shared" si="95"/>
        <v>0</v>
      </c>
      <c r="DA36" s="260">
        <f t="shared" si="96"/>
        <v>0</v>
      </c>
    </row>
    <row r="37" spans="1:105" s="257" customFormat="1" ht="16.5" customHeight="1">
      <c r="A37" s="60" t="str">
        <f t="array" ref="A37">IF(C37&lt;&gt;0,SUM(($C$11:C37&lt;&gt;0)*1),"")</f>
        <v/>
      </c>
      <c r="B37" s="258"/>
      <c r="C37" s="258"/>
      <c r="D37" s="258"/>
      <c r="E37" s="337"/>
      <c r="F37" s="309"/>
      <c r="G37" s="311"/>
      <c r="H37" s="311"/>
      <c r="I37" s="60" t="str">
        <f t="shared" si="0"/>
        <v/>
      </c>
      <c r="J37" s="260">
        <f t="shared" si="61"/>
        <v>0</v>
      </c>
      <c r="K37" s="260">
        <f t="shared" si="62"/>
        <v>0</v>
      </c>
      <c r="L37" s="260">
        <f t="shared" si="1"/>
        <v>0</v>
      </c>
      <c r="M37" s="260">
        <f t="shared" si="2"/>
        <v>0</v>
      </c>
      <c r="N37" s="260">
        <f t="shared" si="3"/>
        <v>0</v>
      </c>
      <c r="O37" s="260">
        <f t="shared" si="4"/>
        <v>0</v>
      </c>
      <c r="P37" s="260">
        <f t="shared" si="5"/>
        <v>0</v>
      </c>
      <c r="Q37" s="260">
        <f t="shared" si="6"/>
        <v>0</v>
      </c>
      <c r="R37" s="260">
        <f t="shared" si="7"/>
        <v>0</v>
      </c>
      <c r="S37" s="260">
        <f t="shared" si="8"/>
        <v>0</v>
      </c>
      <c r="T37" s="260">
        <f t="shared" si="9"/>
        <v>0</v>
      </c>
      <c r="U37" s="260">
        <f t="shared" si="10"/>
        <v>0</v>
      </c>
      <c r="V37" s="260">
        <f t="shared" si="11"/>
        <v>0</v>
      </c>
      <c r="W37" s="260">
        <f t="shared" si="12"/>
        <v>0</v>
      </c>
      <c r="X37" s="260">
        <f t="shared" si="13"/>
        <v>0</v>
      </c>
      <c r="Y37" s="260">
        <f t="shared" si="14"/>
        <v>0</v>
      </c>
      <c r="Z37" s="260">
        <f t="shared" si="15"/>
        <v>0</v>
      </c>
      <c r="AA37" s="260">
        <f t="shared" si="16"/>
        <v>0</v>
      </c>
      <c r="AB37" s="260">
        <f t="shared" si="63"/>
        <v>0</v>
      </c>
      <c r="AC37" s="260">
        <f t="shared" si="64"/>
        <v>0</v>
      </c>
      <c r="AD37" s="260">
        <f t="shared" si="17"/>
        <v>0</v>
      </c>
      <c r="AE37" s="260">
        <f t="shared" si="18"/>
        <v>0</v>
      </c>
      <c r="AF37" s="260">
        <f t="shared" si="19"/>
        <v>0</v>
      </c>
      <c r="AG37" s="260">
        <f t="shared" si="20"/>
        <v>0</v>
      </c>
      <c r="AH37" s="260">
        <f t="shared" si="65"/>
        <v>0</v>
      </c>
      <c r="AI37" s="260">
        <f t="shared" si="66"/>
        <v>0</v>
      </c>
      <c r="AJ37" s="260">
        <f t="shared" si="67"/>
        <v>0</v>
      </c>
      <c r="AK37" s="260">
        <f t="shared" si="68"/>
        <v>0</v>
      </c>
      <c r="AL37" s="260">
        <f t="shared" si="69"/>
        <v>0</v>
      </c>
      <c r="AM37" s="260">
        <f t="shared" si="70"/>
        <v>0</v>
      </c>
      <c r="AN37" s="260">
        <f t="shared" si="71"/>
        <v>0</v>
      </c>
      <c r="AO37" s="260">
        <f t="shared" si="72"/>
        <v>0</v>
      </c>
      <c r="AP37" s="260">
        <f t="shared" si="21"/>
        <v>0</v>
      </c>
      <c r="AQ37" s="260">
        <f t="shared" si="22"/>
        <v>0</v>
      </c>
      <c r="AR37" s="260">
        <f t="shared" si="23"/>
        <v>0</v>
      </c>
      <c r="AS37" s="260">
        <f t="shared" si="24"/>
        <v>0</v>
      </c>
      <c r="AT37" s="260">
        <f t="shared" si="73"/>
        <v>0</v>
      </c>
      <c r="AU37" s="260">
        <f t="shared" si="74"/>
        <v>0</v>
      </c>
      <c r="AV37" s="260">
        <f t="shared" si="25"/>
        <v>0</v>
      </c>
      <c r="AW37" s="260">
        <f t="shared" si="26"/>
        <v>0</v>
      </c>
      <c r="AX37" s="260">
        <f t="shared" si="27"/>
        <v>0</v>
      </c>
      <c r="AY37" s="260">
        <f t="shared" si="28"/>
        <v>0</v>
      </c>
      <c r="AZ37" s="260">
        <f t="shared" si="29"/>
        <v>0</v>
      </c>
      <c r="BA37" s="260">
        <f t="shared" si="30"/>
        <v>0</v>
      </c>
      <c r="BB37" s="260">
        <f t="shared" si="31"/>
        <v>0</v>
      </c>
      <c r="BC37" s="260">
        <f t="shared" si="32"/>
        <v>0</v>
      </c>
      <c r="BD37" s="260">
        <f t="shared" si="33"/>
        <v>0</v>
      </c>
      <c r="BE37" s="260">
        <f t="shared" si="34"/>
        <v>0</v>
      </c>
      <c r="BF37" s="260">
        <f t="shared" si="35"/>
        <v>0</v>
      </c>
      <c r="BG37" s="260">
        <f t="shared" si="36"/>
        <v>0</v>
      </c>
      <c r="BH37" s="260">
        <f t="shared" si="75"/>
        <v>0</v>
      </c>
      <c r="BI37" s="260">
        <f t="shared" si="76"/>
        <v>0</v>
      </c>
      <c r="BJ37" s="260">
        <f t="shared" si="37"/>
        <v>0</v>
      </c>
      <c r="BK37" s="260">
        <f t="shared" si="38"/>
        <v>0</v>
      </c>
      <c r="BL37" s="260">
        <f t="shared" si="39"/>
        <v>0</v>
      </c>
      <c r="BM37" s="260">
        <f t="shared" si="40"/>
        <v>0</v>
      </c>
      <c r="BN37" s="260">
        <f t="shared" si="41"/>
        <v>0</v>
      </c>
      <c r="BO37" s="260">
        <f t="shared" si="42"/>
        <v>0</v>
      </c>
      <c r="BP37" s="260">
        <f t="shared" si="77"/>
        <v>0</v>
      </c>
      <c r="BQ37" s="260">
        <f t="shared" si="78"/>
        <v>0</v>
      </c>
      <c r="BR37" s="260">
        <f t="shared" si="43"/>
        <v>0</v>
      </c>
      <c r="BS37" s="260">
        <f t="shared" si="44"/>
        <v>0</v>
      </c>
      <c r="BT37" s="260">
        <f t="shared" si="79"/>
        <v>0</v>
      </c>
      <c r="BU37" s="260">
        <f t="shared" si="80"/>
        <v>0</v>
      </c>
      <c r="BV37" s="260">
        <f t="shared" si="81"/>
        <v>0</v>
      </c>
      <c r="BW37" s="260">
        <f t="shared" si="82"/>
        <v>0</v>
      </c>
      <c r="BX37" s="260">
        <f t="shared" si="45"/>
        <v>0</v>
      </c>
      <c r="BY37" s="260">
        <f t="shared" si="46"/>
        <v>0</v>
      </c>
      <c r="BZ37" s="260">
        <f t="shared" si="47"/>
        <v>0</v>
      </c>
      <c r="CA37" s="260">
        <f t="shared" si="48"/>
        <v>0</v>
      </c>
      <c r="CB37" s="260">
        <f t="shared" si="49"/>
        <v>0</v>
      </c>
      <c r="CC37" s="260">
        <f t="shared" si="50"/>
        <v>0</v>
      </c>
      <c r="CD37" s="260">
        <f t="shared" si="83"/>
        <v>0</v>
      </c>
      <c r="CE37" s="260">
        <f t="shared" si="84"/>
        <v>0</v>
      </c>
      <c r="CF37" s="260">
        <f t="shared" si="85"/>
        <v>0</v>
      </c>
      <c r="CG37" s="260">
        <f t="shared" si="86"/>
        <v>0</v>
      </c>
      <c r="CH37" s="260">
        <f t="shared" si="51"/>
        <v>0</v>
      </c>
      <c r="CI37" s="260">
        <f t="shared" si="52"/>
        <v>0</v>
      </c>
      <c r="CJ37" s="260">
        <f t="shared" si="87"/>
        <v>0</v>
      </c>
      <c r="CK37" s="260">
        <f t="shared" si="88"/>
        <v>0</v>
      </c>
      <c r="CL37" s="260">
        <f t="shared" si="53"/>
        <v>0</v>
      </c>
      <c r="CM37" s="260">
        <f t="shared" si="54"/>
        <v>0</v>
      </c>
      <c r="CN37" s="260">
        <f t="shared" si="55"/>
        <v>0</v>
      </c>
      <c r="CO37" s="260">
        <f t="shared" si="56"/>
        <v>0</v>
      </c>
      <c r="CP37" s="260">
        <f t="shared" si="89"/>
        <v>0</v>
      </c>
      <c r="CQ37" s="260">
        <f t="shared" si="90"/>
        <v>0</v>
      </c>
      <c r="CR37" s="260">
        <f t="shared" si="91"/>
        <v>0</v>
      </c>
      <c r="CS37" s="260">
        <f t="shared" si="92"/>
        <v>0</v>
      </c>
      <c r="CT37" s="260">
        <f t="shared" si="57"/>
        <v>0</v>
      </c>
      <c r="CU37" s="260">
        <f t="shared" si="58"/>
        <v>0</v>
      </c>
      <c r="CV37" s="260">
        <f t="shared" si="59"/>
        <v>0</v>
      </c>
      <c r="CW37" s="260">
        <f t="shared" si="60"/>
        <v>0</v>
      </c>
      <c r="CX37" s="260">
        <f t="shared" si="93"/>
        <v>0</v>
      </c>
      <c r="CY37" s="260">
        <f t="shared" si="94"/>
        <v>0</v>
      </c>
      <c r="CZ37" s="260">
        <f t="shared" si="95"/>
        <v>0</v>
      </c>
      <c r="DA37" s="260">
        <f t="shared" si="96"/>
        <v>0</v>
      </c>
    </row>
    <row r="38" spans="1:105" s="257" customFormat="1" ht="16.5" customHeight="1">
      <c r="A38" s="60" t="str">
        <f t="array" ref="A38">IF(C38&lt;&gt;0,SUM(($C$11:C38&lt;&gt;0)*1),"")</f>
        <v/>
      </c>
      <c r="B38" s="258"/>
      <c r="C38" s="258"/>
      <c r="D38" s="258"/>
      <c r="E38" s="337"/>
      <c r="F38" s="309"/>
      <c r="G38" s="311"/>
      <c r="H38" s="311"/>
      <c r="I38" s="60" t="str">
        <f t="shared" si="0"/>
        <v/>
      </c>
      <c r="J38" s="260">
        <f t="shared" si="61"/>
        <v>0</v>
      </c>
      <c r="K38" s="260">
        <f t="shared" si="62"/>
        <v>0</v>
      </c>
      <c r="L38" s="260">
        <f t="shared" si="1"/>
        <v>0</v>
      </c>
      <c r="M38" s="260">
        <f t="shared" si="2"/>
        <v>0</v>
      </c>
      <c r="N38" s="260">
        <f t="shared" si="3"/>
        <v>0</v>
      </c>
      <c r="O38" s="260">
        <f t="shared" si="4"/>
        <v>0</v>
      </c>
      <c r="P38" s="260">
        <f t="shared" si="5"/>
        <v>0</v>
      </c>
      <c r="Q38" s="260">
        <f t="shared" si="6"/>
        <v>0</v>
      </c>
      <c r="R38" s="260">
        <f t="shared" si="7"/>
        <v>0</v>
      </c>
      <c r="S38" s="260">
        <f t="shared" si="8"/>
        <v>0</v>
      </c>
      <c r="T38" s="260">
        <f t="shared" si="9"/>
        <v>0</v>
      </c>
      <c r="U38" s="260">
        <f t="shared" si="10"/>
        <v>0</v>
      </c>
      <c r="V38" s="260">
        <f t="shared" si="11"/>
        <v>0</v>
      </c>
      <c r="W38" s="260">
        <f t="shared" si="12"/>
        <v>0</v>
      </c>
      <c r="X38" s="260">
        <f t="shared" si="13"/>
        <v>0</v>
      </c>
      <c r="Y38" s="260">
        <f t="shared" si="14"/>
        <v>0</v>
      </c>
      <c r="Z38" s="260">
        <f t="shared" si="15"/>
        <v>0</v>
      </c>
      <c r="AA38" s="260">
        <f t="shared" si="16"/>
        <v>0</v>
      </c>
      <c r="AB38" s="260">
        <f t="shared" si="63"/>
        <v>0</v>
      </c>
      <c r="AC38" s="260">
        <f t="shared" si="64"/>
        <v>0</v>
      </c>
      <c r="AD38" s="260">
        <f t="shared" si="17"/>
        <v>0</v>
      </c>
      <c r="AE38" s="260">
        <f t="shared" si="18"/>
        <v>0</v>
      </c>
      <c r="AF38" s="260">
        <f t="shared" si="19"/>
        <v>0</v>
      </c>
      <c r="AG38" s="260">
        <f t="shared" si="20"/>
        <v>0</v>
      </c>
      <c r="AH38" s="260">
        <f t="shared" si="65"/>
        <v>0</v>
      </c>
      <c r="AI38" s="260">
        <f t="shared" si="66"/>
        <v>0</v>
      </c>
      <c r="AJ38" s="260">
        <f t="shared" si="67"/>
        <v>0</v>
      </c>
      <c r="AK38" s="260">
        <f t="shared" si="68"/>
        <v>0</v>
      </c>
      <c r="AL38" s="260">
        <f t="shared" si="69"/>
        <v>0</v>
      </c>
      <c r="AM38" s="260">
        <f t="shared" si="70"/>
        <v>0</v>
      </c>
      <c r="AN38" s="260">
        <f t="shared" si="71"/>
        <v>0</v>
      </c>
      <c r="AO38" s="260">
        <f t="shared" si="72"/>
        <v>0</v>
      </c>
      <c r="AP38" s="260">
        <f t="shared" si="21"/>
        <v>0</v>
      </c>
      <c r="AQ38" s="260">
        <f t="shared" si="22"/>
        <v>0</v>
      </c>
      <c r="AR38" s="260">
        <f t="shared" si="23"/>
        <v>0</v>
      </c>
      <c r="AS38" s="260">
        <f t="shared" si="24"/>
        <v>0</v>
      </c>
      <c r="AT38" s="260">
        <f t="shared" si="73"/>
        <v>0</v>
      </c>
      <c r="AU38" s="260">
        <f t="shared" si="74"/>
        <v>0</v>
      </c>
      <c r="AV38" s="260">
        <f t="shared" si="25"/>
        <v>0</v>
      </c>
      <c r="AW38" s="260">
        <f t="shared" si="26"/>
        <v>0</v>
      </c>
      <c r="AX38" s="260">
        <f t="shared" si="27"/>
        <v>0</v>
      </c>
      <c r="AY38" s="260">
        <f t="shared" si="28"/>
        <v>0</v>
      </c>
      <c r="AZ38" s="260">
        <f t="shared" si="29"/>
        <v>0</v>
      </c>
      <c r="BA38" s="260">
        <f t="shared" si="30"/>
        <v>0</v>
      </c>
      <c r="BB38" s="260">
        <f t="shared" si="31"/>
        <v>0</v>
      </c>
      <c r="BC38" s="260">
        <f t="shared" si="32"/>
        <v>0</v>
      </c>
      <c r="BD38" s="260">
        <f t="shared" si="33"/>
        <v>0</v>
      </c>
      <c r="BE38" s="260">
        <f t="shared" si="34"/>
        <v>0</v>
      </c>
      <c r="BF38" s="260">
        <f t="shared" si="35"/>
        <v>0</v>
      </c>
      <c r="BG38" s="260">
        <f t="shared" si="36"/>
        <v>0</v>
      </c>
      <c r="BH38" s="260">
        <f t="shared" si="75"/>
        <v>0</v>
      </c>
      <c r="BI38" s="260">
        <f t="shared" si="76"/>
        <v>0</v>
      </c>
      <c r="BJ38" s="260">
        <f t="shared" si="37"/>
        <v>0</v>
      </c>
      <c r="BK38" s="260">
        <f t="shared" si="38"/>
        <v>0</v>
      </c>
      <c r="BL38" s="260">
        <f t="shared" si="39"/>
        <v>0</v>
      </c>
      <c r="BM38" s="260">
        <f t="shared" si="40"/>
        <v>0</v>
      </c>
      <c r="BN38" s="260">
        <f t="shared" si="41"/>
        <v>0</v>
      </c>
      <c r="BO38" s="260">
        <f t="shared" si="42"/>
        <v>0</v>
      </c>
      <c r="BP38" s="260">
        <f t="shared" si="77"/>
        <v>0</v>
      </c>
      <c r="BQ38" s="260">
        <f t="shared" si="78"/>
        <v>0</v>
      </c>
      <c r="BR38" s="260">
        <f t="shared" si="43"/>
        <v>0</v>
      </c>
      <c r="BS38" s="260">
        <f t="shared" si="44"/>
        <v>0</v>
      </c>
      <c r="BT38" s="260">
        <f t="shared" si="79"/>
        <v>0</v>
      </c>
      <c r="BU38" s="260">
        <f t="shared" si="80"/>
        <v>0</v>
      </c>
      <c r="BV38" s="260">
        <f t="shared" si="81"/>
        <v>0</v>
      </c>
      <c r="BW38" s="260">
        <f t="shared" si="82"/>
        <v>0</v>
      </c>
      <c r="BX38" s="260">
        <f t="shared" si="45"/>
        <v>0</v>
      </c>
      <c r="BY38" s="260">
        <f t="shared" si="46"/>
        <v>0</v>
      </c>
      <c r="BZ38" s="260">
        <f t="shared" si="47"/>
        <v>0</v>
      </c>
      <c r="CA38" s="260">
        <f t="shared" si="48"/>
        <v>0</v>
      </c>
      <c r="CB38" s="260">
        <f t="shared" si="49"/>
        <v>0</v>
      </c>
      <c r="CC38" s="260">
        <f t="shared" si="50"/>
        <v>0</v>
      </c>
      <c r="CD38" s="260">
        <f t="shared" si="83"/>
        <v>0</v>
      </c>
      <c r="CE38" s="260">
        <f t="shared" si="84"/>
        <v>0</v>
      </c>
      <c r="CF38" s="260">
        <f t="shared" si="85"/>
        <v>0</v>
      </c>
      <c r="CG38" s="260">
        <f t="shared" si="86"/>
        <v>0</v>
      </c>
      <c r="CH38" s="260">
        <f t="shared" si="51"/>
        <v>0</v>
      </c>
      <c r="CI38" s="260">
        <f t="shared" si="52"/>
        <v>0</v>
      </c>
      <c r="CJ38" s="260">
        <f t="shared" si="87"/>
        <v>0</v>
      </c>
      <c r="CK38" s="260">
        <f t="shared" si="88"/>
        <v>0</v>
      </c>
      <c r="CL38" s="260">
        <f t="shared" si="53"/>
        <v>0</v>
      </c>
      <c r="CM38" s="260">
        <f t="shared" si="54"/>
        <v>0</v>
      </c>
      <c r="CN38" s="260">
        <f t="shared" si="55"/>
        <v>0</v>
      </c>
      <c r="CO38" s="260">
        <f t="shared" si="56"/>
        <v>0</v>
      </c>
      <c r="CP38" s="260">
        <f t="shared" si="89"/>
        <v>0</v>
      </c>
      <c r="CQ38" s="260">
        <f t="shared" si="90"/>
        <v>0</v>
      </c>
      <c r="CR38" s="260">
        <f t="shared" si="91"/>
        <v>0</v>
      </c>
      <c r="CS38" s="260">
        <f t="shared" si="92"/>
        <v>0</v>
      </c>
      <c r="CT38" s="260">
        <f t="shared" si="57"/>
        <v>0</v>
      </c>
      <c r="CU38" s="260">
        <f t="shared" si="58"/>
        <v>0</v>
      </c>
      <c r="CV38" s="260">
        <f t="shared" si="59"/>
        <v>0</v>
      </c>
      <c r="CW38" s="260">
        <f t="shared" si="60"/>
        <v>0</v>
      </c>
      <c r="CX38" s="260">
        <f t="shared" si="93"/>
        <v>0</v>
      </c>
      <c r="CY38" s="260">
        <f t="shared" si="94"/>
        <v>0</v>
      </c>
      <c r="CZ38" s="260">
        <f t="shared" si="95"/>
        <v>0</v>
      </c>
      <c r="DA38" s="260">
        <f t="shared" si="96"/>
        <v>0</v>
      </c>
    </row>
    <row r="39" spans="1:105" s="257" customFormat="1" ht="16.5" customHeight="1">
      <c r="A39" s="60" t="str">
        <f t="array" ref="A39">IF(C39&lt;&gt;0,SUM(($C$11:C39&lt;&gt;0)*1),"")</f>
        <v/>
      </c>
      <c r="B39" s="258"/>
      <c r="C39" s="258"/>
      <c r="D39" s="258"/>
      <c r="E39" s="337"/>
      <c r="F39" s="309"/>
      <c r="G39" s="311"/>
      <c r="H39" s="311"/>
      <c r="I39" s="60" t="str">
        <f t="shared" si="0"/>
        <v/>
      </c>
      <c r="J39" s="260">
        <f t="shared" si="61"/>
        <v>0</v>
      </c>
      <c r="K39" s="260">
        <f t="shared" si="62"/>
        <v>0</v>
      </c>
      <c r="L39" s="260">
        <f t="shared" si="1"/>
        <v>0</v>
      </c>
      <c r="M39" s="260">
        <f t="shared" si="2"/>
        <v>0</v>
      </c>
      <c r="N39" s="260">
        <f t="shared" si="3"/>
        <v>0</v>
      </c>
      <c r="O39" s="260">
        <f t="shared" si="4"/>
        <v>0</v>
      </c>
      <c r="P39" s="260">
        <f t="shared" si="5"/>
        <v>0</v>
      </c>
      <c r="Q39" s="260">
        <f t="shared" si="6"/>
        <v>0</v>
      </c>
      <c r="R39" s="260">
        <f t="shared" si="7"/>
        <v>0</v>
      </c>
      <c r="S39" s="260">
        <f t="shared" si="8"/>
        <v>0</v>
      </c>
      <c r="T39" s="260">
        <f t="shared" si="9"/>
        <v>0</v>
      </c>
      <c r="U39" s="260">
        <f t="shared" si="10"/>
        <v>0</v>
      </c>
      <c r="V39" s="260">
        <f t="shared" si="11"/>
        <v>0</v>
      </c>
      <c r="W39" s="260">
        <f t="shared" si="12"/>
        <v>0</v>
      </c>
      <c r="X39" s="260">
        <f t="shared" si="13"/>
        <v>0</v>
      </c>
      <c r="Y39" s="260">
        <f t="shared" si="14"/>
        <v>0</v>
      </c>
      <c r="Z39" s="260">
        <f t="shared" si="15"/>
        <v>0</v>
      </c>
      <c r="AA39" s="260">
        <f t="shared" si="16"/>
        <v>0</v>
      </c>
      <c r="AB39" s="260">
        <f t="shared" si="63"/>
        <v>0</v>
      </c>
      <c r="AC39" s="260">
        <f t="shared" si="64"/>
        <v>0</v>
      </c>
      <c r="AD39" s="260">
        <f t="shared" si="17"/>
        <v>0</v>
      </c>
      <c r="AE39" s="260">
        <f t="shared" si="18"/>
        <v>0</v>
      </c>
      <c r="AF39" s="260">
        <f t="shared" si="19"/>
        <v>0</v>
      </c>
      <c r="AG39" s="260">
        <f t="shared" si="20"/>
        <v>0</v>
      </c>
      <c r="AH39" s="260">
        <f t="shared" si="65"/>
        <v>0</v>
      </c>
      <c r="AI39" s="260">
        <f t="shared" si="66"/>
        <v>0</v>
      </c>
      <c r="AJ39" s="260">
        <f t="shared" si="67"/>
        <v>0</v>
      </c>
      <c r="AK39" s="260">
        <f t="shared" si="68"/>
        <v>0</v>
      </c>
      <c r="AL39" s="260">
        <f t="shared" si="69"/>
        <v>0</v>
      </c>
      <c r="AM39" s="260">
        <f t="shared" si="70"/>
        <v>0</v>
      </c>
      <c r="AN39" s="260">
        <f t="shared" si="71"/>
        <v>0</v>
      </c>
      <c r="AO39" s="260">
        <f t="shared" si="72"/>
        <v>0</v>
      </c>
      <c r="AP39" s="260">
        <f t="shared" si="21"/>
        <v>0</v>
      </c>
      <c r="AQ39" s="260">
        <f t="shared" si="22"/>
        <v>0</v>
      </c>
      <c r="AR39" s="260">
        <f t="shared" si="23"/>
        <v>0</v>
      </c>
      <c r="AS39" s="260">
        <f t="shared" si="24"/>
        <v>0</v>
      </c>
      <c r="AT39" s="260">
        <f t="shared" si="73"/>
        <v>0</v>
      </c>
      <c r="AU39" s="260">
        <f t="shared" si="74"/>
        <v>0</v>
      </c>
      <c r="AV39" s="260">
        <f t="shared" si="25"/>
        <v>0</v>
      </c>
      <c r="AW39" s="260">
        <f t="shared" si="26"/>
        <v>0</v>
      </c>
      <c r="AX39" s="260">
        <f t="shared" si="27"/>
        <v>0</v>
      </c>
      <c r="AY39" s="260">
        <f t="shared" si="28"/>
        <v>0</v>
      </c>
      <c r="AZ39" s="260">
        <f t="shared" si="29"/>
        <v>0</v>
      </c>
      <c r="BA39" s="260">
        <f t="shared" si="30"/>
        <v>0</v>
      </c>
      <c r="BB39" s="260">
        <f t="shared" si="31"/>
        <v>0</v>
      </c>
      <c r="BC39" s="260">
        <f t="shared" si="32"/>
        <v>0</v>
      </c>
      <c r="BD39" s="260">
        <f t="shared" si="33"/>
        <v>0</v>
      </c>
      <c r="BE39" s="260">
        <f t="shared" si="34"/>
        <v>0</v>
      </c>
      <c r="BF39" s="260">
        <f t="shared" si="35"/>
        <v>0</v>
      </c>
      <c r="BG39" s="260">
        <f t="shared" si="36"/>
        <v>0</v>
      </c>
      <c r="BH39" s="260">
        <f t="shared" si="75"/>
        <v>0</v>
      </c>
      <c r="BI39" s="260">
        <f t="shared" si="76"/>
        <v>0</v>
      </c>
      <c r="BJ39" s="260">
        <f t="shared" si="37"/>
        <v>0</v>
      </c>
      <c r="BK39" s="260">
        <f t="shared" si="38"/>
        <v>0</v>
      </c>
      <c r="BL39" s="260">
        <f t="shared" si="39"/>
        <v>0</v>
      </c>
      <c r="BM39" s="260">
        <f t="shared" si="40"/>
        <v>0</v>
      </c>
      <c r="BN39" s="260">
        <f t="shared" si="41"/>
        <v>0</v>
      </c>
      <c r="BO39" s="260">
        <f t="shared" si="42"/>
        <v>0</v>
      </c>
      <c r="BP39" s="260">
        <f t="shared" si="77"/>
        <v>0</v>
      </c>
      <c r="BQ39" s="260">
        <f t="shared" si="78"/>
        <v>0</v>
      </c>
      <c r="BR39" s="260">
        <f t="shared" si="43"/>
        <v>0</v>
      </c>
      <c r="BS39" s="260">
        <f t="shared" si="44"/>
        <v>0</v>
      </c>
      <c r="BT39" s="260">
        <f t="shared" si="79"/>
        <v>0</v>
      </c>
      <c r="BU39" s="260">
        <f t="shared" si="80"/>
        <v>0</v>
      </c>
      <c r="BV39" s="260">
        <f t="shared" si="81"/>
        <v>0</v>
      </c>
      <c r="BW39" s="260">
        <f t="shared" si="82"/>
        <v>0</v>
      </c>
      <c r="BX39" s="260">
        <f t="shared" si="45"/>
        <v>0</v>
      </c>
      <c r="BY39" s="260">
        <f t="shared" si="46"/>
        <v>0</v>
      </c>
      <c r="BZ39" s="260">
        <f t="shared" si="47"/>
        <v>0</v>
      </c>
      <c r="CA39" s="260">
        <f t="shared" si="48"/>
        <v>0</v>
      </c>
      <c r="CB39" s="260">
        <f t="shared" si="49"/>
        <v>0</v>
      </c>
      <c r="CC39" s="260">
        <f t="shared" si="50"/>
        <v>0</v>
      </c>
      <c r="CD39" s="260">
        <f t="shared" si="83"/>
        <v>0</v>
      </c>
      <c r="CE39" s="260">
        <f t="shared" si="84"/>
        <v>0</v>
      </c>
      <c r="CF39" s="260">
        <f t="shared" si="85"/>
        <v>0</v>
      </c>
      <c r="CG39" s="260">
        <f t="shared" si="86"/>
        <v>0</v>
      </c>
      <c r="CH39" s="260">
        <f t="shared" si="51"/>
        <v>0</v>
      </c>
      <c r="CI39" s="260">
        <f t="shared" si="52"/>
        <v>0</v>
      </c>
      <c r="CJ39" s="260">
        <f t="shared" si="87"/>
        <v>0</v>
      </c>
      <c r="CK39" s="260">
        <f t="shared" si="88"/>
        <v>0</v>
      </c>
      <c r="CL39" s="260">
        <f t="shared" si="53"/>
        <v>0</v>
      </c>
      <c r="CM39" s="260">
        <f t="shared" si="54"/>
        <v>0</v>
      </c>
      <c r="CN39" s="260">
        <f t="shared" si="55"/>
        <v>0</v>
      </c>
      <c r="CO39" s="260">
        <f t="shared" si="56"/>
        <v>0</v>
      </c>
      <c r="CP39" s="260">
        <f t="shared" si="89"/>
        <v>0</v>
      </c>
      <c r="CQ39" s="260">
        <f t="shared" si="90"/>
        <v>0</v>
      </c>
      <c r="CR39" s="260">
        <f t="shared" si="91"/>
        <v>0</v>
      </c>
      <c r="CS39" s="260">
        <f t="shared" si="92"/>
        <v>0</v>
      </c>
      <c r="CT39" s="260">
        <f t="shared" si="57"/>
        <v>0</v>
      </c>
      <c r="CU39" s="260">
        <f t="shared" si="58"/>
        <v>0</v>
      </c>
      <c r="CV39" s="260">
        <f t="shared" si="59"/>
        <v>0</v>
      </c>
      <c r="CW39" s="260">
        <f t="shared" si="60"/>
        <v>0</v>
      </c>
      <c r="CX39" s="260">
        <f t="shared" si="93"/>
        <v>0</v>
      </c>
      <c r="CY39" s="260">
        <f t="shared" si="94"/>
        <v>0</v>
      </c>
      <c r="CZ39" s="260">
        <f t="shared" si="95"/>
        <v>0</v>
      </c>
      <c r="DA39" s="260">
        <f t="shared" si="96"/>
        <v>0</v>
      </c>
    </row>
    <row r="40" spans="1:105" s="257" customFormat="1" ht="16.5" customHeight="1">
      <c r="A40" s="60">
        <f t="array" aca="1" ref="A40" ca="1">IF(C40&lt;&gt;0,SUM(($C$11:C40&lt;&gt;0)*1),"")</f>
        <v>2</v>
      </c>
      <c r="B40" s="258">
        <v>42735</v>
      </c>
      <c r="C40" s="261" t="s">
        <v>115</v>
      </c>
      <c r="D40" s="261">
        <f t="shared" ref="D40:D50" si="97">B40</f>
        <v>42735</v>
      </c>
      <c r="E40" s="760" t="s">
        <v>590</v>
      </c>
      <c r="F40" s="761">
        <f ca="1">AY52</f>
        <v>0</v>
      </c>
      <c r="G40" s="762" t="s">
        <v>595</v>
      </c>
      <c r="H40" s="762" t="s">
        <v>9</v>
      </c>
      <c r="I40" s="60">
        <f t="shared" ca="1" si="0"/>
        <v>2</v>
      </c>
      <c r="J40" s="260">
        <f t="shared" si="61"/>
        <v>0</v>
      </c>
      <c r="K40" s="260">
        <f t="shared" si="62"/>
        <v>0</v>
      </c>
      <c r="L40" s="260">
        <f t="shared" si="1"/>
        <v>0</v>
      </c>
      <c r="M40" s="260">
        <f t="shared" si="2"/>
        <v>0</v>
      </c>
      <c r="N40" s="260">
        <f t="shared" si="3"/>
        <v>0</v>
      </c>
      <c r="O40" s="260">
        <f t="shared" si="4"/>
        <v>0</v>
      </c>
      <c r="P40" s="260">
        <f t="shared" si="5"/>
        <v>0</v>
      </c>
      <c r="Q40" s="260">
        <f t="shared" si="6"/>
        <v>0</v>
      </c>
      <c r="R40" s="260">
        <f t="shared" si="7"/>
        <v>0</v>
      </c>
      <c r="S40" s="260">
        <f t="shared" ca="1" si="8"/>
        <v>0</v>
      </c>
      <c r="T40" s="260">
        <f t="shared" si="9"/>
        <v>0</v>
      </c>
      <c r="U40" s="260">
        <f t="shared" si="10"/>
        <v>0</v>
      </c>
      <c r="V40" s="260">
        <f t="shared" si="11"/>
        <v>0</v>
      </c>
      <c r="W40" s="260">
        <f t="shared" si="12"/>
        <v>0</v>
      </c>
      <c r="X40" s="260">
        <f t="shared" si="13"/>
        <v>0</v>
      </c>
      <c r="Y40" s="260">
        <f t="shared" si="14"/>
        <v>0</v>
      </c>
      <c r="Z40" s="260">
        <f t="shared" si="15"/>
        <v>0</v>
      </c>
      <c r="AA40" s="260">
        <f t="shared" si="16"/>
        <v>0</v>
      </c>
      <c r="AB40" s="260">
        <f t="shared" si="63"/>
        <v>0</v>
      </c>
      <c r="AC40" s="260">
        <f t="shared" si="64"/>
        <v>0</v>
      </c>
      <c r="AD40" s="260">
        <f t="shared" si="17"/>
        <v>0</v>
      </c>
      <c r="AE40" s="260">
        <f t="shared" si="18"/>
        <v>0</v>
      </c>
      <c r="AF40" s="260">
        <f t="shared" si="19"/>
        <v>0</v>
      </c>
      <c r="AG40" s="260">
        <f t="shared" si="20"/>
        <v>0</v>
      </c>
      <c r="AH40" s="260">
        <f t="shared" si="65"/>
        <v>0</v>
      </c>
      <c r="AI40" s="260">
        <f t="shared" si="66"/>
        <v>0</v>
      </c>
      <c r="AJ40" s="260">
        <f t="shared" si="67"/>
        <v>0</v>
      </c>
      <c r="AK40" s="260">
        <f t="shared" si="68"/>
        <v>0</v>
      </c>
      <c r="AL40" s="260">
        <f t="shared" si="69"/>
        <v>0</v>
      </c>
      <c r="AM40" s="260">
        <f t="shared" si="70"/>
        <v>0</v>
      </c>
      <c r="AN40" s="260">
        <f t="shared" si="71"/>
        <v>0</v>
      </c>
      <c r="AO40" s="260">
        <f t="shared" si="72"/>
        <v>0</v>
      </c>
      <c r="AP40" s="260">
        <f t="shared" si="21"/>
        <v>0</v>
      </c>
      <c r="AQ40" s="260">
        <f t="shared" si="22"/>
        <v>0</v>
      </c>
      <c r="AR40" s="260">
        <f t="shared" si="23"/>
        <v>0</v>
      </c>
      <c r="AS40" s="260">
        <f t="shared" si="24"/>
        <v>0</v>
      </c>
      <c r="AT40" s="260">
        <f t="shared" si="73"/>
        <v>0</v>
      </c>
      <c r="AU40" s="260">
        <f t="shared" si="74"/>
        <v>0</v>
      </c>
      <c r="AV40" s="260">
        <f t="shared" si="25"/>
        <v>0</v>
      </c>
      <c r="AW40" s="260">
        <f t="shared" si="26"/>
        <v>0</v>
      </c>
      <c r="AX40" s="260">
        <f t="shared" ca="1" si="27"/>
        <v>0</v>
      </c>
      <c r="AY40" s="260">
        <f t="shared" si="28"/>
        <v>0</v>
      </c>
      <c r="AZ40" s="260">
        <f t="shared" si="29"/>
        <v>0</v>
      </c>
      <c r="BA40" s="260">
        <f t="shared" si="30"/>
        <v>0</v>
      </c>
      <c r="BB40" s="260">
        <f t="shared" si="31"/>
        <v>0</v>
      </c>
      <c r="BC40" s="260">
        <f t="shared" si="32"/>
        <v>0</v>
      </c>
      <c r="BD40" s="260">
        <f t="shared" si="33"/>
        <v>0</v>
      </c>
      <c r="BE40" s="260">
        <f t="shared" si="34"/>
        <v>0</v>
      </c>
      <c r="BF40" s="260">
        <f t="shared" si="35"/>
        <v>0</v>
      </c>
      <c r="BG40" s="260">
        <f t="shared" si="36"/>
        <v>0</v>
      </c>
      <c r="BH40" s="260">
        <f t="shared" si="75"/>
        <v>0</v>
      </c>
      <c r="BI40" s="260">
        <f t="shared" si="76"/>
        <v>0</v>
      </c>
      <c r="BJ40" s="260">
        <f t="shared" si="37"/>
        <v>0</v>
      </c>
      <c r="BK40" s="260">
        <f t="shared" si="38"/>
        <v>0</v>
      </c>
      <c r="BL40" s="260">
        <f t="shared" si="39"/>
        <v>0</v>
      </c>
      <c r="BM40" s="260">
        <f t="shared" si="40"/>
        <v>0</v>
      </c>
      <c r="BN40" s="260">
        <f t="shared" si="41"/>
        <v>0</v>
      </c>
      <c r="BO40" s="260">
        <f t="shared" si="42"/>
        <v>0</v>
      </c>
      <c r="BP40" s="260">
        <f t="shared" si="77"/>
        <v>0</v>
      </c>
      <c r="BQ40" s="260">
        <f t="shared" si="78"/>
        <v>0</v>
      </c>
      <c r="BR40" s="260">
        <f t="shared" si="43"/>
        <v>0</v>
      </c>
      <c r="BS40" s="260">
        <f t="shared" si="44"/>
        <v>0</v>
      </c>
      <c r="BT40" s="260">
        <f t="shared" si="79"/>
        <v>0</v>
      </c>
      <c r="BU40" s="260">
        <f t="shared" si="80"/>
        <v>0</v>
      </c>
      <c r="BV40" s="260">
        <f t="shared" si="81"/>
        <v>0</v>
      </c>
      <c r="BW40" s="260">
        <f t="shared" si="82"/>
        <v>0</v>
      </c>
      <c r="BX40" s="260">
        <f t="shared" si="45"/>
        <v>0</v>
      </c>
      <c r="BY40" s="260">
        <f t="shared" si="46"/>
        <v>0</v>
      </c>
      <c r="BZ40" s="260">
        <f t="shared" si="47"/>
        <v>0</v>
      </c>
      <c r="CA40" s="260">
        <f t="shared" si="48"/>
        <v>0</v>
      </c>
      <c r="CB40" s="260">
        <f t="shared" si="49"/>
        <v>0</v>
      </c>
      <c r="CC40" s="260">
        <f t="shared" si="50"/>
        <v>0</v>
      </c>
      <c r="CD40" s="260">
        <f t="shared" si="83"/>
        <v>0</v>
      </c>
      <c r="CE40" s="260">
        <f t="shared" si="84"/>
        <v>0</v>
      </c>
      <c r="CF40" s="260">
        <f t="shared" si="85"/>
        <v>0</v>
      </c>
      <c r="CG40" s="260">
        <f t="shared" si="86"/>
        <v>0</v>
      </c>
      <c r="CH40" s="260">
        <f t="shared" si="51"/>
        <v>0</v>
      </c>
      <c r="CI40" s="260">
        <f t="shared" si="52"/>
        <v>0</v>
      </c>
      <c r="CJ40" s="260">
        <f t="shared" si="87"/>
        <v>0</v>
      </c>
      <c r="CK40" s="260">
        <f t="shared" si="88"/>
        <v>0</v>
      </c>
      <c r="CL40" s="260">
        <f t="shared" si="53"/>
        <v>0</v>
      </c>
      <c r="CM40" s="260">
        <f t="shared" si="54"/>
        <v>0</v>
      </c>
      <c r="CN40" s="260">
        <f t="shared" si="55"/>
        <v>0</v>
      </c>
      <c r="CO40" s="260">
        <f t="shared" si="56"/>
        <v>0</v>
      </c>
      <c r="CP40" s="260">
        <f t="shared" si="89"/>
        <v>0</v>
      </c>
      <c r="CQ40" s="260">
        <f t="shared" si="90"/>
        <v>0</v>
      </c>
      <c r="CR40" s="260">
        <f t="shared" si="91"/>
        <v>0</v>
      </c>
      <c r="CS40" s="260">
        <f t="shared" si="92"/>
        <v>0</v>
      </c>
      <c r="CT40" s="260">
        <f t="shared" si="57"/>
        <v>0</v>
      </c>
      <c r="CU40" s="260">
        <f t="shared" si="58"/>
        <v>0</v>
      </c>
      <c r="CV40" s="260">
        <f t="shared" si="59"/>
        <v>0</v>
      </c>
      <c r="CW40" s="260">
        <f t="shared" si="60"/>
        <v>0</v>
      </c>
      <c r="CX40" s="260">
        <f t="shared" si="93"/>
        <v>0</v>
      </c>
      <c r="CY40" s="260">
        <f t="shared" si="94"/>
        <v>0</v>
      </c>
      <c r="CZ40" s="260">
        <f t="shared" si="95"/>
        <v>0</v>
      </c>
      <c r="DA40" s="260">
        <f t="shared" si="96"/>
        <v>0</v>
      </c>
    </row>
    <row r="41" spans="1:105" s="257" customFormat="1" ht="16.5" customHeight="1">
      <c r="A41" s="60">
        <f t="array" aca="1" ref="A41" ca="1">IF(C41&lt;&gt;0,SUM(($C$11:C41&lt;&gt;0)*1),"")</f>
        <v>3</v>
      </c>
      <c r="B41" s="258">
        <v>42735</v>
      </c>
      <c r="C41" s="261" t="s">
        <v>115</v>
      </c>
      <c r="D41" s="261">
        <f t="shared" si="97"/>
        <v>42735</v>
      </c>
      <c r="E41" s="760" t="s">
        <v>591</v>
      </c>
      <c r="F41" s="761">
        <f ca="1">CL52</f>
        <v>0</v>
      </c>
      <c r="G41" s="762" t="s">
        <v>109</v>
      </c>
      <c r="H41" s="762" t="s">
        <v>284</v>
      </c>
      <c r="I41" s="60">
        <f t="shared" ca="1" si="0"/>
        <v>3</v>
      </c>
      <c r="J41" s="260">
        <f t="shared" si="61"/>
        <v>0</v>
      </c>
      <c r="K41" s="260">
        <f t="shared" si="62"/>
        <v>0</v>
      </c>
      <c r="L41" s="260">
        <f t="shared" si="1"/>
        <v>0</v>
      </c>
      <c r="M41" s="260">
        <f t="shared" si="2"/>
        <v>0</v>
      </c>
      <c r="N41" s="260">
        <f t="shared" si="3"/>
        <v>0</v>
      </c>
      <c r="O41" s="260">
        <f t="shared" si="4"/>
        <v>0</v>
      </c>
      <c r="P41" s="260">
        <f t="shared" si="5"/>
        <v>0</v>
      </c>
      <c r="Q41" s="260">
        <f t="shared" si="6"/>
        <v>0</v>
      </c>
      <c r="R41" s="260">
        <f t="shared" si="7"/>
        <v>0</v>
      </c>
      <c r="S41" s="260">
        <f t="shared" si="8"/>
        <v>0</v>
      </c>
      <c r="T41" s="260">
        <f t="shared" si="9"/>
        <v>0</v>
      </c>
      <c r="U41" s="260">
        <f t="shared" si="10"/>
        <v>0</v>
      </c>
      <c r="V41" s="260">
        <f t="shared" si="11"/>
        <v>0</v>
      </c>
      <c r="W41" s="260">
        <f t="shared" si="12"/>
        <v>0</v>
      </c>
      <c r="X41" s="260">
        <f t="shared" si="13"/>
        <v>0</v>
      </c>
      <c r="Y41" s="260">
        <f t="shared" si="14"/>
        <v>0</v>
      </c>
      <c r="Z41" s="260">
        <f t="shared" si="15"/>
        <v>0</v>
      </c>
      <c r="AA41" s="260">
        <f t="shared" si="16"/>
        <v>0</v>
      </c>
      <c r="AB41" s="260">
        <f t="shared" si="63"/>
        <v>0</v>
      </c>
      <c r="AC41" s="260">
        <f t="shared" si="64"/>
        <v>0</v>
      </c>
      <c r="AD41" s="260">
        <f t="shared" si="17"/>
        <v>0</v>
      </c>
      <c r="AE41" s="260">
        <f t="shared" si="18"/>
        <v>0</v>
      </c>
      <c r="AF41" s="260">
        <f t="shared" si="19"/>
        <v>0</v>
      </c>
      <c r="AG41" s="260">
        <f t="shared" si="20"/>
        <v>0</v>
      </c>
      <c r="AH41" s="260">
        <f t="shared" si="65"/>
        <v>0</v>
      </c>
      <c r="AI41" s="260">
        <f t="shared" si="66"/>
        <v>0</v>
      </c>
      <c r="AJ41" s="260">
        <f t="shared" si="67"/>
        <v>0</v>
      </c>
      <c r="AK41" s="260">
        <f t="shared" si="68"/>
        <v>0</v>
      </c>
      <c r="AL41" s="260">
        <f t="shared" si="69"/>
        <v>0</v>
      </c>
      <c r="AM41" s="260">
        <f t="shared" si="70"/>
        <v>0</v>
      </c>
      <c r="AN41" s="260">
        <f t="shared" si="71"/>
        <v>0</v>
      </c>
      <c r="AO41" s="260">
        <f t="shared" si="72"/>
        <v>0</v>
      </c>
      <c r="AP41" s="260">
        <f t="shared" si="21"/>
        <v>0</v>
      </c>
      <c r="AQ41" s="260">
        <f t="shared" si="22"/>
        <v>0</v>
      </c>
      <c r="AR41" s="260">
        <f t="shared" si="23"/>
        <v>0</v>
      </c>
      <c r="AS41" s="260">
        <f t="shared" si="24"/>
        <v>0</v>
      </c>
      <c r="AT41" s="260">
        <f t="shared" si="73"/>
        <v>0</v>
      </c>
      <c r="AU41" s="260">
        <f t="shared" si="74"/>
        <v>0</v>
      </c>
      <c r="AV41" s="260">
        <f t="shared" si="25"/>
        <v>0</v>
      </c>
      <c r="AW41" s="260">
        <f t="shared" si="26"/>
        <v>0</v>
      </c>
      <c r="AX41" s="260">
        <f t="shared" si="27"/>
        <v>0</v>
      </c>
      <c r="AY41" s="260">
        <f t="shared" si="28"/>
        <v>0</v>
      </c>
      <c r="AZ41" s="260">
        <f t="shared" si="29"/>
        <v>0</v>
      </c>
      <c r="BA41" s="260">
        <f t="shared" si="30"/>
        <v>0</v>
      </c>
      <c r="BB41" s="260">
        <f t="shared" si="31"/>
        <v>0</v>
      </c>
      <c r="BC41" s="260">
        <f t="shared" si="32"/>
        <v>0</v>
      </c>
      <c r="BD41" s="260">
        <f t="shared" si="33"/>
        <v>0</v>
      </c>
      <c r="BE41" s="260">
        <f t="shared" si="34"/>
        <v>0</v>
      </c>
      <c r="BF41" s="260">
        <f t="shared" si="35"/>
        <v>0</v>
      </c>
      <c r="BG41" s="260">
        <f t="shared" si="36"/>
        <v>0</v>
      </c>
      <c r="BH41" s="260">
        <f t="shared" si="75"/>
        <v>0</v>
      </c>
      <c r="BI41" s="260">
        <f t="shared" si="76"/>
        <v>0</v>
      </c>
      <c r="BJ41" s="260">
        <f t="shared" si="37"/>
        <v>0</v>
      </c>
      <c r="BK41" s="260">
        <f t="shared" si="38"/>
        <v>0</v>
      </c>
      <c r="BL41" s="260">
        <f t="shared" si="39"/>
        <v>0</v>
      </c>
      <c r="BM41" s="260">
        <f t="shared" si="40"/>
        <v>0</v>
      </c>
      <c r="BN41" s="260">
        <f t="shared" si="41"/>
        <v>0</v>
      </c>
      <c r="BO41" s="260">
        <f t="shared" si="42"/>
        <v>0</v>
      </c>
      <c r="BP41" s="260">
        <f t="shared" si="77"/>
        <v>0</v>
      </c>
      <c r="BQ41" s="260">
        <f t="shared" si="78"/>
        <v>0</v>
      </c>
      <c r="BR41" s="260">
        <f t="shared" si="43"/>
        <v>0</v>
      </c>
      <c r="BS41" s="260">
        <f t="shared" si="44"/>
        <v>0</v>
      </c>
      <c r="BT41" s="260">
        <f t="shared" si="79"/>
        <v>0</v>
      </c>
      <c r="BU41" s="260">
        <f t="shared" si="80"/>
        <v>0</v>
      </c>
      <c r="BV41" s="260">
        <f t="shared" si="81"/>
        <v>0</v>
      </c>
      <c r="BW41" s="260">
        <f t="shared" si="82"/>
        <v>0</v>
      </c>
      <c r="BX41" s="260">
        <f t="shared" si="45"/>
        <v>0</v>
      </c>
      <c r="BY41" s="260">
        <f t="shared" si="46"/>
        <v>0</v>
      </c>
      <c r="BZ41" s="260">
        <f t="shared" si="47"/>
        <v>0</v>
      </c>
      <c r="CA41" s="260">
        <f t="shared" si="48"/>
        <v>0</v>
      </c>
      <c r="CB41" s="260">
        <f t="shared" si="49"/>
        <v>0</v>
      </c>
      <c r="CC41" s="260">
        <f t="shared" si="50"/>
        <v>0</v>
      </c>
      <c r="CD41" s="260">
        <f t="shared" si="83"/>
        <v>0</v>
      </c>
      <c r="CE41" s="260">
        <f t="shared" si="84"/>
        <v>0</v>
      </c>
      <c r="CF41" s="260">
        <f t="shared" si="85"/>
        <v>0</v>
      </c>
      <c r="CG41" s="260">
        <f t="shared" si="86"/>
        <v>0</v>
      </c>
      <c r="CH41" s="260">
        <f t="shared" si="51"/>
        <v>0</v>
      </c>
      <c r="CI41" s="260">
        <f t="shared" si="52"/>
        <v>0</v>
      </c>
      <c r="CJ41" s="260">
        <f t="shared" si="87"/>
        <v>0</v>
      </c>
      <c r="CK41" s="260">
        <f t="shared" si="88"/>
        <v>0</v>
      </c>
      <c r="CL41" s="260">
        <f t="shared" si="53"/>
        <v>0</v>
      </c>
      <c r="CM41" s="260">
        <f t="shared" ca="1" si="54"/>
        <v>0</v>
      </c>
      <c r="CN41" s="260">
        <f t="shared" si="55"/>
        <v>0</v>
      </c>
      <c r="CO41" s="260">
        <f t="shared" si="56"/>
        <v>0</v>
      </c>
      <c r="CP41" s="260">
        <f t="shared" si="89"/>
        <v>0</v>
      </c>
      <c r="CQ41" s="260">
        <f t="shared" si="90"/>
        <v>0</v>
      </c>
      <c r="CR41" s="260">
        <f t="shared" si="91"/>
        <v>0</v>
      </c>
      <c r="CS41" s="260">
        <f t="shared" si="92"/>
        <v>0</v>
      </c>
      <c r="CT41" s="260">
        <f t="shared" si="57"/>
        <v>0</v>
      </c>
      <c r="CU41" s="260">
        <f t="shared" si="58"/>
        <v>0</v>
      </c>
      <c r="CV41" s="260">
        <f t="shared" si="59"/>
        <v>0</v>
      </c>
      <c r="CW41" s="260">
        <f t="shared" si="60"/>
        <v>0</v>
      </c>
      <c r="CX41" s="260">
        <f t="shared" si="93"/>
        <v>0</v>
      </c>
      <c r="CY41" s="260">
        <f t="shared" si="94"/>
        <v>0</v>
      </c>
      <c r="CZ41" s="260">
        <f t="shared" ca="1" si="95"/>
        <v>0</v>
      </c>
      <c r="DA41" s="260">
        <f t="shared" si="96"/>
        <v>0</v>
      </c>
    </row>
    <row r="42" spans="1:105" s="257" customFormat="1" ht="16.5" customHeight="1">
      <c r="A42" s="60">
        <f t="array" aca="1" ref="A42" ca="1">IF(C42&lt;&gt;0,SUM(($C$11:C42&lt;&gt;0)*1),"")</f>
        <v>4</v>
      </c>
      <c r="B42" s="258">
        <v>42735</v>
      </c>
      <c r="C42" s="261" t="s">
        <v>115</v>
      </c>
      <c r="D42" s="261">
        <f t="shared" si="97"/>
        <v>42735</v>
      </c>
      <c r="E42" s="760" t="s">
        <v>116</v>
      </c>
      <c r="F42" s="761">
        <f ca="1">CN52</f>
        <v>0</v>
      </c>
      <c r="G42" s="762" t="s">
        <v>109</v>
      </c>
      <c r="H42" s="762" t="s">
        <v>99</v>
      </c>
      <c r="I42" s="60">
        <f t="shared" ca="1" si="0"/>
        <v>4</v>
      </c>
      <c r="J42" s="260">
        <f t="shared" si="61"/>
        <v>0</v>
      </c>
      <c r="K42" s="260">
        <f t="shared" si="62"/>
        <v>0</v>
      </c>
      <c r="L42" s="260">
        <f t="shared" si="1"/>
        <v>0</v>
      </c>
      <c r="M42" s="260">
        <f t="shared" si="2"/>
        <v>0</v>
      </c>
      <c r="N42" s="260">
        <f t="shared" si="3"/>
        <v>0</v>
      </c>
      <c r="O42" s="260">
        <f t="shared" si="4"/>
        <v>0</v>
      </c>
      <c r="P42" s="260">
        <f t="shared" si="5"/>
        <v>0</v>
      </c>
      <c r="Q42" s="260">
        <f t="shared" si="6"/>
        <v>0</v>
      </c>
      <c r="R42" s="260">
        <f t="shared" si="7"/>
        <v>0</v>
      </c>
      <c r="S42" s="260">
        <f t="shared" si="8"/>
        <v>0</v>
      </c>
      <c r="T42" s="260">
        <f t="shared" si="9"/>
        <v>0</v>
      </c>
      <c r="U42" s="260">
        <f t="shared" si="10"/>
        <v>0</v>
      </c>
      <c r="V42" s="260">
        <f t="shared" si="11"/>
        <v>0</v>
      </c>
      <c r="W42" s="260">
        <f t="shared" si="12"/>
        <v>0</v>
      </c>
      <c r="X42" s="260">
        <f t="shared" si="13"/>
        <v>0</v>
      </c>
      <c r="Y42" s="260">
        <f t="shared" si="14"/>
        <v>0</v>
      </c>
      <c r="Z42" s="260">
        <f t="shared" si="15"/>
        <v>0</v>
      </c>
      <c r="AA42" s="260">
        <f t="shared" si="16"/>
        <v>0</v>
      </c>
      <c r="AB42" s="260">
        <f t="shared" si="63"/>
        <v>0</v>
      </c>
      <c r="AC42" s="260">
        <f t="shared" si="64"/>
        <v>0</v>
      </c>
      <c r="AD42" s="260">
        <f t="shared" si="17"/>
        <v>0</v>
      </c>
      <c r="AE42" s="260">
        <f t="shared" si="18"/>
        <v>0</v>
      </c>
      <c r="AF42" s="260">
        <f t="shared" si="19"/>
        <v>0</v>
      </c>
      <c r="AG42" s="260">
        <f t="shared" si="20"/>
        <v>0</v>
      </c>
      <c r="AH42" s="260">
        <f t="shared" si="65"/>
        <v>0</v>
      </c>
      <c r="AI42" s="260">
        <f t="shared" si="66"/>
        <v>0</v>
      </c>
      <c r="AJ42" s="260">
        <f t="shared" si="67"/>
        <v>0</v>
      </c>
      <c r="AK42" s="260">
        <f t="shared" si="68"/>
        <v>0</v>
      </c>
      <c r="AL42" s="260">
        <f t="shared" si="69"/>
        <v>0</v>
      </c>
      <c r="AM42" s="260">
        <f t="shared" si="70"/>
        <v>0</v>
      </c>
      <c r="AN42" s="260">
        <f t="shared" si="71"/>
        <v>0</v>
      </c>
      <c r="AO42" s="260">
        <f t="shared" si="72"/>
        <v>0</v>
      </c>
      <c r="AP42" s="260">
        <f t="shared" si="21"/>
        <v>0</v>
      </c>
      <c r="AQ42" s="260">
        <f t="shared" si="22"/>
        <v>0</v>
      </c>
      <c r="AR42" s="260">
        <f t="shared" si="23"/>
        <v>0</v>
      </c>
      <c r="AS42" s="260">
        <f t="shared" si="24"/>
        <v>0</v>
      </c>
      <c r="AT42" s="260">
        <f t="shared" si="73"/>
        <v>0</v>
      </c>
      <c r="AU42" s="260">
        <f t="shared" si="74"/>
        <v>0</v>
      </c>
      <c r="AV42" s="260">
        <f t="shared" si="25"/>
        <v>0</v>
      </c>
      <c r="AW42" s="260">
        <f t="shared" si="26"/>
        <v>0</v>
      </c>
      <c r="AX42" s="260">
        <f t="shared" si="27"/>
        <v>0</v>
      </c>
      <c r="AY42" s="260">
        <f t="shared" si="28"/>
        <v>0</v>
      </c>
      <c r="AZ42" s="260">
        <f t="shared" si="29"/>
        <v>0</v>
      </c>
      <c r="BA42" s="260">
        <f t="shared" si="30"/>
        <v>0</v>
      </c>
      <c r="BB42" s="260">
        <f t="shared" si="31"/>
        <v>0</v>
      </c>
      <c r="BC42" s="260">
        <f t="shared" si="32"/>
        <v>0</v>
      </c>
      <c r="BD42" s="260">
        <f t="shared" si="33"/>
        <v>0</v>
      </c>
      <c r="BE42" s="260">
        <f t="shared" si="34"/>
        <v>0</v>
      </c>
      <c r="BF42" s="260">
        <f t="shared" si="35"/>
        <v>0</v>
      </c>
      <c r="BG42" s="260">
        <f t="shared" si="36"/>
        <v>0</v>
      </c>
      <c r="BH42" s="260">
        <f t="shared" si="75"/>
        <v>0</v>
      </c>
      <c r="BI42" s="260">
        <f t="shared" si="76"/>
        <v>0</v>
      </c>
      <c r="BJ42" s="260">
        <f t="shared" si="37"/>
        <v>0</v>
      </c>
      <c r="BK42" s="260">
        <f t="shared" si="38"/>
        <v>0</v>
      </c>
      <c r="BL42" s="260">
        <f t="shared" si="39"/>
        <v>0</v>
      </c>
      <c r="BM42" s="260">
        <f t="shared" si="40"/>
        <v>0</v>
      </c>
      <c r="BN42" s="260">
        <f t="shared" si="41"/>
        <v>0</v>
      </c>
      <c r="BO42" s="260">
        <f t="shared" si="42"/>
        <v>0</v>
      </c>
      <c r="BP42" s="260">
        <f t="shared" si="77"/>
        <v>0</v>
      </c>
      <c r="BQ42" s="260">
        <f t="shared" si="78"/>
        <v>0</v>
      </c>
      <c r="BR42" s="260">
        <f t="shared" si="43"/>
        <v>0</v>
      </c>
      <c r="BS42" s="260">
        <f t="shared" si="44"/>
        <v>0</v>
      </c>
      <c r="BT42" s="260">
        <f t="shared" si="79"/>
        <v>0</v>
      </c>
      <c r="BU42" s="260">
        <f t="shared" si="80"/>
        <v>0</v>
      </c>
      <c r="BV42" s="260">
        <f t="shared" si="81"/>
        <v>0</v>
      </c>
      <c r="BW42" s="260">
        <f t="shared" si="82"/>
        <v>0</v>
      </c>
      <c r="BX42" s="260">
        <f t="shared" si="45"/>
        <v>0</v>
      </c>
      <c r="BY42" s="260">
        <f t="shared" si="46"/>
        <v>0</v>
      </c>
      <c r="BZ42" s="260">
        <f t="shared" si="47"/>
        <v>0</v>
      </c>
      <c r="CA42" s="260">
        <f t="shared" si="48"/>
        <v>0</v>
      </c>
      <c r="CB42" s="260">
        <f t="shared" si="49"/>
        <v>0</v>
      </c>
      <c r="CC42" s="260">
        <f t="shared" si="50"/>
        <v>0</v>
      </c>
      <c r="CD42" s="260">
        <f t="shared" si="83"/>
        <v>0</v>
      </c>
      <c r="CE42" s="260">
        <f t="shared" si="84"/>
        <v>0</v>
      </c>
      <c r="CF42" s="260">
        <f t="shared" si="85"/>
        <v>0</v>
      </c>
      <c r="CG42" s="260">
        <f t="shared" si="86"/>
        <v>0</v>
      </c>
      <c r="CH42" s="260">
        <f t="shared" si="51"/>
        <v>0</v>
      </c>
      <c r="CI42" s="260">
        <f t="shared" si="52"/>
        <v>0</v>
      </c>
      <c r="CJ42" s="260">
        <f t="shared" si="87"/>
        <v>0</v>
      </c>
      <c r="CK42" s="260">
        <f t="shared" si="88"/>
        <v>0</v>
      </c>
      <c r="CL42" s="260">
        <f t="shared" si="53"/>
        <v>0</v>
      </c>
      <c r="CM42" s="260">
        <f t="shared" si="54"/>
        <v>0</v>
      </c>
      <c r="CN42" s="260">
        <f t="shared" si="55"/>
        <v>0</v>
      </c>
      <c r="CO42" s="260">
        <f t="shared" ca="1" si="56"/>
        <v>0</v>
      </c>
      <c r="CP42" s="260">
        <f t="shared" si="89"/>
        <v>0</v>
      </c>
      <c r="CQ42" s="260">
        <f t="shared" si="90"/>
        <v>0</v>
      </c>
      <c r="CR42" s="260">
        <f t="shared" si="91"/>
        <v>0</v>
      </c>
      <c r="CS42" s="260">
        <f t="shared" si="92"/>
        <v>0</v>
      </c>
      <c r="CT42" s="260">
        <f t="shared" si="57"/>
        <v>0</v>
      </c>
      <c r="CU42" s="260">
        <f t="shared" si="58"/>
        <v>0</v>
      </c>
      <c r="CV42" s="260">
        <f t="shared" si="59"/>
        <v>0</v>
      </c>
      <c r="CW42" s="260">
        <f t="shared" si="60"/>
        <v>0</v>
      </c>
      <c r="CX42" s="260">
        <f t="shared" si="93"/>
        <v>0</v>
      </c>
      <c r="CY42" s="260">
        <f t="shared" si="94"/>
        <v>0</v>
      </c>
      <c r="CZ42" s="260">
        <f t="shared" ca="1" si="95"/>
        <v>0</v>
      </c>
      <c r="DA42" s="260">
        <f t="shared" si="96"/>
        <v>0</v>
      </c>
    </row>
    <row r="43" spans="1:105" s="257" customFormat="1" ht="16.5" customHeight="1">
      <c r="A43" s="60">
        <f t="array" aca="1" ref="A43" ca="1">IF(C43&lt;&gt;0,SUM(($C$11:C43&lt;&gt;0)*1),"")</f>
        <v>5</v>
      </c>
      <c r="B43" s="258">
        <v>42735</v>
      </c>
      <c r="C43" s="261" t="s">
        <v>115</v>
      </c>
      <c r="D43" s="261">
        <f t="shared" si="97"/>
        <v>42735</v>
      </c>
      <c r="E43" s="760" t="s">
        <v>592</v>
      </c>
      <c r="F43" s="761">
        <f ca="1">CP52</f>
        <v>0</v>
      </c>
      <c r="G43" s="762" t="s">
        <v>109</v>
      </c>
      <c r="H43" s="762" t="s">
        <v>540</v>
      </c>
      <c r="I43" s="60">
        <f t="shared" ca="1" si="0"/>
        <v>5</v>
      </c>
      <c r="J43" s="260">
        <f t="shared" si="61"/>
        <v>0</v>
      </c>
      <c r="K43" s="260">
        <f t="shared" si="62"/>
        <v>0</v>
      </c>
      <c r="L43" s="260">
        <f t="shared" si="1"/>
        <v>0</v>
      </c>
      <c r="M43" s="260">
        <f t="shared" si="2"/>
        <v>0</v>
      </c>
      <c r="N43" s="260">
        <f t="shared" si="3"/>
        <v>0</v>
      </c>
      <c r="O43" s="260">
        <f t="shared" si="4"/>
        <v>0</v>
      </c>
      <c r="P43" s="260">
        <f t="shared" si="5"/>
        <v>0</v>
      </c>
      <c r="Q43" s="260">
        <f t="shared" si="6"/>
        <v>0</v>
      </c>
      <c r="R43" s="260">
        <f t="shared" si="7"/>
        <v>0</v>
      </c>
      <c r="S43" s="260">
        <f t="shared" si="8"/>
        <v>0</v>
      </c>
      <c r="T43" s="260">
        <f t="shared" si="9"/>
        <v>0</v>
      </c>
      <c r="U43" s="260">
        <f t="shared" si="10"/>
        <v>0</v>
      </c>
      <c r="V43" s="260">
        <f t="shared" si="11"/>
        <v>0</v>
      </c>
      <c r="W43" s="260">
        <f t="shared" si="12"/>
        <v>0</v>
      </c>
      <c r="X43" s="260">
        <f t="shared" si="13"/>
        <v>0</v>
      </c>
      <c r="Y43" s="260">
        <f t="shared" si="14"/>
        <v>0</v>
      </c>
      <c r="Z43" s="260">
        <f t="shared" si="15"/>
        <v>0</v>
      </c>
      <c r="AA43" s="260">
        <f t="shared" si="16"/>
        <v>0</v>
      </c>
      <c r="AB43" s="260">
        <f t="shared" si="63"/>
        <v>0</v>
      </c>
      <c r="AC43" s="260">
        <f t="shared" si="64"/>
        <v>0</v>
      </c>
      <c r="AD43" s="260">
        <f t="shared" si="17"/>
        <v>0</v>
      </c>
      <c r="AE43" s="260">
        <f t="shared" si="18"/>
        <v>0</v>
      </c>
      <c r="AF43" s="260">
        <f t="shared" si="19"/>
        <v>0</v>
      </c>
      <c r="AG43" s="260">
        <f t="shared" si="20"/>
        <v>0</v>
      </c>
      <c r="AH43" s="260">
        <f t="shared" si="65"/>
        <v>0</v>
      </c>
      <c r="AI43" s="260">
        <f t="shared" si="66"/>
        <v>0</v>
      </c>
      <c r="AJ43" s="260">
        <f t="shared" si="67"/>
        <v>0</v>
      </c>
      <c r="AK43" s="260">
        <f t="shared" si="68"/>
        <v>0</v>
      </c>
      <c r="AL43" s="260">
        <f t="shared" si="69"/>
        <v>0</v>
      </c>
      <c r="AM43" s="260">
        <f t="shared" si="70"/>
        <v>0</v>
      </c>
      <c r="AN43" s="260">
        <f t="shared" si="71"/>
        <v>0</v>
      </c>
      <c r="AO43" s="260">
        <f t="shared" si="72"/>
        <v>0</v>
      </c>
      <c r="AP43" s="260">
        <f t="shared" si="21"/>
        <v>0</v>
      </c>
      <c r="AQ43" s="260">
        <f t="shared" si="22"/>
        <v>0</v>
      </c>
      <c r="AR43" s="260">
        <f t="shared" si="23"/>
        <v>0</v>
      </c>
      <c r="AS43" s="260">
        <f t="shared" si="24"/>
        <v>0</v>
      </c>
      <c r="AT43" s="260">
        <f t="shared" si="73"/>
        <v>0</v>
      </c>
      <c r="AU43" s="260">
        <f t="shared" si="74"/>
        <v>0</v>
      </c>
      <c r="AV43" s="260">
        <f t="shared" si="25"/>
        <v>0</v>
      </c>
      <c r="AW43" s="260">
        <f t="shared" si="26"/>
        <v>0</v>
      </c>
      <c r="AX43" s="260">
        <f t="shared" si="27"/>
        <v>0</v>
      </c>
      <c r="AY43" s="260">
        <f t="shared" si="28"/>
        <v>0</v>
      </c>
      <c r="AZ43" s="260">
        <f t="shared" si="29"/>
        <v>0</v>
      </c>
      <c r="BA43" s="260">
        <f t="shared" si="30"/>
        <v>0</v>
      </c>
      <c r="BB43" s="260">
        <f t="shared" si="31"/>
        <v>0</v>
      </c>
      <c r="BC43" s="260">
        <f t="shared" si="32"/>
        <v>0</v>
      </c>
      <c r="BD43" s="260">
        <f t="shared" si="33"/>
        <v>0</v>
      </c>
      <c r="BE43" s="260">
        <f t="shared" si="34"/>
        <v>0</v>
      </c>
      <c r="BF43" s="260">
        <f t="shared" si="35"/>
        <v>0</v>
      </c>
      <c r="BG43" s="260">
        <f t="shared" si="36"/>
        <v>0</v>
      </c>
      <c r="BH43" s="260">
        <f t="shared" si="75"/>
        <v>0</v>
      </c>
      <c r="BI43" s="260">
        <f t="shared" si="76"/>
        <v>0</v>
      </c>
      <c r="BJ43" s="260">
        <f t="shared" si="37"/>
        <v>0</v>
      </c>
      <c r="BK43" s="260">
        <f t="shared" si="38"/>
        <v>0</v>
      </c>
      <c r="BL43" s="260">
        <f t="shared" si="39"/>
        <v>0</v>
      </c>
      <c r="BM43" s="260">
        <f t="shared" si="40"/>
        <v>0</v>
      </c>
      <c r="BN43" s="260">
        <f t="shared" si="41"/>
        <v>0</v>
      </c>
      <c r="BO43" s="260">
        <f t="shared" si="42"/>
        <v>0</v>
      </c>
      <c r="BP43" s="260">
        <f t="shared" si="77"/>
        <v>0</v>
      </c>
      <c r="BQ43" s="260">
        <f t="shared" si="78"/>
        <v>0</v>
      </c>
      <c r="BR43" s="260">
        <f t="shared" si="43"/>
        <v>0</v>
      </c>
      <c r="BS43" s="260">
        <f t="shared" si="44"/>
        <v>0</v>
      </c>
      <c r="BT43" s="260">
        <f t="shared" si="79"/>
        <v>0</v>
      </c>
      <c r="BU43" s="260">
        <f t="shared" si="80"/>
        <v>0</v>
      </c>
      <c r="BV43" s="260">
        <f t="shared" si="81"/>
        <v>0</v>
      </c>
      <c r="BW43" s="260">
        <f t="shared" si="82"/>
        <v>0</v>
      </c>
      <c r="BX43" s="260">
        <f t="shared" si="45"/>
        <v>0</v>
      </c>
      <c r="BY43" s="260">
        <f t="shared" si="46"/>
        <v>0</v>
      </c>
      <c r="BZ43" s="260">
        <f t="shared" si="47"/>
        <v>0</v>
      </c>
      <c r="CA43" s="260">
        <f t="shared" si="48"/>
        <v>0</v>
      </c>
      <c r="CB43" s="260">
        <f t="shared" si="49"/>
        <v>0</v>
      </c>
      <c r="CC43" s="260">
        <f t="shared" si="50"/>
        <v>0</v>
      </c>
      <c r="CD43" s="260">
        <f t="shared" si="83"/>
        <v>0</v>
      </c>
      <c r="CE43" s="260">
        <f t="shared" si="84"/>
        <v>0</v>
      </c>
      <c r="CF43" s="260">
        <f t="shared" si="85"/>
        <v>0</v>
      </c>
      <c r="CG43" s="260">
        <f t="shared" si="86"/>
        <v>0</v>
      </c>
      <c r="CH43" s="260">
        <f t="shared" si="51"/>
        <v>0</v>
      </c>
      <c r="CI43" s="260">
        <f t="shared" si="52"/>
        <v>0</v>
      </c>
      <c r="CJ43" s="260">
        <f t="shared" si="87"/>
        <v>0</v>
      </c>
      <c r="CK43" s="260">
        <f t="shared" si="88"/>
        <v>0</v>
      </c>
      <c r="CL43" s="260">
        <f t="shared" si="53"/>
        <v>0</v>
      </c>
      <c r="CM43" s="260">
        <f t="shared" si="54"/>
        <v>0</v>
      </c>
      <c r="CN43" s="260">
        <f t="shared" si="55"/>
        <v>0</v>
      </c>
      <c r="CO43" s="260">
        <f t="shared" si="56"/>
        <v>0</v>
      </c>
      <c r="CP43" s="260">
        <f t="shared" si="89"/>
        <v>0</v>
      </c>
      <c r="CQ43" s="260">
        <f t="shared" ca="1" si="90"/>
        <v>0</v>
      </c>
      <c r="CR43" s="260">
        <f t="shared" si="91"/>
        <v>0</v>
      </c>
      <c r="CS43" s="260">
        <f t="shared" si="92"/>
        <v>0</v>
      </c>
      <c r="CT43" s="260">
        <f t="shared" si="57"/>
        <v>0</v>
      </c>
      <c r="CU43" s="260">
        <f t="shared" si="58"/>
        <v>0</v>
      </c>
      <c r="CV43" s="260">
        <f t="shared" si="59"/>
        <v>0</v>
      </c>
      <c r="CW43" s="260">
        <f t="shared" si="60"/>
        <v>0</v>
      </c>
      <c r="CX43" s="260">
        <f t="shared" si="93"/>
        <v>0</v>
      </c>
      <c r="CY43" s="260">
        <f t="shared" si="94"/>
        <v>0</v>
      </c>
      <c r="CZ43" s="260">
        <f t="shared" ca="1" si="95"/>
        <v>0</v>
      </c>
      <c r="DA43" s="260">
        <f t="shared" si="96"/>
        <v>0</v>
      </c>
    </row>
    <row r="44" spans="1:105" s="257" customFormat="1" ht="16.5" customHeight="1">
      <c r="A44" s="60">
        <f t="array" aca="1" ref="A44" ca="1">IF(C44&lt;&gt;0,SUM(($C$11:C44&lt;&gt;0)*1),"")</f>
        <v>6</v>
      </c>
      <c r="B44" s="258">
        <v>42735</v>
      </c>
      <c r="C44" s="261" t="s">
        <v>115</v>
      </c>
      <c r="D44" s="261">
        <f t="shared" si="97"/>
        <v>42735</v>
      </c>
      <c r="E44" s="760" t="s">
        <v>117</v>
      </c>
      <c r="F44" s="761">
        <f ca="1">CR52</f>
        <v>0</v>
      </c>
      <c r="G44" s="762" t="s">
        <v>109</v>
      </c>
      <c r="H44" s="762" t="s">
        <v>101</v>
      </c>
      <c r="I44" s="60">
        <f t="shared" ca="1" si="0"/>
        <v>6</v>
      </c>
      <c r="J44" s="260">
        <f t="shared" si="61"/>
        <v>0</v>
      </c>
      <c r="K44" s="260">
        <f t="shared" si="62"/>
        <v>0</v>
      </c>
      <c r="L44" s="260">
        <f t="shared" si="1"/>
        <v>0</v>
      </c>
      <c r="M44" s="260">
        <f t="shared" si="2"/>
        <v>0</v>
      </c>
      <c r="N44" s="260">
        <f t="shared" si="3"/>
        <v>0</v>
      </c>
      <c r="O44" s="260">
        <f t="shared" si="4"/>
        <v>0</v>
      </c>
      <c r="P44" s="260">
        <f t="shared" si="5"/>
        <v>0</v>
      </c>
      <c r="Q44" s="260">
        <f t="shared" si="6"/>
        <v>0</v>
      </c>
      <c r="R44" s="260">
        <f t="shared" si="7"/>
        <v>0</v>
      </c>
      <c r="S44" s="260">
        <f t="shared" si="8"/>
        <v>0</v>
      </c>
      <c r="T44" s="260">
        <f t="shared" si="9"/>
        <v>0</v>
      </c>
      <c r="U44" s="260">
        <f t="shared" si="10"/>
        <v>0</v>
      </c>
      <c r="V44" s="260">
        <f t="shared" si="11"/>
        <v>0</v>
      </c>
      <c r="W44" s="260">
        <f t="shared" si="12"/>
        <v>0</v>
      </c>
      <c r="X44" s="260">
        <f t="shared" si="13"/>
        <v>0</v>
      </c>
      <c r="Y44" s="260">
        <f t="shared" si="14"/>
        <v>0</v>
      </c>
      <c r="Z44" s="260">
        <f t="shared" si="15"/>
        <v>0</v>
      </c>
      <c r="AA44" s="260">
        <f t="shared" si="16"/>
        <v>0</v>
      </c>
      <c r="AB44" s="260">
        <f t="shared" si="63"/>
        <v>0</v>
      </c>
      <c r="AC44" s="260">
        <f t="shared" si="64"/>
        <v>0</v>
      </c>
      <c r="AD44" s="260">
        <f t="shared" si="17"/>
        <v>0</v>
      </c>
      <c r="AE44" s="260">
        <f t="shared" si="18"/>
        <v>0</v>
      </c>
      <c r="AF44" s="260">
        <f t="shared" si="19"/>
        <v>0</v>
      </c>
      <c r="AG44" s="260">
        <f t="shared" si="20"/>
        <v>0</v>
      </c>
      <c r="AH44" s="260">
        <f t="shared" si="65"/>
        <v>0</v>
      </c>
      <c r="AI44" s="260">
        <f t="shared" si="66"/>
        <v>0</v>
      </c>
      <c r="AJ44" s="260">
        <f t="shared" si="67"/>
        <v>0</v>
      </c>
      <c r="AK44" s="260">
        <f t="shared" si="68"/>
        <v>0</v>
      </c>
      <c r="AL44" s="260">
        <f t="shared" si="69"/>
        <v>0</v>
      </c>
      <c r="AM44" s="260">
        <f t="shared" si="70"/>
        <v>0</v>
      </c>
      <c r="AN44" s="260">
        <f t="shared" si="71"/>
        <v>0</v>
      </c>
      <c r="AO44" s="260">
        <f t="shared" si="72"/>
        <v>0</v>
      </c>
      <c r="AP44" s="260">
        <f t="shared" si="21"/>
        <v>0</v>
      </c>
      <c r="AQ44" s="260">
        <f t="shared" si="22"/>
        <v>0</v>
      </c>
      <c r="AR44" s="260">
        <f t="shared" si="23"/>
        <v>0</v>
      </c>
      <c r="AS44" s="260">
        <f t="shared" si="24"/>
        <v>0</v>
      </c>
      <c r="AT44" s="260">
        <f t="shared" si="73"/>
        <v>0</v>
      </c>
      <c r="AU44" s="260">
        <f t="shared" si="74"/>
        <v>0</v>
      </c>
      <c r="AV44" s="260">
        <f t="shared" si="25"/>
        <v>0</v>
      </c>
      <c r="AW44" s="260">
        <f t="shared" si="26"/>
        <v>0</v>
      </c>
      <c r="AX44" s="260">
        <f t="shared" si="27"/>
        <v>0</v>
      </c>
      <c r="AY44" s="260">
        <f t="shared" si="28"/>
        <v>0</v>
      </c>
      <c r="AZ44" s="260">
        <f t="shared" si="29"/>
        <v>0</v>
      </c>
      <c r="BA44" s="260">
        <f t="shared" si="30"/>
        <v>0</v>
      </c>
      <c r="BB44" s="260">
        <f t="shared" si="31"/>
        <v>0</v>
      </c>
      <c r="BC44" s="260">
        <f t="shared" si="32"/>
        <v>0</v>
      </c>
      <c r="BD44" s="260">
        <f t="shared" si="33"/>
        <v>0</v>
      </c>
      <c r="BE44" s="260">
        <f t="shared" si="34"/>
        <v>0</v>
      </c>
      <c r="BF44" s="260">
        <f t="shared" si="35"/>
        <v>0</v>
      </c>
      <c r="BG44" s="260">
        <f t="shared" si="36"/>
        <v>0</v>
      </c>
      <c r="BH44" s="260">
        <f t="shared" si="75"/>
        <v>0</v>
      </c>
      <c r="BI44" s="260">
        <f t="shared" si="76"/>
        <v>0</v>
      </c>
      <c r="BJ44" s="260">
        <f t="shared" si="37"/>
        <v>0</v>
      </c>
      <c r="BK44" s="260">
        <f t="shared" si="38"/>
        <v>0</v>
      </c>
      <c r="BL44" s="260">
        <f t="shared" si="39"/>
        <v>0</v>
      </c>
      <c r="BM44" s="260">
        <f t="shared" si="40"/>
        <v>0</v>
      </c>
      <c r="BN44" s="260">
        <f t="shared" si="41"/>
        <v>0</v>
      </c>
      <c r="BO44" s="260">
        <f t="shared" si="42"/>
        <v>0</v>
      </c>
      <c r="BP44" s="260">
        <f t="shared" si="77"/>
        <v>0</v>
      </c>
      <c r="BQ44" s="260">
        <f t="shared" si="78"/>
        <v>0</v>
      </c>
      <c r="BR44" s="260">
        <f t="shared" si="43"/>
        <v>0</v>
      </c>
      <c r="BS44" s="260">
        <f t="shared" si="44"/>
        <v>0</v>
      </c>
      <c r="BT44" s="260">
        <f t="shared" si="79"/>
        <v>0</v>
      </c>
      <c r="BU44" s="260">
        <f t="shared" si="80"/>
        <v>0</v>
      </c>
      <c r="BV44" s="260">
        <f t="shared" si="81"/>
        <v>0</v>
      </c>
      <c r="BW44" s="260">
        <f t="shared" si="82"/>
        <v>0</v>
      </c>
      <c r="BX44" s="260">
        <f t="shared" si="45"/>
        <v>0</v>
      </c>
      <c r="BY44" s="260">
        <f t="shared" si="46"/>
        <v>0</v>
      </c>
      <c r="BZ44" s="260">
        <f t="shared" si="47"/>
        <v>0</v>
      </c>
      <c r="CA44" s="260">
        <f t="shared" si="48"/>
        <v>0</v>
      </c>
      <c r="CB44" s="260">
        <f t="shared" si="49"/>
        <v>0</v>
      </c>
      <c r="CC44" s="260">
        <f t="shared" si="50"/>
        <v>0</v>
      </c>
      <c r="CD44" s="260">
        <f t="shared" si="83"/>
        <v>0</v>
      </c>
      <c r="CE44" s="260">
        <f t="shared" si="84"/>
        <v>0</v>
      </c>
      <c r="CF44" s="260">
        <f t="shared" si="85"/>
        <v>0</v>
      </c>
      <c r="CG44" s="260">
        <f t="shared" si="86"/>
        <v>0</v>
      </c>
      <c r="CH44" s="260">
        <f t="shared" si="51"/>
        <v>0</v>
      </c>
      <c r="CI44" s="260">
        <f t="shared" si="52"/>
        <v>0</v>
      </c>
      <c r="CJ44" s="260">
        <f t="shared" si="87"/>
        <v>0</v>
      </c>
      <c r="CK44" s="260">
        <f t="shared" si="88"/>
        <v>0</v>
      </c>
      <c r="CL44" s="260">
        <f t="shared" si="53"/>
        <v>0</v>
      </c>
      <c r="CM44" s="260">
        <f t="shared" si="54"/>
        <v>0</v>
      </c>
      <c r="CN44" s="260">
        <f t="shared" si="55"/>
        <v>0</v>
      </c>
      <c r="CO44" s="260">
        <f t="shared" si="56"/>
        <v>0</v>
      </c>
      <c r="CP44" s="260">
        <f t="shared" si="89"/>
        <v>0</v>
      </c>
      <c r="CQ44" s="260">
        <f t="shared" si="90"/>
        <v>0</v>
      </c>
      <c r="CR44" s="260">
        <f t="shared" si="91"/>
        <v>0</v>
      </c>
      <c r="CS44" s="260">
        <f t="shared" ca="1" si="92"/>
        <v>0</v>
      </c>
      <c r="CT44" s="260">
        <f t="shared" si="57"/>
        <v>0</v>
      </c>
      <c r="CU44" s="260">
        <f t="shared" si="58"/>
        <v>0</v>
      </c>
      <c r="CV44" s="260">
        <f t="shared" si="59"/>
        <v>0</v>
      </c>
      <c r="CW44" s="260">
        <f t="shared" si="60"/>
        <v>0</v>
      </c>
      <c r="CX44" s="260">
        <f t="shared" si="93"/>
        <v>0</v>
      </c>
      <c r="CY44" s="260">
        <f t="shared" si="94"/>
        <v>0</v>
      </c>
      <c r="CZ44" s="260">
        <f t="shared" ca="1" si="95"/>
        <v>0</v>
      </c>
      <c r="DA44" s="260">
        <f t="shared" si="96"/>
        <v>0</v>
      </c>
    </row>
    <row r="45" spans="1:105" s="257" customFormat="1" ht="16.5" customHeight="1">
      <c r="A45" s="60">
        <f t="array" aca="1" ref="A45" ca="1">IF(C45&lt;&gt;0,SUM(($C$11:C45&lt;&gt;0)*1),"")</f>
        <v>7</v>
      </c>
      <c r="B45" s="258">
        <v>42735</v>
      </c>
      <c r="C45" s="261" t="s">
        <v>115</v>
      </c>
      <c r="D45" s="261">
        <f t="shared" si="97"/>
        <v>42735</v>
      </c>
      <c r="E45" s="760" t="s">
        <v>212</v>
      </c>
      <c r="F45" s="761"/>
      <c r="G45" s="762" t="s">
        <v>109</v>
      </c>
      <c r="H45" s="762" t="s">
        <v>94</v>
      </c>
      <c r="I45" s="60">
        <f t="shared" ca="1" si="0"/>
        <v>7</v>
      </c>
      <c r="J45" s="260">
        <f t="shared" si="61"/>
        <v>0</v>
      </c>
      <c r="K45" s="260">
        <f t="shared" si="62"/>
        <v>0</v>
      </c>
      <c r="L45" s="260">
        <f t="shared" si="1"/>
        <v>0</v>
      </c>
      <c r="M45" s="260">
        <f t="shared" si="2"/>
        <v>0</v>
      </c>
      <c r="N45" s="260">
        <f t="shared" si="3"/>
        <v>0</v>
      </c>
      <c r="O45" s="260">
        <f t="shared" si="4"/>
        <v>0</v>
      </c>
      <c r="P45" s="260">
        <f t="shared" si="5"/>
        <v>0</v>
      </c>
      <c r="Q45" s="260">
        <f t="shared" si="6"/>
        <v>0</v>
      </c>
      <c r="R45" s="260">
        <f t="shared" si="7"/>
        <v>0</v>
      </c>
      <c r="S45" s="260">
        <f t="shared" si="8"/>
        <v>0</v>
      </c>
      <c r="T45" s="260">
        <f t="shared" si="9"/>
        <v>0</v>
      </c>
      <c r="U45" s="260">
        <f t="shared" si="10"/>
        <v>0</v>
      </c>
      <c r="V45" s="260">
        <f t="shared" si="11"/>
        <v>0</v>
      </c>
      <c r="W45" s="260">
        <f t="shared" si="12"/>
        <v>0</v>
      </c>
      <c r="X45" s="260">
        <f t="shared" si="13"/>
        <v>0</v>
      </c>
      <c r="Y45" s="260">
        <f t="shared" si="14"/>
        <v>0</v>
      </c>
      <c r="Z45" s="260">
        <f t="shared" si="15"/>
        <v>0</v>
      </c>
      <c r="AA45" s="260">
        <f t="shared" si="16"/>
        <v>0</v>
      </c>
      <c r="AB45" s="260">
        <f t="shared" si="63"/>
        <v>0</v>
      </c>
      <c r="AC45" s="260">
        <f t="shared" si="64"/>
        <v>0</v>
      </c>
      <c r="AD45" s="260">
        <f t="shared" si="17"/>
        <v>0</v>
      </c>
      <c r="AE45" s="260">
        <f t="shared" si="18"/>
        <v>0</v>
      </c>
      <c r="AF45" s="260">
        <f t="shared" si="19"/>
        <v>0</v>
      </c>
      <c r="AG45" s="260">
        <f t="shared" si="20"/>
        <v>0</v>
      </c>
      <c r="AH45" s="260">
        <f t="shared" si="65"/>
        <v>0</v>
      </c>
      <c r="AI45" s="260">
        <f t="shared" si="66"/>
        <v>0</v>
      </c>
      <c r="AJ45" s="260">
        <f t="shared" si="67"/>
        <v>0</v>
      </c>
      <c r="AK45" s="260">
        <f t="shared" si="68"/>
        <v>0</v>
      </c>
      <c r="AL45" s="260">
        <f t="shared" si="69"/>
        <v>0</v>
      </c>
      <c r="AM45" s="260">
        <f t="shared" si="70"/>
        <v>0</v>
      </c>
      <c r="AN45" s="260">
        <f t="shared" si="71"/>
        <v>0</v>
      </c>
      <c r="AO45" s="260">
        <f t="shared" si="72"/>
        <v>0</v>
      </c>
      <c r="AP45" s="260">
        <f t="shared" si="21"/>
        <v>0</v>
      </c>
      <c r="AQ45" s="260">
        <f t="shared" si="22"/>
        <v>0</v>
      </c>
      <c r="AR45" s="260">
        <f t="shared" si="23"/>
        <v>0</v>
      </c>
      <c r="AS45" s="260">
        <f t="shared" si="24"/>
        <v>0</v>
      </c>
      <c r="AT45" s="260">
        <f t="shared" si="73"/>
        <v>0</v>
      </c>
      <c r="AU45" s="260">
        <f t="shared" si="74"/>
        <v>0</v>
      </c>
      <c r="AV45" s="260">
        <f t="shared" si="25"/>
        <v>0</v>
      </c>
      <c r="AW45" s="260">
        <f t="shared" si="26"/>
        <v>0</v>
      </c>
      <c r="AX45" s="260">
        <f t="shared" si="27"/>
        <v>0</v>
      </c>
      <c r="AY45" s="260">
        <f t="shared" si="28"/>
        <v>0</v>
      </c>
      <c r="AZ45" s="260">
        <f t="shared" si="29"/>
        <v>0</v>
      </c>
      <c r="BA45" s="260">
        <f t="shared" si="30"/>
        <v>0</v>
      </c>
      <c r="BB45" s="260">
        <f t="shared" si="31"/>
        <v>0</v>
      </c>
      <c r="BC45" s="260">
        <f t="shared" si="32"/>
        <v>0</v>
      </c>
      <c r="BD45" s="260">
        <f t="shared" si="33"/>
        <v>0</v>
      </c>
      <c r="BE45" s="260">
        <f t="shared" si="34"/>
        <v>0</v>
      </c>
      <c r="BF45" s="260">
        <f t="shared" si="35"/>
        <v>0</v>
      </c>
      <c r="BG45" s="260">
        <f t="shared" si="36"/>
        <v>0</v>
      </c>
      <c r="BH45" s="260">
        <f t="shared" si="75"/>
        <v>0</v>
      </c>
      <c r="BI45" s="260">
        <f t="shared" si="76"/>
        <v>0</v>
      </c>
      <c r="BJ45" s="260">
        <f t="shared" si="37"/>
        <v>0</v>
      </c>
      <c r="BK45" s="260">
        <f t="shared" si="38"/>
        <v>0</v>
      </c>
      <c r="BL45" s="260">
        <f t="shared" si="39"/>
        <v>0</v>
      </c>
      <c r="BM45" s="260">
        <f t="shared" si="40"/>
        <v>0</v>
      </c>
      <c r="BN45" s="260">
        <f t="shared" si="41"/>
        <v>0</v>
      </c>
      <c r="BO45" s="260">
        <f t="shared" si="42"/>
        <v>0</v>
      </c>
      <c r="BP45" s="260">
        <f t="shared" si="77"/>
        <v>0</v>
      </c>
      <c r="BQ45" s="260">
        <f t="shared" si="78"/>
        <v>0</v>
      </c>
      <c r="BR45" s="260">
        <f t="shared" si="43"/>
        <v>0</v>
      </c>
      <c r="BS45" s="260">
        <f t="shared" si="44"/>
        <v>0</v>
      </c>
      <c r="BT45" s="260">
        <f t="shared" si="79"/>
        <v>0</v>
      </c>
      <c r="BU45" s="260">
        <f t="shared" si="80"/>
        <v>0</v>
      </c>
      <c r="BV45" s="260">
        <f t="shared" si="81"/>
        <v>0</v>
      </c>
      <c r="BW45" s="260">
        <f t="shared" si="82"/>
        <v>0</v>
      </c>
      <c r="BX45" s="260">
        <f t="shared" si="45"/>
        <v>0</v>
      </c>
      <c r="BY45" s="260">
        <f t="shared" si="46"/>
        <v>0</v>
      </c>
      <c r="BZ45" s="260">
        <f t="shared" si="47"/>
        <v>0</v>
      </c>
      <c r="CA45" s="260">
        <f t="shared" si="48"/>
        <v>0</v>
      </c>
      <c r="CB45" s="260">
        <f t="shared" si="49"/>
        <v>0</v>
      </c>
      <c r="CC45" s="260">
        <f t="shared" si="50"/>
        <v>0</v>
      </c>
      <c r="CD45" s="260">
        <f t="shared" si="83"/>
        <v>0</v>
      </c>
      <c r="CE45" s="260">
        <f t="shared" si="84"/>
        <v>0</v>
      </c>
      <c r="CF45" s="260">
        <f t="shared" si="85"/>
        <v>0</v>
      </c>
      <c r="CG45" s="260">
        <f t="shared" si="86"/>
        <v>0</v>
      </c>
      <c r="CH45" s="260">
        <f t="shared" si="51"/>
        <v>0</v>
      </c>
      <c r="CI45" s="260">
        <f t="shared" si="52"/>
        <v>0</v>
      </c>
      <c r="CJ45" s="260">
        <f t="shared" si="87"/>
        <v>0</v>
      </c>
      <c r="CK45" s="260">
        <f t="shared" si="88"/>
        <v>0</v>
      </c>
      <c r="CL45" s="260">
        <f t="shared" si="53"/>
        <v>0</v>
      </c>
      <c r="CM45" s="260">
        <f t="shared" si="54"/>
        <v>0</v>
      </c>
      <c r="CN45" s="260">
        <f t="shared" si="55"/>
        <v>0</v>
      </c>
      <c r="CO45" s="260">
        <f t="shared" si="56"/>
        <v>0</v>
      </c>
      <c r="CP45" s="260">
        <f t="shared" si="89"/>
        <v>0</v>
      </c>
      <c r="CQ45" s="260">
        <f t="shared" si="90"/>
        <v>0</v>
      </c>
      <c r="CR45" s="260">
        <f t="shared" si="91"/>
        <v>0</v>
      </c>
      <c r="CS45" s="260">
        <f t="shared" si="92"/>
        <v>0</v>
      </c>
      <c r="CT45" s="260">
        <f t="shared" si="57"/>
        <v>0</v>
      </c>
      <c r="CU45" s="260">
        <f t="shared" si="58"/>
        <v>0</v>
      </c>
      <c r="CV45" s="260">
        <f t="shared" si="59"/>
        <v>0</v>
      </c>
      <c r="CW45" s="260">
        <f t="shared" si="60"/>
        <v>0</v>
      </c>
      <c r="CX45" s="260">
        <f t="shared" si="93"/>
        <v>0</v>
      </c>
      <c r="CY45" s="260">
        <f t="shared" si="94"/>
        <v>0</v>
      </c>
      <c r="CZ45" s="260">
        <f t="shared" si="95"/>
        <v>0</v>
      </c>
      <c r="DA45" s="260">
        <f t="shared" si="96"/>
        <v>0</v>
      </c>
    </row>
    <row r="46" spans="1:105" s="257" customFormat="1" ht="16.5" customHeight="1">
      <c r="A46" s="60">
        <f t="array" aca="1" ref="A46" ca="1">IF(C46&lt;&gt;0,SUM(($C$11:C46&lt;&gt;0)*1),"")</f>
        <v>8</v>
      </c>
      <c r="B46" s="258">
        <v>42735</v>
      </c>
      <c r="C46" s="261" t="s">
        <v>115</v>
      </c>
      <c r="D46" s="261">
        <f t="shared" si="97"/>
        <v>42735</v>
      </c>
      <c r="E46" s="760" t="s">
        <v>118</v>
      </c>
      <c r="F46" s="761">
        <f ca="1">CI52</f>
        <v>0</v>
      </c>
      <c r="G46" s="762" t="s">
        <v>43</v>
      </c>
      <c r="H46" s="762" t="s">
        <v>109</v>
      </c>
      <c r="I46" s="60">
        <f t="shared" ca="1" si="0"/>
        <v>8</v>
      </c>
      <c r="J46" s="260">
        <f t="shared" si="61"/>
        <v>0</v>
      </c>
      <c r="K46" s="260">
        <f t="shared" si="62"/>
        <v>0</v>
      </c>
      <c r="L46" s="260">
        <f t="shared" si="1"/>
        <v>0</v>
      </c>
      <c r="M46" s="260">
        <f t="shared" si="2"/>
        <v>0</v>
      </c>
      <c r="N46" s="260">
        <f t="shared" si="3"/>
        <v>0</v>
      </c>
      <c r="O46" s="260">
        <f t="shared" si="4"/>
        <v>0</v>
      </c>
      <c r="P46" s="260">
        <f t="shared" si="5"/>
        <v>0</v>
      </c>
      <c r="Q46" s="260">
        <f t="shared" si="6"/>
        <v>0</v>
      </c>
      <c r="R46" s="260">
        <f t="shared" si="7"/>
        <v>0</v>
      </c>
      <c r="S46" s="260">
        <f t="shared" si="8"/>
        <v>0</v>
      </c>
      <c r="T46" s="260">
        <f t="shared" si="9"/>
        <v>0</v>
      </c>
      <c r="U46" s="260">
        <f t="shared" si="10"/>
        <v>0</v>
      </c>
      <c r="V46" s="260">
        <f t="shared" si="11"/>
        <v>0</v>
      </c>
      <c r="W46" s="260">
        <f t="shared" si="12"/>
        <v>0</v>
      </c>
      <c r="X46" s="260">
        <f t="shared" si="13"/>
        <v>0</v>
      </c>
      <c r="Y46" s="260">
        <f t="shared" si="14"/>
        <v>0</v>
      </c>
      <c r="Z46" s="260">
        <f t="shared" si="15"/>
        <v>0</v>
      </c>
      <c r="AA46" s="260">
        <f t="shared" si="16"/>
        <v>0</v>
      </c>
      <c r="AB46" s="260">
        <f t="shared" si="63"/>
        <v>0</v>
      </c>
      <c r="AC46" s="260">
        <f t="shared" si="64"/>
        <v>0</v>
      </c>
      <c r="AD46" s="260">
        <f t="shared" si="17"/>
        <v>0</v>
      </c>
      <c r="AE46" s="260">
        <f t="shared" si="18"/>
        <v>0</v>
      </c>
      <c r="AF46" s="260">
        <f t="shared" si="19"/>
        <v>0</v>
      </c>
      <c r="AG46" s="260">
        <f t="shared" si="20"/>
        <v>0</v>
      </c>
      <c r="AH46" s="260">
        <f t="shared" si="65"/>
        <v>0</v>
      </c>
      <c r="AI46" s="260">
        <f t="shared" si="66"/>
        <v>0</v>
      </c>
      <c r="AJ46" s="260">
        <f t="shared" si="67"/>
        <v>0</v>
      </c>
      <c r="AK46" s="260">
        <f t="shared" si="68"/>
        <v>0</v>
      </c>
      <c r="AL46" s="260">
        <f t="shared" si="69"/>
        <v>0</v>
      </c>
      <c r="AM46" s="260">
        <f t="shared" si="70"/>
        <v>0</v>
      </c>
      <c r="AN46" s="260">
        <f t="shared" si="71"/>
        <v>0</v>
      </c>
      <c r="AO46" s="260">
        <f t="shared" si="72"/>
        <v>0</v>
      </c>
      <c r="AP46" s="260">
        <f t="shared" si="21"/>
        <v>0</v>
      </c>
      <c r="AQ46" s="260">
        <f t="shared" si="22"/>
        <v>0</v>
      </c>
      <c r="AR46" s="260">
        <f t="shared" si="23"/>
        <v>0</v>
      </c>
      <c r="AS46" s="260">
        <f t="shared" si="24"/>
        <v>0</v>
      </c>
      <c r="AT46" s="260">
        <f t="shared" si="73"/>
        <v>0</v>
      </c>
      <c r="AU46" s="260">
        <f t="shared" si="74"/>
        <v>0</v>
      </c>
      <c r="AV46" s="260">
        <f t="shared" si="25"/>
        <v>0</v>
      </c>
      <c r="AW46" s="260">
        <f t="shared" si="26"/>
        <v>0</v>
      </c>
      <c r="AX46" s="260">
        <f t="shared" si="27"/>
        <v>0</v>
      </c>
      <c r="AY46" s="260">
        <f t="shared" si="28"/>
        <v>0</v>
      </c>
      <c r="AZ46" s="260">
        <f t="shared" si="29"/>
        <v>0</v>
      </c>
      <c r="BA46" s="260">
        <f t="shared" si="30"/>
        <v>0</v>
      </c>
      <c r="BB46" s="260">
        <f t="shared" si="31"/>
        <v>0</v>
      </c>
      <c r="BC46" s="260">
        <f t="shared" si="32"/>
        <v>0</v>
      </c>
      <c r="BD46" s="260">
        <f t="shared" si="33"/>
        <v>0</v>
      </c>
      <c r="BE46" s="260">
        <f t="shared" si="34"/>
        <v>0</v>
      </c>
      <c r="BF46" s="260">
        <f t="shared" si="35"/>
        <v>0</v>
      </c>
      <c r="BG46" s="260">
        <f t="shared" si="36"/>
        <v>0</v>
      </c>
      <c r="BH46" s="260">
        <f t="shared" si="75"/>
        <v>0</v>
      </c>
      <c r="BI46" s="260">
        <f t="shared" si="76"/>
        <v>0</v>
      </c>
      <c r="BJ46" s="260">
        <f t="shared" si="37"/>
        <v>0</v>
      </c>
      <c r="BK46" s="260">
        <f t="shared" si="38"/>
        <v>0</v>
      </c>
      <c r="BL46" s="260">
        <f t="shared" si="39"/>
        <v>0</v>
      </c>
      <c r="BM46" s="260">
        <f t="shared" si="40"/>
        <v>0</v>
      </c>
      <c r="BN46" s="260">
        <f t="shared" si="41"/>
        <v>0</v>
      </c>
      <c r="BO46" s="260">
        <f t="shared" si="42"/>
        <v>0</v>
      </c>
      <c r="BP46" s="260">
        <f t="shared" si="77"/>
        <v>0</v>
      </c>
      <c r="BQ46" s="260">
        <f t="shared" si="78"/>
        <v>0</v>
      </c>
      <c r="BR46" s="260">
        <f t="shared" si="43"/>
        <v>0</v>
      </c>
      <c r="BS46" s="260">
        <f t="shared" si="44"/>
        <v>0</v>
      </c>
      <c r="BT46" s="260">
        <f t="shared" si="79"/>
        <v>0</v>
      </c>
      <c r="BU46" s="260">
        <f t="shared" si="80"/>
        <v>0</v>
      </c>
      <c r="BV46" s="260">
        <f t="shared" si="81"/>
        <v>0</v>
      </c>
      <c r="BW46" s="260">
        <f t="shared" si="82"/>
        <v>0</v>
      </c>
      <c r="BX46" s="260">
        <f t="shared" si="45"/>
        <v>0</v>
      </c>
      <c r="BY46" s="260">
        <f t="shared" si="46"/>
        <v>0</v>
      </c>
      <c r="BZ46" s="260">
        <f t="shared" si="47"/>
        <v>0</v>
      </c>
      <c r="CA46" s="260">
        <f t="shared" si="48"/>
        <v>0</v>
      </c>
      <c r="CB46" s="260">
        <f t="shared" si="49"/>
        <v>0</v>
      </c>
      <c r="CC46" s="260">
        <f t="shared" si="50"/>
        <v>0</v>
      </c>
      <c r="CD46" s="260">
        <f t="shared" si="83"/>
        <v>0</v>
      </c>
      <c r="CE46" s="260">
        <f t="shared" si="84"/>
        <v>0</v>
      </c>
      <c r="CF46" s="260">
        <f t="shared" si="85"/>
        <v>0</v>
      </c>
      <c r="CG46" s="260">
        <f t="shared" si="86"/>
        <v>0</v>
      </c>
      <c r="CH46" s="260">
        <f t="shared" ca="1" si="51"/>
        <v>0</v>
      </c>
      <c r="CI46" s="260">
        <f t="shared" si="52"/>
        <v>0</v>
      </c>
      <c r="CJ46" s="260">
        <f t="shared" si="87"/>
        <v>0</v>
      </c>
      <c r="CK46" s="260">
        <f t="shared" si="88"/>
        <v>0</v>
      </c>
      <c r="CL46" s="260">
        <f t="shared" si="53"/>
        <v>0</v>
      </c>
      <c r="CM46" s="260">
        <f t="shared" si="54"/>
        <v>0</v>
      </c>
      <c r="CN46" s="260">
        <f t="shared" si="55"/>
        <v>0</v>
      </c>
      <c r="CO46" s="260">
        <f t="shared" si="56"/>
        <v>0</v>
      </c>
      <c r="CP46" s="260">
        <f t="shared" si="89"/>
        <v>0</v>
      </c>
      <c r="CQ46" s="260">
        <f t="shared" si="90"/>
        <v>0</v>
      </c>
      <c r="CR46" s="260">
        <f t="shared" si="91"/>
        <v>0</v>
      </c>
      <c r="CS46" s="260">
        <f t="shared" si="92"/>
        <v>0</v>
      </c>
      <c r="CT46" s="260">
        <f t="shared" si="57"/>
        <v>0</v>
      </c>
      <c r="CU46" s="260">
        <f t="shared" si="58"/>
        <v>0</v>
      </c>
      <c r="CV46" s="260">
        <f t="shared" si="59"/>
        <v>0</v>
      </c>
      <c r="CW46" s="260">
        <f t="shared" si="60"/>
        <v>0</v>
      </c>
      <c r="CX46" s="260">
        <f t="shared" si="93"/>
        <v>0</v>
      </c>
      <c r="CY46" s="260">
        <f t="shared" si="94"/>
        <v>0</v>
      </c>
      <c r="CZ46" s="260">
        <f t="shared" si="95"/>
        <v>0</v>
      </c>
      <c r="DA46" s="260">
        <f t="shared" ca="1" si="96"/>
        <v>0</v>
      </c>
    </row>
    <row r="47" spans="1:105" s="257" customFormat="1" ht="16.5" customHeight="1">
      <c r="A47" s="60">
        <f t="array" aca="1" ref="A47" ca="1">IF(C47&lt;&gt;0,SUM(($C$11:C47&lt;&gt;0)*1),"")</f>
        <v>9</v>
      </c>
      <c r="B47" s="258">
        <v>42735</v>
      </c>
      <c r="C47" s="261" t="s">
        <v>115</v>
      </c>
      <c r="D47" s="261">
        <f t="shared" si="97"/>
        <v>42735</v>
      </c>
      <c r="E47" s="760" t="s">
        <v>593</v>
      </c>
      <c r="F47" s="761">
        <f ca="1">CE52</f>
        <v>0</v>
      </c>
      <c r="G47" s="762" t="s">
        <v>286</v>
      </c>
      <c r="H47" s="762" t="s">
        <v>109</v>
      </c>
      <c r="I47" s="60">
        <f t="shared" ca="1" si="0"/>
        <v>9</v>
      </c>
      <c r="J47" s="260">
        <f t="shared" si="61"/>
        <v>0</v>
      </c>
      <c r="K47" s="260">
        <f t="shared" si="62"/>
        <v>0</v>
      </c>
      <c r="L47" s="260">
        <f t="shared" si="1"/>
        <v>0</v>
      </c>
      <c r="M47" s="260">
        <f t="shared" si="2"/>
        <v>0</v>
      </c>
      <c r="N47" s="260">
        <f t="shared" si="3"/>
        <v>0</v>
      </c>
      <c r="O47" s="260">
        <f t="shared" si="4"/>
        <v>0</v>
      </c>
      <c r="P47" s="260">
        <f t="shared" si="5"/>
        <v>0</v>
      </c>
      <c r="Q47" s="260">
        <f t="shared" si="6"/>
        <v>0</v>
      </c>
      <c r="R47" s="260">
        <f t="shared" si="7"/>
        <v>0</v>
      </c>
      <c r="S47" s="260">
        <f t="shared" si="8"/>
        <v>0</v>
      </c>
      <c r="T47" s="260">
        <f t="shared" si="9"/>
        <v>0</v>
      </c>
      <c r="U47" s="260">
        <f t="shared" si="10"/>
        <v>0</v>
      </c>
      <c r="V47" s="260">
        <f t="shared" si="11"/>
        <v>0</v>
      </c>
      <c r="W47" s="260">
        <f t="shared" si="12"/>
        <v>0</v>
      </c>
      <c r="X47" s="260">
        <f t="shared" si="13"/>
        <v>0</v>
      </c>
      <c r="Y47" s="260">
        <f t="shared" si="14"/>
        <v>0</v>
      </c>
      <c r="Z47" s="260">
        <f t="shared" si="15"/>
        <v>0</v>
      </c>
      <c r="AA47" s="260">
        <f t="shared" si="16"/>
        <v>0</v>
      </c>
      <c r="AB47" s="260">
        <f t="shared" si="63"/>
        <v>0</v>
      </c>
      <c r="AC47" s="260">
        <f t="shared" si="64"/>
        <v>0</v>
      </c>
      <c r="AD47" s="260">
        <f t="shared" si="17"/>
        <v>0</v>
      </c>
      <c r="AE47" s="260">
        <f t="shared" si="18"/>
        <v>0</v>
      </c>
      <c r="AF47" s="260">
        <f t="shared" si="19"/>
        <v>0</v>
      </c>
      <c r="AG47" s="260">
        <f t="shared" si="20"/>
        <v>0</v>
      </c>
      <c r="AH47" s="260">
        <f t="shared" si="65"/>
        <v>0</v>
      </c>
      <c r="AI47" s="260">
        <f t="shared" si="66"/>
        <v>0</v>
      </c>
      <c r="AJ47" s="260">
        <f t="shared" si="67"/>
        <v>0</v>
      </c>
      <c r="AK47" s="260">
        <f t="shared" si="68"/>
        <v>0</v>
      </c>
      <c r="AL47" s="260">
        <f t="shared" si="69"/>
        <v>0</v>
      </c>
      <c r="AM47" s="260">
        <f t="shared" si="70"/>
        <v>0</v>
      </c>
      <c r="AN47" s="260">
        <f t="shared" si="71"/>
        <v>0</v>
      </c>
      <c r="AO47" s="260">
        <f t="shared" si="72"/>
        <v>0</v>
      </c>
      <c r="AP47" s="260">
        <f t="shared" si="21"/>
        <v>0</v>
      </c>
      <c r="AQ47" s="260">
        <f t="shared" si="22"/>
        <v>0</v>
      </c>
      <c r="AR47" s="260">
        <f t="shared" si="23"/>
        <v>0</v>
      </c>
      <c r="AS47" s="260">
        <f t="shared" si="24"/>
        <v>0</v>
      </c>
      <c r="AT47" s="260">
        <f t="shared" si="73"/>
        <v>0</v>
      </c>
      <c r="AU47" s="260">
        <f t="shared" si="74"/>
        <v>0</v>
      </c>
      <c r="AV47" s="260">
        <f t="shared" si="25"/>
        <v>0</v>
      </c>
      <c r="AW47" s="260">
        <f t="shared" si="26"/>
        <v>0</v>
      </c>
      <c r="AX47" s="260">
        <f t="shared" si="27"/>
        <v>0</v>
      </c>
      <c r="AY47" s="260">
        <f t="shared" si="28"/>
        <v>0</v>
      </c>
      <c r="AZ47" s="260">
        <f t="shared" si="29"/>
        <v>0</v>
      </c>
      <c r="BA47" s="260">
        <f t="shared" si="30"/>
        <v>0</v>
      </c>
      <c r="BB47" s="260">
        <f t="shared" si="31"/>
        <v>0</v>
      </c>
      <c r="BC47" s="260">
        <f t="shared" si="32"/>
        <v>0</v>
      </c>
      <c r="BD47" s="260">
        <f t="shared" si="33"/>
        <v>0</v>
      </c>
      <c r="BE47" s="260">
        <f t="shared" si="34"/>
        <v>0</v>
      </c>
      <c r="BF47" s="260">
        <f t="shared" si="35"/>
        <v>0</v>
      </c>
      <c r="BG47" s="260">
        <f t="shared" si="36"/>
        <v>0</v>
      </c>
      <c r="BH47" s="260">
        <f t="shared" si="75"/>
        <v>0</v>
      </c>
      <c r="BI47" s="260">
        <f t="shared" si="76"/>
        <v>0</v>
      </c>
      <c r="BJ47" s="260">
        <f t="shared" si="37"/>
        <v>0</v>
      </c>
      <c r="BK47" s="260">
        <f t="shared" si="38"/>
        <v>0</v>
      </c>
      <c r="BL47" s="260">
        <f t="shared" si="39"/>
        <v>0</v>
      </c>
      <c r="BM47" s="260">
        <f t="shared" si="40"/>
        <v>0</v>
      </c>
      <c r="BN47" s="260">
        <f t="shared" si="41"/>
        <v>0</v>
      </c>
      <c r="BO47" s="260">
        <f t="shared" si="42"/>
        <v>0</v>
      </c>
      <c r="BP47" s="260">
        <f t="shared" si="77"/>
        <v>0</v>
      </c>
      <c r="BQ47" s="260">
        <f t="shared" si="78"/>
        <v>0</v>
      </c>
      <c r="BR47" s="260">
        <f t="shared" si="43"/>
        <v>0</v>
      </c>
      <c r="BS47" s="260">
        <f t="shared" si="44"/>
        <v>0</v>
      </c>
      <c r="BT47" s="260">
        <f t="shared" si="79"/>
        <v>0</v>
      </c>
      <c r="BU47" s="260">
        <f t="shared" si="80"/>
        <v>0</v>
      </c>
      <c r="BV47" s="260">
        <f t="shared" si="81"/>
        <v>0</v>
      </c>
      <c r="BW47" s="260">
        <f t="shared" si="82"/>
        <v>0</v>
      </c>
      <c r="BX47" s="260">
        <f t="shared" si="45"/>
        <v>0</v>
      </c>
      <c r="BY47" s="260">
        <f t="shared" si="46"/>
        <v>0</v>
      </c>
      <c r="BZ47" s="260">
        <f t="shared" si="47"/>
        <v>0</v>
      </c>
      <c r="CA47" s="260">
        <f t="shared" si="48"/>
        <v>0</v>
      </c>
      <c r="CB47" s="260">
        <f t="shared" si="49"/>
        <v>0</v>
      </c>
      <c r="CC47" s="260">
        <f t="shared" si="50"/>
        <v>0</v>
      </c>
      <c r="CD47" s="260">
        <f t="shared" ca="1" si="83"/>
        <v>0</v>
      </c>
      <c r="CE47" s="260">
        <f t="shared" si="84"/>
        <v>0</v>
      </c>
      <c r="CF47" s="260">
        <f t="shared" si="85"/>
        <v>0</v>
      </c>
      <c r="CG47" s="260">
        <f t="shared" si="86"/>
        <v>0</v>
      </c>
      <c r="CH47" s="260">
        <f t="shared" si="51"/>
        <v>0</v>
      </c>
      <c r="CI47" s="260">
        <f t="shared" si="52"/>
        <v>0</v>
      </c>
      <c r="CJ47" s="260">
        <f t="shared" si="87"/>
        <v>0</v>
      </c>
      <c r="CK47" s="260">
        <f t="shared" si="88"/>
        <v>0</v>
      </c>
      <c r="CL47" s="260">
        <f t="shared" si="53"/>
        <v>0</v>
      </c>
      <c r="CM47" s="260">
        <f t="shared" si="54"/>
        <v>0</v>
      </c>
      <c r="CN47" s="260">
        <f t="shared" si="55"/>
        <v>0</v>
      </c>
      <c r="CO47" s="260">
        <f t="shared" si="56"/>
        <v>0</v>
      </c>
      <c r="CP47" s="260">
        <f t="shared" si="89"/>
        <v>0</v>
      </c>
      <c r="CQ47" s="260">
        <f t="shared" si="90"/>
        <v>0</v>
      </c>
      <c r="CR47" s="260">
        <f t="shared" si="91"/>
        <v>0</v>
      </c>
      <c r="CS47" s="260">
        <f t="shared" si="92"/>
        <v>0</v>
      </c>
      <c r="CT47" s="260">
        <f t="shared" si="57"/>
        <v>0</v>
      </c>
      <c r="CU47" s="260">
        <f t="shared" si="58"/>
        <v>0</v>
      </c>
      <c r="CV47" s="260">
        <f t="shared" si="59"/>
        <v>0</v>
      </c>
      <c r="CW47" s="260">
        <f t="shared" si="60"/>
        <v>0</v>
      </c>
      <c r="CX47" s="260">
        <f t="shared" si="93"/>
        <v>0</v>
      </c>
      <c r="CY47" s="260">
        <f t="shared" si="94"/>
        <v>0</v>
      </c>
      <c r="CZ47" s="260">
        <f t="shared" si="95"/>
        <v>0</v>
      </c>
      <c r="DA47" s="260">
        <f t="shared" ca="1" si="96"/>
        <v>0</v>
      </c>
    </row>
    <row r="48" spans="1:105" s="257" customFormat="1" ht="16.5" customHeight="1">
      <c r="A48" s="60">
        <f t="array" aca="1" ref="A48" ca="1">IF(C48&lt;&gt;0,SUM(($C$11:C48&lt;&gt;0)*1),"")</f>
        <v>10</v>
      </c>
      <c r="B48" s="258">
        <v>42735</v>
      </c>
      <c r="C48" s="261" t="s">
        <v>115</v>
      </c>
      <c r="D48" s="261">
        <f t="shared" si="97"/>
        <v>42735</v>
      </c>
      <c r="E48" s="760" t="s">
        <v>594</v>
      </c>
      <c r="F48" s="761">
        <f ca="1">CG52</f>
        <v>0</v>
      </c>
      <c r="G48" s="762" t="s">
        <v>288</v>
      </c>
      <c r="H48" s="762" t="s">
        <v>109</v>
      </c>
      <c r="I48" s="60">
        <f t="shared" ca="1" si="0"/>
        <v>10</v>
      </c>
      <c r="J48" s="260">
        <f t="shared" si="61"/>
        <v>0</v>
      </c>
      <c r="K48" s="260">
        <f t="shared" si="62"/>
        <v>0</v>
      </c>
      <c r="L48" s="260">
        <f t="shared" si="1"/>
        <v>0</v>
      </c>
      <c r="M48" s="260">
        <f t="shared" si="2"/>
        <v>0</v>
      </c>
      <c r="N48" s="260">
        <f t="shared" si="3"/>
        <v>0</v>
      </c>
      <c r="O48" s="260">
        <f t="shared" si="4"/>
        <v>0</v>
      </c>
      <c r="P48" s="260">
        <f t="shared" si="5"/>
        <v>0</v>
      </c>
      <c r="Q48" s="260">
        <f t="shared" si="6"/>
        <v>0</v>
      </c>
      <c r="R48" s="260">
        <f t="shared" si="7"/>
        <v>0</v>
      </c>
      <c r="S48" s="260">
        <f t="shared" si="8"/>
        <v>0</v>
      </c>
      <c r="T48" s="260">
        <f t="shared" si="9"/>
        <v>0</v>
      </c>
      <c r="U48" s="260">
        <f t="shared" si="10"/>
        <v>0</v>
      </c>
      <c r="V48" s="260">
        <f t="shared" si="11"/>
        <v>0</v>
      </c>
      <c r="W48" s="260">
        <f t="shared" si="12"/>
        <v>0</v>
      </c>
      <c r="X48" s="260">
        <f t="shared" si="13"/>
        <v>0</v>
      </c>
      <c r="Y48" s="260">
        <f t="shared" si="14"/>
        <v>0</v>
      </c>
      <c r="Z48" s="260">
        <f t="shared" si="15"/>
        <v>0</v>
      </c>
      <c r="AA48" s="260">
        <f t="shared" si="16"/>
        <v>0</v>
      </c>
      <c r="AB48" s="260">
        <f t="shared" si="63"/>
        <v>0</v>
      </c>
      <c r="AC48" s="260">
        <f t="shared" si="64"/>
        <v>0</v>
      </c>
      <c r="AD48" s="260">
        <f t="shared" si="17"/>
        <v>0</v>
      </c>
      <c r="AE48" s="260">
        <f t="shared" si="18"/>
        <v>0</v>
      </c>
      <c r="AF48" s="260">
        <f t="shared" si="19"/>
        <v>0</v>
      </c>
      <c r="AG48" s="260">
        <f t="shared" si="20"/>
        <v>0</v>
      </c>
      <c r="AH48" s="260">
        <f t="shared" si="65"/>
        <v>0</v>
      </c>
      <c r="AI48" s="260">
        <f t="shared" si="66"/>
        <v>0</v>
      </c>
      <c r="AJ48" s="260">
        <f t="shared" si="67"/>
        <v>0</v>
      </c>
      <c r="AK48" s="260">
        <f t="shared" si="68"/>
        <v>0</v>
      </c>
      <c r="AL48" s="260">
        <f t="shared" si="69"/>
        <v>0</v>
      </c>
      <c r="AM48" s="260">
        <f t="shared" si="70"/>
        <v>0</v>
      </c>
      <c r="AN48" s="260">
        <f t="shared" si="71"/>
        <v>0</v>
      </c>
      <c r="AO48" s="260">
        <f t="shared" si="72"/>
        <v>0</v>
      </c>
      <c r="AP48" s="260">
        <f t="shared" si="21"/>
        <v>0</v>
      </c>
      <c r="AQ48" s="260">
        <f t="shared" si="22"/>
        <v>0</v>
      </c>
      <c r="AR48" s="260">
        <f t="shared" si="23"/>
        <v>0</v>
      </c>
      <c r="AS48" s="260">
        <f t="shared" si="24"/>
        <v>0</v>
      </c>
      <c r="AT48" s="260">
        <f t="shared" si="73"/>
        <v>0</v>
      </c>
      <c r="AU48" s="260">
        <f t="shared" si="74"/>
        <v>0</v>
      </c>
      <c r="AV48" s="260">
        <f t="shared" si="25"/>
        <v>0</v>
      </c>
      <c r="AW48" s="260">
        <f t="shared" si="26"/>
        <v>0</v>
      </c>
      <c r="AX48" s="260">
        <f t="shared" si="27"/>
        <v>0</v>
      </c>
      <c r="AY48" s="260">
        <f t="shared" si="28"/>
        <v>0</v>
      </c>
      <c r="AZ48" s="260">
        <f t="shared" si="29"/>
        <v>0</v>
      </c>
      <c r="BA48" s="260">
        <f t="shared" si="30"/>
        <v>0</v>
      </c>
      <c r="BB48" s="260">
        <f t="shared" si="31"/>
        <v>0</v>
      </c>
      <c r="BC48" s="260">
        <f t="shared" si="32"/>
        <v>0</v>
      </c>
      <c r="BD48" s="260">
        <f t="shared" si="33"/>
        <v>0</v>
      </c>
      <c r="BE48" s="260">
        <f t="shared" si="34"/>
        <v>0</v>
      </c>
      <c r="BF48" s="260">
        <f t="shared" si="35"/>
        <v>0</v>
      </c>
      <c r="BG48" s="260">
        <f t="shared" si="36"/>
        <v>0</v>
      </c>
      <c r="BH48" s="260">
        <f t="shared" si="75"/>
        <v>0</v>
      </c>
      <c r="BI48" s="260">
        <f t="shared" si="76"/>
        <v>0</v>
      </c>
      <c r="BJ48" s="260">
        <f t="shared" si="37"/>
        <v>0</v>
      </c>
      <c r="BK48" s="260">
        <f t="shared" si="38"/>
        <v>0</v>
      </c>
      <c r="BL48" s="260">
        <f t="shared" si="39"/>
        <v>0</v>
      </c>
      <c r="BM48" s="260">
        <f t="shared" si="40"/>
        <v>0</v>
      </c>
      <c r="BN48" s="260">
        <f t="shared" si="41"/>
        <v>0</v>
      </c>
      <c r="BO48" s="260">
        <f t="shared" si="42"/>
        <v>0</v>
      </c>
      <c r="BP48" s="260">
        <f t="shared" si="77"/>
        <v>0</v>
      </c>
      <c r="BQ48" s="260">
        <f t="shared" si="78"/>
        <v>0</v>
      </c>
      <c r="BR48" s="260">
        <f t="shared" si="43"/>
        <v>0</v>
      </c>
      <c r="BS48" s="260">
        <f t="shared" si="44"/>
        <v>0</v>
      </c>
      <c r="BT48" s="260">
        <f t="shared" si="79"/>
        <v>0</v>
      </c>
      <c r="BU48" s="260">
        <f t="shared" si="80"/>
        <v>0</v>
      </c>
      <c r="BV48" s="260">
        <f t="shared" si="81"/>
        <v>0</v>
      </c>
      <c r="BW48" s="260">
        <f t="shared" si="82"/>
        <v>0</v>
      </c>
      <c r="BX48" s="260">
        <f t="shared" si="45"/>
        <v>0</v>
      </c>
      <c r="BY48" s="260">
        <f t="shared" si="46"/>
        <v>0</v>
      </c>
      <c r="BZ48" s="260">
        <f t="shared" si="47"/>
        <v>0</v>
      </c>
      <c r="CA48" s="260">
        <f t="shared" si="48"/>
        <v>0</v>
      </c>
      <c r="CB48" s="260">
        <f t="shared" si="49"/>
        <v>0</v>
      </c>
      <c r="CC48" s="260">
        <f t="shared" si="50"/>
        <v>0</v>
      </c>
      <c r="CD48" s="260">
        <f t="shared" si="83"/>
        <v>0</v>
      </c>
      <c r="CE48" s="260">
        <f t="shared" si="84"/>
        <v>0</v>
      </c>
      <c r="CF48" s="260">
        <f t="shared" ca="1" si="85"/>
        <v>0</v>
      </c>
      <c r="CG48" s="260">
        <f t="shared" si="86"/>
        <v>0</v>
      </c>
      <c r="CH48" s="260">
        <f t="shared" si="51"/>
        <v>0</v>
      </c>
      <c r="CI48" s="260">
        <f t="shared" si="52"/>
        <v>0</v>
      </c>
      <c r="CJ48" s="260">
        <f t="shared" si="87"/>
        <v>0</v>
      </c>
      <c r="CK48" s="260">
        <f t="shared" si="88"/>
        <v>0</v>
      </c>
      <c r="CL48" s="260">
        <f t="shared" si="53"/>
        <v>0</v>
      </c>
      <c r="CM48" s="260">
        <f t="shared" si="54"/>
        <v>0</v>
      </c>
      <c r="CN48" s="260">
        <f t="shared" si="55"/>
        <v>0</v>
      </c>
      <c r="CO48" s="260">
        <f t="shared" si="56"/>
        <v>0</v>
      </c>
      <c r="CP48" s="260">
        <f t="shared" si="89"/>
        <v>0</v>
      </c>
      <c r="CQ48" s="260">
        <f t="shared" si="90"/>
        <v>0</v>
      </c>
      <c r="CR48" s="260">
        <f t="shared" si="91"/>
        <v>0</v>
      </c>
      <c r="CS48" s="260">
        <f t="shared" si="92"/>
        <v>0</v>
      </c>
      <c r="CT48" s="260">
        <f t="shared" si="57"/>
        <v>0</v>
      </c>
      <c r="CU48" s="260">
        <f t="shared" si="58"/>
        <v>0</v>
      </c>
      <c r="CV48" s="260">
        <f t="shared" si="59"/>
        <v>0</v>
      </c>
      <c r="CW48" s="260">
        <f t="shared" si="60"/>
        <v>0</v>
      </c>
      <c r="CX48" s="260">
        <f t="shared" si="93"/>
        <v>0</v>
      </c>
      <c r="CY48" s="260">
        <f t="shared" si="94"/>
        <v>0</v>
      </c>
      <c r="CZ48" s="260">
        <f t="shared" si="95"/>
        <v>0</v>
      </c>
      <c r="DA48" s="260">
        <f t="shared" ca="1" si="96"/>
        <v>0</v>
      </c>
    </row>
    <row r="49" spans="1:105" s="257" customFormat="1" ht="16.5" customHeight="1">
      <c r="A49" s="60">
        <f t="array" aca="1" ref="A49" ca="1">IF(C49&lt;&gt;0,SUM(($C$11:C49&lt;&gt;0)*1),"")</f>
        <v>11</v>
      </c>
      <c r="B49" s="258">
        <v>42735</v>
      </c>
      <c r="C49" s="261" t="s">
        <v>115</v>
      </c>
      <c r="D49" s="261">
        <f t="shared" si="97"/>
        <v>42735</v>
      </c>
      <c r="E49" s="760" t="s">
        <v>119</v>
      </c>
      <c r="F49" s="761">
        <f ca="1">CU52</f>
        <v>0</v>
      </c>
      <c r="G49" s="762" t="s">
        <v>103</v>
      </c>
      <c r="H49" s="762" t="s">
        <v>109</v>
      </c>
      <c r="I49" s="60">
        <f t="shared" ca="1" si="0"/>
        <v>11</v>
      </c>
      <c r="J49" s="260">
        <f t="shared" si="61"/>
        <v>0</v>
      </c>
      <c r="K49" s="260">
        <f t="shared" si="62"/>
        <v>0</v>
      </c>
      <c r="L49" s="260">
        <f t="shared" si="1"/>
        <v>0</v>
      </c>
      <c r="M49" s="260">
        <f t="shared" si="2"/>
        <v>0</v>
      </c>
      <c r="N49" s="260">
        <f t="shared" si="3"/>
        <v>0</v>
      </c>
      <c r="O49" s="260">
        <f t="shared" si="4"/>
        <v>0</v>
      </c>
      <c r="P49" s="260">
        <f t="shared" si="5"/>
        <v>0</v>
      </c>
      <c r="Q49" s="260">
        <f t="shared" si="6"/>
        <v>0</v>
      </c>
      <c r="R49" s="260">
        <f t="shared" si="7"/>
        <v>0</v>
      </c>
      <c r="S49" s="260">
        <f t="shared" si="8"/>
        <v>0</v>
      </c>
      <c r="T49" s="260">
        <f t="shared" si="9"/>
        <v>0</v>
      </c>
      <c r="U49" s="260">
        <f t="shared" si="10"/>
        <v>0</v>
      </c>
      <c r="V49" s="260">
        <f t="shared" si="11"/>
        <v>0</v>
      </c>
      <c r="W49" s="260">
        <f t="shared" si="12"/>
        <v>0</v>
      </c>
      <c r="X49" s="260">
        <f t="shared" si="13"/>
        <v>0</v>
      </c>
      <c r="Y49" s="260">
        <f t="shared" si="14"/>
        <v>0</v>
      </c>
      <c r="Z49" s="260">
        <f t="shared" si="15"/>
        <v>0</v>
      </c>
      <c r="AA49" s="260">
        <f t="shared" si="16"/>
        <v>0</v>
      </c>
      <c r="AB49" s="260">
        <f t="shared" si="63"/>
        <v>0</v>
      </c>
      <c r="AC49" s="260">
        <f t="shared" si="64"/>
        <v>0</v>
      </c>
      <c r="AD49" s="260">
        <f t="shared" si="17"/>
        <v>0</v>
      </c>
      <c r="AE49" s="260">
        <f t="shared" si="18"/>
        <v>0</v>
      </c>
      <c r="AF49" s="260">
        <f t="shared" si="19"/>
        <v>0</v>
      </c>
      <c r="AG49" s="260">
        <f t="shared" si="20"/>
        <v>0</v>
      </c>
      <c r="AH49" s="260">
        <f t="shared" si="65"/>
        <v>0</v>
      </c>
      <c r="AI49" s="260">
        <f t="shared" si="66"/>
        <v>0</v>
      </c>
      <c r="AJ49" s="260">
        <f t="shared" si="67"/>
        <v>0</v>
      </c>
      <c r="AK49" s="260">
        <f t="shared" si="68"/>
        <v>0</v>
      </c>
      <c r="AL49" s="260">
        <f t="shared" si="69"/>
        <v>0</v>
      </c>
      <c r="AM49" s="260">
        <f t="shared" si="70"/>
        <v>0</v>
      </c>
      <c r="AN49" s="260">
        <f t="shared" si="71"/>
        <v>0</v>
      </c>
      <c r="AO49" s="260">
        <f t="shared" si="72"/>
        <v>0</v>
      </c>
      <c r="AP49" s="260">
        <f t="shared" si="21"/>
        <v>0</v>
      </c>
      <c r="AQ49" s="260">
        <f t="shared" si="22"/>
        <v>0</v>
      </c>
      <c r="AR49" s="260">
        <f t="shared" si="23"/>
        <v>0</v>
      </c>
      <c r="AS49" s="260">
        <f t="shared" si="24"/>
        <v>0</v>
      </c>
      <c r="AT49" s="260">
        <f t="shared" si="73"/>
        <v>0</v>
      </c>
      <c r="AU49" s="260">
        <f t="shared" si="74"/>
        <v>0</v>
      </c>
      <c r="AV49" s="260">
        <f t="shared" si="25"/>
        <v>0</v>
      </c>
      <c r="AW49" s="260">
        <f t="shared" si="26"/>
        <v>0</v>
      </c>
      <c r="AX49" s="260">
        <f t="shared" si="27"/>
        <v>0</v>
      </c>
      <c r="AY49" s="260">
        <f t="shared" si="28"/>
        <v>0</v>
      </c>
      <c r="AZ49" s="260">
        <f t="shared" si="29"/>
        <v>0</v>
      </c>
      <c r="BA49" s="260">
        <f t="shared" si="30"/>
        <v>0</v>
      </c>
      <c r="BB49" s="260">
        <f t="shared" si="31"/>
        <v>0</v>
      </c>
      <c r="BC49" s="260">
        <f t="shared" si="32"/>
        <v>0</v>
      </c>
      <c r="BD49" s="260">
        <f t="shared" si="33"/>
        <v>0</v>
      </c>
      <c r="BE49" s="260">
        <f t="shared" si="34"/>
        <v>0</v>
      </c>
      <c r="BF49" s="260">
        <f t="shared" si="35"/>
        <v>0</v>
      </c>
      <c r="BG49" s="260">
        <f t="shared" si="36"/>
        <v>0</v>
      </c>
      <c r="BH49" s="260">
        <f t="shared" si="75"/>
        <v>0</v>
      </c>
      <c r="BI49" s="260">
        <f t="shared" si="76"/>
        <v>0</v>
      </c>
      <c r="BJ49" s="260">
        <f t="shared" si="37"/>
        <v>0</v>
      </c>
      <c r="BK49" s="260">
        <f t="shared" si="38"/>
        <v>0</v>
      </c>
      <c r="BL49" s="260">
        <f t="shared" si="39"/>
        <v>0</v>
      </c>
      <c r="BM49" s="260">
        <f t="shared" si="40"/>
        <v>0</v>
      </c>
      <c r="BN49" s="260">
        <f t="shared" si="41"/>
        <v>0</v>
      </c>
      <c r="BO49" s="260">
        <f t="shared" si="42"/>
        <v>0</v>
      </c>
      <c r="BP49" s="260">
        <f t="shared" si="77"/>
        <v>0</v>
      </c>
      <c r="BQ49" s="260">
        <f t="shared" si="78"/>
        <v>0</v>
      </c>
      <c r="BR49" s="260">
        <f t="shared" si="43"/>
        <v>0</v>
      </c>
      <c r="BS49" s="260">
        <f t="shared" si="44"/>
        <v>0</v>
      </c>
      <c r="BT49" s="260">
        <f t="shared" si="79"/>
        <v>0</v>
      </c>
      <c r="BU49" s="260">
        <f t="shared" si="80"/>
        <v>0</v>
      </c>
      <c r="BV49" s="260">
        <f t="shared" si="81"/>
        <v>0</v>
      </c>
      <c r="BW49" s="260">
        <f t="shared" si="82"/>
        <v>0</v>
      </c>
      <c r="BX49" s="260">
        <f t="shared" si="45"/>
        <v>0</v>
      </c>
      <c r="BY49" s="260">
        <f t="shared" si="46"/>
        <v>0</v>
      </c>
      <c r="BZ49" s="260">
        <f t="shared" si="47"/>
        <v>0</v>
      </c>
      <c r="CA49" s="260">
        <f t="shared" si="48"/>
        <v>0</v>
      </c>
      <c r="CB49" s="260">
        <f t="shared" si="49"/>
        <v>0</v>
      </c>
      <c r="CC49" s="260">
        <f t="shared" si="50"/>
        <v>0</v>
      </c>
      <c r="CD49" s="260">
        <f t="shared" si="83"/>
        <v>0</v>
      </c>
      <c r="CE49" s="260">
        <f t="shared" si="84"/>
        <v>0</v>
      </c>
      <c r="CF49" s="260">
        <f t="shared" si="85"/>
        <v>0</v>
      </c>
      <c r="CG49" s="260">
        <f t="shared" si="86"/>
        <v>0</v>
      </c>
      <c r="CH49" s="260">
        <f t="shared" si="51"/>
        <v>0</v>
      </c>
      <c r="CI49" s="260">
        <f t="shared" si="52"/>
        <v>0</v>
      </c>
      <c r="CJ49" s="260">
        <f t="shared" si="87"/>
        <v>0</v>
      </c>
      <c r="CK49" s="260">
        <f t="shared" si="88"/>
        <v>0</v>
      </c>
      <c r="CL49" s="260">
        <f t="shared" si="53"/>
        <v>0</v>
      </c>
      <c r="CM49" s="260">
        <f t="shared" si="54"/>
        <v>0</v>
      </c>
      <c r="CN49" s="260">
        <f t="shared" si="55"/>
        <v>0</v>
      </c>
      <c r="CO49" s="260">
        <f t="shared" si="56"/>
        <v>0</v>
      </c>
      <c r="CP49" s="260">
        <f t="shared" si="89"/>
        <v>0</v>
      </c>
      <c r="CQ49" s="260">
        <f t="shared" si="90"/>
        <v>0</v>
      </c>
      <c r="CR49" s="260">
        <f t="shared" si="91"/>
        <v>0</v>
      </c>
      <c r="CS49" s="260">
        <f t="shared" si="92"/>
        <v>0</v>
      </c>
      <c r="CT49" s="260">
        <f t="shared" ca="1" si="57"/>
        <v>0</v>
      </c>
      <c r="CU49" s="260">
        <f t="shared" si="58"/>
        <v>0</v>
      </c>
      <c r="CV49" s="260">
        <f t="shared" si="59"/>
        <v>0</v>
      </c>
      <c r="CW49" s="260">
        <f t="shared" si="60"/>
        <v>0</v>
      </c>
      <c r="CX49" s="260">
        <f t="shared" si="93"/>
        <v>0</v>
      </c>
      <c r="CY49" s="260">
        <f t="shared" si="94"/>
        <v>0</v>
      </c>
      <c r="CZ49" s="260">
        <f t="shared" si="95"/>
        <v>0</v>
      </c>
      <c r="DA49" s="260">
        <f t="shared" ca="1" si="96"/>
        <v>0</v>
      </c>
    </row>
    <row r="50" spans="1:105" s="257" customFormat="1" ht="16.5" customHeight="1">
      <c r="A50" s="60">
        <f t="array" aca="1" ref="A50" ca="1">IF(C50&lt;&gt;0,SUM(($C$11:C50&lt;&gt;0)*1),"")</f>
        <v>12</v>
      </c>
      <c r="B50" s="258">
        <v>42735</v>
      </c>
      <c r="C50" s="261" t="s">
        <v>115</v>
      </c>
      <c r="D50" s="261">
        <f t="shared" si="97"/>
        <v>42735</v>
      </c>
      <c r="E50" s="760" t="s">
        <v>120</v>
      </c>
      <c r="F50" s="761">
        <f ca="1">CV52</f>
        <v>0</v>
      </c>
      <c r="G50" s="762" t="s">
        <v>109</v>
      </c>
      <c r="H50" s="762" t="s">
        <v>105</v>
      </c>
      <c r="I50" s="60">
        <f t="shared" ca="1" si="0"/>
        <v>12</v>
      </c>
      <c r="J50" s="260">
        <f t="shared" si="61"/>
        <v>0</v>
      </c>
      <c r="K50" s="260">
        <f t="shared" si="62"/>
        <v>0</v>
      </c>
      <c r="L50" s="260">
        <f t="shared" si="1"/>
        <v>0</v>
      </c>
      <c r="M50" s="260">
        <f t="shared" si="2"/>
        <v>0</v>
      </c>
      <c r="N50" s="260">
        <f t="shared" si="3"/>
        <v>0</v>
      </c>
      <c r="O50" s="260">
        <f t="shared" si="4"/>
        <v>0</v>
      </c>
      <c r="P50" s="260">
        <f t="shared" si="5"/>
        <v>0</v>
      </c>
      <c r="Q50" s="260">
        <f t="shared" si="6"/>
        <v>0</v>
      </c>
      <c r="R50" s="260">
        <f t="shared" si="7"/>
        <v>0</v>
      </c>
      <c r="S50" s="260">
        <f t="shared" si="8"/>
        <v>0</v>
      </c>
      <c r="T50" s="260">
        <f t="shared" si="9"/>
        <v>0</v>
      </c>
      <c r="U50" s="260">
        <f t="shared" si="10"/>
        <v>0</v>
      </c>
      <c r="V50" s="260">
        <f t="shared" si="11"/>
        <v>0</v>
      </c>
      <c r="W50" s="260">
        <f t="shared" si="12"/>
        <v>0</v>
      </c>
      <c r="X50" s="260">
        <f t="shared" si="13"/>
        <v>0</v>
      </c>
      <c r="Y50" s="260">
        <f t="shared" si="14"/>
        <v>0</v>
      </c>
      <c r="Z50" s="260">
        <f t="shared" si="15"/>
        <v>0</v>
      </c>
      <c r="AA50" s="260">
        <f t="shared" si="16"/>
        <v>0</v>
      </c>
      <c r="AB50" s="260">
        <f t="shared" si="63"/>
        <v>0</v>
      </c>
      <c r="AC50" s="260">
        <f t="shared" si="64"/>
        <v>0</v>
      </c>
      <c r="AD50" s="260">
        <f t="shared" si="17"/>
        <v>0</v>
      </c>
      <c r="AE50" s="260">
        <f t="shared" si="18"/>
        <v>0</v>
      </c>
      <c r="AF50" s="260">
        <f t="shared" si="19"/>
        <v>0</v>
      </c>
      <c r="AG50" s="260">
        <f t="shared" si="20"/>
        <v>0</v>
      </c>
      <c r="AH50" s="260">
        <f t="shared" si="65"/>
        <v>0</v>
      </c>
      <c r="AI50" s="260">
        <f t="shared" si="66"/>
        <v>0</v>
      </c>
      <c r="AJ50" s="260">
        <f t="shared" si="67"/>
        <v>0</v>
      </c>
      <c r="AK50" s="260">
        <f t="shared" si="68"/>
        <v>0</v>
      </c>
      <c r="AL50" s="260">
        <f t="shared" si="69"/>
        <v>0</v>
      </c>
      <c r="AM50" s="260">
        <f t="shared" si="70"/>
        <v>0</v>
      </c>
      <c r="AN50" s="260">
        <f t="shared" si="71"/>
        <v>0</v>
      </c>
      <c r="AO50" s="260">
        <f t="shared" si="72"/>
        <v>0</v>
      </c>
      <c r="AP50" s="260">
        <f t="shared" si="21"/>
        <v>0</v>
      </c>
      <c r="AQ50" s="260">
        <f t="shared" si="22"/>
        <v>0</v>
      </c>
      <c r="AR50" s="260">
        <f t="shared" si="23"/>
        <v>0</v>
      </c>
      <c r="AS50" s="260">
        <f t="shared" si="24"/>
        <v>0</v>
      </c>
      <c r="AT50" s="260">
        <f t="shared" si="73"/>
        <v>0</v>
      </c>
      <c r="AU50" s="260">
        <f t="shared" si="74"/>
        <v>0</v>
      </c>
      <c r="AV50" s="260">
        <f t="shared" si="25"/>
        <v>0</v>
      </c>
      <c r="AW50" s="260">
        <f t="shared" si="26"/>
        <v>0</v>
      </c>
      <c r="AX50" s="260">
        <f t="shared" si="27"/>
        <v>0</v>
      </c>
      <c r="AY50" s="260">
        <f t="shared" si="28"/>
        <v>0</v>
      </c>
      <c r="AZ50" s="260">
        <f t="shared" si="29"/>
        <v>0</v>
      </c>
      <c r="BA50" s="260">
        <f t="shared" si="30"/>
        <v>0</v>
      </c>
      <c r="BB50" s="260">
        <f t="shared" si="31"/>
        <v>0</v>
      </c>
      <c r="BC50" s="260">
        <f t="shared" si="32"/>
        <v>0</v>
      </c>
      <c r="BD50" s="260">
        <f t="shared" si="33"/>
        <v>0</v>
      </c>
      <c r="BE50" s="260">
        <f t="shared" si="34"/>
        <v>0</v>
      </c>
      <c r="BF50" s="260">
        <f t="shared" si="35"/>
        <v>0</v>
      </c>
      <c r="BG50" s="260">
        <f t="shared" si="36"/>
        <v>0</v>
      </c>
      <c r="BH50" s="260">
        <f t="shared" si="75"/>
        <v>0</v>
      </c>
      <c r="BI50" s="260">
        <f t="shared" si="76"/>
        <v>0</v>
      </c>
      <c r="BJ50" s="260">
        <f t="shared" si="37"/>
        <v>0</v>
      </c>
      <c r="BK50" s="260">
        <f t="shared" si="38"/>
        <v>0</v>
      </c>
      <c r="BL50" s="260">
        <f t="shared" si="39"/>
        <v>0</v>
      </c>
      <c r="BM50" s="260">
        <f t="shared" si="40"/>
        <v>0</v>
      </c>
      <c r="BN50" s="260">
        <f t="shared" si="41"/>
        <v>0</v>
      </c>
      <c r="BO50" s="260">
        <f t="shared" si="42"/>
        <v>0</v>
      </c>
      <c r="BP50" s="260">
        <f t="shared" si="77"/>
        <v>0</v>
      </c>
      <c r="BQ50" s="260">
        <f t="shared" si="78"/>
        <v>0</v>
      </c>
      <c r="BR50" s="260">
        <f t="shared" si="43"/>
        <v>0</v>
      </c>
      <c r="BS50" s="260">
        <f t="shared" si="44"/>
        <v>0</v>
      </c>
      <c r="BT50" s="260">
        <f t="shared" si="79"/>
        <v>0</v>
      </c>
      <c r="BU50" s="260">
        <f t="shared" si="80"/>
        <v>0</v>
      </c>
      <c r="BV50" s="260">
        <f t="shared" si="81"/>
        <v>0</v>
      </c>
      <c r="BW50" s="260">
        <f t="shared" si="82"/>
        <v>0</v>
      </c>
      <c r="BX50" s="260">
        <f t="shared" si="45"/>
        <v>0</v>
      </c>
      <c r="BY50" s="260">
        <f t="shared" si="46"/>
        <v>0</v>
      </c>
      <c r="BZ50" s="260">
        <f t="shared" si="47"/>
        <v>0</v>
      </c>
      <c r="CA50" s="260">
        <f t="shared" si="48"/>
        <v>0</v>
      </c>
      <c r="CB50" s="260">
        <f t="shared" si="49"/>
        <v>0</v>
      </c>
      <c r="CC50" s="260">
        <f t="shared" si="50"/>
        <v>0</v>
      </c>
      <c r="CD50" s="260">
        <f t="shared" si="83"/>
        <v>0</v>
      </c>
      <c r="CE50" s="260">
        <f t="shared" si="84"/>
        <v>0</v>
      </c>
      <c r="CF50" s="260">
        <f t="shared" si="85"/>
        <v>0</v>
      </c>
      <c r="CG50" s="260">
        <f t="shared" si="86"/>
        <v>0</v>
      </c>
      <c r="CH50" s="260">
        <f t="shared" si="51"/>
        <v>0</v>
      </c>
      <c r="CI50" s="260">
        <f t="shared" si="52"/>
        <v>0</v>
      </c>
      <c r="CJ50" s="260">
        <f t="shared" si="87"/>
        <v>0</v>
      </c>
      <c r="CK50" s="260">
        <f t="shared" si="88"/>
        <v>0</v>
      </c>
      <c r="CL50" s="260">
        <f t="shared" si="53"/>
        <v>0</v>
      </c>
      <c r="CM50" s="260">
        <f t="shared" si="54"/>
        <v>0</v>
      </c>
      <c r="CN50" s="260">
        <f t="shared" si="55"/>
        <v>0</v>
      </c>
      <c r="CO50" s="260">
        <f t="shared" si="56"/>
        <v>0</v>
      </c>
      <c r="CP50" s="260">
        <f t="shared" si="89"/>
        <v>0</v>
      </c>
      <c r="CQ50" s="260">
        <f t="shared" si="90"/>
        <v>0</v>
      </c>
      <c r="CR50" s="260">
        <f t="shared" si="91"/>
        <v>0</v>
      </c>
      <c r="CS50" s="260">
        <f t="shared" si="92"/>
        <v>0</v>
      </c>
      <c r="CT50" s="260">
        <f t="shared" si="57"/>
        <v>0</v>
      </c>
      <c r="CU50" s="260">
        <f t="shared" si="58"/>
        <v>0</v>
      </c>
      <c r="CV50" s="260">
        <f t="shared" si="59"/>
        <v>0</v>
      </c>
      <c r="CW50" s="260">
        <f t="shared" ca="1" si="60"/>
        <v>0</v>
      </c>
      <c r="CX50" s="260">
        <f t="shared" si="93"/>
        <v>0</v>
      </c>
      <c r="CY50" s="260">
        <f t="shared" si="94"/>
        <v>0</v>
      </c>
      <c r="CZ50" s="260">
        <f t="shared" ca="1" si="95"/>
        <v>0</v>
      </c>
      <c r="DA50" s="260">
        <f t="shared" si="96"/>
        <v>0</v>
      </c>
    </row>
    <row r="51" spans="1:105" s="257" customFormat="1" ht="16.5" customHeight="1">
      <c r="A51" s="60" t="str">
        <f t="array" ref="A51">IF(C51&lt;&gt;0,SUM(($C$11:C51&lt;&gt;0)*1),"")</f>
        <v/>
      </c>
      <c r="B51" s="226"/>
      <c r="C51" s="226"/>
      <c r="D51" s="226"/>
      <c r="E51" s="259"/>
      <c r="F51" s="62"/>
      <c r="G51" s="263"/>
      <c r="H51" s="263"/>
      <c r="I51" s="60" t="str">
        <f>A51</f>
        <v/>
      </c>
      <c r="J51" s="260">
        <f>IF($G51="1111",$F51,0)</f>
        <v>0</v>
      </c>
      <c r="K51" s="260">
        <f>IF($H51="1111",$F51,0)</f>
        <v>0</v>
      </c>
      <c r="L51" s="260">
        <f>IF($G51="1121",$F51,0)</f>
        <v>0</v>
      </c>
      <c r="M51" s="260">
        <f>IF($H51="1121",$F51,0)</f>
        <v>0</v>
      </c>
      <c r="N51" s="260">
        <f>IF($G51="1122",$F51,0)</f>
        <v>0</v>
      </c>
      <c r="O51" s="260">
        <f>IF($H51="1122",$F51,0)</f>
        <v>0</v>
      </c>
      <c r="P51" s="260">
        <f>IF($G51="131",$F51,0)</f>
        <v>0</v>
      </c>
      <c r="Q51" s="260">
        <f>IF($H51="131",$F51,0)</f>
        <v>0</v>
      </c>
      <c r="R51" s="260">
        <f>IF($G51="1331",$F51,0)</f>
        <v>0</v>
      </c>
      <c r="S51" s="260">
        <f>IF($H51="1331",$F51,0)</f>
        <v>0</v>
      </c>
      <c r="T51" s="260">
        <f>IF($G51="1388",$F51,0)</f>
        <v>0</v>
      </c>
      <c r="U51" s="260">
        <f>IF($H51="1388",$F51,0)</f>
        <v>0</v>
      </c>
      <c r="V51" s="260">
        <f>IF($G51="141",$F51,0)</f>
        <v>0</v>
      </c>
      <c r="W51" s="260">
        <f>IF($H51="141",$F51,0)</f>
        <v>0</v>
      </c>
      <c r="X51" s="260">
        <f>IF($G51="1521",$F51,0)</f>
        <v>0</v>
      </c>
      <c r="Y51" s="260">
        <f>IF($H51="1521",$F51,0)</f>
        <v>0</v>
      </c>
      <c r="Z51" s="260">
        <f>IF($G51="1522",$F51,0)</f>
        <v>0</v>
      </c>
      <c r="AA51" s="260">
        <f>IF($H51="1522",$F51,0)</f>
        <v>0</v>
      </c>
      <c r="AB51" s="260">
        <f>IF($G51="153",$F51,0)</f>
        <v>0</v>
      </c>
      <c r="AC51" s="260">
        <f>IF($H51="153",$F51,0)</f>
        <v>0</v>
      </c>
      <c r="AD51" s="260">
        <f>IF($G51="154",$F51,0)</f>
        <v>0</v>
      </c>
      <c r="AE51" s="260">
        <f>IF($H51="154",$F51,0)</f>
        <v>0</v>
      </c>
      <c r="AF51" s="260">
        <f>IF($G51="155",$F51,0)</f>
        <v>0</v>
      </c>
      <c r="AG51" s="260">
        <f>IF($H51="155",$F51,0)</f>
        <v>0</v>
      </c>
      <c r="AH51" s="260">
        <f>IF($G51="2111",$F51,0)</f>
        <v>0</v>
      </c>
      <c r="AI51" s="260">
        <f>IF($H51="2111",$F51,0)</f>
        <v>0</v>
      </c>
      <c r="AJ51" s="260">
        <f>IF($G51="2112",$F51,0)</f>
        <v>0</v>
      </c>
      <c r="AK51" s="260">
        <f>IF($H51="2112",$F51,0)</f>
        <v>0</v>
      </c>
      <c r="AL51" s="260">
        <f>IF($G51="2113",$F51,0)</f>
        <v>0</v>
      </c>
      <c r="AM51" s="260">
        <f>IF($H51="2113",$F51,0)</f>
        <v>0</v>
      </c>
      <c r="AN51" s="260">
        <f>IF($G51="2131",$F51,0)</f>
        <v>0</v>
      </c>
      <c r="AO51" s="260">
        <f>IF($H51="2131",$F51,0)</f>
        <v>0</v>
      </c>
      <c r="AP51" s="260">
        <f>IF($G51="2141",$F51,0)</f>
        <v>0</v>
      </c>
      <c r="AQ51" s="260">
        <f>IF($H51="2141",$F51,0)</f>
        <v>0</v>
      </c>
      <c r="AR51" s="260">
        <f>IF($G51="2143",$F51,0)</f>
        <v>0</v>
      </c>
      <c r="AS51" s="260">
        <f>IF($H51="2143",$F51,0)</f>
        <v>0</v>
      </c>
      <c r="AT51" s="260">
        <f>IF($G51="2412",$F51,0)</f>
        <v>0</v>
      </c>
      <c r="AU51" s="260">
        <f>IF($H51="2412",$F51,0)</f>
        <v>0</v>
      </c>
      <c r="AV51" s="260">
        <f>IF($G51="331",$F51,0)</f>
        <v>0</v>
      </c>
      <c r="AW51" s="260">
        <f>IF($H51="331",$F51,0)</f>
        <v>0</v>
      </c>
      <c r="AX51" s="260">
        <f>IF($G51="33311",$F51,0)</f>
        <v>0</v>
      </c>
      <c r="AY51" s="260">
        <f>IF($H51="33311",$F51,0)</f>
        <v>0</v>
      </c>
      <c r="AZ51" s="260">
        <f>IF($G51="33312",$F51,0)</f>
        <v>0</v>
      </c>
      <c r="BA51" s="260">
        <f>IF($H51="33312",$F51,0)</f>
        <v>0</v>
      </c>
      <c r="BB51" s="260">
        <f>IF($G51="3333",$F51,0)</f>
        <v>0</v>
      </c>
      <c r="BC51" s="260">
        <f>IF($H51="3333",$F51,0)</f>
        <v>0</v>
      </c>
      <c r="BD51" s="260">
        <f>IF($G51="3334",$F51,0)</f>
        <v>0</v>
      </c>
      <c r="BE51" s="260">
        <f>IF($H51="3334",$F51,0)</f>
        <v>0</v>
      </c>
      <c r="BF51" s="260">
        <f>IF($G51="3335",$F51,0)</f>
        <v>0</v>
      </c>
      <c r="BG51" s="260">
        <f>IF($H51="3335",$F51,0)</f>
        <v>0</v>
      </c>
      <c r="BH51" s="260">
        <f>IF($G51="33382",$F51,0)</f>
        <v>0</v>
      </c>
      <c r="BI51" s="260">
        <f>IF($H51="33382",$F51,0)</f>
        <v>0</v>
      </c>
      <c r="BJ51" s="260">
        <f>IF($G51="3341",$F51,0)</f>
        <v>0</v>
      </c>
      <c r="BK51" s="260">
        <f>IF($H51="3341",$F51,0)</f>
        <v>0</v>
      </c>
      <c r="BL51" s="260">
        <f>IF($G51="3383",$F51,0)</f>
        <v>0</v>
      </c>
      <c r="BM51" s="260">
        <f>IF($H51="3383",$F51,0)</f>
        <v>0</v>
      </c>
      <c r="BN51" s="260">
        <f>IF($G51="3384",$F51,0)</f>
        <v>0</v>
      </c>
      <c r="BO51" s="260">
        <f>IF($H51="3384",$F51,0)</f>
        <v>0</v>
      </c>
      <c r="BP51" s="260">
        <f>IF($G51="3386",$F51,0)</f>
        <v>0</v>
      </c>
      <c r="BQ51" s="260">
        <f>IF($H51="3386",$F51,0)</f>
        <v>0</v>
      </c>
      <c r="BR51" s="260">
        <f>IF($G51="3388",$F51,0)</f>
        <v>0</v>
      </c>
      <c r="BS51" s="260">
        <f>IF($H51="3388",$F51,0)</f>
        <v>0</v>
      </c>
      <c r="BT51" s="260">
        <f>IF($G51="3411",$F51,0)</f>
        <v>0</v>
      </c>
      <c r="BU51" s="260">
        <f>IF($H51="3411",$F51,0)</f>
        <v>0</v>
      </c>
      <c r="BV51" s="260">
        <f>IF($G51="3412",$F51,0)</f>
        <v>0</v>
      </c>
      <c r="BW51" s="260">
        <f>IF($H51="3412",$F51,0)</f>
        <v>0</v>
      </c>
      <c r="BX51" s="260">
        <f>IF($G51="4111",$F51,0)</f>
        <v>0</v>
      </c>
      <c r="BY51" s="260">
        <f>IF($H51="4111",$F51,0)</f>
        <v>0</v>
      </c>
      <c r="BZ51" s="260">
        <f>IF($G51="4211",$F51,0)</f>
        <v>0</v>
      </c>
      <c r="CA51" s="260">
        <f>IF($H51="4211",$F51,0)</f>
        <v>0</v>
      </c>
      <c r="CB51" s="260">
        <f>IF($G51="4212",$F51,0)</f>
        <v>0</v>
      </c>
      <c r="CC51" s="260">
        <f>IF($H51="4212",$F51,0)</f>
        <v>0</v>
      </c>
      <c r="CD51" s="260">
        <f>IF($G51="5112N",$F51,0)</f>
        <v>0</v>
      </c>
      <c r="CE51" s="260">
        <f>IF($H51="5112N",$F51,0)</f>
        <v>0</v>
      </c>
      <c r="CF51" s="260">
        <f>IF($G51="5112X",$F51,0)</f>
        <v>0</v>
      </c>
      <c r="CG51" s="260">
        <f>IF($H51="5112X",$F51,0)</f>
        <v>0</v>
      </c>
      <c r="CH51" s="260">
        <f>IF($G51="515",$F51,0)</f>
        <v>0</v>
      </c>
      <c r="CI51" s="260">
        <f>IF($H51="515",$F51,0)</f>
        <v>0</v>
      </c>
      <c r="CJ51" s="260">
        <f>IF($G51="5213",$F51,0)</f>
        <v>0</v>
      </c>
      <c r="CK51" s="260">
        <f>IF($H51="5213",$F51,0)</f>
        <v>0</v>
      </c>
      <c r="CL51" s="260">
        <f>IF($G51="632",$F51,0)</f>
        <v>0</v>
      </c>
      <c r="CM51" s="260">
        <f>IF($H51="632",$F51,0)</f>
        <v>0</v>
      </c>
      <c r="CN51" s="260">
        <f>IF($G51="635",$F51,0)</f>
        <v>0</v>
      </c>
      <c r="CO51" s="260">
        <f>IF($H51="635",$F51,0)</f>
        <v>0</v>
      </c>
      <c r="CP51" s="260">
        <f>IF($G51="641",$F51,0)</f>
        <v>0</v>
      </c>
      <c r="CQ51" s="260">
        <f>IF($H51="641",$F51,0)</f>
        <v>0</v>
      </c>
      <c r="CR51" s="260">
        <f>IF($G51="642",$F51,0)</f>
        <v>0</v>
      </c>
      <c r="CS51" s="260">
        <f>IF($H51="642",$F51,0)</f>
        <v>0</v>
      </c>
      <c r="CT51" s="260">
        <f>IF($G51="711",$F51,0)</f>
        <v>0</v>
      </c>
      <c r="CU51" s="260">
        <f>IF($H51="711",$F51,0)</f>
        <v>0</v>
      </c>
      <c r="CV51" s="260">
        <f>IF($G51="811",$F51,0)</f>
        <v>0</v>
      </c>
      <c r="CW51" s="260">
        <f>IF($H51="811",$F51,0)</f>
        <v>0</v>
      </c>
      <c r="CX51" s="260">
        <f>IF($G51="821",$F51,0)</f>
        <v>0</v>
      </c>
      <c r="CY51" s="260">
        <f>IF($H51="821",$F51,0)</f>
        <v>0</v>
      </c>
      <c r="CZ51" s="260">
        <f>IF($G51="911",$F51,0)</f>
        <v>0</v>
      </c>
      <c r="DA51" s="260">
        <f>IF($H51="911",$F51,0)</f>
        <v>0</v>
      </c>
    </row>
    <row r="52" spans="1:105" s="257" customFormat="1" ht="16.5" customHeight="1">
      <c r="A52" s="264"/>
      <c r="B52" s="226"/>
      <c r="C52" s="293"/>
      <c r="D52" s="226"/>
      <c r="E52" s="259" t="s">
        <v>174</v>
      </c>
      <c r="F52" s="264"/>
      <c r="G52" s="263"/>
      <c r="H52" s="263"/>
      <c r="I52" s="264"/>
      <c r="J52" s="264">
        <f t="shared" ref="J52:AO52" ca="1" si="98">SUM(J11:J51)</f>
        <v>0</v>
      </c>
      <c r="K52" s="264">
        <f t="shared" ca="1" si="98"/>
        <v>0</v>
      </c>
      <c r="L52" s="264">
        <f t="shared" ca="1" si="98"/>
        <v>0</v>
      </c>
      <c r="M52" s="264">
        <f t="shared" ca="1" si="98"/>
        <v>0</v>
      </c>
      <c r="N52" s="264">
        <f t="shared" ca="1" si="98"/>
        <v>0</v>
      </c>
      <c r="O52" s="264">
        <f t="shared" ca="1" si="98"/>
        <v>0</v>
      </c>
      <c r="P52" s="264">
        <f t="shared" ca="1" si="98"/>
        <v>0</v>
      </c>
      <c r="Q52" s="264">
        <f t="shared" ca="1" si="98"/>
        <v>0</v>
      </c>
      <c r="R52" s="264">
        <f t="shared" ca="1" si="98"/>
        <v>0</v>
      </c>
      <c r="S52" s="264">
        <f t="shared" ca="1" si="98"/>
        <v>0</v>
      </c>
      <c r="T52" s="264">
        <f t="shared" ca="1" si="98"/>
        <v>0</v>
      </c>
      <c r="U52" s="264">
        <f t="shared" ca="1" si="98"/>
        <v>0</v>
      </c>
      <c r="V52" s="264">
        <f t="shared" ca="1" si="98"/>
        <v>0</v>
      </c>
      <c r="W52" s="264">
        <f t="shared" ca="1" si="98"/>
        <v>0</v>
      </c>
      <c r="X52" s="264">
        <f t="shared" ca="1" si="98"/>
        <v>0</v>
      </c>
      <c r="Y52" s="264">
        <f t="shared" ca="1" si="98"/>
        <v>0</v>
      </c>
      <c r="Z52" s="264">
        <f t="shared" ca="1" si="98"/>
        <v>0</v>
      </c>
      <c r="AA52" s="264">
        <f t="shared" ca="1" si="98"/>
        <v>0</v>
      </c>
      <c r="AB52" s="264">
        <f t="shared" ca="1" si="98"/>
        <v>0</v>
      </c>
      <c r="AC52" s="264">
        <f t="shared" ca="1" si="98"/>
        <v>0</v>
      </c>
      <c r="AD52" s="264">
        <f t="shared" ca="1" si="98"/>
        <v>0</v>
      </c>
      <c r="AE52" s="264">
        <f t="shared" ca="1" si="98"/>
        <v>0</v>
      </c>
      <c r="AF52" s="264">
        <f t="shared" ca="1" si="98"/>
        <v>0</v>
      </c>
      <c r="AG52" s="264">
        <f t="shared" ca="1" si="98"/>
        <v>0</v>
      </c>
      <c r="AH52" s="264">
        <f t="shared" ca="1" si="98"/>
        <v>0</v>
      </c>
      <c r="AI52" s="264">
        <f t="shared" ca="1" si="98"/>
        <v>0</v>
      </c>
      <c r="AJ52" s="264">
        <f t="shared" ca="1" si="98"/>
        <v>0</v>
      </c>
      <c r="AK52" s="264">
        <f t="shared" ca="1" si="98"/>
        <v>0</v>
      </c>
      <c r="AL52" s="264">
        <f t="shared" ca="1" si="98"/>
        <v>0</v>
      </c>
      <c r="AM52" s="264">
        <f t="shared" ca="1" si="98"/>
        <v>0</v>
      </c>
      <c r="AN52" s="264">
        <f t="shared" ca="1" si="98"/>
        <v>0</v>
      </c>
      <c r="AO52" s="264">
        <f t="shared" ca="1" si="98"/>
        <v>0</v>
      </c>
      <c r="AP52" s="264">
        <f t="shared" ref="AP52:BU52" ca="1" si="99">SUM(AP11:AP51)</f>
        <v>0</v>
      </c>
      <c r="AQ52" s="264">
        <f t="shared" ca="1" si="99"/>
        <v>0</v>
      </c>
      <c r="AR52" s="264">
        <f t="shared" ca="1" si="99"/>
        <v>0</v>
      </c>
      <c r="AS52" s="264">
        <f t="shared" ca="1" si="99"/>
        <v>0</v>
      </c>
      <c r="AT52" s="264">
        <f t="shared" ca="1" si="99"/>
        <v>0</v>
      </c>
      <c r="AU52" s="264">
        <f t="shared" ca="1" si="99"/>
        <v>0</v>
      </c>
      <c r="AV52" s="264">
        <f t="shared" ca="1" si="99"/>
        <v>0</v>
      </c>
      <c r="AW52" s="264">
        <f t="shared" ca="1" si="99"/>
        <v>0</v>
      </c>
      <c r="AX52" s="264">
        <f t="shared" ca="1" si="99"/>
        <v>0</v>
      </c>
      <c r="AY52" s="264">
        <f t="shared" ca="1" si="99"/>
        <v>0</v>
      </c>
      <c r="AZ52" s="264">
        <f t="shared" ca="1" si="99"/>
        <v>0</v>
      </c>
      <c r="BA52" s="264">
        <f t="shared" ca="1" si="99"/>
        <v>0</v>
      </c>
      <c r="BB52" s="264">
        <f t="shared" ca="1" si="99"/>
        <v>0</v>
      </c>
      <c r="BC52" s="264">
        <f t="shared" ca="1" si="99"/>
        <v>0</v>
      </c>
      <c r="BD52" s="264">
        <f t="shared" ca="1" si="99"/>
        <v>0</v>
      </c>
      <c r="BE52" s="264">
        <f t="shared" ca="1" si="99"/>
        <v>0</v>
      </c>
      <c r="BF52" s="264">
        <f t="shared" ca="1" si="99"/>
        <v>0</v>
      </c>
      <c r="BG52" s="264">
        <f t="shared" ca="1" si="99"/>
        <v>0</v>
      </c>
      <c r="BH52" s="264">
        <f t="shared" ca="1" si="99"/>
        <v>0</v>
      </c>
      <c r="BI52" s="264">
        <f t="shared" ca="1" si="99"/>
        <v>0</v>
      </c>
      <c r="BJ52" s="264">
        <f t="shared" ca="1" si="99"/>
        <v>0</v>
      </c>
      <c r="BK52" s="264">
        <f t="shared" ca="1" si="99"/>
        <v>0</v>
      </c>
      <c r="BL52" s="264">
        <f t="shared" ca="1" si="99"/>
        <v>0</v>
      </c>
      <c r="BM52" s="264">
        <f t="shared" ca="1" si="99"/>
        <v>0</v>
      </c>
      <c r="BN52" s="264">
        <f t="shared" ca="1" si="99"/>
        <v>0</v>
      </c>
      <c r="BO52" s="264">
        <f t="shared" ca="1" si="99"/>
        <v>0</v>
      </c>
      <c r="BP52" s="264">
        <f t="shared" ca="1" si="99"/>
        <v>0</v>
      </c>
      <c r="BQ52" s="264">
        <f t="shared" ca="1" si="99"/>
        <v>0</v>
      </c>
      <c r="BR52" s="264">
        <f t="shared" ca="1" si="99"/>
        <v>0</v>
      </c>
      <c r="BS52" s="264">
        <f t="shared" ca="1" si="99"/>
        <v>0</v>
      </c>
      <c r="BT52" s="264">
        <f t="shared" ca="1" si="99"/>
        <v>0</v>
      </c>
      <c r="BU52" s="264">
        <f t="shared" ca="1" si="99"/>
        <v>0</v>
      </c>
      <c r="BV52" s="264">
        <f t="shared" ref="BV52:DA52" ca="1" si="100">SUM(BV11:BV51)</f>
        <v>0</v>
      </c>
      <c r="BW52" s="264">
        <f t="shared" ca="1" si="100"/>
        <v>0</v>
      </c>
      <c r="BX52" s="264">
        <f t="shared" ca="1" si="100"/>
        <v>0</v>
      </c>
      <c r="BY52" s="264">
        <f t="shared" ca="1" si="100"/>
        <v>0</v>
      </c>
      <c r="BZ52" s="264">
        <f t="shared" ca="1" si="100"/>
        <v>0</v>
      </c>
      <c r="CA52" s="264">
        <f t="shared" ca="1" si="100"/>
        <v>0</v>
      </c>
      <c r="CB52" s="264">
        <f t="shared" ca="1" si="100"/>
        <v>0</v>
      </c>
      <c r="CC52" s="264">
        <f t="shared" ca="1" si="100"/>
        <v>0</v>
      </c>
      <c r="CD52" s="264">
        <f t="shared" ca="1" si="100"/>
        <v>0</v>
      </c>
      <c r="CE52" s="264">
        <f t="shared" ca="1" si="100"/>
        <v>0</v>
      </c>
      <c r="CF52" s="264">
        <f t="shared" ca="1" si="100"/>
        <v>0</v>
      </c>
      <c r="CG52" s="264">
        <f t="shared" ca="1" si="100"/>
        <v>0</v>
      </c>
      <c r="CH52" s="264">
        <f t="shared" ca="1" si="100"/>
        <v>0</v>
      </c>
      <c r="CI52" s="264">
        <f t="shared" ca="1" si="100"/>
        <v>0</v>
      </c>
      <c r="CJ52" s="264">
        <f t="shared" ca="1" si="100"/>
        <v>0</v>
      </c>
      <c r="CK52" s="264">
        <f t="shared" ca="1" si="100"/>
        <v>0</v>
      </c>
      <c r="CL52" s="264">
        <f t="shared" ca="1" si="100"/>
        <v>0</v>
      </c>
      <c r="CM52" s="264">
        <f t="shared" ca="1" si="100"/>
        <v>0</v>
      </c>
      <c r="CN52" s="264">
        <f t="shared" ca="1" si="100"/>
        <v>0</v>
      </c>
      <c r="CO52" s="264">
        <f t="shared" ca="1" si="100"/>
        <v>0</v>
      </c>
      <c r="CP52" s="264">
        <f t="shared" ca="1" si="100"/>
        <v>0</v>
      </c>
      <c r="CQ52" s="264">
        <f t="shared" ca="1" si="100"/>
        <v>0</v>
      </c>
      <c r="CR52" s="264">
        <f t="shared" ca="1" si="100"/>
        <v>0</v>
      </c>
      <c r="CS52" s="264">
        <f t="shared" ca="1" si="100"/>
        <v>0</v>
      </c>
      <c r="CT52" s="264">
        <f t="shared" ca="1" si="100"/>
        <v>0</v>
      </c>
      <c r="CU52" s="264">
        <f t="shared" ca="1" si="100"/>
        <v>0</v>
      </c>
      <c r="CV52" s="264">
        <f t="shared" ca="1" si="100"/>
        <v>0</v>
      </c>
      <c r="CW52" s="264">
        <f t="shared" ca="1" si="100"/>
        <v>0</v>
      </c>
      <c r="CX52" s="264">
        <f t="shared" ca="1" si="100"/>
        <v>0</v>
      </c>
      <c r="CY52" s="264">
        <f t="shared" ca="1" si="100"/>
        <v>0</v>
      </c>
      <c r="CZ52" s="264">
        <f t="shared" ca="1" si="100"/>
        <v>0</v>
      </c>
      <c r="DA52" s="264">
        <f t="shared" ca="1" si="100"/>
        <v>0</v>
      </c>
    </row>
    <row r="53" spans="1:105" s="257" customFormat="1" ht="16.5" customHeight="1">
      <c r="A53" s="265"/>
      <c r="B53" s="265"/>
      <c r="C53" s="265"/>
      <c r="D53" s="265"/>
      <c r="E53" s="266" t="s">
        <v>213</v>
      </c>
      <c r="F53" s="265"/>
      <c r="G53" s="267"/>
      <c r="H53" s="267"/>
      <c r="I53" s="265"/>
      <c r="J53" s="287">
        <f ca="1">MAX(J10+J52-K10-K52,0)</f>
        <v>0</v>
      </c>
      <c r="K53" s="287">
        <f ca="1">MAX(K10+K52-J10-J52,0)</f>
        <v>0</v>
      </c>
      <c r="L53" s="287">
        <f ca="1">MAX(L10+L52-M10-M52,0)</f>
        <v>0</v>
      </c>
      <c r="M53" s="287">
        <f ca="1">MAX(M10+M52-L10-L52,0)</f>
        <v>0</v>
      </c>
      <c r="N53" s="287">
        <f ca="1">MAX(N10+N52-O10-O52,0)</f>
        <v>0</v>
      </c>
      <c r="O53" s="287">
        <f ca="1">MAX(O10+O52-N10-N52,0)</f>
        <v>0</v>
      </c>
      <c r="P53" s="287">
        <f ca="1">MAX(P10+P52-Q10-Q52,0)</f>
        <v>0</v>
      </c>
      <c r="Q53" s="287">
        <f ca="1">MAX(Q10+Q52-P10-P52,0)</f>
        <v>0</v>
      </c>
      <c r="R53" s="287">
        <f ca="1">MAX(R10+R52-S10-S52,0)</f>
        <v>0</v>
      </c>
      <c r="S53" s="287">
        <f ca="1">MAX(S10+S52-R10-R52,0)</f>
        <v>0</v>
      </c>
      <c r="T53" s="287">
        <f ca="1">MAX(T10+T52-U10-U52,0)</f>
        <v>0</v>
      </c>
      <c r="U53" s="287">
        <f ca="1">MAX(U10+U52-T10-T52,0)</f>
        <v>0</v>
      </c>
      <c r="V53" s="287">
        <f ca="1">MAX(V10+V52-W10-W52,0)</f>
        <v>0</v>
      </c>
      <c r="W53" s="287">
        <f ca="1">MAX(W10+W52-V10-V52,0)</f>
        <v>0</v>
      </c>
      <c r="X53" s="287">
        <f ca="1">MAX(X10+X52-Y10-Y52,0)</f>
        <v>0</v>
      </c>
      <c r="Y53" s="287">
        <f ca="1">MAX(Y10+Y52-X10-X52,0)</f>
        <v>0</v>
      </c>
      <c r="Z53" s="287">
        <f ca="1">MAX(Z10+Z52-AA10-AA52,0)</f>
        <v>0</v>
      </c>
      <c r="AA53" s="287">
        <f ca="1">MAX(AA10+AA52-Z10-Z52,0)</f>
        <v>0</v>
      </c>
      <c r="AB53" s="287">
        <f ca="1">MAX(AB10+AB52-AC10-AC52,0)</f>
        <v>0</v>
      </c>
      <c r="AC53" s="287">
        <f ca="1">MAX(AC10+AC52-AB10-AB52,0)</f>
        <v>0</v>
      </c>
      <c r="AD53" s="287">
        <f ca="1">MAX(AD10+AD52-AE10-AE52,0)</f>
        <v>0</v>
      </c>
      <c r="AE53" s="287">
        <f ca="1">MAX(AE10+AE52-AD10-AD52,0)</f>
        <v>0</v>
      </c>
      <c r="AF53" s="287">
        <f ca="1">MAX(AF10+AF52-AG10-AG52,0)</f>
        <v>0</v>
      </c>
      <c r="AG53" s="287">
        <f ca="1">MAX(AG10+AG52-AF10-AF52,0)</f>
        <v>0</v>
      </c>
      <c r="AH53" s="287">
        <f ca="1">MAX(AH10+AH52-AI10-AI52,0)</f>
        <v>0</v>
      </c>
      <c r="AI53" s="287">
        <f ca="1">MAX(AI10+AI52-AH10-AH52,0)</f>
        <v>0</v>
      </c>
      <c r="AJ53" s="287">
        <f ca="1">MAX(AJ10+AJ52-AK10-AK52,0)</f>
        <v>0</v>
      </c>
      <c r="AK53" s="287">
        <f ca="1">MAX(AK10+AK52-AJ10-AJ52,0)</f>
        <v>0</v>
      </c>
      <c r="AL53" s="287">
        <f ca="1">MAX(AL10+AL52-AM10-AM52,0)</f>
        <v>0</v>
      </c>
      <c r="AM53" s="287">
        <f ca="1">MAX(AM10+AM52-AL10-AL52,0)</f>
        <v>0</v>
      </c>
      <c r="AN53" s="287">
        <f ca="1">MAX(AN10+AN52-AO10-AO52,0)</f>
        <v>0</v>
      </c>
      <c r="AO53" s="287">
        <f ca="1">MAX(AO10+AO52-AN10-AN52,0)</f>
        <v>0</v>
      </c>
      <c r="AP53" s="287">
        <f ca="1">MAX(AP10+AP52-AQ10-AQ52,0)</f>
        <v>0</v>
      </c>
      <c r="AQ53" s="287">
        <f ca="1">MAX(AQ10+AQ52-AP10-AP52,0)</f>
        <v>0</v>
      </c>
      <c r="AR53" s="287">
        <f ca="1">MAX(AR10+AR52-AS10-AS52,0)</f>
        <v>0</v>
      </c>
      <c r="AS53" s="287">
        <f ca="1">MAX(AS10+AS52-AR10-AR52,0)</f>
        <v>0</v>
      </c>
      <c r="AT53" s="287">
        <f ca="1">MAX(AT10+AT52-AU10-AU52,0)</f>
        <v>0</v>
      </c>
      <c r="AU53" s="287">
        <f ca="1">MAX(AU10+AU52-AT10-AT52,0)</f>
        <v>0</v>
      </c>
      <c r="AV53" s="287">
        <f ca="1">MAX(AV10+AV52-AW10-AW52,0)</f>
        <v>0</v>
      </c>
      <c r="AW53" s="287">
        <f ca="1">MAX(AW10+AW52-AV10-AV52,0)</f>
        <v>0</v>
      </c>
      <c r="AX53" s="287">
        <f ca="1">MAX(AX10+AX52-AY10-AY52,0)</f>
        <v>0</v>
      </c>
      <c r="AY53" s="287">
        <f ca="1">MAX(AY10+AY52-AX10-AX52,0)</f>
        <v>0</v>
      </c>
      <c r="AZ53" s="287">
        <f ca="1">MAX(AZ10+AZ52-BA10-BA52,0)</f>
        <v>0</v>
      </c>
      <c r="BA53" s="287">
        <f ca="1">MAX(BA10+BA52-AZ10-AZ52,0)</f>
        <v>0</v>
      </c>
      <c r="BB53" s="287">
        <f ca="1">MAX(BB10+BB52-BC10-BC52,0)</f>
        <v>0</v>
      </c>
      <c r="BC53" s="287">
        <f ca="1">MAX(BC10+BC52-BB10-BB52,0)</f>
        <v>0</v>
      </c>
      <c r="BD53" s="287">
        <f ca="1">MAX(BD10+BD52-BE10-BE52,0)</f>
        <v>0</v>
      </c>
      <c r="BE53" s="287">
        <f ca="1">MAX(BE10+BE52-BD10-BD52,0)</f>
        <v>0</v>
      </c>
      <c r="BF53" s="287">
        <f ca="1">MAX(BF10+BF52-BG10-BG52,0)</f>
        <v>0</v>
      </c>
      <c r="BG53" s="287">
        <f ca="1">MAX(BG10+BG52-BF10-BF52,0)</f>
        <v>0</v>
      </c>
      <c r="BH53" s="287">
        <f ca="1">MAX(BH10+BH52-BI10-BI52,0)</f>
        <v>0</v>
      </c>
      <c r="BI53" s="287">
        <f ca="1">MAX(BI10+BI52-BH10-BH52,0)</f>
        <v>0</v>
      </c>
      <c r="BJ53" s="287">
        <f ca="1">MAX(BJ10+BJ52-BK10-BK52,0)</f>
        <v>0</v>
      </c>
      <c r="BK53" s="287">
        <f ca="1">MAX(BK10+BK52-BJ10-BJ52,0)</f>
        <v>0</v>
      </c>
      <c r="BL53" s="287">
        <f ca="1">MAX(BL10+BL52-BM10-BM52,0)</f>
        <v>0</v>
      </c>
      <c r="BM53" s="287">
        <f ca="1">MAX(BM10+BM52-BL10-BL52,0)</f>
        <v>0</v>
      </c>
      <c r="BN53" s="287">
        <f ca="1">MAX(BN10+BN52-BO10-BO52,0)</f>
        <v>0</v>
      </c>
      <c r="BO53" s="287">
        <f ca="1">MAX(BO10+BO52-BN10-BN52,0)</f>
        <v>0</v>
      </c>
      <c r="BP53" s="287">
        <f ca="1">MAX(BP10+BP52-BQ10-BQ52,0)</f>
        <v>0</v>
      </c>
      <c r="BQ53" s="287">
        <f ca="1">MAX(BQ10+BQ52-BP10-BP52,0)</f>
        <v>0</v>
      </c>
      <c r="BR53" s="287">
        <f ca="1">MAX(BR10+BR52-BS10-BS52,0)</f>
        <v>0</v>
      </c>
      <c r="BS53" s="287">
        <f ca="1">MAX(BS10+BS52-BR10-BR52,0)</f>
        <v>0</v>
      </c>
      <c r="BT53" s="287">
        <f ca="1">MAX(BT10+BT52-BU10-BU52,0)</f>
        <v>0</v>
      </c>
      <c r="BU53" s="287">
        <f ca="1">MAX(BU10+BU52-BT10-BT52,0)</f>
        <v>0</v>
      </c>
      <c r="BV53" s="287">
        <f ca="1">MAX(BV10+BV52-BW10-BW52,0)</f>
        <v>0</v>
      </c>
      <c r="BW53" s="287">
        <f ca="1">MAX(BW10+BW52-BV10-BV52,0)</f>
        <v>0</v>
      </c>
      <c r="BX53" s="287">
        <f ca="1">MAX(BX10+BX52-BY10-BY52,0)</f>
        <v>0</v>
      </c>
      <c r="BY53" s="287">
        <f ca="1">MAX(BY10+BY52-BX10-BX52,0)</f>
        <v>0</v>
      </c>
      <c r="BZ53" s="287">
        <f ca="1">MAX(BZ10+BZ52-CA10-CA52,0)</f>
        <v>0</v>
      </c>
      <c r="CA53" s="287">
        <f ca="1">MAX(CA10+CA52-BZ10-BZ52,0)</f>
        <v>107861885.00000048</v>
      </c>
      <c r="CB53" s="287">
        <f ca="1">MAX(CB10+CB52-CC10-CC52,0)</f>
        <v>107861885.00000048</v>
      </c>
      <c r="CC53" s="287">
        <f ca="1">MAX(CC10+CC52-CB10-CB52,0)</f>
        <v>0</v>
      </c>
      <c r="CD53" s="287">
        <f ca="1">MAX(CD10+CD52-CE10-CE52,0)</f>
        <v>0</v>
      </c>
      <c r="CE53" s="287">
        <f ca="1">MAX(CE10+CE52-CD10-CD52,0)</f>
        <v>0</v>
      </c>
      <c r="CF53" s="287">
        <f ca="1">MAX(CF10+CF52-CG10-CG52,0)</f>
        <v>0</v>
      </c>
      <c r="CG53" s="287">
        <f ca="1">MAX(CG10+CG52-CF10-CF52,0)</f>
        <v>0</v>
      </c>
      <c r="CH53" s="287">
        <f ca="1">MAX(CH10+CH52-CI10-CI52,0)</f>
        <v>0</v>
      </c>
      <c r="CI53" s="287">
        <f ca="1">MAX(CI10+CI52-CH10-CH52,0)</f>
        <v>0</v>
      </c>
      <c r="CJ53" s="287">
        <f ca="1">MAX(CJ10+CJ52-CK10-CK52,0)</f>
        <v>0</v>
      </c>
      <c r="CK53" s="287">
        <f ca="1">MAX(CK10+CK52-CJ10-CJ52,0)</f>
        <v>0</v>
      </c>
      <c r="CL53" s="287">
        <f ca="1">MAX(CL10+CL52-CM10-CM52,0)</f>
        <v>0</v>
      </c>
      <c r="CM53" s="287">
        <f ca="1">MAX(CM10+CM52-CL10-CL52,0)</f>
        <v>0</v>
      </c>
      <c r="CN53" s="287">
        <f ca="1">MAX(CN10+CN52-CO10-CO52,0)</f>
        <v>0</v>
      </c>
      <c r="CO53" s="287">
        <f ca="1">MAX(CO10+CO52-CN10-CN52,0)</f>
        <v>0</v>
      </c>
      <c r="CP53" s="287">
        <f ca="1">MAX(CP10+CP52-CQ10-CQ52,0)</f>
        <v>0</v>
      </c>
      <c r="CQ53" s="287">
        <f ca="1">MAX(CQ10+CQ52-CP10-CP52,0)</f>
        <v>0</v>
      </c>
      <c r="CR53" s="287">
        <f ca="1">MAX(CR10+CR52-CS10-CS52,0)</f>
        <v>0</v>
      </c>
      <c r="CS53" s="287">
        <f ca="1">MAX(CS10+CS52-CR10-CR52,0)</f>
        <v>0</v>
      </c>
      <c r="CT53" s="287">
        <f ca="1">MAX(CT10+CT52-CU10-CU52,0)</f>
        <v>0</v>
      </c>
      <c r="CU53" s="287">
        <f ca="1">MAX(CU10+CU52-CT10-CT52,0)</f>
        <v>0</v>
      </c>
      <c r="CV53" s="287">
        <f ca="1">MAX(CV10+CV52-CW10-CW52,0)</f>
        <v>0</v>
      </c>
      <c r="CW53" s="287">
        <f ca="1">MAX(CW10+CW52-CV10-CV52,0)</f>
        <v>0</v>
      </c>
      <c r="CX53" s="287">
        <f ca="1">MAX(CX10+CX52-CY10-CY52,0)</f>
        <v>0</v>
      </c>
      <c r="CY53" s="287">
        <f ca="1">MAX(CY10+CY52-CX10-CX52,0)</f>
        <v>0</v>
      </c>
      <c r="CZ53" s="287">
        <f ca="1">MAX(CZ10+CZ52-DA10-DA52,0)</f>
        <v>0</v>
      </c>
      <c r="DA53" s="287">
        <f ca="1">MAX(DA10+DA52-CZ10-CZ52,0)</f>
        <v>0</v>
      </c>
    </row>
    <row r="54" spans="1:105" s="257" customFormat="1" ht="16.5" customHeight="1">
      <c r="A54" s="269"/>
      <c r="B54" s="269"/>
      <c r="C54" s="270"/>
      <c r="D54" s="269"/>
      <c r="E54" s="271" t="s">
        <v>214</v>
      </c>
      <c r="F54" s="269"/>
      <c r="G54" s="272"/>
      <c r="H54" s="272"/>
      <c r="I54" s="269"/>
      <c r="J54" s="269">
        <f ca="1">J52+'SC-III'!J54</f>
        <v>0</v>
      </c>
      <c r="K54" s="269">
        <f ca="1">K52+'SC-III'!K54</f>
        <v>0</v>
      </c>
      <c r="L54" s="269">
        <f ca="1">L52+'SC-III'!L54</f>
        <v>0</v>
      </c>
      <c r="M54" s="269">
        <f ca="1">M52+'SC-III'!M54</f>
        <v>0</v>
      </c>
      <c r="N54" s="269">
        <f ca="1">N52+'SC-III'!N54</f>
        <v>0</v>
      </c>
      <c r="O54" s="269">
        <f ca="1">O52+'SC-III'!O54</f>
        <v>0</v>
      </c>
      <c r="P54" s="269">
        <f ca="1">P52+'SC-III'!P54</f>
        <v>0</v>
      </c>
      <c r="Q54" s="269">
        <f ca="1">Q52+'SC-III'!Q54</f>
        <v>0</v>
      </c>
      <c r="R54" s="269">
        <f ca="1">R52+'SC-III'!R54</f>
        <v>0</v>
      </c>
      <c r="S54" s="269">
        <f ca="1">S52+'SC-III'!S54</f>
        <v>0</v>
      </c>
      <c r="T54" s="269">
        <f ca="1">T52+'SC-III'!T54</f>
        <v>0</v>
      </c>
      <c r="U54" s="269">
        <f ca="1">U52+'SC-III'!U54</f>
        <v>0</v>
      </c>
      <c r="V54" s="269">
        <f ca="1">V52+'SC-III'!V54</f>
        <v>0</v>
      </c>
      <c r="W54" s="269">
        <f ca="1">W52+'SC-III'!W54</f>
        <v>0</v>
      </c>
      <c r="X54" s="269">
        <f ca="1">X52+'SC-III'!X54</f>
        <v>0</v>
      </c>
      <c r="Y54" s="269">
        <f ca="1">Y52+'SC-III'!Y54</f>
        <v>0</v>
      </c>
      <c r="Z54" s="269">
        <f ca="1">Z52+'SC-III'!Z54</f>
        <v>0</v>
      </c>
      <c r="AA54" s="269">
        <f ca="1">AA52+'SC-III'!AA54</f>
        <v>0</v>
      </c>
      <c r="AB54" s="269">
        <f ca="1">AB52+'SC-III'!AB54</f>
        <v>0</v>
      </c>
      <c r="AC54" s="269">
        <f ca="1">AC52+'SC-III'!AC54</f>
        <v>0</v>
      </c>
      <c r="AD54" s="269">
        <f ca="1">AD52+'SC-III'!AD54</f>
        <v>0</v>
      </c>
      <c r="AE54" s="269">
        <f ca="1">AE52+'SC-III'!AE54</f>
        <v>0</v>
      </c>
      <c r="AF54" s="269">
        <f ca="1">AF52+'SC-III'!AF54</f>
        <v>0</v>
      </c>
      <c r="AG54" s="269">
        <f ca="1">AG52+'SC-III'!AG54</f>
        <v>0</v>
      </c>
      <c r="AH54" s="269">
        <f ca="1">AH52+'SC-III'!AH54</f>
        <v>0</v>
      </c>
      <c r="AI54" s="269">
        <f ca="1">AI52+'SC-III'!AI54</f>
        <v>0</v>
      </c>
      <c r="AJ54" s="269">
        <f ca="1">AJ52+'SC-III'!AJ54</f>
        <v>0</v>
      </c>
      <c r="AK54" s="269">
        <f ca="1">AK52+'SC-III'!AK54</f>
        <v>0</v>
      </c>
      <c r="AL54" s="269">
        <f ca="1">AL52+'SC-III'!AL54</f>
        <v>0</v>
      </c>
      <c r="AM54" s="269">
        <f ca="1">AM52+'SC-III'!AM54</f>
        <v>0</v>
      </c>
      <c r="AN54" s="269">
        <f ca="1">AN52+'SC-III'!AN54</f>
        <v>0</v>
      </c>
      <c r="AO54" s="269">
        <f ca="1">AO52+'SC-III'!AO54</f>
        <v>0</v>
      </c>
      <c r="AP54" s="269">
        <f ca="1">AP52+'SC-III'!AP54</f>
        <v>0</v>
      </c>
      <c r="AQ54" s="269">
        <f ca="1">AQ52+'SC-III'!AQ54</f>
        <v>0</v>
      </c>
      <c r="AR54" s="269">
        <f ca="1">AR52+'SC-III'!AR54</f>
        <v>0</v>
      </c>
      <c r="AS54" s="269">
        <f ca="1">AS52+'SC-III'!AS54</f>
        <v>0</v>
      </c>
      <c r="AT54" s="269">
        <f ca="1">AT52+'SC-III'!AT54</f>
        <v>0</v>
      </c>
      <c r="AU54" s="269">
        <f ca="1">AU52+'SC-III'!AU54</f>
        <v>0</v>
      </c>
      <c r="AV54" s="269">
        <f ca="1">AV52+'SC-III'!AV54</f>
        <v>0</v>
      </c>
      <c r="AW54" s="269">
        <f ca="1">AW52+'SC-III'!AW54</f>
        <v>0</v>
      </c>
      <c r="AX54" s="269">
        <f ca="1">AX52+'SC-III'!AX54</f>
        <v>0</v>
      </c>
      <c r="AY54" s="269">
        <f ca="1">AY52+'SC-III'!AY54</f>
        <v>0</v>
      </c>
      <c r="AZ54" s="269">
        <f ca="1">AZ52+'SC-III'!AZ54</f>
        <v>0</v>
      </c>
      <c r="BA54" s="269">
        <f ca="1">BA52+'SC-III'!BA54</f>
        <v>0</v>
      </c>
      <c r="BB54" s="269">
        <f ca="1">BB52+'SC-III'!BB54</f>
        <v>0</v>
      </c>
      <c r="BC54" s="269">
        <f ca="1">BC52+'SC-III'!BC54</f>
        <v>0</v>
      </c>
      <c r="BD54" s="269">
        <f ca="1">BD52+'SC-III'!BD54</f>
        <v>0</v>
      </c>
      <c r="BE54" s="269">
        <f ca="1">BE52+'SC-III'!BE54</f>
        <v>0</v>
      </c>
      <c r="BF54" s="269">
        <f ca="1">BF52+'SC-III'!BF54</f>
        <v>0</v>
      </c>
      <c r="BG54" s="269">
        <f ca="1">BG52+'SC-III'!BG54</f>
        <v>0</v>
      </c>
      <c r="BH54" s="269">
        <f ca="1">BH52+'SC-III'!BH54</f>
        <v>0</v>
      </c>
      <c r="BI54" s="269">
        <f ca="1">BI52+'SC-III'!BI54</f>
        <v>0</v>
      </c>
      <c r="BJ54" s="269">
        <f ca="1">BJ52+'SC-III'!BJ54</f>
        <v>0</v>
      </c>
      <c r="BK54" s="269">
        <f ca="1">BK52+'SC-III'!BK54</f>
        <v>0</v>
      </c>
      <c r="BL54" s="269">
        <f ca="1">BL52+'SC-III'!BL54</f>
        <v>0</v>
      </c>
      <c r="BM54" s="269">
        <f ca="1">BM52+'SC-III'!BM54</f>
        <v>0</v>
      </c>
      <c r="BN54" s="269">
        <f ca="1">BN52+'SC-III'!BN54</f>
        <v>0</v>
      </c>
      <c r="BO54" s="269">
        <f ca="1">BO52+'SC-III'!BO54</f>
        <v>0</v>
      </c>
      <c r="BP54" s="269">
        <f ca="1">BP52+'SC-III'!BP54</f>
        <v>0</v>
      </c>
      <c r="BQ54" s="269">
        <f ca="1">BQ52+'SC-III'!BQ54</f>
        <v>0</v>
      </c>
      <c r="BR54" s="269">
        <f ca="1">BR52+'SC-III'!BR54</f>
        <v>0</v>
      </c>
      <c r="BS54" s="269">
        <f ca="1">BS52+'SC-III'!BS54</f>
        <v>0</v>
      </c>
      <c r="BT54" s="269">
        <f ca="1">BT52+'SC-III'!BT54</f>
        <v>0</v>
      </c>
      <c r="BU54" s="269">
        <f ca="1">BU52+'SC-III'!BU54</f>
        <v>0</v>
      </c>
      <c r="BV54" s="269">
        <f ca="1">BV52+'SC-III'!BV54</f>
        <v>0</v>
      </c>
      <c r="BW54" s="269">
        <f ca="1">BW52+'SC-III'!BW54</f>
        <v>0</v>
      </c>
      <c r="BX54" s="269">
        <f ca="1">BX52+'SC-III'!BX54</f>
        <v>0</v>
      </c>
      <c r="BY54" s="269">
        <f ca="1">BY52+'SC-III'!BY54</f>
        <v>0</v>
      </c>
      <c r="BZ54" s="269">
        <f ca="1">BZ52+'SC-III'!BZ54</f>
        <v>0</v>
      </c>
      <c r="CA54" s="269">
        <f ca="1">CA52+'SC-III'!CA54</f>
        <v>107861885.00000048</v>
      </c>
      <c r="CB54" s="269">
        <f ca="1">CB52+'SC-III'!CB54</f>
        <v>107861885.00000048</v>
      </c>
      <c r="CC54" s="269">
        <f ca="1">CC52+'SC-III'!CC54</f>
        <v>0</v>
      </c>
      <c r="CD54" s="269">
        <f ca="1">CD52+'SC-III'!CD54</f>
        <v>0</v>
      </c>
      <c r="CE54" s="269">
        <f ca="1">CE52+'SC-III'!CE54</f>
        <v>0</v>
      </c>
      <c r="CF54" s="269">
        <f ca="1">CF52+'SC-III'!CF54</f>
        <v>0</v>
      </c>
      <c r="CG54" s="269">
        <f ca="1">CG52+'SC-III'!CG54</f>
        <v>0</v>
      </c>
      <c r="CH54" s="269">
        <f ca="1">CH52+'SC-III'!CH54</f>
        <v>0</v>
      </c>
      <c r="CI54" s="269">
        <f ca="1">CI52+'SC-III'!CI54</f>
        <v>0</v>
      </c>
      <c r="CJ54" s="269">
        <f ca="1">CJ52+'SC-III'!CJ54</f>
        <v>0</v>
      </c>
      <c r="CK54" s="269">
        <f ca="1">CK52+'SC-III'!CK54</f>
        <v>0</v>
      </c>
      <c r="CL54" s="269">
        <f ca="1">CL52+'SC-III'!CL54</f>
        <v>0</v>
      </c>
      <c r="CM54" s="269">
        <f ca="1">CM52+'SC-III'!CM54</f>
        <v>0</v>
      </c>
      <c r="CN54" s="269">
        <f ca="1">CN52+'SC-III'!CN54</f>
        <v>0</v>
      </c>
      <c r="CO54" s="269">
        <f ca="1">CO52+'SC-III'!CO54</f>
        <v>0</v>
      </c>
      <c r="CP54" s="269">
        <f ca="1">CP52+'SC-III'!CP54</f>
        <v>0</v>
      </c>
      <c r="CQ54" s="269">
        <f ca="1">CQ52+'SC-III'!CQ54</f>
        <v>0</v>
      </c>
      <c r="CR54" s="269">
        <f ca="1">CR52+'SC-III'!CR54</f>
        <v>0</v>
      </c>
      <c r="CS54" s="269">
        <f ca="1">CS52+'SC-III'!CS54</f>
        <v>0</v>
      </c>
      <c r="CT54" s="269">
        <f ca="1">CT52+'SC-III'!CT54</f>
        <v>0</v>
      </c>
      <c r="CU54" s="269">
        <f ca="1">CU52+'SC-III'!CU54</f>
        <v>0</v>
      </c>
      <c r="CV54" s="269">
        <f ca="1">CV52+'SC-III'!CV54</f>
        <v>0</v>
      </c>
      <c r="CW54" s="269">
        <f ca="1">CW52+'SC-III'!CW54</f>
        <v>0</v>
      </c>
      <c r="CX54" s="269">
        <f ca="1">CX52+'SC-III'!CX54</f>
        <v>0</v>
      </c>
      <c r="CY54" s="269">
        <f ca="1">CY52+'SC-III'!CY54</f>
        <v>0</v>
      </c>
      <c r="CZ54" s="269">
        <f ca="1">CZ52+'SC-III'!CZ54</f>
        <v>0</v>
      </c>
      <c r="DA54" s="269">
        <f ca="1">DA52+'SC-III'!DA54</f>
        <v>0</v>
      </c>
    </row>
    <row r="55" spans="1:105" ht="12" customHeight="1">
      <c r="B55" s="274"/>
      <c r="C55" s="275"/>
      <c r="D55" s="275"/>
      <c r="E55" s="275"/>
      <c r="F55" s="275"/>
      <c r="G55" s="276"/>
      <c r="H55" s="276"/>
      <c r="I55" s="275"/>
      <c r="J55" s="275"/>
      <c r="K55" s="275"/>
      <c r="AB55" s="275"/>
      <c r="AC55" s="275"/>
      <c r="AD55" s="275"/>
      <c r="AE55" s="276"/>
      <c r="AF55" s="275"/>
      <c r="AG55" s="276"/>
      <c r="AH55" s="276"/>
      <c r="AI55" s="276"/>
      <c r="AJ55" s="276"/>
      <c r="AK55" s="292"/>
      <c r="AL55" s="275"/>
      <c r="AM55" s="275"/>
      <c r="AN55" s="275"/>
      <c r="AO55" s="275"/>
      <c r="AR55" s="275"/>
      <c r="AS55" s="275"/>
      <c r="AT55" s="275"/>
      <c r="AU55" s="275"/>
      <c r="AV55" s="275"/>
      <c r="AW55" s="275"/>
      <c r="AZ55" s="275"/>
      <c r="BA55" s="275"/>
    </row>
    <row r="56" spans="1:105" ht="12" customHeight="1">
      <c r="B56" s="274"/>
      <c r="C56" s="275"/>
      <c r="D56" s="275"/>
      <c r="E56" s="275"/>
      <c r="F56" s="275"/>
      <c r="G56" s="276"/>
      <c r="H56" s="276"/>
      <c r="I56" s="275"/>
      <c r="J56" s="275"/>
      <c r="K56" s="275"/>
      <c r="AB56" s="275"/>
      <c r="AC56" s="275"/>
      <c r="AD56" s="275"/>
      <c r="AE56" s="276"/>
      <c r="AF56" s="275"/>
      <c r="AG56" s="276"/>
      <c r="AH56" s="276"/>
      <c r="AI56" s="276"/>
      <c r="AJ56" s="276"/>
      <c r="AK56" s="292"/>
      <c r="AL56" s="278" t="s">
        <v>246</v>
      </c>
      <c r="AM56" s="279"/>
      <c r="AN56" s="279"/>
      <c r="AO56" s="279"/>
      <c r="AP56" s="279"/>
      <c r="AQ56" s="279"/>
      <c r="AR56" s="280"/>
      <c r="AS56" s="280"/>
      <c r="AT56" s="279"/>
    </row>
    <row r="57" spans="1:105" ht="12" customHeight="1">
      <c r="J57" s="277"/>
      <c r="K57" s="277"/>
      <c r="L57" s="277"/>
      <c r="M57" s="294"/>
      <c r="N57" s="277"/>
      <c r="O57" s="294"/>
      <c r="P57" s="294"/>
      <c r="Q57" s="294"/>
      <c r="R57" s="277"/>
      <c r="AE57" s="239"/>
      <c r="AG57" s="239"/>
      <c r="AH57" s="239"/>
      <c r="AI57" s="239"/>
      <c r="AJ57" s="239"/>
      <c r="AK57" s="295"/>
      <c r="AL57" s="281" t="s">
        <v>229</v>
      </c>
      <c r="AM57" s="279"/>
      <c r="AN57" s="279"/>
      <c r="AO57" s="279"/>
      <c r="AP57" s="279"/>
      <c r="AQ57" s="279"/>
      <c r="AR57" s="280"/>
      <c r="AS57" s="280"/>
      <c r="AT57" s="279"/>
    </row>
    <row r="58" spans="1:105" s="245" customFormat="1" ht="12" customHeight="1">
      <c r="F58" s="296"/>
      <c r="G58" s="297"/>
      <c r="H58" s="297"/>
      <c r="R58" s="298"/>
      <c r="Z58" s="238"/>
      <c r="AA58" s="238"/>
      <c r="AE58" s="297"/>
      <c r="AG58" s="297"/>
      <c r="AH58" s="297"/>
      <c r="AI58" s="297"/>
      <c r="AJ58" s="297"/>
      <c r="AK58" s="299"/>
      <c r="AL58" s="279"/>
      <c r="AM58" s="279"/>
      <c r="AN58" s="279"/>
      <c r="AO58" s="279"/>
      <c r="AP58" s="279"/>
      <c r="AQ58" s="279"/>
      <c r="AR58" s="279"/>
      <c r="AS58" s="279"/>
      <c r="AT58" s="280"/>
      <c r="AU58" s="238"/>
      <c r="AV58" s="238"/>
      <c r="AW58" s="238"/>
      <c r="AX58" s="238"/>
      <c r="AY58" s="238"/>
      <c r="AZ58" s="238"/>
      <c r="BA58" s="238"/>
    </row>
    <row r="59" spans="1:105" ht="12" customHeight="1">
      <c r="L59" s="257"/>
      <c r="N59" s="257"/>
      <c r="AE59" s="239"/>
      <c r="AG59" s="239"/>
      <c r="AH59" s="239"/>
      <c r="AI59" s="239"/>
      <c r="AJ59" s="239"/>
      <c r="AK59" s="295"/>
      <c r="AL59" s="279"/>
      <c r="AM59" s="279"/>
      <c r="AN59" s="279"/>
      <c r="AO59" s="279"/>
      <c r="AP59" s="279"/>
      <c r="AQ59" s="279"/>
      <c r="AR59" s="279"/>
      <c r="AS59" s="279"/>
      <c r="AT59" s="280"/>
      <c r="AZ59" s="282" t="str">
        <f>"Ngày 31 tháng 12 năm 2015 "</f>
        <v xml:space="preserve">Ngày 31 tháng 12 năm 2015 </v>
      </c>
    </row>
    <row r="60" spans="1:105">
      <c r="J60" s="257"/>
      <c r="K60" s="257"/>
      <c r="AL60" s="279"/>
      <c r="AM60" s="283" t="s">
        <v>11</v>
      </c>
      <c r="AN60" s="279"/>
      <c r="AO60" s="279"/>
      <c r="AP60" s="279"/>
      <c r="AQ60" s="279"/>
      <c r="AR60" s="279"/>
      <c r="AS60" s="284" t="s">
        <v>12</v>
      </c>
      <c r="AT60" s="280"/>
      <c r="AZ60" s="283" t="s">
        <v>131</v>
      </c>
    </row>
    <row r="61" spans="1:105">
      <c r="T61" s="257"/>
      <c r="AL61" s="279"/>
      <c r="AM61" s="285" t="s">
        <v>13</v>
      </c>
      <c r="AN61" s="279"/>
      <c r="AO61" s="279"/>
      <c r="AP61" s="279"/>
      <c r="AQ61" s="279"/>
      <c r="AR61" s="279"/>
      <c r="AS61" s="286" t="s">
        <v>13</v>
      </c>
      <c r="AT61" s="280"/>
      <c r="AZ61" s="285" t="s">
        <v>161</v>
      </c>
    </row>
    <row r="62" spans="1:105">
      <c r="F62" s="257"/>
      <c r="T62" s="257"/>
      <c r="AL62" s="279"/>
      <c r="AM62" s="279"/>
      <c r="AN62" s="279"/>
      <c r="AO62" s="279"/>
      <c r="AP62" s="279"/>
      <c r="AQ62" s="279"/>
      <c r="AR62" s="279"/>
      <c r="AS62" s="279"/>
      <c r="AT62" s="280"/>
      <c r="AZ62" s="279"/>
    </row>
    <row r="63" spans="1:105">
      <c r="F63" s="257"/>
      <c r="T63" s="257"/>
      <c r="AZ63" s="279"/>
    </row>
    <row r="64" spans="1:105">
      <c r="F64" s="257"/>
      <c r="G64" s="257"/>
      <c r="T64" s="257"/>
    </row>
    <row r="65" spans="5:20">
      <c r="F65" s="257"/>
      <c r="T65" s="257"/>
    </row>
    <row r="66" spans="5:20">
      <c r="F66" s="257"/>
      <c r="T66" s="257"/>
    </row>
    <row r="67" spans="5:20">
      <c r="F67" s="257"/>
      <c r="M67" s="277"/>
      <c r="O67" s="277"/>
      <c r="P67" s="277"/>
      <c r="Q67" s="277"/>
      <c r="R67" s="277"/>
      <c r="T67" s="257"/>
    </row>
    <row r="68" spans="5:20">
      <c r="E68" s="288"/>
      <c r="F68" s="257"/>
      <c r="M68" s="277"/>
      <c r="O68" s="277"/>
      <c r="P68" s="277"/>
      <c r="Q68" s="277"/>
      <c r="R68" s="277"/>
    </row>
    <row r="69" spans="5:20">
      <c r="F69" s="277"/>
      <c r="M69" s="277"/>
      <c r="O69" s="277"/>
      <c r="P69" s="277"/>
      <c r="Q69" s="277"/>
      <c r="R69" s="277"/>
    </row>
    <row r="70" spans="5:20">
      <c r="F70" s="277"/>
      <c r="M70" s="277"/>
      <c r="O70" s="277"/>
      <c r="P70" s="277"/>
      <c r="Q70" s="277"/>
      <c r="R70" s="277"/>
    </row>
    <row r="71" spans="5:20">
      <c r="E71" s="277"/>
      <c r="F71" s="277"/>
      <c r="M71" s="277"/>
      <c r="O71" s="277"/>
      <c r="P71" s="277"/>
      <c r="Q71" s="277"/>
      <c r="R71" s="277"/>
    </row>
    <row r="72" spans="5:20">
      <c r="E72" s="277"/>
      <c r="F72" s="277"/>
      <c r="M72" s="277"/>
      <c r="O72" s="277"/>
      <c r="P72" s="277"/>
      <c r="Q72" s="277"/>
      <c r="R72" s="277"/>
    </row>
    <row r="73" spans="5:20">
      <c r="E73" s="277"/>
      <c r="F73" s="277"/>
      <c r="M73" s="277"/>
      <c r="O73" s="277"/>
      <c r="P73" s="277"/>
      <c r="Q73" s="277"/>
      <c r="R73" s="277"/>
    </row>
    <row r="74" spans="5:20">
      <c r="E74" s="277"/>
      <c r="F74" s="277"/>
      <c r="M74" s="277"/>
      <c r="O74" s="277"/>
      <c r="P74" s="277"/>
      <c r="Q74" s="277"/>
      <c r="R74" s="277"/>
    </row>
    <row r="75" spans="5:20">
      <c r="E75" s="277"/>
      <c r="F75" s="277"/>
      <c r="M75" s="277"/>
      <c r="O75" s="277"/>
      <c r="P75" s="277"/>
      <c r="Q75" s="277"/>
      <c r="R75" s="277"/>
    </row>
    <row r="76" spans="5:20">
      <c r="E76" s="277"/>
      <c r="F76" s="277"/>
      <c r="M76" s="277"/>
      <c r="O76" s="277"/>
      <c r="P76" s="277"/>
      <c r="Q76" s="277"/>
      <c r="R76" s="277"/>
    </row>
    <row r="77" spans="5:20">
      <c r="F77" s="277"/>
      <c r="M77" s="277"/>
      <c r="O77" s="277"/>
      <c r="P77" s="277"/>
      <c r="Q77" s="277"/>
      <c r="R77" s="277"/>
    </row>
    <row r="78" spans="5:20">
      <c r="F78" s="277"/>
      <c r="M78" s="277"/>
      <c r="O78" s="277"/>
      <c r="P78" s="277"/>
      <c r="Q78" s="277"/>
      <c r="R78" s="277"/>
    </row>
    <row r="79" spans="5:20">
      <c r="F79" s="277"/>
      <c r="M79" s="277"/>
      <c r="O79" s="277"/>
      <c r="P79" s="277"/>
      <c r="Q79" s="277"/>
      <c r="R79" s="277"/>
    </row>
    <row r="80" spans="5:20">
      <c r="F80" s="277"/>
      <c r="M80" s="277"/>
      <c r="O80" s="277"/>
      <c r="P80" s="277"/>
      <c r="Q80" s="277"/>
      <c r="R80" s="277"/>
    </row>
    <row r="81" spans="6:18">
      <c r="F81" s="277"/>
      <c r="M81" s="277"/>
      <c r="O81" s="277"/>
      <c r="P81" s="277"/>
      <c r="Q81" s="277"/>
      <c r="R81" s="277"/>
    </row>
    <row r="82" spans="6:18">
      <c r="F82" s="277"/>
      <c r="M82" s="277"/>
      <c r="O82" s="277"/>
      <c r="P82" s="277"/>
      <c r="Q82" s="277"/>
      <c r="R82" s="277"/>
    </row>
    <row r="83" spans="6:18">
      <c r="M83" s="277"/>
      <c r="O83" s="277"/>
      <c r="P83" s="277"/>
      <c r="Q83" s="277"/>
      <c r="R83" s="277"/>
    </row>
    <row r="85" spans="6:18">
      <c r="M85" s="277"/>
      <c r="O85" s="277"/>
      <c r="P85" s="277"/>
      <c r="Q85" s="277"/>
      <c r="R85" s="277"/>
    </row>
    <row r="86" spans="6:18">
      <c r="M86" s="277"/>
      <c r="O86" s="277"/>
      <c r="P86" s="277"/>
      <c r="Q86" s="277"/>
      <c r="R86" s="277"/>
    </row>
    <row r="87" spans="6:18">
      <c r="M87" s="277"/>
      <c r="O87" s="277"/>
      <c r="P87" s="277"/>
      <c r="Q87" s="277"/>
      <c r="R87" s="277"/>
    </row>
    <row r="88" spans="6:18">
      <c r="M88" s="277"/>
      <c r="O88" s="277"/>
      <c r="P88" s="277"/>
      <c r="Q88" s="277"/>
      <c r="R88" s="277"/>
    </row>
    <row r="89" spans="6:18">
      <c r="M89" s="277"/>
      <c r="O89" s="277"/>
      <c r="P89" s="277"/>
      <c r="Q89" s="277"/>
      <c r="R89" s="277"/>
    </row>
    <row r="90" spans="6:18">
      <c r="M90" s="277"/>
      <c r="O90" s="277"/>
      <c r="P90" s="277"/>
      <c r="Q90" s="277"/>
      <c r="R90" s="277"/>
    </row>
    <row r="103" spans="13:17">
      <c r="M103" s="277"/>
      <c r="O103" s="277"/>
      <c r="P103" s="277"/>
      <c r="Q103" s="277"/>
    </row>
    <row r="120" spans="13:18">
      <c r="R120" s="277"/>
    </row>
    <row r="121" spans="13:18">
      <c r="R121" s="277"/>
    </row>
    <row r="122" spans="13:18">
      <c r="M122" s="277"/>
      <c r="O122" s="277"/>
      <c r="P122" s="277"/>
      <c r="Q122" s="277"/>
      <c r="R122" s="277"/>
    </row>
    <row r="123" spans="13:18">
      <c r="M123" s="277"/>
      <c r="O123" s="277"/>
      <c r="P123" s="277"/>
      <c r="Q123" s="277"/>
      <c r="R123" s="277"/>
    </row>
    <row r="124" spans="13:18">
      <c r="M124" s="277"/>
      <c r="O124" s="277"/>
      <c r="P124" s="277"/>
      <c r="Q124" s="277"/>
    </row>
    <row r="125" spans="13:18">
      <c r="M125" s="277"/>
      <c r="O125" s="277"/>
      <c r="P125" s="277"/>
      <c r="Q125" s="277"/>
    </row>
    <row r="127" spans="13:18">
      <c r="M127" s="277"/>
      <c r="O127" s="277"/>
      <c r="P127" s="277"/>
      <c r="Q127" s="277"/>
      <c r="R127" s="277"/>
    </row>
    <row r="128" spans="13:18">
      <c r="M128" s="277"/>
      <c r="O128" s="277"/>
      <c r="P128" s="277"/>
      <c r="Q128" s="277"/>
      <c r="R128" s="277"/>
    </row>
    <row r="135" spans="13:18">
      <c r="M135" s="277"/>
      <c r="O135" s="277"/>
      <c r="P135" s="277"/>
      <c r="Q135" s="277"/>
      <c r="R135" s="277"/>
    </row>
    <row r="136" spans="13:18">
      <c r="M136" s="277"/>
      <c r="O136" s="277"/>
      <c r="P136" s="277"/>
      <c r="Q136" s="277"/>
      <c r="R136" s="277"/>
    </row>
    <row r="137" spans="13:18">
      <c r="M137" s="277"/>
      <c r="O137" s="277"/>
      <c r="P137" s="277"/>
      <c r="Q137" s="277"/>
      <c r="R137" s="277"/>
    </row>
    <row r="141" spans="13:18">
      <c r="M141" s="277"/>
      <c r="O141" s="277"/>
      <c r="P141" s="277"/>
      <c r="Q141" s="277"/>
      <c r="R141" s="277"/>
    </row>
    <row r="142" spans="13:18">
      <c r="M142" s="277"/>
      <c r="O142" s="277"/>
      <c r="P142" s="277"/>
      <c r="Q142" s="277"/>
      <c r="R142" s="277"/>
    </row>
    <row r="143" spans="13:18">
      <c r="M143" s="277"/>
      <c r="O143" s="277"/>
      <c r="P143" s="277"/>
      <c r="Q143" s="277"/>
      <c r="R143" s="277"/>
    </row>
    <row r="144" spans="13:18">
      <c r="M144" s="277"/>
      <c r="O144" s="277"/>
      <c r="P144" s="277"/>
      <c r="Q144" s="277"/>
      <c r="R144" s="277"/>
    </row>
    <row r="145" spans="13:18">
      <c r="M145" s="277"/>
      <c r="O145" s="277"/>
      <c r="P145" s="277"/>
      <c r="Q145" s="277"/>
      <c r="R145" s="277"/>
    </row>
    <row r="146" spans="13:18">
      <c r="M146" s="277"/>
      <c r="O146" s="277"/>
      <c r="P146" s="277"/>
      <c r="Q146" s="277"/>
      <c r="R146" s="277"/>
    </row>
    <row r="147" spans="13:18">
      <c r="M147" s="277"/>
      <c r="O147" s="277"/>
      <c r="P147" s="277"/>
      <c r="Q147" s="277"/>
      <c r="R147" s="277"/>
    </row>
    <row r="148" spans="13:18">
      <c r="M148" s="277"/>
      <c r="O148" s="277"/>
      <c r="P148" s="277"/>
      <c r="Q148" s="277"/>
      <c r="R148" s="277"/>
    </row>
    <row r="149" spans="13:18">
      <c r="M149" s="277"/>
      <c r="O149" s="277"/>
      <c r="P149" s="277"/>
      <c r="Q149" s="277"/>
      <c r="R149" s="277"/>
    </row>
    <row r="150" spans="13:18">
      <c r="M150" s="277"/>
      <c r="O150" s="277"/>
      <c r="P150" s="277"/>
      <c r="Q150" s="277"/>
      <c r="R150" s="277"/>
    </row>
    <row r="151" spans="13:18">
      <c r="M151" s="277"/>
      <c r="O151" s="277"/>
      <c r="P151" s="277"/>
      <c r="Q151" s="277"/>
      <c r="R151" s="277"/>
    </row>
    <row r="152" spans="13:18">
      <c r="M152" s="277"/>
      <c r="O152" s="277"/>
      <c r="P152" s="277"/>
      <c r="Q152" s="277"/>
      <c r="R152" s="277"/>
    </row>
    <row r="153" spans="13:18">
      <c r="M153" s="277"/>
      <c r="O153" s="277"/>
      <c r="P153" s="277"/>
      <c r="Q153" s="277"/>
      <c r="R153" s="277"/>
    </row>
    <row r="154" spans="13:18">
      <c r="M154" s="277"/>
      <c r="O154" s="277"/>
      <c r="P154" s="277"/>
      <c r="Q154" s="277"/>
      <c r="R154" s="277"/>
    </row>
    <row r="155" spans="13:18">
      <c r="M155" s="277"/>
      <c r="O155" s="277"/>
      <c r="P155" s="277"/>
      <c r="Q155" s="277"/>
      <c r="R155" s="277"/>
    </row>
    <row r="156" spans="13:18">
      <c r="M156" s="277"/>
      <c r="O156" s="277"/>
      <c r="P156" s="277"/>
      <c r="Q156" s="277"/>
      <c r="R156" s="277"/>
    </row>
    <row r="157" spans="13:18">
      <c r="M157" s="277"/>
      <c r="O157" s="277"/>
      <c r="P157" s="277"/>
      <c r="Q157" s="277"/>
      <c r="R157" s="277"/>
    </row>
    <row r="158" spans="13:18">
      <c r="M158" s="277"/>
      <c r="O158" s="277"/>
      <c r="P158" s="277"/>
      <c r="Q158" s="277"/>
      <c r="R158" s="277"/>
    </row>
    <row r="159" spans="13:18">
      <c r="M159" s="277"/>
      <c r="O159" s="277"/>
      <c r="P159" s="277"/>
      <c r="Q159" s="277"/>
      <c r="R159" s="277"/>
    </row>
    <row r="160" spans="13:18">
      <c r="M160" s="277"/>
      <c r="O160" s="277"/>
      <c r="P160" s="277"/>
      <c r="Q160" s="277"/>
      <c r="R160" s="277"/>
    </row>
    <row r="161" spans="13:18">
      <c r="M161" s="277"/>
      <c r="O161" s="277"/>
      <c r="P161" s="277"/>
      <c r="Q161" s="277"/>
      <c r="R161" s="277"/>
    </row>
    <row r="162" spans="13:18">
      <c r="M162" s="277"/>
      <c r="O162" s="277"/>
      <c r="P162" s="277"/>
      <c r="Q162" s="277"/>
      <c r="R162" s="277"/>
    </row>
    <row r="163" spans="13:18">
      <c r="M163" s="277"/>
      <c r="O163" s="277"/>
      <c r="P163" s="277"/>
      <c r="Q163" s="277"/>
      <c r="R163" s="277"/>
    </row>
    <row r="164" spans="13:18">
      <c r="M164" s="277"/>
      <c r="O164" s="277"/>
      <c r="P164" s="277"/>
      <c r="Q164" s="277"/>
      <c r="R164" s="277"/>
    </row>
    <row r="165" spans="13:18">
      <c r="M165" s="277"/>
      <c r="O165" s="277"/>
      <c r="P165" s="277"/>
      <c r="Q165" s="277"/>
      <c r="R165" s="277"/>
    </row>
    <row r="166" spans="13:18">
      <c r="M166" s="277"/>
      <c r="O166" s="277"/>
      <c r="P166" s="277"/>
      <c r="Q166" s="277"/>
      <c r="R166" s="277"/>
    </row>
    <row r="167" spans="13:18">
      <c r="M167" s="277"/>
      <c r="O167" s="277"/>
      <c r="P167" s="277"/>
      <c r="Q167" s="277"/>
      <c r="R167" s="277"/>
    </row>
    <row r="168" spans="13:18">
      <c r="M168" s="277"/>
      <c r="O168" s="277"/>
      <c r="P168" s="277"/>
      <c r="Q168" s="277"/>
      <c r="R168" s="277"/>
    </row>
    <row r="169" spans="13:18">
      <c r="M169" s="277"/>
      <c r="O169" s="277"/>
      <c r="P169" s="277"/>
      <c r="Q169" s="277"/>
      <c r="R169" s="277"/>
    </row>
    <row r="170" spans="13:18">
      <c r="M170" s="277"/>
      <c r="O170" s="277"/>
      <c r="P170" s="277"/>
      <c r="Q170" s="277"/>
      <c r="R170" s="277"/>
    </row>
    <row r="171" spans="13:18">
      <c r="M171" s="277"/>
      <c r="O171" s="277"/>
      <c r="P171" s="277"/>
      <c r="Q171" s="277"/>
      <c r="R171" s="277"/>
    </row>
    <row r="172" spans="13:18">
      <c r="M172" s="277"/>
      <c r="O172" s="277"/>
      <c r="P172" s="277"/>
      <c r="Q172" s="277"/>
      <c r="R172" s="277"/>
    </row>
    <row r="173" spans="13:18">
      <c r="M173" s="277"/>
      <c r="O173" s="277"/>
      <c r="P173" s="277"/>
      <c r="Q173" s="277"/>
      <c r="R173" s="277"/>
    </row>
    <row r="174" spans="13:18">
      <c r="M174" s="277"/>
      <c r="O174" s="277"/>
      <c r="P174" s="277"/>
      <c r="Q174" s="277"/>
      <c r="R174" s="277"/>
    </row>
    <row r="175" spans="13:18">
      <c r="M175" s="277"/>
      <c r="O175" s="277"/>
      <c r="P175" s="277"/>
      <c r="Q175" s="277"/>
      <c r="R175" s="277"/>
    </row>
    <row r="176" spans="13:18">
      <c r="M176" s="277"/>
      <c r="O176" s="277"/>
      <c r="P176" s="277"/>
      <c r="Q176" s="277"/>
      <c r="R176" s="277"/>
    </row>
    <row r="177" spans="13:18">
      <c r="M177" s="277"/>
      <c r="O177" s="277"/>
      <c r="P177" s="277"/>
      <c r="Q177" s="277"/>
      <c r="R177" s="277"/>
    </row>
    <row r="178" spans="13:18">
      <c r="M178" s="277"/>
      <c r="O178" s="277"/>
      <c r="P178" s="277"/>
      <c r="Q178" s="277"/>
      <c r="R178" s="277"/>
    </row>
    <row r="179" spans="13:18">
      <c r="M179" s="277"/>
      <c r="O179" s="277"/>
      <c r="P179" s="277"/>
      <c r="Q179" s="277"/>
      <c r="R179" s="277"/>
    </row>
    <row r="180" spans="13:18">
      <c r="M180" s="277"/>
      <c r="O180" s="277"/>
      <c r="P180" s="277"/>
      <c r="Q180" s="277"/>
      <c r="R180" s="277"/>
    </row>
    <row r="181" spans="13:18">
      <c r="M181" s="277"/>
      <c r="O181" s="277"/>
      <c r="P181" s="277"/>
      <c r="Q181" s="277"/>
      <c r="R181" s="277"/>
    </row>
    <row r="182" spans="13:18">
      <c r="M182" s="277"/>
      <c r="O182" s="277"/>
      <c r="P182" s="277"/>
      <c r="Q182" s="277"/>
      <c r="R182" s="277"/>
    </row>
    <row r="183" spans="13:18">
      <c r="M183" s="277"/>
      <c r="O183" s="277"/>
      <c r="P183" s="277"/>
      <c r="Q183" s="277"/>
      <c r="R183" s="277"/>
    </row>
    <row r="184" spans="13:18">
      <c r="M184" s="277"/>
      <c r="O184" s="277"/>
      <c r="P184" s="277"/>
      <c r="Q184" s="277"/>
      <c r="R184" s="277"/>
    </row>
    <row r="185" spans="13:18">
      <c r="M185" s="277"/>
      <c r="O185" s="277"/>
      <c r="P185" s="277"/>
      <c r="Q185" s="277"/>
      <c r="R185" s="277"/>
    </row>
    <row r="186" spans="13:18">
      <c r="M186" s="277"/>
      <c r="O186" s="277"/>
      <c r="P186" s="277"/>
      <c r="Q186" s="277"/>
      <c r="R186" s="277"/>
    </row>
    <row r="187" spans="13:18">
      <c r="M187" s="277"/>
      <c r="O187" s="277"/>
      <c r="P187" s="277"/>
      <c r="Q187" s="277"/>
      <c r="R187" s="277"/>
    </row>
    <row r="188" spans="13:18">
      <c r="M188" s="277"/>
      <c r="O188" s="277"/>
      <c r="P188" s="277"/>
      <c r="Q188" s="277"/>
      <c r="R188" s="277"/>
    </row>
    <row r="189" spans="13:18">
      <c r="M189" s="277"/>
      <c r="O189" s="277"/>
      <c r="P189" s="277"/>
      <c r="Q189" s="277"/>
      <c r="R189" s="277"/>
    </row>
    <row r="190" spans="13:18">
      <c r="M190" s="277"/>
      <c r="O190" s="277"/>
      <c r="P190" s="277"/>
      <c r="Q190" s="277"/>
      <c r="R190" s="277"/>
    </row>
    <row r="191" spans="13:18">
      <c r="M191" s="277"/>
      <c r="O191" s="277"/>
      <c r="P191" s="277"/>
      <c r="Q191" s="277"/>
      <c r="R191" s="277"/>
    </row>
    <row r="192" spans="13:18">
      <c r="M192" s="277"/>
      <c r="O192" s="277"/>
      <c r="P192" s="277"/>
      <c r="Q192" s="277"/>
      <c r="R192" s="277"/>
    </row>
    <row r="193" spans="13:18">
      <c r="M193" s="277"/>
      <c r="O193" s="277"/>
      <c r="P193" s="277"/>
      <c r="Q193" s="277"/>
      <c r="R193" s="277"/>
    </row>
    <row r="194" spans="13:18">
      <c r="M194" s="277"/>
      <c r="O194" s="277"/>
      <c r="P194" s="277"/>
      <c r="Q194" s="277"/>
      <c r="R194" s="277"/>
    </row>
    <row r="195" spans="13:18">
      <c r="M195" s="277"/>
      <c r="O195" s="277"/>
      <c r="P195" s="277"/>
      <c r="Q195" s="277"/>
      <c r="R195" s="277"/>
    </row>
    <row r="196" spans="13:18">
      <c r="M196" s="277"/>
      <c r="O196" s="277"/>
      <c r="P196" s="277"/>
      <c r="Q196" s="277"/>
      <c r="R196" s="277"/>
    </row>
    <row r="197" spans="13:18">
      <c r="M197" s="277"/>
      <c r="O197" s="277"/>
      <c r="P197" s="277"/>
      <c r="Q197" s="277"/>
      <c r="R197" s="277"/>
    </row>
    <row r="198" spans="13:18">
      <c r="M198" s="277"/>
      <c r="O198" s="277"/>
      <c r="P198" s="277"/>
      <c r="Q198" s="277"/>
      <c r="R198" s="277"/>
    </row>
    <row r="199" spans="13:18">
      <c r="M199" s="277"/>
      <c r="O199" s="277"/>
      <c r="P199" s="277"/>
      <c r="Q199" s="277"/>
      <c r="R199" s="277"/>
    </row>
    <row r="200" spans="13:18">
      <c r="M200" s="277"/>
      <c r="O200" s="277"/>
      <c r="P200" s="277"/>
      <c r="Q200" s="277"/>
      <c r="R200" s="277"/>
    </row>
    <row r="201" spans="13:18">
      <c r="M201" s="277"/>
      <c r="O201" s="277"/>
      <c r="P201" s="277"/>
      <c r="Q201" s="277"/>
      <c r="R201" s="277"/>
    </row>
    <row r="202" spans="13:18">
      <c r="M202" s="277"/>
      <c r="O202" s="277"/>
      <c r="P202" s="277"/>
      <c r="Q202" s="277"/>
      <c r="R202" s="277"/>
    </row>
    <row r="203" spans="13:18">
      <c r="M203" s="277"/>
      <c r="O203" s="277"/>
      <c r="P203" s="277"/>
      <c r="Q203" s="277"/>
      <c r="R203" s="277"/>
    </row>
    <row r="204" spans="13:18">
      <c r="M204" s="277"/>
      <c r="O204" s="277"/>
      <c r="P204" s="277"/>
      <c r="Q204" s="277"/>
      <c r="R204" s="277"/>
    </row>
    <row r="205" spans="13:18">
      <c r="M205" s="277"/>
      <c r="O205" s="277"/>
      <c r="P205" s="277"/>
      <c r="Q205" s="277"/>
      <c r="R205" s="277"/>
    </row>
    <row r="206" spans="13:18">
      <c r="M206" s="277"/>
      <c r="O206" s="277"/>
      <c r="P206" s="277"/>
      <c r="Q206" s="277"/>
      <c r="R206" s="277"/>
    </row>
    <row r="207" spans="13:18">
      <c r="M207" s="277"/>
      <c r="O207" s="277"/>
      <c r="P207" s="277"/>
      <c r="Q207" s="277"/>
      <c r="R207" s="277"/>
    </row>
    <row r="208" spans="13:18">
      <c r="M208" s="277"/>
      <c r="O208" s="277"/>
      <c r="P208" s="277"/>
      <c r="Q208" s="277"/>
      <c r="R208" s="277"/>
    </row>
    <row r="209" spans="13:18">
      <c r="M209" s="277"/>
      <c r="O209" s="277"/>
      <c r="P209" s="277"/>
      <c r="Q209" s="277"/>
      <c r="R209" s="277"/>
    </row>
    <row r="210" spans="13:18">
      <c r="M210" s="277"/>
      <c r="O210" s="277"/>
      <c r="P210" s="277"/>
      <c r="Q210" s="277"/>
      <c r="R210" s="277"/>
    </row>
    <row r="211" spans="13:18">
      <c r="M211" s="277"/>
      <c r="O211" s="277"/>
      <c r="P211" s="277"/>
      <c r="Q211" s="277"/>
      <c r="R211" s="277"/>
    </row>
    <row r="212" spans="13:18">
      <c r="M212" s="277"/>
      <c r="O212" s="277"/>
      <c r="P212" s="277"/>
      <c r="Q212" s="277"/>
      <c r="R212" s="277"/>
    </row>
    <row r="213" spans="13:18">
      <c r="M213" s="277"/>
      <c r="O213" s="277"/>
      <c r="P213" s="277"/>
      <c r="Q213" s="277"/>
      <c r="R213" s="277"/>
    </row>
    <row r="214" spans="13:18">
      <c r="M214" s="277"/>
      <c r="O214" s="277"/>
      <c r="P214" s="277"/>
      <c r="Q214" s="277"/>
      <c r="R214" s="277"/>
    </row>
    <row r="215" spans="13:18">
      <c r="M215" s="277"/>
      <c r="O215" s="277"/>
      <c r="P215" s="277"/>
      <c r="Q215" s="277"/>
      <c r="R215" s="277"/>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0"/>
  <sheetViews>
    <sheetView topLeftCell="A7" workbookViewId="0">
      <pane ySplit="8" topLeftCell="A15" activePane="bottomLeft" state="frozen"/>
      <selection activeCell="P41" sqref="P41"/>
      <selection pane="bottomLeft" activeCell="P41" sqref="P41"/>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212"/>
      <c r="B1" s="212"/>
      <c r="C1" s="212"/>
      <c r="D1" s="5"/>
      <c r="E1" s="212"/>
      <c r="F1" s="5"/>
      <c r="G1" s="5"/>
      <c r="H1" s="5"/>
      <c r="I1" s="5"/>
    </row>
    <row r="2" spans="1:9" ht="15.75" customHeight="1">
      <c r="A2" s="1" t="s">
        <v>179</v>
      </c>
      <c r="B2" s="212"/>
      <c r="C2" s="212"/>
      <c r="D2" s="5"/>
      <c r="E2" s="212"/>
      <c r="F2" s="5"/>
      <c r="G2" s="1361" t="s">
        <v>180</v>
      </c>
      <c r="H2" s="1361"/>
      <c r="I2" s="1361"/>
    </row>
    <row r="3" spans="1:9" ht="15.75" customHeight="1">
      <c r="A3" s="1" t="s">
        <v>181</v>
      </c>
      <c r="B3" s="212"/>
      <c r="C3" s="212"/>
      <c r="D3" s="5"/>
      <c r="E3" s="212"/>
      <c r="F3" s="5"/>
      <c r="G3" s="1362" t="s">
        <v>144</v>
      </c>
      <c r="H3" s="1362"/>
      <c r="I3" s="1362"/>
    </row>
    <row r="4" spans="1:9" ht="15">
      <c r="A4" s="212"/>
      <c r="B4" s="212"/>
      <c r="C4" s="212"/>
      <c r="D4" s="5"/>
      <c r="E4" s="212"/>
      <c r="F4" s="17"/>
      <c r="G4" s="1362"/>
      <c r="H4" s="1362"/>
      <c r="I4" s="1362"/>
    </row>
    <row r="5" spans="1:9" ht="17.25" customHeight="1">
      <c r="A5" s="1363" t="s">
        <v>182</v>
      </c>
      <c r="B5" s="1363"/>
      <c r="C5" s="1363"/>
      <c r="D5" s="1363"/>
      <c r="E5" s="1363"/>
      <c r="F5" s="1363"/>
      <c r="G5" s="1363"/>
      <c r="H5" s="1363"/>
      <c r="I5" s="1363"/>
    </row>
    <row r="6" spans="1:9" ht="15">
      <c r="A6" s="1364" t="s">
        <v>183</v>
      </c>
      <c r="B6" s="1365"/>
      <c r="C6" s="1365"/>
      <c r="D6" s="1365"/>
      <c r="E6" s="1365"/>
      <c r="F6" s="1365"/>
      <c r="G6" s="1365"/>
      <c r="H6" s="1365"/>
      <c r="I6" s="1365"/>
    </row>
    <row r="7" spans="1:9" ht="15">
      <c r="A7" s="212"/>
      <c r="B7" s="5"/>
      <c r="C7" s="5"/>
      <c r="D7" s="230" t="s">
        <v>184</v>
      </c>
      <c r="E7" s="231" t="s">
        <v>72</v>
      </c>
      <c r="F7" s="5"/>
      <c r="G7" s="5"/>
      <c r="H7" s="5"/>
      <c r="I7" s="5"/>
    </row>
    <row r="8" spans="1:9" ht="15">
      <c r="A8" s="212"/>
      <c r="B8" s="5"/>
      <c r="C8" s="5"/>
      <c r="D8" s="230" t="s">
        <v>185</v>
      </c>
      <c r="E8" s="5" t="str">
        <f>VLOOKUP($E$7,DSTK,2,0)</f>
        <v xml:space="preserve"> Phải Thu Khác </v>
      </c>
      <c r="F8" s="5"/>
      <c r="G8" s="5"/>
      <c r="H8" s="5"/>
      <c r="I8" s="5"/>
    </row>
    <row r="9" spans="1:9" ht="15">
      <c r="A9" s="1365" t="s">
        <v>31</v>
      </c>
      <c r="B9" s="1366"/>
      <c r="C9" s="1366"/>
      <c r="D9" s="1366"/>
      <c r="E9" s="1366"/>
      <c r="F9" s="1366"/>
      <c r="G9" s="1366"/>
      <c r="H9" s="1366"/>
      <c r="I9" s="1366"/>
    </row>
    <row r="10" spans="1:9" ht="9.75" customHeight="1">
      <c r="A10" s="212"/>
      <c r="B10" s="212"/>
      <c r="C10" s="1367"/>
      <c r="D10" s="1368"/>
      <c r="E10" s="1368"/>
      <c r="F10" s="1368"/>
      <c r="G10" s="1368"/>
      <c r="H10" s="1368"/>
      <c r="I10" s="1368"/>
    </row>
    <row r="11" spans="1:9" ht="19.5" customHeight="1">
      <c r="A11" s="1369" t="s">
        <v>22</v>
      </c>
      <c r="B11" s="1359" t="s">
        <v>1</v>
      </c>
      <c r="C11" s="1370"/>
      <c r="D11" s="1369" t="s">
        <v>0</v>
      </c>
      <c r="E11" s="1369" t="s">
        <v>16</v>
      </c>
      <c r="F11" s="1359" t="s">
        <v>23</v>
      </c>
      <c r="G11" s="1370"/>
      <c r="H11" s="1359" t="s">
        <v>33</v>
      </c>
      <c r="I11" s="1360"/>
    </row>
    <row r="12" spans="1:9" ht="32.25" customHeight="1">
      <c r="A12" s="1369"/>
      <c r="B12" s="369" t="s">
        <v>17</v>
      </c>
      <c r="C12" s="369" t="s">
        <v>34</v>
      </c>
      <c r="D12" s="1369"/>
      <c r="E12" s="1369"/>
      <c r="F12" s="369" t="s">
        <v>24</v>
      </c>
      <c r="G12" s="369" t="s">
        <v>25</v>
      </c>
      <c r="H12" s="369" t="s">
        <v>24</v>
      </c>
      <c r="I12" s="369" t="s">
        <v>25</v>
      </c>
    </row>
    <row r="13" spans="1:9" ht="11.25" customHeight="1">
      <c r="A13" s="332" t="s">
        <v>2</v>
      </c>
      <c r="B13" s="333" t="s">
        <v>3</v>
      </c>
      <c r="C13" s="332" t="s">
        <v>4</v>
      </c>
      <c r="D13" s="332" t="s">
        <v>5</v>
      </c>
      <c r="E13" s="332" t="s">
        <v>6</v>
      </c>
      <c r="F13" s="332">
        <v>1</v>
      </c>
      <c r="G13" s="332">
        <v>2</v>
      </c>
      <c r="H13" s="332">
        <v>3</v>
      </c>
      <c r="I13" s="332">
        <v>4</v>
      </c>
    </row>
    <row r="14" spans="1:9" ht="18" customHeight="1">
      <c r="A14" s="370"/>
      <c r="B14" s="354"/>
      <c r="C14" s="370"/>
      <c r="D14" s="353" t="s">
        <v>7</v>
      </c>
      <c r="E14" s="354"/>
      <c r="F14" s="371"/>
      <c r="G14" s="371"/>
      <c r="H14" s="371">
        <f>VLOOKUP($E$7,DSTK,3,0)</f>
        <v>0</v>
      </c>
      <c r="I14" s="371">
        <f>VLOOKUP($E$7,DSTK,4,0)</f>
        <v>0</v>
      </c>
    </row>
    <row r="15" spans="1:9" ht="18" customHeight="1">
      <c r="A15" s="314" t="str">
        <f ca="1">IF(ROWS($1:1)&gt;COUNT(Dong5),"",OFFSET(TH!C$1,SMALL(Dong5,ROWS($1:1)),))</f>
        <v/>
      </c>
      <c r="B15" s="314" t="str">
        <f ca="1">IF(ROWS($1:1)&gt;COUNT(Dong5),"",OFFSET(TH!D$1,SMALL(Dong5,ROWS($1:1)),))</f>
        <v/>
      </c>
      <c r="C15" s="314" t="str">
        <f ca="1">IF(ROWS($1:1)&gt;COUNT(Dong5),"",OFFSET(TH!E$1,SMALL(Dong5,ROWS($1:1)),))</f>
        <v/>
      </c>
      <c r="D15" s="372" t="str">
        <f ca="1">IF(ROWS($1:1)&gt;COUNT(Dong5),"",OFFSET(TH!F$1,SMALL(Dong5,ROWS($1:1)),))</f>
        <v/>
      </c>
      <c r="E15" s="314" t="str">
        <f ca="1">IF(ROWS($1:1)&gt;COUNT(Dong5),"",IF(OFFSET(TH!N$1,SMALL(Dong5,ROWS($1:1)),)=$E$7,OFFSET(TH!O$1,SMALL(Dong5,ROWS($1:1)),),OFFSET(TH!N$1,SMALL(Dong5,ROWS($1:1)),)))</f>
        <v/>
      </c>
      <c r="F15" s="373">
        <f ca="1">IF(ROWS($1:1)&gt;COUNT(Dong5),0,IF(OFFSET(TH!N$1,SMALL(Dong5,ROWS($1:1)),)=$E$7,OFFSET(TH!M$1,SMALL(Dong5,ROWS($1:1)),),0))</f>
        <v>0</v>
      </c>
      <c r="G15" s="371">
        <f ca="1">IF(ROWS($1:1)&gt;COUNT(Dong5),0,IF(OFFSET(TH!O$1,SMALL(Dong5,ROWS($1:1)),)=$E$7,OFFSET(TH!M$1,SMALL(Dong5,ROWS($1:1)),),0))</f>
        <v>0</v>
      </c>
      <c r="H15" s="374">
        <f t="shared" ref="H15:H30" ca="1" si="0">IF(D15&lt;&gt;"",MAX(H14+F15-G15-I14,0),0)</f>
        <v>0</v>
      </c>
      <c r="I15" s="374">
        <f t="shared" ref="I15:I30" ca="1" si="1">IF(D15&lt;&gt;"",MAX(I14+G15-H14-F15,0),0)</f>
        <v>0</v>
      </c>
    </row>
    <row r="16" spans="1:9" ht="18" customHeight="1">
      <c r="A16" s="314" t="str">
        <f ca="1">IF(ROWS($1:2)&gt;COUNT(Dong5),"",OFFSET(TH!C$1,SMALL(Dong5,ROWS($1:2)),))</f>
        <v/>
      </c>
      <c r="B16" s="314" t="str">
        <f ca="1">IF(ROWS($1:2)&gt;COUNT(Dong5),"",OFFSET(TH!D$1,SMALL(Dong5,ROWS($1:2)),))</f>
        <v/>
      </c>
      <c r="C16" s="314" t="str">
        <f ca="1">IF(ROWS($1:2)&gt;COUNT(Dong5),"",OFFSET(TH!E$1,SMALL(Dong5,ROWS($1:2)),))</f>
        <v/>
      </c>
      <c r="D16" s="372" t="str">
        <f ca="1">IF(ROWS($1:2)&gt;COUNT(Dong5),"",OFFSET(TH!F$1,SMALL(Dong5,ROWS($1:2)),))</f>
        <v/>
      </c>
      <c r="E16" s="314" t="str">
        <f ca="1">IF(ROWS($1:2)&gt;COUNT(Dong5),"",IF(OFFSET(TH!N$1,SMALL(Dong5,ROWS($1:2)),)=$E$7,OFFSET(TH!O$1,SMALL(Dong5,ROWS($1:2)),),OFFSET(TH!N$1,SMALL(Dong5,ROWS($1:2)),)))</f>
        <v/>
      </c>
      <c r="F16" s="373">
        <f ca="1">IF(ROWS($1:2)&gt;COUNT(Dong5),0,IF(OFFSET(TH!N$1,SMALL(Dong5,ROWS($1:2)),)=$E$7,OFFSET(TH!M$1,SMALL(Dong5,ROWS($1:2)),),0))</f>
        <v>0</v>
      </c>
      <c r="G16" s="371">
        <f ca="1">IF(ROWS($1:2)&gt;COUNT(Dong5),0,IF(OFFSET(TH!O$1,SMALL(Dong5,ROWS($1:2)),)=$E$7,OFFSET(TH!M$1,SMALL(Dong5,ROWS($1:2)),),0))</f>
        <v>0</v>
      </c>
      <c r="H16" s="374">
        <f t="shared" ca="1" si="0"/>
        <v>0</v>
      </c>
      <c r="I16" s="374">
        <f t="shared" ca="1" si="1"/>
        <v>0</v>
      </c>
    </row>
    <row r="17" spans="1:9" ht="18" customHeight="1">
      <c r="A17" s="314" t="str">
        <f ca="1">IF(ROWS($1:3)&gt;COUNT(Dong5),"",OFFSET(TH!C$1,SMALL(Dong5,ROWS($1:3)),))</f>
        <v/>
      </c>
      <c r="B17" s="314" t="str">
        <f ca="1">IF(ROWS($1:3)&gt;COUNT(Dong5),"",OFFSET(TH!D$1,SMALL(Dong5,ROWS($1:3)),))</f>
        <v/>
      </c>
      <c r="C17" s="314" t="str">
        <f ca="1">IF(ROWS($1:3)&gt;COUNT(Dong5),"",OFFSET(TH!E$1,SMALL(Dong5,ROWS($1:3)),))</f>
        <v/>
      </c>
      <c r="D17" s="372" t="str">
        <f ca="1">IF(ROWS($1:3)&gt;COUNT(Dong5),"",OFFSET(TH!F$1,SMALL(Dong5,ROWS($1:3)),))</f>
        <v/>
      </c>
      <c r="E17" s="314" t="str">
        <f ca="1">IF(ROWS($1:3)&gt;COUNT(Dong5),"",IF(OFFSET(TH!N$1,SMALL(Dong5,ROWS($1:3)),)=$E$7,OFFSET(TH!O$1,SMALL(Dong5,ROWS($1:3)),),OFFSET(TH!N$1,SMALL(Dong5,ROWS($1:3)),)))</f>
        <v/>
      </c>
      <c r="F17" s="373">
        <f ca="1">IF(ROWS($1:3)&gt;COUNT(Dong5),0,IF(OFFSET(TH!N$1,SMALL(Dong5,ROWS($1:3)),)=$E$7,OFFSET(TH!M$1,SMALL(Dong5,ROWS($1:3)),),0))</f>
        <v>0</v>
      </c>
      <c r="G17" s="371">
        <f ca="1">IF(ROWS($1:3)&gt;COUNT(Dong5),0,IF(OFFSET(TH!O$1,SMALL(Dong5,ROWS($1:3)),)=$E$7,OFFSET(TH!M$1,SMALL(Dong5,ROWS($1:3)),),0))</f>
        <v>0</v>
      </c>
      <c r="H17" s="374">
        <f t="shared" ca="1" si="0"/>
        <v>0</v>
      </c>
      <c r="I17" s="374">
        <f t="shared" ca="1" si="1"/>
        <v>0</v>
      </c>
    </row>
    <row r="18" spans="1:9" ht="18" customHeight="1">
      <c r="A18" s="314" t="str">
        <f ca="1">IF(ROWS($1:4)&gt;COUNT(Dong5),"",OFFSET(TH!C$1,SMALL(Dong5,ROWS($1:4)),))</f>
        <v/>
      </c>
      <c r="B18" s="314" t="str">
        <f ca="1">IF(ROWS($1:4)&gt;COUNT(Dong5),"",OFFSET(TH!D$1,SMALL(Dong5,ROWS($1:4)),))</f>
        <v/>
      </c>
      <c r="C18" s="314" t="str">
        <f ca="1">IF(ROWS($1:4)&gt;COUNT(Dong5),"",OFFSET(TH!E$1,SMALL(Dong5,ROWS($1:4)),))</f>
        <v/>
      </c>
      <c r="D18" s="372" t="str">
        <f ca="1">IF(ROWS($1:4)&gt;COUNT(Dong5),"",OFFSET(TH!F$1,SMALL(Dong5,ROWS($1:4)),))</f>
        <v/>
      </c>
      <c r="E18" s="314" t="str">
        <f ca="1">IF(ROWS($1:4)&gt;COUNT(Dong5),"",IF(OFFSET(TH!N$1,SMALL(Dong5,ROWS($1:4)),)=$E$7,OFFSET(TH!O$1,SMALL(Dong5,ROWS($1:4)),),OFFSET(TH!N$1,SMALL(Dong5,ROWS($1:4)),)))</f>
        <v/>
      </c>
      <c r="F18" s="373">
        <f ca="1">IF(ROWS($1:4)&gt;COUNT(Dong5),0,IF(OFFSET(TH!N$1,SMALL(Dong5,ROWS($1:4)),)=$E$7,OFFSET(TH!M$1,SMALL(Dong5,ROWS($1:4)),),0))</f>
        <v>0</v>
      </c>
      <c r="G18" s="371">
        <f ca="1">IF(ROWS($1:4)&gt;COUNT(Dong5),0,IF(OFFSET(TH!O$1,SMALL(Dong5,ROWS($1:4)),)=$E$7,OFFSET(TH!M$1,SMALL(Dong5,ROWS($1:4)),),0))</f>
        <v>0</v>
      </c>
      <c r="H18" s="374">
        <f t="shared" ca="1" si="0"/>
        <v>0</v>
      </c>
      <c r="I18" s="374">
        <f t="shared" ca="1" si="1"/>
        <v>0</v>
      </c>
    </row>
    <row r="19" spans="1:9" ht="18" customHeight="1">
      <c r="A19" s="314" t="str">
        <f ca="1">IF(ROWS($1:5)&gt;COUNT(Dong5),"",OFFSET(TH!C$1,SMALL(Dong5,ROWS($1:5)),))</f>
        <v/>
      </c>
      <c r="B19" s="314" t="str">
        <f ca="1">IF(ROWS($1:5)&gt;COUNT(Dong5),"",OFFSET(TH!D$1,SMALL(Dong5,ROWS($1:5)),))</f>
        <v/>
      </c>
      <c r="C19" s="314" t="str">
        <f ca="1">IF(ROWS($1:5)&gt;COUNT(Dong5),"",OFFSET(TH!E$1,SMALL(Dong5,ROWS($1:5)),))</f>
        <v/>
      </c>
      <c r="D19" s="372" t="str">
        <f ca="1">IF(ROWS($1:5)&gt;COUNT(Dong5),"",OFFSET(TH!F$1,SMALL(Dong5,ROWS($1:5)),))</f>
        <v/>
      </c>
      <c r="E19" s="314" t="str">
        <f ca="1">IF(ROWS($1:5)&gt;COUNT(Dong5),"",IF(OFFSET(TH!N$1,SMALL(Dong5,ROWS($1:5)),)=$E$7,OFFSET(TH!O$1,SMALL(Dong5,ROWS($1:5)),),OFFSET(TH!N$1,SMALL(Dong5,ROWS($1:5)),)))</f>
        <v/>
      </c>
      <c r="F19" s="373">
        <f ca="1">IF(ROWS($1:5)&gt;COUNT(Dong5),0,IF(OFFSET(TH!N$1,SMALL(Dong5,ROWS($1:5)),)=$E$7,OFFSET(TH!M$1,SMALL(Dong5,ROWS($1:5)),),0))</f>
        <v>0</v>
      </c>
      <c r="G19" s="371">
        <f ca="1">IF(ROWS($1:5)&gt;COUNT(Dong5),0,IF(OFFSET(TH!O$1,SMALL(Dong5,ROWS($1:5)),)=$E$7,OFFSET(TH!M$1,SMALL(Dong5,ROWS($1:5)),),0))</f>
        <v>0</v>
      </c>
      <c r="H19" s="374">
        <f t="shared" ca="1" si="0"/>
        <v>0</v>
      </c>
      <c r="I19" s="374">
        <f t="shared" ca="1" si="1"/>
        <v>0</v>
      </c>
    </row>
    <row r="20" spans="1:9" ht="18" customHeight="1">
      <c r="A20" s="314" t="str">
        <f ca="1">IF(ROWS($1:6)&gt;COUNT(Dong5),"",OFFSET(TH!C$1,SMALL(Dong5,ROWS($1:6)),))</f>
        <v/>
      </c>
      <c r="B20" s="314" t="str">
        <f ca="1">IF(ROWS($1:6)&gt;COUNT(Dong5),"",OFFSET(TH!D$1,SMALL(Dong5,ROWS($1:6)),))</f>
        <v/>
      </c>
      <c r="C20" s="314" t="str">
        <f ca="1">IF(ROWS($1:6)&gt;COUNT(Dong5),"",OFFSET(TH!E$1,SMALL(Dong5,ROWS($1:6)),))</f>
        <v/>
      </c>
      <c r="D20" s="372" t="str">
        <f ca="1">IF(ROWS($1:6)&gt;COUNT(Dong5),"",OFFSET(TH!F$1,SMALL(Dong5,ROWS($1:6)),))</f>
        <v/>
      </c>
      <c r="E20" s="314" t="str">
        <f ca="1">IF(ROWS($1:6)&gt;COUNT(Dong5),"",IF(OFFSET(TH!N$1,SMALL(Dong5,ROWS($1:6)),)=$E$7,OFFSET(TH!O$1,SMALL(Dong5,ROWS($1:6)),),OFFSET(TH!N$1,SMALL(Dong5,ROWS($1:6)),)))</f>
        <v/>
      </c>
      <c r="F20" s="373">
        <f ca="1">IF(ROWS($1:6)&gt;COUNT(Dong5),0,IF(OFFSET(TH!N$1,SMALL(Dong5,ROWS($1:6)),)=$E$7,OFFSET(TH!M$1,SMALL(Dong5,ROWS($1:6)),),0))</f>
        <v>0</v>
      </c>
      <c r="G20" s="371">
        <f ca="1">IF(ROWS($1:6)&gt;COUNT(Dong5),0,IF(OFFSET(TH!O$1,SMALL(Dong5,ROWS($1:6)),)=$E$7,OFFSET(TH!M$1,SMALL(Dong5,ROWS($1:6)),),0))</f>
        <v>0</v>
      </c>
      <c r="H20" s="374">
        <f t="shared" ca="1" si="0"/>
        <v>0</v>
      </c>
      <c r="I20" s="374">
        <f t="shared" ca="1" si="1"/>
        <v>0</v>
      </c>
    </row>
    <row r="21" spans="1:9" ht="18" customHeight="1">
      <c r="A21" s="314" t="str">
        <f ca="1">IF(ROWS($1:7)&gt;COUNT(Dong5),"",OFFSET(TH!C$1,SMALL(Dong5,ROWS($1:7)),))</f>
        <v/>
      </c>
      <c r="B21" s="314" t="str">
        <f ca="1">IF(ROWS($1:7)&gt;COUNT(Dong5),"",OFFSET(TH!D$1,SMALL(Dong5,ROWS($1:7)),))</f>
        <v/>
      </c>
      <c r="C21" s="314" t="str">
        <f ca="1">IF(ROWS($1:7)&gt;COUNT(Dong5),"",OFFSET(TH!E$1,SMALL(Dong5,ROWS($1:7)),))</f>
        <v/>
      </c>
      <c r="D21" s="372" t="str">
        <f ca="1">IF(ROWS($1:7)&gt;COUNT(Dong5),"",OFFSET(TH!F$1,SMALL(Dong5,ROWS($1:7)),))</f>
        <v/>
      </c>
      <c r="E21" s="314" t="str">
        <f ca="1">IF(ROWS($1:7)&gt;COUNT(Dong5),"",IF(OFFSET(TH!N$1,SMALL(Dong5,ROWS($1:7)),)=$E$7,OFFSET(TH!O$1,SMALL(Dong5,ROWS($1:7)),),OFFSET(TH!N$1,SMALL(Dong5,ROWS($1:7)),)))</f>
        <v/>
      </c>
      <c r="F21" s="373">
        <f ca="1">IF(ROWS($1:7)&gt;COUNT(Dong5),0,IF(OFFSET(TH!N$1,SMALL(Dong5,ROWS($1:7)),)=$E$7,OFFSET(TH!M$1,SMALL(Dong5,ROWS($1:7)),),0))</f>
        <v>0</v>
      </c>
      <c r="G21" s="371">
        <f ca="1">IF(ROWS($1:7)&gt;COUNT(Dong5),0,IF(OFFSET(TH!O$1,SMALL(Dong5,ROWS($1:7)),)=$E$7,OFFSET(TH!M$1,SMALL(Dong5,ROWS($1:7)),),0))</f>
        <v>0</v>
      </c>
      <c r="H21" s="374">
        <f t="shared" ca="1" si="0"/>
        <v>0</v>
      </c>
      <c r="I21" s="374">
        <f t="shared" ca="1" si="1"/>
        <v>0</v>
      </c>
    </row>
    <row r="22" spans="1:9" ht="18" customHeight="1">
      <c r="A22" s="314" t="str">
        <f ca="1">IF(ROWS($1:8)&gt;COUNT(Dong5),"",OFFSET(TH!C$1,SMALL(Dong5,ROWS($1:8)),))</f>
        <v/>
      </c>
      <c r="B22" s="314" t="str">
        <f ca="1">IF(ROWS($1:8)&gt;COUNT(Dong5),"",OFFSET(TH!D$1,SMALL(Dong5,ROWS($1:8)),))</f>
        <v/>
      </c>
      <c r="C22" s="314" t="str">
        <f ca="1">IF(ROWS($1:8)&gt;COUNT(Dong5),"",OFFSET(TH!E$1,SMALL(Dong5,ROWS($1:8)),))</f>
        <v/>
      </c>
      <c r="D22" s="372" t="str">
        <f ca="1">IF(ROWS($1:8)&gt;COUNT(Dong5),"",OFFSET(TH!F$1,SMALL(Dong5,ROWS($1:8)),))</f>
        <v/>
      </c>
      <c r="E22" s="314" t="str">
        <f ca="1">IF(ROWS($1:8)&gt;COUNT(Dong5),"",IF(OFFSET(TH!N$1,SMALL(Dong5,ROWS($1:8)),)=$E$7,OFFSET(TH!O$1,SMALL(Dong5,ROWS($1:8)),),OFFSET(TH!N$1,SMALL(Dong5,ROWS($1:8)),)))</f>
        <v/>
      </c>
      <c r="F22" s="373">
        <f ca="1">IF(ROWS($1:8)&gt;COUNT(Dong5),0,IF(OFFSET(TH!N$1,SMALL(Dong5,ROWS($1:8)),)=$E$7,OFFSET(TH!M$1,SMALL(Dong5,ROWS($1:8)),),0))</f>
        <v>0</v>
      </c>
      <c r="G22" s="371">
        <f ca="1">IF(ROWS($1:8)&gt;COUNT(Dong5),0,IF(OFFSET(TH!O$1,SMALL(Dong5,ROWS($1:8)),)=$E$7,OFFSET(TH!M$1,SMALL(Dong5,ROWS($1:8)),),0))</f>
        <v>0</v>
      </c>
      <c r="H22" s="374">
        <f t="shared" ref="H22:H25" ca="1" si="2">IF(D22&lt;&gt;"",MAX(H21+F22-G22-I21,0),0)</f>
        <v>0</v>
      </c>
      <c r="I22" s="374">
        <f t="shared" ref="I22:I25" ca="1" si="3">IF(D22&lt;&gt;"",MAX(I21+G22-H21-F22,0),0)</f>
        <v>0</v>
      </c>
    </row>
    <row r="23" spans="1:9" ht="18" customHeight="1">
      <c r="A23" s="314" t="str">
        <f ca="1">IF(ROWS($1:9)&gt;COUNT(Dong5),"",OFFSET(TH!C$1,SMALL(Dong5,ROWS($1:9)),))</f>
        <v/>
      </c>
      <c r="B23" s="314" t="str">
        <f ca="1">IF(ROWS($1:9)&gt;COUNT(Dong5),"",OFFSET(TH!D$1,SMALL(Dong5,ROWS($1:9)),))</f>
        <v/>
      </c>
      <c r="C23" s="314" t="str">
        <f ca="1">IF(ROWS($1:9)&gt;COUNT(Dong5),"",OFFSET(TH!E$1,SMALL(Dong5,ROWS($1:9)),))</f>
        <v/>
      </c>
      <c r="D23" s="372" t="str">
        <f ca="1">IF(ROWS($1:9)&gt;COUNT(Dong5),"",OFFSET(TH!F$1,SMALL(Dong5,ROWS($1:9)),))</f>
        <v/>
      </c>
      <c r="E23" s="314" t="str">
        <f ca="1">IF(ROWS($1:9)&gt;COUNT(Dong5),"",IF(OFFSET(TH!N$1,SMALL(Dong5,ROWS($1:9)),)=$E$7,OFFSET(TH!O$1,SMALL(Dong5,ROWS($1:9)),),OFFSET(TH!N$1,SMALL(Dong5,ROWS($1:9)),)))</f>
        <v/>
      </c>
      <c r="F23" s="373">
        <f ca="1">IF(ROWS($1:9)&gt;COUNT(Dong5),0,IF(OFFSET(TH!N$1,SMALL(Dong5,ROWS($1:9)),)=$E$7,OFFSET(TH!M$1,SMALL(Dong5,ROWS($1:9)),),0))</f>
        <v>0</v>
      </c>
      <c r="G23" s="371">
        <f ca="1">IF(ROWS($1:9)&gt;COUNT(Dong5),0,IF(OFFSET(TH!O$1,SMALL(Dong5,ROWS($1:9)),)=$E$7,OFFSET(TH!M$1,SMALL(Dong5,ROWS($1:9)),),0))</f>
        <v>0</v>
      </c>
      <c r="H23" s="374">
        <f t="shared" ca="1" si="2"/>
        <v>0</v>
      </c>
      <c r="I23" s="374">
        <f t="shared" ca="1" si="3"/>
        <v>0</v>
      </c>
    </row>
    <row r="24" spans="1:9" ht="18" customHeight="1">
      <c r="A24" s="314" t="str">
        <f ca="1">IF(ROWS($1:10)&gt;COUNT(Dong5),"",OFFSET(TH!C$1,SMALL(Dong5,ROWS($1:10)),))</f>
        <v/>
      </c>
      <c r="B24" s="314" t="str">
        <f ca="1">IF(ROWS($1:10)&gt;COUNT(Dong5),"",OFFSET(TH!D$1,SMALL(Dong5,ROWS($1:10)),))</f>
        <v/>
      </c>
      <c r="C24" s="314" t="str">
        <f ca="1">IF(ROWS($1:10)&gt;COUNT(Dong5),"",OFFSET(TH!E$1,SMALL(Dong5,ROWS($1:10)),))</f>
        <v/>
      </c>
      <c r="D24" s="372" t="str">
        <f ca="1">IF(ROWS($1:10)&gt;COUNT(Dong5),"",OFFSET(TH!F$1,SMALL(Dong5,ROWS($1:10)),))</f>
        <v/>
      </c>
      <c r="E24" s="314" t="str">
        <f ca="1">IF(ROWS($1:10)&gt;COUNT(Dong5),"",IF(OFFSET(TH!N$1,SMALL(Dong5,ROWS($1:10)),)=$E$7,OFFSET(TH!O$1,SMALL(Dong5,ROWS($1:10)),),OFFSET(TH!N$1,SMALL(Dong5,ROWS($1:10)),)))</f>
        <v/>
      </c>
      <c r="F24" s="373">
        <f ca="1">IF(ROWS($1:10)&gt;COUNT(Dong5),0,IF(OFFSET(TH!N$1,SMALL(Dong5,ROWS($1:10)),)=$E$7,OFFSET(TH!M$1,SMALL(Dong5,ROWS($1:10)),),0))</f>
        <v>0</v>
      </c>
      <c r="G24" s="371">
        <f ca="1">IF(ROWS($1:10)&gt;COUNT(Dong5),0,IF(OFFSET(TH!O$1,SMALL(Dong5,ROWS($1:10)),)=$E$7,OFFSET(TH!M$1,SMALL(Dong5,ROWS($1:10)),),0))</f>
        <v>0</v>
      </c>
      <c r="H24" s="374">
        <f t="shared" ca="1" si="2"/>
        <v>0</v>
      </c>
      <c r="I24" s="374">
        <f t="shared" ca="1" si="3"/>
        <v>0</v>
      </c>
    </row>
    <row r="25" spans="1:9" ht="18" customHeight="1">
      <c r="A25" s="314" t="str">
        <f ca="1">IF(ROWS($1:11)&gt;COUNT(Dong5),"",OFFSET(TH!C$1,SMALL(Dong5,ROWS($1:11)),))</f>
        <v/>
      </c>
      <c r="B25" s="314" t="str">
        <f ca="1">IF(ROWS($1:11)&gt;COUNT(Dong5),"",OFFSET(TH!D$1,SMALL(Dong5,ROWS($1:11)),))</f>
        <v/>
      </c>
      <c r="C25" s="314" t="str">
        <f ca="1">IF(ROWS($1:11)&gt;COUNT(Dong5),"",OFFSET(TH!E$1,SMALL(Dong5,ROWS($1:11)),))</f>
        <v/>
      </c>
      <c r="D25" s="372" t="str">
        <f ca="1">IF(ROWS($1:11)&gt;COUNT(Dong5),"",OFFSET(TH!F$1,SMALL(Dong5,ROWS($1:11)),))</f>
        <v/>
      </c>
      <c r="E25" s="314" t="str">
        <f ca="1">IF(ROWS($1:11)&gt;COUNT(Dong5),"",IF(OFFSET(TH!N$1,SMALL(Dong5,ROWS($1:11)),)=$E$7,OFFSET(TH!O$1,SMALL(Dong5,ROWS($1:11)),),OFFSET(TH!N$1,SMALL(Dong5,ROWS($1:11)),)))</f>
        <v/>
      </c>
      <c r="F25" s="373">
        <f ca="1">IF(ROWS($1:11)&gt;COUNT(Dong5),0,IF(OFFSET(TH!N$1,SMALL(Dong5,ROWS($1:11)),)=$E$7,OFFSET(TH!M$1,SMALL(Dong5,ROWS($1:11)),),0))</f>
        <v>0</v>
      </c>
      <c r="G25" s="371">
        <f ca="1">IF(ROWS($1:11)&gt;COUNT(Dong5),0,IF(OFFSET(TH!O$1,SMALL(Dong5,ROWS($1:11)),)=$E$7,OFFSET(TH!M$1,SMALL(Dong5,ROWS($1:11)),),0))</f>
        <v>0</v>
      </c>
      <c r="H25" s="374">
        <f t="shared" ca="1" si="2"/>
        <v>0</v>
      </c>
      <c r="I25" s="374">
        <f t="shared" ca="1" si="3"/>
        <v>0</v>
      </c>
    </row>
    <row r="26" spans="1:9" ht="18" customHeight="1">
      <c r="A26" s="314" t="str">
        <f ca="1">IF(ROWS($1:12)&gt;COUNT(Dong5),"",OFFSET(TH!C$1,SMALL(Dong5,ROWS($1:12)),))</f>
        <v/>
      </c>
      <c r="B26" s="314" t="str">
        <f ca="1">IF(ROWS($1:12)&gt;COUNT(Dong5),"",OFFSET(TH!D$1,SMALL(Dong5,ROWS($1:12)),))</f>
        <v/>
      </c>
      <c r="C26" s="314" t="str">
        <f ca="1">IF(ROWS($1:12)&gt;COUNT(Dong5),"",OFFSET(TH!E$1,SMALL(Dong5,ROWS($1:12)),))</f>
        <v/>
      </c>
      <c r="D26" s="372" t="str">
        <f ca="1">IF(ROWS($1:12)&gt;COUNT(Dong5),"",OFFSET(TH!F$1,SMALL(Dong5,ROWS($1:12)),))</f>
        <v/>
      </c>
      <c r="E26" s="314" t="str">
        <f ca="1">IF(ROWS($1:12)&gt;COUNT(Dong5),"",IF(OFFSET(TH!N$1,SMALL(Dong5,ROWS($1:12)),)=$E$7,OFFSET(TH!O$1,SMALL(Dong5,ROWS($1:12)),),OFFSET(TH!N$1,SMALL(Dong5,ROWS($1:12)),)))</f>
        <v/>
      </c>
      <c r="F26" s="373">
        <f ca="1">IF(ROWS($1:12)&gt;COUNT(Dong5),0,IF(OFFSET(TH!N$1,SMALL(Dong5,ROWS($1:12)),)=$E$7,OFFSET(TH!M$1,SMALL(Dong5,ROWS($1:12)),),0))</f>
        <v>0</v>
      </c>
      <c r="G26" s="371">
        <f ca="1">IF(ROWS($1:12)&gt;COUNT(Dong5),0,IF(OFFSET(TH!O$1,SMALL(Dong5,ROWS($1:12)),)=$E$7,OFFSET(TH!M$1,SMALL(Dong5,ROWS($1:12)),),0))</f>
        <v>0</v>
      </c>
      <c r="H26" s="374">
        <f t="shared" ca="1" si="0"/>
        <v>0</v>
      </c>
      <c r="I26" s="374">
        <f t="shared" ca="1" si="1"/>
        <v>0</v>
      </c>
    </row>
    <row r="27" spans="1:9" ht="18" customHeight="1">
      <c r="A27" s="314" t="str">
        <f ca="1">IF(ROWS($1:13)&gt;COUNT(Dong5),"",OFFSET(TH!C$1,SMALL(Dong5,ROWS($1:13)),))</f>
        <v/>
      </c>
      <c r="B27" s="314" t="str">
        <f ca="1">IF(ROWS($1:13)&gt;COUNT(Dong5),"",OFFSET(TH!D$1,SMALL(Dong5,ROWS($1:13)),))</f>
        <v/>
      </c>
      <c r="C27" s="314" t="str">
        <f ca="1">IF(ROWS($1:13)&gt;COUNT(Dong5),"",OFFSET(TH!E$1,SMALL(Dong5,ROWS($1:13)),))</f>
        <v/>
      </c>
      <c r="D27" s="372" t="str">
        <f ca="1">IF(ROWS($1:13)&gt;COUNT(Dong5),"",OFFSET(TH!F$1,SMALL(Dong5,ROWS($1:13)),))</f>
        <v/>
      </c>
      <c r="E27" s="314" t="str">
        <f ca="1">IF(ROWS($1:13)&gt;COUNT(Dong5),"",IF(OFFSET(TH!N$1,SMALL(Dong5,ROWS($1:13)),)=$E$7,OFFSET(TH!O$1,SMALL(Dong5,ROWS($1:13)),),OFFSET(TH!N$1,SMALL(Dong5,ROWS($1:13)),)))</f>
        <v/>
      </c>
      <c r="F27" s="373">
        <f ca="1">IF(ROWS($1:13)&gt;COUNT(Dong5),0,IF(OFFSET(TH!N$1,SMALL(Dong5,ROWS($1:13)),)=$E$7,OFFSET(TH!M$1,SMALL(Dong5,ROWS($1:13)),),0))</f>
        <v>0</v>
      </c>
      <c r="G27" s="371">
        <f ca="1">IF(ROWS($1:13)&gt;COUNT(Dong5),0,IF(OFFSET(TH!O$1,SMALL(Dong5,ROWS($1:13)),)=$E$7,OFFSET(TH!M$1,SMALL(Dong5,ROWS($1:13)),),0))</f>
        <v>0</v>
      </c>
      <c r="H27" s="374">
        <f t="shared" ca="1" si="0"/>
        <v>0</v>
      </c>
      <c r="I27" s="374">
        <f t="shared" ca="1" si="1"/>
        <v>0</v>
      </c>
    </row>
    <row r="28" spans="1:9" ht="18" customHeight="1">
      <c r="A28" s="314" t="str">
        <f ca="1">IF(ROWS($1:14)&gt;COUNT(Dong5),"",OFFSET(TH!C$1,SMALL(Dong5,ROWS($1:14)),))</f>
        <v/>
      </c>
      <c r="B28" s="314" t="str">
        <f ca="1">IF(ROWS($1:14)&gt;COUNT(Dong5),"",OFFSET(TH!D$1,SMALL(Dong5,ROWS($1:14)),))</f>
        <v/>
      </c>
      <c r="C28" s="314" t="str">
        <f ca="1">IF(ROWS($1:14)&gt;COUNT(Dong5),"",OFFSET(TH!E$1,SMALL(Dong5,ROWS($1:14)),))</f>
        <v/>
      </c>
      <c r="D28" s="372" t="str">
        <f ca="1">IF(ROWS($1:14)&gt;COUNT(Dong5),"",OFFSET(TH!F$1,SMALL(Dong5,ROWS($1:14)),))</f>
        <v/>
      </c>
      <c r="E28" s="314" t="str">
        <f ca="1">IF(ROWS($1:14)&gt;COUNT(Dong5),"",IF(OFFSET(TH!N$1,SMALL(Dong5,ROWS($1:14)),)=$E$7,OFFSET(TH!O$1,SMALL(Dong5,ROWS($1:14)),),OFFSET(TH!N$1,SMALL(Dong5,ROWS($1:14)),)))</f>
        <v/>
      </c>
      <c r="F28" s="373">
        <f ca="1">IF(ROWS($1:14)&gt;COUNT(Dong5),0,IF(OFFSET(TH!N$1,SMALL(Dong5,ROWS($1:14)),)=$E$7,OFFSET(TH!M$1,SMALL(Dong5,ROWS($1:14)),),0))</f>
        <v>0</v>
      </c>
      <c r="G28" s="371">
        <f ca="1">IF(ROWS($1:14)&gt;COUNT(Dong5),0,IF(OFFSET(TH!O$1,SMALL(Dong5,ROWS($1:14)),)=$E$7,OFFSET(TH!M$1,SMALL(Dong5,ROWS($1:14)),),0))</f>
        <v>0</v>
      </c>
      <c r="H28" s="374">
        <f t="shared" ca="1" si="0"/>
        <v>0</v>
      </c>
      <c r="I28" s="374">
        <f t="shared" ca="1" si="1"/>
        <v>0</v>
      </c>
    </row>
    <row r="29" spans="1:9" ht="18" customHeight="1">
      <c r="A29" s="314" t="str">
        <f ca="1">IF(ROWS($1:15)&gt;COUNT(Dong5),"",OFFSET(TH!C$1,SMALL(Dong5,ROWS($1:15)),))</f>
        <v/>
      </c>
      <c r="B29" s="314" t="str">
        <f ca="1">IF(ROWS($1:15)&gt;COUNT(Dong5),"",OFFSET(TH!D$1,SMALL(Dong5,ROWS($1:15)),))</f>
        <v/>
      </c>
      <c r="C29" s="314" t="str">
        <f ca="1">IF(ROWS($1:15)&gt;COUNT(Dong5),"",OFFSET(TH!E$1,SMALL(Dong5,ROWS($1:15)),))</f>
        <v/>
      </c>
      <c r="D29" s="372" t="str">
        <f ca="1">IF(ROWS($1:15)&gt;COUNT(Dong5),"",OFFSET(TH!F$1,SMALL(Dong5,ROWS($1:15)),))</f>
        <v/>
      </c>
      <c r="E29" s="314" t="str">
        <f ca="1">IF(ROWS($1:15)&gt;COUNT(Dong5),"",IF(OFFSET(TH!N$1,SMALL(Dong5,ROWS($1:15)),)=$E$7,OFFSET(TH!O$1,SMALL(Dong5,ROWS($1:15)),),OFFSET(TH!N$1,SMALL(Dong5,ROWS($1:15)),)))</f>
        <v/>
      </c>
      <c r="F29" s="373">
        <f ca="1">IF(ROWS($1:15)&gt;COUNT(Dong5),0,IF(OFFSET(TH!N$1,SMALL(Dong5,ROWS($1:15)),)=$E$7,OFFSET(TH!M$1,SMALL(Dong5,ROWS($1:15)),),0))</f>
        <v>0</v>
      </c>
      <c r="G29" s="371">
        <f ca="1">IF(ROWS($1:15)&gt;COUNT(Dong5),0,IF(OFFSET(TH!O$1,SMALL(Dong5,ROWS($1:15)),)=$E$7,OFFSET(TH!M$1,SMALL(Dong5,ROWS($1:15)),),0))</f>
        <v>0</v>
      </c>
      <c r="H29" s="374">
        <f t="shared" ca="1" si="0"/>
        <v>0</v>
      </c>
      <c r="I29" s="374">
        <f t="shared" ca="1" si="1"/>
        <v>0</v>
      </c>
    </row>
    <row r="30" spans="1:9" ht="18" customHeight="1">
      <c r="A30" s="314" t="str">
        <f ca="1">IF(ROWS($1:16)&gt;COUNT(Dong5),"",OFFSET(TH!C$1,SMALL(Dong5,ROWS($1:16)),))</f>
        <v/>
      </c>
      <c r="B30" s="314" t="str">
        <f ca="1">IF(ROWS($1:16)&gt;COUNT(Dong5),"",OFFSET(TH!D$1,SMALL(Dong5,ROWS($1:16)),))</f>
        <v/>
      </c>
      <c r="C30" s="314" t="str">
        <f ca="1">IF(ROWS($1:16)&gt;COUNT(Dong5),"",OFFSET(TH!E$1,SMALL(Dong5,ROWS($1:16)),))</f>
        <v/>
      </c>
      <c r="D30" s="372" t="str">
        <f ca="1">IF(ROWS($1:16)&gt;COUNT(Dong5),"",OFFSET(TH!F$1,SMALL(Dong5,ROWS($1:16)),))</f>
        <v/>
      </c>
      <c r="E30" s="314" t="str">
        <f ca="1">IF(ROWS($1:16)&gt;COUNT(Dong5),"",IF(OFFSET(TH!N$1,SMALL(Dong5,ROWS($1:16)),)=$E$7,OFFSET(TH!O$1,SMALL(Dong5,ROWS($1:16)),),OFFSET(TH!N$1,SMALL(Dong5,ROWS($1:16)),)))</f>
        <v/>
      </c>
      <c r="F30" s="373">
        <f ca="1">IF(ROWS($1:16)&gt;COUNT(Dong5),0,IF(OFFSET(TH!N$1,SMALL(Dong5,ROWS($1:16)),)=$E$7,OFFSET(TH!M$1,SMALL(Dong5,ROWS($1:16)),),0))</f>
        <v>0</v>
      </c>
      <c r="G30" s="371">
        <f ca="1">IF(ROWS($1:16)&gt;COUNT(Dong5),0,IF(OFFSET(TH!O$1,SMALL(Dong5,ROWS($1:16)),)=$E$7,OFFSET(TH!M$1,SMALL(Dong5,ROWS($1:16)),),0))</f>
        <v>0</v>
      </c>
      <c r="H30" s="374">
        <f t="shared" ca="1" si="0"/>
        <v>0</v>
      </c>
      <c r="I30" s="374">
        <f t="shared" ca="1" si="1"/>
        <v>0</v>
      </c>
    </row>
    <row r="31" spans="1:9" ht="18" customHeight="1">
      <c r="A31" s="314"/>
      <c r="B31" s="314"/>
      <c r="C31" s="314"/>
      <c r="D31" s="372"/>
      <c r="E31" s="314"/>
      <c r="F31" s="373"/>
      <c r="G31" s="371"/>
      <c r="H31" s="374"/>
      <c r="I31" s="374"/>
    </row>
    <row r="32" spans="1:9" ht="18" customHeight="1">
      <c r="A32" s="314"/>
      <c r="B32" s="315"/>
      <c r="C32" s="314"/>
      <c r="D32" s="361" t="s">
        <v>158</v>
      </c>
      <c r="E32" s="315" t="s">
        <v>21</v>
      </c>
      <c r="F32" s="375">
        <f ca="1">SUM(F15:F30)</f>
        <v>0</v>
      </c>
      <c r="G32" s="375">
        <f ca="1">SUM(G15:G30)</f>
        <v>0</v>
      </c>
      <c r="H32" s="375" t="s">
        <v>21</v>
      </c>
      <c r="I32" s="375" t="s">
        <v>21</v>
      </c>
    </row>
    <row r="33" spans="1:9" ht="18" customHeight="1">
      <c r="A33" s="376"/>
      <c r="B33" s="366"/>
      <c r="C33" s="376"/>
      <c r="D33" s="365" t="s">
        <v>10</v>
      </c>
      <c r="E33" s="366" t="s">
        <v>21</v>
      </c>
      <c r="F33" s="377" t="s">
        <v>21</v>
      </c>
      <c r="G33" s="377" t="s">
        <v>21</v>
      </c>
      <c r="H33" s="378">
        <f ca="1">MAX(H14+F32-G32-I14,0)</f>
        <v>0</v>
      </c>
      <c r="I33" s="378">
        <f ca="1">MAX(I14+G32-F32-H14,0)</f>
        <v>0</v>
      </c>
    </row>
    <row r="34" spans="1:9" ht="9.75" customHeight="1">
      <c r="A34" s="328"/>
      <c r="B34" s="328"/>
      <c r="C34" s="328"/>
      <c r="D34" s="18"/>
      <c r="E34" s="328"/>
      <c r="F34" s="18"/>
      <c r="G34" s="18"/>
      <c r="H34" s="18"/>
      <c r="I34" s="18"/>
    </row>
    <row r="35" spans="1:9">
      <c r="A35" s="328"/>
      <c r="B35" s="328"/>
      <c r="C35" s="379" t="s">
        <v>247</v>
      </c>
      <c r="D35" s="18"/>
      <c r="E35" s="328"/>
      <c r="F35" s="18"/>
      <c r="G35" s="18"/>
      <c r="H35" s="18"/>
      <c r="I35" s="18"/>
    </row>
    <row r="36" spans="1:9">
      <c r="A36" s="328"/>
      <c r="B36" s="328"/>
      <c r="C36" s="28" t="s">
        <v>186</v>
      </c>
      <c r="D36" s="18"/>
      <c r="E36" s="328"/>
      <c r="F36" s="18"/>
      <c r="G36" s="18"/>
      <c r="H36" s="18"/>
      <c r="I36" s="18"/>
    </row>
    <row r="37" spans="1:9" ht="13.5" customHeight="1">
      <c r="A37" s="328"/>
      <c r="B37" s="328"/>
      <c r="C37" s="328"/>
      <c r="D37" s="18"/>
      <c r="E37" s="1371" t="s">
        <v>187</v>
      </c>
      <c r="F37" s="1371"/>
      <c r="G37" s="1371"/>
      <c r="H37" s="1371"/>
      <c r="I37" s="1371"/>
    </row>
    <row r="38" spans="1:9">
      <c r="A38" s="1371" t="s">
        <v>11</v>
      </c>
      <c r="B38" s="1371"/>
      <c r="C38" s="1371"/>
      <c r="D38" s="1371"/>
      <c r="E38" s="1371" t="s">
        <v>12</v>
      </c>
      <c r="F38" s="1371"/>
      <c r="G38" s="1371"/>
      <c r="H38" s="1371"/>
      <c r="I38" s="1371"/>
    </row>
    <row r="39" spans="1:9">
      <c r="A39" s="1371" t="s">
        <v>13</v>
      </c>
      <c r="B39" s="1371"/>
      <c r="C39" s="1371"/>
      <c r="D39" s="1371"/>
      <c r="E39" s="1371" t="s">
        <v>13</v>
      </c>
      <c r="F39" s="1371"/>
      <c r="G39" s="1371"/>
      <c r="H39" s="1371"/>
      <c r="I39" s="1371"/>
    </row>
    <row r="40" spans="1:9">
      <c r="A40" s="328"/>
      <c r="B40" s="328"/>
      <c r="C40" s="328"/>
      <c r="D40" s="18"/>
      <c r="E40" s="328"/>
      <c r="F40" s="18"/>
      <c r="G40" s="18"/>
      <c r="H40" s="18"/>
      <c r="I40" s="18"/>
    </row>
  </sheetData>
  <autoFilter ref="A14:J33"/>
  <sortState ref="A15:I631">
    <sortCondition ref="A15:A631"/>
  </sortState>
  <mergeCells count="17">
    <mergeCell ref="A38:D38"/>
    <mergeCell ref="E38:I38"/>
    <mergeCell ref="A39:D39"/>
    <mergeCell ref="E39:I39"/>
    <mergeCell ref="E37:I37"/>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P41" sqref="P41"/>
      <selection pane="bottomLeft" activeCell="P41" sqref="P41"/>
    </sheetView>
  </sheetViews>
  <sheetFormatPr defaultRowHeight="12.75"/>
  <cols>
    <col min="1" max="1" width="3.7109375" customWidth="1"/>
    <col min="2" max="2" width="5.28515625" customWidth="1"/>
    <col min="3" max="3" width="15.140625" customWidth="1"/>
    <col min="4" max="4" width="16.570312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89"/>
      <c r="B1" s="87" t="s">
        <v>179</v>
      </c>
      <c r="C1" s="98"/>
      <c r="D1" s="88"/>
      <c r="E1" s="88"/>
      <c r="F1" s="88"/>
      <c r="G1" s="88"/>
      <c r="H1" s="89"/>
      <c r="I1" s="90"/>
      <c r="J1" s="89"/>
      <c r="K1" s="89"/>
      <c r="L1" s="91" t="str">
        <f>+IF(LEFT($U$4,1)="T","Mẫu số 01 - TT","Mẫu số 02 - TT")</f>
        <v>Mẫu số 02 - TT</v>
      </c>
      <c r="M1" s="89"/>
      <c r="N1" s="92"/>
      <c r="O1" s="92"/>
      <c r="P1" s="93"/>
      <c r="Q1" s="94"/>
      <c r="R1" s="94"/>
      <c r="S1" s="94"/>
      <c r="T1" s="94"/>
      <c r="U1" s="94"/>
      <c r="V1" s="95"/>
      <c r="W1" s="94"/>
    </row>
    <row r="2" spans="1:23" ht="13.5" customHeight="1">
      <c r="A2" s="89"/>
      <c r="B2" s="98" t="s">
        <v>308</v>
      </c>
      <c r="C2" s="98"/>
      <c r="D2" s="88"/>
      <c r="E2" s="88"/>
      <c r="F2" s="88"/>
      <c r="G2" s="88"/>
      <c r="H2" s="90"/>
      <c r="I2" s="90"/>
      <c r="J2" s="89"/>
      <c r="K2" s="89"/>
      <c r="L2" s="99" t="str">
        <f>IF($Q$4&gt;=2015,"(Ban hành theo Thông tư số 200/2014/TT-BTC ","(Ban hành kèm theo QĐ 48/2006/QĐ-BTC")</f>
        <v>(Ban hành kèm theo QĐ 48/2006/QĐ-BTC</v>
      </c>
      <c r="M2" s="89"/>
      <c r="N2" s="100"/>
      <c r="O2" s="100"/>
      <c r="P2" s="93"/>
      <c r="Q2" s="94"/>
      <c r="R2" s="94"/>
      <c r="S2" s="94"/>
      <c r="T2" s="94"/>
      <c r="U2" s="94"/>
      <c r="V2" s="101"/>
      <c r="W2" s="102" t="s">
        <v>126</v>
      </c>
    </row>
    <row r="3" spans="1:23" ht="13.5" customHeight="1" thickBot="1">
      <c r="A3" s="89"/>
      <c r="B3" s="98"/>
      <c r="C3" s="88"/>
      <c r="D3" s="88"/>
      <c r="E3" s="88"/>
      <c r="F3" s="89"/>
      <c r="G3" s="88"/>
      <c r="H3" s="89"/>
      <c r="I3" s="103"/>
      <c r="J3" s="89"/>
      <c r="K3" s="89"/>
      <c r="L3" s="99" t="str">
        <f>IF($Q$4=2015,"Ngày 22/12/2014 của Bộ Tài chính)","ngày 24/09/2006 của Bộ trưởng BTC)")</f>
        <v>ngày 24/09/2006 của Bộ trưởng BTC)</v>
      </c>
      <c r="M3" s="89"/>
      <c r="N3" s="100"/>
      <c r="O3" s="100"/>
      <c r="P3" s="104"/>
      <c r="Q3" s="775"/>
      <c r="R3" s="306"/>
      <c r="S3" s="307" t="s">
        <v>432</v>
      </c>
      <c r="T3" s="306"/>
      <c r="U3" s="307" t="s">
        <v>127</v>
      </c>
      <c r="V3" s="101"/>
      <c r="W3" s="102" t="s">
        <v>127</v>
      </c>
    </row>
    <row r="4" spans="1:23" ht="22.5" thickBot="1">
      <c r="A4" s="89"/>
      <c r="B4" s="98"/>
      <c r="C4" s="88"/>
      <c r="D4" s="88"/>
      <c r="E4" s="88"/>
      <c r="F4" s="89"/>
      <c r="G4" s="105"/>
      <c r="H4" s="106" t="str">
        <f>IF(LEFT($U$4,1)="T","PHIẾU THU","PHIẾU CHI")</f>
        <v>PHIẾU CHI</v>
      </c>
      <c r="I4" s="89"/>
      <c r="J4" s="105"/>
      <c r="K4" s="107"/>
      <c r="L4" s="89"/>
      <c r="M4" s="107"/>
      <c r="N4" s="107"/>
      <c r="O4" s="107"/>
      <c r="P4" s="108"/>
      <c r="Q4" s="776"/>
      <c r="R4" s="109"/>
      <c r="S4" s="211">
        <v>3</v>
      </c>
      <c r="T4" s="109"/>
      <c r="U4" s="777" t="s">
        <v>4</v>
      </c>
      <c r="V4" s="135"/>
      <c r="W4" s="778">
        <v>42</v>
      </c>
    </row>
    <row r="5" spans="1:23" ht="15">
      <c r="A5" s="89"/>
      <c r="B5" s="98"/>
      <c r="C5" s="88"/>
      <c r="D5" s="88"/>
      <c r="E5" s="88"/>
      <c r="F5" s="89"/>
      <c r="G5" s="105"/>
      <c r="H5" s="110" t="str">
        <f>IF(ISNA(VLOOKUP($M$7,TM,3,0)),"","Ngày  "&amp;DAY(VLOOKUP($M$7,TM,3,0))&amp;"  tháng  "&amp;MONTH(VLOOKUP($M$7,TM,3,0))&amp;"  năm  "&amp;YEAR(VLOOKUP($M$7,TM,3,0)))</f>
        <v/>
      </c>
      <c r="I5" s="89"/>
      <c r="J5" s="105"/>
      <c r="K5" s="107"/>
      <c r="L5" s="89"/>
      <c r="M5" s="107"/>
      <c r="N5" s="107"/>
      <c r="O5" s="107"/>
      <c r="P5" s="108"/>
      <c r="Q5" s="775"/>
      <c r="R5" s="89"/>
      <c r="S5" s="89"/>
      <c r="T5" s="89"/>
      <c r="U5" s="89"/>
      <c r="V5" s="97"/>
      <c r="W5" s="102"/>
    </row>
    <row r="6" spans="1:23" ht="13.5">
      <c r="A6" s="113"/>
      <c r="B6" s="111"/>
      <c r="C6" s="112"/>
      <c r="D6" s="112"/>
      <c r="E6" s="112"/>
      <c r="F6" s="113"/>
      <c r="G6" s="114"/>
      <c r="H6" s="114"/>
      <c r="I6" s="114"/>
      <c r="J6" s="113"/>
      <c r="K6" s="113"/>
      <c r="L6" s="115" t="str">
        <f>"Quyển số: 0"&amp;$S$4</f>
        <v>Quyển số: 03</v>
      </c>
      <c r="M6" s="113"/>
      <c r="N6" s="113"/>
      <c r="O6" s="116"/>
      <c r="P6" s="117"/>
      <c r="Q6" s="113"/>
      <c r="R6" s="113"/>
      <c r="S6" s="113"/>
      <c r="T6" s="113"/>
      <c r="U6" s="113"/>
      <c r="V6" s="118"/>
      <c r="W6" s="102"/>
    </row>
    <row r="7" spans="1:23" ht="13.5" customHeight="1">
      <c r="A7" s="113"/>
      <c r="B7" s="113"/>
      <c r="C7" s="113"/>
      <c r="D7" s="113"/>
      <c r="E7" s="111"/>
      <c r="F7" s="114"/>
      <c r="G7" s="114"/>
      <c r="H7" s="114"/>
      <c r="I7" s="114"/>
      <c r="J7" s="113"/>
      <c r="K7" s="113"/>
      <c r="L7" s="119" t="str">
        <f>"Số :    "</f>
        <v xml:space="preserve">Số :    </v>
      </c>
      <c r="M7" s="120" t="str">
        <f>$U$4&amp;IF($W$4&gt;=10,$W$4,"0"&amp;$W$4)</f>
        <v>C42</v>
      </c>
      <c r="N7" s="116"/>
      <c r="O7" s="116"/>
      <c r="P7" s="117"/>
      <c r="Q7" s="113"/>
      <c r="R7" s="113"/>
      <c r="S7" s="113"/>
      <c r="T7" s="113"/>
      <c r="U7" s="113"/>
      <c r="V7" s="113"/>
      <c r="W7" s="113"/>
    </row>
    <row r="8" spans="1:23" ht="13.5">
      <c r="A8" s="113"/>
      <c r="B8" s="113"/>
      <c r="C8" s="113"/>
      <c r="D8" s="113"/>
      <c r="E8" s="111"/>
      <c r="F8" s="111"/>
      <c r="G8" s="111"/>
      <c r="H8" s="111"/>
      <c r="I8" s="111"/>
      <c r="J8" s="113"/>
      <c r="K8" s="121"/>
      <c r="L8" s="115" t="s">
        <v>128</v>
      </c>
      <c r="M8" s="122" t="str">
        <f>IF($U$4="T","1111",IF($U$4="C",IF(ISNA(VLOOKUP($M$7,TM,15,0)),"",VLOOKUP($M$7,TM,14,0)),""))</f>
        <v/>
      </c>
      <c r="N8" s="116"/>
      <c r="O8" s="116"/>
      <c r="P8" s="123"/>
      <c r="Q8" s="113"/>
      <c r="R8" s="113"/>
      <c r="S8" s="113"/>
      <c r="T8" s="113"/>
      <c r="U8" s="113"/>
      <c r="V8" s="113"/>
      <c r="W8" s="113"/>
    </row>
    <row r="9" spans="1:23" ht="13.5">
      <c r="A9" s="113"/>
      <c r="B9" s="113"/>
      <c r="C9" s="113"/>
      <c r="D9" s="113"/>
      <c r="E9" s="111"/>
      <c r="F9" s="111"/>
      <c r="G9" s="111"/>
      <c r="H9" s="111"/>
      <c r="I9" s="111"/>
      <c r="J9" s="113"/>
      <c r="K9" s="121"/>
      <c r="L9" s="119" t="s">
        <v>129</v>
      </c>
      <c r="M9" s="122" t="str">
        <f>IF($U$4="C","1111",IF($U$4="T",IF(ISNA(VLOOKUP($M$7,TM,14,0)),"",VLOOKUP($M$7,TM,15,0)),""))</f>
        <v>1111</v>
      </c>
      <c r="N9" s="116"/>
      <c r="O9" s="116"/>
      <c r="P9" s="123"/>
      <c r="Q9" s="113"/>
      <c r="R9" s="113"/>
      <c r="S9" s="113"/>
      <c r="T9" s="113"/>
      <c r="U9" s="113"/>
      <c r="V9" s="113"/>
      <c r="W9" s="113"/>
    </row>
    <row r="10" spans="1:23" ht="15">
      <c r="A10" s="113"/>
      <c r="B10" s="113"/>
      <c r="C10" s="124" t="str">
        <f>IF($U$4="T","Họ tên người nộp tiền :","Họ và tên người nhận tiền :")&amp;" "&amp;IF(ISNA(VLOOKUP($M$7,TM,8,0)),"",VLOOKUP($M$7,TM,8,0))</f>
        <v xml:space="preserve">Họ và tên người nhận tiền : </v>
      </c>
      <c r="D10" s="111"/>
      <c r="E10" s="113"/>
      <c r="F10" s="111"/>
      <c r="G10" s="111"/>
      <c r="H10" s="111"/>
      <c r="I10" s="111"/>
      <c r="J10" s="113"/>
      <c r="K10" s="111"/>
      <c r="L10" s="119"/>
      <c r="M10" s="122"/>
      <c r="N10" s="116"/>
      <c r="O10" s="111"/>
      <c r="P10" s="117"/>
      <c r="Q10" s="113"/>
      <c r="R10" s="113"/>
      <c r="S10" s="113"/>
      <c r="T10" s="113"/>
      <c r="U10" s="113"/>
      <c r="V10" s="113"/>
      <c r="W10" s="113"/>
    </row>
    <row r="11" spans="1:23" ht="15">
      <c r="A11" s="89"/>
      <c r="B11" s="89"/>
      <c r="C11" s="124" t="str">
        <f>"Địa chỉ :"</f>
        <v>Địa chỉ :</v>
      </c>
      <c r="D11" s="89"/>
      <c r="E11" s="124"/>
      <c r="F11" s="124"/>
      <c r="G11" s="124"/>
      <c r="H11" s="124"/>
      <c r="I11" s="124"/>
      <c r="J11" s="124"/>
      <c r="K11" s="124"/>
      <c r="L11" s="124"/>
      <c r="M11" s="124"/>
      <c r="N11" s="124"/>
      <c r="O11" s="124"/>
      <c r="P11" s="104"/>
      <c r="Q11" s="89"/>
      <c r="R11" s="89"/>
      <c r="S11" s="89"/>
      <c r="T11" s="89"/>
      <c r="U11" s="89"/>
      <c r="V11" s="89"/>
      <c r="W11" s="89"/>
    </row>
    <row r="12" spans="1:23" ht="15">
      <c r="A12" s="89"/>
      <c r="B12" s="89"/>
      <c r="C12" s="124" t="str">
        <f>IF($U$4="T","Lý do nộp :","Lý do chi :")&amp;" "&amp;IF(ISNA(VLOOKUP($M$7,TM,6,0)),"",VLOOKUP($M$7,TM,6,0))</f>
        <v xml:space="preserve">Lý do chi : </v>
      </c>
      <c r="D12" s="89"/>
      <c r="E12" s="124"/>
      <c r="F12" s="124"/>
      <c r="G12" s="124"/>
      <c r="H12" s="124"/>
      <c r="I12" s="124"/>
      <c r="J12" s="124"/>
      <c r="K12" s="124"/>
      <c r="L12" s="124"/>
      <c r="M12" s="124"/>
      <c r="N12" s="124"/>
      <c r="O12" s="124"/>
      <c r="P12" s="125"/>
      <c r="Q12" s="89"/>
      <c r="R12" s="89"/>
      <c r="S12" s="89"/>
      <c r="T12" s="89"/>
      <c r="U12" s="89"/>
      <c r="V12" s="89"/>
      <c r="W12" s="89"/>
    </row>
    <row r="13" spans="1:23" ht="15">
      <c r="A13" s="89"/>
      <c r="B13" s="89"/>
      <c r="C13" s="89" t="s">
        <v>142</v>
      </c>
      <c r="D13" s="126">
        <f ca="1">SUMIF(TM,$M$7,TH)</f>
        <v>0</v>
      </c>
      <c r="E13" s="89" t="s">
        <v>130</v>
      </c>
      <c r="F13" s="126"/>
      <c r="G13" s="126"/>
      <c r="H13" s="89"/>
      <c r="I13" s="89"/>
      <c r="J13" s="89"/>
      <c r="K13" s="89"/>
      <c r="L13" s="89"/>
      <c r="M13" s="89"/>
      <c r="N13" s="89"/>
      <c r="O13" s="89"/>
      <c r="P13" s="89"/>
      <c r="Q13" s="89"/>
      <c r="R13" s="89"/>
      <c r="S13" s="89"/>
      <c r="T13" s="89"/>
      <c r="U13" s="89"/>
      <c r="V13" s="89"/>
      <c r="W13" s="89"/>
    </row>
    <row r="14" spans="1:23" ht="15">
      <c r="A14" s="89"/>
      <c r="B14" s="89"/>
      <c r="C14" s="89" t="e">
        <f ca="1">"Viết bằng chữ: " &amp;[5]!VND('IN-TC'!D13, TRUE)</f>
        <v>#NAME?</v>
      </c>
      <c r="D14" s="89"/>
      <c r="E14" s="89"/>
      <c r="F14" s="89"/>
      <c r="G14" s="89"/>
      <c r="H14" s="89"/>
      <c r="I14" s="89"/>
      <c r="J14" s="89"/>
      <c r="K14" s="89"/>
      <c r="L14" s="89"/>
      <c r="M14" s="89"/>
      <c r="N14" s="89"/>
      <c r="O14" s="89"/>
      <c r="P14" s="104"/>
      <c r="Q14" s="89"/>
      <c r="R14" s="89"/>
      <c r="S14" s="89"/>
      <c r="T14" s="89"/>
      <c r="U14" s="89"/>
      <c r="V14" s="89"/>
      <c r="W14" s="89"/>
    </row>
    <row r="15" spans="1:23" ht="15">
      <c r="A15" s="89"/>
      <c r="B15" s="89"/>
      <c r="C15" s="124" t="e">
        <f>"Kèm theo :     " &amp;IF(OR(ISNA(VLOOKUP($M$7,TM,7,0)),VLOOKUP($M$7,TM,7,0)=""),"                           ",IF(VLOOKUP($M$7,TM,7,0)&lt;&gt;"","    HĐ  "&amp;(VLOOKUP($M$7,TM,7,0)))) &amp; "     chứng từ gốc. "</f>
        <v>#N/A</v>
      </c>
      <c r="D15" s="124"/>
      <c r="E15" s="89"/>
      <c r="F15" s="124"/>
      <c r="G15" s="124"/>
      <c r="H15" s="124"/>
      <c r="I15" s="124"/>
      <c r="J15" s="124"/>
      <c r="K15" s="124"/>
      <c r="L15" s="124"/>
      <c r="M15" s="124"/>
      <c r="N15" s="124"/>
      <c r="O15" s="124"/>
      <c r="P15" s="127"/>
      <c r="Q15" s="89"/>
      <c r="R15" s="89"/>
      <c r="S15" s="89"/>
      <c r="T15" s="89"/>
      <c r="U15" s="89"/>
      <c r="V15" s="89"/>
      <c r="W15" s="89"/>
    </row>
    <row r="16" spans="1:23" ht="15">
      <c r="A16" s="89"/>
      <c r="B16" s="89"/>
      <c r="C16" s="89"/>
      <c r="D16" s="89"/>
      <c r="E16" s="89"/>
      <c r="F16" s="89"/>
      <c r="G16" s="89"/>
      <c r="H16" s="89"/>
      <c r="I16" s="89"/>
      <c r="J16" s="89"/>
      <c r="K16" s="128"/>
      <c r="L16" s="128"/>
      <c r="M16" s="140" t="str">
        <f>H5</f>
        <v/>
      </c>
      <c r="N16" s="128"/>
      <c r="O16" s="128"/>
      <c r="P16" s="89"/>
      <c r="Q16" s="89"/>
      <c r="R16" s="89"/>
      <c r="S16" s="89"/>
      <c r="T16" s="89"/>
      <c r="U16" s="89"/>
      <c r="V16" s="89"/>
      <c r="W16" s="89"/>
    </row>
    <row r="17" spans="1:23" ht="15">
      <c r="A17" s="89"/>
      <c r="B17" s="89"/>
      <c r="C17" s="129" t="s">
        <v>131</v>
      </c>
      <c r="D17" s="130"/>
      <c r="E17" s="129" t="s">
        <v>12</v>
      </c>
      <c r="F17" s="130"/>
      <c r="G17" s="130"/>
      <c r="H17" s="129" t="str">
        <f>IF($U$4="C","Thủ quỹ","Người nộp tiền")</f>
        <v>Thủ quỹ</v>
      </c>
      <c r="I17" s="89"/>
      <c r="J17" s="129" t="s">
        <v>132</v>
      </c>
      <c r="K17" s="130"/>
      <c r="L17" s="89"/>
      <c r="M17" s="131" t="str">
        <f>IF($U$4="T","Thủ quỹ","Người nhận tiền")</f>
        <v>Người nhận tiền</v>
      </c>
      <c r="N17" s="132"/>
      <c r="O17" s="132"/>
      <c r="P17" s="89"/>
      <c r="Q17" s="89"/>
      <c r="R17" s="89"/>
      <c r="S17" s="89"/>
      <c r="T17" s="89"/>
      <c r="U17" s="89"/>
      <c r="V17" s="89"/>
      <c r="W17" s="89"/>
    </row>
    <row r="18" spans="1:23" ht="15">
      <c r="A18" s="130"/>
      <c r="B18" s="130"/>
      <c r="C18" s="133" t="s">
        <v>133</v>
      </c>
      <c r="D18" s="89"/>
      <c r="E18" s="133" t="s">
        <v>134</v>
      </c>
      <c r="F18" s="89"/>
      <c r="G18" s="89"/>
      <c r="H18" s="133" t="s">
        <v>134</v>
      </c>
      <c r="I18" s="130"/>
      <c r="J18" s="133" t="s">
        <v>134</v>
      </c>
      <c r="K18" s="89"/>
      <c r="L18" s="130"/>
      <c r="M18" s="133" t="s">
        <v>134</v>
      </c>
      <c r="N18" s="89"/>
      <c r="O18" s="89"/>
      <c r="P18" s="130"/>
      <c r="Q18" s="130"/>
      <c r="R18" s="130"/>
      <c r="S18" s="130"/>
      <c r="T18" s="130"/>
      <c r="U18" s="130"/>
      <c r="V18" s="130"/>
      <c r="W18" s="130"/>
    </row>
    <row r="19" spans="1:23" ht="15">
      <c r="A19" s="89"/>
      <c r="B19" s="89"/>
      <c r="C19" s="89"/>
      <c r="D19" s="89"/>
      <c r="E19" s="89"/>
      <c r="F19" s="89"/>
      <c r="G19" s="89"/>
      <c r="H19" s="89"/>
      <c r="I19" s="89"/>
      <c r="J19" s="89"/>
      <c r="K19" s="89"/>
      <c r="L19" s="89"/>
      <c r="M19" s="89"/>
      <c r="N19" s="89"/>
      <c r="O19" s="89"/>
      <c r="P19" s="89"/>
      <c r="Q19" s="89"/>
      <c r="R19" s="89"/>
      <c r="S19" s="89"/>
      <c r="T19" s="89"/>
      <c r="U19" s="89"/>
      <c r="V19" s="89"/>
      <c r="W19" s="89"/>
    </row>
    <row r="20" spans="1:23" ht="15">
      <c r="A20" s="89"/>
      <c r="B20" s="89"/>
      <c r="C20" s="89"/>
      <c r="D20" s="89"/>
      <c r="E20" s="89"/>
      <c r="F20" s="89"/>
      <c r="G20" s="89"/>
      <c r="H20" s="89"/>
      <c r="I20" s="89"/>
      <c r="J20" s="89"/>
      <c r="K20" s="89"/>
      <c r="L20" s="89"/>
      <c r="M20" s="89"/>
      <c r="N20" s="89"/>
      <c r="O20" s="89"/>
      <c r="P20" s="89"/>
      <c r="Q20" s="89"/>
      <c r="R20" s="89"/>
      <c r="S20" s="89"/>
      <c r="T20" s="89"/>
      <c r="U20" s="89"/>
      <c r="V20" s="89"/>
      <c r="W20" s="89"/>
    </row>
    <row r="21" spans="1:23" ht="15">
      <c r="A21" s="89"/>
      <c r="B21" s="89"/>
      <c r="C21" s="89"/>
      <c r="D21" s="89"/>
      <c r="E21" s="89"/>
      <c r="F21" s="89"/>
      <c r="G21" s="89"/>
      <c r="H21" s="89"/>
      <c r="I21" s="89"/>
      <c r="J21" s="89"/>
      <c r="K21" s="89"/>
      <c r="L21" s="89"/>
      <c r="M21" s="89"/>
      <c r="N21" s="89"/>
      <c r="O21" s="89"/>
      <c r="P21" s="89"/>
      <c r="Q21" s="89"/>
      <c r="R21" s="89"/>
      <c r="S21" s="89"/>
      <c r="T21" s="89"/>
      <c r="U21" s="89"/>
      <c r="V21" s="89"/>
      <c r="W21" s="89"/>
    </row>
    <row r="22" spans="1:23" ht="15">
      <c r="A22" s="89"/>
      <c r="B22" s="89"/>
      <c r="C22" s="89"/>
      <c r="D22" s="89"/>
      <c r="E22" s="89"/>
      <c r="F22" s="89"/>
      <c r="G22" s="89"/>
      <c r="H22" s="89"/>
      <c r="I22" s="89"/>
      <c r="J22" s="89"/>
      <c r="K22" s="89"/>
      <c r="L22" s="89"/>
      <c r="M22" s="89"/>
      <c r="N22" s="89"/>
      <c r="O22" s="89"/>
      <c r="P22" s="89"/>
      <c r="Q22" s="89"/>
      <c r="R22" s="89"/>
      <c r="S22" s="89"/>
      <c r="T22" s="89"/>
      <c r="U22" s="89"/>
      <c r="V22" s="89"/>
      <c r="W22" s="89"/>
    </row>
    <row r="23" spans="1:23" ht="15">
      <c r="A23" s="89"/>
      <c r="B23" s="89"/>
      <c r="C23" s="89"/>
      <c r="D23" s="89"/>
      <c r="E23" s="89"/>
      <c r="F23" s="89"/>
      <c r="G23" s="89"/>
      <c r="H23" s="89"/>
      <c r="I23" s="96"/>
      <c r="J23" s="89"/>
      <c r="K23" s="89"/>
      <c r="L23" s="89"/>
      <c r="M23" s="89"/>
      <c r="N23" s="89"/>
      <c r="O23" s="89"/>
      <c r="P23" s="89"/>
      <c r="Q23" s="89"/>
      <c r="R23" s="89"/>
      <c r="S23" s="89"/>
      <c r="T23" s="89"/>
      <c r="U23" s="89"/>
      <c r="V23" s="89"/>
      <c r="W23" s="89"/>
    </row>
    <row r="24" spans="1:23" ht="15">
      <c r="A24" s="89"/>
      <c r="B24" s="89"/>
      <c r="C24" s="325" t="s">
        <v>125</v>
      </c>
      <c r="D24" s="89"/>
      <c r="E24" s="89"/>
      <c r="F24" s="89"/>
      <c r="G24" s="89"/>
      <c r="H24" s="325" t="str">
        <f>IF($U$4="T","","Phạm Thị Đông")</f>
        <v>Phạm Thị Đông</v>
      </c>
      <c r="I24" s="89"/>
      <c r="J24" s="325" t="s">
        <v>226</v>
      </c>
      <c r="K24" s="89"/>
      <c r="L24" s="89"/>
      <c r="M24" s="325" t="str">
        <f>IF($U$4="C","","Phạm Thị Đông")</f>
        <v/>
      </c>
      <c r="N24" s="89"/>
      <c r="O24" s="89"/>
      <c r="P24" s="89"/>
      <c r="Q24" s="89"/>
      <c r="R24" s="89"/>
      <c r="S24" s="89"/>
      <c r="T24" s="89"/>
      <c r="U24" s="89"/>
      <c r="V24" s="89"/>
      <c r="W24" s="89"/>
    </row>
    <row r="25" spans="1:23" ht="15">
      <c r="A25" s="89"/>
      <c r="B25" s="89" t="s">
        <v>135</v>
      </c>
      <c r="C25" s="89"/>
      <c r="D25" s="89"/>
      <c r="E25" s="89"/>
      <c r="F25" s="89"/>
      <c r="G25" s="89"/>
      <c r="H25" s="89"/>
      <c r="I25" s="89"/>
      <c r="J25" s="89"/>
      <c r="K25" s="89"/>
      <c r="L25" s="89"/>
      <c r="M25" s="89"/>
      <c r="N25" s="89"/>
      <c r="O25" s="89"/>
      <c r="P25" s="89"/>
      <c r="Q25" s="89"/>
      <c r="R25" s="89"/>
      <c r="S25" s="89"/>
      <c r="T25" s="89"/>
      <c r="U25" s="89"/>
      <c r="V25" s="89"/>
      <c r="W25" s="89"/>
    </row>
    <row r="26" spans="1:23" ht="15">
      <c r="A26" s="89"/>
      <c r="B26" s="124"/>
      <c r="C26" s="124" t="s">
        <v>136</v>
      </c>
      <c r="D26" s="124"/>
      <c r="E26" s="124"/>
      <c r="F26" s="124"/>
      <c r="G26" s="124"/>
      <c r="H26" s="124"/>
      <c r="I26" s="124"/>
      <c r="J26" s="124"/>
      <c r="K26" s="124"/>
      <c r="L26" s="124"/>
      <c r="M26" s="124"/>
      <c r="N26" s="124"/>
      <c r="O26" s="124"/>
      <c r="P26" s="89"/>
      <c r="Q26" s="89"/>
      <c r="R26" s="89"/>
      <c r="S26" s="89"/>
      <c r="T26" s="89"/>
      <c r="U26" s="89"/>
      <c r="V26" s="89"/>
      <c r="W26" s="89"/>
    </row>
    <row r="27" spans="1:23" ht="15">
      <c r="A27" s="89"/>
      <c r="B27" s="124"/>
      <c r="C27" s="124" t="s">
        <v>137</v>
      </c>
      <c r="D27" s="124"/>
      <c r="E27" s="124"/>
      <c r="F27" s="124"/>
      <c r="G27" s="124"/>
      <c r="H27" s="124"/>
      <c r="I27" s="124"/>
      <c r="J27" s="124"/>
      <c r="K27" s="124"/>
      <c r="L27" s="124"/>
      <c r="M27" s="124"/>
      <c r="N27" s="124"/>
      <c r="O27" s="124"/>
      <c r="P27" s="89"/>
      <c r="Q27" s="89"/>
      <c r="R27" s="89"/>
      <c r="S27" s="89"/>
      <c r="T27" s="89"/>
      <c r="U27" s="89"/>
      <c r="V27" s="89"/>
      <c r="W27" s="89"/>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5"/>
  <sheetViews>
    <sheetView topLeftCell="A10" zoomScale="90" workbookViewId="0">
      <pane ySplit="4" topLeftCell="A14" activePane="bottomLeft" state="frozen"/>
      <selection activeCell="P41" sqref="P41"/>
      <selection pane="bottomLeft" activeCell="P31" sqref="P30:P31"/>
    </sheetView>
  </sheetViews>
  <sheetFormatPr defaultRowHeight="12.75"/>
  <cols>
    <col min="1" max="2" width="8.7109375" customWidth="1"/>
    <col min="3" max="4" width="6.5703125" customWidth="1"/>
    <col min="5" max="5" width="34.5703125" customWidth="1"/>
    <col min="6" max="6" width="6.28515625" customWidth="1"/>
    <col min="7" max="8" width="14.42578125" customWidth="1"/>
    <col min="9" max="9" width="15.710937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69" t="s">
        <v>138</v>
      </c>
      <c r="B1" s="2"/>
      <c r="C1" s="2"/>
      <c r="D1" s="2"/>
      <c r="E1" s="2"/>
      <c r="G1" s="1361" t="s">
        <v>143</v>
      </c>
      <c r="H1" s="1361"/>
      <c r="I1" s="1361"/>
      <c r="J1" s="1361"/>
    </row>
    <row r="2" spans="1:12" s="3" customFormat="1" ht="16.5" customHeight="1">
      <c r="A2" s="124" t="s">
        <v>139</v>
      </c>
      <c r="B2" s="16"/>
      <c r="C2" s="16"/>
      <c r="D2" s="16"/>
      <c r="E2" s="16"/>
      <c r="G2" s="1362" t="s">
        <v>144</v>
      </c>
      <c r="H2" s="1362"/>
      <c r="I2" s="1362"/>
      <c r="J2" s="1362"/>
    </row>
    <row r="3" spans="1:12" s="3" customFormat="1" ht="16.5" customHeight="1">
      <c r="A3" s="4"/>
      <c r="B3" s="16"/>
      <c r="C3" s="141"/>
      <c r="D3" s="141"/>
      <c r="E3" s="16"/>
      <c r="G3" s="1362"/>
      <c r="H3" s="1362"/>
      <c r="I3" s="1362"/>
      <c r="J3" s="1362"/>
    </row>
    <row r="4" spans="1:12" s="3" customFormat="1" ht="6.75" customHeight="1">
      <c r="A4" s="16"/>
      <c r="B4" s="16"/>
      <c r="C4" s="16"/>
      <c r="D4" s="16"/>
      <c r="E4" s="16"/>
      <c r="G4" s="142"/>
      <c r="H4" s="142"/>
      <c r="I4" s="142"/>
      <c r="J4" s="142"/>
    </row>
    <row r="5" spans="1:12" s="143" customFormat="1" ht="24.75" customHeight="1">
      <c r="A5" s="1375" t="s">
        <v>145</v>
      </c>
      <c r="B5" s="1375"/>
      <c r="C5" s="1375"/>
      <c r="D5" s="1375"/>
      <c r="E5" s="1375"/>
      <c r="F5" s="1375"/>
      <c r="G5" s="1375"/>
      <c r="H5" s="1375"/>
      <c r="I5" s="1375"/>
      <c r="J5" s="1375"/>
    </row>
    <row r="6" spans="1:12" s="143" customFormat="1" ht="14.25" customHeight="1">
      <c r="A6" s="1377" t="str">
        <f>$L$11&amp;" / 2015"</f>
        <v>11 / 2015</v>
      </c>
      <c r="B6" s="1377"/>
      <c r="C6" s="1377"/>
      <c r="D6" s="1377"/>
      <c r="E6" s="1377"/>
      <c r="F6" s="1377"/>
      <c r="G6" s="1377"/>
      <c r="H6" s="1377"/>
      <c r="I6" s="1377"/>
      <c r="J6" s="1377"/>
    </row>
    <row r="7" spans="1:12" s="143" customFormat="1" ht="15">
      <c r="A7" s="1376" t="s">
        <v>146</v>
      </c>
      <c r="B7" s="1376"/>
      <c r="C7" s="1376"/>
      <c r="D7" s="1376"/>
      <c r="E7" s="1376"/>
      <c r="F7" s="1376"/>
      <c r="G7" s="1376"/>
      <c r="H7" s="1376"/>
      <c r="I7" s="1376"/>
      <c r="J7" s="1376"/>
    </row>
    <row r="8" spans="1:12" s="143" customFormat="1" ht="15">
      <c r="A8" s="1376" t="s">
        <v>147</v>
      </c>
      <c r="B8" s="1376"/>
      <c r="C8" s="1376"/>
      <c r="D8" s="1376"/>
      <c r="E8" s="1376"/>
      <c r="F8" s="1376"/>
      <c r="G8" s="1376"/>
      <c r="H8" s="1376"/>
      <c r="I8" s="1376"/>
      <c r="J8" s="1376"/>
    </row>
    <row r="9" spans="1:12" s="143" customFormat="1" ht="15">
      <c r="A9" s="144"/>
      <c r="I9" s="144" t="s">
        <v>148</v>
      </c>
    </row>
    <row r="10" spans="1:12" s="143" customFormat="1" ht="33" customHeight="1" thickBot="1">
      <c r="A10" s="1373" t="s">
        <v>22</v>
      </c>
      <c r="B10" s="1373" t="s">
        <v>149</v>
      </c>
      <c r="C10" s="1372" t="s">
        <v>150</v>
      </c>
      <c r="D10" s="1372"/>
      <c r="E10" s="1372" t="s">
        <v>0</v>
      </c>
      <c r="F10" s="1373" t="s">
        <v>16</v>
      </c>
      <c r="G10" s="1372" t="s">
        <v>23</v>
      </c>
      <c r="H10" s="1372"/>
      <c r="I10" s="1372" t="s">
        <v>151</v>
      </c>
      <c r="J10" s="1372" t="s">
        <v>152</v>
      </c>
      <c r="L10" s="170"/>
    </row>
    <row r="11" spans="1:12" s="143" customFormat="1" ht="24" customHeight="1" thickBot="1">
      <c r="A11" s="1374"/>
      <c r="B11" s="1374"/>
      <c r="C11" s="145" t="s">
        <v>153</v>
      </c>
      <c r="D11" s="145" t="s">
        <v>154</v>
      </c>
      <c r="E11" s="1372"/>
      <c r="F11" s="1374"/>
      <c r="G11" s="145" t="s">
        <v>24</v>
      </c>
      <c r="H11" s="145" t="s">
        <v>25</v>
      </c>
      <c r="I11" s="1372"/>
      <c r="J11" s="1372"/>
      <c r="L11" s="211">
        <v>11</v>
      </c>
    </row>
    <row r="12" spans="1:12" s="146" customFormat="1" ht="11.25" customHeight="1">
      <c r="A12" s="147" t="s">
        <v>2</v>
      </c>
      <c r="B12" s="147" t="s">
        <v>3</v>
      </c>
      <c r="C12" s="147" t="s">
        <v>4</v>
      </c>
      <c r="D12" s="147" t="s">
        <v>5</v>
      </c>
      <c r="E12" s="147" t="s">
        <v>6</v>
      </c>
      <c r="F12" s="147" t="s">
        <v>155</v>
      </c>
      <c r="G12" s="147">
        <v>1</v>
      </c>
      <c r="H12" s="147">
        <v>2</v>
      </c>
      <c r="I12" s="147">
        <v>3</v>
      </c>
      <c r="J12" s="147" t="s">
        <v>156</v>
      </c>
    </row>
    <row r="13" spans="1:12" s="148" customFormat="1" ht="19.5" customHeight="1">
      <c r="A13" s="149"/>
      <c r="B13" s="149"/>
      <c r="C13" s="149"/>
      <c r="D13" s="149"/>
      <c r="E13" s="149" t="s">
        <v>157</v>
      </c>
      <c r="F13" s="150"/>
      <c r="G13" s="151"/>
      <c r="H13" s="149"/>
      <c r="I13" s="171">
        <f>IF($L$11="All",CDPS!$C$10,CDPS!$C$10+SUMIF(_N111,"x",TH)-SUMIF(_C111,"x",TH))</f>
        <v>11230000000</v>
      </c>
      <c r="J13" s="149"/>
    </row>
    <row r="14" spans="1:12" s="143" customFormat="1" ht="19.5" customHeight="1">
      <c r="A14" s="152" t="str">
        <f ca="1">IF(ROWS($1:1)&gt;COUNT(Dong1),"",OFFSET(TH!C$1,SMALL(Dong1,ROWS($1:1)),))</f>
        <v/>
      </c>
      <c r="B14" s="152" t="str">
        <f ca="1">IF(ROWS($1:1)&gt;COUNT(Dong1),"",OFFSET(TH!E$1,SMALL(Dong1,ROWS($1:1)),))</f>
        <v/>
      </c>
      <c r="C14" s="153" t="str">
        <f ca="1">IF(ROWS($1:1)&gt;COUNT(Dong1),"",IF(OFFSET(TH!N$1,SMALL(Dong1,ROWS($1:1)),)="1111",OFFSET(TH!D$1,SMALL(Dong1,ROWS($1:1)),),""))</f>
        <v/>
      </c>
      <c r="D14" s="154" t="str">
        <f ca="1">IF(ROWS($1:1)&gt;COUNT(Dong1),"",IF(OFFSET(TH!O$1,SMALL(Dong1,ROWS($1:1)),)="1111",OFFSET(TH!D$1,SMALL(Dong1,ROWS($1:1)),),""))</f>
        <v/>
      </c>
      <c r="E14" s="342" t="str">
        <f ca="1">IF(ROWS($1:1)&gt;COUNT(Dong1),"",OFFSET(TH!F$1,SMALL(Dong1,ROWS($1:1)),))</f>
        <v/>
      </c>
      <c r="F14" s="156" t="str">
        <f ca="1">IF(ROWS($1:1)&gt;COUNT(Dong1),"",IF(OFFSET(TH!O$1,SMALL(Dong1,ROWS($1:1)),)="1111",OFFSET(TH!N$1,SMALL(Dong1,ROWS($1:1)),),OFFSET(TH!O$1,SMALL(Dong1,ROWS($1:1)),)))</f>
        <v/>
      </c>
      <c r="G14" s="157" t="str">
        <f ca="1">IF(ROWS($1:1)&gt;COUNT(Dong1),"",IF(OFFSET(TH!N$1,SMALL(Dong1,ROWS($1:1)),)="1111",OFFSET(TH!M$1,SMALL(Dong1,ROWS($1:1)),),0))</f>
        <v/>
      </c>
      <c r="H14" s="155" t="str">
        <f ca="1">IF(ROWS($1:1)&gt;COUNT(Dong1),"",IF(OFFSET(TH!O$1,SMALL(Dong1,ROWS($1:1)),)="1111",OFFSET(TH!M$1,SMALL(Dong1,ROWS($1:1)),),0))</f>
        <v/>
      </c>
      <c r="I14" s="153">
        <f t="shared" ref="I14:I45" ca="1" si="0">IF(E14&lt;&gt;"",I13+G14-H14,0)</f>
        <v>0</v>
      </c>
      <c r="J14" s="158"/>
    </row>
    <row r="15" spans="1:12" s="143" customFormat="1" ht="19.5" customHeight="1">
      <c r="A15" s="152" t="str">
        <f ca="1">IF(ROWS($1:2)&gt;COUNT(Dong1),"",OFFSET(TH!C$1,SMALL(Dong1,ROWS($1:2)),))</f>
        <v/>
      </c>
      <c r="B15" s="152" t="str">
        <f ca="1">IF(ROWS($1:2)&gt;COUNT(Dong1),"",OFFSET(TH!E$1,SMALL(Dong1,ROWS($1:2)),))</f>
        <v/>
      </c>
      <c r="C15" s="153" t="str">
        <f ca="1">IF(ROWS($1:2)&gt;COUNT(Dong1),"",IF(OFFSET(TH!N$1,SMALL(Dong1,ROWS($1:2)),)="1111",OFFSET(TH!D$1,SMALL(Dong1,ROWS($1:2)),),""))</f>
        <v/>
      </c>
      <c r="D15" s="154" t="str">
        <f ca="1">IF(ROWS($1:2)&gt;COUNT(Dong1),"",IF(OFFSET(TH!O$1,SMALL(Dong1,ROWS($1:2)),)="1111",OFFSET(TH!D$1,SMALL(Dong1,ROWS($1:2)),),""))</f>
        <v/>
      </c>
      <c r="E15" s="342" t="str">
        <f ca="1">IF(ROWS($1:2)&gt;COUNT(Dong1),"",OFFSET(TH!F$1,SMALL(Dong1,ROWS($1:2)),))</f>
        <v/>
      </c>
      <c r="F15" s="156" t="str">
        <f ca="1">IF(ROWS($1:2)&gt;COUNT(Dong1),"",IF(OFFSET(TH!O$1,SMALL(Dong1,ROWS($1:2)),)="1111",OFFSET(TH!N$1,SMALL(Dong1,ROWS($1:2)),),OFFSET(TH!O$1,SMALL(Dong1,ROWS($1:2)),)))</f>
        <v/>
      </c>
      <c r="G15" s="157" t="str">
        <f ca="1">IF(ROWS($1:2)&gt;COUNT(Dong1),"",IF(OFFSET(TH!N$1,SMALL(Dong1,ROWS($1:2)),)="1111",OFFSET(TH!M$1,SMALL(Dong1,ROWS($1:2)),),0))</f>
        <v/>
      </c>
      <c r="H15" s="155" t="str">
        <f ca="1">IF(ROWS($1:2)&gt;COUNT(Dong1),"",IF(OFFSET(TH!O$1,SMALL(Dong1,ROWS($1:2)),)="1111",OFFSET(TH!M$1,SMALL(Dong1,ROWS($1:2)),),0))</f>
        <v/>
      </c>
      <c r="I15" s="153">
        <f t="shared" ca="1" si="0"/>
        <v>0</v>
      </c>
      <c r="J15" s="158"/>
    </row>
    <row r="16" spans="1:12" s="143" customFormat="1" ht="19.5" customHeight="1">
      <c r="A16" s="152" t="str">
        <f ca="1">IF(ROWS($1:3)&gt;COUNT(Dong1),"",OFFSET(TH!C$1,SMALL(Dong1,ROWS($1:3)),))</f>
        <v/>
      </c>
      <c r="B16" s="152" t="str">
        <f ca="1">IF(ROWS($1:3)&gt;COUNT(Dong1),"",OFFSET(TH!E$1,SMALL(Dong1,ROWS($1:3)),))</f>
        <v/>
      </c>
      <c r="C16" s="153" t="str">
        <f ca="1">IF(ROWS($1:3)&gt;COUNT(Dong1),"",IF(OFFSET(TH!N$1,SMALL(Dong1,ROWS($1:3)),)="1111",OFFSET(TH!D$1,SMALL(Dong1,ROWS($1:3)),),""))</f>
        <v/>
      </c>
      <c r="D16" s="154" t="str">
        <f ca="1">IF(ROWS($1:3)&gt;COUNT(Dong1),"",IF(OFFSET(TH!O$1,SMALL(Dong1,ROWS($1:3)),)="1111",OFFSET(TH!D$1,SMALL(Dong1,ROWS($1:3)),),""))</f>
        <v/>
      </c>
      <c r="E16" s="342" t="str">
        <f ca="1">IF(ROWS($1:3)&gt;COUNT(Dong1),"",OFFSET(TH!F$1,SMALL(Dong1,ROWS($1:3)),))</f>
        <v/>
      </c>
      <c r="F16" s="156" t="str">
        <f ca="1">IF(ROWS($1:3)&gt;COUNT(Dong1),"",IF(OFFSET(TH!O$1,SMALL(Dong1,ROWS($1:3)),)="1111",OFFSET(TH!N$1,SMALL(Dong1,ROWS($1:3)),),OFFSET(TH!O$1,SMALL(Dong1,ROWS($1:3)),)))</f>
        <v/>
      </c>
      <c r="G16" s="157" t="str">
        <f ca="1">IF(ROWS($1:3)&gt;COUNT(Dong1),"",IF(OFFSET(TH!N$1,SMALL(Dong1,ROWS($1:3)),)="1111",OFFSET(TH!M$1,SMALL(Dong1,ROWS($1:3)),),0))</f>
        <v/>
      </c>
      <c r="H16" s="155" t="str">
        <f ca="1">IF(ROWS($1:3)&gt;COUNT(Dong1),"",IF(OFFSET(TH!O$1,SMALL(Dong1,ROWS($1:3)),)="1111",OFFSET(TH!M$1,SMALL(Dong1,ROWS($1:3)),),0))</f>
        <v/>
      </c>
      <c r="I16" s="153">
        <f t="shared" ca="1" si="0"/>
        <v>0</v>
      </c>
      <c r="J16" s="158"/>
    </row>
    <row r="17" spans="1:10" s="143" customFormat="1" ht="19.5" customHeight="1">
      <c r="A17" s="152" t="str">
        <f ca="1">IF(ROWS($1:4)&gt;COUNT(Dong1),"",OFFSET(TH!C$1,SMALL(Dong1,ROWS($1:4)),))</f>
        <v/>
      </c>
      <c r="B17" s="152" t="str">
        <f ca="1">IF(ROWS($1:4)&gt;COUNT(Dong1),"",OFFSET(TH!E$1,SMALL(Dong1,ROWS($1:4)),))</f>
        <v/>
      </c>
      <c r="C17" s="153" t="str">
        <f ca="1">IF(ROWS($1:4)&gt;COUNT(Dong1),"",IF(OFFSET(TH!N$1,SMALL(Dong1,ROWS($1:4)),)="1111",OFFSET(TH!D$1,SMALL(Dong1,ROWS($1:4)),),""))</f>
        <v/>
      </c>
      <c r="D17" s="154" t="str">
        <f ca="1">IF(ROWS($1:4)&gt;COUNT(Dong1),"",IF(OFFSET(TH!O$1,SMALL(Dong1,ROWS($1:4)),)="1111",OFFSET(TH!D$1,SMALL(Dong1,ROWS($1:4)),),""))</f>
        <v/>
      </c>
      <c r="E17" s="342" t="str">
        <f ca="1">IF(ROWS($1:4)&gt;COUNT(Dong1),"",OFFSET(TH!F$1,SMALL(Dong1,ROWS($1:4)),))</f>
        <v/>
      </c>
      <c r="F17" s="156" t="str">
        <f ca="1">IF(ROWS($1:4)&gt;COUNT(Dong1),"",IF(OFFSET(TH!O$1,SMALL(Dong1,ROWS($1:4)),)="1111",OFFSET(TH!N$1,SMALL(Dong1,ROWS($1:4)),),OFFSET(TH!O$1,SMALL(Dong1,ROWS($1:4)),)))</f>
        <v/>
      </c>
      <c r="G17" s="157" t="str">
        <f ca="1">IF(ROWS($1:4)&gt;COUNT(Dong1),"",IF(OFFSET(TH!N$1,SMALL(Dong1,ROWS($1:4)),)="1111",OFFSET(TH!M$1,SMALL(Dong1,ROWS($1:4)),),0))</f>
        <v/>
      </c>
      <c r="H17" s="155" t="str">
        <f ca="1">IF(ROWS($1:4)&gt;COUNT(Dong1),"",IF(OFFSET(TH!O$1,SMALL(Dong1,ROWS($1:4)),)="1111",OFFSET(TH!M$1,SMALL(Dong1,ROWS($1:4)),),0))</f>
        <v/>
      </c>
      <c r="I17" s="153">
        <f t="shared" ca="1" si="0"/>
        <v>0</v>
      </c>
      <c r="J17" s="158"/>
    </row>
    <row r="18" spans="1:10" s="143" customFormat="1" ht="19.5" customHeight="1">
      <c r="A18" s="152" t="str">
        <f ca="1">IF(ROWS($1:5)&gt;COUNT(Dong1),"",OFFSET(TH!C$1,SMALL(Dong1,ROWS($1:5)),))</f>
        <v/>
      </c>
      <c r="B18" s="152" t="str">
        <f ca="1">IF(ROWS($1:5)&gt;COUNT(Dong1),"",OFFSET(TH!E$1,SMALL(Dong1,ROWS($1:5)),))</f>
        <v/>
      </c>
      <c r="C18" s="153" t="str">
        <f ca="1">IF(ROWS($1:5)&gt;COUNT(Dong1),"",IF(OFFSET(TH!N$1,SMALL(Dong1,ROWS($1:5)),)="1111",OFFSET(TH!D$1,SMALL(Dong1,ROWS($1:5)),),""))</f>
        <v/>
      </c>
      <c r="D18" s="154" t="str">
        <f ca="1">IF(ROWS($1:5)&gt;COUNT(Dong1),"",IF(OFFSET(TH!O$1,SMALL(Dong1,ROWS($1:5)),)="1111",OFFSET(TH!D$1,SMALL(Dong1,ROWS($1:5)),),""))</f>
        <v/>
      </c>
      <c r="E18" s="342" t="str">
        <f ca="1">IF(ROWS($1:5)&gt;COUNT(Dong1),"",OFFSET(TH!F$1,SMALL(Dong1,ROWS($1:5)),))</f>
        <v/>
      </c>
      <c r="F18" s="156" t="str">
        <f ca="1">IF(ROWS($1:5)&gt;COUNT(Dong1),"",IF(OFFSET(TH!O$1,SMALL(Dong1,ROWS($1:5)),)="1111",OFFSET(TH!N$1,SMALL(Dong1,ROWS($1:5)),),OFFSET(TH!O$1,SMALL(Dong1,ROWS($1:5)),)))</f>
        <v/>
      </c>
      <c r="G18" s="157" t="str">
        <f ca="1">IF(ROWS($1:5)&gt;COUNT(Dong1),"",IF(OFFSET(TH!N$1,SMALL(Dong1,ROWS($1:5)),)="1111",OFFSET(TH!M$1,SMALL(Dong1,ROWS($1:5)),),0))</f>
        <v/>
      </c>
      <c r="H18" s="155" t="str">
        <f ca="1">IF(ROWS($1:5)&gt;COUNT(Dong1),"",IF(OFFSET(TH!O$1,SMALL(Dong1,ROWS($1:5)),)="1111",OFFSET(TH!M$1,SMALL(Dong1,ROWS($1:5)),),0))</f>
        <v/>
      </c>
      <c r="I18" s="153">
        <f t="shared" ca="1" si="0"/>
        <v>0</v>
      </c>
      <c r="J18" s="158"/>
    </row>
    <row r="19" spans="1:10" s="143" customFormat="1" ht="19.5" customHeight="1">
      <c r="A19" s="152" t="str">
        <f ca="1">IF(ROWS($1:6)&gt;COUNT(Dong1),"",OFFSET(TH!C$1,SMALL(Dong1,ROWS($1:6)),))</f>
        <v/>
      </c>
      <c r="B19" s="152" t="str">
        <f ca="1">IF(ROWS($1:6)&gt;COUNT(Dong1),"",OFFSET(TH!E$1,SMALL(Dong1,ROWS($1:6)),))</f>
        <v/>
      </c>
      <c r="C19" s="153" t="str">
        <f ca="1">IF(ROWS($1:6)&gt;COUNT(Dong1),"",IF(OFFSET(TH!N$1,SMALL(Dong1,ROWS($1:6)),)="1111",OFFSET(TH!D$1,SMALL(Dong1,ROWS($1:6)),),""))</f>
        <v/>
      </c>
      <c r="D19" s="154" t="str">
        <f ca="1">IF(ROWS($1:6)&gt;COUNT(Dong1),"",IF(OFFSET(TH!O$1,SMALL(Dong1,ROWS($1:6)),)="1111",OFFSET(TH!D$1,SMALL(Dong1,ROWS($1:6)),),""))</f>
        <v/>
      </c>
      <c r="E19" s="342" t="str">
        <f ca="1">IF(ROWS($1:6)&gt;COUNT(Dong1),"",OFFSET(TH!F$1,SMALL(Dong1,ROWS($1:6)),))</f>
        <v/>
      </c>
      <c r="F19" s="156" t="str">
        <f ca="1">IF(ROWS($1:6)&gt;COUNT(Dong1),"",IF(OFFSET(TH!O$1,SMALL(Dong1,ROWS($1:6)),)="1111",OFFSET(TH!N$1,SMALL(Dong1,ROWS($1:6)),),OFFSET(TH!O$1,SMALL(Dong1,ROWS($1:6)),)))</f>
        <v/>
      </c>
      <c r="G19" s="157" t="str">
        <f ca="1">IF(ROWS($1:6)&gt;COUNT(Dong1),"",IF(OFFSET(TH!N$1,SMALL(Dong1,ROWS($1:6)),)="1111",OFFSET(TH!M$1,SMALL(Dong1,ROWS($1:6)),),0))</f>
        <v/>
      </c>
      <c r="H19" s="155" t="str">
        <f ca="1">IF(ROWS($1:6)&gt;COUNT(Dong1),"",IF(OFFSET(TH!O$1,SMALL(Dong1,ROWS($1:6)),)="1111",OFFSET(TH!M$1,SMALL(Dong1,ROWS($1:6)),),0))</f>
        <v/>
      </c>
      <c r="I19" s="153">
        <f t="shared" ca="1" si="0"/>
        <v>0</v>
      </c>
      <c r="J19" s="158"/>
    </row>
    <row r="20" spans="1:10" s="143" customFormat="1" ht="19.5" customHeight="1">
      <c r="A20" s="152" t="str">
        <f ca="1">IF(ROWS($1:7)&gt;COUNT(Dong1),"",OFFSET(TH!C$1,SMALL(Dong1,ROWS($1:7)),))</f>
        <v/>
      </c>
      <c r="B20" s="152" t="str">
        <f ca="1">IF(ROWS($1:7)&gt;COUNT(Dong1),"",OFFSET(TH!E$1,SMALL(Dong1,ROWS($1:7)),))</f>
        <v/>
      </c>
      <c r="C20" s="153" t="str">
        <f ca="1">IF(ROWS($1:7)&gt;COUNT(Dong1),"",IF(OFFSET(TH!N$1,SMALL(Dong1,ROWS($1:7)),)="1111",OFFSET(TH!D$1,SMALL(Dong1,ROWS($1:7)),),""))</f>
        <v/>
      </c>
      <c r="D20" s="154" t="str">
        <f ca="1">IF(ROWS($1:7)&gt;COUNT(Dong1),"",IF(OFFSET(TH!O$1,SMALL(Dong1,ROWS($1:7)),)="1111",OFFSET(TH!D$1,SMALL(Dong1,ROWS($1:7)),),""))</f>
        <v/>
      </c>
      <c r="E20" s="342" t="str">
        <f ca="1">IF(ROWS($1:7)&gt;COUNT(Dong1),"",OFFSET(TH!F$1,SMALL(Dong1,ROWS($1:7)),))</f>
        <v/>
      </c>
      <c r="F20" s="156" t="str">
        <f ca="1">IF(ROWS($1:7)&gt;COUNT(Dong1),"",IF(OFFSET(TH!O$1,SMALL(Dong1,ROWS($1:7)),)="1111",OFFSET(TH!N$1,SMALL(Dong1,ROWS($1:7)),),OFFSET(TH!O$1,SMALL(Dong1,ROWS($1:7)),)))</f>
        <v/>
      </c>
      <c r="G20" s="157" t="str">
        <f ca="1">IF(ROWS($1:7)&gt;COUNT(Dong1),"",IF(OFFSET(TH!N$1,SMALL(Dong1,ROWS($1:7)),)="1111",OFFSET(TH!M$1,SMALL(Dong1,ROWS($1:7)),),0))</f>
        <v/>
      </c>
      <c r="H20" s="155" t="str">
        <f ca="1">IF(ROWS($1:7)&gt;COUNT(Dong1),"",IF(OFFSET(TH!O$1,SMALL(Dong1,ROWS($1:7)),)="1111",OFFSET(TH!M$1,SMALL(Dong1,ROWS($1:7)),),0))</f>
        <v/>
      </c>
      <c r="I20" s="153">
        <f t="shared" ca="1" si="0"/>
        <v>0</v>
      </c>
      <c r="J20" s="158"/>
    </row>
    <row r="21" spans="1:10" s="143" customFormat="1" ht="19.5" customHeight="1">
      <c r="A21" s="152" t="str">
        <f ca="1">IF(ROWS($1:8)&gt;COUNT(Dong1),"",OFFSET(TH!C$1,SMALL(Dong1,ROWS($1:8)),))</f>
        <v/>
      </c>
      <c r="B21" s="152" t="str">
        <f ca="1">IF(ROWS($1:8)&gt;COUNT(Dong1),"",OFFSET(TH!E$1,SMALL(Dong1,ROWS($1:8)),))</f>
        <v/>
      </c>
      <c r="C21" s="153" t="str">
        <f ca="1">IF(ROWS($1:8)&gt;COUNT(Dong1),"",IF(OFFSET(TH!N$1,SMALL(Dong1,ROWS($1:8)),)="1111",OFFSET(TH!D$1,SMALL(Dong1,ROWS($1:8)),),""))</f>
        <v/>
      </c>
      <c r="D21" s="154" t="str">
        <f ca="1">IF(ROWS($1:8)&gt;COUNT(Dong1),"",IF(OFFSET(TH!O$1,SMALL(Dong1,ROWS($1:8)),)="1111",OFFSET(TH!D$1,SMALL(Dong1,ROWS($1:8)),),""))</f>
        <v/>
      </c>
      <c r="E21" s="342" t="str">
        <f ca="1">IF(ROWS($1:8)&gt;COUNT(Dong1),"",OFFSET(TH!F$1,SMALL(Dong1,ROWS($1:8)),))</f>
        <v/>
      </c>
      <c r="F21" s="156" t="str">
        <f ca="1">IF(ROWS($1:8)&gt;COUNT(Dong1),"",IF(OFFSET(TH!O$1,SMALL(Dong1,ROWS($1:8)),)="1111",OFFSET(TH!N$1,SMALL(Dong1,ROWS($1:8)),),OFFSET(TH!O$1,SMALL(Dong1,ROWS($1:8)),)))</f>
        <v/>
      </c>
      <c r="G21" s="157" t="str">
        <f ca="1">IF(ROWS($1:8)&gt;COUNT(Dong1),"",IF(OFFSET(TH!N$1,SMALL(Dong1,ROWS($1:8)),)="1111",OFFSET(TH!M$1,SMALL(Dong1,ROWS($1:8)),),0))</f>
        <v/>
      </c>
      <c r="H21" s="155" t="str">
        <f ca="1">IF(ROWS($1:8)&gt;COUNT(Dong1),"",IF(OFFSET(TH!O$1,SMALL(Dong1,ROWS($1:8)),)="1111",OFFSET(TH!M$1,SMALL(Dong1,ROWS($1:8)),),0))</f>
        <v/>
      </c>
      <c r="I21" s="153">
        <f t="shared" ca="1" si="0"/>
        <v>0</v>
      </c>
      <c r="J21" s="158"/>
    </row>
    <row r="22" spans="1:10" s="143" customFormat="1" ht="19.5" customHeight="1">
      <c r="A22" s="152" t="str">
        <f ca="1">IF(ROWS($1:9)&gt;COUNT(Dong1),"",OFFSET(TH!C$1,SMALL(Dong1,ROWS($1:9)),))</f>
        <v/>
      </c>
      <c r="B22" s="152" t="str">
        <f ca="1">IF(ROWS($1:9)&gt;COUNT(Dong1),"",OFFSET(TH!E$1,SMALL(Dong1,ROWS($1:9)),))</f>
        <v/>
      </c>
      <c r="C22" s="153" t="str">
        <f ca="1">IF(ROWS($1:9)&gt;COUNT(Dong1),"",IF(OFFSET(TH!N$1,SMALL(Dong1,ROWS($1:9)),)="1111",OFFSET(TH!D$1,SMALL(Dong1,ROWS($1:9)),),""))</f>
        <v/>
      </c>
      <c r="D22" s="154" t="str">
        <f ca="1">IF(ROWS($1:9)&gt;COUNT(Dong1),"",IF(OFFSET(TH!O$1,SMALL(Dong1,ROWS($1:9)),)="1111",OFFSET(TH!D$1,SMALL(Dong1,ROWS($1:9)),),""))</f>
        <v/>
      </c>
      <c r="E22" s="342" t="str">
        <f ca="1">IF(ROWS($1:9)&gt;COUNT(Dong1),"",OFFSET(TH!F$1,SMALL(Dong1,ROWS($1:9)),))</f>
        <v/>
      </c>
      <c r="F22" s="156" t="str">
        <f ca="1">IF(ROWS($1:9)&gt;COUNT(Dong1),"",IF(OFFSET(TH!O$1,SMALL(Dong1,ROWS($1:9)),)="1111",OFFSET(TH!N$1,SMALL(Dong1,ROWS($1:9)),),OFFSET(TH!O$1,SMALL(Dong1,ROWS($1:9)),)))</f>
        <v/>
      </c>
      <c r="G22" s="157" t="str">
        <f ca="1">IF(ROWS($1:9)&gt;COUNT(Dong1),"",IF(OFFSET(TH!N$1,SMALL(Dong1,ROWS($1:9)),)="1111",OFFSET(TH!M$1,SMALL(Dong1,ROWS($1:9)),),0))</f>
        <v/>
      </c>
      <c r="H22" s="155" t="str">
        <f ca="1">IF(ROWS($1:9)&gt;COUNT(Dong1),"",IF(OFFSET(TH!O$1,SMALL(Dong1,ROWS($1:9)),)="1111",OFFSET(TH!M$1,SMALL(Dong1,ROWS($1:9)),),0))</f>
        <v/>
      </c>
      <c r="I22" s="153">
        <f t="shared" ca="1" si="0"/>
        <v>0</v>
      </c>
      <c r="J22" s="158"/>
    </row>
    <row r="23" spans="1:10" s="143" customFormat="1" ht="19.5" customHeight="1">
      <c r="A23" s="152" t="str">
        <f ca="1">IF(ROWS($1:10)&gt;COUNT(Dong1),"",OFFSET(TH!C$1,SMALL(Dong1,ROWS($1:10)),))</f>
        <v/>
      </c>
      <c r="B23" s="152" t="str">
        <f ca="1">IF(ROWS($1:10)&gt;COUNT(Dong1),"",OFFSET(TH!E$1,SMALL(Dong1,ROWS($1:10)),))</f>
        <v/>
      </c>
      <c r="C23" s="153" t="str">
        <f ca="1">IF(ROWS($1:10)&gt;COUNT(Dong1),"",IF(OFFSET(TH!N$1,SMALL(Dong1,ROWS($1:10)),)="1111",OFFSET(TH!D$1,SMALL(Dong1,ROWS($1:10)),),""))</f>
        <v/>
      </c>
      <c r="D23" s="154" t="str">
        <f ca="1">IF(ROWS($1:10)&gt;COUNT(Dong1),"",IF(OFFSET(TH!O$1,SMALL(Dong1,ROWS($1:10)),)="1111",OFFSET(TH!D$1,SMALL(Dong1,ROWS($1:10)),),""))</f>
        <v/>
      </c>
      <c r="E23" s="342" t="str">
        <f ca="1">IF(ROWS($1:10)&gt;COUNT(Dong1),"",OFFSET(TH!F$1,SMALL(Dong1,ROWS($1:10)),))</f>
        <v/>
      </c>
      <c r="F23" s="156" t="str">
        <f ca="1">IF(ROWS($1:10)&gt;COUNT(Dong1),"",IF(OFFSET(TH!O$1,SMALL(Dong1,ROWS($1:10)),)="1111",OFFSET(TH!N$1,SMALL(Dong1,ROWS($1:10)),),OFFSET(TH!O$1,SMALL(Dong1,ROWS($1:10)),)))</f>
        <v/>
      </c>
      <c r="G23" s="157" t="str">
        <f ca="1">IF(ROWS($1:10)&gt;COUNT(Dong1),"",IF(OFFSET(TH!N$1,SMALL(Dong1,ROWS($1:10)),)="1111",OFFSET(TH!M$1,SMALL(Dong1,ROWS($1:10)),),0))</f>
        <v/>
      </c>
      <c r="H23" s="155" t="str">
        <f ca="1">IF(ROWS($1:10)&gt;COUNT(Dong1),"",IF(OFFSET(TH!O$1,SMALL(Dong1,ROWS($1:10)),)="1111",OFFSET(TH!M$1,SMALL(Dong1,ROWS($1:10)),),0))</f>
        <v/>
      </c>
      <c r="I23" s="153">
        <f t="shared" ca="1" si="0"/>
        <v>0</v>
      </c>
      <c r="J23" s="158"/>
    </row>
    <row r="24" spans="1:10" s="143" customFormat="1" ht="19.5" customHeight="1">
      <c r="A24" s="152" t="str">
        <f ca="1">IF(ROWS($1:11)&gt;COUNT(Dong1),"",OFFSET(TH!C$1,SMALL(Dong1,ROWS($1:11)),))</f>
        <v/>
      </c>
      <c r="B24" s="152" t="str">
        <f ca="1">IF(ROWS($1:11)&gt;COUNT(Dong1),"",OFFSET(TH!E$1,SMALL(Dong1,ROWS($1:11)),))</f>
        <v/>
      </c>
      <c r="C24" s="153" t="str">
        <f ca="1">IF(ROWS($1:11)&gt;COUNT(Dong1),"",IF(OFFSET(TH!N$1,SMALL(Dong1,ROWS($1:11)),)="1111",OFFSET(TH!D$1,SMALL(Dong1,ROWS($1:11)),),""))</f>
        <v/>
      </c>
      <c r="D24" s="154" t="str">
        <f ca="1">IF(ROWS($1:11)&gt;COUNT(Dong1),"",IF(OFFSET(TH!O$1,SMALL(Dong1,ROWS($1:11)),)="1111",OFFSET(TH!D$1,SMALL(Dong1,ROWS($1:11)),),""))</f>
        <v/>
      </c>
      <c r="E24" s="342" t="str">
        <f ca="1">IF(ROWS($1:11)&gt;COUNT(Dong1),"",OFFSET(TH!F$1,SMALL(Dong1,ROWS($1:11)),))</f>
        <v/>
      </c>
      <c r="F24" s="156" t="str">
        <f ca="1">IF(ROWS($1:11)&gt;COUNT(Dong1),"",IF(OFFSET(TH!O$1,SMALL(Dong1,ROWS($1:11)),)="1111",OFFSET(TH!N$1,SMALL(Dong1,ROWS($1:11)),),OFFSET(TH!O$1,SMALL(Dong1,ROWS($1:11)),)))</f>
        <v/>
      </c>
      <c r="G24" s="157" t="str">
        <f ca="1">IF(ROWS($1:11)&gt;COUNT(Dong1),"",IF(OFFSET(TH!N$1,SMALL(Dong1,ROWS($1:11)),)="1111",OFFSET(TH!M$1,SMALL(Dong1,ROWS($1:11)),),0))</f>
        <v/>
      </c>
      <c r="H24" s="155" t="str">
        <f ca="1">IF(ROWS($1:11)&gt;COUNT(Dong1),"",IF(OFFSET(TH!O$1,SMALL(Dong1,ROWS($1:11)),)="1111",OFFSET(TH!M$1,SMALL(Dong1,ROWS($1:11)),),0))</f>
        <v/>
      </c>
      <c r="I24" s="153">
        <f t="shared" ca="1" si="0"/>
        <v>0</v>
      </c>
      <c r="J24" s="158"/>
    </row>
    <row r="25" spans="1:10" s="143" customFormat="1" ht="19.5" customHeight="1">
      <c r="A25" s="152" t="str">
        <f ca="1">IF(ROWS($1:12)&gt;COUNT(Dong1),"",OFFSET(TH!C$1,SMALL(Dong1,ROWS($1:12)),))</f>
        <v/>
      </c>
      <c r="B25" s="152" t="str">
        <f ca="1">IF(ROWS($1:12)&gt;COUNT(Dong1),"",OFFSET(TH!E$1,SMALL(Dong1,ROWS($1:12)),))</f>
        <v/>
      </c>
      <c r="C25" s="153" t="str">
        <f ca="1">IF(ROWS($1:12)&gt;COUNT(Dong1),"",IF(OFFSET(TH!N$1,SMALL(Dong1,ROWS($1:12)),)="1111",OFFSET(TH!D$1,SMALL(Dong1,ROWS($1:12)),),""))</f>
        <v/>
      </c>
      <c r="D25" s="154" t="str">
        <f ca="1">IF(ROWS($1:12)&gt;COUNT(Dong1),"",IF(OFFSET(TH!O$1,SMALL(Dong1,ROWS($1:12)),)="1111",OFFSET(TH!D$1,SMALL(Dong1,ROWS($1:12)),),""))</f>
        <v/>
      </c>
      <c r="E25" s="342" t="str">
        <f ca="1">IF(ROWS($1:12)&gt;COUNT(Dong1),"",OFFSET(TH!F$1,SMALL(Dong1,ROWS($1:12)),))</f>
        <v/>
      </c>
      <c r="F25" s="156" t="str">
        <f ca="1">IF(ROWS($1:12)&gt;COUNT(Dong1),"",IF(OFFSET(TH!O$1,SMALL(Dong1,ROWS($1:12)),)="1111",OFFSET(TH!N$1,SMALL(Dong1,ROWS($1:12)),),OFFSET(TH!O$1,SMALL(Dong1,ROWS($1:12)),)))</f>
        <v/>
      </c>
      <c r="G25" s="157" t="str">
        <f ca="1">IF(ROWS($1:12)&gt;COUNT(Dong1),"",IF(OFFSET(TH!N$1,SMALL(Dong1,ROWS($1:12)),)="1111",OFFSET(TH!M$1,SMALL(Dong1,ROWS($1:12)),),0))</f>
        <v/>
      </c>
      <c r="H25" s="155" t="str">
        <f ca="1">IF(ROWS($1:12)&gt;COUNT(Dong1),"",IF(OFFSET(TH!O$1,SMALL(Dong1,ROWS($1:12)),)="1111",OFFSET(TH!M$1,SMALL(Dong1,ROWS($1:12)),),0))</f>
        <v/>
      </c>
      <c r="I25" s="153">
        <f t="shared" ca="1" si="0"/>
        <v>0</v>
      </c>
      <c r="J25" s="158"/>
    </row>
    <row r="26" spans="1:10" s="143" customFormat="1" ht="19.5" customHeight="1">
      <c r="A26" s="152" t="str">
        <f ca="1">IF(ROWS($1:13)&gt;COUNT(Dong1),"",OFFSET(TH!C$1,SMALL(Dong1,ROWS($1:13)),))</f>
        <v/>
      </c>
      <c r="B26" s="152" t="str">
        <f ca="1">IF(ROWS($1:13)&gt;COUNT(Dong1),"",OFFSET(TH!E$1,SMALL(Dong1,ROWS($1:13)),))</f>
        <v/>
      </c>
      <c r="C26" s="153" t="str">
        <f ca="1">IF(ROWS($1:13)&gt;COUNT(Dong1),"",IF(OFFSET(TH!N$1,SMALL(Dong1,ROWS($1:13)),)="1111",OFFSET(TH!D$1,SMALL(Dong1,ROWS($1:13)),),""))</f>
        <v/>
      </c>
      <c r="D26" s="154" t="str">
        <f ca="1">IF(ROWS($1:13)&gt;COUNT(Dong1),"",IF(OFFSET(TH!O$1,SMALL(Dong1,ROWS($1:13)),)="1111",OFFSET(TH!D$1,SMALL(Dong1,ROWS($1:13)),),""))</f>
        <v/>
      </c>
      <c r="E26" s="342" t="str">
        <f ca="1">IF(ROWS($1:13)&gt;COUNT(Dong1),"",OFFSET(TH!F$1,SMALL(Dong1,ROWS($1:13)),))</f>
        <v/>
      </c>
      <c r="F26" s="156" t="str">
        <f ca="1">IF(ROWS($1:13)&gt;COUNT(Dong1),"",IF(OFFSET(TH!O$1,SMALL(Dong1,ROWS($1:13)),)="1111",OFFSET(TH!N$1,SMALL(Dong1,ROWS($1:13)),),OFFSET(TH!O$1,SMALL(Dong1,ROWS($1:13)),)))</f>
        <v/>
      </c>
      <c r="G26" s="157" t="str">
        <f ca="1">IF(ROWS($1:13)&gt;COUNT(Dong1),"",IF(OFFSET(TH!N$1,SMALL(Dong1,ROWS($1:13)),)="1111",OFFSET(TH!M$1,SMALL(Dong1,ROWS($1:13)),),0))</f>
        <v/>
      </c>
      <c r="H26" s="155" t="str">
        <f ca="1">IF(ROWS($1:13)&gt;COUNT(Dong1),"",IF(OFFSET(TH!O$1,SMALL(Dong1,ROWS($1:13)),)="1111",OFFSET(TH!M$1,SMALL(Dong1,ROWS($1:13)),),0))</f>
        <v/>
      </c>
      <c r="I26" s="153">
        <f t="shared" ca="1" si="0"/>
        <v>0</v>
      </c>
      <c r="J26" s="158"/>
    </row>
    <row r="27" spans="1:10" s="143" customFormat="1" ht="19.5" customHeight="1">
      <c r="A27" s="152" t="str">
        <f ca="1">IF(ROWS($1:14)&gt;COUNT(Dong1),"",OFFSET(TH!C$1,SMALL(Dong1,ROWS($1:14)),))</f>
        <v/>
      </c>
      <c r="B27" s="152" t="str">
        <f ca="1">IF(ROWS($1:14)&gt;COUNT(Dong1),"",OFFSET(TH!E$1,SMALL(Dong1,ROWS($1:14)),))</f>
        <v/>
      </c>
      <c r="C27" s="153" t="str">
        <f ca="1">IF(ROWS($1:14)&gt;COUNT(Dong1),"",IF(OFFSET(TH!N$1,SMALL(Dong1,ROWS($1:14)),)="1111",OFFSET(TH!D$1,SMALL(Dong1,ROWS($1:14)),),""))</f>
        <v/>
      </c>
      <c r="D27" s="154" t="str">
        <f ca="1">IF(ROWS($1:14)&gt;COUNT(Dong1),"",IF(OFFSET(TH!O$1,SMALL(Dong1,ROWS($1:14)),)="1111",OFFSET(TH!D$1,SMALL(Dong1,ROWS($1:14)),),""))</f>
        <v/>
      </c>
      <c r="E27" s="342" t="str">
        <f ca="1">IF(ROWS($1:14)&gt;COUNT(Dong1),"",OFFSET(TH!F$1,SMALL(Dong1,ROWS($1:14)),))</f>
        <v/>
      </c>
      <c r="F27" s="156" t="str">
        <f ca="1">IF(ROWS($1:14)&gt;COUNT(Dong1),"",IF(OFFSET(TH!O$1,SMALL(Dong1,ROWS($1:14)),)="1111",OFFSET(TH!N$1,SMALL(Dong1,ROWS($1:14)),),OFFSET(TH!O$1,SMALL(Dong1,ROWS($1:14)),)))</f>
        <v/>
      </c>
      <c r="G27" s="157" t="str">
        <f ca="1">IF(ROWS($1:14)&gt;COUNT(Dong1),"",IF(OFFSET(TH!N$1,SMALL(Dong1,ROWS($1:14)),)="1111",OFFSET(TH!M$1,SMALL(Dong1,ROWS($1:14)),),0))</f>
        <v/>
      </c>
      <c r="H27" s="155" t="str">
        <f ca="1">IF(ROWS($1:14)&gt;COUNT(Dong1),"",IF(OFFSET(TH!O$1,SMALL(Dong1,ROWS($1:14)),)="1111",OFFSET(TH!M$1,SMALL(Dong1,ROWS($1:14)),),0))</f>
        <v/>
      </c>
      <c r="I27" s="153">
        <f t="shared" ca="1" si="0"/>
        <v>0</v>
      </c>
      <c r="J27" s="158"/>
    </row>
    <row r="28" spans="1:10" s="143" customFormat="1" ht="19.5" customHeight="1">
      <c r="A28" s="152" t="str">
        <f ca="1">IF(ROWS($1:15)&gt;COUNT(Dong1),"",OFFSET(TH!C$1,SMALL(Dong1,ROWS($1:15)),))</f>
        <v/>
      </c>
      <c r="B28" s="152" t="str">
        <f ca="1">IF(ROWS($1:15)&gt;COUNT(Dong1),"",OFFSET(TH!E$1,SMALL(Dong1,ROWS($1:15)),))</f>
        <v/>
      </c>
      <c r="C28" s="153" t="str">
        <f ca="1">IF(ROWS($1:15)&gt;COUNT(Dong1),"",IF(OFFSET(TH!N$1,SMALL(Dong1,ROWS($1:15)),)="1111",OFFSET(TH!D$1,SMALL(Dong1,ROWS($1:15)),),""))</f>
        <v/>
      </c>
      <c r="D28" s="154" t="str">
        <f ca="1">IF(ROWS($1:15)&gt;COUNT(Dong1),"",IF(OFFSET(TH!O$1,SMALL(Dong1,ROWS($1:15)),)="1111",OFFSET(TH!D$1,SMALL(Dong1,ROWS($1:15)),),""))</f>
        <v/>
      </c>
      <c r="E28" s="342" t="str">
        <f ca="1">IF(ROWS($1:15)&gt;COUNT(Dong1),"",OFFSET(TH!F$1,SMALL(Dong1,ROWS($1:15)),))</f>
        <v/>
      </c>
      <c r="F28" s="156" t="str">
        <f ca="1">IF(ROWS($1:15)&gt;COUNT(Dong1),"",IF(OFFSET(TH!O$1,SMALL(Dong1,ROWS($1:15)),)="1111",OFFSET(TH!N$1,SMALL(Dong1,ROWS($1:15)),),OFFSET(TH!O$1,SMALL(Dong1,ROWS($1:15)),)))</f>
        <v/>
      </c>
      <c r="G28" s="157" t="str">
        <f ca="1">IF(ROWS($1:15)&gt;COUNT(Dong1),"",IF(OFFSET(TH!N$1,SMALL(Dong1,ROWS($1:15)),)="1111",OFFSET(TH!M$1,SMALL(Dong1,ROWS($1:15)),),0))</f>
        <v/>
      </c>
      <c r="H28" s="155" t="str">
        <f ca="1">IF(ROWS($1:15)&gt;COUNT(Dong1),"",IF(OFFSET(TH!O$1,SMALL(Dong1,ROWS($1:15)),)="1111",OFFSET(TH!M$1,SMALL(Dong1,ROWS($1:15)),),0))</f>
        <v/>
      </c>
      <c r="I28" s="153">
        <f t="shared" ca="1" si="0"/>
        <v>0</v>
      </c>
      <c r="J28" s="158"/>
    </row>
    <row r="29" spans="1:10" s="143" customFormat="1" ht="19.5" customHeight="1">
      <c r="A29" s="152" t="str">
        <f ca="1">IF(ROWS($1:16)&gt;COUNT(Dong1),"",OFFSET(TH!C$1,SMALL(Dong1,ROWS($1:16)),))</f>
        <v/>
      </c>
      <c r="B29" s="152" t="str">
        <f ca="1">IF(ROWS($1:16)&gt;COUNT(Dong1),"",OFFSET(TH!E$1,SMALL(Dong1,ROWS($1:16)),))</f>
        <v/>
      </c>
      <c r="C29" s="153" t="str">
        <f ca="1">IF(ROWS($1:16)&gt;COUNT(Dong1),"",IF(OFFSET(TH!N$1,SMALL(Dong1,ROWS($1:16)),)="1111",OFFSET(TH!D$1,SMALL(Dong1,ROWS($1:16)),),""))</f>
        <v/>
      </c>
      <c r="D29" s="154" t="str">
        <f ca="1">IF(ROWS($1:16)&gt;COUNT(Dong1),"",IF(OFFSET(TH!O$1,SMALL(Dong1,ROWS($1:16)),)="1111",OFFSET(TH!D$1,SMALL(Dong1,ROWS($1:16)),),""))</f>
        <v/>
      </c>
      <c r="E29" s="342" t="str">
        <f ca="1">IF(ROWS($1:16)&gt;COUNT(Dong1),"",OFFSET(TH!F$1,SMALL(Dong1,ROWS($1:16)),))</f>
        <v/>
      </c>
      <c r="F29" s="156" t="str">
        <f ca="1">IF(ROWS($1:16)&gt;COUNT(Dong1),"",IF(OFFSET(TH!O$1,SMALL(Dong1,ROWS($1:16)),)="1111",OFFSET(TH!N$1,SMALL(Dong1,ROWS($1:16)),),OFFSET(TH!O$1,SMALL(Dong1,ROWS($1:16)),)))</f>
        <v/>
      </c>
      <c r="G29" s="157" t="str">
        <f ca="1">IF(ROWS($1:16)&gt;COUNT(Dong1),"",IF(OFFSET(TH!N$1,SMALL(Dong1,ROWS($1:16)),)="1111",OFFSET(TH!M$1,SMALL(Dong1,ROWS($1:16)),),0))</f>
        <v/>
      </c>
      <c r="H29" s="155" t="str">
        <f ca="1">IF(ROWS($1:16)&gt;COUNT(Dong1),"",IF(OFFSET(TH!O$1,SMALL(Dong1,ROWS($1:16)),)="1111",OFFSET(TH!M$1,SMALL(Dong1,ROWS($1:16)),),0))</f>
        <v/>
      </c>
      <c r="I29" s="153">
        <f t="shared" ca="1" si="0"/>
        <v>0</v>
      </c>
      <c r="J29" s="158"/>
    </row>
    <row r="30" spans="1:10" s="143" customFormat="1" ht="19.5" customHeight="1">
      <c r="A30" s="152" t="str">
        <f ca="1">IF(ROWS($1:17)&gt;COUNT(Dong1),"",OFFSET(TH!C$1,SMALL(Dong1,ROWS($1:17)),))</f>
        <v/>
      </c>
      <c r="B30" s="152" t="str">
        <f ca="1">IF(ROWS($1:17)&gt;COUNT(Dong1),"",OFFSET(TH!E$1,SMALL(Dong1,ROWS($1:17)),))</f>
        <v/>
      </c>
      <c r="C30" s="153" t="str">
        <f ca="1">IF(ROWS($1:17)&gt;COUNT(Dong1),"",IF(OFFSET(TH!N$1,SMALL(Dong1,ROWS($1:17)),)="1111",OFFSET(TH!D$1,SMALL(Dong1,ROWS($1:17)),),""))</f>
        <v/>
      </c>
      <c r="D30" s="154" t="str">
        <f ca="1">IF(ROWS($1:17)&gt;COUNT(Dong1),"",IF(OFFSET(TH!O$1,SMALL(Dong1,ROWS($1:17)),)="1111",OFFSET(TH!D$1,SMALL(Dong1,ROWS($1:17)),),""))</f>
        <v/>
      </c>
      <c r="E30" s="342" t="str">
        <f ca="1">IF(ROWS($1:17)&gt;COUNT(Dong1),"",OFFSET(TH!F$1,SMALL(Dong1,ROWS($1:17)),))</f>
        <v/>
      </c>
      <c r="F30" s="156" t="str">
        <f ca="1">IF(ROWS($1:17)&gt;COUNT(Dong1),"",IF(OFFSET(TH!O$1,SMALL(Dong1,ROWS($1:17)),)="1111",OFFSET(TH!N$1,SMALL(Dong1,ROWS($1:17)),),OFFSET(TH!O$1,SMALL(Dong1,ROWS($1:17)),)))</f>
        <v/>
      </c>
      <c r="G30" s="157" t="str">
        <f ca="1">IF(ROWS($1:17)&gt;COUNT(Dong1),"",IF(OFFSET(TH!N$1,SMALL(Dong1,ROWS($1:17)),)="1111",OFFSET(TH!M$1,SMALL(Dong1,ROWS($1:17)),),0))</f>
        <v/>
      </c>
      <c r="H30" s="155" t="str">
        <f ca="1">IF(ROWS($1:17)&gt;COUNT(Dong1),"",IF(OFFSET(TH!O$1,SMALL(Dong1,ROWS($1:17)),)="1111",OFFSET(TH!M$1,SMALL(Dong1,ROWS($1:17)),),0))</f>
        <v/>
      </c>
      <c r="I30" s="153">
        <f t="shared" ca="1" si="0"/>
        <v>0</v>
      </c>
      <c r="J30" s="158"/>
    </row>
    <row r="31" spans="1:10" s="143" customFormat="1" ht="19.5" customHeight="1">
      <c r="A31" s="152" t="str">
        <f ca="1">IF(ROWS($1:18)&gt;COUNT(Dong1),"",OFFSET(TH!C$1,SMALL(Dong1,ROWS($1:18)),))</f>
        <v/>
      </c>
      <c r="B31" s="152" t="str">
        <f ca="1">IF(ROWS($1:18)&gt;COUNT(Dong1),"",OFFSET(TH!E$1,SMALL(Dong1,ROWS($1:18)),))</f>
        <v/>
      </c>
      <c r="C31" s="153" t="str">
        <f ca="1">IF(ROWS($1:18)&gt;COUNT(Dong1),"",IF(OFFSET(TH!N$1,SMALL(Dong1,ROWS($1:18)),)="1111",OFFSET(TH!D$1,SMALL(Dong1,ROWS($1:18)),),""))</f>
        <v/>
      </c>
      <c r="D31" s="154" t="str">
        <f ca="1">IF(ROWS($1:18)&gt;COUNT(Dong1),"",IF(OFFSET(TH!O$1,SMALL(Dong1,ROWS($1:18)),)="1111",OFFSET(TH!D$1,SMALL(Dong1,ROWS($1:18)),),""))</f>
        <v/>
      </c>
      <c r="E31" s="342" t="str">
        <f ca="1">IF(ROWS($1:18)&gt;COUNT(Dong1),"",OFFSET(TH!F$1,SMALL(Dong1,ROWS($1:18)),))</f>
        <v/>
      </c>
      <c r="F31" s="156" t="str">
        <f ca="1">IF(ROWS($1:18)&gt;COUNT(Dong1),"",IF(OFFSET(TH!O$1,SMALL(Dong1,ROWS($1:18)),)="1111",OFFSET(TH!N$1,SMALL(Dong1,ROWS($1:18)),),OFFSET(TH!O$1,SMALL(Dong1,ROWS($1:18)),)))</f>
        <v/>
      </c>
      <c r="G31" s="157" t="str">
        <f ca="1">IF(ROWS($1:18)&gt;COUNT(Dong1),"",IF(OFFSET(TH!N$1,SMALL(Dong1,ROWS($1:18)),)="1111",OFFSET(TH!M$1,SMALL(Dong1,ROWS($1:18)),),0))</f>
        <v/>
      </c>
      <c r="H31" s="155" t="str">
        <f ca="1">IF(ROWS($1:18)&gt;COUNT(Dong1),"",IF(OFFSET(TH!O$1,SMALL(Dong1,ROWS($1:18)),)="1111",OFFSET(TH!M$1,SMALL(Dong1,ROWS($1:18)),),0))</f>
        <v/>
      </c>
      <c r="I31" s="153">
        <f t="shared" ca="1" si="0"/>
        <v>0</v>
      </c>
      <c r="J31" s="158"/>
    </row>
    <row r="32" spans="1:10" s="143" customFormat="1" ht="19.5" customHeight="1">
      <c r="A32" s="152" t="str">
        <f ca="1">IF(ROWS($1:19)&gt;COUNT(Dong1),"",OFFSET(TH!C$1,SMALL(Dong1,ROWS($1:19)),))</f>
        <v/>
      </c>
      <c r="B32" s="152" t="str">
        <f ca="1">IF(ROWS($1:19)&gt;COUNT(Dong1),"",OFFSET(TH!E$1,SMALL(Dong1,ROWS($1:19)),))</f>
        <v/>
      </c>
      <c r="C32" s="153" t="str">
        <f ca="1">IF(ROWS($1:19)&gt;COUNT(Dong1),"",IF(OFFSET(TH!N$1,SMALL(Dong1,ROWS($1:19)),)="1111",OFFSET(TH!D$1,SMALL(Dong1,ROWS($1:19)),),""))</f>
        <v/>
      </c>
      <c r="D32" s="154" t="str">
        <f ca="1">IF(ROWS($1:19)&gt;COUNT(Dong1),"",IF(OFFSET(TH!O$1,SMALL(Dong1,ROWS($1:19)),)="1111",OFFSET(TH!D$1,SMALL(Dong1,ROWS($1:19)),),""))</f>
        <v/>
      </c>
      <c r="E32" s="342" t="str">
        <f ca="1">IF(ROWS($1:19)&gt;COUNT(Dong1),"",OFFSET(TH!F$1,SMALL(Dong1,ROWS($1:19)),))</f>
        <v/>
      </c>
      <c r="F32" s="156" t="str">
        <f ca="1">IF(ROWS($1:19)&gt;COUNT(Dong1),"",IF(OFFSET(TH!O$1,SMALL(Dong1,ROWS($1:19)),)="1111",OFFSET(TH!N$1,SMALL(Dong1,ROWS($1:19)),),OFFSET(TH!O$1,SMALL(Dong1,ROWS($1:19)),)))</f>
        <v/>
      </c>
      <c r="G32" s="157" t="str">
        <f ca="1">IF(ROWS($1:19)&gt;COUNT(Dong1),"",IF(OFFSET(TH!N$1,SMALL(Dong1,ROWS($1:19)),)="1111",OFFSET(TH!M$1,SMALL(Dong1,ROWS($1:19)),),0))</f>
        <v/>
      </c>
      <c r="H32" s="155" t="str">
        <f ca="1">IF(ROWS($1:19)&gt;COUNT(Dong1),"",IF(OFFSET(TH!O$1,SMALL(Dong1,ROWS($1:19)),)="1111",OFFSET(TH!M$1,SMALL(Dong1,ROWS($1:19)),),0))</f>
        <v/>
      </c>
      <c r="I32" s="153">
        <f t="shared" ca="1" si="0"/>
        <v>0</v>
      </c>
      <c r="J32" s="158"/>
    </row>
    <row r="33" spans="1:10" s="143" customFormat="1" ht="19.5" customHeight="1">
      <c r="A33" s="152" t="str">
        <f ca="1">IF(ROWS($1:20)&gt;COUNT(Dong1),"",OFFSET(TH!C$1,SMALL(Dong1,ROWS($1:20)),))</f>
        <v/>
      </c>
      <c r="B33" s="152" t="str">
        <f ca="1">IF(ROWS($1:20)&gt;COUNT(Dong1),"",OFFSET(TH!E$1,SMALL(Dong1,ROWS($1:20)),))</f>
        <v/>
      </c>
      <c r="C33" s="153" t="str">
        <f ca="1">IF(ROWS($1:20)&gt;COUNT(Dong1),"",IF(OFFSET(TH!N$1,SMALL(Dong1,ROWS($1:20)),)="1111",OFFSET(TH!D$1,SMALL(Dong1,ROWS($1:20)),),""))</f>
        <v/>
      </c>
      <c r="D33" s="154" t="str">
        <f ca="1">IF(ROWS($1:20)&gt;COUNT(Dong1),"",IF(OFFSET(TH!O$1,SMALL(Dong1,ROWS($1:20)),)="1111",OFFSET(TH!D$1,SMALL(Dong1,ROWS($1:20)),),""))</f>
        <v/>
      </c>
      <c r="E33" s="342" t="str">
        <f ca="1">IF(ROWS($1:20)&gt;COUNT(Dong1),"",OFFSET(TH!F$1,SMALL(Dong1,ROWS($1:20)),))</f>
        <v/>
      </c>
      <c r="F33" s="156" t="str">
        <f ca="1">IF(ROWS($1:20)&gt;COUNT(Dong1),"",IF(OFFSET(TH!O$1,SMALL(Dong1,ROWS($1:20)),)="1111",OFFSET(TH!N$1,SMALL(Dong1,ROWS($1:20)),),OFFSET(TH!O$1,SMALL(Dong1,ROWS($1:20)),)))</f>
        <v/>
      </c>
      <c r="G33" s="157" t="str">
        <f ca="1">IF(ROWS($1:20)&gt;COUNT(Dong1),"",IF(OFFSET(TH!N$1,SMALL(Dong1,ROWS($1:20)),)="1111",OFFSET(TH!M$1,SMALL(Dong1,ROWS($1:20)),),0))</f>
        <v/>
      </c>
      <c r="H33" s="155" t="str">
        <f ca="1">IF(ROWS($1:20)&gt;COUNT(Dong1),"",IF(OFFSET(TH!O$1,SMALL(Dong1,ROWS($1:20)),)="1111",OFFSET(TH!M$1,SMALL(Dong1,ROWS($1:20)),),0))</f>
        <v/>
      </c>
      <c r="I33" s="153">
        <f t="shared" ca="1" si="0"/>
        <v>0</v>
      </c>
      <c r="J33" s="158"/>
    </row>
    <row r="34" spans="1:10" s="143" customFormat="1" ht="19.5" customHeight="1">
      <c r="A34" s="152" t="str">
        <f ca="1">IF(ROWS($1:21)&gt;COUNT(Dong1),"",OFFSET(TH!C$1,SMALL(Dong1,ROWS($1:21)),))</f>
        <v/>
      </c>
      <c r="B34" s="152" t="str">
        <f ca="1">IF(ROWS($1:21)&gt;COUNT(Dong1),"",OFFSET(TH!E$1,SMALL(Dong1,ROWS($1:21)),))</f>
        <v/>
      </c>
      <c r="C34" s="153" t="str">
        <f ca="1">IF(ROWS($1:21)&gt;COUNT(Dong1),"",IF(OFFSET(TH!N$1,SMALL(Dong1,ROWS($1:21)),)="1111",OFFSET(TH!D$1,SMALL(Dong1,ROWS($1:21)),),""))</f>
        <v/>
      </c>
      <c r="D34" s="154" t="str">
        <f ca="1">IF(ROWS($1:21)&gt;COUNT(Dong1),"",IF(OFFSET(TH!O$1,SMALL(Dong1,ROWS($1:21)),)="1111",OFFSET(TH!D$1,SMALL(Dong1,ROWS($1:21)),),""))</f>
        <v/>
      </c>
      <c r="E34" s="342" t="str">
        <f ca="1">IF(ROWS($1:21)&gt;COUNT(Dong1),"",OFFSET(TH!F$1,SMALL(Dong1,ROWS($1:21)),))</f>
        <v/>
      </c>
      <c r="F34" s="156" t="str">
        <f ca="1">IF(ROWS($1:21)&gt;COUNT(Dong1),"",IF(OFFSET(TH!O$1,SMALL(Dong1,ROWS($1:21)),)="1111",OFFSET(TH!N$1,SMALL(Dong1,ROWS($1:21)),),OFFSET(TH!O$1,SMALL(Dong1,ROWS($1:21)),)))</f>
        <v/>
      </c>
      <c r="G34" s="157" t="str">
        <f ca="1">IF(ROWS($1:21)&gt;COUNT(Dong1),"",IF(OFFSET(TH!N$1,SMALL(Dong1,ROWS($1:21)),)="1111",OFFSET(TH!M$1,SMALL(Dong1,ROWS($1:21)),),0))</f>
        <v/>
      </c>
      <c r="H34" s="155" t="str">
        <f ca="1">IF(ROWS($1:21)&gt;COUNT(Dong1),"",IF(OFFSET(TH!O$1,SMALL(Dong1,ROWS($1:21)),)="1111",OFFSET(TH!M$1,SMALL(Dong1,ROWS($1:21)),),0))</f>
        <v/>
      </c>
      <c r="I34" s="153">
        <f t="shared" ca="1" si="0"/>
        <v>0</v>
      </c>
      <c r="J34" s="158"/>
    </row>
    <row r="35" spans="1:10" s="143" customFormat="1" ht="19.5" customHeight="1">
      <c r="A35" s="152" t="str">
        <f ca="1">IF(ROWS($1:22)&gt;COUNT(Dong1),"",OFFSET(TH!C$1,SMALL(Dong1,ROWS($1:22)),))</f>
        <v/>
      </c>
      <c r="B35" s="152" t="str">
        <f ca="1">IF(ROWS($1:22)&gt;COUNT(Dong1),"",OFFSET(TH!E$1,SMALL(Dong1,ROWS($1:22)),))</f>
        <v/>
      </c>
      <c r="C35" s="153" t="str">
        <f ca="1">IF(ROWS($1:22)&gt;COUNT(Dong1),"",IF(OFFSET(TH!N$1,SMALL(Dong1,ROWS($1:22)),)="1111",OFFSET(TH!D$1,SMALL(Dong1,ROWS($1:22)),),""))</f>
        <v/>
      </c>
      <c r="D35" s="154" t="str">
        <f ca="1">IF(ROWS($1:22)&gt;COUNT(Dong1),"",IF(OFFSET(TH!O$1,SMALL(Dong1,ROWS($1:22)),)="1111",OFFSET(TH!D$1,SMALL(Dong1,ROWS($1:22)),),""))</f>
        <v/>
      </c>
      <c r="E35" s="342" t="str">
        <f ca="1">IF(ROWS($1:22)&gt;COUNT(Dong1),"",OFFSET(TH!F$1,SMALL(Dong1,ROWS($1:22)),))</f>
        <v/>
      </c>
      <c r="F35" s="156" t="str">
        <f ca="1">IF(ROWS($1:22)&gt;COUNT(Dong1),"",IF(OFFSET(TH!O$1,SMALL(Dong1,ROWS($1:22)),)="1111",OFFSET(TH!N$1,SMALL(Dong1,ROWS($1:22)),),OFFSET(TH!O$1,SMALL(Dong1,ROWS($1:22)),)))</f>
        <v/>
      </c>
      <c r="G35" s="157" t="str">
        <f ca="1">IF(ROWS($1:22)&gt;COUNT(Dong1),"",IF(OFFSET(TH!N$1,SMALL(Dong1,ROWS($1:22)),)="1111",OFFSET(TH!M$1,SMALL(Dong1,ROWS($1:22)),),0))</f>
        <v/>
      </c>
      <c r="H35" s="155" t="str">
        <f ca="1">IF(ROWS($1:22)&gt;COUNT(Dong1),"",IF(OFFSET(TH!O$1,SMALL(Dong1,ROWS($1:22)),)="1111",OFFSET(TH!M$1,SMALL(Dong1,ROWS($1:22)),),0))</f>
        <v/>
      </c>
      <c r="I35" s="153">
        <f t="shared" ca="1" si="0"/>
        <v>0</v>
      </c>
      <c r="J35" s="158"/>
    </row>
    <row r="36" spans="1:10" s="143" customFormat="1" ht="19.5" customHeight="1">
      <c r="A36" s="152" t="str">
        <f ca="1">IF(ROWS($1:23)&gt;COUNT(Dong1),"",OFFSET(TH!C$1,SMALL(Dong1,ROWS($1:23)),))</f>
        <v/>
      </c>
      <c r="B36" s="152" t="str">
        <f ca="1">IF(ROWS($1:23)&gt;COUNT(Dong1),"",OFFSET(TH!E$1,SMALL(Dong1,ROWS($1:23)),))</f>
        <v/>
      </c>
      <c r="C36" s="153" t="str">
        <f ca="1">IF(ROWS($1:23)&gt;COUNT(Dong1),"",IF(OFFSET(TH!N$1,SMALL(Dong1,ROWS($1:23)),)="1111",OFFSET(TH!D$1,SMALL(Dong1,ROWS($1:23)),),""))</f>
        <v/>
      </c>
      <c r="D36" s="154" t="str">
        <f ca="1">IF(ROWS($1:23)&gt;COUNT(Dong1),"",IF(OFFSET(TH!O$1,SMALL(Dong1,ROWS($1:23)),)="1111",OFFSET(TH!D$1,SMALL(Dong1,ROWS($1:23)),),""))</f>
        <v/>
      </c>
      <c r="E36" s="342" t="str">
        <f ca="1">IF(ROWS($1:23)&gt;COUNT(Dong1),"",OFFSET(TH!F$1,SMALL(Dong1,ROWS($1:23)),))</f>
        <v/>
      </c>
      <c r="F36" s="156" t="str">
        <f ca="1">IF(ROWS($1:23)&gt;COUNT(Dong1),"",IF(OFFSET(TH!O$1,SMALL(Dong1,ROWS($1:23)),)="1111",OFFSET(TH!N$1,SMALL(Dong1,ROWS($1:23)),),OFFSET(TH!O$1,SMALL(Dong1,ROWS($1:23)),)))</f>
        <v/>
      </c>
      <c r="G36" s="157" t="str">
        <f ca="1">IF(ROWS($1:23)&gt;COUNT(Dong1),"",IF(OFFSET(TH!N$1,SMALL(Dong1,ROWS($1:23)),)="1111",OFFSET(TH!M$1,SMALL(Dong1,ROWS($1:23)),),0))</f>
        <v/>
      </c>
      <c r="H36" s="155" t="str">
        <f ca="1">IF(ROWS($1:23)&gt;COUNT(Dong1),"",IF(OFFSET(TH!O$1,SMALL(Dong1,ROWS($1:23)),)="1111",OFFSET(TH!M$1,SMALL(Dong1,ROWS($1:23)),),0))</f>
        <v/>
      </c>
      <c r="I36" s="153">
        <f t="shared" ca="1" si="0"/>
        <v>0</v>
      </c>
      <c r="J36" s="158"/>
    </row>
    <row r="37" spans="1:10" s="143" customFormat="1" ht="19.5" customHeight="1">
      <c r="A37" s="152" t="str">
        <f ca="1">IF(ROWS($1:24)&gt;COUNT(Dong1),"",OFFSET(TH!C$1,SMALL(Dong1,ROWS($1:24)),))</f>
        <v/>
      </c>
      <c r="B37" s="152" t="str">
        <f ca="1">IF(ROWS($1:24)&gt;COUNT(Dong1),"",OFFSET(TH!E$1,SMALL(Dong1,ROWS($1:24)),))</f>
        <v/>
      </c>
      <c r="C37" s="153" t="str">
        <f ca="1">IF(ROWS($1:24)&gt;COUNT(Dong1),"",IF(OFFSET(TH!N$1,SMALL(Dong1,ROWS($1:24)),)="1111",OFFSET(TH!D$1,SMALL(Dong1,ROWS($1:24)),),""))</f>
        <v/>
      </c>
      <c r="D37" s="154" t="str">
        <f ca="1">IF(ROWS($1:24)&gt;COUNT(Dong1),"",IF(OFFSET(TH!O$1,SMALL(Dong1,ROWS($1:24)),)="1111",OFFSET(TH!D$1,SMALL(Dong1,ROWS($1:24)),),""))</f>
        <v/>
      </c>
      <c r="E37" s="342" t="str">
        <f ca="1">IF(ROWS($1:24)&gt;COUNT(Dong1),"",OFFSET(TH!F$1,SMALL(Dong1,ROWS($1:24)),))</f>
        <v/>
      </c>
      <c r="F37" s="156" t="str">
        <f ca="1">IF(ROWS($1:24)&gt;COUNT(Dong1),"",IF(OFFSET(TH!O$1,SMALL(Dong1,ROWS($1:24)),)="1111",OFFSET(TH!N$1,SMALL(Dong1,ROWS($1:24)),),OFFSET(TH!O$1,SMALL(Dong1,ROWS($1:24)),)))</f>
        <v/>
      </c>
      <c r="G37" s="157" t="str">
        <f ca="1">IF(ROWS($1:24)&gt;COUNT(Dong1),"",IF(OFFSET(TH!N$1,SMALL(Dong1,ROWS($1:24)),)="1111",OFFSET(TH!M$1,SMALL(Dong1,ROWS($1:24)),),0))</f>
        <v/>
      </c>
      <c r="H37" s="155" t="str">
        <f ca="1">IF(ROWS($1:24)&gt;COUNT(Dong1),"",IF(OFFSET(TH!O$1,SMALL(Dong1,ROWS($1:24)),)="1111",OFFSET(TH!M$1,SMALL(Dong1,ROWS($1:24)),),0))</f>
        <v/>
      </c>
      <c r="I37" s="153">
        <f t="shared" ca="1" si="0"/>
        <v>0</v>
      </c>
      <c r="J37" s="158"/>
    </row>
    <row r="38" spans="1:10" s="143" customFormat="1" ht="19.5" customHeight="1">
      <c r="A38" s="152" t="str">
        <f ca="1">IF(ROWS($1:25)&gt;COUNT(Dong1),"",OFFSET(TH!C$1,SMALL(Dong1,ROWS($1:25)),))</f>
        <v/>
      </c>
      <c r="B38" s="152" t="str">
        <f ca="1">IF(ROWS($1:25)&gt;COUNT(Dong1),"",OFFSET(TH!E$1,SMALL(Dong1,ROWS($1:25)),))</f>
        <v/>
      </c>
      <c r="C38" s="153" t="str">
        <f ca="1">IF(ROWS($1:25)&gt;COUNT(Dong1),"",IF(OFFSET(TH!N$1,SMALL(Dong1,ROWS($1:25)),)="1111",OFFSET(TH!D$1,SMALL(Dong1,ROWS($1:25)),),""))</f>
        <v/>
      </c>
      <c r="D38" s="154" t="str">
        <f ca="1">IF(ROWS($1:25)&gt;COUNT(Dong1),"",IF(OFFSET(TH!O$1,SMALL(Dong1,ROWS($1:25)),)="1111",OFFSET(TH!D$1,SMALL(Dong1,ROWS($1:25)),),""))</f>
        <v/>
      </c>
      <c r="E38" s="342" t="str">
        <f ca="1">IF(ROWS($1:25)&gt;COUNT(Dong1),"",OFFSET(TH!F$1,SMALL(Dong1,ROWS($1:25)),))</f>
        <v/>
      </c>
      <c r="F38" s="156" t="str">
        <f ca="1">IF(ROWS($1:25)&gt;COUNT(Dong1),"",IF(OFFSET(TH!O$1,SMALL(Dong1,ROWS($1:25)),)="1111",OFFSET(TH!N$1,SMALL(Dong1,ROWS($1:25)),),OFFSET(TH!O$1,SMALL(Dong1,ROWS($1:25)),)))</f>
        <v/>
      </c>
      <c r="G38" s="157" t="str">
        <f ca="1">IF(ROWS($1:25)&gt;COUNT(Dong1),"",IF(OFFSET(TH!N$1,SMALL(Dong1,ROWS($1:25)),)="1111",OFFSET(TH!M$1,SMALL(Dong1,ROWS($1:25)),),0))</f>
        <v/>
      </c>
      <c r="H38" s="155" t="str">
        <f ca="1">IF(ROWS($1:25)&gt;COUNT(Dong1),"",IF(OFFSET(TH!O$1,SMALL(Dong1,ROWS($1:25)),)="1111",OFFSET(TH!M$1,SMALL(Dong1,ROWS($1:25)),),0))</f>
        <v/>
      </c>
      <c r="I38" s="153">
        <f t="shared" ca="1" si="0"/>
        <v>0</v>
      </c>
      <c r="J38" s="158"/>
    </row>
    <row r="39" spans="1:10" s="143" customFormat="1" ht="19.5" customHeight="1">
      <c r="A39" s="152" t="str">
        <f ca="1">IF(ROWS($1:26)&gt;COUNT(Dong1),"",OFFSET(TH!C$1,SMALL(Dong1,ROWS($1:26)),))</f>
        <v/>
      </c>
      <c r="B39" s="152" t="str">
        <f ca="1">IF(ROWS($1:26)&gt;COUNT(Dong1),"",OFFSET(TH!E$1,SMALL(Dong1,ROWS($1:26)),))</f>
        <v/>
      </c>
      <c r="C39" s="153" t="str">
        <f ca="1">IF(ROWS($1:26)&gt;COUNT(Dong1),"",IF(OFFSET(TH!N$1,SMALL(Dong1,ROWS($1:26)),)="1111",OFFSET(TH!D$1,SMALL(Dong1,ROWS($1:26)),),""))</f>
        <v/>
      </c>
      <c r="D39" s="154" t="str">
        <f ca="1">IF(ROWS($1:26)&gt;COUNT(Dong1),"",IF(OFFSET(TH!O$1,SMALL(Dong1,ROWS($1:26)),)="1111",OFFSET(TH!D$1,SMALL(Dong1,ROWS($1:26)),),""))</f>
        <v/>
      </c>
      <c r="E39" s="342" t="str">
        <f ca="1">IF(ROWS($1:26)&gt;COUNT(Dong1),"",OFFSET(TH!F$1,SMALL(Dong1,ROWS($1:26)),))</f>
        <v/>
      </c>
      <c r="F39" s="156" t="str">
        <f ca="1">IF(ROWS($1:26)&gt;COUNT(Dong1),"",IF(OFFSET(TH!O$1,SMALL(Dong1,ROWS($1:26)),)="1111",OFFSET(TH!N$1,SMALL(Dong1,ROWS($1:26)),),OFFSET(TH!O$1,SMALL(Dong1,ROWS($1:26)),)))</f>
        <v/>
      </c>
      <c r="G39" s="157" t="str">
        <f ca="1">IF(ROWS($1:26)&gt;COUNT(Dong1),"",IF(OFFSET(TH!N$1,SMALL(Dong1,ROWS($1:26)),)="1111",OFFSET(TH!M$1,SMALL(Dong1,ROWS($1:26)),),0))</f>
        <v/>
      </c>
      <c r="H39" s="155" t="str">
        <f ca="1">IF(ROWS($1:26)&gt;COUNT(Dong1),"",IF(OFFSET(TH!O$1,SMALL(Dong1,ROWS($1:26)),)="1111",OFFSET(TH!M$1,SMALL(Dong1,ROWS($1:26)),),0))</f>
        <v/>
      </c>
      <c r="I39" s="153">
        <f t="shared" ca="1" si="0"/>
        <v>0</v>
      </c>
      <c r="J39" s="158"/>
    </row>
    <row r="40" spans="1:10" s="143" customFormat="1" ht="19.5" customHeight="1">
      <c r="A40" s="152" t="str">
        <f ca="1">IF(ROWS($1:27)&gt;COUNT(Dong1),"",OFFSET(TH!C$1,SMALL(Dong1,ROWS($1:27)),))</f>
        <v/>
      </c>
      <c r="B40" s="152" t="str">
        <f ca="1">IF(ROWS($1:27)&gt;COUNT(Dong1),"",OFFSET(TH!E$1,SMALL(Dong1,ROWS($1:27)),))</f>
        <v/>
      </c>
      <c r="C40" s="153" t="str">
        <f ca="1">IF(ROWS($1:27)&gt;COUNT(Dong1),"",IF(OFFSET(TH!N$1,SMALL(Dong1,ROWS($1:27)),)="1111",OFFSET(TH!D$1,SMALL(Dong1,ROWS($1:27)),),""))</f>
        <v/>
      </c>
      <c r="D40" s="154" t="str">
        <f ca="1">IF(ROWS($1:27)&gt;COUNT(Dong1),"",IF(OFFSET(TH!O$1,SMALL(Dong1,ROWS($1:27)),)="1111",OFFSET(TH!D$1,SMALL(Dong1,ROWS($1:27)),),""))</f>
        <v/>
      </c>
      <c r="E40" s="342" t="str">
        <f ca="1">IF(ROWS($1:27)&gt;COUNT(Dong1),"",OFFSET(TH!F$1,SMALL(Dong1,ROWS($1:27)),))</f>
        <v/>
      </c>
      <c r="F40" s="156" t="str">
        <f ca="1">IF(ROWS($1:27)&gt;COUNT(Dong1),"",IF(OFFSET(TH!O$1,SMALL(Dong1,ROWS($1:27)),)="1111",OFFSET(TH!N$1,SMALL(Dong1,ROWS($1:27)),),OFFSET(TH!O$1,SMALL(Dong1,ROWS($1:27)),)))</f>
        <v/>
      </c>
      <c r="G40" s="157" t="str">
        <f ca="1">IF(ROWS($1:27)&gt;COUNT(Dong1),"",IF(OFFSET(TH!N$1,SMALL(Dong1,ROWS($1:27)),)="1111",OFFSET(TH!M$1,SMALL(Dong1,ROWS($1:27)),),0))</f>
        <v/>
      </c>
      <c r="H40" s="155" t="str">
        <f ca="1">IF(ROWS($1:27)&gt;COUNT(Dong1),"",IF(OFFSET(TH!O$1,SMALL(Dong1,ROWS($1:27)),)="1111",OFFSET(TH!M$1,SMALL(Dong1,ROWS($1:27)),),0))</f>
        <v/>
      </c>
      <c r="I40" s="153">
        <f t="shared" ca="1" si="0"/>
        <v>0</v>
      </c>
      <c r="J40" s="158"/>
    </row>
    <row r="41" spans="1:10" s="143" customFormat="1" ht="19.5" customHeight="1">
      <c r="A41" s="152" t="str">
        <f ca="1">IF(ROWS($1:28)&gt;COUNT(Dong1),"",OFFSET(TH!C$1,SMALL(Dong1,ROWS($1:28)),))</f>
        <v/>
      </c>
      <c r="B41" s="152" t="str">
        <f ca="1">IF(ROWS($1:28)&gt;COUNT(Dong1),"",OFFSET(TH!E$1,SMALL(Dong1,ROWS($1:28)),))</f>
        <v/>
      </c>
      <c r="C41" s="153" t="str">
        <f ca="1">IF(ROWS($1:28)&gt;COUNT(Dong1),"",IF(OFFSET(TH!N$1,SMALL(Dong1,ROWS($1:28)),)="1111",OFFSET(TH!D$1,SMALL(Dong1,ROWS($1:28)),),""))</f>
        <v/>
      </c>
      <c r="D41" s="154" t="str">
        <f ca="1">IF(ROWS($1:28)&gt;COUNT(Dong1),"",IF(OFFSET(TH!O$1,SMALL(Dong1,ROWS($1:28)),)="1111",OFFSET(TH!D$1,SMALL(Dong1,ROWS($1:28)),),""))</f>
        <v/>
      </c>
      <c r="E41" s="342" t="str">
        <f ca="1">IF(ROWS($1:28)&gt;COUNT(Dong1),"",OFFSET(TH!F$1,SMALL(Dong1,ROWS($1:28)),))</f>
        <v/>
      </c>
      <c r="F41" s="156" t="str">
        <f ca="1">IF(ROWS($1:28)&gt;COUNT(Dong1),"",IF(OFFSET(TH!O$1,SMALL(Dong1,ROWS($1:28)),)="1111",OFFSET(TH!N$1,SMALL(Dong1,ROWS($1:28)),),OFFSET(TH!O$1,SMALL(Dong1,ROWS($1:28)),)))</f>
        <v/>
      </c>
      <c r="G41" s="157" t="str">
        <f ca="1">IF(ROWS($1:28)&gt;COUNT(Dong1),"",IF(OFFSET(TH!N$1,SMALL(Dong1,ROWS($1:28)),)="1111",OFFSET(TH!M$1,SMALL(Dong1,ROWS($1:28)),),0))</f>
        <v/>
      </c>
      <c r="H41" s="155" t="str">
        <f ca="1">IF(ROWS($1:28)&gt;COUNT(Dong1),"",IF(OFFSET(TH!O$1,SMALL(Dong1,ROWS($1:28)),)="1111",OFFSET(TH!M$1,SMALL(Dong1,ROWS($1:28)),),0))</f>
        <v/>
      </c>
      <c r="I41" s="153">
        <f t="shared" ca="1" si="0"/>
        <v>0</v>
      </c>
      <c r="J41" s="158"/>
    </row>
    <row r="42" spans="1:10" s="143" customFormat="1" ht="19.5" customHeight="1">
      <c r="A42" s="152" t="str">
        <f ca="1">IF(ROWS($1:29)&gt;COUNT(Dong1),"",OFFSET(TH!C$1,SMALL(Dong1,ROWS($1:29)),))</f>
        <v/>
      </c>
      <c r="B42" s="152" t="str">
        <f ca="1">IF(ROWS($1:29)&gt;COUNT(Dong1),"",OFFSET(TH!E$1,SMALL(Dong1,ROWS($1:29)),))</f>
        <v/>
      </c>
      <c r="C42" s="153" t="str">
        <f ca="1">IF(ROWS($1:29)&gt;COUNT(Dong1),"",IF(OFFSET(TH!N$1,SMALL(Dong1,ROWS($1:29)),)="1111",OFFSET(TH!D$1,SMALL(Dong1,ROWS($1:29)),),""))</f>
        <v/>
      </c>
      <c r="D42" s="154" t="str">
        <f ca="1">IF(ROWS($1:29)&gt;COUNT(Dong1),"",IF(OFFSET(TH!O$1,SMALL(Dong1,ROWS($1:29)),)="1111",OFFSET(TH!D$1,SMALL(Dong1,ROWS($1:29)),),""))</f>
        <v/>
      </c>
      <c r="E42" s="342" t="str">
        <f ca="1">IF(ROWS($1:29)&gt;COUNT(Dong1),"",OFFSET(TH!F$1,SMALL(Dong1,ROWS($1:29)),))</f>
        <v/>
      </c>
      <c r="F42" s="156" t="str">
        <f ca="1">IF(ROWS($1:29)&gt;COUNT(Dong1),"",IF(OFFSET(TH!O$1,SMALL(Dong1,ROWS($1:29)),)="1111",OFFSET(TH!N$1,SMALL(Dong1,ROWS($1:29)),),OFFSET(TH!O$1,SMALL(Dong1,ROWS($1:29)),)))</f>
        <v/>
      </c>
      <c r="G42" s="157" t="str">
        <f ca="1">IF(ROWS($1:29)&gt;COUNT(Dong1),"",IF(OFFSET(TH!N$1,SMALL(Dong1,ROWS($1:29)),)="1111",OFFSET(TH!M$1,SMALL(Dong1,ROWS($1:29)),),0))</f>
        <v/>
      </c>
      <c r="H42" s="155" t="str">
        <f ca="1">IF(ROWS($1:29)&gt;COUNT(Dong1),"",IF(OFFSET(TH!O$1,SMALL(Dong1,ROWS($1:29)),)="1111",OFFSET(TH!M$1,SMALL(Dong1,ROWS($1:29)),),0))</f>
        <v/>
      </c>
      <c r="I42" s="153">
        <f t="shared" ca="1" si="0"/>
        <v>0</v>
      </c>
      <c r="J42" s="158"/>
    </row>
    <row r="43" spans="1:10" s="143" customFormat="1" ht="19.5" customHeight="1">
      <c r="A43" s="152" t="str">
        <f ca="1">IF(ROWS($1:30)&gt;COUNT(Dong1),"",OFFSET(TH!C$1,SMALL(Dong1,ROWS($1:30)),))</f>
        <v/>
      </c>
      <c r="B43" s="152" t="str">
        <f ca="1">IF(ROWS($1:30)&gt;COUNT(Dong1),"",OFFSET(TH!E$1,SMALL(Dong1,ROWS($1:30)),))</f>
        <v/>
      </c>
      <c r="C43" s="153" t="str">
        <f ca="1">IF(ROWS($1:30)&gt;COUNT(Dong1),"",IF(OFFSET(TH!N$1,SMALL(Dong1,ROWS($1:30)),)="1111",OFFSET(TH!D$1,SMALL(Dong1,ROWS($1:30)),),""))</f>
        <v/>
      </c>
      <c r="D43" s="154" t="str">
        <f ca="1">IF(ROWS($1:30)&gt;COUNT(Dong1),"",IF(OFFSET(TH!O$1,SMALL(Dong1,ROWS($1:30)),)="1111",OFFSET(TH!D$1,SMALL(Dong1,ROWS($1:30)),),""))</f>
        <v/>
      </c>
      <c r="E43" s="342" t="str">
        <f ca="1">IF(ROWS($1:30)&gt;COUNT(Dong1),"",OFFSET(TH!F$1,SMALL(Dong1,ROWS($1:30)),))</f>
        <v/>
      </c>
      <c r="F43" s="156" t="str">
        <f ca="1">IF(ROWS($1:30)&gt;COUNT(Dong1),"",IF(OFFSET(TH!O$1,SMALL(Dong1,ROWS($1:30)),)="1111",OFFSET(TH!N$1,SMALL(Dong1,ROWS($1:30)),),OFFSET(TH!O$1,SMALL(Dong1,ROWS($1:30)),)))</f>
        <v/>
      </c>
      <c r="G43" s="157" t="str">
        <f ca="1">IF(ROWS($1:30)&gt;COUNT(Dong1),"",IF(OFFSET(TH!N$1,SMALL(Dong1,ROWS($1:30)),)="1111",OFFSET(TH!M$1,SMALL(Dong1,ROWS($1:30)),),0))</f>
        <v/>
      </c>
      <c r="H43" s="155" t="str">
        <f ca="1">IF(ROWS($1:30)&gt;COUNT(Dong1),"",IF(OFFSET(TH!O$1,SMALL(Dong1,ROWS($1:30)),)="1111",OFFSET(TH!M$1,SMALL(Dong1,ROWS($1:30)),),0))</f>
        <v/>
      </c>
      <c r="I43" s="153">
        <f t="shared" ca="1" si="0"/>
        <v>0</v>
      </c>
      <c r="J43" s="158"/>
    </row>
    <row r="44" spans="1:10" s="143" customFormat="1" ht="19.5" customHeight="1">
      <c r="A44" s="152" t="str">
        <f ca="1">IF(ROWS($1:31)&gt;COUNT(Dong1),"",OFFSET(TH!C$1,SMALL(Dong1,ROWS($1:31)),))</f>
        <v/>
      </c>
      <c r="B44" s="152" t="str">
        <f ca="1">IF(ROWS($1:31)&gt;COUNT(Dong1),"",OFFSET(TH!E$1,SMALL(Dong1,ROWS($1:31)),))</f>
        <v/>
      </c>
      <c r="C44" s="153" t="str">
        <f ca="1">IF(ROWS($1:31)&gt;COUNT(Dong1),"",IF(OFFSET(TH!N$1,SMALL(Dong1,ROWS($1:31)),)="1111",OFFSET(TH!D$1,SMALL(Dong1,ROWS($1:31)),),""))</f>
        <v/>
      </c>
      <c r="D44" s="154" t="str">
        <f ca="1">IF(ROWS($1:31)&gt;COUNT(Dong1),"",IF(OFFSET(TH!O$1,SMALL(Dong1,ROWS($1:31)),)="1111",OFFSET(TH!D$1,SMALL(Dong1,ROWS($1:31)),),""))</f>
        <v/>
      </c>
      <c r="E44" s="342" t="str">
        <f ca="1">IF(ROWS($1:31)&gt;COUNT(Dong1),"",OFFSET(TH!F$1,SMALL(Dong1,ROWS($1:31)),))</f>
        <v/>
      </c>
      <c r="F44" s="156" t="str">
        <f ca="1">IF(ROWS($1:31)&gt;COUNT(Dong1),"",IF(OFFSET(TH!O$1,SMALL(Dong1,ROWS($1:31)),)="1111",OFFSET(TH!N$1,SMALL(Dong1,ROWS($1:31)),),OFFSET(TH!O$1,SMALL(Dong1,ROWS($1:31)),)))</f>
        <v/>
      </c>
      <c r="G44" s="157" t="str">
        <f ca="1">IF(ROWS($1:31)&gt;COUNT(Dong1),"",IF(OFFSET(TH!N$1,SMALL(Dong1,ROWS($1:31)),)="1111",OFFSET(TH!M$1,SMALL(Dong1,ROWS($1:31)),),0))</f>
        <v/>
      </c>
      <c r="H44" s="155" t="str">
        <f ca="1">IF(ROWS($1:31)&gt;COUNT(Dong1),"",IF(OFFSET(TH!O$1,SMALL(Dong1,ROWS($1:31)),)="1111",OFFSET(TH!M$1,SMALL(Dong1,ROWS($1:31)),),0))</f>
        <v/>
      </c>
      <c r="I44" s="153">
        <f t="shared" ca="1" si="0"/>
        <v>0</v>
      </c>
      <c r="J44" s="158"/>
    </row>
    <row r="45" spans="1:10" s="143" customFormat="1" ht="19.5" customHeight="1">
      <c r="A45" s="152" t="str">
        <f ca="1">IF(ROWS($1:32)&gt;COUNT(Dong1),"",OFFSET(TH!C$1,SMALL(Dong1,ROWS($1:32)),))</f>
        <v/>
      </c>
      <c r="B45" s="152" t="str">
        <f ca="1">IF(ROWS($1:32)&gt;COUNT(Dong1),"",OFFSET(TH!E$1,SMALL(Dong1,ROWS($1:32)),))</f>
        <v/>
      </c>
      <c r="C45" s="153" t="str">
        <f ca="1">IF(ROWS($1:32)&gt;COUNT(Dong1),"",IF(OFFSET(TH!N$1,SMALL(Dong1,ROWS($1:32)),)="1111",OFFSET(TH!D$1,SMALL(Dong1,ROWS($1:32)),),""))</f>
        <v/>
      </c>
      <c r="D45" s="154" t="str">
        <f ca="1">IF(ROWS($1:32)&gt;COUNT(Dong1),"",IF(OFFSET(TH!O$1,SMALL(Dong1,ROWS($1:32)),)="1111",OFFSET(TH!D$1,SMALL(Dong1,ROWS($1:32)),),""))</f>
        <v/>
      </c>
      <c r="E45" s="342" t="str">
        <f ca="1">IF(ROWS($1:32)&gt;COUNT(Dong1),"",OFFSET(TH!F$1,SMALL(Dong1,ROWS($1:32)),))</f>
        <v/>
      </c>
      <c r="F45" s="156" t="str">
        <f ca="1">IF(ROWS($1:32)&gt;COUNT(Dong1),"",IF(OFFSET(TH!O$1,SMALL(Dong1,ROWS($1:32)),)="1111",OFFSET(TH!N$1,SMALL(Dong1,ROWS($1:32)),),OFFSET(TH!O$1,SMALL(Dong1,ROWS($1:32)),)))</f>
        <v/>
      </c>
      <c r="G45" s="157" t="str">
        <f ca="1">IF(ROWS($1:32)&gt;COUNT(Dong1),"",IF(OFFSET(TH!N$1,SMALL(Dong1,ROWS($1:32)),)="1111",OFFSET(TH!M$1,SMALL(Dong1,ROWS($1:32)),),0))</f>
        <v/>
      </c>
      <c r="H45" s="155" t="str">
        <f ca="1">IF(ROWS($1:32)&gt;COUNT(Dong1),"",IF(OFFSET(TH!O$1,SMALL(Dong1,ROWS($1:32)),)="1111",OFFSET(TH!M$1,SMALL(Dong1,ROWS($1:32)),),0))</f>
        <v/>
      </c>
      <c r="I45" s="153">
        <f t="shared" ca="1" si="0"/>
        <v>0</v>
      </c>
      <c r="J45" s="158"/>
    </row>
    <row r="46" spans="1:10" s="143" customFormat="1" ht="19.5" customHeight="1">
      <c r="A46" s="152" t="str">
        <f ca="1">IF(ROWS($1:33)&gt;COUNT(Dong1),"",OFFSET(TH!C$1,SMALL(Dong1,ROWS($1:33)),))</f>
        <v/>
      </c>
      <c r="B46" s="152" t="str">
        <f ca="1">IF(ROWS($1:33)&gt;COUNT(Dong1),"",OFFSET(TH!E$1,SMALL(Dong1,ROWS($1:33)),))</f>
        <v/>
      </c>
      <c r="C46" s="153" t="str">
        <f ca="1">IF(ROWS($1:33)&gt;COUNT(Dong1),"",IF(OFFSET(TH!N$1,SMALL(Dong1,ROWS($1:33)),)="1111",OFFSET(TH!D$1,SMALL(Dong1,ROWS($1:33)),),""))</f>
        <v/>
      </c>
      <c r="D46" s="154" t="str">
        <f ca="1">IF(ROWS($1:33)&gt;COUNT(Dong1),"",IF(OFFSET(TH!O$1,SMALL(Dong1,ROWS($1:33)),)="1111",OFFSET(TH!D$1,SMALL(Dong1,ROWS($1:33)),),""))</f>
        <v/>
      </c>
      <c r="E46" s="342" t="str">
        <f ca="1">IF(ROWS($1:33)&gt;COUNT(Dong1),"",OFFSET(TH!F$1,SMALL(Dong1,ROWS($1:33)),))</f>
        <v/>
      </c>
      <c r="F46" s="156" t="str">
        <f ca="1">IF(ROWS($1:33)&gt;COUNT(Dong1),"",IF(OFFSET(TH!O$1,SMALL(Dong1,ROWS($1:33)),)="1111",OFFSET(TH!N$1,SMALL(Dong1,ROWS($1:33)),),OFFSET(TH!O$1,SMALL(Dong1,ROWS($1:33)),)))</f>
        <v/>
      </c>
      <c r="G46" s="157" t="str">
        <f ca="1">IF(ROWS($1:33)&gt;COUNT(Dong1),"",IF(OFFSET(TH!N$1,SMALL(Dong1,ROWS($1:33)),)="1111",OFFSET(TH!M$1,SMALL(Dong1,ROWS($1:33)),),0))</f>
        <v/>
      </c>
      <c r="H46" s="155" t="str">
        <f ca="1">IF(ROWS($1:33)&gt;COUNT(Dong1),"",IF(OFFSET(TH!O$1,SMALL(Dong1,ROWS($1:33)),)="1111",OFFSET(TH!M$1,SMALL(Dong1,ROWS($1:33)),),0))</f>
        <v/>
      </c>
      <c r="I46" s="153">
        <f t="shared" ref="I46:I77" ca="1" si="1">IF(E46&lt;&gt;"",I45+G46-H46,0)</f>
        <v>0</v>
      </c>
      <c r="J46" s="158"/>
    </row>
    <row r="47" spans="1:10" s="143" customFormat="1" ht="19.5" customHeight="1">
      <c r="A47" s="152" t="str">
        <f ca="1">IF(ROWS($1:34)&gt;COUNT(Dong1),"",OFFSET(TH!C$1,SMALL(Dong1,ROWS($1:34)),))</f>
        <v/>
      </c>
      <c r="B47" s="152" t="str">
        <f ca="1">IF(ROWS($1:34)&gt;COUNT(Dong1),"",OFFSET(TH!E$1,SMALL(Dong1,ROWS($1:34)),))</f>
        <v/>
      </c>
      <c r="C47" s="153" t="str">
        <f ca="1">IF(ROWS($1:34)&gt;COUNT(Dong1),"",IF(OFFSET(TH!N$1,SMALL(Dong1,ROWS($1:34)),)="1111",OFFSET(TH!D$1,SMALL(Dong1,ROWS($1:34)),),""))</f>
        <v/>
      </c>
      <c r="D47" s="154" t="str">
        <f ca="1">IF(ROWS($1:34)&gt;COUNT(Dong1),"",IF(OFFSET(TH!O$1,SMALL(Dong1,ROWS($1:34)),)="1111",OFFSET(TH!D$1,SMALL(Dong1,ROWS($1:34)),),""))</f>
        <v/>
      </c>
      <c r="E47" s="342" t="str">
        <f ca="1">IF(ROWS($1:34)&gt;COUNT(Dong1),"",OFFSET(TH!F$1,SMALL(Dong1,ROWS($1:34)),))</f>
        <v/>
      </c>
      <c r="F47" s="156" t="str">
        <f ca="1">IF(ROWS($1:34)&gt;COUNT(Dong1),"",IF(OFFSET(TH!O$1,SMALL(Dong1,ROWS($1:34)),)="1111",OFFSET(TH!N$1,SMALL(Dong1,ROWS($1:34)),),OFFSET(TH!O$1,SMALL(Dong1,ROWS($1:34)),)))</f>
        <v/>
      </c>
      <c r="G47" s="157" t="str">
        <f ca="1">IF(ROWS($1:34)&gt;COUNT(Dong1),"",IF(OFFSET(TH!N$1,SMALL(Dong1,ROWS($1:34)),)="1111",OFFSET(TH!M$1,SMALL(Dong1,ROWS($1:34)),),0))</f>
        <v/>
      </c>
      <c r="H47" s="155" t="str">
        <f ca="1">IF(ROWS($1:34)&gt;COUNT(Dong1),"",IF(OFFSET(TH!O$1,SMALL(Dong1,ROWS($1:34)),)="1111",OFFSET(TH!M$1,SMALL(Dong1,ROWS($1:34)),),0))</f>
        <v/>
      </c>
      <c r="I47" s="153">
        <f t="shared" ca="1" si="1"/>
        <v>0</v>
      </c>
      <c r="J47" s="158"/>
    </row>
    <row r="48" spans="1:10" s="143" customFormat="1" ht="19.5" customHeight="1">
      <c r="A48" s="152" t="str">
        <f ca="1">IF(ROWS($1:35)&gt;COUNT(Dong1),"",OFFSET(TH!C$1,SMALL(Dong1,ROWS($1:35)),))</f>
        <v/>
      </c>
      <c r="B48" s="152" t="str">
        <f ca="1">IF(ROWS($1:35)&gt;COUNT(Dong1),"",OFFSET(TH!E$1,SMALL(Dong1,ROWS($1:35)),))</f>
        <v/>
      </c>
      <c r="C48" s="153" t="str">
        <f ca="1">IF(ROWS($1:35)&gt;COUNT(Dong1),"",IF(OFFSET(TH!N$1,SMALL(Dong1,ROWS($1:35)),)="1111",OFFSET(TH!D$1,SMALL(Dong1,ROWS($1:35)),),""))</f>
        <v/>
      </c>
      <c r="D48" s="154" t="str">
        <f ca="1">IF(ROWS($1:35)&gt;COUNT(Dong1),"",IF(OFFSET(TH!O$1,SMALL(Dong1,ROWS($1:35)),)="1111",OFFSET(TH!D$1,SMALL(Dong1,ROWS($1:35)),),""))</f>
        <v/>
      </c>
      <c r="E48" s="342" t="str">
        <f ca="1">IF(ROWS($1:35)&gt;COUNT(Dong1),"",OFFSET(TH!F$1,SMALL(Dong1,ROWS($1:35)),))</f>
        <v/>
      </c>
      <c r="F48" s="156" t="str">
        <f ca="1">IF(ROWS($1:35)&gt;COUNT(Dong1),"",IF(OFFSET(TH!O$1,SMALL(Dong1,ROWS($1:35)),)="1111",OFFSET(TH!N$1,SMALL(Dong1,ROWS($1:35)),),OFFSET(TH!O$1,SMALL(Dong1,ROWS($1:35)),)))</f>
        <v/>
      </c>
      <c r="G48" s="157" t="str">
        <f ca="1">IF(ROWS($1:35)&gt;COUNT(Dong1),"",IF(OFFSET(TH!N$1,SMALL(Dong1,ROWS($1:35)),)="1111",OFFSET(TH!M$1,SMALL(Dong1,ROWS($1:35)),),0))</f>
        <v/>
      </c>
      <c r="H48" s="155" t="str">
        <f ca="1">IF(ROWS($1:35)&gt;COUNT(Dong1),"",IF(OFFSET(TH!O$1,SMALL(Dong1,ROWS($1:35)),)="1111",OFFSET(TH!M$1,SMALL(Dong1,ROWS($1:35)),),0))</f>
        <v/>
      </c>
      <c r="I48" s="153">
        <f t="shared" ca="1" si="1"/>
        <v>0</v>
      </c>
      <c r="J48" s="158"/>
    </row>
    <row r="49" spans="1:10" s="143" customFormat="1" ht="19.5" customHeight="1">
      <c r="A49" s="152" t="str">
        <f ca="1">IF(ROWS($1:36)&gt;COUNT(Dong1),"",OFFSET(TH!C$1,SMALL(Dong1,ROWS($1:36)),))</f>
        <v/>
      </c>
      <c r="B49" s="152" t="str">
        <f ca="1">IF(ROWS($1:36)&gt;COUNT(Dong1),"",OFFSET(TH!E$1,SMALL(Dong1,ROWS($1:36)),))</f>
        <v/>
      </c>
      <c r="C49" s="153" t="str">
        <f ca="1">IF(ROWS($1:36)&gt;COUNT(Dong1),"",IF(OFFSET(TH!N$1,SMALL(Dong1,ROWS($1:36)),)="1111",OFFSET(TH!D$1,SMALL(Dong1,ROWS($1:36)),),""))</f>
        <v/>
      </c>
      <c r="D49" s="154" t="str">
        <f ca="1">IF(ROWS($1:36)&gt;COUNT(Dong1),"",IF(OFFSET(TH!O$1,SMALL(Dong1,ROWS($1:36)),)="1111",OFFSET(TH!D$1,SMALL(Dong1,ROWS($1:36)),),""))</f>
        <v/>
      </c>
      <c r="E49" s="342" t="str">
        <f ca="1">IF(ROWS($1:36)&gt;COUNT(Dong1),"",OFFSET(TH!F$1,SMALL(Dong1,ROWS($1:36)),))</f>
        <v/>
      </c>
      <c r="F49" s="156" t="str">
        <f ca="1">IF(ROWS($1:36)&gt;COUNT(Dong1),"",IF(OFFSET(TH!O$1,SMALL(Dong1,ROWS($1:36)),)="1111",OFFSET(TH!N$1,SMALL(Dong1,ROWS($1:36)),),OFFSET(TH!O$1,SMALL(Dong1,ROWS($1:36)),)))</f>
        <v/>
      </c>
      <c r="G49" s="157" t="str">
        <f ca="1">IF(ROWS($1:36)&gt;COUNT(Dong1),"",IF(OFFSET(TH!N$1,SMALL(Dong1,ROWS($1:36)),)="1111",OFFSET(TH!M$1,SMALL(Dong1,ROWS($1:36)),),0))</f>
        <v/>
      </c>
      <c r="H49" s="155" t="str">
        <f ca="1">IF(ROWS($1:36)&gt;COUNT(Dong1),"",IF(OFFSET(TH!O$1,SMALL(Dong1,ROWS($1:36)),)="1111",OFFSET(TH!M$1,SMALL(Dong1,ROWS($1:36)),),0))</f>
        <v/>
      </c>
      <c r="I49" s="153">
        <f t="shared" ca="1" si="1"/>
        <v>0</v>
      </c>
      <c r="J49" s="158"/>
    </row>
    <row r="50" spans="1:10" s="143" customFormat="1" ht="19.5" customHeight="1">
      <c r="A50" s="152" t="str">
        <f ca="1">IF(ROWS($1:37)&gt;COUNT(Dong1),"",OFFSET(TH!C$1,SMALL(Dong1,ROWS($1:37)),))</f>
        <v/>
      </c>
      <c r="B50" s="152" t="str">
        <f ca="1">IF(ROWS($1:37)&gt;COUNT(Dong1),"",OFFSET(TH!E$1,SMALL(Dong1,ROWS($1:37)),))</f>
        <v/>
      </c>
      <c r="C50" s="153" t="str">
        <f ca="1">IF(ROWS($1:37)&gt;COUNT(Dong1),"",IF(OFFSET(TH!N$1,SMALL(Dong1,ROWS($1:37)),)="1111",OFFSET(TH!D$1,SMALL(Dong1,ROWS($1:37)),),""))</f>
        <v/>
      </c>
      <c r="D50" s="154" t="str">
        <f ca="1">IF(ROWS($1:37)&gt;COUNT(Dong1),"",IF(OFFSET(TH!O$1,SMALL(Dong1,ROWS($1:37)),)="1111",OFFSET(TH!D$1,SMALL(Dong1,ROWS($1:37)),),""))</f>
        <v/>
      </c>
      <c r="E50" s="342" t="str">
        <f ca="1">IF(ROWS($1:37)&gt;COUNT(Dong1),"",OFFSET(TH!F$1,SMALL(Dong1,ROWS($1:37)),))</f>
        <v/>
      </c>
      <c r="F50" s="156" t="str">
        <f ca="1">IF(ROWS($1:37)&gt;COUNT(Dong1),"",IF(OFFSET(TH!O$1,SMALL(Dong1,ROWS($1:37)),)="1111",OFFSET(TH!N$1,SMALL(Dong1,ROWS($1:37)),),OFFSET(TH!O$1,SMALL(Dong1,ROWS($1:37)),)))</f>
        <v/>
      </c>
      <c r="G50" s="157" t="str">
        <f ca="1">IF(ROWS($1:37)&gt;COUNT(Dong1),"",IF(OFFSET(TH!N$1,SMALL(Dong1,ROWS($1:37)),)="1111",OFFSET(TH!M$1,SMALL(Dong1,ROWS($1:37)),),0))</f>
        <v/>
      </c>
      <c r="H50" s="155" t="str">
        <f ca="1">IF(ROWS($1:37)&gt;COUNT(Dong1),"",IF(OFFSET(TH!O$1,SMALL(Dong1,ROWS($1:37)),)="1111",OFFSET(TH!M$1,SMALL(Dong1,ROWS($1:37)),),0))</f>
        <v/>
      </c>
      <c r="I50" s="153">
        <f t="shared" ca="1" si="1"/>
        <v>0</v>
      </c>
      <c r="J50" s="158"/>
    </row>
    <row r="51" spans="1:10" s="143" customFormat="1" ht="19.5" customHeight="1">
      <c r="A51" s="152" t="str">
        <f ca="1">IF(ROWS($1:38)&gt;COUNT(Dong1),"",OFFSET(TH!C$1,SMALL(Dong1,ROWS($1:38)),))</f>
        <v/>
      </c>
      <c r="B51" s="152" t="str">
        <f ca="1">IF(ROWS($1:38)&gt;COUNT(Dong1),"",OFFSET(TH!E$1,SMALL(Dong1,ROWS($1:38)),))</f>
        <v/>
      </c>
      <c r="C51" s="153" t="str">
        <f ca="1">IF(ROWS($1:38)&gt;COUNT(Dong1),"",IF(OFFSET(TH!N$1,SMALL(Dong1,ROWS($1:38)),)="1111",OFFSET(TH!D$1,SMALL(Dong1,ROWS($1:38)),),""))</f>
        <v/>
      </c>
      <c r="D51" s="154" t="str">
        <f ca="1">IF(ROWS($1:38)&gt;COUNT(Dong1),"",IF(OFFSET(TH!O$1,SMALL(Dong1,ROWS($1:38)),)="1111",OFFSET(TH!D$1,SMALL(Dong1,ROWS($1:38)),),""))</f>
        <v/>
      </c>
      <c r="E51" s="342" t="str">
        <f ca="1">IF(ROWS($1:38)&gt;COUNT(Dong1),"",OFFSET(TH!F$1,SMALL(Dong1,ROWS($1:38)),))</f>
        <v/>
      </c>
      <c r="F51" s="156" t="str">
        <f ca="1">IF(ROWS($1:38)&gt;COUNT(Dong1),"",IF(OFFSET(TH!O$1,SMALL(Dong1,ROWS($1:38)),)="1111",OFFSET(TH!N$1,SMALL(Dong1,ROWS($1:38)),),OFFSET(TH!O$1,SMALL(Dong1,ROWS($1:38)),)))</f>
        <v/>
      </c>
      <c r="G51" s="157" t="str">
        <f ca="1">IF(ROWS($1:38)&gt;COUNT(Dong1),"",IF(OFFSET(TH!N$1,SMALL(Dong1,ROWS($1:38)),)="1111",OFFSET(TH!M$1,SMALL(Dong1,ROWS($1:38)),),0))</f>
        <v/>
      </c>
      <c r="H51" s="155" t="str">
        <f ca="1">IF(ROWS($1:38)&gt;COUNT(Dong1),"",IF(OFFSET(TH!O$1,SMALL(Dong1,ROWS($1:38)),)="1111",OFFSET(TH!M$1,SMALL(Dong1,ROWS($1:38)),),0))</f>
        <v/>
      </c>
      <c r="I51" s="153">
        <f t="shared" ca="1" si="1"/>
        <v>0</v>
      </c>
      <c r="J51" s="158"/>
    </row>
    <row r="52" spans="1:10" s="143" customFormat="1" ht="19.5" customHeight="1">
      <c r="A52" s="152" t="str">
        <f ca="1">IF(ROWS($1:39)&gt;COUNT(Dong1),"",OFFSET(TH!C$1,SMALL(Dong1,ROWS($1:39)),))</f>
        <v/>
      </c>
      <c r="B52" s="152" t="str">
        <f ca="1">IF(ROWS($1:39)&gt;COUNT(Dong1),"",OFFSET(TH!E$1,SMALL(Dong1,ROWS($1:39)),))</f>
        <v/>
      </c>
      <c r="C52" s="153" t="str">
        <f ca="1">IF(ROWS($1:39)&gt;COUNT(Dong1),"",IF(OFFSET(TH!N$1,SMALL(Dong1,ROWS($1:39)),)="1111",OFFSET(TH!D$1,SMALL(Dong1,ROWS($1:39)),),""))</f>
        <v/>
      </c>
      <c r="D52" s="154" t="str">
        <f ca="1">IF(ROWS($1:39)&gt;COUNT(Dong1),"",IF(OFFSET(TH!O$1,SMALL(Dong1,ROWS($1:39)),)="1111",OFFSET(TH!D$1,SMALL(Dong1,ROWS($1:39)),),""))</f>
        <v/>
      </c>
      <c r="E52" s="342" t="str">
        <f ca="1">IF(ROWS($1:39)&gt;COUNT(Dong1),"",OFFSET(TH!F$1,SMALL(Dong1,ROWS($1:39)),))</f>
        <v/>
      </c>
      <c r="F52" s="156" t="str">
        <f ca="1">IF(ROWS($1:39)&gt;COUNT(Dong1),"",IF(OFFSET(TH!O$1,SMALL(Dong1,ROWS($1:39)),)="1111",OFFSET(TH!N$1,SMALL(Dong1,ROWS($1:39)),),OFFSET(TH!O$1,SMALL(Dong1,ROWS($1:39)),)))</f>
        <v/>
      </c>
      <c r="G52" s="157" t="str">
        <f ca="1">IF(ROWS($1:39)&gt;COUNT(Dong1),"",IF(OFFSET(TH!N$1,SMALL(Dong1,ROWS($1:39)),)="1111",OFFSET(TH!M$1,SMALL(Dong1,ROWS($1:39)),),0))</f>
        <v/>
      </c>
      <c r="H52" s="155" t="str">
        <f ca="1">IF(ROWS($1:39)&gt;COUNT(Dong1),"",IF(OFFSET(TH!O$1,SMALL(Dong1,ROWS($1:39)),)="1111",OFFSET(TH!M$1,SMALL(Dong1,ROWS($1:39)),),0))</f>
        <v/>
      </c>
      <c r="I52" s="153">
        <f t="shared" ca="1" si="1"/>
        <v>0</v>
      </c>
      <c r="J52" s="158"/>
    </row>
    <row r="53" spans="1:10" s="143" customFormat="1" ht="19.5" customHeight="1">
      <c r="A53" s="152" t="str">
        <f ca="1">IF(ROWS($1:40)&gt;COUNT(Dong1),"",OFFSET(TH!C$1,SMALL(Dong1,ROWS($1:40)),))</f>
        <v/>
      </c>
      <c r="B53" s="152" t="str">
        <f ca="1">IF(ROWS($1:40)&gt;COUNT(Dong1),"",OFFSET(TH!E$1,SMALL(Dong1,ROWS($1:40)),))</f>
        <v/>
      </c>
      <c r="C53" s="153" t="str">
        <f ca="1">IF(ROWS($1:40)&gt;COUNT(Dong1),"",IF(OFFSET(TH!N$1,SMALL(Dong1,ROWS($1:40)),)="1111",OFFSET(TH!D$1,SMALL(Dong1,ROWS($1:40)),),""))</f>
        <v/>
      </c>
      <c r="D53" s="154" t="str">
        <f ca="1">IF(ROWS($1:40)&gt;COUNT(Dong1),"",IF(OFFSET(TH!O$1,SMALL(Dong1,ROWS($1:40)),)="1111",OFFSET(TH!D$1,SMALL(Dong1,ROWS($1:40)),),""))</f>
        <v/>
      </c>
      <c r="E53" s="342" t="str">
        <f ca="1">IF(ROWS($1:40)&gt;COUNT(Dong1),"",OFFSET(TH!F$1,SMALL(Dong1,ROWS($1:40)),))</f>
        <v/>
      </c>
      <c r="F53" s="156" t="str">
        <f ca="1">IF(ROWS($1:40)&gt;COUNT(Dong1),"",IF(OFFSET(TH!O$1,SMALL(Dong1,ROWS($1:40)),)="1111",OFFSET(TH!N$1,SMALL(Dong1,ROWS($1:40)),),OFFSET(TH!O$1,SMALL(Dong1,ROWS($1:40)),)))</f>
        <v/>
      </c>
      <c r="G53" s="157" t="str">
        <f ca="1">IF(ROWS($1:40)&gt;COUNT(Dong1),"",IF(OFFSET(TH!N$1,SMALL(Dong1,ROWS($1:40)),)="1111",OFFSET(TH!M$1,SMALL(Dong1,ROWS($1:40)),),0))</f>
        <v/>
      </c>
      <c r="H53" s="155" t="str">
        <f ca="1">IF(ROWS($1:40)&gt;COUNT(Dong1),"",IF(OFFSET(TH!O$1,SMALL(Dong1,ROWS($1:40)),)="1111",OFFSET(TH!M$1,SMALL(Dong1,ROWS($1:40)),),0))</f>
        <v/>
      </c>
      <c r="I53" s="153">
        <f t="shared" ca="1" si="1"/>
        <v>0</v>
      </c>
      <c r="J53" s="158"/>
    </row>
    <row r="54" spans="1:10" s="143" customFormat="1" ht="19.5" customHeight="1">
      <c r="A54" s="152" t="str">
        <f ca="1">IF(ROWS($1:41)&gt;COUNT(Dong1),"",OFFSET(TH!C$1,SMALL(Dong1,ROWS($1:41)),))</f>
        <v/>
      </c>
      <c r="B54" s="152" t="str">
        <f ca="1">IF(ROWS($1:41)&gt;COUNT(Dong1),"",OFFSET(TH!E$1,SMALL(Dong1,ROWS($1:41)),))</f>
        <v/>
      </c>
      <c r="C54" s="153" t="str">
        <f ca="1">IF(ROWS($1:41)&gt;COUNT(Dong1),"",IF(OFFSET(TH!N$1,SMALL(Dong1,ROWS($1:41)),)="1111",OFFSET(TH!D$1,SMALL(Dong1,ROWS($1:41)),),""))</f>
        <v/>
      </c>
      <c r="D54" s="154" t="str">
        <f ca="1">IF(ROWS($1:41)&gt;COUNT(Dong1),"",IF(OFFSET(TH!O$1,SMALL(Dong1,ROWS($1:41)),)="1111",OFFSET(TH!D$1,SMALL(Dong1,ROWS($1:41)),),""))</f>
        <v/>
      </c>
      <c r="E54" s="342" t="str">
        <f ca="1">IF(ROWS($1:41)&gt;COUNT(Dong1),"",OFFSET(TH!F$1,SMALL(Dong1,ROWS($1:41)),))</f>
        <v/>
      </c>
      <c r="F54" s="156" t="str">
        <f ca="1">IF(ROWS($1:41)&gt;COUNT(Dong1),"",IF(OFFSET(TH!O$1,SMALL(Dong1,ROWS($1:41)),)="1111",OFFSET(TH!N$1,SMALL(Dong1,ROWS($1:41)),),OFFSET(TH!O$1,SMALL(Dong1,ROWS($1:41)),)))</f>
        <v/>
      </c>
      <c r="G54" s="157" t="str">
        <f ca="1">IF(ROWS($1:41)&gt;COUNT(Dong1),"",IF(OFFSET(TH!N$1,SMALL(Dong1,ROWS($1:41)),)="1111",OFFSET(TH!M$1,SMALL(Dong1,ROWS($1:41)),),0))</f>
        <v/>
      </c>
      <c r="H54" s="155" t="str">
        <f ca="1">IF(ROWS($1:41)&gt;COUNT(Dong1),"",IF(OFFSET(TH!O$1,SMALL(Dong1,ROWS($1:41)),)="1111",OFFSET(TH!M$1,SMALL(Dong1,ROWS($1:41)),),0))</f>
        <v/>
      </c>
      <c r="I54" s="153">
        <f t="shared" ca="1" si="1"/>
        <v>0</v>
      </c>
      <c r="J54" s="158"/>
    </row>
    <row r="55" spans="1:10" s="143" customFormat="1" ht="19.5" customHeight="1">
      <c r="A55" s="152" t="str">
        <f ca="1">IF(ROWS($1:42)&gt;COUNT(Dong1),"",OFFSET(TH!C$1,SMALL(Dong1,ROWS($1:42)),))</f>
        <v/>
      </c>
      <c r="B55" s="152" t="str">
        <f ca="1">IF(ROWS($1:42)&gt;COUNT(Dong1),"",OFFSET(TH!E$1,SMALL(Dong1,ROWS($1:42)),))</f>
        <v/>
      </c>
      <c r="C55" s="153" t="str">
        <f ca="1">IF(ROWS($1:42)&gt;COUNT(Dong1),"",IF(OFFSET(TH!N$1,SMALL(Dong1,ROWS($1:42)),)="1111",OFFSET(TH!D$1,SMALL(Dong1,ROWS($1:42)),),""))</f>
        <v/>
      </c>
      <c r="D55" s="154" t="str">
        <f ca="1">IF(ROWS($1:42)&gt;COUNT(Dong1),"",IF(OFFSET(TH!O$1,SMALL(Dong1,ROWS($1:42)),)="1111",OFFSET(TH!D$1,SMALL(Dong1,ROWS($1:42)),),""))</f>
        <v/>
      </c>
      <c r="E55" s="342" t="str">
        <f ca="1">IF(ROWS($1:42)&gt;COUNT(Dong1),"",OFFSET(TH!F$1,SMALL(Dong1,ROWS($1:42)),))</f>
        <v/>
      </c>
      <c r="F55" s="156" t="str">
        <f ca="1">IF(ROWS($1:42)&gt;COUNT(Dong1),"",IF(OFFSET(TH!O$1,SMALL(Dong1,ROWS($1:42)),)="1111",OFFSET(TH!N$1,SMALL(Dong1,ROWS($1:42)),),OFFSET(TH!O$1,SMALL(Dong1,ROWS($1:42)),)))</f>
        <v/>
      </c>
      <c r="G55" s="157" t="str">
        <f ca="1">IF(ROWS($1:42)&gt;COUNT(Dong1),"",IF(OFFSET(TH!N$1,SMALL(Dong1,ROWS($1:42)),)="1111",OFFSET(TH!M$1,SMALL(Dong1,ROWS($1:42)),),0))</f>
        <v/>
      </c>
      <c r="H55" s="155" t="str">
        <f ca="1">IF(ROWS($1:42)&gt;COUNT(Dong1),"",IF(OFFSET(TH!O$1,SMALL(Dong1,ROWS($1:42)),)="1111",OFFSET(TH!M$1,SMALL(Dong1,ROWS($1:42)),),0))</f>
        <v/>
      </c>
      <c r="I55" s="153">
        <f t="shared" ca="1" si="1"/>
        <v>0</v>
      </c>
      <c r="J55" s="158"/>
    </row>
    <row r="56" spans="1:10" s="143" customFormat="1" ht="19.5" customHeight="1">
      <c r="A56" s="152" t="str">
        <f ca="1">IF(ROWS($1:43)&gt;COUNT(Dong1),"",OFFSET(TH!C$1,SMALL(Dong1,ROWS($1:43)),))</f>
        <v/>
      </c>
      <c r="B56" s="152" t="str">
        <f ca="1">IF(ROWS($1:43)&gt;COUNT(Dong1),"",OFFSET(TH!E$1,SMALL(Dong1,ROWS($1:43)),))</f>
        <v/>
      </c>
      <c r="C56" s="153" t="str">
        <f ca="1">IF(ROWS($1:43)&gt;COUNT(Dong1),"",IF(OFFSET(TH!N$1,SMALL(Dong1,ROWS($1:43)),)="1111",OFFSET(TH!D$1,SMALL(Dong1,ROWS($1:43)),),""))</f>
        <v/>
      </c>
      <c r="D56" s="154" t="str">
        <f ca="1">IF(ROWS($1:43)&gt;COUNT(Dong1),"",IF(OFFSET(TH!O$1,SMALL(Dong1,ROWS($1:43)),)="1111",OFFSET(TH!D$1,SMALL(Dong1,ROWS($1:43)),),""))</f>
        <v/>
      </c>
      <c r="E56" s="342" t="str">
        <f ca="1">IF(ROWS($1:43)&gt;COUNT(Dong1),"",OFFSET(TH!F$1,SMALL(Dong1,ROWS($1:43)),))</f>
        <v/>
      </c>
      <c r="F56" s="156" t="str">
        <f ca="1">IF(ROWS($1:43)&gt;COUNT(Dong1),"",IF(OFFSET(TH!O$1,SMALL(Dong1,ROWS($1:43)),)="1111",OFFSET(TH!N$1,SMALL(Dong1,ROWS($1:43)),),OFFSET(TH!O$1,SMALL(Dong1,ROWS($1:43)),)))</f>
        <v/>
      </c>
      <c r="G56" s="157" t="str">
        <f ca="1">IF(ROWS($1:43)&gt;COUNT(Dong1),"",IF(OFFSET(TH!N$1,SMALL(Dong1,ROWS($1:43)),)="1111",OFFSET(TH!M$1,SMALL(Dong1,ROWS($1:43)),),0))</f>
        <v/>
      </c>
      <c r="H56" s="155" t="str">
        <f ca="1">IF(ROWS($1:43)&gt;COUNT(Dong1),"",IF(OFFSET(TH!O$1,SMALL(Dong1,ROWS($1:43)),)="1111",OFFSET(TH!M$1,SMALL(Dong1,ROWS($1:43)),),0))</f>
        <v/>
      </c>
      <c r="I56" s="153">
        <f t="shared" ca="1" si="1"/>
        <v>0</v>
      </c>
      <c r="J56" s="158"/>
    </row>
    <row r="57" spans="1:10" s="143" customFormat="1" ht="19.5" customHeight="1">
      <c r="A57" s="152" t="str">
        <f ca="1">IF(ROWS($1:44)&gt;COUNT(Dong1),"",OFFSET(TH!C$1,SMALL(Dong1,ROWS($1:44)),))</f>
        <v/>
      </c>
      <c r="B57" s="152" t="str">
        <f ca="1">IF(ROWS($1:44)&gt;COUNT(Dong1),"",OFFSET(TH!E$1,SMALL(Dong1,ROWS($1:44)),))</f>
        <v/>
      </c>
      <c r="C57" s="153" t="str">
        <f ca="1">IF(ROWS($1:44)&gt;COUNT(Dong1),"",IF(OFFSET(TH!N$1,SMALL(Dong1,ROWS($1:44)),)="1111",OFFSET(TH!D$1,SMALL(Dong1,ROWS($1:44)),),""))</f>
        <v/>
      </c>
      <c r="D57" s="154" t="str">
        <f ca="1">IF(ROWS($1:44)&gt;COUNT(Dong1),"",IF(OFFSET(TH!O$1,SMALL(Dong1,ROWS($1:44)),)="1111",OFFSET(TH!D$1,SMALL(Dong1,ROWS($1:44)),),""))</f>
        <v/>
      </c>
      <c r="E57" s="342" t="str">
        <f ca="1">IF(ROWS($1:44)&gt;COUNT(Dong1),"",OFFSET(TH!F$1,SMALL(Dong1,ROWS($1:44)),))</f>
        <v/>
      </c>
      <c r="F57" s="156" t="str">
        <f ca="1">IF(ROWS($1:44)&gt;COUNT(Dong1),"",IF(OFFSET(TH!O$1,SMALL(Dong1,ROWS($1:44)),)="1111",OFFSET(TH!N$1,SMALL(Dong1,ROWS($1:44)),),OFFSET(TH!O$1,SMALL(Dong1,ROWS($1:44)),)))</f>
        <v/>
      </c>
      <c r="G57" s="157" t="str">
        <f ca="1">IF(ROWS($1:44)&gt;COUNT(Dong1),"",IF(OFFSET(TH!N$1,SMALL(Dong1,ROWS($1:44)),)="1111",OFFSET(TH!M$1,SMALL(Dong1,ROWS($1:44)),),0))</f>
        <v/>
      </c>
      <c r="H57" s="155" t="str">
        <f ca="1">IF(ROWS($1:44)&gt;COUNT(Dong1),"",IF(OFFSET(TH!O$1,SMALL(Dong1,ROWS($1:44)),)="1111",OFFSET(TH!M$1,SMALL(Dong1,ROWS($1:44)),),0))</f>
        <v/>
      </c>
      <c r="I57" s="153">
        <f t="shared" ca="1" si="1"/>
        <v>0</v>
      </c>
      <c r="J57" s="158"/>
    </row>
    <row r="58" spans="1:10" s="143" customFormat="1" ht="19.5" customHeight="1">
      <c r="A58" s="152" t="str">
        <f ca="1">IF(ROWS($1:45)&gt;COUNT(Dong1),"",OFFSET(TH!C$1,SMALL(Dong1,ROWS($1:45)),))</f>
        <v/>
      </c>
      <c r="B58" s="152" t="str">
        <f ca="1">IF(ROWS($1:45)&gt;COUNT(Dong1),"",OFFSET(TH!E$1,SMALL(Dong1,ROWS($1:45)),))</f>
        <v/>
      </c>
      <c r="C58" s="153" t="str">
        <f ca="1">IF(ROWS($1:45)&gt;COUNT(Dong1),"",IF(OFFSET(TH!N$1,SMALL(Dong1,ROWS($1:45)),)="1111",OFFSET(TH!D$1,SMALL(Dong1,ROWS($1:45)),),""))</f>
        <v/>
      </c>
      <c r="D58" s="154" t="str">
        <f ca="1">IF(ROWS($1:45)&gt;COUNT(Dong1),"",IF(OFFSET(TH!O$1,SMALL(Dong1,ROWS($1:45)),)="1111",OFFSET(TH!D$1,SMALL(Dong1,ROWS($1:45)),),""))</f>
        <v/>
      </c>
      <c r="E58" s="342" t="str">
        <f ca="1">IF(ROWS($1:45)&gt;COUNT(Dong1),"",OFFSET(TH!F$1,SMALL(Dong1,ROWS($1:45)),))</f>
        <v/>
      </c>
      <c r="F58" s="156" t="str">
        <f ca="1">IF(ROWS($1:45)&gt;COUNT(Dong1),"",IF(OFFSET(TH!O$1,SMALL(Dong1,ROWS($1:45)),)="1111",OFFSET(TH!N$1,SMALL(Dong1,ROWS($1:45)),),OFFSET(TH!O$1,SMALL(Dong1,ROWS($1:45)),)))</f>
        <v/>
      </c>
      <c r="G58" s="157" t="str">
        <f ca="1">IF(ROWS($1:45)&gt;COUNT(Dong1),"",IF(OFFSET(TH!N$1,SMALL(Dong1,ROWS($1:45)),)="1111",OFFSET(TH!M$1,SMALL(Dong1,ROWS($1:45)),),0))</f>
        <v/>
      </c>
      <c r="H58" s="155" t="str">
        <f ca="1">IF(ROWS($1:45)&gt;COUNT(Dong1),"",IF(OFFSET(TH!O$1,SMALL(Dong1,ROWS($1:45)),)="1111",OFFSET(TH!M$1,SMALL(Dong1,ROWS($1:45)),),0))</f>
        <v/>
      </c>
      <c r="I58" s="153">
        <f t="shared" ca="1" si="1"/>
        <v>0</v>
      </c>
      <c r="J58" s="158"/>
    </row>
    <row r="59" spans="1:10" s="143" customFormat="1" ht="19.5" customHeight="1">
      <c r="A59" s="152" t="str">
        <f ca="1">IF(ROWS($1:46)&gt;COUNT(Dong1),"",OFFSET(TH!C$1,SMALL(Dong1,ROWS($1:46)),))</f>
        <v/>
      </c>
      <c r="B59" s="152" t="str">
        <f ca="1">IF(ROWS($1:46)&gt;COUNT(Dong1),"",OFFSET(TH!E$1,SMALL(Dong1,ROWS($1:46)),))</f>
        <v/>
      </c>
      <c r="C59" s="153" t="str">
        <f ca="1">IF(ROWS($1:46)&gt;COUNT(Dong1),"",IF(OFFSET(TH!N$1,SMALL(Dong1,ROWS($1:46)),)="1111",OFFSET(TH!D$1,SMALL(Dong1,ROWS($1:46)),),""))</f>
        <v/>
      </c>
      <c r="D59" s="154" t="str">
        <f ca="1">IF(ROWS($1:46)&gt;COUNT(Dong1),"",IF(OFFSET(TH!O$1,SMALL(Dong1,ROWS($1:46)),)="1111",OFFSET(TH!D$1,SMALL(Dong1,ROWS($1:46)),),""))</f>
        <v/>
      </c>
      <c r="E59" s="342" t="str">
        <f ca="1">IF(ROWS($1:46)&gt;COUNT(Dong1),"",OFFSET(TH!F$1,SMALL(Dong1,ROWS($1:46)),))</f>
        <v/>
      </c>
      <c r="F59" s="156" t="str">
        <f ca="1">IF(ROWS($1:46)&gt;COUNT(Dong1),"",IF(OFFSET(TH!O$1,SMALL(Dong1,ROWS($1:46)),)="1111",OFFSET(TH!N$1,SMALL(Dong1,ROWS($1:46)),),OFFSET(TH!O$1,SMALL(Dong1,ROWS($1:46)),)))</f>
        <v/>
      </c>
      <c r="G59" s="157" t="str">
        <f ca="1">IF(ROWS($1:46)&gt;COUNT(Dong1),"",IF(OFFSET(TH!N$1,SMALL(Dong1,ROWS($1:46)),)="1111",OFFSET(TH!M$1,SMALL(Dong1,ROWS($1:46)),),0))</f>
        <v/>
      </c>
      <c r="H59" s="155" t="str">
        <f ca="1">IF(ROWS($1:46)&gt;COUNT(Dong1),"",IF(OFFSET(TH!O$1,SMALL(Dong1,ROWS($1:46)),)="1111",OFFSET(TH!M$1,SMALL(Dong1,ROWS($1:46)),),0))</f>
        <v/>
      </c>
      <c r="I59" s="153">
        <f t="shared" ca="1" si="1"/>
        <v>0</v>
      </c>
      <c r="J59" s="158"/>
    </row>
    <row r="60" spans="1:10" s="143" customFormat="1" ht="19.5" customHeight="1">
      <c r="A60" s="152" t="str">
        <f ca="1">IF(ROWS($1:47)&gt;COUNT(Dong1),"",OFFSET(TH!C$1,SMALL(Dong1,ROWS($1:47)),))</f>
        <v/>
      </c>
      <c r="B60" s="152" t="str">
        <f ca="1">IF(ROWS($1:47)&gt;COUNT(Dong1),"",OFFSET(TH!E$1,SMALL(Dong1,ROWS($1:47)),))</f>
        <v/>
      </c>
      <c r="C60" s="153" t="str">
        <f ca="1">IF(ROWS($1:47)&gt;COUNT(Dong1),"",IF(OFFSET(TH!N$1,SMALL(Dong1,ROWS($1:47)),)="1111",OFFSET(TH!D$1,SMALL(Dong1,ROWS($1:47)),),""))</f>
        <v/>
      </c>
      <c r="D60" s="154" t="str">
        <f ca="1">IF(ROWS($1:47)&gt;COUNT(Dong1),"",IF(OFFSET(TH!O$1,SMALL(Dong1,ROWS($1:47)),)="1111",OFFSET(TH!D$1,SMALL(Dong1,ROWS($1:47)),),""))</f>
        <v/>
      </c>
      <c r="E60" s="342" t="str">
        <f ca="1">IF(ROWS($1:47)&gt;COUNT(Dong1),"",OFFSET(TH!F$1,SMALL(Dong1,ROWS($1:47)),))</f>
        <v/>
      </c>
      <c r="F60" s="156" t="str">
        <f ca="1">IF(ROWS($1:47)&gt;COUNT(Dong1),"",IF(OFFSET(TH!O$1,SMALL(Dong1,ROWS($1:47)),)="1111",OFFSET(TH!N$1,SMALL(Dong1,ROWS($1:47)),),OFFSET(TH!O$1,SMALL(Dong1,ROWS($1:47)),)))</f>
        <v/>
      </c>
      <c r="G60" s="157" t="str">
        <f ca="1">IF(ROWS($1:47)&gt;COUNT(Dong1),"",IF(OFFSET(TH!N$1,SMALL(Dong1,ROWS($1:47)),)="1111",OFFSET(TH!M$1,SMALL(Dong1,ROWS($1:47)),),0))</f>
        <v/>
      </c>
      <c r="H60" s="155" t="str">
        <f ca="1">IF(ROWS($1:47)&gt;COUNT(Dong1),"",IF(OFFSET(TH!O$1,SMALL(Dong1,ROWS($1:47)),)="1111",OFFSET(TH!M$1,SMALL(Dong1,ROWS($1:47)),),0))</f>
        <v/>
      </c>
      <c r="I60" s="153">
        <f t="shared" ca="1" si="1"/>
        <v>0</v>
      </c>
      <c r="J60" s="158"/>
    </row>
    <row r="61" spans="1:10" s="143" customFormat="1" ht="19.5" customHeight="1">
      <c r="A61" s="152" t="str">
        <f ca="1">IF(ROWS($1:48)&gt;COUNT(Dong1),"",OFFSET(TH!C$1,SMALL(Dong1,ROWS($1:48)),))</f>
        <v/>
      </c>
      <c r="B61" s="152" t="str">
        <f ca="1">IF(ROWS($1:48)&gt;COUNT(Dong1),"",OFFSET(TH!E$1,SMALL(Dong1,ROWS($1:48)),))</f>
        <v/>
      </c>
      <c r="C61" s="153" t="str">
        <f ca="1">IF(ROWS($1:48)&gt;COUNT(Dong1),"",IF(OFFSET(TH!N$1,SMALL(Dong1,ROWS($1:48)),)="1111",OFFSET(TH!D$1,SMALL(Dong1,ROWS($1:48)),),""))</f>
        <v/>
      </c>
      <c r="D61" s="154" t="str">
        <f ca="1">IF(ROWS($1:48)&gt;COUNT(Dong1),"",IF(OFFSET(TH!O$1,SMALL(Dong1,ROWS($1:48)),)="1111",OFFSET(TH!D$1,SMALL(Dong1,ROWS($1:48)),),""))</f>
        <v/>
      </c>
      <c r="E61" s="342" t="str">
        <f ca="1">IF(ROWS($1:48)&gt;COUNT(Dong1),"",OFFSET(TH!F$1,SMALL(Dong1,ROWS($1:48)),))</f>
        <v/>
      </c>
      <c r="F61" s="156" t="str">
        <f ca="1">IF(ROWS($1:48)&gt;COUNT(Dong1),"",IF(OFFSET(TH!O$1,SMALL(Dong1,ROWS($1:48)),)="1111",OFFSET(TH!N$1,SMALL(Dong1,ROWS($1:48)),),OFFSET(TH!O$1,SMALL(Dong1,ROWS($1:48)),)))</f>
        <v/>
      </c>
      <c r="G61" s="157" t="str">
        <f ca="1">IF(ROWS($1:48)&gt;COUNT(Dong1),"",IF(OFFSET(TH!N$1,SMALL(Dong1,ROWS($1:48)),)="1111",OFFSET(TH!M$1,SMALL(Dong1,ROWS($1:48)),),0))</f>
        <v/>
      </c>
      <c r="H61" s="155" t="str">
        <f ca="1">IF(ROWS($1:48)&gt;COUNT(Dong1),"",IF(OFFSET(TH!O$1,SMALL(Dong1,ROWS($1:48)),)="1111",OFFSET(TH!M$1,SMALL(Dong1,ROWS($1:48)),),0))</f>
        <v/>
      </c>
      <c r="I61" s="153">
        <f t="shared" ca="1" si="1"/>
        <v>0</v>
      </c>
      <c r="J61" s="158"/>
    </row>
    <row r="62" spans="1:10" s="143" customFormat="1" ht="19.5" customHeight="1">
      <c r="A62" s="152" t="str">
        <f ca="1">IF(ROWS($1:49)&gt;COUNT(Dong1),"",OFFSET(TH!C$1,SMALL(Dong1,ROWS($1:49)),))</f>
        <v/>
      </c>
      <c r="B62" s="152" t="str">
        <f ca="1">IF(ROWS($1:49)&gt;COUNT(Dong1),"",OFFSET(TH!E$1,SMALL(Dong1,ROWS($1:49)),))</f>
        <v/>
      </c>
      <c r="C62" s="153" t="str">
        <f ca="1">IF(ROWS($1:49)&gt;COUNT(Dong1),"",IF(OFFSET(TH!N$1,SMALL(Dong1,ROWS($1:49)),)="1111",OFFSET(TH!D$1,SMALL(Dong1,ROWS($1:49)),),""))</f>
        <v/>
      </c>
      <c r="D62" s="154" t="str">
        <f ca="1">IF(ROWS($1:49)&gt;COUNT(Dong1),"",IF(OFFSET(TH!O$1,SMALL(Dong1,ROWS($1:49)),)="1111",OFFSET(TH!D$1,SMALL(Dong1,ROWS($1:49)),),""))</f>
        <v/>
      </c>
      <c r="E62" s="342" t="str">
        <f ca="1">IF(ROWS($1:49)&gt;COUNT(Dong1),"",OFFSET(TH!F$1,SMALL(Dong1,ROWS($1:49)),))</f>
        <v/>
      </c>
      <c r="F62" s="156" t="str">
        <f ca="1">IF(ROWS($1:49)&gt;COUNT(Dong1),"",IF(OFFSET(TH!O$1,SMALL(Dong1,ROWS($1:49)),)="1111",OFFSET(TH!N$1,SMALL(Dong1,ROWS($1:49)),),OFFSET(TH!O$1,SMALL(Dong1,ROWS($1:49)),)))</f>
        <v/>
      </c>
      <c r="G62" s="157" t="str">
        <f ca="1">IF(ROWS($1:49)&gt;COUNT(Dong1),"",IF(OFFSET(TH!N$1,SMALL(Dong1,ROWS($1:49)),)="1111",OFFSET(TH!M$1,SMALL(Dong1,ROWS($1:49)),),0))</f>
        <v/>
      </c>
      <c r="H62" s="155" t="str">
        <f ca="1">IF(ROWS($1:49)&gt;COUNT(Dong1),"",IF(OFFSET(TH!O$1,SMALL(Dong1,ROWS($1:49)),)="1111",OFFSET(TH!M$1,SMALL(Dong1,ROWS($1:49)),),0))</f>
        <v/>
      </c>
      <c r="I62" s="153">
        <f t="shared" ca="1" si="1"/>
        <v>0</v>
      </c>
      <c r="J62" s="158"/>
    </row>
    <row r="63" spans="1:10" s="143" customFormat="1" ht="19.5" customHeight="1">
      <c r="A63" s="152" t="str">
        <f ca="1">IF(ROWS($1:50)&gt;COUNT(Dong1),"",OFFSET(TH!C$1,SMALL(Dong1,ROWS($1:50)),))</f>
        <v/>
      </c>
      <c r="B63" s="152" t="str">
        <f ca="1">IF(ROWS($1:50)&gt;COUNT(Dong1),"",OFFSET(TH!E$1,SMALL(Dong1,ROWS($1:50)),))</f>
        <v/>
      </c>
      <c r="C63" s="153" t="str">
        <f ca="1">IF(ROWS($1:50)&gt;COUNT(Dong1),"",IF(OFFSET(TH!N$1,SMALL(Dong1,ROWS($1:50)),)="1111",OFFSET(TH!D$1,SMALL(Dong1,ROWS($1:50)),),""))</f>
        <v/>
      </c>
      <c r="D63" s="154" t="str">
        <f ca="1">IF(ROWS($1:50)&gt;COUNT(Dong1),"",IF(OFFSET(TH!O$1,SMALL(Dong1,ROWS($1:50)),)="1111",OFFSET(TH!D$1,SMALL(Dong1,ROWS($1:50)),),""))</f>
        <v/>
      </c>
      <c r="E63" s="342" t="str">
        <f ca="1">IF(ROWS($1:50)&gt;COUNT(Dong1),"",OFFSET(TH!F$1,SMALL(Dong1,ROWS($1:50)),))</f>
        <v/>
      </c>
      <c r="F63" s="156" t="str">
        <f ca="1">IF(ROWS($1:50)&gt;COUNT(Dong1),"",IF(OFFSET(TH!O$1,SMALL(Dong1,ROWS($1:50)),)="1111",OFFSET(TH!N$1,SMALL(Dong1,ROWS($1:50)),),OFFSET(TH!O$1,SMALL(Dong1,ROWS($1:50)),)))</f>
        <v/>
      </c>
      <c r="G63" s="157" t="str">
        <f ca="1">IF(ROWS($1:50)&gt;COUNT(Dong1),"",IF(OFFSET(TH!N$1,SMALL(Dong1,ROWS($1:50)),)="1111",OFFSET(TH!M$1,SMALL(Dong1,ROWS($1:50)),),0))</f>
        <v/>
      </c>
      <c r="H63" s="155" t="str">
        <f ca="1">IF(ROWS($1:50)&gt;COUNT(Dong1),"",IF(OFFSET(TH!O$1,SMALL(Dong1,ROWS($1:50)),)="1111",OFFSET(TH!M$1,SMALL(Dong1,ROWS($1:50)),),0))</f>
        <v/>
      </c>
      <c r="I63" s="153">
        <f t="shared" ca="1" si="1"/>
        <v>0</v>
      </c>
      <c r="J63" s="158"/>
    </row>
    <row r="64" spans="1:10" s="143" customFormat="1" ht="19.5" customHeight="1">
      <c r="A64" s="152" t="str">
        <f ca="1">IF(ROWS($1:51)&gt;COUNT(Dong1),"",OFFSET(TH!C$1,SMALL(Dong1,ROWS($1:51)),))</f>
        <v/>
      </c>
      <c r="B64" s="152" t="str">
        <f ca="1">IF(ROWS($1:51)&gt;COUNT(Dong1),"",OFFSET(TH!E$1,SMALL(Dong1,ROWS($1:51)),))</f>
        <v/>
      </c>
      <c r="C64" s="153" t="str">
        <f ca="1">IF(ROWS($1:51)&gt;COUNT(Dong1),"",IF(OFFSET(TH!N$1,SMALL(Dong1,ROWS($1:51)),)="1111",OFFSET(TH!D$1,SMALL(Dong1,ROWS($1:51)),),""))</f>
        <v/>
      </c>
      <c r="D64" s="154" t="str">
        <f ca="1">IF(ROWS($1:51)&gt;COUNT(Dong1),"",IF(OFFSET(TH!O$1,SMALL(Dong1,ROWS($1:51)),)="1111",OFFSET(TH!D$1,SMALL(Dong1,ROWS($1:51)),),""))</f>
        <v/>
      </c>
      <c r="E64" s="342" t="str">
        <f ca="1">IF(ROWS($1:51)&gt;COUNT(Dong1),"",OFFSET(TH!F$1,SMALL(Dong1,ROWS($1:51)),))</f>
        <v/>
      </c>
      <c r="F64" s="156" t="str">
        <f ca="1">IF(ROWS($1:51)&gt;COUNT(Dong1),"",IF(OFFSET(TH!O$1,SMALL(Dong1,ROWS($1:51)),)="1111",OFFSET(TH!N$1,SMALL(Dong1,ROWS($1:51)),),OFFSET(TH!O$1,SMALL(Dong1,ROWS($1:51)),)))</f>
        <v/>
      </c>
      <c r="G64" s="157" t="str">
        <f ca="1">IF(ROWS($1:51)&gt;COUNT(Dong1),"",IF(OFFSET(TH!N$1,SMALL(Dong1,ROWS($1:51)),)="1111",OFFSET(TH!M$1,SMALL(Dong1,ROWS($1:51)),),0))</f>
        <v/>
      </c>
      <c r="H64" s="155" t="str">
        <f ca="1">IF(ROWS($1:51)&gt;COUNT(Dong1),"",IF(OFFSET(TH!O$1,SMALL(Dong1,ROWS($1:51)),)="1111",OFFSET(TH!M$1,SMALL(Dong1,ROWS($1:51)),),0))</f>
        <v/>
      </c>
      <c r="I64" s="153">
        <f t="shared" ca="1" si="1"/>
        <v>0</v>
      </c>
      <c r="J64" s="158"/>
    </row>
    <row r="65" spans="1:10" s="143" customFormat="1" ht="19.5" customHeight="1">
      <c r="A65" s="152" t="str">
        <f ca="1">IF(ROWS($1:52)&gt;COUNT(Dong1),"",OFFSET(TH!C$1,SMALL(Dong1,ROWS($1:52)),))</f>
        <v/>
      </c>
      <c r="B65" s="152" t="str">
        <f ca="1">IF(ROWS($1:52)&gt;COUNT(Dong1),"",OFFSET(TH!E$1,SMALL(Dong1,ROWS($1:52)),))</f>
        <v/>
      </c>
      <c r="C65" s="153" t="str">
        <f ca="1">IF(ROWS($1:52)&gt;COUNT(Dong1),"",IF(OFFSET(TH!N$1,SMALL(Dong1,ROWS($1:52)),)="1111",OFFSET(TH!D$1,SMALL(Dong1,ROWS($1:52)),),""))</f>
        <v/>
      </c>
      <c r="D65" s="154" t="str">
        <f ca="1">IF(ROWS($1:52)&gt;COUNT(Dong1),"",IF(OFFSET(TH!O$1,SMALL(Dong1,ROWS($1:52)),)="1111",OFFSET(TH!D$1,SMALL(Dong1,ROWS($1:52)),),""))</f>
        <v/>
      </c>
      <c r="E65" s="342" t="str">
        <f ca="1">IF(ROWS($1:52)&gt;COUNT(Dong1),"",OFFSET(TH!F$1,SMALL(Dong1,ROWS($1:52)),))</f>
        <v/>
      </c>
      <c r="F65" s="156" t="str">
        <f ca="1">IF(ROWS($1:52)&gt;COUNT(Dong1),"",IF(OFFSET(TH!O$1,SMALL(Dong1,ROWS($1:52)),)="1111",OFFSET(TH!N$1,SMALL(Dong1,ROWS($1:52)),),OFFSET(TH!O$1,SMALL(Dong1,ROWS($1:52)),)))</f>
        <v/>
      </c>
      <c r="G65" s="157" t="str">
        <f ca="1">IF(ROWS($1:52)&gt;COUNT(Dong1),"",IF(OFFSET(TH!N$1,SMALL(Dong1,ROWS($1:52)),)="1111",OFFSET(TH!M$1,SMALL(Dong1,ROWS($1:52)),),0))</f>
        <v/>
      </c>
      <c r="H65" s="155" t="str">
        <f ca="1">IF(ROWS($1:52)&gt;COUNT(Dong1),"",IF(OFFSET(TH!O$1,SMALL(Dong1,ROWS($1:52)),)="1111",OFFSET(TH!M$1,SMALL(Dong1,ROWS($1:52)),),0))</f>
        <v/>
      </c>
      <c r="I65" s="153">
        <f t="shared" ca="1" si="1"/>
        <v>0</v>
      </c>
      <c r="J65" s="158"/>
    </row>
    <row r="66" spans="1:10" s="143" customFormat="1" ht="19.5" customHeight="1">
      <c r="A66" s="152" t="str">
        <f ca="1">IF(ROWS($1:53)&gt;COUNT(Dong1),"",OFFSET(TH!C$1,SMALL(Dong1,ROWS($1:53)),))</f>
        <v/>
      </c>
      <c r="B66" s="152" t="str">
        <f ca="1">IF(ROWS($1:53)&gt;COUNT(Dong1),"",OFFSET(TH!E$1,SMALL(Dong1,ROWS($1:53)),))</f>
        <v/>
      </c>
      <c r="C66" s="153" t="str">
        <f ca="1">IF(ROWS($1:53)&gt;COUNT(Dong1),"",IF(OFFSET(TH!N$1,SMALL(Dong1,ROWS($1:53)),)="1111",OFFSET(TH!D$1,SMALL(Dong1,ROWS($1:53)),),""))</f>
        <v/>
      </c>
      <c r="D66" s="154" t="str">
        <f ca="1">IF(ROWS($1:53)&gt;COUNT(Dong1),"",IF(OFFSET(TH!O$1,SMALL(Dong1,ROWS($1:53)),)="1111",OFFSET(TH!D$1,SMALL(Dong1,ROWS($1:53)),),""))</f>
        <v/>
      </c>
      <c r="E66" s="342" t="str">
        <f ca="1">IF(ROWS($1:53)&gt;COUNT(Dong1),"",OFFSET(TH!F$1,SMALL(Dong1,ROWS($1:53)),))</f>
        <v/>
      </c>
      <c r="F66" s="156" t="str">
        <f ca="1">IF(ROWS($1:53)&gt;COUNT(Dong1),"",IF(OFFSET(TH!O$1,SMALL(Dong1,ROWS($1:53)),)="1111",OFFSET(TH!N$1,SMALL(Dong1,ROWS($1:53)),),OFFSET(TH!O$1,SMALL(Dong1,ROWS($1:53)),)))</f>
        <v/>
      </c>
      <c r="G66" s="157" t="str">
        <f ca="1">IF(ROWS($1:53)&gt;COUNT(Dong1),"",IF(OFFSET(TH!N$1,SMALL(Dong1,ROWS($1:53)),)="1111",OFFSET(TH!M$1,SMALL(Dong1,ROWS($1:53)),),0))</f>
        <v/>
      </c>
      <c r="H66" s="155" t="str">
        <f ca="1">IF(ROWS($1:53)&gt;COUNT(Dong1),"",IF(OFFSET(TH!O$1,SMALL(Dong1,ROWS($1:53)),)="1111",OFFSET(TH!M$1,SMALL(Dong1,ROWS($1:53)),),0))</f>
        <v/>
      </c>
      <c r="I66" s="153">
        <f t="shared" ca="1" si="1"/>
        <v>0</v>
      </c>
      <c r="J66" s="158"/>
    </row>
    <row r="67" spans="1:10" s="143" customFormat="1" ht="19.5" customHeight="1">
      <c r="A67" s="152" t="str">
        <f ca="1">IF(ROWS($1:54)&gt;COUNT(Dong1),"",OFFSET(TH!C$1,SMALL(Dong1,ROWS($1:54)),))</f>
        <v/>
      </c>
      <c r="B67" s="152" t="str">
        <f ca="1">IF(ROWS($1:54)&gt;COUNT(Dong1),"",OFFSET(TH!E$1,SMALL(Dong1,ROWS($1:54)),))</f>
        <v/>
      </c>
      <c r="C67" s="153" t="str">
        <f ca="1">IF(ROWS($1:54)&gt;COUNT(Dong1),"",IF(OFFSET(TH!N$1,SMALL(Dong1,ROWS($1:54)),)="1111",OFFSET(TH!D$1,SMALL(Dong1,ROWS($1:54)),),""))</f>
        <v/>
      </c>
      <c r="D67" s="154" t="str">
        <f ca="1">IF(ROWS($1:54)&gt;COUNT(Dong1),"",IF(OFFSET(TH!O$1,SMALL(Dong1,ROWS($1:54)),)="1111",OFFSET(TH!D$1,SMALL(Dong1,ROWS($1:54)),),""))</f>
        <v/>
      </c>
      <c r="E67" s="342" t="str">
        <f ca="1">IF(ROWS($1:54)&gt;COUNT(Dong1),"",OFFSET(TH!F$1,SMALL(Dong1,ROWS($1:54)),))</f>
        <v/>
      </c>
      <c r="F67" s="156" t="str">
        <f ca="1">IF(ROWS($1:54)&gt;COUNT(Dong1),"",IF(OFFSET(TH!O$1,SMALL(Dong1,ROWS($1:54)),)="1111",OFFSET(TH!N$1,SMALL(Dong1,ROWS($1:54)),),OFFSET(TH!O$1,SMALL(Dong1,ROWS($1:54)),)))</f>
        <v/>
      </c>
      <c r="G67" s="157" t="str">
        <f ca="1">IF(ROWS($1:54)&gt;COUNT(Dong1),"",IF(OFFSET(TH!N$1,SMALL(Dong1,ROWS($1:54)),)="1111",OFFSET(TH!M$1,SMALL(Dong1,ROWS($1:54)),),0))</f>
        <v/>
      </c>
      <c r="H67" s="155" t="str">
        <f ca="1">IF(ROWS($1:54)&gt;COUNT(Dong1),"",IF(OFFSET(TH!O$1,SMALL(Dong1,ROWS($1:54)),)="1111",OFFSET(TH!M$1,SMALL(Dong1,ROWS($1:54)),),0))</f>
        <v/>
      </c>
      <c r="I67" s="153">
        <f t="shared" ca="1" si="1"/>
        <v>0</v>
      </c>
      <c r="J67" s="158"/>
    </row>
    <row r="68" spans="1:10" s="143" customFormat="1" ht="19.5" customHeight="1">
      <c r="A68" s="152" t="str">
        <f ca="1">IF(ROWS($1:55)&gt;COUNT(Dong1),"",OFFSET(TH!C$1,SMALL(Dong1,ROWS($1:55)),))</f>
        <v/>
      </c>
      <c r="B68" s="152" t="str">
        <f ca="1">IF(ROWS($1:55)&gt;COUNT(Dong1),"",OFFSET(TH!E$1,SMALL(Dong1,ROWS($1:55)),))</f>
        <v/>
      </c>
      <c r="C68" s="153" t="str">
        <f ca="1">IF(ROWS($1:55)&gt;COUNT(Dong1),"",IF(OFFSET(TH!N$1,SMALL(Dong1,ROWS($1:55)),)="1111",OFFSET(TH!D$1,SMALL(Dong1,ROWS($1:55)),),""))</f>
        <v/>
      </c>
      <c r="D68" s="154" t="str">
        <f ca="1">IF(ROWS($1:55)&gt;COUNT(Dong1),"",IF(OFFSET(TH!O$1,SMALL(Dong1,ROWS($1:55)),)="1111",OFFSET(TH!D$1,SMALL(Dong1,ROWS($1:55)),),""))</f>
        <v/>
      </c>
      <c r="E68" s="342" t="str">
        <f ca="1">IF(ROWS($1:55)&gt;COUNT(Dong1),"",OFFSET(TH!F$1,SMALL(Dong1,ROWS($1:55)),))</f>
        <v/>
      </c>
      <c r="F68" s="156" t="str">
        <f ca="1">IF(ROWS($1:55)&gt;COUNT(Dong1),"",IF(OFFSET(TH!O$1,SMALL(Dong1,ROWS($1:55)),)="1111",OFFSET(TH!N$1,SMALL(Dong1,ROWS($1:55)),),OFFSET(TH!O$1,SMALL(Dong1,ROWS($1:55)),)))</f>
        <v/>
      </c>
      <c r="G68" s="157" t="str">
        <f ca="1">IF(ROWS($1:55)&gt;COUNT(Dong1),"",IF(OFFSET(TH!N$1,SMALL(Dong1,ROWS($1:55)),)="1111",OFFSET(TH!M$1,SMALL(Dong1,ROWS($1:55)),),0))</f>
        <v/>
      </c>
      <c r="H68" s="155" t="str">
        <f ca="1">IF(ROWS($1:55)&gt;COUNT(Dong1),"",IF(OFFSET(TH!O$1,SMALL(Dong1,ROWS($1:55)),)="1111",OFFSET(TH!M$1,SMALL(Dong1,ROWS($1:55)),),0))</f>
        <v/>
      </c>
      <c r="I68" s="153">
        <f t="shared" ca="1" si="1"/>
        <v>0</v>
      </c>
      <c r="J68" s="158"/>
    </row>
    <row r="69" spans="1:10" s="143" customFormat="1" ht="19.5" customHeight="1">
      <c r="A69" s="152" t="str">
        <f ca="1">IF(ROWS($1:56)&gt;COUNT(Dong1),"",OFFSET(TH!C$1,SMALL(Dong1,ROWS($1:56)),))</f>
        <v/>
      </c>
      <c r="B69" s="152" t="str">
        <f ca="1">IF(ROWS($1:56)&gt;COUNT(Dong1),"",OFFSET(TH!E$1,SMALL(Dong1,ROWS($1:56)),))</f>
        <v/>
      </c>
      <c r="C69" s="153" t="str">
        <f ca="1">IF(ROWS($1:56)&gt;COUNT(Dong1),"",IF(OFFSET(TH!N$1,SMALL(Dong1,ROWS($1:56)),)="1111",OFFSET(TH!D$1,SMALL(Dong1,ROWS($1:56)),),""))</f>
        <v/>
      </c>
      <c r="D69" s="154" t="str">
        <f ca="1">IF(ROWS($1:56)&gt;COUNT(Dong1),"",IF(OFFSET(TH!O$1,SMALL(Dong1,ROWS($1:56)),)="1111",OFFSET(TH!D$1,SMALL(Dong1,ROWS($1:56)),),""))</f>
        <v/>
      </c>
      <c r="E69" s="342" t="str">
        <f ca="1">IF(ROWS($1:56)&gt;COUNT(Dong1),"",OFFSET(TH!F$1,SMALL(Dong1,ROWS($1:56)),))</f>
        <v/>
      </c>
      <c r="F69" s="156" t="str">
        <f ca="1">IF(ROWS($1:56)&gt;COUNT(Dong1),"",IF(OFFSET(TH!O$1,SMALL(Dong1,ROWS($1:56)),)="1111",OFFSET(TH!N$1,SMALL(Dong1,ROWS($1:56)),),OFFSET(TH!O$1,SMALL(Dong1,ROWS($1:56)),)))</f>
        <v/>
      </c>
      <c r="G69" s="157" t="str">
        <f ca="1">IF(ROWS($1:56)&gt;COUNT(Dong1),"",IF(OFFSET(TH!N$1,SMALL(Dong1,ROWS($1:56)),)="1111",OFFSET(TH!M$1,SMALL(Dong1,ROWS($1:56)),),0))</f>
        <v/>
      </c>
      <c r="H69" s="155" t="str">
        <f ca="1">IF(ROWS($1:56)&gt;COUNT(Dong1),"",IF(OFFSET(TH!O$1,SMALL(Dong1,ROWS($1:56)),)="1111",OFFSET(TH!M$1,SMALL(Dong1,ROWS($1:56)),),0))</f>
        <v/>
      </c>
      <c r="I69" s="153">
        <f t="shared" ca="1" si="1"/>
        <v>0</v>
      </c>
      <c r="J69" s="158"/>
    </row>
    <row r="70" spans="1:10" s="143" customFormat="1" ht="19.5" customHeight="1">
      <c r="A70" s="152" t="str">
        <f ca="1">IF(ROWS($1:57)&gt;COUNT(Dong1),"",OFFSET(TH!C$1,SMALL(Dong1,ROWS($1:57)),))</f>
        <v/>
      </c>
      <c r="B70" s="152" t="str">
        <f ca="1">IF(ROWS($1:57)&gt;COUNT(Dong1),"",OFFSET(TH!E$1,SMALL(Dong1,ROWS($1:57)),))</f>
        <v/>
      </c>
      <c r="C70" s="153" t="str">
        <f ca="1">IF(ROWS($1:57)&gt;COUNT(Dong1),"",IF(OFFSET(TH!N$1,SMALL(Dong1,ROWS($1:57)),)="1111",OFFSET(TH!D$1,SMALL(Dong1,ROWS($1:57)),),""))</f>
        <v/>
      </c>
      <c r="D70" s="154" t="str">
        <f ca="1">IF(ROWS($1:57)&gt;COUNT(Dong1),"",IF(OFFSET(TH!O$1,SMALL(Dong1,ROWS($1:57)),)="1111",OFFSET(TH!D$1,SMALL(Dong1,ROWS($1:57)),),""))</f>
        <v/>
      </c>
      <c r="E70" s="342" t="str">
        <f ca="1">IF(ROWS($1:57)&gt;COUNT(Dong1),"",OFFSET(TH!F$1,SMALL(Dong1,ROWS($1:57)),))</f>
        <v/>
      </c>
      <c r="F70" s="156" t="str">
        <f ca="1">IF(ROWS($1:57)&gt;COUNT(Dong1),"",IF(OFFSET(TH!O$1,SMALL(Dong1,ROWS($1:57)),)="1111",OFFSET(TH!N$1,SMALL(Dong1,ROWS($1:57)),),OFFSET(TH!O$1,SMALL(Dong1,ROWS($1:57)),)))</f>
        <v/>
      </c>
      <c r="G70" s="157" t="str">
        <f ca="1">IF(ROWS($1:57)&gt;COUNT(Dong1),"",IF(OFFSET(TH!N$1,SMALL(Dong1,ROWS($1:57)),)="1111",OFFSET(TH!M$1,SMALL(Dong1,ROWS($1:57)),),0))</f>
        <v/>
      </c>
      <c r="H70" s="155" t="str">
        <f ca="1">IF(ROWS($1:57)&gt;COUNT(Dong1),"",IF(OFFSET(TH!O$1,SMALL(Dong1,ROWS($1:57)),)="1111",OFFSET(TH!M$1,SMALL(Dong1,ROWS($1:57)),),0))</f>
        <v/>
      </c>
      <c r="I70" s="153">
        <f t="shared" ca="1" si="1"/>
        <v>0</v>
      </c>
      <c r="J70" s="158"/>
    </row>
    <row r="71" spans="1:10" s="143" customFormat="1" ht="19.5" customHeight="1">
      <c r="A71" s="152" t="str">
        <f ca="1">IF(ROWS($1:58)&gt;COUNT(Dong1),"",OFFSET(TH!C$1,SMALL(Dong1,ROWS($1:58)),))</f>
        <v/>
      </c>
      <c r="B71" s="152" t="str">
        <f ca="1">IF(ROWS($1:58)&gt;COUNT(Dong1),"",OFFSET(TH!E$1,SMALL(Dong1,ROWS($1:58)),))</f>
        <v/>
      </c>
      <c r="C71" s="153" t="str">
        <f ca="1">IF(ROWS($1:58)&gt;COUNT(Dong1),"",IF(OFFSET(TH!N$1,SMALL(Dong1,ROWS($1:58)),)="1111",OFFSET(TH!D$1,SMALL(Dong1,ROWS($1:58)),),""))</f>
        <v/>
      </c>
      <c r="D71" s="154" t="str">
        <f ca="1">IF(ROWS($1:58)&gt;COUNT(Dong1),"",IF(OFFSET(TH!O$1,SMALL(Dong1,ROWS($1:58)),)="1111",OFFSET(TH!D$1,SMALL(Dong1,ROWS($1:58)),),""))</f>
        <v/>
      </c>
      <c r="E71" s="342" t="str">
        <f ca="1">IF(ROWS($1:58)&gt;COUNT(Dong1),"",OFFSET(TH!F$1,SMALL(Dong1,ROWS($1:58)),))</f>
        <v/>
      </c>
      <c r="F71" s="156" t="str">
        <f ca="1">IF(ROWS($1:58)&gt;COUNT(Dong1),"",IF(OFFSET(TH!O$1,SMALL(Dong1,ROWS($1:58)),)="1111",OFFSET(TH!N$1,SMALL(Dong1,ROWS($1:58)),),OFFSET(TH!O$1,SMALL(Dong1,ROWS($1:58)),)))</f>
        <v/>
      </c>
      <c r="G71" s="157" t="str">
        <f ca="1">IF(ROWS($1:58)&gt;COUNT(Dong1),"",IF(OFFSET(TH!N$1,SMALL(Dong1,ROWS($1:58)),)="1111",OFFSET(TH!M$1,SMALL(Dong1,ROWS($1:58)),),0))</f>
        <v/>
      </c>
      <c r="H71" s="155" t="str">
        <f ca="1">IF(ROWS($1:58)&gt;COUNT(Dong1),"",IF(OFFSET(TH!O$1,SMALL(Dong1,ROWS($1:58)),)="1111",OFFSET(TH!M$1,SMALL(Dong1,ROWS($1:58)),),0))</f>
        <v/>
      </c>
      <c r="I71" s="153">
        <f t="shared" ca="1" si="1"/>
        <v>0</v>
      </c>
      <c r="J71" s="158"/>
    </row>
    <row r="72" spans="1:10" s="143" customFormat="1" ht="19.5" customHeight="1">
      <c r="A72" s="152" t="str">
        <f ca="1">IF(ROWS($1:59)&gt;COUNT(Dong1),"",OFFSET(TH!C$1,SMALL(Dong1,ROWS($1:59)),))</f>
        <v/>
      </c>
      <c r="B72" s="152" t="str">
        <f ca="1">IF(ROWS($1:59)&gt;COUNT(Dong1),"",OFFSET(TH!E$1,SMALL(Dong1,ROWS($1:59)),))</f>
        <v/>
      </c>
      <c r="C72" s="153" t="str">
        <f ca="1">IF(ROWS($1:59)&gt;COUNT(Dong1),"",IF(OFFSET(TH!N$1,SMALL(Dong1,ROWS($1:59)),)="1111",OFFSET(TH!D$1,SMALL(Dong1,ROWS($1:59)),),""))</f>
        <v/>
      </c>
      <c r="D72" s="154" t="str">
        <f ca="1">IF(ROWS($1:59)&gt;COUNT(Dong1),"",IF(OFFSET(TH!O$1,SMALL(Dong1,ROWS($1:59)),)="1111",OFFSET(TH!D$1,SMALL(Dong1,ROWS($1:59)),),""))</f>
        <v/>
      </c>
      <c r="E72" s="342" t="str">
        <f ca="1">IF(ROWS($1:59)&gt;COUNT(Dong1),"",OFFSET(TH!F$1,SMALL(Dong1,ROWS($1:59)),))</f>
        <v/>
      </c>
      <c r="F72" s="156" t="str">
        <f ca="1">IF(ROWS($1:59)&gt;COUNT(Dong1),"",IF(OFFSET(TH!O$1,SMALL(Dong1,ROWS($1:59)),)="1111",OFFSET(TH!N$1,SMALL(Dong1,ROWS($1:59)),),OFFSET(TH!O$1,SMALL(Dong1,ROWS($1:59)),)))</f>
        <v/>
      </c>
      <c r="G72" s="157" t="str">
        <f ca="1">IF(ROWS($1:59)&gt;COUNT(Dong1),"",IF(OFFSET(TH!N$1,SMALL(Dong1,ROWS($1:59)),)="1111",OFFSET(TH!M$1,SMALL(Dong1,ROWS($1:59)),),0))</f>
        <v/>
      </c>
      <c r="H72" s="155" t="str">
        <f ca="1">IF(ROWS($1:59)&gt;COUNT(Dong1),"",IF(OFFSET(TH!O$1,SMALL(Dong1,ROWS($1:59)),)="1111",OFFSET(TH!M$1,SMALL(Dong1,ROWS($1:59)),),0))</f>
        <v/>
      </c>
      <c r="I72" s="153">
        <f t="shared" ca="1" si="1"/>
        <v>0</v>
      </c>
      <c r="J72" s="158"/>
    </row>
    <row r="73" spans="1:10" s="143" customFormat="1" ht="19.5" customHeight="1">
      <c r="A73" s="152" t="str">
        <f ca="1">IF(ROWS($1:60)&gt;COUNT(Dong1),"",OFFSET(TH!C$1,SMALL(Dong1,ROWS($1:60)),))</f>
        <v/>
      </c>
      <c r="B73" s="152" t="str">
        <f ca="1">IF(ROWS($1:60)&gt;COUNT(Dong1),"",OFFSET(TH!E$1,SMALL(Dong1,ROWS($1:60)),))</f>
        <v/>
      </c>
      <c r="C73" s="153" t="str">
        <f ca="1">IF(ROWS($1:60)&gt;COUNT(Dong1),"",IF(OFFSET(TH!N$1,SMALL(Dong1,ROWS($1:60)),)="1111",OFFSET(TH!D$1,SMALL(Dong1,ROWS($1:60)),),""))</f>
        <v/>
      </c>
      <c r="D73" s="154" t="str">
        <f ca="1">IF(ROWS($1:60)&gt;COUNT(Dong1),"",IF(OFFSET(TH!O$1,SMALL(Dong1,ROWS($1:60)),)="1111",OFFSET(TH!D$1,SMALL(Dong1,ROWS($1:60)),),""))</f>
        <v/>
      </c>
      <c r="E73" s="342" t="str">
        <f ca="1">IF(ROWS($1:60)&gt;COUNT(Dong1),"",OFFSET(TH!F$1,SMALL(Dong1,ROWS($1:60)),))</f>
        <v/>
      </c>
      <c r="F73" s="156" t="str">
        <f ca="1">IF(ROWS($1:60)&gt;COUNT(Dong1),"",IF(OFFSET(TH!O$1,SMALL(Dong1,ROWS($1:60)),)="1111",OFFSET(TH!N$1,SMALL(Dong1,ROWS($1:60)),),OFFSET(TH!O$1,SMALL(Dong1,ROWS($1:60)),)))</f>
        <v/>
      </c>
      <c r="G73" s="157" t="str">
        <f ca="1">IF(ROWS($1:60)&gt;COUNT(Dong1),"",IF(OFFSET(TH!N$1,SMALL(Dong1,ROWS($1:60)),)="1111",OFFSET(TH!M$1,SMALL(Dong1,ROWS($1:60)),),0))</f>
        <v/>
      </c>
      <c r="H73" s="155" t="str">
        <f ca="1">IF(ROWS($1:60)&gt;COUNT(Dong1),"",IF(OFFSET(TH!O$1,SMALL(Dong1,ROWS($1:60)),)="1111",OFFSET(TH!M$1,SMALL(Dong1,ROWS($1:60)),),0))</f>
        <v/>
      </c>
      <c r="I73" s="153">
        <f t="shared" ca="1" si="1"/>
        <v>0</v>
      </c>
      <c r="J73" s="158"/>
    </row>
    <row r="74" spans="1:10" s="143" customFormat="1" ht="19.5" customHeight="1">
      <c r="A74" s="152" t="str">
        <f ca="1">IF(ROWS($1:61)&gt;COUNT(Dong1),"",OFFSET(TH!C$1,SMALL(Dong1,ROWS($1:61)),))</f>
        <v/>
      </c>
      <c r="B74" s="152" t="str">
        <f ca="1">IF(ROWS($1:61)&gt;COUNT(Dong1),"",OFFSET(TH!E$1,SMALL(Dong1,ROWS($1:61)),))</f>
        <v/>
      </c>
      <c r="C74" s="153" t="str">
        <f ca="1">IF(ROWS($1:61)&gt;COUNT(Dong1),"",IF(OFFSET(TH!N$1,SMALL(Dong1,ROWS($1:61)),)="1111",OFFSET(TH!D$1,SMALL(Dong1,ROWS($1:61)),),""))</f>
        <v/>
      </c>
      <c r="D74" s="154" t="str">
        <f ca="1">IF(ROWS($1:61)&gt;COUNT(Dong1),"",IF(OFFSET(TH!O$1,SMALL(Dong1,ROWS($1:61)),)="1111",OFFSET(TH!D$1,SMALL(Dong1,ROWS($1:61)),),""))</f>
        <v/>
      </c>
      <c r="E74" s="342" t="str">
        <f ca="1">IF(ROWS($1:61)&gt;COUNT(Dong1),"",OFFSET(TH!F$1,SMALL(Dong1,ROWS($1:61)),))</f>
        <v/>
      </c>
      <c r="F74" s="156" t="str">
        <f ca="1">IF(ROWS($1:61)&gt;COUNT(Dong1),"",IF(OFFSET(TH!O$1,SMALL(Dong1,ROWS($1:61)),)="1111",OFFSET(TH!N$1,SMALL(Dong1,ROWS($1:61)),),OFFSET(TH!O$1,SMALL(Dong1,ROWS($1:61)),)))</f>
        <v/>
      </c>
      <c r="G74" s="157" t="str">
        <f ca="1">IF(ROWS($1:61)&gt;COUNT(Dong1),"",IF(OFFSET(TH!N$1,SMALL(Dong1,ROWS($1:61)),)="1111",OFFSET(TH!M$1,SMALL(Dong1,ROWS($1:61)),),0))</f>
        <v/>
      </c>
      <c r="H74" s="155" t="str">
        <f ca="1">IF(ROWS($1:61)&gt;COUNT(Dong1),"",IF(OFFSET(TH!O$1,SMALL(Dong1,ROWS($1:61)),)="1111",OFFSET(TH!M$1,SMALL(Dong1,ROWS($1:61)),),0))</f>
        <v/>
      </c>
      <c r="I74" s="153">
        <f t="shared" ca="1" si="1"/>
        <v>0</v>
      </c>
      <c r="J74" s="158"/>
    </row>
    <row r="75" spans="1:10" s="143" customFormat="1" ht="19.5" customHeight="1">
      <c r="A75" s="152" t="str">
        <f ca="1">IF(ROWS($1:62)&gt;COUNT(Dong1),"",OFFSET(TH!C$1,SMALL(Dong1,ROWS($1:62)),))</f>
        <v/>
      </c>
      <c r="B75" s="152" t="str">
        <f ca="1">IF(ROWS($1:62)&gt;COUNT(Dong1),"",OFFSET(TH!E$1,SMALL(Dong1,ROWS($1:62)),))</f>
        <v/>
      </c>
      <c r="C75" s="153" t="str">
        <f ca="1">IF(ROWS($1:62)&gt;COUNT(Dong1),"",IF(OFFSET(TH!N$1,SMALL(Dong1,ROWS($1:62)),)="1111",OFFSET(TH!D$1,SMALL(Dong1,ROWS($1:62)),),""))</f>
        <v/>
      </c>
      <c r="D75" s="154" t="str">
        <f ca="1">IF(ROWS($1:62)&gt;COUNT(Dong1),"",IF(OFFSET(TH!O$1,SMALL(Dong1,ROWS($1:62)),)="1111",OFFSET(TH!D$1,SMALL(Dong1,ROWS($1:62)),),""))</f>
        <v/>
      </c>
      <c r="E75" s="342" t="str">
        <f ca="1">IF(ROWS($1:62)&gt;COUNT(Dong1),"",OFFSET(TH!F$1,SMALL(Dong1,ROWS($1:62)),))</f>
        <v/>
      </c>
      <c r="F75" s="156" t="str">
        <f ca="1">IF(ROWS($1:62)&gt;COUNT(Dong1),"",IF(OFFSET(TH!O$1,SMALL(Dong1,ROWS($1:62)),)="1111",OFFSET(TH!N$1,SMALL(Dong1,ROWS($1:62)),),OFFSET(TH!O$1,SMALL(Dong1,ROWS($1:62)),)))</f>
        <v/>
      </c>
      <c r="G75" s="157" t="str">
        <f ca="1">IF(ROWS($1:62)&gt;COUNT(Dong1),"",IF(OFFSET(TH!N$1,SMALL(Dong1,ROWS($1:62)),)="1111",OFFSET(TH!M$1,SMALL(Dong1,ROWS($1:62)),),0))</f>
        <v/>
      </c>
      <c r="H75" s="155" t="str">
        <f ca="1">IF(ROWS($1:62)&gt;COUNT(Dong1),"",IF(OFFSET(TH!O$1,SMALL(Dong1,ROWS($1:62)),)="1111",OFFSET(TH!M$1,SMALL(Dong1,ROWS($1:62)),),0))</f>
        <v/>
      </c>
      <c r="I75" s="153">
        <f t="shared" ca="1" si="1"/>
        <v>0</v>
      </c>
      <c r="J75" s="158"/>
    </row>
    <row r="76" spans="1:10" s="143" customFormat="1" ht="19.5" customHeight="1">
      <c r="A76" s="152" t="str">
        <f ca="1">IF(ROWS($1:63)&gt;COUNT(Dong1),"",OFFSET(TH!C$1,SMALL(Dong1,ROWS($1:63)),))</f>
        <v/>
      </c>
      <c r="B76" s="152" t="str">
        <f ca="1">IF(ROWS($1:63)&gt;COUNT(Dong1),"",OFFSET(TH!E$1,SMALL(Dong1,ROWS($1:63)),))</f>
        <v/>
      </c>
      <c r="C76" s="153" t="str">
        <f ca="1">IF(ROWS($1:63)&gt;COUNT(Dong1),"",IF(OFFSET(TH!N$1,SMALL(Dong1,ROWS($1:63)),)="1111",OFFSET(TH!D$1,SMALL(Dong1,ROWS($1:63)),),""))</f>
        <v/>
      </c>
      <c r="D76" s="154" t="str">
        <f ca="1">IF(ROWS($1:63)&gt;COUNT(Dong1),"",IF(OFFSET(TH!O$1,SMALL(Dong1,ROWS($1:63)),)="1111",OFFSET(TH!D$1,SMALL(Dong1,ROWS($1:63)),),""))</f>
        <v/>
      </c>
      <c r="E76" s="342" t="str">
        <f ca="1">IF(ROWS($1:63)&gt;COUNT(Dong1),"",OFFSET(TH!F$1,SMALL(Dong1,ROWS($1:63)),))</f>
        <v/>
      </c>
      <c r="F76" s="156" t="str">
        <f ca="1">IF(ROWS($1:63)&gt;COUNT(Dong1),"",IF(OFFSET(TH!O$1,SMALL(Dong1,ROWS($1:63)),)="1111",OFFSET(TH!N$1,SMALL(Dong1,ROWS($1:63)),),OFFSET(TH!O$1,SMALL(Dong1,ROWS($1:63)),)))</f>
        <v/>
      </c>
      <c r="G76" s="157" t="str">
        <f ca="1">IF(ROWS($1:63)&gt;COUNT(Dong1),"",IF(OFFSET(TH!N$1,SMALL(Dong1,ROWS($1:63)),)="1111",OFFSET(TH!M$1,SMALL(Dong1,ROWS($1:63)),),0))</f>
        <v/>
      </c>
      <c r="H76" s="155" t="str">
        <f ca="1">IF(ROWS($1:63)&gt;COUNT(Dong1),"",IF(OFFSET(TH!O$1,SMALL(Dong1,ROWS($1:63)),)="1111",OFFSET(TH!M$1,SMALL(Dong1,ROWS($1:63)),),0))</f>
        <v/>
      </c>
      <c r="I76" s="153">
        <f t="shared" ca="1" si="1"/>
        <v>0</v>
      </c>
      <c r="J76" s="158"/>
    </row>
    <row r="77" spans="1:10" s="143" customFormat="1" ht="19.5" customHeight="1">
      <c r="A77" s="152" t="str">
        <f ca="1">IF(ROWS($1:64)&gt;COUNT(Dong1),"",OFFSET(TH!C$1,SMALL(Dong1,ROWS($1:64)),))</f>
        <v/>
      </c>
      <c r="B77" s="152" t="str">
        <f ca="1">IF(ROWS($1:64)&gt;COUNT(Dong1),"",OFFSET(TH!E$1,SMALL(Dong1,ROWS($1:64)),))</f>
        <v/>
      </c>
      <c r="C77" s="153" t="str">
        <f ca="1">IF(ROWS($1:64)&gt;COUNT(Dong1),"",IF(OFFSET(TH!N$1,SMALL(Dong1,ROWS($1:64)),)="1111",OFFSET(TH!D$1,SMALL(Dong1,ROWS($1:64)),),""))</f>
        <v/>
      </c>
      <c r="D77" s="154" t="str">
        <f ca="1">IF(ROWS($1:64)&gt;COUNT(Dong1),"",IF(OFFSET(TH!O$1,SMALL(Dong1,ROWS($1:64)),)="1111",OFFSET(TH!D$1,SMALL(Dong1,ROWS($1:64)),),""))</f>
        <v/>
      </c>
      <c r="E77" s="342" t="str">
        <f ca="1">IF(ROWS($1:64)&gt;COUNT(Dong1),"",OFFSET(TH!F$1,SMALL(Dong1,ROWS($1:64)),))</f>
        <v/>
      </c>
      <c r="F77" s="156" t="str">
        <f ca="1">IF(ROWS($1:64)&gt;COUNT(Dong1),"",IF(OFFSET(TH!O$1,SMALL(Dong1,ROWS($1:64)),)="1111",OFFSET(TH!N$1,SMALL(Dong1,ROWS($1:64)),),OFFSET(TH!O$1,SMALL(Dong1,ROWS($1:64)),)))</f>
        <v/>
      </c>
      <c r="G77" s="157" t="str">
        <f ca="1">IF(ROWS($1:64)&gt;COUNT(Dong1),"",IF(OFFSET(TH!N$1,SMALL(Dong1,ROWS($1:64)),)="1111",OFFSET(TH!M$1,SMALL(Dong1,ROWS($1:64)),),0))</f>
        <v/>
      </c>
      <c r="H77" s="155" t="str">
        <f ca="1">IF(ROWS($1:64)&gt;COUNT(Dong1),"",IF(OFFSET(TH!O$1,SMALL(Dong1,ROWS($1:64)),)="1111",OFFSET(TH!M$1,SMALL(Dong1,ROWS($1:64)),),0))</f>
        <v/>
      </c>
      <c r="I77" s="153">
        <f t="shared" ca="1" si="1"/>
        <v>0</v>
      </c>
      <c r="J77" s="158"/>
    </row>
    <row r="78" spans="1:10" s="143" customFormat="1" ht="19.5" customHeight="1">
      <c r="A78" s="152" t="str">
        <f ca="1">IF(ROWS($1:65)&gt;COUNT(Dong1),"",OFFSET(TH!C$1,SMALL(Dong1,ROWS($1:65)),))</f>
        <v/>
      </c>
      <c r="B78" s="152" t="str">
        <f ca="1">IF(ROWS($1:65)&gt;COUNT(Dong1),"",OFFSET(TH!E$1,SMALL(Dong1,ROWS($1:65)),))</f>
        <v/>
      </c>
      <c r="C78" s="153" t="str">
        <f ca="1">IF(ROWS($1:65)&gt;COUNT(Dong1),"",IF(OFFSET(TH!N$1,SMALL(Dong1,ROWS($1:65)),)="1111",OFFSET(TH!D$1,SMALL(Dong1,ROWS($1:65)),),""))</f>
        <v/>
      </c>
      <c r="D78" s="154" t="str">
        <f ca="1">IF(ROWS($1:65)&gt;COUNT(Dong1),"",IF(OFFSET(TH!O$1,SMALL(Dong1,ROWS($1:65)),)="1111",OFFSET(TH!D$1,SMALL(Dong1,ROWS($1:65)),),""))</f>
        <v/>
      </c>
      <c r="E78" s="342" t="str">
        <f ca="1">IF(ROWS($1:65)&gt;COUNT(Dong1),"",OFFSET(TH!F$1,SMALL(Dong1,ROWS($1:65)),))</f>
        <v/>
      </c>
      <c r="F78" s="156" t="str">
        <f ca="1">IF(ROWS($1:65)&gt;COUNT(Dong1),"",IF(OFFSET(TH!O$1,SMALL(Dong1,ROWS($1:65)),)="1111",OFFSET(TH!N$1,SMALL(Dong1,ROWS($1:65)),),OFFSET(TH!O$1,SMALL(Dong1,ROWS($1:65)),)))</f>
        <v/>
      </c>
      <c r="G78" s="157" t="str">
        <f ca="1">IF(ROWS($1:65)&gt;COUNT(Dong1),"",IF(OFFSET(TH!N$1,SMALL(Dong1,ROWS($1:65)),)="1111",OFFSET(TH!M$1,SMALL(Dong1,ROWS($1:65)),),0))</f>
        <v/>
      </c>
      <c r="H78" s="155" t="str">
        <f ca="1">IF(ROWS($1:65)&gt;COUNT(Dong1),"",IF(OFFSET(TH!O$1,SMALL(Dong1,ROWS($1:65)),)="1111",OFFSET(TH!M$1,SMALL(Dong1,ROWS($1:65)),),0))</f>
        <v/>
      </c>
      <c r="I78" s="153">
        <f t="shared" ref="I78:I109" ca="1" si="2">IF(E78&lt;&gt;"",I77+G78-H78,0)</f>
        <v>0</v>
      </c>
      <c r="J78" s="158"/>
    </row>
    <row r="79" spans="1:10" s="143" customFormat="1" ht="19.5" customHeight="1">
      <c r="A79" s="152" t="str">
        <f ca="1">IF(ROWS($1:66)&gt;COUNT(Dong1),"",OFFSET(TH!C$1,SMALL(Dong1,ROWS($1:66)),))</f>
        <v/>
      </c>
      <c r="B79" s="152" t="str">
        <f ca="1">IF(ROWS($1:66)&gt;COUNT(Dong1),"",OFFSET(TH!E$1,SMALL(Dong1,ROWS($1:66)),))</f>
        <v/>
      </c>
      <c r="C79" s="153" t="str">
        <f ca="1">IF(ROWS($1:66)&gt;COUNT(Dong1),"",IF(OFFSET(TH!N$1,SMALL(Dong1,ROWS($1:66)),)="1111",OFFSET(TH!D$1,SMALL(Dong1,ROWS($1:66)),),""))</f>
        <v/>
      </c>
      <c r="D79" s="154" t="str">
        <f ca="1">IF(ROWS($1:66)&gt;COUNT(Dong1),"",IF(OFFSET(TH!O$1,SMALL(Dong1,ROWS($1:66)),)="1111",OFFSET(TH!D$1,SMALL(Dong1,ROWS($1:66)),),""))</f>
        <v/>
      </c>
      <c r="E79" s="342" t="str">
        <f ca="1">IF(ROWS($1:66)&gt;COUNT(Dong1),"",OFFSET(TH!F$1,SMALL(Dong1,ROWS($1:66)),))</f>
        <v/>
      </c>
      <c r="F79" s="156" t="str">
        <f ca="1">IF(ROWS($1:66)&gt;COUNT(Dong1),"",IF(OFFSET(TH!O$1,SMALL(Dong1,ROWS($1:66)),)="1111",OFFSET(TH!N$1,SMALL(Dong1,ROWS($1:66)),),OFFSET(TH!O$1,SMALL(Dong1,ROWS($1:66)),)))</f>
        <v/>
      </c>
      <c r="G79" s="157" t="str">
        <f ca="1">IF(ROWS($1:66)&gt;COUNT(Dong1),"",IF(OFFSET(TH!N$1,SMALL(Dong1,ROWS($1:66)),)="1111",OFFSET(TH!M$1,SMALL(Dong1,ROWS($1:66)),),0))</f>
        <v/>
      </c>
      <c r="H79" s="155" t="str">
        <f ca="1">IF(ROWS($1:66)&gt;COUNT(Dong1),"",IF(OFFSET(TH!O$1,SMALL(Dong1,ROWS($1:66)),)="1111",OFFSET(TH!M$1,SMALL(Dong1,ROWS($1:66)),),0))</f>
        <v/>
      </c>
      <c r="I79" s="153">
        <f t="shared" ca="1" si="2"/>
        <v>0</v>
      </c>
      <c r="J79" s="158"/>
    </row>
    <row r="80" spans="1:10" s="143" customFormat="1" ht="19.5" customHeight="1">
      <c r="A80" s="152" t="str">
        <f ca="1">IF(ROWS($1:67)&gt;COUNT(Dong1),"",OFFSET(TH!C$1,SMALL(Dong1,ROWS($1:67)),))</f>
        <v/>
      </c>
      <c r="B80" s="152" t="str">
        <f ca="1">IF(ROWS($1:67)&gt;COUNT(Dong1),"",OFFSET(TH!E$1,SMALL(Dong1,ROWS($1:67)),))</f>
        <v/>
      </c>
      <c r="C80" s="153" t="str">
        <f ca="1">IF(ROWS($1:67)&gt;COUNT(Dong1),"",IF(OFFSET(TH!N$1,SMALL(Dong1,ROWS($1:67)),)="1111",OFFSET(TH!D$1,SMALL(Dong1,ROWS($1:67)),),""))</f>
        <v/>
      </c>
      <c r="D80" s="154" t="str">
        <f ca="1">IF(ROWS($1:67)&gt;COUNT(Dong1),"",IF(OFFSET(TH!O$1,SMALL(Dong1,ROWS($1:67)),)="1111",OFFSET(TH!D$1,SMALL(Dong1,ROWS($1:67)),),""))</f>
        <v/>
      </c>
      <c r="E80" s="342" t="str">
        <f ca="1">IF(ROWS($1:67)&gt;COUNT(Dong1),"",OFFSET(TH!F$1,SMALL(Dong1,ROWS($1:67)),))</f>
        <v/>
      </c>
      <c r="F80" s="156" t="str">
        <f ca="1">IF(ROWS($1:67)&gt;COUNT(Dong1),"",IF(OFFSET(TH!O$1,SMALL(Dong1,ROWS($1:67)),)="1111",OFFSET(TH!N$1,SMALL(Dong1,ROWS($1:67)),),OFFSET(TH!O$1,SMALL(Dong1,ROWS($1:67)),)))</f>
        <v/>
      </c>
      <c r="G80" s="157" t="str">
        <f ca="1">IF(ROWS($1:67)&gt;COUNT(Dong1),"",IF(OFFSET(TH!N$1,SMALL(Dong1,ROWS($1:67)),)="1111",OFFSET(TH!M$1,SMALL(Dong1,ROWS($1:67)),),0))</f>
        <v/>
      </c>
      <c r="H80" s="155" t="str">
        <f ca="1">IF(ROWS($1:67)&gt;COUNT(Dong1),"",IF(OFFSET(TH!O$1,SMALL(Dong1,ROWS($1:67)),)="1111",OFFSET(TH!M$1,SMALL(Dong1,ROWS($1:67)),),0))</f>
        <v/>
      </c>
      <c r="I80" s="153">
        <f t="shared" ca="1" si="2"/>
        <v>0</v>
      </c>
      <c r="J80" s="158"/>
    </row>
    <row r="81" spans="1:10" s="143" customFormat="1" ht="19.5" customHeight="1">
      <c r="A81" s="152" t="str">
        <f ca="1">IF(ROWS($1:68)&gt;COUNT(Dong1),"",OFFSET(TH!C$1,SMALL(Dong1,ROWS($1:68)),))</f>
        <v/>
      </c>
      <c r="B81" s="152" t="str">
        <f ca="1">IF(ROWS($1:68)&gt;COUNT(Dong1),"",OFFSET(TH!E$1,SMALL(Dong1,ROWS($1:68)),))</f>
        <v/>
      </c>
      <c r="C81" s="153" t="str">
        <f ca="1">IF(ROWS($1:68)&gt;COUNT(Dong1),"",IF(OFFSET(TH!N$1,SMALL(Dong1,ROWS($1:68)),)="1111",OFFSET(TH!D$1,SMALL(Dong1,ROWS($1:68)),),""))</f>
        <v/>
      </c>
      <c r="D81" s="154" t="str">
        <f ca="1">IF(ROWS($1:68)&gt;COUNT(Dong1),"",IF(OFFSET(TH!O$1,SMALL(Dong1,ROWS($1:68)),)="1111",OFFSET(TH!D$1,SMALL(Dong1,ROWS($1:68)),),""))</f>
        <v/>
      </c>
      <c r="E81" s="342" t="str">
        <f ca="1">IF(ROWS($1:68)&gt;COUNT(Dong1),"",OFFSET(TH!F$1,SMALL(Dong1,ROWS($1:68)),))</f>
        <v/>
      </c>
      <c r="F81" s="156" t="str">
        <f ca="1">IF(ROWS($1:68)&gt;COUNT(Dong1),"",IF(OFFSET(TH!O$1,SMALL(Dong1,ROWS($1:68)),)="1111",OFFSET(TH!N$1,SMALL(Dong1,ROWS($1:68)),),OFFSET(TH!O$1,SMALL(Dong1,ROWS($1:68)),)))</f>
        <v/>
      </c>
      <c r="G81" s="157" t="str">
        <f ca="1">IF(ROWS($1:68)&gt;COUNT(Dong1),"",IF(OFFSET(TH!N$1,SMALL(Dong1,ROWS($1:68)),)="1111",OFFSET(TH!M$1,SMALL(Dong1,ROWS($1:68)),),0))</f>
        <v/>
      </c>
      <c r="H81" s="155" t="str">
        <f ca="1">IF(ROWS($1:68)&gt;COUNT(Dong1),"",IF(OFFSET(TH!O$1,SMALL(Dong1,ROWS($1:68)),)="1111",OFFSET(TH!M$1,SMALL(Dong1,ROWS($1:68)),),0))</f>
        <v/>
      </c>
      <c r="I81" s="153">
        <f t="shared" ca="1" si="2"/>
        <v>0</v>
      </c>
      <c r="J81" s="158"/>
    </row>
    <row r="82" spans="1:10" s="143" customFormat="1" ht="19.5" customHeight="1">
      <c r="A82" s="152" t="str">
        <f ca="1">IF(ROWS($1:69)&gt;COUNT(Dong1),"",OFFSET(TH!C$1,SMALL(Dong1,ROWS($1:69)),))</f>
        <v/>
      </c>
      <c r="B82" s="152" t="str">
        <f ca="1">IF(ROWS($1:69)&gt;COUNT(Dong1),"",OFFSET(TH!E$1,SMALL(Dong1,ROWS($1:69)),))</f>
        <v/>
      </c>
      <c r="C82" s="153" t="str">
        <f ca="1">IF(ROWS($1:69)&gt;COUNT(Dong1),"",IF(OFFSET(TH!N$1,SMALL(Dong1,ROWS($1:69)),)="1111",OFFSET(TH!D$1,SMALL(Dong1,ROWS($1:69)),),""))</f>
        <v/>
      </c>
      <c r="D82" s="154" t="str">
        <f ca="1">IF(ROWS($1:69)&gt;COUNT(Dong1),"",IF(OFFSET(TH!O$1,SMALL(Dong1,ROWS($1:69)),)="1111",OFFSET(TH!D$1,SMALL(Dong1,ROWS($1:69)),),""))</f>
        <v/>
      </c>
      <c r="E82" s="342" t="str">
        <f ca="1">IF(ROWS($1:69)&gt;COUNT(Dong1),"",OFFSET(TH!F$1,SMALL(Dong1,ROWS($1:69)),))</f>
        <v/>
      </c>
      <c r="F82" s="156" t="str">
        <f ca="1">IF(ROWS($1:69)&gt;COUNT(Dong1),"",IF(OFFSET(TH!O$1,SMALL(Dong1,ROWS($1:69)),)="1111",OFFSET(TH!N$1,SMALL(Dong1,ROWS($1:69)),),OFFSET(TH!O$1,SMALL(Dong1,ROWS($1:69)),)))</f>
        <v/>
      </c>
      <c r="G82" s="157" t="str">
        <f ca="1">IF(ROWS($1:69)&gt;COUNT(Dong1),"",IF(OFFSET(TH!N$1,SMALL(Dong1,ROWS($1:69)),)="1111",OFFSET(TH!M$1,SMALL(Dong1,ROWS($1:69)),),0))</f>
        <v/>
      </c>
      <c r="H82" s="155" t="str">
        <f ca="1">IF(ROWS($1:69)&gt;COUNT(Dong1),"",IF(OFFSET(TH!O$1,SMALL(Dong1,ROWS($1:69)),)="1111",OFFSET(TH!M$1,SMALL(Dong1,ROWS($1:69)),),0))</f>
        <v/>
      </c>
      <c r="I82" s="153">
        <f t="shared" ca="1" si="2"/>
        <v>0</v>
      </c>
      <c r="J82" s="158"/>
    </row>
    <row r="83" spans="1:10" s="143" customFormat="1" ht="19.5" customHeight="1">
      <c r="A83" s="152" t="str">
        <f ca="1">IF(ROWS($1:70)&gt;COUNT(Dong1),"",OFFSET(TH!C$1,SMALL(Dong1,ROWS($1:70)),))</f>
        <v/>
      </c>
      <c r="B83" s="152" t="str">
        <f ca="1">IF(ROWS($1:70)&gt;COUNT(Dong1),"",OFFSET(TH!E$1,SMALL(Dong1,ROWS($1:70)),))</f>
        <v/>
      </c>
      <c r="C83" s="153" t="str">
        <f ca="1">IF(ROWS($1:70)&gt;COUNT(Dong1),"",IF(OFFSET(TH!N$1,SMALL(Dong1,ROWS($1:70)),)="1111",OFFSET(TH!D$1,SMALL(Dong1,ROWS($1:70)),),""))</f>
        <v/>
      </c>
      <c r="D83" s="154" t="str">
        <f ca="1">IF(ROWS($1:70)&gt;COUNT(Dong1),"",IF(OFFSET(TH!O$1,SMALL(Dong1,ROWS($1:70)),)="1111",OFFSET(TH!D$1,SMALL(Dong1,ROWS($1:70)),),""))</f>
        <v/>
      </c>
      <c r="E83" s="342" t="str">
        <f ca="1">IF(ROWS($1:70)&gt;COUNT(Dong1),"",OFFSET(TH!F$1,SMALL(Dong1,ROWS($1:70)),))</f>
        <v/>
      </c>
      <c r="F83" s="156" t="str">
        <f ca="1">IF(ROWS($1:70)&gt;COUNT(Dong1),"",IF(OFFSET(TH!O$1,SMALL(Dong1,ROWS($1:70)),)="1111",OFFSET(TH!N$1,SMALL(Dong1,ROWS($1:70)),),OFFSET(TH!O$1,SMALL(Dong1,ROWS($1:70)),)))</f>
        <v/>
      </c>
      <c r="G83" s="157" t="str">
        <f ca="1">IF(ROWS($1:70)&gt;COUNT(Dong1),"",IF(OFFSET(TH!N$1,SMALL(Dong1,ROWS($1:70)),)="1111",OFFSET(TH!M$1,SMALL(Dong1,ROWS($1:70)),),0))</f>
        <v/>
      </c>
      <c r="H83" s="155" t="str">
        <f ca="1">IF(ROWS($1:70)&gt;COUNT(Dong1),"",IF(OFFSET(TH!O$1,SMALL(Dong1,ROWS($1:70)),)="1111",OFFSET(TH!M$1,SMALL(Dong1,ROWS($1:70)),),0))</f>
        <v/>
      </c>
      <c r="I83" s="153">
        <f t="shared" ca="1" si="2"/>
        <v>0</v>
      </c>
      <c r="J83" s="158"/>
    </row>
    <row r="84" spans="1:10" s="143" customFormat="1" ht="19.5" customHeight="1">
      <c r="A84" s="152" t="str">
        <f ca="1">IF(ROWS($1:71)&gt;COUNT(Dong1),"",OFFSET(TH!C$1,SMALL(Dong1,ROWS($1:71)),))</f>
        <v/>
      </c>
      <c r="B84" s="152" t="str">
        <f ca="1">IF(ROWS($1:71)&gt;COUNT(Dong1),"",OFFSET(TH!E$1,SMALL(Dong1,ROWS($1:71)),))</f>
        <v/>
      </c>
      <c r="C84" s="153" t="str">
        <f ca="1">IF(ROWS($1:71)&gt;COUNT(Dong1),"",IF(OFFSET(TH!N$1,SMALL(Dong1,ROWS($1:71)),)="1111",OFFSET(TH!D$1,SMALL(Dong1,ROWS($1:71)),),""))</f>
        <v/>
      </c>
      <c r="D84" s="154" t="str">
        <f ca="1">IF(ROWS($1:71)&gt;COUNT(Dong1),"",IF(OFFSET(TH!O$1,SMALL(Dong1,ROWS($1:71)),)="1111",OFFSET(TH!D$1,SMALL(Dong1,ROWS($1:71)),),""))</f>
        <v/>
      </c>
      <c r="E84" s="342" t="str">
        <f ca="1">IF(ROWS($1:71)&gt;COUNT(Dong1),"",OFFSET(TH!F$1,SMALL(Dong1,ROWS($1:71)),))</f>
        <v/>
      </c>
      <c r="F84" s="156" t="str">
        <f ca="1">IF(ROWS($1:71)&gt;COUNT(Dong1),"",IF(OFFSET(TH!O$1,SMALL(Dong1,ROWS($1:71)),)="1111",OFFSET(TH!N$1,SMALL(Dong1,ROWS($1:71)),),OFFSET(TH!O$1,SMALL(Dong1,ROWS($1:71)),)))</f>
        <v/>
      </c>
      <c r="G84" s="157" t="str">
        <f ca="1">IF(ROWS($1:71)&gt;COUNT(Dong1),"",IF(OFFSET(TH!N$1,SMALL(Dong1,ROWS($1:71)),)="1111",OFFSET(TH!M$1,SMALL(Dong1,ROWS($1:71)),),0))</f>
        <v/>
      </c>
      <c r="H84" s="155" t="str">
        <f ca="1">IF(ROWS($1:71)&gt;COUNT(Dong1),"",IF(OFFSET(TH!O$1,SMALL(Dong1,ROWS($1:71)),)="1111",OFFSET(TH!M$1,SMALL(Dong1,ROWS($1:71)),),0))</f>
        <v/>
      </c>
      <c r="I84" s="153">
        <f t="shared" ca="1" si="2"/>
        <v>0</v>
      </c>
      <c r="J84" s="158"/>
    </row>
    <row r="85" spans="1:10" s="143" customFormat="1" ht="19.5" customHeight="1">
      <c r="A85" s="152" t="str">
        <f ca="1">IF(ROWS($1:72)&gt;COUNT(Dong1),"",OFFSET(TH!C$1,SMALL(Dong1,ROWS($1:72)),))</f>
        <v/>
      </c>
      <c r="B85" s="152" t="str">
        <f ca="1">IF(ROWS($1:72)&gt;COUNT(Dong1),"",OFFSET(TH!E$1,SMALL(Dong1,ROWS($1:72)),))</f>
        <v/>
      </c>
      <c r="C85" s="153" t="str">
        <f ca="1">IF(ROWS($1:72)&gt;COUNT(Dong1),"",IF(OFFSET(TH!N$1,SMALL(Dong1,ROWS($1:72)),)="1111",OFFSET(TH!D$1,SMALL(Dong1,ROWS($1:72)),),""))</f>
        <v/>
      </c>
      <c r="D85" s="154" t="str">
        <f ca="1">IF(ROWS($1:72)&gt;COUNT(Dong1),"",IF(OFFSET(TH!O$1,SMALL(Dong1,ROWS($1:72)),)="1111",OFFSET(TH!D$1,SMALL(Dong1,ROWS($1:72)),),""))</f>
        <v/>
      </c>
      <c r="E85" s="342" t="str">
        <f ca="1">IF(ROWS($1:72)&gt;COUNT(Dong1),"",OFFSET(TH!F$1,SMALL(Dong1,ROWS($1:72)),))</f>
        <v/>
      </c>
      <c r="F85" s="156" t="str">
        <f ca="1">IF(ROWS($1:72)&gt;COUNT(Dong1),"",IF(OFFSET(TH!O$1,SMALL(Dong1,ROWS($1:72)),)="1111",OFFSET(TH!N$1,SMALL(Dong1,ROWS($1:72)),),OFFSET(TH!O$1,SMALL(Dong1,ROWS($1:72)),)))</f>
        <v/>
      </c>
      <c r="G85" s="157" t="str">
        <f ca="1">IF(ROWS($1:72)&gt;COUNT(Dong1),"",IF(OFFSET(TH!N$1,SMALL(Dong1,ROWS($1:72)),)="1111",OFFSET(TH!M$1,SMALL(Dong1,ROWS($1:72)),),0))</f>
        <v/>
      </c>
      <c r="H85" s="155" t="str">
        <f ca="1">IF(ROWS($1:72)&gt;COUNT(Dong1),"",IF(OFFSET(TH!O$1,SMALL(Dong1,ROWS($1:72)),)="1111",OFFSET(TH!M$1,SMALL(Dong1,ROWS($1:72)),),0))</f>
        <v/>
      </c>
      <c r="I85" s="153">
        <f t="shared" ca="1" si="2"/>
        <v>0</v>
      </c>
      <c r="J85" s="158"/>
    </row>
    <row r="86" spans="1:10" s="143" customFormat="1" ht="19.5" customHeight="1">
      <c r="A86" s="152" t="str">
        <f ca="1">IF(ROWS($1:73)&gt;COUNT(Dong1),"",OFFSET(TH!C$1,SMALL(Dong1,ROWS($1:73)),))</f>
        <v/>
      </c>
      <c r="B86" s="152" t="str">
        <f ca="1">IF(ROWS($1:73)&gt;COUNT(Dong1),"",OFFSET(TH!E$1,SMALL(Dong1,ROWS($1:73)),))</f>
        <v/>
      </c>
      <c r="C86" s="153" t="str">
        <f ca="1">IF(ROWS($1:73)&gt;COUNT(Dong1),"",IF(OFFSET(TH!N$1,SMALL(Dong1,ROWS($1:73)),)="1111",OFFSET(TH!D$1,SMALL(Dong1,ROWS($1:73)),),""))</f>
        <v/>
      </c>
      <c r="D86" s="154" t="str">
        <f ca="1">IF(ROWS($1:73)&gt;COUNT(Dong1),"",IF(OFFSET(TH!O$1,SMALL(Dong1,ROWS($1:73)),)="1111",OFFSET(TH!D$1,SMALL(Dong1,ROWS($1:73)),),""))</f>
        <v/>
      </c>
      <c r="E86" s="342" t="str">
        <f ca="1">IF(ROWS($1:73)&gt;COUNT(Dong1),"",OFFSET(TH!F$1,SMALL(Dong1,ROWS($1:73)),))</f>
        <v/>
      </c>
      <c r="F86" s="156" t="str">
        <f ca="1">IF(ROWS($1:73)&gt;COUNT(Dong1),"",IF(OFFSET(TH!O$1,SMALL(Dong1,ROWS($1:73)),)="1111",OFFSET(TH!N$1,SMALL(Dong1,ROWS($1:73)),),OFFSET(TH!O$1,SMALL(Dong1,ROWS($1:73)),)))</f>
        <v/>
      </c>
      <c r="G86" s="157" t="str">
        <f ca="1">IF(ROWS($1:73)&gt;COUNT(Dong1),"",IF(OFFSET(TH!N$1,SMALL(Dong1,ROWS($1:73)),)="1111",OFFSET(TH!M$1,SMALL(Dong1,ROWS($1:73)),),0))</f>
        <v/>
      </c>
      <c r="H86" s="155" t="str">
        <f ca="1">IF(ROWS($1:73)&gt;COUNT(Dong1),"",IF(OFFSET(TH!O$1,SMALL(Dong1,ROWS($1:73)),)="1111",OFFSET(TH!M$1,SMALL(Dong1,ROWS($1:73)),),0))</f>
        <v/>
      </c>
      <c r="I86" s="153">
        <f t="shared" ca="1" si="2"/>
        <v>0</v>
      </c>
      <c r="J86" s="158"/>
    </row>
    <row r="87" spans="1:10" s="143" customFormat="1" ht="19.5" customHeight="1">
      <c r="A87" s="152" t="str">
        <f ca="1">IF(ROWS($1:74)&gt;COUNT(Dong1),"",OFFSET(TH!C$1,SMALL(Dong1,ROWS($1:74)),))</f>
        <v/>
      </c>
      <c r="B87" s="152" t="str">
        <f ca="1">IF(ROWS($1:74)&gt;COUNT(Dong1),"",OFFSET(TH!E$1,SMALL(Dong1,ROWS($1:74)),))</f>
        <v/>
      </c>
      <c r="C87" s="153" t="str">
        <f ca="1">IF(ROWS($1:74)&gt;COUNT(Dong1),"",IF(OFFSET(TH!N$1,SMALL(Dong1,ROWS($1:74)),)="1111",OFFSET(TH!D$1,SMALL(Dong1,ROWS($1:74)),),""))</f>
        <v/>
      </c>
      <c r="D87" s="154" t="str">
        <f ca="1">IF(ROWS($1:74)&gt;COUNT(Dong1),"",IF(OFFSET(TH!O$1,SMALL(Dong1,ROWS($1:74)),)="1111",OFFSET(TH!D$1,SMALL(Dong1,ROWS($1:74)),),""))</f>
        <v/>
      </c>
      <c r="E87" s="342" t="str">
        <f ca="1">IF(ROWS($1:74)&gt;COUNT(Dong1),"",OFFSET(TH!F$1,SMALL(Dong1,ROWS($1:74)),))</f>
        <v/>
      </c>
      <c r="F87" s="156" t="str">
        <f ca="1">IF(ROWS($1:74)&gt;COUNT(Dong1),"",IF(OFFSET(TH!O$1,SMALL(Dong1,ROWS($1:74)),)="1111",OFFSET(TH!N$1,SMALL(Dong1,ROWS($1:74)),),OFFSET(TH!O$1,SMALL(Dong1,ROWS($1:74)),)))</f>
        <v/>
      </c>
      <c r="G87" s="157" t="str">
        <f ca="1">IF(ROWS($1:74)&gt;COUNT(Dong1),"",IF(OFFSET(TH!N$1,SMALL(Dong1,ROWS($1:74)),)="1111",OFFSET(TH!M$1,SMALL(Dong1,ROWS($1:74)),),0))</f>
        <v/>
      </c>
      <c r="H87" s="155" t="str">
        <f ca="1">IF(ROWS($1:74)&gt;COUNT(Dong1),"",IF(OFFSET(TH!O$1,SMALL(Dong1,ROWS($1:74)),)="1111",OFFSET(TH!M$1,SMALL(Dong1,ROWS($1:74)),),0))</f>
        <v/>
      </c>
      <c r="I87" s="153">
        <f t="shared" ca="1" si="2"/>
        <v>0</v>
      </c>
      <c r="J87" s="158"/>
    </row>
    <row r="88" spans="1:10" s="143" customFormat="1" ht="19.5" customHeight="1">
      <c r="A88" s="152" t="str">
        <f ca="1">IF(ROWS($1:75)&gt;COUNT(Dong1),"",OFFSET(TH!C$1,SMALL(Dong1,ROWS($1:75)),))</f>
        <v/>
      </c>
      <c r="B88" s="152" t="str">
        <f ca="1">IF(ROWS($1:75)&gt;COUNT(Dong1),"",OFFSET(TH!E$1,SMALL(Dong1,ROWS($1:75)),))</f>
        <v/>
      </c>
      <c r="C88" s="153" t="str">
        <f ca="1">IF(ROWS($1:75)&gt;COUNT(Dong1),"",IF(OFFSET(TH!N$1,SMALL(Dong1,ROWS($1:75)),)="1111",OFFSET(TH!D$1,SMALL(Dong1,ROWS($1:75)),),""))</f>
        <v/>
      </c>
      <c r="D88" s="154" t="str">
        <f ca="1">IF(ROWS($1:75)&gt;COUNT(Dong1),"",IF(OFFSET(TH!O$1,SMALL(Dong1,ROWS($1:75)),)="1111",OFFSET(TH!D$1,SMALL(Dong1,ROWS($1:75)),),""))</f>
        <v/>
      </c>
      <c r="E88" s="342" t="str">
        <f ca="1">IF(ROWS($1:75)&gt;COUNT(Dong1),"",OFFSET(TH!F$1,SMALL(Dong1,ROWS($1:75)),))</f>
        <v/>
      </c>
      <c r="F88" s="156" t="str">
        <f ca="1">IF(ROWS($1:75)&gt;COUNT(Dong1),"",IF(OFFSET(TH!O$1,SMALL(Dong1,ROWS($1:75)),)="1111",OFFSET(TH!N$1,SMALL(Dong1,ROWS($1:75)),),OFFSET(TH!O$1,SMALL(Dong1,ROWS($1:75)),)))</f>
        <v/>
      </c>
      <c r="G88" s="157" t="str">
        <f ca="1">IF(ROWS($1:75)&gt;COUNT(Dong1),"",IF(OFFSET(TH!N$1,SMALL(Dong1,ROWS($1:75)),)="1111",OFFSET(TH!M$1,SMALL(Dong1,ROWS($1:75)),),0))</f>
        <v/>
      </c>
      <c r="H88" s="155" t="str">
        <f ca="1">IF(ROWS($1:75)&gt;COUNT(Dong1),"",IF(OFFSET(TH!O$1,SMALL(Dong1,ROWS($1:75)),)="1111",OFFSET(TH!M$1,SMALL(Dong1,ROWS($1:75)),),0))</f>
        <v/>
      </c>
      <c r="I88" s="153">
        <f t="shared" ca="1" si="2"/>
        <v>0</v>
      </c>
      <c r="J88" s="158"/>
    </row>
    <row r="89" spans="1:10" s="143" customFormat="1" ht="19.5" customHeight="1">
      <c r="A89" s="152" t="str">
        <f ca="1">IF(ROWS($1:76)&gt;COUNT(Dong1),"",OFFSET(TH!C$1,SMALL(Dong1,ROWS($1:76)),))</f>
        <v/>
      </c>
      <c r="B89" s="152" t="str">
        <f ca="1">IF(ROWS($1:76)&gt;COUNT(Dong1),"",OFFSET(TH!E$1,SMALL(Dong1,ROWS($1:76)),))</f>
        <v/>
      </c>
      <c r="C89" s="153" t="str">
        <f ca="1">IF(ROWS($1:76)&gt;COUNT(Dong1),"",IF(OFFSET(TH!N$1,SMALL(Dong1,ROWS($1:76)),)="1111",OFFSET(TH!D$1,SMALL(Dong1,ROWS($1:76)),),""))</f>
        <v/>
      </c>
      <c r="D89" s="154" t="str">
        <f ca="1">IF(ROWS($1:76)&gt;COUNT(Dong1),"",IF(OFFSET(TH!O$1,SMALL(Dong1,ROWS($1:76)),)="1111",OFFSET(TH!D$1,SMALL(Dong1,ROWS($1:76)),),""))</f>
        <v/>
      </c>
      <c r="E89" s="342" t="str">
        <f ca="1">IF(ROWS($1:76)&gt;COUNT(Dong1),"",OFFSET(TH!F$1,SMALL(Dong1,ROWS($1:76)),))</f>
        <v/>
      </c>
      <c r="F89" s="156" t="str">
        <f ca="1">IF(ROWS($1:76)&gt;COUNT(Dong1),"",IF(OFFSET(TH!O$1,SMALL(Dong1,ROWS($1:76)),)="1111",OFFSET(TH!N$1,SMALL(Dong1,ROWS($1:76)),),OFFSET(TH!O$1,SMALL(Dong1,ROWS($1:76)),)))</f>
        <v/>
      </c>
      <c r="G89" s="157" t="str">
        <f ca="1">IF(ROWS($1:76)&gt;COUNT(Dong1),"",IF(OFFSET(TH!N$1,SMALL(Dong1,ROWS($1:76)),)="1111",OFFSET(TH!M$1,SMALL(Dong1,ROWS($1:76)),),0))</f>
        <v/>
      </c>
      <c r="H89" s="155" t="str">
        <f ca="1">IF(ROWS($1:76)&gt;COUNT(Dong1),"",IF(OFFSET(TH!O$1,SMALL(Dong1,ROWS($1:76)),)="1111",OFFSET(TH!M$1,SMALL(Dong1,ROWS($1:76)),),0))</f>
        <v/>
      </c>
      <c r="I89" s="153">
        <f t="shared" ca="1" si="2"/>
        <v>0</v>
      </c>
      <c r="J89" s="158"/>
    </row>
    <row r="90" spans="1:10" s="143" customFormat="1" ht="19.5" customHeight="1">
      <c r="A90" s="152" t="str">
        <f ca="1">IF(ROWS($1:77)&gt;COUNT(Dong1),"",OFFSET(TH!C$1,SMALL(Dong1,ROWS($1:77)),))</f>
        <v/>
      </c>
      <c r="B90" s="152" t="str">
        <f ca="1">IF(ROWS($1:77)&gt;COUNT(Dong1),"",OFFSET(TH!E$1,SMALL(Dong1,ROWS($1:77)),))</f>
        <v/>
      </c>
      <c r="C90" s="153" t="str">
        <f ca="1">IF(ROWS($1:77)&gt;COUNT(Dong1),"",IF(OFFSET(TH!N$1,SMALL(Dong1,ROWS($1:77)),)="1111",OFFSET(TH!D$1,SMALL(Dong1,ROWS($1:77)),),""))</f>
        <v/>
      </c>
      <c r="D90" s="154" t="str">
        <f ca="1">IF(ROWS($1:77)&gt;COUNT(Dong1),"",IF(OFFSET(TH!O$1,SMALL(Dong1,ROWS($1:77)),)="1111",OFFSET(TH!D$1,SMALL(Dong1,ROWS($1:77)),),""))</f>
        <v/>
      </c>
      <c r="E90" s="342" t="str">
        <f ca="1">IF(ROWS($1:77)&gt;COUNT(Dong1),"",OFFSET(TH!F$1,SMALL(Dong1,ROWS($1:77)),))</f>
        <v/>
      </c>
      <c r="F90" s="156" t="str">
        <f ca="1">IF(ROWS($1:77)&gt;COUNT(Dong1),"",IF(OFFSET(TH!O$1,SMALL(Dong1,ROWS($1:77)),)="1111",OFFSET(TH!N$1,SMALL(Dong1,ROWS($1:77)),),OFFSET(TH!O$1,SMALL(Dong1,ROWS($1:77)),)))</f>
        <v/>
      </c>
      <c r="G90" s="157" t="str">
        <f ca="1">IF(ROWS($1:77)&gt;COUNT(Dong1),"",IF(OFFSET(TH!N$1,SMALL(Dong1,ROWS($1:77)),)="1111",OFFSET(TH!M$1,SMALL(Dong1,ROWS($1:77)),),0))</f>
        <v/>
      </c>
      <c r="H90" s="155" t="str">
        <f ca="1">IF(ROWS($1:77)&gt;COUNT(Dong1),"",IF(OFFSET(TH!O$1,SMALL(Dong1,ROWS($1:77)),)="1111",OFFSET(TH!M$1,SMALL(Dong1,ROWS($1:77)),),0))</f>
        <v/>
      </c>
      <c r="I90" s="153">
        <f t="shared" ca="1" si="2"/>
        <v>0</v>
      </c>
      <c r="J90" s="158"/>
    </row>
    <row r="91" spans="1:10" s="143" customFormat="1" ht="19.5" customHeight="1">
      <c r="A91" s="152" t="str">
        <f ca="1">IF(ROWS($1:78)&gt;COUNT(Dong1),"",OFFSET(TH!C$1,SMALL(Dong1,ROWS($1:78)),))</f>
        <v/>
      </c>
      <c r="B91" s="152" t="str">
        <f ca="1">IF(ROWS($1:78)&gt;COUNT(Dong1),"",OFFSET(TH!E$1,SMALL(Dong1,ROWS($1:78)),))</f>
        <v/>
      </c>
      <c r="C91" s="153" t="str">
        <f ca="1">IF(ROWS($1:78)&gt;COUNT(Dong1),"",IF(OFFSET(TH!N$1,SMALL(Dong1,ROWS($1:78)),)="1111",OFFSET(TH!D$1,SMALL(Dong1,ROWS($1:78)),),""))</f>
        <v/>
      </c>
      <c r="D91" s="154" t="str">
        <f ca="1">IF(ROWS($1:78)&gt;COUNT(Dong1),"",IF(OFFSET(TH!O$1,SMALL(Dong1,ROWS($1:78)),)="1111",OFFSET(TH!D$1,SMALL(Dong1,ROWS($1:78)),),""))</f>
        <v/>
      </c>
      <c r="E91" s="342" t="str">
        <f ca="1">IF(ROWS($1:78)&gt;COUNT(Dong1),"",OFFSET(TH!F$1,SMALL(Dong1,ROWS($1:78)),))</f>
        <v/>
      </c>
      <c r="F91" s="156" t="str">
        <f ca="1">IF(ROWS($1:78)&gt;COUNT(Dong1),"",IF(OFFSET(TH!O$1,SMALL(Dong1,ROWS($1:78)),)="1111",OFFSET(TH!N$1,SMALL(Dong1,ROWS($1:78)),),OFFSET(TH!O$1,SMALL(Dong1,ROWS($1:78)),)))</f>
        <v/>
      </c>
      <c r="G91" s="157" t="str">
        <f ca="1">IF(ROWS($1:78)&gt;COUNT(Dong1),"",IF(OFFSET(TH!N$1,SMALL(Dong1,ROWS($1:78)),)="1111",OFFSET(TH!M$1,SMALL(Dong1,ROWS($1:78)),),0))</f>
        <v/>
      </c>
      <c r="H91" s="155" t="str">
        <f ca="1">IF(ROWS($1:78)&gt;COUNT(Dong1),"",IF(OFFSET(TH!O$1,SMALL(Dong1,ROWS($1:78)),)="1111",OFFSET(TH!M$1,SMALL(Dong1,ROWS($1:78)),),0))</f>
        <v/>
      </c>
      <c r="I91" s="153">
        <f t="shared" ca="1" si="2"/>
        <v>0</v>
      </c>
      <c r="J91" s="158"/>
    </row>
    <row r="92" spans="1:10" s="143" customFormat="1" ht="19.5" customHeight="1">
      <c r="A92" s="152" t="str">
        <f ca="1">IF(ROWS($1:79)&gt;COUNT(Dong1),"",OFFSET(TH!C$1,SMALL(Dong1,ROWS($1:79)),))</f>
        <v/>
      </c>
      <c r="B92" s="152" t="str">
        <f ca="1">IF(ROWS($1:79)&gt;COUNT(Dong1),"",OFFSET(TH!E$1,SMALL(Dong1,ROWS($1:79)),))</f>
        <v/>
      </c>
      <c r="C92" s="153" t="str">
        <f ca="1">IF(ROWS($1:79)&gt;COUNT(Dong1),"",IF(OFFSET(TH!N$1,SMALL(Dong1,ROWS($1:79)),)="1111",OFFSET(TH!D$1,SMALL(Dong1,ROWS($1:79)),),""))</f>
        <v/>
      </c>
      <c r="D92" s="154" t="str">
        <f ca="1">IF(ROWS($1:79)&gt;COUNT(Dong1),"",IF(OFFSET(TH!O$1,SMALL(Dong1,ROWS($1:79)),)="1111",OFFSET(TH!D$1,SMALL(Dong1,ROWS($1:79)),),""))</f>
        <v/>
      </c>
      <c r="E92" s="342" t="str">
        <f ca="1">IF(ROWS($1:79)&gt;COUNT(Dong1),"",OFFSET(TH!F$1,SMALL(Dong1,ROWS($1:79)),))</f>
        <v/>
      </c>
      <c r="F92" s="156" t="str">
        <f ca="1">IF(ROWS($1:79)&gt;COUNT(Dong1),"",IF(OFFSET(TH!O$1,SMALL(Dong1,ROWS($1:79)),)="1111",OFFSET(TH!N$1,SMALL(Dong1,ROWS($1:79)),),OFFSET(TH!O$1,SMALL(Dong1,ROWS($1:79)),)))</f>
        <v/>
      </c>
      <c r="G92" s="157" t="str">
        <f ca="1">IF(ROWS($1:79)&gt;COUNT(Dong1),"",IF(OFFSET(TH!N$1,SMALL(Dong1,ROWS($1:79)),)="1111",OFFSET(TH!M$1,SMALL(Dong1,ROWS($1:79)),),0))</f>
        <v/>
      </c>
      <c r="H92" s="155" t="str">
        <f ca="1">IF(ROWS($1:79)&gt;COUNT(Dong1),"",IF(OFFSET(TH!O$1,SMALL(Dong1,ROWS($1:79)),)="1111",OFFSET(TH!M$1,SMALL(Dong1,ROWS($1:79)),),0))</f>
        <v/>
      </c>
      <c r="I92" s="153">
        <f t="shared" ca="1" si="2"/>
        <v>0</v>
      </c>
      <c r="J92" s="158"/>
    </row>
    <row r="93" spans="1:10" s="143" customFormat="1" ht="19.5" customHeight="1">
      <c r="A93" s="152" t="str">
        <f ca="1">IF(ROWS($1:80)&gt;COUNT(Dong1),"",OFFSET(TH!C$1,SMALL(Dong1,ROWS($1:80)),))</f>
        <v/>
      </c>
      <c r="B93" s="152" t="str">
        <f ca="1">IF(ROWS($1:80)&gt;COUNT(Dong1),"",OFFSET(TH!E$1,SMALL(Dong1,ROWS($1:80)),))</f>
        <v/>
      </c>
      <c r="C93" s="153" t="str">
        <f ca="1">IF(ROWS($1:80)&gt;COUNT(Dong1),"",IF(OFFSET(TH!N$1,SMALL(Dong1,ROWS($1:80)),)="1111",OFFSET(TH!D$1,SMALL(Dong1,ROWS($1:80)),),""))</f>
        <v/>
      </c>
      <c r="D93" s="154" t="str">
        <f ca="1">IF(ROWS($1:80)&gt;COUNT(Dong1),"",IF(OFFSET(TH!O$1,SMALL(Dong1,ROWS($1:80)),)="1111",OFFSET(TH!D$1,SMALL(Dong1,ROWS($1:80)),),""))</f>
        <v/>
      </c>
      <c r="E93" s="342" t="str">
        <f ca="1">IF(ROWS($1:80)&gt;COUNT(Dong1),"",OFFSET(TH!F$1,SMALL(Dong1,ROWS($1:80)),))</f>
        <v/>
      </c>
      <c r="F93" s="156" t="str">
        <f ca="1">IF(ROWS($1:80)&gt;COUNT(Dong1),"",IF(OFFSET(TH!O$1,SMALL(Dong1,ROWS($1:80)),)="1111",OFFSET(TH!N$1,SMALL(Dong1,ROWS($1:80)),),OFFSET(TH!O$1,SMALL(Dong1,ROWS($1:80)),)))</f>
        <v/>
      </c>
      <c r="G93" s="157" t="str">
        <f ca="1">IF(ROWS($1:80)&gt;COUNT(Dong1),"",IF(OFFSET(TH!N$1,SMALL(Dong1,ROWS($1:80)),)="1111",OFFSET(TH!M$1,SMALL(Dong1,ROWS($1:80)),),0))</f>
        <v/>
      </c>
      <c r="H93" s="155" t="str">
        <f ca="1">IF(ROWS($1:80)&gt;COUNT(Dong1),"",IF(OFFSET(TH!O$1,SMALL(Dong1,ROWS($1:80)),)="1111",OFFSET(TH!M$1,SMALL(Dong1,ROWS($1:80)),),0))</f>
        <v/>
      </c>
      <c r="I93" s="153">
        <f t="shared" ca="1" si="2"/>
        <v>0</v>
      </c>
      <c r="J93" s="158"/>
    </row>
    <row r="94" spans="1:10" s="143" customFormat="1" ht="19.5" customHeight="1">
      <c r="A94" s="152" t="str">
        <f ca="1">IF(ROWS($1:81)&gt;COUNT(Dong1),"",OFFSET(TH!C$1,SMALL(Dong1,ROWS($1:81)),))</f>
        <v/>
      </c>
      <c r="B94" s="152" t="str">
        <f ca="1">IF(ROWS($1:81)&gt;COUNT(Dong1),"",OFFSET(TH!E$1,SMALL(Dong1,ROWS($1:81)),))</f>
        <v/>
      </c>
      <c r="C94" s="153" t="str">
        <f ca="1">IF(ROWS($1:81)&gt;COUNT(Dong1),"",IF(OFFSET(TH!N$1,SMALL(Dong1,ROWS($1:81)),)="1111",OFFSET(TH!D$1,SMALL(Dong1,ROWS($1:81)),),""))</f>
        <v/>
      </c>
      <c r="D94" s="154" t="str">
        <f ca="1">IF(ROWS($1:81)&gt;COUNT(Dong1),"",IF(OFFSET(TH!O$1,SMALL(Dong1,ROWS($1:81)),)="1111",OFFSET(TH!D$1,SMALL(Dong1,ROWS($1:81)),),""))</f>
        <v/>
      </c>
      <c r="E94" s="342" t="str">
        <f ca="1">IF(ROWS($1:81)&gt;COUNT(Dong1),"",OFFSET(TH!F$1,SMALL(Dong1,ROWS($1:81)),))</f>
        <v/>
      </c>
      <c r="F94" s="156" t="str">
        <f ca="1">IF(ROWS($1:81)&gt;COUNT(Dong1),"",IF(OFFSET(TH!O$1,SMALL(Dong1,ROWS($1:81)),)="1111",OFFSET(TH!N$1,SMALL(Dong1,ROWS($1:81)),),OFFSET(TH!O$1,SMALL(Dong1,ROWS($1:81)),)))</f>
        <v/>
      </c>
      <c r="G94" s="157" t="str">
        <f ca="1">IF(ROWS($1:81)&gt;COUNT(Dong1),"",IF(OFFSET(TH!N$1,SMALL(Dong1,ROWS($1:81)),)="1111",OFFSET(TH!M$1,SMALL(Dong1,ROWS($1:81)),),0))</f>
        <v/>
      </c>
      <c r="H94" s="155" t="str">
        <f ca="1">IF(ROWS($1:81)&gt;COUNT(Dong1),"",IF(OFFSET(TH!O$1,SMALL(Dong1,ROWS($1:81)),)="1111",OFFSET(TH!M$1,SMALL(Dong1,ROWS($1:81)),),0))</f>
        <v/>
      </c>
      <c r="I94" s="153">
        <f t="shared" ca="1" si="2"/>
        <v>0</v>
      </c>
      <c r="J94" s="158"/>
    </row>
    <row r="95" spans="1:10" s="143" customFormat="1" ht="19.5" customHeight="1">
      <c r="A95" s="152" t="str">
        <f ca="1">IF(ROWS($1:82)&gt;COUNT(Dong1),"",OFFSET(TH!C$1,SMALL(Dong1,ROWS($1:82)),))</f>
        <v/>
      </c>
      <c r="B95" s="152" t="str">
        <f ca="1">IF(ROWS($1:82)&gt;COUNT(Dong1),"",OFFSET(TH!E$1,SMALL(Dong1,ROWS($1:82)),))</f>
        <v/>
      </c>
      <c r="C95" s="153" t="str">
        <f ca="1">IF(ROWS($1:82)&gt;COUNT(Dong1),"",IF(OFFSET(TH!N$1,SMALL(Dong1,ROWS($1:82)),)="1111",OFFSET(TH!D$1,SMALL(Dong1,ROWS($1:82)),),""))</f>
        <v/>
      </c>
      <c r="D95" s="154" t="str">
        <f ca="1">IF(ROWS($1:82)&gt;COUNT(Dong1),"",IF(OFFSET(TH!O$1,SMALL(Dong1,ROWS($1:82)),)="1111",OFFSET(TH!D$1,SMALL(Dong1,ROWS($1:82)),),""))</f>
        <v/>
      </c>
      <c r="E95" s="342" t="str">
        <f ca="1">IF(ROWS($1:82)&gt;COUNT(Dong1),"",OFFSET(TH!F$1,SMALL(Dong1,ROWS($1:82)),))</f>
        <v/>
      </c>
      <c r="F95" s="156" t="str">
        <f ca="1">IF(ROWS($1:82)&gt;COUNT(Dong1),"",IF(OFFSET(TH!O$1,SMALL(Dong1,ROWS($1:82)),)="1111",OFFSET(TH!N$1,SMALL(Dong1,ROWS($1:82)),),OFFSET(TH!O$1,SMALL(Dong1,ROWS($1:82)),)))</f>
        <v/>
      </c>
      <c r="G95" s="157" t="str">
        <f ca="1">IF(ROWS($1:82)&gt;COUNT(Dong1),"",IF(OFFSET(TH!N$1,SMALL(Dong1,ROWS($1:82)),)="1111",OFFSET(TH!M$1,SMALL(Dong1,ROWS($1:82)),),0))</f>
        <v/>
      </c>
      <c r="H95" s="155" t="str">
        <f ca="1">IF(ROWS($1:82)&gt;COUNT(Dong1),"",IF(OFFSET(TH!O$1,SMALL(Dong1,ROWS($1:82)),)="1111",OFFSET(TH!M$1,SMALL(Dong1,ROWS($1:82)),),0))</f>
        <v/>
      </c>
      <c r="I95" s="153">
        <f t="shared" ca="1" si="2"/>
        <v>0</v>
      </c>
      <c r="J95" s="158"/>
    </row>
    <row r="96" spans="1:10" s="143" customFormat="1" ht="19.5" customHeight="1">
      <c r="A96" s="152" t="str">
        <f ca="1">IF(ROWS($1:83)&gt;COUNT(Dong1),"",OFFSET(TH!C$1,SMALL(Dong1,ROWS($1:83)),))</f>
        <v/>
      </c>
      <c r="B96" s="152" t="str">
        <f ca="1">IF(ROWS($1:83)&gt;COUNT(Dong1),"",OFFSET(TH!E$1,SMALL(Dong1,ROWS($1:83)),))</f>
        <v/>
      </c>
      <c r="C96" s="153" t="str">
        <f ca="1">IF(ROWS($1:83)&gt;COUNT(Dong1),"",IF(OFFSET(TH!N$1,SMALL(Dong1,ROWS($1:83)),)="1111",OFFSET(TH!D$1,SMALL(Dong1,ROWS($1:83)),),""))</f>
        <v/>
      </c>
      <c r="D96" s="154" t="str">
        <f ca="1">IF(ROWS($1:83)&gt;COUNT(Dong1),"",IF(OFFSET(TH!O$1,SMALL(Dong1,ROWS($1:83)),)="1111",OFFSET(TH!D$1,SMALL(Dong1,ROWS($1:83)),),""))</f>
        <v/>
      </c>
      <c r="E96" s="342" t="str">
        <f ca="1">IF(ROWS($1:83)&gt;COUNT(Dong1),"",OFFSET(TH!F$1,SMALL(Dong1,ROWS($1:83)),))</f>
        <v/>
      </c>
      <c r="F96" s="156" t="str">
        <f ca="1">IF(ROWS($1:83)&gt;COUNT(Dong1),"",IF(OFFSET(TH!O$1,SMALL(Dong1,ROWS($1:83)),)="1111",OFFSET(TH!N$1,SMALL(Dong1,ROWS($1:83)),),OFFSET(TH!O$1,SMALL(Dong1,ROWS($1:83)),)))</f>
        <v/>
      </c>
      <c r="G96" s="157" t="str">
        <f ca="1">IF(ROWS($1:83)&gt;COUNT(Dong1),"",IF(OFFSET(TH!N$1,SMALL(Dong1,ROWS($1:83)),)="1111",OFFSET(TH!M$1,SMALL(Dong1,ROWS($1:83)),),0))</f>
        <v/>
      </c>
      <c r="H96" s="155" t="str">
        <f ca="1">IF(ROWS($1:83)&gt;COUNT(Dong1),"",IF(OFFSET(TH!O$1,SMALL(Dong1,ROWS($1:83)),)="1111",OFFSET(TH!M$1,SMALL(Dong1,ROWS($1:83)),),0))</f>
        <v/>
      </c>
      <c r="I96" s="153">
        <f t="shared" ca="1" si="2"/>
        <v>0</v>
      </c>
      <c r="J96" s="158"/>
    </row>
    <row r="97" spans="1:10" s="143" customFormat="1" ht="19.5" customHeight="1">
      <c r="A97" s="152" t="str">
        <f ca="1">IF(ROWS($1:84)&gt;COUNT(Dong1),"",OFFSET(TH!C$1,SMALL(Dong1,ROWS($1:84)),))</f>
        <v/>
      </c>
      <c r="B97" s="152" t="str">
        <f ca="1">IF(ROWS($1:84)&gt;COUNT(Dong1),"",OFFSET(TH!E$1,SMALL(Dong1,ROWS($1:84)),))</f>
        <v/>
      </c>
      <c r="C97" s="153" t="str">
        <f ca="1">IF(ROWS($1:84)&gt;COUNT(Dong1),"",IF(OFFSET(TH!N$1,SMALL(Dong1,ROWS($1:84)),)="1111",OFFSET(TH!D$1,SMALL(Dong1,ROWS($1:84)),),""))</f>
        <v/>
      </c>
      <c r="D97" s="154" t="str">
        <f ca="1">IF(ROWS($1:84)&gt;COUNT(Dong1),"",IF(OFFSET(TH!O$1,SMALL(Dong1,ROWS($1:84)),)="1111",OFFSET(TH!D$1,SMALL(Dong1,ROWS($1:84)),),""))</f>
        <v/>
      </c>
      <c r="E97" s="342" t="str">
        <f ca="1">IF(ROWS($1:84)&gt;COUNT(Dong1),"",OFFSET(TH!F$1,SMALL(Dong1,ROWS($1:84)),))</f>
        <v/>
      </c>
      <c r="F97" s="156" t="str">
        <f ca="1">IF(ROWS($1:84)&gt;COUNT(Dong1),"",IF(OFFSET(TH!O$1,SMALL(Dong1,ROWS($1:84)),)="1111",OFFSET(TH!N$1,SMALL(Dong1,ROWS($1:84)),),OFFSET(TH!O$1,SMALL(Dong1,ROWS($1:84)),)))</f>
        <v/>
      </c>
      <c r="G97" s="157" t="str">
        <f ca="1">IF(ROWS($1:84)&gt;COUNT(Dong1),"",IF(OFFSET(TH!N$1,SMALL(Dong1,ROWS($1:84)),)="1111",OFFSET(TH!M$1,SMALL(Dong1,ROWS($1:84)),),0))</f>
        <v/>
      </c>
      <c r="H97" s="155" t="str">
        <f ca="1">IF(ROWS($1:84)&gt;COUNT(Dong1),"",IF(OFFSET(TH!O$1,SMALL(Dong1,ROWS($1:84)),)="1111",OFFSET(TH!M$1,SMALL(Dong1,ROWS($1:84)),),0))</f>
        <v/>
      </c>
      <c r="I97" s="153">
        <f t="shared" ca="1" si="2"/>
        <v>0</v>
      </c>
      <c r="J97" s="158"/>
    </row>
    <row r="98" spans="1:10" s="143" customFormat="1" ht="19.5" customHeight="1">
      <c r="A98" s="152" t="str">
        <f ca="1">IF(ROWS($1:85)&gt;COUNT(Dong1),"",OFFSET(TH!C$1,SMALL(Dong1,ROWS($1:85)),))</f>
        <v/>
      </c>
      <c r="B98" s="152" t="str">
        <f ca="1">IF(ROWS($1:85)&gt;COUNT(Dong1),"",OFFSET(TH!E$1,SMALL(Dong1,ROWS($1:85)),))</f>
        <v/>
      </c>
      <c r="C98" s="153" t="str">
        <f ca="1">IF(ROWS($1:85)&gt;COUNT(Dong1),"",IF(OFFSET(TH!N$1,SMALL(Dong1,ROWS($1:85)),)="1111",OFFSET(TH!D$1,SMALL(Dong1,ROWS($1:85)),),""))</f>
        <v/>
      </c>
      <c r="D98" s="154" t="str">
        <f ca="1">IF(ROWS($1:85)&gt;COUNT(Dong1),"",IF(OFFSET(TH!O$1,SMALL(Dong1,ROWS($1:85)),)="1111",OFFSET(TH!D$1,SMALL(Dong1,ROWS($1:85)),),""))</f>
        <v/>
      </c>
      <c r="E98" s="342" t="str">
        <f ca="1">IF(ROWS($1:85)&gt;COUNT(Dong1),"",OFFSET(TH!F$1,SMALL(Dong1,ROWS($1:85)),))</f>
        <v/>
      </c>
      <c r="F98" s="156" t="str">
        <f ca="1">IF(ROWS($1:85)&gt;COUNT(Dong1),"",IF(OFFSET(TH!O$1,SMALL(Dong1,ROWS($1:85)),)="1111",OFFSET(TH!N$1,SMALL(Dong1,ROWS($1:85)),),OFFSET(TH!O$1,SMALL(Dong1,ROWS($1:85)),)))</f>
        <v/>
      </c>
      <c r="G98" s="157" t="str">
        <f ca="1">IF(ROWS($1:85)&gt;COUNT(Dong1),"",IF(OFFSET(TH!N$1,SMALL(Dong1,ROWS($1:85)),)="1111",OFFSET(TH!M$1,SMALL(Dong1,ROWS($1:85)),),0))</f>
        <v/>
      </c>
      <c r="H98" s="155" t="str">
        <f ca="1">IF(ROWS($1:85)&gt;COUNT(Dong1),"",IF(OFFSET(TH!O$1,SMALL(Dong1,ROWS($1:85)),)="1111",OFFSET(TH!M$1,SMALL(Dong1,ROWS($1:85)),),0))</f>
        <v/>
      </c>
      <c r="I98" s="153">
        <f t="shared" ca="1" si="2"/>
        <v>0</v>
      </c>
      <c r="J98" s="158"/>
    </row>
    <row r="99" spans="1:10" s="143" customFormat="1" ht="19.5" customHeight="1">
      <c r="A99" s="152" t="str">
        <f ca="1">IF(ROWS($1:86)&gt;COUNT(Dong1),"",OFFSET(TH!C$1,SMALL(Dong1,ROWS($1:86)),))</f>
        <v/>
      </c>
      <c r="B99" s="152" t="str">
        <f ca="1">IF(ROWS($1:86)&gt;COUNT(Dong1),"",OFFSET(TH!E$1,SMALL(Dong1,ROWS($1:86)),))</f>
        <v/>
      </c>
      <c r="C99" s="153" t="str">
        <f ca="1">IF(ROWS($1:86)&gt;COUNT(Dong1),"",IF(OFFSET(TH!N$1,SMALL(Dong1,ROWS($1:86)),)="1111",OFFSET(TH!D$1,SMALL(Dong1,ROWS($1:86)),),""))</f>
        <v/>
      </c>
      <c r="D99" s="154" t="str">
        <f ca="1">IF(ROWS($1:86)&gt;COUNT(Dong1),"",IF(OFFSET(TH!O$1,SMALL(Dong1,ROWS($1:86)),)="1111",OFFSET(TH!D$1,SMALL(Dong1,ROWS($1:86)),),""))</f>
        <v/>
      </c>
      <c r="E99" s="342" t="str">
        <f ca="1">IF(ROWS($1:86)&gt;COUNT(Dong1),"",OFFSET(TH!F$1,SMALL(Dong1,ROWS($1:86)),))</f>
        <v/>
      </c>
      <c r="F99" s="156" t="str">
        <f ca="1">IF(ROWS($1:86)&gt;COUNT(Dong1),"",IF(OFFSET(TH!O$1,SMALL(Dong1,ROWS($1:86)),)="1111",OFFSET(TH!N$1,SMALL(Dong1,ROWS($1:86)),),OFFSET(TH!O$1,SMALL(Dong1,ROWS($1:86)),)))</f>
        <v/>
      </c>
      <c r="G99" s="157" t="str">
        <f ca="1">IF(ROWS($1:86)&gt;COUNT(Dong1),"",IF(OFFSET(TH!N$1,SMALL(Dong1,ROWS($1:86)),)="1111",OFFSET(TH!M$1,SMALL(Dong1,ROWS($1:86)),),0))</f>
        <v/>
      </c>
      <c r="H99" s="155" t="str">
        <f ca="1">IF(ROWS($1:86)&gt;COUNT(Dong1),"",IF(OFFSET(TH!O$1,SMALL(Dong1,ROWS($1:86)),)="1111",OFFSET(TH!M$1,SMALL(Dong1,ROWS($1:86)),),0))</f>
        <v/>
      </c>
      <c r="I99" s="153">
        <f t="shared" ca="1" si="2"/>
        <v>0</v>
      </c>
      <c r="J99" s="158"/>
    </row>
    <row r="100" spans="1:10" s="143" customFormat="1" ht="19.5" customHeight="1">
      <c r="A100" s="152" t="str">
        <f ca="1">IF(ROWS($1:87)&gt;COUNT(Dong1),"",OFFSET(TH!C$1,SMALL(Dong1,ROWS($1:87)),))</f>
        <v/>
      </c>
      <c r="B100" s="152" t="str">
        <f ca="1">IF(ROWS($1:87)&gt;COUNT(Dong1),"",OFFSET(TH!E$1,SMALL(Dong1,ROWS($1:87)),))</f>
        <v/>
      </c>
      <c r="C100" s="153" t="str">
        <f ca="1">IF(ROWS($1:87)&gt;COUNT(Dong1),"",IF(OFFSET(TH!N$1,SMALL(Dong1,ROWS($1:87)),)="1111",OFFSET(TH!D$1,SMALL(Dong1,ROWS($1:87)),),""))</f>
        <v/>
      </c>
      <c r="D100" s="154" t="str">
        <f ca="1">IF(ROWS($1:87)&gt;COUNT(Dong1),"",IF(OFFSET(TH!O$1,SMALL(Dong1,ROWS($1:87)),)="1111",OFFSET(TH!D$1,SMALL(Dong1,ROWS($1:87)),),""))</f>
        <v/>
      </c>
      <c r="E100" s="342" t="str">
        <f ca="1">IF(ROWS($1:87)&gt;COUNT(Dong1),"",OFFSET(TH!F$1,SMALL(Dong1,ROWS($1:87)),))</f>
        <v/>
      </c>
      <c r="F100" s="156" t="str">
        <f ca="1">IF(ROWS($1:87)&gt;COUNT(Dong1),"",IF(OFFSET(TH!O$1,SMALL(Dong1,ROWS($1:87)),)="1111",OFFSET(TH!N$1,SMALL(Dong1,ROWS($1:87)),),OFFSET(TH!O$1,SMALL(Dong1,ROWS($1:87)),)))</f>
        <v/>
      </c>
      <c r="G100" s="157" t="str">
        <f ca="1">IF(ROWS($1:87)&gt;COUNT(Dong1),"",IF(OFFSET(TH!N$1,SMALL(Dong1,ROWS($1:87)),)="1111",OFFSET(TH!M$1,SMALL(Dong1,ROWS($1:87)),),0))</f>
        <v/>
      </c>
      <c r="H100" s="155" t="str">
        <f ca="1">IF(ROWS($1:87)&gt;COUNT(Dong1),"",IF(OFFSET(TH!O$1,SMALL(Dong1,ROWS($1:87)),)="1111",OFFSET(TH!M$1,SMALL(Dong1,ROWS($1:87)),),0))</f>
        <v/>
      </c>
      <c r="I100" s="153">
        <f t="shared" ca="1" si="2"/>
        <v>0</v>
      </c>
      <c r="J100" s="158"/>
    </row>
    <row r="101" spans="1:10" s="143" customFormat="1" ht="19.5" customHeight="1">
      <c r="A101" s="152" t="str">
        <f ca="1">IF(ROWS($1:88)&gt;COUNT(Dong1),"",OFFSET(TH!C$1,SMALL(Dong1,ROWS($1:88)),))</f>
        <v/>
      </c>
      <c r="B101" s="152" t="str">
        <f ca="1">IF(ROWS($1:88)&gt;COUNT(Dong1),"",OFFSET(TH!E$1,SMALL(Dong1,ROWS($1:88)),))</f>
        <v/>
      </c>
      <c r="C101" s="153" t="str">
        <f ca="1">IF(ROWS($1:88)&gt;COUNT(Dong1),"",IF(OFFSET(TH!N$1,SMALL(Dong1,ROWS($1:88)),)="1111",OFFSET(TH!D$1,SMALL(Dong1,ROWS($1:88)),),""))</f>
        <v/>
      </c>
      <c r="D101" s="154" t="str">
        <f ca="1">IF(ROWS($1:88)&gt;COUNT(Dong1),"",IF(OFFSET(TH!O$1,SMALL(Dong1,ROWS($1:88)),)="1111",OFFSET(TH!D$1,SMALL(Dong1,ROWS($1:88)),),""))</f>
        <v/>
      </c>
      <c r="E101" s="342" t="str">
        <f ca="1">IF(ROWS($1:88)&gt;COUNT(Dong1),"",OFFSET(TH!F$1,SMALL(Dong1,ROWS($1:88)),))</f>
        <v/>
      </c>
      <c r="F101" s="156" t="str">
        <f ca="1">IF(ROWS($1:88)&gt;COUNT(Dong1),"",IF(OFFSET(TH!O$1,SMALL(Dong1,ROWS($1:88)),)="1111",OFFSET(TH!N$1,SMALL(Dong1,ROWS($1:88)),),OFFSET(TH!O$1,SMALL(Dong1,ROWS($1:88)),)))</f>
        <v/>
      </c>
      <c r="G101" s="157" t="str">
        <f ca="1">IF(ROWS($1:88)&gt;COUNT(Dong1),"",IF(OFFSET(TH!N$1,SMALL(Dong1,ROWS($1:88)),)="1111",OFFSET(TH!M$1,SMALL(Dong1,ROWS($1:88)),),0))</f>
        <v/>
      </c>
      <c r="H101" s="155" t="str">
        <f ca="1">IF(ROWS($1:88)&gt;COUNT(Dong1),"",IF(OFFSET(TH!O$1,SMALL(Dong1,ROWS($1:88)),)="1111",OFFSET(TH!M$1,SMALL(Dong1,ROWS($1:88)),),0))</f>
        <v/>
      </c>
      <c r="I101" s="153">
        <f t="shared" ca="1" si="2"/>
        <v>0</v>
      </c>
      <c r="J101" s="158"/>
    </row>
    <row r="102" spans="1:10" s="143" customFormat="1" ht="19.5" customHeight="1">
      <c r="A102" s="152" t="str">
        <f ca="1">IF(ROWS($1:89)&gt;COUNT(Dong1),"",OFFSET(TH!C$1,SMALL(Dong1,ROWS($1:89)),))</f>
        <v/>
      </c>
      <c r="B102" s="152" t="str">
        <f ca="1">IF(ROWS($1:89)&gt;COUNT(Dong1),"",OFFSET(TH!E$1,SMALL(Dong1,ROWS($1:89)),))</f>
        <v/>
      </c>
      <c r="C102" s="153" t="str">
        <f ca="1">IF(ROWS($1:89)&gt;COUNT(Dong1),"",IF(OFFSET(TH!N$1,SMALL(Dong1,ROWS($1:89)),)="1111",OFFSET(TH!D$1,SMALL(Dong1,ROWS($1:89)),),""))</f>
        <v/>
      </c>
      <c r="D102" s="154" t="str">
        <f ca="1">IF(ROWS($1:89)&gt;COUNT(Dong1),"",IF(OFFSET(TH!O$1,SMALL(Dong1,ROWS($1:89)),)="1111",OFFSET(TH!D$1,SMALL(Dong1,ROWS($1:89)),),""))</f>
        <v/>
      </c>
      <c r="E102" s="342" t="str">
        <f ca="1">IF(ROWS($1:89)&gt;COUNT(Dong1),"",OFFSET(TH!F$1,SMALL(Dong1,ROWS($1:89)),))</f>
        <v/>
      </c>
      <c r="F102" s="156" t="str">
        <f ca="1">IF(ROWS($1:89)&gt;COUNT(Dong1),"",IF(OFFSET(TH!O$1,SMALL(Dong1,ROWS($1:89)),)="1111",OFFSET(TH!N$1,SMALL(Dong1,ROWS($1:89)),),OFFSET(TH!O$1,SMALL(Dong1,ROWS($1:89)),)))</f>
        <v/>
      </c>
      <c r="G102" s="157" t="str">
        <f ca="1">IF(ROWS($1:89)&gt;COUNT(Dong1),"",IF(OFFSET(TH!N$1,SMALL(Dong1,ROWS($1:89)),)="1111",OFFSET(TH!M$1,SMALL(Dong1,ROWS($1:89)),),0))</f>
        <v/>
      </c>
      <c r="H102" s="155" t="str">
        <f ca="1">IF(ROWS($1:89)&gt;COUNT(Dong1),"",IF(OFFSET(TH!O$1,SMALL(Dong1,ROWS($1:89)),)="1111",OFFSET(TH!M$1,SMALL(Dong1,ROWS($1:89)),),0))</f>
        <v/>
      </c>
      <c r="I102" s="153">
        <f t="shared" ca="1" si="2"/>
        <v>0</v>
      </c>
      <c r="J102" s="158"/>
    </row>
    <row r="103" spans="1:10" s="143" customFormat="1" ht="19.5" customHeight="1">
      <c r="A103" s="152" t="str">
        <f ca="1">IF(ROWS($1:90)&gt;COUNT(Dong1),"",OFFSET(TH!C$1,SMALL(Dong1,ROWS($1:90)),))</f>
        <v/>
      </c>
      <c r="B103" s="152" t="str">
        <f ca="1">IF(ROWS($1:90)&gt;COUNT(Dong1),"",OFFSET(TH!E$1,SMALL(Dong1,ROWS($1:90)),))</f>
        <v/>
      </c>
      <c r="C103" s="153" t="str">
        <f ca="1">IF(ROWS($1:90)&gt;COUNT(Dong1),"",IF(OFFSET(TH!N$1,SMALL(Dong1,ROWS($1:90)),)="1111",OFFSET(TH!D$1,SMALL(Dong1,ROWS($1:90)),),""))</f>
        <v/>
      </c>
      <c r="D103" s="154" t="str">
        <f ca="1">IF(ROWS($1:90)&gt;COUNT(Dong1),"",IF(OFFSET(TH!O$1,SMALL(Dong1,ROWS($1:90)),)="1111",OFFSET(TH!D$1,SMALL(Dong1,ROWS($1:90)),),""))</f>
        <v/>
      </c>
      <c r="E103" s="342" t="str">
        <f ca="1">IF(ROWS($1:90)&gt;COUNT(Dong1),"",OFFSET(TH!F$1,SMALL(Dong1,ROWS($1:90)),))</f>
        <v/>
      </c>
      <c r="F103" s="156" t="str">
        <f ca="1">IF(ROWS($1:90)&gt;COUNT(Dong1),"",IF(OFFSET(TH!O$1,SMALL(Dong1,ROWS($1:90)),)="1111",OFFSET(TH!N$1,SMALL(Dong1,ROWS($1:90)),),OFFSET(TH!O$1,SMALL(Dong1,ROWS($1:90)),)))</f>
        <v/>
      </c>
      <c r="G103" s="157" t="str">
        <f ca="1">IF(ROWS($1:90)&gt;COUNT(Dong1),"",IF(OFFSET(TH!N$1,SMALL(Dong1,ROWS($1:90)),)="1111",OFFSET(TH!M$1,SMALL(Dong1,ROWS($1:90)),),0))</f>
        <v/>
      </c>
      <c r="H103" s="155" t="str">
        <f ca="1">IF(ROWS($1:90)&gt;COUNT(Dong1),"",IF(OFFSET(TH!O$1,SMALL(Dong1,ROWS($1:90)),)="1111",OFFSET(TH!M$1,SMALL(Dong1,ROWS($1:90)),),0))</f>
        <v/>
      </c>
      <c r="I103" s="153">
        <f t="shared" ca="1" si="2"/>
        <v>0</v>
      </c>
      <c r="J103" s="158"/>
    </row>
    <row r="104" spans="1:10" s="143" customFormat="1" ht="19.5" customHeight="1">
      <c r="A104" s="152" t="str">
        <f ca="1">IF(ROWS($1:91)&gt;COUNT(Dong1),"",OFFSET(TH!C$1,SMALL(Dong1,ROWS($1:91)),))</f>
        <v/>
      </c>
      <c r="B104" s="152" t="str">
        <f ca="1">IF(ROWS($1:91)&gt;COUNT(Dong1),"",OFFSET(TH!E$1,SMALL(Dong1,ROWS($1:91)),))</f>
        <v/>
      </c>
      <c r="C104" s="153" t="str">
        <f ca="1">IF(ROWS($1:91)&gt;COUNT(Dong1),"",IF(OFFSET(TH!N$1,SMALL(Dong1,ROWS($1:91)),)="1111",OFFSET(TH!D$1,SMALL(Dong1,ROWS($1:91)),),""))</f>
        <v/>
      </c>
      <c r="D104" s="154" t="str">
        <f ca="1">IF(ROWS($1:91)&gt;COUNT(Dong1),"",IF(OFFSET(TH!O$1,SMALL(Dong1,ROWS($1:91)),)="1111",OFFSET(TH!D$1,SMALL(Dong1,ROWS($1:91)),),""))</f>
        <v/>
      </c>
      <c r="E104" s="342" t="str">
        <f ca="1">IF(ROWS($1:91)&gt;COUNT(Dong1),"",OFFSET(TH!F$1,SMALL(Dong1,ROWS($1:91)),))</f>
        <v/>
      </c>
      <c r="F104" s="156" t="str">
        <f ca="1">IF(ROWS($1:91)&gt;COUNT(Dong1),"",IF(OFFSET(TH!O$1,SMALL(Dong1,ROWS($1:91)),)="1111",OFFSET(TH!N$1,SMALL(Dong1,ROWS($1:91)),),OFFSET(TH!O$1,SMALL(Dong1,ROWS($1:91)),)))</f>
        <v/>
      </c>
      <c r="G104" s="157" t="str">
        <f ca="1">IF(ROWS($1:91)&gt;COUNT(Dong1),"",IF(OFFSET(TH!N$1,SMALL(Dong1,ROWS($1:91)),)="1111",OFFSET(TH!M$1,SMALL(Dong1,ROWS($1:91)),),0))</f>
        <v/>
      </c>
      <c r="H104" s="155" t="str">
        <f ca="1">IF(ROWS($1:91)&gt;COUNT(Dong1),"",IF(OFFSET(TH!O$1,SMALL(Dong1,ROWS($1:91)),)="1111",OFFSET(TH!M$1,SMALL(Dong1,ROWS($1:91)),),0))</f>
        <v/>
      </c>
      <c r="I104" s="153">
        <f t="shared" ca="1" si="2"/>
        <v>0</v>
      </c>
      <c r="J104" s="158"/>
    </row>
    <row r="105" spans="1:10" s="143" customFormat="1" ht="19.5" customHeight="1">
      <c r="A105" s="152" t="str">
        <f ca="1">IF(ROWS($1:92)&gt;COUNT(Dong1),"",OFFSET(TH!C$1,SMALL(Dong1,ROWS($1:92)),))</f>
        <v/>
      </c>
      <c r="B105" s="152" t="str">
        <f ca="1">IF(ROWS($1:92)&gt;COUNT(Dong1),"",OFFSET(TH!E$1,SMALL(Dong1,ROWS($1:92)),))</f>
        <v/>
      </c>
      <c r="C105" s="153" t="str">
        <f ca="1">IF(ROWS($1:92)&gt;COUNT(Dong1),"",IF(OFFSET(TH!N$1,SMALL(Dong1,ROWS($1:92)),)="1111",OFFSET(TH!D$1,SMALL(Dong1,ROWS($1:92)),),""))</f>
        <v/>
      </c>
      <c r="D105" s="154" t="str">
        <f ca="1">IF(ROWS($1:92)&gt;COUNT(Dong1),"",IF(OFFSET(TH!O$1,SMALL(Dong1,ROWS($1:92)),)="1111",OFFSET(TH!D$1,SMALL(Dong1,ROWS($1:92)),),""))</f>
        <v/>
      </c>
      <c r="E105" s="342" t="str">
        <f ca="1">IF(ROWS($1:92)&gt;COUNT(Dong1),"",OFFSET(TH!F$1,SMALL(Dong1,ROWS($1:92)),))</f>
        <v/>
      </c>
      <c r="F105" s="156" t="str">
        <f ca="1">IF(ROWS($1:92)&gt;COUNT(Dong1),"",IF(OFFSET(TH!O$1,SMALL(Dong1,ROWS($1:92)),)="1111",OFFSET(TH!N$1,SMALL(Dong1,ROWS($1:92)),),OFFSET(TH!O$1,SMALL(Dong1,ROWS($1:92)),)))</f>
        <v/>
      </c>
      <c r="G105" s="157" t="str">
        <f ca="1">IF(ROWS($1:92)&gt;COUNT(Dong1),"",IF(OFFSET(TH!N$1,SMALL(Dong1,ROWS($1:92)),)="1111",OFFSET(TH!M$1,SMALL(Dong1,ROWS($1:92)),),0))</f>
        <v/>
      </c>
      <c r="H105" s="155" t="str">
        <f ca="1">IF(ROWS($1:92)&gt;COUNT(Dong1),"",IF(OFFSET(TH!O$1,SMALL(Dong1,ROWS($1:92)),)="1111",OFFSET(TH!M$1,SMALL(Dong1,ROWS($1:92)),),0))</f>
        <v/>
      </c>
      <c r="I105" s="153">
        <f t="shared" ca="1" si="2"/>
        <v>0</v>
      </c>
      <c r="J105" s="158"/>
    </row>
    <row r="106" spans="1:10" s="143" customFormat="1" ht="19.5" customHeight="1">
      <c r="A106" s="152" t="str">
        <f ca="1">IF(ROWS($1:93)&gt;COUNT(Dong1),"",OFFSET(TH!C$1,SMALL(Dong1,ROWS($1:93)),))</f>
        <v/>
      </c>
      <c r="B106" s="152" t="str">
        <f ca="1">IF(ROWS($1:93)&gt;COUNT(Dong1),"",OFFSET(TH!E$1,SMALL(Dong1,ROWS($1:93)),))</f>
        <v/>
      </c>
      <c r="C106" s="153" t="str">
        <f ca="1">IF(ROWS($1:93)&gt;COUNT(Dong1),"",IF(OFFSET(TH!N$1,SMALL(Dong1,ROWS($1:93)),)="1111",OFFSET(TH!D$1,SMALL(Dong1,ROWS($1:93)),),""))</f>
        <v/>
      </c>
      <c r="D106" s="154" t="str">
        <f ca="1">IF(ROWS($1:93)&gt;COUNT(Dong1),"",IF(OFFSET(TH!O$1,SMALL(Dong1,ROWS($1:93)),)="1111",OFFSET(TH!D$1,SMALL(Dong1,ROWS($1:93)),),""))</f>
        <v/>
      </c>
      <c r="E106" s="342" t="str">
        <f ca="1">IF(ROWS($1:93)&gt;COUNT(Dong1),"",OFFSET(TH!F$1,SMALL(Dong1,ROWS($1:93)),))</f>
        <v/>
      </c>
      <c r="F106" s="156" t="str">
        <f ca="1">IF(ROWS($1:93)&gt;COUNT(Dong1),"",IF(OFFSET(TH!O$1,SMALL(Dong1,ROWS($1:93)),)="1111",OFFSET(TH!N$1,SMALL(Dong1,ROWS($1:93)),),OFFSET(TH!O$1,SMALL(Dong1,ROWS($1:93)),)))</f>
        <v/>
      </c>
      <c r="G106" s="157" t="str">
        <f ca="1">IF(ROWS($1:93)&gt;COUNT(Dong1),"",IF(OFFSET(TH!N$1,SMALL(Dong1,ROWS($1:93)),)="1111",OFFSET(TH!M$1,SMALL(Dong1,ROWS($1:93)),),0))</f>
        <v/>
      </c>
      <c r="H106" s="155" t="str">
        <f ca="1">IF(ROWS($1:93)&gt;COUNT(Dong1),"",IF(OFFSET(TH!O$1,SMALL(Dong1,ROWS($1:93)),)="1111",OFFSET(TH!M$1,SMALL(Dong1,ROWS($1:93)),),0))</f>
        <v/>
      </c>
      <c r="I106" s="153">
        <f t="shared" ca="1" si="2"/>
        <v>0</v>
      </c>
      <c r="J106" s="158"/>
    </row>
    <row r="107" spans="1:10" s="143" customFormat="1" ht="19.5" customHeight="1">
      <c r="A107" s="152" t="str">
        <f ca="1">IF(ROWS($1:94)&gt;COUNT(Dong1),"",OFFSET(TH!C$1,SMALL(Dong1,ROWS($1:94)),))</f>
        <v/>
      </c>
      <c r="B107" s="152" t="str">
        <f ca="1">IF(ROWS($1:94)&gt;COUNT(Dong1),"",OFFSET(TH!E$1,SMALL(Dong1,ROWS($1:94)),))</f>
        <v/>
      </c>
      <c r="C107" s="153" t="str">
        <f ca="1">IF(ROWS($1:94)&gt;COUNT(Dong1),"",IF(OFFSET(TH!N$1,SMALL(Dong1,ROWS($1:94)),)="1111",OFFSET(TH!D$1,SMALL(Dong1,ROWS($1:94)),),""))</f>
        <v/>
      </c>
      <c r="D107" s="154" t="str">
        <f ca="1">IF(ROWS($1:94)&gt;COUNT(Dong1),"",IF(OFFSET(TH!O$1,SMALL(Dong1,ROWS($1:94)),)="1111",OFFSET(TH!D$1,SMALL(Dong1,ROWS($1:94)),),""))</f>
        <v/>
      </c>
      <c r="E107" s="342" t="str">
        <f ca="1">IF(ROWS($1:94)&gt;COUNT(Dong1),"",OFFSET(TH!F$1,SMALL(Dong1,ROWS($1:94)),))</f>
        <v/>
      </c>
      <c r="F107" s="156" t="str">
        <f ca="1">IF(ROWS($1:94)&gt;COUNT(Dong1),"",IF(OFFSET(TH!O$1,SMALL(Dong1,ROWS($1:94)),)="1111",OFFSET(TH!N$1,SMALL(Dong1,ROWS($1:94)),),OFFSET(TH!O$1,SMALL(Dong1,ROWS($1:94)),)))</f>
        <v/>
      </c>
      <c r="G107" s="157" t="str">
        <f ca="1">IF(ROWS($1:94)&gt;COUNT(Dong1),"",IF(OFFSET(TH!N$1,SMALL(Dong1,ROWS($1:94)),)="1111",OFFSET(TH!M$1,SMALL(Dong1,ROWS($1:94)),),0))</f>
        <v/>
      </c>
      <c r="H107" s="155" t="str">
        <f ca="1">IF(ROWS($1:94)&gt;COUNT(Dong1),"",IF(OFFSET(TH!O$1,SMALL(Dong1,ROWS($1:94)),)="1111",OFFSET(TH!M$1,SMALL(Dong1,ROWS($1:94)),),0))</f>
        <v/>
      </c>
      <c r="I107" s="153">
        <f t="shared" ca="1" si="2"/>
        <v>0</v>
      </c>
      <c r="J107" s="158"/>
    </row>
    <row r="108" spans="1:10" s="143" customFormat="1" ht="19.5" customHeight="1">
      <c r="A108" s="152" t="str">
        <f ca="1">IF(ROWS($1:95)&gt;COUNT(Dong1),"",OFFSET(TH!C$1,SMALL(Dong1,ROWS($1:95)),))</f>
        <v/>
      </c>
      <c r="B108" s="152" t="str">
        <f ca="1">IF(ROWS($1:95)&gt;COUNT(Dong1),"",OFFSET(TH!E$1,SMALL(Dong1,ROWS($1:95)),))</f>
        <v/>
      </c>
      <c r="C108" s="153" t="str">
        <f ca="1">IF(ROWS($1:95)&gt;COUNT(Dong1),"",IF(OFFSET(TH!N$1,SMALL(Dong1,ROWS($1:95)),)="1111",OFFSET(TH!D$1,SMALL(Dong1,ROWS($1:95)),),""))</f>
        <v/>
      </c>
      <c r="D108" s="154" t="str">
        <f ca="1">IF(ROWS($1:95)&gt;COUNT(Dong1),"",IF(OFFSET(TH!O$1,SMALL(Dong1,ROWS($1:95)),)="1111",OFFSET(TH!D$1,SMALL(Dong1,ROWS($1:95)),),""))</f>
        <v/>
      </c>
      <c r="E108" s="342" t="str">
        <f ca="1">IF(ROWS($1:95)&gt;COUNT(Dong1),"",OFFSET(TH!F$1,SMALL(Dong1,ROWS($1:95)),))</f>
        <v/>
      </c>
      <c r="F108" s="156" t="str">
        <f ca="1">IF(ROWS($1:95)&gt;COUNT(Dong1),"",IF(OFFSET(TH!O$1,SMALL(Dong1,ROWS($1:95)),)="1111",OFFSET(TH!N$1,SMALL(Dong1,ROWS($1:95)),),OFFSET(TH!O$1,SMALL(Dong1,ROWS($1:95)),)))</f>
        <v/>
      </c>
      <c r="G108" s="157" t="str">
        <f ca="1">IF(ROWS($1:95)&gt;COUNT(Dong1),"",IF(OFFSET(TH!N$1,SMALL(Dong1,ROWS($1:95)),)="1111",OFFSET(TH!M$1,SMALL(Dong1,ROWS($1:95)),),0))</f>
        <v/>
      </c>
      <c r="H108" s="155" t="str">
        <f ca="1">IF(ROWS($1:95)&gt;COUNT(Dong1),"",IF(OFFSET(TH!O$1,SMALL(Dong1,ROWS($1:95)),)="1111",OFFSET(TH!M$1,SMALL(Dong1,ROWS($1:95)),),0))</f>
        <v/>
      </c>
      <c r="I108" s="153">
        <f t="shared" ca="1" si="2"/>
        <v>0</v>
      </c>
      <c r="J108" s="158"/>
    </row>
    <row r="109" spans="1:10" s="143" customFormat="1" ht="19.5" customHeight="1">
      <c r="A109" s="152" t="str">
        <f ca="1">IF(ROWS($1:96)&gt;COUNT(Dong1),"",OFFSET(TH!C$1,SMALL(Dong1,ROWS($1:96)),))</f>
        <v/>
      </c>
      <c r="B109" s="152" t="str">
        <f ca="1">IF(ROWS($1:96)&gt;COUNT(Dong1),"",OFFSET(TH!E$1,SMALL(Dong1,ROWS($1:96)),))</f>
        <v/>
      </c>
      <c r="C109" s="153" t="str">
        <f ca="1">IF(ROWS($1:96)&gt;COUNT(Dong1),"",IF(OFFSET(TH!N$1,SMALL(Dong1,ROWS($1:96)),)="1111",OFFSET(TH!D$1,SMALL(Dong1,ROWS($1:96)),),""))</f>
        <v/>
      </c>
      <c r="D109" s="154" t="str">
        <f ca="1">IF(ROWS($1:96)&gt;COUNT(Dong1),"",IF(OFFSET(TH!O$1,SMALL(Dong1,ROWS($1:96)),)="1111",OFFSET(TH!D$1,SMALL(Dong1,ROWS($1:96)),),""))</f>
        <v/>
      </c>
      <c r="E109" s="342" t="str">
        <f ca="1">IF(ROWS($1:96)&gt;COUNT(Dong1),"",OFFSET(TH!F$1,SMALL(Dong1,ROWS($1:96)),))</f>
        <v/>
      </c>
      <c r="F109" s="156" t="str">
        <f ca="1">IF(ROWS($1:96)&gt;COUNT(Dong1),"",IF(OFFSET(TH!O$1,SMALL(Dong1,ROWS($1:96)),)="1111",OFFSET(TH!N$1,SMALL(Dong1,ROWS($1:96)),),OFFSET(TH!O$1,SMALL(Dong1,ROWS($1:96)),)))</f>
        <v/>
      </c>
      <c r="G109" s="157" t="str">
        <f ca="1">IF(ROWS($1:96)&gt;COUNT(Dong1),"",IF(OFFSET(TH!N$1,SMALL(Dong1,ROWS($1:96)),)="1111",OFFSET(TH!M$1,SMALL(Dong1,ROWS($1:96)),),0))</f>
        <v/>
      </c>
      <c r="H109" s="155" t="str">
        <f ca="1">IF(ROWS($1:96)&gt;COUNT(Dong1),"",IF(OFFSET(TH!O$1,SMALL(Dong1,ROWS($1:96)),)="1111",OFFSET(TH!M$1,SMALL(Dong1,ROWS($1:96)),),0))</f>
        <v/>
      </c>
      <c r="I109" s="153">
        <f t="shared" ca="1" si="2"/>
        <v>0</v>
      </c>
      <c r="J109" s="158"/>
    </row>
    <row r="110" spans="1:10" s="143" customFormat="1" ht="19.5" customHeight="1">
      <c r="A110" s="152" t="str">
        <f ca="1">IF(ROWS($1:97)&gt;COUNT(Dong1),"",OFFSET(TH!C$1,SMALL(Dong1,ROWS($1:97)),))</f>
        <v/>
      </c>
      <c r="B110" s="152" t="str">
        <f ca="1">IF(ROWS($1:97)&gt;COUNT(Dong1),"",OFFSET(TH!E$1,SMALL(Dong1,ROWS($1:97)),))</f>
        <v/>
      </c>
      <c r="C110" s="153" t="str">
        <f ca="1">IF(ROWS($1:97)&gt;COUNT(Dong1),"",IF(OFFSET(TH!N$1,SMALL(Dong1,ROWS($1:97)),)="1111",OFFSET(TH!D$1,SMALL(Dong1,ROWS($1:97)),),""))</f>
        <v/>
      </c>
      <c r="D110" s="154" t="str">
        <f ca="1">IF(ROWS($1:97)&gt;COUNT(Dong1),"",IF(OFFSET(TH!O$1,SMALL(Dong1,ROWS($1:97)),)="1111",OFFSET(TH!D$1,SMALL(Dong1,ROWS($1:97)),),""))</f>
        <v/>
      </c>
      <c r="E110" s="342" t="str">
        <f ca="1">IF(ROWS($1:97)&gt;COUNT(Dong1),"",OFFSET(TH!F$1,SMALL(Dong1,ROWS($1:97)),))</f>
        <v/>
      </c>
      <c r="F110" s="156" t="str">
        <f ca="1">IF(ROWS($1:97)&gt;COUNT(Dong1),"",IF(OFFSET(TH!O$1,SMALL(Dong1,ROWS($1:97)),)="1111",OFFSET(TH!N$1,SMALL(Dong1,ROWS($1:97)),),OFFSET(TH!O$1,SMALL(Dong1,ROWS($1:97)),)))</f>
        <v/>
      </c>
      <c r="G110" s="157" t="str">
        <f ca="1">IF(ROWS($1:97)&gt;COUNT(Dong1),"",IF(OFFSET(TH!N$1,SMALL(Dong1,ROWS($1:97)),)="1111",OFFSET(TH!M$1,SMALL(Dong1,ROWS($1:97)),),0))</f>
        <v/>
      </c>
      <c r="H110" s="155" t="str">
        <f ca="1">IF(ROWS($1:97)&gt;COUNT(Dong1),"",IF(OFFSET(TH!O$1,SMALL(Dong1,ROWS($1:97)),)="1111",OFFSET(TH!M$1,SMALL(Dong1,ROWS($1:97)),),0))</f>
        <v/>
      </c>
      <c r="I110" s="153">
        <f t="shared" ref="I110:I116" ca="1" si="3">IF(E110&lt;&gt;"",I109+G110-H110,0)</f>
        <v>0</v>
      </c>
      <c r="J110" s="158"/>
    </row>
    <row r="111" spans="1:10" s="143" customFormat="1" ht="19.5" customHeight="1">
      <c r="A111" s="152" t="str">
        <f ca="1">IF(ROWS($1:98)&gt;COUNT(Dong1),"",OFFSET(TH!C$1,SMALL(Dong1,ROWS($1:98)),))</f>
        <v/>
      </c>
      <c r="B111" s="152" t="str">
        <f ca="1">IF(ROWS($1:98)&gt;COUNT(Dong1),"",OFFSET(TH!E$1,SMALL(Dong1,ROWS($1:98)),))</f>
        <v/>
      </c>
      <c r="C111" s="153" t="str">
        <f ca="1">IF(ROWS($1:98)&gt;COUNT(Dong1),"",IF(OFFSET(TH!N$1,SMALL(Dong1,ROWS($1:98)),)="1111",OFFSET(TH!D$1,SMALL(Dong1,ROWS($1:98)),),""))</f>
        <v/>
      </c>
      <c r="D111" s="154" t="str">
        <f ca="1">IF(ROWS($1:98)&gt;COUNT(Dong1),"",IF(OFFSET(TH!O$1,SMALL(Dong1,ROWS($1:98)),)="1111",OFFSET(TH!D$1,SMALL(Dong1,ROWS($1:98)),),""))</f>
        <v/>
      </c>
      <c r="E111" s="342" t="str">
        <f ca="1">IF(ROWS($1:98)&gt;COUNT(Dong1),"",OFFSET(TH!F$1,SMALL(Dong1,ROWS($1:98)),))</f>
        <v/>
      </c>
      <c r="F111" s="156" t="str">
        <f ca="1">IF(ROWS($1:98)&gt;COUNT(Dong1),"",IF(OFFSET(TH!O$1,SMALL(Dong1,ROWS($1:98)),)="1111",OFFSET(TH!N$1,SMALL(Dong1,ROWS($1:98)),),OFFSET(TH!O$1,SMALL(Dong1,ROWS($1:98)),)))</f>
        <v/>
      </c>
      <c r="G111" s="157" t="str">
        <f ca="1">IF(ROWS($1:98)&gt;COUNT(Dong1),"",IF(OFFSET(TH!N$1,SMALL(Dong1,ROWS($1:98)),)="1111",OFFSET(TH!M$1,SMALL(Dong1,ROWS($1:98)),),0))</f>
        <v/>
      </c>
      <c r="H111" s="155" t="str">
        <f ca="1">IF(ROWS($1:98)&gt;COUNT(Dong1),"",IF(OFFSET(TH!O$1,SMALL(Dong1,ROWS($1:98)),)="1111",OFFSET(TH!M$1,SMALL(Dong1,ROWS($1:98)),),0))</f>
        <v/>
      </c>
      <c r="I111" s="153">
        <f t="shared" ca="1" si="3"/>
        <v>0</v>
      </c>
      <c r="J111" s="158"/>
    </row>
    <row r="112" spans="1:10" s="143" customFormat="1" ht="19.5" customHeight="1">
      <c r="A112" s="152" t="str">
        <f ca="1">IF(ROWS($1:99)&gt;COUNT(Dong1),"",OFFSET(TH!C$1,SMALL(Dong1,ROWS($1:99)),))</f>
        <v/>
      </c>
      <c r="B112" s="152" t="str">
        <f ca="1">IF(ROWS($1:99)&gt;COUNT(Dong1),"",OFFSET(TH!E$1,SMALL(Dong1,ROWS($1:99)),))</f>
        <v/>
      </c>
      <c r="C112" s="153" t="str">
        <f ca="1">IF(ROWS($1:99)&gt;COUNT(Dong1),"",IF(OFFSET(TH!N$1,SMALL(Dong1,ROWS($1:99)),)="1111",OFFSET(TH!D$1,SMALL(Dong1,ROWS($1:99)),),""))</f>
        <v/>
      </c>
      <c r="D112" s="154" t="str">
        <f ca="1">IF(ROWS($1:99)&gt;COUNT(Dong1),"",IF(OFFSET(TH!O$1,SMALL(Dong1,ROWS($1:99)),)="1111",OFFSET(TH!D$1,SMALL(Dong1,ROWS($1:99)),),""))</f>
        <v/>
      </c>
      <c r="E112" s="342" t="str">
        <f ca="1">IF(ROWS($1:99)&gt;COUNT(Dong1),"",OFFSET(TH!F$1,SMALL(Dong1,ROWS($1:99)),))</f>
        <v/>
      </c>
      <c r="F112" s="156" t="str">
        <f ca="1">IF(ROWS($1:99)&gt;COUNT(Dong1),"",IF(OFFSET(TH!O$1,SMALL(Dong1,ROWS($1:99)),)="1111",OFFSET(TH!N$1,SMALL(Dong1,ROWS($1:99)),),OFFSET(TH!O$1,SMALL(Dong1,ROWS($1:99)),)))</f>
        <v/>
      </c>
      <c r="G112" s="157" t="str">
        <f ca="1">IF(ROWS($1:99)&gt;COUNT(Dong1),"",IF(OFFSET(TH!N$1,SMALL(Dong1,ROWS($1:99)),)="1111",OFFSET(TH!M$1,SMALL(Dong1,ROWS($1:99)),),0))</f>
        <v/>
      </c>
      <c r="H112" s="155" t="str">
        <f ca="1">IF(ROWS($1:99)&gt;COUNT(Dong1),"",IF(OFFSET(TH!O$1,SMALL(Dong1,ROWS($1:99)),)="1111",OFFSET(TH!M$1,SMALL(Dong1,ROWS($1:99)),),0))</f>
        <v/>
      </c>
      <c r="I112" s="153">
        <f t="shared" ca="1" si="3"/>
        <v>0</v>
      </c>
      <c r="J112" s="158"/>
    </row>
    <row r="113" spans="1:12" s="143" customFormat="1" ht="19.5" customHeight="1">
      <c r="A113" s="152" t="str">
        <f ca="1">IF(ROWS($1:100)&gt;COUNT(Dong1),"",OFFSET(TH!C$1,SMALL(Dong1,ROWS($1:100)),))</f>
        <v/>
      </c>
      <c r="B113" s="152" t="str">
        <f ca="1">IF(ROWS($1:100)&gt;COUNT(Dong1),"",OFFSET(TH!E$1,SMALL(Dong1,ROWS($1:100)),))</f>
        <v/>
      </c>
      <c r="C113" s="153" t="str">
        <f ca="1">IF(ROWS($1:100)&gt;COUNT(Dong1),"",IF(OFFSET(TH!N$1,SMALL(Dong1,ROWS($1:100)),)="1111",OFFSET(TH!D$1,SMALL(Dong1,ROWS($1:100)),),""))</f>
        <v/>
      </c>
      <c r="D113" s="154" t="str">
        <f ca="1">IF(ROWS($1:100)&gt;COUNT(Dong1),"",IF(OFFSET(TH!O$1,SMALL(Dong1,ROWS($1:100)),)="1111",OFFSET(TH!D$1,SMALL(Dong1,ROWS($1:100)),),""))</f>
        <v/>
      </c>
      <c r="E113" s="342" t="str">
        <f ca="1">IF(ROWS($1:100)&gt;COUNT(Dong1),"",OFFSET(TH!F$1,SMALL(Dong1,ROWS($1:100)),))</f>
        <v/>
      </c>
      <c r="F113" s="156" t="str">
        <f ca="1">IF(ROWS($1:100)&gt;COUNT(Dong1),"",IF(OFFSET(TH!O$1,SMALL(Dong1,ROWS($1:100)),)="1111",OFFSET(TH!N$1,SMALL(Dong1,ROWS($1:100)),),OFFSET(TH!O$1,SMALL(Dong1,ROWS($1:100)),)))</f>
        <v/>
      </c>
      <c r="G113" s="157" t="str">
        <f ca="1">IF(ROWS($1:100)&gt;COUNT(Dong1),"",IF(OFFSET(TH!N$1,SMALL(Dong1,ROWS($1:100)),)="1111",OFFSET(TH!M$1,SMALL(Dong1,ROWS($1:100)),),0))</f>
        <v/>
      </c>
      <c r="H113" s="155" t="str">
        <f ca="1">IF(ROWS($1:100)&gt;COUNT(Dong1),"",IF(OFFSET(TH!O$1,SMALL(Dong1,ROWS($1:100)),)="1111",OFFSET(TH!M$1,SMALL(Dong1,ROWS($1:100)),),0))</f>
        <v/>
      </c>
      <c r="I113" s="153">
        <f t="shared" ca="1" si="3"/>
        <v>0</v>
      </c>
      <c r="J113" s="158"/>
    </row>
    <row r="114" spans="1:12" s="143" customFormat="1" ht="19.5" customHeight="1">
      <c r="A114" s="152" t="str">
        <f ca="1">IF(ROWS($1:101)&gt;COUNT(Dong1),"",OFFSET(TH!C$1,SMALL(Dong1,ROWS($1:101)),))</f>
        <v/>
      </c>
      <c r="B114" s="152" t="str">
        <f ca="1">IF(ROWS($1:101)&gt;COUNT(Dong1),"",OFFSET(TH!E$1,SMALL(Dong1,ROWS($1:101)),))</f>
        <v/>
      </c>
      <c r="C114" s="153" t="str">
        <f ca="1">IF(ROWS($1:101)&gt;COUNT(Dong1),"",IF(OFFSET(TH!N$1,SMALL(Dong1,ROWS($1:101)),)="1111",OFFSET(TH!D$1,SMALL(Dong1,ROWS($1:101)),),""))</f>
        <v/>
      </c>
      <c r="D114" s="154" t="str">
        <f ca="1">IF(ROWS($1:101)&gt;COUNT(Dong1),"",IF(OFFSET(TH!O$1,SMALL(Dong1,ROWS($1:101)),)="1111",OFFSET(TH!D$1,SMALL(Dong1,ROWS($1:101)),),""))</f>
        <v/>
      </c>
      <c r="E114" s="342" t="str">
        <f ca="1">IF(ROWS($1:101)&gt;COUNT(Dong1),"",OFFSET(TH!F$1,SMALL(Dong1,ROWS($1:101)),))</f>
        <v/>
      </c>
      <c r="F114" s="156" t="str">
        <f ca="1">IF(ROWS($1:101)&gt;COUNT(Dong1),"",IF(OFFSET(TH!O$1,SMALL(Dong1,ROWS($1:101)),)="1111",OFFSET(TH!N$1,SMALL(Dong1,ROWS($1:101)),),OFFSET(TH!O$1,SMALL(Dong1,ROWS($1:101)),)))</f>
        <v/>
      </c>
      <c r="G114" s="157" t="str">
        <f ca="1">IF(ROWS($1:101)&gt;COUNT(Dong1),"",IF(OFFSET(TH!N$1,SMALL(Dong1,ROWS($1:101)),)="1111",OFFSET(TH!M$1,SMALL(Dong1,ROWS($1:101)),),0))</f>
        <v/>
      </c>
      <c r="H114" s="155" t="str">
        <f ca="1">IF(ROWS($1:101)&gt;COUNT(Dong1),"",IF(OFFSET(TH!O$1,SMALL(Dong1,ROWS($1:101)),)="1111",OFFSET(TH!M$1,SMALL(Dong1,ROWS($1:101)),),0))</f>
        <v/>
      </c>
      <c r="I114" s="153">
        <f t="shared" ca="1" si="3"/>
        <v>0</v>
      </c>
      <c r="J114" s="158"/>
    </row>
    <row r="115" spans="1:12" s="143" customFormat="1" ht="19.5" customHeight="1">
      <c r="A115" s="152" t="str">
        <f ca="1">IF(ROWS($1:102)&gt;COUNT(Dong1),"",OFFSET(TH!C$1,SMALL(Dong1,ROWS($1:102)),))</f>
        <v/>
      </c>
      <c r="B115" s="152" t="str">
        <f ca="1">IF(ROWS($1:102)&gt;COUNT(Dong1),"",OFFSET(TH!E$1,SMALL(Dong1,ROWS($1:102)),))</f>
        <v/>
      </c>
      <c r="C115" s="153" t="str">
        <f ca="1">IF(ROWS($1:102)&gt;COUNT(Dong1),"",IF(OFFSET(TH!N$1,SMALL(Dong1,ROWS($1:102)),)="1111",OFFSET(TH!D$1,SMALL(Dong1,ROWS($1:102)),),""))</f>
        <v/>
      </c>
      <c r="D115" s="154" t="str">
        <f ca="1">IF(ROWS($1:102)&gt;COUNT(Dong1),"",IF(OFFSET(TH!O$1,SMALL(Dong1,ROWS($1:102)),)="1111",OFFSET(TH!D$1,SMALL(Dong1,ROWS($1:102)),),""))</f>
        <v/>
      </c>
      <c r="E115" s="342" t="str">
        <f ca="1">IF(ROWS($1:102)&gt;COUNT(Dong1),"",OFFSET(TH!F$1,SMALL(Dong1,ROWS($1:102)),))</f>
        <v/>
      </c>
      <c r="F115" s="156" t="str">
        <f ca="1">IF(ROWS($1:102)&gt;COUNT(Dong1),"",IF(OFFSET(TH!O$1,SMALL(Dong1,ROWS($1:102)),)="1111",OFFSET(TH!N$1,SMALL(Dong1,ROWS($1:102)),),OFFSET(TH!O$1,SMALL(Dong1,ROWS($1:102)),)))</f>
        <v/>
      </c>
      <c r="G115" s="157" t="str">
        <f ca="1">IF(ROWS($1:102)&gt;COUNT(Dong1),"",IF(OFFSET(TH!N$1,SMALL(Dong1,ROWS($1:102)),)="1111",OFFSET(TH!M$1,SMALL(Dong1,ROWS($1:102)),),0))</f>
        <v/>
      </c>
      <c r="H115" s="155" t="str">
        <f ca="1">IF(ROWS($1:102)&gt;COUNT(Dong1),"",IF(OFFSET(TH!O$1,SMALL(Dong1,ROWS($1:102)),)="1111",OFFSET(TH!M$1,SMALL(Dong1,ROWS($1:102)),),0))</f>
        <v/>
      </c>
      <c r="I115" s="153">
        <f t="shared" ca="1" si="3"/>
        <v>0</v>
      </c>
      <c r="J115" s="158"/>
    </row>
    <row r="116" spans="1:12" s="143" customFormat="1" ht="19.5" customHeight="1">
      <c r="A116" s="152" t="str">
        <f ca="1">IF(ROWS($1:103)&gt;COUNT(Dong1),"",OFFSET(TH!C$1,SMALL(Dong1,ROWS($1:103)),))</f>
        <v/>
      </c>
      <c r="B116" s="152" t="str">
        <f ca="1">IF(ROWS($1:103)&gt;COUNT(Dong1),"",OFFSET(TH!E$1,SMALL(Dong1,ROWS($1:103)),))</f>
        <v/>
      </c>
      <c r="C116" s="153" t="str">
        <f ca="1">IF(ROWS($1:103)&gt;COUNT(Dong1),"",IF(OFFSET(TH!N$1,SMALL(Dong1,ROWS($1:103)),)="1111",OFFSET(TH!D$1,SMALL(Dong1,ROWS($1:103)),),""))</f>
        <v/>
      </c>
      <c r="D116" s="154" t="str">
        <f ca="1">IF(ROWS($1:103)&gt;COUNT(Dong1),"",IF(OFFSET(TH!O$1,SMALL(Dong1,ROWS($1:103)),)="1111",OFFSET(TH!D$1,SMALL(Dong1,ROWS($1:103)),),""))</f>
        <v/>
      </c>
      <c r="E116" s="342" t="str">
        <f ca="1">IF(ROWS($1:103)&gt;COUNT(Dong1),"",OFFSET(TH!F$1,SMALL(Dong1,ROWS($1:103)),))</f>
        <v/>
      </c>
      <c r="F116" s="156" t="str">
        <f ca="1">IF(ROWS($1:103)&gt;COUNT(Dong1),"",IF(OFFSET(TH!O$1,SMALL(Dong1,ROWS($1:103)),)="1111",OFFSET(TH!N$1,SMALL(Dong1,ROWS($1:103)),),OFFSET(TH!O$1,SMALL(Dong1,ROWS($1:103)),)))</f>
        <v/>
      </c>
      <c r="G116" s="157" t="str">
        <f ca="1">IF(ROWS($1:103)&gt;COUNT(Dong1),"",IF(OFFSET(TH!N$1,SMALL(Dong1,ROWS($1:103)),)="1111",OFFSET(TH!M$1,SMALL(Dong1,ROWS($1:103)),),0))</f>
        <v/>
      </c>
      <c r="H116" s="155" t="str">
        <f ca="1">IF(ROWS($1:103)&gt;COUNT(Dong1),"",IF(OFFSET(TH!O$1,SMALL(Dong1,ROWS($1:103)),)="1111",OFFSET(TH!M$1,SMALL(Dong1,ROWS($1:103)),),0))</f>
        <v/>
      </c>
      <c r="I116" s="153">
        <f t="shared" ca="1" si="3"/>
        <v>0</v>
      </c>
      <c r="J116" s="158"/>
    </row>
    <row r="117" spans="1:12" s="143" customFormat="1" ht="19.5" customHeight="1">
      <c r="A117" s="152"/>
      <c r="B117" s="152"/>
      <c r="C117" s="153"/>
      <c r="D117" s="154"/>
      <c r="E117" s="342"/>
      <c r="F117" s="156"/>
      <c r="G117" s="157"/>
      <c r="H117" s="155"/>
      <c r="I117" s="153"/>
      <c r="J117" s="158"/>
    </row>
    <row r="118" spans="1:12" s="143" customFormat="1" ht="19.5" customHeight="1">
      <c r="A118" s="152"/>
      <c r="B118" s="152"/>
      <c r="C118" s="153"/>
      <c r="D118" s="154"/>
      <c r="E118" s="342"/>
      <c r="F118" s="156"/>
      <c r="G118" s="157"/>
      <c r="H118" s="155"/>
      <c r="I118" s="153"/>
      <c r="J118" s="158"/>
    </row>
    <row r="119" spans="1:12" s="143" customFormat="1" ht="19.5" customHeight="1">
      <c r="A119" s="152"/>
      <c r="B119" s="152"/>
      <c r="C119" s="153"/>
      <c r="D119" s="154"/>
      <c r="E119" s="342"/>
      <c r="F119" s="156"/>
      <c r="G119" s="157"/>
      <c r="H119" s="155"/>
      <c r="I119" s="153"/>
      <c r="J119" s="158"/>
    </row>
    <row r="120" spans="1:12" s="143" customFormat="1" ht="19.5" customHeight="1">
      <c r="A120" s="159"/>
      <c r="B120" s="158"/>
      <c r="C120" s="158"/>
      <c r="D120" s="158"/>
      <c r="E120" s="343"/>
      <c r="F120" s="160"/>
      <c r="G120" s="158"/>
      <c r="H120" s="158"/>
      <c r="I120" s="153"/>
      <c r="J120" s="158"/>
    </row>
    <row r="121" spans="1:12" s="148" customFormat="1" ht="19.5" customHeight="1">
      <c r="A121" s="161"/>
      <c r="B121" s="161"/>
      <c r="C121" s="161"/>
      <c r="D121" s="161"/>
      <c r="E121" s="161" t="s">
        <v>158</v>
      </c>
      <c r="F121" s="162" t="s">
        <v>21</v>
      </c>
      <c r="G121" s="161">
        <f ca="1">SUM(G14:G120)</f>
        <v>0</v>
      </c>
      <c r="H121" s="161">
        <f ca="1">SUM(H14:H120)</f>
        <v>0</v>
      </c>
      <c r="I121" s="162" t="s">
        <v>21</v>
      </c>
      <c r="J121" s="162" t="s">
        <v>21</v>
      </c>
    </row>
    <row r="122" spans="1:12" s="148" customFormat="1" ht="19.5" customHeight="1">
      <c r="A122" s="163"/>
      <c r="B122" s="163"/>
      <c r="C122" s="163"/>
      <c r="D122" s="163"/>
      <c r="E122" s="163" t="s">
        <v>159</v>
      </c>
      <c r="F122" s="164" t="s">
        <v>21</v>
      </c>
      <c r="G122" s="164" t="s">
        <v>21</v>
      </c>
      <c r="H122" s="164" t="s">
        <v>21</v>
      </c>
      <c r="I122" s="165">
        <f ca="1">I13+G121-H121</f>
        <v>11230000000</v>
      </c>
      <c r="J122" s="164" t="s">
        <v>21</v>
      </c>
    </row>
    <row r="123" spans="1:12" s="143" customFormat="1" ht="15">
      <c r="L123" s="379" t="s">
        <v>247</v>
      </c>
    </row>
    <row r="124" spans="1:12" s="143" customFormat="1" ht="15">
      <c r="A124" s="166" t="s">
        <v>231</v>
      </c>
      <c r="L124" s="379" t="s">
        <v>248</v>
      </c>
    </row>
    <row r="125" spans="1:12" s="143" customFormat="1" ht="15">
      <c r="A125" s="215" t="e">
        <f ca="1">"- Ngày mở sổ: "&amp;DAY($A$14)&amp;"/"&amp;MONTH($A$14)&amp;"/ 2015"</f>
        <v>#VALUE!</v>
      </c>
      <c r="L125" s="379" t="s">
        <v>160</v>
      </c>
    </row>
    <row r="126" spans="1:12" s="143" customFormat="1" ht="15">
      <c r="I126" s="300" t="str">
        <f>"Ngày "&amp;IF(OR($L$11=4,$L$11=6,$L$11=9,$L$11=11),"30",IF($L$11=2,"28","31"))&amp;" tháng "&amp;$L$11&amp;"  năm  2016 "</f>
        <v xml:space="preserve">Ngày 30 tháng 11  năm  2016 </v>
      </c>
      <c r="L126" s="379" t="s">
        <v>231</v>
      </c>
    </row>
    <row r="127" spans="1:12" s="167" customFormat="1" ht="14.25">
      <c r="C127" s="167" t="s">
        <v>11</v>
      </c>
      <c r="E127" s="167" t="s">
        <v>12</v>
      </c>
      <c r="I127" s="167" t="s">
        <v>131</v>
      </c>
    </row>
    <row r="128" spans="1:12" s="168" customFormat="1" ht="15">
      <c r="C128" s="168" t="s">
        <v>13</v>
      </c>
      <c r="E128" s="168" t="s">
        <v>13</v>
      </c>
      <c r="I128" s="168" t="s">
        <v>161</v>
      </c>
    </row>
    <row r="129" spans="3:9" s="168" customFormat="1" ht="15"/>
    <row r="130" spans="3:9" s="168" customFormat="1" ht="15"/>
    <row r="131" spans="3:9" s="168" customFormat="1" ht="15"/>
    <row r="132" spans="3:9" s="168" customFormat="1" ht="15"/>
    <row r="133" spans="3:9" s="143" customFormat="1" ht="15"/>
    <row r="134" spans="3:9" s="143" customFormat="1" ht="15"/>
    <row r="135" spans="3:9" s="143" customFormat="1" ht="15.75">
      <c r="C135" s="340" t="s">
        <v>226</v>
      </c>
      <c r="I135" s="341" t="s">
        <v>125</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S138"/>
  <sheetViews>
    <sheetView tabSelected="1" topLeftCell="A5" workbookViewId="0">
      <pane ySplit="7" topLeftCell="A21" activePane="bottomLeft" state="frozen"/>
      <selection activeCell="P41" sqref="P41"/>
      <selection pane="bottomLeft" activeCell="M42" sqref="M42"/>
    </sheetView>
  </sheetViews>
  <sheetFormatPr defaultRowHeight="15.75"/>
  <cols>
    <col min="1" max="1" width="7.7109375" style="208" customWidth="1"/>
    <col min="2" max="2" width="7.42578125" style="209" customWidth="1"/>
    <col min="3" max="3" width="7.7109375" style="208" customWidth="1"/>
    <col min="4" max="4" width="40.7109375" style="207" customWidth="1"/>
    <col min="5" max="5" width="7.7109375" style="207" customWidth="1"/>
    <col min="6" max="6" width="20.28515625" style="207" customWidth="1"/>
    <col min="7" max="7" width="16.28515625" style="207" customWidth="1"/>
    <col min="8" max="8" width="17.140625" style="646" customWidth="1"/>
    <col min="9" max="9" width="6.5703125" style="207" customWidth="1"/>
    <col min="10" max="10" width="2.85546875" style="207" customWidth="1"/>
    <col min="11" max="11" width="6.28515625" style="207" customWidth="1"/>
    <col min="12" max="12" width="3.28515625" style="207" customWidth="1"/>
    <col min="13" max="13" width="5.7109375" style="207" customWidth="1"/>
    <col min="14" max="14" width="4.85546875" style="207" customWidth="1"/>
    <col min="15" max="15" width="8.85546875" style="207" customWidth="1"/>
    <col min="16" max="16" width="10.42578125" style="207" customWidth="1"/>
    <col min="17" max="17" width="12.140625" style="207" customWidth="1"/>
    <col min="18" max="19" width="17.28515625" style="207" customWidth="1"/>
  </cols>
  <sheetData>
    <row r="1" spans="1:19" ht="16.5" customHeight="1">
      <c r="A1" s="119" t="s">
        <v>138</v>
      </c>
      <c r="B1" s="173"/>
      <c r="C1" s="174"/>
      <c r="D1" s="172"/>
      <c r="E1" s="172"/>
      <c r="F1" s="344"/>
      <c r="G1" s="346" t="s">
        <v>232</v>
      </c>
      <c r="H1" s="913"/>
      <c r="I1" s="344"/>
      <c r="J1" s="172"/>
      <c r="K1" s="175"/>
      <c r="L1" s="175"/>
      <c r="M1" s="172"/>
      <c r="N1" s="172"/>
      <c r="O1" s="172"/>
      <c r="P1" s="172"/>
      <c r="Q1" s="172"/>
      <c r="R1" s="172"/>
      <c r="S1" s="172"/>
    </row>
    <row r="2" spans="1:19" ht="16.5" customHeight="1">
      <c r="A2" s="348" t="s">
        <v>139</v>
      </c>
      <c r="B2" s="210"/>
      <c r="C2" s="210"/>
      <c r="D2" s="210"/>
      <c r="E2" s="172"/>
      <c r="F2" s="345"/>
      <c r="G2" s="347" t="s">
        <v>233</v>
      </c>
      <c r="H2" s="914"/>
      <c r="I2" s="345"/>
      <c r="J2" s="172"/>
      <c r="K2" s="176"/>
      <c r="L2" s="176"/>
      <c r="M2" s="172"/>
      <c r="N2" s="172"/>
      <c r="O2" s="172"/>
      <c r="P2" s="172"/>
      <c r="Q2" s="172"/>
      <c r="R2" s="172"/>
      <c r="S2" s="172"/>
    </row>
    <row r="3" spans="1:19" ht="16.5" customHeight="1">
      <c r="A3" s="210"/>
      <c r="B3" s="210"/>
      <c r="C3" s="210"/>
      <c r="D3" s="210"/>
      <c r="E3" s="172"/>
      <c r="F3" s="345"/>
      <c r="G3" s="347" t="s">
        <v>234</v>
      </c>
      <c r="H3" s="914"/>
      <c r="I3" s="345"/>
      <c r="J3" s="172"/>
      <c r="K3" s="172"/>
      <c r="L3" s="172"/>
      <c r="M3" s="172"/>
      <c r="N3" s="172"/>
      <c r="O3" s="172"/>
      <c r="P3" s="172"/>
      <c r="Q3" s="172"/>
      <c r="R3" s="172"/>
      <c r="S3" s="172"/>
    </row>
    <row r="4" spans="1:19" ht="19.5" customHeight="1">
      <c r="A4" s="1378" t="s">
        <v>165</v>
      </c>
      <c r="B4" s="1378"/>
      <c r="C4" s="1378"/>
      <c r="D4" s="1378"/>
      <c r="E4" s="1378"/>
      <c r="F4" s="1378"/>
      <c r="G4" s="1378"/>
      <c r="H4" s="1378"/>
      <c r="I4" s="1378"/>
      <c r="J4" s="172"/>
      <c r="K4" s="172"/>
      <c r="L4" s="172"/>
      <c r="M4" s="172"/>
      <c r="N4" s="172"/>
      <c r="O4" s="172"/>
      <c r="P4" s="172"/>
      <c r="Q4" s="172"/>
      <c r="R4" s="172"/>
      <c r="S4" s="172"/>
    </row>
    <row r="5" spans="1:19" ht="15">
      <c r="A5" s="1379" t="str">
        <f>"Nơi mở tài khoản giao dịch: "&amp;IF($M$9="Q11","Ngân Hàng Eximbank Quận 11",IF($M$9="Q4","Ngân Hàng Eximbank Quận 4","Ngân Hàng PV Combank - CN Gia Định"))</f>
        <v>Nơi mở tài khoản giao dịch: Ngân Hàng PV Combank - CN Gia Định</v>
      </c>
      <c r="B5" s="1379"/>
      <c r="C5" s="1379"/>
      <c r="D5" s="1379"/>
      <c r="E5" s="1379"/>
      <c r="F5" s="1379"/>
      <c r="G5" s="1379"/>
      <c r="H5" s="1379"/>
      <c r="I5" s="1379"/>
      <c r="J5" s="172"/>
      <c r="K5" s="172"/>
      <c r="L5" s="172"/>
      <c r="M5" s="172"/>
      <c r="N5" s="172"/>
      <c r="O5" s="172"/>
      <c r="P5" s="172"/>
      <c r="Q5" s="172"/>
      <c r="R5" s="172"/>
      <c r="S5" s="172"/>
    </row>
    <row r="6" spans="1:19" ht="15">
      <c r="A6" s="172"/>
      <c r="B6" s="172"/>
      <c r="C6" s="172"/>
      <c r="D6" s="397" t="s">
        <v>260</v>
      </c>
      <c r="E6" s="1383" t="str">
        <f>IF($H$6="VNĐ",VLOOKUP($M$9,$O$8:$S$12,4,0),VLOOKUP($M$9,$O$8:$S$12,5,0))</f>
        <v>1010 0026 8614</v>
      </c>
      <c r="F6" s="1383"/>
      <c r="G6" s="1383"/>
      <c r="H6" s="915" t="s">
        <v>224</v>
      </c>
      <c r="I6" s="398" t="str">
        <f>IF(H6="VNĐ","1121",IF(H6="USD","1122",""))</f>
        <v>1122</v>
      </c>
      <c r="J6" s="172"/>
      <c r="K6" s="172"/>
      <c r="L6" s="172"/>
      <c r="M6" s="172"/>
      <c r="N6" s="172"/>
      <c r="O6" s="1380" t="s">
        <v>587</v>
      </c>
      <c r="P6" s="1380" t="s">
        <v>224</v>
      </c>
      <c r="Q6" s="1380" t="s">
        <v>130</v>
      </c>
      <c r="R6" s="1380" t="s">
        <v>942</v>
      </c>
      <c r="S6" s="1380" t="s">
        <v>943</v>
      </c>
    </row>
    <row r="7" spans="1:19" ht="8.25" customHeight="1">
      <c r="A7" s="177"/>
      <c r="B7" s="178"/>
      <c r="C7" s="177"/>
      <c r="D7" s="178"/>
      <c r="E7" s="178"/>
      <c r="F7" s="178"/>
      <c r="G7" s="178"/>
      <c r="H7" s="916"/>
      <c r="I7" s="178"/>
      <c r="J7" s="172"/>
      <c r="K7" s="172"/>
      <c r="L7" s="172"/>
      <c r="M7" s="172"/>
      <c r="N7" s="172"/>
      <c r="O7" s="1380"/>
      <c r="P7" s="1380"/>
      <c r="Q7" s="1380"/>
      <c r="R7" s="1380"/>
      <c r="S7" s="1380"/>
    </row>
    <row r="8" spans="1:19" ht="22.5" customHeight="1" thickBot="1">
      <c r="A8" s="1384" t="s">
        <v>166</v>
      </c>
      <c r="B8" s="1386" t="s">
        <v>1</v>
      </c>
      <c r="C8" s="1387"/>
      <c r="D8" s="1381" t="s">
        <v>0</v>
      </c>
      <c r="E8" s="1388" t="s">
        <v>16</v>
      </c>
      <c r="F8" s="1386" t="s">
        <v>167</v>
      </c>
      <c r="G8" s="1386"/>
      <c r="H8" s="1387"/>
      <c r="I8" s="1381" t="s">
        <v>152</v>
      </c>
      <c r="J8" s="179"/>
      <c r="K8" s="170"/>
      <c r="L8" s="172"/>
      <c r="M8" s="179"/>
      <c r="N8" s="179"/>
      <c r="O8" s="1259" t="s">
        <v>586</v>
      </c>
      <c r="P8" s="1156">
        <v>12.03</v>
      </c>
      <c r="Q8" s="1035">
        <v>1293664</v>
      </c>
      <c r="R8" s="394" t="s">
        <v>937</v>
      </c>
      <c r="S8" s="387" t="s">
        <v>936</v>
      </c>
    </row>
    <row r="9" spans="1:19" ht="22.5" customHeight="1" thickBot="1">
      <c r="A9" s="1385"/>
      <c r="B9" s="180" t="s">
        <v>17</v>
      </c>
      <c r="C9" s="181" t="s">
        <v>168</v>
      </c>
      <c r="D9" s="1382"/>
      <c r="E9" s="1389"/>
      <c r="F9" s="382" t="s">
        <v>169</v>
      </c>
      <c r="G9" s="182" t="s">
        <v>170</v>
      </c>
      <c r="H9" s="917" t="s">
        <v>171</v>
      </c>
      <c r="I9" s="1382"/>
      <c r="J9" s="179"/>
      <c r="K9" s="740">
        <v>1</v>
      </c>
      <c r="L9" s="172"/>
      <c r="M9" s="741" t="s">
        <v>746</v>
      </c>
      <c r="N9" s="179"/>
      <c r="O9" s="742" t="s">
        <v>585</v>
      </c>
      <c r="P9" s="387">
        <v>156.54</v>
      </c>
      <c r="Q9" s="394">
        <v>227337720</v>
      </c>
      <c r="R9" s="387" t="s">
        <v>939</v>
      </c>
      <c r="S9" s="387" t="s">
        <v>938</v>
      </c>
    </row>
    <row r="10" spans="1:19" ht="15">
      <c r="A10" s="183" t="s">
        <v>2</v>
      </c>
      <c r="B10" s="184" t="s">
        <v>3</v>
      </c>
      <c r="C10" s="183" t="s">
        <v>4</v>
      </c>
      <c r="D10" s="184" t="s">
        <v>5</v>
      </c>
      <c r="E10" s="184" t="s">
        <v>6</v>
      </c>
      <c r="F10" s="184">
        <v>1</v>
      </c>
      <c r="G10" s="184">
        <v>2</v>
      </c>
      <c r="H10" s="184">
        <v>3</v>
      </c>
      <c r="I10" s="184" t="s">
        <v>155</v>
      </c>
      <c r="J10" s="185"/>
      <c r="K10" s="185"/>
      <c r="L10" s="172"/>
      <c r="M10" s="185"/>
      <c r="N10" s="185"/>
      <c r="O10" s="742" t="s">
        <v>746</v>
      </c>
      <c r="P10" s="387">
        <v>23417.07</v>
      </c>
      <c r="Q10" s="394">
        <v>3604566158</v>
      </c>
      <c r="R10" s="394" t="s">
        <v>935</v>
      </c>
      <c r="S10" s="387" t="s">
        <v>934</v>
      </c>
    </row>
    <row r="11" spans="1:19" ht="20.25" customHeight="1">
      <c r="A11" s="186"/>
      <c r="B11" s="187"/>
      <c r="C11" s="186"/>
      <c r="D11" s="188" t="s">
        <v>7</v>
      </c>
      <c r="E11" s="188"/>
      <c r="F11" s="745"/>
      <c r="G11" s="745"/>
      <c r="H11" s="745">
        <f>IF($H$6="USD",VLOOKUP($M$9,$O$8:$S$12,2,0)+SUMIF(_N112,"x",_TH)-SUMIF(_C112,"x",_TH),VLOOKUP($M$9,$O$8:$S$12,3,0)+SUMIF(_N112,"x",TH)-SUMIF(_C112,"x",TH))</f>
        <v>23417.07</v>
      </c>
      <c r="I11" s="745"/>
      <c r="J11" s="189"/>
      <c r="K11" s="189"/>
      <c r="L11" s="172"/>
      <c r="M11" s="189"/>
      <c r="N11" s="189"/>
      <c r="O11" s="742" t="s">
        <v>856</v>
      </c>
      <c r="P11" s="387">
        <v>2603.7399999999998</v>
      </c>
      <c r="Q11" s="387">
        <v>6382218</v>
      </c>
      <c r="R11" s="394" t="s">
        <v>932</v>
      </c>
      <c r="S11" s="387" t="s">
        <v>933</v>
      </c>
    </row>
    <row r="12" spans="1:19" ht="20.25" customHeight="1">
      <c r="A12" s="190">
        <f ca="1">IF(ROWS($1:1)&gt;COUNT(Dong2),"",OFFSET(TH!C$1,SMALL(Dong2,ROWS($1:1)),))</f>
        <v>43102</v>
      </c>
      <c r="B12" s="190" t="str">
        <f ca="1">IF(ROWS($1:1)&gt;COUNT(Dong2),"",OFFSET(TH!D$1,SMALL(Dong2,ROWS($1:1)),))</f>
        <v>GBC</v>
      </c>
      <c r="C12" s="190">
        <f ca="1">IF(ROWS($1:1)&gt;COUNT(Dong2),"",OFFSET(TH!E$1,SMALL(Dong2,ROWS($1:1)),))</f>
        <v>43102</v>
      </c>
      <c r="D12" s="349" t="str">
        <f ca="1">IF(ROWS($1:1)&gt;COUNT(Dong2),"",OFFSET(TH!F$1,SMALL(Dong2,ROWS($1:1)),))</f>
        <v>Thu tiền hàng</v>
      </c>
      <c r="E12" s="190" t="str">
        <f ca="1">IF(ROWS($1:1)&gt;COUNT(Dong2),"",IF(OFFSET(TH!O$1,SMALL(Dong2,ROWS($1:1)),)=$I$6,OFFSET(TH!N$1,SMALL(Dong2,ROWS($1:1)),),OFFSET(TH!O$1,SMALL(Dong2,ROWS($1:1)),)))</f>
        <v>131</v>
      </c>
      <c r="F12" s="924">
        <f ca="1">IF(ROWS($1:1)&gt;COUNT(Dong2),"",IF(AND(IF($M$9="Q11",LEFT(OFFSET(TH!G$1,SMALL(Dong2,ROWS($1:1)),),3)=$M$9,LEFT(OFFSET(TH!G$1,SMALL(Dong2,ROWS($1:1)),),2)=$M$9),OFFSET(TH!N$1,SMALL(Dong2,ROWS($1:1)),)=$I$6),IF($I$6="1121",OFFSET(TH!M$1,SMALL(Dong2,ROWS($1:1)),),OFFSET(TH!K$1,SMALL(Dong2,ROWS($1:1)),)),0))</f>
        <v>26156</v>
      </c>
      <c r="G12" s="924">
        <f ca="1">IF(ROWS($1:1)&gt;COUNT(Dong2),"",IF(AND(IF($M$9="Q11",RIGHT(OFFSET(TH!G$1,SMALL(Dong2,ROWS($1:1)),),3)=$M$9,RIGHT(OFFSET(TH!G$1,SMALL(Dong2,ROWS($1:1)),),2)=$M$9),OFFSET(TH!O$1,SMALL(Dong2,ROWS($1:1)),)=$I$6),IF($I$6="1121",OFFSET(TH!M$1,SMALL(Dong2,ROWS($1:1)),),OFFSET(TH!K$1,SMALL(Dong2,ROWS($1:1)),)),0))</f>
        <v>0</v>
      </c>
      <c r="H12" s="746">
        <f ca="1">IF(A12&lt;&gt;"",H11+F12-G12,0)</f>
        <v>49573.07</v>
      </c>
      <c r="I12" s="746"/>
      <c r="J12" s="179"/>
      <c r="K12" s="179"/>
      <c r="L12" s="172"/>
      <c r="M12" s="179"/>
      <c r="N12" s="179"/>
      <c r="O12" s="742" t="s">
        <v>588</v>
      </c>
      <c r="P12" s="387">
        <v>0</v>
      </c>
      <c r="Q12" s="394">
        <v>109992</v>
      </c>
      <c r="R12" s="394" t="s">
        <v>941</v>
      </c>
      <c r="S12" s="387" t="s">
        <v>940</v>
      </c>
    </row>
    <row r="13" spans="1:19" ht="20.25" customHeight="1">
      <c r="A13" s="190">
        <f ca="1">IF(ROWS($1:2)&gt;COUNT(Dong2),"",OFFSET(TH!C$1,SMALL(Dong2,ROWS($1:2)),))</f>
        <v>43102</v>
      </c>
      <c r="B13" s="190" t="str">
        <f ca="1">IF(ROWS($1:2)&gt;COUNT(Dong2),"",OFFSET(TH!D$1,SMALL(Dong2,ROWS($1:2)),))</f>
        <v>GBN</v>
      </c>
      <c r="C13" s="190">
        <f ca="1">IF(ROWS($1:2)&gt;COUNT(Dong2),"",OFFSET(TH!E$1,SMALL(Dong2,ROWS($1:2)),))</f>
        <v>43102</v>
      </c>
      <c r="D13" s="349" t="str">
        <f ca="1">IF(ROWS($1:2)&gt;COUNT(Dong2),"",OFFSET(TH!F$1,SMALL(Dong2,ROWS($1:2)),))</f>
        <v>Trả lãi vay</v>
      </c>
      <c r="E13" s="190" t="str">
        <f ca="1">IF(ROWS($1:2)&gt;COUNT(Dong2),"",IF(OFFSET(TH!O$1,SMALL(Dong2,ROWS($1:2)),)=$I$6,OFFSET(TH!N$1,SMALL(Dong2,ROWS($1:2)),),OFFSET(TH!O$1,SMALL(Dong2,ROWS($1:2)),)))</f>
        <v>635</v>
      </c>
      <c r="F13" s="924">
        <f ca="1">IF(ROWS($1:2)&gt;COUNT(Dong2),"",IF(AND(IF($M$9="Q11",LEFT(OFFSET(TH!G$1,SMALL(Dong2,ROWS($1:2)),),3)=$M$9,LEFT(OFFSET(TH!G$1,SMALL(Dong2,ROWS($1:2)),),2)=$M$9),OFFSET(TH!N$1,SMALL(Dong2,ROWS($1:2)),)=$I$6),IF($I$6="1121",OFFSET(TH!M$1,SMALL(Dong2,ROWS($1:2)),),OFFSET(TH!K$1,SMALL(Dong2,ROWS($1:2)),)),0))</f>
        <v>0</v>
      </c>
      <c r="G13" s="924">
        <f ca="1">IF(ROWS($1:2)&gt;COUNT(Dong2),"",IF(AND(IF($M$9="Q11",RIGHT(OFFSET(TH!G$1,SMALL(Dong2,ROWS($1:2)),),3)=$M$9,RIGHT(OFFSET(TH!G$1,SMALL(Dong2,ROWS($1:2)),),2)=$M$9),OFFSET(TH!O$1,SMALL(Dong2,ROWS($1:2)),)=$I$6),IF($I$6="1121",OFFSET(TH!M$1,SMALL(Dong2,ROWS($1:2)),),OFFSET(TH!K$1,SMALL(Dong2,ROWS($1:2)),)),0))</f>
        <v>30.42</v>
      </c>
      <c r="H13" s="746">
        <f t="shared" ref="H13:H14" ca="1" si="0">IF(A13&lt;&gt;"",H12+F13-G13,0)</f>
        <v>49542.65</v>
      </c>
      <c r="I13" s="746"/>
      <c r="J13" s="179"/>
      <c r="K13" s="179"/>
      <c r="L13" s="172"/>
      <c r="M13" s="179"/>
      <c r="N13" s="179"/>
      <c r="O13" s="179"/>
      <c r="P13" s="1260">
        <f>SUM(P8:P12)</f>
        <v>26189.379999999997</v>
      </c>
      <c r="Q13" s="912">
        <f>SUM(Q8:Q12)</f>
        <v>3839689752</v>
      </c>
      <c r="R13" s="179"/>
      <c r="S13" s="179"/>
    </row>
    <row r="14" spans="1:19" ht="20.25" customHeight="1">
      <c r="A14" s="190">
        <f ca="1">IF(ROWS($1:3)&gt;COUNT(Dong2),"",OFFSET(TH!C$1,SMALL(Dong2,ROWS($1:3)),))</f>
        <v>43102</v>
      </c>
      <c r="B14" s="190" t="str">
        <f ca="1">IF(ROWS($1:3)&gt;COUNT(Dong2),"",OFFSET(TH!D$1,SMALL(Dong2,ROWS($1:3)),))</f>
        <v>GBN</v>
      </c>
      <c r="C14" s="190">
        <f ca="1">IF(ROWS($1:3)&gt;COUNT(Dong2),"",OFFSET(TH!E$1,SMALL(Dong2,ROWS($1:3)),))</f>
        <v>43102</v>
      </c>
      <c r="D14" s="349" t="str">
        <f ca="1">IF(ROWS($1:3)&gt;COUNT(Dong2),"",OFFSET(TH!F$1,SMALL(Dong2,ROWS($1:3)),))</f>
        <v>Trả gốc vay</v>
      </c>
      <c r="E14" s="190" t="str">
        <f ca="1">IF(ROWS($1:3)&gt;COUNT(Dong2),"",IF(OFFSET(TH!O$1,SMALL(Dong2,ROWS($1:3)),)=$I$6,OFFSET(TH!N$1,SMALL(Dong2,ROWS($1:3)),),OFFSET(TH!O$1,SMALL(Dong2,ROWS($1:3)),)))</f>
        <v>3412</v>
      </c>
      <c r="F14" s="924">
        <f ca="1">IF(ROWS($1:3)&gt;COUNT(Dong2),"",IF(AND(IF($M$9="Q11",LEFT(OFFSET(TH!G$1,SMALL(Dong2,ROWS($1:3)),),3)=$M$9,LEFT(OFFSET(TH!G$1,SMALL(Dong2,ROWS($1:3)),),2)=$M$9),OFFSET(TH!N$1,SMALL(Dong2,ROWS($1:3)),)=$I$6),IF($I$6="1121",OFFSET(TH!M$1,SMALL(Dong2,ROWS($1:3)),),OFFSET(TH!K$1,SMALL(Dong2,ROWS($1:3)),)),0))</f>
        <v>0</v>
      </c>
      <c r="G14" s="924">
        <f ca="1">IF(ROWS($1:3)&gt;COUNT(Dong2),"",IF(AND(IF($M$9="Q11",RIGHT(OFFSET(TH!G$1,SMALL(Dong2,ROWS($1:3)),),3)=$M$9,RIGHT(OFFSET(TH!G$1,SMALL(Dong2,ROWS($1:3)),),2)=$M$9),OFFSET(TH!O$1,SMALL(Dong2,ROWS($1:3)),)=$I$6),IF($I$6="1121",OFFSET(TH!M$1,SMALL(Dong2,ROWS($1:3)),),OFFSET(TH!K$1,SMALL(Dong2,ROWS($1:3)),)),0))</f>
        <v>24890</v>
      </c>
      <c r="H14" s="746">
        <f t="shared" ca="1" si="0"/>
        <v>24652.65</v>
      </c>
      <c r="I14" s="746"/>
      <c r="J14" s="179"/>
      <c r="K14" s="179"/>
      <c r="L14" s="172"/>
      <c r="M14" s="179"/>
      <c r="N14" s="179"/>
      <c r="O14" s="179"/>
      <c r="P14" s="179"/>
      <c r="Q14" s="179"/>
      <c r="R14" s="179"/>
      <c r="S14" s="179"/>
    </row>
    <row r="15" spans="1:19" ht="20.25" customHeight="1">
      <c r="A15" s="190">
        <f ca="1">IF(ROWS($1:4)&gt;COUNT(Dong2),"",OFFSET(TH!C$1,SMALL(Dong2,ROWS($1:4)),))</f>
        <v>43104</v>
      </c>
      <c r="B15" s="190" t="str">
        <f ca="1">IF(ROWS($1:4)&gt;COUNT(Dong2),"",OFFSET(TH!D$1,SMALL(Dong2,ROWS($1:4)),))</f>
        <v>GBC</v>
      </c>
      <c r="C15" s="190">
        <f ca="1">IF(ROWS($1:4)&gt;COUNT(Dong2),"",OFFSET(TH!E$1,SMALL(Dong2,ROWS($1:4)),))</f>
        <v>43104</v>
      </c>
      <c r="D15" s="349" t="str">
        <f ca="1">IF(ROWS($1:4)&gt;COUNT(Dong2),"",OFFSET(TH!F$1,SMALL(Dong2,ROWS($1:4)),))</f>
        <v>Thu tiền hàng</v>
      </c>
      <c r="E15" s="190" t="str">
        <f ca="1">IF(ROWS($1:4)&gt;COUNT(Dong2),"",IF(OFFSET(TH!O$1,SMALL(Dong2,ROWS($1:4)),)=$I$6,OFFSET(TH!N$1,SMALL(Dong2,ROWS($1:4)),),OFFSET(TH!O$1,SMALL(Dong2,ROWS($1:4)),)))</f>
        <v>131</v>
      </c>
      <c r="F15" s="924">
        <f ca="1">IF(ROWS($1:4)&gt;COUNT(Dong2),"",IF(AND(IF($M$9="Q11",LEFT(OFFSET(TH!G$1,SMALL(Dong2,ROWS($1:4)),),3)=$M$9,LEFT(OFFSET(TH!G$1,SMALL(Dong2,ROWS($1:4)),),2)=$M$9),OFFSET(TH!N$1,SMALL(Dong2,ROWS($1:4)),)=$I$6),IF($I$6="1121",OFFSET(TH!M$1,SMALL(Dong2,ROWS($1:4)),),OFFSET(TH!K$1,SMALL(Dong2,ROWS($1:4)),)),0))</f>
        <v>27370</v>
      </c>
      <c r="G15" s="924">
        <f ca="1">IF(ROWS($1:4)&gt;COUNT(Dong2),"",IF(AND(IF($M$9="Q11",RIGHT(OFFSET(TH!G$1,SMALL(Dong2,ROWS($1:4)),),3)=$M$9,RIGHT(OFFSET(TH!G$1,SMALL(Dong2,ROWS($1:4)),),2)=$M$9),OFFSET(TH!O$1,SMALL(Dong2,ROWS($1:4)),)=$I$6),IF($I$6="1121",OFFSET(TH!M$1,SMALL(Dong2,ROWS($1:4)),),OFFSET(TH!K$1,SMALL(Dong2,ROWS($1:4)),)),0))</f>
        <v>0</v>
      </c>
      <c r="H15" s="746">
        <f t="shared" ref="H15:H47" ca="1" si="1">IF(A15&lt;&gt;"",H14+F15-G15,0)</f>
        <v>52022.65</v>
      </c>
      <c r="I15" s="746"/>
      <c r="J15" s="179"/>
      <c r="K15" s="179"/>
      <c r="L15" s="172"/>
      <c r="M15" s="179"/>
      <c r="N15" s="179"/>
      <c r="O15" s="179"/>
      <c r="P15" s="179"/>
      <c r="Q15" s="179"/>
      <c r="R15" s="179"/>
      <c r="S15" s="179"/>
    </row>
    <row r="16" spans="1:19" ht="20.25" customHeight="1">
      <c r="A16" s="190">
        <f ca="1">IF(ROWS($1:5)&gt;COUNT(Dong2),"",OFFSET(TH!C$1,SMALL(Dong2,ROWS($1:5)),))</f>
        <v>43104</v>
      </c>
      <c r="B16" s="190" t="str">
        <f ca="1">IF(ROWS($1:5)&gt;COUNT(Dong2),"",OFFSET(TH!D$1,SMALL(Dong2,ROWS($1:5)),))</f>
        <v>GBN</v>
      </c>
      <c r="C16" s="190">
        <f ca="1">IF(ROWS($1:5)&gt;COUNT(Dong2),"",OFFSET(TH!E$1,SMALL(Dong2,ROWS($1:5)),))</f>
        <v>43104</v>
      </c>
      <c r="D16" s="349" t="str">
        <f ca="1">IF(ROWS($1:5)&gt;COUNT(Dong2),"",OFFSET(TH!F$1,SMALL(Dong2,ROWS($1:5)),))</f>
        <v>Trả lãi vay</v>
      </c>
      <c r="E16" s="190" t="str">
        <f ca="1">IF(ROWS($1:5)&gt;COUNT(Dong2),"",IF(OFFSET(TH!O$1,SMALL(Dong2,ROWS($1:5)),)=$I$6,OFFSET(TH!N$1,SMALL(Dong2,ROWS($1:5)),),OFFSET(TH!O$1,SMALL(Dong2,ROWS($1:5)),)))</f>
        <v>635</v>
      </c>
      <c r="F16" s="924">
        <f ca="1">IF(ROWS($1:5)&gt;COUNT(Dong2),"",IF(AND(IF($M$9="Q11",LEFT(OFFSET(TH!G$1,SMALL(Dong2,ROWS($1:5)),),3)=$M$9,LEFT(OFFSET(TH!G$1,SMALL(Dong2,ROWS($1:5)),),2)=$M$9),OFFSET(TH!N$1,SMALL(Dong2,ROWS($1:5)),)=$I$6),IF($I$6="1121",OFFSET(TH!M$1,SMALL(Dong2,ROWS($1:5)),),OFFSET(TH!K$1,SMALL(Dong2,ROWS($1:5)),)),0))</f>
        <v>0</v>
      </c>
      <c r="G16" s="924">
        <f ca="1">IF(ROWS($1:5)&gt;COUNT(Dong2),"",IF(AND(IF($M$9="Q11",RIGHT(OFFSET(TH!G$1,SMALL(Dong2,ROWS($1:5)),),3)=$M$9,RIGHT(OFFSET(TH!G$1,SMALL(Dong2,ROWS($1:5)),),2)=$M$9),OFFSET(TH!O$1,SMALL(Dong2,ROWS($1:5)),)=$I$6),IF($I$6="1121",OFFSET(TH!M$1,SMALL(Dong2,ROWS($1:5)),),OFFSET(TH!K$1,SMALL(Dong2,ROWS($1:5)),)),0))</f>
        <v>20.38</v>
      </c>
      <c r="H16" s="746">
        <f t="shared" ca="1" si="1"/>
        <v>52002.270000000004</v>
      </c>
      <c r="I16" s="746"/>
      <c r="J16" s="179"/>
      <c r="K16" s="179"/>
      <c r="L16" s="172"/>
      <c r="M16" s="179"/>
      <c r="N16" s="179"/>
      <c r="O16" s="179"/>
      <c r="P16" s="179"/>
      <c r="Q16" s="179"/>
      <c r="R16" s="179"/>
      <c r="S16" s="179"/>
    </row>
    <row r="17" spans="1:19" ht="20.25" customHeight="1">
      <c r="A17" s="190">
        <f ca="1">IF(ROWS($1:6)&gt;COUNT(Dong2),"",OFFSET(TH!C$1,SMALL(Dong2,ROWS($1:6)),))</f>
        <v>43104</v>
      </c>
      <c r="B17" s="190" t="str">
        <f ca="1">IF(ROWS($1:6)&gt;COUNT(Dong2),"",OFFSET(TH!D$1,SMALL(Dong2,ROWS($1:6)),))</f>
        <v>GBN</v>
      </c>
      <c r="C17" s="190">
        <f ca="1">IF(ROWS($1:6)&gt;COUNT(Dong2),"",OFFSET(TH!E$1,SMALL(Dong2,ROWS($1:6)),))</f>
        <v>43104</v>
      </c>
      <c r="D17" s="349" t="str">
        <f ca="1">IF(ROWS($1:6)&gt;COUNT(Dong2),"",OFFSET(TH!F$1,SMALL(Dong2,ROWS($1:6)),))</f>
        <v>Trả gốc vay</v>
      </c>
      <c r="E17" s="190" t="str">
        <f ca="1">IF(ROWS($1:6)&gt;COUNT(Dong2),"",IF(OFFSET(TH!O$1,SMALL(Dong2,ROWS($1:6)),)=$I$6,OFFSET(TH!N$1,SMALL(Dong2,ROWS($1:6)),),OFFSET(TH!O$1,SMALL(Dong2,ROWS($1:6)),)))</f>
        <v>3412</v>
      </c>
      <c r="F17" s="924">
        <f ca="1">IF(ROWS($1:6)&gt;COUNT(Dong2),"",IF(AND(IF($M$9="Q11",LEFT(OFFSET(TH!G$1,SMALL(Dong2,ROWS($1:6)),),3)=$M$9,LEFT(OFFSET(TH!G$1,SMALL(Dong2,ROWS($1:6)),),2)=$M$9),OFFSET(TH!N$1,SMALL(Dong2,ROWS($1:6)),)=$I$6),IF($I$6="1121",OFFSET(TH!M$1,SMALL(Dong2,ROWS($1:6)),),OFFSET(TH!K$1,SMALL(Dong2,ROWS($1:6)),)),0))</f>
        <v>0</v>
      </c>
      <c r="G17" s="924">
        <f ca="1">IF(ROWS($1:6)&gt;COUNT(Dong2),"",IF(AND(IF($M$9="Q11",RIGHT(OFFSET(TH!G$1,SMALL(Dong2,ROWS($1:6)),),3)=$M$9,RIGHT(OFFSET(TH!G$1,SMALL(Dong2,ROWS($1:6)),),2)=$M$9),OFFSET(TH!O$1,SMALL(Dong2,ROWS($1:6)),)=$I$6),IF($I$6="1121",OFFSET(TH!M$1,SMALL(Dong2,ROWS($1:6)),),OFFSET(TH!K$1,SMALL(Dong2,ROWS($1:6)),)),0))</f>
        <v>26200</v>
      </c>
      <c r="H17" s="746">
        <f t="shared" ca="1" si="1"/>
        <v>25802.270000000004</v>
      </c>
      <c r="I17" s="746"/>
      <c r="J17" s="179"/>
      <c r="K17" s="179"/>
      <c r="L17" s="172"/>
      <c r="M17" s="179"/>
      <c r="N17" s="179"/>
      <c r="O17" s="179"/>
      <c r="P17" s="179"/>
      <c r="Q17" s="179"/>
      <c r="R17" s="179"/>
      <c r="S17" s="179"/>
    </row>
    <row r="18" spans="1:19" ht="20.25" customHeight="1">
      <c r="A18" s="190">
        <f ca="1">IF(ROWS($1:7)&gt;COUNT(Dong2),"",OFFSET(TH!C$1,SMALL(Dong2,ROWS($1:7)),))</f>
        <v>43104</v>
      </c>
      <c r="B18" s="190" t="str">
        <f ca="1">IF(ROWS($1:7)&gt;COUNT(Dong2),"",OFFSET(TH!D$1,SMALL(Dong2,ROWS($1:7)),))</f>
        <v>GBC</v>
      </c>
      <c r="C18" s="190">
        <f ca="1">IF(ROWS($1:7)&gt;COUNT(Dong2),"",OFFSET(TH!E$1,SMALL(Dong2,ROWS($1:7)),))</f>
        <v>43104</v>
      </c>
      <c r="D18" s="349" t="str">
        <f ca="1">IF(ROWS($1:7)&gt;COUNT(Dong2),"",OFFSET(TH!F$1,SMALL(Dong2,ROWS($1:7)),))</f>
        <v>Vay chiết khấu - Kojubu 01</v>
      </c>
      <c r="E18" s="190" t="str">
        <f ca="1">IF(ROWS($1:7)&gt;COUNT(Dong2),"",IF(OFFSET(TH!O$1,SMALL(Dong2,ROWS($1:7)),)=$I$6,OFFSET(TH!N$1,SMALL(Dong2,ROWS($1:7)),),OFFSET(TH!O$1,SMALL(Dong2,ROWS($1:7)),)))</f>
        <v>3412</v>
      </c>
      <c r="F18" s="924">
        <f ca="1">IF(ROWS($1:7)&gt;COUNT(Dong2),"",IF(AND(IF($M$9="Q11",LEFT(OFFSET(TH!G$1,SMALL(Dong2,ROWS($1:7)),),3)=$M$9,LEFT(OFFSET(TH!G$1,SMALL(Dong2,ROWS($1:7)),),2)=$M$9),OFFSET(TH!N$1,SMALL(Dong2,ROWS($1:7)),)=$I$6),IF($I$6="1121",OFFSET(TH!M$1,SMALL(Dong2,ROWS($1:7)),),OFFSET(TH!K$1,SMALL(Dong2,ROWS($1:7)),)),0))</f>
        <v>63000</v>
      </c>
      <c r="G18" s="924">
        <f ca="1">IF(ROWS($1:7)&gt;COUNT(Dong2),"",IF(AND(IF($M$9="Q11",RIGHT(OFFSET(TH!G$1,SMALL(Dong2,ROWS($1:7)),),3)=$M$9,RIGHT(OFFSET(TH!G$1,SMALL(Dong2,ROWS($1:7)),),2)=$M$9),OFFSET(TH!O$1,SMALL(Dong2,ROWS($1:7)),)=$I$6),IF($I$6="1121",OFFSET(TH!M$1,SMALL(Dong2,ROWS($1:7)),),OFFSET(TH!K$1,SMALL(Dong2,ROWS($1:7)),)),0))</f>
        <v>0</v>
      </c>
      <c r="H18" s="746">
        <f t="shared" ca="1" si="1"/>
        <v>88802.27</v>
      </c>
      <c r="I18" s="746"/>
      <c r="J18" s="179"/>
      <c r="K18" s="179"/>
      <c r="L18" s="172"/>
      <c r="M18" s="179"/>
      <c r="N18" s="179"/>
      <c r="O18" s="179"/>
      <c r="P18" s="179"/>
      <c r="Q18" s="179"/>
      <c r="R18" s="179"/>
      <c r="S18" s="179"/>
    </row>
    <row r="19" spans="1:19" ht="20.25" customHeight="1">
      <c r="A19" s="190">
        <f ca="1">IF(ROWS($1:8)&gt;COUNT(Dong2),"",OFFSET(TH!C$1,SMALL(Dong2,ROWS($1:8)),))</f>
        <v>43104</v>
      </c>
      <c r="B19" s="190" t="str">
        <f ca="1">IF(ROWS($1:8)&gt;COUNT(Dong2),"",OFFSET(TH!D$1,SMALL(Dong2,ROWS($1:8)),))</f>
        <v>GBN</v>
      </c>
      <c r="C19" s="190">
        <f ca="1">IF(ROWS($1:8)&gt;COUNT(Dong2),"",OFFSET(TH!E$1,SMALL(Dong2,ROWS($1:8)),))</f>
        <v>43104</v>
      </c>
      <c r="D19" s="349" t="str">
        <f ca="1">IF(ROWS($1:8)&gt;COUNT(Dong2),"",OFFSET(TH!F$1,SMALL(Dong2,ROWS($1:8)),))</f>
        <v>Trả lãi vay</v>
      </c>
      <c r="E19" s="190" t="str">
        <f ca="1">IF(ROWS($1:8)&gt;COUNT(Dong2),"",IF(OFFSET(TH!O$1,SMALL(Dong2,ROWS($1:8)),)=$I$6,OFFSET(TH!N$1,SMALL(Dong2,ROWS($1:8)),),OFFSET(TH!O$1,SMALL(Dong2,ROWS($1:8)),)))</f>
        <v>635</v>
      </c>
      <c r="F19" s="924">
        <f ca="1">IF(ROWS($1:8)&gt;COUNT(Dong2),"",IF(AND(IF($M$9="Q11",LEFT(OFFSET(TH!G$1,SMALL(Dong2,ROWS($1:8)),),3)=$M$9,LEFT(OFFSET(TH!G$1,SMALL(Dong2,ROWS($1:8)),),2)=$M$9),OFFSET(TH!N$1,SMALL(Dong2,ROWS($1:8)),)=$I$6),IF($I$6="1121",OFFSET(TH!M$1,SMALL(Dong2,ROWS($1:8)),),OFFSET(TH!K$1,SMALL(Dong2,ROWS($1:8)),)),0))</f>
        <v>0</v>
      </c>
      <c r="G19" s="924">
        <f ca="1">IF(ROWS($1:8)&gt;COUNT(Dong2),"",IF(AND(IF($M$9="Q11",RIGHT(OFFSET(TH!G$1,SMALL(Dong2,ROWS($1:8)),),3)=$M$9,RIGHT(OFFSET(TH!G$1,SMALL(Dong2,ROWS($1:8)),),2)=$M$9),OFFSET(TH!O$1,SMALL(Dong2,ROWS($1:8)),)=$I$6),IF($I$6="1121",OFFSET(TH!M$1,SMALL(Dong2,ROWS($1:8)),),OFFSET(TH!K$1,SMALL(Dong2,ROWS($1:8)),)),0))</f>
        <v>91</v>
      </c>
      <c r="H19" s="746">
        <f t="shared" ca="1" si="1"/>
        <v>88711.27</v>
      </c>
      <c r="I19" s="746"/>
      <c r="J19" s="179"/>
      <c r="K19" s="179"/>
      <c r="L19" s="172"/>
      <c r="M19" s="179"/>
      <c r="N19" s="179"/>
      <c r="O19" s="179"/>
      <c r="P19" s="179"/>
      <c r="Q19" s="179"/>
      <c r="R19" s="179"/>
      <c r="S19" s="179"/>
    </row>
    <row r="20" spans="1:19" ht="20.25" customHeight="1">
      <c r="A20" s="190">
        <f ca="1">IF(ROWS($1:9)&gt;COUNT(Dong2),"",OFFSET(TH!C$1,SMALL(Dong2,ROWS($1:9)),))</f>
        <v>43104</v>
      </c>
      <c r="B20" s="190" t="str">
        <f ca="1">IF(ROWS($1:9)&gt;COUNT(Dong2),"",OFFSET(TH!D$1,SMALL(Dong2,ROWS($1:9)),))</f>
        <v>GBN</v>
      </c>
      <c r="C20" s="190">
        <f ca="1">IF(ROWS($1:9)&gt;COUNT(Dong2),"",OFFSET(TH!E$1,SMALL(Dong2,ROWS($1:9)),))</f>
        <v>43104</v>
      </c>
      <c r="D20" s="349" t="str">
        <f ca="1">IF(ROWS($1:9)&gt;COUNT(Dong2),"",OFFSET(TH!F$1,SMALL(Dong2,ROWS($1:9)),))</f>
        <v>Trả gốc vay</v>
      </c>
      <c r="E20" s="190" t="str">
        <f ca="1">IF(ROWS($1:9)&gt;COUNT(Dong2),"",IF(OFFSET(TH!O$1,SMALL(Dong2,ROWS($1:9)),)=$I$6,OFFSET(TH!N$1,SMALL(Dong2,ROWS($1:9)),),OFFSET(TH!O$1,SMALL(Dong2,ROWS($1:9)),)))</f>
        <v>3412</v>
      </c>
      <c r="F20" s="924">
        <f ca="1">IF(ROWS($1:9)&gt;COUNT(Dong2),"",IF(AND(IF($M$9="Q11",LEFT(OFFSET(TH!G$1,SMALL(Dong2,ROWS($1:9)),),3)=$M$9,LEFT(OFFSET(TH!G$1,SMALL(Dong2,ROWS($1:9)),),2)=$M$9),OFFSET(TH!N$1,SMALL(Dong2,ROWS($1:9)),)=$I$6),IF($I$6="1121",OFFSET(TH!M$1,SMALL(Dong2,ROWS($1:9)),),OFFSET(TH!K$1,SMALL(Dong2,ROWS($1:9)),)),0))</f>
        <v>0</v>
      </c>
      <c r="G20" s="924">
        <f ca="1">IF(ROWS($1:9)&gt;COUNT(Dong2),"",IF(AND(IF($M$9="Q11",RIGHT(OFFSET(TH!G$1,SMALL(Dong2,ROWS($1:9)),),3)=$M$9,RIGHT(OFFSET(TH!G$1,SMALL(Dong2,ROWS($1:9)),),2)=$M$9),OFFSET(TH!O$1,SMALL(Dong2,ROWS($1:9)),)=$I$6),IF($I$6="1121",OFFSET(TH!M$1,SMALL(Dong2,ROWS($1:9)),),OFFSET(TH!K$1,SMALL(Dong2,ROWS($1:9)),)),0))</f>
        <v>63000</v>
      </c>
      <c r="H20" s="746">
        <f t="shared" ca="1" si="1"/>
        <v>25711.270000000004</v>
      </c>
      <c r="I20" s="746"/>
      <c r="J20" s="179"/>
      <c r="K20" s="179"/>
      <c r="L20" s="172"/>
      <c r="M20" s="179"/>
      <c r="N20" s="179"/>
      <c r="O20" s="179"/>
      <c r="P20" s="179"/>
      <c r="Q20" s="179"/>
      <c r="R20" s="179"/>
      <c r="S20" s="179"/>
    </row>
    <row r="21" spans="1:19" ht="20.25" customHeight="1">
      <c r="A21" s="190">
        <f ca="1">IF(ROWS($1:10)&gt;COUNT(Dong2),"",OFFSET(TH!C$1,SMALL(Dong2,ROWS($1:10)),))</f>
        <v>43109</v>
      </c>
      <c r="B21" s="190" t="str">
        <f ca="1">IF(ROWS($1:10)&gt;COUNT(Dong2),"",OFFSET(TH!D$1,SMALL(Dong2,ROWS($1:10)),))</f>
        <v>GBC</v>
      </c>
      <c r="C21" s="190">
        <f ca="1">IF(ROWS($1:10)&gt;COUNT(Dong2),"",OFFSET(TH!E$1,SMALL(Dong2,ROWS($1:10)),))</f>
        <v>43109</v>
      </c>
      <c r="D21" s="349" t="str">
        <f ca="1">IF(ROWS($1:10)&gt;COUNT(Dong2),"",OFFSET(TH!F$1,SMALL(Dong2,ROWS($1:10)),))</f>
        <v>Thu tiền hàng</v>
      </c>
      <c r="E21" s="190" t="str">
        <f ca="1">IF(ROWS($1:10)&gt;COUNT(Dong2),"",IF(OFFSET(TH!O$1,SMALL(Dong2,ROWS($1:10)),)=$I$6,OFFSET(TH!N$1,SMALL(Dong2,ROWS($1:10)),),OFFSET(TH!O$1,SMALL(Dong2,ROWS($1:10)),)))</f>
        <v>131</v>
      </c>
      <c r="F21" s="924">
        <f ca="1">IF(ROWS($1:10)&gt;COUNT(Dong2),"",IF(AND(IF($M$9="Q11",LEFT(OFFSET(TH!G$1,SMALL(Dong2,ROWS($1:10)),),3)=$M$9,LEFT(OFFSET(TH!G$1,SMALL(Dong2,ROWS($1:10)),),2)=$M$9),OFFSET(TH!N$1,SMALL(Dong2,ROWS($1:10)),)=$I$6),IF($I$6="1121",OFFSET(TH!M$1,SMALL(Dong2,ROWS($1:10)),),OFFSET(TH!K$1,SMALL(Dong2,ROWS($1:10)),)),0))</f>
        <v>98233</v>
      </c>
      <c r="G21" s="924">
        <f ca="1">IF(ROWS($1:10)&gt;COUNT(Dong2),"",IF(AND(IF($M$9="Q11",RIGHT(OFFSET(TH!G$1,SMALL(Dong2,ROWS($1:10)),),3)=$M$9,RIGHT(OFFSET(TH!G$1,SMALL(Dong2,ROWS($1:10)),),2)=$M$9),OFFSET(TH!O$1,SMALL(Dong2,ROWS($1:10)),)=$I$6),IF($I$6="1121",OFFSET(TH!M$1,SMALL(Dong2,ROWS($1:10)),),OFFSET(TH!K$1,SMALL(Dong2,ROWS($1:10)),)),0))</f>
        <v>0</v>
      </c>
      <c r="H21" s="746">
        <f t="shared" ca="1" si="1"/>
        <v>123944.27</v>
      </c>
      <c r="I21" s="746"/>
      <c r="J21" s="179"/>
      <c r="K21" s="179"/>
      <c r="L21" s="172"/>
      <c r="M21" s="179"/>
      <c r="N21" s="179"/>
      <c r="O21" s="179"/>
      <c r="P21" s="179"/>
      <c r="Q21" s="179"/>
      <c r="R21" s="179"/>
      <c r="S21" s="179"/>
    </row>
    <row r="22" spans="1:19" ht="20.25" customHeight="1">
      <c r="A22" s="190">
        <f ca="1">IF(ROWS($1:11)&gt;COUNT(Dong2),"",OFFSET(TH!C$1,SMALL(Dong2,ROWS($1:11)),))</f>
        <v>43109</v>
      </c>
      <c r="B22" s="190" t="str">
        <f ca="1">IF(ROWS($1:11)&gt;COUNT(Dong2),"",OFFSET(TH!D$1,SMALL(Dong2,ROWS($1:11)),))</f>
        <v>GBN</v>
      </c>
      <c r="C22" s="190">
        <f ca="1">IF(ROWS($1:11)&gt;COUNT(Dong2),"",OFFSET(TH!E$1,SMALL(Dong2,ROWS($1:11)),))</f>
        <v>43109</v>
      </c>
      <c r="D22" s="349" t="str">
        <f ca="1">IF(ROWS($1:11)&gt;COUNT(Dong2),"",OFFSET(TH!F$1,SMALL(Dong2,ROWS($1:11)),))</f>
        <v>Trả lãi vay</v>
      </c>
      <c r="E22" s="190" t="str">
        <f ca="1">IF(ROWS($1:11)&gt;COUNT(Dong2),"",IF(OFFSET(TH!O$1,SMALL(Dong2,ROWS($1:11)),)=$I$6,OFFSET(TH!N$1,SMALL(Dong2,ROWS($1:11)),),OFFSET(TH!O$1,SMALL(Dong2,ROWS($1:11)),)))</f>
        <v>635</v>
      </c>
      <c r="F22" s="924">
        <f ca="1">IF(ROWS($1:11)&gt;COUNT(Dong2),"",IF(AND(IF($M$9="Q11",LEFT(OFFSET(TH!G$1,SMALL(Dong2,ROWS($1:11)),),3)=$M$9,LEFT(OFFSET(TH!G$1,SMALL(Dong2,ROWS($1:11)),),2)=$M$9),OFFSET(TH!N$1,SMALL(Dong2,ROWS($1:11)),)=$I$6),IF($I$6="1121",OFFSET(TH!M$1,SMALL(Dong2,ROWS($1:11)),),OFFSET(TH!K$1,SMALL(Dong2,ROWS($1:11)),)),0))</f>
        <v>0</v>
      </c>
      <c r="G22" s="924">
        <f ca="1">IF(ROWS($1:11)&gt;COUNT(Dong2),"",IF(AND(IF($M$9="Q11",RIGHT(OFFSET(TH!G$1,SMALL(Dong2,ROWS($1:11)),),3)=$M$9,RIGHT(OFFSET(TH!G$1,SMALL(Dong2,ROWS($1:11)),),2)=$M$9),OFFSET(TH!O$1,SMALL(Dong2,ROWS($1:11)),)=$I$6),IF($I$6="1121",OFFSET(TH!M$1,SMALL(Dong2,ROWS($1:11)),),OFFSET(TH!K$1,SMALL(Dong2,ROWS($1:11)),)),0))</f>
        <v>114.25</v>
      </c>
      <c r="H22" s="746">
        <f t="shared" ca="1" si="1"/>
        <v>123830.02</v>
      </c>
      <c r="I22" s="746"/>
      <c r="J22" s="179"/>
      <c r="K22" s="179"/>
      <c r="L22" s="172"/>
      <c r="M22" s="179"/>
      <c r="N22" s="179"/>
      <c r="O22" s="744"/>
      <c r="P22" s="179"/>
      <c r="Q22" s="179"/>
      <c r="R22" s="179"/>
      <c r="S22" s="179"/>
    </row>
    <row r="23" spans="1:19" ht="20.25" customHeight="1">
      <c r="A23" s="190">
        <f ca="1">IF(ROWS($1:12)&gt;COUNT(Dong2),"",OFFSET(TH!C$1,SMALL(Dong2,ROWS($1:12)),))</f>
        <v>43109</v>
      </c>
      <c r="B23" s="190" t="str">
        <f ca="1">IF(ROWS($1:12)&gt;COUNT(Dong2),"",OFFSET(TH!D$1,SMALL(Dong2,ROWS($1:12)),))</f>
        <v>GBN</v>
      </c>
      <c r="C23" s="190">
        <f ca="1">IF(ROWS($1:12)&gt;COUNT(Dong2),"",OFFSET(TH!E$1,SMALL(Dong2,ROWS($1:12)),))</f>
        <v>43109</v>
      </c>
      <c r="D23" s="349" t="str">
        <f ca="1">IF(ROWS($1:12)&gt;COUNT(Dong2),"",OFFSET(TH!F$1,SMALL(Dong2,ROWS($1:12)),))</f>
        <v>Trả gốc vay</v>
      </c>
      <c r="E23" s="190" t="str">
        <f ca="1">IF(ROWS($1:12)&gt;COUNT(Dong2),"",IF(OFFSET(TH!O$1,SMALL(Dong2,ROWS($1:12)),)=$I$6,OFFSET(TH!N$1,SMALL(Dong2,ROWS($1:12)),),OFFSET(TH!O$1,SMALL(Dong2,ROWS($1:12)),)))</f>
        <v>3412</v>
      </c>
      <c r="F23" s="924">
        <f ca="1">IF(ROWS($1:12)&gt;COUNT(Dong2),"",IF(AND(IF($M$9="Q11",LEFT(OFFSET(TH!G$1,SMALL(Dong2,ROWS($1:12)),),3)=$M$9,LEFT(OFFSET(TH!G$1,SMALL(Dong2,ROWS($1:12)),),2)=$M$9),OFFSET(TH!N$1,SMALL(Dong2,ROWS($1:12)),)=$I$6),IF($I$6="1121",OFFSET(TH!M$1,SMALL(Dong2,ROWS($1:12)),),OFFSET(TH!K$1,SMALL(Dong2,ROWS($1:12)),)),0))</f>
        <v>0</v>
      </c>
      <c r="G23" s="924">
        <f ca="1">IF(ROWS($1:12)&gt;COUNT(Dong2),"",IF(AND(IF($M$9="Q11",RIGHT(OFFSET(TH!G$1,SMALL(Dong2,ROWS($1:12)),),3)=$M$9,RIGHT(OFFSET(TH!G$1,SMALL(Dong2,ROWS($1:12)),),2)=$M$9),OFFSET(TH!O$1,SMALL(Dong2,ROWS($1:12)),)=$I$6),IF($I$6="1121",OFFSET(TH!M$1,SMALL(Dong2,ROWS($1:12)),),OFFSET(TH!K$1,SMALL(Dong2,ROWS($1:12)),)),0))</f>
        <v>93480</v>
      </c>
      <c r="H23" s="746">
        <f t="shared" ca="1" si="1"/>
        <v>30350.020000000004</v>
      </c>
      <c r="I23" s="746"/>
      <c r="J23" s="179"/>
      <c r="K23" s="179"/>
      <c r="L23" s="172"/>
      <c r="M23" s="179"/>
      <c r="N23" s="179"/>
      <c r="O23" s="179"/>
      <c r="P23" s="179"/>
      <c r="Q23" s="179"/>
      <c r="R23" s="179"/>
      <c r="S23" s="179"/>
    </row>
    <row r="24" spans="1:19" ht="20.25" customHeight="1">
      <c r="A24" s="190">
        <f ca="1">IF(ROWS($1:13)&gt;COUNT(Dong2),"",OFFSET(TH!C$1,SMALL(Dong2,ROWS($1:13)),))</f>
        <v>43111</v>
      </c>
      <c r="B24" s="190" t="str">
        <f ca="1">IF(ROWS($1:13)&gt;COUNT(Dong2),"",OFFSET(TH!D$1,SMALL(Dong2,ROWS($1:13)),))</f>
        <v>GBC</v>
      </c>
      <c r="C24" s="190">
        <f ca="1">IF(ROWS($1:13)&gt;COUNT(Dong2),"",OFFSET(TH!E$1,SMALL(Dong2,ROWS($1:13)),))</f>
        <v>43111</v>
      </c>
      <c r="D24" s="349" t="str">
        <f ca="1">IF(ROWS($1:13)&gt;COUNT(Dong2),"",OFFSET(TH!F$1,SMALL(Dong2,ROWS($1:13)),))</f>
        <v>Thu tiền hàng</v>
      </c>
      <c r="E24" s="190" t="str">
        <f ca="1">IF(ROWS($1:13)&gt;COUNT(Dong2),"",IF(OFFSET(TH!O$1,SMALL(Dong2,ROWS($1:13)),)=$I$6,OFFSET(TH!N$1,SMALL(Dong2,ROWS($1:13)),),OFFSET(TH!O$1,SMALL(Dong2,ROWS($1:13)),)))</f>
        <v>131</v>
      </c>
      <c r="F24" s="924">
        <f ca="1">IF(ROWS($1:13)&gt;COUNT(Dong2),"",IF(AND(IF($M$9="Q11",LEFT(OFFSET(TH!G$1,SMALL(Dong2,ROWS($1:13)),),3)=$M$9,LEFT(OFFSET(TH!G$1,SMALL(Dong2,ROWS($1:13)),),2)=$M$9),OFFSET(TH!N$1,SMALL(Dong2,ROWS($1:13)),)=$I$6),IF($I$6="1121",OFFSET(TH!M$1,SMALL(Dong2,ROWS($1:13)),),OFFSET(TH!K$1,SMALL(Dong2,ROWS($1:13)),)),0))</f>
        <v>117443</v>
      </c>
      <c r="G24" s="924">
        <f ca="1">IF(ROWS($1:13)&gt;COUNT(Dong2),"",IF(AND(IF($M$9="Q11",RIGHT(OFFSET(TH!G$1,SMALL(Dong2,ROWS($1:13)),),3)=$M$9,RIGHT(OFFSET(TH!G$1,SMALL(Dong2,ROWS($1:13)),),2)=$M$9),OFFSET(TH!O$1,SMALL(Dong2,ROWS($1:13)),)=$I$6),IF($I$6="1121",OFFSET(TH!M$1,SMALL(Dong2,ROWS($1:13)),),OFFSET(TH!K$1,SMALL(Dong2,ROWS($1:13)),)),0))</f>
        <v>0</v>
      </c>
      <c r="H24" s="746">
        <f t="shared" ca="1" si="1"/>
        <v>147793.02000000002</v>
      </c>
      <c r="I24" s="746"/>
      <c r="J24" s="179"/>
      <c r="K24" s="179"/>
      <c r="L24" s="172"/>
      <c r="M24" s="179"/>
      <c r="N24" s="179"/>
      <c r="O24" s="912"/>
      <c r="P24" s="179"/>
      <c r="Q24" s="179"/>
      <c r="R24" s="179"/>
      <c r="S24" s="179"/>
    </row>
    <row r="25" spans="1:19" ht="20.25" customHeight="1">
      <c r="A25" s="190">
        <f ca="1">IF(ROWS($1:14)&gt;COUNT(Dong2),"",OFFSET(TH!C$1,SMALL(Dong2,ROWS($1:14)),))</f>
        <v>43111</v>
      </c>
      <c r="B25" s="190" t="str">
        <f ca="1">IF(ROWS($1:14)&gt;COUNT(Dong2),"",OFFSET(TH!D$1,SMALL(Dong2,ROWS($1:14)),))</f>
        <v>GBN</v>
      </c>
      <c r="C25" s="190">
        <f ca="1">IF(ROWS($1:14)&gt;COUNT(Dong2),"",OFFSET(TH!E$1,SMALL(Dong2,ROWS($1:14)),))</f>
        <v>43111</v>
      </c>
      <c r="D25" s="349" t="str">
        <f ca="1">IF(ROWS($1:14)&gt;COUNT(Dong2),"",OFFSET(TH!F$1,SMALL(Dong2,ROWS($1:14)),))</f>
        <v>Phí tài trợ thương mại</v>
      </c>
      <c r="E25" s="190" t="str">
        <f ca="1">IF(ROWS($1:14)&gt;COUNT(Dong2),"",IF(OFFSET(TH!O$1,SMALL(Dong2,ROWS($1:14)),)=$I$6,OFFSET(TH!N$1,SMALL(Dong2,ROWS($1:14)),),OFFSET(TH!O$1,SMALL(Dong2,ROWS($1:14)),)))</f>
        <v>642</v>
      </c>
      <c r="F25" s="924">
        <f ca="1">IF(ROWS($1:14)&gt;COUNT(Dong2),"",IF(AND(IF($M$9="Q11",LEFT(OFFSET(TH!G$1,SMALL(Dong2,ROWS($1:14)),),3)=$M$9,LEFT(OFFSET(TH!G$1,SMALL(Dong2,ROWS($1:14)),),2)=$M$9),OFFSET(TH!N$1,SMALL(Dong2,ROWS($1:14)),)=$I$6),IF($I$6="1121",OFFSET(TH!M$1,SMALL(Dong2,ROWS($1:14)),),OFFSET(TH!K$1,SMALL(Dong2,ROWS($1:14)),)),0))</f>
        <v>0</v>
      </c>
      <c r="G25" s="924">
        <f ca="1">IF(ROWS($1:14)&gt;COUNT(Dong2),"",IF(AND(IF($M$9="Q11",RIGHT(OFFSET(TH!G$1,SMALL(Dong2,ROWS($1:14)),),3)=$M$9,RIGHT(OFFSET(TH!G$1,SMALL(Dong2,ROWS($1:14)),),2)=$M$9),OFFSET(TH!O$1,SMALL(Dong2,ROWS($1:14)),)=$I$6),IF($I$6="1121",OFFSET(TH!M$1,SMALL(Dong2,ROWS($1:14)),),OFFSET(TH!K$1,SMALL(Dong2,ROWS($1:14)),)),0))</f>
        <v>141.12</v>
      </c>
      <c r="H25" s="746">
        <f t="shared" ca="1" si="1"/>
        <v>147651.90000000002</v>
      </c>
      <c r="I25" s="746"/>
      <c r="J25" s="179"/>
      <c r="K25" s="179"/>
      <c r="L25" s="172"/>
      <c r="M25" s="179"/>
      <c r="N25" s="179"/>
      <c r="O25" s="179"/>
      <c r="P25" s="179"/>
      <c r="Q25" s="179"/>
      <c r="R25" s="179"/>
      <c r="S25" s="179"/>
    </row>
    <row r="26" spans="1:19" ht="20.25" customHeight="1">
      <c r="A26" s="190">
        <f ca="1">IF(ROWS($1:15)&gt;COUNT(Dong2),"",OFFSET(TH!C$1,SMALL(Dong2,ROWS($1:15)),))</f>
        <v>43111</v>
      </c>
      <c r="B26" s="190" t="str">
        <f ca="1">IF(ROWS($1:15)&gt;COUNT(Dong2),"",OFFSET(TH!D$1,SMALL(Dong2,ROWS($1:15)),))</f>
        <v>GBN</v>
      </c>
      <c r="C26" s="190">
        <f ca="1">IF(ROWS($1:15)&gt;COUNT(Dong2),"",OFFSET(TH!E$1,SMALL(Dong2,ROWS($1:15)),))</f>
        <v>43111</v>
      </c>
      <c r="D26" s="349" t="str">
        <f ca="1">IF(ROWS($1:15)&gt;COUNT(Dong2),"",OFFSET(TH!F$1,SMALL(Dong2,ROWS($1:15)),))</f>
        <v>VAT Phí tài trợ thương mại</v>
      </c>
      <c r="E26" s="190" t="str">
        <f ca="1">IF(ROWS($1:15)&gt;COUNT(Dong2),"",IF(OFFSET(TH!O$1,SMALL(Dong2,ROWS($1:15)),)=$I$6,OFFSET(TH!N$1,SMALL(Dong2,ROWS($1:15)),),OFFSET(TH!O$1,SMALL(Dong2,ROWS($1:15)),)))</f>
        <v>1331</v>
      </c>
      <c r="F26" s="924">
        <f ca="1">IF(ROWS($1:15)&gt;COUNT(Dong2),"",IF(AND(IF($M$9="Q11",LEFT(OFFSET(TH!G$1,SMALL(Dong2,ROWS($1:15)),),3)=$M$9,LEFT(OFFSET(TH!G$1,SMALL(Dong2,ROWS($1:15)),),2)=$M$9),OFFSET(TH!N$1,SMALL(Dong2,ROWS($1:15)),)=$I$6),IF($I$6="1121",OFFSET(TH!M$1,SMALL(Dong2,ROWS($1:15)),),OFFSET(TH!K$1,SMALL(Dong2,ROWS($1:15)),)),0))</f>
        <v>0</v>
      </c>
      <c r="G26" s="924">
        <f ca="1">IF(ROWS($1:15)&gt;COUNT(Dong2),"",IF(AND(IF($M$9="Q11",RIGHT(OFFSET(TH!G$1,SMALL(Dong2,ROWS($1:15)),),3)=$M$9,RIGHT(OFFSET(TH!G$1,SMALL(Dong2,ROWS($1:15)),),2)=$M$9),OFFSET(TH!O$1,SMALL(Dong2,ROWS($1:15)),)=$I$6),IF($I$6="1121",OFFSET(TH!M$1,SMALL(Dong2,ROWS($1:15)),),OFFSET(TH!K$1,SMALL(Dong2,ROWS($1:15)),)),0))</f>
        <v>14.11</v>
      </c>
      <c r="H26" s="746">
        <f t="shared" ca="1" si="1"/>
        <v>147637.79000000004</v>
      </c>
      <c r="I26" s="746"/>
      <c r="J26" s="179"/>
      <c r="K26" s="179"/>
      <c r="L26" s="172"/>
      <c r="M26" s="179"/>
      <c r="N26" s="179"/>
      <c r="O26" s="179"/>
      <c r="P26" s="179"/>
      <c r="Q26" s="179"/>
      <c r="R26" s="179"/>
      <c r="S26" s="179"/>
    </row>
    <row r="27" spans="1:19" ht="20.25" customHeight="1">
      <c r="A27" s="190">
        <f ca="1">IF(ROWS($1:16)&gt;COUNT(Dong2),"",OFFSET(TH!C$1,SMALL(Dong2,ROWS($1:16)),))</f>
        <v>43111</v>
      </c>
      <c r="B27" s="190" t="str">
        <f ca="1">IF(ROWS($1:16)&gt;COUNT(Dong2),"",OFFSET(TH!D$1,SMALL(Dong2,ROWS($1:16)),))</f>
        <v>GBN</v>
      </c>
      <c r="C27" s="190">
        <f ca="1">IF(ROWS($1:16)&gt;COUNT(Dong2),"",OFFSET(TH!E$1,SMALL(Dong2,ROWS($1:16)),))</f>
        <v>43111</v>
      </c>
      <c r="D27" s="349" t="str">
        <f ca="1">IF(ROWS($1:16)&gt;COUNT(Dong2),"",OFFSET(TH!F$1,SMALL(Dong2,ROWS($1:16)),))</f>
        <v>Phí tài trợ thương mại</v>
      </c>
      <c r="E27" s="190" t="str">
        <f ca="1">IF(ROWS($1:16)&gt;COUNT(Dong2),"",IF(OFFSET(TH!O$1,SMALL(Dong2,ROWS($1:16)),)=$I$6,OFFSET(TH!N$1,SMALL(Dong2,ROWS($1:16)),),OFFSET(TH!O$1,SMALL(Dong2,ROWS($1:16)),)))</f>
        <v>642</v>
      </c>
      <c r="F27" s="924">
        <f ca="1">IF(ROWS($1:16)&gt;COUNT(Dong2),"",IF(AND(IF($M$9="Q11",LEFT(OFFSET(TH!G$1,SMALL(Dong2,ROWS($1:16)),),3)=$M$9,LEFT(OFFSET(TH!G$1,SMALL(Dong2,ROWS($1:16)),),2)=$M$9),OFFSET(TH!N$1,SMALL(Dong2,ROWS($1:16)),)=$I$6),IF($I$6="1121",OFFSET(TH!M$1,SMALL(Dong2,ROWS($1:16)),),OFFSET(TH!K$1,SMALL(Dong2,ROWS($1:16)),)),0))</f>
        <v>0</v>
      </c>
      <c r="G27" s="924">
        <f ca="1">IF(ROWS($1:16)&gt;COUNT(Dong2),"",IF(AND(IF($M$9="Q11",RIGHT(OFFSET(TH!G$1,SMALL(Dong2,ROWS($1:16)),),3)=$M$9,RIGHT(OFFSET(TH!G$1,SMALL(Dong2,ROWS($1:16)),),2)=$M$9),OFFSET(TH!O$1,SMALL(Dong2,ROWS($1:16)),)=$I$6),IF($I$6="1121",OFFSET(TH!M$1,SMALL(Dong2,ROWS($1:16)),),OFFSET(TH!K$1,SMALL(Dong2,ROWS($1:16)),)),0))</f>
        <v>5</v>
      </c>
      <c r="H27" s="746">
        <f t="shared" ca="1" si="1"/>
        <v>147632.79000000004</v>
      </c>
      <c r="I27" s="746"/>
      <c r="J27" s="179"/>
      <c r="K27" s="179"/>
      <c r="L27" s="172"/>
      <c r="M27" s="179"/>
      <c r="N27" s="179"/>
      <c r="O27" s="179"/>
      <c r="P27" s="179"/>
      <c r="Q27" s="179"/>
      <c r="R27" s="179"/>
      <c r="S27" s="179"/>
    </row>
    <row r="28" spans="1:19" ht="20.25" customHeight="1">
      <c r="A28" s="190">
        <f ca="1">IF(ROWS($1:17)&gt;COUNT(Dong2),"",OFFSET(TH!C$1,SMALL(Dong2,ROWS($1:17)),))</f>
        <v>43111</v>
      </c>
      <c r="B28" s="190" t="str">
        <f ca="1">IF(ROWS($1:17)&gt;COUNT(Dong2),"",OFFSET(TH!D$1,SMALL(Dong2,ROWS($1:17)),))</f>
        <v>GBN</v>
      </c>
      <c r="C28" s="190">
        <f ca="1">IF(ROWS($1:17)&gt;COUNT(Dong2),"",OFFSET(TH!E$1,SMALL(Dong2,ROWS($1:17)),))</f>
        <v>43111</v>
      </c>
      <c r="D28" s="349" t="str">
        <f ca="1">IF(ROWS($1:17)&gt;COUNT(Dong2),"",OFFSET(TH!F$1,SMALL(Dong2,ROWS($1:17)),))</f>
        <v>VAT Phí tài trợ thương mại</v>
      </c>
      <c r="E28" s="190" t="str">
        <f ca="1">IF(ROWS($1:17)&gt;COUNT(Dong2),"",IF(OFFSET(TH!O$1,SMALL(Dong2,ROWS($1:17)),)=$I$6,OFFSET(TH!N$1,SMALL(Dong2,ROWS($1:17)),),OFFSET(TH!O$1,SMALL(Dong2,ROWS($1:17)),)))</f>
        <v>1331</v>
      </c>
      <c r="F28" s="924">
        <f ca="1">IF(ROWS($1:17)&gt;COUNT(Dong2),"",IF(AND(IF($M$9="Q11",LEFT(OFFSET(TH!G$1,SMALL(Dong2,ROWS($1:17)),),3)=$M$9,LEFT(OFFSET(TH!G$1,SMALL(Dong2,ROWS($1:17)),),2)=$M$9),OFFSET(TH!N$1,SMALL(Dong2,ROWS($1:17)),)=$I$6),IF($I$6="1121",OFFSET(TH!M$1,SMALL(Dong2,ROWS($1:17)),),OFFSET(TH!K$1,SMALL(Dong2,ROWS($1:17)),)),0))</f>
        <v>0</v>
      </c>
      <c r="G28" s="924">
        <f ca="1">IF(ROWS($1:17)&gt;COUNT(Dong2),"",IF(AND(IF($M$9="Q11",RIGHT(OFFSET(TH!G$1,SMALL(Dong2,ROWS($1:17)),),3)=$M$9,RIGHT(OFFSET(TH!G$1,SMALL(Dong2,ROWS($1:17)),),2)=$M$9),OFFSET(TH!O$1,SMALL(Dong2,ROWS($1:17)),)=$I$6),IF($I$6="1121",OFFSET(TH!M$1,SMALL(Dong2,ROWS($1:17)),),OFFSET(TH!K$1,SMALL(Dong2,ROWS($1:17)),)),0))</f>
        <v>0.5</v>
      </c>
      <c r="H28" s="746">
        <f t="shared" ca="1" si="1"/>
        <v>147632.29000000004</v>
      </c>
      <c r="I28" s="746"/>
      <c r="J28" s="179"/>
      <c r="K28" s="179"/>
      <c r="L28" s="172"/>
      <c r="M28" s="179"/>
      <c r="N28" s="179"/>
      <c r="O28" s="179"/>
      <c r="P28" s="179"/>
      <c r="Q28" s="179"/>
      <c r="R28" s="179"/>
      <c r="S28" s="179"/>
    </row>
    <row r="29" spans="1:19" ht="20.25" customHeight="1">
      <c r="A29" s="190">
        <f ca="1">IF(ROWS($1:18)&gt;COUNT(Dong2),"",OFFSET(TH!C$1,SMALL(Dong2,ROWS($1:18)),))</f>
        <v>43111</v>
      </c>
      <c r="B29" s="190" t="str">
        <f ca="1">IF(ROWS($1:18)&gt;COUNT(Dong2),"",OFFSET(TH!D$1,SMALL(Dong2,ROWS($1:18)),))</f>
        <v>GBN</v>
      </c>
      <c r="C29" s="190">
        <f ca="1">IF(ROWS($1:18)&gt;COUNT(Dong2),"",OFFSET(TH!E$1,SMALL(Dong2,ROWS($1:18)),))</f>
        <v>43111</v>
      </c>
      <c r="D29" s="349" t="str">
        <f ca="1">IF(ROWS($1:18)&gt;COUNT(Dong2),"",OFFSET(TH!F$1,SMALL(Dong2,ROWS($1:18)),))</f>
        <v>Trả lãi vay</v>
      </c>
      <c r="E29" s="190" t="str">
        <f ca="1">IF(ROWS($1:18)&gt;COUNT(Dong2),"",IF(OFFSET(TH!O$1,SMALL(Dong2,ROWS($1:18)),)=$I$6,OFFSET(TH!N$1,SMALL(Dong2,ROWS($1:18)),),OFFSET(TH!O$1,SMALL(Dong2,ROWS($1:18)),)))</f>
        <v>635</v>
      </c>
      <c r="F29" s="924">
        <f ca="1">IF(ROWS($1:18)&gt;COUNT(Dong2),"",IF(AND(IF($M$9="Q11",LEFT(OFFSET(TH!G$1,SMALL(Dong2,ROWS($1:18)),),3)=$M$9,LEFT(OFFSET(TH!G$1,SMALL(Dong2,ROWS($1:18)),),2)=$M$9),OFFSET(TH!N$1,SMALL(Dong2,ROWS($1:18)),)=$I$6),IF($I$6="1121",OFFSET(TH!M$1,SMALL(Dong2,ROWS($1:18)),),OFFSET(TH!K$1,SMALL(Dong2,ROWS($1:18)),)),0))</f>
        <v>0</v>
      </c>
      <c r="G29" s="924">
        <f ca="1">IF(ROWS($1:18)&gt;COUNT(Dong2),"",IF(AND(IF($M$9="Q11",RIGHT(OFFSET(TH!G$1,SMALL(Dong2,ROWS($1:18)),),3)=$M$9,RIGHT(OFFSET(TH!G$1,SMALL(Dong2,ROWS($1:18)),),2)=$M$9),OFFSET(TH!O$1,SMALL(Dong2,ROWS($1:18)),)=$I$6),IF($I$6="1121",OFFSET(TH!M$1,SMALL(Dong2,ROWS($1:18)),),OFFSET(TH!K$1,SMALL(Dong2,ROWS($1:18)),)),0))</f>
        <v>86.88</v>
      </c>
      <c r="H29" s="746">
        <f t="shared" ca="1" si="1"/>
        <v>147545.41000000003</v>
      </c>
      <c r="I29" s="746"/>
      <c r="J29" s="179"/>
      <c r="K29" s="179"/>
      <c r="L29" s="172"/>
      <c r="M29" s="179"/>
      <c r="N29" s="179"/>
      <c r="O29" s="179"/>
      <c r="P29" s="179"/>
      <c r="Q29" s="179"/>
      <c r="R29" s="179"/>
      <c r="S29" s="179"/>
    </row>
    <row r="30" spans="1:19" ht="20.25" customHeight="1">
      <c r="A30" s="190">
        <f ca="1">IF(ROWS($1:19)&gt;COUNT(Dong2),"",OFFSET(TH!C$1,SMALL(Dong2,ROWS($1:19)),))</f>
        <v>43111</v>
      </c>
      <c r="B30" s="190" t="str">
        <f ca="1">IF(ROWS($1:19)&gt;COUNT(Dong2),"",OFFSET(TH!D$1,SMALL(Dong2,ROWS($1:19)),))</f>
        <v>GBN</v>
      </c>
      <c r="C30" s="190">
        <f ca="1">IF(ROWS($1:19)&gt;COUNT(Dong2),"",OFFSET(TH!E$1,SMALL(Dong2,ROWS($1:19)),))</f>
        <v>43111</v>
      </c>
      <c r="D30" s="349" t="str">
        <f ca="1">IF(ROWS($1:19)&gt;COUNT(Dong2),"",OFFSET(TH!F$1,SMALL(Dong2,ROWS($1:19)),))</f>
        <v>Trả gốc vay</v>
      </c>
      <c r="E30" s="190" t="str">
        <f ca="1">IF(ROWS($1:19)&gt;COUNT(Dong2),"",IF(OFFSET(TH!O$1,SMALL(Dong2,ROWS($1:19)),)=$I$6,OFFSET(TH!N$1,SMALL(Dong2,ROWS($1:19)),),OFFSET(TH!O$1,SMALL(Dong2,ROWS($1:19)),)))</f>
        <v>3412</v>
      </c>
      <c r="F30" s="924">
        <f ca="1">IF(ROWS($1:19)&gt;COUNT(Dong2),"",IF(AND(IF($M$9="Q11",LEFT(OFFSET(TH!G$1,SMALL(Dong2,ROWS($1:19)),),3)=$M$9,LEFT(OFFSET(TH!G$1,SMALL(Dong2,ROWS($1:19)),),2)=$M$9),OFFSET(TH!N$1,SMALL(Dong2,ROWS($1:19)),)=$I$6),IF($I$6="1121",OFFSET(TH!M$1,SMALL(Dong2,ROWS($1:19)),),OFFSET(TH!K$1,SMALL(Dong2,ROWS($1:19)),)),0))</f>
        <v>0</v>
      </c>
      <c r="G30" s="924">
        <f ca="1">IF(ROWS($1:19)&gt;COUNT(Dong2),"",IF(AND(IF($M$9="Q11",RIGHT(OFFSET(TH!G$1,SMALL(Dong2,ROWS($1:19)),),3)=$M$9,RIGHT(OFFSET(TH!G$1,SMALL(Dong2,ROWS($1:19)),),2)=$M$9),OFFSET(TH!O$1,SMALL(Dong2,ROWS($1:19)),)=$I$6),IF($I$6="1121",OFFSET(TH!M$1,SMALL(Dong2,ROWS($1:19)),),OFFSET(TH!K$1,SMALL(Dong2,ROWS($1:19)),)),0))</f>
        <v>111700</v>
      </c>
      <c r="H30" s="746">
        <f t="shared" ca="1" si="1"/>
        <v>35845.410000000033</v>
      </c>
      <c r="I30" s="746"/>
      <c r="J30" s="179"/>
      <c r="K30" s="179"/>
      <c r="L30" s="1135"/>
      <c r="M30" s="179"/>
      <c r="N30" s="179"/>
      <c r="O30" s="179"/>
      <c r="P30" s="179"/>
      <c r="Q30" s="179"/>
      <c r="R30" s="179"/>
      <c r="S30" s="179"/>
    </row>
    <row r="31" spans="1:19" ht="20.25" customHeight="1">
      <c r="A31" s="190">
        <f ca="1">IF(ROWS($1:20)&gt;COUNT(Dong2),"",OFFSET(TH!C$1,SMALL(Dong2,ROWS($1:20)),))</f>
        <v>43111</v>
      </c>
      <c r="B31" s="190" t="str">
        <f ca="1">IF(ROWS($1:20)&gt;COUNT(Dong2),"",OFFSET(TH!D$1,SMALL(Dong2,ROWS($1:20)),))</f>
        <v>GBN</v>
      </c>
      <c r="C31" s="190">
        <f ca="1">IF(ROWS($1:20)&gt;COUNT(Dong2),"",OFFSET(TH!E$1,SMALL(Dong2,ROWS($1:20)),))</f>
        <v>43111</v>
      </c>
      <c r="D31" s="349" t="str">
        <f ca="1">IF(ROWS($1:20)&gt;COUNT(Dong2),"",OFFSET(TH!F$1,SMALL(Dong2,ROWS($1:20)),))</f>
        <v>Thanh toán LC nhờ thu</v>
      </c>
      <c r="E31" s="190" t="str">
        <f ca="1">IF(ROWS($1:20)&gt;COUNT(Dong2),"",IF(OFFSET(TH!O$1,SMALL(Dong2,ROWS($1:20)),)=$I$6,OFFSET(TH!N$1,SMALL(Dong2,ROWS($1:20)),),OFFSET(TH!O$1,SMALL(Dong2,ROWS($1:20)),)))</f>
        <v>331</v>
      </c>
      <c r="F31" s="924">
        <f ca="1">IF(ROWS($1:20)&gt;COUNT(Dong2),"",IF(AND(IF($M$9="Q11",LEFT(OFFSET(TH!G$1,SMALL(Dong2,ROWS($1:20)),),3)=$M$9,LEFT(OFFSET(TH!G$1,SMALL(Dong2,ROWS($1:20)),),2)=$M$9),OFFSET(TH!N$1,SMALL(Dong2,ROWS($1:20)),)=$I$6),IF($I$6="1121",OFFSET(TH!M$1,SMALL(Dong2,ROWS($1:20)),),OFFSET(TH!K$1,SMALL(Dong2,ROWS($1:20)),)),0))</f>
        <v>0</v>
      </c>
      <c r="G31" s="924">
        <f ca="1">IF(ROWS($1:20)&gt;COUNT(Dong2),"",IF(AND(IF($M$9="Q11",RIGHT(OFFSET(TH!G$1,SMALL(Dong2,ROWS($1:20)),),3)=$M$9,RIGHT(OFFSET(TH!G$1,SMALL(Dong2,ROWS($1:20)),),2)=$M$9),OFFSET(TH!O$1,SMALL(Dong2,ROWS($1:20)),)=$I$6),IF($I$6="1121",OFFSET(TH!M$1,SMALL(Dong2,ROWS($1:20)),),OFFSET(TH!K$1,SMALL(Dong2,ROWS($1:20)),)),0))</f>
        <v>6600</v>
      </c>
      <c r="H31" s="746">
        <f t="shared" ca="1" si="1"/>
        <v>29245.410000000033</v>
      </c>
      <c r="I31" s="746"/>
      <c r="J31" s="179"/>
      <c r="K31" s="179"/>
      <c r="L31" s="172"/>
      <c r="M31" s="179"/>
      <c r="N31" s="179"/>
      <c r="O31" s="179"/>
      <c r="P31" s="179"/>
      <c r="Q31" s="179"/>
      <c r="R31" s="179"/>
      <c r="S31" s="179"/>
    </row>
    <row r="32" spans="1:19" ht="20.25" customHeight="1">
      <c r="A32" s="190">
        <f ca="1">IF(ROWS($1:21)&gt;COUNT(Dong2),"",OFFSET(TH!C$1,SMALL(Dong2,ROWS($1:21)),))</f>
        <v>43111</v>
      </c>
      <c r="B32" s="190" t="str">
        <f ca="1">IF(ROWS($1:21)&gt;COUNT(Dong2),"",OFFSET(TH!D$1,SMALL(Dong2,ROWS($1:21)),))</f>
        <v>GBC</v>
      </c>
      <c r="C32" s="190">
        <f ca="1">IF(ROWS($1:21)&gt;COUNT(Dong2),"",OFFSET(TH!E$1,SMALL(Dong2,ROWS($1:21)),))</f>
        <v>43111</v>
      </c>
      <c r="D32" s="349" t="str">
        <f ca="1">IF(ROWS($1:21)&gt;COUNT(Dong2),"",OFFSET(TH!F$1,SMALL(Dong2,ROWS($1:21)),))</f>
        <v>Thu tiền hàng</v>
      </c>
      <c r="E32" s="190" t="str">
        <f ca="1">IF(ROWS($1:21)&gt;COUNT(Dong2),"",IF(OFFSET(TH!O$1,SMALL(Dong2,ROWS($1:21)),)=$I$6,OFFSET(TH!N$1,SMALL(Dong2,ROWS($1:21)),),OFFSET(TH!O$1,SMALL(Dong2,ROWS($1:21)),)))</f>
        <v>131</v>
      </c>
      <c r="F32" s="924">
        <f ca="1">IF(ROWS($1:21)&gt;COUNT(Dong2),"",IF(AND(IF($M$9="Q11",LEFT(OFFSET(TH!G$1,SMALL(Dong2,ROWS($1:21)),),3)=$M$9,LEFT(OFFSET(TH!G$1,SMALL(Dong2,ROWS($1:21)),),2)=$M$9),OFFSET(TH!N$1,SMALL(Dong2,ROWS($1:21)),)=$I$6),IF($I$6="1121",OFFSET(TH!M$1,SMALL(Dong2,ROWS($1:21)),),OFFSET(TH!K$1,SMALL(Dong2,ROWS($1:21)),)),0))</f>
        <v>142449.5</v>
      </c>
      <c r="G32" s="924">
        <f ca="1">IF(ROWS($1:21)&gt;COUNT(Dong2),"",IF(AND(IF($M$9="Q11",RIGHT(OFFSET(TH!G$1,SMALL(Dong2,ROWS($1:21)),),3)=$M$9,RIGHT(OFFSET(TH!G$1,SMALL(Dong2,ROWS($1:21)),),2)=$M$9),OFFSET(TH!O$1,SMALL(Dong2,ROWS($1:21)),)=$I$6),IF($I$6="1121",OFFSET(TH!M$1,SMALL(Dong2,ROWS($1:21)),),OFFSET(TH!K$1,SMALL(Dong2,ROWS($1:21)),)),0))</f>
        <v>0</v>
      </c>
      <c r="H32" s="746">
        <f t="shared" ca="1" si="1"/>
        <v>171694.91000000003</v>
      </c>
      <c r="I32" s="746"/>
      <c r="J32" s="179"/>
      <c r="K32" s="179"/>
      <c r="L32" s="172"/>
      <c r="M32" s="179"/>
      <c r="N32" s="179"/>
      <c r="O32" s="179"/>
      <c r="P32" s="179"/>
      <c r="Q32" s="179"/>
      <c r="R32" s="179"/>
      <c r="S32" s="179"/>
    </row>
    <row r="33" spans="1:19" ht="20.25" customHeight="1">
      <c r="A33" s="190">
        <f ca="1">IF(ROWS($1:22)&gt;COUNT(Dong2),"",OFFSET(TH!C$1,SMALL(Dong2,ROWS($1:22)),))</f>
        <v>43112</v>
      </c>
      <c r="B33" s="190" t="str">
        <f ca="1">IF(ROWS($1:22)&gt;COUNT(Dong2),"",OFFSET(TH!D$1,SMALL(Dong2,ROWS($1:22)),))</f>
        <v>GBN</v>
      </c>
      <c r="C33" s="190">
        <f ca="1">IF(ROWS($1:22)&gt;COUNT(Dong2),"",OFFSET(TH!E$1,SMALL(Dong2,ROWS($1:22)),))</f>
        <v>43112</v>
      </c>
      <c r="D33" s="349" t="str">
        <f ca="1">IF(ROWS($1:22)&gt;COUNT(Dong2),"",OFFSET(TH!F$1,SMALL(Dong2,ROWS($1:22)),))</f>
        <v>Trả gốc vay</v>
      </c>
      <c r="E33" s="190" t="str">
        <f ca="1">IF(ROWS($1:22)&gt;COUNT(Dong2),"",IF(OFFSET(TH!O$1,SMALL(Dong2,ROWS($1:22)),)=$I$6,OFFSET(TH!N$1,SMALL(Dong2,ROWS($1:22)),),OFFSET(TH!O$1,SMALL(Dong2,ROWS($1:22)),)))</f>
        <v>3412</v>
      </c>
      <c r="F33" s="924">
        <f ca="1">IF(ROWS($1:22)&gt;COUNT(Dong2),"",IF(AND(IF($M$9="Q11",LEFT(OFFSET(TH!G$1,SMALL(Dong2,ROWS($1:22)),),3)=$M$9,LEFT(OFFSET(TH!G$1,SMALL(Dong2,ROWS($1:22)),),2)=$M$9),OFFSET(TH!N$1,SMALL(Dong2,ROWS($1:22)),)=$I$6),IF($I$6="1121",OFFSET(TH!M$1,SMALL(Dong2,ROWS($1:22)),),OFFSET(TH!K$1,SMALL(Dong2,ROWS($1:22)),)),0))</f>
        <v>0</v>
      </c>
      <c r="G33" s="924">
        <f ca="1">IF(ROWS($1:22)&gt;COUNT(Dong2),"",IF(AND(IF($M$9="Q11",RIGHT(OFFSET(TH!G$1,SMALL(Dong2,ROWS($1:22)),),3)=$M$9,RIGHT(OFFSET(TH!G$1,SMALL(Dong2,ROWS($1:22)),),2)=$M$9),OFFSET(TH!O$1,SMALL(Dong2,ROWS($1:22)),)=$I$6),IF($I$6="1121",OFFSET(TH!M$1,SMALL(Dong2,ROWS($1:22)),),OFFSET(TH!K$1,SMALL(Dong2,ROWS($1:22)),)),0))</f>
        <v>83500</v>
      </c>
      <c r="H33" s="746">
        <f t="shared" ca="1" si="1"/>
        <v>88194.910000000033</v>
      </c>
      <c r="I33" s="746"/>
      <c r="J33" s="179"/>
      <c r="K33" s="179"/>
      <c r="L33" s="172"/>
      <c r="M33" s="179"/>
      <c r="N33" s="179"/>
      <c r="O33" s="179"/>
      <c r="P33" s="179"/>
      <c r="Q33" s="179"/>
      <c r="R33" s="179"/>
      <c r="S33" s="179"/>
    </row>
    <row r="34" spans="1:19" ht="20.25" customHeight="1">
      <c r="A34" s="190">
        <f ca="1">IF(ROWS($1:23)&gt;COUNT(Dong2),"",OFFSET(TH!C$1,SMALL(Dong2,ROWS($1:23)),))</f>
        <v>43112</v>
      </c>
      <c r="B34" s="190" t="str">
        <f ca="1">IF(ROWS($1:23)&gt;COUNT(Dong2),"",OFFSET(TH!D$1,SMALL(Dong2,ROWS($1:23)),))</f>
        <v>GBN</v>
      </c>
      <c r="C34" s="190">
        <f ca="1">IF(ROWS($1:23)&gt;COUNT(Dong2),"",OFFSET(TH!E$1,SMALL(Dong2,ROWS($1:23)),))</f>
        <v>43112</v>
      </c>
      <c r="D34" s="349" t="str">
        <f ca="1">IF(ROWS($1:23)&gt;COUNT(Dong2),"",OFFSET(TH!F$1,SMALL(Dong2,ROWS($1:23)),))</f>
        <v>Trả lãi vay</v>
      </c>
      <c r="E34" s="190" t="str">
        <f ca="1">IF(ROWS($1:23)&gt;COUNT(Dong2),"",IF(OFFSET(TH!O$1,SMALL(Dong2,ROWS($1:23)),)=$I$6,OFFSET(TH!N$1,SMALL(Dong2,ROWS($1:23)),),OFFSET(TH!O$1,SMALL(Dong2,ROWS($1:23)),)))</f>
        <v>635</v>
      </c>
      <c r="F34" s="924">
        <f ca="1">IF(ROWS($1:23)&gt;COUNT(Dong2),"",IF(AND(IF($M$9="Q11",LEFT(OFFSET(TH!G$1,SMALL(Dong2,ROWS($1:23)),),3)=$M$9,LEFT(OFFSET(TH!G$1,SMALL(Dong2,ROWS($1:23)),),2)=$M$9),OFFSET(TH!N$1,SMALL(Dong2,ROWS($1:23)),)=$I$6),IF($I$6="1121",OFFSET(TH!M$1,SMALL(Dong2,ROWS($1:23)),),OFFSET(TH!K$1,SMALL(Dong2,ROWS($1:23)),)),0))</f>
        <v>0</v>
      </c>
      <c r="G34" s="924">
        <f ca="1">IF(ROWS($1:23)&gt;COUNT(Dong2),"",IF(AND(IF($M$9="Q11",RIGHT(OFFSET(TH!G$1,SMALL(Dong2,ROWS($1:23)),),3)=$M$9,RIGHT(OFFSET(TH!G$1,SMALL(Dong2,ROWS($1:23)),),2)=$M$9),OFFSET(TH!O$1,SMALL(Dong2,ROWS($1:23)),)=$I$6),IF($I$6="1121",OFFSET(TH!M$1,SMALL(Dong2,ROWS($1:23)),),OFFSET(TH!K$1,SMALL(Dong2,ROWS($1:23)),)),0))</f>
        <v>199.7</v>
      </c>
      <c r="H34" s="746">
        <f t="shared" ca="1" si="1"/>
        <v>87995.210000000036</v>
      </c>
      <c r="I34" s="746"/>
      <c r="J34" s="179"/>
      <c r="K34" s="179"/>
      <c r="L34" s="172"/>
      <c r="M34" s="179"/>
      <c r="N34" s="179"/>
      <c r="O34" s="179"/>
      <c r="P34" s="179"/>
      <c r="Q34" s="179"/>
      <c r="R34" s="179"/>
      <c r="S34" s="179"/>
    </row>
    <row r="35" spans="1:19" ht="20.25" customHeight="1">
      <c r="A35" s="190">
        <f ca="1">IF(ROWS($1:24)&gt;COUNT(Dong2),"",OFFSET(TH!C$1,SMALL(Dong2,ROWS($1:24)),))</f>
        <v>43117</v>
      </c>
      <c r="B35" s="190" t="str">
        <f ca="1">IF(ROWS($1:24)&gt;COUNT(Dong2),"",OFFSET(TH!D$1,SMALL(Dong2,ROWS($1:24)),))</f>
        <v>GBC</v>
      </c>
      <c r="C35" s="190">
        <f ca="1">IF(ROWS($1:24)&gt;COUNT(Dong2),"",OFFSET(TH!E$1,SMALL(Dong2,ROWS($1:24)),))</f>
        <v>43117</v>
      </c>
      <c r="D35" s="349" t="str">
        <f ca="1">IF(ROWS($1:24)&gt;COUNT(Dong2),"",OFFSET(TH!F$1,SMALL(Dong2,ROWS($1:24)),))</f>
        <v>Thu tiền hàng</v>
      </c>
      <c r="E35" s="190" t="str">
        <f ca="1">IF(ROWS($1:24)&gt;COUNT(Dong2),"",IF(OFFSET(TH!O$1,SMALL(Dong2,ROWS($1:24)),)=$I$6,OFFSET(TH!N$1,SMALL(Dong2,ROWS($1:24)),),OFFSET(TH!O$1,SMALL(Dong2,ROWS($1:24)),)))</f>
        <v>131</v>
      </c>
      <c r="F35" s="924">
        <f ca="1">IF(ROWS($1:24)&gt;COUNT(Dong2),"",IF(AND(IF($M$9="Q11",LEFT(OFFSET(TH!G$1,SMALL(Dong2,ROWS($1:24)),),3)=$M$9,LEFT(OFFSET(TH!G$1,SMALL(Dong2,ROWS($1:24)),),2)=$M$9),OFFSET(TH!N$1,SMALL(Dong2,ROWS($1:24)),)=$I$6),IF($I$6="1121",OFFSET(TH!M$1,SMALL(Dong2,ROWS($1:24)),),OFFSET(TH!K$1,SMALL(Dong2,ROWS($1:24)),)),0))</f>
        <v>21166</v>
      </c>
      <c r="G35" s="924">
        <f ca="1">IF(ROWS($1:24)&gt;COUNT(Dong2),"",IF(AND(IF($M$9="Q11",RIGHT(OFFSET(TH!G$1,SMALL(Dong2,ROWS($1:24)),),3)=$M$9,RIGHT(OFFSET(TH!G$1,SMALL(Dong2,ROWS($1:24)),),2)=$M$9),OFFSET(TH!O$1,SMALL(Dong2,ROWS($1:24)),)=$I$6),IF($I$6="1121",OFFSET(TH!M$1,SMALL(Dong2,ROWS($1:24)),),OFFSET(TH!K$1,SMALL(Dong2,ROWS($1:24)),)),0))</f>
        <v>0</v>
      </c>
      <c r="H35" s="746">
        <f t="shared" ca="1" si="1"/>
        <v>109161.21000000004</v>
      </c>
      <c r="I35" s="746"/>
      <c r="J35" s="179"/>
      <c r="K35" s="179"/>
      <c r="L35" s="172"/>
      <c r="M35" s="179"/>
      <c r="N35" s="179"/>
      <c r="O35" s="179"/>
      <c r="P35" s="179"/>
      <c r="Q35" s="179"/>
      <c r="R35" s="179"/>
      <c r="S35" s="179"/>
    </row>
    <row r="36" spans="1:19" ht="20.25" customHeight="1">
      <c r="A36" s="190">
        <f ca="1">IF(ROWS($1:25)&gt;COUNT(Dong2),"",OFFSET(TH!C$1,SMALL(Dong2,ROWS($1:25)),))</f>
        <v>43104</v>
      </c>
      <c r="B36" s="190" t="str">
        <f ca="1">IF(ROWS($1:25)&gt;COUNT(Dong2),"",OFFSET(TH!D$1,SMALL(Dong2,ROWS($1:25)),))</f>
        <v>GBN</v>
      </c>
      <c r="C36" s="190">
        <f ca="1">IF(ROWS($1:25)&gt;COUNT(Dong2),"",OFFSET(TH!E$1,SMALL(Dong2,ROWS($1:25)),))</f>
        <v>43104</v>
      </c>
      <c r="D36" s="349" t="str">
        <f ca="1">IF(ROWS($1:25)&gt;COUNT(Dong2),"",OFFSET(TH!F$1,SMALL(Dong2,ROWS($1:25)),))</f>
        <v>Bán NT</v>
      </c>
      <c r="E36" s="190" t="str">
        <f ca="1">IF(ROWS($1:25)&gt;COUNT(Dong2),"",IF(OFFSET(TH!O$1,SMALL(Dong2,ROWS($1:25)),)=$I$6,OFFSET(TH!N$1,SMALL(Dong2,ROWS($1:25)),),OFFSET(TH!O$1,SMALL(Dong2,ROWS($1:25)),)))</f>
        <v>1121</v>
      </c>
      <c r="F36" s="924">
        <f ca="1">IF(ROWS($1:25)&gt;COUNT(Dong2),"",IF(AND(IF($M$9="Q11",LEFT(OFFSET(TH!G$1,SMALL(Dong2,ROWS($1:25)),),3)=$M$9,LEFT(OFFSET(TH!G$1,SMALL(Dong2,ROWS($1:25)),),2)=$M$9),OFFSET(TH!N$1,SMALL(Dong2,ROWS($1:25)),)=$I$6),IF($I$6="1121",OFFSET(TH!M$1,SMALL(Dong2,ROWS($1:25)),),OFFSET(TH!K$1,SMALL(Dong2,ROWS($1:25)),)),0))</f>
        <v>0</v>
      </c>
      <c r="G36" s="924">
        <f ca="1">IF(ROWS($1:25)&gt;COUNT(Dong2),"",IF(AND(IF($M$9="Q11",RIGHT(OFFSET(TH!G$1,SMALL(Dong2,ROWS($1:25)),),3)=$M$9,RIGHT(OFFSET(TH!G$1,SMALL(Dong2,ROWS($1:25)),),2)=$M$9),OFFSET(TH!O$1,SMALL(Dong2,ROWS($1:25)),)=$I$6),IF($I$6="1121",OFFSET(TH!M$1,SMALL(Dong2,ROWS($1:25)),),OFFSET(TH!K$1,SMALL(Dong2,ROWS($1:25)),)),0))</f>
        <v>25500</v>
      </c>
      <c r="H36" s="746">
        <f t="shared" ca="1" si="1"/>
        <v>83661.210000000036</v>
      </c>
      <c r="I36" s="746"/>
      <c r="J36" s="179"/>
      <c r="K36" s="179"/>
      <c r="L36" s="172"/>
      <c r="M36" s="179"/>
      <c r="N36" s="179"/>
      <c r="O36" s="179"/>
      <c r="P36" s="179"/>
      <c r="Q36" s="179"/>
      <c r="R36" s="179"/>
      <c r="S36" s="179"/>
    </row>
    <row r="37" spans="1:19" ht="20.25" customHeight="1">
      <c r="A37" s="190">
        <f ca="1">IF(ROWS($1:26)&gt;COUNT(Dong2),"",OFFSET(TH!C$1,SMALL(Dong2,ROWS($1:26)),))</f>
        <v>43115</v>
      </c>
      <c r="B37" s="190" t="str">
        <f ca="1">IF(ROWS($1:26)&gt;COUNT(Dong2),"",OFFSET(TH!D$1,SMALL(Dong2,ROWS($1:26)),))</f>
        <v>GBC</v>
      </c>
      <c r="C37" s="190">
        <f ca="1">IF(ROWS($1:26)&gt;COUNT(Dong2),"",OFFSET(TH!E$1,SMALL(Dong2,ROWS($1:26)),))</f>
        <v>43115</v>
      </c>
      <c r="D37" s="349" t="str">
        <f ca="1">IF(ROWS($1:26)&gt;COUNT(Dong2),"",OFFSET(TH!F$1,SMALL(Dong2,ROWS($1:26)),))</f>
        <v>Bán NT</v>
      </c>
      <c r="E37" s="190" t="str">
        <f ca="1">IF(ROWS($1:26)&gt;COUNT(Dong2),"",IF(OFFSET(TH!O$1,SMALL(Dong2,ROWS($1:26)),)=$I$6,OFFSET(TH!N$1,SMALL(Dong2,ROWS($1:26)),),OFFSET(TH!O$1,SMALL(Dong2,ROWS($1:26)),)))</f>
        <v>1121</v>
      </c>
      <c r="F37" s="924">
        <f ca="1">IF(ROWS($1:26)&gt;COUNT(Dong2),"",IF(AND(IF($M$9="Q11",LEFT(OFFSET(TH!G$1,SMALL(Dong2,ROWS($1:26)),),3)=$M$9,LEFT(OFFSET(TH!G$1,SMALL(Dong2,ROWS($1:26)),),2)=$M$9),OFFSET(TH!N$1,SMALL(Dong2,ROWS($1:26)),)=$I$6),IF($I$6="1121",OFFSET(TH!M$1,SMALL(Dong2,ROWS($1:26)),),OFFSET(TH!K$1,SMALL(Dong2,ROWS($1:26)),)),0))</f>
        <v>0</v>
      </c>
      <c r="G37" s="924">
        <f ca="1">IF(ROWS($1:26)&gt;COUNT(Dong2),"",IF(AND(IF($M$9="Q11",RIGHT(OFFSET(TH!G$1,SMALL(Dong2,ROWS($1:26)),),3)=$M$9,RIGHT(OFFSET(TH!G$1,SMALL(Dong2,ROWS($1:26)),),2)=$M$9),OFFSET(TH!O$1,SMALL(Dong2,ROWS($1:26)),)=$I$6),IF($I$6="1121",OFFSET(TH!M$1,SMALL(Dong2,ROWS($1:26)),),OFFSET(TH!K$1,SMALL(Dong2,ROWS($1:26)),)),0))</f>
        <v>62300</v>
      </c>
      <c r="H37" s="746">
        <f t="shared" ca="1" si="1"/>
        <v>21361.210000000036</v>
      </c>
      <c r="I37" s="746"/>
      <c r="J37" s="179"/>
      <c r="K37" s="179"/>
      <c r="L37" s="172"/>
      <c r="M37" s="179"/>
      <c r="N37" s="179"/>
      <c r="O37" s="179"/>
      <c r="P37" s="179"/>
      <c r="Q37" s="179"/>
      <c r="R37" s="179"/>
      <c r="S37" s="179"/>
    </row>
    <row r="38" spans="1:19" ht="20.25" customHeight="1">
      <c r="A38" s="190">
        <f ca="1">IF(ROWS($1:27)&gt;COUNT(Dong2),"",OFFSET(TH!C$1,SMALL(Dong2,ROWS($1:27)),))</f>
        <v>43118</v>
      </c>
      <c r="B38" s="190" t="str">
        <f ca="1">IF(ROWS($1:27)&gt;COUNT(Dong2),"",OFFSET(TH!D$1,SMALL(Dong2,ROWS($1:27)),))</f>
        <v>GBC</v>
      </c>
      <c r="C38" s="190">
        <f ca="1">IF(ROWS($1:27)&gt;COUNT(Dong2),"",OFFSET(TH!E$1,SMALL(Dong2,ROWS($1:27)),))</f>
        <v>43118</v>
      </c>
      <c r="D38" s="349" t="str">
        <f ca="1">IF(ROWS($1:27)&gt;COUNT(Dong2),"",OFFSET(TH!F$1,SMALL(Dong2,ROWS($1:27)),))</f>
        <v>Bán NT</v>
      </c>
      <c r="E38" s="190" t="str">
        <f ca="1">IF(ROWS($1:27)&gt;COUNT(Dong2),"",IF(OFFSET(TH!O$1,SMALL(Dong2,ROWS($1:27)),)=$I$6,OFFSET(TH!N$1,SMALL(Dong2,ROWS($1:27)),),OFFSET(TH!O$1,SMALL(Dong2,ROWS($1:27)),)))</f>
        <v>1121</v>
      </c>
      <c r="F38" s="924">
        <f ca="1">IF(ROWS($1:27)&gt;COUNT(Dong2),"",IF(AND(IF($M$9="Q11",LEFT(OFFSET(TH!G$1,SMALL(Dong2,ROWS($1:27)),),3)=$M$9,LEFT(OFFSET(TH!G$1,SMALL(Dong2,ROWS($1:27)),),2)=$M$9),OFFSET(TH!N$1,SMALL(Dong2,ROWS($1:27)),)=$I$6),IF($I$6="1121",OFFSET(TH!M$1,SMALL(Dong2,ROWS($1:27)),),OFFSET(TH!K$1,SMALL(Dong2,ROWS($1:27)),)),0))</f>
        <v>0</v>
      </c>
      <c r="G38" s="924">
        <f ca="1">IF(ROWS($1:27)&gt;COUNT(Dong2),"",IF(AND(IF($M$9="Q11",RIGHT(OFFSET(TH!G$1,SMALL(Dong2,ROWS($1:27)),),3)=$M$9,RIGHT(OFFSET(TH!G$1,SMALL(Dong2,ROWS($1:27)),),2)=$M$9),OFFSET(TH!O$1,SMALL(Dong2,ROWS($1:27)),)=$I$6),IF($I$6="1121",OFFSET(TH!M$1,SMALL(Dong2,ROWS($1:27)),),OFFSET(TH!K$1,SMALL(Dong2,ROWS($1:27)),)),0))</f>
        <v>16000</v>
      </c>
      <c r="H38" s="746">
        <f t="shared" ca="1" si="1"/>
        <v>5361.2100000000355</v>
      </c>
      <c r="I38" s="746"/>
      <c r="J38" s="179"/>
      <c r="K38" s="179"/>
      <c r="L38" s="172"/>
      <c r="M38" s="179"/>
      <c r="N38" s="179"/>
      <c r="O38" s="179"/>
      <c r="P38" s="179"/>
      <c r="Q38" s="179"/>
      <c r="R38" s="179"/>
      <c r="S38" s="179"/>
    </row>
    <row r="39" spans="1:19" ht="20.25" customHeight="1">
      <c r="A39" s="190" t="str">
        <f ca="1">IF(ROWS($1:28)&gt;COUNT(Dong2),"",OFFSET(TH!C$1,SMALL(Dong2,ROWS($1:28)),))</f>
        <v/>
      </c>
      <c r="B39" s="190" t="str">
        <f ca="1">IF(ROWS($1:28)&gt;COUNT(Dong2),"",OFFSET(TH!D$1,SMALL(Dong2,ROWS($1:28)),))</f>
        <v/>
      </c>
      <c r="C39" s="190" t="str">
        <f ca="1">IF(ROWS($1:28)&gt;COUNT(Dong2),"",OFFSET(TH!E$1,SMALL(Dong2,ROWS($1:28)),))</f>
        <v/>
      </c>
      <c r="D39" s="349" t="str">
        <f ca="1">IF(ROWS($1:28)&gt;COUNT(Dong2),"",OFFSET(TH!F$1,SMALL(Dong2,ROWS($1:28)),))</f>
        <v/>
      </c>
      <c r="E39" s="190" t="str">
        <f ca="1">IF(ROWS($1:28)&gt;COUNT(Dong2),"",IF(OFFSET(TH!O$1,SMALL(Dong2,ROWS($1:28)),)=$I$6,OFFSET(TH!N$1,SMALL(Dong2,ROWS($1:28)),),OFFSET(TH!O$1,SMALL(Dong2,ROWS($1:28)),)))</f>
        <v/>
      </c>
      <c r="F39" s="924" t="str">
        <f ca="1">IF(ROWS($1:28)&gt;COUNT(Dong2),"",IF(AND(IF($M$9="Q11",LEFT(OFFSET(TH!G$1,SMALL(Dong2,ROWS($1:28)),),3)=$M$9,LEFT(OFFSET(TH!G$1,SMALL(Dong2,ROWS($1:28)),),2)=$M$9),OFFSET(TH!N$1,SMALL(Dong2,ROWS($1:28)),)=$I$6),IF($I$6="1121",OFFSET(TH!M$1,SMALL(Dong2,ROWS($1:28)),),OFFSET(TH!K$1,SMALL(Dong2,ROWS($1:28)),)),0))</f>
        <v/>
      </c>
      <c r="G39" s="924" t="str">
        <f ca="1">IF(ROWS($1:28)&gt;COUNT(Dong2),"",IF(AND(IF($M$9="Q11",RIGHT(OFFSET(TH!G$1,SMALL(Dong2,ROWS($1:28)),),3)=$M$9,RIGHT(OFFSET(TH!G$1,SMALL(Dong2,ROWS($1:28)),),2)=$M$9),OFFSET(TH!O$1,SMALL(Dong2,ROWS($1:28)),)=$I$6),IF($I$6="1121",OFFSET(TH!M$1,SMALL(Dong2,ROWS($1:28)),),OFFSET(TH!K$1,SMALL(Dong2,ROWS($1:28)),)),0))</f>
        <v/>
      </c>
      <c r="H39" s="746">
        <f t="shared" ca="1" si="1"/>
        <v>0</v>
      </c>
      <c r="I39" s="746"/>
      <c r="J39" s="179"/>
      <c r="K39" s="179"/>
      <c r="L39" s="172"/>
      <c r="M39" s="179"/>
      <c r="N39" s="179"/>
      <c r="O39" s="179"/>
      <c r="P39" s="179"/>
      <c r="Q39" s="179"/>
      <c r="R39" s="179"/>
      <c r="S39" s="179"/>
    </row>
    <row r="40" spans="1:19" ht="20.25" customHeight="1">
      <c r="A40" s="190" t="str">
        <f ca="1">IF(ROWS($1:29)&gt;COUNT(Dong2),"",OFFSET(TH!C$1,SMALL(Dong2,ROWS($1:29)),))</f>
        <v/>
      </c>
      <c r="B40" s="190" t="str">
        <f ca="1">IF(ROWS($1:29)&gt;COUNT(Dong2),"",OFFSET(TH!D$1,SMALL(Dong2,ROWS($1:29)),))</f>
        <v/>
      </c>
      <c r="C40" s="190" t="str">
        <f ca="1">IF(ROWS($1:29)&gt;COUNT(Dong2),"",OFFSET(TH!E$1,SMALL(Dong2,ROWS($1:29)),))</f>
        <v/>
      </c>
      <c r="D40" s="349" t="str">
        <f ca="1">IF(ROWS($1:29)&gt;COUNT(Dong2),"",OFFSET(TH!F$1,SMALL(Dong2,ROWS($1:29)),))</f>
        <v/>
      </c>
      <c r="E40" s="190" t="str">
        <f ca="1">IF(ROWS($1:29)&gt;COUNT(Dong2),"",IF(OFFSET(TH!O$1,SMALL(Dong2,ROWS($1:29)),)=$I$6,OFFSET(TH!N$1,SMALL(Dong2,ROWS($1:29)),),OFFSET(TH!O$1,SMALL(Dong2,ROWS($1:29)),)))</f>
        <v/>
      </c>
      <c r="F40" s="924" t="str">
        <f ca="1">IF(ROWS($1:29)&gt;COUNT(Dong2),"",IF(AND(IF($M$9="Q11",LEFT(OFFSET(TH!G$1,SMALL(Dong2,ROWS($1:29)),),3)=$M$9,LEFT(OFFSET(TH!G$1,SMALL(Dong2,ROWS($1:29)),),2)=$M$9),OFFSET(TH!N$1,SMALL(Dong2,ROWS($1:29)),)=$I$6),IF($I$6="1121",OFFSET(TH!M$1,SMALL(Dong2,ROWS($1:29)),),OFFSET(TH!K$1,SMALL(Dong2,ROWS($1:29)),)),0))</f>
        <v/>
      </c>
      <c r="G40" s="924" t="str">
        <f ca="1">IF(ROWS($1:29)&gt;COUNT(Dong2),"",IF(AND(IF($M$9="Q11",RIGHT(OFFSET(TH!G$1,SMALL(Dong2,ROWS($1:29)),),3)=$M$9,RIGHT(OFFSET(TH!G$1,SMALL(Dong2,ROWS($1:29)),),2)=$M$9),OFFSET(TH!O$1,SMALL(Dong2,ROWS($1:29)),)=$I$6),IF($I$6="1121",OFFSET(TH!M$1,SMALL(Dong2,ROWS($1:29)),),OFFSET(TH!K$1,SMALL(Dong2,ROWS($1:29)),)),0))</f>
        <v/>
      </c>
      <c r="H40" s="746">
        <f t="shared" ca="1" si="1"/>
        <v>0</v>
      </c>
      <c r="I40" s="746"/>
      <c r="J40" s="179"/>
      <c r="K40" s="179"/>
      <c r="L40" s="179"/>
      <c r="M40" s="179"/>
      <c r="N40" s="179"/>
      <c r="O40" s="179"/>
      <c r="P40" s="179"/>
      <c r="Q40" s="179"/>
      <c r="R40" s="179"/>
      <c r="S40" s="179"/>
    </row>
    <row r="41" spans="1:19" ht="20.25" customHeight="1">
      <c r="A41" s="190" t="str">
        <f ca="1">IF(ROWS($1:30)&gt;COUNT(Dong2),"",OFFSET(TH!C$1,SMALL(Dong2,ROWS($1:30)),))</f>
        <v/>
      </c>
      <c r="B41" s="190" t="str">
        <f ca="1">IF(ROWS($1:30)&gt;COUNT(Dong2),"",OFFSET(TH!D$1,SMALL(Dong2,ROWS($1:30)),))</f>
        <v/>
      </c>
      <c r="C41" s="190" t="str">
        <f ca="1">IF(ROWS($1:30)&gt;COUNT(Dong2),"",OFFSET(TH!E$1,SMALL(Dong2,ROWS($1:30)),))</f>
        <v/>
      </c>
      <c r="D41" s="349" t="str">
        <f ca="1">IF(ROWS($1:30)&gt;COUNT(Dong2),"",OFFSET(TH!F$1,SMALL(Dong2,ROWS($1:30)),))</f>
        <v/>
      </c>
      <c r="E41" s="190" t="str">
        <f ca="1">IF(ROWS($1:30)&gt;COUNT(Dong2),"",IF(OFFSET(TH!O$1,SMALL(Dong2,ROWS($1:30)),)=$I$6,OFFSET(TH!N$1,SMALL(Dong2,ROWS($1:30)),),OFFSET(TH!O$1,SMALL(Dong2,ROWS($1:30)),)))</f>
        <v/>
      </c>
      <c r="F41" s="924" t="str">
        <f ca="1">IF(ROWS($1:30)&gt;COUNT(Dong2),"",IF(AND(IF($M$9="Q11",LEFT(OFFSET(TH!G$1,SMALL(Dong2,ROWS($1:30)),),3)=$M$9,LEFT(OFFSET(TH!G$1,SMALL(Dong2,ROWS($1:30)),),2)=$M$9),OFFSET(TH!N$1,SMALL(Dong2,ROWS($1:30)),)=$I$6),IF($I$6="1121",OFFSET(TH!M$1,SMALL(Dong2,ROWS($1:30)),),OFFSET(TH!K$1,SMALL(Dong2,ROWS($1:30)),)),0))</f>
        <v/>
      </c>
      <c r="G41" s="924" t="str">
        <f ca="1">IF(ROWS($1:30)&gt;COUNT(Dong2),"",IF(AND(IF($M$9="Q11",RIGHT(OFFSET(TH!G$1,SMALL(Dong2,ROWS($1:30)),),3)=$M$9,RIGHT(OFFSET(TH!G$1,SMALL(Dong2,ROWS($1:30)),),2)=$M$9),OFFSET(TH!O$1,SMALL(Dong2,ROWS($1:30)),)=$I$6),IF($I$6="1121",OFFSET(TH!M$1,SMALL(Dong2,ROWS($1:30)),),OFFSET(TH!K$1,SMALL(Dong2,ROWS($1:30)),)),0))</f>
        <v/>
      </c>
      <c r="H41" s="746">
        <f t="shared" ca="1" si="1"/>
        <v>0</v>
      </c>
      <c r="I41" s="746"/>
      <c r="J41" s="179"/>
      <c r="K41" s="179"/>
      <c r="L41" s="179"/>
      <c r="M41" s="179"/>
      <c r="N41" s="179"/>
      <c r="O41" s="179"/>
      <c r="P41" s="179"/>
      <c r="Q41" s="179"/>
      <c r="R41" s="179"/>
      <c r="S41" s="179"/>
    </row>
    <row r="42" spans="1:19" ht="20.25" customHeight="1">
      <c r="A42" s="190" t="str">
        <f ca="1">IF(ROWS($1:31)&gt;COUNT(Dong2),"",OFFSET(TH!C$1,SMALL(Dong2,ROWS($1:31)),))</f>
        <v/>
      </c>
      <c r="B42" s="190" t="str">
        <f ca="1">IF(ROWS($1:31)&gt;COUNT(Dong2),"",OFFSET(TH!D$1,SMALL(Dong2,ROWS($1:31)),))</f>
        <v/>
      </c>
      <c r="C42" s="190" t="str">
        <f ca="1">IF(ROWS($1:31)&gt;COUNT(Dong2),"",OFFSET(TH!E$1,SMALL(Dong2,ROWS($1:31)),))</f>
        <v/>
      </c>
      <c r="D42" s="349" t="str">
        <f ca="1">IF(ROWS($1:31)&gt;COUNT(Dong2),"",OFFSET(TH!F$1,SMALL(Dong2,ROWS($1:31)),))</f>
        <v/>
      </c>
      <c r="E42" s="190" t="str">
        <f ca="1">IF(ROWS($1:31)&gt;COUNT(Dong2),"",IF(OFFSET(TH!O$1,SMALL(Dong2,ROWS($1:31)),)=$I$6,OFFSET(TH!N$1,SMALL(Dong2,ROWS($1:31)),),OFFSET(TH!O$1,SMALL(Dong2,ROWS($1:31)),)))</f>
        <v/>
      </c>
      <c r="F42" s="924" t="str">
        <f ca="1">IF(ROWS($1:31)&gt;COUNT(Dong2),"",IF(AND(IF($M$9="Q11",LEFT(OFFSET(TH!G$1,SMALL(Dong2,ROWS($1:31)),),3)=$M$9,LEFT(OFFSET(TH!G$1,SMALL(Dong2,ROWS($1:31)),),2)=$M$9),OFFSET(TH!N$1,SMALL(Dong2,ROWS($1:31)),)=$I$6),IF($I$6="1121",OFFSET(TH!M$1,SMALL(Dong2,ROWS($1:31)),),OFFSET(TH!K$1,SMALL(Dong2,ROWS($1:31)),)),0))</f>
        <v/>
      </c>
      <c r="G42" s="924" t="str">
        <f ca="1">IF(ROWS($1:31)&gt;COUNT(Dong2),"",IF(AND(IF($M$9="Q11",RIGHT(OFFSET(TH!G$1,SMALL(Dong2,ROWS($1:31)),),3)=$M$9,RIGHT(OFFSET(TH!G$1,SMALL(Dong2,ROWS($1:31)),),2)=$M$9),OFFSET(TH!O$1,SMALL(Dong2,ROWS($1:31)),)=$I$6),IF($I$6="1121",OFFSET(TH!M$1,SMALL(Dong2,ROWS($1:31)),),OFFSET(TH!K$1,SMALL(Dong2,ROWS($1:31)),)),0))</f>
        <v/>
      </c>
      <c r="H42" s="746">
        <f t="shared" ca="1" si="1"/>
        <v>0</v>
      </c>
      <c r="I42" s="746"/>
      <c r="J42" s="179"/>
      <c r="K42" s="179"/>
      <c r="L42" s="179"/>
      <c r="M42" s="179"/>
      <c r="N42" s="179"/>
      <c r="O42" s="179"/>
      <c r="P42" s="179"/>
      <c r="Q42" s="179"/>
      <c r="R42" s="179"/>
      <c r="S42" s="179"/>
    </row>
    <row r="43" spans="1:19" ht="20.25" customHeight="1">
      <c r="A43" s="190" t="str">
        <f ca="1">IF(ROWS($1:32)&gt;COUNT(Dong2),"",OFFSET(TH!C$1,SMALL(Dong2,ROWS($1:32)),))</f>
        <v/>
      </c>
      <c r="B43" s="190" t="str">
        <f ca="1">IF(ROWS($1:32)&gt;COUNT(Dong2),"",OFFSET(TH!D$1,SMALL(Dong2,ROWS($1:32)),))</f>
        <v/>
      </c>
      <c r="C43" s="190" t="str">
        <f ca="1">IF(ROWS($1:32)&gt;COUNT(Dong2),"",OFFSET(TH!E$1,SMALL(Dong2,ROWS($1:32)),))</f>
        <v/>
      </c>
      <c r="D43" s="349" t="str">
        <f ca="1">IF(ROWS($1:32)&gt;COUNT(Dong2),"",OFFSET(TH!F$1,SMALL(Dong2,ROWS($1:32)),))</f>
        <v/>
      </c>
      <c r="E43" s="190" t="str">
        <f ca="1">IF(ROWS($1:32)&gt;COUNT(Dong2),"",IF(OFFSET(TH!O$1,SMALL(Dong2,ROWS($1:32)),)=$I$6,OFFSET(TH!N$1,SMALL(Dong2,ROWS($1:32)),),OFFSET(TH!O$1,SMALL(Dong2,ROWS($1:32)),)))</f>
        <v/>
      </c>
      <c r="F43" s="924" t="str">
        <f ca="1">IF(ROWS($1:32)&gt;COUNT(Dong2),"",IF(AND(IF($M$9="Q11",LEFT(OFFSET(TH!G$1,SMALL(Dong2,ROWS($1:32)),),3)=$M$9,LEFT(OFFSET(TH!G$1,SMALL(Dong2,ROWS($1:32)),),2)=$M$9),OFFSET(TH!N$1,SMALL(Dong2,ROWS($1:32)),)=$I$6),IF($I$6="1121",OFFSET(TH!M$1,SMALL(Dong2,ROWS($1:32)),),OFFSET(TH!K$1,SMALL(Dong2,ROWS($1:32)),)),0))</f>
        <v/>
      </c>
      <c r="G43" s="924" t="str">
        <f ca="1">IF(ROWS($1:32)&gt;COUNT(Dong2),"",IF(AND(IF($M$9="Q11",RIGHT(OFFSET(TH!G$1,SMALL(Dong2,ROWS($1:32)),),3)=$M$9,RIGHT(OFFSET(TH!G$1,SMALL(Dong2,ROWS($1:32)),),2)=$M$9),OFFSET(TH!O$1,SMALL(Dong2,ROWS($1:32)),)=$I$6),IF($I$6="1121",OFFSET(TH!M$1,SMALL(Dong2,ROWS($1:32)),),OFFSET(TH!K$1,SMALL(Dong2,ROWS($1:32)),)),0))</f>
        <v/>
      </c>
      <c r="H43" s="746">
        <f t="shared" ca="1" si="1"/>
        <v>0</v>
      </c>
      <c r="I43" s="746"/>
      <c r="J43" s="179"/>
      <c r="K43" s="179"/>
      <c r="L43" s="179"/>
      <c r="M43" s="179"/>
      <c r="N43" s="179"/>
      <c r="O43" s="179"/>
      <c r="P43" s="179"/>
      <c r="Q43" s="179"/>
      <c r="R43" s="179"/>
      <c r="S43" s="179"/>
    </row>
    <row r="44" spans="1:19" ht="20.25" customHeight="1">
      <c r="A44" s="190" t="str">
        <f ca="1">IF(ROWS($1:33)&gt;COUNT(Dong2),"",OFFSET(TH!C$1,SMALL(Dong2,ROWS($1:33)),))</f>
        <v/>
      </c>
      <c r="B44" s="190" t="str">
        <f ca="1">IF(ROWS($1:33)&gt;COUNT(Dong2),"",OFFSET(TH!D$1,SMALL(Dong2,ROWS($1:33)),))</f>
        <v/>
      </c>
      <c r="C44" s="190" t="str">
        <f ca="1">IF(ROWS($1:33)&gt;COUNT(Dong2),"",OFFSET(TH!E$1,SMALL(Dong2,ROWS($1:33)),))</f>
        <v/>
      </c>
      <c r="D44" s="349" t="str">
        <f ca="1">IF(ROWS($1:33)&gt;COUNT(Dong2),"",OFFSET(TH!F$1,SMALL(Dong2,ROWS($1:33)),))</f>
        <v/>
      </c>
      <c r="E44" s="190" t="str">
        <f ca="1">IF(ROWS($1:33)&gt;COUNT(Dong2),"",IF(OFFSET(TH!O$1,SMALL(Dong2,ROWS($1:33)),)=$I$6,OFFSET(TH!N$1,SMALL(Dong2,ROWS($1:33)),),OFFSET(TH!O$1,SMALL(Dong2,ROWS($1:33)),)))</f>
        <v/>
      </c>
      <c r="F44" s="924" t="str">
        <f ca="1">IF(ROWS($1:33)&gt;COUNT(Dong2),"",IF(AND(IF($M$9="Q11",LEFT(OFFSET(TH!G$1,SMALL(Dong2,ROWS($1:33)),),3)=$M$9,LEFT(OFFSET(TH!G$1,SMALL(Dong2,ROWS($1:33)),),2)=$M$9),OFFSET(TH!N$1,SMALL(Dong2,ROWS($1:33)),)=$I$6),IF($I$6="1121",OFFSET(TH!M$1,SMALL(Dong2,ROWS($1:33)),),OFFSET(TH!K$1,SMALL(Dong2,ROWS($1:33)),)),0))</f>
        <v/>
      </c>
      <c r="G44" s="924" t="str">
        <f ca="1">IF(ROWS($1:33)&gt;COUNT(Dong2),"",IF(AND(IF($M$9="Q11",RIGHT(OFFSET(TH!G$1,SMALL(Dong2,ROWS($1:33)),),3)=$M$9,RIGHT(OFFSET(TH!G$1,SMALL(Dong2,ROWS($1:33)),),2)=$M$9),OFFSET(TH!O$1,SMALL(Dong2,ROWS($1:33)),)=$I$6),IF($I$6="1121",OFFSET(TH!M$1,SMALL(Dong2,ROWS($1:33)),),OFFSET(TH!K$1,SMALL(Dong2,ROWS($1:33)),)),0))</f>
        <v/>
      </c>
      <c r="H44" s="746">
        <f t="shared" ca="1" si="1"/>
        <v>0</v>
      </c>
      <c r="I44" s="746"/>
      <c r="J44" s="179"/>
      <c r="K44" s="179"/>
      <c r="L44" s="179"/>
      <c r="M44" s="179"/>
      <c r="N44" s="179"/>
      <c r="O44" s="179"/>
      <c r="P44" s="179"/>
      <c r="Q44" s="179"/>
      <c r="R44" s="179"/>
      <c r="S44" s="179"/>
    </row>
    <row r="45" spans="1:19" ht="20.25" customHeight="1">
      <c r="A45" s="190" t="str">
        <f ca="1">IF(ROWS($1:34)&gt;COUNT(Dong2),"",OFFSET(TH!C$1,SMALL(Dong2,ROWS($1:34)),))</f>
        <v/>
      </c>
      <c r="B45" s="190" t="str">
        <f ca="1">IF(ROWS($1:34)&gt;COUNT(Dong2),"",OFFSET(TH!D$1,SMALL(Dong2,ROWS($1:34)),))</f>
        <v/>
      </c>
      <c r="C45" s="190" t="str">
        <f ca="1">IF(ROWS($1:34)&gt;COUNT(Dong2),"",OFFSET(TH!E$1,SMALL(Dong2,ROWS($1:34)),))</f>
        <v/>
      </c>
      <c r="D45" s="349" t="str">
        <f ca="1">IF(ROWS($1:34)&gt;COUNT(Dong2),"",OFFSET(TH!F$1,SMALL(Dong2,ROWS($1:34)),))</f>
        <v/>
      </c>
      <c r="E45" s="190" t="str">
        <f ca="1">IF(ROWS($1:34)&gt;COUNT(Dong2),"",IF(OFFSET(TH!O$1,SMALL(Dong2,ROWS($1:34)),)=$I$6,OFFSET(TH!N$1,SMALL(Dong2,ROWS($1:34)),),OFFSET(TH!O$1,SMALL(Dong2,ROWS($1:34)),)))</f>
        <v/>
      </c>
      <c r="F45" s="924" t="str">
        <f ca="1">IF(ROWS($1:34)&gt;COUNT(Dong2),"",IF(AND(IF($M$9="Q11",LEFT(OFFSET(TH!G$1,SMALL(Dong2,ROWS($1:34)),),3)=$M$9,LEFT(OFFSET(TH!G$1,SMALL(Dong2,ROWS($1:34)),),2)=$M$9),OFFSET(TH!N$1,SMALL(Dong2,ROWS($1:34)),)=$I$6),IF($I$6="1121",OFFSET(TH!M$1,SMALL(Dong2,ROWS($1:34)),),OFFSET(TH!K$1,SMALL(Dong2,ROWS($1:34)),)),0))</f>
        <v/>
      </c>
      <c r="G45" s="924" t="str">
        <f ca="1">IF(ROWS($1:34)&gt;COUNT(Dong2),"",IF(AND(IF($M$9="Q11",RIGHT(OFFSET(TH!G$1,SMALL(Dong2,ROWS($1:34)),),3)=$M$9,RIGHT(OFFSET(TH!G$1,SMALL(Dong2,ROWS($1:34)),),2)=$M$9),OFFSET(TH!O$1,SMALL(Dong2,ROWS($1:34)),)=$I$6),IF($I$6="1121",OFFSET(TH!M$1,SMALL(Dong2,ROWS($1:34)),),OFFSET(TH!K$1,SMALL(Dong2,ROWS($1:34)),)),0))</f>
        <v/>
      </c>
      <c r="H45" s="746">
        <f t="shared" ca="1" si="1"/>
        <v>0</v>
      </c>
      <c r="I45" s="746"/>
      <c r="J45" s="179"/>
      <c r="K45" s="179"/>
      <c r="L45" s="179"/>
      <c r="M45" s="179"/>
      <c r="N45" s="179"/>
      <c r="O45" s="179"/>
      <c r="P45" s="179"/>
      <c r="Q45" s="179"/>
      <c r="R45" s="179"/>
      <c r="S45" s="179"/>
    </row>
    <row r="46" spans="1:19" ht="20.25" customHeight="1">
      <c r="A46" s="190" t="str">
        <f ca="1">IF(ROWS($1:35)&gt;COUNT(Dong2),"",OFFSET(TH!C$1,SMALL(Dong2,ROWS($1:35)),))</f>
        <v/>
      </c>
      <c r="B46" s="190" t="str">
        <f ca="1">IF(ROWS($1:35)&gt;COUNT(Dong2),"",OFFSET(TH!D$1,SMALL(Dong2,ROWS($1:35)),))</f>
        <v/>
      </c>
      <c r="C46" s="190" t="str">
        <f ca="1">IF(ROWS($1:35)&gt;COUNT(Dong2),"",OFFSET(TH!E$1,SMALL(Dong2,ROWS($1:35)),))</f>
        <v/>
      </c>
      <c r="D46" s="349" t="str">
        <f ca="1">IF(ROWS($1:35)&gt;COUNT(Dong2),"",OFFSET(TH!F$1,SMALL(Dong2,ROWS($1:35)),))</f>
        <v/>
      </c>
      <c r="E46" s="190" t="str">
        <f ca="1">IF(ROWS($1:35)&gt;COUNT(Dong2),"",IF(OFFSET(TH!O$1,SMALL(Dong2,ROWS($1:35)),)=$I$6,OFFSET(TH!N$1,SMALL(Dong2,ROWS($1:35)),),OFFSET(TH!O$1,SMALL(Dong2,ROWS($1:35)),)))</f>
        <v/>
      </c>
      <c r="F46" s="924" t="str">
        <f ca="1">IF(ROWS($1:35)&gt;COUNT(Dong2),"",IF(AND(IF($M$9="Q11",LEFT(OFFSET(TH!G$1,SMALL(Dong2,ROWS($1:35)),),3)=$M$9,LEFT(OFFSET(TH!G$1,SMALL(Dong2,ROWS($1:35)),),2)=$M$9),OFFSET(TH!N$1,SMALL(Dong2,ROWS($1:35)),)=$I$6),IF($I$6="1121",OFFSET(TH!M$1,SMALL(Dong2,ROWS($1:35)),),OFFSET(TH!K$1,SMALL(Dong2,ROWS($1:35)),)),0))</f>
        <v/>
      </c>
      <c r="G46" s="924" t="str">
        <f ca="1">IF(ROWS($1:35)&gt;COUNT(Dong2),"",IF(AND(IF($M$9="Q11",RIGHT(OFFSET(TH!G$1,SMALL(Dong2,ROWS($1:35)),),3)=$M$9,RIGHT(OFFSET(TH!G$1,SMALL(Dong2,ROWS($1:35)),),2)=$M$9),OFFSET(TH!O$1,SMALL(Dong2,ROWS($1:35)),)=$I$6),IF($I$6="1121",OFFSET(TH!M$1,SMALL(Dong2,ROWS($1:35)),),OFFSET(TH!K$1,SMALL(Dong2,ROWS($1:35)),)),0))</f>
        <v/>
      </c>
      <c r="H46" s="746">
        <f t="shared" ca="1" si="1"/>
        <v>0</v>
      </c>
      <c r="I46" s="746"/>
      <c r="J46" s="179"/>
      <c r="K46" s="179"/>
      <c r="L46" s="179"/>
      <c r="M46" s="179"/>
      <c r="N46" s="179"/>
      <c r="O46" s="179"/>
      <c r="P46" s="179"/>
      <c r="Q46" s="179"/>
      <c r="R46" s="179"/>
      <c r="S46" s="179"/>
    </row>
    <row r="47" spans="1:19" ht="20.25" customHeight="1">
      <c r="A47" s="190" t="str">
        <f ca="1">IF(ROWS($1:36)&gt;COUNT(Dong2),"",OFFSET(TH!C$1,SMALL(Dong2,ROWS($1:36)),))</f>
        <v/>
      </c>
      <c r="B47" s="190" t="str">
        <f ca="1">IF(ROWS($1:36)&gt;COUNT(Dong2),"",OFFSET(TH!D$1,SMALL(Dong2,ROWS($1:36)),))</f>
        <v/>
      </c>
      <c r="C47" s="190" t="str">
        <f ca="1">IF(ROWS($1:36)&gt;COUNT(Dong2),"",OFFSET(TH!E$1,SMALL(Dong2,ROWS($1:36)),))</f>
        <v/>
      </c>
      <c r="D47" s="349" t="str">
        <f ca="1">IF(ROWS($1:36)&gt;COUNT(Dong2),"",OFFSET(TH!F$1,SMALL(Dong2,ROWS($1:36)),))</f>
        <v/>
      </c>
      <c r="E47" s="190" t="str">
        <f ca="1">IF(ROWS($1:36)&gt;COUNT(Dong2),"",IF(OFFSET(TH!O$1,SMALL(Dong2,ROWS($1:36)),)=$I$6,OFFSET(TH!N$1,SMALL(Dong2,ROWS($1:36)),),OFFSET(TH!O$1,SMALL(Dong2,ROWS($1:36)),)))</f>
        <v/>
      </c>
      <c r="F47" s="924" t="str">
        <f ca="1">IF(ROWS($1:36)&gt;COUNT(Dong2),"",IF(AND(IF($M$9="Q11",LEFT(OFFSET(TH!G$1,SMALL(Dong2,ROWS($1:36)),),3)=$M$9,LEFT(OFFSET(TH!G$1,SMALL(Dong2,ROWS($1:36)),),2)=$M$9),OFFSET(TH!N$1,SMALL(Dong2,ROWS($1:36)),)=$I$6),IF($I$6="1121",OFFSET(TH!M$1,SMALL(Dong2,ROWS($1:36)),),OFFSET(TH!K$1,SMALL(Dong2,ROWS($1:36)),)),0))</f>
        <v/>
      </c>
      <c r="G47" s="924" t="str">
        <f ca="1">IF(ROWS($1:36)&gt;COUNT(Dong2),"",IF(AND(IF($M$9="Q11",RIGHT(OFFSET(TH!G$1,SMALL(Dong2,ROWS($1:36)),),3)=$M$9,RIGHT(OFFSET(TH!G$1,SMALL(Dong2,ROWS($1:36)),),2)=$M$9),OFFSET(TH!O$1,SMALL(Dong2,ROWS($1:36)),)=$I$6),IF($I$6="1121",OFFSET(TH!M$1,SMALL(Dong2,ROWS($1:36)),),OFFSET(TH!K$1,SMALL(Dong2,ROWS($1:36)),)),0))</f>
        <v/>
      </c>
      <c r="H47" s="746">
        <f t="shared" ca="1" si="1"/>
        <v>0</v>
      </c>
      <c r="I47" s="746"/>
      <c r="J47" s="179"/>
      <c r="K47" s="179"/>
      <c r="L47" s="179"/>
      <c r="M47" s="179"/>
      <c r="N47" s="179"/>
      <c r="O47" s="179"/>
      <c r="P47" s="179"/>
      <c r="Q47" s="179"/>
      <c r="R47" s="179"/>
      <c r="S47" s="179"/>
    </row>
    <row r="48" spans="1:19" ht="20.25" customHeight="1">
      <c r="A48" s="190" t="str">
        <f ca="1">IF(ROWS($1:37)&gt;COUNT(Dong2),"",OFFSET(TH!C$1,SMALL(Dong2,ROWS($1:37)),))</f>
        <v/>
      </c>
      <c r="B48" s="190" t="str">
        <f ca="1">IF(ROWS($1:37)&gt;COUNT(Dong2),"",OFFSET(TH!D$1,SMALL(Dong2,ROWS($1:37)),))</f>
        <v/>
      </c>
      <c r="C48" s="190" t="str">
        <f ca="1">IF(ROWS($1:37)&gt;COUNT(Dong2),"",OFFSET(TH!E$1,SMALL(Dong2,ROWS($1:37)),))</f>
        <v/>
      </c>
      <c r="D48" s="349" t="str">
        <f ca="1">IF(ROWS($1:37)&gt;COUNT(Dong2),"",OFFSET(TH!F$1,SMALL(Dong2,ROWS($1:37)),))</f>
        <v/>
      </c>
      <c r="E48" s="190" t="str">
        <f ca="1">IF(ROWS($1:37)&gt;COUNT(Dong2),"",IF(OFFSET(TH!O$1,SMALL(Dong2,ROWS($1:37)),)=$I$6,OFFSET(TH!N$1,SMALL(Dong2,ROWS($1:37)),),OFFSET(TH!O$1,SMALL(Dong2,ROWS($1:37)),)))</f>
        <v/>
      </c>
      <c r="F48" s="924" t="str">
        <f ca="1">IF(ROWS($1:37)&gt;COUNT(Dong2),"",IF(AND(IF($M$9="Q11",LEFT(OFFSET(TH!G$1,SMALL(Dong2,ROWS($1:37)),),3)=$M$9,LEFT(OFFSET(TH!G$1,SMALL(Dong2,ROWS($1:37)),),2)=$M$9),OFFSET(TH!N$1,SMALL(Dong2,ROWS($1:37)),)=$I$6),IF($I$6="1121",OFFSET(TH!M$1,SMALL(Dong2,ROWS($1:37)),),OFFSET(TH!K$1,SMALL(Dong2,ROWS($1:37)),)),0))</f>
        <v/>
      </c>
      <c r="G48" s="924" t="str">
        <f ca="1">IF(ROWS($1:37)&gt;COUNT(Dong2),"",IF(AND(IF($M$9="Q11",RIGHT(OFFSET(TH!G$1,SMALL(Dong2,ROWS($1:37)),),3)=$M$9,RIGHT(OFFSET(TH!G$1,SMALL(Dong2,ROWS($1:37)),),2)=$M$9),OFFSET(TH!O$1,SMALL(Dong2,ROWS($1:37)),)=$I$6),IF($I$6="1121",OFFSET(TH!M$1,SMALL(Dong2,ROWS($1:37)),),OFFSET(TH!K$1,SMALL(Dong2,ROWS($1:37)),)),0))</f>
        <v/>
      </c>
      <c r="H48" s="746">
        <f t="shared" ref="H48:H55" ca="1" si="2">IF(A48&lt;&gt;"",H47+F48-G48,0)</f>
        <v>0</v>
      </c>
      <c r="I48" s="746"/>
      <c r="J48" s="179"/>
      <c r="K48" s="179"/>
      <c r="L48" s="179"/>
      <c r="M48" s="179"/>
      <c r="N48" s="179"/>
      <c r="O48" s="179"/>
      <c r="P48" s="179"/>
      <c r="Q48" s="179"/>
      <c r="R48" s="179"/>
      <c r="S48" s="179"/>
    </row>
    <row r="49" spans="1:19" ht="20.25" customHeight="1">
      <c r="A49" s="190" t="str">
        <f ca="1">IF(ROWS($1:38)&gt;COUNT(Dong2),"",OFFSET(TH!C$1,SMALL(Dong2,ROWS($1:38)),))</f>
        <v/>
      </c>
      <c r="B49" s="190" t="str">
        <f ca="1">IF(ROWS($1:38)&gt;COUNT(Dong2),"",OFFSET(TH!D$1,SMALL(Dong2,ROWS($1:38)),))</f>
        <v/>
      </c>
      <c r="C49" s="190" t="str">
        <f ca="1">IF(ROWS($1:38)&gt;COUNT(Dong2),"",OFFSET(TH!E$1,SMALL(Dong2,ROWS($1:38)),))</f>
        <v/>
      </c>
      <c r="D49" s="349" t="str">
        <f ca="1">IF(ROWS($1:38)&gt;COUNT(Dong2),"",OFFSET(TH!F$1,SMALL(Dong2,ROWS($1:38)),))</f>
        <v/>
      </c>
      <c r="E49" s="190" t="str">
        <f ca="1">IF(ROWS($1:38)&gt;COUNT(Dong2),"",IF(OFFSET(TH!O$1,SMALL(Dong2,ROWS($1:38)),)=$I$6,OFFSET(TH!N$1,SMALL(Dong2,ROWS($1:38)),),OFFSET(TH!O$1,SMALL(Dong2,ROWS($1:38)),)))</f>
        <v/>
      </c>
      <c r="F49" s="924" t="str">
        <f ca="1">IF(ROWS($1:38)&gt;COUNT(Dong2),"",IF(AND(IF($M$9="Q11",LEFT(OFFSET(TH!G$1,SMALL(Dong2,ROWS($1:38)),),3)=$M$9,LEFT(OFFSET(TH!G$1,SMALL(Dong2,ROWS($1:38)),),2)=$M$9),OFFSET(TH!N$1,SMALL(Dong2,ROWS($1:38)),)=$I$6),IF($I$6="1121",OFFSET(TH!M$1,SMALL(Dong2,ROWS($1:38)),),OFFSET(TH!K$1,SMALL(Dong2,ROWS($1:38)),)),0))</f>
        <v/>
      </c>
      <c r="G49" s="924" t="str">
        <f ca="1">IF(ROWS($1:38)&gt;COUNT(Dong2),"",IF(AND(IF($M$9="Q11",RIGHT(OFFSET(TH!G$1,SMALL(Dong2,ROWS($1:38)),),3)=$M$9,RIGHT(OFFSET(TH!G$1,SMALL(Dong2,ROWS($1:38)),),2)=$M$9),OFFSET(TH!O$1,SMALL(Dong2,ROWS($1:38)),)=$I$6),IF($I$6="1121",OFFSET(TH!M$1,SMALL(Dong2,ROWS($1:38)),),OFFSET(TH!K$1,SMALL(Dong2,ROWS($1:38)),)),0))</f>
        <v/>
      </c>
      <c r="H49" s="746">
        <f t="shared" ca="1" si="2"/>
        <v>0</v>
      </c>
      <c r="I49" s="746"/>
      <c r="J49" s="179"/>
      <c r="K49" s="179"/>
      <c r="L49" s="179"/>
      <c r="M49" s="179"/>
      <c r="N49" s="179"/>
      <c r="O49" s="179"/>
      <c r="P49" s="179"/>
      <c r="Q49" s="179"/>
      <c r="R49" s="179"/>
      <c r="S49" s="179"/>
    </row>
    <row r="50" spans="1:19" ht="20.25" customHeight="1">
      <c r="A50" s="190" t="str">
        <f ca="1">IF(ROWS($1:39)&gt;COUNT(Dong2),"",OFFSET(TH!C$1,SMALL(Dong2,ROWS($1:39)),))</f>
        <v/>
      </c>
      <c r="B50" s="190" t="str">
        <f ca="1">IF(ROWS($1:39)&gt;COUNT(Dong2),"",OFFSET(TH!D$1,SMALL(Dong2,ROWS($1:39)),))</f>
        <v/>
      </c>
      <c r="C50" s="190" t="str">
        <f ca="1">IF(ROWS($1:39)&gt;COUNT(Dong2),"",OFFSET(TH!E$1,SMALL(Dong2,ROWS($1:39)),))</f>
        <v/>
      </c>
      <c r="D50" s="349" t="str">
        <f ca="1">IF(ROWS($1:39)&gt;COUNT(Dong2),"",OFFSET(TH!F$1,SMALL(Dong2,ROWS($1:39)),))</f>
        <v/>
      </c>
      <c r="E50" s="190" t="str">
        <f ca="1">IF(ROWS($1:39)&gt;COUNT(Dong2),"",IF(OFFSET(TH!O$1,SMALL(Dong2,ROWS($1:39)),)=$I$6,OFFSET(TH!N$1,SMALL(Dong2,ROWS($1:39)),),OFFSET(TH!O$1,SMALL(Dong2,ROWS($1:39)),)))</f>
        <v/>
      </c>
      <c r="F50" s="924" t="str">
        <f ca="1">IF(ROWS($1:39)&gt;COUNT(Dong2),"",IF(AND(IF($M$9="Q11",LEFT(OFFSET(TH!G$1,SMALL(Dong2,ROWS($1:39)),),3)=$M$9,LEFT(OFFSET(TH!G$1,SMALL(Dong2,ROWS($1:39)),),2)=$M$9),OFFSET(TH!N$1,SMALL(Dong2,ROWS($1:39)),)=$I$6),IF($I$6="1121",OFFSET(TH!M$1,SMALL(Dong2,ROWS($1:39)),),OFFSET(TH!K$1,SMALL(Dong2,ROWS($1:39)),)),0))</f>
        <v/>
      </c>
      <c r="G50" s="924" t="str">
        <f ca="1">IF(ROWS($1:39)&gt;COUNT(Dong2),"",IF(AND(IF($M$9="Q11",RIGHT(OFFSET(TH!G$1,SMALL(Dong2,ROWS($1:39)),),3)=$M$9,RIGHT(OFFSET(TH!G$1,SMALL(Dong2,ROWS($1:39)),),2)=$M$9),OFFSET(TH!O$1,SMALL(Dong2,ROWS($1:39)),)=$I$6),IF($I$6="1121",OFFSET(TH!M$1,SMALL(Dong2,ROWS($1:39)),),OFFSET(TH!K$1,SMALL(Dong2,ROWS($1:39)),)),0))</f>
        <v/>
      </c>
      <c r="H50" s="746">
        <f t="shared" ca="1" si="2"/>
        <v>0</v>
      </c>
      <c r="I50" s="746"/>
      <c r="J50" s="179"/>
      <c r="K50" s="179"/>
      <c r="L50" s="179"/>
      <c r="M50" s="179"/>
      <c r="N50" s="179"/>
      <c r="O50" s="179"/>
      <c r="P50" s="179"/>
      <c r="Q50" s="179"/>
      <c r="R50" s="179"/>
      <c r="S50" s="179"/>
    </row>
    <row r="51" spans="1:19" ht="20.25" customHeight="1">
      <c r="A51" s="190" t="str">
        <f ca="1">IF(ROWS($1:40)&gt;COUNT(Dong2),"",OFFSET(TH!C$1,SMALL(Dong2,ROWS($1:40)),))</f>
        <v/>
      </c>
      <c r="B51" s="190" t="str">
        <f ca="1">IF(ROWS($1:40)&gt;COUNT(Dong2),"",OFFSET(TH!D$1,SMALL(Dong2,ROWS($1:40)),))</f>
        <v/>
      </c>
      <c r="C51" s="190" t="str">
        <f ca="1">IF(ROWS($1:40)&gt;COUNT(Dong2),"",OFFSET(TH!E$1,SMALL(Dong2,ROWS($1:40)),))</f>
        <v/>
      </c>
      <c r="D51" s="349" t="str">
        <f ca="1">IF(ROWS($1:40)&gt;COUNT(Dong2),"",OFFSET(TH!F$1,SMALL(Dong2,ROWS($1:40)),))</f>
        <v/>
      </c>
      <c r="E51" s="190" t="str">
        <f ca="1">IF(ROWS($1:40)&gt;COUNT(Dong2),"",IF(OFFSET(TH!O$1,SMALL(Dong2,ROWS($1:40)),)=$I$6,OFFSET(TH!N$1,SMALL(Dong2,ROWS($1:40)),),OFFSET(TH!O$1,SMALL(Dong2,ROWS($1:40)),)))</f>
        <v/>
      </c>
      <c r="F51" s="924" t="str">
        <f ca="1">IF(ROWS($1:40)&gt;COUNT(Dong2),"",IF(AND(IF($M$9="Q11",LEFT(OFFSET(TH!G$1,SMALL(Dong2,ROWS($1:40)),),3)=$M$9,LEFT(OFFSET(TH!G$1,SMALL(Dong2,ROWS($1:40)),),2)=$M$9),OFFSET(TH!N$1,SMALL(Dong2,ROWS($1:40)),)=$I$6),IF($I$6="1121",OFFSET(TH!M$1,SMALL(Dong2,ROWS($1:40)),),OFFSET(TH!K$1,SMALL(Dong2,ROWS($1:40)),)),0))</f>
        <v/>
      </c>
      <c r="G51" s="924" t="str">
        <f ca="1">IF(ROWS($1:40)&gt;COUNT(Dong2),"",IF(AND(IF($M$9="Q11",RIGHT(OFFSET(TH!G$1,SMALL(Dong2,ROWS($1:40)),),3)=$M$9,RIGHT(OFFSET(TH!G$1,SMALL(Dong2,ROWS($1:40)),),2)=$M$9),OFFSET(TH!O$1,SMALL(Dong2,ROWS($1:40)),)=$I$6),IF($I$6="1121",OFFSET(TH!M$1,SMALL(Dong2,ROWS($1:40)),),OFFSET(TH!K$1,SMALL(Dong2,ROWS($1:40)),)),0))</f>
        <v/>
      </c>
      <c r="H51" s="746">
        <f t="shared" ca="1" si="2"/>
        <v>0</v>
      </c>
      <c r="I51" s="746"/>
      <c r="J51" s="179"/>
      <c r="K51" s="179"/>
      <c r="L51" s="179"/>
      <c r="M51" s="179"/>
      <c r="N51" s="179"/>
      <c r="O51" s="179"/>
      <c r="P51" s="179"/>
      <c r="Q51" s="179"/>
      <c r="R51" s="179"/>
      <c r="S51" s="179"/>
    </row>
    <row r="52" spans="1:19" ht="20.25" customHeight="1">
      <c r="A52" s="190" t="str">
        <f ca="1">IF(ROWS($1:41)&gt;COUNT(Dong2),"",OFFSET(TH!C$1,SMALL(Dong2,ROWS($1:41)),))</f>
        <v/>
      </c>
      <c r="B52" s="190" t="str">
        <f ca="1">IF(ROWS($1:41)&gt;COUNT(Dong2),"",OFFSET(TH!D$1,SMALL(Dong2,ROWS($1:41)),))</f>
        <v/>
      </c>
      <c r="C52" s="190" t="str">
        <f ca="1">IF(ROWS($1:41)&gt;COUNT(Dong2),"",OFFSET(TH!E$1,SMALL(Dong2,ROWS($1:41)),))</f>
        <v/>
      </c>
      <c r="D52" s="349" t="str">
        <f ca="1">IF(ROWS($1:41)&gt;COUNT(Dong2),"",OFFSET(TH!F$1,SMALL(Dong2,ROWS($1:41)),))</f>
        <v/>
      </c>
      <c r="E52" s="190" t="str">
        <f ca="1">IF(ROWS($1:41)&gt;COUNT(Dong2),"",IF(OFFSET(TH!O$1,SMALL(Dong2,ROWS($1:41)),)=$I$6,OFFSET(TH!N$1,SMALL(Dong2,ROWS($1:41)),),OFFSET(TH!O$1,SMALL(Dong2,ROWS($1:41)),)))</f>
        <v/>
      </c>
      <c r="F52" s="924" t="str">
        <f ca="1">IF(ROWS($1:41)&gt;COUNT(Dong2),"",IF(AND(IF($M$9="Q11",LEFT(OFFSET(TH!G$1,SMALL(Dong2,ROWS($1:41)),),3)=$M$9,LEFT(OFFSET(TH!G$1,SMALL(Dong2,ROWS($1:41)),),2)=$M$9),OFFSET(TH!N$1,SMALL(Dong2,ROWS($1:41)),)=$I$6),IF($I$6="1121",OFFSET(TH!M$1,SMALL(Dong2,ROWS($1:41)),),OFFSET(TH!K$1,SMALL(Dong2,ROWS($1:41)),)),0))</f>
        <v/>
      </c>
      <c r="G52" s="924" t="str">
        <f ca="1">IF(ROWS($1:41)&gt;COUNT(Dong2),"",IF(AND(IF($M$9="Q11",RIGHT(OFFSET(TH!G$1,SMALL(Dong2,ROWS($1:41)),),3)=$M$9,RIGHT(OFFSET(TH!G$1,SMALL(Dong2,ROWS($1:41)),),2)=$M$9),OFFSET(TH!O$1,SMALL(Dong2,ROWS($1:41)),)=$I$6),IF($I$6="1121",OFFSET(TH!M$1,SMALL(Dong2,ROWS($1:41)),),OFFSET(TH!K$1,SMALL(Dong2,ROWS($1:41)),)),0))</f>
        <v/>
      </c>
      <c r="H52" s="746">
        <f t="shared" ca="1" si="2"/>
        <v>0</v>
      </c>
      <c r="I52" s="746"/>
      <c r="J52" s="179"/>
      <c r="K52" s="179"/>
      <c r="L52" s="179"/>
      <c r="M52" s="179"/>
      <c r="N52" s="179"/>
      <c r="O52" s="179"/>
      <c r="P52" s="179"/>
      <c r="Q52" s="179"/>
      <c r="R52" s="179"/>
      <c r="S52" s="179"/>
    </row>
    <row r="53" spans="1:19" ht="20.25" customHeight="1">
      <c r="A53" s="190" t="str">
        <f ca="1">IF(ROWS($1:42)&gt;COUNT(Dong2),"",OFFSET(TH!C$1,SMALL(Dong2,ROWS($1:42)),))</f>
        <v/>
      </c>
      <c r="B53" s="190" t="str">
        <f ca="1">IF(ROWS($1:42)&gt;COUNT(Dong2),"",OFFSET(TH!D$1,SMALL(Dong2,ROWS($1:42)),))</f>
        <v/>
      </c>
      <c r="C53" s="190" t="str">
        <f ca="1">IF(ROWS($1:42)&gt;COUNT(Dong2),"",OFFSET(TH!E$1,SMALL(Dong2,ROWS($1:42)),))</f>
        <v/>
      </c>
      <c r="D53" s="349" t="str">
        <f ca="1">IF(ROWS($1:42)&gt;COUNT(Dong2),"",OFFSET(TH!F$1,SMALL(Dong2,ROWS($1:42)),))</f>
        <v/>
      </c>
      <c r="E53" s="190" t="str">
        <f ca="1">IF(ROWS($1:42)&gt;COUNT(Dong2),"",IF(OFFSET(TH!O$1,SMALL(Dong2,ROWS($1:42)),)=$I$6,OFFSET(TH!N$1,SMALL(Dong2,ROWS($1:42)),),OFFSET(TH!O$1,SMALL(Dong2,ROWS($1:42)),)))</f>
        <v/>
      </c>
      <c r="F53" s="924" t="str">
        <f ca="1">IF(ROWS($1:42)&gt;COUNT(Dong2),"",IF(AND(IF($M$9="Q11",LEFT(OFFSET(TH!G$1,SMALL(Dong2,ROWS($1:42)),),3)=$M$9,LEFT(OFFSET(TH!G$1,SMALL(Dong2,ROWS($1:42)),),2)=$M$9),OFFSET(TH!N$1,SMALL(Dong2,ROWS($1:42)),)=$I$6),IF($I$6="1121",OFFSET(TH!M$1,SMALL(Dong2,ROWS($1:42)),),OFFSET(TH!K$1,SMALL(Dong2,ROWS($1:42)),)),0))</f>
        <v/>
      </c>
      <c r="G53" s="924" t="str">
        <f ca="1">IF(ROWS($1:42)&gt;COUNT(Dong2),"",IF(AND(IF($M$9="Q11",RIGHT(OFFSET(TH!G$1,SMALL(Dong2,ROWS($1:42)),),3)=$M$9,RIGHT(OFFSET(TH!G$1,SMALL(Dong2,ROWS($1:42)),),2)=$M$9),OFFSET(TH!O$1,SMALL(Dong2,ROWS($1:42)),)=$I$6),IF($I$6="1121",OFFSET(TH!M$1,SMALL(Dong2,ROWS($1:42)),),OFFSET(TH!K$1,SMALL(Dong2,ROWS($1:42)),)),0))</f>
        <v/>
      </c>
      <c r="H53" s="746">
        <f t="shared" ca="1" si="2"/>
        <v>0</v>
      </c>
      <c r="I53" s="746"/>
      <c r="J53" s="179"/>
      <c r="K53" s="179"/>
      <c r="L53" s="179"/>
      <c r="M53" s="179"/>
      <c r="N53" s="179"/>
      <c r="O53" s="179"/>
      <c r="P53" s="179"/>
      <c r="Q53" s="179"/>
      <c r="R53" s="179"/>
      <c r="S53" s="179"/>
    </row>
    <row r="54" spans="1:19" ht="20.25" customHeight="1">
      <c r="A54" s="190" t="str">
        <f ca="1">IF(ROWS($1:43)&gt;COUNT(Dong2),"",OFFSET(TH!C$1,SMALL(Dong2,ROWS($1:43)),))</f>
        <v/>
      </c>
      <c r="B54" s="190" t="str">
        <f ca="1">IF(ROWS($1:43)&gt;COUNT(Dong2),"",OFFSET(TH!D$1,SMALL(Dong2,ROWS($1:43)),))</f>
        <v/>
      </c>
      <c r="C54" s="190" t="str">
        <f ca="1">IF(ROWS($1:43)&gt;COUNT(Dong2),"",OFFSET(TH!E$1,SMALL(Dong2,ROWS($1:43)),))</f>
        <v/>
      </c>
      <c r="D54" s="349" t="str">
        <f ca="1">IF(ROWS($1:43)&gt;COUNT(Dong2),"",OFFSET(TH!F$1,SMALL(Dong2,ROWS($1:43)),))</f>
        <v/>
      </c>
      <c r="E54" s="190" t="str">
        <f ca="1">IF(ROWS($1:43)&gt;COUNT(Dong2),"",IF(OFFSET(TH!O$1,SMALL(Dong2,ROWS($1:43)),)=$I$6,OFFSET(TH!N$1,SMALL(Dong2,ROWS($1:43)),),OFFSET(TH!O$1,SMALL(Dong2,ROWS($1:43)),)))</f>
        <v/>
      </c>
      <c r="F54" s="924" t="str">
        <f ca="1">IF(ROWS($1:43)&gt;COUNT(Dong2),"",IF(AND(IF($M$9="Q11",LEFT(OFFSET(TH!G$1,SMALL(Dong2,ROWS($1:43)),),3)=$M$9,LEFT(OFFSET(TH!G$1,SMALL(Dong2,ROWS($1:43)),),2)=$M$9),OFFSET(TH!N$1,SMALL(Dong2,ROWS($1:43)),)=$I$6),IF($I$6="1121",OFFSET(TH!M$1,SMALL(Dong2,ROWS($1:43)),),OFFSET(TH!K$1,SMALL(Dong2,ROWS($1:43)),)),0))</f>
        <v/>
      </c>
      <c r="G54" s="924" t="str">
        <f ca="1">IF(ROWS($1:43)&gt;COUNT(Dong2),"",IF(AND(IF($M$9="Q11",RIGHT(OFFSET(TH!G$1,SMALL(Dong2,ROWS($1:43)),),3)=$M$9,RIGHT(OFFSET(TH!G$1,SMALL(Dong2,ROWS($1:43)),),2)=$M$9),OFFSET(TH!O$1,SMALL(Dong2,ROWS($1:43)),)=$I$6),IF($I$6="1121",OFFSET(TH!M$1,SMALL(Dong2,ROWS($1:43)),),OFFSET(TH!K$1,SMALL(Dong2,ROWS($1:43)),)),0))</f>
        <v/>
      </c>
      <c r="H54" s="746">
        <f t="shared" ca="1" si="2"/>
        <v>0</v>
      </c>
      <c r="I54" s="746"/>
      <c r="J54" s="179"/>
      <c r="K54" s="179"/>
      <c r="L54" s="179"/>
      <c r="M54" s="179"/>
      <c r="N54" s="179"/>
      <c r="O54" s="179"/>
      <c r="P54" s="179"/>
      <c r="Q54" s="179"/>
      <c r="R54" s="179"/>
      <c r="S54" s="179"/>
    </row>
    <row r="55" spans="1:19" ht="20.25" customHeight="1">
      <c r="A55" s="190" t="str">
        <f ca="1">IF(ROWS($1:44)&gt;COUNT(Dong2),"",OFFSET(TH!C$1,SMALL(Dong2,ROWS($1:44)),))</f>
        <v/>
      </c>
      <c r="B55" s="190" t="str">
        <f ca="1">IF(ROWS($1:44)&gt;COUNT(Dong2),"",OFFSET(TH!D$1,SMALL(Dong2,ROWS($1:44)),))</f>
        <v/>
      </c>
      <c r="C55" s="190" t="str">
        <f ca="1">IF(ROWS($1:44)&gt;COUNT(Dong2),"",OFFSET(TH!E$1,SMALL(Dong2,ROWS($1:44)),))</f>
        <v/>
      </c>
      <c r="D55" s="349" t="str">
        <f ca="1">IF(ROWS($1:44)&gt;COUNT(Dong2),"",OFFSET(TH!F$1,SMALL(Dong2,ROWS($1:44)),))</f>
        <v/>
      </c>
      <c r="E55" s="190" t="str">
        <f ca="1">IF(ROWS($1:44)&gt;COUNT(Dong2),"",IF(OFFSET(TH!O$1,SMALL(Dong2,ROWS($1:44)),)=$I$6,OFFSET(TH!N$1,SMALL(Dong2,ROWS($1:44)),),OFFSET(TH!O$1,SMALL(Dong2,ROWS($1:44)),)))</f>
        <v/>
      </c>
      <c r="F55" s="924" t="str">
        <f ca="1">IF(ROWS($1:44)&gt;COUNT(Dong2),"",IF(AND(IF($M$9="Q11",LEFT(OFFSET(TH!G$1,SMALL(Dong2,ROWS($1:44)),),3)=$M$9,LEFT(OFFSET(TH!G$1,SMALL(Dong2,ROWS($1:44)),),2)=$M$9),OFFSET(TH!N$1,SMALL(Dong2,ROWS($1:44)),)=$I$6),IF($I$6="1121",OFFSET(TH!M$1,SMALL(Dong2,ROWS($1:44)),),OFFSET(TH!K$1,SMALL(Dong2,ROWS($1:44)),)),0))</f>
        <v/>
      </c>
      <c r="G55" s="924" t="str">
        <f ca="1">IF(ROWS($1:44)&gt;COUNT(Dong2),"",IF(AND(IF($M$9="Q11",RIGHT(OFFSET(TH!G$1,SMALL(Dong2,ROWS($1:44)),),3)=$M$9,RIGHT(OFFSET(TH!G$1,SMALL(Dong2,ROWS($1:44)),),2)=$M$9),OFFSET(TH!O$1,SMALL(Dong2,ROWS($1:44)),)=$I$6),IF($I$6="1121",OFFSET(TH!M$1,SMALL(Dong2,ROWS($1:44)),),OFFSET(TH!K$1,SMALL(Dong2,ROWS($1:44)),)),0))</f>
        <v/>
      </c>
      <c r="H55" s="746">
        <f t="shared" ca="1" si="2"/>
        <v>0</v>
      </c>
      <c r="I55" s="746"/>
      <c r="J55" s="179"/>
      <c r="K55" s="179"/>
      <c r="L55" s="179"/>
      <c r="M55" s="179"/>
      <c r="N55" s="179"/>
      <c r="O55" s="179"/>
      <c r="P55" s="179"/>
      <c r="Q55" s="179"/>
      <c r="R55" s="179"/>
      <c r="S55" s="179"/>
    </row>
    <row r="56" spans="1:19" ht="20.25" customHeight="1">
      <c r="A56" s="190" t="str">
        <f ca="1">IF(ROWS($1:45)&gt;COUNT(Dong2),"",OFFSET(TH!C$1,SMALL(Dong2,ROWS($1:45)),))</f>
        <v/>
      </c>
      <c r="B56" s="190" t="str">
        <f ca="1">IF(ROWS($1:45)&gt;COUNT(Dong2),"",OFFSET(TH!D$1,SMALL(Dong2,ROWS($1:45)),))</f>
        <v/>
      </c>
      <c r="C56" s="190" t="str">
        <f ca="1">IF(ROWS($1:45)&gt;COUNT(Dong2),"",OFFSET(TH!E$1,SMALL(Dong2,ROWS($1:45)),))</f>
        <v/>
      </c>
      <c r="D56" s="349" t="str">
        <f ca="1">IF(ROWS($1:45)&gt;COUNT(Dong2),"",OFFSET(TH!F$1,SMALL(Dong2,ROWS($1:45)),))</f>
        <v/>
      </c>
      <c r="E56" s="190" t="str">
        <f ca="1">IF(ROWS($1:45)&gt;COUNT(Dong2),"",IF(OFFSET(TH!O$1,SMALL(Dong2,ROWS($1:45)),)=$I$6,OFFSET(TH!N$1,SMALL(Dong2,ROWS($1:45)),),OFFSET(TH!O$1,SMALL(Dong2,ROWS($1:45)),)))</f>
        <v/>
      </c>
      <c r="F56" s="924" t="str">
        <f ca="1">IF(ROWS($1:45)&gt;COUNT(Dong2),"",IF(AND(IF($M$9="Q11",LEFT(OFFSET(TH!G$1,SMALL(Dong2,ROWS($1:45)),),3)=$M$9,LEFT(OFFSET(TH!G$1,SMALL(Dong2,ROWS($1:45)),),2)=$M$9),OFFSET(TH!N$1,SMALL(Dong2,ROWS($1:45)),)=$I$6),IF($I$6="1121",OFFSET(TH!M$1,SMALL(Dong2,ROWS($1:45)),),OFFSET(TH!K$1,SMALL(Dong2,ROWS($1:45)),)),0))</f>
        <v/>
      </c>
      <c r="G56" s="924" t="str">
        <f ca="1">IF(ROWS($1:45)&gt;COUNT(Dong2),"",IF(AND(IF($M$9="Q11",RIGHT(OFFSET(TH!G$1,SMALL(Dong2,ROWS($1:45)),),3)=$M$9,RIGHT(OFFSET(TH!G$1,SMALL(Dong2,ROWS($1:45)),),2)=$M$9),OFFSET(TH!O$1,SMALL(Dong2,ROWS($1:45)),)=$I$6),IF($I$6="1121",OFFSET(TH!M$1,SMALL(Dong2,ROWS($1:45)),),OFFSET(TH!K$1,SMALL(Dong2,ROWS($1:45)),)),0))</f>
        <v/>
      </c>
      <c r="H56" s="746">
        <f t="shared" ref="H56:H83" ca="1" si="3">IF(A56&lt;&gt;"",H55+F56-G56,0)</f>
        <v>0</v>
      </c>
      <c r="I56" s="746"/>
      <c r="J56" s="179"/>
      <c r="K56" s="179"/>
      <c r="L56" s="179"/>
      <c r="M56" s="179"/>
      <c r="N56" s="179"/>
      <c r="O56" s="179"/>
      <c r="P56" s="179"/>
      <c r="Q56" s="179"/>
      <c r="R56" s="179"/>
      <c r="S56" s="179"/>
    </row>
    <row r="57" spans="1:19" ht="20.25" customHeight="1">
      <c r="A57" s="190" t="str">
        <f ca="1">IF(ROWS($1:46)&gt;COUNT(Dong2),"",OFFSET(TH!C$1,SMALL(Dong2,ROWS($1:46)),))</f>
        <v/>
      </c>
      <c r="B57" s="190" t="str">
        <f ca="1">IF(ROWS($1:46)&gt;COUNT(Dong2),"",OFFSET(TH!D$1,SMALL(Dong2,ROWS($1:46)),))</f>
        <v/>
      </c>
      <c r="C57" s="190" t="str">
        <f ca="1">IF(ROWS($1:46)&gt;COUNT(Dong2),"",OFFSET(TH!E$1,SMALL(Dong2,ROWS($1:46)),))</f>
        <v/>
      </c>
      <c r="D57" s="349" t="str">
        <f ca="1">IF(ROWS($1:46)&gt;COUNT(Dong2),"",OFFSET(TH!F$1,SMALL(Dong2,ROWS($1:46)),))</f>
        <v/>
      </c>
      <c r="E57" s="190" t="str">
        <f ca="1">IF(ROWS($1:46)&gt;COUNT(Dong2),"",IF(OFFSET(TH!O$1,SMALL(Dong2,ROWS($1:46)),)=$I$6,OFFSET(TH!N$1,SMALL(Dong2,ROWS($1:46)),),OFFSET(TH!O$1,SMALL(Dong2,ROWS($1:46)),)))</f>
        <v/>
      </c>
      <c r="F57" s="924" t="str">
        <f ca="1">IF(ROWS($1:46)&gt;COUNT(Dong2),"",IF(AND(IF($M$9="Q11",LEFT(OFFSET(TH!G$1,SMALL(Dong2,ROWS($1:46)),),3)=$M$9,LEFT(OFFSET(TH!G$1,SMALL(Dong2,ROWS($1:46)),),2)=$M$9),OFFSET(TH!N$1,SMALL(Dong2,ROWS($1:46)),)=$I$6),IF($I$6="1121",OFFSET(TH!M$1,SMALL(Dong2,ROWS($1:46)),),OFFSET(TH!K$1,SMALL(Dong2,ROWS($1:46)),)),0))</f>
        <v/>
      </c>
      <c r="G57" s="924" t="str">
        <f ca="1">IF(ROWS($1:46)&gt;COUNT(Dong2),"",IF(AND(IF($M$9="Q11",RIGHT(OFFSET(TH!G$1,SMALL(Dong2,ROWS($1:46)),),3)=$M$9,RIGHT(OFFSET(TH!G$1,SMALL(Dong2,ROWS($1:46)),),2)=$M$9),OFFSET(TH!O$1,SMALL(Dong2,ROWS($1:46)),)=$I$6),IF($I$6="1121",OFFSET(TH!M$1,SMALL(Dong2,ROWS($1:46)),),OFFSET(TH!K$1,SMALL(Dong2,ROWS($1:46)),)),0))</f>
        <v/>
      </c>
      <c r="H57" s="746">
        <f t="shared" ca="1" si="3"/>
        <v>0</v>
      </c>
      <c r="I57" s="746"/>
      <c r="J57" s="179"/>
      <c r="K57" s="179"/>
      <c r="L57" s="179"/>
      <c r="M57" s="179"/>
      <c r="N57" s="179"/>
      <c r="O57" s="179"/>
      <c r="P57" s="179"/>
      <c r="Q57" s="179"/>
      <c r="R57" s="179"/>
      <c r="S57" s="179"/>
    </row>
    <row r="58" spans="1:19" ht="20.25" customHeight="1">
      <c r="A58" s="190" t="str">
        <f ca="1">IF(ROWS($1:47)&gt;COUNT(Dong2),"",OFFSET(TH!C$1,SMALL(Dong2,ROWS($1:47)),))</f>
        <v/>
      </c>
      <c r="B58" s="190" t="str">
        <f ca="1">IF(ROWS($1:47)&gt;COUNT(Dong2),"",OFFSET(TH!D$1,SMALL(Dong2,ROWS($1:47)),))</f>
        <v/>
      </c>
      <c r="C58" s="190" t="str">
        <f ca="1">IF(ROWS($1:47)&gt;COUNT(Dong2),"",OFFSET(TH!E$1,SMALL(Dong2,ROWS($1:47)),))</f>
        <v/>
      </c>
      <c r="D58" s="349" t="str">
        <f ca="1">IF(ROWS($1:47)&gt;COUNT(Dong2),"",OFFSET(TH!F$1,SMALL(Dong2,ROWS($1:47)),))</f>
        <v/>
      </c>
      <c r="E58" s="190" t="str">
        <f ca="1">IF(ROWS($1:47)&gt;COUNT(Dong2),"",IF(OFFSET(TH!O$1,SMALL(Dong2,ROWS($1:47)),)=$I$6,OFFSET(TH!N$1,SMALL(Dong2,ROWS($1:47)),),OFFSET(TH!O$1,SMALL(Dong2,ROWS($1:47)),)))</f>
        <v/>
      </c>
      <c r="F58" s="924" t="str">
        <f ca="1">IF(ROWS($1:47)&gt;COUNT(Dong2),"",IF(AND(IF($M$9="Q11",LEFT(OFFSET(TH!G$1,SMALL(Dong2,ROWS($1:47)),),3)=$M$9,LEFT(OFFSET(TH!G$1,SMALL(Dong2,ROWS($1:47)),),2)=$M$9),OFFSET(TH!N$1,SMALL(Dong2,ROWS($1:47)),)=$I$6),IF($I$6="1121",OFFSET(TH!M$1,SMALL(Dong2,ROWS($1:47)),),OFFSET(TH!K$1,SMALL(Dong2,ROWS($1:47)),)),0))</f>
        <v/>
      </c>
      <c r="G58" s="924" t="str">
        <f ca="1">IF(ROWS($1:47)&gt;COUNT(Dong2),"",IF(AND(IF($M$9="Q11",RIGHT(OFFSET(TH!G$1,SMALL(Dong2,ROWS($1:47)),),3)=$M$9,RIGHT(OFFSET(TH!G$1,SMALL(Dong2,ROWS($1:47)),),2)=$M$9),OFFSET(TH!O$1,SMALL(Dong2,ROWS($1:47)),)=$I$6),IF($I$6="1121",OFFSET(TH!M$1,SMALL(Dong2,ROWS($1:47)),),OFFSET(TH!K$1,SMALL(Dong2,ROWS($1:47)),)),0))</f>
        <v/>
      </c>
      <c r="H58" s="746">
        <f t="shared" ca="1" si="3"/>
        <v>0</v>
      </c>
      <c r="I58" s="746"/>
      <c r="J58" s="179"/>
      <c r="K58" s="179"/>
      <c r="L58" s="179"/>
      <c r="M58" s="179"/>
      <c r="N58" s="179"/>
      <c r="O58" s="179"/>
      <c r="P58" s="179"/>
      <c r="Q58" s="179"/>
      <c r="R58" s="179"/>
      <c r="S58" s="179"/>
    </row>
    <row r="59" spans="1:19" ht="20.25" customHeight="1">
      <c r="A59" s="190" t="str">
        <f ca="1">IF(ROWS($1:48)&gt;COUNT(Dong2),"",OFFSET(TH!C$1,SMALL(Dong2,ROWS($1:48)),))</f>
        <v/>
      </c>
      <c r="B59" s="190" t="str">
        <f ca="1">IF(ROWS($1:48)&gt;COUNT(Dong2),"",OFFSET(TH!D$1,SMALL(Dong2,ROWS($1:48)),))</f>
        <v/>
      </c>
      <c r="C59" s="190" t="str">
        <f ca="1">IF(ROWS($1:48)&gt;COUNT(Dong2),"",OFFSET(TH!E$1,SMALL(Dong2,ROWS($1:48)),))</f>
        <v/>
      </c>
      <c r="D59" s="349" t="str">
        <f ca="1">IF(ROWS($1:48)&gt;COUNT(Dong2),"",OFFSET(TH!F$1,SMALL(Dong2,ROWS($1:48)),))</f>
        <v/>
      </c>
      <c r="E59" s="190" t="str">
        <f ca="1">IF(ROWS($1:48)&gt;COUNT(Dong2),"",IF(OFFSET(TH!O$1,SMALL(Dong2,ROWS($1:48)),)=$I$6,OFFSET(TH!N$1,SMALL(Dong2,ROWS($1:48)),),OFFSET(TH!O$1,SMALL(Dong2,ROWS($1:48)),)))</f>
        <v/>
      </c>
      <c r="F59" s="924" t="str">
        <f ca="1">IF(ROWS($1:48)&gt;COUNT(Dong2),"",IF(AND(IF($M$9="Q11",LEFT(OFFSET(TH!G$1,SMALL(Dong2,ROWS($1:48)),),3)=$M$9,LEFT(OFFSET(TH!G$1,SMALL(Dong2,ROWS($1:48)),),2)=$M$9),OFFSET(TH!N$1,SMALL(Dong2,ROWS($1:48)),)=$I$6),IF($I$6="1121",OFFSET(TH!M$1,SMALL(Dong2,ROWS($1:48)),),OFFSET(TH!K$1,SMALL(Dong2,ROWS($1:48)),)),0))</f>
        <v/>
      </c>
      <c r="G59" s="924" t="str">
        <f ca="1">IF(ROWS($1:48)&gt;COUNT(Dong2),"",IF(AND(IF($M$9="Q11",RIGHT(OFFSET(TH!G$1,SMALL(Dong2,ROWS($1:48)),),3)=$M$9,RIGHT(OFFSET(TH!G$1,SMALL(Dong2,ROWS($1:48)),),2)=$M$9),OFFSET(TH!O$1,SMALL(Dong2,ROWS($1:48)),)=$I$6),IF($I$6="1121",OFFSET(TH!M$1,SMALL(Dong2,ROWS($1:48)),),OFFSET(TH!K$1,SMALL(Dong2,ROWS($1:48)),)),0))</f>
        <v/>
      </c>
      <c r="H59" s="746">
        <f t="shared" ca="1" si="3"/>
        <v>0</v>
      </c>
      <c r="I59" s="746"/>
      <c r="J59" s="179"/>
      <c r="K59" s="179"/>
      <c r="L59" s="179"/>
      <c r="M59" s="179"/>
      <c r="N59" s="179"/>
      <c r="O59" s="179"/>
      <c r="P59" s="179"/>
      <c r="Q59" s="179"/>
      <c r="R59" s="179"/>
      <c r="S59" s="179"/>
    </row>
    <row r="60" spans="1:19" ht="20.25" customHeight="1">
      <c r="A60" s="190" t="str">
        <f ca="1">IF(ROWS($1:49)&gt;COUNT(Dong2),"",OFFSET(TH!C$1,SMALL(Dong2,ROWS($1:49)),))</f>
        <v/>
      </c>
      <c r="B60" s="190" t="str">
        <f ca="1">IF(ROWS($1:49)&gt;COUNT(Dong2),"",OFFSET(TH!D$1,SMALL(Dong2,ROWS($1:49)),))</f>
        <v/>
      </c>
      <c r="C60" s="190" t="str">
        <f ca="1">IF(ROWS($1:49)&gt;COUNT(Dong2),"",OFFSET(TH!E$1,SMALL(Dong2,ROWS($1:49)),))</f>
        <v/>
      </c>
      <c r="D60" s="349" t="str">
        <f ca="1">IF(ROWS($1:49)&gt;COUNT(Dong2),"",OFFSET(TH!F$1,SMALL(Dong2,ROWS($1:49)),))</f>
        <v/>
      </c>
      <c r="E60" s="190" t="str">
        <f ca="1">IF(ROWS($1:49)&gt;COUNT(Dong2),"",IF(OFFSET(TH!O$1,SMALL(Dong2,ROWS($1:49)),)=$I$6,OFFSET(TH!N$1,SMALL(Dong2,ROWS($1:49)),),OFFSET(TH!O$1,SMALL(Dong2,ROWS($1:49)),)))</f>
        <v/>
      </c>
      <c r="F60" s="924" t="str">
        <f ca="1">IF(ROWS($1:49)&gt;COUNT(Dong2),"",IF(AND(IF($M$9="Q11",LEFT(OFFSET(TH!G$1,SMALL(Dong2,ROWS($1:49)),),3)=$M$9,LEFT(OFFSET(TH!G$1,SMALL(Dong2,ROWS($1:49)),),2)=$M$9),OFFSET(TH!N$1,SMALL(Dong2,ROWS($1:49)),)=$I$6),IF($I$6="1121",OFFSET(TH!M$1,SMALL(Dong2,ROWS($1:49)),),OFFSET(TH!K$1,SMALL(Dong2,ROWS($1:49)),)),0))</f>
        <v/>
      </c>
      <c r="G60" s="924" t="str">
        <f ca="1">IF(ROWS($1:49)&gt;COUNT(Dong2),"",IF(AND(IF($M$9="Q11",RIGHT(OFFSET(TH!G$1,SMALL(Dong2,ROWS($1:49)),),3)=$M$9,RIGHT(OFFSET(TH!G$1,SMALL(Dong2,ROWS($1:49)),),2)=$M$9),OFFSET(TH!O$1,SMALL(Dong2,ROWS($1:49)),)=$I$6),IF($I$6="1121",OFFSET(TH!M$1,SMALL(Dong2,ROWS($1:49)),),OFFSET(TH!K$1,SMALL(Dong2,ROWS($1:49)),)),0))</f>
        <v/>
      </c>
      <c r="H60" s="746">
        <f t="shared" ca="1" si="3"/>
        <v>0</v>
      </c>
      <c r="I60" s="746"/>
      <c r="J60" s="179"/>
      <c r="K60" s="179"/>
      <c r="L60" s="179"/>
      <c r="M60" s="179"/>
      <c r="N60" s="179"/>
      <c r="O60" s="179"/>
      <c r="P60" s="179"/>
      <c r="Q60" s="179"/>
      <c r="R60" s="179"/>
      <c r="S60" s="179"/>
    </row>
    <row r="61" spans="1:19" ht="20.25" customHeight="1">
      <c r="A61" s="190" t="str">
        <f ca="1">IF(ROWS($1:50)&gt;COUNT(Dong2),"",OFFSET(TH!C$1,SMALL(Dong2,ROWS($1:50)),))</f>
        <v/>
      </c>
      <c r="B61" s="190" t="str">
        <f ca="1">IF(ROWS($1:50)&gt;COUNT(Dong2),"",OFFSET(TH!D$1,SMALL(Dong2,ROWS($1:50)),))</f>
        <v/>
      </c>
      <c r="C61" s="190" t="str">
        <f ca="1">IF(ROWS($1:50)&gt;COUNT(Dong2),"",OFFSET(TH!E$1,SMALL(Dong2,ROWS($1:50)),))</f>
        <v/>
      </c>
      <c r="D61" s="349" t="str">
        <f ca="1">IF(ROWS($1:50)&gt;COUNT(Dong2),"",OFFSET(TH!F$1,SMALL(Dong2,ROWS($1:50)),))</f>
        <v/>
      </c>
      <c r="E61" s="190" t="str">
        <f ca="1">IF(ROWS($1:50)&gt;COUNT(Dong2),"",IF(OFFSET(TH!O$1,SMALL(Dong2,ROWS($1:50)),)=$I$6,OFFSET(TH!N$1,SMALL(Dong2,ROWS($1:50)),),OFFSET(TH!O$1,SMALL(Dong2,ROWS($1:50)),)))</f>
        <v/>
      </c>
      <c r="F61" s="924" t="str">
        <f ca="1">IF(ROWS($1:50)&gt;COUNT(Dong2),"",IF(AND(IF($M$9="Q11",LEFT(OFFSET(TH!G$1,SMALL(Dong2,ROWS($1:50)),),3)=$M$9,LEFT(OFFSET(TH!G$1,SMALL(Dong2,ROWS($1:50)),),2)=$M$9),OFFSET(TH!N$1,SMALL(Dong2,ROWS($1:50)),)=$I$6),IF($I$6="1121",OFFSET(TH!M$1,SMALL(Dong2,ROWS($1:50)),),OFFSET(TH!K$1,SMALL(Dong2,ROWS($1:50)),)),0))</f>
        <v/>
      </c>
      <c r="G61" s="924" t="str">
        <f ca="1">IF(ROWS($1:50)&gt;COUNT(Dong2),"",IF(AND(IF($M$9="Q11",RIGHT(OFFSET(TH!G$1,SMALL(Dong2,ROWS($1:50)),),3)=$M$9,RIGHT(OFFSET(TH!G$1,SMALL(Dong2,ROWS($1:50)),),2)=$M$9),OFFSET(TH!O$1,SMALL(Dong2,ROWS($1:50)),)=$I$6),IF($I$6="1121",OFFSET(TH!M$1,SMALL(Dong2,ROWS($1:50)),),OFFSET(TH!K$1,SMALL(Dong2,ROWS($1:50)),)),0))</f>
        <v/>
      </c>
      <c r="H61" s="746">
        <f t="shared" ca="1" si="3"/>
        <v>0</v>
      </c>
      <c r="I61" s="746"/>
      <c r="J61" s="179"/>
      <c r="K61" s="179"/>
      <c r="L61" s="179"/>
      <c r="M61" s="179"/>
      <c r="N61" s="179"/>
      <c r="O61" s="179"/>
      <c r="P61" s="179"/>
      <c r="Q61" s="179"/>
      <c r="R61" s="179"/>
      <c r="S61" s="179"/>
    </row>
    <row r="62" spans="1:19" ht="20.25" customHeight="1">
      <c r="A62" s="190" t="str">
        <f ca="1">IF(ROWS($1:51)&gt;COUNT(Dong2),"",OFFSET(TH!C$1,SMALL(Dong2,ROWS($1:51)),))</f>
        <v/>
      </c>
      <c r="B62" s="190" t="str">
        <f ca="1">IF(ROWS($1:51)&gt;COUNT(Dong2),"",OFFSET(TH!D$1,SMALL(Dong2,ROWS($1:51)),))</f>
        <v/>
      </c>
      <c r="C62" s="190" t="str">
        <f ca="1">IF(ROWS($1:51)&gt;COUNT(Dong2),"",OFFSET(TH!E$1,SMALL(Dong2,ROWS($1:51)),))</f>
        <v/>
      </c>
      <c r="D62" s="349" t="str">
        <f ca="1">IF(ROWS($1:51)&gt;COUNT(Dong2),"",OFFSET(TH!F$1,SMALL(Dong2,ROWS($1:51)),))</f>
        <v/>
      </c>
      <c r="E62" s="190" t="str">
        <f ca="1">IF(ROWS($1:51)&gt;COUNT(Dong2),"",IF(OFFSET(TH!O$1,SMALL(Dong2,ROWS($1:51)),)=$I$6,OFFSET(TH!N$1,SMALL(Dong2,ROWS($1:51)),),OFFSET(TH!O$1,SMALL(Dong2,ROWS($1:51)),)))</f>
        <v/>
      </c>
      <c r="F62" s="924" t="str">
        <f ca="1">IF(ROWS($1:51)&gt;COUNT(Dong2),"",IF(AND(IF($M$9="Q11",LEFT(OFFSET(TH!G$1,SMALL(Dong2,ROWS($1:51)),),3)=$M$9,LEFT(OFFSET(TH!G$1,SMALL(Dong2,ROWS($1:51)),),2)=$M$9),OFFSET(TH!N$1,SMALL(Dong2,ROWS($1:51)),)=$I$6),IF($I$6="1121",OFFSET(TH!M$1,SMALL(Dong2,ROWS($1:51)),),OFFSET(TH!K$1,SMALL(Dong2,ROWS($1:51)),)),0))</f>
        <v/>
      </c>
      <c r="G62" s="924" t="str">
        <f ca="1">IF(ROWS($1:51)&gt;COUNT(Dong2),"",IF(AND(IF($M$9="Q11",RIGHT(OFFSET(TH!G$1,SMALL(Dong2,ROWS($1:51)),),3)=$M$9,RIGHT(OFFSET(TH!G$1,SMALL(Dong2,ROWS($1:51)),),2)=$M$9),OFFSET(TH!O$1,SMALL(Dong2,ROWS($1:51)),)=$I$6),IF($I$6="1121",OFFSET(TH!M$1,SMALL(Dong2,ROWS($1:51)),),OFFSET(TH!K$1,SMALL(Dong2,ROWS($1:51)),)),0))</f>
        <v/>
      </c>
      <c r="H62" s="746">
        <f t="shared" ca="1" si="3"/>
        <v>0</v>
      </c>
      <c r="I62" s="746"/>
      <c r="J62" s="179"/>
      <c r="K62" s="179"/>
      <c r="L62" s="179"/>
      <c r="M62" s="179"/>
      <c r="N62" s="179"/>
      <c r="O62" s="179"/>
      <c r="P62" s="179"/>
      <c r="Q62" s="179"/>
      <c r="R62" s="179"/>
      <c r="S62" s="179"/>
    </row>
    <row r="63" spans="1:19" ht="20.25" customHeight="1">
      <c r="A63" s="190" t="str">
        <f ca="1">IF(ROWS($1:52)&gt;COUNT(Dong2),"",OFFSET(TH!C$1,SMALL(Dong2,ROWS($1:52)),))</f>
        <v/>
      </c>
      <c r="B63" s="190" t="str">
        <f ca="1">IF(ROWS($1:52)&gt;COUNT(Dong2),"",OFFSET(TH!D$1,SMALL(Dong2,ROWS($1:52)),))</f>
        <v/>
      </c>
      <c r="C63" s="190" t="str">
        <f ca="1">IF(ROWS($1:52)&gt;COUNT(Dong2),"",OFFSET(TH!E$1,SMALL(Dong2,ROWS($1:52)),))</f>
        <v/>
      </c>
      <c r="D63" s="349" t="str">
        <f ca="1">IF(ROWS($1:52)&gt;COUNT(Dong2),"",OFFSET(TH!F$1,SMALL(Dong2,ROWS($1:52)),))</f>
        <v/>
      </c>
      <c r="E63" s="190" t="str">
        <f ca="1">IF(ROWS($1:52)&gt;COUNT(Dong2),"",IF(OFFSET(TH!O$1,SMALL(Dong2,ROWS($1:52)),)=$I$6,OFFSET(TH!N$1,SMALL(Dong2,ROWS($1:52)),),OFFSET(TH!O$1,SMALL(Dong2,ROWS($1:52)),)))</f>
        <v/>
      </c>
      <c r="F63" s="924" t="str">
        <f ca="1">IF(ROWS($1:52)&gt;COUNT(Dong2),"",IF(AND(IF($M$9="Q11",LEFT(OFFSET(TH!G$1,SMALL(Dong2,ROWS($1:52)),),3)=$M$9,LEFT(OFFSET(TH!G$1,SMALL(Dong2,ROWS($1:52)),),2)=$M$9),OFFSET(TH!N$1,SMALL(Dong2,ROWS($1:52)),)=$I$6),IF($I$6="1121",OFFSET(TH!M$1,SMALL(Dong2,ROWS($1:52)),),OFFSET(TH!K$1,SMALL(Dong2,ROWS($1:52)),)),0))</f>
        <v/>
      </c>
      <c r="G63" s="924" t="str">
        <f ca="1">IF(ROWS($1:52)&gt;COUNT(Dong2),"",IF(AND(IF($M$9="Q11",RIGHT(OFFSET(TH!G$1,SMALL(Dong2,ROWS($1:52)),),3)=$M$9,RIGHT(OFFSET(TH!G$1,SMALL(Dong2,ROWS($1:52)),),2)=$M$9),OFFSET(TH!O$1,SMALL(Dong2,ROWS($1:52)),)=$I$6),IF($I$6="1121",OFFSET(TH!M$1,SMALL(Dong2,ROWS($1:52)),),OFFSET(TH!K$1,SMALL(Dong2,ROWS($1:52)),)),0))</f>
        <v/>
      </c>
      <c r="H63" s="746">
        <f t="shared" ca="1" si="3"/>
        <v>0</v>
      </c>
      <c r="I63" s="746"/>
      <c r="J63" s="179"/>
      <c r="K63" s="179"/>
      <c r="L63" s="179"/>
      <c r="M63" s="179"/>
      <c r="N63" s="179"/>
      <c r="O63" s="179"/>
      <c r="P63" s="179"/>
      <c r="Q63" s="179"/>
      <c r="R63" s="179"/>
      <c r="S63" s="179"/>
    </row>
    <row r="64" spans="1:19" ht="20.25" customHeight="1">
      <c r="A64" s="190" t="str">
        <f ca="1">IF(ROWS($1:53)&gt;COUNT(Dong2),"",OFFSET(TH!C$1,SMALL(Dong2,ROWS($1:53)),))</f>
        <v/>
      </c>
      <c r="B64" s="190" t="str">
        <f ca="1">IF(ROWS($1:53)&gt;COUNT(Dong2),"",OFFSET(TH!D$1,SMALL(Dong2,ROWS($1:53)),))</f>
        <v/>
      </c>
      <c r="C64" s="190" t="str">
        <f ca="1">IF(ROWS($1:53)&gt;COUNT(Dong2),"",OFFSET(TH!E$1,SMALL(Dong2,ROWS($1:53)),))</f>
        <v/>
      </c>
      <c r="D64" s="349" t="str">
        <f ca="1">IF(ROWS($1:53)&gt;COUNT(Dong2),"",OFFSET(TH!F$1,SMALL(Dong2,ROWS($1:53)),))</f>
        <v/>
      </c>
      <c r="E64" s="190" t="str">
        <f ca="1">IF(ROWS($1:53)&gt;COUNT(Dong2),"",IF(OFFSET(TH!O$1,SMALL(Dong2,ROWS($1:53)),)=$I$6,OFFSET(TH!N$1,SMALL(Dong2,ROWS($1:53)),),OFFSET(TH!O$1,SMALL(Dong2,ROWS($1:53)),)))</f>
        <v/>
      </c>
      <c r="F64" s="924" t="str">
        <f ca="1">IF(ROWS($1:53)&gt;COUNT(Dong2),"",IF(AND(IF($M$9="Q11",LEFT(OFFSET(TH!G$1,SMALL(Dong2,ROWS($1:53)),),3)=$M$9,LEFT(OFFSET(TH!G$1,SMALL(Dong2,ROWS($1:53)),),2)=$M$9),OFFSET(TH!N$1,SMALL(Dong2,ROWS($1:53)),)=$I$6),IF($I$6="1121",OFFSET(TH!M$1,SMALL(Dong2,ROWS($1:53)),),OFFSET(TH!K$1,SMALL(Dong2,ROWS($1:53)),)),0))</f>
        <v/>
      </c>
      <c r="G64" s="924" t="str">
        <f ca="1">IF(ROWS($1:53)&gt;COUNT(Dong2),"",IF(AND(IF($M$9="Q11",RIGHT(OFFSET(TH!G$1,SMALL(Dong2,ROWS($1:53)),),3)=$M$9,RIGHT(OFFSET(TH!G$1,SMALL(Dong2,ROWS($1:53)),),2)=$M$9),OFFSET(TH!O$1,SMALL(Dong2,ROWS($1:53)),)=$I$6),IF($I$6="1121",OFFSET(TH!M$1,SMALL(Dong2,ROWS($1:53)),),OFFSET(TH!K$1,SMALL(Dong2,ROWS($1:53)),)),0))</f>
        <v/>
      </c>
      <c r="H64" s="746">
        <f t="shared" ca="1" si="3"/>
        <v>0</v>
      </c>
      <c r="I64" s="746"/>
      <c r="J64" s="179"/>
      <c r="K64" s="179"/>
      <c r="L64" s="179"/>
      <c r="M64" s="179"/>
      <c r="N64" s="179"/>
      <c r="O64" s="179"/>
      <c r="P64" s="179"/>
      <c r="Q64" s="179"/>
      <c r="R64" s="179"/>
      <c r="S64" s="179"/>
    </row>
    <row r="65" spans="1:19" ht="20.25" customHeight="1">
      <c r="A65" s="190" t="str">
        <f ca="1">IF(ROWS($1:54)&gt;COUNT(Dong2),"",OFFSET(TH!C$1,SMALL(Dong2,ROWS($1:54)),))</f>
        <v/>
      </c>
      <c r="B65" s="190" t="str">
        <f ca="1">IF(ROWS($1:54)&gt;COUNT(Dong2),"",OFFSET(TH!D$1,SMALL(Dong2,ROWS($1:54)),))</f>
        <v/>
      </c>
      <c r="C65" s="190" t="str">
        <f ca="1">IF(ROWS($1:54)&gt;COUNT(Dong2),"",OFFSET(TH!E$1,SMALL(Dong2,ROWS($1:54)),))</f>
        <v/>
      </c>
      <c r="D65" s="349" t="str">
        <f ca="1">IF(ROWS($1:54)&gt;COUNT(Dong2),"",OFFSET(TH!F$1,SMALL(Dong2,ROWS($1:54)),))</f>
        <v/>
      </c>
      <c r="E65" s="190" t="str">
        <f ca="1">IF(ROWS($1:54)&gt;COUNT(Dong2),"",IF(OFFSET(TH!O$1,SMALL(Dong2,ROWS($1:54)),)=$I$6,OFFSET(TH!N$1,SMALL(Dong2,ROWS($1:54)),),OFFSET(TH!O$1,SMALL(Dong2,ROWS($1:54)),)))</f>
        <v/>
      </c>
      <c r="F65" s="924" t="str">
        <f ca="1">IF(ROWS($1:54)&gt;COUNT(Dong2),"",IF(AND(IF($M$9="Q11",LEFT(OFFSET(TH!G$1,SMALL(Dong2,ROWS($1:54)),),3)=$M$9,LEFT(OFFSET(TH!G$1,SMALL(Dong2,ROWS($1:54)),),2)=$M$9),OFFSET(TH!N$1,SMALL(Dong2,ROWS($1:54)),)=$I$6),IF($I$6="1121",OFFSET(TH!M$1,SMALL(Dong2,ROWS($1:54)),),OFFSET(TH!K$1,SMALL(Dong2,ROWS($1:54)),)),0))</f>
        <v/>
      </c>
      <c r="G65" s="924" t="str">
        <f ca="1">IF(ROWS($1:54)&gt;COUNT(Dong2),"",IF(AND(IF($M$9="Q11",RIGHT(OFFSET(TH!G$1,SMALL(Dong2,ROWS($1:54)),),3)=$M$9,RIGHT(OFFSET(TH!G$1,SMALL(Dong2,ROWS($1:54)),),2)=$M$9),OFFSET(TH!O$1,SMALL(Dong2,ROWS($1:54)),)=$I$6),IF($I$6="1121",OFFSET(TH!M$1,SMALL(Dong2,ROWS($1:54)),),OFFSET(TH!K$1,SMALL(Dong2,ROWS($1:54)),)),0))</f>
        <v/>
      </c>
      <c r="H65" s="746">
        <f t="shared" ca="1" si="3"/>
        <v>0</v>
      </c>
      <c r="I65" s="746"/>
      <c r="J65" s="179"/>
      <c r="K65" s="179"/>
      <c r="L65" s="179"/>
      <c r="M65" s="179"/>
      <c r="N65" s="179"/>
      <c r="O65" s="179"/>
      <c r="P65" s="179"/>
      <c r="Q65" s="179"/>
      <c r="R65" s="179"/>
      <c r="S65" s="179"/>
    </row>
    <row r="66" spans="1:19" ht="20.25" customHeight="1">
      <c r="A66" s="190" t="str">
        <f ca="1">IF(ROWS($1:55)&gt;COUNT(Dong2),"",OFFSET(TH!C$1,SMALL(Dong2,ROWS($1:55)),))</f>
        <v/>
      </c>
      <c r="B66" s="190" t="str">
        <f ca="1">IF(ROWS($1:55)&gt;COUNT(Dong2),"",OFFSET(TH!D$1,SMALL(Dong2,ROWS($1:55)),))</f>
        <v/>
      </c>
      <c r="C66" s="190" t="str">
        <f ca="1">IF(ROWS($1:55)&gt;COUNT(Dong2),"",OFFSET(TH!E$1,SMALL(Dong2,ROWS($1:55)),))</f>
        <v/>
      </c>
      <c r="D66" s="349" t="str">
        <f ca="1">IF(ROWS($1:55)&gt;COUNT(Dong2),"",OFFSET(TH!F$1,SMALL(Dong2,ROWS($1:55)),))</f>
        <v/>
      </c>
      <c r="E66" s="190" t="str">
        <f ca="1">IF(ROWS($1:55)&gt;COUNT(Dong2),"",IF(OFFSET(TH!O$1,SMALL(Dong2,ROWS($1:55)),)=$I$6,OFFSET(TH!N$1,SMALL(Dong2,ROWS($1:55)),),OFFSET(TH!O$1,SMALL(Dong2,ROWS($1:55)),)))</f>
        <v/>
      </c>
      <c r="F66" s="924" t="str">
        <f ca="1">IF(ROWS($1:55)&gt;COUNT(Dong2),"",IF(AND(IF($M$9="Q11",LEFT(OFFSET(TH!G$1,SMALL(Dong2,ROWS($1:55)),),3)=$M$9,LEFT(OFFSET(TH!G$1,SMALL(Dong2,ROWS($1:55)),),2)=$M$9),OFFSET(TH!N$1,SMALL(Dong2,ROWS($1:55)),)=$I$6),IF($I$6="1121",OFFSET(TH!M$1,SMALL(Dong2,ROWS($1:55)),),OFFSET(TH!K$1,SMALL(Dong2,ROWS($1:55)),)),0))</f>
        <v/>
      </c>
      <c r="G66" s="924" t="str">
        <f ca="1">IF(ROWS($1:55)&gt;COUNT(Dong2),"",IF(AND(IF($M$9="Q11",RIGHT(OFFSET(TH!G$1,SMALL(Dong2,ROWS($1:55)),),3)=$M$9,RIGHT(OFFSET(TH!G$1,SMALL(Dong2,ROWS($1:55)),),2)=$M$9),OFFSET(TH!O$1,SMALL(Dong2,ROWS($1:55)),)=$I$6),IF($I$6="1121",OFFSET(TH!M$1,SMALL(Dong2,ROWS($1:55)),),OFFSET(TH!K$1,SMALL(Dong2,ROWS($1:55)),)),0))</f>
        <v/>
      </c>
      <c r="H66" s="746">
        <f t="shared" ca="1" si="3"/>
        <v>0</v>
      </c>
      <c r="I66" s="746"/>
      <c r="J66" s="179"/>
      <c r="K66" s="179"/>
      <c r="L66" s="179"/>
      <c r="M66" s="179"/>
      <c r="N66" s="179"/>
      <c r="O66" s="179"/>
      <c r="P66" s="179"/>
      <c r="Q66" s="179"/>
      <c r="R66" s="179"/>
      <c r="S66" s="179"/>
    </row>
    <row r="67" spans="1:19" ht="20.25" customHeight="1">
      <c r="A67" s="190" t="str">
        <f ca="1">IF(ROWS($1:56)&gt;COUNT(Dong2),"",OFFSET(TH!C$1,SMALL(Dong2,ROWS($1:56)),))</f>
        <v/>
      </c>
      <c r="B67" s="190" t="str">
        <f ca="1">IF(ROWS($1:56)&gt;COUNT(Dong2),"",OFFSET(TH!D$1,SMALL(Dong2,ROWS($1:56)),))</f>
        <v/>
      </c>
      <c r="C67" s="190" t="str">
        <f ca="1">IF(ROWS($1:56)&gt;COUNT(Dong2),"",OFFSET(TH!E$1,SMALL(Dong2,ROWS($1:56)),))</f>
        <v/>
      </c>
      <c r="D67" s="349" t="str">
        <f ca="1">IF(ROWS($1:56)&gt;COUNT(Dong2),"",OFFSET(TH!F$1,SMALL(Dong2,ROWS($1:56)),))</f>
        <v/>
      </c>
      <c r="E67" s="190" t="str">
        <f ca="1">IF(ROWS($1:56)&gt;COUNT(Dong2),"",IF(OFFSET(TH!O$1,SMALL(Dong2,ROWS($1:56)),)=$I$6,OFFSET(TH!N$1,SMALL(Dong2,ROWS($1:56)),),OFFSET(TH!O$1,SMALL(Dong2,ROWS($1:56)),)))</f>
        <v/>
      </c>
      <c r="F67" s="924" t="str">
        <f ca="1">IF(ROWS($1:56)&gt;COUNT(Dong2),"",IF(AND(IF($M$9="Q11",LEFT(OFFSET(TH!G$1,SMALL(Dong2,ROWS($1:56)),),3)=$M$9,LEFT(OFFSET(TH!G$1,SMALL(Dong2,ROWS($1:56)),),2)=$M$9),OFFSET(TH!N$1,SMALL(Dong2,ROWS($1:56)),)=$I$6),IF($I$6="1121",OFFSET(TH!M$1,SMALL(Dong2,ROWS($1:56)),),OFFSET(TH!K$1,SMALL(Dong2,ROWS($1:56)),)),0))</f>
        <v/>
      </c>
      <c r="G67" s="924" t="str">
        <f ca="1">IF(ROWS($1:56)&gt;COUNT(Dong2),"",IF(AND(IF($M$9="Q11",RIGHT(OFFSET(TH!G$1,SMALL(Dong2,ROWS($1:56)),),3)=$M$9,RIGHT(OFFSET(TH!G$1,SMALL(Dong2,ROWS($1:56)),),2)=$M$9),OFFSET(TH!O$1,SMALL(Dong2,ROWS($1:56)),)=$I$6),IF($I$6="1121",OFFSET(TH!M$1,SMALL(Dong2,ROWS($1:56)),),OFFSET(TH!K$1,SMALL(Dong2,ROWS($1:56)),)),0))</f>
        <v/>
      </c>
      <c r="H67" s="746">
        <f t="shared" ca="1" si="3"/>
        <v>0</v>
      </c>
      <c r="I67" s="746"/>
      <c r="J67" s="179"/>
      <c r="K67" s="179"/>
      <c r="L67" s="179"/>
      <c r="M67" s="179"/>
      <c r="N67" s="179"/>
      <c r="O67" s="179"/>
      <c r="P67" s="179"/>
      <c r="Q67" s="179"/>
      <c r="R67" s="179"/>
      <c r="S67" s="179"/>
    </row>
    <row r="68" spans="1:19" ht="20.25" customHeight="1">
      <c r="A68" s="190" t="str">
        <f ca="1">IF(ROWS($1:57)&gt;COUNT(Dong2),"",OFFSET(TH!C$1,SMALL(Dong2,ROWS($1:57)),))</f>
        <v/>
      </c>
      <c r="B68" s="190" t="str">
        <f ca="1">IF(ROWS($1:57)&gt;COUNT(Dong2),"",OFFSET(TH!D$1,SMALL(Dong2,ROWS($1:57)),))</f>
        <v/>
      </c>
      <c r="C68" s="190" t="str">
        <f ca="1">IF(ROWS($1:57)&gt;COUNT(Dong2),"",OFFSET(TH!E$1,SMALL(Dong2,ROWS($1:57)),))</f>
        <v/>
      </c>
      <c r="D68" s="349" t="str">
        <f ca="1">IF(ROWS($1:57)&gt;COUNT(Dong2),"",OFFSET(TH!F$1,SMALL(Dong2,ROWS($1:57)),))</f>
        <v/>
      </c>
      <c r="E68" s="190" t="str">
        <f ca="1">IF(ROWS($1:57)&gt;COUNT(Dong2),"",IF(OFFSET(TH!O$1,SMALL(Dong2,ROWS($1:57)),)=$I$6,OFFSET(TH!N$1,SMALL(Dong2,ROWS($1:57)),),OFFSET(TH!O$1,SMALL(Dong2,ROWS($1:57)),)))</f>
        <v/>
      </c>
      <c r="F68" s="924" t="str">
        <f ca="1">IF(ROWS($1:57)&gt;COUNT(Dong2),"",IF(AND(IF($M$9="Q11",LEFT(OFFSET(TH!G$1,SMALL(Dong2,ROWS($1:57)),),3)=$M$9,LEFT(OFFSET(TH!G$1,SMALL(Dong2,ROWS($1:57)),),2)=$M$9),OFFSET(TH!N$1,SMALL(Dong2,ROWS($1:57)),)=$I$6),IF($I$6="1121",OFFSET(TH!M$1,SMALL(Dong2,ROWS($1:57)),),OFFSET(TH!K$1,SMALL(Dong2,ROWS($1:57)),)),0))</f>
        <v/>
      </c>
      <c r="G68" s="924" t="str">
        <f ca="1">IF(ROWS($1:57)&gt;COUNT(Dong2),"",IF(AND(IF($M$9="Q11",RIGHT(OFFSET(TH!G$1,SMALL(Dong2,ROWS($1:57)),),3)=$M$9,RIGHT(OFFSET(TH!G$1,SMALL(Dong2,ROWS($1:57)),),2)=$M$9),OFFSET(TH!O$1,SMALL(Dong2,ROWS($1:57)),)=$I$6),IF($I$6="1121",OFFSET(TH!M$1,SMALL(Dong2,ROWS($1:57)),),OFFSET(TH!K$1,SMALL(Dong2,ROWS($1:57)),)),0))</f>
        <v/>
      </c>
      <c r="H68" s="746">
        <f t="shared" ca="1" si="3"/>
        <v>0</v>
      </c>
      <c r="I68" s="746"/>
      <c r="J68" s="179"/>
      <c r="K68" s="179"/>
      <c r="L68" s="179"/>
      <c r="M68" s="179"/>
      <c r="N68" s="179"/>
      <c r="O68" s="179"/>
      <c r="P68" s="179"/>
      <c r="Q68" s="179"/>
      <c r="R68" s="179"/>
      <c r="S68" s="179"/>
    </row>
    <row r="69" spans="1:19" ht="20.25" customHeight="1">
      <c r="A69" s="190" t="str">
        <f ca="1">IF(ROWS($1:58)&gt;COUNT(Dong2),"",OFFSET(TH!C$1,SMALL(Dong2,ROWS($1:58)),))</f>
        <v/>
      </c>
      <c r="B69" s="190" t="str">
        <f ca="1">IF(ROWS($1:58)&gt;COUNT(Dong2),"",OFFSET(TH!D$1,SMALL(Dong2,ROWS($1:58)),))</f>
        <v/>
      </c>
      <c r="C69" s="190" t="str">
        <f ca="1">IF(ROWS($1:58)&gt;COUNT(Dong2),"",OFFSET(TH!E$1,SMALL(Dong2,ROWS($1:58)),))</f>
        <v/>
      </c>
      <c r="D69" s="349" t="str">
        <f ca="1">IF(ROWS($1:58)&gt;COUNT(Dong2),"",OFFSET(TH!F$1,SMALL(Dong2,ROWS($1:58)),))</f>
        <v/>
      </c>
      <c r="E69" s="190" t="str">
        <f ca="1">IF(ROWS($1:58)&gt;COUNT(Dong2),"",IF(OFFSET(TH!O$1,SMALL(Dong2,ROWS($1:58)),)=$I$6,OFFSET(TH!N$1,SMALL(Dong2,ROWS($1:58)),),OFFSET(TH!O$1,SMALL(Dong2,ROWS($1:58)),)))</f>
        <v/>
      </c>
      <c r="F69" s="924" t="str">
        <f ca="1">IF(ROWS($1:58)&gt;COUNT(Dong2),"",IF(AND(IF($M$9="Q11",LEFT(OFFSET(TH!G$1,SMALL(Dong2,ROWS($1:58)),),3)=$M$9,LEFT(OFFSET(TH!G$1,SMALL(Dong2,ROWS($1:58)),),2)=$M$9),OFFSET(TH!N$1,SMALL(Dong2,ROWS($1:58)),)=$I$6),IF($I$6="1121",OFFSET(TH!M$1,SMALL(Dong2,ROWS($1:58)),),OFFSET(TH!K$1,SMALL(Dong2,ROWS($1:58)),)),0))</f>
        <v/>
      </c>
      <c r="G69" s="924" t="str">
        <f ca="1">IF(ROWS($1:58)&gt;COUNT(Dong2),"",IF(AND(IF($M$9="Q11",RIGHT(OFFSET(TH!G$1,SMALL(Dong2,ROWS($1:58)),),3)=$M$9,RIGHT(OFFSET(TH!G$1,SMALL(Dong2,ROWS($1:58)),),2)=$M$9),OFFSET(TH!O$1,SMALL(Dong2,ROWS($1:58)),)=$I$6),IF($I$6="1121",OFFSET(TH!M$1,SMALL(Dong2,ROWS($1:58)),),OFFSET(TH!K$1,SMALL(Dong2,ROWS($1:58)),)),0))</f>
        <v/>
      </c>
      <c r="H69" s="746">
        <f t="shared" ca="1" si="3"/>
        <v>0</v>
      </c>
      <c r="I69" s="746"/>
      <c r="J69" s="179"/>
      <c r="K69" s="179"/>
      <c r="L69" s="179"/>
      <c r="M69" s="179"/>
      <c r="N69" s="179"/>
      <c r="O69" s="179"/>
      <c r="P69" s="179"/>
      <c r="Q69" s="179"/>
      <c r="R69" s="179"/>
      <c r="S69" s="179"/>
    </row>
    <row r="70" spans="1:19" ht="20.25" customHeight="1">
      <c r="A70" s="190" t="str">
        <f ca="1">IF(ROWS($1:59)&gt;COUNT(Dong2),"",OFFSET(TH!C$1,SMALL(Dong2,ROWS($1:59)),))</f>
        <v/>
      </c>
      <c r="B70" s="190" t="str">
        <f ca="1">IF(ROWS($1:59)&gt;COUNT(Dong2),"",OFFSET(TH!D$1,SMALL(Dong2,ROWS($1:59)),))</f>
        <v/>
      </c>
      <c r="C70" s="190" t="str">
        <f ca="1">IF(ROWS($1:59)&gt;COUNT(Dong2),"",OFFSET(TH!E$1,SMALL(Dong2,ROWS($1:59)),))</f>
        <v/>
      </c>
      <c r="D70" s="349" t="str">
        <f ca="1">IF(ROWS($1:59)&gt;COUNT(Dong2),"",OFFSET(TH!F$1,SMALL(Dong2,ROWS($1:59)),))</f>
        <v/>
      </c>
      <c r="E70" s="190" t="str">
        <f ca="1">IF(ROWS($1:59)&gt;COUNT(Dong2),"",IF(OFFSET(TH!O$1,SMALL(Dong2,ROWS($1:59)),)=$I$6,OFFSET(TH!N$1,SMALL(Dong2,ROWS($1:59)),),OFFSET(TH!O$1,SMALL(Dong2,ROWS($1:59)),)))</f>
        <v/>
      </c>
      <c r="F70" s="924" t="str">
        <f ca="1">IF(ROWS($1:59)&gt;COUNT(Dong2),"",IF(AND(IF($M$9="Q11",LEFT(OFFSET(TH!G$1,SMALL(Dong2,ROWS($1:59)),),3)=$M$9,LEFT(OFFSET(TH!G$1,SMALL(Dong2,ROWS($1:59)),),2)=$M$9),OFFSET(TH!N$1,SMALL(Dong2,ROWS($1:59)),)=$I$6),IF($I$6="1121",OFFSET(TH!M$1,SMALL(Dong2,ROWS($1:59)),),OFFSET(TH!K$1,SMALL(Dong2,ROWS($1:59)),)),0))</f>
        <v/>
      </c>
      <c r="G70" s="924" t="str">
        <f ca="1">IF(ROWS($1:59)&gt;COUNT(Dong2),"",IF(AND(IF($M$9="Q11",RIGHT(OFFSET(TH!G$1,SMALL(Dong2,ROWS($1:59)),),3)=$M$9,RIGHT(OFFSET(TH!G$1,SMALL(Dong2,ROWS($1:59)),),2)=$M$9),OFFSET(TH!O$1,SMALL(Dong2,ROWS($1:59)),)=$I$6),IF($I$6="1121",OFFSET(TH!M$1,SMALL(Dong2,ROWS($1:59)),),OFFSET(TH!K$1,SMALL(Dong2,ROWS($1:59)),)),0))</f>
        <v/>
      </c>
      <c r="H70" s="746">
        <f t="shared" ca="1" si="3"/>
        <v>0</v>
      </c>
      <c r="I70" s="746"/>
      <c r="J70" s="179"/>
      <c r="K70" s="179"/>
      <c r="L70" s="179"/>
      <c r="M70" s="179"/>
      <c r="N70" s="179"/>
      <c r="O70" s="179"/>
      <c r="P70" s="179"/>
      <c r="Q70" s="179"/>
      <c r="R70" s="179"/>
      <c r="S70" s="179"/>
    </row>
    <row r="71" spans="1:19" ht="20.25" customHeight="1">
      <c r="A71" s="190" t="str">
        <f ca="1">IF(ROWS($1:60)&gt;COUNT(Dong2),"",OFFSET(TH!C$1,SMALL(Dong2,ROWS($1:60)),))</f>
        <v/>
      </c>
      <c r="B71" s="190" t="str">
        <f ca="1">IF(ROWS($1:60)&gt;COUNT(Dong2),"",OFFSET(TH!D$1,SMALL(Dong2,ROWS($1:60)),))</f>
        <v/>
      </c>
      <c r="C71" s="190" t="str">
        <f ca="1">IF(ROWS($1:60)&gt;COUNT(Dong2),"",OFFSET(TH!E$1,SMALL(Dong2,ROWS($1:60)),))</f>
        <v/>
      </c>
      <c r="D71" s="349" t="str">
        <f ca="1">IF(ROWS($1:60)&gt;COUNT(Dong2),"",OFFSET(TH!F$1,SMALL(Dong2,ROWS($1:60)),))</f>
        <v/>
      </c>
      <c r="E71" s="190" t="str">
        <f ca="1">IF(ROWS($1:60)&gt;COUNT(Dong2),"",IF(OFFSET(TH!O$1,SMALL(Dong2,ROWS($1:60)),)=$I$6,OFFSET(TH!N$1,SMALL(Dong2,ROWS($1:60)),),OFFSET(TH!O$1,SMALL(Dong2,ROWS($1:60)),)))</f>
        <v/>
      </c>
      <c r="F71" s="924" t="str">
        <f ca="1">IF(ROWS($1:60)&gt;COUNT(Dong2),"",IF(AND(IF($M$9="Q11",LEFT(OFFSET(TH!G$1,SMALL(Dong2,ROWS($1:60)),),3)=$M$9,LEFT(OFFSET(TH!G$1,SMALL(Dong2,ROWS($1:60)),),2)=$M$9),OFFSET(TH!N$1,SMALL(Dong2,ROWS($1:60)),)=$I$6),IF($I$6="1121",OFFSET(TH!M$1,SMALL(Dong2,ROWS($1:60)),),OFFSET(TH!K$1,SMALL(Dong2,ROWS($1:60)),)),0))</f>
        <v/>
      </c>
      <c r="G71" s="924" t="str">
        <f ca="1">IF(ROWS($1:60)&gt;COUNT(Dong2),"",IF(AND(IF($M$9="Q11",RIGHT(OFFSET(TH!G$1,SMALL(Dong2,ROWS($1:60)),),3)=$M$9,RIGHT(OFFSET(TH!G$1,SMALL(Dong2,ROWS($1:60)),),2)=$M$9),OFFSET(TH!O$1,SMALL(Dong2,ROWS($1:60)),)=$I$6),IF($I$6="1121",OFFSET(TH!M$1,SMALL(Dong2,ROWS($1:60)),),OFFSET(TH!K$1,SMALL(Dong2,ROWS($1:60)),)),0))</f>
        <v/>
      </c>
      <c r="H71" s="746">
        <f t="shared" ca="1" si="3"/>
        <v>0</v>
      </c>
      <c r="I71" s="746"/>
      <c r="J71" s="179"/>
      <c r="K71" s="179"/>
      <c r="L71" s="179"/>
      <c r="M71" s="179"/>
      <c r="N71" s="179"/>
      <c r="O71" s="179"/>
      <c r="P71" s="179"/>
      <c r="Q71" s="179"/>
      <c r="R71" s="179"/>
      <c r="S71" s="179"/>
    </row>
    <row r="72" spans="1:19" ht="20.25" customHeight="1">
      <c r="A72" s="190" t="str">
        <f ca="1">IF(ROWS($1:61)&gt;COUNT(Dong2),"",OFFSET(TH!C$1,SMALL(Dong2,ROWS($1:61)),))</f>
        <v/>
      </c>
      <c r="B72" s="190" t="str">
        <f ca="1">IF(ROWS($1:61)&gt;COUNT(Dong2),"",OFFSET(TH!D$1,SMALL(Dong2,ROWS($1:61)),))</f>
        <v/>
      </c>
      <c r="C72" s="190" t="str">
        <f ca="1">IF(ROWS($1:61)&gt;COUNT(Dong2),"",OFFSET(TH!E$1,SMALL(Dong2,ROWS($1:61)),))</f>
        <v/>
      </c>
      <c r="D72" s="349" t="str">
        <f ca="1">IF(ROWS($1:61)&gt;COUNT(Dong2),"",OFFSET(TH!F$1,SMALL(Dong2,ROWS($1:61)),))</f>
        <v/>
      </c>
      <c r="E72" s="190" t="str">
        <f ca="1">IF(ROWS($1:61)&gt;COUNT(Dong2),"",IF(OFFSET(TH!O$1,SMALL(Dong2,ROWS($1:61)),)=$I$6,OFFSET(TH!N$1,SMALL(Dong2,ROWS($1:61)),),OFFSET(TH!O$1,SMALL(Dong2,ROWS($1:61)),)))</f>
        <v/>
      </c>
      <c r="F72" s="924" t="str">
        <f ca="1">IF(ROWS($1:61)&gt;COUNT(Dong2),"",IF(AND(IF($M$9="Q11",LEFT(OFFSET(TH!G$1,SMALL(Dong2,ROWS($1:61)),),3)=$M$9,LEFT(OFFSET(TH!G$1,SMALL(Dong2,ROWS($1:61)),),2)=$M$9),OFFSET(TH!N$1,SMALL(Dong2,ROWS($1:61)),)=$I$6),IF($I$6="1121",OFFSET(TH!M$1,SMALL(Dong2,ROWS($1:61)),),OFFSET(TH!K$1,SMALL(Dong2,ROWS($1:61)),)),0))</f>
        <v/>
      </c>
      <c r="G72" s="924" t="str">
        <f ca="1">IF(ROWS($1:61)&gt;COUNT(Dong2),"",IF(AND(IF($M$9="Q11",RIGHT(OFFSET(TH!G$1,SMALL(Dong2,ROWS($1:61)),),3)=$M$9,RIGHT(OFFSET(TH!G$1,SMALL(Dong2,ROWS($1:61)),),2)=$M$9),OFFSET(TH!O$1,SMALL(Dong2,ROWS($1:61)),)=$I$6),IF($I$6="1121",OFFSET(TH!M$1,SMALL(Dong2,ROWS($1:61)),),OFFSET(TH!K$1,SMALL(Dong2,ROWS($1:61)),)),0))</f>
        <v/>
      </c>
      <c r="H72" s="746">
        <f t="shared" ca="1" si="3"/>
        <v>0</v>
      </c>
      <c r="I72" s="746"/>
      <c r="J72" s="179"/>
      <c r="K72" s="179"/>
      <c r="L72" s="179"/>
      <c r="M72" s="179"/>
      <c r="N72" s="179"/>
      <c r="O72" s="179"/>
      <c r="P72" s="179"/>
      <c r="Q72" s="179"/>
      <c r="R72" s="179"/>
      <c r="S72" s="179"/>
    </row>
    <row r="73" spans="1:19" ht="20.25" customHeight="1">
      <c r="A73" s="190" t="str">
        <f ca="1">IF(ROWS($1:62)&gt;COUNT(Dong2),"",OFFSET(TH!C$1,SMALL(Dong2,ROWS($1:62)),))</f>
        <v/>
      </c>
      <c r="B73" s="190" t="str">
        <f ca="1">IF(ROWS($1:62)&gt;COUNT(Dong2),"",OFFSET(TH!D$1,SMALL(Dong2,ROWS($1:62)),))</f>
        <v/>
      </c>
      <c r="C73" s="190" t="str">
        <f ca="1">IF(ROWS($1:62)&gt;COUNT(Dong2),"",OFFSET(TH!E$1,SMALL(Dong2,ROWS($1:62)),))</f>
        <v/>
      </c>
      <c r="D73" s="349" t="str">
        <f ca="1">IF(ROWS($1:62)&gt;COUNT(Dong2),"",OFFSET(TH!F$1,SMALL(Dong2,ROWS($1:62)),))</f>
        <v/>
      </c>
      <c r="E73" s="190" t="str">
        <f ca="1">IF(ROWS($1:62)&gt;COUNT(Dong2),"",IF(OFFSET(TH!O$1,SMALL(Dong2,ROWS($1:62)),)=$I$6,OFFSET(TH!N$1,SMALL(Dong2,ROWS($1:62)),),OFFSET(TH!O$1,SMALL(Dong2,ROWS($1:62)),)))</f>
        <v/>
      </c>
      <c r="F73" s="924" t="str">
        <f ca="1">IF(ROWS($1:62)&gt;COUNT(Dong2),"",IF(AND(IF($M$9="Q11",LEFT(OFFSET(TH!G$1,SMALL(Dong2,ROWS($1:62)),),3)=$M$9,LEFT(OFFSET(TH!G$1,SMALL(Dong2,ROWS($1:62)),),2)=$M$9),OFFSET(TH!N$1,SMALL(Dong2,ROWS($1:62)),)=$I$6),IF($I$6="1121",OFFSET(TH!M$1,SMALL(Dong2,ROWS($1:62)),),OFFSET(TH!K$1,SMALL(Dong2,ROWS($1:62)),)),0))</f>
        <v/>
      </c>
      <c r="G73" s="924" t="str">
        <f ca="1">IF(ROWS($1:62)&gt;COUNT(Dong2),"",IF(AND(IF($M$9="Q11",RIGHT(OFFSET(TH!G$1,SMALL(Dong2,ROWS($1:62)),),3)=$M$9,RIGHT(OFFSET(TH!G$1,SMALL(Dong2,ROWS($1:62)),),2)=$M$9),OFFSET(TH!O$1,SMALL(Dong2,ROWS($1:62)),)=$I$6),IF($I$6="1121",OFFSET(TH!M$1,SMALL(Dong2,ROWS($1:62)),),OFFSET(TH!K$1,SMALL(Dong2,ROWS($1:62)),)),0))</f>
        <v/>
      </c>
      <c r="H73" s="746">
        <f t="shared" ca="1" si="3"/>
        <v>0</v>
      </c>
      <c r="I73" s="746"/>
      <c r="J73" s="179"/>
      <c r="K73" s="179"/>
      <c r="L73" s="179"/>
      <c r="M73" s="179"/>
      <c r="N73" s="179"/>
      <c r="O73" s="179"/>
      <c r="P73" s="179"/>
      <c r="Q73" s="179"/>
      <c r="R73" s="179"/>
      <c r="S73" s="179"/>
    </row>
    <row r="74" spans="1:19" ht="20.25" customHeight="1">
      <c r="A74" s="190" t="str">
        <f ca="1">IF(ROWS($1:63)&gt;COUNT(Dong2),"",OFFSET(TH!C$1,SMALL(Dong2,ROWS($1:63)),))</f>
        <v/>
      </c>
      <c r="B74" s="190" t="str">
        <f ca="1">IF(ROWS($1:63)&gt;COUNT(Dong2),"",OFFSET(TH!D$1,SMALL(Dong2,ROWS($1:63)),))</f>
        <v/>
      </c>
      <c r="C74" s="190" t="str">
        <f ca="1">IF(ROWS($1:63)&gt;COUNT(Dong2),"",OFFSET(TH!E$1,SMALL(Dong2,ROWS($1:63)),))</f>
        <v/>
      </c>
      <c r="D74" s="349" t="str">
        <f ca="1">IF(ROWS($1:63)&gt;COUNT(Dong2),"",OFFSET(TH!F$1,SMALL(Dong2,ROWS($1:63)),))</f>
        <v/>
      </c>
      <c r="E74" s="190" t="str">
        <f ca="1">IF(ROWS($1:63)&gt;COUNT(Dong2),"",IF(OFFSET(TH!O$1,SMALL(Dong2,ROWS($1:63)),)=$I$6,OFFSET(TH!N$1,SMALL(Dong2,ROWS($1:63)),),OFFSET(TH!O$1,SMALL(Dong2,ROWS($1:63)),)))</f>
        <v/>
      </c>
      <c r="F74" s="924" t="str">
        <f ca="1">IF(ROWS($1:63)&gt;COUNT(Dong2),"",IF(AND(IF($M$9="Q11",LEFT(OFFSET(TH!G$1,SMALL(Dong2,ROWS($1:63)),),3)=$M$9,LEFT(OFFSET(TH!G$1,SMALL(Dong2,ROWS($1:63)),),2)=$M$9),OFFSET(TH!N$1,SMALL(Dong2,ROWS($1:63)),)=$I$6),IF($I$6="1121",OFFSET(TH!M$1,SMALL(Dong2,ROWS($1:63)),),OFFSET(TH!K$1,SMALL(Dong2,ROWS($1:63)),)),0))</f>
        <v/>
      </c>
      <c r="G74" s="924" t="str">
        <f ca="1">IF(ROWS($1:63)&gt;COUNT(Dong2),"",IF(AND(IF($M$9="Q11",RIGHT(OFFSET(TH!G$1,SMALL(Dong2,ROWS($1:63)),),3)=$M$9,RIGHT(OFFSET(TH!G$1,SMALL(Dong2,ROWS($1:63)),),2)=$M$9),OFFSET(TH!O$1,SMALL(Dong2,ROWS($1:63)),)=$I$6),IF($I$6="1121",OFFSET(TH!M$1,SMALL(Dong2,ROWS($1:63)),),OFFSET(TH!K$1,SMALL(Dong2,ROWS($1:63)),)),0))</f>
        <v/>
      </c>
      <c r="H74" s="746">
        <f t="shared" ca="1" si="3"/>
        <v>0</v>
      </c>
      <c r="I74" s="746"/>
      <c r="J74" s="179"/>
      <c r="K74" s="179"/>
      <c r="L74" s="179"/>
      <c r="M74" s="179"/>
      <c r="N74" s="179"/>
      <c r="O74" s="179"/>
      <c r="P74" s="179"/>
      <c r="Q74" s="179"/>
      <c r="R74" s="179"/>
      <c r="S74" s="179"/>
    </row>
    <row r="75" spans="1:19" ht="20.25" customHeight="1">
      <c r="A75" s="190" t="str">
        <f ca="1">IF(ROWS($1:64)&gt;COUNT(Dong2),"",OFFSET(TH!C$1,SMALL(Dong2,ROWS($1:64)),))</f>
        <v/>
      </c>
      <c r="B75" s="190" t="str">
        <f ca="1">IF(ROWS($1:64)&gt;COUNT(Dong2),"",OFFSET(TH!D$1,SMALL(Dong2,ROWS($1:64)),))</f>
        <v/>
      </c>
      <c r="C75" s="190" t="str">
        <f ca="1">IF(ROWS($1:64)&gt;COUNT(Dong2),"",OFFSET(TH!E$1,SMALL(Dong2,ROWS($1:64)),))</f>
        <v/>
      </c>
      <c r="D75" s="349" t="str">
        <f ca="1">IF(ROWS($1:64)&gt;COUNT(Dong2),"",OFFSET(TH!F$1,SMALL(Dong2,ROWS($1:64)),))</f>
        <v/>
      </c>
      <c r="E75" s="190" t="str">
        <f ca="1">IF(ROWS($1:64)&gt;COUNT(Dong2),"",IF(OFFSET(TH!O$1,SMALL(Dong2,ROWS($1:64)),)=$I$6,OFFSET(TH!N$1,SMALL(Dong2,ROWS($1:64)),),OFFSET(TH!O$1,SMALL(Dong2,ROWS($1:64)),)))</f>
        <v/>
      </c>
      <c r="F75" s="924" t="str">
        <f ca="1">IF(ROWS($1:64)&gt;COUNT(Dong2),"",IF(AND(IF($M$9="Q11",LEFT(OFFSET(TH!G$1,SMALL(Dong2,ROWS($1:64)),),3)=$M$9,LEFT(OFFSET(TH!G$1,SMALL(Dong2,ROWS($1:64)),),2)=$M$9),OFFSET(TH!N$1,SMALL(Dong2,ROWS($1:64)),)=$I$6),IF($I$6="1121",OFFSET(TH!M$1,SMALL(Dong2,ROWS($1:64)),),OFFSET(TH!K$1,SMALL(Dong2,ROWS($1:64)),)),0))</f>
        <v/>
      </c>
      <c r="G75" s="924" t="str">
        <f ca="1">IF(ROWS($1:64)&gt;COUNT(Dong2),"",IF(AND(IF($M$9="Q11",RIGHT(OFFSET(TH!G$1,SMALL(Dong2,ROWS($1:64)),),3)=$M$9,RIGHT(OFFSET(TH!G$1,SMALL(Dong2,ROWS($1:64)),),2)=$M$9),OFFSET(TH!O$1,SMALL(Dong2,ROWS($1:64)),)=$I$6),IF($I$6="1121",OFFSET(TH!M$1,SMALL(Dong2,ROWS($1:64)),),OFFSET(TH!K$1,SMALL(Dong2,ROWS($1:64)),)),0))</f>
        <v/>
      </c>
      <c r="H75" s="746">
        <f t="shared" ca="1" si="3"/>
        <v>0</v>
      </c>
      <c r="I75" s="746"/>
      <c r="J75" s="179"/>
      <c r="K75" s="179"/>
      <c r="L75" s="179"/>
      <c r="M75" s="179"/>
      <c r="N75" s="179"/>
      <c r="O75" s="179"/>
      <c r="P75" s="179"/>
      <c r="Q75" s="179"/>
      <c r="R75" s="179"/>
      <c r="S75" s="179"/>
    </row>
    <row r="76" spans="1:19" ht="20.25" customHeight="1">
      <c r="A76" s="190" t="str">
        <f ca="1">IF(ROWS($1:65)&gt;COUNT(Dong2),"",OFFSET(TH!C$1,SMALL(Dong2,ROWS($1:65)),))</f>
        <v/>
      </c>
      <c r="B76" s="190" t="str">
        <f ca="1">IF(ROWS($1:65)&gt;COUNT(Dong2),"",OFFSET(TH!D$1,SMALL(Dong2,ROWS($1:65)),))</f>
        <v/>
      </c>
      <c r="C76" s="190" t="str">
        <f ca="1">IF(ROWS($1:65)&gt;COUNT(Dong2),"",OFFSET(TH!E$1,SMALL(Dong2,ROWS($1:65)),))</f>
        <v/>
      </c>
      <c r="D76" s="349" t="str">
        <f ca="1">IF(ROWS($1:65)&gt;COUNT(Dong2),"",OFFSET(TH!F$1,SMALL(Dong2,ROWS($1:65)),))</f>
        <v/>
      </c>
      <c r="E76" s="190" t="str">
        <f ca="1">IF(ROWS($1:65)&gt;COUNT(Dong2),"",IF(OFFSET(TH!O$1,SMALL(Dong2,ROWS($1:65)),)=$I$6,OFFSET(TH!N$1,SMALL(Dong2,ROWS($1:65)),),OFFSET(TH!O$1,SMALL(Dong2,ROWS($1:65)),)))</f>
        <v/>
      </c>
      <c r="F76" s="924" t="str">
        <f ca="1">IF(ROWS($1:65)&gt;COUNT(Dong2),"",IF(AND(IF($M$9="Q11",LEFT(OFFSET(TH!G$1,SMALL(Dong2,ROWS($1:65)),),3)=$M$9,LEFT(OFFSET(TH!G$1,SMALL(Dong2,ROWS($1:65)),),2)=$M$9),OFFSET(TH!N$1,SMALL(Dong2,ROWS($1:65)),)=$I$6),IF($I$6="1121",OFFSET(TH!M$1,SMALL(Dong2,ROWS($1:65)),),OFFSET(TH!K$1,SMALL(Dong2,ROWS($1:65)),)),0))</f>
        <v/>
      </c>
      <c r="G76" s="924" t="str">
        <f ca="1">IF(ROWS($1:65)&gt;COUNT(Dong2),"",IF(AND(IF($M$9="Q11",RIGHT(OFFSET(TH!G$1,SMALL(Dong2,ROWS($1:65)),),3)=$M$9,RIGHT(OFFSET(TH!G$1,SMALL(Dong2,ROWS($1:65)),),2)=$M$9),OFFSET(TH!O$1,SMALL(Dong2,ROWS($1:65)),)=$I$6),IF($I$6="1121",OFFSET(TH!M$1,SMALL(Dong2,ROWS($1:65)),),OFFSET(TH!K$1,SMALL(Dong2,ROWS($1:65)),)),0))</f>
        <v/>
      </c>
      <c r="H76" s="746">
        <f t="shared" ca="1" si="3"/>
        <v>0</v>
      </c>
      <c r="I76" s="746"/>
      <c r="J76" s="179"/>
      <c r="K76" s="179"/>
      <c r="L76" s="179"/>
      <c r="M76" s="179"/>
      <c r="N76" s="179"/>
      <c r="O76" s="179"/>
      <c r="P76" s="179"/>
      <c r="Q76" s="179"/>
      <c r="R76" s="179"/>
      <c r="S76" s="179"/>
    </row>
    <row r="77" spans="1:19" ht="20.25" customHeight="1">
      <c r="A77" s="190" t="str">
        <f ca="1">IF(ROWS($1:66)&gt;COUNT(Dong2),"",OFFSET(TH!C$1,SMALL(Dong2,ROWS($1:66)),))</f>
        <v/>
      </c>
      <c r="B77" s="190" t="str">
        <f ca="1">IF(ROWS($1:66)&gt;COUNT(Dong2),"",OFFSET(TH!D$1,SMALL(Dong2,ROWS($1:66)),))</f>
        <v/>
      </c>
      <c r="C77" s="190" t="str">
        <f ca="1">IF(ROWS($1:66)&gt;COUNT(Dong2),"",OFFSET(TH!E$1,SMALL(Dong2,ROWS($1:66)),))</f>
        <v/>
      </c>
      <c r="D77" s="349" t="str">
        <f ca="1">IF(ROWS($1:66)&gt;COUNT(Dong2),"",OFFSET(TH!F$1,SMALL(Dong2,ROWS($1:66)),))</f>
        <v/>
      </c>
      <c r="E77" s="190" t="str">
        <f ca="1">IF(ROWS($1:66)&gt;COUNT(Dong2),"",IF(OFFSET(TH!O$1,SMALL(Dong2,ROWS($1:66)),)=$I$6,OFFSET(TH!N$1,SMALL(Dong2,ROWS($1:66)),),OFFSET(TH!O$1,SMALL(Dong2,ROWS($1:66)),)))</f>
        <v/>
      </c>
      <c r="F77" s="924" t="str">
        <f ca="1">IF(ROWS($1:66)&gt;COUNT(Dong2),"",IF(AND(IF($M$9="Q11",LEFT(OFFSET(TH!G$1,SMALL(Dong2,ROWS($1:66)),),3)=$M$9,LEFT(OFFSET(TH!G$1,SMALL(Dong2,ROWS($1:66)),),2)=$M$9),OFFSET(TH!N$1,SMALL(Dong2,ROWS($1:66)),)=$I$6),IF($I$6="1121",OFFSET(TH!M$1,SMALL(Dong2,ROWS($1:66)),),OFFSET(TH!K$1,SMALL(Dong2,ROWS($1:66)),)),0))</f>
        <v/>
      </c>
      <c r="G77" s="924" t="str">
        <f ca="1">IF(ROWS($1:66)&gt;COUNT(Dong2),"",IF(AND(IF($M$9="Q11",RIGHT(OFFSET(TH!G$1,SMALL(Dong2,ROWS($1:66)),),3)=$M$9,RIGHT(OFFSET(TH!G$1,SMALL(Dong2,ROWS($1:66)),),2)=$M$9),OFFSET(TH!O$1,SMALL(Dong2,ROWS($1:66)),)=$I$6),IF($I$6="1121",OFFSET(TH!M$1,SMALL(Dong2,ROWS($1:66)),),OFFSET(TH!K$1,SMALL(Dong2,ROWS($1:66)),)),0))</f>
        <v/>
      </c>
      <c r="H77" s="746">
        <f t="shared" ca="1" si="3"/>
        <v>0</v>
      </c>
      <c r="I77" s="746"/>
      <c r="J77" s="179"/>
      <c r="K77" s="179"/>
      <c r="L77" s="179"/>
      <c r="M77" s="179"/>
      <c r="N77" s="179"/>
      <c r="O77" s="179"/>
      <c r="P77" s="179"/>
      <c r="Q77" s="179"/>
      <c r="R77" s="179"/>
      <c r="S77" s="179"/>
    </row>
    <row r="78" spans="1:19" ht="20.25" customHeight="1">
      <c r="A78" s="190" t="str">
        <f ca="1">IF(ROWS($1:67)&gt;COUNT(Dong2),"",OFFSET(TH!C$1,SMALL(Dong2,ROWS($1:67)),))</f>
        <v/>
      </c>
      <c r="B78" s="190" t="str">
        <f ca="1">IF(ROWS($1:67)&gt;COUNT(Dong2),"",OFFSET(TH!D$1,SMALL(Dong2,ROWS($1:67)),))</f>
        <v/>
      </c>
      <c r="C78" s="190" t="str">
        <f ca="1">IF(ROWS($1:67)&gt;COUNT(Dong2),"",OFFSET(TH!E$1,SMALL(Dong2,ROWS($1:67)),))</f>
        <v/>
      </c>
      <c r="D78" s="349" t="str">
        <f ca="1">IF(ROWS($1:67)&gt;COUNT(Dong2),"",OFFSET(TH!F$1,SMALL(Dong2,ROWS($1:67)),))</f>
        <v/>
      </c>
      <c r="E78" s="190" t="str">
        <f ca="1">IF(ROWS($1:67)&gt;COUNT(Dong2),"",IF(OFFSET(TH!O$1,SMALL(Dong2,ROWS($1:67)),)=$I$6,OFFSET(TH!N$1,SMALL(Dong2,ROWS($1:67)),),OFFSET(TH!O$1,SMALL(Dong2,ROWS($1:67)),)))</f>
        <v/>
      </c>
      <c r="F78" s="924" t="str">
        <f ca="1">IF(ROWS($1:67)&gt;COUNT(Dong2),"",IF(AND(IF($M$9="Q11",LEFT(OFFSET(TH!G$1,SMALL(Dong2,ROWS($1:67)),),3)=$M$9,LEFT(OFFSET(TH!G$1,SMALL(Dong2,ROWS($1:67)),),2)=$M$9),OFFSET(TH!N$1,SMALL(Dong2,ROWS($1:67)),)=$I$6),IF($I$6="1121",OFFSET(TH!M$1,SMALL(Dong2,ROWS($1:67)),),OFFSET(TH!K$1,SMALL(Dong2,ROWS($1:67)),)),0))</f>
        <v/>
      </c>
      <c r="G78" s="924" t="str">
        <f ca="1">IF(ROWS($1:67)&gt;COUNT(Dong2),"",IF(AND(IF($M$9="Q11",RIGHT(OFFSET(TH!G$1,SMALL(Dong2,ROWS($1:67)),),3)=$M$9,RIGHT(OFFSET(TH!G$1,SMALL(Dong2,ROWS($1:67)),),2)=$M$9),OFFSET(TH!O$1,SMALL(Dong2,ROWS($1:67)),)=$I$6),IF($I$6="1121",OFFSET(TH!M$1,SMALL(Dong2,ROWS($1:67)),),OFFSET(TH!K$1,SMALL(Dong2,ROWS($1:67)),)),0))</f>
        <v/>
      </c>
      <c r="H78" s="746">
        <f t="shared" ca="1" si="3"/>
        <v>0</v>
      </c>
      <c r="I78" s="746"/>
      <c r="J78" s="179"/>
      <c r="K78" s="179"/>
      <c r="L78" s="179"/>
      <c r="M78" s="179"/>
      <c r="N78" s="179"/>
      <c r="O78" s="179"/>
      <c r="P78" s="179"/>
      <c r="Q78" s="179"/>
      <c r="R78" s="179"/>
      <c r="S78" s="179"/>
    </row>
    <row r="79" spans="1:19" ht="20.25" customHeight="1">
      <c r="A79" s="190" t="str">
        <f ca="1">IF(ROWS($1:68)&gt;COUNT(Dong2),"",OFFSET(TH!C$1,SMALL(Dong2,ROWS($1:68)),))</f>
        <v/>
      </c>
      <c r="B79" s="190" t="str">
        <f ca="1">IF(ROWS($1:68)&gt;COUNT(Dong2),"",OFFSET(TH!D$1,SMALL(Dong2,ROWS($1:68)),))</f>
        <v/>
      </c>
      <c r="C79" s="190" t="str">
        <f ca="1">IF(ROWS($1:68)&gt;COUNT(Dong2),"",OFFSET(TH!E$1,SMALL(Dong2,ROWS($1:68)),))</f>
        <v/>
      </c>
      <c r="D79" s="349" t="str">
        <f ca="1">IF(ROWS($1:68)&gt;COUNT(Dong2),"",OFFSET(TH!F$1,SMALL(Dong2,ROWS($1:68)),))</f>
        <v/>
      </c>
      <c r="E79" s="190" t="str">
        <f ca="1">IF(ROWS($1:68)&gt;COUNT(Dong2),"",IF(OFFSET(TH!O$1,SMALL(Dong2,ROWS($1:68)),)=$I$6,OFFSET(TH!N$1,SMALL(Dong2,ROWS($1:68)),),OFFSET(TH!O$1,SMALL(Dong2,ROWS($1:68)),)))</f>
        <v/>
      </c>
      <c r="F79" s="924" t="str">
        <f ca="1">IF(ROWS($1:68)&gt;COUNT(Dong2),"",IF(AND(IF($M$9="Q11",LEFT(OFFSET(TH!G$1,SMALL(Dong2,ROWS($1:68)),),3)=$M$9,LEFT(OFFSET(TH!G$1,SMALL(Dong2,ROWS($1:68)),),2)=$M$9),OFFSET(TH!N$1,SMALL(Dong2,ROWS($1:68)),)=$I$6),IF($I$6="1121",OFFSET(TH!M$1,SMALL(Dong2,ROWS($1:68)),),OFFSET(TH!K$1,SMALL(Dong2,ROWS($1:68)),)),0))</f>
        <v/>
      </c>
      <c r="G79" s="924" t="str">
        <f ca="1">IF(ROWS($1:68)&gt;COUNT(Dong2),"",IF(AND(IF($M$9="Q11",RIGHT(OFFSET(TH!G$1,SMALL(Dong2,ROWS($1:68)),),3)=$M$9,RIGHT(OFFSET(TH!G$1,SMALL(Dong2,ROWS($1:68)),),2)=$M$9),OFFSET(TH!O$1,SMALL(Dong2,ROWS($1:68)),)=$I$6),IF($I$6="1121",OFFSET(TH!M$1,SMALL(Dong2,ROWS($1:68)),),OFFSET(TH!K$1,SMALL(Dong2,ROWS($1:68)),)),0))</f>
        <v/>
      </c>
      <c r="H79" s="746">
        <f t="shared" ca="1" si="3"/>
        <v>0</v>
      </c>
      <c r="I79" s="746"/>
      <c r="J79" s="179"/>
      <c r="K79" s="179"/>
      <c r="L79" s="179"/>
      <c r="M79" s="179"/>
      <c r="N79" s="179"/>
      <c r="O79" s="179"/>
      <c r="P79" s="179"/>
      <c r="Q79" s="179"/>
      <c r="R79" s="179"/>
      <c r="S79" s="179"/>
    </row>
    <row r="80" spans="1:19" ht="20.25" customHeight="1">
      <c r="A80" s="190" t="str">
        <f ca="1">IF(ROWS($1:69)&gt;COUNT(Dong2),"",OFFSET(TH!C$1,SMALL(Dong2,ROWS($1:69)),))</f>
        <v/>
      </c>
      <c r="B80" s="190" t="str">
        <f ca="1">IF(ROWS($1:69)&gt;COUNT(Dong2),"",OFFSET(TH!D$1,SMALL(Dong2,ROWS($1:69)),))</f>
        <v/>
      </c>
      <c r="C80" s="190" t="str">
        <f ca="1">IF(ROWS($1:69)&gt;COUNT(Dong2),"",OFFSET(TH!E$1,SMALL(Dong2,ROWS($1:69)),))</f>
        <v/>
      </c>
      <c r="D80" s="349" t="str">
        <f ca="1">IF(ROWS($1:69)&gt;COUNT(Dong2),"",OFFSET(TH!F$1,SMALL(Dong2,ROWS($1:69)),))</f>
        <v/>
      </c>
      <c r="E80" s="190" t="str">
        <f ca="1">IF(ROWS($1:69)&gt;COUNT(Dong2),"",IF(OFFSET(TH!O$1,SMALL(Dong2,ROWS($1:69)),)=$I$6,OFFSET(TH!N$1,SMALL(Dong2,ROWS($1:69)),),OFFSET(TH!O$1,SMALL(Dong2,ROWS($1:69)),)))</f>
        <v/>
      </c>
      <c r="F80" s="924" t="str">
        <f ca="1">IF(ROWS($1:69)&gt;COUNT(Dong2),"",IF(AND(IF($M$9="Q11",LEFT(OFFSET(TH!G$1,SMALL(Dong2,ROWS($1:69)),),3)=$M$9,LEFT(OFFSET(TH!G$1,SMALL(Dong2,ROWS($1:69)),),2)=$M$9),OFFSET(TH!N$1,SMALL(Dong2,ROWS($1:69)),)=$I$6),IF($I$6="1121",OFFSET(TH!M$1,SMALL(Dong2,ROWS($1:69)),),OFFSET(TH!K$1,SMALL(Dong2,ROWS($1:69)),)),0))</f>
        <v/>
      </c>
      <c r="G80" s="924" t="str">
        <f ca="1">IF(ROWS($1:69)&gt;COUNT(Dong2),"",IF(AND(IF($M$9="Q11",RIGHT(OFFSET(TH!G$1,SMALL(Dong2,ROWS($1:69)),),3)=$M$9,RIGHT(OFFSET(TH!G$1,SMALL(Dong2,ROWS($1:69)),),2)=$M$9),OFFSET(TH!O$1,SMALL(Dong2,ROWS($1:69)),)=$I$6),IF($I$6="1121",OFFSET(TH!M$1,SMALL(Dong2,ROWS($1:69)),),OFFSET(TH!K$1,SMALL(Dong2,ROWS($1:69)),)),0))</f>
        <v/>
      </c>
      <c r="H80" s="746">
        <f t="shared" ca="1" si="3"/>
        <v>0</v>
      </c>
      <c r="I80" s="746"/>
      <c r="J80" s="179"/>
      <c r="K80" s="179"/>
      <c r="L80" s="179"/>
      <c r="M80" s="179"/>
      <c r="N80" s="179"/>
      <c r="O80" s="179"/>
      <c r="P80" s="179"/>
      <c r="Q80" s="179"/>
      <c r="R80" s="179"/>
      <c r="S80" s="179"/>
    </row>
    <row r="81" spans="1:19" ht="20.25" customHeight="1">
      <c r="A81" s="190" t="str">
        <f ca="1">IF(ROWS($1:70)&gt;COUNT(Dong2),"",OFFSET(TH!C$1,SMALL(Dong2,ROWS($1:70)),))</f>
        <v/>
      </c>
      <c r="B81" s="190" t="str">
        <f ca="1">IF(ROWS($1:70)&gt;COUNT(Dong2),"",OFFSET(TH!D$1,SMALL(Dong2,ROWS($1:70)),))</f>
        <v/>
      </c>
      <c r="C81" s="190" t="str">
        <f ca="1">IF(ROWS($1:70)&gt;COUNT(Dong2),"",OFFSET(TH!E$1,SMALL(Dong2,ROWS($1:70)),))</f>
        <v/>
      </c>
      <c r="D81" s="349" t="str">
        <f ca="1">IF(ROWS($1:70)&gt;COUNT(Dong2),"",OFFSET(TH!F$1,SMALL(Dong2,ROWS($1:70)),))</f>
        <v/>
      </c>
      <c r="E81" s="190" t="str">
        <f ca="1">IF(ROWS($1:70)&gt;COUNT(Dong2),"",IF(OFFSET(TH!O$1,SMALL(Dong2,ROWS($1:70)),)=$I$6,OFFSET(TH!N$1,SMALL(Dong2,ROWS($1:70)),),OFFSET(TH!O$1,SMALL(Dong2,ROWS($1:70)),)))</f>
        <v/>
      </c>
      <c r="F81" s="924" t="str">
        <f ca="1">IF(ROWS($1:70)&gt;COUNT(Dong2),"",IF(AND(IF($M$9="Q11",LEFT(OFFSET(TH!G$1,SMALL(Dong2,ROWS($1:70)),),3)=$M$9,LEFT(OFFSET(TH!G$1,SMALL(Dong2,ROWS($1:70)),),2)=$M$9),OFFSET(TH!N$1,SMALL(Dong2,ROWS($1:70)),)=$I$6),IF($I$6="1121",OFFSET(TH!M$1,SMALL(Dong2,ROWS($1:70)),),OFFSET(TH!K$1,SMALL(Dong2,ROWS($1:70)),)),0))</f>
        <v/>
      </c>
      <c r="G81" s="924" t="str">
        <f ca="1">IF(ROWS($1:70)&gt;COUNT(Dong2),"",IF(AND(IF($M$9="Q11",RIGHT(OFFSET(TH!G$1,SMALL(Dong2,ROWS($1:70)),),3)=$M$9,RIGHT(OFFSET(TH!G$1,SMALL(Dong2,ROWS($1:70)),),2)=$M$9),OFFSET(TH!O$1,SMALL(Dong2,ROWS($1:70)),)=$I$6),IF($I$6="1121",OFFSET(TH!M$1,SMALL(Dong2,ROWS($1:70)),),OFFSET(TH!K$1,SMALL(Dong2,ROWS($1:70)),)),0))</f>
        <v/>
      </c>
      <c r="H81" s="746">
        <f t="shared" ca="1" si="3"/>
        <v>0</v>
      </c>
      <c r="I81" s="746"/>
      <c r="J81" s="179"/>
      <c r="K81" s="179"/>
      <c r="L81" s="179"/>
      <c r="M81" s="179"/>
      <c r="N81" s="179"/>
      <c r="O81" s="179"/>
      <c r="P81" s="179"/>
      <c r="Q81" s="179"/>
      <c r="R81" s="179"/>
      <c r="S81" s="179"/>
    </row>
    <row r="82" spans="1:19" ht="20.25" customHeight="1">
      <c r="A82" s="190" t="str">
        <f ca="1">IF(ROWS($1:71)&gt;COUNT(Dong2),"",OFFSET(TH!C$1,SMALL(Dong2,ROWS($1:71)),))</f>
        <v/>
      </c>
      <c r="B82" s="190" t="str">
        <f ca="1">IF(ROWS($1:71)&gt;COUNT(Dong2),"",OFFSET(TH!D$1,SMALL(Dong2,ROWS($1:71)),))</f>
        <v/>
      </c>
      <c r="C82" s="190" t="str">
        <f ca="1">IF(ROWS($1:71)&gt;COUNT(Dong2),"",OFFSET(TH!E$1,SMALL(Dong2,ROWS($1:71)),))</f>
        <v/>
      </c>
      <c r="D82" s="349" t="str">
        <f ca="1">IF(ROWS($1:71)&gt;COUNT(Dong2),"",OFFSET(TH!F$1,SMALL(Dong2,ROWS($1:71)),))</f>
        <v/>
      </c>
      <c r="E82" s="190" t="str">
        <f ca="1">IF(ROWS($1:71)&gt;COUNT(Dong2),"",IF(OFFSET(TH!O$1,SMALL(Dong2,ROWS($1:71)),)=$I$6,OFFSET(TH!N$1,SMALL(Dong2,ROWS($1:71)),),OFFSET(TH!O$1,SMALL(Dong2,ROWS($1:71)),)))</f>
        <v/>
      </c>
      <c r="F82" s="924" t="str">
        <f ca="1">IF(ROWS($1:71)&gt;COUNT(Dong2),"",IF(AND(IF($M$9="Q11",LEFT(OFFSET(TH!G$1,SMALL(Dong2,ROWS($1:71)),),3)=$M$9,LEFT(OFFSET(TH!G$1,SMALL(Dong2,ROWS($1:71)),),2)=$M$9),OFFSET(TH!N$1,SMALL(Dong2,ROWS($1:71)),)=$I$6),IF($I$6="1121",OFFSET(TH!M$1,SMALL(Dong2,ROWS($1:71)),),OFFSET(TH!K$1,SMALL(Dong2,ROWS($1:71)),)),0))</f>
        <v/>
      </c>
      <c r="G82" s="924" t="str">
        <f ca="1">IF(ROWS($1:71)&gt;COUNT(Dong2),"",IF(AND(IF($M$9="Q11",RIGHT(OFFSET(TH!G$1,SMALL(Dong2,ROWS($1:71)),),3)=$M$9,RIGHT(OFFSET(TH!G$1,SMALL(Dong2,ROWS($1:71)),),2)=$M$9),OFFSET(TH!O$1,SMALL(Dong2,ROWS($1:71)),)=$I$6),IF($I$6="1121",OFFSET(TH!M$1,SMALL(Dong2,ROWS($1:71)),),OFFSET(TH!K$1,SMALL(Dong2,ROWS($1:71)),)),0))</f>
        <v/>
      </c>
      <c r="H82" s="746">
        <f t="shared" ca="1" si="3"/>
        <v>0</v>
      </c>
      <c r="I82" s="746"/>
      <c r="J82" s="179"/>
      <c r="K82" s="179"/>
      <c r="L82" s="179"/>
      <c r="M82" s="179"/>
      <c r="N82" s="179"/>
      <c r="O82" s="179"/>
      <c r="P82" s="179"/>
      <c r="Q82" s="179"/>
      <c r="R82" s="179"/>
      <c r="S82" s="179"/>
    </row>
    <row r="83" spans="1:19" ht="20.25" customHeight="1">
      <c r="A83" s="190" t="str">
        <f ca="1">IF(ROWS($1:72)&gt;COUNT(Dong2),"",OFFSET(TH!C$1,SMALL(Dong2,ROWS($1:72)),))</f>
        <v/>
      </c>
      <c r="B83" s="190" t="str">
        <f ca="1">IF(ROWS($1:72)&gt;COUNT(Dong2),"",OFFSET(TH!D$1,SMALL(Dong2,ROWS($1:72)),))</f>
        <v/>
      </c>
      <c r="C83" s="190" t="str">
        <f ca="1">IF(ROWS($1:72)&gt;COUNT(Dong2),"",OFFSET(TH!E$1,SMALL(Dong2,ROWS($1:72)),))</f>
        <v/>
      </c>
      <c r="D83" s="349" t="str">
        <f ca="1">IF(ROWS($1:72)&gt;COUNT(Dong2),"",OFFSET(TH!F$1,SMALL(Dong2,ROWS($1:72)),))</f>
        <v/>
      </c>
      <c r="E83" s="190" t="str">
        <f ca="1">IF(ROWS($1:72)&gt;COUNT(Dong2),"",IF(OFFSET(TH!O$1,SMALL(Dong2,ROWS($1:72)),)=$I$6,OFFSET(TH!N$1,SMALL(Dong2,ROWS($1:72)),),OFFSET(TH!O$1,SMALL(Dong2,ROWS($1:72)),)))</f>
        <v/>
      </c>
      <c r="F83" s="924" t="str">
        <f ca="1">IF(ROWS($1:72)&gt;COUNT(Dong2),"",IF(AND(IF($M$9="Q11",LEFT(OFFSET(TH!G$1,SMALL(Dong2,ROWS($1:72)),),3)=$M$9,LEFT(OFFSET(TH!G$1,SMALL(Dong2,ROWS($1:72)),),2)=$M$9),OFFSET(TH!N$1,SMALL(Dong2,ROWS($1:72)),)=$I$6),IF($I$6="1121",OFFSET(TH!M$1,SMALL(Dong2,ROWS($1:72)),),OFFSET(TH!K$1,SMALL(Dong2,ROWS($1:72)),)),0))</f>
        <v/>
      </c>
      <c r="G83" s="924" t="str">
        <f ca="1">IF(ROWS($1:72)&gt;COUNT(Dong2),"",IF(AND(IF($M$9="Q11",RIGHT(OFFSET(TH!G$1,SMALL(Dong2,ROWS($1:72)),),3)=$M$9,RIGHT(OFFSET(TH!G$1,SMALL(Dong2,ROWS($1:72)),),2)=$M$9),OFFSET(TH!O$1,SMALL(Dong2,ROWS($1:72)),)=$I$6),IF($I$6="1121",OFFSET(TH!M$1,SMALL(Dong2,ROWS($1:72)),),OFFSET(TH!K$1,SMALL(Dong2,ROWS($1:72)),)),0))</f>
        <v/>
      </c>
      <c r="H83" s="746">
        <f t="shared" ca="1" si="3"/>
        <v>0</v>
      </c>
      <c r="I83" s="746"/>
      <c r="J83" s="179"/>
      <c r="K83" s="179"/>
      <c r="L83" s="179"/>
      <c r="M83" s="179"/>
      <c r="N83" s="179"/>
      <c r="O83" s="179"/>
      <c r="P83" s="179"/>
      <c r="Q83" s="179"/>
      <c r="R83" s="179"/>
      <c r="S83" s="179"/>
    </row>
    <row r="84" spans="1:19" ht="20.25" customHeight="1">
      <c r="A84" s="190" t="str">
        <f ca="1">IF(ROWS($1:73)&gt;COUNT(Dong2),"",OFFSET(TH!C$1,SMALL(Dong2,ROWS($1:73)),))</f>
        <v/>
      </c>
      <c r="B84" s="190" t="str">
        <f ca="1">IF(ROWS($1:73)&gt;COUNT(Dong2),"",OFFSET(TH!D$1,SMALL(Dong2,ROWS($1:73)),))</f>
        <v/>
      </c>
      <c r="C84" s="190" t="str">
        <f ca="1">IF(ROWS($1:73)&gt;COUNT(Dong2),"",OFFSET(TH!E$1,SMALL(Dong2,ROWS($1:73)),))</f>
        <v/>
      </c>
      <c r="D84" s="349" t="str">
        <f ca="1">IF(ROWS($1:73)&gt;COUNT(Dong2),"",OFFSET(TH!F$1,SMALL(Dong2,ROWS($1:73)),))</f>
        <v/>
      </c>
      <c r="E84" s="190" t="str">
        <f ca="1">IF(ROWS($1:73)&gt;COUNT(Dong2),"",IF(OFFSET(TH!O$1,SMALL(Dong2,ROWS($1:73)),)=$I$6,OFFSET(TH!N$1,SMALL(Dong2,ROWS($1:73)),),OFFSET(TH!O$1,SMALL(Dong2,ROWS($1:73)),)))</f>
        <v/>
      </c>
      <c r="F84" s="924" t="str">
        <f ca="1">IF(ROWS($1:73)&gt;COUNT(Dong2),"",IF(AND(IF($M$9="Q11",LEFT(OFFSET(TH!G$1,SMALL(Dong2,ROWS($1:73)),),3)=$M$9,LEFT(OFFSET(TH!G$1,SMALL(Dong2,ROWS($1:73)),),2)=$M$9),OFFSET(TH!N$1,SMALL(Dong2,ROWS($1:73)),)=$I$6),IF($I$6="1121",OFFSET(TH!M$1,SMALL(Dong2,ROWS($1:73)),),OFFSET(TH!K$1,SMALL(Dong2,ROWS($1:73)),)),0))</f>
        <v/>
      </c>
      <c r="G84" s="924" t="str">
        <f ca="1">IF(ROWS($1:73)&gt;COUNT(Dong2),"",IF(AND(IF($M$9="Q11",RIGHT(OFFSET(TH!G$1,SMALL(Dong2,ROWS($1:73)),),3)=$M$9,RIGHT(OFFSET(TH!G$1,SMALL(Dong2,ROWS($1:73)),),2)=$M$9),OFFSET(TH!O$1,SMALL(Dong2,ROWS($1:73)),)=$I$6),IF($I$6="1121",OFFSET(TH!M$1,SMALL(Dong2,ROWS($1:73)),),OFFSET(TH!K$1,SMALL(Dong2,ROWS($1:73)),)),0))</f>
        <v/>
      </c>
      <c r="H84" s="746">
        <f t="shared" ref="H84:H123" ca="1" si="4">IF(A84&lt;&gt;"",H83+F84-G84,0)</f>
        <v>0</v>
      </c>
      <c r="I84" s="746"/>
      <c r="J84" s="179"/>
      <c r="K84" s="179"/>
      <c r="L84" s="179"/>
      <c r="M84" s="179"/>
      <c r="N84" s="179"/>
      <c r="O84" s="179"/>
      <c r="P84" s="179"/>
      <c r="Q84" s="179"/>
      <c r="R84" s="179"/>
      <c r="S84" s="179"/>
    </row>
    <row r="85" spans="1:19" ht="20.25" customHeight="1">
      <c r="A85" s="190" t="str">
        <f ca="1">IF(ROWS($1:74)&gt;COUNT(Dong2),"",OFFSET(TH!C$1,SMALL(Dong2,ROWS($1:74)),))</f>
        <v/>
      </c>
      <c r="B85" s="190" t="str">
        <f ca="1">IF(ROWS($1:74)&gt;COUNT(Dong2),"",OFFSET(TH!D$1,SMALL(Dong2,ROWS($1:74)),))</f>
        <v/>
      </c>
      <c r="C85" s="190" t="str">
        <f ca="1">IF(ROWS($1:74)&gt;COUNT(Dong2),"",OFFSET(TH!E$1,SMALL(Dong2,ROWS($1:74)),))</f>
        <v/>
      </c>
      <c r="D85" s="349" t="str">
        <f ca="1">IF(ROWS($1:74)&gt;COUNT(Dong2),"",OFFSET(TH!F$1,SMALL(Dong2,ROWS($1:74)),))</f>
        <v/>
      </c>
      <c r="E85" s="190" t="str">
        <f ca="1">IF(ROWS($1:74)&gt;COUNT(Dong2),"",IF(OFFSET(TH!O$1,SMALL(Dong2,ROWS($1:74)),)=$I$6,OFFSET(TH!N$1,SMALL(Dong2,ROWS($1:74)),),OFFSET(TH!O$1,SMALL(Dong2,ROWS($1:74)),)))</f>
        <v/>
      </c>
      <c r="F85" s="924" t="str">
        <f ca="1">IF(ROWS($1:74)&gt;COUNT(Dong2),"",IF(AND(IF($M$9="Q11",LEFT(OFFSET(TH!G$1,SMALL(Dong2,ROWS($1:74)),),3)=$M$9,LEFT(OFFSET(TH!G$1,SMALL(Dong2,ROWS($1:74)),),2)=$M$9),OFFSET(TH!N$1,SMALL(Dong2,ROWS($1:74)),)=$I$6),IF($I$6="1121",OFFSET(TH!M$1,SMALL(Dong2,ROWS($1:74)),),OFFSET(TH!K$1,SMALL(Dong2,ROWS($1:74)),)),0))</f>
        <v/>
      </c>
      <c r="G85" s="924" t="str">
        <f ca="1">IF(ROWS($1:74)&gt;COUNT(Dong2),"",IF(AND(IF($M$9="Q11",RIGHT(OFFSET(TH!G$1,SMALL(Dong2,ROWS($1:74)),),3)=$M$9,RIGHT(OFFSET(TH!G$1,SMALL(Dong2,ROWS($1:74)),),2)=$M$9),OFFSET(TH!O$1,SMALL(Dong2,ROWS($1:74)),)=$I$6),IF($I$6="1121",OFFSET(TH!M$1,SMALL(Dong2,ROWS($1:74)),),OFFSET(TH!K$1,SMALL(Dong2,ROWS($1:74)),)),0))</f>
        <v/>
      </c>
      <c r="H85" s="746">
        <f t="shared" ca="1" si="4"/>
        <v>0</v>
      </c>
      <c r="I85" s="746"/>
      <c r="J85" s="179"/>
      <c r="K85" s="179"/>
      <c r="L85" s="179"/>
      <c r="M85" s="179"/>
      <c r="N85" s="179"/>
      <c r="O85" s="179"/>
      <c r="P85" s="179"/>
      <c r="Q85" s="179"/>
      <c r="R85" s="179"/>
      <c r="S85" s="179"/>
    </row>
    <row r="86" spans="1:19" ht="20.25" customHeight="1">
      <c r="A86" s="190" t="str">
        <f ca="1">IF(ROWS($1:75)&gt;COUNT(Dong2),"",OFFSET(TH!C$1,SMALL(Dong2,ROWS($1:75)),))</f>
        <v/>
      </c>
      <c r="B86" s="190" t="str">
        <f ca="1">IF(ROWS($1:75)&gt;COUNT(Dong2),"",OFFSET(TH!D$1,SMALL(Dong2,ROWS($1:75)),))</f>
        <v/>
      </c>
      <c r="C86" s="190" t="str">
        <f ca="1">IF(ROWS($1:75)&gt;COUNT(Dong2),"",OFFSET(TH!E$1,SMALL(Dong2,ROWS($1:75)),))</f>
        <v/>
      </c>
      <c r="D86" s="349" t="str">
        <f ca="1">IF(ROWS($1:75)&gt;COUNT(Dong2),"",OFFSET(TH!F$1,SMALL(Dong2,ROWS($1:75)),))</f>
        <v/>
      </c>
      <c r="E86" s="190" t="str">
        <f ca="1">IF(ROWS($1:75)&gt;COUNT(Dong2),"",IF(OFFSET(TH!O$1,SMALL(Dong2,ROWS($1:75)),)=$I$6,OFFSET(TH!N$1,SMALL(Dong2,ROWS($1:75)),),OFFSET(TH!O$1,SMALL(Dong2,ROWS($1:75)),)))</f>
        <v/>
      </c>
      <c r="F86" s="924" t="str">
        <f ca="1">IF(ROWS($1:75)&gt;COUNT(Dong2),"",IF(AND(IF($M$9="Q11",LEFT(OFFSET(TH!G$1,SMALL(Dong2,ROWS($1:75)),),3)=$M$9,LEFT(OFFSET(TH!G$1,SMALL(Dong2,ROWS($1:75)),),2)=$M$9),OFFSET(TH!N$1,SMALL(Dong2,ROWS($1:75)),)=$I$6),IF($I$6="1121",OFFSET(TH!M$1,SMALL(Dong2,ROWS($1:75)),),OFFSET(TH!K$1,SMALL(Dong2,ROWS($1:75)),)),0))</f>
        <v/>
      </c>
      <c r="G86" s="924" t="str">
        <f ca="1">IF(ROWS($1:75)&gt;COUNT(Dong2),"",IF(AND(IF($M$9="Q11",RIGHT(OFFSET(TH!G$1,SMALL(Dong2,ROWS($1:75)),),3)=$M$9,RIGHT(OFFSET(TH!G$1,SMALL(Dong2,ROWS($1:75)),),2)=$M$9),OFFSET(TH!O$1,SMALL(Dong2,ROWS($1:75)),)=$I$6),IF($I$6="1121",OFFSET(TH!M$1,SMALL(Dong2,ROWS($1:75)),),OFFSET(TH!K$1,SMALL(Dong2,ROWS($1:75)),)),0))</f>
        <v/>
      </c>
      <c r="H86" s="746">
        <f t="shared" ca="1" si="4"/>
        <v>0</v>
      </c>
      <c r="I86" s="746"/>
      <c r="J86" s="179"/>
      <c r="K86" s="179"/>
      <c r="L86" s="179"/>
      <c r="M86" s="179"/>
      <c r="N86" s="179"/>
      <c r="O86" s="179"/>
      <c r="P86" s="179"/>
      <c r="Q86" s="179"/>
      <c r="R86" s="179"/>
      <c r="S86" s="179"/>
    </row>
    <row r="87" spans="1:19" ht="20.25" customHeight="1">
      <c r="A87" s="190" t="str">
        <f ca="1">IF(ROWS($1:76)&gt;COUNT(Dong2),"",OFFSET(TH!C$1,SMALL(Dong2,ROWS($1:76)),))</f>
        <v/>
      </c>
      <c r="B87" s="190" t="str">
        <f ca="1">IF(ROWS($1:76)&gt;COUNT(Dong2),"",OFFSET(TH!D$1,SMALL(Dong2,ROWS($1:76)),))</f>
        <v/>
      </c>
      <c r="C87" s="190" t="str">
        <f ca="1">IF(ROWS($1:76)&gt;COUNT(Dong2),"",OFFSET(TH!E$1,SMALL(Dong2,ROWS($1:76)),))</f>
        <v/>
      </c>
      <c r="D87" s="349" t="str">
        <f ca="1">IF(ROWS($1:76)&gt;COUNT(Dong2),"",OFFSET(TH!F$1,SMALL(Dong2,ROWS($1:76)),))</f>
        <v/>
      </c>
      <c r="E87" s="190" t="str">
        <f ca="1">IF(ROWS($1:76)&gt;COUNT(Dong2),"",IF(OFFSET(TH!O$1,SMALL(Dong2,ROWS($1:76)),)=$I$6,OFFSET(TH!N$1,SMALL(Dong2,ROWS($1:76)),),OFFSET(TH!O$1,SMALL(Dong2,ROWS($1:76)),)))</f>
        <v/>
      </c>
      <c r="F87" s="924" t="str">
        <f ca="1">IF(ROWS($1:76)&gt;COUNT(Dong2),"",IF(AND(IF($M$9="Q11",LEFT(OFFSET(TH!G$1,SMALL(Dong2,ROWS($1:76)),),3)=$M$9,LEFT(OFFSET(TH!G$1,SMALL(Dong2,ROWS($1:76)),),2)=$M$9),OFFSET(TH!N$1,SMALL(Dong2,ROWS($1:76)),)=$I$6),IF($I$6="1121",OFFSET(TH!M$1,SMALL(Dong2,ROWS($1:76)),),OFFSET(TH!K$1,SMALL(Dong2,ROWS($1:76)),)),0))</f>
        <v/>
      </c>
      <c r="G87" s="924" t="str">
        <f ca="1">IF(ROWS($1:76)&gt;COUNT(Dong2),"",IF(AND(IF($M$9="Q11",RIGHT(OFFSET(TH!G$1,SMALL(Dong2,ROWS($1:76)),),3)=$M$9,RIGHT(OFFSET(TH!G$1,SMALL(Dong2,ROWS($1:76)),),2)=$M$9),OFFSET(TH!O$1,SMALL(Dong2,ROWS($1:76)),)=$I$6),IF($I$6="1121",OFFSET(TH!M$1,SMALL(Dong2,ROWS($1:76)),),OFFSET(TH!K$1,SMALL(Dong2,ROWS($1:76)),)),0))</f>
        <v/>
      </c>
      <c r="H87" s="746">
        <f t="shared" ca="1" si="4"/>
        <v>0</v>
      </c>
      <c r="I87" s="746"/>
      <c r="J87" s="179"/>
      <c r="K87" s="179"/>
      <c r="L87" s="179"/>
      <c r="M87" s="179"/>
      <c r="N87" s="179"/>
      <c r="O87" s="179"/>
      <c r="P87" s="179"/>
      <c r="Q87" s="179"/>
      <c r="R87" s="179"/>
      <c r="S87" s="179"/>
    </row>
    <row r="88" spans="1:19" ht="20.25" customHeight="1">
      <c r="A88" s="190" t="str">
        <f ca="1">IF(ROWS($1:77)&gt;COUNT(Dong2),"",OFFSET(TH!C$1,SMALL(Dong2,ROWS($1:77)),))</f>
        <v/>
      </c>
      <c r="B88" s="190" t="str">
        <f ca="1">IF(ROWS($1:77)&gt;COUNT(Dong2),"",OFFSET(TH!D$1,SMALL(Dong2,ROWS($1:77)),))</f>
        <v/>
      </c>
      <c r="C88" s="190" t="str">
        <f ca="1">IF(ROWS($1:77)&gt;COUNT(Dong2),"",OFFSET(TH!E$1,SMALL(Dong2,ROWS($1:77)),))</f>
        <v/>
      </c>
      <c r="D88" s="349" t="str">
        <f ca="1">IF(ROWS($1:77)&gt;COUNT(Dong2),"",OFFSET(TH!F$1,SMALL(Dong2,ROWS($1:77)),))</f>
        <v/>
      </c>
      <c r="E88" s="190" t="str">
        <f ca="1">IF(ROWS($1:77)&gt;COUNT(Dong2),"",IF(OFFSET(TH!O$1,SMALL(Dong2,ROWS($1:77)),)=$I$6,OFFSET(TH!N$1,SMALL(Dong2,ROWS($1:77)),),OFFSET(TH!O$1,SMALL(Dong2,ROWS($1:77)),)))</f>
        <v/>
      </c>
      <c r="F88" s="924" t="str">
        <f ca="1">IF(ROWS($1:77)&gt;COUNT(Dong2),"",IF(AND(IF($M$9="Q11",LEFT(OFFSET(TH!G$1,SMALL(Dong2,ROWS($1:77)),),3)=$M$9,LEFT(OFFSET(TH!G$1,SMALL(Dong2,ROWS($1:77)),),2)=$M$9),OFFSET(TH!N$1,SMALL(Dong2,ROWS($1:77)),)=$I$6),IF($I$6="1121",OFFSET(TH!M$1,SMALL(Dong2,ROWS($1:77)),),OFFSET(TH!K$1,SMALL(Dong2,ROWS($1:77)),)),0))</f>
        <v/>
      </c>
      <c r="G88" s="924" t="str">
        <f ca="1">IF(ROWS($1:77)&gt;COUNT(Dong2),"",IF(AND(IF($M$9="Q11",RIGHT(OFFSET(TH!G$1,SMALL(Dong2,ROWS($1:77)),),3)=$M$9,RIGHT(OFFSET(TH!G$1,SMALL(Dong2,ROWS($1:77)),),2)=$M$9),OFFSET(TH!O$1,SMALL(Dong2,ROWS($1:77)),)=$I$6),IF($I$6="1121",OFFSET(TH!M$1,SMALL(Dong2,ROWS($1:77)),),OFFSET(TH!K$1,SMALL(Dong2,ROWS($1:77)),)),0))</f>
        <v/>
      </c>
      <c r="H88" s="746">
        <f t="shared" ca="1" si="4"/>
        <v>0</v>
      </c>
      <c r="I88" s="746"/>
      <c r="J88" s="179"/>
      <c r="K88" s="179"/>
      <c r="L88" s="179"/>
      <c r="M88" s="179"/>
      <c r="N88" s="179"/>
      <c r="O88" s="179"/>
      <c r="P88" s="179"/>
      <c r="Q88" s="179"/>
      <c r="R88" s="179"/>
      <c r="S88" s="179"/>
    </row>
    <row r="89" spans="1:19" ht="20.25" customHeight="1">
      <c r="A89" s="190" t="str">
        <f ca="1">IF(ROWS($1:78)&gt;COUNT(Dong2),"",OFFSET(TH!C$1,SMALL(Dong2,ROWS($1:78)),))</f>
        <v/>
      </c>
      <c r="B89" s="190" t="str">
        <f ca="1">IF(ROWS($1:78)&gt;COUNT(Dong2),"",OFFSET(TH!D$1,SMALL(Dong2,ROWS($1:78)),))</f>
        <v/>
      </c>
      <c r="C89" s="190" t="str">
        <f ca="1">IF(ROWS($1:78)&gt;COUNT(Dong2),"",OFFSET(TH!E$1,SMALL(Dong2,ROWS($1:78)),))</f>
        <v/>
      </c>
      <c r="D89" s="349" t="str">
        <f ca="1">IF(ROWS($1:78)&gt;COUNT(Dong2),"",OFFSET(TH!F$1,SMALL(Dong2,ROWS($1:78)),))</f>
        <v/>
      </c>
      <c r="E89" s="190" t="str">
        <f ca="1">IF(ROWS($1:78)&gt;COUNT(Dong2),"",IF(OFFSET(TH!O$1,SMALL(Dong2,ROWS($1:78)),)=$I$6,OFFSET(TH!N$1,SMALL(Dong2,ROWS($1:78)),),OFFSET(TH!O$1,SMALL(Dong2,ROWS($1:78)),)))</f>
        <v/>
      </c>
      <c r="F89" s="924" t="str">
        <f ca="1">IF(ROWS($1:78)&gt;COUNT(Dong2),"",IF(AND(IF($M$9="Q11",LEFT(OFFSET(TH!G$1,SMALL(Dong2,ROWS($1:78)),),3)=$M$9,LEFT(OFFSET(TH!G$1,SMALL(Dong2,ROWS($1:78)),),2)=$M$9),OFFSET(TH!N$1,SMALL(Dong2,ROWS($1:78)),)=$I$6),IF($I$6="1121",OFFSET(TH!M$1,SMALL(Dong2,ROWS($1:78)),),OFFSET(TH!K$1,SMALL(Dong2,ROWS($1:78)),)),0))</f>
        <v/>
      </c>
      <c r="G89" s="924" t="str">
        <f ca="1">IF(ROWS($1:78)&gt;COUNT(Dong2),"",IF(AND(IF($M$9="Q11",RIGHT(OFFSET(TH!G$1,SMALL(Dong2,ROWS($1:78)),),3)=$M$9,RIGHT(OFFSET(TH!G$1,SMALL(Dong2,ROWS($1:78)),),2)=$M$9),OFFSET(TH!O$1,SMALL(Dong2,ROWS($1:78)),)=$I$6),IF($I$6="1121",OFFSET(TH!M$1,SMALL(Dong2,ROWS($1:78)),),OFFSET(TH!K$1,SMALL(Dong2,ROWS($1:78)),)),0))</f>
        <v/>
      </c>
      <c r="H89" s="746">
        <f t="shared" ca="1" si="4"/>
        <v>0</v>
      </c>
      <c r="I89" s="746"/>
      <c r="J89" s="179"/>
      <c r="K89" s="179"/>
      <c r="L89" s="179"/>
      <c r="M89" s="179"/>
      <c r="N89" s="179"/>
      <c r="O89" s="179"/>
      <c r="P89" s="179"/>
      <c r="Q89" s="179"/>
      <c r="R89" s="179"/>
      <c r="S89" s="179"/>
    </row>
    <row r="90" spans="1:19" ht="20.25" customHeight="1">
      <c r="A90" s="190" t="str">
        <f ca="1">IF(ROWS($1:79)&gt;COUNT(Dong2),"",OFFSET(TH!C$1,SMALL(Dong2,ROWS($1:79)),))</f>
        <v/>
      </c>
      <c r="B90" s="190" t="str">
        <f ca="1">IF(ROWS($1:79)&gt;COUNT(Dong2),"",OFFSET(TH!D$1,SMALL(Dong2,ROWS($1:79)),))</f>
        <v/>
      </c>
      <c r="C90" s="190" t="str">
        <f ca="1">IF(ROWS($1:79)&gt;COUNT(Dong2),"",OFFSET(TH!E$1,SMALL(Dong2,ROWS($1:79)),))</f>
        <v/>
      </c>
      <c r="D90" s="349" t="str">
        <f ca="1">IF(ROWS($1:79)&gt;COUNT(Dong2),"",OFFSET(TH!F$1,SMALL(Dong2,ROWS($1:79)),))</f>
        <v/>
      </c>
      <c r="E90" s="190" t="str">
        <f ca="1">IF(ROWS($1:79)&gt;COUNT(Dong2),"",IF(OFFSET(TH!O$1,SMALL(Dong2,ROWS($1:79)),)=$I$6,OFFSET(TH!N$1,SMALL(Dong2,ROWS($1:79)),),OFFSET(TH!O$1,SMALL(Dong2,ROWS($1:79)),)))</f>
        <v/>
      </c>
      <c r="F90" s="924" t="str">
        <f ca="1">IF(ROWS($1:79)&gt;COUNT(Dong2),"",IF(AND(IF($M$9="Q11",LEFT(OFFSET(TH!G$1,SMALL(Dong2,ROWS($1:79)),),3)=$M$9,LEFT(OFFSET(TH!G$1,SMALL(Dong2,ROWS($1:79)),),2)=$M$9),OFFSET(TH!N$1,SMALL(Dong2,ROWS($1:79)),)=$I$6),IF($I$6="1121",OFFSET(TH!M$1,SMALL(Dong2,ROWS($1:79)),),OFFSET(TH!K$1,SMALL(Dong2,ROWS($1:79)),)),0))</f>
        <v/>
      </c>
      <c r="G90" s="924" t="str">
        <f ca="1">IF(ROWS($1:79)&gt;COUNT(Dong2),"",IF(AND(IF($M$9="Q11",RIGHT(OFFSET(TH!G$1,SMALL(Dong2,ROWS($1:79)),),3)=$M$9,RIGHT(OFFSET(TH!G$1,SMALL(Dong2,ROWS($1:79)),),2)=$M$9),OFFSET(TH!O$1,SMALL(Dong2,ROWS($1:79)),)=$I$6),IF($I$6="1121",OFFSET(TH!M$1,SMALL(Dong2,ROWS($1:79)),),OFFSET(TH!K$1,SMALL(Dong2,ROWS($1:79)),)),0))</f>
        <v/>
      </c>
      <c r="H90" s="746">
        <f t="shared" ca="1" si="4"/>
        <v>0</v>
      </c>
      <c r="I90" s="746"/>
      <c r="J90" s="179"/>
      <c r="K90" s="179"/>
      <c r="L90" s="179"/>
      <c r="M90" s="179"/>
      <c r="N90" s="179"/>
      <c r="O90" s="179"/>
      <c r="P90" s="179"/>
      <c r="Q90" s="179"/>
      <c r="R90" s="179"/>
      <c r="S90" s="179"/>
    </row>
    <row r="91" spans="1:19" ht="20.25" customHeight="1">
      <c r="A91" s="190" t="str">
        <f ca="1">IF(ROWS($1:80)&gt;COUNT(Dong2),"",OFFSET(TH!C$1,SMALL(Dong2,ROWS($1:80)),))</f>
        <v/>
      </c>
      <c r="B91" s="190" t="str">
        <f ca="1">IF(ROWS($1:80)&gt;COUNT(Dong2),"",OFFSET(TH!D$1,SMALL(Dong2,ROWS($1:80)),))</f>
        <v/>
      </c>
      <c r="C91" s="190" t="str">
        <f ca="1">IF(ROWS($1:80)&gt;COUNT(Dong2),"",OFFSET(TH!E$1,SMALL(Dong2,ROWS($1:80)),))</f>
        <v/>
      </c>
      <c r="D91" s="349" t="str">
        <f ca="1">IF(ROWS($1:80)&gt;COUNT(Dong2),"",OFFSET(TH!F$1,SMALL(Dong2,ROWS($1:80)),))</f>
        <v/>
      </c>
      <c r="E91" s="190" t="str">
        <f ca="1">IF(ROWS($1:80)&gt;COUNT(Dong2),"",IF(OFFSET(TH!O$1,SMALL(Dong2,ROWS($1:80)),)=$I$6,OFFSET(TH!N$1,SMALL(Dong2,ROWS($1:80)),),OFFSET(TH!O$1,SMALL(Dong2,ROWS($1:80)),)))</f>
        <v/>
      </c>
      <c r="F91" s="924" t="str">
        <f ca="1">IF(ROWS($1:80)&gt;COUNT(Dong2),"",IF(AND(IF($M$9="Q11",LEFT(OFFSET(TH!G$1,SMALL(Dong2,ROWS($1:80)),),3)=$M$9,LEFT(OFFSET(TH!G$1,SMALL(Dong2,ROWS($1:80)),),2)=$M$9),OFFSET(TH!N$1,SMALL(Dong2,ROWS($1:80)),)=$I$6),IF($I$6="1121",OFFSET(TH!M$1,SMALL(Dong2,ROWS($1:80)),),OFFSET(TH!K$1,SMALL(Dong2,ROWS($1:80)),)),0))</f>
        <v/>
      </c>
      <c r="G91" s="924" t="str">
        <f ca="1">IF(ROWS($1:80)&gt;COUNT(Dong2),"",IF(AND(IF($M$9="Q11",RIGHT(OFFSET(TH!G$1,SMALL(Dong2,ROWS($1:80)),),3)=$M$9,RIGHT(OFFSET(TH!G$1,SMALL(Dong2,ROWS($1:80)),),2)=$M$9),OFFSET(TH!O$1,SMALL(Dong2,ROWS($1:80)),)=$I$6),IF($I$6="1121",OFFSET(TH!M$1,SMALL(Dong2,ROWS($1:80)),),OFFSET(TH!K$1,SMALL(Dong2,ROWS($1:80)),)),0))</f>
        <v/>
      </c>
      <c r="H91" s="746">
        <f t="shared" ca="1" si="4"/>
        <v>0</v>
      </c>
      <c r="I91" s="746"/>
      <c r="J91" s="179"/>
      <c r="K91" s="179"/>
      <c r="L91" s="179"/>
      <c r="M91" s="179"/>
      <c r="N91" s="179"/>
      <c r="O91" s="179"/>
      <c r="P91" s="179"/>
      <c r="Q91" s="179"/>
      <c r="R91" s="179"/>
      <c r="S91" s="179"/>
    </row>
    <row r="92" spans="1:19" ht="20.25" customHeight="1">
      <c r="A92" s="190" t="str">
        <f ca="1">IF(ROWS($1:81)&gt;COUNT(Dong2),"",OFFSET(TH!C$1,SMALL(Dong2,ROWS($1:81)),))</f>
        <v/>
      </c>
      <c r="B92" s="190" t="str">
        <f ca="1">IF(ROWS($1:81)&gt;COUNT(Dong2),"",OFFSET(TH!D$1,SMALL(Dong2,ROWS($1:81)),))</f>
        <v/>
      </c>
      <c r="C92" s="190" t="str">
        <f ca="1">IF(ROWS($1:81)&gt;COUNT(Dong2),"",OFFSET(TH!E$1,SMALL(Dong2,ROWS($1:81)),))</f>
        <v/>
      </c>
      <c r="D92" s="349" t="str">
        <f ca="1">IF(ROWS($1:81)&gt;COUNT(Dong2),"",OFFSET(TH!F$1,SMALL(Dong2,ROWS($1:81)),))</f>
        <v/>
      </c>
      <c r="E92" s="190" t="str">
        <f ca="1">IF(ROWS($1:81)&gt;COUNT(Dong2),"",IF(OFFSET(TH!O$1,SMALL(Dong2,ROWS($1:81)),)=$I$6,OFFSET(TH!N$1,SMALL(Dong2,ROWS($1:81)),),OFFSET(TH!O$1,SMALL(Dong2,ROWS($1:81)),)))</f>
        <v/>
      </c>
      <c r="F92" s="924" t="str">
        <f ca="1">IF(ROWS($1:81)&gt;COUNT(Dong2),"",IF(AND(IF($M$9="Q11",LEFT(OFFSET(TH!G$1,SMALL(Dong2,ROWS($1:81)),),3)=$M$9,LEFT(OFFSET(TH!G$1,SMALL(Dong2,ROWS($1:81)),),2)=$M$9),OFFSET(TH!N$1,SMALL(Dong2,ROWS($1:81)),)=$I$6),IF($I$6="1121",OFFSET(TH!M$1,SMALL(Dong2,ROWS($1:81)),),OFFSET(TH!K$1,SMALL(Dong2,ROWS($1:81)),)),0))</f>
        <v/>
      </c>
      <c r="G92" s="924" t="str">
        <f ca="1">IF(ROWS($1:81)&gt;COUNT(Dong2),"",IF(AND(IF($M$9="Q11",RIGHT(OFFSET(TH!G$1,SMALL(Dong2,ROWS($1:81)),),3)=$M$9,RIGHT(OFFSET(TH!G$1,SMALL(Dong2,ROWS($1:81)),),2)=$M$9),OFFSET(TH!O$1,SMALL(Dong2,ROWS($1:81)),)=$I$6),IF($I$6="1121",OFFSET(TH!M$1,SMALL(Dong2,ROWS($1:81)),),OFFSET(TH!K$1,SMALL(Dong2,ROWS($1:81)),)),0))</f>
        <v/>
      </c>
      <c r="H92" s="746">
        <f t="shared" ca="1" si="4"/>
        <v>0</v>
      </c>
      <c r="I92" s="746"/>
      <c r="J92" s="179"/>
      <c r="K92" s="179"/>
      <c r="L92" s="179"/>
      <c r="M92" s="179"/>
      <c r="N92" s="179"/>
      <c r="O92" s="179"/>
      <c r="P92" s="179"/>
      <c r="Q92" s="179"/>
      <c r="R92" s="179"/>
      <c r="S92" s="179"/>
    </row>
    <row r="93" spans="1:19" ht="20.25" customHeight="1">
      <c r="A93" s="190" t="str">
        <f ca="1">IF(ROWS($1:82)&gt;COUNT(Dong2),"",OFFSET(TH!C$1,SMALL(Dong2,ROWS($1:82)),))</f>
        <v/>
      </c>
      <c r="B93" s="190" t="str">
        <f ca="1">IF(ROWS($1:82)&gt;COUNT(Dong2),"",OFFSET(TH!D$1,SMALL(Dong2,ROWS($1:82)),))</f>
        <v/>
      </c>
      <c r="C93" s="190" t="str">
        <f ca="1">IF(ROWS($1:82)&gt;COUNT(Dong2),"",OFFSET(TH!E$1,SMALL(Dong2,ROWS($1:82)),))</f>
        <v/>
      </c>
      <c r="D93" s="349" t="str">
        <f ca="1">IF(ROWS($1:82)&gt;COUNT(Dong2),"",OFFSET(TH!F$1,SMALL(Dong2,ROWS($1:82)),))</f>
        <v/>
      </c>
      <c r="E93" s="190" t="str">
        <f ca="1">IF(ROWS($1:82)&gt;COUNT(Dong2),"",IF(OFFSET(TH!O$1,SMALL(Dong2,ROWS($1:82)),)=$I$6,OFFSET(TH!N$1,SMALL(Dong2,ROWS($1:82)),),OFFSET(TH!O$1,SMALL(Dong2,ROWS($1:82)),)))</f>
        <v/>
      </c>
      <c r="F93" s="924" t="str">
        <f ca="1">IF(ROWS($1:82)&gt;COUNT(Dong2),"",IF(AND(IF($M$9="Q11",LEFT(OFFSET(TH!G$1,SMALL(Dong2,ROWS($1:82)),),3)=$M$9,LEFT(OFFSET(TH!G$1,SMALL(Dong2,ROWS($1:82)),),2)=$M$9),OFFSET(TH!N$1,SMALL(Dong2,ROWS($1:82)),)=$I$6),IF($I$6="1121",OFFSET(TH!M$1,SMALL(Dong2,ROWS($1:82)),),OFFSET(TH!K$1,SMALL(Dong2,ROWS($1:82)),)),0))</f>
        <v/>
      </c>
      <c r="G93" s="924" t="str">
        <f ca="1">IF(ROWS($1:82)&gt;COUNT(Dong2),"",IF(AND(IF($M$9="Q11",RIGHT(OFFSET(TH!G$1,SMALL(Dong2,ROWS($1:82)),),3)=$M$9,RIGHT(OFFSET(TH!G$1,SMALL(Dong2,ROWS($1:82)),),2)=$M$9),OFFSET(TH!O$1,SMALL(Dong2,ROWS($1:82)),)=$I$6),IF($I$6="1121",OFFSET(TH!M$1,SMALL(Dong2,ROWS($1:82)),),OFFSET(TH!K$1,SMALL(Dong2,ROWS($1:82)),)),0))</f>
        <v/>
      </c>
      <c r="H93" s="746">
        <f t="shared" ca="1" si="4"/>
        <v>0</v>
      </c>
      <c r="I93" s="746"/>
      <c r="J93" s="179"/>
      <c r="K93" s="179"/>
      <c r="L93" s="179"/>
      <c r="M93" s="179"/>
      <c r="N93" s="179"/>
      <c r="O93" s="179"/>
      <c r="P93" s="179"/>
      <c r="Q93" s="179"/>
      <c r="R93" s="179"/>
      <c r="S93" s="179"/>
    </row>
    <row r="94" spans="1:19" ht="20.25" customHeight="1">
      <c r="A94" s="190" t="str">
        <f ca="1">IF(ROWS($1:83)&gt;COUNT(Dong2),"",OFFSET(TH!C$1,SMALL(Dong2,ROWS($1:83)),))</f>
        <v/>
      </c>
      <c r="B94" s="190" t="str">
        <f ca="1">IF(ROWS($1:83)&gt;COUNT(Dong2),"",OFFSET(TH!D$1,SMALL(Dong2,ROWS($1:83)),))</f>
        <v/>
      </c>
      <c r="C94" s="190" t="str">
        <f ca="1">IF(ROWS($1:83)&gt;COUNT(Dong2),"",OFFSET(TH!E$1,SMALL(Dong2,ROWS($1:83)),))</f>
        <v/>
      </c>
      <c r="D94" s="349" t="str">
        <f ca="1">IF(ROWS($1:83)&gt;COUNT(Dong2),"",OFFSET(TH!F$1,SMALL(Dong2,ROWS($1:83)),))</f>
        <v/>
      </c>
      <c r="E94" s="190" t="str">
        <f ca="1">IF(ROWS($1:83)&gt;COUNT(Dong2),"",IF(OFFSET(TH!O$1,SMALL(Dong2,ROWS($1:83)),)=$I$6,OFFSET(TH!N$1,SMALL(Dong2,ROWS($1:83)),),OFFSET(TH!O$1,SMALL(Dong2,ROWS($1:83)),)))</f>
        <v/>
      </c>
      <c r="F94" s="924" t="str">
        <f ca="1">IF(ROWS($1:83)&gt;COUNT(Dong2),"",IF(AND(IF($M$9="Q11",LEFT(OFFSET(TH!G$1,SMALL(Dong2,ROWS($1:83)),),3)=$M$9,LEFT(OFFSET(TH!G$1,SMALL(Dong2,ROWS($1:83)),),2)=$M$9),OFFSET(TH!N$1,SMALL(Dong2,ROWS($1:83)),)=$I$6),IF($I$6="1121",OFFSET(TH!M$1,SMALL(Dong2,ROWS($1:83)),),OFFSET(TH!K$1,SMALL(Dong2,ROWS($1:83)),)),0))</f>
        <v/>
      </c>
      <c r="G94" s="924" t="str">
        <f ca="1">IF(ROWS($1:83)&gt;COUNT(Dong2),"",IF(AND(IF($M$9="Q11",RIGHT(OFFSET(TH!G$1,SMALL(Dong2,ROWS($1:83)),),3)=$M$9,RIGHT(OFFSET(TH!G$1,SMALL(Dong2,ROWS($1:83)),),2)=$M$9),OFFSET(TH!O$1,SMALL(Dong2,ROWS($1:83)),)=$I$6),IF($I$6="1121",OFFSET(TH!M$1,SMALL(Dong2,ROWS($1:83)),),OFFSET(TH!K$1,SMALL(Dong2,ROWS($1:83)),)),0))</f>
        <v/>
      </c>
      <c r="H94" s="746">
        <f t="shared" ca="1" si="4"/>
        <v>0</v>
      </c>
      <c r="I94" s="746"/>
      <c r="J94" s="179"/>
      <c r="K94" s="179"/>
      <c r="L94" s="179"/>
      <c r="M94" s="179"/>
      <c r="N94" s="179"/>
      <c r="O94" s="179"/>
      <c r="P94" s="179"/>
      <c r="Q94" s="179"/>
      <c r="R94" s="179"/>
      <c r="S94" s="179"/>
    </row>
    <row r="95" spans="1:19" ht="20.25" customHeight="1">
      <c r="A95" s="190" t="str">
        <f ca="1">IF(ROWS($1:84)&gt;COUNT(Dong2),"",OFFSET(TH!C$1,SMALL(Dong2,ROWS($1:84)),))</f>
        <v/>
      </c>
      <c r="B95" s="190" t="str">
        <f ca="1">IF(ROWS($1:84)&gt;COUNT(Dong2),"",OFFSET(TH!D$1,SMALL(Dong2,ROWS($1:84)),))</f>
        <v/>
      </c>
      <c r="C95" s="190" t="str">
        <f ca="1">IF(ROWS($1:84)&gt;COUNT(Dong2),"",OFFSET(TH!E$1,SMALL(Dong2,ROWS($1:84)),))</f>
        <v/>
      </c>
      <c r="D95" s="349" t="str">
        <f ca="1">IF(ROWS($1:84)&gt;COUNT(Dong2),"",OFFSET(TH!F$1,SMALL(Dong2,ROWS($1:84)),))</f>
        <v/>
      </c>
      <c r="E95" s="190" t="str">
        <f ca="1">IF(ROWS($1:84)&gt;COUNT(Dong2),"",IF(OFFSET(TH!O$1,SMALL(Dong2,ROWS($1:84)),)=$I$6,OFFSET(TH!N$1,SMALL(Dong2,ROWS($1:84)),),OFFSET(TH!O$1,SMALL(Dong2,ROWS($1:84)),)))</f>
        <v/>
      </c>
      <c r="F95" s="924" t="str">
        <f ca="1">IF(ROWS($1:84)&gt;COUNT(Dong2),"",IF(AND(IF($M$9="Q11",LEFT(OFFSET(TH!G$1,SMALL(Dong2,ROWS($1:84)),),3)=$M$9,LEFT(OFFSET(TH!G$1,SMALL(Dong2,ROWS($1:84)),),2)=$M$9),OFFSET(TH!N$1,SMALL(Dong2,ROWS($1:84)),)=$I$6),IF($I$6="1121",OFFSET(TH!M$1,SMALL(Dong2,ROWS($1:84)),),OFFSET(TH!K$1,SMALL(Dong2,ROWS($1:84)),)),0))</f>
        <v/>
      </c>
      <c r="G95" s="924" t="str">
        <f ca="1">IF(ROWS($1:84)&gt;COUNT(Dong2),"",IF(AND(IF($M$9="Q11",RIGHT(OFFSET(TH!G$1,SMALL(Dong2,ROWS($1:84)),),3)=$M$9,RIGHT(OFFSET(TH!G$1,SMALL(Dong2,ROWS($1:84)),),2)=$M$9),OFFSET(TH!O$1,SMALL(Dong2,ROWS($1:84)),)=$I$6),IF($I$6="1121",OFFSET(TH!M$1,SMALL(Dong2,ROWS($1:84)),),OFFSET(TH!K$1,SMALL(Dong2,ROWS($1:84)),)),0))</f>
        <v/>
      </c>
      <c r="H95" s="746">
        <f t="shared" ca="1" si="4"/>
        <v>0</v>
      </c>
      <c r="I95" s="746"/>
      <c r="J95" s="179"/>
      <c r="K95" s="179"/>
      <c r="L95" s="179"/>
      <c r="M95" s="179"/>
      <c r="N95" s="179"/>
      <c r="O95" s="179"/>
      <c r="P95" s="179"/>
      <c r="Q95" s="179"/>
      <c r="R95" s="179"/>
      <c r="S95" s="179"/>
    </row>
    <row r="96" spans="1:19" ht="20.25" customHeight="1">
      <c r="A96" s="190" t="str">
        <f ca="1">IF(ROWS($1:85)&gt;COUNT(Dong2),"",OFFSET(TH!C$1,SMALL(Dong2,ROWS($1:85)),))</f>
        <v/>
      </c>
      <c r="B96" s="190" t="str">
        <f ca="1">IF(ROWS($1:85)&gt;COUNT(Dong2),"",OFFSET(TH!D$1,SMALL(Dong2,ROWS($1:85)),))</f>
        <v/>
      </c>
      <c r="C96" s="190" t="str">
        <f ca="1">IF(ROWS($1:85)&gt;COUNT(Dong2),"",OFFSET(TH!E$1,SMALL(Dong2,ROWS($1:85)),))</f>
        <v/>
      </c>
      <c r="D96" s="349" t="str">
        <f ca="1">IF(ROWS($1:85)&gt;COUNT(Dong2),"",OFFSET(TH!F$1,SMALL(Dong2,ROWS($1:85)),))</f>
        <v/>
      </c>
      <c r="E96" s="190" t="str">
        <f ca="1">IF(ROWS($1:85)&gt;COUNT(Dong2),"",IF(OFFSET(TH!O$1,SMALL(Dong2,ROWS($1:85)),)=$I$6,OFFSET(TH!N$1,SMALL(Dong2,ROWS($1:85)),),OFFSET(TH!O$1,SMALL(Dong2,ROWS($1:85)),)))</f>
        <v/>
      </c>
      <c r="F96" s="924" t="str">
        <f ca="1">IF(ROWS($1:85)&gt;COUNT(Dong2),"",IF(AND(IF($M$9="Q11",LEFT(OFFSET(TH!G$1,SMALL(Dong2,ROWS($1:85)),),3)=$M$9,LEFT(OFFSET(TH!G$1,SMALL(Dong2,ROWS($1:85)),),2)=$M$9),OFFSET(TH!N$1,SMALL(Dong2,ROWS($1:85)),)=$I$6),IF($I$6="1121",OFFSET(TH!M$1,SMALL(Dong2,ROWS($1:85)),),OFFSET(TH!K$1,SMALL(Dong2,ROWS($1:85)),)),0))</f>
        <v/>
      </c>
      <c r="G96" s="924" t="str">
        <f ca="1">IF(ROWS($1:85)&gt;COUNT(Dong2),"",IF(AND(IF($M$9="Q11",RIGHT(OFFSET(TH!G$1,SMALL(Dong2,ROWS($1:85)),),3)=$M$9,RIGHT(OFFSET(TH!G$1,SMALL(Dong2,ROWS($1:85)),),2)=$M$9),OFFSET(TH!O$1,SMALL(Dong2,ROWS($1:85)),)=$I$6),IF($I$6="1121",OFFSET(TH!M$1,SMALL(Dong2,ROWS($1:85)),),OFFSET(TH!K$1,SMALL(Dong2,ROWS($1:85)),)),0))</f>
        <v/>
      </c>
      <c r="H96" s="746">
        <f t="shared" ca="1" si="4"/>
        <v>0</v>
      </c>
      <c r="I96" s="746"/>
      <c r="J96" s="179"/>
      <c r="K96" s="179"/>
      <c r="L96" s="179"/>
      <c r="M96" s="179"/>
      <c r="N96" s="179"/>
      <c r="O96" s="179"/>
      <c r="P96" s="179"/>
      <c r="Q96" s="179"/>
      <c r="R96" s="179"/>
      <c r="S96" s="179"/>
    </row>
    <row r="97" spans="1:19" ht="20.25" customHeight="1">
      <c r="A97" s="190" t="str">
        <f ca="1">IF(ROWS($1:86)&gt;COUNT(Dong2),"",OFFSET(TH!C$1,SMALL(Dong2,ROWS($1:86)),))</f>
        <v/>
      </c>
      <c r="B97" s="190" t="str">
        <f ca="1">IF(ROWS($1:86)&gt;COUNT(Dong2),"",OFFSET(TH!D$1,SMALL(Dong2,ROWS($1:86)),))</f>
        <v/>
      </c>
      <c r="C97" s="190" t="str">
        <f ca="1">IF(ROWS($1:86)&gt;COUNT(Dong2),"",OFFSET(TH!E$1,SMALL(Dong2,ROWS($1:86)),))</f>
        <v/>
      </c>
      <c r="D97" s="349" t="str">
        <f ca="1">IF(ROWS($1:86)&gt;COUNT(Dong2),"",OFFSET(TH!F$1,SMALL(Dong2,ROWS($1:86)),))</f>
        <v/>
      </c>
      <c r="E97" s="190" t="str">
        <f ca="1">IF(ROWS($1:86)&gt;COUNT(Dong2),"",IF(OFFSET(TH!O$1,SMALL(Dong2,ROWS($1:86)),)=$I$6,OFFSET(TH!N$1,SMALL(Dong2,ROWS($1:86)),),OFFSET(TH!O$1,SMALL(Dong2,ROWS($1:86)),)))</f>
        <v/>
      </c>
      <c r="F97" s="924" t="str">
        <f ca="1">IF(ROWS($1:86)&gt;COUNT(Dong2),"",IF(AND(IF($M$9="Q11",LEFT(OFFSET(TH!G$1,SMALL(Dong2,ROWS($1:86)),),3)=$M$9,LEFT(OFFSET(TH!G$1,SMALL(Dong2,ROWS($1:86)),),2)=$M$9),OFFSET(TH!N$1,SMALL(Dong2,ROWS($1:86)),)=$I$6),IF($I$6="1121",OFFSET(TH!M$1,SMALL(Dong2,ROWS($1:86)),),OFFSET(TH!K$1,SMALL(Dong2,ROWS($1:86)),)),0))</f>
        <v/>
      </c>
      <c r="G97" s="924" t="str">
        <f ca="1">IF(ROWS($1:86)&gt;COUNT(Dong2),"",IF(AND(IF($M$9="Q11",RIGHT(OFFSET(TH!G$1,SMALL(Dong2,ROWS($1:86)),),3)=$M$9,RIGHT(OFFSET(TH!G$1,SMALL(Dong2,ROWS($1:86)),),2)=$M$9),OFFSET(TH!O$1,SMALL(Dong2,ROWS($1:86)),)=$I$6),IF($I$6="1121",OFFSET(TH!M$1,SMALL(Dong2,ROWS($1:86)),),OFFSET(TH!K$1,SMALL(Dong2,ROWS($1:86)),)),0))</f>
        <v/>
      </c>
      <c r="H97" s="746">
        <f t="shared" ca="1" si="4"/>
        <v>0</v>
      </c>
      <c r="I97" s="746"/>
      <c r="J97" s="179"/>
      <c r="K97" s="179"/>
      <c r="L97" s="179"/>
      <c r="M97" s="179"/>
      <c r="N97" s="179"/>
      <c r="O97" s="179"/>
      <c r="P97" s="179"/>
      <c r="Q97" s="179"/>
      <c r="R97" s="179"/>
      <c r="S97" s="179"/>
    </row>
    <row r="98" spans="1:19" ht="20.25" customHeight="1">
      <c r="A98" s="190" t="str">
        <f ca="1">IF(ROWS($1:87)&gt;COUNT(Dong2),"",OFFSET(TH!C$1,SMALL(Dong2,ROWS($1:87)),))</f>
        <v/>
      </c>
      <c r="B98" s="190" t="str">
        <f ca="1">IF(ROWS($1:87)&gt;COUNT(Dong2),"",OFFSET(TH!D$1,SMALL(Dong2,ROWS($1:87)),))</f>
        <v/>
      </c>
      <c r="C98" s="190" t="str">
        <f ca="1">IF(ROWS($1:87)&gt;COUNT(Dong2),"",OFFSET(TH!E$1,SMALL(Dong2,ROWS($1:87)),))</f>
        <v/>
      </c>
      <c r="D98" s="349" t="str">
        <f ca="1">IF(ROWS($1:87)&gt;COUNT(Dong2),"",OFFSET(TH!F$1,SMALL(Dong2,ROWS($1:87)),))</f>
        <v/>
      </c>
      <c r="E98" s="190" t="str">
        <f ca="1">IF(ROWS($1:87)&gt;COUNT(Dong2),"",IF(OFFSET(TH!O$1,SMALL(Dong2,ROWS($1:87)),)=$I$6,OFFSET(TH!N$1,SMALL(Dong2,ROWS($1:87)),),OFFSET(TH!O$1,SMALL(Dong2,ROWS($1:87)),)))</f>
        <v/>
      </c>
      <c r="F98" s="924" t="str">
        <f ca="1">IF(ROWS($1:87)&gt;COUNT(Dong2),"",IF(AND(IF($M$9="Q11",LEFT(OFFSET(TH!G$1,SMALL(Dong2,ROWS($1:87)),),3)=$M$9,LEFT(OFFSET(TH!G$1,SMALL(Dong2,ROWS($1:87)),),2)=$M$9),OFFSET(TH!N$1,SMALL(Dong2,ROWS($1:87)),)=$I$6),IF($I$6="1121",OFFSET(TH!M$1,SMALL(Dong2,ROWS($1:87)),),OFFSET(TH!K$1,SMALL(Dong2,ROWS($1:87)),)),0))</f>
        <v/>
      </c>
      <c r="G98" s="924" t="str">
        <f ca="1">IF(ROWS($1:87)&gt;COUNT(Dong2),"",IF(AND(IF($M$9="Q11",RIGHT(OFFSET(TH!G$1,SMALL(Dong2,ROWS($1:87)),),3)=$M$9,RIGHT(OFFSET(TH!G$1,SMALL(Dong2,ROWS($1:87)),),2)=$M$9),OFFSET(TH!O$1,SMALL(Dong2,ROWS($1:87)),)=$I$6),IF($I$6="1121",OFFSET(TH!M$1,SMALL(Dong2,ROWS($1:87)),),OFFSET(TH!K$1,SMALL(Dong2,ROWS($1:87)),)),0))</f>
        <v/>
      </c>
      <c r="H98" s="746">
        <f t="shared" ca="1" si="4"/>
        <v>0</v>
      </c>
      <c r="I98" s="746"/>
      <c r="J98" s="179"/>
      <c r="K98" s="179"/>
      <c r="L98" s="179"/>
      <c r="M98" s="179"/>
      <c r="N98" s="179"/>
      <c r="O98" s="179"/>
      <c r="P98" s="179"/>
      <c r="Q98" s="179"/>
      <c r="R98" s="179"/>
      <c r="S98" s="179"/>
    </row>
    <row r="99" spans="1:19" ht="20.25" customHeight="1">
      <c r="A99" s="190" t="str">
        <f ca="1">IF(ROWS($1:88)&gt;COUNT(Dong2),"",OFFSET(TH!C$1,SMALL(Dong2,ROWS($1:88)),))</f>
        <v/>
      </c>
      <c r="B99" s="190" t="str">
        <f ca="1">IF(ROWS($1:88)&gt;COUNT(Dong2),"",OFFSET(TH!D$1,SMALL(Dong2,ROWS($1:88)),))</f>
        <v/>
      </c>
      <c r="C99" s="190" t="str">
        <f ca="1">IF(ROWS($1:88)&gt;COUNT(Dong2),"",OFFSET(TH!E$1,SMALL(Dong2,ROWS($1:88)),))</f>
        <v/>
      </c>
      <c r="D99" s="349" t="str">
        <f ca="1">IF(ROWS($1:88)&gt;COUNT(Dong2),"",OFFSET(TH!F$1,SMALL(Dong2,ROWS($1:88)),))</f>
        <v/>
      </c>
      <c r="E99" s="190" t="str">
        <f ca="1">IF(ROWS($1:88)&gt;COUNT(Dong2),"",IF(OFFSET(TH!O$1,SMALL(Dong2,ROWS($1:88)),)=$I$6,OFFSET(TH!N$1,SMALL(Dong2,ROWS($1:88)),),OFFSET(TH!O$1,SMALL(Dong2,ROWS($1:88)),)))</f>
        <v/>
      </c>
      <c r="F99" s="924" t="str">
        <f ca="1">IF(ROWS($1:88)&gt;COUNT(Dong2),"",IF(AND(IF($M$9="Q11",LEFT(OFFSET(TH!G$1,SMALL(Dong2,ROWS($1:88)),),3)=$M$9,LEFT(OFFSET(TH!G$1,SMALL(Dong2,ROWS($1:88)),),2)=$M$9),OFFSET(TH!N$1,SMALL(Dong2,ROWS($1:88)),)=$I$6),IF($I$6="1121",OFFSET(TH!M$1,SMALL(Dong2,ROWS($1:88)),),OFFSET(TH!K$1,SMALL(Dong2,ROWS($1:88)),)),0))</f>
        <v/>
      </c>
      <c r="G99" s="924" t="str">
        <f ca="1">IF(ROWS($1:88)&gt;COUNT(Dong2),"",IF(AND(IF($M$9="Q11",RIGHT(OFFSET(TH!G$1,SMALL(Dong2,ROWS($1:88)),),3)=$M$9,RIGHT(OFFSET(TH!G$1,SMALL(Dong2,ROWS($1:88)),),2)=$M$9),OFFSET(TH!O$1,SMALL(Dong2,ROWS($1:88)),)=$I$6),IF($I$6="1121",OFFSET(TH!M$1,SMALL(Dong2,ROWS($1:88)),),OFFSET(TH!K$1,SMALL(Dong2,ROWS($1:88)),)),0))</f>
        <v/>
      </c>
      <c r="H99" s="746">
        <f t="shared" ca="1" si="4"/>
        <v>0</v>
      </c>
      <c r="I99" s="746"/>
      <c r="J99" s="179"/>
      <c r="K99" s="179"/>
      <c r="L99" s="179"/>
      <c r="M99" s="179"/>
      <c r="N99" s="179"/>
      <c r="O99" s="179"/>
      <c r="P99" s="179"/>
      <c r="Q99" s="179"/>
      <c r="R99" s="179"/>
      <c r="S99" s="179"/>
    </row>
    <row r="100" spans="1:19" ht="20.25" customHeight="1">
      <c r="A100" s="190" t="str">
        <f ca="1">IF(ROWS($1:89)&gt;COUNT(Dong2),"",OFFSET(TH!C$1,SMALL(Dong2,ROWS($1:89)),))</f>
        <v/>
      </c>
      <c r="B100" s="190" t="str">
        <f ca="1">IF(ROWS($1:89)&gt;COUNT(Dong2),"",OFFSET(TH!D$1,SMALL(Dong2,ROWS($1:89)),))</f>
        <v/>
      </c>
      <c r="C100" s="190" t="str">
        <f ca="1">IF(ROWS($1:89)&gt;COUNT(Dong2),"",OFFSET(TH!E$1,SMALL(Dong2,ROWS($1:89)),))</f>
        <v/>
      </c>
      <c r="D100" s="349" t="str">
        <f ca="1">IF(ROWS($1:89)&gt;COUNT(Dong2),"",OFFSET(TH!F$1,SMALL(Dong2,ROWS($1:89)),))</f>
        <v/>
      </c>
      <c r="E100" s="190" t="str">
        <f ca="1">IF(ROWS($1:89)&gt;COUNT(Dong2),"",IF(OFFSET(TH!O$1,SMALL(Dong2,ROWS($1:89)),)=$I$6,OFFSET(TH!N$1,SMALL(Dong2,ROWS($1:89)),),OFFSET(TH!O$1,SMALL(Dong2,ROWS($1:89)),)))</f>
        <v/>
      </c>
      <c r="F100" s="924" t="str">
        <f ca="1">IF(ROWS($1:89)&gt;COUNT(Dong2),"",IF(AND(IF($M$9="Q11",LEFT(OFFSET(TH!G$1,SMALL(Dong2,ROWS($1:89)),),3)=$M$9,LEFT(OFFSET(TH!G$1,SMALL(Dong2,ROWS($1:89)),),2)=$M$9),OFFSET(TH!N$1,SMALL(Dong2,ROWS($1:89)),)=$I$6),IF($I$6="1121",OFFSET(TH!M$1,SMALL(Dong2,ROWS($1:89)),),OFFSET(TH!K$1,SMALL(Dong2,ROWS($1:89)),)),0))</f>
        <v/>
      </c>
      <c r="G100" s="924" t="str">
        <f ca="1">IF(ROWS($1:89)&gt;COUNT(Dong2),"",IF(AND(IF($M$9="Q11",RIGHT(OFFSET(TH!G$1,SMALL(Dong2,ROWS($1:89)),),3)=$M$9,RIGHT(OFFSET(TH!G$1,SMALL(Dong2,ROWS($1:89)),),2)=$M$9),OFFSET(TH!O$1,SMALL(Dong2,ROWS($1:89)),)=$I$6),IF($I$6="1121",OFFSET(TH!M$1,SMALL(Dong2,ROWS($1:89)),),OFFSET(TH!K$1,SMALL(Dong2,ROWS($1:89)),)),0))</f>
        <v/>
      </c>
      <c r="H100" s="746">
        <f t="shared" ca="1" si="4"/>
        <v>0</v>
      </c>
      <c r="I100" s="746"/>
      <c r="J100" s="179"/>
      <c r="K100" s="179"/>
      <c r="L100" s="179"/>
      <c r="M100" s="179"/>
      <c r="N100" s="179"/>
      <c r="O100" s="179"/>
      <c r="P100" s="179"/>
      <c r="Q100" s="179"/>
      <c r="R100" s="179"/>
      <c r="S100" s="179"/>
    </row>
    <row r="101" spans="1:19" ht="20.25" customHeight="1">
      <c r="A101" s="190" t="str">
        <f ca="1">IF(ROWS($1:90)&gt;COUNT(Dong2),"",OFFSET(TH!C$1,SMALL(Dong2,ROWS($1:90)),))</f>
        <v/>
      </c>
      <c r="B101" s="190" t="str">
        <f ca="1">IF(ROWS($1:90)&gt;COUNT(Dong2),"",OFFSET(TH!D$1,SMALL(Dong2,ROWS($1:90)),))</f>
        <v/>
      </c>
      <c r="C101" s="190" t="str">
        <f ca="1">IF(ROWS($1:90)&gt;COUNT(Dong2),"",OFFSET(TH!E$1,SMALL(Dong2,ROWS($1:90)),))</f>
        <v/>
      </c>
      <c r="D101" s="349" t="str">
        <f ca="1">IF(ROWS($1:90)&gt;COUNT(Dong2),"",OFFSET(TH!F$1,SMALL(Dong2,ROWS($1:90)),))</f>
        <v/>
      </c>
      <c r="E101" s="190" t="str">
        <f ca="1">IF(ROWS($1:90)&gt;COUNT(Dong2),"",IF(OFFSET(TH!O$1,SMALL(Dong2,ROWS($1:90)),)=$I$6,OFFSET(TH!N$1,SMALL(Dong2,ROWS($1:90)),),OFFSET(TH!O$1,SMALL(Dong2,ROWS($1:90)),)))</f>
        <v/>
      </c>
      <c r="F101" s="924" t="str">
        <f ca="1">IF(ROWS($1:90)&gt;COUNT(Dong2),"",IF(AND(IF($M$9="Q11",LEFT(OFFSET(TH!G$1,SMALL(Dong2,ROWS($1:90)),),3)=$M$9,LEFT(OFFSET(TH!G$1,SMALL(Dong2,ROWS($1:90)),),2)=$M$9),OFFSET(TH!N$1,SMALL(Dong2,ROWS($1:90)),)=$I$6),IF($I$6="1121",OFFSET(TH!M$1,SMALL(Dong2,ROWS($1:90)),),OFFSET(TH!K$1,SMALL(Dong2,ROWS($1:90)),)),0))</f>
        <v/>
      </c>
      <c r="G101" s="924" t="str">
        <f ca="1">IF(ROWS($1:90)&gt;COUNT(Dong2),"",IF(AND(IF($M$9="Q11",RIGHT(OFFSET(TH!G$1,SMALL(Dong2,ROWS($1:90)),),3)=$M$9,RIGHT(OFFSET(TH!G$1,SMALL(Dong2,ROWS($1:90)),),2)=$M$9),OFFSET(TH!O$1,SMALL(Dong2,ROWS($1:90)),)=$I$6),IF($I$6="1121",OFFSET(TH!M$1,SMALL(Dong2,ROWS($1:90)),),OFFSET(TH!K$1,SMALL(Dong2,ROWS($1:90)),)),0))</f>
        <v/>
      </c>
      <c r="H101" s="746">
        <f t="shared" ca="1" si="4"/>
        <v>0</v>
      </c>
      <c r="I101" s="746"/>
      <c r="J101" s="179"/>
      <c r="K101" s="179"/>
      <c r="L101" s="179"/>
      <c r="M101" s="179"/>
      <c r="N101" s="179"/>
      <c r="O101" s="179"/>
      <c r="P101" s="179"/>
      <c r="Q101" s="179"/>
      <c r="R101" s="179"/>
      <c r="S101" s="179"/>
    </row>
    <row r="102" spans="1:19" ht="20.25" customHeight="1">
      <c r="A102" s="190" t="str">
        <f ca="1">IF(ROWS($1:91)&gt;COUNT(Dong2),"",OFFSET(TH!C$1,SMALL(Dong2,ROWS($1:91)),))</f>
        <v/>
      </c>
      <c r="B102" s="190" t="str">
        <f ca="1">IF(ROWS($1:91)&gt;COUNT(Dong2),"",OFFSET(TH!D$1,SMALL(Dong2,ROWS($1:91)),))</f>
        <v/>
      </c>
      <c r="C102" s="190" t="str">
        <f ca="1">IF(ROWS($1:91)&gt;COUNT(Dong2),"",OFFSET(TH!E$1,SMALL(Dong2,ROWS($1:91)),))</f>
        <v/>
      </c>
      <c r="D102" s="349" t="str">
        <f ca="1">IF(ROWS($1:91)&gt;COUNT(Dong2),"",OFFSET(TH!F$1,SMALL(Dong2,ROWS($1:91)),))</f>
        <v/>
      </c>
      <c r="E102" s="190" t="str">
        <f ca="1">IF(ROWS($1:91)&gt;COUNT(Dong2),"",IF(OFFSET(TH!O$1,SMALL(Dong2,ROWS($1:91)),)=$I$6,OFFSET(TH!N$1,SMALL(Dong2,ROWS($1:91)),),OFFSET(TH!O$1,SMALL(Dong2,ROWS($1:91)),)))</f>
        <v/>
      </c>
      <c r="F102" s="924" t="str">
        <f ca="1">IF(ROWS($1:91)&gt;COUNT(Dong2),"",IF(AND(IF($M$9="Q11",LEFT(OFFSET(TH!G$1,SMALL(Dong2,ROWS($1:91)),),3)=$M$9,LEFT(OFFSET(TH!G$1,SMALL(Dong2,ROWS($1:91)),),2)=$M$9),OFFSET(TH!N$1,SMALL(Dong2,ROWS($1:91)),)=$I$6),IF($I$6="1121",OFFSET(TH!M$1,SMALL(Dong2,ROWS($1:91)),),OFFSET(TH!K$1,SMALL(Dong2,ROWS($1:91)),)),0))</f>
        <v/>
      </c>
      <c r="G102" s="924" t="str">
        <f ca="1">IF(ROWS($1:91)&gt;COUNT(Dong2),"",IF(AND(IF($M$9="Q11",RIGHT(OFFSET(TH!G$1,SMALL(Dong2,ROWS($1:91)),),3)=$M$9,RIGHT(OFFSET(TH!G$1,SMALL(Dong2,ROWS($1:91)),),2)=$M$9),OFFSET(TH!O$1,SMALL(Dong2,ROWS($1:91)),)=$I$6),IF($I$6="1121",OFFSET(TH!M$1,SMALL(Dong2,ROWS($1:91)),),OFFSET(TH!K$1,SMALL(Dong2,ROWS($1:91)),)),0))</f>
        <v/>
      </c>
      <c r="H102" s="746">
        <f t="shared" ca="1" si="4"/>
        <v>0</v>
      </c>
      <c r="I102" s="746"/>
      <c r="J102" s="179"/>
      <c r="K102" s="179"/>
      <c r="L102" s="179"/>
      <c r="M102" s="179"/>
      <c r="N102" s="179"/>
      <c r="O102" s="179"/>
      <c r="P102" s="179"/>
      <c r="Q102" s="179"/>
      <c r="R102" s="179"/>
      <c r="S102" s="179"/>
    </row>
    <row r="103" spans="1:19" ht="20.25" customHeight="1">
      <c r="A103" s="190" t="str">
        <f ca="1">IF(ROWS($1:92)&gt;COUNT(Dong2),"",OFFSET(TH!C$1,SMALL(Dong2,ROWS($1:92)),))</f>
        <v/>
      </c>
      <c r="B103" s="190" t="str">
        <f ca="1">IF(ROWS($1:92)&gt;COUNT(Dong2),"",OFFSET(TH!D$1,SMALL(Dong2,ROWS($1:92)),))</f>
        <v/>
      </c>
      <c r="C103" s="190" t="str">
        <f ca="1">IF(ROWS($1:92)&gt;COUNT(Dong2),"",OFFSET(TH!E$1,SMALL(Dong2,ROWS($1:92)),))</f>
        <v/>
      </c>
      <c r="D103" s="349" t="str">
        <f ca="1">IF(ROWS($1:92)&gt;COUNT(Dong2),"",OFFSET(TH!F$1,SMALL(Dong2,ROWS($1:92)),))</f>
        <v/>
      </c>
      <c r="E103" s="190" t="str">
        <f ca="1">IF(ROWS($1:92)&gt;COUNT(Dong2),"",IF(OFFSET(TH!O$1,SMALL(Dong2,ROWS($1:92)),)=$I$6,OFFSET(TH!N$1,SMALL(Dong2,ROWS($1:92)),),OFFSET(TH!O$1,SMALL(Dong2,ROWS($1:92)),)))</f>
        <v/>
      </c>
      <c r="F103" s="924" t="str">
        <f ca="1">IF(ROWS($1:92)&gt;COUNT(Dong2),"",IF(AND(IF($M$9="Q11",LEFT(OFFSET(TH!G$1,SMALL(Dong2,ROWS($1:92)),),3)=$M$9,LEFT(OFFSET(TH!G$1,SMALL(Dong2,ROWS($1:92)),),2)=$M$9),OFFSET(TH!N$1,SMALL(Dong2,ROWS($1:92)),)=$I$6),IF($I$6="1121",OFFSET(TH!M$1,SMALL(Dong2,ROWS($1:92)),),OFFSET(TH!K$1,SMALL(Dong2,ROWS($1:92)),)),0))</f>
        <v/>
      </c>
      <c r="G103" s="924" t="str">
        <f ca="1">IF(ROWS($1:92)&gt;COUNT(Dong2),"",IF(AND(IF($M$9="Q11",RIGHT(OFFSET(TH!G$1,SMALL(Dong2,ROWS($1:92)),),3)=$M$9,RIGHT(OFFSET(TH!G$1,SMALL(Dong2,ROWS($1:92)),),2)=$M$9),OFFSET(TH!O$1,SMALL(Dong2,ROWS($1:92)),)=$I$6),IF($I$6="1121",OFFSET(TH!M$1,SMALL(Dong2,ROWS($1:92)),),OFFSET(TH!K$1,SMALL(Dong2,ROWS($1:92)),)),0))</f>
        <v/>
      </c>
      <c r="H103" s="746">
        <f t="shared" ca="1" si="4"/>
        <v>0</v>
      </c>
      <c r="I103" s="746"/>
      <c r="J103" s="179"/>
      <c r="K103" s="179"/>
      <c r="L103" s="179"/>
      <c r="M103" s="179"/>
      <c r="N103" s="179"/>
      <c r="O103" s="179"/>
      <c r="P103" s="179"/>
      <c r="Q103" s="179"/>
      <c r="R103" s="179"/>
      <c r="S103" s="179"/>
    </row>
    <row r="104" spans="1:19" ht="20.25" customHeight="1">
      <c r="A104" s="190" t="str">
        <f ca="1">IF(ROWS($1:93)&gt;COUNT(Dong2),"",OFFSET(TH!C$1,SMALL(Dong2,ROWS($1:93)),))</f>
        <v/>
      </c>
      <c r="B104" s="190" t="str">
        <f ca="1">IF(ROWS($1:93)&gt;COUNT(Dong2),"",OFFSET(TH!D$1,SMALL(Dong2,ROWS($1:93)),))</f>
        <v/>
      </c>
      <c r="C104" s="190" t="str">
        <f ca="1">IF(ROWS($1:93)&gt;COUNT(Dong2),"",OFFSET(TH!E$1,SMALL(Dong2,ROWS($1:93)),))</f>
        <v/>
      </c>
      <c r="D104" s="349" t="str">
        <f ca="1">IF(ROWS($1:93)&gt;COUNT(Dong2),"",OFFSET(TH!F$1,SMALL(Dong2,ROWS($1:93)),))</f>
        <v/>
      </c>
      <c r="E104" s="190" t="str">
        <f ca="1">IF(ROWS($1:93)&gt;COUNT(Dong2),"",IF(OFFSET(TH!O$1,SMALL(Dong2,ROWS($1:93)),)=$I$6,OFFSET(TH!N$1,SMALL(Dong2,ROWS($1:93)),),OFFSET(TH!O$1,SMALL(Dong2,ROWS($1:93)),)))</f>
        <v/>
      </c>
      <c r="F104" s="924" t="str">
        <f ca="1">IF(ROWS($1:93)&gt;COUNT(Dong2),"",IF(AND(IF($M$9="Q11",LEFT(OFFSET(TH!G$1,SMALL(Dong2,ROWS($1:93)),),3)=$M$9,LEFT(OFFSET(TH!G$1,SMALL(Dong2,ROWS($1:93)),),2)=$M$9),OFFSET(TH!N$1,SMALL(Dong2,ROWS($1:93)),)=$I$6),IF($I$6="1121",OFFSET(TH!M$1,SMALL(Dong2,ROWS($1:93)),),OFFSET(TH!K$1,SMALL(Dong2,ROWS($1:93)),)),0))</f>
        <v/>
      </c>
      <c r="G104" s="924" t="str">
        <f ca="1">IF(ROWS($1:93)&gt;COUNT(Dong2),"",IF(AND(IF($M$9="Q11",RIGHT(OFFSET(TH!G$1,SMALL(Dong2,ROWS($1:93)),),3)=$M$9,RIGHT(OFFSET(TH!G$1,SMALL(Dong2,ROWS($1:93)),),2)=$M$9),OFFSET(TH!O$1,SMALL(Dong2,ROWS($1:93)),)=$I$6),IF($I$6="1121",OFFSET(TH!M$1,SMALL(Dong2,ROWS($1:93)),),OFFSET(TH!K$1,SMALL(Dong2,ROWS($1:93)),)),0))</f>
        <v/>
      </c>
      <c r="H104" s="746">
        <f t="shared" ca="1" si="4"/>
        <v>0</v>
      </c>
      <c r="I104" s="746"/>
      <c r="J104" s="179"/>
      <c r="K104" s="179"/>
      <c r="L104" s="179"/>
      <c r="M104" s="179"/>
      <c r="N104" s="179"/>
      <c r="O104" s="179"/>
      <c r="P104" s="179"/>
      <c r="Q104" s="179"/>
      <c r="R104" s="179"/>
      <c r="S104" s="179"/>
    </row>
    <row r="105" spans="1:19" ht="20.25" customHeight="1">
      <c r="A105" s="190" t="str">
        <f ca="1">IF(ROWS($1:94)&gt;COUNT(Dong2),"",OFFSET(TH!C$1,SMALL(Dong2,ROWS($1:94)),))</f>
        <v/>
      </c>
      <c r="B105" s="190" t="str">
        <f ca="1">IF(ROWS($1:94)&gt;COUNT(Dong2),"",OFFSET(TH!D$1,SMALL(Dong2,ROWS($1:94)),))</f>
        <v/>
      </c>
      <c r="C105" s="190" t="str">
        <f ca="1">IF(ROWS($1:94)&gt;COUNT(Dong2),"",OFFSET(TH!E$1,SMALL(Dong2,ROWS($1:94)),))</f>
        <v/>
      </c>
      <c r="D105" s="349" t="str">
        <f ca="1">IF(ROWS($1:94)&gt;COUNT(Dong2),"",OFFSET(TH!F$1,SMALL(Dong2,ROWS($1:94)),))</f>
        <v/>
      </c>
      <c r="E105" s="190" t="str">
        <f ca="1">IF(ROWS($1:94)&gt;COUNT(Dong2),"",IF(OFFSET(TH!O$1,SMALL(Dong2,ROWS($1:94)),)=$I$6,OFFSET(TH!N$1,SMALL(Dong2,ROWS($1:94)),),OFFSET(TH!O$1,SMALL(Dong2,ROWS($1:94)),)))</f>
        <v/>
      </c>
      <c r="F105" s="924" t="str">
        <f ca="1">IF(ROWS($1:94)&gt;COUNT(Dong2),"",IF(AND(IF($M$9="Q11",LEFT(OFFSET(TH!G$1,SMALL(Dong2,ROWS($1:94)),),3)=$M$9,LEFT(OFFSET(TH!G$1,SMALL(Dong2,ROWS($1:94)),),2)=$M$9),OFFSET(TH!N$1,SMALL(Dong2,ROWS($1:94)),)=$I$6),IF($I$6="1121",OFFSET(TH!M$1,SMALL(Dong2,ROWS($1:94)),),OFFSET(TH!K$1,SMALL(Dong2,ROWS($1:94)),)),0))</f>
        <v/>
      </c>
      <c r="G105" s="924" t="str">
        <f ca="1">IF(ROWS($1:94)&gt;COUNT(Dong2),"",IF(AND(IF($M$9="Q11",RIGHT(OFFSET(TH!G$1,SMALL(Dong2,ROWS($1:94)),),3)=$M$9,RIGHT(OFFSET(TH!G$1,SMALL(Dong2,ROWS($1:94)),),2)=$M$9),OFFSET(TH!O$1,SMALL(Dong2,ROWS($1:94)),)=$I$6),IF($I$6="1121",OFFSET(TH!M$1,SMALL(Dong2,ROWS($1:94)),),OFFSET(TH!K$1,SMALL(Dong2,ROWS($1:94)),)),0))</f>
        <v/>
      </c>
      <c r="H105" s="746">
        <f t="shared" ca="1" si="4"/>
        <v>0</v>
      </c>
      <c r="I105" s="746"/>
      <c r="J105" s="179"/>
      <c r="K105" s="179"/>
      <c r="L105" s="179"/>
      <c r="M105" s="179"/>
      <c r="N105" s="179"/>
      <c r="O105" s="179"/>
      <c r="P105" s="179"/>
      <c r="Q105" s="179"/>
      <c r="R105" s="179"/>
      <c r="S105" s="179"/>
    </row>
    <row r="106" spans="1:19" ht="20.25" customHeight="1">
      <c r="A106" s="190" t="str">
        <f ca="1">IF(ROWS($1:95)&gt;COUNT(Dong2),"",OFFSET(TH!C$1,SMALL(Dong2,ROWS($1:95)),))</f>
        <v/>
      </c>
      <c r="B106" s="190" t="str">
        <f ca="1">IF(ROWS($1:95)&gt;COUNT(Dong2),"",OFFSET(TH!D$1,SMALL(Dong2,ROWS($1:95)),))</f>
        <v/>
      </c>
      <c r="C106" s="190" t="str">
        <f ca="1">IF(ROWS($1:95)&gt;COUNT(Dong2),"",OFFSET(TH!E$1,SMALL(Dong2,ROWS($1:95)),))</f>
        <v/>
      </c>
      <c r="D106" s="349" t="str">
        <f ca="1">IF(ROWS($1:95)&gt;COUNT(Dong2),"",OFFSET(TH!F$1,SMALL(Dong2,ROWS($1:95)),))</f>
        <v/>
      </c>
      <c r="E106" s="190" t="str">
        <f ca="1">IF(ROWS($1:95)&gt;COUNT(Dong2),"",IF(OFFSET(TH!O$1,SMALL(Dong2,ROWS($1:95)),)=$I$6,OFFSET(TH!N$1,SMALL(Dong2,ROWS($1:95)),),OFFSET(TH!O$1,SMALL(Dong2,ROWS($1:95)),)))</f>
        <v/>
      </c>
      <c r="F106" s="924" t="str">
        <f ca="1">IF(ROWS($1:95)&gt;COUNT(Dong2),"",IF(AND(IF($M$9="Q11",LEFT(OFFSET(TH!G$1,SMALL(Dong2,ROWS($1:95)),),3)=$M$9,LEFT(OFFSET(TH!G$1,SMALL(Dong2,ROWS($1:95)),),2)=$M$9),OFFSET(TH!N$1,SMALL(Dong2,ROWS($1:95)),)=$I$6),IF($I$6="1121",OFFSET(TH!M$1,SMALL(Dong2,ROWS($1:95)),),OFFSET(TH!K$1,SMALL(Dong2,ROWS($1:95)),)),0))</f>
        <v/>
      </c>
      <c r="G106" s="924" t="str">
        <f ca="1">IF(ROWS($1:95)&gt;COUNT(Dong2),"",IF(AND(IF($M$9="Q11",RIGHT(OFFSET(TH!G$1,SMALL(Dong2,ROWS($1:95)),),3)=$M$9,RIGHT(OFFSET(TH!G$1,SMALL(Dong2,ROWS($1:95)),),2)=$M$9),OFFSET(TH!O$1,SMALL(Dong2,ROWS($1:95)),)=$I$6),IF($I$6="1121",OFFSET(TH!M$1,SMALL(Dong2,ROWS($1:95)),),OFFSET(TH!K$1,SMALL(Dong2,ROWS($1:95)),)),0))</f>
        <v/>
      </c>
      <c r="H106" s="746">
        <f t="shared" ca="1" si="4"/>
        <v>0</v>
      </c>
      <c r="I106" s="746"/>
      <c r="J106" s="179"/>
      <c r="K106" s="179"/>
      <c r="L106" s="179"/>
      <c r="M106" s="179"/>
      <c r="N106" s="179"/>
      <c r="O106" s="179"/>
      <c r="P106" s="179"/>
      <c r="Q106" s="179"/>
      <c r="R106" s="179"/>
      <c r="S106" s="179"/>
    </row>
    <row r="107" spans="1:19" ht="20.25" customHeight="1">
      <c r="A107" s="190" t="str">
        <f ca="1">IF(ROWS($1:96)&gt;COUNT(Dong2),"",OFFSET(TH!C$1,SMALL(Dong2,ROWS($1:96)),))</f>
        <v/>
      </c>
      <c r="B107" s="190" t="str">
        <f ca="1">IF(ROWS($1:96)&gt;COUNT(Dong2),"",OFFSET(TH!D$1,SMALL(Dong2,ROWS($1:96)),))</f>
        <v/>
      </c>
      <c r="C107" s="190" t="str">
        <f ca="1">IF(ROWS($1:96)&gt;COUNT(Dong2),"",OFFSET(TH!E$1,SMALL(Dong2,ROWS($1:96)),))</f>
        <v/>
      </c>
      <c r="D107" s="349" t="str">
        <f ca="1">IF(ROWS($1:96)&gt;COUNT(Dong2),"",OFFSET(TH!F$1,SMALL(Dong2,ROWS($1:96)),))</f>
        <v/>
      </c>
      <c r="E107" s="190" t="str">
        <f ca="1">IF(ROWS($1:96)&gt;COUNT(Dong2),"",IF(OFFSET(TH!O$1,SMALL(Dong2,ROWS($1:96)),)=$I$6,OFFSET(TH!N$1,SMALL(Dong2,ROWS($1:96)),),OFFSET(TH!O$1,SMALL(Dong2,ROWS($1:96)),)))</f>
        <v/>
      </c>
      <c r="F107" s="924" t="str">
        <f ca="1">IF(ROWS($1:96)&gt;COUNT(Dong2),"",IF(AND(IF($M$9="Q11",LEFT(OFFSET(TH!G$1,SMALL(Dong2,ROWS($1:96)),),3)=$M$9,LEFT(OFFSET(TH!G$1,SMALL(Dong2,ROWS($1:96)),),2)=$M$9),OFFSET(TH!N$1,SMALL(Dong2,ROWS($1:96)),)=$I$6),IF($I$6="1121",OFFSET(TH!M$1,SMALL(Dong2,ROWS($1:96)),),OFFSET(TH!K$1,SMALL(Dong2,ROWS($1:96)),)),0))</f>
        <v/>
      </c>
      <c r="G107" s="924" t="str">
        <f ca="1">IF(ROWS($1:96)&gt;COUNT(Dong2),"",IF(AND(IF($M$9="Q11",RIGHT(OFFSET(TH!G$1,SMALL(Dong2,ROWS($1:96)),),3)=$M$9,RIGHT(OFFSET(TH!G$1,SMALL(Dong2,ROWS($1:96)),),2)=$M$9),OFFSET(TH!O$1,SMALL(Dong2,ROWS($1:96)),)=$I$6),IF($I$6="1121",OFFSET(TH!M$1,SMALL(Dong2,ROWS($1:96)),),OFFSET(TH!K$1,SMALL(Dong2,ROWS($1:96)),)),0))</f>
        <v/>
      </c>
      <c r="H107" s="746">
        <f t="shared" ca="1" si="4"/>
        <v>0</v>
      </c>
      <c r="I107" s="746"/>
      <c r="J107" s="179"/>
      <c r="K107" s="179"/>
      <c r="L107" s="179"/>
      <c r="M107" s="179"/>
      <c r="N107" s="179"/>
      <c r="O107" s="179"/>
      <c r="P107" s="179"/>
      <c r="Q107" s="179"/>
      <c r="R107" s="179"/>
      <c r="S107" s="179"/>
    </row>
    <row r="108" spans="1:19" ht="20.25" customHeight="1">
      <c r="A108" s="190" t="str">
        <f ca="1">IF(ROWS($1:97)&gt;COUNT(Dong2),"",OFFSET(TH!C$1,SMALL(Dong2,ROWS($1:97)),))</f>
        <v/>
      </c>
      <c r="B108" s="190" t="str">
        <f ca="1">IF(ROWS($1:97)&gt;COUNT(Dong2),"",OFFSET(TH!D$1,SMALL(Dong2,ROWS($1:97)),))</f>
        <v/>
      </c>
      <c r="C108" s="190" t="str">
        <f ca="1">IF(ROWS($1:97)&gt;COUNT(Dong2),"",OFFSET(TH!E$1,SMALL(Dong2,ROWS($1:97)),))</f>
        <v/>
      </c>
      <c r="D108" s="349" t="str">
        <f ca="1">IF(ROWS($1:97)&gt;COUNT(Dong2),"",OFFSET(TH!F$1,SMALL(Dong2,ROWS($1:97)),))</f>
        <v/>
      </c>
      <c r="E108" s="190" t="str">
        <f ca="1">IF(ROWS($1:97)&gt;COUNT(Dong2),"",IF(OFFSET(TH!O$1,SMALL(Dong2,ROWS($1:97)),)=$I$6,OFFSET(TH!N$1,SMALL(Dong2,ROWS($1:97)),),OFFSET(TH!O$1,SMALL(Dong2,ROWS($1:97)),)))</f>
        <v/>
      </c>
      <c r="F108" s="924" t="str">
        <f ca="1">IF(ROWS($1:97)&gt;COUNT(Dong2),"",IF(AND(IF($M$9="Q11",LEFT(OFFSET(TH!G$1,SMALL(Dong2,ROWS($1:97)),),3)=$M$9,LEFT(OFFSET(TH!G$1,SMALL(Dong2,ROWS($1:97)),),2)=$M$9),OFFSET(TH!N$1,SMALL(Dong2,ROWS($1:97)),)=$I$6),IF($I$6="1121",OFFSET(TH!M$1,SMALL(Dong2,ROWS($1:97)),),OFFSET(TH!K$1,SMALL(Dong2,ROWS($1:97)),)),0))</f>
        <v/>
      </c>
      <c r="G108" s="924" t="str">
        <f ca="1">IF(ROWS($1:97)&gt;COUNT(Dong2),"",IF(AND(IF($M$9="Q11",RIGHT(OFFSET(TH!G$1,SMALL(Dong2,ROWS($1:97)),),3)=$M$9,RIGHT(OFFSET(TH!G$1,SMALL(Dong2,ROWS($1:97)),),2)=$M$9),OFFSET(TH!O$1,SMALL(Dong2,ROWS($1:97)),)=$I$6),IF($I$6="1121",OFFSET(TH!M$1,SMALL(Dong2,ROWS($1:97)),),OFFSET(TH!K$1,SMALL(Dong2,ROWS($1:97)),)),0))</f>
        <v/>
      </c>
      <c r="H108" s="746">
        <f t="shared" ca="1" si="4"/>
        <v>0</v>
      </c>
      <c r="I108" s="746"/>
      <c r="J108" s="179"/>
      <c r="K108" s="179"/>
      <c r="L108" s="179"/>
      <c r="M108" s="179"/>
      <c r="N108" s="179"/>
      <c r="O108" s="179"/>
      <c r="P108" s="179"/>
      <c r="Q108" s="179"/>
      <c r="R108" s="179"/>
      <c r="S108" s="179"/>
    </row>
    <row r="109" spans="1:19" ht="20.25" customHeight="1">
      <c r="A109" s="190" t="str">
        <f ca="1">IF(ROWS($1:98)&gt;COUNT(Dong2),"",OFFSET(TH!C$1,SMALL(Dong2,ROWS($1:98)),))</f>
        <v/>
      </c>
      <c r="B109" s="190" t="str">
        <f ca="1">IF(ROWS($1:98)&gt;COUNT(Dong2),"",OFFSET(TH!D$1,SMALL(Dong2,ROWS($1:98)),))</f>
        <v/>
      </c>
      <c r="C109" s="190" t="str">
        <f ca="1">IF(ROWS($1:98)&gt;COUNT(Dong2),"",OFFSET(TH!E$1,SMALL(Dong2,ROWS($1:98)),))</f>
        <v/>
      </c>
      <c r="D109" s="349" t="str">
        <f ca="1">IF(ROWS($1:98)&gt;COUNT(Dong2),"",OFFSET(TH!F$1,SMALL(Dong2,ROWS($1:98)),))</f>
        <v/>
      </c>
      <c r="E109" s="190" t="str">
        <f ca="1">IF(ROWS($1:98)&gt;COUNT(Dong2),"",IF(OFFSET(TH!O$1,SMALL(Dong2,ROWS($1:98)),)=$I$6,OFFSET(TH!N$1,SMALL(Dong2,ROWS($1:98)),),OFFSET(TH!O$1,SMALL(Dong2,ROWS($1:98)),)))</f>
        <v/>
      </c>
      <c r="F109" s="924" t="str">
        <f ca="1">IF(ROWS($1:98)&gt;COUNT(Dong2),"",IF(AND(IF($M$9="Q11",LEFT(OFFSET(TH!G$1,SMALL(Dong2,ROWS($1:98)),),3)=$M$9,LEFT(OFFSET(TH!G$1,SMALL(Dong2,ROWS($1:98)),),2)=$M$9),OFFSET(TH!N$1,SMALL(Dong2,ROWS($1:98)),)=$I$6),IF($I$6="1121",OFFSET(TH!M$1,SMALL(Dong2,ROWS($1:98)),),OFFSET(TH!K$1,SMALL(Dong2,ROWS($1:98)),)),0))</f>
        <v/>
      </c>
      <c r="G109" s="924" t="str">
        <f ca="1">IF(ROWS($1:98)&gt;COUNT(Dong2),"",IF(AND(IF($M$9="Q11",RIGHT(OFFSET(TH!G$1,SMALL(Dong2,ROWS($1:98)),),3)=$M$9,RIGHT(OFFSET(TH!G$1,SMALL(Dong2,ROWS($1:98)),),2)=$M$9),OFFSET(TH!O$1,SMALL(Dong2,ROWS($1:98)),)=$I$6),IF($I$6="1121",OFFSET(TH!M$1,SMALL(Dong2,ROWS($1:98)),),OFFSET(TH!K$1,SMALL(Dong2,ROWS($1:98)),)),0))</f>
        <v/>
      </c>
      <c r="H109" s="746">
        <f t="shared" ca="1" si="4"/>
        <v>0</v>
      </c>
      <c r="I109" s="746"/>
      <c r="J109" s="179"/>
      <c r="K109" s="179"/>
      <c r="L109" s="179"/>
      <c r="M109" s="179"/>
      <c r="N109" s="179"/>
      <c r="O109" s="179"/>
      <c r="P109" s="179"/>
      <c r="Q109" s="179"/>
      <c r="R109" s="179"/>
      <c r="S109" s="179"/>
    </row>
    <row r="110" spans="1:19" ht="20.25" customHeight="1">
      <c r="A110" s="190" t="str">
        <f ca="1">IF(ROWS($1:99)&gt;COUNT(Dong2),"",OFFSET(TH!C$1,SMALL(Dong2,ROWS($1:99)),))</f>
        <v/>
      </c>
      <c r="B110" s="190" t="str">
        <f ca="1">IF(ROWS($1:99)&gt;COUNT(Dong2),"",OFFSET(TH!D$1,SMALL(Dong2,ROWS($1:99)),))</f>
        <v/>
      </c>
      <c r="C110" s="190" t="str">
        <f ca="1">IF(ROWS($1:99)&gt;COUNT(Dong2),"",OFFSET(TH!E$1,SMALL(Dong2,ROWS($1:99)),))</f>
        <v/>
      </c>
      <c r="D110" s="349" t="str">
        <f ca="1">IF(ROWS($1:99)&gt;COUNT(Dong2),"",OFFSET(TH!F$1,SMALL(Dong2,ROWS($1:99)),))</f>
        <v/>
      </c>
      <c r="E110" s="190" t="str">
        <f ca="1">IF(ROWS($1:99)&gt;COUNT(Dong2),"",IF(OFFSET(TH!O$1,SMALL(Dong2,ROWS($1:99)),)=$I$6,OFFSET(TH!N$1,SMALL(Dong2,ROWS($1:99)),),OFFSET(TH!O$1,SMALL(Dong2,ROWS($1:99)),)))</f>
        <v/>
      </c>
      <c r="F110" s="924" t="str">
        <f ca="1">IF(ROWS($1:99)&gt;COUNT(Dong2),"",IF(AND(IF($M$9="Q11",LEFT(OFFSET(TH!G$1,SMALL(Dong2,ROWS($1:99)),),3)=$M$9,LEFT(OFFSET(TH!G$1,SMALL(Dong2,ROWS($1:99)),),2)=$M$9),OFFSET(TH!N$1,SMALL(Dong2,ROWS($1:99)),)=$I$6),IF($I$6="1121",OFFSET(TH!M$1,SMALL(Dong2,ROWS($1:99)),),OFFSET(TH!K$1,SMALL(Dong2,ROWS($1:99)),)),0))</f>
        <v/>
      </c>
      <c r="G110" s="924" t="str">
        <f ca="1">IF(ROWS($1:99)&gt;COUNT(Dong2),"",IF(AND(IF($M$9="Q11",RIGHT(OFFSET(TH!G$1,SMALL(Dong2,ROWS($1:99)),),3)=$M$9,RIGHT(OFFSET(TH!G$1,SMALL(Dong2,ROWS($1:99)),),2)=$M$9),OFFSET(TH!O$1,SMALL(Dong2,ROWS($1:99)),)=$I$6),IF($I$6="1121",OFFSET(TH!M$1,SMALL(Dong2,ROWS($1:99)),),OFFSET(TH!K$1,SMALL(Dong2,ROWS($1:99)),)),0))</f>
        <v/>
      </c>
      <c r="H110" s="746">
        <f t="shared" ca="1" si="4"/>
        <v>0</v>
      </c>
      <c r="I110" s="746"/>
      <c r="J110" s="179"/>
      <c r="K110" s="179"/>
      <c r="L110" s="179"/>
      <c r="M110" s="179"/>
      <c r="N110" s="179"/>
      <c r="O110" s="179"/>
      <c r="P110" s="179"/>
      <c r="Q110" s="179"/>
      <c r="R110" s="179"/>
      <c r="S110" s="179"/>
    </row>
    <row r="111" spans="1:19" ht="20.25" customHeight="1">
      <c r="A111" s="190" t="str">
        <f ca="1">IF(ROWS($1:100)&gt;COUNT(Dong2),"",OFFSET(TH!C$1,SMALL(Dong2,ROWS($1:100)),))</f>
        <v/>
      </c>
      <c r="B111" s="190" t="str">
        <f ca="1">IF(ROWS($1:100)&gt;COUNT(Dong2),"",OFFSET(TH!D$1,SMALL(Dong2,ROWS($1:100)),))</f>
        <v/>
      </c>
      <c r="C111" s="190" t="str">
        <f ca="1">IF(ROWS($1:100)&gt;COUNT(Dong2),"",OFFSET(TH!E$1,SMALL(Dong2,ROWS($1:100)),))</f>
        <v/>
      </c>
      <c r="D111" s="349" t="str">
        <f ca="1">IF(ROWS($1:100)&gt;COUNT(Dong2),"",OFFSET(TH!F$1,SMALL(Dong2,ROWS($1:100)),))</f>
        <v/>
      </c>
      <c r="E111" s="190" t="str">
        <f ca="1">IF(ROWS($1:100)&gt;COUNT(Dong2),"",IF(OFFSET(TH!O$1,SMALL(Dong2,ROWS($1:100)),)=$I$6,OFFSET(TH!N$1,SMALL(Dong2,ROWS($1:100)),),OFFSET(TH!O$1,SMALL(Dong2,ROWS($1:100)),)))</f>
        <v/>
      </c>
      <c r="F111" s="924" t="str">
        <f ca="1">IF(ROWS($1:100)&gt;COUNT(Dong2),"",IF(AND(IF($M$9="Q11",LEFT(OFFSET(TH!G$1,SMALL(Dong2,ROWS($1:100)),),3)=$M$9,LEFT(OFFSET(TH!G$1,SMALL(Dong2,ROWS($1:100)),),2)=$M$9),OFFSET(TH!N$1,SMALL(Dong2,ROWS($1:100)),)=$I$6),IF($I$6="1121",OFFSET(TH!M$1,SMALL(Dong2,ROWS($1:100)),),OFFSET(TH!K$1,SMALL(Dong2,ROWS($1:100)),)),0))</f>
        <v/>
      </c>
      <c r="G111" s="924" t="str">
        <f ca="1">IF(ROWS($1:100)&gt;COUNT(Dong2),"",IF(AND(IF($M$9="Q11",RIGHT(OFFSET(TH!G$1,SMALL(Dong2,ROWS($1:100)),),3)=$M$9,RIGHT(OFFSET(TH!G$1,SMALL(Dong2,ROWS($1:100)),),2)=$M$9),OFFSET(TH!O$1,SMALL(Dong2,ROWS($1:100)),)=$I$6),IF($I$6="1121",OFFSET(TH!M$1,SMALL(Dong2,ROWS($1:100)),),OFFSET(TH!K$1,SMALL(Dong2,ROWS($1:100)),)),0))</f>
        <v/>
      </c>
      <c r="H111" s="746">
        <f t="shared" ca="1" si="4"/>
        <v>0</v>
      </c>
      <c r="I111" s="746"/>
      <c r="J111" s="179"/>
      <c r="K111" s="179"/>
      <c r="L111" s="179"/>
      <c r="M111" s="179"/>
      <c r="N111" s="179"/>
      <c r="O111" s="179"/>
      <c r="P111" s="179"/>
      <c r="Q111" s="179"/>
      <c r="R111" s="179"/>
      <c r="S111" s="179"/>
    </row>
    <row r="112" spans="1:19" ht="20.25" customHeight="1">
      <c r="A112" s="190" t="str">
        <f ca="1">IF(ROWS($1:101)&gt;COUNT(Dong2),"",OFFSET(TH!C$1,SMALL(Dong2,ROWS($1:101)),))</f>
        <v/>
      </c>
      <c r="B112" s="190" t="str">
        <f ca="1">IF(ROWS($1:101)&gt;COUNT(Dong2),"",OFFSET(TH!D$1,SMALL(Dong2,ROWS($1:101)),))</f>
        <v/>
      </c>
      <c r="C112" s="190" t="str">
        <f ca="1">IF(ROWS($1:101)&gt;COUNT(Dong2),"",OFFSET(TH!E$1,SMALL(Dong2,ROWS($1:101)),))</f>
        <v/>
      </c>
      <c r="D112" s="349" t="str">
        <f ca="1">IF(ROWS($1:101)&gt;COUNT(Dong2),"",OFFSET(TH!F$1,SMALL(Dong2,ROWS($1:101)),))</f>
        <v/>
      </c>
      <c r="E112" s="190" t="str">
        <f ca="1">IF(ROWS($1:101)&gt;COUNT(Dong2),"",IF(OFFSET(TH!O$1,SMALL(Dong2,ROWS($1:101)),)=$I$6,OFFSET(TH!N$1,SMALL(Dong2,ROWS($1:101)),),OFFSET(TH!O$1,SMALL(Dong2,ROWS($1:101)),)))</f>
        <v/>
      </c>
      <c r="F112" s="924" t="str">
        <f ca="1">IF(ROWS($1:101)&gt;COUNT(Dong2),"",IF(AND(IF($M$9="Q11",LEFT(OFFSET(TH!G$1,SMALL(Dong2,ROWS($1:101)),),3)=$M$9,LEFT(OFFSET(TH!G$1,SMALL(Dong2,ROWS($1:101)),),2)=$M$9),OFFSET(TH!N$1,SMALL(Dong2,ROWS($1:101)),)=$I$6),IF($I$6="1121",OFFSET(TH!M$1,SMALL(Dong2,ROWS($1:101)),),OFFSET(TH!K$1,SMALL(Dong2,ROWS($1:101)),)),0))</f>
        <v/>
      </c>
      <c r="G112" s="924" t="str">
        <f ca="1">IF(ROWS($1:101)&gt;COUNT(Dong2),"",IF(AND(IF($M$9="Q11",RIGHT(OFFSET(TH!G$1,SMALL(Dong2,ROWS($1:101)),),3)=$M$9,RIGHT(OFFSET(TH!G$1,SMALL(Dong2,ROWS($1:101)),),2)=$M$9),OFFSET(TH!O$1,SMALL(Dong2,ROWS($1:101)),)=$I$6),IF($I$6="1121",OFFSET(TH!M$1,SMALL(Dong2,ROWS($1:101)),),OFFSET(TH!K$1,SMALL(Dong2,ROWS($1:101)),)),0))</f>
        <v/>
      </c>
      <c r="H112" s="746">
        <f t="shared" ca="1" si="4"/>
        <v>0</v>
      </c>
      <c r="I112" s="746"/>
      <c r="J112" s="179"/>
      <c r="K112" s="179"/>
      <c r="L112" s="179"/>
      <c r="M112" s="179"/>
      <c r="N112" s="179"/>
      <c r="O112" s="179"/>
      <c r="P112" s="179"/>
      <c r="Q112" s="179"/>
      <c r="R112" s="179"/>
      <c r="S112" s="179"/>
    </row>
    <row r="113" spans="1:19" ht="20.25" customHeight="1">
      <c r="A113" s="190" t="str">
        <f ca="1">IF(ROWS($1:102)&gt;COUNT(Dong2),"",OFFSET(TH!C$1,SMALL(Dong2,ROWS($1:102)),))</f>
        <v/>
      </c>
      <c r="B113" s="190" t="str">
        <f ca="1">IF(ROWS($1:102)&gt;COUNT(Dong2),"",OFFSET(TH!D$1,SMALL(Dong2,ROWS($1:102)),))</f>
        <v/>
      </c>
      <c r="C113" s="190" t="str">
        <f ca="1">IF(ROWS($1:102)&gt;COUNT(Dong2),"",OFFSET(TH!E$1,SMALL(Dong2,ROWS($1:102)),))</f>
        <v/>
      </c>
      <c r="D113" s="349" t="str">
        <f ca="1">IF(ROWS($1:102)&gt;COUNT(Dong2),"",OFFSET(TH!F$1,SMALL(Dong2,ROWS($1:102)),))</f>
        <v/>
      </c>
      <c r="E113" s="190" t="str">
        <f ca="1">IF(ROWS($1:102)&gt;COUNT(Dong2),"",IF(OFFSET(TH!O$1,SMALL(Dong2,ROWS($1:102)),)=$I$6,OFFSET(TH!N$1,SMALL(Dong2,ROWS($1:102)),),OFFSET(TH!O$1,SMALL(Dong2,ROWS($1:102)),)))</f>
        <v/>
      </c>
      <c r="F113" s="924" t="str">
        <f ca="1">IF(ROWS($1:102)&gt;COUNT(Dong2),"",IF(AND(IF($M$9="Q11",LEFT(OFFSET(TH!G$1,SMALL(Dong2,ROWS($1:102)),),3)=$M$9,LEFT(OFFSET(TH!G$1,SMALL(Dong2,ROWS($1:102)),),2)=$M$9),OFFSET(TH!N$1,SMALL(Dong2,ROWS($1:102)),)=$I$6),IF($I$6="1121",OFFSET(TH!M$1,SMALL(Dong2,ROWS($1:102)),),OFFSET(TH!K$1,SMALL(Dong2,ROWS($1:102)),)),0))</f>
        <v/>
      </c>
      <c r="G113" s="924" t="str">
        <f ca="1">IF(ROWS($1:102)&gt;COUNT(Dong2),"",IF(AND(IF($M$9="Q11",RIGHT(OFFSET(TH!G$1,SMALL(Dong2,ROWS($1:102)),),3)=$M$9,RIGHT(OFFSET(TH!G$1,SMALL(Dong2,ROWS($1:102)),),2)=$M$9),OFFSET(TH!O$1,SMALL(Dong2,ROWS($1:102)),)=$I$6),IF($I$6="1121",OFFSET(TH!M$1,SMALL(Dong2,ROWS($1:102)),),OFFSET(TH!K$1,SMALL(Dong2,ROWS($1:102)),)),0))</f>
        <v/>
      </c>
      <c r="H113" s="746">
        <f t="shared" ca="1" si="4"/>
        <v>0</v>
      </c>
      <c r="I113" s="746"/>
      <c r="J113" s="179"/>
      <c r="K113" s="179"/>
      <c r="L113" s="179"/>
      <c r="M113" s="179"/>
      <c r="N113" s="179"/>
      <c r="O113" s="179"/>
      <c r="P113" s="179"/>
      <c r="Q113" s="179"/>
      <c r="R113" s="179"/>
      <c r="S113" s="179"/>
    </row>
    <row r="114" spans="1:19" ht="20.25" customHeight="1">
      <c r="A114" s="190" t="str">
        <f ca="1">IF(ROWS($1:103)&gt;COUNT(Dong2),"",OFFSET(TH!C$1,SMALL(Dong2,ROWS($1:103)),))</f>
        <v/>
      </c>
      <c r="B114" s="190" t="str">
        <f ca="1">IF(ROWS($1:103)&gt;COUNT(Dong2),"",OFFSET(TH!D$1,SMALL(Dong2,ROWS($1:103)),))</f>
        <v/>
      </c>
      <c r="C114" s="190" t="str">
        <f ca="1">IF(ROWS($1:103)&gt;COUNT(Dong2),"",OFFSET(TH!E$1,SMALL(Dong2,ROWS($1:103)),))</f>
        <v/>
      </c>
      <c r="D114" s="349" t="str">
        <f ca="1">IF(ROWS($1:103)&gt;COUNT(Dong2),"",OFFSET(TH!F$1,SMALL(Dong2,ROWS($1:103)),))</f>
        <v/>
      </c>
      <c r="E114" s="190" t="str">
        <f ca="1">IF(ROWS($1:103)&gt;COUNT(Dong2),"",IF(OFFSET(TH!O$1,SMALL(Dong2,ROWS($1:103)),)=$I$6,OFFSET(TH!N$1,SMALL(Dong2,ROWS($1:103)),),OFFSET(TH!O$1,SMALL(Dong2,ROWS($1:103)),)))</f>
        <v/>
      </c>
      <c r="F114" s="924" t="str">
        <f ca="1">IF(ROWS($1:103)&gt;COUNT(Dong2),"",IF(AND(IF($M$9="Q11",LEFT(OFFSET(TH!G$1,SMALL(Dong2,ROWS($1:103)),),3)=$M$9,LEFT(OFFSET(TH!G$1,SMALL(Dong2,ROWS($1:103)),),2)=$M$9),OFFSET(TH!N$1,SMALL(Dong2,ROWS($1:103)),)=$I$6),IF($I$6="1121",OFFSET(TH!M$1,SMALL(Dong2,ROWS($1:103)),),OFFSET(TH!K$1,SMALL(Dong2,ROWS($1:103)),)),0))</f>
        <v/>
      </c>
      <c r="G114" s="924" t="str">
        <f ca="1">IF(ROWS($1:103)&gt;COUNT(Dong2),"",IF(AND(IF($M$9="Q11",RIGHT(OFFSET(TH!G$1,SMALL(Dong2,ROWS($1:103)),),3)=$M$9,RIGHT(OFFSET(TH!G$1,SMALL(Dong2,ROWS($1:103)),),2)=$M$9),OFFSET(TH!O$1,SMALL(Dong2,ROWS($1:103)),)=$I$6),IF($I$6="1121",OFFSET(TH!M$1,SMALL(Dong2,ROWS($1:103)),),OFFSET(TH!K$1,SMALL(Dong2,ROWS($1:103)),)),0))</f>
        <v/>
      </c>
      <c r="H114" s="746">
        <f t="shared" ca="1" si="4"/>
        <v>0</v>
      </c>
      <c r="I114" s="746"/>
      <c r="J114" s="179"/>
      <c r="K114" s="179"/>
      <c r="L114" s="179"/>
      <c r="M114" s="179"/>
      <c r="N114" s="179"/>
      <c r="O114" s="179"/>
      <c r="P114" s="179"/>
      <c r="Q114" s="179"/>
      <c r="R114" s="179"/>
      <c r="S114" s="179"/>
    </row>
    <row r="115" spans="1:19" ht="20.25" customHeight="1">
      <c r="A115" s="190" t="str">
        <f ca="1">IF(ROWS($1:104)&gt;COUNT(Dong2),"",OFFSET(TH!C$1,SMALL(Dong2,ROWS($1:104)),))</f>
        <v/>
      </c>
      <c r="B115" s="190" t="str">
        <f ca="1">IF(ROWS($1:104)&gt;COUNT(Dong2),"",OFFSET(TH!D$1,SMALL(Dong2,ROWS($1:104)),))</f>
        <v/>
      </c>
      <c r="C115" s="190" t="str">
        <f ca="1">IF(ROWS($1:104)&gt;COUNT(Dong2),"",OFFSET(TH!E$1,SMALL(Dong2,ROWS($1:104)),))</f>
        <v/>
      </c>
      <c r="D115" s="349" t="str">
        <f ca="1">IF(ROWS($1:104)&gt;COUNT(Dong2),"",OFFSET(TH!F$1,SMALL(Dong2,ROWS($1:104)),))</f>
        <v/>
      </c>
      <c r="E115" s="190" t="str">
        <f ca="1">IF(ROWS($1:104)&gt;COUNT(Dong2),"",IF(OFFSET(TH!O$1,SMALL(Dong2,ROWS($1:104)),)=$I$6,OFFSET(TH!N$1,SMALL(Dong2,ROWS($1:104)),),OFFSET(TH!O$1,SMALL(Dong2,ROWS($1:104)),)))</f>
        <v/>
      </c>
      <c r="F115" s="924" t="str">
        <f ca="1">IF(ROWS($1:104)&gt;COUNT(Dong2),"",IF(AND(IF($M$9="Q11",LEFT(OFFSET(TH!G$1,SMALL(Dong2,ROWS($1:104)),),3)=$M$9,LEFT(OFFSET(TH!G$1,SMALL(Dong2,ROWS($1:104)),),2)=$M$9),OFFSET(TH!N$1,SMALL(Dong2,ROWS($1:104)),)=$I$6),IF($I$6="1121",OFFSET(TH!M$1,SMALL(Dong2,ROWS($1:104)),),OFFSET(TH!K$1,SMALL(Dong2,ROWS($1:104)),)),0))</f>
        <v/>
      </c>
      <c r="G115" s="924" t="str">
        <f ca="1">IF(ROWS($1:104)&gt;COUNT(Dong2),"",IF(AND(IF($M$9="Q11",RIGHT(OFFSET(TH!G$1,SMALL(Dong2,ROWS($1:104)),),3)=$M$9,RIGHT(OFFSET(TH!G$1,SMALL(Dong2,ROWS($1:104)),),2)=$M$9),OFFSET(TH!O$1,SMALL(Dong2,ROWS($1:104)),)=$I$6),IF($I$6="1121",OFFSET(TH!M$1,SMALL(Dong2,ROWS($1:104)),),OFFSET(TH!K$1,SMALL(Dong2,ROWS($1:104)),)),0))</f>
        <v/>
      </c>
      <c r="H115" s="746">
        <f t="shared" ca="1" si="4"/>
        <v>0</v>
      </c>
      <c r="I115" s="746"/>
      <c r="J115" s="179"/>
      <c r="K115" s="179"/>
      <c r="L115" s="179"/>
      <c r="M115" s="179"/>
      <c r="N115" s="179"/>
      <c r="O115" s="179"/>
      <c r="P115" s="179"/>
      <c r="Q115" s="179"/>
      <c r="R115" s="179"/>
      <c r="S115" s="179"/>
    </row>
    <row r="116" spans="1:19" ht="20.25" customHeight="1">
      <c r="A116" s="190" t="str">
        <f ca="1">IF(ROWS($1:105)&gt;COUNT(Dong2),"",OFFSET(TH!C$1,SMALL(Dong2,ROWS($1:105)),))</f>
        <v/>
      </c>
      <c r="B116" s="190" t="str">
        <f ca="1">IF(ROWS($1:105)&gt;COUNT(Dong2),"",OFFSET(TH!D$1,SMALL(Dong2,ROWS($1:105)),))</f>
        <v/>
      </c>
      <c r="C116" s="190" t="str">
        <f ca="1">IF(ROWS($1:105)&gt;COUNT(Dong2),"",OFFSET(TH!E$1,SMALL(Dong2,ROWS($1:105)),))</f>
        <v/>
      </c>
      <c r="D116" s="349" t="str">
        <f ca="1">IF(ROWS($1:105)&gt;COUNT(Dong2),"",OFFSET(TH!F$1,SMALL(Dong2,ROWS($1:105)),))</f>
        <v/>
      </c>
      <c r="E116" s="190" t="str">
        <f ca="1">IF(ROWS($1:105)&gt;COUNT(Dong2),"",IF(OFFSET(TH!O$1,SMALL(Dong2,ROWS($1:105)),)=$I$6,OFFSET(TH!N$1,SMALL(Dong2,ROWS($1:105)),),OFFSET(TH!O$1,SMALL(Dong2,ROWS($1:105)),)))</f>
        <v/>
      </c>
      <c r="F116" s="924" t="str">
        <f ca="1">IF(ROWS($1:105)&gt;COUNT(Dong2),"",IF(AND(IF($M$9="Q11",LEFT(OFFSET(TH!G$1,SMALL(Dong2,ROWS($1:105)),),3)=$M$9,LEFT(OFFSET(TH!G$1,SMALL(Dong2,ROWS($1:105)),),2)=$M$9),OFFSET(TH!N$1,SMALL(Dong2,ROWS($1:105)),)=$I$6),IF($I$6="1121",OFFSET(TH!M$1,SMALL(Dong2,ROWS($1:105)),),OFFSET(TH!K$1,SMALL(Dong2,ROWS($1:105)),)),0))</f>
        <v/>
      </c>
      <c r="G116" s="924" t="str">
        <f ca="1">IF(ROWS($1:105)&gt;COUNT(Dong2),"",IF(AND(IF($M$9="Q11",RIGHT(OFFSET(TH!G$1,SMALL(Dong2,ROWS($1:105)),),3)=$M$9,RIGHT(OFFSET(TH!G$1,SMALL(Dong2,ROWS($1:105)),),2)=$M$9),OFFSET(TH!O$1,SMALL(Dong2,ROWS($1:105)),)=$I$6),IF($I$6="1121",OFFSET(TH!M$1,SMALL(Dong2,ROWS($1:105)),),OFFSET(TH!K$1,SMALL(Dong2,ROWS($1:105)),)),0))</f>
        <v/>
      </c>
      <c r="H116" s="746">
        <f t="shared" ca="1" si="4"/>
        <v>0</v>
      </c>
      <c r="I116" s="746"/>
      <c r="J116" s="179"/>
      <c r="K116" s="179"/>
      <c r="L116" s="179"/>
      <c r="M116" s="179"/>
      <c r="N116" s="179"/>
      <c r="O116" s="179"/>
      <c r="P116" s="179"/>
      <c r="Q116" s="179"/>
      <c r="R116" s="179"/>
      <c r="S116" s="179"/>
    </row>
    <row r="117" spans="1:19" ht="20.25" customHeight="1">
      <c r="A117" s="190" t="str">
        <f ca="1">IF(ROWS($1:106)&gt;COUNT(Dong2),"",OFFSET(TH!C$1,SMALL(Dong2,ROWS($1:106)),))</f>
        <v/>
      </c>
      <c r="B117" s="190" t="str">
        <f ca="1">IF(ROWS($1:106)&gt;COUNT(Dong2),"",OFFSET(TH!D$1,SMALL(Dong2,ROWS($1:106)),))</f>
        <v/>
      </c>
      <c r="C117" s="190" t="str">
        <f ca="1">IF(ROWS($1:106)&gt;COUNT(Dong2),"",OFFSET(TH!E$1,SMALL(Dong2,ROWS($1:106)),))</f>
        <v/>
      </c>
      <c r="D117" s="349" t="str">
        <f ca="1">IF(ROWS($1:106)&gt;COUNT(Dong2),"",OFFSET(TH!F$1,SMALL(Dong2,ROWS($1:106)),))</f>
        <v/>
      </c>
      <c r="E117" s="190" t="str">
        <f ca="1">IF(ROWS($1:106)&gt;COUNT(Dong2),"",IF(OFFSET(TH!O$1,SMALL(Dong2,ROWS($1:106)),)=$I$6,OFFSET(TH!N$1,SMALL(Dong2,ROWS($1:106)),),OFFSET(TH!O$1,SMALL(Dong2,ROWS($1:106)),)))</f>
        <v/>
      </c>
      <c r="F117" s="924" t="str">
        <f ca="1">IF(ROWS($1:106)&gt;COUNT(Dong2),"",IF(AND(IF($M$9="Q11",LEFT(OFFSET(TH!G$1,SMALL(Dong2,ROWS($1:106)),),3)=$M$9,LEFT(OFFSET(TH!G$1,SMALL(Dong2,ROWS($1:106)),),2)=$M$9),OFFSET(TH!N$1,SMALL(Dong2,ROWS($1:106)),)=$I$6),IF($I$6="1121",OFFSET(TH!M$1,SMALL(Dong2,ROWS($1:106)),),OFFSET(TH!K$1,SMALL(Dong2,ROWS($1:106)),)),0))</f>
        <v/>
      </c>
      <c r="G117" s="924" t="str">
        <f ca="1">IF(ROWS($1:106)&gt;COUNT(Dong2),"",IF(AND(IF($M$9="Q11",RIGHT(OFFSET(TH!G$1,SMALL(Dong2,ROWS($1:106)),),3)=$M$9,RIGHT(OFFSET(TH!G$1,SMALL(Dong2,ROWS($1:106)),),2)=$M$9),OFFSET(TH!O$1,SMALL(Dong2,ROWS($1:106)),)=$I$6),IF($I$6="1121",OFFSET(TH!M$1,SMALL(Dong2,ROWS($1:106)),),OFFSET(TH!K$1,SMALL(Dong2,ROWS($1:106)),)),0))</f>
        <v/>
      </c>
      <c r="H117" s="746">
        <f t="shared" ca="1" si="4"/>
        <v>0</v>
      </c>
      <c r="I117" s="746"/>
      <c r="J117" s="179"/>
      <c r="K117" s="179"/>
      <c r="L117" s="179"/>
      <c r="M117" s="179"/>
      <c r="N117" s="179"/>
      <c r="O117" s="179"/>
      <c r="P117" s="179"/>
      <c r="Q117" s="179"/>
      <c r="R117" s="179"/>
      <c r="S117" s="179"/>
    </row>
    <row r="118" spans="1:19" ht="20.25" customHeight="1">
      <c r="A118" s="190" t="str">
        <f ca="1">IF(ROWS($1:107)&gt;COUNT(Dong2),"",OFFSET(TH!C$1,SMALL(Dong2,ROWS($1:107)),))</f>
        <v/>
      </c>
      <c r="B118" s="190" t="str">
        <f ca="1">IF(ROWS($1:107)&gt;COUNT(Dong2),"",OFFSET(TH!D$1,SMALL(Dong2,ROWS($1:107)),))</f>
        <v/>
      </c>
      <c r="C118" s="190" t="str">
        <f ca="1">IF(ROWS($1:107)&gt;COUNT(Dong2),"",OFFSET(TH!E$1,SMALL(Dong2,ROWS($1:107)),))</f>
        <v/>
      </c>
      <c r="D118" s="349" t="str">
        <f ca="1">IF(ROWS($1:107)&gt;COUNT(Dong2),"",OFFSET(TH!F$1,SMALL(Dong2,ROWS($1:107)),))</f>
        <v/>
      </c>
      <c r="E118" s="190" t="str">
        <f ca="1">IF(ROWS($1:107)&gt;COUNT(Dong2),"",IF(OFFSET(TH!O$1,SMALL(Dong2,ROWS($1:107)),)=$I$6,OFFSET(TH!N$1,SMALL(Dong2,ROWS($1:107)),),OFFSET(TH!O$1,SMALL(Dong2,ROWS($1:107)),)))</f>
        <v/>
      </c>
      <c r="F118" s="924" t="str">
        <f ca="1">IF(ROWS($1:107)&gt;COUNT(Dong2),"",IF(AND(IF($M$9="Q11",LEFT(OFFSET(TH!G$1,SMALL(Dong2,ROWS($1:107)),),3)=$M$9,LEFT(OFFSET(TH!G$1,SMALL(Dong2,ROWS($1:107)),),2)=$M$9),OFFSET(TH!N$1,SMALL(Dong2,ROWS($1:107)),)=$I$6),IF($I$6="1121",OFFSET(TH!M$1,SMALL(Dong2,ROWS($1:107)),),OFFSET(TH!K$1,SMALL(Dong2,ROWS($1:107)),)),0))</f>
        <v/>
      </c>
      <c r="G118" s="924" t="str">
        <f ca="1">IF(ROWS($1:107)&gt;COUNT(Dong2),"",IF(AND(IF($M$9="Q11",RIGHT(OFFSET(TH!G$1,SMALL(Dong2,ROWS($1:107)),),3)=$M$9,RIGHT(OFFSET(TH!G$1,SMALL(Dong2,ROWS($1:107)),),2)=$M$9),OFFSET(TH!O$1,SMALL(Dong2,ROWS($1:107)),)=$I$6),IF($I$6="1121",OFFSET(TH!M$1,SMALL(Dong2,ROWS($1:107)),),OFFSET(TH!K$1,SMALL(Dong2,ROWS($1:107)),)),0))</f>
        <v/>
      </c>
      <c r="H118" s="746">
        <f t="shared" ca="1" si="4"/>
        <v>0</v>
      </c>
      <c r="I118" s="746"/>
      <c r="J118" s="179"/>
      <c r="K118" s="179"/>
      <c r="L118" s="179"/>
      <c r="M118" s="179"/>
      <c r="N118" s="179"/>
      <c r="O118" s="179"/>
      <c r="P118" s="179"/>
      <c r="Q118" s="179"/>
      <c r="R118" s="179"/>
      <c r="S118" s="179"/>
    </row>
    <row r="119" spans="1:19" ht="20.25" customHeight="1">
      <c r="A119" s="190" t="str">
        <f ca="1">IF(ROWS($1:108)&gt;COUNT(Dong2),"",OFFSET(TH!C$1,SMALL(Dong2,ROWS($1:108)),))</f>
        <v/>
      </c>
      <c r="B119" s="190" t="str">
        <f ca="1">IF(ROWS($1:108)&gt;COUNT(Dong2),"",OFFSET(TH!D$1,SMALL(Dong2,ROWS($1:108)),))</f>
        <v/>
      </c>
      <c r="C119" s="190" t="str">
        <f ca="1">IF(ROWS($1:108)&gt;COUNT(Dong2),"",OFFSET(TH!E$1,SMALL(Dong2,ROWS($1:108)),))</f>
        <v/>
      </c>
      <c r="D119" s="349" t="str">
        <f ca="1">IF(ROWS($1:108)&gt;COUNT(Dong2),"",OFFSET(TH!F$1,SMALL(Dong2,ROWS($1:108)),))</f>
        <v/>
      </c>
      <c r="E119" s="190" t="str">
        <f ca="1">IF(ROWS($1:108)&gt;COUNT(Dong2),"",IF(OFFSET(TH!O$1,SMALL(Dong2,ROWS($1:108)),)=$I$6,OFFSET(TH!N$1,SMALL(Dong2,ROWS($1:108)),),OFFSET(TH!O$1,SMALL(Dong2,ROWS($1:108)),)))</f>
        <v/>
      </c>
      <c r="F119" s="924" t="str">
        <f ca="1">IF(ROWS($1:108)&gt;COUNT(Dong2),"",IF(AND(IF($M$9="Q11",LEFT(OFFSET(TH!G$1,SMALL(Dong2,ROWS($1:108)),),3)=$M$9,LEFT(OFFSET(TH!G$1,SMALL(Dong2,ROWS($1:108)),),2)=$M$9),OFFSET(TH!N$1,SMALL(Dong2,ROWS($1:108)),)=$I$6),IF($I$6="1121",OFFSET(TH!M$1,SMALL(Dong2,ROWS($1:108)),),OFFSET(TH!K$1,SMALL(Dong2,ROWS($1:108)),)),0))</f>
        <v/>
      </c>
      <c r="G119" s="924" t="str">
        <f ca="1">IF(ROWS($1:108)&gt;COUNT(Dong2),"",IF(AND(IF($M$9="Q11",RIGHT(OFFSET(TH!G$1,SMALL(Dong2,ROWS($1:108)),),3)=$M$9,RIGHT(OFFSET(TH!G$1,SMALL(Dong2,ROWS($1:108)),),2)=$M$9),OFFSET(TH!O$1,SMALL(Dong2,ROWS($1:108)),)=$I$6),IF($I$6="1121",OFFSET(TH!M$1,SMALL(Dong2,ROWS($1:108)),),OFFSET(TH!K$1,SMALL(Dong2,ROWS($1:108)),)),0))</f>
        <v/>
      </c>
      <c r="H119" s="746">
        <f t="shared" ca="1" si="4"/>
        <v>0</v>
      </c>
      <c r="I119" s="746"/>
      <c r="J119" s="179"/>
      <c r="K119" s="179"/>
      <c r="L119" s="179"/>
      <c r="M119" s="179"/>
      <c r="N119" s="179"/>
      <c r="O119" s="179"/>
      <c r="P119" s="179"/>
      <c r="Q119" s="179"/>
      <c r="R119" s="179"/>
      <c r="S119" s="179"/>
    </row>
    <row r="120" spans="1:19" ht="20.25" customHeight="1">
      <c r="A120" s="190" t="str">
        <f ca="1">IF(ROWS($1:109)&gt;COUNT(Dong2),"",OFFSET(TH!C$1,SMALL(Dong2,ROWS($1:109)),))</f>
        <v/>
      </c>
      <c r="B120" s="190" t="str">
        <f ca="1">IF(ROWS($1:109)&gt;COUNT(Dong2),"",OFFSET(TH!D$1,SMALL(Dong2,ROWS($1:109)),))</f>
        <v/>
      </c>
      <c r="C120" s="190" t="str">
        <f ca="1">IF(ROWS($1:109)&gt;COUNT(Dong2),"",OFFSET(TH!E$1,SMALL(Dong2,ROWS($1:109)),))</f>
        <v/>
      </c>
      <c r="D120" s="349" t="str">
        <f ca="1">IF(ROWS($1:109)&gt;COUNT(Dong2),"",OFFSET(TH!F$1,SMALL(Dong2,ROWS($1:109)),))</f>
        <v/>
      </c>
      <c r="E120" s="190" t="str">
        <f ca="1">IF(ROWS($1:109)&gt;COUNT(Dong2),"",IF(OFFSET(TH!O$1,SMALL(Dong2,ROWS($1:109)),)=$I$6,OFFSET(TH!N$1,SMALL(Dong2,ROWS($1:109)),),OFFSET(TH!O$1,SMALL(Dong2,ROWS($1:109)),)))</f>
        <v/>
      </c>
      <c r="F120" s="924" t="str">
        <f ca="1">IF(ROWS($1:109)&gt;COUNT(Dong2),"",IF(AND(IF($M$9="Q11",LEFT(OFFSET(TH!G$1,SMALL(Dong2,ROWS($1:109)),),3)=$M$9,LEFT(OFFSET(TH!G$1,SMALL(Dong2,ROWS($1:109)),),2)=$M$9),OFFSET(TH!N$1,SMALL(Dong2,ROWS($1:109)),)=$I$6),IF($I$6="1121",OFFSET(TH!M$1,SMALL(Dong2,ROWS($1:109)),),OFFSET(TH!K$1,SMALL(Dong2,ROWS($1:109)),)),0))</f>
        <v/>
      </c>
      <c r="G120" s="924" t="str">
        <f ca="1">IF(ROWS($1:109)&gt;COUNT(Dong2),"",IF(AND(IF($M$9="Q11",RIGHT(OFFSET(TH!G$1,SMALL(Dong2,ROWS($1:109)),),3)=$M$9,RIGHT(OFFSET(TH!G$1,SMALL(Dong2,ROWS($1:109)),),2)=$M$9),OFFSET(TH!O$1,SMALL(Dong2,ROWS($1:109)),)=$I$6),IF($I$6="1121",OFFSET(TH!M$1,SMALL(Dong2,ROWS($1:109)),),OFFSET(TH!K$1,SMALL(Dong2,ROWS($1:109)),)),0))</f>
        <v/>
      </c>
      <c r="H120" s="746">
        <f t="shared" ca="1" si="4"/>
        <v>0</v>
      </c>
      <c r="I120" s="746"/>
      <c r="J120" s="179"/>
      <c r="K120" s="179"/>
      <c r="L120" s="179"/>
      <c r="M120" s="179"/>
      <c r="N120" s="179"/>
      <c r="O120" s="179"/>
      <c r="P120" s="179"/>
      <c r="Q120" s="179"/>
      <c r="R120" s="179"/>
      <c r="S120" s="179"/>
    </row>
    <row r="121" spans="1:19" ht="20.25" customHeight="1">
      <c r="A121" s="190" t="str">
        <f ca="1">IF(ROWS($1:110)&gt;COUNT(Dong2),"",OFFSET(TH!C$1,SMALL(Dong2,ROWS($1:110)),))</f>
        <v/>
      </c>
      <c r="B121" s="190" t="str">
        <f ca="1">IF(ROWS($1:110)&gt;COUNT(Dong2),"",OFFSET(TH!D$1,SMALL(Dong2,ROWS($1:110)),))</f>
        <v/>
      </c>
      <c r="C121" s="190" t="str">
        <f ca="1">IF(ROWS($1:110)&gt;COUNT(Dong2),"",OFFSET(TH!E$1,SMALL(Dong2,ROWS($1:110)),))</f>
        <v/>
      </c>
      <c r="D121" s="349" t="str">
        <f ca="1">IF(ROWS($1:110)&gt;COUNT(Dong2),"",OFFSET(TH!F$1,SMALL(Dong2,ROWS($1:110)),))</f>
        <v/>
      </c>
      <c r="E121" s="190" t="str">
        <f ca="1">IF(ROWS($1:110)&gt;COUNT(Dong2),"",IF(OFFSET(TH!O$1,SMALL(Dong2,ROWS($1:110)),)=$I$6,OFFSET(TH!N$1,SMALL(Dong2,ROWS($1:110)),),OFFSET(TH!O$1,SMALL(Dong2,ROWS($1:110)),)))</f>
        <v/>
      </c>
      <c r="F121" s="924" t="str">
        <f ca="1">IF(ROWS($1:110)&gt;COUNT(Dong2),"",IF(AND(IF($M$9="Q11",LEFT(OFFSET(TH!G$1,SMALL(Dong2,ROWS($1:110)),),3)=$M$9,LEFT(OFFSET(TH!G$1,SMALL(Dong2,ROWS($1:110)),),2)=$M$9),OFFSET(TH!N$1,SMALL(Dong2,ROWS($1:110)),)=$I$6),IF($I$6="1121",OFFSET(TH!M$1,SMALL(Dong2,ROWS($1:110)),),OFFSET(TH!K$1,SMALL(Dong2,ROWS($1:110)),)),0))</f>
        <v/>
      </c>
      <c r="G121" s="924" t="str">
        <f ca="1">IF(ROWS($1:110)&gt;COUNT(Dong2),"",IF(AND(IF($M$9="Q11",RIGHT(OFFSET(TH!G$1,SMALL(Dong2,ROWS($1:110)),),3)=$M$9,RIGHT(OFFSET(TH!G$1,SMALL(Dong2,ROWS($1:110)),),2)=$M$9),OFFSET(TH!O$1,SMALL(Dong2,ROWS($1:110)),)=$I$6),IF($I$6="1121",OFFSET(TH!M$1,SMALL(Dong2,ROWS($1:110)),),OFFSET(TH!K$1,SMALL(Dong2,ROWS($1:110)),)),0))</f>
        <v/>
      </c>
      <c r="H121" s="746">
        <f t="shared" ca="1" si="4"/>
        <v>0</v>
      </c>
      <c r="I121" s="746"/>
      <c r="J121" s="179"/>
      <c r="K121" s="179"/>
      <c r="L121" s="179"/>
      <c r="M121" s="179"/>
      <c r="N121" s="179"/>
      <c r="O121" s="179"/>
      <c r="P121" s="179"/>
      <c r="Q121" s="179"/>
      <c r="R121" s="179"/>
      <c r="S121" s="179"/>
    </row>
    <row r="122" spans="1:19" ht="20.25" customHeight="1">
      <c r="A122" s="190" t="str">
        <f ca="1">IF(ROWS($1:111)&gt;COUNT(Dong2),"",OFFSET(TH!C$1,SMALL(Dong2,ROWS($1:111)),))</f>
        <v/>
      </c>
      <c r="B122" s="190" t="str">
        <f ca="1">IF(ROWS($1:111)&gt;COUNT(Dong2),"",OFFSET(TH!D$1,SMALL(Dong2,ROWS($1:111)),))</f>
        <v/>
      </c>
      <c r="C122" s="190" t="str">
        <f ca="1">IF(ROWS($1:111)&gt;COUNT(Dong2),"",OFFSET(TH!E$1,SMALL(Dong2,ROWS($1:111)),))</f>
        <v/>
      </c>
      <c r="D122" s="349" t="str">
        <f ca="1">IF(ROWS($1:111)&gt;COUNT(Dong2),"",OFFSET(TH!F$1,SMALL(Dong2,ROWS($1:111)),))</f>
        <v/>
      </c>
      <c r="E122" s="190" t="str">
        <f ca="1">IF(ROWS($1:111)&gt;COUNT(Dong2),"",IF(OFFSET(TH!O$1,SMALL(Dong2,ROWS($1:111)),)=$I$6,OFFSET(TH!N$1,SMALL(Dong2,ROWS($1:111)),),OFFSET(TH!O$1,SMALL(Dong2,ROWS($1:111)),)))</f>
        <v/>
      </c>
      <c r="F122" s="924" t="str">
        <f ca="1">IF(ROWS($1:111)&gt;COUNT(Dong2),"",IF(AND(IF($M$9="Q11",LEFT(OFFSET(TH!G$1,SMALL(Dong2,ROWS($1:111)),),3)=$M$9,LEFT(OFFSET(TH!G$1,SMALL(Dong2,ROWS($1:111)),),2)=$M$9),OFFSET(TH!N$1,SMALL(Dong2,ROWS($1:111)),)=$I$6),IF($I$6="1121",OFFSET(TH!M$1,SMALL(Dong2,ROWS($1:111)),),OFFSET(TH!K$1,SMALL(Dong2,ROWS($1:111)),)),0))</f>
        <v/>
      </c>
      <c r="G122" s="924" t="str">
        <f ca="1">IF(ROWS($1:111)&gt;COUNT(Dong2),"",IF(AND(IF($M$9="Q11",RIGHT(OFFSET(TH!G$1,SMALL(Dong2,ROWS($1:111)),),3)=$M$9,RIGHT(OFFSET(TH!G$1,SMALL(Dong2,ROWS($1:111)),),2)=$M$9),OFFSET(TH!O$1,SMALL(Dong2,ROWS($1:111)),)=$I$6),IF($I$6="1121",OFFSET(TH!M$1,SMALL(Dong2,ROWS($1:111)),),OFFSET(TH!K$1,SMALL(Dong2,ROWS($1:111)),)),0))</f>
        <v/>
      </c>
      <c r="H122" s="746">
        <f t="shared" ca="1" si="4"/>
        <v>0</v>
      </c>
      <c r="I122" s="746"/>
      <c r="J122" s="179"/>
      <c r="K122" s="179"/>
      <c r="L122" s="179"/>
      <c r="M122" s="179"/>
      <c r="N122" s="179"/>
      <c r="O122" s="179"/>
      <c r="P122" s="179"/>
      <c r="Q122" s="179"/>
      <c r="R122" s="179"/>
      <c r="S122" s="179"/>
    </row>
    <row r="123" spans="1:19" ht="20.25" customHeight="1">
      <c r="A123" s="190" t="str">
        <f ca="1">IF(ROWS($1:112)&gt;COUNT(Dong2),"",OFFSET(TH!C$1,SMALL(Dong2,ROWS($1:112)),))</f>
        <v/>
      </c>
      <c r="B123" s="190" t="str">
        <f ca="1">IF(ROWS($1:112)&gt;COUNT(Dong2),"",OFFSET(TH!D$1,SMALL(Dong2,ROWS($1:112)),))</f>
        <v/>
      </c>
      <c r="C123" s="190" t="str">
        <f ca="1">IF(ROWS($1:112)&gt;COUNT(Dong2),"",OFFSET(TH!E$1,SMALL(Dong2,ROWS($1:112)),))</f>
        <v/>
      </c>
      <c r="D123" s="349" t="str">
        <f ca="1">IF(ROWS($1:112)&gt;COUNT(Dong2),"",OFFSET(TH!F$1,SMALL(Dong2,ROWS($1:112)),))</f>
        <v/>
      </c>
      <c r="E123" s="190" t="str">
        <f ca="1">IF(ROWS($1:112)&gt;COUNT(Dong2),"",IF(OFFSET(TH!O$1,SMALL(Dong2,ROWS($1:112)),)=$I$6,OFFSET(TH!N$1,SMALL(Dong2,ROWS($1:112)),),OFFSET(TH!O$1,SMALL(Dong2,ROWS($1:112)),)))</f>
        <v/>
      </c>
      <c r="F123" s="924" t="str">
        <f ca="1">IF(ROWS($1:112)&gt;COUNT(Dong2),"",IF(AND(IF($M$9="Q11",LEFT(OFFSET(TH!G$1,SMALL(Dong2,ROWS($1:112)),),3)=$M$9,LEFT(OFFSET(TH!G$1,SMALL(Dong2,ROWS($1:112)),),2)=$M$9),OFFSET(TH!N$1,SMALL(Dong2,ROWS($1:112)),)=$I$6),IF($I$6="1121",OFFSET(TH!M$1,SMALL(Dong2,ROWS($1:112)),),OFFSET(TH!K$1,SMALL(Dong2,ROWS($1:112)),)),0))</f>
        <v/>
      </c>
      <c r="G123" s="924" t="str">
        <f ca="1">IF(ROWS($1:112)&gt;COUNT(Dong2),"",IF(AND(IF($M$9="Q11",RIGHT(OFFSET(TH!G$1,SMALL(Dong2,ROWS($1:112)),),3)=$M$9,RIGHT(OFFSET(TH!G$1,SMALL(Dong2,ROWS($1:112)),),2)=$M$9),OFFSET(TH!O$1,SMALL(Dong2,ROWS($1:112)),)=$I$6),IF($I$6="1121",OFFSET(TH!M$1,SMALL(Dong2,ROWS($1:112)),),OFFSET(TH!K$1,SMALL(Dong2,ROWS($1:112)),)),0))</f>
        <v/>
      </c>
      <c r="H123" s="746">
        <f t="shared" ca="1" si="4"/>
        <v>0</v>
      </c>
      <c r="I123" s="746"/>
      <c r="J123" s="179"/>
      <c r="K123" s="179"/>
      <c r="L123" s="179"/>
      <c r="M123" s="179"/>
      <c r="N123" s="179"/>
      <c r="O123" s="179"/>
      <c r="P123" s="179"/>
      <c r="Q123" s="179"/>
      <c r="R123" s="179"/>
      <c r="S123" s="179"/>
    </row>
    <row r="124" spans="1:19" ht="20.25" customHeight="1">
      <c r="A124" s="190"/>
      <c r="B124" s="190"/>
      <c r="C124" s="190"/>
      <c r="D124" s="349"/>
      <c r="E124" s="190"/>
      <c r="F124" s="924"/>
      <c r="G124" s="924"/>
      <c r="H124" s="746"/>
      <c r="I124" s="746"/>
      <c r="J124" s="179"/>
      <c r="K124" s="179"/>
      <c r="L124" s="179"/>
      <c r="M124" s="179"/>
      <c r="N124" s="179"/>
      <c r="O124" s="179"/>
      <c r="P124" s="179"/>
      <c r="Q124" s="179"/>
      <c r="R124" s="179"/>
      <c r="S124" s="179"/>
    </row>
    <row r="125" spans="1:19" ht="20.25" customHeight="1">
      <c r="A125" s="191"/>
      <c r="B125" s="192"/>
      <c r="C125" s="191"/>
      <c r="D125" s="188" t="s">
        <v>158</v>
      </c>
      <c r="E125" s="193"/>
      <c r="F125" s="745">
        <f ca="1">SUM(F12:F124)</f>
        <v>495817.5</v>
      </c>
      <c r="G125" s="745">
        <f ca="1">SUM(G12:G124)</f>
        <v>513873.36</v>
      </c>
      <c r="H125" s="745">
        <f ca="1">H11+F125-G125</f>
        <v>5361.210000000021</v>
      </c>
      <c r="I125" s="747"/>
      <c r="J125" s="189"/>
      <c r="K125" s="189"/>
      <c r="L125" s="189"/>
      <c r="M125" s="189"/>
      <c r="N125" s="189"/>
      <c r="O125" s="189"/>
      <c r="P125" s="189"/>
      <c r="Q125" s="189"/>
      <c r="R125" s="189"/>
      <c r="S125" s="189"/>
    </row>
    <row r="126" spans="1:19" ht="20.25" customHeight="1">
      <c r="A126" s="191"/>
      <c r="B126" s="192"/>
      <c r="C126" s="191"/>
      <c r="D126" s="188" t="s">
        <v>10</v>
      </c>
      <c r="E126" s="193"/>
      <c r="F126" s="745"/>
      <c r="G126" s="745"/>
      <c r="H126" s="745">
        <f ca="1">H125</f>
        <v>5361.210000000021</v>
      </c>
      <c r="I126" s="193"/>
      <c r="J126" s="189"/>
      <c r="K126" s="189"/>
      <c r="L126" s="189"/>
      <c r="M126" s="189"/>
      <c r="N126" s="189"/>
      <c r="O126" s="189"/>
      <c r="P126" s="189"/>
      <c r="Q126" s="189"/>
      <c r="R126" s="189"/>
      <c r="S126" s="189"/>
    </row>
    <row r="127" spans="1:19" ht="22.5" customHeight="1">
      <c r="A127" s="379" t="s">
        <v>231</v>
      </c>
      <c r="B127" s="194"/>
      <c r="C127" s="189"/>
      <c r="D127" s="189"/>
      <c r="E127" s="189"/>
      <c r="F127" s="195"/>
      <c r="G127" s="189"/>
      <c r="H127" s="918"/>
      <c r="I127" s="196"/>
      <c r="J127" s="189"/>
      <c r="K127" s="189"/>
      <c r="L127" s="189"/>
      <c r="M127" s="189"/>
      <c r="N127" s="189"/>
      <c r="O127" s="189"/>
      <c r="P127" s="189"/>
      <c r="Q127" s="189"/>
      <c r="R127" s="189"/>
      <c r="S127" s="189"/>
    </row>
    <row r="128" spans="1:19" ht="12.75">
      <c r="A128" s="215" t="str">
        <f ca="1">"- Ngày mở sổ: "&amp;DAY($A$12)&amp;"/"&amp;MONTH($A$12)&amp;"/ 2015"</f>
        <v>- Ngày mở sổ: 2/1/ 2015</v>
      </c>
      <c r="B128" s="197"/>
      <c r="C128" s="189"/>
      <c r="D128" s="189"/>
      <c r="E128" s="189"/>
      <c r="F128" s="195"/>
      <c r="G128" s="189"/>
      <c r="H128" s="918"/>
      <c r="I128" s="196"/>
      <c r="J128" s="189"/>
      <c r="K128" s="189"/>
      <c r="L128" s="189"/>
      <c r="M128" s="189"/>
      <c r="N128" s="189"/>
      <c r="O128" s="189"/>
      <c r="P128" s="189"/>
      <c r="Q128" s="189"/>
      <c r="R128" s="189"/>
      <c r="S128" s="189"/>
    </row>
    <row r="129" spans="1:19" ht="12.75">
      <c r="A129" s="198"/>
      <c r="B129" s="199"/>
      <c r="C129" s="200"/>
      <c r="D129" s="189"/>
      <c r="E129" s="189"/>
      <c r="F129" s="195"/>
      <c r="G129" s="300" t="str">
        <f>"Ngày "&amp;IF(OR($K$9=4,$K$9=6,$K$9=9,$K$9=11),"30",IF($K$9=2,"28","31"))&amp;" tháng "&amp;$K$9&amp;"  năm  2016 "</f>
        <v xml:space="preserve">Ngày 31 tháng 1  năm  2016 </v>
      </c>
      <c r="H129" s="918"/>
      <c r="I129" s="189"/>
      <c r="J129" s="189"/>
      <c r="K129" s="189"/>
      <c r="L129" s="189"/>
      <c r="M129" s="189"/>
      <c r="N129" s="189"/>
      <c r="O129" s="189"/>
      <c r="P129" s="189"/>
      <c r="Q129" s="189"/>
      <c r="R129" s="189"/>
      <c r="S129" s="189"/>
    </row>
    <row r="130" spans="1:19" ht="17.25" customHeight="1">
      <c r="A130" s="189"/>
      <c r="B130" s="201" t="s">
        <v>11</v>
      </c>
      <c r="C130" s="189"/>
      <c r="D130" s="201" t="s">
        <v>12</v>
      </c>
      <c r="E130" s="189"/>
      <c r="F130" s="202"/>
      <c r="G130" s="334" t="s">
        <v>131</v>
      </c>
      <c r="H130" s="919"/>
      <c r="I130" s="350"/>
      <c r="J130" s="203"/>
      <c r="K130" s="198"/>
      <c r="L130" s="198"/>
      <c r="M130" s="189"/>
      <c r="N130" s="189"/>
      <c r="O130" s="189"/>
      <c r="P130" s="189"/>
      <c r="Q130" s="189"/>
      <c r="R130" s="189"/>
      <c r="S130" s="189"/>
    </row>
    <row r="131" spans="1:19" ht="12.75">
      <c r="A131" s="189"/>
      <c r="B131" s="335" t="s">
        <v>13</v>
      </c>
      <c r="C131" s="189"/>
      <c r="D131" s="204" t="s">
        <v>13</v>
      </c>
      <c r="E131" s="189"/>
      <c r="F131" s="205"/>
      <c r="G131" s="336" t="s">
        <v>161</v>
      </c>
      <c r="H131" s="918"/>
      <c r="I131" s="189"/>
      <c r="J131" s="189"/>
      <c r="K131" s="206"/>
      <c r="L131" s="206"/>
      <c r="M131" s="189"/>
      <c r="N131" s="189"/>
      <c r="O131" s="189"/>
      <c r="P131" s="189"/>
      <c r="Q131" s="189"/>
      <c r="R131" s="189"/>
      <c r="S131" s="189"/>
    </row>
    <row r="138" spans="1:19">
      <c r="B138" s="338" t="s">
        <v>226</v>
      </c>
      <c r="G138" s="351" t="s">
        <v>125</v>
      </c>
    </row>
  </sheetData>
  <autoFilter ref="A10:K128"/>
  <mergeCells count="14">
    <mergeCell ref="A4:I4"/>
    <mergeCell ref="A5:I5"/>
    <mergeCell ref="R6:R7"/>
    <mergeCell ref="S6:S7"/>
    <mergeCell ref="I8:I9"/>
    <mergeCell ref="E6:G6"/>
    <mergeCell ref="A8:A9"/>
    <mergeCell ref="B8:C8"/>
    <mergeCell ref="D8:D9"/>
    <mergeCell ref="E8:E9"/>
    <mergeCell ref="F8:H8"/>
    <mergeCell ref="O6:O7"/>
    <mergeCell ref="P6:P7"/>
    <mergeCell ref="Q6:Q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"Q4,Q11,PV,VP"</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99"/>
  <sheetViews>
    <sheetView showZeros="0" workbookViewId="0">
      <pane ySplit="3" topLeftCell="A7" activePane="bottomLeft" state="frozen"/>
      <selection activeCell="P41" sqref="P41"/>
      <selection pane="bottomLeft" activeCell="B27" sqref="B27"/>
    </sheetView>
  </sheetViews>
  <sheetFormatPr defaultColWidth="8" defaultRowHeight="13.5"/>
  <cols>
    <col min="1" max="1" width="5.5703125" style="218" customWidth="1"/>
    <col min="2" max="2" width="59.140625" style="218" customWidth="1"/>
    <col min="3" max="8" width="16.42578125" style="218" customWidth="1"/>
    <col min="9" max="9" width="8" style="218"/>
    <col min="10" max="10" width="9.5703125" style="218" bestFit="1" customWidth="1"/>
    <col min="11" max="16384" width="8" style="218"/>
  </cols>
  <sheetData>
    <row r="1" spans="1:9" ht="27" customHeight="1">
      <c r="A1" s="1390" t="s">
        <v>124</v>
      </c>
      <c r="B1" s="1390"/>
      <c r="C1" s="1390"/>
      <c r="D1" s="1390"/>
      <c r="E1" s="1390"/>
      <c r="F1" s="1390"/>
      <c r="G1" s="1390"/>
      <c r="H1" s="1390"/>
    </row>
    <row r="2" spans="1:9" s="10" customFormat="1" ht="14.25" customHeight="1">
      <c r="A2" s="1393" t="s">
        <v>37</v>
      </c>
      <c r="B2" s="1395" t="s">
        <v>38</v>
      </c>
      <c r="C2" s="1391" t="s">
        <v>39</v>
      </c>
      <c r="D2" s="1392"/>
      <c r="E2" s="1391" t="s">
        <v>40</v>
      </c>
      <c r="F2" s="1392"/>
      <c r="G2" s="1391" t="s">
        <v>44</v>
      </c>
      <c r="H2" s="1392"/>
    </row>
    <row r="3" spans="1:9" s="10" customFormat="1" ht="14.25" customHeight="1">
      <c r="A3" s="1394"/>
      <c r="B3" s="1396"/>
      <c r="C3" s="312" t="s">
        <v>45</v>
      </c>
      <c r="D3" s="312" t="s">
        <v>46</v>
      </c>
      <c r="E3" s="312" t="s">
        <v>45</v>
      </c>
      <c r="F3" s="312" t="s">
        <v>46</v>
      </c>
      <c r="G3" s="312" t="s">
        <v>45</v>
      </c>
      <c r="H3" s="312" t="s">
        <v>46</v>
      </c>
    </row>
    <row r="4" spans="1:9" s="758" customFormat="1" ht="16.5" customHeight="1">
      <c r="A4" s="6">
        <f t="shared" ref="A4:A38" si="0">IF(B4&lt;&gt;"",ROW()-3,"")</f>
        <v>1</v>
      </c>
      <c r="B4" s="927" t="s">
        <v>773</v>
      </c>
      <c r="C4" s="755">
        <v>0</v>
      </c>
      <c r="D4" s="755">
        <v>0</v>
      </c>
      <c r="E4" s="755">
        <f t="array" ref="E4">SUM(IF("331"&amp;B4=KHN&amp;KH,TH))</f>
        <v>0</v>
      </c>
      <c r="F4" s="755">
        <f t="array" ref="F4">SUM(IF("331"&amp;B4=KHC&amp;KH,TH))</f>
        <v>0</v>
      </c>
      <c r="G4" s="757">
        <f t="shared" ref="G4:G38" si="1">ROUND(MAX(C4+E4-D4-F4,0),2)</f>
        <v>0</v>
      </c>
      <c r="H4" s="757">
        <f t="shared" ref="H4:H38" si="2">ROUND(MAX(D4+F4-C4-E4,0),2)</f>
        <v>0</v>
      </c>
      <c r="I4" s="758" t="str">
        <f>IF(ISNA(VLOOKUP(B4,DSNL,6,0)),"",VLOOKUP(B4,DSNL,6,0))</f>
        <v/>
      </c>
    </row>
    <row r="5" spans="1:9" s="758" customFormat="1" ht="16.5" customHeight="1">
      <c r="A5" s="1199">
        <f t="shared" si="0"/>
        <v>2</v>
      </c>
      <c r="B5" s="756" t="s">
        <v>557</v>
      </c>
      <c r="C5" s="755">
        <v>0</v>
      </c>
      <c r="D5" s="755">
        <v>9900000</v>
      </c>
      <c r="E5" s="755">
        <f t="array" ref="E5">SUM(IF("331"&amp;B5=KHN&amp;KH,TH))</f>
        <v>0</v>
      </c>
      <c r="F5" s="755">
        <f t="array" ref="F5">SUM(IF("331"&amp;B5=KHC&amp;KH,TH))</f>
        <v>0</v>
      </c>
      <c r="G5" s="757">
        <f t="shared" si="1"/>
        <v>0</v>
      </c>
      <c r="H5" s="757">
        <f t="shared" si="2"/>
        <v>9900000</v>
      </c>
    </row>
    <row r="6" spans="1:9" s="758" customFormat="1" ht="19.5" customHeight="1">
      <c r="A6" s="1199">
        <f t="shared" si="0"/>
        <v>3</v>
      </c>
      <c r="B6" s="305" t="s">
        <v>797</v>
      </c>
      <c r="C6" s="755">
        <v>0</v>
      </c>
      <c r="D6" s="755">
        <v>0</v>
      </c>
      <c r="E6" s="755">
        <f t="array" ref="E6">SUM(IF("331"&amp;B6=KHN&amp;KH,TH))</f>
        <v>0</v>
      </c>
      <c r="F6" s="755">
        <f t="array" ref="F6">SUM(IF("331"&amp;B6=KHC&amp;KH,TH))</f>
        <v>0</v>
      </c>
      <c r="G6" s="757">
        <f t="shared" si="1"/>
        <v>0</v>
      </c>
      <c r="H6" s="757">
        <f t="shared" si="2"/>
        <v>0</v>
      </c>
      <c r="I6" s="758" t="str">
        <f>IF(ISNA(VLOOKUP(B6,DSNL,6,0)),"",VLOOKUP(B6,DSNL,6,0))</f>
        <v/>
      </c>
    </row>
    <row r="7" spans="1:9" s="758" customFormat="1" ht="19.5" customHeight="1">
      <c r="A7" s="1199">
        <f t="shared" ref="A7" si="3">IF(B7&lt;&gt;"",ROW()-3,"")</f>
        <v>4</v>
      </c>
      <c r="B7" s="305" t="s">
        <v>950</v>
      </c>
      <c r="C7" s="755">
        <v>0</v>
      </c>
      <c r="D7" s="755">
        <v>0</v>
      </c>
      <c r="E7" s="755">
        <f t="array" ref="E7">SUM(IF("331"&amp;B7=KHN&amp;KH,TH))</f>
        <v>0</v>
      </c>
      <c r="F7" s="755">
        <f t="array" ref="F7">SUM(IF("331"&amp;B7=KHC&amp;KH,TH))</f>
        <v>0</v>
      </c>
      <c r="G7" s="757">
        <f t="shared" ref="G7" si="4">ROUND(MAX(C7+E7-D7-F7,0),2)</f>
        <v>0</v>
      </c>
      <c r="H7" s="757">
        <f t="shared" ref="H7" si="5">ROUND(MAX(D7+F7-C7-E7,0),2)</f>
        <v>0</v>
      </c>
      <c r="I7" s="758" t="str">
        <f>IF(ISNA(VLOOKUP(B7,DSNL,6,0)),"",VLOOKUP(B7,DSNL,6,0))</f>
        <v/>
      </c>
    </row>
    <row r="8" spans="1:9" s="758" customFormat="1" ht="19.5" customHeight="1">
      <c r="A8" s="1199">
        <f t="shared" si="0"/>
        <v>5</v>
      </c>
      <c r="B8" s="305" t="s">
        <v>890</v>
      </c>
      <c r="C8" s="755">
        <v>0</v>
      </c>
      <c r="D8" s="755">
        <v>0</v>
      </c>
      <c r="E8" s="755">
        <f t="array" ref="E8">SUM(IF("331"&amp;B8=KHN&amp;KH,TH))</f>
        <v>0</v>
      </c>
      <c r="F8" s="755">
        <f t="array" ref="F8">SUM(IF("331"&amp;B8=KHC&amp;KH,TH))</f>
        <v>0</v>
      </c>
      <c r="G8" s="757">
        <f t="shared" si="1"/>
        <v>0</v>
      </c>
      <c r="H8" s="757">
        <f t="shared" si="2"/>
        <v>0</v>
      </c>
      <c r="I8" s="758" t="str">
        <f>IF(ISNA(VLOOKUP(B8,DSNL,6,0)),"",VLOOKUP(B8,DSNL,6,0))</f>
        <v/>
      </c>
    </row>
    <row r="9" spans="1:9" s="758" customFormat="1" ht="16.5" customHeight="1">
      <c r="A9" s="1199">
        <f t="shared" si="0"/>
        <v>6</v>
      </c>
      <c r="B9" s="756" t="s">
        <v>556</v>
      </c>
      <c r="C9" s="755">
        <v>0</v>
      </c>
      <c r="D9" s="755">
        <v>0</v>
      </c>
      <c r="E9" s="755">
        <f t="array" ref="E9">SUM(IF("331"&amp;B9=KHN&amp;KH,TH))</f>
        <v>0</v>
      </c>
      <c r="F9" s="755">
        <f t="array" ref="F9">SUM(IF("331"&amp;B9=KHC&amp;KH,TH))</f>
        <v>5280000</v>
      </c>
      <c r="G9" s="757">
        <f t="shared" si="1"/>
        <v>0</v>
      </c>
      <c r="H9" s="757">
        <f t="shared" si="2"/>
        <v>5280000</v>
      </c>
    </row>
    <row r="10" spans="1:9" s="758" customFormat="1" ht="16.5" customHeight="1">
      <c r="A10" s="1199">
        <f t="shared" si="0"/>
        <v>7</v>
      </c>
      <c r="B10" s="77" t="s">
        <v>740</v>
      </c>
      <c r="C10" s="755">
        <v>0</v>
      </c>
      <c r="D10" s="755">
        <v>72380000</v>
      </c>
      <c r="E10" s="755">
        <f t="array" ref="E10">SUM(IF("331"&amp;B10=KHN&amp;KH,TH))</f>
        <v>0</v>
      </c>
      <c r="F10" s="755">
        <f t="array" ref="F10">SUM(IF("331"&amp;B10=KHC&amp;KH,TH))</f>
        <v>0</v>
      </c>
      <c r="G10" s="757">
        <f t="shared" si="1"/>
        <v>0</v>
      </c>
      <c r="H10" s="757">
        <f t="shared" si="2"/>
        <v>72380000</v>
      </c>
    </row>
    <row r="11" spans="1:9" s="758" customFormat="1" ht="16.5" customHeight="1">
      <c r="A11" s="1199">
        <f t="shared" si="0"/>
        <v>8</v>
      </c>
      <c r="B11" s="756" t="s">
        <v>558</v>
      </c>
      <c r="C11" s="755">
        <v>0</v>
      </c>
      <c r="D11" s="755">
        <v>132012938</v>
      </c>
      <c r="E11" s="755">
        <f t="array" ref="E11">SUM(IF("331"&amp;B11=KHN&amp;KH,TH))</f>
        <v>0</v>
      </c>
      <c r="F11" s="755">
        <f t="array" ref="F11">SUM(IF("331"&amp;B11=KHC&amp;KH,TH))</f>
        <v>0</v>
      </c>
      <c r="G11" s="757">
        <f t="shared" si="1"/>
        <v>0</v>
      </c>
      <c r="H11" s="757">
        <f t="shared" si="2"/>
        <v>132012938</v>
      </c>
    </row>
    <row r="12" spans="1:9" s="758" customFormat="1" ht="16.5" customHeight="1">
      <c r="A12" s="1199">
        <f t="shared" si="0"/>
        <v>9</v>
      </c>
      <c r="B12" s="756" t="s">
        <v>559</v>
      </c>
      <c r="C12" s="755">
        <v>0</v>
      </c>
      <c r="D12" s="755">
        <v>62480865</v>
      </c>
      <c r="E12" s="755">
        <f t="array" ref="E12">SUM(IF("331"&amp;B12=KHN&amp;KH,TH))</f>
        <v>0</v>
      </c>
      <c r="F12" s="755">
        <f t="array" ref="F12">SUM(IF("331"&amp;B12=KHC&amp;KH,TH))</f>
        <v>0</v>
      </c>
      <c r="G12" s="757">
        <f t="shared" si="1"/>
        <v>0</v>
      </c>
      <c r="H12" s="757">
        <f t="shared" si="2"/>
        <v>62480865</v>
      </c>
    </row>
    <row r="13" spans="1:9" s="758" customFormat="1" ht="16.5" customHeight="1">
      <c r="A13" s="1199">
        <f t="shared" si="0"/>
        <v>10</v>
      </c>
      <c r="B13" s="305" t="s">
        <v>790</v>
      </c>
      <c r="C13" s="755">
        <v>0</v>
      </c>
      <c r="D13" s="755">
        <v>0</v>
      </c>
      <c r="E13" s="755">
        <f t="array" ref="E13">SUM(IF("331"&amp;B13=KHN&amp;KH,TH))</f>
        <v>0</v>
      </c>
      <c r="F13" s="755">
        <f t="array" ref="F13">SUM(IF("331"&amp;B13=KHC&amp;KH,TH))</f>
        <v>0</v>
      </c>
      <c r="G13" s="757">
        <f t="shared" si="1"/>
        <v>0</v>
      </c>
      <c r="H13" s="757">
        <f t="shared" si="2"/>
        <v>0</v>
      </c>
      <c r="I13" s="758" t="str">
        <f t="shared" ref="I13:I18" si="6">IF(ISNA(VLOOKUP(B13,DSNL,6,0)),"",VLOOKUP(B13,DSNL,6,0))</f>
        <v/>
      </c>
    </row>
    <row r="14" spans="1:9" s="758" customFormat="1" ht="16.5" customHeight="1">
      <c r="A14" s="1199">
        <f t="shared" si="0"/>
        <v>11</v>
      </c>
      <c r="B14" s="305" t="s">
        <v>791</v>
      </c>
      <c r="C14" s="755">
        <v>0</v>
      </c>
      <c r="D14" s="755">
        <v>0</v>
      </c>
      <c r="E14" s="755">
        <f t="array" ref="E14">SUM(IF("331"&amp;B14=KHN&amp;KH,TH))</f>
        <v>0</v>
      </c>
      <c r="F14" s="755">
        <f t="array" ref="F14">SUM(IF("331"&amp;B14=KHC&amp;KH,TH))</f>
        <v>0</v>
      </c>
      <c r="G14" s="757">
        <f t="shared" si="1"/>
        <v>0</v>
      </c>
      <c r="H14" s="757">
        <f t="shared" si="2"/>
        <v>0</v>
      </c>
      <c r="I14" s="758" t="str">
        <f t="shared" si="6"/>
        <v/>
      </c>
    </row>
    <row r="15" spans="1:9" s="758" customFormat="1" ht="18.75" customHeight="1">
      <c r="A15" s="1199">
        <f t="shared" si="0"/>
        <v>12</v>
      </c>
      <c r="B15" s="756" t="s">
        <v>855</v>
      </c>
      <c r="C15" s="755">
        <v>0</v>
      </c>
      <c r="D15" s="755">
        <v>0</v>
      </c>
      <c r="E15" s="755">
        <f t="array" ref="E15">SUM(IF("331"&amp;B15=KHN&amp;KH,TH))</f>
        <v>0</v>
      </c>
      <c r="F15" s="755">
        <f t="array" ref="F15">SUM(IF("331"&amp;B15=KHC&amp;KH,TH))</f>
        <v>0</v>
      </c>
      <c r="G15" s="757">
        <f t="shared" si="1"/>
        <v>0</v>
      </c>
      <c r="H15" s="757">
        <f t="shared" si="2"/>
        <v>0</v>
      </c>
      <c r="I15" s="758" t="str">
        <f t="shared" si="6"/>
        <v/>
      </c>
    </row>
    <row r="16" spans="1:9" s="758" customFormat="1" ht="16.5" customHeight="1">
      <c r="A16" s="1199">
        <f t="shared" si="0"/>
        <v>13</v>
      </c>
      <c r="B16" s="305" t="s">
        <v>893</v>
      </c>
      <c r="C16" s="755">
        <v>0</v>
      </c>
      <c r="D16" s="755">
        <v>0</v>
      </c>
      <c r="E16" s="755">
        <f t="array" ref="E16">SUM(IF("331"&amp;B16=KHN&amp;KH,TH))</f>
        <v>0</v>
      </c>
      <c r="F16" s="755">
        <f t="array" ref="F16">SUM(IF("331"&amp;B16=KHC&amp;KH,TH))</f>
        <v>0</v>
      </c>
      <c r="G16" s="757">
        <f t="shared" si="1"/>
        <v>0</v>
      </c>
      <c r="H16" s="757">
        <f t="shared" si="2"/>
        <v>0</v>
      </c>
      <c r="I16" s="758" t="str">
        <f t="shared" si="6"/>
        <v/>
      </c>
    </row>
    <row r="17" spans="1:9" s="758" customFormat="1" ht="16.5" customHeight="1">
      <c r="A17" s="1199">
        <f t="shared" ref="A17" si="7">IF(B17&lt;&gt;"",ROW()-3,"")</f>
        <v>14</v>
      </c>
      <c r="B17" s="305" t="s">
        <v>952</v>
      </c>
      <c r="C17" s="755">
        <v>0</v>
      </c>
      <c r="D17" s="755">
        <v>38100000</v>
      </c>
      <c r="E17" s="755">
        <f t="array" ref="E17">SUM(IF("331"&amp;B17=KHN&amp;KH,TH))</f>
        <v>0</v>
      </c>
      <c r="F17" s="755">
        <f t="array" ref="F17">SUM(IF("331"&amp;B17=KHC&amp;KH,TH))</f>
        <v>62035000</v>
      </c>
      <c r="G17" s="757">
        <f t="shared" ref="G17" si="8">ROUND(MAX(C17+E17-D17-F17,0),2)</f>
        <v>0</v>
      </c>
      <c r="H17" s="757">
        <f t="shared" ref="H17" si="9">ROUND(MAX(D17+F17-C17-E17,0),2)</f>
        <v>100135000</v>
      </c>
      <c r="I17" s="758" t="str">
        <f t="shared" si="6"/>
        <v/>
      </c>
    </row>
    <row r="18" spans="1:9" s="10" customFormat="1" ht="16.5" customHeight="1">
      <c r="A18" s="6">
        <f t="shared" si="0"/>
        <v>15</v>
      </c>
      <c r="B18" s="69" t="s">
        <v>792</v>
      </c>
      <c r="C18" s="8">
        <v>0</v>
      </c>
      <c r="D18" s="8">
        <v>0</v>
      </c>
      <c r="E18" s="8">
        <f t="array" ref="E18">SUM(IF("331"&amp;B18=KHN&amp;KH,TH))</f>
        <v>0</v>
      </c>
      <c r="F18" s="8">
        <f t="array" ref="F18">SUM(IF("331"&amp;B18=KHC&amp;KH,TH))</f>
        <v>0</v>
      </c>
      <c r="G18" s="81">
        <f t="shared" si="1"/>
        <v>0</v>
      </c>
      <c r="H18" s="81">
        <f t="shared" si="2"/>
        <v>0</v>
      </c>
      <c r="I18" s="10" t="str">
        <f t="shared" si="6"/>
        <v/>
      </c>
    </row>
    <row r="19" spans="1:9" s="1143" customFormat="1" ht="16.5" customHeight="1">
      <c r="A19" s="1150">
        <f t="shared" si="0"/>
        <v>16</v>
      </c>
      <c r="B19" s="1198" t="s">
        <v>560</v>
      </c>
      <c r="C19" s="8">
        <v>0</v>
      </c>
      <c r="D19" s="8">
        <v>218710800</v>
      </c>
      <c r="E19" s="1142">
        <f t="array" ref="E19">SUM(IF("331"&amp;B19=KHN&amp;KH,TH))</f>
        <v>109355400</v>
      </c>
      <c r="F19" s="1142">
        <f t="array" ref="F19">SUM(IF("331"&amp;B19=KHC&amp;KH,TH))</f>
        <v>0</v>
      </c>
      <c r="G19" s="1151">
        <f t="shared" si="1"/>
        <v>0</v>
      </c>
      <c r="H19" s="1151">
        <f t="shared" si="2"/>
        <v>109355400</v>
      </c>
    </row>
    <row r="20" spans="1:9" s="1143" customFormat="1" ht="16.5" customHeight="1">
      <c r="A20" s="1150">
        <f t="shared" si="0"/>
        <v>17</v>
      </c>
      <c r="B20" s="85" t="s">
        <v>752</v>
      </c>
      <c r="C20" s="1142">
        <v>0</v>
      </c>
      <c r="D20" s="1142">
        <v>39322800</v>
      </c>
      <c r="E20" s="1142">
        <f t="array" ref="E20">SUM(IF("331"&amp;B20=KHN&amp;KH,TH))</f>
        <v>0</v>
      </c>
      <c r="F20" s="1142">
        <f t="array" ref="F20">SUM(IF("331"&amp;B20=KHC&amp;KH,TH))</f>
        <v>0</v>
      </c>
      <c r="G20" s="1151">
        <f t="shared" si="1"/>
        <v>0</v>
      </c>
      <c r="H20" s="1151">
        <f t="shared" si="2"/>
        <v>39322800</v>
      </c>
    </row>
    <row r="21" spans="1:9" s="1143" customFormat="1" ht="16.5" customHeight="1">
      <c r="A21" s="1150">
        <f t="shared" si="0"/>
        <v>18</v>
      </c>
      <c r="B21" s="85" t="s">
        <v>749</v>
      </c>
      <c r="C21" s="1142">
        <v>0</v>
      </c>
      <c r="D21" s="1142">
        <v>23500000</v>
      </c>
      <c r="E21" s="1142">
        <f t="array" ref="E21">SUM(IF("331"&amp;B21=KHN&amp;KH,TH))</f>
        <v>0</v>
      </c>
      <c r="F21" s="1142">
        <f t="array" ref="F21">SUM(IF("331"&amp;B21=KHC&amp;KH,TH))</f>
        <v>0</v>
      </c>
      <c r="G21" s="1151">
        <f t="shared" si="1"/>
        <v>0</v>
      </c>
      <c r="H21" s="1151">
        <f t="shared" si="2"/>
        <v>23500000</v>
      </c>
      <c r="I21" s="1143" t="str">
        <f>IF(ISNA(VLOOKUP(B21,DSNL,6,0)),"",VLOOKUP(B21,DSNL,6,0))</f>
        <v/>
      </c>
    </row>
    <row r="22" spans="1:9" s="1203" customFormat="1" ht="16.5" customHeight="1">
      <c r="A22" s="1200">
        <f t="shared" si="0"/>
        <v>19</v>
      </c>
      <c r="B22" s="1011" t="s">
        <v>748</v>
      </c>
      <c r="C22" s="1142">
        <v>0</v>
      </c>
      <c r="D22" s="1142">
        <v>5229303</v>
      </c>
      <c r="E22" s="1201">
        <f t="array" ref="E22">SUM(IF("331"&amp;B22=KHN&amp;KH,TH))</f>
        <v>0</v>
      </c>
      <c r="F22" s="1201">
        <f t="array" ref="F22">SUM(IF("331"&amp;B22=KHC&amp;KH,TH))</f>
        <v>0</v>
      </c>
      <c r="G22" s="1202">
        <f t="shared" si="1"/>
        <v>0</v>
      </c>
      <c r="H22" s="1202">
        <f t="shared" si="2"/>
        <v>5229303</v>
      </c>
      <c r="I22" s="1203" t="str">
        <f>IF(ISNA(VLOOKUP(B22,DSNL,6,0)),"",VLOOKUP(B22,DSNL,6,0))</f>
        <v/>
      </c>
    </row>
    <row r="23" spans="1:9" s="1203" customFormat="1" ht="16.5" customHeight="1">
      <c r="A23" s="1200">
        <f t="shared" si="0"/>
        <v>20</v>
      </c>
      <c r="B23" s="1105" t="s">
        <v>894</v>
      </c>
      <c r="C23" s="1201">
        <v>0</v>
      </c>
      <c r="D23" s="1201">
        <v>0</v>
      </c>
      <c r="E23" s="1201">
        <f t="array" ref="E23">SUM(IF("331"&amp;B23=KHN&amp;KH,TH))</f>
        <v>0</v>
      </c>
      <c r="F23" s="1201">
        <f t="array" ref="F23">SUM(IF("331"&amp;B23=KHC&amp;KH,TH))</f>
        <v>0</v>
      </c>
      <c r="G23" s="1202">
        <f t="shared" si="1"/>
        <v>0</v>
      </c>
      <c r="H23" s="1202">
        <f t="shared" si="2"/>
        <v>0</v>
      </c>
      <c r="I23" s="1203" t="str">
        <f>IF(ISNA(VLOOKUP(B23,DSNL,6,0)),"",VLOOKUP(B23,DSNL,6,0))</f>
        <v/>
      </c>
    </row>
    <row r="24" spans="1:9" s="10" customFormat="1" ht="16.5" customHeight="1">
      <c r="A24" s="6">
        <f t="shared" si="0"/>
        <v>21</v>
      </c>
      <c r="B24" s="7" t="s">
        <v>561</v>
      </c>
      <c r="C24" s="1201">
        <v>0</v>
      </c>
      <c r="D24" s="1201">
        <v>0</v>
      </c>
      <c r="E24" s="8">
        <f t="array" ref="E24">SUM(IF("331"&amp;B24=KHN&amp;KH,TH))</f>
        <v>0</v>
      </c>
      <c r="F24" s="8">
        <f t="array" ref="F24">SUM(IF("331"&amp;B24=KHC&amp;KH,TH))</f>
        <v>0</v>
      </c>
      <c r="G24" s="81">
        <f t="shared" si="1"/>
        <v>0</v>
      </c>
      <c r="H24" s="81">
        <f t="shared" si="2"/>
        <v>0</v>
      </c>
    </row>
    <row r="25" spans="1:9" s="10" customFormat="1" ht="16.5" customHeight="1">
      <c r="A25" s="6">
        <f t="shared" si="0"/>
        <v>22</v>
      </c>
      <c r="B25" s="321" t="s">
        <v>885</v>
      </c>
      <c r="C25" s="755">
        <v>0</v>
      </c>
      <c r="D25" s="755">
        <v>0</v>
      </c>
      <c r="E25" s="8">
        <f t="array" ref="E25">SUM(IF("331"&amp;B25=KHN&amp;KH,TH))</f>
        <v>0</v>
      </c>
      <c r="F25" s="8">
        <f t="array" ref="F25">SUM(IF("331"&amp;B25=KHC&amp;KH,TH))</f>
        <v>0</v>
      </c>
      <c r="G25" s="81">
        <f t="shared" si="1"/>
        <v>0</v>
      </c>
      <c r="H25" s="81">
        <f t="shared" si="2"/>
        <v>0</v>
      </c>
      <c r="I25" s="10" t="str">
        <f>IF(ISNA(VLOOKUP(B25,DSNL,6,0)),"",VLOOKUP(B25,DSNL,6,0))</f>
        <v/>
      </c>
    </row>
    <row r="26" spans="1:9" s="10" customFormat="1" ht="16.5" customHeight="1">
      <c r="A26" s="6">
        <f t="shared" si="0"/>
        <v>23</v>
      </c>
      <c r="B26" s="7" t="s">
        <v>562</v>
      </c>
      <c r="C26" s="8">
        <v>0</v>
      </c>
      <c r="D26" s="8">
        <v>151861829</v>
      </c>
      <c r="E26" s="8">
        <f t="array" ref="E26">SUM(IF("331"&amp;B26=KHN&amp;KH,TH))</f>
        <v>0</v>
      </c>
      <c r="F26" s="8">
        <f t="array" ref="F26">SUM(IF("331"&amp;B26=KHC&amp;KH,TH))</f>
        <v>0</v>
      </c>
      <c r="G26" s="81">
        <f t="shared" si="1"/>
        <v>0</v>
      </c>
      <c r="H26" s="81">
        <f t="shared" si="2"/>
        <v>151861829</v>
      </c>
    </row>
    <row r="27" spans="1:9" s="10" customFormat="1" ht="16.5" customHeight="1">
      <c r="A27" s="6">
        <f t="shared" si="0"/>
        <v>24</v>
      </c>
      <c r="B27" s="7" t="s">
        <v>563</v>
      </c>
      <c r="C27" s="755">
        <v>0</v>
      </c>
      <c r="D27" s="755">
        <v>0</v>
      </c>
      <c r="E27" s="8">
        <f t="array" ref="E27">SUM(IF("331"&amp;B27=KHN&amp;KH,TH))</f>
        <v>0</v>
      </c>
      <c r="F27" s="8">
        <f t="array" ref="F27">SUM(IF("331"&amp;B27=KHC&amp;KH,TH))</f>
        <v>35033790</v>
      </c>
      <c r="G27" s="81">
        <f t="shared" si="1"/>
        <v>0</v>
      </c>
      <c r="H27" s="81">
        <f t="shared" si="2"/>
        <v>35033790</v>
      </c>
    </row>
    <row r="28" spans="1:9" s="10" customFormat="1" ht="16.5" customHeight="1">
      <c r="A28" s="6">
        <f t="shared" si="0"/>
        <v>25</v>
      </c>
      <c r="B28" s="69" t="s">
        <v>739</v>
      </c>
      <c r="C28" s="755">
        <v>0</v>
      </c>
      <c r="D28" s="755">
        <v>8276978</v>
      </c>
      <c r="E28" s="8">
        <f t="array" ref="E28">SUM(IF("331"&amp;B28=KHN&amp;KH,TH))</f>
        <v>8276978</v>
      </c>
      <c r="F28" s="8">
        <f t="array" ref="F28">SUM(IF("331"&amp;B28=KHC&amp;KH,TH))</f>
        <v>0</v>
      </c>
      <c r="G28" s="81">
        <f t="shared" si="1"/>
        <v>0</v>
      </c>
      <c r="H28" s="81">
        <f t="shared" si="2"/>
        <v>0</v>
      </c>
      <c r="I28" s="10" t="str">
        <f>IF(ISNA(VLOOKUP(B28,DSNL,6,0)),"",VLOOKUP(B28,DSNL,6,0))</f>
        <v/>
      </c>
    </row>
    <row r="29" spans="1:9" s="758" customFormat="1" ht="16.5" customHeight="1">
      <c r="A29" s="6">
        <f t="shared" si="0"/>
        <v>26</v>
      </c>
      <c r="B29" s="303" t="s">
        <v>622</v>
      </c>
      <c r="C29" s="755">
        <v>0</v>
      </c>
      <c r="D29" s="755">
        <v>1913620232</v>
      </c>
      <c r="E29" s="8">
        <f t="array" ref="E29">SUM(IF("331"&amp;B29=KHN&amp;KH,TH))</f>
        <v>0</v>
      </c>
      <c r="F29" s="8">
        <f t="array" ref="F29">SUM(IF("331"&amp;B29=KHC&amp;KH,TH))</f>
        <v>0</v>
      </c>
      <c r="G29" s="81">
        <f t="shared" si="1"/>
        <v>0</v>
      </c>
      <c r="H29" s="81">
        <f t="shared" si="2"/>
        <v>1913620232</v>
      </c>
      <c r="I29" s="758" t="str">
        <f>IF(ISNA(VLOOKUP(B29,DSNL,6,0)),"",VLOOKUP(B29,DSNL,6,0))</f>
        <v/>
      </c>
    </row>
    <row r="30" spans="1:9" s="10" customFormat="1" ht="16.5" customHeight="1">
      <c r="A30" s="6">
        <f t="shared" si="0"/>
        <v>27</v>
      </c>
      <c r="B30" s="69" t="s">
        <v>753</v>
      </c>
      <c r="C30" s="755">
        <v>0</v>
      </c>
      <c r="D30" s="81">
        <v>120673324</v>
      </c>
      <c r="E30" s="8">
        <f t="array" ref="E30">SUM(IF("331"&amp;B30=KHN&amp;KH,TH))</f>
        <v>0</v>
      </c>
      <c r="F30" s="8">
        <f t="array" ref="F30">SUM(IF("331"&amp;B30=KHC&amp;KH,TH))</f>
        <v>37922903</v>
      </c>
      <c r="G30" s="81">
        <f t="shared" si="1"/>
        <v>0</v>
      </c>
      <c r="H30" s="81">
        <f t="shared" si="2"/>
        <v>158596227</v>
      </c>
    </row>
    <row r="31" spans="1:9" s="10" customFormat="1" ht="16.5" customHeight="1">
      <c r="A31" s="6">
        <f t="shared" si="0"/>
        <v>28</v>
      </c>
      <c r="B31" s="69" t="s">
        <v>567</v>
      </c>
      <c r="C31" s="755">
        <v>0</v>
      </c>
      <c r="D31" s="755">
        <v>106170000</v>
      </c>
      <c r="E31" s="8">
        <f t="array" ref="E31">SUM(IF("331"&amp;B31=KHN&amp;KH,TH))</f>
        <v>0</v>
      </c>
      <c r="F31" s="8">
        <f t="array" ref="F31">SUM(IF("331"&amp;B31=KHC&amp;KH,TH))</f>
        <v>0</v>
      </c>
      <c r="G31" s="81">
        <f t="shared" si="1"/>
        <v>0</v>
      </c>
      <c r="H31" s="81">
        <f t="shared" si="2"/>
        <v>106170000</v>
      </c>
      <c r="I31" s="10" t="str">
        <f t="shared" ref="I31:I36" si="10">IF(ISNA(VLOOKUP(B31,DSNL,6,0)),"",VLOOKUP(B31,DSNL,6,0))</f>
        <v/>
      </c>
    </row>
    <row r="32" spans="1:9" s="10" customFormat="1" ht="16.5" customHeight="1">
      <c r="A32" s="6">
        <f t="shared" si="0"/>
        <v>29</v>
      </c>
      <c r="B32" s="303" t="s">
        <v>833</v>
      </c>
      <c r="C32" s="8">
        <v>0</v>
      </c>
      <c r="D32" s="8">
        <v>0</v>
      </c>
      <c r="E32" s="8">
        <f t="array" ref="E32">SUM(IF("331"&amp;B32=KHN&amp;KH,TH))</f>
        <v>0</v>
      </c>
      <c r="F32" s="8">
        <f t="array" ref="F32">SUM(IF("331"&amp;B32=KHC&amp;KH,TH))</f>
        <v>0</v>
      </c>
      <c r="G32" s="81">
        <f t="shared" si="1"/>
        <v>0</v>
      </c>
      <c r="H32" s="81">
        <f t="shared" si="2"/>
        <v>0</v>
      </c>
      <c r="I32" s="10" t="str">
        <f t="shared" si="10"/>
        <v/>
      </c>
    </row>
    <row r="33" spans="1:9" s="758" customFormat="1" ht="16.5" customHeight="1">
      <c r="A33" s="6">
        <f t="shared" si="0"/>
        <v>30</v>
      </c>
      <c r="B33" s="303" t="s">
        <v>741</v>
      </c>
      <c r="C33" s="8">
        <v>0</v>
      </c>
      <c r="D33" s="8">
        <v>0</v>
      </c>
      <c r="E33" s="8">
        <f t="array" ref="E33">SUM(IF("331"&amp;B33=KHN&amp;KH,TH))</f>
        <v>0</v>
      </c>
      <c r="F33" s="8">
        <f t="array" ref="F33">SUM(IF("331"&amp;B33=KHC&amp;KH,TH))</f>
        <v>0</v>
      </c>
      <c r="G33" s="81">
        <f t="shared" si="1"/>
        <v>0</v>
      </c>
      <c r="H33" s="81">
        <f t="shared" si="2"/>
        <v>0</v>
      </c>
      <c r="I33" s="758" t="str">
        <f t="shared" si="10"/>
        <v/>
      </c>
    </row>
    <row r="34" spans="1:9" s="10" customFormat="1" ht="16.5" customHeight="1">
      <c r="A34" s="6">
        <f t="shared" si="0"/>
        <v>31</v>
      </c>
      <c r="B34" s="69" t="s">
        <v>788</v>
      </c>
      <c r="C34" s="755">
        <v>0</v>
      </c>
      <c r="D34" s="755">
        <v>0</v>
      </c>
      <c r="E34" s="8">
        <f t="array" ref="E34">SUM(IF("331"&amp;B34=KHN&amp;KH,TH))</f>
        <v>0</v>
      </c>
      <c r="F34" s="8">
        <f t="array" ref="F34">SUM(IF("331"&amp;B34=KHC&amp;KH,TH))</f>
        <v>0</v>
      </c>
      <c r="G34" s="81">
        <f t="shared" si="1"/>
        <v>0</v>
      </c>
      <c r="H34" s="81">
        <f t="shared" si="2"/>
        <v>0</v>
      </c>
      <c r="I34" s="10" t="str">
        <f t="shared" si="10"/>
        <v/>
      </c>
    </row>
    <row r="35" spans="1:9" s="1143" customFormat="1" ht="16.5" customHeight="1">
      <c r="A35" s="1150">
        <f t="shared" si="0"/>
        <v>32</v>
      </c>
      <c r="B35" s="85" t="s">
        <v>783</v>
      </c>
      <c r="C35" s="755">
        <v>0</v>
      </c>
      <c r="D35" s="755">
        <v>1299471000</v>
      </c>
      <c r="E35" s="1142">
        <f t="array" ref="E35">SUM(IF("331"&amp;B35=KHN&amp;KH,TH))</f>
        <v>1299471000</v>
      </c>
      <c r="F35" s="1142">
        <f t="array" ref="F35">SUM(IF("331"&amp;B35=KHC&amp;KH,TH))</f>
        <v>0</v>
      </c>
      <c r="G35" s="1151">
        <f t="shared" si="1"/>
        <v>0</v>
      </c>
      <c r="H35" s="1151">
        <f t="shared" si="2"/>
        <v>0</v>
      </c>
      <c r="I35" s="1143" t="str">
        <f t="shared" si="10"/>
        <v/>
      </c>
    </row>
    <row r="36" spans="1:9" s="1143" customFormat="1" ht="16.5" customHeight="1">
      <c r="A36" s="1150">
        <f t="shared" si="0"/>
        <v>33</v>
      </c>
      <c r="B36" s="85" t="s">
        <v>785</v>
      </c>
      <c r="C36" s="1142">
        <v>0</v>
      </c>
      <c r="D36" s="1142">
        <v>0</v>
      </c>
      <c r="E36" s="1142">
        <f t="array" ref="E36">SUM(IF("331"&amp;B36=KHN&amp;KH,TH))</f>
        <v>0</v>
      </c>
      <c r="F36" s="1142">
        <f t="array" ref="F36">SUM(IF("331"&amp;B36=KHC&amp;KH,TH))</f>
        <v>0</v>
      </c>
      <c r="G36" s="1151">
        <f t="shared" si="1"/>
        <v>0</v>
      </c>
      <c r="H36" s="1151">
        <f t="shared" si="2"/>
        <v>0</v>
      </c>
      <c r="I36" s="1143" t="str">
        <f t="shared" si="10"/>
        <v/>
      </c>
    </row>
    <row r="37" spans="1:9" s="1143" customFormat="1" ht="16.5" customHeight="1">
      <c r="A37" s="1150">
        <f t="shared" si="0"/>
        <v>34</v>
      </c>
      <c r="B37" s="85" t="s">
        <v>623</v>
      </c>
      <c r="C37" s="1142">
        <v>0</v>
      </c>
      <c r="D37" s="1142">
        <v>0</v>
      </c>
      <c r="E37" s="1142">
        <f t="array" ref="E37">SUM(IF("331"&amp;B37=KHN&amp;KH,TH))</f>
        <v>0</v>
      </c>
      <c r="F37" s="1142">
        <f t="array" ref="F37">SUM(IF("331"&amp;B37=KHC&amp;KH,TH))</f>
        <v>0</v>
      </c>
      <c r="G37" s="1151">
        <f t="shared" si="1"/>
        <v>0</v>
      </c>
      <c r="H37" s="1151">
        <f t="shared" si="2"/>
        <v>0</v>
      </c>
    </row>
    <row r="38" spans="1:9" s="1143" customFormat="1" ht="16.5" customHeight="1">
      <c r="A38" s="1150">
        <f t="shared" si="0"/>
        <v>35</v>
      </c>
      <c r="B38" s="1134" t="s">
        <v>887</v>
      </c>
      <c r="C38" s="1142">
        <v>0</v>
      </c>
      <c r="D38" s="1142">
        <v>0</v>
      </c>
      <c r="E38" s="1142">
        <f t="array" ref="E38">SUM(IF("331"&amp;B38=KHN&amp;KH,TH))</f>
        <v>0</v>
      </c>
      <c r="F38" s="1142">
        <f t="array" ref="F38">SUM(IF("331"&amp;B38=KHC&amp;KH,TH))</f>
        <v>0</v>
      </c>
      <c r="G38" s="1151">
        <f t="shared" si="1"/>
        <v>0</v>
      </c>
      <c r="H38" s="1151">
        <f t="shared" si="2"/>
        <v>0</v>
      </c>
      <c r="I38" s="1143" t="str">
        <f>IF(ISNA(VLOOKUP(B38,DSNL,6,0)),"",VLOOKUP(B38,DSNL,6,0))</f>
        <v/>
      </c>
    </row>
    <row r="39" spans="1:9" s="1143" customFormat="1" ht="16.5" customHeight="1">
      <c r="A39" s="1150">
        <f t="shared" ref="A39" si="11">IF(B39&lt;&gt;"",ROW()-3,"")</f>
        <v>36</v>
      </c>
      <c r="B39" s="1134" t="s">
        <v>947</v>
      </c>
      <c r="C39" s="1142">
        <v>0</v>
      </c>
      <c r="D39" s="1142">
        <v>0</v>
      </c>
      <c r="E39" s="1142">
        <f t="array" ref="E39">SUM(IF("331"&amp;B39=KHN&amp;KH,TH))</f>
        <v>0</v>
      </c>
      <c r="F39" s="1142">
        <f t="array" ref="F39">SUM(IF("331"&amp;B39=KHC&amp;KH,TH))</f>
        <v>0</v>
      </c>
      <c r="G39" s="1151">
        <f t="shared" ref="G39" si="12">ROUND(MAX(C39+E39-D39-F39,0),2)</f>
        <v>0</v>
      </c>
      <c r="H39" s="1151">
        <f t="shared" ref="H39" si="13">ROUND(MAX(D39+F39-C39-E39,0),2)</f>
        <v>0</v>
      </c>
      <c r="I39" s="1143" t="str">
        <f>IF(ISNA(VLOOKUP(B39,DSNL,6,0)),"",VLOOKUP(B39,DSNL,6,0))</f>
        <v/>
      </c>
    </row>
    <row r="40" spans="1:9" s="1143" customFormat="1" ht="16.5" customHeight="1">
      <c r="A40" s="1150">
        <f t="shared" ref="A40" si="14">IF(B40&lt;&gt;"",ROW()-3,"")</f>
        <v>37</v>
      </c>
      <c r="B40" s="1169" t="s">
        <v>889</v>
      </c>
      <c r="C40" s="1142">
        <v>0</v>
      </c>
      <c r="D40" s="1142">
        <v>0</v>
      </c>
      <c r="E40" s="1142">
        <f t="array" ref="E40">SUM(IF("331"&amp;B40=KHN&amp;KH,TH))</f>
        <v>0</v>
      </c>
      <c r="F40" s="1142">
        <f t="array" ref="F40">SUM(IF("331"&amp;B40=KHC&amp;KH,TH))</f>
        <v>0</v>
      </c>
      <c r="G40" s="1151">
        <f t="shared" ref="G40" si="15">ROUND(MAX(C40+E40-D40-F40,0),2)</f>
        <v>0</v>
      </c>
      <c r="H40" s="1151">
        <f t="shared" ref="H40" si="16">ROUND(MAX(D40+F40-C40-E40,0),2)</f>
        <v>0</v>
      </c>
      <c r="I40" s="1143" t="str">
        <f t="shared" ref="I40" si="17">IF(ISNA(VLOOKUP(B40,DSNL,6,0)),"",VLOOKUP(B40,DSNL,6,0))</f>
        <v/>
      </c>
    </row>
    <row r="41" spans="1:9" s="758" customFormat="1" ht="16.5" customHeight="1">
      <c r="A41" s="6">
        <f t="shared" ref="A41:A74" si="18">IF(B41&lt;&gt;"",ROW()-3,"")</f>
        <v>38</v>
      </c>
      <c r="B41" s="80" t="s">
        <v>761</v>
      </c>
      <c r="C41" s="1142">
        <v>0</v>
      </c>
      <c r="D41" s="1142">
        <v>0</v>
      </c>
      <c r="E41" s="8">
        <f t="array" ref="E41">SUM(IF("331"&amp;B41=KHN&amp;KH,TH))</f>
        <v>0</v>
      </c>
      <c r="F41" s="8">
        <f t="array" ref="F41">SUM(IF("331"&amp;B41=KHC&amp;KH,TH))</f>
        <v>0</v>
      </c>
      <c r="G41" s="81">
        <f t="shared" ref="G41" si="19">ROUND(MAX(C41+E41-D41-F41,0),2)</f>
        <v>0</v>
      </c>
      <c r="H41" s="81">
        <f t="shared" ref="H41" si="20">ROUND(MAX(D41+F41-C41-E41,0),2)</f>
        <v>0</v>
      </c>
      <c r="I41" s="758" t="str">
        <f t="shared" ref="I41:I74" si="21">IF(ISNA(VLOOKUP(B41,DSNL,6,0)),"",VLOOKUP(B41,DSNL,6,0))</f>
        <v/>
      </c>
    </row>
    <row r="42" spans="1:9" s="758" customFormat="1" ht="16.5" customHeight="1">
      <c r="A42" s="6">
        <f t="shared" si="18"/>
        <v>39</v>
      </c>
      <c r="B42" s="77" t="s">
        <v>422</v>
      </c>
      <c r="C42" s="755">
        <v>0</v>
      </c>
      <c r="D42" s="755">
        <v>0</v>
      </c>
      <c r="E42" s="755">
        <f t="array" ref="E42">SUM(IF("331"&amp;B42=KHN&amp;KH,TH))</f>
        <v>0</v>
      </c>
      <c r="F42" s="755">
        <f t="array" ref="F42">SUM(IF("331"&amp;B42=KHC&amp;KH,TH))</f>
        <v>0</v>
      </c>
      <c r="G42" s="757">
        <f t="shared" ref="G42:G74" si="22">ROUND(MAX(C42+E42-D42-F42,0),2)</f>
        <v>0</v>
      </c>
      <c r="H42" s="757">
        <f t="shared" ref="H42:H74" si="23">ROUND(MAX(D42+F42-C42-E42,0),2)</f>
        <v>0</v>
      </c>
      <c r="I42" s="758" t="str">
        <f t="shared" si="21"/>
        <v>Hai</v>
      </c>
    </row>
    <row r="43" spans="1:9" s="758" customFormat="1" ht="16.5" customHeight="1">
      <c r="A43" s="6">
        <f t="shared" si="18"/>
        <v>40</v>
      </c>
      <c r="B43" s="77" t="s">
        <v>416</v>
      </c>
      <c r="C43" s="755">
        <v>0</v>
      </c>
      <c r="D43" s="755">
        <v>0</v>
      </c>
      <c r="E43" s="755">
        <f t="array" ref="E43">SUM(IF("331"&amp;B43=KHN&amp;KH,TH))</f>
        <v>0</v>
      </c>
      <c r="F43" s="755">
        <f t="array" ref="F43">SUM(IF("331"&amp;B43=KHC&amp;KH,TH))</f>
        <v>0</v>
      </c>
      <c r="G43" s="757">
        <f t="shared" si="22"/>
        <v>0</v>
      </c>
      <c r="H43" s="757">
        <f t="shared" si="23"/>
        <v>0</v>
      </c>
      <c r="I43" s="758" t="str">
        <f t="shared" si="21"/>
        <v>Hai</v>
      </c>
    </row>
    <row r="44" spans="1:9" s="758" customFormat="1" ht="16.5" customHeight="1">
      <c r="A44" s="6">
        <f t="shared" si="18"/>
        <v>41</v>
      </c>
      <c r="B44" s="80" t="s">
        <v>367</v>
      </c>
      <c r="C44" s="755">
        <v>0</v>
      </c>
      <c r="D44" s="755">
        <v>97105000</v>
      </c>
      <c r="E44" s="755">
        <f t="array" ref="E44">SUM(IF("331"&amp;B44=KHN&amp;KH,TH))</f>
        <v>0</v>
      </c>
      <c r="F44" s="755">
        <f t="array" ref="F44">SUM(IF("331"&amp;B44=KHC&amp;KH,TH))</f>
        <v>0</v>
      </c>
      <c r="G44" s="757">
        <f t="shared" si="22"/>
        <v>0</v>
      </c>
      <c r="H44" s="757">
        <f t="shared" si="23"/>
        <v>97105000</v>
      </c>
      <c r="I44" s="758" t="str">
        <f t="shared" si="21"/>
        <v>Tiền</v>
      </c>
    </row>
    <row r="45" spans="1:9" s="758" customFormat="1" ht="16.5" customHeight="1">
      <c r="A45" s="6">
        <f t="shared" si="18"/>
        <v>42</v>
      </c>
      <c r="B45" s="77" t="s">
        <v>763</v>
      </c>
      <c r="C45" s="755">
        <v>0</v>
      </c>
      <c r="D45" s="755">
        <v>0</v>
      </c>
      <c r="E45" s="755">
        <f t="array" ref="E45">SUM(IF("331"&amp;B45=KHN&amp;KH,TH))</f>
        <v>0</v>
      </c>
      <c r="F45" s="755">
        <f t="array" ref="F45">SUM(IF("331"&amp;B45=KHC&amp;KH,TH))</f>
        <v>0</v>
      </c>
      <c r="G45" s="757">
        <f t="shared" si="22"/>
        <v>0</v>
      </c>
      <c r="H45" s="757">
        <f t="shared" si="23"/>
        <v>0</v>
      </c>
      <c r="I45" s="758" t="str">
        <f t="shared" si="21"/>
        <v>Hai</v>
      </c>
    </row>
    <row r="46" spans="1:9" s="758" customFormat="1" ht="16.5" customHeight="1">
      <c r="A46" s="6">
        <f t="shared" si="18"/>
        <v>43</v>
      </c>
      <c r="B46" s="77" t="s">
        <v>421</v>
      </c>
      <c r="C46" s="755">
        <v>0</v>
      </c>
      <c r="D46" s="755">
        <v>0</v>
      </c>
      <c r="E46" s="755">
        <f t="array" ref="E46">SUM(IF("331"&amp;B46=KHN&amp;KH,TH))</f>
        <v>0</v>
      </c>
      <c r="F46" s="755">
        <f t="array" ref="F46">SUM(IF("331"&amp;B46=KHC&amp;KH,TH))</f>
        <v>0</v>
      </c>
      <c r="G46" s="757">
        <f t="shared" si="22"/>
        <v>0</v>
      </c>
      <c r="H46" s="757">
        <f t="shared" si="23"/>
        <v>0</v>
      </c>
      <c r="I46" s="758" t="str">
        <f t="shared" si="21"/>
        <v>Hai</v>
      </c>
    </row>
    <row r="47" spans="1:9" s="758" customFormat="1" ht="16.5" customHeight="1">
      <c r="A47" s="6">
        <f t="shared" si="18"/>
        <v>44</v>
      </c>
      <c r="B47" s="77" t="s">
        <v>762</v>
      </c>
      <c r="C47" s="755">
        <v>0</v>
      </c>
      <c r="D47" s="755">
        <v>0</v>
      </c>
      <c r="E47" s="755">
        <f t="array" ref="E47">SUM(IF("331"&amp;B47=KHN&amp;KH,TH))</f>
        <v>0</v>
      </c>
      <c r="F47" s="755">
        <f t="array" ref="F47">SUM(IF("331"&amp;B47=KHC&amp;KH,TH))</f>
        <v>0</v>
      </c>
      <c r="G47" s="757">
        <f t="shared" si="22"/>
        <v>0</v>
      </c>
      <c r="H47" s="757">
        <f t="shared" si="23"/>
        <v>0</v>
      </c>
      <c r="I47" s="758" t="str">
        <f t="shared" si="21"/>
        <v>Hai</v>
      </c>
    </row>
    <row r="48" spans="1:9" s="758" customFormat="1" ht="16.5" customHeight="1">
      <c r="A48" s="6">
        <f t="shared" si="18"/>
        <v>45</v>
      </c>
      <c r="B48" s="77" t="s">
        <v>371</v>
      </c>
      <c r="C48" s="755">
        <v>0</v>
      </c>
      <c r="D48" s="755">
        <v>1017425000</v>
      </c>
      <c r="E48" s="755">
        <f t="array" ref="E48">SUM(IF("331"&amp;B48=KHN&amp;KH,TH))</f>
        <v>0</v>
      </c>
      <c r="F48" s="755">
        <f t="array" ref="F48">SUM(IF("331"&amp;B48=KHC&amp;KH,TH))</f>
        <v>0</v>
      </c>
      <c r="G48" s="757">
        <f t="shared" si="22"/>
        <v>0</v>
      </c>
      <c r="H48" s="757">
        <f t="shared" si="23"/>
        <v>1017425000</v>
      </c>
      <c r="I48" s="758" t="str">
        <f t="shared" si="21"/>
        <v>Tiền</v>
      </c>
    </row>
    <row r="49" spans="1:9" s="758" customFormat="1" ht="16.5" customHeight="1">
      <c r="A49" s="6">
        <f t="shared" si="18"/>
        <v>46</v>
      </c>
      <c r="B49" s="759" t="s">
        <v>350</v>
      </c>
      <c r="C49" s="755">
        <v>0</v>
      </c>
      <c r="D49" s="755">
        <v>0</v>
      </c>
      <c r="E49" s="755">
        <f t="array" ref="E49">SUM(IF("331"&amp;B49=KHN&amp;KH,TH))</f>
        <v>0</v>
      </c>
      <c r="F49" s="755">
        <f t="array" ref="F49">SUM(IF("331"&amp;B49=KHC&amp;KH,TH))</f>
        <v>0</v>
      </c>
      <c r="G49" s="757">
        <f t="shared" si="22"/>
        <v>0</v>
      </c>
      <c r="H49" s="757">
        <f t="shared" si="23"/>
        <v>0</v>
      </c>
      <c r="I49" s="758" t="str">
        <f t="shared" si="21"/>
        <v>Tiền</v>
      </c>
    </row>
    <row r="50" spans="1:9" s="758" customFormat="1" ht="16.5" customHeight="1">
      <c r="A50" s="6">
        <f t="shared" si="18"/>
        <v>47</v>
      </c>
      <c r="B50" s="759" t="s">
        <v>336</v>
      </c>
      <c r="C50" s="755">
        <v>0</v>
      </c>
      <c r="D50" s="755">
        <v>0</v>
      </c>
      <c r="E50" s="755">
        <f t="array" ref="E50">SUM(IF("331"&amp;B50=KHN&amp;KH,TH))</f>
        <v>0</v>
      </c>
      <c r="F50" s="755">
        <f t="array" ref="F50">SUM(IF("331"&amp;B50=KHC&amp;KH,TH))</f>
        <v>0</v>
      </c>
      <c r="G50" s="757">
        <f t="shared" si="22"/>
        <v>0</v>
      </c>
      <c r="H50" s="757">
        <f t="shared" si="23"/>
        <v>0</v>
      </c>
      <c r="I50" s="758" t="str">
        <f t="shared" si="21"/>
        <v>Tiền</v>
      </c>
    </row>
    <row r="51" spans="1:9" s="758" customFormat="1" ht="16.5" customHeight="1">
      <c r="A51" s="6">
        <f t="shared" si="18"/>
        <v>48</v>
      </c>
      <c r="B51" s="77" t="s">
        <v>412</v>
      </c>
      <c r="C51" s="755">
        <v>0</v>
      </c>
      <c r="D51" s="755">
        <v>0</v>
      </c>
      <c r="E51" s="755">
        <f t="array" ref="E51">SUM(IF("331"&amp;B51=KHN&amp;KH,TH))</f>
        <v>0</v>
      </c>
      <c r="F51" s="755">
        <f t="array" ref="F51">SUM(IF("331"&amp;B51=KHC&amp;KH,TH))</f>
        <v>0</v>
      </c>
      <c r="G51" s="757">
        <f t="shared" si="22"/>
        <v>0</v>
      </c>
      <c r="H51" s="757">
        <f t="shared" si="23"/>
        <v>0</v>
      </c>
      <c r="I51" s="758" t="str">
        <f t="shared" si="21"/>
        <v>Hai</v>
      </c>
    </row>
    <row r="52" spans="1:9" s="758" customFormat="1" ht="16.5" customHeight="1">
      <c r="A52" s="6">
        <f t="shared" si="18"/>
        <v>49</v>
      </c>
      <c r="B52" s="77" t="s">
        <v>414</v>
      </c>
      <c r="C52" s="755">
        <v>0</v>
      </c>
      <c r="D52" s="755">
        <v>0</v>
      </c>
      <c r="E52" s="755">
        <f t="array" ref="E52">SUM(IF("331"&amp;B52=KHN&amp;KH,TH))</f>
        <v>0</v>
      </c>
      <c r="F52" s="755">
        <f t="array" ref="F52">SUM(IF("331"&amp;B52=KHC&amp;KH,TH))</f>
        <v>0</v>
      </c>
      <c r="G52" s="757">
        <f t="shared" si="22"/>
        <v>0</v>
      </c>
      <c r="H52" s="757">
        <f t="shared" si="23"/>
        <v>0</v>
      </c>
      <c r="I52" s="758" t="str">
        <f t="shared" si="21"/>
        <v>Hai</v>
      </c>
    </row>
    <row r="53" spans="1:9" s="758" customFormat="1" ht="16.5" customHeight="1">
      <c r="A53" s="6">
        <f t="shared" si="18"/>
        <v>50</v>
      </c>
      <c r="B53" s="77" t="s">
        <v>768</v>
      </c>
      <c r="C53" s="755">
        <v>0</v>
      </c>
      <c r="D53" s="755">
        <v>0</v>
      </c>
      <c r="E53" s="755">
        <f t="array" ref="E53">SUM(IF("331"&amp;B53=KHN&amp;KH,TH))</f>
        <v>0</v>
      </c>
      <c r="F53" s="755">
        <f t="array" ref="F53">SUM(IF("331"&amp;B53=KHC&amp;KH,TH))</f>
        <v>0</v>
      </c>
      <c r="G53" s="757">
        <f t="shared" si="22"/>
        <v>0</v>
      </c>
      <c r="H53" s="757">
        <f t="shared" si="23"/>
        <v>0</v>
      </c>
      <c r="I53" s="758" t="s">
        <v>328</v>
      </c>
    </row>
    <row r="54" spans="1:9" s="758" customFormat="1" ht="16.5" customHeight="1">
      <c r="A54" s="6">
        <f t="shared" si="18"/>
        <v>51</v>
      </c>
      <c r="B54" s="759" t="s">
        <v>352</v>
      </c>
      <c r="C54" s="755">
        <v>0</v>
      </c>
      <c r="D54" s="755">
        <v>0</v>
      </c>
      <c r="E54" s="755">
        <f t="array" ref="E54">SUM(IF("331"&amp;B54=KHN&amp;KH,TH))</f>
        <v>0</v>
      </c>
      <c r="F54" s="755">
        <f t="array" ref="F54">SUM(IF("331"&amp;B54=KHC&amp;KH,TH))</f>
        <v>0</v>
      </c>
      <c r="G54" s="757">
        <f t="shared" si="22"/>
        <v>0</v>
      </c>
      <c r="H54" s="757">
        <f t="shared" si="23"/>
        <v>0</v>
      </c>
      <c r="I54" s="758" t="str">
        <f t="shared" si="21"/>
        <v>Tiền</v>
      </c>
    </row>
    <row r="55" spans="1:9" s="758" customFormat="1" ht="16.5" customHeight="1">
      <c r="A55" s="6">
        <f t="shared" si="18"/>
        <v>52</v>
      </c>
      <c r="B55" s="77" t="s">
        <v>765</v>
      </c>
      <c r="C55" s="755">
        <v>0</v>
      </c>
      <c r="D55" s="755">
        <v>0</v>
      </c>
      <c r="E55" s="755">
        <f t="array" ref="E55">SUM(IF("331"&amp;B55=KHN&amp;KH,TH))</f>
        <v>0</v>
      </c>
      <c r="F55" s="755">
        <f t="array" ref="F55">SUM(IF("331"&amp;B55=KHC&amp;KH,TH))</f>
        <v>0</v>
      </c>
      <c r="G55" s="757">
        <f t="shared" si="22"/>
        <v>0</v>
      </c>
      <c r="H55" s="757">
        <f t="shared" si="23"/>
        <v>0</v>
      </c>
      <c r="I55" s="758" t="str">
        <f t="shared" si="21"/>
        <v>Hai</v>
      </c>
    </row>
    <row r="56" spans="1:9" s="758" customFormat="1" ht="16.5" customHeight="1">
      <c r="A56" s="6">
        <f t="shared" si="18"/>
        <v>53</v>
      </c>
      <c r="B56" s="77" t="s">
        <v>374</v>
      </c>
      <c r="C56" s="755">
        <v>0</v>
      </c>
      <c r="D56" s="755">
        <v>84295000</v>
      </c>
      <c r="E56" s="755">
        <f t="array" ref="E56">SUM(IF("331"&amp;B56=KHN&amp;KH,TH))</f>
        <v>0</v>
      </c>
      <c r="F56" s="755">
        <f t="array" ref="F56">SUM(IF("331"&amp;B56=KHC&amp;KH,TH))</f>
        <v>0</v>
      </c>
      <c r="G56" s="757">
        <f t="shared" si="22"/>
        <v>0</v>
      </c>
      <c r="H56" s="757">
        <f t="shared" si="23"/>
        <v>84295000</v>
      </c>
      <c r="I56" s="758" t="str">
        <f t="shared" si="21"/>
        <v>Tiền</v>
      </c>
    </row>
    <row r="57" spans="1:9" s="758" customFormat="1" ht="16.5" customHeight="1">
      <c r="A57" s="6">
        <f t="shared" si="18"/>
        <v>54</v>
      </c>
      <c r="B57" s="759" t="s">
        <v>339</v>
      </c>
      <c r="C57" s="755">
        <v>0</v>
      </c>
      <c r="D57" s="755">
        <v>0</v>
      </c>
      <c r="E57" s="755">
        <f t="array" ref="E57">SUM(IF("331"&amp;B57=KHN&amp;KH,TH))</f>
        <v>0</v>
      </c>
      <c r="F57" s="755">
        <f t="array" ref="F57">SUM(IF("331"&amp;B57=KHC&amp;KH,TH))</f>
        <v>0</v>
      </c>
      <c r="G57" s="757">
        <f t="shared" si="22"/>
        <v>0</v>
      </c>
      <c r="H57" s="757">
        <f t="shared" si="23"/>
        <v>0</v>
      </c>
      <c r="I57" s="758" t="str">
        <f t="shared" si="21"/>
        <v>Tiền</v>
      </c>
    </row>
    <row r="58" spans="1:9" s="758" customFormat="1" ht="16.5" customHeight="1">
      <c r="A58" s="6">
        <f t="shared" si="18"/>
        <v>55</v>
      </c>
      <c r="B58" s="759" t="s">
        <v>355</v>
      </c>
      <c r="C58" s="755">
        <v>0</v>
      </c>
      <c r="D58" s="755">
        <v>0</v>
      </c>
      <c r="E58" s="755">
        <f t="array" ref="E58">SUM(IF("331"&amp;B58=KHN&amp;KH,TH))</f>
        <v>0</v>
      </c>
      <c r="F58" s="755">
        <f t="array" ref="F58">SUM(IF("331"&amp;B58=KHC&amp;KH,TH))</f>
        <v>0</v>
      </c>
      <c r="G58" s="757">
        <f t="shared" si="22"/>
        <v>0</v>
      </c>
      <c r="H58" s="757">
        <f t="shared" si="23"/>
        <v>0</v>
      </c>
      <c r="I58" s="758" t="str">
        <f t="shared" si="21"/>
        <v>Tiền</v>
      </c>
    </row>
    <row r="59" spans="1:9" s="758" customFormat="1" ht="16.5" customHeight="1">
      <c r="A59" s="6">
        <f t="shared" si="18"/>
        <v>56</v>
      </c>
      <c r="B59" s="77" t="s">
        <v>764</v>
      </c>
      <c r="C59" s="755">
        <v>0</v>
      </c>
      <c r="D59" s="755">
        <v>0</v>
      </c>
      <c r="E59" s="755">
        <f t="array" ref="E59">SUM(IF("331"&amp;B59=KHN&amp;KH,TH))</f>
        <v>0</v>
      </c>
      <c r="F59" s="755">
        <f t="array" ref="F59">SUM(IF("331"&amp;B59=KHC&amp;KH,TH))</f>
        <v>0</v>
      </c>
      <c r="G59" s="757">
        <f t="shared" si="22"/>
        <v>0</v>
      </c>
      <c r="H59" s="757">
        <f t="shared" si="23"/>
        <v>0</v>
      </c>
      <c r="I59" s="758" t="str">
        <f t="shared" si="21"/>
        <v>Hai</v>
      </c>
    </row>
    <row r="60" spans="1:9" s="758" customFormat="1" ht="16.5" customHeight="1">
      <c r="A60" s="6">
        <f t="shared" si="18"/>
        <v>57</v>
      </c>
      <c r="B60" s="759" t="s">
        <v>417</v>
      </c>
      <c r="C60" s="755">
        <v>0</v>
      </c>
      <c r="D60" s="755">
        <v>0</v>
      </c>
      <c r="E60" s="755">
        <f t="array" ref="E60">SUM(IF("331"&amp;B60=KHN&amp;KH,TH))</f>
        <v>0</v>
      </c>
      <c r="F60" s="755">
        <f t="array" ref="F60">SUM(IF("331"&amp;B60=KHC&amp;KH,TH))</f>
        <v>0</v>
      </c>
      <c r="G60" s="757">
        <f t="shared" si="22"/>
        <v>0</v>
      </c>
      <c r="H60" s="757">
        <f t="shared" si="23"/>
        <v>0</v>
      </c>
      <c r="I60" s="758" t="str">
        <f t="shared" si="21"/>
        <v>Hai</v>
      </c>
    </row>
    <row r="61" spans="1:9" s="758" customFormat="1" ht="16.5" customHeight="1">
      <c r="A61" s="6">
        <f t="shared" si="18"/>
        <v>58</v>
      </c>
      <c r="B61" s="759" t="s">
        <v>380</v>
      </c>
      <c r="C61" s="755">
        <v>0</v>
      </c>
      <c r="D61" s="755">
        <v>0</v>
      </c>
      <c r="E61" s="755">
        <f t="array" ref="E61">SUM(IF("331"&amp;B61=KHN&amp;KH,TH))</f>
        <v>0</v>
      </c>
      <c r="F61" s="755">
        <f t="array" ref="F61">SUM(IF("331"&amp;B61=KHC&amp;KH,TH))</f>
        <v>0</v>
      </c>
      <c r="G61" s="757">
        <f t="shared" si="22"/>
        <v>0</v>
      </c>
      <c r="H61" s="757">
        <f t="shared" si="23"/>
        <v>0</v>
      </c>
      <c r="I61" s="758" t="str">
        <f t="shared" si="21"/>
        <v>Hai</v>
      </c>
    </row>
    <row r="62" spans="1:9" s="758" customFormat="1" ht="16.5" customHeight="1">
      <c r="A62" s="6">
        <f t="shared" si="18"/>
        <v>59</v>
      </c>
      <c r="B62" s="77" t="s">
        <v>384</v>
      </c>
      <c r="C62" s="755">
        <v>0</v>
      </c>
      <c r="D62" s="755">
        <v>0</v>
      </c>
      <c r="E62" s="755">
        <f t="array" ref="E62">SUM(IF("331"&amp;B62=KHN&amp;KH,TH))</f>
        <v>0</v>
      </c>
      <c r="F62" s="755">
        <f t="array" ref="F62">SUM(IF("331"&amp;B62=KHC&amp;KH,TH))</f>
        <v>0</v>
      </c>
      <c r="G62" s="757">
        <f t="shared" si="22"/>
        <v>0</v>
      </c>
      <c r="H62" s="757">
        <f t="shared" si="23"/>
        <v>0</v>
      </c>
      <c r="I62" s="758" t="str">
        <f t="shared" si="21"/>
        <v>Hai</v>
      </c>
    </row>
    <row r="63" spans="1:9" s="758" customFormat="1" ht="16.5" customHeight="1">
      <c r="A63" s="6">
        <f t="shared" si="18"/>
        <v>60</v>
      </c>
      <c r="B63" s="77" t="s">
        <v>385</v>
      </c>
      <c r="C63" s="755">
        <v>0</v>
      </c>
      <c r="D63" s="755">
        <v>0</v>
      </c>
      <c r="E63" s="755">
        <f t="array" ref="E63">SUM(IF("331"&amp;B63=KHN&amp;KH,TH))</f>
        <v>0</v>
      </c>
      <c r="F63" s="755">
        <f t="array" ref="F63">SUM(IF("331"&amp;B63=KHC&amp;KH,TH))</f>
        <v>0</v>
      </c>
      <c r="G63" s="757">
        <f t="shared" si="22"/>
        <v>0</v>
      </c>
      <c r="H63" s="757">
        <f t="shared" si="23"/>
        <v>0</v>
      </c>
      <c r="I63" s="758" t="str">
        <f t="shared" si="21"/>
        <v>Hai</v>
      </c>
    </row>
    <row r="64" spans="1:9" s="758" customFormat="1" ht="16.5" customHeight="1">
      <c r="A64" s="6">
        <f t="shared" si="18"/>
        <v>61</v>
      </c>
      <c r="B64" s="77" t="s">
        <v>760</v>
      </c>
      <c r="C64" s="755">
        <v>0</v>
      </c>
      <c r="D64" s="755">
        <v>0</v>
      </c>
      <c r="E64" s="755">
        <f t="array" ref="E64">SUM(IF("331"&amp;B64=KHN&amp;KH,TH))</f>
        <v>0</v>
      </c>
      <c r="F64" s="755">
        <f t="array" ref="F64">SUM(IF("331"&amp;B64=KHC&amp;KH,TH))</f>
        <v>0</v>
      </c>
      <c r="G64" s="757">
        <f t="shared" si="22"/>
        <v>0</v>
      </c>
      <c r="H64" s="757">
        <f t="shared" si="23"/>
        <v>0</v>
      </c>
      <c r="I64" s="758" t="str">
        <f t="shared" si="21"/>
        <v/>
      </c>
    </row>
    <row r="65" spans="1:9" s="758" customFormat="1" ht="16.5" customHeight="1">
      <c r="A65" s="6">
        <f t="shared" si="18"/>
        <v>62</v>
      </c>
      <c r="B65" s="77" t="s">
        <v>376</v>
      </c>
      <c r="C65" s="755">
        <v>0</v>
      </c>
      <c r="D65" s="755">
        <v>979400000</v>
      </c>
      <c r="E65" s="755">
        <f t="array" ref="E65">SUM(IF("331"&amp;B65=KHN&amp;KH,TH))</f>
        <v>0</v>
      </c>
      <c r="F65" s="755">
        <f t="array" ref="F65">SUM(IF("331"&amp;B65=KHC&amp;KH,TH))</f>
        <v>0</v>
      </c>
      <c r="G65" s="757">
        <f t="shared" si="22"/>
        <v>0</v>
      </c>
      <c r="H65" s="757">
        <f t="shared" si="23"/>
        <v>979400000</v>
      </c>
      <c r="I65" s="758" t="str">
        <f t="shared" si="21"/>
        <v>Tiền</v>
      </c>
    </row>
    <row r="66" spans="1:9" s="758" customFormat="1" ht="16.5" customHeight="1">
      <c r="A66" s="6">
        <f t="shared" si="18"/>
        <v>63</v>
      </c>
      <c r="B66" s="77" t="s">
        <v>368</v>
      </c>
      <c r="C66" s="755">
        <v>0</v>
      </c>
      <c r="D66" s="755">
        <v>1521812500</v>
      </c>
      <c r="E66" s="755">
        <f t="array" ref="E66">SUM(IF("331"&amp;B66=KHN&amp;KH,TH))</f>
        <v>0</v>
      </c>
      <c r="F66" s="755">
        <f t="array" ref="F66">SUM(IF("331"&amp;B66=KHC&amp;KH,TH))</f>
        <v>0</v>
      </c>
      <c r="G66" s="757">
        <f t="shared" si="22"/>
        <v>0</v>
      </c>
      <c r="H66" s="757">
        <f t="shared" si="23"/>
        <v>1521812500</v>
      </c>
      <c r="I66" s="758" t="str">
        <f t="shared" si="21"/>
        <v>Tiền</v>
      </c>
    </row>
    <row r="67" spans="1:9" s="758" customFormat="1" ht="16.5" customHeight="1">
      <c r="A67" s="6">
        <f t="shared" si="18"/>
        <v>64</v>
      </c>
      <c r="B67" s="759" t="s">
        <v>424</v>
      </c>
      <c r="C67" s="755">
        <v>0</v>
      </c>
      <c r="D67" s="755">
        <v>0</v>
      </c>
      <c r="E67" s="755">
        <f t="array" ref="E67">SUM(IF("331"&amp;B67=KHN&amp;KH,TH))</f>
        <v>0</v>
      </c>
      <c r="F67" s="755">
        <f t="array" ref="F67">SUM(IF("331"&amp;B67=KHC&amp;KH,TH))</f>
        <v>0</v>
      </c>
      <c r="G67" s="757">
        <f t="shared" si="22"/>
        <v>0</v>
      </c>
      <c r="H67" s="757">
        <f t="shared" si="23"/>
        <v>0</v>
      </c>
      <c r="I67" s="758" t="str">
        <f t="shared" si="21"/>
        <v>Hai</v>
      </c>
    </row>
    <row r="68" spans="1:9" s="758" customFormat="1" ht="16.5" customHeight="1">
      <c r="A68" s="6">
        <f t="shared" si="18"/>
        <v>65</v>
      </c>
      <c r="B68" s="77" t="s">
        <v>407</v>
      </c>
      <c r="C68" s="755">
        <v>0</v>
      </c>
      <c r="D68" s="755">
        <v>0</v>
      </c>
      <c r="E68" s="755">
        <f t="array" ref="E68">SUM(IF("331"&amp;B68=KHN&amp;KH,TH))</f>
        <v>0</v>
      </c>
      <c r="F68" s="755">
        <f t="array" ref="F68">SUM(IF("331"&amp;B68=KHC&amp;KH,TH))</f>
        <v>0</v>
      </c>
      <c r="G68" s="757">
        <f t="shared" si="22"/>
        <v>0</v>
      </c>
      <c r="H68" s="757">
        <f t="shared" si="23"/>
        <v>0</v>
      </c>
      <c r="I68" s="758" t="str">
        <f t="shared" si="21"/>
        <v>Hai</v>
      </c>
    </row>
    <row r="69" spans="1:9" s="758" customFormat="1" ht="16.5" customHeight="1">
      <c r="A69" s="6">
        <f t="shared" si="18"/>
        <v>66</v>
      </c>
      <c r="B69" s="77" t="s">
        <v>410</v>
      </c>
      <c r="C69" s="755">
        <v>0</v>
      </c>
      <c r="D69" s="755">
        <v>0</v>
      </c>
      <c r="E69" s="755">
        <f t="array" ref="E69">SUM(IF("331"&amp;B69=KHN&amp;KH,TH))</f>
        <v>0</v>
      </c>
      <c r="F69" s="755">
        <f t="array" ref="F69">SUM(IF("331"&amp;B69=KHC&amp;KH,TH))</f>
        <v>0</v>
      </c>
      <c r="G69" s="757">
        <f t="shared" si="22"/>
        <v>0</v>
      </c>
      <c r="H69" s="757">
        <f t="shared" si="23"/>
        <v>0</v>
      </c>
      <c r="I69" s="758" t="str">
        <f t="shared" si="21"/>
        <v>Hai</v>
      </c>
    </row>
    <row r="70" spans="1:9" s="758" customFormat="1" ht="16.5" customHeight="1">
      <c r="A70" s="6">
        <f t="shared" si="18"/>
        <v>67</v>
      </c>
      <c r="B70" s="77" t="s">
        <v>391</v>
      </c>
      <c r="C70" s="755">
        <v>0</v>
      </c>
      <c r="D70" s="755">
        <v>0</v>
      </c>
      <c r="E70" s="755">
        <f t="array" ref="E70">SUM(IF("331"&amp;B70=KHN&amp;KH,TH))</f>
        <v>0</v>
      </c>
      <c r="F70" s="755">
        <f t="array" ref="F70">SUM(IF("331"&amp;B70=KHC&amp;KH,TH))</f>
        <v>0</v>
      </c>
      <c r="G70" s="757">
        <f t="shared" si="22"/>
        <v>0</v>
      </c>
      <c r="H70" s="757">
        <f t="shared" si="23"/>
        <v>0</v>
      </c>
      <c r="I70" s="758" t="str">
        <f t="shared" si="21"/>
        <v>Hai</v>
      </c>
    </row>
    <row r="71" spans="1:9" s="758" customFormat="1" ht="16.5" customHeight="1">
      <c r="A71" s="6">
        <f t="shared" si="18"/>
        <v>68</v>
      </c>
      <c r="B71" s="756" t="s">
        <v>363</v>
      </c>
      <c r="C71" s="755">
        <v>0</v>
      </c>
      <c r="D71" s="755">
        <v>262510000</v>
      </c>
      <c r="E71" s="755">
        <f t="array" ref="E71">SUM(IF("331"&amp;B71=KHN&amp;KH,TH))</f>
        <v>0</v>
      </c>
      <c r="F71" s="755">
        <f t="array" ref="F71">SUM(IF("331"&amp;B71=KHC&amp;KH,TH))</f>
        <v>0</v>
      </c>
      <c r="G71" s="757">
        <f t="shared" si="22"/>
        <v>0</v>
      </c>
      <c r="H71" s="757">
        <f t="shared" si="23"/>
        <v>262510000</v>
      </c>
      <c r="I71" s="758" t="str">
        <f t="shared" si="21"/>
        <v>Tiền</v>
      </c>
    </row>
    <row r="72" spans="1:9" s="758" customFormat="1" ht="16.5" customHeight="1">
      <c r="A72" s="6">
        <f t="shared" ref="A72" si="24">IF(B72&lt;&gt;"",ROW()-3,"")</f>
        <v>69</v>
      </c>
      <c r="B72" s="756" t="s">
        <v>378</v>
      </c>
      <c r="C72" s="755">
        <v>0</v>
      </c>
      <c r="D72" s="755">
        <v>1486995000</v>
      </c>
      <c r="E72" s="755">
        <f t="array" ref="E72">SUM(IF("331"&amp;B72=KHN&amp;KH,TH))</f>
        <v>0</v>
      </c>
      <c r="F72" s="755">
        <f t="array" ref="F72">SUM(IF("331"&amp;B72=KHC&amp;KH,TH))</f>
        <v>0</v>
      </c>
      <c r="G72" s="757">
        <f t="shared" ref="G72" si="25">ROUND(MAX(C72+E72-D72-F72,0),2)</f>
        <v>0</v>
      </c>
      <c r="H72" s="757">
        <f t="shared" ref="H72" si="26">ROUND(MAX(D72+F72-C72-E72,0),2)</f>
        <v>1486995000</v>
      </c>
      <c r="I72" s="758" t="str">
        <f t="shared" ref="I72" si="27">IF(ISNA(VLOOKUP(B72,DSNL,6,0)),"",VLOOKUP(B72,DSNL,6,0))</f>
        <v>Tiền</v>
      </c>
    </row>
    <row r="73" spans="1:9" s="758" customFormat="1" ht="16.5" customHeight="1">
      <c r="A73" s="6">
        <f t="shared" si="18"/>
        <v>70</v>
      </c>
      <c r="B73" s="756" t="s">
        <v>406</v>
      </c>
      <c r="C73" s="755">
        <v>0</v>
      </c>
      <c r="D73" s="755">
        <v>0</v>
      </c>
      <c r="E73" s="755">
        <f t="array" ref="E73">SUM(IF("331"&amp;B73=KHN&amp;KH,TH))</f>
        <v>0</v>
      </c>
      <c r="F73" s="755">
        <f t="array" ref="F73">SUM(IF("331"&amp;B73=KHC&amp;KH,TH))</f>
        <v>0</v>
      </c>
      <c r="G73" s="757">
        <f t="shared" si="22"/>
        <v>0</v>
      </c>
      <c r="H73" s="757">
        <f t="shared" si="23"/>
        <v>0</v>
      </c>
      <c r="I73" s="758" t="str">
        <f t="shared" si="21"/>
        <v>Hai</v>
      </c>
    </row>
    <row r="74" spans="1:9" s="758" customFormat="1" ht="16.5" customHeight="1">
      <c r="A74" s="6">
        <f t="shared" si="18"/>
        <v>71</v>
      </c>
      <c r="B74" s="756" t="s">
        <v>396</v>
      </c>
      <c r="C74" s="755">
        <v>0</v>
      </c>
      <c r="D74" s="755">
        <v>0</v>
      </c>
      <c r="E74" s="755">
        <f t="array" ref="E74">SUM(IF("331"&amp;B74=KHN&amp;KH,TH))</f>
        <v>0</v>
      </c>
      <c r="F74" s="755">
        <f t="array" ref="F74">SUM(IF("331"&amp;B74=KHC&amp;KH,TH))</f>
        <v>0</v>
      </c>
      <c r="G74" s="757">
        <f t="shared" si="22"/>
        <v>0</v>
      </c>
      <c r="H74" s="757">
        <f t="shared" si="23"/>
        <v>0</v>
      </c>
      <c r="I74" s="758" t="str">
        <f t="shared" si="21"/>
        <v>Hai</v>
      </c>
    </row>
    <row r="75" spans="1:9" s="758" customFormat="1" ht="16.5" customHeight="1">
      <c r="A75" s="6">
        <f t="shared" ref="A75" si="28">IF(B75&lt;&gt;"",ROW()-3,"")</f>
        <v>72</v>
      </c>
      <c r="B75" s="756" t="s">
        <v>393</v>
      </c>
      <c r="C75" s="755">
        <v>0</v>
      </c>
      <c r="D75" s="755">
        <v>0</v>
      </c>
      <c r="E75" s="755">
        <f t="array" ref="E75">SUM(IF("331"&amp;B75=KHN&amp;KH,TH))</f>
        <v>0</v>
      </c>
      <c r="F75" s="755">
        <f t="array" ref="F75">SUM(IF("331"&amp;B75=KHC&amp;KH,TH))</f>
        <v>0</v>
      </c>
      <c r="G75" s="757">
        <f t="shared" ref="G75" si="29">ROUND(MAX(C75+E75-D75-F75,0),2)</f>
        <v>0</v>
      </c>
      <c r="H75" s="757">
        <f t="shared" ref="H75" si="30">ROUND(MAX(D75+F75-C75-E75,0),2)</f>
        <v>0</v>
      </c>
      <c r="I75" s="758" t="str">
        <f t="shared" ref="I75" si="31">IF(ISNA(VLOOKUP(B75,DSNL,6,0)),"",VLOOKUP(B75,DSNL,6,0))</f>
        <v>Hai</v>
      </c>
    </row>
    <row r="76" spans="1:9" s="758" customFormat="1" ht="16.5" customHeight="1">
      <c r="A76" s="6">
        <f t="shared" ref="A76" si="32">IF(B76&lt;&gt;"",ROW()-3,"")</f>
        <v>73</v>
      </c>
      <c r="B76" s="756" t="s">
        <v>398</v>
      </c>
      <c r="C76" s="755">
        <v>0</v>
      </c>
      <c r="D76" s="755">
        <v>0</v>
      </c>
      <c r="E76" s="755">
        <f t="array" ref="E76">SUM(IF("331"&amp;B76=KHN&amp;KH,TH))</f>
        <v>0</v>
      </c>
      <c r="F76" s="755">
        <f t="array" ref="F76">SUM(IF("331"&amp;B76=KHC&amp;KH,TH))</f>
        <v>0</v>
      </c>
      <c r="G76" s="757">
        <f t="shared" ref="G76" si="33">ROUND(MAX(C76+E76-D76-F76,0),2)</f>
        <v>0</v>
      </c>
      <c r="H76" s="757">
        <f t="shared" ref="H76" si="34">ROUND(MAX(D76+F76-C76-E76,0),2)</f>
        <v>0</v>
      </c>
      <c r="I76" s="758" t="str">
        <f t="shared" ref="I76" si="35">IF(ISNA(VLOOKUP(B76,DSNL,6,0)),"",VLOOKUP(B76,DSNL,6,0))</f>
        <v>Hai</v>
      </c>
    </row>
    <row r="77" spans="1:9" s="758" customFormat="1" ht="16.5" customHeight="1">
      <c r="A77" s="6">
        <f t="shared" ref="A77" si="36">IF(B77&lt;&gt;"",ROW()-3,"")</f>
        <v>74</v>
      </c>
      <c r="B77" s="756" t="s">
        <v>400</v>
      </c>
      <c r="C77" s="755">
        <v>0</v>
      </c>
      <c r="D77" s="755">
        <v>0</v>
      </c>
      <c r="E77" s="755">
        <f t="array" ref="E77">SUM(IF("331"&amp;B77=KHN&amp;KH,TH))</f>
        <v>0</v>
      </c>
      <c r="F77" s="755">
        <f t="array" ref="F77">SUM(IF("331"&amp;B77=KHC&amp;KH,TH))</f>
        <v>0</v>
      </c>
      <c r="G77" s="757">
        <f t="shared" ref="G77" si="37">ROUND(MAX(C77+E77-D77-F77,0),2)</f>
        <v>0</v>
      </c>
      <c r="H77" s="757">
        <f t="shared" ref="H77" si="38">ROUND(MAX(D77+F77-C77-E77,0),2)</f>
        <v>0</v>
      </c>
      <c r="I77" s="758" t="str">
        <f t="shared" ref="I77" si="39">IF(ISNA(VLOOKUP(B77,DSNL,6,0)),"",VLOOKUP(B77,DSNL,6,0))</f>
        <v>Hai</v>
      </c>
    </row>
    <row r="78" spans="1:9" s="758" customFormat="1" ht="16.5" customHeight="1">
      <c r="A78" s="6">
        <f t="shared" ref="A78:A93" si="40">IF(B78&lt;&gt;"",ROW()-3,"")</f>
        <v>75</v>
      </c>
      <c r="B78" s="756" t="s">
        <v>403</v>
      </c>
      <c r="C78" s="755">
        <v>0</v>
      </c>
      <c r="D78" s="755">
        <v>0</v>
      </c>
      <c r="E78" s="755">
        <f t="array" ref="E78">SUM(IF("331"&amp;B78=KHN&amp;KH,TH))</f>
        <v>0</v>
      </c>
      <c r="F78" s="755">
        <f t="array" ref="F78">SUM(IF("331"&amp;B78=KHC&amp;KH,TH))</f>
        <v>0</v>
      </c>
      <c r="G78" s="757">
        <f t="shared" ref="G78:G93" si="41">ROUND(MAX(C78+E78-D78-F78,0),2)</f>
        <v>0</v>
      </c>
      <c r="H78" s="757">
        <f t="shared" ref="H78:H93" si="42">ROUND(MAX(D78+F78-C78-E78,0),2)</f>
        <v>0</v>
      </c>
      <c r="I78" s="758" t="str">
        <f t="shared" ref="I78:I79" si="43">IF(ISNA(VLOOKUP(B78,DSNL,6,0)),"",VLOOKUP(B78,DSNL,6,0))</f>
        <v>Hai</v>
      </c>
    </row>
    <row r="79" spans="1:9" s="758" customFormat="1" ht="16.5" customHeight="1">
      <c r="A79" s="6">
        <f t="shared" si="40"/>
        <v>76</v>
      </c>
      <c r="B79" s="756" t="s">
        <v>405</v>
      </c>
      <c r="C79" s="755">
        <v>0</v>
      </c>
      <c r="D79" s="755">
        <v>0</v>
      </c>
      <c r="E79" s="755">
        <f t="array" ref="E79">SUM(IF("331"&amp;B79=KHN&amp;KH,TH))</f>
        <v>0</v>
      </c>
      <c r="F79" s="755">
        <f t="array" ref="F79">SUM(IF("331"&amp;B79=KHC&amp;KH,TH))</f>
        <v>0</v>
      </c>
      <c r="G79" s="757">
        <f t="shared" si="41"/>
        <v>0</v>
      </c>
      <c r="H79" s="757">
        <f t="shared" si="42"/>
        <v>0</v>
      </c>
      <c r="I79" s="758" t="str">
        <f t="shared" si="43"/>
        <v>Hai</v>
      </c>
    </row>
    <row r="80" spans="1:9" s="10" customFormat="1" ht="16.5" customHeight="1">
      <c r="A80" s="6">
        <f t="shared" si="40"/>
        <v>77</v>
      </c>
      <c r="B80" s="77" t="s">
        <v>869</v>
      </c>
      <c r="C80" s="755">
        <v>0</v>
      </c>
      <c r="D80" s="755">
        <v>2212425000</v>
      </c>
      <c r="E80" s="755">
        <f t="array" ref="E80">SUM(IF("331"&amp;B80=KHN&amp;KH,TH))</f>
        <v>0</v>
      </c>
      <c r="F80" s="755">
        <f t="array" ref="F80">SUM(IF("331"&amp;B80=KHC&amp;KH,TH))</f>
        <v>0</v>
      </c>
      <c r="G80" s="757">
        <f t="shared" si="41"/>
        <v>0</v>
      </c>
      <c r="H80" s="757">
        <f t="shared" si="42"/>
        <v>2212425000</v>
      </c>
      <c r="I80" s="758"/>
    </row>
    <row r="81" spans="1:10" s="10" customFormat="1" ht="16.5" customHeight="1">
      <c r="A81" s="6">
        <f t="shared" ref="A81:A90" si="44">IF(B81&lt;&gt;"",ROW()-3,"")</f>
        <v>78</v>
      </c>
      <c r="B81" s="77" t="s">
        <v>868</v>
      </c>
      <c r="C81" s="755">
        <v>0</v>
      </c>
      <c r="D81" s="755">
        <v>1194969000</v>
      </c>
      <c r="E81" s="755">
        <f t="array" ref="E81">SUM(IF("331"&amp;B81=KHN&amp;KH,TH))</f>
        <v>0</v>
      </c>
      <c r="F81" s="755">
        <f t="array" ref="F81">SUM(IF("331"&amp;B81=KHC&amp;KH,TH))</f>
        <v>0</v>
      </c>
      <c r="G81" s="757">
        <f t="shared" ref="G81:G90" si="45">ROUND(MAX(C81+E81-D81-F81,0),2)</f>
        <v>0</v>
      </c>
      <c r="H81" s="757">
        <f t="shared" ref="H81:H90" si="46">ROUND(MAX(D81+F81-C81-E81,0),2)</f>
        <v>1194969000</v>
      </c>
      <c r="I81" s="758"/>
    </row>
    <row r="82" spans="1:10" s="10" customFormat="1" ht="16.5" customHeight="1">
      <c r="A82" s="6">
        <f t="shared" si="44"/>
        <v>79</v>
      </c>
      <c r="B82" s="77" t="s">
        <v>866</v>
      </c>
      <c r="C82" s="755">
        <v>0</v>
      </c>
      <c r="D82" s="755">
        <v>2476771000</v>
      </c>
      <c r="E82" s="755">
        <f t="array" ref="E82">SUM(IF("331"&amp;B82=KHN&amp;KH,TH))</f>
        <v>0</v>
      </c>
      <c r="F82" s="755">
        <f t="array" ref="F82">SUM(IF("331"&amp;B82=KHC&amp;KH,TH))</f>
        <v>0</v>
      </c>
      <c r="G82" s="757">
        <f t="shared" si="45"/>
        <v>0</v>
      </c>
      <c r="H82" s="757">
        <f t="shared" si="46"/>
        <v>2476771000</v>
      </c>
      <c r="I82" s="758"/>
    </row>
    <row r="83" spans="1:10" s="10" customFormat="1" ht="16.5" customHeight="1">
      <c r="A83" s="6">
        <f t="shared" si="44"/>
        <v>80</v>
      </c>
      <c r="B83" s="77" t="s">
        <v>865</v>
      </c>
      <c r="C83" s="755">
        <v>0</v>
      </c>
      <c r="D83" s="755">
        <v>2654935000</v>
      </c>
      <c r="E83" s="755">
        <f t="array" ref="E83">SUM(IF("331"&amp;B83=KHN&amp;KH,TH))</f>
        <v>0</v>
      </c>
      <c r="F83" s="755">
        <f t="array" ref="F83">SUM(IF("331"&amp;B83=KHC&amp;KH,TH))</f>
        <v>0</v>
      </c>
      <c r="G83" s="757">
        <f t="shared" si="45"/>
        <v>0</v>
      </c>
      <c r="H83" s="757">
        <f t="shared" si="46"/>
        <v>2654935000</v>
      </c>
      <c r="I83" s="758"/>
    </row>
    <row r="84" spans="1:10" s="10" customFormat="1" ht="16.5" customHeight="1">
      <c r="A84" s="6">
        <f t="shared" si="44"/>
        <v>81</v>
      </c>
      <c r="B84" s="77" t="s">
        <v>862</v>
      </c>
      <c r="C84" s="755">
        <v>0</v>
      </c>
      <c r="D84" s="755">
        <v>2503606000</v>
      </c>
      <c r="E84" s="755">
        <f t="array" ref="E84">SUM(IF("331"&amp;B84=KHN&amp;KH,TH))</f>
        <v>0</v>
      </c>
      <c r="F84" s="755">
        <f t="array" ref="F84">SUM(IF("331"&amp;B84=KHC&amp;KH,TH))</f>
        <v>0</v>
      </c>
      <c r="G84" s="757">
        <f t="shared" si="45"/>
        <v>0</v>
      </c>
      <c r="H84" s="757">
        <f t="shared" si="46"/>
        <v>2503606000</v>
      </c>
      <c r="I84" s="758"/>
    </row>
    <row r="85" spans="1:10" s="10" customFormat="1" ht="16.5" customHeight="1">
      <c r="A85" s="6">
        <f t="shared" si="44"/>
        <v>82</v>
      </c>
      <c r="B85" s="77" t="s">
        <v>871</v>
      </c>
      <c r="C85" s="755">
        <v>0</v>
      </c>
      <c r="D85" s="755">
        <v>1203745000</v>
      </c>
      <c r="E85" s="755">
        <f t="array" ref="E85">SUM(IF("331"&amp;B85=KHN&amp;KH,TH))</f>
        <v>0</v>
      </c>
      <c r="F85" s="755">
        <f t="array" ref="F85">SUM(IF("331"&amp;B85=KHC&amp;KH,TH))</f>
        <v>0</v>
      </c>
      <c r="G85" s="757">
        <f t="shared" si="45"/>
        <v>0</v>
      </c>
      <c r="H85" s="757">
        <f t="shared" si="46"/>
        <v>1203745000</v>
      </c>
      <c r="I85" s="758"/>
    </row>
    <row r="86" spans="1:10" s="10" customFormat="1" ht="16.5" customHeight="1">
      <c r="A86" s="6">
        <f t="shared" si="44"/>
        <v>83</v>
      </c>
      <c r="B86" s="77" t="s">
        <v>874</v>
      </c>
      <c r="C86" s="755">
        <v>0</v>
      </c>
      <c r="D86" s="755">
        <v>1453935000</v>
      </c>
      <c r="E86" s="755">
        <f t="array" ref="E86">SUM(IF("331"&amp;B86=KHN&amp;KH,TH))</f>
        <v>0</v>
      </c>
      <c r="F86" s="755">
        <f t="array" ref="F86">SUM(IF("331"&amp;B86=KHC&amp;KH,TH))</f>
        <v>0</v>
      </c>
      <c r="G86" s="757">
        <f t="shared" si="45"/>
        <v>0</v>
      </c>
      <c r="H86" s="757">
        <f t="shared" si="46"/>
        <v>1453935000</v>
      </c>
      <c r="I86" s="758"/>
    </row>
    <row r="87" spans="1:10" s="10" customFormat="1" ht="16.5" customHeight="1">
      <c r="A87" s="6">
        <f t="shared" si="44"/>
        <v>84</v>
      </c>
      <c r="B87" s="77" t="s">
        <v>873</v>
      </c>
      <c r="C87" s="755">
        <v>0</v>
      </c>
      <c r="D87" s="755">
        <v>0</v>
      </c>
      <c r="E87" s="755">
        <f t="array" ref="E87">SUM(IF("331"&amp;B87=KHN&amp;KH,TH))</f>
        <v>0</v>
      </c>
      <c r="F87" s="755">
        <f t="array" ref="F87">SUM(IF("331"&amp;B87=KHC&amp;KH,TH))</f>
        <v>0</v>
      </c>
      <c r="G87" s="757">
        <f t="shared" si="45"/>
        <v>0</v>
      </c>
      <c r="H87" s="757">
        <f t="shared" si="46"/>
        <v>0</v>
      </c>
      <c r="I87" s="758"/>
      <c r="J87" s="10">
        <f>902922000/17000</f>
        <v>53113.058823529413</v>
      </c>
    </row>
    <row r="88" spans="1:10" s="10" customFormat="1" ht="16.5" customHeight="1">
      <c r="A88" s="6">
        <f t="shared" si="44"/>
        <v>85</v>
      </c>
      <c r="B88" s="77" t="s">
        <v>867</v>
      </c>
      <c r="C88" s="755">
        <v>0</v>
      </c>
      <c r="D88" s="755">
        <v>0</v>
      </c>
      <c r="E88" s="755">
        <f t="array" ref="E88">SUM(IF("331"&amp;B88=KHN&amp;KH,TH))</f>
        <v>0</v>
      </c>
      <c r="F88" s="755">
        <f t="array" ref="F88">SUM(IF("331"&amp;B88=KHC&amp;KH,TH))</f>
        <v>0</v>
      </c>
      <c r="G88" s="757">
        <f t="shared" si="45"/>
        <v>0</v>
      </c>
      <c r="H88" s="757">
        <f t="shared" si="46"/>
        <v>0</v>
      </c>
      <c r="I88" s="758"/>
    </row>
    <row r="89" spans="1:10" s="10" customFormat="1" ht="16.5" customHeight="1">
      <c r="A89" s="6">
        <f t="shared" si="44"/>
        <v>86</v>
      </c>
      <c r="B89" s="77" t="s">
        <v>870</v>
      </c>
      <c r="C89" s="755">
        <v>0</v>
      </c>
      <c r="D89" s="755">
        <v>0</v>
      </c>
      <c r="E89" s="755">
        <f t="array" ref="E89">SUM(IF("331"&amp;B89=KHN&amp;KH,TH))</f>
        <v>0</v>
      </c>
      <c r="F89" s="755">
        <f t="array" ref="F89">SUM(IF("331"&amp;B89=KHC&amp;KH,TH))</f>
        <v>0</v>
      </c>
      <c r="G89" s="757">
        <f t="shared" si="45"/>
        <v>0</v>
      </c>
      <c r="H89" s="757">
        <f t="shared" si="46"/>
        <v>0</v>
      </c>
      <c r="I89" s="758"/>
    </row>
    <row r="90" spans="1:10" s="10" customFormat="1" ht="16.5" customHeight="1">
      <c r="A90" s="6">
        <f t="shared" si="44"/>
        <v>87</v>
      </c>
      <c r="B90" s="77" t="s">
        <v>863</v>
      </c>
      <c r="C90" s="755">
        <v>0</v>
      </c>
      <c r="D90" s="755">
        <v>0</v>
      </c>
      <c r="E90" s="755">
        <f t="array" ref="E90">SUM(IF("331"&amp;B90=KHN&amp;KH,TH))</f>
        <v>0</v>
      </c>
      <c r="F90" s="755">
        <f t="array" ref="F90">SUM(IF("331"&amp;B90=KHC&amp;KH,TH))</f>
        <v>0</v>
      </c>
      <c r="G90" s="757">
        <f t="shared" si="45"/>
        <v>0</v>
      </c>
      <c r="H90" s="757">
        <f t="shared" si="46"/>
        <v>0</v>
      </c>
      <c r="I90" s="758"/>
    </row>
    <row r="91" spans="1:10" s="10" customFormat="1" ht="16.5" customHeight="1">
      <c r="A91" s="6">
        <f t="shared" si="40"/>
        <v>88</v>
      </c>
      <c r="B91" s="77" t="s">
        <v>864</v>
      </c>
      <c r="C91" s="755">
        <v>0</v>
      </c>
      <c r="D91" s="755">
        <v>0</v>
      </c>
      <c r="E91" s="755">
        <f t="array" ref="E91">SUM(IF("331"&amp;B91=KHN&amp;KH,TH))</f>
        <v>0</v>
      </c>
      <c r="F91" s="755">
        <f t="array" ref="F91">SUM(IF("331"&amp;B91=KHC&amp;KH,TH))</f>
        <v>0</v>
      </c>
      <c r="G91" s="757">
        <f t="shared" si="41"/>
        <v>0</v>
      </c>
      <c r="H91" s="757">
        <f t="shared" si="42"/>
        <v>0</v>
      </c>
      <c r="I91" s="758"/>
    </row>
    <row r="92" spans="1:10" s="10" customFormat="1" ht="16.5" customHeight="1">
      <c r="A92" s="6">
        <f t="shared" si="40"/>
        <v>89</v>
      </c>
      <c r="B92" s="77" t="s">
        <v>875</v>
      </c>
      <c r="C92" s="755">
        <v>0</v>
      </c>
      <c r="D92" s="755">
        <v>0</v>
      </c>
      <c r="E92" s="755">
        <f t="array" ref="E92">SUM(IF("331"&amp;B92=KHN&amp;KH,TH))</f>
        <v>0</v>
      </c>
      <c r="F92" s="755">
        <f t="array" ref="F92">SUM(IF("331"&amp;B92=KHC&amp;KH,TH))</f>
        <v>0</v>
      </c>
      <c r="G92" s="757">
        <f t="shared" si="41"/>
        <v>0</v>
      </c>
      <c r="H92" s="757">
        <f t="shared" si="42"/>
        <v>0</v>
      </c>
      <c r="I92" s="758"/>
    </row>
    <row r="93" spans="1:10" s="10" customFormat="1" ht="16.5" customHeight="1">
      <c r="A93" s="6">
        <f t="shared" si="40"/>
        <v>90</v>
      </c>
      <c r="B93" s="77" t="s">
        <v>872</v>
      </c>
      <c r="C93" s="755">
        <v>0</v>
      </c>
      <c r="D93" s="755">
        <v>0</v>
      </c>
      <c r="E93" s="755">
        <f t="array" ref="E93">SUM(IF("331"&amp;B93=KHN&amp;KH,TH))</f>
        <v>0</v>
      </c>
      <c r="F93" s="755">
        <f t="array" ref="F93">SUM(IF("331"&amp;B93=KHC&amp;KH,TH))</f>
        <v>0</v>
      </c>
      <c r="G93" s="757">
        <f t="shared" si="41"/>
        <v>0</v>
      </c>
      <c r="H93" s="757">
        <f t="shared" si="42"/>
        <v>0</v>
      </c>
      <c r="I93" s="758"/>
    </row>
    <row r="94" spans="1:10" s="10" customFormat="1" ht="16.5" customHeight="1">
      <c r="A94" s="6"/>
      <c r="B94" s="77"/>
      <c r="C94" s="755"/>
      <c r="D94" s="755"/>
      <c r="E94" s="755"/>
      <c r="F94" s="755"/>
      <c r="G94" s="757"/>
      <c r="H94" s="757"/>
      <c r="I94" s="758"/>
    </row>
    <row r="95" spans="1:10" s="14" customFormat="1" ht="14.25" customHeight="1">
      <c r="A95" s="11"/>
      <c r="B95" s="12" t="s">
        <v>41</v>
      </c>
      <c r="C95" s="13">
        <f t="shared" ref="C95:H95" si="47">SUM(C4:C94)</f>
        <v>0</v>
      </c>
      <c r="D95" s="13">
        <f t="shared" si="47"/>
        <v>23351638569</v>
      </c>
      <c r="E95" s="13">
        <f t="shared" si="47"/>
        <v>1417103378</v>
      </c>
      <c r="F95" s="13">
        <f t="shared" si="47"/>
        <v>140271693</v>
      </c>
      <c r="G95" s="13">
        <f t="shared" si="47"/>
        <v>0</v>
      </c>
      <c r="H95" s="13">
        <f t="shared" si="47"/>
        <v>22074806884</v>
      </c>
    </row>
    <row r="97" spans="4:8">
      <c r="D97" s="222">
        <f>D95-CDPS!D40-C95</f>
        <v>23351638569</v>
      </c>
      <c r="E97" s="15">
        <f>E95-CDPS!E40</f>
        <v>-149820000</v>
      </c>
      <c r="F97" s="15">
        <f>F95-CDPS!F40</f>
        <v>0</v>
      </c>
      <c r="H97" s="222">
        <f>H95-G95-CDPS!H40</f>
        <v>22074806884</v>
      </c>
    </row>
    <row r="99" spans="4:8">
      <c r="E99" s="222"/>
      <c r="F99" s="222"/>
    </row>
  </sheetData>
  <sortState ref="A5:J37">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219"/>
  <sheetViews>
    <sheetView topLeftCell="A6" workbookViewId="0">
      <pane ySplit="8" topLeftCell="A197" activePane="bottomLeft" state="frozen"/>
      <selection activeCell="P41" sqref="P41"/>
      <selection pane="bottomLeft" activeCell="F226" sqref="F226"/>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97" t="s">
        <v>49</v>
      </c>
      <c r="I1" s="1397"/>
      <c r="J1" s="1397"/>
    </row>
    <row r="2" spans="1:10" s="3" customFormat="1" ht="14.25" customHeight="1">
      <c r="A2" s="1" t="s">
        <v>15</v>
      </c>
      <c r="B2" s="16"/>
      <c r="C2" s="16"/>
      <c r="G2" s="17"/>
      <c r="H2" s="1398" t="s">
        <v>50</v>
      </c>
      <c r="I2" s="1398"/>
      <c r="J2" s="1398"/>
    </row>
    <row r="3" spans="1:10" s="3" customFormat="1" ht="14.25" customHeight="1">
      <c r="A3" s="4"/>
      <c r="B3" s="16"/>
      <c r="C3" s="16"/>
      <c r="G3" s="17"/>
      <c r="H3" s="1398"/>
      <c r="I3" s="1398"/>
      <c r="J3" s="1398"/>
    </row>
    <row r="4" spans="1:10" s="5" customFormat="1" ht="28.5" customHeight="1">
      <c r="A4" s="1404" t="s">
        <v>28</v>
      </c>
      <c r="B4" s="1404"/>
      <c r="C4" s="1404"/>
      <c r="D4" s="1404"/>
      <c r="E4" s="1404"/>
      <c r="F4" s="1404"/>
      <c r="G4" s="1404"/>
      <c r="H4" s="1404"/>
      <c r="I4" s="1404"/>
      <c r="J4" s="1404"/>
    </row>
    <row r="5" spans="1:10" s="18" customFormat="1" ht="14.25" customHeight="1">
      <c r="E5" s="19" t="s">
        <v>29</v>
      </c>
    </row>
    <row r="6" spans="1:10" s="18" customFormat="1" ht="14.25" customHeight="1">
      <c r="E6" s="19" t="s">
        <v>30</v>
      </c>
    </row>
    <row r="7" spans="1:10" s="18" customFormat="1" ht="14.25" customHeight="1">
      <c r="D7" s="20" t="s">
        <v>48</v>
      </c>
      <c r="E7" s="1399" t="s">
        <v>622</v>
      </c>
      <c r="F7" s="1399"/>
      <c r="G7" s="1399"/>
      <c r="H7" s="1399"/>
    </row>
    <row r="8" spans="1:10" s="18" customFormat="1" ht="14.25" customHeight="1">
      <c r="E8" s="19" t="s">
        <v>31</v>
      </c>
    </row>
    <row r="9" spans="1:10" s="18" customFormat="1" ht="6.75" customHeight="1">
      <c r="B9" s="19"/>
      <c r="C9" s="1400"/>
      <c r="D9" s="1400"/>
      <c r="E9" s="1400"/>
      <c r="F9" s="1400"/>
      <c r="G9" s="1400"/>
      <c r="H9" s="1400"/>
      <c r="I9" s="1400"/>
      <c r="J9" s="1400"/>
    </row>
    <row r="10" spans="1:10" s="18" customFormat="1" ht="14.25" customHeight="1">
      <c r="A10" s="1369" t="s">
        <v>22</v>
      </c>
      <c r="B10" s="1401" t="s">
        <v>1</v>
      </c>
      <c r="C10" s="1401"/>
      <c r="D10" s="1369" t="s">
        <v>0</v>
      </c>
      <c r="E10" s="1369" t="s">
        <v>16</v>
      </c>
      <c r="F10" s="1369" t="s">
        <v>32</v>
      </c>
      <c r="G10" s="1402" t="s">
        <v>23</v>
      </c>
      <c r="H10" s="1403"/>
      <c r="I10" s="1402" t="s">
        <v>33</v>
      </c>
      <c r="J10" s="1403"/>
    </row>
    <row r="11" spans="1:10" s="18" customFormat="1" ht="24.75" customHeight="1">
      <c r="A11" s="1369"/>
      <c r="B11" s="29" t="s">
        <v>17</v>
      </c>
      <c r="C11" s="29" t="s">
        <v>34</v>
      </c>
      <c r="D11" s="1369"/>
      <c r="E11" s="1369"/>
      <c r="F11" s="1369"/>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4">
        <f>VLOOKUP($E$7,'331'!$B$4:$H$79,2,0)</f>
        <v>0</v>
      </c>
      <c r="J13" s="74">
        <f>VLOOKUP($E$7,'331'!$B$4:$H$79,3,0)</f>
        <v>1913620232</v>
      </c>
    </row>
    <row r="14" spans="1:10" s="18" customFormat="1" ht="18.75" customHeight="1">
      <c r="A14" s="9" t="str">
        <f ca="1">IF(ROWS($1:1)&gt;COUNT(Dong),"",OFFSET(TH!C$1,SMALL(Dong,ROWS($1:1)),))</f>
        <v/>
      </c>
      <c r="B14" s="9" t="str">
        <f ca="1">IF(ROWS($1:1)&gt;COUNT(Dong),"",OFFSET(TH!D$1,SMALL(Dong,ROWS($1:1)),))</f>
        <v/>
      </c>
      <c r="C14" s="9" t="str">
        <f ca="1">IF(ROWS($1:1)&gt;COUNT(Dong),"",OFFSET(TH!E$1,SMALL(Dong,ROWS($1:1)),))</f>
        <v/>
      </c>
      <c r="D14" s="339" t="str">
        <f ca="1">IF(ROWS($1:1)&gt;COUNT(Dong),"",OFFSET(TH!F$1,SMALL(Dong,ROWS($1:1)),))</f>
        <v/>
      </c>
      <c r="E14" s="73" t="str">
        <f ca="1">IF(ROWS($1:1)&gt;COUNT(Dong),"",IF(OFFSET(TH!N$1,SMALL(Dong,ROWS($1:1)),)="331",OFFSET(TH!O$1,SMALL(Dong,ROWS($1:1)),),OFFSET(TH!N$1,SMALL(Dong,ROWS($1:1)),)))</f>
        <v/>
      </c>
      <c r="F14" s="73"/>
      <c r="G14" s="86" t="str">
        <f ca="1">IF(ROWS($1:1)&gt;COUNT(Dong),"",IF(OFFSET(TH!N$1,SMALL(Dong,ROWS($1:1)),)="331",OFFSET(TH!M$1,SMALL(Dong,ROWS($1:1)),),0))</f>
        <v/>
      </c>
      <c r="H14" s="86" t="str">
        <f ca="1">IF(ROWS($1:1)&gt;COUNT(Dong),"",IF(OFFSET(TH!O$1,SMALL(Dong,ROWS($1:1)),)="331",OFFSET(TH!M$1,SMALL(Dong,ROWS($1:1)),),0))</f>
        <v/>
      </c>
      <c r="I14" s="25">
        <f t="shared" ref="I14:I15" ca="1" si="0">IF(D14&lt;&gt;"",MAX(I13+G14-H14-J13,0),0)</f>
        <v>0</v>
      </c>
      <c r="J14" s="25">
        <f t="shared" ref="J14:J15" ca="1" si="1">IF(D14&lt;&gt;"",MAX(J13+H14-I13-G14,0),0)</f>
        <v>0</v>
      </c>
    </row>
    <row r="15" spans="1:10" s="18" customFormat="1" ht="18.75" customHeight="1">
      <c r="A15" s="9" t="str">
        <f ca="1">IF(ROWS($1:2)&gt;COUNT(Dong),"",OFFSET(TH!C$1,SMALL(Dong,ROWS($1:2)),))</f>
        <v/>
      </c>
      <c r="B15" s="9" t="str">
        <f ca="1">IF(ROWS($1:2)&gt;COUNT(Dong),"",OFFSET(TH!D$1,SMALL(Dong,ROWS($1:2)),))</f>
        <v/>
      </c>
      <c r="C15" s="9" t="str">
        <f ca="1">IF(ROWS($1:2)&gt;COUNT(Dong),"",OFFSET(TH!E$1,SMALL(Dong,ROWS($1:2)),))</f>
        <v/>
      </c>
      <c r="D15" s="339" t="str">
        <f ca="1">IF(ROWS($1:2)&gt;COUNT(Dong),"",OFFSET(TH!F$1,SMALL(Dong,ROWS($1:2)),))</f>
        <v/>
      </c>
      <c r="E15" s="73" t="str">
        <f ca="1">IF(ROWS($1:2)&gt;COUNT(Dong),"",IF(OFFSET(TH!N$1,SMALL(Dong,ROWS($1:2)),)="331",OFFSET(TH!O$1,SMALL(Dong,ROWS($1:2)),),OFFSET(TH!N$1,SMALL(Dong,ROWS($1:2)),)))</f>
        <v/>
      </c>
      <c r="F15" s="73"/>
      <c r="G15" s="86" t="str">
        <f ca="1">IF(ROWS($1:2)&gt;COUNT(Dong),"",IF(OFFSET(TH!N$1,SMALL(Dong,ROWS($1:2)),)="331",OFFSET(TH!M$1,SMALL(Dong,ROWS($1:2)),),0))</f>
        <v/>
      </c>
      <c r="H15" s="86" t="str">
        <f ca="1">IF(ROWS($1:2)&gt;COUNT(Dong),"",IF(OFFSET(TH!O$1,SMALL(Dong,ROWS($1:2)),)="331",OFFSET(TH!M$1,SMALL(Dong,ROWS($1:2)),),0))</f>
        <v/>
      </c>
      <c r="I15" s="25">
        <f t="shared" ca="1" si="0"/>
        <v>0</v>
      </c>
      <c r="J15" s="25">
        <f t="shared" ca="1" si="1"/>
        <v>0</v>
      </c>
    </row>
    <row r="16" spans="1:10" s="18" customFormat="1" ht="18.75" customHeight="1">
      <c r="A16" s="9" t="str">
        <f ca="1">IF(ROWS($1:3)&gt;COUNT(Dong),"",OFFSET(TH!C$1,SMALL(Dong,ROWS($1:3)),))</f>
        <v/>
      </c>
      <c r="B16" s="9" t="str">
        <f ca="1">IF(ROWS($1:3)&gt;COUNT(Dong),"",OFFSET(TH!D$1,SMALL(Dong,ROWS($1:3)),))</f>
        <v/>
      </c>
      <c r="C16" s="9" t="str">
        <f ca="1">IF(ROWS($1:3)&gt;COUNT(Dong),"",OFFSET(TH!E$1,SMALL(Dong,ROWS($1:3)),))</f>
        <v/>
      </c>
      <c r="D16" s="339" t="str">
        <f ca="1">IF(ROWS($1:3)&gt;COUNT(Dong),"",OFFSET(TH!F$1,SMALL(Dong,ROWS($1:3)),))</f>
        <v/>
      </c>
      <c r="E16" s="73" t="str">
        <f ca="1">IF(ROWS($1:3)&gt;COUNT(Dong),"",IF(OFFSET(TH!N$1,SMALL(Dong,ROWS($1:3)),)="331",OFFSET(TH!O$1,SMALL(Dong,ROWS($1:3)),),OFFSET(TH!N$1,SMALL(Dong,ROWS($1:3)),)))</f>
        <v/>
      </c>
      <c r="F16" s="73"/>
      <c r="G16" s="86" t="str">
        <f ca="1">IF(ROWS($1:3)&gt;COUNT(Dong),"",IF(OFFSET(TH!N$1,SMALL(Dong,ROWS($1:3)),)="331",OFFSET(TH!M$1,SMALL(Dong,ROWS($1:3)),),0))</f>
        <v/>
      </c>
      <c r="H16" s="86" t="str">
        <f ca="1">IF(ROWS($1:3)&gt;COUNT(Dong),"",IF(OFFSET(TH!O$1,SMALL(Dong,ROWS($1:3)),)="331",OFFSET(TH!M$1,SMALL(Dong,ROWS($1:3)),),0))</f>
        <v/>
      </c>
      <c r="I16" s="25">
        <f t="shared" ref="I16:I38" ca="1" si="2">IF(D16&lt;&gt;"",MAX(I15+G16-H16-J15,0),0)</f>
        <v>0</v>
      </c>
      <c r="J16" s="25">
        <f t="shared" ref="J16:J38" ca="1" si="3">IF(D16&lt;&gt;"",MAX(J15+H16-I15-G16,0),0)</f>
        <v>0</v>
      </c>
    </row>
    <row r="17" spans="1:10" s="18" customFormat="1" ht="18.75" customHeight="1">
      <c r="A17" s="9" t="str">
        <f ca="1">IF(ROWS($1:4)&gt;COUNT(Dong),"",OFFSET(TH!C$1,SMALL(Dong,ROWS($1:4)),))</f>
        <v/>
      </c>
      <c r="B17" s="9" t="str">
        <f ca="1">IF(ROWS($1:4)&gt;COUNT(Dong),"",OFFSET(TH!D$1,SMALL(Dong,ROWS($1:4)),))</f>
        <v/>
      </c>
      <c r="C17" s="9" t="str">
        <f ca="1">IF(ROWS($1:4)&gt;COUNT(Dong),"",OFFSET(TH!E$1,SMALL(Dong,ROWS($1:4)),))</f>
        <v/>
      </c>
      <c r="D17" s="339" t="str">
        <f ca="1">IF(ROWS($1:4)&gt;COUNT(Dong),"",OFFSET(TH!F$1,SMALL(Dong,ROWS($1:4)),))</f>
        <v/>
      </c>
      <c r="E17" s="73" t="str">
        <f ca="1">IF(ROWS($1:4)&gt;COUNT(Dong),"",IF(OFFSET(TH!N$1,SMALL(Dong,ROWS($1:4)),)="331",OFFSET(TH!O$1,SMALL(Dong,ROWS($1:4)),),OFFSET(TH!N$1,SMALL(Dong,ROWS($1:4)),)))</f>
        <v/>
      </c>
      <c r="F17" s="73"/>
      <c r="G17" s="86" t="str">
        <f ca="1">IF(ROWS($1:4)&gt;COUNT(Dong),"",IF(OFFSET(TH!N$1,SMALL(Dong,ROWS($1:4)),)="331",OFFSET(TH!M$1,SMALL(Dong,ROWS($1:4)),),0))</f>
        <v/>
      </c>
      <c r="H17" s="86" t="str">
        <f ca="1">IF(ROWS($1:4)&gt;COUNT(Dong),"",IF(OFFSET(TH!O$1,SMALL(Dong,ROWS($1:4)),)="331",OFFSET(TH!M$1,SMALL(Dong,ROWS($1:4)),),0))</f>
        <v/>
      </c>
      <c r="I17" s="25">
        <f t="shared" ca="1" si="2"/>
        <v>0</v>
      </c>
      <c r="J17" s="25">
        <f t="shared" ca="1" si="3"/>
        <v>0</v>
      </c>
    </row>
    <row r="18" spans="1:10" s="18" customFormat="1" ht="18.75" customHeight="1">
      <c r="A18" s="9" t="str">
        <f ca="1">IF(ROWS($1:5)&gt;COUNT(Dong),"",OFFSET(TH!C$1,SMALL(Dong,ROWS($1:5)),))</f>
        <v/>
      </c>
      <c r="B18" s="9" t="str">
        <f ca="1">IF(ROWS($1:5)&gt;COUNT(Dong),"",OFFSET(TH!D$1,SMALL(Dong,ROWS($1:5)),))</f>
        <v/>
      </c>
      <c r="C18" s="9" t="str">
        <f ca="1">IF(ROWS($1:5)&gt;COUNT(Dong),"",OFFSET(TH!E$1,SMALL(Dong,ROWS($1:5)),))</f>
        <v/>
      </c>
      <c r="D18" s="339" t="str">
        <f ca="1">IF(ROWS($1:5)&gt;COUNT(Dong),"",OFFSET(TH!F$1,SMALL(Dong,ROWS($1:5)),))</f>
        <v/>
      </c>
      <c r="E18" s="73" t="str">
        <f ca="1">IF(ROWS($1:5)&gt;COUNT(Dong),"",IF(OFFSET(TH!N$1,SMALL(Dong,ROWS($1:5)),)="331",OFFSET(TH!O$1,SMALL(Dong,ROWS($1:5)),),OFFSET(TH!N$1,SMALL(Dong,ROWS($1:5)),)))</f>
        <v/>
      </c>
      <c r="F18" s="73"/>
      <c r="G18" s="86" t="str">
        <f ca="1">IF(ROWS($1:5)&gt;COUNT(Dong),"",IF(OFFSET(TH!N$1,SMALL(Dong,ROWS($1:5)),)="331",OFFSET(TH!M$1,SMALL(Dong,ROWS($1:5)),),0))</f>
        <v/>
      </c>
      <c r="H18" s="86" t="str">
        <f ca="1">IF(ROWS($1:5)&gt;COUNT(Dong),"",IF(OFFSET(TH!O$1,SMALL(Dong,ROWS($1:5)),)="331",OFFSET(TH!M$1,SMALL(Dong,ROWS($1:5)),),0))</f>
        <v/>
      </c>
      <c r="I18" s="25">
        <f t="shared" ca="1" si="2"/>
        <v>0</v>
      </c>
      <c r="J18" s="25">
        <f t="shared" ca="1" si="3"/>
        <v>0</v>
      </c>
    </row>
    <row r="19" spans="1:10" s="18" customFormat="1" ht="18.75" customHeight="1">
      <c r="A19" s="9" t="str">
        <f ca="1">IF(ROWS($1:6)&gt;COUNT(Dong),"",OFFSET(TH!C$1,SMALL(Dong,ROWS($1:6)),))</f>
        <v/>
      </c>
      <c r="B19" s="9" t="str">
        <f ca="1">IF(ROWS($1:6)&gt;COUNT(Dong),"",OFFSET(TH!D$1,SMALL(Dong,ROWS($1:6)),))</f>
        <v/>
      </c>
      <c r="C19" s="9" t="str">
        <f ca="1">IF(ROWS($1:6)&gt;COUNT(Dong),"",OFFSET(TH!E$1,SMALL(Dong,ROWS($1:6)),))</f>
        <v/>
      </c>
      <c r="D19" s="339" t="str">
        <f ca="1">IF(ROWS($1:6)&gt;COUNT(Dong),"",OFFSET(TH!F$1,SMALL(Dong,ROWS($1:6)),))</f>
        <v/>
      </c>
      <c r="E19" s="73" t="str">
        <f ca="1">IF(ROWS($1:6)&gt;COUNT(Dong),"",IF(OFFSET(TH!N$1,SMALL(Dong,ROWS($1:6)),)="331",OFFSET(TH!O$1,SMALL(Dong,ROWS($1:6)),),OFFSET(TH!N$1,SMALL(Dong,ROWS($1:6)),)))</f>
        <v/>
      </c>
      <c r="F19" s="73"/>
      <c r="G19" s="86" t="str">
        <f ca="1">IF(ROWS($1:6)&gt;COUNT(Dong),"",IF(OFFSET(TH!N$1,SMALL(Dong,ROWS($1:6)),)="331",OFFSET(TH!M$1,SMALL(Dong,ROWS($1:6)),),0))</f>
        <v/>
      </c>
      <c r="H19" s="86" t="str">
        <f ca="1">IF(ROWS($1:6)&gt;COUNT(Dong),"",IF(OFFSET(TH!O$1,SMALL(Dong,ROWS($1:6)),)="331",OFFSET(TH!M$1,SMALL(Dong,ROWS($1:6)),),0))</f>
        <v/>
      </c>
      <c r="I19" s="25">
        <f t="shared" ca="1" si="2"/>
        <v>0</v>
      </c>
      <c r="J19" s="25">
        <f t="shared" ca="1" si="3"/>
        <v>0</v>
      </c>
    </row>
    <row r="20" spans="1:10" s="18" customFormat="1" ht="18.75" customHeight="1">
      <c r="A20" s="9" t="str">
        <f ca="1">IF(ROWS($1:7)&gt;COUNT(Dong),"",OFFSET(TH!C$1,SMALL(Dong,ROWS($1:7)),))</f>
        <v/>
      </c>
      <c r="B20" s="9" t="str">
        <f ca="1">IF(ROWS($1:7)&gt;COUNT(Dong),"",OFFSET(TH!D$1,SMALL(Dong,ROWS($1:7)),))</f>
        <v/>
      </c>
      <c r="C20" s="9" t="str">
        <f ca="1">IF(ROWS($1:7)&gt;COUNT(Dong),"",OFFSET(TH!E$1,SMALL(Dong,ROWS($1:7)),))</f>
        <v/>
      </c>
      <c r="D20" s="339" t="str">
        <f ca="1">IF(ROWS($1:7)&gt;COUNT(Dong),"",OFFSET(TH!F$1,SMALL(Dong,ROWS($1:7)),))</f>
        <v/>
      </c>
      <c r="E20" s="73" t="str">
        <f ca="1">IF(ROWS($1:7)&gt;COUNT(Dong),"",IF(OFFSET(TH!N$1,SMALL(Dong,ROWS($1:7)),)="331",OFFSET(TH!O$1,SMALL(Dong,ROWS($1:7)),),OFFSET(TH!N$1,SMALL(Dong,ROWS($1:7)),)))</f>
        <v/>
      </c>
      <c r="F20" s="73"/>
      <c r="G20" s="86" t="str">
        <f ca="1">IF(ROWS($1:7)&gt;COUNT(Dong),"",IF(OFFSET(TH!N$1,SMALL(Dong,ROWS($1:7)),)="331",OFFSET(TH!M$1,SMALL(Dong,ROWS($1:7)),),0))</f>
        <v/>
      </c>
      <c r="H20" s="86" t="str">
        <f ca="1">IF(ROWS($1:7)&gt;COUNT(Dong),"",IF(OFFSET(TH!O$1,SMALL(Dong,ROWS($1:7)),)="331",OFFSET(TH!M$1,SMALL(Dong,ROWS($1:7)),),0))</f>
        <v/>
      </c>
      <c r="I20" s="25">
        <f t="shared" ca="1" si="2"/>
        <v>0</v>
      </c>
      <c r="J20" s="25">
        <f t="shared" ca="1" si="3"/>
        <v>0</v>
      </c>
    </row>
    <row r="21" spans="1:10" s="18" customFormat="1" ht="18.75" customHeight="1">
      <c r="A21" s="9" t="str">
        <f ca="1">IF(ROWS($1:8)&gt;COUNT(Dong),"",OFFSET(TH!C$1,SMALL(Dong,ROWS($1:8)),))</f>
        <v/>
      </c>
      <c r="B21" s="9" t="str">
        <f ca="1">IF(ROWS($1:8)&gt;COUNT(Dong),"",OFFSET(TH!D$1,SMALL(Dong,ROWS($1:8)),))</f>
        <v/>
      </c>
      <c r="C21" s="9" t="str">
        <f ca="1">IF(ROWS($1:8)&gt;COUNT(Dong),"",OFFSET(TH!E$1,SMALL(Dong,ROWS($1:8)),))</f>
        <v/>
      </c>
      <c r="D21" s="339" t="str">
        <f ca="1">IF(ROWS($1:8)&gt;COUNT(Dong),"",OFFSET(TH!F$1,SMALL(Dong,ROWS($1:8)),))</f>
        <v/>
      </c>
      <c r="E21" s="73" t="str">
        <f ca="1">IF(ROWS($1:8)&gt;COUNT(Dong),"",IF(OFFSET(TH!N$1,SMALL(Dong,ROWS($1:8)),)="331",OFFSET(TH!O$1,SMALL(Dong,ROWS($1:8)),),OFFSET(TH!N$1,SMALL(Dong,ROWS($1:8)),)))</f>
        <v/>
      </c>
      <c r="F21" s="73"/>
      <c r="G21" s="86" t="str">
        <f ca="1">IF(ROWS($1:8)&gt;COUNT(Dong),"",IF(OFFSET(TH!N$1,SMALL(Dong,ROWS($1:8)),)="331",OFFSET(TH!M$1,SMALL(Dong,ROWS($1:8)),),0))</f>
        <v/>
      </c>
      <c r="H21" s="86" t="str">
        <f ca="1">IF(ROWS($1:8)&gt;COUNT(Dong),"",IF(OFFSET(TH!O$1,SMALL(Dong,ROWS($1:8)),)="331",OFFSET(TH!M$1,SMALL(Dong,ROWS($1:8)),),0))</f>
        <v/>
      </c>
      <c r="I21" s="25">
        <f t="shared" ca="1" si="2"/>
        <v>0</v>
      </c>
      <c r="J21" s="25">
        <f t="shared" ca="1" si="3"/>
        <v>0</v>
      </c>
    </row>
    <row r="22" spans="1:10" s="18" customFormat="1" ht="18.75" customHeight="1">
      <c r="A22" s="9" t="str">
        <f ca="1">IF(ROWS($1:9)&gt;COUNT(Dong),"",OFFSET(TH!C$1,SMALL(Dong,ROWS($1:9)),))</f>
        <v/>
      </c>
      <c r="B22" s="9" t="str">
        <f ca="1">IF(ROWS($1:9)&gt;COUNT(Dong),"",OFFSET(TH!D$1,SMALL(Dong,ROWS($1:9)),))</f>
        <v/>
      </c>
      <c r="C22" s="9" t="str">
        <f ca="1">IF(ROWS($1:9)&gt;COUNT(Dong),"",OFFSET(TH!E$1,SMALL(Dong,ROWS($1:9)),))</f>
        <v/>
      </c>
      <c r="D22" s="339" t="str">
        <f ca="1">IF(ROWS($1:9)&gt;COUNT(Dong),"",OFFSET(TH!F$1,SMALL(Dong,ROWS($1:9)),))</f>
        <v/>
      </c>
      <c r="E22" s="73" t="str">
        <f ca="1">IF(ROWS($1:9)&gt;COUNT(Dong),"",IF(OFFSET(TH!N$1,SMALL(Dong,ROWS($1:9)),)="331",OFFSET(TH!O$1,SMALL(Dong,ROWS($1:9)),),OFFSET(TH!N$1,SMALL(Dong,ROWS($1:9)),)))</f>
        <v/>
      </c>
      <c r="F22" s="73"/>
      <c r="G22" s="86" t="str">
        <f ca="1">IF(ROWS($1:9)&gt;COUNT(Dong),"",IF(OFFSET(TH!N$1,SMALL(Dong,ROWS($1:9)),)="331",OFFSET(TH!M$1,SMALL(Dong,ROWS($1:9)),),0))</f>
        <v/>
      </c>
      <c r="H22" s="86" t="str">
        <f ca="1">IF(ROWS($1:9)&gt;COUNT(Dong),"",IF(OFFSET(TH!O$1,SMALL(Dong,ROWS($1:9)),)="331",OFFSET(TH!M$1,SMALL(Dong,ROWS($1:9)),),0))</f>
        <v/>
      </c>
      <c r="I22" s="25">
        <f t="shared" ca="1" si="2"/>
        <v>0</v>
      </c>
      <c r="J22" s="25">
        <f t="shared" ca="1" si="3"/>
        <v>0</v>
      </c>
    </row>
    <row r="23" spans="1:10" s="18" customFormat="1" ht="18.75" customHeight="1">
      <c r="A23" s="9" t="str">
        <f ca="1">IF(ROWS($1:10)&gt;COUNT(Dong),"",OFFSET(TH!C$1,SMALL(Dong,ROWS($1:10)),))</f>
        <v/>
      </c>
      <c r="B23" s="9" t="str">
        <f ca="1">IF(ROWS($1:10)&gt;COUNT(Dong),"",OFFSET(TH!D$1,SMALL(Dong,ROWS($1:10)),))</f>
        <v/>
      </c>
      <c r="C23" s="9" t="str">
        <f ca="1">IF(ROWS($1:10)&gt;COUNT(Dong),"",OFFSET(TH!E$1,SMALL(Dong,ROWS($1:10)),))</f>
        <v/>
      </c>
      <c r="D23" s="339" t="str">
        <f ca="1">IF(ROWS($1:10)&gt;COUNT(Dong),"",OFFSET(TH!F$1,SMALL(Dong,ROWS($1:10)),))</f>
        <v/>
      </c>
      <c r="E23" s="73" t="str">
        <f ca="1">IF(ROWS($1:10)&gt;COUNT(Dong),"",IF(OFFSET(TH!N$1,SMALL(Dong,ROWS($1:10)),)="331",OFFSET(TH!O$1,SMALL(Dong,ROWS($1:10)),),OFFSET(TH!N$1,SMALL(Dong,ROWS($1:10)),)))</f>
        <v/>
      </c>
      <c r="F23" s="73"/>
      <c r="G23" s="86" t="str">
        <f ca="1">IF(ROWS($1:10)&gt;COUNT(Dong),"",IF(OFFSET(TH!N$1,SMALL(Dong,ROWS($1:10)),)="331",OFFSET(TH!M$1,SMALL(Dong,ROWS($1:10)),),0))</f>
        <v/>
      </c>
      <c r="H23" s="86" t="str">
        <f ca="1">IF(ROWS($1:10)&gt;COUNT(Dong),"",IF(OFFSET(TH!O$1,SMALL(Dong,ROWS($1:10)),)="331",OFFSET(TH!M$1,SMALL(Dong,ROWS($1:10)),),0))</f>
        <v/>
      </c>
      <c r="I23" s="25">
        <f t="shared" ca="1" si="2"/>
        <v>0</v>
      </c>
      <c r="J23" s="25">
        <f t="shared" ca="1" si="3"/>
        <v>0</v>
      </c>
    </row>
    <row r="24" spans="1:10" s="18" customFormat="1" ht="18.75" customHeight="1">
      <c r="A24" s="9" t="str">
        <f ca="1">IF(ROWS($1:11)&gt;COUNT(Dong),"",OFFSET(TH!C$1,SMALL(Dong,ROWS($1:11)),))</f>
        <v/>
      </c>
      <c r="B24" s="9" t="str">
        <f ca="1">IF(ROWS($1:11)&gt;COUNT(Dong),"",OFFSET(TH!D$1,SMALL(Dong,ROWS($1:11)),))</f>
        <v/>
      </c>
      <c r="C24" s="9" t="str">
        <f ca="1">IF(ROWS($1:11)&gt;COUNT(Dong),"",OFFSET(TH!E$1,SMALL(Dong,ROWS($1:11)),))</f>
        <v/>
      </c>
      <c r="D24" s="339" t="str">
        <f ca="1">IF(ROWS($1:11)&gt;COUNT(Dong),"",OFFSET(TH!F$1,SMALL(Dong,ROWS($1:11)),))</f>
        <v/>
      </c>
      <c r="E24" s="73" t="str">
        <f ca="1">IF(ROWS($1:11)&gt;COUNT(Dong),"",IF(OFFSET(TH!N$1,SMALL(Dong,ROWS($1:11)),)="331",OFFSET(TH!O$1,SMALL(Dong,ROWS($1:11)),),OFFSET(TH!N$1,SMALL(Dong,ROWS($1:11)),)))</f>
        <v/>
      </c>
      <c r="F24" s="73"/>
      <c r="G24" s="86" t="str">
        <f ca="1">IF(ROWS($1:11)&gt;COUNT(Dong),"",IF(OFFSET(TH!N$1,SMALL(Dong,ROWS($1:11)),)="331",OFFSET(TH!M$1,SMALL(Dong,ROWS($1:11)),),0))</f>
        <v/>
      </c>
      <c r="H24" s="86" t="str">
        <f ca="1">IF(ROWS($1:11)&gt;COUNT(Dong),"",IF(OFFSET(TH!O$1,SMALL(Dong,ROWS($1:11)),)="331",OFFSET(TH!M$1,SMALL(Dong,ROWS($1:11)),),0))</f>
        <v/>
      </c>
      <c r="I24" s="25">
        <f t="shared" ca="1" si="2"/>
        <v>0</v>
      </c>
      <c r="J24" s="25">
        <f t="shared" ca="1" si="3"/>
        <v>0</v>
      </c>
    </row>
    <row r="25" spans="1:10" s="18" customFormat="1" ht="18.75" customHeight="1">
      <c r="A25" s="9" t="str">
        <f ca="1">IF(ROWS($1:12)&gt;COUNT(Dong),"",OFFSET(TH!C$1,SMALL(Dong,ROWS($1:12)),))</f>
        <v/>
      </c>
      <c r="B25" s="9" t="str">
        <f ca="1">IF(ROWS($1:12)&gt;COUNT(Dong),"",OFFSET(TH!D$1,SMALL(Dong,ROWS($1:12)),))</f>
        <v/>
      </c>
      <c r="C25" s="9" t="str">
        <f ca="1">IF(ROWS($1:12)&gt;COUNT(Dong),"",OFFSET(TH!E$1,SMALL(Dong,ROWS($1:12)),))</f>
        <v/>
      </c>
      <c r="D25" s="339" t="str">
        <f ca="1">IF(ROWS($1:12)&gt;COUNT(Dong),"",OFFSET(TH!F$1,SMALL(Dong,ROWS($1:12)),))</f>
        <v/>
      </c>
      <c r="E25" s="73" t="str">
        <f ca="1">IF(ROWS($1:12)&gt;COUNT(Dong),"",IF(OFFSET(TH!N$1,SMALL(Dong,ROWS($1:12)),)="331",OFFSET(TH!O$1,SMALL(Dong,ROWS($1:12)),),OFFSET(TH!N$1,SMALL(Dong,ROWS($1:12)),)))</f>
        <v/>
      </c>
      <c r="F25" s="73"/>
      <c r="G25" s="86" t="str">
        <f ca="1">IF(ROWS($1:12)&gt;COUNT(Dong),"",IF(OFFSET(TH!N$1,SMALL(Dong,ROWS($1:12)),)="331",OFFSET(TH!M$1,SMALL(Dong,ROWS($1:12)),),0))</f>
        <v/>
      </c>
      <c r="H25" s="86" t="str">
        <f ca="1">IF(ROWS($1:12)&gt;COUNT(Dong),"",IF(OFFSET(TH!O$1,SMALL(Dong,ROWS($1:12)),)="331",OFFSET(TH!M$1,SMALL(Dong,ROWS($1:12)),),0))</f>
        <v/>
      </c>
      <c r="I25" s="25">
        <f t="shared" ca="1" si="2"/>
        <v>0</v>
      </c>
      <c r="J25" s="25">
        <f t="shared" ca="1" si="3"/>
        <v>0</v>
      </c>
    </row>
    <row r="26" spans="1:10" s="18" customFormat="1" ht="18.75" customHeight="1">
      <c r="A26" s="9" t="str">
        <f ca="1">IF(ROWS($1:13)&gt;COUNT(Dong),"",OFFSET(TH!C$1,SMALL(Dong,ROWS($1:13)),))</f>
        <v/>
      </c>
      <c r="B26" s="9" t="str">
        <f ca="1">IF(ROWS($1:13)&gt;COUNT(Dong),"",OFFSET(TH!D$1,SMALL(Dong,ROWS($1:13)),))</f>
        <v/>
      </c>
      <c r="C26" s="9" t="str">
        <f ca="1">IF(ROWS($1:13)&gt;COUNT(Dong),"",OFFSET(TH!E$1,SMALL(Dong,ROWS($1:13)),))</f>
        <v/>
      </c>
      <c r="D26" s="339" t="str">
        <f ca="1">IF(ROWS($1:13)&gt;COUNT(Dong),"",OFFSET(TH!F$1,SMALL(Dong,ROWS($1:13)),))</f>
        <v/>
      </c>
      <c r="E26" s="73" t="str">
        <f ca="1">IF(ROWS($1:13)&gt;COUNT(Dong),"",IF(OFFSET(TH!N$1,SMALL(Dong,ROWS($1:13)),)="331",OFFSET(TH!O$1,SMALL(Dong,ROWS($1:13)),),OFFSET(TH!N$1,SMALL(Dong,ROWS($1:13)),)))</f>
        <v/>
      </c>
      <c r="F26" s="73"/>
      <c r="G26" s="86" t="str">
        <f ca="1">IF(ROWS($1:13)&gt;COUNT(Dong),"",IF(OFFSET(TH!N$1,SMALL(Dong,ROWS($1:13)),)="331",OFFSET(TH!M$1,SMALL(Dong,ROWS($1:13)),),0))</f>
        <v/>
      </c>
      <c r="H26" s="86" t="str">
        <f ca="1">IF(ROWS($1:13)&gt;COUNT(Dong),"",IF(OFFSET(TH!O$1,SMALL(Dong,ROWS($1:13)),)="331",OFFSET(TH!M$1,SMALL(Dong,ROWS($1:13)),),0))</f>
        <v/>
      </c>
      <c r="I26" s="25">
        <f t="shared" ca="1" si="2"/>
        <v>0</v>
      </c>
      <c r="J26" s="25">
        <f t="shared" ca="1" si="3"/>
        <v>0</v>
      </c>
    </row>
    <row r="27" spans="1:10" s="18" customFormat="1" ht="18.75" customHeight="1">
      <c r="A27" s="9" t="str">
        <f ca="1">IF(ROWS($1:14)&gt;COUNT(Dong),"",OFFSET(TH!C$1,SMALL(Dong,ROWS($1:14)),))</f>
        <v/>
      </c>
      <c r="B27" s="9" t="str">
        <f ca="1">IF(ROWS($1:14)&gt;COUNT(Dong),"",OFFSET(TH!D$1,SMALL(Dong,ROWS($1:14)),))</f>
        <v/>
      </c>
      <c r="C27" s="9" t="str">
        <f ca="1">IF(ROWS($1:14)&gt;COUNT(Dong),"",OFFSET(TH!E$1,SMALL(Dong,ROWS($1:14)),))</f>
        <v/>
      </c>
      <c r="D27" s="339" t="str">
        <f ca="1">IF(ROWS($1:14)&gt;COUNT(Dong),"",OFFSET(TH!F$1,SMALL(Dong,ROWS($1:14)),))</f>
        <v/>
      </c>
      <c r="E27" s="73" t="str">
        <f ca="1">IF(ROWS($1:14)&gt;COUNT(Dong),"",IF(OFFSET(TH!N$1,SMALL(Dong,ROWS($1:14)),)="331",OFFSET(TH!O$1,SMALL(Dong,ROWS($1:14)),),OFFSET(TH!N$1,SMALL(Dong,ROWS($1:14)),)))</f>
        <v/>
      </c>
      <c r="F27" s="73"/>
      <c r="G27" s="86" t="str">
        <f ca="1">IF(ROWS($1:14)&gt;COUNT(Dong),"",IF(OFFSET(TH!N$1,SMALL(Dong,ROWS($1:14)),)="331",OFFSET(TH!M$1,SMALL(Dong,ROWS($1:14)),),0))</f>
        <v/>
      </c>
      <c r="H27" s="86" t="str">
        <f ca="1">IF(ROWS($1:14)&gt;COUNT(Dong),"",IF(OFFSET(TH!O$1,SMALL(Dong,ROWS($1:14)),)="331",OFFSET(TH!M$1,SMALL(Dong,ROWS($1:14)),),0))</f>
        <v/>
      </c>
      <c r="I27" s="25">
        <f t="shared" ca="1" si="2"/>
        <v>0</v>
      </c>
      <c r="J27" s="25">
        <f t="shared" ca="1" si="3"/>
        <v>0</v>
      </c>
    </row>
    <row r="28" spans="1:10" s="18" customFormat="1" ht="18.75" customHeight="1">
      <c r="A28" s="9" t="str">
        <f ca="1">IF(ROWS($1:15)&gt;COUNT(Dong),"",OFFSET(TH!C$1,SMALL(Dong,ROWS($1:15)),))</f>
        <v/>
      </c>
      <c r="B28" s="9" t="str">
        <f ca="1">IF(ROWS($1:15)&gt;COUNT(Dong),"",OFFSET(TH!D$1,SMALL(Dong,ROWS($1:15)),))</f>
        <v/>
      </c>
      <c r="C28" s="9" t="str">
        <f ca="1">IF(ROWS($1:15)&gt;COUNT(Dong),"",OFFSET(TH!E$1,SMALL(Dong,ROWS($1:15)),))</f>
        <v/>
      </c>
      <c r="D28" s="339" t="str">
        <f ca="1">IF(ROWS($1:15)&gt;COUNT(Dong),"",OFFSET(TH!F$1,SMALL(Dong,ROWS($1:15)),))</f>
        <v/>
      </c>
      <c r="E28" s="73" t="str">
        <f ca="1">IF(ROWS($1:15)&gt;COUNT(Dong),"",IF(OFFSET(TH!N$1,SMALL(Dong,ROWS($1:15)),)="331",OFFSET(TH!O$1,SMALL(Dong,ROWS($1:15)),),OFFSET(TH!N$1,SMALL(Dong,ROWS($1:15)),)))</f>
        <v/>
      </c>
      <c r="F28" s="73"/>
      <c r="G28" s="86" t="str">
        <f ca="1">IF(ROWS($1:15)&gt;COUNT(Dong),"",IF(OFFSET(TH!N$1,SMALL(Dong,ROWS($1:15)),)="331",OFFSET(TH!M$1,SMALL(Dong,ROWS($1:15)),),0))</f>
        <v/>
      </c>
      <c r="H28" s="86" t="str">
        <f ca="1">IF(ROWS($1:15)&gt;COUNT(Dong),"",IF(OFFSET(TH!O$1,SMALL(Dong,ROWS($1:15)),)="331",OFFSET(TH!M$1,SMALL(Dong,ROWS($1:15)),),0))</f>
        <v/>
      </c>
      <c r="I28" s="25">
        <f t="shared" ca="1" si="2"/>
        <v>0</v>
      </c>
      <c r="J28" s="25">
        <f t="shared" ca="1" si="3"/>
        <v>0</v>
      </c>
    </row>
    <row r="29" spans="1:10" s="18" customFormat="1" ht="18.75" customHeight="1">
      <c r="A29" s="9" t="str">
        <f ca="1">IF(ROWS($1:16)&gt;COUNT(Dong),"",OFFSET(TH!C$1,SMALL(Dong,ROWS($1:16)),))</f>
        <v/>
      </c>
      <c r="B29" s="9" t="str">
        <f ca="1">IF(ROWS($1:16)&gt;COUNT(Dong),"",OFFSET(TH!D$1,SMALL(Dong,ROWS($1:16)),))</f>
        <v/>
      </c>
      <c r="C29" s="9" t="str">
        <f ca="1">IF(ROWS($1:16)&gt;COUNT(Dong),"",OFFSET(TH!E$1,SMALL(Dong,ROWS($1:16)),))</f>
        <v/>
      </c>
      <c r="D29" s="339" t="str">
        <f ca="1">IF(ROWS($1:16)&gt;COUNT(Dong),"",OFFSET(TH!F$1,SMALL(Dong,ROWS($1:16)),))</f>
        <v/>
      </c>
      <c r="E29" s="73" t="str">
        <f ca="1">IF(ROWS($1:16)&gt;COUNT(Dong),"",IF(OFFSET(TH!N$1,SMALL(Dong,ROWS($1:16)),)="331",OFFSET(TH!O$1,SMALL(Dong,ROWS($1:16)),),OFFSET(TH!N$1,SMALL(Dong,ROWS($1:16)),)))</f>
        <v/>
      </c>
      <c r="F29" s="73"/>
      <c r="G29" s="86" t="str">
        <f ca="1">IF(ROWS($1:16)&gt;COUNT(Dong),"",IF(OFFSET(TH!N$1,SMALL(Dong,ROWS($1:16)),)="331",OFFSET(TH!M$1,SMALL(Dong,ROWS($1:16)),),0))</f>
        <v/>
      </c>
      <c r="H29" s="86" t="str">
        <f ca="1">IF(ROWS($1:16)&gt;COUNT(Dong),"",IF(OFFSET(TH!O$1,SMALL(Dong,ROWS($1:16)),)="331",OFFSET(TH!M$1,SMALL(Dong,ROWS($1:16)),),0))</f>
        <v/>
      </c>
      <c r="I29" s="25">
        <f t="shared" ca="1" si="2"/>
        <v>0</v>
      </c>
      <c r="J29" s="25">
        <f t="shared" ca="1" si="3"/>
        <v>0</v>
      </c>
    </row>
    <row r="30" spans="1:10" s="18" customFormat="1" ht="18.75" customHeight="1">
      <c r="A30" s="9" t="str">
        <f ca="1">IF(ROWS($1:17)&gt;COUNT(Dong),"",OFFSET(TH!C$1,SMALL(Dong,ROWS($1:17)),))</f>
        <v/>
      </c>
      <c r="B30" s="9" t="str">
        <f ca="1">IF(ROWS($1:17)&gt;COUNT(Dong),"",OFFSET(TH!D$1,SMALL(Dong,ROWS($1:17)),))</f>
        <v/>
      </c>
      <c r="C30" s="9" t="str">
        <f ca="1">IF(ROWS($1:17)&gt;COUNT(Dong),"",OFFSET(TH!E$1,SMALL(Dong,ROWS($1:17)),))</f>
        <v/>
      </c>
      <c r="D30" s="339" t="str">
        <f ca="1">IF(ROWS($1:17)&gt;COUNT(Dong),"",OFFSET(TH!F$1,SMALL(Dong,ROWS($1:17)),))</f>
        <v/>
      </c>
      <c r="E30" s="73" t="str">
        <f ca="1">IF(ROWS($1:17)&gt;COUNT(Dong),"",IF(OFFSET(TH!N$1,SMALL(Dong,ROWS($1:17)),)="331",OFFSET(TH!O$1,SMALL(Dong,ROWS($1:17)),),OFFSET(TH!N$1,SMALL(Dong,ROWS($1:17)),)))</f>
        <v/>
      </c>
      <c r="F30" s="73"/>
      <c r="G30" s="86" t="str">
        <f ca="1">IF(ROWS($1:17)&gt;COUNT(Dong),"",IF(OFFSET(TH!N$1,SMALL(Dong,ROWS($1:17)),)="331",OFFSET(TH!M$1,SMALL(Dong,ROWS($1:17)),),0))</f>
        <v/>
      </c>
      <c r="H30" s="86" t="str">
        <f ca="1">IF(ROWS($1:17)&gt;COUNT(Dong),"",IF(OFFSET(TH!O$1,SMALL(Dong,ROWS($1:17)),)="331",OFFSET(TH!M$1,SMALL(Dong,ROWS($1:17)),),0))</f>
        <v/>
      </c>
      <c r="I30" s="25">
        <f t="shared" ca="1" si="2"/>
        <v>0</v>
      </c>
      <c r="J30" s="25">
        <f t="shared" ca="1" si="3"/>
        <v>0</v>
      </c>
    </row>
    <row r="31" spans="1:10" s="18" customFormat="1" ht="18.75" customHeight="1">
      <c r="A31" s="9" t="str">
        <f ca="1">IF(ROWS($1:18)&gt;COUNT(Dong),"",OFFSET(TH!C$1,SMALL(Dong,ROWS($1:18)),))</f>
        <v/>
      </c>
      <c r="B31" s="9" t="str">
        <f ca="1">IF(ROWS($1:18)&gt;COUNT(Dong),"",OFFSET(TH!D$1,SMALL(Dong,ROWS($1:18)),))</f>
        <v/>
      </c>
      <c r="C31" s="9" t="str">
        <f ca="1">IF(ROWS($1:18)&gt;COUNT(Dong),"",OFFSET(TH!E$1,SMALL(Dong,ROWS($1:18)),))</f>
        <v/>
      </c>
      <c r="D31" s="339" t="str">
        <f ca="1">IF(ROWS($1:18)&gt;COUNT(Dong),"",OFFSET(TH!F$1,SMALL(Dong,ROWS($1:18)),))</f>
        <v/>
      </c>
      <c r="E31" s="73" t="str">
        <f ca="1">IF(ROWS($1:18)&gt;COUNT(Dong),"",IF(OFFSET(TH!N$1,SMALL(Dong,ROWS($1:18)),)="331",OFFSET(TH!O$1,SMALL(Dong,ROWS($1:18)),),OFFSET(TH!N$1,SMALL(Dong,ROWS($1:18)),)))</f>
        <v/>
      </c>
      <c r="F31" s="73"/>
      <c r="G31" s="86" t="str">
        <f ca="1">IF(ROWS($1:18)&gt;COUNT(Dong),"",IF(OFFSET(TH!N$1,SMALL(Dong,ROWS($1:18)),)="331",OFFSET(TH!M$1,SMALL(Dong,ROWS($1:18)),),0))</f>
        <v/>
      </c>
      <c r="H31" s="86" t="str">
        <f ca="1">IF(ROWS($1:18)&gt;COUNT(Dong),"",IF(OFFSET(TH!O$1,SMALL(Dong,ROWS($1:18)),)="331",OFFSET(TH!M$1,SMALL(Dong,ROWS($1:18)),),0))</f>
        <v/>
      </c>
      <c r="I31" s="25">
        <f t="shared" ca="1" si="2"/>
        <v>0</v>
      </c>
      <c r="J31" s="25">
        <f t="shared" ca="1" si="3"/>
        <v>0</v>
      </c>
    </row>
    <row r="32" spans="1:10" s="18" customFormat="1" ht="18.75" customHeight="1">
      <c r="A32" s="9" t="str">
        <f ca="1">IF(ROWS($1:19)&gt;COUNT(Dong),"",OFFSET(TH!C$1,SMALL(Dong,ROWS($1:19)),))</f>
        <v/>
      </c>
      <c r="B32" s="9" t="str">
        <f ca="1">IF(ROWS($1:19)&gt;COUNT(Dong),"",OFFSET(TH!D$1,SMALL(Dong,ROWS($1:19)),))</f>
        <v/>
      </c>
      <c r="C32" s="9" t="str">
        <f ca="1">IF(ROWS($1:19)&gt;COUNT(Dong),"",OFFSET(TH!E$1,SMALL(Dong,ROWS($1:19)),))</f>
        <v/>
      </c>
      <c r="D32" s="339" t="str">
        <f ca="1">IF(ROWS($1:19)&gt;COUNT(Dong),"",OFFSET(TH!F$1,SMALL(Dong,ROWS($1:19)),))</f>
        <v/>
      </c>
      <c r="E32" s="73" t="str">
        <f ca="1">IF(ROWS($1:19)&gt;COUNT(Dong),"",IF(OFFSET(TH!N$1,SMALL(Dong,ROWS($1:19)),)="331",OFFSET(TH!O$1,SMALL(Dong,ROWS($1:19)),),OFFSET(TH!N$1,SMALL(Dong,ROWS($1:19)),)))</f>
        <v/>
      </c>
      <c r="F32" s="73"/>
      <c r="G32" s="86" t="str">
        <f ca="1">IF(ROWS($1:19)&gt;COUNT(Dong),"",IF(OFFSET(TH!N$1,SMALL(Dong,ROWS($1:19)),)="331",OFFSET(TH!M$1,SMALL(Dong,ROWS($1:19)),),0))</f>
        <v/>
      </c>
      <c r="H32" s="86" t="str">
        <f ca="1">IF(ROWS($1:19)&gt;COUNT(Dong),"",IF(OFFSET(TH!O$1,SMALL(Dong,ROWS($1:19)),)="331",OFFSET(TH!M$1,SMALL(Dong,ROWS($1:19)),),0))</f>
        <v/>
      </c>
      <c r="I32" s="25">
        <f t="shared" ca="1" si="2"/>
        <v>0</v>
      </c>
      <c r="J32" s="25">
        <f t="shared" ca="1" si="3"/>
        <v>0</v>
      </c>
    </row>
    <row r="33" spans="1:10" s="18" customFormat="1" ht="18.75" customHeight="1">
      <c r="A33" s="9" t="str">
        <f ca="1">IF(ROWS($1:20)&gt;COUNT(Dong),"",OFFSET(TH!C$1,SMALL(Dong,ROWS($1:20)),))</f>
        <v/>
      </c>
      <c r="B33" s="9" t="str">
        <f ca="1">IF(ROWS($1:20)&gt;COUNT(Dong),"",OFFSET(TH!D$1,SMALL(Dong,ROWS($1:20)),))</f>
        <v/>
      </c>
      <c r="C33" s="9" t="str">
        <f ca="1">IF(ROWS($1:20)&gt;COUNT(Dong),"",OFFSET(TH!E$1,SMALL(Dong,ROWS($1:20)),))</f>
        <v/>
      </c>
      <c r="D33" s="339" t="str">
        <f ca="1">IF(ROWS($1:20)&gt;COUNT(Dong),"",OFFSET(TH!F$1,SMALL(Dong,ROWS($1:20)),))</f>
        <v/>
      </c>
      <c r="E33" s="73" t="str">
        <f ca="1">IF(ROWS($1:20)&gt;COUNT(Dong),"",IF(OFFSET(TH!N$1,SMALL(Dong,ROWS($1:20)),)="331",OFFSET(TH!O$1,SMALL(Dong,ROWS($1:20)),),OFFSET(TH!N$1,SMALL(Dong,ROWS($1:20)),)))</f>
        <v/>
      </c>
      <c r="F33" s="73"/>
      <c r="G33" s="86" t="str">
        <f ca="1">IF(ROWS($1:20)&gt;COUNT(Dong),"",IF(OFFSET(TH!N$1,SMALL(Dong,ROWS($1:20)),)="331",OFFSET(TH!M$1,SMALL(Dong,ROWS($1:20)),),0))</f>
        <v/>
      </c>
      <c r="H33" s="86" t="str">
        <f ca="1">IF(ROWS($1:20)&gt;COUNT(Dong),"",IF(OFFSET(TH!O$1,SMALL(Dong,ROWS($1:20)),)="331",OFFSET(TH!M$1,SMALL(Dong,ROWS($1:20)),),0))</f>
        <v/>
      </c>
      <c r="I33" s="25">
        <f t="shared" ca="1" si="2"/>
        <v>0</v>
      </c>
      <c r="J33" s="25">
        <f t="shared" ca="1" si="3"/>
        <v>0</v>
      </c>
    </row>
    <row r="34" spans="1:10" s="18" customFormat="1" ht="18.75" customHeight="1">
      <c r="A34" s="9" t="str">
        <f ca="1">IF(ROWS($1:21)&gt;COUNT(Dong),"",OFFSET(TH!C$1,SMALL(Dong,ROWS($1:21)),))</f>
        <v/>
      </c>
      <c r="B34" s="9" t="str">
        <f ca="1">IF(ROWS($1:21)&gt;COUNT(Dong),"",OFFSET(TH!D$1,SMALL(Dong,ROWS($1:21)),))</f>
        <v/>
      </c>
      <c r="C34" s="9" t="str">
        <f ca="1">IF(ROWS($1:21)&gt;COUNT(Dong),"",OFFSET(TH!E$1,SMALL(Dong,ROWS($1:21)),))</f>
        <v/>
      </c>
      <c r="D34" s="339" t="str">
        <f ca="1">IF(ROWS($1:21)&gt;COUNT(Dong),"",OFFSET(TH!F$1,SMALL(Dong,ROWS($1:21)),))</f>
        <v/>
      </c>
      <c r="E34" s="73" t="str">
        <f ca="1">IF(ROWS($1:21)&gt;COUNT(Dong),"",IF(OFFSET(TH!N$1,SMALL(Dong,ROWS($1:21)),)="331",OFFSET(TH!O$1,SMALL(Dong,ROWS($1:21)),),OFFSET(TH!N$1,SMALL(Dong,ROWS($1:21)),)))</f>
        <v/>
      </c>
      <c r="F34" s="73"/>
      <c r="G34" s="86" t="str">
        <f ca="1">IF(ROWS($1:21)&gt;COUNT(Dong),"",IF(OFFSET(TH!N$1,SMALL(Dong,ROWS($1:21)),)="331",OFFSET(TH!M$1,SMALL(Dong,ROWS($1:21)),),0))</f>
        <v/>
      </c>
      <c r="H34" s="86" t="str">
        <f ca="1">IF(ROWS($1:21)&gt;COUNT(Dong),"",IF(OFFSET(TH!O$1,SMALL(Dong,ROWS($1:21)),)="331",OFFSET(TH!M$1,SMALL(Dong,ROWS($1:21)),),0))</f>
        <v/>
      </c>
      <c r="I34" s="25">
        <f t="shared" ca="1" si="2"/>
        <v>0</v>
      </c>
      <c r="J34" s="25">
        <f t="shared" ca="1" si="3"/>
        <v>0</v>
      </c>
    </row>
    <row r="35" spans="1:10" s="18" customFormat="1" ht="18.75" customHeight="1">
      <c r="A35" s="9" t="str">
        <f ca="1">IF(ROWS($1:22)&gt;COUNT(Dong),"",OFFSET(TH!C$1,SMALL(Dong,ROWS($1:22)),))</f>
        <v/>
      </c>
      <c r="B35" s="9" t="str">
        <f ca="1">IF(ROWS($1:22)&gt;COUNT(Dong),"",OFFSET(TH!D$1,SMALL(Dong,ROWS($1:22)),))</f>
        <v/>
      </c>
      <c r="C35" s="9" t="str">
        <f ca="1">IF(ROWS($1:22)&gt;COUNT(Dong),"",OFFSET(TH!E$1,SMALL(Dong,ROWS($1:22)),))</f>
        <v/>
      </c>
      <c r="D35" s="339" t="str">
        <f ca="1">IF(ROWS($1:22)&gt;COUNT(Dong),"",OFFSET(TH!F$1,SMALL(Dong,ROWS($1:22)),))</f>
        <v/>
      </c>
      <c r="E35" s="73" t="str">
        <f ca="1">IF(ROWS($1:22)&gt;COUNT(Dong),"",IF(OFFSET(TH!N$1,SMALL(Dong,ROWS($1:22)),)="331",OFFSET(TH!O$1,SMALL(Dong,ROWS($1:22)),),OFFSET(TH!N$1,SMALL(Dong,ROWS($1:22)),)))</f>
        <v/>
      </c>
      <c r="F35" s="73"/>
      <c r="G35" s="86" t="str">
        <f ca="1">IF(ROWS($1:22)&gt;COUNT(Dong),"",IF(OFFSET(TH!N$1,SMALL(Dong,ROWS($1:22)),)="331",OFFSET(TH!M$1,SMALL(Dong,ROWS($1:22)),),0))</f>
        <v/>
      </c>
      <c r="H35" s="86" t="str">
        <f ca="1">IF(ROWS($1:22)&gt;COUNT(Dong),"",IF(OFFSET(TH!O$1,SMALL(Dong,ROWS($1:22)),)="331",OFFSET(TH!M$1,SMALL(Dong,ROWS($1:22)),),0))</f>
        <v/>
      </c>
      <c r="I35" s="25">
        <f t="shared" ca="1" si="2"/>
        <v>0</v>
      </c>
      <c r="J35" s="25">
        <f t="shared" ca="1" si="3"/>
        <v>0</v>
      </c>
    </row>
    <row r="36" spans="1:10" s="18" customFormat="1" ht="18.75" customHeight="1">
      <c r="A36" s="9" t="str">
        <f ca="1">IF(ROWS($1:23)&gt;COUNT(Dong),"",OFFSET(TH!C$1,SMALL(Dong,ROWS($1:23)),))</f>
        <v/>
      </c>
      <c r="B36" s="9" t="str">
        <f ca="1">IF(ROWS($1:23)&gt;COUNT(Dong),"",OFFSET(TH!D$1,SMALL(Dong,ROWS($1:23)),))</f>
        <v/>
      </c>
      <c r="C36" s="9" t="str">
        <f ca="1">IF(ROWS($1:23)&gt;COUNT(Dong),"",OFFSET(TH!E$1,SMALL(Dong,ROWS($1:23)),))</f>
        <v/>
      </c>
      <c r="D36" s="339" t="str">
        <f ca="1">IF(ROWS($1:23)&gt;COUNT(Dong),"",OFFSET(TH!F$1,SMALL(Dong,ROWS($1:23)),))</f>
        <v/>
      </c>
      <c r="E36" s="73" t="str">
        <f ca="1">IF(ROWS($1:23)&gt;COUNT(Dong),"",IF(OFFSET(TH!N$1,SMALL(Dong,ROWS($1:23)),)="331",OFFSET(TH!O$1,SMALL(Dong,ROWS($1:23)),),OFFSET(TH!N$1,SMALL(Dong,ROWS($1:23)),)))</f>
        <v/>
      </c>
      <c r="F36" s="73"/>
      <c r="G36" s="86" t="str">
        <f ca="1">IF(ROWS($1:23)&gt;COUNT(Dong),"",IF(OFFSET(TH!N$1,SMALL(Dong,ROWS($1:23)),)="331",OFFSET(TH!M$1,SMALL(Dong,ROWS($1:23)),),0))</f>
        <v/>
      </c>
      <c r="H36" s="86" t="str">
        <f ca="1">IF(ROWS($1:23)&gt;COUNT(Dong),"",IF(OFFSET(TH!O$1,SMALL(Dong,ROWS($1:23)),)="331",OFFSET(TH!M$1,SMALL(Dong,ROWS($1:23)),),0))</f>
        <v/>
      </c>
      <c r="I36" s="25">
        <f t="shared" ca="1" si="2"/>
        <v>0</v>
      </c>
      <c r="J36" s="25">
        <f t="shared" ca="1" si="3"/>
        <v>0</v>
      </c>
    </row>
    <row r="37" spans="1:10" s="18" customFormat="1" ht="18.75" customHeight="1">
      <c r="A37" s="9" t="str">
        <f ca="1">IF(ROWS($1:24)&gt;COUNT(Dong),"",OFFSET(TH!C$1,SMALL(Dong,ROWS($1:24)),))</f>
        <v/>
      </c>
      <c r="B37" s="9" t="str">
        <f ca="1">IF(ROWS($1:24)&gt;COUNT(Dong),"",OFFSET(TH!D$1,SMALL(Dong,ROWS($1:24)),))</f>
        <v/>
      </c>
      <c r="C37" s="9" t="str">
        <f ca="1">IF(ROWS($1:24)&gt;COUNT(Dong),"",OFFSET(TH!E$1,SMALL(Dong,ROWS($1:24)),))</f>
        <v/>
      </c>
      <c r="D37" s="339" t="str">
        <f ca="1">IF(ROWS($1:24)&gt;COUNT(Dong),"",OFFSET(TH!F$1,SMALL(Dong,ROWS($1:24)),))</f>
        <v/>
      </c>
      <c r="E37" s="73" t="str">
        <f ca="1">IF(ROWS($1:24)&gt;COUNT(Dong),"",IF(OFFSET(TH!N$1,SMALL(Dong,ROWS($1:24)),)="331",OFFSET(TH!O$1,SMALL(Dong,ROWS($1:24)),),OFFSET(TH!N$1,SMALL(Dong,ROWS($1:24)),)))</f>
        <v/>
      </c>
      <c r="F37" s="73"/>
      <c r="G37" s="86" t="str">
        <f ca="1">IF(ROWS($1:24)&gt;COUNT(Dong),"",IF(OFFSET(TH!N$1,SMALL(Dong,ROWS($1:24)),)="331",OFFSET(TH!M$1,SMALL(Dong,ROWS($1:24)),),0))</f>
        <v/>
      </c>
      <c r="H37" s="86" t="str">
        <f ca="1">IF(ROWS($1:24)&gt;COUNT(Dong),"",IF(OFFSET(TH!O$1,SMALL(Dong,ROWS($1:24)),)="331",OFFSET(TH!M$1,SMALL(Dong,ROWS($1:24)),),0))</f>
        <v/>
      </c>
      <c r="I37" s="25">
        <f t="shared" ca="1" si="2"/>
        <v>0</v>
      </c>
      <c r="J37" s="25">
        <f t="shared" ca="1" si="3"/>
        <v>0</v>
      </c>
    </row>
    <row r="38" spans="1:10" s="18" customFormat="1" ht="18.75" customHeight="1">
      <c r="A38" s="9" t="str">
        <f ca="1">IF(ROWS($1:25)&gt;COUNT(Dong),"",OFFSET(TH!C$1,SMALL(Dong,ROWS($1:25)),))</f>
        <v/>
      </c>
      <c r="B38" s="9" t="str">
        <f ca="1">IF(ROWS($1:25)&gt;COUNT(Dong),"",OFFSET(TH!D$1,SMALL(Dong,ROWS($1:25)),))</f>
        <v/>
      </c>
      <c r="C38" s="9" t="str">
        <f ca="1">IF(ROWS($1:25)&gt;COUNT(Dong),"",OFFSET(TH!E$1,SMALL(Dong,ROWS($1:25)),))</f>
        <v/>
      </c>
      <c r="D38" s="339" t="str">
        <f ca="1">IF(ROWS($1:25)&gt;COUNT(Dong),"",OFFSET(TH!F$1,SMALL(Dong,ROWS($1:25)),))</f>
        <v/>
      </c>
      <c r="E38" s="73" t="str">
        <f ca="1">IF(ROWS($1:25)&gt;COUNT(Dong),"",IF(OFFSET(TH!N$1,SMALL(Dong,ROWS($1:25)),)="331",OFFSET(TH!O$1,SMALL(Dong,ROWS($1:25)),),OFFSET(TH!N$1,SMALL(Dong,ROWS($1:25)),)))</f>
        <v/>
      </c>
      <c r="F38" s="73"/>
      <c r="G38" s="86" t="str">
        <f ca="1">IF(ROWS($1:25)&gt;COUNT(Dong),"",IF(OFFSET(TH!N$1,SMALL(Dong,ROWS($1:25)),)="331",OFFSET(TH!M$1,SMALL(Dong,ROWS($1:25)),),0))</f>
        <v/>
      </c>
      <c r="H38" s="86" t="str">
        <f ca="1">IF(ROWS($1:25)&gt;COUNT(Dong),"",IF(OFFSET(TH!O$1,SMALL(Dong,ROWS($1:25)),)="331",OFFSET(TH!M$1,SMALL(Dong,ROWS($1:25)),),0))</f>
        <v/>
      </c>
      <c r="I38" s="25">
        <f t="shared" ca="1" si="2"/>
        <v>0</v>
      </c>
      <c r="J38" s="25">
        <f t="shared" ca="1" si="3"/>
        <v>0</v>
      </c>
    </row>
    <row r="39" spans="1:10" s="18" customFormat="1" ht="18.75" customHeight="1">
      <c r="A39" s="9" t="str">
        <f ca="1">IF(ROWS($1:26)&gt;COUNT(Dong),"",OFFSET(TH!C$1,SMALL(Dong,ROWS($1:26)),))</f>
        <v/>
      </c>
      <c r="B39" s="9" t="str">
        <f ca="1">IF(ROWS($1:26)&gt;COUNT(Dong),"",OFFSET(TH!D$1,SMALL(Dong,ROWS($1:26)),))</f>
        <v/>
      </c>
      <c r="C39" s="9" t="str">
        <f ca="1">IF(ROWS($1:26)&gt;COUNT(Dong),"",OFFSET(TH!E$1,SMALL(Dong,ROWS($1:26)),))</f>
        <v/>
      </c>
      <c r="D39" s="339" t="str">
        <f ca="1">IF(ROWS($1:26)&gt;COUNT(Dong),"",OFFSET(TH!F$1,SMALL(Dong,ROWS($1:26)),))</f>
        <v/>
      </c>
      <c r="E39" s="73" t="str">
        <f ca="1">IF(ROWS($1:26)&gt;COUNT(Dong),"",IF(OFFSET(TH!N$1,SMALL(Dong,ROWS($1:26)),)="331",OFFSET(TH!O$1,SMALL(Dong,ROWS($1:26)),),OFFSET(TH!N$1,SMALL(Dong,ROWS($1:26)),)))</f>
        <v/>
      </c>
      <c r="F39" s="73"/>
      <c r="G39" s="86" t="str">
        <f ca="1">IF(ROWS($1:26)&gt;COUNT(Dong),"",IF(OFFSET(TH!N$1,SMALL(Dong,ROWS($1:26)),)="331",OFFSET(TH!M$1,SMALL(Dong,ROWS($1:26)),),0))</f>
        <v/>
      </c>
      <c r="H39" s="86" t="str">
        <f ca="1">IF(ROWS($1:26)&gt;COUNT(Dong),"",IF(OFFSET(TH!O$1,SMALL(Dong,ROWS($1:26)),)="331",OFFSET(TH!M$1,SMALL(Dong,ROWS($1:26)),),0))</f>
        <v/>
      </c>
      <c r="I39" s="25">
        <f t="shared" ref="I39:I50" ca="1" si="4">IF(D39&lt;&gt;"",MAX(I38+G39-H39-J38,0),0)</f>
        <v>0</v>
      </c>
      <c r="J39" s="25">
        <f t="shared" ref="J39:J50" ca="1" si="5">IF(D39&lt;&gt;"",MAX(J38+H39-I38-G39,0),0)</f>
        <v>0</v>
      </c>
    </row>
    <row r="40" spans="1:10" s="18" customFormat="1" ht="18.75" customHeight="1">
      <c r="A40" s="9" t="str">
        <f ca="1">IF(ROWS($1:27)&gt;COUNT(Dong),"",OFFSET(TH!C$1,SMALL(Dong,ROWS($1:27)),))</f>
        <v/>
      </c>
      <c r="B40" s="9" t="str">
        <f ca="1">IF(ROWS($1:27)&gt;COUNT(Dong),"",OFFSET(TH!D$1,SMALL(Dong,ROWS($1:27)),))</f>
        <v/>
      </c>
      <c r="C40" s="9" t="str">
        <f ca="1">IF(ROWS($1:27)&gt;COUNT(Dong),"",OFFSET(TH!E$1,SMALL(Dong,ROWS($1:27)),))</f>
        <v/>
      </c>
      <c r="D40" s="339" t="str">
        <f ca="1">IF(ROWS($1:27)&gt;COUNT(Dong),"",OFFSET(TH!F$1,SMALL(Dong,ROWS($1:27)),))</f>
        <v/>
      </c>
      <c r="E40" s="73" t="str">
        <f ca="1">IF(ROWS($1:27)&gt;COUNT(Dong),"",IF(OFFSET(TH!N$1,SMALL(Dong,ROWS($1:27)),)="331",OFFSET(TH!O$1,SMALL(Dong,ROWS($1:27)),),OFFSET(TH!N$1,SMALL(Dong,ROWS($1:27)),)))</f>
        <v/>
      </c>
      <c r="F40" s="73"/>
      <c r="G40" s="86" t="str">
        <f ca="1">IF(ROWS($1:27)&gt;COUNT(Dong),"",IF(OFFSET(TH!N$1,SMALL(Dong,ROWS($1:27)),)="331",OFFSET(TH!M$1,SMALL(Dong,ROWS($1:27)),),0))</f>
        <v/>
      </c>
      <c r="H40" s="86" t="str">
        <f ca="1">IF(ROWS($1:27)&gt;COUNT(Dong),"",IF(OFFSET(TH!O$1,SMALL(Dong,ROWS($1:27)),)="331",OFFSET(TH!M$1,SMALL(Dong,ROWS($1:27)),),0))</f>
        <v/>
      </c>
      <c r="I40" s="25">
        <f t="shared" ca="1" si="4"/>
        <v>0</v>
      </c>
      <c r="J40" s="25">
        <f t="shared" ca="1" si="5"/>
        <v>0</v>
      </c>
    </row>
    <row r="41" spans="1:10" s="18" customFormat="1" ht="18.75" customHeight="1">
      <c r="A41" s="9" t="str">
        <f ca="1">IF(ROWS($1:28)&gt;COUNT(Dong),"",OFFSET(TH!C$1,SMALL(Dong,ROWS($1:28)),))</f>
        <v/>
      </c>
      <c r="B41" s="9" t="str">
        <f ca="1">IF(ROWS($1:28)&gt;COUNT(Dong),"",OFFSET(TH!D$1,SMALL(Dong,ROWS($1:28)),))</f>
        <v/>
      </c>
      <c r="C41" s="9" t="str">
        <f ca="1">IF(ROWS($1:28)&gt;COUNT(Dong),"",OFFSET(TH!E$1,SMALL(Dong,ROWS($1:28)),))</f>
        <v/>
      </c>
      <c r="D41" s="339" t="str">
        <f ca="1">IF(ROWS($1:28)&gt;COUNT(Dong),"",OFFSET(TH!F$1,SMALL(Dong,ROWS($1:28)),))</f>
        <v/>
      </c>
      <c r="E41" s="73" t="str">
        <f ca="1">IF(ROWS($1:28)&gt;COUNT(Dong),"",IF(OFFSET(TH!N$1,SMALL(Dong,ROWS($1:28)),)="331",OFFSET(TH!O$1,SMALL(Dong,ROWS($1:28)),),OFFSET(TH!N$1,SMALL(Dong,ROWS($1:28)),)))</f>
        <v/>
      </c>
      <c r="F41" s="73"/>
      <c r="G41" s="86" t="str">
        <f ca="1">IF(ROWS($1:28)&gt;COUNT(Dong),"",IF(OFFSET(TH!N$1,SMALL(Dong,ROWS($1:28)),)="331",OFFSET(TH!M$1,SMALL(Dong,ROWS($1:28)),),0))</f>
        <v/>
      </c>
      <c r="H41" s="86" t="str">
        <f ca="1">IF(ROWS($1:28)&gt;COUNT(Dong),"",IF(OFFSET(TH!O$1,SMALL(Dong,ROWS($1:28)),)="331",OFFSET(TH!M$1,SMALL(Dong,ROWS($1:28)),),0))</f>
        <v/>
      </c>
      <c r="I41" s="25">
        <f t="shared" ca="1" si="4"/>
        <v>0</v>
      </c>
      <c r="J41" s="25">
        <f t="shared" ca="1" si="5"/>
        <v>0</v>
      </c>
    </row>
    <row r="42" spans="1:10" s="18" customFormat="1" ht="18.75" customHeight="1">
      <c r="A42" s="9" t="str">
        <f ca="1">IF(ROWS($1:29)&gt;COUNT(Dong),"",OFFSET(TH!C$1,SMALL(Dong,ROWS($1:29)),))</f>
        <v/>
      </c>
      <c r="B42" s="9" t="str">
        <f ca="1">IF(ROWS($1:29)&gt;COUNT(Dong),"",OFFSET(TH!D$1,SMALL(Dong,ROWS($1:29)),))</f>
        <v/>
      </c>
      <c r="C42" s="9" t="str">
        <f ca="1">IF(ROWS($1:29)&gt;COUNT(Dong),"",OFFSET(TH!E$1,SMALL(Dong,ROWS($1:29)),))</f>
        <v/>
      </c>
      <c r="D42" s="339" t="str">
        <f ca="1">IF(ROWS($1:29)&gt;COUNT(Dong),"",OFFSET(TH!F$1,SMALL(Dong,ROWS($1:29)),))</f>
        <v/>
      </c>
      <c r="E42" s="73" t="str">
        <f ca="1">IF(ROWS($1:29)&gt;COUNT(Dong),"",IF(OFFSET(TH!N$1,SMALL(Dong,ROWS($1:29)),)="331",OFFSET(TH!O$1,SMALL(Dong,ROWS($1:29)),),OFFSET(TH!N$1,SMALL(Dong,ROWS($1:29)),)))</f>
        <v/>
      </c>
      <c r="F42" s="73"/>
      <c r="G42" s="86" t="str">
        <f ca="1">IF(ROWS($1:29)&gt;COUNT(Dong),"",IF(OFFSET(TH!N$1,SMALL(Dong,ROWS($1:29)),)="331",OFFSET(TH!M$1,SMALL(Dong,ROWS($1:29)),),0))</f>
        <v/>
      </c>
      <c r="H42" s="86" t="str">
        <f ca="1">IF(ROWS($1:29)&gt;COUNT(Dong),"",IF(OFFSET(TH!O$1,SMALL(Dong,ROWS($1:29)),)="331",OFFSET(TH!M$1,SMALL(Dong,ROWS($1:29)),),0))</f>
        <v/>
      </c>
      <c r="I42" s="25">
        <f t="shared" ca="1" si="4"/>
        <v>0</v>
      </c>
      <c r="J42" s="25">
        <f t="shared" ca="1" si="5"/>
        <v>0</v>
      </c>
    </row>
    <row r="43" spans="1:10" s="18" customFormat="1" ht="18.75" customHeight="1">
      <c r="A43" s="9" t="str">
        <f ca="1">IF(ROWS($1:30)&gt;COUNT(Dong),"",OFFSET(TH!C$1,SMALL(Dong,ROWS($1:30)),))</f>
        <v/>
      </c>
      <c r="B43" s="9" t="str">
        <f ca="1">IF(ROWS($1:30)&gt;COUNT(Dong),"",OFFSET(TH!D$1,SMALL(Dong,ROWS($1:30)),))</f>
        <v/>
      </c>
      <c r="C43" s="9" t="str">
        <f ca="1">IF(ROWS($1:30)&gt;COUNT(Dong),"",OFFSET(TH!E$1,SMALL(Dong,ROWS($1:30)),))</f>
        <v/>
      </c>
      <c r="D43" s="339" t="str">
        <f ca="1">IF(ROWS($1:30)&gt;COUNT(Dong),"",OFFSET(TH!F$1,SMALL(Dong,ROWS($1:30)),))</f>
        <v/>
      </c>
      <c r="E43" s="73" t="str">
        <f ca="1">IF(ROWS($1:30)&gt;COUNT(Dong),"",IF(OFFSET(TH!N$1,SMALL(Dong,ROWS($1:30)),)="331",OFFSET(TH!O$1,SMALL(Dong,ROWS($1:30)),),OFFSET(TH!N$1,SMALL(Dong,ROWS($1:30)),)))</f>
        <v/>
      </c>
      <c r="F43" s="73"/>
      <c r="G43" s="86" t="str">
        <f ca="1">IF(ROWS($1:30)&gt;COUNT(Dong),"",IF(OFFSET(TH!N$1,SMALL(Dong,ROWS($1:30)),)="331",OFFSET(TH!M$1,SMALL(Dong,ROWS($1:30)),),0))</f>
        <v/>
      </c>
      <c r="H43" s="86" t="str">
        <f ca="1">IF(ROWS($1:30)&gt;COUNT(Dong),"",IF(OFFSET(TH!O$1,SMALL(Dong,ROWS($1:30)),)="331",OFFSET(TH!M$1,SMALL(Dong,ROWS($1:30)),),0))</f>
        <v/>
      </c>
      <c r="I43" s="25">
        <f t="shared" ca="1" si="4"/>
        <v>0</v>
      </c>
      <c r="J43" s="25">
        <f t="shared" ca="1" si="5"/>
        <v>0</v>
      </c>
    </row>
    <row r="44" spans="1:10" s="18" customFormat="1" ht="18.75" customHeight="1">
      <c r="A44" s="9" t="str">
        <f ca="1">IF(ROWS($1:31)&gt;COUNT(Dong),"",OFFSET(TH!C$1,SMALL(Dong,ROWS($1:31)),))</f>
        <v/>
      </c>
      <c r="B44" s="9" t="str">
        <f ca="1">IF(ROWS($1:31)&gt;COUNT(Dong),"",OFFSET(TH!D$1,SMALL(Dong,ROWS($1:31)),))</f>
        <v/>
      </c>
      <c r="C44" s="9" t="str">
        <f ca="1">IF(ROWS($1:31)&gt;COUNT(Dong),"",OFFSET(TH!E$1,SMALL(Dong,ROWS($1:31)),))</f>
        <v/>
      </c>
      <c r="D44" s="339" t="str">
        <f ca="1">IF(ROWS($1:31)&gt;COUNT(Dong),"",OFFSET(TH!F$1,SMALL(Dong,ROWS($1:31)),))</f>
        <v/>
      </c>
      <c r="E44" s="73" t="str">
        <f ca="1">IF(ROWS($1:31)&gt;COUNT(Dong),"",IF(OFFSET(TH!N$1,SMALL(Dong,ROWS($1:31)),)="331",OFFSET(TH!O$1,SMALL(Dong,ROWS($1:31)),),OFFSET(TH!N$1,SMALL(Dong,ROWS($1:31)),)))</f>
        <v/>
      </c>
      <c r="F44" s="73"/>
      <c r="G44" s="86" t="str">
        <f ca="1">IF(ROWS($1:31)&gt;COUNT(Dong),"",IF(OFFSET(TH!N$1,SMALL(Dong,ROWS($1:31)),)="331",OFFSET(TH!M$1,SMALL(Dong,ROWS($1:31)),),0))</f>
        <v/>
      </c>
      <c r="H44" s="86" t="str">
        <f ca="1">IF(ROWS($1:31)&gt;COUNT(Dong),"",IF(OFFSET(TH!O$1,SMALL(Dong,ROWS($1:31)),)="331",OFFSET(TH!M$1,SMALL(Dong,ROWS($1:31)),),0))</f>
        <v/>
      </c>
      <c r="I44" s="25">
        <f t="shared" ca="1" si="4"/>
        <v>0</v>
      </c>
      <c r="J44" s="25">
        <f t="shared" ca="1" si="5"/>
        <v>0</v>
      </c>
    </row>
    <row r="45" spans="1:10" s="18" customFormat="1" ht="18.75" customHeight="1">
      <c r="A45" s="9" t="str">
        <f ca="1">IF(ROWS($1:32)&gt;COUNT(Dong),"",OFFSET(TH!C$1,SMALL(Dong,ROWS($1:32)),))</f>
        <v/>
      </c>
      <c r="B45" s="9" t="str">
        <f ca="1">IF(ROWS($1:32)&gt;COUNT(Dong),"",OFFSET(TH!D$1,SMALL(Dong,ROWS($1:32)),))</f>
        <v/>
      </c>
      <c r="C45" s="9" t="str">
        <f ca="1">IF(ROWS($1:32)&gt;COUNT(Dong),"",OFFSET(TH!E$1,SMALL(Dong,ROWS($1:32)),))</f>
        <v/>
      </c>
      <c r="D45" s="339" t="str">
        <f ca="1">IF(ROWS($1:32)&gt;COUNT(Dong),"",OFFSET(TH!F$1,SMALL(Dong,ROWS($1:32)),))</f>
        <v/>
      </c>
      <c r="E45" s="73" t="str">
        <f ca="1">IF(ROWS($1:32)&gt;COUNT(Dong),"",IF(OFFSET(TH!N$1,SMALL(Dong,ROWS($1:32)),)="331",OFFSET(TH!O$1,SMALL(Dong,ROWS($1:32)),),OFFSET(TH!N$1,SMALL(Dong,ROWS($1:32)),)))</f>
        <v/>
      </c>
      <c r="F45" s="73"/>
      <c r="G45" s="86" t="str">
        <f ca="1">IF(ROWS($1:32)&gt;COUNT(Dong),"",IF(OFFSET(TH!N$1,SMALL(Dong,ROWS($1:32)),)="331",OFFSET(TH!M$1,SMALL(Dong,ROWS($1:32)),),0))</f>
        <v/>
      </c>
      <c r="H45" s="86" t="str">
        <f ca="1">IF(ROWS($1:32)&gt;COUNT(Dong),"",IF(OFFSET(TH!O$1,SMALL(Dong,ROWS($1:32)),)="331",OFFSET(TH!M$1,SMALL(Dong,ROWS($1:32)),),0))</f>
        <v/>
      </c>
      <c r="I45" s="25">
        <f t="shared" ca="1" si="4"/>
        <v>0</v>
      </c>
      <c r="J45" s="25">
        <f t="shared" ca="1" si="5"/>
        <v>0</v>
      </c>
    </row>
    <row r="46" spans="1:10" s="18" customFormat="1" ht="18.75" customHeight="1">
      <c r="A46" s="9" t="str">
        <f ca="1">IF(ROWS($1:33)&gt;COUNT(Dong),"",OFFSET(TH!C$1,SMALL(Dong,ROWS($1:33)),))</f>
        <v/>
      </c>
      <c r="B46" s="9" t="str">
        <f ca="1">IF(ROWS($1:33)&gt;COUNT(Dong),"",OFFSET(TH!D$1,SMALL(Dong,ROWS($1:33)),))</f>
        <v/>
      </c>
      <c r="C46" s="9" t="str">
        <f ca="1">IF(ROWS($1:33)&gt;COUNT(Dong),"",OFFSET(TH!E$1,SMALL(Dong,ROWS($1:33)),))</f>
        <v/>
      </c>
      <c r="D46" s="339" t="str">
        <f ca="1">IF(ROWS($1:33)&gt;COUNT(Dong),"",OFFSET(TH!F$1,SMALL(Dong,ROWS($1:33)),))</f>
        <v/>
      </c>
      <c r="E46" s="73" t="str">
        <f ca="1">IF(ROWS($1:33)&gt;COUNT(Dong),"",IF(OFFSET(TH!N$1,SMALL(Dong,ROWS($1:33)),)="331",OFFSET(TH!O$1,SMALL(Dong,ROWS($1:33)),),OFFSET(TH!N$1,SMALL(Dong,ROWS($1:33)),)))</f>
        <v/>
      </c>
      <c r="F46" s="73"/>
      <c r="G46" s="86" t="str">
        <f ca="1">IF(ROWS($1:33)&gt;COUNT(Dong),"",IF(OFFSET(TH!N$1,SMALL(Dong,ROWS($1:33)),)="331",OFFSET(TH!M$1,SMALL(Dong,ROWS($1:33)),),0))</f>
        <v/>
      </c>
      <c r="H46" s="86" t="str">
        <f ca="1">IF(ROWS($1:33)&gt;COUNT(Dong),"",IF(OFFSET(TH!O$1,SMALL(Dong,ROWS($1:33)),)="331",OFFSET(TH!M$1,SMALL(Dong,ROWS($1:33)),),0))</f>
        <v/>
      </c>
      <c r="I46" s="25">
        <f t="shared" ca="1" si="4"/>
        <v>0</v>
      </c>
      <c r="J46" s="25">
        <f t="shared" ca="1" si="5"/>
        <v>0</v>
      </c>
    </row>
    <row r="47" spans="1:10" s="18" customFormat="1" ht="18.75" customHeight="1">
      <c r="A47" s="9" t="str">
        <f ca="1">IF(ROWS($1:34)&gt;COUNT(Dong),"",OFFSET(TH!C$1,SMALL(Dong,ROWS($1:34)),))</f>
        <v/>
      </c>
      <c r="B47" s="9" t="str">
        <f ca="1">IF(ROWS($1:34)&gt;COUNT(Dong),"",OFFSET(TH!D$1,SMALL(Dong,ROWS($1:34)),))</f>
        <v/>
      </c>
      <c r="C47" s="9" t="str">
        <f ca="1">IF(ROWS($1:34)&gt;COUNT(Dong),"",OFFSET(TH!E$1,SMALL(Dong,ROWS($1:34)),))</f>
        <v/>
      </c>
      <c r="D47" s="339" t="str">
        <f ca="1">IF(ROWS($1:34)&gt;COUNT(Dong),"",OFFSET(TH!F$1,SMALL(Dong,ROWS($1:34)),))</f>
        <v/>
      </c>
      <c r="E47" s="73" t="str">
        <f ca="1">IF(ROWS($1:34)&gt;COUNT(Dong),"",IF(OFFSET(TH!N$1,SMALL(Dong,ROWS($1:34)),)="331",OFFSET(TH!O$1,SMALL(Dong,ROWS($1:34)),),OFFSET(TH!N$1,SMALL(Dong,ROWS($1:34)),)))</f>
        <v/>
      </c>
      <c r="F47" s="73"/>
      <c r="G47" s="86" t="str">
        <f ca="1">IF(ROWS($1:34)&gt;COUNT(Dong),"",IF(OFFSET(TH!N$1,SMALL(Dong,ROWS($1:34)),)="331",OFFSET(TH!M$1,SMALL(Dong,ROWS($1:34)),),0))</f>
        <v/>
      </c>
      <c r="H47" s="86" t="str">
        <f ca="1">IF(ROWS($1:34)&gt;COUNT(Dong),"",IF(OFFSET(TH!O$1,SMALL(Dong,ROWS($1:34)),)="331",OFFSET(TH!M$1,SMALL(Dong,ROWS($1:34)),),0))</f>
        <v/>
      </c>
      <c r="I47" s="25">
        <f t="shared" ca="1" si="4"/>
        <v>0</v>
      </c>
      <c r="J47" s="25">
        <f t="shared" ca="1" si="5"/>
        <v>0</v>
      </c>
    </row>
    <row r="48" spans="1:10" s="18" customFormat="1" ht="18.75" customHeight="1">
      <c r="A48" s="9" t="str">
        <f ca="1">IF(ROWS($1:35)&gt;COUNT(Dong),"",OFFSET(TH!C$1,SMALL(Dong,ROWS($1:35)),))</f>
        <v/>
      </c>
      <c r="B48" s="9" t="str">
        <f ca="1">IF(ROWS($1:35)&gt;COUNT(Dong),"",OFFSET(TH!D$1,SMALL(Dong,ROWS($1:35)),))</f>
        <v/>
      </c>
      <c r="C48" s="9" t="str">
        <f ca="1">IF(ROWS($1:35)&gt;COUNT(Dong),"",OFFSET(TH!E$1,SMALL(Dong,ROWS($1:35)),))</f>
        <v/>
      </c>
      <c r="D48" s="339" t="str">
        <f ca="1">IF(ROWS($1:35)&gt;COUNT(Dong),"",OFFSET(TH!F$1,SMALL(Dong,ROWS($1:35)),))</f>
        <v/>
      </c>
      <c r="E48" s="73" t="str">
        <f ca="1">IF(ROWS($1:35)&gt;COUNT(Dong),"",IF(OFFSET(TH!N$1,SMALL(Dong,ROWS($1:35)),)="331",OFFSET(TH!O$1,SMALL(Dong,ROWS($1:35)),),OFFSET(TH!N$1,SMALL(Dong,ROWS($1:35)),)))</f>
        <v/>
      </c>
      <c r="F48" s="73"/>
      <c r="G48" s="86" t="str">
        <f ca="1">IF(ROWS($1:35)&gt;COUNT(Dong),"",IF(OFFSET(TH!N$1,SMALL(Dong,ROWS($1:35)),)="331",OFFSET(TH!M$1,SMALL(Dong,ROWS($1:35)),),0))</f>
        <v/>
      </c>
      <c r="H48" s="86" t="str">
        <f ca="1">IF(ROWS($1:35)&gt;COUNT(Dong),"",IF(OFFSET(TH!O$1,SMALL(Dong,ROWS($1:35)),)="331",OFFSET(TH!M$1,SMALL(Dong,ROWS($1:35)),),0))</f>
        <v/>
      </c>
      <c r="I48" s="25">
        <f t="shared" ca="1" si="4"/>
        <v>0</v>
      </c>
      <c r="J48" s="25">
        <f t="shared" ca="1" si="5"/>
        <v>0</v>
      </c>
    </row>
    <row r="49" spans="1:10" s="18" customFormat="1" ht="18.75" customHeight="1">
      <c r="A49" s="9" t="str">
        <f ca="1">IF(ROWS($1:36)&gt;COUNT(Dong),"",OFFSET(TH!C$1,SMALL(Dong,ROWS($1:36)),))</f>
        <v/>
      </c>
      <c r="B49" s="9" t="str">
        <f ca="1">IF(ROWS($1:36)&gt;COUNT(Dong),"",OFFSET(TH!D$1,SMALL(Dong,ROWS($1:36)),))</f>
        <v/>
      </c>
      <c r="C49" s="9" t="str">
        <f ca="1">IF(ROWS($1:36)&gt;COUNT(Dong),"",OFFSET(TH!E$1,SMALL(Dong,ROWS($1:36)),))</f>
        <v/>
      </c>
      <c r="D49" s="339" t="str">
        <f ca="1">IF(ROWS($1:36)&gt;COUNT(Dong),"",OFFSET(TH!F$1,SMALL(Dong,ROWS($1:36)),))</f>
        <v/>
      </c>
      <c r="E49" s="73" t="str">
        <f ca="1">IF(ROWS($1:36)&gt;COUNT(Dong),"",IF(OFFSET(TH!N$1,SMALL(Dong,ROWS($1:36)),)="331",OFFSET(TH!O$1,SMALL(Dong,ROWS($1:36)),),OFFSET(TH!N$1,SMALL(Dong,ROWS($1:36)),)))</f>
        <v/>
      </c>
      <c r="F49" s="73"/>
      <c r="G49" s="86" t="str">
        <f ca="1">IF(ROWS($1:36)&gt;COUNT(Dong),"",IF(OFFSET(TH!N$1,SMALL(Dong,ROWS($1:36)),)="331",OFFSET(TH!M$1,SMALL(Dong,ROWS($1:36)),),0))</f>
        <v/>
      </c>
      <c r="H49" s="86" t="str">
        <f ca="1">IF(ROWS($1:36)&gt;COUNT(Dong),"",IF(OFFSET(TH!O$1,SMALL(Dong,ROWS($1:36)),)="331",OFFSET(TH!M$1,SMALL(Dong,ROWS($1:36)),),0))</f>
        <v/>
      </c>
      <c r="I49" s="25">
        <f t="shared" ca="1" si="4"/>
        <v>0</v>
      </c>
      <c r="J49" s="25">
        <f t="shared" ca="1" si="5"/>
        <v>0</v>
      </c>
    </row>
    <row r="50" spans="1:10" s="18" customFormat="1" ht="18.75" customHeight="1">
      <c r="A50" s="9" t="str">
        <f ca="1">IF(ROWS($1:37)&gt;COUNT(Dong),"",OFFSET(TH!C$1,SMALL(Dong,ROWS($1:37)),))</f>
        <v/>
      </c>
      <c r="B50" s="9" t="str">
        <f ca="1">IF(ROWS($1:37)&gt;COUNT(Dong),"",OFFSET(TH!D$1,SMALL(Dong,ROWS($1:37)),))</f>
        <v/>
      </c>
      <c r="C50" s="9" t="str">
        <f ca="1">IF(ROWS($1:37)&gt;COUNT(Dong),"",OFFSET(TH!E$1,SMALL(Dong,ROWS($1:37)),))</f>
        <v/>
      </c>
      <c r="D50" s="339" t="str">
        <f ca="1">IF(ROWS($1:37)&gt;COUNT(Dong),"",OFFSET(TH!F$1,SMALL(Dong,ROWS($1:37)),))</f>
        <v/>
      </c>
      <c r="E50" s="73" t="str">
        <f ca="1">IF(ROWS($1:37)&gt;COUNT(Dong),"",IF(OFFSET(TH!N$1,SMALL(Dong,ROWS($1:37)),)="331",OFFSET(TH!O$1,SMALL(Dong,ROWS($1:37)),),OFFSET(TH!N$1,SMALL(Dong,ROWS($1:37)),)))</f>
        <v/>
      </c>
      <c r="F50" s="73"/>
      <c r="G50" s="86" t="str">
        <f ca="1">IF(ROWS($1:37)&gt;COUNT(Dong),"",IF(OFFSET(TH!N$1,SMALL(Dong,ROWS($1:37)),)="331",OFFSET(TH!M$1,SMALL(Dong,ROWS($1:37)),),0))</f>
        <v/>
      </c>
      <c r="H50" s="86" t="str">
        <f ca="1">IF(ROWS($1:37)&gt;COUNT(Dong),"",IF(OFFSET(TH!O$1,SMALL(Dong,ROWS($1:37)),)="331",OFFSET(TH!M$1,SMALL(Dong,ROWS($1:37)),),0))</f>
        <v/>
      </c>
      <c r="I50" s="25">
        <f t="shared" ca="1" si="4"/>
        <v>0</v>
      </c>
      <c r="J50" s="25">
        <f t="shared" ca="1" si="5"/>
        <v>0</v>
      </c>
    </row>
    <row r="51" spans="1:10" s="18" customFormat="1" ht="18.75" customHeight="1">
      <c r="A51" s="9" t="str">
        <f ca="1">IF(ROWS($1:38)&gt;COUNT(Dong),"",OFFSET(TH!C$1,SMALL(Dong,ROWS($1:38)),))</f>
        <v/>
      </c>
      <c r="B51" s="9" t="str">
        <f ca="1">IF(ROWS($1:38)&gt;COUNT(Dong),"",OFFSET(TH!D$1,SMALL(Dong,ROWS($1:38)),))</f>
        <v/>
      </c>
      <c r="C51" s="9" t="str">
        <f ca="1">IF(ROWS($1:38)&gt;COUNT(Dong),"",OFFSET(TH!E$1,SMALL(Dong,ROWS($1:38)),))</f>
        <v/>
      </c>
      <c r="D51" s="339" t="str">
        <f ca="1">IF(ROWS($1:38)&gt;COUNT(Dong),"",OFFSET(TH!F$1,SMALL(Dong,ROWS($1:38)),))</f>
        <v/>
      </c>
      <c r="E51" s="73" t="str">
        <f ca="1">IF(ROWS($1:38)&gt;COUNT(Dong),"",IF(OFFSET(TH!N$1,SMALL(Dong,ROWS($1:38)),)="331",OFFSET(TH!O$1,SMALL(Dong,ROWS($1:38)),),OFFSET(TH!N$1,SMALL(Dong,ROWS($1:38)),)))</f>
        <v/>
      </c>
      <c r="F51" s="73"/>
      <c r="G51" s="86" t="str">
        <f ca="1">IF(ROWS($1:38)&gt;COUNT(Dong),"",IF(OFFSET(TH!N$1,SMALL(Dong,ROWS($1:38)),)="331",OFFSET(TH!M$1,SMALL(Dong,ROWS($1:38)),),0))</f>
        <v/>
      </c>
      <c r="H51" s="86" t="str">
        <f ca="1">IF(ROWS($1:38)&gt;COUNT(Dong),"",IF(OFFSET(TH!O$1,SMALL(Dong,ROWS($1:38)),)="331",OFFSET(TH!M$1,SMALL(Dong,ROWS($1:38)),),0))</f>
        <v/>
      </c>
      <c r="I51" s="25">
        <f t="shared" ref="I51:I53" ca="1" si="6">IF(D51&lt;&gt;"",MAX(I50+G51-H51-J50,0),0)</f>
        <v>0</v>
      </c>
      <c r="J51" s="25">
        <f t="shared" ref="J51:J53" ca="1" si="7">IF(D51&lt;&gt;"",MAX(J50+H51-I50-G51,0),0)</f>
        <v>0</v>
      </c>
    </row>
    <row r="52" spans="1:10" s="18" customFormat="1" ht="18.75" customHeight="1">
      <c r="A52" s="9" t="str">
        <f ca="1">IF(ROWS($1:39)&gt;COUNT(Dong),"",OFFSET(TH!C$1,SMALL(Dong,ROWS($1:39)),))</f>
        <v/>
      </c>
      <c r="B52" s="9" t="str">
        <f ca="1">IF(ROWS($1:39)&gt;COUNT(Dong),"",OFFSET(TH!D$1,SMALL(Dong,ROWS($1:39)),))</f>
        <v/>
      </c>
      <c r="C52" s="9" t="str">
        <f ca="1">IF(ROWS($1:39)&gt;COUNT(Dong),"",OFFSET(TH!E$1,SMALL(Dong,ROWS($1:39)),))</f>
        <v/>
      </c>
      <c r="D52" s="339" t="str">
        <f ca="1">IF(ROWS($1:39)&gt;COUNT(Dong),"",OFFSET(TH!F$1,SMALL(Dong,ROWS($1:39)),))</f>
        <v/>
      </c>
      <c r="E52" s="73" t="str">
        <f ca="1">IF(ROWS($1:39)&gt;COUNT(Dong),"",IF(OFFSET(TH!N$1,SMALL(Dong,ROWS($1:39)),)="331",OFFSET(TH!O$1,SMALL(Dong,ROWS($1:39)),),OFFSET(TH!N$1,SMALL(Dong,ROWS($1:39)),)))</f>
        <v/>
      </c>
      <c r="F52" s="73"/>
      <c r="G52" s="86" t="str">
        <f ca="1">IF(ROWS($1:39)&gt;COUNT(Dong),"",IF(OFFSET(TH!N$1,SMALL(Dong,ROWS($1:39)),)="331",OFFSET(TH!M$1,SMALL(Dong,ROWS($1:39)),),0))</f>
        <v/>
      </c>
      <c r="H52" s="86" t="str">
        <f ca="1">IF(ROWS($1:39)&gt;COUNT(Dong),"",IF(OFFSET(TH!O$1,SMALL(Dong,ROWS($1:39)),)="331",OFFSET(TH!M$1,SMALL(Dong,ROWS($1:39)),),0))</f>
        <v/>
      </c>
      <c r="I52" s="25">
        <f t="shared" ca="1" si="6"/>
        <v>0</v>
      </c>
      <c r="J52" s="25">
        <f t="shared" ca="1" si="7"/>
        <v>0</v>
      </c>
    </row>
    <row r="53" spans="1:10" s="18" customFormat="1" ht="18.75" customHeight="1">
      <c r="A53" s="9" t="str">
        <f ca="1">IF(ROWS($1:40)&gt;COUNT(Dong),"",OFFSET(TH!C$1,SMALL(Dong,ROWS($1:40)),))</f>
        <v/>
      </c>
      <c r="B53" s="9" t="str">
        <f ca="1">IF(ROWS($1:40)&gt;COUNT(Dong),"",OFFSET(TH!D$1,SMALL(Dong,ROWS($1:40)),))</f>
        <v/>
      </c>
      <c r="C53" s="9" t="str">
        <f ca="1">IF(ROWS($1:40)&gt;COUNT(Dong),"",OFFSET(TH!E$1,SMALL(Dong,ROWS($1:40)),))</f>
        <v/>
      </c>
      <c r="D53" s="339" t="str">
        <f ca="1">IF(ROWS($1:40)&gt;COUNT(Dong),"",OFFSET(TH!F$1,SMALL(Dong,ROWS($1:40)),))</f>
        <v/>
      </c>
      <c r="E53" s="73" t="str">
        <f ca="1">IF(ROWS($1:40)&gt;COUNT(Dong),"",IF(OFFSET(TH!N$1,SMALL(Dong,ROWS($1:40)),)="331",OFFSET(TH!O$1,SMALL(Dong,ROWS($1:40)),),OFFSET(TH!N$1,SMALL(Dong,ROWS($1:40)),)))</f>
        <v/>
      </c>
      <c r="F53" s="73"/>
      <c r="G53" s="86" t="str">
        <f ca="1">IF(ROWS($1:40)&gt;COUNT(Dong),"",IF(OFFSET(TH!N$1,SMALL(Dong,ROWS($1:40)),)="331",OFFSET(TH!M$1,SMALL(Dong,ROWS($1:40)),),0))</f>
        <v/>
      </c>
      <c r="H53" s="86" t="str">
        <f ca="1">IF(ROWS($1:40)&gt;COUNT(Dong),"",IF(OFFSET(TH!O$1,SMALL(Dong,ROWS($1:40)),)="331",OFFSET(TH!M$1,SMALL(Dong,ROWS($1:40)),),0))</f>
        <v/>
      </c>
      <c r="I53" s="25">
        <f t="shared" ca="1" si="6"/>
        <v>0</v>
      </c>
      <c r="J53" s="25">
        <f t="shared" ca="1" si="7"/>
        <v>0</v>
      </c>
    </row>
    <row r="54" spans="1:10" s="18" customFormat="1" ht="18.75" customHeight="1">
      <c r="A54" s="9" t="str">
        <f ca="1">IF(ROWS($1:41)&gt;COUNT(Dong),"",OFFSET(TH!C$1,SMALL(Dong,ROWS($1:41)),))</f>
        <v/>
      </c>
      <c r="B54" s="9" t="str">
        <f ca="1">IF(ROWS($1:41)&gt;COUNT(Dong),"",OFFSET(TH!D$1,SMALL(Dong,ROWS($1:41)),))</f>
        <v/>
      </c>
      <c r="C54" s="9" t="str">
        <f ca="1">IF(ROWS($1:41)&gt;COUNT(Dong),"",OFFSET(TH!E$1,SMALL(Dong,ROWS($1:41)),))</f>
        <v/>
      </c>
      <c r="D54" s="339" t="str">
        <f ca="1">IF(ROWS($1:41)&gt;COUNT(Dong),"",OFFSET(TH!F$1,SMALL(Dong,ROWS($1:41)),))</f>
        <v/>
      </c>
      <c r="E54" s="73" t="str">
        <f ca="1">IF(ROWS($1:41)&gt;COUNT(Dong),"",IF(OFFSET(TH!N$1,SMALL(Dong,ROWS($1:41)),)="331",OFFSET(TH!O$1,SMALL(Dong,ROWS($1:41)),),OFFSET(TH!N$1,SMALL(Dong,ROWS($1:41)),)))</f>
        <v/>
      </c>
      <c r="F54" s="73"/>
      <c r="G54" s="86" t="str">
        <f ca="1">IF(ROWS($1:41)&gt;COUNT(Dong),"",IF(OFFSET(TH!N$1,SMALL(Dong,ROWS($1:41)),)="331",OFFSET(TH!M$1,SMALL(Dong,ROWS($1:41)),),0))</f>
        <v/>
      </c>
      <c r="H54" s="86" t="str">
        <f ca="1">IF(ROWS($1:41)&gt;COUNT(Dong),"",IF(OFFSET(TH!O$1,SMALL(Dong,ROWS($1:41)),)="331",OFFSET(TH!M$1,SMALL(Dong,ROWS($1:41)),),0))</f>
        <v/>
      </c>
      <c r="I54" s="25">
        <f t="shared" ref="I54:I59" ca="1" si="8">IF(D54&lt;&gt;"",MAX(I53+G54-H54-J53,0),0)</f>
        <v>0</v>
      </c>
      <c r="J54" s="25">
        <f t="shared" ref="J54:J59" ca="1" si="9">IF(D54&lt;&gt;"",MAX(J53+H54-I53-G54,0),0)</f>
        <v>0</v>
      </c>
    </row>
    <row r="55" spans="1:10" s="18" customFormat="1" ht="18.75" customHeight="1">
      <c r="A55" s="9" t="str">
        <f ca="1">IF(ROWS($1:42)&gt;COUNT(Dong),"",OFFSET(TH!C$1,SMALL(Dong,ROWS($1:42)),))</f>
        <v/>
      </c>
      <c r="B55" s="9" t="str">
        <f ca="1">IF(ROWS($1:42)&gt;COUNT(Dong),"",OFFSET(TH!D$1,SMALL(Dong,ROWS($1:42)),))</f>
        <v/>
      </c>
      <c r="C55" s="9" t="str">
        <f ca="1">IF(ROWS($1:42)&gt;COUNT(Dong),"",OFFSET(TH!E$1,SMALL(Dong,ROWS($1:42)),))</f>
        <v/>
      </c>
      <c r="D55" s="339" t="str">
        <f ca="1">IF(ROWS($1:42)&gt;COUNT(Dong),"",OFFSET(TH!F$1,SMALL(Dong,ROWS($1:42)),))</f>
        <v/>
      </c>
      <c r="E55" s="73" t="str">
        <f ca="1">IF(ROWS($1:42)&gt;COUNT(Dong),"",IF(OFFSET(TH!N$1,SMALL(Dong,ROWS($1:42)),)="331",OFFSET(TH!O$1,SMALL(Dong,ROWS($1:42)),),OFFSET(TH!N$1,SMALL(Dong,ROWS($1:42)),)))</f>
        <v/>
      </c>
      <c r="F55" s="73"/>
      <c r="G55" s="86" t="str">
        <f ca="1">IF(ROWS($1:42)&gt;COUNT(Dong),"",IF(OFFSET(TH!N$1,SMALL(Dong,ROWS($1:42)),)="331",OFFSET(TH!M$1,SMALL(Dong,ROWS($1:42)),),0))</f>
        <v/>
      </c>
      <c r="H55" s="86" t="str">
        <f ca="1">IF(ROWS($1:42)&gt;COUNT(Dong),"",IF(OFFSET(TH!O$1,SMALL(Dong,ROWS($1:42)),)="331",OFFSET(TH!M$1,SMALL(Dong,ROWS($1:42)),),0))</f>
        <v/>
      </c>
      <c r="I55" s="25">
        <f t="shared" ca="1" si="8"/>
        <v>0</v>
      </c>
      <c r="J55" s="25">
        <f t="shared" ca="1" si="9"/>
        <v>0</v>
      </c>
    </row>
    <row r="56" spans="1:10" s="18" customFormat="1" ht="18.75" customHeight="1">
      <c r="A56" s="9" t="str">
        <f ca="1">IF(ROWS($1:43)&gt;COUNT(Dong),"",OFFSET(TH!C$1,SMALL(Dong,ROWS($1:43)),))</f>
        <v/>
      </c>
      <c r="B56" s="9" t="str">
        <f ca="1">IF(ROWS($1:43)&gt;COUNT(Dong),"",OFFSET(TH!D$1,SMALL(Dong,ROWS($1:43)),))</f>
        <v/>
      </c>
      <c r="C56" s="9" t="str">
        <f ca="1">IF(ROWS($1:43)&gt;COUNT(Dong),"",OFFSET(TH!E$1,SMALL(Dong,ROWS($1:43)),))</f>
        <v/>
      </c>
      <c r="D56" s="339" t="str">
        <f ca="1">IF(ROWS($1:43)&gt;COUNT(Dong),"",OFFSET(TH!F$1,SMALL(Dong,ROWS($1:43)),))</f>
        <v/>
      </c>
      <c r="E56" s="73" t="str">
        <f ca="1">IF(ROWS($1:43)&gt;COUNT(Dong),"",IF(OFFSET(TH!N$1,SMALL(Dong,ROWS($1:43)),)="331",OFFSET(TH!O$1,SMALL(Dong,ROWS($1:43)),),OFFSET(TH!N$1,SMALL(Dong,ROWS($1:43)),)))</f>
        <v/>
      </c>
      <c r="F56" s="73"/>
      <c r="G56" s="86" t="str">
        <f ca="1">IF(ROWS($1:43)&gt;COUNT(Dong),"",IF(OFFSET(TH!N$1,SMALL(Dong,ROWS($1:43)),)="331",OFFSET(TH!M$1,SMALL(Dong,ROWS($1:43)),),0))</f>
        <v/>
      </c>
      <c r="H56" s="86" t="str">
        <f ca="1">IF(ROWS($1:43)&gt;COUNT(Dong),"",IF(OFFSET(TH!O$1,SMALL(Dong,ROWS($1:43)),)="331",OFFSET(TH!M$1,SMALL(Dong,ROWS($1:43)),),0))</f>
        <v/>
      </c>
      <c r="I56" s="25">
        <f t="shared" ca="1" si="8"/>
        <v>0</v>
      </c>
      <c r="J56" s="25">
        <f t="shared" ca="1" si="9"/>
        <v>0</v>
      </c>
    </row>
    <row r="57" spans="1:10" s="18" customFormat="1" ht="18.75" customHeight="1">
      <c r="A57" s="9" t="str">
        <f ca="1">IF(ROWS($1:44)&gt;COUNT(Dong),"",OFFSET(TH!C$1,SMALL(Dong,ROWS($1:44)),))</f>
        <v/>
      </c>
      <c r="B57" s="9" t="str">
        <f ca="1">IF(ROWS($1:44)&gt;COUNT(Dong),"",OFFSET(TH!D$1,SMALL(Dong,ROWS($1:44)),))</f>
        <v/>
      </c>
      <c r="C57" s="9" t="str">
        <f ca="1">IF(ROWS($1:44)&gt;COUNT(Dong),"",OFFSET(TH!E$1,SMALL(Dong,ROWS($1:44)),))</f>
        <v/>
      </c>
      <c r="D57" s="339" t="str">
        <f ca="1">IF(ROWS($1:44)&gt;COUNT(Dong),"",OFFSET(TH!F$1,SMALL(Dong,ROWS($1:44)),))</f>
        <v/>
      </c>
      <c r="E57" s="73" t="str">
        <f ca="1">IF(ROWS($1:44)&gt;COUNT(Dong),"",IF(OFFSET(TH!N$1,SMALL(Dong,ROWS($1:44)),)="331",OFFSET(TH!O$1,SMALL(Dong,ROWS($1:44)),),OFFSET(TH!N$1,SMALL(Dong,ROWS($1:44)),)))</f>
        <v/>
      </c>
      <c r="F57" s="73"/>
      <c r="G57" s="86" t="str">
        <f ca="1">IF(ROWS($1:44)&gt;COUNT(Dong),"",IF(OFFSET(TH!N$1,SMALL(Dong,ROWS($1:44)),)="331",OFFSET(TH!M$1,SMALL(Dong,ROWS($1:44)),),0))</f>
        <v/>
      </c>
      <c r="H57" s="86" t="str">
        <f ca="1">IF(ROWS($1:44)&gt;COUNT(Dong),"",IF(OFFSET(TH!O$1,SMALL(Dong,ROWS($1:44)),)="331",OFFSET(TH!M$1,SMALL(Dong,ROWS($1:44)),),0))</f>
        <v/>
      </c>
      <c r="I57" s="25">
        <f t="shared" ca="1" si="8"/>
        <v>0</v>
      </c>
      <c r="J57" s="25">
        <f t="shared" ca="1" si="9"/>
        <v>0</v>
      </c>
    </row>
    <row r="58" spans="1:10" s="18" customFormat="1" ht="18.75" customHeight="1">
      <c r="A58" s="9" t="str">
        <f ca="1">IF(ROWS($1:45)&gt;COUNT(Dong),"",OFFSET(TH!C$1,SMALL(Dong,ROWS($1:45)),))</f>
        <v/>
      </c>
      <c r="B58" s="9" t="str">
        <f ca="1">IF(ROWS($1:45)&gt;COUNT(Dong),"",OFFSET(TH!D$1,SMALL(Dong,ROWS($1:45)),))</f>
        <v/>
      </c>
      <c r="C58" s="9" t="str">
        <f ca="1">IF(ROWS($1:45)&gt;COUNT(Dong),"",OFFSET(TH!E$1,SMALL(Dong,ROWS($1:45)),))</f>
        <v/>
      </c>
      <c r="D58" s="339" t="str">
        <f ca="1">IF(ROWS($1:45)&gt;COUNT(Dong),"",OFFSET(TH!F$1,SMALL(Dong,ROWS($1:45)),))</f>
        <v/>
      </c>
      <c r="E58" s="73" t="str">
        <f ca="1">IF(ROWS($1:45)&gt;COUNT(Dong),"",IF(OFFSET(TH!N$1,SMALL(Dong,ROWS($1:45)),)="331",OFFSET(TH!O$1,SMALL(Dong,ROWS($1:45)),),OFFSET(TH!N$1,SMALL(Dong,ROWS($1:45)),)))</f>
        <v/>
      </c>
      <c r="F58" s="73"/>
      <c r="G58" s="86" t="str">
        <f ca="1">IF(ROWS($1:45)&gt;COUNT(Dong),"",IF(OFFSET(TH!N$1,SMALL(Dong,ROWS($1:45)),)="331",OFFSET(TH!M$1,SMALL(Dong,ROWS($1:45)),),0))</f>
        <v/>
      </c>
      <c r="H58" s="86" t="str">
        <f ca="1">IF(ROWS($1:45)&gt;COUNT(Dong),"",IF(OFFSET(TH!O$1,SMALL(Dong,ROWS($1:45)),)="331",OFFSET(TH!M$1,SMALL(Dong,ROWS($1:45)),),0))</f>
        <v/>
      </c>
      <c r="I58" s="25">
        <f t="shared" ca="1" si="8"/>
        <v>0</v>
      </c>
      <c r="J58" s="25">
        <f t="shared" ca="1" si="9"/>
        <v>0</v>
      </c>
    </row>
    <row r="59" spans="1:10" s="18" customFormat="1" ht="18.75" customHeight="1">
      <c r="A59" s="9" t="str">
        <f ca="1">IF(ROWS($1:46)&gt;COUNT(Dong),"",OFFSET(TH!C$1,SMALL(Dong,ROWS($1:46)),))</f>
        <v/>
      </c>
      <c r="B59" s="9" t="str">
        <f ca="1">IF(ROWS($1:46)&gt;COUNT(Dong),"",OFFSET(TH!D$1,SMALL(Dong,ROWS($1:46)),))</f>
        <v/>
      </c>
      <c r="C59" s="9" t="str">
        <f ca="1">IF(ROWS($1:46)&gt;COUNT(Dong),"",OFFSET(TH!E$1,SMALL(Dong,ROWS($1:46)),))</f>
        <v/>
      </c>
      <c r="D59" s="339" t="str">
        <f ca="1">IF(ROWS($1:46)&gt;COUNT(Dong),"",OFFSET(TH!F$1,SMALL(Dong,ROWS($1:46)),))</f>
        <v/>
      </c>
      <c r="E59" s="73" t="str">
        <f ca="1">IF(ROWS($1:46)&gt;COUNT(Dong),"",IF(OFFSET(TH!N$1,SMALL(Dong,ROWS($1:46)),)="331",OFFSET(TH!O$1,SMALL(Dong,ROWS($1:46)),),OFFSET(TH!N$1,SMALL(Dong,ROWS($1:46)),)))</f>
        <v/>
      </c>
      <c r="F59" s="73"/>
      <c r="G59" s="86" t="str">
        <f ca="1">IF(ROWS($1:46)&gt;COUNT(Dong),"",IF(OFFSET(TH!N$1,SMALL(Dong,ROWS($1:46)),)="331",OFFSET(TH!M$1,SMALL(Dong,ROWS($1:46)),),0))</f>
        <v/>
      </c>
      <c r="H59" s="86" t="str">
        <f ca="1">IF(ROWS($1:46)&gt;COUNT(Dong),"",IF(OFFSET(TH!O$1,SMALL(Dong,ROWS($1:46)),)="331",OFFSET(TH!M$1,SMALL(Dong,ROWS($1:46)),),0))</f>
        <v/>
      </c>
      <c r="I59" s="25">
        <f t="shared" ca="1" si="8"/>
        <v>0</v>
      </c>
      <c r="J59" s="25">
        <f t="shared" ca="1" si="9"/>
        <v>0</v>
      </c>
    </row>
    <row r="60" spans="1:10" s="18" customFormat="1" ht="18.75" customHeight="1">
      <c r="A60" s="9" t="str">
        <f ca="1">IF(ROWS($1:47)&gt;COUNT(Dong),"",OFFSET(TH!C$1,SMALL(Dong,ROWS($1:47)),))</f>
        <v/>
      </c>
      <c r="B60" s="9" t="str">
        <f ca="1">IF(ROWS($1:47)&gt;COUNT(Dong),"",OFFSET(TH!D$1,SMALL(Dong,ROWS($1:47)),))</f>
        <v/>
      </c>
      <c r="C60" s="9" t="str">
        <f ca="1">IF(ROWS($1:47)&gt;COUNT(Dong),"",OFFSET(TH!E$1,SMALL(Dong,ROWS($1:47)),))</f>
        <v/>
      </c>
      <c r="D60" s="339" t="str">
        <f ca="1">IF(ROWS($1:47)&gt;COUNT(Dong),"",OFFSET(TH!F$1,SMALL(Dong,ROWS($1:47)),))</f>
        <v/>
      </c>
      <c r="E60" s="73" t="str">
        <f ca="1">IF(ROWS($1:47)&gt;COUNT(Dong),"",IF(OFFSET(TH!N$1,SMALL(Dong,ROWS($1:47)),)="331",OFFSET(TH!O$1,SMALL(Dong,ROWS($1:47)),),OFFSET(TH!N$1,SMALL(Dong,ROWS($1:47)),)))</f>
        <v/>
      </c>
      <c r="F60" s="73"/>
      <c r="G60" s="86" t="str">
        <f ca="1">IF(ROWS($1:47)&gt;COUNT(Dong),"",IF(OFFSET(TH!N$1,SMALL(Dong,ROWS($1:47)),)="331",OFFSET(TH!M$1,SMALL(Dong,ROWS($1:47)),),0))</f>
        <v/>
      </c>
      <c r="H60" s="86" t="str">
        <f ca="1">IF(ROWS($1:47)&gt;COUNT(Dong),"",IF(OFFSET(TH!O$1,SMALL(Dong,ROWS($1:47)),)="331",OFFSET(TH!M$1,SMALL(Dong,ROWS($1:47)),),0))</f>
        <v/>
      </c>
      <c r="I60" s="25">
        <f t="shared" ref="I60:I64" ca="1" si="10">IF(D60&lt;&gt;"",MAX(I59+G60-H60-J59,0),0)</f>
        <v>0</v>
      </c>
      <c r="J60" s="25">
        <f t="shared" ref="J60:J64" ca="1" si="11">IF(D60&lt;&gt;"",MAX(J59+H60-I59-G60,0),0)</f>
        <v>0</v>
      </c>
    </row>
    <row r="61" spans="1:10" s="18" customFormat="1" ht="18.75" customHeight="1">
      <c r="A61" s="9" t="str">
        <f ca="1">IF(ROWS($1:48)&gt;COUNT(Dong),"",OFFSET(TH!C$1,SMALL(Dong,ROWS($1:48)),))</f>
        <v/>
      </c>
      <c r="B61" s="9" t="str">
        <f ca="1">IF(ROWS($1:48)&gt;COUNT(Dong),"",OFFSET(TH!D$1,SMALL(Dong,ROWS($1:48)),))</f>
        <v/>
      </c>
      <c r="C61" s="9" t="str">
        <f ca="1">IF(ROWS($1:48)&gt;COUNT(Dong),"",OFFSET(TH!E$1,SMALL(Dong,ROWS($1:48)),))</f>
        <v/>
      </c>
      <c r="D61" s="339" t="str">
        <f ca="1">IF(ROWS($1:48)&gt;COUNT(Dong),"",OFFSET(TH!F$1,SMALL(Dong,ROWS($1:48)),))</f>
        <v/>
      </c>
      <c r="E61" s="73" t="str">
        <f ca="1">IF(ROWS($1:48)&gt;COUNT(Dong),"",IF(OFFSET(TH!N$1,SMALL(Dong,ROWS($1:48)),)="331",OFFSET(TH!O$1,SMALL(Dong,ROWS($1:48)),),OFFSET(TH!N$1,SMALL(Dong,ROWS($1:48)),)))</f>
        <v/>
      </c>
      <c r="F61" s="73"/>
      <c r="G61" s="86" t="str">
        <f ca="1">IF(ROWS($1:48)&gt;COUNT(Dong),"",IF(OFFSET(TH!N$1,SMALL(Dong,ROWS($1:48)),)="331",OFFSET(TH!M$1,SMALL(Dong,ROWS($1:48)),),0))</f>
        <v/>
      </c>
      <c r="H61" s="86" t="str">
        <f ca="1">IF(ROWS($1:48)&gt;COUNT(Dong),"",IF(OFFSET(TH!O$1,SMALL(Dong,ROWS($1:48)),)="331",OFFSET(TH!M$1,SMALL(Dong,ROWS($1:48)),),0))</f>
        <v/>
      </c>
      <c r="I61" s="25">
        <f t="shared" ca="1" si="10"/>
        <v>0</v>
      </c>
      <c r="J61" s="25">
        <f t="shared" ca="1" si="11"/>
        <v>0</v>
      </c>
    </row>
    <row r="62" spans="1:10" s="18" customFormat="1" ht="18.75" customHeight="1">
      <c r="A62" s="9" t="str">
        <f ca="1">IF(ROWS($1:49)&gt;COUNT(Dong),"",OFFSET(TH!C$1,SMALL(Dong,ROWS($1:49)),))</f>
        <v/>
      </c>
      <c r="B62" s="9" t="str">
        <f ca="1">IF(ROWS($1:49)&gt;COUNT(Dong),"",OFFSET(TH!D$1,SMALL(Dong,ROWS($1:49)),))</f>
        <v/>
      </c>
      <c r="C62" s="9" t="str">
        <f ca="1">IF(ROWS($1:49)&gt;COUNT(Dong),"",OFFSET(TH!E$1,SMALL(Dong,ROWS($1:49)),))</f>
        <v/>
      </c>
      <c r="D62" s="339" t="str">
        <f ca="1">IF(ROWS($1:49)&gt;COUNT(Dong),"",OFFSET(TH!F$1,SMALL(Dong,ROWS($1:49)),))</f>
        <v/>
      </c>
      <c r="E62" s="73" t="str">
        <f ca="1">IF(ROWS($1:49)&gt;COUNT(Dong),"",IF(OFFSET(TH!N$1,SMALL(Dong,ROWS($1:49)),)="331",OFFSET(TH!O$1,SMALL(Dong,ROWS($1:49)),),OFFSET(TH!N$1,SMALL(Dong,ROWS($1:49)),)))</f>
        <v/>
      </c>
      <c r="F62" s="73"/>
      <c r="G62" s="86" t="str">
        <f ca="1">IF(ROWS($1:49)&gt;COUNT(Dong),"",IF(OFFSET(TH!N$1,SMALL(Dong,ROWS($1:49)),)="331",OFFSET(TH!M$1,SMALL(Dong,ROWS($1:49)),),0))</f>
        <v/>
      </c>
      <c r="H62" s="86" t="str">
        <f ca="1">IF(ROWS($1:49)&gt;COUNT(Dong),"",IF(OFFSET(TH!O$1,SMALL(Dong,ROWS($1:49)),)="331",OFFSET(TH!M$1,SMALL(Dong,ROWS($1:49)),),0))</f>
        <v/>
      </c>
      <c r="I62" s="25">
        <f t="shared" ca="1" si="10"/>
        <v>0</v>
      </c>
      <c r="J62" s="25">
        <f t="shared" ca="1" si="11"/>
        <v>0</v>
      </c>
    </row>
    <row r="63" spans="1:10" s="18" customFormat="1" ht="18.75" customHeight="1">
      <c r="A63" s="9" t="str">
        <f ca="1">IF(ROWS($1:50)&gt;COUNT(Dong),"",OFFSET(TH!C$1,SMALL(Dong,ROWS($1:50)),))</f>
        <v/>
      </c>
      <c r="B63" s="9" t="str">
        <f ca="1">IF(ROWS($1:50)&gt;COUNT(Dong),"",OFFSET(TH!D$1,SMALL(Dong,ROWS($1:50)),))</f>
        <v/>
      </c>
      <c r="C63" s="9" t="str">
        <f ca="1">IF(ROWS($1:50)&gt;COUNT(Dong),"",OFFSET(TH!E$1,SMALL(Dong,ROWS($1:50)),))</f>
        <v/>
      </c>
      <c r="D63" s="339" t="str">
        <f ca="1">IF(ROWS($1:50)&gt;COUNT(Dong),"",OFFSET(TH!F$1,SMALL(Dong,ROWS($1:50)),))</f>
        <v/>
      </c>
      <c r="E63" s="73" t="str">
        <f ca="1">IF(ROWS($1:50)&gt;COUNT(Dong),"",IF(OFFSET(TH!N$1,SMALL(Dong,ROWS($1:50)),)="331",OFFSET(TH!O$1,SMALL(Dong,ROWS($1:50)),),OFFSET(TH!N$1,SMALL(Dong,ROWS($1:50)),)))</f>
        <v/>
      </c>
      <c r="F63" s="73"/>
      <c r="G63" s="86" t="str">
        <f ca="1">IF(ROWS($1:50)&gt;COUNT(Dong),"",IF(OFFSET(TH!N$1,SMALL(Dong,ROWS($1:50)),)="331",OFFSET(TH!M$1,SMALL(Dong,ROWS($1:50)),),0))</f>
        <v/>
      </c>
      <c r="H63" s="86" t="str">
        <f ca="1">IF(ROWS($1:50)&gt;COUNT(Dong),"",IF(OFFSET(TH!O$1,SMALL(Dong,ROWS($1:50)),)="331",OFFSET(TH!M$1,SMALL(Dong,ROWS($1:50)),),0))</f>
        <v/>
      </c>
      <c r="I63" s="25">
        <f t="shared" ca="1" si="10"/>
        <v>0</v>
      </c>
      <c r="J63" s="25">
        <f t="shared" ca="1" si="11"/>
        <v>0</v>
      </c>
    </row>
    <row r="64" spans="1:10" s="18" customFormat="1" ht="18.75" customHeight="1">
      <c r="A64" s="9" t="str">
        <f ca="1">IF(ROWS($1:51)&gt;COUNT(Dong),"",OFFSET(TH!C$1,SMALL(Dong,ROWS($1:51)),))</f>
        <v/>
      </c>
      <c r="B64" s="9" t="str">
        <f ca="1">IF(ROWS($1:51)&gt;COUNT(Dong),"",OFFSET(TH!D$1,SMALL(Dong,ROWS($1:51)),))</f>
        <v/>
      </c>
      <c r="C64" s="9" t="str">
        <f ca="1">IF(ROWS($1:51)&gt;COUNT(Dong),"",OFFSET(TH!E$1,SMALL(Dong,ROWS($1:51)),))</f>
        <v/>
      </c>
      <c r="D64" s="339" t="str">
        <f ca="1">IF(ROWS($1:51)&gt;COUNT(Dong),"",OFFSET(TH!F$1,SMALL(Dong,ROWS($1:51)),))</f>
        <v/>
      </c>
      <c r="E64" s="73" t="str">
        <f ca="1">IF(ROWS($1:51)&gt;COUNT(Dong),"",IF(OFFSET(TH!N$1,SMALL(Dong,ROWS($1:51)),)="331",OFFSET(TH!O$1,SMALL(Dong,ROWS($1:51)),),OFFSET(TH!N$1,SMALL(Dong,ROWS($1:51)),)))</f>
        <v/>
      </c>
      <c r="F64" s="73"/>
      <c r="G64" s="86" t="str">
        <f ca="1">IF(ROWS($1:51)&gt;COUNT(Dong),"",IF(OFFSET(TH!N$1,SMALL(Dong,ROWS($1:51)),)="331",OFFSET(TH!M$1,SMALL(Dong,ROWS($1:51)),),0))</f>
        <v/>
      </c>
      <c r="H64" s="86" t="str">
        <f ca="1">IF(ROWS($1:51)&gt;COUNT(Dong),"",IF(OFFSET(TH!O$1,SMALL(Dong,ROWS($1:51)),)="331",OFFSET(TH!M$1,SMALL(Dong,ROWS($1:51)),),0))</f>
        <v/>
      </c>
      <c r="I64" s="25">
        <f t="shared" ca="1" si="10"/>
        <v>0</v>
      </c>
      <c r="J64" s="25">
        <f t="shared" ca="1" si="11"/>
        <v>0</v>
      </c>
    </row>
    <row r="65" spans="1:10" s="18" customFormat="1" ht="18.75" customHeight="1">
      <c r="A65" s="9" t="str">
        <f ca="1">IF(ROWS($1:52)&gt;COUNT(Dong),"",OFFSET(TH!C$1,SMALL(Dong,ROWS($1:52)),))</f>
        <v/>
      </c>
      <c r="B65" s="9" t="str">
        <f ca="1">IF(ROWS($1:52)&gt;COUNT(Dong),"",OFFSET(TH!D$1,SMALL(Dong,ROWS($1:52)),))</f>
        <v/>
      </c>
      <c r="C65" s="9" t="str">
        <f ca="1">IF(ROWS($1:52)&gt;COUNT(Dong),"",OFFSET(TH!E$1,SMALL(Dong,ROWS($1:52)),))</f>
        <v/>
      </c>
      <c r="D65" s="339" t="str">
        <f ca="1">IF(ROWS($1:52)&gt;COUNT(Dong),"",OFFSET(TH!F$1,SMALL(Dong,ROWS($1:52)),))</f>
        <v/>
      </c>
      <c r="E65" s="73" t="str">
        <f ca="1">IF(ROWS($1:52)&gt;COUNT(Dong),"",IF(OFFSET(TH!N$1,SMALL(Dong,ROWS($1:52)),)="331",OFFSET(TH!O$1,SMALL(Dong,ROWS($1:52)),),OFFSET(TH!N$1,SMALL(Dong,ROWS($1:52)),)))</f>
        <v/>
      </c>
      <c r="F65" s="73"/>
      <c r="G65" s="86" t="str">
        <f ca="1">IF(ROWS($1:52)&gt;COUNT(Dong),"",IF(OFFSET(TH!N$1,SMALL(Dong,ROWS($1:52)),)="331",OFFSET(TH!M$1,SMALL(Dong,ROWS($1:52)),),0))</f>
        <v/>
      </c>
      <c r="H65" s="86" t="str">
        <f ca="1">IF(ROWS($1:52)&gt;COUNT(Dong),"",IF(OFFSET(TH!O$1,SMALL(Dong,ROWS($1:52)),)="331",OFFSET(TH!M$1,SMALL(Dong,ROWS($1:52)),),0))</f>
        <v/>
      </c>
      <c r="I65" s="25">
        <f t="shared" ref="I65:I71" ca="1" si="12">IF(D65&lt;&gt;"",MAX(I64+G65-H65-J64,0),0)</f>
        <v>0</v>
      </c>
      <c r="J65" s="25">
        <f t="shared" ref="J65:J71" ca="1" si="13">IF(D65&lt;&gt;"",MAX(J64+H65-I64-G65,0),0)</f>
        <v>0</v>
      </c>
    </row>
    <row r="66" spans="1:10" s="18" customFormat="1" ht="18.75" customHeight="1">
      <c r="A66" s="9" t="str">
        <f ca="1">IF(ROWS($1:53)&gt;COUNT(Dong),"",OFFSET(TH!C$1,SMALL(Dong,ROWS($1:53)),))</f>
        <v/>
      </c>
      <c r="B66" s="9" t="str">
        <f ca="1">IF(ROWS($1:53)&gt;COUNT(Dong),"",OFFSET(TH!D$1,SMALL(Dong,ROWS($1:53)),))</f>
        <v/>
      </c>
      <c r="C66" s="9" t="str">
        <f ca="1">IF(ROWS($1:53)&gt;COUNT(Dong),"",OFFSET(TH!E$1,SMALL(Dong,ROWS($1:53)),))</f>
        <v/>
      </c>
      <c r="D66" s="339" t="str">
        <f ca="1">IF(ROWS($1:53)&gt;COUNT(Dong),"",OFFSET(TH!F$1,SMALL(Dong,ROWS($1:53)),))</f>
        <v/>
      </c>
      <c r="E66" s="73" t="str">
        <f ca="1">IF(ROWS($1:53)&gt;COUNT(Dong),"",IF(OFFSET(TH!N$1,SMALL(Dong,ROWS($1:53)),)="331",OFFSET(TH!O$1,SMALL(Dong,ROWS($1:53)),),OFFSET(TH!N$1,SMALL(Dong,ROWS($1:53)),)))</f>
        <v/>
      </c>
      <c r="F66" s="73"/>
      <c r="G66" s="86" t="str">
        <f ca="1">IF(ROWS($1:53)&gt;COUNT(Dong),"",IF(OFFSET(TH!N$1,SMALL(Dong,ROWS($1:53)),)="331",OFFSET(TH!M$1,SMALL(Dong,ROWS($1:53)),),0))</f>
        <v/>
      </c>
      <c r="H66" s="86" t="str">
        <f ca="1">IF(ROWS($1:53)&gt;COUNT(Dong),"",IF(OFFSET(TH!O$1,SMALL(Dong,ROWS($1:53)),)="331",OFFSET(TH!M$1,SMALL(Dong,ROWS($1:53)),),0))</f>
        <v/>
      </c>
      <c r="I66" s="25">
        <f t="shared" ca="1" si="12"/>
        <v>0</v>
      </c>
      <c r="J66" s="25">
        <f t="shared" ca="1" si="13"/>
        <v>0</v>
      </c>
    </row>
    <row r="67" spans="1:10" s="18" customFormat="1" ht="18.75" customHeight="1">
      <c r="A67" s="9" t="str">
        <f ca="1">IF(ROWS($1:54)&gt;COUNT(Dong),"",OFFSET(TH!C$1,SMALL(Dong,ROWS($1:54)),))</f>
        <v/>
      </c>
      <c r="B67" s="9" t="str">
        <f ca="1">IF(ROWS($1:54)&gt;COUNT(Dong),"",OFFSET(TH!D$1,SMALL(Dong,ROWS($1:54)),))</f>
        <v/>
      </c>
      <c r="C67" s="9" t="str">
        <f ca="1">IF(ROWS($1:54)&gt;COUNT(Dong),"",OFFSET(TH!E$1,SMALL(Dong,ROWS($1:54)),))</f>
        <v/>
      </c>
      <c r="D67" s="339" t="str">
        <f ca="1">IF(ROWS($1:54)&gt;COUNT(Dong),"",OFFSET(TH!F$1,SMALL(Dong,ROWS($1:54)),))</f>
        <v/>
      </c>
      <c r="E67" s="73" t="str">
        <f ca="1">IF(ROWS($1:54)&gt;COUNT(Dong),"",IF(OFFSET(TH!N$1,SMALL(Dong,ROWS($1:54)),)="331",OFFSET(TH!O$1,SMALL(Dong,ROWS($1:54)),),OFFSET(TH!N$1,SMALL(Dong,ROWS($1:54)),)))</f>
        <v/>
      </c>
      <c r="F67" s="73"/>
      <c r="G67" s="86" t="str">
        <f ca="1">IF(ROWS($1:54)&gt;COUNT(Dong),"",IF(OFFSET(TH!N$1,SMALL(Dong,ROWS($1:54)),)="331",OFFSET(TH!M$1,SMALL(Dong,ROWS($1:54)),),0))</f>
        <v/>
      </c>
      <c r="H67" s="86" t="str">
        <f ca="1">IF(ROWS($1:54)&gt;COUNT(Dong),"",IF(OFFSET(TH!O$1,SMALL(Dong,ROWS($1:54)),)="331",OFFSET(TH!M$1,SMALL(Dong,ROWS($1:54)),),0))</f>
        <v/>
      </c>
      <c r="I67" s="25">
        <f t="shared" ca="1" si="12"/>
        <v>0</v>
      </c>
      <c r="J67" s="25">
        <f t="shared" ca="1" si="13"/>
        <v>0</v>
      </c>
    </row>
    <row r="68" spans="1:10" s="18" customFormat="1" ht="18.75" customHeight="1">
      <c r="A68" s="9" t="str">
        <f ca="1">IF(ROWS($1:55)&gt;COUNT(Dong),"",OFFSET(TH!C$1,SMALL(Dong,ROWS($1:55)),))</f>
        <v/>
      </c>
      <c r="B68" s="9" t="str">
        <f ca="1">IF(ROWS($1:55)&gt;COUNT(Dong),"",OFFSET(TH!D$1,SMALL(Dong,ROWS($1:55)),))</f>
        <v/>
      </c>
      <c r="C68" s="9" t="str">
        <f ca="1">IF(ROWS($1:55)&gt;COUNT(Dong),"",OFFSET(TH!E$1,SMALL(Dong,ROWS($1:55)),))</f>
        <v/>
      </c>
      <c r="D68" s="339" t="str">
        <f ca="1">IF(ROWS($1:55)&gt;COUNT(Dong),"",OFFSET(TH!F$1,SMALL(Dong,ROWS($1:55)),))</f>
        <v/>
      </c>
      <c r="E68" s="73" t="str">
        <f ca="1">IF(ROWS($1:55)&gt;COUNT(Dong),"",IF(OFFSET(TH!N$1,SMALL(Dong,ROWS($1:55)),)="331",OFFSET(TH!O$1,SMALL(Dong,ROWS($1:55)),),OFFSET(TH!N$1,SMALL(Dong,ROWS($1:55)),)))</f>
        <v/>
      </c>
      <c r="F68" s="73"/>
      <c r="G68" s="86" t="str">
        <f ca="1">IF(ROWS($1:55)&gt;COUNT(Dong),"",IF(OFFSET(TH!N$1,SMALL(Dong,ROWS($1:55)),)="331",OFFSET(TH!M$1,SMALL(Dong,ROWS($1:55)),),0))</f>
        <v/>
      </c>
      <c r="H68" s="86" t="str">
        <f ca="1">IF(ROWS($1:55)&gt;COUNT(Dong),"",IF(OFFSET(TH!O$1,SMALL(Dong,ROWS($1:55)),)="331",OFFSET(TH!M$1,SMALL(Dong,ROWS($1:55)),),0))</f>
        <v/>
      </c>
      <c r="I68" s="25">
        <f t="shared" ca="1" si="12"/>
        <v>0</v>
      </c>
      <c r="J68" s="25">
        <f t="shared" ca="1" si="13"/>
        <v>0</v>
      </c>
    </row>
    <row r="69" spans="1:10" s="18" customFormat="1" ht="18.75" customHeight="1">
      <c r="A69" s="9" t="str">
        <f ca="1">IF(ROWS($1:56)&gt;COUNT(Dong),"",OFFSET(TH!C$1,SMALL(Dong,ROWS($1:56)),))</f>
        <v/>
      </c>
      <c r="B69" s="9" t="str">
        <f ca="1">IF(ROWS($1:56)&gt;COUNT(Dong),"",OFFSET(TH!D$1,SMALL(Dong,ROWS($1:56)),))</f>
        <v/>
      </c>
      <c r="C69" s="9" t="str">
        <f ca="1">IF(ROWS($1:56)&gt;COUNT(Dong),"",OFFSET(TH!E$1,SMALL(Dong,ROWS($1:56)),))</f>
        <v/>
      </c>
      <c r="D69" s="339" t="str">
        <f ca="1">IF(ROWS($1:56)&gt;COUNT(Dong),"",OFFSET(TH!F$1,SMALL(Dong,ROWS($1:56)),))</f>
        <v/>
      </c>
      <c r="E69" s="73" t="str">
        <f ca="1">IF(ROWS($1:56)&gt;COUNT(Dong),"",IF(OFFSET(TH!N$1,SMALL(Dong,ROWS($1:56)),)="331",OFFSET(TH!O$1,SMALL(Dong,ROWS($1:56)),),OFFSET(TH!N$1,SMALL(Dong,ROWS($1:56)),)))</f>
        <v/>
      </c>
      <c r="F69" s="73"/>
      <c r="G69" s="86" t="str">
        <f ca="1">IF(ROWS($1:56)&gt;COUNT(Dong),"",IF(OFFSET(TH!N$1,SMALL(Dong,ROWS($1:56)),)="331",OFFSET(TH!M$1,SMALL(Dong,ROWS($1:56)),),0))</f>
        <v/>
      </c>
      <c r="H69" s="86" t="str">
        <f ca="1">IF(ROWS($1:56)&gt;COUNT(Dong),"",IF(OFFSET(TH!O$1,SMALL(Dong,ROWS($1:56)),)="331",OFFSET(TH!M$1,SMALL(Dong,ROWS($1:56)),),0))</f>
        <v/>
      </c>
      <c r="I69" s="25">
        <f t="shared" ca="1" si="12"/>
        <v>0</v>
      </c>
      <c r="J69" s="25">
        <f t="shared" ca="1" si="13"/>
        <v>0</v>
      </c>
    </row>
    <row r="70" spans="1:10" s="18" customFormat="1" ht="18.75" customHeight="1">
      <c r="A70" s="9" t="str">
        <f ca="1">IF(ROWS($1:57)&gt;COUNT(Dong),"",OFFSET(TH!C$1,SMALL(Dong,ROWS($1:57)),))</f>
        <v/>
      </c>
      <c r="B70" s="9" t="str">
        <f ca="1">IF(ROWS($1:57)&gt;COUNT(Dong),"",OFFSET(TH!D$1,SMALL(Dong,ROWS($1:57)),))</f>
        <v/>
      </c>
      <c r="C70" s="9" t="str">
        <f ca="1">IF(ROWS($1:57)&gt;COUNT(Dong),"",OFFSET(TH!E$1,SMALL(Dong,ROWS($1:57)),))</f>
        <v/>
      </c>
      <c r="D70" s="339" t="str">
        <f ca="1">IF(ROWS($1:57)&gt;COUNT(Dong),"",OFFSET(TH!F$1,SMALL(Dong,ROWS($1:57)),))</f>
        <v/>
      </c>
      <c r="E70" s="73" t="str">
        <f ca="1">IF(ROWS($1:57)&gt;COUNT(Dong),"",IF(OFFSET(TH!N$1,SMALL(Dong,ROWS($1:57)),)="331",OFFSET(TH!O$1,SMALL(Dong,ROWS($1:57)),),OFFSET(TH!N$1,SMALL(Dong,ROWS($1:57)),)))</f>
        <v/>
      </c>
      <c r="F70" s="73"/>
      <c r="G70" s="86" t="str">
        <f ca="1">IF(ROWS($1:57)&gt;COUNT(Dong),"",IF(OFFSET(TH!N$1,SMALL(Dong,ROWS($1:57)),)="331",OFFSET(TH!M$1,SMALL(Dong,ROWS($1:57)),),0))</f>
        <v/>
      </c>
      <c r="H70" s="86" t="str">
        <f ca="1">IF(ROWS($1:57)&gt;COUNT(Dong),"",IF(OFFSET(TH!O$1,SMALL(Dong,ROWS($1:57)),)="331",OFFSET(TH!M$1,SMALL(Dong,ROWS($1:57)),),0))</f>
        <v/>
      </c>
      <c r="I70" s="25">
        <f t="shared" ca="1" si="12"/>
        <v>0</v>
      </c>
      <c r="J70" s="25">
        <f t="shared" ca="1" si="13"/>
        <v>0</v>
      </c>
    </row>
    <row r="71" spans="1:10" s="18" customFormat="1" ht="18.75" customHeight="1">
      <c r="A71" s="9" t="str">
        <f ca="1">IF(ROWS($1:58)&gt;COUNT(Dong),"",OFFSET(TH!C$1,SMALL(Dong,ROWS($1:58)),))</f>
        <v/>
      </c>
      <c r="B71" s="9" t="str">
        <f ca="1">IF(ROWS($1:58)&gt;COUNT(Dong),"",OFFSET(TH!D$1,SMALL(Dong,ROWS($1:58)),))</f>
        <v/>
      </c>
      <c r="C71" s="9" t="str">
        <f ca="1">IF(ROWS($1:58)&gt;COUNT(Dong),"",OFFSET(TH!E$1,SMALL(Dong,ROWS($1:58)),))</f>
        <v/>
      </c>
      <c r="D71" s="339" t="str">
        <f ca="1">IF(ROWS($1:58)&gt;COUNT(Dong),"",OFFSET(TH!F$1,SMALL(Dong,ROWS($1:58)),))</f>
        <v/>
      </c>
      <c r="E71" s="73" t="str">
        <f ca="1">IF(ROWS($1:58)&gt;COUNT(Dong),"",IF(OFFSET(TH!N$1,SMALL(Dong,ROWS($1:58)),)="331",OFFSET(TH!O$1,SMALL(Dong,ROWS($1:58)),),OFFSET(TH!N$1,SMALL(Dong,ROWS($1:58)),)))</f>
        <v/>
      </c>
      <c r="F71" s="73"/>
      <c r="G71" s="86" t="str">
        <f ca="1">IF(ROWS($1:58)&gt;COUNT(Dong),"",IF(OFFSET(TH!N$1,SMALL(Dong,ROWS($1:58)),)="331",OFFSET(TH!M$1,SMALL(Dong,ROWS($1:58)),),0))</f>
        <v/>
      </c>
      <c r="H71" s="86" t="str">
        <f ca="1">IF(ROWS($1:58)&gt;COUNT(Dong),"",IF(OFFSET(TH!O$1,SMALL(Dong,ROWS($1:58)),)="331",OFFSET(TH!M$1,SMALL(Dong,ROWS($1:58)),),0))</f>
        <v/>
      </c>
      <c r="I71" s="25">
        <f t="shared" ca="1" si="12"/>
        <v>0</v>
      </c>
      <c r="J71" s="25">
        <f t="shared" ca="1" si="13"/>
        <v>0</v>
      </c>
    </row>
    <row r="72" spans="1:10" s="18" customFormat="1" ht="18.75" customHeight="1">
      <c r="A72" s="9" t="str">
        <f ca="1">IF(ROWS($1:59)&gt;COUNT(Dong),"",OFFSET(TH!C$1,SMALL(Dong,ROWS($1:59)),))</f>
        <v/>
      </c>
      <c r="B72" s="9" t="str">
        <f ca="1">IF(ROWS($1:59)&gt;COUNT(Dong),"",OFFSET(TH!D$1,SMALL(Dong,ROWS($1:59)),))</f>
        <v/>
      </c>
      <c r="C72" s="9" t="str">
        <f ca="1">IF(ROWS($1:59)&gt;COUNT(Dong),"",OFFSET(TH!E$1,SMALL(Dong,ROWS($1:59)),))</f>
        <v/>
      </c>
      <c r="D72" s="339" t="str">
        <f ca="1">IF(ROWS($1:59)&gt;COUNT(Dong),"",OFFSET(TH!F$1,SMALL(Dong,ROWS($1:59)),))</f>
        <v/>
      </c>
      <c r="E72" s="73" t="str">
        <f ca="1">IF(ROWS($1:59)&gt;COUNT(Dong),"",IF(OFFSET(TH!N$1,SMALL(Dong,ROWS($1:59)),)="331",OFFSET(TH!O$1,SMALL(Dong,ROWS($1:59)),),OFFSET(TH!N$1,SMALL(Dong,ROWS($1:59)),)))</f>
        <v/>
      </c>
      <c r="F72" s="73"/>
      <c r="G72" s="86" t="str">
        <f ca="1">IF(ROWS($1:59)&gt;COUNT(Dong),"",IF(OFFSET(TH!N$1,SMALL(Dong,ROWS($1:59)),)="331",OFFSET(TH!M$1,SMALL(Dong,ROWS($1:59)),),0))</f>
        <v/>
      </c>
      <c r="H72" s="86" t="str">
        <f ca="1">IF(ROWS($1:59)&gt;COUNT(Dong),"",IF(OFFSET(TH!O$1,SMALL(Dong,ROWS($1:59)),)="331",OFFSET(TH!M$1,SMALL(Dong,ROWS($1:59)),),0))</f>
        <v/>
      </c>
      <c r="I72" s="25">
        <f t="shared" ref="I72:I109" ca="1" si="14">IF(D72&lt;&gt;"",MAX(I71+G72-H72-J71,0),0)</f>
        <v>0</v>
      </c>
      <c r="J72" s="25">
        <f t="shared" ref="J72:J109" ca="1" si="15">IF(D72&lt;&gt;"",MAX(J71+H72-I71-G72,0),0)</f>
        <v>0</v>
      </c>
    </row>
    <row r="73" spans="1:10" s="18" customFormat="1" ht="18.75" customHeight="1">
      <c r="A73" s="9" t="str">
        <f ca="1">IF(ROWS($1:60)&gt;COUNT(Dong),"",OFFSET(TH!C$1,SMALL(Dong,ROWS($1:60)),))</f>
        <v/>
      </c>
      <c r="B73" s="9" t="str">
        <f ca="1">IF(ROWS($1:60)&gt;COUNT(Dong),"",OFFSET(TH!D$1,SMALL(Dong,ROWS($1:60)),))</f>
        <v/>
      </c>
      <c r="C73" s="9" t="str">
        <f ca="1">IF(ROWS($1:60)&gt;COUNT(Dong),"",OFFSET(TH!E$1,SMALL(Dong,ROWS($1:60)),))</f>
        <v/>
      </c>
      <c r="D73" s="339" t="str">
        <f ca="1">IF(ROWS($1:60)&gt;COUNT(Dong),"",OFFSET(TH!F$1,SMALL(Dong,ROWS($1:60)),))</f>
        <v/>
      </c>
      <c r="E73" s="73" t="str">
        <f ca="1">IF(ROWS($1:60)&gt;COUNT(Dong),"",IF(OFFSET(TH!N$1,SMALL(Dong,ROWS($1:60)),)="331",OFFSET(TH!O$1,SMALL(Dong,ROWS($1:60)),),OFFSET(TH!N$1,SMALL(Dong,ROWS($1:60)),)))</f>
        <v/>
      </c>
      <c r="F73" s="73"/>
      <c r="G73" s="86" t="str">
        <f ca="1">IF(ROWS($1:60)&gt;COUNT(Dong),"",IF(OFFSET(TH!N$1,SMALL(Dong,ROWS($1:60)),)="331",OFFSET(TH!M$1,SMALL(Dong,ROWS($1:60)),),0))</f>
        <v/>
      </c>
      <c r="H73" s="86" t="str">
        <f ca="1">IF(ROWS($1:60)&gt;COUNT(Dong),"",IF(OFFSET(TH!O$1,SMALL(Dong,ROWS($1:60)),)="331",OFFSET(TH!M$1,SMALL(Dong,ROWS($1:60)),),0))</f>
        <v/>
      </c>
      <c r="I73" s="25">
        <f t="shared" ca="1" si="14"/>
        <v>0</v>
      </c>
      <c r="J73" s="25">
        <f t="shared" ca="1" si="15"/>
        <v>0</v>
      </c>
    </row>
    <row r="74" spans="1:10" s="18" customFormat="1" ht="18.75" customHeight="1">
      <c r="A74" s="9" t="str">
        <f ca="1">IF(ROWS($1:61)&gt;COUNT(Dong),"",OFFSET(TH!C$1,SMALL(Dong,ROWS($1:61)),))</f>
        <v/>
      </c>
      <c r="B74" s="9" t="str">
        <f ca="1">IF(ROWS($1:61)&gt;COUNT(Dong),"",OFFSET(TH!D$1,SMALL(Dong,ROWS($1:61)),))</f>
        <v/>
      </c>
      <c r="C74" s="9" t="str">
        <f ca="1">IF(ROWS($1:61)&gt;COUNT(Dong),"",OFFSET(TH!E$1,SMALL(Dong,ROWS($1:61)),))</f>
        <v/>
      </c>
      <c r="D74" s="339" t="str">
        <f ca="1">IF(ROWS($1:61)&gt;COUNT(Dong),"",OFFSET(TH!F$1,SMALL(Dong,ROWS($1:61)),))</f>
        <v/>
      </c>
      <c r="E74" s="73" t="str">
        <f ca="1">IF(ROWS($1:61)&gt;COUNT(Dong),"",IF(OFFSET(TH!N$1,SMALL(Dong,ROWS($1:61)),)="331",OFFSET(TH!O$1,SMALL(Dong,ROWS($1:61)),),OFFSET(TH!N$1,SMALL(Dong,ROWS($1:61)),)))</f>
        <v/>
      </c>
      <c r="F74" s="73"/>
      <c r="G74" s="86" t="str">
        <f ca="1">IF(ROWS($1:61)&gt;COUNT(Dong),"",IF(OFFSET(TH!N$1,SMALL(Dong,ROWS($1:61)),)="331",OFFSET(TH!M$1,SMALL(Dong,ROWS($1:61)),),0))</f>
        <v/>
      </c>
      <c r="H74" s="86" t="str">
        <f ca="1">IF(ROWS($1:61)&gt;COUNT(Dong),"",IF(OFFSET(TH!O$1,SMALL(Dong,ROWS($1:61)),)="331",OFFSET(TH!M$1,SMALL(Dong,ROWS($1:61)),),0))</f>
        <v/>
      </c>
      <c r="I74" s="25">
        <f t="shared" ca="1" si="14"/>
        <v>0</v>
      </c>
      <c r="J74" s="25">
        <f t="shared" ca="1" si="15"/>
        <v>0</v>
      </c>
    </row>
    <row r="75" spans="1:10" s="18" customFormat="1" ht="18.75" customHeight="1">
      <c r="A75" s="9" t="str">
        <f ca="1">IF(ROWS($1:62)&gt;COUNT(Dong),"",OFFSET(TH!C$1,SMALL(Dong,ROWS($1:62)),))</f>
        <v/>
      </c>
      <c r="B75" s="9" t="str">
        <f ca="1">IF(ROWS($1:62)&gt;COUNT(Dong),"",OFFSET(TH!D$1,SMALL(Dong,ROWS($1:62)),))</f>
        <v/>
      </c>
      <c r="C75" s="9" t="str">
        <f ca="1">IF(ROWS($1:62)&gt;COUNT(Dong),"",OFFSET(TH!E$1,SMALL(Dong,ROWS($1:62)),))</f>
        <v/>
      </c>
      <c r="D75" s="339" t="str">
        <f ca="1">IF(ROWS($1:62)&gt;COUNT(Dong),"",OFFSET(TH!F$1,SMALL(Dong,ROWS($1:62)),))</f>
        <v/>
      </c>
      <c r="E75" s="73" t="str">
        <f ca="1">IF(ROWS($1:62)&gt;COUNT(Dong),"",IF(OFFSET(TH!N$1,SMALL(Dong,ROWS($1:62)),)="331",OFFSET(TH!O$1,SMALL(Dong,ROWS($1:62)),),OFFSET(TH!N$1,SMALL(Dong,ROWS($1:62)),)))</f>
        <v/>
      </c>
      <c r="F75" s="73"/>
      <c r="G75" s="86" t="str">
        <f ca="1">IF(ROWS($1:62)&gt;COUNT(Dong),"",IF(OFFSET(TH!N$1,SMALL(Dong,ROWS($1:62)),)="331",OFFSET(TH!M$1,SMALL(Dong,ROWS($1:62)),),0))</f>
        <v/>
      </c>
      <c r="H75" s="86" t="str">
        <f ca="1">IF(ROWS($1:62)&gt;COUNT(Dong),"",IF(OFFSET(TH!O$1,SMALL(Dong,ROWS($1:62)),)="331",OFFSET(TH!M$1,SMALL(Dong,ROWS($1:62)),),0))</f>
        <v/>
      </c>
      <c r="I75" s="25">
        <f t="shared" ca="1" si="14"/>
        <v>0</v>
      </c>
      <c r="J75" s="25">
        <f t="shared" ca="1" si="15"/>
        <v>0</v>
      </c>
    </row>
    <row r="76" spans="1:10" s="18" customFormat="1" ht="18.75" customHeight="1">
      <c r="A76" s="9" t="str">
        <f ca="1">IF(ROWS($1:63)&gt;COUNT(Dong),"",OFFSET(TH!C$1,SMALL(Dong,ROWS($1:63)),))</f>
        <v/>
      </c>
      <c r="B76" s="9" t="str">
        <f ca="1">IF(ROWS($1:63)&gt;COUNT(Dong),"",OFFSET(TH!D$1,SMALL(Dong,ROWS($1:63)),))</f>
        <v/>
      </c>
      <c r="C76" s="9" t="str">
        <f ca="1">IF(ROWS($1:63)&gt;COUNT(Dong),"",OFFSET(TH!E$1,SMALL(Dong,ROWS($1:63)),))</f>
        <v/>
      </c>
      <c r="D76" s="339" t="str">
        <f ca="1">IF(ROWS($1:63)&gt;COUNT(Dong),"",OFFSET(TH!F$1,SMALL(Dong,ROWS($1:63)),))</f>
        <v/>
      </c>
      <c r="E76" s="73" t="str">
        <f ca="1">IF(ROWS($1:63)&gt;COUNT(Dong),"",IF(OFFSET(TH!N$1,SMALL(Dong,ROWS($1:63)),)="331",OFFSET(TH!O$1,SMALL(Dong,ROWS($1:63)),),OFFSET(TH!N$1,SMALL(Dong,ROWS($1:63)),)))</f>
        <v/>
      </c>
      <c r="F76" s="73"/>
      <c r="G76" s="86" t="str">
        <f ca="1">IF(ROWS($1:63)&gt;COUNT(Dong),"",IF(OFFSET(TH!N$1,SMALL(Dong,ROWS($1:63)),)="331",OFFSET(TH!M$1,SMALL(Dong,ROWS($1:63)),),0))</f>
        <v/>
      </c>
      <c r="H76" s="86" t="str">
        <f ca="1">IF(ROWS($1:63)&gt;COUNT(Dong),"",IF(OFFSET(TH!O$1,SMALL(Dong,ROWS($1:63)),)="331",OFFSET(TH!M$1,SMALL(Dong,ROWS($1:63)),),0))</f>
        <v/>
      </c>
      <c r="I76" s="25">
        <f t="shared" ca="1" si="14"/>
        <v>0</v>
      </c>
      <c r="J76" s="25">
        <f t="shared" ca="1" si="15"/>
        <v>0</v>
      </c>
    </row>
    <row r="77" spans="1:10" s="18" customFormat="1" ht="18.75" customHeight="1">
      <c r="A77" s="9" t="str">
        <f ca="1">IF(ROWS($1:64)&gt;COUNT(Dong),"",OFFSET(TH!C$1,SMALL(Dong,ROWS($1:64)),))</f>
        <v/>
      </c>
      <c r="B77" s="9" t="str">
        <f ca="1">IF(ROWS($1:64)&gt;COUNT(Dong),"",OFFSET(TH!D$1,SMALL(Dong,ROWS($1:64)),))</f>
        <v/>
      </c>
      <c r="C77" s="9" t="str">
        <f ca="1">IF(ROWS($1:64)&gt;COUNT(Dong),"",OFFSET(TH!E$1,SMALL(Dong,ROWS($1:64)),))</f>
        <v/>
      </c>
      <c r="D77" s="339" t="str">
        <f ca="1">IF(ROWS($1:64)&gt;COUNT(Dong),"",OFFSET(TH!F$1,SMALL(Dong,ROWS($1:64)),))</f>
        <v/>
      </c>
      <c r="E77" s="73" t="str">
        <f ca="1">IF(ROWS($1:64)&gt;COUNT(Dong),"",IF(OFFSET(TH!N$1,SMALL(Dong,ROWS($1:64)),)="331",OFFSET(TH!O$1,SMALL(Dong,ROWS($1:64)),),OFFSET(TH!N$1,SMALL(Dong,ROWS($1:64)),)))</f>
        <v/>
      </c>
      <c r="F77" s="73"/>
      <c r="G77" s="86" t="str">
        <f ca="1">IF(ROWS($1:64)&gt;COUNT(Dong),"",IF(OFFSET(TH!N$1,SMALL(Dong,ROWS($1:64)),)="331",OFFSET(TH!M$1,SMALL(Dong,ROWS($1:64)),),0))</f>
        <v/>
      </c>
      <c r="H77" s="86" t="str">
        <f ca="1">IF(ROWS($1:64)&gt;COUNT(Dong),"",IF(OFFSET(TH!O$1,SMALL(Dong,ROWS($1:64)),)="331",OFFSET(TH!M$1,SMALL(Dong,ROWS($1:64)),),0))</f>
        <v/>
      </c>
      <c r="I77" s="25">
        <f t="shared" ca="1" si="14"/>
        <v>0</v>
      </c>
      <c r="J77" s="25">
        <f t="shared" ca="1" si="15"/>
        <v>0</v>
      </c>
    </row>
    <row r="78" spans="1:10" s="18" customFormat="1" ht="18.75" customHeight="1">
      <c r="A78" s="9" t="str">
        <f ca="1">IF(ROWS($1:65)&gt;COUNT(Dong),"",OFFSET(TH!C$1,SMALL(Dong,ROWS($1:65)),))</f>
        <v/>
      </c>
      <c r="B78" s="9" t="str">
        <f ca="1">IF(ROWS($1:65)&gt;COUNT(Dong),"",OFFSET(TH!D$1,SMALL(Dong,ROWS($1:65)),))</f>
        <v/>
      </c>
      <c r="C78" s="9" t="str">
        <f ca="1">IF(ROWS($1:65)&gt;COUNT(Dong),"",OFFSET(TH!E$1,SMALL(Dong,ROWS($1:65)),))</f>
        <v/>
      </c>
      <c r="D78" s="339" t="str">
        <f ca="1">IF(ROWS($1:65)&gt;COUNT(Dong),"",OFFSET(TH!F$1,SMALL(Dong,ROWS($1:65)),))</f>
        <v/>
      </c>
      <c r="E78" s="73" t="str">
        <f ca="1">IF(ROWS($1:65)&gt;COUNT(Dong),"",IF(OFFSET(TH!N$1,SMALL(Dong,ROWS($1:65)),)="331",OFFSET(TH!O$1,SMALL(Dong,ROWS($1:65)),),OFFSET(TH!N$1,SMALL(Dong,ROWS($1:65)),)))</f>
        <v/>
      </c>
      <c r="F78" s="73"/>
      <c r="G78" s="86" t="str">
        <f ca="1">IF(ROWS($1:65)&gt;COUNT(Dong),"",IF(OFFSET(TH!N$1,SMALL(Dong,ROWS($1:65)),)="331",OFFSET(TH!M$1,SMALL(Dong,ROWS($1:65)),),0))</f>
        <v/>
      </c>
      <c r="H78" s="86" t="str">
        <f ca="1">IF(ROWS($1:65)&gt;COUNT(Dong),"",IF(OFFSET(TH!O$1,SMALL(Dong,ROWS($1:65)),)="331",OFFSET(TH!M$1,SMALL(Dong,ROWS($1:65)),),0))</f>
        <v/>
      </c>
      <c r="I78" s="25">
        <f t="shared" ca="1" si="14"/>
        <v>0</v>
      </c>
      <c r="J78" s="25">
        <f t="shared" ca="1" si="15"/>
        <v>0</v>
      </c>
    </row>
    <row r="79" spans="1:10" s="18" customFormat="1" ht="18.75" customHeight="1">
      <c r="A79" s="9" t="str">
        <f ca="1">IF(ROWS($1:66)&gt;COUNT(Dong),"",OFFSET(TH!C$1,SMALL(Dong,ROWS($1:66)),))</f>
        <v/>
      </c>
      <c r="B79" s="9" t="str">
        <f ca="1">IF(ROWS($1:66)&gt;COUNT(Dong),"",OFFSET(TH!D$1,SMALL(Dong,ROWS($1:66)),))</f>
        <v/>
      </c>
      <c r="C79" s="9" t="str">
        <f ca="1">IF(ROWS($1:66)&gt;COUNT(Dong),"",OFFSET(TH!E$1,SMALL(Dong,ROWS($1:66)),))</f>
        <v/>
      </c>
      <c r="D79" s="339" t="str">
        <f ca="1">IF(ROWS($1:66)&gt;COUNT(Dong),"",OFFSET(TH!F$1,SMALL(Dong,ROWS($1:66)),))</f>
        <v/>
      </c>
      <c r="E79" s="73" t="str">
        <f ca="1">IF(ROWS($1:66)&gt;COUNT(Dong),"",IF(OFFSET(TH!N$1,SMALL(Dong,ROWS($1:66)),)="331",OFFSET(TH!O$1,SMALL(Dong,ROWS($1:66)),),OFFSET(TH!N$1,SMALL(Dong,ROWS($1:66)),)))</f>
        <v/>
      </c>
      <c r="F79" s="73"/>
      <c r="G79" s="86" t="str">
        <f ca="1">IF(ROWS($1:66)&gt;COUNT(Dong),"",IF(OFFSET(TH!N$1,SMALL(Dong,ROWS($1:66)),)="331",OFFSET(TH!M$1,SMALL(Dong,ROWS($1:66)),),0))</f>
        <v/>
      </c>
      <c r="H79" s="86" t="str">
        <f ca="1">IF(ROWS($1:66)&gt;COUNT(Dong),"",IF(OFFSET(TH!O$1,SMALL(Dong,ROWS($1:66)),)="331",OFFSET(TH!M$1,SMALL(Dong,ROWS($1:66)),),0))</f>
        <v/>
      </c>
      <c r="I79" s="25">
        <f t="shared" ca="1" si="14"/>
        <v>0</v>
      </c>
      <c r="J79" s="25">
        <f t="shared" ca="1" si="15"/>
        <v>0</v>
      </c>
    </row>
    <row r="80" spans="1:10" s="18" customFormat="1" ht="18.75" customHeight="1">
      <c r="A80" s="9" t="str">
        <f ca="1">IF(ROWS($1:67)&gt;COUNT(Dong),"",OFFSET(TH!C$1,SMALL(Dong,ROWS($1:67)),))</f>
        <v/>
      </c>
      <c r="B80" s="9" t="str">
        <f ca="1">IF(ROWS($1:67)&gt;COUNT(Dong),"",OFFSET(TH!D$1,SMALL(Dong,ROWS($1:67)),))</f>
        <v/>
      </c>
      <c r="C80" s="9" t="str">
        <f ca="1">IF(ROWS($1:67)&gt;COUNT(Dong),"",OFFSET(TH!E$1,SMALL(Dong,ROWS($1:67)),))</f>
        <v/>
      </c>
      <c r="D80" s="339" t="str">
        <f ca="1">IF(ROWS($1:67)&gt;COUNT(Dong),"",OFFSET(TH!F$1,SMALL(Dong,ROWS($1:67)),))</f>
        <v/>
      </c>
      <c r="E80" s="73" t="str">
        <f ca="1">IF(ROWS($1:67)&gt;COUNT(Dong),"",IF(OFFSET(TH!N$1,SMALL(Dong,ROWS($1:67)),)="331",OFFSET(TH!O$1,SMALL(Dong,ROWS($1:67)),),OFFSET(TH!N$1,SMALL(Dong,ROWS($1:67)),)))</f>
        <v/>
      </c>
      <c r="F80" s="73"/>
      <c r="G80" s="86" t="str">
        <f ca="1">IF(ROWS($1:67)&gt;COUNT(Dong),"",IF(OFFSET(TH!N$1,SMALL(Dong,ROWS($1:67)),)="331",OFFSET(TH!M$1,SMALL(Dong,ROWS($1:67)),),0))</f>
        <v/>
      </c>
      <c r="H80" s="86" t="str">
        <f ca="1">IF(ROWS($1:67)&gt;COUNT(Dong),"",IF(OFFSET(TH!O$1,SMALL(Dong,ROWS($1:67)),)="331",OFFSET(TH!M$1,SMALL(Dong,ROWS($1:67)),),0))</f>
        <v/>
      </c>
      <c r="I80" s="25">
        <f t="shared" ca="1" si="14"/>
        <v>0</v>
      </c>
      <c r="J80" s="25">
        <f t="shared" ca="1" si="15"/>
        <v>0</v>
      </c>
    </row>
    <row r="81" spans="1:10" s="18" customFormat="1" ht="18.75" customHeight="1">
      <c r="A81" s="9" t="str">
        <f ca="1">IF(ROWS($1:68)&gt;COUNT(Dong),"",OFFSET(TH!C$1,SMALL(Dong,ROWS($1:68)),))</f>
        <v/>
      </c>
      <c r="B81" s="9" t="str">
        <f ca="1">IF(ROWS($1:68)&gt;COUNT(Dong),"",OFFSET(TH!D$1,SMALL(Dong,ROWS($1:68)),))</f>
        <v/>
      </c>
      <c r="C81" s="9" t="str">
        <f ca="1">IF(ROWS($1:68)&gt;COUNT(Dong),"",OFFSET(TH!E$1,SMALL(Dong,ROWS($1:68)),))</f>
        <v/>
      </c>
      <c r="D81" s="339" t="str">
        <f ca="1">IF(ROWS($1:68)&gt;COUNT(Dong),"",OFFSET(TH!F$1,SMALL(Dong,ROWS($1:68)),))</f>
        <v/>
      </c>
      <c r="E81" s="73" t="str">
        <f ca="1">IF(ROWS($1:68)&gt;COUNT(Dong),"",IF(OFFSET(TH!N$1,SMALL(Dong,ROWS($1:68)),)="331",OFFSET(TH!O$1,SMALL(Dong,ROWS($1:68)),),OFFSET(TH!N$1,SMALL(Dong,ROWS($1:68)),)))</f>
        <v/>
      </c>
      <c r="F81" s="73"/>
      <c r="G81" s="86" t="str">
        <f ca="1">IF(ROWS($1:68)&gt;COUNT(Dong),"",IF(OFFSET(TH!N$1,SMALL(Dong,ROWS($1:68)),)="331",OFFSET(TH!M$1,SMALL(Dong,ROWS($1:68)),),0))</f>
        <v/>
      </c>
      <c r="H81" s="86" t="str">
        <f ca="1">IF(ROWS($1:68)&gt;COUNT(Dong),"",IF(OFFSET(TH!O$1,SMALL(Dong,ROWS($1:68)),)="331",OFFSET(TH!M$1,SMALL(Dong,ROWS($1:68)),),0))</f>
        <v/>
      </c>
      <c r="I81" s="25">
        <f t="shared" ca="1" si="14"/>
        <v>0</v>
      </c>
      <c r="J81" s="25">
        <f t="shared" ca="1" si="15"/>
        <v>0</v>
      </c>
    </row>
    <row r="82" spans="1:10" s="18" customFormat="1" ht="18.75" customHeight="1">
      <c r="A82" s="9" t="str">
        <f ca="1">IF(ROWS($1:69)&gt;COUNT(Dong),"",OFFSET(TH!C$1,SMALL(Dong,ROWS($1:69)),))</f>
        <v/>
      </c>
      <c r="B82" s="9" t="str">
        <f ca="1">IF(ROWS($1:69)&gt;COUNT(Dong),"",OFFSET(TH!D$1,SMALL(Dong,ROWS($1:69)),))</f>
        <v/>
      </c>
      <c r="C82" s="9" t="str">
        <f ca="1">IF(ROWS($1:69)&gt;COUNT(Dong),"",OFFSET(TH!E$1,SMALL(Dong,ROWS($1:69)),))</f>
        <v/>
      </c>
      <c r="D82" s="339" t="str">
        <f ca="1">IF(ROWS($1:69)&gt;COUNT(Dong),"",OFFSET(TH!F$1,SMALL(Dong,ROWS($1:69)),))</f>
        <v/>
      </c>
      <c r="E82" s="73" t="str">
        <f ca="1">IF(ROWS($1:69)&gt;COUNT(Dong),"",IF(OFFSET(TH!N$1,SMALL(Dong,ROWS($1:69)),)="331",OFFSET(TH!O$1,SMALL(Dong,ROWS($1:69)),),OFFSET(TH!N$1,SMALL(Dong,ROWS($1:69)),)))</f>
        <v/>
      </c>
      <c r="F82" s="73"/>
      <c r="G82" s="86" t="str">
        <f ca="1">IF(ROWS($1:69)&gt;COUNT(Dong),"",IF(OFFSET(TH!N$1,SMALL(Dong,ROWS($1:69)),)="331",OFFSET(TH!M$1,SMALL(Dong,ROWS($1:69)),),0))</f>
        <v/>
      </c>
      <c r="H82" s="86" t="str">
        <f ca="1">IF(ROWS($1:69)&gt;COUNT(Dong),"",IF(OFFSET(TH!O$1,SMALL(Dong,ROWS($1:69)),)="331",OFFSET(TH!M$1,SMALL(Dong,ROWS($1:69)),),0))</f>
        <v/>
      </c>
      <c r="I82" s="25">
        <f t="shared" ca="1" si="14"/>
        <v>0</v>
      </c>
      <c r="J82" s="25">
        <f t="shared" ca="1" si="15"/>
        <v>0</v>
      </c>
    </row>
    <row r="83" spans="1:10" s="18" customFormat="1" ht="18.75" customHeight="1">
      <c r="A83" s="9" t="str">
        <f ca="1">IF(ROWS($1:70)&gt;COUNT(Dong),"",OFFSET(TH!C$1,SMALL(Dong,ROWS($1:70)),))</f>
        <v/>
      </c>
      <c r="B83" s="9" t="str">
        <f ca="1">IF(ROWS($1:70)&gt;COUNT(Dong),"",OFFSET(TH!D$1,SMALL(Dong,ROWS($1:70)),))</f>
        <v/>
      </c>
      <c r="C83" s="9" t="str">
        <f ca="1">IF(ROWS($1:70)&gt;COUNT(Dong),"",OFFSET(TH!E$1,SMALL(Dong,ROWS($1:70)),))</f>
        <v/>
      </c>
      <c r="D83" s="339" t="str">
        <f ca="1">IF(ROWS($1:70)&gt;COUNT(Dong),"",OFFSET(TH!F$1,SMALL(Dong,ROWS($1:70)),))</f>
        <v/>
      </c>
      <c r="E83" s="73" t="str">
        <f ca="1">IF(ROWS($1:70)&gt;COUNT(Dong),"",IF(OFFSET(TH!N$1,SMALL(Dong,ROWS($1:70)),)="331",OFFSET(TH!O$1,SMALL(Dong,ROWS($1:70)),),OFFSET(TH!N$1,SMALL(Dong,ROWS($1:70)),)))</f>
        <v/>
      </c>
      <c r="F83" s="73"/>
      <c r="G83" s="86" t="str">
        <f ca="1">IF(ROWS($1:70)&gt;COUNT(Dong),"",IF(OFFSET(TH!N$1,SMALL(Dong,ROWS($1:70)),)="331",OFFSET(TH!M$1,SMALL(Dong,ROWS($1:70)),),0))</f>
        <v/>
      </c>
      <c r="H83" s="86" t="str">
        <f ca="1">IF(ROWS($1:70)&gt;COUNT(Dong),"",IF(OFFSET(TH!O$1,SMALL(Dong,ROWS($1:70)),)="331",OFFSET(TH!M$1,SMALL(Dong,ROWS($1:70)),),0))</f>
        <v/>
      </c>
      <c r="I83" s="25">
        <f t="shared" ca="1" si="14"/>
        <v>0</v>
      </c>
      <c r="J83" s="25">
        <f t="shared" ca="1" si="15"/>
        <v>0</v>
      </c>
    </row>
    <row r="84" spans="1:10" s="18" customFormat="1" ht="18.75" customHeight="1">
      <c r="A84" s="9" t="str">
        <f ca="1">IF(ROWS($1:71)&gt;COUNT(Dong),"",OFFSET(TH!C$1,SMALL(Dong,ROWS($1:71)),))</f>
        <v/>
      </c>
      <c r="B84" s="9" t="str">
        <f ca="1">IF(ROWS($1:71)&gt;COUNT(Dong),"",OFFSET(TH!D$1,SMALL(Dong,ROWS($1:71)),))</f>
        <v/>
      </c>
      <c r="C84" s="9" t="str">
        <f ca="1">IF(ROWS($1:71)&gt;COUNT(Dong),"",OFFSET(TH!E$1,SMALL(Dong,ROWS($1:71)),))</f>
        <v/>
      </c>
      <c r="D84" s="339" t="str">
        <f ca="1">IF(ROWS($1:71)&gt;COUNT(Dong),"",OFFSET(TH!F$1,SMALL(Dong,ROWS($1:71)),))</f>
        <v/>
      </c>
      <c r="E84" s="73" t="str">
        <f ca="1">IF(ROWS($1:71)&gt;COUNT(Dong),"",IF(OFFSET(TH!N$1,SMALL(Dong,ROWS($1:71)),)="331",OFFSET(TH!O$1,SMALL(Dong,ROWS($1:71)),),OFFSET(TH!N$1,SMALL(Dong,ROWS($1:71)),)))</f>
        <v/>
      </c>
      <c r="F84" s="73"/>
      <c r="G84" s="86" t="str">
        <f ca="1">IF(ROWS($1:71)&gt;COUNT(Dong),"",IF(OFFSET(TH!N$1,SMALL(Dong,ROWS($1:71)),)="331",OFFSET(TH!M$1,SMALL(Dong,ROWS($1:71)),),0))</f>
        <v/>
      </c>
      <c r="H84" s="86" t="str">
        <f ca="1">IF(ROWS($1:71)&gt;COUNT(Dong),"",IF(OFFSET(TH!O$1,SMALL(Dong,ROWS($1:71)),)="331",OFFSET(TH!M$1,SMALL(Dong,ROWS($1:71)),),0))</f>
        <v/>
      </c>
      <c r="I84" s="25">
        <f t="shared" ca="1" si="14"/>
        <v>0</v>
      </c>
      <c r="J84" s="25">
        <f t="shared" ca="1" si="15"/>
        <v>0</v>
      </c>
    </row>
    <row r="85" spans="1:10" s="18" customFormat="1" ht="18.75" customHeight="1">
      <c r="A85" s="9" t="str">
        <f ca="1">IF(ROWS($1:72)&gt;COUNT(Dong),"",OFFSET(TH!C$1,SMALL(Dong,ROWS($1:72)),))</f>
        <v/>
      </c>
      <c r="B85" s="9" t="str">
        <f ca="1">IF(ROWS($1:72)&gt;COUNT(Dong),"",OFFSET(TH!D$1,SMALL(Dong,ROWS($1:72)),))</f>
        <v/>
      </c>
      <c r="C85" s="9" t="str">
        <f ca="1">IF(ROWS($1:72)&gt;COUNT(Dong),"",OFFSET(TH!E$1,SMALL(Dong,ROWS($1:72)),))</f>
        <v/>
      </c>
      <c r="D85" s="339" t="str">
        <f ca="1">IF(ROWS($1:72)&gt;COUNT(Dong),"",OFFSET(TH!F$1,SMALL(Dong,ROWS($1:72)),))</f>
        <v/>
      </c>
      <c r="E85" s="73" t="str">
        <f ca="1">IF(ROWS($1:72)&gt;COUNT(Dong),"",IF(OFFSET(TH!N$1,SMALL(Dong,ROWS($1:72)),)="331",OFFSET(TH!O$1,SMALL(Dong,ROWS($1:72)),),OFFSET(TH!N$1,SMALL(Dong,ROWS($1:72)),)))</f>
        <v/>
      </c>
      <c r="F85" s="73"/>
      <c r="G85" s="86" t="str">
        <f ca="1">IF(ROWS($1:72)&gt;COUNT(Dong),"",IF(OFFSET(TH!N$1,SMALL(Dong,ROWS($1:72)),)="331",OFFSET(TH!M$1,SMALL(Dong,ROWS($1:72)),),0))</f>
        <v/>
      </c>
      <c r="H85" s="86" t="str">
        <f ca="1">IF(ROWS($1:72)&gt;COUNT(Dong),"",IF(OFFSET(TH!O$1,SMALL(Dong,ROWS($1:72)),)="331",OFFSET(TH!M$1,SMALL(Dong,ROWS($1:72)),),0))</f>
        <v/>
      </c>
      <c r="I85" s="25">
        <f t="shared" ca="1" si="14"/>
        <v>0</v>
      </c>
      <c r="J85" s="25">
        <f t="shared" ca="1" si="15"/>
        <v>0</v>
      </c>
    </row>
    <row r="86" spans="1:10" s="18" customFormat="1" ht="18.75" customHeight="1">
      <c r="A86" s="9" t="str">
        <f ca="1">IF(ROWS($1:73)&gt;COUNT(Dong),"",OFFSET(TH!C$1,SMALL(Dong,ROWS($1:73)),))</f>
        <v/>
      </c>
      <c r="B86" s="9" t="str">
        <f ca="1">IF(ROWS($1:73)&gt;COUNT(Dong),"",OFFSET(TH!D$1,SMALL(Dong,ROWS($1:73)),))</f>
        <v/>
      </c>
      <c r="C86" s="9" t="str">
        <f ca="1">IF(ROWS($1:73)&gt;COUNT(Dong),"",OFFSET(TH!E$1,SMALL(Dong,ROWS($1:73)),))</f>
        <v/>
      </c>
      <c r="D86" s="339" t="str">
        <f ca="1">IF(ROWS($1:73)&gt;COUNT(Dong),"",OFFSET(TH!F$1,SMALL(Dong,ROWS($1:73)),))</f>
        <v/>
      </c>
      <c r="E86" s="73" t="str">
        <f ca="1">IF(ROWS($1:73)&gt;COUNT(Dong),"",IF(OFFSET(TH!N$1,SMALL(Dong,ROWS($1:73)),)="331",OFFSET(TH!O$1,SMALL(Dong,ROWS($1:73)),),OFFSET(TH!N$1,SMALL(Dong,ROWS($1:73)),)))</f>
        <v/>
      </c>
      <c r="F86" s="73"/>
      <c r="G86" s="86" t="str">
        <f ca="1">IF(ROWS($1:73)&gt;COUNT(Dong),"",IF(OFFSET(TH!N$1,SMALL(Dong,ROWS($1:73)),)="331",OFFSET(TH!M$1,SMALL(Dong,ROWS($1:73)),),0))</f>
        <v/>
      </c>
      <c r="H86" s="86" t="str">
        <f ca="1">IF(ROWS($1:73)&gt;COUNT(Dong),"",IF(OFFSET(TH!O$1,SMALL(Dong,ROWS($1:73)),)="331",OFFSET(TH!M$1,SMALL(Dong,ROWS($1:73)),),0))</f>
        <v/>
      </c>
      <c r="I86" s="25">
        <f t="shared" ca="1" si="14"/>
        <v>0</v>
      </c>
      <c r="J86" s="25">
        <f t="shared" ca="1" si="15"/>
        <v>0</v>
      </c>
    </row>
    <row r="87" spans="1:10" s="18" customFormat="1" ht="18.75" customHeight="1">
      <c r="A87" s="9" t="str">
        <f ca="1">IF(ROWS($1:74)&gt;COUNT(Dong),"",OFFSET(TH!C$1,SMALL(Dong,ROWS($1:74)),))</f>
        <v/>
      </c>
      <c r="B87" s="9" t="str">
        <f ca="1">IF(ROWS($1:74)&gt;COUNT(Dong),"",OFFSET(TH!D$1,SMALL(Dong,ROWS($1:74)),))</f>
        <v/>
      </c>
      <c r="C87" s="9" t="str">
        <f ca="1">IF(ROWS($1:74)&gt;COUNT(Dong),"",OFFSET(TH!E$1,SMALL(Dong,ROWS($1:74)),))</f>
        <v/>
      </c>
      <c r="D87" s="339" t="str">
        <f ca="1">IF(ROWS($1:74)&gt;COUNT(Dong),"",OFFSET(TH!F$1,SMALL(Dong,ROWS($1:74)),))</f>
        <v/>
      </c>
      <c r="E87" s="73" t="str">
        <f ca="1">IF(ROWS($1:74)&gt;COUNT(Dong),"",IF(OFFSET(TH!N$1,SMALL(Dong,ROWS($1:74)),)="331",OFFSET(TH!O$1,SMALL(Dong,ROWS($1:74)),),OFFSET(TH!N$1,SMALL(Dong,ROWS($1:74)),)))</f>
        <v/>
      </c>
      <c r="F87" s="73"/>
      <c r="G87" s="86" t="str">
        <f ca="1">IF(ROWS($1:74)&gt;COUNT(Dong),"",IF(OFFSET(TH!N$1,SMALL(Dong,ROWS($1:74)),)="331",OFFSET(TH!M$1,SMALL(Dong,ROWS($1:74)),),0))</f>
        <v/>
      </c>
      <c r="H87" s="86" t="str">
        <f ca="1">IF(ROWS($1:74)&gt;COUNT(Dong),"",IF(OFFSET(TH!O$1,SMALL(Dong,ROWS($1:74)),)="331",OFFSET(TH!M$1,SMALL(Dong,ROWS($1:74)),),0))</f>
        <v/>
      </c>
      <c r="I87" s="25">
        <f t="shared" ca="1" si="14"/>
        <v>0</v>
      </c>
      <c r="J87" s="25">
        <f t="shared" ca="1" si="15"/>
        <v>0</v>
      </c>
    </row>
    <row r="88" spans="1:10" s="18" customFormat="1" ht="18.75" customHeight="1">
      <c r="A88" s="9" t="str">
        <f ca="1">IF(ROWS($1:75)&gt;COUNT(Dong),"",OFFSET(TH!C$1,SMALL(Dong,ROWS($1:75)),))</f>
        <v/>
      </c>
      <c r="B88" s="9" t="str">
        <f ca="1">IF(ROWS($1:75)&gt;COUNT(Dong),"",OFFSET(TH!D$1,SMALL(Dong,ROWS($1:75)),))</f>
        <v/>
      </c>
      <c r="C88" s="9" t="str">
        <f ca="1">IF(ROWS($1:75)&gt;COUNT(Dong),"",OFFSET(TH!E$1,SMALL(Dong,ROWS($1:75)),))</f>
        <v/>
      </c>
      <c r="D88" s="339" t="str">
        <f ca="1">IF(ROWS($1:75)&gt;COUNT(Dong),"",OFFSET(TH!F$1,SMALL(Dong,ROWS($1:75)),))</f>
        <v/>
      </c>
      <c r="E88" s="73" t="str">
        <f ca="1">IF(ROWS($1:75)&gt;COUNT(Dong),"",IF(OFFSET(TH!N$1,SMALL(Dong,ROWS($1:75)),)="331",OFFSET(TH!O$1,SMALL(Dong,ROWS($1:75)),),OFFSET(TH!N$1,SMALL(Dong,ROWS($1:75)),)))</f>
        <v/>
      </c>
      <c r="F88" s="73"/>
      <c r="G88" s="86" t="str">
        <f ca="1">IF(ROWS($1:75)&gt;COUNT(Dong),"",IF(OFFSET(TH!N$1,SMALL(Dong,ROWS($1:75)),)="331",OFFSET(TH!M$1,SMALL(Dong,ROWS($1:75)),),0))</f>
        <v/>
      </c>
      <c r="H88" s="86" t="str">
        <f ca="1">IF(ROWS($1:75)&gt;COUNT(Dong),"",IF(OFFSET(TH!O$1,SMALL(Dong,ROWS($1:75)),)="331",OFFSET(TH!M$1,SMALL(Dong,ROWS($1:75)),),0))</f>
        <v/>
      </c>
      <c r="I88" s="25">
        <f t="shared" ca="1" si="14"/>
        <v>0</v>
      </c>
      <c r="J88" s="25">
        <f t="shared" ca="1" si="15"/>
        <v>0</v>
      </c>
    </row>
    <row r="89" spans="1:10" s="18" customFormat="1" ht="18.75" customHeight="1">
      <c r="A89" s="9" t="str">
        <f ca="1">IF(ROWS($1:76)&gt;COUNT(Dong),"",OFFSET(TH!C$1,SMALL(Dong,ROWS($1:76)),))</f>
        <v/>
      </c>
      <c r="B89" s="9" t="str">
        <f ca="1">IF(ROWS($1:76)&gt;COUNT(Dong),"",OFFSET(TH!D$1,SMALL(Dong,ROWS($1:76)),))</f>
        <v/>
      </c>
      <c r="C89" s="9" t="str">
        <f ca="1">IF(ROWS($1:76)&gt;COUNT(Dong),"",OFFSET(TH!E$1,SMALL(Dong,ROWS($1:76)),))</f>
        <v/>
      </c>
      <c r="D89" s="339" t="str">
        <f ca="1">IF(ROWS($1:76)&gt;COUNT(Dong),"",OFFSET(TH!F$1,SMALL(Dong,ROWS($1:76)),))</f>
        <v/>
      </c>
      <c r="E89" s="73" t="str">
        <f ca="1">IF(ROWS($1:76)&gt;COUNT(Dong),"",IF(OFFSET(TH!N$1,SMALL(Dong,ROWS($1:76)),)="331",OFFSET(TH!O$1,SMALL(Dong,ROWS($1:76)),),OFFSET(TH!N$1,SMALL(Dong,ROWS($1:76)),)))</f>
        <v/>
      </c>
      <c r="F89" s="73"/>
      <c r="G89" s="86" t="str">
        <f ca="1">IF(ROWS($1:76)&gt;COUNT(Dong),"",IF(OFFSET(TH!N$1,SMALL(Dong,ROWS($1:76)),)="331",OFFSET(TH!M$1,SMALL(Dong,ROWS($1:76)),),0))</f>
        <v/>
      </c>
      <c r="H89" s="86" t="str">
        <f ca="1">IF(ROWS($1:76)&gt;COUNT(Dong),"",IF(OFFSET(TH!O$1,SMALL(Dong,ROWS($1:76)),)="331",OFFSET(TH!M$1,SMALL(Dong,ROWS($1:76)),),0))</f>
        <v/>
      </c>
      <c r="I89" s="25">
        <f t="shared" ca="1" si="14"/>
        <v>0</v>
      </c>
      <c r="J89" s="25">
        <f t="shared" ca="1" si="15"/>
        <v>0</v>
      </c>
    </row>
    <row r="90" spans="1:10" s="18" customFormat="1" ht="18.75" customHeight="1">
      <c r="A90" s="9" t="str">
        <f ca="1">IF(ROWS($1:77)&gt;COUNT(Dong),"",OFFSET(TH!C$1,SMALL(Dong,ROWS($1:77)),))</f>
        <v/>
      </c>
      <c r="B90" s="9" t="str">
        <f ca="1">IF(ROWS($1:77)&gt;COUNT(Dong),"",OFFSET(TH!D$1,SMALL(Dong,ROWS($1:77)),))</f>
        <v/>
      </c>
      <c r="C90" s="9" t="str">
        <f ca="1">IF(ROWS($1:77)&gt;COUNT(Dong),"",OFFSET(TH!E$1,SMALL(Dong,ROWS($1:77)),))</f>
        <v/>
      </c>
      <c r="D90" s="339" t="str">
        <f ca="1">IF(ROWS($1:77)&gt;COUNT(Dong),"",OFFSET(TH!F$1,SMALL(Dong,ROWS($1:77)),))</f>
        <v/>
      </c>
      <c r="E90" s="73" t="str">
        <f ca="1">IF(ROWS($1:77)&gt;COUNT(Dong),"",IF(OFFSET(TH!N$1,SMALL(Dong,ROWS($1:77)),)="331",OFFSET(TH!O$1,SMALL(Dong,ROWS($1:77)),),OFFSET(TH!N$1,SMALL(Dong,ROWS($1:77)),)))</f>
        <v/>
      </c>
      <c r="F90" s="73"/>
      <c r="G90" s="86" t="str">
        <f ca="1">IF(ROWS($1:77)&gt;COUNT(Dong),"",IF(OFFSET(TH!N$1,SMALL(Dong,ROWS($1:77)),)="331",OFFSET(TH!M$1,SMALL(Dong,ROWS($1:77)),),0))</f>
        <v/>
      </c>
      <c r="H90" s="86" t="str">
        <f ca="1">IF(ROWS($1:77)&gt;COUNT(Dong),"",IF(OFFSET(TH!O$1,SMALL(Dong,ROWS($1:77)),)="331",OFFSET(TH!M$1,SMALL(Dong,ROWS($1:77)),),0))</f>
        <v/>
      </c>
      <c r="I90" s="25">
        <f t="shared" ca="1" si="14"/>
        <v>0</v>
      </c>
      <c r="J90" s="25">
        <f t="shared" ca="1" si="15"/>
        <v>0</v>
      </c>
    </row>
    <row r="91" spans="1:10" s="18" customFormat="1" ht="18.75" customHeight="1">
      <c r="A91" s="9" t="str">
        <f ca="1">IF(ROWS($1:78)&gt;COUNT(Dong),"",OFFSET(TH!C$1,SMALL(Dong,ROWS($1:78)),))</f>
        <v/>
      </c>
      <c r="B91" s="9" t="str">
        <f ca="1">IF(ROWS($1:78)&gt;COUNT(Dong),"",OFFSET(TH!D$1,SMALL(Dong,ROWS($1:78)),))</f>
        <v/>
      </c>
      <c r="C91" s="9" t="str">
        <f ca="1">IF(ROWS($1:78)&gt;COUNT(Dong),"",OFFSET(TH!E$1,SMALL(Dong,ROWS($1:78)),))</f>
        <v/>
      </c>
      <c r="D91" s="339" t="str">
        <f ca="1">IF(ROWS($1:78)&gt;COUNT(Dong),"",OFFSET(TH!F$1,SMALL(Dong,ROWS($1:78)),))</f>
        <v/>
      </c>
      <c r="E91" s="73" t="str">
        <f ca="1">IF(ROWS($1:78)&gt;COUNT(Dong),"",IF(OFFSET(TH!N$1,SMALL(Dong,ROWS($1:78)),)="331",OFFSET(TH!O$1,SMALL(Dong,ROWS($1:78)),),OFFSET(TH!N$1,SMALL(Dong,ROWS($1:78)),)))</f>
        <v/>
      </c>
      <c r="F91" s="73"/>
      <c r="G91" s="86" t="str">
        <f ca="1">IF(ROWS($1:78)&gt;COUNT(Dong),"",IF(OFFSET(TH!N$1,SMALL(Dong,ROWS($1:78)),)="331",OFFSET(TH!M$1,SMALL(Dong,ROWS($1:78)),),0))</f>
        <v/>
      </c>
      <c r="H91" s="86" t="str">
        <f ca="1">IF(ROWS($1:78)&gt;COUNT(Dong),"",IF(OFFSET(TH!O$1,SMALL(Dong,ROWS($1:78)),)="331",OFFSET(TH!M$1,SMALL(Dong,ROWS($1:78)),),0))</f>
        <v/>
      </c>
      <c r="I91" s="25">
        <f t="shared" ca="1" si="14"/>
        <v>0</v>
      </c>
      <c r="J91" s="25">
        <f t="shared" ca="1" si="15"/>
        <v>0</v>
      </c>
    </row>
    <row r="92" spans="1:10" s="18" customFormat="1" ht="18.75" customHeight="1">
      <c r="A92" s="9" t="str">
        <f ca="1">IF(ROWS($1:79)&gt;COUNT(Dong),"",OFFSET(TH!C$1,SMALL(Dong,ROWS($1:79)),))</f>
        <v/>
      </c>
      <c r="B92" s="9" t="str">
        <f ca="1">IF(ROWS($1:79)&gt;COUNT(Dong),"",OFFSET(TH!D$1,SMALL(Dong,ROWS($1:79)),))</f>
        <v/>
      </c>
      <c r="C92" s="9" t="str">
        <f ca="1">IF(ROWS($1:79)&gt;COUNT(Dong),"",OFFSET(TH!E$1,SMALL(Dong,ROWS($1:79)),))</f>
        <v/>
      </c>
      <c r="D92" s="339" t="str">
        <f ca="1">IF(ROWS($1:79)&gt;COUNT(Dong),"",OFFSET(TH!F$1,SMALL(Dong,ROWS($1:79)),))</f>
        <v/>
      </c>
      <c r="E92" s="73" t="str">
        <f ca="1">IF(ROWS($1:79)&gt;COUNT(Dong),"",IF(OFFSET(TH!N$1,SMALL(Dong,ROWS($1:79)),)="331",OFFSET(TH!O$1,SMALL(Dong,ROWS($1:79)),),OFFSET(TH!N$1,SMALL(Dong,ROWS($1:79)),)))</f>
        <v/>
      </c>
      <c r="F92" s="73"/>
      <c r="G92" s="86" t="str">
        <f ca="1">IF(ROWS($1:79)&gt;COUNT(Dong),"",IF(OFFSET(TH!N$1,SMALL(Dong,ROWS($1:79)),)="331",OFFSET(TH!M$1,SMALL(Dong,ROWS($1:79)),),0))</f>
        <v/>
      </c>
      <c r="H92" s="86" t="str">
        <f ca="1">IF(ROWS($1:79)&gt;COUNT(Dong),"",IF(OFFSET(TH!O$1,SMALL(Dong,ROWS($1:79)),)="331",OFFSET(TH!M$1,SMALL(Dong,ROWS($1:79)),),0))</f>
        <v/>
      </c>
      <c r="I92" s="25">
        <f t="shared" ca="1" si="14"/>
        <v>0</v>
      </c>
      <c r="J92" s="25">
        <f t="shared" ca="1" si="15"/>
        <v>0</v>
      </c>
    </row>
    <row r="93" spans="1:10" s="18" customFormat="1" ht="18.75" customHeight="1">
      <c r="A93" s="9" t="str">
        <f ca="1">IF(ROWS($1:80)&gt;COUNT(Dong),"",OFFSET(TH!C$1,SMALL(Dong,ROWS($1:80)),))</f>
        <v/>
      </c>
      <c r="B93" s="9" t="str">
        <f ca="1">IF(ROWS($1:80)&gt;COUNT(Dong),"",OFFSET(TH!D$1,SMALL(Dong,ROWS($1:80)),))</f>
        <v/>
      </c>
      <c r="C93" s="9" t="str">
        <f ca="1">IF(ROWS($1:80)&gt;COUNT(Dong),"",OFFSET(TH!E$1,SMALL(Dong,ROWS($1:80)),))</f>
        <v/>
      </c>
      <c r="D93" s="339" t="str">
        <f ca="1">IF(ROWS($1:80)&gt;COUNT(Dong),"",OFFSET(TH!F$1,SMALL(Dong,ROWS($1:80)),))</f>
        <v/>
      </c>
      <c r="E93" s="73" t="str">
        <f ca="1">IF(ROWS($1:80)&gt;COUNT(Dong),"",IF(OFFSET(TH!N$1,SMALL(Dong,ROWS($1:80)),)="331",OFFSET(TH!O$1,SMALL(Dong,ROWS($1:80)),),OFFSET(TH!N$1,SMALL(Dong,ROWS($1:80)),)))</f>
        <v/>
      </c>
      <c r="F93" s="73"/>
      <c r="G93" s="86" t="str">
        <f ca="1">IF(ROWS($1:80)&gt;COUNT(Dong),"",IF(OFFSET(TH!N$1,SMALL(Dong,ROWS($1:80)),)="331",OFFSET(TH!M$1,SMALL(Dong,ROWS($1:80)),),0))</f>
        <v/>
      </c>
      <c r="H93" s="86" t="str">
        <f ca="1">IF(ROWS($1:80)&gt;COUNT(Dong),"",IF(OFFSET(TH!O$1,SMALL(Dong,ROWS($1:80)),)="331",OFFSET(TH!M$1,SMALL(Dong,ROWS($1:80)),),0))</f>
        <v/>
      </c>
      <c r="I93" s="25">
        <f t="shared" ca="1" si="14"/>
        <v>0</v>
      </c>
      <c r="J93" s="25">
        <f t="shared" ca="1" si="15"/>
        <v>0</v>
      </c>
    </row>
    <row r="94" spans="1:10" s="18" customFormat="1" ht="18.75" customHeight="1">
      <c r="A94" s="9" t="str">
        <f ca="1">IF(ROWS($1:81)&gt;COUNT(Dong),"",OFFSET(TH!C$1,SMALL(Dong,ROWS($1:81)),))</f>
        <v/>
      </c>
      <c r="B94" s="9" t="str">
        <f ca="1">IF(ROWS($1:81)&gt;COUNT(Dong),"",OFFSET(TH!D$1,SMALL(Dong,ROWS($1:81)),))</f>
        <v/>
      </c>
      <c r="C94" s="9" t="str">
        <f ca="1">IF(ROWS($1:81)&gt;COUNT(Dong),"",OFFSET(TH!E$1,SMALL(Dong,ROWS($1:81)),))</f>
        <v/>
      </c>
      <c r="D94" s="339" t="str">
        <f ca="1">IF(ROWS($1:81)&gt;COUNT(Dong),"",OFFSET(TH!F$1,SMALL(Dong,ROWS($1:81)),))</f>
        <v/>
      </c>
      <c r="E94" s="73" t="str">
        <f ca="1">IF(ROWS($1:81)&gt;COUNT(Dong),"",IF(OFFSET(TH!N$1,SMALL(Dong,ROWS($1:81)),)="331",OFFSET(TH!O$1,SMALL(Dong,ROWS($1:81)),),OFFSET(TH!N$1,SMALL(Dong,ROWS($1:81)),)))</f>
        <v/>
      </c>
      <c r="F94" s="73"/>
      <c r="G94" s="86" t="str">
        <f ca="1">IF(ROWS($1:81)&gt;COUNT(Dong),"",IF(OFFSET(TH!N$1,SMALL(Dong,ROWS($1:81)),)="331",OFFSET(TH!M$1,SMALL(Dong,ROWS($1:81)),),0))</f>
        <v/>
      </c>
      <c r="H94" s="86" t="str">
        <f ca="1">IF(ROWS($1:81)&gt;COUNT(Dong),"",IF(OFFSET(TH!O$1,SMALL(Dong,ROWS($1:81)),)="331",OFFSET(TH!M$1,SMALL(Dong,ROWS($1:81)),),0))</f>
        <v/>
      </c>
      <c r="I94" s="25">
        <f t="shared" ca="1" si="14"/>
        <v>0</v>
      </c>
      <c r="J94" s="25">
        <f t="shared" ca="1" si="15"/>
        <v>0</v>
      </c>
    </row>
    <row r="95" spans="1:10" s="18" customFormat="1" ht="18.75" customHeight="1">
      <c r="A95" s="9" t="str">
        <f ca="1">IF(ROWS($1:82)&gt;COUNT(Dong),"",OFFSET(TH!C$1,SMALL(Dong,ROWS($1:82)),))</f>
        <v/>
      </c>
      <c r="B95" s="9" t="str">
        <f ca="1">IF(ROWS($1:82)&gt;COUNT(Dong),"",OFFSET(TH!D$1,SMALL(Dong,ROWS($1:82)),))</f>
        <v/>
      </c>
      <c r="C95" s="9" t="str">
        <f ca="1">IF(ROWS($1:82)&gt;COUNT(Dong),"",OFFSET(TH!E$1,SMALL(Dong,ROWS($1:82)),))</f>
        <v/>
      </c>
      <c r="D95" s="339" t="str">
        <f ca="1">IF(ROWS($1:82)&gt;COUNT(Dong),"",OFFSET(TH!F$1,SMALL(Dong,ROWS($1:82)),))</f>
        <v/>
      </c>
      <c r="E95" s="73" t="str">
        <f ca="1">IF(ROWS($1:82)&gt;COUNT(Dong),"",IF(OFFSET(TH!N$1,SMALL(Dong,ROWS($1:82)),)="331",OFFSET(TH!O$1,SMALL(Dong,ROWS($1:82)),),OFFSET(TH!N$1,SMALL(Dong,ROWS($1:82)),)))</f>
        <v/>
      </c>
      <c r="F95" s="73"/>
      <c r="G95" s="86" t="str">
        <f ca="1">IF(ROWS($1:82)&gt;COUNT(Dong),"",IF(OFFSET(TH!N$1,SMALL(Dong,ROWS($1:82)),)="331",OFFSET(TH!M$1,SMALL(Dong,ROWS($1:82)),),0))</f>
        <v/>
      </c>
      <c r="H95" s="86" t="str">
        <f ca="1">IF(ROWS($1:82)&gt;COUNT(Dong),"",IF(OFFSET(TH!O$1,SMALL(Dong,ROWS($1:82)),)="331",OFFSET(TH!M$1,SMALL(Dong,ROWS($1:82)),),0))</f>
        <v/>
      </c>
      <c r="I95" s="25">
        <f t="shared" ca="1" si="14"/>
        <v>0</v>
      </c>
      <c r="J95" s="25">
        <f t="shared" ca="1" si="15"/>
        <v>0</v>
      </c>
    </row>
    <row r="96" spans="1:10" s="18" customFormat="1" ht="18.75" customHeight="1">
      <c r="A96" s="9" t="str">
        <f ca="1">IF(ROWS($1:83)&gt;COUNT(Dong),"",OFFSET(TH!C$1,SMALL(Dong,ROWS($1:83)),))</f>
        <v/>
      </c>
      <c r="B96" s="9" t="str">
        <f ca="1">IF(ROWS($1:83)&gt;COUNT(Dong),"",OFFSET(TH!D$1,SMALL(Dong,ROWS($1:83)),))</f>
        <v/>
      </c>
      <c r="C96" s="9" t="str">
        <f ca="1">IF(ROWS($1:83)&gt;COUNT(Dong),"",OFFSET(TH!E$1,SMALL(Dong,ROWS($1:83)),))</f>
        <v/>
      </c>
      <c r="D96" s="339" t="str">
        <f ca="1">IF(ROWS($1:83)&gt;COUNT(Dong),"",OFFSET(TH!F$1,SMALL(Dong,ROWS($1:83)),))</f>
        <v/>
      </c>
      <c r="E96" s="73" t="str">
        <f ca="1">IF(ROWS($1:83)&gt;COUNT(Dong),"",IF(OFFSET(TH!N$1,SMALL(Dong,ROWS($1:83)),)="331",OFFSET(TH!O$1,SMALL(Dong,ROWS($1:83)),),OFFSET(TH!N$1,SMALL(Dong,ROWS($1:83)),)))</f>
        <v/>
      </c>
      <c r="F96" s="73"/>
      <c r="G96" s="86" t="str">
        <f ca="1">IF(ROWS($1:83)&gt;COUNT(Dong),"",IF(OFFSET(TH!N$1,SMALL(Dong,ROWS($1:83)),)="331",OFFSET(TH!M$1,SMALL(Dong,ROWS($1:83)),),0))</f>
        <v/>
      </c>
      <c r="H96" s="86" t="str">
        <f ca="1">IF(ROWS($1:83)&gt;COUNT(Dong),"",IF(OFFSET(TH!O$1,SMALL(Dong,ROWS($1:83)),)="331",OFFSET(TH!M$1,SMALL(Dong,ROWS($1:83)),),0))</f>
        <v/>
      </c>
      <c r="I96" s="25">
        <f t="shared" ca="1" si="14"/>
        <v>0</v>
      </c>
      <c r="J96" s="25">
        <f t="shared" ca="1" si="15"/>
        <v>0</v>
      </c>
    </row>
    <row r="97" spans="1:10" s="18" customFormat="1" ht="18.75" customHeight="1">
      <c r="A97" s="9" t="str">
        <f ca="1">IF(ROWS($1:84)&gt;COUNT(Dong),"",OFFSET(TH!C$1,SMALL(Dong,ROWS($1:84)),))</f>
        <v/>
      </c>
      <c r="B97" s="9" t="str">
        <f ca="1">IF(ROWS($1:84)&gt;COUNT(Dong),"",OFFSET(TH!D$1,SMALL(Dong,ROWS($1:84)),))</f>
        <v/>
      </c>
      <c r="C97" s="9" t="str">
        <f ca="1">IF(ROWS($1:84)&gt;COUNT(Dong),"",OFFSET(TH!E$1,SMALL(Dong,ROWS($1:84)),))</f>
        <v/>
      </c>
      <c r="D97" s="339" t="str">
        <f ca="1">IF(ROWS($1:84)&gt;COUNT(Dong),"",OFFSET(TH!F$1,SMALL(Dong,ROWS($1:84)),))</f>
        <v/>
      </c>
      <c r="E97" s="73" t="str">
        <f ca="1">IF(ROWS($1:84)&gt;COUNT(Dong),"",IF(OFFSET(TH!N$1,SMALL(Dong,ROWS($1:84)),)="331",OFFSET(TH!O$1,SMALL(Dong,ROWS($1:84)),),OFFSET(TH!N$1,SMALL(Dong,ROWS($1:84)),)))</f>
        <v/>
      </c>
      <c r="F97" s="73"/>
      <c r="G97" s="86" t="str">
        <f ca="1">IF(ROWS($1:84)&gt;COUNT(Dong),"",IF(OFFSET(TH!N$1,SMALL(Dong,ROWS($1:84)),)="331",OFFSET(TH!M$1,SMALL(Dong,ROWS($1:84)),),0))</f>
        <v/>
      </c>
      <c r="H97" s="86" t="str">
        <f ca="1">IF(ROWS($1:84)&gt;COUNT(Dong),"",IF(OFFSET(TH!O$1,SMALL(Dong,ROWS($1:84)),)="331",OFFSET(TH!M$1,SMALL(Dong,ROWS($1:84)),),0))</f>
        <v/>
      </c>
      <c r="I97" s="25">
        <f t="shared" ca="1" si="14"/>
        <v>0</v>
      </c>
      <c r="J97" s="25">
        <f t="shared" ca="1" si="15"/>
        <v>0</v>
      </c>
    </row>
    <row r="98" spans="1:10" s="18" customFormat="1" ht="18.75" customHeight="1">
      <c r="A98" s="9" t="str">
        <f ca="1">IF(ROWS($1:85)&gt;COUNT(Dong),"",OFFSET(TH!C$1,SMALL(Dong,ROWS($1:85)),))</f>
        <v/>
      </c>
      <c r="B98" s="9" t="str">
        <f ca="1">IF(ROWS($1:85)&gt;COUNT(Dong),"",OFFSET(TH!D$1,SMALL(Dong,ROWS($1:85)),))</f>
        <v/>
      </c>
      <c r="C98" s="9" t="str">
        <f ca="1">IF(ROWS($1:85)&gt;COUNT(Dong),"",OFFSET(TH!E$1,SMALL(Dong,ROWS($1:85)),))</f>
        <v/>
      </c>
      <c r="D98" s="339" t="str">
        <f ca="1">IF(ROWS($1:85)&gt;COUNT(Dong),"",OFFSET(TH!F$1,SMALL(Dong,ROWS($1:85)),))</f>
        <v/>
      </c>
      <c r="E98" s="73" t="str">
        <f ca="1">IF(ROWS($1:85)&gt;COUNT(Dong),"",IF(OFFSET(TH!N$1,SMALL(Dong,ROWS($1:85)),)="331",OFFSET(TH!O$1,SMALL(Dong,ROWS($1:85)),),OFFSET(TH!N$1,SMALL(Dong,ROWS($1:85)),)))</f>
        <v/>
      </c>
      <c r="F98" s="73"/>
      <c r="G98" s="86" t="str">
        <f ca="1">IF(ROWS($1:85)&gt;COUNT(Dong),"",IF(OFFSET(TH!N$1,SMALL(Dong,ROWS($1:85)),)="331",OFFSET(TH!M$1,SMALL(Dong,ROWS($1:85)),),0))</f>
        <v/>
      </c>
      <c r="H98" s="86" t="str">
        <f ca="1">IF(ROWS($1:85)&gt;COUNT(Dong),"",IF(OFFSET(TH!O$1,SMALL(Dong,ROWS($1:85)),)="331",OFFSET(TH!M$1,SMALL(Dong,ROWS($1:85)),),0))</f>
        <v/>
      </c>
      <c r="I98" s="25">
        <f t="shared" ca="1" si="14"/>
        <v>0</v>
      </c>
      <c r="J98" s="25">
        <f t="shared" ca="1" si="15"/>
        <v>0</v>
      </c>
    </row>
    <row r="99" spans="1:10" s="18" customFormat="1" ht="18.75" customHeight="1">
      <c r="A99" s="9" t="str">
        <f ca="1">IF(ROWS($1:86)&gt;COUNT(Dong),"",OFFSET(TH!C$1,SMALL(Dong,ROWS($1:86)),))</f>
        <v/>
      </c>
      <c r="B99" s="9" t="str">
        <f ca="1">IF(ROWS($1:86)&gt;COUNT(Dong),"",OFFSET(TH!D$1,SMALL(Dong,ROWS($1:86)),))</f>
        <v/>
      </c>
      <c r="C99" s="9" t="str">
        <f ca="1">IF(ROWS($1:86)&gt;COUNT(Dong),"",OFFSET(TH!E$1,SMALL(Dong,ROWS($1:86)),))</f>
        <v/>
      </c>
      <c r="D99" s="339" t="str">
        <f ca="1">IF(ROWS($1:86)&gt;COUNT(Dong),"",OFFSET(TH!F$1,SMALL(Dong,ROWS($1:86)),))</f>
        <v/>
      </c>
      <c r="E99" s="73" t="str">
        <f ca="1">IF(ROWS($1:86)&gt;COUNT(Dong),"",IF(OFFSET(TH!N$1,SMALL(Dong,ROWS($1:86)),)="331",OFFSET(TH!O$1,SMALL(Dong,ROWS($1:86)),),OFFSET(TH!N$1,SMALL(Dong,ROWS($1:86)),)))</f>
        <v/>
      </c>
      <c r="F99" s="73"/>
      <c r="G99" s="86" t="str">
        <f ca="1">IF(ROWS($1:86)&gt;COUNT(Dong),"",IF(OFFSET(TH!N$1,SMALL(Dong,ROWS($1:86)),)="331",OFFSET(TH!M$1,SMALL(Dong,ROWS($1:86)),),0))</f>
        <v/>
      </c>
      <c r="H99" s="86" t="str">
        <f ca="1">IF(ROWS($1:86)&gt;COUNT(Dong),"",IF(OFFSET(TH!O$1,SMALL(Dong,ROWS($1:86)),)="331",OFFSET(TH!M$1,SMALL(Dong,ROWS($1:86)),),0))</f>
        <v/>
      </c>
      <c r="I99" s="25">
        <f t="shared" ca="1" si="14"/>
        <v>0</v>
      </c>
      <c r="J99" s="25">
        <f t="shared" ca="1" si="15"/>
        <v>0</v>
      </c>
    </row>
    <row r="100" spans="1:10" s="18" customFormat="1" ht="18.75" customHeight="1">
      <c r="A100" s="9" t="str">
        <f ca="1">IF(ROWS($1:87)&gt;COUNT(Dong),"",OFFSET(TH!C$1,SMALL(Dong,ROWS($1:87)),))</f>
        <v/>
      </c>
      <c r="B100" s="9" t="str">
        <f ca="1">IF(ROWS($1:87)&gt;COUNT(Dong),"",OFFSET(TH!D$1,SMALL(Dong,ROWS($1:87)),))</f>
        <v/>
      </c>
      <c r="C100" s="9" t="str">
        <f ca="1">IF(ROWS($1:87)&gt;COUNT(Dong),"",OFFSET(TH!E$1,SMALL(Dong,ROWS($1:87)),))</f>
        <v/>
      </c>
      <c r="D100" s="339" t="str">
        <f ca="1">IF(ROWS($1:87)&gt;COUNT(Dong),"",OFFSET(TH!F$1,SMALL(Dong,ROWS($1:87)),))</f>
        <v/>
      </c>
      <c r="E100" s="73" t="str">
        <f ca="1">IF(ROWS($1:87)&gt;COUNT(Dong),"",IF(OFFSET(TH!N$1,SMALL(Dong,ROWS($1:87)),)="331",OFFSET(TH!O$1,SMALL(Dong,ROWS($1:87)),),OFFSET(TH!N$1,SMALL(Dong,ROWS($1:87)),)))</f>
        <v/>
      </c>
      <c r="F100" s="73"/>
      <c r="G100" s="86" t="str">
        <f ca="1">IF(ROWS($1:87)&gt;COUNT(Dong),"",IF(OFFSET(TH!N$1,SMALL(Dong,ROWS($1:87)),)="331",OFFSET(TH!M$1,SMALL(Dong,ROWS($1:87)),),0))</f>
        <v/>
      </c>
      <c r="H100" s="86" t="str">
        <f ca="1">IF(ROWS($1:87)&gt;COUNT(Dong),"",IF(OFFSET(TH!O$1,SMALL(Dong,ROWS($1:87)),)="331",OFFSET(TH!M$1,SMALL(Dong,ROWS($1:87)),),0))</f>
        <v/>
      </c>
      <c r="I100" s="25">
        <f t="shared" ca="1" si="14"/>
        <v>0</v>
      </c>
      <c r="J100" s="25">
        <f t="shared" ca="1" si="15"/>
        <v>0</v>
      </c>
    </row>
    <row r="101" spans="1:10" s="18" customFormat="1" ht="18.75" customHeight="1">
      <c r="A101" s="9" t="str">
        <f ca="1">IF(ROWS($1:88)&gt;COUNT(Dong),"",OFFSET(TH!C$1,SMALL(Dong,ROWS($1:88)),))</f>
        <v/>
      </c>
      <c r="B101" s="9" t="str">
        <f ca="1">IF(ROWS($1:88)&gt;COUNT(Dong),"",OFFSET(TH!D$1,SMALL(Dong,ROWS($1:88)),))</f>
        <v/>
      </c>
      <c r="C101" s="9" t="str">
        <f ca="1">IF(ROWS($1:88)&gt;COUNT(Dong),"",OFFSET(TH!E$1,SMALL(Dong,ROWS($1:88)),))</f>
        <v/>
      </c>
      <c r="D101" s="339" t="str">
        <f ca="1">IF(ROWS($1:88)&gt;COUNT(Dong),"",OFFSET(TH!F$1,SMALL(Dong,ROWS($1:88)),))</f>
        <v/>
      </c>
      <c r="E101" s="73" t="str">
        <f ca="1">IF(ROWS($1:88)&gt;COUNT(Dong),"",IF(OFFSET(TH!N$1,SMALL(Dong,ROWS($1:88)),)="331",OFFSET(TH!O$1,SMALL(Dong,ROWS($1:88)),),OFFSET(TH!N$1,SMALL(Dong,ROWS($1:88)),)))</f>
        <v/>
      </c>
      <c r="F101" s="73"/>
      <c r="G101" s="86" t="str">
        <f ca="1">IF(ROWS($1:88)&gt;COUNT(Dong),"",IF(OFFSET(TH!N$1,SMALL(Dong,ROWS($1:88)),)="331",OFFSET(TH!M$1,SMALL(Dong,ROWS($1:88)),),0))</f>
        <v/>
      </c>
      <c r="H101" s="86" t="str">
        <f ca="1">IF(ROWS($1:88)&gt;COUNT(Dong),"",IF(OFFSET(TH!O$1,SMALL(Dong,ROWS($1:88)),)="331",OFFSET(TH!M$1,SMALL(Dong,ROWS($1:88)),),0))</f>
        <v/>
      </c>
      <c r="I101" s="25">
        <f t="shared" ca="1" si="14"/>
        <v>0</v>
      </c>
      <c r="J101" s="25">
        <f t="shared" ca="1" si="15"/>
        <v>0</v>
      </c>
    </row>
    <row r="102" spans="1:10" s="18" customFormat="1" ht="18.75" customHeight="1">
      <c r="A102" s="9" t="str">
        <f ca="1">IF(ROWS($1:89)&gt;COUNT(Dong),"",OFFSET(TH!C$1,SMALL(Dong,ROWS($1:89)),))</f>
        <v/>
      </c>
      <c r="B102" s="9" t="str">
        <f ca="1">IF(ROWS($1:89)&gt;COUNT(Dong),"",OFFSET(TH!D$1,SMALL(Dong,ROWS($1:89)),))</f>
        <v/>
      </c>
      <c r="C102" s="9" t="str">
        <f ca="1">IF(ROWS($1:89)&gt;COUNT(Dong),"",OFFSET(TH!E$1,SMALL(Dong,ROWS($1:89)),))</f>
        <v/>
      </c>
      <c r="D102" s="339" t="str">
        <f ca="1">IF(ROWS($1:89)&gt;COUNT(Dong),"",OFFSET(TH!F$1,SMALL(Dong,ROWS($1:89)),))</f>
        <v/>
      </c>
      <c r="E102" s="73" t="str">
        <f ca="1">IF(ROWS($1:89)&gt;COUNT(Dong),"",IF(OFFSET(TH!N$1,SMALL(Dong,ROWS($1:89)),)="331",OFFSET(TH!O$1,SMALL(Dong,ROWS($1:89)),),OFFSET(TH!N$1,SMALL(Dong,ROWS($1:89)),)))</f>
        <v/>
      </c>
      <c r="F102" s="73"/>
      <c r="G102" s="86" t="str">
        <f ca="1">IF(ROWS($1:89)&gt;COUNT(Dong),"",IF(OFFSET(TH!N$1,SMALL(Dong,ROWS($1:89)),)="331",OFFSET(TH!M$1,SMALL(Dong,ROWS($1:89)),),0))</f>
        <v/>
      </c>
      <c r="H102" s="86" t="str">
        <f ca="1">IF(ROWS($1:89)&gt;COUNT(Dong),"",IF(OFFSET(TH!O$1,SMALL(Dong,ROWS($1:89)),)="331",OFFSET(TH!M$1,SMALL(Dong,ROWS($1:89)),),0))</f>
        <v/>
      </c>
      <c r="I102" s="25">
        <f t="shared" ca="1" si="14"/>
        <v>0</v>
      </c>
      <c r="J102" s="25">
        <f t="shared" ca="1" si="15"/>
        <v>0</v>
      </c>
    </row>
    <row r="103" spans="1:10" s="18" customFormat="1" ht="18.75" customHeight="1">
      <c r="A103" s="9" t="str">
        <f ca="1">IF(ROWS($1:90)&gt;COUNT(Dong),"",OFFSET(TH!C$1,SMALL(Dong,ROWS($1:90)),))</f>
        <v/>
      </c>
      <c r="B103" s="9" t="str">
        <f ca="1">IF(ROWS($1:90)&gt;COUNT(Dong),"",OFFSET(TH!D$1,SMALL(Dong,ROWS($1:90)),))</f>
        <v/>
      </c>
      <c r="C103" s="9" t="str">
        <f ca="1">IF(ROWS($1:90)&gt;COUNT(Dong),"",OFFSET(TH!E$1,SMALL(Dong,ROWS($1:90)),))</f>
        <v/>
      </c>
      <c r="D103" s="339" t="str">
        <f ca="1">IF(ROWS($1:90)&gt;COUNT(Dong),"",OFFSET(TH!F$1,SMALL(Dong,ROWS($1:90)),))</f>
        <v/>
      </c>
      <c r="E103" s="73" t="str">
        <f ca="1">IF(ROWS($1:90)&gt;COUNT(Dong),"",IF(OFFSET(TH!N$1,SMALL(Dong,ROWS($1:90)),)="331",OFFSET(TH!O$1,SMALL(Dong,ROWS($1:90)),),OFFSET(TH!N$1,SMALL(Dong,ROWS($1:90)),)))</f>
        <v/>
      </c>
      <c r="F103" s="73"/>
      <c r="G103" s="86" t="str">
        <f ca="1">IF(ROWS($1:90)&gt;COUNT(Dong),"",IF(OFFSET(TH!N$1,SMALL(Dong,ROWS($1:90)),)="331",OFFSET(TH!M$1,SMALL(Dong,ROWS($1:90)),),0))</f>
        <v/>
      </c>
      <c r="H103" s="86" t="str">
        <f ca="1">IF(ROWS($1:90)&gt;COUNT(Dong),"",IF(OFFSET(TH!O$1,SMALL(Dong,ROWS($1:90)),)="331",OFFSET(TH!M$1,SMALL(Dong,ROWS($1:90)),),0))</f>
        <v/>
      </c>
      <c r="I103" s="25">
        <f t="shared" ca="1" si="14"/>
        <v>0</v>
      </c>
      <c r="J103" s="25">
        <f t="shared" ca="1" si="15"/>
        <v>0</v>
      </c>
    </row>
    <row r="104" spans="1:10" s="18" customFormat="1" ht="18.75" customHeight="1">
      <c r="A104" s="9" t="str">
        <f ca="1">IF(ROWS($1:91)&gt;COUNT(Dong),"",OFFSET(TH!C$1,SMALL(Dong,ROWS($1:91)),))</f>
        <v/>
      </c>
      <c r="B104" s="9" t="str">
        <f ca="1">IF(ROWS($1:91)&gt;COUNT(Dong),"",OFFSET(TH!D$1,SMALL(Dong,ROWS($1:91)),))</f>
        <v/>
      </c>
      <c r="C104" s="9" t="str">
        <f ca="1">IF(ROWS($1:91)&gt;COUNT(Dong),"",OFFSET(TH!E$1,SMALL(Dong,ROWS($1:91)),))</f>
        <v/>
      </c>
      <c r="D104" s="339" t="str">
        <f ca="1">IF(ROWS($1:91)&gt;COUNT(Dong),"",OFFSET(TH!F$1,SMALL(Dong,ROWS($1:91)),))</f>
        <v/>
      </c>
      <c r="E104" s="73" t="str">
        <f ca="1">IF(ROWS($1:91)&gt;COUNT(Dong),"",IF(OFFSET(TH!N$1,SMALL(Dong,ROWS($1:91)),)="331",OFFSET(TH!O$1,SMALL(Dong,ROWS($1:91)),),OFFSET(TH!N$1,SMALL(Dong,ROWS($1:91)),)))</f>
        <v/>
      </c>
      <c r="F104" s="73"/>
      <c r="G104" s="86" t="str">
        <f ca="1">IF(ROWS($1:91)&gt;COUNT(Dong),"",IF(OFFSET(TH!N$1,SMALL(Dong,ROWS($1:91)),)="331",OFFSET(TH!M$1,SMALL(Dong,ROWS($1:91)),),0))</f>
        <v/>
      </c>
      <c r="H104" s="86" t="str">
        <f ca="1">IF(ROWS($1:91)&gt;COUNT(Dong),"",IF(OFFSET(TH!O$1,SMALL(Dong,ROWS($1:91)),)="331",OFFSET(TH!M$1,SMALL(Dong,ROWS($1:91)),),0))</f>
        <v/>
      </c>
      <c r="I104" s="25">
        <f t="shared" ca="1" si="14"/>
        <v>0</v>
      </c>
      <c r="J104" s="25">
        <f t="shared" ca="1" si="15"/>
        <v>0</v>
      </c>
    </row>
    <row r="105" spans="1:10" s="18" customFormat="1" ht="18.75" customHeight="1">
      <c r="A105" s="9" t="str">
        <f ca="1">IF(ROWS($1:92)&gt;COUNT(Dong),"",OFFSET(TH!C$1,SMALL(Dong,ROWS($1:92)),))</f>
        <v/>
      </c>
      <c r="B105" s="9" t="str">
        <f ca="1">IF(ROWS($1:92)&gt;COUNT(Dong),"",OFFSET(TH!D$1,SMALL(Dong,ROWS($1:92)),))</f>
        <v/>
      </c>
      <c r="C105" s="9" t="str">
        <f ca="1">IF(ROWS($1:92)&gt;COUNT(Dong),"",OFFSET(TH!E$1,SMALL(Dong,ROWS($1:92)),))</f>
        <v/>
      </c>
      <c r="D105" s="339" t="str">
        <f ca="1">IF(ROWS($1:92)&gt;COUNT(Dong),"",OFFSET(TH!F$1,SMALL(Dong,ROWS($1:92)),))</f>
        <v/>
      </c>
      <c r="E105" s="73" t="str">
        <f ca="1">IF(ROWS($1:92)&gt;COUNT(Dong),"",IF(OFFSET(TH!N$1,SMALL(Dong,ROWS($1:92)),)="331",OFFSET(TH!O$1,SMALL(Dong,ROWS($1:92)),),OFFSET(TH!N$1,SMALL(Dong,ROWS($1:92)),)))</f>
        <v/>
      </c>
      <c r="F105" s="73"/>
      <c r="G105" s="86" t="str">
        <f ca="1">IF(ROWS($1:92)&gt;COUNT(Dong),"",IF(OFFSET(TH!N$1,SMALL(Dong,ROWS($1:92)),)="331",OFFSET(TH!M$1,SMALL(Dong,ROWS($1:92)),),0))</f>
        <v/>
      </c>
      <c r="H105" s="86" t="str">
        <f ca="1">IF(ROWS($1:92)&gt;COUNT(Dong),"",IF(OFFSET(TH!O$1,SMALL(Dong,ROWS($1:92)),)="331",OFFSET(TH!M$1,SMALL(Dong,ROWS($1:92)),),0))</f>
        <v/>
      </c>
      <c r="I105" s="25">
        <f t="shared" ca="1" si="14"/>
        <v>0</v>
      </c>
      <c r="J105" s="25">
        <f t="shared" ca="1" si="15"/>
        <v>0</v>
      </c>
    </row>
    <row r="106" spans="1:10" s="18" customFormat="1" ht="18.75" customHeight="1">
      <c r="A106" s="9" t="str">
        <f ca="1">IF(ROWS($1:93)&gt;COUNT(Dong),"",OFFSET(TH!C$1,SMALL(Dong,ROWS($1:93)),))</f>
        <v/>
      </c>
      <c r="B106" s="9" t="str">
        <f ca="1">IF(ROWS($1:93)&gt;COUNT(Dong),"",OFFSET(TH!D$1,SMALL(Dong,ROWS($1:93)),))</f>
        <v/>
      </c>
      <c r="C106" s="9" t="str">
        <f ca="1">IF(ROWS($1:93)&gt;COUNT(Dong),"",OFFSET(TH!E$1,SMALL(Dong,ROWS($1:93)),))</f>
        <v/>
      </c>
      <c r="D106" s="339" t="str">
        <f ca="1">IF(ROWS($1:93)&gt;COUNT(Dong),"",OFFSET(TH!F$1,SMALL(Dong,ROWS($1:93)),))</f>
        <v/>
      </c>
      <c r="E106" s="73" t="str">
        <f ca="1">IF(ROWS($1:93)&gt;COUNT(Dong),"",IF(OFFSET(TH!N$1,SMALL(Dong,ROWS($1:93)),)="331",OFFSET(TH!O$1,SMALL(Dong,ROWS($1:93)),),OFFSET(TH!N$1,SMALL(Dong,ROWS($1:93)),)))</f>
        <v/>
      </c>
      <c r="F106" s="73"/>
      <c r="G106" s="86" t="str">
        <f ca="1">IF(ROWS($1:93)&gt;COUNT(Dong),"",IF(OFFSET(TH!N$1,SMALL(Dong,ROWS($1:93)),)="331",OFFSET(TH!M$1,SMALL(Dong,ROWS($1:93)),),0))</f>
        <v/>
      </c>
      <c r="H106" s="86" t="str">
        <f ca="1">IF(ROWS($1:93)&gt;COUNT(Dong),"",IF(OFFSET(TH!O$1,SMALL(Dong,ROWS($1:93)),)="331",OFFSET(TH!M$1,SMALL(Dong,ROWS($1:93)),),0))</f>
        <v/>
      </c>
      <c r="I106" s="25">
        <f t="shared" ca="1" si="14"/>
        <v>0</v>
      </c>
      <c r="J106" s="25">
        <f t="shared" ca="1" si="15"/>
        <v>0</v>
      </c>
    </row>
    <row r="107" spans="1:10" s="18" customFormat="1" ht="18.75" customHeight="1">
      <c r="A107" s="9" t="str">
        <f ca="1">IF(ROWS($1:94)&gt;COUNT(Dong),"",OFFSET(TH!C$1,SMALL(Dong,ROWS($1:94)),))</f>
        <v/>
      </c>
      <c r="B107" s="9" t="str">
        <f ca="1">IF(ROWS($1:94)&gt;COUNT(Dong),"",OFFSET(TH!D$1,SMALL(Dong,ROWS($1:94)),))</f>
        <v/>
      </c>
      <c r="C107" s="9" t="str">
        <f ca="1">IF(ROWS($1:94)&gt;COUNT(Dong),"",OFFSET(TH!E$1,SMALL(Dong,ROWS($1:94)),))</f>
        <v/>
      </c>
      <c r="D107" s="339" t="str">
        <f ca="1">IF(ROWS($1:94)&gt;COUNT(Dong),"",OFFSET(TH!F$1,SMALL(Dong,ROWS($1:94)),))</f>
        <v/>
      </c>
      <c r="E107" s="73" t="str">
        <f ca="1">IF(ROWS($1:94)&gt;COUNT(Dong),"",IF(OFFSET(TH!N$1,SMALL(Dong,ROWS($1:94)),)="331",OFFSET(TH!O$1,SMALL(Dong,ROWS($1:94)),),OFFSET(TH!N$1,SMALL(Dong,ROWS($1:94)),)))</f>
        <v/>
      </c>
      <c r="F107" s="73"/>
      <c r="G107" s="86" t="str">
        <f ca="1">IF(ROWS($1:94)&gt;COUNT(Dong),"",IF(OFFSET(TH!N$1,SMALL(Dong,ROWS($1:94)),)="331",OFFSET(TH!M$1,SMALL(Dong,ROWS($1:94)),),0))</f>
        <v/>
      </c>
      <c r="H107" s="86" t="str">
        <f ca="1">IF(ROWS($1:94)&gt;COUNT(Dong),"",IF(OFFSET(TH!O$1,SMALL(Dong,ROWS($1:94)),)="331",OFFSET(TH!M$1,SMALL(Dong,ROWS($1:94)),),0))</f>
        <v/>
      </c>
      <c r="I107" s="25">
        <f t="shared" ca="1" si="14"/>
        <v>0</v>
      </c>
      <c r="J107" s="25">
        <f t="shared" ca="1" si="15"/>
        <v>0</v>
      </c>
    </row>
    <row r="108" spans="1:10" s="18" customFormat="1" ht="18.75" customHeight="1">
      <c r="A108" s="9" t="str">
        <f ca="1">IF(ROWS($1:95)&gt;COUNT(Dong),"",OFFSET(TH!C$1,SMALL(Dong,ROWS($1:95)),))</f>
        <v/>
      </c>
      <c r="B108" s="9" t="str">
        <f ca="1">IF(ROWS($1:95)&gt;COUNT(Dong),"",OFFSET(TH!D$1,SMALL(Dong,ROWS($1:95)),))</f>
        <v/>
      </c>
      <c r="C108" s="9" t="str">
        <f ca="1">IF(ROWS($1:95)&gt;COUNT(Dong),"",OFFSET(TH!E$1,SMALL(Dong,ROWS($1:95)),))</f>
        <v/>
      </c>
      <c r="D108" s="339" t="str">
        <f ca="1">IF(ROWS($1:95)&gt;COUNT(Dong),"",OFFSET(TH!F$1,SMALL(Dong,ROWS($1:95)),))</f>
        <v/>
      </c>
      <c r="E108" s="73" t="str">
        <f ca="1">IF(ROWS($1:95)&gt;COUNT(Dong),"",IF(OFFSET(TH!N$1,SMALL(Dong,ROWS($1:95)),)="331",OFFSET(TH!O$1,SMALL(Dong,ROWS($1:95)),),OFFSET(TH!N$1,SMALL(Dong,ROWS($1:95)),)))</f>
        <v/>
      </c>
      <c r="F108" s="73"/>
      <c r="G108" s="86" t="str">
        <f ca="1">IF(ROWS($1:95)&gt;COUNT(Dong),"",IF(OFFSET(TH!N$1,SMALL(Dong,ROWS($1:95)),)="331",OFFSET(TH!M$1,SMALL(Dong,ROWS($1:95)),),0))</f>
        <v/>
      </c>
      <c r="H108" s="86" t="str">
        <f ca="1">IF(ROWS($1:95)&gt;COUNT(Dong),"",IF(OFFSET(TH!O$1,SMALL(Dong,ROWS($1:95)),)="331",OFFSET(TH!M$1,SMALL(Dong,ROWS($1:95)),),0))</f>
        <v/>
      </c>
      <c r="I108" s="25">
        <f t="shared" ca="1" si="14"/>
        <v>0</v>
      </c>
      <c r="J108" s="25">
        <f t="shared" ca="1" si="15"/>
        <v>0</v>
      </c>
    </row>
    <row r="109" spans="1:10" s="18" customFormat="1" ht="18.75" customHeight="1">
      <c r="A109" s="9" t="str">
        <f ca="1">IF(ROWS($1:96)&gt;COUNT(Dong),"",OFFSET(TH!C$1,SMALL(Dong,ROWS($1:96)),))</f>
        <v/>
      </c>
      <c r="B109" s="9" t="str">
        <f ca="1">IF(ROWS($1:96)&gt;COUNT(Dong),"",OFFSET(TH!D$1,SMALL(Dong,ROWS($1:96)),))</f>
        <v/>
      </c>
      <c r="C109" s="9" t="str">
        <f ca="1">IF(ROWS($1:96)&gt;COUNT(Dong),"",OFFSET(TH!E$1,SMALL(Dong,ROWS($1:96)),))</f>
        <v/>
      </c>
      <c r="D109" s="339" t="str">
        <f ca="1">IF(ROWS($1:96)&gt;COUNT(Dong),"",OFFSET(TH!F$1,SMALL(Dong,ROWS($1:96)),))</f>
        <v/>
      </c>
      <c r="E109" s="73" t="str">
        <f ca="1">IF(ROWS($1:96)&gt;COUNT(Dong),"",IF(OFFSET(TH!N$1,SMALL(Dong,ROWS($1:96)),)="331",OFFSET(TH!O$1,SMALL(Dong,ROWS($1:96)),),OFFSET(TH!N$1,SMALL(Dong,ROWS($1:96)),)))</f>
        <v/>
      </c>
      <c r="F109" s="73"/>
      <c r="G109" s="86" t="str">
        <f ca="1">IF(ROWS($1:96)&gt;COUNT(Dong),"",IF(OFFSET(TH!N$1,SMALL(Dong,ROWS($1:96)),)="331",OFFSET(TH!M$1,SMALL(Dong,ROWS($1:96)),),0))</f>
        <v/>
      </c>
      <c r="H109" s="86" t="str">
        <f ca="1">IF(ROWS($1:96)&gt;COUNT(Dong),"",IF(OFFSET(TH!O$1,SMALL(Dong,ROWS($1:96)),)="331",OFFSET(TH!M$1,SMALL(Dong,ROWS($1:96)),),0))</f>
        <v/>
      </c>
      <c r="I109" s="25">
        <f t="shared" ca="1" si="14"/>
        <v>0</v>
      </c>
      <c r="J109" s="25">
        <f t="shared" ca="1" si="15"/>
        <v>0</v>
      </c>
    </row>
    <row r="110" spans="1:10" s="18" customFormat="1" ht="18.75" customHeight="1">
      <c r="A110" s="9" t="str">
        <f ca="1">IF(ROWS($1:97)&gt;COUNT(Dong),"",OFFSET(TH!C$1,SMALL(Dong,ROWS($1:97)),))</f>
        <v/>
      </c>
      <c r="B110" s="9" t="str">
        <f ca="1">IF(ROWS($1:97)&gt;COUNT(Dong),"",OFFSET(TH!D$1,SMALL(Dong,ROWS($1:97)),))</f>
        <v/>
      </c>
      <c r="C110" s="9" t="str">
        <f ca="1">IF(ROWS($1:97)&gt;COUNT(Dong),"",OFFSET(TH!E$1,SMALL(Dong,ROWS($1:97)),))</f>
        <v/>
      </c>
      <c r="D110" s="339" t="str">
        <f ca="1">IF(ROWS($1:97)&gt;COUNT(Dong),"",OFFSET(TH!F$1,SMALL(Dong,ROWS($1:97)),))</f>
        <v/>
      </c>
      <c r="E110" s="73" t="str">
        <f ca="1">IF(ROWS($1:97)&gt;COUNT(Dong),"",IF(OFFSET(TH!N$1,SMALL(Dong,ROWS($1:97)),)="331",OFFSET(TH!O$1,SMALL(Dong,ROWS($1:97)),),OFFSET(TH!N$1,SMALL(Dong,ROWS($1:97)),)))</f>
        <v/>
      </c>
      <c r="F110" s="73"/>
      <c r="G110" s="86" t="str">
        <f ca="1">IF(ROWS($1:97)&gt;COUNT(Dong),"",IF(OFFSET(TH!N$1,SMALL(Dong,ROWS($1:97)),)="331",OFFSET(TH!M$1,SMALL(Dong,ROWS($1:97)),),0))</f>
        <v/>
      </c>
      <c r="H110" s="86" t="str">
        <f ca="1">IF(ROWS($1:97)&gt;COUNT(Dong),"",IF(OFFSET(TH!O$1,SMALL(Dong,ROWS($1:97)),)="331",OFFSET(TH!M$1,SMALL(Dong,ROWS($1:97)),),0))</f>
        <v/>
      </c>
      <c r="I110" s="25">
        <f t="shared" ref="I110:I173" ca="1" si="16">IF(D110&lt;&gt;"",MAX(I109+G110-H110-J109,0),0)</f>
        <v>0</v>
      </c>
      <c r="J110" s="25">
        <f t="shared" ref="J110:J173" ca="1" si="17">IF(D110&lt;&gt;"",MAX(J109+H110-I109-G110,0),0)</f>
        <v>0</v>
      </c>
    </row>
    <row r="111" spans="1:10" s="18" customFormat="1" ht="18.75" customHeight="1">
      <c r="A111" s="9" t="str">
        <f ca="1">IF(ROWS($1:98)&gt;COUNT(Dong),"",OFFSET(TH!C$1,SMALL(Dong,ROWS($1:98)),))</f>
        <v/>
      </c>
      <c r="B111" s="9" t="str">
        <f ca="1">IF(ROWS($1:98)&gt;COUNT(Dong),"",OFFSET(TH!D$1,SMALL(Dong,ROWS($1:98)),))</f>
        <v/>
      </c>
      <c r="C111" s="9" t="str">
        <f ca="1">IF(ROWS($1:98)&gt;COUNT(Dong),"",OFFSET(TH!E$1,SMALL(Dong,ROWS($1:98)),))</f>
        <v/>
      </c>
      <c r="D111" s="339" t="str">
        <f ca="1">IF(ROWS($1:98)&gt;COUNT(Dong),"",OFFSET(TH!F$1,SMALL(Dong,ROWS($1:98)),))</f>
        <v/>
      </c>
      <c r="E111" s="73" t="str">
        <f ca="1">IF(ROWS($1:98)&gt;COUNT(Dong),"",IF(OFFSET(TH!N$1,SMALL(Dong,ROWS($1:98)),)="331",OFFSET(TH!O$1,SMALL(Dong,ROWS($1:98)),),OFFSET(TH!N$1,SMALL(Dong,ROWS($1:98)),)))</f>
        <v/>
      </c>
      <c r="F111" s="73"/>
      <c r="G111" s="86" t="str">
        <f ca="1">IF(ROWS($1:98)&gt;COUNT(Dong),"",IF(OFFSET(TH!N$1,SMALL(Dong,ROWS($1:98)),)="331",OFFSET(TH!M$1,SMALL(Dong,ROWS($1:98)),),0))</f>
        <v/>
      </c>
      <c r="H111" s="86" t="str">
        <f ca="1">IF(ROWS($1:98)&gt;COUNT(Dong),"",IF(OFFSET(TH!O$1,SMALL(Dong,ROWS($1:98)),)="331",OFFSET(TH!M$1,SMALL(Dong,ROWS($1:98)),),0))</f>
        <v/>
      </c>
      <c r="I111" s="25">
        <f t="shared" ca="1" si="16"/>
        <v>0</v>
      </c>
      <c r="J111" s="25">
        <f t="shared" ca="1" si="17"/>
        <v>0</v>
      </c>
    </row>
    <row r="112" spans="1:10" s="18" customFormat="1" ht="18.75" customHeight="1">
      <c r="A112" s="9" t="str">
        <f ca="1">IF(ROWS($1:99)&gt;COUNT(Dong),"",OFFSET(TH!C$1,SMALL(Dong,ROWS($1:99)),))</f>
        <v/>
      </c>
      <c r="B112" s="9" t="str">
        <f ca="1">IF(ROWS($1:99)&gt;COUNT(Dong),"",OFFSET(TH!D$1,SMALL(Dong,ROWS($1:99)),))</f>
        <v/>
      </c>
      <c r="C112" s="9" t="str">
        <f ca="1">IF(ROWS($1:99)&gt;COUNT(Dong),"",OFFSET(TH!E$1,SMALL(Dong,ROWS($1:99)),))</f>
        <v/>
      </c>
      <c r="D112" s="339" t="str">
        <f ca="1">IF(ROWS($1:99)&gt;COUNT(Dong),"",OFFSET(TH!F$1,SMALL(Dong,ROWS($1:99)),))</f>
        <v/>
      </c>
      <c r="E112" s="73" t="str">
        <f ca="1">IF(ROWS($1:99)&gt;COUNT(Dong),"",IF(OFFSET(TH!N$1,SMALL(Dong,ROWS($1:99)),)="331",OFFSET(TH!O$1,SMALL(Dong,ROWS($1:99)),),OFFSET(TH!N$1,SMALL(Dong,ROWS($1:99)),)))</f>
        <v/>
      </c>
      <c r="F112" s="73"/>
      <c r="G112" s="86" t="str">
        <f ca="1">IF(ROWS($1:99)&gt;COUNT(Dong),"",IF(OFFSET(TH!N$1,SMALL(Dong,ROWS($1:99)),)="331",OFFSET(TH!M$1,SMALL(Dong,ROWS($1:99)),),0))</f>
        <v/>
      </c>
      <c r="H112" s="86" t="str">
        <f ca="1">IF(ROWS($1:99)&gt;COUNT(Dong),"",IF(OFFSET(TH!O$1,SMALL(Dong,ROWS($1:99)),)="331",OFFSET(TH!M$1,SMALL(Dong,ROWS($1:99)),),0))</f>
        <v/>
      </c>
      <c r="I112" s="25">
        <f t="shared" ca="1" si="16"/>
        <v>0</v>
      </c>
      <c r="J112" s="25">
        <f t="shared" ca="1" si="17"/>
        <v>0</v>
      </c>
    </row>
    <row r="113" spans="1:10" s="18" customFormat="1" ht="18.75" customHeight="1">
      <c r="A113" s="9" t="str">
        <f ca="1">IF(ROWS($1:100)&gt;COUNT(Dong),"",OFFSET(TH!C$1,SMALL(Dong,ROWS($1:100)),))</f>
        <v/>
      </c>
      <c r="B113" s="9" t="str">
        <f ca="1">IF(ROWS($1:100)&gt;COUNT(Dong),"",OFFSET(TH!D$1,SMALL(Dong,ROWS($1:100)),))</f>
        <v/>
      </c>
      <c r="C113" s="9" t="str">
        <f ca="1">IF(ROWS($1:100)&gt;COUNT(Dong),"",OFFSET(TH!E$1,SMALL(Dong,ROWS($1:100)),))</f>
        <v/>
      </c>
      <c r="D113" s="339" t="str">
        <f ca="1">IF(ROWS($1:100)&gt;COUNT(Dong),"",OFFSET(TH!F$1,SMALL(Dong,ROWS($1:100)),))</f>
        <v/>
      </c>
      <c r="E113" s="73" t="str">
        <f ca="1">IF(ROWS($1:100)&gt;COUNT(Dong),"",IF(OFFSET(TH!N$1,SMALL(Dong,ROWS($1:100)),)="331",OFFSET(TH!O$1,SMALL(Dong,ROWS($1:100)),),OFFSET(TH!N$1,SMALL(Dong,ROWS($1:100)),)))</f>
        <v/>
      </c>
      <c r="F113" s="73"/>
      <c r="G113" s="86" t="str">
        <f ca="1">IF(ROWS($1:100)&gt;COUNT(Dong),"",IF(OFFSET(TH!N$1,SMALL(Dong,ROWS($1:100)),)="331",OFFSET(TH!M$1,SMALL(Dong,ROWS($1:100)),),0))</f>
        <v/>
      </c>
      <c r="H113" s="86" t="str">
        <f ca="1">IF(ROWS($1:100)&gt;COUNT(Dong),"",IF(OFFSET(TH!O$1,SMALL(Dong,ROWS($1:100)),)="331",OFFSET(TH!M$1,SMALL(Dong,ROWS($1:100)),),0))</f>
        <v/>
      </c>
      <c r="I113" s="25">
        <f t="shared" ca="1" si="16"/>
        <v>0</v>
      </c>
      <c r="J113" s="25">
        <f t="shared" ca="1" si="17"/>
        <v>0</v>
      </c>
    </row>
    <row r="114" spans="1:10" s="18" customFormat="1" ht="18.75" customHeight="1">
      <c r="A114" s="9" t="str">
        <f ca="1">IF(ROWS($1:101)&gt;COUNT(Dong),"",OFFSET(TH!C$1,SMALL(Dong,ROWS($1:101)),))</f>
        <v/>
      </c>
      <c r="B114" s="9" t="str">
        <f ca="1">IF(ROWS($1:101)&gt;COUNT(Dong),"",OFFSET(TH!D$1,SMALL(Dong,ROWS($1:101)),))</f>
        <v/>
      </c>
      <c r="C114" s="9" t="str">
        <f ca="1">IF(ROWS($1:101)&gt;COUNT(Dong),"",OFFSET(TH!E$1,SMALL(Dong,ROWS($1:101)),))</f>
        <v/>
      </c>
      <c r="D114" s="339" t="str">
        <f ca="1">IF(ROWS($1:101)&gt;COUNT(Dong),"",OFFSET(TH!F$1,SMALL(Dong,ROWS($1:101)),))</f>
        <v/>
      </c>
      <c r="E114" s="73" t="str">
        <f ca="1">IF(ROWS($1:101)&gt;COUNT(Dong),"",IF(OFFSET(TH!N$1,SMALL(Dong,ROWS($1:101)),)="331",OFFSET(TH!O$1,SMALL(Dong,ROWS($1:101)),),OFFSET(TH!N$1,SMALL(Dong,ROWS($1:101)),)))</f>
        <v/>
      </c>
      <c r="F114" s="73"/>
      <c r="G114" s="86" t="str">
        <f ca="1">IF(ROWS($1:101)&gt;COUNT(Dong),"",IF(OFFSET(TH!N$1,SMALL(Dong,ROWS($1:101)),)="331",OFFSET(TH!M$1,SMALL(Dong,ROWS($1:101)),),0))</f>
        <v/>
      </c>
      <c r="H114" s="86" t="str">
        <f ca="1">IF(ROWS($1:101)&gt;COUNT(Dong),"",IF(OFFSET(TH!O$1,SMALL(Dong,ROWS($1:101)),)="331",OFFSET(TH!M$1,SMALL(Dong,ROWS($1:101)),),0))</f>
        <v/>
      </c>
      <c r="I114" s="25">
        <f t="shared" ca="1" si="16"/>
        <v>0</v>
      </c>
      <c r="J114" s="25">
        <f t="shared" ca="1" si="17"/>
        <v>0</v>
      </c>
    </row>
    <row r="115" spans="1:10" s="18" customFormat="1" ht="18.75" customHeight="1">
      <c r="A115" s="9" t="str">
        <f ca="1">IF(ROWS($1:102)&gt;COUNT(Dong),"",OFFSET(TH!C$1,SMALL(Dong,ROWS($1:102)),))</f>
        <v/>
      </c>
      <c r="B115" s="9" t="str">
        <f ca="1">IF(ROWS($1:102)&gt;COUNT(Dong),"",OFFSET(TH!D$1,SMALL(Dong,ROWS($1:102)),))</f>
        <v/>
      </c>
      <c r="C115" s="9" t="str">
        <f ca="1">IF(ROWS($1:102)&gt;COUNT(Dong),"",OFFSET(TH!E$1,SMALL(Dong,ROWS($1:102)),))</f>
        <v/>
      </c>
      <c r="D115" s="339" t="str">
        <f ca="1">IF(ROWS($1:102)&gt;COUNT(Dong),"",OFFSET(TH!F$1,SMALL(Dong,ROWS($1:102)),))</f>
        <v/>
      </c>
      <c r="E115" s="73" t="str">
        <f ca="1">IF(ROWS($1:102)&gt;COUNT(Dong),"",IF(OFFSET(TH!N$1,SMALL(Dong,ROWS($1:102)),)="331",OFFSET(TH!O$1,SMALL(Dong,ROWS($1:102)),),OFFSET(TH!N$1,SMALL(Dong,ROWS($1:102)),)))</f>
        <v/>
      </c>
      <c r="F115" s="73"/>
      <c r="G115" s="86" t="str">
        <f ca="1">IF(ROWS($1:102)&gt;COUNT(Dong),"",IF(OFFSET(TH!N$1,SMALL(Dong,ROWS($1:102)),)="331",OFFSET(TH!M$1,SMALL(Dong,ROWS($1:102)),),0))</f>
        <v/>
      </c>
      <c r="H115" s="86" t="str">
        <f ca="1">IF(ROWS($1:102)&gt;COUNT(Dong),"",IF(OFFSET(TH!O$1,SMALL(Dong,ROWS($1:102)),)="331",OFFSET(TH!M$1,SMALL(Dong,ROWS($1:102)),),0))</f>
        <v/>
      </c>
      <c r="I115" s="25">
        <f t="shared" ca="1" si="16"/>
        <v>0</v>
      </c>
      <c r="J115" s="25">
        <f t="shared" ca="1" si="17"/>
        <v>0</v>
      </c>
    </row>
    <row r="116" spans="1:10" s="18" customFormat="1" ht="18.75" customHeight="1">
      <c r="A116" s="9" t="str">
        <f ca="1">IF(ROWS($1:103)&gt;COUNT(Dong),"",OFFSET(TH!C$1,SMALL(Dong,ROWS($1:103)),))</f>
        <v/>
      </c>
      <c r="B116" s="9" t="str">
        <f ca="1">IF(ROWS($1:103)&gt;COUNT(Dong),"",OFFSET(TH!D$1,SMALL(Dong,ROWS($1:103)),))</f>
        <v/>
      </c>
      <c r="C116" s="9" t="str">
        <f ca="1">IF(ROWS($1:103)&gt;COUNT(Dong),"",OFFSET(TH!E$1,SMALL(Dong,ROWS($1:103)),))</f>
        <v/>
      </c>
      <c r="D116" s="339" t="str">
        <f ca="1">IF(ROWS($1:103)&gt;COUNT(Dong),"",OFFSET(TH!F$1,SMALL(Dong,ROWS($1:103)),))</f>
        <v/>
      </c>
      <c r="E116" s="73" t="str">
        <f ca="1">IF(ROWS($1:103)&gt;COUNT(Dong),"",IF(OFFSET(TH!N$1,SMALL(Dong,ROWS($1:103)),)="331",OFFSET(TH!O$1,SMALL(Dong,ROWS($1:103)),),OFFSET(TH!N$1,SMALL(Dong,ROWS($1:103)),)))</f>
        <v/>
      </c>
      <c r="F116" s="73"/>
      <c r="G116" s="86" t="str">
        <f ca="1">IF(ROWS($1:103)&gt;COUNT(Dong),"",IF(OFFSET(TH!N$1,SMALL(Dong,ROWS($1:103)),)="331",OFFSET(TH!M$1,SMALL(Dong,ROWS($1:103)),),0))</f>
        <v/>
      </c>
      <c r="H116" s="86" t="str">
        <f ca="1">IF(ROWS($1:103)&gt;COUNT(Dong),"",IF(OFFSET(TH!O$1,SMALL(Dong,ROWS($1:103)),)="331",OFFSET(TH!M$1,SMALL(Dong,ROWS($1:103)),),0))</f>
        <v/>
      </c>
      <c r="I116" s="25">
        <f t="shared" ca="1" si="16"/>
        <v>0</v>
      </c>
      <c r="J116" s="25">
        <f t="shared" ca="1" si="17"/>
        <v>0</v>
      </c>
    </row>
    <row r="117" spans="1:10" s="18" customFormat="1" ht="18.75" customHeight="1">
      <c r="A117" s="9" t="str">
        <f ca="1">IF(ROWS($1:104)&gt;COUNT(Dong),"",OFFSET(TH!C$1,SMALL(Dong,ROWS($1:104)),))</f>
        <v/>
      </c>
      <c r="B117" s="9" t="str">
        <f ca="1">IF(ROWS($1:104)&gt;COUNT(Dong),"",OFFSET(TH!D$1,SMALL(Dong,ROWS($1:104)),))</f>
        <v/>
      </c>
      <c r="C117" s="9" t="str">
        <f ca="1">IF(ROWS($1:104)&gt;COUNT(Dong),"",OFFSET(TH!E$1,SMALL(Dong,ROWS($1:104)),))</f>
        <v/>
      </c>
      <c r="D117" s="339" t="str">
        <f ca="1">IF(ROWS($1:104)&gt;COUNT(Dong),"",OFFSET(TH!F$1,SMALL(Dong,ROWS($1:104)),))</f>
        <v/>
      </c>
      <c r="E117" s="73" t="str">
        <f ca="1">IF(ROWS($1:104)&gt;COUNT(Dong),"",IF(OFFSET(TH!N$1,SMALL(Dong,ROWS($1:104)),)="331",OFFSET(TH!O$1,SMALL(Dong,ROWS($1:104)),),OFFSET(TH!N$1,SMALL(Dong,ROWS($1:104)),)))</f>
        <v/>
      </c>
      <c r="F117" s="73"/>
      <c r="G117" s="86" t="str">
        <f ca="1">IF(ROWS($1:104)&gt;COUNT(Dong),"",IF(OFFSET(TH!N$1,SMALL(Dong,ROWS($1:104)),)="331",OFFSET(TH!M$1,SMALL(Dong,ROWS($1:104)),),0))</f>
        <v/>
      </c>
      <c r="H117" s="86" t="str">
        <f ca="1">IF(ROWS($1:104)&gt;COUNT(Dong),"",IF(OFFSET(TH!O$1,SMALL(Dong,ROWS($1:104)),)="331",OFFSET(TH!M$1,SMALL(Dong,ROWS($1:104)),),0))</f>
        <v/>
      </c>
      <c r="I117" s="25">
        <f t="shared" ca="1" si="16"/>
        <v>0</v>
      </c>
      <c r="J117" s="25">
        <f t="shared" ca="1" si="17"/>
        <v>0</v>
      </c>
    </row>
    <row r="118" spans="1:10" s="18" customFormat="1" ht="18.75" customHeight="1">
      <c r="A118" s="9" t="str">
        <f ca="1">IF(ROWS($1:105)&gt;COUNT(Dong),"",OFFSET(TH!C$1,SMALL(Dong,ROWS($1:105)),))</f>
        <v/>
      </c>
      <c r="B118" s="9" t="str">
        <f ca="1">IF(ROWS($1:105)&gt;COUNT(Dong),"",OFFSET(TH!D$1,SMALL(Dong,ROWS($1:105)),))</f>
        <v/>
      </c>
      <c r="C118" s="9" t="str">
        <f ca="1">IF(ROWS($1:105)&gt;COUNT(Dong),"",OFFSET(TH!E$1,SMALL(Dong,ROWS($1:105)),))</f>
        <v/>
      </c>
      <c r="D118" s="339" t="str">
        <f ca="1">IF(ROWS($1:105)&gt;COUNT(Dong),"",OFFSET(TH!F$1,SMALL(Dong,ROWS($1:105)),))</f>
        <v/>
      </c>
      <c r="E118" s="73" t="str">
        <f ca="1">IF(ROWS($1:105)&gt;COUNT(Dong),"",IF(OFFSET(TH!N$1,SMALL(Dong,ROWS($1:105)),)="331",OFFSET(TH!O$1,SMALL(Dong,ROWS($1:105)),),OFFSET(TH!N$1,SMALL(Dong,ROWS($1:105)),)))</f>
        <v/>
      </c>
      <c r="F118" s="73"/>
      <c r="G118" s="86" t="str">
        <f ca="1">IF(ROWS($1:105)&gt;COUNT(Dong),"",IF(OFFSET(TH!N$1,SMALL(Dong,ROWS($1:105)),)="331",OFFSET(TH!M$1,SMALL(Dong,ROWS($1:105)),),0))</f>
        <v/>
      </c>
      <c r="H118" s="86" t="str">
        <f ca="1">IF(ROWS($1:105)&gt;COUNT(Dong),"",IF(OFFSET(TH!O$1,SMALL(Dong,ROWS($1:105)),)="331",OFFSET(TH!M$1,SMALL(Dong,ROWS($1:105)),),0))</f>
        <v/>
      </c>
      <c r="I118" s="25">
        <f t="shared" ca="1" si="16"/>
        <v>0</v>
      </c>
      <c r="J118" s="25">
        <f t="shared" ca="1" si="17"/>
        <v>0</v>
      </c>
    </row>
    <row r="119" spans="1:10" s="18" customFormat="1" ht="18.75" customHeight="1">
      <c r="A119" s="9" t="str">
        <f ca="1">IF(ROWS($1:106)&gt;COUNT(Dong),"",OFFSET(TH!C$1,SMALL(Dong,ROWS($1:106)),))</f>
        <v/>
      </c>
      <c r="B119" s="9" t="str">
        <f ca="1">IF(ROWS($1:106)&gt;COUNT(Dong),"",OFFSET(TH!D$1,SMALL(Dong,ROWS($1:106)),))</f>
        <v/>
      </c>
      <c r="C119" s="9" t="str">
        <f ca="1">IF(ROWS($1:106)&gt;COUNT(Dong),"",OFFSET(TH!E$1,SMALL(Dong,ROWS($1:106)),))</f>
        <v/>
      </c>
      <c r="D119" s="339" t="str">
        <f ca="1">IF(ROWS($1:106)&gt;COUNT(Dong),"",OFFSET(TH!F$1,SMALL(Dong,ROWS($1:106)),))</f>
        <v/>
      </c>
      <c r="E119" s="73" t="str">
        <f ca="1">IF(ROWS($1:106)&gt;COUNT(Dong),"",IF(OFFSET(TH!N$1,SMALL(Dong,ROWS($1:106)),)="331",OFFSET(TH!O$1,SMALL(Dong,ROWS($1:106)),),OFFSET(TH!N$1,SMALL(Dong,ROWS($1:106)),)))</f>
        <v/>
      </c>
      <c r="F119" s="73"/>
      <c r="G119" s="86" t="str">
        <f ca="1">IF(ROWS($1:106)&gt;COUNT(Dong),"",IF(OFFSET(TH!N$1,SMALL(Dong,ROWS($1:106)),)="331",OFFSET(TH!M$1,SMALL(Dong,ROWS($1:106)),),0))</f>
        <v/>
      </c>
      <c r="H119" s="86" t="str">
        <f ca="1">IF(ROWS($1:106)&gt;COUNT(Dong),"",IF(OFFSET(TH!O$1,SMALL(Dong,ROWS($1:106)),)="331",OFFSET(TH!M$1,SMALL(Dong,ROWS($1:106)),),0))</f>
        <v/>
      </c>
      <c r="I119" s="25">
        <f t="shared" ca="1" si="16"/>
        <v>0</v>
      </c>
      <c r="J119" s="25">
        <f t="shared" ca="1" si="17"/>
        <v>0</v>
      </c>
    </row>
    <row r="120" spans="1:10" s="18" customFormat="1" ht="18.75" customHeight="1">
      <c r="A120" s="9" t="str">
        <f ca="1">IF(ROWS($1:107)&gt;COUNT(Dong),"",OFFSET(TH!C$1,SMALL(Dong,ROWS($1:107)),))</f>
        <v/>
      </c>
      <c r="B120" s="9" t="str">
        <f ca="1">IF(ROWS($1:107)&gt;COUNT(Dong),"",OFFSET(TH!D$1,SMALL(Dong,ROWS($1:107)),))</f>
        <v/>
      </c>
      <c r="C120" s="9" t="str">
        <f ca="1">IF(ROWS($1:107)&gt;COUNT(Dong),"",OFFSET(TH!E$1,SMALL(Dong,ROWS($1:107)),))</f>
        <v/>
      </c>
      <c r="D120" s="339" t="str">
        <f ca="1">IF(ROWS($1:107)&gt;COUNT(Dong),"",OFFSET(TH!F$1,SMALL(Dong,ROWS($1:107)),))</f>
        <v/>
      </c>
      <c r="E120" s="73" t="str">
        <f ca="1">IF(ROWS($1:107)&gt;COUNT(Dong),"",IF(OFFSET(TH!N$1,SMALL(Dong,ROWS($1:107)),)="331",OFFSET(TH!O$1,SMALL(Dong,ROWS($1:107)),),OFFSET(TH!N$1,SMALL(Dong,ROWS($1:107)),)))</f>
        <v/>
      </c>
      <c r="F120" s="73"/>
      <c r="G120" s="86" t="str">
        <f ca="1">IF(ROWS($1:107)&gt;COUNT(Dong),"",IF(OFFSET(TH!N$1,SMALL(Dong,ROWS($1:107)),)="331",OFFSET(TH!M$1,SMALL(Dong,ROWS($1:107)),),0))</f>
        <v/>
      </c>
      <c r="H120" s="86" t="str">
        <f ca="1">IF(ROWS($1:107)&gt;COUNT(Dong),"",IF(OFFSET(TH!O$1,SMALL(Dong,ROWS($1:107)),)="331",OFFSET(TH!M$1,SMALL(Dong,ROWS($1:107)),),0))</f>
        <v/>
      </c>
      <c r="I120" s="25">
        <f t="shared" ca="1" si="16"/>
        <v>0</v>
      </c>
      <c r="J120" s="25">
        <f t="shared" ca="1" si="17"/>
        <v>0</v>
      </c>
    </row>
    <row r="121" spans="1:10" s="18" customFormat="1" ht="18.75" customHeight="1">
      <c r="A121" s="9" t="str">
        <f ca="1">IF(ROWS($1:108)&gt;COUNT(Dong),"",OFFSET(TH!C$1,SMALL(Dong,ROWS($1:108)),))</f>
        <v/>
      </c>
      <c r="B121" s="9" t="str">
        <f ca="1">IF(ROWS($1:108)&gt;COUNT(Dong),"",OFFSET(TH!D$1,SMALL(Dong,ROWS($1:108)),))</f>
        <v/>
      </c>
      <c r="C121" s="9" t="str">
        <f ca="1">IF(ROWS($1:108)&gt;COUNT(Dong),"",OFFSET(TH!E$1,SMALL(Dong,ROWS($1:108)),))</f>
        <v/>
      </c>
      <c r="D121" s="339" t="str">
        <f ca="1">IF(ROWS($1:108)&gt;COUNT(Dong),"",OFFSET(TH!F$1,SMALL(Dong,ROWS($1:108)),))</f>
        <v/>
      </c>
      <c r="E121" s="73" t="str">
        <f ca="1">IF(ROWS($1:108)&gt;COUNT(Dong),"",IF(OFFSET(TH!N$1,SMALL(Dong,ROWS($1:108)),)="331",OFFSET(TH!O$1,SMALL(Dong,ROWS($1:108)),),OFFSET(TH!N$1,SMALL(Dong,ROWS($1:108)),)))</f>
        <v/>
      </c>
      <c r="F121" s="73"/>
      <c r="G121" s="86" t="str">
        <f ca="1">IF(ROWS($1:108)&gt;COUNT(Dong),"",IF(OFFSET(TH!N$1,SMALL(Dong,ROWS($1:108)),)="331",OFFSET(TH!M$1,SMALL(Dong,ROWS($1:108)),),0))</f>
        <v/>
      </c>
      <c r="H121" s="86" t="str">
        <f ca="1">IF(ROWS($1:108)&gt;COUNT(Dong),"",IF(OFFSET(TH!O$1,SMALL(Dong,ROWS($1:108)),)="331",OFFSET(TH!M$1,SMALL(Dong,ROWS($1:108)),),0))</f>
        <v/>
      </c>
      <c r="I121" s="25">
        <f t="shared" ca="1" si="16"/>
        <v>0</v>
      </c>
      <c r="J121" s="25">
        <f t="shared" ca="1" si="17"/>
        <v>0</v>
      </c>
    </row>
    <row r="122" spans="1:10" s="18" customFormat="1" ht="18.75" customHeight="1">
      <c r="A122" s="9" t="str">
        <f ca="1">IF(ROWS($1:109)&gt;COUNT(Dong),"",OFFSET(TH!C$1,SMALL(Dong,ROWS($1:109)),))</f>
        <v/>
      </c>
      <c r="B122" s="9" t="str">
        <f ca="1">IF(ROWS($1:109)&gt;COUNT(Dong),"",OFFSET(TH!D$1,SMALL(Dong,ROWS($1:109)),))</f>
        <v/>
      </c>
      <c r="C122" s="9" t="str">
        <f ca="1">IF(ROWS($1:109)&gt;COUNT(Dong),"",OFFSET(TH!E$1,SMALL(Dong,ROWS($1:109)),))</f>
        <v/>
      </c>
      <c r="D122" s="339" t="str">
        <f ca="1">IF(ROWS($1:109)&gt;COUNT(Dong),"",OFFSET(TH!F$1,SMALL(Dong,ROWS($1:109)),))</f>
        <v/>
      </c>
      <c r="E122" s="73" t="str">
        <f ca="1">IF(ROWS($1:109)&gt;COUNT(Dong),"",IF(OFFSET(TH!N$1,SMALL(Dong,ROWS($1:109)),)="331",OFFSET(TH!O$1,SMALL(Dong,ROWS($1:109)),),OFFSET(TH!N$1,SMALL(Dong,ROWS($1:109)),)))</f>
        <v/>
      </c>
      <c r="F122" s="73"/>
      <c r="G122" s="86" t="str">
        <f ca="1">IF(ROWS($1:109)&gt;COUNT(Dong),"",IF(OFFSET(TH!N$1,SMALL(Dong,ROWS($1:109)),)="331",OFFSET(TH!M$1,SMALL(Dong,ROWS($1:109)),),0))</f>
        <v/>
      </c>
      <c r="H122" s="86" t="str">
        <f ca="1">IF(ROWS($1:109)&gt;COUNT(Dong),"",IF(OFFSET(TH!O$1,SMALL(Dong,ROWS($1:109)),)="331",OFFSET(TH!M$1,SMALL(Dong,ROWS($1:109)),),0))</f>
        <v/>
      </c>
      <c r="I122" s="25">
        <f t="shared" ca="1" si="16"/>
        <v>0</v>
      </c>
      <c r="J122" s="25">
        <f t="shared" ca="1" si="17"/>
        <v>0</v>
      </c>
    </row>
    <row r="123" spans="1:10" s="18" customFormat="1" ht="18.75" customHeight="1">
      <c r="A123" s="9" t="str">
        <f ca="1">IF(ROWS($1:110)&gt;COUNT(Dong),"",OFFSET(TH!C$1,SMALL(Dong,ROWS($1:110)),))</f>
        <v/>
      </c>
      <c r="B123" s="9" t="str">
        <f ca="1">IF(ROWS($1:110)&gt;COUNT(Dong),"",OFFSET(TH!D$1,SMALL(Dong,ROWS($1:110)),))</f>
        <v/>
      </c>
      <c r="C123" s="9" t="str">
        <f ca="1">IF(ROWS($1:110)&gt;COUNT(Dong),"",OFFSET(TH!E$1,SMALL(Dong,ROWS($1:110)),))</f>
        <v/>
      </c>
      <c r="D123" s="339" t="str">
        <f ca="1">IF(ROWS($1:110)&gt;COUNT(Dong),"",OFFSET(TH!F$1,SMALL(Dong,ROWS($1:110)),))</f>
        <v/>
      </c>
      <c r="E123" s="73" t="str">
        <f ca="1">IF(ROWS($1:110)&gt;COUNT(Dong),"",IF(OFFSET(TH!N$1,SMALL(Dong,ROWS($1:110)),)="331",OFFSET(TH!O$1,SMALL(Dong,ROWS($1:110)),),OFFSET(TH!N$1,SMALL(Dong,ROWS($1:110)),)))</f>
        <v/>
      </c>
      <c r="F123" s="73"/>
      <c r="G123" s="86" t="str">
        <f ca="1">IF(ROWS($1:110)&gt;COUNT(Dong),"",IF(OFFSET(TH!N$1,SMALL(Dong,ROWS($1:110)),)="331",OFFSET(TH!M$1,SMALL(Dong,ROWS($1:110)),),0))</f>
        <v/>
      </c>
      <c r="H123" s="86" t="str">
        <f ca="1">IF(ROWS($1:110)&gt;COUNT(Dong),"",IF(OFFSET(TH!O$1,SMALL(Dong,ROWS($1:110)),)="331",OFFSET(TH!M$1,SMALL(Dong,ROWS($1:110)),),0))</f>
        <v/>
      </c>
      <c r="I123" s="25">
        <f t="shared" ca="1" si="16"/>
        <v>0</v>
      </c>
      <c r="J123" s="25">
        <f t="shared" ca="1" si="17"/>
        <v>0</v>
      </c>
    </row>
    <row r="124" spans="1:10" s="18" customFormat="1" ht="18.75" customHeight="1">
      <c r="A124" s="9" t="str">
        <f ca="1">IF(ROWS($1:111)&gt;COUNT(Dong),"",OFFSET(TH!C$1,SMALL(Dong,ROWS($1:111)),))</f>
        <v/>
      </c>
      <c r="B124" s="9" t="str">
        <f ca="1">IF(ROWS($1:111)&gt;COUNT(Dong),"",OFFSET(TH!D$1,SMALL(Dong,ROWS($1:111)),))</f>
        <v/>
      </c>
      <c r="C124" s="9" t="str">
        <f ca="1">IF(ROWS($1:111)&gt;COUNT(Dong),"",OFFSET(TH!E$1,SMALL(Dong,ROWS($1:111)),))</f>
        <v/>
      </c>
      <c r="D124" s="339" t="str">
        <f ca="1">IF(ROWS($1:111)&gt;COUNT(Dong),"",OFFSET(TH!F$1,SMALL(Dong,ROWS($1:111)),))</f>
        <v/>
      </c>
      <c r="E124" s="73" t="str">
        <f ca="1">IF(ROWS($1:111)&gt;COUNT(Dong),"",IF(OFFSET(TH!N$1,SMALL(Dong,ROWS($1:111)),)="331",OFFSET(TH!O$1,SMALL(Dong,ROWS($1:111)),),OFFSET(TH!N$1,SMALL(Dong,ROWS($1:111)),)))</f>
        <v/>
      </c>
      <c r="F124" s="73"/>
      <c r="G124" s="86" t="str">
        <f ca="1">IF(ROWS($1:111)&gt;COUNT(Dong),"",IF(OFFSET(TH!N$1,SMALL(Dong,ROWS($1:111)),)="331",OFFSET(TH!M$1,SMALL(Dong,ROWS($1:111)),),0))</f>
        <v/>
      </c>
      <c r="H124" s="86" t="str">
        <f ca="1">IF(ROWS($1:111)&gt;COUNT(Dong),"",IF(OFFSET(TH!O$1,SMALL(Dong,ROWS($1:111)),)="331",OFFSET(TH!M$1,SMALL(Dong,ROWS($1:111)),),0))</f>
        <v/>
      </c>
      <c r="I124" s="25">
        <f t="shared" ca="1" si="16"/>
        <v>0</v>
      </c>
      <c r="J124" s="25">
        <f t="shared" ca="1" si="17"/>
        <v>0</v>
      </c>
    </row>
    <row r="125" spans="1:10" s="18" customFormat="1" ht="18.75" customHeight="1">
      <c r="A125" s="9" t="str">
        <f ca="1">IF(ROWS($1:112)&gt;COUNT(Dong),"",OFFSET(TH!C$1,SMALL(Dong,ROWS($1:112)),))</f>
        <v/>
      </c>
      <c r="B125" s="9" t="str">
        <f ca="1">IF(ROWS($1:112)&gt;COUNT(Dong),"",OFFSET(TH!D$1,SMALL(Dong,ROWS($1:112)),))</f>
        <v/>
      </c>
      <c r="C125" s="9" t="str">
        <f ca="1">IF(ROWS($1:112)&gt;COUNT(Dong),"",OFFSET(TH!E$1,SMALL(Dong,ROWS($1:112)),))</f>
        <v/>
      </c>
      <c r="D125" s="339" t="str">
        <f ca="1">IF(ROWS($1:112)&gt;COUNT(Dong),"",OFFSET(TH!F$1,SMALL(Dong,ROWS($1:112)),))</f>
        <v/>
      </c>
      <c r="E125" s="73" t="str">
        <f ca="1">IF(ROWS($1:112)&gt;COUNT(Dong),"",IF(OFFSET(TH!N$1,SMALL(Dong,ROWS($1:112)),)="331",OFFSET(TH!O$1,SMALL(Dong,ROWS($1:112)),),OFFSET(TH!N$1,SMALL(Dong,ROWS($1:112)),)))</f>
        <v/>
      </c>
      <c r="F125" s="73"/>
      <c r="G125" s="86" t="str">
        <f ca="1">IF(ROWS($1:112)&gt;COUNT(Dong),"",IF(OFFSET(TH!N$1,SMALL(Dong,ROWS($1:112)),)="331",OFFSET(TH!M$1,SMALL(Dong,ROWS($1:112)),),0))</f>
        <v/>
      </c>
      <c r="H125" s="86" t="str">
        <f ca="1">IF(ROWS($1:112)&gt;COUNT(Dong),"",IF(OFFSET(TH!O$1,SMALL(Dong,ROWS($1:112)),)="331",OFFSET(TH!M$1,SMALL(Dong,ROWS($1:112)),),0))</f>
        <v/>
      </c>
      <c r="I125" s="25">
        <f t="shared" ca="1" si="16"/>
        <v>0</v>
      </c>
      <c r="J125" s="25">
        <f t="shared" ca="1" si="17"/>
        <v>0</v>
      </c>
    </row>
    <row r="126" spans="1:10" s="18" customFormat="1" ht="18.75" customHeight="1">
      <c r="A126" s="9" t="str">
        <f ca="1">IF(ROWS($1:113)&gt;COUNT(Dong),"",OFFSET(TH!C$1,SMALL(Dong,ROWS($1:113)),))</f>
        <v/>
      </c>
      <c r="B126" s="9" t="str">
        <f ca="1">IF(ROWS($1:113)&gt;COUNT(Dong),"",OFFSET(TH!D$1,SMALL(Dong,ROWS($1:113)),))</f>
        <v/>
      </c>
      <c r="C126" s="9" t="str">
        <f ca="1">IF(ROWS($1:113)&gt;COUNT(Dong),"",OFFSET(TH!E$1,SMALL(Dong,ROWS($1:113)),))</f>
        <v/>
      </c>
      <c r="D126" s="339" t="str">
        <f ca="1">IF(ROWS($1:113)&gt;COUNT(Dong),"",OFFSET(TH!F$1,SMALL(Dong,ROWS($1:113)),))</f>
        <v/>
      </c>
      <c r="E126" s="73" t="str">
        <f ca="1">IF(ROWS($1:113)&gt;COUNT(Dong),"",IF(OFFSET(TH!N$1,SMALL(Dong,ROWS($1:113)),)="331",OFFSET(TH!O$1,SMALL(Dong,ROWS($1:113)),),OFFSET(TH!N$1,SMALL(Dong,ROWS($1:113)),)))</f>
        <v/>
      </c>
      <c r="F126" s="73"/>
      <c r="G126" s="86" t="str">
        <f ca="1">IF(ROWS($1:113)&gt;COUNT(Dong),"",IF(OFFSET(TH!N$1,SMALL(Dong,ROWS($1:113)),)="331",OFFSET(TH!M$1,SMALL(Dong,ROWS($1:113)),),0))</f>
        <v/>
      </c>
      <c r="H126" s="86" t="str">
        <f ca="1">IF(ROWS($1:113)&gt;COUNT(Dong),"",IF(OFFSET(TH!O$1,SMALL(Dong,ROWS($1:113)),)="331",OFFSET(TH!M$1,SMALL(Dong,ROWS($1:113)),),0))</f>
        <v/>
      </c>
      <c r="I126" s="25">
        <f t="shared" ca="1" si="16"/>
        <v>0</v>
      </c>
      <c r="J126" s="25">
        <f t="shared" ca="1" si="17"/>
        <v>0</v>
      </c>
    </row>
    <row r="127" spans="1:10" s="18" customFormat="1" ht="18.75" customHeight="1">
      <c r="A127" s="9" t="str">
        <f ca="1">IF(ROWS($1:114)&gt;COUNT(Dong),"",OFFSET(TH!C$1,SMALL(Dong,ROWS($1:114)),))</f>
        <v/>
      </c>
      <c r="B127" s="9" t="str">
        <f ca="1">IF(ROWS($1:114)&gt;COUNT(Dong),"",OFFSET(TH!D$1,SMALL(Dong,ROWS($1:114)),))</f>
        <v/>
      </c>
      <c r="C127" s="9" t="str">
        <f ca="1">IF(ROWS($1:114)&gt;COUNT(Dong),"",OFFSET(TH!E$1,SMALL(Dong,ROWS($1:114)),))</f>
        <v/>
      </c>
      <c r="D127" s="339" t="str">
        <f ca="1">IF(ROWS($1:114)&gt;COUNT(Dong),"",OFFSET(TH!F$1,SMALL(Dong,ROWS($1:114)),))</f>
        <v/>
      </c>
      <c r="E127" s="73" t="str">
        <f ca="1">IF(ROWS($1:114)&gt;COUNT(Dong),"",IF(OFFSET(TH!N$1,SMALL(Dong,ROWS($1:114)),)="331",OFFSET(TH!O$1,SMALL(Dong,ROWS($1:114)),),OFFSET(TH!N$1,SMALL(Dong,ROWS($1:114)),)))</f>
        <v/>
      </c>
      <c r="F127" s="73"/>
      <c r="G127" s="86" t="str">
        <f ca="1">IF(ROWS($1:114)&gt;COUNT(Dong),"",IF(OFFSET(TH!N$1,SMALL(Dong,ROWS($1:114)),)="331",OFFSET(TH!M$1,SMALL(Dong,ROWS($1:114)),),0))</f>
        <v/>
      </c>
      <c r="H127" s="86" t="str">
        <f ca="1">IF(ROWS($1:114)&gt;COUNT(Dong),"",IF(OFFSET(TH!O$1,SMALL(Dong,ROWS($1:114)),)="331",OFFSET(TH!M$1,SMALL(Dong,ROWS($1:114)),),0))</f>
        <v/>
      </c>
      <c r="I127" s="25">
        <f t="shared" ca="1" si="16"/>
        <v>0</v>
      </c>
      <c r="J127" s="25">
        <f t="shared" ca="1" si="17"/>
        <v>0</v>
      </c>
    </row>
    <row r="128" spans="1:10" s="18" customFormat="1" ht="18.75" customHeight="1">
      <c r="A128" s="9" t="str">
        <f ca="1">IF(ROWS($1:115)&gt;COUNT(Dong),"",OFFSET(TH!C$1,SMALL(Dong,ROWS($1:115)),))</f>
        <v/>
      </c>
      <c r="B128" s="9" t="str">
        <f ca="1">IF(ROWS($1:115)&gt;COUNT(Dong),"",OFFSET(TH!D$1,SMALL(Dong,ROWS($1:115)),))</f>
        <v/>
      </c>
      <c r="C128" s="9" t="str">
        <f ca="1">IF(ROWS($1:115)&gt;COUNT(Dong),"",OFFSET(TH!E$1,SMALL(Dong,ROWS($1:115)),))</f>
        <v/>
      </c>
      <c r="D128" s="339" t="str">
        <f ca="1">IF(ROWS($1:115)&gt;COUNT(Dong),"",OFFSET(TH!F$1,SMALL(Dong,ROWS($1:115)),))</f>
        <v/>
      </c>
      <c r="E128" s="73" t="str">
        <f ca="1">IF(ROWS($1:115)&gt;COUNT(Dong),"",IF(OFFSET(TH!N$1,SMALL(Dong,ROWS($1:115)),)="331",OFFSET(TH!O$1,SMALL(Dong,ROWS($1:115)),),OFFSET(TH!N$1,SMALL(Dong,ROWS($1:115)),)))</f>
        <v/>
      </c>
      <c r="F128" s="73"/>
      <c r="G128" s="86" t="str">
        <f ca="1">IF(ROWS($1:115)&gt;COUNT(Dong),"",IF(OFFSET(TH!N$1,SMALL(Dong,ROWS($1:115)),)="331",OFFSET(TH!M$1,SMALL(Dong,ROWS($1:115)),),0))</f>
        <v/>
      </c>
      <c r="H128" s="86" t="str">
        <f ca="1">IF(ROWS($1:115)&gt;COUNT(Dong),"",IF(OFFSET(TH!O$1,SMALL(Dong,ROWS($1:115)),)="331",OFFSET(TH!M$1,SMALL(Dong,ROWS($1:115)),),0))</f>
        <v/>
      </c>
      <c r="I128" s="25">
        <f t="shared" ca="1" si="16"/>
        <v>0</v>
      </c>
      <c r="J128" s="25">
        <f t="shared" ca="1" si="17"/>
        <v>0</v>
      </c>
    </row>
    <row r="129" spans="1:10" s="18" customFormat="1" ht="18.75" customHeight="1">
      <c r="A129" s="9" t="str">
        <f ca="1">IF(ROWS($1:116)&gt;COUNT(Dong),"",OFFSET(TH!C$1,SMALL(Dong,ROWS($1:116)),))</f>
        <v/>
      </c>
      <c r="B129" s="9" t="str">
        <f ca="1">IF(ROWS($1:116)&gt;COUNT(Dong),"",OFFSET(TH!D$1,SMALL(Dong,ROWS($1:116)),))</f>
        <v/>
      </c>
      <c r="C129" s="9" t="str">
        <f ca="1">IF(ROWS($1:116)&gt;COUNT(Dong),"",OFFSET(TH!E$1,SMALL(Dong,ROWS($1:116)),))</f>
        <v/>
      </c>
      <c r="D129" s="339" t="str">
        <f ca="1">IF(ROWS($1:116)&gt;COUNT(Dong),"",OFFSET(TH!F$1,SMALL(Dong,ROWS($1:116)),))</f>
        <v/>
      </c>
      <c r="E129" s="73" t="str">
        <f ca="1">IF(ROWS($1:116)&gt;COUNT(Dong),"",IF(OFFSET(TH!N$1,SMALL(Dong,ROWS($1:116)),)="331",OFFSET(TH!O$1,SMALL(Dong,ROWS($1:116)),),OFFSET(TH!N$1,SMALL(Dong,ROWS($1:116)),)))</f>
        <v/>
      </c>
      <c r="F129" s="73"/>
      <c r="G129" s="86" t="str">
        <f ca="1">IF(ROWS($1:116)&gt;COUNT(Dong),"",IF(OFFSET(TH!N$1,SMALL(Dong,ROWS($1:116)),)="331",OFFSET(TH!M$1,SMALL(Dong,ROWS($1:116)),),0))</f>
        <v/>
      </c>
      <c r="H129" s="86" t="str">
        <f ca="1">IF(ROWS($1:116)&gt;COUNT(Dong),"",IF(OFFSET(TH!O$1,SMALL(Dong,ROWS($1:116)),)="331",OFFSET(TH!M$1,SMALL(Dong,ROWS($1:116)),),0))</f>
        <v/>
      </c>
      <c r="I129" s="25">
        <f t="shared" ca="1" si="16"/>
        <v>0</v>
      </c>
      <c r="J129" s="25">
        <f t="shared" ca="1" si="17"/>
        <v>0</v>
      </c>
    </row>
    <row r="130" spans="1:10" s="18" customFormat="1" ht="18.75" customHeight="1">
      <c r="A130" s="9" t="str">
        <f ca="1">IF(ROWS($1:117)&gt;COUNT(Dong),"",OFFSET(TH!C$1,SMALL(Dong,ROWS($1:117)),))</f>
        <v/>
      </c>
      <c r="B130" s="9" t="str">
        <f ca="1">IF(ROWS($1:117)&gt;COUNT(Dong),"",OFFSET(TH!D$1,SMALL(Dong,ROWS($1:117)),))</f>
        <v/>
      </c>
      <c r="C130" s="9" t="str">
        <f ca="1">IF(ROWS($1:117)&gt;COUNT(Dong),"",OFFSET(TH!E$1,SMALL(Dong,ROWS($1:117)),))</f>
        <v/>
      </c>
      <c r="D130" s="339" t="str">
        <f ca="1">IF(ROWS($1:117)&gt;COUNT(Dong),"",OFFSET(TH!F$1,SMALL(Dong,ROWS($1:117)),))</f>
        <v/>
      </c>
      <c r="E130" s="73" t="str">
        <f ca="1">IF(ROWS($1:117)&gt;COUNT(Dong),"",IF(OFFSET(TH!N$1,SMALL(Dong,ROWS($1:117)),)="331",OFFSET(TH!O$1,SMALL(Dong,ROWS($1:117)),),OFFSET(TH!N$1,SMALL(Dong,ROWS($1:117)),)))</f>
        <v/>
      </c>
      <c r="F130" s="73"/>
      <c r="G130" s="86" t="str">
        <f ca="1">IF(ROWS($1:117)&gt;COUNT(Dong),"",IF(OFFSET(TH!N$1,SMALL(Dong,ROWS($1:117)),)="331",OFFSET(TH!M$1,SMALL(Dong,ROWS($1:117)),),0))</f>
        <v/>
      </c>
      <c r="H130" s="86" t="str">
        <f ca="1">IF(ROWS($1:117)&gt;COUNT(Dong),"",IF(OFFSET(TH!O$1,SMALL(Dong,ROWS($1:117)),)="331",OFFSET(TH!M$1,SMALL(Dong,ROWS($1:117)),),0))</f>
        <v/>
      </c>
      <c r="I130" s="25">
        <f t="shared" ca="1" si="16"/>
        <v>0</v>
      </c>
      <c r="J130" s="25">
        <f t="shared" ca="1" si="17"/>
        <v>0</v>
      </c>
    </row>
    <row r="131" spans="1:10" s="18" customFormat="1" ht="18.75" customHeight="1">
      <c r="A131" s="9" t="str">
        <f ca="1">IF(ROWS($1:118)&gt;COUNT(Dong),"",OFFSET(TH!C$1,SMALL(Dong,ROWS($1:118)),))</f>
        <v/>
      </c>
      <c r="B131" s="9" t="str">
        <f ca="1">IF(ROWS($1:118)&gt;COUNT(Dong),"",OFFSET(TH!D$1,SMALL(Dong,ROWS($1:118)),))</f>
        <v/>
      </c>
      <c r="C131" s="9" t="str">
        <f ca="1">IF(ROWS($1:118)&gt;COUNT(Dong),"",OFFSET(TH!E$1,SMALL(Dong,ROWS($1:118)),))</f>
        <v/>
      </c>
      <c r="D131" s="339" t="str">
        <f ca="1">IF(ROWS($1:118)&gt;COUNT(Dong),"",OFFSET(TH!F$1,SMALL(Dong,ROWS($1:118)),))</f>
        <v/>
      </c>
      <c r="E131" s="73" t="str">
        <f ca="1">IF(ROWS($1:118)&gt;COUNT(Dong),"",IF(OFFSET(TH!N$1,SMALL(Dong,ROWS($1:118)),)="331",OFFSET(TH!O$1,SMALL(Dong,ROWS($1:118)),),OFFSET(TH!N$1,SMALL(Dong,ROWS($1:118)),)))</f>
        <v/>
      </c>
      <c r="F131" s="73"/>
      <c r="G131" s="86" t="str">
        <f ca="1">IF(ROWS($1:118)&gt;COUNT(Dong),"",IF(OFFSET(TH!N$1,SMALL(Dong,ROWS($1:118)),)="331",OFFSET(TH!M$1,SMALL(Dong,ROWS($1:118)),),0))</f>
        <v/>
      </c>
      <c r="H131" s="86" t="str">
        <f ca="1">IF(ROWS($1:118)&gt;COUNT(Dong),"",IF(OFFSET(TH!O$1,SMALL(Dong,ROWS($1:118)),)="331",OFFSET(TH!M$1,SMALL(Dong,ROWS($1:118)),),0))</f>
        <v/>
      </c>
      <c r="I131" s="25">
        <f t="shared" ca="1" si="16"/>
        <v>0</v>
      </c>
      <c r="J131" s="25">
        <f t="shared" ca="1" si="17"/>
        <v>0</v>
      </c>
    </row>
    <row r="132" spans="1:10" s="18" customFormat="1" ht="18.75" customHeight="1">
      <c r="A132" s="9" t="str">
        <f ca="1">IF(ROWS($1:119)&gt;COUNT(Dong),"",OFFSET(TH!C$1,SMALL(Dong,ROWS($1:119)),))</f>
        <v/>
      </c>
      <c r="B132" s="9" t="str">
        <f ca="1">IF(ROWS($1:119)&gt;COUNT(Dong),"",OFFSET(TH!D$1,SMALL(Dong,ROWS($1:119)),))</f>
        <v/>
      </c>
      <c r="C132" s="9" t="str">
        <f ca="1">IF(ROWS($1:119)&gt;COUNT(Dong),"",OFFSET(TH!E$1,SMALL(Dong,ROWS($1:119)),))</f>
        <v/>
      </c>
      <c r="D132" s="339" t="str">
        <f ca="1">IF(ROWS($1:119)&gt;COUNT(Dong),"",OFFSET(TH!F$1,SMALL(Dong,ROWS($1:119)),))</f>
        <v/>
      </c>
      <c r="E132" s="73" t="str">
        <f ca="1">IF(ROWS($1:119)&gt;COUNT(Dong),"",IF(OFFSET(TH!N$1,SMALL(Dong,ROWS($1:119)),)="331",OFFSET(TH!O$1,SMALL(Dong,ROWS($1:119)),),OFFSET(TH!N$1,SMALL(Dong,ROWS($1:119)),)))</f>
        <v/>
      </c>
      <c r="F132" s="73"/>
      <c r="G132" s="86" t="str">
        <f ca="1">IF(ROWS($1:119)&gt;COUNT(Dong),"",IF(OFFSET(TH!N$1,SMALL(Dong,ROWS($1:119)),)="331",OFFSET(TH!M$1,SMALL(Dong,ROWS($1:119)),),0))</f>
        <v/>
      </c>
      <c r="H132" s="86" t="str">
        <f ca="1">IF(ROWS($1:119)&gt;COUNT(Dong),"",IF(OFFSET(TH!O$1,SMALL(Dong,ROWS($1:119)),)="331",OFFSET(TH!M$1,SMALL(Dong,ROWS($1:119)),),0))</f>
        <v/>
      </c>
      <c r="I132" s="25">
        <f t="shared" ca="1" si="16"/>
        <v>0</v>
      </c>
      <c r="J132" s="25">
        <f t="shared" ca="1" si="17"/>
        <v>0</v>
      </c>
    </row>
    <row r="133" spans="1:10" s="18" customFormat="1" ht="18.75" customHeight="1">
      <c r="A133" s="9" t="str">
        <f ca="1">IF(ROWS($1:120)&gt;COUNT(Dong),"",OFFSET(TH!C$1,SMALL(Dong,ROWS($1:120)),))</f>
        <v/>
      </c>
      <c r="B133" s="9" t="str">
        <f ca="1">IF(ROWS($1:120)&gt;COUNT(Dong),"",OFFSET(TH!D$1,SMALL(Dong,ROWS($1:120)),))</f>
        <v/>
      </c>
      <c r="C133" s="9" t="str">
        <f ca="1">IF(ROWS($1:120)&gt;COUNT(Dong),"",OFFSET(TH!E$1,SMALL(Dong,ROWS($1:120)),))</f>
        <v/>
      </c>
      <c r="D133" s="339" t="str">
        <f ca="1">IF(ROWS($1:120)&gt;COUNT(Dong),"",OFFSET(TH!F$1,SMALL(Dong,ROWS($1:120)),))</f>
        <v/>
      </c>
      <c r="E133" s="73" t="str">
        <f ca="1">IF(ROWS($1:120)&gt;COUNT(Dong),"",IF(OFFSET(TH!N$1,SMALL(Dong,ROWS($1:120)),)="331",OFFSET(TH!O$1,SMALL(Dong,ROWS($1:120)),),OFFSET(TH!N$1,SMALL(Dong,ROWS($1:120)),)))</f>
        <v/>
      </c>
      <c r="F133" s="73"/>
      <c r="G133" s="86" t="str">
        <f ca="1">IF(ROWS($1:120)&gt;COUNT(Dong),"",IF(OFFSET(TH!N$1,SMALL(Dong,ROWS($1:120)),)="331",OFFSET(TH!M$1,SMALL(Dong,ROWS($1:120)),),0))</f>
        <v/>
      </c>
      <c r="H133" s="86" t="str">
        <f ca="1">IF(ROWS($1:120)&gt;COUNT(Dong),"",IF(OFFSET(TH!O$1,SMALL(Dong,ROWS($1:120)),)="331",OFFSET(TH!M$1,SMALL(Dong,ROWS($1:120)),),0))</f>
        <v/>
      </c>
      <c r="I133" s="25">
        <f t="shared" ca="1" si="16"/>
        <v>0</v>
      </c>
      <c r="J133" s="25">
        <f t="shared" ca="1" si="17"/>
        <v>0</v>
      </c>
    </row>
    <row r="134" spans="1:10" s="18" customFormat="1" ht="18.75" customHeight="1">
      <c r="A134" s="9" t="str">
        <f ca="1">IF(ROWS($1:121)&gt;COUNT(Dong),"",OFFSET(TH!C$1,SMALL(Dong,ROWS($1:121)),))</f>
        <v/>
      </c>
      <c r="B134" s="9" t="str">
        <f ca="1">IF(ROWS($1:121)&gt;COUNT(Dong),"",OFFSET(TH!D$1,SMALL(Dong,ROWS($1:121)),))</f>
        <v/>
      </c>
      <c r="C134" s="9" t="str">
        <f ca="1">IF(ROWS($1:121)&gt;COUNT(Dong),"",OFFSET(TH!E$1,SMALL(Dong,ROWS($1:121)),))</f>
        <v/>
      </c>
      <c r="D134" s="339" t="str">
        <f ca="1">IF(ROWS($1:121)&gt;COUNT(Dong),"",OFFSET(TH!F$1,SMALL(Dong,ROWS($1:121)),))</f>
        <v/>
      </c>
      <c r="E134" s="73" t="str">
        <f ca="1">IF(ROWS($1:121)&gt;COUNT(Dong),"",IF(OFFSET(TH!N$1,SMALL(Dong,ROWS($1:121)),)="331",OFFSET(TH!O$1,SMALL(Dong,ROWS($1:121)),),OFFSET(TH!N$1,SMALL(Dong,ROWS($1:121)),)))</f>
        <v/>
      </c>
      <c r="F134" s="73"/>
      <c r="G134" s="86" t="str">
        <f ca="1">IF(ROWS($1:121)&gt;COUNT(Dong),"",IF(OFFSET(TH!N$1,SMALL(Dong,ROWS($1:121)),)="331",OFFSET(TH!M$1,SMALL(Dong,ROWS($1:121)),),0))</f>
        <v/>
      </c>
      <c r="H134" s="86" t="str">
        <f ca="1">IF(ROWS($1:121)&gt;COUNT(Dong),"",IF(OFFSET(TH!O$1,SMALL(Dong,ROWS($1:121)),)="331",OFFSET(TH!M$1,SMALL(Dong,ROWS($1:121)),),0))</f>
        <v/>
      </c>
      <c r="I134" s="25">
        <f t="shared" ca="1" si="16"/>
        <v>0</v>
      </c>
      <c r="J134" s="25">
        <f t="shared" ca="1" si="17"/>
        <v>0</v>
      </c>
    </row>
    <row r="135" spans="1:10" s="18" customFormat="1" ht="18.75" customHeight="1">
      <c r="A135" s="9" t="str">
        <f ca="1">IF(ROWS($1:122)&gt;COUNT(Dong),"",OFFSET(TH!C$1,SMALL(Dong,ROWS($1:122)),))</f>
        <v/>
      </c>
      <c r="B135" s="9" t="str">
        <f ca="1">IF(ROWS($1:122)&gt;COUNT(Dong),"",OFFSET(TH!D$1,SMALL(Dong,ROWS($1:122)),))</f>
        <v/>
      </c>
      <c r="C135" s="9" t="str">
        <f ca="1">IF(ROWS($1:122)&gt;COUNT(Dong),"",OFFSET(TH!E$1,SMALL(Dong,ROWS($1:122)),))</f>
        <v/>
      </c>
      <c r="D135" s="339" t="str">
        <f ca="1">IF(ROWS($1:122)&gt;COUNT(Dong),"",OFFSET(TH!F$1,SMALL(Dong,ROWS($1:122)),))</f>
        <v/>
      </c>
      <c r="E135" s="73" t="str">
        <f ca="1">IF(ROWS($1:122)&gt;COUNT(Dong),"",IF(OFFSET(TH!N$1,SMALL(Dong,ROWS($1:122)),)="331",OFFSET(TH!O$1,SMALL(Dong,ROWS($1:122)),),OFFSET(TH!N$1,SMALL(Dong,ROWS($1:122)),)))</f>
        <v/>
      </c>
      <c r="F135" s="73"/>
      <c r="G135" s="86" t="str">
        <f ca="1">IF(ROWS($1:122)&gt;COUNT(Dong),"",IF(OFFSET(TH!N$1,SMALL(Dong,ROWS($1:122)),)="331",OFFSET(TH!M$1,SMALL(Dong,ROWS($1:122)),),0))</f>
        <v/>
      </c>
      <c r="H135" s="86" t="str">
        <f ca="1">IF(ROWS($1:122)&gt;COUNT(Dong),"",IF(OFFSET(TH!O$1,SMALL(Dong,ROWS($1:122)),)="331",OFFSET(TH!M$1,SMALL(Dong,ROWS($1:122)),),0))</f>
        <v/>
      </c>
      <c r="I135" s="25">
        <f t="shared" ca="1" si="16"/>
        <v>0</v>
      </c>
      <c r="J135" s="25">
        <f t="shared" ca="1" si="17"/>
        <v>0</v>
      </c>
    </row>
    <row r="136" spans="1:10" s="18" customFormat="1" ht="18.75" customHeight="1">
      <c r="A136" s="9" t="str">
        <f ca="1">IF(ROWS($1:123)&gt;COUNT(Dong),"",OFFSET(TH!C$1,SMALL(Dong,ROWS($1:123)),))</f>
        <v/>
      </c>
      <c r="B136" s="9" t="str">
        <f ca="1">IF(ROWS($1:123)&gt;COUNT(Dong),"",OFFSET(TH!D$1,SMALL(Dong,ROWS($1:123)),))</f>
        <v/>
      </c>
      <c r="C136" s="9" t="str">
        <f ca="1">IF(ROWS($1:123)&gt;COUNT(Dong),"",OFFSET(TH!E$1,SMALL(Dong,ROWS($1:123)),))</f>
        <v/>
      </c>
      <c r="D136" s="339" t="str">
        <f ca="1">IF(ROWS($1:123)&gt;COUNT(Dong),"",OFFSET(TH!F$1,SMALL(Dong,ROWS($1:123)),))</f>
        <v/>
      </c>
      <c r="E136" s="73" t="str">
        <f ca="1">IF(ROWS($1:123)&gt;COUNT(Dong),"",IF(OFFSET(TH!N$1,SMALL(Dong,ROWS($1:123)),)="331",OFFSET(TH!O$1,SMALL(Dong,ROWS($1:123)),),OFFSET(TH!N$1,SMALL(Dong,ROWS($1:123)),)))</f>
        <v/>
      </c>
      <c r="F136" s="73"/>
      <c r="G136" s="86" t="str">
        <f ca="1">IF(ROWS($1:123)&gt;COUNT(Dong),"",IF(OFFSET(TH!N$1,SMALL(Dong,ROWS($1:123)),)="331",OFFSET(TH!M$1,SMALL(Dong,ROWS($1:123)),),0))</f>
        <v/>
      </c>
      <c r="H136" s="86" t="str">
        <f ca="1">IF(ROWS($1:123)&gt;COUNT(Dong),"",IF(OFFSET(TH!O$1,SMALL(Dong,ROWS($1:123)),)="331",OFFSET(TH!M$1,SMALL(Dong,ROWS($1:123)),),0))</f>
        <v/>
      </c>
      <c r="I136" s="25">
        <f t="shared" ca="1" si="16"/>
        <v>0</v>
      </c>
      <c r="J136" s="25">
        <f t="shared" ca="1" si="17"/>
        <v>0</v>
      </c>
    </row>
    <row r="137" spans="1:10" s="18" customFormat="1" ht="18.75" customHeight="1">
      <c r="A137" s="9" t="str">
        <f ca="1">IF(ROWS($1:124)&gt;COUNT(Dong),"",OFFSET(TH!C$1,SMALL(Dong,ROWS($1:124)),))</f>
        <v/>
      </c>
      <c r="B137" s="9" t="str">
        <f ca="1">IF(ROWS($1:124)&gt;COUNT(Dong),"",OFFSET(TH!D$1,SMALL(Dong,ROWS($1:124)),))</f>
        <v/>
      </c>
      <c r="C137" s="9" t="str">
        <f ca="1">IF(ROWS($1:124)&gt;COUNT(Dong),"",OFFSET(TH!E$1,SMALL(Dong,ROWS($1:124)),))</f>
        <v/>
      </c>
      <c r="D137" s="339" t="str">
        <f ca="1">IF(ROWS($1:124)&gt;COUNT(Dong),"",OFFSET(TH!F$1,SMALL(Dong,ROWS($1:124)),))</f>
        <v/>
      </c>
      <c r="E137" s="73" t="str">
        <f ca="1">IF(ROWS($1:124)&gt;COUNT(Dong),"",IF(OFFSET(TH!N$1,SMALL(Dong,ROWS($1:124)),)="331",OFFSET(TH!O$1,SMALL(Dong,ROWS($1:124)),),OFFSET(TH!N$1,SMALL(Dong,ROWS($1:124)),)))</f>
        <v/>
      </c>
      <c r="F137" s="73"/>
      <c r="G137" s="86" t="str">
        <f ca="1">IF(ROWS($1:124)&gt;COUNT(Dong),"",IF(OFFSET(TH!N$1,SMALL(Dong,ROWS($1:124)),)="331",OFFSET(TH!M$1,SMALL(Dong,ROWS($1:124)),),0))</f>
        <v/>
      </c>
      <c r="H137" s="86" t="str">
        <f ca="1">IF(ROWS($1:124)&gt;COUNT(Dong),"",IF(OFFSET(TH!O$1,SMALL(Dong,ROWS($1:124)),)="331",OFFSET(TH!M$1,SMALL(Dong,ROWS($1:124)),),0))</f>
        <v/>
      </c>
      <c r="I137" s="25">
        <f t="shared" ca="1" si="16"/>
        <v>0</v>
      </c>
      <c r="J137" s="25">
        <f t="shared" ca="1" si="17"/>
        <v>0</v>
      </c>
    </row>
    <row r="138" spans="1:10" s="18" customFormat="1" ht="18.75" customHeight="1">
      <c r="A138" s="9" t="str">
        <f ca="1">IF(ROWS($1:125)&gt;COUNT(Dong),"",OFFSET(TH!C$1,SMALL(Dong,ROWS($1:125)),))</f>
        <v/>
      </c>
      <c r="B138" s="9" t="str">
        <f ca="1">IF(ROWS($1:125)&gt;COUNT(Dong),"",OFFSET(TH!D$1,SMALL(Dong,ROWS($1:125)),))</f>
        <v/>
      </c>
      <c r="C138" s="9" t="str">
        <f ca="1">IF(ROWS($1:125)&gt;COUNT(Dong),"",OFFSET(TH!E$1,SMALL(Dong,ROWS($1:125)),))</f>
        <v/>
      </c>
      <c r="D138" s="339" t="str">
        <f ca="1">IF(ROWS($1:125)&gt;COUNT(Dong),"",OFFSET(TH!F$1,SMALL(Dong,ROWS($1:125)),))</f>
        <v/>
      </c>
      <c r="E138" s="73" t="str">
        <f ca="1">IF(ROWS($1:125)&gt;COUNT(Dong),"",IF(OFFSET(TH!N$1,SMALL(Dong,ROWS($1:125)),)="331",OFFSET(TH!O$1,SMALL(Dong,ROWS($1:125)),),OFFSET(TH!N$1,SMALL(Dong,ROWS($1:125)),)))</f>
        <v/>
      </c>
      <c r="F138" s="73"/>
      <c r="G138" s="86" t="str">
        <f ca="1">IF(ROWS($1:125)&gt;COUNT(Dong),"",IF(OFFSET(TH!N$1,SMALL(Dong,ROWS($1:125)),)="331",OFFSET(TH!M$1,SMALL(Dong,ROWS($1:125)),),0))</f>
        <v/>
      </c>
      <c r="H138" s="86" t="str">
        <f ca="1">IF(ROWS($1:125)&gt;COUNT(Dong),"",IF(OFFSET(TH!O$1,SMALL(Dong,ROWS($1:125)),)="331",OFFSET(TH!M$1,SMALL(Dong,ROWS($1:125)),),0))</f>
        <v/>
      </c>
      <c r="I138" s="25">
        <f t="shared" ca="1" si="16"/>
        <v>0</v>
      </c>
      <c r="J138" s="25">
        <f t="shared" ca="1" si="17"/>
        <v>0</v>
      </c>
    </row>
    <row r="139" spans="1:10" s="18" customFormat="1" ht="18.75" customHeight="1">
      <c r="A139" s="9" t="str">
        <f ca="1">IF(ROWS($1:126)&gt;COUNT(Dong),"",OFFSET(TH!C$1,SMALL(Dong,ROWS($1:126)),))</f>
        <v/>
      </c>
      <c r="B139" s="9" t="str">
        <f ca="1">IF(ROWS($1:126)&gt;COUNT(Dong),"",OFFSET(TH!D$1,SMALL(Dong,ROWS($1:126)),))</f>
        <v/>
      </c>
      <c r="C139" s="9" t="str">
        <f ca="1">IF(ROWS($1:126)&gt;COUNT(Dong),"",OFFSET(TH!E$1,SMALL(Dong,ROWS($1:126)),))</f>
        <v/>
      </c>
      <c r="D139" s="339" t="str">
        <f ca="1">IF(ROWS($1:126)&gt;COUNT(Dong),"",OFFSET(TH!F$1,SMALL(Dong,ROWS($1:126)),))</f>
        <v/>
      </c>
      <c r="E139" s="73" t="str">
        <f ca="1">IF(ROWS($1:126)&gt;COUNT(Dong),"",IF(OFFSET(TH!N$1,SMALL(Dong,ROWS($1:126)),)="331",OFFSET(TH!O$1,SMALL(Dong,ROWS($1:126)),),OFFSET(TH!N$1,SMALL(Dong,ROWS($1:126)),)))</f>
        <v/>
      </c>
      <c r="F139" s="73"/>
      <c r="G139" s="86" t="str">
        <f ca="1">IF(ROWS($1:126)&gt;COUNT(Dong),"",IF(OFFSET(TH!N$1,SMALL(Dong,ROWS($1:126)),)="331",OFFSET(TH!M$1,SMALL(Dong,ROWS($1:126)),),0))</f>
        <v/>
      </c>
      <c r="H139" s="86" t="str">
        <f ca="1">IF(ROWS($1:126)&gt;COUNT(Dong),"",IF(OFFSET(TH!O$1,SMALL(Dong,ROWS($1:126)),)="331",OFFSET(TH!M$1,SMALL(Dong,ROWS($1:126)),),0))</f>
        <v/>
      </c>
      <c r="I139" s="25">
        <f t="shared" ca="1" si="16"/>
        <v>0</v>
      </c>
      <c r="J139" s="25">
        <f t="shared" ca="1" si="17"/>
        <v>0</v>
      </c>
    </row>
    <row r="140" spans="1:10" s="18" customFormat="1" ht="18.75" customHeight="1">
      <c r="A140" s="9" t="str">
        <f ca="1">IF(ROWS($1:127)&gt;COUNT(Dong),"",OFFSET(TH!C$1,SMALL(Dong,ROWS($1:127)),))</f>
        <v/>
      </c>
      <c r="B140" s="9" t="str">
        <f ca="1">IF(ROWS($1:127)&gt;COUNT(Dong),"",OFFSET(TH!D$1,SMALL(Dong,ROWS($1:127)),))</f>
        <v/>
      </c>
      <c r="C140" s="9" t="str">
        <f ca="1">IF(ROWS($1:127)&gt;COUNT(Dong),"",OFFSET(TH!E$1,SMALL(Dong,ROWS($1:127)),))</f>
        <v/>
      </c>
      <c r="D140" s="339" t="str">
        <f ca="1">IF(ROWS($1:127)&gt;COUNT(Dong),"",OFFSET(TH!F$1,SMALL(Dong,ROWS($1:127)),))</f>
        <v/>
      </c>
      <c r="E140" s="73" t="str">
        <f ca="1">IF(ROWS($1:127)&gt;COUNT(Dong),"",IF(OFFSET(TH!N$1,SMALL(Dong,ROWS($1:127)),)="331",OFFSET(TH!O$1,SMALL(Dong,ROWS($1:127)),),OFFSET(TH!N$1,SMALL(Dong,ROWS($1:127)),)))</f>
        <v/>
      </c>
      <c r="F140" s="73"/>
      <c r="G140" s="86" t="str">
        <f ca="1">IF(ROWS($1:127)&gt;COUNT(Dong),"",IF(OFFSET(TH!N$1,SMALL(Dong,ROWS($1:127)),)="331",OFFSET(TH!M$1,SMALL(Dong,ROWS($1:127)),),0))</f>
        <v/>
      </c>
      <c r="H140" s="86" t="str">
        <f ca="1">IF(ROWS($1:127)&gt;COUNT(Dong),"",IF(OFFSET(TH!O$1,SMALL(Dong,ROWS($1:127)),)="331",OFFSET(TH!M$1,SMALL(Dong,ROWS($1:127)),),0))</f>
        <v/>
      </c>
      <c r="I140" s="25">
        <f t="shared" ca="1" si="16"/>
        <v>0</v>
      </c>
      <c r="J140" s="25">
        <f t="shared" ca="1" si="17"/>
        <v>0</v>
      </c>
    </row>
    <row r="141" spans="1:10" s="18" customFormat="1" ht="18.75" customHeight="1">
      <c r="A141" s="9" t="str">
        <f ca="1">IF(ROWS($1:128)&gt;COUNT(Dong),"",OFFSET(TH!C$1,SMALL(Dong,ROWS($1:128)),))</f>
        <v/>
      </c>
      <c r="B141" s="9" t="str">
        <f ca="1">IF(ROWS($1:128)&gt;COUNT(Dong),"",OFFSET(TH!D$1,SMALL(Dong,ROWS($1:128)),))</f>
        <v/>
      </c>
      <c r="C141" s="9" t="str">
        <f ca="1">IF(ROWS($1:128)&gt;COUNT(Dong),"",OFFSET(TH!E$1,SMALL(Dong,ROWS($1:128)),))</f>
        <v/>
      </c>
      <c r="D141" s="339" t="str">
        <f ca="1">IF(ROWS($1:128)&gt;COUNT(Dong),"",OFFSET(TH!F$1,SMALL(Dong,ROWS($1:128)),))</f>
        <v/>
      </c>
      <c r="E141" s="73" t="str">
        <f ca="1">IF(ROWS($1:128)&gt;COUNT(Dong),"",IF(OFFSET(TH!N$1,SMALL(Dong,ROWS($1:128)),)="331",OFFSET(TH!O$1,SMALL(Dong,ROWS($1:128)),),OFFSET(TH!N$1,SMALL(Dong,ROWS($1:128)),)))</f>
        <v/>
      </c>
      <c r="F141" s="73"/>
      <c r="G141" s="86" t="str">
        <f ca="1">IF(ROWS($1:128)&gt;COUNT(Dong),"",IF(OFFSET(TH!N$1,SMALL(Dong,ROWS($1:128)),)="331",OFFSET(TH!M$1,SMALL(Dong,ROWS($1:128)),),0))</f>
        <v/>
      </c>
      <c r="H141" s="86" t="str">
        <f ca="1">IF(ROWS($1:128)&gt;COUNT(Dong),"",IF(OFFSET(TH!O$1,SMALL(Dong,ROWS($1:128)),)="331",OFFSET(TH!M$1,SMALL(Dong,ROWS($1:128)),),0))</f>
        <v/>
      </c>
      <c r="I141" s="25">
        <f t="shared" ca="1" si="16"/>
        <v>0</v>
      </c>
      <c r="J141" s="25">
        <f t="shared" ca="1" si="17"/>
        <v>0</v>
      </c>
    </row>
    <row r="142" spans="1:10" s="18" customFormat="1" ht="18.75" customHeight="1">
      <c r="A142" s="9" t="str">
        <f ca="1">IF(ROWS($1:129)&gt;COUNT(Dong),"",OFFSET(TH!C$1,SMALL(Dong,ROWS($1:129)),))</f>
        <v/>
      </c>
      <c r="B142" s="9" t="str">
        <f ca="1">IF(ROWS($1:129)&gt;COUNT(Dong),"",OFFSET(TH!D$1,SMALL(Dong,ROWS($1:129)),))</f>
        <v/>
      </c>
      <c r="C142" s="9" t="str">
        <f ca="1">IF(ROWS($1:129)&gt;COUNT(Dong),"",OFFSET(TH!E$1,SMALL(Dong,ROWS($1:129)),))</f>
        <v/>
      </c>
      <c r="D142" s="339" t="str">
        <f ca="1">IF(ROWS($1:129)&gt;COUNT(Dong),"",OFFSET(TH!F$1,SMALL(Dong,ROWS($1:129)),))</f>
        <v/>
      </c>
      <c r="E142" s="73" t="str">
        <f ca="1">IF(ROWS($1:129)&gt;COUNT(Dong),"",IF(OFFSET(TH!N$1,SMALL(Dong,ROWS($1:129)),)="331",OFFSET(TH!O$1,SMALL(Dong,ROWS($1:129)),),OFFSET(TH!N$1,SMALL(Dong,ROWS($1:129)),)))</f>
        <v/>
      </c>
      <c r="F142" s="73"/>
      <c r="G142" s="86" t="str">
        <f ca="1">IF(ROWS($1:129)&gt;COUNT(Dong),"",IF(OFFSET(TH!N$1,SMALL(Dong,ROWS($1:129)),)="331",OFFSET(TH!M$1,SMALL(Dong,ROWS($1:129)),),0))</f>
        <v/>
      </c>
      <c r="H142" s="86" t="str">
        <f ca="1">IF(ROWS($1:129)&gt;COUNT(Dong),"",IF(OFFSET(TH!O$1,SMALL(Dong,ROWS($1:129)),)="331",OFFSET(TH!M$1,SMALL(Dong,ROWS($1:129)),),0))</f>
        <v/>
      </c>
      <c r="I142" s="25">
        <f t="shared" ca="1" si="16"/>
        <v>0</v>
      </c>
      <c r="J142" s="25">
        <f t="shared" ca="1" si="17"/>
        <v>0</v>
      </c>
    </row>
    <row r="143" spans="1:10" s="18" customFormat="1" ht="18.75" customHeight="1">
      <c r="A143" s="9" t="str">
        <f ca="1">IF(ROWS($1:130)&gt;COUNT(Dong),"",OFFSET(TH!C$1,SMALL(Dong,ROWS($1:130)),))</f>
        <v/>
      </c>
      <c r="B143" s="9" t="str">
        <f ca="1">IF(ROWS($1:130)&gt;COUNT(Dong),"",OFFSET(TH!D$1,SMALL(Dong,ROWS($1:130)),))</f>
        <v/>
      </c>
      <c r="C143" s="9" t="str">
        <f ca="1">IF(ROWS($1:130)&gt;COUNT(Dong),"",OFFSET(TH!E$1,SMALL(Dong,ROWS($1:130)),))</f>
        <v/>
      </c>
      <c r="D143" s="339" t="str">
        <f ca="1">IF(ROWS($1:130)&gt;COUNT(Dong),"",OFFSET(TH!F$1,SMALL(Dong,ROWS($1:130)),))</f>
        <v/>
      </c>
      <c r="E143" s="73" t="str">
        <f ca="1">IF(ROWS($1:130)&gt;COUNT(Dong),"",IF(OFFSET(TH!N$1,SMALL(Dong,ROWS($1:130)),)="331",OFFSET(TH!O$1,SMALL(Dong,ROWS($1:130)),),OFFSET(TH!N$1,SMALL(Dong,ROWS($1:130)),)))</f>
        <v/>
      </c>
      <c r="F143" s="73"/>
      <c r="G143" s="86" t="str">
        <f ca="1">IF(ROWS($1:130)&gt;COUNT(Dong),"",IF(OFFSET(TH!N$1,SMALL(Dong,ROWS($1:130)),)="331",OFFSET(TH!M$1,SMALL(Dong,ROWS($1:130)),),0))</f>
        <v/>
      </c>
      <c r="H143" s="86" t="str">
        <f ca="1">IF(ROWS($1:130)&gt;COUNT(Dong),"",IF(OFFSET(TH!O$1,SMALL(Dong,ROWS($1:130)),)="331",OFFSET(TH!M$1,SMALL(Dong,ROWS($1:130)),),0))</f>
        <v/>
      </c>
      <c r="I143" s="25">
        <f t="shared" ca="1" si="16"/>
        <v>0</v>
      </c>
      <c r="J143" s="25">
        <f t="shared" ca="1" si="17"/>
        <v>0</v>
      </c>
    </row>
    <row r="144" spans="1:10" s="18" customFormat="1" ht="18.75" customHeight="1">
      <c r="A144" s="9" t="str">
        <f ca="1">IF(ROWS($1:131)&gt;COUNT(Dong),"",OFFSET(TH!C$1,SMALL(Dong,ROWS($1:131)),))</f>
        <v/>
      </c>
      <c r="B144" s="9" t="str">
        <f ca="1">IF(ROWS($1:131)&gt;COUNT(Dong),"",OFFSET(TH!D$1,SMALL(Dong,ROWS($1:131)),))</f>
        <v/>
      </c>
      <c r="C144" s="9" t="str">
        <f ca="1">IF(ROWS($1:131)&gt;COUNT(Dong),"",OFFSET(TH!E$1,SMALL(Dong,ROWS($1:131)),))</f>
        <v/>
      </c>
      <c r="D144" s="339" t="str">
        <f ca="1">IF(ROWS($1:131)&gt;COUNT(Dong),"",OFFSET(TH!F$1,SMALL(Dong,ROWS($1:131)),))</f>
        <v/>
      </c>
      <c r="E144" s="73" t="str">
        <f ca="1">IF(ROWS($1:131)&gt;COUNT(Dong),"",IF(OFFSET(TH!N$1,SMALL(Dong,ROWS($1:131)),)="331",OFFSET(TH!O$1,SMALL(Dong,ROWS($1:131)),),OFFSET(TH!N$1,SMALL(Dong,ROWS($1:131)),)))</f>
        <v/>
      </c>
      <c r="F144" s="73"/>
      <c r="G144" s="86" t="str">
        <f ca="1">IF(ROWS($1:131)&gt;COUNT(Dong),"",IF(OFFSET(TH!N$1,SMALL(Dong,ROWS($1:131)),)="331",OFFSET(TH!M$1,SMALL(Dong,ROWS($1:131)),),0))</f>
        <v/>
      </c>
      <c r="H144" s="86" t="str">
        <f ca="1">IF(ROWS($1:131)&gt;COUNT(Dong),"",IF(OFFSET(TH!O$1,SMALL(Dong,ROWS($1:131)),)="331",OFFSET(TH!M$1,SMALL(Dong,ROWS($1:131)),),0))</f>
        <v/>
      </c>
      <c r="I144" s="25">
        <f t="shared" ca="1" si="16"/>
        <v>0</v>
      </c>
      <c r="J144" s="25">
        <f t="shared" ca="1" si="17"/>
        <v>0</v>
      </c>
    </row>
    <row r="145" spans="1:10" s="18" customFormat="1" ht="18.75" customHeight="1">
      <c r="A145" s="9" t="str">
        <f ca="1">IF(ROWS($1:132)&gt;COUNT(Dong),"",OFFSET(TH!C$1,SMALL(Dong,ROWS($1:132)),))</f>
        <v/>
      </c>
      <c r="B145" s="9" t="str">
        <f ca="1">IF(ROWS($1:132)&gt;COUNT(Dong),"",OFFSET(TH!D$1,SMALL(Dong,ROWS($1:132)),))</f>
        <v/>
      </c>
      <c r="C145" s="9" t="str">
        <f ca="1">IF(ROWS($1:132)&gt;COUNT(Dong),"",OFFSET(TH!E$1,SMALL(Dong,ROWS($1:132)),))</f>
        <v/>
      </c>
      <c r="D145" s="339" t="str">
        <f ca="1">IF(ROWS($1:132)&gt;COUNT(Dong),"",OFFSET(TH!F$1,SMALL(Dong,ROWS($1:132)),))</f>
        <v/>
      </c>
      <c r="E145" s="73" t="str">
        <f ca="1">IF(ROWS($1:132)&gt;COUNT(Dong),"",IF(OFFSET(TH!N$1,SMALL(Dong,ROWS($1:132)),)="331",OFFSET(TH!O$1,SMALL(Dong,ROWS($1:132)),),OFFSET(TH!N$1,SMALL(Dong,ROWS($1:132)),)))</f>
        <v/>
      </c>
      <c r="F145" s="73"/>
      <c r="G145" s="86" t="str">
        <f ca="1">IF(ROWS($1:132)&gt;COUNT(Dong),"",IF(OFFSET(TH!N$1,SMALL(Dong,ROWS($1:132)),)="331",OFFSET(TH!M$1,SMALL(Dong,ROWS($1:132)),),0))</f>
        <v/>
      </c>
      <c r="H145" s="86" t="str">
        <f ca="1">IF(ROWS($1:132)&gt;COUNT(Dong),"",IF(OFFSET(TH!O$1,SMALL(Dong,ROWS($1:132)),)="331",OFFSET(TH!M$1,SMALL(Dong,ROWS($1:132)),),0))</f>
        <v/>
      </c>
      <c r="I145" s="25">
        <f t="shared" ca="1" si="16"/>
        <v>0</v>
      </c>
      <c r="J145" s="25">
        <f t="shared" ca="1" si="17"/>
        <v>0</v>
      </c>
    </row>
    <row r="146" spans="1:10" s="18" customFormat="1" ht="18.75" customHeight="1">
      <c r="A146" s="9" t="str">
        <f ca="1">IF(ROWS($1:133)&gt;COUNT(Dong),"",OFFSET(TH!C$1,SMALL(Dong,ROWS($1:133)),))</f>
        <v/>
      </c>
      <c r="B146" s="9" t="str">
        <f ca="1">IF(ROWS($1:133)&gt;COUNT(Dong),"",OFFSET(TH!D$1,SMALL(Dong,ROWS($1:133)),))</f>
        <v/>
      </c>
      <c r="C146" s="9" t="str">
        <f ca="1">IF(ROWS($1:133)&gt;COUNT(Dong),"",OFFSET(TH!E$1,SMALL(Dong,ROWS($1:133)),))</f>
        <v/>
      </c>
      <c r="D146" s="339" t="str">
        <f ca="1">IF(ROWS($1:133)&gt;COUNT(Dong),"",OFFSET(TH!F$1,SMALL(Dong,ROWS($1:133)),))</f>
        <v/>
      </c>
      <c r="E146" s="73" t="str">
        <f ca="1">IF(ROWS($1:133)&gt;COUNT(Dong),"",IF(OFFSET(TH!N$1,SMALL(Dong,ROWS($1:133)),)="331",OFFSET(TH!O$1,SMALL(Dong,ROWS($1:133)),),OFFSET(TH!N$1,SMALL(Dong,ROWS($1:133)),)))</f>
        <v/>
      </c>
      <c r="F146" s="73"/>
      <c r="G146" s="86" t="str">
        <f ca="1">IF(ROWS($1:133)&gt;COUNT(Dong),"",IF(OFFSET(TH!N$1,SMALL(Dong,ROWS($1:133)),)="331",OFFSET(TH!M$1,SMALL(Dong,ROWS($1:133)),),0))</f>
        <v/>
      </c>
      <c r="H146" s="86" t="str">
        <f ca="1">IF(ROWS($1:133)&gt;COUNT(Dong),"",IF(OFFSET(TH!O$1,SMALL(Dong,ROWS($1:133)),)="331",OFFSET(TH!M$1,SMALL(Dong,ROWS($1:133)),),0))</f>
        <v/>
      </c>
      <c r="I146" s="25">
        <f t="shared" ca="1" si="16"/>
        <v>0</v>
      </c>
      <c r="J146" s="25">
        <f t="shared" ca="1" si="17"/>
        <v>0</v>
      </c>
    </row>
    <row r="147" spans="1:10" s="18" customFormat="1" ht="18.75" customHeight="1">
      <c r="A147" s="9" t="str">
        <f ca="1">IF(ROWS($1:134)&gt;COUNT(Dong),"",OFFSET(TH!C$1,SMALL(Dong,ROWS($1:134)),))</f>
        <v/>
      </c>
      <c r="B147" s="9" t="str">
        <f ca="1">IF(ROWS($1:134)&gt;COUNT(Dong),"",OFFSET(TH!D$1,SMALL(Dong,ROWS($1:134)),))</f>
        <v/>
      </c>
      <c r="C147" s="9" t="str">
        <f ca="1">IF(ROWS($1:134)&gt;COUNT(Dong),"",OFFSET(TH!E$1,SMALL(Dong,ROWS($1:134)),))</f>
        <v/>
      </c>
      <c r="D147" s="339" t="str">
        <f ca="1">IF(ROWS($1:134)&gt;COUNT(Dong),"",OFFSET(TH!F$1,SMALL(Dong,ROWS($1:134)),))</f>
        <v/>
      </c>
      <c r="E147" s="73" t="str">
        <f ca="1">IF(ROWS($1:134)&gt;COUNT(Dong),"",IF(OFFSET(TH!N$1,SMALL(Dong,ROWS($1:134)),)="331",OFFSET(TH!O$1,SMALL(Dong,ROWS($1:134)),),OFFSET(TH!N$1,SMALL(Dong,ROWS($1:134)),)))</f>
        <v/>
      </c>
      <c r="F147" s="73"/>
      <c r="G147" s="86" t="str">
        <f ca="1">IF(ROWS($1:134)&gt;COUNT(Dong),"",IF(OFFSET(TH!N$1,SMALL(Dong,ROWS($1:134)),)="331",OFFSET(TH!M$1,SMALL(Dong,ROWS($1:134)),),0))</f>
        <v/>
      </c>
      <c r="H147" s="86" t="str">
        <f ca="1">IF(ROWS($1:134)&gt;COUNT(Dong),"",IF(OFFSET(TH!O$1,SMALL(Dong,ROWS($1:134)),)="331",OFFSET(TH!M$1,SMALL(Dong,ROWS($1:134)),),0))</f>
        <v/>
      </c>
      <c r="I147" s="25">
        <f t="shared" ca="1" si="16"/>
        <v>0</v>
      </c>
      <c r="J147" s="25">
        <f t="shared" ca="1" si="17"/>
        <v>0</v>
      </c>
    </row>
    <row r="148" spans="1:10" s="18" customFormat="1" ht="18.75" customHeight="1">
      <c r="A148" s="9" t="str">
        <f ca="1">IF(ROWS($1:135)&gt;COUNT(Dong),"",OFFSET(TH!C$1,SMALL(Dong,ROWS($1:135)),))</f>
        <v/>
      </c>
      <c r="B148" s="9" t="str">
        <f ca="1">IF(ROWS($1:135)&gt;COUNT(Dong),"",OFFSET(TH!D$1,SMALL(Dong,ROWS($1:135)),))</f>
        <v/>
      </c>
      <c r="C148" s="9" t="str">
        <f ca="1">IF(ROWS($1:135)&gt;COUNT(Dong),"",OFFSET(TH!E$1,SMALL(Dong,ROWS($1:135)),))</f>
        <v/>
      </c>
      <c r="D148" s="339" t="str">
        <f ca="1">IF(ROWS($1:135)&gt;COUNT(Dong),"",OFFSET(TH!F$1,SMALL(Dong,ROWS($1:135)),))</f>
        <v/>
      </c>
      <c r="E148" s="73" t="str">
        <f ca="1">IF(ROWS($1:135)&gt;COUNT(Dong),"",IF(OFFSET(TH!N$1,SMALL(Dong,ROWS($1:135)),)="331",OFFSET(TH!O$1,SMALL(Dong,ROWS($1:135)),),OFFSET(TH!N$1,SMALL(Dong,ROWS($1:135)),)))</f>
        <v/>
      </c>
      <c r="F148" s="73"/>
      <c r="G148" s="86" t="str">
        <f ca="1">IF(ROWS($1:135)&gt;COUNT(Dong),"",IF(OFFSET(TH!N$1,SMALL(Dong,ROWS($1:135)),)="331",OFFSET(TH!M$1,SMALL(Dong,ROWS($1:135)),),0))</f>
        <v/>
      </c>
      <c r="H148" s="86" t="str">
        <f ca="1">IF(ROWS($1:135)&gt;COUNT(Dong),"",IF(OFFSET(TH!O$1,SMALL(Dong,ROWS($1:135)),)="331",OFFSET(TH!M$1,SMALL(Dong,ROWS($1:135)),),0))</f>
        <v/>
      </c>
      <c r="I148" s="25">
        <f t="shared" ca="1" si="16"/>
        <v>0</v>
      </c>
      <c r="J148" s="25">
        <f t="shared" ca="1" si="17"/>
        <v>0</v>
      </c>
    </row>
    <row r="149" spans="1:10" s="18" customFormat="1" ht="18.75" customHeight="1">
      <c r="A149" s="9" t="str">
        <f ca="1">IF(ROWS($1:136)&gt;COUNT(Dong),"",OFFSET(TH!C$1,SMALL(Dong,ROWS($1:136)),))</f>
        <v/>
      </c>
      <c r="B149" s="9" t="str">
        <f ca="1">IF(ROWS($1:136)&gt;COUNT(Dong),"",OFFSET(TH!D$1,SMALL(Dong,ROWS($1:136)),))</f>
        <v/>
      </c>
      <c r="C149" s="9" t="str">
        <f ca="1">IF(ROWS($1:136)&gt;COUNT(Dong),"",OFFSET(TH!E$1,SMALL(Dong,ROWS($1:136)),))</f>
        <v/>
      </c>
      <c r="D149" s="339" t="str">
        <f ca="1">IF(ROWS($1:136)&gt;COUNT(Dong),"",OFFSET(TH!F$1,SMALL(Dong,ROWS($1:136)),))</f>
        <v/>
      </c>
      <c r="E149" s="73" t="str">
        <f ca="1">IF(ROWS($1:136)&gt;COUNT(Dong),"",IF(OFFSET(TH!N$1,SMALL(Dong,ROWS($1:136)),)="331",OFFSET(TH!O$1,SMALL(Dong,ROWS($1:136)),),OFFSET(TH!N$1,SMALL(Dong,ROWS($1:136)),)))</f>
        <v/>
      </c>
      <c r="F149" s="73"/>
      <c r="G149" s="86" t="str">
        <f ca="1">IF(ROWS($1:136)&gt;COUNT(Dong),"",IF(OFFSET(TH!N$1,SMALL(Dong,ROWS($1:136)),)="331",OFFSET(TH!M$1,SMALL(Dong,ROWS($1:136)),),0))</f>
        <v/>
      </c>
      <c r="H149" s="86" t="str">
        <f ca="1">IF(ROWS($1:136)&gt;COUNT(Dong),"",IF(OFFSET(TH!O$1,SMALL(Dong,ROWS($1:136)),)="331",OFFSET(TH!M$1,SMALL(Dong,ROWS($1:136)),),0))</f>
        <v/>
      </c>
      <c r="I149" s="25">
        <f t="shared" ca="1" si="16"/>
        <v>0</v>
      </c>
      <c r="J149" s="25">
        <f t="shared" ca="1" si="17"/>
        <v>0</v>
      </c>
    </row>
    <row r="150" spans="1:10" s="18" customFormat="1" ht="18.75" customHeight="1">
      <c r="A150" s="9" t="str">
        <f ca="1">IF(ROWS($1:137)&gt;COUNT(Dong),"",OFFSET(TH!C$1,SMALL(Dong,ROWS($1:137)),))</f>
        <v/>
      </c>
      <c r="B150" s="9" t="str">
        <f ca="1">IF(ROWS($1:137)&gt;COUNT(Dong),"",OFFSET(TH!D$1,SMALL(Dong,ROWS($1:137)),))</f>
        <v/>
      </c>
      <c r="C150" s="9" t="str">
        <f ca="1">IF(ROWS($1:137)&gt;COUNT(Dong),"",OFFSET(TH!E$1,SMALL(Dong,ROWS($1:137)),))</f>
        <v/>
      </c>
      <c r="D150" s="339" t="str">
        <f ca="1">IF(ROWS($1:137)&gt;COUNT(Dong),"",OFFSET(TH!F$1,SMALL(Dong,ROWS($1:137)),))</f>
        <v/>
      </c>
      <c r="E150" s="73" t="str">
        <f ca="1">IF(ROWS($1:137)&gt;COUNT(Dong),"",IF(OFFSET(TH!N$1,SMALL(Dong,ROWS($1:137)),)="331",OFFSET(TH!O$1,SMALL(Dong,ROWS($1:137)),),OFFSET(TH!N$1,SMALL(Dong,ROWS($1:137)),)))</f>
        <v/>
      </c>
      <c r="F150" s="73"/>
      <c r="G150" s="86" t="str">
        <f ca="1">IF(ROWS($1:137)&gt;COUNT(Dong),"",IF(OFFSET(TH!N$1,SMALL(Dong,ROWS($1:137)),)="331",OFFSET(TH!M$1,SMALL(Dong,ROWS($1:137)),),0))</f>
        <v/>
      </c>
      <c r="H150" s="86" t="str">
        <f ca="1">IF(ROWS($1:137)&gt;COUNT(Dong),"",IF(OFFSET(TH!O$1,SMALL(Dong,ROWS($1:137)),)="331",OFFSET(TH!M$1,SMALL(Dong,ROWS($1:137)),),0))</f>
        <v/>
      </c>
      <c r="I150" s="25">
        <f t="shared" ca="1" si="16"/>
        <v>0</v>
      </c>
      <c r="J150" s="25">
        <f t="shared" ca="1" si="17"/>
        <v>0</v>
      </c>
    </row>
    <row r="151" spans="1:10" s="18" customFormat="1" ht="18.75" customHeight="1">
      <c r="A151" s="9" t="str">
        <f ca="1">IF(ROWS($1:138)&gt;COUNT(Dong),"",OFFSET(TH!C$1,SMALL(Dong,ROWS($1:138)),))</f>
        <v/>
      </c>
      <c r="B151" s="9" t="str">
        <f ca="1">IF(ROWS($1:138)&gt;COUNT(Dong),"",OFFSET(TH!D$1,SMALL(Dong,ROWS($1:138)),))</f>
        <v/>
      </c>
      <c r="C151" s="9" t="str">
        <f ca="1">IF(ROWS($1:138)&gt;COUNT(Dong),"",OFFSET(TH!E$1,SMALL(Dong,ROWS($1:138)),))</f>
        <v/>
      </c>
      <c r="D151" s="339" t="str">
        <f ca="1">IF(ROWS($1:138)&gt;COUNT(Dong),"",OFFSET(TH!F$1,SMALL(Dong,ROWS($1:138)),))</f>
        <v/>
      </c>
      <c r="E151" s="73" t="str">
        <f ca="1">IF(ROWS($1:138)&gt;COUNT(Dong),"",IF(OFFSET(TH!N$1,SMALL(Dong,ROWS($1:138)),)="331",OFFSET(TH!O$1,SMALL(Dong,ROWS($1:138)),),OFFSET(TH!N$1,SMALL(Dong,ROWS($1:138)),)))</f>
        <v/>
      </c>
      <c r="F151" s="73"/>
      <c r="G151" s="86" t="str">
        <f ca="1">IF(ROWS($1:138)&gt;COUNT(Dong),"",IF(OFFSET(TH!N$1,SMALL(Dong,ROWS($1:138)),)="331",OFFSET(TH!M$1,SMALL(Dong,ROWS($1:138)),),0))</f>
        <v/>
      </c>
      <c r="H151" s="86" t="str">
        <f ca="1">IF(ROWS($1:138)&gt;COUNT(Dong),"",IF(OFFSET(TH!O$1,SMALL(Dong,ROWS($1:138)),)="331",OFFSET(TH!M$1,SMALL(Dong,ROWS($1:138)),),0))</f>
        <v/>
      </c>
      <c r="I151" s="25">
        <f t="shared" ca="1" si="16"/>
        <v>0</v>
      </c>
      <c r="J151" s="25">
        <f t="shared" ca="1" si="17"/>
        <v>0</v>
      </c>
    </row>
    <row r="152" spans="1:10" s="18" customFormat="1" ht="18.75" customHeight="1">
      <c r="A152" s="9" t="str">
        <f ca="1">IF(ROWS($1:139)&gt;COUNT(Dong),"",OFFSET(TH!C$1,SMALL(Dong,ROWS($1:139)),))</f>
        <v/>
      </c>
      <c r="B152" s="9" t="str">
        <f ca="1">IF(ROWS($1:139)&gt;COUNT(Dong),"",OFFSET(TH!D$1,SMALL(Dong,ROWS($1:139)),))</f>
        <v/>
      </c>
      <c r="C152" s="9" t="str">
        <f ca="1">IF(ROWS($1:139)&gt;COUNT(Dong),"",OFFSET(TH!E$1,SMALL(Dong,ROWS($1:139)),))</f>
        <v/>
      </c>
      <c r="D152" s="339" t="str">
        <f ca="1">IF(ROWS($1:139)&gt;COUNT(Dong),"",OFFSET(TH!F$1,SMALL(Dong,ROWS($1:139)),))</f>
        <v/>
      </c>
      <c r="E152" s="73" t="str">
        <f ca="1">IF(ROWS($1:139)&gt;COUNT(Dong),"",IF(OFFSET(TH!N$1,SMALL(Dong,ROWS($1:139)),)="331",OFFSET(TH!O$1,SMALL(Dong,ROWS($1:139)),),OFFSET(TH!N$1,SMALL(Dong,ROWS($1:139)),)))</f>
        <v/>
      </c>
      <c r="F152" s="73"/>
      <c r="G152" s="86" t="str">
        <f ca="1">IF(ROWS($1:139)&gt;COUNT(Dong),"",IF(OFFSET(TH!N$1,SMALL(Dong,ROWS($1:139)),)="331",OFFSET(TH!M$1,SMALL(Dong,ROWS($1:139)),),0))</f>
        <v/>
      </c>
      <c r="H152" s="86" t="str">
        <f ca="1">IF(ROWS($1:139)&gt;COUNT(Dong),"",IF(OFFSET(TH!O$1,SMALL(Dong,ROWS($1:139)),)="331",OFFSET(TH!M$1,SMALL(Dong,ROWS($1:139)),),0))</f>
        <v/>
      </c>
      <c r="I152" s="25">
        <f t="shared" ca="1" si="16"/>
        <v>0</v>
      </c>
      <c r="J152" s="25">
        <f t="shared" ca="1" si="17"/>
        <v>0</v>
      </c>
    </row>
    <row r="153" spans="1:10" s="18" customFormat="1" ht="18.75" customHeight="1">
      <c r="A153" s="9" t="str">
        <f ca="1">IF(ROWS($1:140)&gt;COUNT(Dong),"",OFFSET(TH!C$1,SMALL(Dong,ROWS($1:140)),))</f>
        <v/>
      </c>
      <c r="B153" s="9" t="str">
        <f ca="1">IF(ROWS($1:140)&gt;COUNT(Dong),"",OFFSET(TH!D$1,SMALL(Dong,ROWS($1:140)),))</f>
        <v/>
      </c>
      <c r="C153" s="9" t="str">
        <f ca="1">IF(ROWS($1:140)&gt;COUNT(Dong),"",OFFSET(TH!E$1,SMALL(Dong,ROWS($1:140)),))</f>
        <v/>
      </c>
      <c r="D153" s="339" t="str">
        <f ca="1">IF(ROWS($1:140)&gt;COUNT(Dong),"",OFFSET(TH!F$1,SMALL(Dong,ROWS($1:140)),))</f>
        <v/>
      </c>
      <c r="E153" s="73" t="str">
        <f ca="1">IF(ROWS($1:140)&gt;COUNT(Dong),"",IF(OFFSET(TH!N$1,SMALL(Dong,ROWS($1:140)),)="331",OFFSET(TH!O$1,SMALL(Dong,ROWS($1:140)),),OFFSET(TH!N$1,SMALL(Dong,ROWS($1:140)),)))</f>
        <v/>
      </c>
      <c r="F153" s="73"/>
      <c r="G153" s="86" t="str">
        <f ca="1">IF(ROWS($1:140)&gt;COUNT(Dong),"",IF(OFFSET(TH!N$1,SMALL(Dong,ROWS($1:140)),)="331",OFFSET(TH!M$1,SMALL(Dong,ROWS($1:140)),),0))</f>
        <v/>
      </c>
      <c r="H153" s="86" t="str">
        <f ca="1">IF(ROWS($1:140)&gt;COUNT(Dong),"",IF(OFFSET(TH!O$1,SMALL(Dong,ROWS($1:140)),)="331",OFFSET(TH!M$1,SMALL(Dong,ROWS($1:140)),),0))</f>
        <v/>
      </c>
      <c r="I153" s="25">
        <f t="shared" ca="1" si="16"/>
        <v>0</v>
      </c>
      <c r="J153" s="25">
        <f t="shared" ca="1" si="17"/>
        <v>0</v>
      </c>
    </row>
    <row r="154" spans="1:10" s="18" customFormat="1" ht="18.75" customHeight="1">
      <c r="A154" s="9" t="str">
        <f ca="1">IF(ROWS($1:141)&gt;COUNT(Dong),"",OFFSET(TH!C$1,SMALL(Dong,ROWS($1:141)),))</f>
        <v/>
      </c>
      <c r="B154" s="9" t="str">
        <f ca="1">IF(ROWS($1:141)&gt;COUNT(Dong),"",OFFSET(TH!D$1,SMALL(Dong,ROWS($1:141)),))</f>
        <v/>
      </c>
      <c r="C154" s="9" t="str">
        <f ca="1">IF(ROWS($1:141)&gt;COUNT(Dong),"",OFFSET(TH!E$1,SMALL(Dong,ROWS($1:141)),))</f>
        <v/>
      </c>
      <c r="D154" s="339" t="str">
        <f ca="1">IF(ROWS($1:141)&gt;COUNT(Dong),"",OFFSET(TH!F$1,SMALL(Dong,ROWS($1:141)),))</f>
        <v/>
      </c>
      <c r="E154" s="73" t="str">
        <f ca="1">IF(ROWS($1:141)&gt;COUNT(Dong),"",IF(OFFSET(TH!N$1,SMALL(Dong,ROWS($1:141)),)="331",OFFSET(TH!O$1,SMALL(Dong,ROWS($1:141)),),OFFSET(TH!N$1,SMALL(Dong,ROWS($1:141)),)))</f>
        <v/>
      </c>
      <c r="F154" s="73"/>
      <c r="G154" s="86" t="str">
        <f ca="1">IF(ROWS($1:141)&gt;COUNT(Dong),"",IF(OFFSET(TH!N$1,SMALL(Dong,ROWS($1:141)),)="331",OFFSET(TH!M$1,SMALL(Dong,ROWS($1:141)),),0))</f>
        <v/>
      </c>
      <c r="H154" s="86" t="str">
        <f ca="1">IF(ROWS($1:141)&gt;COUNT(Dong),"",IF(OFFSET(TH!O$1,SMALL(Dong,ROWS($1:141)),)="331",OFFSET(TH!M$1,SMALL(Dong,ROWS($1:141)),),0))</f>
        <v/>
      </c>
      <c r="I154" s="25">
        <f t="shared" ca="1" si="16"/>
        <v>0</v>
      </c>
      <c r="J154" s="25">
        <f t="shared" ca="1" si="17"/>
        <v>0</v>
      </c>
    </row>
    <row r="155" spans="1:10" s="18" customFormat="1" ht="18.75" customHeight="1">
      <c r="A155" s="9" t="str">
        <f ca="1">IF(ROWS($1:142)&gt;COUNT(Dong),"",OFFSET(TH!C$1,SMALL(Dong,ROWS($1:142)),))</f>
        <v/>
      </c>
      <c r="B155" s="9" t="str">
        <f ca="1">IF(ROWS($1:142)&gt;COUNT(Dong),"",OFFSET(TH!D$1,SMALL(Dong,ROWS($1:142)),))</f>
        <v/>
      </c>
      <c r="C155" s="9" t="str">
        <f ca="1">IF(ROWS($1:142)&gt;COUNT(Dong),"",OFFSET(TH!E$1,SMALL(Dong,ROWS($1:142)),))</f>
        <v/>
      </c>
      <c r="D155" s="339" t="str">
        <f ca="1">IF(ROWS($1:142)&gt;COUNT(Dong),"",OFFSET(TH!F$1,SMALL(Dong,ROWS($1:142)),))</f>
        <v/>
      </c>
      <c r="E155" s="73" t="str">
        <f ca="1">IF(ROWS($1:142)&gt;COUNT(Dong),"",IF(OFFSET(TH!N$1,SMALL(Dong,ROWS($1:142)),)="331",OFFSET(TH!O$1,SMALL(Dong,ROWS($1:142)),),OFFSET(TH!N$1,SMALL(Dong,ROWS($1:142)),)))</f>
        <v/>
      </c>
      <c r="F155" s="73"/>
      <c r="G155" s="86" t="str">
        <f ca="1">IF(ROWS($1:142)&gt;COUNT(Dong),"",IF(OFFSET(TH!N$1,SMALL(Dong,ROWS($1:142)),)="331",OFFSET(TH!M$1,SMALL(Dong,ROWS($1:142)),),0))</f>
        <v/>
      </c>
      <c r="H155" s="86" t="str">
        <f ca="1">IF(ROWS($1:142)&gt;COUNT(Dong),"",IF(OFFSET(TH!O$1,SMALL(Dong,ROWS($1:142)),)="331",OFFSET(TH!M$1,SMALL(Dong,ROWS($1:142)),),0))</f>
        <v/>
      </c>
      <c r="I155" s="25">
        <f t="shared" ca="1" si="16"/>
        <v>0</v>
      </c>
      <c r="J155" s="25">
        <f t="shared" ca="1" si="17"/>
        <v>0</v>
      </c>
    </row>
    <row r="156" spans="1:10" s="18" customFormat="1" ht="18.75" customHeight="1">
      <c r="A156" s="9" t="str">
        <f ca="1">IF(ROWS($1:143)&gt;COUNT(Dong),"",OFFSET(TH!C$1,SMALL(Dong,ROWS($1:143)),))</f>
        <v/>
      </c>
      <c r="B156" s="9" t="str">
        <f ca="1">IF(ROWS($1:143)&gt;COUNT(Dong),"",OFFSET(TH!D$1,SMALL(Dong,ROWS($1:143)),))</f>
        <v/>
      </c>
      <c r="C156" s="9" t="str">
        <f ca="1">IF(ROWS($1:143)&gt;COUNT(Dong),"",OFFSET(TH!E$1,SMALL(Dong,ROWS($1:143)),))</f>
        <v/>
      </c>
      <c r="D156" s="339" t="str">
        <f ca="1">IF(ROWS($1:143)&gt;COUNT(Dong),"",OFFSET(TH!F$1,SMALL(Dong,ROWS($1:143)),))</f>
        <v/>
      </c>
      <c r="E156" s="73" t="str">
        <f ca="1">IF(ROWS($1:143)&gt;COUNT(Dong),"",IF(OFFSET(TH!N$1,SMALL(Dong,ROWS($1:143)),)="331",OFFSET(TH!O$1,SMALL(Dong,ROWS($1:143)),),OFFSET(TH!N$1,SMALL(Dong,ROWS($1:143)),)))</f>
        <v/>
      </c>
      <c r="F156" s="73"/>
      <c r="G156" s="86" t="str">
        <f ca="1">IF(ROWS($1:143)&gt;COUNT(Dong),"",IF(OFFSET(TH!N$1,SMALL(Dong,ROWS($1:143)),)="331",OFFSET(TH!M$1,SMALL(Dong,ROWS($1:143)),),0))</f>
        <v/>
      </c>
      <c r="H156" s="86" t="str">
        <f ca="1">IF(ROWS($1:143)&gt;COUNT(Dong),"",IF(OFFSET(TH!O$1,SMALL(Dong,ROWS($1:143)),)="331",OFFSET(TH!M$1,SMALL(Dong,ROWS($1:143)),),0))</f>
        <v/>
      </c>
      <c r="I156" s="25">
        <f t="shared" ca="1" si="16"/>
        <v>0</v>
      </c>
      <c r="J156" s="25">
        <f t="shared" ca="1" si="17"/>
        <v>0</v>
      </c>
    </row>
    <row r="157" spans="1:10" s="18" customFormat="1" ht="18.75" customHeight="1">
      <c r="A157" s="9" t="str">
        <f ca="1">IF(ROWS($1:144)&gt;COUNT(Dong),"",OFFSET(TH!C$1,SMALL(Dong,ROWS($1:144)),))</f>
        <v/>
      </c>
      <c r="B157" s="9" t="str">
        <f ca="1">IF(ROWS($1:144)&gt;COUNT(Dong),"",OFFSET(TH!D$1,SMALL(Dong,ROWS($1:144)),))</f>
        <v/>
      </c>
      <c r="C157" s="9" t="str">
        <f ca="1">IF(ROWS($1:144)&gt;COUNT(Dong),"",OFFSET(TH!E$1,SMALL(Dong,ROWS($1:144)),))</f>
        <v/>
      </c>
      <c r="D157" s="339" t="str">
        <f ca="1">IF(ROWS($1:144)&gt;COUNT(Dong),"",OFFSET(TH!F$1,SMALL(Dong,ROWS($1:144)),))</f>
        <v/>
      </c>
      <c r="E157" s="73" t="str">
        <f ca="1">IF(ROWS($1:144)&gt;COUNT(Dong),"",IF(OFFSET(TH!N$1,SMALL(Dong,ROWS($1:144)),)="331",OFFSET(TH!O$1,SMALL(Dong,ROWS($1:144)),),OFFSET(TH!N$1,SMALL(Dong,ROWS($1:144)),)))</f>
        <v/>
      </c>
      <c r="F157" s="73"/>
      <c r="G157" s="86" t="str">
        <f ca="1">IF(ROWS($1:144)&gt;COUNT(Dong),"",IF(OFFSET(TH!N$1,SMALL(Dong,ROWS($1:144)),)="331",OFFSET(TH!M$1,SMALL(Dong,ROWS($1:144)),),0))</f>
        <v/>
      </c>
      <c r="H157" s="86" t="str">
        <f ca="1">IF(ROWS($1:144)&gt;COUNT(Dong),"",IF(OFFSET(TH!O$1,SMALL(Dong,ROWS($1:144)),)="331",OFFSET(TH!M$1,SMALL(Dong,ROWS($1:144)),),0))</f>
        <v/>
      </c>
      <c r="I157" s="25">
        <f t="shared" ca="1" si="16"/>
        <v>0</v>
      </c>
      <c r="J157" s="25">
        <f t="shared" ca="1" si="17"/>
        <v>0</v>
      </c>
    </row>
    <row r="158" spans="1:10" s="18" customFormat="1" ht="18.75" customHeight="1">
      <c r="A158" s="9" t="str">
        <f ca="1">IF(ROWS($1:145)&gt;COUNT(Dong),"",OFFSET(TH!C$1,SMALL(Dong,ROWS($1:145)),))</f>
        <v/>
      </c>
      <c r="B158" s="9" t="str">
        <f ca="1">IF(ROWS($1:145)&gt;COUNT(Dong),"",OFFSET(TH!D$1,SMALL(Dong,ROWS($1:145)),))</f>
        <v/>
      </c>
      <c r="C158" s="9" t="str">
        <f ca="1">IF(ROWS($1:145)&gt;COUNT(Dong),"",OFFSET(TH!E$1,SMALL(Dong,ROWS($1:145)),))</f>
        <v/>
      </c>
      <c r="D158" s="339" t="str">
        <f ca="1">IF(ROWS($1:145)&gt;COUNT(Dong),"",OFFSET(TH!F$1,SMALL(Dong,ROWS($1:145)),))</f>
        <v/>
      </c>
      <c r="E158" s="73" t="str">
        <f ca="1">IF(ROWS($1:145)&gt;COUNT(Dong),"",IF(OFFSET(TH!N$1,SMALL(Dong,ROWS($1:145)),)="331",OFFSET(TH!O$1,SMALL(Dong,ROWS($1:145)),),OFFSET(TH!N$1,SMALL(Dong,ROWS($1:145)),)))</f>
        <v/>
      </c>
      <c r="F158" s="73"/>
      <c r="G158" s="86" t="str">
        <f ca="1">IF(ROWS($1:145)&gt;COUNT(Dong),"",IF(OFFSET(TH!N$1,SMALL(Dong,ROWS($1:145)),)="331",OFFSET(TH!M$1,SMALL(Dong,ROWS($1:145)),),0))</f>
        <v/>
      </c>
      <c r="H158" s="86" t="str">
        <f ca="1">IF(ROWS($1:145)&gt;COUNT(Dong),"",IF(OFFSET(TH!O$1,SMALL(Dong,ROWS($1:145)),)="331",OFFSET(TH!M$1,SMALL(Dong,ROWS($1:145)),),0))</f>
        <v/>
      </c>
      <c r="I158" s="25">
        <f t="shared" ca="1" si="16"/>
        <v>0</v>
      </c>
      <c r="J158" s="25">
        <f t="shared" ca="1" si="17"/>
        <v>0</v>
      </c>
    </row>
    <row r="159" spans="1:10" s="18" customFormat="1" ht="18.75" customHeight="1">
      <c r="A159" s="9" t="str">
        <f ca="1">IF(ROWS($1:146)&gt;COUNT(Dong),"",OFFSET(TH!C$1,SMALL(Dong,ROWS($1:146)),))</f>
        <v/>
      </c>
      <c r="B159" s="9" t="str">
        <f ca="1">IF(ROWS($1:146)&gt;COUNT(Dong),"",OFFSET(TH!D$1,SMALL(Dong,ROWS($1:146)),))</f>
        <v/>
      </c>
      <c r="C159" s="9" t="str">
        <f ca="1">IF(ROWS($1:146)&gt;COUNT(Dong),"",OFFSET(TH!E$1,SMALL(Dong,ROWS($1:146)),))</f>
        <v/>
      </c>
      <c r="D159" s="339" t="str">
        <f ca="1">IF(ROWS($1:146)&gt;COUNT(Dong),"",OFFSET(TH!F$1,SMALL(Dong,ROWS($1:146)),))</f>
        <v/>
      </c>
      <c r="E159" s="73" t="str">
        <f ca="1">IF(ROWS($1:146)&gt;COUNT(Dong),"",IF(OFFSET(TH!N$1,SMALL(Dong,ROWS($1:146)),)="331",OFFSET(TH!O$1,SMALL(Dong,ROWS($1:146)),),OFFSET(TH!N$1,SMALL(Dong,ROWS($1:146)),)))</f>
        <v/>
      </c>
      <c r="F159" s="73"/>
      <c r="G159" s="86" t="str">
        <f ca="1">IF(ROWS($1:146)&gt;COUNT(Dong),"",IF(OFFSET(TH!N$1,SMALL(Dong,ROWS($1:146)),)="331",OFFSET(TH!M$1,SMALL(Dong,ROWS($1:146)),),0))</f>
        <v/>
      </c>
      <c r="H159" s="86" t="str">
        <f ca="1">IF(ROWS($1:146)&gt;COUNT(Dong),"",IF(OFFSET(TH!O$1,SMALL(Dong,ROWS($1:146)),)="331",OFFSET(TH!M$1,SMALL(Dong,ROWS($1:146)),),0))</f>
        <v/>
      </c>
      <c r="I159" s="25">
        <f t="shared" ca="1" si="16"/>
        <v>0</v>
      </c>
      <c r="J159" s="25">
        <f t="shared" ca="1" si="17"/>
        <v>0</v>
      </c>
    </row>
    <row r="160" spans="1:10" s="18" customFormat="1" ht="18.75" customHeight="1">
      <c r="A160" s="9" t="str">
        <f ca="1">IF(ROWS($1:147)&gt;COUNT(Dong),"",OFFSET(TH!C$1,SMALL(Dong,ROWS($1:147)),))</f>
        <v/>
      </c>
      <c r="B160" s="9" t="str">
        <f ca="1">IF(ROWS($1:147)&gt;COUNT(Dong),"",OFFSET(TH!D$1,SMALL(Dong,ROWS($1:147)),))</f>
        <v/>
      </c>
      <c r="C160" s="9" t="str">
        <f ca="1">IF(ROWS($1:147)&gt;COUNT(Dong),"",OFFSET(TH!E$1,SMALL(Dong,ROWS($1:147)),))</f>
        <v/>
      </c>
      <c r="D160" s="339" t="str">
        <f ca="1">IF(ROWS($1:147)&gt;COUNT(Dong),"",OFFSET(TH!F$1,SMALL(Dong,ROWS($1:147)),))</f>
        <v/>
      </c>
      <c r="E160" s="73" t="str">
        <f ca="1">IF(ROWS($1:147)&gt;COUNT(Dong),"",IF(OFFSET(TH!N$1,SMALL(Dong,ROWS($1:147)),)="331",OFFSET(TH!O$1,SMALL(Dong,ROWS($1:147)),),OFFSET(TH!N$1,SMALL(Dong,ROWS($1:147)),)))</f>
        <v/>
      </c>
      <c r="F160" s="73"/>
      <c r="G160" s="86" t="str">
        <f ca="1">IF(ROWS($1:147)&gt;COUNT(Dong),"",IF(OFFSET(TH!N$1,SMALL(Dong,ROWS($1:147)),)="331",OFFSET(TH!M$1,SMALL(Dong,ROWS($1:147)),),0))</f>
        <v/>
      </c>
      <c r="H160" s="86" t="str">
        <f ca="1">IF(ROWS($1:147)&gt;COUNT(Dong),"",IF(OFFSET(TH!O$1,SMALL(Dong,ROWS($1:147)),)="331",OFFSET(TH!M$1,SMALL(Dong,ROWS($1:147)),),0))</f>
        <v/>
      </c>
      <c r="I160" s="25">
        <f t="shared" ca="1" si="16"/>
        <v>0</v>
      </c>
      <c r="J160" s="25">
        <f t="shared" ca="1" si="17"/>
        <v>0</v>
      </c>
    </row>
    <row r="161" spans="1:10" s="18" customFormat="1" ht="18.75" customHeight="1">
      <c r="A161" s="9" t="str">
        <f ca="1">IF(ROWS($1:148)&gt;COUNT(Dong),"",OFFSET(TH!C$1,SMALL(Dong,ROWS($1:148)),))</f>
        <v/>
      </c>
      <c r="B161" s="9" t="str">
        <f ca="1">IF(ROWS($1:148)&gt;COUNT(Dong),"",OFFSET(TH!D$1,SMALL(Dong,ROWS($1:148)),))</f>
        <v/>
      </c>
      <c r="C161" s="9" t="str">
        <f ca="1">IF(ROWS($1:148)&gt;COUNT(Dong),"",OFFSET(TH!E$1,SMALL(Dong,ROWS($1:148)),))</f>
        <v/>
      </c>
      <c r="D161" s="339" t="str">
        <f ca="1">IF(ROWS($1:148)&gt;COUNT(Dong),"",OFFSET(TH!F$1,SMALL(Dong,ROWS($1:148)),))</f>
        <v/>
      </c>
      <c r="E161" s="73" t="str">
        <f ca="1">IF(ROWS($1:148)&gt;COUNT(Dong),"",IF(OFFSET(TH!N$1,SMALL(Dong,ROWS($1:148)),)="331",OFFSET(TH!O$1,SMALL(Dong,ROWS($1:148)),),OFFSET(TH!N$1,SMALL(Dong,ROWS($1:148)),)))</f>
        <v/>
      </c>
      <c r="F161" s="73"/>
      <c r="G161" s="86" t="str">
        <f ca="1">IF(ROWS($1:148)&gt;COUNT(Dong),"",IF(OFFSET(TH!N$1,SMALL(Dong,ROWS($1:148)),)="331",OFFSET(TH!M$1,SMALL(Dong,ROWS($1:148)),),0))</f>
        <v/>
      </c>
      <c r="H161" s="86" t="str">
        <f ca="1">IF(ROWS($1:148)&gt;COUNT(Dong),"",IF(OFFSET(TH!O$1,SMALL(Dong,ROWS($1:148)),)="331",OFFSET(TH!M$1,SMALL(Dong,ROWS($1:148)),),0))</f>
        <v/>
      </c>
      <c r="I161" s="25">
        <f t="shared" ca="1" si="16"/>
        <v>0</v>
      </c>
      <c r="J161" s="25">
        <f t="shared" ca="1" si="17"/>
        <v>0</v>
      </c>
    </row>
    <row r="162" spans="1:10" s="18" customFormat="1" ht="18.75" customHeight="1">
      <c r="A162" s="9" t="str">
        <f ca="1">IF(ROWS($1:149)&gt;COUNT(Dong),"",OFFSET(TH!C$1,SMALL(Dong,ROWS($1:149)),))</f>
        <v/>
      </c>
      <c r="B162" s="9" t="str">
        <f ca="1">IF(ROWS($1:149)&gt;COUNT(Dong),"",OFFSET(TH!D$1,SMALL(Dong,ROWS($1:149)),))</f>
        <v/>
      </c>
      <c r="C162" s="9" t="str">
        <f ca="1">IF(ROWS($1:149)&gt;COUNT(Dong),"",OFFSET(TH!E$1,SMALL(Dong,ROWS($1:149)),))</f>
        <v/>
      </c>
      <c r="D162" s="339" t="str">
        <f ca="1">IF(ROWS($1:149)&gt;COUNT(Dong),"",OFFSET(TH!F$1,SMALL(Dong,ROWS($1:149)),))</f>
        <v/>
      </c>
      <c r="E162" s="73" t="str">
        <f ca="1">IF(ROWS($1:149)&gt;COUNT(Dong),"",IF(OFFSET(TH!N$1,SMALL(Dong,ROWS($1:149)),)="331",OFFSET(TH!O$1,SMALL(Dong,ROWS($1:149)),),OFFSET(TH!N$1,SMALL(Dong,ROWS($1:149)),)))</f>
        <v/>
      </c>
      <c r="F162" s="73"/>
      <c r="G162" s="86" t="str">
        <f ca="1">IF(ROWS($1:149)&gt;COUNT(Dong),"",IF(OFFSET(TH!N$1,SMALL(Dong,ROWS($1:149)),)="331",OFFSET(TH!M$1,SMALL(Dong,ROWS($1:149)),),0))</f>
        <v/>
      </c>
      <c r="H162" s="86" t="str">
        <f ca="1">IF(ROWS($1:149)&gt;COUNT(Dong),"",IF(OFFSET(TH!O$1,SMALL(Dong,ROWS($1:149)),)="331",OFFSET(TH!M$1,SMALL(Dong,ROWS($1:149)),),0))</f>
        <v/>
      </c>
      <c r="I162" s="25">
        <f t="shared" ca="1" si="16"/>
        <v>0</v>
      </c>
      <c r="J162" s="25">
        <f t="shared" ca="1" si="17"/>
        <v>0</v>
      </c>
    </row>
    <row r="163" spans="1:10" s="18" customFormat="1" ht="18.75" customHeight="1">
      <c r="A163" s="9" t="str">
        <f ca="1">IF(ROWS($1:150)&gt;COUNT(Dong),"",OFFSET(TH!C$1,SMALL(Dong,ROWS($1:150)),))</f>
        <v/>
      </c>
      <c r="B163" s="9" t="str">
        <f ca="1">IF(ROWS($1:150)&gt;COUNT(Dong),"",OFFSET(TH!D$1,SMALL(Dong,ROWS($1:150)),))</f>
        <v/>
      </c>
      <c r="C163" s="9" t="str">
        <f ca="1">IF(ROWS($1:150)&gt;COUNT(Dong),"",OFFSET(TH!E$1,SMALL(Dong,ROWS($1:150)),))</f>
        <v/>
      </c>
      <c r="D163" s="339" t="str">
        <f ca="1">IF(ROWS($1:150)&gt;COUNT(Dong),"",OFFSET(TH!F$1,SMALL(Dong,ROWS($1:150)),))</f>
        <v/>
      </c>
      <c r="E163" s="73" t="str">
        <f ca="1">IF(ROWS($1:150)&gt;COUNT(Dong),"",IF(OFFSET(TH!N$1,SMALL(Dong,ROWS($1:150)),)="331",OFFSET(TH!O$1,SMALL(Dong,ROWS($1:150)),),OFFSET(TH!N$1,SMALL(Dong,ROWS($1:150)),)))</f>
        <v/>
      </c>
      <c r="F163" s="73"/>
      <c r="G163" s="86" t="str">
        <f ca="1">IF(ROWS($1:150)&gt;COUNT(Dong),"",IF(OFFSET(TH!N$1,SMALL(Dong,ROWS($1:150)),)="331",OFFSET(TH!M$1,SMALL(Dong,ROWS($1:150)),),0))</f>
        <v/>
      </c>
      <c r="H163" s="86" t="str">
        <f ca="1">IF(ROWS($1:150)&gt;COUNT(Dong),"",IF(OFFSET(TH!O$1,SMALL(Dong,ROWS($1:150)),)="331",OFFSET(TH!M$1,SMALL(Dong,ROWS($1:150)),),0))</f>
        <v/>
      </c>
      <c r="I163" s="25">
        <f t="shared" ca="1" si="16"/>
        <v>0</v>
      </c>
      <c r="J163" s="25">
        <f t="shared" ca="1" si="17"/>
        <v>0</v>
      </c>
    </row>
    <row r="164" spans="1:10" s="18" customFormat="1" ht="18.75" customHeight="1">
      <c r="A164" s="9" t="str">
        <f ca="1">IF(ROWS($1:151)&gt;COUNT(Dong),"",OFFSET(TH!C$1,SMALL(Dong,ROWS($1:151)),))</f>
        <v/>
      </c>
      <c r="B164" s="9" t="str">
        <f ca="1">IF(ROWS($1:151)&gt;COUNT(Dong),"",OFFSET(TH!D$1,SMALL(Dong,ROWS($1:151)),))</f>
        <v/>
      </c>
      <c r="C164" s="9" t="str">
        <f ca="1">IF(ROWS($1:151)&gt;COUNT(Dong),"",OFFSET(TH!E$1,SMALL(Dong,ROWS($1:151)),))</f>
        <v/>
      </c>
      <c r="D164" s="339" t="str">
        <f ca="1">IF(ROWS($1:151)&gt;COUNT(Dong),"",OFFSET(TH!F$1,SMALL(Dong,ROWS($1:151)),))</f>
        <v/>
      </c>
      <c r="E164" s="73" t="str">
        <f ca="1">IF(ROWS($1:151)&gt;COUNT(Dong),"",IF(OFFSET(TH!N$1,SMALL(Dong,ROWS($1:151)),)="331",OFFSET(TH!O$1,SMALL(Dong,ROWS($1:151)),),OFFSET(TH!N$1,SMALL(Dong,ROWS($1:151)),)))</f>
        <v/>
      </c>
      <c r="F164" s="73"/>
      <c r="G164" s="86" t="str">
        <f ca="1">IF(ROWS($1:151)&gt;COUNT(Dong),"",IF(OFFSET(TH!N$1,SMALL(Dong,ROWS($1:151)),)="331",OFFSET(TH!M$1,SMALL(Dong,ROWS($1:151)),),0))</f>
        <v/>
      </c>
      <c r="H164" s="86" t="str">
        <f ca="1">IF(ROWS($1:151)&gt;COUNT(Dong),"",IF(OFFSET(TH!O$1,SMALL(Dong,ROWS($1:151)),)="331",OFFSET(TH!M$1,SMALL(Dong,ROWS($1:151)),),0))</f>
        <v/>
      </c>
      <c r="I164" s="25">
        <f t="shared" ca="1" si="16"/>
        <v>0</v>
      </c>
      <c r="J164" s="25">
        <f t="shared" ca="1" si="17"/>
        <v>0</v>
      </c>
    </row>
    <row r="165" spans="1:10" s="18" customFormat="1" ht="18.75" customHeight="1">
      <c r="A165" s="9" t="str">
        <f ca="1">IF(ROWS($1:152)&gt;COUNT(Dong),"",OFFSET(TH!C$1,SMALL(Dong,ROWS($1:152)),))</f>
        <v/>
      </c>
      <c r="B165" s="9" t="str">
        <f ca="1">IF(ROWS($1:152)&gt;COUNT(Dong),"",OFFSET(TH!D$1,SMALL(Dong,ROWS($1:152)),))</f>
        <v/>
      </c>
      <c r="C165" s="9" t="str">
        <f ca="1">IF(ROWS($1:152)&gt;COUNT(Dong),"",OFFSET(TH!E$1,SMALL(Dong,ROWS($1:152)),))</f>
        <v/>
      </c>
      <c r="D165" s="339" t="str">
        <f ca="1">IF(ROWS($1:152)&gt;COUNT(Dong),"",OFFSET(TH!F$1,SMALL(Dong,ROWS($1:152)),))</f>
        <v/>
      </c>
      <c r="E165" s="73" t="str">
        <f ca="1">IF(ROWS($1:152)&gt;COUNT(Dong),"",IF(OFFSET(TH!N$1,SMALL(Dong,ROWS($1:152)),)="331",OFFSET(TH!O$1,SMALL(Dong,ROWS($1:152)),),OFFSET(TH!N$1,SMALL(Dong,ROWS($1:152)),)))</f>
        <v/>
      </c>
      <c r="F165" s="73"/>
      <c r="G165" s="86" t="str">
        <f ca="1">IF(ROWS($1:152)&gt;COUNT(Dong),"",IF(OFFSET(TH!N$1,SMALL(Dong,ROWS($1:152)),)="331",OFFSET(TH!M$1,SMALL(Dong,ROWS($1:152)),),0))</f>
        <v/>
      </c>
      <c r="H165" s="86" t="str">
        <f ca="1">IF(ROWS($1:152)&gt;COUNT(Dong),"",IF(OFFSET(TH!O$1,SMALL(Dong,ROWS($1:152)),)="331",OFFSET(TH!M$1,SMALL(Dong,ROWS($1:152)),),0))</f>
        <v/>
      </c>
      <c r="I165" s="25">
        <f t="shared" ca="1" si="16"/>
        <v>0</v>
      </c>
      <c r="J165" s="25">
        <f t="shared" ca="1" si="17"/>
        <v>0</v>
      </c>
    </row>
    <row r="166" spans="1:10" s="18" customFormat="1" ht="18.75" customHeight="1">
      <c r="A166" s="9" t="str">
        <f ca="1">IF(ROWS($1:153)&gt;COUNT(Dong),"",OFFSET(TH!C$1,SMALL(Dong,ROWS($1:153)),))</f>
        <v/>
      </c>
      <c r="B166" s="9" t="str">
        <f ca="1">IF(ROWS($1:153)&gt;COUNT(Dong),"",OFFSET(TH!D$1,SMALL(Dong,ROWS($1:153)),))</f>
        <v/>
      </c>
      <c r="C166" s="9" t="str">
        <f ca="1">IF(ROWS($1:153)&gt;COUNT(Dong),"",OFFSET(TH!E$1,SMALL(Dong,ROWS($1:153)),))</f>
        <v/>
      </c>
      <c r="D166" s="339" t="str">
        <f ca="1">IF(ROWS($1:153)&gt;COUNT(Dong),"",OFFSET(TH!F$1,SMALL(Dong,ROWS($1:153)),))</f>
        <v/>
      </c>
      <c r="E166" s="73" t="str">
        <f ca="1">IF(ROWS($1:153)&gt;COUNT(Dong),"",IF(OFFSET(TH!N$1,SMALL(Dong,ROWS($1:153)),)="331",OFFSET(TH!O$1,SMALL(Dong,ROWS($1:153)),),OFFSET(TH!N$1,SMALL(Dong,ROWS($1:153)),)))</f>
        <v/>
      </c>
      <c r="F166" s="73"/>
      <c r="G166" s="86" t="str">
        <f ca="1">IF(ROWS($1:153)&gt;COUNT(Dong),"",IF(OFFSET(TH!N$1,SMALL(Dong,ROWS($1:153)),)="331",OFFSET(TH!M$1,SMALL(Dong,ROWS($1:153)),),0))</f>
        <v/>
      </c>
      <c r="H166" s="86" t="str">
        <f ca="1">IF(ROWS($1:153)&gt;COUNT(Dong),"",IF(OFFSET(TH!O$1,SMALL(Dong,ROWS($1:153)),)="331",OFFSET(TH!M$1,SMALL(Dong,ROWS($1:153)),),0))</f>
        <v/>
      </c>
      <c r="I166" s="25">
        <f t="shared" ca="1" si="16"/>
        <v>0</v>
      </c>
      <c r="J166" s="25">
        <f t="shared" ca="1" si="17"/>
        <v>0</v>
      </c>
    </row>
    <row r="167" spans="1:10" s="18" customFormat="1" ht="18.75" customHeight="1">
      <c r="A167" s="9" t="str">
        <f ca="1">IF(ROWS($1:154)&gt;COUNT(Dong),"",OFFSET(TH!C$1,SMALL(Dong,ROWS($1:154)),))</f>
        <v/>
      </c>
      <c r="B167" s="9" t="str">
        <f ca="1">IF(ROWS($1:154)&gt;COUNT(Dong),"",OFFSET(TH!D$1,SMALL(Dong,ROWS($1:154)),))</f>
        <v/>
      </c>
      <c r="C167" s="9" t="str">
        <f ca="1">IF(ROWS($1:154)&gt;COUNT(Dong),"",OFFSET(TH!E$1,SMALL(Dong,ROWS($1:154)),))</f>
        <v/>
      </c>
      <c r="D167" s="339" t="str">
        <f ca="1">IF(ROWS($1:154)&gt;COUNT(Dong),"",OFFSET(TH!F$1,SMALL(Dong,ROWS($1:154)),))</f>
        <v/>
      </c>
      <c r="E167" s="73" t="str">
        <f ca="1">IF(ROWS($1:154)&gt;COUNT(Dong),"",IF(OFFSET(TH!N$1,SMALL(Dong,ROWS($1:154)),)="331",OFFSET(TH!O$1,SMALL(Dong,ROWS($1:154)),),OFFSET(TH!N$1,SMALL(Dong,ROWS($1:154)),)))</f>
        <v/>
      </c>
      <c r="F167" s="73"/>
      <c r="G167" s="86" t="str">
        <f ca="1">IF(ROWS($1:154)&gt;COUNT(Dong),"",IF(OFFSET(TH!N$1,SMALL(Dong,ROWS($1:154)),)="331",OFFSET(TH!M$1,SMALL(Dong,ROWS($1:154)),),0))</f>
        <v/>
      </c>
      <c r="H167" s="86" t="str">
        <f ca="1">IF(ROWS($1:154)&gt;COUNT(Dong),"",IF(OFFSET(TH!O$1,SMALL(Dong,ROWS($1:154)),)="331",OFFSET(TH!M$1,SMALL(Dong,ROWS($1:154)),),0))</f>
        <v/>
      </c>
      <c r="I167" s="25">
        <f t="shared" ca="1" si="16"/>
        <v>0</v>
      </c>
      <c r="J167" s="25">
        <f t="shared" ca="1" si="17"/>
        <v>0</v>
      </c>
    </row>
    <row r="168" spans="1:10" s="18" customFormat="1" ht="18.75" customHeight="1">
      <c r="A168" s="9" t="str">
        <f ca="1">IF(ROWS($1:155)&gt;COUNT(Dong),"",OFFSET(TH!C$1,SMALL(Dong,ROWS($1:155)),))</f>
        <v/>
      </c>
      <c r="B168" s="9" t="str">
        <f ca="1">IF(ROWS($1:155)&gt;COUNT(Dong),"",OFFSET(TH!D$1,SMALL(Dong,ROWS($1:155)),))</f>
        <v/>
      </c>
      <c r="C168" s="9" t="str">
        <f ca="1">IF(ROWS($1:155)&gt;COUNT(Dong),"",OFFSET(TH!E$1,SMALL(Dong,ROWS($1:155)),))</f>
        <v/>
      </c>
      <c r="D168" s="339" t="str">
        <f ca="1">IF(ROWS($1:155)&gt;COUNT(Dong),"",OFFSET(TH!F$1,SMALL(Dong,ROWS($1:155)),))</f>
        <v/>
      </c>
      <c r="E168" s="73" t="str">
        <f ca="1">IF(ROWS($1:155)&gt;COUNT(Dong),"",IF(OFFSET(TH!N$1,SMALL(Dong,ROWS($1:155)),)="331",OFFSET(TH!O$1,SMALL(Dong,ROWS($1:155)),),OFFSET(TH!N$1,SMALL(Dong,ROWS($1:155)),)))</f>
        <v/>
      </c>
      <c r="F168" s="73"/>
      <c r="G168" s="86" t="str">
        <f ca="1">IF(ROWS($1:155)&gt;COUNT(Dong),"",IF(OFFSET(TH!N$1,SMALL(Dong,ROWS($1:155)),)="331",OFFSET(TH!M$1,SMALL(Dong,ROWS($1:155)),),0))</f>
        <v/>
      </c>
      <c r="H168" s="86" t="str">
        <f ca="1">IF(ROWS($1:155)&gt;COUNT(Dong),"",IF(OFFSET(TH!O$1,SMALL(Dong,ROWS($1:155)),)="331",OFFSET(TH!M$1,SMALL(Dong,ROWS($1:155)),),0))</f>
        <v/>
      </c>
      <c r="I168" s="25">
        <f t="shared" ca="1" si="16"/>
        <v>0</v>
      </c>
      <c r="J168" s="25">
        <f t="shared" ca="1" si="17"/>
        <v>0</v>
      </c>
    </row>
    <row r="169" spans="1:10" s="18" customFormat="1" ht="18.75" customHeight="1">
      <c r="A169" s="9" t="str">
        <f ca="1">IF(ROWS($1:156)&gt;COUNT(Dong),"",OFFSET(TH!C$1,SMALL(Dong,ROWS($1:156)),))</f>
        <v/>
      </c>
      <c r="B169" s="9" t="str">
        <f ca="1">IF(ROWS($1:156)&gt;COUNT(Dong),"",OFFSET(TH!D$1,SMALL(Dong,ROWS($1:156)),))</f>
        <v/>
      </c>
      <c r="C169" s="9" t="str">
        <f ca="1">IF(ROWS($1:156)&gt;COUNT(Dong),"",OFFSET(TH!E$1,SMALL(Dong,ROWS($1:156)),))</f>
        <v/>
      </c>
      <c r="D169" s="339" t="str">
        <f ca="1">IF(ROWS($1:156)&gt;COUNT(Dong),"",OFFSET(TH!F$1,SMALL(Dong,ROWS($1:156)),))</f>
        <v/>
      </c>
      <c r="E169" s="73" t="str">
        <f ca="1">IF(ROWS($1:156)&gt;COUNT(Dong),"",IF(OFFSET(TH!N$1,SMALL(Dong,ROWS($1:156)),)="331",OFFSET(TH!O$1,SMALL(Dong,ROWS($1:156)),),OFFSET(TH!N$1,SMALL(Dong,ROWS($1:156)),)))</f>
        <v/>
      </c>
      <c r="F169" s="73"/>
      <c r="G169" s="86" t="str">
        <f ca="1">IF(ROWS($1:156)&gt;COUNT(Dong),"",IF(OFFSET(TH!N$1,SMALL(Dong,ROWS($1:156)),)="331",OFFSET(TH!M$1,SMALL(Dong,ROWS($1:156)),),0))</f>
        <v/>
      </c>
      <c r="H169" s="86" t="str">
        <f ca="1">IF(ROWS($1:156)&gt;COUNT(Dong),"",IF(OFFSET(TH!O$1,SMALL(Dong,ROWS($1:156)),)="331",OFFSET(TH!M$1,SMALL(Dong,ROWS($1:156)),),0))</f>
        <v/>
      </c>
      <c r="I169" s="25">
        <f t="shared" ca="1" si="16"/>
        <v>0</v>
      </c>
      <c r="J169" s="25">
        <f t="shared" ca="1" si="17"/>
        <v>0</v>
      </c>
    </row>
    <row r="170" spans="1:10" s="18" customFormat="1" ht="18.75" customHeight="1">
      <c r="A170" s="9" t="str">
        <f ca="1">IF(ROWS($1:157)&gt;COUNT(Dong),"",OFFSET(TH!C$1,SMALL(Dong,ROWS($1:157)),))</f>
        <v/>
      </c>
      <c r="B170" s="9" t="str">
        <f ca="1">IF(ROWS($1:157)&gt;COUNT(Dong),"",OFFSET(TH!D$1,SMALL(Dong,ROWS($1:157)),))</f>
        <v/>
      </c>
      <c r="C170" s="9" t="str">
        <f ca="1">IF(ROWS($1:157)&gt;COUNT(Dong),"",OFFSET(TH!E$1,SMALL(Dong,ROWS($1:157)),))</f>
        <v/>
      </c>
      <c r="D170" s="339" t="str">
        <f ca="1">IF(ROWS($1:157)&gt;COUNT(Dong),"",OFFSET(TH!F$1,SMALL(Dong,ROWS($1:157)),))</f>
        <v/>
      </c>
      <c r="E170" s="73" t="str">
        <f ca="1">IF(ROWS($1:157)&gt;COUNT(Dong),"",IF(OFFSET(TH!N$1,SMALL(Dong,ROWS($1:157)),)="331",OFFSET(TH!O$1,SMALL(Dong,ROWS($1:157)),),OFFSET(TH!N$1,SMALL(Dong,ROWS($1:157)),)))</f>
        <v/>
      </c>
      <c r="F170" s="73"/>
      <c r="G170" s="86" t="str">
        <f ca="1">IF(ROWS($1:157)&gt;COUNT(Dong),"",IF(OFFSET(TH!N$1,SMALL(Dong,ROWS($1:157)),)="331",OFFSET(TH!M$1,SMALL(Dong,ROWS($1:157)),),0))</f>
        <v/>
      </c>
      <c r="H170" s="86" t="str">
        <f ca="1">IF(ROWS($1:157)&gt;COUNT(Dong),"",IF(OFFSET(TH!O$1,SMALL(Dong,ROWS($1:157)),)="331",OFFSET(TH!M$1,SMALL(Dong,ROWS($1:157)),),0))</f>
        <v/>
      </c>
      <c r="I170" s="25">
        <f t="shared" ca="1" si="16"/>
        <v>0</v>
      </c>
      <c r="J170" s="25">
        <f t="shared" ca="1" si="17"/>
        <v>0</v>
      </c>
    </row>
    <row r="171" spans="1:10" s="18" customFormat="1" ht="18.75" customHeight="1">
      <c r="A171" s="9" t="str">
        <f ca="1">IF(ROWS($1:158)&gt;COUNT(Dong),"",OFFSET(TH!C$1,SMALL(Dong,ROWS($1:158)),))</f>
        <v/>
      </c>
      <c r="B171" s="9" t="str">
        <f ca="1">IF(ROWS($1:158)&gt;COUNT(Dong),"",OFFSET(TH!D$1,SMALL(Dong,ROWS($1:158)),))</f>
        <v/>
      </c>
      <c r="C171" s="9" t="str">
        <f ca="1">IF(ROWS($1:158)&gt;COUNT(Dong),"",OFFSET(TH!E$1,SMALL(Dong,ROWS($1:158)),))</f>
        <v/>
      </c>
      <c r="D171" s="339" t="str">
        <f ca="1">IF(ROWS($1:158)&gt;COUNT(Dong),"",OFFSET(TH!F$1,SMALL(Dong,ROWS($1:158)),))</f>
        <v/>
      </c>
      <c r="E171" s="73" t="str">
        <f ca="1">IF(ROWS($1:158)&gt;COUNT(Dong),"",IF(OFFSET(TH!N$1,SMALL(Dong,ROWS($1:158)),)="331",OFFSET(TH!O$1,SMALL(Dong,ROWS($1:158)),),OFFSET(TH!N$1,SMALL(Dong,ROWS($1:158)),)))</f>
        <v/>
      </c>
      <c r="F171" s="73"/>
      <c r="G171" s="86" t="str">
        <f ca="1">IF(ROWS($1:158)&gt;COUNT(Dong),"",IF(OFFSET(TH!N$1,SMALL(Dong,ROWS($1:158)),)="331",OFFSET(TH!M$1,SMALL(Dong,ROWS($1:158)),),0))</f>
        <v/>
      </c>
      <c r="H171" s="86" t="str">
        <f ca="1">IF(ROWS($1:158)&gt;COUNT(Dong),"",IF(OFFSET(TH!O$1,SMALL(Dong,ROWS($1:158)),)="331",OFFSET(TH!M$1,SMALL(Dong,ROWS($1:158)),),0))</f>
        <v/>
      </c>
      <c r="I171" s="25">
        <f t="shared" ca="1" si="16"/>
        <v>0</v>
      </c>
      <c r="J171" s="25">
        <f t="shared" ca="1" si="17"/>
        <v>0</v>
      </c>
    </row>
    <row r="172" spans="1:10" s="18" customFormat="1" ht="18.75" customHeight="1">
      <c r="A172" s="9" t="str">
        <f ca="1">IF(ROWS($1:159)&gt;COUNT(Dong),"",OFFSET(TH!C$1,SMALL(Dong,ROWS($1:159)),))</f>
        <v/>
      </c>
      <c r="B172" s="9" t="str">
        <f ca="1">IF(ROWS($1:159)&gt;COUNT(Dong),"",OFFSET(TH!D$1,SMALL(Dong,ROWS($1:159)),))</f>
        <v/>
      </c>
      <c r="C172" s="9" t="str">
        <f ca="1">IF(ROWS($1:159)&gt;COUNT(Dong),"",OFFSET(TH!E$1,SMALL(Dong,ROWS($1:159)),))</f>
        <v/>
      </c>
      <c r="D172" s="339" t="str">
        <f ca="1">IF(ROWS($1:159)&gt;COUNT(Dong),"",OFFSET(TH!F$1,SMALL(Dong,ROWS($1:159)),))</f>
        <v/>
      </c>
      <c r="E172" s="73" t="str">
        <f ca="1">IF(ROWS($1:159)&gt;COUNT(Dong),"",IF(OFFSET(TH!N$1,SMALL(Dong,ROWS($1:159)),)="331",OFFSET(TH!O$1,SMALL(Dong,ROWS($1:159)),),OFFSET(TH!N$1,SMALL(Dong,ROWS($1:159)),)))</f>
        <v/>
      </c>
      <c r="F172" s="73"/>
      <c r="G172" s="86" t="str">
        <f ca="1">IF(ROWS($1:159)&gt;COUNT(Dong),"",IF(OFFSET(TH!N$1,SMALL(Dong,ROWS($1:159)),)="331",OFFSET(TH!M$1,SMALL(Dong,ROWS($1:159)),),0))</f>
        <v/>
      </c>
      <c r="H172" s="86" t="str">
        <f ca="1">IF(ROWS($1:159)&gt;COUNT(Dong),"",IF(OFFSET(TH!O$1,SMALL(Dong,ROWS($1:159)),)="331",OFFSET(TH!M$1,SMALL(Dong,ROWS($1:159)),),0))</f>
        <v/>
      </c>
      <c r="I172" s="25">
        <f t="shared" ca="1" si="16"/>
        <v>0</v>
      </c>
      <c r="J172" s="25">
        <f t="shared" ca="1" si="17"/>
        <v>0</v>
      </c>
    </row>
    <row r="173" spans="1:10" s="18" customFormat="1" ht="18.75" customHeight="1">
      <c r="A173" s="9" t="str">
        <f ca="1">IF(ROWS($1:160)&gt;COUNT(Dong),"",OFFSET(TH!C$1,SMALL(Dong,ROWS($1:160)),))</f>
        <v/>
      </c>
      <c r="B173" s="9" t="str">
        <f ca="1">IF(ROWS($1:160)&gt;COUNT(Dong),"",OFFSET(TH!D$1,SMALL(Dong,ROWS($1:160)),))</f>
        <v/>
      </c>
      <c r="C173" s="9" t="str">
        <f ca="1">IF(ROWS($1:160)&gt;COUNT(Dong),"",OFFSET(TH!E$1,SMALL(Dong,ROWS($1:160)),))</f>
        <v/>
      </c>
      <c r="D173" s="339" t="str">
        <f ca="1">IF(ROWS($1:160)&gt;COUNT(Dong),"",OFFSET(TH!F$1,SMALL(Dong,ROWS($1:160)),))</f>
        <v/>
      </c>
      <c r="E173" s="73" t="str">
        <f ca="1">IF(ROWS($1:160)&gt;COUNT(Dong),"",IF(OFFSET(TH!N$1,SMALL(Dong,ROWS($1:160)),)="331",OFFSET(TH!O$1,SMALL(Dong,ROWS($1:160)),),OFFSET(TH!N$1,SMALL(Dong,ROWS($1:160)),)))</f>
        <v/>
      </c>
      <c r="F173" s="73"/>
      <c r="G173" s="86" t="str">
        <f ca="1">IF(ROWS($1:160)&gt;COUNT(Dong),"",IF(OFFSET(TH!N$1,SMALL(Dong,ROWS($1:160)),)="331",OFFSET(TH!M$1,SMALL(Dong,ROWS($1:160)),),0))</f>
        <v/>
      </c>
      <c r="H173" s="86" t="str">
        <f ca="1">IF(ROWS($1:160)&gt;COUNT(Dong),"",IF(OFFSET(TH!O$1,SMALL(Dong,ROWS($1:160)),)="331",OFFSET(TH!M$1,SMALL(Dong,ROWS($1:160)),),0))</f>
        <v/>
      </c>
      <c r="I173" s="25">
        <f t="shared" ca="1" si="16"/>
        <v>0</v>
      </c>
      <c r="J173" s="25">
        <f t="shared" ca="1" si="17"/>
        <v>0</v>
      </c>
    </row>
    <row r="174" spans="1:10" s="18" customFormat="1" ht="18.75" customHeight="1">
      <c r="A174" s="9" t="str">
        <f ca="1">IF(ROWS($1:161)&gt;COUNT(Dong),"",OFFSET(TH!C$1,SMALL(Dong,ROWS($1:161)),))</f>
        <v/>
      </c>
      <c r="B174" s="9" t="str">
        <f ca="1">IF(ROWS($1:161)&gt;COUNT(Dong),"",OFFSET(TH!D$1,SMALL(Dong,ROWS($1:161)),))</f>
        <v/>
      </c>
      <c r="C174" s="9" t="str">
        <f ca="1">IF(ROWS($1:161)&gt;COUNT(Dong),"",OFFSET(TH!E$1,SMALL(Dong,ROWS($1:161)),))</f>
        <v/>
      </c>
      <c r="D174" s="339" t="str">
        <f ca="1">IF(ROWS($1:161)&gt;COUNT(Dong),"",OFFSET(TH!F$1,SMALL(Dong,ROWS($1:161)),))</f>
        <v/>
      </c>
      <c r="E174" s="73" t="str">
        <f ca="1">IF(ROWS($1:161)&gt;COUNT(Dong),"",IF(OFFSET(TH!N$1,SMALL(Dong,ROWS($1:161)),)="331",OFFSET(TH!O$1,SMALL(Dong,ROWS($1:161)),),OFFSET(TH!N$1,SMALL(Dong,ROWS($1:161)),)))</f>
        <v/>
      </c>
      <c r="F174" s="73"/>
      <c r="G174" s="86" t="str">
        <f ca="1">IF(ROWS($1:161)&gt;COUNT(Dong),"",IF(OFFSET(TH!N$1,SMALL(Dong,ROWS($1:161)),)="331",OFFSET(TH!M$1,SMALL(Dong,ROWS($1:161)),),0))</f>
        <v/>
      </c>
      <c r="H174" s="86" t="str">
        <f ca="1">IF(ROWS($1:161)&gt;COUNT(Dong),"",IF(OFFSET(TH!O$1,SMALL(Dong,ROWS($1:161)),)="331",OFFSET(TH!M$1,SMALL(Dong,ROWS($1:161)),),0))</f>
        <v/>
      </c>
      <c r="I174" s="25">
        <f t="shared" ref="I174:I210" ca="1" si="18">IF(D174&lt;&gt;"",MAX(I173+G174-H174-J173,0),0)</f>
        <v>0</v>
      </c>
      <c r="J174" s="25">
        <f t="shared" ref="J174:J210" ca="1" si="19">IF(D174&lt;&gt;"",MAX(J173+H174-I173-G174,0),0)</f>
        <v>0</v>
      </c>
    </row>
    <row r="175" spans="1:10" s="18" customFormat="1" ht="18.75" customHeight="1">
      <c r="A175" s="9" t="str">
        <f ca="1">IF(ROWS($1:162)&gt;COUNT(Dong),"",OFFSET(TH!C$1,SMALL(Dong,ROWS($1:162)),))</f>
        <v/>
      </c>
      <c r="B175" s="9" t="str">
        <f ca="1">IF(ROWS($1:162)&gt;COUNT(Dong),"",OFFSET(TH!D$1,SMALL(Dong,ROWS($1:162)),))</f>
        <v/>
      </c>
      <c r="C175" s="9" t="str">
        <f ca="1">IF(ROWS($1:162)&gt;COUNT(Dong),"",OFFSET(TH!E$1,SMALL(Dong,ROWS($1:162)),))</f>
        <v/>
      </c>
      <c r="D175" s="339" t="str">
        <f ca="1">IF(ROWS($1:162)&gt;COUNT(Dong),"",OFFSET(TH!F$1,SMALL(Dong,ROWS($1:162)),))</f>
        <v/>
      </c>
      <c r="E175" s="73" t="str">
        <f ca="1">IF(ROWS($1:162)&gt;COUNT(Dong),"",IF(OFFSET(TH!N$1,SMALL(Dong,ROWS($1:162)),)="331",OFFSET(TH!O$1,SMALL(Dong,ROWS($1:162)),),OFFSET(TH!N$1,SMALL(Dong,ROWS($1:162)),)))</f>
        <v/>
      </c>
      <c r="F175" s="73"/>
      <c r="G175" s="86" t="str">
        <f ca="1">IF(ROWS($1:162)&gt;COUNT(Dong),"",IF(OFFSET(TH!N$1,SMALL(Dong,ROWS($1:162)),)="331",OFFSET(TH!M$1,SMALL(Dong,ROWS($1:162)),),0))</f>
        <v/>
      </c>
      <c r="H175" s="86" t="str">
        <f ca="1">IF(ROWS($1:162)&gt;COUNT(Dong),"",IF(OFFSET(TH!O$1,SMALL(Dong,ROWS($1:162)),)="331",OFFSET(TH!M$1,SMALL(Dong,ROWS($1:162)),),0))</f>
        <v/>
      </c>
      <c r="I175" s="25">
        <f t="shared" ca="1" si="18"/>
        <v>0</v>
      </c>
      <c r="J175" s="25">
        <f t="shared" ca="1" si="19"/>
        <v>0</v>
      </c>
    </row>
    <row r="176" spans="1:10" s="18" customFormat="1" ht="18.75" customHeight="1">
      <c r="A176" s="9" t="str">
        <f ca="1">IF(ROWS($1:163)&gt;COUNT(Dong),"",OFFSET(TH!C$1,SMALL(Dong,ROWS($1:163)),))</f>
        <v/>
      </c>
      <c r="B176" s="9" t="str">
        <f ca="1">IF(ROWS($1:163)&gt;COUNT(Dong),"",OFFSET(TH!D$1,SMALL(Dong,ROWS($1:163)),))</f>
        <v/>
      </c>
      <c r="C176" s="9" t="str">
        <f ca="1">IF(ROWS($1:163)&gt;COUNT(Dong),"",OFFSET(TH!E$1,SMALL(Dong,ROWS($1:163)),))</f>
        <v/>
      </c>
      <c r="D176" s="339" t="str">
        <f ca="1">IF(ROWS($1:163)&gt;COUNT(Dong),"",OFFSET(TH!F$1,SMALL(Dong,ROWS($1:163)),))</f>
        <v/>
      </c>
      <c r="E176" s="73" t="str">
        <f ca="1">IF(ROWS($1:163)&gt;COUNT(Dong),"",IF(OFFSET(TH!N$1,SMALL(Dong,ROWS($1:163)),)="331",OFFSET(TH!O$1,SMALL(Dong,ROWS($1:163)),),OFFSET(TH!N$1,SMALL(Dong,ROWS($1:163)),)))</f>
        <v/>
      </c>
      <c r="F176" s="73"/>
      <c r="G176" s="86" t="str">
        <f ca="1">IF(ROWS($1:163)&gt;COUNT(Dong),"",IF(OFFSET(TH!N$1,SMALL(Dong,ROWS($1:163)),)="331",OFFSET(TH!M$1,SMALL(Dong,ROWS($1:163)),),0))</f>
        <v/>
      </c>
      <c r="H176" s="86" t="str">
        <f ca="1">IF(ROWS($1:163)&gt;COUNT(Dong),"",IF(OFFSET(TH!O$1,SMALL(Dong,ROWS($1:163)),)="331",OFFSET(TH!M$1,SMALL(Dong,ROWS($1:163)),),0))</f>
        <v/>
      </c>
      <c r="I176" s="25">
        <f t="shared" ca="1" si="18"/>
        <v>0</v>
      </c>
      <c r="J176" s="25">
        <f t="shared" ca="1" si="19"/>
        <v>0</v>
      </c>
    </row>
    <row r="177" spans="1:10" s="18" customFormat="1" ht="18.75" customHeight="1">
      <c r="A177" s="9" t="str">
        <f ca="1">IF(ROWS($1:164)&gt;COUNT(Dong),"",OFFSET(TH!C$1,SMALL(Dong,ROWS($1:164)),))</f>
        <v/>
      </c>
      <c r="B177" s="9" t="str">
        <f ca="1">IF(ROWS($1:164)&gt;COUNT(Dong),"",OFFSET(TH!D$1,SMALL(Dong,ROWS($1:164)),))</f>
        <v/>
      </c>
      <c r="C177" s="9" t="str">
        <f ca="1">IF(ROWS($1:164)&gt;COUNT(Dong),"",OFFSET(TH!E$1,SMALL(Dong,ROWS($1:164)),))</f>
        <v/>
      </c>
      <c r="D177" s="339" t="str">
        <f ca="1">IF(ROWS($1:164)&gt;COUNT(Dong),"",OFFSET(TH!F$1,SMALL(Dong,ROWS($1:164)),))</f>
        <v/>
      </c>
      <c r="E177" s="73" t="str">
        <f ca="1">IF(ROWS($1:164)&gt;COUNT(Dong),"",IF(OFFSET(TH!N$1,SMALL(Dong,ROWS($1:164)),)="331",OFFSET(TH!O$1,SMALL(Dong,ROWS($1:164)),),OFFSET(TH!N$1,SMALL(Dong,ROWS($1:164)),)))</f>
        <v/>
      </c>
      <c r="F177" s="73"/>
      <c r="G177" s="86" t="str">
        <f ca="1">IF(ROWS($1:164)&gt;COUNT(Dong),"",IF(OFFSET(TH!N$1,SMALL(Dong,ROWS($1:164)),)="331",OFFSET(TH!M$1,SMALL(Dong,ROWS($1:164)),),0))</f>
        <v/>
      </c>
      <c r="H177" s="86" t="str">
        <f ca="1">IF(ROWS($1:164)&gt;COUNT(Dong),"",IF(OFFSET(TH!O$1,SMALL(Dong,ROWS($1:164)),)="331",OFFSET(TH!M$1,SMALL(Dong,ROWS($1:164)),),0))</f>
        <v/>
      </c>
      <c r="I177" s="25">
        <f t="shared" ca="1" si="18"/>
        <v>0</v>
      </c>
      <c r="J177" s="25">
        <f t="shared" ca="1" si="19"/>
        <v>0</v>
      </c>
    </row>
    <row r="178" spans="1:10" s="18" customFormat="1" ht="18.75" customHeight="1">
      <c r="A178" s="9" t="str">
        <f ca="1">IF(ROWS($1:165)&gt;COUNT(Dong),"",OFFSET(TH!C$1,SMALL(Dong,ROWS($1:165)),))</f>
        <v/>
      </c>
      <c r="B178" s="9" t="str">
        <f ca="1">IF(ROWS($1:165)&gt;COUNT(Dong),"",OFFSET(TH!D$1,SMALL(Dong,ROWS($1:165)),))</f>
        <v/>
      </c>
      <c r="C178" s="9" t="str">
        <f ca="1">IF(ROWS($1:165)&gt;COUNT(Dong),"",OFFSET(TH!E$1,SMALL(Dong,ROWS($1:165)),))</f>
        <v/>
      </c>
      <c r="D178" s="339" t="str">
        <f ca="1">IF(ROWS($1:165)&gt;COUNT(Dong),"",OFFSET(TH!F$1,SMALL(Dong,ROWS($1:165)),))</f>
        <v/>
      </c>
      <c r="E178" s="73" t="str">
        <f ca="1">IF(ROWS($1:165)&gt;COUNT(Dong),"",IF(OFFSET(TH!N$1,SMALL(Dong,ROWS($1:165)),)="331",OFFSET(TH!O$1,SMALL(Dong,ROWS($1:165)),),OFFSET(TH!N$1,SMALL(Dong,ROWS($1:165)),)))</f>
        <v/>
      </c>
      <c r="F178" s="73"/>
      <c r="G178" s="86" t="str">
        <f ca="1">IF(ROWS($1:165)&gt;COUNT(Dong),"",IF(OFFSET(TH!N$1,SMALL(Dong,ROWS($1:165)),)="331",OFFSET(TH!M$1,SMALL(Dong,ROWS($1:165)),),0))</f>
        <v/>
      </c>
      <c r="H178" s="86" t="str">
        <f ca="1">IF(ROWS($1:165)&gt;COUNT(Dong),"",IF(OFFSET(TH!O$1,SMALL(Dong,ROWS($1:165)),)="331",OFFSET(TH!M$1,SMALL(Dong,ROWS($1:165)),),0))</f>
        <v/>
      </c>
      <c r="I178" s="25">
        <f t="shared" ca="1" si="18"/>
        <v>0</v>
      </c>
      <c r="J178" s="25">
        <f t="shared" ca="1" si="19"/>
        <v>0</v>
      </c>
    </row>
    <row r="179" spans="1:10" s="18" customFormat="1" ht="18.75" customHeight="1">
      <c r="A179" s="9" t="str">
        <f ca="1">IF(ROWS($1:166)&gt;COUNT(Dong),"",OFFSET(TH!C$1,SMALL(Dong,ROWS($1:166)),))</f>
        <v/>
      </c>
      <c r="B179" s="9" t="str">
        <f ca="1">IF(ROWS($1:166)&gt;COUNT(Dong),"",OFFSET(TH!D$1,SMALL(Dong,ROWS($1:166)),))</f>
        <v/>
      </c>
      <c r="C179" s="9" t="str">
        <f ca="1">IF(ROWS($1:166)&gt;COUNT(Dong),"",OFFSET(TH!E$1,SMALL(Dong,ROWS($1:166)),))</f>
        <v/>
      </c>
      <c r="D179" s="339" t="str">
        <f ca="1">IF(ROWS($1:166)&gt;COUNT(Dong),"",OFFSET(TH!F$1,SMALL(Dong,ROWS($1:166)),))</f>
        <v/>
      </c>
      <c r="E179" s="73" t="str">
        <f ca="1">IF(ROWS($1:166)&gt;COUNT(Dong),"",IF(OFFSET(TH!N$1,SMALL(Dong,ROWS($1:166)),)="331",OFFSET(TH!O$1,SMALL(Dong,ROWS($1:166)),),OFFSET(TH!N$1,SMALL(Dong,ROWS($1:166)),)))</f>
        <v/>
      </c>
      <c r="F179" s="73"/>
      <c r="G179" s="86" t="str">
        <f ca="1">IF(ROWS($1:166)&gt;COUNT(Dong),"",IF(OFFSET(TH!N$1,SMALL(Dong,ROWS($1:166)),)="331",OFFSET(TH!M$1,SMALL(Dong,ROWS($1:166)),),0))</f>
        <v/>
      </c>
      <c r="H179" s="86" t="str">
        <f ca="1">IF(ROWS($1:166)&gt;COUNT(Dong),"",IF(OFFSET(TH!O$1,SMALL(Dong,ROWS($1:166)),)="331",OFFSET(TH!M$1,SMALL(Dong,ROWS($1:166)),),0))</f>
        <v/>
      </c>
      <c r="I179" s="25">
        <f t="shared" ca="1" si="18"/>
        <v>0</v>
      </c>
      <c r="J179" s="25">
        <f t="shared" ca="1" si="19"/>
        <v>0</v>
      </c>
    </row>
    <row r="180" spans="1:10" s="18" customFormat="1" ht="18.75" customHeight="1">
      <c r="A180" s="9" t="str">
        <f ca="1">IF(ROWS($1:167)&gt;COUNT(Dong),"",OFFSET(TH!C$1,SMALL(Dong,ROWS($1:167)),))</f>
        <v/>
      </c>
      <c r="B180" s="9" t="str">
        <f ca="1">IF(ROWS($1:167)&gt;COUNT(Dong),"",OFFSET(TH!D$1,SMALL(Dong,ROWS($1:167)),))</f>
        <v/>
      </c>
      <c r="C180" s="9" t="str">
        <f ca="1">IF(ROWS($1:167)&gt;COUNT(Dong),"",OFFSET(TH!E$1,SMALL(Dong,ROWS($1:167)),))</f>
        <v/>
      </c>
      <c r="D180" s="339" t="str">
        <f ca="1">IF(ROWS($1:167)&gt;COUNT(Dong),"",OFFSET(TH!F$1,SMALL(Dong,ROWS($1:167)),))</f>
        <v/>
      </c>
      <c r="E180" s="73" t="str">
        <f ca="1">IF(ROWS($1:167)&gt;COUNT(Dong),"",IF(OFFSET(TH!N$1,SMALL(Dong,ROWS($1:167)),)="331",OFFSET(TH!O$1,SMALL(Dong,ROWS($1:167)),),OFFSET(TH!N$1,SMALL(Dong,ROWS($1:167)),)))</f>
        <v/>
      </c>
      <c r="F180" s="73"/>
      <c r="G180" s="86" t="str">
        <f ca="1">IF(ROWS($1:167)&gt;COUNT(Dong),"",IF(OFFSET(TH!N$1,SMALL(Dong,ROWS($1:167)),)="331",OFFSET(TH!M$1,SMALL(Dong,ROWS($1:167)),),0))</f>
        <v/>
      </c>
      <c r="H180" s="86" t="str">
        <f ca="1">IF(ROWS($1:167)&gt;COUNT(Dong),"",IF(OFFSET(TH!O$1,SMALL(Dong,ROWS($1:167)),)="331",OFFSET(TH!M$1,SMALL(Dong,ROWS($1:167)),),0))</f>
        <v/>
      </c>
      <c r="I180" s="25">
        <f t="shared" ca="1" si="18"/>
        <v>0</v>
      </c>
      <c r="J180" s="25">
        <f t="shared" ca="1" si="19"/>
        <v>0</v>
      </c>
    </row>
    <row r="181" spans="1:10" s="18" customFormat="1" ht="18.75" customHeight="1">
      <c r="A181" s="9" t="str">
        <f ca="1">IF(ROWS($1:168)&gt;COUNT(Dong),"",OFFSET(TH!C$1,SMALL(Dong,ROWS($1:168)),))</f>
        <v/>
      </c>
      <c r="B181" s="9" t="str">
        <f ca="1">IF(ROWS($1:168)&gt;COUNT(Dong),"",OFFSET(TH!D$1,SMALL(Dong,ROWS($1:168)),))</f>
        <v/>
      </c>
      <c r="C181" s="9" t="str">
        <f ca="1">IF(ROWS($1:168)&gt;COUNT(Dong),"",OFFSET(TH!E$1,SMALL(Dong,ROWS($1:168)),))</f>
        <v/>
      </c>
      <c r="D181" s="339" t="str">
        <f ca="1">IF(ROWS($1:168)&gt;COUNT(Dong),"",OFFSET(TH!F$1,SMALL(Dong,ROWS($1:168)),))</f>
        <v/>
      </c>
      <c r="E181" s="73" t="str">
        <f ca="1">IF(ROWS($1:168)&gt;COUNT(Dong),"",IF(OFFSET(TH!N$1,SMALL(Dong,ROWS($1:168)),)="331",OFFSET(TH!O$1,SMALL(Dong,ROWS($1:168)),),OFFSET(TH!N$1,SMALL(Dong,ROWS($1:168)),)))</f>
        <v/>
      </c>
      <c r="F181" s="73"/>
      <c r="G181" s="86" t="str">
        <f ca="1">IF(ROWS($1:168)&gt;COUNT(Dong),"",IF(OFFSET(TH!N$1,SMALL(Dong,ROWS($1:168)),)="331",OFFSET(TH!M$1,SMALL(Dong,ROWS($1:168)),),0))</f>
        <v/>
      </c>
      <c r="H181" s="86" t="str">
        <f ca="1">IF(ROWS($1:168)&gt;COUNT(Dong),"",IF(OFFSET(TH!O$1,SMALL(Dong,ROWS($1:168)),)="331",OFFSET(TH!M$1,SMALL(Dong,ROWS($1:168)),),0))</f>
        <v/>
      </c>
      <c r="I181" s="25">
        <f t="shared" ca="1" si="18"/>
        <v>0</v>
      </c>
      <c r="J181" s="25">
        <f t="shared" ca="1" si="19"/>
        <v>0</v>
      </c>
    </row>
    <row r="182" spans="1:10" s="18" customFormat="1" ht="18.75" customHeight="1">
      <c r="A182" s="9" t="str">
        <f ca="1">IF(ROWS($1:169)&gt;COUNT(Dong),"",OFFSET(TH!C$1,SMALL(Dong,ROWS($1:169)),))</f>
        <v/>
      </c>
      <c r="B182" s="9" t="str">
        <f ca="1">IF(ROWS($1:169)&gt;COUNT(Dong),"",OFFSET(TH!D$1,SMALL(Dong,ROWS($1:169)),))</f>
        <v/>
      </c>
      <c r="C182" s="9" t="str">
        <f ca="1">IF(ROWS($1:169)&gt;COUNT(Dong),"",OFFSET(TH!E$1,SMALL(Dong,ROWS($1:169)),))</f>
        <v/>
      </c>
      <c r="D182" s="339" t="str">
        <f ca="1">IF(ROWS($1:169)&gt;COUNT(Dong),"",OFFSET(TH!F$1,SMALL(Dong,ROWS($1:169)),))</f>
        <v/>
      </c>
      <c r="E182" s="73" t="str">
        <f ca="1">IF(ROWS($1:169)&gt;COUNT(Dong),"",IF(OFFSET(TH!N$1,SMALL(Dong,ROWS($1:169)),)="331",OFFSET(TH!O$1,SMALL(Dong,ROWS($1:169)),),OFFSET(TH!N$1,SMALL(Dong,ROWS($1:169)),)))</f>
        <v/>
      </c>
      <c r="F182" s="73"/>
      <c r="G182" s="86" t="str">
        <f ca="1">IF(ROWS($1:169)&gt;COUNT(Dong),"",IF(OFFSET(TH!N$1,SMALL(Dong,ROWS($1:169)),)="331",OFFSET(TH!M$1,SMALL(Dong,ROWS($1:169)),),0))</f>
        <v/>
      </c>
      <c r="H182" s="86" t="str">
        <f ca="1">IF(ROWS($1:169)&gt;COUNT(Dong),"",IF(OFFSET(TH!O$1,SMALL(Dong,ROWS($1:169)),)="331",OFFSET(TH!M$1,SMALL(Dong,ROWS($1:169)),),0))</f>
        <v/>
      </c>
      <c r="I182" s="25">
        <f t="shared" ca="1" si="18"/>
        <v>0</v>
      </c>
      <c r="J182" s="25">
        <f t="shared" ca="1" si="19"/>
        <v>0</v>
      </c>
    </row>
    <row r="183" spans="1:10" s="18" customFormat="1" ht="18.75" customHeight="1">
      <c r="A183" s="9" t="str">
        <f ca="1">IF(ROWS($1:170)&gt;COUNT(Dong),"",OFFSET(TH!C$1,SMALL(Dong,ROWS($1:170)),))</f>
        <v/>
      </c>
      <c r="B183" s="9" t="str">
        <f ca="1">IF(ROWS($1:170)&gt;COUNT(Dong),"",OFFSET(TH!D$1,SMALL(Dong,ROWS($1:170)),))</f>
        <v/>
      </c>
      <c r="C183" s="9" t="str">
        <f ca="1">IF(ROWS($1:170)&gt;COUNT(Dong),"",OFFSET(TH!E$1,SMALL(Dong,ROWS($1:170)),))</f>
        <v/>
      </c>
      <c r="D183" s="339" t="str">
        <f ca="1">IF(ROWS($1:170)&gt;COUNT(Dong),"",OFFSET(TH!F$1,SMALL(Dong,ROWS($1:170)),))</f>
        <v/>
      </c>
      <c r="E183" s="73" t="str">
        <f ca="1">IF(ROWS($1:170)&gt;COUNT(Dong),"",IF(OFFSET(TH!N$1,SMALL(Dong,ROWS($1:170)),)="331",OFFSET(TH!O$1,SMALL(Dong,ROWS($1:170)),),OFFSET(TH!N$1,SMALL(Dong,ROWS($1:170)),)))</f>
        <v/>
      </c>
      <c r="F183" s="73"/>
      <c r="G183" s="86" t="str">
        <f ca="1">IF(ROWS($1:170)&gt;COUNT(Dong),"",IF(OFFSET(TH!N$1,SMALL(Dong,ROWS($1:170)),)="331",OFFSET(TH!M$1,SMALL(Dong,ROWS($1:170)),),0))</f>
        <v/>
      </c>
      <c r="H183" s="86" t="str">
        <f ca="1">IF(ROWS($1:170)&gt;COUNT(Dong),"",IF(OFFSET(TH!O$1,SMALL(Dong,ROWS($1:170)),)="331",OFFSET(TH!M$1,SMALL(Dong,ROWS($1:170)),),0))</f>
        <v/>
      </c>
      <c r="I183" s="25">
        <f t="shared" ca="1" si="18"/>
        <v>0</v>
      </c>
      <c r="J183" s="25">
        <f t="shared" ca="1" si="19"/>
        <v>0</v>
      </c>
    </row>
    <row r="184" spans="1:10" s="18" customFormat="1" ht="18.75" customHeight="1">
      <c r="A184" s="9" t="str">
        <f ca="1">IF(ROWS($1:171)&gt;COUNT(Dong),"",OFFSET(TH!C$1,SMALL(Dong,ROWS($1:171)),))</f>
        <v/>
      </c>
      <c r="B184" s="9" t="str">
        <f ca="1">IF(ROWS($1:171)&gt;COUNT(Dong),"",OFFSET(TH!D$1,SMALL(Dong,ROWS($1:171)),))</f>
        <v/>
      </c>
      <c r="C184" s="9" t="str">
        <f ca="1">IF(ROWS($1:171)&gt;COUNT(Dong),"",OFFSET(TH!E$1,SMALL(Dong,ROWS($1:171)),))</f>
        <v/>
      </c>
      <c r="D184" s="339" t="str">
        <f ca="1">IF(ROWS($1:171)&gt;COUNT(Dong),"",OFFSET(TH!F$1,SMALL(Dong,ROWS($1:171)),))</f>
        <v/>
      </c>
      <c r="E184" s="73" t="str">
        <f ca="1">IF(ROWS($1:171)&gt;COUNT(Dong),"",IF(OFFSET(TH!N$1,SMALL(Dong,ROWS($1:171)),)="331",OFFSET(TH!O$1,SMALL(Dong,ROWS($1:171)),),OFFSET(TH!N$1,SMALL(Dong,ROWS($1:171)),)))</f>
        <v/>
      </c>
      <c r="F184" s="73"/>
      <c r="G184" s="86" t="str">
        <f ca="1">IF(ROWS($1:171)&gt;COUNT(Dong),"",IF(OFFSET(TH!N$1,SMALL(Dong,ROWS($1:171)),)="331",OFFSET(TH!M$1,SMALL(Dong,ROWS($1:171)),),0))</f>
        <v/>
      </c>
      <c r="H184" s="86" t="str">
        <f ca="1">IF(ROWS($1:171)&gt;COUNT(Dong),"",IF(OFFSET(TH!O$1,SMALL(Dong,ROWS($1:171)),)="331",OFFSET(TH!M$1,SMALL(Dong,ROWS($1:171)),),0))</f>
        <v/>
      </c>
      <c r="I184" s="25">
        <f t="shared" ca="1" si="18"/>
        <v>0</v>
      </c>
      <c r="J184" s="25">
        <f t="shared" ca="1" si="19"/>
        <v>0</v>
      </c>
    </row>
    <row r="185" spans="1:10" s="18" customFormat="1" ht="18.75" customHeight="1">
      <c r="A185" s="9" t="str">
        <f ca="1">IF(ROWS($1:172)&gt;COUNT(Dong),"",OFFSET(TH!C$1,SMALL(Dong,ROWS($1:172)),))</f>
        <v/>
      </c>
      <c r="B185" s="9" t="str">
        <f ca="1">IF(ROWS($1:172)&gt;COUNT(Dong),"",OFFSET(TH!D$1,SMALL(Dong,ROWS($1:172)),))</f>
        <v/>
      </c>
      <c r="C185" s="9" t="str">
        <f ca="1">IF(ROWS($1:172)&gt;COUNT(Dong),"",OFFSET(TH!E$1,SMALL(Dong,ROWS($1:172)),))</f>
        <v/>
      </c>
      <c r="D185" s="339" t="str">
        <f ca="1">IF(ROWS($1:172)&gt;COUNT(Dong),"",OFFSET(TH!F$1,SMALL(Dong,ROWS($1:172)),))</f>
        <v/>
      </c>
      <c r="E185" s="73" t="str">
        <f ca="1">IF(ROWS($1:172)&gt;COUNT(Dong),"",IF(OFFSET(TH!N$1,SMALL(Dong,ROWS($1:172)),)="331",OFFSET(TH!O$1,SMALL(Dong,ROWS($1:172)),),OFFSET(TH!N$1,SMALL(Dong,ROWS($1:172)),)))</f>
        <v/>
      </c>
      <c r="F185" s="73"/>
      <c r="G185" s="86" t="str">
        <f ca="1">IF(ROWS($1:172)&gt;COUNT(Dong),"",IF(OFFSET(TH!N$1,SMALL(Dong,ROWS($1:172)),)="331",OFFSET(TH!M$1,SMALL(Dong,ROWS($1:172)),),0))</f>
        <v/>
      </c>
      <c r="H185" s="86" t="str">
        <f ca="1">IF(ROWS($1:172)&gt;COUNT(Dong),"",IF(OFFSET(TH!O$1,SMALL(Dong,ROWS($1:172)),)="331",OFFSET(TH!M$1,SMALL(Dong,ROWS($1:172)),),0))</f>
        <v/>
      </c>
      <c r="I185" s="25">
        <f t="shared" ca="1" si="18"/>
        <v>0</v>
      </c>
      <c r="J185" s="25">
        <f t="shared" ca="1" si="19"/>
        <v>0</v>
      </c>
    </row>
    <row r="186" spans="1:10" s="18" customFormat="1" ht="18.75" customHeight="1">
      <c r="A186" s="9" t="str">
        <f ca="1">IF(ROWS($1:173)&gt;COUNT(Dong),"",OFFSET(TH!C$1,SMALL(Dong,ROWS($1:173)),))</f>
        <v/>
      </c>
      <c r="B186" s="9" t="str">
        <f ca="1">IF(ROWS($1:173)&gt;COUNT(Dong),"",OFFSET(TH!D$1,SMALL(Dong,ROWS($1:173)),))</f>
        <v/>
      </c>
      <c r="C186" s="9" t="str">
        <f ca="1">IF(ROWS($1:173)&gt;COUNT(Dong),"",OFFSET(TH!E$1,SMALL(Dong,ROWS($1:173)),))</f>
        <v/>
      </c>
      <c r="D186" s="339" t="str">
        <f ca="1">IF(ROWS($1:173)&gt;COUNT(Dong),"",OFFSET(TH!F$1,SMALL(Dong,ROWS($1:173)),))</f>
        <v/>
      </c>
      <c r="E186" s="73" t="str">
        <f ca="1">IF(ROWS($1:173)&gt;COUNT(Dong),"",IF(OFFSET(TH!N$1,SMALL(Dong,ROWS($1:173)),)="331",OFFSET(TH!O$1,SMALL(Dong,ROWS($1:173)),),OFFSET(TH!N$1,SMALL(Dong,ROWS($1:173)),)))</f>
        <v/>
      </c>
      <c r="F186" s="73"/>
      <c r="G186" s="86" t="str">
        <f ca="1">IF(ROWS($1:173)&gt;COUNT(Dong),"",IF(OFFSET(TH!N$1,SMALL(Dong,ROWS($1:173)),)="331",OFFSET(TH!M$1,SMALL(Dong,ROWS($1:173)),),0))</f>
        <v/>
      </c>
      <c r="H186" s="86" t="str">
        <f ca="1">IF(ROWS($1:173)&gt;COUNT(Dong),"",IF(OFFSET(TH!O$1,SMALL(Dong,ROWS($1:173)),)="331",OFFSET(TH!M$1,SMALL(Dong,ROWS($1:173)),),0))</f>
        <v/>
      </c>
      <c r="I186" s="25">
        <f t="shared" ca="1" si="18"/>
        <v>0</v>
      </c>
      <c r="J186" s="25">
        <f t="shared" ca="1" si="19"/>
        <v>0</v>
      </c>
    </row>
    <row r="187" spans="1:10" s="18" customFormat="1" ht="18.75" customHeight="1">
      <c r="A187" s="9" t="str">
        <f ca="1">IF(ROWS($1:174)&gt;COUNT(Dong),"",OFFSET(TH!C$1,SMALL(Dong,ROWS($1:174)),))</f>
        <v/>
      </c>
      <c r="B187" s="9" t="str">
        <f ca="1">IF(ROWS($1:174)&gt;COUNT(Dong),"",OFFSET(TH!D$1,SMALL(Dong,ROWS($1:174)),))</f>
        <v/>
      </c>
      <c r="C187" s="9" t="str">
        <f ca="1">IF(ROWS($1:174)&gt;COUNT(Dong),"",OFFSET(TH!E$1,SMALL(Dong,ROWS($1:174)),))</f>
        <v/>
      </c>
      <c r="D187" s="339" t="str">
        <f ca="1">IF(ROWS($1:174)&gt;COUNT(Dong),"",OFFSET(TH!F$1,SMALL(Dong,ROWS($1:174)),))</f>
        <v/>
      </c>
      <c r="E187" s="73" t="str">
        <f ca="1">IF(ROWS($1:174)&gt;COUNT(Dong),"",IF(OFFSET(TH!N$1,SMALL(Dong,ROWS($1:174)),)="331",OFFSET(TH!O$1,SMALL(Dong,ROWS($1:174)),),OFFSET(TH!N$1,SMALL(Dong,ROWS($1:174)),)))</f>
        <v/>
      </c>
      <c r="F187" s="73"/>
      <c r="G187" s="86" t="str">
        <f ca="1">IF(ROWS($1:174)&gt;COUNT(Dong),"",IF(OFFSET(TH!N$1,SMALL(Dong,ROWS($1:174)),)="331",OFFSET(TH!M$1,SMALL(Dong,ROWS($1:174)),),0))</f>
        <v/>
      </c>
      <c r="H187" s="86" t="str">
        <f ca="1">IF(ROWS($1:174)&gt;COUNT(Dong),"",IF(OFFSET(TH!O$1,SMALL(Dong,ROWS($1:174)),)="331",OFFSET(TH!M$1,SMALL(Dong,ROWS($1:174)),),0))</f>
        <v/>
      </c>
      <c r="I187" s="25">
        <f t="shared" ca="1" si="18"/>
        <v>0</v>
      </c>
      <c r="J187" s="25">
        <f t="shared" ca="1" si="19"/>
        <v>0</v>
      </c>
    </row>
    <row r="188" spans="1:10" s="18" customFormat="1" ht="18.75" customHeight="1">
      <c r="A188" s="9" t="str">
        <f ca="1">IF(ROWS($1:175)&gt;COUNT(Dong),"",OFFSET(TH!C$1,SMALL(Dong,ROWS($1:175)),))</f>
        <v/>
      </c>
      <c r="B188" s="9" t="str">
        <f ca="1">IF(ROWS($1:175)&gt;COUNT(Dong),"",OFFSET(TH!D$1,SMALL(Dong,ROWS($1:175)),))</f>
        <v/>
      </c>
      <c r="C188" s="9" t="str">
        <f ca="1">IF(ROWS($1:175)&gt;COUNT(Dong),"",OFFSET(TH!E$1,SMALL(Dong,ROWS($1:175)),))</f>
        <v/>
      </c>
      <c r="D188" s="339" t="str">
        <f ca="1">IF(ROWS($1:175)&gt;COUNT(Dong),"",OFFSET(TH!F$1,SMALL(Dong,ROWS($1:175)),))</f>
        <v/>
      </c>
      <c r="E188" s="73" t="str">
        <f ca="1">IF(ROWS($1:175)&gt;COUNT(Dong),"",IF(OFFSET(TH!N$1,SMALL(Dong,ROWS($1:175)),)="331",OFFSET(TH!O$1,SMALL(Dong,ROWS($1:175)),),OFFSET(TH!N$1,SMALL(Dong,ROWS($1:175)),)))</f>
        <v/>
      </c>
      <c r="F188" s="73"/>
      <c r="G188" s="86" t="str">
        <f ca="1">IF(ROWS($1:175)&gt;COUNT(Dong),"",IF(OFFSET(TH!N$1,SMALL(Dong,ROWS($1:175)),)="331",OFFSET(TH!M$1,SMALL(Dong,ROWS($1:175)),),0))</f>
        <v/>
      </c>
      <c r="H188" s="86" t="str">
        <f ca="1">IF(ROWS($1:175)&gt;COUNT(Dong),"",IF(OFFSET(TH!O$1,SMALL(Dong,ROWS($1:175)),)="331",OFFSET(TH!M$1,SMALL(Dong,ROWS($1:175)),),0))</f>
        <v/>
      </c>
      <c r="I188" s="25">
        <f t="shared" ca="1" si="18"/>
        <v>0</v>
      </c>
      <c r="J188" s="25">
        <f t="shared" ca="1" si="19"/>
        <v>0</v>
      </c>
    </row>
    <row r="189" spans="1:10" s="18" customFormat="1" ht="18.75" customHeight="1">
      <c r="A189" s="9" t="str">
        <f ca="1">IF(ROWS($1:176)&gt;COUNT(Dong),"",OFFSET(TH!C$1,SMALL(Dong,ROWS($1:176)),))</f>
        <v/>
      </c>
      <c r="B189" s="9" t="str">
        <f ca="1">IF(ROWS($1:176)&gt;COUNT(Dong),"",OFFSET(TH!D$1,SMALL(Dong,ROWS($1:176)),))</f>
        <v/>
      </c>
      <c r="C189" s="9" t="str">
        <f ca="1">IF(ROWS($1:176)&gt;COUNT(Dong),"",OFFSET(TH!E$1,SMALL(Dong,ROWS($1:176)),))</f>
        <v/>
      </c>
      <c r="D189" s="339" t="str">
        <f ca="1">IF(ROWS($1:176)&gt;COUNT(Dong),"",OFFSET(TH!F$1,SMALL(Dong,ROWS($1:176)),))</f>
        <v/>
      </c>
      <c r="E189" s="73" t="str">
        <f ca="1">IF(ROWS($1:176)&gt;COUNT(Dong),"",IF(OFFSET(TH!N$1,SMALL(Dong,ROWS($1:176)),)="331",OFFSET(TH!O$1,SMALL(Dong,ROWS($1:176)),),OFFSET(TH!N$1,SMALL(Dong,ROWS($1:176)),)))</f>
        <v/>
      </c>
      <c r="F189" s="73"/>
      <c r="G189" s="86" t="str">
        <f ca="1">IF(ROWS($1:176)&gt;COUNT(Dong),"",IF(OFFSET(TH!N$1,SMALL(Dong,ROWS($1:176)),)="331",OFFSET(TH!M$1,SMALL(Dong,ROWS($1:176)),),0))</f>
        <v/>
      </c>
      <c r="H189" s="86" t="str">
        <f ca="1">IF(ROWS($1:176)&gt;COUNT(Dong),"",IF(OFFSET(TH!O$1,SMALL(Dong,ROWS($1:176)),)="331",OFFSET(TH!M$1,SMALL(Dong,ROWS($1:176)),),0))</f>
        <v/>
      </c>
      <c r="I189" s="25">
        <f t="shared" ca="1" si="18"/>
        <v>0</v>
      </c>
      <c r="J189" s="25">
        <f t="shared" ca="1" si="19"/>
        <v>0</v>
      </c>
    </row>
    <row r="190" spans="1:10" s="18" customFormat="1" ht="18.75" customHeight="1">
      <c r="A190" s="9" t="str">
        <f ca="1">IF(ROWS($1:177)&gt;COUNT(Dong),"",OFFSET(TH!C$1,SMALL(Dong,ROWS($1:177)),))</f>
        <v/>
      </c>
      <c r="B190" s="9" t="str">
        <f ca="1">IF(ROWS($1:177)&gt;COUNT(Dong),"",OFFSET(TH!D$1,SMALL(Dong,ROWS($1:177)),))</f>
        <v/>
      </c>
      <c r="C190" s="9" t="str">
        <f ca="1">IF(ROWS($1:177)&gt;COUNT(Dong),"",OFFSET(TH!E$1,SMALL(Dong,ROWS($1:177)),))</f>
        <v/>
      </c>
      <c r="D190" s="339" t="str">
        <f ca="1">IF(ROWS($1:177)&gt;COUNT(Dong),"",OFFSET(TH!F$1,SMALL(Dong,ROWS($1:177)),))</f>
        <v/>
      </c>
      <c r="E190" s="73" t="str">
        <f ca="1">IF(ROWS($1:177)&gt;COUNT(Dong),"",IF(OFFSET(TH!N$1,SMALL(Dong,ROWS($1:177)),)="331",OFFSET(TH!O$1,SMALL(Dong,ROWS($1:177)),),OFFSET(TH!N$1,SMALL(Dong,ROWS($1:177)),)))</f>
        <v/>
      </c>
      <c r="F190" s="73"/>
      <c r="G190" s="86" t="str">
        <f ca="1">IF(ROWS($1:177)&gt;COUNT(Dong),"",IF(OFFSET(TH!N$1,SMALL(Dong,ROWS($1:177)),)="331",OFFSET(TH!M$1,SMALL(Dong,ROWS($1:177)),),0))</f>
        <v/>
      </c>
      <c r="H190" s="86" t="str">
        <f ca="1">IF(ROWS($1:177)&gt;COUNT(Dong),"",IF(OFFSET(TH!O$1,SMALL(Dong,ROWS($1:177)),)="331",OFFSET(TH!M$1,SMALL(Dong,ROWS($1:177)),),0))</f>
        <v/>
      </c>
      <c r="I190" s="25">
        <f t="shared" ca="1" si="18"/>
        <v>0</v>
      </c>
      <c r="J190" s="25">
        <f t="shared" ca="1" si="19"/>
        <v>0</v>
      </c>
    </row>
    <row r="191" spans="1:10" s="18" customFormat="1" ht="18.75" customHeight="1">
      <c r="A191" s="9" t="str">
        <f ca="1">IF(ROWS($1:178)&gt;COUNT(Dong),"",OFFSET(TH!C$1,SMALL(Dong,ROWS($1:178)),))</f>
        <v/>
      </c>
      <c r="B191" s="9" t="str">
        <f ca="1">IF(ROWS($1:178)&gt;COUNT(Dong),"",OFFSET(TH!D$1,SMALL(Dong,ROWS($1:178)),))</f>
        <v/>
      </c>
      <c r="C191" s="9" t="str">
        <f ca="1">IF(ROWS($1:178)&gt;COUNT(Dong),"",OFFSET(TH!E$1,SMALL(Dong,ROWS($1:178)),))</f>
        <v/>
      </c>
      <c r="D191" s="339" t="str">
        <f ca="1">IF(ROWS($1:178)&gt;COUNT(Dong),"",OFFSET(TH!F$1,SMALL(Dong,ROWS($1:178)),))</f>
        <v/>
      </c>
      <c r="E191" s="73" t="str">
        <f ca="1">IF(ROWS($1:178)&gt;COUNT(Dong),"",IF(OFFSET(TH!N$1,SMALL(Dong,ROWS($1:178)),)="331",OFFSET(TH!O$1,SMALL(Dong,ROWS($1:178)),),OFFSET(TH!N$1,SMALL(Dong,ROWS($1:178)),)))</f>
        <v/>
      </c>
      <c r="F191" s="73"/>
      <c r="G191" s="86" t="str">
        <f ca="1">IF(ROWS($1:178)&gt;COUNT(Dong),"",IF(OFFSET(TH!N$1,SMALL(Dong,ROWS($1:178)),)="331",OFFSET(TH!M$1,SMALL(Dong,ROWS($1:178)),),0))</f>
        <v/>
      </c>
      <c r="H191" s="86" t="str">
        <f ca="1">IF(ROWS($1:178)&gt;COUNT(Dong),"",IF(OFFSET(TH!O$1,SMALL(Dong,ROWS($1:178)),)="331",OFFSET(TH!M$1,SMALL(Dong,ROWS($1:178)),),0))</f>
        <v/>
      </c>
      <c r="I191" s="25">
        <f t="shared" ca="1" si="18"/>
        <v>0</v>
      </c>
      <c r="J191" s="25">
        <f t="shared" ca="1" si="19"/>
        <v>0</v>
      </c>
    </row>
    <row r="192" spans="1:10" s="18" customFormat="1" ht="18.75" customHeight="1">
      <c r="A192" s="9" t="str">
        <f ca="1">IF(ROWS($1:179)&gt;COUNT(Dong),"",OFFSET(TH!C$1,SMALL(Dong,ROWS($1:179)),))</f>
        <v/>
      </c>
      <c r="B192" s="9" t="str">
        <f ca="1">IF(ROWS($1:179)&gt;COUNT(Dong),"",OFFSET(TH!D$1,SMALL(Dong,ROWS($1:179)),))</f>
        <v/>
      </c>
      <c r="C192" s="9" t="str">
        <f ca="1">IF(ROWS($1:179)&gt;COUNT(Dong),"",OFFSET(TH!E$1,SMALL(Dong,ROWS($1:179)),))</f>
        <v/>
      </c>
      <c r="D192" s="339" t="str">
        <f ca="1">IF(ROWS($1:179)&gt;COUNT(Dong),"",OFFSET(TH!F$1,SMALL(Dong,ROWS($1:179)),))</f>
        <v/>
      </c>
      <c r="E192" s="73" t="str">
        <f ca="1">IF(ROWS($1:179)&gt;COUNT(Dong),"",IF(OFFSET(TH!N$1,SMALL(Dong,ROWS($1:179)),)="331",OFFSET(TH!O$1,SMALL(Dong,ROWS($1:179)),),OFFSET(TH!N$1,SMALL(Dong,ROWS($1:179)),)))</f>
        <v/>
      </c>
      <c r="F192" s="73"/>
      <c r="G192" s="86" t="str">
        <f ca="1">IF(ROWS($1:179)&gt;COUNT(Dong),"",IF(OFFSET(TH!N$1,SMALL(Dong,ROWS($1:179)),)="331",OFFSET(TH!M$1,SMALL(Dong,ROWS($1:179)),),0))</f>
        <v/>
      </c>
      <c r="H192" s="86" t="str">
        <f ca="1">IF(ROWS($1:179)&gt;COUNT(Dong),"",IF(OFFSET(TH!O$1,SMALL(Dong,ROWS($1:179)),)="331",OFFSET(TH!M$1,SMALL(Dong,ROWS($1:179)),),0))</f>
        <v/>
      </c>
      <c r="I192" s="25">
        <f t="shared" ca="1" si="18"/>
        <v>0</v>
      </c>
      <c r="J192" s="25">
        <f t="shared" ca="1" si="19"/>
        <v>0</v>
      </c>
    </row>
    <row r="193" spans="1:10" s="18" customFormat="1" ht="18.75" customHeight="1">
      <c r="A193" s="9" t="str">
        <f ca="1">IF(ROWS($1:180)&gt;COUNT(Dong),"",OFFSET(TH!C$1,SMALL(Dong,ROWS($1:180)),))</f>
        <v/>
      </c>
      <c r="B193" s="9" t="str">
        <f ca="1">IF(ROWS($1:180)&gt;COUNT(Dong),"",OFFSET(TH!D$1,SMALL(Dong,ROWS($1:180)),))</f>
        <v/>
      </c>
      <c r="C193" s="9" t="str">
        <f ca="1">IF(ROWS($1:180)&gt;COUNT(Dong),"",OFFSET(TH!E$1,SMALL(Dong,ROWS($1:180)),))</f>
        <v/>
      </c>
      <c r="D193" s="339" t="str">
        <f ca="1">IF(ROWS($1:180)&gt;COUNT(Dong),"",OFFSET(TH!F$1,SMALL(Dong,ROWS($1:180)),))</f>
        <v/>
      </c>
      <c r="E193" s="73" t="str">
        <f ca="1">IF(ROWS($1:180)&gt;COUNT(Dong),"",IF(OFFSET(TH!N$1,SMALL(Dong,ROWS($1:180)),)="331",OFFSET(TH!O$1,SMALL(Dong,ROWS($1:180)),),OFFSET(TH!N$1,SMALL(Dong,ROWS($1:180)),)))</f>
        <v/>
      </c>
      <c r="F193" s="73"/>
      <c r="G193" s="86" t="str">
        <f ca="1">IF(ROWS($1:180)&gt;COUNT(Dong),"",IF(OFFSET(TH!N$1,SMALL(Dong,ROWS($1:180)),)="331",OFFSET(TH!M$1,SMALL(Dong,ROWS($1:180)),),0))</f>
        <v/>
      </c>
      <c r="H193" s="86" t="str">
        <f ca="1">IF(ROWS($1:180)&gt;COUNT(Dong),"",IF(OFFSET(TH!O$1,SMALL(Dong,ROWS($1:180)),)="331",OFFSET(TH!M$1,SMALL(Dong,ROWS($1:180)),),0))</f>
        <v/>
      </c>
      <c r="I193" s="25">
        <f t="shared" ca="1" si="18"/>
        <v>0</v>
      </c>
      <c r="J193" s="25">
        <f t="shared" ca="1" si="19"/>
        <v>0</v>
      </c>
    </row>
    <row r="194" spans="1:10" s="18" customFormat="1" ht="18.75" customHeight="1">
      <c r="A194" s="9" t="str">
        <f ca="1">IF(ROWS($1:181)&gt;COUNT(Dong),"",OFFSET(TH!C$1,SMALL(Dong,ROWS($1:181)),))</f>
        <v/>
      </c>
      <c r="B194" s="9" t="str">
        <f ca="1">IF(ROWS($1:181)&gt;COUNT(Dong),"",OFFSET(TH!D$1,SMALL(Dong,ROWS($1:181)),))</f>
        <v/>
      </c>
      <c r="C194" s="9" t="str">
        <f ca="1">IF(ROWS($1:181)&gt;COUNT(Dong),"",OFFSET(TH!E$1,SMALL(Dong,ROWS($1:181)),))</f>
        <v/>
      </c>
      <c r="D194" s="339" t="str">
        <f ca="1">IF(ROWS($1:181)&gt;COUNT(Dong),"",OFFSET(TH!F$1,SMALL(Dong,ROWS($1:181)),))</f>
        <v/>
      </c>
      <c r="E194" s="73" t="str">
        <f ca="1">IF(ROWS($1:181)&gt;COUNT(Dong),"",IF(OFFSET(TH!N$1,SMALL(Dong,ROWS($1:181)),)="331",OFFSET(TH!O$1,SMALL(Dong,ROWS($1:181)),),OFFSET(TH!N$1,SMALL(Dong,ROWS($1:181)),)))</f>
        <v/>
      </c>
      <c r="F194" s="73"/>
      <c r="G194" s="86" t="str">
        <f ca="1">IF(ROWS($1:181)&gt;COUNT(Dong),"",IF(OFFSET(TH!N$1,SMALL(Dong,ROWS($1:181)),)="331",OFFSET(TH!M$1,SMALL(Dong,ROWS($1:181)),),0))</f>
        <v/>
      </c>
      <c r="H194" s="86" t="str">
        <f ca="1">IF(ROWS($1:181)&gt;COUNT(Dong),"",IF(OFFSET(TH!O$1,SMALL(Dong,ROWS($1:181)),)="331",OFFSET(TH!M$1,SMALL(Dong,ROWS($1:181)),),0))</f>
        <v/>
      </c>
      <c r="I194" s="25">
        <f t="shared" ca="1" si="18"/>
        <v>0</v>
      </c>
      <c r="J194" s="25">
        <f t="shared" ca="1" si="19"/>
        <v>0</v>
      </c>
    </row>
    <row r="195" spans="1:10" s="18" customFormat="1" ht="18.75" customHeight="1">
      <c r="A195" s="9" t="str">
        <f ca="1">IF(ROWS($1:182)&gt;COUNT(Dong),"",OFFSET(TH!C$1,SMALL(Dong,ROWS($1:182)),))</f>
        <v/>
      </c>
      <c r="B195" s="9" t="str">
        <f ca="1">IF(ROWS($1:182)&gt;COUNT(Dong),"",OFFSET(TH!D$1,SMALL(Dong,ROWS($1:182)),))</f>
        <v/>
      </c>
      <c r="C195" s="9" t="str">
        <f ca="1">IF(ROWS($1:182)&gt;COUNT(Dong),"",OFFSET(TH!E$1,SMALL(Dong,ROWS($1:182)),))</f>
        <v/>
      </c>
      <c r="D195" s="339" t="str">
        <f ca="1">IF(ROWS($1:182)&gt;COUNT(Dong),"",OFFSET(TH!F$1,SMALL(Dong,ROWS($1:182)),))</f>
        <v/>
      </c>
      <c r="E195" s="73" t="str">
        <f ca="1">IF(ROWS($1:182)&gt;COUNT(Dong),"",IF(OFFSET(TH!N$1,SMALL(Dong,ROWS($1:182)),)="331",OFFSET(TH!O$1,SMALL(Dong,ROWS($1:182)),),OFFSET(TH!N$1,SMALL(Dong,ROWS($1:182)),)))</f>
        <v/>
      </c>
      <c r="F195" s="73"/>
      <c r="G195" s="86" t="str">
        <f ca="1">IF(ROWS($1:182)&gt;COUNT(Dong),"",IF(OFFSET(TH!N$1,SMALL(Dong,ROWS($1:182)),)="331",OFFSET(TH!M$1,SMALL(Dong,ROWS($1:182)),),0))</f>
        <v/>
      </c>
      <c r="H195" s="86" t="str">
        <f ca="1">IF(ROWS($1:182)&gt;COUNT(Dong),"",IF(OFFSET(TH!O$1,SMALL(Dong,ROWS($1:182)),)="331",OFFSET(TH!M$1,SMALL(Dong,ROWS($1:182)),),0))</f>
        <v/>
      </c>
      <c r="I195" s="25">
        <f t="shared" ca="1" si="18"/>
        <v>0</v>
      </c>
      <c r="J195" s="25">
        <f t="shared" ca="1" si="19"/>
        <v>0</v>
      </c>
    </row>
    <row r="196" spans="1:10" s="18" customFormat="1" ht="18.75" customHeight="1">
      <c r="A196" s="9" t="str">
        <f ca="1">IF(ROWS($1:183)&gt;COUNT(Dong),"",OFFSET(TH!C$1,SMALL(Dong,ROWS($1:183)),))</f>
        <v/>
      </c>
      <c r="B196" s="9" t="str">
        <f ca="1">IF(ROWS($1:183)&gt;COUNT(Dong),"",OFFSET(TH!D$1,SMALL(Dong,ROWS($1:183)),))</f>
        <v/>
      </c>
      <c r="C196" s="9" t="str">
        <f ca="1">IF(ROWS($1:183)&gt;COUNT(Dong),"",OFFSET(TH!E$1,SMALL(Dong,ROWS($1:183)),))</f>
        <v/>
      </c>
      <c r="D196" s="339" t="str">
        <f ca="1">IF(ROWS($1:183)&gt;COUNT(Dong),"",OFFSET(TH!F$1,SMALL(Dong,ROWS($1:183)),))</f>
        <v/>
      </c>
      <c r="E196" s="73" t="str">
        <f ca="1">IF(ROWS($1:183)&gt;COUNT(Dong),"",IF(OFFSET(TH!N$1,SMALL(Dong,ROWS($1:183)),)="331",OFFSET(TH!O$1,SMALL(Dong,ROWS($1:183)),),OFFSET(TH!N$1,SMALL(Dong,ROWS($1:183)),)))</f>
        <v/>
      </c>
      <c r="F196" s="73"/>
      <c r="G196" s="86" t="str">
        <f ca="1">IF(ROWS($1:183)&gt;COUNT(Dong),"",IF(OFFSET(TH!N$1,SMALL(Dong,ROWS($1:183)),)="331",OFFSET(TH!M$1,SMALL(Dong,ROWS($1:183)),),0))</f>
        <v/>
      </c>
      <c r="H196" s="86" t="str">
        <f ca="1">IF(ROWS($1:183)&gt;COUNT(Dong),"",IF(OFFSET(TH!O$1,SMALL(Dong,ROWS($1:183)),)="331",OFFSET(TH!M$1,SMALL(Dong,ROWS($1:183)),),0))</f>
        <v/>
      </c>
      <c r="I196" s="25">
        <f t="shared" ca="1" si="18"/>
        <v>0</v>
      </c>
      <c r="J196" s="25">
        <f t="shared" ca="1" si="19"/>
        <v>0</v>
      </c>
    </row>
    <row r="197" spans="1:10" s="18" customFormat="1" ht="18.75" customHeight="1">
      <c r="A197" s="9" t="str">
        <f ca="1">IF(ROWS($1:184)&gt;COUNT(Dong),"",OFFSET(TH!C$1,SMALL(Dong,ROWS($1:184)),))</f>
        <v/>
      </c>
      <c r="B197" s="9" t="str">
        <f ca="1">IF(ROWS($1:184)&gt;COUNT(Dong),"",OFFSET(TH!D$1,SMALL(Dong,ROWS($1:184)),))</f>
        <v/>
      </c>
      <c r="C197" s="9" t="str">
        <f ca="1">IF(ROWS($1:184)&gt;COUNT(Dong),"",OFFSET(TH!E$1,SMALL(Dong,ROWS($1:184)),))</f>
        <v/>
      </c>
      <c r="D197" s="339" t="str">
        <f ca="1">IF(ROWS($1:184)&gt;COUNT(Dong),"",OFFSET(TH!F$1,SMALL(Dong,ROWS($1:184)),))</f>
        <v/>
      </c>
      <c r="E197" s="73" t="str">
        <f ca="1">IF(ROWS($1:184)&gt;COUNT(Dong),"",IF(OFFSET(TH!N$1,SMALL(Dong,ROWS($1:184)),)="331",OFFSET(TH!O$1,SMALL(Dong,ROWS($1:184)),),OFFSET(TH!N$1,SMALL(Dong,ROWS($1:184)),)))</f>
        <v/>
      </c>
      <c r="F197" s="73"/>
      <c r="G197" s="86" t="str">
        <f ca="1">IF(ROWS($1:184)&gt;COUNT(Dong),"",IF(OFFSET(TH!N$1,SMALL(Dong,ROWS($1:184)),)="331",OFFSET(TH!M$1,SMALL(Dong,ROWS($1:184)),),0))</f>
        <v/>
      </c>
      <c r="H197" s="86" t="str">
        <f ca="1">IF(ROWS($1:184)&gt;COUNT(Dong),"",IF(OFFSET(TH!O$1,SMALL(Dong,ROWS($1:184)),)="331",OFFSET(TH!M$1,SMALL(Dong,ROWS($1:184)),),0))</f>
        <v/>
      </c>
      <c r="I197" s="25">
        <f t="shared" ca="1" si="18"/>
        <v>0</v>
      </c>
      <c r="J197" s="25">
        <f t="shared" ca="1" si="19"/>
        <v>0</v>
      </c>
    </row>
    <row r="198" spans="1:10" s="18" customFormat="1" ht="18.75" customHeight="1">
      <c r="A198" s="9" t="str">
        <f ca="1">IF(ROWS($1:185)&gt;COUNT(Dong),"",OFFSET(TH!C$1,SMALL(Dong,ROWS($1:185)),))</f>
        <v/>
      </c>
      <c r="B198" s="9" t="str">
        <f ca="1">IF(ROWS($1:185)&gt;COUNT(Dong),"",OFFSET(TH!D$1,SMALL(Dong,ROWS($1:185)),))</f>
        <v/>
      </c>
      <c r="C198" s="9" t="str">
        <f ca="1">IF(ROWS($1:185)&gt;COUNT(Dong),"",OFFSET(TH!E$1,SMALL(Dong,ROWS($1:185)),))</f>
        <v/>
      </c>
      <c r="D198" s="339" t="str">
        <f ca="1">IF(ROWS($1:185)&gt;COUNT(Dong),"",OFFSET(TH!F$1,SMALL(Dong,ROWS($1:185)),))</f>
        <v/>
      </c>
      <c r="E198" s="73" t="str">
        <f ca="1">IF(ROWS($1:185)&gt;COUNT(Dong),"",IF(OFFSET(TH!N$1,SMALL(Dong,ROWS($1:185)),)="331",OFFSET(TH!O$1,SMALL(Dong,ROWS($1:185)),),OFFSET(TH!N$1,SMALL(Dong,ROWS($1:185)),)))</f>
        <v/>
      </c>
      <c r="F198" s="73"/>
      <c r="G198" s="86" t="str">
        <f ca="1">IF(ROWS($1:185)&gt;COUNT(Dong),"",IF(OFFSET(TH!N$1,SMALL(Dong,ROWS($1:185)),)="331",OFFSET(TH!M$1,SMALL(Dong,ROWS($1:185)),),0))</f>
        <v/>
      </c>
      <c r="H198" s="86" t="str">
        <f ca="1">IF(ROWS($1:185)&gt;COUNT(Dong),"",IF(OFFSET(TH!O$1,SMALL(Dong,ROWS($1:185)),)="331",OFFSET(TH!M$1,SMALL(Dong,ROWS($1:185)),),0))</f>
        <v/>
      </c>
      <c r="I198" s="25">
        <f t="shared" ca="1" si="18"/>
        <v>0</v>
      </c>
      <c r="J198" s="25">
        <f t="shared" ca="1" si="19"/>
        <v>0</v>
      </c>
    </row>
    <row r="199" spans="1:10" s="18" customFormat="1" ht="18.75" customHeight="1">
      <c r="A199" s="9" t="str">
        <f ca="1">IF(ROWS($1:186)&gt;COUNT(Dong),"",OFFSET(TH!C$1,SMALL(Dong,ROWS($1:186)),))</f>
        <v/>
      </c>
      <c r="B199" s="9" t="str">
        <f ca="1">IF(ROWS($1:186)&gt;COUNT(Dong),"",OFFSET(TH!D$1,SMALL(Dong,ROWS($1:186)),))</f>
        <v/>
      </c>
      <c r="C199" s="9" t="str">
        <f ca="1">IF(ROWS($1:186)&gt;COUNT(Dong),"",OFFSET(TH!E$1,SMALL(Dong,ROWS($1:186)),))</f>
        <v/>
      </c>
      <c r="D199" s="339" t="str">
        <f ca="1">IF(ROWS($1:186)&gt;COUNT(Dong),"",OFFSET(TH!F$1,SMALL(Dong,ROWS($1:186)),))</f>
        <v/>
      </c>
      <c r="E199" s="73" t="str">
        <f ca="1">IF(ROWS($1:186)&gt;COUNT(Dong),"",IF(OFFSET(TH!N$1,SMALL(Dong,ROWS($1:186)),)="331",OFFSET(TH!O$1,SMALL(Dong,ROWS($1:186)),),OFFSET(TH!N$1,SMALL(Dong,ROWS($1:186)),)))</f>
        <v/>
      </c>
      <c r="F199" s="73"/>
      <c r="G199" s="86" t="str">
        <f ca="1">IF(ROWS($1:186)&gt;COUNT(Dong),"",IF(OFFSET(TH!N$1,SMALL(Dong,ROWS($1:186)),)="331",OFFSET(TH!M$1,SMALL(Dong,ROWS($1:186)),),0))</f>
        <v/>
      </c>
      <c r="H199" s="86" t="str">
        <f ca="1">IF(ROWS($1:186)&gt;COUNT(Dong),"",IF(OFFSET(TH!O$1,SMALL(Dong,ROWS($1:186)),)="331",OFFSET(TH!M$1,SMALL(Dong,ROWS($1:186)),),0))</f>
        <v/>
      </c>
      <c r="I199" s="25">
        <f t="shared" ca="1" si="18"/>
        <v>0</v>
      </c>
      <c r="J199" s="25">
        <f t="shared" ca="1" si="19"/>
        <v>0</v>
      </c>
    </row>
    <row r="200" spans="1:10" s="18" customFormat="1" ht="18.75" customHeight="1">
      <c r="A200" s="9" t="str">
        <f ca="1">IF(ROWS($1:187)&gt;COUNT(Dong),"",OFFSET(TH!C$1,SMALL(Dong,ROWS($1:187)),))</f>
        <v/>
      </c>
      <c r="B200" s="9" t="str">
        <f ca="1">IF(ROWS($1:187)&gt;COUNT(Dong),"",OFFSET(TH!D$1,SMALL(Dong,ROWS($1:187)),))</f>
        <v/>
      </c>
      <c r="C200" s="9" t="str">
        <f ca="1">IF(ROWS($1:187)&gt;COUNT(Dong),"",OFFSET(TH!E$1,SMALL(Dong,ROWS($1:187)),))</f>
        <v/>
      </c>
      <c r="D200" s="339" t="str">
        <f ca="1">IF(ROWS($1:187)&gt;COUNT(Dong),"",OFFSET(TH!F$1,SMALL(Dong,ROWS($1:187)),))</f>
        <v/>
      </c>
      <c r="E200" s="73" t="str">
        <f ca="1">IF(ROWS($1:187)&gt;COUNT(Dong),"",IF(OFFSET(TH!N$1,SMALL(Dong,ROWS($1:187)),)="331",OFFSET(TH!O$1,SMALL(Dong,ROWS($1:187)),),OFFSET(TH!N$1,SMALL(Dong,ROWS($1:187)),)))</f>
        <v/>
      </c>
      <c r="F200" s="73"/>
      <c r="G200" s="86" t="str">
        <f ca="1">IF(ROWS($1:187)&gt;COUNT(Dong),"",IF(OFFSET(TH!N$1,SMALL(Dong,ROWS($1:187)),)="331",OFFSET(TH!M$1,SMALL(Dong,ROWS($1:187)),),0))</f>
        <v/>
      </c>
      <c r="H200" s="86" t="str">
        <f ca="1">IF(ROWS($1:187)&gt;COUNT(Dong),"",IF(OFFSET(TH!O$1,SMALL(Dong,ROWS($1:187)),)="331",OFFSET(TH!M$1,SMALL(Dong,ROWS($1:187)),),0))</f>
        <v/>
      </c>
      <c r="I200" s="25">
        <f t="shared" ref="I200:I209" ca="1" si="20">IF(D200&lt;&gt;"",MAX(I199+G200-H200-J199,0),0)</f>
        <v>0</v>
      </c>
      <c r="J200" s="25">
        <f t="shared" ref="J200:J209" ca="1" si="21">IF(D200&lt;&gt;"",MAX(J199+H200-I199-G200,0),0)</f>
        <v>0</v>
      </c>
    </row>
    <row r="201" spans="1:10" s="18" customFormat="1" ht="18.75" customHeight="1">
      <c r="A201" s="9" t="str">
        <f ca="1">IF(ROWS($1:188)&gt;COUNT(Dong),"",OFFSET(TH!C$1,SMALL(Dong,ROWS($1:188)),))</f>
        <v/>
      </c>
      <c r="B201" s="9" t="str">
        <f ca="1">IF(ROWS($1:188)&gt;COUNT(Dong),"",OFFSET(TH!D$1,SMALL(Dong,ROWS($1:188)),))</f>
        <v/>
      </c>
      <c r="C201" s="9" t="str">
        <f ca="1">IF(ROWS($1:188)&gt;COUNT(Dong),"",OFFSET(TH!E$1,SMALL(Dong,ROWS($1:188)),))</f>
        <v/>
      </c>
      <c r="D201" s="339" t="str">
        <f ca="1">IF(ROWS($1:188)&gt;COUNT(Dong),"",OFFSET(TH!F$1,SMALL(Dong,ROWS($1:188)),))</f>
        <v/>
      </c>
      <c r="E201" s="73" t="str">
        <f ca="1">IF(ROWS($1:188)&gt;COUNT(Dong),"",IF(OFFSET(TH!N$1,SMALL(Dong,ROWS($1:188)),)="331",OFFSET(TH!O$1,SMALL(Dong,ROWS($1:188)),),OFFSET(TH!N$1,SMALL(Dong,ROWS($1:188)),)))</f>
        <v/>
      </c>
      <c r="F201" s="73"/>
      <c r="G201" s="86" t="str">
        <f ca="1">IF(ROWS($1:188)&gt;COUNT(Dong),"",IF(OFFSET(TH!N$1,SMALL(Dong,ROWS($1:188)),)="331",OFFSET(TH!M$1,SMALL(Dong,ROWS($1:188)),),0))</f>
        <v/>
      </c>
      <c r="H201" s="86" t="str">
        <f ca="1">IF(ROWS($1:188)&gt;COUNT(Dong),"",IF(OFFSET(TH!O$1,SMALL(Dong,ROWS($1:188)),)="331",OFFSET(TH!M$1,SMALL(Dong,ROWS($1:188)),),0))</f>
        <v/>
      </c>
      <c r="I201" s="25">
        <f t="shared" ca="1" si="20"/>
        <v>0</v>
      </c>
      <c r="J201" s="25">
        <f t="shared" ca="1" si="21"/>
        <v>0</v>
      </c>
    </row>
    <row r="202" spans="1:10" s="18" customFormat="1" ht="18.75" customHeight="1">
      <c r="A202" s="9" t="str">
        <f ca="1">IF(ROWS($1:189)&gt;COUNT(Dong),"",OFFSET(TH!C$1,SMALL(Dong,ROWS($1:189)),))</f>
        <v/>
      </c>
      <c r="B202" s="9" t="str">
        <f ca="1">IF(ROWS($1:189)&gt;COUNT(Dong),"",OFFSET(TH!D$1,SMALL(Dong,ROWS($1:189)),))</f>
        <v/>
      </c>
      <c r="C202" s="9" t="str">
        <f ca="1">IF(ROWS($1:189)&gt;COUNT(Dong),"",OFFSET(TH!E$1,SMALL(Dong,ROWS($1:189)),))</f>
        <v/>
      </c>
      <c r="D202" s="339" t="str">
        <f ca="1">IF(ROWS($1:189)&gt;COUNT(Dong),"",OFFSET(TH!F$1,SMALL(Dong,ROWS($1:189)),))</f>
        <v/>
      </c>
      <c r="E202" s="73" t="str">
        <f ca="1">IF(ROWS($1:189)&gt;COUNT(Dong),"",IF(OFFSET(TH!N$1,SMALL(Dong,ROWS($1:189)),)="331",OFFSET(TH!O$1,SMALL(Dong,ROWS($1:189)),),OFFSET(TH!N$1,SMALL(Dong,ROWS($1:189)),)))</f>
        <v/>
      </c>
      <c r="F202" s="73"/>
      <c r="G202" s="86" t="str">
        <f ca="1">IF(ROWS($1:189)&gt;COUNT(Dong),"",IF(OFFSET(TH!N$1,SMALL(Dong,ROWS($1:189)),)="331",OFFSET(TH!M$1,SMALL(Dong,ROWS($1:189)),),0))</f>
        <v/>
      </c>
      <c r="H202" s="86" t="str">
        <f ca="1">IF(ROWS($1:189)&gt;COUNT(Dong),"",IF(OFFSET(TH!O$1,SMALL(Dong,ROWS($1:189)),)="331",OFFSET(TH!M$1,SMALL(Dong,ROWS($1:189)),),0))</f>
        <v/>
      </c>
      <c r="I202" s="25">
        <f t="shared" ca="1" si="20"/>
        <v>0</v>
      </c>
      <c r="J202" s="25">
        <f t="shared" ca="1" si="21"/>
        <v>0</v>
      </c>
    </row>
    <row r="203" spans="1:10" s="18" customFormat="1" ht="18.75" customHeight="1">
      <c r="A203" s="9" t="str">
        <f ca="1">IF(ROWS($1:190)&gt;COUNT(Dong),"",OFFSET(TH!C$1,SMALL(Dong,ROWS($1:190)),))</f>
        <v/>
      </c>
      <c r="B203" s="9" t="str">
        <f ca="1">IF(ROWS($1:190)&gt;COUNT(Dong),"",OFFSET(TH!D$1,SMALL(Dong,ROWS($1:190)),))</f>
        <v/>
      </c>
      <c r="C203" s="9" t="str">
        <f ca="1">IF(ROWS($1:190)&gt;COUNT(Dong),"",OFFSET(TH!E$1,SMALL(Dong,ROWS($1:190)),))</f>
        <v/>
      </c>
      <c r="D203" s="339" t="str">
        <f ca="1">IF(ROWS($1:190)&gt;COUNT(Dong),"",OFFSET(TH!F$1,SMALL(Dong,ROWS($1:190)),))</f>
        <v/>
      </c>
      <c r="E203" s="73" t="str">
        <f ca="1">IF(ROWS($1:190)&gt;COUNT(Dong),"",IF(OFFSET(TH!N$1,SMALL(Dong,ROWS($1:190)),)="331",OFFSET(TH!O$1,SMALL(Dong,ROWS($1:190)),),OFFSET(TH!N$1,SMALL(Dong,ROWS($1:190)),)))</f>
        <v/>
      </c>
      <c r="F203" s="73"/>
      <c r="G203" s="86" t="str">
        <f ca="1">IF(ROWS($1:190)&gt;COUNT(Dong),"",IF(OFFSET(TH!N$1,SMALL(Dong,ROWS($1:190)),)="331",OFFSET(TH!M$1,SMALL(Dong,ROWS($1:190)),),0))</f>
        <v/>
      </c>
      <c r="H203" s="86" t="str">
        <f ca="1">IF(ROWS($1:190)&gt;COUNT(Dong),"",IF(OFFSET(TH!O$1,SMALL(Dong,ROWS($1:190)),)="331",OFFSET(TH!M$1,SMALL(Dong,ROWS($1:190)),),0))</f>
        <v/>
      </c>
      <c r="I203" s="25">
        <f t="shared" ca="1" si="20"/>
        <v>0</v>
      </c>
      <c r="J203" s="25">
        <f t="shared" ca="1" si="21"/>
        <v>0</v>
      </c>
    </row>
    <row r="204" spans="1:10" s="18" customFormat="1" ht="18.75" customHeight="1">
      <c r="A204" s="9" t="str">
        <f ca="1">IF(ROWS($1:191)&gt;COUNT(Dong),"",OFFSET(TH!C$1,SMALL(Dong,ROWS($1:191)),))</f>
        <v/>
      </c>
      <c r="B204" s="9" t="str">
        <f ca="1">IF(ROWS($1:191)&gt;COUNT(Dong),"",OFFSET(TH!D$1,SMALL(Dong,ROWS($1:191)),))</f>
        <v/>
      </c>
      <c r="C204" s="9" t="str">
        <f ca="1">IF(ROWS($1:191)&gt;COUNT(Dong),"",OFFSET(TH!E$1,SMALL(Dong,ROWS($1:191)),))</f>
        <v/>
      </c>
      <c r="D204" s="339" t="str">
        <f ca="1">IF(ROWS($1:191)&gt;COUNT(Dong),"",OFFSET(TH!F$1,SMALL(Dong,ROWS($1:191)),))</f>
        <v/>
      </c>
      <c r="E204" s="73" t="str">
        <f ca="1">IF(ROWS($1:191)&gt;COUNT(Dong),"",IF(OFFSET(TH!N$1,SMALL(Dong,ROWS($1:191)),)="331",OFFSET(TH!O$1,SMALL(Dong,ROWS($1:191)),),OFFSET(TH!N$1,SMALL(Dong,ROWS($1:191)),)))</f>
        <v/>
      </c>
      <c r="F204" s="73"/>
      <c r="G204" s="86" t="str">
        <f ca="1">IF(ROWS($1:191)&gt;COUNT(Dong),"",IF(OFFSET(TH!N$1,SMALL(Dong,ROWS($1:191)),)="331",OFFSET(TH!M$1,SMALL(Dong,ROWS($1:191)),),0))</f>
        <v/>
      </c>
      <c r="H204" s="86" t="str">
        <f ca="1">IF(ROWS($1:191)&gt;COUNT(Dong),"",IF(OFFSET(TH!O$1,SMALL(Dong,ROWS($1:191)),)="331",OFFSET(TH!M$1,SMALL(Dong,ROWS($1:191)),),0))</f>
        <v/>
      </c>
      <c r="I204" s="25">
        <f t="shared" ca="1" si="20"/>
        <v>0</v>
      </c>
      <c r="J204" s="25">
        <f t="shared" ca="1" si="21"/>
        <v>0</v>
      </c>
    </row>
    <row r="205" spans="1:10" s="18" customFormat="1" ht="18.75" customHeight="1">
      <c r="A205" s="9" t="str">
        <f ca="1">IF(ROWS($1:192)&gt;COUNT(Dong),"",OFFSET(TH!C$1,SMALL(Dong,ROWS($1:192)),))</f>
        <v/>
      </c>
      <c r="B205" s="9" t="str">
        <f ca="1">IF(ROWS($1:192)&gt;COUNT(Dong),"",OFFSET(TH!D$1,SMALL(Dong,ROWS($1:192)),))</f>
        <v/>
      </c>
      <c r="C205" s="9" t="str">
        <f ca="1">IF(ROWS($1:192)&gt;COUNT(Dong),"",OFFSET(TH!E$1,SMALL(Dong,ROWS($1:192)),))</f>
        <v/>
      </c>
      <c r="D205" s="339" t="str">
        <f ca="1">IF(ROWS($1:192)&gt;COUNT(Dong),"",OFFSET(TH!F$1,SMALL(Dong,ROWS($1:192)),))</f>
        <v/>
      </c>
      <c r="E205" s="73" t="str">
        <f ca="1">IF(ROWS($1:192)&gt;COUNT(Dong),"",IF(OFFSET(TH!N$1,SMALL(Dong,ROWS($1:192)),)="331",OFFSET(TH!O$1,SMALL(Dong,ROWS($1:192)),),OFFSET(TH!N$1,SMALL(Dong,ROWS($1:192)),)))</f>
        <v/>
      </c>
      <c r="F205" s="73"/>
      <c r="G205" s="86" t="str">
        <f ca="1">IF(ROWS($1:192)&gt;COUNT(Dong),"",IF(OFFSET(TH!N$1,SMALL(Dong,ROWS($1:192)),)="331",OFFSET(TH!M$1,SMALL(Dong,ROWS($1:192)),),0))</f>
        <v/>
      </c>
      <c r="H205" s="86" t="str">
        <f ca="1">IF(ROWS($1:192)&gt;COUNT(Dong),"",IF(OFFSET(TH!O$1,SMALL(Dong,ROWS($1:192)),)="331",OFFSET(TH!M$1,SMALL(Dong,ROWS($1:192)),),0))</f>
        <v/>
      </c>
      <c r="I205" s="25">
        <f t="shared" ca="1" si="20"/>
        <v>0</v>
      </c>
      <c r="J205" s="25">
        <f t="shared" ca="1" si="21"/>
        <v>0</v>
      </c>
    </row>
    <row r="206" spans="1:10" s="18" customFormat="1" ht="18.75" customHeight="1">
      <c r="A206" s="9" t="str">
        <f ca="1">IF(ROWS($1:193)&gt;COUNT(Dong),"",OFFSET(TH!C$1,SMALL(Dong,ROWS($1:193)),))</f>
        <v/>
      </c>
      <c r="B206" s="9" t="str">
        <f ca="1">IF(ROWS($1:193)&gt;COUNT(Dong),"",OFFSET(TH!D$1,SMALL(Dong,ROWS($1:193)),))</f>
        <v/>
      </c>
      <c r="C206" s="9" t="str">
        <f ca="1">IF(ROWS($1:193)&gt;COUNT(Dong),"",OFFSET(TH!E$1,SMALL(Dong,ROWS($1:193)),))</f>
        <v/>
      </c>
      <c r="D206" s="339" t="str">
        <f ca="1">IF(ROWS($1:193)&gt;COUNT(Dong),"",OFFSET(TH!F$1,SMALL(Dong,ROWS($1:193)),))</f>
        <v/>
      </c>
      <c r="E206" s="73" t="str">
        <f ca="1">IF(ROWS($1:193)&gt;COUNT(Dong),"",IF(OFFSET(TH!N$1,SMALL(Dong,ROWS($1:193)),)="331",OFFSET(TH!O$1,SMALL(Dong,ROWS($1:193)),),OFFSET(TH!N$1,SMALL(Dong,ROWS($1:193)),)))</f>
        <v/>
      </c>
      <c r="F206" s="73"/>
      <c r="G206" s="86" t="str">
        <f ca="1">IF(ROWS($1:193)&gt;COUNT(Dong),"",IF(OFFSET(TH!N$1,SMALL(Dong,ROWS($1:193)),)="331",OFFSET(TH!M$1,SMALL(Dong,ROWS($1:193)),),0))</f>
        <v/>
      </c>
      <c r="H206" s="86" t="str">
        <f ca="1">IF(ROWS($1:193)&gt;COUNT(Dong),"",IF(OFFSET(TH!O$1,SMALL(Dong,ROWS($1:193)),)="331",OFFSET(TH!M$1,SMALL(Dong,ROWS($1:193)),),0))</f>
        <v/>
      </c>
      <c r="I206" s="25">
        <f t="shared" ca="1" si="20"/>
        <v>0</v>
      </c>
      <c r="J206" s="25">
        <f t="shared" ca="1" si="21"/>
        <v>0</v>
      </c>
    </row>
    <row r="207" spans="1:10" s="18" customFormat="1" ht="18.75" customHeight="1">
      <c r="A207" s="9" t="str">
        <f ca="1">IF(ROWS($1:194)&gt;COUNT(Dong),"",OFFSET(TH!C$1,SMALL(Dong,ROWS($1:194)),))</f>
        <v/>
      </c>
      <c r="B207" s="9" t="str">
        <f ca="1">IF(ROWS($1:194)&gt;COUNT(Dong),"",OFFSET(TH!D$1,SMALL(Dong,ROWS($1:194)),))</f>
        <v/>
      </c>
      <c r="C207" s="9" t="str">
        <f ca="1">IF(ROWS($1:194)&gt;COUNT(Dong),"",OFFSET(TH!E$1,SMALL(Dong,ROWS($1:194)),))</f>
        <v/>
      </c>
      <c r="D207" s="339" t="str">
        <f ca="1">IF(ROWS($1:194)&gt;COUNT(Dong),"",OFFSET(TH!F$1,SMALL(Dong,ROWS($1:194)),))</f>
        <v/>
      </c>
      <c r="E207" s="73" t="str">
        <f ca="1">IF(ROWS($1:194)&gt;COUNT(Dong),"",IF(OFFSET(TH!N$1,SMALL(Dong,ROWS($1:194)),)="331",OFFSET(TH!O$1,SMALL(Dong,ROWS($1:194)),),OFFSET(TH!N$1,SMALL(Dong,ROWS($1:194)),)))</f>
        <v/>
      </c>
      <c r="F207" s="73"/>
      <c r="G207" s="86" t="str">
        <f ca="1">IF(ROWS($1:194)&gt;COUNT(Dong),"",IF(OFFSET(TH!N$1,SMALL(Dong,ROWS($1:194)),)="331",OFFSET(TH!M$1,SMALL(Dong,ROWS($1:194)),),0))</f>
        <v/>
      </c>
      <c r="H207" s="86" t="str">
        <f ca="1">IF(ROWS($1:194)&gt;COUNT(Dong),"",IF(OFFSET(TH!O$1,SMALL(Dong,ROWS($1:194)),)="331",OFFSET(TH!M$1,SMALL(Dong,ROWS($1:194)),),0))</f>
        <v/>
      </c>
      <c r="I207" s="25">
        <f t="shared" ca="1" si="20"/>
        <v>0</v>
      </c>
      <c r="J207" s="25">
        <f t="shared" ca="1" si="21"/>
        <v>0</v>
      </c>
    </row>
    <row r="208" spans="1:10" s="18" customFormat="1" ht="18.75" customHeight="1">
      <c r="A208" s="9" t="str">
        <f ca="1">IF(ROWS($1:195)&gt;COUNT(Dong),"",OFFSET(TH!C$1,SMALL(Dong,ROWS($1:195)),))</f>
        <v/>
      </c>
      <c r="B208" s="9" t="str">
        <f ca="1">IF(ROWS($1:195)&gt;COUNT(Dong),"",OFFSET(TH!D$1,SMALL(Dong,ROWS($1:195)),))</f>
        <v/>
      </c>
      <c r="C208" s="9" t="str">
        <f ca="1">IF(ROWS($1:195)&gt;COUNT(Dong),"",OFFSET(TH!E$1,SMALL(Dong,ROWS($1:195)),))</f>
        <v/>
      </c>
      <c r="D208" s="339" t="str">
        <f ca="1">IF(ROWS($1:195)&gt;COUNT(Dong),"",OFFSET(TH!F$1,SMALL(Dong,ROWS($1:195)),))</f>
        <v/>
      </c>
      <c r="E208" s="73" t="str">
        <f ca="1">IF(ROWS($1:195)&gt;COUNT(Dong),"",IF(OFFSET(TH!N$1,SMALL(Dong,ROWS($1:195)),)="331",OFFSET(TH!O$1,SMALL(Dong,ROWS($1:195)),),OFFSET(TH!N$1,SMALL(Dong,ROWS($1:195)),)))</f>
        <v/>
      </c>
      <c r="F208" s="73"/>
      <c r="G208" s="86" t="str">
        <f ca="1">IF(ROWS($1:195)&gt;COUNT(Dong),"",IF(OFFSET(TH!N$1,SMALL(Dong,ROWS($1:195)),)="331",OFFSET(TH!M$1,SMALL(Dong,ROWS($1:195)),),0))</f>
        <v/>
      </c>
      <c r="H208" s="86" t="str">
        <f ca="1">IF(ROWS($1:195)&gt;COUNT(Dong),"",IF(OFFSET(TH!O$1,SMALL(Dong,ROWS($1:195)),)="331",OFFSET(TH!M$1,SMALL(Dong,ROWS($1:195)),),0))</f>
        <v/>
      </c>
      <c r="I208" s="25">
        <f t="shared" ca="1" si="20"/>
        <v>0</v>
      </c>
      <c r="J208" s="25">
        <f t="shared" ca="1" si="21"/>
        <v>0</v>
      </c>
    </row>
    <row r="209" spans="1:11" s="18" customFormat="1" ht="18.75" customHeight="1">
      <c r="A209" s="9" t="str">
        <f ca="1">IF(ROWS($1:196)&gt;COUNT(Dong),"",OFFSET(TH!C$1,SMALL(Dong,ROWS($1:196)),))</f>
        <v/>
      </c>
      <c r="B209" s="9" t="str">
        <f ca="1">IF(ROWS($1:196)&gt;COUNT(Dong),"",OFFSET(TH!D$1,SMALL(Dong,ROWS($1:196)),))</f>
        <v/>
      </c>
      <c r="C209" s="9" t="str">
        <f ca="1">IF(ROWS($1:196)&gt;COUNT(Dong),"",OFFSET(TH!E$1,SMALL(Dong,ROWS($1:196)),))</f>
        <v/>
      </c>
      <c r="D209" s="339" t="str">
        <f ca="1">IF(ROWS($1:196)&gt;COUNT(Dong),"",OFFSET(TH!F$1,SMALL(Dong,ROWS($1:196)),))</f>
        <v/>
      </c>
      <c r="E209" s="73" t="str">
        <f ca="1">IF(ROWS($1:196)&gt;COUNT(Dong),"",IF(OFFSET(TH!N$1,SMALL(Dong,ROWS($1:196)),)="331",OFFSET(TH!O$1,SMALL(Dong,ROWS($1:196)),),OFFSET(TH!N$1,SMALL(Dong,ROWS($1:196)),)))</f>
        <v/>
      </c>
      <c r="F209" s="73"/>
      <c r="G209" s="86" t="str">
        <f ca="1">IF(ROWS($1:196)&gt;COUNT(Dong),"",IF(OFFSET(TH!N$1,SMALL(Dong,ROWS($1:196)),)="331",OFFSET(TH!M$1,SMALL(Dong,ROWS($1:196)),),0))</f>
        <v/>
      </c>
      <c r="H209" s="86" t="str">
        <f ca="1">IF(ROWS($1:196)&gt;COUNT(Dong),"",IF(OFFSET(TH!O$1,SMALL(Dong,ROWS($1:196)),)="331",OFFSET(TH!M$1,SMALL(Dong,ROWS($1:196)),),0))</f>
        <v/>
      </c>
      <c r="I209" s="25">
        <f t="shared" ca="1" si="20"/>
        <v>0</v>
      </c>
      <c r="J209" s="25">
        <f t="shared" ca="1" si="21"/>
        <v>0</v>
      </c>
    </row>
    <row r="210" spans="1:11" s="18" customFormat="1" ht="18.75" customHeight="1">
      <c r="A210" s="9" t="str">
        <f ca="1">IF(ROWS($1:197)&gt;COUNT(Dong),"",OFFSET(TH!C$1,SMALL(Dong,ROWS($1:197)),))</f>
        <v/>
      </c>
      <c r="B210" s="9" t="str">
        <f ca="1">IF(ROWS($1:197)&gt;COUNT(Dong),"",OFFSET(TH!D$1,SMALL(Dong,ROWS($1:197)),))</f>
        <v/>
      </c>
      <c r="C210" s="9" t="str">
        <f ca="1">IF(ROWS($1:197)&gt;COUNT(Dong),"",OFFSET(TH!E$1,SMALL(Dong,ROWS($1:197)),))</f>
        <v/>
      </c>
      <c r="D210" s="339" t="str">
        <f ca="1">IF(ROWS($1:197)&gt;COUNT(Dong),"",OFFSET(TH!F$1,SMALL(Dong,ROWS($1:197)),))</f>
        <v/>
      </c>
      <c r="E210" s="73" t="str">
        <f ca="1">IF(ROWS($1:197)&gt;COUNT(Dong),"",IF(OFFSET(TH!N$1,SMALL(Dong,ROWS($1:197)),)="331",OFFSET(TH!O$1,SMALL(Dong,ROWS($1:197)),),OFFSET(TH!N$1,SMALL(Dong,ROWS($1:197)),)))</f>
        <v/>
      </c>
      <c r="F210" s="73"/>
      <c r="G210" s="86" t="str">
        <f ca="1">IF(ROWS($1:197)&gt;COUNT(Dong),"",IF(OFFSET(TH!N$1,SMALL(Dong,ROWS($1:197)),)="331",OFFSET(TH!M$1,SMALL(Dong,ROWS($1:197)),),0))</f>
        <v/>
      </c>
      <c r="H210" s="86" t="str">
        <f ca="1">IF(ROWS($1:197)&gt;COUNT(Dong),"",IF(OFFSET(TH!O$1,SMALL(Dong,ROWS($1:197)),)="331",OFFSET(TH!M$1,SMALL(Dong,ROWS($1:197)),),0))</f>
        <v/>
      </c>
      <c r="I210" s="25">
        <f t="shared" ca="1" si="18"/>
        <v>0</v>
      </c>
      <c r="J210" s="25">
        <f t="shared" ca="1" si="19"/>
        <v>0</v>
      </c>
    </row>
    <row r="211" spans="1:11" s="18" customFormat="1" ht="18.75" customHeight="1">
      <c r="A211" s="1282"/>
      <c r="B211" s="1282"/>
      <c r="C211" s="1282"/>
      <c r="D211" s="1283"/>
      <c r="E211" s="1284"/>
      <c r="F211" s="1284"/>
      <c r="G211" s="1285"/>
      <c r="H211" s="1285"/>
      <c r="I211" s="1286"/>
      <c r="J211" s="1286"/>
    </row>
    <row r="212" spans="1:11" s="18" customFormat="1" ht="18.75" customHeight="1">
      <c r="A212" s="24"/>
      <c r="B212" s="21"/>
      <c r="C212" s="26"/>
      <c r="D212" s="23" t="s">
        <v>35</v>
      </c>
      <c r="E212" s="21" t="s">
        <v>21</v>
      </c>
      <c r="F212" s="21" t="s">
        <v>21</v>
      </c>
      <c r="G212" s="1307">
        <f ca="1">SUM(G14:G210)</f>
        <v>0</v>
      </c>
      <c r="H212" s="1281">
        <f ca="1">SUM(H14:H210)</f>
        <v>0</v>
      </c>
      <c r="I212" s="27" t="s">
        <v>21</v>
      </c>
      <c r="J212" s="27" t="s">
        <v>21</v>
      </c>
    </row>
    <row r="213" spans="1:11" s="18" customFormat="1" ht="18.75" customHeight="1">
      <c r="A213" s="24"/>
      <c r="B213" s="21"/>
      <c r="C213" s="21"/>
      <c r="D213" s="23" t="s">
        <v>10</v>
      </c>
      <c r="E213" s="21" t="s">
        <v>21</v>
      </c>
      <c r="F213" s="21" t="s">
        <v>21</v>
      </c>
      <c r="G213" s="27" t="s">
        <v>21</v>
      </c>
      <c r="H213" s="27" t="s">
        <v>21</v>
      </c>
      <c r="I213" s="27">
        <f ca="1">MAX(I13+G212-H212-J13,0)</f>
        <v>0</v>
      </c>
      <c r="J213" s="27">
        <f ca="1">MAX(J13+H212-G212-I13,0)</f>
        <v>1913620232</v>
      </c>
    </row>
    <row r="214" spans="1:11" s="18" customFormat="1" ht="6" customHeight="1">
      <c r="B214" s="19"/>
      <c r="C214" s="19"/>
      <c r="E214" s="19"/>
    </row>
    <row r="215" spans="1:11" s="18" customFormat="1" ht="14.25" customHeight="1">
      <c r="A215" s="28" t="s">
        <v>230</v>
      </c>
      <c r="B215" s="19"/>
      <c r="C215" s="19"/>
      <c r="E215" s="19"/>
      <c r="K215" s="28" t="s">
        <v>230</v>
      </c>
    </row>
    <row r="216" spans="1:11" s="18" customFormat="1" ht="14.25" customHeight="1">
      <c r="A216" s="28" t="s">
        <v>884</v>
      </c>
      <c r="B216" s="19"/>
      <c r="C216" s="19"/>
      <c r="E216" s="19"/>
      <c r="K216" s="28" t="s">
        <v>36</v>
      </c>
    </row>
    <row r="217" spans="1:11" s="18" customFormat="1" ht="14.25" customHeight="1">
      <c r="B217" s="19"/>
      <c r="C217" s="19"/>
      <c r="E217" s="1371" t="s">
        <v>883</v>
      </c>
      <c r="F217" s="1371"/>
      <c r="G217" s="1371"/>
      <c r="H217" s="1371"/>
      <c r="I217" s="1371"/>
      <c r="J217" s="1371"/>
    </row>
    <row r="218" spans="1:11" s="18" customFormat="1" ht="14.25" customHeight="1">
      <c r="C218" s="328" t="s">
        <v>11</v>
      </c>
      <c r="E218" s="1371" t="s">
        <v>12</v>
      </c>
      <c r="F218" s="1371"/>
      <c r="G218" s="1371"/>
      <c r="H218" s="1371"/>
      <c r="I218" s="1371"/>
      <c r="J218" s="1371"/>
    </row>
    <row r="219" spans="1:11" s="18" customFormat="1" ht="14.25" customHeight="1">
      <c r="C219" s="328" t="s">
        <v>13</v>
      </c>
      <c r="E219" s="1371" t="s">
        <v>13</v>
      </c>
      <c r="F219" s="1371"/>
      <c r="G219" s="1371"/>
      <c r="H219" s="1371"/>
      <c r="I219" s="1371"/>
      <c r="J219" s="1371"/>
    </row>
  </sheetData>
  <autoFilter ref="A12:L39"/>
  <sortState ref="A15:K102">
    <sortCondition ref="A15:A102"/>
  </sortState>
  <mergeCells count="15">
    <mergeCell ref="E218:J218"/>
    <mergeCell ref="E219:J219"/>
    <mergeCell ref="A10:A11"/>
    <mergeCell ref="H1:J1"/>
    <mergeCell ref="H2:J3"/>
    <mergeCell ref="E7:H7"/>
    <mergeCell ref="E217:J217"/>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7"/>
  <sheetViews>
    <sheetView topLeftCell="A5" workbookViewId="0">
      <pane xSplit="1" topLeftCell="B1" activePane="topRight" state="frozen"/>
      <selection pane="topRight" activeCell="E29" sqref="E29"/>
    </sheetView>
  </sheetViews>
  <sheetFormatPr defaultColWidth="8" defaultRowHeight="13.5"/>
  <cols>
    <col min="1" max="1" width="4.28515625" style="690" customWidth="1"/>
    <col min="2" max="2" width="36.42578125" style="690" customWidth="1"/>
    <col min="3" max="3" width="13.140625" style="218" customWidth="1"/>
    <col min="4" max="4" width="15.28515625" style="15" customWidth="1"/>
    <col min="5" max="5" width="10.85546875" style="218" customWidth="1"/>
    <col min="6" max="6" width="14" style="691" customWidth="1"/>
    <col min="7" max="7" width="12.7109375" style="218" customWidth="1"/>
    <col min="8" max="8" width="15.7109375" style="691" customWidth="1"/>
    <col min="9" max="9" width="15.5703125" style="218" customWidth="1"/>
    <col min="10" max="10" width="16.5703125" style="691" customWidth="1"/>
    <col min="11" max="11" width="11.140625" style="218" customWidth="1"/>
    <col min="12" max="12" width="17" style="691" customWidth="1"/>
    <col min="13" max="13" width="10.28515625" style="218" customWidth="1"/>
    <col min="14" max="14" width="14.85546875" style="691" customWidth="1"/>
    <col min="15" max="16384" width="8" style="690"/>
  </cols>
  <sheetData>
    <row r="1" spans="1:14" ht="21" customHeight="1">
      <c r="A1" s="1390" t="s">
        <v>839</v>
      </c>
      <c r="B1" s="1390"/>
      <c r="C1" s="1390"/>
      <c r="D1" s="1390"/>
      <c r="E1" s="1390"/>
      <c r="F1" s="1390"/>
      <c r="G1" s="1390"/>
      <c r="H1" s="1390"/>
      <c r="I1" s="1390"/>
      <c r="J1" s="1390"/>
      <c r="K1" s="1390"/>
      <c r="L1" s="1390"/>
      <c r="M1" s="1390"/>
      <c r="N1" s="1390"/>
    </row>
    <row r="2" spans="1:14" s="10" customFormat="1" ht="20.25" customHeight="1">
      <c r="A2" s="1406" t="s">
        <v>37</v>
      </c>
      <c r="B2" s="1405" t="s">
        <v>38</v>
      </c>
      <c r="C2" s="700" t="s">
        <v>39</v>
      </c>
      <c r="D2" s="1293"/>
      <c r="E2" s="700"/>
      <c r="F2" s="699"/>
      <c r="G2" s="700" t="s">
        <v>40</v>
      </c>
      <c r="H2" s="699"/>
      <c r="I2" s="700"/>
      <c r="J2" s="699"/>
      <c r="K2" s="700" t="s">
        <v>44</v>
      </c>
      <c r="L2" s="699"/>
      <c r="M2" s="700"/>
      <c r="N2" s="699"/>
    </row>
    <row r="3" spans="1:14" s="10" customFormat="1" ht="20.25" customHeight="1">
      <c r="A3" s="1406"/>
      <c r="B3" s="1405"/>
      <c r="C3" s="1405" t="s">
        <v>45</v>
      </c>
      <c r="D3" s="1405"/>
      <c r="E3" s="1405" t="s">
        <v>46</v>
      </c>
      <c r="F3" s="1405"/>
      <c r="G3" s="1405" t="s">
        <v>45</v>
      </c>
      <c r="H3" s="1405"/>
      <c r="I3" s="1405" t="s">
        <v>46</v>
      </c>
      <c r="J3" s="1405"/>
      <c r="K3" s="1405" t="s">
        <v>45</v>
      </c>
      <c r="L3" s="1405"/>
      <c r="M3" s="1405" t="s">
        <v>46</v>
      </c>
      <c r="N3" s="1405"/>
    </row>
    <row r="4" spans="1:14" s="10" customFormat="1" ht="20.25" customHeight="1">
      <c r="A4" s="1406"/>
      <c r="B4" s="1405"/>
      <c r="C4" s="774" t="s">
        <v>224</v>
      </c>
      <c r="D4" s="1294" t="s">
        <v>130</v>
      </c>
      <c r="E4" s="1258" t="s">
        <v>224</v>
      </c>
      <c r="F4" s="698" t="s">
        <v>130</v>
      </c>
      <c r="G4" s="1258" t="s">
        <v>224</v>
      </c>
      <c r="H4" s="698" t="s">
        <v>130</v>
      </c>
      <c r="I4" s="1258" t="s">
        <v>224</v>
      </c>
      <c r="J4" s="698" t="s">
        <v>130</v>
      </c>
      <c r="K4" s="1258" t="s">
        <v>224</v>
      </c>
      <c r="L4" s="698" t="s">
        <v>130</v>
      </c>
      <c r="M4" s="1258" t="s">
        <v>224</v>
      </c>
      <c r="N4" s="698" t="s">
        <v>130</v>
      </c>
    </row>
    <row r="5" spans="1:14" s="10" customFormat="1" ht="18" customHeight="1">
      <c r="A5" s="697">
        <f t="shared" ref="A5:A12" si="0">IF(B5&lt;&gt;"",ROW()-4,"")</f>
        <v>1</v>
      </c>
      <c r="B5" s="69" t="s">
        <v>750</v>
      </c>
      <c r="C5" s="695">
        <v>0</v>
      </c>
      <c r="D5" s="8">
        <v>0</v>
      </c>
      <c r="E5" s="695">
        <v>0</v>
      </c>
      <c r="F5" s="695">
        <v>0</v>
      </c>
      <c r="G5" s="695">
        <f t="array" ref="G5">SUM(IF("131"&amp;B5=KHN&amp;KH,_TH))</f>
        <v>0</v>
      </c>
      <c r="H5" s="694">
        <f t="array" ref="H5">SUM(IF("131"&amp;B5=KHN&amp;KH,TH))</f>
        <v>1332375000</v>
      </c>
      <c r="I5" s="695">
        <f t="array" ref="I5">SUM(IF("131"&amp;B5=KHC&amp;KH,_TH))</f>
        <v>0</v>
      </c>
      <c r="J5" s="694">
        <f t="array" ref="J5">SUM(IF("131"&amp;B5=KHC&amp;KH,TH))</f>
        <v>1332375000</v>
      </c>
      <c r="K5" s="693">
        <f>ROUND(MAX(C5+G5-E5-I5,0),2)</f>
        <v>0</v>
      </c>
      <c r="L5" s="374">
        <f>ROUND(MAX(D5+H5-F5-J5,0),0)</f>
        <v>0</v>
      </c>
      <c r="M5" s="693">
        <f>ROUND(MAX(E5+I5-C5-G5,0),2)</f>
        <v>0</v>
      </c>
      <c r="N5" s="374">
        <f>ROUND(MAX(F5+J5-D5-H5,0),0)</f>
        <v>0</v>
      </c>
    </row>
    <row r="6" spans="1:14" s="10" customFormat="1" ht="18" customHeight="1">
      <c r="A6" s="697">
        <f t="shared" si="0"/>
        <v>2</v>
      </c>
      <c r="B6" s="321" t="s">
        <v>786</v>
      </c>
      <c r="C6" s="695">
        <v>0</v>
      </c>
      <c r="D6" s="8">
        <v>0</v>
      </c>
      <c r="E6" s="695">
        <v>0</v>
      </c>
      <c r="F6" s="695">
        <v>0</v>
      </c>
      <c r="G6" s="695">
        <f t="array" ref="G6">SUM(IF("131"&amp;B6=KHN&amp;KH,_TH))</f>
        <v>0</v>
      </c>
      <c r="H6" s="694">
        <f t="array" ref="H6">SUM(IF("131"&amp;B6=KHN&amp;KH,TH))</f>
        <v>0</v>
      </c>
      <c r="I6" s="695">
        <f t="array" ref="I6">SUM(IF("131"&amp;B6=KHC&amp;KH,_TH))</f>
        <v>0</v>
      </c>
      <c r="J6" s="694">
        <f t="array" ref="J6">SUM(IF("131"&amp;B6=KHC&amp;KH,TH))</f>
        <v>0</v>
      </c>
      <c r="K6" s="693">
        <f>ROUND(MAX(C6+G6-E6-I6,0),2)</f>
        <v>0</v>
      </c>
      <c r="L6" s="374">
        <f>ROUND(MAX(D6+H6-F6-J6,0),0)</f>
        <v>0</v>
      </c>
      <c r="M6" s="693">
        <f>ROUND(MAX(E6+I6-C6-G6,0),2)</f>
        <v>0</v>
      </c>
      <c r="N6" s="374">
        <f>ROUND(MAX(F6+J6-D6-H6,0),0)</f>
        <v>0</v>
      </c>
    </row>
    <row r="7" spans="1:14" s="10" customFormat="1" ht="18" customHeight="1">
      <c r="A7" s="697">
        <f t="shared" si="0"/>
        <v>3</v>
      </c>
      <c r="B7" s="321" t="s">
        <v>799</v>
      </c>
      <c r="C7" s="695">
        <v>0</v>
      </c>
      <c r="D7" s="8">
        <v>0</v>
      </c>
      <c r="E7" s="695">
        <v>0</v>
      </c>
      <c r="F7" s="695">
        <v>0</v>
      </c>
      <c r="G7" s="695">
        <f t="array" ref="G7">SUM(IF("131"&amp;B7=KHN&amp;KH,_TH))</f>
        <v>0</v>
      </c>
      <c r="H7" s="694">
        <f t="array" ref="H7">SUM(IF("131"&amp;B7=KHN&amp;KH,TH))</f>
        <v>0</v>
      </c>
      <c r="I7" s="695">
        <f t="array" ref="I7">SUM(IF("131"&amp;B7=KHC&amp;KH,_TH))</f>
        <v>0</v>
      </c>
      <c r="J7" s="694">
        <f t="array" ref="J7">SUM(IF("131"&amp;B7=KHC&amp;KH,TH))</f>
        <v>0</v>
      </c>
      <c r="K7" s="693">
        <f t="shared" ref="K7" si="1">ROUND(MAX(C7+G7-E7-I7,0),2)</f>
        <v>0</v>
      </c>
      <c r="L7" s="374">
        <f t="shared" ref="L7" si="2">ROUND(MAX(D7+H7-F7-J7,0),0)</f>
        <v>0</v>
      </c>
      <c r="M7" s="693">
        <f t="shared" ref="M7" si="3">ROUND(MAX(E7+I7-C7-G7,0),2)</f>
        <v>0</v>
      </c>
      <c r="N7" s="374">
        <f t="shared" ref="N7" si="4">ROUND(MAX(F7+J7-D7-H7,0),0)</f>
        <v>0</v>
      </c>
    </row>
    <row r="8" spans="1:14" s="10" customFormat="1" ht="18" customHeight="1">
      <c r="A8" s="697">
        <f t="shared" si="0"/>
        <v>4</v>
      </c>
      <c r="B8" s="321" t="s">
        <v>796</v>
      </c>
      <c r="C8" s="695">
        <v>0</v>
      </c>
      <c r="D8" s="8">
        <v>0</v>
      </c>
      <c r="E8" s="695">
        <v>0</v>
      </c>
      <c r="F8" s="695">
        <v>0</v>
      </c>
      <c r="G8" s="695">
        <f t="array" ref="G8">SUM(IF("131"&amp;B8=KHN&amp;KH,_TH))</f>
        <v>0</v>
      </c>
      <c r="H8" s="694">
        <f t="array" ref="H8">SUM(IF("131"&amp;B8=KHN&amp;KH,TH))</f>
        <v>0</v>
      </c>
      <c r="I8" s="695">
        <f t="array" ref="I8">SUM(IF("131"&amp;B8=KHC&amp;KH,_TH))</f>
        <v>0</v>
      </c>
      <c r="J8" s="694">
        <f t="array" ref="J8">SUM(IF("131"&amp;B8=KHC&amp;KH,TH))</f>
        <v>0</v>
      </c>
      <c r="K8" s="693">
        <f t="shared" ref="K8" si="5">ROUND(MAX(C8+G8-E8-I8,0),2)</f>
        <v>0</v>
      </c>
      <c r="L8" s="374">
        <f t="shared" ref="L8" si="6">ROUND(MAX(D8+H8-F8-J8,0),0)</f>
        <v>0</v>
      </c>
      <c r="M8" s="693">
        <f t="shared" ref="M8" si="7">ROUND(MAX(E8+I8-C8-G8,0),2)</f>
        <v>0</v>
      </c>
      <c r="N8" s="374">
        <f t="shared" ref="N8" si="8">ROUND(MAX(F8+J8-D8-H8,0),0)</f>
        <v>0</v>
      </c>
    </row>
    <row r="9" spans="1:14" s="10" customFormat="1" ht="18" customHeight="1">
      <c r="A9" s="697">
        <f t="shared" si="0"/>
        <v>5</v>
      </c>
      <c r="B9" s="321" t="s">
        <v>815</v>
      </c>
      <c r="C9" s="695">
        <v>0</v>
      </c>
      <c r="D9" s="8">
        <v>0</v>
      </c>
      <c r="E9" s="695">
        <v>0</v>
      </c>
      <c r="F9" s="695">
        <v>0</v>
      </c>
      <c r="G9" s="695">
        <f t="array" ref="G9">SUM(IF("131"&amp;B9=KHN&amp;KH,_TH))</f>
        <v>0</v>
      </c>
      <c r="H9" s="694">
        <f t="array" ref="H9">SUM(IF("131"&amp;B9=KHN&amp;KH,TH))</f>
        <v>0</v>
      </c>
      <c r="I9" s="695">
        <f t="array" ref="I9">SUM(IF("131"&amp;B9=KHC&amp;KH,_TH))</f>
        <v>0</v>
      </c>
      <c r="J9" s="694">
        <f t="array" ref="J9">SUM(IF("131"&amp;B9=KHC&amp;KH,TH))</f>
        <v>0</v>
      </c>
      <c r="K9" s="693">
        <f t="shared" ref="K9" si="9">ROUND(MAX(C9+G9-E9-I9,0),2)</f>
        <v>0</v>
      </c>
      <c r="L9" s="374">
        <f t="shared" ref="L9" si="10">ROUND(MAX(D9+H9-F9-J9,0),0)</f>
        <v>0</v>
      </c>
      <c r="M9" s="693">
        <f t="shared" ref="M9" si="11">ROUND(MAX(E9+I9-C9-G9,0),2)</f>
        <v>0</v>
      </c>
      <c r="N9" s="374">
        <f t="shared" ref="N9" si="12">ROUND(MAX(F9+J9-D9-H9,0),0)</f>
        <v>0</v>
      </c>
    </row>
    <row r="10" spans="1:14" s="10" customFormat="1" ht="18" customHeight="1">
      <c r="A10" s="697">
        <f t="shared" si="0"/>
        <v>6</v>
      </c>
      <c r="B10" s="7" t="s">
        <v>548</v>
      </c>
      <c r="C10" s="695">
        <v>39069.42</v>
      </c>
      <c r="D10" s="8">
        <v>874963231</v>
      </c>
      <c r="E10" s="695">
        <v>0</v>
      </c>
      <c r="F10" s="695">
        <v>0</v>
      </c>
      <c r="G10" s="695">
        <f t="array" ref="G10">SUM(IF("131"&amp;B10=KHN&amp;KH,_TH))</f>
        <v>0</v>
      </c>
      <c r="H10" s="694">
        <f t="array" ref="H10">SUM(IF("131"&amp;B10=KHN&amp;KH,TH))</f>
        <v>0</v>
      </c>
      <c r="I10" s="695">
        <f t="array" ref="I10">SUM(IF("131"&amp;B10=KHC&amp;KH,_TH))</f>
        <v>0</v>
      </c>
      <c r="J10" s="694">
        <f t="array" ref="J10">SUM(IF("131"&amp;B10=KHC&amp;KH,TH))</f>
        <v>0</v>
      </c>
      <c r="K10" s="693">
        <f t="shared" ref="K10" si="13">ROUND(MAX(C10+G10-E10-I10,0),2)</f>
        <v>39069.42</v>
      </c>
      <c r="L10" s="374">
        <f t="shared" ref="L10" si="14">ROUND(MAX(D10+H10-F10-J10,0),0)</f>
        <v>874963231</v>
      </c>
      <c r="M10" s="693">
        <f t="shared" ref="M10" si="15">ROUND(MAX(E10+I10-C10-G10,0),2)</f>
        <v>0</v>
      </c>
      <c r="N10" s="374">
        <f t="shared" ref="N10" si="16">ROUND(MAX(F10+J10-D10-H10,0),0)</f>
        <v>0</v>
      </c>
    </row>
    <row r="11" spans="1:14" s="10" customFormat="1" ht="18" customHeight="1">
      <c r="A11" s="697">
        <f t="shared" si="0"/>
        <v>7</v>
      </c>
      <c r="B11" s="7" t="s">
        <v>546</v>
      </c>
      <c r="C11" s="695">
        <v>62878.26</v>
      </c>
      <c r="D11" s="8">
        <v>1310785042</v>
      </c>
      <c r="E11" s="695">
        <v>0</v>
      </c>
      <c r="F11" s="695">
        <v>0</v>
      </c>
      <c r="G11" s="695">
        <f t="array" ref="G11">SUM(IF("131"&amp;B11=KHN&amp;KH,_TH))</f>
        <v>0</v>
      </c>
      <c r="H11" s="694">
        <f t="array" ref="H11">SUM(IF("131"&amp;B11=KHN&amp;KH,TH))</f>
        <v>0</v>
      </c>
      <c r="I11" s="695">
        <f t="array" ref="I11">SUM(IF("131"&amp;B11=KHC&amp;KH,_TH))</f>
        <v>0</v>
      </c>
      <c r="J11" s="694">
        <f t="array" ref="J11">SUM(IF("131"&amp;B11=KHC&amp;KH,TH))</f>
        <v>0</v>
      </c>
      <c r="K11" s="693">
        <f>ROUND(MAX(C11+G11-E11-I11,0),2)</f>
        <v>62878.26</v>
      </c>
      <c r="L11" s="374">
        <f>ROUND(MAX(D11+H11-F11-J11,0),0)</f>
        <v>1310785042</v>
      </c>
      <c r="M11" s="693">
        <f>ROUND(MAX(E11+I11-C11-G11,0),2)</f>
        <v>0</v>
      </c>
      <c r="N11" s="374">
        <f>ROUND(MAX(F11+J11-D11-H11,0),0)</f>
        <v>0</v>
      </c>
    </row>
    <row r="12" spans="1:14" s="10" customFormat="1" ht="18" customHeight="1">
      <c r="A12" s="697">
        <f t="shared" si="0"/>
        <v>8</v>
      </c>
      <c r="B12" s="7" t="s">
        <v>547</v>
      </c>
      <c r="C12" s="695">
        <v>26208</v>
      </c>
      <c r="D12" s="8">
        <v>594397440</v>
      </c>
      <c r="E12" s="695">
        <v>0</v>
      </c>
      <c r="F12" s="695">
        <v>0</v>
      </c>
      <c r="G12" s="695">
        <f t="array" ref="G12">SUM(IF("131"&amp;B12=KHN&amp;KH,_TH))</f>
        <v>58968</v>
      </c>
      <c r="H12" s="694">
        <f t="array" ref="H12">SUM(IF("131"&amp;B12=KHN&amp;KH,TH))</f>
        <v>1337597352</v>
      </c>
      <c r="I12" s="695">
        <f t="array" ref="I12">SUM(IF("131"&amp;B12=KHC&amp;KH,_TH))</f>
        <v>26208</v>
      </c>
      <c r="J12" s="694">
        <f t="array" ref="J12">SUM(IF("131"&amp;B12=KHC&amp;KH,TH))</f>
        <v>594895392</v>
      </c>
      <c r="K12" s="693">
        <f>ROUND(MAX(C12+G12-E12-I12,0),2)</f>
        <v>58968</v>
      </c>
      <c r="L12" s="374">
        <f>ROUND(MAX(D12+H12-F12-J12,0),0)</f>
        <v>1337099400</v>
      </c>
      <c r="M12" s="693">
        <f>ROUND(MAX(E12+I12-C12-G12,0),2)</f>
        <v>0</v>
      </c>
      <c r="N12" s="374">
        <f>ROUND(MAX(F12+J12-D12-H12,0),0)</f>
        <v>0</v>
      </c>
    </row>
    <row r="13" spans="1:14" s="10" customFormat="1" ht="18" customHeight="1">
      <c r="A13" s="697">
        <f t="shared" ref="A13:A22" si="17">IF(B13&lt;&gt;"",ROW()-4,"")</f>
        <v>9</v>
      </c>
      <c r="B13" s="696" t="s">
        <v>545</v>
      </c>
      <c r="C13" s="695">
        <v>0</v>
      </c>
      <c r="D13" s="8">
        <v>0</v>
      </c>
      <c r="E13" s="695">
        <v>0</v>
      </c>
      <c r="F13" s="695">
        <v>0</v>
      </c>
      <c r="G13" s="695">
        <f t="array" ref="G13">SUM(IF("131"&amp;B13=KHN&amp;KH,_TH))</f>
        <v>0</v>
      </c>
      <c r="H13" s="694">
        <f t="array" ref="H13">SUM(IF("131"&amp;B13=KHN&amp;KH,TH))</f>
        <v>0</v>
      </c>
      <c r="I13" s="695">
        <f t="array" ref="I13">SUM(IF("131"&amp;B13=KHC&amp;KH,_TH))</f>
        <v>0</v>
      </c>
      <c r="J13" s="694">
        <f t="array" ref="J13">SUM(IF("131"&amp;B13=KHC&amp;KH,TH))</f>
        <v>0</v>
      </c>
      <c r="K13" s="693">
        <f t="shared" ref="K13" si="18">ROUND(MAX(C13+G13-E13-I13,0),2)</f>
        <v>0</v>
      </c>
      <c r="L13" s="374">
        <f t="shared" ref="L13" si="19">ROUND(MAX(D13+H13-F13-J13,0),0)</f>
        <v>0</v>
      </c>
      <c r="M13" s="693">
        <f t="shared" ref="M13" si="20">ROUND(MAX(E13+I13-C13-G13,0),2)</f>
        <v>0</v>
      </c>
      <c r="N13" s="374">
        <f t="shared" ref="N13" si="21">ROUND(MAX(F13+J13-D13-H13,0),0)</f>
        <v>0</v>
      </c>
    </row>
    <row r="14" spans="1:14" s="10" customFormat="1" ht="18" customHeight="1">
      <c r="A14" s="697">
        <f t="shared" si="17"/>
        <v>10</v>
      </c>
      <c r="B14" s="696" t="s">
        <v>738</v>
      </c>
      <c r="C14" s="695">
        <v>0</v>
      </c>
      <c r="D14" s="8">
        <v>0</v>
      </c>
      <c r="E14" s="695">
        <v>0</v>
      </c>
      <c r="F14" s="695">
        <v>0</v>
      </c>
      <c r="G14" s="695">
        <f t="array" ref="G14">SUM(IF("131"&amp;B14=KHN&amp;KH,_TH))</f>
        <v>0</v>
      </c>
      <c r="H14" s="694">
        <f t="array" ref="H14">SUM(IF("131"&amp;B14=KHN&amp;KH,TH))</f>
        <v>0</v>
      </c>
      <c r="I14" s="695">
        <f t="array" ref="I14">SUM(IF("131"&amp;B14=KHC&amp;KH,_TH))</f>
        <v>0</v>
      </c>
      <c r="J14" s="694">
        <f t="array" ref="J14">SUM(IF("131"&amp;B14=KHC&amp;KH,TH))</f>
        <v>0</v>
      </c>
      <c r="K14" s="693">
        <f t="shared" ref="K14:K16" si="22">ROUND(MAX(C14+G14-E14-I14,0),2)</f>
        <v>0</v>
      </c>
      <c r="L14" s="374">
        <f t="shared" ref="L14:L16" si="23">ROUND(MAX(D14+H14-F14-J14,0),0)</f>
        <v>0</v>
      </c>
      <c r="M14" s="693">
        <f t="shared" ref="M14:M16" si="24">ROUND(MAX(E14+I14-C14-G14,0),2)</f>
        <v>0</v>
      </c>
      <c r="N14" s="374">
        <f t="shared" ref="N14:N16" si="25">ROUND(MAX(F14+J14-D14-H14,0),0)</f>
        <v>0</v>
      </c>
    </row>
    <row r="15" spans="1:14" s="10" customFormat="1" ht="18" customHeight="1">
      <c r="A15" s="697">
        <f t="shared" si="17"/>
        <v>11</v>
      </c>
      <c r="B15" s="69" t="s">
        <v>745</v>
      </c>
      <c r="C15" s="695">
        <v>0</v>
      </c>
      <c r="D15" s="8">
        <v>0</v>
      </c>
      <c r="E15" s="695">
        <v>0</v>
      </c>
      <c r="F15" s="695">
        <v>0</v>
      </c>
      <c r="G15" s="695">
        <f t="array" ref="G15">SUM(IF("131"&amp;B15=KHN&amp;KH,_TH))</f>
        <v>0</v>
      </c>
      <c r="H15" s="694">
        <f t="array" ref="H15">SUM(IF("131"&amp;B15=KHN&amp;KH,TH))</f>
        <v>0</v>
      </c>
      <c r="I15" s="695">
        <f t="array" ref="I15">SUM(IF("131"&amp;B15=KHC&amp;KH,_TH))</f>
        <v>0</v>
      </c>
      <c r="J15" s="694">
        <f t="array" ref="J15">SUM(IF("131"&amp;B15=KHC&amp;KH,TH))</f>
        <v>0</v>
      </c>
      <c r="K15" s="693">
        <f t="shared" si="22"/>
        <v>0</v>
      </c>
      <c r="L15" s="374">
        <f t="shared" si="23"/>
        <v>0</v>
      </c>
      <c r="M15" s="693">
        <f t="shared" si="24"/>
        <v>0</v>
      </c>
      <c r="N15" s="374">
        <f t="shared" si="25"/>
        <v>0</v>
      </c>
    </row>
    <row r="16" spans="1:14" s="10" customFormat="1" ht="18" customHeight="1">
      <c r="A16" s="697">
        <f t="shared" si="17"/>
        <v>12</v>
      </c>
      <c r="B16" s="69" t="s">
        <v>754</v>
      </c>
      <c r="C16" s="695">
        <v>0</v>
      </c>
      <c r="D16" s="8">
        <v>0</v>
      </c>
      <c r="E16" s="695">
        <v>0</v>
      </c>
      <c r="F16" s="695">
        <v>0</v>
      </c>
      <c r="G16" s="695">
        <f t="array" ref="G16">SUM(IF("131"&amp;B16=KHN&amp;KH,_TH))</f>
        <v>0</v>
      </c>
      <c r="H16" s="694">
        <f t="array" ref="H16">SUM(IF("131"&amp;B16=KHN&amp;KH,TH))</f>
        <v>0</v>
      </c>
      <c r="I16" s="695">
        <f t="array" ref="I16">SUM(IF("131"&amp;B16=KHC&amp;KH,_TH))</f>
        <v>0</v>
      </c>
      <c r="J16" s="694">
        <f t="array" ref="J16">SUM(IF("131"&amp;B16=KHC&amp;KH,TH))</f>
        <v>0</v>
      </c>
      <c r="K16" s="693">
        <f t="shared" si="22"/>
        <v>0</v>
      </c>
      <c r="L16" s="374">
        <f t="shared" si="23"/>
        <v>0</v>
      </c>
      <c r="M16" s="693">
        <f t="shared" si="24"/>
        <v>0</v>
      </c>
      <c r="N16" s="374">
        <f t="shared" si="25"/>
        <v>0</v>
      </c>
    </row>
    <row r="17" spans="1:14" s="10" customFormat="1" ht="18" customHeight="1">
      <c r="A17" s="697">
        <f t="shared" si="17"/>
        <v>13</v>
      </c>
      <c r="B17" s="69" t="s">
        <v>779</v>
      </c>
      <c r="C17" s="695">
        <v>98400</v>
      </c>
      <c r="D17" s="8">
        <v>2231712000</v>
      </c>
      <c r="E17" s="695">
        <v>0</v>
      </c>
      <c r="F17" s="695">
        <v>0</v>
      </c>
      <c r="G17" s="695">
        <f t="array" ref="G17">SUM(IF("131"&amp;B17=KHN&amp;KH,_TH))</f>
        <v>0</v>
      </c>
      <c r="H17" s="694">
        <f t="array" ref="H17">SUM(IF("131"&amp;B17=KHN&amp;KH,TH))</f>
        <v>1968000</v>
      </c>
      <c r="I17" s="695">
        <f t="array" ref="I17">SUM(IF("131"&amp;B17=KHC&amp;KH,_TH))</f>
        <v>98400</v>
      </c>
      <c r="J17" s="694">
        <f t="array" ref="J17">SUM(IF("131"&amp;B17=KHC&amp;KH,TH))</f>
        <v>2233680000</v>
      </c>
      <c r="K17" s="693">
        <f t="shared" ref="K17" si="26">ROUND(MAX(C17+G17-E17-I17,0),2)</f>
        <v>0</v>
      </c>
      <c r="L17" s="374">
        <f t="shared" ref="L17" si="27">ROUND(MAX(D17+H17-F17-J17,0),0)</f>
        <v>0</v>
      </c>
      <c r="M17" s="693">
        <f t="shared" ref="M17" si="28">ROUND(MAX(E17+I17-C17-G17,0),2)</f>
        <v>0</v>
      </c>
      <c r="N17" s="374">
        <f t="shared" ref="N17" si="29">ROUND(MAX(F17+J17-D17-H17,0),0)</f>
        <v>0</v>
      </c>
    </row>
    <row r="18" spans="1:14" s="10" customFormat="1" ht="18" customHeight="1">
      <c r="A18" s="697">
        <f t="shared" si="17"/>
        <v>14</v>
      </c>
      <c r="B18" s="321" t="s">
        <v>1030</v>
      </c>
      <c r="C18" s="695">
        <v>0</v>
      </c>
      <c r="D18" s="8">
        <v>0</v>
      </c>
      <c r="E18" s="695">
        <v>0</v>
      </c>
      <c r="F18" s="695">
        <v>0</v>
      </c>
      <c r="G18" s="695">
        <f t="array" ref="G18">SUM(IF("131"&amp;B18=KHN&amp;KH,_TH))</f>
        <v>117600.00000000001</v>
      </c>
      <c r="H18" s="694">
        <f t="array" ref="H18">SUM(IF("131"&amp;B18=KHN&amp;KH,TH))</f>
        <v>2669520000</v>
      </c>
      <c r="I18" s="695">
        <f t="array" ref="I18">SUM(IF("131"&amp;B18=KHC&amp;KH,_TH))</f>
        <v>117600</v>
      </c>
      <c r="J18" s="694">
        <f t="array" ref="J18">SUM(IF("131"&amp;B18=KHC&amp;KH,TH))</f>
        <v>2669520000</v>
      </c>
      <c r="K18" s="693">
        <f t="shared" ref="K18" si="30">ROUND(MAX(C18+G18-E18-I18,0),2)</f>
        <v>0</v>
      </c>
      <c r="L18" s="374">
        <f t="shared" ref="L18" si="31">ROUND(MAX(D18+H18-F18-J18,0),0)</f>
        <v>0</v>
      </c>
      <c r="M18" s="693">
        <f t="shared" ref="M18" si="32">ROUND(MAX(E18+I18-C18-G18,0),2)</f>
        <v>0</v>
      </c>
      <c r="N18" s="374">
        <f t="shared" ref="N18" si="33">ROUND(MAX(F18+J18-D18-H18,0),0)</f>
        <v>0</v>
      </c>
    </row>
    <row r="19" spans="1:14" s="10" customFormat="1" ht="18" customHeight="1">
      <c r="A19" s="697">
        <f t="shared" si="17"/>
        <v>15</v>
      </c>
      <c r="B19" s="321" t="s">
        <v>820</v>
      </c>
      <c r="C19" s="695">
        <v>12736</v>
      </c>
      <c r="D19" s="8">
        <v>289011480</v>
      </c>
      <c r="E19" s="695">
        <v>0</v>
      </c>
      <c r="F19" s="695">
        <v>0</v>
      </c>
      <c r="G19" s="695">
        <f t="array" ref="G19">SUM(IF("131"&amp;B19=KHN&amp;KH,_TH))</f>
        <v>0</v>
      </c>
      <c r="H19" s="694">
        <f t="array" ref="H19">SUM(IF("131"&amp;B19=KHN&amp;KH,TH))</f>
        <v>0</v>
      </c>
      <c r="I19" s="695">
        <f t="array" ref="I19">SUM(IF("131"&amp;B19=KHC&amp;KH,_TH))</f>
        <v>0</v>
      </c>
      <c r="J19" s="694">
        <f t="array" ref="J19">SUM(IF("131"&amp;B19=KHC&amp;KH,TH))</f>
        <v>0</v>
      </c>
      <c r="K19" s="693">
        <f t="shared" ref="K19" si="34">ROUND(MAX(C19+G19-E19-I19,0),2)</f>
        <v>12736</v>
      </c>
      <c r="L19" s="374">
        <f t="shared" ref="L19" si="35">ROUND(MAX(D19+H19-F19-J19,0),0)</f>
        <v>289011480</v>
      </c>
      <c r="M19" s="693">
        <f t="shared" ref="M19" si="36">ROUND(MAX(E19+I19-C19-G19,0),2)</f>
        <v>0</v>
      </c>
      <c r="N19" s="374">
        <f t="shared" ref="N19" si="37">ROUND(MAX(F19+J19-D19-H19,0),0)</f>
        <v>0</v>
      </c>
    </row>
    <row r="20" spans="1:14" s="10" customFormat="1" ht="18" customHeight="1">
      <c r="A20" s="697">
        <f t="shared" si="17"/>
        <v>16</v>
      </c>
      <c r="B20" s="321" t="s">
        <v>828</v>
      </c>
      <c r="C20" s="695">
        <v>0</v>
      </c>
      <c r="D20" s="8">
        <v>0</v>
      </c>
      <c r="E20" s="695">
        <v>0</v>
      </c>
      <c r="F20" s="695">
        <v>0</v>
      </c>
      <c r="G20" s="695">
        <f t="array" ref="G20">SUM(IF("131"&amp;B20=KHN&amp;KH,_TH))</f>
        <v>0</v>
      </c>
      <c r="H20" s="694">
        <f t="array" ref="H20">SUM(IF("131"&amp;B20=KHN&amp;KH,TH))</f>
        <v>0</v>
      </c>
      <c r="I20" s="695">
        <f t="array" ref="I20">SUM(IF("131"&amp;B20=KHC&amp;KH,_TH))</f>
        <v>0</v>
      </c>
      <c r="J20" s="694">
        <f t="array" ref="J20">SUM(IF("131"&amp;B20=KHC&amp;KH,TH))</f>
        <v>0</v>
      </c>
      <c r="K20" s="693">
        <f t="shared" ref="K20" si="38">ROUND(MAX(C20+G20-E20-I20,0),2)</f>
        <v>0</v>
      </c>
      <c r="L20" s="374">
        <f t="shared" ref="L20" si="39">ROUND(MAX(D20+H20-F20-J20,0),0)</f>
        <v>0</v>
      </c>
      <c r="M20" s="693">
        <f t="shared" ref="M20" si="40">ROUND(MAX(E20+I20-C20-G20,0),2)</f>
        <v>0</v>
      </c>
      <c r="N20" s="374">
        <f t="shared" ref="N20" si="41">ROUND(MAX(F20+J20-D20-H20,0),0)</f>
        <v>0</v>
      </c>
    </row>
    <row r="21" spans="1:14" s="10" customFormat="1" ht="18" customHeight="1">
      <c r="A21" s="697">
        <f t="shared" si="17"/>
        <v>17</v>
      </c>
      <c r="B21" s="321" t="s">
        <v>831</v>
      </c>
      <c r="C21" s="695">
        <v>0</v>
      </c>
      <c r="D21" s="8">
        <v>0</v>
      </c>
      <c r="E21" s="695">
        <v>0</v>
      </c>
      <c r="F21" s="695">
        <v>0</v>
      </c>
      <c r="G21" s="695">
        <f t="array" ref="G21">SUM(IF("131"&amp;B21=KHN&amp;KH,_TH))</f>
        <v>0</v>
      </c>
      <c r="H21" s="694">
        <f t="array" ref="H21">SUM(IF("131"&amp;B21=KHN&amp;KH,TH))</f>
        <v>0</v>
      </c>
      <c r="I21" s="695">
        <f t="array" ref="I21">SUM(IF("131"&amp;B21=KHC&amp;KH,_TH))</f>
        <v>0</v>
      </c>
      <c r="J21" s="694">
        <f t="array" ref="J21">SUM(IF("131"&amp;B21=KHC&amp;KH,TH))</f>
        <v>0</v>
      </c>
      <c r="K21" s="693">
        <f t="shared" ref="K21" si="42">ROUND(MAX(C21+G21-E21-I21,0),2)</f>
        <v>0</v>
      </c>
      <c r="L21" s="374">
        <f t="shared" ref="L21" si="43">ROUND(MAX(D21+H21-F21-J21,0),0)</f>
        <v>0</v>
      </c>
      <c r="M21" s="693">
        <f t="shared" ref="M21" si="44">ROUND(MAX(E21+I21-C21-G21,0),2)</f>
        <v>0</v>
      </c>
      <c r="N21" s="374">
        <f t="shared" ref="N21" si="45">ROUND(MAX(F21+J21-D21-H21,0),0)</f>
        <v>0</v>
      </c>
    </row>
    <row r="22" spans="1:14" s="10" customFormat="1" ht="18" customHeight="1">
      <c r="A22" s="697">
        <f t="shared" si="17"/>
        <v>18</v>
      </c>
      <c r="B22" s="321" t="s">
        <v>838</v>
      </c>
      <c r="C22" s="695">
        <v>0</v>
      </c>
      <c r="D22" s="8">
        <v>0</v>
      </c>
      <c r="E22" s="695">
        <v>0</v>
      </c>
      <c r="F22" s="695">
        <v>0</v>
      </c>
      <c r="G22" s="695">
        <f t="array" ref="G22">SUM(IF("131"&amp;B22=KHN&amp;KH,_TH))</f>
        <v>0</v>
      </c>
      <c r="H22" s="694">
        <f t="array" ref="H22">SUM(IF("131"&amp;B22=KHN&amp;KH,TH))</f>
        <v>0</v>
      </c>
      <c r="I22" s="695">
        <f t="array" ref="I22">SUM(IF("131"&amp;B22=KHC&amp;KH,_TH))</f>
        <v>0</v>
      </c>
      <c r="J22" s="694">
        <f t="array" ref="J22">SUM(IF("131"&amp;B22=KHC&amp;KH,TH))</f>
        <v>0</v>
      </c>
      <c r="K22" s="693">
        <f t="shared" ref="K22" si="46">ROUND(MAX(C22+G22-E22-I22,0),2)</f>
        <v>0</v>
      </c>
      <c r="L22" s="374">
        <f t="shared" ref="L22" si="47">ROUND(MAX(D22+H22-F22-J22,0),0)</f>
        <v>0</v>
      </c>
      <c r="M22" s="693">
        <f t="shared" ref="M22" si="48">ROUND(MAX(E22+I22-C22-G22,0),2)</f>
        <v>0</v>
      </c>
      <c r="N22" s="374">
        <f t="shared" ref="N22" si="49">ROUND(MAX(F22+J22-D22-H22,0),0)</f>
        <v>0</v>
      </c>
    </row>
    <row r="23" spans="1:14" s="10" customFormat="1" ht="18" customHeight="1">
      <c r="A23" s="697">
        <f t="shared" ref="A23" si="50">IF(B23&lt;&gt;"",ROW()-4,"")</f>
        <v>19</v>
      </c>
      <c r="B23" s="321" t="s">
        <v>844</v>
      </c>
      <c r="C23" s="695">
        <v>0</v>
      </c>
      <c r="D23" s="8">
        <v>0</v>
      </c>
      <c r="E23" s="695">
        <v>0</v>
      </c>
      <c r="F23" s="695">
        <v>0</v>
      </c>
      <c r="G23" s="695">
        <f t="array" ref="G23">SUM(IF("131"&amp;B23=KHN&amp;KH,_TH))</f>
        <v>0</v>
      </c>
      <c r="H23" s="694">
        <f t="array" ref="H23">SUM(IF("131"&amp;B23=KHN&amp;KH,TH))</f>
        <v>0</v>
      </c>
      <c r="I23" s="695">
        <f t="array" ref="I23">SUM(IF("131"&amp;B23=KHC&amp;KH,_TH))</f>
        <v>0</v>
      </c>
      <c r="J23" s="694">
        <f t="array" ref="J23">SUM(IF("131"&amp;B23=KHC&amp;KH,TH))</f>
        <v>0</v>
      </c>
      <c r="K23" s="693">
        <f t="shared" ref="K23" si="51">ROUND(MAX(C23+G23-E23-I23,0),2)</f>
        <v>0</v>
      </c>
      <c r="L23" s="374">
        <f t="shared" ref="L23" si="52">ROUND(MAX(D23+H23-F23-J23,0),0)</f>
        <v>0</v>
      </c>
      <c r="M23" s="693">
        <f t="shared" ref="M23" si="53">ROUND(MAX(E23+I23-C23-G23,0),2)</f>
        <v>0</v>
      </c>
      <c r="N23" s="374">
        <f t="shared" ref="N23" si="54">ROUND(MAX(F23+J23-D23-H23,0),0)</f>
        <v>0</v>
      </c>
    </row>
    <row r="24" spans="1:14" s="10" customFormat="1" ht="18" customHeight="1">
      <c r="A24" s="697">
        <f t="shared" ref="A24" si="55">IF(B24&lt;&gt;"",ROW()-4,"")</f>
        <v>20</v>
      </c>
      <c r="B24" s="321" t="s">
        <v>852</v>
      </c>
      <c r="C24" s="695">
        <v>27600</v>
      </c>
      <c r="D24" s="8">
        <v>625968000</v>
      </c>
      <c r="E24" s="695">
        <v>0</v>
      </c>
      <c r="F24" s="695">
        <v>0</v>
      </c>
      <c r="G24" s="695">
        <f t="array" ref="G24">SUM(IF("131"&amp;B24=KHN&amp;KH,_TH))</f>
        <v>0</v>
      </c>
      <c r="H24" s="694">
        <f t="array" ref="H24">SUM(IF("131"&amp;B24=KHN&amp;KH,TH))</f>
        <v>524400</v>
      </c>
      <c r="I24" s="695">
        <f t="array" ref="I24">SUM(IF("131"&amp;B24=KHC&amp;KH,_TH))</f>
        <v>27600</v>
      </c>
      <c r="J24" s="694">
        <f t="array" ref="J24">SUM(IF("131"&amp;B24=KHC&amp;KH,TH))</f>
        <v>626492400</v>
      </c>
      <c r="K24" s="693">
        <f t="shared" ref="K24" si="56">ROUND(MAX(C24+G24-E24-I24,0),2)</f>
        <v>0</v>
      </c>
      <c r="L24" s="374">
        <f t="shared" ref="L24" si="57">ROUND(MAX(D24+H24-F24-J24,0),0)</f>
        <v>0</v>
      </c>
      <c r="M24" s="693">
        <f t="shared" ref="M24" si="58">ROUND(MAX(E24+I24-C24-G24,0),2)</f>
        <v>0</v>
      </c>
      <c r="N24" s="374">
        <f t="shared" ref="N24" si="59">ROUND(MAX(F24+J24-D24-H24,0),0)</f>
        <v>0</v>
      </c>
    </row>
    <row r="25" spans="1:14" s="10" customFormat="1" ht="18" customHeight="1">
      <c r="A25" s="697">
        <f t="shared" ref="A25" si="60">IF(B25&lt;&gt;"",ROW()-4,"")</f>
        <v>21</v>
      </c>
      <c r="B25" s="303" t="s">
        <v>854</v>
      </c>
      <c r="C25" s="695">
        <v>0</v>
      </c>
      <c r="D25" s="8">
        <v>0</v>
      </c>
      <c r="E25" s="695">
        <v>0</v>
      </c>
      <c r="F25" s="695">
        <v>0</v>
      </c>
      <c r="G25" s="695">
        <f t="array" ref="G25">SUM(IF("131"&amp;B25=KHN&amp;KH,_TH))</f>
        <v>0</v>
      </c>
      <c r="H25" s="694">
        <f t="array" ref="H25">SUM(IF("131"&amp;B25=KHN&amp;KH,TH))</f>
        <v>0</v>
      </c>
      <c r="I25" s="695">
        <f t="array" ref="I25">SUM(IF("131"&amp;B25=KHC&amp;KH,_TH))</f>
        <v>0</v>
      </c>
      <c r="J25" s="694">
        <f t="array" ref="J25">SUM(IF("131"&amp;B25=KHC&amp;KH,TH))</f>
        <v>0</v>
      </c>
      <c r="K25" s="693">
        <f t="shared" ref="K25" si="61">ROUND(MAX(C25+G25-E25-I25,0),2)</f>
        <v>0</v>
      </c>
      <c r="L25" s="374">
        <f t="shared" ref="L25" si="62">ROUND(MAX(D25+H25-F25-J25,0),0)</f>
        <v>0</v>
      </c>
      <c r="M25" s="693">
        <f t="shared" ref="M25" si="63">ROUND(MAX(E25+I25-C25-G25,0),2)</f>
        <v>0</v>
      </c>
      <c r="N25" s="374">
        <f t="shared" ref="N25" si="64">ROUND(MAX(F25+J25-D25-H25,0),0)</f>
        <v>0</v>
      </c>
    </row>
    <row r="26" spans="1:14" s="10" customFormat="1" ht="18" customHeight="1">
      <c r="A26" s="697">
        <f t="shared" ref="A26:A32" si="65">IF(B26&lt;&gt;"",ROW()-4,"")</f>
        <v>22</v>
      </c>
      <c r="B26" s="303" t="s">
        <v>861</v>
      </c>
      <c r="C26" s="695">
        <v>788916</v>
      </c>
      <c r="D26" s="8">
        <v>17873080024</v>
      </c>
      <c r="E26" s="695">
        <v>0</v>
      </c>
      <c r="F26" s="695">
        <v>0</v>
      </c>
      <c r="G26" s="695">
        <f t="array" ref="G26">SUM(IF("131"&amp;B26=KHN&amp;KH,_TH))</f>
        <v>0</v>
      </c>
      <c r="H26" s="694">
        <f t="array" ref="H26">SUM(IF("131"&amp;B26=KHN&amp;KH,TH))</f>
        <v>0</v>
      </c>
      <c r="I26" s="695">
        <f t="array" ref="I26">SUM(IF("131"&amp;B26=KHC&amp;KH,_TH))</f>
        <v>142449.5</v>
      </c>
      <c r="J26" s="694">
        <f t="array" ref="J26">SUM(IF("131"&amp;B26=KHC&amp;KH,TH))</f>
        <v>3233603650</v>
      </c>
      <c r="K26" s="693">
        <f t="shared" ref="K26" si="66">ROUND(MAX(C26+G26-E26-I26,0),2)</f>
        <v>646466.5</v>
      </c>
      <c r="L26" s="374">
        <f t="shared" ref="L26" si="67">ROUND(MAX(D26+H26-F26-J26,0),0)</f>
        <v>14639476374</v>
      </c>
      <c r="M26" s="693">
        <f t="shared" ref="M26" si="68">ROUND(MAX(E26+I26-C26-G26,0),2)</f>
        <v>0</v>
      </c>
      <c r="N26" s="374">
        <f t="shared" ref="N26" si="69">ROUND(MAX(F26+J26-D26-H26,0),0)</f>
        <v>0</v>
      </c>
    </row>
    <row r="27" spans="1:14" s="10" customFormat="1" ht="18" customHeight="1">
      <c r="A27" s="697">
        <f t="shared" si="65"/>
        <v>23</v>
      </c>
      <c r="B27" s="303" t="s">
        <v>877</v>
      </c>
      <c r="C27" s="695">
        <v>0</v>
      </c>
      <c r="D27" s="8">
        <v>0</v>
      </c>
      <c r="E27" s="695">
        <v>0</v>
      </c>
      <c r="F27" s="695">
        <v>0</v>
      </c>
      <c r="G27" s="695">
        <f t="array" ref="G27">SUM(IF("131"&amp;B27=KHN&amp;KH,_TH))</f>
        <v>0</v>
      </c>
      <c r="H27" s="694">
        <f t="array" ref="H27">SUM(IF("131"&amp;B27=KHN&amp;KH,TH))</f>
        <v>0</v>
      </c>
      <c r="I27" s="695">
        <f t="array" ref="I27">SUM(IF("131"&amp;B27=KHC&amp;KH,_TH))</f>
        <v>0</v>
      </c>
      <c r="J27" s="694">
        <f t="array" ref="J27">SUM(IF("131"&amp;B27=KHC&amp;KH,TH))</f>
        <v>0</v>
      </c>
      <c r="K27" s="693">
        <f t="shared" ref="K27" si="70">ROUND(MAX(C27+G27-E27-I27,0),2)</f>
        <v>0</v>
      </c>
      <c r="L27" s="374">
        <f t="shared" ref="L27" si="71">ROUND(MAX(D27+H27-F27-J27,0),0)</f>
        <v>0</v>
      </c>
      <c r="M27" s="693">
        <f t="shared" ref="M27" si="72">ROUND(MAX(E27+I27-C27-G27,0),2)</f>
        <v>0</v>
      </c>
      <c r="N27" s="374">
        <f t="shared" ref="N27" si="73">ROUND(MAX(F27+J27-D27-H27,0),0)</f>
        <v>0</v>
      </c>
    </row>
    <row r="28" spans="1:14" s="10" customFormat="1" ht="18" customHeight="1">
      <c r="A28" s="697">
        <f t="shared" si="65"/>
        <v>24</v>
      </c>
      <c r="B28" s="321" t="s">
        <v>970</v>
      </c>
      <c r="C28" s="695">
        <v>101904</v>
      </c>
      <c r="D28" s="8">
        <v>2311182720</v>
      </c>
      <c r="E28" s="695">
        <v>0</v>
      </c>
      <c r="F28" s="695">
        <v>0</v>
      </c>
      <c r="G28" s="695">
        <f t="array" ref="G28">SUM(IF("131"&amp;B28=KHN&amp;KH,_TH))</f>
        <v>0</v>
      </c>
      <c r="H28" s="694">
        <f t="array" ref="H28">SUM(IF("131"&amp;B28=KHN&amp;KH,TH))</f>
        <v>0</v>
      </c>
      <c r="I28" s="695">
        <f t="array" ref="I28">SUM(IF("131"&amp;B28=KHC&amp;KH,_TH))</f>
        <v>0</v>
      </c>
      <c r="J28" s="694">
        <f t="array" ref="J28">SUM(IF("131"&amp;B28=KHC&amp;KH,TH))</f>
        <v>0</v>
      </c>
      <c r="K28" s="693">
        <f t="shared" ref="K28:K31" si="74">ROUND(MAX(C28+G28-E28-I28,0),2)</f>
        <v>101904</v>
      </c>
      <c r="L28" s="374">
        <f t="shared" ref="L28:L31" si="75">ROUND(MAX(D28+H28-F28-J28,0),0)</f>
        <v>2311182720</v>
      </c>
      <c r="M28" s="693">
        <f t="shared" ref="M28:M31" si="76">ROUND(MAX(E28+I28-C28-G28,0),2)</f>
        <v>0</v>
      </c>
      <c r="N28" s="374">
        <f t="shared" ref="N28:N31" si="77">ROUND(MAX(F28+J28-D28-H28,0),0)</f>
        <v>0</v>
      </c>
    </row>
    <row r="29" spans="1:14" s="10" customFormat="1" ht="18" customHeight="1">
      <c r="A29" s="697">
        <f t="shared" si="65"/>
        <v>25</v>
      </c>
      <c r="B29" s="303" t="s">
        <v>959</v>
      </c>
      <c r="C29" s="695">
        <v>0</v>
      </c>
      <c r="D29" s="8">
        <v>0</v>
      </c>
      <c r="E29" s="695">
        <v>0</v>
      </c>
      <c r="F29" s="695">
        <v>0</v>
      </c>
      <c r="G29" s="695">
        <f t="array" ref="G29">SUM(IF("131"&amp;B29=KHN&amp;KH,_TH))</f>
        <v>0</v>
      </c>
      <c r="H29" s="694">
        <f t="array" ref="H29">SUM(IF("131"&amp;B29=KHN&amp;KH,TH))</f>
        <v>0</v>
      </c>
      <c r="I29" s="695">
        <f t="array" ref="I29">SUM(IF("131"&amp;B29=KHC&amp;KH,_TH))</f>
        <v>0</v>
      </c>
      <c r="J29" s="694">
        <f t="array" ref="J29">SUM(IF("131"&amp;B29=KHC&amp;KH,TH))</f>
        <v>0</v>
      </c>
      <c r="K29" s="693">
        <f t="shared" si="74"/>
        <v>0</v>
      </c>
      <c r="L29" s="374">
        <f t="shared" si="75"/>
        <v>0</v>
      </c>
      <c r="M29" s="693">
        <f t="shared" si="76"/>
        <v>0</v>
      </c>
      <c r="N29" s="374">
        <f t="shared" si="77"/>
        <v>0</v>
      </c>
    </row>
    <row r="30" spans="1:14" s="10" customFormat="1" ht="18" customHeight="1">
      <c r="A30" s="697">
        <f t="shared" ref="A30" si="78">IF(B30&lt;&gt;"",ROW()-4,"")</f>
        <v>26</v>
      </c>
      <c r="B30" s="321" t="s">
        <v>1025</v>
      </c>
      <c r="C30" s="695">
        <v>0</v>
      </c>
      <c r="D30" s="8">
        <v>0</v>
      </c>
      <c r="E30" s="695">
        <v>0</v>
      </c>
      <c r="F30" s="695">
        <v>0</v>
      </c>
      <c r="G30" s="695">
        <f t="array" ref="G30">SUM(IF("131"&amp;B30=KHN&amp;KH,_TH))</f>
        <v>43998</v>
      </c>
      <c r="H30" s="694">
        <f t="array" ref="H30">SUM(IF("131"&amp;B30=KHN&amp;KH,TH))</f>
        <v>998184600</v>
      </c>
      <c r="I30" s="695">
        <f t="array" ref="I30">SUM(IF("131"&amp;B30=KHC&amp;KH,_TH))</f>
        <v>21198</v>
      </c>
      <c r="J30" s="694">
        <f t="array" ref="J30">SUM(IF("131"&amp;B30=KHC&amp;KH,TH))</f>
        <v>481194600</v>
      </c>
      <c r="K30" s="693">
        <f t="shared" ref="K30" si="79">ROUND(MAX(C30+G30-E30-I30,0),2)</f>
        <v>22800</v>
      </c>
      <c r="L30" s="374">
        <f t="shared" ref="L30" si="80">ROUND(MAX(D30+H30-F30-J30,0),0)</f>
        <v>516990000</v>
      </c>
      <c r="M30" s="693">
        <f t="shared" ref="M30" si="81">ROUND(MAX(E30+I30-C30-G30,0),2)</f>
        <v>0</v>
      </c>
      <c r="N30" s="374">
        <f t="shared" ref="N30" si="82">ROUND(MAX(F30+J30-D30-H30,0),0)</f>
        <v>0</v>
      </c>
    </row>
    <row r="31" spans="1:14" s="10" customFormat="1" ht="18" customHeight="1">
      <c r="A31" s="697" t="str">
        <f t="shared" si="65"/>
        <v/>
      </c>
      <c r="B31" s="303"/>
      <c r="C31" s="695">
        <v>0</v>
      </c>
      <c r="D31" s="8">
        <v>0</v>
      </c>
      <c r="E31" s="695">
        <v>5274.74</v>
      </c>
      <c r="F31" s="695">
        <v>119736598</v>
      </c>
      <c r="G31" s="695">
        <f t="array" ref="G31">SUM(IF("131"&amp;B31=KHN&amp;KH,_TH))</f>
        <v>0</v>
      </c>
      <c r="H31" s="694">
        <f t="array" ref="H31">SUM(IF("131"&amp;B31=KHN&amp;KH,TH))</f>
        <v>0</v>
      </c>
      <c r="I31" s="695">
        <f t="array" ref="I31">SUM(IF("131"&amp;B31=KHC&amp;KH,_TH))</f>
        <v>0</v>
      </c>
      <c r="J31" s="694">
        <f t="array" ref="J31">SUM(IF("131"&amp;B31=KHC&amp;KH,TH))</f>
        <v>0</v>
      </c>
      <c r="K31" s="693">
        <f t="shared" si="74"/>
        <v>0</v>
      </c>
      <c r="L31" s="374">
        <f t="shared" si="75"/>
        <v>0</v>
      </c>
      <c r="M31" s="693">
        <f t="shared" si="76"/>
        <v>5274.74</v>
      </c>
      <c r="N31" s="374">
        <f t="shared" si="77"/>
        <v>119736598</v>
      </c>
    </row>
    <row r="32" spans="1:14" s="10" customFormat="1" ht="18" customHeight="1">
      <c r="A32" s="697" t="str">
        <f t="shared" si="65"/>
        <v/>
      </c>
      <c r="B32" s="321"/>
      <c r="C32" s="695"/>
      <c r="D32" s="8"/>
      <c r="E32" s="695"/>
      <c r="F32" s="695"/>
      <c r="G32" s="695"/>
      <c r="H32" s="694"/>
      <c r="I32" s="695"/>
      <c r="J32" s="694"/>
      <c r="K32" s="693"/>
      <c r="L32" s="374"/>
      <c r="M32" s="693"/>
      <c r="N32" s="374"/>
    </row>
    <row r="33" spans="1:14" ht="18" customHeight="1">
      <c r="A33" s="11"/>
      <c r="B33" s="12" t="s">
        <v>41</v>
      </c>
      <c r="C33" s="692">
        <f>SUM(C5:C32)</f>
        <v>1157711.68</v>
      </c>
      <c r="D33" s="13">
        <f>SUM(D5:D32)</f>
        <v>26111099937</v>
      </c>
      <c r="E33" s="692">
        <f t="shared" ref="E33:N33" si="83">SUM(E5:E32)</f>
        <v>5274.74</v>
      </c>
      <c r="F33" s="1209">
        <f t="shared" si="83"/>
        <v>119736598</v>
      </c>
      <c r="G33" s="692">
        <f t="shared" si="83"/>
        <v>220566</v>
      </c>
      <c r="H33" s="13">
        <f t="shared" si="83"/>
        <v>6340169352</v>
      </c>
      <c r="I33" s="692">
        <f t="shared" si="83"/>
        <v>433455.5</v>
      </c>
      <c r="J33" s="1209">
        <f t="shared" si="83"/>
        <v>11171761042</v>
      </c>
      <c r="K33" s="692">
        <f t="shared" si="83"/>
        <v>944822.17999999993</v>
      </c>
      <c r="L33" s="13">
        <f t="shared" si="83"/>
        <v>21279508247</v>
      </c>
      <c r="M33" s="692">
        <f t="shared" si="83"/>
        <v>5274.74</v>
      </c>
      <c r="N33" s="1209">
        <f t="shared" si="83"/>
        <v>119736598</v>
      </c>
    </row>
    <row r="35" spans="1:14">
      <c r="D35" s="15">
        <f>D33-CDPS!C17</f>
        <v>26111099937</v>
      </c>
      <c r="H35" s="691">
        <f>H33-CDPS!E17</f>
        <v>0</v>
      </c>
      <c r="J35" s="691">
        <f>J33-CDPS!F17</f>
        <v>0</v>
      </c>
      <c r="N35" s="691">
        <f>L33-N33-CDPS!G17</f>
        <v>21159771649</v>
      </c>
    </row>
    <row r="37" spans="1:14">
      <c r="I37" s="691"/>
    </row>
  </sheetData>
  <autoFilter ref="A1:N3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191"/>
  <sheetViews>
    <sheetView topLeftCell="A6" zoomScale="90" zoomScaleNormal="90" workbookViewId="0">
      <pane ySplit="11" topLeftCell="A17" activePane="bottomLeft" state="frozen"/>
      <selection activeCell="P41" sqref="P41"/>
      <selection pane="bottomLeft" activeCell="F26" sqref="F26"/>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9.42578125" customWidth="1"/>
    <col min="10" max="10" width="13.85546875" customWidth="1"/>
    <col min="11" max="11" width="18"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4" customFormat="1" ht="14.25"/>
    <row r="2" spans="1:15" s="678" customFormat="1" ht="16.5" customHeight="1">
      <c r="A2" s="738" t="s">
        <v>306</v>
      </c>
      <c r="B2" s="737"/>
      <c r="C2" s="736"/>
      <c r="D2" s="430"/>
      <c r="E2" s="730"/>
      <c r="G2" s="729"/>
      <c r="H2" s="728"/>
      <c r="I2" s="735"/>
      <c r="J2" s="734"/>
      <c r="K2" s="2"/>
      <c r="L2" s="2"/>
      <c r="M2" s="677" t="s">
        <v>555</v>
      </c>
      <c r="N2" s="2"/>
      <c r="O2" s="2"/>
    </row>
    <row r="3" spans="1:15" s="678" customFormat="1" ht="16.5" customHeight="1">
      <c r="A3" s="1407" t="s">
        <v>554</v>
      </c>
      <c r="B3" s="1407"/>
      <c r="C3" s="1407"/>
      <c r="D3" s="1407"/>
      <c r="E3" s="730"/>
      <c r="G3" s="729"/>
      <c r="H3" s="728"/>
      <c r="I3" s="727"/>
      <c r="J3" s="726"/>
      <c r="K3" s="17"/>
      <c r="L3" s="17"/>
      <c r="M3" s="732" t="s">
        <v>309</v>
      </c>
      <c r="N3" s="17"/>
      <c r="O3" s="17"/>
    </row>
    <row r="4" spans="1:15" s="678" customFormat="1" ht="16.5" customHeight="1">
      <c r="A4" s="733"/>
      <c r="B4" s="733"/>
      <c r="C4" s="733"/>
      <c r="D4" s="733"/>
      <c r="E4" s="730"/>
      <c r="G4" s="729" t="s">
        <v>553</v>
      </c>
      <c r="H4" s="728"/>
      <c r="I4" s="727"/>
      <c r="J4" s="726"/>
      <c r="K4" s="17"/>
      <c r="L4" s="17"/>
      <c r="M4" s="732" t="s">
        <v>310</v>
      </c>
      <c r="N4" s="17"/>
      <c r="O4" s="17"/>
    </row>
    <row r="5" spans="1:15" s="678" customFormat="1" ht="6.75" customHeight="1">
      <c r="A5" s="731"/>
      <c r="B5" s="731"/>
      <c r="C5" s="731"/>
      <c r="E5" s="730"/>
      <c r="G5" s="729"/>
      <c r="H5" s="728"/>
      <c r="I5" s="727"/>
      <c r="J5" s="726"/>
      <c r="K5" s="725"/>
      <c r="L5" s="675"/>
      <c r="M5" s="675"/>
      <c r="N5" s="675"/>
      <c r="O5" s="675"/>
    </row>
    <row r="6" spans="1:15" s="5" customFormat="1" ht="23.25" customHeight="1">
      <c r="A6" s="1408" t="s">
        <v>552</v>
      </c>
      <c r="B6" s="1408"/>
      <c r="C6" s="1408"/>
      <c r="D6" s="1408"/>
      <c r="E6" s="1408"/>
      <c r="F6" s="1408"/>
      <c r="G6" s="1408"/>
      <c r="H6" s="1408"/>
      <c r="I6" s="1408"/>
      <c r="J6" s="1408"/>
      <c r="K6" s="1408"/>
      <c r="L6" s="1408"/>
      <c r="M6" s="1408"/>
      <c r="N6" s="1408"/>
      <c r="O6" s="1408"/>
    </row>
    <row r="7" spans="1:15" s="5" customFormat="1" ht="15">
      <c r="H7" s="676" t="s">
        <v>29</v>
      </c>
    </row>
    <row r="8" spans="1:15" s="5" customFormat="1" ht="15">
      <c r="H8" s="676" t="s">
        <v>551</v>
      </c>
    </row>
    <row r="9" spans="1:15" s="5" customFormat="1" ht="15">
      <c r="G9" s="230" t="s">
        <v>550</v>
      </c>
      <c r="H9" s="1409" t="s">
        <v>1025</v>
      </c>
      <c r="I9" s="1409"/>
      <c r="J9" s="1409"/>
    </row>
    <row r="10" spans="1:15" s="5" customFormat="1" ht="15">
      <c r="H10" s="676" t="s">
        <v>241</v>
      </c>
    </row>
    <row r="11" spans="1:15" s="5" customFormat="1" ht="15">
      <c r="A11" s="4"/>
      <c r="B11" s="4"/>
      <c r="C11" s="724"/>
      <c r="D11" s="724"/>
      <c r="E11" s="724"/>
      <c r="F11" s="724"/>
      <c r="G11" s="724"/>
      <c r="H11" s="724"/>
      <c r="I11" s="724"/>
      <c r="J11" s="724"/>
      <c r="K11" s="724"/>
      <c r="L11" s="724"/>
      <c r="M11" s="724"/>
      <c r="N11" s="724"/>
      <c r="O11" s="724"/>
    </row>
    <row r="12" spans="1:15" s="676" customFormat="1" ht="15.75" customHeight="1">
      <c r="A12" s="1410" t="s">
        <v>22</v>
      </c>
      <c r="B12" s="1413" t="s">
        <v>1</v>
      </c>
      <c r="C12" s="1414"/>
      <c r="D12" s="1410" t="s">
        <v>0</v>
      </c>
      <c r="E12" s="1410" t="s">
        <v>16</v>
      </c>
      <c r="F12" s="1410" t="s">
        <v>242</v>
      </c>
      <c r="G12" s="1415" t="s">
        <v>549</v>
      </c>
      <c r="H12" s="1413" t="s">
        <v>23</v>
      </c>
      <c r="I12" s="1418"/>
      <c r="J12" s="1418"/>
      <c r="K12" s="1414"/>
      <c r="L12" s="1413" t="s">
        <v>33</v>
      </c>
      <c r="M12" s="1419"/>
      <c r="N12" s="1419"/>
      <c r="O12" s="1420"/>
    </row>
    <row r="13" spans="1:15" s="676" customFormat="1" ht="15.75" customHeight="1">
      <c r="A13" s="1411"/>
      <c r="B13" s="1421" t="s">
        <v>17</v>
      </c>
      <c r="C13" s="1421" t="s">
        <v>34</v>
      </c>
      <c r="D13" s="1411"/>
      <c r="E13" s="1411"/>
      <c r="F13" s="1411"/>
      <c r="G13" s="1416"/>
      <c r="H13" s="1423" t="s">
        <v>24</v>
      </c>
      <c r="I13" s="1424"/>
      <c r="J13" s="1423" t="s">
        <v>25</v>
      </c>
      <c r="K13" s="1424"/>
      <c r="L13" s="1423" t="s">
        <v>24</v>
      </c>
      <c r="M13" s="1420"/>
      <c r="N13" s="1423" t="s">
        <v>25</v>
      </c>
      <c r="O13" s="1420"/>
    </row>
    <row r="14" spans="1:15" s="676" customFormat="1" ht="27.75" customHeight="1">
      <c r="A14" s="1412"/>
      <c r="B14" s="1422"/>
      <c r="C14" s="1422"/>
      <c r="D14" s="1412"/>
      <c r="E14" s="1412"/>
      <c r="F14" s="1412"/>
      <c r="G14" s="1417"/>
      <c r="H14" s="723" t="s">
        <v>243</v>
      </c>
      <c r="I14" s="721" t="s">
        <v>244</v>
      </c>
      <c r="J14" s="722" t="s">
        <v>243</v>
      </c>
      <c r="K14" s="721" t="s">
        <v>244</v>
      </c>
      <c r="L14" s="720" t="s">
        <v>243</v>
      </c>
      <c r="M14" s="720" t="s">
        <v>244</v>
      </c>
      <c r="N14" s="720" t="s">
        <v>243</v>
      </c>
      <c r="O14" s="720" t="s">
        <v>244</v>
      </c>
    </row>
    <row r="15" spans="1:15" s="676" customFormat="1" ht="15">
      <c r="A15" s="707" t="s">
        <v>2</v>
      </c>
      <c r="B15" s="719" t="s">
        <v>3</v>
      </c>
      <c r="C15" s="707" t="s">
        <v>4</v>
      </c>
      <c r="D15" s="707" t="s">
        <v>5</v>
      </c>
      <c r="E15" s="707" t="s">
        <v>6</v>
      </c>
      <c r="F15" s="707">
        <v>1</v>
      </c>
      <c r="G15" s="707">
        <v>2</v>
      </c>
      <c r="H15" s="707">
        <v>3</v>
      </c>
      <c r="I15" s="707">
        <v>4</v>
      </c>
      <c r="J15" s="707">
        <v>5</v>
      </c>
      <c r="K15" s="707">
        <v>6</v>
      </c>
      <c r="L15" s="707">
        <v>7</v>
      </c>
      <c r="M15" s="707">
        <v>8</v>
      </c>
      <c r="N15" s="707">
        <v>9</v>
      </c>
      <c r="O15" s="707">
        <v>10</v>
      </c>
    </row>
    <row r="16" spans="1:15" s="5" customFormat="1" ht="16.5" customHeight="1">
      <c r="A16" s="709"/>
      <c r="B16" s="709"/>
      <c r="C16" s="709"/>
      <c r="D16" s="708" t="s">
        <v>7</v>
      </c>
      <c r="E16" s="709"/>
      <c r="F16" s="707"/>
      <c r="G16" s="717"/>
      <c r="H16" s="716"/>
      <c r="I16" s="717"/>
      <c r="J16" s="718"/>
      <c r="K16" s="717"/>
      <c r="L16" s="716" t="e">
        <f>VLOOKUP($H$9,'131'!$B$5:$F$26,2,0)</f>
        <v>#N/A</v>
      </c>
      <c r="M16" s="715" t="e">
        <f>VLOOKUP($H$9,'131'!$B$5:$F$26,3,0)</f>
        <v>#N/A</v>
      </c>
      <c r="N16" s="716" t="e">
        <f>VLOOKUP($H$9,'131'!$B$5:$F$26,4,0)</f>
        <v>#N/A</v>
      </c>
      <c r="O16" s="715" t="e">
        <f>VLOOKUP($H$9,'131'!$B$5:$F$26,5,0)</f>
        <v>#N/A</v>
      </c>
    </row>
    <row r="17" spans="1:17" s="5" customFormat="1" ht="16.5" customHeight="1">
      <c r="A17" s="213">
        <f t="shared" ref="A17:A39" ca="1" si="0">IF(C17&lt;&gt;"",C17,"")</f>
        <v>43104</v>
      </c>
      <c r="B17" s="217" t="str">
        <f ca="1">IF(ROWS($1:1)&gt;COUNT(Dong14),"",OFFSET(TH!D$1,SMALL(Dong14,ROWS($1:1)),))</f>
        <v>TP/X01</v>
      </c>
      <c r="C17" s="213">
        <f ca="1">IF(ROWS($1:1)&gt;COUNT(Dong14),"",OFFSET(TH!E$1,SMALL(Dong14,ROWS($1:1)),))</f>
        <v>43104</v>
      </c>
      <c r="D17" s="714" t="str">
        <f ca="1">IF(ROWS($1:1)&gt;COUNT(Dong14),"",OFFSET(TH!F$1,SMALL(Dong14,ROWS($1:1)),))</f>
        <v>Khô cá cơm TP</v>
      </c>
      <c r="E17" s="712" t="str">
        <f ca="1">IF(ROWS($1:1)&gt;COUNT(Dong14),"",IF(OFFSET(TH!N$1,SMALL(Dong14,ROWS($1:1)),)="131",OFFSET(TH!O$1,SMALL(Dong14,ROWS($1:1)),),OFFSET(TH!N$1,SMALL(Dong14,ROWS($1:1)),)))</f>
        <v>5112X</v>
      </c>
      <c r="F17" s="712">
        <f ca="1">IF(ROWS($1:1)&gt;COUNT(Dong14),0,OFFSET(TH!L$1,SMALL(Dong14,ROWS($1:1)),))</f>
        <v>22675</v>
      </c>
      <c r="G17" s="712"/>
      <c r="H17" s="713">
        <f ca="1">IF(ROWS($1:1)&gt;COUNT(Dong14),0,IF(OFFSET(TH!N$1,SMALL(Dong14,ROWS($1:1)),)="131",OFFSET(TH!K$1,SMALL(Dong14,ROWS($1:1)),),0))</f>
        <v>273</v>
      </c>
      <c r="I17" s="712">
        <f ca="1">IF(ROWS($1:1)&gt;COUNT(Dong14),0,IF(OFFSET(TH!N$1,SMALL(Dong14,ROWS($1:1)),)="131",OFFSET(TH!M$1,SMALL(Dong14,ROWS($1:1)),),0))</f>
        <v>6190275</v>
      </c>
      <c r="J17" s="713">
        <f ca="1">IF(ROWS($1:1)&gt;COUNT(Dong14),0,IF(OFFSET(TH!O$1,SMALL(Dong14,ROWS($1:1)),)="131",OFFSET(TH!K$1,SMALL(Dong14,ROWS($1:1)),),0))</f>
        <v>0</v>
      </c>
      <c r="K17" s="712">
        <f ca="1">IF(ROWS($1:1)&gt;COUNT(Dong14),0,IF(OFFSET(TH!O$1,SMALL(Dong14,ROWS($1:1)),)="131",OFFSET(TH!M$1,SMALL(Dong14,ROWS($1:1)),),0))</f>
        <v>0</v>
      </c>
      <c r="L17" s="711" t="e">
        <f ca="1">IF(D17&lt;&gt;"",ROUND(MAX(L16+H17-J17-N16,0),2),0)</f>
        <v>#N/A</v>
      </c>
      <c r="M17" s="710" t="e">
        <f ca="1">IF(D17&lt;&gt;"",MAX(M16-O16+I17-K17,0),0)</f>
        <v>#N/A</v>
      </c>
      <c r="N17" s="711" t="e">
        <f ca="1">IF(D17&lt;&gt;"",ROUND(MAX(N16+J17-H17-L16,0),2),0)</f>
        <v>#N/A</v>
      </c>
      <c r="O17" s="710" t="e">
        <f ca="1">IF(D17&lt;&gt;"",MAX(O16-M16+K17-I17,0),0)</f>
        <v>#N/A</v>
      </c>
    </row>
    <row r="18" spans="1:17" s="5" customFormat="1" ht="16.5" customHeight="1">
      <c r="A18" s="213">
        <f t="shared" ca="1" si="0"/>
        <v>43104</v>
      </c>
      <c r="B18" s="217" t="str">
        <f ca="1">IF(ROWS($1:2)&gt;COUNT(Dong14),"",OFFSET(TH!D$1,SMALL(Dong14,ROWS($1:2)),))</f>
        <v>TP/X01</v>
      </c>
      <c r="C18" s="213">
        <f ca="1">IF(ROWS($1:2)&gt;COUNT(Dong14),"",OFFSET(TH!E$1,SMALL(Dong14,ROWS($1:2)),))</f>
        <v>43104</v>
      </c>
      <c r="D18" s="714" t="str">
        <f ca="1">IF(ROWS($1:2)&gt;COUNT(Dong14),"",OFFSET(TH!F$1,SMALL(Dong14,ROWS($1:2)),))</f>
        <v>Khô cá chỉ vàng TP</v>
      </c>
      <c r="E18" s="712" t="str">
        <f ca="1">IF(ROWS($1:2)&gt;COUNT(Dong14),"",IF(OFFSET(TH!N$1,SMALL(Dong14,ROWS($1:2)),)="131",OFFSET(TH!O$1,SMALL(Dong14,ROWS($1:2)),),OFFSET(TH!N$1,SMALL(Dong14,ROWS($1:2)),)))</f>
        <v>5112X</v>
      </c>
      <c r="F18" s="712">
        <f ca="1">IF(ROWS($1:2)&gt;COUNT(Dong14),0,OFFSET(TH!L$1,SMALL(Dong14,ROWS($1:2)),))</f>
        <v>22675</v>
      </c>
      <c r="G18" s="712"/>
      <c r="H18" s="1139">
        <f ca="1">IF(ROWS($1:2)&gt;COUNT(Dong14),0,IF(OFFSET(TH!N$1,SMALL(Dong14,ROWS($1:2)),)="131",OFFSET(TH!K$1,SMALL(Dong14,ROWS($1:2)),),0))</f>
        <v>675</v>
      </c>
      <c r="I18" s="712">
        <f ca="1">IF(ROWS($1:2)&gt;COUNT(Dong14),0,IF(OFFSET(TH!N$1,SMALL(Dong14,ROWS($1:2)),)="131",OFFSET(TH!M$1,SMALL(Dong14,ROWS($1:2)),),0))</f>
        <v>15305625</v>
      </c>
      <c r="J18" s="713">
        <f ca="1">IF(ROWS($1:2)&gt;COUNT(Dong14),0,IF(OFFSET(TH!O$1,SMALL(Dong14,ROWS($1:2)),)="131",OFFSET(TH!K$1,SMALL(Dong14,ROWS($1:2)),),0))</f>
        <v>0</v>
      </c>
      <c r="K18" s="712">
        <f ca="1">IF(ROWS($1:2)&gt;COUNT(Dong14),0,IF(OFFSET(TH!O$1,SMALL(Dong14,ROWS($1:2)),)="131",OFFSET(TH!M$1,SMALL(Dong14,ROWS($1:2)),),0))</f>
        <v>0</v>
      </c>
      <c r="L18" s="711" t="e">
        <f t="shared" ref="L18:L39" ca="1" si="1">IF(D18&lt;&gt;"",ROUND(MAX(L17+H18-J18-N17,0),2),0)</f>
        <v>#N/A</v>
      </c>
      <c r="M18" s="710" t="e">
        <f t="shared" ref="M18:M39" ca="1" si="2">IF(D18&lt;&gt;"",MAX(M17-O17+I18-K18,0),0)</f>
        <v>#N/A</v>
      </c>
      <c r="N18" s="711" t="e">
        <f t="shared" ref="N18:N39" ca="1" si="3">IF(D18&lt;&gt;"",ROUND(MAX(N17+J18-H18-L17,0),2),0)</f>
        <v>#N/A</v>
      </c>
      <c r="O18" s="710" t="e">
        <f t="shared" ref="O18:O39" ca="1" si="4">IF(D18&lt;&gt;"",MAX(O17-M17+K18-I18,0),0)</f>
        <v>#N/A</v>
      </c>
    </row>
    <row r="19" spans="1:17" s="5" customFormat="1" ht="16.5" customHeight="1">
      <c r="A19" s="213">
        <f t="shared" ca="1" si="0"/>
        <v>43110</v>
      </c>
      <c r="B19" s="217" t="str">
        <f ca="1">IF(ROWS($1:3)&gt;COUNT(Dong14),"",OFFSET(TH!D$1,SMALL(Dong14,ROWS($1:3)),))</f>
        <v>TP/X04</v>
      </c>
      <c r="C19" s="213">
        <f ca="1">IF(ROWS($1:3)&gt;COUNT(Dong14),"",OFFSET(TH!E$1,SMALL(Dong14,ROWS($1:3)),))</f>
        <v>43110</v>
      </c>
      <c r="D19" s="714" t="str">
        <f ca="1">IF(ROWS($1:3)&gt;COUNT(Dong14),"",OFFSET(TH!F$1,SMALL(Dong14,ROWS($1:3)),))</f>
        <v>Khô cá chỉ vàng TP</v>
      </c>
      <c r="E19" s="712" t="str">
        <f ca="1">IF(ROWS($1:3)&gt;COUNT(Dong14),"",IF(OFFSET(TH!N$1,SMALL(Dong14,ROWS($1:3)),)="131",OFFSET(TH!O$1,SMALL(Dong14,ROWS($1:3)),),OFFSET(TH!N$1,SMALL(Dong14,ROWS($1:3)),)))</f>
        <v>5112X</v>
      </c>
      <c r="F19" s="712">
        <f ca="1">IF(ROWS($1:3)&gt;COUNT(Dong14),0,OFFSET(TH!L$1,SMALL(Dong14,ROWS($1:3)),))</f>
        <v>22675</v>
      </c>
      <c r="G19" s="712"/>
      <c r="H19" s="1167">
        <f ca="1">IF(ROWS($1:3)&gt;COUNT(Dong14),0,IF(OFFSET(TH!N$1,SMALL(Dong14,ROWS($1:3)),)="131",OFFSET(TH!K$1,SMALL(Dong14,ROWS($1:3)),),0))</f>
        <v>20250</v>
      </c>
      <c r="I19" s="712">
        <f ca="1">IF(ROWS($1:3)&gt;COUNT(Dong14),0,IF(OFFSET(TH!N$1,SMALL(Dong14,ROWS($1:3)),)="131",OFFSET(TH!M$1,SMALL(Dong14,ROWS($1:3)),),0))</f>
        <v>459168750</v>
      </c>
      <c r="J19" s="713">
        <f ca="1">IF(ROWS($1:3)&gt;COUNT(Dong14),0,IF(OFFSET(TH!O$1,SMALL(Dong14,ROWS($1:3)),)="131",OFFSET(TH!K$1,SMALL(Dong14,ROWS($1:3)),),0))</f>
        <v>0</v>
      </c>
      <c r="K19" s="712">
        <f ca="1">IF(ROWS($1:3)&gt;COUNT(Dong14),0,IF(OFFSET(TH!O$1,SMALL(Dong14,ROWS($1:3)),)="131",OFFSET(TH!M$1,SMALL(Dong14,ROWS($1:3)),),0))</f>
        <v>0</v>
      </c>
      <c r="L19" s="711" t="e">
        <f t="shared" ca="1" si="1"/>
        <v>#N/A</v>
      </c>
      <c r="M19" s="710" t="e">
        <f t="shared" ca="1" si="2"/>
        <v>#N/A</v>
      </c>
      <c r="N19" s="711" t="e">
        <f t="shared" ca="1" si="3"/>
        <v>#N/A</v>
      </c>
      <c r="O19" s="710" t="e">
        <f t="shared" ca="1" si="4"/>
        <v>#N/A</v>
      </c>
    </row>
    <row r="20" spans="1:17" s="5" customFormat="1" ht="16.5" customHeight="1">
      <c r="A20" s="213">
        <f t="shared" ca="1" si="0"/>
        <v>43118</v>
      </c>
      <c r="B20" s="217" t="str">
        <f ca="1">IF(ROWS($1:4)&gt;COUNT(Dong14),"",OFFSET(TH!D$1,SMALL(Dong14,ROWS($1:4)),))</f>
        <v>TP/X06</v>
      </c>
      <c r="C20" s="213">
        <f ca="1">IF(ROWS($1:4)&gt;COUNT(Dong14),"",OFFSET(TH!E$1,SMALL(Dong14,ROWS($1:4)),))</f>
        <v>43118</v>
      </c>
      <c r="D20" s="714" t="str">
        <f ca="1">IF(ROWS($1:4)&gt;COUNT(Dong14),"",OFFSET(TH!F$1,SMALL(Dong14,ROWS($1:4)),))</f>
        <v>Khô cá chỉ vàng TP</v>
      </c>
      <c r="E20" s="712" t="str">
        <f ca="1">IF(ROWS($1:4)&gt;COUNT(Dong14),"",IF(OFFSET(TH!N$1,SMALL(Dong14,ROWS($1:4)),)="131",OFFSET(TH!O$1,SMALL(Dong14,ROWS($1:4)),),OFFSET(TH!N$1,SMALL(Dong14,ROWS($1:4)),)))</f>
        <v>5112X</v>
      </c>
      <c r="F20" s="712">
        <f ca="1">IF(ROWS($1:4)&gt;COUNT(Dong14),0,OFFSET(TH!L$1,SMALL(Dong14,ROWS($1:4)),))</f>
        <v>22675</v>
      </c>
      <c r="G20" s="712"/>
      <c r="H20" s="1167">
        <f ca="1">IF(ROWS($1:4)&gt;COUNT(Dong14),0,IF(OFFSET(TH!N$1,SMALL(Dong14,ROWS($1:4)),)="131",OFFSET(TH!K$1,SMALL(Dong14,ROWS($1:4)),),0))</f>
        <v>22800</v>
      </c>
      <c r="I20" s="712">
        <f ca="1">IF(ROWS($1:4)&gt;COUNT(Dong14),0,IF(OFFSET(TH!N$1,SMALL(Dong14,ROWS($1:4)),)="131",OFFSET(TH!M$1,SMALL(Dong14,ROWS($1:4)),),0))</f>
        <v>516990000</v>
      </c>
      <c r="J20" s="713">
        <f ca="1">IF(ROWS($1:4)&gt;COUNT(Dong14),0,IF(OFFSET(TH!O$1,SMALL(Dong14,ROWS($1:4)),)="131",OFFSET(TH!K$1,SMALL(Dong14,ROWS($1:4)),),0))</f>
        <v>0</v>
      </c>
      <c r="K20" s="712">
        <f ca="1">IF(ROWS($1:4)&gt;COUNT(Dong14),0,IF(OFFSET(TH!O$1,SMALL(Dong14,ROWS($1:4)),)="131",OFFSET(TH!M$1,SMALL(Dong14,ROWS($1:4)),),0))</f>
        <v>0</v>
      </c>
      <c r="L20" s="711" t="e">
        <f t="shared" ca="1" si="1"/>
        <v>#N/A</v>
      </c>
      <c r="M20" s="710" t="e">
        <f t="shared" ca="1" si="2"/>
        <v>#N/A</v>
      </c>
      <c r="N20" s="711" t="e">
        <f t="shared" ca="1" si="3"/>
        <v>#N/A</v>
      </c>
      <c r="O20" s="710" t="e">
        <f t="shared" ca="1" si="4"/>
        <v>#N/A</v>
      </c>
    </row>
    <row r="21" spans="1:17" s="1148" customFormat="1" ht="16.5" customHeight="1">
      <c r="A21" s="1144">
        <f t="shared" ca="1" si="0"/>
        <v>43117</v>
      </c>
      <c r="B21" s="1145" t="str">
        <f ca="1">IF(ROWS($1:5)&gt;COUNT(Dong14),"",OFFSET(TH!D$1,SMALL(Dong14,ROWS($1:5)),))</f>
        <v>GBC</v>
      </c>
      <c r="C21" s="1144">
        <f ca="1">IF(ROWS($1:5)&gt;COUNT(Dong14),"",OFFSET(TH!E$1,SMALL(Dong14,ROWS($1:5)),))</f>
        <v>43117</v>
      </c>
      <c r="D21" s="1146" t="str">
        <f ca="1">IF(ROWS($1:5)&gt;COUNT(Dong14),"",OFFSET(TH!F$1,SMALL(Dong14,ROWS($1:5)),))</f>
        <v>Thu tiền hàng</v>
      </c>
      <c r="E21" s="1147" t="str">
        <f ca="1">IF(ROWS($1:5)&gt;COUNT(Dong14),"",IF(OFFSET(TH!N$1,SMALL(Dong14,ROWS($1:5)),)="131",OFFSET(TH!O$1,SMALL(Dong14,ROWS($1:5)),),OFFSET(TH!N$1,SMALL(Dong14,ROWS($1:5)),)))</f>
        <v>1122</v>
      </c>
      <c r="F21" s="1147">
        <f ca="1">IF(ROWS($1:5)&gt;COUNT(Dong14),0,OFFSET(TH!L$1,SMALL(Dong14,ROWS($1:5)),))</f>
        <v>22700</v>
      </c>
      <c r="G21" s="1147"/>
      <c r="H21" s="1167">
        <f ca="1">IF(ROWS($1:5)&gt;COUNT(Dong14),0,IF(OFFSET(TH!N$1,SMALL(Dong14,ROWS($1:5)),)="131",OFFSET(TH!K$1,SMALL(Dong14,ROWS($1:5)),),0))</f>
        <v>0</v>
      </c>
      <c r="I21" s="1147">
        <f ca="1">IF(ROWS($1:5)&gt;COUNT(Dong14),0,IF(OFFSET(TH!N$1,SMALL(Dong14,ROWS($1:5)),)="131",OFFSET(TH!M$1,SMALL(Dong14,ROWS($1:5)),),0))</f>
        <v>0</v>
      </c>
      <c r="J21" s="1139">
        <f ca="1">IF(ROWS($1:5)&gt;COUNT(Dong14),0,IF(OFFSET(TH!O$1,SMALL(Dong14,ROWS($1:5)),)="131",OFFSET(TH!K$1,SMALL(Dong14,ROWS($1:5)),),0))</f>
        <v>21166</v>
      </c>
      <c r="K21" s="1147">
        <f ca="1">IF(ROWS($1:5)&gt;COUNT(Dong14),0,IF(OFFSET(TH!O$1,SMALL(Dong14,ROWS($1:5)),)="131",OFFSET(TH!M$1,SMALL(Dong14,ROWS($1:5)),),0))</f>
        <v>480468200</v>
      </c>
      <c r="L21" s="711" t="e">
        <f t="shared" ca="1" si="1"/>
        <v>#N/A</v>
      </c>
      <c r="M21" s="710" t="e">
        <f t="shared" ca="1" si="2"/>
        <v>#N/A</v>
      </c>
      <c r="N21" s="711" t="e">
        <f t="shared" ca="1" si="3"/>
        <v>#N/A</v>
      </c>
      <c r="O21" s="710" t="e">
        <f t="shared" ca="1" si="4"/>
        <v>#N/A</v>
      </c>
    </row>
    <row r="22" spans="1:17" s="1148" customFormat="1" ht="16.5" customHeight="1">
      <c r="A22" s="1144">
        <f t="shared" ca="1" si="0"/>
        <v>43117</v>
      </c>
      <c r="B22" s="1145" t="str">
        <f ca="1">IF(ROWS($1:6)&gt;COUNT(Dong14),"",OFFSET(TH!D$1,SMALL(Dong14,ROWS($1:6)),))</f>
        <v>CTGS</v>
      </c>
      <c r="C22" s="1144">
        <f ca="1">IF(ROWS($1:6)&gt;COUNT(Dong14),"",OFFSET(TH!E$1,SMALL(Dong14,ROWS($1:6)),))</f>
        <v>43117</v>
      </c>
      <c r="D22" s="1146" t="str">
        <f ca="1">IF(ROWS($1:6)&gt;COUNT(Dong14),"",OFFSET(TH!F$1,SMALL(Dong14,ROWS($1:6)),))</f>
        <v>Phí ngân hàng nước ngoài giảm trừ</v>
      </c>
      <c r="E22" s="1147" t="str">
        <f ca="1">IF(ROWS($1:6)&gt;COUNT(Dong14),"",IF(OFFSET(TH!N$1,SMALL(Dong14,ROWS($1:6)),)="131",OFFSET(TH!O$1,SMALL(Dong14,ROWS($1:6)),),OFFSET(TH!N$1,SMALL(Dong14,ROWS($1:6)),)))</f>
        <v>642</v>
      </c>
      <c r="F22" s="1147">
        <f ca="1">IF(ROWS($1:6)&gt;COUNT(Dong14),0,OFFSET(TH!L$1,SMALL(Dong14,ROWS($1:6)),))</f>
        <v>22700</v>
      </c>
      <c r="G22" s="1147"/>
      <c r="H22" s="1139">
        <f ca="1">IF(ROWS($1:6)&gt;COUNT(Dong14),0,IF(OFFSET(TH!N$1,SMALL(Dong14,ROWS($1:6)),)="131",OFFSET(TH!K$1,SMALL(Dong14,ROWS($1:6)),),0))</f>
        <v>0</v>
      </c>
      <c r="I22" s="1147">
        <f ca="1">IF(ROWS($1:6)&gt;COUNT(Dong14),0,IF(OFFSET(TH!N$1,SMALL(Dong14,ROWS($1:6)),)="131",OFFSET(TH!M$1,SMALL(Dong14,ROWS($1:6)),),0))</f>
        <v>0</v>
      </c>
      <c r="J22" s="1139">
        <f ca="1">IF(ROWS($1:6)&gt;COUNT(Dong14),0,IF(OFFSET(TH!O$1,SMALL(Dong14,ROWS($1:6)),)="131",OFFSET(TH!K$1,SMALL(Dong14,ROWS($1:6)),),0))</f>
        <v>32</v>
      </c>
      <c r="K22" s="1147">
        <f ca="1">IF(ROWS($1:6)&gt;COUNT(Dong14),0,IF(OFFSET(TH!O$1,SMALL(Dong14,ROWS($1:6)),)="131",OFFSET(TH!M$1,SMALL(Dong14,ROWS($1:6)),),0))</f>
        <v>726400</v>
      </c>
      <c r="L22" s="711" t="e">
        <f t="shared" ca="1" si="1"/>
        <v>#N/A</v>
      </c>
      <c r="M22" s="710" t="e">
        <f t="shared" ca="1" si="2"/>
        <v>#N/A</v>
      </c>
      <c r="N22" s="711" t="e">
        <f t="shared" ca="1" si="3"/>
        <v>#N/A</v>
      </c>
      <c r="O22" s="710" t="e">
        <f t="shared" ca="1" si="4"/>
        <v>#N/A</v>
      </c>
    </row>
    <row r="23" spans="1:17" s="1148" customFormat="1" ht="16.5" customHeight="1">
      <c r="A23" s="213">
        <f t="shared" ca="1" si="0"/>
        <v>43117</v>
      </c>
      <c r="B23" s="217" t="str">
        <f ca="1">IF(ROWS($1:7)&gt;COUNT(Dong14),"",OFFSET(TH!D$1,SMALL(Dong14,ROWS($1:7)),))</f>
        <v>CTGS</v>
      </c>
      <c r="C23" s="213">
        <f ca="1">IF(ROWS($1:7)&gt;COUNT(Dong14),"",OFFSET(TH!E$1,SMALL(Dong14,ROWS($1:7)),))</f>
        <v>43117</v>
      </c>
      <c r="D23" s="714" t="str">
        <f ca="1">IF(ROWS($1:7)&gt;COUNT(Dong14),"",OFFSET(TH!F$1,SMALL(Dong14,ROWS($1:7)),))</f>
        <v>Chênh lệch tỷ giá</v>
      </c>
      <c r="E23" s="712" t="str">
        <f ca="1">IF(ROWS($1:7)&gt;COUNT(Dong14),"",IF(OFFSET(TH!N$1,SMALL(Dong14,ROWS($1:7)),)="131",OFFSET(TH!O$1,SMALL(Dong14,ROWS($1:7)),),OFFSET(TH!N$1,SMALL(Dong14,ROWS($1:7)),)))</f>
        <v>515</v>
      </c>
      <c r="F23" s="712">
        <f ca="1">IF(ROWS($1:7)&gt;COUNT(Dong14),0,OFFSET(TH!L$1,SMALL(Dong14,ROWS($1:7)),))</f>
        <v>0</v>
      </c>
      <c r="G23" s="712"/>
      <c r="H23" s="1167">
        <f ca="1">IF(ROWS($1:7)&gt;COUNT(Dong14),0,IF(OFFSET(TH!N$1,SMALL(Dong14,ROWS($1:7)),)="131",OFFSET(TH!K$1,SMALL(Dong14,ROWS($1:7)),),0))</f>
        <v>0</v>
      </c>
      <c r="I23" s="712">
        <f ca="1">IF(ROWS($1:7)&gt;COUNT(Dong14),0,IF(OFFSET(TH!N$1,SMALL(Dong14,ROWS($1:7)),)="131",OFFSET(TH!M$1,SMALL(Dong14,ROWS($1:7)),),0))</f>
        <v>529950</v>
      </c>
      <c r="J23" s="713">
        <f ca="1">IF(ROWS($1:7)&gt;COUNT(Dong14),0,IF(OFFSET(TH!O$1,SMALL(Dong14,ROWS($1:7)),)="131",OFFSET(TH!K$1,SMALL(Dong14,ROWS($1:7)),),0))</f>
        <v>0</v>
      </c>
      <c r="K23" s="712">
        <f ca="1">IF(ROWS($1:7)&gt;COUNT(Dong14),0,IF(OFFSET(TH!O$1,SMALL(Dong14,ROWS($1:7)),)="131",OFFSET(TH!M$1,SMALL(Dong14,ROWS($1:7)),),0))</f>
        <v>0</v>
      </c>
      <c r="L23" s="711" t="e">
        <f t="shared" ca="1" si="1"/>
        <v>#N/A</v>
      </c>
      <c r="M23" s="710" t="e">
        <f t="shared" ca="1" si="2"/>
        <v>#N/A</v>
      </c>
      <c r="N23" s="711" t="e">
        <f t="shared" ca="1" si="3"/>
        <v>#N/A</v>
      </c>
      <c r="O23" s="710" t="e">
        <f t="shared" ca="1" si="4"/>
        <v>#N/A</v>
      </c>
      <c r="P23" s="5"/>
      <c r="Q23" s="5"/>
    </row>
    <row r="24" spans="1:17" s="1148" customFormat="1" ht="16.5" customHeight="1">
      <c r="A24" s="213" t="str">
        <f t="shared" ca="1" si="0"/>
        <v/>
      </c>
      <c r="B24" s="217" t="str">
        <f ca="1">IF(ROWS($1:8)&gt;COUNT(Dong14),"",OFFSET(TH!D$1,SMALL(Dong14,ROWS($1:8)),))</f>
        <v/>
      </c>
      <c r="C24" s="213" t="str">
        <f ca="1">IF(ROWS($1:8)&gt;COUNT(Dong14),"",OFFSET(TH!E$1,SMALL(Dong14,ROWS($1:8)),))</f>
        <v/>
      </c>
      <c r="D24" s="714" t="str">
        <f ca="1">IF(ROWS($1:8)&gt;COUNT(Dong14),"",OFFSET(TH!F$1,SMALL(Dong14,ROWS($1:8)),))</f>
        <v/>
      </c>
      <c r="E24" s="712" t="str">
        <f ca="1">IF(ROWS($1:8)&gt;COUNT(Dong14),"",IF(OFFSET(TH!N$1,SMALL(Dong14,ROWS($1:8)),)="131",OFFSET(TH!O$1,SMALL(Dong14,ROWS($1:8)),),OFFSET(TH!N$1,SMALL(Dong14,ROWS($1:8)),)))</f>
        <v/>
      </c>
      <c r="F24" s="712">
        <f ca="1">IF(ROWS($1:8)&gt;COUNT(Dong14),0,OFFSET(TH!L$1,SMALL(Dong14,ROWS($1:8)),))</f>
        <v>0</v>
      </c>
      <c r="G24" s="712"/>
      <c r="H24" s="1167">
        <f ca="1">IF(ROWS($1:8)&gt;COUNT(Dong14),0,IF(OFFSET(TH!N$1,SMALL(Dong14,ROWS($1:8)),)="131",OFFSET(TH!K$1,SMALL(Dong14,ROWS($1:8)),),0))</f>
        <v>0</v>
      </c>
      <c r="I24" s="712">
        <f ca="1">IF(ROWS($1:8)&gt;COUNT(Dong14),0,IF(OFFSET(TH!N$1,SMALL(Dong14,ROWS($1:8)),)="131",OFFSET(TH!M$1,SMALL(Dong14,ROWS($1:8)),),0))</f>
        <v>0</v>
      </c>
      <c r="J24" s="713">
        <f ca="1">IF(ROWS($1:8)&gt;COUNT(Dong14),0,IF(OFFSET(TH!O$1,SMALL(Dong14,ROWS($1:8)),)="131",OFFSET(TH!K$1,SMALL(Dong14,ROWS($1:8)),),0))</f>
        <v>0</v>
      </c>
      <c r="K24" s="712">
        <f ca="1">IF(ROWS($1:8)&gt;COUNT(Dong14),0,IF(OFFSET(TH!O$1,SMALL(Dong14,ROWS($1:8)),)="131",OFFSET(TH!M$1,SMALL(Dong14,ROWS($1:8)),),0))</f>
        <v>0</v>
      </c>
      <c r="L24" s="711">
        <f t="shared" ca="1" si="1"/>
        <v>0</v>
      </c>
      <c r="M24" s="710">
        <f t="shared" ca="1" si="2"/>
        <v>0</v>
      </c>
      <c r="N24" s="711">
        <f t="shared" ca="1" si="3"/>
        <v>0</v>
      </c>
      <c r="O24" s="710">
        <f t="shared" ca="1" si="4"/>
        <v>0</v>
      </c>
      <c r="P24" s="5"/>
      <c r="Q24" s="233"/>
    </row>
    <row r="25" spans="1:17" s="1148" customFormat="1" ht="16.5" customHeight="1">
      <c r="A25" s="213" t="str">
        <f t="shared" ca="1" si="0"/>
        <v/>
      </c>
      <c r="B25" s="217" t="str">
        <f ca="1">IF(ROWS($1:9)&gt;COUNT(Dong14),"",OFFSET(TH!D$1,SMALL(Dong14,ROWS($1:9)),))</f>
        <v/>
      </c>
      <c r="C25" s="213" t="str">
        <f ca="1">IF(ROWS($1:9)&gt;COUNT(Dong14),"",OFFSET(TH!E$1,SMALL(Dong14,ROWS($1:9)),))</f>
        <v/>
      </c>
      <c r="D25" s="714" t="str">
        <f ca="1">IF(ROWS($1:9)&gt;COUNT(Dong14),"",OFFSET(TH!F$1,SMALL(Dong14,ROWS($1:9)),))</f>
        <v/>
      </c>
      <c r="E25" s="712" t="str">
        <f ca="1">IF(ROWS($1:9)&gt;COUNT(Dong14),"",IF(OFFSET(TH!N$1,SMALL(Dong14,ROWS($1:9)),)="131",OFFSET(TH!O$1,SMALL(Dong14,ROWS($1:9)),),OFFSET(TH!N$1,SMALL(Dong14,ROWS($1:9)),)))</f>
        <v/>
      </c>
      <c r="F25" s="712">
        <f ca="1">IF(ROWS($1:9)&gt;COUNT(Dong14),0,OFFSET(TH!L$1,SMALL(Dong14,ROWS($1:9)),))</f>
        <v>0</v>
      </c>
      <c r="G25" s="712"/>
      <c r="H25" s="1167">
        <f ca="1">IF(ROWS($1:9)&gt;COUNT(Dong14),0,IF(OFFSET(TH!N$1,SMALL(Dong14,ROWS($1:9)),)="131",OFFSET(TH!K$1,SMALL(Dong14,ROWS($1:9)),),0))</f>
        <v>0</v>
      </c>
      <c r="I25" s="712">
        <f ca="1">IF(ROWS($1:9)&gt;COUNT(Dong14),0,IF(OFFSET(TH!N$1,SMALL(Dong14,ROWS($1:9)),)="131",OFFSET(TH!M$1,SMALL(Dong14,ROWS($1:9)),),0))</f>
        <v>0</v>
      </c>
      <c r="J25" s="713">
        <f ca="1">IF(ROWS($1:9)&gt;COUNT(Dong14),0,IF(OFFSET(TH!O$1,SMALL(Dong14,ROWS($1:9)),)="131",OFFSET(TH!K$1,SMALL(Dong14,ROWS($1:9)),),0))</f>
        <v>0</v>
      </c>
      <c r="K25" s="712">
        <f ca="1">IF(ROWS($1:9)&gt;COUNT(Dong14),0,IF(OFFSET(TH!O$1,SMALL(Dong14,ROWS($1:9)),)="131",OFFSET(TH!M$1,SMALL(Dong14,ROWS($1:9)),),0))</f>
        <v>0</v>
      </c>
      <c r="L25" s="711">
        <f t="shared" ca="1" si="1"/>
        <v>0</v>
      </c>
      <c r="M25" s="710">
        <f t="shared" ca="1" si="2"/>
        <v>0</v>
      </c>
      <c r="N25" s="711">
        <f t="shared" ca="1" si="3"/>
        <v>0</v>
      </c>
      <c r="O25" s="710">
        <f t="shared" ca="1" si="4"/>
        <v>0</v>
      </c>
      <c r="P25" s="5"/>
      <c r="Q25" s="5"/>
    </row>
    <row r="26" spans="1:17" s="1148" customFormat="1" ht="16.5" customHeight="1">
      <c r="A26" s="213" t="str">
        <f t="shared" ca="1" si="0"/>
        <v/>
      </c>
      <c r="B26" s="217" t="str">
        <f ca="1">IF(ROWS($1:10)&gt;COUNT(Dong14),"",OFFSET(TH!D$1,SMALL(Dong14,ROWS($1:10)),))</f>
        <v/>
      </c>
      <c r="C26" s="213" t="str">
        <f ca="1">IF(ROWS($1:10)&gt;COUNT(Dong14),"",OFFSET(TH!E$1,SMALL(Dong14,ROWS($1:10)),))</f>
        <v/>
      </c>
      <c r="D26" s="714" t="str">
        <f ca="1">IF(ROWS($1:10)&gt;COUNT(Dong14),"",OFFSET(TH!F$1,SMALL(Dong14,ROWS($1:10)),))</f>
        <v/>
      </c>
      <c r="E26" s="712" t="str">
        <f ca="1">IF(ROWS($1:10)&gt;COUNT(Dong14),"",IF(OFFSET(TH!N$1,SMALL(Dong14,ROWS($1:10)),)="131",OFFSET(TH!O$1,SMALL(Dong14,ROWS($1:10)),),OFFSET(TH!N$1,SMALL(Dong14,ROWS($1:10)),)))</f>
        <v/>
      </c>
      <c r="F26" s="712">
        <f ca="1">IF(ROWS($1:10)&gt;COUNT(Dong14),0,OFFSET(TH!L$1,SMALL(Dong14,ROWS($1:10)),))</f>
        <v>0</v>
      </c>
      <c r="G26" s="712"/>
      <c r="H26" s="1167">
        <f ca="1">IF(ROWS($1:10)&gt;COUNT(Dong14),0,IF(OFFSET(TH!N$1,SMALL(Dong14,ROWS($1:10)),)="131",OFFSET(TH!K$1,SMALL(Dong14,ROWS($1:10)),),0))</f>
        <v>0</v>
      </c>
      <c r="I26" s="712">
        <f ca="1">IF(ROWS($1:10)&gt;COUNT(Dong14),0,IF(OFFSET(TH!N$1,SMALL(Dong14,ROWS($1:10)),)="131",OFFSET(TH!M$1,SMALL(Dong14,ROWS($1:10)),),0))</f>
        <v>0</v>
      </c>
      <c r="J26" s="713">
        <f ca="1">IF(ROWS($1:10)&gt;COUNT(Dong14),0,IF(OFFSET(TH!O$1,SMALL(Dong14,ROWS($1:10)),)="131",OFFSET(TH!K$1,SMALL(Dong14,ROWS($1:10)),),0))</f>
        <v>0</v>
      </c>
      <c r="K26" s="712">
        <f ca="1">IF(ROWS($1:10)&gt;COUNT(Dong14),0,IF(OFFSET(TH!O$1,SMALL(Dong14,ROWS($1:10)),)="131",OFFSET(TH!M$1,SMALL(Dong14,ROWS($1:10)),),0))</f>
        <v>0</v>
      </c>
      <c r="L26" s="711">
        <f t="shared" ca="1" si="1"/>
        <v>0</v>
      </c>
      <c r="M26" s="710">
        <f t="shared" ca="1" si="2"/>
        <v>0</v>
      </c>
      <c r="N26" s="711">
        <f t="shared" ca="1" si="3"/>
        <v>0</v>
      </c>
      <c r="O26" s="710">
        <f t="shared" ca="1" si="4"/>
        <v>0</v>
      </c>
      <c r="P26" s="5"/>
      <c r="Q26" s="5"/>
    </row>
    <row r="27" spans="1:17" s="1148" customFormat="1" ht="16.5" customHeight="1">
      <c r="A27" s="213" t="str">
        <f t="shared" ca="1" si="0"/>
        <v/>
      </c>
      <c r="B27" s="217" t="str">
        <f ca="1">IF(ROWS($1:11)&gt;COUNT(Dong14),"",OFFSET(TH!D$1,SMALL(Dong14,ROWS($1:11)),))</f>
        <v/>
      </c>
      <c r="C27" s="213" t="str">
        <f ca="1">IF(ROWS($1:11)&gt;COUNT(Dong14),"",OFFSET(TH!E$1,SMALL(Dong14,ROWS($1:11)),))</f>
        <v/>
      </c>
      <c r="D27" s="714" t="str">
        <f ca="1">IF(ROWS($1:11)&gt;COUNT(Dong14),"",OFFSET(TH!F$1,SMALL(Dong14,ROWS($1:11)),))</f>
        <v/>
      </c>
      <c r="E27" s="712" t="str">
        <f ca="1">IF(ROWS($1:11)&gt;COUNT(Dong14),"",IF(OFFSET(TH!N$1,SMALL(Dong14,ROWS($1:11)),)="131",OFFSET(TH!O$1,SMALL(Dong14,ROWS($1:11)),),OFFSET(TH!N$1,SMALL(Dong14,ROWS($1:11)),)))</f>
        <v/>
      </c>
      <c r="F27" s="712">
        <f ca="1">IF(ROWS($1:11)&gt;COUNT(Dong14),0,OFFSET(TH!L$1,SMALL(Dong14,ROWS($1:11)),))</f>
        <v>0</v>
      </c>
      <c r="G27" s="712"/>
      <c r="H27" s="1167">
        <f ca="1">IF(ROWS($1:11)&gt;COUNT(Dong14),0,IF(OFFSET(TH!N$1,SMALL(Dong14,ROWS($1:11)),)="131",OFFSET(TH!K$1,SMALL(Dong14,ROWS($1:11)),),0))</f>
        <v>0</v>
      </c>
      <c r="I27" s="712">
        <f ca="1">IF(ROWS($1:11)&gt;COUNT(Dong14),0,IF(OFFSET(TH!N$1,SMALL(Dong14,ROWS($1:11)),)="131",OFFSET(TH!M$1,SMALL(Dong14,ROWS($1:11)),),0))</f>
        <v>0</v>
      </c>
      <c r="J27" s="713">
        <f ca="1">IF(ROWS($1:11)&gt;COUNT(Dong14),0,IF(OFFSET(TH!O$1,SMALL(Dong14,ROWS($1:11)),)="131",OFFSET(TH!K$1,SMALL(Dong14,ROWS($1:11)),),0))</f>
        <v>0</v>
      </c>
      <c r="K27" s="712">
        <f ca="1">IF(ROWS($1:11)&gt;COUNT(Dong14),0,IF(OFFSET(TH!O$1,SMALL(Dong14,ROWS($1:11)),)="131",OFFSET(TH!M$1,SMALL(Dong14,ROWS($1:11)),),0))</f>
        <v>0</v>
      </c>
      <c r="L27" s="711">
        <f t="shared" ca="1" si="1"/>
        <v>0</v>
      </c>
      <c r="M27" s="710">
        <f t="shared" ca="1" si="2"/>
        <v>0</v>
      </c>
      <c r="N27" s="711">
        <f t="shared" ca="1" si="3"/>
        <v>0</v>
      </c>
      <c r="O27" s="710">
        <f t="shared" ca="1" si="4"/>
        <v>0</v>
      </c>
      <c r="P27" s="5"/>
      <c r="Q27" s="233"/>
    </row>
    <row r="28" spans="1:17" s="5" customFormat="1" ht="16.5" customHeight="1">
      <c r="A28" s="213" t="str">
        <f t="shared" ca="1" si="0"/>
        <v/>
      </c>
      <c r="B28" s="217" t="str">
        <f ca="1">IF(ROWS($1:12)&gt;COUNT(Dong14),"",OFFSET(TH!D$1,SMALL(Dong14,ROWS($1:12)),))</f>
        <v/>
      </c>
      <c r="C28" s="213" t="str">
        <f ca="1">IF(ROWS($1:12)&gt;COUNT(Dong14),"",OFFSET(TH!E$1,SMALL(Dong14,ROWS($1:12)),))</f>
        <v/>
      </c>
      <c r="D28" s="714" t="str">
        <f ca="1">IF(ROWS($1:12)&gt;COUNT(Dong14),"",OFFSET(TH!F$1,SMALL(Dong14,ROWS($1:12)),))</f>
        <v/>
      </c>
      <c r="E28" s="712" t="str">
        <f ca="1">IF(ROWS($1:12)&gt;COUNT(Dong14),"",IF(OFFSET(TH!N$1,SMALL(Dong14,ROWS($1:12)),)="131",OFFSET(TH!O$1,SMALL(Dong14,ROWS($1:12)),),OFFSET(TH!N$1,SMALL(Dong14,ROWS($1:12)),)))</f>
        <v/>
      </c>
      <c r="F28" s="712">
        <f ca="1">IF(ROWS($1:12)&gt;COUNT(Dong14),0,OFFSET(TH!L$1,SMALL(Dong14,ROWS($1:12)),))</f>
        <v>0</v>
      </c>
      <c r="G28" s="712"/>
      <c r="H28" s="1167">
        <f ca="1">IF(ROWS($1:12)&gt;COUNT(Dong14),0,IF(OFFSET(TH!N$1,SMALL(Dong14,ROWS($1:12)),)="131",OFFSET(TH!K$1,SMALL(Dong14,ROWS($1:12)),),0))</f>
        <v>0</v>
      </c>
      <c r="I28" s="712">
        <f ca="1">IF(ROWS($1:12)&gt;COUNT(Dong14),0,IF(OFFSET(TH!N$1,SMALL(Dong14,ROWS($1:12)),)="131",OFFSET(TH!M$1,SMALL(Dong14,ROWS($1:12)),),0))</f>
        <v>0</v>
      </c>
      <c r="J28" s="713">
        <f ca="1">IF(ROWS($1:12)&gt;COUNT(Dong14),0,IF(OFFSET(TH!O$1,SMALL(Dong14,ROWS($1:12)),)="131",OFFSET(TH!K$1,SMALL(Dong14,ROWS($1:12)),),0))</f>
        <v>0</v>
      </c>
      <c r="K28" s="712">
        <f ca="1">IF(ROWS($1:12)&gt;COUNT(Dong14),0,IF(OFFSET(TH!O$1,SMALL(Dong14,ROWS($1:12)),)="131",OFFSET(TH!M$1,SMALL(Dong14,ROWS($1:12)),),0))</f>
        <v>0</v>
      </c>
      <c r="L28" s="711">
        <f t="shared" ca="1" si="1"/>
        <v>0</v>
      </c>
      <c r="M28" s="710">
        <f t="shared" ca="1" si="2"/>
        <v>0</v>
      </c>
      <c r="N28" s="711">
        <f t="shared" ca="1" si="3"/>
        <v>0</v>
      </c>
      <c r="O28" s="710">
        <f t="shared" ca="1" si="4"/>
        <v>0</v>
      </c>
      <c r="Q28" s="233"/>
    </row>
    <row r="29" spans="1:17" s="5" customFormat="1" ht="16.5" customHeight="1">
      <c r="A29" s="213" t="str">
        <f t="shared" ca="1" si="0"/>
        <v/>
      </c>
      <c r="B29" s="217" t="str">
        <f ca="1">IF(ROWS($1:13)&gt;COUNT(Dong14),"",OFFSET(TH!D$1,SMALL(Dong14,ROWS($1:13)),))</f>
        <v/>
      </c>
      <c r="C29" s="213" t="str">
        <f ca="1">IF(ROWS($1:13)&gt;COUNT(Dong14),"",OFFSET(TH!E$1,SMALL(Dong14,ROWS($1:13)),))</f>
        <v/>
      </c>
      <c r="D29" s="714" t="str">
        <f ca="1">IF(ROWS($1:13)&gt;COUNT(Dong14),"",OFFSET(TH!F$1,SMALL(Dong14,ROWS($1:13)),))</f>
        <v/>
      </c>
      <c r="E29" s="712" t="str">
        <f ca="1">IF(ROWS($1:13)&gt;COUNT(Dong14),"",IF(OFFSET(TH!N$1,SMALL(Dong14,ROWS($1:13)),)="131",OFFSET(TH!O$1,SMALL(Dong14,ROWS($1:13)),),OFFSET(TH!N$1,SMALL(Dong14,ROWS($1:13)),)))</f>
        <v/>
      </c>
      <c r="F29" s="712">
        <f ca="1">IF(ROWS($1:13)&gt;COUNT(Dong14),0,OFFSET(TH!L$1,SMALL(Dong14,ROWS($1:13)),))</f>
        <v>0</v>
      </c>
      <c r="G29" s="712"/>
      <c r="H29" s="1167">
        <f ca="1">IF(ROWS($1:13)&gt;COUNT(Dong14),0,IF(OFFSET(TH!N$1,SMALL(Dong14,ROWS($1:13)),)="131",OFFSET(TH!K$1,SMALL(Dong14,ROWS($1:13)),),0))</f>
        <v>0</v>
      </c>
      <c r="I29" s="712">
        <f ca="1">IF(ROWS($1:13)&gt;COUNT(Dong14),0,IF(OFFSET(TH!N$1,SMALL(Dong14,ROWS($1:13)),)="131",OFFSET(TH!M$1,SMALL(Dong14,ROWS($1:13)),),0))</f>
        <v>0</v>
      </c>
      <c r="J29" s="713">
        <f ca="1">IF(ROWS($1:13)&gt;COUNT(Dong14),0,IF(OFFSET(TH!O$1,SMALL(Dong14,ROWS($1:13)),)="131",OFFSET(TH!K$1,SMALL(Dong14,ROWS($1:13)),),0))</f>
        <v>0</v>
      </c>
      <c r="K29" s="712">
        <f ca="1">IF(ROWS($1:13)&gt;COUNT(Dong14),0,IF(OFFSET(TH!O$1,SMALL(Dong14,ROWS($1:13)),)="131",OFFSET(TH!M$1,SMALL(Dong14,ROWS($1:13)),),0))</f>
        <v>0</v>
      </c>
      <c r="L29" s="711">
        <f t="shared" ca="1" si="1"/>
        <v>0</v>
      </c>
      <c r="M29" s="710">
        <f t="shared" ca="1" si="2"/>
        <v>0</v>
      </c>
      <c r="N29" s="711">
        <f t="shared" ca="1" si="3"/>
        <v>0</v>
      </c>
      <c r="O29" s="710">
        <f t="shared" ca="1" si="4"/>
        <v>0</v>
      </c>
    </row>
    <row r="30" spans="1:17" s="5" customFormat="1" ht="16.5" customHeight="1">
      <c r="A30" s="213" t="str">
        <f t="shared" ca="1" si="0"/>
        <v/>
      </c>
      <c r="B30" s="217" t="str">
        <f ca="1">IF(ROWS($1:14)&gt;COUNT(Dong14),"",OFFSET(TH!D$1,SMALL(Dong14,ROWS($1:14)),))</f>
        <v/>
      </c>
      <c r="C30" s="213" t="str">
        <f ca="1">IF(ROWS($1:14)&gt;COUNT(Dong14),"",OFFSET(TH!E$1,SMALL(Dong14,ROWS($1:14)),))</f>
        <v/>
      </c>
      <c r="D30" s="714" t="str">
        <f ca="1">IF(ROWS($1:14)&gt;COUNT(Dong14),"",OFFSET(TH!F$1,SMALL(Dong14,ROWS($1:14)),))</f>
        <v/>
      </c>
      <c r="E30" s="712" t="str">
        <f ca="1">IF(ROWS($1:14)&gt;COUNT(Dong14),"",IF(OFFSET(TH!N$1,SMALL(Dong14,ROWS($1:14)),)="131",OFFSET(TH!O$1,SMALL(Dong14,ROWS($1:14)),),OFFSET(TH!N$1,SMALL(Dong14,ROWS($1:14)),)))</f>
        <v/>
      </c>
      <c r="F30" s="712">
        <f ca="1">IF(ROWS($1:14)&gt;COUNT(Dong14),0,OFFSET(TH!L$1,SMALL(Dong14,ROWS($1:14)),))</f>
        <v>0</v>
      </c>
      <c r="G30" s="712"/>
      <c r="H30" s="1167">
        <f ca="1">IF(ROWS($1:14)&gt;COUNT(Dong14),0,IF(OFFSET(TH!N$1,SMALL(Dong14,ROWS($1:14)),)="131",OFFSET(TH!K$1,SMALL(Dong14,ROWS($1:14)),),0))</f>
        <v>0</v>
      </c>
      <c r="I30" s="712">
        <f ca="1">IF(ROWS($1:14)&gt;COUNT(Dong14),0,IF(OFFSET(TH!N$1,SMALL(Dong14,ROWS($1:14)),)="131",OFFSET(TH!M$1,SMALL(Dong14,ROWS($1:14)),),0))</f>
        <v>0</v>
      </c>
      <c r="J30" s="713">
        <f ca="1">IF(ROWS($1:14)&gt;COUNT(Dong14),0,IF(OFFSET(TH!O$1,SMALL(Dong14,ROWS($1:14)),)="131",OFFSET(TH!K$1,SMALL(Dong14,ROWS($1:14)),),0))</f>
        <v>0</v>
      </c>
      <c r="K30" s="712">
        <f ca="1">IF(ROWS($1:14)&gt;COUNT(Dong14),0,IF(OFFSET(TH!O$1,SMALL(Dong14,ROWS($1:14)),)="131",OFFSET(TH!M$1,SMALL(Dong14,ROWS($1:14)),),0))</f>
        <v>0</v>
      </c>
      <c r="L30" s="711">
        <f t="shared" ca="1" si="1"/>
        <v>0</v>
      </c>
      <c r="M30" s="710">
        <f t="shared" ca="1" si="2"/>
        <v>0</v>
      </c>
      <c r="N30" s="711">
        <f t="shared" ca="1" si="3"/>
        <v>0</v>
      </c>
      <c r="O30" s="710">
        <f t="shared" ca="1" si="4"/>
        <v>0</v>
      </c>
      <c r="Q30" s="233"/>
    </row>
    <row r="31" spans="1:17" s="5" customFormat="1" ht="16.5" customHeight="1">
      <c r="A31" s="213" t="str">
        <f t="shared" ca="1" si="0"/>
        <v/>
      </c>
      <c r="B31" s="217" t="str">
        <f ca="1">IF(ROWS($1:15)&gt;COUNT(Dong14),"",OFFSET(TH!D$1,SMALL(Dong14,ROWS($1:15)),))</f>
        <v/>
      </c>
      <c r="C31" s="213" t="str">
        <f ca="1">IF(ROWS($1:15)&gt;COUNT(Dong14),"",OFFSET(TH!E$1,SMALL(Dong14,ROWS($1:15)),))</f>
        <v/>
      </c>
      <c r="D31" s="714" t="str">
        <f ca="1">IF(ROWS($1:15)&gt;COUNT(Dong14),"",OFFSET(TH!F$1,SMALL(Dong14,ROWS($1:15)),))</f>
        <v/>
      </c>
      <c r="E31" s="712" t="str">
        <f ca="1">IF(ROWS($1:15)&gt;COUNT(Dong14),"",IF(OFFSET(TH!N$1,SMALL(Dong14,ROWS($1:15)),)="131",OFFSET(TH!O$1,SMALL(Dong14,ROWS($1:15)),),OFFSET(TH!N$1,SMALL(Dong14,ROWS($1:15)),)))</f>
        <v/>
      </c>
      <c r="F31" s="712">
        <f ca="1">IF(ROWS($1:15)&gt;COUNT(Dong14),0,OFFSET(TH!L$1,SMALL(Dong14,ROWS($1:15)),))</f>
        <v>0</v>
      </c>
      <c r="G31" s="712"/>
      <c r="H31" s="1167">
        <f ca="1">IF(ROWS($1:15)&gt;COUNT(Dong14),0,IF(OFFSET(TH!N$1,SMALL(Dong14,ROWS($1:15)),)="131",OFFSET(TH!K$1,SMALL(Dong14,ROWS($1:15)),),0))</f>
        <v>0</v>
      </c>
      <c r="I31" s="712">
        <f ca="1">IF(ROWS($1:15)&gt;COUNT(Dong14),0,IF(OFFSET(TH!N$1,SMALL(Dong14,ROWS($1:15)),)="131",OFFSET(TH!M$1,SMALL(Dong14,ROWS($1:15)),),0))</f>
        <v>0</v>
      </c>
      <c r="J31" s="713">
        <f ca="1">IF(ROWS($1:15)&gt;COUNT(Dong14),0,IF(OFFSET(TH!O$1,SMALL(Dong14,ROWS($1:15)),)="131",OFFSET(TH!K$1,SMALL(Dong14,ROWS($1:15)),),0))</f>
        <v>0</v>
      </c>
      <c r="K31" s="712">
        <f ca="1">IF(ROWS($1:15)&gt;COUNT(Dong14),0,IF(OFFSET(TH!O$1,SMALL(Dong14,ROWS($1:15)),)="131",OFFSET(TH!M$1,SMALL(Dong14,ROWS($1:15)),),0))</f>
        <v>0</v>
      </c>
      <c r="L31" s="711">
        <f t="shared" ca="1" si="1"/>
        <v>0</v>
      </c>
      <c r="M31" s="710">
        <f t="shared" ca="1" si="2"/>
        <v>0</v>
      </c>
      <c r="N31" s="711">
        <f t="shared" ca="1" si="3"/>
        <v>0</v>
      </c>
      <c r="O31" s="710">
        <f t="shared" ca="1" si="4"/>
        <v>0</v>
      </c>
      <c r="Q31" s="233"/>
    </row>
    <row r="32" spans="1:17" s="5" customFormat="1" ht="16.5" customHeight="1">
      <c r="A32" s="213" t="str">
        <f t="shared" ca="1" si="0"/>
        <v/>
      </c>
      <c r="B32" s="217" t="str">
        <f ca="1">IF(ROWS($1:16)&gt;COUNT(Dong14),"",OFFSET(TH!D$1,SMALL(Dong14,ROWS($1:16)),))</f>
        <v/>
      </c>
      <c r="C32" s="213" t="str">
        <f ca="1">IF(ROWS($1:16)&gt;COUNT(Dong14),"",OFFSET(TH!E$1,SMALL(Dong14,ROWS($1:16)),))</f>
        <v/>
      </c>
      <c r="D32" s="714" t="str">
        <f ca="1">IF(ROWS($1:16)&gt;COUNT(Dong14),"",OFFSET(TH!F$1,SMALL(Dong14,ROWS($1:16)),))</f>
        <v/>
      </c>
      <c r="E32" s="712" t="str">
        <f ca="1">IF(ROWS($1:16)&gt;COUNT(Dong14),"",IF(OFFSET(TH!N$1,SMALL(Dong14,ROWS($1:16)),)="131",OFFSET(TH!O$1,SMALL(Dong14,ROWS($1:16)),),OFFSET(TH!N$1,SMALL(Dong14,ROWS($1:16)),)))</f>
        <v/>
      </c>
      <c r="F32" s="712">
        <f ca="1">IF(ROWS($1:16)&gt;COUNT(Dong14),0,OFFSET(TH!L$1,SMALL(Dong14,ROWS($1:16)),))</f>
        <v>0</v>
      </c>
      <c r="G32" s="712"/>
      <c r="H32" s="1167">
        <f ca="1">IF(ROWS($1:16)&gt;COUNT(Dong14),0,IF(OFFSET(TH!N$1,SMALL(Dong14,ROWS($1:16)),)="131",OFFSET(TH!K$1,SMALL(Dong14,ROWS($1:16)),),0))</f>
        <v>0</v>
      </c>
      <c r="I32" s="712">
        <f ca="1">IF(ROWS($1:16)&gt;COUNT(Dong14),0,IF(OFFSET(TH!N$1,SMALL(Dong14,ROWS($1:16)),)="131",OFFSET(TH!M$1,SMALL(Dong14,ROWS($1:16)),),0))</f>
        <v>0</v>
      </c>
      <c r="J32" s="713">
        <f ca="1">IF(ROWS($1:16)&gt;COUNT(Dong14),0,IF(OFFSET(TH!O$1,SMALL(Dong14,ROWS($1:16)),)="131",OFFSET(TH!K$1,SMALL(Dong14,ROWS($1:16)),),0))</f>
        <v>0</v>
      </c>
      <c r="K32" s="712">
        <f ca="1">IF(ROWS($1:16)&gt;COUNT(Dong14),0,IF(OFFSET(TH!O$1,SMALL(Dong14,ROWS($1:16)),)="131",OFFSET(TH!M$1,SMALL(Dong14,ROWS($1:16)),),0))</f>
        <v>0</v>
      </c>
      <c r="L32" s="711">
        <f t="shared" ca="1" si="1"/>
        <v>0</v>
      </c>
      <c r="M32" s="710">
        <f t="shared" ca="1" si="2"/>
        <v>0</v>
      </c>
      <c r="N32" s="711">
        <f t="shared" ca="1" si="3"/>
        <v>0</v>
      </c>
      <c r="O32" s="710">
        <f t="shared" ca="1" si="4"/>
        <v>0</v>
      </c>
      <c r="Q32" s="233"/>
    </row>
    <row r="33" spans="1:17" s="5" customFormat="1" ht="16.5" customHeight="1">
      <c r="A33" s="213" t="str">
        <f t="shared" ca="1" si="0"/>
        <v/>
      </c>
      <c r="B33" s="217" t="str">
        <f ca="1">IF(ROWS($1:17)&gt;COUNT(Dong14),"",OFFSET(TH!D$1,SMALL(Dong14,ROWS($1:17)),))</f>
        <v/>
      </c>
      <c r="C33" s="213" t="str">
        <f ca="1">IF(ROWS($1:17)&gt;COUNT(Dong14),"",OFFSET(TH!E$1,SMALL(Dong14,ROWS($1:17)),))</f>
        <v/>
      </c>
      <c r="D33" s="714" t="str">
        <f ca="1">IF(ROWS($1:17)&gt;COUNT(Dong14),"",OFFSET(TH!F$1,SMALL(Dong14,ROWS($1:17)),))</f>
        <v/>
      </c>
      <c r="E33" s="712" t="str">
        <f ca="1">IF(ROWS($1:17)&gt;COUNT(Dong14),"",IF(OFFSET(TH!N$1,SMALL(Dong14,ROWS($1:17)),)="131",OFFSET(TH!O$1,SMALL(Dong14,ROWS($1:17)),),OFFSET(TH!N$1,SMALL(Dong14,ROWS($1:17)),)))</f>
        <v/>
      </c>
      <c r="F33" s="712">
        <f ca="1">IF(ROWS($1:17)&gt;COUNT(Dong14),0,OFFSET(TH!L$1,SMALL(Dong14,ROWS($1:17)),))</f>
        <v>0</v>
      </c>
      <c r="G33" s="712"/>
      <c r="H33" s="1167">
        <f ca="1">IF(ROWS($1:17)&gt;COUNT(Dong14),0,IF(OFFSET(TH!N$1,SMALL(Dong14,ROWS($1:17)),)="131",OFFSET(TH!K$1,SMALL(Dong14,ROWS($1:17)),),0))</f>
        <v>0</v>
      </c>
      <c r="I33" s="712">
        <f ca="1">IF(ROWS($1:17)&gt;COUNT(Dong14),0,IF(OFFSET(TH!N$1,SMALL(Dong14,ROWS($1:17)),)="131",OFFSET(TH!M$1,SMALL(Dong14,ROWS($1:17)),),0))</f>
        <v>0</v>
      </c>
      <c r="J33" s="713">
        <f ca="1">IF(ROWS($1:17)&gt;COUNT(Dong14),0,IF(OFFSET(TH!O$1,SMALL(Dong14,ROWS($1:17)),)="131",OFFSET(TH!K$1,SMALL(Dong14,ROWS($1:17)),),0))</f>
        <v>0</v>
      </c>
      <c r="K33" s="712">
        <f ca="1">IF(ROWS($1:17)&gt;COUNT(Dong14),0,IF(OFFSET(TH!O$1,SMALL(Dong14,ROWS($1:17)),)="131",OFFSET(TH!M$1,SMALL(Dong14,ROWS($1:17)),),0))</f>
        <v>0</v>
      </c>
      <c r="L33" s="711">
        <f t="shared" ca="1" si="1"/>
        <v>0</v>
      </c>
      <c r="M33" s="710">
        <f t="shared" ca="1" si="2"/>
        <v>0</v>
      </c>
      <c r="N33" s="711">
        <f t="shared" ca="1" si="3"/>
        <v>0</v>
      </c>
      <c r="O33" s="710">
        <f t="shared" ca="1" si="4"/>
        <v>0</v>
      </c>
      <c r="Q33" s="233"/>
    </row>
    <row r="34" spans="1:17" s="5" customFormat="1" ht="16.5" customHeight="1">
      <c r="A34" s="213" t="str">
        <f t="shared" ca="1" si="0"/>
        <v/>
      </c>
      <c r="B34" s="217" t="str">
        <f ca="1">IF(ROWS($1:18)&gt;COUNT(Dong14),"",OFFSET(TH!D$1,SMALL(Dong14,ROWS($1:18)),))</f>
        <v/>
      </c>
      <c r="C34" s="213" t="str">
        <f ca="1">IF(ROWS($1:18)&gt;COUNT(Dong14),"",OFFSET(TH!E$1,SMALL(Dong14,ROWS($1:18)),))</f>
        <v/>
      </c>
      <c r="D34" s="714" t="str">
        <f ca="1">IF(ROWS($1:18)&gt;COUNT(Dong14),"",OFFSET(TH!F$1,SMALL(Dong14,ROWS($1:18)),))</f>
        <v/>
      </c>
      <c r="E34" s="712" t="str">
        <f ca="1">IF(ROWS($1:18)&gt;COUNT(Dong14),"",IF(OFFSET(TH!N$1,SMALL(Dong14,ROWS($1:18)),)="131",OFFSET(TH!O$1,SMALL(Dong14,ROWS($1:18)),),OFFSET(TH!N$1,SMALL(Dong14,ROWS($1:18)),)))</f>
        <v/>
      </c>
      <c r="F34" s="712">
        <f ca="1">IF(ROWS($1:18)&gt;COUNT(Dong14),0,OFFSET(TH!L$1,SMALL(Dong14,ROWS($1:18)),))</f>
        <v>0</v>
      </c>
      <c r="G34" s="712"/>
      <c r="H34" s="1167">
        <f ca="1">IF(ROWS($1:18)&gt;COUNT(Dong14),0,IF(OFFSET(TH!N$1,SMALL(Dong14,ROWS($1:18)),)="131",OFFSET(TH!K$1,SMALL(Dong14,ROWS($1:18)),),0))</f>
        <v>0</v>
      </c>
      <c r="I34" s="712">
        <f ca="1">IF(ROWS($1:18)&gt;COUNT(Dong14),0,IF(OFFSET(TH!N$1,SMALL(Dong14,ROWS($1:18)),)="131",OFFSET(TH!M$1,SMALL(Dong14,ROWS($1:18)),),0))</f>
        <v>0</v>
      </c>
      <c r="J34" s="713">
        <f ca="1">IF(ROWS($1:18)&gt;COUNT(Dong14),0,IF(OFFSET(TH!O$1,SMALL(Dong14,ROWS($1:18)),)="131",OFFSET(TH!K$1,SMALL(Dong14,ROWS($1:18)),),0))</f>
        <v>0</v>
      </c>
      <c r="K34" s="712">
        <f ca="1">IF(ROWS($1:18)&gt;COUNT(Dong14),0,IF(OFFSET(TH!O$1,SMALL(Dong14,ROWS($1:18)),)="131",OFFSET(TH!M$1,SMALL(Dong14,ROWS($1:18)),),0))</f>
        <v>0</v>
      </c>
      <c r="L34" s="711">
        <f t="shared" ref="L34:L38" ca="1" si="5">IF(D34&lt;&gt;"",ROUND(MAX(L33+H34-J34-N33,0),2),0)</f>
        <v>0</v>
      </c>
      <c r="M34" s="710">
        <f t="shared" ref="M34:M38" ca="1" si="6">IF(D34&lt;&gt;"",MAX(M33-O33+I34-K34,0),0)</f>
        <v>0</v>
      </c>
      <c r="N34" s="711">
        <f t="shared" ref="N34:N38" ca="1" si="7">IF(D34&lt;&gt;"",ROUND(MAX(N33+J34-H34-L33,0),2),0)</f>
        <v>0</v>
      </c>
      <c r="O34" s="710">
        <f t="shared" ref="O34:O38" ca="1" si="8">IF(D34&lt;&gt;"",MAX(O33-M33+K34-I34,0),0)</f>
        <v>0</v>
      </c>
      <c r="Q34" s="233"/>
    </row>
    <row r="35" spans="1:17" s="5" customFormat="1" ht="16.5" customHeight="1">
      <c r="A35" s="1144" t="str">
        <f t="shared" ca="1" si="0"/>
        <v/>
      </c>
      <c r="B35" s="1145" t="str">
        <f ca="1">IF(ROWS($1:19)&gt;COUNT(Dong14),"",OFFSET(TH!D$1,SMALL(Dong14,ROWS($1:19)),))</f>
        <v/>
      </c>
      <c r="C35" s="1144" t="str">
        <f ca="1">IF(ROWS($1:19)&gt;COUNT(Dong14),"",OFFSET(TH!E$1,SMALL(Dong14,ROWS($1:19)),))</f>
        <v/>
      </c>
      <c r="D35" s="1146" t="str">
        <f ca="1">IF(ROWS($1:19)&gt;COUNT(Dong14),"",OFFSET(TH!F$1,SMALL(Dong14,ROWS($1:19)),))</f>
        <v/>
      </c>
      <c r="E35" s="1147" t="str">
        <f ca="1">IF(ROWS($1:19)&gt;COUNT(Dong14),"",IF(OFFSET(TH!N$1,SMALL(Dong14,ROWS($1:19)),)="131",OFFSET(TH!O$1,SMALL(Dong14,ROWS($1:19)),),OFFSET(TH!N$1,SMALL(Dong14,ROWS($1:19)),)))</f>
        <v/>
      </c>
      <c r="F35" s="1147">
        <f ca="1">IF(ROWS($1:19)&gt;COUNT(Dong14),0,OFFSET(TH!L$1,SMALL(Dong14,ROWS($1:19)),))</f>
        <v>0</v>
      </c>
      <c r="G35" s="1147"/>
      <c r="H35" s="1139">
        <f ca="1">IF(ROWS($1:19)&gt;COUNT(Dong14),0,IF(OFFSET(TH!N$1,SMALL(Dong14,ROWS($1:19)),)="131",OFFSET(TH!K$1,SMALL(Dong14,ROWS($1:19)),),0))</f>
        <v>0</v>
      </c>
      <c r="I35" s="1147">
        <f ca="1">IF(ROWS($1:19)&gt;COUNT(Dong14),0,IF(OFFSET(TH!N$1,SMALL(Dong14,ROWS($1:19)),)="131",OFFSET(TH!M$1,SMALL(Dong14,ROWS($1:19)),),0))</f>
        <v>0</v>
      </c>
      <c r="J35" s="1139">
        <f ca="1">IF(ROWS($1:19)&gt;COUNT(Dong14),0,IF(OFFSET(TH!O$1,SMALL(Dong14,ROWS($1:19)),)="131",OFFSET(TH!K$1,SMALL(Dong14,ROWS($1:19)),),0))</f>
        <v>0</v>
      </c>
      <c r="K35" s="1147">
        <f ca="1">IF(ROWS($1:19)&gt;COUNT(Dong14),0,IF(OFFSET(TH!O$1,SMALL(Dong14,ROWS($1:19)),)="131",OFFSET(TH!M$1,SMALL(Dong14,ROWS($1:19)),),0))</f>
        <v>0</v>
      </c>
      <c r="L35" s="711">
        <f t="shared" ca="1" si="5"/>
        <v>0</v>
      </c>
      <c r="M35" s="710">
        <f t="shared" ca="1" si="6"/>
        <v>0</v>
      </c>
      <c r="N35" s="711">
        <f t="shared" ca="1" si="7"/>
        <v>0</v>
      </c>
      <c r="O35" s="710">
        <f t="shared" ca="1" si="8"/>
        <v>0</v>
      </c>
      <c r="P35" s="1148"/>
      <c r="Q35" s="1149"/>
    </row>
    <row r="36" spans="1:17" s="5" customFormat="1" ht="16.5" customHeight="1">
      <c r="A36" s="213" t="str">
        <f t="shared" ca="1" si="0"/>
        <v/>
      </c>
      <c r="B36" s="217" t="str">
        <f ca="1">IF(ROWS($1:20)&gt;COUNT(Dong14),"",OFFSET(TH!D$1,SMALL(Dong14,ROWS($1:20)),))</f>
        <v/>
      </c>
      <c r="C36" s="213" t="str">
        <f ca="1">IF(ROWS($1:20)&gt;COUNT(Dong14),"",OFFSET(TH!E$1,SMALL(Dong14,ROWS($1:20)),))</f>
        <v/>
      </c>
      <c r="D36" s="714" t="str">
        <f ca="1">IF(ROWS($1:20)&gt;COUNT(Dong14),"",OFFSET(TH!F$1,SMALL(Dong14,ROWS($1:20)),))</f>
        <v/>
      </c>
      <c r="E36" s="712" t="str">
        <f ca="1">IF(ROWS($1:20)&gt;COUNT(Dong14),"",IF(OFFSET(TH!N$1,SMALL(Dong14,ROWS($1:20)),)="131",OFFSET(TH!O$1,SMALL(Dong14,ROWS($1:20)),),OFFSET(TH!N$1,SMALL(Dong14,ROWS($1:20)),)))</f>
        <v/>
      </c>
      <c r="F36" s="712">
        <f ca="1">IF(ROWS($1:20)&gt;COUNT(Dong14),0,OFFSET(TH!L$1,SMALL(Dong14,ROWS($1:20)),))</f>
        <v>0</v>
      </c>
      <c r="G36" s="712"/>
      <c r="H36" s="1167">
        <f ca="1">IF(ROWS($1:20)&gt;COUNT(Dong14),0,IF(OFFSET(TH!N$1,SMALL(Dong14,ROWS($1:20)),)="131",OFFSET(TH!K$1,SMALL(Dong14,ROWS($1:20)),),0))</f>
        <v>0</v>
      </c>
      <c r="I36" s="712">
        <f ca="1">IF(ROWS($1:20)&gt;COUNT(Dong14),0,IF(OFFSET(TH!N$1,SMALL(Dong14,ROWS($1:20)),)="131",OFFSET(TH!M$1,SMALL(Dong14,ROWS($1:20)),),0))</f>
        <v>0</v>
      </c>
      <c r="J36" s="713">
        <f ca="1">IF(ROWS($1:20)&gt;COUNT(Dong14),0,IF(OFFSET(TH!O$1,SMALL(Dong14,ROWS($1:20)),)="131",OFFSET(TH!K$1,SMALL(Dong14,ROWS($1:20)),),0))</f>
        <v>0</v>
      </c>
      <c r="K36" s="712">
        <f ca="1">IF(ROWS($1:20)&gt;COUNT(Dong14),0,IF(OFFSET(TH!O$1,SMALL(Dong14,ROWS($1:20)),)="131",OFFSET(TH!M$1,SMALL(Dong14,ROWS($1:20)),),0))</f>
        <v>0</v>
      </c>
      <c r="L36" s="711">
        <f t="shared" ca="1" si="5"/>
        <v>0</v>
      </c>
      <c r="M36" s="710">
        <f t="shared" ca="1" si="6"/>
        <v>0</v>
      </c>
      <c r="N36" s="711">
        <f t="shared" ca="1" si="7"/>
        <v>0</v>
      </c>
      <c r="O36" s="710">
        <f t="shared" ca="1" si="8"/>
        <v>0</v>
      </c>
      <c r="Q36" s="233"/>
    </row>
    <row r="37" spans="1:17" s="5" customFormat="1" ht="16.5" customHeight="1">
      <c r="A37" s="1144" t="str">
        <f t="shared" ca="1" si="0"/>
        <v/>
      </c>
      <c r="B37" s="1145" t="str">
        <f ca="1">IF(ROWS($1:21)&gt;COUNT(Dong14),"",OFFSET(TH!D$1,SMALL(Dong14,ROWS($1:21)),))</f>
        <v/>
      </c>
      <c r="C37" s="1144" t="str">
        <f ca="1">IF(ROWS($1:21)&gt;COUNT(Dong14),"",OFFSET(TH!E$1,SMALL(Dong14,ROWS($1:21)),))</f>
        <v/>
      </c>
      <c r="D37" s="1146" t="str">
        <f ca="1">IF(ROWS($1:21)&gt;COUNT(Dong14),"",OFFSET(TH!F$1,SMALL(Dong14,ROWS($1:21)),))</f>
        <v/>
      </c>
      <c r="E37" s="1147" t="str">
        <f ca="1">IF(ROWS($1:21)&gt;COUNT(Dong14),"",IF(OFFSET(TH!N$1,SMALL(Dong14,ROWS($1:21)),)="131",OFFSET(TH!O$1,SMALL(Dong14,ROWS($1:21)),),OFFSET(TH!N$1,SMALL(Dong14,ROWS($1:21)),)))</f>
        <v/>
      </c>
      <c r="F37" s="1147">
        <f ca="1">IF(ROWS($1:21)&gt;COUNT(Dong14),0,OFFSET(TH!L$1,SMALL(Dong14,ROWS($1:21)),))</f>
        <v>0</v>
      </c>
      <c r="G37" s="1147"/>
      <c r="H37" s="1167">
        <f ca="1">IF(ROWS($1:21)&gt;COUNT(Dong14),0,IF(OFFSET(TH!N$1,SMALL(Dong14,ROWS($1:21)),)="131",OFFSET(TH!K$1,SMALL(Dong14,ROWS($1:21)),),0))</f>
        <v>0</v>
      </c>
      <c r="I37" s="1147">
        <f ca="1">IF(ROWS($1:21)&gt;COUNT(Dong14),0,IF(OFFSET(TH!N$1,SMALL(Dong14,ROWS($1:21)),)="131",OFFSET(TH!M$1,SMALL(Dong14,ROWS($1:21)),),0))</f>
        <v>0</v>
      </c>
      <c r="J37" s="1139">
        <f ca="1">IF(ROWS($1:21)&gt;COUNT(Dong14),0,IF(OFFSET(TH!O$1,SMALL(Dong14,ROWS($1:21)),)="131",OFFSET(TH!K$1,SMALL(Dong14,ROWS($1:21)),),0))</f>
        <v>0</v>
      </c>
      <c r="K37" s="1147">
        <f ca="1">IF(ROWS($1:21)&gt;COUNT(Dong14),0,IF(OFFSET(TH!O$1,SMALL(Dong14,ROWS($1:21)),)="131",OFFSET(TH!M$1,SMALL(Dong14,ROWS($1:21)),),0))</f>
        <v>0</v>
      </c>
      <c r="L37" s="711">
        <f t="shared" ca="1" si="5"/>
        <v>0</v>
      </c>
      <c r="M37" s="710">
        <f t="shared" ca="1" si="6"/>
        <v>0</v>
      </c>
      <c r="N37" s="711">
        <f t="shared" ca="1" si="7"/>
        <v>0</v>
      </c>
      <c r="O37" s="710">
        <f t="shared" ca="1" si="8"/>
        <v>0</v>
      </c>
      <c r="P37" s="1148"/>
      <c r="Q37" s="1148"/>
    </row>
    <row r="38" spans="1:17" s="5" customFormat="1" ht="16.5" customHeight="1">
      <c r="A38" s="1144" t="str">
        <f t="shared" ca="1" si="0"/>
        <v/>
      </c>
      <c r="B38" s="1145" t="str">
        <f ca="1">IF(ROWS($1:22)&gt;COUNT(Dong14),"",OFFSET(TH!D$1,SMALL(Dong14,ROWS($1:22)),))</f>
        <v/>
      </c>
      <c r="C38" s="1144" t="str">
        <f ca="1">IF(ROWS($1:22)&gt;COUNT(Dong14),"",OFFSET(TH!E$1,SMALL(Dong14,ROWS($1:22)),))</f>
        <v/>
      </c>
      <c r="D38" s="1146" t="str">
        <f ca="1">IF(ROWS($1:22)&gt;COUNT(Dong14),"",OFFSET(TH!F$1,SMALL(Dong14,ROWS($1:22)),))</f>
        <v/>
      </c>
      <c r="E38" s="1147" t="str">
        <f ca="1">IF(ROWS($1:22)&gt;COUNT(Dong14),"",IF(OFFSET(TH!N$1,SMALL(Dong14,ROWS($1:22)),)="131",OFFSET(TH!O$1,SMALL(Dong14,ROWS($1:22)),),OFFSET(TH!N$1,SMALL(Dong14,ROWS($1:22)),)))</f>
        <v/>
      </c>
      <c r="F38" s="1147">
        <f ca="1">IF(ROWS($1:22)&gt;COUNT(Dong14),0,OFFSET(TH!L$1,SMALL(Dong14,ROWS($1:22)),))</f>
        <v>0</v>
      </c>
      <c r="G38" s="1147"/>
      <c r="H38" s="1139">
        <f ca="1">IF(ROWS($1:22)&gt;COUNT(Dong14),0,IF(OFFSET(TH!N$1,SMALL(Dong14,ROWS($1:22)),)="131",OFFSET(TH!K$1,SMALL(Dong14,ROWS($1:22)),),0))</f>
        <v>0</v>
      </c>
      <c r="I38" s="1147">
        <f ca="1">IF(ROWS($1:22)&gt;COUNT(Dong14),0,IF(OFFSET(TH!N$1,SMALL(Dong14,ROWS($1:22)),)="131",OFFSET(TH!M$1,SMALL(Dong14,ROWS($1:22)),),0))</f>
        <v>0</v>
      </c>
      <c r="J38" s="1139">
        <f ca="1">IF(ROWS($1:22)&gt;COUNT(Dong14),0,IF(OFFSET(TH!O$1,SMALL(Dong14,ROWS($1:22)),)="131",OFFSET(TH!K$1,SMALL(Dong14,ROWS($1:22)),),0))</f>
        <v>0</v>
      </c>
      <c r="K38" s="1147">
        <f ca="1">IF(ROWS($1:22)&gt;COUNT(Dong14),0,IF(OFFSET(TH!O$1,SMALL(Dong14,ROWS($1:22)),)="131",OFFSET(TH!M$1,SMALL(Dong14,ROWS($1:22)),),0))</f>
        <v>0</v>
      </c>
      <c r="L38" s="711">
        <f t="shared" ca="1" si="5"/>
        <v>0</v>
      </c>
      <c r="M38" s="710">
        <f t="shared" ca="1" si="6"/>
        <v>0</v>
      </c>
      <c r="N38" s="711">
        <f t="shared" ca="1" si="7"/>
        <v>0</v>
      </c>
      <c r="O38" s="710">
        <f t="shared" ca="1" si="8"/>
        <v>0</v>
      </c>
      <c r="P38" s="1148"/>
      <c r="Q38" s="1149"/>
    </row>
    <row r="39" spans="1:17" s="5" customFormat="1" ht="16.5" customHeight="1">
      <c r="A39" s="213" t="str">
        <f t="shared" ca="1" si="0"/>
        <v/>
      </c>
      <c r="B39" s="217" t="str">
        <f ca="1">IF(ROWS($1:23)&gt;COUNT(Dong14),"",OFFSET(TH!D$1,SMALL(Dong14,ROWS($1:23)),))</f>
        <v/>
      </c>
      <c r="C39" s="213" t="str">
        <f ca="1">IF(ROWS($1:23)&gt;COUNT(Dong14),"",OFFSET(TH!E$1,SMALL(Dong14,ROWS($1:23)),))</f>
        <v/>
      </c>
      <c r="D39" s="714" t="str">
        <f ca="1">IF(ROWS($1:23)&gt;COUNT(Dong14),"",OFFSET(TH!F$1,SMALL(Dong14,ROWS($1:23)),))</f>
        <v/>
      </c>
      <c r="E39" s="712" t="str">
        <f ca="1">IF(ROWS($1:23)&gt;COUNT(Dong14),"",IF(OFFSET(TH!N$1,SMALL(Dong14,ROWS($1:23)),)="131",OFFSET(TH!O$1,SMALL(Dong14,ROWS($1:23)),),OFFSET(TH!N$1,SMALL(Dong14,ROWS($1:23)),)))</f>
        <v/>
      </c>
      <c r="F39" s="712">
        <f ca="1">IF(ROWS($1:23)&gt;COUNT(Dong14),0,OFFSET(TH!L$1,SMALL(Dong14,ROWS($1:23)),))</f>
        <v>0</v>
      </c>
      <c r="G39" s="712"/>
      <c r="H39" s="1139">
        <f ca="1">IF(ROWS($1:23)&gt;COUNT(Dong14),0,IF(OFFSET(TH!N$1,SMALL(Dong14,ROWS($1:23)),)="131",OFFSET(TH!K$1,SMALL(Dong14,ROWS($1:23)),),0))</f>
        <v>0</v>
      </c>
      <c r="I39" s="712">
        <f ca="1">IF(ROWS($1:23)&gt;COUNT(Dong14),0,IF(OFFSET(TH!N$1,SMALL(Dong14,ROWS($1:23)),)="131",OFFSET(TH!M$1,SMALL(Dong14,ROWS($1:23)),),0))</f>
        <v>0</v>
      </c>
      <c r="J39" s="713">
        <f ca="1">IF(ROWS($1:23)&gt;COUNT(Dong14),0,IF(OFFSET(TH!O$1,SMALL(Dong14,ROWS($1:23)),)="131",OFFSET(TH!K$1,SMALL(Dong14,ROWS($1:23)),),0))</f>
        <v>0</v>
      </c>
      <c r="K39" s="712">
        <f ca="1">IF(ROWS($1:23)&gt;COUNT(Dong14),0,IF(OFFSET(TH!O$1,SMALL(Dong14,ROWS($1:23)),)="131",OFFSET(TH!M$1,SMALL(Dong14,ROWS($1:23)),),0))</f>
        <v>0</v>
      </c>
      <c r="L39" s="711">
        <f t="shared" ca="1" si="1"/>
        <v>0</v>
      </c>
      <c r="M39" s="710">
        <f t="shared" ca="1" si="2"/>
        <v>0</v>
      </c>
      <c r="N39" s="711">
        <f t="shared" ca="1" si="3"/>
        <v>0</v>
      </c>
      <c r="O39" s="710">
        <f t="shared" ca="1" si="4"/>
        <v>0</v>
      </c>
    </row>
    <row r="40" spans="1:17" s="5" customFormat="1" ht="16.5" customHeight="1">
      <c r="A40" s="213" t="str">
        <f t="shared" ref="A40:A45" ca="1" si="9">IF(C40&lt;&gt;"",C40,"")</f>
        <v/>
      </c>
      <c r="B40" s="217" t="str">
        <f ca="1">IF(ROWS($1:24)&gt;COUNT(Dong14),"",OFFSET(TH!D$1,SMALL(Dong14,ROWS($1:24)),))</f>
        <v/>
      </c>
      <c r="C40" s="213" t="str">
        <f ca="1">IF(ROWS($1:24)&gt;COUNT(Dong14),"",OFFSET(TH!E$1,SMALL(Dong14,ROWS($1:24)),))</f>
        <v/>
      </c>
      <c r="D40" s="714" t="str">
        <f ca="1">IF(ROWS($1:24)&gt;COUNT(Dong14),"",OFFSET(TH!F$1,SMALL(Dong14,ROWS($1:24)),))</f>
        <v/>
      </c>
      <c r="E40" s="712" t="str">
        <f ca="1">IF(ROWS($1:24)&gt;COUNT(Dong14),"",IF(OFFSET(TH!N$1,SMALL(Dong14,ROWS($1:24)),)="131",OFFSET(TH!O$1,SMALL(Dong14,ROWS($1:24)),),OFFSET(TH!N$1,SMALL(Dong14,ROWS($1:24)),)))</f>
        <v/>
      </c>
      <c r="F40" s="712">
        <f ca="1">IF(ROWS($1:24)&gt;COUNT(Dong14),0,OFFSET(TH!L$1,SMALL(Dong14,ROWS($1:24)),))</f>
        <v>0</v>
      </c>
      <c r="G40" s="712"/>
      <c r="H40" s="1139">
        <f ca="1">IF(ROWS($1:24)&gt;COUNT(Dong14),0,IF(OFFSET(TH!N$1,SMALL(Dong14,ROWS($1:24)),)="131",OFFSET(TH!K$1,SMALL(Dong14,ROWS($1:24)),),0))</f>
        <v>0</v>
      </c>
      <c r="I40" s="712">
        <f ca="1">IF(ROWS($1:24)&gt;COUNT(Dong14),0,IF(OFFSET(TH!N$1,SMALL(Dong14,ROWS($1:24)),)="131",OFFSET(TH!M$1,SMALL(Dong14,ROWS($1:24)),),0))</f>
        <v>0</v>
      </c>
      <c r="J40" s="713">
        <f ca="1">IF(ROWS($1:24)&gt;COUNT(Dong14),0,IF(OFFSET(TH!O$1,SMALL(Dong14,ROWS($1:24)),)="131",OFFSET(TH!K$1,SMALL(Dong14,ROWS($1:24)),),0))</f>
        <v>0</v>
      </c>
      <c r="K40" s="712">
        <f ca="1">IF(ROWS($1:24)&gt;COUNT(Dong14),0,IF(OFFSET(TH!O$1,SMALL(Dong14,ROWS($1:24)),)="131",OFFSET(TH!M$1,SMALL(Dong14,ROWS($1:24)),),0))</f>
        <v>0</v>
      </c>
      <c r="L40" s="711">
        <f t="shared" ref="L40:L45" ca="1" si="10">IF(D40&lt;&gt;"",ROUND(MAX(L39+H40-J40-N39,0),2),0)</f>
        <v>0</v>
      </c>
      <c r="M40" s="710">
        <f t="shared" ref="M40:M45" ca="1" si="11">IF(D40&lt;&gt;"",MAX(M39-O39+I40-K40,0),0)</f>
        <v>0</v>
      </c>
      <c r="N40" s="711">
        <f t="shared" ref="N40:N45" ca="1" si="12">IF(D40&lt;&gt;"",ROUND(MAX(N39+J40-H40-L39,0),2),0)</f>
        <v>0</v>
      </c>
      <c r="O40" s="710">
        <f t="shared" ref="O40:O45" ca="1" si="13">IF(D40&lt;&gt;"",MAX(O39-M39+K40-I40,0),0)</f>
        <v>0</v>
      </c>
    </row>
    <row r="41" spans="1:17" s="5" customFormat="1" ht="16.5" customHeight="1">
      <c r="A41" s="213" t="str">
        <f t="shared" ca="1" si="9"/>
        <v/>
      </c>
      <c r="B41" s="217" t="str">
        <f ca="1">IF(ROWS($1:25)&gt;COUNT(Dong14),"",OFFSET(TH!D$1,SMALL(Dong14,ROWS($1:25)),))</f>
        <v/>
      </c>
      <c r="C41" s="213" t="str">
        <f ca="1">IF(ROWS($1:25)&gt;COUNT(Dong14),"",OFFSET(TH!E$1,SMALL(Dong14,ROWS($1:25)),))</f>
        <v/>
      </c>
      <c r="D41" s="714" t="str">
        <f ca="1">IF(ROWS($1:25)&gt;COUNT(Dong14),"",OFFSET(TH!F$1,SMALL(Dong14,ROWS($1:25)),))</f>
        <v/>
      </c>
      <c r="E41" s="712" t="str">
        <f ca="1">IF(ROWS($1:25)&gt;COUNT(Dong14),"",IF(OFFSET(TH!N$1,SMALL(Dong14,ROWS($1:25)),)="131",OFFSET(TH!O$1,SMALL(Dong14,ROWS($1:25)),),OFFSET(TH!N$1,SMALL(Dong14,ROWS($1:25)),)))</f>
        <v/>
      </c>
      <c r="F41" s="712">
        <f ca="1">IF(ROWS($1:25)&gt;COUNT(Dong14),0,OFFSET(TH!L$1,SMALL(Dong14,ROWS($1:25)),))</f>
        <v>0</v>
      </c>
      <c r="G41" s="712"/>
      <c r="H41" s="1139">
        <f ca="1">IF(ROWS($1:25)&gt;COUNT(Dong14),0,IF(OFFSET(TH!N$1,SMALL(Dong14,ROWS($1:25)),)="131",OFFSET(TH!K$1,SMALL(Dong14,ROWS($1:25)),),0))</f>
        <v>0</v>
      </c>
      <c r="I41" s="712">
        <f ca="1">IF(ROWS($1:25)&gt;COUNT(Dong14),0,IF(OFFSET(TH!N$1,SMALL(Dong14,ROWS($1:25)),)="131",OFFSET(TH!M$1,SMALL(Dong14,ROWS($1:25)),),0))</f>
        <v>0</v>
      </c>
      <c r="J41" s="713">
        <f ca="1">IF(ROWS($1:25)&gt;COUNT(Dong14),0,IF(OFFSET(TH!O$1,SMALL(Dong14,ROWS($1:25)),)="131",OFFSET(TH!K$1,SMALL(Dong14,ROWS($1:25)),),0))</f>
        <v>0</v>
      </c>
      <c r="K41" s="712">
        <f ca="1">IF(ROWS($1:25)&gt;COUNT(Dong14),0,IF(OFFSET(TH!O$1,SMALL(Dong14,ROWS($1:25)),)="131",OFFSET(TH!M$1,SMALL(Dong14,ROWS($1:25)),),0))</f>
        <v>0</v>
      </c>
      <c r="L41" s="711">
        <f t="shared" ca="1" si="10"/>
        <v>0</v>
      </c>
      <c r="M41" s="710">
        <f t="shared" ca="1" si="11"/>
        <v>0</v>
      </c>
      <c r="N41" s="711">
        <f t="shared" ca="1" si="12"/>
        <v>0</v>
      </c>
      <c r="O41" s="710">
        <f t="shared" ca="1" si="13"/>
        <v>0</v>
      </c>
    </row>
    <row r="42" spans="1:17" s="5" customFormat="1" ht="16.5" customHeight="1">
      <c r="A42" s="213" t="str">
        <f t="shared" ca="1" si="9"/>
        <v/>
      </c>
      <c r="B42" s="217" t="str">
        <f ca="1">IF(ROWS($1:26)&gt;COUNT(Dong14),"",OFFSET(TH!D$1,SMALL(Dong14,ROWS($1:26)),))</f>
        <v/>
      </c>
      <c r="C42" s="213" t="str">
        <f ca="1">IF(ROWS($1:26)&gt;COUNT(Dong14),"",OFFSET(TH!E$1,SMALL(Dong14,ROWS($1:26)),))</f>
        <v/>
      </c>
      <c r="D42" s="714" t="str">
        <f ca="1">IF(ROWS($1:26)&gt;COUNT(Dong14),"",OFFSET(TH!F$1,SMALL(Dong14,ROWS($1:26)),))</f>
        <v/>
      </c>
      <c r="E42" s="712" t="str">
        <f ca="1">IF(ROWS($1:26)&gt;COUNT(Dong14),"",IF(OFFSET(TH!N$1,SMALL(Dong14,ROWS($1:26)),)="131",OFFSET(TH!O$1,SMALL(Dong14,ROWS($1:26)),),OFFSET(TH!N$1,SMALL(Dong14,ROWS($1:26)),)))</f>
        <v/>
      </c>
      <c r="F42" s="712">
        <f ca="1">IF(ROWS($1:26)&gt;COUNT(Dong14),0,OFFSET(TH!L$1,SMALL(Dong14,ROWS($1:26)),))</f>
        <v>0</v>
      </c>
      <c r="G42" s="712"/>
      <c r="H42" s="1139">
        <f ca="1">IF(ROWS($1:26)&gt;COUNT(Dong14),0,IF(OFFSET(TH!N$1,SMALL(Dong14,ROWS($1:26)),)="131",OFFSET(TH!K$1,SMALL(Dong14,ROWS($1:26)),),0))</f>
        <v>0</v>
      </c>
      <c r="I42" s="712">
        <f ca="1">IF(ROWS($1:26)&gt;COUNT(Dong14),0,IF(OFFSET(TH!N$1,SMALL(Dong14,ROWS($1:26)),)="131",OFFSET(TH!M$1,SMALL(Dong14,ROWS($1:26)),),0))</f>
        <v>0</v>
      </c>
      <c r="J42" s="713">
        <f ca="1">IF(ROWS($1:26)&gt;COUNT(Dong14),0,IF(OFFSET(TH!O$1,SMALL(Dong14,ROWS($1:26)),)="131",OFFSET(TH!K$1,SMALL(Dong14,ROWS($1:26)),),0))</f>
        <v>0</v>
      </c>
      <c r="K42" s="712">
        <f ca="1">IF(ROWS($1:26)&gt;COUNT(Dong14),0,IF(OFFSET(TH!O$1,SMALL(Dong14,ROWS($1:26)),)="131",OFFSET(TH!M$1,SMALL(Dong14,ROWS($1:26)),),0))</f>
        <v>0</v>
      </c>
      <c r="L42" s="711">
        <f t="shared" ca="1" si="10"/>
        <v>0</v>
      </c>
      <c r="M42" s="710">
        <f t="shared" ca="1" si="11"/>
        <v>0</v>
      </c>
      <c r="N42" s="711">
        <f t="shared" ca="1" si="12"/>
        <v>0</v>
      </c>
      <c r="O42" s="710">
        <f t="shared" ca="1" si="13"/>
        <v>0</v>
      </c>
    </row>
    <row r="43" spans="1:17" s="5" customFormat="1" ht="16.5" customHeight="1">
      <c r="A43" s="213" t="str">
        <f t="shared" ca="1" si="9"/>
        <v/>
      </c>
      <c r="B43" s="217" t="str">
        <f ca="1">IF(ROWS($1:27)&gt;COUNT(Dong14),"",OFFSET(TH!D$1,SMALL(Dong14,ROWS($1:27)),))</f>
        <v/>
      </c>
      <c r="C43" s="213" t="str">
        <f ca="1">IF(ROWS($1:27)&gt;COUNT(Dong14),"",OFFSET(TH!E$1,SMALL(Dong14,ROWS($1:27)),))</f>
        <v/>
      </c>
      <c r="D43" s="714" t="str">
        <f ca="1">IF(ROWS($1:27)&gt;COUNT(Dong14),"",OFFSET(TH!F$1,SMALL(Dong14,ROWS($1:27)),))</f>
        <v/>
      </c>
      <c r="E43" s="712" t="str">
        <f ca="1">IF(ROWS($1:27)&gt;COUNT(Dong14),"",IF(OFFSET(TH!N$1,SMALL(Dong14,ROWS($1:27)),)="131",OFFSET(TH!O$1,SMALL(Dong14,ROWS($1:27)),),OFFSET(TH!N$1,SMALL(Dong14,ROWS($1:27)),)))</f>
        <v/>
      </c>
      <c r="F43" s="712">
        <f ca="1">IF(ROWS($1:27)&gt;COUNT(Dong14),0,OFFSET(TH!L$1,SMALL(Dong14,ROWS($1:27)),))</f>
        <v>0</v>
      </c>
      <c r="G43" s="712"/>
      <c r="H43" s="1139">
        <f ca="1">IF(ROWS($1:27)&gt;COUNT(Dong14),0,IF(OFFSET(TH!N$1,SMALL(Dong14,ROWS($1:27)),)="131",OFFSET(TH!K$1,SMALL(Dong14,ROWS($1:27)),),0))</f>
        <v>0</v>
      </c>
      <c r="I43" s="712">
        <f ca="1">IF(ROWS($1:27)&gt;COUNT(Dong14),0,IF(OFFSET(TH!N$1,SMALL(Dong14,ROWS($1:27)),)="131",OFFSET(TH!M$1,SMALL(Dong14,ROWS($1:27)),),0))</f>
        <v>0</v>
      </c>
      <c r="J43" s="713">
        <f ca="1">IF(ROWS($1:27)&gt;COUNT(Dong14),0,IF(OFFSET(TH!O$1,SMALL(Dong14,ROWS($1:27)),)="131",OFFSET(TH!K$1,SMALL(Dong14,ROWS($1:27)),),0))</f>
        <v>0</v>
      </c>
      <c r="K43" s="712">
        <f ca="1">IF(ROWS($1:27)&gt;COUNT(Dong14),0,IF(OFFSET(TH!O$1,SMALL(Dong14,ROWS($1:27)),)="131",OFFSET(TH!M$1,SMALL(Dong14,ROWS($1:27)),),0))</f>
        <v>0</v>
      </c>
      <c r="L43" s="711">
        <f t="shared" ca="1" si="10"/>
        <v>0</v>
      </c>
      <c r="M43" s="710">
        <f t="shared" ca="1" si="11"/>
        <v>0</v>
      </c>
      <c r="N43" s="711">
        <f t="shared" ca="1" si="12"/>
        <v>0</v>
      </c>
      <c r="O43" s="710">
        <f t="shared" ca="1" si="13"/>
        <v>0</v>
      </c>
    </row>
    <row r="44" spans="1:17" s="5" customFormat="1" ht="16.5" customHeight="1">
      <c r="A44" s="213" t="str">
        <f t="shared" ca="1" si="9"/>
        <v/>
      </c>
      <c r="B44" s="217" t="str">
        <f ca="1">IF(ROWS($1:28)&gt;COUNT(Dong14),"",OFFSET(TH!D$1,SMALL(Dong14,ROWS($1:28)),))</f>
        <v/>
      </c>
      <c r="C44" s="213" t="str">
        <f ca="1">IF(ROWS($1:28)&gt;COUNT(Dong14),"",OFFSET(TH!E$1,SMALL(Dong14,ROWS($1:28)),))</f>
        <v/>
      </c>
      <c r="D44" s="714" t="str">
        <f ca="1">IF(ROWS($1:28)&gt;COUNT(Dong14),"",OFFSET(TH!F$1,SMALL(Dong14,ROWS($1:28)),))</f>
        <v/>
      </c>
      <c r="E44" s="712" t="str">
        <f ca="1">IF(ROWS($1:28)&gt;COUNT(Dong14),"",IF(OFFSET(TH!N$1,SMALL(Dong14,ROWS($1:28)),)="131",OFFSET(TH!O$1,SMALL(Dong14,ROWS($1:28)),),OFFSET(TH!N$1,SMALL(Dong14,ROWS($1:28)),)))</f>
        <v/>
      </c>
      <c r="F44" s="712">
        <f ca="1">IF(ROWS($1:28)&gt;COUNT(Dong14),0,OFFSET(TH!L$1,SMALL(Dong14,ROWS($1:28)),))</f>
        <v>0</v>
      </c>
      <c r="G44" s="712"/>
      <c r="H44" s="1139">
        <f ca="1">IF(ROWS($1:28)&gt;COUNT(Dong14),0,IF(OFFSET(TH!N$1,SMALL(Dong14,ROWS($1:28)),)="131",OFFSET(TH!K$1,SMALL(Dong14,ROWS($1:28)),),0))</f>
        <v>0</v>
      </c>
      <c r="I44" s="712">
        <f ca="1">IF(ROWS($1:28)&gt;COUNT(Dong14),0,IF(OFFSET(TH!N$1,SMALL(Dong14,ROWS($1:28)),)="131",OFFSET(TH!M$1,SMALL(Dong14,ROWS($1:28)),),0))</f>
        <v>0</v>
      </c>
      <c r="J44" s="713">
        <f ca="1">IF(ROWS($1:28)&gt;COUNT(Dong14),0,IF(OFFSET(TH!O$1,SMALL(Dong14,ROWS($1:28)),)="131",OFFSET(TH!K$1,SMALL(Dong14,ROWS($1:28)),),0))</f>
        <v>0</v>
      </c>
      <c r="K44" s="712">
        <f ca="1">IF(ROWS($1:28)&gt;COUNT(Dong14),0,IF(OFFSET(TH!O$1,SMALL(Dong14,ROWS($1:28)),)="131",OFFSET(TH!M$1,SMALL(Dong14,ROWS($1:28)),),0))</f>
        <v>0</v>
      </c>
      <c r="L44" s="711">
        <f t="shared" ca="1" si="10"/>
        <v>0</v>
      </c>
      <c r="M44" s="710">
        <f t="shared" ca="1" si="11"/>
        <v>0</v>
      </c>
      <c r="N44" s="711">
        <f t="shared" ca="1" si="12"/>
        <v>0</v>
      </c>
      <c r="O44" s="710">
        <f t="shared" ca="1" si="13"/>
        <v>0</v>
      </c>
    </row>
    <row r="45" spans="1:17" s="5" customFormat="1" ht="16.5" customHeight="1">
      <c r="A45" s="213" t="str">
        <f t="shared" ca="1" si="9"/>
        <v/>
      </c>
      <c r="B45" s="217" t="str">
        <f ca="1">IF(ROWS($1:29)&gt;COUNT(Dong14),"",OFFSET(TH!D$1,SMALL(Dong14,ROWS($1:29)),))</f>
        <v/>
      </c>
      <c r="C45" s="213" t="str">
        <f ca="1">IF(ROWS($1:29)&gt;COUNT(Dong14),"",OFFSET(TH!E$1,SMALL(Dong14,ROWS($1:29)),))</f>
        <v/>
      </c>
      <c r="D45" s="714" t="str">
        <f ca="1">IF(ROWS($1:29)&gt;COUNT(Dong14),"",OFFSET(TH!F$1,SMALL(Dong14,ROWS($1:29)),))</f>
        <v/>
      </c>
      <c r="E45" s="712" t="str">
        <f ca="1">IF(ROWS($1:29)&gt;COUNT(Dong14),"",IF(OFFSET(TH!N$1,SMALL(Dong14,ROWS($1:29)),)="131",OFFSET(TH!O$1,SMALL(Dong14,ROWS($1:29)),),OFFSET(TH!N$1,SMALL(Dong14,ROWS($1:29)),)))</f>
        <v/>
      </c>
      <c r="F45" s="712">
        <f ca="1">IF(ROWS($1:29)&gt;COUNT(Dong14),0,OFFSET(TH!L$1,SMALL(Dong14,ROWS($1:29)),))</f>
        <v>0</v>
      </c>
      <c r="G45" s="712"/>
      <c r="H45" s="1139">
        <f ca="1">IF(ROWS($1:29)&gt;COUNT(Dong14),0,IF(OFFSET(TH!N$1,SMALL(Dong14,ROWS($1:29)),)="131",OFFSET(TH!K$1,SMALL(Dong14,ROWS($1:29)),),0))</f>
        <v>0</v>
      </c>
      <c r="I45" s="712">
        <f ca="1">IF(ROWS($1:29)&gt;COUNT(Dong14),0,IF(OFFSET(TH!N$1,SMALL(Dong14,ROWS($1:29)),)="131",OFFSET(TH!M$1,SMALL(Dong14,ROWS($1:29)),),0))</f>
        <v>0</v>
      </c>
      <c r="J45" s="713">
        <f ca="1">IF(ROWS($1:29)&gt;COUNT(Dong14),0,IF(OFFSET(TH!O$1,SMALL(Dong14,ROWS($1:29)),)="131",OFFSET(TH!K$1,SMALL(Dong14,ROWS($1:29)),),0))</f>
        <v>0</v>
      </c>
      <c r="K45" s="712">
        <f ca="1">IF(ROWS($1:29)&gt;COUNT(Dong14),0,IF(OFFSET(TH!O$1,SMALL(Dong14,ROWS($1:29)),)="131",OFFSET(TH!M$1,SMALL(Dong14,ROWS($1:29)),),0))</f>
        <v>0</v>
      </c>
      <c r="L45" s="711">
        <f t="shared" ca="1" si="10"/>
        <v>0</v>
      </c>
      <c r="M45" s="710">
        <f t="shared" ca="1" si="11"/>
        <v>0</v>
      </c>
      <c r="N45" s="711">
        <f t="shared" ca="1" si="12"/>
        <v>0</v>
      </c>
      <c r="O45" s="710">
        <f t="shared" ca="1" si="13"/>
        <v>0</v>
      </c>
    </row>
    <row r="46" spans="1:17" s="5" customFormat="1" ht="16.5" customHeight="1">
      <c r="A46" s="213" t="str">
        <f t="shared" ref="A46:A53" ca="1" si="14">IF(C46&lt;&gt;"",C46,"")</f>
        <v/>
      </c>
      <c r="B46" s="217" t="str">
        <f ca="1">IF(ROWS($1:30)&gt;COUNT(Dong14),"",OFFSET(TH!D$1,SMALL(Dong14,ROWS($1:30)),))</f>
        <v/>
      </c>
      <c r="C46" s="213" t="str">
        <f ca="1">IF(ROWS($1:30)&gt;COUNT(Dong14),"",OFFSET(TH!E$1,SMALL(Dong14,ROWS($1:30)),))</f>
        <v/>
      </c>
      <c r="D46" s="714" t="str">
        <f ca="1">IF(ROWS($1:30)&gt;COUNT(Dong14),"",OFFSET(TH!F$1,SMALL(Dong14,ROWS($1:30)),))</f>
        <v/>
      </c>
      <c r="E46" s="712" t="str">
        <f ca="1">IF(ROWS($1:30)&gt;COUNT(Dong14),"",IF(OFFSET(TH!N$1,SMALL(Dong14,ROWS($1:30)),)="131",OFFSET(TH!O$1,SMALL(Dong14,ROWS($1:30)),),OFFSET(TH!N$1,SMALL(Dong14,ROWS($1:30)),)))</f>
        <v/>
      </c>
      <c r="F46" s="712">
        <f ca="1">IF(ROWS($1:30)&gt;COUNT(Dong14),0,OFFSET(TH!L$1,SMALL(Dong14,ROWS($1:30)),))</f>
        <v>0</v>
      </c>
      <c r="G46" s="712"/>
      <c r="H46" s="1139">
        <f ca="1">IF(ROWS($1:30)&gt;COUNT(Dong14),0,IF(OFFSET(TH!N$1,SMALL(Dong14,ROWS($1:30)),)="131",OFFSET(TH!K$1,SMALL(Dong14,ROWS($1:30)),),0))</f>
        <v>0</v>
      </c>
      <c r="I46" s="712">
        <f ca="1">IF(ROWS($1:30)&gt;COUNT(Dong14),0,IF(OFFSET(TH!N$1,SMALL(Dong14,ROWS($1:30)),)="131",OFFSET(TH!M$1,SMALL(Dong14,ROWS($1:30)),),0))</f>
        <v>0</v>
      </c>
      <c r="J46" s="713">
        <f ca="1">IF(ROWS($1:30)&gt;COUNT(Dong14),0,IF(OFFSET(TH!O$1,SMALL(Dong14,ROWS($1:30)),)="131",OFFSET(TH!K$1,SMALL(Dong14,ROWS($1:30)),),0))</f>
        <v>0</v>
      </c>
      <c r="K46" s="712">
        <f ca="1">IF(ROWS($1:30)&gt;COUNT(Dong14),0,IF(OFFSET(TH!O$1,SMALL(Dong14,ROWS($1:30)),)="131",OFFSET(TH!M$1,SMALL(Dong14,ROWS($1:30)),),0))</f>
        <v>0</v>
      </c>
      <c r="L46" s="711">
        <f t="shared" ref="L46:L53" ca="1" si="15">IF(D46&lt;&gt;"",ROUND(MAX(L45+H46-J46-N45,0),2),0)</f>
        <v>0</v>
      </c>
      <c r="M46" s="710">
        <f t="shared" ref="M46:M53" ca="1" si="16">IF(D46&lt;&gt;"",MAX(M45-O45+I46-K46,0),0)</f>
        <v>0</v>
      </c>
      <c r="N46" s="711">
        <f t="shared" ref="N46:N53" ca="1" si="17">IF(D46&lt;&gt;"",ROUND(MAX(N45+J46-H46-L45,0),2),0)</f>
        <v>0</v>
      </c>
      <c r="O46" s="710">
        <f t="shared" ref="O46:O53" ca="1" si="18">IF(D46&lt;&gt;"",MAX(O45-M45+K46-I46,0),0)</f>
        <v>0</v>
      </c>
    </row>
    <row r="47" spans="1:17" s="5" customFormat="1" ht="16.5" customHeight="1">
      <c r="A47" s="213" t="str">
        <f t="shared" ca="1" si="14"/>
        <v/>
      </c>
      <c r="B47" s="217" t="str">
        <f ca="1">IF(ROWS($1:31)&gt;COUNT(Dong14),"",OFFSET(TH!D$1,SMALL(Dong14,ROWS($1:31)),))</f>
        <v/>
      </c>
      <c r="C47" s="213" t="str">
        <f ca="1">IF(ROWS($1:31)&gt;COUNT(Dong14),"",OFFSET(TH!E$1,SMALL(Dong14,ROWS($1:31)),))</f>
        <v/>
      </c>
      <c r="D47" s="714" t="str">
        <f ca="1">IF(ROWS($1:31)&gt;COUNT(Dong14),"",OFFSET(TH!F$1,SMALL(Dong14,ROWS($1:31)),))</f>
        <v/>
      </c>
      <c r="E47" s="712" t="str">
        <f ca="1">IF(ROWS($1:31)&gt;COUNT(Dong14),"",IF(OFFSET(TH!N$1,SMALL(Dong14,ROWS($1:31)),)="131",OFFSET(TH!O$1,SMALL(Dong14,ROWS($1:31)),),OFFSET(TH!N$1,SMALL(Dong14,ROWS($1:31)),)))</f>
        <v/>
      </c>
      <c r="F47" s="712">
        <f ca="1">IF(ROWS($1:31)&gt;COUNT(Dong14),0,OFFSET(TH!L$1,SMALL(Dong14,ROWS($1:31)),))</f>
        <v>0</v>
      </c>
      <c r="G47" s="712"/>
      <c r="H47" s="1139">
        <f ca="1">IF(ROWS($1:31)&gt;COUNT(Dong14),0,IF(OFFSET(TH!N$1,SMALL(Dong14,ROWS($1:31)),)="131",OFFSET(TH!K$1,SMALL(Dong14,ROWS($1:31)),),0))</f>
        <v>0</v>
      </c>
      <c r="I47" s="712">
        <f ca="1">IF(ROWS($1:31)&gt;COUNT(Dong14),0,IF(OFFSET(TH!N$1,SMALL(Dong14,ROWS($1:31)),)="131",OFFSET(TH!M$1,SMALL(Dong14,ROWS($1:31)),),0))</f>
        <v>0</v>
      </c>
      <c r="J47" s="713">
        <f ca="1">IF(ROWS($1:31)&gt;COUNT(Dong14),0,IF(OFFSET(TH!O$1,SMALL(Dong14,ROWS($1:31)),)="131",OFFSET(TH!K$1,SMALL(Dong14,ROWS($1:31)),),0))</f>
        <v>0</v>
      </c>
      <c r="K47" s="712">
        <f ca="1">IF(ROWS($1:31)&gt;COUNT(Dong14),0,IF(OFFSET(TH!O$1,SMALL(Dong14,ROWS($1:31)),)="131",OFFSET(TH!M$1,SMALL(Dong14,ROWS($1:31)),),0))</f>
        <v>0</v>
      </c>
      <c r="L47" s="711">
        <f t="shared" ca="1" si="15"/>
        <v>0</v>
      </c>
      <c r="M47" s="710">
        <f t="shared" ca="1" si="16"/>
        <v>0</v>
      </c>
      <c r="N47" s="711">
        <f t="shared" ca="1" si="17"/>
        <v>0</v>
      </c>
      <c r="O47" s="710">
        <f t="shared" ca="1" si="18"/>
        <v>0</v>
      </c>
    </row>
    <row r="48" spans="1:17" s="5" customFormat="1" ht="16.5" customHeight="1">
      <c r="A48" s="213" t="str">
        <f t="shared" ca="1" si="14"/>
        <v/>
      </c>
      <c r="B48" s="217" t="str">
        <f ca="1">IF(ROWS($1:32)&gt;COUNT(Dong14),"",OFFSET(TH!D$1,SMALL(Dong14,ROWS($1:32)),))</f>
        <v/>
      </c>
      <c r="C48" s="213" t="str">
        <f ca="1">IF(ROWS($1:32)&gt;COUNT(Dong14),"",OFFSET(TH!E$1,SMALL(Dong14,ROWS($1:32)),))</f>
        <v/>
      </c>
      <c r="D48" s="714" t="str">
        <f ca="1">IF(ROWS($1:32)&gt;COUNT(Dong14),"",OFFSET(TH!F$1,SMALL(Dong14,ROWS($1:32)),))</f>
        <v/>
      </c>
      <c r="E48" s="712" t="str">
        <f ca="1">IF(ROWS($1:32)&gt;COUNT(Dong14),"",IF(OFFSET(TH!N$1,SMALL(Dong14,ROWS($1:32)),)="131",OFFSET(TH!O$1,SMALL(Dong14,ROWS($1:32)),),OFFSET(TH!N$1,SMALL(Dong14,ROWS($1:32)),)))</f>
        <v/>
      </c>
      <c r="F48" s="712">
        <f ca="1">IF(ROWS($1:32)&gt;COUNT(Dong14),0,OFFSET(TH!L$1,SMALL(Dong14,ROWS($1:32)),))</f>
        <v>0</v>
      </c>
      <c r="G48" s="712"/>
      <c r="H48" s="1139">
        <f ca="1">IF(ROWS($1:32)&gt;COUNT(Dong14),0,IF(OFFSET(TH!N$1,SMALL(Dong14,ROWS($1:32)),)="131",OFFSET(TH!K$1,SMALL(Dong14,ROWS($1:32)),),0))</f>
        <v>0</v>
      </c>
      <c r="I48" s="712">
        <f ca="1">IF(ROWS($1:32)&gt;COUNT(Dong14),0,IF(OFFSET(TH!N$1,SMALL(Dong14,ROWS($1:32)),)="131",OFFSET(TH!M$1,SMALL(Dong14,ROWS($1:32)),),0))</f>
        <v>0</v>
      </c>
      <c r="J48" s="713">
        <f ca="1">IF(ROWS($1:32)&gt;COUNT(Dong14),0,IF(OFFSET(TH!O$1,SMALL(Dong14,ROWS($1:32)),)="131",OFFSET(TH!K$1,SMALL(Dong14,ROWS($1:32)),),0))</f>
        <v>0</v>
      </c>
      <c r="K48" s="712">
        <f ca="1">IF(ROWS($1:32)&gt;COUNT(Dong14),0,IF(OFFSET(TH!O$1,SMALL(Dong14,ROWS($1:32)),)="131",OFFSET(TH!M$1,SMALL(Dong14,ROWS($1:32)),),0))</f>
        <v>0</v>
      </c>
      <c r="L48" s="711">
        <f t="shared" ca="1" si="15"/>
        <v>0</v>
      </c>
      <c r="M48" s="710">
        <f t="shared" ca="1" si="16"/>
        <v>0</v>
      </c>
      <c r="N48" s="711">
        <f t="shared" ca="1" si="17"/>
        <v>0</v>
      </c>
      <c r="O48" s="710">
        <f t="shared" ca="1" si="18"/>
        <v>0</v>
      </c>
    </row>
    <row r="49" spans="1:15" s="5" customFormat="1" ht="16.5" customHeight="1">
      <c r="A49" s="213" t="str">
        <f t="shared" ca="1" si="14"/>
        <v/>
      </c>
      <c r="B49" s="217" t="str">
        <f ca="1">IF(ROWS($1:33)&gt;COUNT(Dong14),"",OFFSET(TH!D$1,SMALL(Dong14,ROWS($1:33)),))</f>
        <v/>
      </c>
      <c r="C49" s="213" t="str">
        <f ca="1">IF(ROWS($1:33)&gt;COUNT(Dong14),"",OFFSET(TH!E$1,SMALL(Dong14,ROWS($1:33)),))</f>
        <v/>
      </c>
      <c r="D49" s="714" t="str">
        <f ca="1">IF(ROWS($1:33)&gt;COUNT(Dong14),"",OFFSET(TH!F$1,SMALL(Dong14,ROWS($1:33)),))</f>
        <v/>
      </c>
      <c r="E49" s="712" t="str">
        <f ca="1">IF(ROWS($1:33)&gt;COUNT(Dong14),"",IF(OFFSET(TH!N$1,SMALL(Dong14,ROWS($1:33)),)="131",OFFSET(TH!O$1,SMALL(Dong14,ROWS($1:33)),),OFFSET(TH!N$1,SMALL(Dong14,ROWS($1:33)),)))</f>
        <v/>
      </c>
      <c r="F49" s="712">
        <f ca="1">IF(ROWS($1:33)&gt;COUNT(Dong14),0,OFFSET(TH!L$1,SMALL(Dong14,ROWS($1:33)),))</f>
        <v>0</v>
      </c>
      <c r="G49" s="712"/>
      <c r="H49" s="1139">
        <f ca="1">IF(ROWS($1:33)&gt;COUNT(Dong14),0,IF(OFFSET(TH!N$1,SMALL(Dong14,ROWS($1:33)),)="131",OFFSET(TH!K$1,SMALL(Dong14,ROWS($1:33)),),0))</f>
        <v>0</v>
      </c>
      <c r="I49" s="712">
        <f ca="1">IF(ROWS($1:33)&gt;COUNT(Dong14),0,IF(OFFSET(TH!N$1,SMALL(Dong14,ROWS($1:33)),)="131",OFFSET(TH!M$1,SMALL(Dong14,ROWS($1:33)),),0))</f>
        <v>0</v>
      </c>
      <c r="J49" s="713">
        <f ca="1">IF(ROWS($1:33)&gt;COUNT(Dong14),0,IF(OFFSET(TH!O$1,SMALL(Dong14,ROWS($1:33)),)="131",OFFSET(TH!K$1,SMALL(Dong14,ROWS($1:33)),),0))</f>
        <v>0</v>
      </c>
      <c r="K49" s="712">
        <f ca="1">IF(ROWS($1:33)&gt;COUNT(Dong14),0,IF(OFFSET(TH!O$1,SMALL(Dong14,ROWS($1:33)),)="131",OFFSET(TH!M$1,SMALL(Dong14,ROWS($1:33)),),0))</f>
        <v>0</v>
      </c>
      <c r="L49" s="711">
        <f t="shared" ca="1" si="15"/>
        <v>0</v>
      </c>
      <c r="M49" s="710">
        <f t="shared" ca="1" si="16"/>
        <v>0</v>
      </c>
      <c r="N49" s="711">
        <f t="shared" ca="1" si="17"/>
        <v>0</v>
      </c>
      <c r="O49" s="710">
        <f t="shared" ca="1" si="18"/>
        <v>0</v>
      </c>
    </row>
    <row r="50" spans="1:15" s="5" customFormat="1" ht="16.5" customHeight="1">
      <c r="A50" s="213" t="str">
        <f t="shared" ca="1" si="14"/>
        <v/>
      </c>
      <c r="B50" s="217" t="str">
        <f ca="1">IF(ROWS($1:34)&gt;COUNT(Dong14),"",OFFSET(TH!D$1,SMALL(Dong14,ROWS($1:34)),))</f>
        <v/>
      </c>
      <c r="C50" s="213" t="str">
        <f ca="1">IF(ROWS($1:34)&gt;COUNT(Dong14),"",OFFSET(TH!E$1,SMALL(Dong14,ROWS($1:34)),))</f>
        <v/>
      </c>
      <c r="D50" s="714" t="str">
        <f ca="1">IF(ROWS($1:34)&gt;COUNT(Dong14),"",OFFSET(TH!F$1,SMALL(Dong14,ROWS($1:34)),))</f>
        <v/>
      </c>
      <c r="E50" s="712" t="str">
        <f ca="1">IF(ROWS($1:34)&gt;COUNT(Dong14),"",IF(OFFSET(TH!N$1,SMALL(Dong14,ROWS($1:34)),)="131",OFFSET(TH!O$1,SMALL(Dong14,ROWS($1:34)),),OFFSET(TH!N$1,SMALL(Dong14,ROWS($1:34)),)))</f>
        <v/>
      </c>
      <c r="F50" s="712">
        <f ca="1">IF(ROWS($1:34)&gt;COUNT(Dong14),0,OFFSET(TH!L$1,SMALL(Dong14,ROWS($1:34)),))</f>
        <v>0</v>
      </c>
      <c r="G50" s="712"/>
      <c r="H50" s="1139">
        <f ca="1">IF(ROWS($1:34)&gt;COUNT(Dong14),0,IF(OFFSET(TH!N$1,SMALL(Dong14,ROWS($1:34)),)="131",OFFSET(TH!K$1,SMALL(Dong14,ROWS($1:34)),),0))</f>
        <v>0</v>
      </c>
      <c r="I50" s="712">
        <f ca="1">IF(ROWS($1:34)&gt;COUNT(Dong14),0,IF(OFFSET(TH!N$1,SMALL(Dong14,ROWS($1:34)),)="131",OFFSET(TH!M$1,SMALL(Dong14,ROWS($1:34)),),0))</f>
        <v>0</v>
      </c>
      <c r="J50" s="713">
        <f ca="1">IF(ROWS($1:34)&gt;COUNT(Dong14),0,IF(OFFSET(TH!O$1,SMALL(Dong14,ROWS($1:34)),)="131",OFFSET(TH!K$1,SMALL(Dong14,ROWS($1:34)),),0))</f>
        <v>0</v>
      </c>
      <c r="K50" s="712">
        <f ca="1">IF(ROWS($1:34)&gt;COUNT(Dong14),0,IF(OFFSET(TH!O$1,SMALL(Dong14,ROWS($1:34)),)="131",OFFSET(TH!M$1,SMALL(Dong14,ROWS($1:34)),),0))</f>
        <v>0</v>
      </c>
      <c r="L50" s="711">
        <f t="shared" ca="1" si="15"/>
        <v>0</v>
      </c>
      <c r="M50" s="710">
        <f t="shared" ca="1" si="16"/>
        <v>0</v>
      </c>
      <c r="N50" s="711">
        <f t="shared" ca="1" si="17"/>
        <v>0</v>
      </c>
      <c r="O50" s="710">
        <f t="shared" ca="1" si="18"/>
        <v>0</v>
      </c>
    </row>
    <row r="51" spans="1:15" s="5" customFormat="1" ht="16.5" customHeight="1">
      <c r="A51" s="213" t="str">
        <f t="shared" ca="1" si="14"/>
        <v/>
      </c>
      <c r="B51" s="217" t="str">
        <f ca="1">IF(ROWS($1:35)&gt;COUNT(Dong14),"",OFFSET(TH!D$1,SMALL(Dong14,ROWS($1:35)),))</f>
        <v/>
      </c>
      <c r="C51" s="213" t="str">
        <f ca="1">IF(ROWS($1:35)&gt;COUNT(Dong14),"",OFFSET(TH!E$1,SMALL(Dong14,ROWS($1:35)),))</f>
        <v/>
      </c>
      <c r="D51" s="714" t="str">
        <f ca="1">IF(ROWS($1:35)&gt;COUNT(Dong14),"",OFFSET(TH!F$1,SMALL(Dong14,ROWS($1:35)),))</f>
        <v/>
      </c>
      <c r="E51" s="712" t="str">
        <f ca="1">IF(ROWS($1:35)&gt;COUNT(Dong14),"",IF(OFFSET(TH!N$1,SMALL(Dong14,ROWS($1:35)),)="131",OFFSET(TH!O$1,SMALL(Dong14,ROWS($1:35)),),OFFSET(TH!N$1,SMALL(Dong14,ROWS($1:35)),)))</f>
        <v/>
      </c>
      <c r="F51" s="712">
        <f ca="1">IF(ROWS($1:35)&gt;COUNT(Dong14),0,OFFSET(TH!L$1,SMALL(Dong14,ROWS($1:35)),))</f>
        <v>0</v>
      </c>
      <c r="G51" s="712"/>
      <c r="H51" s="1139">
        <f ca="1">IF(ROWS($1:35)&gt;COUNT(Dong14),0,IF(OFFSET(TH!N$1,SMALL(Dong14,ROWS($1:35)),)="131",OFFSET(TH!K$1,SMALL(Dong14,ROWS($1:35)),),0))</f>
        <v>0</v>
      </c>
      <c r="I51" s="712">
        <f ca="1">IF(ROWS($1:35)&gt;COUNT(Dong14),0,IF(OFFSET(TH!N$1,SMALL(Dong14,ROWS($1:35)),)="131",OFFSET(TH!M$1,SMALL(Dong14,ROWS($1:35)),),0))</f>
        <v>0</v>
      </c>
      <c r="J51" s="713">
        <f ca="1">IF(ROWS($1:35)&gt;COUNT(Dong14),0,IF(OFFSET(TH!O$1,SMALL(Dong14,ROWS($1:35)),)="131",OFFSET(TH!K$1,SMALL(Dong14,ROWS($1:35)),),0))</f>
        <v>0</v>
      </c>
      <c r="K51" s="712">
        <f ca="1">IF(ROWS($1:35)&gt;COUNT(Dong14),0,IF(OFFSET(TH!O$1,SMALL(Dong14,ROWS($1:35)),)="131",OFFSET(TH!M$1,SMALL(Dong14,ROWS($1:35)),),0))</f>
        <v>0</v>
      </c>
      <c r="L51" s="711">
        <f t="shared" ca="1" si="15"/>
        <v>0</v>
      </c>
      <c r="M51" s="710">
        <f t="shared" ca="1" si="16"/>
        <v>0</v>
      </c>
      <c r="N51" s="711">
        <f t="shared" ca="1" si="17"/>
        <v>0</v>
      </c>
      <c r="O51" s="710">
        <f t="shared" ca="1" si="18"/>
        <v>0</v>
      </c>
    </row>
    <row r="52" spans="1:15" s="5" customFormat="1" ht="16.5" customHeight="1">
      <c r="A52" s="213" t="str">
        <f t="shared" ca="1" si="14"/>
        <v/>
      </c>
      <c r="B52" s="217" t="str">
        <f ca="1">IF(ROWS($1:36)&gt;COUNT(Dong14),"",OFFSET(TH!D$1,SMALL(Dong14,ROWS($1:36)),))</f>
        <v/>
      </c>
      <c r="C52" s="213" t="str">
        <f ca="1">IF(ROWS($1:36)&gt;COUNT(Dong14),"",OFFSET(TH!E$1,SMALL(Dong14,ROWS($1:36)),))</f>
        <v/>
      </c>
      <c r="D52" s="714" t="str">
        <f ca="1">IF(ROWS($1:36)&gt;COUNT(Dong14),"",OFFSET(TH!F$1,SMALL(Dong14,ROWS($1:36)),))</f>
        <v/>
      </c>
      <c r="E52" s="712" t="str">
        <f ca="1">IF(ROWS($1:36)&gt;COUNT(Dong14),"",IF(OFFSET(TH!N$1,SMALL(Dong14,ROWS($1:36)),)="131",OFFSET(TH!O$1,SMALL(Dong14,ROWS($1:36)),),OFFSET(TH!N$1,SMALL(Dong14,ROWS($1:36)),)))</f>
        <v/>
      </c>
      <c r="F52" s="712">
        <f ca="1">IF(ROWS($1:36)&gt;COUNT(Dong14),0,OFFSET(TH!L$1,SMALL(Dong14,ROWS($1:36)),))</f>
        <v>0</v>
      </c>
      <c r="G52" s="712"/>
      <c r="H52" s="1139">
        <f ca="1">IF(ROWS($1:36)&gt;COUNT(Dong14),0,IF(OFFSET(TH!N$1,SMALL(Dong14,ROWS($1:36)),)="131",OFFSET(TH!K$1,SMALL(Dong14,ROWS($1:36)),),0))</f>
        <v>0</v>
      </c>
      <c r="I52" s="712">
        <f ca="1">IF(ROWS($1:36)&gt;COUNT(Dong14),0,IF(OFFSET(TH!N$1,SMALL(Dong14,ROWS($1:36)),)="131",OFFSET(TH!M$1,SMALL(Dong14,ROWS($1:36)),),0))</f>
        <v>0</v>
      </c>
      <c r="J52" s="713">
        <f ca="1">IF(ROWS($1:36)&gt;COUNT(Dong14),0,IF(OFFSET(TH!O$1,SMALL(Dong14,ROWS($1:36)),)="131",OFFSET(TH!K$1,SMALL(Dong14,ROWS($1:36)),),0))</f>
        <v>0</v>
      </c>
      <c r="K52" s="712">
        <f ca="1">IF(ROWS($1:36)&gt;COUNT(Dong14),0,IF(OFFSET(TH!O$1,SMALL(Dong14,ROWS($1:36)),)="131",OFFSET(TH!M$1,SMALL(Dong14,ROWS($1:36)),),0))</f>
        <v>0</v>
      </c>
      <c r="L52" s="711">
        <f t="shared" ca="1" si="15"/>
        <v>0</v>
      </c>
      <c r="M52" s="710">
        <f t="shared" ca="1" si="16"/>
        <v>0</v>
      </c>
      <c r="N52" s="711">
        <f t="shared" ca="1" si="17"/>
        <v>0</v>
      </c>
      <c r="O52" s="710">
        <f t="shared" ca="1" si="18"/>
        <v>0</v>
      </c>
    </row>
    <row r="53" spans="1:15" s="5" customFormat="1" ht="23.25" customHeight="1">
      <c r="A53" s="213" t="str">
        <f t="shared" ca="1" si="14"/>
        <v/>
      </c>
      <c r="B53" s="217" t="str">
        <f ca="1">IF(ROWS($1:37)&gt;COUNT(Dong14),"",OFFSET(TH!D$1,SMALL(Dong14,ROWS($1:37)),))</f>
        <v/>
      </c>
      <c r="C53" s="213" t="str">
        <f ca="1">IF(ROWS($1:37)&gt;COUNT(Dong14),"",OFFSET(TH!E$1,SMALL(Dong14,ROWS($1:37)),))</f>
        <v/>
      </c>
      <c r="D53" s="714" t="str">
        <f ca="1">IF(ROWS($1:37)&gt;COUNT(Dong14),"",OFFSET(TH!F$1,SMALL(Dong14,ROWS($1:37)),))</f>
        <v/>
      </c>
      <c r="E53" s="712" t="str">
        <f ca="1">IF(ROWS($1:37)&gt;COUNT(Dong14),"",IF(OFFSET(TH!N$1,SMALL(Dong14,ROWS($1:37)),)="131",OFFSET(TH!O$1,SMALL(Dong14,ROWS($1:37)),),OFFSET(TH!N$1,SMALL(Dong14,ROWS($1:37)),)))</f>
        <v/>
      </c>
      <c r="F53" s="712">
        <f ca="1">IF(ROWS($1:37)&gt;COUNT(Dong14),0,OFFSET(TH!L$1,SMALL(Dong14,ROWS($1:37)),))</f>
        <v>0</v>
      </c>
      <c r="G53" s="712"/>
      <c r="H53" s="1139">
        <f ca="1">IF(ROWS($1:37)&gt;COUNT(Dong14),0,IF(OFFSET(TH!N$1,SMALL(Dong14,ROWS($1:37)),)="131",OFFSET(TH!K$1,SMALL(Dong14,ROWS($1:37)),),0))</f>
        <v>0</v>
      </c>
      <c r="I53" s="712">
        <f ca="1">IF(ROWS($1:37)&gt;COUNT(Dong14),0,IF(OFFSET(TH!N$1,SMALL(Dong14,ROWS($1:37)),)="131",OFFSET(TH!M$1,SMALL(Dong14,ROWS($1:37)),),0))</f>
        <v>0</v>
      </c>
      <c r="J53" s="713">
        <f ca="1">IF(ROWS($1:37)&gt;COUNT(Dong14),0,IF(OFFSET(TH!O$1,SMALL(Dong14,ROWS($1:37)),)="131",OFFSET(TH!K$1,SMALL(Dong14,ROWS($1:37)),),0))</f>
        <v>0</v>
      </c>
      <c r="K53" s="712">
        <f ca="1">IF(ROWS($1:37)&gt;COUNT(Dong14),0,IF(OFFSET(TH!O$1,SMALL(Dong14,ROWS($1:37)),)="131",OFFSET(TH!M$1,SMALL(Dong14,ROWS($1:37)),),0))</f>
        <v>0</v>
      </c>
      <c r="L53" s="711">
        <f t="shared" ca="1" si="15"/>
        <v>0</v>
      </c>
      <c r="M53" s="710">
        <f t="shared" ca="1" si="16"/>
        <v>0</v>
      </c>
      <c r="N53" s="711">
        <f t="shared" ca="1" si="17"/>
        <v>0</v>
      </c>
      <c r="O53" s="710">
        <f t="shared" ca="1" si="18"/>
        <v>0</v>
      </c>
    </row>
    <row r="54" spans="1:15" s="5" customFormat="1" ht="23.25" customHeight="1">
      <c r="A54" s="213" t="str">
        <f t="shared" ref="A54:A92" ca="1" si="19">IF(C54&lt;&gt;"",C54,"")</f>
        <v/>
      </c>
      <c r="B54" s="217" t="str">
        <f ca="1">IF(ROWS($1:38)&gt;COUNT(Dong14),"",OFFSET(TH!D$1,SMALL(Dong14,ROWS($1:38)),))</f>
        <v/>
      </c>
      <c r="C54" s="213" t="str">
        <f ca="1">IF(ROWS($1:38)&gt;COUNT(Dong14),"",OFFSET(TH!E$1,SMALL(Dong14,ROWS($1:38)),))</f>
        <v/>
      </c>
      <c r="D54" s="714" t="str">
        <f ca="1">IF(ROWS($1:38)&gt;COUNT(Dong14),"",OFFSET(TH!F$1,SMALL(Dong14,ROWS($1:38)),))</f>
        <v/>
      </c>
      <c r="E54" s="712" t="str">
        <f ca="1">IF(ROWS($1:38)&gt;COUNT(Dong14),"",IF(OFFSET(TH!N$1,SMALL(Dong14,ROWS($1:38)),)="131",OFFSET(TH!O$1,SMALL(Dong14,ROWS($1:38)),),OFFSET(TH!N$1,SMALL(Dong14,ROWS($1:38)),)))</f>
        <v/>
      </c>
      <c r="F54" s="712">
        <f ca="1">IF(ROWS($1:38)&gt;COUNT(Dong14),0,OFFSET(TH!L$1,SMALL(Dong14,ROWS($1:38)),))</f>
        <v>0</v>
      </c>
      <c r="G54" s="712"/>
      <c r="H54" s="1139">
        <f ca="1">IF(ROWS($1:38)&gt;COUNT(Dong14),0,IF(OFFSET(TH!N$1,SMALL(Dong14,ROWS($1:38)),)="131",OFFSET(TH!K$1,SMALL(Dong14,ROWS($1:38)),),0))</f>
        <v>0</v>
      </c>
      <c r="I54" s="712">
        <f ca="1">IF(ROWS($1:38)&gt;COUNT(Dong14),0,IF(OFFSET(TH!N$1,SMALL(Dong14,ROWS($1:38)),)="131",OFFSET(TH!M$1,SMALL(Dong14,ROWS($1:38)),),0))</f>
        <v>0</v>
      </c>
      <c r="J54" s="713">
        <f ca="1">IF(ROWS($1:38)&gt;COUNT(Dong14),0,IF(OFFSET(TH!O$1,SMALL(Dong14,ROWS($1:38)),)="131",OFFSET(TH!K$1,SMALL(Dong14,ROWS($1:38)),),0))</f>
        <v>0</v>
      </c>
      <c r="K54" s="712">
        <f ca="1">IF(ROWS($1:38)&gt;COUNT(Dong14),0,IF(OFFSET(TH!O$1,SMALL(Dong14,ROWS($1:38)),)="131",OFFSET(TH!M$1,SMALL(Dong14,ROWS($1:38)),),0))</f>
        <v>0</v>
      </c>
      <c r="L54" s="711">
        <f t="shared" ref="L54:L92" ca="1" si="20">IF(D54&lt;&gt;"",ROUND(MAX(L53+H54-J54-N53,0),2),0)</f>
        <v>0</v>
      </c>
      <c r="M54" s="710">
        <f t="shared" ref="M54:M92" ca="1" si="21">IF(D54&lt;&gt;"",MAX(M53-O53+I54-K54,0),0)</f>
        <v>0</v>
      </c>
      <c r="N54" s="711">
        <f t="shared" ref="N54:N92" ca="1" si="22">IF(D54&lt;&gt;"",ROUND(MAX(N53+J54-H54-L53,0),2),0)</f>
        <v>0</v>
      </c>
      <c r="O54" s="710">
        <f t="shared" ref="O54:O92" ca="1" si="23">IF(D54&lt;&gt;"",MAX(O53-M53+K54-I54,0),0)</f>
        <v>0</v>
      </c>
    </row>
    <row r="55" spans="1:15" s="5" customFormat="1" ht="23.25" customHeight="1">
      <c r="A55" s="213" t="str">
        <f t="shared" ca="1" si="19"/>
        <v/>
      </c>
      <c r="B55" s="217" t="str">
        <f ca="1">IF(ROWS($1:39)&gt;COUNT(Dong14),"",OFFSET(TH!D$1,SMALL(Dong14,ROWS($1:39)),))</f>
        <v/>
      </c>
      <c r="C55" s="213" t="str">
        <f ca="1">IF(ROWS($1:39)&gt;COUNT(Dong14),"",OFFSET(TH!E$1,SMALL(Dong14,ROWS($1:39)),))</f>
        <v/>
      </c>
      <c r="D55" s="714" t="str">
        <f ca="1">IF(ROWS($1:39)&gt;COUNT(Dong14),"",OFFSET(TH!F$1,SMALL(Dong14,ROWS($1:39)),))</f>
        <v/>
      </c>
      <c r="E55" s="712" t="str">
        <f ca="1">IF(ROWS($1:39)&gt;COUNT(Dong14),"",IF(OFFSET(TH!N$1,SMALL(Dong14,ROWS($1:39)),)="131",OFFSET(TH!O$1,SMALL(Dong14,ROWS($1:39)),),OFFSET(TH!N$1,SMALL(Dong14,ROWS($1:39)),)))</f>
        <v/>
      </c>
      <c r="F55" s="712">
        <f ca="1">IF(ROWS($1:39)&gt;COUNT(Dong14),0,OFFSET(TH!L$1,SMALL(Dong14,ROWS($1:39)),))</f>
        <v>0</v>
      </c>
      <c r="G55" s="712"/>
      <c r="H55" s="1139">
        <f ca="1">IF(ROWS($1:39)&gt;COUNT(Dong14),0,IF(OFFSET(TH!N$1,SMALL(Dong14,ROWS($1:39)),)="131",OFFSET(TH!K$1,SMALL(Dong14,ROWS($1:39)),),0))</f>
        <v>0</v>
      </c>
      <c r="I55" s="712">
        <f ca="1">IF(ROWS($1:39)&gt;COUNT(Dong14),0,IF(OFFSET(TH!N$1,SMALL(Dong14,ROWS($1:39)),)="131",OFFSET(TH!M$1,SMALL(Dong14,ROWS($1:39)),),0))</f>
        <v>0</v>
      </c>
      <c r="J55" s="713">
        <f ca="1">IF(ROWS($1:39)&gt;COUNT(Dong14),0,IF(OFFSET(TH!O$1,SMALL(Dong14,ROWS($1:39)),)="131",OFFSET(TH!K$1,SMALL(Dong14,ROWS($1:39)),),0))</f>
        <v>0</v>
      </c>
      <c r="K55" s="712">
        <f ca="1">IF(ROWS($1:39)&gt;COUNT(Dong14),0,IF(OFFSET(TH!O$1,SMALL(Dong14,ROWS($1:39)),)="131",OFFSET(TH!M$1,SMALL(Dong14,ROWS($1:39)),),0))</f>
        <v>0</v>
      </c>
      <c r="L55" s="711">
        <f t="shared" ca="1" si="20"/>
        <v>0</v>
      </c>
      <c r="M55" s="710">
        <f t="shared" ca="1" si="21"/>
        <v>0</v>
      </c>
      <c r="N55" s="711">
        <f t="shared" ca="1" si="22"/>
        <v>0</v>
      </c>
      <c r="O55" s="710">
        <f t="shared" ca="1" si="23"/>
        <v>0</v>
      </c>
    </row>
    <row r="56" spans="1:15" s="5" customFormat="1" ht="23.25" customHeight="1">
      <c r="A56" s="213" t="str">
        <f t="shared" ca="1" si="19"/>
        <v/>
      </c>
      <c r="B56" s="217" t="str">
        <f ca="1">IF(ROWS($1:40)&gt;COUNT(Dong14),"",OFFSET(TH!D$1,SMALL(Dong14,ROWS($1:40)),))</f>
        <v/>
      </c>
      <c r="C56" s="213" t="str">
        <f ca="1">IF(ROWS($1:40)&gt;COUNT(Dong14),"",OFFSET(TH!E$1,SMALL(Dong14,ROWS($1:40)),))</f>
        <v/>
      </c>
      <c r="D56" s="714" t="str">
        <f ca="1">IF(ROWS($1:40)&gt;COUNT(Dong14),"",OFFSET(TH!F$1,SMALL(Dong14,ROWS($1:40)),))</f>
        <v/>
      </c>
      <c r="E56" s="712" t="str">
        <f ca="1">IF(ROWS($1:40)&gt;COUNT(Dong14),"",IF(OFFSET(TH!N$1,SMALL(Dong14,ROWS($1:40)),)="131",OFFSET(TH!O$1,SMALL(Dong14,ROWS($1:40)),),OFFSET(TH!N$1,SMALL(Dong14,ROWS($1:40)),)))</f>
        <v/>
      </c>
      <c r="F56" s="712">
        <f ca="1">IF(ROWS($1:40)&gt;COUNT(Dong14),0,OFFSET(TH!L$1,SMALL(Dong14,ROWS($1:40)),))</f>
        <v>0</v>
      </c>
      <c r="G56" s="712"/>
      <c r="H56" s="1139">
        <f ca="1">IF(ROWS($1:40)&gt;COUNT(Dong14),0,IF(OFFSET(TH!N$1,SMALL(Dong14,ROWS($1:40)),)="131",OFFSET(TH!K$1,SMALL(Dong14,ROWS($1:40)),),0))</f>
        <v>0</v>
      </c>
      <c r="I56" s="712">
        <f ca="1">IF(ROWS($1:40)&gt;COUNT(Dong14),0,IF(OFFSET(TH!N$1,SMALL(Dong14,ROWS($1:40)),)="131",OFFSET(TH!M$1,SMALL(Dong14,ROWS($1:40)),),0))</f>
        <v>0</v>
      </c>
      <c r="J56" s="713">
        <f ca="1">IF(ROWS($1:40)&gt;COUNT(Dong14),0,IF(OFFSET(TH!O$1,SMALL(Dong14,ROWS($1:40)),)="131",OFFSET(TH!K$1,SMALL(Dong14,ROWS($1:40)),),0))</f>
        <v>0</v>
      </c>
      <c r="K56" s="712">
        <f ca="1">IF(ROWS($1:40)&gt;COUNT(Dong14),0,IF(OFFSET(TH!O$1,SMALL(Dong14,ROWS($1:40)),)="131",OFFSET(TH!M$1,SMALL(Dong14,ROWS($1:40)),),0))</f>
        <v>0</v>
      </c>
      <c r="L56" s="711">
        <f t="shared" ca="1" si="20"/>
        <v>0</v>
      </c>
      <c r="M56" s="710">
        <f t="shared" ca="1" si="21"/>
        <v>0</v>
      </c>
      <c r="N56" s="711">
        <f t="shared" ca="1" si="22"/>
        <v>0</v>
      </c>
      <c r="O56" s="710">
        <f t="shared" ca="1" si="23"/>
        <v>0</v>
      </c>
    </row>
    <row r="57" spans="1:15" s="5" customFormat="1" ht="23.25" customHeight="1">
      <c r="A57" s="213" t="str">
        <f t="shared" ca="1" si="19"/>
        <v/>
      </c>
      <c r="B57" s="217" t="str">
        <f ca="1">IF(ROWS($1:41)&gt;COUNT(Dong14),"",OFFSET(TH!D$1,SMALL(Dong14,ROWS($1:41)),))</f>
        <v/>
      </c>
      <c r="C57" s="213" t="str">
        <f ca="1">IF(ROWS($1:41)&gt;COUNT(Dong14),"",OFFSET(TH!E$1,SMALL(Dong14,ROWS($1:41)),))</f>
        <v/>
      </c>
      <c r="D57" s="714" t="str">
        <f ca="1">IF(ROWS($1:41)&gt;COUNT(Dong14),"",OFFSET(TH!F$1,SMALL(Dong14,ROWS($1:41)),))</f>
        <v/>
      </c>
      <c r="E57" s="712" t="str">
        <f ca="1">IF(ROWS($1:41)&gt;COUNT(Dong14),"",IF(OFFSET(TH!N$1,SMALL(Dong14,ROWS($1:41)),)="131",OFFSET(TH!O$1,SMALL(Dong14,ROWS($1:41)),),OFFSET(TH!N$1,SMALL(Dong14,ROWS($1:41)),)))</f>
        <v/>
      </c>
      <c r="F57" s="712">
        <f ca="1">IF(ROWS($1:41)&gt;COUNT(Dong14),0,OFFSET(TH!L$1,SMALL(Dong14,ROWS($1:41)),))</f>
        <v>0</v>
      </c>
      <c r="G57" s="712"/>
      <c r="H57" s="1139">
        <f ca="1">IF(ROWS($1:41)&gt;COUNT(Dong14),0,IF(OFFSET(TH!N$1,SMALL(Dong14,ROWS($1:41)),)="131",OFFSET(TH!K$1,SMALL(Dong14,ROWS($1:41)),),0))</f>
        <v>0</v>
      </c>
      <c r="I57" s="712">
        <f ca="1">IF(ROWS($1:41)&gt;COUNT(Dong14),0,IF(OFFSET(TH!N$1,SMALL(Dong14,ROWS($1:41)),)="131",OFFSET(TH!M$1,SMALL(Dong14,ROWS($1:41)),),0))</f>
        <v>0</v>
      </c>
      <c r="J57" s="713">
        <f ca="1">IF(ROWS($1:41)&gt;COUNT(Dong14),0,IF(OFFSET(TH!O$1,SMALL(Dong14,ROWS($1:41)),)="131",OFFSET(TH!K$1,SMALL(Dong14,ROWS($1:41)),),0))</f>
        <v>0</v>
      </c>
      <c r="K57" s="712">
        <f ca="1">IF(ROWS($1:41)&gt;COUNT(Dong14),0,IF(OFFSET(TH!O$1,SMALL(Dong14,ROWS($1:41)),)="131",OFFSET(TH!M$1,SMALL(Dong14,ROWS($1:41)),),0))</f>
        <v>0</v>
      </c>
      <c r="L57" s="711">
        <f t="shared" ca="1" si="20"/>
        <v>0</v>
      </c>
      <c r="M57" s="710">
        <f t="shared" ca="1" si="21"/>
        <v>0</v>
      </c>
      <c r="N57" s="711">
        <f t="shared" ca="1" si="22"/>
        <v>0</v>
      </c>
      <c r="O57" s="710">
        <f t="shared" ca="1" si="23"/>
        <v>0</v>
      </c>
    </row>
    <row r="58" spans="1:15" s="5" customFormat="1" ht="23.25" customHeight="1">
      <c r="A58" s="213" t="str">
        <f t="shared" ca="1" si="19"/>
        <v/>
      </c>
      <c r="B58" s="217" t="str">
        <f ca="1">IF(ROWS($1:42)&gt;COUNT(Dong14),"",OFFSET(TH!D$1,SMALL(Dong14,ROWS($1:42)),))</f>
        <v/>
      </c>
      <c r="C58" s="213" t="str">
        <f ca="1">IF(ROWS($1:42)&gt;COUNT(Dong14),"",OFFSET(TH!E$1,SMALL(Dong14,ROWS($1:42)),))</f>
        <v/>
      </c>
      <c r="D58" s="714" t="str">
        <f ca="1">IF(ROWS($1:42)&gt;COUNT(Dong14),"",OFFSET(TH!F$1,SMALL(Dong14,ROWS($1:42)),))</f>
        <v/>
      </c>
      <c r="E58" s="712" t="str">
        <f ca="1">IF(ROWS($1:42)&gt;COUNT(Dong14),"",IF(OFFSET(TH!N$1,SMALL(Dong14,ROWS($1:42)),)="131",OFFSET(TH!O$1,SMALL(Dong14,ROWS($1:42)),),OFFSET(TH!N$1,SMALL(Dong14,ROWS($1:42)),)))</f>
        <v/>
      </c>
      <c r="F58" s="712">
        <f ca="1">IF(ROWS($1:42)&gt;COUNT(Dong14),0,OFFSET(TH!L$1,SMALL(Dong14,ROWS($1:42)),))</f>
        <v>0</v>
      </c>
      <c r="G58" s="712"/>
      <c r="H58" s="1139">
        <f ca="1">IF(ROWS($1:42)&gt;COUNT(Dong14),0,IF(OFFSET(TH!N$1,SMALL(Dong14,ROWS($1:42)),)="131",OFFSET(TH!K$1,SMALL(Dong14,ROWS($1:42)),),0))</f>
        <v>0</v>
      </c>
      <c r="I58" s="712">
        <f ca="1">IF(ROWS($1:42)&gt;COUNT(Dong14),0,IF(OFFSET(TH!N$1,SMALL(Dong14,ROWS($1:42)),)="131",OFFSET(TH!M$1,SMALL(Dong14,ROWS($1:42)),),0))</f>
        <v>0</v>
      </c>
      <c r="J58" s="713">
        <f ca="1">IF(ROWS($1:42)&gt;COUNT(Dong14),0,IF(OFFSET(TH!O$1,SMALL(Dong14,ROWS($1:42)),)="131",OFFSET(TH!K$1,SMALL(Dong14,ROWS($1:42)),),0))</f>
        <v>0</v>
      </c>
      <c r="K58" s="712">
        <f ca="1">IF(ROWS($1:42)&gt;COUNT(Dong14),0,IF(OFFSET(TH!O$1,SMALL(Dong14,ROWS($1:42)),)="131",OFFSET(TH!M$1,SMALL(Dong14,ROWS($1:42)),),0))</f>
        <v>0</v>
      </c>
      <c r="L58" s="711">
        <f t="shared" ca="1" si="20"/>
        <v>0</v>
      </c>
      <c r="M58" s="710">
        <f t="shared" ca="1" si="21"/>
        <v>0</v>
      </c>
      <c r="N58" s="711">
        <f t="shared" ca="1" si="22"/>
        <v>0</v>
      </c>
      <c r="O58" s="710">
        <f t="shared" ca="1" si="23"/>
        <v>0</v>
      </c>
    </row>
    <row r="59" spans="1:15" s="5" customFormat="1" ht="23.25" customHeight="1">
      <c r="A59" s="213" t="str">
        <f t="shared" ca="1" si="19"/>
        <v/>
      </c>
      <c r="B59" s="217" t="str">
        <f ca="1">IF(ROWS($1:43)&gt;COUNT(Dong14),"",OFFSET(TH!D$1,SMALL(Dong14,ROWS($1:43)),))</f>
        <v/>
      </c>
      <c r="C59" s="213" t="str">
        <f ca="1">IF(ROWS($1:43)&gt;COUNT(Dong14),"",OFFSET(TH!E$1,SMALL(Dong14,ROWS($1:43)),))</f>
        <v/>
      </c>
      <c r="D59" s="714" t="str">
        <f ca="1">IF(ROWS($1:43)&gt;COUNT(Dong14),"",OFFSET(TH!F$1,SMALL(Dong14,ROWS($1:43)),))</f>
        <v/>
      </c>
      <c r="E59" s="712" t="str">
        <f ca="1">IF(ROWS($1:43)&gt;COUNT(Dong14),"",IF(OFFSET(TH!N$1,SMALL(Dong14,ROWS($1:43)),)="131",OFFSET(TH!O$1,SMALL(Dong14,ROWS($1:43)),),OFFSET(TH!N$1,SMALL(Dong14,ROWS($1:43)),)))</f>
        <v/>
      </c>
      <c r="F59" s="712">
        <f ca="1">IF(ROWS($1:43)&gt;COUNT(Dong14),0,OFFSET(TH!L$1,SMALL(Dong14,ROWS($1:43)),))</f>
        <v>0</v>
      </c>
      <c r="G59" s="712"/>
      <c r="H59" s="1139">
        <f ca="1">IF(ROWS($1:43)&gt;COUNT(Dong14),0,IF(OFFSET(TH!N$1,SMALL(Dong14,ROWS($1:43)),)="131",OFFSET(TH!K$1,SMALL(Dong14,ROWS($1:43)),),0))</f>
        <v>0</v>
      </c>
      <c r="I59" s="712">
        <f ca="1">IF(ROWS($1:43)&gt;COUNT(Dong14),0,IF(OFFSET(TH!N$1,SMALL(Dong14,ROWS($1:43)),)="131",OFFSET(TH!M$1,SMALL(Dong14,ROWS($1:43)),),0))</f>
        <v>0</v>
      </c>
      <c r="J59" s="713">
        <f ca="1">IF(ROWS($1:43)&gt;COUNT(Dong14),0,IF(OFFSET(TH!O$1,SMALL(Dong14,ROWS($1:43)),)="131",OFFSET(TH!K$1,SMALL(Dong14,ROWS($1:43)),),0))</f>
        <v>0</v>
      </c>
      <c r="K59" s="712">
        <f ca="1">IF(ROWS($1:43)&gt;COUNT(Dong14),0,IF(OFFSET(TH!O$1,SMALL(Dong14,ROWS($1:43)),)="131",OFFSET(TH!M$1,SMALL(Dong14,ROWS($1:43)),),0))</f>
        <v>0</v>
      </c>
      <c r="L59" s="711">
        <f t="shared" ca="1" si="20"/>
        <v>0</v>
      </c>
      <c r="M59" s="710">
        <f t="shared" ca="1" si="21"/>
        <v>0</v>
      </c>
      <c r="N59" s="711">
        <f t="shared" ca="1" si="22"/>
        <v>0</v>
      </c>
      <c r="O59" s="710">
        <f t="shared" ca="1" si="23"/>
        <v>0</v>
      </c>
    </row>
    <row r="60" spans="1:15" s="5" customFormat="1" ht="23.25" customHeight="1">
      <c r="A60" s="213" t="str">
        <f t="shared" ca="1" si="19"/>
        <v/>
      </c>
      <c r="B60" s="217" t="str">
        <f ca="1">IF(ROWS($1:44)&gt;COUNT(Dong14),"",OFFSET(TH!D$1,SMALL(Dong14,ROWS($1:44)),))</f>
        <v/>
      </c>
      <c r="C60" s="213" t="str">
        <f ca="1">IF(ROWS($1:44)&gt;COUNT(Dong14),"",OFFSET(TH!E$1,SMALL(Dong14,ROWS($1:44)),))</f>
        <v/>
      </c>
      <c r="D60" s="714" t="str">
        <f ca="1">IF(ROWS($1:44)&gt;COUNT(Dong14),"",OFFSET(TH!F$1,SMALL(Dong14,ROWS($1:44)),))</f>
        <v/>
      </c>
      <c r="E60" s="712" t="str">
        <f ca="1">IF(ROWS($1:44)&gt;COUNT(Dong14),"",IF(OFFSET(TH!N$1,SMALL(Dong14,ROWS($1:44)),)="131",OFFSET(TH!O$1,SMALL(Dong14,ROWS($1:44)),),OFFSET(TH!N$1,SMALL(Dong14,ROWS($1:44)),)))</f>
        <v/>
      </c>
      <c r="F60" s="712">
        <f ca="1">IF(ROWS($1:44)&gt;COUNT(Dong14),0,OFFSET(TH!L$1,SMALL(Dong14,ROWS($1:44)),))</f>
        <v>0</v>
      </c>
      <c r="G60" s="712"/>
      <c r="H60" s="1139">
        <f ca="1">IF(ROWS($1:44)&gt;COUNT(Dong14),0,IF(OFFSET(TH!N$1,SMALL(Dong14,ROWS($1:44)),)="131",OFFSET(TH!K$1,SMALL(Dong14,ROWS($1:44)),),0))</f>
        <v>0</v>
      </c>
      <c r="I60" s="712">
        <f ca="1">IF(ROWS($1:44)&gt;COUNT(Dong14),0,IF(OFFSET(TH!N$1,SMALL(Dong14,ROWS($1:44)),)="131",OFFSET(TH!M$1,SMALL(Dong14,ROWS($1:44)),),0))</f>
        <v>0</v>
      </c>
      <c r="J60" s="713">
        <f ca="1">IF(ROWS($1:44)&gt;COUNT(Dong14),0,IF(OFFSET(TH!O$1,SMALL(Dong14,ROWS($1:44)),)="131",OFFSET(TH!K$1,SMALL(Dong14,ROWS($1:44)),),0))</f>
        <v>0</v>
      </c>
      <c r="K60" s="712">
        <f ca="1">IF(ROWS($1:44)&gt;COUNT(Dong14),0,IF(OFFSET(TH!O$1,SMALL(Dong14,ROWS($1:44)),)="131",OFFSET(TH!M$1,SMALL(Dong14,ROWS($1:44)),),0))</f>
        <v>0</v>
      </c>
      <c r="L60" s="711">
        <f t="shared" ca="1" si="20"/>
        <v>0</v>
      </c>
      <c r="M60" s="710">
        <f t="shared" ca="1" si="21"/>
        <v>0</v>
      </c>
      <c r="N60" s="711">
        <f t="shared" ca="1" si="22"/>
        <v>0</v>
      </c>
      <c r="O60" s="710">
        <f t="shared" ca="1" si="23"/>
        <v>0</v>
      </c>
    </row>
    <row r="61" spans="1:15" s="5" customFormat="1" ht="23.25" customHeight="1">
      <c r="A61" s="213" t="str">
        <f t="shared" ca="1" si="19"/>
        <v/>
      </c>
      <c r="B61" s="217" t="str">
        <f ca="1">IF(ROWS($1:45)&gt;COUNT(Dong14),"",OFFSET(TH!D$1,SMALL(Dong14,ROWS($1:45)),))</f>
        <v/>
      </c>
      <c r="C61" s="213" t="str">
        <f ca="1">IF(ROWS($1:45)&gt;COUNT(Dong14),"",OFFSET(TH!E$1,SMALL(Dong14,ROWS($1:45)),))</f>
        <v/>
      </c>
      <c r="D61" s="714" t="str">
        <f ca="1">IF(ROWS($1:45)&gt;COUNT(Dong14),"",OFFSET(TH!F$1,SMALL(Dong14,ROWS($1:45)),))</f>
        <v/>
      </c>
      <c r="E61" s="712" t="str">
        <f ca="1">IF(ROWS($1:45)&gt;COUNT(Dong14),"",IF(OFFSET(TH!N$1,SMALL(Dong14,ROWS($1:45)),)="131",OFFSET(TH!O$1,SMALL(Dong14,ROWS($1:45)),),OFFSET(TH!N$1,SMALL(Dong14,ROWS($1:45)),)))</f>
        <v/>
      </c>
      <c r="F61" s="712">
        <f ca="1">IF(ROWS($1:45)&gt;COUNT(Dong14),0,OFFSET(TH!L$1,SMALL(Dong14,ROWS($1:45)),))</f>
        <v>0</v>
      </c>
      <c r="G61" s="712"/>
      <c r="H61" s="1139">
        <f ca="1">IF(ROWS($1:45)&gt;COUNT(Dong14),0,IF(OFFSET(TH!N$1,SMALL(Dong14,ROWS($1:45)),)="131",OFFSET(TH!K$1,SMALL(Dong14,ROWS($1:45)),),0))</f>
        <v>0</v>
      </c>
      <c r="I61" s="712">
        <f ca="1">IF(ROWS($1:45)&gt;COUNT(Dong14),0,IF(OFFSET(TH!N$1,SMALL(Dong14,ROWS($1:45)),)="131",OFFSET(TH!M$1,SMALL(Dong14,ROWS($1:45)),),0))</f>
        <v>0</v>
      </c>
      <c r="J61" s="713">
        <f ca="1">IF(ROWS($1:45)&gt;COUNT(Dong14),0,IF(OFFSET(TH!O$1,SMALL(Dong14,ROWS($1:45)),)="131",OFFSET(TH!K$1,SMALL(Dong14,ROWS($1:45)),),0))</f>
        <v>0</v>
      </c>
      <c r="K61" s="712">
        <f ca="1">IF(ROWS($1:45)&gt;COUNT(Dong14),0,IF(OFFSET(TH!O$1,SMALL(Dong14,ROWS($1:45)),)="131",OFFSET(TH!M$1,SMALL(Dong14,ROWS($1:45)),),0))</f>
        <v>0</v>
      </c>
      <c r="L61" s="711">
        <f t="shared" ca="1" si="20"/>
        <v>0</v>
      </c>
      <c r="M61" s="710">
        <f t="shared" ca="1" si="21"/>
        <v>0</v>
      </c>
      <c r="N61" s="711">
        <f t="shared" ca="1" si="22"/>
        <v>0</v>
      </c>
      <c r="O61" s="710">
        <f t="shared" ca="1" si="23"/>
        <v>0</v>
      </c>
    </row>
    <row r="62" spans="1:15" s="5" customFormat="1" ht="23.25" customHeight="1">
      <c r="A62" s="213" t="str">
        <f t="shared" ca="1" si="19"/>
        <v/>
      </c>
      <c r="B62" s="217" t="str">
        <f ca="1">IF(ROWS($1:46)&gt;COUNT(Dong14),"",OFFSET(TH!D$1,SMALL(Dong14,ROWS($1:46)),))</f>
        <v/>
      </c>
      <c r="C62" s="213" t="str">
        <f ca="1">IF(ROWS($1:46)&gt;COUNT(Dong14),"",OFFSET(TH!E$1,SMALL(Dong14,ROWS($1:46)),))</f>
        <v/>
      </c>
      <c r="D62" s="714" t="str">
        <f ca="1">IF(ROWS($1:46)&gt;COUNT(Dong14),"",OFFSET(TH!F$1,SMALL(Dong14,ROWS($1:46)),))</f>
        <v/>
      </c>
      <c r="E62" s="712" t="str">
        <f ca="1">IF(ROWS($1:46)&gt;COUNT(Dong14),"",IF(OFFSET(TH!N$1,SMALL(Dong14,ROWS($1:46)),)="131",OFFSET(TH!O$1,SMALL(Dong14,ROWS($1:46)),),OFFSET(TH!N$1,SMALL(Dong14,ROWS($1:46)),)))</f>
        <v/>
      </c>
      <c r="F62" s="712">
        <f ca="1">IF(ROWS($1:46)&gt;COUNT(Dong14),0,OFFSET(TH!L$1,SMALL(Dong14,ROWS($1:46)),))</f>
        <v>0</v>
      </c>
      <c r="G62" s="712"/>
      <c r="H62" s="1139">
        <f ca="1">IF(ROWS($1:46)&gt;COUNT(Dong14),0,IF(OFFSET(TH!N$1,SMALL(Dong14,ROWS($1:46)),)="131",OFFSET(TH!K$1,SMALL(Dong14,ROWS($1:46)),),0))</f>
        <v>0</v>
      </c>
      <c r="I62" s="712">
        <f ca="1">IF(ROWS($1:46)&gt;COUNT(Dong14),0,IF(OFFSET(TH!N$1,SMALL(Dong14,ROWS($1:46)),)="131",OFFSET(TH!M$1,SMALL(Dong14,ROWS($1:46)),),0))</f>
        <v>0</v>
      </c>
      <c r="J62" s="713">
        <f ca="1">IF(ROWS($1:46)&gt;COUNT(Dong14),0,IF(OFFSET(TH!O$1,SMALL(Dong14,ROWS($1:46)),)="131",OFFSET(TH!K$1,SMALL(Dong14,ROWS($1:46)),),0))</f>
        <v>0</v>
      </c>
      <c r="K62" s="712">
        <f ca="1">IF(ROWS($1:46)&gt;COUNT(Dong14),0,IF(OFFSET(TH!O$1,SMALL(Dong14,ROWS($1:46)),)="131",OFFSET(TH!M$1,SMALL(Dong14,ROWS($1:46)),),0))</f>
        <v>0</v>
      </c>
      <c r="L62" s="711">
        <f t="shared" ca="1" si="20"/>
        <v>0</v>
      </c>
      <c r="M62" s="710">
        <f t="shared" ca="1" si="21"/>
        <v>0</v>
      </c>
      <c r="N62" s="711">
        <f t="shared" ca="1" si="22"/>
        <v>0</v>
      </c>
      <c r="O62" s="710">
        <f t="shared" ca="1" si="23"/>
        <v>0</v>
      </c>
    </row>
    <row r="63" spans="1:15" s="5" customFormat="1" ht="23.25" customHeight="1">
      <c r="A63" s="213" t="str">
        <f t="shared" ca="1" si="19"/>
        <v/>
      </c>
      <c r="B63" s="217" t="str">
        <f ca="1">IF(ROWS($1:47)&gt;COUNT(Dong14),"",OFFSET(TH!D$1,SMALL(Dong14,ROWS($1:47)),))</f>
        <v/>
      </c>
      <c r="C63" s="213" t="str">
        <f ca="1">IF(ROWS($1:47)&gt;COUNT(Dong14),"",OFFSET(TH!E$1,SMALL(Dong14,ROWS($1:47)),))</f>
        <v/>
      </c>
      <c r="D63" s="714" t="str">
        <f ca="1">IF(ROWS($1:47)&gt;COUNT(Dong14),"",OFFSET(TH!F$1,SMALL(Dong14,ROWS($1:47)),))</f>
        <v/>
      </c>
      <c r="E63" s="712" t="str">
        <f ca="1">IF(ROWS($1:47)&gt;COUNT(Dong14),"",IF(OFFSET(TH!N$1,SMALL(Dong14,ROWS($1:47)),)="131",OFFSET(TH!O$1,SMALL(Dong14,ROWS($1:47)),),OFFSET(TH!N$1,SMALL(Dong14,ROWS($1:47)),)))</f>
        <v/>
      </c>
      <c r="F63" s="712">
        <f ca="1">IF(ROWS($1:47)&gt;COUNT(Dong14),0,OFFSET(TH!L$1,SMALL(Dong14,ROWS($1:47)),))</f>
        <v>0</v>
      </c>
      <c r="G63" s="712"/>
      <c r="H63" s="1139">
        <f ca="1">IF(ROWS($1:47)&gt;COUNT(Dong14),0,IF(OFFSET(TH!N$1,SMALL(Dong14,ROWS($1:47)),)="131",OFFSET(TH!K$1,SMALL(Dong14,ROWS($1:47)),),0))</f>
        <v>0</v>
      </c>
      <c r="I63" s="712">
        <f ca="1">IF(ROWS($1:47)&gt;COUNT(Dong14),0,IF(OFFSET(TH!N$1,SMALL(Dong14,ROWS($1:47)),)="131",OFFSET(TH!M$1,SMALL(Dong14,ROWS($1:47)),),0))</f>
        <v>0</v>
      </c>
      <c r="J63" s="713">
        <f ca="1">IF(ROWS($1:47)&gt;COUNT(Dong14),0,IF(OFFSET(TH!O$1,SMALL(Dong14,ROWS($1:47)),)="131",OFFSET(TH!K$1,SMALL(Dong14,ROWS($1:47)),),0))</f>
        <v>0</v>
      </c>
      <c r="K63" s="712">
        <f ca="1">IF(ROWS($1:47)&gt;COUNT(Dong14),0,IF(OFFSET(TH!O$1,SMALL(Dong14,ROWS($1:47)),)="131",OFFSET(TH!M$1,SMALL(Dong14,ROWS($1:47)),),0))</f>
        <v>0</v>
      </c>
      <c r="L63" s="711">
        <f t="shared" ca="1" si="20"/>
        <v>0</v>
      </c>
      <c r="M63" s="710">
        <f t="shared" ca="1" si="21"/>
        <v>0</v>
      </c>
      <c r="N63" s="711">
        <f t="shared" ca="1" si="22"/>
        <v>0</v>
      </c>
      <c r="O63" s="710">
        <f t="shared" ca="1" si="23"/>
        <v>0</v>
      </c>
    </row>
    <row r="64" spans="1:15" s="5" customFormat="1" ht="23.25" customHeight="1">
      <c r="A64" s="213" t="str">
        <f t="shared" ca="1" si="19"/>
        <v/>
      </c>
      <c r="B64" s="217" t="str">
        <f ca="1">IF(ROWS($1:48)&gt;COUNT(Dong14),"",OFFSET(TH!D$1,SMALL(Dong14,ROWS($1:48)),))</f>
        <v/>
      </c>
      <c r="C64" s="213" t="str">
        <f ca="1">IF(ROWS($1:48)&gt;COUNT(Dong14),"",OFFSET(TH!E$1,SMALL(Dong14,ROWS($1:48)),))</f>
        <v/>
      </c>
      <c r="D64" s="714" t="str">
        <f ca="1">IF(ROWS($1:48)&gt;COUNT(Dong14),"",OFFSET(TH!F$1,SMALL(Dong14,ROWS($1:48)),))</f>
        <v/>
      </c>
      <c r="E64" s="712" t="str">
        <f ca="1">IF(ROWS($1:48)&gt;COUNT(Dong14),"",IF(OFFSET(TH!N$1,SMALL(Dong14,ROWS($1:48)),)="131",OFFSET(TH!O$1,SMALL(Dong14,ROWS($1:48)),),OFFSET(TH!N$1,SMALL(Dong14,ROWS($1:48)),)))</f>
        <v/>
      </c>
      <c r="F64" s="712">
        <f ca="1">IF(ROWS($1:48)&gt;COUNT(Dong14),0,OFFSET(TH!L$1,SMALL(Dong14,ROWS($1:48)),))</f>
        <v>0</v>
      </c>
      <c r="G64" s="712"/>
      <c r="H64" s="1139">
        <f ca="1">IF(ROWS($1:48)&gt;COUNT(Dong14),0,IF(OFFSET(TH!N$1,SMALL(Dong14,ROWS($1:48)),)="131",OFFSET(TH!K$1,SMALL(Dong14,ROWS($1:48)),),0))</f>
        <v>0</v>
      </c>
      <c r="I64" s="712">
        <f ca="1">IF(ROWS($1:48)&gt;COUNT(Dong14),0,IF(OFFSET(TH!N$1,SMALL(Dong14,ROWS($1:48)),)="131",OFFSET(TH!M$1,SMALL(Dong14,ROWS($1:48)),),0))</f>
        <v>0</v>
      </c>
      <c r="J64" s="713">
        <f ca="1">IF(ROWS($1:48)&gt;COUNT(Dong14),0,IF(OFFSET(TH!O$1,SMALL(Dong14,ROWS($1:48)),)="131",OFFSET(TH!K$1,SMALL(Dong14,ROWS($1:48)),),0))</f>
        <v>0</v>
      </c>
      <c r="K64" s="712">
        <f ca="1">IF(ROWS($1:48)&gt;COUNT(Dong14),0,IF(OFFSET(TH!O$1,SMALL(Dong14,ROWS($1:48)),)="131",OFFSET(TH!M$1,SMALL(Dong14,ROWS($1:48)),),0))</f>
        <v>0</v>
      </c>
      <c r="L64" s="711">
        <f t="shared" ca="1" si="20"/>
        <v>0</v>
      </c>
      <c r="M64" s="710">
        <f t="shared" ca="1" si="21"/>
        <v>0</v>
      </c>
      <c r="N64" s="711">
        <f t="shared" ca="1" si="22"/>
        <v>0</v>
      </c>
      <c r="O64" s="710">
        <f t="shared" ca="1" si="23"/>
        <v>0</v>
      </c>
    </row>
    <row r="65" spans="1:15" s="5" customFormat="1" ht="23.25" customHeight="1">
      <c r="A65" s="213" t="str">
        <f t="shared" ca="1" si="19"/>
        <v/>
      </c>
      <c r="B65" s="217" t="str">
        <f ca="1">IF(ROWS($1:49)&gt;COUNT(Dong14),"",OFFSET(TH!D$1,SMALL(Dong14,ROWS($1:49)),))</f>
        <v/>
      </c>
      <c r="C65" s="213" t="str">
        <f ca="1">IF(ROWS($1:49)&gt;COUNT(Dong14),"",OFFSET(TH!E$1,SMALL(Dong14,ROWS($1:49)),))</f>
        <v/>
      </c>
      <c r="D65" s="714" t="str">
        <f ca="1">IF(ROWS($1:49)&gt;COUNT(Dong14),"",OFFSET(TH!F$1,SMALL(Dong14,ROWS($1:49)),))</f>
        <v/>
      </c>
      <c r="E65" s="712" t="str">
        <f ca="1">IF(ROWS($1:49)&gt;COUNT(Dong14),"",IF(OFFSET(TH!N$1,SMALL(Dong14,ROWS($1:49)),)="131",OFFSET(TH!O$1,SMALL(Dong14,ROWS($1:49)),),OFFSET(TH!N$1,SMALL(Dong14,ROWS($1:49)),)))</f>
        <v/>
      </c>
      <c r="F65" s="712">
        <f ca="1">IF(ROWS($1:49)&gt;COUNT(Dong14),0,OFFSET(TH!L$1,SMALL(Dong14,ROWS($1:49)),))</f>
        <v>0</v>
      </c>
      <c r="G65" s="712"/>
      <c r="H65" s="1139">
        <f ca="1">IF(ROWS($1:49)&gt;COUNT(Dong14),0,IF(OFFSET(TH!N$1,SMALL(Dong14,ROWS($1:49)),)="131",OFFSET(TH!K$1,SMALL(Dong14,ROWS($1:49)),),0))</f>
        <v>0</v>
      </c>
      <c r="I65" s="712">
        <f ca="1">IF(ROWS($1:49)&gt;COUNT(Dong14),0,IF(OFFSET(TH!N$1,SMALL(Dong14,ROWS($1:49)),)="131",OFFSET(TH!M$1,SMALL(Dong14,ROWS($1:49)),),0))</f>
        <v>0</v>
      </c>
      <c r="J65" s="713">
        <f ca="1">IF(ROWS($1:49)&gt;COUNT(Dong14),0,IF(OFFSET(TH!O$1,SMALL(Dong14,ROWS($1:49)),)="131",OFFSET(TH!K$1,SMALL(Dong14,ROWS($1:49)),),0))</f>
        <v>0</v>
      </c>
      <c r="K65" s="712">
        <f ca="1">IF(ROWS($1:49)&gt;COUNT(Dong14),0,IF(OFFSET(TH!O$1,SMALL(Dong14,ROWS($1:49)),)="131",OFFSET(TH!M$1,SMALL(Dong14,ROWS($1:49)),),0))</f>
        <v>0</v>
      </c>
      <c r="L65" s="711">
        <f t="shared" ca="1" si="20"/>
        <v>0</v>
      </c>
      <c r="M65" s="710">
        <f t="shared" ca="1" si="21"/>
        <v>0</v>
      </c>
      <c r="N65" s="711">
        <f t="shared" ca="1" si="22"/>
        <v>0</v>
      </c>
      <c r="O65" s="710">
        <f t="shared" ca="1" si="23"/>
        <v>0</v>
      </c>
    </row>
    <row r="66" spans="1:15" s="5" customFormat="1" ht="23.25" customHeight="1">
      <c r="A66" s="213" t="str">
        <f t="shared" ca="1" si="19"/>
        <v/>
      </c>
      <c r="B66" s="217" t="str">
        <f ca="1">IF(ROWS($1:50)&gt;COUNT(Dong14),"",OFFSET(TH!D$1,SMALL(Dong14,ROWS($1:50)),))</f>
        <v/>
      </c>
      <c r="C66" s="213" t="str">
        <f ca="1">IF(ROWS($1:50)&gt;COUNT(Dong14),"",OFFSET(TH!E$1,SMALL(Dong14,ROWS($1:50)),))</f>
        <v/>
      </c>
      <c r="D66" s="714" t="str">
        <f ca="1">IF(ROWS($1:50)&gt;COUNT(Dong14),"",OFFSET(TH!F$1,SMALL(Dong14,ROWS($1:50)),))</f>
        <v/>
      </c>
      <c r="E66" s="712" t="str">
        <f ca="1">IF(ROWS($1:50)&gt;COUNT(Dong14),"",IF(OFFSET(TH!N$1,SMALL(Dong14,ROWS($1:50)),)="131",OFFSET(TH!O$1,SMALL(Dong14,ROWS($1:50)),),OFFSET(TH!N$1,SMALL(Dong14,ROWS($1:50)),)))</f>
        <v/>
      </c>
      <c r="F66" s="712">
        <f ca="1">IF(ROWS($1:50)&gt;COUNT(Dong14),0,OFFSET(TH!L$1,SMALL(Dong14,ROWS($1:50)),))</f>
        <v>0</v>
      </c>
      <c r="G66" s="712"/>
      <c r="H66" s="1139">
        <f ca="1">IF(ROWS($1:50)&gt;COUNT(Dong14),0,IF(OFFSET(TH!N$1,SMALL(Dong14,ROWS($1:50)),)="131",OFFSET(TH!K$1,SMALL(Dong14,ROWS($1:50)),),0))</f>
        <v>0</v>
      </c>
      <c r="I66" s="712">
        <f ca="1">IF(ROWS($1:50)&gt;COUNT(Dong14),0,IF(OFFSET(TH!N$1,SMALL(Dong14,ROWS($1:50)),)="131",OFFSET(TH!M$1,SMALL(Dong14,ROWS($1:50)),),0))</f>
        <v>0</v>
      </c>
      <c r="J66" s="713">
        <f ca="1">IF(ROWS($1:50)&gt;COUNT(Dong14),0,IF(OFFSET(TH!O$1,SMALL(Dong14,ROWS($1:50)),)="131",OFFSET(TH!K$1,SMALL(Dong14,ROWS($1:50)),),0))</f>
        <v>0</v>
      </c>
      <c r="K66" s="712">
        <f ca="1">IF(ROWS($1:50)&gt;COUNT(Dong14),0,IF(OFFSET(TH!O$1,SMALL(Dong14,ROWS($1:50)),)="131",OFFSET(TH!M$1,SMALL(Dong14,ROWS($1:50)),),0))</f>
        <v>0</v>
      </c>
      <c r="L66" s="711">
        <f t="shared" ca="1" si="20"/>
        <v>0</v>
      </c>
      <c r="M66" s="710">
        <f t="shared" ca="1" si="21"/>
        <v>0</v>
      </c>
      <c r="N66" s="711">
        <f t="shared" ca="1" si="22"/>
        <v>0</v>
      </c>
      <c r="O66" s="710">
        <f t="shared" ca="1" si="23"/>
        <v>0</v>
      </c>
    </row>
    <row r="67" spans="1:15" s="5" customFormat="1" ht="23.25" customHeight="1">
      <c r="A67" s="213" t="str">
        <f t="shared" ca="1" si="19"/>
        <v/>
      </c>
      <c r="B67" s="217" t="str">
        <f ca="1">IF(ROWS($1:51)&gt;COUNT(Dong14),"",OFFSET(TH!D$1,SMALL(Dong14,ROWS($1:51)),))</f>
        <v/>
      </c>
      <c r="C67" s="213" t="str">
        <f ca="1">IF(ROWS($1:51)&gt;COUNT(Dong14),"",OFFSET(TH!E$1,SMALL(Dong14,ROWS($1:51)),))</f>
        <v/>
      </c>
      <c r="D67" s="714" t="str">
        <f ca="1">IF(ROWS($1:51)&gt;COUNT(Dong14),"",OFFSET(TH!F$1,SMALL(Dong14,ROWS($1:51)),))</f>
        <v/>
      </c>
      <c r="E67" s="712" t="str">
        <f ca="1">IF(ROWS($1:51)&gt;COUNT(Dong14),"",IF(OFFSET(TH!N$1,SMALL(Dong14,ROWS($1:51)),)="131",OFFSET(TH!O$1,SMALL(Dong14,ROWS($1:51)),),OFFSET(TH!N$1,SMALL(Dong14,ROWS($1:51)),)))</f>
        <v/>
      </c>
      <c r="F67" s="712">
        <f ca="1">IF(ROWS($1:51)&gt;COUNT(Dong14),0,OFFSET(TH!L$1,SMALL(Dong14,ROWS($1:51)),))</f>
        <v>0</v>
      </c>
      <c r="G67" s="712"/>
      <c r="H67" s="1139">
        <f ca="1">IF(ROWS($1:51)&gt;COUNT(Dong14),0,IF(OFFSET(TH!N$1,SMALL(Dong14,ROWS($1:51)),)="131",OFFSET(TH!K$1,SMALL(Dong14,ROWS($1:51)),),0))</f>
        <v>0</v>
      </c>
      <c r="I67" s="712">
        <f ca="1">IF(ROWS($1:51)&gt;COUNT(Dong14),0,IF(OFFSET(TH!N$1,SMALL(Dong14,ROWS($1:51)),)="131",OFFSET(TH!M$1,SMALL(Dong14,ROWS($1:51)),),0))</f>
        <v>0</v>
      </c>
      <c r="J67" s="713">
        <f ca="1">IF(ROWS($1:51)&gt;COUNT(Dong14),0,IF(OFFSET(TH!O$1,SMALL(Dong14,ROWS($1:51)),)="131",OFFSET(TH!K$1,SMALL(Dong14,ROWS($1:51)),),0))</f>
        <v>0</v>
      </c>
      <c r="K67" s="712">
        <f ca="1">IF(ROWS($1:51)&gt;COUNT(Dong14),0,IF(OFFSET(TH!O$1,SMALL(Dong14,ROWS($1:51)),)="131",OFFSET(TH!M$1,SMALL(Dong14,ROWS($1:51)),),0))</f>
        <v>0</v>
      </c>
      <c r="L67" s="711">
        <f t="shared" ca="1" si="20"/>
        <v>0</v>
      </c>
      <c r="M67" s="710">
        <f t="shared" ca="1" si="21"/>
        <v>0</v>
      </c>
      <c r="N67" s="711">
        <f t="shared" ca="1" si="22"/>
        <v>0</v>
      </c>
      <c r="O67" s="710">
        <f t="shared" ca="1" si="23"/>
        <v>0</v>
      </c>
    </row>
    <row r="68" spans="1:15" s="5" customFormat="1" ht="23.25" customHeight="1">
      <c r="A68" s="213" t="str">
        <f t="shared" ca="1" si="19"/>
        <v/>
      </c>
      <c r="B68" s="217" t="str">
        <f ca="1">IF(ROWS($1:52)&gt;COUNT(Dong14),"",OFFSET(TH!D$1,SMALL(Dong14,ROWS($1:52)),))</f>
        <v/>
      </c>
      <c r="C68" s="213" t="str">
        <f ca="1">IF(ROWS($1:52)&gt;COUNT(Dong14),"",OFFSET(TH!E$1,SMALL(Dong14,ROWS($1:52)),))</f>
        <v/>
      </c>
      <c r="D68" s="714" t="str">
        <f ca="1">IF(ROWS($1:52)&gt;COUNT(Dong14),"",OFFSET(TH!F$1,SMALL(Dong14,ROWS($1:52)),))</f>
        <v/>
      </c>
      <c r="E68" s="712" t="str">
        <f ca="1">IF(ROWS($1:52)&gt;COUNT(Dong14),"",IF(OFFSET(TH!N$1,SMALL(Dong14,ROWS($1:52)),)="131",OFFSET(TH!O$1,SMALL(Dong14,ROWS($1:52)),),OFFSET(TH!N$1,SMALL(Dong14,ROWS($1:52)),)))</f>
        <v/>
      </c>
      <c r="F68" s="712">
        <f ca="1">IF(ROWS($1:52)&gt;COUNT(Dong14),0,OFFSET(TH!L$1,SMALL(Dong14,ROWS($1:52)),))</f>
        <v>0</v>
      </c>
      <c r="G68" s="712"/>
      <c r="H68" s="1139">
        <f ca="1">IF(ROWS($1:52)&gt;COUNT(Dong14),0,IF(OFFSET(TH!N$1,SMALL(Dong14,ROWS($1:52)),)="131",OFFSET(TH!K$1,SMALL(Dong14,ROWS($1:52)),),0))</f>
        <v>0</v>
      </c>
      <c r="I68" s="712">
        <f ca="1">IF(ROWS($1:52)&gt;COUNT(Dong14),0,IF(OFFSET(TH!N$1,SMALL(Dong14,ROWS($1:52)),)="131",OFFSET(TH!M$1,SMALL(Dong14,ROWS($1:52)),),0))</f>
        <v>0</v>
      </c>
      <c r="J68" s="713">
        <f ca="1">IF(ROWS($1:52)&gt;COUNT(Dong14),0,IF(OFFSET(TH!O$1,SMALL(Dong14,ROWS($1:52)),)="131",OFFSET(TH!K$1,SMALL(Dong14,ROWS($1:52)),),0))</f>
        <v>0</v>
      </c>
      <c r="K68" s="712">
        <f ca="1">IF(ROWS($1:52)&gt;COUNT(Dong14),0,IF(OFFSET(TH!O$1,SMALL(Dong14,ROWS($1:52)),)="131",OFFSET(TH!M$1,SMALL(Dong14,ROWS($1:52)),),0))</f>
        <v>0</v>
      </c>
      <c r="L68" s="711">
        <f t="shared" ca="1" si="20"/>
        <v>0</v>
      </c>
      <c r="M68" s="710">
        <f t="shared" ca="1" si="21"/>
        <v>0</v>
      </c>
      <c r="N68" s="711">
        <f t="shared" ca="1" si="22"/>
        <v>0</v>
      </c>
      <c r="O68" s="710">
        <f t="shared" ca="1" si="23"/>
        <v>0</v>
      </c>
    </row>
    <row r="69" spans="1:15" s="5" customFormat="1" ht="23.25" customHeight="1">
      <c r="A69" s="213" t="str">
        <f t="shared" ca="1" si="19"/>
        <v/>
      </c>
      <c r="B69" s="217" t="str">
        <f ca="1">IF(ROWS($1:53)&gt;COUNT(Dong14),"",OFFSET(TH!D$1,SMALL(Dong14,ROWS($1:53)),))</f>
        <v/>
      </c>
      <c r="C69" s="213" t="str">
        <f ca="1">IF(ROWS($1:53)&gt;COUNT(Dong14),"",OFFSET(TH!E$1,SMALL(Dong14,ROWS($1:53)),))</f>
        <v/>
      </c>
      <c r="D69" s="714" t="str">
        <f ca="1">IF(ROWS($1:53)&gt;COUNT(Dong14),"",OFFSET(TH!F$1,SMALL(Dong14,ROWS($1:53)),))</f>
        <v/>
      </c>
      <c r="E69" s="712" t="str">
        <f ca="1">IF(ROWS($1:53)&gt;COUNT(Dong14),"",IF(OFFSET(TH!N$1,SMALL(Dong14,ROWS($1:53)),)="131",OFFSET(TH!O$1,SMALL(Dong14,ROWS($1:53)),),OFFSET(TH!N$1,SMALL(Dong14,ROWS($1:53)),)))</f>
        <v/>
      </c>
      <c r="F69" s="712">
        <f ca="1">IF(ROWS($1:53)&gt;COUNT(Dong14),0,OFFSET(TH!L$1,SMALL(Dong14,ROWS($1:53)),))</f>
        <v>0</v>
      </c>
      <c r="G69" s="712"/>
      <c r="H69" s="1139">
        <f ca="1">IF(ROWS($1:53)&gt;COUNT(Dong14),0,IF(OFFSET(TH!N$1,SMALL(Dong14,ROWS($1:53)),)="131",OFFSET(TH!K$1,SMALL(Dong14,ROWS($1:53)),),0))</f>
        <v>0</v>
      </c>
      <c r="I69" s="712">
        <f ca="1">IF(ROWS($1:53)&gt;COUNT(Dong14),0,IF(OFFSET(TH!N$1,SMALL(Dong14,ROWS($1:53)),)="131",OFFSET(TH!M$1,SMALL(Dong14,ROWS($1:53)),),0))</f>
        <v>0</v>
      </c>
      <c r="J69" s="713">
        <f ca="1">IF(ROWS($1:53)&gt;COUNT(Dong14),0,IF(OFFSET(TH!O$1,SMALL(Dong14,ROWS($1:53)),)="131",OFFSET(TH!K$1,SMALL(Dong14,ROWS($1:53)),),0))</f>
        <v>0</v>
      </c>
      <c r="K69" s="712">
        <f ca="1">IF(ROWS($1:53)&gt;COUNT(Dong14),0,IF(OFFSET(TH!O$1,SMALL(Dong14,ROWS($1:53)),)="131",OFFSET(TH!M$1,SMALL(Dong14,ROWS($1:53)),),0))</f>
        <v>0</v>
      </c>
      <c r="L69" s="711">
        <f t="shared" ca="1" si="20"/>
        <v>0</v>
      </c>
      <c r="M69" s="710">
        <f t="shared" ca="1" si="21"/>
        <v>0</v>
      </c>
      <c r="N69" s="711">
        <f t="shared" ca="1" si="22"/>
        <v>0</v>
      </c>
      <c r="O69" s="710">
        <f t="shared" ca="1" si="23"/>
        <v>0</v>
      </c>
    </row>
    <row r="70" spans="1:15" s="5" customFormat="1" ht="23.25" customHeight="1">
      <c r="A70" s="213" t="str">
        <f t="shared" ca="1" si="19"/>
        <v/>
      </c>
      <c r="B70" s="217" t="str">
        <f ca="1">IF(ROWS($1:54)&gt;COUNT(Dong14),"",OFFSET(TH!D$1,SMALL(Dong14,ROWS($1:54)),))</f>
        <v/>
      </c>
      <c r="C70" s="213" t="str">
        <f ca="1">IF(ROWS($1:54)&gt;COUNT(Dong14),"",OFFSET(TH!E$1,SMALL(Dong14,ROWS($1:54)),))</f>
        <v/>
      </c>
      <c r="D70" s="714" t="str">
        <f ca="1">IF(ROWS($1:54)&gt;COUNT(Dong14),"",OFFSET(TH!F$1,SMALL(Dong14,ROWS($1:54)),))</f>
        <v/>
      </c>
      <c r="E70" s="712" t="str">
        <f ca="1">IF(ROWS($1:54)&gt;COUNT(Dong14),"",IF(OFFSET(TH!N$1,SMALL(Dong14,ROWS($1:54)),)="131",OFFSET(TH!O$1,SMALL(Dong14,ROWS($1:54)),),OFFSET(TH!N$1,SMALL(Dong14,ROWS($1:54)),)))</f>
        <v/>
      </c>
      <c r="F70" s="712">
        <f ca="1">IF(ROWS($1:54)&gt;COUNT(Dong14),0,OFFSET(TH!L$1,SMALL(Dong14,ROWS($1:54)),))</f>
        <v>0</v>
      </c>
      <c r="G70" s="712"/>
      <c r="H70" s="1139">
        <f ca="1">IF(ROWS($1:54)&gt;COUNT(Dong14),0,IF(OFFSET(TH!N$1,SMALL(Dong14,ROWS($1:54)),)="131",OFFSET(TH!K$1,SMALL(Dong14,ROWS($1:54)),),0))</f>
        <v>0</v>
      </c>
      <c r="I70" s="712">
        <f ca="1">IF(ROWS($1:54)&gt;COUNT(Dong14),0,IF(OFFSET(TH!N$1,SMALL(Dong14,ROWS($1:54)),)="131",OFFSET(TH!M$1,SMALL(Dong14,ROWS($1:54)),),0))</f>
        <v>0</v>
      </c>
      <c r="J70" s="713">
        <f ca="1">IF(ROWS($1:54)&gt;COUNT(Dong14),0,IF(OFFSET(TH!O$1,SMALL(Dong14,ROWS($1:54)),)="131",OFFSET(TH!K$1,SMALL(Dong14,ROWS($1:54)),),0))</f>
        <v>0</v>
      </c>
      <c r="K70" s="712">
        <f ca="1">IF(ROWS($1:54)&gt;COUNT(Dong14),0,IF(OFFSET(TH!O$1,SMALL(Dong14,ROWS($1:54)),)="131",OFFSET(TH!M$1,SMALL(Dong14,ROWS($1:54)),),0))</f>
        <v>0</v>
      </c>
      <c r="L70" s="711">
        <f t="shared" ca="1" si="20"/>
        <v>0</v>
      </c>
      <c r="M70" s="710">
        <f t="shared" ca="1" si="21"/>
        <v>0</v>
      </c>
      <c r="N70" s="711">
        <f t="shared" ca="1" si="22"/>
        <v>0</v>
      </c>
      <c r="O70" s="710">
        <f t="shared" ca="1" si="23"/>
        <v>0</v>
      </c>
    </row>
    <row r="71" spans="1:15" s="5" customFormat="1" ht="23.25" customHeight="1">
      <c r="A71" s="213" t="str">
        <f t="shared" ca="1" si="19"/>
        <v/>
      </c>
      <c r="B71" s="217" t="str">
        <f ca="1">IF(ROWS($1:55)&gt;COUNT(Dong14),"",OFFSET(TH!D$1,SMALL(Dong14,ROWS($1:55)),))</f>
        <v/>
      </c>
      <c r="C71" s="213" t="str">
        <f ca="1">IF(ROWS($1:55)&gt;COUNT(Dong14),"",OFFSET(TH!E$1,SMALL(Dong14,ROWS($1:55)),))</f>
        <v/>
      </c>
      <c r="D71" s="714" t="str">
        <f ca="1">IF(ROWS($1:55)&gt;COUNT(Dong14),"",OFFSET(TH!F$1,SMALL(Dong14,ROWS($1:55)),))</f>
        <v/>
      </c>
      <c r="E71" s="712" t="str">
        <f ca="1">IF(ROWS($1:55)&gt;COUNT(Dong14),"",IF(OFFSET(TH!N$1,SMALL(Dong14,ROWS($1:55)),)="131",OFFSET(TH!O$1,SMALL(Dong14,ROWS($1:55)),),OFFSET(TH!N$1,SMALL(Dong14,ROWS($1:55)),)))</f>
        <v/>
      </c>
      <c r="F71" s="712">
        <f ca="1">IF(ROWS($1:55)&gt;COUNT(Dong14),0,OFFSET(TH!L$1,SMALL(Dong14,ROWS($1:55)),))</f>
        <v>0</v>
      </c>
      <c r="G71" s="712"/>
      <c r="H71" s="1139">
        <f ca="1">IF(ROWS($1:55)&gt;COUNT(Dong14),0,IF(OFFSET(TH!N$1,SMALL(Dong14,ROWS($1:55)),)="131",OFFSET(TH!K$1,SMALL(Dong14,ROWS($1:55)),),0))</f>
        <v>0</v>
      </c>
      <c r="I71" s="712">
        <f ca="1">IF(ROWS($1:55)&gt;COUNT(Dong14),0,IF(OFFSET(TH!N$1,SMALL(Dong14,ROWS($1:55)),)="131",OFFSET(TH!M$1,SMALL(Dong14,ROWS($1:55)),),0))</f>
        <v>0</v>
      </c>
      <c r="J71" s="713">
        <f ca="1">IF(ROWS($1:55)&gt;COUNT(Dong14),0,IF(OFFSET(TH!O$1,SMALL(Dong14,ROWS($1:55)),)="131",OFFSET(TH!K$1,SMALL(Dong14,ROWS($1:55)),),0))</f>
        <v>0</v>
      </c>
      <c r="K71" s="712">
        <f ca="1">IF(ROWS($1:55)&gt;COUNT(Dong14),0,IF(OFFSET(TH!O$1,SMALL(Dong14,ROWS($1:55)),)="131",OFFSET(TH!M$1,SMALL(Dong14,ROWS($1:55)),),0))</f>
        <v>0</v>
      </c>
      <c r="L71" s="711">
        <f t="shared" ca="1" si="20"/>
        <v>0</v>
      </c>
      <c r="M71" s="710">
        <f t="shared" ca="1" si="21"/>
        <v>0</v>
      </c>
      <c r="N71" s="711">
        <f t="shared" ca="1" si="22"/>
        <v>0</v>
      </c>
      <c r="O71" s="710">
        <f t="shared" ca="1" si="23"/>
        <v>0</v>
      </c>
    </row>
    <row r="72" spans="1:15" s="5" customFormat="1" ht="23.25" customHeight="1">
      <c r="A72" s="213" t="str">
        <f t="shared" ca="1" si="19"/>
        <v/>
      </c>
      <c r="B72" s="217" t="str">
        <f ca="1">IF(ROWS($1:56)&gt;COUNT(Dong14),"",OFFSET(TH!D$1,SMALL(Dong14,ROWS($1:56)),))</f>
        <v/>
      </c>
      <c r="C72" s="213" t="str">
        <f ca="1">IF(ROWS($1:56)&gt;COUNT(Dong14),"",OFFSET(TH!E$1,SMALL(Dong14,ROWS($1:56)),))</f>
        <v/>
      </c>
      <c r="D72" s="714" t="str">
        <f ca="1">IF(ROWS($1:56)&gt;COUNT(Dong14),"",OFFSET(TH!F$1,SMALL(Dong14,ROWS($1:56)),))</f>
        <v/>
      </c>
      <c r="E72" s="712" t="str">
        <f ca="1">IF(ROWS($1:56)&gt;COUNT(Dong14),"",IF(OFFSET(TH!N$1,SMALL(Dong14,ROWS($1:56)),)="131",OFFSET(TH!O$1,SMALL(Dong14,ROWS($1:56)),),OFFSET(TH!N$1,SMALL(Dong14,ROWS($1:56)),)))</f>
        <v/>
      </c>
      <c r="F72" s="712">
        <f ca="1">IF(ROWS($1:56)&gt;COUNT(Dong14),0,OFFSET(TH!L$1,SMALL(Dong14,ROWS($1:56)),))</f>
        <v>0</v>
      </c>
      <c r="G72" s="712"/>
      <c r="H72" s="1139">
        <f ca="1">IF(ROWS($1:56)&gt;COUNT(Dong14),0,IF(OFFSET(TH!N$1,SMALL(Dong14,ROWS($1:56)),)="131",OFFSET(TH!K$1,SMALL(Dong14,ROWS($1:56)),),0))</f>
        <v>0</v>
      </c>
      <c r="I72" s="712">
        <f ca="1">IF(ROWS($1:56)&gt;COUNT(Dong14),0,IF(OFFSET(TH!N$1,SMALL(Dong14,ROWS($1:56)),)="131",OFFSET(TH!M$1,SMALL(Dong14,ROWS($1:56)),),0))</f>
        <v>0</v>
      </c>
      <c r="J72" s="713">
        <f ca="1">IF(ROWS($1:56)&gt;COUNT(Dong14),0,IF(OFFSET(TH!O$1,SMALL(Dong14,ROWS($1:56)),)="131",OFFSET(TH!K$1,SMALL(Dong14,ROWS($1:56)),),0))</f>
        <v>0</v>
      </c>
      <c r="K72" s="712">
        <f ca="1">IF(ROWS($1:56)&gt;COUNT(Dong14),0,IF(OFFSET(TH!O$1,SMALL(Dong14,ROWS($1:56)),)="131",OFFSET(TH!M$1,SMALL(Dong14,ROWS($1:56)),),0))</f>
        <v>0</v>
      </c>
      <c r="L72" s="711">
        <f t="shared" ca="1" si="20"/>
        <v>0</v>
      </c>
      <c r="M72" s="710">
        <f t="shared" ca="1" si="21"/>
        <v>0</v>
      </c>
      <c r="N72" s="711">
        <f t="shared" ca="1" si="22"/>
        <v>0</v>
      </c>
      <c r="O72" s="710">
        <f t="shared" ca="1" si="23"/>
        <v>0</v>
      </c>
    </row>
    <row r="73" spans="1:15" s="5" customFormat="1" ht="23.25" customHeight="1">
      <c r="A73" s="213" t="str">
        <f t="shared" ca="1" si="19"/>
        <v/>
      </c>
      <c r="B73" s="217" t="str">
        <f ca="1">IF(ROWS($1:57)&gt;COUNT(Dong14),"",OFFSET(TH!D$1,SMALL(Dong14,ROWS($1:57)),))</f>
        <v/>
      </c>
      <c r="C73" s="213" t="str">
        <f ca="1">IF(ROWS($1:57)&gt;COUNT(Dong14),"",OFFSET(TH!E$1,SMALL(Dong14,ROWS($1:57)),))</f>
        <v/>
      </c>
      <c r="D73" s="714" t="str">
        <f ca="1">IF(ROWS($1:57)&gt;COUNT(Dong14),"",OFFSET(TH!F$1,SMALL(Dong14,ROWS($1:57)),))</f>
        <v/>
      </c>
      <c r="E73" s="712" t="str">
        <f ca="1">IF(ROWS($1:57)&gt;COUNT(Dong14),"",IF(OFFSET(TH!N$1,SMALL(Dong14,ROWS($1:57)),)="131",OFFSET(TH!O$1,SMALL(Dong14,ROWS($1:57)),),OFFSET(TH!N$1,SMALL(Dong14,ROWS($1:57)),)))</f>
        <v/>
      </c>
      <c r="F73" s="712">
        <f ca="1">IF(ROWS($1:57)&gt;COUNT(Dong14),0,OFFSET(TH!L$1,SMALL(Dong14,ROWS($1:57)),))</f>
        <v>0</v>
      </c>
      <c r="G73" s="712"/>
      <c r="H73" s="1139">
        <f ca="1">IF(ROWS($1:57)&gt;COUNT(Dong14),0,IF(OFFSET(TH!N$1,SMALL(Dong14,ROWS($1:57)),)="131",OFFSET(TH!K$1,SMALL(Dong14,ROWS($1:57)),),0))</f>
        <v>0</v>
      </c>
      <c r="I73" s="712">
        <f ca="1">IF(ROWS($1:57)&gt;COUNT(Dong14),0,IF(OFFSET(TH!N$1,SMALL(Dong14,ROWS($1:57)),)="131",OFFSET(TH!M$1,SMALL(Dong14,ROWS($1:57)),),0))</f>
        <v>0</v>
      </c>
      <c r="J73" s="713">
        <f ca="1">IF(ROWS($1:57)&gt;COUNT(Dong14),0,IF(OFFSET(TH!O$1,SMALL(Dong14,ROWS($1:57)),)="131",OFFSET(TH!K$1,SMALL(Dong14,ROWS($1:57)),),0))</f>
        <v>0</v>
      </c>
      <c r="K73" s="712">
        <f ca="1">IF(ROWS($1:57)&gt;COUNT(Dong14),0,IF(OFFSET(TH!O$1,SMALL(Dong14,ROWS($1:57)),)="131",OFFSET(TH!M$1,SMALL(Dong14,ROWS($1:57)),),0))</f>
        <v>0</v>
      </c>
      <c r="L73" s="711">
        <f t="shared" ca="1" si="20"/>
        <v>0</v>
      </c>
      <c r="M73" s="710">
        <f t="shared" ca="1" si="21"/>
        <v>0</v>
      </c>
      <c r="N73" s="711">
        <f t="shared" ca="1" si="22"/>
        <v>0</v>
      </c>
      <c r="O73" s="710">
        <f t="shared" ca="1" si="23"/>
        <v>0</v>
      </c>
    </row>
    <row r="74" spans="1:15" s="5" customFormat="1" ht="23.25" customHeight="1">
      <c r="A74" s="213" t="str">
        <f t="shared" ca="1" si="19"/>
        <v/>
      </c>
      <c r="B74" s="217" t="str">
        <f ca="1">IF(ROWS($1:58)&gt;COUNT(Dong14),"",OFFSET(TH!D$1,SMALL(Dong14,ROWS($1:58)),))</f>
        <v/>
      </c>
      <c r="C74" s="213" t="str">
        <f ca="1">IF(ROWS($1:58)&gt;COUNT(Dong14),"",OFFSET(TH!E$1,SMALL(Dong14,ROWS($1:58)),))</f>
        <v/>
      </c>
      <c r="D74" s="714" t="str">
        <f ca="1">IF(ROWS($1:58)&gt;COUNT(Dong14),"",OFFSET(TH!F$1,SMALL(Dong14,ROWS($1:58)),))</f>
        <v/>
      </c>
      <c r="E74" s="712" t="str">
        <f ca="1">IF(ROWS($1:58)&gt;COUNT(Dong14),"",IF(OFFSET(TH!N$1,SMALL(Dong14,ROWS($1:58)),)="131",OFFSET(TH!O$1,SMALL(Dong14,ROWS($1:58)),),OFFSET(TH!N$1,SMALL(Dong14,ROWS($1:58)),)))</f>
        <v/>
      </c>
      <c r="F74" s="712">
        <f ca="1">IF(ROWS($1:58)&gt;COUNT(Dong14),0,OFFSET(TH!L$1,SMALL(Dong14,ROWS($1:58)),))</f>
        <v>0</v>
      </c>
      <c r="G74" s="712"/>
      <c r="H74" s="1139">
        <f ca="1">IF(ROWS($1:58)&gt;COUNT(Dong14),0,IF(OFFSET(TH!N$1,SMALL(Dong14,ROWS($1:58)),)="131",OFFSET(TH!K$1,SMALL(Dong14,ROWS($1:58)),),0))</f>
        <v>0</v>
      </c>
      <c r="I74" s="712">
        <f ca="1">IF(ROWS($1:58)&gt;COUNT(Dong14),0,IF(OFFSET(TH!N$1,SMALL(Dong14,ROWS($1:58)),)="131",OFFSET(TH!M$1,SMALL(Dong14,ROWS($1:58)),),0))</f>
        <v>0</v>
      </c>
      <c r="J74" s="713">
        <f ca="1">IF(ROWS($1:58)&gt;COUNT(Dong14),0,IF(OFFSET(TH!O$1,SMALL(Dong14,ROWS($1:58)),)="131",OFFSET(TH!K$1,SMALL(Dong14,ROWS($1:58)),),0))</f>
        <v>0</v>
      </c>
      <c r="K74" s="712">
        <f ca="1">IF(ROWS($1:58)&gt;COUNT(Dong14),0,IF(OFFSET(TH!O$1,SMALL(Dong14,ROWS($1:58)),)="131",OFFSET(TH!M$1,SMALL(Dong14,ROWS($1:58)),),0))</f>
        <v>0</v>
      </c>
      <c r="L74" s="711">
        <f t="shared" ca="1" si="20"/>
        <v>0</v>
      </c>
      <c r="M74" s="710">
        <f t="shared" ca="1" si="21"/>
        <v>0</v>
      </c>
      <c r="N74" s="711">
        <f t="shared" ca="1" si="22"/>
        <v>0</v>
      </c>
      <c r="O74" s="710">
        <f t="shared" ca="1" si="23"/>
        <v>0</v>
      </c>
    </row>
    <row r="75" spans="1:15" s="5" customFormat="1" ht="23.25" customHeight="1">
      <c r="A75" s="213" t="str">
        <f t="shared" ca="1" si="19"/>
        <v/>
      </c>
      <c r="B75" s="217" t="str">
        <f ca="1">IF(ROWS($1:59)&gt;COUNT(Dong14),"",OFFSET(TH!D$1,SMALL(Dong14,ROWS($1:59)),))</f>
        <v/>
      </c>
      <c r="C75" s="213" t="str">
        <f ca="1">IF(ROWS($1:59)&gt;COUNT(Dong14),"",OFFSET(TH!E$1,SMALL(Dong14,ROWS($1:59)),))</f>
        <v/>
      </c>
      <c r="D75" s="714" t="str">
        <f ca="1">IF(ROWS($1:59)&gt;COUNT(Dong14),"",OFFSET(TH!F$1,SMALL(Dong14,ROWS($1:59)),))</f>
        <v/>
      </c>
      <c r="E75" s="712" t="str">
        <f ca="1">IF(ROWS($1:59)&gt;COUNT(Dong14),"",IF(OFFSET(TH!N$1,SMALL(Dong14,ROWS($1:59)),)="131",OFFSET(TH!O$1,SMALL(Dong14,ROWS($1:59)),),OFFSET(TH!N$1,SMALL(Dong14,ROWS($1:59)),)))</f>
        <v/>
      </c>
      <c r="F75" s="712">
        <f ca="1">IF(ROWS($1:59)&gt;COUNT(Dong14),0,OFFSET(TH!L$1,SMALL(Dong14,ROWS($1:59)),))</f>
        <v>0</v>
      </c>
      <c r="G75" s="712"/>
      <c r="H75" s="1139">
        <f ca="1">IF(ROWS($1:59)&gt;COUNT(Dong14),0,IF(OFFSET(TH!N$1,SMALL(Dong14,ROWS($1:59)),)="131",OFFSET(TH!K$1,SMALL(Dong14,ROWS($1:59)),),0))</f>
        <v>0</v>
      </c>
      <c r="I75" s="712">
        <f ca="1">IF(ROWS($1:59)&gt;COUNT(Dong14),0,IF(OFFSET(TH!N$1,SMALL(Dong14,ROWS($1:59)),)="131",OFFSET(TH!M$1,SMALL(Dong14,ROWS($1:59)),),0))</f>
        <v>0</v>
      </c>
      <c r="J75" s="713">
        <f ca="1">IF(ROWS($1:59)&gt;COUNT(Dong14),0,IF(OFFSET(TH!O$1,SMALL(Dong14,ROWS($1:59)),)="131",OFFSET(TH!K$1,SMALL(Dong14,ROWS($1:59)),),0))</f>
        <v>0</v>
      </c>
      <c r="K75" s="712">
        <f ca="1">IF(ROWS($1:59)&gt;COUNT(Dong14),0,IF(OFFSET(TH!O$1,SMALL(Dong14,ROWS($1:59)),)="131",OFFSET(TH!M$1,SMALL(Dong14,ROWS($1:59)),),0))</f>
        <v>0</v>
      </c>
      <c r="L75" s="711">
        <f t="shared" ca="1" si="20"/>
        <v>0</v>
      </c>
      <c r="M75" s="710">
        <f t="shared" ca="1" si="21"/>
        <v>0</v>
      </c>
      <c r="N75" s="711">
        <f t="shared" ca="1" si="22"/>
        <v>0</v>
      </c>
      <c r="O75" s="710">
        <f t="shared" ca="1" si="23"/>
        <v>0</v>
      </c>
    </row>
    <row r="76" spans="1:15" s="5" customFormat="1" ht="23.25" customHeight="1">
      <c r="A76" s="213" t="str">
        <f t="shared" ca="1" si="19"/>
        <v/>
      </c>
      <c r="B76" s="217" t="str">
        <f ca="1">IF(ROWS($1:60)&gt;COUNT(Dong14),"",OFFSET(TH!D$1,SMALL(Dong14,ROWS($1:60)),))</f>
        <v/>
      </c>
      <c r="C76" s="213" t="str">
        <f ca="1">IF(ROWS($1:60)&gt;COUNT(Dong14),"",OFFSET(TH!E$1,SMALL(Dong14,ROWS($1:60)),))</f>
        <v/>
      </c>
      <c r="D76" s="714" t="str">
        <f ca="1">IF(ROWS($1:60)&gt;COUNT(Dong14),"",OFFSET(TH!F$1,SMALL(Dong14,ROWS($1:60)),))</f>
        <v/>
      </c>
      <c r="E76" s="712" t="str">
        <f ca="1">IF(ROWS($1:60)&gt;COUNT(Dong14),"",IF(OFFSET(TH!N$1,SMALL(Dong14,ROWS($1:60)),)="131",OFFSET(TH!O$1,SMALL(Dong14,ROWS($1:60)),),OFFSET(TH!N$1,SMALL(Dong14,ROWS($1:60)),)))</f>
        <v/>
      </c>
      <c r="F76" s="712">
        <f ca="1">IF(ROWS($1:60)&gt;COUNT(Dong14),0,OFFSET(TH!L$1,SMALL(Dong14,ROWS($1:60)),))</f>
        <v>0</v>
      </c>
      <c r="G76" s="712"/>
      <c r="H76" s="1139">
        <f ca="1">IF(ROWS($1:60)&gt;COUNT(Dong14),0,IF(OFFSET(TH!N$1,SMALL(Dong14,ROWS($1:60)),)="131",OFFSET(TH!K$1,SMALL(Dong14,ROWS($1:60)),),0))</f>
        <v>0</v>
      </c>
      <c r="I76" s="712">
        <f ca="1">IF(ROWS($1:60)&gt;COUNT(Dong14),0,IF(OFFSET(TH!N$1,SMALL(Dong14,ROWS($1:60)),)="131",OFFSET(TH!M$1,SMALL(Dong14,ROWS($1:60)),),0))</f>
        <v>0</v>
      </c>
      <c r="J76" s="713">
        <f ca="1">IF(ROWS($1:60)&gt;COUNT(Dong14),0,IF(OFFSET(TH!O$1,SMALL(Dong14,ROWS($1:60)),)="131",OFFSET(TH!K$1,SMALL(Dong14,ROWS($1:60)),),0))</f>
        <v>0</v>
      </c>
      <c r="K76" s="712">
        <f ca="1">IF(ROWS($1:60)&gt;COUNT(Dong14),0,IF(OFFSET(TH!O$1,SMALL(Dong14,ROWS($1:60)),)="131",OFFSET(TH!M$1,SMALL(Dong14,ROWS($1:60)),),0))</f>
        <v>0</v>
      </c>
      <c r="L76" s="711">
        <f t="shared" ca="1" si="20"/>
        <v>0</v>
      </c>
      <c r="M76" s="710">
        <f t="shared" ca="1" si="21"/>
        <v>0</v>
      </c>
      <c r="N76" s="711">
        <f t="shared" ca="1" si="22"/>
        <v>0</v>
      </c>
      <c r="O76" s="710">
        <f t="shared" ca="1" si="23"/>
        <v>0</v>
      </c>
    </row>
    <row r="77" spans="1:15" s="5" customFormat="1" ht="23.25" customHeight="1">
      <c r="A77" s="213" t="str">
        <f t="shared" ca="1" si="19"/>
        <v/>
      </c>
      <c r="B77" s="217" t="str">
        <f ca="1">IF(ROWS($1:61)&gt;COUNT(Dong14),"",OFFSET(TH!D$1,SMALL(Dong14,ROWS($1:61)),))</f>
        <v/>
      </c>
      <c r="C77" s="213" t="str">
        <f ca="1">IF(ROWS($1:61)&gt;COUNT(Dong14),"",OFFSET(TH!E$1,SMALL(Dong14,ROWS($1:61)),))</f>
        <v/>
      </c>
      <c r="D77" s="714" t="str">
        <f ca="1">IF(ROWS($1:61)&gt;COUNT(Dong14),"",OFFSET(TH!F$1,SMALL(Dong14,ROWS($1:61)),))</f>
        <v/>
      </c>
      <c r="E77" s="712" t="str">
        <f ca="1">IF(ROWS($1:61)&gt;COUNT(Dong14),"",IF(OFFSET(TH!N$1,SMALL(Dong14,ROWS($1:61)),)="131",OFFSET(TH!O$1,SMALL(Dong14,ROWS($1:61)),),OFFSET(TH!N$1,SMALL(Dong14,ROWS($1:61)),)))</f>
        <v/>
      </c>
      <c r="F77" s="712">
        <f ca="1">IF(ROWS($1:61)&gt;COUNT(Dong14),0,OFFSET(TH!L$1,SMALL(Dong14,ROWS($1:61)),))</f>
        <v>0</v>
      </c>
      <c r="G77" s="712"/>
      <c r="H77" s="1139">
        <f ca="1">IF(ROWS($1:61)&gt;COUNT(Dong14),0,IF(OFFSET(TH!N$1,SMALL(Dong14,ROWS($1:61)),)="131",OFFSET(TH!K$1,SMALL(Dong14,ROWS($1:61)),),0))</f>
        <v>0</v>
      </c>
      <c r="I77" s="712">
        <f ca="1">IF(ROWS($1:61)&gt;COUNT(Dong14),0,IF(OFFSET(TH!N$1,SMALL(Dong14,ROWS($1:61)),)="131",OFFSET(TH!M$1,SMALL(Dong14,ROWS($1:61)),),0))</f>
        <v>0</v>
      </c>
      <c r="J77" s="713">
        <f ca="1">IF(ROWS($1:61)&gt;COUNT(Dong14),0,IF(OFFSET(TH!O$1,SMALL(Dong14,ROWS($1:61)),)="131",OFFSET(TH!K$1,SMALL(Dong14,ROWS($1:61)),),0))</f>
        <v>0</v>
      </c>
      <c r="K77" s="712">
        <f ca="1">IF(ROWS($1:61)&gt;COUNT(Dong14),0,IF(OFFSET(TH!O$1,SMALL(Dong14,ROWS($1:61)),)="131",OFFSET(TH!M$1,SMALL(Dong14,ROWS($1:61)),),0))</f>
        <v>0</v>
      </c>
      <c r="L77" s="711">
        <f t="shared" ca="1" si="20"/>
        <v>0</v>
      </c>
      <c r="M77" s="710">
        <f t="shared" ca="1" si="21"/>
        <v>0</v>
      </c>
      <c r="N77" s="711">
        <f t="shared" ca="1" si="22"/>
        <v>0</v>
      </c>
      <c r="O77" s="710">
        <f t="shared" ca="1" si="23"/>
        <v>0</v>
      </c>
    </row>
    <row r="78" spans="1:15" s="5" customFormat="1" ht="23.25" customHeight="1">
      <c r="A78" s="213" t="str">
        <f t="shared" ca="1" si="19"/>
        <v/>
      </c>
      <c r="B78" s="217" t="str">
        <f ca="1">IF(ROWS($1:62)&gt;COUNT(Dong14),"",OFFSET(TH!D$1,SMALL(Dong14,ROWS($1:62)),))</f>
        <v/>
      </c>
      <c r="C78" s="213" t="str">
        <f ca="1">IF(ROWS($1:62)&gt;COUNT(Dong14),"",OFFSET(TH!E$1,SMALL(Dong14,ROWS($1:62)),))</f>
        <v/>
      </c>
      <c r="D78" s="714" t="str">
        <f ca="1">IF(ROWS($1:62)&gt;COUNT(Dong14),"",OFFSET(TH!F$1,SMALL(Dong14,ROWS($1:62)),))</f>
        <v/>
      </c>
      <c r="E78" s="712" t="str">
        <f ca="1">IF(ROWS($1:62)&gt;COUNT(Dong14),"",IF(OFFSET(TH!N$1,SMALL(Dong14,ROWS($1:62)),)="131",OFFSET(TH!O$1,SMALL(Dong14,ROWS($1:62)),),OFFSET(TH!N$1,SMALL(Dong14,ROWS($1:62)),)))</f>
        <v/>
      </c>
      <c r="F78" s="712">
        <f ca="1">IF(ROWS($1:62)&gt;COUNT(Dong14),0,OFFSET(TH!L$1,SMALL(Dong14,ROWS($1:62)),))</f>
        <v>0</v>
      </c>
      <c r="G78" s="712"/>
      <c r="H78" s="1139">
        <f ca="1">IF(ROWS($1:62)&gt;COUNT(Dong14),0,IF(OFFSET(TH!N$1,SMALL(Dong14,ROWS($1:62)),)="131",OFFSET(TH!K$1,SMALL(Dong14,ROWS($1:62)),),0))</f>
        <v>0</v>
      </c>
      <c r="I78" s="712">
        <f ca="1">IF(ROWS($1:62)&gt;COUNT(Dong14),0,IF(OFFSET(TH!N$1,SMALL(Dong14,ROWS($1:62)),)="131",OFFSET(TH!M$1,SMALL(Dong14,ROWS($1:62)),),0))</f>
        <v>0</v>
      </c>
      <c r="J78" s="713">
        <f ca="1">IF(ROWS($1:62)&gt;COUNT(Dong14),0,IF(OFFSET(TH!O$1,SMALL(Dong14,ROWS($1:62)),)="131",OFFSET(TH!K$1,SMALL(Dong14,ROWS($1:62)),),0))</f>
        <v>0</v>
      </c>
      <c r="K78" s="712">
        <f ca="1">IF(ROWS($1:62)&gt;COUNT(Dong14),0,IF(OFFSET(TH!O$1,SMALL(Dong14,ROWS($1:62)),)="131",OFFSET(TH!M$1,SMALL(Dong14,ROWS($1:62)),),0))</f>
        <v>0</v>
      </c>
      <c r="L78" s="711">
        <f t="shared" ca="1" si="20"/>
        <v>0</v>
      </c>
      <c r="M78" s="710">
        <f t="shared" ca="1" si="21"/>
        <v>0</v>
      </c>
      <c r="N78" s="711">
        <f t="shared" ca="1" si="22"/>
        <v>0</v>
      </c>
      <c r="O78" s="710">
        <f t="shared" ca="1" si="23"/>
        <v>0</v>
      </c>
    </row>
    <row r="79" spans="1:15" s="5" customFormat="1" ht="23.25" customHeight="1">
      <c r="A79" s="213" t="str">
        <f t="shared" ca="1" si="19"/>
        <v/>
      </c>
      <c r="B79" s="217" t="str">
        <f ca="1">IF(ROWS($1:63)&gt;COUNT(Dong14),"",OFFSET(TH!D$1,SMALL(Dong14,ROWS($1:63)),))</f>
        <v/>
      </c>
      <c r="C79" s="213" t="str">
        <f ca="1">IF(ROWS($1:63)&gt;COUNT(Dong14),"",OFFSET(TH!E$1,SMALL(Dong14,ROWS($1:63)),))</f>
        <v/>
      </c>
      <c r="D79" s="714" t="str">
        <f ca="1">IF(ROWS($1:63)&gt;COUNT(Dong14),"",OFFSET(TH!F$1,SMALL(Dong14,ROWS($1:63)),))</f>
        <v/>
      </c>
      <c r="E79" s="712" t="str">
        <f ca="1">IF(ROWS($1:63)&gt;COUNT(Dong14),"",IF(OFFSET(TH!N$1,SMALL(Dong14,ROWS($1:63)),)="131",OFFSET(TH!O$1,SMALL(Dong14,ROWS($1:63)),),OFFSET(TH!N$1,SMALL(Dong14,ROWS($1:63)),)))</f>
        <v/>
      </c>
      <c r="F79" s="712">
        <f ca="1">IF(ROWS($1:63)&gt;COUNT(Dong14),0,OFFSET(TH!L$1,SMALL(Dong14,ROWS($1:63)),))</f>
        <v>0</v>
      </c>
      <c r="G79" s="712"/>
      <c r="H79" s="1139">
        <f ca="1">IF(ROWS($1:63)&gt;COUNT(Dong14),0,IF(OFFSET(TH!N$1,SMALL(Dong14,ROWS($1:63)),)="131",OFFSET(TH!K$1,SMALL(Dong14,ROWS($1:63)),),0))</f>
        <v>0</v>
      </c>
      <c r="I79" s="712">
        <f ca="1">IF(ROWS($1:63)&gt;COUNT(Dong14),0,IF(OFFSET(TH!N$1,SMALL(Dong14,ROWS($1:63)),)="131",OFFSET(TH!M$1,SMALL(Dong14,ROWS($1:63)),),0))</f>
        <v>0</v>
      </c>
      <c r="J79" s="713">
        <f ca="1">IF(ROWS($1:63)&gt;COUNT(Dong14),0,IF(OFFSET(TH!O$1,SMALL(Dong14,ROWS($1:63)),)="131",OFFSET(TH!K$1,SMALL(Dong14,ROWS($1:63)),),0))</f>
        <v>0</v>
      </c>
      <c r="K79" s="712">
        <f ca="1">IF(ROWS($1:63)&gt;COUNT(Dong14),0,IF(OFFSET(TH!O$1,SMALL(Dong14,ROWS($1:63)),)="131",OFFSET(TH!M$1,SMALL(Dong14,ROWS($1:63)),),0))</f>
        <v>0</v>
      </c>
      <c r="L79" s="711">
        <f t="shared" ca="1" si="20"/>
        <v>0</v>
      </c>
      <c r="M79" s="710">
        <f t="shared" ca="1" si="21"/>
        <v>0</v>
      </c>
      <c r="N79" s="711">
        <f t="shared" ca="1" si="22"/>
        <v>0</v>
      </c>
      <c r="O79" s="710">
        <f t="shared" ca="1" si="23"/>
        <v>0</v>
      </c>
    </row>
    <row r="80" spans="1:15" s="5" customFormat="1" ht="23.25" customHeight="1">
      <c r="A80" s="213" t="str">
        <f t="shared" ca="1" si="19"/>
        <v/>
      </c>
      <c r="B80" s="217" t="str">
        <f ca="1">IF(ROWS($1:64)&gt;COUNT(Dong14),"",OFFSET(TH!D$1,SMALL(Dong14,ROWS($1:64)),))</f>
        <v/>
      </c>
      <c r="C80" s="213" t="str">
        <f ca="1">IF(ROWS($1:64)&gt;COUNT(Dong14),"",OFFSET(TH!E$1,SMALL(Dong14,ROWS($1:64)),))</f>
        <v/>
      </c>
      <c r="D80" s="714" t="str">
        <f ca="1">IF(ROWS($1:64)&gt;COUNT(Dong14),"",OFFSET(TH!F$1,SMALL(Dong14,ROWS($1:64)),))</f>
        <v/>
      </c>
      <c r="E80" s="712" t="str">
        <f ca="1">IF(ROWS($1:64)&gt;COUNT(Dong14),"",IF(OFFSET(TH!N$1,SMALL(Dong14,ROWS($1:64)),)="131",OFFSET(TH!O$1,SMALL(Dong14,ROWS($1:64)),),OFFSET(TH!N$1,SMALL(Dong14,ROWS($1:64)),)))</f>
        <v/>
      </c>
      <c r="F80" s="712">
        <f ca="1">IF(ROWS($1:64)&gt;COUNT(Dong14),0,OFFSET(TH!L$1,SMALL(Dong14,ROWS($1:64)),))</f>
        <v>0</v>
      </c>
      <c r="G80" s="712"/>
      <c r="H80" s="1139">
        <f ca="1">IF(ROWS($1:64)&gt;COUNT(Dong14),0,IF(OFFSET(TH!N$1,SMALL(Dong14,ROWS($1:64)),)="131",OFFSET(TH!K$1,SMALL(Dong14,ROWS($1:64)),),0))</f>
        <v>0</v>
      </c>
      <c r="I80" s="712">
        <f ca="1">IF(ROWS($1:64)&gt;COUNT(Dong14),0,IF(OFFSET(TH!N$1,SMALL(Dong14,ROWS($1:64)),)="131",OFFSET(TH!M$1,SMALL(Dong14,ROWS($1:64)),),0))</f>
        <v>0</v>
      </c>
      <c r="J80" s="713">
        <f ca="1">IF(ROWS($1:64)&gt;COUNT(Dong14),0,IF(OFFSET(TH!O$1,SMALL(Dong14,ROWS($1:64)),)="131",OFFSET(TH!K$1,SMALL(Dong14,ROWS($1:64)),),0))</f>
        <v>0</v>
      </c>
      <c r="K80" s="712">
        <f ca="1">IF(ROWS($1:64)&gt;COUNT(Dong14),0,IF(OFFSET(TH!O$1,SMALL(Dong14,ROWS($1:64)),)="131",OFFSET(TH!M$1,SMALL(Dong14,ROWS($1:64)),),0))</f>
        <v>0</v>
      </c>
      <c r="L80" s="711">
        <f t="shared" ca="1" si="20"/>
        <v>0</v>
      </c>
      <c r="M80" s="710">
        <f t="shared" ca="1" si="21"/>
        <v>0</v>
      </c>
      <c r="N80" s="711">
        <f t="shared" ca="1" si="22"/>
        <v>0</v>
      </c>
      <c r="O80" s="710">
        <f t="shared" ca="1" si="23"/>
        <v>0</v>
      </c>
    </row>
    <row r="81" spans="1:15" s="5" customFormat="1" ht="23.25" customHeight="1">
      <c r="A81" s="213" t="str">
        <f t="shared" ca="1" si="19"/>
        <v/>
      </c>
      <c r="B81" s="217" t="str">
        <f ca="1">IF(ROWS($1:65)&gt;COUNT(Dong14),"",OFFSET(TH!D$1,SMALL(Dong14,ROWS($1:65)),))</f>
        <v/>
      </c>
      <c r="C81" s="213" t="str">
        <f ca="1">IF(ROWS($1:65)&gt;COUNT(Dong14),"",OFFSET(TH!E$1,SMALL(Dong14,ROWS($1:65)),))</f>
        <v/>
      </c>
      <c r="D81" s="714" t="str">
        <f ca="1">IF(ROWS($1:65)&gt;COUNT(Dong14),"",OFFSET(TH!F$1,SMALL(Dong14,ROWS($1:65)),))</f>
        <v/>
      </c>
      <c r="E81" s="712" t="str">
        <f ca="1">IF(ROWS($1:65)&gt;COUNT(Dong14),"",IF(OFFSET(TH!N$1,SMALL(Dong14,ROWS($1:65)),)="131",OFFSET(TH!O$1,SMALL(Dong14,ROWS($1:65)),),OFFSET(TH!N$1,SMALL(Dong14,ROWS($1:65)),)))</f>
        <v/>
      </c>
      <c r="F81" s="712">
        <f ca="1">IF(ROWS($1:65)&gt;COUNT(Dong14),0,OFFSET(TH!L$1,SMALL(Dong14,ROWS($1:65)),))</f>
        <v>0</v>
      </c>
      <c r="G81" s="712"/>
      <c r="H81" s="1139">
        <f ca="1">IF(ROWS($1:65)&gt;COUNT(Dong14),0,IF(OFFSET(TH!N$1,SMALL(Dong14,ROWS($1:65)),)="131",OFFSET(TH!K$1,SMALL(Dong14,ROWS($1:65)),),0))</f>
        <v>0</v>
      </c>
      <c r="I81" s="712">
        <f ca="1">IF(ROWS($1:65)&gt;COUNT(Dong14),0,IF(OFFSET(TH!N$1,SMALL(Dong14,ROWS($1:65)),)="131",OFFSET(TH!M$1,SMALL(Dong14,ROWS($1:65)),),0))</f>
        <v>0</v>
      </c>
      <c r="J81" s="713">
        <f ca="1">IF(ROWS($1:65)&gt;COUNT(Dong14),0,IF(OFFSET(TH!O$1,SMALL(Dong14,ROWS($1:65)),)="131",OFFSET(TH!K$1,SMALL(Dong14,ROWS($1:65)),),0))</f>
        <v>0</v>
      </c>
      <c r="K81" s="712">
        <f ca="1">IF(ROWS($1:65)&gt;COUNT(Dong14),0,IF(OFFSET(TH!O$1,SMALL(Dong14,ROWS($1:65)),)="131",OFFSET(TH!M$1,SMALL(Dong14,ROWS($1:65)),),0))</f>
        <v>0</v>
      </c>
      <c r="L81" s="711">
        <f t="shared" ca="1" si="20"/>
        <v>0</v>
      </c>
      <c r="M81" s="710">
        <f t="shared" ca="1" si="21"/>
        <v>0</v>
      </c>
      <c r="N81" s="711">
        <f t="shared" ca="1" si="22"/>
        <v>0</v>
      </c>
      <c r="O81" s="710">
        <f t="shared" ca="1" si="23"/>
        <v>0</v>
      </c>
    </row>
    <row r="82" spans="1:15" s="5" customFormat="1" ht="23.25" customHeight="1">
      <c r="A82" s="213" t="str">
        <f t="shared" ca="1" si="19"/>
        <v/>
      </c>
      <c r="B82" s="217" t="str">
        <f ca="1">IF(ROWS($1:66)&gt;COUNT(Dong14),"",OFFSET(TH!D$1,SMALL(Dong14,ROWS($1:66)),))</f>
        <v/>
      </c>
      <c r="C82" s="213" t="str">
        <f ca="1">IF(ROWS($1:66)&gt;COUNT(Dong14),"",OFFSET(TH!E$1,SMALL(Dong14,ROWS($1:66)),))</f>
        <v/>
      </c>
      <c r="D82" s="714" t="str">
        <f ca="1">IF(ROWS($1:66)&gt;COUNT(Dong14),"",OFFSET(TH!F$1,SMALL(Dong14,ROWS($1:66)),))</f>
        <v/>
      </c>
      <c r="E82" s="712" t="str">
        <f ca="1">IF(ROWS($1:66)&gt;COUNT(Dong14),"",IF(OFFSET(TH!N$1,SMALL(Dong14,ROWS($1:66)),)="131",OFFSET(TH!O$1,SMALL(Dong14,ROWS($1:66)),),OFFSET(TH!N$1,SMALL(Dong14,ROWS($1:66)),)))</f>
        <v/>
      </c>
      <c r="F82" s="712">
        <f ca="1">IF(ROWS($1:66)&gt;COUNT(Dong14),0,OFFSET(TH!L$1,SMALL(Dong14,ROWS($1:66)),))</f>
        <v>0</v>
      </c>
      <c r="G82" s="712"/>
      <c r="H82" s="1139">
        <f ca="1">IF(ROWS($1:66)&gt;COUNT(Dong14),0,IF(OFFSET(TH!N$1,SMALL(Dong14,ROWS($1:66)),)="131",OFFSET(TH!K$1,SMALL(Dong14,ROWS($1:66)),),0))</f>
        <v>0</v>
      </c>
      <c r="I82" s="712">
        <f ca="1">IF(ROWS($1:66)&gt;COUNT(Dong14),0,IF(OFFSET(TH!N$1,SMALL(Dong14,ROWS($1:66)),)="131",OFFSET(TH!M$1,SMALL(Dong14,ROWS($1:66)),),0))</f>
        <v>0</v>
      </c>
      <c r="J82" s="713">
        <f ca="1">IF(ROWS($1:66)&gt;COUNT(Dong14),0,IF(OFFSET(TH!O$1,SMALL(Dong14,ROWS($1:66)),)="131",OFFSET(TH!K$1,SMALL(Dong14,ROWS($1:66)),),0))</f>
        <v>0</v>
      </c>
      <c r="K82" s="712">
        <f ca="1">IF(ROWS($1:66)&gt;COUNT(Dong14),0,IF(OFFSET(TH!O$1,SMALL(Dong14,ROWS($1:66)),)="131",OFFSET(TH!M$1,SMALL(Dong14,ROWS($1:66)),),0))</f>
        <v>0</v>
      </c>
      <c r="L82" s="711">
        <f t="shared" ca="1" si="20"/>
        <v>0</v>
      </c>
      <c r="M82" s="710">
        <f t="shared" ca="1" si="21"/>
        <v>0</v>
      </c>
      <c r="N82" s="711">
        <f t="shared" ca="1" si="22"/>
        <v>0</v>
      </c>
      <c r="O82" s="710">
        <f t="shared" ca="1" si="23"/>
        <v>0</v>
      </c>
    </row>
    <row r="83" spans="1:15" s="5" customFormat="1" ht="23.25" customHeight="1">
      <c r="A83" s="213" t="str">
        <f t="shared" ca="1" si="19"/>
        <v/>
      </c>
      <c r="B83" s="217" t="str">
        <f ca="1">IF(ROWS($1:67)&gt;COUNT(Dong14),"",OFFSET(TH!D$1,SMALL(Dong14,ROWS($1:67)),))</f>
        <v/>
      </c>
      <c r="C83" s="213" t="str">
        <f ca="1">IF(ROWS($1:67)&gt;COUNT(Dong14),"",OFFSET(TH!E$1,SMALL(Dong14,ROWS($1:67)),))</f>
        <v/>
      </c>
      <c r="D83" s="714" t="str">
        <f ca="1">IF(ROWS($1:67)&gt;COUNT(Dong14),"",OFFSET(TH!F$1,SMALL(Dong14,ROWS($1:67)),))</f>
        <v/>
      </c>
      <c r="E83" s="712" t="str">
        <f ca="1">IF(ROWS($1:67)&gt;COUNT(Dong14),"",IF(OFFSET(TH!N$1,SMALL(Dong14,ROWS($1:67)),)="131",OFFSET(TH!O$1,SMALL(Dong14,ROWS($1:67)),),OFFSET(TH!N$1,SMALL(Dong14,ROWS($1:67)),)))</f>
        <v/>
      </c>
      <c r="F83" s="712">
        <f ca="1">IF(ROWS($1:67)&gt;COUNT(Dong14),0,OFFSET(TH!L$1,SMALL(Dong14,ROWS($1:67)),))</f>
        <v>0</v>
      </c>
      <c r="G83" s="712"/>
      <c r="H83" s="1139">
        <f ca="1">IF(ROWS($1:67)&gt;COUNT(Dong14),0,IF(OFFSET(TH!N$1,SMALL(Dong14,ROWS($1:67)),)="131",OFFSET(TH!K$1,SMALL(Dong14,ROWS($1:67)),),0))</f>
        <v>0</v>
      </c>
      <c r="I83" s="712">
        <f ca="1">IF(ROWS($1:67)&gt;COUNT(Dong14),0,IF(OFFSET(TH!N$1,SMALL(Dong14,ROWS($1:67)),)="131",OFFSET(TH!M$1,SMALL(Dong14,ROWS($1:67)),),0))</f>
        <v>0</v>
      </c>
      <c r="J83" s="713">
        <f ca="1">IF(ROWS($1:67)&gt;COUNT(Dong14),0,IF(OFFSET(TH!O$1,SMALL(Dong14,ROWS($1:67)),)="131",OFFSET(TH!K$1,SMALL(Dong14,ROWS($1:67)),),0))</f>
        <v>0</v>
      </c>
      <c r="K83" s="712">
        <f ca="1">IF(ROWS($1:67)&gt;COUNT(Dong14),0,IF(OFFSET(TH!O$1,SMALL(Dong14,ROWS($1:67)),)="131",OFFSET(TH!M$1,SMALL(Dong14,ROWS($1:67)),),0))</f>
        <v>0</v>
      </c>
      <c r="L83" s="711">
        <f t="shared" ca="1" si="20"/>
        <v>0</v>
      </c>
      <c r="M83" s="710">
        <f t="shared" ca="1" si="21"/>
        <v>0</v>
      </c>
      <c r="N83" s="711">
        <f t="shared" ca="1" si="22"/>
        <v>0</v>
      </c>
      <c r="O83" s="710">
        <f t="shared" ca="1" si="23"/>
        <v>0</v>
      </c>
    </row>
    <row r="84" spans="1:15" s="5" customFormat="1" ht="23.25" customHeight="1">
      <c r="A84" s="213" t="str">
        <f t="shared" ca="1" si="19"/>
        <v/>
      </c>
      <c r="B84" s="217" t="str">
        <f ca="1">IF(ROWS($1:68)&gt;COUNT(Dong14),"",OFFSET(TH!D$1,SMALL(Dong14,ROWS($1:68)),))</f>
        <v/>
      </c>
      <c r="C84" s="213" t="str">
        <f ca="1">IF(ROWS($1:68)&gt;COUNT(Dong14),"",OFFSET(TH!E$1,SMALL(Dong14,ROWS($1:68)),))</f>
        <v/>
      </c>
      <c r="D84" s="714" t="str">
        <f ca="1">IF(ROWS($1:68)&gt;COUNT(Dong14),"",OFFSET(TH!F$1,SMALL(Dong14,ROWS($1:68)),))</f>
        <v/>
      </c>
      <c r="E84" s="712" t="str">
        <f ca="1">IF(ROWS($1:68)&gt;COUNT(Dong14),"",IF(OFFSET(TH!N$1,SMALL(Dong14,ROWS($1:68)),)="131",OFFSET(TH!O$1,SMALL(Dong14,ROWS($1:68)),),OFFSET(TH!N$1,SMALL(Dong14,ROWS($1:68)),)))</f>
        <v/>
      </c>
      <c r="F84" s="712">
        <f ca="1">IF(ROWS($1:68)&gt;COUNT(Dong14),0,OFFSET(TH!L$1,SMALL(Dong14,ROWS($1:68)),))</f>
        <v>0</v>
      </c>
      <c r="G84" s="712"/>
      <c r="H84" s="1139">
        <f ca="1">IF(ROWS($1:68)&gt;COUNT(Dong14),0,IF(OFFSET(TH!N$1,SMALL(Dong14,ROWS($1:68)),)="131",OFFSET(TH!K$1,SMALL(Dong14,ROWS($1:68)),),0))</f>
        <v>0</v>
      </c>
      <c r="I84" s="712">
        <f ca="1">IF(ROWS($1:68)&gt;COUNT(Dong14),0,IF(OFFSET(TH!N$1,SMALL(Dong14,ROWS($1:68)),)="131",OFFSET(TH!M$1,SMALL(Dong14,ROWS($1:68)),),0))</f>
        <v>0</v>
      </c>
      <c r="J84" s="713">
        <f ca="1">IF(ROWS($1:68)&gt;COUNT(Dong14),0,IF(OFFSET(TH!O$1,SMALL(Dong14,ROWS($1:68)),)="131",OFFSET(TH!K$1,SMALL(Dong14,ROWS($1:68)),),0))</f>
        <v>0</v>
      </c>
      <c r="K84" s="712">
        <f ca="1">IF(ROWS($1:68)&gt;COUNT(Dong14),0,IF(OFFSET(TH!O$1,SMALL(Dong14,ROWS($1:68)),)="131",OFFSET(TH!M$1,SMALL(Dong14,ROWS($1:68)),),0))</f>
        <v>0</v>
      </c>
      <c r="L84" s="711">
        <f t="shared" ca="1" si="20"/>
        <v>0</v>
      </c>
      <c r="M84" s="710">
        <f t="shared" ca="1" si="21"/>
        <v>0</v>
      </c>
      <c r="N84" s="711">
        <f t="shared" ca="1" si="22"/>
        <v>0</v>
      </c>
      <c r="O84" s="710">
        <f t="shared" ca="1" si="23"/>
        <v>0</v>
      </c>
    </row>
    <row r="85" spans="1:15" s="5" customFormat="1" ht="23.25" customHeight="1">
      <c r="A85" s="213" t="str">
        <f t="shared" ca="1" si="19"/>
        <v/>
      </c>
      <c r="B85" s="217" t="str">
        <f ca="1">IF(ROWS($1:69)&gt;COUNT(Dong14),"",OFFSET(TH!D$1,SMALL(Dong14,ROWS($1:69)),))</f>
        <v/>
      </c>
      <c r="C85" s="213" t="str">
        <f ca="1">IF(ROWS($1:69)&gt;COUNT(Dong14),"",OFFSET(TH!E$1,SMALL(Dong14,ROWS($1:69)),))</f>
        <v/>
      </c>
      <c r="D85" s="714" t="str">
        <f ca="1">IF(ROWS($1:69)&gt;COUNT(Dong14),"",OFFSET(TH!F$1,SMALL(Dong14,ROWS($1:69)),))</f>
        <v/>
      </c>
      <c r="E85" s="712" t="str">
        <f ca="1">IF(ROWS($1:69)&gt;COUNT(Dong14),"",IF(OFFSET(TH!N$1,SMALL(Dong14,ROWS($1:69)),)="131",OFFSET(TH!O$1,SMALL(Dong14,ROWS($1:69)),),OFFSET(TH!N$1,SMALL(Dong14,ROWS($1:69)),)))</f>
        <v/>
      </c>
      <c r="F85" s="712">
        <f ca="1">IF(ROWS($1:69)&gt;COUNT(Dong14),0,OFFSET(TH!L$1,SMALL(Dong14,ROWS($1:69)),))</f>
        <v>0</v>
      </c>
      <c r="G85" s="712"/>
      <c r="H85" s="1139">
        <f ca="1">IF(ROWS($1:69)&gt;COUNT(Dong14),0,IF(OFFSET(TH!N$1,SMALL(Dong14,ROWS($1:69)),)="131",OFFSET(TH!K$1,SMALL(Dong14,ROWS($1:69)),),0))</f>
        <v>0</v>
      </c>
      <c r="I85" s="712">
        <f ca="1">IF(ROWS($1:69)&gt;COUNT(Dong14),0,IF(OFFSET(TH!N$1,SMALL(Dong14,ROWS($1:69)),)="131",OFFSET(TH!M$1,SMALL(Dong14,ROWS($1:69)),),0))</f>
        <v>0</v>
      </c>
      <c r="J85" s="713">
        <f ca="1">IF(ROWS($1:69)&gt;COUNT(Dong14),0,IF(OFFSET(TH!O$1,SMALL(Dong14,ROWS($1:69)),)="131",OFFSET(TH!K$1,SMALL(Dong14,ROWS($1:69)),),0))</f>
        <v>0</v>
      </c>
      <c r="K85" s="712">
        <f ca="1">IF(ROWS($1:69)&gt;COUNT(Dong14),0,IF(OFFSET(TH!O$1,SMALL(Dong14,ROWS($1:69)),)="131",OFFSET(TH!M$1,SMALL(Dong14,ROWS($1:69)),),0))</f>
        <v>0</v>
      </c>
      <c r="L85" s="711">
        <f t="shared" ca="1" si="20"/>
        <v>0</v>
      </c>
      <c r="M85" s="710">
        <f t="shared" ca="1" si="21"/>
        <v>0</v>
      </c>
      <c r="N85" s="711">
        <f t="shared" ca="1" si="22"/>
        <v>0</v>
      </c>
      <c r="O85" s="710">
        <f t="shared" ca="1" si="23"/>
        <v>0</v>
      </c>
    </row>
    <row r="86" spans="1:15" s="5" customFormat="1" ht="23.25" customHeight="1">
      <c r="A86" s="213" t="str">
        <f t="shared" ca="1" si="19"/>
        <v/>
      </c>
      <c r="B86" s="217" t="str">
        <f ca="1">IF(ROWS($1:70)&gt;COUNT(Dong14),"",OFFSET(TH!D$1,SMALL(Dong14,ROWS($1:70)),))</f>
        <v/>
      </c>
      <c r="C86" s="213" t="str">
        <f ca="1">IF(ROWS($1:70)&gt;COUNT(Dong14),"",OFFSET(TH!E$1,SMALL(Dong14,ROWS($1:70)),))</f>
        <v/>
      </c>
      <c r="D86" s="714" t="str">
        <f ca="1">IF(ROWS($1:70)&gt;COUNT(Dong14),"",OFFSET(TH!F$1,SMALL(Dong14,ROWS($1:70)),))</f>
        <v/>
      </c>
      <c r="E86" s="712" t="str">
        <f ca="1">IF(ROWS($1:70)&gt;COUNT(Dong14),"",IF(OFFSET(TH!N$1,SMALL(Dong14,ROWS($1:70)),)="131",OFFSET(TH!O$1,SMALL(Dong14,ROWS($1:70)),),OFFSET(TH!N$1,SMALL(Dong14,ROWS($1:70)),)))</f>
        <v/>
      </c>
      <c r="F86" s="712">
        <f ca="1">IF(ROWS($1:70)&gt;COUNT(Dong14),0,OFFSET(TH!L$1,SMALL(Dong14,ROWS($1:70)),))</f>
        <v>0</v>
      </c>
      <c r="G86" s="712"/>
      <c r="H86" s="1139">
        <f ca="1">IF(ROWS($1:70)&gt;COUNT(Dong14),0,IF(OFFSET(TH!N$1,SMALL(Dong14,ROWS($1:70)),)="131",OFFSET(TH!K$1,SMALL(Dong14,ROWS($1:70)),),0))</f>
        <v>0</v>
      </c>
      <c r="I86" s="712">
        <f ca="1">IF(ROWS($1:70)&gt;COUNT(Dong14),0,IF(OFFSET(TH!N$1,SMALL(Dong14,ROWS($1:70)),)="131",OFFSET(TH!M$1,SMALL(Dong14,ROWS($1:70)),),0))</f>
        <v>0</v>
      </c>
      <c r="J86" s="713">
        <f ca="1">IF(ROWS($1:70)&gt;COUNT(Dong14),0,IF(OFFSET(TH!O$1,SMALL(Dong14,ROWS($1:70)),)="131",OFFSET(TH!K$1,SMALL(Dong14,ROWS($1:70)),),0))</f>
        <v>0</v>
      </c>
      <c r="K86" s="712">
        <f ca="1">IF(ROWS($1:70)&gt;COUNT(Dong14),0,IF(OFFSET(TH!O$1,SMALL(Dong14,ROWS($1:70)),)="131",OFFSET(TH!M$1,SMALL(Dong14,ROWS($1:70)),),0))</f>
        <v>0</v>
      </c>
      <c r="L86" s="711">
        <f t="shared" ca="1" si="20"/>
        <v>0</v>
      </c>
      <c r="M86" s="710">
        <f t="shared" ca="1" si="21"/>
        <v>0</v>
      </c>
      <c r="N86" s="711">
        <f t="shared" ca="1" si="22"/>
        <v>0</v>
      </c>
      <c r="O86" s="710">
        <f t="shared" ca="1" si="23"/>
        <v>0</v>
      </c>
    </row>
    <row r="87" spans="1:15" s="5" customFormat="1" ht="23.25" customHeight="1">
      <c r="A87" s="213" t="str">
        <f t="shared" ca="1" si="19"/>
        <v/>
      </c>
      <c r="B87" s="217" t="str">
        <f ca="1">IF(ROWS($1:71)&gt;COUNT(Dong14),"",OFFSET(TH!D$1,SMALL(Dong14,ROWS($1:71)),))</f>
        <v/>
      </c>
      <c r="C87" s="213" t="str">
        <f ca="1">IF(ROWS($1:71)&gt;COUNT(Dong14),"",OFFSET(TH!E$1,SMALL(Dong14,ROWS($1:71)),))</f>
        <v/>
      </c>
      <c r="D87" s="714" t="str">
        <f ca="1">IF(ROWS($1:71)&gt;COUNT(Dong14),"",OFFSET(TH!F$1,SMALL(Dong14,ROWS($1:71)),))</f>
        <v/>
      </c>
      <c r="E87" s="712" t="str">
        <f ca="1">IF(ROWS($1:71)&gt;COUNT(Dong14),"",IF(OFFSET(TH!N$1,SMALL(Dong14,ROWS($1:71)),)="131",OFFSET(TH!O$1,SMALL(Dong14,ROWS($1:71)),),OFFSET(TH!N$1,SMALL(Dong14,ROWS($1:71)),)))</f>
        <v/>
      </c>
      <c r="F87" s="712">
        <f ca="1">IF(ROWS($1:71)&gt;COUNT(Dong14),0,OFFSET(TH!L$1,SMALL(Dong14,ROWS($1:71)),))</f>
        <v>0</v>
      </c>
      <c r="G87" s="712"/>
      <c r="H87" s="1139">
        <f ca="1">IF(ROWS($1:71)&gt;COUNT(Dong14),0,IF(OFFSET(TH!N$1,SMALL(Dong14,ROWS($1:71)),)="131",OFFSET(TH!K$1,SMALL(Dong14,ROWS($1:71)),),0))</f>
        <v>0</v>
      </c>
      <c r="I87" s="712">
        <f ca="1">IF(ROWS($1:71)&gt;COUNT(Dong14),0,IF(OFFSET(TH!N$1,SMALL(Dong14,ROWS($1:71)),)="131",OFFSET(TH!M$1,SMALL(Dong14,ROWS($1:71)),),0))</f>
        <v>0</v>
      </c>
      <c r="J87" s="713">
        <f ca="1">IF(ROWS($1:71)&gt;COUNT(Dong14),0,IF(OFFSET(TH!O$1,SMALL(Dong14,ROWS($1:71)),)="131",OFFSET(TH!K$1,SMALL(Dong14,ROWS($1:71)),),0))</f>
        <v>0</v>
      </c>
      <c r="K87" s="712">
        <f ca="1">IF(ROWS($1:71)&gt;COUNT(Dong14),0,IF(OFFSET(TH!O$1,SMALL(Dong14,ROWS($1:71)),)="131",OFFSET(TH!M$1,SMALL(Dong14,ROWS($1:71)),),0))</f>
        <v>0</v>
      </c>
      <c r="L87" s="711">
        <f t="shared" ca="1" si="20"/>
        <v>0</v>
      </c>
      <c r="M87" s="710">
        <f t="shared" ca="1" si="21"/>
        <v>0</v>
      </c>
      <c r="N87" s="711">
        <f t="shared" ca="1" si="22"/>
        <v>0</v>
      </c>
      <c r="O87" s="710">
        <f t="shared" ca="1" si="23"/>
        <v>0</v>
      </c>
    </row>
    <row r="88" spans="1:15" s="5" customFormat="1" ht="23.25" customHeight="1">
      <c r="A88" s="213" t="str">
        <f t="shared" ca="1" si="19"/>
        <v/>
      </c>
      <c r="B88" s="217" t="str">
        <f ca="1">IF(ROWS($1:72)&gt;COUNT(Dong14),"",OFFSET(TH!D$1,SMALL(Dong14,ROWS($1:72)),))</f>
        <v/>
      </c>
      <c r="C88" s="213" t="str">
        <f ca="1">IF(ROWS($1:72)&gt;COUNT(Dong14),"",OFFSET(TH!E$1,SMALL(Dong14,ROWS($1:72)),))</f>
        <v/>
      </c>
      <c r="D88" s="714" t="str">
        <f ca="1">IF(ROWS($1:72)&gt;COUNT(Dong14),"",OFFSET(TH!F$1,SMALL(Dong14,ROWS($1:72)),))</f>
        <v/>
      </c>
      <c r="E88" s="712" t="str">
        <f ca="1">IF(ROWS($1:72)&gt;COUNT(Dong14),"",IF(OFFSET(TH!N$1,SMALL(Dong14,ROWS($1:72)),)="131",OFFSET(TH!O$1,SMALL(Dong14,ROWS($1:72)),),OFFSET(TH!N$1,SMALL(Dong14,ROWS($1:72)),)))</f>
        <v/>
      </c>
      <c r="F88" s="712">
        <f ca="1">IF(ROWS($1:72)&gt;COUNT(Dong14),0,OFFSET(TH!L$1,SMALL(Dong14,ROWS($1:72)),))</f>
        <v>0</v>
      </c>
      <c r="G88" s="712"/>
      <c r="H88" s="1139">
        <f ca="1">IF(ROWS($1:72)&gt;COUNT(Dong14),0,IF(OFFSET(TH!N$1,SMALL(Dong14,ROWS($1:72)),)="131",OFFSET(TH!K$1,SMALL(Dong14,ROWS($1:72)),),0))</f>
        <v>0</v>
      </c>
      <c r="I88" s="712">
        <f ca="1">IF(ROWS($1:72)&gt;COUNT(Dong14),0,IF(OFFSET(TH!N$1,SMALL(Dong14,ROWS($1:72)),)="131",OFFSET(TH!M$1,SMALL(Dong14,ROWS($1:72)),),0))</f>
        <v>0</v>
      </c>
      <c r="J88" s="713">
        <f ca="1">IF(ROWS($1:72)&gt;COUNT(Dong14),0,IF(OFFSET(TH!O$1,SMALL(Dong14,ROWS($1:72)),)="131",OFFSET(TH!K$1,SMALL(Dong14,ROWS($1:72)),),0))</f>
        <v>0</v>
      </c>
      <c r="K88" s="712">
        <f ca="1">IF(ROWS($1:72)&gt;COUNT(Dong14),0,IF(OFFSET(TH!O$1,SMALL(Dong14,ROWS($1:72)),)="131",OFFSET(TH!M$1,SMALL(Dong14,ROWS($1:72)),),0))</f>
        <v>0</v>
      </c>
      <c r="L88" s="711">
        <f t="shared" ca="1" si="20"/>
        <v>0</v>
      </c>
      <c r="M88" s="710">
        <f t="shared" ca="1" si="21"/>
        <v>0</v>
      </c>
      <c r="N88" s="711">
        <f t="shared" ca="1" si="22"/>
        <v>0</v>
      </c>
      <c r="O88" s="710">
        <f t="shared" ca="1" si="23"/>
        <v>0</v>
      </c>
    </row>
    <row r="89" spans="1:15" s="5" customFormat="1" ht="23.25" customHeight="1">
      <c r="A89" s="213" t="str">
        <f t="shared" ca="1" si="19"/>
        <v/>
      </c>
      <c r="B89" s="217" t="str">
        <f ca="1">IF(ROWS($1:73)&gt;COUNT(Dong14),"",OFFSET(TH!D$1,SMALL(Dong14,ROWS($1:73)),))</f>
        <v/>
      </c>
      <c r="C89" s="213" t="str">
        <f ca="1">IF(ROWS($1:73)&gt;COUNT(Dong14),"",OFFSET(TH!E$1,SMALL(Dong14,ROWS($1:73)),))</f>
        <v/>
      </c>
      <c r="D89" s="714" t="str">
        <f ca="1">IF(ROWS($1:73)&gt;COUNT(Dong14),"",OFFSET(TH!F$1,SMALL(Dong14,ROWS($1:73)),))</f>
        <v/>
      </c>
      <c r="E89" s="712" t="str">
        <f ca="1">IF(ROWS($1:73)&gt;COUNT(Dong14),"",IF(OFFSET(TH!N$1,SMALL(Dong14,ROWS($1:73)),)="131",OFFSET(TH!O$1,SMALL(Dong14,ROWS($1:73)),),OFFSET(TH!N$1,SMALL(Dong14,ROWS($1:73)),)))</f>
        <v/>
      </c>
      <c r="F89" s="712">
        <f ca="1">IF(ROWS($1:73)&gt;COUNT(Dong14),0,OFFSET(TH!L$1,SMALL(Dong14,ROWS($1:73)),))</f>
        <v>0</v>
      </c>
      <c r="G89" s="712"/>
      <c r="H89" s="1139">
        <f ca="1">IF(ROWS($1:73)&gt;COUNT(Dong14),0,IF(OFFSET(TH!N$1,SMALL(Dong14,ROWS($1:73)),)="131",OFFSET(TH!K$1,SMALL(Dong14,ROWS($1:73)),),0))</f>
        <v>0</v>
      </c>
      <c r="I89" s="712">
        <f ca="1">IF(ROWS($1:73)&gt;COUNT(Dong14),0,IF(OFFSET(TH!N$1,SMALL(Dong14,ROWS($1:73)),)="131",OFFSET(TH!M$1,SMALL(Dong14,ROWS($1:73)),),0))</f>
        <v>0</v>
      </c>
      <c r="J89" s="713">
        <f ca="1">IF(ROWS($1:73)&gt;COUNT(Dong14),0,IF(OFFSET(TH!O$1,SMALL(Dong14,ROWS($1:73)),)="131",OFFSET(TH!K$1,SMALL(Dong14,ROWS($1:73)),),0))</f>
        <v>0</v>
      </c>
      <c r="K89" s="712">
        <f ca="1">IF(ROWS($1:73)&gt;COUNT(Dong14),0,IF(OFFSET(TH!O$1,SMALL(Dong14,ROWS($1:73)),)="131",OFFSET(TH!M$1,SMALL(Dong14,ROWS($1:73)),),0))</f>
        <v>0</v>
      </c>
      <c r="L89" s="711">
        <f t="shared" ca="1" si="20"/>
        <v>0</v>
      </c>
      <c r="M89" s="710">
        <f t="shared" ca="1" si="21"/>
        <v>0</v>
      </c>
      <c r="N89" s="711">
        <f t="shared" ca="1" si="22"/>
        <v>0</v>
      </c>
      <c r="O89" s="710">
        <f t="shared" ca="1" si="23"/>
        <v>0</v>
      </c>
    </row>
    <row r="90" spans="1:15" s="5" customFormat="1" ht="23.25" customHeight="1">
      <c r="A90" s="213" t="str">
        <f t="shared" ca="1" si="19"/>
        <v/>
      </c>
      <c r="B90" s="217" t="str">
        <f ca="1">IF(ROWS($1:74)&gt;COUNT(Dong14),"",OFFSET(TH!D$1,SMALL(Dong14,ROWS($1:74)),))</f>
        <v/>
      </c>
      <c r="C90" s="213" t="str">
        <f ca="1">IF(ROWS($1:74)&gt;COUNT(Dong14),"",OFFSET(TH!E$1,SMALL(Dong14,ROWS($1:74)),))</f>
        <v/>
      </c>
      <c r="D90" s="714" t="str">
        <f ca="1">IF(ROWS($1:74)&gt;COUNT(Dong14),"",OFFSET(TH!F$1,SMALL(Dong14,ROWS($1:74)),))</f>
        <v/>
      </c>
      <c r="E90" s="712" t="str">
        <f ca="1">IF(ROWS($1:74)&gt;COUNT(Dong14),"",IF(OFFSET(TH!N$1,SMALL(Dong14,ROWS($1:74)),)="131",OFFSET(TH!O$1,SMALL(Dong14,ROWS($1:74)),),OFFSET(TH!N$1,SMALL(Dong14,ROWS($1:74)),)))</f>
        <v/>
      </c>
      <c r="F90" s="712">
        <f ca="1">IF(ROWS($1:74)&gt;COUNT(Dong14),0,OFFSET(TH!L$1,SMALL(Dong14,ROWS($1:74)),))</f>
        <v>0</v>
      </c>
      <c r="G90" s="712"/>
      <c r="H90" s="1139">
        <f ca="1">IF(ROWS($1:74)&gt;COUNT(Dong14),0,IF(OFFSET(TH!N$1,SMALL(Dong14,ROWS($1:74)),)="131",OFFSET(TH!K$1,SMALL(Dong14,ROWS($1:74)),),0))</f>
        <v>0</v>
      </c>
      <c r="I90" s="712">
        <f ca="1">IF(ROWS($1:74)&gt;COUNT(Dong14),0,IF(OFFSET(TH!N$1,SMALL(Dong14,ROWS($1:74)),)="131",OFFSET(TH!M$1,SMALL(Dong14,ROWS($1:74)),),0))</f>
        <v>0</v>
      </c>
      <c r="J90" s="713">
        <f ca="1">IF(ROWS($1:74)&gt;COUNT(Dong14),0,IF(OFFSET(TH!O$1,SMALL(Dong14,ROWS($1:74)),)="131",OFFSET(TH!K$1,SMALL(Dong14,ROWS($1:74)),),0))</f>
        <v>0</v>
      </c>
      <c r="K90" s="712">
        <f ca="1">IF(ROWS($1:74)&gt;COUNT(Dong14),0,IF(OFFSET(TH!O$1,SMALL(Dong14,ROWS($1:74)),)="131",OFFSET(TH!M$1,SMALL(Dong14,ROWS($1:74)),),0))</f>
        <v>0</v>
      </c>
      <c r="L90" s="711">
        <f t="shared" ca="1" si="20"/>
        <v>0</v>
      </c>
      <c r="M90" s="710">
        <f t="shared" ca="1" si="21"/>
        <v>0</v>
      </c>
      <c r="N90" s="711">
        <f t="shared" ca="1" si="22"/>
        <v>0</v>
      </c>
      <c r="O90" s="710">
        <f t="shared" ca="1" si="23"/>
        <v>0</v>
      </c>
    </row>
    <row r="91" spans="1:15" s="5" customFormat="1" ht="23.25" customHeight="1">
      <c r="A91" s="213" t="str">
        <f t="shared" ca="1" si="19"/>
        <v/>
      </c>
      <c r="B91" s="217" t="str">
        <f ca="1">IF(ROWS($1:75)&gt;COUNT(Dong14),"",OFFSET(TH!D$1,SMALL(Dong14,ROWS($1:75)),))</f>
        <v/>
      </c>
      <c r="C91" s="213" t="str">
        <f ca="1">IF(ROWS($1:75)&gt;COUNT(Dong14),"",OFFSET(TH!E$1,SMALL(Dong14,ROWS($1:75)),))</f>
        <v/>
      </c>
      <c r="D91" s="714" t="str">
        <f ca="1">IF(ROWS($1:75)&gt;COUNT(Dong14),"",OFFSET(TH!F$1,SMALL(Dong14,ROWS($1:75)),))</f>
        <v/>
      </c>
      <c r="E91" s="712" t="str">
        <f ca="1">IF(ROWS($1:75)&gt;COUNT(Dong14),"",IF(OFFSET(TH!N$1,SMALL(Dong14,ROWS($1:75)),)="131",OFFSET(TH!O$1,SMALL(Dong14,ROWS($1:75)),),OFFSET(TH!N$1,SMALL(Dong14,ROWS($1:75)),)))</f>
        <v/>
      </c>
      <c r="F91" s="712">
        <f ca="1">IF(ROWS($1:75)&gt;COUNT(Dong14),0,OFFSET(TH!L$1,SMALL(Dong14,ROWS($1:75)),))</f>
        <v>0</v>
      </c>
      <c r="G91" s="712"/>
      <c r="H91" s="1139">
        <f ca="1">IF(ROWS($1:75)&gt;COUNT(Dong14),0,IF(OFFSET(TH!N$1,SMALL(Dong14,ROWS($1:75)),)="131",OFFSET(TH!K$1,SMALL(Dong14,ROWS($1:75)),),0))</f>
        <v>0</v>
      </c>
      <c r="I91" s="712">
        <f ca="1">IF(ROWS($1:75)&gt;COUNT(Dong14),0,IF(OFFSET(TH!N$1,SMALL(Dong14,ROWS($1:75)),)="131",OFFSET(TH!M$1,SMALL(Dong14,ROWS($1:75)),),0))</f>
        <v>0</v>
      </c>
      <c r="J91" s="713">
        <f ca="1">IF(ROWS($1:75)&gt;COUNT(Dong14),0,IF(OFFSET(TH!O$1,SMALL(Dong14,ROWS($1:75)),)="131",OFFSET(TH!K$1,SMALL(Dong14,ROWS($1:75)),),0))</f>
        <v>0</v>
      </c>
      <c r="K91" s="712">
        <f ca="1">IF(ROWS($1:75)&gt;COUNT(Dong14),0,IF(OFFSET(TH!O$1,SMALL(Dong14,ROWS($1:75)),)="131",OFFSET(TH!M$1,SMALL(Dong14,ROWS($1:75)),),0))</f>
        <v>0</v>
      </c>
      <c r="L91" s="711">
        <f t="shared" ca="1" si="20"/>
        <v>0</v>
      </c>
      <c r="M91" s="710">
        <f t="shared" ca="1" si="21"/>
        <v>0</v>
      </c>
      <c r="N91" s="711">
        <f t="shared" ca="1" si="22"/>
        <v>0</v>
      </c>
      <c r="O91" s="710">
        <f t="shared" ca="1" si="23"/>
        <v>0</v>
      </c>
    </row>
    <row r="92" spans="1:15" s="5" customFormat="1" ht="23.25" customHeight="1">
      <c r="A92" s="213" t="str">
        <f t="shared" ca="1" si="19"/>
        <v/>
      </c>
      <c r="B92" s="217" t="str">
        <f ca="1">IF(ROWS($1:76)&gt;COUNT(Dong14),"",OFFSET(TH!D$1,SMALL(Dong14,ROWS($1:76)),))</f>
        <v/>
      </c>
      <c r="C92" s="213" t="str">
        <f ca="1">IF(ROWS($1:76)&gt;COUNT(Dong14),"",OFFSET(TH!E$1,SMALL(Dong14,ROWS($1:76)),))</f>
        <v/>
      </c>
      <c r="D92" s="714" t="str">
        <f ca="1">IF(ROWS($1:76)&gt;COUNT(Dong14),"",OFFSET(TH!F$1,SMALL(Dong14,ROWS($1:76)),))</f>
        <v/>
      </c>
      <c r="E92" s="712" t="str">
        <f ca="1">IF(ROWS($1:76)&gt;COUNT(Dong14),"",IF(OFFSET(TH!N$1,SMALL(Dong14,ROWS($1:76)),)="131",OFFSET(TH!O$1,SMALL(Dong14,ROWS($1:76)),),OFFSET(TH!N$1,SMALL(Dong14,ROWS($1:76)),)))</f>
        <v/>
      </c>
      <c r="F92" s="712">
        <f ca="1">IF(ROWS($1:76)&gt;COUNT(Dong14),0,OFFSET(TH!L$1,SMALL(Dong14,ROWS($1:76)),))</f>
        <v>0</v>
      </c>
      <c r="G92" s="712"/>
      <c r="H92" s="1139">
        <f ca="1">IF(ROWS($1:76)&gt;COUNT(Dong14),0,IF(OFFSET(TH!N$1,SMALL(Dong14,ROWS($1:76)),)="131",OFFSET(TH!K$1,SMALL(Dong14,ROWS($1:76)),),0))</f>
        <v>0</v>
      </c>
      <c r="I92" s="712">
        <f ca="1">IF(ROWS($1:76)&gt;COUNT(Dong14),0,IF(OFFSET(TH!N$1,SMALL(Dong14,ROWS($1:76)),)="131",OFFSET(TH!M$1,SMALL(Dong14,ROWS($1:76)),),0))</f>
        <v>0</v>
      </c>
      <c r="J92" s="713">
        <f ca="1">IF(ROWS($1:76)&gt;COUNT(Dong14),0,IF(OFFSET(TH!O$1,SMALL(Dong14,ROWS($1:76)),)="131",OFFSET(TH!K$1,SMALL(Dong14,ROWS($1:76)),),0))</f>
        <v>0</v>
      </c>
      <c r="K92" s="712">
        <f ca="1">IF(ROWS($1:76)&gt;COUNT(Dong14),0,IF(OFFSET(TH!O$1,SMALL(Dong14,ROWS($1:76)),)="131",OFFSET(TH!M$1,SMALL(Dong14,ROWS($1:76)),),0))</f>
        <v>0</v>
      </c>
      <c r="L92" s="711">
        <f t="shared" ca="1" si="20"/>
        <v>0</v>
      </c>
      <c r="M92" s="710">
        <f t="shared" ca="1" si="21"/>
        <v>0</v>
      </c>
      <c r="N92" s="711">
        <f t="shared" ca="1" si="22"/>
        <v>0</v>
      </c>
      <c r="O92" s="710">
        <f t="shared" ca="1" si="23"/>
        <v>0</v>
      </c>
    </row>
    <row r="93" spans="1:15" s="5" customFormat="1" ht="23.25" customHeight="1">
      <c r="A93" s="213" t="str">
        <f t="shared" ref="A93:A106" ca="1" si="24">IF(C93&lt;&gt;"",C93,"")</f>
        <v/>
      </c>
      <c r="B93" s="217" t="str">
        <f ca="1">IF(ROWS($1:77)&gt;COUNT(Dong14),"",OFFSET(TH!D$1,SMALL(Dong14,ROWS($1:77)),))</f>
        <v/>
      </c>
      <c r="C93" s="213" t="str">
        <f ca="1">IF(ROWS($1:77)&gt;COUNT(Dong14),"",OFFSET(TH!E$1,SMALL(Dong14,ROWS($1:77)),))</f>
        <v/>
      </c>
      <c r="D93" s="714" t="str">
        <f ca="1">IF(ROWS($1:77)&gt;COUNT(Dong14),"",OFFSET(TH!F$1,SMALL(Dong14,ROWS($1:77)),))</f>
        <v/>
      </c>
      <c r="E93" s="712" t="str">
        <f ca="1">IF(ROWS($1:77)&gt;COUNT(Dong14),"",IF(OFFSET(TH!N$1,SMALL(Dong14,ROWS($1:77)),)="131",OFFSET(TH!O$1,SMALL(Dong14,ROWS($1:77)),),OFFSET(TH!N$1,SMALL(Dong14,ROWS($1:77)),)))</f>
        <v/>
      </c>
      <c r="F93" s="712">
        <f ca="1">IF(ROWS($1:77)&gt;COUNT(Dong14),0,OFFSET(TH!L$1,SMALL(Dong14,ROWS($1:77)),))</f>
        <v>0</v>
      </c>
      <c r="G93" s="712"/>
      <c r="H93" s="1139">
        <f ca="1">IF(ROWS($1:77)&gt;COUNT(Dong14),0,IF(OFFSET(TH!N$1,SMALL(Dong14,ROWS($1:77)),)="131",OFFSET(TH!K$1,SMALL(Dong14,ROWS($1:77)),),0))</f>
        <v>0</v>
      </c>
      <c r="I93" s="712">
        <f ca="1">IF(ROWS($1:77)&gt;COUNT(Dong14),0,IF(OFFSET(TH!N$1,SMALL(Dong14,ROWS($1:77)),)="131",OFFSET(TH!M$1,SMALL(Dong14,ROWS($1:77)),),0))</f>
        <v>0</v>
      </c>
      <c r="J93" s="713">
        <f ca="1">IF(ROWS($1:77)&gt;COUNT(Dong14),0,IF(OFFSET(TH!O$1,SMALL(Dong14,ROWS($1:77)),)="131",OFFSET(TH!K$1,SMALL(Dong14,ROWS($1:77)),),0))</f>
        <v>0</v>
      </c>
      <c r="K93" s="712">
        <f ca="1">IF(ROWS($1:77)&gt;COUNT(Dong14),0,IF(OFFSET(TH!O$1,SMALL(Dong14,ROWS($1:77)),)="131",OFFSET(TH!M$1,SMALL(Dong14,ROWS($1:77)),),0))</f>
        <v>0</v>
      </c>
      <c r="L93" s="711">
        <f t="shared" ref="L93:L106" ca="1" si="25">IF(D93&lt;&gt;"",ROUND(MAX(L92+H93-J93-N92,0),2),0)</f>
        <v>0</v>
      </c>
      <c r="M93" s="710">
        <f t="shared" ref="M93:M106" ca="1" si="26">IF(D93&lt;&gt;"",MAX(M92-O92+I93-K93,0),0)</f>
        <v>0</v>
      </c>
      <c r="N93" s="711">
        <f t="shared" ref="N93:N106" ca="1" si="27">IF(D93&lt;&gt;"",ROUND(MAX(N92+J93-H93-L92,0),2),0)</f>
        <v>0</v>
      </c>
      <c r="O93" s="710">
        <f t="shared" ref="O93:O106" ca="1" si="28">IF(D93&lt;&gt;"",MAX(O92-M92+K93-I93,0),0)</f>
        <v>0</v>
      </c>
    </row>
    <row r="94" spans="1:15" s="5" customFormat="1" ht="23.25" customHeight="1">
      <c r="A94" s="213" t="str">
        <f t="shared" ca="1" si="24"/>
        <v/>
      </c>
      <c r="B94" s="217" t="str">
        <f ca="1">IF(ROWS($1:78)&gt;COUNT(Dong14),"",OFFSET(TH!D$1,SMALL(Dong14,ROWS($1:78)),))</f>
        <v/>
      </c>
      <c r="C94" s="213" t="str">
        <f ca="1">IF(ROWS($1:78)&gt;COUNT(Dong14),"",OFFSET(TH!E$1,SMALL(Dong14,ROWS($1:78)),))</f>
        <v/>
      </c>
      <c r="D94" s="714" t="str">
        <f ca="1">IF(ROWS($1:78)&gt;COUNT(Dong14),"",OFFSET(TH!F$1,SMALL(Dong14,ROWS($1:78)),))</f>
        <v/>
      </c>
      <c r="E94" s="712" t="str">
        <f ca="1">IF(ROWS($1:78)&gt;COUNT(Dong14),"",IF(OFFSET(TH!N$1,SMALL(Dong14,ROWS($1:78)),)="131",OFFSET(TH!O$1,SMALL(Dong14,ROWS($1:78)),),OFFSET(TH!N$1,SMALL(Dong14,ROWS($1:78)),)))</f>
        <v/>
      </c>
      <c r="F94" s="712">
        <f ca="1">IF(ROWS($1:78)&gt;COUNT(Dong14),0,OFFSET(TH!L$1,SMALL(Dong14,ROWS($1:78)),))</f>
        <v>0</v>
      </c>
      <c r="G94" s="712"/>
      <c r="H94" s="1139">
        <f ca="1">IF(ROWS($1:78)&gt;COUNT(Dong14),0,IF(OFFSET(TH!N$1,SMALL(Dong14,ROWS($1:78)),)="131",OFFSET(TH!K$1,SMALL(Dong14,ROWS($1:78)),),0))</f>
        <v>0</v>
      </c>
      <c r="I94" s="712">
        <f ca="1">IF(ROWS($1:78)&gt;COUNT(Dong14),0,IF(OFFSET(TH!N$1,SMALL(Dong14,ROWS($1:78)),)="131",OFFSET(TH!M$1,SMALL(Dong14,ROWS($1:78)),),0))</f>
        <v>0</v>
      </c>
      <c r="J94" s="713">
        <f ca="1">IF(ROWS($1:78)&gt;COUNT(Dong14),0,IF(OFFSET(TH!O$1,SMALL(Dong14,ROWS($1:78)),)="131",OFFSET(TH!K$1,SMALL(Dong14,ROWS($1:78)),),0))</f>
        <v>0</v>
      </c>
      <c r="K94" s="712">
        <f ca="1">IF(ROWS($1:78)&gt;COUNT(Dong14),0,IF(OFFSET(TH!O$1,SMALL(Dong14,ROWS($1:78)),)="131",OFFSET(TH!M$1,SMALL(Dong14,ROWS($1:78)),),0))</f>
        <v>0</v>
      </c>
      <c r="L94" s="711">
        <f t="shared" ca="1" si="25"/>
        <v>0</v>
      </c>
      <c r="M94" s="710">
        <f t="shared" ca="1" si="26"/>
        <v>0</v>
      </c>
      <c r="N94" s="711">
        <f t="shared" ca="1" si="27"/>
        <v>0</v>
      </c>
      <c r="O94" s="710">
        <f t="shared" ca="1" si="28"/>
        <v>0</v>
      </c>
    </row>
    <row r="95" spans="1:15" s="5" customFormat="1" ht="23.25" customHeight="1">
      <c r="A95" s="213" t="str">
        <f t="shared" ca="1" si="24"/>
        <v/>
      </c>
      <c r="B95" s="217" t="str">
        <f ca="1">IF(ROWS($1:79)&gt;COUNT(Dong14),"",OFFSET(TH!D$1,SMALL(Dong14,ROWS($1:79)),))</f>
        <v/>
      </c>
      <c r="C95" s="213" t="str">
        <f ca="1">IF(ROWS($1:79)&gt;COUNT(Dong14),"",OFFSET(TH!E$1,SMALL(Dong14,ROWS($1:79)),))</f>
        <v/>
      </c>
      <c r="D95" s="714" t="str">
        <f ca="1">IF(ROWS($1:79)&gt;COUNT(Dong14),"",OFFSET(TH!F$1,SMALL(Dong14,ROWS($1:79)),))</f>
        <v/>
      </c>
      <c r="E95" s="712" t="str">
        <f ca="1">IF(ROWS($1:79)&gt;COUNT(Dong14),"",IF(OFFSET(TH!N$1,SMALL(Dong14,ROWS($1:79)),)="131",OFFSET(TH!O$1,SMALL(Dong14,ROWS($1:79)),),OFFSET(TH!N$1,SMALL(Dong14,ROWS($1:79)),)))</f>
        <v/>
      </c>
      <c r="F95" s="712">
        <f ca="1">IF(ROWS($1:79)&gt;COUNT(Dong14),0,OFFSET(TH!L$1,SMALL(Dong14,ROWS($1:79)),))</f>
        <v>0</v>
      </c>
      <c r="G95" s="712"/>
      <c r="H95" s="1139">
        <f ca="1">IF(ROWS($1:79)&gt;COUNT(Dong14),0,IF(OFFSET(TH!N$1,SMALL(Dong14,ROWS($1:79)),)="131",OFFSET(TH!K$1,SMALL(Dong14,ROWS($1:79)),),0))</f>
        <v>0</v>
      </c>
      <c r="I95" s="712">
        <f ca="1">IF(ROWS($1:79)&gt;COUNT(Dong14),0,IF(OFFSET(TH!N$1,SMALL(Dong14,ROWS($1:79)),)="131",OFFSET(TH!M$1,SMALL(Dong14,ROWS($1:79)),),0))</f>
        <v>0</v>
      </c>
      <c r="J95" s="713">
        <f ca="1">IF(ROWS($1:79)&gt;COUNT(Dong14),0,IF(OFFSET(TH!O$1,SMALL(Dong14,ROWS($1:79)),)="131",OFFSET(TH!K$1,SMALL(Dong14,ROWS($1:79)),),0))</f>
        <v>0</v>
      </c>
      <c r="K95" s="712">
        <f ca="1">IF(ROWS($1:79)&gt;COUNT(Dong14),0,IF(OFFSET(TH!O$1,SMALL(Dong14,ROWS($1:79)),)="131",OFFSET(TH!M$1,SMALL(Dong14,ROWS($1:79)),),0))</f>
        <v>0</v>
      </c>
      <c r="L95" s="711">
        <f t="shared" ca="1" si="25"/>
        <v>0</v>
      </c>
      <c r="M95" s="710">
        <f t="shared" ca="1" si="26"/>
        <v>0</v>
      </c>
      <c r="N95" s="711">
        <f t="shared" ca="1" si="27"/>
        <v>0</v>
      </c>
      <c r="O95" s="710">
        <f t="shared" ca="1" si="28"/>
        <v>0</v>
      </c>
    </row>
    <row r="96" spans="1:15" s="5" customFormat="1" ht="23.25" customHeight="1">
      <c r="A96" s="213" t="str">
        <f t="shared" ca="1" si="24"/>
        <v/>
      </c>
      <c r="B96" s="217" t="str">
        <f ca="1">IF(ROWS($1:80)&gt;COUNT(Dong14),"",OFFSET(TH!D$1,SMALL(Dong14,ROWS($1:80)),))</f>
        <v/>
      </c>
      <c r="C96" s="213" t="str">
        <f ca="1">IF(ROWS($1:80)&gt;COUNT(Dong14),"",OFFSET(TH!E$1,SMALL(Dong14,ROWS($1:80)),))</f>
        <v/>
      </c>
      <c r="D96" s="714" t="str">
        <f ca="1">IF(ROWS($1:80)&gt;COUNT(Dong14),"",OFFSET(TH!F$1,SMALL(Dong14,ROWS($1:80)),))</f>
        <v/>
      </c>
      <c r="E96" s="712" t="str">
        <f ca="1">IF(ROWS($1:80)&gt;COUNT(Dong14),"",IF(OFFSET(TH!N$1,SMALL(Dong14,ROWS($1:80)),)="131",OFFSET(TH!O$1,SMALL(Dong14,ROWS($1:80)),),OFFSET(TH!N$1,SMALL(Dong14,ROWS($1:80)),)))</f>
        <v/>
      </c>
      <c r="F96" s="712">
        <f ca="1">IF(ROWS($1:80)&gt;COUNT(Dong14),0,OFFSET(TH!L$1,SMALL(Dong14,ROWS($1:80)),))</f>
        <v>0</v>
      </c>
      <c r="G96" s="712"/>
      <c r="H96" s="1139">
        <f ca="1">IF(ROWS($1:80)&gt;COUNT(Dong14),0,IF(OFFSET(TH!N$1,SMALL(Dong14,ROWS($1:80)),)="131",OFFSET(TH!K$1,SMALL(Dong14,ROWS($1:80)),),0))</f>
        <v>0</v>
      </c>
      <c r="I96" s="712">
        <f ca="1">IF(ROWS($1:80)&gt;COUNT(Dong14),0,IF(OFFSET(TH!N$1,SMALL(Dong14,ROWS($1:80)),)="131",OFFSET(TH!M$1,SMALL(Dong14,ROWS($1:80)),),0))</f>
        <v>0</v>
      </c>
      <c r="J96" s="713">
        <f ca="1">IF(ROWS($1:80)&gt;COUNT(Dong14),0,IF(OFFSET(TH!O$1,SMALL(Dong14,ROWS($1:80)),)="131",OFFSET(TH!K$1,SMALL(Dong14,ROWS($1:80)),),0))</f>
        <v>0</v>
      </c>
      <c r="K96" s="712">
        <f ca="1">IF(ROWS($1:80)&gt;COUNT(Dong14),0,IF(OFFSET(TH!O$1,SMALL(Dong14,ROWS($1:80)),)="131",OFFSET(TH!M$1,SMALL(Dong14,ROWS($1:80)),),0))</f>
        <v>0</v>
      </c>
      <c r="L96" s="711">
        <f t="shared" ca="1" si="25"/>
        <v>0</v>
      </c>
      <c r="M96" s="710">
        <f t="shared" ca="1" si="26"/>
        <v>0</v>
      </c>
      <c r="N96" s="711">
        <f t="shared" ca="1" si="27"/>
        <v>0</v>
      </c>
      <c r="O96" s="710">
        <f t="shared" ca="1" si="28"/>
        <v>0</v>
      </c>
    </row>
    <row r="97" spans="1:15" s="5" customFormat="1" ht="23.25" customHeight="1">
      <c r="A97" s="213" t="str">
        <f t="shared" ca="1" si="24"/>
        <v/>
      </c>
      <c r="B97" s="217" t="str">
        <f ca="1">IF(ROWS($1:81)&gt;COUNT(Dong14),"",OFFSET(TH!D$1,SMALL(Dong14,ROWS($1:81)),))</f>
        <v/>
      </c>
      <c r="C97" s="213" t="str">
        <f ca="1">IF(ROWS($1:81)&gt;COUNT(Dong14),"",OFFSET(TH!E$1,SMALL(Dong14,ROWS($1:81)),))</f>
        <v/>
      </c>
      <c r="D97" s="714" t="str">
        <f ca="1">IF(ROWS($1:81)&gt;COUNT(Dong14),"",OFFSET(TH!F$1,SMALL(Dong14,ROWS($1:81)),))</f>
        <v/>
      </c>
      <c r="E97" s="712" t="str">
        <f ca="1">IF(ROWS($1:81)&gt;COUNT(Dong14),"",IF(OFFSET(TH!N$1,SMALL(Dong14,ROWS($1:81)),)="131",OFFSET(TH!O$1,SMALL(Dong14,ROWS($1:81)),),OFFSET(TH!N$1,SMALL(Dong14,ROWS($1:81)),)))</f>
        <v/>
      </c>
      <c r="F97" s="712">
        <f ca="1">IF(ROWS($1:81)&gt;COUNT(Dong14),0,OFFSET(TH!L$1,SMALL(Dong14,ROWS($1:81)),))</f>
        <v>0</v>
      </c>
      <c r="G97" s="712"/>
      <c r="H97" s="1139">
        <f ca="1">IF(ROWS($1:81)&gt;COUNT(Dong14),0,IF(OFFSET(TH!N$1,SMALL(Dong14,ROWS($1:81)),)="131",OFFSET(TH!K$1,SMALL(Dong14,ROWS($1:81)),),0))</f>
        <v>0</v>
      </c>
      <c r="I97" s="712">
        <f ca="1">IF(ROWS($1:81)&gt;COUNT(Dong14),0,IF(OFFSET(TH!N$1,SMALL(Dong14,ROWS($1:81)),)="131",OFFSET(TH!M$1,SMALL(Dong14,ROWS($1:81)),),0))</f>
        <v>0</v>
      </c>
      <c r="J97" s="713">
        <f ca="1">IF(ROWS($1:81)&gt;COUNT(Dong14),0,IF(OFFSET(TH!O$1,SMALL(Dong14,ROWS($1:81)),)="131",OFFSET(TH!K$1,SMALL(Dong14,ROWS($1:81)),),0))</f>
        <v>0</v>
      </c>
      <c r="K97" s="712">
        <f ca="1">IF(ROWS($1:81)&gt;COUNT(Dong14),0,IF(OFFSET(TH!O$1,SMALL(Dong14,ROWS($1:81)),)="131",OFFSET(TH!M$1,SMALL(Dong14,ROWS($1:81)),),0))</f>
        <v>0</v>
      </c>
      <c r="L97" s="711">
        <f t="shared" ca="1" si="25"/>
        <v>0</v>
      </c>
      <c r="M97" s="710">
        <f t="shared" ca="1" si="26"/>
        <v>0</v>
      </c>
      <c r="N97" s="711">
        <f t="shared" ca="1" si="27"/>
        <v>0</v>
      </c>
      <c r="O97" s="710">
        <f t="shared" ca="1" si="28"/>
        <v>0</v>
      </c>
    </row>
    <row r="98" spans="1:15" s="5" customFormat="1" ht="23.25" customHeight="1">
      <c r="A98" s="213" t="str">
        <f t="shared" ca="1" si="24"/>
        <v/>
      </c>
      <c r="B98" s="217" t="str">
        <f ca="1">IF(ROWS($1:82)&gt;COUNT(Dong14),"",OFFSET(TH!D$1,SMALL(Dong14,ROWS($1:82)),))</f>
        <v/>
      </c>
      <c r="C98" s="213" t="str">
        <f ca="1">IF(ROWS($1:82)&gt;COUNT(Dong14),"",OFFSET(TH!E$1,SMALL(Dong14,ROWS($1:82)),))</f>
        <v/>
      </c>
      <c r="D98" s="714" t="str">
        <f ca="1">IF(ROWS($1:82)&gt;COUNT(Dong14),"",OFFSET(TH!F$1,SMALL(Dong14,ROWS($1:82)),))</f>
        <v/>
      </c>
      <c r="E98" s="712" t="str">
        <f ca="1">IF(ROWS($1:82)&gt;COUNT(Dong14),"",IF(OFFSET(TH!N$1,SMALL(Dong14,ROWS($1:82)),)="131",OFFSET(TH!O$1,SMALL(Dong14,ROWS($1:82)),),OFFSET(TH!N$1,SMALL(Dong14,ROWS($1:82)),)))</f>
        <v/>
      </c>
      <c r="F98" s="712">
        <f ca="1">IF(ROWS($1:82)&gt;COUNT(Dong14),0,OFFSET(TH!L$1,SMALL(Dong14,ROWS($1:82)),))</f>
        <v>0</v>
      </c>
      <c r="G98" s="712"/>
      <c r="H98" s="1139">
        <f ca="1">IF(ROWS($1:82)&gt;COUNT(Dong14),0,IF(OFFSET(TH!N$1,SMALL(Dong14,ROWS($1:82)),)="131",OFFSET(TH!K$1,SMALL(Dong14,ROWS($1:82)),),0))</f>
        <v>0</v>
      </c>
      <c r="I98" s="712">
        <f ca="1">IF(ROWS($1:82)&gt;COUNT(Dong14),0,IF(OFFSET(TH!N$1,SMALL(Dong14,ROWS($1:82)),)="131",OFFSET(TH!M$1,SMALL(Dong14,ROWS($1:82)),),0))</f>
        <v>0</v>
      </c>
      <c r="J98" s="713">
        <f ca="1">IF(ROWS($1:82)&gt;COUNT(Dong14),0,IF(OFFSET(TH!O$1,SMALL(Dong14,ROWS($1:82)),)="131",OFFSET(TH!K$1,SMALL(Dong14,ROWS($1:82)),),0))</f>
        <v>0</v>
      </c>
      <c r="K98" s="712">
        <f ca="1">IF(ROWS($1:82)&gt;COUNT(Dong14),0,IF(OFFSET(TH!O$1,SMALL(Dong14,ROWS($1:82)),)="131",OFFSET(TH!M$1,SMALL(Dong14,ROWS($1:82)),),0))</f>
        <v>0</v>
      </c>
      <c r="L98" s="711">
        <f t="shared" ca="1" si="25"/>
        <v>0</v>
      </c>
      <c r="M98" s="710">
        <f t="shared" ca="1" si="26"/>
        <v>0</v>
      </c>
      <c r="N98" s="711">
        <f t="shared" ca="1" si="27"/>
        <v>0</v>
      </c>
      <c r="O98" s="710">
        <f t="shared" ca="1" si="28"/>
        <v>0</v>
      </c>
    </row>
    <row r="99" spans="1:15" s="5" customFormat="1" ht="23.25" customHeight="1">
      <c r="A99" s="213" t="str">
        <f t="shared" ca="1" si="24"/>
        <v/>
      </c>
      <c r="B99" s="217" t="str">
        <f ca="1">IF(ROWS($1:83)&gt;COUNT(Dong14),"",OFFSET(TH!D$1,SMALL(Dong14,ROWS($1:83)),))</f>
        <v/>
      </c>
      <c r="C99" s="213" t="str">
        <f ca="1">IF(ROWS($1:83)&gt;COUNT(Dong14),"",OFFSET(TH!E$1,SMALL(Dong14,ROWS($1:83)),))</f>
        <v/>
      </c>
      <c r="D99" s="714" t="str">
        <f ca="1">IF(ROWS($1:83)&gt;COUNT(Dong14),"",OFFSET(TH!F$1,SMALL(Dong14,ROWS($1:83)),))</f>
        <v/>
      </c>
      <c r="E99" s="712" t="str">
        <f ca="1">IF(ROWS($1:83)&gt;COUNT(Dong14),"",IF(OFFSET(TH!N$1,SMALL(Dong14,ROWS($1:83)),)="131",OFFSET(TH!O$1,SMALL(Dong14,ROWS($1:83)),),OFFSET(TH!N$1,SMALL(Dong14,ROWS($1:83)),)))</f>
        <v/>
      </c>
      <c r="F99" s="712">
        <f ca="1">IF(ROWS($1:83)&gt;COUNT(Dong14),0,OFFSET(TH!L$1,SMALL(Dong14,ROWS($1:83)),))</f>
        <v>0</v>
      </c>
      <c r="G99" s="712"/>
      <c r="H99" s="1139">
        <f ca="1">IF(ROWS($1:83)&gt;COUNT(Dong14),0,IF(OFFSET(TH!N$1,SMALL(Dong14,ROWS($1:83)),)="131",OFFSET(TH!K$1,SMALL(Dong14,ROWS($1:83)),),0))</f>
        <v>0</v>
      </c>
      <c r="I99" s="712">
        <f ca="1">IF(ROWS($1:83)&gt;COUNT(Dong14),0,IF(OFFSET(TH!N$1,SMALL(Dong14,ROWS($1:83)),)="131",OFFSET(TH!M$1,SMALL(Dong14,ROWS($1:83)),),0))</f>
        <v>0</v>
      </c>
      <c r="J99" s="713">
        <f ca="1">IF(ROWS($1:83)&gt;COUNT(Dong14),0,IF(OFFSET(TH!O$1,SMALL(Dong14,ROWS($1:83)),)="131",OFFSET(TH!K$1,SMALL(Dong14,ROWS($1:83)),),0))</f>
        <v>0</v>
      </c>
      <c r="K99" s="712">
        <f ca="1">IF(ROWS($1:83)&gt;COUNT(Dong14),0,IF(OFFSET(TH!O$1,SMALL(Dong14,ROWS($1:83)),)="131",OFFSET(TH!M$1,SMALL(Dong14,ROWS($1:83)),),0))</f>
        <v>0</v>
      </c>
      <c r="L99" s="711">
        <f t="shared" ca="1" si="25"/>
        <v>0</v>
      </c>
      <c r="M99" s="710">
        <f t="shared" ca="1" si="26"/>
        <v>0</v>
      </c>
      <c r="N99" s="711">
        <f t="shared" ca="1" si="27"/>
        <v>0</v>
      </c>
      <c r="O99" s="710">
        <f t="shared" ca="1" si="28"/>
        <v>0</v>
      </c>
    </row>
    <row r="100" spans="1:15" s="5" customFormat="1" ht="23.25" customHeight="1">
      <c r="A100" s="213" t="str">
        <f t="shared" ca="1" si="24"/>
        <v/>
      </c>
      <c r="B100" s="217" t="str">
        <f ca="1">IF(ROWS($1:84)&gt;COUNT(Dong14),"",OFFSET(TH!D$1,SMALL(Dong14,ROWS($1:84)),))</f>
        <v/>
      </c>
      <c r="C100" s="213" t="str">
        <f ca="1">IF(ROWS($1:84)&gt;COUNT(Dong14),"",OFFSET(TH!E$1,SMALL(Dong14,ROWS($1:84)),))</f>
        <v/>
      </c>
      <c r="D100" s="714" t="str">
        <f ca="1">IF(ROWS($1:84)&gt;COUNT(Dong14),"",OFFSET(TH!F$1,SMALL(Dong14,ROWS($1:84)),))</f>
        <v/>
      </c>
      <c r="E100" s="712" t="str">
        <f ca="1">IF(ROWS($1:84)&gt;COUNT(Dong14),"",IF(OFFSET(TH!N$1,SMALL(Dong14,ROWS($1:84)),)="131",OFFSET(TH!O$1,SMALL(Dong14,ROWS($1:84)),),OFFSET(TH!N$1,SMALL(Dong14,ROWS($1:84)),)))</f>
        <v/>
      </c>
      <c r="F100" s="712">
        <f ca="1">IF(ROWS($1:84)&gt;COUNT(Dong14),0,OFFSET(TH!L$1,SMALL(Dong14,ROWS($1:84)),))</f>
        <v>0</v>
      </c>
      <c r="G100" s="712"/>
      <c r="H100" s="1139">
        <f ca="1">IF(ROWS($1:84)&gt;COUNT(Dong14),0,IF(OFFSET(TH!N$1,SMALL(Dong14,ROWS($1:84)),)="131",OFFSET(TH!K$1,SMALL(Dong14,ROWS($1:84)),),0))</f>
        <v>0</v>
      </c>
      <c r="I100" s="712">
        <f ca="1">IF(ROWS($1:84)&gt;COUNT(Dong14),0,IF(OFFSET(TH!N$1,SMALL(Dong14,ROWS($1:84)),)="131",OFFSET(TH!M$1,SMALL(Dong14,ROWS($1:84)),),0))</f>
        <v>0</v>
      </c>
      <c r="J100" s="713">
        <f ca="1">IF(ROWS($1:84)&gt;COUNT(Dong14),0,IF(OFFSET(TH!O$1,SMALL(Dong14,ROWS($1:84)),)="131",OFFSET(TH!K$1,SMALL(Dong14,ROWS($1:84)),),0))</f>
        <v>0</v>
      </c>
      <c r="K100" s="712">
        <f ca="1">IF(ROWS($1:84)&gt;COUNT(Dong14),0,IF(OFFSET(TH!O$1,SMALL(Dong14,ROWS($1:84)),)="131",OFFSET(TH!M$1,SMALL(Dong14,ROWS($1:84)),),0))</f>
        <v>0</v>
      </c>
      <c r="L100" s="711">
        <f t="shared" ca="1" si="25"/>
        <v>0</v>
      </c>
      <c r="M100" s="710">
        <f t="shared" ca="1" si="26"/>
        <v>0</v>
      </c>
      <c r="N100" s="711">
        <f t="shared" ca="1" si="27"/>
        <v>0</v>
      </c>
      <c r="O100" s="710">
        <f t="shared" ca="1" si="28"/>
        <v>0</v>
      </c>
    </row>
    <row r="101" spans="1:15" s="5" customFormat="1" ht="23.25" customHeight="1">
      <c r="A101" s="213" t="str">
        <f t="shared" ca="1" si="24"/>
        <v/>
      </c>
      <c r="B101" s="217" t="str">
        <f ca="1">IF(ROWS($1:85)&gt;COUNT(Dong14),"",OFFSET(TH!D$1,SMALL(Dong14,ROWS($1:85)),))</f>
        <v/>
      </c>
      <c r="C101" s="213" t="str">
        <f ca="1">IF(ROWS($1:85)&gt;COUNT(Dong14),"",OFFSET(TH!E$1,SMALL(Dong14,ROWS($1:85)),))</f>
        <v/>
      </c>
      <c r="D101" s="714" t="str">
        <f ca="1">IF(ROWS($1:85)&gt;COUNT(Dong14),"",OFFSET(TH!F$1,SMALL(Dong14,ROWS($1:85)),))</f>
        <v/>
      </c>
      <c r="E101" s="712" t="str">
        <f ca="1">IF(ROWS($1:85)&gt;COUNT(Dong14),"",IF(OFFSET(TH!N$1,SMALL(Dong14,ROWS($1:85)),)="131",OFFSET(TH!O$1,SMALL(Dong14,ROWS($1:85)),),OFFSET(TH!N$1,SMALL(Dong14,ROWS($1:85)),)))</f>
        <v/>
      </c>
      <c r="F101" s="712">
        <f ca="1">IF(ROWS($1:85)&gt;COUNT(Dong14),0,OFFSET(TH!L$1,SMALL(Dong14,ROWS($1:85)),))</f>
        <v>0</v>
      </c>
      <c r="G101" s="712"/>
      <c r="H101" s="1139">
        <f ca="1">IF(ROWS($1:85)&gt;COUNT(Dong14),0,IF(OFFSET(TH!N$1,SMALL(Dong14,ROWS($1:85)),)="131",OFFSET(TH!K$1,SMALL(Dong14,ROWS($1:85)),),0))</f>
        <v>0</v>
      </c>
      <c r="I101" s="712">
        <f ca="1">IF(ROWS($1:85)&gt;COUNT(Dong14),0,IF(OFFSET(TH!N$1,SMALL(Dong14,ROWS($1:85)),)="131",OFFSET(TH!M$1,SMALL(Dong14,ROWS($1:85)),),0))</f>
        <v>0</v>
      </c>
      <c r="J101" s="713">
        <f ca="1">IF(ROWS($1:85)&gt;COUNT(Dong14),0,IF(OFFSET(TH!O$1,SMALL(Dong14,ROWS($1:85)),)="131",OFFSET(TH!K$1,SMALL(Dong14,ROWS($1:85)),),0))</f>
        <v>0</v>
      </c>
      <c r="K101" s="712">
        <f ca="1">IF(ROWS($1:85)&gt;COUNT(Dong14),0,IF(OFFSET(TH!O$1,SMALL(Dong14,ROWS($1:85)),)="131",OFFSET(TH!M$1,SMALL(Dong14,ROWS($1:85)),),0))</f>
        <v>0</v>
      </c>
      <c r="L101" s="711">
        <f t="shared" ca="1" si="25"/>
        <v>0</v>
      </c>
      <c r="M101" s="710">
        <f t="shared" ca="1" si="26"/>
        <v>0</v>
      </c>
      <c r="N101" s="711">
        <f t="shared" ca="1" si="27"/>
        <v>0</v>
      </c>
      <c r="O101" s="710">
        <f t="shared" ca="1" si="28"/>
        <v>0</v>
      </c>
    </row>
    <row r="102" spans="1:15" s="5" customFormat="1" ht="23.25" customHeight="1">
      <c r="A102" s="213" t="str">
        <f t="shared" ca="1" si="24"/>
        <v/>
      </c>
      <c r="B102" s="217" t="str">
        <f ca="1">IF(ROWS($1:86)&gt;COUNT(Dong14),"",OFFSET(TH!D$1,SMALL(Dong14,ROWS($1:86)),))</f>
        <v/>
      </c>
      <c r="C102" s="213" t="str">
        <f ca="1">IF(ROWS($1:86)&gt;COUNT(Dong14),"",OFFSET(TH!E$1,SMALL(Dong14,ROWS($1:86)),))</f>
        <v/>
      </c>
      <c r="D102" s="714" t="str">
        <f ca="1">IF(ROWS($1:86)&gt;COUNT(Dong14),"",OFFSET(TH!F$1,SMALL(Dong14,ROWS($1:86)),))</f>
        <v/>
      </c>
      <c r="E102" s="712" t="str">
        <f ca="1">IF(ROWS($1:86)&gt;COUNT(Dong14),"",IF(OFFSET(TH!N$1,SMALL(Dong14,ROWS($1:86)),)="131",OFFSET(TH!O$1,SMALL(Dong14,ROWS($1:86)),),OFFSET(TH!N$1,SMALL(Dong14,ROWS($1:86)),)))</f>
        <v/>
      </c>
      <c r="F102" s="712">
        <f ca="1">IF(ROWS($1:86)&gt;COUNT(Dong14),0,OFFSET(TH!L$1,SMALL(Dong14,ROWS($1:86)),))</f>
        <v>0</v>
      </c>
      <c r="G102" s="712"/>
      <c r="H102" s="1139">
        <f ca="1">IF(ROWS($1:86)&gt;COUNT(Dong14),0,IF(OFFSET(TH!N$1,SMALL(Dong14,ROWS($1:86)),)="131",OFFSET(TH!K$1,SMALL(Dong14,ROWS($1:86)),),0))</f>
        <v>0</v>
      </c>
      <c r="I102" s="712">
        <f ca="1">IF(ROWS($1:86)&gt;COUNT(Dong14),0,IF(OFFSET(TH!N$1,SMALL(Dong14,ROWS($1:86)),)="131",OFFSET(TH!M$1,SMALL(Dong14,ROWS($1:86)),),0))</f>
        <v>0</v>
      </c>
      <c r="J102" s="713">
        <f ca="1">IF(ROWS($1:86)&gt;COUNT(Dong14),0,IF(OFFSET(TH!O$1,SMALL(Dong14,ROWS($1:86)),)="131",OFFSET(TH!K$1,SMALL(Dong14,ROWS($1:86)),),0))</f>
        <v>0</v>
      </c>
      <c r="K102" s="712">
        <f ca="1">IF(ROWS($1:86)&gt;COUNT(Dong14),0,IF(OFFSET(TH!O$1,SMALL(Dong14,ROWS($1:86)),)="131",OFFSET(TH!M$1,SMALL(Dong14,ROWS($1:86)),),0))</f>
        <v>0</v>
      </c>
      <c r="L102" s="711">
        <f t="shared" ca="1" si="25"/>
        <v>0</v>
      </c>
      <c r="M102" s="710">
        <f t="shared" ca="1" si="26"/>
        <v>0</v>
      </c>
      <c r="N102" s="711">
        <f t="shared" ca="1" si="27"/>
        <v>0</v>
      </c>
      <c r="O102" s="710">
        <f t="shared" ca="1" si="28"/>
        <v>0</v>
      </c>
    </row>
    <row r="103" spans="1:15" s="5" customFormat="1" ht="23.25" customHeight="1">
      <c r="A103" s="213" t="str">
        <f t="shared" ca="1" si="24"/>
        <v/>
      </c>
      <c r="B103" s="217" t="str">
        <f ca="1">IF(ROWS($1:87)&gt;COUNT(Dong14),"",OFFSET(TH!D$1,SMALL(Dong14,ROWS($1:87)),))</f>
        <v/>
      </c>
      <c r="C103" s="213" t="str">
        <f ca="1">IF(ROWS($1:87)&gt;COUNT(Dong14),"",OFFSET(TH!E$1,SMALL(Dong14,ROWS($1:87)),))</f>
        <v/>
      </c>
      <c r="D103" s="714" t="str">
        <f ca="1">IF(ROWS($1:87)&gt;COUNT(Dong14),"",OFFSET(TH!F$1,SMALL(Dong14,ROWS($1:87)),))</f>
        <v/>
      </c>
      <c r="E103" s="712" t="str">
        <f ca="1">IF(ROWS($1:87)&gt;COUNT(Dong14),"",IF(OFFSET(TH!N$1,SMALL(Dong14,ROWS($1:87)),)="131",OFFSET(TH!O$1,SMALL(Dong14,ROWS($1:87)),),OFFSET(TH!N$1,SMALL(Dong14,ROWS($1:87)),)))</f>
        <v/>
      </c>
      <c r="F103" s="712">
        <f ca="1">IF(ROWS($1:87)&gt;COUNT(Dong14),0,OFFSET(TH!L$1,SMALL(Dong14,ROWS($1:87)),))</f>
        <v>0</v>
      </c>
      <c r="G103" s="712"/>
      <c r="H103" s="1139">
        <f ca="1">IF(ROWS($1:87)&gt;COUNT(Dong14),0,IF(OFFSET(TH!N$1,SMALL(Dong14,ROWS($1:87)),)="131",OFFSET(TH!K$1,SMALL(Dong14,ROWS($1:87)),),0))</f>
        <v>0</v>
      </c>
      <c r="I103" s="712">
        <f ca="1">IF(ROWS($1:87)&gt;COUNT(Dong14),0,IF(OFFSET(TH!N$1,SMALL(Dong14,ROWS($1:87)),)="131",OFFSET(TH!M$1,SMALL(Dong14,ROWS($1:87)),),0))</f>
        <v>0</v>
      </c>
      <c r="J103" s="713">
        <f ca="1">IF(ROWS($1:87)&gt;COUNT(Dong14),0,IF(OFFSET(TH!O$1,SMALL(Dong14,ROWS($1:87)),)="131",OFFSET(TH!K$1,SMALL(Dong14,ROWS($1:87)),),0))</f>
        <v>0</v>
      </c>
      <c r="K103" s="712">
        <f ca="1">IF(ROWS($1:87)&gt;COUNT(Dong14),0,IF(OFFSET(TH!O$1,SMALL(Dong14,ROWS($1:87)),)="131",OFFSET(TH!M$1,SMALL(Dong14,ROWS($1:87)),),0))</f>
        <v>0</v>
      </c>
      <c r="L103" s="711">
        <f t="shared" ca="1" si="25"/>
        <v>0</v>
      </c>
      <c r="M103" s="710">
        <f t="shared" ca="1" si="26"/>
        <v>0</v>
      </c>
      <c r="N103" s="711">
        <f t="shared" ca="1" si="27"/>
        <v>0</v>
      </c>
      <c r="O103" s="710">
        <f t="shared" ca="1" si="28"/>
        <v>0</v>
      </c>
    </row>
    <row r="104" spans="1:15" s="5" customFormat="1" ht="23.25" customHeight="1">
      <c r="A104" s="213" t="str">
        <f t="shared" ca="1" si="24"/>
        <v/>
      </c>
      <c r="B104" s="217" t="str">
        <f ca="1">IF(ROWS($1:88)&gt;COUNT(Dong14),"",OFFSET(TH!D$1,SMALL(Dong14,ROWS($1:88)),))</f>
        <v/>
      </c>
      <c r="C104" s="213" t="str">
        <f ca="1">IF(ROWS($1:88)&gt;COUNT(Dong14),"",OFFSET(TH!E$1,SMALL(Dong14,ROWS($1:88)),))</f>
        <v/>
      </c>
      <c r="D104" s="714" t="str">
        <f ca="1">IF(ROWS($1:88)&gt;COUNT(Dong14),"",OFFSET(TH!F$1,SMALL(Dong14,ROWS($1:88)),))</f>
        <v/>
      </c>
      <c r="E104" s="712" t="str">
        <f ca="1">IF(ROWS($1:88)&gt;COUNT(Dong14),"",IF(OFFSET(TH!N$1,SMALL(Dong14,ROWS($1:88)),)="131",OFFSET(TH!O$1,SMALL(Dong14,ROWS($1:88)),),OFFSET(TH!N$1,SMALL(Dong14,ROWS($1:88)),)))</f>
        <v/>
      </c>
      <c r="F104" s="712">
        <f ca="1">IF(ROWS($1:88)&gt;COUNT(Dong14),0,OFFSET(TH!L$1,SMALL(Dong14,ROWS($1:88)),))</f>
        <v>0</v>
      </c>
      <c r="G104" s="712"/>
      <c r="H104" s="1139">
        <f ca="1">IF(ROWS($1:88)&gt;COUNT(Dong14),0,IF(OFFSET(TH!N$1,SMALL(Dong14,ROWS($1:88)),)="131",OFFSET(TH!K$1,SMALL(Dong14,ROWS($1:88)),),0))</f>
        <v>0</v>
      </c>
      <c r="I104" s="712">
        <f ca="1">IF(ROWS($1:88)&gt;COUNT(Dong14),0,IF(OFFSET(TH!N$1,SMALL(Dong14,ROWS($1:88)),)="131",OFFSET(TH!M$1,SMALL(Dong14,ROWS($1:88)),),0))</f>
        <v>0</v>
      </c>
      <c r="J104" s="713">
        <f ca="1">IF(ROWS($1:88)&gt;COUNT(Dong14),0,IF(OFFSET(TH!O$1,SMALL(Dong14,ROWS($1:88)),)="131",OFFSET(TH!K$1,SMALL(Dong14,ROWS($1:88)),),0))</f>
        <v>0</v>
      </c>
      <c r="K104" s="712">
        <f ca="1">IF(ROWS($1:88)&gt;COUNT(Dong14),0,IF(OFFSET(TH!O$1,SMALL(Dong14,ROWS($1:88)),)="131",OFFSET(TH!M$1,SMALL(Dong14,ROWS($1:88)),),0))</f>
        <v>0</v>
      </c>
      <c r="L104" s="711">
        <f t="shared" ca="1" si="25"/>
        <v>0</v>
      </c>
      <c r="M104" s="710">
        <f t="shared" ca="1" si="26"/>
        <v>0</v>
      </c>
      <c r="N104" s="711">
        <f t="shared" ca="1" si="27"/>
        <v>0</v>
      </c>
      <c r="O104" s="710">
        <f t="shared" ca="1" si="28"/>
        <v>0</v>
      </c>
    </row>
    <row r="105" spans="1:15" s="5" customFormat="1" ht="23.25" customHeight="1">
      <c r="A105" s="213" t="str">
        <f t="shared" ca="1" si="24"/>
        <v/>
      </c>
      <c r="B105" s="217" t="str">
        <f ca="1">IF(ROWS($1:89)&gt;COUNT(Dong14),"",OFFSET(TH!D$1,SMALL(Dong14,ROWS($1:89)),))</f>
        <v/>
      </c>
      <c r="C105" s="213" t="str">
        <f ca="1">IF(ROWS($1:89)&gt;COUNT(Dong14),"",OFFSET(TH!E$1,SMALL(Dong14,ROWS($1:89)),))</f>
        <v/>
      </c>
      <c r="D105" s="714" t="str">
        <f ca="1">IF(ROWS($1:89)&gt;COUNT(Dong14),"",OFFSET(TH!F$1,SMALL(Dong14,ROWS($1:89)),))</f>
        <v/>
      </c>
      <c r="E105" s="712" t="str">
        <f ca="1">IF(ROWS($1:89)&gt;COUNT(Dong14),"",IF(OFFSET(TH!N$1,SMALL(Dong14,ROWS($1:89)),)="131",OFFSET(TH!O$1,SMALL(Dong14,ROWS($1:89)),),OFFSET(TH!N$1,SMALL(Dong14,ROWS($1:89)),)))</f>
        <v/>
      </c>
      <c r="F105" s="712">
        <f ca="1">IF(ROWS($1:89)&gt;COUNT(Dong14),0,OFFSET(TH!L$1,SMALL(Dong14,ROWS($1:89)),))</f>
        <v>0</v>
      </c>
      <c r="G105" s="712"/>
      <c r="H105" s="1139">
        <f ca="1">IF(ROWS($1:89)&gt;COUNT(Dong14),0,IF(OFFSET(TH!N$1,SMALL(Dong14,ROWS($1:89)),)="131",OFFSET(TH!K$1,SMALL(Dong14,ROWS($1:89)),),0))</f>
        <v>0</v>
      </c>
      <c r="I105" s="712">
        <f ca="1">IF(ROWS($1:89)&gt;COUNT(Dong14),0,IF(OFFSET(TH!N$1,SMALL(Dong14,ROWS($1:89)),)="131",OFFSET(TH!M$1,SMALL(Dong14,ROWS($1:89)),),0))</f>
        <v>0</v>
      </c>
      <c r="J105" s="713">
        <f ca="1">IF(ROWS($1:89)&gt;COUNT(Dong14),0,IF(OFFSET(TH!O$1,SMALL(Dong14,ROWS($1:89)),)="131",OFFSET(TH!K$1,SMALL(Dong14,ROWS($1:89)),),0))</f>
        <v>0</v>
      </c>
      <c r="K105" s="712">
        <f ca="1">IF(ROWS($1:89)&gt;COUNT(Dong14),0,IF(OFFSET(TH!O$1,SMALL(Dong14,ROWS($1:89)),)="131",OFFSET(TH!M$1,SMALL(Dong14,ROWS($1:89)),),0))</f>
        <v>0</v>
      </c>
      <c r="L105" s="711">
        <f t="shared" ca="1" si="25"/>
        <v>0</v>
      </c>
      <c r="M105" s="710">
        <f t="shared" ca="1" si="26"/>
        <v>0</v>
      </c>
      <c r="N105" s="711">
        <f t="shared" ca="1" si="27"/>
        <v>0</v>
      </c>
      <c r="O105" s="710">
        <f t="shared" ca="1" si="28"/>
        <v>0</v>
      </c>
    </row>
    <row r="106" spans="1:15" s="5" customFormat="1" ht="23.25" customHeight="1">
      <c r="A106" s="213" t="str">
        <f t="shared" ca="1" si="24"/>
        <v/>
      </c>
      <c r="B106" s="217" t="str">
        <f ca="1">IF(ROWS($1:90)&gt;COUNT(Dong14),"",OFFSET(TH!D$1,SMALL(Dong14,ROWS($1:90)),))</f>
        <v/>
      </c>
      <c r="C106" s="213" t="str">
        <f ca="1">IF(ROWS($1:90)&gt;COUNT(Dong14),"",OFFSET(TH!E$1,SMALL(Dong14,ROWS($1:90)),))</f>
        <v/>
      </c>
      <c r="D106" s="714" t="str">
        <f ca="1">IF(ROWS($1:90)&gt;COUNT(Dong14),"",OFFSET(TH!F$1,SMALL(Dong14,ROWS($1:90)),))</f>
        <v/>
      </c>
      <c r="E106" s="712" t="str">
        <f ca="1">IF(ROWS($1:90)&gt;COUNT(Dong14),"",IF(OFFSET(TH!N$1,SMALL(Dong14,ROWS($1:90)),)="131",OFFSET(TH!O$1,SMALL(Dong14,ROWS($1:90)),),OFFSET(TH!N$1,SMALL(Dong14,ROWS($1:90)),)))</f>
        <v/>
      </c>
      <c r="F106" s="712">
        <f ca="1">IF(ROWS($1:90)&gt;COUNT(Dong14),0,OFFSET(TH!L$1,SMALL(Dong14,ROWS($1:90)),))</f>
        <v>0</v>
      </c>
      <c r="G106" s="712"/>
      <c r="H106" s="1139">
        <f ca="1">IF(ROWS($1:90)&gt;COUNT(Dong14),0,IF(OFFSET(TH!N$1,SMALL(Dong14,ROWS($1:90)),)="131",OFFSET(TH!K$1,SMALL(Dong14,ROWS($1:90)),),0))</f>
        <v>0</v>
      </c>
      <c r="I106" s="712">
        <f ca="1">IF(ROWS($1:90)&gt;COUNT(Dong14),0,IF(OFFSET(TH!N$1,SMALL(Dong14,ROWS($1:90)),)="131",OFFSET(TH!M$1,SMALL(Dong14,ROWS($1:90)),),0))</f>
        <v>0</v>
      </c>
      <c r="J106" s="713">
        <f ca="1">IF(ROWS($1:90)&gt;COUNT(Dong14),0,IF(OFFSET(TH!O$1,SMALL(Dong14,ROWS($1:90)),)="131",OFFSET(TH!K$1,SMALL(Dong14,ROWS($1:90)),),0))</f>
        <v>0</v>
      </c>
      <c r="K106" s="712">
        <f ca="1">IF(ROWS($1:90)&gt;COUNT(Dong14),0,IF(OFFSET(TH!O$1,SMALL(Dong14,ROWS($1:90)),)="131",OFFSET(TH!M$1,SMALL(Dong14,ROWS($1:90)),),0))</f>
        <v>0</v>
      </c>
      <c r="L106" s="711">
        <f t="shared" ca="1" si="25"/>
        <v>0</v>
      </c>
      <c r="M106" s="710">
        <f t="shared" ca="1" si="26"/>
        <v>0</v>
      </c>
      <c r="N106" s="711">
        <f t="shared" ca="1" si="27"/>
        <v>0</v>
      </c>
      <c r="O106" s="710">
        <f t="shared" ca="1" si="28"/>
        <v>0</v>
      </c>
    </row>
    <row r="107" spans="1:15" s="5" customFormat="1" ht="23.25" customHeight="1">
      <c r="A107" s="213" t="str">
        <f t="shared" ref="A107:A170" ca="1" si="29">IF(C107&lt;&gt;"",C107,"")</f>
        <v/>
      </c>
      <c r="B107" s="217" t="str">
        <f ca="1">IF(ROWS($1:91)&gt;COUNT(Dong14),"",OFFSET(TH!D$1,SMALL(Dong14,ROWS($1:91)),))</f>
        <v/>
      </c>
      <c r="C107" s="213" t="str">
        <f ca="1">IF(ROWS($1:91)&gt;COUNT(Dong14),"",OFFSET(TH!E$1,SMALL(Dong14,ROWS($1:91)),))</f>
        <v/>
      </c>
      <c r="D107" s="714" t="str">
        <f ca="1">IF(ROWS($1:91)&gt;COUNT(Dong14),"",OFFSET(TH!F$1,SMALL(Dong14,ROWS($1:91)),))</f>
        <v/>
      </c>
      <c r="E107" s="712" t="str">
        <f ca="1">IF(ROWS($1:91)&gt;COUNT(Dong14),"",IF(OFFSET(TH!N$1,SMALL(Dong14,ROWS($1:91)),)="131",OFFSET(TH!O$1,SMALL(Dong14,ROWS($1:91)),),OFFSET(TH!N$1,SMALL(Dong14,ROWS($1:91)),)))</f>
        <v/>
      </c>
      <c r="F107" s="712">
        <f ca="1">IF(ROWS($1:91)&gt;COUNT(Dong14),0,OFFSET(TH!L$1,SMALL(Dong14,ROWS($1:91)),))</f>
        <v>0</v>
      </c>
      <c r="G107" s="712"/>
      <c r="H107" s="1139">
        <f ca="1">IF(ROWS($1:91)&gt;COUNT(Dong14),0,IF(OFFSET(TH!N$1,SMALL(Dong14,ROWS($1:91)),)="131",OFFSET(TH!K$1,SMALL(Dong14,ROWS($1:91)),),0))</f>
        <v>0</v>
      </c>
      <c r="I107" s="712">
        <f ca="1">IF(ROWS($1:91)&gt;COUNT(Dong14),0,IF(OFFSET(TH!N$1,SMALL(Dong14,ROWS($1:91)),)="131",OFFSET(TH!M$1,SMALL(Dong14,ROWS($1:91)),),0))</f>
        <v>0</v>
      </c>
      <c r="J107" s="713">
        <f ca="1">IF(ROWS($1:91)&gt;COUNT(Dong14),0,IF(OFFSET(TH!O$1,SMALL(Dong14,ROWS($1:91)),)="131",OFFSET(TH!K$1,SMALL(Dong14,ROWS($1:91)),),0))</f>
        <v>0</v>
      </c>
      <c r="K107" s="712">
        <f ca="1">IF(ROWS($1:91)&gt;COUNT(Dong14),0,IF(OFFSET(TH!O$1,SMALL(Dong14,ROWS($1:91)),)="131",OFFSET(TH!M$1,SMALL(Dong14,ROWS($1:91)),),0))</f>
        <v>0</v>
      </c>
      <c r="L107" s="711">
        <f t="shared" ref="L107:L170" ca="1" si="30">IF(D107&lt;&gt;"",ROUND(MAX(L106+H107-J107-N106,0),2),0)</f>
        <v>0</v>
      </c>
      <c r="M107" s="710">
        <f t="shared" ref="M107:M170" ca="1" si="31">IF(D107&lt;&gt;"",MAX(M106-O106+I107-K107,0),0)</f>
        <v>0</v>
      </c>
      <c r="N107" s="711">
        <f t="shared" ref="N107:N170" ca="1" si="32">IF(D107&lt;&gt;"",ROUND(MAX(N106+J107-H107-L106,0),2),0)</f>
        <v>0</v>
      </c>
      <c r="O107" s="710">
        <f t="shared" ref="O107:O170" ca="1" si="33">IF(D107&lt;&gt;"",MAX(O106-M106+K107-I107,0),0)</f>
        <v>0</v>
      </c>
    </row>
    <row r="108" spans="1:15" s="5" customFormat="1" ht="23.25" customHeight="1">
      <c r="A108" s="213" t="str">
        <f t="shared" ca="1" si="29"/>
        <v/>
      </c>
      <c r="B108" s="217" t="str">
        <f ca="1">IF(ROWS($1:92)&gt;COUNT(Dong14),"",OFFSET(TH!D$1,SMALL(Dong14,ROWS($1:92)),))</f>
        <v/>
      </c>
      <c r="C108" s="213" t="str">
        <f ca="1">IF(ROWS($1:92)&gt;COUNT(Dong14),"",OFFSET(TH!E$1,SMALL(Dong14,ROWS($1:92)),))</f>
        <v/>
      </c>
      <c r="D108" s="714" t="str">
        <f ca="1">IF(ROWS($1:92)&gt;COUNT(Dong14),"",OFFSET(TH!F$1,SMALL(Dong14,ROWS($1:92)),))</f>
        <v/>
      </c>
      <c r="E108" s="712" t="str">
        <f ca="1">IF(ROWS($1:92)&gt;COUNT(Dong14),"",IF(OFFSET(TH!N$1,SMALL(Dong14,ROWS($1:92)),)="131",OFFSET(TH!O$1,SMALL(Dong14,ROWS($1:92)),),OFFSET(TH!N$1,SMALL(Dong14,ROWS($1:92)),)))</f>
        <v/>
      </c>
      <c r="F108" s="712">
        <f ca="1">IF(ROWS($1:92)&gt;COUNT(Dong14),0,OFFSET(TH!L$1,SMALL(Dong14,ROWS($1:92)),))</f>
        <v>0</v>
      </c>
      <c r="G108" s="712"/>
      <c r="H108" s="1139">
        <f ca="1">IF(ROWS($1:92)&gt;COUNT(Dong14),0,IF(OFFSET(TH!N$1,SMALL(Dong14,ROWS($1:92)),)="131",OFFSET(TH!K$1,SMALL(Dong14,ROWS($1:92)),),0))</f>
        <v>0</v>
      </c>
      <c r="I108" s="712">
        <f ca="1">IF(ROWS($1:92)&gt;COUNT(Dong14),0,IF(OFFSET(TH!N$1,SMALL(Dong14,ROWS($1:92)),)="131",OFFSET(TH!M$1,SMALL(Dong14,ROWS($1:92)),),0))</f>
        <v>0</v>
      </c>
      <c r="J108" s="713">
        <f ca="1">IF(ROWS($1:92)&gt;COUNT(Dong14),0,IF(OFFSET(TH!O$1,SMALL(Dong14,ROWS($1:92)),)="131",OFFSET(TH!K$1,SMALL(Dong14,ROWS($1:92)),),0))</f>
        <v>0</v>
      </c>
      <c r="K108" s="712">
        <f ca="1">IF(ROWS($1:92)&gt;COUNT(Dong14),0,IF(OFFSET(TH!O$1,SMALL(Dong14,ROWS($1:92)),)="131",OFFSET(TH!M$1,SMALL(Dong14,ROWS($1:92)),),0))</f>
        <v>0</v>
      </c>
      <c r="L108" s="711">
        <f t="shared" ca="1" si="30"/>
        <v>0</v>
      </c>
      <c r="M108" s="710">
        <f t="shared" ca="1" si="31"/>
        <v>0</v>
      </c>
      <c r="N108" s="711">
        <f t="shared" ca="1" si="32"/>
        <v>0</v>
      </c>
      <c r="O108" s="710">
        <f t="shared" ca="1" si="33"/>
        <v>0</v>
      </c>
    </row>
    <row r="109" spans="1:15" s="5" customFormat="1" ht="23.25" customHeight="1">
      <c r="A109" s="213" t="str">
        <f t="shared" ca="1" si="29"/>
        <v/>
      </c>
      <c r="B109" s="217" t="str">
        <f ca="1">IF(ROWS($1:93)&gt;COUNT(Dong14),"",OFFSET(TH!D$1,SMALL(Dong14,ROWS($1:93)),))</f>
        <v/>
      </c>
      <c r="C109" s="213" t="str">
        <f ca="1">IF(ROWS($1:93)&gt;COUNT(Dong14),"",OFFSET(TH!E$1,SMALL(Dong14,ROWS($1:93)),))</f>
        <v/>
      </c>
      <c r="D109" s="714" t="str">
        <f ca="1">IF(ROWS($1:93)&gt;COUNT(Dong14),"",OFFSET(TH!F$1,SMALL(Dong14,ROWS($1:93)),))</f>
        <v/>
      </c>
      <c r="E109" s="712" t="str">
        <f ca="1">IF(ROWS($1:93)&gt;COUNT(Dong14),"",IF(OFFSET(TH!N$1,SMALL(Dong14,ROWS($1:93)),)="131",OFFSET(TH!O$1,SMALL(Dong14,ROWS($1:93)),),OFFSET(TH!N$1,SMALL(Dong14,ROWS($1:93)),)))</f>
        <v/>
      </c>
      <c r="F109" s="712">
        <f ca="1">IF(ROWS($1:93)&gt;COUNT(Dong14),0,OFFSET(TH!L$1,SMALL(Dong14,ROWS($1:93)),))</f>
        <v>0</v>
      </c>
      <c r="G109" s="712"/>
      <c r="H109" s="1139">
        <f ca="1">IF(ROWS($1:93)&gt;COUNT(Dong14),0,IF(OFFSET(TH!N$1,SMALL(Dong14,ROWS($1:93)),)="131",OFFSET(TH!K$1,SMALL(Dong14,ROWS($1:93)),),0))</f>
        <v>0</v>
      </c>
      <c r="I109" s="712">
        <f ca="1">IF(ROWS($1:93)&gt;COUNT(Dong14),0,IF(OFFSET(TH!N$1,SMALL(Dong14,ROWS($1:93)),)="131",OFFSET(TH!M$1,SMALL(Dong14,ROWS($1:93)),),0))</f>
        <v>0</v>
      </c>
      <c r="J109" s="713">
        <f ca="1">IF(ROWS($1:93)&gt;COUNT(Dong14),0,IF(OFFSET(TH!O$1,SMALL(Dong14,ROWS($1:93)),)="131",OFFSET(TH!K$1,SMALL(Dong14,ROWS($1:93)),),0))</f>
        <v>0</v>
      </c>
      <c r="K109" s="712">
        <f ca="1">IF(ROWS($1:93)&gt;COUNT(Dong14),0,IF(OFFSET(TH!O$1,SMALL(Dong14,ROWS($1:93)),)="131",OFFSET(TH!M$1,SMALL(Dong14,ROWS($1:93)),),0))</f>
        <v>0</v>
      </c>
      <c r="L109" s="711">
        <f t="shared" ca="1" si="30"/>
        <v>0</v>
      </c>
      <c r="M109" s="710">
        <f t="shared" ca="1" si="31"/>
        <v>0</v>
      </c>
      <c r="N109" s="711">
        <f t="shared" ca="1" si="32"/>
        <v>0</v>
      </c>
      <c r="O109" s="710">
        <f t="shared" ca="1" si="33"/>
        <v>0</v>
      </c>
    </row>
    <row r="110" spans="1:15" s="5" customFormat="1" ht="23.25" customHeight="1">
      <c r="A110" s="213" t="str">
        <f t="shared" ca="1" si="29"/>
        <v/>
      </c>
      <c r="B110" s="217" t="str">
        <f ca="1">IF(ROWS($1:94)&gt;COUNT(Dong14),"",OFFSET(TH!D$1,SMALL(Dong14,ROWS($1:94)),))</f>
        <v/>
      </c>
      <c r="C110" s="213" t="str">
        <f ca="1">IF(ROWS($1:94)&gt;COUNT(Dong14),"",OFFSET(TH!E$1,SMALL(Dong14,ROWS($1:94)),))</f>
        <v/>
      </c>
      <c r="D110" s="714" t="str">
        <f ca="1">IF(ROWS($1:94)&gt;COUNT(Dong14),"",OFFSET(TH!F$1,SMALL(Dong14,ROWS($1:94)),))</f>
        <v/>
      </c>
      <c r="E110" s="712" t="str">
        <f ca="1">IF(ROWS($1:94)&gt;COUNT(Dong14),"",IF(OFFSET(TH!N$1,SMALL(Dong14,ROWS($1:94)),)="131",OFFSET(TH!O$1,SMALL(Dong14,ROWS($1:94)),),OFFSET(TH!N$1,SMALL(Dong14,ROWS($1:94)),)))</f>
        <v/>
      </c>
      <c r="F110" s="712">
        <f ca="1">IF(ROWS($1:94)&gt;COUNT(Dong14),0,OFFSET(TH!L$1,SMALL(Dong14,ROWS($1:94)),))</f>
        <v>0</v>
      </c>
      <c r="G110" s="712"/>
      <c r="H110" s="1139">
        <f ca="1">IF(ROWS($1:94)&gt;COUNT(Dong14),0,IF(OFFSET(TH!N$1,SMALL(Dong14,ROWS($1:94)),)="131",OFFSET(TH!K$1,SMALL(Dong14,ROWS($1:94)),),0))</f>
        <v>0</v>
      </c>
      <c r="I110" s="712">
        <f ca="1">IF(ROWS($1:94)&gt;COUNT(Dong14),0,IF(OFFSET(TH!N$1,SMALL(Dong14,ROWS($1:94)),)="131",OFFSET(TH!M$1,SMALL(Dong14,ROWS($1:94)),),0))</f>
        <v>0</v>
      </c>
      <c r="J110" s="713">
        <f ca="1">IF(ROWS($1:94)&gt;COUNT(Dong14),0,IF(OFFSET(TH!O$1,SMALL(Dong14,ROWS($1:94)),)="131",OFFSET(TH!K$1,SMALL(Dong14,ROWS($1:94)),),0))</f>
        <v>0</v>
      </c>
      <c r="K110" s="712">
        <f ca="1">IF(ROWS($1:94)&gt;COUNT(Dong14),0,IF(OFFSET(TH!O$1,SMALL(Dong14,ROWS($1:94)),)="131",OFFSET(TH!M$1,SMALL(Dong14,ROWS($1:94)),),0))</f>
        <v>0</v>
      </c>
      <c r="L110" s="711">
        <f t="shared" ca="1" si="30"/>
        <v>0</v>
      </c>
      <c r="M110" s="710">
        <f t="shared" ca="1" si="31"/>
        <v>0</v>
      </c>
      <c r="N110" s="711">
        <f t="shared" ca="1" si="32"/>
        <v>0</v>
      </c>
      <c r="O110" s="710">
        <f t="shared" ca="1" si="33"/>
        <v>0</v>
      </c>
    </row>
    <row r="111" spans="1:15" s="5" customFormat="1" ht="23.25" customHeight="1">
      <c r="A111" s="213" t="str">
        <f t="shared" ca="1" si="29"/>
        <v/>
      </c>
      <c r="B111" s="217" t="str">
        <f ca="1">IF(ROWS($1:95)&gt;COUNT(Dong14),"",OFFSET(TH!D$1,SMALL(Dong14,ROWS($1:95)),))</f>
        <v/>
      </c>
      <c r="C111" s="213" t="str">
        <f ca="1">IF(ROWS($1:95)&gt;COUNT(Dong14),"",OFFSET(TH!E$1,SMALL(Dong14,ROWS($1:95)),))</f>
        <v/>
      </c>
      <c r="D111" s="714" t="str">
        <f ca="1">IF(ROWS($1:95)&gt;COUNT(Dong14),"",OFFSET(TH!F$1,SMALL(Dong14,ROWS($1:95)),))</f>
        <v/>
      </c>
      <c r="E111" s="712" t="str">
        <f ca="1">IF(ROWS($1:95)&gt;COUNT(Dong14),"",IF(OFFSET(TH!N$1,SMALL(Dong14,ROWS($1:95)),)="131",OFFSET(TH!O$1,SMALL(Dong14,ROWS($1:95)),),OFFSET(TH!N$1,SMALL(Dong14,ROWS($1:95)),)))</f>
        <v/>
      </c>
      <c r="F111" s="712">
        <f ca="1">IF(ROWS($1:95)&gt;COUNT(Dong14),0,OFFSET(TH!L$1,SMALL(Dong14,ROWS($1:95)),))</f>
        <v>0</v>
      </c>
      <c r="G111" s="712"/>
      <c r="H111" s="1139">
        <f ca="1">IF(ROWS($1:95)&gt;COUNT(Dong14),0,IF(OFFSET(TH!N$1,SMALL(Dong14,ROWS($1:95)),)="131",OFFSET(TH!K$1,SMALL(Dong14,ROWS($1:95)),),0))</f>
        <v>0</v>
      </c>
      <c r="I111" s="712">
        <f ca="1">IF(ROWS($1:95)&gt;COUNT(Dong14),0,IF(OFFSET(TH!N$1,SMALL(Dong14,ROWS($1:95)),)="131",OFFSET(TH!M$1,SMALL(Dong14,ROWS($1:95)),),0))</f>
        <v>0</v>
      </c>
      <c r="J111" s="713">
        <f ca="1">IF(ROWS($1:95)&gt;COUNT(Dong14),0,IF(OFFSET(TH!O$1,SMALL(Dong14,ROWS($1:95)),)="131",OFFSET(TH!K$1,SMALL(Dong14,ROWS($1:95)),),0))</f>
        <v>0</v>
      </c>
      <c r="K111" s="712">
        <f ca="1">IF(ROWS($1:95)&gt;COUNT(Dong14),0,IF(OFFSET(TH!O$1,SMALL(Dong14,ROWS($1:95)),)="131",OFFSET(TH!M$1,SMALL(Dong14,ROWS($1:95)),),0))</f>
        <v>0</v>
      </c>
      <c r="L111" s="711">
        <f t="shared" ca="1" si="30"/>
        <v>0</v>
      </c>
      <c r="M111" s="710">
        <f t="shared" ca="1" si="31"/>
        <v>0</v>
      </c>
      <c r="N111" s="711">
        <f t="shared" ca="1" si="32"/>
        <v>0</v>
      </c>
      <c r="O111" s="710">
        <f t="shared" ca="1" si="33"/>
        <v>0</v>
      </c>
    </row>
    <row r="112" spans="1:15" s="5" customFormat="1" ht="23.25" customHeight="1">
      <c r="A112" s="213" t="str">
        <f t="shared" ca="1" si="29"/>
        <v/>
      </c>
      <c r="B112" s="217" t="str">
        <f ca="1">IF(ROWS($1:96)&gt;COUNT(Dong14),"",OFFSET(TH!D$1,SMALL(Dong14,ROWS($1:96)),))</f>
        <v/>
      </c>
      <c r="C112" s="213" t="str">
        <f ca="1">IF(ROWS($1:96)&gt;COUNT(Dong14),"",OFFSET(TH!E$1,SMALL(Dong14,ROWS($1:96)),))</f>
        <v/>
      </c>
      <c r="D112" s="714" t="str">
        <f ca="1">IF(ROWS($1:96)&gt;COUNT(Dong14),"",OFFSET(TH!F$1,SMALL(Dong14,ROWS($1:96)),))</f>
        <v/>
      </c>
      <c r="E112" s="712" t="str">
        <f ca="1">IF(ROWS($1:96)&gt;COUNT(Dong14),"",IF(OFFSET(TH!N$1,SMALL(Dong14,ROWS($1:96)),)="131",OFFSET(TH!O$1,SMALL(Dong14,ROWS($1:96)),),OFFSET(TH!N$1,SMALL(Dong14,ROWS($1:96)),)))</f>
        <v/>
      </c>
      <c r="F112" s="712">
        <f ca="1">IF(ROWS($1:96)&gt;COUNT(Dong14),0,OFFSET(TH!L$1,SMALL(Dong14,ROWS($1:96)),))</f>
        <v>0</v>
      </c>
      <c r="G112" s="712"/>
      <c r="H112" s="1139">
        <f ca="1">IF(ROWS($1:96)&gt;COUNT(Dong14),0,IF(OFFSET(TH!N$1,SMALL(Dong14,ROWS($1:96)),)="131",OFFSET(TH!K$1,SMALL(Dong14,ROWS($1:96)),),0))</f>
        <v>0</v>
      </c>
      <c r="I112" s="712">
        <f ca="1">IF(ROWS($1:96)&gt;COUNT(Dong14),0,IF(OFFSET(TH!N$1,SMALL(Dong14,ROWS($1:96)),)="131",OFFSET(TH!M$1,SMALL(Dong14,ROWS($1:96)),),0))</f>
        <v>0</v>
      </c>
      <c r="J112" s="713">
        <f ca="1">IF(ROWS($1:96)&gt;COUNT(Dong14),0,IF(OFFSET(TH!O$1,SMALL(Dong14,ROWS($1:96)),)="131",OFFSET(TH!K$1,SMALL(Dong14,ROWS($1:96)),),0))</f>
        <v>0</v>
      </c>
      <c r="K112" s="712">
        <f ca="1">IF(ROWS($1:96)&gt;COUNT(Dong14),0,IF(OFFSET(TH!O$1,SMALL(Dong14,ROWS($1:96)),)="131",OFFSET(TH!M$1,SMALL(Dong14,ROWS($1:96)),),0))</f>
        <v>0</v>
      </c>
      <c r="L112" s="711">
        <f t="shared" ca="1" si="30"/>
        <v>0</v>
      </c>
      <c r="M112" s="710">
        <f t="shared" ca="1" si="31"/>
        <v>0</v>
      </c>
      <c r="N112" s="711">
        <f t="shared" ca="1" si="32"/>
        <v>0</v>
      </c>
      <c r="O112" s="710">
        <f t="shared" ca="1" si="33"/>
        <v>0</v>
      </c>
    </row>
    <row r="113" spans="1:15" s="5" customFormat="1" ht="23.25" customHeight="1">
      <c r="A113" s="213" t="str">
        <f t="shared" ca="1" si="29"/>
        <v/>
      </c>
      <c r="B113" s="217" t="str">
        <f ca="1">IF(ROWS($1:97)&gt;COUNT(Dong14),"",OFFSET(TH!D$1,SMALL(Dong14,ROWS($1:97)),))</f>
        <v/>
      </c>
      <c r="C113" s="213" t="str">
        <f ca="1">IF(ROWS($1:97)&gt;COUNT(Dong14),"",OFFSET(TH!E$1,SMALL(Dong14,ROWS($1:97)),))</f>
        <v/>
      </c>
      <c r="D113" s="714" t="str">
        <f ca="1">IF(ROWS($1:97)&gt;COUNT(Dong14),"",OFFSET(TH!F$1,SMALL(Dong14,ROWS($1:97)),))</f>
        <v/>
      </c>
      <c r="E113" s="712" t="str">
        <f ca="1">IF(ROWS($1:97)&gt;COUNT(Dong14),"",IF(OFFSET(TH!N$1,SMALL(Dong14,ROWS($1:97)),)="131",OFFSET(TH!O$1,SMALL(Dong14,ROWS($1:97)),),OFFSET(TH!N$1,SMALL(Dong14,ROWS($1:97)),)))</f>
        <v/>
      </c>
      <c r="F113" s="712">
        <f ca="1">IF(ROWS($1:97)&gt;COUNT(Dong14),0,OFFSET(TH!L$1,SMALL(Dong14,ROWS($1:97)),))</f>
        <v>0</v>
      </c>
      <c r="G113" s="712"/>
      <c r="H113" s="1139">
        <f ca="1">IF(ROWS($1:97)&gt;COUNT(Dong14),0,IF(OFFSET(TH!N$1,SMALL(Dong14,ROWS($1:97)),)="131",OFFSET(TH!K$1,SMALL(Dong14,ROWS($1:97)),),0))</f>
        <v>0</v>
      </c>
      <c r="I113" s="712">
        <f ca="1">IF(ROWS($1:97)&gt;COUNT(Dong14),0,IF(OFFSET(TH!N$1,SMALL(Dong14,ROWS($1:97)),)="131",OFFSET(TH!M$1,SMALL(Dong14,ROWS($1:97)),),0))</f>
        <v>0</v>
      </c>
      <c r="J113" s="713">
        <f ca="1">IF(ROWS($1:97)&gt;COUNT(Dong14),0,IF(OFFSET(TH!O$1,SMALL(Dong14,ROWS($1:97)),)="131",OFFSET(TH!K$1,SMALL(Dong14,ROWS($1:97)),),0))</f>
        <v>0</v>
      </c>
      <c r="K113" s="712">
        <f ca="1">IF(ROWS($1:97)&gt;COUNT(Dong14),0,IF(OFFSET(TH!O$1,SMALL(Dong14,ROWS($1:97)),)="131",OFFSET(TH!M$1,SMALL(Dong14,ROWS($1:97)),),0))</f>
        <v>0</v>
      </c>
      <c r="L113" s="711">
        <f t="shared" ca="1" si="30"/>
        <v>0</v>
      </c>
      <c r="M113" s="710">
        <f t="shared" ca="1" si="31"/>
        <v>0</v>
      </c>
      <c r="N113" s="711">
        <f t="shared" ca="1" si="32"/>
        <v>0</v>
      </c>
      <c r="O113" s="710">
        <f t="shared" ca="1" si="33"/>
        <v>0</v>
      </c>
    </row>
    <row r="114" spans="1:15" s="5" customFormat="1" ht="23.25" customHeight="1">
      <c r="A114" s="213" t="str">
        <f t="shared" ca="1" si="29"/>
        <v/>
      </c>
      <c r="B114" s="217" t="str">
        <f ca="1">IF(ROWS($1:98)&gt;COUNT(Dong14),"",OFFSET(TH!D$1,SMALL(Dong14,ROWS($1:98)),))</f>
        <v/>
      </c>
      <c r="C114" s="213" t="str">
        <f ca="1">IF(ROWS($1:98)&gt;COUNT(Dong14),"",OFFSET(TH!E$1,SMALL(Dong14,ROWS($1:98)),))</f>
        <v/>
      </c>
      <c r="D114" s="714" t="str">
        <f ca="1">IF(ROWS($1:98)&gt;COUNT(Dong14),"",OFFSET(TH!F$1,SMALL(Dong14,ROWS($1:98)),))</f>
        <v/>
      </c>
      <c r="E114" s="712" t="str">
        <f ca="1">IF(ROWS($1:98)&gt;COUNT(Dong14),"",IF(OFFSET(TH!N$1,SMALL(Dong14,ROWS($1:98)),)="131",OFFSET(TH!O$1,SMALL(Dong14,ROWS($1:98)),),OFFSET(TH!N$1,SMALL(Dong14,ROWS($1:98)),)))</f>
        <v/>
      </c>
      <c r="F114" s="712">
        <f ca="1">IF(ROWS($1:98)&gt;COUNT(Dong14),0,OFFSET(TH!L$1,SMALL(Dong14,ROWS($1:98)),))</f>
        <v>0</v>
      </c>
      <c r="G114" s="712"/>
      <c r="H114" s="1139">
        <f ca="1">IF(ROWS($1:98)&gt;COUNT(Dong14),0,IF(OFFSET(TH!N$1,SMALL(Dong14,ROWS($1:98)),)="131",OFFSET(TH!K$1,SMALL(Dong14,ROWS($1:98)),),0))</f>
        <v>0</v>
      </c>
      <c r="I114" s="712">
        <f ca="1">IF(ROWS($1:98)&gt;COUNT(Dong14),0,IF(OFFSET(TH!N$1,SMALL(Dong14,ROWS($1:98)),)="131",OFFSET(TH!M$1,SMALL(Dong14,ROWS($1:98)),),0))</f>
        <v>0</v>
      </c>
      <c r="J114" s="713">
        <f ca="1">IF(ROWS($1:98)&gt;COUNT(Dong14),0,IF(OFFSET(TH!O$1,SMALL(Dong14,ROWS($1:98)),)="131",OFFSET(TH!K$1,SMALL(Dong14,ROWS($1:98)),),0))</f>
        <v>0</v>
      </c>
      <c r="K114" s="712">
        <f ca="1">IF(ROWS($1:98)&gt;COUNT(Dong14),0,IF(OFFSET(TH!O$1,SMALL(Dong14,ROWS($1:98)),)="131",OFFSET(TH!M$1,SMALL(Dong14,ROWS($1:98)),),0))</f>
        <v>0</v>
      </c>
      <c r="L114" s="711">
        <f t="shared" ca="1" si="30"/>
        <v>0</v>
      </c>
      <c r="M114" s="710">
        <f t="shared" ca="1" si="31"/>
        <v>0</v>
      </c>
      <c r="N114" s="711">
        <f t="shared" ca="1" si="32"/>
        <v>0</v>
      </c>
      <c r="O114" s="710">
        <f t="shared" ca="1" si="33"/>
        <v>0</v>
      </c>
    </row>
    <row r="115" spans="1:15" s="5" customFormat="1" ht="23.25" customHeight="1">
      <c r="A115" s="213" t="str">
        <f t="shared" ca="1" si="29"/>
        <v/>
      </c>
      <c r="B115" s="217" t="str">
        <f ca="1">IF(ROWS($1:99)&gt;COUNT(Dong14),"",OFFSET(TH!D$1,SMALL(Dong14,ROWS($1:99)),))</f>
        <v/>
      </c>
      <c r="C115" s="213" t="str">
        <f ca="1">IF(ROWS($1:99)&gt;COUNT(Dong14),"",OFFSET(TH!E$1,SMALL(Dong14,ROWS($1:99)),))</f>
        <v/>
      </c>
      <c r="D115" s="714" t="str">
        <f ca="1">IF(ROWS($1:99)&gt;COUNT(Dong14),"",OFFSET(TH!F$1,SMALL(Dong14,ROWS($1:99)),))</f>
        <v/>
      </c>
      <c r="E115" s="712" t="str">
        <f ca="1">IF(ROWS($1:99)&gt;COUNT(Dong14),"",IF(OFFSET(TH!N$1,SMALL(Dong14,ROWS($1:99)),)="131",OFFSET(TH!O$1,SMALL(Dong14,ROWS($1:99)),),OFFSET(TH!N$1,SMALL(Dong14,ROWS($1:99)),)))</f>
        <v/>
      </c>
      <c r="F115" s="712">
        <f ca="1">IF(ROWS($1:99)&gt;COUNT(Dong14),0,OFFSET(TH!L$1,SMALL(Dong14,ROWS($1:99)),))</f>
        <v>0</v>
      </c>
      <c r="G115" s="712"/>
      <c r="H115" s="1139">
        <f ca="1">IF(ROWS($1:99)&gt;COUNT(Dong14),0,IF(OFFSET(TH!N$1,SMALL(Dong14,ROWS($1:99)),)="131",OFFSET(TH!K$1,SMALL(Dong14,ROWS($1:99)),),0))</f>
        <v>0</v>
      </c>
      <c r="I115" s="712">
        <f ca="1">IF(ROWS($1:99)&gt;COUNT(Dong14),0,IF(OFFSET(TH!N$1,SMALL(Dong14,ROWS($1:99)),)="131",OFFSET(TH!M$1,SMALL(Dong14,ROWS($1:99)),),0))</f>
        <v>0</v>
      </c>
      <c r="J115" s="713">
        <f ca="1">IF(ROWS($1:99)&gt;COUNT(Dong14),0,IF(OFFSET(TH!O$1,SMALL(Dong14,ROWS($1:99)),)="131",OFFSET(TH!K$1,SMALL(Dong14,ROWS($1:99)),),0))</f>
        <v>0</v>
      </c>
      <c r="K115" s="712">
        <f ca="1">IF(ROWS($1:99)&gt;COUNT(Dong14),0,IF(OFFSET(TH!O$1,SMALL(Dong14,ROWS($1:99)),)="131",OFFSET(TH!M$1,SMALL(Dong14,ROWS($1:99)),),0))</f>
        <v>0</v>
      </c>
      <c r="L115" s="711">
        <f t="shared" ca="1" si="30"/>
        <v>0</v>
      </c>
      <c r="M115" s="710">
        <f t="shared" ca="1" si="31"/>
        <v>0</v>
      </c>
      <c r="N115" s="711">
        <f t="shared" ca="1" si="32"/>
        <v>0</v>
      </c>
      <c r="O115" s="710">
        <f t="shared" ca="1" si="33"/>
        <v>0</v>
      </c>
    </row>
    <row r="116" spans="1:15" s="5" customFormat="1" ht="23.25" customHeight="1">
      <c r="A116" s="213" t="str">
        <f t="shared" ca="1" si="29"/>
        <v/>
      </c>
      <c r="B116" s="217" t="str">
        <f ca="1">IF(ROWS($1:100)&gt;COUNT(Dong14),"",OFFSET(TH!D$1,SMALL(Dong14,ROWS($1:100)),))</f>
        <v/>
      </c>
      <c r="C116" s="213" t="str">
        <f ca="1">IF(ROWS($1:100)&gt;COUNT(Dong14),"",OFFSET(TH!E$1,SMALL(Dong14,ROWS($1:100)),))</f>
        <v/>
      </c>
      <c r="D116" s="714" t="str">
        <f ca="1">IF(ROWS($1:100)&gt;COUNT(Dong14),"",OFFSET(TH!F$1,SMALL(Dong14,ROWS($1:100)),))</f>
        <v/>
      </c>
      <c r="E116" s="712" t="str">
        <f ca="1">IF(ROWS($1:100)&gt;COUNT(Dong14),"",IF(OFFSET(TH!N$1,SMALL(Dong14,ROWS($1:100)),)="131",OFFSET(TH!O$1,SMALL(Dong14,ROWS($1:100)),),OFFSET(TH!N$1,SMALL(Dong14,ROWS($1:100)),)))</f>
        <v/>
      </c>
      <c r="F116" s="712">
        <f ca="1">IF(ROWS($1:100)&gt;COUNT(Dong14),0,OFFSET(TH!L$1,SMALL(Dong14,ROWS($1:100)),))</f>
        <v>0</v>
      </c>
      <c r="G116" s="712"/>
      <c r="H116" s="1139">
        <f ca="1">IF(ROWS($1:100)&gt;COUNT(Dong14),0,IF(OFFSET(TH!N$1,SMALL(Dong14,ROWS($1:100)),)="131",OFFSET(TH!K$1,SMALL(Dong14,ROWS($1:100)),),0))</f>
        <v>0</v>
      </c>
      <c r="I116" s="712">
        <f ca="1">IF(ROWS($1:100)&gt;COUNT(Dong14),0,IF(OFFSET(TH!N$1,SMALL(Dong14,ROWS($1:100)),)="131",OFFSET(TH!M$1,SMALL(Dong14,ROWS($1:100)),),0))</f>
        <v>0</v>
      </c>
      <c r="J116" s="713">
        <f ca="1">IF(ROWS($1:100)&gt;COUNT(Dong14),0,IF(OFFSET(TH!O$1,SMALL(Dong14,ROWS($1:100)),)="131",OFFSET(TH!K$1,SMALL(Dong14,ROWS($1:100)),),0))</f>
        <v>0</v>
      </c>
      <c r="K116" s="712">
        <f ca="1">IF(ROWS($1:100)&gt;COUNT(Dong14),0,IF(OFFSET(TH!O$1,SMALL(Dong14,ROWS($1:100)),)="131",OFFSET(TH!M$1,SMALL(Dong14,ROWS($1:100)),),0))</f>
        <v>0</v>
      </c>
      <c r="L116" s="711">
        <f t="shared" ca="1" si="30"/>
        <v>0</v>
      </c>
      <c r="M116" s="710">
        <f t="shared" ca="1" si="31"/>
        <v>0</v>
      </c>
      <c r="N116" s="711">
        <f t="shared" ca="1" si="32"/>
        <v>0</v>
      </c>
      <c r="O116" s="710">
        <f t="shared" ca="1" si="33"/>
        <v>0</v>
      </c>
    </row>
    <row r="117" spans="1:15" s="5" customFormat="1" ht="23.25" customHeight="1">
      <c r="A117" s="213" t="str">
        <f t="shared" ca="1" si="29"/>
        <v/>
      </c>
      <c r="B117" s="217" t="str">
        <f ca="1">IF(ROWS($1:101)&gt;COUNT(Dong14),"",OFFSET(TH!D$1,SMALL(Dong14,ROWS($1:101)),))</f>
        <v/>
      </c>
      <c r="C117" s="213" t="str">
        <f ca="1">IF(ROWS($1:101)&gt;COUNT(Dong14),"",OFFSET(TH!E$1,SMALL(Dong14,ROWS($1:101)),))</f>
        <v/>
      </c>
      <c r="D117" s="714" t="str">
        <f ca="1">IF(ROWS($1:101)&gt;COUNT(Dong14),"",OFFSET(TH!F$1,SMALL(Dong14,ROWS($1:101)),))</f>
        <v/>
      </c>
      <c r="E117" s="712" t="str">
        <f ca="1">IF(ROWS($1:101)&gt;COUNT(Dong14),"",IF(OFFSET(TH!N$1,SMALL(Dong14,ROWS($1:101)),)="131",OFFSET(TH!O$1,SMALL(Dong14,ROWS($1:101)),),OFFSET(TH!N$1,SMALL(Dong14,ROWS($1:101)),)))</f>
        <v/>
      </c>
      <c r="F117" s="712">
        <f ca="1">IF(ROWS($1:101)&gt;COUNT(Dong14),0,OFFSET(TH!L$1,SMALL(Dong14,ROWS($1:101)),))</f>
        <v>0</v>
      </c>
      <c r="G117" s="712"/>
      <c r="H117" s="1139">
        <f ca="1">IF(ROWS($1:101)&gt;COUNT(Dong14),0,IF(OFFSET(TH!N$1,SMALL(Dong14,ROWS($1:101)),)="131",OFFSET(TH!K$1,SMALL(Dong14,ROWS($1:101)),),0))</f>
        <v>0</v>
      </c>
      <c r="I117" s="712">
        <f ca="1">IF(ROWS($1:101)&gt;COUNT(Dong14),0,IF(OFFSET(TH!N$1,SMALL(Dong14,ROWS($1:101)),)="131",OFFSET(TH!M$1,SMALL(Dong14,ROWS($1:101)),),0))</f>
        <v>0</v>
      </c>
      <c r="J117" s="713">
        <f ca="1">IF(ROWS($1:101)&gt;COUNT(Dong14),0,IF(OFFSET(TH!O$1,SMALL(Dong14,ROWS($1:101)),)="131",OFFSET(TH!K$1,SMALL(Dong14,ROWS($1:101)),),0))</f>
        <v>0</v>
      </c>
      <c r="K117" s="712">
        <f ca="1">IF(ROWS($1:101)&gt;COUNT(Dong14),0,IF(OFFSET(TH!O$1,SMALL(Dong14,ROWS($1:101)),)="131",OFFSET(TH!M$1,SMALL(Dong14,ROWS($1:101)),),0))</f>
        <v>0</v>
      </c>
      <c r="L117" s="711">
        <f t="shared" ca="1" si="30"/>
        <v>0</v>
      </c>
      <c r="M117" s="710">
        <f t="shared" ca="1" si="31"/>
        <v>0</v>
      </c>
      <c r="N117" s="711">
        <f t="shared" ca="1" si="32"/>
        <v>0</v>
      </c>
      <c r="O117" s="710">
        <f t="shared" ca="1" si="33"/>
        <v>0</v>
      </c>
    </row>
    <row r="118" spans="1:15" s="5" customFormat="1" ht="23.25" customHeight="1">
      <c r="A118" s="213" t="str">
        <f t="shared" ca="1" si="29"/>
        <v/>
      </c>
      <c r="B118" s="217" t="str">
        <f ca="1">IF(ROWS($1:102)&gt;COUNT(Dong14),"",OFFSET(TH!D$1,SMALL(Dong14,ROWS($1:102)),))</f>
        <v/>
      </c>
      <c r="C118" s="213" t="str">
        <f ca="1">IF(ROWS($1:102)&gt;COUNT(Dong14),"",OFFSET(TH!E$1,SMALL(Dong14,ROWS($1:102)),))</f>
        <v/>
      </c>
      <c r="D118" s="714" t="str">
        <f ca="1">IF(ROWS($1:102)&gt;COUNT(Dong14),"",OFFSET(TH!F$1,SMALL(Dong14,ROWS($1:102)),))</f>
        <v/>
      </c>
      <c r="E118" s="712" t="str">
        <f ca="1">IF(ROWS($1:102)&gt;COUNT(Dong14),"",IF(OFFSET(TH!N$1,SMALL(Dong14,ROWS($1:102)),)="131",OFFSET(TH!O$1,SMALL(Dong14,ROWS($1:102)),),OFFSET(TH!N$1,SMALL(Dong14,ROWS($1:102)),)))</f>
        <v/>
      </c>
      <c r="F118" s="712">
        <f ca="1">IF(ROWS($1:102)&gt;COUNT(Dong14),0,OFFSET(TH!L$1,SMALL(Dong14,ROWS($1:102)),))</f>
        <v>0</v>
      </c>
      <c r="G118" s="712"/>
      <c r="H118" s="1139">
        <f ca="1">IF(ROWS($1:102)&gt;COUNT(Dong14),0,IF(OFFSET(TH!N$1,SMALL(Dong14,ROWS($1:102)),)="131",OFFSET(TH!K$1,SMALL(Dong14,ROWS($1:102)),),0))</f>
        <v>0</v>
      </c>
      <c r="I118" s="712">
        <f ca="1">IF(ROWS($1:102)&gt;COUNT(Dong14),0,IF(OFFSET(TH!N$1,SMALL(Dong14,ROWS($1:102)),)="131",OFFSET(TH!M$1,SMALL(Dong14,ROWS($1:102)),),0))</f>
        <v>0</v>
      </c>
      <c r="J118" s="713">
        <f ca="1">IF(ROWS($1:102)&gt;COUNT(Dong14),0,IF(OFFSET(TH!O$1,SMALL(Dong14,ROWS($1:102)),)="131",OFFSET(TH!K$1,SMALL(Dong14,ROWS($1:102)),),0))</f>
        <v>0</v>
      </c>
      <c r="K118" s="712">
        <f ca="1">IF(ROWS($1:102)&gt;COUNT(Dong14),0,IF(OFFSET(TH!O$1,SMALL(Dong14,ROWS($1:102)),)="131",OFFSET(TH!M$1,SMALL(Dong14,ROWS($1:102)),),0))</f>
        <v>0</v>
      </c>
      <c r="L118" s="711">
        <f t="shared" ca="1" si="30"/>
        <v>0</v>
      </c>
      <c r="M118" s="710">
        <f t="shared" ca="1" si="31"/>
        <v>0</v>
      </c>
      <c r="N118" s="711">
        <f t="shared" ca="1" si="32"/>
        <v>0</v>
      </c>
      <c r="O118" s="710">
        <f t="shared" ca="1" si="33"/>
        <v>0</v>
      </c>
    </row>
    <row r="119" spans="1:15" s="5" customFormat="1" ht="23.25" customHeight="1">
      <c r="A119" s="213" t="str">
        <f t="shared" ca="1" si="29"/>
        <v/>
      </c>
      <c r="B119" s="217" t="str">
        <f ca="1">IF(ROWS($1:103)&gt;COUNT(Dong14),"",OFFSET(TH!D$1,SMALL(Dong14,ROWS($1:103)),))</f>
        <v/>
      </c>
      <c r="C119" s="213" t="str">
        <f ca="1">IF(ROWS($1:103)&gt;COUNT(Dong14),"",OFFSET(TH!E$1,SMALL(Dong14,ROWS($1:103)),))</f>
        <v/>
      </c>
      <c r="D119" s="714" t="str">
        <f ca="1">IF(ROWS($1:103)&gt;COUNT(Dong14),"",OFFSET(TH!F$1,SMALL(Dong14,ROWS($1:103)),))</f>
        <v/>
      </c>
      <c r="E119" s="712" t="str">
        <f ca="1">IF(ROWS($1:103)&gt;COUNT(Dong14),"",IF(OFFSET(TH!N$1,SMALL(Dong14,ROWS($1:103)),)="131",OFFSET(TH!O$1,SMALL(Dong14,ROWS($1:103)),),OFFSET(TH!N$1,SMALL(Dong14,ROWS($1:103)),)))</f>
        <v/>
      </c>
      <c r="F119" s="712">
        <f ca="1">IF(ROWS($1:103)&gt;COUNT(Dong14),0,OFFSET(TH!L$1,SMALL(Dong14,ROWS($1:103)),))</f>
        <v>0</v>
      </c>
      <c r="G119" s="712"/>
      <c r="H119" s="1139">
        <f ca="1">IF(ROWS($1:103)&gt;COUNT(Dong14),0,IF(OFFSET(TH!N$1,SMALL(Dong14,ROWS($1:103)),)="131",OFFSET(TH!K$1,SMALL(Dong14,ROWS($1:103)),),0))</f>
        <v>0</v>
      </c>
      <c r="I119" s="712">
        <f ca="1">IF(ROWS($1:103)&gt;COUNT(Dong14),0,IF(OFFSET(TH!N$1,SMALL(Dong14,ROWS($1:103)),)="131",OFFSET(TH!M$1,SMALL(Dong14,ROWS($1:103)),),0))</f>
        <v>0</v>
      </c>
      <c r="J119" s="713">
        <f ca="1">IF(ROWS($1:103)&gt;COUNT(Dong14),0,IF(OFFSET(TH!O$1,SMALL(Dong14,ROWS($1:103)),)="131",OFFSET(TH!K$1,SMALL(Dong14,ROWS($1:103)),),0))</f>
        <v>0</v>
      </c>
      <c r="K119" s="712">
        <f ca="1">IF(ROWS($1:103)&gt;COUNT(Dong14),0,IF(OFFSET(TH!O$1,SMALL(Dong14,ROWS($1:103)),)="131",OFFSET(TH!M$1,SMALL(Dong14,ROWS($1:103)),),0))</f>
        <v>0</v>
      </c>
      <c r="L119" s="711">
        <f t="shared" ca="1" si="30"/>
        <v>0</v>
      </c>
      <c r="M119" s="710">
        <f t="shared" ca="1" si="31"/>
        <v>0</v>
      </c>
      <c r="N119" s="711">
        <f t="shared" ca="1" si="32"/>
        <v>0</v>
      </c>
      <c r="O119" s="710">
        <f t="shared" ca="1" si="33"/>
        <v>0</v>
      </c>
    </row>
    <row r="120" spans="1:15" s="5" customFormat="1" ht="23.25" customHeight="1">
      <c r="A120" s="213" t="str">
        <f t="shared" ca="1" si="29"/>
        <v/>
      </c>
      <c r="B120" s="217" t="str">
        <f ca="1">IF(ROWS($1:104)&gt;COUNT(Dong14),"",OFFSET(TH!D$1,SMALL(Dong14,ROWS($1:104)),))</f>
        <v/>
      </c>
      <c r="C120" s="213" t="str">
        <f ca="1">IF(ROWS($1:104)&gt;COUNT(Dong14),"",OFFSET(TH!E$1,SMALL(Dong14,ROWS($1:104)),))</f>
        <v/>
      </c>
      <c r="D120" s="714" t="str">
        <f ca="1">IF(ROWS($1:104)&gt;COUNT(Dong14),"",OFFSET(TH!F$1,SMALL(Dong14,ROWS($1:104)),))</f>
        <v/>
      </c>
      <c r="E120" s="712" t="str">
        <f ca="1">IF(ROWS($1:104)&gt;COUNT(Dong14),"",IF(OFFSET(TH!N$1,SMALL(Dong14,ROWS($1:104)),)="131",OFFSET(TH!O$1,SMALL(Dong14,ROWS($1:104)),),OFFSET(TH!N$1,SMALL(Dong14,ROWS($1:104)),)))</f>
        <v/>
      </c>
      <c r="F120" s="712">
        <f ca="1">IF(ROWS($1:104)&gt;COUNT(Dong14),0,OFFSET(TH!L$1,SMALL(Dong14,ROWS($1:104)),))</f>
        <v>0</v>
      </c>
      <c r="G120" s="712"/>
      <c r="H120" s="1139">
        <f ca="1">IF(ROWS($1:104)&gt;COUNT(Dong14),0,IF(OFFSET(TH!N$1,SMALL(Dong14,ROWS($1:104)),)="131",OFFSET(TH!K$1,SMALL(Dong14,ROWS($1:104)),),0))</f>
        <v>0</v>
      </c>
      <c r="I120" s="712">
        <f ca="1">IF(ROWS($1:104)&gt;COUNT(Dong14),0,IF(OFFSET(TH!N$1,SMALL(Dong14,ROWS($1:104)),)="131",OFFSET(TH!M$1,SMALL(Dong14,ROWS($1:104)),),0))</f>
        <v>0</v>
      </c>
      <c r="J120" s="713">
        <f ca="1">IF(ROWS($1:104)&gt;COUNT(Dong14),0,IF(OFFSET(TH!O$1,SMALL(Dong14,ROWS($1:104)),)="131",OFFSET(TH!K$1,SMALL(Dong14,ROWS($1:104)),),0))</f>
        <v>0</v>
      </c>
      <c r="K120" s="712">
        <f ca="1">IF(ROWS($1:104)&gt;COUNT(Dong14),0,IF(OFFSET(TH!O$1,SMALL(Dong14,ROWS($1:104)),)="131",OFFSET(TH!M$1,SMALL(Dong14,ROWS($1:104)),),0))</f>
        <v>0</v>
      </c>
      <c r="L120" s="711">
        <f t="shared" ca="1" si="30"/>
        <v>0</v>
      </c>
      <c r="M120" s="710">
        <f t="shared" ca="1" si="31"/>
        <v>0</v>
      </c>
      <c r="N120" s="711">
        <f t="shared" ca="1" si="32"/>
        <v>0</v>
      </c>
      <c r="O120" s="710">
        <f t="shared" ca="1" si="33"/>
        <v>0</v>
      </c>
    </row>
    <row r="121" spans="1:15" s="5" customFormat="1" ht="23.25" customHeight="1">
      <c r="A121" s="213" t="str">
        <f t="shared" ca="1" si="29"/>
        <v/>
      </c>
      <c r="B121" s="217" t="str">
        <f ca="1">IF(ROWS($1:105)&gt;COUNT(Dong14),"",OFFSET(TH!D$1,SMALL(Dong14,ROWS($1:105)),))</f>
        <v/>
      </c>
      <c r="C121" s="213" t="str">
        <f ca="1">IF(ROWS($1:105)&gt;COUNT(Dong14),"",OFFSET(TH!E$1,SMALL(Dong14,ROWS($1:105)),))</f>
        <v/>
      </c>
      <c r="D121" s="714" t="str">
        <f ca="1">IF(ROWS($1:105)&gt;COUNT(Dong14),"",OFFSET(TH!F$1,SMALL(Dong14,ROWS($1:105)),))</f>
        <v/>
      </c>
      <c r="E121" s="712" t="str">
        <f ca="1">IF(ROWS($1:105)&gt;COUNT(Dong14),"",IF(OFFSET(TH!N$1,SMALL(Dong14,ROWS($1:105)),)="131",OFFSET(TH!O$1,SMALL(Dong14,ROWS($1:105)),),OFFSET(TH!N$1,SMALL(Dong14,ROWS($1:105)),)))</f>
        <v/>
      </c>
      <c r="F121" s="712">
        <f ca="1">IF(ROWS($1:105)&gt;COUNT(Dong14),0,OFFSET(TH!L$1,SMALL(Dong14,ROWS($1:105)),))</f>
        <v>0</v>
      </c>
      <c r="G121" s="712"/>
      <c r="H121" s="1139">
        <f ca="1">IF(ROWS($1:105)&gt;COUNT(Dong14),0,IF(OFFSET(TH!N$1,SMALL(Dong14,ROWS($1:105)),)="131",OFFSET(TH!K$1,SMALL(Dong14,ROWS($1:105)),),0))</f>
        <v>0</v>
      </c>
      <c r="I121" s="712">
        <f ca="1">IF(ROWS($1:105)&gt;COUNT(Dong14),0,IF(OFFSET(TH!N$1,SMALL(Dong14,ROWS($1:105)),)="131",OFFSET(TH!M$1,SMALL(Dong14,ROWS($1:105)),),0))</f>
        <v>0</v>
      </c>
      <c r="J121" s="713">
        <f ca="1">IF(ROWS($1:105)&gt;COUNT(Dong14),0,IF(OFFSET(TH!O$1,SMALL(Dong14,ROWS($1:105)),)="131",OFFSET(TH!K$1,SMALL(Dong14,ROWS($1:105)),),0))</f>
        <v>0</v>
      </c>
      <c r="K121" s="712">
        <f ca="1">IF(ROWS($1:105)&gt;COUNT(Dong14),0,IF(OFFSET(TH!O$1,SMALL(Dong14,ROWS($1:105)),)="131",OFFSET(TH!M$1,SMALL(Dong14,ROWS($1:105)),),0))</f>
        <v>0</v>
      </c>
      <c r="L121" s="711">
        <f t="shared" ca="1" si="30"/>
        <v>0</v>
      </c>
      <c r="M121" s="710">
        <f t="shared" ca="1" si="31"/>
        <v>0</v>
      </c>
      <c r="N121" s="711">
        <f t="shared" ca="1" si="32"/>
        <v>0</v>
      </c>
      <c r="O121" s="710">
        <f t="shared" ca="1" si="33"/>
        <v>0</v>
      </c>
    </row>
    <row r="122" spans="1:15" s="5" customFormat="1" ht="23.25" customHeight="1">
      <c r="A122" s="213" t="str">
        <f t="shared" ca="1" si="29"/>
        <v/>
      </c>
      <c r="B122" s="217" t="str">
        <f ca="1">IF(ROWS($1:106)&gt;COUNT(Dong14),"",OFFSET(TH!D$1,SMALL(Dong14,ROWS($1:106)),))</f>
        <v/>
      </c>
      <c r="C122" s="213" t="str">
        <f ca="1">IF(ROWS($1:106)&gt;COUNT(Dong14),"",OFFSET(TH!E$1,SMALL(Dong14,ROWS($1:106)),))</f>
        <v/>
      </c>
      <c r="D122" s="714" t="str">
        <f ca="1">IF(ROWS($1:106)&gt;COUNT(Dong14),"",OFFSET(TH!F$1,SMALL(Dong14,ROWS($1:106)),))</f>
        <v/>
      </c>
      <c r="E122" s="712" t="str">
        <f ca="1">IF(ROWS($1:106)&gt;COUNT(Dong14),"",IF(OFFSET(TH!N$1,SMALL(Dong14,ROWS($1:106)),)="131",OFFSET(TH!O$1,SMALL(Dong14,ROWS($1:106)),),OFFSET(TH!N$1,SMALL(Dong14,ROWS($1:106)),)))</f>
        <v/>
      </c>
      <c r="F122" s="712">
        <f ca="1">IF(ROWS($1:106)&gt;COUNT(Dong14),0,OFFSET(TH!L$1,SMALL(Dong14,ROWS($1:106)),))</f>
        <v>0</v>
      </c>
      <c r="G122" s="712"/>
      <c r="H122" s="1139">
        <f ca="1">IF(ROWS($1:106)&gt;COUNT(Dong14),0,IF(OFFSET(TH!N$1,SMALL(Dong14,ROWS($1:106)),)="131",OFFSET(TH!K$1,SMALL(Dong14,ROWS($1:106)),),0))</f>
        <v>0</v>
      </c>
      <c r="I122" s="712">
        <f ca="1">IF(ROWS($1:106)&gt;COUNT(Dong14),0,IF(OFFSET(TH!N$1,SMALL(Dong14,ROWS($1:106)),)="131",OFFSET(TH!M$1,SMALL(Dong14,ROWS($1:106)),),0))</f>
        <v>0</v>
      </c>
      <c r="J122" s="713">
        <f ca="1">IF(ROWS($1:106)&gt;COUNT(Dong14),0,IF(OFFSET(TH!O$1,SMALL(Dong14,ROWS($1:106)),)="131",OFFSET(TH!K$1,SMALL(Dong14,ROWS($1:106)),),0))</f>
        <v>0</v>
      </c>
      <c r="K122" s="712">
        <f ca="1">IF(ROWS($1:106)&gt;COUNT(Dong14),0,IF(OFFSET(TH!O$1,SMALL(Dong14,ROWS($1:106)),)="131",OFFSET(TH!M$1,SMALL(Dong14,ROWS($1:106)),),0))</f>
        <v>0</v>
      </c>
      <c r="L122" s="711">
        <f t="shared" ca="1" si="30"/>
        <v>0</v>
      </c>
      <c r="M122" s="710">
        <f t="shared" ca="1" si="31"/>
        <v>0</v>
      </c>
      <c r="N122" s="711">
        <f t="shared" ca="1" si="32"/>
        <v>0</v>
      </c>
      <c r="O122" s="710">
        <f t="shared" ca="1" si="33"/>
        <v>0</v>
      </c>
    </row>
    <row r="123" spans="1:15" s="5" customFormat="1" ht="23.25" customHeight="1">
      <c r="A123" s="213" t="str">
        <f t="shared" ca="1" si="29"/>
        <v/>
      </c>
      <c r="B123" s="217" t="str">
        <f ca="1">IF(ROWS($1:107)&gt;COUNT(Dong14),"",OFFSET(TH!D$1,SMALL(Dong14,ROWS($1:107)),))</f>
        <v/>
      </c>
      <c r="C123" s="213" t="str">
        <f ca="1">IF(ROWS($1:107)&gt;COUNT(Dong14),"",OFFSET(TH!E$1,SMALL(Dong14,ROWS($1:107)),))</f>
        <v/>
      </c>
      <c r="D123" s="714" t="str">
        <f ca="1">IF(ROWS($1:107)&gt;COUNT(Dong14),"",OFFSET(TH!F$1,SMALL(Dong14,ROWS($1:107)),))</f>
        <v/>
      </c>
      <c r="E123" s="712" t="str">
        <f ca="1">IF(ROWS($1:107)&gt;COUNT(Dong14),"",IF(OFFSET(TH!N$1,SMALL(Dong14,ROWS($1:107)),)="131",OFFSET(TH!O$1,SMALL(Dong14,ROWS($1:107)),),OFFSET(TH!N$1,SMALL(Dong14,ROWS($1:107)),)))</f>
        <v/>
      </c>
      <c r="F123" s="712">
        <f ca="1">IF(ROWS($1:107)&gt;COUNT(Dong14),0,OFFSET(TH!L$1,SMALL(Dong14,ROWS($1:107)),))</f>
        <v>0</v>
      </c>
      <c r="G123" s="712"/>
      <c r="H123" s="1139">
        <f ca="1">IF(ROWS($1:107)&gt;COUNT(Dong14),0,IF(OFFSET(TH!N$1,SMALL(Dong14,ROWS($1:107)),)="131",OFFSET(TH!K$1,SMALL(Dong14,ROWS($1:107)),),0))</f>
        <v>0</v>
      </c>
      <c r="I123" s="712">
        <f ca="1">IF(ROWS($1:107)&gt;COUNT(Dong14),0,IF(OFFSET(TH!N$1,SMALL(Dong14,ROWS($1:107)),)="131",OFFSET(TH!M$1,SMALL(Dong14,ROWS($1:107)),),0))</f>
        <v>0</v>
      </c>
      <c r="J123" s="713">
        <f ca="1">IF(ROWS($1:107)&gt;COUNT(Dong14),0,IF(OFFSET(TH!O$1,SMALL(Dong14,ROWS($1:107)),)="131",OFFSET(TH!K$1,SMALL(Dong14,ROWS($1:107)),),0))</f>
        <v>0</v>
      </c>
      <c r="K123" s="712">
        <f ca="1">IF(ROWS($1:107)&gt;COUNT(Dong14),0,IF(OFFSET(TH!O$1,SMALL(Dong14,ROWS($1:107)),)="131",OFFSET(TH!M$1,SMALL(Dong14,ROWS($1:107)),),0))</f>
        <v>0</v>
      </c>
      <c r="L123" s="711">
        <f t="shared" ca="1" si="30"/>
        <v>0</v>
      </c>
      <c r="M123" s="710">
        <f t="shared" ca="1" si="31"/>
        <v>0</v>
      </c>
      <c r="N123" s="711">
        <f t="shared" ca="1" si="32"/>
        <v>0</v>
      </c>
      <c r="O123" s="710">
        <f t="shared" ca="1" si="33"/>
        <v>0</v>
      </c>
    </row>
    <row r="124" spans="1:15" s="5" customFormat="1" ht="23.25" customHeight="1">
      <c r="A124" s="213" t="str">
        <f t="shared" ca="1" si="29"/>
        <v/>
      </c>
      <c r="B124" s="217" t="str">
        <f ca="1">IF(ROWS($1:108)&gt;COUNT(Dong14),"",OFFSET(TH!D$1,SMALL(Dong14,ROWS($1:108)),))</f>
        <v/>
      </c>
      <c r="C124" s="213" t="str">
        <f ca="1">IF(ROWS($1:108)&gt;COUNT(Dong14),"",OFFSET(TH!E$1,SMALL(Dong14,ROWS($1:108)),))</f>
        <v/>
      </c>
      <c r="D124" s="714" t="str">
        <f ca="1">IF(ROWS($1:108)&gt;COUNT(Dong14),"",OFFSET(TH!F$1,SMALL(Dong14,ROWS($1:108)),))</f>
        <v/>
      </c>
      <c r="E124" s="712" t="str">
        <f ca="1">IF(ROWS($1:108)&gt;COUNT(Dong14),"",IF(OFFSET(TH!N$1,SMALL(Dong14,ROWS($1:108)),)="131",OFFSET(TH!O$1,SMALL(Dong14,ROWS($1:108)),),OFFSET(TH!N$1,SMALL(Dong14,ROWS($1:108)),)))</f>
        <v/>
      </c>
      <c r="F124" s="712">
        <f ca="1">IF(ROWS($1:108)&gt;COUNT(Dong14),0,OFFSET(TH!L$1,SMALL(Dong14,ROWS($1:108)),))</f>
        <v>0</v>
      </c>
      <c r="G124" s="712"/>
      <c r="H124" s="1139">
        <f ca="1">IF(ROWS($1:108)&gt;COUNT(Dong14),0,IF(OFFSET(TH!N$1,SMALL(Dong14,ROWS($1:108)),)="131",OFFSET(TH!K$1,SMALL(Dong14,ROWS($1:108)),),0))</f>
        <v>0</v>
      </c>
      <c r="I124" s="712">
        <f ca="1">IF(ROWS($1:108)&gt;COUNT(Dong14),0,IF(OFFSET(TH!N$1,SMALL(Dong14,ROWS($1:108)),)="131",OFFSET(TH!M$1,SMALL(Dong14,ROWS($1:108)),),0))</f>
        <v>0</v>
      </c>
      <c r="J124" s="713">
        <f ca="1">IF(ROWS($1:108)&gt;COUNT(Dong14),0,IF(OFFSET(TH!O$1,SMALL(Dong14,ROWS($1:108)),)="131",OFFSET(TH!K$1,SMALL(Dong14,ROWS($1:108)),),0))</f>
        <v>0</v>
      </c>
      <c r="K124" s="712">
        <f ca="1">IF(ROWS($1:108)&gt;COUNT(Dong14),0,IF(OFFSET(TH!O$1,SMALL(Dong14,ROWS($1:108)),)="131",OFFSET(TH!M$1,SMALL(Dong14,ROWS($1:108)),),0))</f>
        <v>0</v>
      </c>
      <c r="L124" s="711">
        <f t="shared" ca="1" si="30"/>
        <v>0</v>
      </c>
      <c r="M124" s="710">
        <f t="shared" ca="1" si="31"/>
        <v>0</v>
      </c>
      <c r="N124" s="711">
        <f t="shared" ca="1" si="32"/>
        <v>0</v>
      </c>
      <c r="O124" s="710">
        <f t="shared" ca="1" si="33"/>
        <v>0</v>
      </c>
    </row>
    <row r="125" spans="1:15" s="5" customFormat="1" ht="23.25" customHeight="1">
      <c r="A125" s="213" t="str">
        <f t="shared" ca="1" si="29"/>
        <v/>
      </c>
      <c r="B125" s="217" t="str">
        <f ca="1">IF(ROWS($1:109)&gt;COUNT(Dong14),"",OFFSET(TH!D$1,SMALL(Dong14,ROWS($1:109)),))</f>
        <v/>
      </c>
      <c r="C125" s="213" t="str">
        <f ca="1">IF(ROWS($1:109)&gt;COUNT(Dong14),"",OFFSET(TH!E$1,SMALL(Dong14,ROWS($1:109)),))</f>
        <v/>
      </c>
      <c r="D125" s="714" t="str">
        <f ca="1">IF(ROWS($1:109)&gt;COUNT(Dong14),"",OFFSET(TH!F$1,SMALL(Dong14,ROWS($1:109)),))</f>
        <v/>
      </c>
      <c r="E125" s="712" t="str">
        <f ca="1">IF(ROWS($1:109)&gt;COUNT(Dong14),"",IF(OFFSET(TH!N$1,SMALL(Dong14,ROWS($1:109)),)="131",OFFSET(TH!O$1,SMALL(Dong14,ROWS($1:109)),),OFFSET(TH!N$1,SMALL(Dong14,ROWS($1:109)),)))</f>
        <v/>
      </c>
      <c r="F125" s="712">
        <f ca="1">IF(ROWS($1:109)&gt;COUNT(Dong14),0,OFFSET(TH!L$1,SMALL(Dong14,ROWS($1:109)),))</f>
        <v>0</v>
      </c>
      <c r="G125" s="712"/>
      <c r="H125" s="1139">
        <f ca="1">IF(ROWS($1:109)&gt;COUNT(Dong14),0,IF(OFFSET(TH!N$1,SMALL(Dong14,ROWS($1:109)),)="131",OFFSET(TH!K$1,SMALL(Dong14,ROWS($1:109)),),0))</f>
        <v>0</v>
      </c>
      <c r="I125" s="712">
        <f ca="1">IF(ROWS($1:109)&gt;COUNT(Dong14),0,IF(OFFSET(TH!N$1,SMALL(Dong14,ROWS($1:109)),)="131",OFFSET(TH!M$1,SMALL(Dong14,ROWS($1:109)),),0))</f>
        <v>0</v>
      </c>
      <c r="J125" s="713">
        <f ca="1">IF(ROWS($1:109)&gt;COUNT(Dong14),0,IF(OFFSET(TH!O$1,SMALL(Dong14,ROWS($1:109)),)="131",OFFSET(TH!K$1,SMALL(Dong14,ROWS($1:109)),),0))</f>
        <v>0</v>
      </c>
      <c r="K125" s="712">
        <f ca="1">IF(ROWS($1:109)&gt;COUNT(Dong14),0,IF(OFFSET(TH!O$1,SMALL(Dong14,ROWS($1:109)),)="131",OFFSET(TH!M$1,SMALL(Dong14,ROWS($1:109)),),0))</f>
        <v>0</v>
      </c>
      <c r="L125" s="711">
        <f t="shared" ca="1" si="30"/>
        <v>0</v>
      </c>
      <c r="M125" s="710">
        <f t="shared" ca="1" si="31"/>
        <v>0</v>
      </c>
      <c r="N125" s="711">
        <f t="shared" ca="1" si="32"/>
        <v>0</v>
      </c>
      <c r="O125" s="710">
        <f t="shared" ca="1" si="33"/>
        <v>0</v>
      </c>
    </row>
    <row r="126" spans="1:15" s="5" customFormat="1" ht="23.25" customHeight="1">
      <c r="A126" s="213" t="str">
        <f t="shared" ca="1" si="29"/>
        <v/>
      </c>
      <c r="B126" s="217" t="str">
        <f ca="1">IF(ROWS($1:110)&gt;COUNT(Dong14),"",OFFSET(TH!D$1,SMALL(Dong14,ROWS($1:110)),))</f>
        <v/>
      </c>
      <c r="C126" s="213" t="str">
        <f ca="1">IF(ROWS($1:110)&gt;COUNT(Dong14),"",OFFSET(TH!E$1,SMALL(Dong14,ROWS($1:110)),))</f>
        <v/>
      </c>
      <c r="D126" s="714" t="str">
        <f ca="1">IF(ROWS($1:110)&gt;COUNT(Dong14),"",OFFSET(TH!F$1,SMALL(Dong14,ROWS($1:110)),))</f>
        <v/>
      </c>
      <c r="E126" s="712" t="str">
        <f ca="1">IF(ROWS($1:110)&gt;COUNT(Dong14),"",IF(OFFSET(TH!N$1,SMALL(Dong14,ROWS($1:110)),)="131",OFFSET(TH!O$1,SMALL(Dong14,ROWS($1:110)),),OFFSET(TH!N$1,SMALL(Dong14,ROWS($1:110)),)))</f>
        <v/>
      </c>
      <c r="F126" s="712">
        <f ca="1">IF(ROWS($1:110)&gt;COUNT(Dong14),0,OFFSET(TH!L$1,SMALL(Dong14,ROWS($1:110)),))</f>
        <v>0</v>
      </c>
      <c r="G126" s="712"/>
      <c r="H126" s="1139">
        <f ca="1">IF(ROWS($1:110)&gt;COUNT(Dong14),0,IF(OFFSET(TH!N$1,SMALL(Dong14,ROWS($1:110)),)="131",OFFSET(TH!K$1,SMALL(Dong14,ROWS($1:110)),),0))</f>
        <v>0</v>
      </c>
      <c r="I126" s="712">
        <f ca="1">IF(ROWS($1:110)&gt;COUNT(Dong14),0,IF(OFFSET(TH!N$1,SMALL(Dong14,ROWS($1:110)),)="131",OFFSET(TH!M$1,SMALL(Dong14,ROWS($1:110)),),0))</f>
        <v>0</v>
      </c>
      <c r="J126" s="713">
        <f ca="1">IF(ROWS($1:110)&gt;COUNT(Dong14),0,IF(OFFSET(TH!O$1,SMALL(Dong14,ROWS($1:110)),)="131",OFFSET(TH!K$1,SMALL(Dong14,ROWS($1:110)),),0))</f>
        <v>0</v>
      </c>
      <c r="K126" s="712">
        <f ca="1">IF(ROWS($1:110)&gt;COUNT(Dong14),0,IF(OFFSET(TH!O$1,SMALL(Dong14,ROWS($1:110)),)="131",OFFSET(TH!M$1,SMALL(Dong14,ROWS($1:110)),),0))</f>
        <v>0</v>
      </c>
      <c r="L126" s="711">
        <f t="shared" ca="1" si="30"/>
        <v>0</v>
      </c>
      <c r="M126" s="710">
        <f t="shared" ca="1" si="31"/>
        <v>0</v>
      </c>
      <c r="N126" s="711">
        <f t="shared" ca="1" si="32"/>
        <v>0</v>
      </c>
      <c r="O126" s="710">
        <f t="shared" ca="1" si="33"/>
        <v>0</v>
      </c>
    </row>
    <row r="127" spans="1:15" s="5" customFormat="1" ht="23.25" customHeight="1">
      <c r="A127" s="213" t="str">
        <f t="shared" ca="1" si="29"/>
        <v/>
      </c>
      <c r="B127" s="217" t="str">
        <f ca="1">IF(ROWS($1:111)&gt;COUNT(Dong14),"",OFFSET(TH!D$1,SMALL(Dong14,ROWS($1:111)),))</f>
        <v/>
      </c>
      <c r="C127" s="213" t="str">
        <f ca="1">IF(ROWS($1:111)&gt;COUNT(Dong14),"",OFFSET(TH!E$1,SMALL(Dong14,ROWS($1:111)),))</f>
        <v/>
      </c>
      <c r="D127" s="714" t="str">
        <f ca="1">IF(ROWS($1:111)&gt;COUNT(Dong14),"",OFFSET(TH!F$1,SMALL(Dong14,ROWS($1:111)),))</f>
        <v/>
      </c>
      <c r="E127" s="712" t="str">
        <f ca="1">IF(ROWS($1:111)&gt;COUNT(Dong14),"",IF(OFFSET(TH!N$1,SMALL(Dong14,ROWS($1:111)),)="131",OFFSET(TH!O$1,SMALL(Dong14,ROWS($1:111)),),OFFSET(TH!N$1,SMALL(Dong14,ROWS($1:111)),)))</f>
        <v/>
      </c>
      <c r="F127" s="712">
        <f ca="1">IF(ROWS($1:111)&gt;COUNT(Dong14),0,OFFSET(TH!L$1,SMALL(Dong14,ROWS($1:111)),))</f>
        <v>0</v>
      </c>
      <c r="G127" s="712"/>
      <c r="H127" s="1139">
        <f ca="1">IF(ROWS($1:111)&gt;COUNT(Dong14),0,IF(OFFSET(TH!N$1,SMALL(Dong14,ROWS($1:111)),)="131",OFFSET(TH!K$1,SMALL(Dong14,ROWS($1:111)),),0))</f>
        <v>0</v>
      </c>
      <c r="I127" s="712">
        <f ca="1">IF(ROWS($1:111)&gt;COUNT(Dong14),0,IF(OFFSET(TH!N$1,SMALL(Dong14,ROWS($1:111)),)="131",OFFSET(TH!M$1,SMALL(Dong14,ROWS($1:111)),),0))</f>
        <v>0</v>
      </c>
      <c r="J127" s="713">
        <f ca="1">IF(ROWS($1:111)&gt;COUNT(Dong14),0,IF(OFFSET(TH!O$1,SMALL(Dong14,ROWS($1:111)),)="131",OFFSET(TH!K$1,SMALL(Dong14,ROWS($1:111)),),0))</f>
        <v>0</v>
      </c>
      <c r="K127" s="712">
        <f ca="1">IF(ROWS($1:111)&gt;COUNT(Dong14),0,IF(OFFSET(TH!O$1,SMALL(Dong14,ROWS($1:111)),)="131",OFFSET(TH!M$1,SMALL(Dong14,ROWS($1:111)),),0))</f>
        <v>0</v>
      </c>
      <c r="L127" s="711">
        <f t="shared" ca="1" si="30"/>
        <v>0</v>
      </c>
      <c r="M127" s="710">
        <f t="shared" ca="1" si="31"/>
        <v>0</v>
      </c>
      <c r="N127" s="711">
        <f t="shared" ca="1" si="32"/>
        <v>0</v>
      </c>
      <c r="O127" s="710">
        <f t="shared" ca="1" si="33"/>
        <v>0</v>
      </c>
    </row>
    <row r="128" spans="1:15" s="5" customFormat="1" ht="23.25" customHeight="1">
      <c r="A128" s="213" t="str">
        <f t="shared" ca="1" si="29"/>
        <v/>
      </c>
      <c r="B128" s="217" t="str">
        <f ca="1">IF(ROWS($1:112)&gt;COUNT(Dong14),"",OFFSET(TH!D$1,SMALL(Dong14,ROWS($1:112)),))</f>
        <v/>
      </c>
      <c r="C128" s="213" t="str">
        <f ca="1">IF(ROWS($1:112)&gt;COUNT(Dong14),"",OFFSET(TH!E$1,SMALL(Dong14,ROWS($1:112)),))</f>
        <v/>
      </c>
      <c r="D128" s="714" t="str">
        <f ca="1">IF(ROWS($1:112)&gt;COUNT(Dong14),"",OFFSET(TH!F$1,SMALL(Dong14,ROWS($1:112)),))</f>
        <v/>
      </c>
      <c r="E128" s="712" t="str">
        <f ca="1">IF(ROWS($1:112)&gt;COUNT(Dong14),"",IF(OFFSET(TH!N$1,SMALL(Dong14,ROWS($1:112)),)="131",OFFSET(TH!O$1,SMALL(Dong14,ROWS($1:112)),),OFFSET(TH!N$1,SMALL(Dong14,ROWS($1:112)),)))</f>
        <v/>
      </c>
      <c r="F128" s="712">
        <f ca="1">IF(ROWS($1:112)&gt;COUNT(Dong14),0,OFFSET(TH!L$1,SMALL(Dong14,ROWS($1:112)),))</f>
        <v>0</v>
      </c>
      <c r="G128" s="712"/>
      <c r="H128" s="1139">
        <f ca="1">IF(ROWS($1:112)&gt;COUNT(Dong14),0,IF(OFFSET(TH!N$1,SMALL(Dong14,ROWS($1:112)),)="131",OFFSET(TH!K$1,SMALL(Dong14,ROWS($1:112)),),0))</f>
        <v>0</v>
      </c>
      <c r="I128" s="712">
        <f ca="1">IF(ROWS($1:112)&gt;COUNT(Dong14),0,IF(OFFSET(TH!N$1,SMALL(Dong14,ROWS($1:112)),)="131",OFFSET(TH!M$1,SMALL(Dong14,ROWS($1:112)),),0))</f>
        <v>0</v>
      </c>
      <c r="J128" s="713">
        <f ca="1">IF(ROWS($1:112)&gt;COUNT(Dong14),0,IF(OFFSET(TH!O$1,SMALL(Dong14,ROWS($1:112)),)="131",OFFSET(TH!K$1,SMALL(Dong14,ROWS($1:112)),),0))</f>
        <v>0</v>
      </c>
      <c r="K128" s="712">
        <f ca="1">IF(ROWS($1:112)&gt;COUNT(Dong14),0,IF(OFFSET(TH!O$1,SMALL(Dong14,ROWS($1:112)),)="131",OFFSET(TH!M$1,SMALL(Dong14,ROWS($1:112)),),0))</f>
        <v>0</v>
      </c>
      <c r="L128" s="711">
        <f t="shared" ca="1" si="30"/>
        <v>0</v>
      </c>
      <c r="M128" s="710">
        <f t="shared" ca="1" si="31"/>
        <v>0</v>
      </c>
      <c r="N128" s="711">
        <f t="shared" ca="1" si="32"/>
        <v>0</v>
      </c>
      <c r="O128" s="710">
        <f t="shared" ca="1" si="33"/>
        <v>0</v>
      </c>
    </row>
    <row r="129" spans="1:15" s="5" customFormat="1" ht="23.25" customHeight="1">
      <c r="A129" s="213" t="str">
        <f t="shared" ca="1" si="29"/>
        <v/>
      </c>
      <c r="B129" s="217" t="str">
        <f ca="1">IF(ROWS($1:113)&gt;COUNT(Dong14),"",OFFSET(TH!D$1,SMALL(Dong14,ROWS($1:113)),))</f>
        <v/>
      </c>
      <c r="C129" s="213" t="str">
        <f ca="1">IF(ROWS($1:113)&gt;COUNT(Dong14),"",OFFSET(TH!E$1,SMALL(Dong14,ROWS($1:113)),))</f>
        <v/>
      </c>
      <c r="D129" s="714" t="str">
        <f ca="1">IF(ROWS($1:113)&gt;COUNT(Dong14),"",OFFSET(TH!F$1,SMALL(Dong14,ROWS($1:113)),))</f>
        <v/>
      </c>
      <c r="E129" s="712" t="str">
        <f ca="1">IF(ROWS($1:113)&gt;COUNT(Dong14),"",IF(OFFSET(TH!N$1,SMALL(Dong14,ROWS($1:113)),)="131",OFFSET(TH!O$1,SMALL(Dong14,ROWS($1:113)),),OFFSET(TH!N$1,SMALL(Dong14,ROWS($1:113)),)))</f>
        <v/>
      </c>
      <c r="F129" s="712">
        <f ca="1">IF(ROWS($1:113)&gt;COUNT(Dong14),0,OFFSET(TH!L$1,SMALL(Dong14,ROWS($1:113)),))</f>
        <v>0</v>
      </c>
      <c r="G129" s="712"/>
      <c r="H129" s="1139">
        <f ca="1">IF(ROWS($1:113)&gt;COUNT(Dong14),0,IF(OFFSET(TH!N$1,SMALL(Dong14,ROWS($1:113)),)="131",OFFSET(TH!K$1,SMALL(Dong14,ROWS($1:113)),),0))</f>
        <v>0</v>
      </c>
      <c r="I129" s="712">
        <f ca="1">IF(ROWS($1:113)&gt;COUNT(Dong14),0,IF(OFFSET(TH!N$1,SMALL(Dong14,ROWS($1:113)),)="131",OFFSET(TH!M$1,SMALL(Dong14,ROWS($1:113)),),0))</f>
        <v>0</v>
      </c>
      <c r="J129" s="713">
        <f ca="1">IF(ROWS($1:113)&gt;COUNT(Dong14),0,IF(OFFSET(TH!O$1,SMALL(Dong14,ROWS($1:113)),)="131",OFFSET(TH!K$1,SMALL(Dong14,ROWS($1:113)),),0))</f>
        <v>0</v>
      </c>
      <c r="K129" s="712">
        <f ca="1">IF(ROWS($1:113)&gt;COUNT(Dong14),0,IF(OFFSET(TH!O$1,SMALL(Dong14,ROWS($1:113)),)="131",OFFSET(TH!M$1,SMALL(Dong14,ROWS($1:113)),),0))</f>
        <v>0</v>
      </c>
      <c r="L129" s="711">
        <f t="shared" ca="1" si="30"/>
        <v>0</v>
      </c>
      <c r="M129" s="710">
        <f t="shared" ca="1" si="31"/>
        <v>0</v>
      </c>
      <c r="N129" s="711">
        <f t="shared" ca="1" si="32"/>
        <v>0</v>
      </c>
      <c r="O129" s="710">
        <f t="shared" ca="1" si="33"/>
        <v>0</v>
      </c>
    </row>
    <row r="130" spans="1:15" s="5" customFormat="1" ht="23.25" customHeight="1">
      <c r="A130" s="213" t="str">
        <f t="shared" ca="1" si="29"/>
        <v/>
      </c>
      <c r="B130" s="217" t="str">
        <f ca="1">IF(ROWS($1:114)&gt;COUNT(Dong14),"",OFFSET(TH!D$1,SMALL(Dong14,ROWS($1:114)),))</f>
        <v/>
      </c>
      <c r="C130" s="213" t="str">
        <f ca="1">IF(ROWS($1:114)&gt;COUNT(Dong14),"",OFFSET(TH!E$1,SMALL(Dong14,ROWS($1:114)),))</f>
        <v/>
      </c>
      <c r="D130" s="714" t="str">
        <f ca="1">IF(ROWS($1:114)&gt;COUNT(Dong14),"",OFFSET(TH!F$1,SMALL(Dong14,ROWS($1:114)),))</f>
        <v/>
      </c>
      <c r="E130" s="712" t="str">
        <f ca="1">IF(ROWS($1:114)&gt;COUNT(Dong14),"",IF(OFFSET(TH!N$1,SMALL(Dong14,ROWS($1:114)),)="131",OFFSET(TH!O$1,SMALL(Dong14,ROWS($1:114)),),OFFSET(TH!N$1,SMALL(Dong14,ROWS($1:114)),)))</f>
        <v/>
      </c>
      <c r="F130" s="712">
        <f ca="1">IF(ROWS($1:114)&gt;COUNT(Dong14),0,OFFSET(TH!L$1,SMALL(Dong14,ROWS($1:114)),))</f>
        <v>0</v>
      </c>
      <c r="G130" s="712"/>
      <c r="H130" s="1139">
        <f ca="1">IF(ROWS($1:114)&gt;COUNT(Dong14),0,IF(OFFSET(TH!N$1,SMALL(Dong14,ROWS($1:114)),)="131",OFFSET(TH!K$1,SMALL(Dong14,ROWS($1:114)),),0))</f>
        <v>0</v>
      </c>
      <c r="I130" s="712">
        <f ca="1">IF(ROWS($1:114)&gt;COUNT(Dong14),0,IF(OFFSET(TH!N$1,SMALL(Dong14,ROWS($1:114)),)="131",OFFSET(TH!M$1,SMALL(Dong14,ROWS($1:114)),),0))</f>
        <v>0</v>
      </c>
      <c r="J130" s="713">
        <f ca="1">IF(ROWS($1:114)&gt;COUNT(Dong14),0,IF(OFFSET(TH!O$1,SMALL(Dong14,ROWS($1:114)),)="131",OFFSET(TH!K$1,SMALL(Dong14,ROWS($1:114)),),0))</f>
        <v>0</v>
      </c>
      <c r="K130" s="712">
        <f ca="1">IF(ROWS($1:114)&gt;COUNT(Dong14),0,IF(OFFSET(TH!O$1,SMALL(Dong14,ROWS($1:114)),)="131",OFFSET(TH!M$1,SMALL(Dong14,ROWS($1:114)),),0))</f>
        <v>0</v>
      </c>
      <c r="L130" s="711">
        <f t="shared" ca="1" si="30"/>
        <v>0</v>
      </c>
      <c r="M130" s="710">
        <f t="shared" ca="1" si="31"/>
        <v>0</v>
      </c>
      <c r="N130" s="711">
        <f t="shared" ca="1" si="32"/>
        <v>0</v>
      </c>
      <c r="O130" s="710">
        <f t="shared" ca="1" si="33"/>
        <v>0</v>
      </c>
    </row>
    <row r="131" spans="1:15" s="5" customFormat="1" ht="23.25" customHeight="1">
      <c r="A131" s="213" t="str">
        <f t="shared" ca="1" si="29"/>
        <v/>
      </c>
      <c r="B131" s="217" t="str">
        <f ca="1">IF(ROWS($1:115)&gt;COUNT(Dong14),"",OFFSET(TH!D$1,SMALL(Dong14,ROWS($1:115)),))</f>
        <v/>
      </c>
      <c r="C131" s="213" t="str">
        <f ca="1">IF(ROWS($1:115)&gt;COUNT(Dong14),"",OFFSET(TH!E$1,SMALL(Dong14,ROWS($1:115)),))</f>
        <v/>
      </c>
      <c r="D131" s="714" t="str">
        <f ca="1">IF(ROWS($1:115)&gt;COUNT(Dong14),"",OFFSET(TH!F$1,SMALL(Dong14,ROWS($1:115)),))</f>
        <v/>
      </c>
      <c r="E131" s="712" t="str">
        <f ca="1">IF(ROWS($1:115)&gt;COUNT(Dong14),"",IF(OFFSET(TH!N$1,SMALL(Dong14,ROWS($1:115)),)="131",OFFSET(TH!O$1,SMALL(Dong14,ROWS($1:115)),),OFFSET(TH!N$1,SMALL(Dong14,ROWS($1:115)),)))</f>
        <v/>
      </c>
      <c r="F131" s="712">
        <f ca="1">IF(ROWS($1:115)&gt;COUNT(Dong14),0,OFFSET(TH!L$1,SMALL(Dong14,ROWS($1:115)),))</f>
        <v>0</v>
      </c>
      <c r="G131" s="712"/>
      <c r="H131" s="1139">
        <f ca="1">IF(ROWS($1:115)&gt;COUNT(Dong14),0,IF(OFFSET(TH!N$1,SMALL(Dong14,ROWS($1:115)),)="131",OFFSET(TH!K$1,SMALL(Dong14,ROWS($1:115)),),0))</f>
        <v>0</v>
      </c>
      <c r="I131" s="712">
        <f ca="1">IF(ROWS($1:115)&gt;COUNT(Dong14),0,IF(OFFSET(TH!N$1,SMALL(Dong14,ROWS($1:115)),)="131",OFFSET(TH!M$1,SMALL(Dong14,ROWS($1:115)),),0))</f>
        <v>0</v>
      </c>
      <c r="J131" s="713">
        <f ca="1">IF(ROWS($1:115)&gt;COUNT(Dong14),0,IF(OFFSET(TH!O$1,SMALL(Dong14,ROWS($1:115)),)="131",OFFSET(TH!K$1,SMALL(Dong14,ROWS($1:115)),),0))</f>
        <v>0</v>
      </c>
      <c r="K131" s="712">
        <f ca="1">IF(ROWS($1:115)&gt;COUNT(Dong14),0,IF(OFFSET(TH!O$1,SMALL(Dong14,ROWS($1:115)),)="131",OFFSET(TH!M$1,SMALL(Dong14,ROWS($1:115)),),0))</f>
        <v>0</v>
      </c>
      <c r="L131" s="711">
        <f t="shared" ca="1" si="30"/>
        <v>0</v>
      </c>
      <c r="M131" s="710">
        <f t="shared" ca="1" si="31"/>
        <v>0</v>
      </c>
      <c r="N131" s="711">
        <f t="shared" ca="1" si="32"/>
        <v>0</v>
      </c>
      <c r="O131" s="710">
        <f t="shared" ca="1" si="33"/>
        <v>0</v>
      </c>
    </row>
    <row r="132" spans="1:15" s="5" customFormat="1" ht="23.25" customHeight="1">
      <c r="A132" s="213" t="str">
        <f t="shared" ca="1" si="29"/>
        <v/>
      </c>
      <c r="B132" s="217" t="str">
        <f ca="1">IF(ROWS($1:116)&gt;COUNT(Dong14),"",OFFSET(TH!D$1,SMALL(Dong14,ROWS($1:116)),))</f>
        <v/>
      </c>
      <c r="C132" s="213" t="str">
        <f ca="1">IF(ROWS($1:116)&gt;COUNT(Dong14),"",OFFSET(TH!E$1,SMALL(Dong14,ROWS($1:116)),))</f>
        <v/>
      </c>
      <c r="D132" s="714" t="str">
        <f ca="1">IF(ROWS($1:116)&gt;COUNT(Dong14),"",OFFSET(TH!F$1,SMALL(Dong14,ROWS($1:116)),))</f>
        <v/>
      </c>
      <c r="E132" s="712" t="str">
        <f ca="1">IF(ROWS($1:116)&gt;COUNT(Dong14),"",IF(OFFSET(TH!N$1,SMALL(Dong14,ROWS($1:116)),)="131",OFFSET(TH!O$1,SMALL(Dong14,ROWS($1:116)),),OFFSET(TH!N$1,SMALL(Dong14,ROWS($1:116)),)))</f>
        <v/>
      </c>
      <c r="F132" s="712">
        <f ca="1">IF(ROWS($1:116)&gt;COUNT(Dong14),0,OFFSET(TH!L$1,SMALL(Dong14,ROWS($1:116)),))</f>
        <v>0</v>
      </c>
      <c r="G132" s="712"/>
      <c r="H132" s="1139">
        <f ca="1">IF(ROWS($1:116)&gt;COUNT(Dong14),0,IF(OFFSET(TH!N$1,SMALL(Dong14,ROWS($1:116)),)="131",OFFSET(TH!K$1,SMALL(Dong14,ROWS($1:116)),),0))</f>
        <v>0</v>
      </c>
      <c r="I132" s="712">
        <f ca="1">IF(ROWS($1:116)&gt;COUNT(Dong14),0,IF(OFFSET(TH!N$1,SMALL(Dong14,ROWS($1:116)),)="131",OFFSET(TH!M$1,SMALL(Dong14,ROWS($1:116)),),0))</f>
        <v>0</v>
      </c>
      <c r="J132" s="713">
        <f ca="1">IF(ROWS($1:116)&gt;COUNT(Dong14),0,IF(OFFSET(TH!O$1,SMALL(Dong14,ROWS($1:116)),)="131",OFFSET(TH!K$1,SMALL(Dong14,ROWS($1:116)),),0))</f>
        <v>0</v>
      </c>
      <c r="K132" s="712">
        <f ca="1">IF(ROWS($1:116)&gt;COUNT(Dong14),0,IF(OFFSET(TH!O$1,SMALL(Dong14,ROWS($1:116)),)="131",OFFSET(TH!M$1,SMALL(Dong14,ROWS($1:116)),),0))</f>
        <v>0</v>
      </c>
      <c r="L132" s="711">
        <f t="shared" ca="1" si="30"/>
        <v>0</v>
      </c>
      <c r="M132" s="710">
        <f t="shared" ca="1" si="31"/>
        <v>0</v>
      </c>
      <c r="N132" s="711">
        <f t="shared" ca="1" si="32"/>
        <v>0</v>
      </c>
      <c r="O132" s="710">
        <f t="shared" ca="1" si="33"/>
        <v>0</v>
      </c>
    </row>
    <row r="133" spans="1:15" s="5" customFormat="1" ht="23.25" customHeight="1">
      <c r="A133" s="213" t="str">
        <f t="shared" ca="1" si="29"/>
        <v/>
      </c>
      <c r="B133" s="217" t="str">
        <f ca="1">IF(ROWS($1:117)&gt;COUNT(Dong14),"",OFFSET(TH!D$1,SMALL(Dong14,ROWS($1:117)),))</f>
        <v/>
      </c>
      <c r="C133" s="213" t="str">
        <f ca="1">IF(ROWS($1:117)&gt;COUNT(Dong14),"",OFFSET(TH!E$1,SMALL(Dong14,ROWS($1:117)),))</f>
        <v/>
      </c>
      <c r="D133" s="714" t="str">
        <f ca="1">IF(ROWS($1:117)&gt;COUNT(Dong14),"",OFFSET(TH!F$1,SMALL(Dong14,ROWS($1:117)),))</f>
        <v/>
      </c>
      <c r="E133" s="712" t="str">
        <f ca="1">IF(ROWS($1:117)&gt;COUNT(Dong14),"",IF(OFFSET(TH!N$1,SMALL(Dong14,ROWS($1:117)),)="131",OFFSET(TH!O$1,SMALL(Dong14,ROWS($1:117)),),OFFSET(TH!N$1,SMALL(Dong14,ROWS($1:117)),)))</f>
        <v/>
      </c>
      <c r="F133" s="712">
        <f ca="1">IF(ROWS($1:117)&gt;COUNT(Dong14),0,OFFSET(TH!L$1,SMALL(Dong14,ROWS($1:117)),))</f>
        <v>0</v>
      </c>
      <c r="G133" s="712"/>
      <c r="H133" s="1139">
        <f ca="1">IF(ROWS($1:117)&gt;COUNT(Dong14),0,IF(OFFSET(TH!N$1,SMALL(Dong14,ROWS($1:117)),)="131",OFFSET(TH!K$1,SMALL(Dong14,ROWS($1:117)),),0))</f>
        <v>0</v>
      </c>
      <c r="I133" s="712">
        <f ca="1">IF(ROWS($1:117)&gt;COUNT(Dong14),0,IF(OFFSET(TH!N$1,SMALL(Dong14,ROWS($1:117)),)="131",OFFSET(TH!M$1,SMALL(Dong14,ROWS($1:117)),),0))</f>
        <v>0</v>
      </c>
      <c r="J133" s="713">
        <f ca="1">IF(ROWS($1:117)&gt;COUNT(Dong14),0,IF(OFFSET(TH!O$1,SMALL(Dong14,ROWS($1:117)),)="131",OFFSET(TH!K$1,SMALL(Dong14,ROWS($1:117)),),0))</f>
        <v>0</v>
      </c>
      <c r="K133" s="712">
        <f ca="1">IF(ROWS($1:117)&gt;COUNT(Dong14),0,IF(OFFSET(TH!O$1,SMALL(Dong14,ROWS($1:117)),)="131",OFFSET(TH!M$1,SMALL(Dong14,ROWS($1:117)),),0))</f>
        <v>0</v>
      </c>
      <c r="L133" s="711">
        <f t="shared" ca="1" si="30"/>
        <v>0</v>
      </c>
      <c r="M133" s="710">
        <f t="shared" ca="1" si="31"/>
        <v>0</v>
      </c>
      <c r="N133" s="711">
        <f t="shared" ca="1" si="32"/>
        <v>0</v>
      </c>
      <c r="O133" s="710">
        <f t="shared" ca="1" si="33"/>
        <v>0</v>
      </c>
    </row>
    <row r="134" spans="1:15" s="5" customFormat="1" ht="23.25" customHeight="1">
      <c r="A134" s="213" t="str">
        <f t="shared" ca="1" si="29"/>
        <v/>
      </c>
      <c r="B134" s="217" t="str">
        <f ca="1">IF(ROWS($1:118)&gt;COUNT(Dong14),"",OFFSET(TH!D$1,SMALL(Dong14,ROWS($1:118)),))</f>
        <v/>
      </c>
      <c r="C134" s="213" t="str">
        <f ca="1">IF(ROWS($1:118)&gt;COUNT(Dong14),"",OFFSET(TH!E$1,SMALL(Dong14,ROWS($1:118)),))</f>
        <v/>
      </c>
      <c r="D134" s="714" t="str">
        <f ca="1">IF(ROWS($1:118)&gt;COUNT(Dong14),"",OFFSET(TH!F$1,SMALL(Dong14,ROWS($1:118)),))</f>
        <v/>
      </c>
      <c r="E134" s="712" t="str">
        <f ca="1">IF(ROWS($1:118)&gt;COUNT(Dong14),"",IF(OFFSET(TH!N$1,SMALL(Dong14,ROWS($1:118)),)="131",OFFSET(TH!O$1,SMALL(Dong14,ROWS($1:118)),),OFFSET(TH!N$1,SMALL(Dong14,ROWS($1:118)),)))</f>
        <v/>
      </c>
      <c r="F134" s="712">
        <f ca="1">IF(ROWS($1:118)&gt;COUNT(Dong14),0,OFFSET(TH!L$1,SMALL(Dong14,ROWS($1:118)),))</f>
        <v>0</v>
      </c>
      <c r="G134" s="712"/>
      <c r="H134" s="1139">
        <f ca="1">IF(ROWS($1:118)&gt;COUNT(Dong14),0,IF(OFFSET(TH!N$1,SMALL(Dong14,ROWS($1:118)),)="131",OFFSET(TH!K$1,SMALL(Dong14,ROWS($1:118)),),0))</f>
        <v>0</v>
      </c>
      <c r="I134" s="712">
        <f ca="1">IF(ROWS($1:118)&gt;COUNT(Dong14),0,IF(OFFSET(TH!N$1,SMALL(Dong14,ROWS($1:118)),)="131",OFFSET(TH!M$1,SMALL(Dong14,ROWS($1:118)),),0))</f>
        <v>0</v>
      </c>
      <c r="J134" s="713">
        <f ca="1">IF(ROWS($1:118)&gt;COUNT(Dong14),0,IF(OFFSET(TH!O$1,SMALL(Dong14,ROWS($1:118)),)="131",OFFSET(TH!K$1,SMALL(Dong14,ROWS($1:118)),),0))</f>
        <v>0</v>
      </c>
      <c r="K134" s="712">
        <f ca="1">IF(ROWS($1:118)&gt;COUNT(Dong14),0,IF(OFFSET(TH!O$1,SMALL(Dong14,ROWS($1:118)),)="131",OFFSET(TH!M$1,SMALL(Dong14,ROWS($1:118)),),0))</f>
        <v>0</v>
      </c>
      <c r="L134" s="711">
        <f t="shared" ca="1" si="30"/>
        <v>0</v>
      </c>
      <c r="M134" s="710">
        <f t="shared" ca="1" si="31"/>
        <v>0</v>
      </c>
      <c r="N134" s="711">
        <f t="shared" ca="1" si="32"/>
        <v>0</v>
      </c>
      <c r="O134" s="710">
        <f t="shared" ca="1" si="33"/>
        <v>0</v>
      </c>
    </row>
    <row r="135" spans="1:15" s="5" customFormat="1" ht="23.25" customHeight="1">
      <c r="A135" s="213" t="str">
        <f t="shared" ca="1" si="29"/>
        <v/>
      </c>
      <c r="B135" s="217" t="str">
        <f ca="1">IF(ROWS($1:119)&gt;COUNT(Dong14),"",OFFSET(TH!D$1,SMALL(Dong14,ROWS($1:119)),))</f>
        <v/>
      </c>
      <c r="C135" s="213" t="str">
        <f ca="1">IF(ROWS($1:119)&gt;COUNT(Dong14),"",OFFSET(TH!E$1,SMALL(Dong14,ROWS($1:119)),))</f>
        <v/>
      </c>
      <c r="D135" s="714" t="str">
        <f ca="1">IF(ROWS($1:119)&gt;COUNT(Dong14),"",OFFSET(TH!F$1,SMALL(Dong14,ROWS($1:119)),))</f>
        <v/>
      </c>
      <c r="E135" s="712" t="str">
        <f ca="1">IF(ROWS($1:119)&gt;COUNT(Dong14),"",IF(OFFSET(TH!N$1,SMALL(Dong14,ROWS($1:119)),)="131",OFFSET(TH!O$1,SMALL(Dong14,ROWS($1:119)),),OFFSET(TH!N$1,SMALL(Dong14,ROWS($1:119)),)))</f>
        <v/>
      </c>
      <c r="F135" s="712">
        <f ca="1">IF(ROWS($1:119)&gt;COUNT(Dong14),0,OFFSET(TH!L$1,SMALL(Dong14,ROWS($1:119)),))</f>
        <v>0</v>
      </c>
      <c r="G135" s="712"/>
      <c r="H135" s="1139">
        <f ca="1">IF(ROWS($1:119)&gt;COUNT(Dong14),0,IF(OFFSET(TH!N$1,SMALL(Dong14,ROWS($1:119)),)="131",OFFSET(TH!K$1,SMALL(Dong14,ROWS($1:119)),),0))</f>
        <v>0</v>
      </c>
      <c r="I135" s="712">
        <f ca="1">IF(ROWS($1:119)&gt;COUNT(Dong14),0,IF(OFFSET(TH!N$1,SMALL(Dong14,ROWS($1:119)),)="131",OFFSET(TH!M$1,SMALL(Dong14,ROWS($1:119)),),0))</f>
        <v>0</v>
      </c>
      <c r="J135" s="713">
        <f ca="1">IF(ROWS($1:119)&gt;COUNT(Dong14),0,IF(OFFSET(TH!O$1,SMALL(Dong14,ROWS($1:119)),)="131",OFFSET(TH!K$1,SMALL(Dong14,ROWS($1:119)),),0))</f>
        <v>0</v>
      </c>
      <c r="K135" s="712">
        <f ca="1">IF(ROWS($1:119)&gt;COUNT(Dong14),0,IF(OFFSET(TH!O$1,SMALL(Dong14,ROWS($1:119)),)="131",OFFSET(TH!M$1,SMALL(Dong14,ROWS($1:119)),),0))</f>
        <v>0</v>
      </c>
      <c r="L135" s="711">
        <f t="shared" ca="1" si="30"/>
        <v>0</v>
      </c>
      <c r="M135" s="710">
        <f t="shared" ca="1" si="31"/>
        <v>0</v>
      </c>
      <c r="N135" s="711">
        <f t="shared" ca="1" si="32"/>
        <v>0</v>
      </c>
      <c r="O135" s="710">
        <f t="shared" ca="1" si="33"/>
        <v>0</v>
      </c>
    </row>
    <row r="136" spans="1:15" s="5" customFormat="1" ht="23.25" customHeight="1">
      <c r="A136" s="213" t="str">
        <f t="shared" ca="1" si="29"/>
        <v/>
      </c>
      <c r="B136" s="217" t="str">
        <f ca="1">IF(ROWS($1:120)&gt;COUNT(Dong14),"",OFFSET(TH!D$1,SMALL(Dong14,ROWS($1:120)),))</f>
        <v/>
      </c>
      <c r="C136" s="213" t="str">
        <f ca="1">IF(ROWS($1:120)&gt;COUNT(Dong14),"",OFFSET(TH!E$1,SMALL(Dong14,ROWS($1:120)),))</f>
        <v/>
      </c>
      <c r="D136" s="714" t="str">
        <f ca="1">IF(ROWS($1:120)&gt;COUNT(Dong14),"",OFFSET(TH!F$1,SMALL(Dong14,ROWS($1:120)),))</f>
        <v/>
      </c>
      <c r="E136" s="712" t="str">
        <f ca="1">IF(ROWS($1:120)&gt;COUNT(Dong14),"",IF(OFFSET(TH!N$1,SMALL(Dong14,ROWS($1:120)),)="131",OFFSET(TH!O$1,SMALL(Dong14,ROWS($1:120)),),OFFSET(TH!N$1,SMALL(Dong14,ROWS($1:120)),)))</f>
        <v/>
      </c>
      <c r="F136" s="712">
        <f ca="1">IF(ROWS($1:120)&gt;COUNT(Dong14),0,OFFSET(TH!L$1,SMALL(Dong14,ROWS($1:120)),))</f>
        <v>0</v>
      </c>
      <c r="G136" s="712"/>
      <c r="H136" s="1139">
        <f ca="1">IF(ROWS($1:120)&gt;COUNT(Dong14),0,IF(OFFSET(TH!N$1,SMALL(Dong14,ROWS($1:120)),)="131",OFFSET(TH!K$1,SMALL(Dong14,ROWS($1:120)),),0))</f>
        <v>0</v>
      </c>
      <c r="I136" s="712">
        <f ca="1">IF(ROWS($1:120)&gt;COUNT(Dong14),0,IF(OFFSET(TH!N$1,SMALL(Dong14,ROWS($1:120)),)="131",OFFSET(TH!M$1,SMALL(Dong14,ROWS($1:120)),),0))</f>
        <v>0</v>
      </c>
      <c r="J136" s="713">
        <f ca="1">IF(ROWS($1:120)&gt;COUNT(Dong14),0,IF(OFFSET(TH!O$1,SMALL(Dong14,ROWS($1:120)),)="131",OFFSET(TH!K$1,SMALL(Dong14,ROWS($1:120)),),0))</f>
        <v>0</v>
      </c>
      <c r="K136" s="712">
        <f ca="1">IF(ROWS($1:120)&gt;COUNT(Dong14),0,IF(OFFSET(TH!O$1,SMALL(Dong14,ROWS($1:120)),)="131",OFFSET(TH!M$1,SMALL(Dong14,ROWS($1:120)),),0))</f>
        <v>0</v>
      </c>
      <c r="L136" s="711">
        <f t="shared" ca="1" si="30"/>
        <v>0</v>
      </c>
      <c r="M136" s="710">
        <f t="shared" ca="1" si="31"/>
        <v>0</v>
      </c>
      <c r="N136" s="711">
        <f t="shared" ca="1" si="32"/>
        <v>0</v>
      </c>
      <c r="O136" s="710">
        <f t="shared" ca="1" si="33"/>
        <v>0</v>
      </c>
    </row>
    <row r="137" spans="1:15" s="5" customFormat="1" ht="23.25" customHeight="1">
      <c r="A137" s="213" t="str">
        <f t="shared" ca="1" si="29"/>
        <v/>
      </c>
      <c r="B137" s="217" t="str">
        <f ca="1">IF(ROWS($1:121)&gt;COUNT(Dong14),"",OFFSET(TH!D$1,SMALL(Dong14,ROWS($1:121)),))</f>
        <v/>
      </c>
      <c r="C137" s="213" t="str">
        <f ca="1">IF(ROWS($1:121)&gt;COUNT(Dong14),"",OFFSET(TH!E$1,SMALL(Dong14,ROWS($1:121)),))</f>
        <v/>
      </c>
      <c r="D137" s="714" t="str">
        <f ca="1">IF(ROWS($1:121)&gt;COUNT(Dong14),"",OFFSET(TH!F$1,SMALL(Dong14,ROWS($1:121)),))</f>
        <v/>
      </c>
      <c r="E137" s="712" t="str">
        <f ca="1">IF(ROWS($1:121)&gt;COUNT(Dong14),"",IF(OFFSET(TH!N$1,SMALL(Dong14,ROWS($1:121)),)="131",OFFSET(TH!O$1,SMALL(Dong14,ROWS($1:121)),),OFFSET(TH!N$1,SMALL(Dong14,ROWS($1:121)),)))</f>
        <v/>
      </c>
      <c r="F137" s="712">
        <f ca="1">IF(ROWS($1:121)&gt;COUNT(Dong14),0,OFFSET(TH!L$1,SMALL(Dong14,ROWS($1:121)),))</f>
        <v>0</v>
      </c>
      <c r="G137" s="712"/>
      <c r="H137" s="1139">
        <f ca="1">IF(ROWS($1:121)&gt;COUNT(Dong14),0,IF(OFFSET(TH!N$1,SMALL(Dong14,ROWS($1:121)),)="131",OFFSET(TH!K$1,SMALL(Dong14,ROWS($1:121)),),0))</f>
        <v>0</v>
      </c>
      <c r="I137" s="712">
        <f ca="1">IF(ROWS($1:121)&gt;COUNT(Dong14),0,IF(OFFSET(TH!N$1,SMALL(Dong14,ROWS($1:121)),)="131",OFFSET(TH!M$1,SMALL(Dong14,ROWS($1:121)),),0))</f>
        <v>0</v>
      </c>
      <c r="J137" s="713">
        <f ca="1">IF(ROWS($1:121)&gt;COUNT(Dong14),0,IF(OFFSET(TH!O$1,SMALL(Dong14,ROWS($1:121)),)="131",OFFSET(TH!K$1,SMALL(Dong14,ROWS($1:121)),),0))</f>
        <v>0</v>
      </c>
      <c r="K137" s="712">
        <f ca="1">IF(ROWS($1:121)&gt;COUNT(Dong14),0,IF(OFFSET(TH!O$1,SMALL(Dong14,ROWS($1:121)),)="131",OFFSET(TH!M$1,SMALL(Dong14,ROWS($1:121)),),0))</f>
        <v>0</v>
      </c>
      <c r="L137" s="711">
        <f t="shared" ca="1" si="30"/>
        <v>0</v>
      </c>
      <c r="M137" s="710">
        <f t="shared" ca="1" si="31"/>
        <v>0</v>
      </c>
      <c r="N137" s="711">
        <f t="shared" ca="1" si="32"/>
        <v>0</v>
      </c>
      <c r="O137" s="710">
        <f t="shared" ca="1" si="33"/>
        <v>0</v>
      </c>
    </row>
    <row r="138" spans="1:15" s="5" customFormat="1" ht="23.25" customHeight="1">
      <c r="A138" s="213" t="str">
        <f t="shared" ca="1" si="29"/>
        <v/>
      </c>
      <c r="B138" s="217" t="str">
        <f ca="1">IF(ROWS($1:122)&gt;COUNT(Dong14),"",OFFSET(TH!D$1,SMALL(Dong14,ROWS($1:122)),))</f>
        <v/>
      </c>
      <c r="C138" s="213" t="str">
        <f ca="1">IF(ROWS($1:122)&gt;COUNT(Dong14),"",OFFSET(TH!E$1,SMALL(Dong14,ROWS($1:122)),))</f>
        <v/>
      </c>
      <c r="D138" s="714" t="str">
        <f ca="1">IF(ROWS($1:122)&gt;COUNT(Dong14),"",OFFSET(TH!F$1,SMALL(Dong14,ROWS($1:122)),))</f>
        <v/>
      </c>
      <c r="E138" s="712" t="str">
        <f ca="1">IF(ROWS($1:122)&gt;COUNT(Dong14),"",IF(OFFSET(TH!N$1,SMALL(Dong14,ROWS($1:122)),)="131",OFFSET(TH!O$1,SMALL(Dong14,ROWS($1:122)),),OFFSET(TH!N$1,SMALL(Dong14,ROWS($1:122)),)))</f>
        <v/>
      </c>
      <c r="F138" s="712">
        <f ca="1">IF(ROWS($1:122)&gt;COUNT(Dong14),0,OFFSET(TH!L$1,SMALL(Dong14,ROWS($1:122)),))</f>
        <v>0</v>
      </c>
      <c r="G138" s="712"/>
      <c r="H138" s="1139">
        <f ca="1">IF(ROWS($1:122)&gt;COUNT(Dong14),0,IF(OFFSET(TH!N$1,SMALL(Dong14,ROWS($1:122)),)="131",OFFSET(TH!K$1,SMALL(Dong14,ROWS($1:122)),),0))</f>
        <v>0</v>
      </c>
      <c r="I138" s="712">
        <f ca="1">IF(ROWS($1:122)&gt;COUNT(Dong14),0,IF(OFFSET(TH!N$1,SMALL(Dong14,ROWS($1:122)),)="131",OFFSET(TH!M$1,SMALL(Dong14,ROWS($1:122)),),0))</f>
        <v>0</v>
      </c>
      <c r="J138" s="713">
        <f ca="1">IF(ROWS($1:122)&gt;COUNT(Dong14),0,IF(OFFSET(TH!O$1,SMALL(Dong14,ROWS($1:122)),)="131",OFFSET(TH!K$1,SMALL(Dong14,ROWS($1:122)),),0))</f>
        <v>0</v>
      </c>
      <c r="K138" s="712">
        <f ca="1">IF(ROWS($1:122)&gt;COUNT(Dong14),0,IF(OFFSET(TH!O$1,SMALL(Dong14,ROWS($1:122)),)="131",OFFSET(TH!M$1,SMALL(Dong14,ROWS($1:122)),),0))</f>
        <v>0</v>
      </c>
      <c r="L138" s="711">
        <f t="shared" ca="1" si="30"/>
        <v>0</v>
      </c>
      <c r="M138" s="710">
        <f t="shared" ca="1" si="31"/>
        <v>0</v>
      </c>
      <c r="N138" s="711">
        <f t="shared" ca="1" si="32"/>
        <v>0</v>
      </c>
      <c r="O138" s="710">
        <f t="shared" ca="1" si="33"/>
        <v>0</v>
      </c>
    </row>
    <row r="139" spans="1:15" s="5" customFormat="1" ht="23.25" customHeight="1">
      <c r="A139" s="213" t="str">
        <f t="shared" ca="1" si="29"/>
        <v/>
      </c>
      <c r="B139" s="217" t="str">
        <f ca="1">IF(ROWS($1:123)&gt;COUNT(Dong14),"",OFFSET(TH!D$1,SMALL(Dong14,ROWS($1:123)),))</f>
        <v/>
      </c>
      <c r="C139" s="213" t="str">
        <f ca="1">IF(ROWS($1:123)&gt;COUNT(Dong14),"",OFFSET(TH!E$1,SMALL(Dong14,ROWS($1:123)),))</f>
        <v/>
      </c>
      <c r="D139" s="714" t="str">
        <f ca="1">IF(ROWS($1:123)&gt;COUNT(Dong14),"",OFFSET(TH!F$1,SMALL(Dong14,ROWS($1:123)),))</f>
        <v/>
      </c>
      <c r="E139" s="712" t="str">
        <f ca="1">IF(ROWS($1:123)&gt;COUNT(Dong14),"",IF(OFFSET(TH!N$1,SMALL(Dong14,ROWS($1:123)),)="131",OFFSET(TH!O$1,SMALL(Dong14,ROWS($1:123)),),OFFSET(TH!N$1,SMALL(Dong14,ROWS($1:123)),)))</f>
        <v/>
      </c>
      <c r="F139" s="712">
        <f ca="1">IF(ROWS($1:123)&gt;COUNT(Dong14),0,OFFSET(TH!L$1,SMALL(Dong14,ROWS($1:123)),))</f>
        <v>0</v>
      </c>
      <c r="G139" s="712"/>
      <c r="H139" s="1139">
        <f ca="1">IF(ROWS($1:123)&gt;COUNT(Dong14),0,IF(OFFSET(TH!N$1,SMALL(Dong14,ROWS($1:123)),)="131",OFFSET(TH!K$1,SMALL(Dong14,ROWS($1:123)),),0))</f>
        <v>0</v>
      </c>
      <c r="I139" s="712">
        <f ca="1">IF(ROWS($1:123)&gt;COUNT(Dong14),0,IF(OFFSET(TH!N$1,SMALL(Dong14,ROWS($1:123)),)="131",OFFSET(TH!M$1,SMALL(Dong14,ROWS($1:123)),),0))</f>
        <v>0</v>
      </c>
      <c r="J139" s="713">
        <f ca="1">IF(ROWS($1:123)&gt;COUNT(Dong14),0,IF(OFFSET(TH!O$1,SMALL(Dong14,ROWS($1:123)),)="131",OFFSET(TH!K$1,SMALL(Dong14,ROWS($1:123)),),0))</f>
        <v>0</v>
      </c>
      <c r="K139" s="712">
        <f ca="1">IF(ROWS($1:123)&gt;COUNT(Dong14),0,IF(OFFSET(TH!O$1,SMALL(Dong14,ROWS($1:123)),)="131",OFFSET(TH!M$1,SMALL(Dong14,ROWS($1:123)),),0))</f>
        <v>0</v>
      </c>
      <c r="L139" s="711">
        <f t="shared" ca="1" si="30"/>
        <v>0</v>
      </c>
      <c r="M139" s="710">
        <f t="shared" ca="1" si="31"/>
        <v>0</v>
      </c>
      <c r="N139" s="711">
        <f t="shared" ca="1" si="32"/>
        <v>0</v>
      </c>
      <c r="O139" s="710">
        <f t="shared" ca="1" si="33"/>
        <v>0</v>
      </c>
    </row>
    <row r="140" spans="1:15" s="5" customFormat="1" ht="23.25" customHeight="1">
      <c r="A140" s="213" t="str">
        <f t="shared" ca="1" si="29"/>
        <v/>
      </c>
      <c r="B140" s="217" t="str">
        <f ca="1">IF(ROWS($1:124)&gt;COUNT(Dong14),"",OFFSET(TH!D$1,SMALL(Dong14,ROWS($1:124)),))</f>
        <v/>
      </c>
      <c r="C140" s="213" t="str">
        <f ca="1">IF(ROWS($1:124)&gt;COUNT(Dong14),"",OFFSET(TH!E$1,SMALL(Dong14,ROWS($1:124)),))</f>
        <v/>
      </c>
      <c r="D140" s="714" t="str">
        <f ca="1">IF(ROWS($1:124)&gt;COUNT(Dong14),"",OFFSET(TH!F$1,SMALL(Dong14,ROWS($1:124)),))</f>
        <v/>
      </c>
      <c r="E140" s="712" t="str">
        <f ca="1">IF(ROWS($1:124)&gt;COUNT(Dong14),"",IF(OFFSET(TH!N$1,SMALL(Dong14,ROWS($1:124)),)="131",OFFSET(TH!O$1,SMALL(Dong14,ROWS($1:124)),),OFFSET(TH!N$1,SMALL(Dong14,ROWS($1:124)),)))</f>
        <v/>
      </c>
      <c r="F140" s="712">
        <f ca="1">IF(ROWS($1:124)&gt;COUNT(Dong14),0,OFFSET(TH!L$1,SMALL(Dong14,ROWS($1:124)),))</f>
        <v>0</v>
      </c>
      <c r="G140" s="712"/>
      <c r="H140" s="1139">
        <f ca="1">IF(ROWS($1:124)&gt;COUNT(Dong14),0,IF(OFFSET(TH!N$1,SMALL(Dong14,ROWS($1:124)),)="131",OFFSET(TH!K$1,SMALL(Dong14,ROWS($1:124)),),0))</f>
        <v>0</v>
      </c>
      <c r="I140" s="712">
        <f ca="1">IF(ROWS($1:124)&gt;COUNT(Dong14),0,IF(OFFSET(TH!N$1,SMALL(Dong14,ROWS($1:124)),)="131",OFFSET(TH!M$1,SMALL(Dong14,ROWS($1:124)),),0))</f>
        <v>0</v>
      </c>
      <c r="J140" s="713">
        <f ca="1">IF(ROWS($1:124)&gt;COUNT(Dong14),0,IF(OFFSET(TH!O$1,SMALL(Dong14,ROWS($1:124)),)="131",OFFSET(TH!K$1,SMALL(Dong14,ROWS($1:124)),),0))</f>
        <v>0</v>
      </c>
      <c r="K140" s="712">
        <f ca="1">IF(ROWS($1:124)&gt;COUNT(Dong14),0,IF(OFFSET(TH!O$1,SMALL(Dong14,ROWS($1:124)),)="131",OFFSET(TH!M$1,SMALL(Dong14,ROWS($1:124)),),0))</f>
        <v>0</v>
      </c>
      <c r="L140" s="711">
        <f t="shared" ca="1" si="30"/>
        <v>0</v>
      </c>
      <c r="M140" s="710">
        <f t="shared" ca="1" si="31"/>
        <v>0</v>
      </c>
      <c r="N140" s="711">
        <f t="shared" ca="1" si="32"/>
        <v>0</v>
      </c>
      <c r="O140" s="710">
        <f t="shared" ca="1" si="33"/>
        <v>0</v>
      </c>
    </row>
    <row r="141" spans="1:15" s="5" customFormat="1" ht="23.25" customHeight="1">
      <c r="A141" s="213" t="str">
        <f t="shared" ca="1" si="29"/>
        <v/>
      </c>
      <c r="B141" s="217" t="str">
        <f ca="1">IF(ROWS($1:125)&gt;COUNT(Dong14),"",OFFSET(TH!D$1,SMALL(Dong14,ROWS($1:125)),))</f>
        <v/>
      </c>
      <c r="C141" s="213" t="str">
        <f ca="1">IF(ROWS($1:125)&gt;COUNT(Dong14),"",OFFSET(TH!E$1,SMALL(Dong14,ROWS($1:125)),))</f>
        <v/>
      </c>
      <c r="D141" s="714" t="str">
        <f ca="1">IF(ROWS($1:125)&gt;COUNT(Dong14),"",OFFSET(TH!F$1,SMALL(Dong14,ROWS($1:125)),))</f>
        <v/>
      </c>
      <c r="E141" s="712" t="str">
        <f ca="1">IF(ROWS($1:125)&gt;COUNT(Dong14),"",IF(OFFSET(TH!N$1,SMALL(Dong14,ROWS($1:125)),)="131",OFFSET(TH!O$1,SMALL(Dong14,ROWS($1:125)),),OFFSET(TH!N$1,SMALL(Dong14,ROWS($1:125)),)))</f>
        <v/>
      </c>
      <c r="F141" s="712">
        <f ca="1">IF(ROWS($1:125)&gt;COUNT(Dong14),0,OFFSET(TH!L$1,SMALL(Dong14,ROWS($1:125)),))</f>
        <v>0</v>
      </c>
      <c r="G141" s="712"/>
      <c r="H141" s="1139">
        <f ca="1">IF(ROWS($1:125)&gt;COUNT(Dong14),0,IF(OFFSET(TH!N$1,SMALL(Dong14,ROWS($1:125)),)="131",OFFSET(TH!K$1,SMALL(Dong14,ROWS($1:125)),),0))</f>
        <v>0</v>
      </c>
      <c r="I141" s="712">
        <f ca="1">IF(ROWS($1:125)&gt;COUNT(Dong14),0,IF(OFFSET(TH!N$1,SMALL(Dong14,ROWS($1:125)),)="131",OFFSET(TH!M$1,SMALL(Dong14,ROWS($1:125)),),0))</f>
        <v>0</v>
      </c>
      <c r="J141" s="713">
        <f ca="1">IF(ROWS($1:125)&gt;COUNT(Dong14),0,IF(OFFSET(TH!O$1,SMALL(Dong14,ROWS($1:125)),)="131",OFFSET(TH!K$1,SMALL(Dong14,ROWS($1:125)),),0))</f>
        <v>0</v>
      </c>
      <c r="K141" s="712">
        <f ca="1">IF(ROWS($1:125)&gt;COUNT(Dong14),0,IF(OFFSET(TH!O$1,SMALL(Dong14,ROWS($1:125)),)="131",OFFSET(TH!M$1,SMALL(Dong14,ROWS($1:125)),),0))</f>
        <v>0</v>
      </c>
      <c r="L141" s="711">
        <f t="shared" ca="1" si="30"/>
        <v>0</v>
      </c>
      <c r="M141" s="710">
        <f t="shared" ca="1" si="31"/>
        <v>0</v>
      </c>
      <c r="N141" s="711">
        <f t="shared" ca="1" si="32"/>
        <v>0</v>
      </c>
      <c r="O141" s="710">
        <f t="shared" ca="1" si="33"/>
        <v>0</v>
      </c>
    </row>
    <row r="142" spans="1:15" s="5" customFormat="1" ht="23.25" customHeight="1">
      <c r="A142" s="213" t="str">
        <f t="shared" ca="1" si="29"/>
        <v/>
      </c>
      <c r="B142" s="217" t="str">
        <f ca="1">IF(ROWS($1:126)&gt;COUNT(Dong14),"",OFFSET(TH!D$1,SMALL(Dong14,ROWS($1:126)),))</f>
        <v/>
      </c>
      <c r="C142" s="213" t="str">
        <f ca="1">IF(ROWS($1:126)&gt;COUNT(Dong14),"",OFFSET(TH!E$1,SMALL(Dong14,ROWS($1:126)),))</f>
        <v/>
      </c>
      <c r="D142" s="714" t="str">
        <f ca="1">IF(ROWS($1:126)&gt;COUNT(Dong14),"",OFFSET(TH!F$1,SMALL(Dong14,ROWS($1:126)),))</f>
        <v/>
      </c>
      <c r="E142" s="712" t="str">
        <f ca="1">IF(ROWS($1:126)&gt;COUNT(Dong14),"",IF(OFFSET(TH!N$1,SMALL(Dong14,ROWS($1:126)),)="131",OFFSET(TH!O$1,SMALL(Dong14,ROWS($1:126)),),OFFSET(TH!N$1,SMALL(Dong14,ROWS($1:126)),)))</f>
        <v/>
      </c>
      <c r="F142" s="712">
        <f ca="1">IF(ROWS($1:126)&gt;COUNT(Dong14),0,OFFSET(TH!L$1,SMALL(Dong14,ROWS($1:126)),))</f>
        <v>0</v>
      </c>
      <c r="G142" s="712"/>
      <c r="H142" s="1139">
        <f ca="1">IF(ROWS($1:126)&gt;COUNT(Dong14),0,IF(OFFSET(TH!N$1,SMALL(Dong14,ROWS($1:126)),)="131",OFFSET(TH!K$1,SMALL(Dong14,ROWS($1:126)),),0))</f>
        <v>0</v>
      </c>
      <c r="I142" s="712">
        <f ca="1">IF(ROWS($1:126)&gt;COUNT(Dong14),0,IF(OFFSET(TH!N$1,SMALL(Dong14,ROWS($1:126)),)="131",OFFSET(TH!M$1,SMALL(Dong14,ROWS($1:126)),),0))</f>
        <v>0</v>
      </c>
      <c r="J142" s="713">
        <f ca="1">IF(ROWS($1:126)&gt;COUNT(Dong14),0,IF(OFFSET(TH!O$1,SMALL(Dong14,ROWS($1:126)),)="131",OFFSET(TH!K$1,SMALL(Dong14,ROWS($1:126)),),0))</f>
        <v>0</v>
      </c>
      <c r="K142" s="712">
        <f ca="1">IF(ROWS($1:126)&gt;COUNT(Dong14),0,IF(OFFSET(TH!O$1,SMALL(Dong14,ROWS($1:126)),)="131",OFFSET(TH!M$1,SMALL(Dong14,ROWS($1:126)),),0))</f>
        <v>0</v>
      </c>
      <c r="L142" s="711">
        <f t="shared" ca="1" si="30"/>
        <v>0</v>
      </c>
      <c r="M142" s="710">
        <f t="shared" ca="1" si="31"/>
        <v>0</v>
      </c>
      <c r="N142" s="711">
        <f t="shared" ca="1" si="32"/>
        <v>0</v>
      </c>
      <c r="O142" s="710">
        <f t="shared" ca="1" si="33"/>
        <v>0</v>
      </c>
    </row>
    <row r="143" spans="1:15" s="5" customFormat="1" ht="23.25" customHeight="1">
      <c r="A143" s="213" t="str">
        <f t="shared" ca="1" si="29"/>
        <v/>
      </c>
      <c r="B143" s="217" t="str">
        <f ca="1">IF(ROWS($1:127)&gt;COUNT(Dong14),"",OFFSET(TH!D$1,SMALL(Dong14,ROWS($1:127)),))</f>
        <v/>
      </c>
      <c r="C143" s="213" t="str">
        <f ca="1">IF(ROWS($1:127)&gt;COUNT(Dong14),"",OFFSET(TH!E$1,SMALL(Dong14,ROWS($1:127)),))</f>
        <v/>
      </c>
      <c r="D143" s="714" t="str">
        <f ca="1">IF(ROWS($1:127)&gt;COUNT(Dong14),"",OFFSET(TH!F$1,SMALL(Dong14,ROWS($1:127)),))</f>
        <v/>
      </c>
      <c r="E143" s="712" t="str">
        <f ca="1">IF(ROWS($1:127)&gt;COUNT(Dong14),"",IF(OFFSET(TH!N$1,SMALL(Dong14,ROWS($1:127)),)="131",OFFSET(TH!O$1,SMALL(Dong14,ROWS($1:127)),),OFFSET(TH!N$1,SMALL(Dong14,ROWS($1:127)),)))</f>
        <v/>
      </c>
      <c r="F143" s="712">
        <f ca="1">IF(ROWS($1:127)&gt;COUNT(Dong14),0,OFFSET(TH!L$1,SMALL(Dong14,ROWS($1:127)),))</f>
        <v>0</v>
      </c>
      <c r="G143" s="712"/>
      <c r="H143" s="1139">
        <f ca="1">IF(ROWS($1:127)&gt;COUNT(Dong14),0,IF(OFFSET(TH!N$1,SMALL(Dong14,ROWS($1:127)),)="131",OFFSET(TH!K$1,SMALL(Dong14,ROWS($1:127)),),0))</f>
        <v>0</v>
      </c>
      <c r="I143" s="712">
        <f ca="1">IF(ROWS($1:127)&gt;COUNT(Dong14),0,IF(OFFSET(TH!N$1,SMALL(Dong14,ROWS($1:127)),)="131",OFFSET(TH!M$1,SMALL(Dong14,ROWS($1:127)),),0))</f>
        <v>0</v>
      </c>
      <c r="J143" s="713">
        <f ca="1">IF(ROWS($1:127)&gt;COUNT(Dong14),0,IF(OFFSET(TH!O$1,SMALL(Dong14,ROWS($1:127)),)="131",OFFSET(TH!K$1,SMALL(Dong14,ROWS($1:127)),),0))</f>
        <v>0</v>
      </c>
      <c r="K143" s="712">
        <f ca="1">IF(ROWS($1:127)&gt;COUNT(Dong14),0,IF(OFFSET(TH!O$1,SMALL(Dong14,ROWS($1:127)),)="131",OFFSET(TH!M$1,SMALL(Dong14,ROWS($1:127)),),0))</f>
        <v>0</v>
      </c>
      <c r="L143" s="711">
        <f t="shared" ca="1" si="30"/>
        <v>0</v>
      </c>
      <c r="M143" s="710">
        <f t="shared" ca="1" si="31"/>
        <v>0</v>
      </c>
      <c r="N143" s="711">
        <f t="shared" ca="1" si="32"/>
        <v>0</v>
      </c>
      <c r="O143" s="710">
        <f t="shared" ca="1" si="33"/>
        <v>0</v>
      </c>
    </row>
    <row r="144" spans="1:15" s="5" customFormat="1" ht="23.25" customHeight="1">
      <c r="A144" s="213" t="str">
        <f t="shared" ca="1" si="29"/>
        <v/>
      </c>
      <c r="B144" s="217" t="str">
        <f ca="1">IF(ROWS($1:128)&gt;COUNT(Dong14),"",OFFSET(TH!D$1,SMALL(Dong14,ROWS($1:128)),))</f>
        <v/>
      </c>
      <c r="C144" s="213" t="str">
        <f ca="1">IF(ROWS($1:128)&gt;COUNT(Dong14),"",OFFSET(TH!E$1,SMALL(Dong14,ROWS($1:128)),))</f>
        <v/>
      </c>
      <c r="D144" s="714" t="str">
        <f ca="1">IF(ROWS($1:128)&gt;COUNT(Dong14),"",OFFSET(TH!F$1,SMALL(Dong14,ROWS($1:128)),))</f>
        <v/>
      </c>
      <c r="E144" s="712" t="str">
        <f ca="1">IF(ROWS($1:128)&gt;COUNT(Dong14),"",IF(OFFSET(TH!N$1,SMALL(Dong14,ROWS($1:128)),)="131",OFFSET(TH!O$1,SMALL(Dong14,ROWS($1:128)),),OFFSET(TH!N$1,SMALL(Dong14,ROWS($1:128)),)))</f>
        <v/>
      </c>
      <c r="F144" s="712">
        <f ca="1">IF(ROWS($1:128)&gt;COUNT(Dong14),0,OFFSET(TH!L$1,SMALL(Dong14,ROWS($1:128)),))</f>
        <v>0</v>
      </c>
      <c r="G144" s="712"/>
      <c r="H144" s="1139">
        <f ca="1">IF(ROWS($1:128)&gt;COUNT(Dong14),0,IF(OFFSET(TH!N$1,SMALL(Dong14,ROWS($1:128)),)="131",OFFSET(TH!K$1,SMALL(Dong14,ROWS($1:128)),),0))</f>
        <v>0</v>
      </c>
      <c r="I144" s="712">
        <f ca="1">IF(ROWS($1:128)&gt;COUNT(Dong14),0,IF(OFFSET(TH!N$1,SMALL(Dong14,ROWS($1:128)),)="131",OFFSET(TH!M$1,SMALL(Dong14,ROWS($1:128)),),0))</f>
        <v>0</v>
      </c>
      <c r="J144" s="713">
        <f ca="1">IF(ROWS($1:128)&gt;COUNT(Dong14),0,IF(OFFSET(TH!O$1,SMALL(Dong14,ROWS($1:128)),)="131",OFFSET(TH!K$1,SMALL(Dong14,ROWS($1:128)),),0))</f>
        <v>0</v>
      </c>
      <c r="K144" s="712">
        <f ca="1">IF(ROWS($1:128)&gt;COUNT(Dong14),0,IF(OFFSET(TH!O$1,SMALL(Dong14,ROWS($1:128)),)="131",OFFSET(TH!M$1,SMALL(Dong14,ROWS($1:128)),),0))</f>
        <v>0</v>
      </c>
      <c r="L144" s="711">
        <f t="shared" ca="1" si="30"/>
        <v>0</v>
      </c>
      <c r="M144" s="710">
        <f t="shared" ca="1" si="31"/>
        <v>0</v>
      </c>
      <c r="N144" s="711">
        <f t="shared" ca="1" si="32"/>
        <v>0</v>
      </c>
      <c r="O144" s="710">
        <f t="shared" ca="1" si="33"/>
        <v>0</v>
      </c>
    </row>
    <row r="145" spans="1:15" s="5" customFormat="1" ht="23.25" customHeight="1">
      <c r="A145" s="213" t="str">
        <f t="shared" ca="1" si="29"/>
        <v/>
      </c>
      <c r="B145" s="217" t="str">
        <f ca="1">IF(ROWS($1:129)&gt;COUNT(Dong14),"",OFFSET(TH!D$1,SMALL(Dong14,ROWS($1:129)),))</f>
        <v/>
      </c>
      <c r="C145" s="213" t="str">
        <f ca="1">IF(ROWS($1:129)&gt;COUNT(Dong14),"",OFFSET(TH!E$1,SMALL(Dong14,ROWS($1:129)),))</f>
        <v/>
      </c>
      <c r="D145" s="714" t="str">
        <f ca="1">IF(ROWS($1:129)&gt;COUNT(Dong14),"",OFFSET(TH!F$1,SMALL(Dong14,ROWS($1:129)),))</f>
        <v/>
      </c>
      <c r="E145" s="712" t="str">
        <f ca="1">IF(ROWS($1:129)&gt;COUNT(Dong14),"",IF(OFFSET(TH!N$1,SMALL(Dong14,ROWS($1:129)),)="131",OFFSET(TH!O$1,SMALL(Dong14,ROWS($1:129)),),OFFSET(TH!N$1,SMALL(Dong14,ROWS($1:129)),)))</f>
        <v/>
      </c>
      <c r="F145" s="712">
        <f ca="1">IF(ROWS($1:129)&gt;COUNT(Dong14),0,OFFSET(TH!L$1,SMALL(Dong14,ROWS($1:129)),))</f>
        <v>0</v>
      </c>
      <c r="G145" s="712"/>
      <c r="H145" s="1139">
        <f ca="1">IF(ROWS($1:129)&gt;COUNT(Dong14),0,IF(OFFSET(TH!N$1,SMALL(Dong14,ROWS($1:129)),)="131",OFFSET(TH!K$1,SMALL(Dong14,ROWS($1:129)),),0))</f>
        <v>0</v>
      </c>
      <c r="I145" s="712">
        <f ca="1">IF(ROWS($1:129)&gt;COUNT(Dong14),0,IF(OFFSET(TH!N$1,SMALL(Dong14,ROWS($1:129)),)="131",OFFSET(TH!M$1,SMALL(Dong14,ROWS($1:129)),),0))</f>
        <v>0</v>
      </c>
      <c r="J145" s="713">
        <f ca="1">IF(ROWS($1:129)&gt;COUNT(Dong14),0,IF(OFFSET(TH!O$1,SMALL(Dong14,ROWS($1:129)),)="131",OFFSET(TH!K$1,SMALL(Dong14,ROWS($1:129)),),0))</f>
        <v>0</v>
      </c>
      <c r="K145" s="712">
        <f ca="1">IF(ROWS($1:129)&gt;COUNT(Dong14),0,IF(OFFSET(TH!O$1,SMALL(Dong14,ROWS($1:129)),)="131",OFFSET(TH!M$1,SMALL(Dong14,ROWS($1:129)),),0))</f>
        <v>0</v>
      </c>
      <c r="L145" s="711">
        <f t="shared" ca="1" si="30"/>
        <v>0</v>
      </c>
      <c r="M145" s="710">
        <f t="shared" ca="1" si="31"/>
        <v>0</v>
      </c>
      <c r="N145" s="711">
        <f t="shared" ca="1" si="32"/>
        <v>0</v>
      </c>
      <c r="O145" s="710">
        <f t="shared" ca="1" si="33"/>
        <v>0</v>
      </c>
    </row>
    <row r="146" spans="1:15" s="5" customFormat="1" ht="23.25" customHeight="1">
      <c r="A146" s="213" t="str">
        <f t="shared" ca="1" si="29"/>
        <v/>
      </c>
      <c r="B146" s="217" t="str">
        <f ca="1">IF(ROWS($1:130)&gt;COUNT(Dong14),"",OFFSET(TH!D$1,SMALL(Dong14,ROWS($1:130)),))</f>
        <v/>
      </c>
      <c r="C146" s="213" t="str">
        <f ca="1">IF(ROWS($1:130)&gt;COUNT(Dong14),"",OFFSET(TH!E$1,SMALL(Dong14,ROWS($1:130)),))</f>
        <v/>
      </c>
      <c r="D146" s="714" t="str">
        <f ca="1">IF(ROWS($1:130)&gt;COUNT(Dong14),"",OFFSET(TH!F$1,SMALL(Dong14,ROWS($1:130)),))</f>
        <v/>
      </c>
      <c r="E146" s="712" t="str">
        <f ca="1">IF(ROWS($1:130)&gt;COUNT(Dong14),"",IF(OFFSET(TH!N$1,SMALL(Dong14,ROWS($1:130)),)="131",OFFSET(TH!O$1,SMALL(Dong14,ROWS($1:130)),),OFFSET(TH!N$1,SMALL(Dong14,ROWS($1:130)),)))</f>
        <v/>
      </c>
      <c r="F146" s="712">
        <f ca="1">IF(ROWS($1:130)&gt;COUNT(Dong14),0,OFFSET(TH!L$1,SMALL(Dong14,ROWS($1:130)),))</f>
        <v>0</v>
      </c>
      <c r="G146" s="712"/>
      <c r="H146" s="1139">
        <f ca="1">IF(ROWS($1:130)&gt;COUNT(Dong14),0,IF(OFFSET(TH!N$1,SMALL(Dong14,ROWS($1:130)),)="131",OFFSET(TH!K$1,SMALL(Dong14,ROWS($1:130)),),0))</f>
        <v>0</v>
      </c>
      <c r="I146" s="712">
        <f ca="1">IF(ROWS($1:130)&gt;COUNT(Dong14),0,IF(OFFSET(TH!N$1,SMALL(Dong14,ROWS($1:130)),)="131",OFFSET(TH!M$1,SMALL(Dong14,ROWS($1:130)),),0))</f>
        <v>0</v>
      </c>
      <c r="J146" s="713">
        <f ca="1">IF(ROWS($1:130)&gt;COUNT(Dong14),0,IF(OFFSET(TH!O$1,SMALL(Dong14,ROWS($1:130)),)="131",OFFSET(TH!K$1,SMALL(Dong14,ROWS($1:130)),),0))</f>
        <v>0</v>
      </c>
      <c r="K146" s="712">
        <f ca="1">IF(ROWS($1:130)&gt;COUNT(Dong14),0,IF(OFFSET(TH!O$1,SMALL(Dong14,ROWS($1:130)),)="131",OFFSET(TH!M$1,SMALL(Dong14,ROWS($1:130)),),0))</f>
        <v>0</v>
      </c>
      <c r="L146" s="711">
        <f t="shared" ca="1" si="30"/>
        <v>0</v>
      </c>
      <c r="M146" s="710">
        <f t="shared" ca="1" si="31"/>
        <v>0</v>
      </c>
      <c r="N146" s="711">
        <f t="shared" ca="1" si="32"/>
        <v>0</v>
      </c>
      <c r="O146" s="710">
        <f t="shared" ca="1" si="33"/>
        <v>0</v>
      </c>
    </row>
    <row r="147" spans="1:15" s="5" customFormat="1" ht="23.25" customHeight="1">
      <c r="A147" s="213" t="str">
        <f t="shared" ca="1" si="29"/>
        <v/>
      </c>
      <c r="B147" s="217" t="str">
        <f ca="1">IF(ROWS($1:131)&gt;COUNT(Dong14),"",OFFSET(TH!D$1,SMALL(Dong14,ROWS($1:131)),))</f>
        <v/>
      </c>
      <c r="C147" s="213" t="str">
        <f ca="1">IF(ROWS($1:131)&gt;COUNT(Dong14),"",OFFSET(TH!E$1,SMALL(Dong14,ROWS($1:131)),))</f>
        <v/>
      </c>
      <c r="D147" s="714" t="str">
        <f ca="1">IF(ROWS($1:131)&gt;COUNT(Dong14),"",OFFSET(TH!F$1,SMALL(Dong14,ROWS($1:131)),))</f>
        <v/>
      </c>
      <c r="E147" s="712" t="str">
        <f ca="1">IF(ROWS($1:131)&gt;COUNT(Dong14),"",IF(OFFSET(TH!N$1,SMALL(Dong14,ROWS($1:131)),)="131",OFFSET(TH!O$1,SMALL(Dong14,ROWS($1:131)),),OFFSET(TH!N$1,SMALL(Dong14,ROWS($1:131)),)))</f>
        <v/>
      </c>
      <c r="F147" s="712">
        <f ca="1">IF(ROWS($1:131)&gt;COUNT(Dong14),0,OFFSET(TH!L$1,SMALL(Dong14,ROWS($1:131)),))</f>
        <v>0</v>
      </c>
      <c r="G147" s="712"/>
      <c r="H147" s="1139">
        <f ca="1">IF(ROWS($1:131)&gt;COUNT(Dong14),0,IF(OFFSET(TH!N$1,SMALL(Dong14,ROWS($1:131)),)="131",OFFSET(TH!K$1,SMALL(Dong14,ROWS($1:131)),),0))</f>
        <v>0</v>
      </c>
      <c r="I147" s="712">
        <f ca="1">IF(ROWS($1:131)&gt;COUNT(Dong14),0,IF(OFFSET(TH!N$1,SMALL(Dong14,ROWS($1:131)),)="131",OFFSET(TH!M$1,SMALL(Dong14,ROWS($1:131)),),0))</f>
        <v>0</v>
      </c>
      <c r="J147" s="713">
        <f ca="1">IF(ROWS($1:131)&gt;COUNT(Dong14),0,IF(OFFSET(TH!O$1,SMALL(Dong14,ROWS($1:131)),)="131",OFFSET(TH!K$1,SMALL(Dong14,ROWS($1:131)),),0))</f>
        <v>0</v>
      </c>
      <c r="K147" s="712">
        <f ca="1">IF(ROWS($1:131)&gt;COUNT(Dong14),0,IF(OFFSET(TH!O$1,SMALL(Dong14,ROWS($1:131)),)="131",OFFSET(TH!M$1,SMALL(Dong14,ROWS($1:131)),),0))</f>
        <v>0</v>
      </c>
      <c r="L147" s="711">
        <f t="shared" ca="1" si="30"/>
        <v>0</v>
      </c>
      <c r="M147" s="710">
        <f t="shared" ca="1" si="31"/>
        <v>0</v>
      </c>
      <c r="N147" s="711">
        <f t="shared" ca="1" si="32"/>
        <v>0</v>
      </c>
      <c r="O147" s="710">
        <f t="shared" ca="1" si="33"/>
        <v>0</v>
      </c>
    </row>
    <row r="148" spans="1:15" s="5" customFormat="1" ht="23.25" customHeight="1">
      <c r="A148" s="213" t="str">
        <f t="shared" ca="1" si="29"/>
        <v/>
      </c>
      <c r="B148" s="217" t="str">
        <f ca="1">IF(ROWS($1:132)&gt;COUNT(Dong14),"",OFFSET(TH!D$1,SMALL(Dong14,ROWS($1:132)),))</f>
        <v/>
      </c>
      <c r="C148" s="213" t="str">
        <f ca="1">IF(ROWS($1:132)&gt;COUNT(Dong14),"",OFFSET(TH!E$1,SMALL(Dong14,ROWS($1:132)),))</f>
        <v/>
      </c>
      <c r="D148" s="714" t="str">
        <f ca="1">IF(ROWS($1:132)&gt;COUNT(Dong14),"",OFFSET(TH!F$1,SMALL(Dong14,ROWS($1:132)),))</f>
        <v/>
      </c>
      <c r="E148" s="712" t="str">
        <f ca="1">IF(ROWS($1:132)&gt;COUNT(Dong14),"",IF(OFFSET(TH!N$1,SMALL(Dong14,ROWS($1:132)),)="131",OFFSET(TH!O$1,SMALL(Dong14,ROWS($1:132)),),OFFSET(TH!N$1,SMALL(Dong14,ROWS($1:132)),)))</f>
        <v/>
      </c>
      <c r="F148" s="712">
        <f ca="1">IF(ROWS($1:132)&gt;COUNT(Dong14),0,OFFSET(TH!L$1,SMALL(Dong14,ROWS($1:132)),))</f>
        <v>0</v>
      </c>
      <c r="G148" s="712"/>
      <c r="H148" s="1139">
        <f ca="1">IF(ROWS($1:132)&gt;COUNT(Dong14),0,IF(OFFSET(TH!N$1,SMALL(Dong14,ROWS($1:132)),)="131",OFFSET(TH!K$1,SMALL(Dong14,ROWS($1:132)),),0))</f>
        <v>0</v>
      </c>
      <c r="I148" s="712">
        <f ca="1">IF(ROWS($1:132)&gt;COUNT(Dong14),0,IF(OFFSET(TH!N$1,SMALL(Dong14,ROWS($1:132)),)="131",OFFSET(TH!M$1,SMALL(Dong14,ROWS($1:132)),),0))</f>
        <v>0</v>
      </c>
      <c r="J148" s="713">
        <f ca="1">IF(ROWS($1:132)&gt;COUNT(Dong14),0,IF(OFFSET(TH!O$1,SMALL(Dong14,ROWS($1:132)),)="131",OFFSET(TH!K$1,SMALL(Dong14,ROWS($1:132)),),0))</f>
        <v>0</v>
      </c>
      <c r="K148" s="712">
        <f ca="1">IF(ROWS($1:132)&gt;COUNT(Dong14),0,IF(OFFSET(TH!O$1,SMALL(Dong14,ROWS($1:132)),)="131",OFFSET(TH!M$1,SMALL(Dong14,ROWS($1:132)),),0))</f>
        <v>0</v>
      </c>
      <c r="L148" s="711">
        <f t="shared" ca="1" si="30"/>
        <v>0</v>
      </c>
      <c r="M148" s="710">
        <f t="shared" ca="1" si="31"/>
        <v>0</v>
      </c>
      <c r="N148" s="711">
        <f t="shared" ca="1" si="32"/>
        <v>0</v>
      </c>
      <c r="O148" s="710">
        <f t="shared" ca="1" si="33"/>
        <v>0</v>
      </c>
    </row>
    <row r="149" spans="1:15" s="5" customFormat="1" ht="23.25" customHeight="1">
      <c r="A149" s="213" t="str">
        <f t="shared" ca="1" si="29"/>
        <v/>
      </c>
      <c r="B149" s="217" t="str">
        <f ca="1">IF(ROWS($1:133)&gt;COUNT(Dong14),"",OFFSET(TH!D$1,SMALL(Dong14,ROWS($1:133)),))</f>
        <v/>
      </c>
      <c r="C149" s="213" t="str">
        <f ca="1">IF(ROWS($1:133)&gt;COUNT(Dong14),"",OFFSET(TH!E$1,SMALL(Dong14,ROWS($1:133)),))</f>
        <v/>
      </c>
      <c r="D149" s="714" t="str">
        <f ca="1">IF(ROWS($1:133)&gt;COUNT(Dong14),"",OFFSET(TH!F$1,SMALL(Dong14,ROWS($1:133)),))</f>
        <v/>
      </c>
      <c r="E149" s="712" t="str">
        <f ca="1">IF(ROWS($1:133)&gt;COUNT(Dong14),"",IF(OFFSET(TH!N$1,SMALL(Dong14,ROWS($1:133)),)="131",OFFSET(TH!O$1,SMALL(Dong14,ROWS($1:133)),),OFFSET(TH!N$1,SMALL(Dong14,ROWS($1:133)),)))</f>
        <v/>
      </c>
      <c r="F149" s="712">
        <f ca="1">IF(ROWS($1:133)&gt;COUNT(Dong14),0,OFFSET(TH!L$1,SMALL(Dong14,ROWS($1:133)),))</f>
        <v>0</v>
      </c>
      <c r="G149" s="712"/>
      <c r="H149" s="1139">
        <f ca="1">IF(ROWS($1:133)&gt;COUNT(Dong14),0,IF(OFFSET(TH!N$1,SMALL(Dong14,ROWS($1:133)),)="131",OFFSET(TH!K$1,SMALL(Dong14,ROWS($1:133)),),0))</f>
        <v>0</v>
      </c>
      <c r="I149" s="712">
        <f ca="1">IF(ROWS($1:133)&gt;COUNT(Dong14),0,IF(OFFSET(TH!N$1,SMALL(Dong14,ROWS($1:133)),)="131",OFFSET(TH!M$1,SMALL(Dong14,ROWS($1:133)),),0))</f>
        <v>0</v>
      </c>
      <c r="J149" s="713">
        <f ca="1">IF(ROWS($1:133)&gt;COUNT(Dong14),0,IF(OFFSET(TH!O$1,SMALL(Dong14,ROWS($1:133)),)="131",OFFSET(TH!K$1,SMALL(Dong14,ROWS($1:133)),),0))</f>
        <v>0</v>
      </c>
      <c r="K149" s="712">
        <f ca="1">IF(ROWS($1:133)&gt;COUNT(Dong14),0,IF(OFFSET(TH!O$1,SMALL(Dong14,ROWS($1:133)),)="131",OFFSET(TH!M$1,SMALL(Dong14,ROWS($1:133)),),0))</f>
        <v>0</v>
      </c>
      <c r="L149" s="711">
        <f t="shared" ca="1" si="30"/>
        <v>0</v>
      </c>
      <c r="M149" s="710">
        <f t="shared" ca="1" si="31"/>
        <v>0</v>
      </c>
      <c r="N149" s="711">
        <f t="shared" ca="1" si="32"/>
        <v>0</v>
      </c>
      <c r="O149" s="710">
        <f t="shared" ca="1" si="33"/>
        <v>0</v>
      </c>
    </row>
    <row r="150" spans="1:15" s="5" customFormat="1" ht="23.25" customHeight="1">
      <c r="A150" s="213" t="str">
        <f t="shared" ca="1" si="29"/>
        <v/>
      </c>
      <c r="B150" s="217" t="str">
        <f ca="1">IF(ROWS($1:134)&gt;COUNT(Dong14),"",OFFSET(TH!D$1,SMALL(Dong14,ROWS($1:134)),))</f>
        <v/>
      </c>
      <c r="C150" s="213" t="str">
        <f ca="1">IF(ROWS($1:134)&gt;COUNT(Dong14),"",OFFSET(TH!E$1,SMALL(Dong14,ROWS($1:134)),))</f>
        <v/>
      </c>
      <c r="D150" s="714" t="str">
        <f ca="1">IF(ROWS($1:134)&gt;COUNT(Dong14),"",OFFSET(TH!F$1,SMALL(Dong14,ROWS($1:134)),))</f>
        <v/>
      </c>
      <c r="E150" s="712" t="str">
        <f ca="1">IF(ROWS($1:134)&gt;COUNT(Dong14),"",IF(OFFSET(TH!N$1,SMALL(Dong14,ROWS($1:134)),)="131",OFFSET(TH!O$1,SMALL(Dong14,ROWS($1:134)),),OFFSET(TH!N$1,SMALL(Dong14,ROWS($1:134)),)))</f>
        <v/>
      </c>
      <c r="F150" s="712">
        <f ca="1">IF(ROWS($1:134)&gt;COUNT(Dong14),0,OFFSET(TH!L$1,SMALL(Dong14,ROWS($1:134)),))</f>
        <v>0</v>
      </c>
      <c r="G150" s="712"/>
      <c r="H150" s="1139">
        <f ca="1">IF(ROWS($1:134)&gt;COUNT(Dong14),0,IF(OFFSET(TH!N$1,SMALL(Dong14,ROWS($1:134)),)="131",OFFSET(TH!K$1,SMALL(Dong14,ROWS($1:134)),),0))</f>
        <v>0</v>
      </c>
      <c r="I150" s="712">
        <f ca="1">IF(ROWS($1:134)&gt;COUNT(Dong14),0,IF(OFFSET(TH!N$1,SMALL(Dong14,ROWS($1:134)),)="131",OFFSET(TH!M$1,SMALL(Dong14,ROWS($1:134)),),0))</f>
        <v>0</v>
      </c>
      <c r="J150" s="713">
        <f ca="1">IF(ROWS($1:134)&gt;COUNT(Dong14),0,IF(OFFSET(TH!O$1,SMALL(Dong14,ROWS($1:134)),)="131",OFFSET(TH!K$1,SMALL(Dong14,ROWS($1:134)),),0))</f>
        <v>0</v>
      </c>
      <c r="K150" s="712">
        <f ca="1">IF(ROWS($1:134)&gt;COUNT(Dong14),0,IF(OFFSET(TH!O$1,SMALL(Dong14,ROWS($1:134)),)="131",OFFSET(TH!M$1,SMALL(Dong14,ROWS($1:134)),),0))</f>
        <v>0</v>
      </c>
      <c r="L150" s="711">
        <f t="shared" ca="1" si="30"/>
        <v>0</v>
      </c>
      <c r="M150" s="710">
        <f t="shared" ca="1" si="31"/>
        <v>0</v>
      </c>
      <c r="N150" s="711">
        <f t="shared" ca="1" si="32"/>
        <v>0</v>
      </c>
      <c r="O150" s="710">
        <f t="shared" ca="1" si="33"/>
        <v>0</v>
      </c>
    </row>
    <row r="151" spans="1:15" s="5" customFormat="1" ht="23.25" customHeight="1">
      <c r="A151" s="213" t="str">
        <f t="shared" ca="1" si="29"/>
        <v/>
      </c>
      <c r="B151" s="217" t="str">
        <f ca="1">IF(ROWS($1:135)&gt;COUNT(Dong14),"",OFFSET(TH!D$1,SMALL(Dong14,ROWS($1:135)),))</f>
        <v/>
      </c>
      <c r="C151" s="213" t="str">
        <f ca="1">IF(ROWS($1:135)&gt;COUNT(Dong14),"",OFFSET(TH!E$1,SMALL(Dong14,ROWS($1:135)),))</f>
        <v/>
      </c>
      <c r="D151" s="714" t="str">
        <f ca="1">IF(ROWS($1:135)&gt;COUNT(Dong14),"",OFFSET(TH!F$1,SMALL(Dong14,ROWS($1:135)),))</f>
        <v/>
      </c>
      <c r="E151" s="712" t="str">
        <f ca="1">IF(ROWS($1:135)&gt;COUNT(Dong14),"",IF(OFFSET(TH!N$1,SMALL(Dong14,ROWS($1:135)),)="131",OFFSET(TH!O$1,SMALL(Dong14,ROWS($1:135)),),OFFSET(TH!N$1,SMALL(Dong14,ROWS($1:135)),)))</f>
        <v/>
      </c>
      <c r="F151" s="712">
        <f ca="1">IF(ROWS($1:135)&gt;COUNT(Dong14),0,OFFSET(TH!L$1,SMALL(Dong14,ROWS($1:135)),))</f>
        <v>0</v>
      </c>
      <c r="G151" s="712"/>
      <c r="H151" s="1139">
        <f ca="1">IF(ROWS($1:135)&gt;COUNT(Dong14),0,IF(OFFSET(TH!N$1,SMALL(Dong14,ROWS($1:135)),)="131",OFFSET(TH!K$1,SMALL(Dong14,ROWS($1:135)),),0))</f>
        <v>0</v>
      </c>
      <c r="I151" s="712">
        <f ca="1">IF(ROWS($1:135)&gt;COUNT(Dong14),0,IF(OFFSET(TH!N$1,SMALL(Dong14,ROWS($1:135)),)="131",OFFSET(TH!M$1,SMALL(Dong14,ROWS($1:135)),),0))</f>
        <v>0</v>
      </c>
      <c r="J151" s="713">
        <f ca="1">IF(ROWS($1:135)&gt;COUNT(Dong14),0,IF(OFFSET(TH!O$1,SMALL(Dong14,ROWS($1:135)),)="131",OFFSET(TH!K$1,SMALL(Dong14,ROWS($1:135)),),0))</f>
        <v>0</v>
      </c>
      <c r="K151" s="712">
        <f ca="1">IF(ROWS($1:135)&gt;COUNT(Dong14),0,IF(OFFSET(TH!O$1,SMALL(Dong14,ROWS($1:135)),)="131",OFFSET(TH!M$1,SMALL(Dong14,ROWS($1:135)),),0))</f>
        <v>0</v>
      </c>
      <c r="L151" s="711">
        <f t="shared" ca="1" si="30"/>
        <v>0</v>
      </c>
      <c r="M151" s="710">
        <f t="shared" ca="1" si="31"/>
        <v>0</v>
      </c>
      <c r="N151" s="711">
        <f t="shared" ca="1" si="32"/>
        <v>0</v>
      </c>
      <c r="O151" s="710">
        <f t="shared" ca="1" si="33"/>
        <v>0</v>
      </c>
    </row>
    <row r="152" spans="1:15" s="5" customFormat="1" ht="23.25" customHeight="1">
      <c r="A152" s="213" t="str">
        <f t="shared" ca="1" si="29"/>
        <v/>
      </c>
      <c r="B152" s="217" t="str">
        <f ca="1">IF(ROWS($1:136)&gt;COUNT(Dong14),"",OFFSET(TH!D$1,SMALL(Dong14,ROWS($1:136)),))</f>
        <v/>
      </c>
      <c r="C152" s="213" t="str">
        <f ca="1">IF(ROWS($1:136)&gt;COUNT(Dong14),"",OFFSET(TH!E$1,SMALL(Dong14,ROWS($1:136)),))</f>
        <v/>
      </c>
      <c r="D152" s="714" t="str">
        <f ca="1">IF(ROWS($1:136)&gt;COUNT(Dong14),"",OFFSET(TH!F$1,SMALL(Dong14,ROWS($1:136)),))</f>
        <v/>
      </c>
      <c r="E152" s="712" t="str">
        <f ca="1">IF(ROWS($1:136)&gt;COUNT(Dong14),"",IF(OFFSET(TH!N$1,SMALL(Dong14,ROWS($1:136)),)="131",OFFSET(TH!O$1,SMALL(Dong14,ROWS($1:136)),),OFFSET(TH!N$1,SMALL(Dong14,ROWS($1:136)),)))</f>
        <v/>
      </c>
      <c r="F152" s="712">
        <f ca="1">IF(ROWS($1:136)&gt;COUNT(Dong14),0,OFFSET(TH!L$1,SMALL(Dong14,ROWS($1:136)),))</f>
        <v>0</v>
      </c>
      <c r="G152" s="712"/>
      <c r="H152" s="1139">
        <f ca="1">IF(ROWS($1:136)&gt;COUNT(Dong14),0,IF(OFFSET(TH!N$1,SMALL(Dong14,ROWS($1:136)),)="131",OFFSET(TH!K$1,SMALL(Dong14,ROWS($1:136)),),0))</f>
        <v>0</v>
      </c>
      <c r="I152" s="712">
        <f ca="1">IF(ROWS($1:136)&gt;COUNT(Dong14),0,IF(OFFSET(TH!N$1,SMALL(Dong14,ROWS($1:136)),)="131",OFFSET(TH!M$1,SMALL(Dong14,ROWS($1:136)),),0))</f>
        <v>0</v>
      </c>
      <c r="J152" s="713">
        <f ca="1">IF(ROWS($1:136)&gt;COUNT(Dong14),0,IF(OFFSET(TH!O$1,SMALL(Dong14,ROWS($1:136)),)="131",OFFSET(TH!K$1,SMALL(Dong14,ROWS($1:136)),),0))</f>
        <v>0</v>
      </c>
      <c r="K152" s="712">
        <f ca="1">IF(ROWS($1:136)&gt;COUNT(Dong14),0,IF(OFFSET(TH!O$1,SMALL(Dong14,ROWS($1:136)),)="131",OFFSET(TH!M$1,SMALL(Dong14,ROWS($1:136)),),0))</f>
        <v>0</v>
      </c>
      <c r="L152" s="711">
        <f t="shared" ca="1" si="30"/>
        <v>0</v>
      </c>
      <c r="M152" s="710">
        <f t="shared" ca="1" si="31"/>
        <v>0</v>
      </c>
      <c r="N152" s="711">
        <f t="shared" ca="1" si="32"/>
        <v>0</v>
      </c>
      <c r="O152" s="710">
        <f t="shared" ca="1" si="33"/>
        <v>0</v>
      </c>
    </row>
    <row r="153" spans="1:15" s="5" customFormat="1" ht="23.25" customHeight="1">
      <c r="A153" s="213" t="str">
        <f t="shared" ca="1" si="29"/>
        <v/>
      </c>
      <c r="B153" s="217" t="str">
        <f ca="1">IF(ROWS($1:137)&gt;COUNT(Dong14),"",OFFSET(TH!D$1,SMALL(Dong14,ROWS($1:137)),))</f>
        <v/>
      </c>
      <c r="C153" s="213" t="str">
        <f ca="1">IF(ROWS($1:137)&gt;COUNT(Dong14),"",OFFSET(TH!E$1,SMALL(Dong14,ROWS($1:137)),))</f>
        <v/>
      </c>
      <c r="D153" s="714" t="str">
        <f ca="1">IF(ROWS($1:137)&gt;COUNT(Dong14),"",OFFSET(TH!F$1,SMALL(Dong14,ROWS($1:137)),))</f>
        <v/>
      </c>
      <c r="E153" s="712" t="str">
        <f ca="1">IF(ROWS($1:137)&gt;COUNT(Dong14),"",IF(OFFSET(TH!N$1,SMALL(Dong14,ROWS($1:137)),)="131",OFFSET(TH!O$1,SMALL(Dong14,ROWS($1:137)),),OFFSET(TH!N$1,SMALL(Dong14,ROWS($1:137)),)))</f>
        <v/>
      </c>
      <c r="F153" s="712">
        <f ca="1">IF(ROWS($1:137)&gt;COUNT(Dong14),0,OFFSET(TH!L$1,SMALL(Dong14,ROWS($1:137)),))</f>
        <v>0</v>
      </c>
      <c r="G153" s="712"/>
      <c r="H153" s="1139">
        <f ca="1">IF(ROWS($1:137)&gt;COUNT(Dong14),0,IF(OFFSET(TH!N$1,SMALL(Dong14,ROWS($1:137)),)="131",OFFSET(TH!K$1,SMALL(Dong14,ROWS($1:137)),),0))</f>
        <v>0</v>
      </c>
      <c r="I153" s="712">
        <f ca="1">IF(ROWS($1:137)&gt;COUNT(Dong14),0,IF(OFFSET(TH!N$1,SMALL(Dong14,ROWS($1:137)),)="131",OFFSET(TH!M$1,SMALL(Dong14,ROWS($1:137)),),0))</f>
        <v>0</v>
      </c>
      <c r="J153" s="713">
        <f ca="1">IF(ROWS($1:137)&gt;COUNT(Dong14),0,IF(OFFSET(TH!O$1,SMALL(Dong14,ROWS($1:137)),)="131",OFFSET(TH!K$1,SMALL(Dong14,ROWS($1:137)),),0))</f>
        <v>0</v>
      </c>
      <c r="K153" s="712">
        <f ca="1">IF(ROWS($1:137)&gt;COUNT(Dong14),0,IF(OFFSET(TH!O$1,SMALL(Dong14,ROWS($1:137)),)="131",OFFSET(TH!M$1,SMALL(Dong14,ROWS($1:137)),),0))</f>
        <v>0</v>
      </c>
      <c r="L153" s="711">
        <f t="shared" ca="1" si="30"/>
        <v>0</v>
      </c>
      <c r="M153" s="710">
        <f t="shared" ca="1" si="31"/>
        <v>0</v>
      </c>
      <c r="N153" s="711">
        <f t="shared" ca="1" si="32"/>
        <v>0</v>
      </c>
      <c r="O153" s="710">
        <f t="shared" ca="1" si="33"/>
        <v>0</v>
      </c>
    </row>
    <row r="154" spans="1:15" s="5" customFormat="1" ht="23.25" customHeight="1">
      <c r="A154" s="213" t="str">
        <f t="shared" ca="1" si="29"/>
        <v/>
      </c>
      <c r="B154" s="217" t="str">
        <f ca="1">IF(ROWS($1:138)&gt;COUNT(Dong14),"",OFFSET(TH!D$1,SMALL(Dong14,ROWS($1:138)),))</f>
        <v/>
      </c>
      <c r="C154" s="213" t="str">
        <f ca="1">IF(ROWS($1:138)&gt;COUNT(Dong14),"",OFFSET(TH!E$1,SMALL(Dong14,ROWS($1:138)),))</f>
        <v/>
      </c>
      <c r="D154" s="714" t="str">
        <f ca="1">IF(ROWS($1:138)&gt;COUNT(Dong14),"",OFFSET(TH!F$1,SMALL(Dong14,ROWS($1:138)),))</f>
        <v/>
      </c>
      <c r="E154" s="712" t="str">
        <f ca="1">IF(ROWS($1:138)&gt;COUNT(Dong14),"",IF(OFFSET(TH!N$1,SMALL(Dong14,ROWS($1:138)),)="131",OFFSET(TH!O$1,SMALL(Dong14,ROWS($1:138)),),OFFSET(TH!N$1,SMALL(Dong14,ROWS($1:138)),)))</f>
        <v/>
      </c>
      <c r="F154" s="712">
        <f ca="1">IF(ROWS($1:138)&gt;COUNT(Dong14),0,OFFSET(TH!L$1,SMALL(Dong14,ROWS($1:138)),))</f>
        <v>0</v>
      </c>
      <c r="G154" s="712"/>
      <c r="H154" s="1139">
        <f ca="1">IF(ROWS($1:138)&gt;COUNT(Dong14),0,IF(OFFSET(TH!N$1,SMALL(Dong14,ROWS($1:138)),)="131",OFFSET(TH!K$1,SMALL(Dong14,ROWS($1:138)),),0))</f>
        <v>0</v>
      </c>
      <c r="I154" s="712">
        <f ca="1">IF(ROWS($1:138)&gt;COUNT(Dong14),0,IF(OFFSET(TH!N$1,SMALL(Dong14,ROWS($1:138)),)="131",OFFSET(TH!M$1,SMALL(Dong14,ROWS($1:138)),),0))</f>
        <v>0</v>
      </c>
      <c r="J154" s="713">
        <f ca="1">IF(ROWS($1:138)&gt;COUNT(Dong14),0,IF(OFFSET(TH!O$1,SMALL(Dong14,ROWS($1:138)),)="131",OFFSET(TH!K$1,SMALL(Dong14,ROWS($1:138)),),0))</f>
        <v>0</v>
      </c>
      <c r="K154" s="712">
        <f ca="1">IF(ROWS($1:138)&gt;COUNT(Dong14),0,IF(OFFSET(TH!O$1,SMALL(Dong14,ROWS($1:138)),)="131",OFFSET(TH!M$1,SMALL(Dong14,ROWS($1:138)),),0))</f>
        <v>0</v>
      </c>
      <c r="L154" s="711">
        <f t="shared" ca="1" si="30"/>
        <v>0</v>
      </c>
      <c r="M154" s="710">
        <f t="shared" ca="1" si="31"/>
        <v>0</v>
      </c>
      <c r="N154" s="711">
        <f t="shared" ca="1" si="32"/>
        <v>0</v>
      </c>
      <c r="O154" s="710">
        <f t="shared" ca="1" si="33"/>
        <v>0</v>
      </c>
    </row>
    <row r="155" spans="1:15" s="5" customFormat="1" ht="23.25" customHeight="1">
      <c r="A155" s="213" t="str">
        <f t="shared" ca="1" si="29"/>
        <v/>
      </c>
      <c r="B155" s="217" t="str">
        <f ca="1">IF(ROWS($1:139)&gt;COUNT(Dong14),"",OFFSET(TH!D$1,SMALL(Dong14,ROWS($1:139)),))</f>
        <v/>
      </c>
      <c r="C155" s="213" t="str">
        <f ca="1">IF(ROWS($1:139)&gt;COUNT(Dong14),"",OFFSET(TH!E$1,SMALL(Dong14,ROWS($1:139)),))</f>
        <v/>
      </c>
      <c r="D155" s="714" t="str">
        <f ca="1">IF(ROWS($1:139)&gt;COUNT(Dong14),"",OFFSET(TH!F$1,SMALL(Dong14,ROWS($1:139)),))</f>
        <v/>
      </c>
      <c r="E155" s="712" t="str">
        <f ca="1">IF(ROWS($1:139)&gt;COUNT(Dong14),"",IF(OFFSET(TH!N$1,SMALL(Dong14,ROWS($1:139)),)="131",OFFSET(TH!O$1,SMALL(Dong14,ROWS($1:139)),),OFFSET(TH!N$1,SMALL(Dong14,ROWS($1:139)),)))</f>
        <v/>
      </c>
      <c r="F155" s="712">
        <f ca="1">IF(ROWS($1:139)&gt;COUNT(Dong14),0,OFFSET(TH!L$1,SMALL(Dong14,ROWS($1:139)),))</f>
        <v>0</v>
      </c>
      <c r="G155" s="712"/>
      <c r="H155" s="1139">
        <f ca="1">IF(ROWS($1:139)&gt;COUNT(Dong14),0,IF(OFFSET(TH!N$1,SMALL(Dong14,ROWS($1:139)),)="131",OFFSET(TH!K$1,SMALL(Dong14,ROWS($1:139)),),0))</f>
        <v>0</v>
      </c>
      <c r="I155" s="712">
        <f ca="1">IF(ROWS($1:139)&gt;COUNT(Dong14),0,IF(OFFSET(TH!N$1,SMALL(Dong14,ROWS($1:139)),)="131",OFFSET(TH!M$1,SMALL(Dong14,ROWS($1:139)),),0))</f>
        <v>0</v>
      </c>
      <c r="J155" s="713">
        <f ca="1">IF(ROWS($1:139)&gt;COUNT(Dong14),0,IF(OFFSET(TH!O$1,SMALL(Dong14,ROWS($1:139)),)="131",OFFSET(TH!K$1,SMALL(Dong14,ROWS($1:139)),),0))</f>
        <v>0</v>
      </c>
      <c r="K155" s="712">
        <f ca="1">IF(ROWS($1:139)&gt;COUNT(Dong14),0,IF(OFFSET(TH!O$1,SMALL(Dong14,ROWS($1:139)),)="131",OFFSET(TH!M$1,SMALL(Dong14,ROWS($1:139)),),0))</f>
        <v>0</v>
      </c>
      <c r="L155" s="711">
        <f t="shared" ca="1" si="30"/>
        <v>0</v>
      </c>
      <c r="M155" s="710">
        <f t="shared" ca="1" si="31"/>
        <v>0</v>
      </c>
      <c r="N155" s="711">
        <f t="shared" ca="1" si="32"/>
        <v>0</v>
      </c>
      <c r="O155" s="710">
        <f t="shared" ca="1" si="33"/>
        <v>0</v>
      </c>
    </row>
    <row r="156" spans="1:15" s="5" customFormat="1" ht="23.25" customHeight="1">
      <c r="A156" s="213" t="str">
        <f t="shared" ca="1" si="29"/>
        <v/>
      </c>
      <c r="B156" s="217" t="str">
        <f ca="1">IF(ROWS($1:140)&gt;COUNT(Dong14),"",OFFSET(TH!D$1,SMALL(Dong14,ROWS($1:140)),))</f>
        <v/>
      </c>
      <c r="C156" s="213" t="str">
        <f ca="1">IF(ROWS($1:140)&gt;COUNT(Dong14),"",OFFSET(TH!E$1,SMALL(Dong14,ROWS($1:140)),))</f>
        <v/>
      </c>
      <c r="D156" s="714" t="str">
        <f ca="1">IF(ROWS($1:140)&gt;COUNT(Dong14),"",OFFSET(TH!F$1,SMALL(Dong14,ROWS($1:140)),))</f>
        <v/>
      </c>
      <c r="E156" s="712" t="str">
        <f ca="1">IF(ROWS($1:140)&gt;COUNT(Dong14),"",IF(OFFSET(TH!N$1,SMALL(Dong14,ROWS($1:140)),)="131",OFFSET(TH!O$1,SMALL(Dong14,ROWS($1:140)),),OFFSET(TH!N$1,SMALL(Dong14,ROWS($1:140)),)))</f>
        <v/>
      </c>
      <c r="F156" s="712">
        <f ca="1">IF(ROWS($1:140)&gt;COUNT(Dong14),0,OFFSET(TH!L$1,SMALL(Dong14,ROWS($1:140)),))</f>
        <v>0</v>
      </c>
      <c r="G156" s="712"/>
      <c r="H156" s="1139">
        <f ca="1">IF(ROWS($1:140)&gt;COUNT(Dong14),0,IF(OFFSET(TH!N$1,SMALL(Dong14,ROWS($1:140)),)="131",OFFSET(TH!K$1,SMALL(Dong14,ROWS($1:140)),),0))</f>
        <v>0</v>
      </c>
      <c r="I156" s="712">
        <f ca="1">IF(ROWS($1:140)&gt;COUNT(Dong14),0,IF(OFFSET(TH!N$1,SMALL(Dong14,ROWS($1:140)),)="131",OFFSET(TH!M$1,SMALL(Dong14,ROWS($1:140)),),0))</f>
        <v>0</v>
      </c>
      <c r="J156" s="713">
        <f ca="1">IF(ROWS($1:140)&gt;COUNT(Dong14),0,IF(OFFSET(TH!O$1,SMALL(Dong14,ROWS($1:140)),)="131",OFFSET(TH!K$1,SMALL(Dong14,ROWS($1:140)),),0))</f>
        <v>0</v>
      </c>
      <c r="K156" s="712">
        <f ca="1">IF(ROWS($1:140)&gt;COUNT(Dong14),0,IF(OFFSET(TH!O$1,SMALL(Dong14,ROWS($1:140)),)="131",OFFSET(TH!M$1,SMALL(Dong14,ROWS($1:140)),),0))</f>
        <v>0</v>
      </c>
      <c r="L156" s="711">
        <f t="shared" ca="1" si="30"/>
        <v>0</v>
      </c>
      <c r="M156" s="710">
        <f t="shared" ca="1" si="31"/>
        <v>0</v>
      </c>
      <c r="N156" s="711">
        <f t="shared" ca="1" si="32"/>
        <v>0</v>
      </c>
      <c r="O156" s="710">
        <f t="shared" ca="1" si="33"/>
        <v>0</v>
      </c>
    </row>
    <row r="157" spans="1:15" s="5" customFormat="1" ht="23.25" customHeight="1">
      <c r="A157" s="213" t="str">
        <f t="shared" ca="1" si="29"/>
        <v/>
      </c>
      <c r="B157" s="217" t="str">
        <f ca="1">IF(ROWS($1:141)&gt;COUNT(Dong14),"",OFFSET(TH!D$1,SMALL(Dong14,ROWS($1:141)),))</f>
        <v/>
      </c>
      <c r="C157" s="213" t="str">
        <f ca="1">IF(ROWS($1:141)&gt;COUNT(Dong14),"",OFFSET(TH!E$1,SMALL(Dong14,ROWS($1:141)),))</f>
        <v/>
      </c>
      <c r="D157" s="714" t="str">
        <f ca="1">IF(ROWS($1:141)&gt;COUNT(Dong14),"",OFFSET(TH!F$1,SMALL(Dong14,ROWS($1:141)),))</f>
        <v/>
      </c>
      <c r="E157" s="712" t="str">
        <f ca="1">IF(ROWS($1:141)&gt;COUNT(Dong14),"",IF(OFFSET(TH!N$1,SMALL(Dong14,ROWS($1:141)),)="131",OFFSET(TH!O$1,SMALL(Dong14,ROWS($1:141)),),OFFSET(TH!N$1,SMALL(Dong14,ROWS($1:141)),)))</f>
        <v/>
      </c>
      <c r="F157" s="712">
        <f ca="1">IF(ROWS($1:141)&gt;COUNT(Dong14),0,OFFSET(TH!L$1,SMALL(Dong14,ROWS($1:141)),))</f>
        <v>0</v>
      </c>
      <c r="G157" s="712"/>
      <c r="H157" s="1139">
        <f ca="1">IF(ROWS($1:141)&gt;COUNT(Dong14),0,IF(OFFSET(TH!N$1,SMALL(Dong14,ROWS($1:141)),)="131",OFFSET(TH!K$1,SMALL(Dong14,ROWS($1:141)),),0))</f>
        <v>0</v>
      </c>
      <c r="I157" s="712">
        <f ca="1">IF(ROWS($1:141)&gt;COUNT(Dong14),0,IF(OFFSET(TH!N$1,SMALL(Dong14,ROWS($1:141)),)="131",OFFSET(TH!M$1,SMALL(Dong14,ROWS($1:141)),),0))</f>
        <v>0</v>
      </c>
      <c r="J157" s="713">
        <f ca="1">IF(ROWS($1:141)&gt;COUNT(Dong14),0,IF(OFFSET(TH!O$1,SMALL(Dong14,ROWS($1:141)),)="131",OFFSET(TH!K$1,SMALL(Dong14,ROWS($1:141)),),0))</f>
        <v>0</v>
      </c>
      <c r="K157" s="712">
        <f ca="1">IF(ROWS($1:141)&gt;COUNT(Dong14),0,IF(OFFSET(TH!O$1,SMALL(Dong14,ROWS($1:141)),)="131",OFFSET(TH!M$1,SMALL(Dong14,ROWS($1:141)),),0))</f>
        <v>0</v>
      </c>
      <c r="L157" s="711">
        <f t="shared" ca="1" si="30"/>
        <v>0</v>
      </c>
      <c r="M157" s="710">
        <f t="shared" ca="1" si="31"/>
        <v>0</v>
      </c>
      <c r="N157" s="711">
        <f t="shared" ca="1" si="32"/>
        <v>0</v>
      </c>
      <c r="O157" s="710">
        <f t="shared" ca="1" si="33"/>
        <v>0</v>
      </c>
    </row>
    <row r="158" spans="1:15" s="5" customFormat="1" ht="23.25" customHeight="1">
      <c r="A158" s="213" t="str">
        <f t="shared" ca="1" si="29"/>
        <v/>
      </c>
      <c r="B158" s="217" t="str">
        <f ca="1">IF(ROWS($1:142)&gt;COUNT(Dong14),"",OFFSET(TH!D$1,SMALL(Dong14,ROWS($1:142)),))</f>
        <v/>
      </c>
      <c r="C158" s="213" t="str">
        <f ca="1">IF(ROWS($1:142)&gt;COUNT(Dong14),"",OFFSET(TH!E$1,SMALL(Dong14,ROWS($1:142)),))</f>
        <v/>
      </c>
      <c r="D158" s="714" t="str">
        <f ca="1">IF(ROWS($1:142)&gt;COUNT(Dong14),"",OFFSET(TH!F$1,SMALL(Dong14,ROWS($1:142)),))</f>
        <v/>
      </c>
      <c r="E158" s="712" t="str">
        <f ca="1">IF(ROWS($1:142)&gt;COUNT(Dong14),"",IF(OFFSET(TH!N$1,SMALL(Dong14,ROWS($1:142)),)="131",OFFSET(TH!O$1,SMALL(Dong14,ROWS($1:142)),),OFFSET(TH!N$1,SMALL(Dong14,ROWS($1:142)),)))</f>
        <v/>
      </c>
      <c r="F158" s="712">
        <f ca="1">IF(ROWS($1:142)&gt;COUNT(Dong14),0,OFFSET(TH!L$1,SMALL(Dong14,ROWS($1:142)),))</f>
        <v>0</v>
      </c>
      <c r="G158" s="712"/>
      <c r="H158" s="1139">
        <f ca="1">IF(ROWS($1:142)&gt;COUNT(Dong14),0,IF(OFFSET(TH!N$1,SMALL(Dong14,ROWS($1:142)),)="131",OFFSET(TH!K$1,SMALL(Dong14,ROWS($1:142)),),0))</f>
        <v>0</v>
      </c>
      <c r="I158" s="712">
        <f ca="1">IF(ROWS($1:142)&gt;COUNT(Dong14),0,IF(OFFSET(TH!N$1,SMALL(Dong14,ROWS($1:142)),)="131",OFFSET(TH!M$1,SMALL(Dong14,ROWS($1:142)),),0))</f>
        <v>0</v>
      </c>
      <c r="J158" s="713">
        <f ca="1">IF(ROWS($1:142)&gt;COUNT(Dong14),0,IF(OFFSET(TH!O$1,SMALL(Dong14,ROWS($1:142)),)="131",OFFSET(TH!K$1,SMALL(Dong14,ROWS($1:142)),),0))</f>
        <v>0</v>
      </c>
      <c r="K158" s="712">
        <f ca="1">IF(ROWS($1:142)&gt;COUNT(Dong14),0,IF(OFFSET(TH!O$1,SMALL(Dong14,ROWS($1:142)),)="131",OFFSET(TH!M$1,SMALL(Dong14,ROWS($1:142)),),0))</f>
        <v>0</v>
      </c>
      <c r="L158" s="711">
        <f t="shared" ca="1" si="30"/>
        <v>0</v>
      </c>
      <c r="M158" s="710">
        <f t="shared" ca="1" si="31"/>
        <v>0</v>
      </c>
      <c r="N158" s="711">
        <f t="shared" ca="1" si="32"/>
        <v>0</v>
      </c>
      <c r="O158" s="710">
        <f t="shared" ca="1" si="33"/>
        <v>0</v>
      </c>
    </row>
    <row r="159" spans="1:15" s="5" customFormat="1" ht="23.25" customHeight="1">
      <c r="A159" s="213" t="str">
        <f t="shared" ca="1" si="29"/>
        <v/>
      </c>
      <c r="B159" s="217" t="str">
        <f ca="1">IF(ROWS($1:143)&gt;COUNT(Dong14),"",OFFSET(TH!D$1,SMALL(Dong14,ROWS($1:143)),))</f>
        <v/>
      </c>
      <c r="C159" s="213" t="str">
        <f ca="1">IF(ROWS($1:143)&gt;COUNT(Dong14),"",OFFSET(TH!E$1,SMALL(Dong14,ROWS($1:143)),))</f>
        <v/>
      </c>
      <c r="D159" s="714" t="str">
        <f ca="1">IF(ROWS($1:143)&gt;COUNT(Dong14),"",OFFSET(TH!F$1,SMALL(Dong14,ROWS($1:143)),))</f>
        <v/>
      </c>
      <c r="E159" s="712" t="str">
        <f ca="1">IF(ROWS($1:143)&gt;COUNT(Dong14),"",IF(OFFSET(TH!N$1,SMALL(Dong14,ROWS($1:143)),)="131",OFFSET(TH!O$1,SMALL(Dong14,ROWS($1:143)),),OFFSET(TH!N$1,SMALL(Dong14,ROWS($1:143)),)))</f>
        <v/>
      </c>
      <c r="F159" s="712">
        <f ca="1">IF(ROWS($1:143)&gt;COUNT(Dong14),0,OFFSET(TH!L$1,SMALL(Dong14,ROWS($1:143)),))</f>
        <v>0</v>
      </c>
      <c r="G159" s="712"/>
      <c r="H159" s="1139">
        <f ca="1">IF(ROWS($1:143)&gt;COUNT(Dong14),0,IF(OFFSET(TH!N$1,SMALL(Dong14,ROWS($1:143)),)="131",OFFSET(TH!K$1,SMALL(Dong14,ROWS($1:143)),),0))</f>
        <v>0</v>
      </c>
      <c r="I159" s="712">
        <f ca="1">IF(ROWS($1:143)&gt;COUNT(Dong14),0,IF(OFFSET(TH!N$1,SMALL(Dong14,ROWS($1:143)),)="131",OFFSET(TH!M$1,SMALL(Dong14,ROWS($1:143)),),0))</f>
        <v>0</v>
      </c>
      <c r="J159" s="713">
        <f ca="1">IF(ROWS($1:143)&gt;COUNT(Dong14),0,IF(OFFSET(TH!O$1,SMALL(Dong14,ROWS($1:143)),)="131",OFFSET(TH!K$1,SMALL(Dong14,ROWS($1:143)),),0))</f>
        <v>0</v>
      </c>
      <c r="K159" s="712">
        <f ca="1">IF(ROWS($1:143)&gt;COUNT(Dong14),0,IF(OFFSET(TH!O$1,SMALL(Dong14,ROWS($1:143)),)="131",OFFSET(TH!M$1,SMALL(Dong14,ROWS($1:143)),),0))</f>
        <v>0</v>
      </c>
      <c r="L159" s="711">
        <f t="shared" ca="1" si="30"/>
        <v>0</v>
      </c>
      <c r="M159" s="710">
        <f t="shared" ca="1" si="31"/>
        <v>0</v>
      </c>
      <c r="N159" s="711">
        <f t="shared" ca="1" si="32"/>
        <v>0</v>
      </c>
      <c r="O159" s="710">
        <f t="shared" ca="1" si="33"/>
        <v>0</v>
      </c>
    </row>
    <row r="160" spans="1:15" s="5" customFormat="1" ht="23.25" customHeight="1">
      <c r="A160" s="213" t="str">
        <f t="shared" ca="1" si="29"/>
        <v/>
      </c>
      <c r="B160" s="217" t="str">
        <f ca="1">IF(ROWS($1:144)&gt;COUNT(Dong14),"",OFFSET(TH!D$1,SMALL(Dong14,ROWS($1:144)),))</f>
        <v/>
      </c>
      <c r="C160" s="213" t="str">
        <f ca="1">IF(ROWS($1:144)&gt;COUNT(Dong14),"",OFFSET(TH!E$1,SMALL(Dong14,ROWS($1:144)),))</f>
        <v/>
      </c>
      <c r="D160" s="714" t="str">
        <f ca="1">IF(ROWS($1:144)&gt;COUNT(Dong14),"",OFFSET(TH!F$1,SMALL(Dong14,ROWS($1:144)),))</f>
        <v/>
      </c>
      <c r="E160" s="712" t="str">
        <f ca="1">IF(ROWS($1:144)&gt;COUNT(Dong14),"",IF(OFFSET(TH!N$1,SMALL(Dong14,ROWS($1:144)),)="131",OFFSET(TH!O$1,SMALL(Dong14,ROWS($1:144)),),OFFSET(TH!N$1,SMALL(Dong14,ROWS($1:144)),)))</f>
        <v/>
      </c>
      <c r="F160" s="712">
        <f ca="1">IF(ROWS($1:144)&gt;COUNT(Dong14),0,OFFSET(TH!L$1,SMALL(Dong14,ROWS($1:144)),))</f>
        <v>0</v>
      </c>
      <c r="G160" s="712"/>
      <c r="H160" s="1139">
        <f ca="1">IF(ROWS($1:144)&gt;COUNT(Dong14),0,IF(OFFSET(TH!N$1,SMALL(Dong14,ROWS($1:144)),)="131",OFFSET(TH!K$1,SMALL(Dong14,ROWS($1:144)),),0))</f>
        <v>0</v>
      </c>
      <c r="I160" s="712">
        <f ca="1">IF(ROWS($1:144)&gt;COUNT(Dong14),0,IF(OFFSET(TH!N$1,SMALL(Dong14,ROWS($1:144)),)="131",OFFSET(TH!M$1,SMALL(Dong14,ROWS($1:144)),),0))</f>
        <v>0</v>
      </c>
      <c r="J160" s="713">
        <f ca="1">IF(ROWS($1:144)&gt;COUNT(Dong14),0,IF(OFFSET(TH!O$1,SMALL(Dong14,ROWS($1:144)),)="131",OFFSET(TH!K$1,SMALL(Dong14,ROWS($1:144)),),0))</f>
        <v>0</v>
      </c>
      <c r="K160" s="712">
        <f ca="1">IF(ROWS($1:144)&gt;COUNT(Dong14),0,IF(OFFSET(TH!O$1,SMALL(Dong14,ROWS($1:144)),)="131",OFFSET(TH!M$1,SMALL(Dong14,ROWS($1:144)),),0))</f>
        <v>0</v>
      </c>
      <c r="L160" s="711">
        <f t="shared" ca="1" si="30"/>
        <v>0</v>
      </c>
      <c r="M160" s="710">
        <f t="shared" ca="1" si="31"/>
        <v>0</v>
      </c>
      <c r="N160" s="711">
        <f t="shared" ca="1" si="32"/>
        <v>0</v>
      </c>
      <c r="O160" s="710">
        <f t="shared" ca="1" si="33"/>
        <v>0</v>
      </c>
    </row>
    <row r="161" spans="1:15" s="5" customFormat="1" ht="23.25" customHeight="1">
      <c r="A161" s="213" t="str">
        <f t="shared" ca="1" si="29"/>
        <v/>
      </c>
      <c r="B161" s="217" t="str">
        <f ca="1">IF(ROWS($1:145)&gt;COUNT(Dong14),"",OFFSET(TH!D$1,SMALL(Dong14,ROWS($1:145)),))</f>
        <v/>
      </c>
      <c r="C161" s="213" t="str">
        <f ca="1">IF(ROWS($1:145)&gt;COUNT(Dong14),"",OFFSET(TH!E$1,SMALL(Dong14,ROWS($1:145)),))</f>
        <v/>
      </c>
      <c r="D161" s="714" t="str">
        <f ca="1">IF(ROWS($1:145)&gt;COUNT(Dong14),"",OFFSET(TH!F$1,SMALL(Dong14,ROWS($1:145)),))</f>
        <v/>
      </c>
      <c r="E161" s="712" t="str">
        <f ca="1">IF(ROWS($1:145)&gt;COUNT(Dong14),"",IF(OFFSET(TH!N$1,SMALL(Dong14,ROWS($1:145)),)="131",OFFSET(TH!O$1,SMALL(Dong14,ROWS($1:145)),),OFFSET(TH!N$1,SMALL(Dong14,ROWS($1:145)),)))</f>
        <v/>
      </c>
      <c r="F161" s="712">
        <f ca="1">IF(ROWS($1:145)&gt;COUNT(Dong14),0,OFFSET(TH!L$1,SMALL(Dong14,ROWS($1:145)),))</f>
        <v>0</v>
      </c>
      <c r="G161" s="712"/>
      <c r="H161" s="1139">
        <f ca="1">IF(ROWS($1:145)&gt;COUNT(Dong14),0,IF(OFFSET(TH!N$1,SMALL(Dong14,ROWS($1:145)),)="131",OFFSET(TH!K$1,SMALL(Dong14,ROWS($1:145)),),0))</f>
        <v>0</v>
      </c>
      <c r="I161" s="712">
        <f ca="1">IF(ROWS($1:145)&gt;COUNT(Dong14),0,IF(OFFSET(TH!N$1,SMALL(Dong14,ROWS($1:145)),)="131",OFFSET(TH!M$1,SMALL(Dong14,ROWS($1:145)),),0))</f>
        <v>0</v>
      </c>
      <c r="J161" s="713">
        <f ca="1">IF(ROWS($1:145)&gt;COUNT(Dong14),0,IF(OFFSET(TH!O$1,SMALL(Dong14,ROWS($1:145)),)="131",OFFSET(TH!K$1,SMALL(Dong14,ROWS($1:145)),),0))</f>
        <v>0</v>
      </c>
      <c r="K161" s="712">
        <f ca="1">IF(ROWS($1:145)&gt;COUNT(Dong14),0,IF(OFFSET(TH!O$1,SMALL(Dong14,ROWS($1:145)),)="131",OFFSET(TH!M$1,SMALL(Dong14,ROWS($1:145)),),0))</f>
        <v>0</v>
      </c>
      <c r="L161" s="711">
        <f t="shared" ca="1" si="30"/>
        <v>0</v>
      </c>
      <c r="M161" s="710">
        <f t="shared" ca="1" si="31"/>
        <v>0</v>
      </c>
      <c r="N161" s="711">
        <f t="shared" ca="1" si="32"/>
        <v>0</v>
      </c>
      <c r="O161" s="710">
        <f t="shared" ca="1" si="33"/>
        <v>0</v>
      </c>
    </row>
    <row r="162" spans="1:15" s="5" customFormat="1" ht="23.25" customHeight="1">
      <c r="A162" s="213" t="str">
        <f t="shared" ca="1" si="29"/>
        <v/>
      </c>
      <c r="B162" s="217" t="str">
        <f ca="1">IF(ROWS($1:146)&gt;COUNT(Dong14),"",OFFSET(TH!D$1,SMALL(Dong14,ROWS($1:146)),))</f>
        <v/>
      </c>
      <c r="C162" s="213" t="str">
        <f ca="1">IF(ROWS($1:146)&gt;COUNT(Dong14),"",OFFSET(TH!E$1,SMALL(Dong14,ROWS($1:146)),))</f>
        <v/>
      </c>
      <c r="D162" s="714" t="str">
        <f ca="1">IF(ROWS($1:146)&gt;COUNT(Dong14),"",OFFSET(TH!F$1,SMALL(Dong14,ROWS($1:146)),))</f>
        <v/>
      </c>
      <c r="E162" s="712" t="str">
        <f ca="1">IF(ROWS($1:146)&gt;COUNT(Dong14),"",IF(OFFSET(TH!N$1,SMALL(Dong14,ROWS($1:146)),)="131",OFFSET(TH!O$1,SMALL(Dong14,ROWS($1:146)),),OFFSET(TH!N$1,SMALL(Dong14,ROWS($1:146)),)))</f>
        <v/>
      </c>
      <c r="F162" s="712">
        <f ca="1">IF(ROWS($1:146)&gt;COUNT(Dong14),0,OFFSET(TH!L$1,SMALL(Dong14,ROWS($1:146)),))</f>
        <v>0</v>
      </c>
      <c r="G162" s="712"/>
      <c r="H162" s="1139">
        <f ca="1">IF(ROWS($1:146)&gt;COUNT(Dong14),0,IF(OFFSET(TH!N$1,SMALL(Dong14,ROWS($1:146)),)="131",OFFSET(TH!K$1,SMALL(Dong14,ROWS($1:146)),),0))</f>
        <v>0</v>
      </c>
      <c r="I162" s="712">
        <f ca="1">IF(ROWS($1:146)&gt;COUNT(Dong14),0,IF(OFFSET(TH!N$1,SMALL(Dong14,ROWS($1:146)),)="131",OFFSET(TH!M$1,SMALL(Dong14,ROWS($1:146)),),0))</f>
        <v>0</v>
      </c>
      <c r="J162" s="713">
        <f ca="1">IF(ROWS($1:146)&gt;COUNT(Dong14),0,IF(OFFSET(TH!O$1,SMALL(Dong14,ROWS($1:146)),)="131",OFFSET(TH!K$1,SMALL(Dong14,ROWS($1:146)),),0))</f>
        <v>0</v>
      </c>
      <c r="K162" s="712">
        <f ca="1">IF(ROWS($1:146)&gt;COUNT(Dong14),0,IF(OFFSET(TH!O$1,SMALL(Dong14,ROWS($1:146)),)="131",OFFSET(TH!M$1,SMALL(Dong14,ROWS($1:146)),),0))</f>
        <v>0</v>
      </c>
      <c r="L162" s="711">
        <f t="shared" ca="1" si="30"/>
        <v>0</v>
      </c>
      <c r="M162" s="710">
        <f t="shared" ca="1" si="31"/>
        <v>0</v>
      </c>
      <c r="N162" s="711">
        <f t="shared" ca="1" si="32"/>
        <v>0</v>
      </c>
      <c r="O162" s="710">
        <f t="shared" ca="1" si="33"/>
        <v>0</v>
      </c>
    </row>
    <row r="163" spans="1:15" s="5" customFormat="1" ht="23.25" customHeight="1">
      <c r="A163" s="213" t="str">
        <f t="shared" ca="1" si="29"/>
        <v/>
      </c>
      <c r="B163" s="217" t="str">
        <f ca="1">IF(ROWS($1:147)&gt;COUNT(Dong14),"",OFFSET(TH!D$1,SMALL(Dong14,ROWS($1:147)),))</f>
        <v/>
      </c>
      <c r="C163" s="213" t="str">
        <f ca="1">IF(ROWS($1:147)&gt;COUNT(Dong14),"",OFFSET(TH!E$1,SMALL(Dong14,ROWS($1:147)),))</f>
        <v/>
      </c>
      <c r="D163" s="714" t="str">
        <f ca="1">IF(ROWS($1:147)&gt;COUNT(Dong14),"",OFFSET(TH!F$1,SMALL(Dong14,ROWS($1:147)),))</f>
        <v/>
      </c>
      <c r="E163" s="712" t="str">
        <f ca="1">IF(ROWS($1:147)&gt;COUNT(Dong14),"",IF(OFFSET(TH!N$1,SMALL(Dong14,ROWS($1:147)),)="131",OFFSET(TH!O$1,SMALL(Dong14,ROWS($1:147)),),OFFSET(TH!N$1,SMALL(Dong14,ROWS($1:147)),)))</f>
        <v/>
      </c>
      <c r="F163" s="712">
        <f ca="1">IF(ROWS($1:147)&gt;COUNT(Dong14),0,OFFSET(TH!L$1,SMALL(Dong14,ROWS($1:147)),))</f>
        <v>0</v>
      </c>
      <c r="G163" s="712"/>
      <c r="H163" s="1139">
        <f ca="1">IF(ROWS($1:147)&gt;COUNT(Dong14),0,IF(OFFSET(TH!N$1,SMALL(Dong14,ROWS($1:147)),)="131",OFFSET(TH!K$1,SMALL(Dong14,ROWS($1:147)),),0))</f>
        <v>0</v>
      </c>
      <c r="I163" s="712">
        <f ca="1">IF(ROWS($1:147)&gt;COUNT(Dong14),0,IF(OFFSET(TH!N$1,SMALL(Dong14,ROWS($1:147)),)="131",OFFSET(TH!M$1,SMALL(Dong14,ROWS($1:147)),),0))</f>
        <v>0</v>
      </c>
      <c r="J163" s="713">
        <f ca="1">IF(ROWS($1:147)&gt;COUNT(Dong14),0,IF(OFFSET(TH!O$1,SMALL(Dong14,ROWS($1:147)),)="131",OFFSET(TH!K$1,SMALL(Dong14,ROWS($1:147)),),0))</f>
        <v>0</v>
      </c>
      <c r="K163" s="712">
        <f ca="1">IF(ROWS($1:147)&gt;COUNT(Dong14),0,IF(OFFSET(TH!O$1,SMALL(Dong14,ROWS($1:147)),)="131",OFFSET(TH!M$1,SMALL(Dong14,ROWS($1:147)),),0))</f>
        <v>0</v>
      </c>
      <c r="L163" s="711">
        <f t="shared" ca="1" si="30"/>
        <v>0</v>
      </c>
      <c r="M163" s="710">
        <f t="shared" ca="1" si="31"/>
        <v>0</v>
      </c>
      <c r="N163" s="711">
        <f t="shared" ca="1" si="32"/>
        <v>0</v>
      </c>
      <c r="O163" s="710">
        <f t="shared" ca="1" si="33"/>
        <v>0</v>
      </c>
    </row>
    <row r="164" spans="1:15" s="5" customFormat="1" ht="23.25" customHeight="1">
      <c r="A164" s="213" t="str">
        <f t="shared" ca="1" si="29"/>
        <v/>
      </c>
      <c r="B164" s="217" t="str">
        <f ca="1">IF(ROWS($1:148)&gt;COUNT(Dong14),"",OFFSET(TH!D$1,SMALL(Dong14,ROWS($1:148)),))</f>
        <v/>
      </c>
      <c r="C164" s="213" t="str">
        <f ca="1">IF(ROWS($1:148)&gt;COUNT(Dong14),"",OFFSET(TH!E$1,SMALL(Dong14,ROWS($1:148)),))</f>
        <v/>
      </c>
      <c r="D164" s="714" t="str">
        <f ca="1">IF(ROWS($1:148)&gt;COUNT(Dong14),"",OFFSET(TH!F$1,SMALL(Dong14,ROWS($1:148)),))</f>
        <v/>
      </c>
      <c r="E164" s="712" t="str">
        <f ca="1">IF(ROWS($1:148)&gt;COUNT(Dong14),"",IF(OFFSET(TH!N$1,SMALL(Dong14,ROWS($1:148)),)="131",OFFSET(TH!O$1,SMALL(Dong14,ROWS($1:148)),),OFFSET(TH!N$1,SMALL(Dong14,ROWS($1:148)),)))</f>
        <v/>
      </c>
      <c r="F164" s="712">
        <f ca="1">IF(ROWS($1:148)&gt;COUNT(Dong14),0,OFFSET(TH!L$1,SMALL(Dong14,ROWS($1:148)),))</f>
        <v>0</v>
      </c>
      <c r="G164" s="712"/>
      <c r="H164" s="1139">
        <f ca="1">IF(ROWS($1:148)&gt;COUNT(Dong14),0,IF(OFFSET(TH!N$1,SMALL(Dong14,ROWS($1:148)),)="131",OFFSET(TH!K$1,SMALL(Dong14,ROWS($1:148)),),0))</f>
        <v>0</v>
      </c>
      <c r="I164" s="712">
        <f ca="1">IF(ROWS($1:148)&gt;COUNT(Dong14),0,IF(OFFSET(TH!N$1,SMALL(Dong14,ROWS($1:148)),)="131",OFFSET(TH!M$1,SMALL(Dong14,ROWS($1:148)),),0))</f>
        <v>0</v>
      </c>
      <c r="J164" s="713">
        <f ca="1">IF(ROWS($1:148)&gt;COUNT(Dong14),0,IF(OFFSET(TH!O$1,SMALL(Dong14,ROWS($1:148)),)="131",OFFSET(TH!K$1,SMALL(Dong14,ROWS($1:148)),),0))</f>
        <v>0</v>
      </c>
      <c r="K164" s="712">
        <f ca="1">IF(ROWS($1:148)&gt;COUNT(Dong14),0,IF(OFFSET(TH!O$1,SMALL(Dong14,ROWS($1:148)),)="131",OFFSET(TH!M$1,SMALL(Dong14,ROWS($1:148)),),0))</f>
        <v>0</v>
      </c>
      <c r="L164" s="711">
        <f t="shared" ca="1" si="30"/>
        <v>0</v>
      </c>
      <c r="M164" s="710">
        <f t="shared" ca="1" si="31"/>
        <v>0</v>
      </c>
      <c r="N164" s="711">
        <f t="shared" ca="1" si="32"/>
        <v>0</v>
      </c>
      <c r="O164" s="710">
        <f t="shared" ca="1" si="33"/>
        <v>0</v>
      </c>
    </row>
    <row r="165" spans="1:15" s="5" customFormat="1" ht="23.25" customHeight="1">
      <c r="A165" s="213" t="str">
        <f t="shared" ca="1" si="29"/>
        <v/>
      </c>
      <c r="B165" s="217" t="str">
        <f ca="1">IF(ROWS($1:149)&gt;COUNT(Dong14),"",OFFSET(TH!D$1,SMALL(Dong14,ROWS($1:149)),))</f>
        <v/>
      </c>
      <c r="C165" s="213" t="str">
        <f ca="1">IF(ROWS($1:149)&gt;COUNT(Dong14),"",OFFSET(TH!E$1,SMALL(Dong14,ROWS($1:149)),))</f>
        <v/>
      </c>
      <c r="D165" s="714" t="str">
        <f ca="1">IF(ROWS($1:149)&gt;COUNT(Dong14),"",OFFSET(TH!F$1,SMALL(Dong14,ROWS($1:149)),))</f>
        <v/>
      </c>
      <c r="E165" s="712" t="str">
        <f ca="1">IF(ROWS($1:149)&gt;COUNT(Dong14),"",IF(OFFSET(TH!N$1,SMALL(Dong14,ROWS($1:149)),)="131",OFFSET(TH!O$1,SMALL(Dong14,ROWS($1:149)),),OFFSET(TH!N$1,SMALL(Dong14,ROWS($1:149)),)))</f>
        <v/>
      </c>
      <c r="F165" s="712">
        <f ca="1">IF(ROWS($1:149)&gt;COUNT(Dong14),0,OFFSET(TH!L$1,SMALL(Dong14,ROWS($1:149)),))</f>
        <v>0</v>
      </c>
      <c r="G165" s="712"/>
      <c r="H165" s="1139">
        <f ca="1">IF(ROWS($1:149)&gt;COUNT(Dong14),0,IF(OFFSET(TH!N$1,SMALL(Dong14,ROWS($1:149)),)="131",OFFSET(TH!K$1,SMALL(Dong14,ROWS($1:149)),),0))</f>
        <v>0</v>
      </c>
      <c r="I165" s="712">
        <f ca="1">IF(ROWS($1:149)&gt;COUNT(Dong14),0,IF(OFFSET(TH!N$1,SMALL(Dong14,ROWS($1:149)),)="131",OFFSET(TH!M$1,SMALL(Dong14,ROWS($1:149)),),0))</f>
        <v>0</v>
      </c>
      <c r="J165" s="713">
        <f ca="1">IF(ROWS($1:149)&gt;COUNT(Dong14),0,IF(OFFSET(TH!O$1,SMALL(Dong14,ROWS($1:149)),)="131",OFFSET(TH!K$1,SMALL(Dong14,ROWS($1:149)),),0))</f>
        <v>0</v>
      </c>
      <c r="K165" s="712">
        <f ca="1">IF(ROWS($1:149)&gt;COUNT(Dong14),0,IF(OFFSET(TH!O$1,SMALL(Dong14,ROWS($1:149)),)="131",OFFSET(TH!M$1,SMALL(Dong14,ROWS($1:149)),),0))</f>
        <v>0</v>
      </c>
      <c r="L165" s="711">
        <f t="shared" ca="1" si="30"/>
        <v>0</v>
      </c>
      <c r="M165" s="710">
        <f t="shared" ca="1" si="31"/>
        <v>0</v>
      </c>
      <c r="N165" s="711">
        <f t="shared" ca="1" si="32"/>
        <v>0</v>
      </c>
      <c r="O165" s="710">
        <f t="shared" ca="1" si="33"/>
        <v>0</v>
      </c>
    </row>
    <row r="166" spans="1:15" s="5" customFormat="1" ht="23.25" customHeight="1">
      <c r="A166" s="213" t="str">
        <f t="shared" ca="1" si="29"/>
        <v/>
      </c>
      <c r="B166" s="217" t="str">
        <f ca="1">IF(ROWS($1:150)&gt;COUNT(Dong14),"",OFFSET(TH!D$1,SMALL(Dong14,ROWS($1:150)),))</f>
        <v/>
      </c>
      <c r="C166" s="213" t="str">
        <f ca="1">IF(ROWS($1:150)&gt;COUNT(Dong14),"",OFFSET(TH!E$1,SMALL(Dong14,ROWS($1:150)),))</f>
        <v/>
      </c>
      <c r="D166" s="714" t="str">
        <f ca="1">IF(ROWS($1:150)&gt;COUNT(Dong14),"",OFFSET(TH!F$1,SMALL(Dong14,ROWS($1:150)),))</f>
        <v/>
      </c>
      <c r="E166" s="712" t="str">
        <f ca="1">IF(ROWS($1:150)&gt;COUNT(Dong14),"",IF(OFFSET(TH!N$1,SMALL(Dong14,ROWS($1:150)),)="131",OFFSET(TH!O$1,SMALL(Dong14,ROWS($1:150)),),OFFSET(TH!N$1,SMALL(Dong14,ROWS($1:150)),)))</f>
        <v/>
      </c>
      <c r="F166" s="712">
        <f ca="1">IF(ROWS($1:150)&gt;COUNT(Dong14),0,OFFSET(TH!L$1,SMALL(Dong14,ROWS($1:150)),))</f>
        <v>0</v>
      </c>
      <c r="G166" s="712"/>
      <c r="H166" s="1139">
        <f ca="1">IF(ROWS($1:150)&gt;COUNT(Dong14),0,IF(OFFSET(TH!N$1,SMALL(Dong14,ROWS($1:150)),)="131",OFFSET(TH!K$1,SMALL(Dong14,ROWS($1:150)),),0))</f>
        <v>0</v>
      </c>
      <c r="I166" s="712">
        <f ca="1">IF(ROWS($1:150)&gt;COUNT(Dong14),0,IF(OFFSET(TH!N$1,SMALL(Dong14,ROWS($1:150)),)="131",OFFSET(TH!M$1,SMALL(Dong14,ROWS($1:150)),),0))</f>
        <v>0</v>
      </c>
      <c r="J166" s="713">
        <f ca="1">IF(ROWS($1:150)&gt;COUNT(Dong14),0,IF(OFFSET(TH!O$1,SMALL(Dong14,ROWS($1:150)),)="131",OFFSET(TH!K$1,SMALL(Dong14,ROWS($1:150)),),0))</f>
        <v>0</v>
      </c>
      <c r="K166" s="712">
        <f ca="1">IF(ROWS($1:150)&gt;COUNT(Dong14),0,IF(OFFSET(TH!O$1,SMALL(Dong14,ROWS($1:150)),)="131",OFFSET(TH!M$1,SMALL(Dong14,ROWS($1:150)),),0))</f>
        <v>0</v>
      </c>
      <c r="L166" s="711">
        <f t="shared" ca="1" si="30"/>
        <v>0</v>
      </c>
      <c r="M166" s="710">
        <f t="shared" ca="1" si="31"/>
        <v>0</v>
      </c>
      <c r="N166" s="711">
        <f t="shared" ca="1" si="32"/>
        <v>0</v>
      </c>
      <c r="O166" s="710">
        <f t="shared" ca="1" si="33"/>
        <v>0</v>
      </c>
    </row>
    <row r="167" spans="1:15" s="5" customFormat="1" ht="23.25" customHeight="1">
      <c r="A167" s="213" t="str">
        <f t="shared" ca="1" si="29"/>
        <v/>
      </c>
      <c r="B167" s="217" t="str">
        <f ca="1">IF(ROWS($1:151)&gt;COUNT(Dong14),"",OFFSET(TH!D$1,SMALL(Dong14,ROWS($1:151)),))</f>
        <v/>
      </c>
      <c r="C167" s="213" t="str">
        <f ca="1">IF(ROWS($1:151)&gt;COUNT(Dong14),"",OFFSET(TH!E$1,SMALL(Dong14,ROWS($1:151)),))</f>
        <v/>
      </c>
      <c r="D167" s="714" t="str">
        <f ca="1">IF(ROWS($1:151)&gt;COUNT(Dong14),"",OFFSET(TH!F$1,SMALL(Dong14,ROWS($1:151)),))</f>
        <v/>
      </c>
      <c r="E167" s="712" t="str">
        <f ca="1">IF(ROWS($1:151)&gt;COUNT(Dong14),"",IF(OFFSET(TH!N$1,SMALL(Dong14,ROWS($1:151)),)="131",OFFSET(TH!O$1,SMALL(Dong14,ROWS($1:151)),),OFFSET(TH!N$1,SMALL(Dong14,ROWS($1:151)),)))</f>
        <v/>
      </c>
      <c r="F167" s="712">
        <f ca="1">IF(ROWS($1:151)&gt;COUNT(Dong14),0,OFFSET(TH!L$1,SMALL(Dong14,ROWS($1:151)),))</f>
        <v>0</v>
      </c>
      <c r="G167" s="712"/>
      <c r="H167" s="1139">
        <f ca="1">IF(ROWS($1:151)&gt;COUNT(Dong14),0,IF(OFFSET(TH!N$1,SMALL(Dong14,ROWS($1:151)),)="131",OFFSET(TH!K$1,SMALL(Dong14,ROWS($1:151)),),0))</f>
        <v>0</v>
      </c>
      <c r="I167" s="712">
        <f ca="1">IF(ROWS($1:151)&gt;COUNT(Dong14),0,IF(OFFSET(TH!N$1,SMALL(Dong14,ROWS($1:151)),)="131",OFFSET(TH!M$1,SMALL(Dong14,ROWS($1:151)),),0))</f>
        <v>0</v>
      </c>
      <c r="J167" s="713">
        <f ca="1">IF(ROWS($1:151)&gt;COUNT(Dong14),0,IF(OFFSET(TH!O$1,SMALL(Dong14,ROWS($1:151)),)="131",OFFSET(TH!K$1,SMALL(Dong14,ROWS($1:151)),),0))</f>
        <v>0</v>
      </c>
      <c r="K167" s="712">
        <f ca="1">IF(ROWS($1:151)&gt;COUNT(Dong14),0,IF(OFFSET(TH!O$1,SMALL(Dong14,ROWS($1:151)),)="131",OFFSET(TH!M$1,SMALL(Dong14,ROWS($1:151)),),0))</f>
        <v>0</v>
      </c>
      <c r="L167" s="711">
        <f t="shared" ca="1" si="30"/>
        <v>0</v>
      </c>
      <c r="M167" s="710">
        <f t="shared" ca="1" si="31"/>
        <v>0</v>
      </c>
      <c r="N167" s="711">
        <f t="shared" ca="1" si="32"/>
        <v>0</v>
      </c>
      <c r="O167" s="710">
        <f t="shared" ca="1" si="33"/>
        <v>0</v>
      </c>
    </row>
    <row r="168" spans="1:15" s="5" customFormat="1" ht="23.25" customHeight="1">
      <c r="A168" s="213" t="str">
        <f t="shared" ca="1" si="29"/>
        <v/>
      </c>
      <c r="B168" s="217" t="str">
        <f ca="1">IF(ROWS($1:152)&gt;COUNT(Dong14),"",OFFSET(TH!D$1,SMALL(Dong14,ROWS($1:152)),))</f>
        <v/>
      </c>
      <c r="C168" s="213" t="str">
        <f ca="1">IF(ROWS($1:152)&gt;COUNT(Dong14),"",OFFSET(TH!E$1,SMALL(Dong14,ROWS($1:152)),))</f>
        <v/>
      </c>
      <c r="D168" s="714" t="str">
        <f ca="1">IF(ROWS($1:152)&gt;COUNT(Dong14),"",OFFSET(TH!F$1,SMALL(Dong14,ROWS($1:152)),))</f>
        <v/>
      </c>
      <c r="E168" s="712" t="str">
        <f ca="1">IF(ROWS($1:152)&gt;COUNT(Dong14),"",IF(OFFSET(TH!N$1,SMALL(Dong14,ROWS($1:152)),)="131",OFFSET(TH!O$1,SMALL(Dong14,ROWS($1:152)),),OFFSET(TH!N$1,SMALL(Dong14,ROWS($1:152)),)))</f>
        <v/>
      </c>
      <c r="F168" s="712">
        <f ca="1">IF(ROWS($1:152)&gt;COUNT(Dong14),0,OFFSET(TH!L$1,SMALL(Dong14,ROWS($1:152)),))</f>
        <v>0</v>
      </c>
      <c r="G168" s="712"/>
      <c r="H168" s="1139">
        <f ca="1">IF(ROWS($1:152)&gt;COUNT(Dong14),0,IF(OFFSET(TH!N$1,SMALL(Dong14,ROWS($1:152)),)="131",OFFSET(TH!K$1,SMALL(Dong14,ROWS($1:152)),),0))</f>
        <v>0</v>
      </c>
      <c r="I168" s="712">
        <f ca="1">IF(ROWS($1:152)&gt;COUNT(Dong14),0,IF(OFFSET(TH!N$1,SMALL(Dong14,ROWS($1:152)),)="131",OFFSET(TH!M$1,SMALL(Dong14,ROWS($1:152)),),0))</f>
        <v>0</v>
      </c>
      <c r="J168" s="713">
        <f ca="1">IF(ROWS($1:152)&gt;COUNT(Dong14),0,IF(OFFSET(TH!O$1,SMALL(Dong14,ROWS($1:152)),)="131",OFFSET(TH!K$1,SMALL(Dong14,ROWS($1:152)),),0))</f>
        <v>0</v>
      </c>
      <c r="K168" s="712">
        <f ca="1">IF(ROWS($1:152)&gt;COUNT(Dong14),0,IF(OFFSET(TH!O$1,SMALL(Dong14,ROWS($1:152)),)="131",OFFSET(TH!M$1,SMALL(Dong14,ROWS($1:152)),),0))</f>
        <v>0</v>
      </c>
      <c r="L168" s="711">
        <f t="shared" ca="1" si="30"/>
        <v>0</v>
      </c>
      <c r="M168" s="710">
        <f t="shared" ca="1" si="31"/>
        <v>0</v>
      </c>
      <c r="N168" s="711">
        <f t="shared" ca="1" si="32"/>
        <v>0</v>
      </c>
      <c r="O168" s="710">
        <f t="shared" ca="1" si="33"/>
        <v>0</v>
      </c>
    </row>
    <row r="169" spans="1:15" s="5" customFormat="1" ht="23.25" customHeight="1">
      <c r="A169" s="213" t="str">
        <f t="shared" ca="1" si="29"/>
        <v/>
      </c>
      <c r="B169" s="217" t="str">
        <f ca="1">IF(ROWS($1:153)&gt;COUNT(Dong14),"",OFFSET(TH!D$1,SMALL(Dong14,ROWS($1:153)),))</f>
        <v/>
      </c>
      <c r="C169" s="213" t="str">
        <f ca="1">IF(ROWS($1:153)&gt;COUNT(Dong14),"",OFFSET(TH!E$1,SMALL(Dong14,ROWS($1:153)),))</f>
        <v/>
      </c>
      <c r="D169" s="714" t="str">
        <f ca="1">IF(ROWS($1:153)&gt;COUNT(Dong14),"",OFFSET(TH!F$1,SMALL(Dong14,ROWS($1:153)),))</f>
        <v/>
      </c>
      <c r="E169" s="712" t="str">
        <f ca="1">IF(ROWS($1:153)&gt;COUNT(Dong14),"",IF(OFFSET(TH!N$1,SMALL(Dong14,ROWS($1:153)),)="131",OFFSET(TH!O$1,SMALL(Dong14,ROWS($1:153)),),OFFSET(TH!N$1,SMALL(Dong14,ROWS($1:153)),)))</f>
        <v/>
      </c>
      <c r="F169" s="712">
        <f ca="1">IF(ROWS($1:153)&gt;COUNT(Dong14),0,OFFSET(TH!L$1,SMALL(Dong14,ROWS($1:153)),))</f>
        <v>0</v>
      </c>
      <c r="G169" s="712"/>
      <c r="H169" s="1139">
        <f ca="1">IF(ROWS($1:153)&gt;COUNT(Dong14),0,IF(OFFSET(TH!N$1,SMALL(Dong14,ROWS($1:153)),)="131",OFFSET(TH!K$1,SMALL(Dong14,ROWS($1:153)),),0))</f>
        <v>0</v>
      </c>
      <c r="I169" s="712">
        <f ca="1">IF(ROWS($1:153)&gt;COUNT(Dong14),0,IF(OFFSET(TH!N$1,SMALL(Dong14,ROWS($1:153)),)="131",OFFSET(TH!M$1,SMALL(Dong14,ROWS($1:153)),),0))</f>
        <v>0</v>
      </c>
      <c r="J169" s="713">
        <f ca="1">IF(ROWS($1:153)&gt;COUNT(Dong14),0,IF(OFFSET(TH!O$1,SMALL(Dong14,ROWS($1:153)),)="131",OFFSET(TH!K$1,SMALL(Dong14,ROWS($1:153)),),0))</f>
        <v>0</v>
      </c>
      <c r="K169" s="712">
        <f ca="1">IF(ROWS($1:153)&gt;COUNT(Dong14),0,IF(OFFSET(TH!O$1,SMALL(Dong14,ROWS($1:153)),)="131",OFFSET(TH!M$1,SMALL(Dong14,ROWS($1:153)),),0))</f>
        <v>0</v>
      </c>
      <c r="L169" s="711">
        <f t="shared" ca="1" si="30"/>
        <v>0</v>
      </c>
      <c r="M169" s="710">
        <f t="shared" ca="1" si="31"/>
        <v>0</v>
      </c>
      <c r="N169" s="711">
        <f t="shared" ca="1" si="32"/>
        <v>0</v>
      </c>
      <c r="O169" s="710">
        <f t="shared" ca="1" si="33"/>
        <v>0</v>
      </c>
    </row>
    <row r="170" spans="1:15" s="5" customFormat="1" ht="23.25" customHeight="1">
      <c r="A170" s="213" t="str">
        <f t="shared" ca="1" si="29"/>
        <v/>
      </c>
      <c r="B170" s="217" t="str">
        <f ca="1">IF(ROWS($1:154)&gt;COUNT(Dong14),"",OFFSET(TH!D$1,SMALL(Dong14,ROWS($1:154)),))</f>
        <v/>
      </c>
      <c r="C170" s="213" t="str">
        <f ca="1">IF(ROWS($1:154)&gt;COUNT(Dong14),"",OFFSET(TH!E$1,SMALL(Dong14,ROWS($1:154)),))</f>
        <v/>
      </c>
      <c r="D170" s="714" t="str">
        <f ca="1">IF(ROWS($1:154)&gt;COUNT(Dong14),"",OFFSET(TH!F$1,SMALL(Dong14,ROWS($1:154)),))</f>
        <v/>
      </c>
      <c r="E170" s="712" t="str">
        <f ca="1">IF(ROWS($1:154)&gt;COUNT(Dong14),"",IF(OFFSET(TH!N$1,SMALL(Dong14,ROWS($1:154)),)="131",OFFSET(TH!O$1,SMALL(Dong14,ROWS($1:154)),),OFFSET(TH!N$1,SMALL(Dong14,ROWS($1:154)),)))</f>
        <v/>
      </c>
      <c r="F170" s="712">
        <f ca="1">IF(ROWS($1:154)&gt;COUNT(Dong14),0,OFFSET(TH!L$1,SMALL(Dong14,ROWS($1:154)),))</f>
        <v>0</v>
      </c>
      <c r="G170" s="712"/>
      <c r="H170" s="1139">
        <f ca="1">IF(ROWS($1:154)&gt;COUNT(Dong14),0,IF(OFFSET(TH!N$1,SMALL(Dong14,ROWS($1:154)),)="131",OFFSET(TH!K$1,SMALL(Dong14,ROWS($1:154)),),0))</f>
        <v>0</v>
      </c>
      <c r="I170" s="712">
        <f ca="1">IF(ROWS($1:154)&gt;COUNT(Dong14),0,IF(OFFSET(TH!N$1,SMALL(Dong14,ROWS($1:154)),)="131",OFFSET(TH!M$1,SMALL(Dong14,ROWS($1:154)),),0))</f>
        <v>0</v>
      </c>
      <c r="J170" s="713">
        <f ca="1">IF(ROWS($1:154)&gt;COUNT(Dong14),0,IF(OFFSET(TH!O$1,SMALL(Dong14,ROWS($1:154)),)="131",OFFSET(TH!K$1,SMALL(Dong14,ROWS($1:154)),),0))</f>
        <v>0</v>
      </c>
      <c r="K170" s="712">
        <f ca="1">IF(ROWS($1:154)&gt;COUNT(Dong14),0,IF(OFFSET(TH!O$1,SMALL(Dong14,ROWS($1:154)),)="131",OFFSET(TH!M$1,SMALL(Dong14,ROWS($1:154)),),0))</f>
        <v>0</v>
      </c>
      <c r="L170" s="711">
        <f t="shared" ca="1" si="30"/>
        <v>0</v>
      </c>
      <c r="M170" s="710">
        <f t="shared" ca="1" si="31"/>
        <v>0</v>
      </c>
      <c r="N170" s="711">
        <f t="shared" ca="1" si="32"/>
        <v>0</v>
      </c>
      <c r="O170" s="710">
        <f t="shared" ca="1" si="33"/>
        <v>0</v>
      </c>
    </row>
    <row r="171" spans="1:15" s="5" customFormat="1" ht="23.25" customHeight="1">
      <c r="A171" s="213" t="str">
        <f t="shared" ref="A171:A182" ca="1" si="34">IF(C171&lt;&gt;"",C171,"")</f>
        <v/>
      </c>
      <c r="B171" s="217" t="str">
        <f ca="1">IF(ROWS($1:155)&gt;COUNT(Dong14),"",OFFSET(TH!D$1,SMALL(Dong14,ROWS($1:155)),))</f>
        <v/>
      </c>
      <c r="C171" s="213" t="str">
        <f ca="1">IF(ROWS($1:155)&gt;COUNT(Dong14),"",OFFSET(TH!E$1,SMALL(Dong14,ROWS($1:155)),))</f>
        <v/>
      </c>
      <c r="D171" s="714" t="str">
        <f ca="1">IF(ROWS($1:155)&gt;COUNT(Dong14),"",OFFSET(TH!F$1,SMALL(Dong14,ROWS($1:155)),))</f>
        <v/>
      </c>
      <c r="E171" s="712" t="str">
        <f ca="1">IF(ROWS($1:155)&gt;COUNT(Dong14),"",IF(OFFSET(TH!N$1,SMALL(Dong14,ROWS($1:155)),)="131",OFFSET(TH!O$1,SMALL(Dong14,ROWS($1:155)),),OFFSET(TH!N$1,SMALL(Dong14,ROWS($1:155)),)))</f>
        <v/>
      </c>
      <c r="F171" s="712">
        <f ca="1">IF(ROWS($1:155)&gt;COUNT(Dong14),0,OFFSET(TH!L$1,SMALL(Dong14,ROWS($1:155)),))</f>
        <v>0</v>
      </c>
      <c r="G171" s="712"/>
      <c r="H171" s="1139">
        <f ca="1">IF(ROWS($1:155)&gt;COUNT(Dong14),0,IF(OFFSET(TH!N$1,SMALL(Dong14,ROWS($1:155)),)="131",OFFSET(TH!K$1,SMALL(Dong14,ROWS($1:155)),),0))</f>
        <v>0</v>
      </c>
      <c r="I171" s="712">
        <f ca="1">IF(ROWS($1:155)&gt;COUNT(Dong14),0,IF(OFFSET(TH!N$1,SMALL(Dong14,ROWS($1:155)),)="131",OFFSET(TH!M$1,SMALL(Dong14,ROWS($1:155)),),0))</f>
        <v>0</v>
      </c>
      <c r="J171" s="713">
        <f ca="1">IF(ROWS($1:155)&gt;COUNT(Dong14),0,IF(OFFSET(TH!O$1,SMALL(Dong14,ROWS($1:155)),)="131",OFFSET(TH!K$1,SMALL(Dong14,ROWS($1:155)),),0))</f>
        <v>0</v>
      </c>
      <c r="K171" s="712">
        <f ca="1">IF(ROWS($1:155)&gt;COUNT(Dong14),0,IF(OFFSET(TH!O$1,SMALL(Dong14,ROWS($1:155)),)="131",OFFSET(TH!M$1,SMALL(Dong14,ROWS($1:155)),),0))</f>
        <v>0</v>
      </c>
      <c r="L171" s="711">
        <f t="shared" ref="L171:L182" ca="1" si="35">IF(D171&lt;&gt;"",ROUND(MAX(L170+H171-J171-N170,0),2),0)</f>
        <v>0</v>
      </c>
      <c r="M171" s="710">
        <f t="shared" ref="M171:M182" ca="1" si="36">IF(D171&lt;&gt;"",MAX(M170-O170+I171-K171,0),0)</f>
        <v>0</v>
      </c>
      <c r="N171" s="711">
        <f t="shared" ref="N171:N182" ca="1" si="37">IF(D171&lt;&gt;"",ROUND(MAX(N170+J171-H171-L170,0),2),0)</f>
        <v>0</v>
      </c>
      <c r="O171" s="710">
        <f t="shared" ref="O171:O182" ca="1" si="38">IF(D171&lt;&gt;"",MAX(O170-M170+K171-I171,0),0)</f>
        <v>0</v>
      </c>
    </row>
    <row r="172" spans="1:15" s="5" customFormat="1" ht="23.25" customHeight="1">
      <c r="A172" s="213" t="str">
        <f t="shared" ca="1" si="34"/>
        <v/>
      </c>
      <c r="B172" s="217" t="str">
        <f ca="1">IF(ROWS($1:156)&gt;COUNT(Dong14),"",OFFSET(TH!D$1,SMALL(Dong14,ROWS($1:156)),))</f>
        <v/>
      </c>
      <c r="C172" s="213" t="str">
        <f ca="1">IF(ROWS($1:156)&gt;COUNT(Dong14),"",OFFSET(TH!E$1,SMALL(Dong14,ROWS($1:156)),))</f>
        <v/>
      </c>
      <c r="D172" s="714" t="str">
        <f ca="1">IF(ROWS($1:156)&gt;COUNT(Dong14),"",OFFSET(TH!F$1,SMALL(Dong14,ROWS($1:156)),))</f>
        <v/>
      </c>
      <c r="E172" s="712" t="str">
        <f ca="1">IF(ROWS($1:156)&gt;COUNT(Dong14),"",IF(OFFSET(TH!N$1,SMALL(Dong14,ROWS($1:156)),)="131",OFFSET(TH!O$1,SMALL(Dong14,ROWS($1:156)),),OFFSET(TH!N$1,SMALL(Dong14,ROWS($1:156)),)))</f>
        <v/>
      </c>
      <c r="F172" s="712">
        <f ca="1">IF(ROWS($1:156)&gt;COUNT(Dong14),0,OFFSET(TH!L$1,SMALL(Dong14,ROWS($1:156)),))</f>
        <v>0</v>
      </c>
      <c r="G172" s="712"/>
      <c r="H172" s="1139">
        <f ca="1">IF(ROWS($1:156)&gt;COUNT(Dong14),0,IF(OFFSET(TH!N$1,SMALL(Dong14,ROWS($1:156)),)="131",OFFSET(TH!K$1,SMALL(Dong14,ROWS($1:156)),),0))</f>
        <v>0</v>
      </c>
      <c r="I172" s="712">
        <f ca="1">IF(ROWS($1:156)&gt;COUNT(Dong14),0,IF(OFFSET(TH!N$1,SMALL(Dong14,ROWS($1:156)),)="131",OFFSET(TH!M$1,SMALL(Dong14,ROWS($1:156)),),0))</f>
        <v>0</v>
      </c>
      <c r="J172" s="713">
        <f ca="1">IF(ROWS($1:156)&gt;COUNT(Dong14),0,IF(OFFSET(TH!O$1,SMALL(Dong14,ROWS($1:156)),)="131",OFFSET(TH!K$1,SMALL(Dong14,ROWS($1:156)),),0))</f>
        <v>0</v>
      </c>
      <c r="K172" s="712">
        <f ca="1">IF(ROWS($1:156)&gt;COUNT(Dong14),0,IF(OFFSET(TH!O$1,SMALL(Dong14,ROWS($1:156)),)="131",OFFSET(TH!M$1,SMALL(Dong14,ROWS($1:156)),),0))</f>
        <v>0</v>
      </c>
      <c r="L172" s="711">
        <f t="shared" ca="1" si="35"/>
        <v>0</v>
      </c>
      <c r="M172" s="710">
        <f t="shared" ca="1" si="36"/>
        <v>0</v>
      </c>
      <c r="N172" s="711">
        <f t="shared" ca="1" si="37"/>
        <v>0</v>
      </c>
      <c r="O172" s="710">
        <f t="shared" ca="1" si="38"/>
        <v>0</v>
      </c>
    </row>
    <row r="173" spans="1:15" s="5" customFormat="1" ht="23.25" customHeight="1">
      <c r="A173" s="213" t="str">
        <f t="shared" ca="1" si="34"/>
        <v/>
      </c>
      <c r="B173" s="217" t="str">
        <f ca="1">IF(ROWS($1:157)&gt;COUNT(Dong14),"",OFFSET(TH!D$1,SMALL(Dong14,ROWS($1:157)),))</f>
        <v/>
      </c>
      <c r="C173" s="213" t="str">
        <f ca="1">IF(ROWS($1:157)&gt;COUNT(Dong14),"",OFFSET(TH!E$1,SMALL(Dong14,ROWS($1:157)),))</f>
        <v/>
      </c>
      <c r="D173" s="714" t="str">
        <f ca="1">IF(ROWS($1:157)&gt;COUNT(Dong14),"",OFFSET(TH!F$1,SMALL(Dong14,ROWS($1:157)),))</f>
        <v/>
      </c>
      <c r="E173" s="712" t="str">
        <f ca="1">IF(ROWS($1:157)&gt;COUNT(Dong14),"",IF(OFFSET(TH!N$1,SMALL(Dong14,ROWS($1:157)),)="131",OFFSET(TH!O$1,SMALL(Dong14,ROWS($1:157)),),OFFSET(TH!N$1,SMALL(Dong14,ROWS($1:157)),)))</f>
        <v/>
      </c>
      <c r="F173" s="712">
        <f ca="1">IF(ROWS($1:157)&gt;COUNT(Dong14),0,OFFSET(TH!L$1,SMALL(Dong14,ROWS($1:157)),))</f>
        <v>0</v>
      </c>
      <c r="G173" s="712"/>
      <c r="H173" s="1139">
        <f ca="1">IF(ROWS($1:157)&gt;COUNT(Dong14),0,IF(OFFSET(TH!N$1,SMALL(Dong14,ROWS($1:157)),)="131",OFFSET(TH!K$1,SMALL(Dong14,ROWS($1:157)),),0))</f>
        <v>0</v>
      </c>
      <c r="I173" s="712">
        <f ca="1">IF(ROWS($1:157)&gt;COUNT(Dong14),0,IF(OFFSET(TH!N$1,SMALL(Dong14,ROWS($1:157)),)="131",OFFSET(TH!M$1,SMALL(Dong14,ROWS($1:157)),),0))</f>
        <v>0</v>
      </c>
      <c r="J173" s="713">
        <f ca="1">IF(ROWS($1:157)&gt;COUNT(Dong14),0,IF(OFFSET(TH!O$1,SMALL(Dong14,ROWS($1:157)),)="131",OFFSET(TH!K$1,SMALL(Dong14,ROWS($1:157)),),0))</f>
        <v>0</v>
      </c>
      <c r="K173" s="712">
        <f ca="1">IF(ROWS($1:157)&gt;COUNT(Dong14),0,IF(OFFSET(TH!O$1,SMALL(Dong14,ROWS($1:157)),)="131",OFFSET(TH!M$1,SMALL(Dong14,ROWS($1:157)),),0))</f>
        <v>0</v>
      </c>
      <c r="L173" s="711">
        <f t="shared" ca="1" si="35"/>
        <v>0</v>
      </c>
      <c r="M173" s="710">
        <f t="shared" ca="1" si="36"/>
        <v>0</v>
      </c>
      <c r="N173" s="711">
        <f t="shared" ca="1" si="37"/>
        <v>0</v>
      </c>
      <c r="O173" s="710">
        <f t="shared" ca="1" si="38"/>
        <v>0</v>
      </c>
    </row>
    <row r="174" spans="1:15" s="5" customFormat="1" ht="23.25" customHeight="1">
      <c r="A174" s="213" t="str">
        <f t="shared" ca="1" si="34"/>
        <v/>
      </c>
      <c r="B174" s="217" t="str">
        <f ca="1">IF(ROWS($1:158)&gt;COUNT(Dong14),"",OFFSET(TH!D$1,SMALL(Dong14,ROWS($1:158)),))</f>
        <v/>
      </c>
      <c r="C174" s="213" t="str">
        <f ca="1">IF(ROWS($1:158)&gt;COUNT(Dong14),"",OFFSET(TH!E$1,SMALL(Dong14,ROWS($1:158)),))</f>
        <v/>
      </c>
      <c r="D174" s="714" t="str">
        <f ca="1">IF(ROWS($1:158)&gt;COUNT(Dong14),"",OFFSET(TH!F$1,SMALL(Dong14,ROWS($1:158)),))</f>
        <v/>
      </c>
      <c r="E174" s="712" t="str">
        <f ca="1">IF(ROWS($1:158)&gt;COUNT(Dong14),"",IF(OFFSET(TH!N$1,SMALL(Dong14,ROWS($1:158)),)="131",OFFSET(TH!O$1,SMALL(Dong14,ROWS($1:158)),),OFFSET(TH!N$1,SMALL(Dong14,ROWS($1:158)),)))</f>
        <v/>
      </c>
      <c r="F174" s="712">
        <f ca="1">IF(ROWS($1:158)&gt;COUNT(Dong14),0,OFFSET(TH!L$1,SMALL(Dong14,ROWS($1:158)),))</f>
        <v>0</v>
      </c>
      <c r="G174" s="712"/>
      <c r="H174" s="1139">
        <f ca="1">IF(ROWS($1:158)&gt;COUNT(Dong14),0,IF(OFFSET(TH!N$1,SMALL(Dong14,ROWS($1:158)),)="131",OFFSET(TH!K$1,SMALL(Dong14,ROWS($1:158)),),0))</f>
        <v>0</v>
      </c>
      <c r="I174" s="712">
        <f ca="1">IF(ROWS($1:158)&gt;COUNT(Dong14),0,IF(OFFSET(TH!N$1,SMALL(Dong14,ROWS($1:158)),)="131",OFFSET(TH!M$1,SMALL(Dong14,ROWS($1:158)),),0))</f>
        <v>0</v>
      </c>
      <c r="J174" s="713">
        <f ca="1">IF(ROWS($1:158)&gt;COUNT(Dong14),0,IF(OFFSET(TH!O$1,SMALL(Dong14,ROWS($1:158)),)="131",OFFSET(TH!K$1,SMALL(Dong14,ROWS($1:158)),),0))</f>
        <v>0</v>
      </c>
      <c r="K174" s="712">
        <f ca="1">IF(ROWS($1:158)&gt;COUNT(Dong14),0,IF(OFFSET(TH!O$1,SMALL(Dong14,ROWS($1:158)),)="131",OFFSET(TH!M$1,SMALL(Dong14,ROWS($1:158)),),0))</f>
        <v>0</v>
      </c>
      <c r="L174" s="711">
        <f t="shared" ca="1" si="35"/>
        <v>0</v>
      </c>
      <c r="M174" s="710">
        <f t="shared" ca="1" si="36"/>
        <v>0</v>
      </c>
      <c r="N174" s="711">
        <f t="shared" ca="1" si="37"/>
        <v>0</v>
      </c>
      <c r="O174" s="710">
        <f t="shared" ca="1" si="38"/>
        <v>0</v>
      </c>
    </row>
    <row r="175" spans="1:15" s="5" customFormat="1" ht="23.25" customHeight="1">
      <c r="A175" s="213" t="str">
        <f t="shared" ca="1" si="34"/>
        <v/>
      </c>
      <c r="B175" s="217" t="str">
        <f ca="1">IF(ROWS($1:159)&gt;COUNT(Dong14),"",OFFSET(TH!D$1,SMALL(Dong14,ROWS($1:159)),))</f>
        <v/>
      </c>
      <c r="C175" s="213" t="str">
        <f ca="1">IF(ROWS($1:159)&gt;COUNT(Dong14),"",OFFSET(TH!E$1,SMALL(Dong14,ROWS($1:159)),))</f>
        <v/>
      </c>
      <c r="D175" s="714" t="str">
        <f ca="1">IF(ROWS($1:159)&gt;COUNT(Dong14),"",OFFSET(TH!F$1,SMALL(Dong14,ROWS($1:159)),))</f>
        <v/>
      </c>
      <c r="E175" s="712" t="str">
        <f ca="1">IF(ROWS($1:159)&gt;COUNT(Dong14),"",IF(OFFSET(TH!N$1,SMALL(Dong14,ROWS($1:159)),)="131",OFFSET(TH!O$1,SMALL(Dong14,ROWS($1:159)),),OFFSET(TH!N$1,SMALL(Dong14,ROWS($1:159)),)))</f>
        <v/>
      </c>
      <c r="F175" s="712">
        <f ca="1">IF(ROWS($1:159)&gt;COUNT(Dong14),0,OFFSET(TH!L$1,SMALL(Dong14,ROWS($1:159)),))</f>
        <v>0</v>
      </c>
      <c r="G175" s="712"/>
      <c r="H175" s="1139">
        <f ca="1">IF(ROWS($1:159)&gt;COUNT(Dong14),0,IF(OFFSET(TH!N$1,SMALL(Dong14,ROWS($1:159)),)="131",OFFSET(TH!K$1,SMALL(Dong14,ROWS($1:159)),),0))</f>
        <v>0</v>
      </c>
      <c r="I175" s="712">
        <f ca="1">IF(ROWS($1:159)&gt;COUNT(Dong14),0,IF(OFFSET(TH!N$1,SMALL(Dong14,ROWS($1:159)),)="131",OFFSET(TH!M$1,SMALL(Dong14,ROWS($1:159)),),0))</f>
        <v>0</v>
      </c>
      <c r="J175" s="713">
        <f ca="1">IF(ROWS($1:159)&gt;COUNT(Dong14),0,IF(OFFSET(TH!O$1,SMALL(Dong14,ROWS($1:159)),)="131",OFFSET(TH!K$1,SMALL(Dong14,ROWS($1:159)),),0))</f>
        <v>0</v>
      </c>
      <c r="K175" s="712">
        <f ca="1">IF(ROWS($1:159)&gt;COUNT(Dong14),0,IF(OFFSET(TH!O$1,SMALL(Dong14,ROWS($1:159)),)="131",OFFSET(TH!M$1,SMALL(Dong14,ROWS($1:159)),),0))</f>
        <v>0</v>
      </c>
      <c r="L175" s="711">
        <f t="shared" ca="1" si="35"/>
        <v>0</v>
      </c>
      <c r="M175" s="710">
        <f t="shared" ca="1" si="36"/>
        <v>0</v>
      </c>
      <c r="N175" s="711">
        <f t="shared" ca="1" si="37"/>
        <v>0</v>
      </c>
      <c r="O175" s="710">
        <f t="shared" ca="1" si="38"/>
        <v>0</v>
      </c>
    </row>
    <row r="176" spans="1:15" s="5" customFormat="1" ht="23.25" customHeight="1">
      <c r="A176" s="213" t="str">
        <f t="shared" ca="1" si="34"/>
        <v/>
      </c>
      <c r="B176" s="217" t="str">
        <f ca="1">IF(ROWS($1:160)&gt;COUNT(Dong14),"",OFFSET(TH!D$1,SMALL(Dong14,ROWS($1:160)),))</f>
        <v/>
      </c>
      <c r="C176" s="213" t="str">
        <f ca="1">IF(ROWS($1:160)&gt;COUNT(Dong14),"",OFFSET(TH!E$1,SMALL(Dong14,ROWS($1:160)),))</f>
        <v/>
      </c>
      <c r="D176" s="714" t="str">
        <f ca="1">IF(ROWS($1:160)&gt;COUNT(Dong14),"",OFFSET(TH!F$1,SMALL(Dong14,ROWS($1:160)),))</f>
        <v/>
      </c>
      <c r="E176" s="712" t="str">
        <f ca="1">IF(ROWS($1:160)&gt;COUNT(Dong14),"",IF(OFFSET(TH!N$1,SMALL(Dong14,ROWS($1:160)),)="131",OFFSET(TH!O$1,SMALL(Dong14,ROWS($1:160)),),OFFSET(TH!N$1,SMALL(Dong14,ROWS($1:160)),)))</f>
        <v/>
      </c>
      <c r="F176" s="712">
        <f ca="1">IF(ROWS($1:160)&gt;COUNT(Dong14),0,OFFSET(TH!L$1,SMALL(Dong14,ROWS($1:160)),))</f>
        <v>0</v>
      </c>
      <c r="G176" s="712"/>
      <c r="H176" s="1139">
        <f ca="1">IF(ROWS($1:160)&gt;COUNT(Dong14),0,IF(OFFSET(TH!N$1,SMALL(Dong14,ROWS($1:160)),)="131",OFFSET(TH!K$1,SMALL(Dong14,ROWS($1:160)),),0))</f>
        <v>0</v>
      </c>
      <c r="I176" s="712">
        <f ca="1">IF(ROWS($1:160)&gt;COUNT(Dong14),0,IF(OFFSET(TH!N$1,SMALL(Dong14,ROWS($1:160)),)="131",OFFSET(TH!M$1,SMALL(Dong14,ROWS($1:160)),),0))</f>
        <v>0</v>
      </c>
      <c r="J176" s="713">
        <f ca="1">IF(ROWS($1:160)&gt;COUNT(Dong14),0,IF(OFFSET(TH!O$1,SMALL(Dong14,ROWS($1:160)),)="131",OFFSET(TH!K$1,SMALL(Dong14,ROWS($1:160)),),0))</f>
        <v>0</v>
      </c>
      <c r="K176" s="712">
        <f ca="1">IF(ROWS($1:160)&gt;COUNT(Dong14),0,IF(OFFSET(TH!O$1,SMALL(Dong14,ROWS($1:160)),)="131",OFFSET(TH!M$1,SMALL(Dong14,ROWS($1:160)),),0))</f>
        <v>0</v>
      </c>
      <c r="L176" s="711">
        <f t="shared" ca="1" si="35"/>
        <v>0</v>
      </c>
      <c r="M176" s="710">
        <f t="shared" ca="1" si="36"/>
        <v>0</v>
      </c>
      <c r="N176" s="711">
        <f t="shared" ca="1" si="37"/>
        <v>0</v>
      </c>
      <c r="O176" s="710">
        <f t="shared" ca="1" si="38"/>
        <v>0</v>
      </c>
    </row>
    <row r="177" spans="1:17" s="5" customFormat="1" ht="23.25" customHeight="1">
      <c r="A177" s="213" t="str">
        <f t="shared" ca="1" si="34"/>
        <v/>
      </c>
      <c r="B177" s="217" t="str">
        <f ca="1">IF(ROWS($1:161)&gt;COUNT(Dong14),"",OFFSET(TH!D$1,SMALL(Dong14,ROWS($1:161)),))</f>
        <v/>
      </c>
      <c r="C177" s="213" t="str">
        <f ca="1">IF(ROWS($1:161)&gt;COUNT(Dong14),"",OFFSET(TH!E$1,SMALL(Dong14,ROWS($1:161)),))</f>
        <v/>
      </c>
      <c r="D177" s="714" t="str">
        <f ca="1">IF(ROWS($1:161)&gt;COUNT(Dong14),"",OFFSET(TH!F$1,SMALL(Dong14,ROWS($1:161)),))</f>
        <v/>
      </c>
      <c r="E177" s="712" t="str">
        <f ca="1">IF(ROWS($1:161)&gt;COUNT(Dong14),"",IF(OFFSET(TH!N$1,SMALL(Dong14,ROWS($1:161)),)="131",OFFSET(TH!O$1,SMALL(Dong14,ROWS($1:161)),),OFFSET(TH!N$1,SMALL(Dong14,ROWS($1:161)),)))</f>
        <v/>
      </c>
      <c r="F177" s="712">
        <f ca="1">IF(ROWS($1:161)&gt;COUNT(Dong14),0,OFFSET(TH!L$1,SMALL(Dong14,ROWS($1:161)),))</f>
        <v>0</v>
      </c>
      <c r="G177" s="712"/>
      <c r="H177" s="1139">
        <f ca="1">IF(ROWS($1:161)&gt;COUNT(Dong14),0,IF(OFFSET(TH!N$1,SMALL(Dong14,ROWS($1:161)),)="131",OFFSET(TH!K$1,SMALL(Dong14,ROWS($1:161)),),0))</f>
        <v>0</v>
      </c>
      <c r="I177" s="712">
        <f ca="1">IF(ROWS($1:161)&gt;COUNT(Dong14),0,IF(OFFSET(TH!N$1,SMALL(Dong14,ROWS($1:161)),)="131",OFFSET(TH!M$1,SMALL(Dong14,ROWS($1:161)),),0))</f>
        <v>0</v>
      </c>
      <c r="J177" s="713">
        <f ca="1">IF(ROWS($1:161)&gt;COUNT(Dong14),0,IF(OFFSET(TH!O$1,SMALL(Dong14,ROWS($1:161)),)="131",OFFSET(TH!K$1,SMALL(Dong14,ROWS($1:161)),),0))</f>
        <v>0</v>
      </c>
      <c r="K177" s="712">
        <f ca="1">IF(ROWS($1:161)&gt;COUNT(Dong14),0,IF(OFFSET(TH!O$1,SMALL(Dong14,ROWS($1:161)),)="131",OFFSET(TH!M$1,SMALL(Dong14,ROWS($1:161)),),0))</f>
        <v>0</v>
      </c>
      <c r="L177" s="711">
        <f t="shared" ca="1" si="35"/>
        <v>0</v>
      </c>
      <c r="M177" s="710">
        <f t="shared" ca="1" si="36"/>
        <v>0</v>
      </c>
      <c r="N177" s="711">
        <f t="shared" ca="1" si="37"/>
        <v>0</v>
      </c>
      <c r="O177" s="710">
        <f t="shared" ca="1" si="38"/>
        <v>0</v>
      </c>
    </row>
    <row r="178" spans="1:17" s="5" customFormat="1" ht="23.25" customHeight="1">
      <c r="A178" s="213" t="str">
        <f t="shared" ca="1" si="34"/>
        <v/>
      </c>
      <c r="B178" s="217" t="str">
        <f ca="1">IF(ROWS($1:162)&gt;COUNT(Dong14),"",OFFSET(TH!D$1,SMALL(Dong14,ROWS($1:162)),))</f>
        <v/>
      </c>
      <c r="C178" s="213" t="str">
        <f ca="1">IF(ROWS($1:162)&gt;COUNT(Dong14),"",OFFSET(TH!E$1,SMALL(Dong14,ROWS($1:162)),))</f>
        <v/>
      </c>
      <c r="D178" s="714" t="str">
        <f ca="1">IF(ROWS($1:162)&gt;COUNT(Dong14),"",OFFSET(TH!F$1,SMALL(Dong14,ROWS($1:162)),))</f>
        <v/>
      </c>
      <c r="E178" s="712" t="str">
        <f ca="1">IF(ROWS($1:162)&gt;COUNT(Dong14),"",IF(OFFSET(TH!N$1,SMALL(Dong14,ROWS($1:162)),)="131",OFFSET(TH!O$1,SMALL(Dong14,ROWS($1:162)),),OFFSET(TH!N$1,SMALL(Dong14,ROWS($1:162)),)))</f>
        <v/>
      </c>
      <c r="F178" s="712">
        <f ca="1">IF(ROWS($1:162)&gt;COUNT(Dong14),0,OFFSET(TH!L$1,SMALL(Dong14,ROWS($1:162)),))</f>
        <v>0</v>
      </c>
      <c r="G178" s="712"/>
      <c r="H178" s="1139">
        <f ca="1">IF(ROWS($1:162)&gt;COUNT(Dong14),0,IF(OFFSET(TH!N$1,SMALL(Dong14,ROWS($1:162)),)="131",OFFSET(TH!K$1,SMALL(Dong14,ROWS($1:162)),),0))</f>
        <v>0</v>
      </c>
      <c r="I178" s="712">
        <f ca="1">IF(ROWS($1:162)&gt;COUNT(Dong14),0,IF(OFFSET(TH!N$1,SMALL(Dong14,ROWS($1:162)),)="131",OFFSET(TH!M$1,SMALL(Dong14,ROWS($1:162)),),0))</f>
        <v>0</v>
      </c>
      <c r="J178" s="713">
        <f ca="1">IF(ROWS($1:162)&gt;COUNT(Dong14),0,IF(OFFSET(TH!O$1,SMALL(Dong14,ROWS($1:162)),)="131",OFFSET(TH!K$1,SMALL(Dong14,ROWS($1:162)),),0))</f>
        <v>0</v>
      </c>
      <c r="K178" s="712">
        <f ca="1">IF(ROWS($1:162)&gt;COUNT(Dong14),0,IF(OFFSET(TH!O$1,SMALL(Dong14,ROWS($1:162)),)="131",OFFSET(TH!M$1,SMALL(Dong14,ROWS($1:162)),),0))</f>
        <v>0</v>
      </c>
      <c r="L178" s="711">
        <f t="shared" ca="1" si="35"/>
        <v>0</v>
      </c>
      <c r="M178" s="710">
        <f t="shared" ca="1" si="36"/>
        <v>0</v>
      </c>
      <c r="N178" s="711">
        <f t="shared" ca="1" si="37"/>
        <v>0</v>
      </c>
      <c r="O178" s="710">
        <f t="shared" ca="1" si="38"/>
        <v>0</v>
      </c>
    </row>
    <row r="179" spans="1:17" s="5" customFormat="1" ht="23.25" customHeight="1">
      <c r="A179" s="213" t="str">
        <f t="shared" ca="1" si="34"/>
        <v/>
      </c>
      <c r="B179" s="217" t="str">
        <f ca="1">IF(ROWS($1:163)&gt;COUNT(Dong14),"",OFFSET(TH!D$1,SMALL(Dong14,ROWS($1:163)),))</f>
        <v/>
      </c>
      <c r="C179" s="213" t="str">
        <f ca="1">IF(ROWS($1:163)&gt;COUNT(Dong14),"",OFFSET(TH!E$1,SMALL(Dong14,ROWS($1:163)),))</f>
        <v/>
      </c>
      <c r="D179" s="714" t="str">
        <f ca="1">IF(ROWS($1:163)&gt;COUNT(Dong14),"",OFFSET(TH!F$1,SMALL(Dong14,ROWS($1:163)),))</f>
        <v/>
      </c>
      <c r="E179" s="712" t="str">
        <f ca="1">IF(ROWS($1:163)&gt;COUNT(Dong14),"",IF(OFFSET(TH!N$1,SMALL(Dong14,ROWS($1:163)),)="131",OFFSET(TH!O$1,SMALL(Dong14,ROWS($1:163)),),OFFSET(TH!N$1,SMALL(Dong14,ROWS($1:163)),)))</f>
        <v/>
      </c>
      <c r="F179" s="712">
        <f ca="1">IF(ROWS($1:163)&gt;COUNT(Dong14),0,OFFSET(TH!L$1,SMALL(Dong14,ROWS($1:163)),))</f>
        <v>0</v>
      </c>
      <c r="G179" s="712"/>
      <c r="H179" s="1139">
        <f ca="1">IF(ROWS($1:163)&gt;COUNT(Dong14),0,IF(OFFSET(TH!N$1,SMALL(Dong14,ROWS($1:163)),)="131",OFFSET(TH!K$1,SMALL(Dong14,ROWS($1:163)),),0))</f>
        <v>0</v>
      </c>
      <c r="I179" s="712">
        <f ca="1">IF(ROWS($1:163)&gt;COUNT(Dong14),0,IF(OFFSET(TH!N$1,SMALL(Dong14,ROWS($1:163)),)="131",OFFSET(TH!M$1,SMALL(Dong14,ROWS($1:163)),),0))</f>
        <v>0</v>
      </c>
      <c r="J179" s="713">
        <f ca="1">IF(ROWS($1:163)&gt;COUNT(Dong14),0,IF(OFFSET(TH!O$1,SMALL(Dong14,ROWS($1:163)),)="131",OFFSET(TH!K$1,SMALL(Dong14,ROWS($1:163)),),0))</f>
        <v>0</v>
      </c>
      <c r="K179" s="712">
        <f ca="1">IF(ROWS($1:163)&gt;COUNT(Dong14),0,IF(OFFSET(TH!O$1,SMALL(Dong14,ROWS($1:163)),)="131",OFFSET(TH!M$1,SMALL(Dong14,ROWS($1:163)),),0))</f>
        <v>0</v>
      </c>
      <c r="L179" s="711">
        <f t="shared" ca="1" si="35"/>
        <v>0</v>
      </c>
      <c r="M179" s="710">
        <f t="shared" ca="1" si="36"/>
        <v>0</v>
      </c>
      <c r="N179" s="711">
        <f t="shared" ca="1" si="37"/>
        <v>0</v>
      </c>
      <c r="O179" s="710">
        <f t="shared" ca="1" si="38"/>
        <v>0</v>
      </c>
    </row>
    <row r="180" spans="1:17" s="5" customFormat="1" ht="23.25" customHeight="1">
      <c r="A180" s="213" t="str">
        <f t="shared" ca="1" si="34"/>
        <v/>
      </c>
      <c r="B180" s="217" t="str">
        <f ca="1">IF(ROWS($1:164)&gt;COUNT(Dong14),"",OFFSET(TH!D$1,SMALL(Dong14,ROWS($1:164)),))</f>
        <v/>
      </c>
      <c r="C180" s="213" t="str">
        <f ca="1">IF(ROWS($1:164)&gt;COUNT(Dong14),"",OFFSET(TH!E$1,SMALL(Dong14,ROWS($1:164)),))</f>
        <v/>
      </c>
      <c r="D180" s="714" t="str">
        <f ca="1">IF(ROWS($1:164)&gt;COUNT(Dong14),"",OFFSET(TH!F$1,SMALL(Dong14,ROWS($1:164)),))</f>
        <v/>
      </c>
      <c r="E180" s="712" t="str">
        <f ca="1">IF(ROWS($1:164)&gt;COUNT(Dong14),"",IF(OFFSET(TH!N$1,SMALL(Dong14,ROWS($1:164)),)="131",OFFSET(TH!O$1,SMALL(Dong14,ROWS($1:164)),),OFFSET(TH!N$1,SMALL(Dong14,ROWS($1:164)),)))</f>
        <v/>
      </c>
      <c r="F180" s="712">
        <f ca="1">IF(ROWS($1:164)&gt;COUNT(Dong14),0,OFFSET(TH!L$1,SMALL(Dong14,ROWS($1:164)),))</f>
        <v>0</v>
      </c>
      <c r="G180" s="712"/>
      <c r="H180" s="1139">
        <f ca="1">IF(ROWS($1:164)&gt;COUNT(Dong14),0,IF(OFFSET(TH!N$1,SMALL(Dong14,ROWS($1:164)),)="131",OFFSET(TH!K$1,SMALL(Dong14,ROWS($1:164)),),0))</f>
        <v>0</v>
      </c>
      <c r="I180" s="712">
        <f ca="1">IF(ROWS($1:164)&gt;COUNT(Dong14),0,IF(OFFSET(TH!N$1,SMALL(Dong14,ROWS($1:164)),)="131",OFFSET(TH!M$1,SMALL(Dong14,ROWS($1:164)),),0))</f>
        <v>0</v>
      </c>
      <c r="J180" s="713">
        <f ca="1">IF(ROWS($1:164)&gt;COUNT(Dong14),0,IF(OFFSET(TH!O$1,SMALL(Dong14,ROWS($1:164)),)="131",OFFSET(TH!K$1,SMALL(Dong14,ROWS($1:164)),),0))</f>
        <v>0</v>
      </c>
      <c r="K180" s="712">
        <f ca="1">IF(ROWS($1:164)&gt;COUNT(Dong14),0,IF(OFFSET(TH!O$1,SMALL(Dong14,ROWS($1:164)),)="131",OFFSET(TH!M$1,SMALL(Dong14,ROWS($1:164)),),0))</f>
        <v>0</v>
      </c>
      <c r="L180" s="711">
        <f t="shared" ca="1" si="35"/>
        <v>0</v>
      </c>
      <c r="M180" s="710">
        <f t="shared" ca="1" si="36"/>
        <v>0</v>
      </c>
      <c r="N180" s="711">
        <f t="shared" ca="1" si="37"/>
        <v>0</v>
      </c>
      <c r="O180" s="710">
        <f t="shared" ca="1" si="38"/>
        <v>0</v>
      </c>
    </row>
    <row r="181" spans="1:17" s="5" customFormat="1" ht="23.25" customHeight="1">
      <c r="A181" s="213" t="str">
        <f t="shared" ca="1" si="34"/>
        <v/>
      </c>
      <c r="B181" s="217" t="str">
        <f ca="1">IF(ROWS($1:165)&gt;COUNT(Dong14),"",OFFSET(TH!D$1,SMALL(Dong14,ROWS($1:165)),))</f>
        <v/>
      </c>
      <c r="C181" s="213" t="str">
        <f ca="1">IF(ROWS($1:165)&gt;COUNT(Dong14),"",OFFSET(TH!E$1,SMALL(Dong14,ROWS($1:165)),))</f>
        <v/>
      </c>
      <c r="D181" s="714" t="str">
        <f ca="1">IF(ROWS($1:165)&gt;COUNT(Dong14),"",OFFSET(TH!F$1,SMALL(Dong14,ROWS($1:165)),))</f>
        <v/>
      </c>
      <c r="E181" s="712" t="str">
        <f ca="1">IF(ROWS($1:165)&gt;COUNT(Dong14),"",IF(OFFSET(TH!N$1,SMALL(Dong14,ROWS($1:165)),)="131",OFFSET(TH!O$1,SMALL(Dong14,ROWS($1:165)),),OFFSET(TH!N$1,SMALL(Dong14,ROWS($1:165)),)))</f>
        <v/>
      </c>
      <c r="F181" s="712">
        <f ca="1">IF(ROWS($1:165)&gt;COUNT(Dong14),0,OFFSET(TH!L$1,SMALL(Dong14,ROWS($1:165)),))</f>
        <v>0</v>
      </c>
      <c r="G181" s="712"/>
      <c r="H181" s="1139">
        <f ca="1">IF(ROWS($1:165)&gt;COUNT(Dong14),0,IF(OFFSET(TH!N$1,SMALL(Dong14,ROWS($1:165)),)="131",OFFSET(TH!K$1,SMALL(Dong14,ROWS($1:165)),),0))</f>
        <v>0</v>
      </c>
      <c r="I181" s="712">
        <f ca="1">IF(ROWS($1:165)&gt;COUNT(Dong14),0,IF(OFFSET(TH!N$1,SMALL(Dong14,ROWS($1:165)),)="131",OFFSET(TH!M$1,SMALL(Dong14,ROWS($1:165)),),0))</f>
        <v>0</v>
      </c>
      <c r="J181" s="713">
        <f ca="1">IF(ROWS($1:165)&gt;COUNT(Dong14),0,IF(OFFSET(TH!O$1,SMALL(Dong14,ROWS($1:165)),)="131",OFFSET(TH!K$1,SMALL(Dong14,ROWS($1:165)),),0))</f>
        <v>0</v>
      </c>
      <c r="K181" s="712">
        <f ca="1">IF(ROWS($1:165)&gt;COUNT(Dong14),0,IF(OFFSET(TH!O$1,SMALL(Dong14,ROWS($1:165)),)="131",OFFSET(TH!M$1,SMALL(Dong14,ROWS($1:165)),),0))</f>
        <v>0</v>
      </c>
      <c r="L181" s="711">
        <f t="shared" ca="1" si="35"/>
        <v>0</v>
      </c>
      <c r="M181" s="710">
        <f t="shared" ca="1" si="36"/>
        <v>0</v>
      </c>
      <c r="N181" s="711">
        <f t="shared" ca="1" si="37"/>
        <v>0</v>
      </c>
      <c r="O181" s="710">
        <f t="shared" ca="1" si="38"/>
        <v>0</v>
      </c>
    </row>
    <row r="182" spans="1:17" s="5" customFormat="1" ht="23.25" customHeight="1">
      <c r="A182" s="213" t="str">
        <f t="shared" ca="1" si="34"/>
        <v/>
      </c>
      <c r="B182" s="217" t="str">
        <f ca="1">IF(ROWS($1:166)&gt;COUNT(Dong14),"",OFFSET(TH!D$1,SMALL(Dong14,ROWS($1:166)),))</f>
        <v/>
      </c>
      <c r="C182" s="213" t="str">
        <f ca="1">IF(ROWS($1:166)&gt;COUNT(Dong14),"",OFFSET(TH!E$1,SMALL(Dong14,ROWS($1:166)),))</f>
        <v/>
      </c>
      <c r="D182" s="714" t="str">
        <f ca="1">IF(ROWS($1:166)&gt;COUNT(Dong14),"",OFFSET(TH!F$1,SMALL(Dong14,ROWS($1:166)),))</f>
        <v/>
      </c>
      <c r="E182" s="712" t="str">
        <f ca="1">IF(ROWS($1:166)&gt;COUNT(Dong14),"",IF(OFFSET(TH!N$1,SMALL(Dong14,ROWS($1:166)),)="131",OFFSET(TH!O$1,SMALL(Dong14,ROWS($1:166)),),OFFSET(TH!N$1,SMALL(Dong14,ROWS($1:166)),)))</f>
        <v/>
      </c>
      <c r="F182" s="712">
        <f ca="1">IF(ROWS($1:166)&gt;COUNT(Dong14),0,OFFSET(TH!L$1,SMALL(Dong14,ROWS($1:166)),))</f>
        <v>0</v>
      </c>
      <c r="G182" s="712"/>
      <c r="H182" s="1139">
        <f ca="1">IF(ROWS($1:166)&gt;COUNT(Dong14),0,IF(OFFSET(TH!N$1,SMALL(Dong14,ROWS($1:166)),)="131",OFFSET(TH!K$1,SMALL(Dong14,ROWS($1:166)),),0))</f>
        <v>0</v>
      </c>
      <c r="I182" s="712">
        <f ca="1">IF(ROWS($1:166)&gt;COUNT(Dong14),0,IF(OFFSET(TH!N$1,SMALL(Dong14,ROWS($1:166)),)="131",OFFSET(TH!M$1,SMALL(Dong14,ROWS($1:166)),),0))</f>
        <v>0</v>
      </c>
      <c r="J182" s="713">
        <f ca="1">IF(ROWS($1:166)&gt;COUNT(Dong14),0,IF(OFFSET(TH!O$1,SMALL(Dong14,ROWS($1:166)),)="131",OFFSET(TH!K$1,SMALL(Dong14,ROWS($1:166)),),0))</f>
        <v>0</v>
      </c>
      <c r="K182" s="712">
        <f ca="1">IF(ROWS($1:166)&gt;COUNT(Dong14),0,IF(OFFSET(TH!O$1,SMALL(Dong14,ROWS($1:166)),)="131",OFFSET(TH!M$1,SMALL(Dong14,ROWS($1:166)),),0))</f>
        <v>0</v>
      </c>
      <c r="L182" s="711">
        <f t="shared" ca="1" si="35"/>
        <v>0</v>
      </c>
      <c r="M182" s="710">
        <f t="shared" ca="1" si="36"/>
        <v>0</v>
      </c>
      <c r="N182" s="711">
        <f t="shared" ca="1" si="37"/>
        <v>0</v>
      </c>
      <c r="O182" s="710">
        <f t="shared" ca="1" si="38"/>
        <v>0</v>
      </c>
    </row>
    <row r="183" spans="1:17" s="5" customFormat="1" ht="16.5" customHeight="1">
      <c r="A183" s="1295"/>
      <c r="B183" s="1296"/>
      <c r="C183" s="1295"/>
      <c r="D183" s="1297"/>
      <c r="E183" s="1298"/>
      <c r="F183" s="1298"/>
      <c r="G183" s="1298"/>
      <c r="H183" s="1299"/>
      <c r="I183" s="1298"/>
      <c r="J183" s="1300"/>
      <c r="K183" s="1298"/>
      <c r="L183" s="1301"/>
      <c r="M183" s="1302"/>
      <c r="N183" s="1301"/>
      <c r="O183" s="1302"/>
      <c r="Q183" s="1148"/>
    </row>
    <row r="184" spans="1:17" s="5" customFormat="1" ht="16.5" customHeight="1">
      <c r="A184" s="709"/>
      <c r="B184" s="709"/>
      <c r="C184" s="709"/>
      <c r="D184" s="708" t="s">
        <v>35</v>
      </c>
      <c r="E184" s="707" t="s">
        <v>21</v>
      </c>
      <c r="F184" s="707"/>
      <c r="G184" s="704" t="s">
        <v>21</v>
      </c>
      <c r="H184" s="705">
        <f ca="1">SUM(H17:H182)</f>
        <v>43998</v>
      </c>
      <c r="I184" s="705">
        <f t="shared" ref="I184:K184" ca="1" si="39">SUM(I17:I182)</f>
        <v>998184600</v>
      </c>
      <c r="J184" s="705">
        <f t="shared" ca="1" si="39"/>
        <v>21198</v>
      </c>
      <c r="K184" s="705">
        <f t="shared" ca="1" si="39"/>
        <v>481194600</v>
      </c>
      <c r="L184" s="705" t="s">
        <v>21</v>
      </c>
      <c r="M184" s="704" t="s">
        <v>21</v>
      </c>
      <c r="N184" s="704" t="s">
        <v>21</v>
      </c>
      <c r="O184" s="704" t="s">
        <v>21</v>
      </c>
    </row>
    <row r="185" spans="1:17" s="5" customFormat="1" ht="16.5" customHeight="1">
      <c r="A185" s="709"/>
      <c r="B185" s="709"/>
      <c r="C185" s="709"/>
      <c r="D185" s="708" t="s">
        <v>10</v>
      </c>
      <c r="E185" s="707" t="s">
        <v>21</v>
      </c>
      <c r="F185" s="707"/>
      <c r="G185" s="704" t="s">
        <v>21</v>
      </c>
      <c r="H185" s="705" t="s">
        <v>21</v>
      </c>
      <c r="I185" s="704" t="s">
        <v>21</v>
      </c>
      <c r="J185" s="706" t="s">
        <v>21</v>
      </c>
      <c r="K185" s="704" t="s">
        <v>21</v>
      </c>
      <c r="L185" s="705" t="e">
        <f ca="1">ROUND(MAX(L16+H184-N16-J184,0),2)</f>
        <v>#N/A</v>
      </c>
      <c r="M185" s="704" t="e">
        <f ca="1">ROUND(MAX(M16+I184-O16-K184,0),0)</f>
        <v>#N/A</v>
      </c>
      <c r="N185" s="704" t="e">
        <f ca="1">ROUND(MAX(N16+J184-L16-H184,0),2)</f>
        <v>#N/A</v>
      </c>
      <c r="O185" s="704" t="e">
        <f ca="1">ROUND(MAX(O16+K184-M16-I184,0),-1)</f>
        <v>#N/A</v>
      </c>
    </row>
    <row r="186" spans="1:17" s="5" customFormat="1" ht="15">
      <c r="A186" s="214" t="s">
        <v>456</v>
      </c>
      <c r="B186" s="4"/>
      <c r="C186" s="4"/>
      <c r="E186" s="4"/>
      <c r="F186" s="676"/>
      <c r="G186" s="701"/>
      <c r="H186" s="703"/>
      <c r="I186" s="701"/>
      <c r="J186" s="232"/>
      <c r="K186" s="701"/>
    </row>
    <row r="187" spans="1:17" s="5" customFormat="1" ht="15">
      <c r="A187" s="214" t="s">
        <v>884</v>
      </c>
      <c r="B187" s="4"/>
      <c r="C187" s="4"/>
      <c r="E187" s="4"/>
      <c r="F187" s="676"/>
      <c r="G187" s="701"/>
      <c r="H187" s="703"/>
      <c r="I187" s="701"/>
      <c r="J187" s="232"/>
      <c r="K187" s="701"/>
    </row>
    <row r="188" spans="1:17" s="5" customFormat="1" ht="15">
      <c r="A188" s="4"/>
      <c r="B188" s="4"/>
      <c r="C188" s="4"/>
      <c r="E188" s="4"/>
      <c r="F188" s="676"/>
      <c r="G188" s="701"/>
      <c r="H188" s="702"/>
      <c r="I188" s="701"/>
      <c r="J188" s="1365" t="s">
        <v>883</v>
      </c>
      <c r="K188" s="1365"/>
      <c r="L188" s="1365"/>
      <c r="M188" s="1365"/>
      <c r="N188" s="1365"/>
      <c r="O188" s="1365"/>
    </row>
    <row r="189" spans="1:17" s="5" customFormat="1" ht="15">
      <c r="A189" s="4"/>
      <c r="C189" s="4"/>
      <c r="D189" s="858" t="s">
        <v>11</v>
      </c>
      <c r="E189" s="4"/>
      <c r="F189" s="676"/>
      <c r="G189" s="701"/>
      <c r="H189" s="702"/>
      <c r="I189" s="701"/>
      <c r="J189" s="232"/>
      <c r="K189" s="701"/>
      <c r="L189" s="1365" t="s">
        <v>12</v>
      </c>
      <c r="M189" s="1365"/>
    </row>
    <row r="190" spans="1:17" s="5" customFormat="1" ht="15">
      <c r="A190" s="4"/>
      <c r="C190" s="4"/>
      <c r="D190" s="858" t="s">
        <v>13</v>
      </c>
      <c r="E190" s="4"/>
      <c r="F190" s="676"/>
      <c r="G190" s="701"/>
      <c r="H190" s="702"/>
      <c r="I190" s="701"/>
      <c r="J190" s="232"/>
      <c r="K190" s="701"/>
      <c r="L190" s="1365" t="s">
        <v>13</v>
      </c>
      <c r="M190" s="1365"/>
    </row>
    <row r="191" spans="1:17" s="134" customFormat="1" ht="14.25">
      <c r="D191" s="892"/>
    </row>
  </sheetData>
  <autoFilter ref="A15:Q190"/>
  <sortState ref="A17:Q43">
    <sortCondition ref="A17:A43"/>
  </sortState>
  <mergeCells count="20">
    <mergeCell ref="J188:O188"/>
    <mergeCell ref="L189:M189"/>
    <mergeCell ref="L190:M190"/>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U137"/>
  <sheetViews>
    <sheetView topLeftCell="A6" workbookViewId="0">
      <pane xSplit="3" ySplit="6" topLeftCell="D39" activePane="bottomRight" state="frozen"/>
      <selection activeCell="P41" sqref="P41"/>
      <selection pane="topRight" activeCell="P41" sqref="P41"/>
      <selection pane="bottomLeft" activeCell="P41" sqref="P41"/>
      <selection pane="bottomRight" activeCell="A50" sqref="A50:XFD50"/>
    </sheetView>
  </sheetViews>
  <sheetFormatPr defaultRowHeight="12.75"/>
  <cols>
    <col min="1" max="1" width="3.7109375" style="1101" customWidth="1"/>
    <col min="2" max="2" width="3.42578125" style="1101" customWidth="1"/>
    <col min="3" max="3" width="23.5703125" style="1101" customWidth="1"/>
    <col min="4" max="4" width="6.42578125" style="1101" customWidth="1"/>
    <col min="5" max="5" width="9" style="1101" customWidth="1"/>
    <col min="6" max="6" width="12.85546875" style="1101" customWidth="1"/>
    <col min="7" max="7" width="11.85546875" style="1101" customWidth="1"/>
    <col min="8" max="8" width="15.42578125" style="1101" customWidth="1"/>
    <col min="9" max="9" width="11.7109375" style="1101" customWidth="1"/>
    <col min="10" max="10" width="13.85546875" style="1101" customWidth="1"/>
    <col min="11" max="11" width="12" style="1101" customWidth="1"/>
    <col min="12" max="12" width="12.85546875" style="1101" customWidth="1"/>
    <col min="13" max="13" width="8.42578125" style="1101" customWidth="1"/>
    <col min="14" max="14" width="24.140625" style="1101" customWidth="1"/>
    <col min="15" max="15" width="10.5703125" style="1101" customWidth="1"/>
    <col min="16" max="16" width="10.42578125" style="1101" customWidth="1"/>
    <col min="17" max="17" width="22.28515625" style="1101" customWidth="1"/>
    <col min="18" max="18" width="12" style="1101" customWidth="1"/>
    <col min="19" max="19" width="8.140625" style="1101" customWidth="1"/>
    <col min="20" max="16384" width="9.140625" style="1101"/>
  </cols>
  <sheetData>
    <row r="1" spans="1:19" s="678" customFormat="1" ht="14.25" customHeight="1">
      <c r="B1" s="1182" t="s">
        <v>306</v>
      </c>
      <c r="C1" s="1183"/>
      <c r="D1" s="1183"/>
      <c r="E1" s="1183"/>
      <c r="F1" s="430"/>
      <c r="G1" s="430"/>
      <c r="H1" s="1397" t="s">
        <v>307</v>
      </c>
      <c r="I1" s="1397"/>
      <c r="J1" s="1397"/>
      <c r="K1" s="1397"/>
      <c r="L1" s="1397"/>
      <c r="M1" s="1174"/>
      <c r="N1" s="1176"/>
      <c r="O1" s="1172"/>
    </row>
    <row r="2" spans="1:19" s="678" customFormat="1" ht="14.25" customHeight="1">
      <c r="B2" s="1184" t="s">
        <v>308</v>
      </c>
      <c r="C2" s="1175"/>
      <c r="D2" s="1175"/>
      <c r="E2" s="1175"/>
      <c r="F2" s="1175"/>
      <c r="G2" s="1175"/>
      <c r="H2" s="1398" t="s">
        <v>309</v>
      </c>
      <c r="I2" s="1398"/>
      <c r="J2" s="1398"/>
      <c r="K2" s="1398"/>
      <c r="L2" s="1398"/>
      <c r="M2" s="225"/>
      <c r="N2" s="225"/>
      <c r="O2" s="1173"/>
    </row>
    <row r="3" spans="1:19" s="678" customFormat="1" ht="14.25" customHeight="1">
      <c r="B3" s="1175"/>
      <c r="C3" s="1175"/>
      <c r="D3" s="1175"/>
      <c r="E3" s="1175"/>
      <c r="F3" s="1175"/>
      <c r="G3" s="1175"/>
      <c r="H3" s="1437" t="s">
        <v>310</v>
      </c>
      <c r="I3" s="1437"/>
      <c r="J3" s="1437"/>
      <c r="K3" s="1437"/>
      <c r="L3" s="1437"/>
      <c r="M3" s="431"/>
      <c r="N3" s="431"/>
      <c r="O3" s="1173"/>
    </row>
    <row r="4" spans="1:19" s="432" customFormat="1" ht="27.75" customHeight="1">
      <c r="B4" s="1438" t="s">
        <v>311</v>
      </c>
      <c r="C4" s="1438"/>
      <c r="D4" s="1438"/>
      <c r="E4" s="1438"/>
      <c r="F4" s="1438"/>
      <c r="G4" s="1438"/>
      <c r="H4" s="1438"/>
      <c r="I4" s="1438"/>
      <c r="J4" s="1438"/>
      <c r="K4" s="1438"/>
      <c r="L4" s="1438"/>
    </row>
    <row r="5" spans="1:19" s="432" customFormat="1" ht="15">
      <c r="B5" s="1436" t="s">
        <v>312</v>
      </c>
      <c r="C5" s="1436"/>
      <c r="D5" s="1436"/>
      <c r="E5" s="1436"/>
      <c r="F5" s="1436"/>
      <c r="G5" s="1436"/>
      <c r="H5" s="1436"/>
      <c r="I5" s="1436"/>
      <c r="J5" s="1436"/>
      <c r="K5" s="1436"/>
      <c r="L5" s="1436"/>
    </row>
    <row r="6" spans="1:19" s="432" customFormat="1" ht="15" hidden="1">
      <c r="B6" s="1436" t="s">
        <v>313</v>
      </c>
      <c r="C6" s="1436"/>
      <c r="D6" s="1436"/>
      <c r="E6" s="1436"/>
      <c r="F6" s="1436"/>
      <c r="G6" s="1436"/>
      <c r="H6" s="1436"/>
      <c r="I6" s="1436"/>
      <c r="J6" s="1436"/>
      <c r="K6" s="1436"/>
      <c r="L6" s="1436"/>
    </row>
    <row r="7" spans="1:19" s="433" customFormat="1" ht="27.75" hidden="1">
      <c r="C7" s="1429" t="s">
        <v>314</v>
      </c>
      <c r="D7" s="1429"/>
      <c r="E7" s="1429"/>
      <c r="F7" s="1429"/>
      <c r="G7" s="1429"/>
      <c r="H7" s="1429"/>
      <c r="I7" s="1429"/>
      <c r="J7" s="1429"/>
      <c r="K7" s="1429"/>
      <c r="L7" s="1429"/>
    </row>
    <row r="8" spans="1:19" s="434" customFormat="1">
      <c r="B8" s="1430" t="s">
        <v>37</v>
      </c>
      <c r="C8" s="1431" t="s">
        <v>315</v>
      </c>
      <c r="D8" s="1432" t="s">
        <v>316</v>
      </c>
      <c r="E8" s="1434" t="s">
        <v>167</v>
      </c>
      <c r="F8" s="1434"/>
      <c r="G8" s="1434"/>
      <c r="H8" s="1434"/>
      <c r="I8" s="1434"/>
      <c r="J8" s="1434"/>
      <c r="K8" s="1434"/>
      <c r="L8" s="1434"/>
      <c r="N8" s="1426" t="s">
        <v>317</v>
      </c>
      <c r="O8" s="1426" t="s">
        <v>318</v>
      </c>
      <c r="P8" s="1426" t="s">
        <v>319</v>
      </c>
      <c r="Q8" s="1426" t="s">
        <v>320</v>
      </c>
      <c r="R8" s="1426" t="s">
        <v>321</v>
      </c>
      <c r="S8" s="1426" t="s">
        <v>322</v>
      </c>
    </row>
    <row r="9" spans="1:19" s="434" customFormat="1" ht="20.25" customHeight="1">
      <c r="B9" s="1430"/>
      <c r="C9" s="1431"/>
      <c r="D9" s="1433"/>
      <c r="E9" s="1434" t="s">
        <v>323</v>
      </c>
      <c r="F9" s="1434"/>
      <c r="G9" s="1435" t="s">
        <v>324</v>
      </c>
      <c r="H9" s="1435"/>
      <c r="I9" s="1435" t="s">
        <v>325</v>
      </c>
      <c r="J9" s="1435"/>
      <c r="K9" s="1435" t="s">
        <v>326</v>
      </c>
      <c r="L9" s="1435"/>
      <c r="N9" s="1427"/>
      <c r="O9" s="1427"/>
      <c r="P9" s="1427"/>
      <c r="Q9" s="1427"/>
      <c r="R9" s="1427"/>
      <c r="S9" s="1427"/>
    </row>
    <row r="10" spans="1:19" s="434" customFormat="1" ht="20.25" hidden="1" customHeight="1">
      <c r="B10" s="1430"/>
      <c r="C10" s="1431"/>
      <c r="D10" s="1178"/>
      <c r="E10" s="1179" t="s">
        <v>327</v>
      </c>
      <c r="F10" s="1179" t="s">
        <v>328</v>
      </c>
      <c r="G10" s="1179" t="s">
        <v>327</v>
      </c>
      <c r="H10" s="1179" t="s">
        <v>328</v>
      </c>
      <c r="I10" s="1179" t="s">
        <v>327</v>
      </c>
      <c r="J10" s="1179" t="s">
        <v>328</v>
      </c>
      <c r="K10" s="1179" t="s">
        <v>327</v>
      </c>
      <c r="L10" s="1179" t="s">
        <v>328</v>
      </c>
      <c r="N10" s="1428"/>
      <c r="O10" s="1428"/>
      <c r="P10" s="1428"/>
      <c r="Q10" s="1428"/>
      <c r="R10" s="1180"/>
      <c r="S10" s="1428"/>
    </row>
    <row r="11" spans="1:19" s="435" customFormat="1">
      <c r="B11" s="1177" t="s">
        <v>2</v>
      </c>
      <c r="C11" s="1178" t="s">
        <v>3</v>
      </c>
      <c r="D11" s="1178"/>
      <c r="E11" s="1179">
        <v>1</v>
      </c>
      <c r="F11" s="1179">
        <v>1</v>
      </c>
      <c r="G11" s="1179">
        <v>2</v>
      </c>
      <c r="H11" s="1179">
        <v>2</v>
      </c>
      <c r="I11" s="1179">
        <v>3</v>
      </c>
      <c r="J11" s="1179">
        <v>3</v>
      </c>
      <c r="K11" s="1179">
        <v>4</v>
      </c>
      <c r="L11" s="1179">
        <v>4</v>
      </c>
      <c r="N11" s="436"/>
      <c r="O11" s="436"/>
      <c r="P11" s="436"/>
      <c r="Q11" s="436"/>
      <c r="R11" s="436"/>
      <c r="S11" s="436"/>
    </row>
    <row r="12" spans="1:19" s="434" customFormat="1" ht="21.75" customHeight="1">
      <c r="A12" s="437" t="str">
        <f>IF(B12&lt;&gt;"","VL","")</f>
        <v>VL</v>
      </c>
      <c r="B12" s="438">
        <f>IF(C12&lt;&gt;"",ROW()-11,"")</f>
        <v>1</v>
      </c>
      <c r="C12" s="439" t="s">
        <v>329</v>
      </c>
      <c r="D12" s="440" t="s">
        <v>330</v>
      </c>
      <c r="E12" s="25">
        <v>500</v>
      </c>
      <c r="F12" s="25">
        <v>16100000</v>
      </c>
      <c r="G12" s="25">
        <f t="array" ref="G12">SUM(IF("1522"&amp;C12=KHN&amp;MH,SL))</f>
        <v>125</v>
      </c>
      <c r="H12" s="25">
        <f t="array" ref="H12">SUM(IF("1522"&amp;C12=KHN&amp;MH,TH))</f>
        <v>4272727</v>
      </c>
      <c r="I12" s="25">
        <f t="array" ref="I12">SUM(IF("1522"&amp;C12=KHC&amp;MH,SL))</f>
        <v>0</v>
      </c>
      <c r="J12" s="25">
        <f t="array" ref="J12">SUM(IF("1522"&amp;C12=KHC&amp;MH,TH))</f>
        <v>0</v>
      </c>
      <c r="K12" s="25">
        <f t="shared" ref="K12:L21" si="0">E12+G12-I12</f>
        <v>625</v>
      </c>
      <c r="L12" s="25">
        <f t="shared" si="0"/>
        <v>20372727</v>
      </c>
      <c r="M12" s="437"/>
      <c r="N12" s="441" t="s">
        <v>331</v>
      </c>
      <c r="O12" s="439" t="s">
        <v>332</v>
      </c>
      <c r="P12" s="442">
        <v>330593933</v>
      </c>
      <c r="Q12" s="442" t="s">
        <v>333</v>
      </c>
      <c r="R12" s="442"/>
      <c r="S12" s="442" t="s">
        <v>328</v>
      </c>
    </row>
    <row r="13" spans="1:19" s="434" customFormat="1" ht="21.75" customHeight="1">
      <c r="A13" s="437" t="str">
        <f t="shared" ref="A13:A48" si="1">IF(B13&lt;&gt;"","VL","")</f>
        <v>VL</v>
      </c>
      <c r="B13" s="438">
        <f t="shared" ref="B13:B25" si="2">IF(C13&lt;&gt;"",ROW()-11,"")</f>
        <v>2</v>
      </c>
      <c r="C13" s="443" t="s">
        <v>335</v>
      </c>
      <c r="D13" s="444" t="s">
        <v>330</v>
      </c>
      <c r="E13" s="25">
        <v>400</v>
      </c>
      <c r="F13" s="25">
        <v>19610800</v>
      </c>
      <c r="G13" s="25">
        <f t="array" ref="G13">SUM(IF("1522"&amp;C13=KHN&amp;MH,SL))</f>
        <v>0</v>
      </c>
      <c r="H13" s="25">
        <f t="array" ref="H13">SUM(IF("1522"&amp;C13=KHN&amp;MH,TH))</f>
        <v>0</v>
      </c>
      <c r="I13" s="25">
        <f t="array" ref="I13">SUM(IF("1522"&amp;C13=KHC&amp;MH,SL))</f>
        <v>0</v>
      </c>
      <c r="J13" s="25">
        <f t="array" ref="J13">SUM(IF("1522"&amp;C13=KHC&amp;MH,TH))</f>
        <v>0</v>
      </c>
      <c r="K13" s="8">
        <f t="shared" si="0"/>
        <v>400</v>
      </c>
      <c r="L13" s="8">
        <f t="shared" si="0"/>
        <v>19610800</v>
      </c>
      <c r="M13" s="437"/>
      <c r="N13" s="443" t="s">
        <v>336</v>
      </c>
      <c r="O13" s="442" t="s">
        <v>332</v>
      </c>
      <c r="P13" s="442">
        <v>320775664</v>
      </c>
      <c r="Q13" s="442" t="s">
        <v>337</v>
      </c>
      <c r="R13" s="442"/>
      <c r="S13" s="442" t="s">
        <v>328</v>
      </c>
    </row>
    <row r="14" spans="1:19" s="434" customFormat="1" ht="21.75" customHeight="1">
      <c r="A14" s="437" t="str">
        <f t="shared" si="1"/>
        <v>VL</v>
      </c>
      <c r="B14" s="438">
        <f t="shared" si="2"/>
        <v>3</v>
      </c>
      <c r="C14" s="443" t="s">
        <v>338</v>
      </c>
      <c r="D14" s="444" t="s">
        <v>330</v>
      </c>
      <c r="E14" s="25">
        <v>2100</v>
      </c>
      <c r="F14" s="25">
        <v>33257143</v>
      </c>
      <c r="G14" s="25">
        <f t="array" ref="G14">SUM(IF("1522"&amp;C14=KHN&amp;MH,SL))</f>
        <v>500</v>
      </c>
      <c r="H14" s="25">
        <f t="array" ref="H14">SUM(IF("1522"&amp;C14=KHN&amp;MH,TH))</f>
        <v>6761905</v>
      </c>
      <c r="I14" s="25">
        <f t="array" ref="I14">SUM(IF("1522"&amp;C14=KHC&amp;MH,SL))</f>
        <v>0</v>
      </c>
      <c r="J14" s="25">
        <f t="array" ref="J14">SUM(IF("1522"&amp;C14=KHC&amp;MH,TH))</f>
        <v>0</v>
      </c>
      <c r="K14" s="8">
        <f t="shared" si="0"/>
        <v>2600</v>
      </c>
      <c r="L14" s="8">
        <f t="shared" si="0"/>
        <v>40019048</v>
      </c>
      <c r="M14" s="437"/>
      <c r="N14" s="443" t="s">
        <v>339</v>
      </c>
      <c r="O14" s="445" t="s">
        <v>332</v>
      </c>
      <c r="P14" s="442">
        <v>320892558</v>
      </c>
      <c r="Q14" s="442" t="s">
        <v>340</v>
      </c>
      <c r="R14" s="442"/>
      <c r="S14" s="442" t="s">
        <v>328</v>
      </c>
    </row>
    <row r="15" spans="1:19" s="434" customFormat="1" ht="21.75" customHeight="1">
      <c r="A15" s="437" t="str">
        <f t="shared" si="1"/>
        <v>VL</v>
      </c>
      <c r="B15" s="438">
        <f t="shared" si="2"/>
        <v>4</v>
      </c>
      <c r="C15" s="69" t="s">
        <v>798</v>
      </c>
      <c r="D15" s="444" t="s">
        <v>330</v>
      </c>
      <c r="E15" s="25">
        <v>370</v>
      </c>
      <c r="F15" s="25">
        <v>19610000</v>
      </c>
      <c r="G15" s="25">
        <f t="array" ref="G15">SUM(IF("1522"&amp;C15=KHN&amp;MH,SL))</f>
        <v>985</v>
      </c>
      <c r="H15" s="25">
        <f t="array" ref="H15">SUM(IF("1522"&amp;C15=KHN&amp;MH,TH))</f>
        <v>50235000</v>
      </c>
      <c r="I15" s="25">
        <f t="array" ref="I15">SUM(IF("1522"&amp;C15=KHC&amp;MH,SL))</f>
        <v>0</v>
      </c>
      <c r="J15" s="25">
        <f t="array" ref="J15">SUM(IF("1522"&amp;C15=KHC&amp;MH,TH))</f>
        <v>0</v>
      </c>
      <c r="K15" s="8">
        <f t="shared" ref="K15" si="3">E15+G15-I15</f>
        <v>1355</v>
      </c>
      <c r="L15" s="8">
        <f t="shared" ref="L15" si="4">F15+H15-J15</f>
        <v>69845000</v>
      </c>
      <c r="M15" s="437"/>
      <c r="N15" s="443" t="s">
        <v>341</v>
      </c>
      <c r="O15" s="445" t="s">
        <v>332</v>
      </c>
      <c r="P15" s="442">
        <v>320892578</v>
      </c>
      <c r="Q15" s="442" t="s">
        <v>342</v>
      </c>
      <c r="R15" s="442"/>
      <c r="S15" s="442" t="s">
        <v>328</v>
      </c>
    </row>
    <row r="16" spans="1:19" s="434" customFormat="1" ht="21.75" customHeight="1">
      <c r="A16" s="437" t="str">
        <f t="shared" si="1"/>
        <v>VL</v>
      </c>
      <c r="B16" s="438">
        <f t="shared" si="2"/>
        <v>5</v>
      </c>
      <c r="C16" s="443" t="s">
        <v>343</v>
      </c>
      <c r="D16" s="444" t="s">
        <v>330</v>
      </c>
      <c r="E16" s="25">
        <v>2000</v>
      </c>
      <c r="F16" s="25">
        <v>6000000</v>
      </c>
      <c r="G16" s="25">
        <f t="array" ref="G16">SUM(IF("1522"&amp;C16=KHN&amp;MH,SL))</f>
        <v>0</v>
      </c>
      <c r="H16" s="25">
        <f t="array" ref="H16">SUM(IF("1522"&amp;C16=KHN&amp;MH,TH))</f>
        <v>0</v>
      </c>
      <c r="I16" s="25">
        <f t="array" ref="I16">SUM(IF("1522"&amp;C16=KHC&amp;MH,SL))</f>
        <v>0</v>
      </c>
      <c r="J16" s="25">
        <f t="array" ref="J16">SUM(IF("1522"&amp;C16=KHC&amp;MH,TH))</f>
        <v>0</v>
      </c>
      <c r="K16" s="8">
        <f t="shared" si="0"/>
        <v>2000</v>
      </c>
      <c r="L16" s="8">
        <f t="shared" si="0"/>
        <v>6000000</v>
      </c>
      <c r="M16" s="437"/>
      <c r="N16" s="443" t="s">
        <v>344</v>
      </c>
      <c r="O16" s="445" t="s">
        <v>332</v>
      </c>
      <c r="P16" s="442">
        <v>321179471</v>
      </c>
      <c r="Q16" s="442" t="s">
        <v>345</v>
      </c>
      <c r="R16" s="442"/>
      <c r="S16" s="442" t="s">
        <v>328</v>
      </c>
    </row>
    <row r="17" spans="1:19" s="434" customFormat="1" ht="21.75" customHeight="1">
      <c r="A17" s="437" t="str">
        <f t="shared" si="1"/>
        <v>VL</v>
      </c>
      <c r="B17" s="438">
        <f t="shared" si="2"/>
        <v>6</v>
      </c>
      <c r="C17" s="446" t="s">
        <v>823</v>
      </c>
      <c r="D17" s="447" t="s">
        <v>330</v>
      </c>
      <c r="E17" s="25">
        <v>5750</v>
      </c>
      <c r="F17" s="25">
        <v>84686000</v>
      </c>
      <c r="G17" s="25">
        <f t="array" ref="G17">SUM(IF("1522"&amp;C17=KHN&amp;MH,SL))</f>
        <v>0</v>
      </c>
      <c r="H17" s="25">
        <f t="array" ref="H17">SUM(IF("1522"&amp;C17=KHN&amp;MH,TH))</f>
        <v>0</v>
      </c>
      <c r="I17" s="25">
        <f t="array" ref="I17">SUM(IF("1522"&amp;C17=KHC&amp;MH,SL))</f>
        <v>0</v>
      </c>
      <c r="J17" s="25">
        <f t="array" ref="J17">SUM(IF("1522"&amp;C17=KHC&amp;MH,TH))</f>
        <v>0</v>
      </c>
      <c r="K17" s="8">
        <f t="shared" si="0"/>
        <v>5750</v>
      </c>
      <c r="L17" s="8">
        <f t="shared" si="0"/>
        <v>84686000</v>
      </c>
      <c r="M17" s="437"/>
      <c r="N17" s="443" t="s">
        <v>346</v>
      </c>
      <c r="O17" s="445" t="s">
        <v>332</v>
      </c>
      <c r="P17" s="442">
        <v>324478047</v>
      </c>
      <c r="Q17" s="442" t="s">
        <v>347</v>
      </c>
      <c r="R17" s="442"/>
      <c r="S17" s="442" t="s">
        <v>328</v>
      </c>
    </row>
    <row r="18" spans="1:19" s="434" customFormat="1" ht="21.75" customHeight="1">
      <c r="A18" s="437" t="str">
        <f t="shared" si="1"/>
        <v>VL</v>
      </c>
      <c r="B18" s="438">
        <f t="shared" si="2"/>
        <v>7</v>
      </c>
      <c r="C18" s="446" t="s">
        <v>348</v>
      </c>
      <c r="D18" s="448" t="s">
        <v>349</v>
      </c>
      <c r="E18" s="25">
        <v>200</v>
      </c>
      <c r="F18" s="25">
        <v>1600000</v>
      </c>
      <c r="G18" s="25">
        <f t="array" ref="G18">SUM(IF("1522"&amp;C18=KHN&amp;MH,SL))</f>
        <v>600</v>
      </c>
      <c r="H18" s="25">
        <f t="array" ref="H18">SUM(IF("1522"&amp;C18=KHN&amp;MH,TH))</f>
        <v>4800000</v>
      </c>
      <c r="I18" s="25">
        <f t="array" ref="I18">SUM(IF("1522"&amp;C18=KHC&amp;MH,SL))</f>
        <v>0</v>
      </c>
      <c r="J18" s="25">
        <f t="array" ref="J18">SUM(IF("1522"&amp;C18=KHC&amp;MH,TH))</f>
        <v>0</v>
      </c>
      <c r="K18" s="8">
        <f t="shared" si="0"/>
        <v>800</v>
      </c>
      <c r="L18" s="8">
        <f t="shared" si="0"/>
        <v>6400000</v>
      </c>
      <c r="M18" s="437"/>
      <c r="N18" s="443" t="s">
        <v>350</v>
      </c>
      <c r="O18" s="445" t="s">
        <v>332</v>
      </c>
      <c r="P18" s="442">
        <v>321413712</v>
      </c>
      <c r="Q18" s="442" t="s">
        <v>351</v>
      </c>
      <c r="R18" s="442"/>
      <c r="S18" s="442" t="s">
        <v>328</v>
      </c>
    </row>
    <row r="19" spans="1:19" s="434" customFormat="1" ht="21.75" customHeight="1">
      <c r="A19" s="437" t="str">
        <f t="shared" si="1"/>
        <v>VL</v>
      </c>
      <c r="B19" s="438">
        <f t="shared" si="2"/>
        <v>8</v>
      </c>
      <c r="C19" s="446" t="s">
        <v>353</v>
      </c>
      <c r="D19" s="448" t="s">
        <v>354</v>
      </c>
      <c r="E19" s="25">
        <v>93800</v>
      </c>
      <c r="F19" s="25">
        <v>28140000</v>
      </c>
      <c r="G19" s="25">
        <f t="array" ref="G19">SUM(IF("1522"&amp;C19=KHN&amp;MH,SL))</f>
        <v>0</v>
      </c>
      <c r="H19" s="25">
        <f t="array" ref="H19">SUM(IF("1522"&amp;C19=KHN&amp;MH,TH))</f>
        <v>0</v>
      </c>
      <c r="I19" s="25">
        <f t="array" ref="I19">SUM(IF("1522"&amp;C19=KHC&amp;MH,SL))</f>
        <v>0</v>
      </c>
      <c r="J19" s="25">
        <f t="array" ref="J19">SUM(IF("1522"&amp;C19=KHC&amp;MH,TH))</f>
        <v>0</v>
      </c>
      <c r="K19" s="8">
        <f t="shared" si="0"/>
        <v>93800</v>
      </c>
      <c r="L19" s="8">
        <f t="shared" si="0"/>
        <v>28140000</v>
      </c>
      <c r="M19" s="437"/>
      <c r="N19" s="443" t="s">
        <v>352</v>
      </c>
      <c r="O19" s="439" t="s">
        <v>332</v>
      </c>
      <c r="P19" s="442">
        <v>320744085</v>
      </c>
      <c r="Q19" s="442" t="s">
        <v>337</v>
      </c>
      <c r="R19" s="442"/>
      <c r="S19" s="442" t="s">
        <v>328</v>
      </c>
    </row>
    <row r="20" spans="1:19" s="434" customFormat="1" ht="21.75" customHeight="1">
      <c r="A20" s="437" t="str">
        <f t="shared" si="1"/>
        <v>VL</v>
      </c>
      <c r="B20" s="438">
        <f t="shared" si="2"/>
        <v>9</v>
      </c>
      <c r="C20" s="446" t="s">
        <v>357</v>
      </c>
      <c r="D20" s="448" t="s">
        <v>354</v>
      </c>
      <c r="E20" s="25">
        <v>48700</v>
      </c>
      <c r="F20" s="25">
        <v>19480000</v>
      </c>
      <c r="G20" s="25">
        <f t="array" ref="G20">SUM(IF("1522"&amp;C20=KHN&amp;MH,SL))</f>
        <v>0</v>
      </c>
      <c r="H20" s="25">
        <f t="array" ref="H20">SUM(IF("1522"&amp;C20=KHN&amp;MH,TH))</f>
        <v>0</v>
      </c>
      <c r="I20" s="25">
        <f t="array" ref="I20">SUM(IF("1522"&amp;C20=KHC&amp;MH,SL))</f>
        <v>0</v>
      </c>
      <c r="J20" s="25">
        <f t="array" ref="J20">SUM(IF("1522"&amp;C20=KHC&amp;MH,TH))</f>
        <v>0</v>
      </c>
      <c r="K20" s="8">
        <f t="shared" si="0"/>
        <v>48700</v>
      </c>
      <c r="L20" s="8">
        <f t="shared" si="0"/>
        <v>19480000</v>
      </c>
      <c r="M20" s="437"/>
      <c r="N20" s="443" t="s">
        <v>355</v>
      </c>
      <c r="O20" s="439" t="s">
        <v>332</v>
      </c>
      <c r="P20" s="442">
        <v>320807672</v>
      </c>
      <c r="Q20" s="442" t="s">
        <v>356</v>
      </c>
      <c r="R20" s="442"/>
      <c r="S20" s="442" t="s">
        <v>328</v>
      </c>
    </row>
    <row r="21" spans="1:19" s="1242" customFormat="1" ht="21.75" customHeight="1">
      <c r="A21" s="1236" t="str">
        <f t="shared" si="1"/>
        <v>VL</v>
      </c>
      <c r="B21" s="1237">
        <f t="shared" si="2"/>
        <v>10</v>
      </c>
      <c r="C21" s="1153" t="s">
        <v>564</v>
      </c>
      <c r="D21" s="1238" t="s">
        <v>366</v>
      </c>
      <c r="E21" s="1239">
        <v>0</v>
      </c>
      <c r="F21" s="1239">
        <v>0</v>
      </c>
      <c r="G21" s="1239">
        <f t="array" ref="G21">SUM(IF("1522"&amp;C21=KHN&amp;MH,SL))</f>
        <v>0</v>
      </c>
      <c r="H21" s="1239">
        <f t="array" ref="H21">SUM(IF("1522"&amp;C21=KHN&amp;MH,TH))</f>
        <v>0</v>
      </c>
      <c r="I21" s="1239">
        <f t="array" ref="I21">SUM(IF("1522"&amp;C21=KHC&amp;MH,SL))</f>
        <v>0</v>
      </c>
      <c r="J21" s="1239">
        <f t="array" ref="J21">SUM(IF("1522"&amp;C21=KHC&amp;MH,TH))</f>
        <v>0</v>
      </c>
      <c r="K21" s="1152">
        <f t="shared" si="0"/>
        <v>0</v>
      </c>
      <c r="L21" s="1152">
        <f t="shared" si="0"/>
        <v>0</v>
      </c>
      <c r="M21" s="1236"/>
      <c r="N21" s="1153" t="s">
        <v>358</v>
      </c>
      <c r="O21" s="1240" t="s">
        <v>332</v>
      </c>
      <c r="P21" s="1241">
        <v>320044169</v>
      </c>
      <c r="Q21" s="1241" t="s">
        <v>359</v>
      </c>
      <c r="R21" s="1241"/>
      <c r="S21" s="1241" t="s">
        <v>328</v>
      </c>
    </row>
    <row r="22" spans="1:19" s="434" customFormat="1" ht="21.75" customHeight="1">
      <c r="A22" s="437" t="str">
        <f t="shared" si="1"/>
        <v>VL</v>
      </c>
      <c r="B22" s="438">
        <f t="shared" si="2"/>
        <v>11</v>
      </c>
      <c r="C22" s="446" t="s">
        <v>891</v>
      </c>
      <c r="D22" s="448" t="s">
        <v>366</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8">
        <f t="shared" ref="K22:K47" si="5">E22+G22-I22</f>
        <v>0</v>
      </c>
      <c r="L22" s="8">
        <f t="shared" ref="L22:L47" si="6">F22+H22-J22</f>
        <v>0</v>
      </c>
      <c r="M22" s="437"/>
      <c r="N22" s="449" t="s">
        <v>360</v>
      </c>
      <c r="O22" s="439" t="s">
        <v>332</v>
      </c>
      <c r="P22" s="442">
        <v>320881573</v>
      </c>
      <c r="Q22" s="442" t="s">
        <v>356</v>
      </c>
      <c r="R22" s="442"/>
      <c r="S22" s="442" t="s">
        <v>328</v>
      </c>
    </row>
    <row r="23" spans="1:19" s="434" customFormat="1" ht="21.75" customHeight="1">
      <c r="A23" s="437" t="str">
        <f t="shared" si="1"/>
        <v>VL</v>
      </c>
      <c r="B23" s="438">
        <f t="shared" si="2"/>
        <v>12</v>
      </c>
      <c r="C23" s="446" t="s">
        <v>375</v>
      </c>
      <c r="D23" s="448" t="s">
        <v>366</v>
      </c>
      <c r="E23" s="25">
        <v>630</v>
      </c>
      <c r="F23" s="25">
        <v>5985000</v>
      </c>
      <c r="G23" s="25">
        <f t="array" ref="G23">SUM(IF("1522"&amp;C23=KHN&amp;MH,SL))</f>
        <v>0</v>
      </c>
      <c r="H23" s="25">
        <f t="array" ref="H23">SUM(IF("1522"&amp;C23=KHN&amp;MH,TH))</f>
        <v>0</v>
      </c>
      <c r="I23" s="25">
        <f t="array" ref="I23">SUM(IF("1522"&amp;C23=KHC&amp;MH,SL))</f>
        <v>0</v>
      </c>
      <c r="J23" s="25">
        <f t="array" ref="J23">SUM(IF("1522"&amp;C23=KHC&amp;MH,TH))</f>
        <v>0</v>
      </c>
      <c r="K23" s="8">
        <f t="shared" si="5"/>
        <v>630</v>
      </c>
      <c r="L23" s="8">
        <f t="shared" si="6"/>
        <v>5985000</v>
      </c>
      <c r="M23" s="437"/>
      <c r="N23" s="443" t="s">
        <v>361</v>
      </c>
      <c r="O23" s="439" t="s">
        <v>332</v>
      </c>
      <c r="P23" s="442">
        <v>320876558</v>
      </c>
      <c r="Q23" s="442" t="s">
        <v>362</v>
      </c>
      <c r="R23" s="442"/>
      <c r="S23" s="442" t="s">
        <v>328</v>
      </c>
    </row>
    <row r="24" spans="1:19" s="434" customFormat="1" ht="21.75" customHeight="1">
      <c r="A24" s="437" t="str">
        <f t="shared" si="1"/>
        <v>VL</v>
      </c>
      <c r="B24" s="438">
        <f t="shared" si="2"/>
        <v>13</v>
      </c>
      <c r="C24" s="446" t="s">
        <v>853</v>
      </c>
      <c r="D24" s="448" t="s">
        <v>366</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8">
        <f t="shared" si="5"/>
        <v>0</v>
      </c>
      <c r="L24" s="8">
        <f t="shared" si="6"/>
        <v>0</v>
      </c>
      <c r="M24" s="437"/>
      <c r="N24" s="443" t="s">
        <v>363</v>
      </c>
      <c r="O24" s="445" t="s">
        <v>364</v>
      </c>
      <c r="P24" s="442">
        <v>250746332</v>
      </c>
      <c r="Q24" s="442" t="s">
        <v>365</v>
      </c>
      <c r="R24" s="442"/>
      <c r="S24" s="442" t="s">
        <v>328</v>
      </c>
    </row>
    <row r="25" spans="1:19" s="434" customFormat="1" ht="21.75" customHeight="1">
      <c r="A25" s="437" t="str">
        <f t="shared" si="1"/>
        <v>VL</v>
      </c>
      <c r="B25" s="438">
        <f t="shared" si="2"/>
        <v>14</v>
      </c>
      <c r="C25" s="446" t="s">
        <v>383</v>
      </c>
      <c r="D25" s="448" t="s">
        <v>366</v>
      </c>
      <c r="E25" s="25">
        <v>1076</v>
      </c>
      <c r="F25" s="25">
        <v>14526000</v>
      </c>
      <c r="G25" s="25">
        <f t="array" ref="G25">SUM(IF("1522"&amp;C25=KHN&amp;MH,SL))</f>
        <v>0</v>
      </c>
      <c r="H25" s="25">
        <f t="array" ref="H25">SUM(IF("1522"&amp;C25=KHN&amp;MH,TH))</f>
        <v>0</v>
      </c>
      <c r="I25" s="25">
        <f t="array" ref="I25">SUM(IF("1522"&amp;C25=KHC&amp;MH,SL))</f>
        <v>0</v>
      </c>
      <c r="J25" s="25">
        <f t="array" ref="J25">SUM(IF("1522"&amp;C25=KHC&amp;MH,TH))</f>
        <v>0</v>
      </c>
      <c r="K25" s="8">
        <f t="shared" si="5"/>
        <v>1076</v>
      </c>
      <c r="L25" s="8">
        <f t="shared" si="6"/>
        <v>14526000</v>
      </c>
      <c r="M25" s="437"/>
      <c r="N25" s="443" t="s">
        <v>367</v>
      </c>
      <c r="O25" s="445" t="s">
        <v>364</v>
      </c>
      <c r="P25" s="442">
        <v>260682094</v>
      </c>
      <c r="Q25" s="442" t="s">
        <v>365</v>
      </c>
      <c r="R25" s="442"/>
      <c r="S25" s="442" t="s">
        <v>328</v>
      </c>
    </row>
    <row r="26" spans="1:19" s="434" customFormat="1" ht="21.75" customHeight="1">
      <c r="A26" s="437" t="str">
        <f t="shared" si="1"/>
        <v>VL</v>
      </c>
      <c r="B26" s="438">
        <f t="shared" ref="B26:B28" si="7">IF(C26&lt;&gt;"",ROW()-11,"")</f>
        <v>15</v>
      </c>
      <c r="C26" s="446" t="s">
        <v>777</v>
      </c>
      <c r="D26" s="448" t="s">
        <v>366</v>
      </c>
      <c r="E26" s="25">
        <v>1803</v>
      </c>
      <c r="F26" s="25">
        <v>18570900</v>
      </c>
      <c r="G26" s="25">
        <f t="array" ref="G26">SUM(IF("1522"&amp;C26=KHN&amp;MH,SL))</f>
        <v>0</v>
      </c>
      <c r="H26" s="25">
        <f t="array" ref="H26">SUM(IF("1522"&amp;C26=KHN&amp;MH,TH))</f>
        <v>0</v>
      </c>
      <c r="I26" s="25">
        <f t="array" ref="I26">SUM(IF("1522"&amp;C26=KHC&amp;MH,SL))</f>
        <v>0</v>
      </c>
      <c r="J26" s="25">
        <f t="array" ref="J26">SUM(IF("1522"&amp;C26=KHC&amp;MH,TH))</f>
        <v>0</v>
      </c>
      <c r="K26" s="8">
        <f t="shared" si="5"/>
        <v>1803</v>
      </c>
      <c r="L26" s="8">
        <f t="shared" si="6"/>
        <v>18570900</v>
      </c>
      <c r="M26" s="437"/>
      <c r="N26" s="443" t="s">
        <v>368</v>
      </c>
      <c r="O26" s="445" t="s">
        <v>364</v>
      </c>
      <c r="P26" s="442">
        <v>260690910</v>
      </c>
      <c r="Q26" s="442" t="s">
        <v>369</v>
      </c>
      <c r="R26" s="442"/>
      <c r="S26" s="442" t="s">
        <v>328</v>
      </c>
    </row>
    <row r="27" spans="1:19" s="434" customFormat="1" ht="21.75" customHeight="1">
      <c r="A27" s="437" t="str">
        <f t="shared" si="1"/>
        <v>VL</v>
      </c>
      <c r="B27" s="438">
        <f t="shared" si="7"/>
        <v>16</v>
      </c>
      <c r="C27" s="446" t="s">
        <v>776</v>
      </c>
      <c r="D27" s="448" t="s">
        <v>366</v>
      </c>
      <c r="E27" s="25">
        <v>109</v>
      </c>
      <c r="F27" s="25">
        <v>1471500</v>
      </c>
      <c r="G27" s="25">
        <f t="array" ref="G27">SUM(IF("1522"&amp;C27=KHN&amp;MH,SL))</f>
        <v>0</v>
      </c>
      <c r="H27" s="25">
        <f t="array" ref="H27">SUM(IF("1522"&amp;C27=KHN&amp;MH,TH))</f>
        <v>0</v>
      </c>
      <c r="I27" s="25">
        <f t="array" ref="I27">SUM(IF("1522"&amp;C27=KHC&amp;MH,SL))</f>
        <v>0</v>
      </c>
      <c r="J27" s="25">
        <f t="array" ref="J27">SUM(IF("1522"&amp;C27=KHC&amp;MH,TH))</f>
        <v>0</v>
      </c>
      <c r="K27" s="8">
        <f t="shared" si="5"/>
        <v>109</v>
      </c>
      <c r="L27" s="8">
        <f t="shared" si="6"/>
        <v>1471500</v>
      </c>
      <c r="M27" s="437"/>
      <c r="N27" s="443" t="s">
        <v>371</v>
      </c>
      <c r="O27" s="445" t="s">
        <v>364</v>
      </c>
      <c r="P27" s="442">
        <v>260178873</v>
      </c>
      <c r="Q27" s="442" t="s">
        <v>372</v>
      </c>
      <c r="R27" s="442"/>
      <c r="S27" s="442" t="s">
        <v>328</v>
      </c>
    </row>
    <row r="28" spans="1:19" s="434" customFormat="1" ht="21.75" customHeight="1">
      <c r="A28" s="437" t="str">
        <f t="shared" si="1"/>
        <v>VL</v>
      </c>
      <c r="B28" s="438">
        <f t="shared" si="7"/>
        <v>17</v>
      </c>
      <c r="C28" s="446" t="s">
        <v>859</v>
      </c>
      <c r="D28" s="448" t="s">
        <v>366</v>
      </c>
      <c r="E28" s="25">
        <v>0</v>
      </c>
      <c r="F28" s="25">
        <v>0</v>
      </c>
      <c r="G28" s="25">
        <f t="array" ref="G28">SUM(IF("1522"&amp;C28=KHN&amp;MH,SL))</f>
        <v>0</v>
      </c>
      <c r="H28" s="25">
        <f t="array" ref="H28">SUM(IF("1522"&amp;C28=KHN&amp;MH,TH))</f>
        <v>0</v>
      </c>
      <c r="I28" s="25">
        <f t="array" ref="I28">SUM(IF("1522"&amp;C28=KHC&amp;MH,SL))</f>
        <v>0</v>
      </c>
      <c r="J28" s="25">
        <f t="array" ref="J28">SUM(IF("1522"&amp;C28=KHC&amp;MH,TH))</f>
        <v>0</v>
      </c>
      <c r="K28" s="8">
        <f t="shared" si="5"/>
        <v>0</v>
      </c>
      <c r="L28" s="8">
        <f t="shared" si="6"/>
        <v>0</v>
      </c>
      <c r="M28" s="437"/>
      <c r="N28" s="443" t="s">
        <v>374</v>
      </c>
      <c r="O28" s="445" t="s">
        <v>364</v>
      </c>
      <c r="P28" s="442">
        <v>260850613</v>
      </c>
      <c r="Q28" s="442" t="s">
        <v>372</v>
      </c>
      <c r="R28" s="442"/>
      <c r="S28" s="442" t="s">
        <v>328</v>
      </c>
    </row>
    <row r="29" spans="1:19" s="434" customFormat="1" ht="21.75" customHeight="1">
      <c r="A29" s="437" t="str">
        <f t="shared" si="1"/>
        <v>VL</v>
      </c>
      <c r="B29" s="438">
        <f t="shared" ref="B29:B40" si="8">IF(C29&lt;&gt;"",ROW()-11,"")</f>
        <v>18</v>
      </c>
      <c r="C29" s="446" t="s">
        <v>373</v>
      </c>
      <c r="D29" s="448" t="s">
        <v>366</v>
      </c>
      <c r="E29" s="25">
        <v>607</v>
      </c>
      <c r="F29" s="25">
        <v>8194500</v>
      </c>
      <c r="G29" s="25">
        <f t="array" ref="G29">SUM(IF("1522"&amp;C29=KHN&amp;MH,SL))</f>
        <v>0</v>
      </c>
      <c r="H29" s="25">
        <f t="array" ref="H29">SUM(IF("1522"&amp;C29=KHN&amp;MH,TH))</f>
        <v>0</v>
      </c>
      <c r="I29" s="25">
        <f t="array" ref="I29">SUM(IF("1522"&amp;C29=KHC&amp;MH,SL))</f>
        <v>0</v>
      </c>
      <c r="J29" s="25">
        <f t="array" ref="J29">SUM(IF("1522"&amp;C29=KHC&amp;MH,TH))</f>
        <v>0</v>
      </c>
      <c r="K29" s="8">
        <f t="shared" si="5"/>
        <v>607</v>
      </c>
      <c r="L29" s="8">
        <f t="shared" si="6"/>
        <v>8194500</v>
      </c>
      <c r="M29" s="437"/>
      <c r="N29" s="443" t="s">
        <v>376</v>
      </c>
      <c r="O29" s="445" t="s">
        <v>364</v>
      </c>
      <c r="P29" s="442">
        <v>280853616</v>
      </c>
      <c r="Q29" s="442" t="s">
        <v>372</v>
      </c>
      <c r="R29" s="442"/>
      <c r="S29" s="442" t="s">
        <v>328</v>
      </c>
    </row>
    <row r="30" spans="1:19" s="434" customFormat="1" ht="21.75" customHeight="1">
      <c r="A30" s="437" t="str">
        <f t="shared" si="1"/>
        <v>VL</v>
      </c>
      <c r="B30" s="438">
        <f t="shared" si="8"/>
        <v>19</v>
      </c>
      <c r="C30" s="446" t="s">
        <v>751</v>
      </c>
      <c r="D30" s="448" t="s">
        <v>366</v>
      </c>
      <c r="E30" s="25">
        <v>3427</v>
      </c>
      <c r="F30" s="25">
        <v>35246100</v>
      </c>
      <c r="G30" s="25">
        <f t="array" ref="G30">SUM(IF("1522"&amp;C30=KHN&amp;MH,SL))</f>
        <v>0</v>
      </c>
      <c r="H30" s="25">
        <f t="array" ref="H30">SUM(IF("1522"&amp;C30=KHN&amp;MH,TH))</f>
        <v>0</v>
      </c>
      <c r="I30" s="25">
        <f t="array" ref="I30">SUM(IF("1522"&amp;C30=KHC&amp;MH,SL))</f>
        <v>0</v>
      </c>
      <c r="J30" s="25">
        <f t="array" ref="J30">SUM(IF("1522"&amp;C30=KHC&amp;MH,TH))</f>
        <v>0</v>
      </c>
      <c r="K30" s="8">
        <f t="shared" si="5"/>
        <v>3427</v>
      </c>
      <c r="L30" s="8">
        <f t="shared" si="6"/>
        <v>35246100</v>
      </c>
      <c r="M30" s="437"/>
      <c r="N30" s="443" t="s">
        <v>378</v>
      </c>
      <c r="O30" s="445" t="s">
        <v>364</v>
      </c>
      <c r="P30" s="442">
        <v>261005222</v>
      </c>
      <c r="Q30" s="442" t="s">
        <v>379</v>
      </c>
      <c r="R30" s="442"/>
      <c r="S30" s="442" t="s">
        <v>328</v>
      </c>
    </row>
    <row r="31" spans="1:19" s="434" customFormat="1" ht="21.75" customHeight="1">
      <c r="A31" s="437" t="str">
        <f t="shared" si="1"/>
        <v>VL</v>
      </c>
      <c r="B31" s="438">
        <f t="shared" ref="B31" si="9">IF(C31&lt;&gt;"",ROW()-11,"")</f>
        <v>20</v>
      </c>
      <c r="C31" s="446" t="s">
        <v>898</v>
      </c>
      <c r="D31" s="448" t="s">
        <v>366</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8">
        <f t="shared" si="5"/>
        <v>0</v>
      </c>
      <c r="L31" s="8">
        <f t="shared" si="6"/>
        <v>0</v>
      </c>
      <c r="M31" s="437"/>
      <c r="N31" s="443" t="s">
        <v>380</v>
      </c>
      <c r="O31" s="445" t="s">
        <v>381</v>
      </c>
      <c r="P31" s="442">
        <v>370047763</v>
      </c>
      <c r="Q31" s="442" t="s">
        <v>382</v>
      </c>
      <c r="R31" s="442"/>
      <c r="S31" s="442" t="s">
        <v>334</v>
      </c>
    </row>
    <row r="32" spans="1:19" s="434" customFormat="1" ht="21.75" customHeight="1">
      <c r="A32" s="437" t="str">
        <f t="shared" si="1"/>
        <v>VL</v>
      </c>
      <c r="B32" s="438">
        <f t="shared" ref="B32" si="10">IF(C32&lt;&gt;"",ROW()-11,"")</f>
        <v>21</v>
      </c>
      <c r="C32" s="446" t="s">
        <v>370</v>
      </c>
      <c r="D32" s="448" t="s">
        <v>366</v>
      </c>
      <c r="E32" s="25">
        <v>0</v>
      </c>
      <c r="F32" s="25">
        <v>0</v>
      </c>
      <c r="G32" s="25">
        <f t="array" ref="G32">SUM(IF("1522"&amp;C32=KHN&amp;MH,SL))</f>
        <v>0</v>
      </c>
      <c r="H32" s="25">
        <f t="array" ref="H32">SUM(IF("1522"&amp;C32=KHN&amp;MH,TH))</f>
        <v>0</v>
      </c>
      <c r="I32" s="25">
        <f t="array" ref="I32">SUM(IF("1522"&amp;C32=KHC&amp;MH,SL))</f>
        <v>0</v>
      </c>
      <c r="J32" s="25">
        <f t="array" ref="J32">SUM(IF("1522"&amp;C32=KHC&amp;MH,TH))</f>
        <v>0</v>
      </c>
      <c r="K32" s="8">
        <f t="shared" si="5"/>
        <v>0</v>
      </c>
      <c r="L32" s="8">
        <f t="shared" si="6"/>
        <v>0</v>
      </c>
      <c r="M32" s="437"/>
      <c r="N32" s="443" t="s">
        <v>384</v>
      </c>
      <c r="O32" s="445" t="s">
        <v>381</v>
      </c>
      <c r="P32" s="442">
        <v>370054438</v>
      </c>
      <c r="Q32" s="442" t="s">
        <v>382</v>
      </c>
      <c r="R32" s="442"/>
      <c r="S32" s="442" t="s">
        <v>334</v>
      </c>
    </row>
    <row r="33" spans="1:19" s="434" customFormat="1" ht="21.75" customHeight="1">
      <c r="A33" s="437" t="str">
        <f t="shared" si="1"/>
        <v>VL</v>
      </c>
      <c r="B33" s="438">
        <f t="shared" si="8"/>
        <v>22</v>
      </c>
      <c r="C33" s="446" t="s">
        <v>778</v>
      </c>
      <c r="D33" s="448" t="s">
        <v>366</v>
      </c>
      <c r="E33" s="25">
        <v>1040</v>
      </c>
      <c r="F33" s="25">
        <v>14040000</v>
      </c>
      <c r="G33" s="25">
        <f t="array" ref="G33">SUM(IF("1522"&amp;C33=KHN&amp;MH,SL))</f>
        <v>0</v>
      </c>
      <c r="H33" s="25">
        <f t="array" ref="H33">SUM(IF("1522"&amp;C33=KHN&amp;MH,TH))</f>
        <v>0</v>
      </c>
      <c r="I33" s="25">
        <f t="array" ref="I33">SUM(IF("1522"&amp;C33=KHC&amp;MH,SL))</f>
        <v>0</v>
      </c>
      <c r="J33" s="25">
        <f t="array" ref="J33">SUM(IF("1522"&amp;C33=KHC&amp;MH,TH))</f>
        <v>0</v>
      </c>
      <c r="K33" s="8">
        <f t="shared" si="5"/>
        <v>1040</v>
      </c>
      <c r="L33" s="8">
        <f t="shared" si="6"/>
        <v>14040000</v>
      </c>
      <c r="M33" s="437"/>
      <c r="N33" s="443" t="s">
        <v>385</v>
      </c>
      <c r="O33" s="445" t="s">
        <v>381</v>
      </c>
      <c r="P33" s="442">
        <v>370615318</v>
      </c>
      <c r="Q33" s="442" t="s">
        <v>386</v>
      </c>
      <c r="R33" s="442"/>
      <c r="S33" s="442" t="s">
        <v>334</v>
      </c>
    </row>
    <row r="34" spans="1:19" s="434" customFormat="1" ht="21.75" customHeight="1">
      <c r="A34" s="437" t="str">
        <f t="shared" si="1"/>
        <v>VL</v>
      </c>
      <c r="B34" s="438">
        <f t="shared" si="8"/>
        <v>23</v>
      </c>
      <c r="C34" s="446" t="s">
        <v>882</v>
      </c>
      <c r="D34" s="448" t="s">
        <v>366</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8">
        <f t="shared" si="5"/>
        <v>0</v>
      </c>
      <c r="L34" s="8">
        <f t="shared" si="6"/>
        <v>0</v>
      </c>
      <c r="M34" s="437"/>
      <c r="N34" s="443" t="s">
        <v>387</v>
      </c>
      <c r="O34" s="445" t="s">
        <v>381</v>
      </c>
      <c r="P34" s="442">
        <v>370825748</v>
      </c>
      <c r="Q34" s="442" t="s">
        <v>386</v>
      </c>
      <c r="R34" s="442"/>
      <c r="S34" s="442" t="s">
        <v>334</v>
      </c>
    </row>
    <row r="35" spans="1:19" s="434" customFormat="1" ht="21.75" customHeight="1">
      <c r="A35" s="437" t="str">
        <f t="shared" si="1"/>
        <v>VL</v>
      </c>
      <c r="B35" s="438">
        <f t="shared" si="8"/>
        <v>24</v>
      </c>
      <c r="C35" s="446" t="s">
        <v>744</v>
      </c>
      <c r="D35" s="448" t="s">
        <v>366</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8">
        <f t="shared" si="5"/>
        <v>0</v>
      </c>
      <c r="L35" s="8">
        <f t="shared" si="6"/>
        <v>0</v>
      </c>
      <c r="M35" s="437"/>
      <c r="N35" s="443" t="s">
        <v>388</v>
      </c>
      <c r="O35" s="445" t="s">
        <v>381</v>
      </c>
      <c r="P35" s="442">
        <v>370698949</v>
      </c>
      <c r="Q35" s="442" t="s">
        <v>389</v>
      </c>
      <c r="R35" s="442" t="s">
        <v>390</v>
      </c>
      <c r="S35" s="442" t="s">
        <v>334</v>
      </c>
    </row>
    <row r="36" spans="1:19" s="434" customFormat="1" ht="21.75" customHeight="1">
      <c r="A36" s="437" t="str">
        <f t="shared" si="1"/>
        <v>VL</v>
      </c>
      <c r="B36" s="438">
        <f>IF(C36&lt;&gt;"",ROW()-11,"")</f>
        <v>25</v>
      </c>
      <c r="C36" s="446" t="s">
        <v>789</v>
      </c>
      <c r="D36" s="448" t="s">
        <v>366</v>
      </c>
      <c r="E36" s="25">
        <v>1835</v>
      </c>
      <c r="F36" s="25">
        <v>13762500</v>
      </c>
      <c r="G36" s="25">
        <f t="array" ref="G36">SUM(IF("1522"&amp;C36=KHN&amp;MH,SL))</f>
        <v>0</v>
      </c>
      <c r="H36" s="25">
        <f t="array" ref="H36">SUM(IF("1522"&amp;C36=KHN&amp;MH,TH))</f>
        <v>0</v>
      </c>
      <c r="I36" s="25">
        <f t="array" ref="I36">SUM(IF("1522"&amp;C36=KHC&amp;MH,SL))</f>
        <v>0</v>
      </c>
      <c r="J36" s="25">
        <f t="array" ref="J36">SUM(IF("1522"&amp;C36=KHC&amp;MH,TH))</f>
        <v>0</v>
      </c>
      <c r="K36" s="8">
        <f t="shared" si="5"/>
        <v>1835</v>
      </c>
      <c r="L36" s="8">
        <f t="shared" si="6"/>
        <v>13762500</v>
      </c>
      <c r="M36" s="437"/>
      <c r="N36" s="443" t="s">
        <v>391</v>
      </c>
      <c r="O36" s="445" t="s">
        <v>381</v>
      </c>
      <c r="P36" s="442">
        <v>370803567</v>
      </c>
      <c r="Q36" s="442" t="s">
        <v>392</v>
      </c>
      <c r="R36" s="442"/>
      <c r="S36" s="442" t="s">
        <v>334</v>
      </c>
    </row>
    <row r="37" spans="1:19" s="434" customFormat="1" ht="21.75" customHeight="1">
      <c r="A37" s="437" t="str">
        <f t="shared" si="1"/>
        <v>VL</v>
      </c>
      <c r="B37" s="438">
        <f>IF(C37&lt;&gt;"",ROW()-11,"")</f>
        <v>26</v>
      </c>
      <c r="C37" s="446" t="s">
        <v>826</v>
      </c>
      <c r="D37" s="448" t="s">
        <v>366</v>
      </c>
      <c r="E37" s="25">
        <v>0</v>
      </c>
      <c r="F37" s="25">
        <v>0</v>
      </c>
      <c r="G37" s="25">
        <f t="array" ref="G37">SUM(IF("1522"&amp;C37=KHN&amp;MH,SL))</f>
        <v>0</v>
      </c>
      <c r="H37" s="25">
        <f t="array" ref="H37">SUM(IF("1522"&amp;C37=KHN&amp;MH,TH))</f>
        <v>0</v>
      </c>
      <c r="I37" s="25">
        <f t="array" ref="I37">SUM(IF("1522"&amp;C37=KHC&amp;MH,SL))</f>
        <v>0</v>
      </c>
      <c r="J37" s="25">
        <f t="array" ref="J37">SUM(IF("1522"&amp;C37=KHC&amp;MH,TH))</f>
        <v>0</v>
      </c>
      <c r="K37" s="8">
        <f t="shared" si="5"/>
        <v>0</v>
      </c>
      <c r="L37" s="8">
        <f t="shared" si="6"/>
        <v>0</v>
      </c>
      <c r="M37" s="437"/>
      <c r="N37" s="443" t="s">
        <v>393</v>
      </c>
      <c r="O37" s="445" t="s">
        <v>381</v>
      </c>
      <c r="P37" s="442">
        <v>370004125</v>
      </c>
      <c r="Q37" s="442" t="s">
        <v>382</v>
      </c>
      <c r="R37" s="442"/>
      <c r="S37" s="442" t="s">
        <v>334</v>
      </c>
    </row>
    <row r="38" spans="1:19" s="434" customFormat="1" ht="21.75" customHeight="1">
      <c r="A38" s="437" t="str">
        <f t="shared" si="1"/>
        <v>VL</v>
      </c>
      <c r="B38" s="438">
        <f>IF(C38&lt;&gt;"",ROW()-11,"")</f>
        <v>27</v>
      </c>
      <c r="C38" s="446" t="s">
        <v>742</v>
      </c>
      <c r="D38" s="448" t="s">
        <v>366</v>
      </c>
      <c r="E38" s="25">
        <v>303</v>
      </c>
      <c r="F38" s="25">
        <v>3939000</v>
      </c>
      <c r="G38" s="25">
        <f t="array" ref="G38">SUM(IF("1522"&amp;C38=KHN&amp;MH,SL))</f>
        <v>0</v>
      </c>
      <c r="H38" s="25">
        <f t="array" ref="H38">SUM(IF("1522"&amp;C38=KHN&amp;MH,TH))</f>
        <v>0</v>
      </c>
      <c r="I38" s="25">
        <f t="array" ref="I38">SUM(IF("1522"&amp;C38=KHC&amp;MH,SL))</f>
        <v>0</v>
      </c>
      <c r="J38" s="25">
        <f t="array" ref="J38">SUM(IF("1522"&amp;C38=KHC&amp;MH,TH))</f>
        <v>0</v>
      </c>
      <c r="K38" s="8">
        <f t="shared" si="5"/>
        <v>303</v>
      </c>
      <c r="L38" s="8">
        <f t="shared" si="6"/>
        <v>3939000</v>
      </c>
      <c r="M38" s="437">
        <f t="shared" ref="M38:M45" si="11">L38/K38</f>
        <v>13000</v>
      </c>
      <c r="N38" s="443" t="s">
        <v>396</v>
      </c>
      <c r="O38" s="445" t="s">
        <v>394</v>
      </c>
      <c r="P38" s="442">
        <v>311704830</v>
      </c>
      <c r="Q38" s="442" t="s">
        <v>397</v>
      </c>
      <c r="R38" s="442"/>
      <c r="S38" s="442" t="s">
        <v>334</v>
      </c>
    </row>
    <row r="39" spans="1:19" s="434" customFormat="1" ht="21.75" customHeight="1">
      <c r="A39" s="437" t="str">
        <f t="shared" si="1"/>
        <v>VL</v>
      </c>
      <c r="B39" s="438">
        <f>IF(C39&lt;&gt;"",ROW()-11,"")</f>
        <v>28</v>
      </c>
      <c r="C39" s="446" t="s">
        <v>743</v>
      </c>
      <c r="D39" s="448" t="s">
        <v>366</v>
      </c>
      <c r="E39" s="25">
        <v>0</v>
      </c>
      <c r="F39" s="25">
        <v>0</v>
      </c>
      <c r="G39" s="25">
        <f t="array" ref="G39">SUM(IF("1522"&amp;C39=KHN&amp;MH,SL))</f>
        <v>0</v>
      </c>
      <c r="H39" s="25">
        <f t="array" ref="H39">SUM(IF("1522"&amp;C39=KHN&amp;MH,TH))</f>
        <v>0</v>
      </c>
      <c r="I39" s="25">
        <f t="array" ref="I39">SUM(IF("1522"&amp;C39=KHC&amp;MH,SL))</f>
        <v>0</v>
      </c>
      <c r="J39" s="25">
        <f t="array" ref="J39">SUM(IF("1522"&amp;C39=KHC&amp;MH,TH))</f>
        <v>0</v>
      </c>
      <c r="K39" s="8">
        <f t="shared" si="5"/>
        <v>0</v>
      </c>
      <c r="L39" s="8">
        <f t="shared" si="6"/>
        <v>0</v>
      </c>
      <c r="M39" s="437" t="e">
        <f t="shared" si="11"/>
        <v>#DIV/0!</v>
      </c>
      <c r="N39" s="443" t="s">
        <v>398</v>
      </c>
      <c r="O39" s="445" t="s">
        <v>394</v>
      </c>
      <c r="P39" s="442">
        <v>311318331</v>
      </c>
      <c r="Q39" s="442" t="s">
        <v>399</v>
      </c>
      <c r="R39" s="442"/>
      <c r="S39" s="442" t="s">
        <v>334</v>
      </c>
    </row>
    <row r="40" spans="1:19" s="434" customFormat="1" ht="21.75" customHeight="1">
      <c r="A40" s="437" t="str">
        <f t="shared" si="1"/>
        <v>VL</v>
      </c>
      <c r="B40" s="438">
        <f t="shared" si="8"/>
        <v>29</v>
      </c>
      <c r="C40" s="446" t="s">
        <v>827</v>
      </c>
      <c r="D40" s="448" t="s">
        <v>366</v>
      </c>
      <c r="E40" s="25">
        <v>0</v>
      </c>
      <c r="F40" s="25">
        <v>0</v>
      </c>
      <c r="G40" s="25">
        <f t="array" ref="G40">SUM(IF("1522"&amp;C40=KHN&amp;MH,SL))</f>
        <v>0</v>
      </c>
      <c r="H40" s="25">
        <f t="array" ref="H40">SUM(IF("1522"&amp;C40=KHN&amp;MH,TH))</f>
        <v>0</v>
      </c>
      <c r="I40" s="25">
        <f t="array" ref="I40">SUM(IF("1522"&amp;C40=KHC&amp;MH,SL))</f>
        <v>0</v>
      </c>
      <c r="J40" s="25">
        <f t="array" ref="J40">SUM(IF("1522"&amp;C40=KHC&amp;MH,TH))</f>
        <v>0</v>
      </c>
      <c r="K40" s="8">
        <f t="shared" si="5"/>
        <v>0</v>
      </c>
      <c r="L40" s="8">
        <f t="shared" si="6"/>
        <v>0</v>
      </c>
      <c r="M40" s="437"/>
      <c r="N40" s="443" t="s">
        <v>400</v>
      </c>
      <c r="O40" s="445" t="s">
        <v>394</v>
      </c>
      <c r="P40" s="442">
        <v>310882191</v>
      </c>
      <c r="Q40" s="442" t="s">
        <v>401</v>
      </c>
      <c r="R40" s="442"/>
      <c r="S40" s="442" t="s">
        <v>334</v>
      </c>
    </row>
    <row r="41" spans="1:19" s="434" customFormat="1" ht="21.75" customHeight="1">
      <c r="A41" s="437" t="str">
        <f t="shared" si="1"/>
        <v>VL</v>
      </c>
      <c r="B41" s="438">
        <f t="shared" ref="B41:B46" si="12">IF(C41&lt;&gt;"",ROW()-11,"")</f>
        <v>30</v>
      </c>
      <c r="C41" s="446" t="s">
        <v>825</v>
      </c>
      <c r="D41" s="448" t="s">
        <v>366</v>
      </c>
      <c r="E41" s="25">
        <v>0</v>
      </c>
      <c r="F41" s="25">
        <v>0</v>
      </c>
      <c r="G41" s="25">
        <f t="array" ref="G41">SUM(IF("1522"&amp;C41=KHN&amp;MH,SL))</f>
        <v>0</v>
      </c>
      <c r="H41" s="25">
        <f t="array" ref="H41">SUM(IF("1522"&amp;C41=KHN&amp;MH,TH))</f>
        <v>0</v>
      </c>
      <c r="I41" s="25">
        <f t="array" ref="I41">SUM(IF("1522"&amp;C41=KHC&amp;MH,SL))</f>
        <v>0</v>
      </c>
      <c r="J41" s="25">
        <f t="array" ref="J41">SUM(IF("1522"&amp;C41=KHC&amp;MH,TH))</f>
        <v>0</v>
      </c>
      <c r="K41" s="8">
        <f t="shared" si="5"/>
        <v>0</v>
      </c>
      <c r="L41" s="8">
        <f t="shared" si="6"/>
        <v>0</v>
      </c>
      <c r="M41" s="437"/>
      <c r="N41" s="443" t="s">
        <v>403</v>
      </c>
      <c r="O41" s="445" t="s">
        <v>394</v>
      </c>
      <c r="P41" s="442">
        <v>310882158</v>
      </c>
      <c r="Q41" s="442" t="s">
        <v>404</v>
      </c>
      <c r="R41" s="442"/>
      <c r="S41" s="442" t="s">
        <v>334</v>
      </c>
    </row>
    <row r="42" spans="1:19" s="434" customFormat="1" ht="21.75" customHeight="1">
      <c r="A42" s="437" t="str">
        <f t="shared" si="1"/>
        <v>VL</v>
      </c>
      <c r="B42" s="438">
        <f t="shared" si="12"/>
        <v>31</v>
      </c>
      <c r="C42" s="446" t="s">
        <v>899</v>
      </c>
      <c r="D42" s="448" t="s">
        <v>366</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8">
        <f t="shared" si="5"/>
        <v>0</v>
      </c>
      <c r="L42" s="8">
        <f t="shared" si="6"/>
        <v>0</v>
      </c>
      <c r="M42" s="437" t="e">
        <f t="shared" si="11"/>
        <v>#DIV/0!</v>
      </c>
      <c r="N42" s="443" t="s">
        <v>405</v>
      </c>
      <c r="O42" s="445" t="s">
        <v>394</v>
      </c>
      <c r="P42" s="442">
        <v>310526150</v>
      </c>
      <c r="Q42" s="442" t="s">
        <v>395</v>
      </c>
      <c r="R42" s="442"/>
      <c r="S42" s="442" t="s">
        <v>334</v>
      </c>
    </row>
    <row r="43" spans="1:19" s="434" customFormat="1" ht="21.75" customHeight="1">
      <c r="A43" s="437" t="str">
        <f t="shared" si="1"/>
        <v>VL</v>
      </c>
      <c r="B43" s="438">
        <f t="shared" si="12"/>
        <v>32</v>
      </c>
      <c r="C43" s="446" t="s">
        <v>900</v>
      </c>
      <c r="D43" s="448" t="s">
        <v>366</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8">
        <f t="shared" si="5"/>
        <v>0</v>
      </c>
      <c r="L43" s="8">
        <f t="shared" si="6"/>
        <v>0</v>
      </c>
      <c r="M43" s="437" t="e">
        <f t="shared" si="11"/>
        <v>#DIV/0!</v>
      </c>
      <c r="N43" s="443" t="s">
        <v>406</v>
      </c>
      <c r="O43" s="445" t="s">
        <v>394</v>
      </c>
      <c r="P43" s="442">
        <v>311514350</v>
      </c>
      <c r="Q43" s="442" t="s">
        <v>397</v>
      </c>
      <c r="R43" s="442"/>
      <c r="S43" s="442" t="s">
        <v>334</v>
      </c>
    </row>
    <row r="44" spans="1:19" s="434" customFormat="1" ht="21.75" customHeight="1">
      <c r="A44" s="437" t="str">
        <f t="shared" si="1"/>
        <v>VL</v>
      </c>
      <c r="B44" s="438">
        <f t="shared" ref="B44" si="13">IF(C44&lt;&gt;"",ROW()-11,"")</f>
        <v>33</v>
      </c>
      <c r="C44" s="446" t="s">
        <v>800</v>
      </c>
      <c r="D44" s="448" t="s">
        <v>366</v>
      </c>
      <c r="E44" s="25">
        <v>760</v>
      </c>
      <c r="F44" s="25">
        <v>7772000</v>
      </c>
      <c r="G44" s="25">
        <f t="array" ref="G44">SUM(IF("1522"&amp;C44=KHN&amp;MH,SL))</f>
        <v>0</v>
      </c>
      <c r="H44" s="25">
        <f t="array" ref="H44">SUM(IF("1522"&amp;C44=KHN&amp;MH,TH))</f>
        <v>0</v>
      </c>
      <c r="I44" s="25">
        <f t="array" ref="I44">SUM(IF("1522"&amp;C44=KHC&amp;MH,SL))</f>
        <v>0</v>
      </c>
      <c r="J44" s="25">
        <f t="array" ref="J44">SUM(IF("1522"&amp;C44=KHC&amp;MH,TH))</f>
        <v>0</v>
      </c>
      <c r="K44" s="8">
        <f t="shared" si="5"/>
        <v>760</v>
      </c>
      <c r="L44" s="8">
        <f t="shared" si="6"/>
        <v>7772000</v>
      </c>
      <c r="M44" s="437">
        <f t="shared" si="11"/>
        <v>10226.315789473685</v>
      </c>
      <c r="N44" s="443" t="s">
        <v>407</v>
      </c>
      <c r="O44" s="445" t="s">
        <v>408</v>
      </c>
      <c r="P44" s="442">
        <v>270106056</v>
      </c>
      <c r="Q44" s="442" t="s">
        <v>408</v>
      </c>
      <c r="R44" s="442" t="s">
        <v>409</v>
      </c>
      <c r="S44" s="442" t="s">
        <v>334</v>
      </c>
    </row>
    <row r="45" spans="1:19" s="434" customFormat="1" ht="21.75" customHeight="1">
      <c r="A45" s="437" t="str">
        <f t="shared" si="1"/>
        <v>VL</v>
      </c>
      <c r="B45" s="438">
        <f t="shared" si="12"/>
        <v>34</v>
      </c>
      <c r="C45" s="446" t="s">
        <v>377</v>
      </c>
      <c r="D45" s="448" t="s">
        <v>366</v>
      </c>
      <c r="E45" s="25">
        <v>0</v>
      </c>
      <c r="F45" s="25">
        <v>0</v>
      </c>
      <c r="G45" s="25">
        <f t="array" ref="G45">SUM(IF("1522"&amp;C45=KHN&amp;MH,SL))</f>
        <v>0</v>
      </c>
      <c r="H45" s="25">
        <f t="array" ref="H45">SUM(IF("1522"&amp;C45=KHN&amp;MH,TH))</f>
        <v>0</v>
      </c>
      <c r="I45" s="25">
        <f t="array" ref="I45">SUM(IF("1522"&amp;C45=KHC&amp;MH,SL))</f>
        <v>0</v>
      </c>
      <c r="J45" s="25">
        <f t="array" ref="J45">SUM(IF("1522"&amp;C45=KHC&amp;MH,TH))</f>
        <v>0</v>
      </c>
      <c r="K45" s="8">
        <f t="shared" si="5"/>
        <v>0</v>
      </c>
      <c r="L45" s="8">
        <f t="shared" si="6"/>
        <v>0</v>
      </c>
      <c r="M45" s="437" t="e">
        <f t="shared" si="11"/>
        <v>#DIV/0!</v>
      </c>
      <c r="N45" s="443" t="s">
        <v>410</v>
      </c>
      <c r="O45" s="445" t="s">
        <v>408</v>
      </c>
      <c r="P45" s="442">
        <v>270176684</v>
      </c>
      <c r="Q45" s="442" t="s">
        <v>408</v>
      </c>
      <c r="R45" s="442" t="s">
        <v>411</v>
      </c>
      <c r="S45" s="442" t="s">
        <v>334</v>
      </c>
    </row>
    <row r="46" spans="1:19" s="434" customFormat="1" ht="21.75" customHeight="1">
      <c r="A46" s="437" t="str">
        <f t="shared" si="1"/>
        <v>VL</v>
      </c>
      <c r="B46" s="438">
        <f t="shared" si="12"/>
        <v>35</v>
      </c>
      <c r="C46" s="446" t="s">
        <v>834</v>
      </c>
      <c r="D46" s="448" t="s">
        <v>366</v>
      </c>
      <c r="E46" s="25">
        <v>0</v>
      </c>
      <c r="F46" s="25">
        <v>0</v>
      </c>
      <c r="G46" s="25">
        <f t="array" ref="G46">SUM(IF("1522"&amp;C46=KHN&amp;MH,SL))</f>
        <v>0</v>
      </c>
      <c r="H46" s="25">
        <f t="array" ref="H46">SUM(IF("1522"&amp;C46=KHN&amp;MH,TH))</f>
        <v>0</v>
      </c>
      <c r="I46" s="25">
        <f t="array" ref="I46">SUM(IF("1522"&amp;C46=KHC&amp;MH,SL))</f>
        <v>0</v>
      </c>
      <c r="J46" s="25">
        <f t="array" ref="J46">SUM(IF("1522"&amp;C46=KHC&amp;MH,TH))</f>
        <v>0</v>
      </c>
      <c r="K46" s="8">
        <f t="shared" si="5"/>
        <v>0</v>
      </c>
      <c r="L46" s="8">
        <f t="shared" si="6"/>
        <v>0</v>
      </c>
      <c r="M46" s="437"/>
      <c r="N46" s="443" t="s">
        <v>412</v>
      </c>
      <c r="O46" s="445" t="s">
        <v>408</v>
      </c>
      <c r="P46" s="442">
        <v>270176960</v>
      </c>
      <c r="Q46" s="442" t="s">
        <v>408</v>
      </c>
      <c r="R46" s="442" t="s">
        <v>413</v>
      </c>
      <c r="S46" s="442" t="s">
        <v>334</v>
      </c>
    </row>
    <row r="47" spans="1:19" s="434" customFormat="1" ht="21.75" customHeight="1">
      <c r="A47" s="437" t="str">
        <f>IF(B47&lt;&gt;"","VL","")</f>
        <v>VL</v>
      </c>
      <c r="B47" s="438">
        <f t="shared" ref="B47" si="14">IF(C47&lt;&gt;"",ROW()-11,"")</f>
        <v>36</v>
      </c>
      <c r="C47" s="446" t="s">
        <v>801</v>
      </c>
      <c r="D47" s="448" t="s">
        <v>366</v>
      </c>
      <c r="E47" s="25">
        <v>0</v>
      </c>
      <c r="F47" s="25">
        <v>0</v>
      </c>
      <c r="G47" s="25">
        <f t="array" ref="G47">SUM(IF("1522"&amp;C47=KHN&amp;MH,SL))</f>
        <v>0</v>
      </c>
      <c r="H47" s="25">
        <f t="array" ref="H47">SUM(IF("1522"&amp;C47=KHN&amp;MH,TH))</f>
        <v>0</v>
      </c>
      <c r="I47" s="25">
        <f t="array" ref="I47">SUM(IF("1522"&amp;C47=KHC&amp;MH,SL))</f>
        <v>0</v>
      </c>
      <c r="J47" s="25">
        <f t="array" ref="J47">SUM(IF("1522"&amp;C47=KHC&amp;MH,TH))</f>
        <v>0</v>
      </c>
      <c r="K47" s="8">
        <f t="shared" si="5"/>
        <v>0</v>
      </c>
      <c r="L47" s="8">
        <f t="shared" si="6"/>
        <v>0</v>
      </c>
      <c r="M47" s="437"/>
      <c r="N47" s="443" t="s">
        <v>414</v>
      </c>
      <c r="O47" s="445" t="s">
        <v>408</v>
      </c>
      <c r="P47" s="442">
        <v>271181056</v>
      </c>
      <c r="Q47" s="442" t="s">
        <v>408</v>
      </c>
      <c r="R47" s="442"/>
      <c r="S47" s="442" t="s">
        <v>334</v>
      </c>
    </row>
    <row r="48" spans="1:19" s="434" customFormat="1" ht="21.75" customHeight="1">
      <c r="A48" s="437" t="str">
        <f t="shared" si="1"/>
        <v>VL</v>
      </c>
      <c r="B48" s="438">
        <f t="shared" ref="B48" si="15">IF(C48&lt;&gt;"",ROW()-11,"")</f>
        <v>37</v>
      </c>
      <c r="C48" s="446" t="s">
        <v>960</v>
      </c>
      <c r="D48" s="448" t="s">
        <v>366</v>
      </c>
      <c r="E48" s="25">
        <v>0</v>
      </c>
      <c r="F48" s="25">
        <v>0</v>
      </c>
      <c r="G48" s="25">
        <f t="array" ref="G48">SUM(IF("1522"&amp;C48=KHN&amp;MH,SL))</f>
        <v>0</v>
      </c>
      <c r="H48" s="25">
        <f t="array" ref="H48">SUM(IF("1522"&amp;C48=KHN&amp;MH,TH))</f>
        <v>0</v>
      </c>
      <c r="I48" s="25">
        <f t="array" ref="I48">SUM(IF("1522"&amp;C48=KHC&amp;MH,SL))</f>
        <v>0</v>
      </c>
      <c r="J48" s="25">
        <f t="array" ref="J48">SUM(IF("1522"&amp;C48=KHC&amp;MH,TH))</f>
        <v>0</v>
      </c>
      <c r="K48" s="8">
        <f t="shared" ref="K48:K49" si="16">E48+G48-I48</f>
        <v>0</v>
      </c>
      <c r="L48" s="8">
        <f t="shared" ref="L48:L49" si="17">F48+H48-J48</f>
        <v>0</v>
      </c>
      <c r="M48" s="437"/>
      <c r="N48" s="443" t="s">
        <v>416</v>
      </c>
      <c r="O48" s="445" t="s">
        <v>408</v>
      </c>
      <c r="P48" s="442">
        <v>270986506</v>
      </c>
      <c r="Q48" s="442" t="s">
        <v>408</v>
      </c>
      <c r="R48" s="442"/>
      <c r="S48" s="442" t="s">
        <v>334</v>
      </c>
    </row>
    <row r="49" spans="1:19" s="434" customFormat="1" ht="21.75" customHeight="1">
      <c r="A49" s="437" t="str">
        <f t="shared" ref="A49" si="18">IF(B49&lt;&gt;"","VL","")</f>
        <v>VL</v>
      </c>
      <c r="B49" s="438">
        <f t="shared" ref="B49" si="19">IF(C49&lt;&gt;"",ROW()-11,"")</f>
        <v>38</v>
      </c>
      <c r="C49" s="446" t="s">
        <v>961</v>
      </c>
      <c r="D49" s="448" t="s">
        <v>366</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8">
        <f t="shared" si="16"/>
        <v>0</v>
      </c>
      <c r="L49" s="8">
        <f t="shared" si="17"/>
        <v>0</v>
      </c>
      <c r="M49" s="437"/>
      <c r="N49" s="443" t="s">
        <v>417</v>
      </c>
      <c r="O49" s="445" t="s">
        <v>408</v>
      </c>
      <c r="P49" s="442">
        <v>273042454</v>
      </c>
      <c r="Q49" s="442" t="s">
        <v>418</v>
      </c>
      <c r="R49" s="442" t="s">
        <v>419</v>
      </c>
      <c r="S49" s="442" t="s">
        <v>334</v>
      </c>
    </row>
    <row r="50" spans="1:19" s="434" customFormat="1" ht="21.75" customHeight="1">
      <c r="A50" s="437"/>
      <c r="B50" s="438"/>
      <c r="C50" s="446"/>
      <c r="D50" s="448"/>
      <c r="E50" s="25"/>
      <c r="F50" s="25"/>
      <c r="G50" s="25"/>
      <c r="H50" s="25"/>
      <c r="I50" s="25"/>
      <c r="J50" s="25"/>
      <c r="K50" s="8"/>
      <c r="L50" s="8"/>
      <c r="M50" s="437"/>
      <c r="N50" s="443" t="s">
        <v>421</v>
      </c>
      <c r="O50" s="445" t="s">
        <v>408</v>
      </c>
      <c r="P50" s="442">
        <v>273249576</v>
      </c>
      <c r="Q50" s="442" t="s">
        <v>408</v>
      </c>
      <c r="R50" s="442"/>
      <c r="S50" s="442" t="s">
        <v>334</v>
      </c>
    </row>
    <row r="51" spans="1:19" s="434" customFormat="1" ht="21.75" customHeight="1">
      <c r="A51" s="437" t="str">
        <f>IF(B52&lt;&gt;"","NL","")</f>
        <v/>
      </c>
      <c r="B51" s="1177"/>
      <c r="C51" s="452" t="s">
        <v>402</v>
      </c>
      <c r="D51" s="13"/>
      <c r="E51" s="13">
        <f t="shared" ref="E51:L51" si="20">SUM(E12:E50)</f>
        <v>165410</v>
      </c>
      <c r="F51" s="13">
        <f t="shared" si="20"/>
        <v>351991443</v>
      </c>
      <c r="G51" s="13">
        <f t="shared" si="20"/>
        <v>2210</v>
      </c>
      <c r="H51" s="13">
        <f>SUM(H12:H50)</f>
        <v>66069632</v>
      </c>
      <c r="I51" s="13">
        <f t="shared" si="20"/>
        <v>0</v>
      </c>
      <c r="J51" s="13">
        <f t="shared" si="20"/>
        <v>0</v>
      </c>
      <c r="K51" s="13">
        <f t="shared" si="20"/>
        <v>167620</v>
      </c>
      <c r="L51" s="13">
        <f t="shared" si="20"/>
        <v>418061075</v>
      </c>
      <c r="M51" s="437"/>
      <c r="N51" s="443" t="s">
        <v>422</v>
      </c>
      <c r="O51" s="445" t="s">
        <v>408</v>
      </c>
      <c r="P51" s="442">
        <v>271642418</v>
      </c>
      <c r="Q51" s="442" t="s">
        <v>408</v>
      </c>
      <c r="R51" s="442"/>
      <c r="S51" s="442" t="s">
        <v>334</v>
      </c>
    </row>
    <row r="52" spans="1:19" s="434" customFormat="1" ht="21.75" customHeight="1">
      <c r="A52" s="437" t="str">
        <f>IF(B52&lt;&gt;"","NL","")</f>
        <v/>
      </c>
      <c r="B52" s="752"/>
      <c r="C52" s="753"/>
      <c r="D52" s="754"/>
      <c r="E52" s="754"/>
      <c r="F52" s="754">
        <f>F51-CDPS!C24</f>
        <v>351991443</v>
      </c>
      <c r="G52" s="754"/>
      <c r="H52" s="754">
        <f>H51-CDPS!E24</f>
        <v>0</v>
      </c>
      <c r="I52" s="754"/>
      <c r="J52" s="754">
        <f>J51-CDPS!F24</f>
        <v>0</v>
      </c>
      <c r="K52" s="754"/>
      <c r="L52" s="754">
        <f>L51-CDPS!G24</f>
        <v>351991443</v>
      </c>
      <c r="M52" s="437"/>
      <c r="N52" s="449" t="s">
        <v>424</v>
      </c>
      <c r="O52" s="445" t="s">
        <v>408</v>
      </c>
      <c r="P52" s="442">
        <v>273017840</v>
      </c>
      <c r="Q52" s="442" t="s">
        <v>425</v>
      </c>
      <c r="R52" s="442"/>
      <c r="S52" s="442" t="s">
        <v>334</v>
      </c>
    </row>
    <row r="53" spans="1:19" s="434" customFormat="1" ht="21.75" customHeight="1">
      <c r="A53" s="437" t="str">
        <f t="shared" ref="A53:A73" si="21">IF(B53&lt;&gt;"","NL","")</f>
        <v>NL</v>
      </c>
      <c r="B53" s="751">
        <f>IF(C53&lt;&gt;"",ROW()-(ROW()-1),"")</f>
        <v>1</v>
      </c>
      <c r="C53" s="439" t="s">
        <v>565</v>
      </c>
      <c r="D53" s="440" t="s">
        <v>330</v>
      </c>
      <c r="E53" s="25">
        <v>0</v>
      </c>
      <c r="F53" s="25">
        <v>0</v>
      </c>
      <c r="G53" s="25">
        <f t="array" ref="G53">SUM(IF("1521"&amp;C53=KHN&amp;MH,SL))</f>
        <v>0</v>
      </c>
      <c r="H53" s="25">
        <f t="array" ref="H53">SUM(IF("1521"&amp;C53=KHN&amp;MH,TH))</f>
        <v>0</v>
      </c>
      <c r="I53" s="25">
        <f t="array" ref="I53">SUM(IF("1521"&amp;C53=KHC&amp;MH,SL))</f>
        <v>0</v>
      </c>
      <c r="J53" s="25">
        <f t="array" ref="J53">SUM(IF("1521"&amp;C53=KHC&amp;MH,TH))</f>
        <v>0</v>
      </c>
      <c r="K53" s="25">
        <f t="shared" ref="K53:L53" si="22">E53+G53-I53</f>
        <v>0</v>
      </c>
      <c r="L53" s="25">
        <f t="shared" si="22"/>
        <v>0</v>
      </c>
      <c r="M53" s="437"/>
      <c r="N53" s="443" t="s">
        <v>764</v>
      </c>
      <c r="O53" s="445" t="s">
        <v>408</v>
      </c>
      <c r="P53" s="445">
        <v>260456563</v>
      </c>
      <c r="Q53" s="442" t="s">
        <v>408</v>
      </c>
      <c r="R53" s="442"/>
      <c r="S53" s="442" t="s">
        <v>334</v>
      </c>
    </row>
    <row r="54" spans="1:19" s="434" customFormat="1" ht="21.75" customHeight="1">
      <c r="A54" s="437" t="str">
        <f t="shared" si="21"/>
        <v>NL</v>
      </c>
      <c r="B54" s="438">
        <f>IF(C54&lt;&gt;"",B53+1,"")</f>
        <v>2</v>
      </c>
      <c r="C54" s="443" t="s">
        <v>566</v>
      </c>
      <c r="D54" s="440" t="s">
        <v>330</v>
      </c>
      <c r="E54" s="25">
        <v>0</v>
      </c>
      <c r="F54" s="25">
        <v>0</v>
      </c>
      <c r="G54" s="25">
        <f t="array" ref="G54">SUM(IF("1521"&amp;C54=KHN&amp;MH,SL))</f>
        <v>0</v>
      </c>
      <c r="H54" s="25">
        <f t="array" ref="H54">SUM(IF("1521"&amp;C54=KHN&amp;MH,TH))</f>
        <v>0</v>
      </c>
      <c r="I54" s="25">
        <f t="array" ref="I54">SUM(IF("1521"&amp;C54=KHC&amp;MH,SL))</f>
        <v>0</v>
      </c>
      <c r="J54" s="25">
        <f t="array" ref="J54">SUM(IF("1521"&amp;C54=KHC&amp;MH,TH))</f>
        <v>0</v>
      </c>
      <c r="K54" s="8">
        <f t="shared" ref="K54:K70" si="23">E54+G54-I54</f>
        <v>0</v>
      </c>
      <c r="L54" s="8">
        <f t="shared" ref="L54:L70" si="24">F54+H54-J54</f>
        <v>0</v>
      </c>
      <c r="M54" s="437"/>
      <c r="N54" s="449" t="s">
        <v>765</v>
      </c>
      <c r="O54" s="445" t="s">
        <v>408</v>
      </c>
      <c r="P54" s="445">
        <v>261183075</v>
      </c>
      <c r="Q54" s="442" t="s">
        <v>408</v>
      </c>
      <c r="R54" s="442"/>
      <c r="S54" s="442" t="s">
        <v>334</v>
      </c>
    </row>
    <row r="55" spans="1:19" s="434" customFormat="1" ht="21.75" customHeight="1">
      <c r="A55" s="437" t="str">
        <f t="shared" si="21"/>
        <v>NL</v>
      </c>
      <c r="B55" s="438">
        <f t="shared" ref="B55:B71" si="25">IF(C55&lt;&gt;"",B54+1,"")</f>
        <v>3</v>
      </c>
      <c r="C55" s="443" t="s">
        <v>880</v>
      </c>
      <c r="D55" s="440" t="s">
        <v>330</v>
      </c>
      <c r="E55" s="25"/>
      <c r="F55" s="25"/>
      <c r="G55" s="25">
        <f t="array" ref="G55">SUM(IF("1521"&amp;C55=KHN&amp;MH,SL))</f>
        <v>0</v>
      </c>
      <c r="H55" s="25">
        <f t="array" ref="H55">SUM(IF("1521"&amp;C55=KHN&amp;MH,TH))</f>
        <v>0</v>
      </c>
      <c r="I55" s="25">
        <f t="array" ref="I55">SUM(IF("1521"&amp;C55=KHC&amp;MH,SL))</f>
        <v>0</v>
      </c>
      <c r="J55" s="25">
        <f t="array" ref="J55">SUM(IF("1521"&amp;C55=KHC&amp;MH,TH))</f>
        <v>0</v>
      </c>
      <c r="K55" s="8">
        <f t="shared" si="23"/>
        <v>0</v>
      </c>
      <c r="L55" s="8">
        <f t="shared" si="24"/>
        <v>0</v>
      </c>
      <c r="M55" s="437"/>
      <c r="N55" s="446" t="s">
        <v>762</v>
      </c>
      <c r="O55" s="445" t="s">
        <v>408</v>
      </c>
      <c r="P55" s="448">
        <v>273017843</v>
      </c>
      <c r="Q55" s="394" t="s">
        <v>780</v>
      </c>
      <c r="R55" s="442" t="s">
        <v>781</v>
      </c>
      <c r="S55" s="442" t="s">
        <v>334</v>
      </c>
    </row>
    <row r="56" spans="1:19" s="434" customFormat="1" ht="21.75" customHeight="1">
      <c r="A56" s="437" t="str">
        <f t="shared" si="21"/>
        <v>NL</v>
      </c>
      <c r="B56" s="438">
        <f t="shared" si="25"/>
        <v>4</v>
      </c>
      <c r="C56" s="443" t="s">
        <v>758</v>
      </c>
      <c r="D56" s="440" t="s">
        <v>330</v>
      </c>
      <c r="E56" s="25">
        <v>0</v>
      </c>
      <c r="F56" s="25">
        <v>0</v>
      </c>
      <c r="G56" s="25">
        <f t="array" ref="G56">SUM(IF("1521"&amp;C56=KHN&amp;MH,SL))</f>
        <v>0</v>
      </c>
      <c r="H56" s="25">
        <f t="array" ref="H56">SUM(IF("1521"&amp;C56=KHN&amp;MH,TH))</f>
        <v>0</v>
      </c>
      <c r="I56" s="25">
        <f t="array" ref="I56">SUM(IF("1521"&amp;C56=KHC&amp;MH,SL))</f>
        <v>0</v>
      </c>
      <c r="J56" s="25">
        <f t="array" ref="J56">SUM(IF("1521"&amp;C56=KHC&amp;MH,TH))</f>
        <v>0</v>
      </c>
      <c r="K56" s="8">
        <f t="shared" si="23"/>
        <v>0</v>
      </c>
      <c r="L56" s="8">
        <f t="shared" si="24"/>
        <v>0</v>
      </c>
      <c r="M56" s="437"/>
      <c r="N56" s="446" t="s">
        <v>763</v>
      </c>
      <c r="O56" s="445" t="s">
        <v>408</v>
      </c>
      <c r="P56" s="448">
        <v>190253143</v>
      </c>
      <c r="Q56" s="394" t="s">
        <v>408</v>
      </c>
      <c r="R56" s="442" t="s">
        <v>782</v>
      </c>
      <c r="S56" s="442" t="s">
        <v>334</v>
      </c>
    </row>
    <row r="57" spans="1:19" s="434" customFormat="1" ht="21.75" customHeight="1">
      <c r="A57" s="437" t="str">
        <f t="shared" si="21"/>
        <v>NL</v>
      </c>
      <c r="B57" s="438">
        <f t="shared" si="25"/>
        <v>5</v>
      </c>
      <c r="C57" s="443" t="s">
        <v>784</v>
      </c>
      <c r="D57" s="440" t="s">
        <v>330</v>
      </c>
      <c r="E57" s="25">
        <v>0</v>
      </c>
      <c r="F57" s="25">
        <v>0</v>
      </c>
      <c r="G57" s="25">
        <f t="array" ref="G57">SUM(IF("1521"&amp;C57=KHN&amp;MH,SL))</f>
        <v>0</v>
      </c>
      <c r="H57" s="25">
        <f t="array" ref="H57">SUM(IF("1521"&amp;C57=KHN&amp;MH,TH))</f>
        <v>0</v>
      </c>
      <c r="I57" s="25">
        <f t="array" ref="I57">SUM(IF("1521"&amp;C57=KHC&amp;MH,SL))</f>
        <v>0</v>
      </c>
      <c r="J57" s="25">
        <f t="array" ref="J57">SUM(IF("1521"&amp;C57=KHC&amp;MH,TH))</f>
        <v>0</v>
      </c>
      <c r="K57" s="8">
        <f t="shared" si="23"/>
        <v>0</v>
      </c>
      <c r="L57" s="8">
        <f t="shared" si="24"/>
        <v>0</v>
      </c>
      <c r="M57" s="437"/>
      <c r="N57" s="446"/>
      <c r="O57" s="448"/>
      <c r="P57" s="394"/>
      <c r="Q57" s="394"/>
      <c r="R57" s="442"/>
      <c r="S57" s="442"/>
    </row>
    <row r="58" spans="1:19" s="434" customFormat="1" ht="21.75" customHeight="1">
      <c r="A58" s="437" t="str">
        <f t="shared" si="21"/>
        <v>NL</v>
      </c>
      <c r="B58" s="438">
        <f t="shared" si="25"/>
        <v>6</v>
      </c>
      <c r="C58" s="443" t="s">
        <v>767</v>
      </c>
      <c r="D58" s="440" t="s">
        <v>330</v>
      </c>
      <c r="E58" s="25">
        <v>0</v>
      </c>
      <c r="F58" s="25">
        <v>0</v>
      </c>
      <c r="G58" s="317">
        <f t="array" ref="G58">SUM(IF("1521"&amp;C58=KHN&amp;MH,SL))</f>
        <v>0</v>
      </c>
      <c r="H58" s="25">
        <f t="array" ref="H58">SUM(IF("1521"&amp;C58=KHN&amp;MH,TH))</f>
        <v>0</v>
      </c>
      <c r="I58" s="317">
        <f t="array" ref="I58">SUM(IF("1521"&amp;C58=KHC&amp;MH,SL))</f>
        <v>0</v>
      </c>
      <c r="J58" s="25">
        <f t="array" ref="J58">SUM(IF("1521"&amp;C58=KHC&amp;MH,TH))</f>
        <v>0</v>
      </c>
      <c r="K58" s="8">
        <f t="shared" si="23"/>
        <v>0</v>
      </c>
      <c r="L58" s="8">
        <f t="shared" si="24"/>
        <v>0</v>
      </c>
      <c r="M58" s="437"/>
      <c r="N58" s="446" t="s">
        <v>869</v>
      </c>
      <c r="O58" s="448" t="s">
        <v>364</v>
      </c>
      <c r="P58" s="394"/>
      <c r="Q58" s="394" t="s">
        <v>364</v>
      </c>
      <c r="R58" s="442"/>
      <c r="S58" s="442" t="s">
        <v>876</v>
      </c>
    </row>
    <row r="59" spans="1:19" s="434" customFormat="1" ht="21.75" customHeight="1">
      <c r="A59" s="437" t="str">
        <f t="shared" si="21"/>
        <v>NL</v>
      </c>
      <c r="B59" s="438">
        <f t="shared" si="25"/>
        <v>7</v>
      </c>
      <c r="C59" s="443" t="s">
        <v>829</v>
      </c>
      <c r="D59" s="440" t="s">
        <v>330</v>
      </c>
      <c r="E59" s="25"/>
      <c r="F59" s="25"/>
      <c r="G59" s="25">
        <f t="array" ref="G59">SUM(IF("1521"&amp;C59=KHN&amp;MH,SL))</f>
        <v>0</v>
      </c>
      <c r="H59" s="25">
        <f t="array" ref="H59">SUM(IF("1521"&amp;C59=KHN&amp;MH,TH))</f>
        <v>0</v>
      </c>
      <c r="I59" s="25">
        <f t="array" ref="I59">SUM(IF("1521"&amp;C59=KHC&amp;MH,SL))</f>
        <v>0</v>
      </c>
      <c r="J59" s="25">
        <f t="array" ref="J59">SUM(IF("1521"&amp;C59=KHC&amp;MH,TH))</f>
        <v>0</v>
      </c>
      <c r="K59" s="8">
        <f t="shared" si="23"/>
        <v>0</v>
      </c>
      <c r="L59" s="8">
        <f t="shared" si="24"/>
        <v>0</v>
      </c>
      <c r="M59" s="437"/>
      <c r="N59" s="446" t="s">
        <v>871</v>
      </c>
      <c r="O59" s="448" t="s">
        <v>364</v>
      </c>
      <c r="P59" s="394"/>
      <c r="Q59" s="394" t="s">
        <v>364</v>
      </c>
      <c r="R59" s="442"/>
      <c r="S59" s="442" t="s">
        <v>876</v>
      </c>
    </row>
    <row r="60" spans="1:19" s="434" customFormat="1" ht="21.75" customHeight="1">
      <c r="A60" s="437" t="str">
        <f t="shared" si="21"/>
        <v>NL</v>
      </c>
      <c r="B60" s="438">
        <f t="shared" si="25"/>
        <v>8</v>
      </c>
      <c r="C60" s="443" t="s">
        <v>755</v>
      </c>
      <c r="D60" s="440" t="s">
        <v>330</v>
      </c>
      <c r="E60" s="25">
        <v>0</v>
      </c>
      <c r="F60" s="25">
        <v>0</v>
      </c>
      <c r="G60" s="25">
        <f t="array" ref="G60">SUM(IF("1521"&amp;C60=KHN&amp;MH,SL))</f>
        <v>0</v>
      </c>
      <c r="H60" s="25">
        <f t="array" ref="H60">SUM(IF("1521"&amp;C60=KHN&amp;MH,TH))</f>
        <v>0</v>
      </c>
      <c r="I60" s="25">
        <f t="array" ref="I60">SUM(IF("1521"&amp;C60=KHC&amp;MH,SL))</f>
        <v>0</v>
      </c>
      <c r="J60" s="25">
        <f t="array" ref="J60">SUM(IF("1521"&amp;C60=KHC&amp;MH,TH))</f>
        <v>0</v>
      </c>
      <c r="K60" s="8">
        <f t="shared" si="23"/>
        <v>0</v>
      </c>
      <c r="L60" s="8">
        <f t="shared" si="24"/>
        <v>0</v>
      </c>
      <c r="M60" s="437"/>
      <c r="N60" s="446" t="s">
        <v>862</v>
      </c>
      <c r="O60" s="448" t="s">
        <v>364</v>
      </c>
      <c r="P60" s="394"/>
      <c r="Q60" s="394" t="s">
        <v>364</v>
      </c>
      <c r="R60" s="442"/>
      <c r="S60" s="442" t="s">
        <v>876</v>
      </c>
    </row>
    <row r="61" spans="1:19" s="434" customFormat="1" ht="21.75" customHeight="1">
      <c r="A61" s="437" t="str">
        <f t="shared" si="21"/>
        <v>NL</v>
      </c>
      <c r="B61" s="438">
        <f t="shared" si="25"/>
        <v>9</v>
      </c>
      <c r="C61" s="443" t="s">
        <v>819</v>
      </c>
      <c r="D61" s="440" t="s">
        <v>330</v>
      </c>
      <c r="E61" s="25">
        <v>0</v>
      </c>
      <c r="F61" s="25">
        <v>0</v>
      </c>
      <c r="G61" s="25">
        <f t="array" ref="G61">SUM(IF("1521"&amp;C61=KHN&amp;MH,SL))</f>
        <v>0</v>
      </c>
      <c r="H61" s="25">
        <f t="array" ref="H61">SUM(IF("1521"&amp;C61=KHN&amp;MH,TH))</f>
        <v>0</v>
      </c>
      <c r="I61" s="25">
        <f t="array" ref="I61">SUM(IF("1521"&amp;C61=KHC&amp;MH,SL))</f>
        <v>0</v>
      </c>
      <c r="J61" s="25">
        <f t="array" ref="J61">SUM(IF("1521"&amp;C61=KHC&amp;MH,TH))</f>
        <v>0</v>
      </c>
      <c r="K61" s="8">
        <f t="shared" si="23"/>
        <v>0</v>
      </c>
      <c r="L61" s="8">
        <f t="shared" si="24"/>
        <v>0</v>
      </c>
      <c r="M61" s="437"/>
      <c r="N61" s="303" t="s">
        <v>874</v>
      </c>
      <c r="O61" s="394" t="s">
        <v>364</v>
      </c>
      <c r="P61" s="1185"/>
      <c r="Q61" s="394" t="s">
        <v>364</v>
      </c>
      <c r="R61" s="442"/>
      <c r="S61" s="442" t="s">
        <v>876</v>
      </c>
    </row>
    <row r="62" spans="1:19" s="434" customFormat="1" ht="21.75" customHeight="1">
      <c r="A62" s="437" t="str">
        <f t="shared" si="21"/>
        <v>NL</v>
      </c>
      <c r="B62" s="438">
        <f t="shared" si="25"/>
        <v>10</v>
      </c>
      <c r="C62" s="443" t="s">
        <v>757</v>
      </c>
      <c r="D62" s="440" t="s">
        <v>330</v>
      </c>
      <c r="E62" s="25">
        <v>0</v>
      </c>
      <c r="F62" s="25">
        <v>0</v>
      </c>
      <c r="G62" s="25">
        <f t="array" ref="G62">SUM(IF("1521"&amp;C62=KHN&amp;MH,SL))</f>
        <v>0</v>
      </c>
      <c r="H62" s="25">
        <f t="array" ref="H62">SUM(IF("1521"&amp;C62=KHN&amp;MH,TH))</f>
        <v>0</v>
      </c>
      <c r="I62" s="25">
        <f t="array" ref="I62">SUM(IF("1521"&amp;C62=KHC&amp;MH,SL))</f>
        <v>0</v>
      </c>
      <c r="J62" s="25">
        <f t="array" ref="J62">SUM(IF("1521"&amp;C62=KHC&amp;MH,TH))</f>
        <v>0</v>
      </c>
      <c r="K62" s="8">
        <f t="shared" si="23"/>
        <v>0</v>
      </c>
      <c r="L62" s="8">
        <f t="shared" si="24"/>
        <v>0</v>
      </c>
      <c r="M62" s="437"/>
      <c r="N62" s="303" t="s">
        <v>868</v>
      </c>
      <c r="O62" s="394" t="s">
        <v>364</v>
      </c>
      <c r="P62" s="1185"/>
      <c r="Q62" s="394" t="s">
        <v>364</v>
      </c>
      <c r="R62" s="442"/>
      <c r="S62" s="442" t="s">
        <v>334</v>
      </c>
    </row>
    <row r="63" spans="1:19" s="434" customFormat="1" ht="21.75" customHeight="1">
      <c r="A63" s="437" t="str">
        <f t="shared" si="21"/>
        <v>NL</v>
      </c>
      <c r="B63" s="438">
        <f t="shared" si="25"/>
        <v>11</v>
      </c>
      <c r="C63" s="443" t="s">
        <v>756</v>
      </c>
      <c r="D63" s="440" t="s">
        <v>330</v>
      </c>
      <c r="E63" s="25">
        <v>0</v>
      </c>
      <c r="F63" s="25">
        <v>0</v>
      </c>
      <c r="G63" s="25">
        <f t="array" ref="G63">SUM(IF("1521"&amp;C63=KHN&amp;MH,SL))</f>
        <v>0</v>
      </c>
      <c r="H63" s="25">
        <f t="array" ref="H63">SUM(IF("1521"&amp;C63=KHN&amp;MH,TH))</f>
        <v>0</v>
      </c>
      <c r="I63" s="25">
        <f t="array" ref="I63">SUM(IF("1521"&amp;C63=KHC&amp;MH,SL))</f>
        <v>0</v>
      </c>
      <c r="J63" s="25">
        <f t="array" ref="J63">SUM(IF("1521"&amp;C63=KHC&amp;MH,TH))</f>
        <v>0</v>
      </c>
      <c r="K63" s="8">
        <f t="shared" si="23"/>
        <v>0</v>
      </c>
      <c r="L63" s="8">
        <f t="shared" si="24"/>
        <v>0</v>
      </c>
      <c r="M63" s="437"/>
      <c r="N63" s="303" t="s">
        <v>866</v>
      </c>
      <c r="O63" s="394" t="s">
        <v>364</v>
      </c>
      <c r="P63" s="1185"/>
      <c r="Q63" s="394" t="s">
        <v>364</v>
      </c>
      <c r="R63" s="442"/>
      <c r="S63" s="442" t="s">
        <v>334</v>
      </c>
    </row>
    <row r="64" spans="1:19" s="434" customFormat="1" ht="21.75" customHeight="1">
      <c r="A64" s="437" t="str">
        <f t="shared" si="21"/>
        <v>NL</v>
      </c>
      <c r="B64" s="438">
        <f t="shared" si="25"/>
        <v>12</v>
      </c>
      <c r="C64" s="443" t="s">
        <v>818</v>
      </c>
      <c r="D64" s="440" t="s">
        <v>330</v>
      </c>
      <c r="E64" s="25">
        <v>0</v>
      </c>
      <c r="F64" s="25">
        <v>0</v>
      </c>
      <c r="G64" s="25">
        <f t="array" ref="G64">SUM(IF("1521"&amp;C64=KHN&amp;MH,SL))</f>
        <v>0</v>
      </c>
      <c r="H64" s="25">
        <f t="array" ref="H64">SUM(IF("1521"&amp;C64=KHN&amp;MH,TH))</f>
        <v>0</v>
      </c>
      <c r="I64" s="25">
        <f t="array" ref="I64">SUM(IF("1521"&amp;C64=KHC&amp;MH,SL))</f>
        <v>0</v>
      </c>
      <c r="J64" s="25">
        <f t="array" ref="J64">SUM(IF("1521"&amp;C64=KHC&amp;MH,TH))</f>
        <v>0</v>
      </c>
      <c r="K64" s="8">
        <f t="shared" si="23"/>
        <v>0</v>
      </c>
      <c r="L64" s="8">
        <f t="shared" si="24"/>
        <v>0</v>
      </c>
      <c r="M64" s="437"/>
      <c r="N64" s="303" t="s">
        <v>865</v>
      </c>
      <c r="O64" s="394" t="s">
        <v>364</v>
      </c>
      <c r="P64" s="1185"/>
      <c r="Q64" s="394" t="s">
        <v>364</v>
      </c>
      <c r="R64" s="442"/>
      <c r="S64" s="442" t="s">
        <v>334</v>
      </c>
    </row>
    <row r="65" spans="1:20" s="434" customFormat="1" ht="21.75" customHeight="1">
      <c r="A65" s="437" t="str">
        <f t="shared" si="21"/>
        <v>NL</v>
      </c>
      <c r="B65" s="438">
        <f t="shared" si="25"/>
        <v>13</v>
      </c>
      <c r="C65" s="443" t="s">
        <v>766</v>
      </c>
      <c r="D65" s="440" t="s">
        <v>330</v>
      </c>
      <c r="E65" s="25">
        <v>0</v>
      </c>
      <c r="F65" s="25">
        <v>0</v>
      </c>
      <c r="G65" s="25">
        <f t="array" ref="G65">SUM(IF("1521"&amp;C65=KHN&amp;MH,SL))</f>
        <v>0</v>
      </c>
      <c r="H65" s="25">
        <f t="array" ref="H65">SUM(IF("1521"&amp;C65=KHN&amp;MH,TH))</f>
        <v>0</v>
      </c>
      <c r="I65" s="25">
        <f t="array" ref="I65">SUM(IF("1521"&amp;C65=KHC&amp;MH,SL))</f>
        <v>0</v>
      </c>
      <c r="J65" s="25">
        <f t="array" ref="J65">SUM(IF("1521"&amp;C65=KHC&amp;MH,TH))</f>
        <v>0</v>
      </c>
      <c r="K65" s="8">
        <f t="shared" si="23"/>
        <v>0</v>
      </c>
      <c r="L65" s="8">
        <f t="shared" si="24"/>
        <v>0</v>
      </c>
      <c r="M65" s="437"/>
      <c r="N65" s="446"/>
      <c r="O65" s="448"/>
      <c r="P65" s="394"/>
      <c r="Q65" s="394"/>
      <c r="R65" s="442"/>
      <c r="S65" s="442"/>
    </row>
    <row r="66" spans="1:20" s="434" customFormat="1" ht="21.75" customHeight="1">
      <c r="A66" s="437" t="str">
        <f t="shared" si="21"/>
        <v>NL</v>
      </c>
      <c r="B66" s="438">
        <f t="shared" si="25"/>
        <v>14</v>
      </c>
      <c r="C66" s="443" t="s">
        <v>879</v>
      </c>
      <c r="D66" s="440" t="s">
        <v>330</v>
      </c>
      <c r="E66" s="25"/>
      <c r="F66" s="25"/>
      <c r="G66" s="25">
        <f t="array" ref="G66">SUM(IF("1521"&amp;C66=KHN&amp;MH,SL))</f>
        <v>0</v>
      </c>
      <c r="H66" s="25">
        <f t="array" ref="H66">SUM(IF("1521"&amp;C66=KHN&amp;MH,TH))</f>
        <v>0</v>
      </c>
      <c r="I66" s="25">
        <f t="array" ref="I66">SUM(IF("1521"&amp;C66=KHC&amp;MH,SL))</f>
        <v>0</v>
      </c>
      <c r="J66" s="25">
        <f t="array" ref="J66">SUM(IF("1521"&amp;C66=KHC&amp;MH,TH))</f>
        <v>0</v>
      </c>
      <c r="K66" s="8">
        <f t="shared" si="23"/>
        <v>0</v>
      </c>
      <c r="L66" s="8">
        <f t="shared" si="24"/>
        <v>0</v>
      </c>
      <c r="M66" s="437"/>
      <c r="N66" s="446"/>
      <c r="O66" s="448"/>
      <c r="P66" s="394"/>
      <c r="Q66" s="394"/>
      <c r="R66" s="442"/>
      <c r="S66" s="442"/>
    </row>
    <row r="67" spans="1:20" s="434" customFormat="1" ht="21.75" customHeight="1">
      <c r="A67" s="437" t="str">
        <f t="shared" si="21"/>
        <v>NL</v>
      </c>
      <c r="B67" s="438">
        <f t="shared" si="25"/>
        <v>15</v>
      </c>
      <c r="C67" s="302" t="s">
        <v>878</v>
      </c>
      <c r="D67" s="440" t="s">
        <v>330</v>
      </c>
      <c r="E67" s="25"/>
      <c r="F67" s="25"/>
      <c r="G67" s="25">
        <f t="array" ref="G67">SUM(IF("1521"&amp;C67=KHN&amp;MH,SL))</f>
        <v>0</v>
      </c>
      <c r="H67" s="25">
        <f t="array" ref="H67">SUM(IF("1521"&amp;C67=KHN&amp;MH,TH))</f>
        <v>0</v>
      </c>
      <c r="I67" s="25">
        <f t="array" ref="I67">SUM(IF("1521"&amp;C67=KHC&amp;MH,SL))</f>
        <v>0</v>
      </c>
      <c r="J67" s="25">
        <f t="array" ref="J67">SUM(IF("1521"&amp;C67=KHC&amp;MH,TH))</f>
        <v>0</v>
      </c>
      <c r="K67" s="8">
        <f t="shared" si="23"/>
        <v>0</v>
      </c>
      <c r="L67" s="8">
        <f t="shared" si="24"/>
        <v>0</v>
      </c>
      <c r="M67" s="437"/>
      <c r="N67" s="446"/>
      <c r="O67" s="448"/>
      <c r="P67" s="394"/>
      <c r="Q67" s="394"/>
      <c r="R67" s="442"/>
      <c r="S67" s="442"/>
    </row>
    <row r="68" spans="1:20" s="434" customFormat="1" ht="21.75" customHeight="1">
      <c r="A68" s="437" t="str">
        <f t="shared" si="21"/>
        <v>NL</v>
      </c>
      <c r="B68" s="438">
        <f t="shared" si="25"/>
        <v>16</v>
      </c>
      <c r="C68" s="443" t="s">
        <v>817</v>
      </c>
      <c r="D68" s="440" t="s">
        <v>330</v>
      </c>
      <c r="E68" s="25">
        <v>0</v>
      </c>
      <c r="F68" s="25">
        <v>0</v>
      </c>
      <c r="G68" s="25">
        <f t="array" ref="G68">SUM(IF("1521"&amp;C68=KHN&amp;MH,SL))</f>
        <v>0</v>
      </c>
      <c r="H68" s="25">
        <f t="array" ref="H68">SUM(IF("1521"&amp;C68=KHN&amp;MH,TH))</f>
        <v>0</v>
      </c>
      <c r="I68" s="25">
        <f t="array" ref="I68">SUM(IF("1521"&amp;C68=KHC&amp;MH,SL))</f>
        <v>0</v>
      </c>
      <c r="J68" s="25">
        <f t="array" ref="J68">SUM(IF("1521"&amp;C68=KHC&amp;MH,TH))</f>
        <v>0</v>
      </c>
      <c r="K68" s="8">
        <f t="shared" si="23"/>
        <v>0</v>
      </c>
      <c r="L68" s="8">
        <f t="shared" si="24"/>
        <v>0</v>
      </c>
      <c r="M68" s="437"/>
      <c r="N68" s="446"/>
      <c r="O68" s="448"/>
      <c r="P68" s="394"/>
      <c r="Q68" s="394"/>
      <c r="R68" s="442"/>
      <c r="S68" s="442"/>
    </row>
    <row r="69" spans="1:20" s="434" customFormat="1" ht="21.75" customHeight="1">
      <c r="A69" s="437" t="str">
        <f t="shared" si="21"/>
        <v>NL</v>
      </c>
      <c r="B69" s="438">
        <f t="shared" si="25"/>
        <v>17</v>
      </c>
      <c r="C69" s="443" t="s">
        <v>759</v>
      </c>
      <c r="D69" s="440" t="s">
        <v>330</v>
      </c>
      <c r="E69" s="25">
        <v>0</v>
      </c>
      <c r="F69" s="25">
        <v>0</v>
      </c>
      <c r="G69" s="25">
        <f t="array" ref="G69">SUM(IF("1521"&amp;C69=KHN&amp;MH,SL))</f>
        <v>0</v>
      </c>
      <c r="H69" s="25">
        <f t="array" ref="H69">SUM(IF("1521"&amp;C69=KHN&amp;MH,TH))</f>
        <v>0</v>
      </c>
      <c r="I69" s="25">
        <f t="array" ref="I69">SUM(IF("1521"&amp;C69=KHC&amp;MH,SL))</f>
        <v>0</v>
      </c>
      <c r="J69" s="25">
        <f t="array" ref="J69">SUM(IF("1521"&amp;C69=KHC&amp;MH,TH))</f>
        <v>0</v>
      </c>
      <c r="K69" s="8">
        <f t="shared" si="23"/>
        <v>0</v>
      </c>
      <c r="L69" s="8">
        <f t="shared" si="24"/>
        <v>0</v>
      </c>
      <c r="M69" s="437"/>
      <c r="N69" s="446"/>
      <c r="O69" s="448"/>
      <c r="P69" s="394"/>
      <c r="Q69" s="394"/>
      <c r="R69" s="442"/>
      <c r="S69" s="442"/>
    </row>
    <row r="70" spans="1:20" s="434" customFormat="1" ht="21.75" customHeight="1">
      <c r="A70" s="437" t="str">
        <f t="shared" si="21"/>
        <v>NL</v>
      </c>
      <c r="B70" s="438">
        <f t="shared" si="25"/>
        <v>18</v>
      </c>
      <c r="C70" s="439" t="s">
        <v>881</v>
      </c>
      <c r="D70" s="440" t="s">
        <v>330</v>
      </c>
      <c r="E70" s="25"/>
      <c r="F70" s="25"/>
      <c r="G70" s="25">
        <f t="array" ref="G70">SUM(IF("1521"&amp;C70=KHN&amp;MH,SL))</f>
        <v>0</v>
      </c>
      <c r="H70" s="25">
        <f t="array" ref="H70">SUM(IF("1521"&amp;C70=KHN&amp;MH,TH))</f>
        <v>0</v>
      </c>
      <c r="I70" s="25">
        <f t="array" ref="I70">SUM(IF("1521"&amp;C70=KHC&amp;MH,SL))</f>
        <v>0</v>
      </c>
      <c r="J70" s="25">
        <f t="array" ref="J70">SUM(IF("1521"&amp;C70=KHC&amp;MH,TH))</f>
        <v>0</v>
      </c>
      <c r="K70" s="8">
        <f t="shared" si="23"/>
        <v>0</v>
      </c>
      <c r="L70" s="8">
        <f t="shared" si="24"/>
        <v>0</v>
      </c>
      <c r="M70" s="437"/>
      <c r="N70" s="443" t="s">
        <v>426</v>
      </c>
      <c r="O70" s="443"/>
      <c r="P70" s="443"/>
      <c r="Q70" s="443"/>
      <c r="R70" s="443"/>
      <c r="S70" s="443"/>
    </row>
    <row r="71" spans="1:20" s="434" customFormat="1" ht="21.75" customHeight="1">
      <c r="A71" s="437" t="str">
        <f t="shared" si="21"/>
        <v/>
      </c>
      <c r="B71" s="438" t="str">
        <f t="shared" si="25"/>
        <v/>
      </c>
      <c r="C71" s="443"/>
      <c r="D71" s="440" t="s">
        <v>330</v>
      </c>
      <c r="E71" s="25"/>
      <c r="F71" s="25"/>
      <c r="G71" s="25">
        <f t="array" ref="G71">SUM(IF("1521"&amp;C71=KHN&amp;MH,SL))</f>
        <v>0</v>
      </c>
      <c r="H71" s="25">
        <f t="array" ref="H71">SUM(IF("1521"&amp;C71=KHN&amp;MH,TH))</f>
        <v>0</v>
      </c>
      <c r="I71" s="25">
        <f t="array" ref="I71">SUM(IF("1521"&amp;C71=KHC&amp;MH,SL))</f>
        <v>0</v>
      </c>
      <c r="J71" s="25">
        <f t="array" ref="J71">SUM(IF("1521"&amp;C71=KHC&amp;MH,TH))</f>
        <v>0</v>
      </c>
      <c r="K71" s="8">
        <f t="shared" ref="K71" si="26">E71+G71-I71</f>
        <v>0</v>
      </c>
      <c r="L71" s="8">
        <f t="shared" ref="L71" si="27">F71+H71-J71</f>
        <v>0</v>
      </c>
      <c r="M71" s="437"/>
      <c r="N71" s="455"/>
      <c r="O71" s="455"/>
      <c r="P71" s="455"/>
      <c r="Q71" s="1186"/>
      <c r="R71" s="1186"/>
      <c r="S71" s="1186"/>
    </row>
    <row r="72" spans="1:20" s="434" customFormat="1" ht="21.75" customHeight="1">
      <c r="A72" s="437" t="str">
        <f t="shared" si="21"/>
        <v/>
      </c>
      <c r="B72" s="438"/>
      <c r="C72" s="443"/>
      <c r="D72" s="440"/>
      <c r="E72" s="25"/>
      <c r="F72" s="25"/>
      <c r="G72" s="25"/>
      <c r="H72" s="25"/>
      <c r="I72" s="25"/>
      <c r="J72" s="25"/>
      <c r="K72" s="8"/>
      <c r="L72" s="8"/>
      <c r="M72" s="437"/>
      <c r="N72" s="1137"/>
      <c r="O72" s="455"/>
      <c r="P72" s="455"/>
      <c r="Q72" s="443" t="s">
        <v>431</v>
      </c>
      <c r="R72" s="1034">
        <v>3.2</v>
      </c>
      <c r="S72" s="8">
        <v>17500</v>
      </c>
    </row>
    <row r="73" spans="1:20" s="434" customFormat="1" ht="21.75" customHeight="1">
      <c r="A73" s="437" t="str">
        <f t="shared" si="21"/>
        <v/>
      </c>
      <c r="B73" s="1177"/>
      <c r="C73" s="452" t="s">
        <v>415</v>
      </c>
      <c r="D73" s="1177"/>
      <c r="E73" s="13">
        <f t="shared" ref="E73:L73" si="28">SUM(E53:E72)</f>
        <v>0</v>
      </c>
      <c r="F73" s="13">
        <f t="shared" si="28"/>
        <v>0</v>
      </c>
      <c r="G73" s="13">
        <f t="shared" si="28"/>
        <v>0</v>
      </c>
      <c r="H73" s="13">
        <f t="shared" si="28"/>
        <v>0</v>
      </c>
      <c r="I73" s="13">
        <f t="shared" si="28"/>
        <v>0</v>
      </c>
      <c r="J73" s="13">
        <f t="shared" si="28"/>
        <v>0</v>
      </c>
      <c r="K73" s="13">
        <f t="shared" si="28"/>
        <v>0</v>
      </c>
      <c r="L73" s="13">
        <f t="shared" si="28"/>
        <v>0</v>
      </c>
      <c r="M73" s="437"/>
      <c r="N73" s="455"/>
      <c r="O73" s="455"/>
      <c r="P73" s="455"/>
      <c r="Q73" s="443" t="s">
        <v>842</v>
      </c>
      <c r="R73" s="1034">
        <v>11</v>
      </c>
      <c r="S73" s="8">
        <v>17500</v>
      </c>
    </row>
    <row r="74" spans="1:20" s="434" customFormat="1" ht="21.75" customHeight="1">
      <c r="A74" s="437" t="str">
        <f>IF(B74&lt;&gt;"","TP","")</f>
        <v/>
      </c>
      <c r="B74" s="754"/>
      <c r="C74" s="754"/>
      <c r="D74" s="754"/>
      <c r="E74" s="754"/>
      <c r="F74" s="754">
        <f>F73-CDPS!C23</f>
        <v>0</v>
      </c>
      <c r="G74" s="754"/>
      <c r="H74" s="754">
        <f>H73-CDPS!E23</f>
        <v>0</v>
      </c>
      <c r="I74" s="754"/>
      <c r="J74" s="754">
        <f>J73-CDPS!F23</f>
        <v>0</v>
      </c>
      <c r="K74" s="754"/>
      <c r="L74" s="754">
        <f>L73-CDPS!G23</f>
        <v>0</v>
      </c>
      <c r="M74" s="437"/>
      <c r="N74" s="455"/>
      <c r="O74" s="455"/>
      <c r="P74" s="455"/>
      <c r="Q74" s="1039" t="s">
        <v>816</v>
      </c>
      <c r="R74" s="1034">
        <v>5.5</v>
      </c>
      <c r="S74" s="8">
        <v>37000</v>
      </c>
    </row>
    <row r="75" spans="1:20" s="434" customFormat="1" ht="21.75" customHeight="1">
      <c r="A75" s="437" t="str">
        <f t="shared" ref="A75:A111" si="29">IF(B75&lt;&gt;"","TP","")</f>
        <v>TP</v>
      </c>
      <c r="B75" s="751">
        <v>1</v>
      </c>
      <c r="C75" s="439" t="s">
        <v>843</v>
      </c>
      <c r="D75" s="454" t="s">
        <v>330</v>
      </c>
      <c r="E75" s="25">
        <v>0</v>
      </c>
      <c r="F75" s="25">
        <v>0</v>
      </c>
      <c r="G75" s="25">
        <f t="array" ref="G75">SUM(IF("155"&amp;C75=KHN&amp;MH,SL))</f>
        <v>0</v>
      </c>
      <c r="H75" s="25">
        <f t="array" ref="H75">SUM(IF("155"&amp;C75=KHN&amp;MH,TH))</f>
        <v>0</v>
      </c>
      <c r="I75" s="25">
        <f t="array" ref="I75">SUM(IF("155"&amp;C75=KHC&amp;MH,SL))</f>
        <v>0</v>
      </c>
      <c r="J75" s="25">
        <f t="array" ref="J75">SUM(IF("155"&amp;C75=KHC&amp;MH,TH))</f>
        <v>0</v>
      </c>
      <c r="K75" s="8">
        <f t="shared" ref="K75:K86" si="30">E75+G75-I75</f>
        <v>0</v>
      </c>
      <c r="L75" s="8">
        <f t="shared" ref="L75:L86" si="31">F75+H75-J75</f>
        <v>0</v>
      </c>
      <c r="M75" s="437"/>
      <c r="N75" s="455"/>
      <c r="O75" s="455"/>
      <c r="P75" s="455"/>
      <c r="Q75" s="1039" t="s">
        <v>843</v>
      </c>
      <c r="R75" s="1034">
        <v>11.5</v>
      </c>
      <c r="S75" s="8">
        <v>18200</v>
      </c>
    </row>
    <row r="76" spans="1:20" s="434" customFormat="1" ht="21.75" customHeight="1">
      <c r="A76" s="437" t="str">
        <f t="shared" si="29"/>
        <v>TP</v>
      </c>
      <c r="B76" s="751">
        <f>IF(C76&lt;&gt;"",B75+1,"")</f>
        <v>2</v>
      </c>
      <c r="C76" s="443" t="s">
        <v>428</v>
      </c>
      <c r="D76" s="454" t="s">
        <v>330</v>
      </c>
      <c r="E76" s="25">
        <v>0</v>
      </c>
      <c r="F76" s="25">
        <v>0</v>
      </c>
      <c r="G76" s="25">
        <f t="array" ref="G76">SUM(IF("155"&amp;C76=KHN&amp;MH,SL))</f>
        <v>0</v>
      </c>
      <c r="H76" s="25">
        <f t="array" ref="H76">SUM(IF("155"&amp;C76=KHN&amp;MH,TH))</f>
        <v>0</v>
      </c>
      <c r="I76" s="25">
        <f t="array" ref="I76">SUM(IF("155"&amp;C76=KHC&amp;MH,SL))</f>
        <v>0</v>
      </c>
      <c r="J76" s="25">
        <f t="array" ref="J76">SUM(IF("155"&amp;C76=KHC&amp;MH,TH))</f>
        <v>0</v>
      </c>
      <c r="K76" s="8">
        <f t="shared" si="30"/>
        <v>0</v>
      </c>
      <c r="L76" s="8">
        <f t="shared" si="31"/>
        <v>0</v>
      </c>
      <c r="N76" s="455"/>
      <c r="O76" s="455"/>
      <c r="P76" s="455"/>
      <c r="Q76" s="1039" t="s">
        <v>428</v>
      </c>
      <c r="R76" s="1034">
        <v>10.5</v>
      </c>
      <c r="S76" s="8">
        <v>17000</v>
      </c>
    </row>
    <row r="77" spans="1:20" s="434" customFormat="1" ht="21.75" customHeight="1">
      <c r="A77" s="437" t="str">
        <f t="shared" si="29"/>
        <v>TP</v>
      </c>
      <c r="B77" s="751">
        <f t="shared" ref="B77:B105" si="32">IF(C77&lt;&gt;"",B76+1,"")</f>
        <v>3</v>
      </c>
      <c r="C77" s="446" t="s">
        <v>857</v>
      </c>
      <c r="D77" s="454" t="s">
        <v>330</v>
      </c>
      <c r="E77" s="25">
        <v>0</v>
      </c>
      <c r="F77" s="25">
        <v>0</v>
      </c>
      <c r="G77" s="25">
        <f t="array" ref="G77">SUM(IF("155"&amp;C77=KHN&amp;MH,SL))</f>
        <v>0</v>
      </c>
      <c r="H77" s="25">
        <f t="array" ref="H77">SUM(IF("155"&amp;C77=KHN&amp;MH,TH))</f>
        <v>0</v>
      </c>
      <c r="I77" s="25">
        <f t="array" ref="I77">SUM(IF("155"&amp;C77=KHC&amp;MH,SL))</f>
        <v>0</v>
      </c>
      <c r="J77" s="25">
        <f t="array" ref="J77">SUM(IF("155"&amp;C77=KHC&amp;MH,TH))</f>
        <v>0</v>
      </c>
      <c r="K77" s="8">
        <f t="shared" si="30"/>
        <v>0</v>
      </c>
      <c r="L77" s="8">
        <f t="shared" si="31"/>
        <v>0</v>
      </c>
      <c r="N77" s="455"/>
      <c r="O77" s="455"/>
      <c r="P77" s="455"/>
      <c r="Q77" s="1039" t="s">
        <v>787</v>
      </c>
      <c r="R77" s="1034">
        <v>8.6999999999999993</v>
      </c>
      <c r="S77" s="8">
        <v>18500</v>
      </c>
      <c r="T77" s="455"/>
    </row>
    <row r="78" spans="1:20" s="434" customFormat="1" ht="21.75" customHeight="1">
      <c r="A78" s="437" t="str">
        <f t="shared" si="29"/>
        <v>TP</v>
      </c>
      <c r="B78" s="751">
        <f t="shared" si="32"/>
        <v>4</v>
      </c>
      <c r="C78" s="1010" t="s">
        <v>848</v>
      </c>
      <c r="D78" s="454" t="s">
        <v>330</v>
      </c>
      <c r="E78" s="25">
        <v>0</v>
      </c>
      <c r="F78" s="25">
        <v>0</v>
      </c>
      <c r="G78" s="25">
        <f t="array" ref="G78">SUM(IF("155"&amp;C78=KHN&amp;MH,SL))</f>
        <v>0</v>
      </c>
      <c r="H78" s="25">
        <f t="array" ref="H78">SUM(IF("155"&amp;C78=KHN&amp;MH,TH))</f>
        <v>0</v>
      </c>
      <c r="I78" s="25">
        <f t="array" ref="I78">SUM(IF("155"&amp;C78=KHC&amp;MH,SL))</f>
        <v>0</v>
      </c>
      <c r="J78" s="25">
        <f t="array" ref="J78">SUM(IF("155"&amp;C78=KHC&amp;MH,TH))</f>
        <v>0</v>
      </c>
      <c r="K78" s="8">
        <f t="shared" si="30"/>
        <v>0</v>
      </c>
      <c r="L78" s="8">
        <f t="shared" si="31"/>
        <v>0</v>
      </c>
      <c r="N78" s="455"/>
      <c r="O78" s="455"/>
      <c r="P78" s="455"/>
      <c r="Q78" s="1039" t="s">
        <v>821</v>
      </c>
      <c r="R78" s="1034">
        <v>5</v>
      </c>
      <c r="S78" s="8">
        <v>28500</v>
      </c>
      <c r="T78" s="455"/>
    </row>
    <row r="79" spans="1:20" s="434" customFormat="1" ht="21.75" customHeight="1">
      <c r="A79" s="437" t="str">
        <f t="shared" si="29"/>
        <v>TP</v>
      </c>
      <c r="B79" s="751">
        <f t="shared" si="32"/>
        <v>5</v>
      </c>
      <c r="C79" s="439" t="s">
        <v>787</v>
      </c>
      <c r="D79" s="454" t="s">
        <v>330</v>
      </c>
      <c r="E79" s="25">
        <v>0</v>
      </c>
      <c r="F79" s="25">
        <v>0</v>
      </c>
      <c r="G79" s="25">
        <f t="array" ref="G79">SUM(IF("155"&amp;C79=KHN&amp;MH,SL))</f>
        <v>0</v>
      </c>
      <c r="H79" s="25">
        <f t="array" ref="H79">SUM(IF("155"&amp;C79=KHN&amp;MH,TH))</f>
        <v>0</v>
      </c>
      <c r="I79" s="25">
        <f t="array" ref="I79">SUM(IF("155"&amp;C79=KHC&amp;MH,SL))</f>
        <v>0</v>
      </c>
      <c r="J79" s="25">
        <f t="array" ref="J79">SUM(IF("155"&amp;C79=KHC&amp;MH,TH))</f>
        <v>0</v>
      </c>
      <c r="K79" s="8">
        <f t="shared" si="30"/>
        <v>0</v>
      </c>
      <c r="L79" s="8">
        <f t="shared" si="31"/>
        <v>0</v>
      </c>
      <c r="Q79" s="1039" t="s">
        <v>793</v>
      </c>
      <c r="R79" s="1034">
        <v>6</v>
      </c>
      <c r="S79" s="8">
        <v>35000</v>
      </c>
      <c r="T79" s="455"/>
    </row>
    <row r="80" spans="1:20" s="434" customFormat="1" ht="21.75" customHeight="1">
      <c r="A80" s="437" t="str">
        <f t="shared" si="29"/>
        <v>TP</v>
      </c>
      <c r="B80" s="751">
        <f t="shared" si="32"/>
        <v>6</v>
      </c>
      <c r="C80" s="446" t="s">
        <v>849</v>
      </c>
      <c r="D80" s="454" t="s">
        <v>330</v>
      </c>
      <c r="E80" s="25">
        <v>0</v>
      </c>
      <c r="F80" s="25">
        <v>0</v>
      </c>
      <c r="G80" s="25">
        <f t="array" ref="G80">SUM(IF("155"&amp;C80=KHN&amp;MH,SL))</f>
        <v>0</v>
      </c>
      <c r="H80" s="25">
        <f t="array" ref="H80">SUM(IF("155"&amp;C80=KHN&amp;MH,TH))</f>
        <v>0</v>
      </c>
      <c r="I80" s="25">
        <f t="array" ref="I80">SUM(IF("155"&amp;C80=KHC&amp;MH,SL))</f>
        <v>0</v>
      </c>
      <c r="J80" s="25">
        <f t="array" ref="J80">SUM(IF("155"&amp;C80=KHC&amp;MH,TH))</f>
        <v>0</v>
      </c>
      <c r="K80" s="8">
        <f t="shared" si="30"/>
        <v>0</v>
      </c>
      <c r="L80" s="8">
        <f t="shared" si="31"/>
        <v>0</v>
      </c>
      <c r="Q80" s="1039" t="s">
        <v>794</v>
      </c>
      <c r="R80" s="1034">
        <v>6</v>
      </c>
      <c r="S80" s="8">
        <v>32000</v>
      </c>
      <c r="T80" s="455"/>
    </row>
    <row r="81" spans="1:20" s="434" customFormat="1" ht="21.75" customHeight="1">
      <c r="A81" s="437" t="str">
        <f t="shared" si="29"/>
        <v>TP</v>
      </c>
      <c r="B81" s="751">
        <f t="shared" si="32"/>
        <v>7</v>
      </c>
      <c r="C81" s="446" t="s">
        <v>821</v>
      </c>
      <c r="D81" s="454" t="s">
        <v>330</v>
      </c>
      <c r="E81" s="25">
        <v>0</v>
      </c>
      <c r="F81" s="25">
        <v>0</v>
      </c>
      <c r="G81" s="25">
        <f t="array" ref="G81">SUM(IF("155"&amp;C81=KHN&amp;MH,SL))</f>
        <v>0</v>
      </c>
      <c r="H81" s="25">
        <f t="array" ref="H81">SUM(IF("155"&amp;C81=KHN&amp;MH,TH))</f>
        <v>0</v>
      </c>
      <c r="I81" s="25">
        <f t="array" ref="I81">SUM(IF("155"&amp;C81=KHC&amp;MH,SL))</f>
        <v>0</v>
      </c>
      <c r="J81" s="25">
        <f t="array" ref="J81">SUM(IF("155"&amp;C81=KHC&amp;MH,TH))</f>
        <v>0</v>
      </c>
      <c r="K81" s="8">
        <f t="shared" si="30"/>
        <v>0</v>
      </c>
      <c r="L81" s="8">
        <f t="shared" si="31"/>
        <v>0</v>
      </c>
      <c r="N81" s="434">
        <f>N80*3000</f>
        <v>0</v>
      </c>
      <c r="Q81" s="1039" t="s">
        <v>795</v>
      </c>
      <c r="R81" s="1034">
        <v>6</v>
      </c>
      <c r="S81" s="8">
        <v>25000</v>
      </c>
      <c r="T81" s="455"/>
    </row>
    <row r="82" spans="1:20" s="434" customFormat="1" ht="21.75" customHeight="1">
      <c r="A82" s="437" t="str">
        <f t="shared" si="29"/>
        <v>TP</v>
      </c>
      <c r="B82" s="751">
        <f t="shared" si="32"/>
        <v>8</v>
      </c>
      <c r="C82" s="446" t="s">
        <v>822</v>
      </c>
      <c r="D82" s="454" t="s">
        <v>330</v>
      </c>
      <c r="E82" s="25">
        <v>0</v>
      </c>
      <c r="F82" s="25">
        <v>0</v>
      </c>
      <c r="G82" s="25">
        <f t="array" ref="G82">SUM(IF("155"&amp;C82=KHN&amp;MH,SL))</f>
        <v>0</v>
      </c>
      <c r="H82" s="25">
        <f t="array" ref="H82">SUM(IF("155"&amp;C82=KHN&amp;MH,TH))</f>
        <v>0</v>
      </c>
      <c r="I82" s="25">
        <f t="array" ref="I82">SUM(IF("155"&amp;C82=KHC&amp;MH,SL))</f>
        <v>0</v>
      </c>
      <c r="J82" s="25">
        <f t="array" ref="J82">SUM(IF("155"&amp;C82=KHC&amp;MH,TH))</f>
        <v>0</v>
      </c>
      <c r="K82" s="8">
        <f t="shared" si="30"/>
        <v>0</v>
      </c>
      <c r="L82" s="8">
        <f t="shared" si="31"/>
        <v>0</v>
      </c>
      <c r="N82" s="918">
        <f>F83/E83</f>
        <v>141769.70706046809</v>
      </c>
      <c r="Q82" s="443" t="s">
        <v>832</v>
      </c>
      <c r="R82" s="1086">
        <v>5</v>
      </c>
      <c r="S82" s="8">
        <v>23000</v>
      </c>
      <c r="T82" s="455"/>
    </row>
    <row r="83" spans="1:20" s="434" customFormat="1" ht="21.75" customHeight="1">
      <c r="A83" s="437" t="str">
        <f t="shared" si="29"/>
        <v>TP</v>
      </c>
      <c r="B83" s="751">
        <f t="shared" si="32"/>
        <v>9</v>
      </c>
      <c r="C83" s="443" t="s">
        <v>423</v>
      </c>
      <c r="D83" s="454" t="s">
        <v>330</v>
      </c>
      <c r="E83" s="25">
        <v>24465.8</v>
      </c>
      <c r="F83" s="25">
        <v>3468509299</v>
      </c>
      <c r="G83" s="25">
        <f t="array" ref="G83">SUM(IF("155"&amp;C83=KHN&amp;MH,SL))</f>
        <v>0</v>
      </c>
      <c r="H83" s="25">
        <f t="array" ref="H83">SUM(IF("155"&amp;C83=KHN&amp;MH,TH))</f>
        <v>0</v>
      </c>
      <c r="I83" s="25">
        <f t="array" ref="I83">SUM(IF("155"&amp;C83=KHC&amp;MH,SL))</f>
        <v>0</v>
      </c>
      <c r="J83" s="25">
        <f t="array" ref="J83">SUM(IF("155"&amp;C83=KHC&amp;MH,TH))</f>
        <v>0</v>
      </c>
      <c r="K83" s="8">
        <f t="shared" si="30"/>
        <v>24465.8</v>
      </c>
      <c r="L83" s="8">
        <f t="shared" si="31"/>
        <v>3468509299</v>
      </c>
      <c r="Q83" s="443" t="s">
        <v>902</v>
      </c>
      <c r="R83" s="1086">
        <v>6</v>
      </c>
      <c r="S83" s="8">
        <v>40000</v>
      </c>
    </row>
    <row r="84" spans="1:20" s="434" customFormat="1" ht="21.75" customHeight="1">
      <c r="A84" s="437" t="str">
        <f t="shared" si="29"/>
        <v>TP</v>
      </c>
      <c r="B84" s="751">
        <f t="shared" si="32"/>
        <v>10</v>
      </c>
      <c r="C84" s="443" t="s">
        <v>431</v>
      </c>
      <c r="D84" s="454" t="s">
        <v>330</v>
      </c>
      <c r="E84" s="25">
        <v>0</v>
      </c>
      <c r="F84" s="25">
        <v>0</v>
      </c>
      <c r="G84" s="25">
        <f t="array" ref="G84">SUM(IF("155"&amp;C84=KHN&amp;MH,SL))</f>
        <v>0</v>
      </c>
      <c r="H84" s="25">
        <f t="array" ref="H84">SUM(IF("155"&amp;C84=KHN&amp;MH,TH))</f>
        <v>0</v>
      </c>
      <c r="I84" s="25">
        <f t="array" ref="I84">SUM(IF("155"&amp;C84=KHC&amp;MH,SL))</f>
        <v>0</v>
      </c>
      <c r="J84" s="25">
        <f t="array" ref="J84">SUM(IF("155"&amp;C84=KHC&amp;MH,TH))</f>
        <v>0</v>
      </c>
      <c r="K84" s="8">
        <f t="shared" si="30"/>
        <v>0</v>
      </c>
      <c r="L84" s="8">
        <f t="shared" si="31"/>
        <v>0</v>
      </c>
      <c r="Q84" s="1010" t="s">
        <v>822</v>
      </c>
      <c r="R84" s="1086">
        <v>4.8</v>
      </c>
      <c r="S84" s="8">
        <v>28500</v>
      </c>
    </row>
    <row r="85" spans="1:20" s="434" customFormat="1" ht="21.75" customHeight="1">
      <c r="A85" s="437" t="str">
        <f t="shared" ref="A85" si="33">IF(B85&lt;&gt;"","TP","")</f>
        <v>TP</v>
      </c>
      <c r="B85" s="751">
        <f t="shared" si="32"/>
        <v>11</v>
      </c>
      <c r="C85" s="443" t="s">
        <v>915</v>
      </c>
      <c r="D85" s="454" t="s">
        <v>330</v>
      </c>
      <c r="E85" s="25">
        <v>0</v>
      </c>
      <c r="F85" s="25">
        <v>0</v>
      </c>
      <c r="G85" s="25">
        <f t="array" ref="G85">SUM(IF("155"&amp;C85=KHN&amp;MH,SL))</f>
        <v>0</v>
      </c>
      <c r="H85" s="25">
        <f t="array" ref="H85">SUM(IF("155"&amp;C85=KHN&amp;MH,TH))</f>
        <v>0</v>
      </c>
      <c r="I85" s="25">
        <f t="array" ref="I85">SUM(IF("155"&amp;C85=KHC&amp;MH,SL))</f>
        <v>0</v>
      </c>
      <c r="J85" s="25">
        <f t="array" ref="J85">SUM(IF("155"&amp;C85=KHC&amp;MH,TH))</f>
        <v>0</v>
      </c>
      <c r="K85" s="8">
        <f t="shared" ref="K85" si="34">E85+G85-I85</f>
        <v>0</v>
      </c>
      <c r="L85" s="8">
        <f t="shared" ref="L85" si="35">F85+H85-J85</f>
        <v>0</v>
      </c>
      <c r="Q85" s="443" t="s">
        <v>427</v>
      </c>
      <c r="R85" s="1034">
        <v>2.2999999999999998</v>
      </c>
      <c r="S85" s="8">
        <v>275000</v>
      </c>
    </row>
    <row r="86" spans="1:20" s="434" customFormat="1" ht="21.75" customHeight="1">
      <c r="A86" s="437" t="str">
        <f t="shared" si="29"/>
        <v>TP</v>
      </c>
      <c r="B86" s="751">
        <f t="shared" si="32"/>
        <v>12</v>
      </c>
      <c r="C86" s="439" t="s">
        <v>902</v>
      </c>
      <c r="D86" s="454" t="s">
        <v>330</v>
      </c>
      <c r="E86" s="25">
        <v>0</v>
      </c>
      <c r="F86" s="25">
        <v>0</v>
      </c>
      <c r="G86" s="25">
        <f t="array" ref="G86">SUM(IF("155"&amp;C86=KHN&amp;MH,SL))</f>
        <v>0</v>
      </c>
      <c r="H86" s="25">
        <f t="array" ref="H86">SUM(IF("155"&amp;C86=KHN&amp;MH,TH))</f>
        <v>0</v>
      </c>
      <c r="I86" s="25">
        <f t="array" ref="I86">SUM(IF("155"&amp;C86=KHC&amp;MH,SL))</f>
        <v>0</v>
      </c>
      <c r="J86" s="25">
        <f t="array" ref="J86">SUM(IF("155"&amp;C86=KHC&amp;MH,TH))</f>
        <v>0</v>
      </c>
      <c r="K86" s="8">
        <f t="shared" si="30"/>
        <v>0</v>
      </c>
      <c r="L86" s="8">
        <f t="shared" si="31"/>
        <v>0</v>
      </c>
      <c r="Q86" s="443" t="s">
        <v>830</v>
      </c>
      <c r="R86" s="1034">
        <v>8.5</v>
      </c>
      <c r="S86" s="8">
        <v>25000</v>
      </c>
    </row>
    <row r="87" spans="1:20" s="434" customFormat="1" ht="21.75" customHeight="1">
      <c r="A87" s="437" t="str">
        <f t="shared" si="29"/>
        <v>TP</v>
      </c>
      <c r="B87" s="751">
        <f t="shared" si="32"/>
        <v>13</v>
      </c>
      <c r="C87" s="443" t="s">
        <v>420</v>
      </c>
      <c r="D87" s="454" t="s">
        <v>330</v>
      </c>
      <c r="E87" s="25">
        <v>0</v>
      </c>
      <c r="F87" s="25">
        <v>0</v>
      </c>
      <c r="G87" s="25">
        <f t="array" ref="G87">SUM(IF("155"&amp;C87=KHN&amp;MH,SL))</f>
        <v>0</v>
      </c>
      <c r="H87" s="25">
        <f t="array" ref="H87">SUM(IF("155"&amp;C87=KHN&amp;MH,TH))</f>
        <v>0</v>
      </c>
      <c r="I87" s="25">
        <f t="array" ref="I87">SUM(IF("155"&amp;C87=KHC&amp;MH,SL))</f>
        <v>0</v>
      </c>
      <c r="J87" s="25">
        <f t="array" ref="J87">SUM(IF("155"&amp;C87=KHC&amp;MH,TH))</f>
        <v>0</v>
      </c>
      <c r="K87" s="8">
        <f t="shared" ref="K87:K88" si="36">E87+G87-I87</f>
        <v>0</v>
      </c>
      <c r="L87" s="8">
        <f t="shared" ref="L87:L88" si="37">F87+H87-J87</f>
        <v>0</v>
      </c>
      <c r="Q87" s="439" t="s">
        <v>836</v>
      </c>
      <c r="R87" s="1034">
        <v>5</v>
      </c>
      <c r="S87" s="8">
        <v>35000</v>
      </c>
    </row>
    <row r="88" spans="1:20" s="434" customFormat="1" ht="21.75" customHeight="1">
      <c r="A88" s="437" t="str">
        <f t="shared" si="29"/>
        <v>TP</v>
      </c>
      <c r="B88" s="751">
        <f t="shared" si="32"/>
        <v>14</v>
      </c>
      <c r="C88" s="1010" t="s">
        <v>824</v>
      </c>
      <c r="D88" s="454" t="s">
        <v>330</v>
      </c>
      <c r="E88" s="25">
        <v>0</v>
      </c>
      <c r="F88" s="25">
        <v>0</v>
      </c>
      <c r="G88" s="25">
        <f t="array" ref="G88">SUM(IF("155"&amp;C88=KHN&amp;MH,SL))</f>
        <v>0</v>
      </c>
      <c r="H88" s="25">
        <f t="array" ref="H88">SUM(IF("155"&amp;C88=KHN&amp;MH,TH))</f>
        <v>0</v>
      </c>
      <c r="I88" s="25">
        <f t="array" ref="I88">SUM(IF("155"&amp;C88=KHC&amp;MH,SL))</f>
        <v>0</v>
      </c>
      <c r="J88" s="25">
        <f t="array" ref="J88">SUM(IF("155"&amp;C88=KHC&amp;MH,TH))</f>
        <v>0</v>
      </c>
      <c r="K88" s="8">
        <f t="shared" si="36"/>
        <v>0</v>
      </c>
      <c r="L88" s="8">
        <f t="shared" si="37"/>
        <v>0</v>
      </c>
      <c r="Q88" s="1039" t="s">
        <v>835</v>
      </c>
      <c r="R88" s="1034">
        <v>5</v>
      </c>
      <c r="S88" s="8">
        <v>30000</v>
      </c>
    </row>
    <row r="89" spans="1:20" s="434" customFormat="1" ht="21.75" customHeight="1">
      <c r="A89" s="437" t="str">
        <f t="shared" si="29"/>
        <v>TP</v>
      </c>
      <c r="B89" s="751">
        <f t="shared" si="32"/>
        <v>15</v>
      </c>
      <c r="C89" s="446" t="s">
        <v>840</v>
      </c>
      <c r="D89" s="454" t="s">
        <v>330</v>
      </c>
      <c r="E89" s="25">
        <v>0</v>
      </c>
      <c r="F89" s="25">
        <v>0</v>
      </c>
      <c r="G89" s="25">
        <f t="array" ref="G89">SUM(IF("155"&amp;C89=KHN&amp;MH,SL))</f>
        <v>0</v>
      </c>
      <c r="H89" s="25">
        <f t="array" ref="H89">SUM(IF("155"&amp;C89=KHN&amp;MH,TH))</f>
        <v>0</v>
      </c>
      <c r="I89" s="25">
        <f t="array" ref="I89">SUM(IF("155"&amp;C89=KHC&amp;MH,SL))</f>
        <v>0</v>
      </c>
      <c r="J89" s="25">
        <f t="array" ref="J89">SUM(IF("155"&amp;C89=KHC&amp;MH,TH))</f>
        <v>0</v>
      </c>
      <c r="K89" s="8">
        <f t="shared" ref="K89:K104" si="38">E89+G89-I89</f>
        <v>0</v>
      </c>
      <c r="L89" s="8">
        <f t="shared" ref="L89:L104" si="39">F89+H89-J89</f>
        <v>0</v>
      </c>
      <c r="Q89" s="1039" t="s">
        <v>837</v>
      </c>
      <c r="R89" s="1034">
        <v>5</v>
      </c>
      <c r="S89" s="8">
        <v>30000</v>
      </c>
    </row>
    <row r="90" spans="1:20" s="434" customFormat="1" ht="21.75" customHeight="1">
      <c r="A90" s="437" t="str">
        <f t="shared" si="29"/>
        <v>TP</v>
      </c>
      <c r="B90" s="751">
        <f t="shared" si="32"/>
        <v>16</v>
      </c>
      <c r="C90" s="443" t="s">
        <v>832</v>
      </c>
      <c r="D90" s="454" t="s">
        <v>330</v>
      </c>
      <c r="E90" s="25">
        <v>0</v>
      </c>
      <c r="F90" s="25">
        <v>0</v>
      </c>
      <c r="G90" s="25">
        <f t="array" ref="G90">SUM(IF("155"&amp;C90=KHN&amp;MH,SL))</f>
        <v>0</v>
      </c>
      <c r="H90" s="25">
        <f t="array" ref="H90">SUM(IF("155"&amp;C90=KHN&amp;MH,TH))</f>
        <v>0</v>
      </c>
      <c r="I90" s="25">
        <f t="array" ref="I90">SUM(IF("155"&amp;C90=KHC&amp;MH,SL))</f>
        <v>0</v>
      </c>
      <c r="J90" s="25">
        <f t="array" ref="J90">SUM(IF("155"&amp;C90=KHC&amp;MH,TH))</f>
        <v>0</v>
      </c>
      <c r="K90" s="8">
        <f t="shared" si="38"/>
        <v>0</v>
      </c>
      <c r="L90" s="8">
        <f t="shared" si="39"/>
        <v>0</v>
      </c>
      <c r="N90" s="455"/>
      <c r="Q90" s="1039" t="s">
        <v>849</v>
      </c>
      <c r="R90" s="1034">
        <v>5</v>
      </c>
      <c r="S90" s="8">
        <v>28500</v>
      </c>
    </row>
    <row r="91" spans="1:20" s="434" customFormat="1" ht="21.75" customHeight="1">
      <c r="A91" s="437" t="str">
        <f t="shared" si="29"/>
        <v>TP</v>
      </c>
      <c r="B91" s="751">
        <f t="shared" si="32"/>
        <v>17</v>
      </c>
      <c r="C91" s="1010" t="s">
        <v>816</v>
      </c>
      <c r="D91" s="454" t="s">
        <v>330</v>
      </c>
      <c r="E91" s="8">
        <v>0</v>
      </c>
      <c r="F91" s="8">
        <v>0</v>
      </c>
      <c r="G91" s="25">
        <f t="array" ref="G91">SUM(IF("155"&amp;C91=KHN&amp;MH,SL))</f>
        <v>0</v>
      </c>
      <c r="H91" s="25">
        <f t="array" ref="H91">SUM(IF("155"&amp;C91=KHN&amp;MH,TH))</f>
        <v>0</v>
      </c>
      <c r="I91" s="25">
        <f t="array" ref="I91">SUM(IF("155"&amp;C91=KHC&amp;MH,SL))</f>
        <v>0</v>
      </c>
      <c r="J91" s="25">
        <f t="array" ref="J91">SUM(IF("155"&amp;C91=KHC&amp;MH,TH))</f>
        <v>0</v>
      </c>
      <c r="K91" s="8">
        <f t="shared" si="38"/>
        <v>0</v>
      </c>
      <c r="L91" s="8">
        <f t="shared" si="39"/>
        <v>0</v>
      </c>
      <c r="Q91" s="1039" t="s">
        <v>848</v>
      </c>
      <c r="R91" s="1034">
        <v>5</v>
      </c>
      <c r="S91" s="8">
        <v>60000</v>
      </c>
    </row>
    <row r="92" spans="1:20" s="434" customFormat="1" ht="21.75" customHeight="1">
      <c r="A92" s="437" t="str">
        <f t="shared" si="29"/>
        <v>TP</v>
      </c>
      <c r="B92" s="751">
        <f t="shared" si="32"/>
        <v>18</v>
      </c>
      <c r="C92" s="446" t="s">
        <v>841</v>
      </c>
      <c r="D92" s="454" t="s">
        <v>330</v>
      </c>
      <c r="E92" s="8">
        <v>0</v>
      </c>
      <c r="F92" s="8">
        <v>0</v>
      </c>
      <c r="G92" s="25">
        <f t="array" ref="G92">SUM(IF("155"&amp;C92=KHN&amp;MH,SL))</f>
        <v>0</v>
      </c>
      <c r="H92" s="25">
        <f t="array" ref="H92">SUM(IF("155"&amp;C92=KHN&amp;MH,TH))</f>
        <v>0</v>
      </c>
      <c r="I92" s="25">
        <f t="array" ref="I92">SUM(IF("155"&amp;C92=KHC&amp;MH,SL))</f>
        <v>0</v>
      </c>
      <c r="J92" s="25">
        <f t="array" ref="J92">SUM(IF("155"&amp;C92=KHC&amp;MH,TH))</f>
        <v>0</v>
      </c>
      <c r="K92" s="8">
        <f t="shared" si="38"/>
        <v>0</v>
      </c>
      <c r="L92" s="8">
        <f t="shared" si="39"/>
        <v>0</v>
      </c>
      <c r="Q92" s="1039" t="s">
        <v>845</v>
      </c>
      <c r="R92" s="1034">
        <v>5</v>
      </c>
      <c r="S92" s="8">
        <v>135000</v>
      </c>
    </row>
    <row r="93" spans="1:20" s="434" customFormat="1" ht="21.75" customHeight="1">
      <c r="A93" s="437" t="str">
        <f t="shared" si="29"/>
        <v>TP</v>
      </c>
      <c r="B93" s="751">
        <f t="shared" si="32"/>
        <v>19</v>
      </c>
      <c r="C93" s="443" t="s">
        <v>793</v>
      </c>
      <c r="D93" s="454" t="s">
        <v>330</v>
      </c>
      <c r="E93" s="8">
        <v>0</v>
      </c>
      <c r="F93" s="8">
        <v>0</v>
      </c>
      <c r="G93" s="25">
        <f t="array" ref="G93">SUM(IF("155"&amp;C93=KHN&amp;MH,SL))</f>
        <v>0</v>
      </c>
      <c r="H93" s="25">
        <f t="array" ref="H93">SUM(IF("155"&amp;C93=KHN&amp;MH,TH))</f>
        <v>0</v>
      </c>
      <c r="I93" s="25">
        <f t="array" ref="I93">SUM(IF("155"&amp;C93=KHC&amp;MH,SL))</f>
        <v>0</v>
      </c>
      <c r="J93" s="25">
        <f t="array" ref="J93">SUM(IF("155"&amp;C93=KHC&amp;MH,TH))</f>
        <v>0</v>
      </c>
      <c r="K93" s="8">
        <f t="shared" si="38"/>
        <v>0</v>
      </c>
      <c r="L93" s="8">
        <f t="shared" si="39"/>
        <v>0</v>
      </c>
      <c r="P93" s="455"/>
      <c r="Q93" s="1039" t="s">
        <v>420</v>
      </c>
      <c r="R93" s="1034">
        <v>4.5</v>
      </c>
      <c r="S93" s="8">
        <v>18500</v>
      </c>
    </row>
    <row r="94" spans="1:20" s="434" customFormat="1" ht="21.75" customHeight="1">
      <c r="A94" s="437" t="str">
        <f t="shared" si="29"/>
        <v>TP</v>
      </c>
      <c r="B94" s="751">
        <f t="shared" si="32"/>
        <v>20</v>
      </c>
      <c r="C94" s="443" t="s">
        <v>830</v>
      </c>
      <c r="D94" s="454" t="s">
        <v>330</v>
      </c>
      <c r="E94" s="8">
        <v>0</v>
      </c>
      <c r="F94" s="8">
        <v>0</v>
      </c>
      <c r="G94" s="25">
        <f t="array" ref="G94">SUM(IF("155"&amp;C94=KHN&amp;MH,SL))</f>
        <v>0</v>
      </c>
      <c r="H94" s="25">
        <f t="array" ref="H94">SUM(IF("155"&amp;C94=KHN&amp;MH,TH))</f>
        <v>0</v>
      </c>
      <c r="I94" s="25">
        <f t="array" ref="I94">SUM(IF("155"&amp;C94=KHC&amp;MH,SL))</f>
        <v>0</v>
      </c>
      <c r="J94" s="25">
        <f t="array" ref="J94">SUM(IF("155"&amp;C94=KHC&amp;MH,TH))</f>
        <v>0</v>
      </c>
      <c r="K94" s="8">
        <f t="shared" si="38"/>
        <v>0</v>
      </c>
      <c r="L94" s="8">
        <f t="shared" si="39"/>
        <v>0</v>
      </c>
      <c r="Q94" s="1039" t="s">
        <v>846</v>
      </c>
      <c r="R94" s="1034">
        <v>2.2000000000000002</v>
      </c>
      <c r="S94" s="8">
        <v>250000</v>
      </c>
    </row>
    <row r="95" spans="1:20" s="434" customFormat="1" ht="21.75" customHeight="1">
      <c r="A95" s="437" t="str">
        <f t="shared" si="29"/>
        <v>TP</v>
      </c>
      <c r="B95" s="751">
        <f t="shared" si="32"/>
        <v>21</v>
      </c>
      <c r="C95" s="443" t="s">
        <v>835</v>
      </c>
      <c r="D95" s="454" t="s">
        <v>330</v>
      </c>
      <c r="E95" s="8">
        <v>0</v>
      </c>
      <c r="F95" s="8">
        <v>0</v>
      </c>
      <c r="G95" s="25">
        <f t="array" ref="G95">SUM(IF("155"&amp;C95=KHN&amp;MH,SL))</f>
        <v>0</v>
      </c>
      <c r="H95" s="25">
        <f t="array" ref="H95">SUM(IF("155"&amp;C95=KHN&amp;MH,TH))</f>
        <v>0</v>
      </c>
      <c r="I95" s="25">
        <f t="array" ref="I95">SUM(IF("155"&amp;C95=KHC&amp;MH,SL))</f>
        <v>0</v>
      </c>
      <c r="J95" s="25">
        <f t="array" ref="J95">SUM(IF("155"&amp;C95=KHC&amp;MH,TH))</f>
        <v>0</v>
      </c>
      <c r="K95" s="8">
        <f t="shared" si="38"/>
        <v>0</v>
      </c>
      <c r="L95" s="8">
        <f t="shared" si="39"/>
        <v>0</v>
      </c>
      <c r="Q95" s="1039" t="s">
        <v>847</v>
      </c>
      <c r="R95" s="1034">
        <v>4</v>
      </c>
      <c r="S95" s="8">
        <v>100000</v>
      </c>
    </row>
    <row r="96" spans="1:20" s="434" customFormat="1" ht="21.75" customHeight="1">
      <c r="A96" s="437" t="str">
        <f t="shared" si="29"/>
        <v>TP</v>
      </c>
      <c r="B96" s="751">
        <f t="shared" si="32"/>
        <v>22</v>
      </c>
      <c r="C96" s="446" t="s">
        <v>837</v>
      </c>
      <c r="D96" s="454" t="s">
        <v>330</v>
      </c>
      <c r="E96" s="8">
        <v>0</v>
      </c>
      <c r="F96" s="8">
        <v>0</v>
      </c>
      <c r="G96" s="25">
        <f t="array" ref="G96">SUM(IF("155"&amp;C96=KHN&amp;MH,SL))</f>
        <v>0</v>
      </c>
      <c r="H96" s="25">
        <f t="array" ref="H96">SUM(IF("155"&amp;C96=KHN&amp;MH,TH))</f>
        <v>0</v>
      </c>
      <c r="I96" s="25">
        <f t="array" ref="I96">SUM(IF("155"&amp;C96=KHC&amp;MH,SL))</f>
        <v>0</v>
      </c>
      <c r="J96" s="25">
        <f t="array" ref="J96">SUM(IF("155"&amp;C96=KHC&amp;MH,TH))</f>
        <v>0</v>
      </c>
      <c r="K96" s="8">
        <f t="shared" si="38"/>
        <v>0</v>
      </c>
      <c r="L96" s="8">
        <f t="shared" si="39"/>
        <v>0</v>
      </c>
      <c r="Q96" s="1039" t="s">
        <v>840</v>
      </c>
      <c r="R96" s="1034">
        <v>5</v>
      </c>
      <c r="S96" s="8">
        <v>37000</v>
      </c>
    </row>
    <row r="97" spans="1:19" s="434" customFormat="1" ht="21.75" customHeight="1">
      <c r="A97" s="437" t="str">
        <f t="shared" si="29"/>
        <v>TP</v>
      </c>
      <c r="B97" s="751">
        <f t="shared" si="32"/>
        <v>23</v>
      </c>
      <c r="C97" s="443" t="s">
        <v>836</v>
      </c>
      <c r="D97" s="454" t="s">
        <v>330</v>
      </c>
      <c r="E97" s="8">
        <v>0</v>
      </c>
      <c r="F97" s="8">
        <v>0</v>
      </c>
      <c r="G97" s="25">
        <f t="array" ref="G97">SUM(IF("155"&amp;C97=KHN&amp;MH,SL))</f>
        <v>0</v>
      </c>
      <c r="H97" s="25">
        <f t="array" ref="H97">SUM(IF("155"&amp;C97=KHN&amp;MH,TH))</f>
        <v>0</v>
      </c>
      <c r="I97" s="25">
        <f t="array" ref="I97">SUM(IF("155"&amp;C97=KHC&amp;MH,SL))</f>
        <v>0</v>
      </c>
      <c r="J97" s="25">
        <f t="array" ref="J97">SUM(IF("155"&amp;C97=KHC&amp;MH,TH))</f>
        <v>0</v>
      </c>
      <c r="K97" s="8">
        <f t="shared" si="38"/>
        <v>0</v>
      </c>
      <c r="L97" s="8">
        <f t="shared" si="39"/>
        <v>0</v>
      </c>
      <c r="Q97" s="1039" t="s">
        <v>841</v>
      </c>
      <c r="R97" s="1034">
        <v>4.5</v>
      </c>
      <c r="S97" s="8">
        <v>57500</v>
      </c>
    </row>
    <row r="98" spans="1:19" s="434" customFormat="1" ht="21.75" customHeight="1">
      <c r="A98" s="437" t="str">
        <f t="shared" si="29"/>
        <v>TP</v>
      </c>
      <c r="B98" s="751">
        <f t="shared" si="32"/>
        <v>24</v>
      </c>
      <c r="C98" s="439" t="s">
        <v>794</v>
      </c>
      <c r="D98" s="454" t="s">
        <v>330</v>
      </c>
      <c r="E98" s="8">
        <v>0</v>
      </c>
      <c r="F98" s="8">
        <v>0</v>
      </c>
      <c r="G98" s="25">
        <f t="array" ref="G98">SUM(IF("155"&amp;C98=KHN&amp;MH,SL))</f>
        <v>0</v>
      </c>
      <c r="H98" s="25">
        <f t="array" ref="H98">SUM(IF("155"&amp;C98=KHN&amp;MH,TH))</f>
        <v>0</v>
      </c>
      <c r="I98" s="25">
        <f t="array" ref="I98">SUM(IF("155"&amp;C98=KHC&amp;MH,SL))</f>
        <v>0</v>
      </c>
      <c r="J98" s="25">
        <f t="array" ref="J98">SUM(IF("155"&amp;C98=KHC&amp;MH,TH))</f>
        <v>0</v>
      </c>
      <c r="K98" s="8">
        <f t="shared" si="38"/>
        <v>0</v>
      </c>
      <c r="L98" s="8">
        <f t="shared" si="39"/>
        <v>0</v>
      </c>
      <c r="Q98" s="1039" t="s">
        <v>851</v>
      </c>
      <c r="R98" s="1034">
        <v>5</v>
      </c>
      <c r="S98" s="8">
        <v>19500</v>
      </c>
    </row>
    <row r="99" spans="1:19" s="434" customFormat="1" ht="21.75" customHeight="1">
      <c r="A99" s="437" t="str">
        <f t="shared" si="29"/>
        <v>TP</v>
      </c>
      <c r="B99" s="751">
        <f t="shared" si="32"/>
        <v>25</v>
      </c>
      <c r="C99" s="1010" t="s">
        <v>846</v>
      </c>
      <c r="D99" s="454" t="s">
        <v>330</v>
      </c>
      <c r="E99" s="8">
        <v>0</v>
      </c>
      <c r="F99" s="8">
        <v>0</v>
      </c>
      <c r="G99" s="25">
        <f t="array" ref="G99">SUM(IF("155"&amp;C99=KHN&amp;MH,SL))</f>
        <v>0</v>
      </c>
      <c r="H99" s="25">
        <f t="array" ref="H99">SUM(IF("155"&amp;C99=KHN&amp;MH,TH))</f>
        <v>0</v>
      </c>
      <c r="I99" s="25">
        <f t="array" ref="I99">SUM(IF("155"&amp;C99=KHC&amp;MH,SL))</f>
        <v>0</v>
      </c>
      <c r="J99" s="25">
        <f t="array" ref="J99">SUM(IF("155"&amp;C99=KHC&amp;MH,TH))</f>
        <v>0</v>
      </c>
      <c r="K99" s="8">
        <f t="shared" si="38"/>
        <v>0</v>
      </c>
      <c r="L99" s="8">
        <f t="shared" si="39"/>
        <v>0</v>
      </c>
      <c r="Q99" s="1039" t="s">
        <v>857</v>
      </c>
      <c r="R99" s="1034">
        <v>9.5</v>
      </c>
      <c r="S99" s="8">
        <v>18500</v>
      </c>
    </row>
    <row r="100" spans="1:19" s="434" customFormat="1" ht="21.75" customHeight="1">
      <c r="A100" s="437" t="str">
        <f t="shared" si="29"/>
        <v>TP</v>
      </c>
      <c r="B100" s="751">
        <f t="shared" si="32"/>
        <v>26</v>
      </c>
      <c r="C100" s="1010" t="s">
        <v>850</v>
      </c>
      <c r="D100" s="454" t="s">
        <v>330</v>
      </c>
      <c r="E100" s="8">
        <v>0</v>
      </c>
      <c r="F100" s="8">
        <v>0</v>
      </c>
      <c r="G100" s="25">
        <f t="array" ref="G100">SUM(IF("155"&amp;C100=KHN&amp;MH,SL))</f>
        <v>0</v>
      </c>
      <c r="H100" s="25">
        <f t="array" ref="H100">SUM(IF("155"&amp;C100=KHN&amp;MH,TH))</f>
        <v>0</v>
      </c>
      <c r="I100" s="25">
        <f t="array" ref="I100">SUM(IF("155"&amp;C100=KHC&amp;MH,SL))</f>
        <v>0</v>
      </c>
      <c r="J100" s="25">
        <f t="array" ref="J100">SUM(IF("155"&amp;C100=KHC&amp;MH,TH))</f>
        <v>0</v>
      </c>
      <c r="K100" s="8">
        <f t="shared" si="38"/>
        <v>0</v>
      </c>
      <c r="L100" s="8">
        <f t="shared" si="39"/>
        <v>0</v>
      </c>
      <c r="Q100" s="1074" t="s">
        <v>915</v>
      </c>
      <c r="R100" s="1034">
        <v>2.7</v>
      </c>
      <c r="S100" s="8">
        <v>17700</v>
      </c>
    </row>
    <row r="101" spans="1:19" s="434" customFormat="1" ht="21.75" customHeight="1">
      <c r="A101" s="437" t="str">
        <f t="shared" si="29"/>
        <v>TP</v>
      </c>
      <c r="B101" s="751">
        <f t="shared" si="32"/>
        <v>27</v>
      </c>
      <c r="C101" s="439" t="s">
        <v>427</v>
      </c>
      <c r="D101" s="454" t="s">
        <v>330</v>
      </c>
      <c r="E101" s="8">
        <v>0</v>
      </c>
      <c r="F101" s="8">
        <v>0</v>
      </c>
      <c r="G101" s="25">
        <f t="array" ref="G101">SUM(IF("155"&amp;C101=KHN&amp;MH,SL))</f>
        <v>0</v>
      </c>
      <c r="H101" s="25">
        <f t="array" ref="H101">SUM(IF("155"&amp;C101=KHN&amp;MH,TH))</f>
        <v>0</v>
      </c>
      <c r="I101" s="25">
        <f t="array" ref="I101">SUM(IF("155"&amp;C101=KHC&amp;MH,SL))</f>
        <v>0</v>
      </c>
      <c r="J101" s="25">
        <f t="array" ref="J101">SUM(IF("155"&amp;C101=KHC&amp;MH,TH))</f>
        <v>0</v>
      </c>
      <c r="K101" s="8">
        <f t="shared" si="38"/>
        <v>0</v>
      </c>
      <c r="L101" s="8">
        <f t="shared" si="39"/>
        <v>0</v>
      </c>
      <c r="N101" s="455"/>
      <c r="O101" s="455"/>
      <c r="P101" s="455"/>
      <c r="Q101" s="1010" t="s">
        <v>824</v>
      </c>
      <c r="R101" s="1034">
        <v>2.5</v>
      </c>
      <c r="S101" s="8">
        <v>16500</v>
      </c>
    </row>
    <row r="102" spans="1:19" s="434" customFormat="1" ht="21.75" customHeight="1">
      <c r="A102" s="437" t="str">
        <f>IF(B102&lt;&gt;"","TP","")</f>
        <v>TP</v>
      </c>
      <c r="B102" s="751">
        <f t="shared" si="32"/>
        <v>28</v>
      </c>
      <c r="C102" s="1010" t="s">
        <v>795</v>
      </c>
      <c r="D102" s="454" t="s">
        <v>330</v>
      </c>
      <c r="E102" s="25">
        <v>0</v>
      </c>
      <c r="F102" s="25">
        <v>0</v>
      </c>
      <c r="G102" s="25">
        <f t="array" ref="G102">SUM(IF("155"&amp;C102=KHN&amp;MH,SL))</f>
        <v>0</v>
      </c>
      <c r="H102" s="25">
        <f t="array" ref="H102">SUM(IF("155"&amp;C102=KHN&amp;MH,TH))</f>
        <v>0</v>
      </c>
      <c r="I102" s="25">
        <f t="array" ref="I102">SUM(IF("155"&amp;C102=KHC&amp;MH,SL))</f>
        <v>0</v>
      </c>
      <c r="J102" s="25">
        <f t="array" ref="J102">SUM(IF("155"&amp;C102=KHC&amp;MH,TH))</f>
        <v>0</v>
      </c>
      <c r="K102" s="25">
        <f>E102+G102-I102</f>
        <v>0</v>
      </c>
      <c r="L102" s="25">
        <f>F102+H102-J102</f>
        <v>0</v>
      </c>
      <c r="M102" s="437"/>
      <c r="Q102" s="1074" t="s">
        <v>917</v>
      </c>
      <c r="R102" s="1034">
        <v>11.5</v>
      </c>
      <c r="S102" s="8">
        <v>16700</v>
      </c>
    </row>
    <row r="103" spans="1:19" s="434" customFormat="1" ht="21.75" customHeight="1">
      <c r="A103" s="437" t="str">
        <f t="shared" si="29"/>
        <v>TP</v>
      </c>
      <c r="B103" s="751">
        <f t="shared" si="32"/>
        <v>29</v>
      </c>
      <c r="C103" s="1010" t="s">
        <v>845</v>
      </c>
      <c r="D103" s="454" t="s">
        <v>330</v>
      </c>
      <c r="E103" s="8">
        <v>0</v>
      </c>
      <c r="F103" s="8">
        <v>0</v>
      </c>
      <c r="G103" s="25">
        <f t="array" ref="G103">SUM(IF("155"&amp;C103=KHN&amp;MH,SL))</f>
        <v>0</v>
      </c>
      <c r="H103" s="25">
        <f t="array" ref="H103">SUM(IF("155"&amp;C103=KHN&amp;MH,TH))</f>
        <v>0</v>
      </c>
      <c r="I103" s="25">
        <f t="array" ref="I103">SUM(IF("155"&amp;C103=KHC&amp;MH,SL))</f>
        <v>0</v>
      </c>
      <c r="J103" s="25">
        <f t="array" ref="J103">SUM(IF("155"&amp;C103=KHC&amp;MH,TH))</f>
        <v>0</v>
      </c>
      <c r="K103" s="8">
        <f t="shared" si="38"/>
        <v>0</v>
      </c>
      <c r="L103" s="8">
        <f t="shared" si="39"/>
        <v>0</v>
      </c>
      <c r="Q103" s="443" t="s">
        <v>918</v>
      </c>
      <c r="R103" s="1034">
        <v>11.5</v>
      </c>
      <c r="S103" s="8">
        <v>15400</v>
      </c>
    </row>
    <row r="104" spans="1:19" s="434" customFormat="1" ht="21.75" customHeight="1">
      <c r="A104" s="437" t="str">
        <f t="shared" si="29"/>
        <v>TP</v>
      </c>
      <c r="B104" s="751">
        <f t="shared" si="32"/>
        <v>30</v>
      </c>
      <c r="C104" s="1010" t="s">
        <v>847</v>
      </c>
      <c r="D104" s="454" t="s">
        <v>330</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si="38"/>
        <v>0</v>
      </c>
      <c r="L104" s="8">
        <f t="shared" si="39"/>
        <v>0</v>
      </c>
      <c r="Q104" s="443" t="s">
        <v>919</v>
      </c>
      <c r="R104" s="1034">
        <v>11</v>
      </c>
      <c r="S104" s="8">
        <v>17000</v>
      </c>
    </row>
    <row r="105" spans="1:19" s="434" customFormat="1" ht="21.75" customHeight="1">
      <c r="A105" s="437" t="str">
        <f t="shared" si="29"/>
        <v>TP</v>
      </c>
      <c r="B105" s="751">
        <f t="shared" si="32"/>
        <v>31</v>
      </c>
      <c r="C105" s="1010" t="s">
        <v>916</v>
      </c>
      <c r="D105" s="454" t="s">
        <v>330</v>
      </c>
      <c r="E105" s="8">
        <v>0</v>
      </c>
      <c r="F105" s="8">
        <v>0</v>
      </c>
      <c r="G105" s="25">
        <f t="array" ref="G105">SUM(IF("155"&amp;C105=KHN&amp;MH,SL))</f>
        <v>0</v>
      </c>
      <c r="H105" s="25">
        <f t="array" ref="H105">SUM(IF("155"&amp;C105=KHN&amp;MH,TH))</f>
        <v>0</v>
      </c>
      <c r="I105" s="25">
        <f t="array" ref="I105">SUM(IF("155"&amp;C105=KHC&amp;MH,SL))</f>
        <v>0</v>
      </c>
      <c r="J105" s="25">
        <f t="array" ref="J105">SUM(IF("155"&amp;C105=KHC&amp;MH,TH))</f>
        <v>0</v>
      </c>
      <c r="K105" s="8">
        <f t="shared" ref="K105:K109" si="40">E105+G105-I105</f>
        <v>0</v>
      </c>
      <c r="L105" s="8">
        <f t="shared" ref="L105:L109" si="41">F105+H105-J105</f>
        <v>0</v>
      </c>
      <c r="Q105" s="1010"/>
      <c r="R105" s="443"/>
      <c r="S105" s="8"/>
    </row>
    <row r="106" spans="1:19" s="434" customFormat="1" ht="21.75" customHeight="1">
      <c r="A106" s="437" t="str">
        <f t="shared" si="29"/>
        <v>TP</v>
      </c>
      <c r="B106" s="751">
        <f t="shared" ref="B106:B108" si="42">IF(C106&lt;&gt;"",B105+1,"")</f>
        <v>32</v>
      </c>
      <c r="C106" s="1010" t="s">
        <v>917</v>
      </c>
      <c r="D106" s="454" t="s">
        <v>330</v>
      </c>
      <c r="E106" s="8">
        <v>0</v>
      </c>
      <c r="F106" s="8">
        <v>0</v>
      </c>
      <c r="G106" s="25">
        <f t="array" ref="G106">SUM(IF("155"&amp;C106=KHN&amp;MH,SL))</f>
        <v>0</v>
      </c>
      <c r="H106" s="25">
        <f t="array" ref="H106">SUM(IF("155"&amp;C106=KHN&amp;MH,TH))</f>
        <v>0</v>
      </c>
      <c r="I106" s="25">
        <f t="array" ref="I106">SUM(IF("155"&amp;C106=KHC&amp;MH,SL))</f>
        <v>0</v>
      </c>
      <c r="J106" s="25">
        <f t="array" ref="J106">SUM(IF("155"&amp;C106=KHC&amp;MH,TH))</f>
        <v>0</v>
      </c>
      <c r="K106" s="8">
        <f t="shared" si="40"/>
        <v>0</v>
      </c>
      <c r="L106" s="8">
        <f t="shared" si="41"/>
        <v>0</v>
      </c>
      <c r="Q106" s="1010"/>
      <c r="R106" s="443"/>
      <c r="S106" s="8"/>
    </row>
    <row r="107" spans="1:19" s="434" customFormat="1" ht="21.75" customHeight="1">
      <c r="A107" s="437" t="str">
        <f t="shared" si="29"/>
        <v>TP</v>
      </c>
      <c r="B107" s="751">
        <f t="shared" si="42"/>
        <v>33</v>
      </c>
      <c r="C107" s="1010" t="s">
        <v>919</v>
      </c>
      <c r="D107" s="454" t="s">
        <v>330</v>
      </c>
      <c r="E107" s="8">
        <v>0</v>
      </c>
      <c r="F107" s="8">
        <v>0</v>
      </c>
      <c r="G107" s="25">
        <f t="array" ref="G107">SUM(IF("155"&amp;C107=KHN&amp;MH,SL))</f>
        <v>0</v>
      </c>
      <c r="H107" s="25">
        <f t="array" ref="H107">SUM(IF("155"&amp;C107=KHN&amp;MH,TH))</f>
        <v>0</v>
      </c>
      <c r="I107" s="25">
        <f t="array" ref="I107">SUM(IF("155"&amp;C107=KHC&amp;MH,SL))</f>
        <v>0</v>
      </c>
      <c r="J107" s="25">
        <f t="array" ref="J107">SUM(IF("155"&amp;C107=KHC&amp;MH,TH))</f>
        <v>0</v>
      </c>
      <c r="K107" s="8">
        <f t="shared" si="40"/>
        <v>0</v>
      </c>
      <c r="L107" s="8">
        <f t="shared" si="41"/>
        <v>0</v>
      </c>
      <c r="Q107" s="443"/>
      <c r="R107" s="443"/>
      <c r="S107" s="8"/>
    </row>
    <row r="108" spans="1:19" s="434" customFormat="1" ht="21.75" customHeight="1">
      <c r="A108" s="437" t="str">
        <f t="shared" si="29"/>
        <v/>
      </c>
      <c r="B108" s="751" t="str">
        <f t="shared" si="42"/>
        <v/>
      </c>
      <c r="C108" s="1010"/>
      <c r="D108" s="454" t="s">
        <v>330</v>
      </c>
      <c r="E108" s="8">
        <v>0</v>
      </c>
      <c r="F108" s="8">
        <v>0</v>
      </c>
      <c r="G108" s="25">
        <f t="array" ref="G108">SUM(IF("155"&amp;C108=KHN&amp;MH,SL))</f>
        <v>0</v>
      </c>
      <c r="H108" s="25">
        <f t="array" ref="H108">SUM(IF("155"&amp;C108=KHN&amp;MH,TH))</f>
        <v>0</v>
      </c>
      <c r="I108" s="25">
        <f t="array" ref="I108">SUM(IF("155"&amp;C108=KHC&amp;MH,SL))</f>
        <v>0</v>
      </c>
      <c r="J108" s="25">
        <f t="array" ref="J108">SUM(IF("155"&amp;C108=KHC&amp;MH,TH))</f>
        <v>0</v>
      </c>
      <c r="K108" s="8">
        <f t="shared" si="40"/>
        <v>0</v>
      </c>
      <c r="L108" s="8">
        <f t="shared" si="41"/>
        <v>0</v>
      </c>
      <c r="Q108" s="443"/>
      <c r="R108" s="443"/>
      <c r="S108" s="8"/>
    </row>
    <row r="109" spans="1:19" s="434" customFormat="1" ht="21.75" customHeight="1">
      <c r="A109" s="437" t="str">
        <f t="shared" si="29"/>
        <v/>
      </c>
      <c r="B109" s="751" t="str">
        <f t="shared" ref="B109" si="43">IF(C109&lt;&gt;"",B108+1,"")</f>
        <v/>
      </c>
      <c r="C109" s="1010"/>
      <c r="D109" s="454" t="s">
        <v>330</v>
      </c>
      <c r="E109" s="8">
        <v>0</v>
      </c>
      <c r="F109" s="8">
        <v>0</v>
      </c>
      <c r="G109" s="25">
        <f t="array" ref="G109">SUM(IF("155"&amp;C109=KHN&amp;MH,SL))</f>
        <v>0</v>
      </c>
      <c r="H109" s="25">
        <f t="array" ref="H109">SUM(IF("155"&amp;C109=KHN&amp;MH,TH))</f>
        <v>0</v>
      </c>
      <c r="I109" s="25">
        <f t="array" ref="I109">SUM(IF("155"&amp;C109=KHC&amp;MH,SL))</f>
        <v>0</v>
      </c>
      <c r="J109" s="25">
        <f t="array" ref="J109">SUM(IF("155"&amp;C109=KHC&amp;MH,TH))</f>
        <v>0</v>
      </c>
      <c r="K109" s="8">
        <f t="shared" si="40"/>
        <v>0</v>
      </c>
      <c r="L109" s="8">
        <f t="shared" si="41"/>
        <v>0</v>
      </c>
      <c r="Q109" s="443"/>
      <c r="R109" s="443"/>
      <c r="S109" s="8"/>
    </row>
    <row r="110" spans="1:19" s="434" customFormat="1" ht="21.75" customHeight="1">
      <c r="A110" s="437" t="str">
        <f t="shared" si="29"/>
        <v/>
      </c>
      <c r="B110" s="751"/>
      <c r="C110" s="1010"/>
      <c r="D110" s="454"/>
      <c r="E110" s="8"/>
      <c r="F110" s="8"/>
      <c r="G110" s="25"/>
      <c r="H110" s="25"/>
      <c r="I110" s="25"/>
      <c r="J110" s="25"/>
      <c r="K110" s="8"/>
      <c r="L110" s="8"/>
      <c r="Q110" s="443"/>
      <c r="R110" s="443"/>
      <c r="S110" s="8"/>
    </row>
    <row r="111" spans="1:19" s="434" customFormat="1" ht="21.75" customHeight="1">
      <c r="A111" s="437" t="str">
        <f t="shared" si="29"/>
        <v/>
      </c>
      <c r="B111" s="1177"/>
      <c r="C111" s="452" t="s">
        <v>429</v>
      </c>
      <c r="D111" s="1177"/>
      <c r="E111" s="13">
        <f t="shared" ref="E111:L111" si="44">SUM(E75:E110)</f>
        <v>24465.8</v>
      </c>
      <c r="F111" s="13">
        <f t="shared" si="44"/>
        <v>3468509299</v>
      </c>
      <c r="G111" s="13">
        <f t="shared" si="44"/>
        <v>0</v>
      </c>
      <c r="H111" s="13">
        <f t="shared" si="44"/>
        <v>0</v>
      </c>
      <c r="I111" s="13">
        <f t="shared" si="44"/>
        <v>0</v>
      </c>
      <c r="J111" s="13">
        <f t="shared" si="44"/>
        <v>0</v>
      </c>
      <c r="K111" s="13">
        <f t="shared" si="44"/>
        <v>24465.8</v>
      </c>
      <c r="L111" s="13">
        <f t="shared" si="44"/>
        <v>3468509299</v>
      </c>
      <c r="N111" s="1101"/>
      <c r="O111" s="1101"/>
      <c r="P111" s="1101"/>
      <c r="Q111" s="443"/>
      <c r="R111" s="443"/>
      <c r="S111" s="8"/>
    </row>
    <row r="112" spans="1:19" s="434" customFormat="1" ht="21.75" customHeight="1">
      <c r="A112" s="437"/>
      <c r="B112" s="754"/>
      <c r="C112" s="754"/>
      <c r="D112" s="754"/>
      <c r="E112" s="754"/>
      <c r="F112" s="754"/>
      <c r="G112" s="754"/>
      <c r="H112" s="754">
        <f>H111-CDPS!E28</f>
        <v>0</v>
      </c>
      <c r="I112" s="754"/>
      <c r="J112" s="754">
        <f>J111-CDPS!F28</f>
        <v>0</v>
      </c>
      <c r="K112" s="754"/>
      <c r="L112" s="754">
        <f>L111-CDPS!G28</f>
        <v>3468509299</v>
      </c>
      <c r="N112" s="1101"/>
      <c r="O112" s="1101"/>
      <c r="P112" s="1101"/>
      <c r="Q112" s="1101"/>
      <c r="R112" s="1101"/>
      <c r="S112" s="1101"/>
    </row>
    <row r="113" spans="1:21" s="434" customFormat="1" ht="21.75" customHeight="1">
      <c r="B113" s="1204"/>
      <c r="C113" s="1204"/>
      <c r="D113" s="1204"/>
      <c r="E113" s="1181"/>
      <c r="F113" s="457"/>
      <c r="G113" s="457"/>
      <c r="H113" s="457"/>
      <c r="I113" s="457"/>
      <c r="J113" s="1425" t="s">
        <v>892</v>
      </c>
      <c r="K113" s="1425"/>
      <c r="L113" s="1425"/>
      <c r="N113" s="1101"/>
      <c r="O113" s="1101"/>
      <c r="P113" s="1101"/>
      <c r="Q113" s="1101"/>
      <c r="R113" s="1101"/>
      <c r="S113" s="1101"/>
    </row>
    <row r="114" spans="1:21" s="434" customFormat="1" ht="21.75" customHeight="1">
      <c r="C114" s="1181"/>
      <c r="D114" s="1181"/>
      <c r="E114" s="1181"/>
      <c r="I114" s="457"/>
      <c r="J114" s="1425" t="s">
        <v>131</v>
      </c>
      <c r="K114" s="1425"/>
      <c r="L114" s="1425"/>
      <c r="N114" s="1101"/>
      <c r="O114" s="1101"/>
      <c r="P114" s="1101"/>
      <c r="Q114" s="1101"/>
      <c r="R114" s="1101"/>
      <c r="S114" s="1101"/>
    </row>
    <row r="115" spans="1:21" s="434" customFormat="1" ht="21.75" customHeight="1">
      <c r="C115" s="1181" t="s">
        <v>11</v>
      </c>
      <c r="D115" s="1181"/>
      <c r="E115" s="1181"/>
      <c r="F115" s="1425" t="s">
        <v>12</v>
      </c>
      <c r="G115" s="1425"/>
      <c r="H115" s="1425"/>
      <c r="J115" s="1425" t="s">
        <v>161</v>
      </c>
      <c r="K115" s="1425"/>
      <c r="L115" s="1425"/>
      <c r="N115" s="1101"/>
      <c r="O115" s="1101"/>
      <c r="P115" s="1101"/>
      <c r="Q115" s="1101"/>
      <c r="R115" s="1101"/>
      <c r="S115" s="1101"/>
    </row>
    <row r="116" spans="1:21" s="434" customFormat="1" ht="15.75" customHeight="1">
      <c r="C116" s="1181" t="s">
        <v>13</v>
      </c>
      <c r="D116" s="435"/>
      <c r="E116" s="456"/>
      <c r="F116" s="1425" t="s">
        <v>13</v>
      </c>
      <c r="G116" s="1425"/>
      <c r="H116" s="1425"/>
      <c r="I116" s="437"/>
      <c r="J116" s="437"/>
      <c r="K116" s="437"/>
      <c r="L116" s="437"/>
      <c r="N116" s="1101"/>
      <c r="O116" s="1101"/>
      <c r="P116" s="1101"/>
      <c r="Q116" s="1101"/>
      <c r="R116" s="1101"/>
      <c r="S116" s="1101"/>
      <c r="T116" s="1101"/>
      <c r="U116" s="1101"/>
    </row>
    <row r="117" spans="1:21" s="434" customFormat="1" ht="15.75" customHeight="1">
      <c r="D117" s="435"/>
      <c r="E117" s="456"/>
      <c r="F117" s="456"/>
      <c r="G117" s="437"/>
      <c r="H117" s="437"/>
      <c r="I117" s="437"/>
      <c r="J117" s="437"/>
      <c r="K117" s="437"/>
      <c r="L117" s="437"/>
      <c r="N117" s="1101"/>
      <c r="O117" s="1101"/>
      <c r="P117" s="1101"/>
      <c r="Q117" s="1101"/>
      <c r="R117" s="1101"/>
      <c r="S117" s="1101"/>
      <c r="T117" s="1101"/>
      <c r="U117" s="1101"/>
    </row>
    <row r="118" spans="1:21" s="434" customFormat="1" ht="15.75" customHeight="1">
      <c r="A118" s="1101"/>
      <c r="B118" s="1101"/>
      <c r="D118" s="1101"/>
      <c r="E118" s="1101"/>
      <c r="F118" s="1101"/>
      <c r="G118" s="1101"/>
      <c r="H118" s="1101"/>
      <c r="I118" s="1101"/>
      <c r="J118" s="1101"/>
      <c r="K118" s="1101"/>
      <c r="L118" s="1101"/>
      <c r="N118" s="1101"/>
      <c r="O118" s="1101"/>
      <c r="P118" s="1101"/>
      <c r="Q118" s="1101"/>
      <c r="R118" s="1101"/>
      <c r="S118" s="1101"/>
      <c r="T118" s="1101"/>
      <c r="U118" s="1101"/>
    </row>
    <row r="119" spans="1:21" s="434" customFormat="1" ht="15.75" customHeight="1">
      <c r="A119" s="1101"/>
      <c r="B119" s="1101"/>
      <c r="C119" s="1101"/>
      <c r="D119" s="1101"/>
      <c r="E119" s="1101"/>
      <c r="F119" s="1101"/>
      <c r="G119" s="1101"/>
      <c r="H119" s="1101"/>
      <c r="I119" s="1101"/>
      <c r="J119" s="1101"/>
      <c r="K119" s="1101"/>
      <c r="L119" s="1101"/>
      <c r="N119" s="1101"/>
      <c r="O119" s="1101"/>
      <c r="P119" s="1101"/>
      <c r="Q119" s="1101"/>
      <c r="R119" s="1101"/>
      <c r="S119" s="1101"/>
      <c r="T119" s="1101"/>
      <c r="U119" s="1101"/>
    </row>
    <row r="120" spans="1:21" s="434" customFormat="1" ht="15.75" customHeight="1">
      <c r="A120" s="1101"/>
      <c r="B120" s="1101"/>
      <c r="C120" s="1101"/>
      <c r="D120" s="1101"/>
      <c r="E120" s="1101"/>
      <c r="F120" s="1101"/>
      <c r="G120" s="1101"/>
      <c r="H120" s="1101"/>
      <c r="I120" s="1101"/>
      <c r="J120" s="1101"/>
      <c r="K120" s="1101"/>
      <c r="L120" s="1101"/>
      <c r="N120" s="1101"/>
      <c r="O120" s="1101"/>
      <c r="P120" s="1101"/>
      <c r="Q120" s="1101"/>
      <c r="R120" s="1101"/>
      <c r="S120" s="1101"/>
      <c r="T120" s="1101"/>
      <c r="U120" s="1101"/>
    </row>
    <row r="121" spans="1:21" s="434" customFormat="1" ht="15.75" customHeight="1">
      <c r="A121" s="1101"/>
      <c r="B121" s="1101"/>
      <c r="C121" s="1101"/>
      <c r="D121" s="1101"/>
      <c r="E121" s="1101"/>
      <c r="F121" s="1101"/>
      <c r="G121" s="1101"/>
      <c r="H121" s="1101"/>
      <c r="I121" s="1101"/>
      <c r="J121" s="1101"/>
      <c r="K121" s="1101"/>
      <c r="L121" s="1101"/>
      <c r="N121" s="1101"/>
      <c r="O121" s="1101"/>
      <c r="P121" s="1101"/>
      <c r="Q121" s="1101"/>
      <c r="R121" s="1101"/>
      <c r="S121" s="1101"/>
      <c r="T121" s="1101"/>
      <c r="U121" s="1101"/>
    </row>
    <row r="122" spans="1:21" s="434" customFormat="1" ht="15.75" customHeight="1">
      <c r="A122" s="1101"/>
      <c r="B122" s="1101"/>
      <c r="C122" s="1101"/>
      <c r="D122" s="1101"/>
      <c r="E122" s="1101"/>
      <c r="F122" s="1101"/>
      <c r="G122" s="1101"/>
      <c r="H122" s="1101"/>
      <c r="I122" s="1101"/>
      <c r="J122" s="1101"/>
      <c r="K122" s="1101"/>
      <c r="L122" s="1101"/>
      <c r="N122" s="1101"/>
      <c r="O122" s="1101"/>
      <c r="P122" s="1101"/>
      <c r="Q122" s="1101"/>
      <c r="R122" s="1101"/>
      <c r="S122" s="1101"/>
      <c r="T122" s="1101"/>
      <c r="U122" s="1101"/>
    </row>
    <row r="123" spans="1:21" s="434" customFormat="1" ht="15.75" customHeight="1">
      <c r="A123" s="1101"/>
      <c r="B123" s="1101"/>
      <c r="C123" s="1101"/>
      <c r="D123" s="1101"/>
      <c r="E123" s="1101"/>
      <c r="F123" s="1101"/>
      <c r="G123" s="1101"/>
      <c r="H123" s="1101"/>
      <c r="I123" s="1101"/>
      <c r="J123" s="1101"/>
      <c r="K123" s="1101"/>
      <c r="L123" s="1101"/>
      <c r="N123" s="1101"/>
      <c r="O123" s="1101"/>
      <c r="P123" s="1101"/>
      <c r="Q123" s="1101"/>
      <c r="R123" s="1101"/>
      <c r="S123" s="1101"/>
      <c r="T123" s="1101"/>
      <c r="U123" s="1101"/>
    </row>
    <row r="124" spans="1:21" s="434" customFormat="1" ht="15.75" customHeight="1">
      <c r="A124" s="1101"/>
      <c r="B124" s="1101"/>
      <c r="C124" s="1101"/>
      <c r="D124" s="1101"/>
      <c r="E124" s="1101"/>
      <c r="F124" s="1101"/>
      <c r="G124" s="1101"/>
      <c r="H124" s="1101"/>
      <c r="I124" s="1101"/>
      <c r="J124" s="1101"/>
      <c r="K124" s="1101"/>
      <c r="L124" s="1101"/>
      <c r="N124" s="1101"/>
      <c r="O124" s="1101"/>
      <c r="P124" s="1101"/>
      <c r="Q124" s="1101"/>
      <c r="R124" s="1101"/>
      <c r="S124" s="1101"/>
      <c r="T124" s="1101"/>
      <c r="U124" s="1101"/>
    </row>
    <row r="125" spans="1:21" s="434" customFormat="1" ht="15.75" customHeight="1">
      <c r="A125" s="1101"/>
      <c r="B125" s="1101"/>
      <c r="C125" s="1101"/>
      <c r="D125" s="1101"/>
      <c r="E125" s="1101"/>
      <c r="F125" s="1101"/>
      <c r="G125" s="1101"/>
      <c r="H125" s="1101"/>
      <c r="I125" s="1101"/>
      <c r="J125" s="1101"/>
      <c r="K125" s="1101"/>
      <c r="L125" s="1101"/>
      <c r="N125" s="1101"/>
      <c r="O125" s="1101"/>
      <c r="P125" s="1101"/>
      <c r="Q125" s="1101"/>
      <c r="R125" s="1101"/>
      <c r="S125" s="1101"/>
      <c r="T125" s="1101"/>
      <c r="U125" s="1101"/>
    </row>
    <row r="126" spans="1:21" s="434" customFormat="1" ht="15.75" customHeight="1">
      <c r="A126" s="1101"/>
      <c r="B126" s="1101"/>
      <c r="C126" s="1101"/>
      <c r="D126" s="1101"/>
      <c r="E126" s="1101"/>
      <c r="F126" s="1101"/>
      <c r="G126" s="1101"/>
      <c r="H126" s="1101"/>
      <c r="I126" s="1101"/>
      <c r="J126" s="1101"/>
      <c r="K126" s="1101"/>
      <c r="L126" s="1101"/>
      <c r="N126" s="1101"/>
      <c r="O126" s="1101"/>
      <c r="P126" s="1101"/>
      <c r="Q126" s="1101"/>
      <c r="R126" s="1101"/>
      <c r="S126" s="1101"/>
      <c r="T126" s="1101"/>
      <c r="U126" s="1101"/>
    </row>
    <row r="127" spans="1:21" s="434" customFormat="1">
      <c r="A127" s="1101"/>
      <c r="B127" s="1101"/>
      <c r="C127" s="1101"/>
      <c r="D127" s="1101"/>
      <c r="E127" s="1101"/>
      <c r="F127" s="1101"/>
      <c r="G127" s="1101"/>
      <c r="H127" s="1101"/>
      <c r="I127" s="1101"/>
      <c r="J127" s="1101"/>
      <c r="K127" s="1101"/>
      <c r="L127" s="1101"/>
      <c r="N127" s="1101"/>
      <c r="O127" s="1101"/>
      <c r="P127" s="1101"/>
      <c r="Q127" s="1101"/>
      <c r="R127" s="1101"/>
      <c r="S127" s="1101"/>
      <c r="T127" s="1101"/>
      <c r="U127" s="1101"/>
    </row>
    <row r="128" spans="1:21" s="434" customFormat="1">
      <c r="A128" s="1101"/>
      <c r="B128" s="1101"/>
      <c r="C128" s="1101"/>
      <c r="D128" s="1101"/>
      <c r="E128" s="1101"/>
      <c r="F128" s="1101"/>
      <c r="G128" s="1101"/>
      <c r="H128" s="1101"/>
      <c r="I128" s="1101"/>
      <c r="J128" s="1101"/>
      <c r="K128" s="1101"/>
      <c r="L128" s="1101"/>
      <c r="N128" s="1101"/>
      <c r="O128" s="1101"/>
      <c r="P128" s="1101"/>
      <c r="Q128" s="1101"/>
      <c r="R128" s="1101"/>
      <c r="S128" s="1101"/>
      <c r="T128" s="1101"/>
      <c r="U128" s="1101"/>
    </row>
    <row r="129" spans="1:21" s="434" customFormat="1">
      <c r="A129" s="1101"/>
      <c r="B129" s="1101"/>
      <c r="C129" s="1101"/>
      <c r="D129" s="1101"/>
      <c r="E129" s="1101"/>
      <c r="F129" s="1101"/>
      <c r="G129" s="1101"/>
      <c r="H129" s="1101"/>
      <c r="I129" s="1101"/>
      <c r="J129" s="1101"/>
      <c r="K129" s="1101"/>
      <c r="L129" s="1101"/>
      <c r="N129" s="1101"/>
      <c r="O129" s="1101"/>
      <c r="P129" s="1101"/>
      <c r="Q129" s="1101"/>
      <c r="R129" s="1101"/>
      <c r="S129" s="1101"/>
      <c r="T129" s="1101"/>
      <c r="U129" s="1101"/>
    </row>
    <row r="130" spans="1:21" s="434" customFormat="1">
      <c r="A130" s="1101"/>
      <c r="B130" s="1101"/>
      <c r="C130" s="1101"/>
      <c r="D130" s="1101"/>
      <c r="E130" s="1101"/>
      <c r="F130" s="1101"/>
      <c r="G130" s="1101"/>
      <c r="H130" s="1101"/>
      <c r="I130" s="1101"/>
      <c r="J130" s="1101"/>
      <c r="K130" s="1101"/>
      <c r="L130" s="1101"/>
      <c r="N130" s="1101"/>
      <c r="O130" s="1101"/>
      <c r="P130" s="1101"/>
      <c r="Q130" s="1101"/>
      <c r="R130" s="1101"/>
      <c r="S130" s="1101"/>
      <c r="T130" s="1101"/>
      <c r="U130" s="1101"/>
    </row>
    <row r="131" spans="1:21" s="434" customFormat="1">
      <c r="A131" s="1101"/>
      <c r="B131" s="1101"/>
      <c r="C131" s="1101"/>
      <c r="D131" s="1101"/>
      <c r="E131" s="1101"/>
      <c r="F131" s="1101"/>
      <c r="G131" s="1101"/>
      <c r="H131" s="1101"/>
      <c r="I131" s="1101"/>
      <c r="J131" s="1101"/>
      <c r="K131" s="1101"/>
      <c r="L131" s="1101"/>
      <c r="N131" s="1101"/>
      <c r="O131" s="1101"/>
      <c r="P131" s="1101"/>
      <c r="Q131" s="1101"/>
      <c r="R131" s="1101"/>
      <c r="S131" s="1101"/>
      <c r="T131" s="1101"/>
      <c r="U131" s="1101"/>
    </row>
    <row r="132" spans="1:21" s="434" customFormat="1">
      <c r="A132" s="1101"/>
      <c r="B132" s="1101"/>
      <c r="C132" s="1101"/>
      <c r="D132" s="1101"/>
      <c r="E132" s="1101"/>
      <c r="F132" s="1101"/>
      <c r="G132" s="1101"/>
      <c r="H132" s="1101"/>
      <c r="I132" s="1101"/>
      <c r="J132" s="1101"/>
      <c r="K132" s="1101"/>
      <c r="L132" s="1101"/>
      <c r="N132" s="1101"/>
      <c r="O132" s="1101"/>
      <c r="P132" s="1101"/>
      <c r="Q132" s="1101"/>
      <c r="R132" s="1101"/>
      <c r="S132" s="1101"/>
      <c r="T132" s="1101"/>
      <c r="U132" s="1101"/>
    </row>
    <row r="133" spans="1:21" s="434" customFormat="1">
      <c r="A133" s="1101"/>
      <c r="B133" s="1101"/>
      <c r="C133" s="1101"/>
      <c r="D133" s="1101"/>
      <c r="E133" s="1101"/>
      <c r="F133" s="1101"/>
      <c r="G133" s="1101"/>
      <c r="H133" s="1101"/>
      <c r="I133" s="1101"/>
      <c r="J133" s="1101"/>
      <c r="K133" s="1101"/>
      <c r="L133" s="1101"/>
      <c r="N133" s="1101"/>
      <c r="O133" s="1101"/>
      <c r="P133" s="1101"/>
      <c r="Q133" s="1101"/>
      <c r="R133" s="1101"/>
      <c r="S133" s="1101"/>
      <c r="T133" s="1101"/>
      <c r="U133" s="1101"/>
    </row>
    <row r="134" spans="1:21" s="434" customFormat="1">
      <c r="A134" s="1101"/>
      <c r="B134" s="1101"/>
      <c r="C134" s="1101"/>
      <c r="D134" s="1101"/>
      <c r="E134" s="1101"/>
      <c r="F134" s="1101"/>
      <c r="G134" s="1101"/>
      <c r="H134" s="1101"/>
      <c r="I134" s="1101"/>
      <c r="J134" s="1101"/>
      <c r="K134" s="1101"/>
      <c r="L134" s="1101"/>
      <c r="N134" s="1101"/>
      <c r="O134" s="1101"/>
      <c r="P134" s="1101"/>
      <c r="Q134" s="1101"/>
      <c r="R134" s="1101"/>
      <c r="S134" s="1101"/>
      <c r="T134" s="1101"/>
      <c r="U134" s="1101"/>
    </row>
    <row r="135" spans="1:21" s="434" customFormat="1">
      <c r="A135" s="1101"/>
      <c r="B135" s="1101"/>
      <c r="C135" s="1101"/>
      <c r="D135" s="1101"/>
      <c r="E135" s="1101"/>
      <c r="F135" s="1101"/>
      <c r="G135" s="1101"/>
      <c r="H135" s="1101"/>
      <c r="I135" s="1101"/>
      <c r="J135" s="1101"/>
      <c r="K135" s="1101"/>
      <c r="L135" s="1101"/>
      <c r="N135" s="1101"/>
      <c r="O135" s="1101"/>
      <c r="P135" s="1101"/>
      <c r="Q135" s="1101"/>
      <c r="R135" s="1101"/>
      <c r="S135" s="1101"/>
      <c r="T135" s="1101"/>
      <c r="U135" s="1101"/>
    </row>
    <row r="136" spans="1:21" s="434" customFormat="1">
      <c r="A136" s="1101"/>
      <c r="B136" s="1101"/>
      <c r="C136" s="1101"/>
      <c r="D136" s="1101"/>
      <c r="E136" s="1101"/>
      <c r="F136" s="1101"/>
      <c r="G136" s="1101"/>
      <c r="H136" s="1101"/>
      <c r="I136" s="1101"/>
      <c r="J136" s="1101"/>
      <c r="K136" s="1101"/>
      <c r="L136" s="1101"/>
      <c r="N136" s="1101"/>
      <c r="O136" s="1101"/>
      <c r="P136" s="1101"/>
      <c r="Q136" s="1101"/>
      <c r="R136" s="1101"/>
      <c r="S136" s="1101"/>
      <c r="T136" s="1101"/>
      <c r="U136" s="1101"/>
    </row>
    <row r="137" spans="1:21" s="434" customFormat="1">
      <c r="A137" s="1101"/>
      <c r="B137" s="1101"/>
      <c r="C137" s="1101"/>
      <c r="D137" s="1101"/>
      <c r="E137" s="1101"/>
      <c r="F137" s="1101"/>
      <c r="G137" s="1101"/>
      <c r="H137" s="1101"/>
      <c r="I137" s="1101"/>
      <c r="J137" s="1101"/>
      <c r="K137" s="1101"/>
      <c r="L137" s="1101"/>
      <c r="N137" s="1101"/>
      <c r="O137" s="1101"/>
      <c r="P137" s="1101"/>
      <c r="Q137" s="1101"/>
      <c r="R137" s="1101"/>
      <c r="S137" s="1101"/>
      <c r="T137" s="1101"/>
      <c r="U137" s="1101"/>
    </row>
  </sheetData>
  <autoFilter ref="A71:U116"/>
  <sortState ref="C22:L49">
    <sortCondition ref="C22:C49"/>
  </sortState>
  <mergeCells count="26">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16:H116"/>
    <mergeCell ref="F115:H115"/>
    <mergeCell ref="J115:L115"/>
    <mergeCell ref="S8:S10"/>
    <mergeCell ref="J113:L113"/>
    <mergeCell ref="J114:L114"/>
  </mergeCells>
  <dataValidations count="1">
    <dataValidation type="list" allowBlank="1" showInputMessage="1" showErrorMessage="1" sqref="Q85:Q87">
      <formula1>Loai3</formula1>
    </dataValidation>
  </dataValidations>
  <pageMargins left="0.71" right="0" top="0"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P126"/>
  <sheetViews>
    <sheetView topLeftCell="A5" zoomScale="90" workbookViewId="0">
      <pane ySplit="9" topLeftCell="A14" activePane="bottomLeft" state="frozen"/>
      <selection activeCell="P41" sqref="P41"/>
      <selection pane="bottomLeft" activeCell="P41" sqref="P41"/>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496" t="s">
        <v>442</v>
      </c>
      <c r="B1" s="497"/>
      <c r="C1" s="497"/>
      <c r="D1" s="497"/>
      <c r="E1" s="497"/>
      <c r="F1" s="497"/>
      <c r="G1" s="497"/>
      <c r="H1" s="497"/>
      <c r="I1" s="497"/>
      <c r="J1" s="497"/>
      <c r="K1" s="497"/>
      <c r="L1" s="497"/>
      <c r="M1" s="497"/>
      <c r="N1" s="497"/>
      <c r="O1" s="498"/>
      <c r="P1" s="497"/>
    </row>
    <row r="2" spans="1:16" ht="16.5" customHeight="1">
      <c r="A2" s="399"/>
      <c r="B2" s="499" t="s">
        <v>306</v>
      </c>
      <c r="C2" s="500"/>
      <c r="D2" s="501"/>
      <c r="E2" s="502"/>
      <c r="F2" s="2"/>
      <c r="G2" s="399"/>
      <c r="H2" s="399"/>
      <c r="I2" s="399"/>
      <c r="J2" s="1439" t="s">
        <v>443</v>
      </c>
      <c r="K2" s="1439"/>
      <c r="L2" s="1439"/>
      <c r="M2" s="1439"/>
      <c r="N2" s="503"/>
      <c r="O2" s="399"/>
      <c r="P2" s="399"/>
    </row>
    <row r="3" spans="1:16" ht="16.5" customHeight="1">
      <c r="A3" s="399"/>
      <c r="B3" s="499" t="s">
        <v>308</v>
      </c>
      <c r="C3" s="499"/>
      <c r="D3" s="499"/>
      <c r="E3" s="504"/>
      <c r="F3" s="499"/>
      <c r="G3" s="399"/>
      <c r="H3" s="399"/>
      <c r="I3" s="399"/>
      <c r="J3" s="1440" t="s">
        <v>50</v>
      </c>
      <c r="K3" s="1440"/>
      <c r="L3" s="1440"/>
      <c r="M3" s="1440"/>
      <c r="N3" s="505"/>
      <c r="O3" s="399"/>
      <c r="P3" s="399"/>
    </row>
    <row r="4" spans="1:16" ht="16.5" customHeight="1">
      <c r="A4" s="399"/>
      <c r="B4" s="499"/>
      <c r="C4" s="499"/>
      <c r="D4" s="499"/>
      <c r="E4" s="504"/>
      <c r="F4" s="499"/>
      <c r="G4" s="399"/>
      <c r="H4" s="399"/>
      <c r="I4" s="399"/>
      <c r="J4" s="1440"/>
      <c r="K4" s="1440"/>
      <c r="L4" s="1440"/>
      <c r="M4" s="1440"/>
      <c r="N4" s="505"/>
      <c r="O4" s="399"/>
      <c r="P4" s="399"/>
    </row>
    <row r="5" spans="1:16" ht="18.75" customHeight="1">
      <c r="A5" s="497"/>
      <c r="B5" s="1441" t="s">
        <v>444</v>
      </c>
      <c r="C5" s="1441"/>
      <c r="D5" s="1441"/>
      <c r="E5" s="1441"/>
      <c r="F5" s="1441"/>
      <c r="G5" s="1441"/>
      <c r="H5" s="1441"/>
      <c r="I5" s="1441"/>
      <c r="J5" s="1441"/>
      <c r="K5" s="1441"/>
      <c r="L5" s="1441"/>
      <c r="M5" s="1441"/>
      <c r="N5" s="506"/>
      <c r="O5" s="497"/>
      <c r="P5" s="497"/>
    </row>
    <row r="6" spans="1:16">
      <c r="A6" s="507"/>
      <c r="B6" s="1442" t="str">
        <f>"Năm: "&amp;YEAR(TH!$C$10)</f>
        <v>Năm: 2018</v>
      </c>
      <c r="C6" s="1442"/>
      <c r="D6" s="1442"/>
      <c r="E6" s="1442"/>
      <c r="F6" s="1442"/>
      <c r="G6" s="1442"/>
      <c r="H6" s="1442"/>
      <c r="I6" s="1442"/>
      <c r="J6" s="1442"/>
      <c r="K6" s="1442"/>
      <c r="L6" s="1442"/>
      <c r="M6" s="1442"/>
      <c r="N6" s="508"/>
      <c r="O6" s="507"/>
      <c r="P6" s="507"/>
    </row>
    <row r="7" spans="1:16" ht="15">
      <c r="A7" s="497"/>
      <c r="B7" s="497"/>
      <c r="C7" s="509"/>
      <c r="D7" s="509"/>
      <c r="E7" s="510"/>
      <c r="F7" s="511" t="s">
        <v>589</v>
      </c>
      <c r="G7" s="739" t="str">
        <f>IF($O$10="VL","1522",IF($O$10="NL","1521",IF($O$10="TP","155","")))</f>
        <v>1521</v>
      </c>
      <c r="H7" s="511" t="s">
        <v>445</v>
      </c>
      <c r="I7" s="509" t="str">
        <f>IF($O$10="NL","Nguyên Liệu",IF($O$10="TP","Thành Phẩm",IF($O$10="VL","Vật Liệu","")))</f>
        <v>Nguyên Liệu</v>
      </c>
      <c r="J7" s="509"/>
      <c r="K7" s="509"/>
      <c r="L7" s="509"/>
      <c r="M7" s="509"/>
      <c r="N7" s="510"/>
      <c r="O7" s="497"/>
      <c r="P7" s="497"/>
    </row>
    <row r="8" spans="1:16" ht="15">
      <c r="A8" s="497"/>
      <c r="B8" s="510"/>
      <c r="C8" s="509"/>
      <c r="D8" s="509"/>
      <c r="E8" s="510"/>
      <c r="F8" s="510" t="s">
        <v>446</v>
      </c>
      <c r="G8" s="497"/>
      <c r="H8" s="509"/>
      <c r="I8" s="509"/>
      <c r="J8" s="1443" t="s">
        <v>845</v>
      </c>
      <c r="K8" s="1443"/>
      <c r="L8" s="1443"/>
      <c r="M8" s="509"/>
      <c r="N8" s="509"/>
      <c r="O8" s="497"/>
      <c r="P8" s="497"/>
    </row>
    <row r="9" spans="1:16" ht="15">
      <c r="A9" s="497"/>
      <c r="B9" s="497"/>
      <c r="C9" s="497"/>
      <c r="D9" s="512"/>
      <c r="E9" s="513"/>
      <c r="F9" s="512"/>
      <c r="G9" s="512"/>
      <c r="H9" s="512"/>
      <c r="I9" s="512"/>
      <c r="J9" s="512"/>
      <c r="K9" s="512" t="s">
        <v>148</v>
      </c>
      <c r="L9" s="497"/>
      <c r="M9" s="514"/>
      <c r="N9" s="515"/>
      <c r="O9" s="497"/>
      <c r="P9" s="497"/>
    </row>
    <row r="10" spans="1:16" ht="15.75" customHeight="1">
      <c r="A10" s="1444" t="s">
        <v>37</v>
      </c>
      <c r="B10" s="1445" t="s">
        <v>1</v>
      </c>
      <c r="C10" s="1445"/>
      <c r="D10" s="1446" t="s">
        <v>0</v>
      </c>
      <c r="E10" s="1446" t="s">
        <v>447</v>
      </c>
      <c r="F10" s="1446" t="s">
        <v>436</v>
      </c>
      <c r="G10" s="1448" t="s">
        <v>448</v>
      </c>
      <c r="H10" s="1449"/>
      <c r="I10" s="1448" t="s">
        <v>449</v>
      </c>
      <c r="J10" s="1449"/>
      <c r="K10" s="1448" t="s">
        <v>450</v>
      </c>
      <c r="L10" s="1449"/>
      <c r="M10" s="1446" t="s">
        <v>152</v>
      </c>
      <c r="N10" s="516"/>
      <c r="O10" s="517" t="s">
        <v>442</v>
      </c>
      <c r="P10" s="497"/>
    </row>
    <row r="11" spans="1:16" ht="31.5" customHeight="1">
      <c r="A11" s="1444"/>
      <c r="B11" s="518" t="s">
        <v>17</v>
      </c>
      <c r="C11" s="518" t="s">
        <v>34</v>
      </c>
      <c r="D11" s="1446"/>
      <c r="E11" s="1446"/>
      <c r="F11" s="1446"/>
      <c r="G11" s="518" t="s">
        <v>435</v>
      </c>
      <c r="H11" s="518" t="s">
        <v>437</v>
      </c>
      <c r="I11" s="518" t="s">
        <v>435</v>
      </c>
      <c r="J11" s="518" t="s">
        <v>437</v>
      </c>
      <c r="K11" s="518" t="s">
        <v>435</v>
      </c>
      <c r="L11" s="518" t="s">
        <v>437</v>
      </c>
      <c r="M11" s="1446"/>
      <c r="N11" s="516"/>
      <c r="O11" s="497"/>
      <c r="P11" s="497"/>
    </row>
    <row r="12" spans="1:16" ht="15">
      <c r="A12" s="519"/>
      <c r="B12" s="520" t="s">
        <v>2</v>
      </c>
      <c r="C12" s="521" t="s">
        <v>3</v>
      </c>
      <c r="D12" s="521" t="s">
        <v>4</v>
      </c>
      <c r="E12" s="520" t="s">
        <v>5</v>
      </c>
      <c r="F12" s="520">
        <v>1</v>
      </c>
      <c r="G12" s="520">
        <v>2</v>
      </c>
      <c r="H12" s="520" t="s">
        <v>452</v>
      </c>
      <c r="I12" s="520">
        <v>4</v>
      </c>
      <c r="J12" s="520" t="s">
        <v>453</v>
      </c>
      <c r="K12" s="520">
        <v>6</v>
      </c>
      <c r="L12" s="520" t="s">
        <v>454</v>
      </c>
      <c r="M12" s="520"/>
      <c r="N12" s="522"/>
      <c r="O12" s="510"/>
      <c r="P12" s="510"/>
    </row>
    <row r="13" spans="1:16" ht="15">
      <c r="A13" s="523"/>
      <c r="B13" s="523"/>
      <c r="C13" s="523"/>
      <c r="D13" s="524" t="s">
        <v>173</v>
      </c>
      <c r="E13" s="525"/>
      <c r="F13" s="526" t="e">
        <f>L13/K13</f>
        <v>#N/A</v>
      </c>
      <c r="G13" s="526"/>
      <c r="H13" s="526"/>
      <c r="I13" s="526"/>
      <c r="J13" s="526"/>
      <c r="K13" s="527" t="e">
        <f>VLOOKUP($J$8,NXT!$C$12:$L$96,3,0)</f>
        <v>#N/A</v>
      </c>
      <c r="L13" s="527" t="e">
        <f>VLOOKUP($J$8,NXT!$C$12:$L$96,4,0)</f>
        <v>#N/A</v>
      </c>
      <c r="M13" s="526"/>
      <c r="N13" s="522"/>
      <c r="O13" s="497"/>
      <c r="P13" s="497"/>
    </row>
    <row r="14" spans="1:16" ht="15">
      <c r="A14" s="480" t="str">
        <f ca="1">IF(B14="","",ROW()-13)</f>
        <v/>
      </c>
      <c r="B14" s="528" t="str">
        <f ca="1">IF(ROWS($1:1)&gt;COUNT(Dong11),"",OFFSET(TH!D$1,SMALL(Dong11,ROWS($1:1)),))</f>
        <v/>
      </c>
      <c r="C14" s="529" t="str">
        <f ca="1">IF(ROWS($1:1)&gt;COUNT(Dong11),"",OFFSET(TH!E$1,SMALL(Dong11,ROWS($1:1)),))</f>
        <v/>
      </c>
      <c r="D14" s="530" t="str">
        <f ca="1">IF(ROWS($1:1)&gt;COUNT(Dong11),"",OFFSET(TH!F$1,SMALL(Dong11,ROWS($1:1)),)&amp;" - "&amp;OFFSET(TH!H$1,SMALL(Dong11,ROWS($1:1)),))</f>
        <v/>
      </c>
      <c r="E14" s="528" t="str">
        <f ca="1">IF(ROWS($1:1)&gt;COUNT(Dong11),"",IF(OFFSET(TH!N$1,SMALL(Dong11,ROWS($1:1)),)=$G$7,OFFSET(TH!O$1,SMALL(Dong11,ROWS($1:1)),),OFFSET(TH!N$1,SMALL(Dong11,ROWS($1:1)),)))</f>
        <v/>
      </c>
      <c r="F14" s="531">
        <f ca="1">IF(ROWS($1:1)&gt;COUNT(Dong11),0,OFFSET(TH!J$1,SMALL(Dong11,ROWS($1:1)),))</f>
        <v>0</v>
      </c>
      <c r="G14" s="531">
        <f ca="1">IF(ROWS($1:1)&gt;COUNT(Dong11),0,IF(MID(OFFSET(TH!D$1,SMALL(Dong11,ROWS($1:1)),),4,1)="N",OFFSET(TH!I$1,SMALL(Dong11,ROWS($1:1)),),0))</f>
        <v>0</v>
      </c>
      <c r="H14" s="532">
        <f ca="1">ROUND(F14*G14,0)</f>
        <v>0</v>
      </c>
      <c r="I14" s="531">
        <f ca="1">IF(ROWS($1:1)&gt;COUNT(Dong11),0,IF(MID(OFFSET(TH!D$1,SMALL(Dong11,ROWS($1:1)),),4,1)="X",OFFSET(TH!I$1,SMALL(Dong11,ROWS($1:1)),),0))</f>
        <v>0</v>
      </c>
      <c r="J14" s="532">
        <f ca="1">ROUND(F14*I14,0)</f>
        <v>0</v>
      </c>
      <c r="K14" s="532">
        <f ca="1">IF(D14&lt;&gt;"",K13+G14-I14,0)</f>
        <v>0</v>
      </c>
      <c r="L14" s="532">
        <f ca="1">IF(D14&lt;&gt;"",L13+H14-J14,0)</f>
        <v>0</v>
      </c>
      <c r="M14" s="532"/>
      <c r="N14" s="522"/>
      <c r="O14" s="497"/>
      <c r="P14" s="497"/>
    </row>
    <row r="15" spans="1:16" ht="15">
      <c r="A15" s="480" t="str">
        <f t="shared" ref="A15" ca="1" si="0">IF(B15="","",A14+1)</f>
        <v/>
      </c>
      <c r="B15" s="528" t="str">
        <f ca="1">IF(ROWS($1:2)&gt;COUNT(Dong11),"",OFFSET(TH!D$1,SMALL(Dong11,ROWS($1:2)),))</f>
        <v/>
      </c>
      <c r="C15" s="529" t="str">
        <f ca="1">IF(ROWS($1:2)&gt;COUNT(Dong11),"",OFFSET(TH!E$1,SMALL(Dong11,ROWS($1:2)),))</f>
        <v/>
      </c>
      <c r="D15" s="530" t="str">
        <f ca="1">IF(ROWS($1:2)&gt;COUNT(Dong11),"",OFFSET(TH!F$1,SMALL(Dong11,ROWS($1:2)),)&amp;" - "&amp;OFFSET(TH!H$1,SMALL(Dong11,ROWS($1:2)),))</f>
        <v/>
      </c>
      <c r="E15" s="528" t="str">
        <f ca="1">IF(ROWS($1:2)&gt;COUNT(Dong11),"",IF(OFFSET(TH!N$1,SMALL(Dong11,ROWS($1:2)),)=$G$7,OFFSET(TH!O$1,SMALL(Dong11,ROWS($1:2)),),OFFSET(TH!N$1,SMALL(Dong11,ROWS($1:2)),)))</f>
        <v/>
      </c>
      <c r="F15" s="531">
        <f ca="1">IF(ROWS($1:2)&gt;COUNT(Dong11),0,OFFSET(TH!J$1,SMALL(Dong11,ROWS($1:2)),))</f>
        <v>0</v>
      </c>
      <c r="G15" s="531">
        <f ca="1">IF(ROWS($1:2)&gt;COUNT(Dong11),0,IF(MID(OFFSET(TH!D$1,SMALL(Dong11,ROWS($1:2)),),4,1)="N",OFFSET(TH!I$1,SMALL(Dong11,ROWS($1:2)),),0))</f>
        <v>0</v>
      </c>
      <c r="H15" s="532">
        <f t="shared" ref="H15" ca="1" si="1">ROUND(F15*G15,0)</f>
        <v>0</v>
      </c>
      <c r="I15" s="531">
        <f ca="1">IF(ROWS($1:2)&gt;COUNT(Dong11),0,IF(MID(OFFSET(TH!D$1,SMALL(Dong11,ROWS($1:2)),),4,1)="X",OFFSET(TH!I$1,SMALL(Dong11,ROWS($1:2)),),0))</f>
        <v>0</v>
      </c>
      <c r="J15" s="532">
        <f t="shared" ref="J15" ca="1" si="2">ROUND(F15*I15,0)</f>
        <v>0</v>
      </c>
      <c r="K15" s="532">
        <f t="shared" ref="K15" ca="1" si="3">IF(D15&lt;&gt;"",K14+G15-I15,0)</f>
        <v>0</v>
      </c>
      <c r="L15" s="532">
        <f t="shared" ref="L15" ca="1" si="4">IF(D15&lt;&gt;"",L14+H15-J15,0)</f>
        <v>0</v>
      </c>
      <c r="M15" s="532"/>
      <c r="N15" s="522"/>
      <c r="O15" s="497"/>
      <c r="P15" s="497"/>
    </row>
    <row r="16" spans="1:16" ht="15">
      <c r="A16" s="480" t="str">
        <f t="shared" ref="A16:A79" ca="1" si="5">IF(B16="","",A15+1)</f>
        <v/>
      </c>
      <c r="B16" s="528" t="str">
        <f ca="1">IF(ROWS($1:3)&gt;COUNT(Dong11),"",OFFSET(TH!D$1,SMALL(Dong11,ROWS($1:3)),))</f>
        <v/>
      </c>
      <c r="C16" s="529" t="str">
        <f ca="1">IF(ROWS($1:3)&gt;COUNT(Dong11),"",OFFSET(TH!E$1,SMALL(Dong11,ROWS($1:3)),))</f>
        <v/>
      </c>
      <c r="D16" s="530" t="str">
        <f ca="1">IF(ROWS($1:3)&gt;COUNT(Dong11),"",OFFSET(TH!F$1,SMALL(Dong11,ROWS($1:3)),)&amp;" - "&amp;OFFSET(TH!H$1,SMALL(Dong11,ROWS($1:3)),))</f>
        <v/>
      </c>
      <c r="E16" s="528" t="str">
        <f ca="1">IF(ROWS($1:3)&gt;COUNT(Dong11),"",IF(OFFSET(TH!N$1,SMALL(Dong11,ROWS($1:3)),)=$G$7,OFFSET(TH!O$1,SMALL(Dong11,ROWS($1:3)),),OFFSET(TH!N$1,SMALL(Dong11,ROWS($1:3)),)))</f>
        <v/>
      </c>
      <c r="F16" s="531">
        <f ca="1">IF(ROWS($1:3)&gt;COUNT(Dong11),0,OFFSET(TH!J$1,SMALL(Dong11,ROWS($1:3)),))</f>
        <v>0</v>
      </c>
      <c r="G16" s="531">
        <f ca="1">IF(ROWS($1:3)&gt;COUNT(Dong11),0,IF(MID(OFFSET(TH!D$1,SMALL(Dong11,ROWS($1:3)),),4,1)="N",OFFSET(TH!I$1,SMALL(Dong11,ROWS($1:3)),),0))</f>
        <v>0</v>
      </c>
      <c r="H16" s="532">
        <f t="shared" ref="H16:H79" ca="1" si="6">ROUND(F16*G16,0)</f>
        <v>0</v>
      </c>
      <c r="I16" s="531">
        <f ca="1">IF(ROWS($1:3)&gt;COUNT(Dong11),0,IF(MID(OFFSET(TH!D$1,SMALL(Dong11,ROWS($1:3)),),4,1)="X",OFFSET(TH!I$1,SMALL(Dong11,ROWS($1:3)),),0))</f>
        <v>0</v>
      </c>
      <c r="J16" s="532">
        <f t="shared" ref="J16:J79" ca="1" si="7">ROUND(F16*I16,0)</f>
        <v>0</v>
      </c>
      <c r="K16" s="532">
        <f t="shared" ref="K16:K79" ca="1" si="8">IF(D16&lt;&gt;"",K15+G16-I16,0)</f>
        <v>0</v>
      </c>
      <c r="L16" s="532">
        <f t="shared" ref="L16:L79" ca="1" si="9">IF(D16&lt;&gt;"",L15+H16-J16,0)</f>
        <v>0</v>
      </c>
      <c r="M16" s="532"/>
      <c r="N16" s="522"/>
      <c r="O16" s="497"/>
      <c r="P16" s="497"/>
    </row>
    <row r="17" spans="1:16" ht="15">
      <c r="A17" s="480" t="str">
        <f t="shared" ca="1" si="5"/>
        <v/>
      </c>
      <c r="B17" s="528" t="str">
        <f ca="1">IF(ROWS($1:4)&gt;COUNT(Dong11),"",OFFSET(TH!D$1,SMALL(Dong11,ROWS($1:4)),))</f>
        <v/>
      </c>
      <c r="C17" s="529" t="str">
        <f ca="1">IF(ROWS($1:4)&gt;COUNT(Dong11),"",OFFSET(TH!E$1,SMALL(Dong11,ROWS($1:4)),))</f>
        <v/>
      </c>
      <c r="D17" s="530" t="str">
        <f ca="1">IF(ROWS($1:4)&gt;COUNT(Dong11),"",OFFSET(TH!F$1,SMALL(Dong11,ROWS($1:4)),)&amp;" - "&amp;OFFSET(TH!H$1,SMALL(Dong11,ROWS($1:4)),))</f>
        <v/>
      </c>
      <c r="E17" s="528" t="str">
        <f ca="1">IF(ROWS($1:4)&gt;COUNT(Dong11),"",IF(OFFSET(TH!N$1,SMALL(Dong11,ROWS($1:4)),)=$G$7,OFFSET(TH!O$1,SMALL(Dong11,ROWS($1:4)),),OFFSET(TH!N$1,SMALL(Dong11,ROWS($1:4)),)))</f>
        <v/>
      </c>
      <c r="F17" s="531">
        <f ca="1">IF(ROWS($1:4)&gt;COUNT(Dong11),0,OFFSET(TH!J$1,SMALL(Dong11,ROWS($1:4)),))</f>
        <v>0</v>
      </c>
      <c r="G17" s="531">
        <f ca="1">IF(ROWS($1:4)&gt;COUNT(Dong11),0,IF(MID(OFFSET(TH!D$1,SMALL(Dong11,ROWS($1:4)),),4,1)="N",OFFSET(TH!I$1,SMALL(Dong11,ROWS($1:4)),),0))</f>
        <v>0</v>
      </c>
      <c r="H17" s="532">
        <f t="shared" ca="1" si="6"/>
        <v>0</v>
      </c>
      <c r="I17" s="531">
        <f ca="1">IF(ROWS($1:4)&gt;COUNT(Dong11),0,IF(MID(OFFSET(TH!D$1,SMALL(Dong11,ROWS($1:4)),),4,1)="X",OFFSET(TH!I$1,SMALL(Dong11,ROWS($1:4)),),0))</f>
        <v>0</v>
      </c>
      <c r="J17" s="532">
        <f t="shared" ca="1" si="7"/>
        <v>0</v>
      </c>
      <c r="K17" s="532">
        <f t="shared" ca="1" si="8"/>
        <v>0</v>
      </c>
      <c r="L17" s="532">
        <f t="shared" ca="1" si="9"/>
        <v>0</v>
      </c>
      <c r="M17" s="532"/>
      <c r="N17" s="522"/>
      <c r="O17" s="497"/>
      <c r="P17" s="533"/>
    </row>
    <row r="18" spans="1:16" ht="15">
      <c r="A18" s="480" t="str">
        <f t="shared" ca="1" si="5"/>
        <v/>
      </c>
      <c r="B18" s="528" t="str">
        <f ca="1">IF(ROWS($1:5)&gt;COUNT(Dong11),"",OFFSET(TH!D$1,SMALL(Dong11,ROWS($1:5)),))</f>
        <v/>
      </c>
      <c r="C18" s="529" t="str">
        <f ca="1">IF(ROWS($1:5)&gt;COUNT(Dong11),"",OFFSET(TH!E$1,SMALL(Dong11,ROWS($1:5)),))</f>
        <v/>
      </c>
      <c r="D18" s="530" t="str">
        <f ca="1">IF(ROWS($1:5)&gt;COUNT(Dong11),"",OFFSET(TH!F$1,SMALL(Dong11,ROWS($1:5)),)&amp;" - "&amp;OFFSET(TH!H$1,SMALL(Dong11,ROWS($1:5)),))</f>
        <v/>
      </c>
      <c r="E18" s="528" t="str">
        <f ca="1">IF(ROWS($1:5)&gt;COUNT(Dong11),"",IF(OFFSET(TH!N$1,SMALL(Dong11,ROWS($1:5)),)=$G$7,OFFSET(TH!O$1,SMALL(Dong11,ROWS($1:5)),),OFFSET(TH!N$1,SMALL(Dong11,ROWS($1:5)),)))</f>
        <v/>
      </c>
      <c r="F18" s="531">
        <f ca="1">IF(ROWS($1:5)&gt;COUNT(Dong11),0,OFFSET(TH!J$1,SMALL(Dong11,ROWS($1:5)),))</f>
        <v>0</v>
      </c>
      <c r="G18" s="531">
        <f ca="1">IF(ROWS($1:5)&gt;COUNT(Dong11),0,IF(MID(OFFSET(TH!D$1,SMALL(Dong11,ROWS($1:5)),),4,1)="N",OFFSET(TH!I$1,SMALL(Dong11,ROWS($1:5)),),0))</f>
        <v>0</v>
      </c>
      <c r="H18" s="532">
        <f t="shared" ca="1" si="6"/>
        <v>0</v>
      </c>
      <c r="I18" s="531">
        <f ca="1">IF(ROWS($1:5)&gt;COUNT(Dong11),0,IF(MID(OFFSET(TH!D$1,SMALL(Dong11,ROWS($1:5)),),4,1)="X",OFFSET(TH!I$1,SMALL(Dong11,ROWS($1:5)),),0))</f>
        <v>0</v>
      </c>
      <c r="J18" s="532">
        <f t="shared" ca="1" si="7"/>
        <v>0</v>
      </c>
      <c r="K18" s="532">
        <f t="shared" ca="1" si="8"/>
        <v>0</v>
      </c>
      <c r="L18" s="532">
        <f t="shared" ca="1" si="9"/>
        <v>0</v>
      </c>
      <c r="M18" s="532"/>
      <c r="N18" s="522"/>
      <c r="O18" s="497"/>
      <c r="P18" s="497"/>
    </row>
    <row r="19" spans="1:16" ht="15">
      <c r="A19" s="480" t="str">
        <f t="shared" ca="1" si="5"/>
        <v/>
      </c>
      <c r="B19" s="528" t="str">
        <f ca="1">IF(ROWS($1:6)&gt;COUNT(Dong11),"",OFFSET(TH!D$1,SMALL(Dong11,ROWS($1:6)),))</f>
        <v/>
      </c>
      <c r="C19" s="529" t="str">
        <f ca="1">IF(ROWS($1:6)&gt;COUNT(Dong11),"",OFFSET(TH!E$1,SMALL(Dong11,ROWS($1:6)),))</f>
        <v/>
      </c>
      <c r="D19" s="530" t="str">
        <f ca="1">IF(ROWS($1:6)&gt;COUNT(Dong11),"",OFFSET(TH!F$1,SMALL(Dong11,ROWS($1:6)),)&amp;" - "&amp;OFFSET(TH!H$1,SMALL(Dong11,ROWS($1:6)),))</f>
        <v/>
      </c>
      <c r="E19" s="528" t="str">
        <f ca="1">IF(ROWS($1:6)&gt;COUNT(Dong11),"",IF(OFFSET(TH!N$1,SMALL(Dong11,ROWS($1:6)),)=$G$7,OFFSET(TH!O$1,SMALL(Dong11,ROWS($1:6)),),OFFSET(TH!N$1,SMALL(Dong11,ROWS($1:6)),)))</f>
        <v/>
      </c>
      <c r="F19" s="531">
        <f ca="1">IF(ROWS($1:6)&gt;COUNT(Dong11),0,OFFSET(TH!J$1,SMALL(Dong11,ROWS($1:6)),))</f>
        <v>0</v>
      </c>
      <c r="G19" s="531">
        <f ca="1">IF(ROWS($1:6)&gt;COUNT(Dong11),0,IF(MID(OFFSET(TH!D$1,SMALL(Dong11,ROWS($1:6)),),4,1)="N",OFFSET(TH!I$1,SMALL(Dong11,ROWS($1:6)),),0))</f>
        <v>0</v>
      </c>
      <c r="H19" s="532">
        <f t="shared" ca="1" si="6"/>
        <v>0</v>
      </c>
      <c r="I19" s="531">
        <f ca="1">IF(ROWS($1:6)&gt;COUNT(Dong11),0,IF(MID(OFFSET(TH!D$1,SMALL(Dong11,ROWS($1:6)),),4,1)="X",OFFSET(TH!I$1,SMALL(Dong11,ROWS($1:6)),),0))</f>
        <v>0</v>
      </c>
      <c r="J19" s="532">
        <f t="shared" ca="1" si="7"/>
        <v>0</v>
      </c>
      <c r="K19" s="532">
        <f t="shared" ca="1" si="8"/>
        <v>0</v>
      </c>
      <c r="L19" s="532">
        <f t="shared" ca="1" si="9"/>
        <v>0</v>
      </c>
      <c r="M19" s="532"/>
      <c r="N19" s="522"/>
      <c r="O19" s="497"/>
      <c r="P19" s="497"/>
    </row>
    <row r="20" spans="1:16" ht="15">
      <c r="A20" s="480" t="str">
        <f t="shared" ca="1" si="5"/>
        <v/>
      </c>
      <c r="B20" s="528" t="str">
        <f ca="1">IF(ROWS($1:7)&gt;COUNT(Dong11),"",OFFSET(TH!D$1,SMALL(Dong11,ROWS($1:7)),))</f>
        <v/>
      </c>
      <c r="C20" s="529" t="str">
        <f ca="1">IF(ROWS($1:7)&gt;COUNT(Dong11),"",OFFSET(TH!E$1,SMALL(Dong11,ROWS($1:7)),))</f>
        <v/>
      </c>
      <c r="D20" s="530" t="str">
        <f ca="1">IF(ROWS($1:7)&gt;COUNT(Dong11),"",OFFSET(TH!F$1,SMALL(Dong11,ROWS($1:7)),)&amp;" - "&amp;OFFSET(TH!H$1,SMALL(Dong11,ROWS($1:7)),))</f>
        <v/>
      </c>
      <c r="E20" s="528" t="str">
        <f ca="1">IF(ROWS($1:7)&gt;COUNT(Dong11),"",IF(OFFSET(TH!N$1,SMALL(Dong11,ROWS($1:7)),)=$G$7,OFFSET(TH!O$1,SMALL(Dong11,ROWS($1:7)),),OFFSET(TH!N$1,SMALL(Dong11,ROWS($1:7)),)))</f>
        <v/>
      </c>
      <c r="F20" s="531">
        <f ca="1">IF(ROWS($1:7)&gt;COUNT(Dong11),0,OFFSET(TH!J$1,SMALL(Dong11,ROWS($1:7)),))</f>
        <v>0</v>
      </c>
      <c r="G20" s="531">
        <f ca="1">IF(ROWS($1:7)&gt;COUNT(Dong11),0,IF(MID(OFFSET(TH!D$1,SMALL(Dong11,ROWS($1:7)),),4,1)="N",OFFSET(TH!I$1,SMALL(Dong11,ROWS($1:7)),),0))</f>
        <v>0</v>
      </c>
      <c r="H20" s="532">
        <f t="shared" ca="1" si="6"/>
        <v>0</v>
      </c>
      <c r="I20" s="531">
        <f ca="1">IF(ROWS($1:7)&gt;COUNT(Dong11),0,IF(MID(OFFSET(TH!D$1,SMALL(Dong11,ROWS($1:7)),),4,1)="X",OFFSET(TH!I$1,SMALL(Dong11,ROWS($1:7)),),0))</f>
        <v>0</v>
      </c>
      <c r="J20" s="532">
        <f t="shared" ca="1" si="7"/>
        <v>0</v>
      </c>
      <c r="K20" s="532">
        <f t="shared" ca="1" si="8"/>
        <v>0</v>
      </c>
      <c r="L20" s="532">
        <f t="shared" ca="1" si="9"/>
        <v>0</v>
      </c>
      <c r="M20" s="532"/>
      <c r="N20" s="522"/>
      <c r="O20" s="497"/>
      <c r="P20" s="497"/>
    </row>
    <row r="21" spans="1:16" ht="15">
      <c r="A21" s="480" t="str">
        <f t="shared" ca="1" si="5"/>
        <v/>
      </c>
      <c r="B21" s="528" t="str">
        <f ca="1">IF(ROWS($1:8)&gt;COUNT(Dong11),"",OFFSET(TH!D$1,SMALL(Dong11,ROWS($1:8)),))</f>
        <v/>
      </c>
      <c r="C21" s="529" t="str">
        <f ca="1">IF(ROWS($1:8)&gt;COUNT(Dong11),"",OFFSET(TH!E$1,SMALL(Dong11,ROWS($1:8)),))</f>
        <v/>
      </c>
      <c r="D21" s="530" t="str">
        <f ca="1">IF(ROWS($1:8)&gt;COUNT(Dong11),"",OFFSET(TH!F$1,SMALL(Dong11,ROWS($1:8)),)&amp;" - "&amp;OFFSET(TH!H$1,SMALL(Dong11,ROWS($1:8)),))</f>
        <v/>
      </c>
      <c r="E21" s="528" t="str">
        <f ca="1">IF(ROWS($1:8)&gt;COUNT(Dong11),"",IF(OFFSET(TH!N$1,SMALL(Dong11,ROWS($1:8)),)=$G$7,OFFSET(TH!O$1,SMALL(Dong11,ROWS($1:8)),),OFFSET(TH!N$1,SMALL(Dong11,ROWS($1:8)),)))</f>
        <v/>
      </c>
      <c r="F21" s="531">
        <f ca="1">IF(ROWS($1:8)&gt;COUNT(Dong11),0,OFFSET(TH!J$1,SMALL(Dong11,ROWS($1:8)),))</f>
        <v>0</v>
      </c>
      <c r="G21" s="531">
        <f ca="1">IF(ROWS($1:8)&gt;COUNT(Dong11),0,IF(MID(OFFSET(TH!D$1,SMALL(Dong11,ROWS($1:8)),),4,1)="N",OFFSET(TH!I$1,SMALL(Dong11,ROWS($1:8)),),0))</f>
        <v>0</v>
      </c>
      <c r="H21" s="532">
        <f t="shared" ca="1" si="6"/>
        <v>0</v>
      </c>
      <c r="I21" s="531">
        <f ca="1">IF(ROWS($1:8)&gt;COUNT(Dong11),0,IF(MID(OFFSET(TH!D$1,SMALL(Dong11,ROWS($1:8)),),4,1)="X",OFFSET(TH!I$1,SMALL(Dong11,ROWS($1:8)),),0))</f>
        <v>0</v>
      </c>
      <c r="J21" s="532">
        <f t="shared" ca="1" si="7"/>
        <v>0</v>
      </c>
      <c r="K21" s="532">
        <f t="shared" ca="1" si="8"/>
        <v>0</v>
      </c>
      <c r="L21" s="532">
        <f t="shared" ca="1" si="9"/>
        <v>0</v>
      </c>
      <c r="M21" s="532"/>
      <c r="N21" s="522"/>
      <c r="O21" s="497"/>
      <c r="P21" s="497"/>
    </row>
    <row r="22" spans="1:16" ht="15">
      <c r="A22" s="480" t="str">
        <f t="shared" ca="1" si="5"/>
        <v/>
      </c>
      <c r="B22" s="528" t="str">
        <f ca="1">IF(ROWS($1:9)&gt;COUNT(Dong11),"",OFFSET(TH!D$1,SMALL(Dong11,ROWS($1:9)),))</f>
        <v/>
      </c>
      <c r="C22" s="529" t="str">
        <f ca="1">IF(ROWS($1:9)&gt;COUNT(Dong11),"",OFFSET(TH!E$1,SMALL(Dong11,ROWS($1:9)),))</f>
        <v/>
      </c>
      <c r="D22" s="530" t="str">
        <f ca="1">IF(ROWS($1:9)&gt;COUNT(Dong11),"",OFFSET(TH!F$1,SMALL(Dong11,ROWS($1:9)),)&amp;" - "&amp;OFFSET(TH!H$1,SMALL(Dong11,ROWS($1:9)),))</f>
        <v/>
      </c>
      <c r="E22" s="528" t="str">
        <f ca="1">IF(ROWS($1:9)&gt;COUNT(Dong11),"",IF(OFFSET(TH!N$1,SMALL(Dong11,ROWS($1:9)),)=$G$7,OFFSET(TH!O$1,SMALL(Dong11,ROWS($1:9)),),OFFSET(TH!N$1,SMALL(Dong11,ROWS($1:9)),)))</f>
        <v/>
      </c>
      <c r="F22" s="531">
        <f ca="1">IF(ROWS($1:9)&gt;COUNT(Dong11),0,OFFSET(TH!J$1,SMALL(Dong11,ROWS($1:9)),))</f>
        <v>0</v>
      </c>
      <c r="G22" s="531">
        <f ca="1">IF(ROWS($1:9)&gt;COUNT(Dong11),0,IF(MID(OFFSET(TH!D$1,SMALL(Dong11,ROWS($1:9)),),4,1)="N",OFFSET(TH!I$1,SMALL(Dong11,ROWS($1:9)),),0))</f>
        <v>0</v>
      </c>
      <c r="H22" s="532">
        <f t="shared" ca="1" si="6"/>
        <v>0</v>
      </c>
      <c r="I22" s="531">
        <f ca="1">IF(ROWS($1:9)&gt;COUNT(Dong11),0,IF(MID(OFFSET(TH!D$1,SMALL(Dong11,ROWS($1:9)),),4,1)="X",OFFSET(TH!I$1,SMALL(Dong11,ROWS($1:9)),),0))</f>
        <v>0</v>
      </c>
      <c r="J22" s="532">
        <f t="shared" ca="1" si="7"/>
        <v>0</v>
      </c>
      <c r="K22" s="532">
        <f t="shared" ca="1" si="8"/>
        <v>0</v>
      </c>
      <c r="L22" s="532">
        <f t="shared" ca="1" si="9"/>
        <v>0</v>
      </c>
      <c r="M22" s="532"/>
      <c r="N22" s="522"/>
      <c r="O22" s="497"/>
      <c r="P22" s="497"/>
    </row>
    <row r="23" spans="1:16" ht="15">
      <c r="A23" s="480" t="str">
        <f t="shared" ca="1" si="5"/>
        <v/>
      </c>
      <c r="B23" s="528" t="str">
        <f ca="1">IF(ROWS($1:10)&gt;COUNT(Dong11),"",OFFSET(TH!D$1,SMALL(Dong11,ROWS($1:10)),))</f>
        <v/>
      </c>
      <c r="C23" s="529" t="str">
        <f ca="1">IF(ROWS($1:10)&gt;COUNT(Dong11),"",OFFSET(TH!E$1,SMALL(Dong11,ROWS($1:10)),))</f>
        <v/>
      </c>
      <c r="D23" s="530" t="str">
        <f ca="1">IF(ROWS($1:10)&gt;COUNT(Dong11),"",OFFSET(TH!F$1,SMALL(Dong11,ROWS($1:10)),)&amp;" - "&amp;OFFSET(TH!H$1,SMALL(Dong11,ROWS($1:10)),))</f>
        <v/>
      </c>
      <c r="E23" s="528" t="str">
        <f ca="1">IF(ROWS($1:10)&gt;COUNT(Dong11),"",IF(OFFSET(TH!N$1,SMALL(Dong11,ROWS($1:10)),)=$G$7,OFFSET(TH!O$1,SMALL(Dong11,ROWS($1:10)),),OFFSET(TH!N$1,SMALL(Dong11,ROWS($1:10)),)))</f>
        <v/>
      </c>
      <c r="F23" s="531">
        <f ca="1">IF(ROWS($1:10)&gt;COUNT(Dong11),0,OFFSET(TH!J$1,SMALL(Dong11,ROWS($1:10)),))</f>
        <v>0</v>
      </c>
      <c r="G23" s="531">
        <f ca="1">IF(ROWS($1:10)&gt;COUNT(Dong11),0,IF(MID(OFFSET(TH!D$1,SMALL(Dong11,ROWS($1:10)),),4,1)="N",OFFSET(TH!I$1,SMALL(Dong11,ROWS($1:10)),),0))</f>
        <v>0</v>
      </c>
      <c r="H23" s="532">
        <f t="shared" ca="1" si="6"/>
        <v>0</v>
      </c>
      <c r="I23" s="531">
        <f ca="1">IF(ROWS($1:10)&gt;COUNT(Dong11),0,IF(MID(OFFSET(TH!D$1,SMALL(Dong11,ROWS($1:10)),),4,1)="X",OFFSET(TH!I$1,SMALL(Dong11,ROWS($1:10)),),0))</f>
        <v>0</v>
      </c>
      <c r="J23" s="532">
        <f t="shared" ca="1" si="7"/>
        <v>0</v>
      </c>
      <c r="K23" s="532">
        <f t="shared" ca="1" si="8"/>
        <v>0</v>
      </c>
      <c r="L23" s="532">
        <f t="shared" ca="1" si="9"/>
        <v>0</v>
      </c>
      <c r="M23" s="532"/>
      <c r="N23" s="522"/>
      <c r="O23" s="497"/>
      <c r="P23" s="497"/>
    </row>
    <row r="24" spans="1:16" ht="15">
      <c r="A24" s="480" t="str">
        <f t="shared" ca="1" si="5"/>
        <v/>
      </c>
      <c r="B24" s="528" t="str">
        <f ca="1">IF(ROWS($1:11)&gt;COUNT(Dong11),"",OFFSET(TH!D$1,SMALL(Dong11,ROWS($1:11)),))</f>
        <v/>
      </c>
      <c r="C24" s="529" t="str">
        <f ca="1">IF(ROWS($1:11)&gt;COUNT(Dong11),"",OFFSET(TH!E$1,SMALL(Dong11,ROWS($1:11)),))</f>
        <v/>
      </c>
      <c r="D24" s="530" t="str">
        <f ca="1">IF(ROWS($1:11)&gt;COUNT(Dong11),"",OFFSET(TH!F$1,SMALL(Dong11,ROWS($1:11)),)&amp;" - "&amp;OFFSET(TH!H$1,SMALL(Dong11,ROWS($1:11)),))</f>
        <v/>
      </c>
      <c r="E24" s="528" t="str">
        <f ca="1">IF(ROWS($1:11)&gt;COUNT(Dong11),"",IF(OFFSET(TH!N$1,SMALL(Dong11,ROWS($1:11)),)=$G$7,OFFSET(TH!O$1,SMALL(Dong11,ROWS($1:11)),),OFFSET(TH!N$1,SMALL(Dong11,ROWS($1:11)),)))</f>
        <v/>
      </c>
      <c r="F24" s="531">
        <f ca="1">IF(ROWS($1:11)&gt;COUNT(Dong11),0,OFFSET(TH!J$1,SMALL(Dong11,ROWS($1:11)),))</f>
        <v>0</v>
      </c>
      <c r="G24" s="531">
        <f ca="1">IF(ROWS($1:11)&gt;COUNT(Dong11),0,IF(MID(OFFSET(TH!D$1,SMALL(Dong11,ROWS($1:11)),),4,1)="N",OFFSET(TH!I$1,SMALL(Dong11,ROWS($1:11)),),0))</f>
        <v>0</v>
      </c>
      <c r="H24" s="532">
        <f t="shared" ca="1" si="6"/>
        <v>0</v>
      </c>
      <c r="I24" s="531">
        <f ca="1">IF(ROWS($1:11)&gt;COUNT(Dong11),0,IF(MID(OFFSET(TH!D$1,SMALL(Dong11,ROWS($1:11)),),4,1)="X",OFFSET(TH!I$1,SMALL(Dong11,ROWS($1:11)),),0))</f>
        <v>0</v>
      </c>
      <c r="J24" s="532">
        <f t="shared" ca="1" si="7"/>
        <v>0</v>
      </c>
      <c r="K24" s="532">
        <f t="shared" ca="1" si="8"/>
        <v>0</v>
      </c>
      <c r="L24" s="532">
        <f t="shared" ca="1" si="9"/>
        <v>0</v>
      </c>
      <c r="M24" s="532"/>
      <c r="N24" s="522"/>
      <c r="O24" s="497"/>
      <c r="P24" s="497"/>
    </row>
    <row r="25" spans="1:16" ht="15">
      <c r="A25" s="480" t="str">
        <f t="shared" ca="1" si="5"/>
        <v/>
      </c>
      <c r="B25" s="528" t="str">
        <f ca="1">IF(ROWS($1:12)&gt;COUNT(Dong11),"",OFFSET(TH!D$1,SMALL(Dong11,ROWS($1:12)),))</f>
        <v/>
      </c>
      <c r="C25" s="529" t="str">
        <f ca="1">IF(ROWS($1:12)&gt;COUNT(Dong11),"",OFFSET(TH!E$1,SMALL(Dong11,ROWS($1:12)),))</f>
        <v/>
      </c>
      <c r="D25" s="530" t="str">
        <f ca="1">IF(ROWS($1:12)&gt;COUNT(Dong11),"",OFFSET(TH!F$1,SMALL(Dong11,ROWS($1:12)),)&amp;" - "&amp;OFFSET(TH!H$1,SMALL(Dong11,ROWS($1:12)),))</f>
        <v/>
      </c>
      <c r="E25" s="528" t="str">
        <f ca="1">IF(ROWS($1:12)&gt;COUNT(Dong11),"",IF(OFFSET(TH!N$1,SMALL(Dong11,ROWS($1:12)),)=$G$7,OFFSET(TH!O$1,SMALL(Dong11,ROWS($1:12)),),OFFSET(TH!N$1,SMALL(Dong11,ROWS($1:12)),)))</f>
        <v/>
      </c>
      <c r="F25" s="531">
        <f ca="1">IF(ROWS($1:12)&gt;COUNT(Dong11),0,OFFSET(TH!J$1,SMALL(Dong11,ROWS($1:12)),))</f>
        <v>0</v>
      </c>
      <c r="G25" s="531">
        <f ca="1">IF(ROWS($1:12)&gt;COUNT(Dong11),0,IF(MID(OFFSET(TH!D$1,SMALL(Dong11,ROWS($1:12)),),4,1)="N",OFFSET(TH!I$1,SMALL(Dong11,ROWS($1:12)),),0))</f>
        <v>0</v>
      </c>
      <c r="H25" s="532">
        <f t="shared" ca="1" si="6"/>
        <v>0</v>
      </c>
      <c r="I25" s="531">
        <f ca="1">IF(ROWS($1:12)&gt;COUNT(Dong11),0,IF(MID(OFFSET(TH!D$1,SMALL(Dong11,ROWS($1:12)),),4,1)="X",OFFSET(TH!I$1,SMALL(Dong11,ROWS($1:12)),),0))</f>
        <v>0</v>
      </c>
      <c r="J25" s="532">
        <f t="shared" ca="1" si="7"/>
        <v>0</v>
      </c>
      <c r="K25" s="532">
        <f t="shared" ca="1" si="8"/>
        <v>0</v>
      </c>
      <c r="L25" s="532">
        <f t="shared" ca="1" si="9"/>
        <v>0</v>
      </c>
      <c r="M25" s="532"/>
      <c r="N25" s="522"/>
      <c r="O25" s="497"/>
      <c r="P25" s="497"/>
    </row>
    <row r="26" spans="1:16" ht="15">
      <c r="A26" s="480" t="str">
        <f t="shared" ca="1" si="5"/>
        <v/>
      </c>
      <c r="B26" s="528" t="str">
        <f ca="1">IF(ROWS($1:13)&gt;COUNT(Dong11),"",OFFSET(TH!D$1,SMALL(Dong11,ROWS($1:13)),))</f>
        <v/>
      </c>
      <c r="C26" s="529" t="str">
        <f ca="1">IF(ROWS($1:13)&gt;COUNT(Dong11),"",OFFSET(TH!E$1,SMALL(Dong11,ROWS($1:13)),))</f>
        <v/>
      </c>
      <c r="D26" s="530" t="str">
        <f ca="1">IF(ROWS($1:13)&gt;COUNT(Dong11),"",OFFSET(TH!F$1,SMALL(Dong11,ROWS($1:13)),)&amp;" - "&amp;OFFSET(TH!H$1,SMALL(Dong11,ROWS($1:13)),))</f>
        <v/>
      </c>
      <c r="E26" s="528" t="str">
        <f ca="1">IF(ROWS($1:13)&gt;COUNT(Dong11),"",IF(OFFSET(TH!N$1,SMALL(Dong11,ROWS($1:13)),)=$G$7,OFFSET(TH!O$1,SMALL(Dong11,ROWS($1:13)),),OFFSET(TH!N$1,SMALL(Dong11,ROWS($1:13)),)))</f>
        <v/>
      </c>
      <c r="F26" s="531">
        <f ca="1">IF(ROWS($1:13)&gt;COUNT(Dong11),0,OFFSET(TH!J$1,SMALL(Dong11,ROWS($1:13)),))</f>
        <v>0</v>
      </c>
      <c r="G26" s="531">
        <f ca="1">IF(ROWS($1:13)&gt;COUNT(Dong11),0,IF(MID(OFFSET(TH!D$1,SMALL(Dong11,ROWS($1:13)),),4,1)="N",OFFSET(TH!I$1,SMALL(Dong11,ROWS($1:13)),),0))</f>
        <v>0</v>
      </c>
      <c r="H26" s="532">
        <f t="shared" ca="1" si="6"/>
        <v>0</v>
      </c>
      <c r="I26" s="531">
        <f ca="1">IF(ROWS($1:13)&gt;COUNT(Dong11),0,IF(MID(OFFSET(TH!D$1,SMALL(Dong11,ROWS($1:13)),),4,1)="X",OFFSET(TH!I$1,SMALL(Dong11,ROWS($1:13)),),0))</f>
        <v>0</v>
      </c>
      <c r="J26" s="532">
        <f t="shared" ca="1" si="7"/>
        <v>0</v>
      </c>
      <c r="K26" s="532">
        <f t="shared" ca="1" si="8"/>
        <v>0</v>
      </c>
      <c r="L26" s="532">
        <f t="shared" ca="1" si="9"/>
        <v>0</v>
      </c>
      <c r="M26" s="532"/>
      <c r="N26" s="522"/>
      <c r="O26" s="497"/>
      <c r="P26" s="497"/>
    </row>
    <row r="27" spans="1:16" ht="15">
      <c r="A27" s="480" t="str">
        <f t="shared" ca="1" si="5"/>
        <v/>
      </c>
      <c r="B27" s="528" t="str">
        <f ca="1">IF(ROWS($1:14)&gt;COUNT(Dong11),"",OFFSET(TH!D$1,SMALL(Dong11,ROWS($1:14)),))</f>
        <v/>
      </c>
      <c r="C27" s="529" t="str">
        <f ca="1">IF(ROWS($1:14)&gt;COUNT(Dong11),"",OFFSET(TH!E$1,SMALL(Dong11,ROWS($1:14)),))</f>
        <v/>
      </c>
      <c r="D27" s="530" t="str">
        <f ca="1">IF(ROWS($1:14)&gt;COUNT(Dong11),"",OFFSET(TH!F$1,SMALL(Dong11,ROWS($1:14)),)&amp;" - "&amp;OFFSET(TH!H$1,SMALL(Dong11,ROWS($1:14)),))</f>
        <v/>
      </c>
      <c r="E27" s="528" t="str">
        <f ca="1">IF(ROWS($1:14)&gt;COUNT(Dong11),"",IF(OFFSET(TH!N$1,SMALL(Dong11,ROWS($1:14)),)=$G$7,OFFSET(TH!O$1,SMALL(Dong11,ROWS($1:14)),),OFFSET(TH!N$1,SMALL(Dong11,ROWS($1:14)),)))</f>
        <v/>
      </c>
      <c r="F27" s="531">
        <f ca="1">IF(ROWS($1:14)&gt;COUNT(Dong11),0,OFFSET(TH!J$1,SMALL(Dong11,ROWS($1:14)),))</f>
        <v>0</v>
      </c>
      <c r="G27" s="531">
        <f ca="1">IF(ROWS($1:14)&gt;COUNT(Dong11),0,IF(MID(OFFSET(TH!D$1,SMALL(Dong11,ROWS($1:14)),),4,1)="N",OFFSET(TH!I$1,SMALL(Dong11,ROWS($1:14)),),0))</f>
        <v>0</v>
      </c>
      <c r="H27" s="532">
        <f t="shared" ca="1" si="6"/>
        <v>0</v>
      </c>
      <c r="I27" s="531">
        <f ca="1">IF(ROWS($1:14)&gt;COUNT(Dong11),0,IF(MID(OFFSET(TH!D$1,SMALL(Dong11,ROWS($1:14)),),4,1)="X",OFFSET(TH!I$1,SMALL(Dong11,ROWS($1:14)),),0))</f>
        <v>0</v>
      </c>
      <c r="J27" s="532">
        <f t="shared" ca="1" si="7"/>
        <v>0</v>
      </c>
      <c r="K27" s="532">
        <f t="shared" ca="1" si="8"/>
        <v>0</v>
      </c>
      <c r="L27" s="532">
        <f t="shared" ca="1" si="9"/>
        <v>0</v>
      </c>
      <c r="M27" s="532"/>
      <c r="N27" s="522"/>
      <c r="O27" s="497"/>
      <c r="P27" s="497"/>
    </row>
    <row r="28" spans="1:16" ht="15">
      <c r="A28" s="480" t="str">
        <f t="shared" ca="1" si="5"/>
        <v/>
      </c>
      <c r="B28" s="528" t="str">
        <f ca="1">IF(ROWS($1:15)&gt;COUNT(Dong11),"",OFFSET(TH!D$1,SMALL(Dong11,ROWS($1:15)),))</f>
        <v/>
      </c>
      <c r="C28" s="529" t="str">
        <f ca="1">IF(ROWS($1:15)&gt;COUNT(Dong11),"",OFFSET(TH!E$1,SMALL(Dong11,ROWS($1:15)),))</f>
        <v/>
      </c>
      <c r="D28" s="530" t="str">
        <f ca="1">IF(ROWS($1:15)&gt;COUNT(Dong11),"",OFFSET(TH!F$1,SMALL(Dong11,ROWS($1:15)),)&amp;" - "&amp;OFFSET(TH!H$1,SMALL(Dong11,ROWS($1:15)),))</f>
        <v/>
      </c>
      <c r="E28" s="528" t="str">
        <f ca="1">IF(ROWS($1:15)&gt;COUNT(Dong11),"",IF(OFFSET(TH!N$1,SMALL(Dong11,ROWS($1:15)),)=$G$7,OFFSET(TH!O$1,SMALL(Dong11,ROWS($1:15)),),OFFSET(TH!N$1,SMALL(Dong11,ROWS($1:15)),)))</f>
        <v/>
      </c>
      <c r="F28" s="531">
        <f ca="1">IF(ROWS($1:15)&gt;COUNT(Dong11),0,OFFSET(TH!J$1,SMALL(Dong11,ROWS($1:15)),))</f>
        <v>0</v>
      </c>
      <c r="G28" s="531">
        <f ca="1">IF(ROWS($1:15)&gt;COUNT(Dong11),0,IF(MID(OFFSET(TH!D$1,SMALL(Dong11,ROWS($1:15)),),4,1)="N",OFFSET(TH!I$1,SMALL(Dong11,ROWS($1:15)),),0))</f>
        <v>0</v>
      </c>
      <c r="H28" s="532">
        <f t="shared" ca="1" si="6"/>
        <v>0</v>
      </c>
      <c r="I28" s="531">
        <f ca="1">IF(ROWS($1:15)&gt;COUNT(Dong11),0,IF(MID(OFFSET(TH!D$1,SMALL(Dong11,ROWS($1:15)),),4,1)="X",OFFSET(TH!I$1,SMALL(Dong11,ROWS($1:15)),),0))</f>
        <v>0</v>
      </c>
      <c r="J28" s="532">
        <f t="shared" ca="1" si="7"/>
        <v>0</v>
      </c>
      <c r="K28" s="532">
        <f t="shared" ca="1" si="8"/>
        <v>0</v>
      </c>
      <c r="L28" s="532">
        <f t="shared" ca="1" si="9"/>
        <v>0</v>
      </c>
      <c r="M28" s="532"/>
      <c r="N28" s="522"/>
      <c r="O28" s="497"/>
      <c r="P28" s="497"/>
    </row>
    <row r="29" spans="1:16" ht="15">
      <c r="A29" s="480" t="str">
        <f t="shared" ca="1" si="5"/>
        <v/>
      </c>
      <c r="B29" s="528" t="str">
        <f ca="1">IF(ROWS($1:16)&gt;COUNT(Dong11),"",OFFSET(TH!D$1,SMALL(Dong11,ROWS($1:16)),))</f>
        <v/>
      </c>
      <c r="C29" s="529" t="str">
        <f ca="1">IF(ROWS($1:16)&gt;COUNT(Dong11),"",OFFSET(TH!E$1,SMALL(Dong11,ROWS($1:16)),))</f>
        <v/>
      </c>
      <c r="D29" s="530" t="str">
        <f ca="1">IF(ROWS($1:16)&gt;COUNT(Dong11),"",OFFSET(TH!F$1,SMALL(Dong11,ROWS($1:16)),)&amp;" - "&amp;OFFSET(TH!H$1,SMALL(Dong11,ROWS($1:16)),))</f>
        <v/>
      </c>
      <c r="E29" s="528" t="str">
        <f ca="1">IF(ROWS($1:16)&gt;COUNT(Dong11),"",IF(OFFSET(TH!N$1,SMALL(Dong11,ROWS($1:16)),)=$G$7,OFFSET(TH!O$1,SMALL(Dong11,ROWS($1:16)),),OFFSET(TH!N$1,SMALL(Dong11,ROWS($1:16)),)))</f>
        <v/>
      </c>
      <c r="F29" s="531">
        <f ca="1">IF(ROWS($1:16)&gt;COUNT(Dong11),0,OFFSET(TH!J$1,SMALL(Dong11,ROWS($1:16)),))</f>
        <v>0</v>
      </c>
      <c r="G29" s="531">
        <f ca="1">IF(ROWS($1:16)&gt;COUNT(Dong11),0,IF(MID(OFFSET(TH!D$1,SMALL(Dong11,ROWS($1:16)),),4,1)="N",OFFSET(TH!I$1,SMALL(Dong11,ROWS($1:16)),),0))</f>
        <v>0</v>
      </c>
      <c r="H29" s="532">
        <f t="shared" ca="1" si="6"/>
        <v>0</v>
      </c>
      <c r="I29" s="531">
        <f ca="1">IF(ROWS($1:16)&gt;COUNT(Dong11),0,IF(MID(OFFSET(TH!D$1,SMALL(Dong11,ROWS($1:16)),),4,1)="X",OFFSET(TH!I$1,SMALL(Dong11,ROWS($1:16)),),0))</f>
        <v>0</v>
      </c>
      <c r="J29" s="532">
        <f t="shared" ca="1" si="7"/>
        <v>0</v>
      </c>
      <c r="K29" s="532">
        <f t="shared" ca="1" si="8"/>
        <v>0</v>
      </c>
      <c r="L29" s="532">
        <f t="shared" ca="1" si="9"/>
        <v>0</v>
      </c>
      <c r="M29" s="532"/>
      <c r="N29" s="522"/>
      <c r="O29" s="497"/>
      <c r="P29" s="497"/>
    </row>
    <row r="30" spans="1:16" ht="15">
      <c r="A30" s="480" t="str">
        <f t="shared" ca="1" si="5"/>
        <v/>
      </c>
      <c r="B30" s="528" t="str">
        <f ca="1">IF(ROWS($1:17)&gt;COUNT(Dong11),"",OFFSET(TH!D$1,SMALL(Dong11,ROWS($1:17)),))</f>
        <v/>
      </c>
      <c r="C30" s="529" t="str">
        <f ca="1">IF(ROWS($1:17)&gt;COUNT(Dong11),"",OFFSET(TH!E$1,SMALL(Dong11,ROWS($1:17)),))</f>
        <v/>
      </c>
      <c r="D30" s="530" t="str">
        <f ca="1">IF(ROWS($1:17)&gt;COUNT(Dong11),"",OFFSET(TH!F$1,SMALL(Dong11,ROWS($1:17)),)&amp;" - "&amp;OFFSET(TH!H$1,SMALL(Dong11,ROWS($1:17)),))</f>
        <v/>
      </c>
      <c r="E30" s="528" t="str">
        <f ca="1">IF(ROWS($1:17)&gt;COUNT(Dong11),"",IF(OFFSET(TH!N$1,SMALL(Dong11,ROWS($1:17)),)=$G$7,OFFSET(TH!O$1,SMALL(Dong11,ROWS($1:17)),),OFFSET(TH!N$1,SMALL(Dong11,ROWS($1:17)),)))</f>
        <v/>
      </c>
      <c r="F30" s="531">
        <f ca="1">IF(ROWS($1:17)&gt;COUNT(Dong11),0,OFFSET(TH!J$1,SMALL(Dong11,ROWS($1:17)),))</f>
        <v>0</v>
      </c>
      <c r="G30" s="531">
        <f ca="1">IF(ROWS($1:17)&gt;COUNT(Dong11),0,IF(MID(OFFSET(TH!D$1,SMALL(Dong11,ROWS($1:17)),),4,1)="N",OFFSET(TH!I$1,SMALL(Dong11,ROWS($1:17)),),0))</f>
        <v>0</v>
      </c>
      <c r="H30" s="532">
        <f t="shared" ca="1" si="6"/>
        <v>0</v>
      </c>
      <c r="I30" s="531">
        <f ca="1">IF(ROWS($1:17)&gt;COUNT(Dong11),0,IF(MID(OFFSET(TH!D$1,SMALL(Dong11,ROWS($1:17)),),4,1)="X",OFFSET(TH!I$1,SMALL(Dong11,ROWS($1:17)),),0))</f>
        <v>0</v>
      </c>
      <c r="J30" s="532">
        <f t="shared" ca="1" si="7"/>
        <v>0</v>
      </c>
      <c r="K30" s="532">
        <f t="shared" ca="1" si="8"/>
        <v>0</v>
      </c>
      <c r="L30" s="532">
        <f t="shared" ca="1" si="9"/>
        <v>0</v>
      </c>
      <c r="M30" s="532"/>
      <c r="N30" s="522"/>
      <c r="O30" s="497"/>
      <c r="P30" s="497"/>
    </row>
    <row r="31" spans="1:16" ht="15">
      <c r="A31" s="480" t="str">
        <f t="shared" ca="1" si="5"/>
        <v/>
      </c>
      <c r="B31" s="528" t="str">
        <f ca="1">IF(ROWS($1:18)&gt;COUNT(Dong11),"",OFFSET(TH!D$1,SMALL(Dong11,ROWS($1:18)),))</f>
        <v/>
      </c>
      <c r="C31" s="529" t="str">
        <f ca="1">IF(ROWS($1:18)&gt;COUNT(Dong11),"",OFFSET(TH!E$1,SMALL(Dong11,ROWS($1:18)),))</f>
        <v/>
      </c>
      <c r="D31" s="530" t="str">
        <f ca="1">IF(ROWS($1:18)&gt;COUNT(Dong11),"",OFFSET(TH!F$1,SMALL(Dong11,ROWS($1:18)),)&amp;" - "&amp;OFFSET(TH!H$1,SMALL(Dong11,ROWS($1:18)),))</f>
        <v/>
      </c>
      <c r="E31" s="528" t="str">
        <f ca="1">IF(ROWS($1:18)&gt;COUNT(Dong11),"",IF(OFFSET(TH!N$1,SMALL(Dong11,ROWS($1:18)),)=$G$7,OFFSET(TH!O$1,SMALL(Dong11,ROWS($1:18)),),OFFSET(TH!N$1,SMALL(Dong11,ROWS($1:18)),)))</f>
        <v/>
      </c>
      <c r="F31" s="531">
        <f ca="1">IF(ROWS($1:18)&gt;COUNT(Dong11),0,OFFSET(TH!J$1,SMALL(Dong11,ROWS($1:18)),))</f>
        <v>0</v>
      </c>
      <c r="G31" s="531">
        <f ca="1">IF(ROWS($1:18)&gt;COUNT(Dong11),0,IF(MID(OFFSET(TH!D$1,SMALL(Dong11,ROWS($1:18)),),4,1)="N",OFFSET(TH!I$1,SMALL(Dong11,ROWS($1:18)),),0))</f>
        <v>0</v>
      </c>
      <c r="H31" s="532">
        <f t="shared" ca="1" si="6"/>
        <v>0</v>
      </c>
      <c r="I31" s="531">
        <f ca="1">IF(ROWS($1:18)&gt;COUNT(Dong11),0,IF(MID(OFFSET(TH!D$1,SMALL(Dong11,ROWS($1:18)),),4,1)="X",OFFSET(TH!I$1,SMALL(Dong11,ROWS($1:18)),),0))</f>
        <v>0</v>
      </c>
      <c r="J31" s="532">
        <f t="shared" ca="1" si="7"/>
        <v>0</v>
      </c>
      <c r="K31" s="532">
        <f t="shared" ca="1" si="8"/>
        <v>0</v>
      </c>
      <c r="L31" s="532">
        <f t="shared" ca="1" si="9"/>
        <v>0</v>
      </c>
      <c r="M31" s="532"/>
      <c r="N31" s="522"/>
      <c r="O31" s="497"/>
      <c r="P31" s="497"/>
    </row>
    <row r="32" spans="1:16" ht="15">
      <c r="A32" s="480" t="str">
        <f t="shared" ca="1" si="5"/>
        <v/>
      </c>
      <c r="B32" s="528" t="str">
        <f ca="1">IF(ROWS($1:19)&gt;COUNT(Dong11),"",OFFSET(TH!D$1,SMALL(Dong11,ROWS($1:19)),))</f>
        <v/>
      </c>
      <c r="C32" s="529" t="str">
        <f ca="1">IF(ROWS($1:19)&gt;COUNT(Dong11),"",OFFSET(TH!E$1,SMALL(Dong11,ROWS($1:19)),))</f>
        <v/>
      </c>
      <c r="D32" s="530" t="str">
        <f ca="1">IF(ROWS($1:19)&gt;COUNT(Dong11),"",OFFSET(TH!F$1,SMALL(Dong11,ROWS($1:19)),)&amp;" - "&amp;OFFSET(TH!H$1,SMALL(Dong11,ROWS($1:19)),))</f>
        <v/>
      </c>
      <c r="E32" s="528" t="str">
        <f ca="1">IF(ROWS($1:19)&gt;COUNT(Dong11),"",IF(OFFSET(TH!N$1,SMALL(Dong11,ROWS($1:19)),)=$G$7,OFFSET(TH!O$1,SMALL(Dong11,ROWS($1:19)),),OFFSET(TH!N$1,SMALL(Dong11,ROWS($1:19)),)))</f>
        <v/>
      </c>
      <c r="F32" s="531">
        <f ca="1">IF(ROWS($1:19)&gt;COUNT(Dong11),0,OFFSET(TH!J$1,SMALL(Dong11,ROWS($1:19)),))</f>
        <v>0</v>
      </c>
      <c r="G32" s="531">
        <f ca="1">IF(ROWS($1:19)&gt;COUNT(Dong11),0,IF(MID(OFFSET(TH!D$1,SMALL(Dong11,ROWS($1:19)),),4,1)="N",OFFSET(TH!I$1,SMALL(Dong11,ROWS($1:19)),),0))</f>
        <v>0</v>
      </c>
      <c r="H32" s="532">
        <f t="shared" ca="1" si="6"/>
        <v>0</v>
      </c>
      <c r="I32" s="531">
        <f ca="1">IF(ROWS($1:19)&gt;COUNT(Dong11),0,IF(MID(OFFSET(TH!D$1,SMALL(Dong11,ROWS($1:19)),),4,1)="X",OFFSET(TH!I$1,SMALL(Dong11,ROWS($1:19)),),0))</f>
        <v>0</v>
      </c>
      <c r="J32" s="532">
        <f t="shared" ca="1" si="7"/>
        <v>0</v>
      </c>
      <c r="K32" s="532">
        <f t="shared" ca="1" si="8"/>
        <v>0</v>
      </c>
      <c r="L32" s="532">
        <f t="shared" ca="1" si="9"/>
        <v>0</v>
      </c>
      <c r="M32" s="532"/>
      <c r="N32" s="522"/>
      <c r="O32" s="497"/>
      <c r="P32" s="497"/>
    </row>
    <row r="33" spans="1:16" ht="15">
      <c r="A33" s="480" t="str">
        <f t="shared" ca="1" si="5"/>
        <v/>
      </c>
      <c r="B33" s="528" t="str">
        <f ca="1">IF(ROWS($1:20)&gt;COUNT(Dong11),"",OFFSET(TH!D$1,SMALL(Dong11,ROWS($1:20)),))</f>
        <v/>
      </c>
      <c r="C33" s="529" t="str">
        <f ca="1">IF(ROWS($1:20)&gt;COUNT(Dong11),"",OFFSET(TH!E$1,SMALL(Dong11,ROWS($1:20)),))</f>
        <v/>
      </c>
      <c r="D33" s="530" t="str">
        <f ca="1">IF(ROWS($1:20)&gt;COUNT(Dong11),"",OFFSET(TH!F$1,SMALL(Dong11,ROWS($1:20)),)&amp;" - "&amp;OFFSET(TH!H$1,SMALL(Dong11,ROWS($1:20)),))</f>
        <v/>
      </c>
      <c r="E33" s="528" t="str">
        <f ca="1">IF(ROWS($1:20)&gt;COUNT(Dong11),"",IF(OFFSET(TH!N$1,SMALL(Dong11,ROWS($1:20)),)=$G$7,OFFSET(TH!O$1,SMALL(Dong11,ROWS($1:20)),),OFFSET(TH!N$1,SMALL(Dong11,ROWS($1:20)),)))</f>
        <v/>
      </c>
      <c r="F33" s="531">
        <f ca="1">IF(ROWS($1:20)&gt;COUNT(Dong11),0,OFFSET(TH!J$1,SMALL(Dong11,ROWS($1:20)),))</f>
        <v>0</v>
      </c>
      <c r="G33" s="531">
        <f ca="1">IF(ROWS($1:20)&gt;COUNT(Dong11),0,IF(MID(OFFSET(TH!D$1,SMALL(Dong11,ROWS($1:20)),),4,1)="N",OFFSET(TH!I$1,SMALL(Dong11,ROWS($1:20)),),0))</f>
        <v>0</v>
      </c>
      <c r="H33" s="532">
        <f t="shared" ca="1" si="6"/>
        <v>0</v>
      </c>
      <c r="I33" s="531">
        <f ca="1">IF(ROWS($1:20)&gt;COUNT(Dong11),0,IF(MID(OFFSET(TH!D$1,SMALL(Dong11,ROWS($1:20)),),4,1)="X",OFFSET(TH!I$1,SMALL(Dong11,ROWS($1:20)),),0))</f>
        <v>0</v>
      </c>
      <c r="J33" s="532">
        <f t="shared" ca="1" si="7"/>
        <v>0</v>
      </c>
      <c r="K33" s="532">
        <f t="shared" ca="1" si="8"/>
        <v>0</v>
      </c>
      <c r="L33" s="532">
        <f t="shared" ca="1" si="9"/>
        <v>0</v>
      </c>
      <c r="M33" s="532"/>
      <c r="N33" s="522"/>
      <c r="O33" s="497"/>
      <c r="P33" s="497"/>
    </row>
    <row r="34" spans="1:16" ht="15">
      <c r="A34" s="480" t="str">
        <f t="shared" ca="1" si="5"/>
        <v/>
      </c>
      <c r="B34" s="528" t="str">
        <f ca="1">IF(ROWS($1:21)&gt;COUNT(Dong11),"",OFFSET(TH!D$1,SMALL(Dong11,ROWS($1:21)),))</f>
        <v/>
      </c>
      <c r="C34" s="529" t="str">
        <f ca="1">IF(ROWS($1:21)&gt;COUNT(Dong11),"",OFFSET(TH!E$1,SMALL(Dong11,ROWS($1:21)),))</f>
        <v/>
      </c>
      <c r="D34" s="530" t="str">
        <f ca="1">IF(ROWS($1:21)&gt;COUNT(Dong11),"",OFFSET(TH!F$1,SMALL(Dong11,ROWS($1:21)),)&amp;" - "&amp;OFFSET(TH!H$1,SMALL(Dong11,ROWS($1:21)),))</f>
        <v/>
      </c>
      <c r="E34" s="528" t="str">
        <f ca="1">IF(ROWS($1:21)&gt;COUNT(Dong11),"",IF(OFFSET(TH!N$1,SMALL(Dong11,ROWS($1:21)),)=$G$7,OFFSET(TH!O$1,SMALL(Dong11,ROWS($1:21)),),OFFSET(TH!N$1,SMALL(Dong11,ROWS($1:21)),)))</f>
        <v/>
      </c>
      <c r="F34" s="531">
        <f ca="1">IF(ROWS($1:21)&gt;COUNT(Dong11),0,OFFSET(TH!J$1,SMALL(Dong11,ROWS($1:21)),))</f>
        <v>0</v>
      </c>
      <c r="G34" s="531">
        <f ca="1">IF(ROWS($1:21)&gt;COUNT(Dong11),0,IF(MID(OFFSET(TH!D$1,SMALL(Dong11,ROWS($1:21)),),4,1)="N",OFFSET(TH!I$1,SMALL(Dong11,ROWS($1:21)),),0))</f>
        <v>0</v>
      </c>
      <c r="H34" s="532">
        <f t="shared" ca="1" si="6"/>
        <v>0</v>
      </c>
      <c r="I34" s="531">
        <f ca="1">IF(ROWS($1:21)&gt;COUNT(Dong11),0,IF(MID(OFFSET(TH!D$1,SMALL(Dong11,ROWS($1:21)),),4,1)="X",OFFSET(TH!I$1,SMALL(Dong11,ROWS($1:21)),),0))</f>
        <v>0</v>
      </c>
      <c r="J34" s="532">
        <f t="shared" ca="1" si="7"/>
        <v>0</v>
      </c>
      <c r="K34" s="532">
        <f t="shared" ca="1" si="8"/>
        <v>0</v>
      </c>
      <c r="L34" s="532">
        <f t="shared" ca="1" si="9"/>
        <v>0</v>
      </c>
      <c r="M34" s="532"/>
      <c r="N34" s="522"/>
      <c r="O34" s="497"/>
      <c r="P34" s="497"/>
    </row>
    <row r="35" spans="1:16" ht="15">
      <c r="A35" s="480" t="str">
        <f t="shared" ca="1" si="5"/>
        <v/>
      </c>
      <c r="B35" s="528" t="str">
        <f ca="1">IF(ROWS($1:22)&gt;COUNT(Dong11),"",OFFSET(TH!D$1,SMALL(Dong11,ROWS($1:22)),))</f>
        <v/>
      </c>
      <c r="C35" s="529" t="str">
        <f ca="1">IF(ROWS($1:22)&gt;COUNT(Dong11),"",OFFSET(TH!E$1,SMALL(Dong11,ROWS($1:22)),))</f>
        <v/>
      </c>
      <c r="D35" s="530" t="str">
        <f ca="1">IF(ROWS($1:22)&gt;COUNT(Dong11),"",OFFSET(TH!F$1,SMALL(Dong11,ROWS($1:22)),)&amp;" - "&amp;OFFSET(TH!H$1,SMALL(Dong11,ROWS($1:22)),))</f>
        <v/>
      </c>
      <c r="E35" s="528" t="str">
        <f ca="1">IF(ROWS($1:22)&gt;COUNT(Dong11),"",IF(OFFSET(TH!N$1,SMALL(Dong11,ROWS($1:22)),)=$G$7,OFFSET(TH!O$1,SMALL(Dong11,ROWS($1:22)),),OFFSET(TH!N$1,SMALL(Dong11,ROWS($1:22)),)))</f>
        <v/>
      </c>
      <c r="F35" s="531">
        <f ca="1">IF(ROWS($1:22)&gt;COUNT(Dong11),0,OFFSET(TH!J$1,SMALL(Dong11,ROWS($1:22)),))</f>
        <v>0</v>
      </c>
      <c r="G35" s="531">
        <f ca="1">IF(ROWS($1:22)&gt;COUNT(Dong11),0,IF(MID(OFFSET(TH!D$1,SMALL(Dong11,ROWS($1:22)),),4,1)="N",OFFSET(TH!I$1,SMALL(Dong11,ROWS($1:22)),),0))</f>
        <v>0</v>
      </c>
      <c r="H35" s="532">
        <f t="shared" ca="1" si="6"/>
        <v>0</v>
      </c>
      <c r="I35" s="531">
        <f ca="1">IF(ROWS($1:22)&gt;COUNT(Dong11),0,IF(MID(OFFSET(TH!D$1,SMALL(Dong11,ROWS($1:22)),),4,1)="X",OFFSET(TH!I$1,SMALL(Dong11,ROWS($1:22)),),0))</f>
        <v>0</v>
      </c>
      <c r="J35" s="532">
        <f t="shared" ca="1" si="7"/>
        <v>0</v>
      </c>
      <c r="K35" s="532">
        <f t="shared" ca="1" si="8"/>
        <v>0</v>
      </c>
      <c r="L35" s="532">
        <f t="shared" ca="1" si="9"/>
        <v>0</v>
      </c>
      <c r="M35" s="532"/>
      <c r="N35" s="522"/>
      <c r="O35" s="497"/>
      <c r="P35" s="497"/>
    </row>
    <row r="36" spans="1:16" ht="15">
      <c r="A36" s="480" t="str">
        <f t="shared" ca="1" si="5"/>
        <v/>
      </c>
      <c r="B36" s="528" t="str">
        <f ca="1">IF(ROWS($1:23)&gt;COUNT(Dong11),"",OFFSET(TH!D$1,SMALL(Dong11,ROWS($1:23)),))</f>
        <v/>
      </c>
      <c r="C36" s="529" t="str">
        <f ca="1">IF(ROWS($1:23)&gt;COUNT(Dong11),"",OFFSET(TH!E$1,SMALL(Dong11,ROWS($1:23)),))</f>
        <v/>
      </c>
      <c r="D36" s="530" t="str">
        <f ca="1">IF(ROWS($1:23)&gt;COUNT(Dong11),"",OFFSET(TH!F$1,SMALL(Dong11,ROWS($1:23)),)&amp;" - "&amp;OFFSET(TH!H$1,SMALL(Dong11,ROWS($1:23)),))</f>
        <v/>
      </c>
      <c r="E36" s="528" t="str">
        <f ca="1">IF(ROWS($1:23)&gt;COUNT(Dong11),"",IF(OFFSET(TH!N$1,SMALL(Dong11,ROWS($1:23)),)=$G$7,OFFSET(TH!O$1,SMALL(Dong11,ROWS($1:23)),),OFFSET(TH!N$1,SMALL(Dong11,ROWS($1:23)),)))</f>
        <v/>
      </c>
      <c r="F36" s="531">
        <f ca="1">IF(ROWS($1:23)&gt;COUNT(Dong11),0,OFFSET(TH!J$1,SMALL(Dong11,ROWS($1:23)),))</f>
        <v>0</v>
      </c>
      <c r="G36" s="531">
        <f ca="1">IF(ROWS($1:23)&gt;COUNT(Dong11),0,IF(MID(OFFSET(TH!D$1,SMALL(Dong11,ROWS($1:23)),),4,1)="N",OFFSET(TH!I$1,SMALL(Dong11,ROWS($1:23)),),0))</f>
        <v>0</v>
      </c>
      <c r="H36" s="532">
        <f t="shared" ca="1" si="6"/>
        <v>0</v>
      </c>
      <c r="I36" s="531">
        <f ca="1">IF(ROWS($1:23)&gt;COUNT(Dong11),0,IF(MID(OFFSET(TH!D$1,SMALL(Dong11,ROWS($1:23)),),4,1)="X",OFFSET(TH!I$1,SMALL(Dong11,ROWS($1:23)),),0))</f>
        <v>0</v>
      </c>
      <c r="J36" s="532">
        <f t="shared" ca="1" si="7"/>
        <v>0</v>
      </c>
      <c r="K36" s="532">
        <f t="shared" ca="1" si="8"/>
        <v>0</v>
      </c>
      <c r="L36" s="532">
        <f t="shared" ca="1" si="9"/>
        <v>0</v>
      </c>
      <c r="M36" s="532"/>
      <c r="N36" s="522"/>
      <c r="O36" s="497"/>
      <c r="P36" s="497"/>
    </row>
    <row r="37" spans="1:16" ht="15">
      <c r="A37" s="480" t="str">
        <f t="shared" ca="1" si="5"/>
        <v/>
      </c>
      <c r="B37" s="528" t="str">
        <f ca="1">IF(ROWS($1:24)&gt;COUNT(Dong11),"",OFFSET(TH!D$1,SMALL(Dong11,ROWS($1:24)),))</f>
        <v/>
      </c>
      <c r="C37" s="529" t="str">
        <f ca="1">IF(ROWS($1:24)&gt;COUNT(Dong11),"",OFFSET(TH!E$1,SMALL(Dong11,ROWS($1:24)),))</f>
        <v/>
      </c>
      <c r="D37" s="530" t="str">
        <f ca="1">IF(ROWS($1:24)&gt;COUNT(Dong11),"",OFFSET(TH!F$1,SMALL(Dong11,ROWS($1:24)),)&amp;" - "&amp;OFFSET(TH!H$1,SMALL(Dong11,ROWS($1:24)),))</f>
        <v/>
      </c>
      <c r="E37" s="528" t="str">
        <f ca="1">IF(ROWS($1:24)&gt;COUNT(Dong11),"",IF(OFFSET(TH!N$1,SMALL(Dong11,ROWS($1:24)),)=$G$7,OFFSET(TH!O$1,SMALL(Dong11,ROWS($1:24)),),OFFSET(TH!N$1,SMALL(Dong11,ROWS($1:24)),)))</f>
        <v/>
      </c>
      <c r="F37" s="531">
        <f ca="1">IF(ROWS($1:24)&gt;COUNT(Dong11),0,OFFSET(TH!J$1,SMALL(Dong11,ROWS($1:24)),))</f>
        <v>0</v>
      </c>
      <c r="G37" s="531">
        <f ca="1">IF(ROWS($1:24)&gt;COUNT(Dong11),0,IF(MID(OFFSET(TH!D$1,SMALL(Dong11,ROWS($1:24)),),4,1)="N",OFFSET(TH!I$1,SMALL(Dong11,ROWS($1:24)),),0))</f>
        <v>0</v>
      </c>
      <c r="H37" s="532">
        <f t="shared" ca="1" si="6"/>
        <v>0</v>
      </c>
      <c r="I37" s="531">
        <f ca="1">IF(ROWS($1:24)&gt;COUNT(Dong11),0,IF(MID(OFFSET(TH!D$1,SMALL(Dong11,ROWS($1:24)),),4,1)="X",OFFSET(TH!I$1,SMALL(Dong11,ROWS($1:24)),),0))</f>
        <v>0</v>
      </c>
      <c r="J37" s="532">
        <f t="shared" ca="1" si="7"/>
        <v>0</v>
      </c>
      <c r="K37" s="532">
        <f t="shared" ca="1" si="8"/>
        <v>0</v>
      </c>
      <c r="L37" s="532">
        <f t="shared" ca="1" si="9"/>
        <v>0</v>
      </c>
      <c r="M37" s="532"/>
      <c r="N37" s="522"/>
      <c r="O37" s="497"/>
      <c r="P37" s="497"/>
    </row>
    <row r="38" spans="1:16" ht="15">
      <c r="A38" s="480" t="str">
        <f t="shared" ca="1" si="5"/>
        <v/>
      </c>
      <c r="B38" s="528" t="str">
        <f ca="1">IF(ROWS($1:25)&gt;COUNT(Dong11),"",OFFSET(TH!D$1,SMALL(Dong11,ROWS($1:25)),))</f>
        <v/>
      </c>
      <c r="C38" s="529" t="str">
        <f ca="1">IF(ROWS($1:25)&gt;COUNT(Dong11),"",OFFSET(TH!E$1,SMALL(Dong11,ROWS($1:25)),))</f>
        <v/>
      </c>
      <c r="D38" s="530" t="str">
        <f ca="1">IF(ROWS($1:25)&gt;COUNT(Dong11),"",OFFSET(TH!F$1,SMALL(Dong11,ROWS($1:25)),)&amp;" - "&amp;OFFSET(TH!H$1,SMALL(Dong11,ROWS($1:25)),))</f>
        <v/>
      </c>
      <c r="E38" s="528" t="str">
        <f ca="1">IF(ROWS($1:25)&gt;COUNT(Dong11),"",IF(OFFSET(TH!N$1,SMALL(Dong11,ROWS($1:25)),)=$G$7,OFFSET(TH!O$1,SMALL(Dong11,ROWS($1:25)),),OFFSET(TH!N$1,SMALL(Dong11,ROWS($1:25)),)))</f>
        <v/>
      </c>
      <c r="F38" s="531">
        <f ca="1">IF(ROWS($1:25)&gt;COUNT(Dong11),0,OFFSET(TH!J$1,SMALL(Dong11,ROWS($1:25)),))</f>
        <v>0</v>
      </c>
      <c r="G38" s="531">
        <f ca="1">IF(ROWS($1:25)&gt;COUNT(Dong11),0,IF(MID(OFFSET(TH!D$1,SMALL(Dong11,ROWS($1:25)),),4,1)="N",OFFSET(TH!I$1,SMALL(Dong11,ROWS($1:25)),),0))</f>
        <v>0</v>
      </c>
      <c r="H38" s="532">
        <f t="shared" ca="1" si="6"/>
        <v>0</v>
      </c>
      <c r="I38" s="531">
        <f ca="1">IF(ROWS($1:25)&gt;COUNT(Dong11),0,IF(MID(OFFSET(TH!D$1,SMALL(Dong11,ROWS($1:25)),),4,1)="X",OFFSET(TH!I$1,SMALL(Dong11,ROWS($1:25)),),0))</f>
        <v>0</v>
      </c>
      <c r="J38" s="532">
        <f t="shared" ca="1" si="7"/>
        <v>0</v>
      </c>
      <c r="K38" s="532">
        <f t="shared" ca="1" si="8"/>
        <v>0</v>
      </c>
      <c r="L38" s="532">
        <f t="shared" ca="1" si="9"/>
        <v>0</v>
      </c>
      <c r="M38" s="532"/>
      <c r="N38" s="522"/>
      <c r="O38" s="497"/>
      <c r="P38" s="497"/>
    </row>
    <row r="39" spans="1:16" ht="15">
      <c r="A39" s="480" t="str">
        <f t="shared" ca="1" si="5"/>
        <v/>
      </c>
      <c r="B39" s="528" t="str">
        <f ca="1">IF(ROWS($1:26)&gt;COUNT(Dong11),"",OFFSET(TH!D$1,SMALL(Dong11,ROWS($1:26)),))</f>
        <v/>
      </c>
      <c r="C39" s="529" t="str">
        <f ca="1">IF(ROWS($1:26)&gt;COUNT(Dong11),"",OFFSET(TH!E$1,SMALL(Dong11,ROWS($1:26)),))</f>
        <v/>
      </c>
      <c r="D39" s="530" t="str">
        <f ca="1">IF(ROWS($1:26)&gt;COUNT(Dong11),"",OFFSET(TH!F$1,SMALL(Dong11,ROWS($1:26)),)&amp;" - "&amp;OFFSET(TH!H$1,SMALL(Dong11,ROWS($1:26)),))</f>
        <v/>
      </c>
      <c r="E39" s="528" t="str">
        <f ca="1">IF(ROWS($1:26)&gt;COUNT(Dong11),"",IF(OFFSET(TH!N$1,SMALL(Dong11,ROWS($1:26)),)=$G$7,OFFSET(TH!O$1,SMALL(Dong11,ROWS($1:26)),),OFFSET(TH!N$1,SMALL(Dong11,ROWS($1:26)),)))</f>
        <v/>
      </c>
      <c r="F39" s="531">
        <f ca="1">IF(ROWS($1:26)&gt;COUNT(Dong11),0,OFFSET(TH!J$1,SMALL(Dong11,ROWS($1:26)),))</f>
        <v>0</v>
      </c>
      <c r="G39" s="531">
        <f ca="1">IF(ROWS($1:26)&gt;COUNT(Dong11),0,IF(MID(OFFSET(TH!D$1,SMALL(Dong11,ROWS($1:26)),),4,1)="N",OFFSET(TH!I$1,SMALL(Dong11,ROWS($1:26)),),0))</f>
        <v>0</v>
      </c>
      <c r="H39" s="532">
        <f t="shared" ca="1" si="6"/>
        <v>0</v>
      </c>
      <c r="I39" s="531">
        <f ca="1">IF(ROWS($1:26)&gt;COUNT(Dong11),0,IF(MID(OFFSET(TH!D$1,SMALL(Dong11,ROWS($1:26)),),4,1)="X",OFFSET(TH!I$1,SMALL(Dong11,ROWS($1:26)),),0))</f>
        <v>0</v>
      </c>
      <c r="J39" s="532">
        <f t="shared" ca="1" si="7"/>
        <v>0</v>
      </c>
      <c r="K39" s="532">
        <f t="shared" ca="1" si="8"/>
        <v>0</v>
      </c>
      <c r="L39" s="532">
        <f t="shared" ca="1" si="9"/>
        <v>0</v>
      </c>
      <c r="M39" s="532"/>
      <c r="N39" s="522"/>
      <c r="O39" s="497"/>
      <c r="P39" s="497"/>
    </row>
    <row r="40" spans="1:16" ht="15">
      <c r="A40" s="480" t="str">
        <f t="shared" ca="1" si="5"/>
        <v/>
      </c>
      <c r="B40" s="528" t="str">
        <f ca="1">IF(ROWS($1:27)&gt;COUNT(Dong11),"",OFFSET(TH!D$1,SMALL(Dong11,ROWS($1:27)),))</f>
        <v/>
      </c>
      <c r="C40" s="529" t="str">
        <f ca="1">IF(ROWS($1:27)&gt;COUNT(Dong11),"",OFFSET(TH!E$1,SMALL(Dong11,ROWS($1:27)),))</f>
        <v/>
      </c>
      <c r="D40" s="530" t="str">
        <f ca="1">IF(ROWS($1:27)&gt;COUNT(Dong11),"",OFFSET(TH!F$1,SMALL(Dong11,ROWS($1:27)),)&amp;" - "&amp;OFFSET(TH!H$1,SMALL(Dong11,ROWS($1:27)),))</f>
        <v/>
      </c>
      <c r="E40" s="528" t="str">
        <f ca="1">IF(ROWS($1:27)&gt;COUNT(Dong11),"",IF(OFFSET(TH!N$1,SMALL(Dong11,ROWS($1:27)),)=$G$7,OFFSET(TH!O$1,SMALL(Dong11,ROWS($1:27)),),OFFSET(TH!N$1,SMALL(Dong11,ROWS($1:27)),)))</f>
        <v/>
      </c>
      <c r="F40" s="531">
        <f ca="1">IF(ROWS($1:27)&gt;COUNT(Dong11),0,OFFSET(TH!J$1,SMALL(Dong11,ROWS($1:27)),))</f>
        <v>0</v>
      </c>
      <c r="G40" s="531">
        <f ca="1">IF(ROWS($1:27)&gt;COUNT(Dong11),0,IF(MID(OFFSET(TH!D$1,SMALL(Dong11,ROWS($1:27)),),4,1)="N",OFFSET(TH!I$1,SMALL(Dong11,ROWS($1:27)),),0))</f>
        <v>0</v>
      </c>
      <c r="H40" s="532">
        <f t="shared" ca="1" si="6"/>
        <v>0</v>
      </c>
      <c r="I40" s="531">
        <f ca="1">IF(ROWS($1:27)&gt;COUNT(Dong11),0,IF(MID(OFFSET(TH!D$1,SMALL(Dong11,ROWS($1:27)),),4,1)="X",OFFSET(TH!I$1,SMALL(Dong11,ROWS($1:27)),),0))</f>
        <v>0</v>
      </c>
      <c r="J40" s="532">
        <f t="shared" ca="1" si="7"/>
        <v>0</v>
      </c>
      <c r="K40" s="532">
        <f t="shared" ca="1" si="8"/>
        <v>0</v>
      </c>
      <c r="L40" s="532">
        <f t="shared" ca="1" si="9"/>
        <v>0</v>
      </c>
      <c r="M40" s="532"/>
      <c r="N40" s="522"/>
      <c r="O40" s="497"/>
      <c r="P40" s="497"/>
    </row>
    <row r="41" spans="1:16" ht="15">
      <c r="A41" s="480" t="str">
        <f t="shared" ca="1" si="5"/>
        <v/>
      </c>
      <c r="B41" s="528" t="str">
        <f ca="1">IF(ROWS($1:28)&gt;COUNT(Dong11),"",OFFSET(TH!D$1,SMALL(Dong11,ROWS($1:28)),))</f>
        <v/>
      </c>
      <c r="C41" s="529" t="str">
        <f ca="1">IF(ROWS($1:28)&gt;COUNT(Dong11),"",OFFSET(TH!E$1,SMALL(Dong11,ROWS($1:28)),))</f>
        <v/>
      </c>
      <c r="D41" s="530" t="str">
        <f ca="1">IF(ROWS($1:28)&gt;COUNT(Dong11),"",OFFSET(TH!F$1,SMALL(Dong11,ROWS($1:28)),)&amp;" - "&amp;OFFSET(TH!H$1,SMALL(Dong11,ROWS($1:28)),))</f>
        <v/>
      </c>
      <c r="E41" s="528" t="str">
        <f ca="1">IF(ROWS($1:28)&gt;COUNT(Dong11),"",IF(OFFSET(TH!N$1,SMALL(Dong11,ROWS($1:28)),)=$G$7,OFFSET(TH!O$1,SMALL(Dong11,ROWS($1:28)),),OFFSET(TH!N$1,SMALL(Dong11,ROWS($1:28)),)))</f>
        <v/>
      </c>
      <c r="F41" s="531">
        <f ca="1">IF(ROWS($1:28)&gt;COUNT(Dong11),0,OFFSET(TH!J$1,SMALL(Dong11,ROWS($1:28)),))</f>
        <v>0</v>
      </c>
      <c r="G41" s="531">
        <f ca="1">IF(ROWS($1:28)&gt;COUNT(Dong11),0,IF(MID(OFFSET(TH!D$1,SMALL(Dong11,ROWS($1:28)),),4,1)="N",OFFSET(TH!I$1,SMALL(Dong11,ROWS($1:28)),),0))</f>
        <v>0</v>
      </c>
      <c r="H41" s="532">
        <f t="shared" ca="1" si="6"/>
        <v>0</v>
      </c>
      <c r="I41" s="531">
        <f ca="1">IF(ROWS($1:28)&gt;COUNT(Dong11),0,IF(MID(OFFSET(TH!D$1,SMALL(Dong11,ROWS($1:28)),),4,1)="X",OFFSET(TH!I$1,SMALL(Dong11,ROWS($1:28)),),0))</f>
        <v>0</v>
      </c>
      <c r="J41" s="532">
        <f t="shared" ca="1" si="7"/>
        <v>0</v>
      </c>
      <c r="K41" s="532">
        <f t="shared" ca="1" si="8"/>
        <v>0</v>
      </c>
      <c r="L41" s="532">
        <f t="shared" ca="1" si="9"/>
        <v>0</v>
      </c>
      <c r="M41" s="532"/>
      <c r="N41" s="522"/>
      <c r="O41" s="497"/>
      <c r="P41" s="497"/>
    </row>
    <row r="42" spans="1:16" ht="15">
      <c r="A42" s="480" t="str">
        <f t="shared" ca="1" si="5"/>
        <v/>
      </c>
      <c r="B42" s="528" t="str">
        <f ca="1">IF(ROWS($1:29)&gt;COUNT(Dong11),"",OFFSET(TH!D$1,SMALL(Dong11,ROWS($1:29)),))</f>
        <v/>
      </c>
      <c r="C42" s="529" t="str">
        <f ca="1">IF(ROWS($1:29)&gt;COUNT(Dong11),"",OFFSET(TH!E$1,SMALL(Dong11,ROWS($1:29)),))</f>
        <v/>
      </c>
      <c r="D42" s="530" t="str">
        <f ca="1">IF(ROWS($1:29)&gt;COUNT(Dong11),"",OFFSET(TH!F$1,SMALL(Dong11,ROWS($1:29)),)&amp;" - "&amp;OFFSET(TH!H$1,SMALL(Dong11,ROWS($1:29)),))</f>
        <v/>
      </c>
      <c r="E42" s="528" t="str">
        <f ca="1">IF(ROWS($1:29)&gt;COUNT(Dong11),"",IF(OFFSET(TH!N$1,SMALL(Dong11,ROWS($1:29)),)=$G$7,OFFSET(TH!O$1,SMALL(Dong11,ROWS($1:29)),),OFFSET(TH!N$1,SMALL(Dong11,ROWS($1:29)),)))</f>
        <v/>
      </c>
      <c r="F42" s="531">
        <f ca="1">IF(ROWS($1:29)&gt;COUNT(Dong11),0,OFFSET(TH!J$1,SMALL(Dong11,ROWS($1:29)),))</f>
        <v>0</v>
      </c>
      <c r="G42" s="531">
        <f ca="1">IF(ROWS($1:29)&gt;COUNT(Dong11),0,IF(MID(OFFSET(TH!D$1,SMALL(Dong11,ROWS($1:29)),),4,1)="N",OFFSET(TH!I$1,SMALL(Dong11,ROWS($1:29)),),0))</f>
        <v>0</v>
      </c>
      <c r="H42" s="532">
        <f t="shared" ca="1" si="6"/>
        <v>0</v>
      </c>
      <c r="I42" s="531">
        <f ca="1">IF(ROWS($1:29)&gt;COUNT(Dong11),0,IF(MID(OFFSET(TH!D$1,SMALL(Dong11,ROWS($1:29)),),4,1)="X",OFFSET(TH!I$1,SMALL(Dong11,ROWS($1:29)),),0))</f>
        <v>0</v>
      </c>
      <c r="J42" s="532">
        <f t="shared" ca="1" si="7"/>
        <v>0</v>
      </c>
      <c r="K42" s="532">
        <f t="shared" ca="1" si="8"/>
        <v>0</v>
      </c>
      <c r="L42" s="532">
        <f t="shared" ca="1" si="9"/>
        <v>0</v>
      </c>
      <c r="M42" s="532"/>
      <c r="N42" s="522"/>
      <c r="O42" s="497"/>
      <c r="P42" s="497"/>
    </row>
    <row r="43" spans="1:16" ht="15">
      <c r="A43" s="480" t="str">
        <f t="shared" ca="1" si="5"/>
        <v/>
      </c>
      <c r="B43" s="528" t="str">
        <f ca="1">IF(ROWS($1:30)&gt;COUNT(Dong11),"",OFFSET(TH!D$1,SMALL(Dong11,ROWS($1:30)),))</f>
        <v/>
      </c>
      <c r="C43" s="529" t="str">
        <f ca="1">IF(ROWS($1:30)&gt;COUNT(Dong11),"",OFFSET(TH!E$1,SMALL(Dong11,ROWS($1:30)),))</f>
        <v/>
      </c>
      <c r="D43" s="530" t="str">
        <f ca="1">IF(ROWS($1:30)&gt;COUNT(Dong11),"",OFFSET(TH!F$1,SMALL(Dong11,ROWS($1:30)),)&amp;" - "&amp;OFFSET(TH!H$1,SMALL(Dong11,ROWS($1:30)),))</f>
        <v/>
      </c>
      <c r="E43" s="528" t="str">
        <f ca="1">IF(ROWS($1:30)&gt;COUNT(Dong11),"",IF(OFFSET(TH!N$1,SMALL(Dong11,ROWS($1:30)),)=$G$7,OFFSET(TH!O$1,SMALL(Dong11,ROWS($1:30)),),OFFSET(TH!N$1,SMALL(Dong11,ROWS($1:30)),)))</f>
        <v/>
      </c>
      <c r="F43" s="531">
        <f ca="1">IF(ROWS($1:30)&gt;COUNT(Dong11),0,OFFSET(TH!J$1,SMALL(Dong11,ROWS($1:30)),))</f>
        <v>0</v>
      </c>
      <c r="G43" s="531">
        <f ca="1">IF(ROWS($1:30)&gt;COUNT(Dong11),0,IF(MID(OFFSET(TH!D$1,SMALL(Dong11,ROWS($1:30)),),4,1)="N",OFFSET(TH!I$1,SMALL(Dong11,ROWS($1:30)),),0))</f>
        <v>0</v>
      </c>
      <c r="H43" s="532">
        <f t="shared" ca="1" si="6"/>
        <v>0</v>
      </c>
      <c r="I43" s="531">
        <f ca="1">IF(ROWS($1:30)&gt;COUNT(Dong11),0,IF(MID(OFFSET(TH!D$1,SMALL(Dong11,ROWS($1:30)),),4,1)="X",OFFSET(TH!I$1,SMALL(Dong11,ROWS($1:30)),),0))</f>
        <v>0</v>
      </c>
      <c r="J43" s="532">
        <f t="shared" ca="1" si="7"/>
        <v>0</v>
      </c>
      <c r="K43" s="532">
        <f t="shared" ca="1" si="8"/>
        <v>0</v>
      </c>
      <c r="L43" s="532">
        <f t="shared" ca="1" si="9"/>
        <v>0</v>
      </c>
      <c r="M43" s="532"/>
      <c r="N43" s="522"/>
      <c r="O43" s="497"/>
      <c r="P43" s="497"/>
    </row>
    <row r="44" spans="1:16" ht="15">
      <c r="A44" s="480" t="str">
        <f t="shared" ca="1" si="5"/>
        <v/>
      </c>
      <c r="B44" s="528" t="str">
        <f ca="1">IF(ROWS($1:31)&gt;COUNT(Dong11),"",OFFSET(TH!D$1,SMALL(Dong11,ROWS($1:31)),))</f>
        <v/>
      </c>
      <c r="C44" s="529" t="str">
        <f ca="1">IF(ROWS($1:31)&gt;COUNT(Dong11),"",OFFSET(TH!E$1,SMALL(Dong11,ROWS($1:31)),))</f>
        <v/>
      </c>
      <c r="D44" s="530" t="str">
        <f ca="1">IF(ROWS($1:31)&gt;COUNT(Dong11),"",OFFSET(TH!F$1,SMALL(Dong11,ROWS($1:31)),)&amp;" - "&amp;OFFSET(TH!H$1,SMALL(Dong11,ROWS($1:31)),))</f>
        <v/>
      </c>
      <c r="E44" s="528" t="str">
        <f ca="1">IF(ROWS($1:31)&gt;COUNT(Dong11),"",IF(OFFSET(TH!N$1,SMALL(Dong11,ROWS($1:31)),)=$G$7,OFFSET(TH!O$1,SMALL(Dong11,ROWS($1:31)),),OFFSET(TH!N$1,SMALL(Dong11,ROWS($1:31)),)))</f>
        <v/>
      </c>
      <c r="F44" s="531">
        <f ca="1">IF(ROWS($1:31)&gt;COUNT(Dong11),0,OFFSET(TH!J$1,SMALL(Dong11,ROWS($1:31)),))</f>
        <v>0</v>
      </c>
      <c r="G44" s="531">
        <f ca="1">IF(ROWS($1:31)&gt;COUNT(Dong11),0,IF(MID(OFFSET(TH!D$1,SMALL(Dong11,ROWS($1:31)),),4,1)="N",OFFSET(TH!I$1,SMALL(Dong11,ROWS($1:31)),),0))</f>
        <v>0</v>
      </c>
      <c r="H44" s="532">
        <f t="shared" ca="1" si="6"/>
        <v>0</v>
      </c>
      <c r="I44" s="531">
        <f ca="1">IF(ROWS($1:31)&gt;COUNT(Dong11),0,IF(MID(OFFSET(TH!D$1,SMALL(Dong11,ROWS($1:31)),),4,1)="X",OFFSET(TH!I$1,SMALL(Dong11,ROWS($1:31)),),0))</f>
        <v>0</v>
      </c>
      <c r="J44" s="532">
        <f t="shared" ca="1" si="7"/>
        <v>0</v>
      </c>
      <c r="K44" s="532">
        <f t="shared" ca="1" si="8"/>
        <v>0</v>
      </c>
      <c r="L44" s="532">
        <f t="shared" ca="1" si="9"/>
        <v>0</v>
      </c>
      <c r="M44" s="532"/>
      <c r="N44" s="522"/>
      <c r="O44" s="497"/>
      <c r="P44" s="497"/>
    </row>
    <row r="45" spans="1:16" ht="15">
      <c r="A45" s="480" t="str">
        <f t="shared" ca="1" si="5"/>
        <v/>
      </c>
      <c r="B45" s="528" t="str">
        <f ca="1">IF(ROWS($1:32)&gt;COUNT(Dong11),"",OFFSET(TH!D$1,SMALL(Dong11,ROWS($1:32)),))</f>
        <v/>
      </c>
      <c r="C45" s="529" t="str">
        <f ca="1">IF(ROWS($1:32)&gt;COUNT(Dong11),"",OFFSET(TH!E$1,SMALL(Dong11,ROWS($1:32)),))</f>
        <v/>
      </c>
      <c r="D45" s="530" t="str">
        <f ca="1">IF(ROWS($1:32)&gt;COUNT(Dong11),"",OFFSET(TH!F$1,SMALL(Dong11,ROWS($1:32)),)&amp;" - "&amp;OFFSET(TH!H$1,SMALL(Dong11,ROWS($1:32)),))</f>
        <v/>
      </c>
      <c r="E45" s="528" t="str">
        <f ca="1">IF(ROWS($1:32)&gt;COUNT(Dong11),"",IF(OFFSET(TH!N$1,SMALL(Dong11,ROWS($1:32)),)=$G$7,OFFSET(TH!O$1,SMALL(Dong11,ROWS($1:32)),),OFFSET(TH!N$1,SMALL(Dong11,ROWS($1:32)),)))</f>
        <v/>
      </c>
      <c r="F45" s="531">
        <f ca="1">IF(ROWS($1:32)&gt;COUNT(Dong11),0,OFFSET(TH!J$1,SMALL(Dong11,ROWS($1:32)),))</f>
        <v>0</v>
      </c>
      <c r="G45" s="531">
        <f ca="1">IF(ROWS($1:32)&gt;COUNT(Dong11),0,IF(MID(OFFSET(TH!D$1,SMALL(Dong11,ROWS($1:32)),),4,1)="N",OFFSET(TH!I$1,SMALL(Dong11,ROWS($1:32)),),0))</f>
        <v>0</v>
      </c>
      <c r="H45" s="532">
        <f t="shared" ca="1" si="6"/>
        <v>0</v>
      </c>
      <c r="I45" s="531">
        <f ca="1">IF(ROWS($1:32)&gt;COUNT(Dong11),0,IF(MID(OFFSET(TH!D$1,SMALL(Dong11,ROWS($1:32)),),4,1)="X",OFFSET(TH!I$1,SMALL(Dong11,ROWS($1:32)),),0))</f>
        <v>0</v>
      </c>
      <c r="J45" s="532">
        <f t="shared" ca="1" si="7"/>
        <v>0</v>
      </c>
      <c r="K45" s="532">
        <f t="shared" ca="1" si="8"/>
        <v>0</v>
      </c>
      <c r="L45" s="532">
        <f t="shared" ca="1" si="9"/>
        <v>0</v>
      </c>
      <c r="M45" s="532"/>
      <c r="N45" s="522"/>
      <c r="O45" s="497"/>
      <c r="P45" s="497"/>
    </row>
    <row r="46" spans="1:16" ht="15">
      <c r="A46" s="480" t="str">
        <f t="shared" ca="1" si="5"/>
        <v/>
      </c>
      <c r="B46" s="528" t="str">
        <f ca="1">IF(ROWS($1:33)&gt;COUNT(Dong11),"",OFFSET(TH!D$1,SMALL(Dong11,ROWS($1:33)),))</f>
        <v/>
      </c>
      <c r="C46" s="529" t="str">
        <f ca="1">IF(ROWS($1:33)&gt;COUNT(Dong11),"",OFFSET(TH!E$1,SMALL(Dong11,ROWS($1:33)),))</f>
        <v/>
      </c>
      <c r="D46" s="530" t="str">
        <f ca="1">IF(ROWS($1:33)&gt;COUNT(Dong11),"",OFFSET(TH!F$1,SMALL(Dong11,ROWS($1:33)),)&amp;" - "&amp;OFFSET(TH!H$1,SMALL(Dong11,ROWS($1:33)),))</f>
        <v/>
      </c>
      <c r="E46" s="528" t="str">
        <f ca="1">IF(ROWS($1:33)&gt;COUNT(Dong11),"",IF(OFFSET(TH!N$1,SMALL(Dong11,ROWS($1:33)),)=$G$7,OFFSET(TH!O$1,SMALL(Dong11,ROWS($1:33)),),OFFSET(TH!N$1,SMALL(Dong11,ROWS($1:33)),)))</f>
        <v/>
      </c>
      <c r="F46" s="531">
        <f ca="1">IF(ROWS($1:33)&gt;COUNT(Dong11),0,OFFSET(TH!J$1,SMALL(Dong11,ROWS($1:33)),))</f>
        <v>0</v>
      </c>
      <c r="G46" s="531">
        <f ca="1">IF(ROWS($1:33)&gt;COUNT(Dong11),0,IF(MID(OFFSET(TH!D$1,SMALL(Dong11,ROWS($1:33)),),4,1)="N",OFFSET(TH!I$1,SMALL(Dong11,ROWS($1:33)),),0))</f>
        <v>0</v>
      </c>
      <c r="H46" s="532">
        <f t="shared" ca="1" si="6"/>
        <v>0</v>
      </c>
      <c r="I46" s="531">
        <f ca="1">IF(ROWS($1:33)&gt;COUNT(Dong11),0,IF(MID(OFFSET(TH!D$1,SMALL(Dong11,ROWS($1:33)),),4,1)="X",OFFSET(TH!I$1,SMALL(Dong11,ROWS($1:33)),),0))</f>
        <v>0</v>
      </c>
      <c r="J46" s="532">
        <f t="shared" ca="1" si="7"/>
        <v>0</v>
      </c>
      <c r="K46" s="532">
        <f t="shared" ca="1" si="8"/>
        <v>0</v>
      </c>
      <c r="L46" s="532">
        <f t="shared" ca="1" si="9"/>
        <v>0</v>
      </c>
      <c r="M46" s="532"/>
      <c r="N46" s="522"/>
      <c r="O46" s="497"/>
      <c r="P46" s="497"/>
    </row>
    <row r="47" spans="1:16" ht="15">
      <c r="A47" s="480" t="str">
        <f t="shared" ca="1" si="5"/>
        <v/>
      </c>
      <c r="B47" s="528" t="str">
        <f ca="1">IF(ROWS($1:34)&gt;COUNT(Dong11),"",OFFSET(TH!D$1,SMALL(Dong11,ROWS($1:34)),))</f>
        <v/>
      </c>
      <c r="C47" s="529" t="str">
        <f ca="1">IF(ROWS($1:34)&gt;COUNT(Dong11),"",OFFSET(TH!E$1,SMALL(Dong11,ROWS($1:34)),))</f>
        <v/>
      </c>
      <c r="D47" s="530" t="str">
        <f ca="1">IF(ROWS($1:34)&gt;COUNT(Dong11),"",OFFSET(TH!F$1,SMALL(Dong11,ROWS($1:34)),)&amp;" - "&amp;OFFSET(TH!H$1,SMALL(Dong11,ROWS($1:34)),))</f>
        <v/>
      </c>
      <c r="E47" s="528" t="str">
        <f ca="1">IF(ROWS($1:34)&gt;COUNT(Dong11),"",IF(OFFSET(TH!N$1,SMALL(Dong11,ROWS($1:34)),)=$G$7,OFFSET(TH!O$1,SMALL(Dong11,ROWS($1:34)),),OFFSET(TH!N$1,SMALL(Dong11,ROWS($1:34)),)))</f>
        <v/>
      </c>
      <c r="F47" s="531">
        <f ca="1">IF(ROWS($1:34)&gt;COUNT(Dong11),0,OFFSET(TH!J$1,SMALL(Dong11,ROWS($1:34)),))</f>
        <v>0</v>
      </c>
      <c r="G47" s="531">
        <f ca="1">IF(ROWS($1:34)&gt;COUNT(Dong11),0,IF(MID(OFFSET(TH!D$1,SMALL(Dong11,ROWS($1:34)),),4,1)="N",OFFSET(TH!I$1,SMALL(Dong11,ROWS($1:34)),),0))</f>
        <v>0</v>
      </c>
      <c r="H47" s="532">
        <f t="shared" ca="1" si="6"/>
        <v>0</v>
      </c>
      <c r="I47" s="531">
        <f ca="1">IF(ROWS($1:34)&gt;COUNT(Dong11),0,IF(MID(OFFSET(TH!D$1,SMALL(Dong11,ROWS($1:34)),),4,1)="X",OFFSET(TH!I$1,SMALL(Dong11,ROWS($1:34)),),0))</f>
        <v>0</v>
      </c>
      <c r="J47" s="532">
        <f t="shared" ca="1" si="7"/>
        <v>0</v>
      </c>
      <c r="K47" s="532">
        <f t="shared" ca="1" si="8"/>
        <v>0</v>
      </c>
      <c r="L47" s="532">
        <f t="shared" ca="1" si="9"/>
        <v>0</v>
      </c>
      <c r="M47" s="532"/>
      <c r="N47" s="522"/>
      <c r="O47" s="497"/>
      <c r="P47" s="497"/>
    </row>
    <row r="48" spans="1:16" ht="15">
      <c r="A48" s="480" t="str">
        <f t="shared" ca="1" si="5"/>
        <v/>
      </c>
      <c r="B48" s="528" t="str">
        <f ca="1">IF(ROWS($1:35)&gt;COUNT(Dong11),"",OFFSET(TH!D$1,SMALL(Dong11,ROWS($1:35)),))</f>
        <v/>
      </c>
      <c r="C48" s="529" t="str">
        <f ca="1">IF(ROWS($1:35)&gt;COUNT(Dong11),"",OFFSET(TH!E$1,SMALL(Dong11,ROWS($1:35)),))</f>
        <v/>
      </c>
      <c r="D48" s="530" t="str">
        <f ca="1">IF(ROWS($1:35)&gt;COUNT(Dong11),"",OFFSET(TH!F$1,SMALL(Dong11,ROWS($1:35)),)&amp;" - "&amp;OFFSET(TH!H$1,SMALL(Dong11,ROWS($1:35)),))</f>
        <v/>
      </c>
      <c r="E48" s="528" t="str">
        <f ca="1">IF(ROWS($1:35)&gt;COUNT(Dong11),"",IF(OFFSET(TH!N$1,SMALL(Dong11,ROWS($1:35)),)=$G$7,OFFSET(TH!O$1,SMALL(Dong11,ROWS($1:35)),),OFFSET(TH!N$1,SMALL(Dong11,ROWS($1:35)),)))</f>
        <v/>
      </c>
      <c r="F48" s="531">
        <f ca="1">IF(ROWS($1:35)&gt;COUNT(Dong11),0,OFFSET(TH!J$1,SMALL(Dong11,ROWS($1:35)),))</f>
        <v>0</v>
      </c>
      <c r="G48" s="531">
        <f ca="1">IF(ROWS($1:35)&gt;COUNT(Dong11),0,IF(MID(OFFSET(TH!D$1,SMALL(Dong11,ROWS($1:35)),),4,1)="N",OFFSET(TH!I$1,SMALL(Dong11,ROWS($1:35)),),0))</f>
        <v>0</v>
      </c>
      <c r="H48" s="532">
        <f t="shared" ca="1" si="6"/>
        <v>0</v>
      </c>
      <c r="I48" s="531">
        <f ca="1">IF(ROWS($1:35)&gt;COUNT(Dong11),0,IF(MID(OFFSET(TH!D$1,SMALL(Dong11,ROWS($1:35)),),4,1)="X",OFFSET(TH!I$1,SMALL(Dong11,ROWS($1:35)),),0))</f>
        <v>0</v>
      </c>
      <c r="J48" s="532">
        <f t="shared" ca="1" si="7"/>
        <v>0</v>
      </c>
      <c r="K48" s="532">
        <f t="shared" ca="1" si="8"/>
        <v>0</v>
      </c>
      <c r="L48" s="532">
        <f t="shared" ca="1" si="9"/>
        <v>0</v>
      </c>
      <c r="M48" s="532"/>
      <c r="N48" s="522"/>
      <c r="O48" s="497"/>
      <c r="P48" s="497"/>
    </row>
    <row r="49" spans="1:16" ht="15">
      <c r="A49" s="480" t="str">
        <f t="shared" ca="1" si="5"/>
        <v/>
      </c>
      <c r="B49" s="528" t="str">
        <f ca="1">IF(ROWS($1:36)&gt;COUNT(Dong11),"",OFFSET(TH!D$1,SMALL(Dong11,ROWS($1:36)),))</f>
        <v/>
      </c>
      <c r="C49" s="529" t="str">
        <f ca="1">IF(ROWS($1:36)&gt;COUNT(Dong11),"",OFFSET(TH!E$1,SMALL(Dong11,ROWS($1:36)),))</f>
        <v/>
      </c>
      <c r="D49" s="530" t="str">
        <f ca="1">IF(ROWS($1:36)&gt;COUNT(Dong11),"",OFFSET(TH!F$1,SMALL(Dong11,ROWS($1:36)),)&amp;" - "&amp;OFFSET(TH!H$1,SMALL(Dong11,ROWS($1:36)),))</f>
        <v/>
      </c>
      <c r="E49" s="528" t="str">
        <f ca="1">IF(ROWS($1:36)&gt;COUNT(Dong11),"",IF(OFFSET(TH!N$1,SMALL(Dong11,ROWS($1:36)),)=$G$7,OFFSET(TH!O$1,SMALL(Dong11,ROWS($1:36)),),OFFSET(TH!N$1,SMALL(Dong11,ROWS($1:36)),)))</f>
        <v/>
      </c>
      <c r="F49" s="531">
        <f ca="1">IF(ROWS($1:36)&gt;COUNT(Dong11),0,OFFSET(TH!J$1,SMALL(Dong11,ROWS($1:36)),))</f>
        <v>0</v>
      </c>
      <c r="G49" s="531">
        <f ca="1">IF(ROWS($1:36)&gt;COUNT(Dong11),0,IF(MID(OFFSET(TH!D$1,SMALL(Dong11,ROWS($1:36)),),4,1)="N",OFFSET(TH!I$1,SMALL(Dong11,ROWS($1:36)),),0))</f>
        <v>0</v>
      </c>
      <c r="H49" s="532">
        <f t="shared" ca="1" si="6"/>
        <v>0</v>
      </c>
      <c r="I49" s="531">
        <f ca="1">IF(ROWS($1:36)&gt;COUNT(Dong11),0,IF(MID(OFFSET(TH!D$1,SMALL(Dong11,ROWS($1:36)),),4,1)="X",OFFSET(TH!I$1,SMALL(Dong11,ROWS($1:36)),),0))</f>
        <v>0</v>
      </c>
      <c r="J49" s="532">
        <f t="shared" ca="1" si="7"/>
        <v>0</v>
      </c>
      <c r="K49" s="532">
        <f t="shared" ca="1" si="8"/>
        <v>0</v>
      </c>
      <c r="L49" s="532">
        <f t="shared" ca="1" si="9"/>
        <v>0</v>
      </c>
      <c r="M49" s="532"/>
      <c r="N49" s="522"/>
      <c r="O49" s="497"/>
      <c r="P49" s="497"/>
    </row>
    <row r="50" spans="1:16" ht="15">
      <c r="A50" s="480" t="str">
        <f t="shared" ca="1" si="5"/>
        <v/>
      </c>
      <c r="B50" s="528" t="str">
        <f ca="1">IF(ROWS($1:37)&gt;COUNT(Dong11),"",OFFSET(TH!D$1,SMALL(Dong11,ROWS($1:37)),))</f>
        <v/>
      </c>
      <c r="C50" s="529" t="str">
        <f ca="1">IF(ROWS($1:37)&gt;COUNT(Dong11),"",OFFSET(TH!E$1,SMALL(Dong11,ROWS($1:37)),))</f>
        <v/>
      </c>
      <c r="D50" s="530" t="str">
        <f ca="1">IF(ROWS($1:37)&gt;COUNT(Dong11),"",OFFSET(TH!F$1,SMALL(Dong11,ROWS($1:37)),)&amp;" - "&amp;OFFSET(TH!H$1,SMALL(Dong11,ROWS($1:37)),))</f>
        <v/>
      </c>
      <c r="E50" s="528" t="str">
        <f ca="1">IF(ROWS($1:37)&gt;COUNT(Dong11),"",IF(OFFSET(TH!N$1,SMALL(Dong11,ROWS($1:37)),)=$G$7,OFFSET(TH!O$1,SMALL(Dong11,ROWS($1:37)),),OFFSET(TH!N$1,SMALL(Dong11,ROWS($1:37)),)))</f>
        <v/>
      </c>
      <c r="F50" s="531">
        <f ca="1">IF(ROWS($1:37)&gt;COUNT(Dong11),0,OFFSET(TH!J$1,SMALL(Dong11,ROWS($1:37)),))</f>
        <v>0</v>
      </c>
      <c r="G50" s="531">
        <f ca="1">IF(ROWS($1:37)&gt;COUNT(Dong11),0,IF(MID(OFFSET(TH!D$1,SMALL(Dong11,ROWS($1:37)),),4,1)="N",OFFSET(TH!I$1,SMALL(Dong11,ROWS($1:37)),),0))</f>
        <v>0</v>
      </c>
      <c r="H50" s="532">
        <f t="shared" ca="1" si="6"/>
        <v>0</v>
      </c>
      <c r="I50" s="531">
        <f ca="1">IF(ROWS($1:37)&gt;COUNT(Dong11),0,IF(MID(OFFSET(TH!D$1,SMALL(Dong11,ROWS($1:37)),),4,1)="X",OFFSET(TH!I$1,SMALL(Dong11,ROWS($1:37)),),0))</f>
        <v>0</v>
      </c>
      <c r="J50" s="532">
        <f t="shared" ca="1" si="7"/>
        <v>0</v>
      </c>
      <c r="K50" s="532">
        <f t="shared" ca="1" si="8"/>
        <v>0</v>
      </c>
      <c r="L50" s="532">
        <f t="shared" ca="1" si="9"/>
        <v>0</v>
      </c>
      <c r="M50" s="532"/>
      <c r="N50" s="522"/>
      <c r="O50" s="497"/>
      <c r="P50" s="497"/>
    </row>
    <row r="51" spans="1:16" ht="15">
      <c r="A51" s="480" t="str">
        <f t="shared" ca="1" si="5"/>
        <v/>
      </c>
      <c r="B51" s="528" t="str">
        <f ca="1">IF(ROWS($1:38)&gt;COUNT(Dong11),"",OFFSET(TH!D$1,SMALL(Dong11,ROWS($1:38)),))</f>
        <v/>
      </c>
      <c r="C51" s="529" t="str">
        <f ca="1">IF(ROWS($1:38)&gt;COUNT(Dong11),"",OFFSET(TH!E$1,SMALL(Dong11,ROWS($1:38)),))</f>
        <v/>
      </c>
      <c r="D51" s="530" t="str">
        <f ca="1">IF(ROWS($1:38)&gt;COUNT(Dong11),"",OFFSET(TH!F$1,SMALL(Dong11,ROWS($1:38)),)&amp;" - "&amp;OFFSET(TH!H$1,SMALL(Dong11,ROWS($1:38)),))</f>
        <v/>
      </c>
      <c r="E51" s="528" t="str">
        <f ca="1">IF(ROWS($1:38)&gt;COUNT(Dong11),"",IF(OFFSET(TH!N$1,SMALL(Dong11,ROWS($1:38)),)=$G$7,OFFSET(TH!O$1,SMALL(Dong11,ROWS($1:38)),),OFFSET(TH!N$1,SMALL(Dong11,ROWS($1:38)),)))</f>
        <v/>
      </c>
      <c r="F51" s="531">
        <f ca="1">IF(ROWS($1:38)&gt;COUNT(Dong11),0,OFFSET(TH!J$1,SMALL(Dong11,ROWS($1:38)),))</f>
        <v>0</v>
      </c>
      <c r="G51" s="531">
        <f ca="1">IF(ROWS($1:38)&gt;COUNT(Dong11),0,IF(MID(OFFSET(TH!D$1,SMALL(Dong11,ROWS($1:38)),),4,1)="N",OFFSET(TH!I$1,SMALL(Dong11,ROWS($1:38)),),0))</f>
        <v>0</v>
      </c>
      <c r="H51" s="532">
        <f t="shared" ca="1" si="6"/>
        <v>0</v>
      </c>
      <c r="I51" s="531">
        <f ca="1">IF(ROWS($1:38)&gt;COUNT(Dong11),0,IF(MID(OFFSET(TH!D$1,SMALL(Dong11,ROWS($1:38)),),4,1)="X",OFFSET(TH!I$1,SMALL(Dong11,ROWS($1:38)),),0))</f>
        <v>0</v>
      </c>
      <c r="J51" s="532">
        <f t="shared" ca="1" si="7"/>
        <v>0</v>
      </c>
      <c r="K51" s="532">
        <f t="shared" ca="1" si="8"/>
        <v>0</v>
      </c>
      <c r="L51" s="532">
        <f t="shared" ca="1" si="9"/>
        <v>0</v>
      </c>
      <c r="M51" s="532"/>
      <c r="N51" s="522"/>
      <c r="O51" s="497"/>
      <c r="P51" s="497"/>
    </row>
    <row r="52" spans="1:16" ht="15">
      <c r="A52" s="480" t="str">
        <f t="shared" ca="1" si="5"/>
        <v/>
      </c>
      <c r="B52" s="528" t="str">
        <f ca="1">IF(ROWS($1:39)&gt;COUNT(Dong11),"",OFFSET(TH!D$1,SMALL(Dong11,ROWS($1:39)),))</f>
        <v/>
      </c>
      <c r="C52" s="529" t="str">
        <f ca="1">IF(ROWS($1:39)&gt;COUNT(Dong11),"",OFFSET(TH!E$1,SMALL(Dong11,ROWS($1:39)),))</f>
        <v/>
      </c>
      <c r="D52" s="530" t="str">
        <f ca="1">IF(ROWS($1:39)&gt;COUNT(Dong11),"",OFFSET(TH!F$1,SMALL(Dong11,ROWS($1:39)),)&amp;" - "&amp;OFFSET(TH!H$1,SMALL(Dong11,ROWS($1:39)),))</f>
        <v/>
      </c>
      <c r="E52" s="528" t="str">
        <f ca="1">IF(ROWS($1:39)&gt;COUNT(Dong11),"",IF(OFFSET(TH!N$1,SMALL(Dong11,ROWS($1:39)),)=$G$7,OFFSET(TH!O$1,SMALL(Dong11,ROWS($1:39)),),OFFSET(TH!N$1,SMALL(Dong11,ROWS($1:39)),)))</f>
        <v/>
      </c>
      <c r="F52" s="531">
        <f ca="1">IF(ROWS($1:39)&gt;COUNT(Dong11),0,OFFSET(TH!J$1,SMALL(Dong11,ROWS($1:39)),))</f>
        <v>0</v>
      </c>
      <c r="G52" s="531">
        <f ca="1">IF(ROWS($1:39)&gt;COUNT(Dong11),0,IF(MID(OFFSET(TH!D$1,SMALL(Dong11,ROWS($1:39)),),4,1)="N",OFFSET(TH!I$1,SMALL(Dong11,ROWS($1:39)),),0))</f>
        <v>0</v>
      </c>
      <c r="H52" s="532">
        <f t="shared" ca="1" si="6"/>
        <v>0</v>
      </c>
      <c r="I52" s="531">
        <f ca="1">IF(ROWS($1:39)&gt;COUNT(Dong11),0,IF(MID(OFFSET(TH!D$1,SMALL(Dong11,ROWS($1:39)),),4,1)="X",OFFSET(TH!I$1,SMALL(Dong11,ROWS($1:39)),),0))</f>
        <v>0</v>
      </c>
      <c r="J52" s="532">
        <f t="shared" ca="1" si="7"/>
        <v>0</v>
      </c>
      <c r="K52" s="532">
        <f t="shared" ca="1" si="8"/>
        <v>0</v>
      </c>
      <c r="L52" s="532">
        <f t="shared" ca="1" si="9"/>
        <v>0</v>
      </c>
      <c r="M52" s="532"/>
      <c r="N52" s="522"/>
      <c r="O52" s="497"/>
      <c r="P52" s="497"/>
    </row>
    <row r="53" spans="1:16" ht="15">
      <c r="A53" s="480" t="str">
        <f t="shared" ca="1" si="5"/>
        <v/>
      </c>
      <c r="B53" s="528" t="str">
        <f ca="1">IF(ROWS($1:40)&gt;COUNT(Dong11),"",OFFSET(TH!D$1,SMALL(Dong11,ROWS($1:40)),))</f>
        <v/>
      </c>
      <c r="C53" s="529" t="str">
        <f ca="1">IF(ROWS($1:40)&gt;COUNT(Dong11),"",OFFSET(TH!E$1,SMALL(Dong11,ROWS($1:40)),))</f>
        <v/>
      </c>
      <c r="D53" s="530" t="str">
        <f ca="1">IF(ROWS($1:40)&gt;COUNT(Dong11),"",OFFSET(TH!F$1,SMALL(Dong11,ROWS($1:40)),)&amp;" - "&amp;OFFSET(TH!H$1,SMALL(Dong11,ROWS($1:40)),))</f>
        <v/>
      </c>
      <c r="E53" s="528" t="str">
        <f ca="1">IF(ROWS($1:40)&gt;COUNT(Dong11),"",IF(OFFSET(TH!N$1,SMALL(Dong11,ROWS($1:40)),)=$G$7,OFFSET(TH!O$1,SMALL(Dong11,ROWS($1:40)),),OFFSET(TH!N$1,SMALL(Dong11,ROWS($1:40)),)))</f>
        <v/>
      </c>
      <c r="F53" s="531">
        <f ca="1">IF(ROWS($1:40)&gt;COUNT(Dong11),0,OFFSET(TH!J$1,SMALL(Dong11,ROWS($1:40)),))</f>
        <v>0</v>
      </c>
      <c r="G53" s="531">
        <f ca="1">IF(ROWS($1:40)&gt;COUNT(Dong11),0,IF(MID(OFFSET(TH!D$1,SMALL(Dong11,ROWS($1:40)),),4,1)="N",OFFSET(TH!I$1,SMALL(Dong11,ROWS($1:40)),),0))</f>
        <v>0</v>
      </c>
      <c r="H53" s="532">
        <f t="shared" ca="1" si="6"/>
        <v>0</v>
      </c>
      <c r="I53" s="531">
        <f ca="1">IF(ROWS($1:40)&gt;COUNT(Dong11),0,IF(MID(OFFSET(TH!D$1,SMALL(Dong11,ROWS($1:40)),),4,1)="X",OFFSET(TH!I$1,SMALL(Dong11,ROWS($1:40)),),0))</f>
        <v>0</v>
      </c>
      <c r="J53" s="532">
        <f t="shared" ca="1" si="7"/>
        <v>0</v>
      </c>
      <c r="K53" s="532">
        <f t="shared" ca="1" si="8"/>
        <v>0</v>
      </c>
      <c r="L53" s="532">
        <f t="shared" ca="1" si="9"/>
        <v>0</v>
      </c>
      <c r="M53" s="532"/>
      <c r="N53" s="522"/>
      <c r="O53" s="497"/>
      <c r="P53" s="497"/>
    </row>
    <row r="54" spans="1:16" ht="15">
      <c r="A54" s="480" t="str">
        <f t="shared" ca="1" si="5"/>
        <v/>
      </c>
      <c r="B54" s="528" t="str">
        <f ca="1">IF(ROWS($1:41)&gt;COUNT(Dong11),"",OFFSET(TH!D$1,SMALL(Dong11,ROWS($1:41)),))</f>
        <v/>
      </c>
      <c r="C54" s="529" t="str">
        <f ca="1">IF(ROWS($1:41)&gt;COUNT(Dong11),"",OFFSET(TH!E$1,SMALL(Dong11,ROWS($1:41)),))</f>
        <v/>
      </c>
      <c r="D54" s="530" t="str">
        <f ca="1">IF(ROWS($1:41)&gt;COUNT(Dong11),"",OFFSET(TH!F$1,SMALL(Dong11,ROWS($1:41)),)&amp;" - "&amp;OFFSET(TH!H$1,SMALL(Dong11,ROWS($1:41)),))</f>
        <v/>
      </c>
      <c r="E54" s="528" t="str">
        <f ca="1">IF(ROWS($1:41)&gt;COUNT(Dong11),"",IF(OFFSET(TH!N$1,SMALL(Dong11,ROWS($1:41)),)=$G$7,OFFSET(TH!O$1,SMALL(Dong11,ROWS($1:41)),),OFFSET(TH!N$1,SMALL(Dong11,ROWS($1:41)),)))</f>
        <v/>
      </c>
      <c r="F54" s="531">
        <f ca="1">IF(ROWS($1:41)&gt;COUNT(Dong11),0,OFFSET(TH!J$1,SMALL(Dong11,ROWS($1:41)),))</f>
        <v>0</v>
      </c>
      <c r="G54" s="531">
        <f ca="1">IF(ROWS($1:41)&gt;COUNT(Dong11),0,IF(MID(OFFSET(TH!D$1,SMALL(Dong11,ROWS($1:41)),),4,1)="N",OFFSET(TH!I$1,SMALL(Dong11,ROWS($1:41)),),0))</f>
        <v>0</v>
      </c>
      <c r="H54" s="532">
        <f t="shared" ca="1" si="6"/>
        <v>0</v>
      </c>
      <c r="I54" s="531">
        <f ca="1">IF(ROWS($1:41)&gt;COUNT(Dong11),0,IF(MID(OFFSET(TH!D$1,SMALL(Dong11,ROWS($1:41)),),4,1)="X",OFFSET(TH!I$1,SMALL(Dong11,ROWS($1:41)),),0))</f>
        <v>0</v>
      </c>
      <c r="J54" s="532">
        <f t="shared" ca="1" si="7"/>
        <v>0</v>
      </c>
      <c r="K54" s="532">
        <f t="shared" ca="1" si="8"/>
        <v>0</v>
      </c>
      <c r="L54" s="532">
        <f t="shared" ca="1" si="9"/>
        <v>0</v>
      </c>
      <c r="M54" s="532"/>
      <c r="N54" s="522"/>
      <c r="O54" s="497"/>
      <c r="P54" s="497"/>
    </row>
    <row r="55" spans="1:16" ht="15">
      <c r="A55" s="480" t="str">
        <f t="shared" ca="1" si="5"/>
        <v/>
      </c>
      <c r="B55" s="528" t="str">
        <f ca="1">IF(ROWS($1:42)&gt;COUNT(Dong11),"",OFFSET(TH!D$1,SMALL(Dong11,ROWS($1:42)),))</f>
        <v/>
      </c>
      <c r="C55" s="529" t="str">
        <f ca="1">IF(ROWS($1:42)&gt;COUNT(Dong11),"",OFFSET(TH!E$1,SMALL(Dong11,ROWS($1:42)),))</f>
        <v/>
      </c>
      <c r="D55" s="530" t="str">
        <f ca="1">IF(ROWS($1:42)&gt;COUNT(Dong11),"",OFFSET(TH!F$1,SMALL(Dong11,ROWS($1:42)),)&amp;" - "&amp;OFFSET(TH!H$1,SMALL(Dong11,ROWS($1:42)),))</f>
        <v/>
      </c>
      <c r="E55" s="528" t="str">
        <f ca="1">IF(ROWS($1:42)&gt;COUNT(Dong11),"",IF(OFFSET(TH!N$1,SMALL(Dong11,ROWS($1:42)),)=$G$7,OFFSET(TH!O$1,SMALL(Dong11,ROWS($1:42)),),OFFSET(TH!N$1,SMALL(Dong11,ROWS($1:42)),)))</f>
        <v/>
      </c>
      <c r="F55" s="531">
        <f ca="1">IF(ROWS($1:42)&gt;COUNT(Dong11),0,OFFSET(TH!J$1,SMALL(Dong11,ROWS($1:42)),))</f>
        <v>0</v>
      </c>
      <c r="G55" s="531">
        <f ca="1">IF(ROWS($1:42)&gt;COUNT(Dong11),0,IF(MID(OFFSET(TH!D$1,SMALL(Dong11,ROWS($1:42)),),4,1)="N",OFFSET(TH!I$1,SMALL(Dong11,ROWS($1:42)),),0))</f>
        <v>0</v>
      </c>
      <c r="H55" s="532">
        <f t="shared" ca="1" si="6"/>
        <v>0</v>
      </c>
      <c r="I55" s="531">
        <f ca="1">IF(ROWS($1:42)&gt;COUNT(Dong11),0,IF(MID(OFFSET(TH!D$1,SMALL(Dong11,ROWS($1:42)),),4,1)="X",OFFSET(TH!I$1,SMALL(Dong11,ROWS($1:42)),),0))</f>
        <v>0</v>
      </c>
      <c r="J55" s="532">
        <f t="shared" ca="1" si="7"/>
        <v>0</v>
      </c>
      <c r="K55" s="532">
        <f t="shared" ca="1" si="8"/>
        <v>0</v>
      </c>
      <c r="L55" s="532">
        <f t="shared" ca="1" si="9"/>
        <v>0</v>
      </c>
      <c r="M55" s="532"/>
      <c r="N55" s="522"/>
      <c r="O55" s="497"/>
      <c r="P55" s="497"/>
    </row>
    <row r="56" spans="1:16" ht="15">
      <c r="A56" s="480" t="str">
        <f t="shared" ca="1" si="5"/>
        <v/>
      </c>
      <c r="B56" s="528" t="str">
        <f ca="1">IF(ROWS($1:43)&gt;COUNT(Dong11),"",OFFSET(TH!D$1,SMALL(Dong11,ROWS($1:43)),))</f>
        <v/>
      </c>
      <c r="C56" s="529" t="str">
        <f ca="1">IF(ROWS($1:43)&gt;COUNT(Dong11),"",OFFSET(TH!E$1,SMALL(Dong11,ROWS($1:43)),))</f>
        <v/>
      </c>
      <c r="D56" s="530" t="str">
        <f ca="1">IF(ROWS($1:43)&gt;COUNT(Dong11),"",OFFSET(TH!F$1,SMALL(Dong11,ROWS($1:43)),)&amp;" - "&amp;OFFSET(TH!H$1,SMALL(Dong11,ROWS($1:43)),))</f>
        <v/>
      </c>
      <c r="E56" s="528" t="str">
        <f ca="1">IF(ROWS($1:43)&gt;COUNT(Dong11),"",IF(OFFSET(TH!N$1,SMALL(Dong11,ROWS($1:43)),)=$G$7,OFFSET(TH!O$1,SMALL(Dong11,ROWS($1:43)),),OFFSET(TH!N$1,SMALL(Dong11,ROWS($1:43)),)))</f>
        <v/>
      </c>
      <c r="F56" s="531">
        <f ca="1">IF(ROWS($1:43)&gt;COUNT(Dong11),0,OFFSET(TH!J$1,SMALL(Dong11,ROWS($1:43)),))</f>
        <v>0</v>
      </c>
      <c r="G56" s="531">
        <f ca="1">IF(ROWS($1:43)&gt;COUNT(Dong11),0,IF(MID(OFFSET(TH!D$1,SMALL(Dong11,ROWS($1:43)),),4,1)="N",OFFSET(TH!I$1,SMALL(Dong11,ROWS($1:43)),),0))</f>
        <v>0</v>
      </c>
      <c r="H56" s="532">
        <f t="shared" ca="1" si="6"/>
        <v>0</v>
      </c>
      <c r="I56" s="531">
        <f ca="1">IF(ROWS($1:43)&gt;COUNT(Dong11),0,IF(MID(OFFSET(TH!D$1,SMALL(Dong11,ROWS($1:43)),),4,1)="X",OFFSET(TH!I$1,SMALL(Dong11,ROWS($1:43)),),0))</f>
        <v>0</v>
      </c>
      <c r="J56" s="532">
        <f t="shared" ca="1" si="7"/>
        <v>0</v>
      </c>
      <c r="K56" s="532">
        <f t="shared" ca="1" si="8"/>
        <v>0</v>
      </c>
      <c r="L56" s="532">
        <f t="shared" ca="1" si="9"/>
        <v>0</v>
      </c>
      <c r="M56" s="532"/>
      <c r="N56" s="522"/>
      <c r="O56" s="497"/>
      <c r="P56" s="497"/>
    </row>
    <row r="57" spans="1:16" ht="15">
      <c r="A57" s="480" t="str">
        <f t="shared" ca="1" si="5"/>
        <v/>
      </c>
      <c r="B57" s="528" t="str">
        <f ca="1">IF(ROWS($1:44)&gt;COUNT(Dong11),"",OFFSET(TH!D$1,SMALL(Dong11,ROWS($1:44)),))</f>
        <v/>
      </c>
      <c r="C57" s="529" t="str">
        <f ca="1">IF(ROWS($1:44)&gt;COUNT(Dong11),"",OFFSET(TH!E$1,SMALL(Dong11,ROWS($1:44)),))</f>
        <v/>
      </c>
      <c r="D57" s="530" t="str">
        <f ca="1">IF(ROWS($1:44)&gt;COUNT(Dong11),"",OFFSET(TH!F$1,SMALL(Dong11,ROWS($1:44)),)&amp;" - "&amp;OFFSET(TH!H$1,SMALL(Dong11,ROWS($1:44)),))</f>
        <v/>
      </c>
      <c r="E57" s="528" t="str">
        <f ca="1">IF(ROWS($1:44)&gt;COUNT(Dong11),"",IF(OFFSET(TH!N$1,SMALL(Dong11,ROWS($1:44)),)=$G$7,OFFSET(TH!O$1,SMALL(Dong11,ROWS($1:44)),),OFFSET(TH!N$1,SMALL(Dong11,ROWS($1:44)),)))</f>
        <v/>
      </c>
      <c r="F57" s="531">
        <f ca="1">IF(ROWS($1:44)&gt;COUNT(Dong11),0,OFFSET(TH!J$1,SMALL(Dong11,ROWS($1:44)),))</f>
        <v>0</v>
      </c>
      <c r="G57" s="531">
        <f ca="1">IF(ROWS($1:44)&gt;COUNT(Dong11),0,IF(MID(OFFSET(TH!D$1,SMALL(Dong11,ROWS($1:44)),),4,1)="N",OFFSET(TH!I$1,SMALL(Dong11,ROWS($1:44)),),0))</f>
        <v>0</v>
      </c>
      <c r="H57" s="532">
        <f t="shared" ca="1" si="6"/>
        <v>0</v>
      </c>
      <c r="I57" s="531">
        <f ca="1">IF(ROWS($1:44)&gt;COUNT(Dong11),0,IF(MID(OFFSET(TH!D$1,SMALL(Dong11,ROWS($1:44)),),4,1)="X",OFFSET(TH!I$1,SMALL(Dong11,ROWS($1:44)),),0))</f>
        <v>0</v>
      </c>
      <c r="J57" s="532">
        <f t="shared" ca="1" si="7"/>
        <v>0</v>
      </c>
      <c r="K57" s="532">
        <f t="shared" ca="1" si="8"/>
        <v>0</v>
      </c>
      <c r="L57" s="532">
        <f t="shared" ca="1" si="9"/>
        <v>0</v>
      </c>
      <c r="M57" s="532"/>
      <c r="N57" s="522"/>
      <c r="O57" s="497"/>
      <c r="P57" s="497"/>
    </row>
    <row r="58" spans="1:16" ht="15">
      <c r="A58" s="480" t="str">
        <f t="shared" ca="1" si="5"/>
        <v/>
      </c>
      <c r="B58" s="528" t="str">
        <f ca="1">IF(ROWS($1:45)&gt;COUNT(Dong11),"",OFFSET(TH!D$1,SMALL(Dong11,ROWS($1:45)),))</f>
        <v/>
      </c>
      <c r="C58" s="529" t="str">
        <f ca="1">IF(ROWS($1:45)&gt;COUNT(Dong11),"",OFFSET(TH!E$1,SMALL(Dong11,ROWS($1:45)),))</f>
        <v/>
      </c>
      <c r="D58" s="530" t="str">
        <f ca="1">IF(ROWS($1:45)&gt;COUNT(Dong11),"",OFFSET(TH!F$1,SMALL(Dong11,ROWS($1:45)),)&amp;" - "&amp;OFFSET(TH!H$1,SMALL(Dong11,ROWS($1:45)),))</f>
        <v/>
      </c>
      <c r="E58" s="528" t="str">
        <f ca="1">IF(ROWS($1:45)&gt;COUNT(Dong11),"",IF(OFFSET(TH!N$1,SMALL(Dong11,ROWS($1:45)),)=$G$7,OFFSET(TH!O$1,SMALL(Dong11,ROWS($1:45)),),OFFSET(TH!N$1,SMALL(Dong11,ROWS($1:45)),)))</f>
        <v/>
      </c>
      <c r="F58" s="531">
        <f ca="1">IF(ROWS($1:45)&gt;COUNT(Dong11),0,OFFSET(TH!J$1,SMALL(Dong11,ROWS($1:45)),))</f>
        <v>0</v>
      </c>
      <c r="G58" s="531">
        <f ca="1">IF(ROWS($1:45)&gt;COUNT(Dong11),0,IF(MID(OFFSET(TH!D$1,SMALL(Dong11,ROWS($1:45)),),4,1)="N",OFFSET(TH!I$1,SMALL(Dong11,ROWS($1:45)),),0))</f>
        <v>0</v>
      </c>
      <c r="H58" s="532">
        <f t="shared" ca="1" si="6"/>
        <v>0</v>
      </c>
      <c r="I58" s="531">
        <f ca="1">IF(ROWS($1:45)&gt;COUNT(Dong11),0,IF(MID(OFFSET(TH!D$1,SMALL(Dong11,ROWS($1:45)),),4,1)="X",OFFSET(TH!I$1,SMALL(Dong11,ROWS($1:45)),),0))</f>
        <v>0</v>
      </c>
      <c r="J58" s="532">
        <f t="shared" ca="1" si="7"/>
        <v>0</v>
      </c>
      <c r="K58" s="532">
        <f t="shared" ca="1" si="8"/>
        <v>0</v>
      </c>
      <c r="L58" s="532">
        <f t="shared" ca="1" si="9"/>
        <v>0</v>
      </c>
      <c r="M58" s="532"/>
      <c r="N58" s="522"/>
      <c r="O58" s="497"/>
      <c r="P58" s="497"/>
    </row>
    <row r="59" spans="1:16" ht="15">
      <c r="A59" s="480" t="str">
        <f t="shared" ca="1" si="5"/>
        <v/>
      </c>
      <c r="B59" s="528" t="str">
        <f ca="1">IF(ROWS($1:46)&gt;COUNT(Dong11),"",OFFSET(TH!D$1,SMALL(Dong11,ROWS($1:46)),))</f>
        <v/>
      </c>
      <c r="C59" s="529" t="str">
        <f ca="1">IF(ROWS($1:46)&gt;COUNT(Dong11),"",OFFSET(TH!E$1,SMALL(Dong11,ROWS($1:46)),))</f>
        <v/>
      </c>
      <c r="D59" s="530" t="str">
        <f ca="1">IF(ROWS($1:46)&gt;COUNT(Dong11),"",OFFSET(TH!F$1,SMALL(Dong11,ROWS($1:46)),)&amp;" - "&amp;OFFSET(TH!H$1,SMALL(Dong11,ROWS($1:46)),))</f>
        <v/>
      </c>
      <c r="E59" s="528" t="str">
        <f ca="1">IF(ROWS($1:46)&gt;COUNT(Dong11),"",IF(OFFSET(TH!N$1,SMALL(Dong11,ROWS($1:46)),)=$G$7,OFFSET(TH!O$1,SMALL(Dong11,ROWS($1:46)),),OFFSET(TH!N$1,SMALL(Dong11,ROWS($1:46)),)))</f>
        <v/>
      </c>
      <c r="F59" s="531">
        <f ca="1">IF(ROWS($1:46)&gt;COUNT(Dong11),0,OFFSET(TH!J$1,SMALL(Dong11,ROWS($1:46)),))</f>
        <v>0</v>
      </c>
      <c r="G59" s="531">
        <f ca="1">IF(ROWS($1:46)&gt;COUNT(Dong11),0,IF(MID(OFFSET(TH!D$1,SMALL(Dong11,ROWS($1:46)),),4,1)="N",OFFSET(TH!I$1,SMALL(Dong11,ROWS($1:46)),),0))</f>
        <v>0</v>
      </c>
      <c r="H59" s="532">
        <f t="shared" ca="1" si="6"/>
        <v>0</v>
      </c>
      <c r="I59" s="531">
        <f ca="1">IF(ROWS($1:46)&gt;COUNT(Dong11),0,IF(MID(OFFSET(TH!D$1,SMALL(Dong11,ROWS($1:46)),),4,1)="X",OFFSET(TH!I$1,SMALL(Dong11,ROWS($1:46)),),0))</f>
        <v>0</v>
      </c>
      <c r="J59" s="532">
        <f t="shared" ca="1" si="7"/>
        <v>0</v>
      </c>
      <c r="K59" s="532">
        <f t="shared" ca="1" si="8"/>
        <v>0</v>
      </c>
      <c r="L59" s="532">
        <f t="shared" ca="1" si="9"/>
        <v>0</v>
      </c>
      <c r="M59" s="532"/>
      <c r="N59" s="522"/>
      <c r="O59" s="497"/>
      <c r="P59" s="497"/>
    </row>
    <row r="60" spans="1:16" ht="15">
      <c r="A60" s="480" t="str">
        <f t="shared" ca="1" si="5"/>
        <v/>
      </c>
      <c r="B60" s="528" t="str">
        <f ca="1">IF(ROWS($1:47)&gt;COUNT(Dong11),"",OFFSET(TH!D$1,SMALL(Dong11,ROWS($1:47)),))</f>
        <v/>
      </c>
      <c r="C60" s="529" t="str">
        <f ca="1">IF(ROWS($1:47)&gt;COUNT(Dong11),"",OFFSET(TH!E$1,SMALL(Dong11,ROWS($1:47)),))</f>
        <v/>
      </c>
      <c r="D60" s="530" t="str">
        <f ca="1">IF(ROWS($1:47)&gt;COUNT(Dong11),"",OFFSET(TH!F$1,SMALL(Dong11,ROWS($1:47)),)&amp;" - "&amp;OFFSET(TH!H$1,SMALL(Dong11,ROWS($1:47)),))</f>
        <v/>
      </c>
      <c r="E60" s="528" t="str">
        <f ca="1">IF(ROWS($1:47)&gt;COUNT(Dong11),"",IF(OFFSET(TH!N$1,SMALL(Dong11,ROWS($1:47)),)=$G$7,OFFSET(TH!O$1,SMALL(Dong11,ROWS($1:47)),),OFFSET(TH!N$1,SMALL(Dong11,ROWS($1:47)),)))</f>
        <v/>
      </c>
      <c r="F60" s="531">
        <f ca="1">IF(ROWS($1:47)&gt;COUNT(Dong11),0,OFFSET(TH!J$1,SMALL(Dong11,ROWS($1:47)),))</f>
        <v>0</v>
      </c>
      <c r="G60" s="531">
        <f ca="1">IF(ROWS($1:47)&gt;COUNT(Dong11),0,IF(MID(OFFSET(TH!D$1,SMALL(Dong11,ROWS($1:47)),),4,1)="N",OFFSET(TH!I$1,SMALL(Dong11,ROWS($1:47)),),0))</f>
        <v>0</v>
      </c>
      <c r="H60" s="532">
        <f t="shared" ca="1" si="6"/>
        <v>0</v>
      </c>
      <c r="I60" s="531">
        <f ca="1">IF(ROWS($1:47)&gt;COUNT(Dong11),0,IF(MID(OFFSET(TH!D$1,SMALL(Dong11,ROWS($1:47)),),4,1)="X",OFFSET(TH!I$1,SMALL(Dong11,ROWS($1:47)),),0))</f>
        <v>0</v>
      </c>
      <c r="J60" s="532">
        <f t="shared" ca="1" si="7"/>
        <v>0</v>
      </c>
      <c r="K60" s="532">
        <f t="shared" ca="1" si="8"/>
        <v>0</v>
      </c>
      <c r="L60" s="532">
        <f t="shared" ca="1" si="9"/>
        <v>0</v>
      </c>
      <c r="M60" s="532"/>
      <c r="N60" s="522"/>
      <c r="O60" s="497"/>
      <c r="P60" s="497"/>
    </row>
    <row r="61" spans="1:16" ht="15">
      <c r="A61" s="480" t="str">
        <f t="shared" ca="1" si="5"/>
        <v/>
      </c>
      <c r="B61" s="528" t="str">
        <f ca="1">IF(ROWS($1:48)&gt;COUNT(Dong11),"",OFFSET(TH!D$1,SMALL(Dong11,ROWS($1:48)),))</f>
        <v/>
      </c>
      <c r="C61" s="529" t="str">
        <f ca="1">IF(ROWS($1:48)&gt;COUNT(Dong11),"",OFFSET(TH!E$1,SMALL(Dong11,ROWS($1:48)),))</f>
        <v/>
      </c>
      <c r="D61" s="530" t="str">
        <f ca="1">IF(ROWS($1:48)&gt;COUNT(Dong11),"",OFFSET(TH!F$1,SMALL(Dong11,ROWS($1:48)),)&amp;" - "&amp;OFFSET(TH!H$1,SMALL(Dong11,ROWS($1:48)),))</f>
        <v/>
      </c>
      <c r="E61" s="528" t="str">
        <f ca="1">IF(ROWS($1:48)&gt;COUNT(Dong11),"",IF(OFFSET(TH!N$1,SMALL(Dong11,ROWS($1:48)),)=$G$7,OFFSET(TH!O$1,SMALL(Dong11,ROWS($1:48)),),OFFSET(TH!N$1,SMALL(Dong11,ROWS($1:48)),)))</f>
        <v/>
      </c>
      <c r="F61" s="531">
        <f ca="1">IF(ROWS($1:48)&gt;COUNT(Dong11),0,OFFSET(TH!J$1,SMALL(Dong11,ROWS($1:48)),))</f>
        <v>0</v>
      </c>
      <c r="G61" s="531">
        <f ca="1">IF(ROWS($1:48)&gt;COUNT(Dong11),0,IF(MID(OFFSET(TH!D$1,SMALL(Dong11,ROWS($1:48)),),4,1)="N",OFFSET(TH!I$1,SMALL(Dong11,ROWS($1:48)),),0))</f>
        <v>0</v>
      </c>
      <c r="H61" s="532">
        <f t="shared" ca="1" si="6"/>
        <v>0</v>
      </c>
      <c r="I61" s="531">
        <f ca="1">IF(ROWS($1:48)&gt;COUNT(Dong11),0,IF(MID(OFFSET(TH!D$1,SMALL(Dong11,ROWS($1:48)),),4,1)="X",OFFSET(TH!I$1,SMALL(Dong11,ROWS($1:48)),),0))</f>
        <v>0</v>
      </c>
      <c r="J61" s="532">
        <f t="shared" ca="1" si="7"/>
        <v>0</v>
      </c>
      <c r="K61" s="532">
        <f t="shared" ca="1" si="8"/>
        <v>0</v>
      </c>
      <c r="L61" s="532">
        <f t="shared" ca="1" si="9"/>
        <v>0</v>
      </c>
      <c r="M61" s="532"/>
      <c r="N61" s="522"/>
      <c r="O61" s="497"/>
      <c r="P61" s="497"/>
    </row>
    <row r="62" spans="1:16" ht="15">
      <c r="A62" s="480" t="str">
        <f t="shared" ca="1" si="5"/>
        <v/>
      </c>
      <c r="B62" s="528" t="str">
        <f ca="1">IF(ROWS($1:49)&gt;COUNT(Dong11),"",OFFSET(TH!D$1,SMALL(Dong11,ROWS($1:49)),))</f>
        <v/>
      </c>
      <c r="C62" s="529" t="str">
        <f ca="1">IF(ROWS($1:49)&gt;COUNT(Dong11),"",OFFSET(TH!E$1,SMALL(Dong11,ROWS($1:49)),))</f>
        <v/>
      </c>
      <c r="D62" s="530" t="str">
        <f ca="1">IF(ROWS($1:49)&gt;COUNT(Dong11),"",OFFSET(TH!F$1,SMALL(Dong11,ROWS($1:49)),)&amp;" - "&amp;OFFSET(TH!H$1,SMALL(Dong11,ROWS($1:49)),))</f>
        <v/>
      </c>
      <c r="E62" s="528" t="str">
        <f ca="1">IF(ROWS($1:49)&gt;COUNT(Dong11),"",IF(OFFSET(TH!N$1,SMALL(Dong11,ROWS($1:49)),)=$G$7,OFFSET(TH!O$1,SMALL(Dong11,ROWS($1:49)),),OFFSET(TH!N$1,SMALL(Dong11,ROWS($1:49)),)))</f>
        <v/>
      </c>
      <c r="F62" s="531">
        <f ca="1">IF(ROWS($1:49)&gt;COUNT(Dong11),0,OFFSET(TH!J$1,SMALL(Dong11,ROWS($1:49)),))</f>
        <v>0</v>
      </c>
      <c r="G62" s="531">
        <f ca="1">IF(ROWS($1:49)&gt;COUNT(Dong11),0,IF(MID(OFFSET(TH!D$1,SMALL(Dong11,ROWS($1:49)),),4,1)="N",OFFSET(TH!I$1,SMALL(Dong11,ROWS($1:49)),),0))</f>
        <v>0</v>
      </c>
      <c r="H62" s="532">
        <f t="shared" ca="1" si="6"/>
        <v>0</v>
      </c>
      <c r="I62" s="531">
        <f ca="1">IF(ROWS($1:49)&gt;COUNT(Dong11),0,IF(MID(OFFSET(TH!D$1,SMALL(Dong11,ROWS($1:49)),),4,1)="X",OFFSET(TH!I$1,SMALL(Dong11,ROWS($1:49)),),0))</f>
        <v>0</v>
      </c>
      <c r="J62" s="532">
        <f t="shared" ca="1" si="7"/>
        <v>0</v>
      </c>
      <c r="K62" s="532">
        <f t="shared" ca="1" si="8"/>
        <v>0</v>
      </c>
      <c r="L62" s="532">
        <f t="shared" ca="1" si="9"/>
        <v>0</v>
      </c>
      <c r="M62" s="532"/>
      <c r="N62" s="522"/>
      <c r="O62" s="497"/>
      <c r="P62" s="497"/>
    </row>
    <row r="63" spans="1:16" ht="15">
      <c r="A63" s="480" t="str">
        <f t="shared" ca="1" si="5"/>
        <v/>
      </c>
      <c r="B63" s="528" t="str">
        <f ca="1">IF(ROWS($1:50)&gt;COUNT(Dong11),"",OFFSET(TH!D$1,SMALL(Dong11,ROWS($1:50)),))</f>
        <v/>
      </c>
      <c r="C63" s="529" t="str">
        <f ca="1">IF(ROWS($1:50)&gt;COUNT(Dong11),"",OFFSET(TH!E$1,SMALL(Dong11,ROWS($1:50)),))</f>
        <v/>
      </c>
      <c r="D63" s="530" t="str">
        <f ca="1">IF(ROWS($1:50)&gt;COUNT(Dong11),"",OFFSET(TH!F$1,SMALL(Dong11,ROWS($1:50)),)&amp;" - "&amp;OFFSET(TH!H$1,SMALL(Dong11,ROWS($1:50)),))</f>
        <v/>
      </c>
      <c r="E63" s="528" t="str">
        <f ca="1">IF(ROWS($1:50)&gt;COUNT(Dong11),"",IF(OFFSET(TH!N$1,SMALL(Dong11,ROWS($1:50)),)=$G$7,OFFSET(TH!O$1,SMALL(Dong11,ROWS($1:50)),),OFFSET(TH!N$1,SMALL(Dong11,ROWS($1:50)),)))</f>
        <v/>
      </c>
      <c r="F63" s="531">
        <f ca="1">IF(ROWS($1:50)&gt;COUNT(Dong11),0,OFFSET(TH!J$1,SMALL(Dong11,ROWS($1:50)),))</f>
        <v>0</v>
      </c>
      <c r="G63" s="531">
        <f ca="1">IF(ROWS($1:50)&gt;COUNT(Dong11),0,IF(MID(OFFSET(TH!D$1,SMALL(Dong11,ROWS($1:50)),),4,1)="N",OFFSET(TH!I$1,SMALL(Dong11,ROWS($1:50)),),0))</f>
        <v>0</v>
      </c>
      <c r="H63" s="532">
        <f t="shared" ca="1" si="6"/>
        <v>0</v>
      </c>
      <c r="I63" s="531">
        <f ca="1">IF(ROWS($1:50)&gt;COUNT(Dong11),0,IF(MID(OFFSET(TH!D$1,SMALL(Dong11,ROWS($1:50)),),4,1)="X",OFFSET(TH!I$1,SMALL(Dong11,ROWS($1:50)),),0))</f>
        <v>0</v>
      </c>
      <c r="J63" s="532">
        <f t="shared" ca="1" si="7"/>
        <v>0</v>
      </c>
      <c r="K63" s="532">
        <f t="shared" ca="1" si="8"/>
        <v>0</v>
      </c>
      <c r="L63" s="532">
        <f t="shared" ca="1" si="9"/>
        <v>0</v>
      </c>
      <c r="M63" s="532"/>
      <c r="N63" s="522"/>
      <c r="O63" s="497"/>
      <c r="P63" s="497"/>
    </row>
    <row r="64" spans="1:16" ht="15">
      <c r="A64" s="480" t="str">
        <f t="shared" ca="1" si="5"/>
        <v/>
      </c>
      <c r="B64" s="528" t="str">
        <f ca="1">IF(ROWS($1:51)&gt;COUNT(Dong11),"",OFFSET(TH!D$1,SMALL(Dong11,ROWS($1:51)),))</f>
        <v/>
      </c>
      <c r="C64" s="529" t="str">
        <f ca="1">IF(ROWS($1:51)&gt;COUNT(Dong11),"",OFFSET(TH!E$1,SMALL(Dong11,ROWS($1:51)),))</f>
        <v/>
      </c>
      <c r="D64" s="530" t="str">
        <f ca="1">IF(ROWS($1:51)&gt;COUNT(Dong11),"",OFFSET(TH!F$1,SMALL(Dong11,ROWS($1:51)),)&amp;" - "&amp;OFFSET(TH!H$1,SMALL(Dong11,ROWS($1:51)),))</f>
        <v/>
      </c>
      <c r="E64" s="528" t="str">
        <f ca="1">IF(ROWS($1:51)&gt;COUNT(Dong11),"",IF(OFFSET(TH!N$1,SMALL(Dong11,ROWS($1:51)),)=$G$7,OFFSET(TH!O$1,SMALL(Dong11,ROWS($1:51)),),OFFSET(TH!N$1,SMALL(Dong11,ROWS($1:51)),)))</f>
        <v/>
      </c>
      <c r="F64" s="531">
        <f ca="1">IF(ROWS($1:51)&gt;COUNT(Dong11),0,OFFSET(TH!J$1,SMALL(Dong11,ROWS($1:51)),))</f>
        <v>0</v>
      </c>
      <c r="G64" s="531">
        <f ca="1">IF(ROWS($1:51)&gt;COUNT(Dong11),0,IF(MID(OFFSET(TH!D$1,SMALL(Dong11,ROWS($1:51)),),4,1)="N",OFFSET(TH!I$1,SMALL(Dong11,ROWS($1:51)),),0))</f>
        <v>0</v>
      </c>
      <c r="H64" s="532">
        <f t="shared" ca="1" si="6"/>
        <v>0</v>
      </c>
      <c r="I64" s="531">
        <f ca="1">IF(ROWS($1:51)&gt;COUNT(Dong11),0,IF(MID(OFFSET(TH!D$1,SMALL(Dong11,ROWS($1:51)),),4,1)="X",OFFSET(TH!I$1,SMALL(Dong11,ROWS($1:51)),),0))</f>
        <v>0</v>
      </c>
      <c r="J64" s="532">
        <f t="shared" ca="1" si="7"/>
        <v>0</v>
      </c>
      <c r="K64" s="532">
        <f t="shared" ca="1" si="8"/>
        <v>0</v>
      </c>
      <c r="L64" s="532">
        <f t="shared" ca="1" si="9"/>
        <v>0</v>
      </c>
      <c r="M64" s="532"/>
      <c r="N64" s="522"/>
      <c r="O64" s="497"/>
      <c r="P64" s="497"/>
    </row>
    <row r="65" spans="1:16" ht="15">
      <c r="A65" s="480" t="str">
        <f t="shared" ca="1" si="5"/>
        <v/>
      </c>
      <c r="B65" s="528" t="str">
        <f ca="1">IF(ROWS($1:52)&gt;COUNT(Dong11),"",OFFSET(TH!D$1,SMALL(Dong11,ROWS($1:52)),))</f>
        <v/>
      </c>
      <c r="C65" s="529" t="str">
        <f ca="1">IF(ROWS($1:52)&gt;COUNT(Dong11),"",OFFSET(TH!E$1,SMALL(Dong11,ROWS($1:52)),))</f>
        <v/>
      </c>
      <c r="D65" s="530" t="str">
        <f ca="1">IF(ROWS($1:52)&gt;COUNT(Dong11),"",OFFSET(TH!F$1,SMALL(Dong11,ROWS($1:52)),)&amp;" - "&amp;OFFSET(TH!H$1,SMALL(Dong11,ROWS($1:52)),))</f>
        <v/>
      </c>
      <c r="E65" s="528" t="str">
        <f ca="1">IF(ROWS($1:52)&gt;COUNT(Dong11),"",IF(OFFSET(TH!N$1,SMALL(Dong11,ROWS($1:52)),)=$G$7,OFFSET(TH!O$1,SMALL(Dong11,ROWS($1:52)),),OFFSET(TH!N$1,SMALL(Dong11,ROWS($1:52)),)))</f>
        <v/>
      </c>
      <c r="F65" s="531">
        <f ca="1">IF(ROWS($1:52)&gt;COUNT(Dong11),0,OFFSET(TH!J$1,SMALL(Dong11,ROWS($1:52)),))</f>
        <v>0</v>
      </c>
      <c r="G65" s="531">
        <f ca="1">IF(ROWS($1:52)&gt;COUNT(Dong11),0,IF(MID(OFFSET(TH!D$1,SMALL(Dong11,ROWS($1:52)),),4,1)="N",OFFSET(TH!I$1,SMALL(Dong11,ROWS($1:52)),),0))</f>
        <v>0</v>
      </c>
      <c r="H65" s="532">
        <f t="shared" ca="1" si="6"/>
        <v>0</v>
      </c>
      <c r="I65" s="531">
        <f ca="1">IF(ROWS($1:52)&gt;COUNT(Dong11),0,IF(MID(OFFSET(TH!D$1,SMALL(Dong11,ROWS($1:52)),),4,1)="X",OFFSET(TH!I$1,SMALL(Dong11,ROWS($1:52)),),0))</f>
        <v>0</v>
      </c>
      <c r="J65" s="532">
        <f t="shared" ca="1" si="7"/>
        <v>0</v>
      </c>
      <c r="K65" s="532">
        <f t="shared" ca="1" si="8"/>
        <v>0</v>
      </c>
      <c r="L65" s="532">
        <f t="shared" ca="1" si="9"/>
        <v>0</v>
      </c>
      <c r="M65" s="532"/>
      <c r="N65" s="522"/>
      <c r="O65" s="497"/>
      <c r="P65" s="497"/>
    </row>
    <row r="66" spans="1:16" ht="15">
      <c r="A66" s="480" t="str">
        <f t="shared" ca="1" si="5"/>
        <v/>
      </c>
      <c r="B66" s="528" t="str">
        <f ca="1">IF(ROWS($1:53)&gt;COUNT(Dong11),"",OFFSET(TH!D$1,SMALL(Dong11,ROWS($1:53)),))</f>
        <v/>
      </c>
      <c r="C66" s="529" t="str">
        <f ca="1">IF(ROWS($1:53)&gt;COUNT(Dong11),"",OFFSET(TH!E$1,SMALL(Dong11,ROWS($1:53)),))</f>
        <v/>
      </c>
      <c r="D66" s="530" t="str">
        <f ca="1">IF(ROWS($1:53)&gt;COUNT(Dong11),"",OFFSET(TH!F$1,SMALL(Dong11,ROWS($1:53)),)&amp;" - "&amp;OFFSET(TH!H$1,SMALL(Dong11,ROWS($1:53)),))</f>
        <v/>
      </c>
      <c r="E66" s="528" t="str">
        <f ca="1">IF(ROWS($1:53)&gt;COUNT(Dong11),"",IF(OFFSET(TH!N$1,SMALL(Dong11,ROWS($1:53)),)=$G$7,OFFSET(TH!O$1,SMALL(Dong11,ROWS($1:53)),),OFFSET(TH!N$1,SMALL(Dong11,ROWS($1:53)),)))</f>
        <v/>
      </c>
      <c r="F66" s="531">
        <f ca="1">IF(ROWS($1:53)&gt;COUNT(Dong11),0,OFFSET(TH!J$1,SMALL(Dong11,ROWS($1:53)),))</f>
        <v>0</v>
      </c>
      <c r="G66" s="531">
        <f ca="1">IF(ROWS($1:53)&gt;COUNT(Dong11),0,IF(MID(OFFSET(TH!D$1,SMALL(Dong11,ROWS($1:53)),),4,1)="N",OFFSET(TH!I$1,SMALL(Dong11,ROWS($1:53)),),0))</f>
        <v>0</v>
      </c>
      <c r="H66" s="532">
        <f t="shared" ca="1" si="6"/>
        <v>0</v>
      </c>
      <c r="I66" s="531">
        <f ca="1">IF(ROWS($1:53)&gt;COUNT(Dong11),0,IF(MID(OFFSET(TH!D$1,SMALL(Dong11,ROWS($1:53)),),4,1)="X",OFFSET(TH!I$1,SMALL(Dong11,ROWS($1:53)),),0))</f>
        <v>0</v>
      </c>
      <c r="J66" s="532">
        <f t="shared" ca="1" si="7"/>
        <v>0</v>
      </c>
      <c r="K66" s="532">
        <f t="shared" ca="1" si="8"/>
        <v>0</v>
      </c>
      <c r="L66" s="532">
        <f t="shared" ca="1" si="9"/>
        <v>0</v>
      </c>
      <c r="M66" s="532"/>
      <c r="N66" s="522"/>
      <c r="O66" s="497"/>
      <c r="P66" s="497"/>
    </row>
    <row r="67" spans="1:16" ht="15">
      <c r="A67" s="480" t="str">
        <f t="shared" ca="1" si="5"/>
        <v/>
      </c>
      <c r="B67" s="528" t="str">
        <f ca="1">IF(ROWS($1:54)&gt;COUNT(Dong11),"",OFFSET(TH!D$1,SMALL(Dong11,ROWS($1:54)),))</f>
        <v/>
      </c>
      <c r="C67" s="529" t="str">
        <f ca="1">IF(ROWS($1:54)&gt;COUNT(Dong11),"",OFFSET(TH!E$1,SMALL(Dong11,ROWS($1:54)),))</f>
        <v/>
      </c>
      <c r="D67" s="530" t="str">
        <f ca="1">IF(ROWS($1:54)&gt;COUNT(Dong11),"",OFFSET(TH!F$1,SMALL(Dong11,ROWS($1:54)),)&amp;" - "&amp;OFFSET(TH!H$1,SMALL(Dong11,ROWS($1:54)),))</f>
        <v/>
      </c>
      <c r="E67" s="528" t="str">
        <f ca="1">IF(ROWS($1:54)&gt;COUNT(Dong11),"",IF(OFFSET(TH!N$1,SMALL(Dong11,ROWS($1:54)),)=$G$7,OFFSET(TH!O$1,SMALL(Dong11,ROWS($1:54)),),OFFSET(TH!N$1,SMALL(Dong11,ROWS($1:54)),)))</f>
        <v/>
      </c>
      <c r="F67" s="531">
        <f ca="1">IF(ROWS($1:54)&gt;COUNT(Dong11),0,OFFSET(TH!J$1,SMALL(Dong11,ROWS($1:54)),))</f>
        <v>0</v>
      </c>
      <c r="G67" s="531">
        <f ca="1">IF(ROWS($1:54)&gt;COUNT(Dong11),0,IF(MID(OFFSET(TH!D$1,SMALL(Dong11,ROWS($1:54)),),4,1)="N",OFFSET(TH!I$1,SMALL(Dong11,ROWS($1:54)),),0))</f>
        <v>0</v>
      </c>
      <c r="H67" s="532">
        <f t="shared" ca="1" si="6"/>
        <v>0</v>
      </c>
      <c r="I67" s="531">
        <f ca="1">IF(ROWS($1:54)&gt;COUNT(Dong11),0,IF(MID(OFFSET(TH!D$1,SMALL(Dong11,ROWS($1:54)),),4,1)="X",OFFSET(TH!I$1,SMALL(Dong11,ROWS($1:54)),),0))</f>
        <v>0</v>
      </c>
      <c r="J67" s="532">
        <f t="shared" ca="1" si="7"/>
        <v>0</v>
      </c>
      <c r="K67" s="532">
        <f t="shared" ca="1" si="8"/>
        <v>0</v>
      </c>
      <c r="L67" s="532">
        <f t="shared" ca="1" si="9"/>
        <v>0</v>
      </c>
      <c r="M67" s="532"/>
      <c r="N67" s="522"/>
      <c r="O67" s="497"/>
      <c r="P67" s="497"/>
    </row>
    <row r="68" spans="1:16" ht="15">
      <c r="A68" s="480" t="str">
        <f t="shared" ca="1" si="5"/>
        <v/>
      </c>
      <c r="B68" s="528" t="str">
        <f ca="1">IF(ROWS($1:55)&gt;COUNT(Dong11),"",OFFSET(TH!D$1,SMALL(Dong11,ROWS($1:55)),))</f>
        <v/>
      </c>
      <c r="C68" s="529" t="str">
        <f ca="1">IF(ROWS($1:55)&gt;COUNT(Dong11),"",OFFSET(TH!E$1,SMALL(Dong11,ROWS($1:55)),))</f>
        <v/>
      </c>
      <c r="D68" s="530" t="str">
        <f ca="1">IF(ROWS($1:55)&gt;COUNT(Dong11),"",OFFSET(TH!F$1,SMALL(Dong11,ROWS($1:55)),)&amp;" - "&amp;OFFSET(TH!H$1,SMALL(Dong11,ROWS($1:55)),))</f>
        <v/>
      </c>
      <c r="E68" s="528" t="str">
        <f ca="1">IF(ROWS($1:55)&gt;COUNT(Dong11),"",IF(OFFSET(TH!N$1,SMALL(Dong11,ROWS($1:55)),)=$G$7,OFFSET(TH!O$1,SMALL(Dong11,ROWS($1:55)),),OFFSET(TH!N$1,SMALL(Dong11,ROWS($1:55)),)))</f>
        <v/>
      </c>
      <c r="F68" s="531">
        <f ca="1">IF(ROWS($1:55)&gt;COUNT(Dong11),0,OFFSET(TH!J$1,SMALL(Dong11,ROWS($1:55)),))</f>
        <v>0</v>
      </c>
      <c r="G68" s="531">
        <f ca="1">IF(ROWS($1:55)&gt;COUNT(Dong11),0,IF(MID(OFFSET(TH!D$1,SMALL(Dong11,ROWS($1:55)),),4,1)="N",OFFSET(TH!I$1,SMALL(Dong11,ROWS($1:55)),),0))</f>
        <v>0</v>
      </c>
      <c r="H68" s="532">
        <f t="shared" ca="1" si="6"/>
        <v>0</v>
      </c>
      <c r="I68" s="531">
        <f ca="1">IF(ROWS($1:55)&gt;COUNT(Dong11),0,IF(MID(OFFSET(TH!D$1,SMALL(Dong11,ROWS($1:55)),),4,1)="X",OFFSET(TH!I$1,SMALL(Dong11,ROWS($1:55)),),0))</f>
        <v>0</v>
      </c>
      <c r="J68" s="532">
        <f t="shared" ca="1" si="7"/>
        <v>0</v>
      </c>
      <c r="K68" s="532">
        <f t="shared" ca="1" si="8"/>
        <v>0</v>
      </c>
      <c r="L68" s="532">
        <f t="shared" ca="1" si="9"/>
        <v>0</v>
      </c>
      <c r="M68" s="532"/>
      <c r="N68" s="522"/>
      <c r="O68" s="497"/>
      <c r="P68" s="497"/>
    </row>
    <row r="69" spans="1:16" ht="15">
      <c r="A69" s="480" t="str">
        <f t="shared" ca="1" si="5"/>
        <v/>
      </c>
      <c r="B69" s="528" t="str">
        <f ca="1">IF(ROWS($1:56)&gt;COUNT(Dong11),"",OFFSET(TH!D$1,SMALL(Dong11,ROWS($1:56)),))</f>
        <v/>
      </c>
      <c r="C69" s="529" t="str">
        <f ca="1">IF(ROWS($1:56)&gt;COUNT(Dong11),"",OFFSET(TH!E$1,SMALL(Dong11,ROWS($1:56)),))</f>
        <v/>
      </c>
      <c r="D69" s="530" t="str">
        <f ca="1">IF(ROWS($1:56)&gt;COUNT(Dong11),"",OFFSET(TH!F$1,SMALL(Dong11,ROWS($1:56)),)&amp;" - "&amp;OFFSET(TH!H$1,SMALL(Dong11,ROWS($1:56)),))</f>
        <v/>
      </c>
      <c r="E69" s="528" t="str">
        <f ca="1">IF(ROWS($1:56)&gt;COUNT(Dong11),"",IF(OFFSET(TH!N$1,SMALL(Dong11,ROWS($1:56)),)=$G$7,OFFSET(TH!O$1,SMALL(Dong11,ROWS($1:56)),),OFFSET(TH!N$1,SMALL(Dong11,ROWS($1:56)),)))</f>
        <v/>
      </c>
      <c r="F69" s="531">
        <f ca="1">IF(ROWS($1:56)&gt;COUNT(Dong11),0,OFFSET(TH!J$1,SMALL(Dong11,ROWS($1:56)),))</f>
        <v>0</v>
      </c>
      <c r="G69" s="531">
        <f ca="1">IF(ROWS($1:56)&gt;COUNT(Dong11),0,IF(MID(OFFSET(TH!D$1,SMALL(Dong11,ROWS($1:56)),),4,1)="N",OFFSET(TH!I$1,SMALL(Dong11,ROWS($1:56)),),0))</f>
        <v>0</v>
      </c>
      <c r="H69" s="532">
        <f t="shared" ca="1" si="6"/>
        <v>0</v>
      </c>
      <c r="I69" s="531">
        <f ca="1">IF(ROWS($1:56)&gt;COUNT(Dong11),0,IF(MID(OFFSET(TH!D$1,SMALL(Dong11,ROWS($1:56)),),4,1)="X",OFFSET(TH!I$1,SMALL(Dong11,ROWS($1:56)),),0))</f>
        <v>0</v>
      </c>
      <c r="J69" s="532">
        <f t="shared" ca="1" si="7"/>
        <v>0</v>
      </c>
      <c r="K69" s="532">
        <f t="shared" ca="1" si="8"/>
        <v>0</v>
      </c>
      <c r="L69" s="532">
        <f t="shared" ca="1" si="9"/>
        <v>0</v>
      </c>
      <c r="M69" s="532"/>
      <c r="N69" s="522"/>
      <c r="O69" s="497"/>
      <c r="P69" s="497"/>
    </row>
    <row r="70" spans="1:16" ht="15">
      <c r="A70" s="480" t="str">
        <f t="shared" ca="1" si="5"/>
        <v/>
      </c>
      <c r="B70" s="528" t="str">
        <f ca="1">IF(ROWS($1:57)&gt;COUNT(Dong11),"",OFFSET(TH!D$1,SMALL(Dong11,ROWS($1:57)),))</f>
        <v/>
      </c>
      <c r="C70" s="529" t="str">
        <f ca="1">IF(ROWS($1:57)&gt;COUNT(Dong11),"",OFFSET(TH!E$1,SMALL(Dong11,ROWS($1:57)),))</f>
        <v/>
      </c>
      <c r="D70" s="530" t="str">
        <f ca="1">IF(ROWS($1:57)&gt;COUNT(Dong11),"",OFFSET(TH!F$1,SMALL(Dong11,ROWS($1:57)),)&amp;" - "&amp;OFFSET(TH!H$1,SMALL(Dong11,ROWS($1:57)),))</f>
        <v/>
      </c>
      <c r="E70" s="528" t="str">
        <f ca="1">IF(ROWS($1:57)&gt;COUNT(Dong11),"",IF(OFFSET(TH!N$1,SMALL(Dong11,ROWS($1:57)),)=$G$7,OFFSET(TH!O$1,SMALL(Dong11,ROWS($1:57)),),OFFSET(TH!N$1,SMALL(Dong11,ROWS($1:57)),)))</f>
        <v/>
      </c>
      <c r="F70" s="531">
        <f ca="1">IF(ROWS($1:57)&gt;COUNT(Dong11),0,OFFSET(TH!J$1,SMALL(Dong11,ROWS($1:57)),))</f>
        <v>0</v>
      </c>
      <c r="G70" s="531">
        <f ca="1">IF(ROWS($1:57)&gt;COUNT(Dong11),0,IF(MID(OFFSET(TH!D$1,SMALL(Dong11,ROWS($1:57)),),4,1)="N",OFFSET(TH!I$1,SMALL(Dong11,ROWS($1:57)),),0))</f>
        <v>0</v>
      </c>
      <c r="H70" s="532">
        <f t="shared" ca="1" si="6"/>
        <v>0</v>
      </c>
      <c r="I70" s="531">
        <f ca="1">IF(ROWS($1:57)&gt;COUNT(Dong11),0,IF(MID(OFFSET(TH!D$1,SMALL(Dong11,ROWS($1:57)),),4,1)="X",OFFSET(TH!I$1,SMALL(Dong11,ROWS($1:57)),),0))</f>
        <v>0</v>
      </c>
      <c r="J70" s="532">
        <f t="shared" ca="1" si="7"/>
        <v>0</v>
      </c>
      <c r="K70" s="532">
        <f t="shared" ca="1" si="8"/>
        <v>0</v>
      </c>
      <c r="L70" s="532">
        <f t="shared" ca="1" si="9"/>
        <v>0</v>
      </c>
      <c r="M70" s="532"/>
      <c r="N70" s="522"/>
      <c r="O70" s="497"/>
      <c r="P70" s="497"/>
    </row>
    <row r="71" spans="1:16" ht="15">
      <c r="A71" s="480" t="str">
        <f t="shared" ca="1" si="5"/>
        <v/>
      </c>
      <c r="B71" s="528" t="str">
        <f ca="1">IF(ROWS($1:58)&gt;COUNT(Dong11),"",OFFSET(TH!D$1,SMALL(Dong11,ROWS($1:58)),))</f>
        <v/>
      </c>
      <c r="C71" s="529" t="str">
        <f ca="1">IF(ROWS($1:58)&gt;COUNT(Dong11),"",OFFSET(TH!E$1,SMALL(Dong11,ROWS($1:58)),))</f>
        <v/>
      </c>
      <c r="D71" s="530" t="str">
        <f ca="1">IF(ROWS($1:58)&gt;COUNT(Dong11),"",OFFSET(TH!F$1,SMALL(Dong11,ROWS($1:58)),)&amp;" - "&amp;OFFSET(TH!H$1,SMALL(Dong11,ROWS($1:58)),))</f>
        <v/>
      </c>
      <c r="E71" s="528" t="str">
        <f ca="1">IF(ROWS($1:58)&gt;COUNT(Dong11),"",IF(OFFSET(TH!N$1,SMALL(Dong11,ROWS($1:58)),)=$G$7,OFFSET(TH!O$1,SMALL(Dong11,ROWS($1:58)),),OFFSET(TH!N$1,SMALL(Dong11,ROWS($1:58)),)))</f>
        <v/>
      </c>
      <c r="F71" s="531">
        <f ca="1">IF(ROWS($1:58)&gt;COUNT(Dong11),0,OFFSET(TH!J$1,SMALL(Dong11,ROWS($1:58)),))</f>
        <v>0</v>
      </c>
      <c r="G71" s="531">
        <f ca="1">IF(ROWS($1:58)&gt;COUNT(Dong11),0,IF(MID(OFFSET(TH!D$1,SMALL(Dong11,ROWS($1:58)),),4,1)="N",OFFSET(TH!I$1,SMALL(Dong11,ROWS($1:58)),),0))</f>
        <v>0</v>
      </c>
      <c r="H71" s="532">
        <f t="shared" ca="1" si="6"/>
        <v>0</v>
      </c>
      <c r="I71" s="531">
        <f ca="1">IF(ROWS($1:58)&gt;COUNT(Dong11),0,IF(MID(OFFSET(TH!D$1,SMALL(Dong11,ROWS($1:58)),),4,1)="X",OFFSET(TH!I$1,SMALL(Dong11,ROWS($1:58)),),0))</f>
        <v>0</v>
      </c>
      <c r="J71" s="532">
        <f t="shared" ca="1" si="7"/>
        <v>0</v>
      </c>
      <c r="K71" s="532">
        <f t="shared" ca="1" si="8"/>
        <v>0</v>
      </c>
      <c r="L71" s="532">
        <f t="shared" ca="1" si="9"/>
        <v>0</v>
      </c>
      <c r="M71" s="532"/>
      <c r="N71" s="522"/>
      <c r="O71" s="497"/>
      <c r="P71" s="497"/>
    </row>
    <row r="72" spans="1:16" ht="15">
      <c r="A72" s="480" t="str">
        <f t="shared" ca="1" si="5"/>
        <v/>
      </c>
      <c r="B72" s="528" t="str">
        <f ca="1">IF(ROWS($1:59)&gt;COUNT(Dong11),"",OFFSET(TH!D$1,SMALL(Dong11,ROWS($1:59)),))</f>
        <v/>
      </c>
      <c r="C72" s="529" t="str">
        <f ca="1">IF(ROWS($1:59)&gt;COUNT(Dong11),"",OFFSET(TH!E$1,SMALL(Dong11,ROWS($1:59)),))</f>
        <v/>
      </c>
      <c r="D72" s="530" t="str">
        <f ca="1">IF(ROWS($1:59)&gt;COUNT(Dong11),"",OFFSET(TH!F$1,SMALL(Dong11,ROWS($1:59)),)&amp;" - "&amp;OFFSET(TH!H$1,SMALL(Dong11,ROWS($1:59)),))</f>
        <v/>
      </c>
      <c r="E72" s="528" t="str">
        <f ca="1">IF(ROWS($1:59)&gt;COUNT(Dong11),"",IF(OFFSET(TH!N$1,SMALL(Dong11,ROWS($1:59)),)=$G$7,OFFSET(TH!O$1,SMALL(Dong11,ROWS($1:59)),),OFFSET(TH!N$1,SMALL(Dong11,ROWS($1:59)),)))</f>
        <v/>
      </c>
      <c r="F72" s="531">
        <f ca="1">IF(ROWS($1:59)&gt;COUNT(Dong11),0,OFFSET(TH!J$1,SMALL(Dong11,ROWS($1:59)),))</f>
        <v>0</v>
      </c>
      <c r="G72" s="531">
        <f ca="1">IF(ROWS($1:59)&gt;COUNT(Dong11),0,IF(MID(OFFSET(TH!D$1,SMALL(Dong11,ROWS($1:59)),),4,1)="N",OFFSET(TH!I$1,SMALL(Dong11,ROWS($1:59)),),0))</f>
        <v>0</v>
      </c>
      <c r="H72" s="532">
        <f t="shared" ca="1" si="6"/>
        <v>0</v>
      </c>
      <c r="I72" s="531">
        <f ca="1">IF(ROWS($1:59)&gt;COUNT(Dong11),0,IF(MID(OFFSET(TH!D$1,SMALL(Dong11,ROWS($1:59)),),4,1)="X",OFFSET(TH!I$1,SMALL(Dong11,ROWS($1:59)),),0))</f>
        <v>0</v>
      </c>
      <c r="J72" s="532">
        <f t="shared" ca="1" si="7"/>
        <v>0</v>
      </c>
      <c r="K72" s="532">
        <f t="shared" ca="1" si="8"/>
        <v>0</v>
      </c>
      <c r="L72" s="532">
        <f t="shared" ca="1" si="9"/>
        <v>0</v>
      </c>
      <c r="M72" s="532"/>
      <c r="N72" s="522"/>
      <c r="O72" s="497"/>
      <c r="P72" s="497"/>
    </row>
    <row r="73" spans="1:16" ht="15">
      <c r="A73" s="480" t="str">
        <f t="shared" ca="1" si="5"/>
        <v/>
      </c>
      <c r="B73" s="528" t="str">
        <f ca="1">IF(ROWS($1:60)&gt;COUNT(Dong11),"",OFFSET(TH!D$1,SMALL(Dong11,ROWS($1:60)),))</f>
        <v/>
      </c>
      <c r="C73" s="529" t="str">
        <f ca="1">IF(ROWS($1:60)&gt;COUNT(Dong11),"",OFFSET(TH!E$1,SMALL(Dong11,ROWS($1:60)),))</f>
        <v/>
      </c>
      <c r="D73" s="530" t="str">
        <f ca="1">IF(ROWS($1:60)&gt;COUNT(Dong11),"",OFFSET(TH!F$1,SMALL(Dong11,ROWS($1:60)),)&amp;" - "&amp;OFFSET(TH!H$1,SMALL(Dong11,ROWS($1:60)),))</f>
        <v/>
      </c>
      <c r="E73" s="528" t="str">
        <f ca="1">IF(ROWS($1:60)&gt;COUNT(Dong11),"",IF(OFFSET(TH!N$1,SMALL(Dong11,ROWS($1:60)),)=$G$7,OFFSET(TH!O$1,SMALL(Dong11,ROWS($1:60)),),OFFSET(TH!N$1,SMALL(Dong11,ROWS($1:60)),)))</f>
        <v/>
      </c>
      <c r="F73" s="531">
        <f ca="1">IF(ROWS($1:60)&gt;COUNT(Dong11),0,OFFSET(TH!J$1,SMALL(Dong11,ROWS($1:60)),))</f>
        <v>0</v>
      </c>
      <c r="G73" s="531">
        <f ca="1">IF(ROWS($1:60)&gt;COUNT(Dong11),0,IF(MID(OFFSET(TH!D$1,SMALL(Dong11,ROWS($1:60)),),4,1)="N",OFFSET(TH!I$1,SMALL(Dong11,ROWS($1:60)),),0))</f>
        <v>0</v>
      </c>
      <c r="H73" s="532">
        <f t="shared" ca="1" si="6"/>
        <v>0</v>
      </c>
      <c r="I73" s="531">
        <f ca="1">IF(ROWS($1:60)&gt;COUNT(Dong11),0,IF(MID(OFFSET(TH!D$1,SMALL(Dong11,ROWS($1:60)),),4,1)="X",OFFSET(TH!I$1,SMALL(Dong11,ROWS($1:60)),),0))</f>
        <v>0</v>
      </c>
      <c r="J73" s="532">
        <f t="shared" ca="1" si="7"/>
        <v>0</v>
      </c>
      <c r="K73" s="532">
        <f t="shared" ca="1" si="8"/>
        <v>0</v>
      </c>
      <c r="L73" s="532">
        <f t="shared" ca="1" si="9"/>
        <v>0</v>
      </c>
      <c r="M73" s="532"/>
      <c r="N73" s="522"/>
      <c r="O73" s="497"/>
      <c r="P73" s="497"/>
    </row>
    <row r="74" spans="1:16" ht="15">
      <c r="A74" s="480" t="str">
        <f t="shared" ca="1" si="5"/>
        <v/>
      </c>
      <c r="B74" s="528" t="str">
        <f ca="1">IF(ROWS($1:61)&gt;COUNT(Dong11),"",OFFSET(TH!D$1,SMALL(Dong11,ROWS($1:61)),))</f>
        <v/>
      </c>
      <c r="C74" s="529" t="str">
        <f ca="1">IF(ROWS($1:61)&gt;COUNT(Dong11),"",OFFSET(TH!E$1,SMALL(Dong11,ROWS($1:61)),))</f>
        <v/>
      </c>
      <c r="D74" s="530" t="str">
        <f ca="1">IF(ROWS($1:61)&gt;COUNT(Dong11),"",OFFSET(TH!F$1,SMALL(Dong11,ROWS($1:61)),)&amp;" - "&amp;OFFSET(TH!H$1,SMALL(Dong11,ROWS($1:61)),))</f>
        <v/>
      </c>
      <c r="E74" s="528" t="str">
        <f ca="1">IF(ROWS($1:61)&gt;COUNT(Dong11),"",IF(OFFSET(TH!N$1,SMALL(Dong11,ROWS($1:61)),)=$G$7,OFFSET(TH!O$1,SMALL(Dong11,ROWS($1:61)),),OFFSET(TH!N$1,SMALL(Dong11,ROWS($1:61)),)))</f>
        <v/>
      </c>
      <c r="F74" s="531">
        <f ca="1">IF(ROWS($1:61)&gt;COUNT(Dong11),0,OFFSET(TH!J$1,SMALL(Dong11,ROWS($1:61)),))</f>
        <v>0</v>
      </c>
      <c r="G74" s="531">
        <f ca="1">IF(ROWS($1:61)&gt;COUNT(Dong11),0,IF(MID(OFFSET(TH!D$1,SMALL(Dong11,ROWS($1:61)),),4,1)="N",OFFSET(TH!I$1,SMALL(Dong11,ROWS($1:61)),),0))</f>
        <v>0</v>
      </c>
      <c r="H74" s="532">
        <f t="shared" ca="1" si="6"/>
        <v>0</v>
      </c>
      <c r="I74" s="531">
        <f ca="1">IF(ROWS($1:61)&gt;COUNT(Dong11),0,IF(MID(OFFSET(TH!D$1,SMALL(Dong11,ROWS($1:61)),),4,1)="X",OFFSET(TH!I$1,SMALL(Dong11,ROWS($1:61)),),0))</f>
        <v>0</v>
      </c>
      <c r="J74" s="532">
        <f t="shared" ca="1" si="7"/>
        <v>0</v>
      </c>
      <c r="K74" s="532">
        <f t="shared" ca="1" si="8"/>
        <v>0</v>
      </c>
      <c r="L74" s="532">
        <f t="shared" ca="1" si="9"/>
        <v>0</v>
      </c>
      <c r="M74" s="532"/>
      <c r="N74" s="522"/>
      <c r="O74" s="497"/>
      <c r="P74" s="497"/>
    </row>
    <row r="75" spans="1:16" ht="15">
      <c r="A75" s="480" t="str">
        <f t="shared" ca="1" si="5"/>
        <v/>
      </c>
      <c r="B75" s="528" t="str">
        <f ca="1">IF(ROWS($1:62)&gt;COUNT(Dong11),"",OFFSET(TH!D$1,SMALL(Dong11,ROWS($1:62)),))</f>
        <v/>
      </c>
      <c r="C75" s="529" t="str">
        <f ca="1">IF(ROWS($1:62)&gt;COUNT(Dong11),"",OFFSET(TH!E$1,SMALL(Dong11,ROWS($1:62)),))</f>
        <v/>
      </c>
      <c r="D75" s="530" t="str">
        <f ca="1">IF(ROWS($1:62)&gt;COUNT(Dong11),"",OFFSET(TH!F$1,SMALL(Dong11,ROWS($1:62)),)&amp;" - "&amp;OFFSET(TH!H$1,SMALL(Dong11,ROWS($1:62)),))</f>
        <v/>
      </c>
      <c r="E75" s="528" t="str">
        <f ca="1">IF(ROWS($1:62)&gt;COUNT(Dong11),"",IF(OFFSET(TH!N$1,SMALL(Dong11,ROWS($1:62)),)=$G$7,OFFSET(TH!O$1,SMALL(Dong11,ROWS($1:62)),),OFFSET(TH!N$1,SMALL(Dong11,ROWS($1:62)),)))</f>
        <v/>
      </c>
      <c r="F75" s="531">
        <f ca="1">IF(ROWS($1:62)&gt;COUNT(Dong11),0,OFFSET(TH!J$1,SMALL(Dong11,ROWS($1:62)),))</f>
        <v>0</v>
      </c>
      <c r="G75" s="531">
        <f ca="1">IF(ROWS($1:62)&gt;COUNT(Dong11),0,IF(MID(OFFSET(TH!D$1,SMALL(Dong11,ROWS($1:62)),),4,1)="N",OFFSET(TH!I$1,SMALL(Dong11,ROWS($1:62)),),0))</f>
        <v>0</v>
      </c>
      <c r="H75" s="532">
        <f t="shared" ca="1" si="6"/>
        <v>0</v>
      </c>
      <c r="I75" s="531">
        <f ca="1">IF(ROWS($1:62)&gt;COUNT(Dong11),0,IF(MID(OFFSET(TH!D$1,SMALL(Dong11,ROWS($1:62)),),4,1)="X",OFFSET(TH!I$1,SMALL(Dong11,ROWS($1:62)),),0))</f>
        <v>0</v>
      </c>
      <c r="J75" s="532">
        <f t="shared" ca="1" si="7"/>
        <v>0</v>
      </c>
      <c r="K75" s="532">
        <f t="shared" ca="1" si="8"/>
        <v>0</v>
      </c>
      <c r="L75" s="532">
        <f t="shared" ca="1" si="9"/>
        <v>0</v>
      </c>
      <c r="M75" s="532"/>
      <c r="N75" s="522"/>
      <c r="O75" s="497"/>
      <c r="P75" s="497"/>
    </row>
    <row r="76" spans="1:16" ht="15">
      <c r="A76" s="480" t="str">
        <f t="shared" ca="1" si="5"/>
        <v/>
      </c>
      <c r="B76" s="528" t="str">
        <f ca="1">IF(ROWS($1:63)&gt;COUNT(Dong11),"",OFFSET(TH!D$1,SMALL(Dong11,ROWS($1:63)),))</f>
        <v/>
      </c>
      <c r="C76" s="529" t="str">
        <f ca="1">IF(ROWS($1:63)&gt;COUNT(Dong11),"",OFFSET(TH!E$1,SMALL(Dong11,ROWS($1:63)),))</f>
        <v/>
      </c>
      <c r="D76" s="530" t="str">
        <f ca="1">IF(ROWS($1:63)&gt;COUNT(Dong11),"",OFFSET(TH!F$1,SMALL(Dong11,ROWS($1:63)),)&amp;" - "&amp;OFFSET(TH!H$1,SMALL(Dong11,ROWS($1:63)),))</f>
        <v/>
      </c>
      <c r="E76" s="528" t="str">
        <f ca="1">IF(ROWS($1:63)&gt;COUNT(Dong11),"",IF(OFFSET(TH!N$1,SMALL(Dong11,ROWS($1:63)),)=$G$7,OFFSET(TH!O$1,SMALL(Dong11,ROWS($1:63)),),OFFSET(TH!N$1,SMALL(Dong11,ROWS($1:63)),)))</f>
        <v/>
      </c>
      <c r="F76" s="531">
        <f ca="1">IF(ROWS($1:63)&gt;COUNT(Dong11),0,OFFSET(TH!J$1,SMALL(Dong11,ROWS($1:63)),))</f>
        <v>0</v>
      </c>
      <c r="G76" s="531">
        <f ca="1">IF(ROWS($1:63)&gt;COUNT(Dong11),0,IF(MID(OFFSET(TH!D$1,SMALL(Dong11,ROWS($1:63)),),4,1)="N",OFFSET(TH!I$1,SMALL(Dong11,ROWS($1:63)),),0))</f>
        <v>0</v>
      </c>
      <c r="H76" s="532">
        <f t="shared" ca="1" si="6"/>
        <v>0</v>
      </c>
      <c r="I76" s="531">
        <f ca="1">IF(ROWS($1:63)&gt;COUNT(Dong11),0,IF(MID(OFFSET(TH!D$1,SMALL(Dong11,ROWS($1:63)),),4,1)="X",OFFSET(TH!I$1,SMALL(Dong11,ROWS($1:63)),),0))</f>
        <v>0</v>
      </c>
      <c r="J76" s="532">
        <f t="shared" ca="1" si="7"/>
        <v>0</v>
      </c>
      <c r="K76" s="532">
        <f t="shared" ca="1" si="8"/>
        <v>0</v>
      </c>
      <c r="L76" s="532">
        <f t="shared" ca="1" si="9"/>
        <v>0</v>
      </c>
      <c r="M76" s="532"/>
      <c r="N76" s="522"/>
      <c r="O76" s="497"/>
      <c r="P76" s="497"/>
    </row>
    <row r="77" spans="1:16" ht="15">
      <c r="A77" s="480" t="str">
        <f t="shared" ca="1" si="5"/>
        <v/>
      </c>
      <c r="B77" s="528" t="str">
        <f ca="1">IF(ROWS($1:64)&gt;COUNT(Dong11),"",OFFSET(TH!D$1,SMALL(Dong11,ROWS($1:64)),))</f>
        <v/>
      </c>
      <c r="C77" s="529" t="str">
        <f ca="1">IF(ROWS($1:64)&gt;COUNT(Dong11),"",OFFSET(TH!E$1,SMALL(Dong11,ROWS($1:64)),))</f>
        <v/>
      </c>
      <c r="D77" s="530" t="str">
        <f ca="1">IF(ROWS($1:64)&gt;COUNT(Dong11),"",OFFSET(TH!F$1,SMALL(Dong11,ROWS($1:64)),)&amp;" - "&amp;OFFSET(TH!H$1,SMALL(Dong11,ROWS($1:64)),))</f>
        <v/>
      </c>
      <c r="E77" s="528" t="str">
        <f ca="1">IF(ROWS($1:64)&gt;COUNT(Dong11),"",IF(OFFSET(TH!N$1,SMALL(Dong11,ROWS($1:64)),)=$G$7,OFFSET(TH!O$1,SMALL(Dong11,ROWS($1:64)),),OFFSET(TH!N$1,SMALL(Dong11,ROWS($1:64)),)))</f>
        <v/>
      </c>
      <c r="F77" s="531">
        <f ca="1">IF(ROWS($1:64)&gt;COUNT(Dong11),0,OFFSET(TH!J$1,SMALL(Dong11,ROWS($1:64)),))</f>
        <v>0</v>
      </c>
      <c r="G77" s="531">
        <f ca="1">IF(ROWS($1:64)&gt;COUNT(Dong11),0,IF(MID(OFFSET(TH!D$1,SMALL(Dong11,ROWS($1:64)),),4,1)="N",OFFSET(TH!I$1,SMALL(Dong11,ROWS($1:64)),),0))</f>
        <v>0</v>
      </c>
      <c r="H77" s="532">
        <f t="shared" ca="1" si="6"/>
        <v>0</v>
      </c>
      <c r="I77" s="531">
        <f ca="1">IF(ROWS($1:64)&gt;COUNT(Dong11),0,IF(MID(OFFSET(TH!D$1,SMALL(Dong11,ROWS($1:64)),),4,1)="X",OFFSET(TH!I$1,SMALL(Dong11,ROWS($1:64)),),0))</f>
        <v>0</v>
      </c>
      <c r="J77" s="532">
        <f t="shared" ca="1" si="7"/>
        <v>0</v>
      </c>
      <c r="K77" s="532">
        <f t="shared" ca="1" si="8"/>
        <v>0</v>
      </c>
      <c r="L77" s="532">
        <f t="shared" ca="1" si="9"/>
        <v>0</v>
      </c>
      <c r="M77" s="532"/>
      <c r="N77" s="522"/>
      <c r="O77" s="497"/>
      <c r="P77" s="497"/>
    </row>
    <row r="78" spans="1:16" ht="15">
      <c r="A78" s="480" t="str">
        <f t="shared" ca="1" si="5"/>
        <v/>
      </c>
      <c r="B78" s="528" t="str">
        <f ca="1">IF(ROWS($1:65)&gt;COUNT(Dong11),"",OFFSET(TH!D$1,SMALL(Dong11,ROWS($1:65)),))</f>
        <v/>
      </c>
      <c r="C78" s="529" t="str">
        <f ca="1">IF(ROWS($1:65)&gt;COUNT(Dong11),"",OFFSET(TH!E$1,SMALL(Dong11,ROWS($1:65)),))</f>
        <v/>
      </c>
      <c r="D78" s="530" t="str">
        <f ca="1">IF(ROWS($1:65)&gt;COUNT(Dong11),"",OFFSET(TH!F$1,SMALL(Dong11,ROWS($1:65)),)&amp;" - "&amp;OFFSET(TH!H$1,SMALL(Dong11,ROWS($1:65)),))</f>
        <v/>
      </c>
      <c r="E78" s="528" t="str">
        <f ca="1">IF(ROWS($1:65)&gt;COUNT(Dong11),"",IF(OFFSET(TH!N$1,SMALL(Dong11,ROWS($1:65)),)=$G$7,OFFSET(TH!O$1,SMALL(Dong11,ROWS($1:65)),),OFFSET(TH!N$1,SMALL(Dong11,ROWS($1:65)),)))</f>
        <v/>
      </c>
      <c r="F78" s="531">
        <f ca="1">IF(ROWS($1:65)&gt;COUNT(Dong11),0,OFFSET(TH!J$1,SMALL(Dong11,ROWS($1:65)),))</f>
        <v>0</v>
      </c>
      <c r="G78" s="531">
        <f ca="1">IF(ROWS($1:65)&gt;COUNT(Dong11),0,IF(MID(OFFSET(TH!D$1,SMALL(Dong11,ROWS($1:65)),),4,1)="N",OFFSET(TH!I$1,SMALL(Dong11,ROWS($1:65)),),0))</f>
        <v>0</v>
      </c>
      <c r="H78" s="532">
        <f t="shared" ca="1" si="6"/>
        <v>0</v>
      </c>
      <c r="I78" s="531">
        <f ca="1">IF(ROWS($1:65)&gt;COUNT(Dong11),0,IF(MID(OFFSET(TH!D$1,SMALL(Dong11,ROWS($1:65)),),4,1)="X",OFFSET(TH!I$1,SMALL(Dong11,ROWS($1:65)),),0))</f>
        <v>0</v>
      </c>
      <c r="J78" s="532">
        <f t="shared" ca="1" si="7"/>
        <v>0</v>
      </c>
      <c r="K78" s="532">
        <f t="shared" ca="1" si="8"/>
        <v>0</v>
      </c>
      <c r="L78" s="532">
        <f t="shared" ca="1" si="9"/>
        <v>0</v>
      </c>
      <c r="M78" s="532"/>
      <c r="N78" s="522"/>
      <c r="O78" s="497"/>
      <c r="P78" s="497"/>
    </row>
    <row r="79" spans="1:16" ht="15">
      <c r="A79" s="480" t="str">
        <f t="shared" ca="1" si="5"/>
        <v/>
      </c>
      <c r="B79" s="528" t="str">
        <f ca="1">IF(ROWS($1:66)&gt;COUNT(Dong11),"",OFFSET(TH!D$1,SMALL(Dong11,ROWS($1:66)),))</f>
        <v/>
      </c>
      <c r="C79" s="529" t="str">
        <f ca="1">IF(ROWS($1:66)&gt;COUNT(Dong11),"",OFFSET(TH!E$1,SMALL(Dong11,ROWS($1:66)),))</f>
        <v/>
      </c>
      <c r="D79" s="530" t="str">
        <f ca="1">IF(ROWS($1:66)&gt;COUNT(Dong11),"",OFFSET(TH!F$1,SMALL(Dong11,ROWS($1:66)),)&amp;" - "&amp;OFFSET(TH!H$1,SMALL(Dong11,ROWS($1:66)),))</f>
        <v/>
      </c>
      <c r="E79" s="528" t="str">
        <f ca="1">IF(ROWS($1:66)&gt;COUNT(Dong11),"",IF(OFFSET(TH!N$1,SMALL(Dong11,ROWS($1:66)),)=$G$7,OFFSET(TH!O$1,SMALL(Dong11,ROWS($1:66)),),OFFSET(TH!N$1,SMALL(Dong11,ROWS($1:66)),)))</f>
        <v/>
      </c>
      <c r="F79" s="531">
        <f ca="1">IF(ROWS($1:66)&gt;COUNT(Dong11),0,OFFSET(TH!J$1,SMALL(Dong11,ROWS($1:66)),))</f>
        <v>0</v>
      </c>
      <c r="G79" s="531">
        <f ca="1">IF(ROWS($1:66)&gt;COUNT(Dong11),0,IF(MID(OFFSET(TH!D$1,SMALL(Dong11,ROWS($1:66)),),4,1)="N",OFFSET(TH!I$1,SMALL(Dong11,ROWS($1:66)),),0))</f>
        <v>0</v>
      </c>
      <c r="H79" s="532">
        <f t="shared" ca="1" si="6"/>
        <v>0</v>
      </c>
      <c r="I79" s="531">
        <f ca="1">IF(ROWS($1:66)&gt;COUNT(Dong11),0,IF(MID(OFFSET(TH!D$1,SMALL(Dong11,ROWS($1:66)),),4,1)="X",OFFSET(TH!I$1,SMALL(Dong11,ROWS($1:66)),),0))</f>
        <v>0</v>
      </c>
      <c r="J79" s="532">
        <f t="shared" ca="1" si="7"/>
        <v>0</v>
      </c>
      <c r="K79" s="532">
        <f t="shared" ca="1" si="8"/>
        <v>0</v>
      </c>
      <c r="L79" s="532">
        <f t="shared" ca="1" si="9"/>
        <v>0</v>
      </c>
      <c r="M79" s="532"/>
      <c r="N79" s="522"/>
      <c r="O79" s="497"/>
      <c r="P79" s="497"/>
    </row>
    <row r="80" spans="1:16" ht="15">
      <c r="A80" s="480" t="str">
        <f t="shared" ref="A80:A96" ca="1" si="10">IF(B80="","",A79+1)</f>
        <v/>
      </c>
      <c r="B80" s="528" t="str">
        <f ca="1">IF(ROWS($1:67)&gt;COUNT(Dong11),"",OFFSET(TH!D$1,SMALL(Dong11,ROWS($1:67)),))</f>
        <v/>
      </c>
      <c r="C80" s="529" t="str">
        <f ca="1">IF(ROWS($1:67)&gt;COUNT(Dong11),"",OFFSET(TH!E$1,SMALL(Dong11,ROWS($1:67)),))</f>
        <v/>
      </c>
      <c r="D80" s="530" t="str">
        <f ca="1">IF(ROWS($1:67)&gt;COUNT(Dong11),"",OFFSET(TH!F$1,SMALL(Dong11,ROWS($1:67)),)&amp;" - "&amp;OFFSET(TH!H$1,SMALL(Dong11,ROWS($1:67)),))</f>
        <v/>
      </c>
      <c r="E80" s="528" t="str">
        <f ca="1">IF(ROWS($1:67)&gt;COUNT(Dong11),"",IF(OFFSET(TH!N$1,SMALL(Dong11,ROWS($1:67)),)=$G$7,OFFSET(TH!O$1,SMALL(Dong11,ROWS($1:67)),),OFFSET(TH!N$1,SMALL(Dong11,ROWS($1:67)),)))</f>
        <v/>
      </c>
      <c r="F80" s="531">
        <f ca="1">IF(ROWS($1:67)&gt;COUNT(Dong11),0,OFFSET(TH!J$1,SMALL(Dong11,ROWS($1:67)),))</f>
        <v>0</v>
      </c>
      <c r="G80" s="531">
        <f ca="1">IF(ROWS($1:67)&gt;COUNT(Dong11),0,IF(MID(OFFSET(TH!D$1,SMALL(Dong11,ROWS($1:67)),),4,1)="N",OFFSET(TH!I$1,SMALL(Dong11,ROWS($1:67)),),0))</f>
        <v>0</v>
      </c>
      <c r="H80" s="532">
        <f t="shared" ref="H80:H96" ca="1" si="11">ROUND(F80*G80,0)</f>
        <v>0</v>
      </c>
      <c r="I80" s="531">
        <f ca="1">IF(ROWS($1:67)&gt;COUNT(Dong11),0,IF(MID(OFFSET(TH!D$1,SMALL(Dong11,ROWS($1:67)),),4,1)="X",OFFSET(TH!I$1,SMALL(Dong11,ROWS($1:67)),),0))</f>
        <v>0</v>
      </c>
      <c r="J80" s="532">
        <f t="shared" ref="J80:J96" ca="1" si="12">ROUND(F80*I80,0)</f>
        <v>0</v>
      </c>
      <c r="K80" s="532">
        <f t="shared" ref="K80:K96" ca="1" si="13">IF(D80&lt;&gt;"",K79+G80-I80,0)</f>
        <v>0</v>
      </c>
      <c r="L80" s="532">
        <f t="shared" ref="L80:L96" ca="1" si="14">IF(D80&lt;&gt;"",L79+H80-J80,0)</f>
        <v>0</v>
      </c>
      <c r="M80" s="532"/>
      <c r="N80" s="522"/>
      <c r="O80" s="497"/>
      <c r="P80" s="497"/>
    </row>
    <row r="81" spans="1:16" ht="15">
      <c r="A81" s="480" t="str">
        <f t="shared" ca="1" si="10"/>
        <v/>
      </c>
      <c r="B81" s="528" t="str">
        <f ca="1">IF(ROWS($1:68)&gt;COUNT(Dong11),"",OFFSET(TH!D$1,SMALL(Dong11,ROWS($1:68)),))</f>
        <v/>
      </c>
      <c r="C81" s="529" t="str">
        <f ca="1">IF(ROWS($1:68)&gt;COUNT(Dong11),"",OFFSET(TH!E$1,SMALL(Dong11,ROWS($1:68)),))</f>
        <v/>
      </c>
      <c r="D81" s="530" t="str">
        <f ca="1">IF(ROWS($1:68)&gt;COUNT(Dong11),"",OFFSET(TH!F$1,SMALL(Dong11,ROWS($1:68)),)&amp;" - "&amp;OFFSET(TH!H$1,SMALL(Dong11,ROWS($1:68)),))</f>
        <v/>
      </c>
      <c r="E81" s="528" t="str">
        <f ca="1">IF(ROWS($1:68)&gt;COUNT(Dong11),"",IF(OFFSET(TH!N$1,SMALL(Dong11,ROWS($1:68)),)=$G$7,OFFSET(TH!O$1,SMALL(Dong11,ROWS($1:68)),),OFFSET(TH!N$1,SMALL(Dong11,ROWS($1:68)),)))</f>
        <v/>
      </c>
      <c r="F81" s="531">
        <f ca="1">IF(ROWS($1:68)&gt;COUNT(Dong11),0,OFFSET(TH!J$1,SMALL(Dong11,ROWS($1:68)),))</f>
        <v>0</v>
      </c>
      <c r="G81" s="531">
        <f ca="1">IF(ROWS($1:68)&gt;COUNT(Dong11),0,IF(MID(OFFSET(TH!D$1,SMALL(Dong11,ROWS($1:68)),),4,1)="N",OFFSET(TH!I$1,SMALL(Dong11,ROWS($1:68)),),0))</f>
        <v>0</v>
      </c>
      <c r="H81" s="532">
        <f t="shared" ca="1" si="11"/>
        <v>0</v>
      </c>
      <c r="I81" s="531">
        <f ca="1">IF(ROWS($1:68)&gt;COUNT(Dong11),0,IF(MID(OFFSET(TH!D$1,SMALL(Dong11,ROWS($1:68)),),4,1)="X",OFFSET(TH!I$1,SMALL(Dong11,ROWS($1:68)),),0))</f>
        <v>0</v>
      </c>
      <c r="J81" s="532">
        <f t="shared" ca="1" si="12"/>
        <v>0</v>
      </c>
      <c r="K81" s="532">
        <f t="shared" ca="1" si="13"/>
        <v>0</v>
      </c>
      <c r="L81" s="532">
        <f t="shared" ca="1" si="14"/>
        <v>0</v>
      </c>
      <c r="M81" s="532"/>
      <c r="N81" s="522"/>
      <c r="O81" s="497"/>
      <c r="P81" s="497"/>
    </row>
    <row r="82" spans="1:16" ht="15">
      <c r="A82" s="480" t="str">
        <f t="shared" ca="1" si="10"/>
        <v/>
      </c>
      <c r="B82" s="528" t="str">
        <f ca="1">IF(ROWS($1:69)&gt;COUNT(Dong11),"",OFFSET(TH!D$1,SMALL(Dong11,ROWS($1:69)),))</f>
        <v/>
      </c>
      <c r="C82" s="529" t="str">
        <f ca="1">IF(ROWS($1:69)&gt;COUNT(Dong11),"",OFFSET(TH!E$1,SMALL(Dong11,ROWS($1:69)),))</f>
        <v/>
      </c>
      <c r="D82" s="530" t="str">
        <f ca="1">IF(ROWS($1:69)&gt;COUNT(Dong11),"",OFFSET(TH!F$1,SMALL(Dong11,ROWS($1:69)),)&amp;" - "&amp;OFFSET(TH!H$1,SMALL(Dong11,ROWS($1:69)),))</f>
        <v/>
      </c>
      <c r="E82" s="528" t="str">
        <f ca="1">IF(ROWS($1:69)&gt;COUNT(Dong11),"",IF(OFFSET(TH!N$1,SMALL(Dong11,ROWS($1:69)),)=$G$7,OFFSET(TH!O$1,SMALL(Dong11,ROWS($1:69)),),OFFSET(TH!N$1,SMALL(Dong11,ROWS($1:69)),)))</f>
        <v/>
      </c>
      <c r="F82" s="531">
        <f ca="1">IF(ROWS($1:69)&gt;COUNT(Dong11),0,OFFSET(TH!J$1,SMALL(Dong11,ROWS($1:69)),))</f>
        <v>0</v>
      </c>
      <c r="G82" s="531">
        <f ca="1">IF(ROWS($1:69)&gt;COUNT(Dong11),0,IF(MID(OFFSET(TH!D$1,SMALL(Dong11,ROWS($1:69)),),4,1)="N",OFFSET(TH!I$1,SMALL(Dong11,ROWS($1:69)),),0))</f>
        <v>0</v>
      </c>
      <c r="H82" s="532">
        <f t="shared" ca="1" si="11"/>
        <v>0</v>
      </c>
      <c r="I82" s="531">
        <f ca="1">IF(ROWS($1:69)&gt;COUNT(Dong11),0,IF(MID(OFFSET(TH!D$1,SMALL(Dong11,ROWS($1:69)),),4,1)="X",OFFSET(TH!I$1,SMALL(Dong11,ROWS($1:69)),),0))</f>
        <v>0</v>
      </c>
      <c r="J82" s="532">
        <f t="shared" ca="1" si="12"/>
        <v>0</v>
      </c>
      <c r="K82" s="532">
        <f t="shared" ca="1" si="13"/>
        <v>0</v>
      </c>
      <c r="L82" s="532">
        <f t="shared" ca="1" si="14"/>
        <v>0</v>
      </c>
      <c r="M82" s="532"/>
      <c r="N82" s="522"/>
      <c r="O82" s="497"/>
      <c r="P82" s="497"/>
    </row>
    <row r="83" spans="1:16" ht="15">
      <c r="A83" s="480" t="str">
        <f t="shared" ca="1" si="10"/>
        <v/>
      </c>
      <c r="B83" s="528" t="str">
        <f ca="1">IF(ROWS($1:70)&gt;COUNT(Dong11),"",OFFSET(TH!D$1,SMALL(Dong11,ROWS($1:70)),))</f>
        <v/>
      </c>
      <c r="C83" s="529" t="str">
        <f ca="1">IF(ROWS($1:70)&gt;COUNT(Dong11),"",OFFSET(TH!E$1,SMALL(Dong11,ROWS($1:70)),))</f>
        <v/>
      </c>
      <c r="D83" s="530" t="str">
        <f ca="1">IF(ROWS($1:70)&gt;COUNT(Dong11),"",OFFSET(TH!F$1,SMALL(Dong11,ROWS($1:70)),)&amp;" - "&amp;OFFSET(TH!H$1,SMALL(Dong11,ROWS($1:70)),))</f>
        <v/>
      </c>
      <c r="E83" s="528" t="str">
        <f ca="1">IF(ROWS($1:70)&gt;COUNT(Dong11),"",IF(OFFSET(TH!N$1,SMALL(Dong11,ROWS($1:70)),)=$G$7,OFFSET(TH!O$1,SMALL(Dong11,ROWS($1:70)),),OFFSET(TH!N$1,SMALL(Dong11,ROWS($1:70)),)))</f>
        <v/>
      </c>
      <c r="F83" s="531">
        <f ca="1">IF(ROWS($1:70)&gt;COUNT(Dong11),0,OFFSET(TH!J$1,SMALL(Dong11,ROWS($1:70)),))</f>
        <v>0</v>
      </c>
      <c r="G83" s="531">
        <f ca="1">IF(ROWS($1:70)&gt;COUNT(Dong11),0,IF(MID(OFFSET(TH!D$1,SMALL(Dong11,ROWS($1:70)),),4,1)="N",OFFSET(TH!I$1,SMALL(Dong11,ROWS($1:70)),),0))</f>
        <v>0</v>
      </c>
      <c r="H83" s="532">
        <f t="shared" ca="1" si="11"/>
        <v>0</v>
      </c>
      <c r="I83" s="531">
        <f ca="1">IF(ROWS($1:70)&gt;COUNT(Dong11),0,IF(MID(OFFSET(TH!D$1,SMALL(Dong11,ROWS($1:70)),),4,1)="X",OFFSET(TH!I$1,SMALL(Dong11,ROWS($1:70)),),0))</f>
        <v>0</v>
      </c>
      <c r="J83" s="532">
        <f t="shared" ca="1" si="12"/>
        <v>0</v>
      </c>
      <c r="K83" s="532">
        <f t="shared" ca="1" si="13"/>
        <v>0</v>
      </c>
      <c r="L83" s="532">
        <f t="shared" ca="1" si="14"/>
        <v>0</v>
      </c>
      <c r="M83" s="532"/>
      <c r="N83" s="522"/>
      <c r="O83" s="497"/>
      <c r="P83" s="497"/>
    </row>
    <row r="84" spans="1:16" ht="15">
      <c r="A84" s="480" t="str">
        <f t="shared" ca="1" si="10"/>
        <v/>
      </c>
      <c r="B84" s="528" t="str">
        <f ca="1">IF(ROWS($1:71)&gt;COUNT(Dong11),"",OFFSET(TH!D$1,SMALL(Dong11,ROWS($1:71)),))</f>
        <v/>
      </c>
      <c r="C84" s="529" t="str">
        <f ca="1">IF(ROWS($1:71)&gt;COUNT(Dong11),"",OFFSET(TH!E$1,SMALL(Dong11,ROWS($1:71)),))</f>
        <v/>
      </c>
      <c r="D84" s="530" t="str">
        <f ca="1">IF(ROWS($1:71)&gt;COUNT(Dong11),"",OFFSET(TH!F$1,SMALL(Dong11,ROWS($1:71)),)&amp;" - "&amp;OFFSET(TH!H$1,SMALL(Dong11,ROWS($1:71)),))</f>
        <v/>
      </c>
      <c r="E84" s="528" t="str">
        <f ca="1">IF(ROWS($1:71)&gt;COUNT(Dong11),"",IF(OFFSET(TH!N$1,SMALL(Dong11,ROWS($1:71)),)=$G$7,OFFSET(TH!O$1,SMALL(Dong11,ROWS($1:71)),),OFFSET(TH!N$1,SMALL(Dong11,ROWS($1:71)),)))</f>
        <v/>
      </c>
      <c r="F84" s="531">
        <f ca="1">IF(ROWS($1:71)&gt;COUNT(Dong11),0,OFFSET(TH!J$1,SMALL(Dong11,ROWS($1:71)),))</f>
        <v>0</v>
      </c>
      <c r="G84" s="531">
        <f ca="1">IF(ROWS($1:71)&gt;COUNT(Dong11),0,IF(MID(OFFSET(TH!D$1,SMALL(Dong11,ROWS($1:71)),),4,1)="N",OFFSET(TH!I$1,SMALL(Dong11,ROWS($1:71)),),0))</f>
        <v>0</v>
      </c>
      <c r="H84" s="532">
        <f t="shared" ca="1" si="11"/>
        <v>0</v>
      </c>
      <c r="I84" s="531">
        <f ca="1">IF(ROWS($1:71)&gt;COUNT(Dong11),0,IF(MID(OFFSET(TH!D$1,SMALL(Dong11,ROWS($1:71)),),4,1)="X",OFFSET(TH!I$1,SMALL(Dong11,ROWS($1:71)),),0))</f>
        <v>0</v>
      </c>
      <c r="J84" s="532">
        <f t="shared" ca="1" si="12"/>
        <v>0</v>
      </c>
      <c r="K84" s="532">
        <f t="shared" ca="1" si="13"/>
        <v>0</v>
      </c>
      <c r="L84" s="532">
        <f t="shared" ca="1" si="14"/>
        <v>0</v>
      </c>
      <c r="M84" s="532"/>
      <c r="N84" s="522"/>
      <c r="O84" s="497"/>
      <c r="P84" s="497"/>
    </row>
    <row r="85" spans="1:16" ht="15">
      <c r="A85" s="480" t="str">
        <f t="shared" ca="1" si="10"/>
        <v/>
      </c>
      <c r="B85" s="528" t="str">
        <f ca="1">IF(ROWS($1:72)&gt;COUNT(Dong11),"",OFFSET(TH!D$1,SMALL(Dong11,ROWS($1:72)),))</f>
        <v/>
      </c>
      <c r="C85" s="529" t="str">
        <f ca="1">IF(ROWS($1:72)&gt;COUNT(Dong11),"",OFFSET(TH!E$1,SMALL(Dong11,ROWS($1:72)),))</f>
        <v/>
      </c>
      <c r="D85" s="530" t="str">
        <f ca="1">IF(ROWS($1:72)&gt;COUNT(Dong11),"",OFFSET(TH!F$1,SMALL(Dong11,ROWS($1:72)),)&amp;" - "&amp;OFFSET(TH!H$1,SMALL(Dong11,ROWS($1:72)),))</f>
        <v/>
      </c>
      <c r="E85" s="528" t="str">
        <f ca="1">IF(ROWS($1:72)&gt;COUNT(Dong11),"",IF(OFFSET(TH!N$1,SMALL(Dong11,ROWS($1:72)),)=$G$7,OFFSET(TH!O$1,SMALL(Dong11,ROWS($1:72)),),OFFSET(TH!N$1,SMALL(Dong11,ROWS($1:72)),)))</f>
        <v/>
      </c>
      <c r="F85" s="531">
        <f ca="1">IF(ROWS($1:72)&gt;COUNT(Dong11),0,OFFSET(TH!J$1,SMALL(Dong11,ROWS($1:72)),))</f>
        <v>0</v>
      </c>
      <c r="G85" s="531">
        <f ca="1">IF(ROWS($1:72)&gt;COUNT(Dong11),0,IF(MID(OFFSET(TH!D$1,SMALL(Dong11,ROWS($1:72)),),4,1)="N",OFFSET(TH!I$1,SMALL(Dong11,ROWS($1:72)),),0))</f>
        <v>0</v>
      </c>
      <c r="H85" s="532">
        <f t="shared" ca="1" si="11"/>
        <v>0</v>
      </c>
      <c r="I85" s="531">
        <f ca="1">IF(ROWS($1:72)&gt;COUNT(Dong11),0,IF(MID(OFFSET(TH!D$1,SMALL(Dong11,ROWS($1:72)),),4,1)="X",OFFSET(TH!I$1,SMALL(Dong11,ROWS($1:72)),),0))</f>
        <v>0</v>
      </c>
      <c r="J85" s="532">
        <f t="shared" ca="1" si="12"/>
        <v>0</v>
      </c>
      <c r="K85" s="532">
        <f t="shared" ca="1" si="13"/>
        <v>0</v>
      </c>
      <c r="L85" s="532">
        <f t="shared" ca="1" si="14"/>
        <v>0</v>
      </c>
      <c r="M85" s="532"/>
      <c r="N85" s="522"/>
      <c r="O85" s="497"/>
      <c r="P85" s="497"/>
    </row>
    <row r="86" spans="1:16" ht="15">
      <c r="A86" s="480" t="str">
        <f t="shared" ca="1" si="10"/>
        <v/>
      </c>
      <c r="B86" s="528" t="str">
        <f ca="1">IF(ROWS($1:73)&gt;COUNT(Dong11),"",OFFSET(TH!D$1,SMALL(Dong11,ROWS($1:73)),))</f>
        <v/>
      </c>
      <c r="C86" s="529" t="str">
        <f ca="1">IF(ROWS($1:73)&gt;COUNT(Dong11),"",OFFSET(TH!E$1,SMALL(Dong11,ROWS($1:73)),))</f>
        <v/>
      </c>
      <c r="D86" s="530" t="str">
        <f ca="1">IF(ROWS($1:73)&gt;COUNT(Dong11),"",OFFSET(TH!F$1,SMALL(Dong11,ROWS($1:73)),)&amp;" - "&amp;OFFSET(TH!H$1,SMALL(Dong11,ROWS($1:73)),))</f>
        <v/>
      </c>
      <c r="E86" s="528" t="str">
        <f ca="1">IF(ROWS($1:73)&gt;COUNT(Dong11),"",IF(OFFSET(TH!N$1,SMALL(Dong11,ROWS($1:73)),)=$G$7,OFFSET(TH!O$1,SMALL(Dong11,ROWS($1:73)),),OFFSET(TH!N$1,SMALL(Dong11,ROWS($1:73)),)))</f>
        <v/>
      </c>
      <c r="F86" s="531">
        <f ca="1">IF(ROWS($1:73)&gt;COUNT(Dong11),0,OFFSET(TH!J$1,SMALL(Dong11,ROWS($1:73)),))</f>
        <v>0</v>
      </c>
      <c r="G86" s="531">
        <f ca="1">IF(ROWS($1:73)&gt;COUNT(Dong11),0,IF(MID(OFFSET(TH!D$1,SMALL(Dong11,ROWS($1:73)),),4,1)="N",OFFSET(TH!I$1,SMALL(Dong11,ROWS($1:73)),),0))</f>
        <v>0</v>
      </c>
      <c r="H86" s="532">
        <f t="shared" ca="1" si="11"/>
        <v>0</v>
      </c>
      <c r="I86" s="531">
        <f ca="1">IF(ROWS($1:73)&gt;COUNT(Dong11),0,IF(MID(OFFSET(TH!D$1,SMALL(Dong11,ROWS($1:73)),),4,1)="X",OFFSET(TH!I$1,SMALL(Dong11,ROWS($1:73)),),0))</f>
        <v>0</v>
      </c>
      <c r="J86" s="532">
        <f t="shared" ca="1" si="12"/>
        <v>0</v>
      </c>
      <c r="K86" s="532">
        <f t="shared" ca="1" si="13"/>
        <v>0</v>
      </c>
      <c r="L86" s="532">
        <f t="shared" ca="1" si="14"/>
        <v>0</v>
      </c>
      <c r="M86" s="532"/>
      <c r="N86" s="522"/>
      <c r="O86" s="497"/>
      <c r="P86" s="497"/>
    </row>
    <row r="87" spans="1:16" ht="15">
      <c r="A87" s="480" t="str">
        <f t="shared" ca="1" si="10"/>
        <v/>
      </c>
      <c r="B87" s="528" t="str">
        <f ca="1">IF(ROWS($1:74)&gt;COUNT(Dong11),"",OFFSET(TH!D$1,SMALL(Dong11,ROWS($1:74)),))</f>
        <v/>
      </c>
      <c r="C87" s="529" t="str">
        <f ca="1">IF(ROWS($1:74)&gt;COUNT(Dong11),"",OFFSET(TH!E$1,SMALL(Dong11,ROWS($1:74)),))</f>
        <v/>
      </c>
      <c r="D87" s="530" t="str">
        <f ca="1">IF(ROWS($1:74)&gt;COUNT(Dong11),"",OFFSET(TH!F$1,SMALL(Dong11,ROWS($1:74)),)&amp;" - "&amp;OFFSET(TH!H$1,SMALL(Dong11,ROWS($1:74)),))</f>
        <v/>
      </c>
      <c r="E87" s="528" t="str">
        <f ca="1">IF(ROWS($1:74)&gt;COUNT(Dong11),"",IF(OFFSET(TH!N$1,SMALL(Dong11,ROWS($1:74)),)=$G$7,OFFSET(TH!O$1,SMALL(Dong11,ROWS($1:74)),),OFFSET(TH!N$1,SMALL(Dong11,ROWS($1:74)),)))</f>
        <v/>
      </c>
      <c r="F87" s="531">
        <f ca="1">IF(ROWS($1:74)&gt;COUNT(Dong11),0,OFFSET(TH!J$1,SMALL(Dong11,ROWS($1:74)),))</f>
        <v>0</v>
      </c>
      <c r="G87" s="531">
        <f ca="1">IF(ROWS($1:74)&gt;COUNT(Dong11),0,IF(MID(OFFSET(TH!D$1,SMALL(Dong11,ROWS($1:74)),),4,1)="N",OFFSET(TH!I$1,SMALL(Dong11,ROWS($1:74)),),0))</f>
        <v>0</v>
      </c>
      <c r="H87" s="532">
        <f t="shared" ca="1" si="11"/>
        <v>0</v>
      </c>
      <c r="I87" s="531">
        <f ca="1">IF(ROWS($1:74)&gt;COUNT(Dong11),0,IF(MID(OFFSET(TH!D$1,SMALL(Dong11,ROWS($1:74)),),4,1)="X",OFFSET(TH!I$1,SMALL(Dong11,ROWS($1:74)),),0))</f>
        <v>0</v>
      </c>
      <c r="J87" s="532">
        <f t="shared" ca="1" si="12"/>
        <v>0</v>
      </c>
      <c r="K87" s="532">
        <f t="shared" ca="1" si="13"/>
        <v>0</v>
      </c>
      <c r="L87" s="532">
        <f t="shared" ca="1" si="14"/>
        <v>0</v>
      </c>
      <c r="M87" s="532"/>
      <c r="N87" s="522"/>
      <c r="O87" s="497"/>
      <c r="P87" s="497"/>
    </row>
    <row r="88" spans="1:16" ht="15">
      <c r="A88" s="480" t="str">
        <f t="shared" ca="1" si="10"/>
        <v/>
      </c>
      <c r="B88" s="528" t="str">
        <f ca="1">IF(ROWS($1:75)&gt;COUNT(Dong11),"",OFFSET(TH!D$1,SMALL(Dong11,ROWS($1:75)),))</f>
        <v/>
      </c>
      <c r="C88" s="529" t="str">
        <f ca="1">IF(ROWS($1:75)&gt;COUNT(Dong11),"",OFFSET(TH!E$1,SMALL(Dong11,ROWS($1:75)),))</f>
        <v/>
      </c>
      <c r="D88" s="530" t="str">
        <f ca="1">IF(ROWS($1:75)&gt;COUNT(Dong11),"",OFFSET(TH!F$1,SMALL(Dong11,ROWS($1:75)),)&amp;" - "&amp;OFFSET(TH!H$1,SMALL(Dong11,ROWS($1:75)),))</f>
        <v/>
      </c>
      <c r="E88" s="528" t="str">
        <f ca="1">IF(ROWS($1:75)&gt;COUNT(Dong11),"",IF(OFFSET(TH!N$1,SMALL(Dong11,ROWS($1:75)),)=$G$7,OFFSET(TH!O$1,SMALL(Dong11,ROWS($1:75)),),OFFSET(TH!N$1,SMALL(Dong11,ROWS($1:75)),)))</f>
        <v/>
      </c>
      <c r="F88" s="531">
        <f ca="1">IF(ROWS($1:75)&gt;COUNT(Dong11),0,OFFSET(TH!J$1,SMALL(Dong11,ROWS($1:75)),))</f>
        <v>0</v>
      </c>
      <c r="G88" s="531">
        <f ca="1">IF(ROWS($1:75)&gt;COUNT(Dong11),0,IF(MID(OFFSET(TH!D$1,SMALL(Dong11,ROWS($1:75)),),4,1)="N",OFFSET(TH!I$1,SMALL(Dong11,ROWS($1:75)),),0))</f>
        <v>0</v>
      </c>
      <c r="H88" s="532">
        <f t="shared" ca="1" si="11"/>
        <v>0</v>
      </c>
      <c r="I88" s="531">
        <f ca="1">IF(ROWS($1:75)&gt;COUNT(Dong11),0,IF(MID(OFFSET(TH!D$1,SMALL(Dong11,ROWS($1:75)),),4,1)="X",OFFSET(TH!I$1,SMALL(Dong11,ROWS($1:75)),),0))</f>
        <v>0</v>
      </c>
      <c r="J88" s="532">
        <f t="shared" ca="1" si="12"/>
        <v>0</v>
      </c>
      <c r="K88" s="532">
        <f t="shared" ca="1" si="13"/>
        <v>0</v>
      </c>
      <c r="L88" s="532">
        <f t="shared" ca="1" si="14"/>
        <v>0</v>
      </c>
      <c r="M88" s="532"/>
      <c r="N88" s="522"/>
      <c r="O88" s="497"/>
      <c r="P88" s="497"/>
    </row>
    <row r="89" spans="1:16" ht="15">
      <c r="A89" s="480" t="str">
        <f t="shared" ca="1" si="10"/>
        <v/>
      </c>
      <c r="B89" s="528" t="str">
        <f ca="1">IF(ROWS($1:76)&gt;COUNT(Dong11),"",OFFSET(TH!D$1,SMALL(Dong11,ROWS($1:76)),))</f>
        <v/>
      </c>
      <c r="C89" s="529" t="str">
        <f ca="1">IF(ROWS($1:76)&gt;COUNT(Dong11),"",OFFSET(TH!E$1,SMALL(Dong11,ROWS($1:76)),))</f>
        <v/>
      </c>
      <c r="D89" s="530" t="str">
        <f ca="1">IF(ROWS($1:76)&gt;COUNT(Dong11),"",OFFSET(TH!F$1,SMALL(Dong11,ROWS($1:76)),)&amp;" - "&amp;OFFSET(TH!H$1,SMALL(Dong11,ROWS($1:76)),))</f>
        <v/>
      </c>
      <c r="E89" s="528" t="str">
        <f ca="1">IF(ROWS($1:76)&gt;COUNT(Dong11),"",IF(OFFSET(TH!N$1,SMALL(Dong11,ROWS($1:76)),)=$G$7,OFFSET(TH!O$1,SMALL(Dong11,ROWS($1:76)),),OFFSET(TH!N$1,SMALL(Dong11,ROWS($1:76)),)))</f>
        <v/>
      </c>
      <c r="F89" s="531">
        <f ca="1">IF(ROWS($1:76)&gt;COUNT(Dong11),0,OFFSET(TH!J$1,SMALL(Dong11,ROWS($1:76)),))</f>
        <v>0</v>
      </c>
      <c r="G89" s="531">
        <f ca="1">IF(ROWS($1:76)&gt;COUNT(Dong11),0,IF(MID(OFFSET(TH!D$1,SMALL(Dong11,ROWS($1:76)),),4,1)="N",OFFSET(TH!I$1,SMALL(Dong11,ROWS($1:76)),),0))</f>
        <v>0</v>
      </c>
      <c r="H89" s="532">
        <f t="shared" ca="1" si="11"/>
        <v>0</v>
      </c>
      <c r="I89" s="531">
        <f ca="1">IF(ROWS($1:76)&gt;COUNT(Dong11),0,IF(MID(OFFSET(TH!D$1,SMALL(Dong11,ROWS($1:76)),),4,1)="X",OFFSET(TH!I$1,SMALL(Dong11,ROWS($1:76)),),0))</f>
        <v>0</v>
      </c>
      <c r="J89" s="532">
        <f t="shared" ca="1" si="12"/>
        <v>0</v>
      </c>
      <c r="K89" s="532">
        <f t="shared" ca="1" si="13"/>
        <v>0</v>
      </c>
      <c r="L89" s="532">
        <f t="shared" ca="1" si="14"/>
        <v>0</v>
      </c>
      <c r="M89" s="532"/>
      <c r="N89" s="522"/>
      <c r="O89" s="497"/>
      <c r="P89" s="497"/>
    </row>
    <row r="90" spans="1:16" ht="15">
      <c r="A90" s="480" t="str">
        <f t="shared" ca="1" si="10"/>
        <v/>
      </c>
      <c r="B90" s="528" t="str">
        <f ca="1">IF(ROWS($1:77)&gt;COUNT(Dong11),"",OFFSET(TH!D$1,SMALL(Dong11,ROWS($1:77)),))</f>
        <v/>
      </c>
      <c r="C90" s="529" t="str">
        <f ca="1">IF(ROWS($1:77)&gt;COUNT(Dong11),"",OFFSET(TH!E$1,SMALL(Dong11,ROWS($1:77)),))</f>
        <v/>
      </c>
      <c r="D90" s="530" t="str">
        <f ca="1">IF(ROWS($1:77)&gt;COUNT(Dong11),"",OFFSET(TH!F$1,SMALL(Dong11,ROWS($1:77)),)&amp;" - "&amp;OFFSET(TH!H$1,SMALL(Dong11,ROWS($1:77)),))</f>
        <v/>
      </c>
      <c r="E90" s="528" t="str">
        <f ca="1">IF(ROWS($1:77)&gt;COUNT(Dong11),"",IF(OFFSET(TH!N$1,SMALL(Dong11,ROWS($1:77)),)=$G$7,OFFSET(TH!O$1,SMALL(Dong11,ROWS($1:77)),),OFFSET(TH!N$1,SMALL(Dong11,ROWS($1:77)),)))</f>
        <v/>
      </c>
      <c r="F90" s="531">
        <f ca="1">IF(ROWS($1:77)&gt;COUNT(Dong11),0,OFFSET(TH!J$1,SMALL(Dong11,ROWS($1:77)),))</f>
        <v>0</v>
      </c>
      <c r="G90" s="531">
        <f ca="1">IF(ROWS($1:77)&gt;COUNT(Dong11),0,IF(MID(OFFSET(TH!D$1,SMALL(Dong11,ROWS($1:77)),),4,1)="N",OFFSET(TH!I$1,SMALL(Dong11,ROWS($1:77)),),0))</f>
        <v>0</v>
      </c>
      <c r="H90" s="532">
        <f t="shared" ca="1" si="11"/>
        <v>0</v>
      </c>
      <c r="I90" s="531">
        <f ca="1">IF(ROWS($1:77)&gt;COUNT(Dong11),0,IF(MID(OFFSET(TH!D$1,SMALL(Dong11,ROWS($1:77)),),4,1)="X",OFFSET(TH!I$1,SMALL(Dong11,ROWS($1:77)),),0))</f>
        <v>0</v>
      </c>
      <c r="J90" s="532">
        <f t="shared" ca="1" si="12"/>
        <v>0</v>
      </c>
      <c r="K90" s="532">
        <f t="shared" ca="1" si="13"/>
        <v>0</v>
      </c>
      <c r="L90" s="532">
        <f t="shared" ca="1" si="14"/>
        <v>0</v>
      </c>
      <c r="M90" s="532"/>
      <c r="N90" s="522"/>
      <c r="O90" s="497"/>
      <c r="P90" s="497"/>
    </row>
    <row r="91" spans="1:16" ht="15">
      <c r="A91" s="480" t="str">
        <f t="shared" ca="1" si="10"/>
        <v/>
      </c>
      <c r="B91" s="528" t="str">
        <f ca="1">IF(ROWS($1:78)&gt;COUNT(Dong11),"",OFFSET(TH!D$1,SMALL(Dong11,ROWS($1:78)),))</f>
        <v/>
      </c>
      <c r="C91" s="529" t="str">
        <f ca="1">IF(ROWS($1:78)&gt;COUNT(Dong11),"",OFFSET(TH!E$1,SMALL(Dong11,ROWS($1:78)),))</f>
        <v/>
      </c>
      <c r="D91" s="530" t="str">
        <f ca="1">IF(ROWS($1:78)&gt;COUNT(Dong11),"",OFFSET(TH!F$1,SMALL(Dong11,ROWS($1:78)),)&amp;" - "&amp;OFFSET(TH!H$1,SMALL(Dong11,ROWS($1:78)),))</f>
        <v/>
      </c>
      <c r="E91" s="528" t="str">
        <f ca="1">IF(ROWS($1:78)&gt;COUNT(Dong11),"",IF(OFFSET(TH!N$1,SMALL(Dong11,ROWS($1:78)),)=$G$7,OFFSET(TH!O$1,SMALL(Dong11,ROWS($1:78)),),OFFSET(TH!N$1,SMALL(Dong11,ROWS($1:78)),)))</f>
        <v/>
      </c>
      <c r="F91" s="531">
        <f ca="1">IF(ROWS($1:78)&gt;COUNT(Dong11),0,OFFSET(TH!J$1,SMALL(Dong11,ROWS($1:78)),))</f>
        <v>0</v>
      </c>
      <c r="G91" s="531">
        <f ca="1">IF(ROWS($1:78)&gt;COUNT(Dong11),0,IF(MID(OFFSET(TH!D$1,SMALL(Dong11,ROWS($1:78)),),4,1)="N",OFFSET(TH!I$1,SMALL(Dong11,ROWS($1:78)),),0))</f>
        <v>0</v>
      </c>
      <c r="H91" s="532">
        <f t="shared" ca="1" si="11"/>
        <v>0</v>
      </c>
      <c r="I91" s="531">
        <f ca="1">IF(ROWS($1:78)&gt;COUNT(Dong11),0,IF(MID(OFFSET(TH!D$1,SMALL(Dong11,ROWS($1:78)),),4,1)="X",OFFSET(TH!I$1,SMALL(Dong11,ROWS($1:78)),),0))</f>
        <v>0</v>
      </c>
      <c r="J91" s="532">
        <f t="shared" ca="1" si="12"/>
        <v>0</v>
      </c>
      <c r="K91" s="532">
        <f t="shared" ca="1" si="13"/>
        <v>0</v>
      </c>
      <c r="L91" s="532">
        <f t="shared" ca="1" si="14"/>
        <v>0</v>
      </c>
      <c r="M91" s="532"/>
      <c r="N91" s="522"/>
      <c r="O91" s="497"/>
      <c r="P91" s="497"/>
    </row>
    <row r="92" spans="1:16" ht="15">
      <c r="A92" s="480" t="str">
        <f t="shared" ca="1" si="10"/>
        <v/>
      </c>
      <c r="B92" s="528" t="str">
        <f ca="1">IF(ROWS($1:79)&gt;COUNT(Dong11),"",OFFSET(TH!D$1,SMALL(Dong11,ROWS($1:79)),))</f>
        <v/>
      </c>
      <c r="C92" s="529" t="str">
        <f ca="1">IF(ROWS($1:79)&gt;COUNT(Dong11),"",OFFSET(TH!E$1,SMALL(Dong11,ROWS($1:79)),))</f>
        <v/>
      </c>
      <c r="D92" s="530" t="str">
        <f ca="1">IF(ROWS($1:79)&gt;COUNT(Dong11),"",OFFSET(TH!F$1,SMALL(Dong11,ROWS($1:79)),)&amp;" - "&amp;OFFSET(TH!H$1,SMALL(Dong11,ROWS($1:79)),))</f>
        <v/>
      </c>
      <c r="E92" s="528" t="str">
        <f ca="1">IF(ROWS($1:79)&gt;COUNT(Dong11),"",IF(OFFSET(TH!N$1,SMALL(Dong11,ROWS($1:79)),)=$G$7,OFFSET(TH!O$1,SMALL(Dong11,ROWS($1:79)),),OFFSET(TH!N$1,SMALL(Dong11,ROWS($1:79)),)))</f>
        <v/>
      </c>
      <c r="F92" s="531">
        <f ca="1">IF(ROWS($1:79)&gt;COUNT(Dong11),0,OFFSET(TH!J$1,SMALL(Dong11,ROWS($1:79)),))</f>
        <v>0</v>
      </c>
      <c r="G92" s="531">
        <f ca="1">IF(ROWS($1:79)&gt;COUNT(Dong11),0,IF(MID(OFFSET(TH!D$1,SMALL(Dong11,ROWS($1:79)),),4,1)="N",OFFSET(TH!I$1,SMALL(Dong11,ROWS($1:79)),),0))</f>
        <v>0</v>
      </c>
      <c r="H92" s="532">
        <f t="shared" ca="1" si="11"/>
        <v>0</v>
      </c>
      <c r="I92" s="531">
        <f ca="1">IF(ROWS($1:79)&gt;COUNT(Dong11),0,IF(MID(OFFSET(TH!D$1,SMALL(Dong11,ROWS($1:79)),),4,1)="X",OFFSET(TH!I$1,SMALL(Dong11,ROWS($1:79)),),0))</f>
        <v>0</v>
      </c>
      <c r="J92" s="532">
        <f t="shared" ca="1" si="12"/>
        <v>0</v>
      </c>
      <c r="K92" s="532">
        <f t="shared" ca="1" si="13"/>
        <v>0</v>
      </c>
      <c r="L92" s="532">
        <f t="shared" ca="1" si="14"/>
        <v>0</v>
      </c>
      <c r="M92" s="532"/>
      <c r="N92" s="522"/>
      <c r="O92" s="497"/>
      <c r="P92" s="497"/>
    </row>
    <row r="93" spans="1:16" ht="15">
      <c r="A93" s="480" t="str">
        <f t="shared" ca="1" si="10"/>
        <v/>
      </c>
      <c r="B93" s="528" t="str">
        <f ca="1">IF(ROWS($1:80)&gt;COUNT(Dong11),"",OFFSET(TH!D$1,SMALL(Dong11,ROWS($1:80)),))</f>
        <v/>
      </c>
      <c r="C93" s="529" t="str">
        <f ca="1">IF(ROWS($1:80)&gt;COUNT(Dong11),"",OFFSET(TH!E$1,SMALL(Dong11,ROWS($1:80)),))</f>
        <v/>
      </c>
      <c r="D93" s="530" t="str">
        <f ca="1">IF(ROWS($1:80)&gt;COUNT(Dong11),"",OFFSET(TH!F$1,SMALL(Dong11,ROWS($1:80)),)&amp;" - "&amp;OFFSET(TH!H$1,SMALL(Dong11,ROWS($1:80)),))</f>
        <v/>
      </c>
      <c r="E93" s="528" t="str">
        <f ca="1">IF(ROWS($1:80)&gt;COUNT(Dong11),"",IF(OFFSET(TH!N$1,SMALL(Dong11,ROWS($1:80)),)=$G$7,OFFSET(TH!O$1,SMALL(Dong11,ROWS($1:80)),),OFFSET(TH!N$1,SMALL(Dong11,ROWS($1:80)),)))</f>
        <v/>
      </c>
      <c r="F93" s="531">
        <f ca="1">IF(ROWS($1:80)&gt;COUNT(Dong11),0,OFFSET(TH!J$1,SMALL(Dong11,ROWS($1:80)),))</f>
        <v>0</v>
      </c>
      <c r="G93" s="531">
        <f ca="1">IF(ROWS($1:80)&gt;COUNT(Dong11),0,IF(MID(OFFSET(TH!D$1,SMALL(Dong11,ROWS($1:80)),),4,1)="N",OFFSET(TH!I$1,SMALL(Dong11,ROWS($1:80)),),0))</f>
        <v>0</v>
      </c>
      <c r="H93" s="532">
        <f t="shared" ca="1" si="11"/>
        <v>0</v>
      </c>
      <c r="I93" s="531">
        <f ca="1">IF(ROWS($1:80)&gt;COUNT(Dong11),0,IF(MID(OFFSET(TH!D$1,SMALL(Dong11,ROWS($1:80)),),4,1)="X",OFFSET(TH!I$1,SMALL(Dong11,ROWS($1:80)),),0))</f>
        <v>0</v>
      </c>
      <c r="J93" s="532">
        <f t="shared" ca="1" si="12"/>
        <v>0</v>
      </c>
      <c r="K93" s="532">
        <f t="shared" ca="1" si="13"/>
        <v>0</v>
      </c>
      <c r="L93" s="532">
        <f t="shared" ca="1" si="14"/>
        <v>0</v>
      </c>
      <c r="M93" s="532"/>
      <c r="N93" s="522"/>
      <c r="O93" s="497"/>
      <c r="P93" s="497"/>
    </row>
    <row r="94" spans="1:16" ht="15">
      <c r="A94" s="480" t="str">
        <f t="shared" ca="1" si="10"/>
        <v/>
      </c>
      <c r="B94" s="528" t="str">
        <f ca="1">IF(ROWS($1:81)&gt;COUNT(Dong11),"",OFFSET(TH!D$1,SMALL(Dong11,ROWS($1:81)),))</f>
        <v/>
      </c>
      <c r="C94" s="529" t="str">
        <f ca="1">IF(ROWS($1:81)&gt;COUNT(Dong11),"",OFFSET(TH!E$1,SMALL(Dong11,ROWS($1:81)),))</f>
        <v/>
      </c>
      <c r="D94" s="530" t="str">
        <f ca="1">IF(ROWS($1:81)&gt;COUNT(Dong11),"",OFFSET(TH!F$1,SMALL(Dong11,ROWS($1:81)),)&amp;" - "&amp;OFFSET(TH!H$1,SMALL(Dong11,ROWS($1:81)),))</f>
        <v/>
      </c>
      <c r="E94" s="528" t="str">
        <f ca="1">IF(ROWS($1:81)&gt;COUNT(Dong11),"",IF(OFFSET(TH!N$1,SMALL(Dong11,ROWS($1:81)),)=$G$7,OFFSET(TH!O$1,SMALL(Dong11,ROWS($1:81)),),OFFSET(TH!N$1,SMALL(Dong11,ROWS($1:81)),)))</f>
        <v/>
      </c>
      <c r="F94" s="531">
        <f ca="1">IF(ROWS($1:81)&gt;COUNT(Dong11),0,OFFSET(TH!J$1,SMALL(Dong11,ROWS($1:81)),))</f>
        <v>0</v>
      </c>
      <c r="G94" s="531">
        <f ca="1">IF(ROWS($1:81)&gt;COUNT(Dong11),0,IF(MID(OFFSET(TH!D$1,SMALL(Dong11,ROWS($1:81)),),4,1)="N",OFFSET(TH!I$1,SMALL(Dong11,ROWS($1:81)),),0))</f>
        <v>0</v>
      </c>
      <c r="H94" s="532">
        <f t="shared" ca="1" si="11"/>
        <v>0</v>
      </c>
      <c r="I94" s="531">
        <f ca="1">IF(ROWS($1:81)&gt;COUNT(Dong11),0,IF(MID(OFFSET(TH!D$1,SMALL(Dong11,ROWS($1:81)),),4,1)="X",OFFSET(TH!I$1,SMALL(Dong11,ROWS($1:81)),),0))</f>
        <v>0</v>
      </c>
      <c r="J94" s="532">
        <f t="shared" ca="1" si="12"/>
        <v>0</v>
      </c>
      <c r="K94" s="532">
        <f t="shared" ca="1" si="13"/>
        <v>0</v>
      </c>
      <c r="L94" s="532">
        <f t="shared" ca="1" si="14"/>
        <v>0</v>
      </c>
      <c r="M94" s="532"/>
      <c r="N94" s="522"/>
      <c r="O94" s="497"/>
      <c r="P94" s="497"/>
    </row>
    <row r="95" spans="1:16" ht="15">
      <c r="A95" s="480" t="str">
        <f t="shared" ca="1" si="10"/>
        <v/>
      </c>
      <c r="B95" s="528" t="str">
        <f ca="1">IF(ROWS($1:82)&gt;COUNT(Dong11),"",OFFSET(TH!D$1,SMALL(Dong11,ROWS($1:82)),))</f>
        <v/>
      </c>
      <c r="C95" s="529" t="str">
        <f ca="1">IF(ROWS($1:82)&gt;COUNT(Dong11),"",OFFSET(TH!E$1,SMALL(Dong11,ROWS($1:82)),))</f>
        <v/>
      </c>
      <c r="D95" s="530" t="str">
        <f ca="1">IF(ROWS($1:82)&gt;COUNT(Dong11),"",OFFSET(TH!F$1,SMALL(Dong11,ROWS($1:82)),)&amp;" - "&amp;OFFSET(TH!H$1,SMALL(Dong11,ROWS($1:82)),))</f>
        <v/>
      </c>
      <c r="E95" s="528" t="str">
        <f ca="1">IF(ROWS($1:82)&gt;COUNT(Dong11),"",IF(OFFSET(TH!N$1,SMALL(Dong11,ROWS($1:82)),)=$G$7,OFFSET(TH!O$1,SMALL(Dong11,ROWS($1:82)),),OFFSET(TH!N$1,SMALL(Dong11,ROWS($1:82)),)))</f>
        <v/>
      </c>
      <c r="F95" s="531">
        <f ca="1">IF(ROWS($1:82)&gt;COUNT(Dong11),0,OFFSET(TH!J$1,SMALL(Dong11,ROWS($1:82)),))</f>
        <v>0</v>
      </c>
      <c r="G95" s="531">
        <f ca="1">IF(ROWS($1:82)&gt;COUNT(Dong11),0,IF(MID(OFFSET(TH!D$1,SMALL(Dong11,ROWS($1:82)),),4,1)="N",OFFSET(TH!I$1,SMALL(Dong11,ROWS($1:82)),),0))</f>
        <v>0</v>
      </c>
      <c r="H95" s="532">
        <f t="shared" ca="1" si="11"/>
        <v>0</v>
      </c>
      <c r="I95" s="531">
        <f ca="1">IF(ROWS($1:82)&gt;COUNT(Dong11),0,IF(MID(OFFSET(TH!D$1,SMALL(Dong11,ROWS($1:82)),),4,1)="X",OFFSET(TH!I$1,SMALL(Dong11,ROWS($1:82)),),0))</f>
        <v>0</v>
      </c>
      <c r="J95" s="532">
        <f t="shared" ca="1" si="12"/>
        <v>0</v>
      </c>
      <c r="K95" s="532">
        <f t="shared" ca="1" si="13"/>
        <v>0</v>
      </c>
      <c r="L95" s="532">
        <f t="shared" ca="1" si="14"/>
        <v>0</v>
      </c>
      <c r="M95" s="532"/>
      <c r="N95" s="522"/>
      <c r="O95" s="497"/>
      <c r="P95" s="497"/>
    </row>
    <row r="96" spans="1:16" ht="15">
      <c r="A96" s="480" t="str">
        <f t="shared" ca="1" si="10"/>
        <v/>
      </c>
      <c r="B96" s="528" t="str">
        <f ca="1">IF(ROWS($1:83)&gt;COUNT(Dong11),"",OFFSET(TH!D$1,SMALL(Dong11,ROWS($1:83)),))</f>
        <v/>
      </c>
      <c r="C96" s="529" t="str">
        <f ca="1">IF(ROWS($1:83)&gt;COUNT(Dong11),"",OFFSET(TH!E$1,SMALL(Dong11,ROWS($1:83)),))</f>
        <v/>
      </c>
      <c r="D96" s="530" t="str">
        <f ca="1">IF(ROWS($1:83)&gt;COUNT(Dong11),"",OFFSET(TH!F$1,SMALL(Dong11,ROWS($1:83)),)&amp;" - "&amp;OFFSET(TH!H$1,SMALL(Dong11,ROWS($1:83)),))</f>
        <v/>
      </c>
      <c r="E96" s="528" t="str">
        <f ca="1">IF(ROWS($1:83)&gt;COUNT(Dong11),"",IF(OFFSET(TH!N$1,SMALL(Dong11,ROWS($1:83)),)=$G$7,OFFSET(TH!O$1,SMALL(Dong11,ROWS($1:83)),),OFFSET(TH!N$1,SMALL(Dong11,ROWS($1:83)),)))</f>
        <v/>
      </c>
      <c r="F96" s="531">
        <f ca="1">IF(ROWS($1:83)&gt;COUNT(Dong11),0,OFFSET(TH!J$1,SMALL(Dong11,ROWS($1:83)),))</f>
        <v>0</v>
      </c>
      <c r="G96" s="531">
        <f ca="1">IF(ROWS($1:83)&gt;COUNT(Dong11),0,IF(MID(OFFSET(TH!D$1,SMALL(Dong11,ROWS($1:83)),),4,1)="N",OFFSET(TH!I$1,SMALL(Dong11,ROWS($1:83)),),0))</f>
        <v>0</v>
      </c>
      <c r="H96" s="532">
        <f t="shared" ca="1" si="11"/>
        <v>0</v>
      </c>
      <c r="I96" s="531">
        <f ca="1">IF(ROWS($1:83)&gt;COUNT(Dong11),0,IF(MID(OFFSET(TH!D$1,SMALL(Dong11,ROWS($1:83)),),4,1)="X",OFFSET(TH!I$1,SMALL(Dong11,ROWS($1:83)),),0))</f>
        <v>0</v>
      </c>
      <c r="J96" s="532">
        <f t="shared" ca="1" si="12"/>
        <v>0</v>
      </c>
      <c r="K96" s="532">
        <f t="shared" ca="1" si="13"/>
        <v>0</v>
      </c>
      <c r="L96" s="532">
        <f t="shared" ca="1" si="14"/>
        <v>0</v>
      </c>
      <c r="M96" s="532"/>
      <c r="N96" s="522"/>
      <c r="O96" s="497"/>
      <c r="P96" s="497"/>
    </row>
    <row r="97" spans="1:16" ht="15">
      <c r="A97" s="480" t="str">
        <f t="shared" ref="A97:A115" ca="1" si="15">IF(B97="","",A96+1)</f>
        <v/>
      </c>
      <c r="B97" s="528" t="str">
        <f ca="1">IF(ROWS($1:84)&gt;COUNT(Dong11),"",OFFSET(TH!D$1,SMALL(Dong11,ROWS($1:84)),))</f>
        <v/>
      </c>
      <c r="C97" s="529" t="str">
        <f ca="1">IF(ROWS($1:84)&gt;COUNT(Dong11),"",OFFSET(TH!E$1,SMALL(Dong11,ROWS($1:84)),))</f>
        <v/>
      </c>
      <c r="D97" s="530" t="str">
        <f ca="1">IF(ROWS($1:84)&gt;COUNT(Dong11),"",OFFSET(TH!F$1,SMALL(Dong11,ROWS($1:84)),)&amp;" - "&amp;OFFSET(TH!H$1,SMALL(Dong11,ROWS($1:84)),))</f>
        <v/>
      </c>
      <c r="E97" s="528" t="str">
        <f ca="1">IF(ROWS($1:84)&gt;COUNT(Dong11),"",IF(OFFSET(TH!N$1,SMALL(Dong11,ROWS($1:84)),)=$G$7,OFFSET(TH!O$1,SMALL(Dong11,ROWS($1:84)),),OFFSET(TH!N$1,SMALL(Dong11,ROWS($1:84)),)))</f>
        <v/>
      </c>
      <c r="F97" s="531">
        <f ca="1">IF(ROWS($1:84)&gt;COUNT(Dong11),0,OFFSET(TH!J$1,SMALL(Dong11,ROWS($1:84)),))</f>
        <v>0</v>
      </c>
      <c r="G97" s="531">
        <f ca="1">IF(ROWS($1:84)&gt;COUNT(Dong11),0,IF(MID(OFFSET(TH!D$1,SMALL(Dong11,ROWS($1:84)),),4,1)="N",OFFSET(TH!I$1,SMALL(Dong11,ROWS($1:84)),),0))</f>
        <v>0</v>
      </c>
      <c r="H97" s="532">
        <f t="shared" ref="H97:H115" ca="1" si="16">ROUND(F97*G97,0)</f>
        <v>0</v>
      </c>
      <c r="I97" s="531">
        <f ca="1">IF(ROWS($1:84)&gt;COUNT(Dong11),0,IF(MID(OFFSET(TH!D$1,SMALL(Dong11,ROWS($1:84)),),4,1)="X",OFFSET(TH!I$1,SMALL(Dong11,ROWS($1:84)),),0))</f>
        <v>0</v>
      </c>
      <c r="J97" s="532">
        <f t="shared" ref="J97:J115" ca="1" si="17">ROUND(F97*I97,0)</f>
        <v>0</v>
      </c>
      <c r="K97" s="532">
        <f t="shared" ref="K97:K115" ca="1" si="18">IF(D97&lt;&gt;"",K96+G97-I97,0)</f>
        <v>0</v>
      </c>
      <c r="L97" s="532">
        <f t="shared" ref="L97:L115" ca="1" si="19">IF(D97&lt;&gt;"",L96+H97-J97,0)</f>
        <v>0</v>
      </c>
      <c r="M97" s="532"/>
      <c r="N97" s="522"/>
      <c r="O97" s="497"/>
      <c r="P97" s="497"/>
    </row>
    <row r="98" spans="1:16" ht="15">
      <c r="A98" s="480" t="str">
        <f t="shared" ca="1" si="15"/>
        <v/>
      </c>
      <c r="B98" s="528" t="str">
        <f ca="1">IF(ROWS($1:85)&gt;COUNT(Dong11),"",OFFSET(TH!D$1,SMALL(Dong11,ROWS($1:85)),))</f>
        <v/>
      </c>
      <c r="C98" s="529" t="str">
        <f ca="1">IF(ROWS($1:85)&gt;COUNT(Dong11),"",OFFSET(TH!E$1,SMALL(Dong11,ROWS($1:85)),))</f>
        <v/>
      </c>
      <c r="D98" s="530" t="str">
        <f ca="1">IF(ROWS($1:85)&gt;COUNT(Dong11),"",OFFSET(TH!F$1,SMALL(Dong11,ROWS($1:85)),)&amp;" - "&amp;OFFSET(TH!H$1,SMALL(Dong11,ROWS($1:85)),))</f>
        <v/>
      </c>
      <c r="E98" s="528" t="str">
        <f ca="1">IF(ROWS($1:85)&gt;COUNT(Dong11),"",IF(OFFSET(TH!N$1,SMALL(Dong11,ROWS($1:85)),)=$G$7,OFFSET(TH!O$1,SMALL(Dong11,ROWS($1:85)),),OFFSET(TH!N$1,SMALL(Dong11,ROWS($1:85)),)))</f>
        <v/>
      </c>
      <c r="F98" s="531">
        <f ca="1">IF(ROWS($1:85)&gt;COUNT(Dong11),0,OFFSET(TH!J$1,SMALL(Dong11,ROWS($1:85)),))</f>
        <v>0</v>
      </c>
      <c r="G98" s="531">
        <f ca="1">IF(ROWS($1:85)&gt;COUNT(Dong11),0,IF(MID(OFFSET(TH!D$1,SMALL(Dong11,ROWS($1:85)),),4,1)="N",OFFSET(TH!I$1,SMALL(Dong11,ROWS($1:85)),),0))</f>
        <v>0</v>
      </c>
      <c r="H98" s="532">
        <f t="shared" ca="1" si="16"/>
        <v>0</v>
      </c>
      <c r="I98" s="531">
        <f ca="1">IF(ROWS($1:85)&gt;COUNT(Dong11),0,IF(MID(OFFSET(TH!D$1,SMALL(Dong11,ROWS($1:85)),),4,1)="X",OFFSET(TH!I$1,SMALL(Dong11,ROWS($1:85)),),0))</f>
        <v>0</v>
      </c>
      <c r="J98" s="532">
        <f t="shared" ca="1" si="17"/>
        <v>0</v>
      </c>
      <c r="K98" s="532">
        <f t="shared" ca="1" si="18"/>
        <v>0</v>
      </c>
      <c r="L98" s="532">
        <f t="shared" ca="1" si="19"/>
        <v>0</v>
      </c>
      <c r="M98" s="532"/>
      <c r="N98" s="522"/>
      <c r="O98" s="497"/>
      <c r="P98" s="497"/>
    </row>
    <row r="99" spans="1:16" ht="15">
      <c r="A99" s="480" t="str">
        <f t="shared" ca="1" si="15"/>
        <v/>
      </c>
      <c r="B99" s="528" t="str">
        <f ca="1">IF(ROWS($1:86)&gt;COUNT(Dong11),"",OFFSET(TH!D$1,SMALL(Dong11,ROWS($1:86)),))</f>
        <v/>
      </c>
      <c r="C99" s="529" t="str">
        <f ca="1">IF(ROWS($1:86)&gt;COUNT(Dong11),"",OFFSET(TH!E$1,SMALL(Dong11,ROWS($1:86)),))</f>
        <v/>
      </c>
      <c r="D99" s="530" t="str">
        <f ca="1">IF(ROWS($1:86)&gt;COUNT(Dong11),"",OFFSET(TH!F$1,SMALL(Dong11,ROWS($1:86)),)&amp;" - "&amp;OFFSET(TH!H$1,SMALL(Dong11,ROWS($1:86)),))</f>
        <v/>
      </c>
      <c r="E99" s="528" t="str">
        <f ca="1">IF(ROWS($1:86)&gt;COUNT(Dong11),"",IF(OFFSET(TH!N$1,SMALL(Dong11,ROWS($1:86)),)=$G$7,OFFSET(TH!O$1,SMALL(Dong11,ROWS($1:86)),),OFFSET(TH!N$1,SMALL(Dong11,ROWS($1:86)),)))</f>
        <v/>
      </c>
      <c r="F99" s="531">
        <f ca="1">IF(ROWS($1:86)&gt;COUNT(Dong11),0,OFFSET(TH!J$1,SMALL(Dong11,ROWS($1:86)),))</f>
        <v>0</v>
      </c>
      <c r="G99" s="531">
        <f ca="1">IF(ROWS($1:86)&gt;COUNT(Dong11),0,IF(MID(OFFSET(TH!D$1,SMALL(Dong11,ROWS($1:86)),),4,1)="N",OFFSET(TH!I$1,SMALL(Dong11,ROWS($1:86)),),0))</f>
        <v>0</v>
      </c>
      <c r="H99" s="532">
        <f t="shared" ca="1" si="16"/>
        <v>0</v>
      </c>
      <c r="I99" s="531">
        <f ca="1">IF(ROWS($1:86)&gt;COUNT(Dong11),0,IF(MID(OFFSET(TH!D$1,SMALL(Dong11,ROWS($1:86)),),4,1)="X",OFFSET(TH!I$1,SMALL(Dong11,ROWS($1:86)),),0))</f>
        <v>0</v>
      </c>
      <c r="J99" s="532">
        <f t="shared" ca="1" si="17"/>
        <v>0</v>
      </c>
      <c r="K99" s="532">
        <f t="shared" ca="1" si="18"/>
        <v>0</v>
      </c>
      <c r="L99" s="532">
        <f t="shared" ca="1" si="19"/>
        <v>0</v>
      </c>
      <c r="M99" s="532"/>
      <c r="N99" s="522"/>
      <c r="O99" s="497"/>
      <c r="P99" s="497"/>
    </row>
    <row r="100" spans="1:16" ht="15">
      <c r="A100" s="480" t="str">
        <f t="shared" ca="1" si="15"/>
        <v/>
      </c>
      <c r="B100" s="528" t="str">
        <f ca="1">IF(ROWS($1:87)&gt;COUNT(Dong11),"",OFFSET(TH!D$1,SMALL(Dong11,ROWS($1:87)),))</f>
        <v/>
      </c>
      <c r="C100" s="529" t="str">
        <f ca="1">IF(ROWS($1:87)&gt;COUNT(Dong11),"",OFFSET(TH!E$1,SMALL(Dong11,ROWS($1:87)),))</f>
        <v/>
      </c>
      <c r="D100" s="530" t="str">
        <f ca="1">IF(ROWS($1:87)&gt;COUNT(Dong11),"",OFFSET(TH!F$1,SMALL(Dong11,ROWS($1:87)),)&amp;" - "&amp;OFFSET(TH!H$1,SMALL(Dong11,ROWS($1:87)),))</f>
        <v/>
      </c>
      <c r="E100" s="528" t="str">
        <f ca="1">IF(ROWS($1:87)&gt;COUNT(Dong11),"",IF(OFFSET(TH!N$1,SMALL(Dong11,ROWS($1:87)),)=$G$7,OFFSET(TH!O$1,SMALL(Dong11,ROWS($1:87)),),OFFSET(TH!N$1,SMALL(Dong11,ROWS($1:87)),)))</f>
        <v/>
      </c>
      <c r="F100" s="531">
        <f ca="1">IF(ROWS($1:87)&gt;COUNT(Dong11),0,OFFSET(TH!J$1,SMALL(Dong11,ROWS($1:87)),))</f>
        <v>0</v>
      </c>
      <c r="G100" s="531">
        <f ca="1">IF(ROWS($1:87)&gt;COUNT(Dong11),0,IF(MID(OFFSET(TH!D$1,SMALL(Dong11,ROWS($1:87)),),4,1)="N",OFFSET(TH!I$1,SMALL(Dong11,ROWS($1:87)),),0))</f>
        <v>0</v>
      </c>
      <c r="H100" s="532">
        <f t="shared" ca="1" si="16"/>
        <v>0</v>
      </c>
      <c r="I100" s="531">
        <f ca="1">IF(ROWS($1:87)&gt;COUNT(Dong11),0,IF(MID(OFFSET(TH!D$1,SMALL(Dong11,ROWS($1:87)),),4,1)="X",OFFSET(TH!I$1,SMALL(Dong11,ROWS($1:87)),),0))</f>
        <v>0</v>
      </c>
      <c r="J100" s="532">
        <f t="shared" ca="1" si="17"/>
        <v>0</v>
      </c>
      <c r="K100" s="532">
        <f t="shared" ca="1" si="18"/>
        <v>0</v>
      </c>
      <c r="L100" s="532">
        <f t="shared" ca="1" si="19"/>
        <v>0</v>
      </c>
      <c r="M100" s="532"/>
      <c r="N100" s="522"/>
      <c r="O100" s="497"/>
      <c r="P100" s="497"/>
    </row>
    <row r="101" spans="1:16" ht="15">
      <c r="A101" s="480" t="str">
        <f t="shared" ca="1" si="15"/>
        <v/>
      </c>
      <c r="B101" s="528" t="str">
        <f ca="1">IF(ROWS($1:88)&gt;COUNT(Dong11),"",OFFSET(TH!D$1,SMALL(Dong11,ROWS($1:88)),))</f>
        <v/>
      </c>
      <c r="C101" s="529" t="str">
        <f ca="1">IF(ROWS($1:88)&gt;COUNT(Dong11),"",OFFSET(TH!E$1,SMALL(Dong11,ROWS($1:88)),))</f>
        <v/>
      </c>
      <c r="D101" s="530" t="str">
        <f ca="1">IF(ROWS($1:88)&gt;COUNT(Dong11),"",OFFSET(TH!F$1,SMALL(Dong11,ROWS($1:88)),)&amp;" - "&amp;OFFSET(TH!H$1,SMALL(Dong11,ROWS($1:88)),))</f>
        <v/>
      </c>
      <c r="E101" s="528" t="str">
        <f ca="1">IF(ROWS($1:88)&gt;COUNT(Dong11),"",IF(OFFSET(TH!N$1,SMALL(Dong11,ROWS($1:88)),)=$G$7,OFFSET(TH!O$1,SMALL(Dong11,ROWS($1:88)),),OFFSET(TH!N$1,SMALL(Dong11,ROWS($1:88)),)))</f>
        <v/>
      </c>
      <c r="F101" s="531">
        <f ca="1">IF(ROWS($1:88)&gt;COUNT(Dong11),0,OFFSET(TH!J$1,SMALL(Dong11,ROWS($1:88)),))</f>
        <v>0</v>
      </c>
      <c r="G101" s="531">
        <f ca="1">IF(ROWS($1:88)&gt;COUNT(Dong11),0,IF(MID(OFFSET(TH!D$1,SMALL(Dong11,ROWS($1:88)),),4,1)="N",OFFSET(TH!I$1,SMALL(Dong11,ROWS($1:88)),),0))</f>
        <v>0</v>
      </c>
      <c r="H101" s="532">
        <f t="shared" ca="1" si="16"/>
        <v>0</v>
      </c>
      <c r="I101" s="531">
        <f ca="1">IF(ROWS($1:88)&gt;COUNT(Dong11),0,IF(MID(OFFSET(TH!D$1,SMALL(Dong11,ROWS($1:88)),),4,1)="X",OFFSET(TH!I$1,SMALL(Dong11,ROWS($1:88)),),0))</f>
        <v>0</v>
      </c>
      <c r="J101" s="532">
        <f t="shared" ca="1" si="17"/>
        <v>0</v>
      </c>
      <c r="K101" s="532">
        <f t="shared" ca="1" si="18"/>
        <v>0</v>
      </c>
      <c r="L101" s="532">
        <f t="shared" ca="1" si="19"/>
        <v>0</v>
      </c>
      <c r="M101" s="532"/>
      <c r="N101" s="522"/>
      <c r="O101" s="497"/>
      <c r="P101" s="497"/>
    </row>
    <row r="102" spans="1:16" ht="15">
      <c r="A102" s="480" t="str">
        <f t="shared" ca="1" si="15"/>
        <v/>
      </c>
      <c r="B102" s="528" t="str">
        <f ca="1">IF(ROWS($1:89)&gt;COUNT(Dong11),"",OFFSET(TH!D$1,SMALL(Dong11,ROWS($1:89)),))</f>
        <v/>
      </c>
      <c r="C102" s="529" t="str">
        <f ca="1">IF(ROWS($1:89)&gt;COUNT(Dong11),"",OFFSET(TH!E$1,SMALL(Dong11,ROWS($1:89)),))</f>
        <v/>
      </c>
      <c r="D102" s="530" t="str">
        <f ca="1">IF(ROWS($1:89)&gt;COUNT(Dong11),"",OFFSET(TH!F$1,SMALL(Dong11,ROWS($1:89)),)&amp;" - "&amp;OFFSET(TH!H$1,SMALL(Dong11,ROWS($1:89)),))</f>
        <v/>
      </c>
      <c r="E102" s="528" t="str">
        <f ca="1">IF(ROWS($1:89)&gt;COUNT(Dong11),"",IF(OFFSET(TH!N$1,SMALL(Dong11,ROWS($1:89)),)=$G$7,OFFSET(TH!O$1,SMALL(Dong11,ROWS($1:89)),),OFFSET(TH!N$1,SMALL(Dong11,ROWS($1:89)),)))</f>
        <v/>
      </c>
      <c r="F102" s="531">
        <f ca="1">IF(ROWS($1:89)&gt;COUNT(Dong11),0,OFFSET(TH!J$1,SMALL(Dong11,ROWS($1:89)),))</f>
        <v>0</v>
      </c>
      <c r="G102" s="531">
        <f ca="1">IF(ROWS($1:89)&gt;COUNT(Dong11),0,IF(MID(OFFSET(TH!D$1,SMALL(Dong11,ROWS($1:89)),),4,1)="N",OFFSET(TH!I$1,SMALL(Dong11,ROWS($1:89)),),0))</f>
        <v>0</v>
      </c>
      <c r="H102" s="532">
        <f t="shared" ca="1" si="16"/>
        <v>0</v>
      </c>
      <c r="I102" s="531">
        <f ca="1">IF(ROWS($1:89)&gt;COUNT(Dong11),0,IF(MID(OFFSET(TH!D$1,SMALL(Dong11,ROWS($1:89)),),4,1)="X",OFFSET(TH!I$1,SMALL(Dong11,ROWS($1:89)),),0))</f>
        <v>0</v>
      </c>
      <c r="J102" s="532">
        <f t="shared" ca="1" si="17"/>
        <v>0</v>
      </c>
      <c r="K102" s="532">
        <f t="shared" ca="1" si="18"/>
        <v>0</v>
      </c>
      <c r="L102" s="532">
        <f t="shared" ca="1" si="19"/>
        <v>0</v>
      </c>
      <c r="M102" s="532"/>
      <c r="N102" s="522"/>
      <c r="O102" s="497"/>
      <c r="P102" s="497"/>
    </row>
    <row r="103" spans="1:16" ht="15">
      <c r="A103" s="480" t="str">
        <f t="shared" ca="1" si="15"/>
        <v/>
      </c>
      <c r="B103" s="528" t="str">
        <f ca="1">IF(ROWS($1:90)&gt;COUNT(Dong11),"",OFFSET(TH!D$1,SMALL(Dong11,ROWS($1:90)),))</f>
        <v/>
      </c>
      <c r="C103" s="529" t="str">
        <f ca="1">IF(ROWS($1:90)&gt;COUNT(Dong11),"",OFFSET(TH!E$1,SMALL(Dong11,ROWS($1:90)),))</f>
        <v/>
      </c>
      <c r="D103" s="530" t="str">
        <f ca="1">IF(ROWS($1:90)&gt;COUNT(Dong11),"",OFFSET(TH!F$1,SMALL(Dong11,ROWS($1:90)),)&amp;" - "&amp;OFFSET(TH!H$1,SMALL(Dong11,ROWS($1:90)),))</f>
        <v/>
      </c>
      <c r="E103" s="528" t="str">
        <f ca="1">IF(ROWS($1:90)&gt;COUNT(Dong11),"",IF(OFFSET(TH!N$1,SMALL(Dong11,ROWS($1:90)),)=$G$7,OFFSET(TH!O$1,SMALL(Dong11,ROWS($1:90)),),OFFSET(TH!N$1,SMALL(Dong11,ROWS($1:90)),)))</f>
        <v/>
      </c>
      <c r="F103" s="531">
        <f ca="1">IF(ROWS($1:90)&gt;COUNT(Dong11),0,OFFSET(TH!J$1,SMALL(Dong11,ROWS($1:90)),))</f>
        <v>0</v>
      </c>
      <c r="G103" s="531">
        <f ca="1">IF(ROWS($1:90)&gt;COUNT(Dong11),0,IF(MID(OFFSET(TH!D$1,SMALL(Dong11,ROWS($1:90)),),4,1)="N",OFFSET(TH!I$1,SMALL(Dong11,ROWS($1:90)),),0))</f>
        <v>0</v>
      </c>
      <c r="H103" s="532">
        <f t="shared" ca="1" si="16"/>
        <v>0</v>
      </c>
      <c r="I103" s="531">
        <f ca="1">IF(ROWS($1:90)&gt;COUNT(Dong11),0,IF(MID(OFFSET(TH!D$1,SMALL(Dong11,ROWS($1:90)),),4,1)="X",OFFSET(TH!I$1,SMALL(Dong11,ROWS($1:90)),),0))</f>
        <v>0</v>
      </c>
      <c r="J103" s="532">
        <f t="shared" ca="1" si="17"/>
        <v>0</v>
      </c>
      <c r="K103" s="532">
        <f t="shared" ca="1" si="18"/>
        <v>0</v>
      </c>
      <c r="L103" s="532">
        <f t="shared" ca="1" si="19"/>
        <v>0</v>
      </c>
      <c r="M103" s="532"/>
      <c r="N103" s="522"/>
      <c r="O103" s="497"/>
      <c r="P103" s="497"/>
    </row>
    <row r="104" spans="1:16" ht="15">
      <c r="A104" s="480" t="str">
        <f t="shared" ca="1" si="15"/>
        <v/>
      </c>
      <c r="B104" s="528" t="str">
        <f ca="1">IF(ROWS($1:91)&gt;COUNT(Dong11),"",OFFSET(TH!D$1,SMALL(Dong11,ROWS($1:91)),))</f>
        <v/>
      </c>
      <c r="C104" s="529" t="str">
        <f ca="1">IF(ROWS($1:91)&gt;COUNT(Dong11),"",OFFSET(TH!E$1,SMALL(Dong11,ROWS($1:91)),))</f>
        <v/>
      </c>
      <c r="D104" s="530" t="str">
        <f ca="1">IF(ROWS($1:91)&gt;COUNT(Dong11),"",OFFSET(TH!F$1,SMALL(Dong11,ROWS($1:91)),)&amp;" - "&amp;OFFSET(TH!H$1,SMALL(Dong11,ROWS($1:91)),))</f>
        <v/>
      </c>
      <c r="E104" s="528" t="str">
        <f ca="1">IF(ROWS($1:91)&gt;COUNT(Dong11),"",IF(OFFSET(TH!N$1,SMALL(Dong11,ROWS($1:91)),)=$G$7,OFFSET(TH!O$1,SMALL(Dong11,ROWS($1:91)),),OFFSET(TH!N$1,SMALL(Dong11,ROWS($1:91)),)))</f>
        <v/>
      </c>
      <c r="F104" s="531">
        <f ca="1">IF(ROWS($1:91)&gt;COUNT(Dong11),0,OFFSET(TH!J$1,SMALL(Dong11,ROWS($1:91)),))</f>
        <v>0</v>
      </c>
      <c r="G104" s="531">
        <f ca="1">IF(ROWS($1:91)&gt;COUNT(Dong11),0,IF(MID(OFFSET(TH!D$1,SMALL(Dong11,ROWS($1:91)),),4,1)="N",OFFSET(TH!I$1,SMALL(Dong11,ROWS($1:91)),),0))</f>
        <v>0</v>
      </c>
      <c r="H104" s="532">
        <f t="shared" ca="1" si="16"/>
        <v>0</v>
      </c>
      <c r="I104" s="531">
        <f ca="1">IF(ROWS($1:91)&gt;COUNT(Dong11),0,IF(MID(OFFSET(TH!D$1,SMALL(Dong11,ROWS($1:91)),),4,1)="X",OFFSET(TH!I$1,SMALL(Dong11,ROWS($1:91)),),0))</f>
        <v>0</v>
      </c>
      <c r="J104" s="532">
        <f t="shared" ca="1" si="17"/>
        <v>0</v>
      </c>
      <c r="K104" s="532">
        <f t="shared" ca="1" si="18"/>
        <v>0</v>
      </c>
      <c r="L104" s="532">
        <f t="shared" ca="1" si="19"/>
        <v>0</v>
      </c>
      <c r="M104" s="532"/>
      <c r="N104" s="522"/>
      <c r="O104" s="497"/>
      <c r="P104" s="497"/>
    </row>
    <row r="105" spans="1:16" ht="15">
      <c r="A105" s="480" t="str">
        <f t="shared" ca="1" si="15"/>
        <v/>
      </c>
      <c r="B105" s="528" t="str">
        <f ca="1">IF(ROWS($1:92)&gt;COUNT(Dong11),"",OFFSET(TH!D$1,SMALL(Dong11,ROWS($1:92)),))</f>
        <v/>
      </c>
      <c r="C105" s="529" t="str">
        <f ca="1">IF(ROWS($1:92)&gt;COUNT(Dong11),"",OFFSET(TH!E$1,SMALL(Dong11,ROWS($1:92)),))</f>
        <v/>
      </c>
      <c r="D105" s="530" t="str">
        <f ca="1">IF(ROWS($1:92)&gt;COUNT(Dong11),"",OFFSET(TH!F$1,SMALL(Dong11,ROWS($1:92)),)&amp;" - "&amp;OFFSET(TH!H$1,SMALL(Dong11,ROWS($1:92)),))</f>
        <v/>
      </c>
      <c r="E105" s="528" t="str">
        <f ca="1">IF(ROWS($1:92)&gt;COUNT(Dong11),"",IF(OFFSET(TH!N$1,SMALL(Dong11,ROWS($1:92)),)=$G$7,OFFSET(TH!O$1,SMALL(Dong11,ROWS($1:92)),),OFFSET(TH!N$1,SMALL(Dong11,ROWS($1:92)),)))</f>
        <v/>
      </c>
      <c r="F105" s="531">
        <f ca="1">IF(ROWS($1:92)&gt;COUNT(Dong11),0,OFFSET(TH!J$1,SMALL(Dong11,ROWS($1:92)),))</f>
        <v>0</v>
      </c>
      <c r="G105" s="531">
        <f ca="1">IF(ROWS($1:92)&gt;COUNT(Dong11),0,IF(MID(OFFSET(TH!D$1,SMALL(Dong11,ROWS($1:92)),),4,1)="N",OFFSET(TH!I$1,SMALL(Dong11,ROWS($1:92)),),0))</f>
        <v>0</v>
      </c>
      <c r="H105" s="532">
        <f t="shared" ca="1" si="16"/>
        <v>0</v>
      </c>
      <c r="I105" s="531">
        <f ca="1">IF(ROWS($1:92)&gt;COUNT(Dong11),0,IF(MID(OFFSET(TH!D$1,SMALL(Dong11,ROWS($1:92)),),4,1)="X",OFFSET(TH!I$1,SMALL(Dong11,ROWS($1:92)),),0))</f>
        <v>0</v>
      </c>
      <c r="J105" s="532">
        <f t="shared" ca="1" si="17"/>
        <v>0</v>
      </c>
      <c r="K105" s="532">
        <f t="shared" ca="1" si="18"/>
        <v>0</v>
      </c>
      <c r="L105" s="532">
        <f t="shared" ca="1" si="19"/>
        <v>0</v>
      </c>
      <c r="M105" s="532"/>
      <c r="N105" s="522"/>
      <c r="O105" s="497"/>
      <c r="P105" s="497"/>
    </row>
    <row r="106" spans="1:16" ht="15">
      <c r="A106" s="480" t="str">
        <f t="shared" ca="1" si="15"/>
        <v/>
      </c>
      <c r="B106" s="528" t="str">
        <f ca="1">IF(ROWS($1:93)&gt;COUNT(Dong11),"",OFFSET(TH!D$1,SMALL(Dong11,ROWS($1:93)),))</f>
        <v/>
      </c>
      <c r="C106" s="529" t="str">
        <f ca="1">IF(ROWS($1:93)&gt;COUNT(Dong11),"",OFFSET(TH!E$1,SMALL(Dong11,ROWS($1:93)),))</f>
        <v/>
      </c>
      <c r="D106" s="530" t="str">
        <f ca="1">IF(ROWS($1:93)&gt;COUNT(Dong11),"",OFFSET(TH!F$1,SMALL(Dong11,ROWS($1:93)),)&amp;" - "&amp;OFFSET(TH!H$1,SMALL(Dong11,ROWS($1:93)),))</f>
        <v/>
      </c>
      <c r="E106" s="528" t="str">
        <f ca="1">IF(ROWS($1:93)&gt;COUNT(Dong11),"",IF(OFFSET(TH!N$1,SMALL(Dong11,ROWS($1:93)),)=$G$7,OFFSET(TH!O$1,SMALL(Dong11,ROWS($1:93)),),OFFSET(TH!N$1,SMALL(Dong11,ROWS($1:93)),)))</f>
        <v/>
      </c>
      <c r="F106" s="531">
        <f ca="1">IF(ROWS($1:93)&gt;COUNT(Dong11),0,OFFSET(TH!J$1,SMALL(Dong11,ROWS($1:93)),))</f>
        <v>0</v>
      </c>
      <c r="G106" s="531">
        <f ca="1">IF(ROWS($1:93)&gt;COUNT(Dong11),0,IF(MID(OFFSET(TH!D$1,SMALL(Dong11,ROWS($1:93)),),4,1)="N",OFFSET(TH!I$1,SMALL(Dong11,ROWS($1:93)),),0))</f>
        <v>0</v>
      </c>
      <c r="H106" s="532">
        <f t="shared" ca="1" si="16"/>
        <v>0</v>
      </c>
      <c r="I106" s="531">
        <f ca="1">IF(ROWS($1:93)&gt;COUNT(Dong11),0,IF(MID(OFFSET(TH!D$1,SMALL(Dong11,ROWS($1:93)),),4,1)="X",OFFSET(TH!I$1,SMALL(Dong11,ROWS($1:93)),),0))</f>
        <v>0</v>
      </c>
      <c r="J106" s="532">
        <f t="shared" ca="1" si="17"/>
        <v>0</v>
      </c>
      <c r="K106" s="532">
        <f t="shared" ca="1" si="18"/>
        <v>0</v>
      </c>
      <c r="L106" s="532">
        <f t="shared" ca="1" si="19"/>
        <v>0</v>
      </c>
      <c r="M106" s="532"/>
      <c r="N106" s="522"/>
      <c r="O106" s="497"/>
      <c r="P106" s="497"/>
    </row>
    <row r="107" spans="1:16" ht="15">
      <c r="A107" s="480" t="str">
        <f t="shared" ca="1" si="15"/>
        <v/>
      </c>
      <c r="B107" s="528" t="str">
        <f ca="1">IF(ROWS($1:94)&gt;COUNT(Dong11),"",OFFSET(TH!D$1,SMALL(Dong11,ROWS($1:94)),))</f>
        <v/>
      </c>
      <c r="C107" s="529" t="str">
        <f ca="1">IF(ROWS($1:94)&gt;COUNT(Dong11),"",OFFSET(TH!E$1,SMALL(Dong11,ROWS($1:94)),))</f>
        <v/>
      </c>
      <c r="D107" s="530" t="str">
        <f ca="1">IF(ROWS($1:94)&gt;COUNT(Dong11),"",OFFSET(TH!F$1,SMALL(Dong11,ROWS($1:94)),)&amp;" - "&amp;OFFSET(TH!H$1,SMALL(Dong11,ROWS($1:94)),))</f>
        <v/>
      </c>
      <c r="E107" s="528" t="str">
        <f ca="1">IF(ROWS($1:94)&gt;COUNT(Dong11),"",IF(OFFSET(TH!N$1,SMALL(Dong11,ROWS($1:94)),)=$G$7,OFFSET(TH!O$1,SMALL(Dong11,ROWS($1:94)),),OFFSET(TH!N$1,SMALL(Dong11,ROWS($1:94)),)))</f>
        <v/>
      </c>
      <c r="F107" s="531">
        <f ca="1">IF(ROWS($1:94)&gt;COUNT(Dong11),0,OFFSET(TH!J$1,SMALL(Dong11,ROWS($1:94)),))</f>
        <v>0</v>
      </c>
      <c r="G107" s="531">
        <f ca="1">IF(ROWS($1:94)&gt;COUNT(Dong11),0,IF(MID(OFFSET(TH!D$1,SMALL(Dong11,ROWS($1:94)),),4,1)="N",OFFSET(TH!I$1,SMALL(Dong11,ROWS($1:94)),),0))</f>
        <v>0</v>
      </c>
      <c r="H107" s="532">
        <f t="shared" ca="1" si="16"/>
        <v>0</v>
      </c>
      <c r="I107" s="531">
        <f ca="1">IF(ROWS($1:94)&gt;COUNT(Dong11),0,IF(MID(OFFSET(TH!D$1,SMALL(Dong11,ROWS($1:94)),),4,1)="X",OFFSET(TH!I$1,SMALL(Dong11,ROWS($1:94)),),0))</f>
        <v>0</v>
      </c>
      <c r="J107" s="532">
        <f t="shared" ca="1" si="17"/>
        <v>0</v>
      </c>
      <c r="K107" s="532">
        <f t="shared" ca="1" si="18"/>
        <v>0</v>
      </c>
      <c r="L107" s="532">
        <f t="shared" ca="1" si="19"/>
        <v>0</v>
      </c>
      <c r="M107" s="532"/>
      <c r="N107" s="522"/>
      <c r="O107" s="497"/>
      <c r="P107" s="497"/>
    </row>
    <row r="108" spans="1:16" ht="15">
      <c r="A108" s="480" t="str">
        <f t="shared" ca="1" si="15"/>
        <v/>
      </c>
      <c r="B108" s="528" t="str">
        <f ca="1">IF(ROWS($1:95)&gt;COUNT(Dong11),"",OFFSET(TH!D$1,SMALL(Dong11,ROWS($1:95)),))</f>
        <v/>
      </c>
      <c r="C108" s="529" t="str">
        <f ca="1">IF(ROWS($1:95)&gt;COUNT(Dong11),"",OFFSET(TH!E$1,SMALL(Dong11,ROWS($1:95)),))</f>
        <v/>
      </c>
      <c r="D108" s="530" t="str">
        <f ca="1">IF(ROWS($1:95)&gt;COUNT(Dong11),"",OFFSET(TH!F$1,SMALL(Dong11,ROWS($1:95)),)&amp;" - "&amp;OFFSET(TH!H$1,SMALL(Dong11,ROWS($1:95)),))</f>
        <v/>
      </c>
      <c r="E108" s="528" t="str">
        <f ca="1">IF(ROWS($1:95)&gt;COUNT(Dong11),"",IF(OFFSET(TH!N$1,SMALL(Dong11,ROWS($1:95)),)=$G$7,OFFSET(TH!O$1,SMALL(Dong11,ROWS($1:95)),),OFFSET(TH!N$1,SMALL(Dong11,ROWS($1:95)),)))</f>
        <v/>
      </c>
      <c r="F108" s="531">
        <f ca="1">IF(ROWS($1:95)&gt;COUNT(Dong11),0,OFFSET(TH!J$1,SMALL(Dong11,ROWS($1:95)),))</f>
        <v>0</v>
      </c>
      <c r="G108" s="531">
        <f ca="1">IF(ROWS($1:95)&gt;COUNT(Dong11),0,IF(MID(OFFSET(TH!D$1,SMALL(Dong11,ROWS($1:95)),),4,1)="N",OFFSET(TH!I$1,SMALL(Dong11,ROWS($1:95)),),0))</f>
        <v>0</v>
      </c>
      <c r="H108" s="532">
        <f t="shared" ca="1" si="16"/>
        <v>0</v>
      </c>
      <c r="I108" s="531">
        <f ca="1">IF(ROWS($1:95)&gt;COUNT(Dong11),0,IF(MID(OFFSET(TH!D$1,SMALL(Dong11,ROWS($1:95)),),4,1)="X",OFFSET(TH!I$1,SMALL(Dong11,ROWS($1:95)),),0))</f>
        <v>0</v>
      </c>
      <c r="J108" s="532">
        <f t="shared" ca="1" si="17"/>
        <v>0</v>
      </c>
      <c r="K108" s="532">
        <f t="shared" ca="1" si="18"/>
        <v>0</v>
      </c>
      <c r="L108" s="532">
        <f t="shared" ca="1" si="19"/>
        <v>0</v>
      </c>
      <c r="M108" s="532"/>
      <c r="N108" s="522"/>
      <c r="O108" s="497"/>
      <c r="P108" s="497"/>
    </row>
    <row r="109" spans="1:16" ht="15">
      <c r="A109" s="480" t="str">
        <f t="shared" ca="1" si="15"/>
        <v/>
      </c>
      <c r="B109" s="528" t="str">
        <f ca="1">IF(ROWS($1:96)&gt;COUNT(Dong11),"",OFFSET(TH!D$1,SMALL(Dong11,ROWS($1:96)),))</f>
        <v/>
      </c>
      <c r="C109" s="529" t="str">
        <f ca="1">IF(ROWS($1:96)&gt;COUNT(Dong11),"",OFFSET(TH!E$1,SMALL(Dong11,ROWS($1:96)),))</f>
        <v/>
      </c>
      <c r="D109" s="530" t="str">
        <f ca="1">IF(ROWS($1:96)&gt;COUNT(Dong11),"",OFFSET(TH!F$1,SMALL(Dong11,ROWS($1:96)),)&amp;" - "&amp;OFFSET(TH!H$1,SMALL(Dong11,ROWS($1:96)),))</f>
        <v/>
      </c>
      <c r="E109" s="528" t="str">
        <f ca="1">IF(ROWS($1:96)&gt;COUNT(Dong11),"",IF(OFFSET(TH!N$1,SMALL(Dong11,ROWS($1:96)),)=$G$7,OFFSET(TH!O$1,SMALL(Dong11,ROWS($1:96)),),OFFSET(TH!N$1,SMALL(Dong11,ROWS($1:96)),)))</f>
        <v/>
      </c>
      <c r="F109" s="531">
        <f ca="1">IF(ROWS($1:96)&gt;COUNT(Dong11),0,OFFSET(TH!J$1,SMALL(Dong11,ROWS($1:96)),))</f>
        <v>0</v>
      </c>
      <c r="G109" s="531">
        <f ca="1">IF(ROWS($1:96)&gt;COUNT(Dong11),0,IF(MID(OFFSET(TH!D$1,SMALL(Dong11,ROWS($1:96)),),4,1)="N",OFFSET(TH!I$1,SMALL(Dong11,ROWS($1:96)),),0))</f>
        <v>0</v>
      </c>
      <c r="H109" s="532">
        <f t="shared" ca="1" si="16"/>
        <v>0</v>
      </c>
      <c r="I109" s="531">
        <f ca="1">IF(ROWS($1:96)&gt;COUNT(Dong11),0,IF(MID(OFFSET(TH!D$1,SMALL(Dong11,ROWS($1:96)),),4,1)="X",OFFSET(TH!I$1,SMALL(Dong11,ROWS($1:96)),),0))</f>
        <v>0</v>
      </c>
      <c r="J109" s="532">
        <f t="shared" ca="1" si="17"/>
        <v>0</v>
      </c>
      <c r="K109" s="532">
        <f t="shared" ca="1" si="18"/>
        <v>0</v>
      </c>
      <c r="L109" s="532">
        <f t="shared" ca="1" si="19"/>
        <v>0</v>
      </c>
      <c r="M109" s="532"/>
      <c r="N109" s="522"/>
      <c r="O109" s="497"/>
      <c r="P109" s="497"/>
    </row>
    <row r="110" spans="1:16" ht="15">
      <c r="A110" s="480" t="str">
        <f t="shared" ca="1" si="15"/>
        <v/>
      </c>
      <c r="B110" s="528" t="str">
        <f ca="1">IF(ROWS($1:97)&gt;COUNT(Dong11),"",OFFSET(TH!D$1,SMALL(Dong11,ROWS($1:97)),))</f>
        <v/>
      </c>
      <c r="C110" s="529" t="str">
        <f ca="1">IF(ROWS($1:97)&gt;COUNT(Dong11),"",OFFSET(TH!E$1,SMALL(Dong11,ROWS($1:97)),))</f>
        <v/>
      </c>
      <c r="D110" s="530" t="str">
        <f ca="1">IF(ROWS($1:97)&gt;COUNT(Dong11),"",OFFSET(TH!F$1,SMALL(Dong11,ROWS($1:97)),)&amp;" - "&amp;OFFSET(TH!H$1,SMALL(Dong11,ROWS($1:97)),))</f>
        <v/>
      </c>
      <c r="E110" s="528" t="str">
        <f ca="1">IF(ROWS($1:97)&gt;COUNT(Dong11),"",IF(OFFSET(TH!N$1,SMALL(Dong11,ROWS($1:97)),)=$G$7,OFFSET(TH!O$1,SMALL(Dong11,ROWS($1:97)),),OFFSET(TH!N$1,SMALL(Dong11,ROWS($1:97)),)))</f>
        <v/>
      </c>
      <c r="F110" s="531">
        <f ca="1">IF(ROWS($1:97)&gt;COUNT(Dong11),0,OFFSET(TH!J$1,SMALL(Dong11,ROWS($1:97)),))</f>
        <v>0</v>
      </c>
      <c r="G110" s="531">
        <f ca="1">IF(ROWS($1:97)&gt;COUNT(Dong11),0,IF(MID(OFFSET(TH!D$1,SMALL(Dong11,ROWS($1:97)),),4,1)="N",OFFSET(TH!I$1,SMALL(Dong11,ROWS($1:97)),),0))</f>
        <v>0</v>
      </c>
      <c r="H110" s="532">
        <f t="shared" ca="1" si="16"/>
        <v>0</v>
      </c>
      <c r="I110" s="531">
        <f ca="1">IF(ROWS($1:97)&gt;COUNT(Dong11),0,IF(MID(OFFSET(TH!D$1,SMALL(Dong11,ROWS($1:97)),),4,1)="X",OFFSET(TH!I$1,SMALL(Dong11,ROWS($1:97)),),0))</f>
        <v>0</v>
      </c>
      <c r="J110" s="532">
        <f t="shared" ca="1" si="17"/>
        <v>0</v>
      </c>
      <c r="K110" s="532">
        <f t="shared" ca="1" si="18"/>
        <v>0</v>
      </c>
      <c r="L110" s="532">
        <f t="shared" ca="1" si="19"/>
        <v>0</v>
      </c>
      <c r="M110" s="532"/>
      <c r="N110" s="522"/>
      <c r="O110" s="497"/>
      <c r="P110" s="497"/>
    </row>
    <row r="111" spans="1:16" ht="15">
      <c r="A111" s="480" t="str">
        <f t="shared" ca="1" si="15"/>
        <v/>
      </c>
      <c r="B111" s="528" t="str">
        <f ca="1">IF(ROWS($1:98)&gt;COUNT(Dong11),"",OFFSET(TH!D$1,SMALL(Dong11,ROWS($1:98)),))</f>
        <v/>
      </c>
      <c r="C111" s="529" t="str">
        <f ca="1">IF(ROWS($1:98)&gt;COUNT(Dong11),"",OFFSET(TH!E$1,SMALL(Dong11,ROWS($1:98)),))</f>
        <v/>
      </c>
      <c r="D111" s="530" t="str">
        <f ca="1">IF(ROWS($1:98)&gt;COUNT(Dong11),"",OFFSET(TH!F$1,SMALL(Dong11,ROWS($1:98)),)&amp;" - "&amp;OFFSET(TH!H$1,SMALL(Dong11,ROWS($1:98)),))</f>
        <v/>
      </c>
      <c r="E111" s="528" t="str">
        <f ca="1">IF(ROWS($1:98)&gt;COUNT(Dong11),"",IF(OFFSET(TH!N$1,SMALL(Dong11,ROWS($1:98)),)=$G$7,OFFSET(TH!O$1,SMALL(Dong11,ROWS($1:98)),),OFFSET(TH!N$1,SMALL(Dong11,ROWS($1:98)),)))</f>
        <v/>
      </c>
      <c r="F111" s="531">
        <f ca="1">IF(ROWS($1:98)&gt;COUNT(Dong11),0,OFFSET(TH!J$1,SMALL(Dong11,ROWS($1:98)),))</f>
        <v>0</v>
      </c>
      <c r="G111" s="531">
        <f ca="1">IF(ROWS($1:98)&gt;COUNT(Dong11),0,IF(MID(OFFSET(TH!D$1,SMALL(Dong11,ROWS($1:98)),),4,1)="N",OFFSET(TH!I$1,SMALL(Dong11,ROWS($1:98)),),0))</f>
        <v>0</v>
      </c>
      <c r="H111" s="532">
        <f t="shared" ca="1" si="16"/>
        <v>0</v>
      </c>
      <c r="I111" s="531">
        <f ca="1">IF(ROWS($1:98)&gt;COUNT(Dong11),0,IF(MID(OFFSET(TH!D$1,SMALL(Dong11,ROWS($1:98)),),4,1)="X",OFFSET(TH!I$1,SMALL(Dong11,ROWS($1:98)),),0))</f>
        <v>0</v>
      </c>
      <c r="J111" s="532">
        <f t="shared" ca="1" si="17"/>
        <v>0</v>
      </c>
      <c r="K111" s="532">
        <f t="shared" ca="1" si="18"/>
        <v>0</v>
      </c>
      <c r="L111" s="532">
        <f t="shared" ca="1" si="19"/>
        <v>0</v>
      </c>
      <c r="M111" s="532"/>
      <c r="N111" s="522"/>
      <c r="O111" s="497"/>
      <c r="P111" s="497"/>
    </row>
    <row r="112" spans="1:16" ht="15">
      <c r="A112" s="480" t="str">
        <f t="shared" ca="1" si="15"/>
        <v/>
      </c>
      <c r="B112" s="528" t="str">
        <f ca="1">IF(ROWS($1:99)&gt;COUNT(Dong11),"",OFFSET(TH!D$1,SMALL(Dong11,ROWS($1:99)),))</f>
        <v/>
      </c>
      <c r="C112" s="529" t="str">
        <f ca="1">IF(ROWS($1:99)&gt;COUNT(Dong11),"",OFFSET(TH!E$1,SMALL(Dong11,ROWS($1:99)),))</f>
        <v/>
      </c>
      <c r="D112" s="530" t="str">
        <f ca="1">IF(ROWS($1:99)&gt;COUNT(Dong11),"",OFFSET(TH!F$1,SMALL(Dong11,ROWS($1:99)),)&amp;" - "&amp;OFFSET(TH!H$1,SMALL(Dong11,ROWS($1:99)),))</f>
        <v/>
      </c>
      <c r="E112" s="528" t="str">
        <f ca="1">IF(ROWS($1:99)&gt;COUNT(Dong11),"",IF(OFFSET(TH!N$1,SMALL(Dong11,ROWS($1:99)),)=$G$7,OFFSET(TH!O$1,SMALL(Dong11,ROWS($1:99)),),OFFSET(TH!N$1,SMALL(Dong11,ROWS($1:99)),)))</f>
        <v/>
      </c>
      <c r="F112" s="531">
        <f ca="1">IF(ROWS($1:99)&gt;COUNT(Dong11),0,OFFSET(TH!J$1,SMALL(Dong11,ROWS($1:99)),))</f>
        <v>0</v>
      </c>
      <c r="G112" s="531">
        <f ca="1">IF(ROWS($1:99)&gt;COUNT(Dong11),0,IF(MID(OFFSET(TH!D$1,SMALL(Dong11,ROWS($1:99)),),4,1)="N",OFFSET(TH!I$1,SMALL(Dong11,ROWS($1:99)),),0))</f>
        <v>0</v>
      </c>
      <c r="H112" s="532">
        <f t="shared" ca="1" si="16"/>
        <v>0</v>
      </c>
      <c r="I112" s="531">
        <f ca="1">IF(ROWS($1:99)&gt;COUNT(Dong11),0,IF(MID(OFFSET(TH!D$1,SMALL(Dong11,ROWS($1:99)),),4,1)="X",OFFSET(TH!I$1,SMALL(Dong11,ROWS($1:99)),),0))</f>
        <v>0</v>
      </c>
      <c r="J112" s="532">
        <f t="shared" ca="1" si="17"/>
        <v>0</v>
      </c>
      <c r="K112" s="532">
        <f t="shared" ca="1" si="18"/>
        <v>0</v>
      </c>
      <c r="L112" s="532">
        <f t="shared" ca="1" si="19"/>
        <v>0</v>
      </c>
      <c r="M112" s="532"/>
      <c r="N112" s="522"/>
      <c r="O112" s="497"/>
      <c r="P112" s="497"/>
    </row>
    <row r="113" spans="1:16" ht="15">
      <c r="A113" s="480" t="str">
        <f t="shared" ca="1" si="15"/>
        <v/>
      </c>
      <c r="B113" s="528" t="str">
        <f ca="1">IF(ROWS($1:100)&gt;COUNT(Dong11),"",OFFSET(TH!D$1,SMALL(Dong11,ROWS($1:100)),))</f>
        <v/>
      </c>
      <c r="C113" s="529" t="str">
        <f ca="1">IF(ROWS($1:100)&gt;COUNT(Dong11),"",OFFSET(TH!E$1,SMALL(Dong11,ROWS($1:100)),))</f>
        <v/>
      </c>
      <c r="D113" s="530" t="str">
        <f ca="1">IF(ROWS($1:100)&gt;COUNT(Dong11),"",OFFSET(TH!F$1,SMALL(Dong11,ROWS($1:100)),)&amp;" - "&amp;OFFSET(TH!H$1,SMALL(Dong11,ROWS($1:100)),))</f>
        <v/>
      </c>
      <c r="E113" s="528" t="str">
        <f ca="1">IF(ROWS($1:100)&gt;COUNT(Dong11),"",IF(OFFSET(TH!N$1,SMALL(Dong11,ROWS($1:100)),)=$G$7,OFFSET(TH!O$1,SMALL(Dong11,ROWS($1:100)),),OFFSET(TH!N$1,SMALL(Dong11,ROWS($1:100)),)))</f>
        <v/>
      </c>
      <c r="F113" s="531">
        <f ca="1">IF(ROWS($1:100)&gt;COUNT(Dong11),0,OFFSET(TH!J$1,SMALL(Dong11,ROWS($1:100)),))</f>
        <v>0</v>
      </c>
      <c r="G113" s="531">
        <f ca="1">IF(ROWS($1:100)&gt;COUNT(Dong11),0,IF(MID(OFFSET(TH!D$1,SMALL(Dong11,ROWS($1:100)),),4,1)="N",OFFSET(TH!I$1,SMALL(Dong11,ROWS($1:100)),),0))</f>
        <v>0</v>
      </c>
      <c r="H113" s="532">
        <f t="shared" ca="1" si="16"/>
        <v>0</v>
      </c>
      <c r="I113" s="531">
        <f ca="1">IF(ROWS($1:100)&gt;COUNT(Dong11),0,IF(MID(OFFSET(TH!D$1,SMALL(Dong11,ROWS($1:100)),),4,1)="X",OFFSET(TH!I$1,SMALL(Dong11,ROWS($1:100)),),0))</f>
        <v>0</v>
      </c>
      <c r="J113" s="532">
        <f t="shared" ca="1" si="17"/>
        <v>0</v>
      </c>
      <c r="K113" s="532">
        <f t="shared" ca="1" si="18"/>
        <v>0</v>
      </c>
      <c r="L113" s="532">
        <f t="shared" ca="1" si="19"/>
        <v>0</v>
      </c>
      <c r="M113" s="532"/>
      <c r="N113" s="522"/>
      <c r="O113" s="497"/>
      <c r="P113" s="497"/>
    </row>
    <row r="114" spans="1:16" ht="15">
      <c r="A114" s="480" t="str">
        <f t="shared" ca="1" si="15"/>
        <v/>
      </c>
      <c r="B114" s="528" t="str">
        <f ca="1">IF(ROWS($1:101)&gt;COUNT(Dong11),"",OFFSET(TH!D$1,SMALL(Dong11,ROWS($1:101)),))</f>
        <v/>
      </c>
      <c r="C114" s="529" t="str">
        <f ca="1">IF(ROWS($1:101)&gt;COUNT(Dong11),"",OFFSET(TH!E$1,SMALL(Dong11,ROWS($1:101)),))</f>
        <v/>
      </c>
      <c r="D114" s="530" t="str">
        <f ca="1">IF(ROWS($1:101)&gt;COUNT(Dong11),"",OFFSET(TH!F$1,SMALL(Dong11,ROWS($1:101)),)&amp;" - "&amp;OFFSET(TH!H$1,SMALL(Dong11,ROWS($1:101)),))</f>
        <v/>
      </c>
      <c r="E114" s="528" t="str">
        <f ca="1">IF(ROWS($1:101)&gt;COUNT(Dong11),"",IF(OFFSET(TH!N$1,SMALL(Dong11,ROWS($1:101)),)=$G$7,OFFSET(TH!O$1,SMALL(Dong11,ROWS($1:101)),),OFFSET(TH!N$1,SMALL(Dong11,ROWS($1:101)),)))</f>
        <v/>
      </c>
      <c r="F114" s="531">
        <f ca="1">IF(ROWS($1:101)&gt;COUNT(Dong11),0,OFFSET(TH!J$1,SMALL(Dong11,ROWS($1:101)),))</f>
        <v>0</v>
      </c>
      <c r="G114" s="531">
        <f ca="1">IF(ROWS($1:101)&gt;COUNT(Dong11),0,IF(MID(OFFSET(TH!D$1,SMALL(Dong11,ROWS($1:101)),),4,1)="N",OFFSET(TH!I$1,SMALL(Dong11,ROWS($1:101)),),0))</f>
        <v>0</v>
      </c>
      <c r="H114" s="532">
        <f t="shared" ca="1" si="16"/>
        <v>0</v>
      </c>
      <c r="I114" s="531">
        <f ca="1">IF(ROWS($1:101)&gt;COUNT(Dong11),0,IF(MID(OFFSET(TH!D$1,SMALL(Dong11,ROWS($1:101)),),4,1)="X",OFFSET(TH!I$1,SMALL(Dong11,ROWS($1:101)),),0))</f>
        <v>0</v>
      </c>
      <c r="J114" s="532">
        <f t="shared" ca="1" si="17"/>
        <v>0</v>
      </c>
      <c r="K114" s="532">
        <f t="shared" ca="1" si="18"/>
        <v>0</v>
      </c>
      <c r="L114" s="532">
        <f t="shared" ca="1" si="19"/>
        <v>0</v>
      </c>
      <c r="M114" s="532"/>
      <c r="N114" s="522"/>
      <c r="O114" s="497"/>
      <c r="P114" s="497"/>
    </row>
    <row r="115" spans="1:16" ht="15">
      <c r="A115" s="480" t="str">
        <f t="shared" ca="1" si="15"/>
        <v/>
      </c>
      <c r="B115" s="528" t="str">
        <f ca="1">IF(ROWS($1:102)&gt;COUNT(Dong11),"",OFFSET(TH!D$1,SMALL(Dong11,ROWS($1:102)),))</f>
        <v/>
      </c>
      <c r="C115" s="529" t="str">
        <f ca="1">IF(ROWS($1:102)&gt;COUNT(Dong11),"",OFFSET(TH!E$1,SMALL(Dong11,ROWS($1:102)),))</f>
        <v/>
      </c>
      <c r="D115" s="530" t="str">
        <f ca="1">IF(ROWS($1:102)&gt;COUNT(Dong11),"",OFFSET(TH!F$1,SMALL(Dong11,ROWS($1:102)),)&amp;" - "&amp;OFFSET(TH!H$1,SMALL(Dong11,ROWS($1:102)),))</f>
        <v/>
      </c>
      <c r="E115" s="528" t="str">
        <f ca="1">IF(ROWS($1:102)&gt;COUNT(Dong11),"",IF(OFFSET(TH!N$1,SMALL(Dong11,ROWS($1:102)),)=$G$7,OFFSET(TH!O$1,SMALL(Dong11,ROWS($1:102)),),OFFSET(TH!N$1,SMALL(Dong11,ROWS($1:102)),)))</f>
        <v/>
      </c>
      <c r="F115" s="531">
        <f ca="1">IF(ROWS($1:102)&gt;COUNT(Dong11),0,OFFSET(TH!J$1,SMALL(Dong11,ROWS($1:102)),))</f>
        <v>0</v>
      </c>
      <c r="G115" s="531">
        <f ca="1">IF(ROWS($1:102)&gt;COUNT(Dong11),0,IF(MID(OFFSET(TH!D$1,SMALL(Dong11,ROWS($1:102)),),4,1)="N",OFFSET(TH!I$1,SMALL(Dong11,ROWS($1:102)),),0))</f>
        <v>0</v>
      </c>
      <c r="H115" s="532">
        <f t="shared" ca="1" si="16"/>
        <v>0</v>
      </c>
      <c r="I115" s="531">
        <f ca="1">IF(ROWS($1:102)&gt;COUNT(Dong11),0,IF(MID(OFFSET(TH!D$1,SMALL(Dong11,ROWS($1:102)),),4,1)="X",OFFSET(TH!I$1,SMALL(Dong11,ROWS($1:102)),),0))</f>
        <v>0</v>
      </c>
      <c r="J115" s="532">
        <f t="shared" ca="1" si="17"/>
        <v>0</v>
      </c>
      <c r="K115" s="532">
        <f t="shared" ca="1" si="18"/>
        <v>0</v>
      </c>
      <c r="L115" s="532">
        <f t="shared" ca="1" si="19"/>
        <v>0</v>
      </c>
      <c r="M115" s="532"/>
      <c r="N115" s="522"/>
      <c r="O115" s="497"/>
      <c r="P115" s="497"/>
    </row>
    <row r="116" spans="1:16" ht="15">
      <c r="A116" s="480" t="str">
        <f t="shared" ref="A116:A119" ca="1" si="20">IF(B116="","",A115+1)</f>
        <v/>
      </c>
      <c r="B116" s="528" t="str">
        <f ca="1">IF(ROWS($1:103)&gt;COUNT(Dong11),"",OFFSET(TH!D$1,SMALL(Dong11,ROWS($1:103)),))</f>
        <v/>
      </c>
      <c r="C116" s="529" t="str">
        <f ca="1">IF(ROWS($1:103)&gt;COUNT(Dong11),"",OFFSET(TH!E$1,SMALL(Dong11,ROWS($1:103)),))</f>
        <v/>
      </c>
      <c r="D116" s="530" t="str">
        <f ca="1">IF(ROWS($1:103)&gt;COUNT(Dong11),"",OFFSET(TH!F$1,SMALL(Dong11,ROWS($1:103)),)&amp;" - "&amp;OFFSET(TH!H$1,SMALL(Dong11,ROWS($1:103)),))</f>
        <v/>
      </c>
      <c r="E116" s="528" t="str">
        <f ca="1">IF(ROWS($1:103)&gt;COUNT(Dong11),"",IF(OFFSET(TH!N$1,SMALL(Dong11,ROWS($1:103)),)=$G$7,OFFSET(TH!O$1,SMALL(Dong11,ROWS($1:103)),),OFFSET(TH!N$1,SMALL(Dong11,ROWS($1:103)),)))</f>
        <v/>
      </c>
      <c r="F116" s="531">
        <f ca="1">IF(ROWS($1:103)&gt;COUNT(Dong11),0,OFFSET(TH!J$1,SMALL(Dong11,ROWS($1:103)),))</f>
        <v>0</v>
      </c>
      <c r="G116" s="531">
        <f ca="1">IF(ROWS($1:103)&gt;COUNT(Dong11),0,IF(MID(OFFSET(TH!D$1,SMALL(Dong11,ROWS($1:103)),),4,1)="N",OFFSET(TH!I$1,SMALL(Dong11,ROWS($1:103)),),0))</f>
        <v>0</v>
      </c>
      <c r="H116" s="532">
        <f t="shared" ref="H116:H119" ca="1" si="21">ROUND(F116*G116,0)</f>
        <v>0</v>
      </c>
      <c r="I116" s="531">
        <f ca="1">IF(ROWS($1:103)&gt;COUNT(Dong11),0,IF(MID(OFFSET(TH!D$1,SMALL(Dong11,ROWS($1:103)),),4,1)="X",OFFSET(TH!I$1,SMALL(Dong11,ROWS($1:103)),),0))</f>
        <v>0</v>
      </c>
      <c r="J116" s="532">
        <f t="shared" ref="J116:J119" ca="1" si="22">ROUND(F116*I116,0)</f>
        <v>0</v>
      </c>
      <c r="K116" s="532">
        <f t="shared" ref="K116:K119" ca="1" si="23">IF(D116&lt;&gt;"",K115+G116-I116,0)</f>
        <v>0</v>
      </c>
      <c r="L116" s="532">
        <f t="shared" ref="L116:L119" ca="1" si="24">IF(D116&lt;&gt;"",L115+H116-J116,0)</f>
        <v>0</v>
      </c>
      <c r="M116" s="532"/>
      <c r="N116" s="522"/>
      <c r="O116" s="497"/>
      <c r="P116" s="497"/>
    </row>
    <row r="117" spans="1:16" ht="15">
      <c r="A117" s="480" t="str">
        <f t="shared" ca="1" si="20"/>
        <v/>
      </c>
      <c r="B117" s="528" t="str">
        <f ca="1">IF(ROWS($1:104)&gt;COUNT(Dong11),"",OFFSET(TH!D$1,SMALL(Dong11,ROWS($1:104)),))</f>
        <v/>
      </c>
      <c r="C117" s="529" t="str">
        <f ca="1">IF(ROWS($1:104)&gt;COUNT(Dong11),"",OFFSET(TH!E$1,SMALL(Dong11,ROWS($1:104)),))</f>
        <v/>
      </c>
      <c r="D117" s="530" t="str">
        <f ca="1">IF(ROWS($1:104)&gt;COUNT(Dong11),"",OFFSET(TH!F$1,SMALL(Dong11,ROWS($1:104)),)&amp;" - "&amp;OFFSET(TH!H$1,SMALL(Dong11,ROWS($1:104)),))</f>
        <v/>
      </c>
      <c r="E117" s="528" t="str">
        <f ca="1">IF(ROWS($1:104)&gt;COUNT(Dong11),"",IF(OFFSET(TH!N$1,SMALL(Dong11,ROWS($1:104)),)=$G$7,OFFSET(TH!O$1,SMALL(Dong11,ROWS($1:104)),),OFFSET(TH!N$1,SMALL(Dong11,ROWS($1:104)),)))</f>
        <v/>
      </c>
      <c r="F117" s="531">
        <f ca="1">IF(ROWS($1:104)&gt;COUNT(Dong11),0,OFFSET(TH!J$1,SMALL(Dong11,ROWS($1:104)),))</f>
        <v>0</v>
      </c>
      <c r="G117" s="531">
        <f ca="1">IF(ROWS($1:104)&gt;COUNT(Dong11),0,IF(MID(OFFSET(TH!D$1,SMALL(Dong11,ROWS($1:104)),),4,1)="N",OFFSET(TH!I$1,SMALL(Dong11,ROWS($1:104)),),0))</f>
        <v>0</v>
      </c>
      <c r="H117" s="532">
        <f t="shared" ca="1" si="21"/>
        <v>0</v>
      </c>
      <c r="I117" s="531">
        <f ca="1">IF(ROWS($1:104)&gt;COUNT(Dong11),0,IF(MID(OFFSET(TH!D$1,SMALL(Dong11,ROWS($1:104)),),4,1)="X",OFFSET(TH!I$1,SMALL(Dong11,ROWS($1:104)),),0))</f>
        <v>0</v>
      </c>
      <c r="J117" s="532">
        <f t="shared" ca="1" si="22"/>
        <v>0</v>
      </c>
      <c r="K117" s="532">
        <f t="shared" ca="1" si="23"/>
        <v>0</v>
      </c>
      <c r="L117" s="532">
        <f t="shared" ca="1" si="24"/>
        <v>0</v>
      </c>
      <c r="M117" s="532"/>
      <c r="N117" s="522"/>
      <c r="O117" s="497"/>
      <c r="P117" s="497"/>
    </row>
    <row r="118" spans="1:16" ht="15">
      <c r="A118" s="480" t="str">
        <f t="shared" ca="1" si="20"/>
        <v/>
      </c>
      <c r="B118" s="528" t="str">
        <f ca="1">IF(ROWS($1:105)&gt;COUNT(Dong11),"",OFFSET(TH!D$1,SMALL(Dong11,ROWS($1:105)),))</f>
        <v/>
      </c>
      <c r="C118" s="529" t="str">
        <f ca="1">IF(ROWS($1:105)&gt;COUNT(Dong11),"",OFFSET(TH!E$1,SMALL(Dong11,ROWS($1:105)),))</f>
        <v/>
      </c>
      <c r="D118" s="530" t="str">
        <f ca="1">IF(ROWS($1:105)&gt;COUNT(Dong11),"",OFFSET(TH!F$1,SMALL(Dong11,ROWS($1:105)),)&amp;" - "&amp;OFFSET(TH!H$1,SMALL(Dong11,ROWS($1:105)),))</f>
        <v/>
      </c>
      <c r="E118" s="528" t="str">
        <f ca="1">IF(ROWS($1:105)&gt;COUNT(Dong11),"",IF(OFFSET(TH!N$1,SMALL(Dong11,ROWS($1:105)),)=$G$7,OFFSET(TH!O$1,SMALL(Dong11,ROWS($1:105)),),OFFSET(TH!N$1,SMALL(Dong11,ROWS($1:105)),)))</f>
        <v/>
      </c>
      <c r="F118" s="531">
        <f ca="1">IF(ROWS($1:105)&gt;COUNT(Dong11),0,OFFSET(TH!J$1,SMALL(Dong11,ROWS($1:105)),))</f>
        <v>0</v>
      </c>
      <c r="G118" s="531">
        <f ca="1">IF(ROWS($1:105)&gt;COUNT(Dong11),0,IF(MID(OFFSET(TH!D$1,SMALL(Dong11,ROWS($1:105)),),4,1)="N",OFFSET(TH!I$1,SMALL(Dong11,ROWS($1:105)),),0))</f>
        <v>0</v>
      </c>
      <c r="H118" s="532">
        <f t="shared" ca="1" si="21"/>
        <v>0</v>
      </c>
      <c r="I118" s="531">
        <f ca="1">IF(ROWS($1:105)&gt;COUNT(Dong11),0,IF(MID(OFFSET(TH!D$1,SMALL(Dong11,ROWS($1:105)),),4,1)="X",OFFSET(TH!I$1,SMALL(Dong11,ROWS($1:105)),),0))</f>
        <v>0</v>
      </c>
      <c r="J118" s="532">
        <f t="shared" ca="1" si="22"/>
        <v>0</v>
      </c>
      <c r="K118" s="532">
        <f t="shared" ca="1" si="23"/>
        <v>0</v>
      </c>
      <c r="L118" s="532">
        <f t="shared" ca="1" si="24"/>
        <v>0</v>
      </c>
      <c r="M118" s="532"/>
      <c r="N118" s="522"/>
      <c r="O118" s="497"/>
      <c r="P118" s="497"/>
    </row>
    <row r="119" spans="1:16" ht="15">
      <c r="A119" s="480" t="str">
        <f t="shared" ca="1" si="20"/>
        <v/>
      </c>
      <c r="B119" s="528" t="str">
        <f ca="1">IF(ROWS($1:106)&gt;COUNT(Dong11),"",OFFSET(TH!D$1,SMALL(Dong11,ROWS($1:106)),))</f>
        <v/>
      </c>
      <c r="C119" s="529" t="str">
        <f ca="1">IF(ROWS($1:106)&gt;COUNT(Dong11),"",OFFSET(TH!E$1,SMALL(Dong11,ROWS($1:106)),))</f>
        <v/>
      </c>
      <c r="D119" s="530" t="str">
        <f ca="1">IF(ROWS($1:106)&gt;COUNT(Dong11),"",OFFSET(TH!F$1,SMALL(Dong11,ROWS($1:106)),)&amp;" - "&amp;OFFSET(TH!H$1,SMALL(Dong11,ROWS($1:106)),))</f>
        <v/>
      </c>
      <c r="E119" s="528" t="str">
        <f ca="1">IF(ROWS($1:106)&gt;COUNT(Dong11),"",IF(OFFSET(TH!N$1,SMALL(Dong11,ROWS($1:106)),)=$G$7,OFFSET(TH!O$1,SMALL(Dong11,ROWS($1:106)),),OFFSET(TH!N$1,SMALL(Dong11,ROWS($1:106)),)))</f>
        <v/>
      </c>
      <c r="F119" s="531">
        <f ca="1">IF(ROWS($1:106)&gt;COUNT(Dong11),0,OFFSET(TH!J$1,SMALL(Dong11,ROWS($1:106)),))</f>
        <v>0</v>
      </c>
      <c r="G119" s="531">
        <f ca="1">IF(ROWS($1:106)&gt;COUNT(Dong11),0,IF(MID(OFFSET(TH!D$1,SMALL(Dong11,ROWS($1:106)),),4,1)="N",OFFSET(TH!I$1,SMALL(Dong11,ROWS($1:106)),),0))</f>
        <v>0</v>
      </c>
      <c r="H119" s="532">
        <f t="shared" ca="1" si="21"/>
        <v>0</v>
      </c>
      <c r="I119" s="531">
        <f ca="1">IF(ROWS($1:106)&gt;COUNT(Dong11),0,IF(MID(OFFSET(TH!D$1,SMALL(Dong11,ROWS($1:106)),),4,1)="X",OFFSET(TH!I$1,SMALL(Dong11,ROWS($1:106)),),0))</f>
        <v>0</v>
      </c>
      <c r="J119" s="532">
        <f t="shared" ca="1" si="22"/>
        <v>0</v>
      </c>
      <c r="K119" s="532">
        <f t="shared" ca="1" si="23"/>
        <v>0</v>
      </c>
      <c r="L119" s="532">
        <f t="shared" ca="1" si="24"/>
        <v>0</v>
      </c>
      <c r="M119" s="532"/>
      <c r="N119" s="522"/>
      <c r="O119" s="497"/>
      <c r="P119" s="497"/>
    </row>
    <row r="120" spans="1:16" ht="15">
      <c r="A120" s="480"/>
      <c r="B120" s="528"/>
      <c r="C120" s="529"/>
      <c r="D120" s="530"/>
      <c r="E120" s="528"/>
      <c r="F120" s="531"/>
      <c r="G120" s="531"/>
      <c r="H120" s="532"/>
      <c r="I120" s="531"/>
      <c r="J120" s="532"/>
      <c r="K120" s="532"/>
      <c r="L120" s="532"/>
      <c r="M120" s="532"/>
      <c r="N120" s="522"/>
      <c r="O120" s="497"/>
      <c r="P120" s="497"/>
    </row>
    <row r="121" spans="1:16" ht="15">
      <c r="A121" s="534"/>
      <c r="B121" s="534"/>
      <c r="C121" s="534"/>
      <c r="D121" s="534" t="s">
        <v>455</v>
      </c>
      <c r="E121" s="1205" t="s">
        <v>21</v>
      </c>
      <c r="F121" s="1205" t="s">
        <v>21</v>
      </c>
      <c r="G121" s="535">
        <f ca="1">SUM(G14:G120)</f>
        <v>0</v>
      </c>
      <c r="H121" s="535">
        <f ca="1">SUM(H14:H120)</f>
        <v>0</v>
      </c>
      <c r="I121" s="535">
        <f ca="1">SUM(I14:I120)</f>
        <v>0</v>
      </c>
      <c r="J121" s="535">
        <f ca="1">SUM(J14:J120)</f>
        <v>0</v>
      </c>
      <c r="K121" s="535" t="e">
        <f ca="1">K13+G121-I121</f>
        <v>#N/A</v>
      </c>
      <c r="L121" s="535" t="e">
        <f ca="1">L13+H121-J121</f>
        <v>#N/A</v>
      </c>
      <c r="M121" s="534"/>
      <c r="N121" s="522"/>
      <c r="O121" s="497"/>
      <c r="P121" s="497"/>
    </row>
    <row r="122" spans="1:16" ht="15">
      <c r="A122" s="497"/>
      <c r="B122" s="536" t="s">
        <v>456</v>
      </c>
      <c r="C122" s="497"/>
      <c r="D122" s="497"/>
      <c r="E122" s="510"/>
      <c r="F122" s="497"/>
      <c r="G122" s="533"/>
      <c r="H122" s="497"/>
      <c r="I122" s="497"/>
      <c r="J122" s="497"/>
      <c r="K122" s="497"/>
      <c r="L122" s="497"/>
      <c r="M122" s="497"/>
      <c r="N122" s="522"/>
      <c r="O122" s="497"/>
      <c r="P122" s="497"/>
    </row>
    <row r="123" spans="1:16" ht="15">
      <c r="A123" s="497"/>
      <c r="B123" s="537"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123" s="497"/>
      <c r="D123" s="497"/>
      <c r="E123" s="510"/>
      <c r="F123" s="497"/>
      <c r="G123" s="533"/>
      <c r="H123" s="497"/>
      <c r="I123" s="533"/>
      <c r="J123" s="497"/>
      <c r="K123" s="497"/>
      <c r="L123" s="497"/>
      <c r="M123" s="497"/>
      <c r="N123" s="522"/>
      <c r="O123" s="497"/>
      <c r="P123" s="497"/>
    </row>
    <row r="124" spans="1:16" ht="15">
      <c r="A124" s="497"/>
      <c r="B124" s="509"/>
      <c r="C124" s="509"/>
      <c r="D124" s="509"/>
      <c r="E124" s="510"/>
      <c r="F124" s="509"/>
      <c r="G124" s="538"/>
      <c r="H124" s="510"/>
      <c r="I124" s="539"/>
      <c r="J124" s="1447" t="s">
        <v>430</v>
      </c>
      <c r="K124" s="1447"/>
      <c r="L124" s="1447"/>
      <c r="M124" s="1447"/>
      <c r="N124" s="522"/>
      <c r="O124" s="497"/>
      <c r="P124" s="497"/>
    </row>
    <row r="125" spans="1:16" ht="15">
      <c r="A125" s="497"/>
      <c r="B125" s="497"/>
      <c r="C125" s="509"/>
      <c r="D125" s="860" t="s">
        <v>11</v>
      </c>
      <c r="E125" s="1447" t="s">
        <v>12</v>
      </c>
      <c r="F125" s="1447"/>
      <c r="G125" s="1447"/>
      <c r="H125" s="1447"/>
      <c r="I125" s="1447"/>
      <c r="J125" s="1447" t="s">
        <v>131</v>
      </c>
      <c r="K125" s="1447"/>
      <c r="L125" s="1447"/>
      <c r="M125" s="1447"/>
      <c r="N125" s="522"/>
      <c r="O125" s="497"/>
      <c r="P125" s="497"/>
    </row>
    <row r="126" spans="1:16" ht="15">
      <c r="A126" s="497"/>
      <c r="B126" s="497"/>
      <c r="C126" s="509"/>
      <c r="D126" s="860" t="s">
        <v>13</v>
      </c>
      <c r="E126" s="1447" t="s">
        <v>13</v>
      </c>
      <c r="F126" s="1447"/>
      <c r="G126" s="1447"/>
      <c r="H126" s="1447" t="s">
        <v>161</v>
      </c>
      <c r="I126" s="1447"/>
      <c r="J126" s="1447" t="s">
        <v>161</v>
      </c>
      <c r="K126" s="1447"/>
      <c r="L126" s="1447"/>
      <c r="M126" s="1447"/>
      <c r="N126" s="522"/>
      <c r="O126" s="497"/>
      <c r="P126" s="497"/>
    </row>
  </sheetData>
  <autoFilter ref="A12:Q126"/>
  <mergeCells count="19">
    <mergeCell ref="E126:I126"/>
    <mergeCell ref="J126:M126"/>
    <mergeCell ref="G10:H10"/>
    <mergeCell ref="I10:J10"/>
    <mergeCell ref="K10:L10"/>
    <mergeCell ref="M10:M11"/>
    <mergeCell ref="J124:M124"/>
    <mergeCell ref="E125:I125"/>
    <mergeCell ref="J125:M125"/>
    <mergeCell ref="A10:A11"/>
    <mergeCell ref="B10:C10"/>
    <mergeCell ref="D10:D11"/>
    <mergeCell ref="E10:E11"/>
    <mergeCell ref="F10:F11"/>
    <mergeCell ref="J2:M2"/>
    <mergeCell ref="J3:M4"/>
    <mergeCell ref="B5:M5"/>
    <mergeCell ref="B6:M6"/>
    <mergeCell ref="J8:L8"/>
  </mergeCells>
  <conditionalFormatting sqref="B14:G120 I14:M12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47"/>
  <sheetViews>
    <sheetView showZeros="0" workbookViewId="0">
      <pane ySplit="4" topLeftCell="A23" activePane="bottomLeft" state="frozen"/>
      <selection activeCell="P41" sqref="P41"/>
      <selection pane="bottomLeft" activeCell="J45" sqref="J45"/>
    </sheetView>
  </sheetViews>
  <sheetFormatPr defaultColWidth="8" defaultRowHeight="13.5"/>
  <cols>
    <col min="1" max="1" width="4.28515625" style="218" customWidth="1"/>
    <col min="2" max="2" width="20.42578125" style="218" customWidth="1"/>
    <col min="3" max="3" width="8.7109375" style="218" customWidth="1"/>
    <col min="4" max="4" width="8.7109375" style="218" hidden="1" customWidth="1"/>
    <col min="5" max="5" width="9.28515625" style="218" customWidth="1"/>
    <col min="6" max="6" width="12.140625" style="218" customWidth="1"/>
    <col min="7" max="7" width="10.85546875" style="923" customWidth="1"/>
    <col min="8" max="8" width="16.140625" style="218" customWidth="1"/>
    <col min="9" max="9" width="10.85546875" style="923" customWidth="1"/>
    <col min="10" max="10" width="14.5703125" style="218" customWidth="1"/>
    <col min="11" max="11" width="10.85546875" style="923" customWidth="1"/>
    <col min="12" max="12" width="16.28515625" style="218" customWidth="1"/>
    <col min="13" max="13" width="10.85546875" style="218" customWidth="1"/>
    <col min="14" max="14" width="15.28515625" style="218" customWidth="1"/>
    <col min="15" max="15" width="10.85546875" style="923" customWidth="1"/>
    <col min="16" max="16" width="16" style="218" customWidth="1"/>
    <col min="17" max="16384" width="8" style="218"/>
  </cols>
  <sheetData>
    <row r="1" spans="1:16" ht="21.75" customHeight="1">
      <c r="A1" s="1390" t="s">
        <v>802</v>
      </c>
      <c r="B1" s="1390"/>
      <c r="C1" s="1390"/>
      <c r="D1" s="1390"/>
      <c r="E1" s="1390"/>
      <c r="F1" s="1390"/>
      <c r="G1" s="1390"/>
      <c r="H1" s="1390"/>
      <c r="I1" s="1390"/>
      <c r="J1" s="1390"/>
      <c r="K1" s="1390"/>
      <c r="L1" s="1390"/>
      <c r="M1" s="1390"/>
      <c r="N1" s="1390"/>
      <c r="O1" s="1390"/>
      <c r="P1" s="1390"/>
    </row>
    <row r="2" spans="1:16" s="10" customFormat="1" ht="15.75" customHeight="1">
      <c r="A2" s="1393" t="s">
        <v>37</v>
      </c>
      <c r="B2" s="1395" t="s">
        <v>175</v>
      </c>
      <c r="C2" s="1395" t="s">
        <v>176</v>
      </c>
      <c r="D2" s="1395" t="s">
        <v>178</v>
      </c>
      <c r="E2" s="1405" t="s">
        <v>39</v>
      </c>
      <c r="F2" s="1405"/>
      <c r="G2" s="1405"/>
      <c r="H2" s="1405"/>
      <c r="I2" s="1405" t="s">
        <v>40</v>
      </c>
      <c r="J2" s="1405"/>
      <c r="K2" s="1405"/>
      <c r="L2" s="1405"/>
      <c r="M2" s="1391" t="s">
        <v>44</v>
      </c>
      <c r="N2" s="1450"/>
      <c r="O2" s="1450"/>
      <c r="P2" s="1392"/>
    </row>
    <row r="3" spans="1:16" s="10" customFormat="1" ht="15.75" customHeight="1">
      <c r="A3" s="1394"/>
      <c r="B3" s="1396"/>
      <c r="C3" s="1396"/>
      <c r="D3" s="1396"/>
      <c r="E3" s="1405" t="s">
        <v>45</v>
      </c>
      <c r="F3" s="1405"/>
      <c r="G3" s="1405" t="s">
        <v>46</v>
      </c>
      <c r="H3" s="1405"/>
      <c r="I3" s="1405" t="s">
        <v>45</v>
      </c>
      <c r="J3" s="1405"/>
      <c r="K3" s="1405" t="s">
        <v>46</v>
      </c>
      <c r="L3" s="1405"/>
      <c r="M3" s="1405" t="s">
        <v>45</v>
      </c>
      <c r="N3" s="1405"/>
      <c r="O3" s="1405" t="s">
        <v>46</v>
      </c>
      <c r="P3" s="1405"/>
    </row>
    <row r="4" spans="1:16" s="10" customFormat="1" ht="15.75" customHeight="1">
      <c r="A4" s="1394"/>
      <c r="B4" s="1396"/>
      <c r="C4" s="1396"/>
      <c r="D4" s="1396"/>
      <c r="E4" s="316" t="s">
        <v>224</v>
      </c>
      <c r="F4" s="316" t="s">
        <v>225</v>
      </c>
      <c r="G4" s="922" t="s">
        <v>224</v>
      </c>
      <c r="H4" s="316" t="s">
        <v>225</v>
      </c>
      <c r="I4" s="922" t="s">
        <v>224</v>
      </c>
      <c r="J4" s="316" t="s">
        <v>225</v>
      </c>
      <c r="K4" s="922" t="s">
        <v>224</v>
      </c>
      <c r="L4" s="316" t="s">
        <v>225</v>
      </c>
      <c r="M4" s="316" t="s">
        <v>224</v>
      </c>
      <c r="N4" s="316" t="s">
        <v>225</v>
      </c>
      <c r="O4" s="922" t="s">
        <v>224</v>
      </c>
      <c r="P4" s="316" t="s">
        <v>225</v>
      </c>
    </row>
    <row r="5" spans="1:16" s="1157" customFormat="1" ht="18" customHeight="1">
      <c r="A5" s="697">
        <v>1</v>
      </c>
      <c r="B5" s="77" t="s">
        <v>923</v>
      </c>
      <c r="C5" s="75">
        <v>42912</v>
      </c>
      <c r="D5" s="1264"/>
      <c r="E5" s="1142">
        <v>0</v>
      </c>
      <c r="F5" s="1248">
        <v>0</v>
      </c>
      <c r="G5" s="1247">
        <v>21800</v>
      </c>
      <c r="H5" s="1248">
        <v>493994500</v>
      </c>
      <c r="I5" s="1265">
        <f t="array" ref="I5">SUM(IF("341"&amp;B5=LEFT(KHN,3)&amp;KH,_TH))</f>
        <v>0</v>
      </c>
      <c r="J5" s="1248">
        <f t="array" ref="J5">SUM(IF("341"&amp;B5=LEFT(KHN,3)&amp;KH,TH))</f>
        <v>0</v>
      </c>
      <c r="K5" s="1247">
        <f t="array" ref="K5">SUM(IF("341"&amp;B5=LEFT(KHC,3)&amp;KH,_TH))</f>
        <v>0</v>
      </c>
      <c r="L5" s="1248">
        <f t="array" ref="L5">SUM(IF("341"&amp;B5=LEFT(KHC,3)&amp;KH,TH))</f>
        <v>0</v>
      </c>
      <c r="M5" s="1266">
        <f t="shared" ref="M5:N9" si="0">ROUND(MAX(E5+I5-G5-K5,0),2)</f>
        <v>0</v>
      </c>
      <c r="N5" s="1266">
        <f t="shared" si="0"/>
        <v>0</v>
      </c>
      <c r="O5" s="1267">
        <f t="shared" ref="O5:P9" si="1">ROUND(MAX(G5+K5-E5-I5,0),2)</f>
        <v>21800</v>
      </c>
      <c r="P5" s="1266">
        <f t="shared" si="1"/>
        <v>493994500</v>
      </c>
    </row>
    <row r="6" spans="1:16" s="1157" customFormat="1" ht="18" customHeight="1">
      <c r="A6" s="697">
        <v>2</v>
      </c>
      <c r="B6" s="77" t="s">
        <v>926</v>
      </c>
      <c r="C6" s="75">
        <v>42970</v>
      </c>
      <c r="D6" s="1264"/>
      <c r="E6" s="1142">
        <v>0</v>
      </c>
      <c r="F6" s="1248">
        <v>0</v>
      </c>
      <c r="G6" s="1247">
        <v>0</v>
      </c>
      <c r="H6" s="1248">
        <v>0</v>
      </c>
      <c r="I6" s="1265">
        <f t="array" ref="I6">SUM(IF("341"&amp;B6=LEFT(KHN,3)&amp;KH,_TH))</f>
        <v>0</v>
      </c>
      <c r="J6" s="1248">
        <f t="array" ref="J6">SUM(IF("341"&amp;B6=LEFT(KHN,3)&amp;KH,TH))</f>
        <v>0</v>
      </c>
      <c r="K6" s="1247">
        <f t="array" ref="K6">SUM(IF("341"&amp;B6=LEFT(KHC,3)&amp;KH,_TH))</f>
        <v>0</v>
      </c>
      <c r="L6" s="1248">
        <f t="array" ref="L6">SUM(IF("341"&amp;B6=LEFT(KHC,3)&amp;KH,TH))</f>
        <v>0</v>
      </c>
      <c r="M6" s="1266">
        <f t="shared" si="0"/>
        <v>0</v>
      </c>
      <c r="N6" s="1266">
        <f t="shared" si="0"/>
        <v>0</v>
      </c>
      <c r="O6" s="1267">
        <f t="shared" si="1"/>
        <v>0</v>
      </c>
      <c r="P6" s="1266">
        <f t="shared" si="1"/>
        <v>0</v>
      </c>
    </row>
    <row r="7" spans="1:16" s="1157" customFormat="1" ht="18" customHeight="1">
      <c r="A7" s="697">
        <v>3</v>
      </c>
      <c r="B7" s="77" t="s">
        <v>924</v>
      </c>
      <c r="C7" s="75">
        <v>42983</v>
      </c>
      <c r="D7" s="1264"/>
      <c r="E7" s="1142">
        <v>0</v>
      </c>
      <c r="F7" s="1248">
        <v>0</v>
      </c>
      <c r="G7" s="1247">
        <v>0</v>
      </c>
      <c r="H7" s="1248">
        <v>0</v>
      </c>
      <c r="I7" s="1265">
        <f t="array" ref="I7">SUM(IF("341"&amp;B7=LEFT(KHN,3)&amp;KH,_TH))</f>
        <v>0</v>
      </c>
      <c r="J7" s="1248">
        <f t="array" ref="J7">SUM(IF("341"&amp;B7=LEFT(KHN,3)&amp;KH,TH))</f>
        <v>0</v>
      </c>
      <c r="K7" s="1247">
        <f t="array" ref="K7">SUM(IF("341"&amp;B7=LEFT(KHC,3)&amp;KH,_TH))</f>
        <v>0</v>
      </c>
      <c r="L7" s="1248">
        <f t="array" ref="L7">SUM(IF("341"&amp;B7=LEFT(KHC,3)&amp;KH,TH))</f>
        <v>0</v>
      </c>
      <c r="M7" s="1266">
        <f t="shared" si="0"/>
        <v>0</v>
      </c>
      <c r="N7" s="1266">
        <f t="shared" si="0"/>
        <v>0</v>
      </c>
      <c r="O7" s="1267">
        <f t="shared" si="1"/>
        <v>0</v>
      </c>
      <c r="P7" s="1266">
        <f t="shared" si="1"/>
        <v>0</v>
      </c>
    </row>
    <row r="8" spans="1:16" s="1157" customFormat="1" ht="18" customHeight="1">
      <c r="A8" s="697">
        <v>4</v>
      </c>
      <c r="B8" s="77" t="s">
        <v>925</v>
      </c>
      <c r="C8" s="75">
        <v>42970</v>
      </c>
      <c r="D8" s="1264"/>
      <c r="E8" s="1142">
        <v>0</v>
      </c>
      <c r="F8" s="1248">
        <v>0</v>
      </c>
      <c r="G8" s="1247">
        <v>0</v>
      </c>
      <c r="H8" s="1248">
        <v>0</v>
      </c>
      <c r="I8" s="1265">
        <f t="array" ref="I8">SUM(IF("341"&amp;B8=LEFT(KHN,3)&amp;KH,_TH))</f>
        <v>0</v>
      </c>
      <c r="J8" s="1248">
        <f t="array" ref="J8">SUM(IF("341"&amp;B8=LEFT(KHN,3)&amp;KH,TH))</f>
        <v>0</v>
      </c>
      <c r="K8" s="1247">
        <f t="array" ref="K8">SUM(IF("341"&amp;B8=LEFT(KHC,3)&amp;KH,_TH))</f>
        <v>0</v>
      </c>
      <c r="L8" s="1248">
        <f t="array" ref="L8">SUM(IF("341"&amp;B8=LEFT(KHC,3)&amp;KH,TH))</f>
        <v>0</v>
      </c>
      <c r="M8" s="1266">
        <f t="shared" si="0"/>
        <v>0</v>
      </c>
      <c r="N8" s="1266">
        <f t="shared" si="0"/>
        <v>0</v>
      </c>
      <c r="O8" s="1267">
        <f t="shared" si="1"/>
        <v>0</v>
      </c>
      <c r="P8" s="1266">
        <f t="shared" si="1"/>
        <v>0</v>
      </c>
    </row>
    <row r="9" spans="1:16" s="1157" customFormat="1" ht="18" customHeight="1">
      <c r="A9" s="697">
        <v>5</v>
      </c>
      <c r="B9" s="77" t="s">
        <v>927</v>
      </c>
      <c r="C9" s="75">
        <v>43007</v>
      </c>
      <c r="D9" s="1264"/>
      <c r="E9" s="1142">
        <v>0</v>
      </c>
      <c r="F9" s="1248">
        <v>0</v>
      </c>
      <c r="G9" s="1247">
        <v>74120</v>
      </c>
      <c r="H9" s="1248">
        <v>1683586280</v>
      </c>
      <c r="I9" s="1265">
        <f t="array" ref="I9">SUM(IF("341"&amp;B9=LEFT(KHN,3)&amp;KH,_TH))</f>
        <v>0</v>
      </c>
      <c r="J9" s="1248">
        <f t="array" ref="J9">SUM(IF("341"&amp;B9=LEFT(KHN,3)&amp;KH,TH))</f>
        <v>0</v>
      </c>
      <c r="K9" s="1247">
        <f t="array" ref="K9">SUM(IF("341"&amp;B9=LEFT(KHC,3)&amp;KH,_TH))</f>
        <v>0</v>
      </c>
      <c r="L9" s="1248">
        <f t="array" ref="L9">SUM(IF("341"&amp;B9=LEFT(KHC,3)&amp;KH,TH))</f>
        <v>0</v>
      </c>
      <c r="M9" s="1266">
        <f t="shared" si="0"/>
        <v>0</v>
      </c>
      <c r="N9" s="1266">
        <f t="shared" si="0"/>
        <v>0</v>
      </c>
      <c r="O9" s="1267">
        <f t="shared" si="1"/>
        <v>74120</v>
      </c>
      <c r="P9" s="1266">
        <f t="shared" si="1"/>
        <v>1683586280</v>
      </c>
    </row>
    <row r="10" spans="1:16" s="1157" customFormat="1" ht="18" customHeight="1">
      <c r="A10" s="697">
        <v>6</v>
      </c>
      <c r="B10" s="77" t="s">
        <v>964</v>
      </c>
      <c r="C10" s="75">
        <v>43055</v>
      </c>
      <c r="D10" s="1264"/>
      <c r="E10" s="1142">
        <v>0</v>
      </c>
      <c r="F10" s="1248">
        <v>0</v>
      </c>
      <c r="G10" s="1247">
        <v>0</v>
      </c>
      <c r="H10" s="1248">
        <v>0</v>
      </c>
      <c r="I10" s="1265">
        <f t="array" ref="I10">SUM(IF("341"&amp;B10=LEFT(KHN,3)&amp;KH,_TH))</f>
        <v>0</v>
      </c>
      <c r="J10" s="1248">
        <f t="array" ref="J10">SUM(IF("341"&amp;B10=LEFT(KHN,3)&amp;KH,TH))</f>
        <v>0</v>
      </c>
      <c r="K10" s="1247">
        <f t="array" ref="K10">SUM(IF("341"&amp;B10=LEFT(KHC,3)&amp;KH,_TH))</f>
        <v>0</v>
      </c>
      <c r="L10" s="1248">
        <f t="array" ref="L10">SUM(IF("341"&amp;B10=LEFT(KHC,3)&amp;KH,TH))</f>
        <v>0</v>
      </c>
      <c r="M10" s="1266">
        <f t="shared" ref="M10:M18" si="2">ROUND(MAX(E10+I10-G10-K10,0),2)</f>
        <v>0</v>
      </c>
      <c r="N10" s="1266">
        <f t="shared" ref="N10:N18" si="3">ROUND(MAX(F10+J10-H10-L10,0),2)</f>
        <v>0</v>
      </c>
      <c r="O10" s="1267">
        <f t="shared" ref="O10:O18" si="4">ROUND(MAX(G10+K10-E10-I10,0),2)</f>
        <v>0</v>
      </c>
      <c r="P10" s="1266">
        <f t="shared" ref="P10:P18" si="5">ROUND(MAX(H10+L10-F10-J10,0),2)</f>
        <v>0</v>
      </c>
    </row>
    <row r="11" spans="1:16" s="1157" customFormat="1" ht="18" customHeight="1">
      <c r="A11" s="697">
        <v>7</v>
      </c>
      <c r="B11" s="77" t="s">
        <v>965</v>
      </c>
      <c r="C11" s="75">
        <v>43066</v>
      </c>
      <c r="D11" s="1264"/>
      <c r="E11" s="1142">
        <v>0</v>
      </c>
      <c r="F11" s="1248">
        <v>0</v>
      </c>
      <c r="G11" s="1247">
        <v>0</v>
      </c>
      <c r="H11" s="1248">
        <v>0</v>
      </c>
      <c r="I11" s="1265">
        <f t="array" ref="I11">SUM(IF("341"&amp;B11=LEFT(KHN,3)&amp;KH,_TH))</f>
        <v>0</v>
      </c>
      <c r="J11" s="1248">
        <f t="array" ref="J11">SUM(IF("341"&amp;B11=LEFT(KHN,3)&amp;KH,TH))</f>
        <v>0</v>
      </c>
      <c r="K11" s="1247">
        <f t="array" ref="K11">SUM(IF("341"&amp;B11=LEFT(KHC,3)&amp;KH,_TH))</f>
        <v>0</v>
      </c>
      <c r="L11" s="1248">
        <f t="array" ref="L11">SUM(IF("341"&amp;B11=LEFT(KHC,3)&amp;KH,TH))</f>
        <v>0</v>
      </c>
      <c r="M11" s="1266">
        <f t="shared" si="2"/>
        <v>0</v>
      </c>
      <c r="N11" s="1266">
        <f t="shared" si="3"/>
        <v>0</v>
      </c>
      <c r="O11" s="1267">
        <f t="shared" si="4"/>
        <v>0</v>
      </c>
      <c r="P11" s="1266">
        <f t="shared" si="5"/>
        <v>0</v>
      </c>
    </row>
    <row r="12" spans="1:16" s="1157" customFormat="1" ht="18" customHeight="1">
      <c r="A12" s="697">
        <v>8</v>
      </c>
      <c r="B12" s="77" t="s">
        <v>966</v>
      </c>
      <c r="C12" s="75">
        <v>43069</v>
      </c>
      <c r="D12" s="1264"/>
      <c r="E12" s="1142">
        <v>0</v>
      </c>
      <c r="F12" s="1248">
        <v>0</v>
      </c>
      <c r="G12" s="1247">
        <v>0</v>
      </c>
      <c r="H12" s="1248">
        <v>0</v>
      </c>
      <c r="I12" s="1265">
        <f t="array" ref="I12">SUM(IF("341"&amp;B12=LEFT(KHN,3)&amp;KH,_TH))</f>
        <v>0</v>
      </c>
      <c r="J12" s="1248">
        <f t="array" ref="J12">SUM(IF("341"&amp;B12=LEFT(KHN,3)&amp;KH,TH))</f>
        <v>0</v>
      </c>
      <c r="K12" s="1247">
        <f t="array" ref="K12">SUM(IF("341"&amp;B12=LEFT(KHC,3)&amp;KH,_TH))</f>
        <v>0</v>
      </c>
      <c r="L12" s="1248">
        <f t="array" ref="L12">SUM(IF("341"&amp;B12=LEFT(KHC,3)&amp;KH,TH))</f>
        <v>0</v>
      </c>
      <c r="M12" s="1266">
        <f t="shared" si="2"/>
        <v>0</v>
      </c>
      <c r="N12" s="1266">
        <f t="shared" si="3"/>
        <v>0</v>
      </c>
      <c r="O12" s="1267">
        <f t="shared" si="4"/>
        <v>0</v>
      </c>
      <c r="P12" s="1266">
        <f t="shared" si="5"/>
        <v>0</v>
      </c>
    </row>
    <row r="13" spans="1:16" s="1157" customFormat="1" ht="18" customHeight="1">
      <c r="A13" s="697">
        <v>9</v>
      </c>
      <c r="B13" s="77" t="s">
        <v>967</v>
      </c>
      <c r="C13" s="75">
        <v>43069</v>
      </c>
      <c r="D13" s="1264"/>
      <c r="E13" s="1142">
        <v>0</v>
      </c>
      <c r="F13" s="1248">
        <v>0</v>
      </c>
      <c r="G13" s="1247">
        <v>0</v>
      </c>
      <c r="H13" s="1248">
        <v>0</v>
      </c>
      <c r="I13" s="1265">
        <f t="array" ref="I13">SUM(IF("341"&amp;B13=LEFT(KHN,3)&amp;KH,_TH))</f>
        <v>0</v>
      </c>
      <c r="J13" s="1248">
        <f t="array" ref="J13">SUM(IF("341"&amp;B13=LEFT(KHN,3)&amp;KH,TH))</f>
        <v>0</v>
      </c>
      <c r="K13" s="1247">
        <f t="array" ref="K13">SUM(IF("341"&amp;B13=LEFT(KHC,3)&amp;KH,_TH))</f>
        <v>0</v>
      </c>
      <c r="L13" s="1248">
        <f t="array" ref="L13">SUM(IF("341"&amp;B13=LEFT(KHC,3)&amp;KH,TH))</f>
        <v>0</v>
      </c>
      <c r="M13" s="1266">
        <f t="shared" si="2"/>
        <v>0</v>
      </c>
      <c r="N13" s="1266">
        <f t="shared" si="3"/>
        <v>0</v>
      </c>
      <c r="O13" s="1267">
        <f t="shared" si="4"/>
        <v>0</v>
      </c>
      <c r="P13" s="1266">
        <f t="shared" si="5"/>
        <v>0</v>
      </c>
    </row>
    <row r="14" spans="1:16" s="1157" customFormat="1" ht="18" customHeight="1">
      <c r="A14" s="697">
        <v>10</v>
      </c>
      <c r="B14" s="77" t="s">
        <v>858</v>
      </c>
      <c r="C14" s="75">
        <v>43077</v>
      </c>
      <c r="D14" s="1264"/>
      <c r="E14" s="1142">
        <v>0</v>
      </c>
      <c r="F14" s="1248">
        <v>0</v>
      </c>
      <c r="G14" s="1247">
        <v>2658900</v>
      </c>
      <c r="H14" s="1248">
        <v>60380495390</v>
      </c>
      <c r="I14" s="1265">
        <f t="array" ref="I14">SUM(IF("341"&amp;B14=LEFT(KHN,3)&amp;KH,_TH))</f>
        <v>0</v>
      </c>
      <c r="J14" s="1248">
        <f t="array" ref="J14">SUM(IF("341"&amp;B14=LEFT(KHN,3)&amp;KH,TH))</f>
        <v>0</v>
      </c>
      <c r="K14" s="1247">
        <f t="array" ref="K14">SUM(IF("341"&amp;B14=LEFT(KHC,3)&amp;KH,_TH))</f>
        <v>0</v>
      </c>
      <c r="L14" s="1248">
        <f t="array" ref="L14">SUM(IF("341"&amp;B14=LEFT(KHC,3)&amp;KH,TH))</f>
        <v>0</v>
      </c>
      <c r="M14" s="1266">
        <f t="shared" ref="M14:M17" si="6">ROUND(MAX(E14+I14-G14-K14,0),2)</f>
        <v>0</v>
      </c>
      <c r="N14" s="1266">
        <f t="shared" ref="N14:N17" si="7">ROUND(MAX(F14+J14-H14-L14,0),2)</f>
        <v>0</v>
      </c>
      <c r="O14" s="1267">
        <f t="shared" ref="O14:O17" si="8">ROUND(MAX(G14+K14-E14-I14,0),2)</f>
        <v>2658900</v>
      </c>
      <c r="P14" s="1266">
        <f t="shared" ref="P14:P17" si="9">ROUND(MAX(H14+L14-F14-J14,0),2)</f>
        <v>60380495390</v>
      </c>
    </row>
    <row r="15" spans="1:16" s="1157" customFormat="1" ht="18" customHeight="1">
      <c r="A15" s="697">
        <v>11</v>
      </c>
      <c r="B15" s="77"/>
      <c r="C15" s="75">
        <v>43087</v>
      </c>
      <c r="D15" s="1264"/>
      <c r="E15" s="1142">
        <v>0</v>
      </c>
      <c r="F15" s="1248">
        <v>0</v>
      </c>
      <c r="G15" s="1247">
        <v>0</v>
      </c>
      <c r="H15" s="1248">
        <v>0</v>
      </c>
      <c r="I15" s="1265">
        <f t="array" ref="I15">SUM(IF("341"&amp;B15=LEFT(KHN,3)&amp;KH,_TH))</f>
        <v>0</v>
      </c>
      <c r="J15" s="1248">
        <f t="array" ref="J15">SUM(IF("341"&amp;B15=LEFT(KHN,3)&amp;KH,TH))</f>
        <v>0</v>
      </c>
      <c r="K15" s="1247">
        <f t="array" ref="K15">SUM(IF("341"&amp;B15=LEFT(KHC,3)&amp;KH,_TH))</f>
        <v>0</v>
      </c>
      <c r="L15" s="1248">
        <f t="array" ref="L15">SUM(IF("341"&amp;B15=LEFT(KHC,3)&amp;KH,TH))</f>
        <v>0</v>
      </c>
      <c r="M15" s="1266">
        <f t="shared" si="6"/>
        <v>0</v>
      </c>
      <c r="N15" s="1266">
        <f t="shared" si="7"/>
        <v>0</v>
      </c>
      <c r="O15" s="1267">
        <f t="shared" si="8"/>
        <v>0</v>
      </c>
      <c r="P15" s="1266">
        <f t="shared" si="9"/>
        <v>0</v>
      </c>
    </row>
    <row r="16" spans="1:16" s="1157" customFormat="1" ht="18" customHeight="1">
      <c r="A16" s="697">
        <v>12</v>
      </c>
      <c r="B16" s="77"/>
      <c r="C16" s="75">
        <v>43091</v>
      </c>
      <c r="D16" s="1264"/>
      <c r="E16" s="1142">
        <v>0</v>
      </c>
      <c r="F16" s="1248">
        <v>0</v>
      </c>
      <c r="G16" s="1247">
        <v>0</v>
      </c>
      <c r="H16" s="1248">
        <v>0</v>
      </c>
      <c r="I16" s="1265">
        <f t="array" ref="I16">SUM(IF("341"&amp;B16=LEFT(KHN,3)&amp;KH,_TH))</f>
        <v>0</v>
      </c>
      <c r="J16" s="1248">
        <f t="array" ref="J16">SUM(IF("341"&amp;B16=LEFT(KHN,3)&amp;KH,TH))</f>
        <v>0</v>
      </c>
      <c r="K16" s="1247">
        <f t="array" ref="K16">SUM(IF("341"&amp;B16=LEFT(KHC,3)&amp;KH,_TH))</f>
        <v>0</v>
      </c>
      <c r="L16" s="1248">
        <f t="array" ref="L16">SUM(IF("341"&amp;B16=LEFT(KHC,3)&amp;KH,TH))</f>
        <v>0</v>
      </c>
      <c r="M16" s="1266">
        <f t="shared" si="6"/>
        <v>0</v>
      </c>
      <c r="N16" s="1266">
        <f t="shared" si="7"/>
        <v>0</v>
      </c>
      <c r="O16" s="1267">
        <f t="shared" si="8"/>
        <v>0</v>
      </c>
      <c r="P16" s="1266">
        <f t="shared" si="9"/>
        <v>0</v>
      </c>
    </row>
    <row r="17" spans="1:16" s="1157" customFormat="1" ht="18" customHeight="1">
      <c r="A17" s="697">
        <v>13</v>
      </c>
      <c r="B17" s="77" t="s">
        <v>1005</v>
      </c>
      <c r="C17" s="75"/>
      <c r="D17" s="1264"/>
      <c r="E17" s="1142">
        <v>2000</v>
      </c>
      <c r="F17" s="1248">
        <v>45410000</v>
      </c>
      <c r="G17" s="1247">
        <v>0</v>
      </c>
      <c r="H17" s="1248">
        <v>0</v>
      </c>
      <c r="I17" s="1265">
        <f t="array" ref="I17">SUM(IF("341"&amp;B17=LEFT(KHN,3)&amp;KH,_TH))</f>
        <v>0</v>
      </c>
      <c r="J17" s="1248">
        <f t="array" ref="J17">SUM(IF("341"&amp;B17=LEFT(KHN,3)&amp;KH,TH))</f>
        <v>0</v>
      </c>
      <c r="K17" s="1247">
        <f t="array" ref="K17">SUM(IF("341"&amp;B17=LEFT(KHC,3)&amp;KH,_TH))</f>
        <v>0</v>
      </c>
      <c r="L17" s="1248">
        <f t="array" ref="L17">SUM(IF("341"&amp;B17=LEFT(KHC,3)&amp;KH,TH))</f>
        <v>0</v>
      </c>
      <c r="M17" s="1266">
        <f t="shared" si="6"/>
        <v>2000</v>
      </c>
      <c r="N17" s="1266">
        <f t="shared" si="7"/>
        <v>45410000</v>
      </c>
      <c r="O17" s="1267">
        <f t="shared" si="8"/>
        <v>0</v>
      </c>
      <c r="P17" s="1266">
        <f t="shared" si="9"/>
        <v>0</v>
      </c>
    </row>
    <row r="18" spans="1:16" s="1157" customFormat="1" ht="18" customHeight="1">
      <c r="A18" s="697">
        <v>14</v>
      </c>
      <c r="B18" s="77"/>
      <c r="C18" s="75"/>
      <c r="D18" s="1264"/>
      <c r="E18" s="1142">
        <v>0</v>
      </c>
      <c r="F18" s="1248">
        <v>0</v>
      </c>
      <c r="G18" s="1247">
        <v>0</v>
      </c>
      <c r="H18" s="1248">
        <v>0</v>
      </c>
      <c r="I18" s="1265">
        <f t="array" ref="I18">SUM(IF("341"&amp;B18=LEFT(KHN,3)&amp;KH,_TH))</f>
        <v>0</v>
      </c>
      <c r="J18" s="1248">
        <f t="array" ref="J18">SUM(IF("341"&amp;B18=LEFT(KHN,3)&amp;KH,TH))</f>
        <v>0</v>
      </c>
      <c r="K18" s="1247">
        <f t="array" ref="K18">SUM(IF("341"&amp;B18=LEFT(KHC,3)&amp;KH,_TH))</f>
        <v>0</v>
      </c>
      <c r="L18" s="1248">
        <f t="array" ref="L18">SUM(IF("341"&amp;B18=LEFT(KHC,3)&amp;KH,TH))</f>
        <v>0</v>
      </c>
      <c r="M18" s="1266">
        <f t="shared" si="2"/>
        <v>0</v>
      </c>
      <c r="N18" s="1266">
        <f t="shared" si="3"/>
        <v>0</v>
      </c>
      <c r="O18" s="1267">
        <f t="shared" si="4"/>
        <v>0</v>
      </c>
      <c r="P18" s="1266">
        <f t="shared" si="5"/>
        <v>0</v>
      </c>
    </row>
    <row r="19" spans="1:16" s="10" customFormat="1" ht="18" customHeight="1">
      <c r="A19" s="697">
        <v>15</v>
      </c>
      <c r="B19" s="69" t="s">
        <v>860</v>
      </c>
      <c r="C19" s="795">
        <v>42955</v>
      </c>
      <c r="D19" s="795"/>
      <c r="E19" s="1142">
        <v>0</v>
      </c>
      <c r="F19" s="8">
        <v>0</v>
      </c>
      <c r="G19" s="219">
        <v>63000</v>
      </c>
      <c r="H19" s="8">
        <v>1431423000</v>
      </c>
      <c r="I19" s="317">
        <f t="array" ref="I19">SUM(IF("341"&amp;B19=LEFT(KHN,3)&amp;KH,_TH))</f>
        <v>63000</v>
      </c>
      <c r="J19" s="8">
        <f t="array" ref="J19">SUM(IF("341"&amp;B19=LEFT(KHN,3)&amp;KH,TH))</f>
        <v>1431423000</v>
      </c>
      <c r="K19" s="219">
        <f t="array" ref="K19">SUM(IF("341"&amp;B19=LEFT(KHC,3)&amp;KH,_TH))</f>
        <v>0</v>
      </c>
      <c r="L19" s="8">
        <f t="array" ref="L19">SUM(IF("341"&amp;B19=LEFT(KHC,3)&amp;KH,TH))</f>
        <v>0</v>
      </c>
      <c r="M19" s="221">
        <f t="shared" ref="M19:M20" si="10">ROUND(MAX(E19+I19-G19-K19,0),2)</f>
        <v>0</v>
      </c>
      <c r="N19" s="221">
        <f t="shared" ref="N19:N20" si="11">ROUND(MAX(F19+J19-H19-L19,0),2)</f>
        <v>0</v>
      </c>
      <c r="O19" s="220">
        <f t="shared" ref="O19:O20" si="12">ROUND(MAX(G19+K19-E19-I19,0),2)</f>
        <v>0</v>
      </c>
      <c r="P19" s="221">
        <f t="shared" ref="P19:P20" si="13">ROUND(MAX(H19+L19-F19-J19,0),2)</f>
        <v>0</v>
      </c>
    </row>
    <row r="20" spans="1:16" s="10" customFormat="1" ht="18" customHeight="1">
      <c r="A20" s="697">
        <v>16</v>
      </c>
      <c r="B20" s="69" t="s">
        <v>886</v>
      </c>
      <c r="C20" s="795">
        <v>42962</v>
      </c>
      <c r="D20" s="795"/>
      <c r="E20" s="1142">
        <v>0</v>
      </c>
      <c r="F20" s="8">
        <v>0</v>
      </c>
      <c r="G20" s="219">
        <v>83500</v>
      </c>
      <c r="H20" s="8">
        <v>1896953000</v>
      </c>
      <c r="I20" s="317">
        <f t="array" ref="I20">SUM(IF("341"&amp;B20=LEFT(KHN,3)&amp;KH,_TH))</f>
        <v>83500</v>
      </c>
      <c r="J20" s="8">
        <f t="array" ref="J20">SUM(IF("341"&amp;B20=LEFT(KHN,3)&amp;KH,TH))</f>
        <v>1896953000</v>
      </c>
      <c r="K20" s="219">
        <f t="array" ref="K20">SUM(IF("341"&amp;B20=LEFT(KHC,3)&amp;KH,_TH))</f>
        <v>0</v>
      </c>
      <c r="L20" s="8">
        <f t="array" ref="L20">SUM(IF("341"&amp;B20=LEFT(KHC,3)&amp;KH,TH))</f>
        <v>0</v>
      </c>
      <c r="M20" s="221">
        <f t="shared" si="10"/>
        <v>0</v>
      </c>
      <c r="N20" s="221">
        <f t="shared" si="11"/>
        <v>0</v>
      </c>
      <c r="O20" s="220">
        <f t="shared" si="12"/>
        <v>0</v>
      </c>
      <c r="P20" s="221">
        <f t="shared" si="13"/>
        <v>0</v>
      </c>
    </row>
    <row r="21" spans="1:16" s="10" customFormat="1" ht="18" customHeight="1">
      <c r="A21" s="697">
        <v>17</v>
      </c>
      <c r="B21" s="69" t="s">
        <v>895</v>
      </c>
      <c r="C21" s="795">
        <v>42986</v>
      </c>
      <c r="D21" s="795"/>
      <c r="E21" s="1142">
        <v>0</v>
      </c>
      <c r="F21" s="8">
        <v>0</v>
      </c>
      <c r="G21" s="219">
        <v>87500</v>
      </c>
      <c r="H21" s="8">
        <v>1988000000</v>
      </c>
      <c r="I21" s="317">
        <f t="array" ref="I21">SUM(IF("341"&amp;B21=LEFT(KHN,3)&amp;KH,_TH))</f>
        <v>0</v>
      </c>
      <c r="J21" s="8">
        <f t="array" ref="J21">SUM(IF("341"&amp;B21=LEFT(KHN,3)&amp;KH,TH))</f>
        <v>0</v>
      </c>
      <c r="K21" s="219">
        <f t="array" ref="K21">SUM(IF("341"&amp;B21=LEFT(KHC,3)&amp;KH,_TH))</f>
        <v>0</v>
      </c>
      <c r="L21" s="8">
        <f t="array" ref="L21">SUM(IF("341"&amp;B21=LEFT(KHC,3)&amp;KH,TH))</f>
        <v>0</v>
      </c>
      <c r="M21" s="221">
        <f t="shared" ref="M21:M22" si="14">ROUND(MAX(E21+I21-G21-K21,0),2)</f>
        <v>0</v>
      </c>
      <c r="N21" s="221">
        <f t="shared" ref="N21:N22" si="15">ROUND(MAX(F21+J21-H21-L21,0),2)</f>
        <v>0</v>
      </c>
      <c r="O21" s="220">
        <f t="shared" ref="O21:O22" si="16">ROUND(MAX(G21+K21-E21-I21,0),2)</f>
        <v>87500</v>
      </c>
      <c r="P21" s="221">
        <f t="shared" ref="P21:P22" si="17">ROUND(MAX(H21+L21-F21-J21,0),2)</f>
        <v>1988000000</v>
      </c>
    </row>
    <row r="22" spans="1:16" s="1157" customFormat="1" ht="18" customHeight="1">
      <c r="A22" s="697">
        <v>18</v>
      </c>
      <c r="B22" s="69" t="s">
        <v>896</v>
      </c>
      <c r="C22" s="795">
        <v>42999</v>
      </c>
      <c r="D22" s="795"/>
      <c r="E22" s="1142">
        <v>0</v>
      </c>
      <c r="F22" s="8">
        <v>0</v>
      </c>
      <c r="G22" s="219">
        <v>95900</v>
      </c>
      <c r="H22" s="8">
        <v>2178848000</v>
      </c>
      <c r="I22" s="1156">
        <f t="array" ref="I22">SUM(IF("341"&amp;B22=LEFT(KHN,3)&amp;KH,_TH))</f>
        <v>0</v>
      </c>
      <c r="J22" s="394">
        <f t="array" ref="J22">SUM(IF("341"&amp;B22=LEFT(KHN,3)&amp;KH,TH))</f>
        <v>0</v>
      </c>
      <c r="K22" s="387">
        <f t="array" ref="K22">SUM(IF("341"&amp;B22=LEFT(KHC,3)&amp;KH,_TH))</f>
        <v>0</v>
      </c>
      <c r="L22" s="394">
        <f t="array" ref="L22">SUM(IF("341"&amp;B22=LEFT(KHC,3)&amp;KH,TH))</f>
        <v>0</v>
      </c>
      <c r="M22" s="1215">
        <f t="shared" si="14"/>
        <v>0</v>
      </c>
      <c r="N22" s="1215">
        <f t="shared" si="15"/>
        <v>0</v>
      </c>
      <c r="O22" s="1194">
        <f t="shared" si="16"/>
        <v>95900</v>
      </c>
      <c r="P22" s="1215">
        <f t="shared" si="17"/>
        <v>2178848000</v>
      </c>
    </row>
    <row r="23" spans="1:16" s="1157" customFormat="1" ht="18" customHeight="1">
      <c r="A23" s="697">
        <v>19</v>
      </c>
      <c r="B23" s="69" t="s">
        <v>897</v>
      </c>
      <c r="C23" s="795">
        <v>43004</v>
      </c>
      <c r="D23" s="795"/>
      <c r="E23" s="1142">
        <v>0</v>
      </c>
      <c r="F23" s="8">
        <v>0</v>
      </c>
      <c r="G23" s="219">
        <v>89000</v>
      </c>
      <c r="H23" s="8">
        <v>2022525000</v>
      </c>
      <c r="I23" s="1156">
        <f t="array" ref="I23">SUM(IF("341"&amp;B23=LEFT(KHN,3)&amp;KH,_TH))</f>
        <v>0</v>
      </c>
      <c r="J23" s="394">
        <f t="array" ref="J23">SUM(IF("341"&amp;B23=LEFT(KHN,3)&amp;KH,TH))</f>
        <v>0</v>
      </c>
      <c r="K23" s="387">
        <f t="array" ref="K23">SUM(IF("341"&amp;B23=LEFT(KHC,3)&amp;KH,_TH))</f>
        <v>0</v>
      </c>
      <c r="L23" s="394">
        <f t="array" ref="L23">SUM(IF("341"&amp;B23=LEFT(KHC,3)&amp;KH,TH))</f>
        <v>0</v>
      </c>
      <c r="M23" s="1215">
        <f t="shared" ref="M23" si="18">ROUND(MAX(E23+I23-G23-K23,0),2)</f>
        <v>0</v>
      </c>
      <c r="N23" s="1215">
        <f t="shared" ref="N23" si="19">ROUND(MAX(F23+J23-H23-L23,0),2)</f>
        <v>0</v>
      </c>
      <c r="O23" s="1194">
        <f t="shared" ref="O23" si="20">ROUND(MAX(G23+K23-E23-I23,0),2)</f>
        <v>89000</v>
      </c>
      <c r="P23" s="1215">
        <f t="shared" ref="P23" si="21">ROUND(MAX(H23+L23-F23-J23,0),2)</f>
        <v>2022525000</v>
      </c>
    </row>
    <row r="24" spans="1:16" s="1157" customFormat="1" ht="18" customHeight="1">
      <c r="A24" s="697">
        <v>20</v>
      </c>
      <c r="B24" s="303" t="s">
        <v>945</v>
      </c>
      <c r="C24" s="795">
        <v>43031</v>
      </c>
      <c r="D24" s="795"/>
      <c r="E24" s="1142">
        <v>0</v>
      </c>
      <c r="F24" s="8">
        <v>0</v>
      </c>
      <c r="G24" s="219">
        <v>182900</v>
      </c>
      <c r="H24" s="8">
        <v>4154207700</v>
      </c>
      <c r="I24" s="1156">
        <f t="array" ref="I24">SUM(IF("341"&amp;B24=LEFT(KHN,3)&amp;KH,_TH))</f>
        <v>0</v>
      </c>
      <c r="J24" s="394">
        <f t="array" ref="J24">SUM(IF("341"&amp;B24=LEFT(KHN,3)&amp;KH,TH))</f>
        <v>0</v>
      </c>
      <c r="K24" s="387">
        <f t="array" ref="K24">SUM(IF("341"&amp;B24=LEFT(KHC,3)&amp;KH,_TH))</f>
        <v>0</v>
      </c>
      <c r="L24" s="394">
        <f t="array" ref="L24">SUM(IF("341"&amp;B24=LEFT(KHC,3)&amp;KH,TH))</f>
        <v>0</v>
      </c>
      <c r="M24" s="1215">
        <f t="shared" ref="M24:M26" si="22">ROUND(MAX(E24+I24-G24-K24,0),2)</f>
        <v>0</v>
      </c>
      <c r="N24" s="1215">
        <f t="shared" ref="N24:N26" si="23">ROUND(MAX(F24+J24-H24-L24,0),2)</f>
        <v>0</v>
      </c>
      <c r="O24" s="1194">
        <f t="shared" ref="O24:O26" si="24">ROUND(MAX(G24+K24-E24-I24,0),2)</f>
        <v>182900</v>
      </c>
      <c r="P24" s="1215">
        <f t="shared" ref="P24:P26" si="25">ROUND(MAX(H24+L24-F24-J24,0),2)</f>
        <v>4154207700</v>
      </c>
    </row>
    <row r="25" spans="1:16" s="1157" customFormat="1" ht="18" customHeight="1">
      <c r="A25" s="697">
        <v>21</v>
      </c>
      <c r="B25" s="303" t="s">
        <v>946</v>
      </c>
      <c r="C25" s="795">
        <v>43038</v>
      </c>
      <c r="D25" s="795"/>
      <c r="E25" s="1142">
        <v>0</v>
      </c>
      <c r="F25" s="8">
        <v>0</v>
      </c>
      <c r="G25" s="219">
        <v>189000</v>
      </c>
      <c r="H25" s="8">
        <v>4291812000</v>
      </c>
      <c r="I25" s="1156">
        <f t="array" ref="I25">SUM(IF("341"&amp;B25=LEFT(KHN,3)&amp;KH,_TH))</f>
        <v>0</v>
      </c>
      <c r="J25" s="394">
        <f t="array" ref="J25">SUM(IF("341"&amp;B25=LEFT(KHN,3)&amp;KH,TH))</f>
        <v>0</v>
      </c>
      <c r="K25" s="387">
        <f t="array" ref="K25">SUM(IF("341"&amp;B25=LEFT(KHC,3)&amp;KH,_TH))</f>
        <v>0</v>
      </c>
      <c r="L25" s="394">
        <f t="array" ref="L25">SUM(IF("341"&amp;B25=LEFT(KHC,3)&amp;KH,TH))</f>
        <v>0</v>
      </c>
      <c r="M25" s="1215">
        <f t="shared" si="22"/>
        <v>0</v>
      </c>
      <c r="N25" s="1215">
        <f t="shared" si="23"/>
        <v>0</v>
      </c>
      <c r="O25" s="1194">
        <f t="shared" si="24"/>
        <v>189000</v>
      </c>
      <c r="P25" s="1215">
        <f t="shared" si="25"/>
        <v>4291812000</v>
      </c>
    </row>
    <row r="26" spans="1:16" s="1157" customFormat="1" ht="18" customHeight="1">
      <c r="A26" s="697">
        <v>22</v>
      </c>
      <c r="B26" s="303" t="s">
        <v>948</v>
      </c>
      <c r="C26" s="795">
        <v>43045</v>
      </c>
      <c r="D26" s="795"/>
      <c r="E26" s="1142">
        <v>0</v>
      </c>
      <c r="F26" s="8">
        <v>0</v>
      </c>
      <c r="G26" s="219">
        <v>82000</v>
      </c>
      <c r="H26" s="8">
        <v>1861400000</v>
      </c>
      <c r="I26" s="1156">
        <f t="array" ref="I26">SUM(IF("341"&amp;B26=LEFT(KHN,3)&amp;KH,_TH))</f>
        <v>0</v>
      </c>
      <c r="J26" s="394">
        <f t="array" ref="J26">SUM(IF("341"&amp;B26=LEFT(KHN,3)&amp;KH,TH))</f>
        <v>0</v>
      </c>
      <c r="K26" s="387">
        <f t="array" ref="K26">SUM(IF("341"&amp;B26=LEFT(KHC,3)&amp;KH,_TH))</f>
        <v>0</v>
      </c>
      <c r="L26" s="394">
        <f t="array" ref="L26">SUM(IF("341"&amp;B26=LEFT(KHC,3)&amp;KH,TH))</f>
        <v>0</v>
      </c>
      <c r="M26" s="1215">
        <f t="shared" si="22"/>
        <v>0</v>
      </c>
      <c r="N26" s="1215">
        <f t="shared" si="23"/>
        <v>0</v>
      </c>
      <c r="O26" s="1194">
        <f t="shared" si="24"/>
        <v>82000</v>
      </c>
      <c r="P26" s="1215">
        <f t="shared" si="25"/>
        <v>1861400000</v>
      </c>
    </row>
    <row r="27" spans="1:16" s="1157" customFormat="1" ht="18" customHeight="1">
      <c r="A27" s="697">
        <v>23</v>
      </c>
      <c r="B27" s="69" t="s">
        <v>949</v>
      </c>
      <c r="C27" s="795">
        <v>43053</v>
      </c>
      <c r="D27" s="795"/>
      <c r="E27" s="1142">
        <v>0</v>
      </c>
      <c r="F27" s="8">
        <v>0</v>
      </c>
      <c r="G27" s="219">
        <v>89000</v>
      </c>
      <c r="H27" s="8">
        <v>2020300000</v>
      </c>
      <c r="I27" s="1156">
        <f t="array" ref="I27">SUM(IF("341"&amp;B27=LEFT(KHN,3)&amp;KH,_TH))</f>
        <v>0</v>
      </c>
      <c r="J27" s="394">
        <f t="array" ref="J27">SUM(IF("341"&amp;B27=LEFT(KHN,3)&amp;KH,TH))</f>
        <v>0</v>
      </c>
      <c r="K27" s="387">
        <f t="array" ref="K27">SUM(IF("341"&amp;B27=LEFT(KHC,3)&amp;KH,_TH))</f>
        <v>0</v>
      </c>
      <c r="L27" s="394">
        <f t="array" ref="L27">SUM(IF("341"&amp;B27=LEFT(KHC,3)&amp;KH,TH))</f>
        <v>0</v>
      </c>
      <c r="M27" s="1215">
        <f t="shared" ref="M27" si="26">ROUND(MAX(E27+I27-G27-K27,0),2)</f>
        <v>0</v>
      </c>
      <c r="N27" s="1215">
        <f t="shared" ref="N27" si="27">ROUND(MAX(F27+J27-H27-L27,0),2)</f>
        <v>0</v>
      </c>
      <c r="O27" s="1194">
        <f t="shared" ref="O27" si="28">ROUND(MAX(G27+K27-E27-I27,0),2)</f>
        <v>89000</v>
      </c>
      <c r="P27" s="1215">
        <f t="shared" ref="P27" si="29">ROUND(MAX(H27+L27-F27-J27,0),2)</f>
        <v>2020300000</v>
      </c>
    </row>
    <row r="28" spans="1:16" s="1157" customFormat="1" ht="18" customHeight="1">
      <c r="A28" s="697">
        <v>24</v>
      </c>
      <c r="B28" s="303" t="s">
        <v>951</v>
      </c>
      <c r="C28" s="795">
        <v>43067</v>
      </c>
      <c r="D28" s="795"/>
      <c r="E28" s="1142">
        <v>0</v>
      </c>
      <c r="F28" s="8">
        <v>0</v>
      </c>
      <c r="G28" s="219">
        <v>70000</v>
      </c>
      <c r="H28" s="8">
        <v>1589490000</v>
      </c>
      <c r="I28" s="1156">
        <f t="array" ref="I28">SUM(IF("341"&amp;B28=LEFT(KHN,3)&amp;KH,_TH))</f>
        <v>0</v>
      </c>
      <c r="J28" s="394">
        <f t="array" ref="J28">SUM(IF("341"&amp;B28=LEFT(KHN,3)&amp;KH,TH))</f>
        <v>0</v>
      </c>
      <c r="K28" s="387">
        <f t="array" ref="K28">SUM(IF("341"&amp;B28=LEFT(KHC,3)&amp;KH,_TH))</f>
        <v>0</v>
      </c>
      <c r="L28" s="394">
        <f t="array" ref="L28">SUM(IF("341"&amp;B28=LEFT(KHC,3)&amp;KH,TH))</f>
        <v>0</v>
      </c>
      <c r="M28" s="1215">
        <f t="shared" ref="M28:M29" si="30">ROUND(MAX(E28+I28-G28-K28,0),2)</f>
        <v>0</v>
      </c>
      <c r="N28" s="1215">
        <f t="shared" ref="N28:N29" si="31">ROUND(MAX(F28+J28-H28-L28,0),2)</f>
        <v>0</v>
      </c>
      <c r="O28" s="1194">
        <f t="shared" ref="O28:O29" si="32">ROUND(MAX(G28+K28-E28-I28,0),2)</f>
        <v>70000</v>
      </c>
      <c r="P28" s="1215">
        <f t="shared" ref="P28:P29" si="33">ROUND(MAX(H28+L28-F28-J28,0),2)</f>
        <v>1589490000</v>
      </c>
    </row>
    <row r="29" spans="1:16" s="1157" customFormat="1" ht="18" customHeight="1">
      <c r="A29" s="697">
        <v>25</v>
      </c>
      <c r="B29" s="69" t="s">
        <v>953</v>
      </c>
      <c r="C29" s="795">
        <v>43073</v>
      </c>
      <c r="D29" s="795"/>
      <c r="E29" s="1142">
        <v>0</v>
      </c>
      <c r="F29" s="8">
        <v>0</v>
      </c>
      <c r="G29" s="219">
        <v>67000</v>
      </c>
      <c r="H29" s="8">
        <v>1521235000</v>
      </c>
      <c r="I29" s="1156">
        <f t="array" ref="I29">SUM(IF("341"&amp;B29=LEFT(KHN,3)&amp;KH,_TH))</f>
        <v>0</v>
      </c>
      <c r="J29" s="394">
        <f t="array" ref="J29">SUM(IF("341"&amp;B29=LEFT(KHN,3)&amp;KH,TH))</f>
        <v>0</v>
      </c>
      <c r="K29" s="387">
        <f t="array" ref="K29">SUM(IF("341"&amp;B29=LEFT(KHC,3)&amp;KH,_TH))</f>
        <v>0</v>
      </c>
      <c r="L29" s="394">
        <f t="array" ref="L29">SUM(IF("341"&amp;B29=LEFT(KHC,3)&amp;KH,TH))</f>
        <v>0</v>
      </c>
      <c r="M29" s="1215">
        <f t="shared" si="30"/>
        <v>0</v>
      </c>
      <c r="N29" s="1215">
        <f t="shared" si="31"/>
        <v>0</v>
      </c>
      <c r="O29" s="1194">
        <f t="shared" si="32"/>
        <v>67000</v>
      </c>
      <c r="P29" s="1215">
        <f t="shared" si="33"/>
        <v>1521235000</v>
      </c>
    </row>
    <row r="30" spans="1:16" s="1157" customFormat="1" ht="18" customHeight="1">
      <c r="A30" s="697">
        <v>26</v>
      </c>
      <c r="B30" s="69" t="s">
        <v>958</v>
      </c>
      <c r="C30" s="795">
        <v>43082</v>
      </c>
      <c r="D30" s="795"/>
      <c r="E30" s="1142">
        <v>0</v>
      </c>
      <c r="F30" s="8">
        <v>0</v>
      </c>
      <c r="G30" s="219">
        <v>84000</v>
      </c>
      <c r="H30" s="8">
        <v>1907220000</v>
      </c>
      <c r="I30" s="1156">
        <f t="array" ref="I30">SUM(IF("341"&amp;B30=LEFT(KHN,3)&amp;KH,_TH))</f>
        <v>0</v>
      </c>
      <c r="J30" s="394">
        <f t="array" ref="J30">SUM(IF("341"&amp;B30=LEFT(KHN,3)&amp;KH,TH))</f>
        <v>0</v>
      </c>
      <c r="K30" s="387">
        <f t="array" ref="K30">SUM(IF("341"&amp;B30=LEFT(KHC,3)&amp;KH,_TH))</f>
        <v>0</v>
      </c>
      <c r="L30" s="394">
        <f t="array" ref="L30">SUM(IF("341"&amp;B30=LEFT(KHC,3)&amp;KH,TH))</f>
        <v>0</v>
      </c>
      <c r="M30" s="1215">
        <f t="shared" ref="M30" si="34">ROUND(MAX(E30+I30-G30-K30,0),2)</f>
        <v>0</v>
      </c>
      <c r="N30" s="1215">
        <f t="shared" ref="N30" si="35">ROUND(MAX(F30+J30-H30-L30,0),2)</f>
        <v>0</v>
      </c>
      <c r="O30" s="1194">
        <f t="shared" ref="O30" si="36">ROUND(MAX(G30+K30-E30-I30,0),2)</f>
        <v>84000</v>
      </c>
      <c r="P30" s="1215">
        <f t="shared" ref="P30" si="37">ROUND(MAX(H30+L30-F30-J30,0),2)</f>
        <v>1907220000</v>
      </c>
    </row>
    <row r="31" spans="1:16" s="1157" customFormat="1" ht="18" customHeight="1">
      <c r="A31" s="697">
        <v>27</v>
      </c>
      <c r="B31" s="69" t="s">
        <v>963</v>
      </c>
      <c r="C31" s="795">
        <v>43091</v>
      </c>
      <c r="D31" s="795"/>
      <c r="E31" s="1142">
        <v>0</v>
      </c>
      <c r="F31" s="8">
        <v>0</v>
      </c>
      <c r="G31" s="219">
        <v>24890</v>
      </c>
      <c r="H31" s="8">
        <v>565052780</v>
      </c>
      <c r="I31" s="1156">
        <f t="array" ref="I31">SUM(IF("341"&amp;B31=LEFT(KHN,3)&amp;KH,_TH))</f>
        <v>24890</v>
      </c>
      <c r="J31" s="394">
        <f t="array" ref="J31">SUM(IF("341"&amp;B31=LEFT(KHN,3)&amp;KH,TH))</f>
        <v>565052780</v>
      </c>
      <c r="K31" s="387">
        <f t="array" ref="K31">SUM(IF("341"&amp;B31=LEFT(KHC,3)&amp;KH,_TH))</f>
        <v>0</v>
      </c>
      <c r="L31" s="394">
        <f t="array" ref="L31">SUM(IF("341"&amp;B31=LEFT(KHC,3)&amp;KH,TH))</f>
        <v>0</v>
      </c>
      <c r="M31" s="1215">
        <f t="shared" ref="M31:M32" si="38">ROUND(MAX(E31+I31-G31-K31,0),2)</f>
        <v>0</v>
      </c>
      <c r="N31" s="1215">
        <f t="shared" ref="N31:N32" si="39">ROUND(MAX(F31+J31-H31-L31,0),2)</f>
        <v>0</v>
      </c>
      <c r="O31" s="1194">
        <f t="shared" ref="O31:O32" si="40">ROUND(MAX(G31+K31-E31-I31,0),2)</f>
        <v>0</v>
      </c>
      <c r="P31" s="1215">
        <f t="shared" ref="P31:P32" si="41">ROUND(MAX(H31+L31-F31-J31,0),2)</f>
        <v>0</v>
      </c>
    </row>
    <row r="32" spans="1:16" s="1157" customFormat="1" ht="18" customHeight="1">
      <c r="A32" s="697">
        <v>28</v>
      </c>
      <c r="B32" s="69" t="s">
        <v>962</v>
      </c>
      <c r="C32" s="795">
        <v>43091</v>
      </c>
      <c r="D32" s="795"/>
      <c r="E32" s="1142">
        <v>0</v>
      </c>
      <c r="F32" s="8">
        <v>0</v>
      </c>
      <c r="G32" s="219">
        <v>92500</v>
      </c>
      <c r="H32" s="8">
        <v>2099935000</v>
      </c>
      <c r="I32" s="1156">
        <f t="array" ref="I32">SUM(IF("341"&amp;B32=LEFT(KHN,3)&amp;KH,_TH))</f>
        <v>0</v>
      </c>
      <c r="J32" s="394">
        <f t="array" ref="J32">SUM(IF("341"&amp;B32=LEFT(KHN,3)&amp;KH,TH))</f>
        <v>0</v>
      </c>
      <c r="K32" s="387">
        <f t="array" ref="K32">SUM(IF("341"&amp;B32=LEFT(KHC,3)&amp;KH,_TH))</f>
        <v>0</v>
      </c>
      <c r="L32" s="394">
        <f t="array" ref="L32">SUM(IF("341"&amp;B32=LEFT(KHC,3)&amp;KH,TH))</f>
        <v>0</v>
      </c>
      <c r="M32" s="1215">
        <f t="shared" si="38"/>
        <v>0</v>
      </c>
      <c r="N32" s="1215">
        <f t="shared" si="39"/>
        <v>0</v>
      </c>
      <c r="O32" s="1194">
        <f t="shared" si="40"/>
        <v>92500</v>
      </c>
      <c r="P32" s="1215">
        <f t="shared" si="41"/>
        <v>2099935000</v>
      </c>
    </row>
    <row r="33" spans="1:16" s="1157" customFormat="1" ht="18" customHeight="1">
      <c r="A33" s="697">
        <v>29</v>
      </c>
      <c r="B33" s="69" t="s">
        <v>968</v>
      </c>
      <c r="C33" s="795">
        <v>43097</v>
      </c>
      <c r="D33" s="795"/>
      <c r="E33" s="1142">
        <v>0</v>
      </c>
      <c r="F33" s="8">
        <v>0</v>
      </c>
      <c r="G33" s="219">
        <v>26200</v>
      </c>
      <c r="H33" s="8">
        <v>594740000</v>
      </c>
      <c r="I33" s="1156">
        <f t="array" ref="I33">SUM(IF("341"&amp;B33=LEFT(KHN,3)&amp;KH,_TH))</f>
        <v>26200</v>
      </c>
      <c r="J33" s="394">
        <f t="array" ref="J33">SUM(IF("341"&amp;B33=LEFT(KHN,3)&amp;KH,TH))</f>
        <v>594740000</v>
      </c>
      <c r="K33" s="387">
        <f t="array" ref="K33">SUM(IF("341"&amp;B33=LEFT(KHC,3)&amp;KH,_TH))</f>
        <v>0</v>
      </c>
      <c r="L33" s="394">
        <f t="array" ref="L33">SUM(IF("341"&amp;B33=LEFT(KHC,3)&amp;KH,TH))</f>
        <v>0</v>
      </c>
      <c r="M33" s="1215">
        <f>ROUND(MAX(E33+I33-G33-K33,0),2)</f>
        <v>0</v>
      </c>
      <c r="N33" s="1215">
        <f>ROUND(MAX(F33+J33-H33-L33,0),2)</f>
        <v>0</v>
      </c>
      <c r="O33" s="1194">
        <f>ROUND(MAX(G33+K33-E33-I33,0),2)</f>
        <v>0</v>
      </c>
      <c r="P33" s="1215">
        <f>ROUND(MAX(H33+L33-F33-J33,0),2)</f>
        <v>0</v>
      </c>
    </row>
    <row r="34" spans="1:16" s="1157" customFormat="1" ht="18" customHeight="1">
      <c r="A34" s="697">
        <v>30</v>
      </c>
      <c r="B34" s="69" t="s">
        <v>969</v>
      </c>
      <c r="C34" s="795">
        <v>43098</v>
      </c>
      <c r="D34" s="795"/>
      <c r="E34" s="1142">
        <v>0</v>
      </c>
      <c r="F34" s="8">
        <v>0</v>
      </c>
      <c r="G34" s="219">
        <v>93480</v>
      </c>
      <c r="H34" s="8">
        <v>2121996000</v>
      </c>
      <c r="I34" s="1156">
        <f t="array" ref="I34">SUM(IF("341"&amp;B34=LEFT(KHN,3)&amp;KH,_TH))</f>
        <v>93480</v>
      </c>
      <c r="J34" s="394">
        <f t="array" ref="J34">SUM(IF("341"&amp;B34=LEFT(KHN,3)&amp;KH,TH))</f>
        <v>2121996000</v>
      </c>
      <c r="K34" s="387">
        <f t="array" ref="K34">SUM(IF("341"&amp;B34=LEFT(KHC,3)&amp;KH,_TH))</f>
        <v>0</v>
      </c>
      <c r="L34" s="394">
        <f t="array" ref="L34">SUM(IF("341"&amp;B34=LEFT(KHC,3)&amp;KH,TH))</f>
        <v>0</v>
      </c>
      <c r="M34" s="1215">
        <f t="shared" ref="M34" si="42">ROUND(MAX(E34+I34-G34-K34,0),2)</f>
        <v>0</v>
      </c>
      <c r="N34" s="1215">
        <f t="shared" ref="N34" si="43">ROUND(MAX(F34+J34-H34-L34,0),2)</f>
        <v>0</v>
      </c>
      <c r="O34" s="1194">
        <f t="shared" ref="O34" si="44">ROUND(MAX(G34+K34-E34-I34,0),2)</f>
        <v>0</v>
      </c>
      <c r="P34" s="1215">
        <f t="shared" ref="P34" si="45">ROUND(MAX(H34+L34-F34-J34,0),2)</f>
        <v>0</v>
      </c>
    </row>
    <row r="35" spans="1:16" s="1157" customFormat="1" ht="18" customHeight="1">
      <c r="A35" s="697">
        <v>31</v>
      </c>
      <c r="B35" s="321" t="s">
        <v>1010</v>
      </c>
      <c r="C35" s="795">
        <v>43104</v>
      </c>
      <c r="D35" s="795"/>
      <c r="E35" s="1142">
        <v>0</v>
      </c>
      <c r="F35" s="8">
        <v>0</v>
      </c>
      <c r="G35" s="219">
        <v>0</v>
      </c>
      <c r="H35" s="8">
        <v>0</v>
      </c>
      <c r="I35" s="1156">
        <f t="array" ref="I35">SUM(IF("341"&amp;B35=LEFT(KHN,3)&amp;KH,_TH))</f>
        <v>111700</v>
      </c>
      <c r="J35" s="394">
        <f t="array" ref="J35">SUM(IF("341"&amp;B35=LEFT(KHN,3)&amp;KH,TH))</f>
        <v>2535590000</v>
      </c>
      <c r="K35" s="387">
        <f t="array" ref="K35">SUM(IF("341"&amp;B35=LEFT(KHC,3)&amp;KH,_TH))</f>
        <v>111700</v>
      </c>
      <c r="L35" s="394">
        <f t="array" ref="L35">SUM(IF("341"&amp;B35=LEFT(KHC,3)&amp;KH,TH))</f>
        <v>2535590000</v>
      </c>
      <c r="M35" s="1215">
        <f t="shared" ref="M35" si="46">ROUND(MAX(E35+I35-G35-K35,0),2)</f>
        <v>0</v>
      </c>
      <c r="N35" s="1215">
        <f t="shared" ref="N35" si="47">ROUND(MAX(F35+J35-H35-L35,0),2)</f>
        <v>0</v>
      </c>
      <c r="O35" s="1194">
        <f t="shared" ref="O35" si="48">ROUND(MAX(G35+K35-E35-I35,0),2)</f>
        <v>0</v>
      </c>
      <c r="P35" s="1215">
        <f t="shared" ref="P35" si="49">ROUND(MAX(H35+L35-F35-J35,0),2)</f>
        <v>0</v>
      </c>
    </row>
    <row r="36" spans="1:16" s="1157" customFormat="1" ht="18" customHeight="1">
      <c r="A36" s="697">
        <v>32</v>
      </c>
      <c r="B36" s="321" t="s">
        <v>1011</v>
      </c>
      <c r="C36" s="795">
        <v>43105</v>
      </c>
      <c r="D36" s="795"/>
      <c r="E36" s="1142">
        <v>0</v>
      </c>
      <c r="F36" s="8">
        <v>0</v>
      </c>
      <c r="G36" s="219">
        <v>0</v>
      </c>
      <c r="H36" s="8">
        <v>0</v>
      </c>
      <c r="I36" s="1156">
        <f t="array" ref="I36">SUM(IF("341"&amp;B36=LEFT(KHN,3)&amp;KH,_TH))</f>
        <v>0</v>
      </c>
      <c r="J36" s="394">
        <f t="array" ref="J36">SUM(IF("341"&amp;B36=LEFT(KHN,3)&amp;KH,TH))</f>
        <v>0</v>
      </c>
      <c r="K36" s="387">
        <f t="array" ref="K36">SUM(IF("341"&amp;B36=LEFT(KHC,3)&amp;KH,_TH))</f>
        <v>63000</v>
      </c>
      <c r="L36" s="394">
        <f t="array" ref="L36">SUM(IF("341"&amp;B36=LEFT(KHC,3)&amp;KH,TH))</f>
        <v>1430541000</v>
      </c>
      <c r="M36" s="1215">
        <f t="shared" ref="M36" si="50">ROUND(MAX(E36+I36-G36-K36,0),2)</f>
        <v>0</v>
      </c>
      <c r="N36" s="1215">
        <f t="shared" ref="N36" si="51">ROUND(MAX(F36+J36-H36-L36,0),2)</f>
        <v>0</v>
      </c>
      <c r="O36" s="1194">
        <f t="shared" ref="O36" si="52">ROUND(MAX(G36+K36-E36-I36,0),2)</f>
        <v>63000</v>
      </c>
      <c r="P36" s="1215">
        <f t="shared" ref="P36" si="53">ROUND(MAX(H36+L36-F36-J36,0),2)</f>
        <v>1430541000</v>
      </c>
    </row>
    <row r="37" spans="1:16" s="1157" customFormat="1" ht="18" customHeight="1">
      <c r="A37" s="697">
        <v>33</v>
      </c>
      <c r="B37" s="69" t="s">
        <v>1040</v>
      </c>
      <c r="C37" s="795">
        <v>43115</v>
      </c>
      <c r="D37" s="795"/>
      <c r="E37" s="1142">
        <v>0</v>
      </c>
      <c r="F37" s="8">
        <v>0</v>
      </c>
      <c r="G37" s="219">
        <v>0</v>
      </c>
      <c r="H37" s="8">
        <v>0</v>
      </c>
      <c r="I37" s="1156">
        <f t="array" ref="I37">SUM(IF("341"&amp;B37=LEFT(KHN,3)&amp;KH,_TH))</f>
        <v>0</v>
      </c>
      <c r="J37" s="394">
        <f t="array" ref="J37">SUM(IF("341"&amp;B37=LEFT(KHN,3)&amp;KH,TH))</f>
        <v>0</v>
      </c>
      <c r="K37" s="387">
        <f t="array" ref="K37">SUM(IF("341"&amp;B37=LEFT(KHC,3)&amp;KH,_TH))</f>
        <v>83500</v>
      </c>
      <c r="L37" s="394">
        <f t="array" ref="L37">SUM(IF("341"&amp;B37=LEFT(KHC,3)&amp;KH,TH))</f>
        <v>1895450000</v>
      </c>
      <c r="M37" s="1215">
        <f t="shared" ref="M37:M42" si="54">ROUND(MAX(E37+I37-G37-K37,0),2)</f>
        <v>0</v>
      </c>
      <c r="N37" s="1215">
        <f t="shared" ref="N37:N42" si="55">ROUND(MAX(F37+J37-H37-L37,0),2)</f>
        <v>0</v>
      </c>
      <c r="O37" s="1194">
        <f t="shared" ref="O37:O42" si="56">ROUND(MAX(G37+K37-E37-I37,0),2)</f>
        <v>83500</v>
      </c>
      <c r="P37" s="1215">
        <f t="shared" ref="P37:P42" si="57">ROUND(MAX(H37+L37-F37-J37,0),2)</f>
        <v>1895450000</v>
      </c>
    </row>
    <row r="38" spans="1:16" s="1157" customFormat="1" ht="18" customHeight="1">
      <c r="A38" s="697">
        <v>34</v>
      </c>
      <c r="B38" s="303" t="s">
        <v>1051</v>
      </c>
      <c r="C38" s="795">
        <v>43118</v>
      </c>
      <c r="D38" s="795"/>
      <c r="E38" s="1142">
        <v>0</v>
      </c>
      <c r="F38" s="8">
        <v>0</v>
      </c>
      <c r="G38" s="219">
        <v>0</v>
      </c>
      <c r="H38" s="8">
        <v>0</v>
      </c>
      <c r="I38" s="1156">
        <f t="array" ref="I38">SUM(IF("341"&amp;B38=LEFT(KHN,3)&amp;KH,_TH))</f>
        <v>0</v>
      </c>
      <c r="J38" s="394">
        <f t="array" ref="J38">SUM(IF("341"&amp;B38=LEFT(KHN,3)&amp;KH,TH))</f>
        <v>0</v>
      </c>
      <c r="K38" s="387">
        <f t="array" ref="K38">SUM(IF("341"&amp;B38=LEFT(KHC,3)&amp;KH,_TH))</f>
        <v>56000</v>
      </c>
      <c r="L38" s="394">
        <f t="array" ref="L38">SUM(IF("341"&amp;B38=LEFT(KHC,3)&amp;KH,TH))</f>
        <v>1271424000</v>
      </c>
      <c r="M38" s="1215">
        <f t="shared" si="54"/>
        <v>0</v>
      </c>
      <c r="N38" s="1215">
        <f t="shared" si="55"/>
        <v>0</v>
      </c>
      <c r="O38" s="1194">
        <f t="shared" si="56"/>
        <v>56000</v>
      </c>
      <c r="P38" s="1215">
        <f t="shared" si="57"/>
        <v>1271424000</v>
      </c>
    </row>
    <row r="39" spans="1:16" s="1157" customFormat="1" ht="18" customHeight="1">
      <c r="A39" s="697">
        <v>35</v>
      </c>
      <c r="B39" s="321"/>
      <c r="C39" s="795"/>
      <c r="D39" s="795"/>
      <c r="E39" s="1142">
        <v>0</v>
      </c>
      <c r="F39" s="8">
        <v>0</v>
      </c>
      <c r="G39" s="219">
        <v>0</v>
      </c>
      <c r="H39" s="8">
        <v>0</v>
      </c>
      <c r="I39" s="1156">
        <f t="array" ref="I39">SUM(IF("341"&amp;B39=LEFT(KHN,3)&amp;KH,_TH))</f>
        <v>0</v>
      </c>
      <c r="J39" s="394">
        <f t="array" ref="J39">SUM(IF("341"&amp;B39=LEFT(KHN,3)&amp;KH,TH))</f>
        <v>0</v>
      </c>
      <c r="K39" s="387">
        <f t="array" ref="K39">SUM(IF("341"&amp;B39=LEFT(KHC,3)&amp;KH,_TH))</f>
        <v>0</v>
      </c>
      <c r="L39" s="394">
        <f t="array" ref="L39">SUM(IF("341"&amp;B39=LEFT(KHC,3)&amp;KH,TH))</f>
        <v>0</v>
      </c>
      <c r="M39" s="1215">
        <f t="shared" si="54"/>
        <v>0</v>
      </c>
      <c r="N39" s="1215">
        <f t="shared" si="55"/>
        <v>0</v>
      </c>
      <c r="O39" s="1194">
        <f t="shared" si="56"/>
        <v>0</v>
      </c>
      <c r="P39" s="1215">
        <f t="shared" si="57"/>
        <v>0</v>
      </c>
    </row>
    <row r="40" spans="1:16" s="1157" customFormat="1" ht="18" customHeight="1">
      <c r="A40" s="697">
        <v>36</v>
      </c>
      <c r="B40" s="321"/>
      <c r="C40" s="795"/>
      <c r="D40" s="795"/>
      <c r="E40" s="1142">
        <v>0</v>
      </c>
      <c r="F40" s="8">
        <v>0</v>
      </c>
      <c r="G40" s="219">
        <v>0</v>
      </c>
      <c r="H40" s="8">
        <v>0</v>
      </c>
      <c r="I40" s="1156">
        <f t="array" ref="I40">SUM(IF("341"&amp;B40=LEFT(KHN,3)&amp;KH,_TH))</f>
        <v>0</v>
      </c>
      <c r="J40" s="394">
        <f t="array" ref="J40">SUM(IF("341"&amp;B40=LEFT(KHN,3)&amp;KH,TH))</f>
        <v>0</v>
      </c>
      <c r="K40" s="387">
        <f t="array" ref="K40">SUM(IF("341"&amp;B40=LEFT(KHC,3)&amp;KH,_TH))</f>
        <v>0</v>
      </c>
      <c r="L40" s="394">
        <f t="array" ref="L40">SUM(IF("341"&amp;B40=LEFT(KHC,3)&amp;KH,TH))</f>
        <v>0</v>
      </c>
      <c r="M40" s="1215">
        <f t="shared" si="54"/>
        <v>0</v>
      </c>
      <c r="N40" s="1215">
        <f t="shared" si="55"/>
        <v>0</v>
      </c>
      <c r="O40" s="1194">
        <f t="shared" si="56"/>
        <v>0</v>
      </c>
      <c r="P40" s="1215">
        <f t="shared" si="57"/>
        <v>0</v>
      </c>
    </row>
    <row r="41" spans="1:16" s="1157" customFormat="1" ht="18" customHeight="1">
      <c r="A41" s="697">
        <v>37</v>
      </c>
      <c r="B41" s="321"/>
      <c r="C41" s="795"/>
      <c r="D41" s="795"/>
      <c r="E41" s="1142">
        <v>0</v>
      </c>
      <c r="F41" s="8">
        <v>0</v>
      </c>
      <c r="G41" s="219">
        <v>0</v>
      </c>
      <c r="H41" s="8">
        <v>0</v>
      </c>
      <c r="I41" s="1156">
        <f t="array" ref="I41">SUM(IF("341"&amp;B41=LEFT(KHN,3)&amp;KH,_TH))</f>
        <v>0</v>
      </c>
      <c r="J41" s="394">
        <f t="array" ref="J41">SUM(IF("341"&amp;B41=LEFT(KHN,3)&amp;KH,TH))</f>
        <v>0</v>
      </c>
      <c r="K41" s="387">
        <f t="array" ref="K41">SUM(IF("341"&amp;B41=LEFT(KHC,3)&amp;KH,_TH))</f>
        <v>0</v>
      </c>
      <c r="L41" s="394">
        <f t="array" ref="L41">SUM(IF("341"&amp;B41=LEFT(KHC,3)&amp;KH,TH))</f>
        <v>0</v>
      </c>
      <c r="M41" s="1215">
        <f t="shared" si="54"/>
        <v>0</v>
      </c>
      <c r="N41" s="1215">
        <f t="shared" si="55"/>
        <v>0</v>
      </c>
      <c r="O41" s="1194">
        <f t="shared" si="56"/>
        <v>0</v>
      </c>
      <c r="P41" s="1215">
        <f t="shared" si="57"/>
        <v>0</v>
      </c>
    </row>
    <row r="42" spans="1:16" s="1157" customFormat="1" ht="18" customHeight="1">
      <c r="A42" s="697">
        <v>38</v>
      </c>
      <c r="B42" s="321"/>
      <c r="C42" s="795"/>
      <c r="D42" s="795"/>
      <c r="E42" s="1142">
        <v>0</v>
      </c>
      <c r="F42" s="8">
        <v>0</v>
      </c>
      <c r="G42" s="219">
        <v>0</v>
      </c>
      <c r="H42" s="8">
        <v>0</v>
      </c>
      <c r="I42" s="1156">
        <f t="array" ref="I42">SUM(IF("341"&amp;B42=LEFT(KHN,3)&amp;KH,_TH))</f>
        <v>0</v>
      </c>
      <c r="J42" s="394">
        <f t="array" ref="J42">SUM(IF("341"&amp;B42=LEFT(KHN,3)&amp;KH,TH))</f>
        <v>0</v>
      </c>
      <c r="K42" s="387">
        <f t="array" ref="K42">SUM(IF("341"&amp;B42=LEFT(KHC,3)&amp;KH,_TH))</f>
        <v>0</v>
      </c>
      <c r="L42" s="394">
        <f t="array" ref="L42">SUM(IF("341"&amp;B42=LEFT(KHC,3)&amp;KH,TH))</f>
        <v>0</v>
      </c>
      <c r="M42" s="1215">
        <f t="shared" si="54"/>
        <v>0</v>
      </c>
      <c r="N42" s="1215">
        <f t="shared" si="55"/>
        <v>0</v>
      </c>
      <c r="O42" s="1194">
        <f t="shared" si="56"/>
        <v>0</v>
      </c>
      <c r="P42" s="1215">
        <f t="shared" si="57"/>
        <v>0</v>
      </c>
    </row>
    <row r="43" spans="1:16" s="1157" customFormat="1" ht="18" customHeight="1">
      <c r="A43" s="1216"/>
      <c r="B43" s="1217" t="s">
        <v>41</v>
      </c>
      <c r="C43" s="1217"/>
      <c r="D43" s="1217"/>
      <c r="E43" s="1222">
        <f t="shared" ref="E43:K43" si="58">SUM(E5:E42)</f>
        <v>2000</v>
      </c>
      <c r="F43" s="1222">
        <f t="shared" si="58"/>
        <v>45410000</v>
      </c>
      <c r="G43" s="1222">
        <f t="shared" si="58"/>
        <v>4174690</v>
      </c>
      <c r="H43" s="1222">
        <f t="shared" si="58"/>
        <v>94803213650</v>
      </c>
      <c r="I43" s="1222">
        <f t="shared" si="58"/>
        <v>402770</v>
      </c>
      <c r="J43" s="1222">
        <f t="shared" si="58"/>
        <v>9145754780</v>
      </c>
      <c r="K43" s="1222">
        <f t="shared" si="58"/>
        <v>314200</v>
      </c>
      <c r="L43" s="1222">
        <f>SUM(L5:L42)</f>
        <v>7133005000</v>
      </c>
      <c r="M43" s="1222">
        <f t="shared" ref="M43:P43" si="59">SUM(M5:M42)</f>
        <v>2000</v>
      </c>
      <c r="N43" s="1222">
        <f t="shared" si="59"/>
        <v>45410000</v>
      </c>
      <c r="O43" s="1222">
        <f t="shared" si="59"/>
        <v>4086120</v>
      </c>
      <c r="P43" s="1222">
        <f t="shared" si="59"/>
        <v>92790463870</v>
      </c>
    </row>
    <row r="44" spans="1:16" s="1218" customFormat="1">
      <c r="G44" s="1219"/>
      <c r="H44" s="1220">
        <f>H43-CDPS!D58</f>
        <v>94803213650</v>
      </c>
      <c r="I44" s="1219"/>
      <c r="J44" s="1220">
        <f>J43-CDPS!E58</f>
        <v>0</v>
      </c>
      <c r="K44" s="1219"/>
      <c r="L44" s="1220">
        <f>L43-CDPS!F58</f>
        <v>0</v>
      </c>
      <c r="O44" s="1219"/>
      <c r="P44" s="1221">
        <f>P43-CDPS!H58</f>
        <v>92790463870</v>
      </c>
    </row>
    <row r="45" spans="1:16" s="1218" customFormat="1">
      <c r="G45" s="1219"/>
      <c r="I45" s="1219"/>
      <c r="J45" s="1220"/>
      <c r="K45" s="1220"/>
      <c r="L45" s="1220"/>
      <c r="O45" s="1219"/>
      <c r="P45" s="1220"/>
    </row>
    <row r="46" spans="1:16" s="1218" customFormat="1">
      <c r="G46" s="1219"/>
      <c r="I46" s="1219"/>
      <c r="K46" s="1219"/>
      <c r="O46" s="1219"/>
    </row>
    <row r="47" spans="1:16" s="1218" customFormat="1">
      <c r="G47" s="1219"/>
      <c r="I47" s="1219"/>
      <c r="J47" s="1220"/>
      <c r="K47" s="1219"/>
      <c r="O47" s="1219"/>
    </row>
  </sheetData>
  <sortState ref="A65:P69">
    <sortCondition ref="C65:C69"/>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P41" sqref="P41"/>
      <selection pane="bottomLeft" activeCell="P41" sqref="P41"/>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224" customFormat="1" ht="16.5" customHeight="1">
      <c r="A1" s="228" t="s">
        <v>14</v>
      </c>
      <c r="B1" s="223"/>
      <c r="C1" s="223"/>
      <c r="H1" s="223"/>
      <c r="I1" s="223"/>
      <c r="J1" s="1397" t="s">
        <v>235</v>
      </c>
      <c r="K1" s="1397"/>
      <c r="L1" s="1397"/>
      <c r="M1" s="1397"/>
      <c r="N1" s="1397"/>
    </row>
    <row r="2" spans="1:14" s="224" customFormat="1" ht="16.5" customHeight="1">
      <c r="A2" s="229" t="s">
        <v>177</v>
      </c>
      <c r="B2" s="329"/>
      <c r="C2" s="329"/>
      <c r="H2" s="225"/>
      <c r="I2" s="225"/>
      <c r="J2" s="1398" t="s">
        <v>236</v>
      </c>
      <c r="K2" s="1398"/>
      <c r="L2" s="1398"/>
      <c r="M2" s="1398"/>
      <c r="N2" s="1398"/>
    </row>
    <row r="3" spans="1:14" s="224" customFormat="1" ht="16.5" customHeight="1">
      <c r="A3" s="329"/>
      <c r="B3" s="329"/>
      <c r="C3" s="329"/>
      <c r="H3" s="225"/>
      <c r="I3" s="225"/>
      <c r="J3" s="1398"/>
      <c r="K3" s="1398"/>
      <c r="L3" s="1398"/>
      <c r="M3" s="1398"/>
      <c r="N3" s="1398"/>
    </row>
    <row r="4" spans="1:14" s="224" customFormat="1" ht="16.5" customHeight="1">
      <c r="A4" s="329"/>
      <c r="B4" s="329"/>
      <c r="C4" s="329"/>
      <c r="H4" s="225"/>
      <c r="I4" s="225"/>
      <c r="J4" s="330"/>
      <c r="K4" s="330"/>
      <c r="L4" s="330"/>
      <c r="M4" s="330"/>
      <c r="N4" s="330"/>
    </row>
    <row r="5" spans="1:14" s="18" customFormat="1" ht="23.25" customHeight="1">
      <c r="A5" s="1408" t="s">
        <v>237</v>
      </c>
      <c r="B5" s="1408"/>
      <c r="C5" s="1408"/>
      <c r="D5" s="1408"/>
      <c r="E5" s="1408"/>
      <c r="F5" s="1408"/>
      <c r="G5" s="1408"/>
      <c r="H5" s="1408"/>
      <c r="I5" s="1408"/>
      <c r="J5" s="1408"/>
      <c r="K5" s="1408"/>
      <c r="L5" s="1408"/>
      <c r="M5" s="1408"/>
      <c r="N5" s="1408"/>
    </row>
    <row r="6" spans="1:14" s="18" customFormat="1">
      <c r="A6" s="1371" t="s">
        <v>238</v>
      </c>
      <c r="B6" s="1371"/>
      <c r="C6" s="1371"/>
      <c r="D6" s="1371"/>
      <c r="E6" s="1371"/>
      <c r="F6" s="1371"/>
      <c r="G6" s="1371"/>
      <c r="H6" s="1371"/>
      <c r="I6" s="1371"/>
      <c r="J6" s="1371"/>
      <c r="K6" s="1371"/>
      <c r="L6" s="1371"/>
      <c r="M6" s="1371"/>
      <c r="N6" s="1371"/>
    </row>
    <row r="7" spans="1:14" s="18" customFormat="1">
      <c r="A7" s="1371" t="s">
        <v>239</v>
      </c>
      <c r="B7" s="1371"/>
      <c r="C7" s="1371"/>
      <c r="D7" s="1371"/>
      <c r="E7" s="1371"/>
      <c r="F7" s="1371"/>
      <c r="G7" s="1371"/>
      <c r="H7" s="1371"/>
      <c r="I7" s="1371"/>
      <c r="J7" s="1371"/>
      <c r="K7" s="1371"/>
      <c r="L7" s="1371"/>
      <c r="M7" s="1371"/>
      <c r="N7" s="1371"/>
    </row>
    <row r="8" spans="1:14" s="18" customFormat="1" ht="15" customHeight="1">
      <c r="A8" s="1371" t="str">
        <f>IF(MID($H$9,4,4)="1015","Đối tượng cho vay: NH Eximbank CN Q11","Đối tượng cho vay: NH Eximbank CN Q4")</f>
        <v>Đối tượng cho vay: NH Eximbank CN Q4</v>
      </c>
      <c r="B8" s="1371"/>
      <c r="C8" s="1371"/>
      <c r="D8" s="1371"/>
      <c r="E8" s="1371"/>
      <c r="F8" s="1371"/>
      <c r="G8" s="1371"/>
      <c r="H8" s="1371"/>
      <c r="I8" s="1371"/>
      <c r="J8" s="1371"/>
      <c r="K8" s="1371"/>
      <c r="L8" s="1371"/>
      <c r="M8" s="1371"/>
      <c r="N8" s="1371"/>
    </row>
    <row r="9" spans="1:14" s="18" customFormat="1">
      <c r="A9" s="328"/>
      <c r="B9" s="328"/>
      <c r="C9" s="328"/>
      <c r="D9" s="328"/>
      <c r="E9" s="328"/>
      <c r="F9" s="328"/>
      <c r="G9" s="20" t="s">
        <v>240</v>
      </c>
      <c r="H9" s="1453" t="s">
        <v>944</v>
      </c>
      <c r="I9" s="1453"/>
      <c r="J9" s="331" t="e">
        <f>"ngày "&amp; TEXT(VLOOKUP($H$9,'341'!$B$19:$P$27,2,0),"dd/MM/yy")</f>
        <v>#N/A</v>
      </c>
      <c r="K9" s="328"/>
      <c r="L9" s="328"/>
      <c r="M9" s="328"/>
      <c r="N9" s="328"/>
    </row>
    <row r="10" spans="1:14" s="18" customFormat="1">
      <c r="A10" s="1371" t="s">
        <v>241</v>
      </c>
      <c r="B10" s="1371"/>
      <c r="C10" s="1371"/>
      <c r="D10" s="1371"/>
      <c r="E10" s="1371"/>
      <c r="F10" s="1371"/>
      <c r="G10" s="1371"/>
      <c r="H10" s="1371"/>
      <c r="I10" s="1371"/>
      <c r="J10" s="1371"/>
      <c r="K10" s="1371"/>
      <c r="L10" s="1371"/>
      <c r="M10" s="1371"/>
      <c r="N10" s="1371"/>
    </row>
    <row r="11" spans="1:14" s="18" customFormat="1">
      <c r="C11" s="1400"/>
      <c r="D11" s="1400"/>
      <c r="E11" s="1400"/>
      <c r="F11" s="1400"/>
      <c r="G11" s="1400"/>
      <c r="H11" s="1400"/>
      <c r="I11" s="1400"/>
      <c r="J11" s="1400"/>
      <c r="K11" s="1400"/>
      <c r="L11" s="1400"/>
      <c r="M11" s="1400"/>
      <c r="N11" s="1400"/>
    </row>
    <row r="12" spans="1:14" s="18" customFormat="1" ht="15.75" customHeight="1">
      <c r="A12" s="1454" t="s">
        <v>22</v>
      </c>
      <c r="B12" s="1402" t="s">
        <v>1</v>
      </c>
      <c r="C12" s="1403"/>
      <c r="D12" s="1454" t="s">
        <v>0</v>
      </c>
      <c r="E12" s="1454" t="s">
        <v>16</v>
      </c>
      <c r="F12" s="1454" t="s">
        <v>242</v>
      </c>
      <c r="G12" s="1402" t="s">
        <v>23</v>
      </c>
      <c r="H12" s="1459"/>
      <c r="I12" s="1459"/>
      <c r="J12" s="1452"/>
      <c r="K12" s="1402" t="s">
        <v>33</v>
      </c>
      <c r="L12" s="1459"/>
      <c r="M12" s="1459"/>
      <c r="N12" s="1452"/>
    </row>
    <row r="13" spans="1:14" s="18" customFormat="1" ht="15.75" customHeight="1">
      <c r="A13" s="1455"/>
      <c r="B13" s="1460" t="s">
        <v>17</v>
      </c>
      <c r="C13" s="1460" t="s">
        <v>34</v>
      </c>
      <c r="D13" s="1455"/>
      <c r="E13" s="1455"/>
      <c r="F13" s="1457"/>
      <c r="G13" s="1451" t="s">
        <v>24</v>
      </c>
      <c r="H13" s="1452"/>
      <c r="I13" s="1451" t="s">
        <v>25</v>
      </c>
      <c r="J13" s="1452"/>
      <c r="K13" s="1451" t="s">
        <v>24</v>
      </c>
      <c r="L13" s="1452"/>
      <c r="M13" s="1451" t="s">
        <v>25</v>
      </c>
      <c r="N13" s="1452"/>
    </row>
    <row r="14" spans="1:14" s="18" customFormat="1" ht="32.25" customHeight="1">
      <c r="A14" s="1456"/>
      <c r="B14" s="1461"/>
      <c r="C14" s="1461"/>
      <c r="D14" s="1456"/>
      <c r="E14" s="1456"/>
      <c r="F14" s="1458"/>
      <c r="G14" s="29" t="s">
        <v>243</v>
      </c>
      <c r="H14" s="29" t="s">
        <v>244</v>
      </c>
      <c r="I14" s="29" t="s">
        <v>243</v>
      </c>
      <c r="J14" s="29" t="s">
        <v>244</v>
      </c>
      <c r="K14" s="29" t="s">
        <v>243</v>
      </c>
      <c r="L14" s="29" t="s">
        <v>244</v>
      </c>
      <c r="M14" s="29" t="s">
        <v>243</v>
      </c>
      <c r="N14" s="29" t="s">
        <v>244</v>
      </c>
    </row>
    <row r="15" spans="1:14" s="328" customFormat="1">
      <c r="A15" s="332" t="s">
        <v>2</v>
      </c>
      <c r="B15" s="333" t="s">
        <v>3</v>
      </c>
      <c r="C15" s="332" t="s">
        <v>4</v>
      </c>
      <c r="D15" s="332" t="s">
        <v>5</v>
      </c>
      <c r="E15" s="332" t="s">
        <v>6</v>
      </c>
      <c r="F15" s="332">
        <v>1</v>
      </c>
      <c r="G15" s="332">
        <v>2</v>
      </c>
      <c r="H15" s="332">
        <v>3</v>
      </c>
      <c r="I15" s="332">
        <v>4</v>
      </c>
      <c r="J15" s="332">
        <v>5</v>
      </c>
      <c r="K15" s="332">
        <v>6</v>
      </c>
      <c r="L15" s="332">
        <v>7</v>
      </c>
      <c r="M15" s="332">
        <v>8</v>
      </c>
      <c r="N15" s="332">
        <v>9</v>
      </c>
    </row>
    <row r="16" spans="1:14" s="18" customFormat="1" ht="19.5" customHeight="1">
      <c r="A16" s="352"/>
      <c r="B16" s="352"/>
      <c r="C16" s="352"/>
      <c r="D16" s="353" t="s">
        <v>7</v>
      </c>
      <c r="E16" s="354"/>
      <c r="F16" s="354"/>
      <c r="G16" s="352"/>
      <c r="H16" s="352"/>
      <c r="I16" s="352"/>
      <c r="J16" s="352"/>
      <c r="K16" s="355" t="e">
        <f>VLOOKUP($H$9,'341'!#REF!,4,0)</f>
        <v>#REF!</v>
      </c>
      <c r="L16" s="356" t="e">
        <f>VLOOKUP($H$9,'341'!#REF!,5,0)</f>
        <v>#REF!</v>
      </c>
      <c r="M16" s="355" t="e">
        <f>VLOOKUP($H$9,'341'!#REF!,6,0)</f>
        <v>#REF!</v>
      </c>
      <c r="N16" s="356" t="e">
        <f>VLOOKUP($H$9,'341'!#REF!,7,0)</f>
        <v>#REF!</v>
      </c>
    </row>
    <row r="17" spans="1:14" s="18" customFormat="1" ht="19.5" customHeight="1">
      <c r="A17" s="314" t="str">
        <f ca="1">IF(ROWS($1:1)&gt;COUNT(Dong4),"",OFFSET(TH!C$1,SMALL(Dong4,ROWS($1:1)),))</f>
        <v/>
      </c>
      <c r="B17" s="226" t="str">
        <f ca="1">IF(ROWS($1:1)&gt;COUNT(Dong4),"",OFFSET(TH!D$1,SMALL(Dong4,ROWS($1:1)),))</f>
        <v/>
      </c>
      <c r="C17" s="226" t="str">
        <f ca="1">IF(ROWS($1:1)&gt;COUNT(Dong4),"",OFFSET(TH!E$1,SMALL(Dong4,ROWS($1:1)),))</f>
        <v/>
      </c>
      <c r="D17" s="357" t="str">
        <f ca="1">IF(ROWS($1:1)&gt;COUNT(Dong4),"",OFFSET(TH!F$1,SMALL(Dong4,ROWS($1:1)),))</f>
        <v/>
      </c>
      <c r="E17" s="226" t="str">
        <f ca="1">IF(ROWS($1:1)&gt;COUNT(Dong4),"",IF(LEFT(OFFSET(TH!O$1,SMALL(Dong4,ROWS($1:1)),),3)="341",OFFSET(TH!N$1,SMALL(Dong4,ROWS($1:1)),),OFFSET(TH!O$1,SMALL(Dong4,ROWS($1:1)),)))</f>
        <v/>
      </c>
      <c r="F17" s="358"/>
      <c r="G17" s="359" t="str">
        <f ca="1">IF(ROWS($1:1)&gt;COUNT(Dong4),"",IF(LEFT(OFFSET(TH!N$1,SMALL(Dong4,ROWS($1:1)),),3)="341",OFFSET(TH!K$1,SMALL(Dong4,ROWS($1:1)),),0))</f>
        <v/>
      </c>
      <c r="H17" s="358" t="str">
        <f ca="1">IF(ROWS($1:1)&gt;COUNT(Dong4),"",IF(LEFT(OFFSET(TH!N$1,SMALL(Dong4,ROWS($1:1)),),3)="341",OFFSET(TH!M$1,SMALL(Dong4,ROWS($1:1)),),0))</f>
        <v/>
      </c>
      <c r="I17" s="359" t="str">
        <f ca="1">IF(ROWS($1:1)&gt;COUNT(Dong4),"",IF(LEFT(OFFSET(TH!O$1,SMALL(Dong4,ROWS($1:1)),),3)="341",OFFSET(TH!K$1,SMALL(Dong4,ROWS($1:1)),),0))</f>
        <v/>
      </c>
      <c r="J17" s="358" t="str">
        <f ca="1">IF(ROWS($1:1)&gt;COUNT(Dong4),"",IF(LEFT(OFFSET(TH!O$1,SMALL(Dong4,ROWS($1:1)),),3)="341",OFFSET(TH!M$1,SMALL(Dong4,ROWS($1:1)),),0))</f>
        <v/>
      </c>
      <c r="K17" s="219">
        <f ca="1">IF(C17&lt;&gt;"",ROUND(MAX(K16+G17-I17-M16,0),2),0)</f>
        <v>0</v>
      </c>
      <c r="L17" s="8">
        <f ca="1">IF(C17&lt;&gt;"",MAX(L16-N16+H17-J17,0),0)</f>
        <v>0</v>
      </c>
      <c r="M17" s="219">
        <f ca="1">IF(C17&lt;&gt;"",ROUND(MAX(M16+I17-G17-K16,0),2),0)</f>
        <v>0</v>
      </c>
      <c r="N17" s="8">
        <f ca="1">IF(C17&lt;&gt;"",MAX(N16-L16+J17-H17,0),0)</f>
        <v>0</v>
      </c>
    </row>
    <row r="18" spans="1:14" s="360" customFormat="1" ht="19.5" customHeight="1">
      <c r="A18" s="314" t="str">
        <f ca="1">IF(ROWS($1:2)&gt;COUNT(Dong4),"",OFFSET(TH!C$1,SMALL(Dong4,ROWS($1:2)),))</f>
        <v/>
      </c>
      <c r="B18" s="226" t="str">
        <f ca="1">IF(ROWS($1:2)&gt;COUNT(Dong4),"",OFFSET(TH!D$1,SMALL(Dong4,ROWS($1:2)),))</f>
        <v/>
      </c>
      <c r="C18" s="226" t="str">
        <f ca="1">IF(ROWS($1:2)&gt;COUNT(Dong4),"",OFFSET(TH!E$1,SMALL(Dong4,ROWS($1:2)),))</f>
        <v/>
      </c>
      <c r="D18" s="357" t="str">
        <f ca="1">IF(ROWS($1:2)&gt;COUNT(Dong4),"",OFFSET(TH!F$1,SMALL(Dong4,ROWS($1:2)),))</f>
        <v/>
      </c>
      <c r="E18" s="226" t="str">
        <f ca="1">IF(ROWS($1:2)&gt;COUNT(Dong4),"",IF(LEFT(OFFSET(TH!O$1,SMALL(Dong4,ROWS($1:2)),),3)="341",OFFSET(TH!N$1,SMALL(Dong4,ROWS($1:2)),),OFFSET(TH!O$1,SMALL(Dong4,ROWS($1:2)),)))</f>
        <v/>
      </c>
      <c r="F18" s="358"/>
      <c r="G18" s="359" t="str">
        <f ca="1">IF(ROWS($1:2)&gt;COUNT(Dong4),"",IF(LEFT(OFFSET(TH!N$1,SMALL(Dong4,ROWS($1:2)),),3)="341",OFFSET(TH!K$1,SMALL(Dong4,ROWS($1:2)),),0))</f>
        <v/>
      </c>
      <c r="H18" s="358" t="str">
        <f ca="1">IF(ROWS($1:2)&gt;COUNT(Dong4),"",IF(LEFT(OFFSET(TH!N$1,SMALL(Dong4,ROWS($1:2)),),3)="341",OFFSET(TH!M$1,SMALL(Dong4,ROWS($1:2)),),0))</f>
        <v/>
      </c>
      <c r="I18" s="359" t="str">
        <f ca="1">IF(ROWS($1:2)&gt;COUNT(Dong4),"",IF(LEFT(OFFSET(TH!O$1,SMALL(Dong4,ROWS($1:2)),),3)="341",OFFSET(TH!K$1,SMALL(Dong4,ROWS($1:2)),),0))</f>
        <v/>
      </c>
      <c r="J18" s="358" t="str">
        <f ca="1">IF(ROWS($1:2)&gt;COUNT(Dong4),"",IF(LEFT(OFFSET(TH!O$1,SMALL(Dong4,ROWS($1:2)),),3)="341",OFFSET(TH!M$1,SMALL(Dong4,ROWS($1:2)),),0))</f>
        <v/>
      </c>
      <c r="K18" s="219">
        <f ca="1">IF(C18&lt;&gt;"",ROUND(MAX(K17+G18-I18-M17,0),2),0)</f>
        <v>0</v>
      </c>
      <c r="L18" s="8">
        <f ca="1">IF(C18&lt;&gt;"",MAX(L17-N17+H18-J18,0),0)</f>
        <v>0</v>
      </c>
      <c r="M18" s="219">
        <f ca="1">IF(C18&lt;&gt;"",ROUND(MAX(M17+I18-G18-K17,0),2),0)</f>
        <v>0</v>
      </c>
      <c r="N18" s="8">
        <f ca="1">IF(C18&lt;&gt;"",MAX(N17-L17+J18-H18,0),0)</f>
        <v>0</v>
      </c>
    </row>
    <row r="19" spans="1:14" s="360" customFormat="1" ht="19.5" customHeight="1">
      <c r="A19" s="314" t="str">
        <f ca="1">IF(ROWS($1:3)&gt;COUNT(Dong4),"",OFFSET(TH!C$1,SMALL(Dong4,ROWS($1:3)),))</f>
        <v/>
      </c>
      <c r="B19" s="226" t="str">
        <f ca="1">IF(ROWS($1:3)&gt;COUNT(Dong4),"",OFFSET(TH!D$1,SMALL(Dong4,ROWS($1:3)),))</f>
        <v/>
      </c>
      <c r="C19" s="226" t="str">
        <f ca="1">IF(ROWS($1:3)&gt;COUNT(Dong4),"",OFFSET(TH!E$1,SMALL(Dong4,ROWS($1:3)),))</f>
        <v/>
      </c>
      <c r="D19" s="357" t="str">
        <f ca="1">IF(ROWS($1:3)&gt;COUNT(Dong4),"",OFFSET(TH!F$1,SMALL(Dong4,ROWS($1:3)),))</f>
        <v/>
      </c>
      <c r="E19" s="226" t="str">
        <f ca="1">IF(ROWS($1:3)&gt;COUNT(Dong4),"",IF(LEFT(OFFSET(TH!O$1,SMALL(Dong4,ROWS($1:3)),),3)="341",OFFSET(TH!N$1,SMALL(Dong4,ROWS($1:3)),),OFFSET(TH!O$1,SMALL(Dong4,ROWS($1:3)),)))</f>
        <v/>
      </c>
      <c r="F19" s="358"/>
      <c r="G19" s="359" t="str">
        <f ca="1">IF(ROWS($1:3)&gt;COUNT(Dong4),"",IF(LEFT(OFFSET(TH!N$1,SMALL(Dong4,ROWS($1:3)),),3)="341",OFFSET(TH!K$1,SMALL(Dong4,ROWS($1:3)),),0))</f>
        <v/>
      </c>
      <c r="H19" s="358" t="str">
        <f ca="1">IF(ROWS($1:3)&gt;COUNT(Dong4),"",IF(LEFT(OFFSET(TH!N$1,SMALL(Dong4,ROWS($1:3)),),3)="341",OFFSET(TH!M$1,SMALL(Dong4,ROWS($1:3)),),0))</f>
        <v/>
      </c>
      <c r="I19" s="359" t="str">
        <f ca="1">IF(ROWS($1:3)&gt;COUNT(Dong4),"",IF(LEFT(OFFSET(TH!O$1,SMALL(Dong4,ROWS($1:3)),),3)="341",OFFSET(TH!K$1,SMALL(Dong4,ROWS($1:3)),),0))</f>
        <v/>
      </c>
      <c r="J19" s="358" t="str">
        <f ca="1">IF(ROWS($1:3)&gt;COUNT(Dong4),"",IF(LEFT(OFFSET(TH!O$1,SMALL(Dong4,ROWS($1:3)),),3)="341",OFFSET(TH!M$1,SMALL(Dong4,ROWS($1:3)),),0))</f>
        <v/>
      </c>
      <c r="K19" s="219">
        <f ca="1">IF(C19&lt;&gt;"",ROUND(MAX(K18+G19-I19-M18,0),2),0)</f>
        <v>0</v>
      </c>
      <c r="L19" s="8">
        <f ca="1">IF(C19&lt;&gt;"",MAX(L18-N18+H19-J19,0),0)</f>
        <v>0</v>
      </c>
      <c r="M19" s="219">
        <f ca="1">IF(C19&lt;&gt;"",ROUND(MAX(M18+I19-G19-K18,0),2),0)</f>
        <v>0</v>
      </c>
      <c r="N19" s="8">
        <f ca="1">IF(C19&lt;&gt;"",MAX(N18-L18+J19-H19,0),0)</f>
        <v>0</v>
      </c>
    </row>
    <row r="20" spans="1:14" s="360" customFormat="1" ht="19.5" customHeight="1">
      <c r="A20" s="314" t="str">
        <f ca="1">IF(ROWS($1:4)&gt;COUNT(Dong4),"",OFFSET(TH!C$1,SMALL(Dong4,ROWS($1:4)),))</f>
        <v/>
      </c>
      <c r="B20" s="226" t="str">
        <f ca="1">IF(ROWS($1:4)&gt;COUNT(Dong4),"",OFFSET(TH!D$1,SMALL(Dong4,ROWS($1:4)),))</f>
        <v/>
      </c>
      <c r="C20" s="226" t="str">
        <f ca="1">IF(ROWS($1:4)&gt;COUNT(Dong4),"",OFFSET(TH!E$1,SMALL(Dong4,ROWS($1:4)),))</f>
        <v/>
      </c>
      <c r="D20" s="357" t="str">
        <f ca="1">IF(ROWS($1:4)&gt;COUNT(Dong4),"",OFFSET(TH!F$1,SMALL(Dong4,ROWS($1:4)),))</f>
        <v/>
      </c>
      <c r="E20" s="226" t="str">
        <f ca="1">IF(ROWS($1:4)&gt;COUNT(Dong4),"",IF(LEFT(OFFSET(TH!O$1,SMALL(Dong4,ROWS($1:4)),),3)="341",OFFSET(TH!N$1,SMALL(Dong4,ROWS($1:4)),),OFFSET(TH!O$1,SMALL(Dong4,ROWS($1:4)),)))</f>
        <v/>
      </c>
      <c r="F20" s="358"/>
      <c r="G20" s="359" t="str">
        <f ca="1">IF(ROWS($1:4)&gt;COUNT(Dong4),"",IF(LEFT(OFFSET(TH!N$1,SMALL(Dong4,ROWS($1:4)),),3)="341",OFFSET(TH!K$1,SMALL(Dong4,ROWS($1:4)),),0))</f>
        <v/>
      </c>
      <c r="H20" s="358" t="str">
        <f ca="1">IF(ROWS($1:4)&gt;COUNT(Dong4),"",IF(LEFT(OFFSET(TH!N$1,SMALL(Dong4,ROWS($1:4)),),3)="341",OFFSET(TH!M$1,SMALL(Dong4,ROWS($1:4)),),0))</f>
        <v/>
      </c>
      <c r="I20" s="359" t="str">
        <f ca="1">IF(ROWS($1:4)&gt;COUNT(Dong4),"",IF(LEFT(OFFSET(TH!O$1,SMALL(Dong4,ROWS($1:4)),),3)="341",OFFSET(TH!K$1,SMALL(Dong4,ROWS($1:4)),),0))</f>
        <v/>
      </c>
      <c r="J20" s="358" t="str">
        <f ca="1">IF(ROWS($1:4)&gt;COUNT(Dong4),"",IF(LEFT(OFFSET(TH!O$1,SMALL(Dong4,ROWS($1:4)),),3)="341",OFFSET(TH!M$1,SMALL(Dong4,ROWS($1:4)),),0))</f>
        <v/>
      </c>
      <c r="K20" s="219">
        <f t="shared" ref="K20:K22" ca="1" si="0">IF(C20&lt;&gt;"",ROUND(MAX(K19+G20-I20-M19,0),2),0)</f>
        <v>0</v>
      </c>
      <c r="L20" s="8">
        <f t="shared" ref="L20:L22" ca="1" si="1">IF(C20&lt;&gt;"",MAX(L19-N19+H20-J20,0),0)</f>
        <v>0</v>
      </c>
      <c r="M20" s="219">
        <f t="shared" ref="M20:M22" ca="1" si="2">IF(C20&lt;&gt;"",ROUND(MAX(M19+I20-G20-K19,0),2),0)</f>
        <v>0</v>
      </c>
      <c r="N20" s="8">
        <f t="shared" ref="N20:N22" ca="1" si="3">IF(C20&lt;&gt;"",MAX(N19-L19+J20-H20,0),0)</f>
        <v>0</v>
      </c>
    </row>
    <row r="21" spans="1:14" s="360" customFormat="1" ht="19.5" customHeight="1">
      <c r="A21" s="314" t="str">
        <f ca="1">IF(ROWS($1:5)&gt;COUNT(Dong4),"",OFFSET(TH!C$1,SMALL(Dong4,ROWS($1:5)),))</f>
        <v/>
      </c>
      <c r="B21" s="226" t="str">
        <f ca="1">IF(ROWS($1:5)&gt;COUNT(Dong4),"",OFFSET(TH!D$1,SMALL(Dong4,ROWS($1:5)),))</f>
        <v/>
      </c>
      <c r="C21" s="226" t="str">
        <f ca="1">IF(ROWS($1:5)&gt;COUNT(Dong4),"",OFFSET(TH!E$1,SMALL(Dong4,ROWS($1:5)),))</f>
        <v/>
      </c>
      <c r="D21" s="357" t="str">
        <f ca="1">IF(ROWS($1:5)&gt;COUNT(Dong4),"",OFFSET(TH!F$1,SMALL(Dong4,ROWS($1:5)),))</f>
        <v/>
      </c>
      <c r="E21" s="226" t="str">
        <f ca="1">IF(ROWS($1:5)&gt;COUNT(Dong4),"",IF(LEFT(OFFSET(TH!O$1,SMALL(Dong4,ROWS($1:5)),),3)="341",OFFSET(TH!N$1,SMALL(Dong4,ROWS($1:5)),),OFFSET(TH!O$1,SMALL(Dong4,ROWS($1:5)),)))</f>
        <v/>
      </c>
      <c r="F21" s="358"/>
      <c r="G21" s="359" t="str">
        <f ca="1">IF(ROWS($1:5)&gt;COUNT(Dong4),"",IF(LEFT(OFFSET(TH!N$1,SMALL(Dong4,ROWS($1:5)),),3)="341",OFFSET(TH!K$1,SMALL(Dong4,ROWS($1:5)),),0))</f>
        <v/>
      </c>
      <c r="H21" s="358" t="str">
        <f ca="1">IF(ROWS($1:5)&gt;COUNT(Dong4),"",IF(LEFT(OFFSET(TH!N$1,SMALL(Dong4,ROWS($1:5)),),3)="341",OFFSET(TH!M$1,SMALL(Dong4,ROWS($1:5)),),0))</f>
        <v/>
      </c>
      <c r="I21" s="359" t="str">
        <f ca="1">IF(ROWS($1:5)&gt;COUNT(Dong4),"",IF(LEFT(OFFSET(TH!O$1,SMALL(Dong4,ROWS($1:5)),),3)="341",OFFSET(TH!K$1,SMALL(Dong4,ROWS($1:5)),),0))</f>
        <v/>
      </c>
      <c r="J21" s="358" t="str">
        <f ca="1">IF(ROWS($1:5)&gt;COUNT(Dong4),"",IF(LEFT(OFFSET(TH!O$1,SMALL(Dong4,ROWS($1:5)),),3)="341",OFFSET(TH!M$1,SMALL(Dong4,ROWS($1:5)),),0))</f>
        <v/>
      </c>
      <c r="K21" s="219">
        <f t="shared" ca="1" si="0"/>
        <v>0</v>
      </c>
      <c r="L21" s="8">
        <f t="shared" ca="1" si="1"/>
        <v>0</v>
      </c>
      <c r="M21" s="219">
        <f t="shared" ca="1" si="2"/>
        <v>0</v>
      </c>
      <c r="N21" s="8">
        <f t="shared" ca="1" si="3"/>
        <v>0</v>
      </c>
    </row>
    <row r="22" spans="1:14" s="360" customFormat="1" ht="19.5" customHeight="1">
      <c r="A22" s="314" t="str">
        <f ca="1">IF(ROWS($1:6)&gt;COUNT(Dong4),"",OFFSET(TH!C$1,SMALL(Dong4,ROWS($1:6)),))</f>
        <v/>
      </c>
      <c r="B22" s="226" t="str">
        <f ca="1">IF(ROWS($1:6)&gt;COUNT(Dong4),"",OFFSET(TH!D$1,SMALL(Dong4,ROWS($1:6)),))</f>
        <v/>
      </c>
      <c r="C22" s="226" t="str">
        <f ca="1">IF(ROWS($1:6)&gt;COUNT(Dong4),"",OFFSET(TH!E$1,SMALL(Dong4,ROWS($1:6)),))</f>
        <v/>
      </c>
      <c r="D22" s="357" t="str">
        <f ca="1">IF(ROWS($1:6)&gt;COUNT(Dong4),"",OFFSET(TH!F$1,SMALL(Dong4,ROWS($1:6)),))</f>
        <v/>
      </c>
      <c r="E22" s="226" t="str">
        <f ca="1">IF(ROWS($1:6)&gt;COUNT(Dong4),"",IF(LEFT(OFFSET(TH!O$1,SMALL(Dong4,ROWS($1:6)),),3)="341",OFFSET(TH!N$1,SMALL(Dong4,ROWS($1:6)),),OFFSET(TH!O$1,SMALL(Dong4,ROWS($1:6)),)))</f>
        <v/>
      </c>
      <c r="F22" s="358"/>
      <c r="G22" s="359" t="str">
        <f ca="1">IF(ROWS($1:6)&gt;COUNT(Dong4),"",IF(LEFT(OFFSET(TH!N$1,SMALL(Dong4,ROWS($1:6)),),3)="341",OFFSET(TH!K$1,SMALL(Dong4,ROWS($1:6)),),0))</f>
        <v/>
      </c>
      <c r="H22" s="358" t="str">
        <f ca="1">IF(ROWS($1:6)&gt;COUNT(Dong4),"",IF(LEFT(OFFSET(TH!N$1,SMALL(Dong4,ROWS($1:6)),),3)="341",OFFSET(TH!M$1,SMALL(Dong4,ROWS($1:6)),),0))</f>
        <v/>
      </c>
      <c r="I22" s="359" t="str">
        <f ca="1">IF(ROWS($1:6)&gt;COUNT(Dong4),"",IF(LEFT(OFFSET(TH!O$1,SMALL(Dong4,ROWS($1:6)),),3)="341",OFFSET(TH!K$1,SMALL(Dong4,ROWS($1:6)),),0))</f>
        <v/>
      </c>
      <c r="J22" s="358" t="str">
        <f ca="1">IF(ROWS($1:6)&gt;COUNT(Dong4),"",IF(LEFT(OFFSET(TH!O$1,SMALL(Dong4,ROWS($1:6)),),3)="341",OFFSET(TH!M$1,SMALL(Dong4,ROWS($1:6)),),0))</f>
        <v/>
      </c>
      <c r="K22" s="219">
        <f t="shared" ca="1" si="0"/>
        <v>0</v>
      </c>
      <c r="L22" s="8">
        <f t="shared" ca="1" si="1"/>
        <v>0</v>
      </c>
      <c r="M22" s="219">
        <f t="shared" ca="1" si="2"/>
        <v>0</v>
      </c>
      <c r="N22" s="8">
        <f t="shared" ca="1" si="3"/>
        <v>0</v>
      </c>
    </row>
    <row r="23" spans="1:14" s="18" customFormat="1" ht="19.5" customHeight="1">
      <c r="A23" s="226"/>
      <c r="B23" s="226"/>
      <c r="C23" s="226"/>
      <c r="D23" s="361" t="s">
        <v>35</v>
      </c>
      <c r="E23" s="315" t="s">
        <v>21</v>
      </c>
      <c r="F23" s="315" t="s">
        <v>21</v>
      </c>
      <c r="G23" s="362">
        <f ca="1">SUM(G17:G22)</f>
        <v>0</v>
      </c>
      <c r="H23" s="872">
        <f ca="1">SUM(H17:H22)</f>
        <v>0</v>
      </c>
      <c r="I23" s="362">
        <f ca="1">SUM(I17:I22)</f>
        <v>0</v>
      </c>
      <c r="J23" s="872">
        <f ca="1">SUM(J17:J22)</f>
        <v>0</v>
      </c>
      <c r="K23" s="363" t="s">
        <v>21</v>
      </c>
      <c r="L23" s="363" t="s">
        <v>21</v>
      </c>
      <c r="M23" s="363" t="s">
        <v>21</v>
      </c>
      <c r="N23" s="363" t="s">
        <v>21</v>
      </c>
    </row>
    <row r="24" spans="1:14" s="18" customFormat="1" ht="19.5" customHeight="1">
      <c r="A24" s="364"/>
      <c r="B24" s="364"/>
      <c r="C24" s="364"/>
      <c r="D24" s="365" t="s">
        <v>10</v>
      </c>
      <c r="E24" s="366" t="s">
        <v>21</v>
      </c>
      <c r="F24" s="366" t="s">
        <v>21</v>
      </c>
      <c r="G24" s="366" t="s">
        <v>21</v>
      </c>
      <c r="H24" s="366" t="s">
        <v>21</v>
      </c>
      <c r="I24" s="366" t="s">
        <v>21</v>
      </c>
      <c r="J24" s="366" t="s">
        <v>21</v>
      </c>
      <c r="K24" s="367" t="e">
        <f ca="1">MAX(K16+G23-M16-I23,0)</f>
        <v>#REF!</v>
      </c>
      <c r="L24" s="368" t="e">
        <f ca="1">MAX(L16+H23-N16-J23,0)</f>
        <v>#REF!</v>
      </c>
      <c r="M24" s="367" t="e">
        <f ca="1">MAX(M16+I23-K16-G23,0)</f>
        <v>#REF!</v>
      </c>
      <c r="N24" s="368" t="e">
        <f ca="1">MAX(N16+J23-L16-H23,0)</f>
        <v>#REF!</v>
      </c>
    </row>
    <row r="25" spans="1:14" s="18" customFormat="1">
      <c r="E25" s="328"/>
      <c r="F25" s="328"/>
    </row>
    <row r="26" spans="1:14" s="18" customFormat="1">
      <c r="A26" s="227" t="s">
        <v>245</v>
      </c>
      <c r="E26" s="328"/>
      <c r="F26" s="328"/>
    </row>
    <row r="27" spans="1:14" s="18" customFormat="1">
      <c r="A27" s="227" t="e">
        <f>"- Ngày mở sổ: "&amp; TEXT(VLOOKUP($H$9,'341'!#REF!,2,0),"dd/MM/yy")</f>
        <v>#REF!</v>
      </c>
      <c r="E27" s="328"/>
      <c r="F27" s="328"/>
    </row>
    <row r="28" spans="1:14" s="18" customFormat="1">
      <c r="E28" s="328"/>
      <c r="F28" s="328"/>
      <c r="L28" s="1168" t="s">
        <v>888</v>
      </c>
    </row>
    <row r="29" spans="1:14" s="18" customFormat="1">
      <c r="C29" s="328" t="s">
        <v>11</v>
      </c>
      <c r="E29" s="328"/>
      <c r="F29" s="328"/>
      <c r="L29" s="328" t="s">
        <v>12</v>
      </c>
    </row>
    <row r="30" spans="1:14" s="18" customFormat="1">
      <c r="C30" s="328" t="s">
        <v>13</v>
      </c>
      <c r="E30" s="328"/>
      <c r="F30" s="328"/>
      <c r="L30" s="328" t="s">
        <v>13</v>
      </c>
    </row>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P41" sqref="P41"/>
    </sheetView>
  </sheetViews>
  <sheetFormatPr defaultRowHeight="15"/>
  <cols>
    <col min="1" max="1" width="7.7109375" style="410" customWidth="1"/>
    <col min="2" max="2" width="7" style="410" customWidth="1"/>
    <col min="3" max="3" width="9.140625" style="410"/>
    <col min="4" max="4" width="25" style="410" customWidth="1"/>
    <col min="5" max="5" width="6.5703125" style="410" customWidth="1"/>
    <col min="6" max="10" width="10" style="410" customWidth="1"/>
    <col min="11" max="11" width="8.7109375" style="410" customWidth="1"/>
    <col min="12" max="12" width="15" style="410" customWidth="1"/>
    <col min="13" max="13" width="10" style="410" customWidth="1"/>
    <col min="14" max="14" width="9.42578125" style="410" customWidth="1"/>
    <col min="15" max="16384" width="9.140625" style="410"/>
  </cols>
  <sheetData>
    <row r="2" spans="1:14">
      <c r="A2" s="409" t="s">
        <v>179</v>
      </c>
      <c r="C2" s="411"/>
      <c r="F2" s="412"/>
      <c r="G2" s="412"/>
      <c r="H2" s="412"/>
      <c r="I2" s="412"/>
      <c r="J2" s="412"/>
      <c r="K2" s="412" t="s">
        <v>294</v>
      </c>
      <c r="L2" s="412"/>
      <c r="M2" s="412"/>
      <c r="N2" s="412"/>
    </row>
    <row r="3" spans="1:14">
      <c r="A3" s="409" t="s">
        <v>181</v>
      </c>
      <c r="C3" s="411"/>
      <c r="F3" s="413"/>
      <c r="G3" s="413"/>
      <c r="H3" s="413"/>
      <c r="I3" s="413"/>
      <c r="J3" s="413"/>
      <c r="K3" s="413" t="s">
        <v>233</v>
      </c>
      <c r="L3" s="413"/>
      <c r="M3" s="413"/>
      <c r="N3" s="413"/>
    </row>
    <row r="4" spans="1:14">
      <c r="F4" s="413"/>
      <c r="G4" s="413"/>
      <c r="H4" s="413"/>
      <c r="I4" s="413"/>
      <c r="J4" s="413"/>
      <c r="K4" s="413" t="s">
        <v>234</v>
      </c>
      <c r="L4" s="413"/>
      <c r="M4" s="413"/>
      <c r="N4" s="413"/>
    </row>
    <row r="5" spans="1:14" s="414" customFormat="1" ht="23.25" customHeight="1">
      <c r="A5" s="1463" t="s">
        <v>295</v>
      </c>
      <c r="B5" s="1463"/>
      <c r="C5" s="1463"/>
      <c r="D5" s="1463"/>
      <c r="E5" s="1463"/>
      <c r="F5" s="1463"/>
      <c r="G5" s="1463"/>
      <c r="H5" s="1463"/>
      <c r="I5" s="1463"/>
      <c r="J5" s="1463"/>
      <c r="K5" s="1463"/>
      <c r="L5" s="1463"/>
      <c r="M5" s="1463"/>
      <c r="N5" s="1463"/>
    </row>
    <row r="6" spans="1:14">
      <c r="A6" s="1464" t="s">
        <v>249</v>
      </c>
      <c r="B6" s="1464" t="s">
        <v>296</v>
      </c>
      <c r="C6" s="1464"/>
      <c r="D6" s="1464"/>
      <c r="E6" s="1464"/>
      <c r="F6" s="1464"/>
      <c r="G6" s="1464"/>
      <c r="H6" s="1464"/>
      <c r="I6" s="1464"/>
      <c r="J6" s="1464"/>
      <c r="K6" s="1464"/>
      <c r="L6" s="1464"/>
      <c r="M6" s="1464"/>
      <c r="N6" s="1464"/>
    </row>
    <row r="7" spans="1:14">
      <c r="C7" s="1465"/>
      <c r="D7" s="1465"/>
      <c r="E7" s="1465"/>
      <c r="F7" s="1465"/>
      <c r="G7" s="1465"/>
      <c r="H7" s="1465"/>
      <c r="I7" s="1465"/>
      <c r="J7" s="1465"/>
      <c r="K7" s="1465"/>
      <c r="L7" s="1465"/>
      <c r="M7" s="1465"/>
      <c r="N7" s="1465"/>
    </row>
    <row r="8" spans="1:14" ht="15.75" customHeight="1">
      <c r="A8" s="1466" t="s">
        <v>22</v>
      </c>
      <c r="B8" s="1467" t="s">
        <v>1</v>
      </c>
      <c r="C8" s="1468"/>
      <c r="D8" s="1466" t="s">
        <v>0</v>
      </c>
      <c r="E8" s="1466" t="s">
        <v>16</v>
      </c>
      <c r="F8" s="1471" t="s">
        <v>23</v>
      </c>
      <c r="G8" s="1471"/>
      <c r="H8" s="1471"/>
      <c r="I8" s="1471"/>
      <c r="J8" s="1471"/>
      <c r="K8" s="1471"/>
      <c r="L8" s="1471" t="s">
        <v>33</v>
      </c>
      <c r="M8" s="1471"/>
      <c r="N8" s="1471"/>
    </row>
    <row r="9" spans="1:14" ht="15.75" customHeight="1">
      <c r="A9" s="1466"/>
      <c r="B9" s="1469"/>
      <c r="C9" s="1470"/>
      <c r="D9" s="1466"/>
      <c r="E9" s="1466"/>
      <c r="F9" s="1471" t="s">
        <v>297</v>
      </c>
      <c r="G9" s="1471"/>
      <c r="H9" s="1471"/>
      <c r="I9" s="1471" t="s">
        <v>298</v>
      </c>
      <c r="J9" s="1471"/>
      <c r="K9" s="1471"/>
      <c r="L9" s="1466" t="s">
        <v>299</v>
      </c>
      <c r="M9" s="1466" t="s">
        <v>300</v>
      </c>
      <c r="N9" s="1466" t="s">
        <v>301</v>
      </c>
    </row>
    <row r="10" spans="1:14" ht="15.75" customHeight="1">
      <c r="A10" s="1466"/>
      <c r="B10" s="1473" t="s">
        <v>17</v>
      </c>
      <c r="C10" s="1473" t="s">
        <v>34</v>
      </c>
      <c r="D10" s="1466"/>
      <c r="E10" s="1466"/>
      <c r="F10" s="1475" t="s">
        <v>299</v>
      </c>
      <c r="G10" s="1475" t="s">
        <v>300</v>
      </c>
      <c r="H10" s="1475" t="s">
        <v>301</v>
      </c>
      <c r="I10" s="1475" t="s">
        <v>299</v>
      </c>
      <c r="J10" s="1475" t="s">
        <v>300</v>
      </c>
      <c r="K10" s="1475" t="s">
        <v>301</v>
      </c>
      <c r="L10" s="1472"/>
      <c r="M10" s="1472"/>
      <c r="N10" s="1472"/>
    </row>
    <row r="11" spans="1:14">
      <c r="A11" s="1466"/>
      <c r="B11" s="1474"/>
      <c r="C11" s="1474"/>
      <c r="D11" s="1466"/>
      <c r="E11" s="1466"/>
      <c r="F11" s="1476"/>
      <c r="G11" s="1476"/>
      <c r="H11" s="1476"/>
      <c r="I11" s="1476"/>
      <c r="J11" s="1476"/>
      <c r="K11" s="1476"/>
      <c r="L11" s="1472"/>
      <c r="M11" s="1472"/>
      <c r="N11" s="1472"/>
    </row>
    <row r="12" spans="1:14" s="413" customFormat="1">
      <c r="A12" s="415" t="s">
        <v>2</v>
      </c>
      <c r="B12" s="416" t="s">
        <v>3</v>
      </c>
      <c r="C12" s="415" t="s">
        <v>4</v>
      </c>
      <c r="D12" s="415" t="s">
        <v>5</v>
      </c>
      <c r="E12" s="415" t="s">
        <v>6</v>
      </c>
      <c r="F12" s="415">
        <v>1</v>
      </c>
      <c r="G12" s="415"/>
      <c r="H12" s="415"/>
      <c r="I12" s="415"/>
      <c r="J12" s="415"/>
      <c r="K12" s="415"/>
      <c r="L12" s="415"/>
      <c r="M12" s="415"/>
      <c r="N12" s="415"/>
    </row>
    <row r="13" spans="1:14">
      <c r="A13" s="417"/>
      <c r="B13" s="417"/>
      <c r="C13" s="417"/>
      <c r="D13" s="418" t="s">
        <v>7</v>
      </c>
      <c r="E13" s="417"/>
      <c r="F13" s="417"/>
      <c r="G13" s="417"/>
      <c r="H13" s="417"/>
      <c r="I13" s="417"/>
      <c r="J13" s="417"/>
      <c r="K13" s="417"/>
      <c r="L13" s="419">
        <f>CDPS!$D$60</f>
        <v>0</v>
      </c>
      <c r="M13" s="417"/>
      <c r="N13" s="417"/>
    </row>
    <row r="14" spans="1:14">
      <c r="A14" s="420"/>
      <c r="B14" s="420"/>
      <c r="C14" s="420"/>
      <c r="D14" s="421" t="s">
        <v>302</v>
      </c>
      <c r="E14" s="420"/>
      <c r="F14" s="420"/>
      <c r="G14" s="420"/>
      <c r="H14" s="420"/>
      <c r="I14" s="420"/>
      <c r="J14" s="420"/>
      <c r="K14" s="420"/>
      <c r="L14" s="420"/>
      <c r="M14" s="420"/>
      <c r="N14" s="420"/>
    </row>
    <row r="15" spans="1:14">
      <c r="A15" s="420"/>
      <c r="B15" s="420"/>
      <c r="C15" s="420"/>
      <c r="D15" s="420"/>
      <c r="E15" s="420"/>
      <c r="F15" s="420"/>
      <c r="G15" s="420"/>
      <c r="H15" s="420"/>
      <c r="I15" s="420"/>
      <c r="J15" s="420"/>
      <c r="K15" s="420"/>
      <c r="L15" s="420"/>
      <c r="M15" s="420"/>
      <c r="N15" s="420"/>
    </row>
    <row r="16" spans="1:14">
      <c r="A16" s="420"/>
      <c r="B16" s="420"/>
      <c r="C16" s="420"/>
      <c r="D16" s="422"/>
      <c r="E16" s="422"/>
      <c r="F16" s="422"/>
      <c r="G16" s="422"/>
      <c r="H16" s="422"/>
      <c r="I16" s="422"/>
      <c r="J16" s="422"/>
      <c r="K16" s="422"/>
      <c r="L16" s="422"/>
      <c r="M16" s="422"/>
      <c r="N16" s="422"/>
    </row>
    <row r="17" spans="1:14">
      <c r="A17" s="420"/>
      <c r="B17" s="420"/>
      <c r="C17" s="420"/>
      <c r="D17" s="423" t="s">
        <v>158</v>
      </c>
      <c r="E17" s="779" t="s">
        <v>21</v>
      </c>
      <c r="F17" s="424"/>
      <c r="G17" s="424"/>
      <c r="H17" s="424"/>
      <c r="I17" s="424"/>
      <c r="J17" s="424"/>
      <c r="K17" s="424"/>
      <c r="L17" s="424"/>
      <c r="M17" s="424"/>
      <c r="N17" s="424"/>
    </row>
    <row r="18" spans="1:14">
      <c r="A18" s="425"/>
      <c r="B18" s="425"/>
      <c r="C18" s="425"/>
      <c r="D18" s="426" t="s">
        <v>10</v>
      </c>
      <c r="E18" s="780" t="s">
        <v>21</v>
      </c>
      <c r="F18" s="425"/>
      <c r="G18" s="425"/>
      <c r="H18" s="425"/>
      <c r="I18" s="425"/>
      <c r="J18" s="425"/>
      <c r="K18" s="425"/>
      <c r="L18" s="427">
        <f>L13+L17</f>
        <v>0</v>
      </c>
      <c r="M18" s="425"/>
      <c r="N18" s="425"/>
    </row>
    <row r="20" spans="1:14">
      <c r="C20" s="428" t="s">
        <v>303</v>
      </c>
    </row>
    <row r="21" spans="1:14">
      <c r="C21" s="428" t="s">
        <v>304</v>
      </c>
    </row>
    <row r="22" spans="1:14">
      <c r="B22" s="429"/>
      <c r="C22" s="429"/>
      <c r="D22" s="429"/>
      <c r="E22" s="1462" t="s">
        <v>305</v>
      </c>
      <c r="F22" s="1462"/>
      <c r="G22" s="1462"/>
      <c r="H22" s="1462"/>
      <c r="I22" s="1462"/>
      <c r="J22" s="1462"/>
      <c r="K22" s="1462"/>
      <c r="L22" s="1462"/>
      <c r="M22" s="1462"/>
      <c r="N22" s="1462"/>
    </row>
    <row r="23" spans="1:14">
      <c r="A23" s="1462" t="s">
        <v>11</v>
      </c>
      <c r="B23" s="1462"/>
      <c r="C23" s="1462"/>
      <c r="D23" s="1462"/>
      <c r="E23" s="1462" t="s">
        <v>12</v>
      </c>
      <c r="F23" s="1462"/>
      <c r="G23" s="1462"/>
      <c r="H23" s="1462"/>
      <c r="I23" s="1462"/>
      <c r="J23" s="1462"/>
      <c r="K23" s="1462"/>
      <c r="L23" s="1462"/>
      <c r="M23" s="1462"/>
      <c r="N23" s="1462"/>
    </row>
    <row r="24" spans="1:14">
      <c r="A24" s="1462" t="s">
        <v>13</v>
      </c>
      <c r="B24" s="1462"/>
      <c r="C24" s="1462"/>
      <c r="D24" s="1462"/>
      <c r="E24" s="1462" t="s">
        <v>13</v>
      </c>
      <c r="F24" s="1462"/>
      <c r="G24" s="1462"/>
      <c r="H24" s="1462"/>
      <c r="I24" s="1462"/>
      <c r="J24" s="1462"/>
      <c r="K24" s="1462"/>
      <c r="L24" s="1462"/>
      <c r="M24" s="1462"/>
      <c r="N24" s="1462"/>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P41" sqref="P41"/>
      <selection pane="bottomLeft" activeCell="D30" sqref="D30"/>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59" customFormat="1" ht="5.25" customHeight="1"/>
    <row r="2" spans="1:16" s="459" customFormat="1" ht="12.75" customHeight="1">
      <c r="A2" s="87" t="s">
        <v>179</v>
      </c>
      <c r="G2" s="102" t="str">
        <f>+IF(LEFT($D$7,1)="N","Mẫu số 01 - VT","Mẫu số 02 - VT")</f>
        <v>Mẫu số 02 - VT</v>
      </c>
    </row>
    <row r="3" spans="1:16" s="459" customFormat="1" ht="12.75" customHeight="1">
      <c r="A3" s="98" t="s">
        <v>308</v>
      </c>
      <c r="G3" s="99" t="s">
        <v>309</v>
      </c>
      <c r="N3" s="102" t="s">
        <v>126</v>
      </c>
      <c r="O3" s="460"/>
    </row>
    <row r="4" spans="1:16" s="459" customFormat="1" ht="11.25" customHeight="1">
      <c r="G4" s="99" t="s">
        <v>234</v>
      </c>
      <c r="J4" s="461" t="s">
        <v>432</v>
      </c>
      <c r="M4" s="462"/>
      <c r="N4" s="102" t="s">
        <v>127</v>
      </c>
      <c r="O4" s="460"/>
    </row>
    <row r="5" spans="1:16" s="459" customFormat="1" ht="18" customHeight="1">
      <c r="D5" s="463" t="str">
        <f>+IF(LEFT($L$5,1)="N","PHIẾU NHẬP KHO","PHIẾU XUẤT KHO")</f>
        <v>PHIẾU NHẬP KHO</v>
      </c>
      <c r="J5" s="464">
        <v>1</v>
      </c>
      <c r="K5" s="465"/>
      <c r="L5" s="466" t="s">
        <v>813</v>
      </c>
      <c r="M5" s="467"/>
      <c r="N5" s="468">
        <v>1</v>
      </c>
      <c r="O5" s="460"/>
      <c r="P5" s="460"/>
    </row>
    <row r="6" spans="1:16" s="469" customFormat="1" ht="12" customHeight="1">
      <c r="D6" s="470" t="str">
        <f ca="1">"Ngày  " &amp;DAY(IF(ROWS($1:1)&gt;COUNT(Dong10),"",OFFSET(TH!C$1,SMALL(Dong10,ROWS($1:1)),)))&amp;"  tháng  " &amp; MONTH(IF(ROWS($1:1)&gt;COUNT(Dong10),"",OFFSET(TH!C$1,SMALL(Dong10,ROWS($1:1)),)))&amp;"  năm  "&amp;YEAR(IF(ROWS($1:1)&gt;COUNT(Dong10),"",OFFSET(TH!C$1,SMALL(Dong10,ROWS($1:1)),)))</f>
        <v>Ngày  3  tháng  1  năm  2018</v>
      </c>
      <c r="E6" s="471"/>
      <c r="M6" s="472"/>
      <c r="O6" s="473"/>
    </row>
    <row r="7" spans="1:16" s="469" customFormat="1" ht="12" customHeight="1">
      <c r="C7" s="474" t="str">
        <f xml:space="preserve"> "Số:"</f>
        <v>Số:</v>
      </c>
      <c r="D7" s="475" t="str">
        <f xml:space="preserve"> RIGHT($L$5,2)&amp;"/"&amp;LEFT($L$5,1)&amp;IF($N$5&gt;=10,$N$5,"0"&amp;$N$5)</f>
        <v>VL/N01</v>
      </c>
      <c r="G7" s="469" t="str">
        <f ca="1">"Nợ:  "&amp;IF(ROWS($1:1)&gt;COUNT(Dong10),"",OFFSET(TH!N$1,SMALL(Dong10,ROWS($1:1)),))</f>
        <v>Nợ:  1522</v>
      </c>
      <c r="M7" s="472"/>
      <c r="O7" s="473"/>
    </row>
    <row r="8" spans="1:16" s="469" customFormat="1" ht="12" customHeight="1">
      <c r="D8" s="99"/>
      <c r="G8" s="469" t="str">
        <f ca="1">"Có:  "&amp;IF(ROWS($1:1)&gt;COUNT(Dong10),"",OFFSET(TH!O$1,SMALL(Dong10,ROWS($1:1)),))</f>
        <v>Có:  331</v>
      </c>
      <c r="M8" s="472"/>
      <c r="O8" s="476"/>
    </row>
    <row r="9" spans="1:16" s="469" customFormat="1" ht="12" customHeight="1">
      <c r="A9" s="469" t="str">
        <f ca="1">+IF(MID($D$7,4,1)="N","Họ và tên người giao :   ","Họ và tên người nhận hàng :   ")&amp;IF(ROWS($1:1)&gt;COUNT(Dong10),"",OFFSET(TH!H$1,SMALL(Dong10,ROWS($1:1)),)) &amp;IF(MID($D$7,4,1)="N","","                                         Địa chỉ (bộ phận) :     Sản Xuất ")</f>
        <v>Họ và tên người giao :   Cty TNHH MTV BTFood</v>
      </c>
      <c r="M9" s="472"/>
    </row>
    <row r="10" spans="1:16" s="469" customFormat="1" ht="12" customHeight="1">
      <c r="A10" s="469" t="str">
        <f>+IF(LEFT($D$7,1)="N","Theo……………………………………....…………..số………….…………….……ngày……...tháng…......năm……....","Lý do xuất :                                 Xuất dùng ")</f>
        <v xml:space="preserve">Lý do xuất :                                 Xuất dùng </v>
      </c>
    </row>
    <row r="11" spans="1:16" s="469" customFormat="1" ht="12" customHeight="1">
      <c r="A11" s="469" t="str">
        <f>+IF(LEFT($D$7,1)="N","của………………………………………………………………………………………………………………………………....","Xuất tại kho (ngăn lô) :            Công ty TNHH Hải Sản An Lạc                      Địa điểm :  Đức Hòa, Long An.")</f>
        <v>Xuất tại kho (ngăn lô) :            Công ty TNHH Hải Sản An Lạc                      Địa điểm :  Đức Hòa, Long An.</v>
      </c>
    </row>
    <row r="12" spans="1:16" s="469" customFormat="1" ht="12" customHeight="1">
      <c r="A12" s="469" t="str">
        <f>+IF(LEFT("x",1)="N","Nhập tại kho:       Công ty TNHH Hải Sản An Lạc                      Địa điểm:  Đức Hòa, Long An."," ")</f>
        <v/>
      </c>
    </row>
    <row r="13" spans="1:16" s="469" customFormat="1" ht="2.25" customHeight="1"/>
    <row r="14" spans="1:16" s="469" customFormat="1" ht="11.25" customHeight="1">
      <c r="A14" s="1477" t="s">
        <v>37</v>
      </c>
      <c r="B14" s="1477" t="s">
        <v>433</v>
      </c>
      <c r="C14" s="1477" t="s">
        <v>434</v>
      </c>
      <c r="D14" s="1477" t="s">
        <v>316</v>
      </c>
      <c r="E14" s="1479" t="s">
        <v>435</v>
      </c>
      <c r="F14" s="1479"/>
      <c r="G14" s="1477" t="s">
        <v>436</v>
      </c>
      <c r="H14" s="1477" t="s">
        <v>437</v>
      </c>
    </row>
    <row r="15" spans="1:16" s="469" customFormat="1" ht="19.5" customHeight="1">
      <c r="A15" s="1478"/>
      <c r="B15" s="1478"/>
      <c r="C15" s="1478"/>
      <c r="D15" s="1478"/>
      <c r="E15" s="477" t="s">
        <v>438</v>
      </c>
      <c r="F15" s="477" t="str">
        <f>IF(LEFT($D$7,1)="N","Thực nhập","Thực xuất")</f>
        <v>Thực xuất</v>
      </c>
      <c r="G15" s="1478"/>
      <c r="H15" s="1478"/>
    </row>
    <row r="16" spans="1:16" s="479" customFormat="1" ht="8.25" customHeight="1">
      <c r="A16" s="478" t="s">
        <v>2</v>
      </c>
      <c r="B16" s="478" t="s">
        <v>3</v>
      </c>
      <c r="C16" s="478" t="s">
        <v>4</v>
      </c>
      <c r="D16" s="478" t="s">
        <v>5</v>
      </c>
      <c r="E16" s="478">
        <v>1</v>
      </c>
      <c r="F16" s="478">
        <v>2</v>
      </c>
      <c r="G16" s="478">
        <v>3</v>
      </c>
      <c r="H16" s="478">
        <v>4</v>
      </c>
    </row>
    <row r="17" spans="1:8" s="469" customFormat="1" ht="12" customHeight="1">
      <c r="A17" s="480">
        <f ca="1">IF(B17="","",ROW()-16)</f>
        <v>1</v>
      </c>
      <c r="B17" s="481" t="str">
        <f ca="1">IF(ROWS($1:1)&gt;COUNT(Dong10),"",OFFSET(TH!F$1,SMALL(Dong10,ROWS($1:1)),))</f>
        <v>Mè trắng</v>
      </c>
      <c r="C17" s="482"/>
      <c r="D17" s="483" t="str">
        <f ca="1">IF(ISNA(VLOOKUP(B17,NXT!$C$12:$D$96,2,0)),"",VLOOKUP(B17,NXT!$C$12:$D$96,2,0))</f>
        <v>kg</v>
      </c>
      <c r="E17" s="484"/>
      <c r="F17" s="485">
        <f ca="1">IF(ROWS($1:1)&gt;COUNT(Dong10),"",OFFSET(TH!I$1,SMALL(Dong10,ROWS($1:1)),))</f>
        <v>310</v>
      </c>
      <c r="G17" s="486">
        <f ca="1">IF(ROWS($1:1)&gt;COUNT(Dong10),"",OFFSET(TH!J$1,SMALL(Dong10,ROWS($1:1)),))</f>
        <v>51000</v>
      </c>
      <c r="H17" s="484">
        <f t="shared" ref="H17:H23" ca="1" si="0">IF(F17&lt;&gt;"",ROUND(F17*G17,0),"")</f>
        <v>15810000</v>
      </c>
    </row>
    <row r="18" spans="1:8" s="469" customFormat="1" ht="12" customHeight="1">
      <c r="A18" s="480" t="str">
        <f t="shared" ref="A18:A23" ca="1" si="1">IF(B18="","",A17+1)</f>
        <v/>
      </c>
      <c r="B18" s="481" t="str">
        <f ca="1">IF(ROWS($1:2)&gt;COUNT(Dong10),"",OFFSET(TH!F$1,SMALL(Dong10,ROWS($1:2)),))</f>
        <v/>
      </c>
      <c r="C18" s="482"/>
      <c r="D18" s="483" t="str">
        <f ca="1">IF(ISNA(VLOOKUP(B18,NXT!$C$12:$D$96,2,0)),"",VLOOKUP(B18,NXT!$C$12:$D$96,2,0))</f>
        <v/>
      </c>
      <c r="E18" s="484"/>
      <c r="F18" s="485" t="str">
        <f ca="1">IF(ROWS($1:2)&gt;COUNT(Dong10),"",OFFSET(TH!I$1,SMALL(Dong10,ROWS($1:2)),))</f>
        <v/>
      </c>
      <c r="G18" s="486" t="str">
        <f ca="1">IF(ROWS($1:2)&gt;COUNT(Dong10),"",OFFSET(TH!J$1,SMALL(Dong10,ROWS($1:2)),))</f>
        <v/>
      </c>
      <c r="H18" s="484" t="str">
        <f t="shared" ca="1" si="0"/>
        <v/>
      </c>
    </row>
    <row r="19" spans="1:8" s="469" customFormat="1" ht="12" customHeight="1">
      <c r="A19" s="480" t="str">
        <f t="shared" ca="1" si="1"/>
        <v/>
      </c>
      <c r="B19" s="481" t="str">
        <f ca="1">IF(ROWS($1:3)&gt;COUNT(Dong10),"",OFFSET(TH!F$1,SMALL(Dong10,ROWS($1:3)),))</f>
        <v/>
      </c>
      <c r="C19" s="482"/>
      <c r="D19" s="483" t="str">
        <f ca="1">IF(ISNA(VLOOKUP(B19,NXT!$C$12:$D$96,2,0)),"",VLOOKUP(B19,NXT!$C$12:$D$96,2,0))</f>
        <v/>
      </c>
      <c r="E19" s="484"/>
      <c r="F19" s="485" t="str">
        <f ca="1">IF(ROWS($1:3)&gt;COUNT(Dong10),"",OFFSET(TH!I$1,SMALL(Dong10,ROWS($1:3)),))</f>
        <v/>
      </c>
      <c r="G19" s="486" t="str">
        <f ca="1">IF(ROWS($1:3)&gt;COUNT(Dong10),"",OFFSET(TH!J$1,SMALL(Dong10,ROWS($1:3)),))</f>
        <v/>
      </c>
      <c r="H19" s="484" t="str">
        <f t="shared" ca="1" si="0"/>
        <v/>
      </c>
    </row>
    <row r="20" spans="1:8" s="469" customFormat="1" ht="12" customHeight="1">
      <c r="A20" s="480" t="str">
        <f t="shared" ca="1" si="1"/>
        <v/>
      </c>
      <c r="B20" s="481" t="str">
        <f ca="1">IF(ROWS($1:4)&gt;COUNT(Dong10),"",OFFSET(TH!F$1,SMALL(Dong10,ROWS($1:4)),))</f>
        <v/>
      </c>
      <c r="C20" s="482"/>
      <c r="D20" s="483" t="str">
        <f ca="1">IF(ISNA(VLOOKUP(B20,NXT!$C$12:$D$96,2,0)),"",VLOOKUP(B20,NXT!$C$12:$D$96,2,0))</f>
        <v/>
      </c>
      <c r="E20" s="484"/>
      <c r="F20" s="485" t="str">
        <f ca="1">IF(ROWS($1:4)&gt;COUNT(Dong10),"",OFFSET(TH!I$1,SMALL(Dong10,ROWS($1:4)),))</f>
        <v/>
      </c>
      <c r="G20" s="486" t="str">
        <f ca="1">IF(ROWS($1:4)&gt;COUNT(Dong10),"",OFFSET(TH!J$1,SMALL(Dong10,ROWS($1:4)),))</f>
        <v/>
      </c>
      <c r="H20" s="484" t="str">
        <f t="shared" ca="1" si="0"/>
        <v/>
      </c>
    </row>
    <row r="21" spans="1:8" s="469" customFormat="1" ht="12" customHeight="1">
      <c r="A21" s="480" t="str">
        <f t="shared" ca="1" si="1"/>
        <v/>
      </c>
      <c r="B21" s="481" t="str">
        <f ca="1">IF(ROWS($1:5)&gt;COUNT(Dong10),"",OFFSET(TH!F$1,SMALL(Dong10,ROWS($1:5)),))</f>
        <v/>
      </c>
      <c r="C21" s="482"/>
      <c r="D21" s="483" t="str">
        <f ca="1">IF(ISNA(VLOOKUP(B21,NXT!$C$12:$D$96,2,0)),"",VLOOKUP(B21,NXT!$C$12:$D$96,2,0))</f>
        <v/>
      </c>
      <c r="E21" s="484"/>
      <c r="F21" s="485" t="str">
        <f ca="1">IF(ROWS($1:5)&gt;COUNT(Dong10),"",OFFSET(TH!I$1,SMALL(Dong10,ROWS($1:5)),))</f>
        <v/>
      </c>
      <c r="G21" s="486" t="str">
        <f ca="1">IF(ROWS($1:5)&gt;COUNT(Dong10),"",OFFSET(TH!J$1,SMALL(Dong10,ROWS($1:5)),))</f>
        <v/>
      </c>
      <c r="H21" s="484" t="str">
        <f t="shared" ca="1" si="0"/>
        <v/>
      </c>
    </row>
    <row r="22" spans="1:8" s="469" customFormat="1" ht="12" customHeight="1">
      <c r="A22" s="480" t="str">
        <f t="shared" ca="1" si="1"/>
        <v/>
      </c>
      <c r="B22" s="481" t="str">
        <f ca="1">IF(ROWS($1:6)&gt;COUNT(Dong10),"",OFFSET(TH!F$1,SMALL(Dong10,ROWS($1:6)),))</f>
        <v/>
      </c>
      <c r="C22" s="482"/>
      <c r="D22" s="483" t="str">
        <f ca="1">IF(ISNA(VLOOKUP(B22,NXT!$C$12:$D$96,2,0)),"",VLOOKUP(B22,NXT!$C$12:$D$96,2,0))</f>
        <v/>
      </c>
      <c r="E22" s="484"/>
      <c r="F22" s="485" t="str">
        <f ca="1">IF(ROWS($1:6)&gt;COUNT(Dong10),"",OFFSET(TH!I$1,SMALL(Dong10,ROWS($1:6)),))</f>
        <v/>
      </c>
      <c r="G22" s="486" t="str">
        <f ca="1">IF(ROWS($1:6)&gt;COUNT(Dong10),"",OFFSET(TH!J$1,SMALL(Dong10,ROWS($1:6)),))</f>
        <v/>
      </c>
      <c r="H22" s="484" t="str">
        <f t="shared" ca="1" si="0"/>
        <v/>
      </c>
    </row>
    <row r="23" spans="1:8" s="469" customFormat="1" ht="12" customHeight="1">
      <c r="A23" s="487" t="str">
        <f t="shared" ca="1" si="1"/>
        <v/>
      </c>
      <c r="B23" s="481" t="str">
        <f ca="1">IF(ROWS($1:7)&gt;COUNT(Dong10),"",OFFSET(TH!F$1,SMALL(Dong10,ROWS($1:7)),))</f>
        <v/>
      </c>
      <c r="C23" s="482"/>
      <c r="D23" s="483" t="str">
        <f ca="1">IF(ISNA(VLOOKUP(B23,NXT!$C$12:$D$96,2,0)),"",VLOOKUP(B23,NXT!$C$12:$D$96,2,0))</f>
        <v/>
      </c>
      <c r="E23" s="484"/>
      <c r="F23" s="485" t="str">
        <f ca="1">IF(ROWS($1:7)&gt;COUNT(Dong10),"",OFFSET(TH!I$1,SMALL(Dong10,ROWS($1:7)),))</f>
        <v/>
      </c>
      <c r="G23" s="486" t="str">
        <f ca="1">IF(ROWS($1:7)&gt;COUNT(Dong10),"",OFFSET(TH!J$1,SMALL(Dong10,ROWS($1:7)),))</f>
        <v/>
      </c>
      <c r="H23" s="488" t="str">
        <f t="shared" ca="1" si="0"/>
        <v/>
      </c>
    </row>
    <row r="24" spans="1:8" s="469" customFormat="1" ht="12" customHeight="1">
      <c r="A24" s="1479" t="s">
        <v>439</v>
      </c>
      <c r="B24" s="1479"/>
      <c r="C24" s="489"/>
      <c r="D24" s="489"/>
      <c r="E24" s="490"/>
      <c r="F24" s="490"/>
      <c r="G24" s="490"/>
      <c r="H24" s="490">
        <f ca="1">SUM(H17:H23)</f>
        <v>15810000</v>
      </c>
    </row>
    <row r="25" spans="1:8" s="469" customFormat="1" ht="3" customHeight="1">
      <c r="A25" s="491"/>
      <c r="B25" s="491"/>
      <c r="C25" s="472"/>
      <c r="D25" s="472"/>
      <c r="E25" s="492"/>
      <c r="F25" s="492"/>
      <c r="G25" s="492"/>
      <c r="H25" s="492"/>
    </row>
    <row r="26" spans="1:8" s="469" customFormat="1" ht="14.25" customHeight="1">
      <c r="A26" s="469" t="e">
        <f ca="1">"Tổng số tiền (viết bằng chữ):  "&amp; [6]!VND(H24, TRUE)</f>
        <v>#NAME?</v>
      </c>
    </row>
    <row r="27" spans="1:8" s="469" customFormat="1" ht="14.25" customHeight="1">
      <c r="A27" s="469" t="str">
        <f>"Số chứng từ gốc kèm theo :  "</f>
        <v xml:space="preserve">Số chứng từ gốc kèm theo :  </v>
      </c>
    </row>
    <row r="28" spans="1:8" s="469" customFormat="1" ht="14.25" customHeight="1">
      <c r="F28" s="110" t="str">
        <f ca="1">+IF(LEFT($D$7,1)="N","                                                          "&amp;D6,"                                                                                           "&amp;D6)</f>
        <v xml:space="preserve">                                                                                           Ngày  3  tháng  1  năm  2018</v>
      </c>
    </row>
    <row r="29" spans="1:8" s="494" customFormat="1" ht="14.25" customHeight="1">
      <c r="A29" s="493" t="s">
        <v>440</v>
      </c>
      <c r="C29" s="495"/>
      <c r="E29" s="495"/>
      <c r="F29" s="495" t="str">
        <f>+IF(LEFT($D$7,1)="N","                                                       Kế toán trưởng","                                          Kế toán trưởng                           Giám đốc")</f>
        <v xml:space="preserve">                                          Kế toán trưởng                           Giám đốc</v>
      </c>
    </row>
    <row r="30" spans="1:8" s="469" customFormat="1" ht="12.75" customHeight="1">
      <c r="A30" s="475" t="s">
        <v>441</v>
      </c>
      <c r="C30" s="110"/>
      <c r="E30" s="110"/>
      <c r="F30" s="110" t="str">
        <f>+IF(LEFT($D$7,1)="N","                                                     (Ký, họ tên)","                (Ký, họ tên)                ")</f>
        <v xml:space="preserve">                (Ký, họ tên)                </v>
      </c>
      <c r="H30" s="475"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P41" sqref="P41"/>
      <selection pane="bottomLeft" activeCell="P41" sqref="P41"/>
    </sheetView>
  </sheetViews>
  <sheetFormatPr defaultRowHeight="14.25"/>
  <cols>
    <col min="1" max="1" width="4.42578125" style="545" customWidth="1"/>
    <col min="2" max="2" width="9.140625" style="545"/>
    <col min="3" max="3" width="9.140625" style="609" customWidth="1"/>
    <col min="4" max="4" width="10.85546875" style="609" customWidth="1"/>
    <col min="5" max="5" width="39.42578125" style="610" customWidth="1"/>
    <col min="6" max="6" width="10.85546875" style="611" customWidth="1"/>
    <col min="7" max="7" width="9" style="612" customWidth="1"/>
    <col min="8" max="8" width="9.5703125" style="612" customWidth="1"/>
    <col min="9" max="9" width="10" style="612" customWidth="1"/>
    <col min="10" max="10" width="8" style="545" customWidth="1"/>
    <col min="11" max="11" width="2.42578125" style="545" customWidth="1"/>
    <col min="12" max="12" width="6.5703125" style="545" customWidth="1"/>
    <col min="13" max="16384" width="9.140625" style="545"/>
  </cols>
  <sheetData>
    <row r="1" spans="1:12" ht="15" customHeight="1">
      <c r="A1" s="540" t="s">
        <v>179</v>
      </c>
      <c r="B1" s="541"/>
      <c r="C1" s="541"/>
      <c r="D1" s="541"/>
      <c r="E1" s="542"/>
      <c r="F1" s="541"/>
      <c r="G1" s="543"/>
      <c r="H1" s="544" t="s">
        <v>457</v>
      </c>
      <c r="I1" s="545"/>
      <c r="J1" s="546"/>
      <c r="K1" s="546"/>
      <c r="L1" s="547"/>
    </row>
    <row r="2" spans="1:12" ht="15" customHeight="1">
      <c r="A2" s="548" t="s">
        <v>308</v>
      </c>
      <c r="B2" s="549"/>
      <c r="C2" s="549"/>
      <c r="D2" s="549"/>
      <c r="E2" s="550"/>
      <c r="F2" s="551"/>
      <c r="G2" s="552"/>
      <c r="H2" s="553" t="s">
        <v>309</v>
      </c>
      <c r="I2" s="545"/>
      <c r="J2" s="546"/>
      <c r="K2" s="546"/>
    </row>
    <row r="3" spans="1:12" ht="15">
      <c r="A3" s="549"/>
      <c r="B3" s="549"/>
      <c r="C3" s="549"/>
      <c r="D3" s="549"/>
      <c r="E3" s="550"/>
      <c r="F3" s="551"/>
      <c r="G3" s="552"/>
      <c r="H3" s="553" t="s">
        <v>234</v>
      </c>
      <c r="I3" s="545"/>
      <c r="J3" s="546"/>
      <c r="K3" s="546"/>
    </row>
    <row r="4" spans="1:12" ht="18.75" customHeight="1">
      <c r="A4" s="554"/>
      <c r="B4" s="554"/>
      <c r="C4" s="554"/>
      <c r="D4" s="554"/>
      <c r="E4" s="555" t="s">
        <v>458</v>
      </c>
      <c r="F4" s="554"/>
      <c r="G4" s="554"/>
      <c r="H4" s="554"/>
      <c r="I4" s="554"/>
      <c r="J4" s="546"/>
      <c r="K4" s="546"/>
    </row>
    <row r="5" spans="1:12" ht="15">
      <c r="A5" s="556"/>
      <c r="B5" s="556"/>
      <c r="C5" s="556"/>
      <c r="D5" s="556"/>
      <c r="E5" s="557" t="str">
        <f ca="1">IF(ISERROR("Ngày lập thẻ: ngày "&amp;DAY(B14)&amp;"/"&amp;MONTH(B14)&amp;"/"&amp;YEAR(B14)),"Ngày lập thẻ: ngày 01/ 01/2016 ","Ngày lập thẻ: ngày "&amp;DAY(B14)&amp;"/"&amp;MONTH(B14)&amp;"/"&amp;YEAR(B14))</f>
        <v>Ngày lập thẻ: ngày 5/1/2018</v>
      </c>
      <c r="F5" s="556"/>
      <c r="G5" s="556"/>
      <c r="H5" s="556"/>
      <c r="I5" s="556"/>
      <c r="J5" s="546"/>
      <c r="K5" s="546"/>
    </row>
    <row r="6" spans="1:12" ht="15">
      <c r="A6" s="556"/>
      <c r="B6" s="556"/>
      <c r="C6" s="556"/>
      <c r="D6" s="556"/>
      <c r="E6" s="557" t="s">
        <v>459</v>
      </c>
      <c r="F6" s="556"/>
      <c r="G6" s="556"/>
      <c r="H6" s="556"/>
      <c r="I6" s="556"/>
      <c r="J6" s="546"/>
      <c r="K6" s="546"/>
    </row>
    <row r="7" spans="1:12" ht="15">
      <c r="A7" s="537" t="s">
        <v>460</v>
      </c>
      <c r="B7" s="537"/>
      <c r="C7" s="558"/>
      <c r="D7" s="558"/>
      <c r="E7" s="559" t="s">
        <v>338</v>
      </c>
      <c r="F7" s="551"/>
      <c r="G7" s="560"/>
      <c r="H7" s="560"/>
      <c r="I7" s="560"/>
      <c r="J7" s="546"/>
      <c r="K7" s="546"/>
    </row>
    <row r="8" spans="1:12" ht="15">
      <c r="A8" s="537" t="s">
        <v>461</v>
      </c>
      <c r="B8" s="537"/>
      <c r="C8" s="546" t="str">
        <f>VLOOKUP($E$7,NXT!$C$12:$L$111,2,0)</f>
        <v>kg</v>
      </c>
      <c r="D8" s="537"/>
      <c r="E8" s="559"/>
      <c r="F8" s="551"/>
      <c r="G8" s="560"/>
      <c r="H8" s="560"/>
      <c r="I8" s="560"/>
      <c r="J8" s="546"/>
      <c r="K8" s="546"/>
    </row>
    <row r="9" spans="1:12" ht="15">
      <c r="A9" s="1490" t="s">
        <v>462</v>
      </c>
      <c r="B9" s="1491"/>
      <c r="C9" s="1491"/>
      <c r="D9" s="1491"/>
      <c r="E9" s="559"/>
      <c r="F9" s="551"/>
      <c r="G9" s="560"/>
      <c r="H9" s="560"/>
      <c r="I9" s="560"/>
      <c r="J9" s="561"/>
      <c r="K9" s="561"/>
    </row>
    <row r="10" spans="1:12" ht="19.5" customHeight="1">
      <c r="A10" s="1492" t="s">
        <v>463</v>
      </c>
      <c r="B10" s="1493" t="s">
        <v>464</v>
      </c>
      <c r="C10" s="1495" t="s">
        <v>17</v>
      </c>
      <c r="D10" s="1482"/>
      <c r="E10" s="1496" t="s">
        <v>0</v>
      </c>
      <c r="F10" s="1488" t="s">
        <v>465</v>
      </c>
      <c r="G10" s="1481" t="s">
        <v>435</v>
      </c>
      <c r="H10" s="1481"/>
      <c r="I10" s="1482"/>
      <c r="J10" s="1483" t="s">
        <v>466</v>
      </c>
      <c r="K10" s="562"/>
      <c r="L10" s="563" t="s">
        <v>451</v>
      </c>
    </row>
    <row r="11" spans="1:12" ht="19.5" customHeight="1">
      <c r="A11" s="1492"/>
      <c r="B11" s="1494"/>
      <c r="C11" s="564" t="s">
        <v>448</v>
      </c>
      <c r="D11" s="564" t="s">
        <v>449</v>
      </c>
      <c r="E11" s="1497"/>
      <c r="F11" s="1489"/>
      <c r="G11" s="565" t="s">
        <v>448</v>
      </c>
      <c r="H11" s="565" t="s">
        <v>449</v>
      </c>
      <c r="I11" s="565" t="s">
        <v>450</v>
      </c>
      <c r="J11" s="1484"/>
      <c r="K11" s="562"/>
    </row>
    <row r="12" spans="1:12" ht="15">
      <c r="A12" s="566" t="s">
        <v>2</v>
      </c>
      <c r="B12" s="567" t="s">
        <v>3</v>
      </c>
      <c r="C12" s="568" t="s">
        <v>4</v>
      </c>
      <c r="D12" s="568" t="s">
        <v>5</v>
      </c>
      <c r="E12" s="569" t="s">
        <v>6</v>
      </c>
      <c r="F12" s="567" t="s">
        <v>155</v>
      </c>
      <c r="G12" s="570">
        <v>1</v>
      </c>
      <c r="H12" s="570">
        <v>2</v>
      </c>
      <c r="I12" s="570">
        <v>3</v>
      </c>
      <c r="J12" s="568" t="s">
        <v>156</v>
      </c>
      <c r="K12" s="571"/>
    </row>
    <row r="13" spans="1:12" ht="16.5" customHeight="1">
      <c r="A13" s="572"/>
      <c r="B13" s="573"/>
      <c r="C13" s="574"/>
      <c r="D13" s="574"/>
      <c r="E13" s="575" t="s">
        <v>323</v>
      </c>
      <c r="F13" s="573"/>
      <c r="G13" s="576"/>
      <c r="H13" s="576"/>
      <c r="I13" s="577">
        <f>VLOOKUP($E$7,NXT!$C$12:$L$111,3,0)</f>
        <v>2100</v>
      </c>
      <c r="J13" s="572"/>
      <c r="K13" s="578"/>
    </row>
    <row r="14" spans="1:12" ht="16.5" customHeight="1">
      <c r="A14" s="579">
        <f ca="1">IF(B14&lt;&gt;"",ROW()-(ROW()-1),"")</f>
        <v>1</v>
      </c>
      <c r="B14" s="580">
        <f ca="1">IF(ROWS($1:1)&gt;COUNT(Dong12),"",OFFSET(TH!E$1,SMALL(Dong12,ROWS($1:1)),))</f>
        <v>43105</v>
      </c>
      <c r="C14" s="674" t="str">
        <f ca="1">IF(ROWS($1:1)&gt;COUNT(Dong12),"",IF(MID(OFFSET(TH!D$1,SMALL(Dong12,ROWS($1:1)),),4,1)="N",OFFSET(TH!D$1,SMALL(Dong12,ROWS($1:1)),),""))</f>
        <v>VL/N03</v>
      </c>
      <c r="D14" s="580" t="str">
        <f ca="1">IF(ROWS($1:1)&gt;COUNT(Dong12),"",IF(MID(OFFSET(TH!D$1,SMALL(Dong12,ROWS($1:1)),),4,1)="X",OFFSET(TH!D$1,SMALL(Dong12,ROWS($1:1)),),""))</f>
        <v/>
      </c>
      <c r="E14" s="581" t="str">
        <f ca="1">IF(ROWS($1:1)&gt;COUNT(Dong12),"",OFFSET(TH!F$1,SMALL(Dong12,ROWS($1:1)),)&amp;" - "&amp;OFFSET(TH!H$1,SMALL(Dong12,ROWS($1:1)),))</f>
        <v>Đường - Cty TNHH MTV BTFood</v>
      </c>
      <c r="F14" s="580">
        <f ca="1">B14</f>
        <v>43105</v>
      </c>
      <c r="G14" s="582">
        <f ca="1">IF(ROWS($1:1)&gt;COUNT(Dong12),0,IF(MID(OFFSET(TH!D$1,SMALL(Dong12,ROWS($1:1)),),4,1)="N",OFFSET(TH!I$1,SMALL(Dong12,ROWS($1:1)),),0))</f>
        <v>500</v>
      </c>
      <c r="H14" s="582">
        <f ca="1">IF(ROWS($1:1)&gt;COUNT(Dong12),0,IF(MID(OFFSET(TH!D$1,SMALL(Dong12,ROWS($1:1)),),4,1)="X",OFFSET(TH!I$1,SMALL(Dong12,ROWS($1:1)),),0))</f>
        <v>0</v>
      </c>
      <c r="I14" s="583">
        <f ca="1">IF(E14&lt;&gt;"",I13+G14-H14,0)</f>
        <v>2600</v>
      </c>
      <c r="J14" s="584"/>
      <c r="K14" s="585"/>
    </row>
    <row r="15" spans="1:12" ht="16.5" customHeight="1">
      <c r="A15" s="586" t="str">
        <f ca="1">IF(B15&lt;&gt;"",A14+1,"")</f>
        <v/>
      </c>
      <c r="B15" s="580" t="str">
        <f ca="1">IF(ROWS($1:2)&gt;COUNT(Dong12),"",OFFSET(TH!E$1,SMALL(Dong12,ROWS($1:2)),))</f>
        <v/>
      </c>
      <c r="C15" s="674" t="str">
        <f ca="1">IF(ROWS($1:2)&gt;COUNT(Dong12),"",IF(MID(OFFSET(TH!D$1,SMALL(Dong12,ROWS($1:2)),),4,1)="N",OFFSET(TH!D$1,SMALL(Dong12,ROWS($1:2)),),""))</f>
        <v/>
      </c>
      <c r="D15" s="580" t="str">
        <f ca="1">IF(ROWS($1:2)&gt;COUNT(Dong12),"",IF(MID(OFFSET(TH!D$1,SMALL(Dong12,ROWS($1:2)),),4,1)="X",OFFSET(TH!D$1,SMALL(Dong12,ROWS($1:2)),),""))</f>
        <v/>
      </c>
      <c r="E15" s="581" t="str">
        <f ca="1">IF(ROWS($1:2)&gt;COUNT(Dong12),"",OFFSET(TH!F$1,SMALL(Dong12,ROWS($1:2)),)&amp;" - "&amp;OFFSET(TH!H$1,SMALL(Dong12,ROWS($1:2)),))</f>
        <v/>
      </c>
      <c r="F15" s="580" t="str">
        <f t="shared" ref="F15:F30" ca="1" si="0">B15</f>
        <v/>
      </c>
      <c r="G15" s="582">
        <f ca="1">IF(ROWS($1:2)&gt;COUNT(Dong12),0,IF(MID(OFFSET(TH!D$1,SMALL(Dong12,ROWS($1:2)),),4,1)="N",OFFSET(TH!I$1,SMALL(Dong12,ROWS($1:2)),),0))</f>
        <v>0</v>
      </c>
      <c r="H15" s="582">
        <f ca="1">IF(ROWS($1:2)&gt;COUNT(Dong12),0,IF(MID(OFFSET(TH!D$1,SMALL(Dong12,ROWS($1:2)),),4,1)="X",OFFSET(TH!I$1,SMALL(Dong12,ROWS($1:2)),),0))</f>
        <v>0</v>
      </c>
      <c r="I15" s="583">
        <f t="shared" ref="I15:I30" ca="1" si="1">IF(E15&lt;&gt;"",I14+G15-H15,0)</f>
        <v>0</v>
      </c>
      <c r="J15" s="584"/>
      <c r="K15" s="585"/>
    </row>
    <row r="16" spans="1:12" ht="16.5" customHeight="1">
      <c r="A16" s="586" t="str">
        <f t="shared" ref="A16:A30" ca="1" si="2">IF(B16&lt;&gt;"",A15+1,"")</f>
        <v/>
      </c>
      <c r="B16" s="580" t="str">
        <f ca="1">IF(ROWS($1:3)&gt;COUNT(Dong12),"",OFFSET(TH!E$1,SMALL(Dong12,ROWS($1:3)),))</f>
        <v/>
      </c>
      <c r="C16" s="674" t="str">
        <f ca="1">IF(ROWS($1:3)&gt;COUNT(Dong12),"",IF(MID(OFFSET(TH!D$1,SMALL(Dong12,ROWS($1:3)),),4,1)="N",OFFSET(TH!D$1,SMALL(Dong12,ROWS($1:3)),),""))</f>
        <v/>
      </c>
      <c r="D16" s="580" t="str">
        <f ca="1">IF(ROWS($1:3)&gt;COUNT(Dong12),"",IF(MID(OFFSET(TH!D$1,SMALL(Dong12,ROWS($1:3)),),4,1)="X",OFFSET(TH!D$1,SMALL(Dong12,ROWS($1:3)),),""))</f>
        <v/>
      </c>
      <c r="E16" s="581" t="str">
        <f ca="1">IF(ROWS($1:3)&gt;COUNT(Dong12),"",OFFSET(TH!F$1,SMALL(Dong12,ROWS($1:3)),)&amp;" - "&amp;OFFSET(TH!H$1,SMALL(Dong12,ROWS($1:3)),))</f>
        <v/>
      </c>
      <c r="F16" s="580" t="str">
        <f t="shared" ca="1" si="0"/>
        <v/>
      </c>
      <c r="G16" s="582">
        <f ca="1">IF(ROWS($1:3)&gt;COUNT(Dong12),0,IF(MID(OFFSET(TH!D$1,SMALL(Dong12,ROWS($1:3)),),4,1)="N",OFFSET(TH!I$1,SMALL(Dong12,ROWS($1:3)),),0))</f>
        <v>0</v>
      </c>
      <c r="H16" s="582">
        <f ca="1">IF(ROWS($1:3)&gt;COUNT(Dong12),0,IF(MID(OFFSET(TH!D$1,SMALL(Dong12,ROWS($1:3)),),4,1)="X",OFFSET(TH!I$1,SMALL(Dong12,ROWS($1:3)),),0))</f>
        <v>0</v>
      </c>
      <c r="I16" s="583">
        <f t="shared" ca="1" si="1"/>
        <v>0</v>
      </c>
      <c r="J16" s="584"/>
      <c r="K16" s="585"/>
    </row>
    <row r="17" spans="1:11" ht="16.5" customHeight="1">
      <c r="A17" s="586" t="str">
        <f t="shared" ca="1" si="2"/>
        <v/>
      </c>
      <c r="B17" s="580" t="str">
        <f ca="1">IF(ROWS($1:4)&gt;COUNT(Dong12),"",OFFSET(TH!E$1,SMALL(Dong12,ROWS($1:4)),))</f>
        <v/>
      </c>
      <c r="C17" s="674" t="str">
        <f ca="1">IF(ROWS($1:4)&gt;COUNT(Dong12),"",IF(MID(OFFSET(TH!D$1,SMALL(Dong12,ROWS($1:4)),),4,1)="N",OFFSET(TH!D$1,SMALL(Dong12,ROWS($1:4)),),""))</f>
        <v/>
      </c>
      <c r="D17" s="580" t="str">
        <f ca="1">IF(ROWS($1:4)&gt;COUNT(Dong12),"",IF(MID(OFFSET(TH!D$1,SMALL(Dong12,ROWS($1:4)),),4,1)="X",OFFSET(TH!D$1,SMALL(Dong12,ROWS($1:4)),),""))</f>
        <v/>
      </c>
      <c r="E17" s="581" t="str">
        <f ca="1">IF(ROWS($1:4)&gt;COUNT(Dong12),"",OFFSET(TH!F$1,SMALL(Dong12,ROWS($1:4)),)&amp;" - "&amp;OFFSET(TH!H$1,SMALL(Dong12,ROWS($1:4)),))</f>
        <v/>
      </c>
      <c r="F17" s="580" t="str">
        <f t="shared" ca="1" si="0"/>
        <v/>
      </c>
      <c r="G17" s="582">
        <f ca="1">IF(ROWS($1:4)&gt;COUNT(Dong12),0,IF(MID(OFFSET(TH!D$1,SMALL(Dong12,ROWS($1:4)),),4,1)="N",OFFSET(TH!I$1,SMALL(Dong12,ROWS($1:4)),),0))</f>
        <v>0</v>
      </c>
      <c r="H17" s="582">
        <f ca="1">IF(ROWS($1:4)&gt;COUNT(Dong12),0,IF(MID(OFFSET(TH!D$1,SMALL(Dong12,ROWS($1:4)),),4,1)="X",OFFSET(TH!I$1,SMALL(Dong12,ROWS($1:4)),),0))</f>
        <v>0</v>
      </c>
      <c r="I17" s="583">
        <f t="shared" ca="1" si="1"/>
        <v>0</v>
      </c>
      <c r="J17" s="584"/>
      <c r="K17" s="585"/>
    </row>
    <row r="18" spans="1:11" ht="16.5" customHeight="1">
      <c r="A18" s="586" t="str">
        <f t="shared" ca="1" si="2"/>
        <v/>
      </c>
      <c r="B18" s="580" t="str">
        <f ca="1">IF(ROWS($1:5)&gt;COUNT(Dong12),"",OFFSET(TH!E$1,SMALL(Dong12,ROWS($1:5)),))</f>
        <v/>
      </c>
      <c r="C18" s="674" t="str">
        <f ca="1">IF(ROWS($1:5)&gt;COUNT(Dong12),"",IF(MID(OFFSET(TH!D$1,SMALL(Dong12,ROWS($1:5)),),4,1)="N",OFFSET(TH!D$1,SMALL(Dong12,ROWS($1:5)),),""))</f>
        <v/>
      </c>
      <c r="D18" s="580" t="str">
        <f ca="1">IF(ROWS($1:5)&gt;COUNT(Dong12),"",IF(MID(OFFSET(TH!D$1,SMALL(Dong12,ROWS($1:5)),),4,1)="X",OFFSET(TH!D$1,SMALL(Dong12,ROWS($1:5)),),""))</f>
        <v/>
      </c>
      <c r="E18" s="581" t="str">
        <f ca="1">IF(ROWS($1:5)&gt;COUNT(Dong12),"",OFFSET(TH!F$1,SMALL(Dong12,ROWS($1:5)),)&amp;" - "&amp;OFFSET(TH!H$1,SMALL(Dong12,ROWS($1:5)),))</f>
        <v/>
      </c>
      <c r="F18" s="580" t="str">
        <f t="shared" ca="1" si="0"/>
        <v/>
      </c>
      <c r="G18" s="582">
        <f ca="1">IF(ROWS($1:5)&gt;COUNT(Dong12),0,IF(MID(OFFSET(TH!D$1,SMALL(Dong12,ROWS($1:5)),),4,1)="N",OFFSET(TH!I$1,SMALL(Dong12,ROWS($1:5)),),0))</f>
        <v>0</v>
      </c>
      <c r="H18" s="582">
        <f ca="1">IF(ROWS($1:5)&gt;COUNT(Dong12),0,IF(MID(OFFSET(TH!D$1,SMALL(Dong12,ROWS($1:5)),),4,1)="X",OFFSET(TH!I$1,SMALL(Dong12,ROWS($1:5)),),0))</f>
        <v>0</v>
      </c>
      <c r="I18" s="583">
        <f t="shared" ca="1" si="1"/>
        <v>0</v>
      </c>
      <c r="J18" s="584"/>
      <c r="K18" s="585"/>
    </row>
    <row r="19" spans="1:11" ht="16.5" customHeight="1">
      <c r="A19" s="586" t="str">
        <f t="shared" ca="1" si="2"/>
        <v/>
      </c>
      <c r="B19" s="580" t="str">
        <f ca="1">IF(ROWS($1:6)&gt;COUNT(Dong12),"",OFFSET(TH!E$1,SMALL(Dong12,ROWS($1:6)),))</f>
        <v/>
      </c>
      <c r="C19" s="674" t="str">
        <f ca="1">IF(ROWS($1:6)&gt;COUNT(Dong12),"",IF(MID(OFFSET(TH!D$1,SMALL(Dong12,ROWS($1:6)),),4,1)="N",OFFSET(TH!D$1,SMALL(Dong12,ROWS($1:6)),),""))</f>
        <v/>
      </c>
      <c r="D19" s="580" t="str">
        <f ca="1">IF(ROWS($1:6)&gt;COUNT(Dong12),"",IF(MID(OFFSET(TH!D$1,SMALL(Dong12,ROWS($1:6)),),4,1)="X",OFFSET(TH!D$1,SMALL(Dong12,ROWS($1:6)),),""))</f>
        <v/>
      </c>
      <c r="E19" s="581" t="str">
        <f ca="1">IF(ROWS($1:6)&gt;COUNT(Dong12),"",OFFSET(TH!F$1,SMALL(Dong12,ROWS($1:6)),)&amp;" - "&amp;OFFSET(TH!H$1,SMALL(Dong12,ROWS($1:6)),))</f>
        <v/>
      </c>
      <c r="F19" s="580" t="str">
        <f t="shared" ca="1" si="0"/>
        <v/>
      </c>
      <c r="G19" s="582">
        <f ca="1">IF(ROWS($1:6)&gt;COUNT(Dong12),0,IF(MID(OFFSET(TH!D$1,SMALL(Dong12,ROWS($1:6)),),4,1)="N",OFFSET(TH!I$1,SMALL(Dong12,ROWS($1:6)),),0))</f>
        <v>0</v>
      </c>
      <c r="H19" s="582">
        <f ca="1">IF(ROWS($1:6)&gt;COUNT(Dong12),0,IF(MID(OFFSET(TH!D$1,SMALL(Dong12,ROWS($1:6)),),4,1)="X",OFFSET(TH!I$1,SMALL(Dong12,ROWS($1:6)),),0))</f>
        <v>0</v>
      </c>
      <c r="I19" s="583">
        <f t="shared" ca="1" si="1"/>
        <v>0</v>
      </c>
      <c r="J19" s="584"/>
      <c r="K19" s="585"/>
    </row>
    <row r="20" spans="1:11" ht="16.5" customHeight="1">
      <c r="A20" s="586" t="str">
        <f t="shared" ca="1" si="2"/>
        <v/>
      </c>
      <c r="B20" s="580" t="str">
        <f ca="1">IF(ROWS($1:7)&gt;COUNT(Dong12),"",OFFSET(TH!E$1,SMALL(Dong12,ROWS($1:7)),))</f>
        <v/>
      </c>
      <c r="C20" s="674" t="str">
        <f ca="1">IF(ROWS($1:7)&gt;COUNT(Dong12),"",IF(MID(OFFSET(TH!D$1,SMALL(Dong12,ROWS($1:7)),),4,1)="N",OFFSET(TH!D$1,SMALL(Dong12,ROWS($1:7)),),""))</f>
        <v/>
      </c>
      <c r="D20" s="580" t="str">
        <f ca="1">IF(ROWS($1:7)&gt;COUNT(Dong12),"",IF(MID(OFFSET(TH!D$1,SMALL(Dong12,ROWS($1:7)),),4,1)="X",OFFSET(TH!D$1,SMALL(Dong12,ROWS($1:7)),),""))</f>
        <v/>
      </c>
      <c r="E20" s="581" t="str">
        <f ca="1">IF(ROWS($1:7)&gt;COUNT(Dong12),"",OFFSET(TH!F$1,SMALL(Dong12,ROWS($1:7)),)&amp;" - "&amp;OFFSET(TH!H$1,SMALL(Dong12,ROWS($1:7)),))</f>
        <v/>
      </c>
      <c r="F20" s="580" t="str">
        <f t="shared" ca="1" si="0"/>
        <v/>
      </c>
      <c r="G20" s="582">
        <f ca="1">IF(ROWS($1:7)&gt;COUNT(Dong12),0,IF(MID(OFFSET(TH!D$1,SMALL(Dong12,ROWS($1:7)),),4,1)="N",OFFSET(TH!I$1,SMALL(Dong12,ROWS($1:7)),),0))</f>
        <v>0</v>
      </c>
      <c r="H20" s="582">
        <f ca="1">IF(ROWS($1:7)&gt;COUNT(Dong12),0,IF(MID(OFFSET(TH!D$1,SMALL(Dong12,ROWS($1:7)),),4,1)="X",OFFSET(TH!I$1,SMALL(Dong12,ROWS($1:7)),),0))</f>
        <v>0</v>
      </c>
      <c r="I20" s="583">
        <f t="shared" ca="1" si="1"/>
        <v>0</v>
      </c>
      <c r="J20" s="584"/>
      <c r="K20" s="585"/>
    </row>
    <row r="21" spans="1:11" ht="16.5" customHeight="1">
      <c r="A21" s="586" t="str">
        <f t="shared" ca="1" si="2"/>
        <v/>
      </c>
      <c r="B21" s="580" t="str">
        <f ca="1">IF(ROWS($1:8)&gt;COUNT(Dong12),"",OFFSET(TH!E$1,SMALL(Dong12,ROWS($1:8)),))</f>
        <v/>
      </c>
      <c r="C21" s="674" t="str">
        <f ca="1">IF(ROWS($1:8)&gt;COUNT(Dong12),"",IF(MID(OFFSET(TH!D$1,SMALL(Dong12,ROWS($1:8)),),4,1)="N",OFFSET(TH!D$1,SMALL(Dong12,ROWS($1:8)),),""))</f>
        <v/>
      </c>
      <c r="D21" s="580" t="str">
        <f ca="1">IF(ROWS($1:8)&gt;COUNT(Dong12),"",IF(MID(OFFSET(TH!D$1,SMALL(Dong12,ROWS($1:8)),),4,1)="X",OFFSET(TH!D$1,SMALL(Dong12,ROWS($1:8)),),""))</f>
        <v/>
      </c>
      <c r="E21" s="581" t="str">
        <f ca="1">IF(ROWS($1:8)&gt;COUNT(Dong12),"",OFFSET(TH!F$1,SMALL(Dong12,ROWS($1:8)),)&amp;" - "&amp;OFFSET(TH!H$1,SMALL(Dong12,ROWS($1:8)),))</f>
        <v/>
      </c>
      <c r="F21" s="580" t="str">
        <f t="shared" ca="1" si="0"/>
        <v/>
      </c>
      <c r="G21" s="582">
        <f ca="1">IF(ROWS($1:8)&gt;COUNT(Dong12),0,IF(MID(OFFSET(TH!D$1,SMALL(Dong12,ROWS($1:8)),),4,1)="N",OFFSET(TH!I$1,SMALL(Dong12,ROWS($1:8)),),0))</f>
        <v>0</v>
      </c>
      <c r="H21" s="582">
        <f ca="1">IF(ROWS($1:8)&gt;COUNT(Dong12),0,IF(MID(OFFSET(TH!D$1,SMALL(Dong12,ROWS($1:8)),),4,1)="X",OFFSET(TH!I$1,SMALL(Dong12,ROWS($1:8)),),0))</f>
        <v>0</v>
      </c>
      <c r="I21" s="583">
        <f t="shared" ca="1" si="1"/>
        <v>0</v>
      </c>
      <c r="J21" s="584"/>
      <c r="K21" s="585"/>
    </row>
    <row r="22" spans="1:11" ht="16.5" customHeight="1">
      <c r="A22" s="586" t="str">
        <f t="shared" ca="1" si="2"/>
        <v/>
      </c>
      <c r="B22" s="580" t="str">
        <f ca="1">IF(ROWS($1:9)&gt;COUNT(Dong12),"",OFFSET(TH!E$1,SMALL(Dong12,ROWS($1:9)),))</f>
        <v/>
      </c>
      <c r="C22" s="674" t="str">
        <f ca="1">IF(ROWS($1:9)&gt;COUNT(Dong12),"",IF(MID(OFFSET(TH!D$1,SMALL(Dong12,ROWS($1:9)),),4,1)="N",OFFSET(TH!D$1,SMALL(Dong12,ROWS($1:9)),),""))</f>
        <v/>
      </c>
      <c r="D22" s="580" t="str">
        <f ca="1">IF(ROWS($1:9)&gt;COUNT(Dong12),"",IF(MID(OFFSET(TH!D$1,SMALL(Dong12,ROWS($1:9)),),4,1)="X",OFFSET(TH!D$1,SMALL(Dong12,ROWS($1:9)),),""))</f>
        <v/>
      </c>
      <c r="E22" s="581" t="str">
        <f ca="1">IF(ROWS($1:9)&gt;COUNT(Dong12),"",OFFSET(TH!F$1,SMALL(Dong12,ROWS($1:9)),)&amp;" - "&amp;OFFSET(TH!H$1,SMALL(Dong12,ROWS($1:9)),))</f>
        <v/>
      </c>
      <c r="F22" s="580" t="str">
        <f t="shared" ca="1" si="0"/>
        <v/>
      </c>
      <c r="G22" s="582">
        <f ca="1">IF(ROWS($1:9)&gt;COUNT(Dong12),0,IF(MID(OFFSET(TH!D$1,SMALL(Dong12,ROWS($1:9)),),4,1)="N",OFFSET(TH!I$1,SMALL(Dong12,ROWS($1:9)),),0))</f>
        <v>0</v>
      </c>
      <c r="H22" s="582">
        <f ca="1">IF(ROWS($1:9)&gt;COUNT(Dong12),0,IF(MID(OFFSET(TH!D$1,SMALL(Dong12,ROWS($1:9)),),4,1)="X",OFFSET(TH!I$1,SMALL(Dong12,ROWS($1:9)),),0))</f>
        <v>0</v>
      </c>
      <c r="I22" s="583">
        <f t="shared" ca="1" si="1"/>
        <v>0</v>
      </c>
      <c r="J22" s="584"/>
      <c r="K22" s="585"/>
    </row>
    <row r="23" spans="1:11" ht="16.5" customHeight="1">
      <c r="A23" s="586" t="str">
        <f t="shared" ca="1" si="2"/>
        <v/>
      </c>
      <c r="B23" s="580" t="str">
        <f ca="1">IF(ROWS($1:10)&gt;COUNT(Dong12),"",OFFSET(TH!E$1,SMALL(Dong12,ROWS($1:10)),))</f>
        <v/>
      </c>
      <c r="C23" s="674" t="str">
        <f ca="1">IF(ROWS($1:10)&gt;COUNT(Dong12),"",IF(MID(OFFSET(TH!D$1,SMALL(Dong12,ROWS($1:10)),),4,1)="N",OFFSET(TH!D$1,SMALL(Dong12,ROWS($1:10)),),""))</f>
        <v/>
      </c>
      <c r="D23" s="580" t="str">
        <f ca="1">IF(ROWS($1:10)&gt;COUNT(Dong12),"",IF(MID(OFFSET(TH!D$1,SMALL(Dong12,ROWS($1:10)),),4,1)="X",OFFSET(TH!D$1,SMALL(Dong12,ROWS($1:10)),),""))</f>
        <v/>
      </c>
      <c r="E23" s="581" t="str">
        <f ca="1">IF(ROWS($1:10)&gt;COUNT(Dong12),"",OFFSET(TH!F$1,SMALL(Dong12,ROWS($1:10)),)&amp;" - "&amp;OFFSET(TH!H$1,SMALL(Dong12,ROWS($1:10)),))</f>
        <v/>
      </c>
      <c r="F23" s="580" t="str">
        <f t="shared" ca="1" si="0"/>
        <v/>
      </c>
      <c r="G23" s="582">
        <f ca="1">IF(ROWS($1:10)&gt;COUNT(Dong12),0,IF(MID(OFFSET(TH!D$1,SMALL(Dong12,ROWS($1:10)),),4,1)="N",OFFSET(TH!I$1,SMALL(Dong12,ROWS($1:10)),),0))</f>
        <v>0</v>
      </c>
      <c r="H23" s="582">
        <f ca="1">IF(ROWS($1:10)&gt;COUNT(Dong12),0,IF(MID(OFFSET(TH!D$1,SMALL(Dong12,ROWS($1:10)),),4,1)="X",OFFSET(TH!I$1,SMALL(Dong12,ROWS($1:10)),),0))</f>
        <v>0</v>
      </c>
      <c r="I23" s="583">
        <f t="shared" ca="1" si="1"/>
        <v>0</v>
      </c>
      <c r="J23" s="584"/>
      <c r="K23" s="585"/>
    </row>
    <row r="24" spans="1:11" ht="16.5" customHeight="1">
      <c r="A24" s="586" t="str">
        <f t="shared" ca="1" si="2"/>
        <v/>
      </c>
      <c r="B24" s="580" t="str">
        <f ca="1">IF(ROWS($1:11)&gt;COUNT(Dong12),"",OFFSET(TH!E$1,SMALL(Dong12,ROWS($1:11)),))</f>
        <v/>
      </c>
      <c r="C24" s="674" t="str">
        <f ca="1">IF(ROWS($1:11)&gt;COUNT(Dong12),"",IF(MID(OFFSET(TH!D$1,SMALL(Dong12,ROWS($1:11)),),4,1)="N",OFFSET(TH!D$1,SMALL(Dong12,ROWS($1:11)),),""))</f>
        <v/>
      </c>
      <c r="D24" s="580" t="str">
        <f ca="1">IF(ROWS($1:11)&gt;COUNT(Dong12),"",IF(MID(OFFSET(TH!D$1,SMALL(Dong12,ROWS($1:11)),),4,1)="X",OFFSET(TH!D$1,SMALL(Dong12,ROWS($1:11)),),""))</f>
        <v/>
      </c>
      <c r="E24" s="581" t="str">
        <f ca="1">IF(ROWS($1:11)&gt;COUNT(Dong12),"",OFFSET(TH!F$1,SMALL(Dong12,ROWS($1:11)),)&amp;" - "&amp;OFFSET(TH!H$1,SMALL(Dong12,ROWS($1:11)),))</f>
        <v/>
      </c>
      <c r="F24" s="580" t="str">
        <f t="shared" ca="1" si="0"/>
        <v/>
      </c>
      <c r="G24" s="582">
        <f ca="1">IF(ROWS($1:11)&gt;COUNT(Dong12),0,IF(MID(OFFSET(TH!D$1,SMALL(Dong12,ROWS($1:11)),),4,1)="N",OFFSET(TH!I$1,SMALL(Dong12,ROWS($1:11)),),0))</f>
        <v>0</v>
      </c>
      <c r="H24" s="582">
        <f ca="1">IF(ROWS($1:11)&gt;COUNT(Dong12),0,IF(MID(OFFSET(TH!D$1,SMALL(Dong12,ROWS($1:11)),),4,1)="X",OFFSET(TH!I$1,SMALL(Dong12,ROWS($1:11)),),0))</f>
        <v>0</v>
      </c>
      <c r="I24" s="583">
        <f t="shared" ca="1" si="1"/>
        <v>0</v>
      </c>
      <c r="J24" s="584"/>
      <c r="K24" s="585"/>
    </row>
    <row r="25" spans="1:11" ht="16.5" customHeight="1">
      <c r="A25" s="586" t="str">
        <f t="shared" ca="1" si="2"/>
        <v/>
      </c>
      <c r="B25" s="580" t="str">
        <f ca="1">IF(ROWS($1:12)&gt;COUNT(Dong12),"",OFFSET(TH!E$1,SMALL(Dong12,ROWS($1:12)),))</f>
        <v/>
      </c>
      <c r="C25" s="674" t="str">
        <f ca="1">IF(ROWS($1:12)&gt;COUNT(Dong12),"",IF(MID(OFFSET(TH!D$1,SMALL(Dong12,ROWS($1:12)),),4,1)="N",OFFSET(TH!D$1,SMALL(Dong12,ROWS($1:12)),),""))</f>
        <v/>
      </c>
      <c r="D25" s="580" t="str">
        <f ca="1">IF(ROWS($1:12)&gt;COUNT(Dong12),"",IF(MID(OFFSET(TH!D$1,SMALL(Dong12,ROWS($1:12)),),4,1)="X",OFFSET(TH!D$1,SMALL(Dong12,ROWS($1:12)),),""))</f>
        <v/>
      </c>
      <c r="E25" s="581" t="str">
        <f ca="1">IF(ROWS($1:12)&gt;COUNT(Dong12),"",OFFSET(TH!F$1,SMALL(Dong12,ROWS($1:12)),)&amp;" - "&amp;OFFSET(TH!H$1,SMALL(Dong12,ROWS($1:12)),))</f>
        <v/>
      </c>
      <c r="F25" s="580" t="str">
        <f t="shared" ca="1" si="0"/>
        <v/>
      </c>
      <c r="G25" s="582">
        <f ca="1">IF(ROWS($1:12)&gt;COUNT(Dong12),0,IF(MID(OFFSET(TH!D$1,SMALL(Dong12,ROWS($1:12)),),4,1)="N",OFFSET(TH!I$1,SMALL(Dong12,ROWS($1:12)),),0))</f>
        <v>0</v>
      </c>
      <c r="H25" s="582">
        <f ca="1">IF(ROWS($1:12)&gt;COUNT(Dong12),0,IF(MID(OFFSET(TH!D$1,SMALL(Dong12,ROWS($1:12)),),4,1)="X",OFFSET(TH!I$1,SMALL(Dong12,ROWS($1:12)),),0))</f>
        <v>0</v>
      </c>
      <c r="I25" s="583">
        <f t="shared" ca="1" si="1"/>
        <v>0</v>
      </c>
      <c r="J25" s="584"/>
      <c r="K25" s="585"/>
    </row>
    <row r="26" spans="1:11" ht="16.5" customHeight="1">
      <c r="A26" s="586" t="str">
        <f t="shared" ca="1" si="2"/>
        <v/>
      </c>
      <c r="B26" s="580" t="str">
        <f ca="1">IF(ROWS($1:13)&gt;COUNT(Dong12),"",OFFSET(TH!E$1,SMALL(Dong12,ROWS($1:13)),))</f>
        <v/>
      </c>
      <c r="C26" s="674" t="str">
        <f ca="1">IF(ROWS($1:13)&gt;COUNT(Dong12),"",IF(MID(OFFSET(TH!D$1,SMALL(Dong12,ROWS($1:13)),),4,1)="N",OFFSET(TH!D$1,SMALL(Dong12,ROWS($1:13)),),""))</f>
        <v/>
      </c>
      <c r="D26" s="580" t="str">
        <f ca="1">IF(ROWS($1:13)&gt;COUNT(Dong12),"",IF(MID(OFFSET(TH!D$1,SMALL(Dong12,ROWS($1:13)),),4,1)="X",OFFSET(TH!D$1,SMALL(Dong12,ROWS($1:13)),),""))</f>
        <v/>
      </c>
      <c r="E26" s="581" t="str">
        <f ca="1">IF(ROWS($1:13)&gt;COUNT(Dong12),"",OFFSET(TH!F$1,SMALL(Dong12,ROWS($1:13)),)&amp;" - "&amp;OFFSET(TH!H$1,SMALL(Dong12,ROWS($1:13)),))</f>
        <v/>
      </c>
      <c r="F26" s="580" t="str">
        <f t="shared" ca="1" si="0"/>
        <v/>
      </c>
      <c r="G26" s="582">
        <f ca="1">IF(ROWS($1:13)&gt;COUNT(Dong12),0,IF(MID(OFFSET(TH!D$1,SMALL(Dong12,ROWS($1:13)),),4,1)="N",OFFSET(TH!I$1,SMALL(Dong12,ROWS($1:13)),),0))</f>
        <v>0</v>
      </c>
      <c r="H26" s="582">
        <f ca="1">IF(ROWS($1:13)&gt;COUNT(Dong12),0,IF(MID(OFFSET(TH!D$1,SMALL(Dong12,ROWS($1:13)),),4,1)="X",OFFSET(TH!I$1,SMALL(Dong12,ROWS($1:13)),),0))</f>
        <v>0</v>
      </c>
      <c r="I26" s="583">
        <f t="shared" ca="1" si="1"/>
        <v>0</v>
      </c>
      <c r="J26" s="584"/>
      <c r="K26" s="585"/>
    </row>
    <row r="27" spans="1:11" ht="16.5" customHeight="1">
      <c r="A27" s="586" t="str">
        <f t="shared" ca="1" si="2"/>
        <v/>
      </c>
      <c r="B27" s="580" t="str">
        <f ca="1">IF(ROWS($1:14)&gt;COUNT(Dong12),"",OFFSET(TH!E$1,SMALL(Dong12,ROWS($1:14)),))</f>
        <v/>
      </c>
      <c r="C27" s="674" t="str">
        <f ca="1">IF(ROWS($1:14)&gt;COUNT(Dong12),"",IF(MID(OFFSET(TH!D$1,SMALL(Dong12,ROWS($1:14)),),4,1)="N",OFFSET(TH!D$1,SMALL(Dong12,ROWS($1:14)),),""))</f>
        <v/>
      </c>
      <c r="D27" s="580" t="str">
        <f ca="1">IF(ROWS($1:14)&gt;COUNT(Dong12),"",IF(MID(OFFSET(TH!D$1,SMALL(Dong12,ROWS($1:14)),),4,1)="X",OFFSET(TH!D$1,SMALL(Dong12,ROWS($1:14)),),""))</f>
        <v/>
      </c>
      <c r="E27" s="581" t="str">
        <f ca="1">IF(ROWS($1:14)&gt;COUNT(Dong12),"",OFFSET(TH!F$1,SMALL(Dong12,ROWS($1:14)),)&amp;" - "&amp;OFFSET(TH!H$1,SMALL(Dong12,ROWS($1:14)),))</f>
        <v/>
      </c>
      <c r="F27" s="580" t="str">
        <f t="shared" ca="1" si="0"/>
        <v/>
      </c>
      <c r="G27" s="582">
        <f ca="1">IF(ROWS($1:14)&gt;COUNT(Dong12),0,IF(MID(OFFSET(TH!D$1,SMALL(Dong12,ROWS($1:14)),),4,1)="N",OFFSET(TH!I$1,SMALL(Dong12,ROWS($1:14)),),0))</f>
        <v>0</v>
      </c>
      <c r="H27" s="582">
        <f ca="1">IF(ROWS($1:14)&gt;COUNT(Dong12),0,IF(MID(OFFSET(TH!D$1,SMALL(Dong12,ROWS($1:14)),),4,1)="X",OFFSET(TH!I$1,SMALL(Dong12,ROWS($1:14)),),0))</f>
        <v>0</v>
      </c>
      <c r="I27" s="583">
        <f t="shared" ca="1" si="1"/>
        <v>0</v>
      </c>
      <c r="J27" s="584"/>
      <c r="K27" s="585"/>
    </row>
    <row r="28" spans="1:11" ht="16.5" customHeight="1">
      <c r="A28" s="586" t="str">
        <f t="shared" ca="1" si="2"/>
        <v/>
      </c>
      <c r="B28" s="580" t="str">
        <f ca="1">IF(ROWS($1:15)&gt;COUNT(Dong12),"",OFFSET(TH!E$1,SMALL(Dong12,ROWS($1:15)),))</f>
        <v/>
      </c>
      <c r="C28" s="674" t="str">
        <f ca="1">IF(ROWS($1:15)&gt;COUNT(Dong12),"",IF(MID(OFFSET(TH!D$1,SMALL(Dong12,ROWS($1:15)),),4,1)="N",OFFSET(TH!D$1,SMALL(Dong12,ROWS($1:15)),),""))</f>
        <v/>
      </c>
      <c r="D28" s="580" t="str">
        <f ca="1">IF(ROWS($1:15)&gt;COUNT(Dong12),"",IF(MID(OFFSET(TH!D$1,SMALL(Dong12,ROWS($1:15)),),4,1)="X",OFFSET(TH!D$1,SMALL(Dong12,ROWS($1:15)),),""))</f>
        <v/>
      </c>
      <c r="E28" s="581" t="str">
        <f ca="1">IF(ROWS($1:15)&gt;COUNT(Dong12),"",OFFSET(TH!F$1,SMALL(Dong12,ROWS($1:15)),)&amp;" - "&amp;OFFSET(TH!H$1,SMALL(Dong12,ROWS($1:15)),))</f>
        <v/>
      </c>
      <c r="F28" s="580" t="str">
        <f t="shared" ca="1" si="0"/>
        <v/>
      </c>
      <c r="G28" s="582">
        <f ca="1">IF(ROWS($1:15)&gt;COUNT(Dong12),0,IF(MID(OFFSET(TH!D$1,SMALL(Dong12,ROWS($1:15)),),4,1)="N",OFFSET(TH!I$1,SMALL(Dong12,ROWS($1:15)),),0))</f>
        <v>0</v>
      </c>
      <c r="H28" s="582">
        <f ca="1">IF(ROWS($1:15)&gt;COUNT(Dong12),0,IF(MID(OFFSET(TH!D$1,SMALL(Dong12,ROWS($1:15)),),4,1)="X",OFFSET(TH!I$1,SMALL(Dong12,ROWS($1:15)),),0))</f>
        <v>0</v>
      </c>
      <c r="I28" s="583">
        <f t="shared" ca="1" si="1"/>
        <v>0</v>
      </c>
      <c r="J28" s="584"/>
      <c r="K28" s="585"/>
    </row>
    <row r="29" spans="1:11" ht="16.5" customHeight="1">
      <c r="A29" s="586" t="str">
        <f t="shared" ca="1" si="2"/>
        <v/>
      </c>
      <c r="B29" s="580" t="str">
        <f ca="1">IF(ROWS($1:16)&gt;COUNT(Dong12),"",OFFSET(TH!E$1,SMALL(Dong12,ROWS($1:16)),))</f>
        <v/>
      </c>
      <c r="C29" s="674" t="str">
        <f ca="1">IF(ROWS($1:16)&gt;COUNT(Dong12),"",IF(MID(OFFSET(TH!D$1,SMALL(Dong12,ROWS($1:16)),),4,1)="N",OFFSET(TH!D$1,SMALL(Dong12,ROWS($1:16)),),""))</f>
        <v/>
      </c>
      <c r="D29" s="580" t="str">
        <f ca="1">IF(ROWS($1:16)&gt;COUNT(Dong12),"",IF(MID(OFFSET(TH!D$1,SMALL(Dong12,ROWS($1:16)),),4,1)="X",OFFSET(TH!D$1,SMALL(Dong12,ROWS($1:16)),),""))</f>
        <v/>
      </c>
      <c r="E29" s="581" t="str">
        <f ca="1">IF(ROWS($1:16)&gt;COUNT(Dong12),"",OFFSET(TH!F$1,SMALL(Dong12,ROWS($1:16)),)&amp;" - "&amp;OFFSET(TH!H$1,SMALL(Dong12,ROWS($1:16)),))</f>
        <v/>
      </c>
      <c r="F29" s="580" t="str">
        <f t="shared" ca="1" si="0"/>
        <v/>
      </c>
      <c r="G29" s="582">
        <f ca="1">IF(ROWS($1:16)&gt;COUNT(Dong12),0,IF(MID(OFFSET(TH!D$1,SMALL(Dong12,ROWS($1:16)),),4,1)="N",OFFSET(TH!I$1,SMALL(Dong12,ROWS($1:16)),),0))</f>
        <v>0</v>
      </c>
      <c r="H29" s="582">
        <f ca="1">IF(ROWS($1:16)&gt;COUNT(Dong12),0,IF(MID(OFFSET(TH!D$1,SMALL(Dong12,ROWS($1:16)),),4,1)="X",OFFSET(TH!I$1,SMALL(Dong12,ROWS($1:16)),),0))</f>
        <v>0</v>
      </c>
      <c r="I29" s="583">
        <f t="shared" ca="1" si="1"/>
        <v>0</v>
      </c>
      <c r="J29" s="584"/>
      <c r="K29" s="585"/>
    </row>
    <row r="30" spans="1:11" ht="16.5" customHeight="1">
      <c r="A30" s="586" t="str">
        <f t="shared" ca="1" si="2"/>
        <v/>
      </c>
      <c r="B30" s="580" t="str">
        <f ca="1">IF(ROWS($1:17)&gt;COUNT(Dong12),"",OFFSET(TH!E$1,SMALL(Dong12,ROWS($1:17)),))</f>
        <v/>
      </c>
      <c r="C30" s="674" t="str">
        <f ca="1">IF(ROWS($1:17)&gt;COUNT(Dong12),"",IF(MID(OFFSET(TH!D$1,SMALL(Dong12,ROWS($1:17)),),4,1)="N",OFFSET(TH!D$1,SMALL(Dong12,ROWS($1:17)),),""))</f>
        <v/>
      </c>
      <c r="D30" s="580" t="str">
        <f ca="1">IF(ROWS($1:17)&gt;COUNT(Dong12),"",IF(MID(OFFSET(TH!D$1,SMALL(Dong12,ROWS($1:17)),),4,1)="X",OFFSET(TH!D$1,SMALL(Dong12,ROWS($1:17)),),""))</f>
        <v/>
      </c>
      <c r="E30" s="581" t="str">
        <f ca="1">IF(ROWS($1:17)&gt;COUNT(Dong12),"",OFFSET(TH!F$1,SMALL(Dong12,ROWS($1:17)),)&amp;" - "&amp;OFFSET(TH!H$1,SMALL(Dong12,ROWS($1:17)),))</f>
        <v/>
      </c>
      <c r="F30" s="580" t="str">
        <f t="shared" ca="1" si="0"/>
        <v/>
      </c>
      <c r="G30" s="582">
        <f ca="1">IF(ROWS($1:17)&gt;COUNT(Dong12),0,IF(MID(OFFSET(TH!D$1,SMALL(Dong12,ROWS($1:17)),),4,1)="N",OFFSET(TH!I$1,SMALL(Dong12,ROWS($1:17)),),0))</f>
        <v>0</v>
      </c>
      <c r="H30" s="582">
        <f ca="1">IF(ROWS($1:17)&gt;COUNT(Dong12),0,IF(MID(OFFSET(TH!D$1,SMALL(Dong12,ROWS($1:17)),),4,1)="X",OFFSET(TH!I$1,SMALL(Dong12,ROWS($1:17)),),0))</f>
        <v>0</v>
      </c>
      <c r="I30" s="583">
        <f t="shared" ca="1" si="1"/>
        <v>0</v>
      </c>
      <c r="J30" s="584"/>
      <c r="K30" s="585"/>
    </row>
    <row r="31" spans="1:11" ht="16.5" customHeight="1">
      <c r="A31" s="587" t="str">
        <f>IF(D31&lt;&gt;"",A21+1,"")</f>
        <v/>
      </c>
      <c r="B31" s="588"/>
      <c r="C31" s="589"/>
      <c r="D31" s="589"/>
      <c r="E31" s="590"/>
      <c r="F31" s="588"/>
      <c r="G31" s="591"/>
      <c r="H31" s="591"/>
      <c r="I31" s="591"/>
      <c r="J31" s="592"/>
      <c r="K31" s="585"/>
    </row>
    <row r="32" spans="1:11" ht="16.5" customHeight="1">
      <c r="A32" s="574"/>
      <c r="B32" s="593"/>
      <c r="C32" s="574"/>
      <c r="D32" s="574"/>
      <c r="E32" s="575" t="s">
        <v>467</v>
      </c>
      <c r="F32" s="594" t="s">
        <v>21</v>
      </c>
      <c r="G32" s="595">
        <f ca="1">SUM(G14:G31)</f>
        <v>500</v>
      </c>
      <c r="H32" s="595">
        <f ca="1">SUM(H14:H31)</f>
        <v>0</v>
      </c>
      <c r="I32" s="595">
        <f ca="1">I13+G32-H32</f>
        <v>2600</v>
      </c>
      <c r="J32" s="574" t="s">
        <v>21</v>
      </c>
      <c r="K32" s="596"/>
    </row>
    <row r="33" spans="1:11" ht="12.75" customHeight="1">
      <c r="A33" s="597"/>
      <c r="B33" s="551"/>
      <c r="C33" s="597"/>
      <c r="D33" s="597"/>
      <c r="E33" s="559"/>
      <c r="F33" s="551"/>
      <c r="G33" s="560"/>
      <c r="H33" s="560"/>
      <c r="I33" s="560"/>
      <c r="J33" s="546"/>
      <c r="K33" s="546"/>
    </row>
    <row r="34" spans="1:11" ht="15">
      <c r="A34" s="598" t="s">
        <v>468</v>
      </c>
      <c r="B34" s="598"/>
      <c r="C34" s="599"/>
      <c r="D34" s="599"/>
      <c r="E34" s="559"/>
      <c r="F34" s="551"/>
      <c r="G34" s="560"/>
      <c r="H34" s="560"/>
      <c r="I34" s="560"/>
      <c r="J34" s="546"/>
      <c r="K34" s="546"/>
    </row>
    <row r="35" spans="1:11" ht="15">
      <c r="A35" s="1485" t="str">
        <f ca="1">IF(ISERROR(" - Ngày mở sổ: ngày "&amp;DAY(B14)&amp;" tháng "&amp;MONTH(B14)&amp;" năm "&amp;YEAR(B14))," - Ngày mở sổ: ngày 01 tháng  01 năm 2016 "," - Ngày mở sổ: ngày "&amp;DAY(B14)&amp;" tháng "&amp;MONTH(B14)&amp;" năm "&amp;YEAR(B14))</f>
        <v xml:space="preserve"> - Ngày mở sổ: ngày 5 tháng 1 năm 2018</v>
      </c>
      <c r="B35" s="1486"/>
      <c r="C35" s="1486"/>
      <c r="D35" s="1486"/>
      <c r="E35" s="1486"/>
      <c r="F35" s="551"/>
      <c r="G35" s="560"/>
      <c r="H35" s="560"/>
      <c r="I35" s="560"/>
      <c r="J35" s="546"/>
      <c r="K35" s="546"/>
    </row>
    <row r="36" spans="1:11" ht="15">
      <c r="A36" s="600"/>
      <c r="B36" s="601"/>
      <c r="C36" s="602"/>
      <c r="D36" s="597"/>
      <c r="E36" s="559"/>
      <c r="F36" s="551"/>
      <c r="H36" s="457"/>
      <c r="I36" s="859" t="s">
        <v>430</v>
      </c>
      <c r="J36" s="457"/>
      <c r="K36" s="458"/>
    </row>
    <row r="37" spans="1:11" ht="15" customHeight="1">
      <c r="A37" s="600"/>
      <c r="C37" s="603" t="s">
        <v>469</v>
      </c>
      <c r="D37" s="597"/>
      <c r="E37" s="1487" t="s">
        <v>12</v>
      </c>
      <c r="F37" s="1487"/>
      <c r="G37" s="560"/>
      <c r="I37" s="896" t="s">
        <v>131</v>
      </c>
      <c r="J37" s="549"/>
      <c r="K37" s="600"/>
    </row>
    <row r="38" spans="1:11" ht="15" customHeight="1">
      <c r="A38" s="604"/>
      <c r="C38" s="605" t="s">
        <v>13</v>
      </c>
      <c r="D38" s="606"/>
      <c r="E38" s="1480" t="s">
        <v>13</v>
      </c>
      <c r="F38" s="1480"/>
      <c r="G38" s="560"/>
      <c r="I38" s="897" t="s">
        <v>161</v>
      </c>
      <c r="J38" s="895"/>
      <c r="K38" s="604"/>
    </row>
    <row r="39" spans="1:11" ht="15">
      <c r="A39" s="604"/>
      <c r="C39" s="605"/>
      <c r="D39" s="597"/>
      <c r="E39" s="607"/>
      <c r="F39" s="608"/>
      <c r="G39" s="560"/>
      <c r="H39" s="604"/>
      <c r="I39" s="604"/>
      <c r="J39" s="604"/>
      <c r="K39" s="604"/>
    </row>
    <row r="40" spans="1:11" ht="15">
      <c r="A40" s="604"/>
      <c r="B40" s="605"/>
      <c r="C40" s="604"/>
      <c r="D40" s="597"/>
      <c r="E40" s="607"/>
      <c r="F40" s="608"/>
      <c r="G40" s="560"/>
      <c r="H40" s="604"/>
      <c r="I40" s="604"/>
      <c r="J40" s="604"/>
      <c r="K40" s="604"/>
    </row>
    <row r="41" spans="1:11" ht="15">
      <c r="A41" s="604"/>
      <c r="B41" s="605"/>
      <c r="C41" s="604"/>
      <c r="D41" s="597"/>
      <c r="E41" s="607"/>
      <c r="F41" s="608"/>
      <c r="G41" s="560"/>
      <c r="H41" s="604"/>
      <c r="I41" s="604"/>
      <c r="J41" s="604"/>
      <c r="K41" s="604"/>
    </row>
    <row r="46" spans="1:11" ht="15">
      <c r="C46" s="898" t="s">
        <v>721</v>
      </c>
      <c r="H46" s="894"/>
      <c r="I46" s="893" t="s">
        <v>125</v>
      </c>
      <c r="J46" s="894"/>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Z293"/>
  <sheetViews>
    <sheetView workbookViewId="0">
      <pane xSplit="3" ySplit="1" topLeftCell="D224" activePane="bottomRight" state="frozen"/>
      <selection activeCell="P41" sqref="P41"/>
      <selection pane="topRight" activeCell="P41" sqref="P41"/>
      <selection pane="bottomLeft" activeCell="P41" sqref="P41"/>
      <selection pane="bottomRight" activeCell="P41" sqref="P41"/>
    </sheetView>
  </sheetViews>
  <sheetFormatPr defaultColWidth="10.28515625" defaultRowHeight="12.75"/>
  <cols>
    <col min="1" max="1" width="4.7109375" style="1227" customWidth="1"/>
    <col min="2" max="2" width="22" style="1227" customWidth="1"/>
    <col min="3" max="3" width="6.7109375" style="1227" customWidth="1"/>
    <col min="4" max="4" width="11.5703125" style="1227" customWidth="1"/>
    <col min="5" max="5" width="10.5703125" style="1227" customWidth="1"/>
    <col min="6" max="6" width="9.140625" style="1227" customWidth="1"/>
    <col min="7" max="7" width="16.42578125" style="1227" customWidth="1"/>
    <col min="8" max="11" width="13.7109375" style="1227" customWidth="1"/>
    <col min="12" max="12" width="11.85546875" style="1227" customWidth="1"/>
    <col min="13" max="13" width="13.28515625" style="1227" customWidth="1"/>
    <col min="14" max="14" width="16" style="1227" customWidth="1"/>
    <col min="15" max="15" width="9.7109375" style="1227" customWidth="1"/>
    <col min="16" max="16" width="10.5703125" style="1227" customWidth="1"/>
    <col min="17" max="17" width="4.85546875" style="1234" hidden="1" customWidth="1"/>
    <col min="18" max="18" width="7" style="1026" hidden="1" customWidth="1"/>
    <col min="19" max="19" width="9.28515625" style="1227" hidden="1" customWidth="1"/>
    <col min="20" max="20" width="8.28515625" style="1227" customWidth="1"/>
    <col min="21" max="21" width="23" style="1227" customWidth="1"/>
    <col min="22" max="22" width="10.140625" style="1227" customWidth="1"/>
    <col min="23" max="23" width="8.7109375" style="1227" customWidth="1"/>
    <col min="24" max="24" width="9.140625" style="1227" customWidth="1"/>
    <col min="25" max="25" width="12.140625" style="1227" customWidth="1"/>
    <col min="26" max="26" width="7.7109375" style="1227" customWidth="1"/>
    <col min="27" max="27" width="11.140625" style="1227" bestFit="1" customWidth="1"/>
    <col min="28" max="28" width="13.85546875" style="1227" customWidth="1"/>
    <col min="29" max="16384" width="10.28515625" style="1227"/>
  </cols>
  <sheetData>
    <row r="1" spans="1:26">
      <c r="A1" s="1020"/>
      <c r="B1" s="1020">
        <v>1</v>
      </c>
      <c r="C1" s="1020">
        <v>2</v>
      </c>
      <c r="D1" s="1020">
        <v>3</v>
      </c>
      <c r="E1" s="1020">
        <v>4</v>
      </c>
      <c r="F1" s="1020">
        <v>5</v>
      </c>
      <c r="G1" s="1020">
        <v>6</v>
      </c>
      <c r="H1" s="1020">
        <v>8</v>
      </c>
      <c r="I1" s="1020">
        <v>7</v>
      </c>
      <c r="J1" s="1020">
        <v>9</v>
      </c>
      <c r="K1" s="1020">
        <v>10</v>
      </c>
      <c r="L1" s="1020">
        <v>11</v>
      </c>
      <c r="M1" s="1020">
        <v>12</v>
      </c>
      <c r="N1" s="1020">
        <v>13</v>
      </c>
      <c r="O1" s="1020">
        <v>14</v>
      </c>
      <c r="P1" s="1020">
        <v>15</v>
      </c>
      <c r="Q1" s="1232"/>
      <c r="S1" s="1021"/>
      <c r="T1" s="1021"/>
      <c r="U1" s="1020"/>
      <c r="V1" s="1022"/>
      <c r="W1" s="437"/>
      <c r="X1" s="437"/>
      <c r="Y1" s="1020"/>
      <c r="Z1" s="1020"/>
    </row>
    <row r="2" spans="1:26" ht="18" customHeight="1">
      <c r="A2" s="1023" t="s">
        <v>495</v>
      </c>
      <c r="B2" s="1023"/>
      <c r="C2" s="1024"/>
      <c r="D2" s="1025"/>
      <c r="E2" s="1025"/>
      <c r="F2" s="1025"/>
      <c r="G2" s="437"/>
      <c r="H2" s="437"/>
      <c r="I2" s="437"/>
      <c r="J2" s="437"/>
      <c r="K2" s="437"/>
      <c r="L2" s="437"/>
      <c r="M2" s="437"/>
      <c r="N2" s="437"/>
      <c r="O2" s="918"/>
      <c r="P2" s="437"/>
      <c r="Q2" s="1232"/>
      <c r="S2" s="1026"/>
      <c r="T2" s="1026"/>
      <c r="U2" s="437"/>
      <c r="V2" s="1027"/>
      <c r="W2" s="437"/>
      <c r="X2" s="437"/>
      <c r="Y2" s="1020"/>
      <c r="Z2" s="1020"/>
    </row>
    <row r="3" spans="1:26" ht="18.75" customHeight="1">
      <c r="A3" s="1028" t="s">
        <v>901</v>
      </c>
      <c r="B3" s="1028"/>
      <c r="C3" s="1028"/>
      <c r="D3" s="1028"/>
      <c r="E3" s="1028"/>
      <c r="F3" s="1028"/>
      <c r="G3" s="1028"/>
      <c r="H3" s="1028"/>
      <c r="I3" s="1028"/>
      <c r="J3" s="1028"/>
      <c r="K3" s="1028"/>
      <c r="L3" s="1028"/>
      <c r="M3" s="1028"/>
      <c r="N3" s="1028"/>
      <c r="O3" s="1028"/>
      <c r="P3" s="1028"/>
      <c r="Q3" s="1232"/>
      <c r="S3" s="1026"/>
      <c r="T3" s="1026"/>
      <c r="U3" s="437"/>
      <c r="V3" s="1027"/>
      <c r="W3" s="437"/>
      <c r="X3" s="437"/>
      <c r="Y3" s="1020"/>
      <c r="Z3" s="1020"/>
    </row>
    <row r="4" spans="1:26" ht="12.75" customHeight="1">
      <c r="A4" s="1029"/>
      <c r="B4" s="1029"/>
      <c r="C4" s="1030"/>
      <c r="D4" s="1029"/>
      <c r="E4" s="1029"/>
      <c r="F4" s="1029"/>
      <c r="G4" s="1029"/>
      <c r="H4" s="1029"/>
      <c r="I4" s="1029"/>
      <c r="J4" s="1029"/>
      <c r="K4" s="1029"/>
      <c r="L4" s="1029"/>
      <c r="M4" s="1029"/>
      <c r="N4" s="1029"/>
      <c r="O4" s="1031"/>
      <c r="P4" s="1029"/>
      <c r="Q4" s="1232"/>
      <c r="S4" s="1026"/>
      <c r="T4" s="1026"/>
      <c r="U4" s="1032"/>
      <c r="V4" s="1498"/>
      <c r="W4" s="1498"/>
      <c r="X4" s="1206"/>
      <c r="Y4" s="1498"/>
      <c r="Z4" s="1498"/>
    </row>
    <row r="5" spans="1:26" ht="30.75" customHeight="1">
      <c r="A5" s="650" t="s">
        <v>37</v>
      </c>
      <c r="B5" s="650" t="s">
        <v>496</v>
      </c>
      <c r="C5" s="651" t="s">
        <v>497</v>
      </c>
      <c r="D5" s="652" t="s">
        <v>498</v>
      </c>
      <c r="E5" s="652" t="s">
        <v>499</v>
      </c>
      <c r="F5" s="652" t="s">
        <v>500</v>
      </c>
      <c r="G5" s="652" t="s">
        <v>501</v>
      </c>
      <c r="H5" s="652" t="s">
        <v>502</v>
      </c>
      <c r="I5" s="652" t="s">
        <v>503</v>
      </c>
      <c r="J5" s="652" t="s">
        <v>504</v>
      </c>
      <c r="K5" s="653" t="s">
        <v>505</v>
      </c>
      <c r="L5" s="652" t="s">
        <v>506</v>
      </c>
      <c r="M5" s="653" t="s">
        <v>507</v>
      </c>
      <c r="N5" s="652" t="s">
        <v>508</v>
      </c>
      <c r="O5" s="654" t="s">
        <v>499</v>
      </c>
      <c r="P5" s="652" t="s">
        <v>509</v>
      </c>
      <c r="Q5" s="1233"/>
      <c r="S5" s="655"/>
      <c r="T5" s="655"/>
      <c r="U5" s="650" t="s">
        <v>496</v>
      </c>
      <c r="V5" s="652" t="s">
        <v>464</v>
      </c>
      <c r="W5" s="652" t="s">
        <v>327</v>
      </c>
      <c r="X5" s="652" t="s">
        <v>500</v>
      </c>
      <c r="Y5" s="652" t="s">
        <v>510</v>
      </c>
      <c r="Z5" s="650" t="s">
        <v>510</v>
      </c>
    </row>
    <row r="6" spans="1:26" ht="17.25" customHeight="1">
      <c r="A6" s="751">
        <v>1</v>
      </c>
      <c r="B6" s="443" t="s">
        <v>431</v>
      </c>
      <c r="C6" s="1034">
        <v>3</v>
      </c>
      <c r="D6" s="1035">
        <f>ROUND(C6*O6,0)</f>
        <v>79170</v>
      </c>
      <c r="E6" s="1035"/>
      <c r="F6" s="1035">
        <v>16000</v>
      </c>
      <c r="G6" s="25">
        <f>(D6+E6)*F6</f>
        <v>1266720000</v>
      </c>
      <c r="H6" s="1035"/>
      <c r="I6" s="1035"/>
      <c r="J6" s="1035"/>
      <c r="K6" s="1035"/>
      <c r="L6" s="1035">
        <v>15225000</v>
      </c>
      <c r="M6" s="1035">
        <v>263900000</v>
      </c>
      <c r="N6" s="25">
        <f>G6+I6+H6+J6+L6+K6+M6</f>
        <v>1545845000</v>
      </c>
      <c r="O6" s="394">
        <v>26390</v>
      </c>
      <c r="P6" s="1035">
        <f>IF(O6&lt;&gt;"",N6/O6,"")</f>
        <v>58576.923076923078</v>
      </c>
      <c r="Q6" s="1231">
        <v>2.63</v>
      </c>
      <c r="R6" s="1026">
        <v>22730</v>
      </c>
      <c r="S6" s="933">
        <f>Q6*R6</f>
        <v>59779.899999999994</v>
      </c>
      <c r="T6" s="933">
        <f>S6-P6</f>
        <v>1202.9769230769161</v>
      </c>
      <c r="U6" s="656" t="s">
        <v>329</v>
      </c>
      <c r="V6" s="660">
        <v>42740</v>
      </c>
      <c r="W6" s="81">
        <v>150</v>
      </c>
      <c r="X6" s="1036">
        <v>32200</v>
      </c>
      <c r="Y6" s="25">
        <f>ROUND(W6*X6,0)</f>
        <v>4830000</v>
      </c>
      <c r="Z6" s="1037"/>
    </row>
    <row r="7" spans="1:26" ht="17.25" customHeight="1">
      <c r="A7" s="751">
        <v>2</v>
      </c>
      <c r="B7" s="443" t="s">
        <v>428</v>
      </c>
      <c r="C7" s="1034">
        <f>VLOOKUP(B7,NXT!$Q$72:$S$111,2,0)</f>
        <v>10.5</v>
      </c>
      <c r="D7" s="1035">
        <f>ROUND(C7*O7,0)</f>
        <v>50400</v>
      </c>
      <c r="E7" s="1035"/>
      <c r="F7" s="1035">
        <f>VLOOKUP(B7,NXT!$Q$72:$S$111,3,0)</f>
        <v>17000</v>
      </c>
      <c r="G7" s="25">
        <f>(D7+E7)*F7</f>
        <v>856800000</v>
      </c>
      <c r="H7" s="394">
        <f>IF($D$18&lt;&gt;0,H$18/($D$18+$E$18/5)*($D7+$E7/5),0)</f>
        <v>10210182.181522598</v>
      </c>
      <c r="I7" s="394">
        <f t="shared" ref="I7:K16" si="0">IF($D$18&lt;&gt;0,I$18/($D$18+$E$18/5)*($D7+$E7/5),0)</f>
        <v>6060558.9982203664</v>
      </c>
      <c r="J7" s="394">
        <f t="shared" si="0"/>
        <v>12044087.595766688</v>
      </c>
      <c r="K7" s="394">
        <f t="shared" si="0"/>
        <v>8094056.312027243</v>
      </c>
      <c r="L7" s="1035">
        <f>Y15+Y16</f>
        <v>44912000</v>
      </c>
      <c r="M7" s="1035"/>
      <c r="N7" s="25">
        <f>G7+I7+H7+J7+L7+K7+M7</f>
        <v>938120885.08753681</v>
      </c>
      <c r="O7" s="394">
        <v>4800</v>
      </c>
      <c r="P7" s="1035">
        <f>IF(O7&lt;&gt;"",N7/O7,"")</f>
        <v>195441.85105990351</v>
      </c>
      <c r="Q7" s="1231">
        <v>8.8000000000000007</v>
      </c>
      <c r="R7" s="1026">
        <v>22595</v>
      </c>
      <c r="S7" s="933">
        <f t="shared" ref="S7:S12" si="1">Q7*R7</f>
        <v>198836.00000000003</v>
      </c>
      <c r="T7" s="933">
        <f t="shared" ref="T7:T52" si="2">S7-P7</f>
        <v>3394.148940096522</v>
      </c>
      <c r="U7" s="657" t="s">
        <v>335</v>
      </c>
      <c r="V7" s="660">
        <v>42740</v>
      </c>
      <c r="W7" s="81">
        <v>135</v>
      </c>
      <c r="X7" s="872">
        <v>49027</v>
      </c>
      <c r="Y7" s="25">
        <f t="shared" ref="Y7:Y12" si="3">ROUND(W7*X7,0)</f>
        <v>6618645</v>
      </c>
      <c r="Z7" s="1038"/>
    </row>
    <row r="8" spans="1:26" ht="17.25" customHeight="1">
      <c r="A8" s="751">
        <v>3</v>
      </c>
      <c r="B8" s="443" t="s">
        <v>919</v>
      </c>
      <c r="C8" s="1034">
        <f>VLOOKUP(B8,NXT!$Q$72:$S$111,2,0)</f>
        <v>11</v>
      </c>
      <c r="D8" s="1035">
        <f>ROUND(C8*O8,0)</f>
        <v>24640</v>
      </c>
      <c r="E8" s="1035"/>
      <c r="F8" s="1035">
        <f>VLOOKUP(B8,NXT!$Q$72:$S$111,3,0)</f>
        <v>17000</v>
      </c>
      <c r="G8" s="25">
        <f t="shared" ref="G8:G16" si="4">(D8+E8)*F8</f>
        <v>418880000</v>
      </c>
      <c r="H8" s="394">
        <f t="shared" ref="H8:H16" si="5">IF($D$18&lt;&gt;0,H$18/($D$18+$E$18/5)*($D8+$E8/5),0)</f>
        <v>4991644.6220777147</v>
      </c>
      <c r="I8" s="394">
        <f t="shared" si="0"/>
        <v>2962939.9546855125</v>
      </c>
      <c r="J8" s="394">
        <f t="shared" si="0"/>
        <v>5888220.6023748247</v>
      </c>
      <c r="K8" s="394">
        <f t="shared" si="0"/>
        <v>3957094.1969910963</v>
      </c>
      <c r="L8" s="1035">
        <f>$Y$17/($O$8+$O$9)*O8</f>
        <v>6908331.2101910822</v>
      </c>
      <c r="M8" s="1035"/>
      <c r="N8" s="25">
        <f>G8+I8+H8+J8+L8+K8+M8</f>
        <v>443588230.58632022</v>
      </c>
      <c r="O8" s="394">
        <v>2240</v>
      </c>
      <c r="P8" s="1035">
        <f>IF(O8&lt;&gt;"",N8/O8,"")</f>
        <v>198030.46008317868</v>
      </c>
      <c r="Q8" s="1231">
        <v>8.9</v>
      </c>
      <c r="R8" s="1026">
        <v>22595</v>
      </c>
      <c r="S8" s="933">
        <f t="shared" si="1"/>
        <v>201095.5</v>
      </c>
      <c r="T8" s="933">
        <f t="shared" si="2"/>
        <v>3065.0399168213189</v>
      </c>
      <c r="U8" s="657" t="s">
        <v>338</v>
      </c>
      <c r="V8" s="660">
        <v>42740</v>
      </c>
      <c r="W8" s="81">
        <v>420</v>
      </c>
      <c r="X8" s="872">
        <v>15836.734761904761</v>
      </c>
      <c r="Y8" s="25">
        <f t="shared" si="3"/>
        <v>6651429</v>
      </c>
      <c r="Z8" s="1038"/>
    </row>
    <row r="9" spans="1:26" ht="17.25" customHeight="1">
      <c r="A9" s="751">
        <v>4</v>
      </c>
      <c r="B9" s="1039" t="s">
        <v>816</v>
      </c>
      <c r="C9" s="1034">
        <f>VLOOKUP(B9,NXT!$Q$72:$S$111,2,0)</f>
        <v>5.5</v>
      </c>
      <c r="D9" s="1035">
        <f t="shared" ref="D9:D15" si="6">ROUND(C9*O9,0)</f>
        <v>13585</v>
      </c>
      <c r="E9" s="1035"/>
      <c r="F9" s="1035">
        <f>VLOOKUP(B9,NXT!$Q$72:$S$111,3,0)</f>
        <v>37000</v>
      </c>
      <c r="G9" s="25">
        <f t="shared" si="4"/>
        <v>502645000</v>
      </c>
      <c r="H9" s="394">
        <f t="shared" si="5"/>
        <v>2752089.7804758828</v>
      </c>
      <c r="I9" s="394">
        <f t="shared" si="0"/>
        <v>1633585.1982306286</v>
      </c>
      <c r="J9" s="394">
        <f t="shared" si="0"/>
        <v>3246407.3410414769</v>
      </c>
      <c r="K9" s="394">
        <f t="shared" si="0"/>
        <v>2181701.4880732163</v>
      </c>
      <c r="L9" s="1035">
        <f>$Y$17/($O$8+$O$9)*O9</f>
        <v>7617668.7898089169</v>
      </c>
      <c r="M9" s="1035"/>
      <c r="N9" s="25">
        <f t="shared" ref="N9:N16" si="7">G9+I9+H9+J9+L9+K9+M9</f>
        <v>520076452.59763014</v>
      </c>
      <c r="O9" s="394">
        <v>2470</v>
      </c>
      <c r="P9" s="1035">
        <f t="shared" ref="P9:P15" si="8">IF(O9&lt;&gt;"",N9/O9,"")</f>
        <v>210557.26825814985</v>
      </c>
      <c r="Q9" s="1231">
        <v>9.5</v>
      </c>
      <c r="R9" s="1026">
        <v>22595</v>
      </c>
      <c r="S9" s="933">
        <f t="shared" si="1"/>
        <v>214652.5</v>
      </c>
      <c r="T9" s="933">
        <f t="shared" si="2"/>
        <v>4095.231741850148</v>
      </c>
      <c r="U9" s="657" t="s">
        <v>798</v>
      </c>
      <c r="V9" s="660">
        <v>42740</v>
      </c>
      <c r="W9" s="81">
        <v>40</v>
      </c>
      <c r="X9" s="872">
        <v>53000</v>
      </c>
      <c r="Y9" s="25">
        <f t="shared" si="3"/>
        <v>2120000</v>
      </c>
      <c r="Z9" s="1038"/>
    </row>
    <row r="10" spans="1:26" ht="17.25" customHeight="1">
      <c r="A10" s="751">
        <v>5</v>
      </c>
      <c r="B10" s="1039" t="s">
        <v>917</v>
      </c>
      <c r="C10" s="1034">
        <f>VLOOKUP(B10,NXT!$Q$72:$S$111,2,0)</f>
        <v>11.5</v>
      </c>
      <c r="D10" s="1035">
        <f t="shared" si="6"/>
        <v>138000</v>
      </c>
      <c r="E10" s="1035"/>
      <c r="F10" s="1035">
        <f>VLOOKUP(B10,NXT!$Q$72:$S$111,3,0)</f>
        <v>16700</v>
      </c>
      <c r="G10" s="25">
        <f t="shared" si="4"/>
        <v>2304600000</v>
      </c>
      <c r="H10" s="394">
        <f t="shared" si="5"/>
        <v>27956451.211311877</v>
      </c>
      <c r="I10" s="394">
        <f t="shared" si="0"/>
        <v>16594387.733222432</v>
      </c>
      <c r="J10" s="394">
        <f t="shared" si="0"/>
        <v>32977858.893170692</v>
      </c>
      <c r="K10" s="394">
        <f t="shared" si="0"/>
        <v>22162297.044836499</v>
      </c>
      <c r="L10" s="1035">
        <f>Y18</f>
        <v>12360000</v>
      </c>
      <c r="M10" s="1035"/>
      <c r="N10" s="25">
        <f t="shared" si="7"/>
        <v>2416650994.8825417</v>
      </c>
      <c r="O10" s="394">
        <v>12000</v>
      </c>
      <c r="P10" s="1035">
        <f t="shared" si="8"/>
        <v>201387.58290687847</v>
      </c>
      <c r="Q10" s="1231">
        <v>9</v>
      </c>
      <c r="R10" s="1026">
        <v>22595</v>
      </c>
      <c r="S10" s="933">
        <f t="shared" si="1"/>
        <v>203355</v>
      </c>
      <c r="T10" s="933">
        <f t="shared" si="2"/>
        <v>1967.417093121534</v>
      </c>
      <c r="U10" s="657" t="s">
        <v>343</v>
      </c>
      <c r="V10" s="660">
        <v>42740</v>
      </c>
      <c r="W10" s="81">
        <v>500</v>
      </c>
      <c r="X10" s="872">
        <v>3000</v>
      </c>
      <c r="Y10" s="25">
        <f t="shared" si="3"/>
        <v>1500000</v>
      </c>
      <c r="Z10" s="1038"/>
    </row>
    <row r="11" spans="1:26" ht="17.25" customHeight="1">
      <c r="A11" s="751">
        <v>6</v>
      </c>
      <c r="B11" s="1039" t="s">
        <v>428</v>
      </c>
      <c r="C11" s="1034">
        <f>VLOOKUP(B11,NXT!$Q$72:$S$111,2,0)</f>
        <v>10.5</v>
      </c>
      <c r="D11" s="1035">
        <f t="shared" si="6"/>
        <v>50400</v>
      </c>
      <c r="E11" s="1035"/>
      <c r="F11" s="1035">
        <f>VLOOKUP(B11,NXT!$Q$72:$S$111,3,0)</f>
        <v>17000</v>
      </c>
      <c r="G11" s="25">
        <f t="shared" si="4"/>
        <v>856800000</v>
      </c>
      <c r="H11" s="394">
        <f t="shared" si="5"/>
        <v>10210182.181522598</v>
      </c>
      <c r="I11" s="394">
        <f t="shared" si="0"/>
        <v>6060558.9982203664</v>
      </c>
      <c r="J11" s="394">
        <f t="shared" si="0"/>
        <v>12044087.595766688</v>
      </c>
      <c r="K11" s="394">
        <f t="shared" si="0"/>
        <v>8094056.312027243</v>
      </c>
      <c r="L11" s="1035">
        <f>Y19+Y20</f>
        <v>44748200</v>
      </c>
      <c r="M11" s="1035"/>
      <c r="N11" s="25">
        <f t="shared" si="7"/>
        <v>937957085.08753681</v>
      </c>
      <c r="O11" s="394">
        <v>4800</v>
      </c>
      <c r="P11" s="1035">
        <f t="shared" si="8"/>
        <v>195407.72605990351</v>
      </c>
      <c r="Q11" s="1231">
        <v>8.6999999999999993</v>
      </c>
      <c r="R11" s="1026">
        <v>22530</v>
      </c>
      <c r="S11" s="933">
        <f t="shared" si="1"/>
        <v>196010.99999999997</v>
      </c>
      <c r="T11" s="933">
        <f t="shared" si="2"/>
        <v>603.27394009646378</v>
      </c>
      <c r="U11" s="657" t="s">
        <v>823</v>
      </c>
      <c r="V11" s="660">
        <v>42740</v>
      </c>
      <c r="W11" s="81">
        <v>1440</v>
      </c>
      <c r="X11" s="872">
        <v>14728</v>
      </c>
      <c r="Y11" s="25">
        <f t="shared" si="3"/>
        <v>21208320</v>
      </c>
      <c r="Z11" s="1038"/>
    </row>
    <row r="12" spans="1:26" ht="17.25" customHeight="1">
      <c r="A12" s="751">
        <v>7</v>
      </c>
      <c r="B12" s="1039" t="s">
        <v>787</v>
      </c>
      <c r="C12" s="1034">
        <f>VLOOKUP(B12,NXT!$Q$72:$S$111,2,0)</f>
        <v>8.6999999999999993</v>
      </c>
      <c r="D12" s="1035">
        <f t="shared" si="6"/>
        <v>87000</v>
      </c>
      <c r="E12" s="1035"/>
      <c r="F12" s="1035">
        <f>VLOOKUP(B12,NXT!$Q$72:$S$111,3,0)</f>
        <v>18500</v>
      </c>
      <c r="G12" s="25">
        <f t="shared" si="4"/>
        <v>1609500000</v>
      </c>
      <c r="H12" s="394">
        <f t="shared" si="5"/>
        <v>17624719.241914012</v>
      </c>
      <c r="I12" s="394">
        <f t="shared" si="0"/>
        <v>10461679.22311849</v>
      </c>
      <c r="J12" s="394">
        <f t="shared" si="0"/>
        <v>20790389.302216306</v>
      </c>
      <c r="K12" s="394">
        <f t="shared" si="0"/>
        <v>13971882.919570835</v>
      </c>
      <c r="L12" s="1035">
        <f>Y21</f>
        <v>14040000</v>
      </c>
      <c r="M12" s="1035"/>
      <c r="N12" s="25">
        <f t="shared" si="7"/>
        <v>1686388670.6868198</v>
      </c>
      <c r="O12" s="394">
        <v>10000</v>
      </c>
      <c r="P12" s="1035">
        <f t="shared" si="8"/>
        <v>168638.86706868198</v>
      </c>
      <c r="Q12" s="1231">
        <v>7.2</v>
      </c>
      <c r="R12" s="1026">
        <v>22530</v>
      </c>
      <c r="S12" s="933">
        <f t="shared" si="1"/>
        <v>162216</v>
      </c>
      <c r="T12" s="933">
        <f t="shared" si="2"/>
        <v>-6422.8670686819823</v>
      </c>
      <c r="U12" s="657" t="s">
        <v>348</v>
      </c>
      <c r="V12" s="660">
        <v>42740</v>
      </c>
      <c r="W12" s="81">
        <v>200</v>
      </c>
      <c r="X12" s="872">
        <v>8000</v>
      </c>
      <c r="Y12" s="25">
        <f t="shared" si="3"/>
        <v>1600000</v>
      </c>
      <c r="Z12" s="1038"/>
    </row>
    <row r="13" spans="1:26" ht="17.25" customHeight="1">
      <c r="A13" s="751">
        <v>8</v>
      </c>
      <c r="B13" s="1039" t="s">
        <v>821</v>
      </c>
      <c r="C13" s="1034">
        <f>VLOOKUP(B13,NXT!$Q$72:$S$111,2,0)</f>
        <v>5</v>
      </c>
      <c r="D13" s="1035">
        <f t="shared" si="6"/>
        <v>2000</v>
      </c>
      <c r="E13" s="1035"/>
      <c r="F13" s="1035">
        <f>VLOOKUP(B13,NXT!$Q$72:$S$111,3,0)</f>
        <v>28500</v>
      </c>
      <c r="G13" s="25">
        <f t="shared" si="4"/>
        <v>57000000</v>
      </c>
      <c r="H13" s="394">
        <f t="shared" si="5"/>
        <v>405165.95958423009</v>
      </c>
      <c r="I13" s="394">
        <f t="shared" si="0"/>
        <v>240498.37294525263</v>
      </c>
      <c r="J13" s="394">
        <f t="shared" si="0"/>
        <v>477939.98395899555</v>
      </c>
      <c r="K13" s="394">
        <f t="shared" si="0"/>
        <v>321192.71079473186</v>
      </c>
      <c r="L13" s="1035">
        <f>$Y$22/SUM($O$13:$O$16)*O13</f>
        <v>529031.09832824022</v>
      </c>
      <c r="M13" s="1035"/>
      <c r="N13" s="25">
        <f t="shared" si="7"/>
        <v>58973828.125611447</v>
      </c>
      <c r="O13" s="394">
        <v>400</v>
      </c>
      <c r="P13" s="1035">
        <f t="shared" si="8"/>
        <v>147434.57031402862</v>
      </c>
      <c r="Q13" s="1231"/>
      <c r="S13" s="933">
        <v>150000</v>
      </c>
      <c r="T13" s="933">
        <f t="shared" si="2"/>
        <v>2565.4296859713795</v>
      </c>
      <c r="U13" s="657"/>
      <c r="V13" s="660"/>
      <c r="W13" s="81"/>
      <c r="X13" s="872"/>
      <c r="Y13" s="25"/>
      <c r="Z13" s="1038"/>
    </row>
    <row r="14" spans="1:26" ht="17.25" customHeight="1">
      <c r="A14" s="751">
        <v>9</v>
      </c>
      <c r="B14" s="1039" t="s">
        <v>793</v>
      </c>
      <c r="C14" s="1034">
        <f>VLOOKUP(B14,NXT!$Q$72:$S$111,2,0)</f>
        <v>6</v>
      </c>
      <c r="D14" s="1035">
        <f t="shared" si="6"/>
        <v>1416</v>
      </c>
      <c r="E14" s="1035"/>
      <c r="F14" s="1035">
        <f>VLOOKUP(B14,NXT!$Q$72:$S$111,3,0)</f>
        <v>35000</v>
      </c>
      <c r="G14" s="25">
        <f t="shared" si="4"/>
        <v>49560000</v>
      </c>
      <c r="H14" s="394">
        <f t="shared" si="5"/>
        <v>286857.4993856349</v>
      </c>
      <c r="I14" s="394">
        <f t="shared" si="0"/>
        <v>170272.84804523888</v>
      </c>
      <c r="J14" s="394">
        <f t="shared" si="0"/>
        <v>338381.50864296884</v>
      </c>
      <c r="K14" s="394">
        <f t="shared" si="0"/>
        <v>227404.43924267014</v>
      </c>
      <c r="L14" s="1035">
        <f t="shared" ref="L14:L16" si="9">$Y$22/SUM($O$13:$O$16)*O14</f>
        <v>312128.34801366174</v>
      </c>
      <c r="M14" s="1035"/>
      <c r="N14" s="25">
        <f t="shared" si="7"/>
        <v>50895044.643330172</v>
      </c>
      <c r="O14" s="387">
        <v>236</v>
      </c>
      <c r="P14" s="1035">
        <f t="shared" si="8"/>
        <v>215656.96882767021</v>
      </c>
      <c r="Q14" s="1231"/>
      <c r="S14" s="933">
        <v>220000</v>
      </c>
      <c r="T14" s="933">
        <f t="shared" si="2"/>
        <v>4343.0311723297928</v>
      </c>
      <c r="U14" s="1499"/>
      <c r="V14" s="1499"/>
      <c r="W14" s="1499"/>
      <c r="X14" s="1207"/>
      <c r="Y14" s="74">
        <f>SUM(Y6:Y13)</f>
        <v>44528394</v>
      </c>
      <c r="Z14" s="74">
        <f>SUM(Z6:Z13)</f>
        <v>0</v>
      </c>
    </row>
    <row r="15" spans="1:26" ht="17.25" customHeight="1">
      <c r="A15" s="751">
        <v>10</v>
      </c>
      <c r="B15" s="1039" t="s">
        <v>794</v>
      </c>
      <c r="C15" s="1034">
        <f>VLOOKUP(B15,NXT!$Q$72:$S$111,2,0)</f>
        <v>6</v>
      </c>
      <c r="D15" s="1035">
        <f t="shared" si="6"/>
        <v>840</v>
      </c>
      <c r="E15" s="1035"/>
      <c r="F15" s="1035">
        <f>VLOOKUP(B15,NXT!$Q$72:$S$111,3,0)</f>
        <v>32000</v>
      </c>
      <c r="G15" s="25">
        <f t="shared" si="4"/>
        <v>26880000</v>
      </c>
      <c r="H15" s="394">
        <f t="shared" si="5"/>
        <v>170169.70302537666</v>
      </c>
      <c r="I15" s="394">
        <f t="shared" si="0"/>
        <v>101009.31663700611</v>
      </c>
      <c r="J15" s="394">
        <f t="shared" si="0"/>
        <v>200734.79326277811</v>
      </c>
      <c r="K15" s="394">
        <f t="shared" si="0"/>
        <v>134900.93853378738</v>
      </c>
      <c r="L15" s="1035">
        <f t="shared" si="9"/>
        <v>185160.88441488406</v>
      </c>
      <c r="M15" s="1035"/>
      <c r="N15" s="25">
        <f t="shared" si="7"/>
        <v>27671975.635873836</v>
      </c>
      <c r="O15" s="394">
        <v>140</v>
      </c>
      <c r="P15" s="1035">
        <f t="shared" si="8"/>
        <v>197656.96882767027</v>
      </c>
      <c r="Q15" s="1231"/>
      <c r="S15" s="933">
        <v>200000</v>
      </c>
      <c r="T15" s="933">
        <f t="shared" si="2"/>
        <v>2343.0311723297345</v>
      </c>
      <c r="U15" s="446" t="s">
        <v>564</v>
      </c>
      <c r="V15" s="660">
        <v>42745</v>
      </c>
      <c r="W15" s="81">
        <v>2350</v>
      </c>
      <c r="X15" s="81">
        <v>14000</v>
      </c>
      <c r="Y15" s="25">
        <f t="shared" ref="Y15:Y23" si="10">ROUND(W15*X15,0)</f>
        <v>32900000</v>
      </c>
      <c r="Z15" s="8"/>
    </row>
    <row r="16" spans="1:26" ht="17.25" customHeight="1">
      <c r="A16" s="751">
        <v>11</v>
      </c>
      <c r="B16" s="1039" t="s">
        <v>795</v>
      </c>
      <c r="C16" s="1034">
        <f>VLOOKUP(B16,NXT!$Q$72:$S$111,2,0)</f>
        <v>6</v>
      </c>
      <c r="D16" s="1035">
        <f>ROUND(C16*O16,0)</f>
        <v>2020</v>
      </c>
      <c r="E16" s="1035"/>
      <c r="F16" s="1035">
        <f>VLOOKUP(B16,NXT!$Q$72:$S$111,3,0)</f>
        <v>25000</v>
      </c>
      <c r="G16" s="25">
        <f t="shared" si="4"/>
        <v>50500000</v>
      </c>
      <c r="H16" s="394">
        <f t="shared" si="5"/>
        <v>409217.61918007239</v>
      </c>
      <c r="I16" s="394">
        <f t="shared" si="0"/>
        <v>242903.35667470517</v>
      </c>
      <c r="J16" s="394">
        <f t="shared" si="0"/>
        <v>482719.38379858551</v>
      </c>
      <c r="K16" s="394">
        <f t="shared" si="0"/>
        <v>324404.63790267915</v>
      </c>
      <c r="L16" s="1035">
        <f t="shared" si="9"/>
        <v>445179.66924321419</v>
      </c>
      <c r="M16" s="1035"/>
      <c r="N16" s="25">
        <f t="shared" si="7"/>
        <v>52404424.666799262</v>
      </c>
      <c r="O16" s="387">
        <v>336.6</v>
      </c>
      <c r="P16" s="1035">
        <f>IF(O16&lt;&gt;"",N16/O16,"")</f>
        <v>155687.53614616537</v>
      </c>
      <c r="Q16" s="1231"/>
      <c r="S16" s="933">
        <v>160000</v>
      </c>
      <c r="T16" s="933">
        <f t="shared" si="2"/>
        <v>4312.4638538346335</v>
      </c>
      <c r="U16" s="1053" t="s">
        <v>383</v>
      </c>
      <c r="V16" s="660">
        <v>42745</v>
      </c>
      <c r="W16" s="81">
        <v>660</v>
      </c>
      <c r="X16" s="872">
        <v>18200</v>
      </c>
      <c r="Y16" s="25">
        <f t="shared" si="10"/>
        <v>12012000</v>
      </c>
      <c r="Z16" s="8"/>
    </row>
    <row r="17" spans="1:26" ht="17.25" customHeight="1">
      <c r="A17" s="751" t="str">
        <f>IF(B17&lt;&gt;"",#REF!+1,"")</f>
        <v/>
      </c>
      <c r="B17" s="1039"/>
      <c r="C17" s="1034"/>
      <c r="D17" s="1035"/>
      <c r="E17" s="1035"/>
      <c r="F17" s="1035"/>
      <c r="G17" s="25"/>
      <c r="H17" s="1035"/>
      <c r="I17" s="1035"/>
      <c r="J17" s="1035"/>
      <c r="K17" s="1035"/>
      <c r="L17" s="1035"/>
      <c r="M17" s="1035"/>
      <c r="N17" s="25"/>
      <c r="O17" s="394"/>
      <c r="P17" s="1035" t="str">
        <f>IF(B17&lt;&gt;"",N17/O17,"")</f>
        <v/>
      </c>
      <c r="Q17" s="1231"/>
      <c r="S17" s="934"/>
      <c r="T17" s="933"/>
      <c r="U17" s="1053" t="s">
        <v>383</v>
      </c>
      <c r="V17" s="660">
        <v>42746</v>
      </c>
      <c r="W17" s="81">
        <v>1076</v>
      </c>
      <c r="X17" s="81">
        <v>13500</v>
      </c>
      <c r="Y17" s="25">
        <f t="shared" si="10"/>
        <v>14526000</v>
      </c>
      <c r="Z17" s="8"/>
    </row>
    <row r="18" spans="1:26" ht="17.25" customHeight="1">
      <c r="A18" s="1046"/>
      <c r="B18" s="1047" t="s">
        <v>511</v>
      </c>
      <c r="C18" s="1048"/>
      <c r="D18" s="832">
        <f>SUM(D7:D17)</f>
        <v>370301</v>
      </c>
      <c r="E18" s="832">
        <f t="shared" ref="E18:G18" si="11">SUM(E7:E17)</f>
        <v>0</v>
      </c>
      <c r="F18" s="832"/>
      <c r="G18" s="832">
        <f t="shared" si="11"/>
        <v>6733165000</v>
      </c>
      <c r="H18" s="832">
        <v>75016680</v>
      </c>
      <c r="I18" s="832">
        <f>Y14</f>
        <v>44528394</v>
      </c>
      <c r="J18" s="832">
        <v>88490827</v>
      </c>
      <c r="K18" s="832">
        <v>59468991</v>
      </c>
      <c r="L18" s="832">
        <f>SUM(L6:L17)</f>
        <v>147282700</v>
      </c>
      <c r="M18" s="832">
        <f>SUM(M6:M17)</f>
        <v>263900000</v>
      </c>
      <c r="N18" s="832">
        <f>SUM(N6:N17)</f>
        <v>8678572592</v>
      </c>
      <c r="O18" s="832">
        <f>SUM(O6:O17)</f>
        <v>63812.6</v>
      </c>
      <c r="P18" s="832"/>
      <c r="Q18" s="1231"/>
      <c r="S18" s="933"/>
      <c r="T18" s="933"/>
      <c r="U18" s="446" t="s">
        <v>777</v>
      </c>
      <c r="V18" s="660">
        <v>42748</v>
      </c>
      <c r="W18" s="81">
        <v>1200</v>
      </c>
      <c r="X18" s="81">
        <v>10300</v>
      </c>
      <c r="Y18" s="25">
        <f t="shared" si="10"/>
        <v>12360000</v>
      </c>
      <c r="Z18" s="8"/>
    </row>
    <row r="19" spans="1:26" ht="17.25" customHeight="1">
      <c r="A19" s="1049"/>
      <c r="B19" s="1050"/>
      <c r="C19" s="1051"/>
      <c r="D19" s="1028"/>
      <c r="E19" s="1028"/>
      <c r="F19" s="1028"/>
      <c r="G19" s="1028"/>
      <c r="H19" s="1028"/>
      <c r="I19" s="1028"/>
      <c r="J19" s="1028"/>
      <c r="K19" s="1028"/>
      <c r="L19" s="1028"/>
      <c r="M19" s="1028"/>
      <c r="N19" s="1028"/>
      <c r="O19" s="1028"/>
      <c r="P19" s="1028"/>
      <c r="Q19" s="1232"/>
      <c r="S19" s="1026"/>
      <c r="T19" s="933"/>
      <c r="U19" s="446" t="s">
        <v>564</v>
      </c>
      <c r="V19" s="660">
        <v>42750</v>
      </c>
      <c r="W19" s="81">
        <v>2350</v>
      </c>
      <c r="X19" s="81">
        <v>14000</v>
      </c>
      <c r="Y19" s="25">
        <f t="shared" si="10"/>
        <v>32900000</v>
      </c>
      <c r="Z19" s="8"/>
    </row>
    <row r="20" spans="1:26" ht="17.25" customHeight="1">
      <c r="A20" s="1049"/>
      <c r="B20" s="1050"/>
      <c r="C20" s="1051"/>
      <c r="D20" s="1028"/>
      <c r="E20" s="1028"/>
      <c r="F20" s="1028"/>
      <c r="G20" s="1052"/>
      <c r="H20" s="1028"/>
      <c r="I20" s="1028"/>
      <c r="J20" s="1028"/>
      <c r="K20" s="1028"/>
      <c r="L20" s="1028"/>
      <c r="M20" s="1028"/>
      <c r="N20" s="1028">
        <v>13300397439</v>
      </c>
      <c r="O20" s="1028"/>
      <c r="P20" s="1028"/>
      <c r="Q20" s="1232"/>
      <c r="S20" s="1026"/>
      <c r="T20" s="933"/>
      <c r="U20" s="1053" t="s">
        <v>383</v>
      </c>
      <c r="V20" s="660">
        <v>42750</v>
      </c>
      <c r="W20" s="872">
        <v>651</v>
      </c>
      <c r="X20" s="872">
        <v>18200</v>
      </c>
      <c r="Y20" s="25">
        <f t="shared" si="10"/>
        <v>11848200</v>
      </c>
      <c r="Z20" s="8"/>
    </row>
    <row r="21" spans="1:26" ht="17.25" customHeight="1">
      <c r="A21" s="1049"/>
      <c r="B21" s="1050"/>
      <c r="C21" s="1051"/>
      <c r="D21" s="1028"/>
      <c r="E21" s="1028"/>
      <c r="F21" s="1028"/>
      <c r="G21" s="1028">
        <f>SUM(G6:G17)</f>
        <v>7999885000</v>
      </c>
      <c r="H21" s="1028"/>
      <c r="I21" s="1028"/>
      <c r="J21" s="1028"/>
      <c r="K21" s="1028"/>
      <c r="L21" s="1028"/>
      <c r="M21" s="1028"/>
      <c r="N21" s="1028"/>
      <c r="O21" s="1028"/>
      <c r="P21" s="1028"/>
      <c r="Q21" s="1232"/>
      <c r="S21" s="1026"/>
      <c r="T21" s="933"/>
      <c r="U21" s="446" t="s">
        <v>778</v>
      </c>
      <c r="V21" s="660">
        <v>42753</v>
      </c>
      <c r="W21" s="872">
        <v>1040</v>
      </c>
      <c r="X21" s="872">
        <v>13500</v>
      </c>
      <c r="Y21" s="25">
        <f t="shared" si="10"/>
        <v>14040000</v>
      </c>
      <c r="Z21" s="8"/>
    </row>
    <row r="22" spans="1:26" ht="17.25" customHeight="1">
      <c r="A22" s="1049"/>
      <c r="B22" s="1050"/>
      <c r="C22" s="1051"/>
      <c r="D22" s="1028"/>
      <c r="E22" s="1028"/>
      <c r="F22" s="1028"/>
      <c r="G22" s="1052"/>
      <c r="H22" s="1028"/>
      <c r="I22" s="1028"/>
      <c r="J22" s="1028"/>
      <c r="K22" s="1028"/>
      <c r="L22" s="1028"/>
      <c r="M22" s="1028"/>
      <c r="N22" s="1028"/>
      <c r="O22" s="1028"/>
      <c r="P22" s="1028"/>
      <c r="Q22" s="1232"/>
      <c r="S22" s="1026"/>
      <c r="T22" s="933"/>
      <c r="U22" s="446" t="s">
        <v>776</v>
      </c>
      <c r="V22" s="660">
        <v>42753</v>
      </c>
      <c r="W22" s="81">
        <v>109</v>
      </c>
      <c r="X22" s="81">
        <v>13500</v>
      </c>
      <c r="Y22" s="25">
        <f t="shared" si="10"/>
        <v>1471500</v>
      </c>
      <c r="Z22" s="8"/>
    </row>
    <row r="23" spans="1:26" ht="17.25" customHeight="1">
      <c r="A23" s="1020"/>
      <c r="B23" s="1020"/>
      <c r="C23" s="1020"/>
      <c r="D23" s="1020"/>
      <c r="E23" s="1020"/>
      <c r="F23" s="1020"/>
      <c r="G23" s="1032"/>
      <c r="H23" s="1032"/>
      <c r="I23" s="1054"/>
      <c r="J23" s="1020"/>
      <c r="K23" s="1020"/>
      <c r="L23" s="1020"/>
      <c r="M23" s="1020"/>
      <c r="N23" s="1055"/>
      <c r="O23" s="1028"/>
      <c r="P23" s="1020"/>
      <c r="Q23" s="1232"/>
      <c r="S23" s="1021"/>
      <c r="T23" s="933"/>
      <c r="U23" s="1105"/>
      <c r="V23" s="660"/>
      <c r="W23" s="992"/>
      <c r="X23" s="993"/>
      <c r="Y23" s="25">
        <f t="shared" si="10"/>
        <v>0</v>
      </c>
      <c r="Z23" s="8"/>
    </row>
    <row r="24" spans="1:26" ht="17.25" customHeight="1">
      <c r="A24" s="1023" t="s">
        <v>495</v>
      </c>
      <c r="B24" s="1023"/>
      <c r="C24" s="1024"/>
      <c r="D24" s="1025"/>
      <c r="E24" s="1025"/>
      <c r="F24" s="1025"/>
      <c r="G24" s="437"/>
      <c r="H24" s="437"/>
      <c r="I24" s="437"/>
      <c r="J24" s="437"/>
      <c r="K24" s="437"/>
      <c r="L24" s="437"/>
      <c r="M24" s="437"/>
      <c r="N24" s="437"/>
      <c r="O24" s="918"/>
      <c r="P24" s="437"/>
      <c r="Q24" s="1232"/>
      <c r="S24" s="1021"/>
      <c r="T24" s="933"/>
      <c r="U24" s="1056"/>
      <c r="V24" s="1057"/>
      <c r="W24" s="1058">
        <f>SUM(W15:W23)-W17</f>
        <v>8360</v>
      </c>
      <c r="X24" s="1058"/>
      <c r="Y24" s="1058">
        <f>SUM(Y15:Y23)</f>
        <v>132057700</v>
      </c>
      <c r="Z24" s="1059"/>
    </row>
    <row r="25" spans="1:26" ht="17.25" customHeight="1">
      <c r="A25" s="1028" t="s">
        <v>903</v>
      </c>
      <c r="B25" s="1028"/>
      <c r="C25" s="1028"/>
      <c r="D25" s="1028"/>
      <c r="E25" s="1028"/>
      <c r="F25" s="1028"/>
      <c r="G25" s="1028"/>
      <c r="H25" s="1028"/>
      <c r="I25" s="1028"/>
      <c r="J25" s="1028"/>
      <c r="K25" s="1028"/>
      <c r="L25" s="1028"/>
      <c r="M25" s="1028"/>
      <c r="N25" s="1028"/>
      <c r="O25" s="1028"/>
      <c r="P25" s="1028"/>
      <c r="Q25" s="1232"/>
      <c r="S25" s="1026"/>
      <c r="T25" s="933"/>
      <c r="U25" s="658"/>
      <c r="V25" s="1060"/>
      <c r="W25" s="1206"/>
      <c r="X25" s="1206"/>
      <c r="Y25" s="1061"/>
      <c r="Z25" s="1020"/>
    </row>
    <row r="26" spans="1:26">
      <c r="A26" s="1029"/>
      <c r="B26" s="1029"/>
      <c r="C26" s="1030"/>
      <c r="D26" s="1029"/>
      <c r="E26" s="1029"/>
      <c r="F26" s="1029"/>
      <c r="G26" s="1029"/>
      <c r="H26" s="1029"/>
      <c r="I26" s="1029"/>
      <c r="J26" s="1029"/>
      <c r="K26" s="1029"/>
      <c r="L26" s="1029"/>
      <c r="M26" s="1029"/>
      <c r="N26" s="1029"/>
      <c r="O26" s="1031"/>
      <c r="P26" s="1029"/>
      <c r="Q26" s="1232"/>
      <c r="S26" s="1026"/>
      <c r="T26" s="933"/>
      <c r="U26" s="437"/>
      <c r="V26" s="1027"/>
      <c r="W26" s="437"/>
      <c r="X26" s="437"/>
      <c r="Y26" s="1020"/>
      <c r="Z26" s="1020"/>
    </row>
    <row r="27" spans="1:26" ht="28.5" customHeight="1">
      <c r="A27" s="650" t="s">
        <v>37</v>
      </c>
      <c r="B27" s="650" t="s">
        <v>496</v>
      </c>
      <c r="C27" s="651" t="s">
        <v>497</v>
      </c>
      <c r="D27" s="652" t="s">
        <v>498</v>
      </c>
      <c r="E27" s="652" t="s">
        <v>499</v>
      </c>
      <c r="F27" s="652" t="s">
        <v>500</v>
      </c>
      <c r="G27" s="652" t="s">
        <v>501</v>
      </c>
      <c r="H27" s="652" t="s">
        <v>502</v>
      </c>
      <c r="I27" s="652" t="s">
        <v>503</v>
      </c>
      <c r="J27" s="652" t="s">
        <v>504</v>
      </c>
      <c r="K27" s="653" t="s">
        <v>505</v>
      </c>
      <c r="L27" s="652" t="s">
        <v>506</v>
      </c>
      <c r="M27" s="653" t="s">
        <v>507</v>
      </c>
      <c r="N27" s="652" t="s">
        <v>508</v>
      </c>
      <c r="O27" s="654" t="s">
        <v>499</v>
      </c>
      <c r="P27" s="652" t="s">
        <v>509</v>
      </c>
      <c r="Q27" s="1232"/>
      <c r="S27" s="1026"/>
      <c r="T27" s="933"/>
      <c r="U27" s="650" t="s">
        <v>496</v>
      </c>
      <c r="V27" s="652" t="s">
        <v>464</v>
      </c>
      <c r="W27" s="652" t="s">
        <v>327</v>
      </c>
      <c r="X27" s="652" t="s">
        <v>500</v>
      </c>
      <c r="Y27" s="652" t="s">
        <v>510</v>
      </c>
      <c r="Z27" s="650" t="s">
        <v>510</v>
      </c>
    </row>
    <row r="28" spans="1:26" ht="18" customHeight="1">
      <c r="A28" s="438">
        <v>1</v>
      </c>
      <c r="B28" s="443" t="s">
        <v>431</v>
      </c>
      <c r="C28" s="1034">
        <f>VLOOKUP(B28,NXT!$Q$72:$S$111,2,0)</f>
        <v>3.2</v>
      </c>
      <c r="D28" s="387">
        <f>ROUND(C28*O28,0)</f>
        <v>416000</v>
      </c>
      <c r="E28" s="394"/>
      <c r="F28" s="1035">
        <f>VLOOKUP(B28,NXT!$Q$72:$S$111,3,0)</f>
        <v>17500</v>
      </c>
      <c r="G28" s="8">
        <f>(D28+E28)*F28</f>
        <v>7280000000</v>
      </c>
      <c r="H28" s="394">
        <f>IF($D$31&lt;&gt;0,H$31/($D$31+$E$31/5)*($D28+$E28/5),0)</f>
        <v>75684269.813597947</v>
      </c>
      <c r="I28" s="394">
        <f>IF($D$31&lt;&gt;0,I$31/$D$31*$D28,0)</f>
        <v>3240000</v>
      </c>
      <c r="J28" s="394">
        <f>IF($D$31&lt;&gt;0,J$31/$D$31*$D28,0)</f>
        <v>35851500</v>
      </c>
      <c r="K28" s="394">
        <f>IF($D$31&lt;&gt;0,K$31/$D$31*$D28,0)</f>
        <v>59468991</v>
      </c>
      <c r="L28" s="394">
        <f>Y37</f>
        <v>13762500</v>
      </c>
      <c r="M28" s="394"/>
      <c r="N28" s="8">
        <f>SUM(G28:L28)</f>
        <v>7468007260.8135977</v>
      </c>
      <c r="O28" s="394">
        <v>130000</v>
      </c>
      <c r="P28" s="394">
        <f>IF(O28&lt;&gt;"",N28/O28,"")</f>
        <v>57446.209698566134</v>
      </c>
      <c r="Q28" s="1233">
        <v>2.65</v>
      </c>
      <c r="R28" s="1026">
        <v>22780</v>
      </c>
      <c r="S28" s="933">
        <f t="shared" ref="S28:S30" si="12">Q28*R28</f>
        <v>60367</v>
      </c>
      <c r="T28" s="933">
        <f t="shared" si="2"/>
        <v>2920.7903014338663</v>
      </c>
      <c r="U28" s="656" t="s">
        <v>329</v>
      </c>
      <c r="V28" s="1093"/>
      <c r="W28" s="1085"/>
      <c r="X28" s="1127"/>
      <c r="Y28" s="1110">
        <f t="shared" ref="Y28:Y34" si="13">ROUND(W28*X28,0)</f>
        <v>0</v>
      </c>
      <c r="Z28" s="1037"/>
    </row>
    <row r="29" spans="1:26" ht="18" customHeight="1">
      <c r="A29" s="438">
        <v>2</v>
      </c>
      <c r="B29" s="443" t="s">
        <v>431</v>
      </c>
      <c r="C29" s="1034">
        <f>VLOOKUP(B29,NXT!$Q$72:$S$111,2,0)</f>
        <v>3.2</v>
      </c>
      <c r="D29" s="394"/>
      <c r="E29" s="394">
        <v>52702</v>
      </c>
      <c r="F29" s="394">
        <v>58500</v>
      </c>
      <c r="G29" s="25">
        <f t="shared" ref="G29" si="14">(D29+E29)*F29</f>
        <v>3083067000</v>
      </c>
      <c r="H29" s="394">
        <f>IF($D$31&lt;&gt;0,H$31/($D$31+$E$31/5)*($D29+$E29/5),0)</f>
        <v>1917650.186402038</v>
      </c>
      <c r="I29" s="394"/>
      <c r="J29" s="394"/>
      <c r="K29" s="394"/>
      <c r="L29" s="394">
        <f>Y39</f>
        <v>34459000</v>
      </c>
      <c r="M29" s="394"/>
      <c r="N29" s="8">
        <f>SUM(G29:L29)</f>
        <v>3119443650.1864018</v>
      </c>
      <c r="O29" s="394">
        <v>52702</v>
      </c>
      <c r="P29" s="394">
        <f>IF(O29&lt;&gt;"",N29/O29,"")</f>
        <v>59190.232822025762</v>
      </c>
      <c r="Q29" s="1233">
        <v>2.65</v>
      </c>
      <c r="R29" s="1026">
        <v>22780</v>
      </c>
      <c r="S29" s="933">
        <f t="shared" si="12"/>
        <v>60367</v>
      </c>
      <c r="T29" s="933">
        <f t="shared" si="2"/>
        <v>1176.7671779742377</v>
      </c>
      <c r="U29" s="657" t="s">
        <v>335</v>
      </c>
      <c r="V29" s="1093"/>
      <c r="W29" s="1085"/>
      <c r="X29" s="1085"/>
      <c r="Y29" s="1110">
        <f t="shared" si="13"/>
        <v>0</v>
      </c>
      <c r="Z29" s="1038"/>
    </row>
    <row r="30" spans="1:26" ht="18" customHeight="1">
      <c r="A30" s="1229" t="str">
        <f>IF(B30&lt;&gt;"",#REF!+1,"")</f>
        <v/>
      </c>
      <c r="B30" s="1062"/>
      <c r="C30" s="1063"/>
      <c r="D30" s="1064"/>
      <c r="E30" s="1064"/>
      <c r="F30" s="1064"/>
      <c r="G30" s="1065"/>
      <c r="H30" s="1066"/>
      <c r="I30" s="1064"/>
      <c r="J30" s="453"/>
      <c r="K30" s="1064"/>
      <c r="L30" s="743"/>
      <c r="M30" s="1064"/>
      <c r="N30" s="1066"/>
      <c r="O30" s="1067"/>
      <c r="P30" s="1064"/>
      <c r="Q30" s="1231"/>
      <c r="S30" s="933">
        <f t="shared" si="12"/>
        <v>0</v>
      </c>
      <c r="T30" s="933">
        <f t="shared" si="2"/>
        <v>0</v>
      </c>
      <c r="U30" s="657" t="s">
        <v>338</v>
      </c>
      <c r="V30" s="1093"/>
      <c r="W30" s="1085"/>
      <c r="X30" s="1089"/>
      <c r="Y30" s="1110">
        <f t="shared" si="13"/>
        <v>0</v>
      </c>
      <c r="Z30" s="1038"/>
    </row>
    <row r="31" spans="1:26" ht="18" customHeight="1">
      <c r="A31" s="1046"/>
      <c r="B31" s="1047" t="s">
        <v>511</v>
      </c>
      <c r="C31" s="1048"/>
      <c r="D31" s="832">
        <f>SUM(D28:D30)</f>
        <v>416000</v>
      </c>
      <c r="E31" s="832">
        <f>SUM(E28:E30)</f>
        <v>52702</v>
      </c>
      <c r="F31" s="832"/>
      <c r="G31" s="832">
        <f>SUM(G28:G30)</f>
        <v>10363067000</v>
      </c>
      <c r="H31" s="832">
        <v>77601920</v>
      </c>
      <c r="I31" s="832">
        <f>Y36</f>
        <v>3240000</v>
      </c>
      <c r="J31" s="832">
        <v>35851500</v>
      </c>
      <c r="K31" s="832">
        <v>59468991</v>
      </c>
      <c r="L31" s="832">
        <f>SUM(L28:L30)</f>
        <v>48221500</v>
      </c>
      <c r="M31" s="832">
        <f>ROUND(SUM(M28:M30),0)</f>
        <v>0</v>
      </c>
      <c r="N31" s="832">
        <f>ROUND(SUM(N28:N30),0)</f>
        <v>10587450911</v>
      </c>
      <c r="O31" s="832">
        <f>ROUND(SUM(O28:O30),0)</f>
        <v>182702</v>
      </c>
      <c r="P31" s="832"/>
      <c r="Q31" s="1231"/>
      <c r="S31" s="933"/>
      <c r="T31" s="933"/>
      <c r="U31" s="657" t="s">
        <v>798</v>
      </c>
      <c r="V31" s="1093"/>
      <c r="W31" s="1085"/>
      <c r="X31" s="1085"/>
      <c r="Y31" s="1110">
        <f t="shared" si="13"/>
        <v>0</v>
      </c>
      <c r="Z31" s="1068"/>
    </row>
    <row r="32" spans="1:26" ht="18" customHeight="1">
      <c r="A32" s="1049"/>
      <c r="B32" s="1050"/>
      <c r="C32" s="1051"/>
      <c r="D32" s="1028"/>
      <c r="E32" s="1028"/>
      <c r="F32" s="1028"/>
      <c r="G32" s="1028"/>
      <c r="H32" s="1028"/>
      <c r="I32" s="1028"/>
      <c r="J32" s="1028"/>
      <c r="K32" s="1028"/>
      <c r="L32" s="1028"/>
      <c r="M32" s="1028"/>
      <c r="N32" s="1028"/>
      <c r="O32" s="1028"/>
      <c r="P32" s="1028"/>
      <c r="Q32" s="1231"/>
      <c r="S32" s="933"/>
      <c r="T32" s="933"/>
      <c r="U32" s="657" t="s">
        <v>343</v>
      </c>
      <c r="V32" s="1093">
        <v>42767</v>
      </c>
      <c r="W32" s="81">
        <v>500</v>
      </c>
      <c r="X32" s="872">
        <v>3000</v>
      </c>
      <c r="Y32" s="1110">
        <f t="shared" si="13"/>
        <v>1500000</v>
      </c>
      <c r="Z32" s="1068"/>
    </row>
    <row r="33" spans="1:26" ht="18" customHeight="1">
      <c r="A33" s="1049"/>
      <c r="B33" s="1050"/>
      <c r="C33" s="1051"/>
      <c r="D33" s="1028"/>
      <c r="E33" s="1028"/>
      <c r="F33" s="1028"/>
      <c r="G33" s="1028"/>
      <c r="H33" s="1028"/>
      <c r="I33" s="1028"/>
      <c r="J33" s="1028"/>
      <c r="K33" s="1028"/>
      <c r="L33" s="1028"/>
      <c r="M33" s="1028"/>
      <c r="N33" s="1028">
        <v>1615342026</v>
      </c>
      <c r="O33" s="1028"/>
      <c r="P33" s="1028"/>
      <c r="Q33" s="1231"/>
      <c r="S33" s="933"/>
      <c r="T33" s="933"/>
      <c r="U33" s="657" t="s">
        <v>823</v>
      </c>
      <c r="V33" s="1093"/>
      <c r="W33" s="1085"/>
      <c r="X33" s="1085"/>
      <c r="Y33" s="1110">
        <f t="shared" si="13"/>
        <v>0</v>
      </c>
      <c r="Z33" s="1068"/>
    </row>
    <row r="34" spans="1:26" ht="18" customHeight="1">
      <c r="A34" s="1049"/>
      <c r="B34" s="1050"/>
      <c r="C34" s="1051"/>
      <c r="D34" s="1028"/>
      <c r="E34" s="1028"/>
      <c r="F34" s="1028"/>
      <c r="G34" s="1028">
        <f>SUM(G28:G28)</f>
        <v>7280000000</v>
      </c>
      <c r="H34" s="1028"/>
      <c r="I34" s="1028"/>
      <c r="J34" s="1028"/>
      <c r="K34" s="1028"/>
      <c r="L34" s="1028"/>
      <c r="M34" s="1028"/>
      <c r="N34" s="1028"/>
      <c r="O34" s="1028"/>
      <c r="P34" s="1028"/>
      <c r="Q34" s="1231"/>
      <c r="S34" s="933"/>
      <c r="T34" s="933"/>
      <c r="U34" s="657" t="s">
        <v>348</v>
      </c>
      <c r="V34" s="1093">
        <v>42767</v>
      </c>
      <c r="W34" s="1085">
        <v>200</v>
      </c>
      <c r="X34" s="1094">
        <v>8700</v>
      </c>
      <c r="Y34" s="1110">
        <f t="shared" si="13"/>
        <v>1740000</v>
      </c>
      <c r="Z34" s="1068"/>
    </row>
    <row r="35" spans="1:26" ht="18" customHeight="1">
      <c r="A35" s="1049"/>
      <c r="B35" s="1050"/>
      <c r="C35" s="1051"/>
      <c r="D35" s="1028"/>
      <c r="E35" s="1028"/>
      <c r="F35" s="1028"/>
      <c r="G35" s="1028"/>
      <c r="H35" s="1028"/>
      <c r="I35" s="1028"/>
      <c r="J35" s="1028"/>
      <c r="K35" s="1028"/>
      <c r="L35" s="1028"/>
      <c r="M35" s="1028"/>
      <c r="N35" s="1028"/>
      <c r="O35" s="1028"/>
      <c r="P35" s="1028"/>
      <c r="Q35" s="1232"/>
      <c r="S35" s="1026"/>
      <c r="T35" s="933"/>
      <c r="U35" s="1128"/>
      <c r="V35" s="1093"/>
      <c r="W35" s="1129"/>
      <c r="X35" s="1085"/>
      <c r="Y35" s="1129"/>
      <c r="Z35" s="1068"/>
    </row>
    <row r="36" spans="1:26" ht="18" customHeight="1">
      <c r="A36" s="1049"/>
      <c r="B36" s="1050"/>
      <c r="C36" s="1051"/>
      <c r="D36" s="1028"/>
      <c r="E36" s="1028"/>
      <c r="F36" s="1028"/>
      <c r="G36" s="1028"/>
      <c r="H36" s="1028"/>
      <c r="I36" s="1028"/>
      <c r="J36" s="1028"/>
      <c r="K36" s="1028"/>
      <c r="L36" s="1028"/>
      <c r="M36" s="1028"/>
      <c r="N36" s="1028"/>
      <c r="O36" s="1028"/>
      <c r="P36" s="1028"/>
      <c r="Q36" s="1232"/>
      <c r="S36" s="1026"/>
      <c r="T36" s="933"/>
      <c r="U36" s="1114"/>
      <c r="V36" s="1115"/>
      <c r="W36" s="1116"/>
      <c r="X36" s="1117"/>
      <c r="Y36" s="1118">
        <f>SUM(Y28:Y35)</f>
        <v>3240000</v>
      </c>
      <c r="Z36" s="1118">
        <f>SUM(Z28:Z35)</f>
        <v>0</v>
      </c>
    </row>
    <row r="37" spans="1:26" ht="18" customHeight="1">
      <c r="A37" s="1049"/>
      <c r="B37" s="1050"/>
      <c r="C37" s="1051"/>
      <c r="D37" s="1028"/>
      <c r="E37" s="1028"/>
      <c r="F37" s="1028"/>
      <c r="G37" s="1028"/>
      <c r="H37" s="1028"/>
      <c r="I37" s="1028"/>
      <c r="J37" s="1028"/>
      <c r="K37" s="1028"/>
      <c r="L37" s="1028"/>
      <c r="M37" s="1028"/>
      <c r="N37" s="1028"/>
      <c r="O37" s="1028"/>
      <c r="P37" s="1028"/>
      <c r="Q37" s="1232"/>
      <c r="S37" s="1026"/>
      <c r="T37" s="933"/>
      <c r="U37" s="446" t="s">
        <v>789</v>
      </c>
      <c r="V37" s="1093">
        <v>42781</v>
      </c>
      <c r="W37" s="1089">
        <v>1835</v>
      </c>
      <c r="X37" s="1089">
        <v>7500</v>
      </c>
      <c r="Y37" s="1110">
        <f>ROUND(W37*X37,0)</f>
        <v>13762500</v>
      </c>
      <c r="Z37" s="1037"/>
    </row>
    <row r="38" spans="1:26" ht="18" customHeight="1">
      <c r="A38" s="1049"/>
      <c r="B38" s="1050"/>
      <c r="C38" s="1051"/>
      <c r="D38" s="1028"/>
      <c r="E38" s="1028"/>
      <c r="F38" s="1028"/>
      <c r="G38" s="1028"/>
      <c r="H38" s="1028"/>
      <c r="I38" s="1028"/>
      <c r="J38" s="1028"/>
      <c r="K38" s="1028"/>
      <c r="L38" s="1028"/>
      <c r="M38" s="1028"/>
      <c r="N38" s="1028"/>
      <c r="O38" s="1028"/>
      <c r="P38" s="1028"/>
      <c r="Q38" s="1232"/>
      <c r="S38" s="1026"/>
      <c r="T38" s="933"/>
      <c r="U38" s="446" t="s">
        <v>789</v>
      </c>
      <c r="V38" s="1093">
        <v>42786</v>
      </c>
      <c r="W38" s="1089">
        <f>O28/13-W37</f>
        <v>8165</v>
      </c>
      <c r="X38" s="1085">
        <v>8500</v>
      </c>
      <c r="Y38" s="1110">
        <f t="shared" ref="Y38" si="15">ROUND(W38*X38,0)</f>
        <v>69402500</v>
      </c>
      <c r="Z38" s="1037"/>
    </row>
    <row r="39" spans="1:26" ht="18" customHeight="1">
      <c r="A39" s="1049"/>
      <c r="B39" s="1050"/>
      <c r="C39" s="1051"/>
      <c r="D39" s="1028"/>
      <c r="E39" s="1028"/>
      <c r="F39" s="1028"/>
      <c r="G39" s="1028"/>
      <c r="H39" s="1028"/>
      <c r="I39" s="1028"/>
      <c r="J39" s="1028"/>
      <c r="K39" s="1028"/>
      <c r="L39" s="1028"/>
      <c r="M39" s="1028"/>
      <c r="N39" s="1028"/>
      <c r="O39" s="1028"/>
      <c r="P39" s="1028"/>
      <c r="Q39" s="1232"/>
      <c r="S39" s="1026"/>
      <c r="T39" s="933"/>
      <c r="U39" s="446" t="s">
        <v>789</v>
      </c>
      <c r="V39" s="1093">
        <v>42793</v>
      </c>
      <c r="W39" s="1089">
        <f>O29/13</f>
        <v>4054</v>
      </c>
      <c r="X39" s="1085">
        <v>8500</v>
      </c>
      <c r="Y39" s="1110">
        <f t="shared" ref="Y39" si="16">ROUND(W39*X39,0)</f>
        <v>34459000</v>
      </c>
      <c r="Z39" s="1037"/>
    </row>
    <row r="40" spans="1:26" ht="18" customHeight="1">
      <c r="A40" s="1049"/>
      <c r="B40" s="1050"/>
      <c r="C40" s="1051"/>
      <c r="D40" s="1028"/>
      <c r="E40" s="1028"/>
      <c r="F40" s="1028"/>
      <c r="G40" s="1028"/>
      <c r="H40" s="1028"/>
      <c r="I40" s="1028"/>
      <c r="J40" s="1028"/>
      <c r="K40" s="1028"/>
      <c r="L40" s="1028"/>
      <c r="M40" s="1028"/>
      <c r="N40" s="1028"/>
      <c r="O40" s="1028"/>
      <c r="P40" s="1028"/>
      <c r="Q40" s="1232"/>
      <c r="S40" s="1026"/>
      <c r="T40" s="933"/>
      <c r="U40" s="446"/>
      <c r="V40" s="1093"/>
      <c r="W40" s="1089"/>
      <c r="X40" s="1085"/>
      <c r="Y40" s="1110"/>
      <c r="Z40" s="1037"/>
    </row>
    <row r="41" spans="1:26" ht="18" customHeight="1">
      <c r="A41" s="1049"/>
      <c r="B41" s="1050"/>
      <c r="C41" s="1051"/>
      <c r="D41" s="1028"/>
      <c r="E41" s="1028"/>
      <c r="F41" s="1028"/>
      <c r="G41" s="1028"/>
      <c r="H41" s="1028"/>
      <c r="I41" s="1028"/>
      <c r="J41" s="1028"/>
      <c r="K41" s="1028"/>
      <c r="L41" s="1028"/>
      <c r="M41" s="1028"/>
      <c r="N41" s="1028"/>
      <c r="O41" s="1028"/>
      <c r="P41" s="1028"/>
      <c r="Q41" s="1232"/>
      <c r="S41" s="1026"/>
      <c r="T41" s="933"/>
      <c r="U41" s="446"/>
      <c r="V41" s="1093"/>
      <c r="W41" s="1089">
        <f>SUM(W38:W40)</f>
        <v>12219</v>
      </c>
      <c r="X41" s="1089"/>
      <c r="Y41" s="1089">
        <f t="shared" ref="Y41" si="17">SUM(Y37:Y40)</f>
        <v>117624000</v>
      </c>
      <c r="Z41" s="1037"/>
    </row>
    <row r="42" spans="1:26" ht="17.25" customHeight="1">
      <c r="A42" s="1023" t="s">
        <v>495</v>
      </c>
      <c r="B42" s="1023"/>
      <c r="C42" s="1120"/>
      <c r="D42" s="1121"/>
      <c r="E42" s="1121"/>
      <c r="F42" s="1121"/>
      <c r="G42" s="784"/>
      <c r="H42" s="784"/>
      <c r="I42" s="784"/>
      <c r="J42" s="784"/>
      <c r="K42" s="784"/>
      <c r="L42" s="784"/>
      <c r="M42" s="784"/>
      <c r="N42" s="784"/>
      <c r="O42" s="1122"/>
      <c r="P42" s="784"/>
      <c r="Q42" s="1232"/>
      <c r="S42" s="1026"/>
      <c r="T42" s="933"/>
      <c r="U42" s="1026"/>
      <c r="V42" s="1073"/>
      <c r="W42" s="1206"/>
      <c r="X42" s="1206"/>
      <c r="Y42" s="1206"/>
      <c r="Z42" s="1017"/>
    </row>
    <row r="43" spans="1:26" ht="17.25" customHeight="1">
      <c r="A43" s="1123" t="s">
        <v>905</v>
      </c>
      <c r="B43" s="1123"/>
      <c r="C43" s="1123"/>
      <c r="D43" s="1123"/>
      <c r="E43" s="1123"/>
      <c r="F43" s="1123"/>
      <c r="G43" s="1123"/>
      <c r="H43" s="1123"/>
      <c r="I43" s="1123"/>
      <c r="J43" s="1123"/>
      <c r="K43" s="1123"/>
      <c r="L43" s="1123"/>
      <c r="M43" s="1123"/>
      <c r="N43" s="1123"/>
      <c r="O43" s="1123"/>
      <c r="P43" s="1123"/>
      <c r="Q43" s="1232"/>
      <c r="S43" s="1026"/>
      <c r="T43" s="933"/>
      <c r="U43" s="658"/>
      <c r="V43" s="1060"/>
      <c r="W43" s="1206"/>
      <c r="X43" s="1206"/>
      <c r="Y43" s="1061"/>
      <c r="Z43" s="1017"/>
    </row>
    <row r="44" spans="1:26">
      <c r="A44" s="1124"/>
      <c r="B44" s="1124"/>
      <c r="C44" s="1125"/>
      <c r="D44" s="1124"/>
      <c r="E44" s="1124"/>
      <c r="F44" s="1124"/>
      <c r="G44" s="1124"/>
      <c r="H44" s="1124"/>
      <c r="I44" s="1124"/>
      <c r="J44" s="1124"/>
      <c r="K44" s="1124"/>
      <c r="L44" s="1124"/>
      <c r="M44" s="1124"/>
      <c r="N44" s="1124"/>
      <c r="O44" s="1126"/>
      <c r="P44" s="1124"/>
      <c r="Q44" s="1233"/>
      <c r="S44" s="655"/>
      <c r="T44" s="933"/>
      <c r="U44" s="658"/>
      <c r="V44" s="1060"/>
      <c r="W44" s="1206"/>
      <c r="X44" s="1206"/>
      <c r="Y44" s="1061"/>
      <c r="Z44" s="1032"/>
    </row>
    <row r="45" spans="1:26" ht="32.25" customHeight="1">
      <c r="A45" s="650" t="s">
        <v>37</v>
      </c>
      <c r="B45" s="650" t="s">
        <v>496</v>
      </c>
      <c r="C45" s="1107" t="s">
        <v>497</v>
      </c>
      <c r="D45" s="818" t="s">
        <v>498</v>
      </c>
      <c r="E45" s="818" t="s">
        <v>499</v>
      </c>
      <c r="F45" s="818" t="s">
        <v>500</v>
      </c>
      <c r="G45" s="818" t="s">
        <v>501</v>
      </c>
      <c r="H45" s="818" t="s">
        <v>502</v>
      </c>
      <c r="I45" s="818" t="s">
        <v>503</v>
      </c>
      <c r="J45" s="818" t="s">
        <v>504</v>
      </c>
      <c r="K45" s="1108" t="s">
        <v>505</v>
      </c>
      <c r="L45" s="818" t="s">
        <v>506</v>
      </c>
      <c r="M45" s="1108" t="s">
        <v>507</v>
      </c>
      <c r="N45" s="818" t="s">
        <v>508</v>
      </c>
      <c r="O45" s="1109" t="s">
        <v>499</v>
      </c>
      <c r="P45" s="818" t="s">
        <v>509</v>
      </c>
      <c r="Q45" s="1233"/>
      <c r="S45" s="655"/>
      <c r="T45" s="933"/>
      <c r="U45" s="650" t="s">
        <v>496</v>
      </c>
      <c r="V45" s="818" t="s">
        <v>464</v>
      </c>
      <c r="W45" s="818" t="s">
        <v>327</v>
      </c>
      <c r="X45" s="818" t="s">
        <v>500</v>
      </c>
      <c r="Y45" s="818" t="s">
        <v>510</v>
      </c>
      <c r="Z45" s="650" t="s">
        <v>510</v>
      </c>
    </row>
    <row r="46" spans="1:26" s="1228" customFormat="1" ht="16.5" customHeight="1">
      <c r="A46" s="751">
        <v>1</v>
      </c>
      <c r="B46" s="1039" t="s">
        <v>431</v>
      </c>
      <c r="C46" s="1034">
        <f>VLOOKUP(B46,NXT!$Q$72:$S$111,2,0)</f>
        <v>3.2</v>
      </c>
      <c r="D46" s="394">
        <f t="shared" ref="D46:D51" si="18">ROUND(C46*O46,0)</f>
        <v>324410</v>
      </c>
      <c r="E46" s="1225"/>
      <c r="F46" s="1035">
        <f>VLOOKUP(B46,NXT!$Q$72:$S$111,3,0)</f>
        <v>17500</v>
      </c>
      <c r="G46" s="796">
        <f t="shared" ref="G46:G51" si="19">(D46+E46)*F46</f>
        <v>5677175000</v>
      </c>
      <c r="H46" s="1091">
        <f t="shared" ref="H46:H51" si="20">IF($D$53&lt;&gt;0,H$53/($D$53+$E$53/5)*($D46+$E46/5),0)</f>
        <v>178717789.16236225</v>
      </c>
      <c r="I46" s="1225"/>
      <c r="J46" s="1225"/>
      <c r="K46" s="1226"/>
      <c r="L46" s="1091">
        <f>Y55</f>
        <v>66283000</v>
      </c>
      <c r="M46" s="1226">
        <v>1013780000</v>
      </c>
      <c r="N46" s="796">
        <f t="shared" ref="N46:N47" si="21">SUM(G46:L46)</f>
        <v>5922175789.1623621</v>
      </c>
      <c r="O46" s="1225">
        <v>101378</v>
      </c>
      <c r="P46" s="1091">
        <f t="shared" ref="P46:P48" si="22">IF(O46&lt;&gt;"",N46/O46,"")</f>
        <v>58416.774735764782</v>
      </c>
      <c r="Q46" s="1233">
        <v>2.65</v>
      </c>
      <c r="R46" s="1026">
        <v>22780</v>
      </c>
      <c r="S46" s="933">
        <f t="shared" ref="S46:S50" si="23">Q46*R46</f>
        <v>60367</v>
      </c>
      <c r="T46" s="933">
        <f t="shared" si="2"/>
        <v>1950.2252642352178</v>
      </c>
      <c r="U46" s="657" t="s">
        <v>329</v>
      </c>
      <c r="V46" s="1093">
        <v>42796</v>
      </c>
      <c r="W46" s="1085">
        <v>150</v>
      </c>
      <c r="X46" s="1085">
        <v>32200</v>
      </c>
      <c r="Y46" s="1110">
        <f t="shared" ref="Y46:Y52" si="24">ROUND(W46*X46,0)</f>
        <v>4830000</v>
      </c>
      <c r="Z46" s="1038"/>
    </row>
    <row r="47" spans="1:26" s="1228" customFormat="1" ht="16.5" customHeight="1">
      <c r="A47" s="751">
        <f t="shared" ref="A47:A51" si="25">IF(B47&lt;&gt;"",A46+1,"")</f>
        <v>2</v>
      </c>
      <c r="B47" s="1039" t="s">
        <v>431</v>
      </c>
      <c r="C47" s="1034">
        <f>VLOOKUP(B47,NXT!$Q$72:$S$111,2,0)</f>
        <v>3.2</v>
      </c>
      <c r="D47" s="394">
        <f t="shared" si="18"/>
        <v>116720</v>
      </c>
      <c r="E47" s="1225"/>
      <c r="F47" s="1035">
        <f>VLOOKUP(B47,NXT!$Q$72:$S$111,3,0)</f>
        <v>17500</v>
      </c>
      <c r="G47" s="796">
        <f t="shared" si="19"/>
        <v>2042600000</v>
      </c>
      <c r="H47" s="1091">
        <f t="shared" si="20"/>
        <v>64301163.191735528</v>
      </c>
      <c r="I47" s="1091">
        <f t="shared" ref="I47:K51" si="26">IF($D$53&lt;&gt;0,I$53/$D$53*$D47,0)</f>
        <v>32781500.973503362</v>
      </c>
      <c r="J47" s="1091">
        <f t="shared" si="26"/>
        <v>40308272.132312499</v>
      </c>
      <c r="K47" s="1091">
        <f t="shared" si="26"/>
        <v>43884281.1230883</v>
      </c>
      <c r="L47" s="1091">
        <f t="shared" ref="L47:L48" si="27">Y56</f>
        <v>23851000</v>
      </c>
      <c r="M47" s="1226"/>
      <c r="N47" s="796">
        <f t="shared" si="21"/>
        <v>2247726217.4206395</v>
      </c>
      <c r="O47" s="1225">
        <f>267853-O46-130000</f>
        <v>36475</v>
      </c>
      <c r="P47" s="1091">
        <f t="shared" si="22"/>
        <v>61623.748250051802</v>
      </c>
      <c r="Q47" s="1233">
        <v>2.65</v>
      </c>
      <c r="R47" s="1026">
        <v>22780</v>
      </c>
      <c r="S47" s="933">
        <f t="shared" si="23"/>
        <v>60367</v>
      </c>
      <c r="T47" s="933">
        <f t="shared" si="2"/>
        <v>-1256.7482500518017</v>
      </c>
      <c r="U47" s="657" t="s">
        <v>335</v>
      </c>
      <c r="V47" s="1093">
        <v>42796</v>
      </c>
      <c r="W47" s="1085">
        <v>130</v>
      </c>
      <c r="X47" s="1085">
        <v>49027</v>
      </c>
      <c r="Y47" s="1110">
        <f t="shared" si="24"/>
        <v>6373510</v>
      </c>
      <c r="Z47" s="1038"/>
    </row>
    <row r="48" spans="1:26" s="1228" customFormat="1" ht="16.5" customHeight="1">
      <c r="A48" s="751">
        <f t="shared" si="25"/>
        <v>3</v>
      </c>
      <c r="B48" s="446" t="s">
        <v>919</v>
      </c>
      <c r="C48" s="1034">
        <f>VLOOKUP(B48,NXT!$Q$72:$S$111,2,0)</f>
        <v>11</v>
      </c>
      <c r="D48" s="394">
        <f t="shared" si="18"/>
        <v>31680</v>
      </c>
      <c r="E48" s="1091"/>
      <c r="F48" s="1035">
        <v>16200</v>
      </c>
      <c r="G48" s="796">
        <f t="shared" si="19"/>
        <v>513216000</v>
      </c>
      <c r="H48" s="1091">
        <f t="shared" si="20"/>
        <v>17452543.265200321</v>
      </c>
      <c r="I48" s="1091">
        <f t="shared" si="26"/>
        <v>8897515.000347726</v>
      </c>
      <c r="J48" s="1091">
        <f t="shared" si="26"/>
        <v>10940422.04550771</v>
      </c>
      <c r="K48" s="1091">
        <f t="shared" si="26"/>
        <v>11911018.04300409</v>
      </c>
      <c r="L48" s="1091">
        <f t="shared" si="27"/>
        <v>5985000</v>
      </c>
      <c r="M48" s="1091"/>
      <c r="N48" s="796">
        <f>SUM(G48:L48)</f>
        <v>568402498.3540597</v>
      </c>
      <c r="O48" s="1091">
        <v>2880</v>
      </c>
      <c r="P48" s="1091">
        <f t="shared" si="22"/>
        <v>197361.97859515963</v>
      </c>
      <c r="Q48" s="1231">
        <v>8.6999999999999993</v>
      </c>
      <c r="R48" s="1026">
        <v>22795</v>
      </c>
      <c r="S48" s="933">
        <f t="shared" si="23"/>
        <v>198316.49999999997</v>
      </c>
      <c r="T48" s="933">
        <f t="shared" si="2"/>
        <v>954.52140484034317</v>
      </c>
      <c r="U48" s="657" t="s">
        <v>338</v>
      </c>
      <c r="V48" s="1093">
        <v>42796</v>
      </c>
      <c r="W48" s="81">
        <v>420</v>
      </c>
      <c r="X48" s="872">
        <v>15836.734761904761</v>
      </c>
      <c r="Y48" s="1110">
        <f t="shared" si="24"/>
        <v>6651429</v>
      </c>
      <c r="Z48" s="1038"/>
    </row>
    <row r="49" spans="1:26" s="1228" customFormat="1" ht="16.5" customHeight="1">
      <c r="A49" s="751">
        <f t="shared" si="25"/>
        <v>4</v>
      </c>
      <c r="B49" s="443" t="s">
        <v>832</v>
      </c>
      <c r="C49" s="1034">
        <f>VLOOKUP(B49,NXT!$Q$72:$S$111,2,0)</f>
        <v>5</v>
      </c>
      <c r="D49" s="394">
        <f t="shared" si="18"/>
        <v>6555</v>
      </c>
      <c r="E49" s="1091"/>
      <c r="F49" s="1035">
        <v>22100</v>
      </c>
      <c r="G49" s="796">
        <f t="shared" si="19"/>
        <v>144865500</v>
      </c>
      <c r="H49" s="1091">
        <f t="shared" si="20"/>
        <v>3611155.9691726044</v>
      </c>
      <c r="I49" s="1091">
        <f t="shared" si="26"/>
        <v>1841010.4427802821</v>
      </c>
      <c r="J49" s="1091">
        <f t="shared" si="26"/>
        <v>2263714.2205903735</v>
      </c>
      <c r="K49" s="1091">
        <f t="shared" si="26"/>
        <v>2464543.0325723425</v>
      </c>
      <c r="L49" s="1091">
        <f>$Y$58/SUM($O$49:$O$51)*O49</f>
        <v>1443431.3201496524</v>
      </c>
      <c r="M49" s="1091"/>
      <c r="N49" s="796">
        <f t="shared" ref="N49:N51" si="28">SUM(G49:L49)</f>
        <v>156489354.98526525</v>
      </c>
      <c r="O49" s="1091">
        <v>1311</v>
      </c>
      <c r="P49" s="1091">
        <f t="shared" ref="P49:P51" si="29">IF(O49&lt;&gt;"",N49/O49,"")</f>
        <v>119366.40349753261</v>
      </c>
      <c r="Q49" s="1231"/>
      <c r="R49" s="1026"/>
      <c r="S49" s="933">
        <v>120000</v>
      </c>
      <c r="T49" s="933">
        <f t="shared" si="2"/>
        <v>633.59650246739329</v>
      </c>
      <c r="U49" s="657" t="s">
        <v>798</v>
      </c>
      <c r="V49" s="1093">
        <v>42796</v>
      </c>
      <c r="W49" s="81">
        <v>40</v>
      </c>
      <c r="X49" s="872">
        <v>53000</v>
      </c>
      <c r="Y49" s="1110">
        <f t="shared" si="24"/>
        <v>2120000</v>
      </c>
      <c r="Z49" s="1038"/>
    </row>
    <row r="50" spans="1:26" s="1228" customFormat="1" ht="16.5" customHeight="1">
      <c r="A50" s="751">
        <f t="shared" si="25"/>
        <v>5</v>
      </c>
      <c r="B50" s="443" t="s">
        <v>902</v>
      </c>
      <c r="C50" s="1034">
        <f>VLOOKUP(B50,NXT!$Q$72:$S$111,2,0)</f>
        <v>6</v>
      </c>
      <c r="D50" s="394">
        <f t="shared" si="18"/>
        <v>2640</v>
      </c>
      <c r="E50" s="1091"/>
      <c r="F50" s="1035">
        <f>VLOOKUP(B50,NXT!$Q$72:$S$111,3,0)</f>
        <v>40000</v>
      </c>
      <c r="G50" s="796">
        <f t="shared" si="19"/>
        <v>105600000</v>
      </c>
      <c r="H50" s="1091">
        <f t="shared" si="20"/>
        <v>1454378.60543336</v>
      </c>
      <c r="I50" s="1091">
        <f t="shared" si="26"/>
        <v>741459.58336231043</v>
      </c>
      <c r="J50" s="1091">
        <f t="shared" si="26"/>
        <v>911701.83712564246</v>
      </c>
      <c r="K50" s="1091">
        <f t="shared" si="26"/>
        <v>992584.83691700757</v>
      </c>
      <c r="L50" s="1091">
        <f t="shared" ref="L50:L51" si="30">$Y$58/SUM($O$49:$O$51)*O50</f>
        <v>484446.81988241576</v>
      </c>
      <c r="M50" s="1091"/>
      <c r="N50" s="796">
        <f t="shared" si="28"/>
        <v>110184571.68272075</v>
      </c>
      <c r="O50" s="1091">
        <v>440</v>
      </c>
      <c r="P50" s="1091">
        <f t="shared" si="29"/>
        <v>250419.48109709262</v>
      </c>
      <c r="Q50" s="1231">
        <v>12.3</v>
      </c>
      <c r="R50" s="1026">
        <v>22795</v>
      </c>
      <c r="S50" s="933">
        <f t="shared" si="23"/>
        <v>280378.5</v>
      </c>
      <c r="T50" s="933">
        <f t="shared" si="2"/>
        <v>29959.018902907381</v>
      </c>
      <c r="U50" s="657" t="s">
        <v>343</v>
      </c>
      <c r="V50" s="1093">
        <v>42796</v>
      </c>
      <c r="W50" s="81">
        <v>500</v>
      </c>
      <c r="X50" s="872">
        <v>3000</v>
      </c>
      <c r="Y50" s="1110">
        <f t="shared" si="24"/>
        <v>1500000</v>
      </c>
      <c r="Z50" s="1038"/>
    </row>
    <row r="51" spans="1:26" s="1228" customFormat="1" ht="16.5" customHeight="1">
      <c r="A51" s="751">
        <f t="shared" si="25"/>
        <v>6</v>
      </c>
      <c r="B51" s="1010" t="s">
        <v>822</v>
      </c>
      <c r="C51" s="1034">
        <f>VLOOKUP(B51,NXT!$Q$72:$S$111,2,0)</f>
        <v>4.8</v>
      </c>
      <c r="D51" s="394">
        <f t="shared" si="18"/>
        <v>576</v>
      </c>
      <c r="E51" s="1091"/>
      <c r="F51" s="1035">
        <f>VLOOKUP(B51,NXT!$Q$72:$S$111,3,0)</f>
        <v>28500</v>
      </c>
      <c r="G51" s="796">
        <f t="shared" si="19"/>
        <v>16416000</v>
      </c>
      <c r="H51" s="1091">
        <f t="shared" si="20"/>
        <v>317318.96845818765</v>
      </c>
      <c r="I51" s="1091">
        <f t="shared" si="26"/>
        <v>161773.00000632228</v>
      </c>
      <c r="J51" s="1091">
        <f t="shared" si="26"/>
        <v>198916.76446377655</v>
      </c>
      <c r="K51" s="1091">
        <f t="shared" si="26"/>
        <v>216563.96441825619</v>
      </c>
      <c r="L51" s="1091">
        <f t="shared" si="30"/>
        <v>132121.85996793158</v>
      </c>
      <c r="M51" s="1091"/>
      <c r="N51" s="796">
        <f t="shared" si="28"/>
        <v>17442694.55731447</v>
      </c>
      <c r="O51" s="1091">
        <v>120</v>
      </c>
      <c r="P51" s="1091">
        <f t="shared" si="29"/>
        <v>145355.78797762058</v>
      </c>
      <c r="Q51" s="1231"/>
      <c r="R51" s="1026"/>
      <c r="S51" s="933">
        <v>147000</v>
      </c>
      <c r="T51" s="933">
        <f t="shared" si="2"/>
        <v>1644.2120223794191</v>
      </c>
      <c r="U51" s="657" t="s">
        <v>823</v>
      </c>
      <c r="V51" s="1093">
        <v>42796</v>
      </c>
      <c r="W51" s="81">
        <v>1440</v>
      </c>
      <c r="X51" s="872">
        <v>14728</v>
      </c>
      <c r="Y51" s="1110">
        <f t="shared" si="24"/>
        <v>21208320</v>
      </c>
      <c r="Z51" s="1038"/>
    </row>
    <row r="52" spans="1:26" s="1228" customFormat="1" ht="16.5" customHeight="1">
      <c r="A52" s="751" t="str">
        <f>IF(B52&lt;&gt;"",#REF!+1,"")</f>
        <v/>
      </c>
      <c r="B52" s="1074"/>
      <c r="C52" s="1086"/>
      <c r="D52" s="1087"/>
      <c r="E52" s="1087"/>
      <c r="F52" s="1087"/>
      <c r="G52" s="1110"/>
      <c r="H52" s="1087"/>
      <c r="I52" s="1087"/>
      <c r="J52" s="1087"/>
      <c r="K52" s="1087"/>
      <c r="L52" s="1087"/>
      <c r="M52" s="1087"/>
      <c r="N52" s="1110"/>
      <c r="O52" s="1091"/>
      <c r="P52" s="1087"/>
      <c r="Q52" s="1231"/>
      <c r="R52" s="1026"/>
      <c r="S52" s="933"/>
      <c r="T52" s="933">
        <f t="shared" si="2"/>
        <v>0</v>
      </c>
      <c r="U52" s="657" t="s">
        <v>348</v>
      </c>
      <c r="V52" s="1093">
        <v>42796</v>
      </c>
      <c r="W52" s="1085">
        <v>200</v>
      </c>
      <c r="X52" s="1094">
        <v>8700</v>
      </c>
      <c r="Y52" s="1110">
        <f t="shared" si="24"/>
        <v>1740000</v>
      </c>
      <c r="Z52" s="1038"/>
    </row>
    <row r="53" spans="1:26" s="1228" customFormat="1" ht="16.5" customHeight="1">
      <c r="A53" s="1047"/>
      <c r="B53" s="1047" t="s">
        <v>511</v>
      </c>
      <c r="C53" s="1111"/>
      <c r="D53" s="1092">
        <f>SUM(D47:D52)</f>
        <v>158171</v>
      </c>
      <c r="E53" s="1092">
        <f>SUM(E46:E52)</f>
        <v>0</v>
      </c>
      <c r="F53" s="1092"/>
      <c r="G53" s="1092">
        <f>SUM(G46:G52)</f>
        <v>8499872500</v>
      </c>
      <c r="H53" s="1092">
        <v>87136560</v>
      </c>
      <c r="I53" s="1092">
        <f>Y54</f>
        <v>44423259</v>
      </c>
      <c r="J53" s="1092">
        <v>54623027</v>
      </c>
      <c r="K53" s="1092">
        <v>59468991</v>
      </c>
      <c r="L53" s="1092">
        <f>ROUND(SUM(L46:L52),0)</f>
        <v>98179000</v>
      </c>
      <c r="M53" s="1092">
        <f>ROUND(SUM(M46:M52),0)</f>
        <v>1013780000</v>
      </c>
      <c r="N53" s="1092">
        <f>ROUND(SUM(N46:N52),0)</f>
        <v>9022421126</v>
      </c>
      <c r="O53" s="1092">
        <f>ROUND(SUM(O46:O52),0)</f>
        <v>142604</v>
      </c>
      <c r="P53" s="1092"/>
      <c r="Q53" s="1232"/>
      <c r="R53" s="1026"/>
      <c r="S53" s="1026"/>
      <c r="T53" s="933"/>
      <c r="U53" s="1112"/>
      <c r="V53" s="1093"/>
      <c r="W53" s="1113"/>
      <c r="X53" s="1113"/>
      <c r="Y53" s="1113"/>
      <c r="Z53" s="1075"/>
    </row>
    <row r="54" spans="1:26" s="1228" customFormat="1" ht="16.5" customHeight="1">
      <c r="A54" s="1049"/>
      <c r="B54" s="1050"/>
      <c r="C54" s="1051"/>
      <c r="D54" s="1028"/>
      <c r="E54" s="1028"/>
      <c r="F54" s="1028"/>
      <c r="G54" s="1052"/>
      <c r="H54" s="1028"/>
      <c r="I54" s="1028"/>
      <c r="J54" s="1028"/>
      <c r="K54" s="1028"/>
      <c r="L54" s="1028"/>
      <c r="M54" s="1028"/>
      <c r="N54" s="659"/>
      <c r="O54" s="1028"/>
      <c r="P54" s="1028"/>
      <c r="Q54" s="1232"/>
      <c r="R54" s="1026"/>
      <c r="S54" s="1026"/>
      <c r="T54" s="933"/>
      <c r="U54" s="1114"/>
      <c r="V54" s="1115"/>
      <c r="W54" s="1116"/>
      <c r="X54" s="1117"/>
      <c r="Y54" s="1118">
        <f>SUM(Y46:Y53)</f>
        <v>44423259</v>
      </c>
      <c r="Z54" s="1118">
        <f>SUM(Z46:Z51)</f>
        <v>0</v>
      </c>
    </row>
    <row r="55" spans="1:26" s="1228" customFormat="1" ht="16.5" customHeight="1">
      <c r="A55" s="1049"/>
      <c r="B55" s="1050"/>
      <c r="C55" s="1051"/>
      <c r="D55" s="1017">
        <v>26351</v>
      </c>
      <c r="E55" s="1073">
        <v>42807</v>
      </c>
      <c r="F55" s="1017"/>
      <c r="G55" s="1224">
        <f>D55*10000</f>
        <v>263510000</v>
      </c>
      <c r="H55" s="1028"/>
      <c r="I55" s="1028"/>
      <c r="J55" s="1028"/>
      <c r="K55" s="1028"/>
      <c r="L55" s="1028"/>
      <c r="M55" s="1028"/>
      <c r="N55" s="659"/>
      <c r="O55" s="1052"/>
      <c r="P55" s="1028"/>
      <c r="Q55" s="1232"/>
      <c r="R55" s="1026"/>
      <c r="S55" s="1026"/>
      <c r="T55" s="933"/>
      <c r="U55" s="446" t="s">
        <v>789</v>
      </c>
      <c r="V55" s="1093">
        <v>42809</v>
      </c>
      <c r="W55" s="1230">
        <f>ROUND(O46/13,0)</f>
        <v>7798</v>
      </c>
      <c r="X55" s="1085">
        <v>8500</v>
      </c>
      <c r="Y55" s="1110">
        <f>ROUND(W55*X55,0)</f>
        <v>66283000</v>
      </c>
      <c r="Z55" s="1110"/>
    </row>
    <row r="56" spans="1:26" s="1228" customFormat="1" ht="16.5" customHeight="1">
      <c r="A56" s="1049"/>
      <c r="B56" s="1050"/>
      <c r="C56" s="1073" t="s">
        <v>904</v>
      </c>
      <c r="D56" s="1017">
        <v>26351</v>
      </c>
      <c r="E56" s="1073">
        <v>42808</v>
      </c>
      <c r="F56" s="1017"/>
      <c r="G56" s="1224">
        <f>D56*10000</f>
        <v>263510000</v>
      </c>
      <c r="H56" s="1028"/>
      <c r="I56" s="1028"/>
      <c r="J56" s="1028"/>
      <c r="K56" s="1028"/>
      <c r="L56" s="1028"/>
      <c r="M56" s="1028"/>
      <c r="N56" s="659"/>
      <c r="O56" s="1028"/>
      <c r="P56" s="1028"/>
      <c r="Q56" s="1232"/>
      <c r="R56" s="1026"/>
      <c r="S56" s="1026"/>
      <c r="T56" s="933"/>
      <c r="U56" s="446" t="s">
        <v>789</v>
      </c>
      <c r="V56" s="1093">
        <v>42819</v>
      </c>
      <c r="W56" s="1230">
        <f>ROUND(O47/13,0)</f>
        <v>2806</v>
      </c>
      <c r="X56" s="1085">
        <v>8500</v>
      </c>
      <c r="Y56" s="1110">
        <f t="shared" ref="Y56:Y59" si="31">ROUND(W56*X56,0)</f>
        <v>23851000</v>
      </c>
      <c r="Z56" s="796"/>
    </row>
    <row r="57" spans="1:26" s="1228" customFormat="1" ht="16.5" customHeight="1">
      <c r="A57" s="1049"/>
      <c r="B57" s="1050"/>
      <c r="C57" s="1073"/>
      <c r="D57" s="1017">
        <v>22286</v>
      </c>
      <c r="E57" s="1073">
        <v>42816</v>
      </c>
      <c r="F57" s="1017"/>
      <c r="G57" s="1224">
        <f t="shared" ref="G57:G58" si="32">D57*10000</f>
        <v>222860000</v>
      </c>
      <c r="H57" s="1028"/>
      <c r="I57" s="1028"/>
      <c r="J57" s="1028"/>
      <c r="K57" s="1028"/>
      <c r="L57" s="1028"/>
      <c r="M57" s="1028"/>
      <c r="N57" s="659"/>
      <c r="O57" s="1028"/>
      <c r="P57" s="1028"/>
      <c r="Q57" s="1232"/>
      <c r="R57" s="1026"/>
      <c r="S57" s="1026"/>
      <c r="T57" s="933"/>
      <c r="U57" s="446" t="s">
        <v>375</v>
      </c>
      <c r="V57" s="1093">
        <v>42799</v>
      </c>
      <c r="W57" s="1089">
        <v>630</v>
      </c>
      <c r="X57" s="1089">
        <v>9500</v>
      </c>
      <c r="Y57" s="1110">
        <f t="shared" si="31"/>
        <v>5985000</v>
      </c>
      <c r="Z57" s="796"/>
    </row>
    <row r="58" spans="1:26" s="1228" customFormat="1" ht="16.5" customHeight="1">
      <c r="A58" s="1049"/>
      <c r="B58" s="1050"/>
      <c r="C58" s="1073"/>
      <c r="D58" s="1017">
        <v>26390</v>
      </c>
      <c r="E58" s="1073">
        <v>42819</v>
      </c>
      <c r="F58" s="1017"/>
      <c r="G58" s="1224">
        <f t="shared" si="32"/>
        <v>263900000</v>
      </c>
      <c r="H58" s="1028"/>
      <c r="I58" s="1052"/>
      <c r="J58" s="1028"/>
      <c r="K58" s="1028"/>
      <c r="L58" s="1028"/>
      <c r="M58" s="1028"/>
      <c r="N58" s="659"/>
      <c r="O58" s="1028"/>
      <c r="P58" s="1028"/>
      <c r="Q58" s="1232"/>
      <c r="R58" s="1026"/>
      <c r="S58" s="1026"/>
      <c r="T58" s="933"/>
      <c r="U58" s="446" t="s">
        <v>777</v>
      </c>
      <c r="V58" s="1093">
        <v>42809</v>
      </c>
      <c r="W58" s="81">
        <v>200</v>
      </c>
      <c r="X58" s="81">
        <v>10300</v>
      </c>
      <c r="Y58" s="1110">
        <f t="shared" si="31"/>
        <v>2060000</v>
      </c>
      <c r="Z58" s="796"/>
    </row>
    <row r="59" spans="1:26" ht="16.5" customHeight="1">
      <c r="A59" s="1032"/>
      <c r="B59" s="1223"/>
      <c r="C59" s="1073"/>
      <c r="D59" s="1224">
        <f>SUM(D55:D58)</f>
        <v>101378</v>
      </c>
      <c r="E59" s="1224"/>
      <c r="F59" s="1224"/>
      <c r="G59" s="1224">
        <f t="shared" ref="G59" si="33">SUM(G55:G58)</f>
        <v>1013780000</v>
      </c>
      <c r="H59" s="1017"/>
      <c r="I59" s="1017"/>
      <c r="J59" s="1017"/>
      <c r="K59" s="1017"/>
      <c r="L59" s="1017"/>
      <c r="M59" s="1017"/>
      <c r="N59" s="659"/>
      <c r="O59" s="1017"/>
      <c r="P59" s="1017"/>
      <c r="Q59" s="1232"/>
      <c r="S59" s="1026"/>
      <c r="T59" s="933"/>
      <c r="U59" s="1094"/>
      <c r="V59" s="1093"/>
      <c r="W59" s="1085"/>
      <c r="X59" s="1085"/>
      <c r="Y59" s="1110">
        <f t="shared" si="31"/>
        <v>0</v>
      </c>
      <c r="Z59" s="796"/>
    </row>
    <row r="60" spans="1:26" ht="16.5" customHeight="1">
      <c r="A60" s="1032"/>
      <c r="B60" s="1223"/>
      <c r="C60" s="1073"/>
      <c r="D60" s="1224"/>
      <c r="E60" s="1224"/>
      <c r="F60" s="1224"/>
      <c r="G60" s="1224"/>
      <c r="H60" s="1017"/>
      <c r="I60" s="1017"/>
      <c r="J60" s="1017"/>
      <c r="K60" s="1017"/>
      <c r="L60" s="1017"/>
      <c r="M60" s="1017"/>
      <c r="N60" s="659"/>
      <c r="O60" s="1017"/>
      <c r="P60" s="1017"/>
      <c r="Q60" s="1232"/>
      <c r="S60" s="1026"/>
      <c r="T60" s="933"/>
      <c r="U60" s="1119"/>
      <c r="V60" s="1093"/>
      <c r="W60" s="1089">
        <f>SUM(W55:W59)</f>
        <v>11434</v>
      </c>
      <c r="X60" s="1089"/>
      <c r="Y60" s="1089">
        <f>SUM(Y55:Y59)</f>
        <v>98179000</v>
      </c>
      <c r="Z60" s="796"/>
    </row>
    <row r="61" spans="1:26" ht="16.5" customHeight="1">
      <c r="A61" s="1023" t="s">
        <v>495</v>
      </c>
      <c r="B61" s="1023"/>
      <c r="C61" s="1024"/>
      <c r="D61" s="1025"/>
      <c r="E61" s="1025"/>
      <c r="F61" s="1025"/>
      <c r="G61" s="437"/>
      <c r="H61" s="437"/>
      <c r="I61" s="437"/>
      <c r="J61" s="437"/>
      <c r="K61" s="437"/>
      <c r="L61" s="437"/>
      <c r="M61" s="437"/>
      <c r="N61" s="437"/>
      <c r="O61" s="918"/>
      <c r="P61" s="437"/>
      <c r="Q61" s="1232"/>
      <c r="S61" s="1026"/>
      <c r="T61" s="933"/>
      <c r="U61" s="437"/>
      <c r="V61" s="1027"/>
      <c r="W61" s="437"/>
      <c r="X61" s="437"/>
      <c r="Y61" s="1020"/>
      <c r="Z61" s="1017"/>
    </row>
    <row r="62" spans="1:26" ht="18.75" customHeight="1">
      <c r="A62" s="1028" t="s">
        <v>906</v>
      </c>
      <c r="B62" s="1028"/>
      <c r="C62" s="1028"/>
      <c r="D62" s="1028"/>
      <c r="E62" s="1028"/>
      <c r="F62" s="1028"/>
      <c r="G62" s="1028"/>
      <c r="H62" s="1028"/>
      <c r="I62" s="1028"/>
      <c r="J62" s="1028"/>
      <c r="K62" s="1028"/>
      <c r="L62" s="1028"/>
      <c r="M62" s="1028"/>
      <c r="N62" s="1028"/>
      <c r="O62" s="1028"/>
      <c r="P62" s="1028"/>
      <c r="Q62" s="1232"/>
      <c r="S62" s="1021"/>
      <c r="T62" s="933"/>
      <c r="U62" s="437"/>
      <c r="V62" s="1027"/>
      <c r="W62" s="437"/>
      <c r="X62" s="437"/>
      <c r="Y62" s="1020"/>
      <c r="Z62" s="1020"/>
    </row>
    <row r="63" spans="1:26" ht="8.25" customHeight="1">
      <c r="A63" s="1029"/>
      <c r="B63" s="1029"/>
      <c r="C63" s="1030"/>
      <c r="D63" s="1029"/>
      <c r="E63" s="1029"/>
      <c r="F63" s="1029"/>
      <c r="G63" s="1029"/>
      <c r="H63" s="1029"/>
      <c r="I63" s="1029"/>
      <c r="J63" s="1029"/>
      <c r="K63" s="1029"/>
      <c r="L63" s="1029"/>
      <c r="M63" s="1029"/>
      <c r="N63" s="1029"/>
      <c r="O63" s="1031"/>
      <c r="P63" s="1029"/>
      <c r="Q63" s="1232"/>
      <c r="S63" s="1026"/>
      <c r="T63" s="933"/>
      <c r="U63" s="437"/>
      <c r="V63" s="1027"/>
      <c r="W63" s="437"/>
      <c r="X63" s="437"/>
      <c r="Y63" s="1020"/>
      <c r="Z63" s="1020"/>
    </row>
    <row r="64" spans="1:26" ht="36.75" customHeight="1">
      <c r="A64" s="650" t="s">
        <v>37</v>
      </c>
      <c r="B64" s="650" t="s">
        <v>496</v>
      </c>
      <c r="C64" s="651" t="s">
        <v>497</v>
      </c>
      <c r="D64" s="652" t="s">
        <v>498</v>
      </c>
      <c r="E64" s="652" t="s">
        <v>499</v>
      </c>
      <c r="F64" s="652" t="s">
        <v>500</v>
      </c>
      <c r="G64" s="652" t="s">
        <v>501</v>
      </c>
      <c r="H64" s="652" t="s">
        <v>502</v>
      </c>
      <c r="I64" s="652" t="s">
        <v>503</v>
      </c>
      <c r="J64" s="652" t="s">
        <v>504</v>
      </c>
      <c r="K64" s="653" t="s">
        <v>505</v>
      </c>
      <c r="L64" s="652" t="s">
        <v>506</v>
      </c>
      <c r="M64" s="653" t="s">
        <v>507</v>
      </c>
      <c r="N64" s="652" t="s">
        <v>508</v>
      </c>
      <c r="O64" s="654" t="s">
        <v>499</v>
      </c>
      <c r="P64" s="652" t="s">
        <v>509</v>
      </c>
      <c r="Q64" s="1232"/>
      <c r="S64" s="1026"/>
      <c r="T64" s="933"/>
      <c r="U64" s="650" t="s">
        <v>496</v>
      </c>
      <c r="V64" s="652" t="s">
        <v>464</v>
      </c>
      <c r="W64" s="652" t="s">
        <v>327</v>
      </c>
      <c r="X64" s="652" t="s">
        <v>500</v>
      </c>
      <c r="Y64" s="652" t="s">
        <v>510</v>
      </c>
      <c r="Z64" s="650" t="s">
        <v>510</v>
      </c>
    </row>
    <row r="65" spans="1:26" ht="17.25" customHeight="1">
      <c r="A65" s="438">
        <v>1</v>
      </c>
      <c r="B65" s="1074" t="s">
        <v>431</v>
      </c>
      <c r="C65" s="1034">
        <f>VLOOKUP(B65,NXT!$Q$72:$S$111,2,0)</f>
        <v>3.2</v>
      </c>
      <c r="D65" s="387"/>
      <c r="E65" s="958">
        <v>266119</v>
      </c>
      <c r="F65" s="394">
        <f>G65/E65</f>
        <v>62440.976405292371</v>
      </c>
      <c r="G65" s="8">
        <v>16616730200</v>
      </c>
      <c r="H65" s="394">
        <f t="shared" ref="H65:H70" si="34">IF($D$72&lt;&gt;0,H$72/($D$72+$E$72/5)*($D65+$E65/5),0)</f>
        <v>4591865.1213528309</v>
      </c>
      <c r="I65" s="958"/>
      <c r="J65" s="958"/>
      <c r="K65" s="1136"/>
      <c r="L65" s="394">
        <f>Y74</f>
        <v>174003500</v>
      </c>
      <c r="M65" s="394"/>
      <c r="N65" s="8">
        <f>ROUND(SUM(G65:M65),0)</f>
        <v>16795325565</v>
      </c>
      <c r="O65" s="958">
        <f>E65</f>
        <v>266119</v>
      </c>
      <c r="P65" s="394">
        <f>IF(O65&lt;&gt;"",N65/O65,"")</f>
        <v>63112.087318079502</v>
      </c>
      <c r="Q65" s="1232">
        <v>2.81</v>
      </c>
      <c r="R65" s="1026">
        <v>22720</v>
      </c>
      <c r="S65" s="933">
        <f t="shared" ref="S65" si="35">Q65*R65</f>
        <v>63843.200000000004</v>
      </c>
      <c r="T65" s="933">
        <f t="shared" ref="T65:T122" si="36">S65-P65</f>
        <v>731.11268192050193</v>
      </c>
      <c r="U65" s="657" t="s">
        <v>329</v>
      </c>
      <c r="V65" s="1077">
        <v>42826</v>
      </c>
      <c r="W65" s="81">
        <v>150</v>
      </c>
      <c r="X65" s="1085">
        <v>32200</v>
      </c>
      <c r="Y65" s="25">
        <f t="shared" ref="Y65:Y71" si="37">ROUND(W65*X65,0)</f>
        <v>4830000</v>
      </c>
      <c r="Z65" s="25"/>
    </row>
    <row r="66" spans="1:26" ht="17.25" customHeight="1">
      <c r="A66" s="438">
        <f>IF(B66&lt;&gt;"",A65+1,"")</f>
        <v>2</v>
      </c>
      <c r="B66" s="1074" t="s">
        <v>431</v>
      </c>
      <c r="C66" s="1034">
        <f>VLOOKUP(B66,NXT!$Q$72:$S$111,2,0)</f>
        <v>3.2</v>
      </c>
      <c r="D66" s="387">
        <f t="shared" ref="D66:D70" si="38">ROUND(C66*O66,0)</f>
        <v>337792</v>
      </c>
      <c r="E66" s="86"/>
      <c r="F66" s="1035">
        <v>19000</v>
      </c>
      <c r="G66" s="796">
        <f t="shared" ref="G66:G70" si="39">(D66+E66)*F66</f>
        <v>6418048000</v>
      </c>
      <c r="H66" s="394">
        <f t="shared" si="34"/>
        <v>29142889.141173974</v>
      </c>
      <c r="I66" s="86"/>
      <c r="J66" s="86"/>
      <c r="K66" s="1138"/>
      <c r="L66" s="394">
        <f t="shared" ref="L66" si="40">Y75</f>
        <v>69020000</v>
      </c>
      <c r="M66" s="394">
        <f>1055600000</f>
        <v>1055600000</v>
      </c>
      <c r="N66" s="8">
        <f>ROUND(SUM(G66:L66),0)</f>
        <v>6516210889</v>
      </c>
      <c r="O66" s="86">
        <f>105560</f>
        <v>105560</v>
      </c>
      <c r="P66" s="394">
        <f t="shared" ref="P66:P70" si="41">IF(O66&lt;&gt;"",N66/O66,"")</f>
        <v>61729.925056839711</v>
      </c>
      <c r="Q66" s="1232">
        <v>2.81</v>
      </c>
      <c r="R66" s="1026">
        <v>22720</v>
      </c>
      <c r="S66" s="933">
        <f t="shared" ref="S66:S69" si="42">Q66*R66</f>
        <v>63843.200000000004</v>
      </c>
      <c r="T66" s="933">
        <f t="shared" si="36"/>
        <v>2113.2749431602933</v>
      </c>
      <c r="U66" s="657" t="s">
        <v>335</v>
      </c>
      <c r="V66" s="1077">
        <v>42826</v>
      </c>
      <c r="W66" s="81">
        <v>135</v>
      </c>
      <c r="X66" s="1085">
        <v>49027</v>
      </c>
      <c r="Y66" s="25">
        <f t="shared" si="37"/>
        <v>6618645</v>
      </c>
      <c r="Z66" s="8"/>
    </row>
    <row r="67" spans="1:26" ht="17.25" customHeight="1">
      <c r="A67" s="438">
        <f>IF(B67&lt;&gt;"",A65+1,"")</f>
        <v>2</v>
      </c>
      <c r="B67" s="1010" t="s">
        <v>824</v>
      </c>
      <c r="C67" s="1034">
        <f>VLOOKUP(B67,NXT!$Q$72:$S$111,2,0)</f>
        <v>2.5</v>
      </c>
      <c r="D67" s="387">
        <f t="shared" ref="D67" si="43">ROUND(C67*O67,0)</f>
        <v>132720</v>
      </c>
      <c r="E67" s="394"/>
      <c r="F67" s="1035">
        <f>VLOOKUP(B67,NXT!$Q$72:$S$111,3,0)</f>
        <v>16500</v>
      </c>
      <c r="G67" s="796">
        <f t="shared" ref="G67" si="44">(D67+E67)*F67</f>
        <v>2189880000</v>
      </c>
      <c r="H67" s="394">
        <f t="shared" si="34"/>
        <v>11450372.557125716</v>
      </c>
      <c r="I67" s="394">
        <f t="shared" ref="I67:K70" si="45">IF($D$72&lt;&gt;0,I$72/$D$72*$D67,0)</f>
        <v>6163094.5527595421</v>
      </c>
      <c r="J67" s="394">
        <f t="shared" si="45"/>
        <v>11623106.419260157</v>
      </c>
      <c r="K67" s="394">
        <f t="shared" si="45"/>
        <v>8232341.5018367739</v>
      </c>
      <c r="L67" s="394">
        <f>Y77</f>
        <v>35246100</v>
      </c>
      <c r="M67" s="394"/>
      <c r="N67" s="8">
        <f>ROUND(SUM(G67:L67),0)</f>
        <v>2262595015</v>
      </c>
      <c r="O67" s="394">
        <v>53088</v>
      </c>
      <c r="P67" s="394">
        <f t="shared" ref="P67" si="46">IF(O67&lt;&gt;"",N67/O67,"")</f>
        <v>42619.707184297768</v>
      </c>
      <c r="Q67" s="1232">
        <v>1.9</v>
      </c>
      <c r="R67" s="1026">
        <v>22640</v>
      </c>
      <c r="S67" s="933">
        <f t="shared" ref="S67" si="47">Q67*R67</f>
        <v>43016</v>
      </c>
      <c r="T67" s="933">
        <f t="shared" si="36"/>
        <v>396.29281570223247</v>
      </c>
      <c r="U67" s="657" t="s">
        <v>338</v>
      </c>
      <c r="V67" s="1077">
        <v>42826</v>
      </c>
      <c r="W67" s="81">
        <v>420</v>
      </c>
      <c r="X67" s="872">
        <v>15836.734761904761</v>
      </c>
      <c r="Y67" s="25">
        <f t="shared" si="37"/>
        <v>6651429</v>
      </c>
      <c r="Z67" s="8"/>
    </row>
    <row r="68" spans="1:26" ht="17.25" customHeight="1">
      <c r="A68" s="438">
        <f>IF(B68&lt;&gt;"",A66+1,"")</f>
        <v>3</v>
      </c>
      <c r="B68" s="1074" t="s">
        <v>431</v>
      </c>
      <c r="C68" s="1034">
        <f>VLOOKUP(B68,NXT!$Q$72:$S$111,2,0)</f>
        <v>3.2</v>
      </c>
      <c r="D68" s="387">
        <f t="shared" si="38"/>
        <v>668483</v>
      </c>
      <c r="E68" s="394"/>
      <c r="F68" s="1035">
        <v>19000</v>
      </c>
      <c r="G68" s="796">
        <f t="shared" si="39"/>
        <v>12701177000</v>
      </c>
      <c r="H68" s="394">
        <f t="shared" si="34"/>
        <v>57673141.93870607</v>
      </c>
      <c r="I68" s="394">
        <f t="shared" si="45"/>
        <v>31042223.748586174</v>
      </c>
      <c r="J68" s="394">
        <f t="shared" si="45"/>
        <v>58543166.42907089</v>
      </c>
      <c r="K68" s="394">
        <f t="shared" si="45"/>
        <v>41464589.693884507</v>
      </c>
      <c r="L68" s="394">
        <f>Y76</f>
        <v>136586500</v>
      </c>
      <c r="M68" s="394"/>
      <c r="N68" s="8">
        <f>ROUND(SUM(G68:L68),0)</f>
        <v>13026486622</v>
      </c>
      <c r="O68" s="394">
        <f>314461-O66</f>
        <v>208901</v>
      </c>
      <c r="P68" s="394">
        <f t="shared" si="41"/>
        <v>62357.224819412069</v>
      </c>
      <c r="Q68" s="1232">
        <v>2.81</v>
      </c>
      <c r="R68" s="1026">
        <v>22720</v>
      </c>
      <c r="S68" s="933">
        <f t="shared" si="42"/>
        <v>63843.200000000004</v>
      </c>
      <c r="T68" s="933">
        <f t="shared" si="36"/>
        <v>1485.975180587935</v>
      </c>
      <c r="U68" s="657" t="s">
        <v>798</v>
      </c>
      <c r="V68" s="1077">
        <v>42826</v>
      </c>
      <c r="W68" s="81">
        <v>40</v>
      </c>
      <c r="X68" s="872">
        <v>53000</v>
      </c>
      <c r="Y68" s="25">
        <f t="shared" si="37"/>
        <v>2120000</v>
      </c>
      <c r="Z68" s="8"/>
    </row>
    <row r="69" spans="1:26" ht="17.25" customHeight="1">
      <c r="A69" s="438">
        <f>IF(B69&lt;&gt;"",A68+1,"")</f>
        <v>4</v>
      </c>
      <c r="B69" s="1074" t="s">
        <v>843</v>
      </c>
      <c r="C69" s="1034">
        <f>VLOOKUP(B69,NXT!$Q$72:$S$111,2,0)</f>
        <v>11.5</v>
      </c>
      <c r="D69" s="387">
        <f t="shared" si="38"/>
        <v>138000</v>
      </c>
      <c r="E69" s="394"/>
      <c r="F69" s="1035">
        <f>VLOOKUP(B69,NXT!$Q$72:$S$111,3,0)</f>
        <v>18200</v>
      </c>
      <c r="G69" s="796">
        <f t="shared" si="39"/>
        <v>2511600000</v>
      </c>
      <c r="H69" s="394">
        <f t="shared" si="34"/>
        <v>11905902.749271765</v>
      </c>
      <c r="I69" s="394">
        <f t="shared" si="45"/>
        <v>6408280.9544968111</v>
      </c>
      <c r="J69" s="394">
        <f t="shared" si="45"/>
        <v>12085508.48295586</v>
      </c>
      <c r="K69" s="394">
        <f t="shared" si="45"/>
        <v>8559848.7586910408</v>
      </c>
      <c r="L69" s="394">
        <f>Y78</f>
        <v>17918000</v>
      </c>
      <c r="M69" s="394"/>
      <c r="N69" s="8">
        <f>ROUND(SUM(G69:L69),0)</f>
        <v>2568477541</v>
      </c>
      <c r="O69" s="394">
        <v>12000</v>
      </c>
      <c r="P69" s="394">
        <f t="shared" si="41"/>
        <v>214039.79508333333</v>
      </c>
      <c r="Q69" s="1233">
        <v>9.65</v>
      </c>
      <c r="R69" s="1026">
        <v>22640</v>
      </c>
      <c r="S69" s="933">
        <f t="shared" si="42"/>
        <v>218476</v>
      </c>
      <c r="T69" s="933">
        <f t="shared" si="36"/>
        <v>4436.2049166666693</v>
      </c>
      <c r="U69" s="657" t="s">
        <v>343</v>
      </c>
      <c r="V69" s="1077">
        <v>42826</v>
      </c>
      <c r="W69" s="81">
        <v>500</v>
      </c>
      <c r="X69" s="872">
        <v>3000</v>
      </c>
      <c r="Y69" s="25">
        <f t="shared" si="37"/>
        <v>1500000</v>
      </c>
      <c r="Z69" s="8"/>
    </row>
    <row r="70" spans="1:26" ht="17.25" customHeight="1">
      <c r="A70" s="438">
        <f>IF(B70&lt;&gt;"",A69+1,"")</f>
        <v>5</v>
      </c>
      <c r="B70" s="1074" t="s">
        <v>832</v>
      </c>
      <c r="C70" s="1034">
        <f>VLOOKUP(B70,NXT!$Q$72:$S$111,2,0)</f>
        <v>5</v>
      </c>
      <c r="D70" s="387">
        <f t="shared" si="38"/>
        <v>19543</v>
      </c>
      <c r="E70" s="394"/>
      <c r="F70" s="1035">
        <f>VLOOKUP(B70,NXT!$Q$72:$S$111,3,0)</f>
        <v>23000</v>
      </c>
      <c r="G70" s="796">
        <f t="shared" si="39"/>
        <v>449489000</v>
      </c>
      <c r="H70" s="394">
        <f t="shared" si="34"/>
        <v>1686065.6335436094</v>
      </c>
      <c r="I70" s="394">
        <f t="shared" si="45"/>
        <v>907514.74415747228</v>
      </c>
      <c r="J70" s="394">
        <f t="shared" si="45"/>
        <v>1711500.6687130898</v>
      </c>
      <c r="K70" s="394">
        <f t="shared" si="45"/>
        <v>1212211.0455876738</v>
      </c>
      <c r="L70" s="394">
        <f>Y79</f>
        <v>4150900</v>
      </c>
      <c r="M70" s="394"/>
      <c r="N70" s="8">
        <f t="shared" ref="N70" si="48">ROUND(SUM(G70:L70),0)</f>
        <v>459157192</v>
      </c>
      <c r="O70" s="394">
        <v>3908.6</v>
      </c>
      <c r="P70" s="394">
        <f t="shared" si="41"/>
        <v>117473.5690528578</v>
      </c>
      <c r="Q70" s="1231"/>
      <c r="S70" s="933">
        <v>118000</v>
      </c>
      <c r="T70" s="933">
        <f t="shared" si="36"/>
        <v>526.43094714220206</v>
      </c>
      <c r="U70" s="657" t="s">
        <v>823</v>
      </c>
      <c r="V70" s="1077">
        <v>42826</v>
      </c>
      <c r="W70" s="81">
        <v>1430</v>
      </c>
      <c r="X70" s="872">
        <v>14728</v>
      </c>
      <c r="Y70" s="25">
        <f t="shared" si="37"/>
        <v>21061040</v>
      </c>
      <c r="Z70" s="8"/>
    </row>
    <row r="71" spans="1:26" ht="17.25" customHeight="1">
      <c r="A71" s="1078"/>
      <c r="B71" s="1074"/>
      <c r="C71" s="1034"/>
      <c r="D71" s="1035"/>
      <c r="E71" s="1035"/>
      <c r="F71" s="1035"/>
      <c r="G71" s="25"/>
      <c r="H71" s="1035"/>
      <c r="I71" s="1035"/>
      <c r="J71" s="1035"/>
      <c r="K71" s="1035"/>
      <c r="L71" s="1035"/>
      <c r="M71" s="1035"/>
      <c r="N71" s="25"/>
      <c r="O71" s="394"/>
      <c r="P71" s="1035"/>
      <c r="Q71" s="1231"/>
      <c r="S71" s="933"/>
      <c r="T71" s="933">
        <f t="shared" si="36"/>
        <v>0</v>
      </c>
      <c r="U71" s="657" t="s">
        <v>348</v>
      </c>
      <c r="V71" s="1077">
        <v>42826</v>
      </c>
      <c r="W71" s="1085">
        <v>200</v>
      </c>
      <c r="X71" s="1094">
        <v>8700</v>
      </c>
      <c r="Y71" s="25">
        <f t="shared" si="37"/>
        <v>1740000</v>
      </c>
      <c r="Z71" s="8"/>
    </row>
    <row r="72" spans="1:26" ht="17.25" customHeight="1">
      <c r="A72" s="1046"/>
      <c r="B72" s="1047" t="s">
        <v>511</v>
      </c>
      <c r="C72" s="1048"/>
      <c r="D72" s="832">
        <f>SUM(D67:D71)</f>
        <v>958746</v>
      </c>
      <c r="E72" s="832">
        <f>SUM(E65:E71)</f>
        <v>266119</v>
      </c>
      <c r="F72" s="832"/>
      <c r="G72" s="832">
        <f>SUM(G65:G71)</f>
        <v>40886924200</v>
      </c>
      <c r="H72" s="832">
        <v>87307348</v>
      </c>
      <c r="I72" s="832">
        <f>Y73</f>
        <v>44521114</v>
      </c>
      <c r="J72" s="832">
        <v>83963282</v>
      </c>
      <c r="K72" s="832">
        <v>59468991</v>
      </c>
      <c r="L72" s="832">
        <f>ROUND(SUM(L65:L71),0)</f>
        <v>436925000</v>
      </c>
      <c r="M72" s="832">
        <f>ROUND(SUM(M65:M71),0)</f>
        <v>1055600000</v>
      </c>
      <c r="N72" s="832">
        <f>ROUND(SUM(N65:N71),0)</f>
        <v>41628252824</v>
      </c>
      <c r="O72" s="832">
        <f>ROUND(SUM(O65:O71),0)</f>
        <v>649577</v>
      </c>
      <c r="P72" s="832"/>
      <c r="Q72" s="1231"/>
      <c r="S72" s="933"/>
      <c r="T72" s="933"/>
      <c r="U72" s="657"/>
      <c r="V72" s="660"/>
      <c r="W72" s="81"/>
      <c r="X72" s="81"/>
      <c r="Y72" s="8"/>
      <c r="Z72" s="8"/>
    </row>
    <row r="73" spans="1:26" ht="17.25" customHeight="1">
      <c r="A73" s="1020"/>
      <c r="B73" s="1020"/>
      <c r="C73" s="1020"/>
      <c r="D73" s="1020"/>
      <c r="E73" s="1020"/>
      <c r="F73" s="1020"/>
      <c r="G73" s="1020"/>
      <c r="H73" s="1020"/>
      <c r="I73" s="1020"/>
      <c r="J73" s="1020"/>
      <c r="K73" s="1020"/>
      <c r="L73" s="1020"/>
      <c r="M73" s="1020"/>
      <c r="N73" s="1020"/>
      <c r="O73" s="1020"/>
      <c r="P73" s="1020"/>
      <c r="Q73" s="1231"/>
      <c r="S73" s="933"/>
      <c r="T73" s="933"/>
      <c r="U73" s="1069"/>
      <c r="V73" s="1070"/>
      <c r="W73" s="1071"/>
      <c r="X73" s="1080"/>
      <c r="Y73" s="74">
        <f>SUM(Y65:Y72)</f>
        <v>44521114</v>
      </c>
      <c r="Z73" s="74">
        <f>SUM(Z65:Z72)</f>
        <v>0</v>
      </c>
    </row>
    <row r="74" spans="1:26" ht="17.25" customHeight="1">
      <c r="A74" s="1020"/>
      <c r="B74" s="1020"/>
      <c r="C74" s="1020"/>
      <c r="D74" s="1140"/>
      <c r="E74" s="1020"/>
      <c r="F74" s="1020"/>
      <c r="G74" s="1055"/>
      <c r="H74" s="1020"/>
      <c r="I74" s="1020"/>
      <c r="J74" s="1020"/>
      <c r="K74" s="1020"/>
      <c r="L74" s="1020"/>
      <c r="M74" s="1020"/>
      <c r="N74" s="1079"/>
      <c r="O74" s="1096">
        <f>O72/13</f>
        <v>49967.461538461539</v>
      </c>
      <c r="P74" s="1020"/>
      <c r="Q74" s="1231"/>
      <c r="S74" s="933"/>
      <c r="T74" s="933"/>
      <c r="U74" s="446" t="s">
        <v>789</v>
      </c>
      <c r="V74" s="1077">
        <v>42826</v>
      </c>
      <c r="W74" s="1230">
        <f>ROUND(O65/13,0)</f>
        <v>20471</v>
      </c>
      <c r="X74" s="81">
        <v>8500</v>
      </c>
      <c r="Y74" s="25">
        <f>ROUND(W74*X74,0)</f>
        <v>174003500</v>
      </c>
      <c r="Z74" s="25"/>
    </row>
    <row r="75" spans="1:26" ht="17.25" customHeight="1">
      <c r="A75" s="1020"/>
      <c r="B75" s="1020"/>
      <c r="C75" s="1020" t="s">
        <v>904</v>
      </c>
      <c r="D75" s="1140">
        <v>42844</v>
      </c>
      <c r="E75" s="918">
        <v>52780</v>
      </c>
      <c r="F75" s="1020"/>
      <c r="G75" s="1096">
        <f>E75*10000</f>
        <v>527800000</v>
      </c>
      <c r="H75" s="1020"/>
      <c r="I75" s="1020"/>
      <c r="J75" s="1020"/>
      <c r="K75" s="1020"/>
      <c r="L75" s="1020"/>
      <c r="M75" s="1020"/>
      <c r="N75" s="1079"/>
      <c r="O75" s="1020"/>
      <c r="P75" s="1020"/>
      <c r="Q75" s="1231"/>
      <c r="S75" s="933"/>
      <c r="T75" s="933"/>
      <c r="U75" s="446" t="s">
        <v>789</v>
      </c>
      <c r="V75" s="1077">
        <v>42827</v>
      </c>
      <c r="W75" s="1230">
        <f>ROUND(O66/13,0)</f>
        <v>8120</v>
      </c>
      <c r="X75" s="81">
        <v>8500</v>
      </c>
      <c r="Y75" s="25">
        <f t="shared" ref="Y75:Y80" si="49">ROUND(W75*X75,0)</f>
        <v>69020000</v>
      </c>
      <c r="Z75" s="8"/>
    </row>
    <row r="76" spans="1:26" ht="17.25" customHeight="1">
      <c r="A76" s="1020"/>
      <c r="B76" s="1020"/>
      <c r="C76" s="1020"/>
      <c r="D76" s="1140">
        <v>42845</v>
      </c>
      <c r="E76" s="918">
        <v>52780</v>
      </c>
      <c r="F76" s="1020"/>
      <c r="G76" s="1096">
        <f>E76*10000</f>
        <v>527800000</v>
      </c>
      <c r="H76" s="1020"/>
      <c r="I76" s="1020"/>
      <c r="J76" s="1020"/>
      <c r="K76" s="1020"/>
      <c r="L76" s="1020"/>
      <c r="M76" s="1020"/>
      <c r="N76" s="1079"/>
      <c r="O76" s="1020"/>
      <c r="P76" s="1020"/>
      <c r="Q76" s="1231"/>
      <c r="S76" s="933"/>
      <c r="T76" s="933"/>
      <c r="U76" s="446" t="s">
        <v>789</v>
      </c>
      <c r="V76" s="1077">
        <v>42828</v>
      </c>
      <c r="W76" s="1230">
        <f>ROUND(O68/13,0)</f>
        <v>16069</v>
      </c>
      <c r="X76" s="81">
        <v>8500</v>
      </c>
      <c r="Y76" s="25">
        <f t="shared" si="49"/>
        <v>136586500</v>
      </c>
      <c r="Z76" s="8"/>
    </row>
    <row r="77" spans="1:26" ht="17.25" customHeight="1">
      <c r="A77" s="1020"/>
      <c r="B77" s="1020"/>
      <c r="C77" s="1020"/>
      <c r="D77" s="1096"/>
      <c r="E77" s="1096">
        <f>SUM(E74:E76)</f>
        <v>105560</v>
      </c>
      <c r="F77" s="1096">
        <f t="shared" ref="F77" si="50">SUM(F74:F76)</f>
        <v>0</v>
      </c>
      <c r="G77" s="1096">
        <f t="shared" ref="G77" si="51">SUM(G74:G76)</f>
        <v>1055600000</v>
      </c>
      <c r="H77" s="1020"/>
      <c r="I77" s="1020"/>
      <c r="J77" s="1020"/>
      <c r="K77" s="1020"/>
      <c r="L77" s="1020"/>
      <c r="M77" s="1020"/>
      <c r="N77" s="1079"/>
      <c r="O77" s="1020"/>
      <c r="P77" s="1020"/>
      <c r="Q77" s="1231"/>
      <c r="S77" s="933"/>
      <c r="T77" s="933"/>
      <c r="U77" s="1094" t="s">
        <v>751</v>
      </c>
      <c r="V77" s="1077">
        <v>42844</v>
      </c>
      <c r="W77" s="1235">
        <v>3427</v>
      </c>
      <c r="X77" s="81">
        <v>10284.82637875693</v>
      </c>
      <c r="Y77" s="25">
        <f t="shared" si="49"/>
        <v>35246100</v>
      </c>
      <c r="Z77" s="8"/>
    </row>
    <row r="78" spans="1:26" ht="17.25" customHeight="1">
      <c r="A78" s="1020"/>
      <c r="B78" s="1020"/>
      <c r="C78" s="1020"/>
      <c r="D78" s="1140"/>
      <c r="E78" s="1020"/>
      <c r="F78" s="1020"/>
      <c r="G78" s="1020"/>
      <c r="H78" s="1020"/>
      <c r="I78" s="1020"/>
      <c r="J78" s="1020"/>
      <c r="K78" s="1020"/>
      <c r="L78" s="1020"/>
      <c r="M78" s="1020"/>
      <c r="N78" s="1079"/>
      <c r="O78" s="1020"/>
      <c r="P78" s="1020"/>
      <c r="Q78" s="1231"/>
      <c r="S78" s="933"/>
      <c r="T78" s="933"/>
      <c r="U78" s="446" t="s">
        <v>373</v>
      </c>
      <c r="V78" s="1077">
        <v>42839</v>
      </c>
      <c r="W78" s="81">
        <v>1156</v>
      </c>
      <c r="X78" s="81">
        <v>15500</v>
      </c>
      <c r="Y78" s="25">
        <f t="shared" si="49"/>
        <v>17918000</v>
      </c>
      <c r="Z78" s="8"/>
    </row>
    <row r="79" spans="1:26" ht="17.25" customHeight="1">
      <c r="A79" s="1020"/>
      <c r="B79" s="1020"/>
      <c r="C79" s="1020"/>
      <c r="D79" s="1140"/>
      <c r="E79" s="1020"/>
      <c r="F79" s="1020"/>
      <c r="G79" s="1020"/>
      <c r="H79" s="1020"/>
      <c r="I79" s="1020"/>
      <c r="J79" s="1020"/>
      <c r="K79" s="1020"/>
      <c r="L79" s="1020"/>
      <c r="M79" s="1020"/>
      <c r="N79" s="1079"/>
      <c r="O79" s="1020"/>
      <c r="P79" s="1020"/>
      <c r="Q79" s="1231"/>
      <c r="S79" s="933"/>
      <c r="T79" s="933"/>
      <c r="U79" s="446" t="s">
        <v>777</v>
      </c>
      <c r="V79" s="1077">
        <v>42849</v>
      </c>
      <c r="W79" s="81">
        <v>403</v>
      </c>
      <c r="X79" s="81">
        <v>10300</v>
      </c>
      <c r="Y79" s="25">
        <f t="shared" si="49"/>
        <v>4150900</v>
      </c>
      <c r="Z79" s="8"/>
    </row>
    <row r="80" spans="1:26" ht="17.25" customHeight="1">
      <c r="A80" s="1020"/>
      <c r="B80" s="1020"/>
      <c r="C80" s="1020"/>
      <c r="D80" s="1140"/>
      <c r="E80" s="1020"/>
      <c r="F80" s="1020"/>
      <c r="G80" s="1020"/>
      <c r="H80" s="1020"/>
      <c r="I80" s="1020"/>
      <c r="J80" s="1020"/>
      <c r="K80" s="1020"/>
      <c r="L80" s="1020"/>
      <c r="M80" s="1020"/>
      <c r="N80" s="1079"/>
      <c r="O80" s="1020"/>
      <c r="P80" s="1020"/>
      <c r="Q80" s="1231"/>
      <c r="S80" s="933"/>
      <c r="T80" s="933"/>
      <c r="U80" s="1053"/>
      <c r="V80" s="1077"/>
      <c r="W80" s="81"/>
      <c r="X80" s="81"/>
      <c r="Y80" s="25">
        <f t="shared" si="49"/>
        <v>0</v>
      </c>
      <c r="Z80" s="8"/>
    </row>
    <row r="81" spans="1:26" ht="17.25" customHeight="1">
      <c r="A81" s="1020"/>
      <c r="B81" s="1020"/>
      <c r="C81" s="1020"/>
      <c r="D81" s="1140"/>
      <c r="E81" s="1020"/>
      <c r="F81" s="1020"/>
      <c r="G81" s="1020"/>
      <c r="H81" s="1020"/>
      <c r="I81" s="1020"/>
      <c r="J81" s="1020"/>
      <c r="K81" s="1020"/>
      <c r="L81" s="1020"/>
      <c r="M81" s="1020"/>
      <c r="N81" s="1079"/>
      <c r="O81" s="1020"/>
      <c r="P81" s="1020"/>
      <c r="Q81" s="1231"/>
      <c r="S81" s="933"/>
      <c r="T81" s="933"/>
      <c r="U81" s="1094"/>
      <c r="V81" s="1093"/>
      <c r="W81" s="1089">
        <f>SUM(W74:W80)</f>
        <v>49646</v>
      </c>
      <c r="X81" s="1089"/>
      <c r="Y81" s="1089">
        <f>SUM(Y74:Y80)</f>
        <v>436925000</v>
      </c>
      <c r="Z81" s="8"/>
    </row>
    <row r="82" spans="1:26" ht="17.25" customHeight="1">
      <c r="A82" s="1023" t="s">
        <v>495</v>
      </c>
      <c r="B82" s="1023"/>
      <c r="C82" s="1024"/>
      <c r="D82" s="1025"/>
      <c r="E82" s="1025"/>
      <c r="F82" s="1025"/>
      <c r="G82" s="437"/>
      <c r="H82" s="437"/>
      <c r="I82" s="437"/>
      <c r="J82" s="437"/>
      <c r="K82" s="437"/>
      <c r="L82" s="437"/>
      <c r="M82" s="437"/>
      <c r="N82" s="437"/>
      <c r="O82" s="918"/>
      <c r="P82" s="437"/>
      <c r="Q82" s="1232"/>
      <c r="S82" s="1021"/>
      <c r="T82" s="933"/>
      <c r="U82" s="437"/>
      <c r="V82" s="1027"/>
      <c r="W82" s="437"/>
      <c r="X82" s="437"/>
      <c r="Y82" s="1020"/>
      <c r="Z82" s="1020"/>
    </row>
    <row r="83" spans="1:26" ht="17.25" customHeight="1">
      <c r="A83" s="1028" t="s">
        <v>907</v>
      </c>
      <c r="B83" s="1028"/>
      <c r="C83" s="1028"/>
      <c r="D83" s="1028"/>
      <c r="E83" s="1028"/>
      <c r="F83" s="1028"/>
      <c r="G83" s="1028"/>
      <c r="H83" s="1028"/>
      <c r="I83" s="1028"/>
      <c r="J83" s="1028"/>
      <c r="K83" s="1028"/>
      <c r="L83" s="1028"/>
      <c r="M83" s="1028"/>
      <c r="N83" s="1028"/>
      <c r="O83" s="1028"/>
      <c r="P83" s="1028"/>
      <c r="Q83" s="1232"/>
      <c r="S83" s="1021"/>
      <c r="T83" s="933"/>
      <c r="U83" s="437"/>
      <c r="V83" s="1027"/>
      <c r="W83" s="437"/>
      <c r="X83" s="437"/>
      <c r="Y83" s="1020"/>
      <c r="Z83" s="1020"/>
    </row>
    <row r="84" spans="1:26">
      <c r="A84" s="1029"/>
      <c r="B84" s="1029"/>
      <c r="C84" s="1030"/>
      <c r="D84" s="1029"/>
      <c r="E84" s="1029"/>
      <c r="F84" s="1029"/>
      <c r="G84" s="1029"/>
      <c r="H84" s="1029"/>
      <c r="I84" s="1029"/>
      <c r="J84" s="1029"/>
      <c r="K84" s="1029"/>
      <c r="L84" s="1029"/>
      <c r="M84" s="1029"/>
      <c r="N84" s="1029"/>
      <c r="O84" s="1031"/>
      <c r="P84" s="1029"/>
      <c r="Q84" s="1232"/>
      <c r="S84" s="1026"/>
      <c r="T84" s="933"/>
      <c r="U84" s="437"/>
      <c r="V84" s="1027"/>
      <c r="W84" s="437"/>
      <c r="X84" s="437"/>
      <c r="Y84" s="1020"/>
      <c r="Z84" s="1020"/>
    </row>
    <row r="85" spans="1:26" ht="31.5" customHeight="1">
      <c r="A85" s="650" t="s">
        <v>37</v>
      </c>
      <c r="B85" s="650" t="s">
        <v>496</v>
      </c>
      <c r="C85" s="651" t="s">
        <v>497</v>
      </c>
      <c r="D85" s="652" t="s">
        <v>498</v>
      </c>
      <c r="E85" s="652" t="s">
        <v>499</v>
      </c>
      <c r="F85" s="652" t="s">
        <v>500</v>
      </c>
      <c r="G85" s="652" t="s">
        <v>501</v>
      </c>
      <c r="H85" s="652" t="s">
        <v>502</v>
      </c>
      <c r="I85" s="652" t="s">
        <v>503</v>
      </c>
      <c r="J85" s="652" t="s">
        <v>504</v>
      </c>
      <c r="K85" s="653" t="s">
        <v>505</v>
      </c>
      <c r="L85" s="652" t="s">
        <v>506</v>
      </c>
      <c r="M85" s="653" t="s">
        <v>507</v>
      </c>
      <c r="N85" s="652" t="s">
        <v>508</v>
      </c>
      <c r="O85" s="654" t="s">
        <v>499</v>
      </c>
      <c r="P85" s="652" t="s">
        <v>509</v>
      </c>
      <c r="Q85" s="1232"/>
      <c r="S85" s="1026"/>
      <c r="T85" s="933"/>
      <c r="U85" s="650" t="s">
        <v>496</v>
      </c>
      <c r="V85" s="652" t="s">
        <v>464</v>
      </c>
      <c r="W85" s="652" t="s">
        <v>327</v>
      </c>
      <c r="X85" s="652" t="s">
        <v>500</v>
      </c>
      <c r="Y85" s="652" t="s">
        <v>510</v>
      </c>
      <c r="Z85" s="650" t="s">
        <v>510</v>
      </c>
    </row>
    <row r="86" spans="1:26" ht="18" customHeight="1">
      <c r="A86" s="751">
        <v>1</v>
      </c>
      <c r="B86" s="1074" t="s">
        <v>431</v>
      </c>
      <c r="C86" s="1034">
        <f>VLOOKUP(B86,NXT!$Q$72:$S$111,2,0)</f>
        <v>3.2</v>
      </c>
      <c r="D86" s="387">
        <f t="shared" ref="D86" si="52">ROUND(C86*O86,0)</f>
        <v>1520064</v>
      </c>
      <c r="E86" s="394"/>
      <c r="F86" s="1035">
        <f>VLOOKUP(B86,NXT!$Q$72:$S$111,3,0)</f>
        <v>17500</v>
      </c>
      <c r="G86" s="25">
        <f t="shared" ref="G86:G93" si="53">(D86+E86)*F86</f>
        <v>26601120000</v>
      </c>
      <c r="H86" s="394">
        <f t="shared" ref="H86:H93" si="54">IF($D$95&lt;&gt;0,H$95/($D$95+$E$95/5)*($D86+$E86/5),0)</f>
        <v>80050831.427441403</v>
      </c>
      <c r="I86" s="1035">
        <f t="shared" ref="I86:K93" si="55">IF($D$95&lt;&gt;0,I$95/$D$95*$D86,0)</f>
        <v>39993568.770161472</v>
      </c>
      <c r="J86" s="1035">
        <f t="shared" si="55"/>
        <v>97386937.466503873</v>
      </c>
      <c r="K86" s="1035">
        <f t="shared" si="55"/>
        <v>51815425.019875161</v>
      </c>
      <c r="L86" s="1035">
        <f>Y95+Y96</f>
        <v>315055800</v>
      </c>
      <c r="M86" s="1035"/>
      <c r="N86" s="25">
        <f t="shared" ref="N86:N87" si="56">ROUND(SUM(G86:L86),0)</f>
        <v>27185422563</v>
      </c>
      <c r="O86" s="392">
        <v>475020</v>
      </c>
      <c r="P86" s="1035">
        <f t="shared" ref="P86:P87" si="57">IF(N86&lt;&gt;0,N86/O86,0)</f>
        <v>57230.058866995074</v>
      </c>
      <c r="Q86" s="1232">
        <v>2.65</v>
      </c>
      <c r="R86" s="1026">
        <v>22661</v>
      </c>
      <c r="S86" s="933">
        <f t="shared" ref="S86:S93" si="58">Q86*R86</f>
        <v>60051.65</v>
      </c>
      <c r="T86" s="933">
        <f t="shared" si="36"/>
        <v>2821.5911330049275</v>
      </c>
      <c r="U86" s="657" t="s">
        <v>329</v>
      </c>
      <c r="V86" s="1077">
        <v>42857</v>
      </c>
      <c r="W86" s="81">
        <v>150</v>
      </c>
      <c r="X86" s="1085">
        <v>32200</v>
      </c>
      <c r="Y86" s="25">
        <f>ROUND(W86*X86,0)</f>
        <v>4830000</v>
      </c>
      <c r="Z86" s="8"/>
    </row>
    <row r="87" spans="1:26" ht="18" customHeight="1">
      <c r="A87" s="751">
        <f>IF(B87&lt;&gt;"",A86+1,"")</f>
        <v>2</v>
      </c>
      <c r="B87" s="443" t="s">
        <v>427</v>
      </c>
      <c r="C87" s="1034">
        <f>VLOOKUP(B87,NXT!$Q$72:$S$111,2,0)</f>
        <v>2.2999999999999998</v>
      </c>
      <c r="D87" s="1035">
        <f t="shared" ref="D87" si="59">ROUND(C87*O87,0)</f>
        <v>2300</v>
      </c>
      <c r="E87" s="1035"/>
      <c r="F87" s="1035">
        <f>VLOOKUP(B87,NXT!$Q$72:$S$111,3,0)</f>
        <v>275000</v>
      </c>
      <c r="G87" s="796">
        <f t="shared" si="53"/>
        <v>632500000</v>
      </c>
      <c r="H87" s="394">
        <f t="shared" si="54"/>
        <v>121124.44757794095</v>
      </c>
      <c r="I87" s="1035">
        <f t="shared" si="55"/>
        <v>60514.036363844803</v>
      </c>
      <c r="J87" s="1035">
        <f t="shared" si="55"/>
        <v>147355.60882499613</v>
      </c>
      <c r="K87" s="1035">
        <f t="shared" si="55"/>
        <v>78401.618317197732</v>
      </c>
      <c r="L87" s="1035">
        <f>Y97</f>
        <v>1530000</v>
      </c>
      <c r="M87" s="1035"/>
      <c r="N87" s="25">
        <f t="shared" si="56"/>
        <v>634437396</v>
      </c>
      <c r="O87" s="392">
        <v>1000</v>
      </c>
      <c r="P87" s="1035">
        <f t="shared" si="57"/>
        <v>634437.39599999995</v>
      </c>
      <c r="Q87" s="1233">
        <v>30.7</v>
      </c>
      <c r="R87" s="1026">
        <v>22715</v>
      </c>
      <c r="S87" s="933">
        <f t="shared" si="58"/>
        <v>697350.5</v>
      </c>
      <c r="T87" s="933">
        <f t="shared" si="36"/>
        <v>62913.10400000005</v>
      </c>
      <c r="U87" s="657" t="s">
        <v>335</v>
      </c>
      <c r="V87" s="1077">
        <v>42857</v>
      </c>
      <c r="W87" s="81">
        <v>150</v>
      </c>
      <c r="X87" s="872">
        <v>49808.000000000007</v>
      </c>
      <c r="Y87" s="25">
        <f>ROUND(W87*X87,0)</f>
        <v>7471200</v>
      </c>
      <c r="Z87" s="8"/>
    </row>
    <row r="88" spans="1:26" ht="18" customHeight="1">
      <c r="A88" s="751">
        <f t="shared" ref="A88:A93" si="60">IF(B88&lt;&gt;"",A87+1,"")</f>
        <v>3</v>
      </c>
      <c r="B88" s="443" t="s">
        <v>843</v>
      </c>
      <c r="C88" s="1034">
        <f>VLOOKUP(B88,NXT!$Q$72:$S$111,2,0)</f>
        <v>11.5</v>
      </c>
      <c r="D88" s="1035">
        <f t="shared" ref="D88:D93" si="61">ROUND(C88*O88,0)</f>
        <v>23000</v>
      </c>
      <c r="E88" s="1035"/>
      <c r="F88" s="1035">
        <f>VLOOKUP(B88,NXT!$Q$72:$S$111,3,0)</f>
        <v>18200</v>
      </c>
      <c r="G88" s="796">
        <f t="shared" si="53"/>
        <v>418600000</v>
      </c>
      <c r="H88" s="394">
        <f t="shared" si="54"/>
        <v>1211244.4757794095</v>
      </c>
      <c r="I88" s="1035">
        <f t="shared" si="55"/>
        <v>605140.36363844795</v>
      </c>
      <c r="J88" s="1035">
        <f t="shared" si="55"/>
        <v>1473556.0882499611</v>
      </c>
      <c r="K88" s="1035">
        <f t="shared" si="55"/>
        <v>784016.18317197741</v>
      </c>
      <c r="L88" s="1035">
        <f>$Y$98/($O$88+$O$89)*O88</f>
        <v>3172500</v>
      </c>
      <c r="M88" s="1035"/>
      <c r="N88" s="25">
        <f t="shared" ref="N88:N93" si="62">ROUND(SUM(G88:L88),0)</f>
        <v>425846457</v>
      </c>
      <c r="O88" s="392">
        <v>2000</v>
      </c>
      <c r="P88" s="1035">
        <f t="shared" ref="P88:P93" si="63">IF(N88&lt;&gt;0,N88/O88,0)</f>
        <v>212923.2285</v>
      </c>
      <c r="Q88" s="1231">
        <v>9.5</v>
      </c>
      <c r="R88" s="1026">
        <v>22715</v>
      </c>
      <c r="S88" s="933">
        <f t="shared" si="58"/>
        <v>215792.5</v>
      </c>
      <c r="T88" s="933">
        <f t="shared" si="36"/>
        <v>2869.2715000000026</v>
      </c>
      <c r="U88" s="657" t="s">
        <v>338</v>
      </c>
      <c r="V88" s="1077">
        <v>42857</v>
      </c>
      <c r="W88" s="81">
        <v>420</v>
      </c>
      <c r="X88" s="872">
        <v>15836.734761904761</v>
      </c>
      <c r="Y88" s="25">
        <f t="shared" ref="Y88:Y92" si="64">ROUND(W88*X88,0)</f>
        <v>6651429</v>
      </c>
      <c r="Z88" s="8"/>
    </row>
    <row r="89" spans="1:26" ht="18" customHeight="1">
      <c r="A89" s="751">
        <f t="shared" si="60"/>
        <v>4</v>
      </c>
      <c r="B89" s="443" t="s">
        <v>787</v>
      </c>
      <c r="C89" s="1034">
        <f>VLOOKUP(B89,NXT!$Q$72:$S$111,2,0)</f>
        <v>8.6999999999999993</v>
      </c>
      <c r="D89" s="1035">
        <f t="shared" si="61"/>
        <v>52200</v>
      </c>
      <c r="E89" s="1035"/>
      <c r="F89" s="1035">
        <f>VLOOKUP(B89,NXT!$Q$72:$S$111,3,0)</f>
        <v>18500</v>
      </c>
      <c r="G89" s="796">
        <f t="shared" si="53"/>
        <v>965700000</v>
      </c>
      <c r="H89" s="394">
        <f t="shared" si="54"/>
        <v>2748998.3319863118</v>
      </c>
      <c r="I89" s="1035">
        <f t="shared" si="55"/>
        <v>1373405.5209533472</v>
      </c>
      <c r="J89" s="1035">
        <f t="shared" si="55"/>
        <v>3344331.6437673033</v>
      </c>
      <c r="K89" s="1035">
        <f t="shared" si="55"/>
        <v>1779375.8591990096</v>
      </c>
      <c r="L89" s="1035">
        <f>$Y$98/($O$88+$O$89)*O89</f>
        <v>9517500</v>
      </c>
      <c r="M89" s="1035"/>
      <c r="N89" s="25">
        <f t="shared" si="62"/>
        <v>984463611</v>
      </c>
      <c r="O89" s="392">
        <v>6000</v>
      </c>
      <c r="P89" s="1035">
        <f t="shared" si="63"/>
        <v>164077.26850000001</v>
      </c>
      <c r="Q89" s="1231">
        <v>7.3</v>
      </c>
      <c r="R89" s="1026">
        <v>22675</v>
      </c>
      <c r="S89" s="933">
        <f t="shared" si="58"/>
        <v>165527.5</v>
      </c>
      <c r="T89" s="933">
        <f t="shared" si="36"/>
        <v>1450.2314999999944</v>
      </c>
      <c r="U89" s="657" t="s">
        <v>798</v>
      </c>
      <c r="V89" s="1077">
        <v>42857</v>
      </c>
      <c r="W89" s="81">
        <v>40</v>
      </c>
      <c r="X89" s="872">
        <v>53000</v>
      </c>
      <c r="Y89" s="25">
        <f t="shared" si="64"/>
        <v>2120000</v>
      </c>
      <c r="Z89" s="8"/>
    </row>
    <row r="90" spans="1:26" ht="18" customHeight="1">
      <c r="A90" s="751">
        <f t="shared" si="60"/>
        <v>5</v>
      </c>
      <c r="B90" s="443" t="s">
        <v>843</v>
      </c>
      <c r="C90" s="1034">
        <f>VLOOKUP(B90,NXT!$Q$72:$S$111,2,0)</f>
        <v>11.5</v>
      </c>
      <c r="D90" s="1035">
        <f t="shared" si="61"/>
        <v>46000</v>
      </c>
      <c r="E90" s="1035"/>
      <c r="F90" s="1035">
        <f>VLOOKUP(B90,NXT!$Q$72:$S$111,3,0)</f>
        <v>18200</v>
      </c>
      <c r="G90" s="796">
        <f t="shared" si="53"/>
        <v>837200000</v>
      </c>
      <c r="H90" s="394">
        <f t="shared" si="54"/>
        <v>2422488.951558819</v>
      </c>
      <c r="I90" s="1035">
        <f t="shared" si="55"/>
        <v>1210280.7272768959</v>
      </c>
      <c r="J90" s="1035">
        <f t="shared" si="55"/>
        <v>2947112.1764999223</v>
      </c>
      <c r="K90" s="1035">
        <f t="shared" si="55"/>
        <v>1568032.3663439548</v>
      </c>
      <c r="L90" s="1035">
        <f>Y99</f>
        <v>8325000</v>
      </c>
      <c r="M90" s="1035"/>
      <c r="N90" s="25">
        <f t="shared" si="62"/>
        <v>853672914</v>
      </c>
      <c r="O90" s="392">
        <v>4000</v>
      </c>
      <c r="P90" s="1035">
        <f t="shared" si="63"/>
        <v>213418.2285</v>
      </c>
      <c r="Q90" s="1231">
        <v>9.75</v>
      </c>
      <c r="R90" s="1026">
        <v>22675</v>
      </c>
      <c r="S90" s="933">
        <f t="shared" si="58"/>
        <v>221081.25</v>
      </c>
      <c r="T90" s="933">
        <f t="shared" si="36"/>
        <v>7663.0215000000026</v>
      </c>
      <c r="U90" s="657" t="s">
        <v>343</v>
      </c>
      <c r="V90" s="1077">
        <v>42857</v>
      </c>
      <c r="W90" s="81">
        <v>600</v>
      </c>
      <c r="X90" s="872">
        <v>3200</v>
      </c>
      <c r="Y90" s="25">
        <f t="shared" si="64"/>
        <v>1920000</v>
      </c>
      <c r="Z90" s="8"/>
    </row>
    <row r="91" spans="1:26" ht="18" customHeight="1">
      <c r="A91" s="751">
        <f t="shared" si="60"/>
        <v>6</v>
      </c>
      <c r="B91" s="443" t="s">
        <v>428</v>
      </c>
      <c r="C91" s="1034">
        <f>VLOOKUP(B91,NXT!$Q$72:$S$111,2,0)</f>
        <v>10.5</v>
      </c>
      <c r="D91" s="1035">
        <f t="shared" si="61"/>
        <v>45276</v>
      </c>
      <c r="E91" s="1035"/>
      <c r="F91" s="1035">
        <v>17600</v>
      </c>
      <c r="G91" s="796">
        <f t="shared" si="53"/>
        <v>796857600</v>
      </c>
      <c r="H91" s="394">
        <f t="shared" si="54"/>
        <v>2384361.0819734149</v>
      </c>
      <c r="I91" s="1035">
        <f t="shared" si="55"/>
        <v>1191231.9610475814</v>
      </c>
      <c r="J91" s="1035">
        <f t="shared" si="55"/>
        <v>2900727.193548054</v>
      </c>
      <c r="K91" s="1035">
        <f t="shared" si="55"/>
        <v>1543352.9004041064</v>
      </c>
      <c r="L91" s="1035">
        <f>Y100+Y101</f>
        <v>40069000</v>
      </c>
      <c r="M91" s="1035"/>
      <c r="N91" s="25">
        <f t="shared" si="62"/>
        <v>844946273</v>
      </c>
      <c r="O91" s="392">
        <v>4312</v>
      </c>
      <c r="P91" s="1035">
        <f t="shared" si="63"/>
        <v>195952.28965677181</v>
      </c>
      <c r="Q91" s="1231">
        <v>8.8000000000000007</v>
      </c>
      <c r="R91" s="1026">
        <v>22675</v>
      </c>
      <c r="S91" s="933">
        <f t="shared" si="58"/>
        <v>199540.00000000003</v>
      </c>
      <c r="T91" s="933">
        <f t="shared" si="36"/>
        <v>3587.7103432282165</v>
      </c>
      <c r="U91" s="657" t="s">
        <v>823</v>
      </c>
      <c r="V91" s="1077">
        <v>42857</v>
      </c>
      <c r="W91" s="81">
        <v>1440</v>
      </c>
      <c r="X91" s="872">
        <v>14728</v>
      </c>
      <c r="Y91" s="25">
        <f t="shared" si="64"/>
        <v>21208320</v>
      </c>
      <c r="Z91" s="8"/>
    </row>
    <row r="92" spans="1:26" ht="18" customHeight="1">
      <c r="A92" s="751">
        <f t="shared" si="60"/>
        <v>7</v>
      </c>
      <c r="B92" s="443" t="s">
        <v>830</v>
      </c>
      <c r="C92" s="1034">
        <f>VLOOKUP(B92,NXT!$Q$72:$S$111,2,0)</f>
        <v>8.5</v>
      </c>
      <c r="D92" s="1035">
        <f t="shared" si="61"/>
        <v>21250</v>
      </c>
      <c r="E92" s="1035"/>
      <c r="F92" s="1035">
        <f>VLOOKUP(B92,NXT!$Q$72:$S$111,3,0)</f>
        <v>25000</v>
      </c>
      <c r="G92" s="796">
        <f t="shared" si="53"/>
        <v>531250000</v>
      </c>
      <c r="H92" s="394">
        <f t="shared" si="54"/>
        <v>1119084.5700135848</v>
      </c>
      <c r="I92" s="1035">
        <f t="shared" si="55"/>
        <v>559097.07510073995</v>
      </c>
      <c r="J92" s="1035">
        <f t="shared" si="55"/>
        <v>1361437.6902309423</v>
      </c>
      <c r="K92" s="1035">
        <f t="shared" si="55"/>
        <v>724362.7779306313</v>
      </c>
      <c r="L92" s="1035">
        <f>Y102</f>
        <v>4483800</v>
      </c>
      <c r="M92" s="1035"/>
      <c r="N92" s="25">
        <f t="shared" si="62"/>
        <v>539497782</v>
      </c>
      <c r="O92" s="392">
        <v>2500</v>
      </c>
      <c r="P92" s="1035">
        <f t="shared" si="63"/>
        <v>215799.1128</v>
      </c>
      <c r="Q92" s="1231">
        <v>9.6</v>
      </c>
      <c r="R92" s="1026">
        <v>22661</v>
      </c>
      <c r="S92" s="933">
        <f t="shared" si="58"/>
        <v>217545.60000000001</v>
      </c>
      <c r="T92" s="933">
        <f t="shared" si="36"/>
        <v>1746.4872000000032</v>
      </c>
      <c r="U92" s="657" t="s">
        <v>348</v>
      </c>
      <c r="V92" s="1077">
        <v>42857</v>
      </c>
      <c r="W92" s="1085">
        <v>200</v>
      </c>
      <c r="X92" s="1094">
        <v>8500</v>
      </c>
      <c r="Y92" s="25">
        <f t="shared" si="64"/>
        <v>1700000</v>
      </c>
      <c r="Z92" s="8"/>
    </row>
    <row r="93" spans="1:26" ht="18" customHeight="1">
      <c r="A93" s="751">
        <f t="shared" si="60"/>
        <v>8</v>
      </c>
      <c r="B93" s="443" t="s">
        <v>843</v>
      </c>
      <c r="C93" s="1034">
        <f>VLOOKUP(B93,NXT!$Q$72:$S$111,2,0)</f>
        <v>11.5</v>
      </c>
      <c r="D93" s="1035">
        <f t="shared" si="61"/>
        <v>34500</v>
      </c>
      <c r="E93" s="1035"/>
      <c r="F93" s="1035">
        <f>VLOOKUP(B93,NXT!$Q$72:$S$111,3,0)</f>
        <v>18200</v>
      </c>
      <c r="G93" s="796">
        <f t="shared" si="53"/>
        <v>627900000</v>
      </c>
      <c r="H93" s="394">
        <f t="shared" si="54"/>
        <v>1816866.7136691143</v>
      </c>
      <c r="I93" s="1035">
        <f t="shared" si="55"/>
        <v>907710.54545767198</v>
      </c>
      <c r="J93" s="1035">
        <f t="shared" si="55"/>
        <v>2210334.1323749418</v>
      </c>
      <c r="K93" s="1035">
        <f t="shared" si="55"/>
        <v>1176024.2747579662</v>
      </c>
      <c r="L93" s="1035">
        <f>Y103</f>
        <v>3986400</v>
      </c>
      <c r="M93" s="1035"/>
      <c r="N93" s="25">
        <f t="shared" si="62"/>
        <v>637997336</v>
      </c>
      <c r="O93" s="392">
        <v>3000</v>
      </c>
      <c r="P93" s="1035">
        <f t="shared" si="63"/>
        <v>212665.77866666668</v>
      </c>
      <c r="Q93" s="1231">
        <v>9.5500000000000007</v>
      </c>
      <c r="R93" s="1026">
        <v>22661</v>
      </c>
      <c r="S93" s="933">
        <f t="shared" si="58"/>
        <v>216412.55000000002</v>
      </c>
      <c r="T93" s="933">
        <f t="shared" si="36"/>
        <v>3746.7713333333377</v>
      </c>
      <c r="U93" s="25"/>
      <c r="V93" s="660"/>
      <c r="W93" s="81"/>
      <c r="X93" s="81"/>
      <c r="Y93" s="8"/>
      <c r="Z93" s="8"/>
    </row>
    <row r="94" spans="1:26" ht="18" customHeight="1">
      <c r="A94" s="751"/>
      <c r="B94" s="1040"/>
      <c r="C94" s="1041"/>
      <c r="D94" s="1042"/>
      <c r="E94" s="1042"/>
      <c r="F94" s="1042"/>
      <c r="G94" s="1043"/>
      <c r="H94" s="1044"/>
      <c r="I94" s="1042"/>
      <c r="J94" s="8"/>
      <c r="K94" s="1042"/>
      <c r="L94" s="1044"/>
      <c r="M94" s="1042"/>
      <c r="N94" s="1066"/>
      <c r="O94" s="1042"/>
      <c r="P94" s="1035"/>
      <c r="Q94" s="1231"/>
      <c r="S94" s="933"/>
      <c r="T94" s="933">
        <f t="shared" si="36"/>
        <v>0</v>
      </c>
      <c r="U94" s="1069"/>
      <c r="V94" s="1070"/>
      <c r="W94" s="1071"/>
      <c r="X94" s="1080"/>
      <c r="Y94" s="832">
        <f>SUM(Y86:Y93)</f>
        <v>45900949</v>
      </c>
      <c r="Z94" s="74">
        <f>SUM(Z86:Z93)</f>
        <v>0</v>
      </c>
    </row>
    <row r="95" spans="1:26" ht="18" customHeight="1">
      <c r="A95" s="1046"/>
      <c r="B95" s="1047" t="s">
        <v>511</v>
      </c>
      <c r="C95" s="1048"/>
      <c r="D95" s="832">
        <f>SUM(D86:D94)</f>
        <v>1744590</v>
      </c>
      <c r="E95" s="832">
        <f>SUM(E86:E94)</f>
        <v>0</v>
      </c>
      <c r="F95" s="832"/>
      <c r="G95" s="832">
        <f>SUM(G86:G94)</f>
        <v>31411127600</v>
      </c>
      <c r="H95" s="832">
        <v>91875000</v>
      </c>
      <c r="I95" s="832">
        <f>Y94</f>
        <v>45900949</v>
      </c>
      <c r="J95" s="832">
        <v>111771792</v>
      </c>
      <c r="K95" s="832">
        <v>59468991</v>
      </c>
      <c r="L95" s="832">
        <f>SUM(L88:L93)</f>
        <v>69554200</v>
      </c>
      <c r="M95" s="832"/>
      <c r="N95" s="832">
        <f>ROUND(SUM(N86:N94),0)</f>
        <v>32106284332</v>
      </c>
      <c r="O95" s="832">
        <f>ROUND(SUM(O86:O94),0)</f>
        <v>497832</v>
      </c>
      <c r="P95" s="832"/>
      <c r="Q95" s="1231"/>
      <c r="S95" s="933"/>
      <c r="T95" s="933"/>
      <c r="U95" s="446" t="s">
        <v>789</v>
      </c>
      <c r="V95" s="1077">
        <v>42858</v>
      </c>
      <c r="W95" s="81">
        <v>21654</v>
      </c>
      <c r="X95" s="81">
        <v>8500</v>
      </c>
      <c r="Y95" s="25">
        <f t="shared" ref="Y95:Y103" si="65">ROUND(W95*X95,0)</f>
        <v>184059000</v>
      </c>
      <c r="Z95" s="25"/>
    </row>
    <row r="96" spans="1:26" ht="18" customHeight="1">
      <c r="A96" s="1020"/>
      <c r="B96" s="1020"/>
      <c r="C96" s="1020"/>
      <c r="D96" s="1020"/>
      <c r="E96" s="1020"/>
      <c r="F96" s="1020"/>
      <c r="G96" s="1020"/>
      <c r="H96" s="1020"/>
      <c r="I96" s="1020"/>
      <c r="J96" s="1020"/>
      <c r="K96" s="1020"/>
      <c r="L96" s="1020"/>
      <c r="M96" s="1020"/>
      <c r="N96" s="1020"/>
      <c r="O96" s="1020"/>
      <c r="P96" s="1020"/>
      <c r="Q96" s="1231"/>
      <c r="S96" s="933"/>
      <c r="T96" s="933"/>
      <c r="U96" s="446" t="s">
        <v>789</v>
      </c>
      <c r="V96" s="1077">
        <v>42859</v>
      </c>
      <c r="W96" s="1230">
        <f>ROUND(O86/13,0)-W95</f>
        <v>14886</v>
      </c>
      <c r="X96" s="81">
        <v>8800</v>
      </c>
      <c r="Y96" s="25">
        <f t="shared" si="65"/>
        <v>130996800</v>
      </c>
      <c r="Z96" s="8"/>
    </row>
    <row r="97" spans="1:26" ht="18" customHeight="1">
      <c r="A97" s="1020"/>
      <c r="B97" s="1020"/>
      <c r="C97" s="1020"/>
      <c r="D97" s="1020"/>
      <c r="E97" s="1020"/>
      <c r="F97" s="1020"/>
      <c r="G97" s="1020"/>
      <c r="H97" s="1020"/>
      <c r="I97" s="1020"/>
      <c r="J97" s="1020"/>
      <c r="K97" s="1020"/>
      <c r="L97" s="1020"/>
      <c r="M97" s="1020"/>
      <c r="N97" s="1020"/>
      <c r="O97" s="1020"/>
      <c r="P97" s="1020"/>
      <c r="Q97" s="1231"/>
      <c r="S97" s="933"/>
      <c r="T97" s="933"/>
      <c r="U97" s="446" t="s">
        <v>827</v>
      </c>
      <c r="V97" s="1077">
        <v>42865</v>
      </c>
      <c r="W97" s="872">
        <v>102</v>
      </c>
      <c r="X97" s="872">
        <v>15000</v>
      </c>
      <c r="Y97" s="25">
        <f t="shared" si="65"/>
        <v>1530000</v>
      </c>
      <c r="Z97" s="8"/>
    </row>
    <row r="98" spans="1:26" ht="18" customHeight="1">
      <c r="A98" s="1020"/>
      <c r="B98" s="1020"/>
      <c r="C98" s="1020"/>
      <c r="D98" s="1020"/>
      <c r="E98" s="1020"/>
      <c r="F98" s="1020"/>
      <c r="G98" s="1020"/>
      <c r="H98" s="1020"/>
      <c r="I98" s="1020"/>
      <c r="J98" s="1020"/>
      <c r="K98" s="1020"/>
      <c r="L98" s="1020"/>
      <c r="M98" s="1081"/>
      <c r="N98" s="1079"/>
      <c r="O98" s="1020"/>
      <c r="P98" s="1020"/>
      <c r="Q98" s="1231"/>
      <c r="S98" s="933"/>
      <c r="T98" s="933"/>
      <c r="U98" s="446" t="s">
        <v>373</v>
      </c>
      <c r="V98" s="1077">
        <v>42865</v>
      </c>
      <c r="W98" s="872">
        <v>940</v>
      </c>
      <c r="X98" s="872">
        <v>13500</v>
      </c>
      <c r="Y98" s="25">
        <f t="shared" si="65"/>
        <v>12690000</v>
      </c>
      <c r="Z98" s="8"/>
    </row>
    <row r="99" spans="1:26" ht="18" customHeight="1">
      <c r="A99" s="1020"/>
      <c r="B99" s="1020"/>
      <c r="C99" s="1020"/>
      <c r="D99" s="1020"/>
      <c r="E99" s="1020"/>
      <c r="F99" s="1020"/>
      <c r="G99" s="1020"/>
      <c r="H99" s="1020"/>
      <c r="I99" s="1020"/>
      <c r="J99" s="1020"/>
      <c r="K99" s="1020"/>
      <c r="L99" s="1020"/>
      <c r="M99" s="1081"/>
      <c r="N99" s="437"/>
      <c r="O99" s="1020"/>
      <c r="P99" s="1020"/>
      <c r="Q99" s="1231"/>
      <c r="S99" s="933"/>
      <c r="T99" s="933"/>
      <c r="U99" s="446" t="s">
        <v>373</v>
      </c>
      <c r="V99" s="1077">
        <v>42868</v>
      </c>
      <c r="W99" s="872">
        <v>450</v>
      </c>
      <c r="X99" s="872">
        <v>18500</v>
      </c>
      <c r="Y99" s="25">
        <f t="shared" si="65"/>
        <v>8325000</v>
      </c>
      <c r="Z99" s="8"/>
    </row>
    <row r="100" spans="1:26" ht="18" customHeight="1">
      <c r="A100" s="1020"/>
      <c r="B100" s="1020"/>
      <c r="C100" s="1020"/>
      <c r="D100" s="1020"/>
      <c r="E100" s="1020"/>
      <c r="F100" s="1020"/>
      <c r="G100" s="1020"/>
      <c r="H100" s="1020"/>
      <c r="I100" s="1020"/>
      <c r="J100" s="1020"/>
      <c r="K100" s="1020"/>
      <c r="L100" s="1020"/>
      <c r="M100" s="1081"/>
      <c r="N100" s="437"/>
      <c r="O100" s="1020"/>
      <c r="P100" s="1020"/>
      <c r="Q100" s="1231"/>
      <c r="S100" s="933"/>
      <c r="T100" s="933"/>
      <c r="U100" s="446" t="s">
        <v>564</v>
      </c>
      <c r="V100" s="1077">
        <v>42868</v>
      </c>
      <c r="W100" s="872">
        <v>2250</v>
      </c>
      <c r="X100" s="872">
        <v>14000</v>
      </c>
      <c r="Y100" s="25">
        <f t="shared" si="65"/>
        <v>31500000</v>
      </c>
      <c r="Z100" s="8"/>
    </row>
    <row r="101" spans="1:26" ht="18" customHeight="1">
      <c r="A101" s="1020"/>
      <c r="B101" s="1020"/>
      <c r="C101" s="1020"/>
      <c r="D101" s="1020"/>
      <c r="E101" s="1020"/>
      <c r="F101" s="1020"/>
      <c r="G101" s="1020"/>
      <c r="H101" s="1020"/>
      <c r="I101" s="1020"/>
      <c r="J101" s="1020"/>
      <c r="K101" s="1020"/>
      <c r="L101" s="1020"/>
      <c r="M101" s="1081"/>
      <c r="N101" s="437"/>
      <c r="O101" s="1020"/>
      <c r="P101" s="1020"/>
      <c r="Q101" s="1231"/>
      <c r="S101" s="933"/>
      <c r="T101" s="933"/>
      <c r="U101" s="1053" t="s">
        <v>383</v>
      </c>
      <c r="V101" s="1077">
        <v>42868</v>
      </c>
      <c r="W101" s="872">
        <v>410</v>
      </c>
      <c r="X101" s="872">
        <v>20900</v>
      </c>
      <c r="Y101" s="25">
        <f t="shared" si="65"/>
        <v>8569000</v>
      </c>
      <c r="Z101" s="8"/>
    </row>
    <row r="102" spans="1:26" ht="18" customHeight="1">
      <c r="A102" s="1020"/>
      <c r="B102" s="1020"/>
      <c r="C102" s="1020"/>
      <c r="D102" s="1020"/>
      <c r="E102" s="1020"/>
      <c r="F102" s="1020"/>
      <c r="G102" s="1020"/>
      <c r="H102" s="1020"/>
      <c r="I102" s="1020"/>
      <c r="J102" s="1020"/>
      <c r="K102" s="1020"/>
      <c r="L102" s="1020"/>
      <c r="M102" s="1081"/>
      <c r="N102" s="437"/>
      <c r="O102" s="1020"/>
      <c r="P102" s="1020"/>
      <c r="Q102" s="1231"/>
      <c r="S102" s="933"/>
      <c r="T102" s="933"/>
      <c r="U102" s="446" t="s">
        <v>834</v>
      </c>
      <c r="V102" s="1077">
        <v>42875</v>
      </c>
      <c r="W102" s="872">
        <v>282</v>
      </c>
      <c r="X102" s="872">
        <v>15900</v>
      </c>
      <c r="Y102" s="25">
        <f t="shared" si="65"/>
        <v>4483800</v>
      </c>
      <c r="Z102" s="8"/>
    </row>
    <row r="103" spans="1:26" ht="18" customHeight="1">
      <c r="A103" s="1020"/>
      <c r="B103" s="1020"/>
      <c r="C103" s="1020"/>
      <c r="D103" s="1020"/>
      <c r="E103" s="1020"/>
      <c r="F103" s="1020"/>
      <c r="G103" s="1020"/>
      <c r="H103" s="1020"/>
      <c r="I103" s="1020"/>
      <c r="J103" s="1020"/>
      <c r="K103" s="1020"/>
      <c r="L103" s="1020"/>
      <c r="M103" s="1081"/>
      <c r="N103" s="437"/>
      <c r="O103" s="1020"/>
      <c r="P103" s="1020"/>
      <c r="Q103" s="1231"/>
      <c r="S103" s="933"/>
      <c r="T103" s="933"/>
      <c r="U103" s="446" t="s">
        <v>825</v>
      </c>
      <c r="V103" s="1077">
        <v>42875</v>
      </c>
      <c r="W103" s="872">
        <v>302</v>
      </c>
      <c r="X103" s="872">
        <v>13200</v>
      </c>
      <c r="Y103" s="25">
        <f t="shared" si="65"/>
        <v>3986400</v>
      </c>
      <c r="Z103" s="8"/>
    </row>
    <row r="104" spans="1:26" ht="18" customHeight="1">
      <c r="A104" s="1020"/>
      <c r="B104" s="1020"/>
      <c r="C104" s="1020"/>
      <c r="D104" s="1020"/>
      <c r="E104" s="1020"/>
      <c r="F104" s="1020"/>
      <c r="G104" s="1020"/>
      <c r="H104" s="1020"/>
      <c r="I104" s="1020"/>
      <c r="J104" s="1020"/>
      <c r="K104" s="1020"/>
      <c r="L104" s="1020"/>
      <c r="M104" s="1081"/>
      <c r="N104" s="437"/>
      <c r="O104" s="1020"/>
      <c r="P104" s="1020"/>
      <c r="Q104" s="1231"/>
      <c r="S104" s="933"/>
      <c r="T104" s="933"/>
      <c r="U104" s="1053"/>
      <c r="V104" s="1077"/>
      <c r="W104" s="81"/>
      <c r="X104" s="81"/>
      <c r="Y104" s="25"/>
      <c r="Z104" s="8"/>
    </row>
    <row r="105" spans="1:26" ht="18" customHeight="1">
      <c r="A105" s="1020"/>
      <c r="B105" s="1020"/>
      <c r="C105" s="1020"/>
      <c r="D105" s="1020"/>
      <c r="E105" s="1020"/>
      <c r="F105" s="1020"/>
      <c r="G105" s="1020"/>
      <c r="H105" s="1020"/>
      <c r="I105" s="1020"/>
      <c r="J105" s="1020"/>
      <c r="K105" s="1020"/>
      <c r="L105" s="1020"/>
      <c r="M105" s="1020"/>
      <c r="N105" s="1020"/>
      <c r="O105" s="1020"/>
      <c r="P105" s="1020"/>
      <c r="Q105" s="1231"/>
      <c r="S105" s="933"/>
      <c r="T105" s="933"/>
      <c r="U105" s="1072"/>
      <c r="V105" s="1077"/>
      <c r="W105" s="25">
        <f>SUM(W95:W104)</f>
        <v>41276</v>
      </c>
      <c r="X105" s="25"/>
      <c r="Y105" s="25">
        <f>SUM(Y95:Y104)</f>
        <v>386140000</v>
      </c>
      <c r="Z105" s="8"/>
    </row>
    <row r="106" spans="1:26" ht="15.75" customHeight="1">
      <c r="A106" s="1023" t="s">
        <v>495</v>
      </c>
      <c r="B106" s="1023"/>
      <c r="C106" s="1024"/>
      <c r="D106" s="1025"/>
      <c r="E106" s="1025"/>
      <c r="F106" s="1025"/>
      <c r="G106" s="437"/>
      <c r="H106" s="437"/>
      <c r="I106" s="437"/>
      <c r="J106" s="437"/>
      <c r="K106" s="437"/>
      <c r="L106" s="1154"/>
      <c r="M106" s="437"/>
      <c r="N106" s="437"/>
      <c r="O106" s="918"/>
      <c r="P106" s="437"/>
      <c r="Q106" s="1231"/>
      <c r="S106" s="933"/>
      <c r="T106" s="933"/>
      <c r="U106" s="437"/>
      <c r="V106" s="1027"/>
      <c r="W106" s="437"/>
      <c r="X106" s="437"/>
      <c r="Y106" s="1020"/>
      <c r="Z106" s="1017"/>
    </row>
    <row r="107" spans="1:26" ht="15.75" customHeight="1">
      <c r="A107" s="1028" t="s">
        <v>908</v>
      </c>
      <c r="B107" s="1028"/>
      <c r="C107" s="1028"/>
      <c r="D107" s="1028"/>
      <c r="E107" s="1028"/>
      <c r="F107" s="1028"/>
      <c r="G107" s="1028"/>
      <c r="H107" s="1028"/>
      <c r="I107" s="1028"/>
      <c r="J107" s="1028"/>
      <c r="K107" s="1028"/>
      <c r="L107" s="1155"/>
      <c r="M107" s="1028"/>
      <c r="N107" s="1028"/>
      <c r="O107" s="1028"/>
      <c r="P107" s="1028"/>
      <c r="Q107" s="1232"/>
      <c r="S107" s="1021"/>
      <c r="T107" s="933"/>
      <c r="U107" s="437"/>
      <c r="V107" s="1027"/>
      <c r="W107" s="437"/>
      <c r="X107" s="437"/>
      <c r="Y107" s="1020"/>
      <c r="Z107" s="1020"/>
    </row>
    <row r="108" spans="1:26">
      <c r="A108" s="1029"/>
      <c r="B108" s="1029"/>
      <c r="C108" s="1030"/>
      <c r="D108" s="1029"/>
      <c r="E108" s="1029"/>
      <c r="F108" s="1029"/>
      <c r="G108" s="1029"/>
      <c r="H108" s="1029"/>
      <c r="I108" s="1029"/>
      <c r="J108" s="1029"/>
      <c r="K108" s="1029"/>
      <c r="L108" s="1029"/>
      <c r="M108" s="1029"/>
      <c r="N108" s="1031"/>
      <c r="O108" s="1031"/>
      <c r="P108" s="1029"/>
      <c r="Q108" s="1232"/>
      <c r="S108" s="1021"/>
      <c r="T108" s="933"/>
      <c r="U108" s="437"/>
      <c r="V108" s="1027"/>
      <c r="W108" s="437"/>
      <c r="X108" s="437"/>
      <c r="Y108" s="1020"/>
      <c r="Z108" s="1020"/>
    </row>
    <row r="109" spans="1:26" ht="32.25" customHeight="1">
      <c r="A109" s="650" t="s">
        <v>37</v>
      </c>
      <c r="B109" s="650" t="s">
        <v>496</v>
      </c>
      <c r="C109" s="651" t="s">
        <v>497</v>
      </c>
      <c r="D109" s="652" t="s">
        <v>498</v>
      </c>
      <c r="E109" s="652" t="s">
        <v>499</v>
      </c>
      <c r="F109" s="652" t="s">
        <v>500</v>
      </c>
      <c r="G109" s="652" t="s">
        <v>501</v>
      </c>
      <c r="H109" s="652" t="s">
        <v>502</v>
      </c>
      <c r="I109" s="652" t="s">
        <v>503</v>
      </c>
      <c r="J109" s="652" t="s">
        <v>504</v>
      </c>
      <c r="K109" s="653" t="s">
        <v>505</v>
      </c>
      <c r="L109" s="652" t="s">
        <v>506</v>
      </c>
      <c r="M109" s="653" t="s">
        <v>507</v>
      </c>
      <c r="N109" s="652" t="s">
        <v>508</v>
      </c>
      <c r="O109" s="654" t="s">
        <v>499</v>
      </c>
      <c r="P109" s="652" t="s">
        <v>509</v>
      </c>
      <c r="Q109" s="1232"/>
      <c r="S109" s="1021"/>
      <c r="T109" s="933"/>
      <c r="U109" s="650" t="s">
        <v>496</v>
      </c>
      <c r="V109" s="652" t="s">
        <v>464</v>
      </c>
      <c r="W109" s="652" t="s">
        <v>327</v>
      </c>
      <c r="X109" s="652" t="s">
        <v>500</v>
      </c>
      <c r="Y109" s="652" t="s">
        <v>510</v>
      </c>
      <c r="Z109" s="650" t="s">
        <v>510</v>
      </c>
    </row>
    <row r="110" spans="1:26" ht="18.75" customHeight="1">
      <c r="A110" s="751">
        <v>1</v>
      </c>
      <c r="B110" s="1074" t="s">
        <v>431</v>
      </c>
      <c r="C110" s="1034">
        <f>VLOOKUP(B110,NXT!$Q$72:$S$111,2,0)</f>
        <v>3.2</v>
      </c>
      <c r="D110" s="387"/>
      <c r="E110" s="1156">
        <v>169885.5</v>
      </c>
      <c r="F110" s="394">
        <f>G110/E110</f>
        <v>56669.164819834536</v>
      </c>
      <c r="G110" s="8">
        <v>9627269400</v>
      </c>
      <c r="H110" s="394">
        <f t="shared" ref="H110:H135" si="66">IF($D$137&lt;&gt;0,H$137/($D$137+$E$137/5)*($D110+$E110/5),0)</f>
        <v>4607510.7685758509</v>
      </c>
      <c r="I110" s="1035"/>
      <c r="J110" s="1035"/>
      <c r="K110" s="1035"/>
      <c r="L110" s="25">
        <f>Y119</f>
        <v>114998400</v>
      </c>
      <c r="M110" s="1035"/>
      <c r="N110" s="25">
        <f t="shared" ref="N110:N135" si="67">ROUND(SUM(G110:M110),0)</f>
        <v>9746875311</v>
      </c>
      <c r="O110" s="1156">
        <f>E110</f>
        <v>169885.5</v>
      </c>
      <c r="P110" s="1035">
        <f t="shared" ref="P110:P135" si="68">IF(N110&lt;&gt;0,N110/O110,0)</f>
        <v>57373.203192738642</v>
      </c>
      <c r="Q110" s="1232">
        <v>2.65</v>
      </c>
      <c r="R110" s="1026">
        <v>22660</v>
      </c>
      <c r="S110" s="933">
        <f t="shared" ref="S110:S135" si="69">Q110*R110</f>
        <v>60049</v>
      </c>
      <c r="T110" s="933">
        <f t="shared" si="36"/>
        <v>2675.7968072613585</v>
      </c>
      <c r="U110" s="657" t="s">
        <v>329</v>
      </c>
      <c r="V110" s="1077">
        <v>42887</v>
      </c>
      <c r="W110" s="81">
        <v>150</v>
      </c>
      <c r="X110" s="1085">
        <v>32200</v>
      </c>
      <c r="Y110" s="25">
        <f t="shared" ref="Y110:Y116" si="70">ROUND(W110*X110,0)</f>
        <v>4830000</v>
      </c>
      <c r="Z110" s="25"/>
    </row>
    <row r="111" spans="1:26" ht="18.75" customHeight="1">
      <c r="A111" s="751">
        <v>2</v>
      </c>
      <c r="B111" s="1074" t="s">
        <v>431</v>
      </c>
      <c r="C111" s="1034">
        <f>VLOOKUP(B111,NXT!$Q$72:$S$111,2,0)</f>
        <v>3.2</v>
      </c>
      <c r="D111" s="387">
        <f t="shared" ref="D111:D135" si="71">ROUND(C111*O111,0)</f>
        <v>60000</v>
      </c>
      <c r="E111" s="1035"/>
      <c r="F111" s="1035">
        <f>VLOOKUP(B111,NXT!$Q$72:$S$111,3,0)</f>
        <v>17500</v>
      </c>
      <c r="G111" s="8">
        <f t="shared" ref="G111:G135" si="72">(D111+E111)*F111</f>
        <v>1050000000</v>
      </c>
      <c r="H111" s="394">
        <f t="shared" si="66"/>
        <v>8136381.4485212415</v>
      </c>
      <c r="I111" s="1035"/>
      <c r="J111" s="1035"/>
      <c r="K111" s="1035"/>
      <c r="L111" s="25">
        <f t="shared" ref="L111:L112" si="73">Y120</f>
        <v>12689600</v>
      </c>
      <c r="M111" s="1035">
        <v>187500000</v>
      </c>
      <c r="N111" s="25">
        <f t="shared" ref="N111:N112" si="74">ROUND(SUM(G111:M111),0)</f>
        <v>1258325981</v>
      </c>
      <c r="O111" s="1156">
        <v>18750</v>
      </c>
      <c r="P111" s="1035">
        <f t="shared" si="68"/>
        <v>67110.718986666659</v>
      </c>
      <c r="Q111" s="1232">
        <v>2.65</v>
      </c>
      <c r="R111" s="1026">
        <v>22660</v>
      </c>
      <c r="S111" s="933">
        <f t="shared" si="69"/>
        <v>60049</v>
      </c>
      <c r="T111" s="933">
        <f t="shared" si="36"/>
        <v>-7061.7189866666595</v>
      </c>
      <c r="U111" s="657" t="s">
        <v>335</v>
      </c>
      <c r="V111" s="1077">
        <v>42887</v>
      </c>
      <c r="W111" s="81">
        <v>150</v>
      </c>
      <c r="X111" s="872">
        <v>49808.000000000007</v>
      </c>
      <c r="Y111" s="25">
        <f t="shared" si="70"/>
        <v>7471200</v>
      </c>
      <c r="Z111" s="8"/>
    </row>
    <row r="112" spans="1:26" ht="18.75" customHeight="1">
      <c r="A112" s="751">
        <v>3</v>
      </c>
      <c r="B112" s="1074" t="s">
        <v>431</v>
      </c>
      <c r="C112" s="1034">
        <f>VLOOKUP(B112,NXT!$Q$72:$S$111,2,0)</f>
        <v>3.2</v>
      </c>
      <c r="D112" s="387">
        <f t="shared" si="71"/>
        <v>332846</v>
      </c>
      <c r="E112" s="1035"/>
      <c r="F112" s="1035">
        <f>VLOOKUP(B112,NXT!$Q$72:$S$111,3,0)</f>
        <v>17500</v>
      </c>
      <c r="G112" s="8">
        <f t="shared" si="72"/>
        <v>5824805000</v>
      </c>
      <c r="H112" s="394">
        <f t="shared" si="66"/>
        <v>45136033.660241686</v>
      </c>
      <c r="I112" s="1035">
        <f t="shared" ref="I112:K135" si="75">IF($D$137&lt;&gt;0,I$137/$D$137*$D112,0)</f>
        <v>38148541.939576603</v>
      </c>
      <c r="J112" s="1035">
        <f t="shared" si="75"/>
        <v>55956322.569425918</v>
      </c>
      <c r="K112" s="1035">
        <f t="shared" si="75"/>
        <v>35195743.545293547</v>
      </c>
      <c r="L112" s="25">
        <f t="shared" si="73"/>
        <v>70408800</v>
      </c>
      <c r="M112" s="1035"/>
      <c r="N112" s="25">
        <f t="shared" si="74"/>
        <v>6069650442</v>
      </c>
      <c r="O112" s="1156">
        <f>122764.5-O111</f>
        <v>104014.5</v>
      </c>
      <c r="P112" s="1035">
        <f t="shared" si="68"/>
        <v>58353.88760220931</v>
      </c>
      <c r="Q112" s="1232">
        <v>2.65</v>
      </c>
      <c r="R112" s="1026">
        <v>22660</v>
      </c>
      <c r="S112" s="933">
        <f t="shared" si="69"/>
        <v>60049</v>
      </c>
      <c r="T112" s="933">
        <f t="shared" si="36"/>
        <v>1695.11239779069</v>
      </c>
      <c r="U112" s="657" t="s">
        <v>338</v>
      </c>
      <c r="V112" s="1077">
        <v>42887</v>
      </c>
      <c r="W112" s="81">
        <v>420</v>
      </c>
      <c r="X112" s="872">
        <v>15836.734761904761</v>
      </c>
      <c r="Y112" s="25">
        <f t="shared" si="70"/>
        <v>6651429</v>
      </c>
      <c r="Z112" s="8"/>
    </row>
    <row r="113" spans="1:26" ht="18.75" customHeight="1">
      <c r="A113" s="751">
        <v>4</v>
      </c>
      <c r="B113" s="439" t="s">
        <v>836</v>
      </c>
      <c r="C113" s="1034">
        <f>VLOOKUP(B113,NXT!$Q$72:$S$111,2,0)</f>
        <v>5</v>
      </c>
      <c r="D113" s="1035">
        <f t="shared" si="71"/>
        <v>1200</v>
      </c>
      <c r="E113" s="1035"/>
      <c r="F113" s="1035">
        <f>VLOOKUP(B113,NXT!$Q$72:$S$111,3,0)</f>
        <v>35000</v>
      </c>
      <c r="G113" s="8">
        <f t="shared" si="72"/>
        <v>42000000</v>
      </c>
      <c r="H113" s="394">
        <f t="shared" si="66"/>
        <v>162727.62897042485</v>
      </c>
      <c r="I113" s="1035">
        <f t="shared" si="75"/>
        <v>137535.82836354326</v>
      </c>
      <c r="J113" s="1035">
        <f t="shared" si="75"/>
        <v>201737.70176992094</v>
      </c>
      <c r="K113" s="1035">
        <f t="shared" si="75"/>
        <v>126890.1902211601</v>
      </c>
      <c r="L113" s="1035">
        <f>$Y$122/SUM($O$113:$O$130)*O113</f>
        <v>326140.21918630839</v>
      </c>
      <c r="M113" s="1035"/>
      <c r="N113" s="25">
        <f t="shared" si="67"/>
        <v>42955032</v>
      </c>
      <c r="O113" s="387">
        <v>240</v>
      </c>
      <c r="P113" s="1035">
        <f t="shared" si="68"/>
        <v>178979.3</v>
      </c>
      <c r="Q113" s="1232">
        <v>12.5</v>
      </c>
      <c r="R113" s="1026">
        <v>22650</v>
      </c>
      <c r="S113" s="933">
        <f t="shared" si="69"/>
        <v>283125</v>
      </c>
      <c r="T113" s="933">
        <f t="shared" si="36"/>
        <v>104145.70000000001</v>
      </c>
      <c r="U113" s="657" t="s">
        <v>798</v>
      </c>
      <c r="V113" s="1077">
        <v>42887</v>
      </c>
      <c r="W113" s="81">
        <v>40</v>
      </c>
      <c r="X113" s="872">
        <v>53000</v>
      </c>
      <c r="Y113" s="25">
        <f t="shared" si="70"/>
        <v>2120000</v>
      </c>
      <c r="Z113" s="8"/>
    </row>
    <row r="114" spans="1:26" ht="18.75" customHeight="1">
      <c r="A114" s="751">
        <v>5</v>
      </c>
      <c r="B114" s="1039" t="s">
        <v>787</v>
      </c>
      <c r="C114" s="1034">
        <f>VLOOKUP(B114,NXT!$Q$72:$S$111,2,0)</f>
        <v>8.6999999999999993</v>
      </c>
      <c r="D114" s="1035">
        <f t="shared" si="71"/>
        <v>2088</v>
      </c>
      <c r="E114" s="1035"/>
      <c r="F114" s="1035">
        <f>VLOOKUP(B114,NXT!$Q$72:$S$111,3,0)</f>
        <v>18500</v>
      </c>
      <c r="G114" s="8">
        <f t="shared" si="72"/>
        <v>38628000</v>
      </c>
      <c r="H114" s="394">
        <f t="shared" si="66"/>
        <v>283146.07440853922</v>
      </c>
      <c r="I114" s="1035">
        <f t="shared" si="75"/>
        <v>239312.34135256527</v>
      </c>
      <c r="J114" s="1035">
        <f t="shared" si="75"/>
        <v>351023.60107966245</v>
      </c>
      <c r="K114" s="1035">
        <f t="shared" si="75"/>
        <v>220788.93098481858</v>
      </c>
      <c r="L114" s="1035">
        <f t="shared" ref="L114:L130" si="76">$Y$122/SUM($O$113:$O$130)*O114</f>
        <v>326140.21918630839</v>
      </c>
      <c r="M114" s="1035"/>
      <c r="N114" s="25">
        <f t="shared" si="67"/>
        <v>40048411</v>
      </c>
      <c r="O114" s="387">
        <v>240</v>
      </c>
      <c r="P114" s="1035">
        <f t="shared" si="68"/>
        <v>166868.37916666668</v>
      </c>
      <c r="Q114" s="1232">
        <v>12.5</v>
      </c>
      <c r="R114" s="1026">
        <v>22650</v>
      </c>
      <c r="S114" s="933">
        <f t="shared" si="69"/>
        <v>283125</v>
      </c>
      <c r="T114" s="933">
        <f t="shared" si="36"/>
        <v>116256.62083333332</v>
      </c>
      <c r="U114" s="657" t="s">
        <v>343</v>
      </c>
      <c r="V114" s="1077">
        <v>42887</v>
      </c>
      <c r="W114" s="81">
        <v>600</v>
      </c>
      <c r="X114" s="872">
        <v>3200</v>
      </c>
      <c r="Y114" s="25">
        <f t="shared" si="70"/>
        <v>1920000</v>
      </c>
      <c r="Z114" s="8"/>
    </row>
    <row r="115" spans="1:26" ht="18.75" customHeight="1">
      <c r="A115" s="751">
        <v>6</v>
      </c>
      <c r="B115" s="1039" t="s">
        <v>835</v>
      </c>
      <c r="C115" s="1034">
        <f>VLOOKUP(B115,NXT!$Q$72:$S$111,2,0)</f>
        <v>5</v>
      </c>
      <c r="D115" s="1035">
        <f t="shared" si="71"/>
        <v>1200</v>
      </c>
      <c r="E115" s="1035"/>
      <c r="F115" s="1035">
        <f>VLOOKUP(B115,NXT!$Q$72:$S$111,3,0)</f>
        <v>30000</v>
      </c>
      <c r="G115" s="8">
        <f t="shared" si="72"/>
        <v>36000000</v>
      </c>
      <c r="H115" s="394">
        <f t="shared" si="66"/>
        <v>162727.62897042485</v>
      </c>
      <c r="I115" s="1035">
        <f t="shared" si="75"/>
        <v>137535.82836354326</v>
      </c>
      <c r="J115" s="1035">
        <f t="shared" si="75"/>
        <v>201737.70176992094</v>
      </c>
      <c r="K115" s="1035">
        <f t="shared" si="75"/>
        <v>126890.1902211601</v>
      </c>
      <c r="L115" s="1035">
        <f t="shared" si="76"/>
        <v>326140.21918630839</v>
      </c>
      <c r="M115" s="1035"/>
      <c r="N115" s="25">
        <f t="shared" si="67"/>
        <v>36955032</v>
      </c>
      <c r="O115" s="394">
        <v>240</v>
      </c>
      <c r="P115" s="1035">
        <f t="shared" si="68"/>
        <v>153979.29999999999</v>
      </c>
      <c r="Q115" s="1232">
        <v>12.5</v>
      </c>
      <c r="R115" s="1026">
        <v>22650</v>
      </c>
      <c r="S115" s="933">
        <f t="shared" si="69"/>
        <v>283125</v>
      </c>
      <c r="T115" s="933">
        <f t="shared" si="36"/>
        <v>129145.70000000001</v>
      </c>
      <c r="U115" s="657" t="s">
        <v>823</v>
      </c>
      <c r="V115" s="1077">
        <v>42887</v>
      </c>
      <c r="W115" s="81">
        <v>2700</v>
      </c>
      <c r="X115" s="872">
        <v>14728</v>
      </c>
      <c r="Y115" s="25">
        <f t="shared" si="70"/>
        <v>39765600</v>
      </c>
      <c r="Z115" s="8"/>
    </row>
    <row r="116" spans="1:26" ht="18.75" customHeight="1">
      <c r="A116" s="751">
        <v>7</v>
      </c>
      <c r="B116" s="1039" t="s">
        <v>843</v>
      </c>
      <c r="C116" s="1034">
        <f>VLOOKUP(B116,NXT!$Q$72:$S$111,2,0)</f>
        <v>11.5</v>
      </c>
      <c r="D116" s="1035">
        <f t="shared" si="71"/>
        <v>82800</v>
      </c>
      <c r="E116" s="1035"/>
      <c r="F116" s="1035">
        <f>VLOOKUP(B116,NXT!$Q$72:$S$111,3,0)</f>
        <v>18200</v>
      </c>
      <c r="G116" s="8">
        <f t="shared" si="72"/>
        <v>1506960000</v>
      </c>
      <c r="H116" s="394">
        <f t="shared" si="66"/>
        <v>11228206.398959314</v>
      </c>
      <c r="I116" s="1035">
        <f t="shared" si="75"/>
        <v>9489972.1570844855</v>
      </c>
      <c r="J116" s="1035">
        <f t="shared" si="75"/>
        <v>13919901.422124544</v>
      </c>
      <c r="K116" s="1035">
        <f t="shared" si="75"/>
        <v>8755423.1252600476</v>
      </c>
      <c r="L116" s="1035">
        <f t="shared" si="76"/>
        <v>9784206.5755892508</v>
      </c>
      <c r="M116" s="1035"/>
      <c r="N116" s="25">
        <f t="shared" si="67"/>
        <v>1560137710</v>
      </c>
      <c r="O116" s="394">
        <v>7200</v>
      </c>
      <c r="P116" s="1035">
        <f t="shared" si="68"/>
        <v>216685.79305555555</v>
      </c>
      <c r="Q116" s="1232">
        <v>9.5500000000000007</v>
      </c>
      <c r="R116" s="1026">
        <v>22660</v>
      </c>
      <c r="S116" s="933">
        <f t="shared" si="69"/>
        <v>216403.00000000003</v>
      </c>
      <c r="T116" s="933">
        <f t="shared" si="36"/>
        <v>-282.79305555552128</v>
      </c>
      <c r="U116" s="657" t="s">
        <v>348</v>
      </c>
      <c r="V116" s="1077">
        <v>42887</v>
      </c>
      <c r="W116" s="1085">
        <v>200</v>
      </c>
      <c r="X116" s="1094">
        <v>8500</v>
      </c>
      <c r="Y116" s="25">
        <f t="shared" si="70"/>
        <v>1700000</v>
      </c>
      <c r="Z116" s="8"/>
    </row>
    <row r="117" spans="1:26" ht="18.75" customHeight="1">
      <c r="A117" s="751">
        <v>8</v>
      </c>
      <c r="B117" s="1039" t="s">
        <v>837</v>
      </c>
      <c r="C117" s="1034">
        <f>VLOOKUP(B117,NXT!$Q$72:$S$111,2,0)</f>
        <v>5</v>
      </c>
      <c r="D117" s="1035">
        <f t="shared" si="71"/>
        <v>11000</v>
      </c>
      <c r="E117" s="1035"/>
      <c r="F117" s="1035">
        <f>VLOOKUP(B117,NXT!$Q$72:$S$111,3,0)</f>
        <v>30000</v>
      </c>
      <c r="G117" s="8">
        <f t="shared" si="72"/>
        <v>330000000</v>
      </c>
      <c r="H117" s="394">
        <f t="shared" si="66"/>
        <v>1491669.9322288944</v>
      </c>
      <c r="I117" s="1035">
        <f t="shared" si="75"/>
        <v>1260745.0933324799</v>
      </c>
      <c r="J117" s="1035">
        <f t="shared" si="75"/>
        <v>1849262.2662242751</v>
      </c>
      <c r="K117" s="1035">
        <f t="shared" si="75"/>
        <v>1163160.0770273008</v>
      </c>
      <c r="L117" s="1035">
        <f t="shared" si="76"/>
        <v>2989618.6758744936</v>
      </c>
      <c r="M117" s="1035"/>
      <c r="N117" s="25">
        <f t="shared" si="67"/>
        <v>338754456</v>
      </c>
      <c r="O117" s="394">
        <v>2200</v>
      </c>
      <c r="P117" s="1035">
        <f t="shared" si="68"/>
        <v>153979.29818181819</v>
      </c>
      <c r="Q117" s="1232">
        <v>7.5</v>
      </c>
      <c r="R117" s="1026">
        <v>22660</v>
      </c>
      <c r="S117" s="933">
        <f t="shared" si="69"/>
        <v>169950</v>
      </c>
      <c r="T117" s="933">
        <f t="shared" si="36"/>
        <v>15970.701818181813</v>
      </c>
      <c r="U117" s="443"/>
      <c r="V117" s="660"/>
      <c r="W117" s="81"/>
      <c r="X117" s="81"/>
      <c r="Y117" s="25"/>
      <c r="Z117" s="8"/>
    </row>
    <row r="118" spans="1:26" ht="18.75" customHeight="1">
      <c r="A118" s="751">
        <v>9</v>
      </c>
      <c r="B118" s="1039" t="s">
        <v>849</v>
      </c>
      <c r="C118" s="1034">
        <f>VLOOKUP(B118,NXT!$Q$72:$S$111,2,0)</f>
        <v>5</v>
      </c>
      <c r="D118" s="1035">
        <f t="shared" si="71"/>
        <v>300</v>
      </c>
      <c r="E118" s="1035"/>
      <c r="F118" s="1035">
        <f>VLOOKUP(B118,NXT!$Q$72:$S$111,3,0)</f>
        <v>28500</v>
      </c>
      <c r="G118" s="8">
        <f t="shared" si="72"/>
        <v>8550000</v>
      </c>
      <c r="H118" s="394">
        <f t="shared" si="66"/>
        <v>40681.907242606212</v>
      </c>
      <c r="I118" s="1035">
        <f t="shared" si="75"/>
        <v>34383.957090885815</v>
      </c>
      <c r="J118" s="1035">
        <f t="shared" si="75"/>
        <v>50434.425442480235</v>
      </c>
      <c r="K118" s="1035">
        <f t="shared" si="75"/>
        <v>31722.547555290024</v>
      </c>
      <c r="L118" s="1035">
        <f t="shared" si="76"/>
        <v>81535.054796577097</v>
      </c>
      <c r="M118" s="1035"/>
      <c r="N118" s="25">
        <f t="shared" si="67"/>
        <v>8788758</v>
      </c>
      <c r="O118" s="394">
        <v>60</v>
      </c>
      <c r="P118" s="1035">
        <f t="shared" si="68"/>
        <v>146479.29999999999</v>
      </c>
      <c r="Q118" s="1232"/>
      <c r="S118" s="933">
        <v>156000</v>
      </c>
      <c r="T118" s="933">
        <f t="shared" si="36"/>
        <v>9520.7000000000116</v>
      </c>
      <c r="U118" s="1069"/>
      <c r="V118" s="1070"/>
      <c r="W118" s="1071"/>
      <c r="X118" s="1080"/>
      <c r="Y118" s="832">
        <f>SUM(Y110:Y117)</f>
        <v>64458229</v>
      </c>
      <c r="Z118" s="74">
        <f>SUM(Z110:Z117)</f>
        <v>0</v>
      </c>
    </row>
    <row r="119" spans="1:26" ht="18.75" customHeight="1">
      <c r="A119" s="751">
        <v>10</v>
      </c>
      <c r="B119" s="1039" t="s">
        <v>848</v>
      </c>
      <c r="C119" s="1034">
        <f>VLOOKUP(B119,NXT!$Q$72:$S$111,2,0)</f>
        <v>5</v>
      </c>
      <c r="D119" s="1035">
        <f t="shared" si="71"/>
        <v>250</v>
      </c>
      <c r="E119" s="1035"/>
      <c r="F119" s="1035">
        <f>VLOOKUP(B119,NXT!$Q$72:$S$111,3,0)</f>
        <v>60000</v>
      </c>
      <c r="G119" s="8">
        <f t="shared" si="72"/>
        <v>15000000</v>
      </c>
      <c r="H119" s="394">
        <f t="shared" si="66"/>
        <v>33901.589368838511</v>
      </c>
      <c r="I119" s="1035">
        <f t="shared" si="75"/>
        <v>28653.297575738179</v>
      </c>
      <c r="J119" s="1035">
        <f t="shared" si="75"/>
        <v>42028.687868733527</v>
      </c>
      <c r="K119" s="1035">
        <f t="shared" si="75"/>
        <v>26435.456296075019</v>
      </c>
      <c r="L119" s="1035">
        <f t="shared" si="76"/>
        <v>67945.878997147578</v>
      </c>
      <c r="M119" s="1035"/>
      <c r="N119" s="25">
        <f t="shared" si="67"/>
        <v>15198965</v>
      </c>
      <c r="O119" s="394">
        <v>50</v>
      </c>
      <c r="P119" s="1035">
        <f t="shared" si="68"/>
        <v>303979.3</v>
      </c>
      <c r="Q119" s="1233"/>
      <c r="S119" s="933">
        <v>320000</v>
      </c>
      <c r="T119" s="933">
        <f t="shared" si="36"/>
        <v>16020.700000000012</v>
      </c>
      <c r="U119" s="446" t="s">
        <v>789</v>
      </c>
      <c r="V119" s="1077">
        <v>42887</v>
      </c>
      <c r="W119" s="1230">
        <f>ROUND(O110/13,0)</f>
        <v>13068</v>
      </c>
      <c r="X119" s="81">
        <v>8800</v>
      </c>
      <c r="Y119" s="25">
        <f>ROUND(W119*X119,0)</f>
        <v>114998400</v>
      </c>
      <c r="Z119" s="25"/>
    </row>
    <row r="120" spans="1:26" ht="18.75" customHeight="1">
      <c r="A120" s="751">
        <v>11</v>
      </c>
      <c r="B120" s="1039" t="s">
        <v>816</v>
      </c>
      <c r="C120" s="1034">
        <f>VLOOKUP(B120,NXT!$Q$72:$S$111,2,0)</f>
        <v>5.5</v>
      </c>
      <c r="D120" s="1035">
        <f t="shared" si="71"/>
        <v>165</v>
      </c>
      <c r="E120" s="1035"/>
      <c r="F120" s="1035">
        <f>VLOOKUP(B120,NXT!$Q$72:$S$111,3,0)</f>
        <v>37000</v>
      </c>
      <c r="G120" s="8">
        <f t="shared" si="72"/>
        <v>6105000</v>
      </c>
      <c r="H120" s="394">
        <f t="shared" si="66"/>
        <v>22375.048983433415</v>
      </c>
      <c r="I120" s="1035">
        <f t="shared" si="75"/>
        <v>18911.176399987198</v>
      </c>
      <c r="J120" s="1035">
        <f t="shared" si="75"/>
        <v>27738.933993364128</v>
      </c>
      <c r="K120" s="1035">
        <f t="shared" si="75"/>
        <v>17447.401155409512</v>
      </c>
      <c r="L120" s="1035">
        <f t="shared" si="76"/>
        <v>40767.527398288548</v>
      </c>
      <c r="M120" s="1035"/>
      <c r="N120" s="25">
        <f t="shared" si="67"/>
        <v>6232240</v>
      </c>
      <c r="O120" s="394">
        <v>30</v>
      </c>
      <c r="P120" s="1035">
        <f t="shared" si="68"/>
        <v>207741.33333333334</v>
      </c>
      <c r="Q120" s="1231"/>
      <c r="S120" s="933">
        <v>210000</v>
      </c>
      <c r="T120" s="933">
        <f t="shared" si="36"/>
        <v>2258.666666666657</v>
      </c>
      <c r="U120" s="446" t="s">
        <v>789</v>
      </c>
      <c r="V120" s="1077">
        <v>42891</v>
      </c>
      <c r="W120" s="1230">
        <f>ROUND(O111/13,0)</f>
        <v>1442</v>
      </c>
      <c r="X120" s="81">
        <v>8800</v>
      </c>
      <c r="Y120" s="25">
        <f t="shared" ref="Y120:Y129" si="77">ROUND(W120*X120,0)</f>
        <v>12689600</v>
      </c>
      <c r="Z120" s="25"/>
    </row>
    <row r="121" spans="1:26" ht="18.75" customHeight="1">
      <c r="A121" s="751">
        <v>12</v>
      </c>
      <c r="B121" s="1039" t="s">
        <v>832</v>
      </c>
      <c r="C121" s="1034">
        <f>VLOOKUP(B121,NXT!$Q$72:$S$111,2,0)</f>
        <v>5</v>
      </c>
      <c r="D121" s="1035">
        <f t="shared" si="71"/>
        <v>200</v>
      </c>
      <c r="E121" s="1035"/>
      <c r="F121" s="1035">
        <f>VLOOKUP(B121,NXT!$Q$72:$S$111,3,0)</f>
        <v>23000</v>
      </c>
      <c r="G121" s="8">
        <f t="shared" si="72"/>
        <v>4600000</v>
      </c>
      <c r="H121" s="394">
        <f t="shared" si="66"/>
        <v>27121.271495070807</v>
      </c>
      <c r="I121" s="1035">
        <f t="shared" si="75"/>
        <v>22922.638060590543</v>
      </c>
      <c r="J121" s="1035">
        <f t="shared" si="75"/>
        <v>33622.950294986818</v>
      </c>
      <c r="K121" s="1035">
        <f t="shared" si="75"/>
        <v>21148.365036860017</v>
      </c>
      <c r="L121" s="1035">
        <f t="shared" si="76"/>
        <v>54356.70319771806</v>
      </c>
      <c r="M121" s="1035"/>
      <c r="N121" s="25">
        <f t="shared" si="67"/>
        <v>4759172</v>
      </c>
      <c r="O121" s="394">
        <v>40</v>
      </c>
      <c r="P121" s="1035">
        <f t="shared" si="68"/>
        <v>118979.3</v>
      </c>
      <c r="Q121" s="1231"/>
      <c r="S121" s="933">
        <v>150000</v>
      </c>
      <c r="T121" s="933">
        <f t="shared" si="36"/>
        <v>31020.699999999997</v>
      </c>
      <c r="U121" s="446" t="s">
        <v>789</v>
      </c>
      <c r="V121" s="660">
        <v>42894</v>
      </c>
      <c r="W121" s="1230">
        <f>ROUND(O112/13,0)</f>
        <v>8001</v>
      </c>
      <c r="X121" s="81">
        <v>8800</v>
      </c>
      <c r="Y121" s="25">
        <f t="shared" si="77"/>
        <v>70408800</v>
      </c>
      <c r="Z121" s="8"/>
    </row>
    <row r="122" spans="1:26" ht="18.75" customHeight="1">
      <c r="A122" s="751">
        <v>13</v>
      </c>
      <c r="B122" s="1039" t="s">
        <v>845</v>
      </c>
      <c r="C122" s="1034">
        <f>VLOOKUP(B122,NXT!$Q$72:$S$111,2,0)</f>
        <v>5</v>
      </c>
      <c r="D122" s="1035">
        <f t="shared" si="71"/>
        <v>100</v>
      </c>
      <c r="E122" s="1035"/>
      <c r="F122" s="1035">
        <f>VLOOKUP(B122,NXT!$Q$72:$S$111,3,0)</f>
        <v>135000</v>
      </c>
      <c r="G122" s="8">
        <f t="shared" si="72"/>
        <v>13500000</v>
      </c>
      <c r="H122" s="394">
        <f t="shared" si="66"/>
        <v>13560.635747535403</v>
      </c>
      <c r="I122" s="1035">
        <f t="shared" si="75"/>
        <v>11461.319030295272</v>
      </c>
      <c r="J122" s="1035">
        <f t="shared" si="75"/>
        <v>16811.475147493409</v>
      </c>
      <c r="K122" s="1035">
        <f t="shared" si="75"/>
        <v>10574.182518430009</v>
      </c>
      <c r="L122" s="1035">
        <f t="shared" si="76"/>
        <v>27178.35159885903</v>
      </c>
      <c r="M122" s="1035"/>
      <c r="N122" s="25">
        <f t="shared" si="67"/>
        <v>13579586</v>
      </c>
      <c r="O122" s="394">
        <v>20</v>
      </c>
      <c r="P122" s="1035">
        <f t="shared" si="68"/>
        <v>678979.3</v>
      </c>
      <c r="Q122" s="1231"/>
      <c r="S122" s="933">
        <v>700000</v>
      </c>
      <c r="T122" s="933">
        <f t="shared" si="36"/>
        <v>21020.699999999953</v>
      </c>
      <c r="U122" s="446" t="s">
        <v>373</v>
      </c>
      <c r="V122" s="1077">
        <v>42888</v>
      </c>
      <c r="W122" s="872">
        <v>1341</v>
      </c>
      <c r="X122" s="872">
        <v>13500</v>
      </c>
      <c r="Y122" s="25">
        <f t="shared" si="77"/>
        <v>18103500</v>
      </c>
      <c r="Z122" s="8"/>
    </row>
    <row r="123" spans="1:26" ht="18.75" customHeight="1">
      <c r="A123" s="751">
        <v>14</v>
      </c>
      <c r="B123" s="1039" t="s">
        <v>427</v>
      </c>
      <c r="C123" s="1034">
        <f>VLOOKUP(B123,NXT!$Q$72:$S$111,2,0)</f>
        <v>2.2999999999999998</v>
      </c>
      <c r="D123" s="1035">
        <f t="shared" si="71"/>
        <v>69</v>
      </c>
      <c r="E123" s="1035"/>
      <c r="F123" s="1035">
        <f>VLOOKUP(B123,NXT!$Q$72:$S$111,3,0)</f>
        <v>275000</v>
      </c>
      <c r="G123" s="8">
        <f t="shared" ref="G123" si="78">(D123+E123)*F123</f>
        <v>18975000</v>
      </c>
      <c r="H123" s="394">
        <f t="shared" si="66"/>
        <v>9356.8386657994288</v>
      </c>
      <c r="I123" s="1035">
        <f t="shared" si="75"/>
        <v>7908.3101309037374</v>
      </c>
      <c r="J123" s="1035">
        <f t="shared" si="75"/>
        <v>11599.917851770453</v>
      </c>
      <c r="K123" s="1035">
        <f t="shared" si="75"/>
        <v>7296.1859377167057</v>
      </c>
      <c r="L123" s="1035">
        <f t="shared" si="76"/>
        <v>40767.527398288548</v>
      </c>
      <c r="M123" s="1035"/>
      <c r="N123" s="25">
        <f t="shared" si="67"/>
        <v>19051929</v>
      </c>
      <c r="O123" s="394">
        <v>30</v>
      </c>
      <c r="P123" s="1035">
        <f t="shared" si="68"/>
        <v>635064.30000000005</v>
      </c>
      <c r="Q123" s="1231"/>
      <c r="S123" s="933">
        <v>690000</v>
      </c>
      <c r="T123" s="933">
        <f t="shared" ref="T123:T167" si="79">S123-P123</f>
        <v>54935.699999999953</v>
      </c>
      <c r="U123" s="446" t="s">
        <v>744</v>
      </c>
      <c r="V123" s="1077">
        <v>42894</v>
      </c>
      <c r="W123" s="81">
        <v>320</v>
      </c>
      <c r="X123" s="81">
        <v>21850</v>
      </c>
      <c r="Y123" s="25">
        <f t="shared" si="77"/>
        <v>6992000</v>
      </c>
      <c r="Z123" s="8"/>
    </row>
    <row r="124" spans="1:26" ht="18.75" customHeight="1">
      <c r="A124" s="751">
        <v>15</v>
      </c>
      <c r="B124" s="1039" t="s">
        <v>420</v>
      </c>
      <c r="C124" s="1034">
        <f>VLOOKUP(B124,NXT!$Q$72:$S$111,2,0)</f>
        <v>4.5</v>
      </c>
      <c r="D124" s="1035">
        <f t="shared" si="71"/>
        <v>90</v>
      </c>
      <c r="E124" s="1035"/>
      <c r="F124" s="1035">
        <f>VLOOKUP(B124,NXT!$Q$72:$S$111,3,0)</f>
        <v>18500</v>
      </c>
      <c r="G124" s="8">
        <f t="shared" si="72"/>
        <v>1665000</v>
      </c>
      <c r="H124" s="394">
        <f t="shared" si="66"/>
        <v>12204.572172781864</v>
      </c>
      <c r="I124" s="1035">
        <f t="shared" si="75"/>
        <v>10315.187127265744</v>
      </c>
      <c r="J124" s="1035">
        <f t="shared" si="75"/>
        <v>15130.327632744069</v>
      </c>
      <c r="K124" s="1035">
        <f t="shared" si="75"/>
        <v>9516.764266587008</v>
      </c>
      <c r="L124" s="1035">
        <f t="shared" si="76"/>
        <v>27178.35159885903</v>
      </c>
      <c r="M124" s="1035"/>
      <c r="N124" s="25">
        <f t="shared" si="67"/>
        <v>1739345</v>
      </c>
      <c r="O124" s="394">
        <v>20</v>
      </c>
      <c r="P124" s="1035">
        <f t="shared" si="68"/>
        <v>86967.25</v>
      </c>
      <c r="Q124" s="1231"/>
      <c r="S124" s="933">
        <v>100000</v>
      </c>
      <c r="T124" s="933">
        <f t="shared" si="79"/>
        <v>13032.75</v>
      </c>
      <c r="U124" s="77" t="s">
        <v>564</v>
      </c>
      <c r="V124" s="1077">
        <v>42906</v>
      </c>
      <c r="W124" s="81">
        <v>900</v>
      </c>
      <c r="X124" s="81">
        <v>19000</v>
      </c>
      <c r="Y124" s="25">
        <f t="shared" si="77"/>
        <v>17100000</v>
      </c>
      <c r="Z124" s="8"/>
    </row>
    <row r="125" spans="1:26" ht="18.75" customHeight="1">
      <c r="A125" s="751">
        <v>16</v>
      </c>
      <c r="B125" s="1039" t="s">
        <v>846</v>
      </c>
      <c r="C125" s="1034">
        <f>VLOOKUP(B125,NXT!$Q$72:$S$111,2,0)</f>
        <v>2.2000000000000002</v>
      </c>
      <c r="D125" s="1035">
        <f t="shared" si="71"/>
        <v>22</v>
      </c>
      <c r="E125" s="1035"/>
      <c r="F125" s="1035">
        <f>VLOOKUP(B125,NXT!$Q$72:$S$111,3,0)</f>
        <v>250000</v>
      </c>
      <c r="G125" s="8">
        <f t="shared" si="72"/>
        <v>5500000</v>
      </c>
      <c r="H125" s="394">
        <f t="shared" si="66"/>
        <v>2983.3398644577887</v>
      </c>
      <c r="I125" s="1035">
        <f t="shared" si="75"/>
        <v>2521.4901866649598</v>
      </c>
      <c r="J125" s="1035">
        <f t="shared" si="75"/>
        <v>3698.5245324485504</v>
      </c>
      <c r="K125" s="1035">
        <f t="shared" si="75"/>
        <v>2326.320154054602</v>
      </c>
      <c r="L125" s="1035">
        <f t="shared" si="76"/>
        <v>13589.175799429515</v>
      </c>
      <c r="M125" s="1035"/>
      <c r="N125" s="25">
        <f t="shared" si="67"/>
        <v>5525119</v>
      </c>
      <c r="O125" s="394">
        <v>10</v>
      </c>
      <c r="P125" s="1035">
        <f t="shared" si="68"/>
        <v>552511.9</v>
      </c>
      <c r="Q125" s="1231"/>
      <c r="S125" s="933">
        <v>570000</v>
      </c>
      <c r="T125" s="933">
        <f t="shared" si="79"/>
        <v>17488.099999999977</v>
      </c>
      <c r="U125" s="1053" t="s">
        <v>383</v>
      </c>
      <c r="V125" s="1077">
        <v>42906</v>
      </c>
      <c r="W125" s="872">
        <v>222</v>
      </c>
      <c r="X125" s="81">
        <v>16500</v>
      </c>
      <c r="Y125" s="25">
        <f t="shared" si="77"/>
        <v>3663000</v>
      </c>
      <c r="Z125" s="8"/>
    </row>
    <row r="126" spans="1:26" ht="18.75" customHeight="1">
      <c r="A126" s="751">
        <v>17</v>
      </c>
      <c r="B126" s="1039" t="s">
        <v>847</v>
      </c>
      <c r="C126" s="1034">
        <f>VLOOKUP(B126,NXT!$Q$72:$S$111,2,0)</f>
        <v>4</v>
      </c>
      <c r="D126" s="1035">
        <f t="shared" si="71"/>
        <v>8</v>
      </c>
      <c r="E126" s="1035"/>
      <c r="F126" s="1035">
        <f>VLOOKUP(B126,NXT!$Q$72:$S$111,3,0)</f>
        <v>100000</v>
      </c>
      <c r="G126" s="8">
        <f t="shared" si="72"/>
        <v>800000</v>
      </c>
      <c r="H126" s="394">
        <f t="shared" si="66"/>
        <v>1084.8508598028322</v>
      </c>
      <c r="I126" s="1035">
        <f t="shared" si="75"/>
        <v>916.90552242362173</v>
      </c>
      <c r="J126" s="1035">
        <f t="shared" si="75"/>
        <v>1344.9180117994729</v>
      </c>
      <c r="K126" s="1035">
        <f t="shared" si="75"/>
        <v>845.93460147440067</v>
      </c>
      <c r="L126" s="1035">
        <f t="shared" si="76"/>
        <v>2717.8351598859031</v>
      </c>
      <c r="M126" s="1035"/>
      <c r="N126" s="25">
        <f t="shared" si="67"/>
        <v>806910</v>
      </c>
      <c r="O126" s="394">
        <v>2</v>
      </c>
      <c r="P126" s="1035">
        <f t="shared" si="68"/>
        <v>403455</v>
      </c>
      <c r="Q126" s="1231"/>
      <c r="S126" s="933">
        <v>420000</v>
      </c>
      <c r="T126" s="933">
        <f t="shared" si="79"/>
        <v>16545</v>
      </c>
      <c r="U126" s="446" t="s">
        <v>370</v>
      </c>
      <c r="V126" s="1077">
        <v>42911</v>
      </c>
      <c r="W126" s="81">
        <v>1419</v>
      </c>
      <c r="X126" s="81">
        <v>6000</v>
      </c>
      <c r="Y126" s="25">
        <f t="shared" si="77"/>
        <v>8514000</v>
      </c>
      <c r="Z126" s="8"/>
    </row>
    <row r="127" spans="1:26" ht="18.75" customHeight="1">
      <c r="A127" s="751">
        <v>18</v>
      </c>
      <c r="B127" s="1039" t="s">
        <v>840</v>
      </c>
      <c r="C127" s="1034">
        <f>VLOOKUP(B127,NXT!$Q$72:$S$111,2,0)</f>
        <v>5</v>
      </c>
      <c r="D127" s="1035">
        <f t="shared" si="71"/>
        <v>3300</v>
      </c>
      <c r="E127" s="1035"/>
      <c r="F127" s="1035">
        <f>VLOOKUP(B127,NXT!$Q$72:$S$111,3,0)</f>
        <v>37000</v>
      </c>
      <c r="G127" s="8">
        <f t="shared" si="72"/>
        <v>122100000</v>
      </c>
      <c r="H127" s="394">
        <f t="shared" si="66"/>
        <v>447500.9796686683</v>
      </c>
      <c r="I127" s="1035">
        <f t="shared" si="75"/>
        <v>378223.52799974394</v>
      </c>
      <c r="J127" s="1035">
        <f t="shared" si="75"/>
        <v>554778.67986728251</v>
      </c>
      <c r="K127" s="1035">
        <f t="shared" si="75"/>
        <v>348948.02310819027</v>
      </c>
      <c r="L127" s="1035">
        <f t="shared" si="76"/>
        <v>896885.60276234802</v>
      </c>
      <c r="M127" s="1035"/>
      <c r="N127" s="25">
        <f t="shared" si="67"/>
        <v>124726337</v>
      </c>
      <c r="O127" s="394">
        <v>660</v>
      </c>
      <c r="P127" s="1035">
        <f t="shared" si="68"/>
        <v>188979.29848484849</v>
      </c>
      <c r="Q127" s="1231">
        <v>8.4</v>
      </c>
      <c r="R127" s="1026">
        <v>22655</v>
      </c>
      <c r="S127" s="933">
        <f t="shared" si="69"/>
        <v>190302</v>
      </c>
      <c r="T127" s="933">
        <f t="shared" si="79"/>
        <v>1322.7015151515079</v>
      </c>
      <c r="U127" s="446" t="s">
        <v>744</v>
      </c>
      <c r="V127" s="1077">
        <v>42911</v>
      </c>
      <c r="W127" s="81">
        <v>321</v>
      </c>
      <c r="X127" s="81">
        <v>14000</v>
      </c>
      <c r="Y127" s="25">
        <f t="shared" si="77"/>
        <v>4494000</v>
      </c>
      <c r="Z127" s="8"/>
    </row>
    <row r="128" spans="1:26" ht="18.75" customHeight="1">
      <c r="A128" s="751">
        <v>19</v>
      </c>
      <c r="B128" s="1039" t="s">
        <v>816</v>
      </c>
      <c r="C128" s="1034">
        <f>VLOOKUP(B128,NXT!$Q$72:$S$111,2,0)</f>
        <v>5.5</v>
      </c>
      <c r="D128" s="1035">
        <f t="shared" ref="D128:D131" si="80">ROUND(C128*O128,0)</f>
        <v>990</v>
      </c>
      <c r="E128" s="1035"/>
      <c r="F128" s="1035">
        <f>VLOOKUP(B128,NXT!$Q$72:$S$111,3,0)</f>
        <v>37000</v>
      </c>
      <c r="G128" s="8">
        <f t="shared" si="72"/>
        <v>36630000</v>
      </c>
      <c r="H128" s="394">
        <f t="shared" si="66"/>
        <v>134250.29390060049</v>
      </c>
      <c r="I128" s="1035">
        <f t="shared" si="75"/>
        <v>113467.05839992319</v>
      </c>
      <c r="J128" s="1035">
        <f t="shared" si="75"/>
        <v>166433.60396018476</v>
      </c>
      <c r="K128" s="1035">
        <f t="shared" si="75"/>
        <v>104684.40693245709</v>
      </c>
      <c r="L128" s="1035">
        <f t="shared" si="76"/>
        <v>244605.16438973128</v>
      </c>
      <c r="M128" s="1035"/>
      <c r="N128" s="25">
        <f t="shared" ref="N128:N131" si="81">ROUND(SUM(G128:M128),0)</f>
        <v>37393441</v>
      </c>
      <c r="O128" s="394">
        <v>180</v>
      </c>
      <c r="P128" s="1035">
        <f t="shared" ref="P128:P131" si="82">IF(N128&lt;&gt;0,N128/O128,0)</f>
        <v>207741.33888888889</v>
      </c>
      <c r="Q128" s="1231">
        <v>9.5</v>
      </c>
      <c r="R128" s="1026">
        <v>22655</v>
      </c>
      <c r="S128" s="933">
        <f t="shared" si="69"/>
        <v>215222.5</v>
      </c>
      <c r="T128" s="933">
        <f t="shared" si="79"/>
        <v>7481.1611111111124</v>
      </c>
      <c r="U128" s="77"/>
      <c r="V128" s="1077"/>
      <c r="W128" s="81"/>
      <c r="X128" s="81"/>
      <c r="Y128" s="25">
        <f t="shared" ref="Y128" si="83">ROUND(W128*X128,0)</f>
        <v>0</v>
      </c>
      <c r="Z128" s="8"/>
    </row>
    <row r="129" spans="1:26" ht="18.75" customHeight="1">
      <c r="A129" s="751">
        <v>20</v>
      </c>
      <c r="B129" s="1039" t="s">
        <v>841</v>
      </c>
      <c r="C129" s="1034">
        <f>VLOOKUP(B129,NXT!$Q$72:$S$111,2,0)</f>
        <v>4.5</v>
      </c>
      <c r="D129" s="1035">
        <f t="shared" si="80"/>
        <v>1890</v>
      </c>
      <c r="E129" s="1035"/>
      <c r="F129" s="1035">
        <f>VLOOKUP(B129,NXT!$Q$72:$S$111,3,0)</f>
        <v>57500</v>
      </c>
      <c r="G129" s="8">
        <f t="shared" si="72"/>
        <v>108675000</v>
      </c>
      <c r="H129" s="394">
        <f t="shared" si="66"/>
        <v>256296.01562841912</v>
      </c>
      <c r="I129" s="1035">
        <f t="shared" si="75"/>
        <v>216618.92967258062</v>
      </c>
      <c r="J129" s="1035">
        <f t="shared" si="75"/>
        <v>317736.88028762548</v>
      </c>
      <c r="K129" s="1035">
        <f t="shared" si="75"/>
        <v>199852.04959832717</v>
      </c>
      <c r="L129" s="1035">
        <f t="shared" si="76"/>
        <v>570745.38357603969</v>
      </c>
      <c r="M129" s="1035"/>
      <c r="N129" s="25">
        <f t="shared" si="81"/>
        <v>110236249</v>
      </c>
      <c r="O129" s="394">
        <v>420</v>
      </c>
      <c r="P129" s="1035">
        <f t="shared" si="82"/>
        <v>262467.25952380954</v>
      </c>
      <c r="Q129" s="1231">
        <v>12</v>
      </c>
      <c r="R129" s="1026">
        <v>22655</v>
      </c>
      <c r="S129" s="933">
        <f t="shared" si="69"/>
        <v>271860</v>
      </c>
      <c r="T129" s="933">
        <f t="shared" si="79"/>
        <v>9392.7404761904618</v>
      </c>
      <c r="U129" s="77"/>
      <c r="V129" s="1077"/>
      <c r="W129" s="81"/>
      <c r="X129" s="81"/>
      <c r="Y129" s="25">
        <f t="shared" si="77"/>
        <v>0</v>
      </c>
      <c r="Z129" s="8"/>
    </row>
    <row r="130" spans="1:26" ht="18.75" customHeight="1">
      <c r="A130" s="751">
        <v>21</v>
      </c>
      <c r="B130" s="1039" t="s">
        <v>842</v>
      </c>
      <c r="C130" s="1034">
        <f>VLOOKUP(B130,NXT!$Q$72:$S$111,2,0)</f>
        <v>11</v>
      </c>
      <c r="D130" s="1035">
        <f t="shared" si="80"/>
        <v>18480</v>
      </c>
      <c r="E130" s="1035"/>
      <c r="F130" s="1035">
        <v>18000</v>
      </c>
      <c r="G130" s="8">
        <f t="shared" si="72"/>
        <v>332640000</v>
      </c>
      <c r="H130" s="394">
        <f t="shared" si="66"/>
        <v>2506005.4861445427</v>
      </c>
      <c r="I130" s="1035">
        <f t="shared" si="75"/>
        <v>2118051.7567985663</v>
      </c>
      <c r="J130" s="1035">
        <f t="shared" si="75"/>
        <v>3106760.6072567822</v>
      </c>
      <c r="K130" s="1035">
        <f t="shared" si="75"/>
        <v>1954108.9294058655</v>
      </c>
      <c r="L130" s="1035">
        <f t="shared" si="76"/>
        <v>2282981.5343041588</v>
      </c>
      <c r="M130" s="1035"/>
      <c r="N130" s="25">
        <f t="shared" si="81"/>
        <v>344607908</v>
      </c>
      <c r="O130" s="394">
        <v>1680</v>
      </c>
      <c r="P130" s="1035">
        <f t="shared" si="82"/>
        <v>205123.75476190477</v>
      </c>
      <c r="Q130" s="1231">
        <v>9.1999999999999993</v>
      </c>
      <c r="R130" s="1026">
        <v>22655</v>
      </c>
      <c r="S130" s="933">
        <f t="shared" si="69"/>
        <v>208425.99999999997</v>
      </c>
      <c r="T130" s="933">
        <f t="shared" si="79"/>
        <v>3302.2452380952018</v>
      </c>
      <c r="U130" s="1053"/>
      <c r="V130" s="660"/>
      <c r="W130" s="25">
        <f>SUM(W119:W129)</f>
        <v>27034</v>
      </c>
      <c r="X130" s="25"/>
      <c r="Y130" s="25">
        <f>SUM(Y119:Y129)</f>
        <v>256963300</v>
      </c>
      <c r="Z130" s="8"/>
    </row>
    <row r="131" spans="1:26" ht="18.75" customHeight="1">
      <c r="A131" s="751">
        <v>22</v>
      </c>
      <c r="B131" s="1039" t="s">
        <v>427</v>
      </c>
      <c r="C131" s="1034">
        <f>VLOOKUP(B131,NXT!$Q$72:$S$111,2,0)</f>
        <v>2.2999999999999998</v>
      </c>
      <c r="D131" s="1035">
        <f t="shared" si="80"/>
        <v>2300</v>
      </c>
      <c r="E131" s="1035"/>
      <c r="F131" s="1035">
        <f>VLOOKUP(B131,NXT!$Q$72:$S$111,3,0)</f>
        <v>275000</v>
      </c>
      <c r="G131" s="8">
        <f t="shared" si="72"/>
        <v>632500000</v>
      </c>
      <c r="H131" s="394">
        <f t="shared" si="66"/>
        <v>311894.62219331425</v>
      </c>
      <c r="I131" s="1035">
        <f t="shared" si="75"/>
        <v>263610.33769679128</v>
      </c>
      <c r="J131" s="1035">
        <f t="shared" si="75"/>
        <v>386663.92839234846</v>
      </c>
      <c r="K131" s="1035">
        <f t="shared" si="75"/>
        <v>243206.1979238902</v>
      </c>
      <c r="L131" s="1035">
        <f>$Y$123/SUM($O$131:$O$132)*O131</f>
        <v>3496000</v>
      </c>
      <c r="M131" s="1035"/>
      <c r="N131" s="25">
        <f t="shared" si="81"/>
        <v>637201375</v>
      </c>
      <c r="O131" s="394">
        <v>1000</v>
      </c>
      <c r="P131" s="1035">
        <f t="shared" si="82"/>
        <v>637201.375</v>
      </c>
      <c r="Q131" s="1231">
        <v>30.2</v>
      </c>
      <c r="R131" s="1026">
        <v>22655</v>
      </c>
      <c r="S131" s="933">
        <f t="shared" si="69"/>
        <v>684181</v>
      </c>
      <c r="T131" s="933">
        <f t="shared" si="79"/>
        <v>46979.625</v>
      </c>
      <c r="U131" s="1026"/>
      <c r="V131" s="1073"/>
      <c r="W131" s="1017"/>
      <c r="X131" s="1017"/>
      <c r="Y131" s="1017"/>
      <c r="Z131" s="1017"/>
    </row>
    <row r="132" spans="1:26" ht="18.75" customHeight="1">
      <c r="A132" s="751">
        <v>23</v>
      </c>
      <c r="B132" s="1039" t="s">
        <v>427</v>
      </c>
      <c r="C132" s="1034">
        <f>VLOOKUP(B132,NXT!$Q$72:$S$111,2,0)</f>
        <v>2.2999999999999998</v>
      </c>
      <c r="D132" s="1035">
        <f t="shared" si="71"/>
        <v>2300</v>
      </c>
      <c r="E132" s="1035"/>
      <c r="F132" s="1035">
        <v>245000</v>
      </c>
      <c r="G132" s="8">
        <f t="shared" si="72"/>
        <v>563500000</v>
      </c>
      <c r="H132" s="394">
        <f t="shared" si="66"/>
        <v>311894.62219331425</v>
      </c>
      <c r="I132" s="1035">
        <f t="shared" si="75"/>
        <v>263610.33769679128</v>
      </c>
      <c r="J132" s="1035">
        <f t="shared" si="75"/>
        <v>386663.92839234846</v>
      </c>
      <c r="K132" s="1035">
        <f t="shared" si="75"/>
        <v>243206.1979238902</v>
      </c>
      <c r="L132" s="1035">
        <f>$Y$123/SUM($O$131:$O$132)*O132</f>
        <v>3496000</v>
      </c>
      <c r="M132" s="1035"/>
      <c r="N132" s="25">
        <f t="shared" si="67"/>
        <v>568201375</v>
      </c>
      <c r="O132" s="394">
        <v>1000</v>
      </c>
      <c r="P132" s="1035">
        <f t="shared" si="68"/>
        <v>568201.375</v>
      </c>
      <c r="Q132" s="1231">
        <v>26.3</v>
      </c>
      <c r="R132" s="1026">
        <v>22655</v>
      </c>
      <c r="S132" s="933">
        <f t="shared" si="69"/>
        <v>595826.5</v>
      </c>
      <c r="T132" s="933">
        <f t="shared" si="79"/>
        <v>27625.125</v>
      </c>
      <c r="U132" s="1026"/>
      <c r="V132" s="1073"/>
      <c r="W132" s="1017"/>
      <c r="X132" s="1017"/>
      <c r="Y132" s="1017"/>
      <c r="Z132" s="1017"/>
    </row>
    <row r="133" spans="1:26" ht="18.75" customHeight="1">
      <c r="A133" s="751">
        <v>24</v>
      </c>
      <c r="B133" s="1039" t="s">
        <v>428</v>
      </c>
      <c r="C133" s="1034">
        <f>VLOOKUP(B133,NXT!$Q$72:$S$111,2,0)</f>
        <v>10.5</v>
      </c>
      <c r="D133" s="1035">
        <f t="shared" si="71"/>
        <v>16800</v>
      </c>
      <c r="E133" s="1035"/>
      <c r="F133" s="1035">
        <f>VLOOKUP(B133,NXT!$Q$72:$S$111,3,0)</f>
        <v>17000</v>
      </c>
      <c r="G133" s="8">
        <f t="shared" si="72"/>
        <v>285600000</v>
      </c>
      <c r="H133" s="394">
        <f t="shared" si="66"/>
        <v>2278186.8055859478</v>
      </c>
      <c r="I133" s="1035">
        <f t="shared" si="75"/>
        <v>1925501.5970896056</v>
      </c>
      <c r="J133" s="1035">
        <f t="shared" si="75"/>
        <v>2824327.824778893</v>
      </c>
      <c r="K133" s="1035">
        <f t="shared" si="75"/>
        <v>1776462.6630962414</v>
      </c>
      <c r="L133" s="1035">
        <f>Y124+Y125</f>
        <v>20763000</v>
      </c>
      <c r="M133" s="1035"/>
      <c r="N133" s="25">
        <f t="shared" si="67"/>
        <v>315167479</v>
      </c>
      <c r="O133" s="394">
        <v>1600</v>
      </c>
      <c r="P133" s="1035">
        <f t="shared" si="68"/>
        <v>196979.674375</v>
      </c>
      <c r="Q133" s="1231">
        <v>8.9</v>
      </c>
      <c r="R133" s="1026">
        <v>22655</v>
      </c>
      <c r="S133" s="933">
        <f t="shared" si="69"/>
        <v>201629.5</v>
      </c>
      <c r="T133" s="933">
        <f t="shared" si="79"/>
        <v>4649.8256249999977</v>
      </c>
      <c r="U133" s="1026"/>
      <c r="V133" s="1073"/>
      <c r="W133" s="1017"/>
      <c r="X133" s="1017"/>
      <c r="Y133" s="1017"/>
      <c r="Z133" s="1017"/>
    </row>
    <row r="134" spans="1:26" ht="18.75" customHeight="1">
      <c r="A134" s="751">
        <v>25</v>
      </c>
      <c r="B134" s="1039" t="s">
        <v>843</v>
      </c>
      <c r="C134" s="1034">
        <f>VLOOKUP(B134,NXT!$Q$72:$S$111,2,0)</f>
        <v>11.5</v>
      </c>
      <c r="D134" s="1035">
        <f t="shared" si="71"/>
        <v>69000</v>
      </c>
      <c r="E134" s="1035"/>
      <c r="F134" s="1035">
        <f>VLOOKUP(B134,NXT!$Q$72:$S$111,3,0)</f>
        <v>18200</v>
      </c>
      <c r="G134" s="8">
        <f t="shared" si="72"/>
        <v>1255800000</v>
      </c>
      <c r="H134" s="394">
        <f t="shared" si="66"/>
        <v>9356838.6657994278</v>
      </c>
      <c r="I134" s="1035">
        <f t="shared" si="75"/>
        <v>7908310.1309037376</v>
      </c>
      <c r="J134" s="1035">
        <f t="shared" si="75"/>
        <v>11599917.851770453</v>
      </c>
      <c r="K134" s="1035">
        <f t="shared" si="75"/>
        <v>7296185.9377167057</v>
      </c>
      <c r="L134" s="1035">
        <f>Y126</f>
        <v>8514000</v>
      </c>
      <c r="M134" s="1035"/>
      <c r="N134" s="25">
        <f t="shared" si="67"/>
        <v>1300475253</v>
      </c>
      <c r="O134" s="394">
        <v>6000</v>
      </c>
      <c r="P134" s="1035">
        <f t="shared" si="68"/>
        <v>216745.87549999999</v>
      </c>
      <c r="Q134" s="1231">
        <v>9.85</v>
      </c>
      <c r="R134" s="1026">
        <v>22690</v>
      </c>
      <c r="S134" s="933">
        <f t="shared" si="69"/>
        <v>223496.5</v>
      </c>
      <c r="T134" s="933">
        <f t="shared" si="79"/>
        <v>6750.6245000000054</v>
      </c>
      <c r="U134" s="1026"/>
      <c r="V134" s="1073"/>
      <c r="W134" s="1017"/>
      <c r="X134" s="1017"/>
      <c r="Y134" s="1017"/>
      <c r="Z134" s="1017"/>
    </row>
    <row r="135" spans="1:26" ht="18.75" customHeight="1">
      <c r="A135" s="751">
        <v>26</v>
      </c>
      <c r="B135" s="1039" t="s">
        <v>851</v>
      </c>
      <c r="C135" s="1034">
        <f>VLOOKUP(B135,NXT!$Q$72:$S$111,2,0)</f>
        <v>5</v>
      </c>
      <c r="D135" s="1035">
        <f t="shared" si="71"/>
        <v>15000</v>
      </c>
      <c r="E135" s="1035"/>
      <c r="F135" s="1035">
        <f>VLOOKUP(B135,NXT!$Q$72:$S$111,3,0)</f>
        <v>19500</v>
      </c>
      <c r="G135" s="8">
        <f t="shared" si="72"/>
        <v>292500000</v>
      </c>
      <c r="H135" s="394">
        <f t="shared" si="66"/>
        <v>2034095.3621303104</v>
      </c>
      <c r="I135" s="1035">
        <f t="shared" si="75"/>
        <v>1719197.8545442908</v>
      </c>
      <c r="J135" s="1035">
        <f t="shared" si="75"/>
        <v>2521721.2721240115</v>
      </c>
      <c r="K135" s="1035">
        <f t="shared" si="75"/>
        <v>1586127.3777645011</v>
      </c>
      <c r="L135" s="1035">
        <f>Y127</f>
        <v>4494000</v>
      </c>
      <c r="M135" s="1035"/>
      <c r="N135" s="25">
        <f t="shared" si="67"/>
        <v>304855142</v>
      </c>
      <c r="O135" s="394">
        <v>3000</v>
      </c>
      <c r="P135" s="1035">
        <f t="shared" si="68"/>
        <v>101618.38066666666</v>
      </c>
      <c r="Q135" s="1231">
        <v>4.55</v>
      </c>
      <c r="R135" s="1026">
        <v>22690</v>
      </c>
      <c r="S135" s="933">
        <f t="shared" si="69"/>
        <v>103239.5</v>
      </c>
      <c r="T135" s="933">
        <f t="shared" si="79"/>
        <v>1621.1193333333358</v>
      </c>
      <c r="U135" s="1026"/>
      <c r="V135" s="1073"/>
      <c r="W135" s="1017"/>
      <c r="X135" s="1017"/>
      <c r="Y135" s="1017"/>
      <c r="Z135" s="1017"/>
    </row>
    <row r="136" spans="1:26" ht="18.75" customHeight="1">
      <c r="A136" s="751" t="str">
        <f>IF(B136&lt;&gt;"",#REF!+1,"")</f>
        <v/>
      </c>
      <c r="B136" s="1040"/>
      <c r="C136" s="1041"/>
      <c r="D136" s="1042"/>
      <c r="E136" s="1042"/>
      <c r="F136" s="1042"/>
      <c r="G136" s="1043"/>
      <c r="H136" s="1044"/>
      <c r="I136" s="1042"/>
      <c r="J136" s="8"/>
      <c r="K136" s="1042"/>
      <c r="L136" s="1044"/>
      <c r="M136" s="1042"/>
      <c r="N136" s="25"/>
      <c r="O136" s="1045"/>
      <c r="P136" s="1042"/>
      <c r="Q136" s="1231"/>
      <c r="S136" s="933"/>
      <c r="T136" s="933">
        <f t="shared" si="79"/>
        <v>0</v>
      </c>
      <c r="U136" s="1026"/>
      <c r="V136" s="1073"/>
      <c r="W136" s="1017"/>
      <c r="X136" s="1017"/>
      <c r="Y136" s="1017"/>
      <c r="Z136" s="1017"/>
    </row>
    <row r="137" spans="1:26" ht="18.75" customHeight="1">
      <c r="A137" s="1046"/>
      <c r="B137" s="1047" t="s">
        <v>511</v>
      </c>
      <c r="C137" s="1048"/>
      <c r="D137" s="832">
        <f>SUM(D112:D136)</f>
        <v>562398</v>
      </c>
      <c r="E137" s="832">
        <f>SUM(E110:E136)</f>
        <v>169885.5</v>
      </c>
      <c r="F137" s="832"/>
      <c r="G137" s="832">
        <f>SUM(G110:G126)</f>
        <v>18530357400</v>
      </c>
      <c r="H137" s="832">
        <v>80872255</v>
      </c>
      <c r="I137" s="832">
        <f>Y118</f>
        <v>64458229</v>
      </c>
      <c r="J137" s="832">
        <v>94547400</v>
      </c>
      <c r="K137" s="832">
        <v>59468991</v>
      </c>
      <c r="L137" s="832">
        <f>SUM(L110:L135)</f>
        <v>256963300</v>
      </c>
      <c r="M137" s="832"/>
      <c r="N137" s="832">
        <f>ROUND(SUM(N110:N136),0)</f>
        <v>22912248958</v>
      </c>
      <c r="O137" s="832">
        <f>ROUND(SUM(O110:O136),0)</f>
        <v>318572</v>
      </c>
      <c r="P137" s="832"/>
      <c r="Q137" s="1231"/>
      <c r="S137" s="933"/>
      <c r="T137" s="933"/>
      <c r="U137" s="1026"/>
      <c r="V137" s="1073"/>
      <c r="W137" s="1017"/>
      <c r="X137" s="1017"/>
      <c r="Y137" s="1017"/>
      <c r="Z137" s="1017"/>
    </row>
    <row r="138" spans="1:26" ht="18.75" customHeight="1">
      <c r="A138" s="1020"/>
      <c r="B138" s="1020"/>
      <c r="C138" s="1020"/>
      <c r="D138" s="1020"/>
      <c r="E138" s="1020"/>
      <c r="F138" s="1020"/>
      <c r="G138" s="1020"/>
      <c r="H138" s="1020"/>
      <c r="I138" s="1020"/>
      <c r="J138" s="1020"/>
      <c r="K138" s="1020"/>
      <c r="L138" s="1020"/>
      <c r="M138" s="1020"/>
      <c r="N138" s="1020"/>
      <c r="O138" s="1096"/>
      <c r="P138" s="1020"/>
      <c r="Q138" s="1231"/>
      <c r="S138" s="933"/>
      <c r="T138" s="933"/>
      <c r="U138" s="1026"/>
      <c r="V138" s="1073"/>
      <c r="W138" s="1017"/>
      <c r="X138" s="1017"/>
      <c r="Y138" s="1017"/>
      <c r="Z138" s="1017"/>
    </row>
    <row r="139" spans="1:26" ht="15.75" customHeight="1">
      <c r="A139" s="1023" t="s">
        <v>495</v>
      </c>
      <c r="B139" s="1023"/>
      <c r="C139" s="1082"/>
      <c r="D139" s="1025"/>
      <c r="E139" s="1025"/>
      <c r="F139" s="1025"/>
      <c r="G139" s="437"/>
      <c r="H139" s="437"/>
      <c r="I139" s="437"/>
      <c r="J139" s="437"/>
      <c r="K139" s="437"/>
      <c r="L139" s="437"/>
      <c r="M139" s="437"/>
      <c r="N139" s="437"/>
      <c r="O139" s="918"/>
      <c r="P139" s="437"/>
      <c r="Q139" s="1231"/>
      <c r="S139" s="933"/>
      <c r="T139" s="933"/>
      <c r="U139" s="1026"/>
      <c r="V139" s="1073"/>
      <c r="W139" s="1206"/>
      <c r="X139" s="1206"/>
      <c r="Y139" s="1017"/>
      <c r="Z139" s="1017"/>
    </row>
    <row r="140" spans="1:26" ht="15.75" customHeight="1">
      <c r="A140" s="1028" t="s">
        <v>909</v>
      </c>
      <c r="B140" s="1028"/>
      <c r="C140" s="1028"/>
      <c r="D140" s="1028"/>
      <c r="E140" s="1028"/>
      <c r="F140" s="1028"/>
      <c r="G140" s="1028"/>
      <c r="H140" s="1028"/>
      <c r="I140" s="1028"/>
      <c r="J140" s="1028"/>
      <c r="K140" s="1028"/>
      <c r="L140" s="1028"/>
      <c r="M140" s="1028"/>
      <c r="N140" s="1028"/>
      <c r="O140" s="1052"/>
      <c r="P140" s="1028"/>
      <c r="Q140" s="1231"/>
      <c r="S140" s="933"/>
      <c r="T140" s="933"/>
      <c r="U140" s="437"/>
      <c r="V140" s="1027"/>
      <c r="W140" s="437"/>
      <c r="X140" s="437"/>
      <c r="Y140" s="1020"/>
      <c r="Z140" s="1020"/>
    </row>
    <row r="141" spans="1:26">
      <c r="A141" s="1029"/>
      <c r="B141" s="1029"/>
      <c r="C141" s="1030"/>
      <c r="D141" s="1029"/>
      <c r="E141" s="1029"/>
      <c r="F141" s="1029"/>
      <c r="G141" s="1029"/>
      <c r="H141" s="1029"/>
      <c r="I141" s="1029"/>
      <c r="J141" s="1029"/>
      <c r="K141" s="1029"/>
      <c r="L141" s="1029"/>
      <c r="M141" s="1029"/>
      <c r="N141" s="1029"/>
      <c r="O141" s="1031"/>
      <c r="P141" s="1029"/>
      <c r="Q141" s="1231"/>
      <c r="S141" s="933"/>
      <c r="T141" s="933"/>
      <c r="U141" s="437"/>
      <c r="V141" s="1027"/>
      <c r="W141" s="437"/>
      <c r="X141" s="437"/>
      <c r="Y141" s="1020"/>
      <c r="Z141" s="1020"/>
    </row>
    <row r="142" spans="1:26" ht="36.75" customHeight="1">
      <c r="A142" s="650" t="s">
        <v>37</v>
      </c>
      <c r="B142" s="650" t="s">
        <v>496</v>
      </c>
      <c r="C142" s="651" t="s">
        <v>497</v>
      </c>
      <c r="D142" s="652" t="s">
        <v>498</v>
      </c>
      <c r="E142" s="652" t="s">
        <v>499</v>
      </c>
      <c r="F142" s="652" t="s">
        <v>500</v>
      </c>
      <c r="G142" s="652" t="s">
        <v>501</v>
      </c>
      <c r="H142" s="652" t="s">
        <v>502</v>
      </c>
      <c r="I142" s="652" t="s">
        <v>503</v>
      </c>
      <c r="J142" s="652" t="s">
        <v>504</v>
      </c>
      <c r="K142" s="653" t="s">
        <v>505</v>
      </c>
      <c r="L142" s="652" t="s">
        <v>506</v>
      </c>
      <c r="M142" s="653" t="s">
        <v>507</v>
      </c>
      <c r="N142" s="652" t="s">
        <v>508</v>
      </c>
      <c r="O142" s="654" t="s">
        <v>499</v>
      </c>
      <c r="P142" s="652" t="s">
        <v>509</v>
      </c>
      <c r="Q142" s="1231"/>
      <c r="S142" s="933"/>
      <c r="T142" s="933"/>
      <c r="U142" s="650" t="s">
        <v>496</v>
      </c>
      <c r="V142" s="652" t="s">
        <v>464</v>
      </c>
      <c r="W142" s="652" t="s">
        <v>327</v>
      </c>
      <c r="X142" s="652" t="s">
        <v>500</v>
      </c>
      <c r="Y142" s="652" t="s">
        <v>510</v>
      </c>
      <c r="Z142" s="650" t="s">
        <v>510</v>
      </c>
    </row>
    <row r="143" spans="1:26" ht="19.5" customHeight="1">
      <c r="A143" s="751">
        <v>1</v>
      </c>
      <c r="B143" s="1074" t="s">
        <v>431</v>
      </c>
      <c r="C143" s="1034">
        <f>VLOOKUP(B143,NXT!$Q$72:$S$111,2,0)</f>
        <v>3.2</v>
      </c>
      <c r="D143" s="1035">
        <f t="shared" ref="D143" si="84">ROUND(C143*O143,0)</f>
        <v>792842</v>
      </c>
      <c r="E143" s="1035"/>
      <c r="F143" s="1035">
        <v>18200</v>
      </c>
      <c r="G143" s="796">
        <f t="shared" ref="G143:G146" si="85">(D143+E143)*F143</f>
        <v>14429724400</v>
      </c>
      <c r="H143" s="1035">
        <f>IF($D$148&lt;&gt;0,H$148/($D$148+$E$148/5)*($D143+$E143/5),0)</f>
        <v>64884052.278655723</v>
      </c>
      <c r="I143" s="1035">
        <f t="shared" ref="I143:K146" si="86">IF($D$148&lt;&gt;0,I$148/$D$148*$D143,0)</f>
        <v>51536567.46838776</v>
      </c>
      <c r="J143" s="1035">
        <f t="shared" si="86"/>
        <v>62786598.920148745</v>
      </c>
      <c r="K143" s="1035">
        <f t="shared" si="86"/>
        <v>47592504.797073163</v>
      </c>
      <c r="L143" s="25">
        <f>Y152+Y153</f>
        <v>162945800</v>
      </c>
      <c r="M143" s="1035"/>
      <c r="N143" s="25">
        <f t="shared" ref="N143" si="87">ROUND(SUM(G143:M143),0)</f>
        <v>14819469923</v>
      </c>
      <c r="O143" s="1156">
        <v>247763.20000000001</v>
      </c>
      <c r="P143" s="1035">
        <f>IF(N143&lt;&gt;0,N143/O143,0)</f>
        <v>59813.038913769276</v>
      </c>
      <c r="Q143" s="1231">
        <v>2.7</v>
      </c>
      <c r="R143" s="1026">
        <v>22700</v>
      </c>
      <c r="S143" s="933">
        <f t="shared" ref="S143:S147" si="88">Q143*R143</f>
        <v>61290.000000000007</v>
      </c>
      <c r="T143" s="933">
        <f t="shared" si="79"/>
        <v>1476.9610862307309</v>
      </c>
      <c r="U143" s="657" t="s">
        <v>329</v>
      </c>
      <c r="V143" s="1077">
        <v>42917</v>
      </c>
      <c r="W143" s="81">
        <v>150</v>
      </c>
      <c r="X143" s="1085">
        <v>32200</v>
      </c>
      <c r="Y143" s="25">
        <f t="shared" ref="Y143:Y145" si="89">ROUND(W143*X143,0)</f>
        <v>4830000</v>
      </c>
      <c r="Z143" s="25"/>
    </row>
    <row r="144" spans="1:26" ht="19.5" customHeight="1">
      <c r="A144" s="751">
        <f>IF(B144&lt;&gt;"",A143+1,"")</f>
        <v>2</v>
      </c>
      <c r="B144" s="1074" t="s">
        <v>918</v>
      </c>
      <c r="C144" s="1034">
        <f>VLOOKUP(B144,NXT!$Q$72:$S$111,2,0)</f>
        <v>11.5</v>
      </c>
      <c r="D144" s="1035">
        <f t="shared" ref="D144:D146" si="90">ROUND(C144*O144,0)</f>
        <v>92000</v>
      </c>
      <c r="E144" s="1035"/>
      <c r="F144" s="1035">
        <f>VLOOKUP(B144,NXT!$Q$72:$S$111,3,0)</f>
        <v>15400</v>
      </c>
      <c r="G144" s="796">
        <f t="shared" si="85"/>
        <v>1416800000</v>
      </c>
      <c r="H144" s="1035">
        <f>IF($D$148&lt;&gt;0,H$148/($D$148+$E$148/5)*($D144+$E144/5),0)</f>
        <v>7529032.0260989284</v>
      </c>
      <c r="I144" s="1035">
        <f t="shared" si="86"/>
        <v>5980213.2166203018</v>
      </c>
      <c r="J144" s="1035">
        <f t="shared" si="86"/>
        <v>7285647.2041764753</v>
      </c>
      <c r="K144" s="1035">
        <f t="shared" si="86"/>
        <v>5522551.0774287069</v>
      </c>
      <c r="L144" s="25">
        <f>$Y$154/($O$144+$O$146)*O144</f>
        <v>7523466.666666666</v>
      </c>
      <c r="M144" s="1035"/>
      <c r="N144" s="25">
        <f t="shared" ref="N144:N146" si="91">ROUND(SUM(G144:M144),0)</f>
        <v>1450640910</v>
      </c>
      <c r="O144" s="1156">
        <v>8000</v>
      </c>
      <c r="P144" s="1035">
        <f t="shared" ref="P144:P146" si="92">IF(N144&lt;&gt;0,N144/O144,0)</f>
        <v>181330.11374999999</v>
      </c>
      <c r="Q144" s="1232">
        <v>8</v>
      </c>
      <c r="R144" s="1026">
        <v>22710</v>
      </c>
      <c r="S144" s="933">
        <f t="shared" si="88"/>
        <v>181680</v>
      </c>
      <c r="T144" s="933">
        <f t="shared" si="79"/>
        <v>349.88625000001048</v>
      </c>
      <c r="U144" s="657" t="s">
        <v>335</v>
      </c>
      <c r="V144" s="1077">
        <v>42917</v>
      </c>
      <c r="W144" s="81">
        <v>150</v>
      </c>
      <c r="X144" s="872">
        <v>49808.000000000007</v>
      </c>
      <c r="Y144" s="25">
        <f t="shared" si="89"/>
        <v>7471200</v>
      </c>
      <c r="Z144" s="8"/>
    </row>
    <row r="145" spans="1:26" ht="19.5" customHeight="1">
      <c r="A145" s="751">
        <f>IF(B145&lt;&gt;"",A144+1,"")</f>
        <v>3</v>
      </c>
      <c r="B145" s="1074" t="s">
        <v>843</v>
      </c>
      <c r="C145" s="1034">
        <f>VLOOKUP(B145,NXT!$Q$72:$S$111,2,0)</f>
        <v>11.5</v>
      </c>
      <c r="D145" s="1035">
        <f t="shared" si="90"/>
        <v>67850</v>
      </c>
      <c r="E145" s="1035"/>
      <c r="F145" s="1035">
        <v>18900</v>
      </c>
      <c r="G145" s="796">
        <f t="shared" si="85"/>
        <v>1282365000</v>
      </c>
      <c r="H145" s="1035">
        <f>IF($D$148&lt;&gt;0,H$148/($D$148+$E$148/5)*($D145+$E145/5),0)</f>
        <v>5552661.1192479599</v>
      </c>
      <c r="I145" s="1035">
        <f t="shared" si="86"/>
        <v>4410407.2472574729</v>
      </c>
      <c r="J145" s="1035">
        <f t="shared" si="86"/>
        <v>5373164.8130801506</v>
      </c>
      <c r="K145" s="1035">
        <f t="shared" si="86"/>
        <v>4072881.4196036714</v>
      </c>
      <c r="L145" s="25">
        <f>Y155</f>
        <v>6534000</v>
      </c>
      <c r="M145" s="1035"/>
      <c r="N145" s="25">
        <f t="shared" si="91"/>
        <v>1308308115</v>
      </c>
      <c r="O145" s="1156">
        <v>5900</v>
      </c>
      <c r="P145" s="1035">
        <f t="shared" si="92"/>
        <v>221747.13813559321</v>
      </c>
      <c r="Q145" s="1232">
        <v>9.85</v>
      </c>
      <c r="R145" s="1026">
        <v>22700</v>
      </c>
      <c r="S145" s="933">
        <f t="shared" si="88"/>
        <v>223595</v>
      </c>
      <c r="T145" s="933">
        <f t="shared" si="79"/>
        <v>1847.8618644067901</v>
      </c>
      <c r="U145" s="657" t="s">
        <v>338</v>
      </c>
      <c r="V145" s="1077">
        <v>42917</v>
      </c>
      <c r="W145" s="81">
        <v>400</v>
      </c>
      <c r="X145" s="872">
        <v>16476.189999999999</v>
      </c>
      <c r="Y145" s="25">
        <f t="shared" si="89"/>
        <v>6590476</v>
      </c>
      <c r="Z145" s="8"/>
    </row>
    <row r="146" spans="1:26" ht="19.5" customHeight="1">
      <c r="A146" s="751">
        <f>IF(B146&lt;&gt;"",A145+1,"")</f>
        <v>4</v>
      </c>
      <c r="B146" s="1039" t="s">
        <v>857</v>
      </c>
      <c r="C146" s="1034">
        <f>VLOOKUP(B146,NXT!$Q$72:$S$111,2,0)</f>
        <v>9.5</v>
      </c>
      <c r="D146" s="1035">
        <f t="shared" si="90"/>
        <v>38000</v>
      </c>
      <c r="E146" s="1035"/>
      <c r="F146" s="1035">
        <f>VLOOKUP(B146,NXT!$Q$72:$S$111,3,0)</f>
        <v>18500</v>
      </c>
      <c r="G146" s="796">
        <f t="shared" si="85"/>
        <v>703000000</v>
      </c>
      <c r="H146" s="1035">
        <f>IF($D$148&lt;&gt;0,H$148/($D$148+$E$148/5)*($D146+$E146/5),0)</f>
        <v>3109817.5759973833</v>
      </c>
      <c r="I146" s="1035">
        <f t="shared" si="86"/>
        <v>2470088.0677344725</v>
      </c>
      <c r="J146" s="1035">
        <f t="shared" si="86"/>
        <v>3009289.0625946312</v>
      </c>
      <c r="K146" s="1035">
        <f t="shared" si="86"/>
        <v>2281053.705894466</v>
      </c>
      <c r="L146" s="25">
        <f>$Y$154/($O$144+$O$146)*O146</f>
        <v>3761733.333333333</v>
      </c>
      <c r="M146" s="1035"/>
      <c r="N146" s="25">
        <f t="shared" si="91"/>
        <v>717631982</v>
      </c>
      <c r="O146" s="1156">
        <v>4000</v>
      </c>
      <c r="P146" s="1035">
        <f t="shared" si="92"/>
        <v>179407.99549999999</v>
      </c>
      <c r="Q146" s="1232">
        <v>7.95</v>
      </c>
      <c r="R146" s="1026">
        <v>22700</v>
      </c>
      <c r="S146" s="933">
        <f t="shared" si="88"/>
        <v>180465</v>
      </c>
      <c r="T146" s="933">
        <f t="shared" si="79"/>
        <v>1057.00450000001</v>
      </c>
      <c r="U146" s="657" t="s">
        <v>798</v>
      </c>
      <c r="V146" s="1077">
        <v>42917</v>
      </c>
      <c r="W146" s="81">
        <v>40</v>
      </c>
      <c r="X146" s="872">
        <v>53000</v>
      </c>
      <c r="Y146" s="25">
        <f t="shared" ref="Y146:Y149" si="93">ROUND(W146*X146,0)</f>
        <v>2120000</v>
      </c>
      <c r="Z146" s="8"/>
    </row>
    <row r="147" spans="1:26" ht="19.5" customHeight="1">
      <c r="A147" s="751"/>
      <c r="B147" s="1039"/>
      <c r="C147" s="1034"/>
      <c r="D147" s="1035"/>
      <c r="E147" s="1035"/>
      <c r="F147" s="1035"/>
      <c r="G147" s="25"/>
      <c r="H147" s="1035"/>
      <c r="I147" s="1035"/>
      <c r="J147" s="1035"/>
      <c r="K147" s="1035"/>
      <c r="L147" s="1035"/>
      <c r="M147" s="1035"/>
      <c r="N147" s="25"/>
      <c r="O147" s="394"/>
      <c r="P147" s="1035"/>
      <c r="Q147" s="1232"/>
      <c r="S147" s="933">
        <f t="shared" si="88"/>
        <v>0</v>
      </c>
      <c r="T147" s="933">
        <f t="shared" si="79"/>
        <v>0</v>
      </c>
      <c r="U147" s="657" t="s">
        <v>343</v>
      </c>
      <c r="V147" s="1077">
        <v>42917</v>
      </c>
      <c r="W147" s="81">
        <v>600</v>
      </c>
      <c r="X147" s="872">
        <v>3200</v>
      </c>
      <c r="Y147" s="25">
        <f t="shared" si="93"/>
        <v>1920000</v>
      </c>
      <c r="Z147" s="8"/>
    </row>
    <row r="148" spans="1:26" ht="19.5" customHeight="1">
      <c r="A148" s="1046"/>
      <c r="B148" s="1047" t="s">
        <v>511</v>
      </c>
      <c r="C148" s="1048"/>
      <c r="D148" s="832">
        <f>SUM(D143:D147)</f>
        <v>990692</v>
      </c>
      <c r="E148" s="832">
        <f>SUM(E144:E147)</f>
        <v>0</v>
      </c>
      <c r="F148" s="832"/>
      <c r="G148" s="832">
        <f>SUM(G143:G147)</f>
        <v>17831889400</v>
      </c>
      <c r="H148" s="832">
        <v>81075563</v>
      </c>
      <c r="I148" s="832">
        <f>Y151</f>
        <v>64397276</v>
      </c>
      <c r="J148" s="832">
        <v>78454700</v>
      </c>
      <c r="K148" s="832">
        <v>59468991</v>
      </c>
      <c r="L148" s="832">
        <f>ROUND(SUM(L143:L147),0)</f>
        <v>180765000</v>
      </c>
      <c r="M148" s="832">
        <f>ROUND(SUM(M143:M147),0)</f>
        <v>0</v>
      </c>
      <c r="N148" s="832">
        <f>ROUND(SUM(N143:N147),0)</f>
        <v>18296050930</v>
      </c>
      <c r="O148" s="832">
        <f>ROUND(SUM(O143:O147),0)</f>
        <v>265663</v>
      </c>
      <c r="P148" s="832"/>
      <c r="Q148" s="1232"/>
      <c r="S148" s="1026"/>
      <c r="T148" s="933"/>
      <c r="U148" s="657" t="s">
        <v>823</v>
      </c>
      <c r="V148" s="1077">
        <v>42918</v>
      </c>
      <c r="W148" s="81">
        <v>2700</v>
      </c>
      <c r="X148" s="872">
        <v>14728</v>
      </c>
      <c r="Y148" s="25">
        <f t="shared" si="93"/>
        <v>39765600</v>
      </c>
      <c r="Z148" s="8"/>
    </row>
    <row r="149" spans="1:26" ht="19.5" customHeight="1">
      <c r="A149" s="1020"/>
      <c r="B149" s="1020"/>
      <c r="C149" s="1020"/>
      <c r="D149" s="1020"/>
      <c r="E149" s="1020"/>
      <c r="F149" s="1020"/>
      <c r="G149" s="1020"/>
      <c r="H149" s="1020"/>
      <c r="I149" s="1020"/>
      <c r="J149" s="1020"/>
      <c r="K149" s="1020"/>
      <c r="L149" s="1020"/>
      <c r="M149" s="1020"/>
      <c r="N149" s="1020"/>
      <c r="O149" s="1020"/>
      <c r="P149" s="1020"/>
      <c r="Q149" s="1232"/>
      <c r="S149" s="1026"/>
      <c r="T149" s="933"/>
      <c r="U149" s="657" t="s">
        <v>348</v>
      </c>
      <c r="V149" s="1077">
        <v>42918</v>
      </c>
      <c r="W149" s="1085">
        <v>200</v>
      </c>
      <c r="X149" s="1094">
        <v>8500</v>
      </c>
      <c r="Y149" s="25">
        <f t="shared" si="93"/>
        <v>1700000</v>
      </c>
      <c r="Z149" s="8"/>
    </row>
    <row r="150" spans="1:26" ht="19.5" customHeight="1">
      <c r="A150" s="1020"/>
      <c r="B150" s="1020"/>
      <c r="C150" s="1020"/>
      <c r="D150" s="1020"/>
      <c r="E150" s="1020"/>
      <c r="F150" s="1020"/>
      <c r="G150" s="1020"/>
      <c r="H150" s="1020"/>
      <c r="I150" s="1020"/>
      <c r="J150" s="1020"/>
      <c r="K150" s="1020"/>
      <c r="L150" s="1020"/>
      <c r="M150" s="1020"/>
      <c r="N150" s="1020"/>
      <c r="O150" s="1020"/>
      <c r="P150" s="1020"/>
      <c r="Q150" s="1232"/>
      <c r="S150" s="1026"/>
      <c r="T150" s="933"/>
      <c r="U150" s="443"/>
      <c r="V150" s="660"/>
      <c r="W150" s="81"/>
      <c r="X150" s="81"/>
      <c r="Y150" s="8"/>
      <c r="Z150" s="8"/>
    </row>
    <row r="151" spans="1:26" ht="19.5" customHeight="1">
      <c r="A151" s="1020"/>
      <c r="B151" s="1020"/>
      <c r="C151" s="1020"/>
      <c r="D151" s="1020"/>
      <c r="E151" s="1020"/>
      <c r="F151" s="1020"/>
      <c r="G151" s="1020"/>
      <c r="H151" s="1020"/>
      <c r="I151" s="1020"/>
      <c r="J151" s="1020"/>
      <c r="K151" s="1020"/>
      <c r="L151" s="1020"/>
      <c r="M151" s="1020"/>
      <c r="N151" s="1020"/>
      <c r="O151" s="1020"/>
      <c r="P151" s="1020"/>
      <c r="Q151" s="1232"/>
      <c r="S151" s="1026"/>
      <c r="T151" s="933"/>
      <c r="U151" s="1069"/>
      <c r="V151" s="1070"/>
      <c r="W151" s="1071"/>
      <c r="X151" s="1080"/>
      <c r="Y151" s="832">
        <f>SUM(Y143:Y150)</f>
        <v>64397276</v>
      </c>
      <c r="Z151" s="74">
        <f>SUM(Z143:Z150)</f>
        <v>0</v>
      </c>
    </row>
    <row r="152" spans="1:26" ht="19.5" customHeight="1">
      <c r="A152" s="1020"/>
      <c r="B152" s="1020"/>
      <c r="C152" s="1020"/>
      <c r="D152" s="1020"/>
      <c r="E152" s="1020"/>
      <c r="F152" s="1020"/>
      <c r="G152" s="1020"/>
      <c r="H152" s="1020"/>
      <c r="I152" s="1020"/>
      <c r="J152" s="1020"/>
      <c r="K152" s="1020"/>
      <c r="L152" s="1020"/>
      <c r="M152" s="1020"/>
      <c r="N152" s="1020"/>
      <c r="O152" s="1020"/>
      <c r="P152" s="1020"/>
      <c r="Q152" s="1233"/>
      <c r="S152" s="655"/>
      <c r="T152" s="933"/>
      <c r="U152" s="446" t="s">
        <v>789</v>
      </c>
      <c r="V152" s="1077">
        <v>42921</v>
      </c>
      <c r="W152" s="1230">
        <v>17413</v>
      </c>
      <c r="X152" s="872">
        <v>8800</v>
      </c>
      <c r="Y152" s="8">
        <f t="shared" ref="Y152:Y155" si="94">ROUND(W152*X152,0)</f>
        <v>153234400</v>
      </c>
      <c r="Z152" s="1158"/>
    </row>
    <row r="153" spans="1:26" ht="19.5" customHeight="1">
      <c r="A153" s="1020"/>
      <c r="B153" s="1020"/>
      <c r="C153" s="1020"/>
      <c r="D153" s="1020"/>
      <c r="E153" s="1020"/>
      <c r="F153" s="1020"/>
      <c r="G153" s="1020"/>
      <c r="H153" s="1020"/>
      <c r="I153" s="1020"/>
      <c r="J153" s="1020"/>
      <c r="K153" s="1020"/>
      <c r="L153" s="1020"/>
      <c r="M153" s="1020"/>
      <c r="N153" s="1020"/>
      <c r="O153" s="1020"/>
      <c r="P153" s="1020"/>
      <c r="Q153" s="1231"/>
      <c r="S153" s="933"/>
      <c r="T153" s="933"/>
      <c r="U153" s="446" t="s">
        <v>789</v>
      </c>
      <c r="V153" s="1077">
        <v>42922</v>
      </c>
      <c r="W153" s="8">
        <f>ROUND(O143/13,0)-W152</f>
        <v>1646</v>
      </c>
      <c r="X153" s="872">
        <v>5900</v>
      </c>
      <c r="Y153" s="8">
        <f t="shared" si="94"/>
        <v>9711400</v>
      </c>
      <c r="Z153" s="8"/>
    </row>
    <row r="154" spans="1:26" ht="19.5" customHeight="1">
      <c r="A154" s="1020"/>
      <c r="B154" s="1020"/>
      <c r="C154" s="1020"/>
      <c r="D154" s="1020"/>
      <c r="E154" s="1020"/>
      <c r="F154" s="1020"/>
      <c r="G154" s="1020"/>
      <c r="H154" s="1020"/>
      <c r="I154" s="1020"/>
      <c r="J154" s="1020"/>
      <c r="K154" s="1020"/>
      <c r="L154" s="1020"/>
      <c r="M154" s="1020"/>
      <c r="N154" s="1020"/>
      <c r="O154" s="1020"/>
      <c r="P154" s="1020"/>
      <c r="Q154" s="1231"/>
      <c r="S154" s="933"/>
      <c r="T154" s="933"/>
      <c r="U154" s="446" t="s">
        <v>370</v>
      </c>
      <c r="V154" s="1077">
        <v>42922</v>
      </c>
      <c r="W154" s="8">
        <v>1270</v>
      </c>
      <c r="X154" s="872">
        <v>8885.9842519685044</v>
      </c>
      <c r="Y154" s="8">
        <f t="shared" si="94"/>
        <v>11285200</v>
      </c>
      <c r="Z154" s="8"/>
    </row>
    <row r="155" spans="1:26" ht="19.5" customHeight="1">
      <c r="A155" s="1020"/>
      <c r="B155" s="1020"/>
      <c r="C155" s="1020"/>
      <c r="D155" s="1020"/>
      <c r="E155" s="1020"/>
      <c r="F155" s="1020"/>
      <c r="G155" s="1020"/>
      <c r="H155" s="1020"/>
      <c r="I155" s="1020"/>
      <c r="J155" s="1020"/>
      <c r="K155" s="1020"/>
      <c r="L155" s="1020"/>
      <c r="M155" s="1020"/>
      <c r="N155" s="1020"/>
      <c r="O155" s="1020"/>
      <c r="P155" s="1020"/>
      <c r="Q155" s="1231"/>
      <c r="S155" s="933"/>
      <c r="T155" s="933"/>
      <c r="U155" s="446" t="s">
        <v>853</v>
      </c>
      <c r="V155" s="1077">
        <v>42941</v>
      </c>
      <c r="W155" s="8">
        <v>594</v>
      </c>
      <c r="X155" s="872">
        <v>11000</v>
      </c>
      <c r="Y155" s="8">
        <f t="shared" si="94"/>
        <v>6534000</v>
      </c>
      <c r="Z155" s="8"/>
    </row>
    <row r="156" spans="1:26" ht="19.5" customHeight="1">
      <c r="A156" s="1020"/>
      <c r="B156" s="1020"/>
      <c r="C156" s="1020"/>
      <c r="D156" s="1020"/>
      <c r="E156" s="1020"/>
      <c r="F156" s="1020"/>
      <c r="G156" s="1020"/>
      <c r="H156" s="1020"/>
      <c r="I156" s="1020"/>
      <c r="J156" s="1020"/>
      <c r="K156" s="1020"/>
      <c r="L156" s="1020"/>
      <c r="M156" s="1020"/>
      <c r="N156" s="1020"/>
      <c r="O156" s="1020"/>
      <c r="P156" s="1020"/>
      <c r="Q156" s="1231"/>
      <c r="S156" s="933"/>
      <c r="T156" s="933"/>
      <c r="U156" s="446"/>
      <c r="V156" s="1077"/>
      <c r="W156" s="8"/>
      <c r="X156" s="872"/>
      <c r="Y156" s="8"/>
      <c r="Z156" s="8"/>
    </row>
    <row r="157" spans="1:26" ht="17.25" customHeight="1">
      <c r="A157" s="1023" t="s">
        <v>495</v>
      </c>
      <c r="B157" s="1023"/>
      <c r="C157" s="1024"/>
      <c r="D157" s="1025"/>
      <c r="E157" s="1025"/>
      <c r="F157" s="1025"/>
      <c r="G157" s="437"/>
      <c r="H157" s="437"/>
      <c r="I157" s="437"/>
      <c r="J157" s="437"/>
      <c r="K157" s="437"/>
      <c r="L157" s="437"/>
      <c r="M157" s="437"/>
      <c r="N157" s="437"/>
      <c r="O157" s="918"/>
      <c r="P157" s="437"/>
      <c r="Q157" s="1231"/>
      <c r="S157" s="933"/>
      <c r="T157" s="933"/>
      <c r="U157" s="437"/>
      <c r="V157" s="1027"/>
      <c r="W157" s="437"/>
      <c r="X157" s="437"/>
      <c r="Y157" s="1020"/>
      <c r="Z157" s="1020"/>
    </row>
    <row r="158" spans="1:26" ht="17.25" customHeight="1">
      <c r="A158" s="1028" t="s">
        <v>910</v>
      </c>
      <c r="B158" s="1028"/>
      <c r="C158" s="1028"/>
      <c r="D158" s="1028"/>
      <c r="E158" s="1028"/>
      <c r="F158" s="1028"/>
      <c r="G158" s="1028"/>
      <c r="H158" s="1028"/>
      <c r="I158" s="1028"/>
      <c r="J158" s="1028"/>
      <c r="K158" s="1028"/>
      <c r="L158" s="1028"/>
      <c r="M158" s="1028"/>
      <c r="N158" s="1028"/>
      <c r="O158" s="1028"/>
      <c r="P158" s="1028"/>
      <c r="Q158" s="1232"/>
      <c r="S158" s="1021"/>
      <c r="T158" s="933"/>
      <c r="U158" s="437"/>
      <c r="V158" s="1027"/>
      <c r="W158" s="437"/>
      <c r="X158" s="437"/>
      <c r="Y158" s="437"/>
      <c r="Z158" s="1020"/>
    </row>
    <row r="159" spans="1:26">
      <c r="A159" s="1029"/>
      <c r="B159" s="1029"/>
      <c r="C159" s="1030"/>
      <c r="D159" s="1029"/>
      <c r="E159" s="1029"/>
      <c r="F159" s="1029"/>
      <c r="G159" s="1029"/>
      <c r="H159" s="1029"/>
      <c r="I159" s="1029"/>
      <c r="J159" s="1029"/>
      <c r="K159" s="1029"/>
      <c r="L159" s="1029"/>
      <c r="M159" s="1029"/>
      <c r="N159" s="1029"/>
      <c r="O159" s="1031"/>
      <c r="P159" s="1029"/>
      <c r="Q159" s="1232"/>
      <c r="S159" s="1021"/>
      <c r="T159" s="933"/>
      <c r="U159" s="437"/>
      <c r="V159" s="1027"/>
      <c r="W159" s="437"/>
      <c r="X159" s="437"/>
      <c r="Y159" s="1020"/>
      <c r="Z159" s="1020"/>
    </row>
    <row r="160" spans="1:26" ht="34.5" customHeight="1">
      <c r="A160" s="650" t="s">
        <v>37</v>
      </c>
      <c r="B160" s="650" t="s">
        <v>496</v>
      </c>
      <c r="C160" s="651" t="s">
        <v>497</v>
      </c>
      <c r="D160" s="652" t="s">
        <v>498</v>
      </c>
      <c r="E160" s="652" t="s">
        <v>499</v>
      </c>
      <c r="F160" s="652" t="s">
        <v>500</v>
      </c>
      <c r="G160" s="652" t="s">
        <v>501</v>
      </c>
      <c r="H160" s="652" t="s">
        <v>502</v>
      </c>
      <c r="I160" s="652" t="s">
        <v>503</v>
      </c>
      <c r="J160" s="652" t="s">
        <v>504</v>
      </c>
      <c r="K160" s="653" t="s">
        <v>505</v>
      </c>
      <c r="L160" s="652" t="s">
        <v>506</v>
      </c>
      <c r="M160" s="653" t="s">
        <v>507</v>
      </c>
      <c r="N160" s="652" t="s">
        <v>508</v>
      </c>
      <c r="O160" s="654" t="s">
        <v>499</v>
      </c>
      <c r="P160" s="652" t="s">
        <v>509</v>
      </c>
      <c r="Q160" s="1232"/>
      <c r="S160" s="1021"/>
      <c r="T160" s="933"/>
      <c r="U160" s="650" t="s">
        <v>496</v>
      </c>
      <c r="V160" s="652" t="s">
        <v>464</v>
      </c>
      <c r="W160" s="652" t="s">
        <v>327</v>
      </c>
      <c r="X160" s="652" t="s">
        <v>500</v>
      </c>
      <c r="Y160" s="652" t="s">
        <v>510</v>
      </c>
      <c r="Z160" s="650" t="s">
        <v>510</v>
      </c>
    </row>
    <row r="161" spans="1:26" ht="18.75" customHeight="1">
      <c r="A161" s="751">
        <f>IF(B161&lt;&gt;"",ROW()-(ROW()-1),"")</f>
        <v>1</v>
      </c>
      <c r="B161" s="1074" t="s">
        <v>431</v>
      </c>
      <c r="C161" s="1034">
        <f>VLOOKUP(B161,NXT!$Q$72:$S$111,2,0)</f>
        <v>3.2</v>
      </c>
      <c r="D161" s="1035"/>
      <c r="E161" s="1035">
        <f>O161</f>
        <v>46374.3</v>
      </c>
      <c r="F161" s="1035">
        <f>G161/E161</f>
        <v>51497.933122440656</v>
      </c>
      <c r="G161" s="25">
        <v>2388180600</v>
      </c>
      <c r="H161" s="1035">
        <f t="shared" ref="H161:H166" si="95">IF($D$168&lt;&gt;0,H$168/($D$168+$E$168/5)*($D161+$E161/5),0)</f>
        <v>2499529.2245143126</v>
      </c>
      <c r="I161" s="1035"/>
      <c r="J161" s="1035"/>
      <c r="K161" s="1035"/>
      <c r="L161" s="25">
        <f>Y170</f>
        <v>21045300</v>
      </c>
      <c r="M161" s="1035"/>
      <c r="N161" s="25">
        <f>ROUND(SUM(G161:M161),0)</f>
        <v>2411725429</v>
      </c>
      <c r="O161" s="1156">
        <v>46374.3</v>
      </c>
      <c r="P161" s="1035">
        <f t="shared" ref="P161:P166" si="96">IF(N161&lt;&gt;0,N161/O161,0)</f>
        <v>52005.645993578335</v>
      </c>
      <c r="Q161" s="1232">
        <v>2.5499999999999998</v>
      </c>
      <c r="R161" s="1026">
        <v>22695</v>
      </c>
      <c r="S161" s="933">
        <f t="shared" ref="S161:S166" si="97">Q161*R161</f>
        <v>57872.249999999993</v>
      </c>
      <c r="T161" s="933">
        <f t="shared" si="79"/>
        <v>5866.6040064216577</v>
      </c>
      <c r="U161" s="657" t="s">
        <v>329</v>
      </c>
      <c r="V161" s="1077"/>
      <c r="W161" s="81"/>
      <c r="X161" s="1085"/>
      <c r="Y161" s="25">
        <f t="shared" ref="Y161:Y167" si="98">ROUND(W161*X161,0)</f>
        <v>0</v>
      </c>
      <c r="Z161" s="25"/>
    </row>
    <row r="162" spans="1:26" ht="18.75" customHeight="1">
      <c r="A162" s="751">
        <f>IF(B162&lt;&gt;"",A161+1,"")</f>
        <v>2</v>
      </c>
      <c r="B162" s="1074" t="s">
        <v>915</v>
      </c>
      <c r="C162" s="1034">
        <f>VLOOKUP(B162,NXT!$Q$72:$S$111,2,0)</f>
        <v>2.7</v>
      </c>
      <c r="D162" s="1035"/>
      <c r="E162" s="1035">
        <f>O162</f>
        <v>105560</v>
      </c>
      <c r="F162" s="1035">
        <f>G162/E162</f>
        <v>48000</v>
      </c>
      <c r="G162" s="25">
        <v>5066880000</v>
      </c>
      <c r="H162" s="1035">
        <f t="shared" si="95"/>
        <v>5689580.326597508</v>
      </c>
      <c r="I162" s="1035"/>
      <c r="J162" s="1035"/>
      <c r="K162" s="1035"/>
      <c r="L162" s="25">
        <f t="shared" ref="L162:L163" si="99">Y171</f>
        <v>47908000</v>
      </c>
      <c r="M162" s="1035"/>
      <c r="N162" s="25">
        <f t="shared" ref="N162:N166" si="100">ROUND(SUM(G162:M162),0)</f>
        <v>5120477580</v>
      </c>
      <c r="O162" s="1156">
        <v>105560</v>
      </c>
      <c r="P162" s="1035">
        <f t="shared" si="96"/>
        <v>48507.745168624482</v>
      </c>
      <c r="Q162" s="1232">
        <v>2.2000000000000002</v>
      </c>
      <c r="R162" s="1026">
        <v>22695</v>
      </c>
      <c r="S162" s="933">
        <f t="shared" si="97"/>
        <v>49929.000000000007</v>
      </c>
      <c r="T162" s="933">
        <f t="shared" si="79"/>
        <v>1421.2548313755251</v>
      </c>
      <c r="U162" s="657" t="s">
        <v>335</v>
      </c>
      <c r="V162" s="1077"/>
      <c r="W162" s="81"/>
      <c r="X162" s="872"/>
      <c r="Y162" s="25">
        <f t="shared" si="98"/>
        <v>0</v>
      </c>
      <c r="Z162" s="25"/>
    </row>
    <row r="163" spans="1:26" ht="18.75" customHeight="1">
      <c r="A163" s="751">
        <f>IF(B163&lt;&gt;"",A162+1,"")</f>
        <v>3</v>
      </c>
      <c r="B163" s="1074" t="s">
        <v>431</v>
      </c>
      <c r="C163" s="1034">
        <f>VLOOKUP(B163,NXT!$Q$72:$S$111,2,0)</f>
        <v>3.2</v>
      </c>
      <c r="D163" s="1035">
        <f t="shared" ref="D163:D166" si="101">ROUND(C163*O163,0)</f>
        <v>20498</v>
      </c>
      <c r="E163" s="1035"/>
      <c r="F163" s="1035">
        <v>17000</v>
      </c>
      <c r="G163" s="25">
        <f t="shared" ref="G163:G166" si="102">(D163+E163)*F163</f>
        <v>348466000</v>
      </c>
      <c r="H163" s="1035">
        <f t="shared" si="95"/>
        <v>5524110.3417296195</v>
      </c>
      <c r="I163" s="394">
        <f t="shared" ref="I163:K166" si="103">IF($D$168&lt;&gt;0,I$168/$D$168*$D163,0)</f>
        <v>281081.1147730017</v>
      </c>
      <c r="J163" s="394">
        <f t="shared" si="103"/>
        <v>7370111.6450926764</v>
      </c>
      <c r="K163" s="394">
        <f t="shared" si="103"/>
        <v>4748752.9217913654</v>
      </c>
      <c r="L163" s="25">
        <f t="shared" si="99"/>
        <v>2908700</v>
      </c>
      <c r="M163" s="1035"/>
      <c r="N163" s="25">
        <f t="shared" si="100"/>
        <v>369298756</v>
      </c>
      <c r="O163" s="1156">
        <v>6405.6999999999971</v>
      </c>
      <c r="P163" s="1035">
        <f t="shared" si="96"/>
        <v>57651.584682392269</v>
      </c>
      <c r="Q163" s="1232">
        <v>2.5499999999999998</v>
      </c>
      <c r="R163" s="1026">
        <v>22695</v>
      </c>
      <c r="S163" s="933">
        <f t="shared" si="97"/>
        <v>57872.249999999993</v>
      </c>
      <c r="T163" s="933">
        <f t="shared" si="79"/>
        <v>220.66531760772341</v>
      </c>
      <c r="U163" s="657" t="s">
        <v>338</v>
      </c>
      <c r="V163" s="1077"/>
      <c r="W163" s="81"/>
      <c r="X163" s="872"/>
      <c r="Y163" s="25">
        <f t="shared" si="98"/>
        <v>0</v>
      </c>
      <c r="Z163" s="25"/>
    </row>
    <row r="164" spans="1:26" ht="18.75" customHeight="1">
      <c r="A164" s="751">
        <f>IF(B164&lt;&gt;"",A163+1,"")</f>
        <v>4</v>
      </c>
      <c r="B164" s="1103" t="s">
        <v>843</v>
      </c>
      <c r="C164" s="1034">
        <f>VLOOKUP(B164,NXT!$Q$72:$S$111,2,0)</f>
        <v>11.5</v>
      </c>
      <c r="D164" s="1035">
        <f t="shared" si="101"/>
        <v>138000</v>
      </c>
      <c r="E164" s="1035"/>
      <c r="F164" s="1035">
        <f>VLOOKUP(B164,NXT!$Q$72:$S$111,3,0)</f>
        <v>18200</v>
      </c>
      <c r="G164" s="25">
        <f t="shared" si="102"/>
        <v>2511600000</v>
      </c>
      <c r="H164" s="1035">
        <f t="shared" si="95"/>
        <v>37190322.331870794</v>
      </c>
      <c r="I164" s="394">
        <f t="shared" si="103"/>
        <v>1892340.4155856296</v>
      </c>
      <c r="J164" s="394">
        <f t="shared" si="103"/>
        <v>49618275.296262532</v>
      </c>
      <c r="K164" s="394">
        <f t="shared" si="103"/>
        <v>31970333.847556271</v>
      </c>
      <c r="L164" s="25">
        <f>Y173</f>
        <v>16578000</v>
      </c>
      <c r="M164" s="1035"/>
      <c r="N164" s="25">
        <f t="shared" si="100"/>
        <v>2648849272</v>
      </c>
      <c r="O164" s="1156">
        <v>12000</v>
      </c>
      <c r="P164" s="1035">
        <f t="shared" si="96"/>
        <v>220737.43933333334</v>
      </c>
      <c r="Q164" s="1232">
        <v>9.75</v>
      </c>
      <c r="R164" s="1026">
        <v>22695</v>
      </c>
      <c r="S164" s="933">
        <f t="shared" si="97"/>
        <v>221276.25</v>
      </c>
      <c r="T164" s="933">
        <f t="shared" si="79"/>
        <v>538.8106666666572</v>
      </c>
      <c r="U164" s="657" t="s">
        <v>798</v>
      </c>
      <c r="V164" s="1077"/>
      <c r="W164" s="81"/>
      <c r="X164" s="872"/>
      <c r="Y164" s="25">
        <f t="shared" si="98"/>
        <v>0</v>
      </c>
      <c r="Z164" s="25"/>
    </row>
    <row r="165" spans="1:26" ht="18.75" customHeight="1">
      <c r="A165" s="751">
        <f>IF(B165&lt;&gt;"",A164+1,"")</f>
        <v>5</v>
      </c>
      <c r="B165" s="1103" t="s">
        <v>787</v>
      </c>
      <c r="C165" s="1034">
        <f>VLOOKUP(B165,NXT!$Q$72:$S$111,2,0)</f>
        <v>8.6999999999999993</v>
      </c>
      <c r="D165" s="1035">
        <f t="shared" si="101"/>
        <v>52200</v>
      </c>
      <c r="E165" s="1035"/>
      <c r="F165" s="1035">
        <f>VLOOKUP(B165,NXT!$Q$72:$S$111,3,0)</f>
        <v>18500</v>
      </c>
      <c r="G165" s="25">
        <f t="shared" si="102"/>
        <v>965700000</v>
      </c>
      <c r="H165" s="1035">
        <f t="shared" si="95"/>
        <v>14067643.66466417</v>
      </c>
      <c r="I165" s="394">
        <f t="shared" si="103"/>
        <v>715798.3311128252</v>
      </c>
      <c r="J165" s="394">
        <f t="shared" si="103"/>
        <v>18768651.959890608</v>
      </c>
      <c r="K165" s="394">
        <f t="shared" si="103"/>
        <v>12093126.281466937</v>
      </c>
      <c r="L165" s="25">
        <f>Y174</f>
        <v>6163080</v>
      </c>
      <c r="M165" s="1035"/>
      <c r="N165" s="25">
        <f t="shared" si="100"/>
        <v>1017508300</v>
      </c>
      <c r="O165" s="1156">
        <v>6000</v>
      </c>
      <c r="P165" s="1035">
        <f t="shared" si="96"/>
        <v>169584.71666666667</v>
      </c>
      <c r="Q165" s="1232">
        <v>7.5</v>
      </c>
      <c r="R165" s="1026">
        <v>22690</v>
      </c>
      <c r="S165" s="933">
        <f t="shared" si="97"/>
        <v>170175</v>
      </c>
      <c r="T165" s="933">
        <f t="shared" si="79"/>
        <v>590.28333333332557</v>
      </c>
      <c r="U165" s="657" t="s">
        <v>343</v>
      </c>
      <c r="V165" s="1077">
        <v>42948</v>
      </c>
      <c r="W165" s="81">
        <v>600</v>
      </c>
      <c r="X165" s="872">
        <v>3200</v>
      </c>
      <c r="Y165" s="25">
        <f t="shared" si="98"/>
        <v>1920000</v>
      </c>
      <c r="Z165" s="25"/>
    </row>
    <row r="166" spans="1:26" ht="18.75" customHeight="1">
      <c r="A166" s="751">
        <f>IF(B166&lt;&gt;"",A165+1,"")</f>
        <v>6</v>
      </c>
      <c r="B166" s="1103" t="s">
        <v>843</v>
      </c>
      <c r="C166" s="1034">
        <f>VLOOKUP(B166,NXT!$Q$72:$S$111,2,0)</f>
        <v>11.5</v>
      </c>
      <c r="D166" s="1035">
        <f t="shared" si="101"/>
        <v>46000</v>
      </c>
      <c r="E166" s="1035"/>
      <c r="F166" s="1035">
        <f>VLOOKUP(B166,NXT!$Q$72:$S$111,3,0)</f>
        <v>18200</v>
      </c>
      <c r="G166" s="25">
        <f t="shared" si="102"/>
        <v>837200000</v>
      </c>
      <c r="H166" s="1035">
        <f t="shared" si="95"/>
        <v>12396774.110623598</v>
      </c>
      <c r="I166" s="394">
        <f t="shared" si="103"/>
        <v>630780.13852854318</v>
      </c>
      <c r="J166" s="394">
        <f t="shared" si="103"/>
        <v>16539425.098754177</v>
      </c>
      <c r="K166" s="394">
        <f t="shared" si="103"/>
        <v>10656777.949185424</v>
      </c>
      <c r="L166" s="25">
        <f>Y175</f>
        <v>8120000</v>
      </c>
      <c r="M166" s="1035"/>
      <c r="N166" s="25">
        <f t="shared" si="100"/>
        <v>885543757</v>
      </c>
      <c r="O166" s="1156">
        <v>4000</v>
      </c>
      <c r="P166" s="1035">
        <f t="shared" si="96"/>
        <v>221385.93925</v>
      </c>
      <c r="Q166" s="1232">
        <v>9.8000000000000007</v>
      </c>
      <c r="R166" s="1026">
        <v>22690</v>
      </c>
      <c r="S166" s="933">
        <f t="shared" si="97"/>
        <v>222362.00000000003</v>
      </c>
      <c r="T166" s="933">
        <f t="shared" si="79"/>
        <v>976.06075000003329</v>
      </c>
      <c r="U166" s="657" t="s">
        <v>823</v>
      </c>
      <c r="V166" s="1077"/>
      <c r="W166" s="81"/>
      <c r="X166" s="872"/>
      <c r="Y166" s="25">
        <f t="shared" si="98"/>
        <v>0</v>
      </c>
      <c r="Z166" s="25"/>
    </row>
    <row r="167" spans="1:26" ht="18.75" customHeight="1">
      <c r="A167" s="751" t="str">
        <f>IF(B167&lt;&gt;"",#REF!+1,"")</f>
        <v/>
      </c>
      <c r="B167" s="1040"/>
      <c r="C167" s="1034">
        <f>IF(ISNA(VLOOKUP(B167,NXT!$Q$82:$S$92,2,0)),0,VLOOKUP(B167,NXT!$Q$82:$S$92,2,0))</f>
        <v>0</v>
      </c>
      <c r="D167" s="1042"/>
      <c r="E167" s="1042"/>
      <c r="F167" s="1042"/>
      <c r="G167" s="1043"/>
      <c r="H167" s="1044"/>
      <c r="I167" s="1042"/>
      <c r="J167" s="8"/>
      <c r="K167" s="1042"/>
      <c r="L167" s="1044"/>
      <c r="M167" s="1042"/>
      <c r="N167" s="1066"/>
      <c r="O167" s="1045"/>
      <c r="P167" s="1042"/>
      <c r="Q167" s="1232"/>
      <c r="S167" s="1021"/>
      <c r="T167" s="933">
        <f t="shared" si="79"/>
        <v>0</v>
      </c>
      <c r="U167" s="657" t="s">
        <v>348</v>
      </c>
      <c r="V167" s="1077">
        <v>42948</v>
      </c>
      <c r="W167" s="1085">
        <v>200</v>
      </c>
      <c r="X167" s="1094">
        <v>8000</v>
      </c>
      <c r="Y167" s="25">
        <f t="shared" si="98"/>
        <v>1600000</v>
      </c>
      <c r="Z167" s="25"/>
    </row>
    <row r="168" spans="1:26" ht="18.75" customHeight="1">
      <c r="A168" s="1047"/>
      <c r="B168" s="1047" t="s">
        <v>511</v>
      </c>
      <c r="C168" s="1048"/>
      <c r="D168" s="832">
        <f>SUM(D163:D167)</f>
        <v>256698</v>
      </c>
      <c r="E168" s="832">
        <f>SUM(E161:E167)</f>
        <v>151934.29999999999</v>
      </c>
      <c r="F168" s="832"/>
      <c r="G168" s="832">
        <f>SUM(G161:G167)</f>
        <v>12118026600</v>
      </c>
      <c r="H168" s="832">
        <v>77367960</v>
      </c>
      <c r="I168" s="832">
        <f>Y169</f>
        <v>3520000</v>
      </c>
      <c r="J168" s="832">
        <v>92296464</v>
      </c>
      <c r="K168" s="832">
        <v>59468991</v>
      </c>
      <c r="L168" s="832"/>
      <c r="M168" s="832">
        <f>SUM(M161:M167)</f>
        <v>0</v>
      </c>
      <c r="N168" s="832">
        <f>ROUND(SUM(N161:N167),0)</f>
        <v>12453403094</v>
      </c>
      <c r="O168" s="832">
        <f>ROUND(SUM(O161:O167),0)</f>
        <v>180340</v>
      </c>
      <c r="P168" s="832"/>
      <c r="Q168" s="1232"/>
      <c r="S168" s="1026"/>
      <c r="T168" s="933"/>
      <c r="U168" s="657"/>
      <c r="V168" s="660"/>
      <c r="W168" s="81"/>
      <c r="X168" s="81"/>
      <c r="Y168" s="25"/>
      <c r="Z168" s="8"/>
    </row>
    <row r="169" spans="1:26" ht="18.75" customHeight="1">
      <c r="A169" s="1020"/>
      <c r="B169" s="1020"/>
      <c r="C169" s="1020"/>
      <c r="D169" s="1020"/>
      <c r="E169" s="1020"/>
      <c r="F169" s="1020"/>
      <c r="G169" s="1020"/>
      <c r="H169" s="1020"/>
      <c r="I169" s="1020"/>
      <c r="J169" s="1020"/>
      <c r="K169" s="1020"/>
      <c r="L169" s="1020"/>
      <c r="M169" s="1020"/>
      <c r="N169" s="1020"/>
      <c r="O169" s="1020"/>
      <c r="P169" s="1020"/>
      <c r="Q169" s="1232"/>
      <c r="S169" s="1026"/>
      <c r="T169" s="933"/>
      <c r="U169" s="1069"/>
      <c r="V169" s="1070"/>
      <c r="W169" s="1071"/>
      <c r="X169" s="1080"/>
      <c r="Y169" s="74">
        <f>SUM(Y161:Y168)</f>
        <v>3520000</v>
      </c>
      <c r="Z169" s="74">
        <f>SUM(Z161:Z168)</f>
        <v>0</v>
      </c>
    </row>
    <row r="170" spans="1:26" ht="18.75" customHeight="1">
      <c r="A170" s="1020"/>
      <c r="B170" s="1020"/>
      <c r="C170" s="1020"/>
      <c r="D170" s="1020"/>
      <c r="E170" s="1020"/>
      <c r="F170" s="1020"/>
      <c r="G170" s="1020"/>
      <c r="H170" s="1020"/>
      <c r="I170" s="1020"/>
      <c r="J170" s="1020"/>
      <c r="K170" s="1020"/>
      <c r="L170" s="1020"/>
      <c r="M170" s="1020"/>
      <c r="N170" s="1079"/>
      <c r="O170" s="1020"/>
      <c r="P170" s="1020"/>
      <c r="Q170" s="1232"/>
      <c r="S170" s="1026"/>
      <c r="T170" s="933"/>
      <c r="U170" s="446" t="s">
        <v>789</v>
      </c>
      <c r="V170" s="1077">
        <v>42952</v>
      </c>
      <c r="W170" s="8">
        <f>ROUND(O161/13,0)</f>
        <v>3567</v>
      </c>
      <c r="X170" s="872">
        <v>5900</v>
      </c>
      <c r="Y170" s="25">
        <f t="shared" ref="Y170:Y176" si="104">ROUND(W170*X170,0)</f>
        <v>21045300</v>
      </c>
      <c r="Z170" s="8"/>
    </row>
    <row r="171" spans="1:26" ht="18.75" customHeight="1">
      <c r="A171" s="1020"/>
      <c r="B171" s="1020"/>
      <c r="C171" s="1020"/>
      <c r="D171" s="1020"/>
      <c r="E171" s="1020"/>
      <c r="F171" s="1020"/>
      <c r="G171" s="1020"/>
      <c r="H171" s="1020"/>
      <c r="I171" s="1020"/>
      <c r="J171" s="1020"/>
      <c r="K171" s="1020"/>
      <c r="L171" s="1020"/>
      <c r="M171" s="1020"/>
      <c r="N171" s="1079"/>
      <c r="O171" s="1020"/>
      <c r="P171" s="1020"/>
      <c r="Q171" s="1233"/>
      <c r="S171" s="655"/>
      <c r="T171" s="933"/>
      <c r="U171" s="446" t="s">
        <v>789</v>
      </c>
      <c r="V171" s="1077">
        <v>42956</v>
      </c>
      <c r="W171" s="8">
        <f>ROUND(O162/13,0)</f>
        <v>8120</v>
      </c>
      <c r="X171" s="872">
        <v>5900</v>
      </c>
      <c r="Y171" s="25">
        <f t="shared" si="104"/>
        <v>47908000</v>
      </c>
      <c r="Z171" s="25"/>
    </row>
    <row r="172" spans="1:26" ht="18.75" customHeight="1">
      <c r="A172" s="1020"/>
      <c r="B172" s="1020"/>
      <c r="C172" s="1020"/>
      <c r="D172" s="1020"/>
      <c r="E172" s="1020"/>
      <c r="F172" s="1020"/>
      <c r="G172" s="1020"/>
      <c r="H172" s="1020"/>
      <c r="I172" s="1020"/>
      <c r="J172" s="1020"/>
      <c r="K172" s="1020"/>
      <c r="L172" s="1020"/>
      <c r="M172" s="1020"/>
      <c r="N172" s="1020"/>
      <c r="O172" s="1020"/>
      <c r="P172" s="1020"/>
      <c r="Q172" s="1233"/>
      <c r="S172" s="655"/>
      <c r="T172" s="933"/>
      <c r="U172" s="446" t="s">
        <v>789</v>
      </c>
      <c r="V172" s="1077">
        <v>42957</v>
      </c>
      <c r="W172" s="8">
        <f>ROUND(O163/13,0)</f>
        <v>493</v>
      </c>
      <c r="X172" s="872">
        <v>5900</v>
      </c>
      <c r="Y172" s="25">
        <f t="shared" si="104"/>
        <v>2908700</v>
      </c>
      <c r="Z172" s="8"/>
    </row>
    <row r="173" spans="1:26" ht="18.75" customHeight="1">
      <c r="A173" s="1020"/>
      <c r="B173" s="1020"/>
      <c r="C173" s="1020"/>
      <c r="D173" s="1020"/>
      <c r="E173" s="1020"/>
      <c r="F173" s="1020"/>
      <c r="G173" s="1020"/>
      <c r="H173" s="1020"/>
      <c r="I173" s="1020"/>
      <c r="J173" s="1020"/>
      <c r="K173" s="1020"/>
      <c r="L173" s="1020"/>
      <c r="M173" s="1020"/>
      <c r="N173" s="1020"/>
      <c r="O173" s="1020"/>
      <c r="P173" s="1020"/>
      <c r="Q173" s="1233"/>
      <c r="S173" s="655"/>
      <c r="T173" s="933"/>
      <c r="U173" s="446" t="s">
        <v>373</v>
      </c>
      <c r="V173" s="1077">
        <v>42927</v>
      </c>
      <c r="W173" s="8">
        <v>1228</v>
      </c>
      <c r="X173" s="872">
        <v>13500</v>
      </c>
      <c r="Y173" s="25">
        <f t="shared" si="104"/>
        <v>16578000</v>
      </c>
      <c r="Z173" s="8"/>
    </row>
    <row r="174" spans="1:26" ht="18.75" customHeight="1">
      <c r="A174" s="1020"/>
      <c r="B174" s="1020"/>
      <c r="C174" s="1020"/>
      <c r="D174" s="1020"/>
      <c r="E174" s="1020"/>
      <c r="F174" s="1020"/>
      <c r="G174" s="1020"/>
      <c r="H174" s="1020"/>
      <c r="I174" s="1055"/>
      <c r="J174" s="1020"/>
      <c r="K174" s="1020"/>
      <c r="L174" s="1020"/>
      <c r="M174" s="1020"/>
      <c r="N174" s="1020"/>
      <c r="O174" s="1020"/>
      <c r="P174" s="1020"/>
      <c r="Q174" s="1233"/>
      <c r="S174" s="655"/>
      <c r="T174" s="933"/>
      <c r="U174" s="446" t="s">
        <v>800</v>
      </c>
      <c r="V174" s="660">
        <v>42967</v>
      </c>
      <c r="W174" s="390">
        <v>638</v>
      </c>
      <c r="X174" s="390">
        <v>9660</v>
      </c>
      <c r="Y174" s="25">
        <f t="shared" si="104"/>
        <v>6163080</v>
      </c>
      <c r="Z174" s="8"/>
    </row>
    <row r="175" spans="1:26" ht="18.75" customHeight="1">
      <c r="A175" s="1020"/>
      <c r="B175" s="1020"/>
      <c r="C175" s="1020"/>
      <c r="D175" s="1020"/>
      <c r="E175" s="1020"/>
      <c r="F175" s="1020"/>
      <c r="G175" s="1055"/>
      <c r="H175" s="1055"/>
      <c r="I175" s="1055"/>
      <c r="J175" s="1055"/>
      <c r="K175" s="1055"/>
      <c r="L175" s="1055"/>
      <c r="M175" s="1055"/>
      <c r="N175" s="1055"/>
      <c r="O175" s="1020"/>
      <c r="P175" s="1020"/>
      <c r="Q175" s="1233"/>
      <c r="S175" s="655"/>
      <c r="T175" s="933"/>
      <c r="U175" s="446" t="s">
        <v>800</v>
      </c>
      <c r="V175" s="660">
        <v>42967</v>
      </c>
      <c r="W175" s="872">
        <v>400</v>
      </c>
      <c r="X175" s="872">
        <v>20300</v>
      </c>
      <c r="Y175" s="25">
        <f t="shared" si="104"/>
        <v>8120000</v>
      </c>
      <c r="Z175" s="8"/>
    </row>
    <row r="176" spans="1:26" ht="18.75" customHeight="1">
      <c r="A176" s="1020"/>
      <c r="B176" s="1020"/>
      <c r="C176" s="1020"/>
      <c r="D176" s="1020"/>
      <c r="E176" s="1020"/>
      <c r="F176" s="1020"/>
      <c r="G176" s="437"/>
      <c r="H176" s="437"/>
      <c r="I176" s="437"/>
      <c r="J176" s="437"/>
      <c r="K176" s="437"/>
      <c r="L176" s="437"/>
      <c r="M176" s="437"/>
      <c r="N176" s="437"/>
      <c r="O176" s="1020"/>
      <c r="P176" s="1020"/>
      <c r="Q176" s="1233"/>
      <c r="S176" s="655"/>
      <c r="T176" s="933"/>
      <c r="U176" s="450"/>
      <c r="V176" s="660"/>
      <c r="W176" s="872"/>
      <c r="X176" s="872"/>
      <c r="Y176" s="25">
        <f t="shared" si="104"/>
        <v>0</v>
      </c>
      <c r="Z176" s="8"/>
    </row>
    <row r="177" spans="1:26" ht="18.75" customHeight="1">
      <c r="A177" s="1020"/>
      <c r="B177" s="1020"/>
      <c r="C177" s="1020"/>
      <c r="D177" s="1020"/>
      <c r="E177" s="1020"/>
      <c r="F177" s="1020"/>
      <c r="G177" s="1020"/>
      <c r="H177" s="1020"/>
      <c r="I177" s="1020"/>
      <c r="J177" s="1020"/>
      <c r="K177" s="1020"/>
      <c r="L177" s="1020"/>
      <c r="M177" s="1020"/>
      <c r="N177" s="1020"/>
      <c r="O177" s="1020"/>
      <c r="P177" s="1020"/>
      <c r="Q177" s="1233"/>
      <c r="S177" s="655"/>
      <c r="T177" s="933"/>
      <c r="U177" s="1053"/>
      <c r="V177" s="660"/>
      <c r="W177" s="25">
        <f t="shared" ref="W177" si="105">SUM(W170:W176)</f>
        <v>14446</v>
      </c>
      <c r="X177" s="25"/>
      <c r="Y177" s="25">
        <f>SUM(Y170:Y176)</f>
        <v>102723080</v>
      </c>
      <c r="Z177" s="8"/>
    </row>
    <row r="178" spans="1:26" ht="20.25" customHeight="1">
      <c r="A178" s="1023" t="s">
        <v>495</v>
      </c>
      <c r="B178" s="1023"/>
      <c r="C178" s="1024"/>
      <c r="D178" s="1025"/>
      <c r="E178" s="1025"/>
      <c r="F178" s="1025"/>
      <c r="G178" s="437"/>
      <c r="H178" s="437"/>
      <c r="I178" s="437"/>
      <c r="J178" s="437"/>
      <c r="K178" s="437"/>
      <c r="L178" s="437"/>
      <c r="M178" s="437"/>
      <c r="N178" s="437"/>
      <c r="O178" s="918"/>
      <c r="P178" s="437"/>
      <c r="Q178" s="1231"/>
      <c r="S178" s="933"/>
      <c r="T178" s="933"/>
      <c r="U178" s="437"/>
      <c r="V178" s="1027"/>
      <c r="W178" s="437"/>
      <c r="X178" s="437"/>
      <c r="Y178" s="1020"/>
      <c r="Z178" s="1020"/>
    </row>
    <row r="179" spans="1:26" ht="20.25" customHeight="1">
      <c r="A179" s="1028" t="s">
        <v>911</v>
      </c>
      <c r="B179" s="1028"/>
      <c r="C179" s="1028"/>
      <c r="D179" s="1028"/>
      <c r="E179" s="1028"/>
      <c r="F179" s="1028"/>
      <c r="G179" s="1028"/>
      <c r="H179" s="1028"/>
      <c r="I179" s="1028"/>
      <c r="J179" s="1028"/>
      <c r="K179" s="1028"/>
      <c r="L179" s="1028"/>
      <c r="M179" s="1028"/>
      <c r="N179" s="1028"/>
      <c r="O179" s="1028"/>
      <c r="P179" s="1028"/>
      <c r="Q179" s="1231"/>
      <c r="S179" s="933"/>
      <c r="T179" s="933"/>
      <c r="U179" s="437"/>
      <c r="V179" s="1027"/>
      <c r="W179" s="437"/>
      <c r="X179" s="437"/>
      <c r="Y179" s="1020"/>
      <c r="Z179" s="1020"/>
    </row>
    <row r="180" spans="1:26" ht="14.25" customHeight="1">
      <c r="A180" s="1029"/>
      <c r="B180" s="1029"/>
      <c r="C180" s="1030"/>
      <c r="D180" s="1029"/>
      <c r="E180" s="1029"/>
      <c r="F180" s="1029"/>
      <c r="G180" s="1029"/>
      <c r="H180" s="1029"/>
      <c r="I180" s="1029"/>
      <c r="J180" s="1029"/>
      <c r="K180" s="1029"/>
      <c r="L180" s="1029"/>
      <c r="M180" s="1029"/>
      <c r="N180" s="1029"/>
      <c r="O180" s="1031"/>
      <c r="P180" s="1029"/>
      <c r="Q180" s="1231"/>
      <c r="S180" s="933"/>
      <c r="T180" s="933"/>
      <c r="U180" s="437"/>
      <c r="V180" s="1027"/>
      <c r="W180" s="437"/>
      <c r="X180" s="437"/>
      <c r="Y180" s="1020"/>
      <c r="Z180" s="1020"/>
    </row>
    <row r="181" spans="1:26" ht="40.5" customHeight="1">
      <c r="A181" s="650" t="s">
        <v>37</v>
      </c>
      <c r="B181" s="650" t="s">
        <v>496</v>
      </c>
      <c r="C181" s="651" t="s">
        <v>497</v>
      </c>
      <c r="D181" s="652" t="s">
        <v>498</v>
      </c>
      <c r="E181" s="652" t="s">
        <v>499</v>
      </c>
      <c r="F181" s="652" t="s">
        <v>500</v>
      </c>
      <c r="G181" s="652" t="s">
        <v>501</v>
      </c>
      <c r="H181" s="652" t="s">
        <v>502</v>
      </c>
      <c r="I181" s="652" t="s">
        <v>503</v>
      </c>
      <c r="J181" s="652" t="s">
        <v>504</v>
      </c>
      <c r="K181" s="653" t="s">
        <v>505</v>
      </c>
      <c r="L181" s="652" t="s">
        <v>506</v>
      </c>
      <c r="M181" s="653" t="s">
        <v>507</v>
      </c>
      <c r="N181" s="652" t="s">
        <v>508</v>
      </c>
      <c r="O181" s="654" t="s">
        <v>499</v>
      </c>
      <c r="P181" s="652" t="s">
        <v>509</v>
      </c>
      <c r="Q181" s="1231"/>
      <c r="S181" s="933"/>
      <c r="T181" s="933"/>
      <c r="U181" s="650" t="s">
        <v>496</v>
      </c>
      <c r="V181" s="652" t="s">
        <v>464</v>
      </c>
      <c r="W181" s="652" t="s">
        <v>327</v>
      </c>
      <c r="X181" s="652" t="s">
        <v>500</v>
      </c>
      <c r="Y181" s="652" t="s">
        <v>510</v>
      </c>
      <c r="Z181" s="650" t="s">
        <v>510</v>
      </c>
    </row>
    <row r="182" spans="1:26" ht="18.75" customHeight="1">
      <c r="A182" s="751">
        <f>IF(B182&lt;&gt;"",ROW()-(ROW()-1),"")</f>
        <v>1</v>
      </c>
      <c r="B182" s="1074" t="s">
        <v>431</v>
      </c>
      <c r="C182" s="1034">
        <f>VLOOKUP(B182,NXT!$Q$72:$S$111,2,0)</f>
        <v>3.2</v>
      </c>
      <c r="D182" s="1035">
        <f t="shared" ref="D182:D190" si="106">ROUND(C182*O182,0)</f>
        <v>1626125</v>
      </c>
      <c r="E182" s="1035">
        <f>O182</f>
        <v>508164.05</v>
      </c>
      <c r="F182" s="1083">
        <f>G182/E182</f>
        <v>52954.060111099949</v>
      </c>
      <c r="G182" s="25">
        <v>26909349650</v>
      </c>
      <c r="H182" s="1035">
        <f t="shared" ref="H182:H190" si="107">IF($D$192&lt;&gt;0,H$192/($D$192+$E$192/5)*($D182+$E182/5),0)</f>
        <v>105894066.38885367</v>
      </c>
      <c r="I182" s="1035"/>
      <c r="J182" s="1035"/>
      <c r="K182" s="1035"/>
      <c r="L182" s="25">
        <f>Y191</f>
        <v>227745900</v>
      </c>
      <c r="M182" s="1035"/>
      <c r="N182" s="25">
        <f t="shared" ref="N182:N190" si="108">ROUND(SUM(G182:L182),0)</f>
        <v>27242989616</v>
      </c>
      <c r="O182" s="1156">
        <v>508164.05</v>
      </c>
      <c r="P182" s="1035">
        <f t="shared" ref="P182:P190" si="109">IF(N182&lt;&gt;0,N182/O182,0)</f>
        <v>53610.619672918619</v>
      </c>
      <c r="Q182" s="1231">
        <v>2.5499999999999998</v>
      </c>
      <c r="R182" s="1026">
        <v>22690</v>
      </c>
      <c r="S182" s="933">
        <f t="shared" ref="S182:S189" si="110">Q182*R182</f>
        <v>57859.499999999993</v>
      </c>
      <c r="T182" s="933">
        <f t="shared" ref="T182:T234" si="111">S182-P182</f>
        <v>4248.8803270813733</v>
      </c>
      <c r="U182" s="657" t="s">
        <v>329</v>
      </c>
      <c r="V182" s="1084">
        <v>42979</v>
      </c>
      <c r="W182" s="1085">
        <v>150</v>
      </c>
      <c r="X182" s="1085">
        <v>32200</v>
      </c>
      <c r="Y182" s="25">
        <f t="shared" ref="Y182:Y188" si="112">ROUND(W182*X182,0)</f>
        <v>4830000</v>
      </c>
      <c r="Z182" s="25"/>
    </row>
    <row r="183" spans="1:26" ht="18.75" customHeight="1">
      <c r="A183" s="751">
        <f>IF(B183&lt;&gt;"",A182+1,"")</f>
        <v>2</v>
      </c>
      <c r="B183" s="1074" t="s">
        <v>431</v>
      </c>
      <c r="C183" s="1034">
        <f>VLOOKUP(B183,NXT!$Q$72:$S$111,2,0)</f>
        <v>3.2</v>
      </c>
      <c r="D183" s="1035">
        <f t="shared" si="106"/>
        <v>141342</v>
      </c>
      <c r="E183" s="1035"/>
      <c r="F183" s="1035">
        <v>16500</v>
      </c>
      <c r="G183" s="25">
        <f t="shared" ref="G183:G190" si="113">(D183+E183)*F183</f>
        <v>2332143000</v>
      </c>
      <c r="H183" s="1035">
        <f t="shared" si="107"/>
        <v>8662834.0181158576</v>
      </c>
      <c r="I183" s="1035">
        <f t="shared" ref="I183:K190" si="114">IF($D$192&lt;&gt;0,I$192/$D$192*$D183,0)</f>
        <v>7867008.7607878167</v>
      </c>
      <c r="J183" s="1035">
        <f t="shared" si="114"/>
        <v>11476251.890210459</v>
      </c>
      <c r="K183" s="1035">
        <f t="shared" si="114"/>
        <v>7276250.9025616515</v>
      </c>
      <c r="L183" s="25">
        <f t="shared" ref="L183" si="115">Y192</f>
        <v>20048200</v>
      </c>
      <c r="M183" s="1035"/>
      <c r="N183" s="25">
        <f t="shared" si="108"/>
        <v>2387473546</v>
      </c>
      <c r="O183" s="387">
        <v>44169.47</v>
      </c>
      <c r="P183" s="1035">
        <f t="shared" si="109"/>
        <v>54052.574006434763</v>
      </c>
      <c r="Q183" s="1231">
        <v>2.42</v>
      </c>
      <c r="R183" s="1026">
        <v>22690</v>
      </c>
      <c r="S183" s="933">
        <f t="shared" si="110"/>
        <v>54909.799999999996</v>
      </c>
      <c r="T183" s="933">
        <f t="shared" si="111"/>
        <v>857.22599356523278</v>
      </c>
      <c r="U183" s="657" t="s">
        <v>335</v>
      </c>
      <c r="V183" s="1084">
        <v>42979</v>
      </c>
      <c r="W183" s="1085">
        <v>150</v>
      </c>
      <c r="X183" s="872">
        <v>49808.000000000007</v>
      </c>
      <c r="Y183" s="25">
        <f t="shared" si="112"/>
        <v>7471200</v>
      </c>
      <c r="Z183" s="8"/>
    </row>
    <row r="184" spans="1:26" ht="18.75" customHeight="1">
      <c r="A184" s="751">
        <f>IF(B184&lt;&gt;"",A183+1,"")</f>
        <v>3</v>
      </c>
      <c r="B184" s="1074" t="s">
        <v>915</v>
      </c>
      <c r="C184" s="1034">
        <f>VLOOKUP(B184,NXT!$Q$72:$S$111,2,0)</f>
        <v>2.7</v>
      </c>
      <c r="D184" s="1035">
        <f t="shared" si="106"/>
        <v>712530</v>
      </c>
      <c r="E184" s="1035"/>
      <c r="F184" s="1035">
        <f>VLOOKUP(B184,NXT!$Q$72:$S$111,3,0)</f>
        <v>17700</v>
      </c>
      <c r="G184" s="25">
        <f t="shared" si="113"/>
        <v>12611781000</v>
      </c>
      <c r="H184" s="1035">
        <f t="shared" si="107"/>
        <v>43670877.183909185</v>
      </c>
      <c r="I184" s="1035">
        <f t="shared" si="114"/>
        <v>39658981.423243925</v>
      </c>
      <c r="J184" s="1035">
        <f t="shared" si="114"/>
        <v>57853813.865175657</v>
      </c>
      <c r="K184" s="1035">
        <f t="shared" si="114"/>
        <v>36680866.661022581</v>
      </c>
      <c r="L184" s="25">
        <f>Y193+Y194</f>
        <v>124026000</v>
      </c>
      <c r="M184" s="1035"/>
      <c r="N184" s="25">
        <f t="shared" si="108"/>
        <v>12913671539</v>
      </c>
      <c r="O184" s="387">
        <v>263900</v>
      </c>
      <c r="P184" s="1035">
        <f t="shared" si="109"/>
        <v>48933.958086396364</v>
      </c>
      <c r="Q184" s="1231">
        <v>2.2000000000000002</v>
      </c>
      <c r="R184" s="1026">
        <v>22690</v>
      </c>
      <c r="S184" s="933">
        <f t="shared" si="110"/>
        <v>49918.000000000007</v>
      </c>
      <c r="T184" s="933">
        <f t="shared" si="111"/>
        <v>984.04191360364348</v>
      </c>
      <c r="U184" s="657" t="s">
        <v>338</v>
      </c>
      <c r="V184" s="1084">
        <v>42979</v>
      </c>
      <c r="W184" s="81">
        <v>400</v>
      </c>
      <c r="X184" s="872">
        <v>16476.189999999999</v>
      </c>
      <c r="Y184" s="25">
        <f t="shared" ref="Y184:Y185" si="116">ROUND(W184*X184,0)</f>
        <v>6590476</v>
      </c>
      <c r="Z184" s="8"/>
    </row>
    <row r="185" spans="1:26" ht="18.75" customHeight="1">
      <c r="A185" s="751">
        <f t="shared" ref="A185:A190" si="117">IF(B185&lt;&gt;"",A184+1,"")</f>
        <v>4</v>
      </c>
      <c r="B185" s="1010" t="s">
        <v>843</v>
      </c>
      <c r="C185" s="1034">
        <f>VLOOKUP(B185,NXT!$Q$72:$S$111,2,0)</f>
        <v>11.5</v>
      </c>
      <c r="D185" s="1035">
        <f t="shared" si="106"/>
        <v>60260</v>
      </c>
      <c r="E185" s="1035"/>
      <c r="F185" s="1035">
        <v>18700</v>
      </c>
      <c r="G185" s="25">
        <f t="shared" si="113"/>
        <v>1126862000</v>
      </c>
      <c r="H185" s="1035">
        <f t="shared" si="107"/>
        <v>3693328.0831717504</v>
      </c>
      <c r="I185" s="1035">
        <f t="shared" si="114"/>
        <v>3354034.5256546098</v>
      </c>
      <c r="J185" s="1035">
        <f t="shared" si="114"/>
        <v>4892805.6692567123</v>
      </c>
      <c r="K185" s="1035">
        <f t="shared" si="114"/>
        <v>3102169.7682809434</v>
      </c>
      <c r="L185" s="1035">
        <f>Y195</f>
        <v>6163080</v>
      </c>
      <c r="M185" s="1035"/>
      <c r="N185" s="25">
        <f t="shared" si="108"/>
        <v>1148067418</v>
      </c>
      <c r="O185" s="387">
        <v>5240</v>
      </c>
      <c r="P185" s="1035">
        <f t="shared" si="109"/>
        <v>219096.83549618319</v>
      </c>
      <c r="Q185" s="1231">
        <v>9.6999999999999993</v>
      </c>
      <c r="R185" s="1026">
        <v>22695</v>
      </c>
      <c r="S185" s="933">
        <f t="shared" si="110"/>
        <v>220141.49999999997</v>
      </c>
      <c r="T185" s="933">
        <f t="shared" si="111"/>
        <v>1044.6645038167771</v>
      </c>
      <c r="U185" s="657" t="s">
        <v>798</v>
      </c>
      <c r="V185" s="1084">
        <v>42979</v>
      </c>
      <c r="W185" s="81">
        <v>40</v>
      </c>
      <c r="X185" s="872">
        <v>53000</v>
      </c>
      <c r="Y185" s="25">
        <f t="shared" si="116"/>
        <v>2120000</v>
      </c>
      <c r="Z185" s="8"/>
    </row>
    <row r="186" spans="1:26" ht="18.75" customHeight="1">
      <c r="A186" s="751">
        <f t="shared" si="117"/>
        <v>5</v>
      </c>
      <c r="B186" s="1010" t="s">
        <v>787</v>
      </c>
      <c r="C186" s="1034">
        <v>9.5</v>
      </c>
      <c r="D186" s="1035">
        <f t="shared" ref="D186:D187" si="118">ROUND(C186*O186,0)</f>
        <v>64220</v>
      </c>
      <c r="E186" s="1035"/>
      <c r="F186" s="1035">
        <v>19500</v>
      </c>
      <c r="G186" s="25">
        <f t="shared" ref="G186:G187" si="119">(D186+E186)*F186</f>
        <v>1252290000</v>
      </c>
      <c r="H186" s="1035">
        <f t="shared" si="107"/>
        <v>3936036.0023446702</v>
      </c>
      <c r="I186" s="1035">
        <f t="shared" si="114"/>
        <v>3574445.6893053274</v>
      </c>
      <c r="J186" s="1035">
        <f t="shared" si="114"/>
        <v>5214337.5386602404</v>
      </c>
      <c r="K186" s="1035">
        <f t="shared" si="114"/>
        <v>3306029.5804680088</v>
      </c>
      <c r="L186" s="25">
        <f>$Y$196/SUM($O$186:$O$188)*O186</f>
        <v>10131066.079295155</v>
      </c>
      <c r="M186" s="1035"/>
      <c r="N186" s="25">
        <f t="shared" ref="N186:N187" si="120">ROUND(SUM(G186:L186),0)</f>
        <v>1278451915</v>
      </c>
      <c r="O186" s="387">
        <v>6760</v>
      </c>
      <c r="P186" s="1035">
        <f t="shared" ref="P186:P187" si="121">IF(N186&lt;&gt;0,N186/O186,0)</f>
        <v>189120.10576923078</v>
      </c>
      <c r="Q186" s="1231">
        <v>8.67</v>
      </c>
      <c r="R186" s="1026">
        <v>22695</v>
      </c>
      <c r="S186" s="933">
        <f t="shared" si="110"/>
        <v>196765.65</v>
      </c>
      <c r="T186" s="933">
        <f t="shared" si="111"/>
        <v>7645.5442307692138</v>
      </c>
      <c r="U186" s="657" t="s">
        <v>343</v>
      </c>
      <c r="V186" s="1084">
        <v>42979</v>
      </c>
      <c r="W186" s="81">
        <v>600</v>
      </c>
      <c r="X186" s="872">
        <v>3200</v>
      </c>
      <c r="Y186" s="25">
        <f t="shared" ref="Y186:Y187" si="122">ROUND(W186*X186,0)</f>
        <v>1920000</v>
      </c>
      <c r="Z186" s="8"/>
    </row>
    <row r="187" spans="1:26" ht="18.75" customHeight="1">
      <c r="A187" s="751">
        <f t="shared" si="117"/>
        <v>6</v>
      </c>
      <c r="B187" s="1010" t="s">
        <v>840</v>
      </c>
      <c r="C187" s="1034">
        <f>VLOOKUP(B187,NXT!$Q$72:$S$111,2,0)</f>
        <v>5</v>
      </c>
      <c r="D187" s="1035">
        <f t="shared" si="118"/>
        <v>3500</v>
      </c>
      <c r="E187" s="1035"/>
      <c r="F187" s="1035">
        <v>37500</v>
      </c>
      <c r="G187" s="25">
        <f t="shared" si="119"/>
        <v>131250000</v>
      </c>
      <c r="H187" s="1035">
        <f t="shared" si="107"/>
        <v>214514.57502657032</v>
      </c>
      <c r="I187" s="1035">
        <f t="shared" si="114"/>
        <v>194807.84666098794</v>
      </c>
      <c r="J187" s="1035">
        <f t="shared" si="114"/>
        <v>284182.20780614822</v>
      </c>
      <c r="K187" s="1035">
        <f t="shared" si="114"/>
        <v>180179.12693301198</v>
      </c>
      <c r="L187" s="25">
        <f t="shared" ref="L187:L188" si="123">$Y$196/SUM($O$186:$O$188)*O187</f>
        <v>1049074.8898678415</v>
      </c>
      <c r="M187" s="1035"/>
      <c r="N187" s="25">
        <f t="shared" si="120"/>
        <v>133172759</v>
      </c>
      <c r="O187" s="1156">
        <v>700</v>
      </c>
      <c r="P187" s="1035">
        <f t="shared" si="121"/>
        <v>190246.79857142858</v>
      </c>
      <c r="Q187" s="1232">
        <v>8.4</v>
      </c>
      <c r="R187" s="1026">
        <v>22690</v>
      </c>
      <c r="S187" s="933">
        <f t="shared" si="110"/>
        <v>190596</v>
      </c>
      <c r="T187" s="933">
        <f t="shared" si="111"/>
        <v>349.20142857142491</v>
      </c>
      <c r="U187" s="657" t="s">
        <v>823</v>
      </c>
      <c r="V187" s="1084">
        <v>42979</v>
      </c>
      <c r="W187" s="81">
        <v>2700</v>
      </c>
      <c r="X187" s="872">
        <v>14728</v>
      </c>
      <c r="Y187" s="25">
        <f t="shared" si="122"/>
        <v>39765600</v>
      </c>
      <c r="Z187" s="8"/>
    </row>
    <row r="188" spans="1:26" ht="18.75" customHeight="1">
      <c r="A188" s="751">
        <f t="shared" si="117"/>
        <v>7</v>
      </c>
      <c r="B188" s="1010" t="s">
        <v>816</v>
      </c>
      <c r="C188" s="1034">
        <f>VLOOKUP(B188,NXT!$Q$72:$S$111,2,0)</f>
        <v>5.5</v>
      </c>
      <c r="D188" s="1035">
        <f t="shared" si="106"/>
        <v>8910</v>
      </c>
      <c r="E188" s="1035"/>
      <c r="F188" s="1035">
        <v>38500</v>
      </c>
      <c r="G188" s="25">
        <f t="shared" si="113"/>
        <v>343035000</v>
      </c>
      <c r="H188" s="1035">
        <f t="shared" si="107"/>
        <v>546092.81813906902</v>
      </c>
      <c r="I188" s="1035">
        <f t="shared" si="114"/>
        <v>495925.11821411503</v>
      </c>
      <c r="J188" s="1035">
        <f t="shared" si="114"/>
        <v>723446.70615793741</v>
      </c>
      <c r="K188" s="1035">
        <f t="shared" si="114"/>
        <v>458684.57742089621</v>
      </c>
      <c r="L188" s="25">
        <f t="shared" si="123"/>
        <v>2427859.0308370045</v>
      </c>
      <c r="M188" s="1035"/>
      <c r="N188" s="25">
        <f t="shared" si="108"/>
        <v>347687008</v>
      </c>
      <c r="O188" s="387">
        <v>1620</v>
      </c>
      <c r="P188" s="1035">
        <f t="shared" si="109"/>
        <v>214621.6098765432</v>
      </c>
      <c r="Q188" s="1231">
        <v>9.5</v>
      </c>
      <c r="R188" s="1026">
        <v>22690</v>
      </c>
      <c r="S188" s="933">
        <f t="shared" si="110"/>
        <v>215555</v>
      </c>
      <c r="T188" s="933">
        <f t="shared" si="111"/>
        <v>933.39012345680385</v>
      </c>
      <c r="U188" s="657" t="s">
        <v>348</v>
      </c>
      <c r="V188" s="1084">
        <v>42979</v>
      </c>
      <c r="W188" s="1085">
        <v>200</v>
      </c>
      <c r="X188" s="1094">
        <v>8000</v>
      </c>
      <c r="Y188" s="25">
        <f t="shared" si="112"/>
        <v>1600000</v>
      </c>
      <c r="Z188" s="8"/>
    </row>
    <row r="189" spans="1:26" ht="18.75" customHeight="1">
      <c r="A189" s="751">
        <f t="shared" si="117"/>
        <v>8</v>
      </c>
      <c r="B189" s="1010" t="s">
        <v>842</v>
      </c>
      <c r="C189" s="1034">
        <f>VLOOKUP(B189,NXT!$Q$72:$S$111,2,0)</f>
        <v>11</v>
      </c>
      <c r="D189" s="1035">
        <f t="shared" ref="D189" si="124">ROUND(C189*O189,0)</f>
        <v>20680</v>
      </c>
      <c r="E189" s="1035"/>
      <c r="F189" s="1035">
        <v>18200</v>
      </c>
      <c r="G189" s="25">
        <f t="shared" ref="G189" si="125">(D189+E189)*F189</f>
        <v>376376000</v>
      </c>
      <c r="H189" s="1035">
        <f t="shared" si="107"/>
        <v>1267474.6890141354</v>
      </c>
      <c r="I189" s="1035">
        <f t="shared" si="114"/>
        <v>1151036.0768426375</v>
      </c>
      <c r="J189" s="1035">
        <f t="shared" si="114"/>
        <v>1679110.8735517559</v>
      </c>
      <c r="K189" s="1035">
        <f t="shared" si="114"/>
        <v>1064601.2414213393</v>
      </c>
      <c r="L189" s="1035">
        <f>Y197</f>
        <v>7632000</v>
      </c>
      <c r="M189" s="1035"/>
      <c r="N189" s="25">
        <f t="shared" ref="N189" si="126">ROUND(SUM(G189:L189),0)</f>
        <v>389170223</v>
      </c>
      <c r="O189" s="1156">
        <v>1880</v>
      </c>
      <c r="P189" s="1035">
        <f t="shared" ref="P189" si="127">IF(N189&lt;&gt;0,N189/O189,0)</f>
        <v>207005.43776595744</v>
      </c>
      <c r="Q189" s="1232">
        <v>9.1999999999999993</v>
      </c>
      <c r="R189" s="1026">
        <v>22690</v>
      </c>
      <c r="S189" s="933">
        <f t="shared" si="110"/>
        <v>208747.99999999997</v>
      </c>
      <c r="T189" s="933">
        <f t="shared" si="111"/>
        <v>1742.5622340425325</v>
      </c>
      <c r="U189" s="657"/>
      <c r="V189" s="660"/>
      <c r="W189" s="81"/>
      <c r="X189" s="81"/>
      <c r="Y189" s="25"/>
      <c r="Z189" s="8"/>
    </row>
    <row r="190" spans="1:26" ht="18.75" customHeight="1">
      <c r="A190" s="751">
        <f t="shared" si="117"/>
        <v>9</v>
      </c>
      <c r="B190" s="1010" t="s">
        <v>917</v>
      </c>
      <c r="C190" s="1034">
        <f>VLOOKUP(B190,NXT!$Q$72:$S$111,2,0)</f>
        <v>11.5</v>
      </c>
      <c r="D190" s="1035">
        <f t="shared" si="106"/>
        <v>143750</v>
      </c>
      <c r="E190" s="1035"/>
      <c r="F190" s="1035">
        <v>17500</v>
      </c>
      <c r="G190" s="25">
        <f t="shared" si="113"/>
        <v>2515625000</v>
      </c>
      <c r="H190" s="1035">
        <f t="shared" si="107"/>
        <v>8810420.0457341373</v>
      </c>
      <c r="I190" s="1035">
        <f t="shared" si="114"/>
        <v>8001036.5592905767</v>
      </c>
      <c r="J190" s="1035">
        <f t="shared" si="114"/>
        <v>11671769.249181088</v>
      </c>
      <c r="K190" s="1035">
        <f t="shared" si="114"/>
        <v>7400214.1418915642</v>
      </c>
      <c r="L190" s="1035">
        <f>Y198</f>
        <v>14269500</v>
      </c>
      <c r="M190" s="1035"/>
      <c r="N190" s="25">
        <f t="shared" si="108"/>
        <v>2565777940</v>
      </c>
      <c r="O190" s="1156">
        <v>12500</v>
      </c>
      <c r="P190" s="1035">
        <f t="shared" si="109"/>
        <v>205262.2352</v>
      </c>
      <c r="Q190" s="1232"/>
      <c r="S190" s="933">
        <v>209000</v>
      </c>
      <c r="T190" s="933">
        <f t="shared" si="111"/>
        <v>3737.7648000000045</v>
      </c>
      <c r="U190" s="1069"/>
      <c r="V190" s="1070"/>
      <c r="W190" s="1071"/>
      <c r="X190" s="1080"/>
      <c r="Y190" s="74">
        <f>SUM(Y182:Y189)</f>
        <v>64297276</v>
      </c>
      <c r="Z190" s="74">
        <f>SUM(Z182:Z189)</f>
        <v>0</v>
      </c>
    </row>
    <row r="191" spans="1:26" ht="18.75" customHeight="1">
      <c r="A191" s="751" t="str">
        <f>IF(B191&lt;&gt;"",A190+1,"")</f>
        <v/>
      </c>
      <c r="B191" s="1040"/>
      <c r="C191" s="1041"/>
      <c r="D191" s="1042"/>
      <c r="E191" s="1042"/>
      <c r="F191" s="1042"/>
      <c r="G191" s="1043"/>
      <c r="H191" s="1044"/>
      <c r="I191" s="1042"/>
      <c r="J191" s="8"/>
      <c r="K191" s="1042"/>
      <c r="L191" s="1044"/>
      <c r="M191" s="1042"/>
      <c r="N191" s="1066"/>
      <c r="O191" s="1045"/>
      <c r="P191" s="1042"/>
      <c r="Q191" s="1232"/>
      <c r="S191" s="1021"/>
      <c r="T191" s="933">
        <f t="shared" si="111"/>
        <v>0</v>
      </c>
      <c r="U191" s="446" t="s">
        <v>789</v>
      </c>
      <c r="V191" s="1084">
        <v>42979</v>
      </c>
      <c r="W191" s="8">
        <v>38601</v>
      </c>
      <c r="X191" s="1085">
        <v>5900</v>
      </c>
      <c r="Y191" s="25">
        <f t="shared" ref="Y191:Y199" si="128">ROUND(W191*X191,0)</f>
        <v>227745900</v>
      </c>
      <c r="Z191" s="25"/>
    </row>
    <row r="192" spans="1:26" ht="18.75" customHeight="1">
      <c r="A192" s="1047"/>
      <c r="B192" s="1047" t="s">
        <v>511</v>
      </c>
      <c r="C192" s="1048"/>
      <c r="D192" s="832">
        <f>SUM(D183:D191)</f>
        <v>1155192</v>
      </c>
      <c r="E192" s="832">
        <f>SUM(E182:E190)</f>
        <v>508164.05</v>
      </c>
      <c r="F192" s="832"/>
      <c r="G192" s="832">
        <f>SUM(G182:G190)</f>
        <v>47598711650</v>
      </c>
      <c r="H192" s="832">
        <v>77030640</v>
      </c>
      <c r="I192" s="832">
        <f>Y190</f>
        <v>64297276</v>
      </c>
      <c r="J192" s="1088">
        <v>93795718</v>
      </c>
      <c r="K192" s="832">
        <v>59468996</v>
      </c>
      <c r="L192" s="832">
        <f>ROUND(SUM(L182:L191),0)</f>
        <v>413492680</v>
      </c>
      <c r="M192" s="832">
        <f>ROUND(SUM(M182:M191),0)</f>
        <v>0</v>
      </c>
      <c r="N192" s="832">
        <f>ROUND(SUM(N182:N191),0)</f>
        <v>48406461964</v>
      </c>
      <c r="O192" s="832">
        <f>ROUND(SUM(O182:O191),0)</f>
        <v>844934</v>
      </c>
      <c r="P192" s="832"/>
      <c r="Q192" s="1232"/>
      <c r="S192" s="1026"/>
      <c r="T192" s="933"/>
      <c r="U192" s="446" t="s">
        <v>789</v>
      </c>
      <c r="V192" s="1084">
        <v>42980</v>
      </c>
      <c r="W192" s="8">
        <f>ROUND(O183/13,0)</f>
        <v>3398</v>
      </c>
      <c r="X192" s="1085">
        <v>5900</v>
      </c>
      <c r="Y192" s="25">
        <f t="shared" si="128"/>
        <v>20048200</v>
      </c>
      <c r="Z192" s="8"/>
    </row>
    <row r="193" spans="1:26" ht="18.75" customHeight="1">
      <c r="A193" s="1020"/>
      <c r="B193" s="1020"/>
      <c r="C193" s="1020"/>
      <c r="D193" s="1020"/>
      <c r="E193" s="1020"/>
      <c r="F193" s="1020"/>
      <c r="G193" s="1020"/>
      <c r="H193" s="1020"/>
      <c r="I193" s="1020"/>
      <c r="J193" s="1020"/>
      <c r="K193" s="1020"/>
      <c r="L193" s="1020"/>
      <c r="M193" s="1020"/>
      <c r="N193" s="1020"/>
      <c r="O193" s="1020"/>
      <c r="P193" s="1020"/>
      <c r="Q193" s="1232"/>
      <c r="S193" s="1026"/>
      <c r="T193" s="933"/>
      <c r="U193" s="446" t="s">
        <v>789</v>
      </c>
      <c r="V193" s="1084">
        <v>42981</v>
      </c>
      <c r="W193" s="8">
        <f>ROUND(O184/13,0)</f>
        <v>20300</v>
      </c>
      <c r="X193" s="1085">
        <v>5900</v>
      </c>
      <c r="Y193" s="25">
        <f t="shared" si="128"/>
        <v>119770000</v>
      </c>
      <c r="Z193" s="8"/>
    </row>
    <row r="194" spans="1:26" ht="18.75" customHeight="1">
      <c r="A194" s="1020"/>
      <c r="B194" s="1020"/>
      <c r="C194" s="1020"/>
      <c r="D194" s="1020"/>
      <c r="E194" s="1020"/>
      <c r="F194" s="1020"/>
      <c r="G194" s="1020"/>
      <c r="H194" s="1020"/>
      <c r="I194" s="1020"/>
      <c r="J194" s="1020"/>
      <c r="K194" s="1020"/>
      <c r="L194" s="1020"/>
      <c r="M194" s="1020"/>
      <c r="N194" s="1020"/>
      <c r="O194" s="1020"/>
      <c r="P194" s="1020"/>
      <c r="Q194" s="1232"/>
      <c r="S194" s="1026"/>
      <c r="T194" s="933"/>
      <c r="U194" s="940" t="s">
        <v>891</v>
      </c>
      <c r="V194" s="1084">
        <v>42981</v>
      </c>
      <c r="W194" s="8">
        <v>21280</v>
      </c>
      <c r="X194" s="1085">
        <v>200</v>
      </c>
      <c r="Y194" s="25">
        <f t="shared" si="128"/>
        <v>4256000</v>
      </c>
      <c r="Z194" s="8"/>
    </row>
    <row r="195" spans="1:26" ht="18.75" customHeight="1">
      <c r="A195" s="1020"/>
      <c r="B195" s="1020"/>
      <c r="C195" s="1020"/>
      <c r="D195" s="1020"/>
      <c r="E195" s="1020"/>
      <c r="F195" s="1020"/>
      <c r="G195" s="1020"/>
      <c r="H195" s="1020"/>
      <c r="I195" s="1020"/>
      <c r="J195" s="1020"/>
      <c r="K195" s="1020"/>
      <c r="L195" s="1020"/>
      <c r="M195" s="1020"/>
      <c r="N195" s="1020"/>
      <c r="O195" s="1020"/>
      <c r="P195" s="1020"/>
      <c r="Q195" s="1233"/>
      <c r="S195" s="655"/>
      <c r="T195" s="933"/>
      <c r="U195" s="446" t="s">
        <v>800</v>
      </c>
      <c r="V195" s="1084">
        <v>42983</v>
      </c>
      <c r="W195" s="25">
        <v>638</v>
      </c>
      <c r="X195" s="1085">
        <v>9660</v>
      </c>
      <c r="Y195" s="25">
        <f t="shared" si="128"/>
        <v>6163080</v>
      </c>
      <c r="Z195" s="8"/>
    </row>
    <row r="196" spans="1:26" ht="18.75" customHeight="1">
      <c r="A196" s="1020"/>
      <c r="B196" s="1020"/>
      <c r="C196" s="1020"/>
      <c r="D196" s="1020"/>
      <c r="E196" s="1020"/>
      <c r="F196" s="1020"/>
      <c r="G196" s="1020"/>
      <c r="H196" s="1020"/>
      <c r="I196" s="1020"/>
      <c r="J196" s="1020"/>
      <c r="K196" s="1020"/>
      <c r="L196" s="1020"/>
      <c r="M196" s="1020"/>
      <c r="N196" s="1020"/>
      <c r="O196" s="1020"/>
      <c r="P196" s="1020"/>
      <c r="Q196" s="1231"/>
      <c r="S196" s="933"/>
      <c r="T196" s="933"/>
      <c r="U196" s="446" t="s">
        <v>373</v>
      </c>
      <c r="V196" s="1084">
        <v>42983</v>
      </c>
      <c r="W196" s="25">
        <v>1008</v>
      </c>
      <c r="X196" s="1085">
        <v>13500</v>
      </c>
      <c r="Y196" s="25">
        <f t="shared" si="128"/>
        <v>13608000</v>
      </c>
      <c r="Z196" s="8"/>
    </row>
    <row r="197" spans="1:26" ht="18.75" customHeight="1">
      <c r="A197" s="1020"/>
      <c r="B197" s="1020"/>
      <c r="C197" s="1020"/>
      <c r="D197" s="1020"/>
      <c r="E197" s="1020"/>
      <c r="F197" s="1020"/>
      <c r="G197" s="1020"/>
      <c r="H197" s="1020"/>
      <c r="I197" s="1020"/>
      <c r="J197" s="1020"/>
      <c r="K197" s="1020"/>
      <c r="L197" s="1020"/>
      <c r="M197" s="1020"/>
      <c r="N197" s="1020"/>
      <c r="O197" s="1020"/>
      <c r="P197" s="1020"/>
      <c r="Q197" s="1231"/>
      <c r="S197" s="933"/>
      <c r="T197" s="933"/>
      <c r="U197" s="446" t="s">
        <v>377</v>
      </c>
      <c r="V197" s="1084">
        <v>42996</v>
      </c>
      <c r="W197" s="25">
        <v>424</v>
      </c>
      <c r="X197" s="1085">
        <v>18000</v>
      </c>
      <c r="Y197" s="25">
        <f t="shared" si="128"/>
        <v>7632000</v>
      </c>
      <c r="Z197" s="8"/>
    </row>
    <row r="198" spans="1:26" ht="18.75" customHeight="1">
      <c r="A198" s="1020"/>
      <c r="B198" s="1020"/>
      <c r="C198" s="1020"/>
      <c r="D198" s="1020"/>
      <c r="E198" s="1020"/>
      <c r="F198" s="1020"/>
      <c r="G198" s="1020"/>
      <c r="H198" s="1020"/>
      <c r="I198" s="1020"/>
      <c r="J198" s="1020"/>
      <c r="K198" s="1020"/>
      <c r="L198" s="1020"/>
      <c r="M198" s="1020"/>
      <c r="N198" s="1020"/>
      <c r="O198" s="1020"/>
      <c r="P198" s="1020"/>
      <c r="Q198" s="1231"/>
      <c r="S198" s="933"/>
      <c r="T198" s="933"/>
      <c r="U198" s="446" t="s">
        <v>373</v>
      </c>
      <c r="V198" s="1084">
        <v>43003</v>
      </c>
      <c r="W198" s="1085">
        <v>1057</v>
      </c>
      <c r="X198" s="1085">
        <v>13500</v>
      </c>
      <c r="Y198" s="25">
        <f t="shared" si="128"/>
        <v>14269500</v>
      </c>
      <c r="Z198" s="8"/>
    </row>
    <row r="199" spans="1:26" ht="18.75" customHeight="1">
      <c r="A199" s="1020"/>
      <c r="B199" s="1020"/>
      <c r="C199" s="1020"/>
      <c r="D199" s="1020"/>
      <c r="E199" s="1020"/>
      <c r="F199" s="1020"/>
      <c r="G199" s="1020"/>
      <c r="H199" s="1020"/>
      <c r="I199" s="1020"/>
      <c r="J199" s="1020"/>
      <c r="K199" s="1020"/>
      <c r="L199" s="1020"/>
      <c r="M199" s="1020"/>
      <c r="N199" s="1020"/>
      <c r="O199" s="1020"/>
      <c r="P199" s="1020"/>
      <c r="Q199" s="1231"/>
      <c r="S199" s="933"/>
      <c r="T199" s="933"/>
      <c r="U199" s="940"/>
      <c r="V199" s="1084"/>
      <c r="W199" s="1085"/>
      <c r="X199" s="1085"/>
      <c r="Y199" s="25">
        <f t="shared" si="128"/>
        <v>0</v>
      </c>
      <c r="Z199" s="8"/>
    </row>
    <row r="200" spans="1:26" ht="18.75" customHeight="1">
      <c r="A200" s="1020"/>
      <c r="B200" s="1020"/>
      <c r="C200" s="1020"/>
      <c r="D200" s="1020"/>
      <c r="E200" s="1020"/>
      <c r="F200" s="1020"/>
      <c r="G200" s="1020"/>
      <c r="H200" s="1020"/>
      <c r="I200" s="1020"/>
      <c r="J200" s="1020"/>
      <c r="K200" s="1020"/>
      <c r="L200" s="1020"/>
      <c r="M200" s="1020"/>
      <c r="N200" s="1020"/>
      <c r="O200" s="1020"/>
      <c r="P200" s="1020"/>
      <c r="Q200" s="1231"/>
      <c r="S200" s="933"/>
      <c r="T200" s="933"/>
      <c r="U200" s="940"/>
      <c r="V200" s="1084"/>
      <c r="W200" s="25">
        <f>SUM(W191:W199)</f>
        <v>86706</v>
      </c>
      <c r="X200" s="25"/>
      <c r="Y200" s="25">
        <f>SUM(Y191:Y199)</f>
        <v>413492680</v>
      </c>
      <c r="Z200" s="8"/>
    </row>
    <row r="201" spans="1:26" ht="15.75" customHeight="1">
      <c r="A201" s="1023" t="s">
        <v>495</v>
      </c>
      <c r="B201" s="1023"/>
      <c r="C201" s="1024"/>
      <c r="D201" s="1025"/>
      <c r="E201" s="1025"/>
      <c r="F201" s="1025"/>
      <c r="G201" s="437"/>
      <c r="H201" s="437"/>
      <c r="I201" s="437"/>
      <c r="J201" s="437"/>
      <c r="K201" s="437"/>
      <c r="L201" s="437"/>
      <c r="M201" s="437"/>
      <c r="N201" s="437"/>
      <c r="O201" s="918"/>
      <c r="P201" s="437"/>
      <c r="Q201" s="1231"/>
      <c r="S201" s="933"/>
      <c r="T201" s="933"/>
      <c r="U201" s="437"/>
      <c r="V201" s="1027"/>
      <c r="W201" s="437"/>
      <c r="X201" s="437"/>
      <c r="Y201" s="1020"/>
      <c r="Z201" s="1020"/>
    </row>
    <row r="202" spans="1:26" ht="15.75" customHeight="1">
      <c r="A202" s="1028" t="s">
        <v>912</v>
      </c>
      <c r="B202" s="1028"/>
      <c r="C202" s="1028"/>
      <c r="D202" s="1028"/>
      <c r="E202" s="1028"/>
      <c r="F202" s="1028"/>
      <c r="G202" s="1028"/>
      <c r="H202" s="1028"/>
      <c r="I202" s="1028"/>
      <c r="J202" s="1028"/>
      <c r="K202" s="1028"/>
      <c r="L202" s="1028"/>
      <c r="M202" s="1028"/>
      <c r="N202" s="1028"/>
      <c r="O202" s="1028"/>
      <c r="P202" s="1028"/>
      <c r="Q202" s="1232"/>
      <c r="S202" s="1021"/>
      <c r="T202" s="933"/>
      <c r="U202" s="437"/>
      <c r="V202" s="1027"/>
      <c r="W202" s="437"/>
      <c r="X202" s="437"/>
      <c r="Y202" s="1020"/>
      <c r="Z202" s="1020"/>
    </row>
    <row r="203" spans="1:26" ht="15" customHeight="1">
      <c r="A203" s="1029"/>
      <c r="B203" s="1029"/>
      <c r="C203" s="1030"/>
      <c r="D203" s="1029"/>
      <c r="E203" s="1029"/>
      <c r="F203" s="1029"/>
      <c r="G203" s="1029"/>
      <c r="H203" s="1029"/>
      <c r="I203" s="1029"/>
      <c r="J203" s="1029"/>
      <c r="K203" s="1029"/>
      <c r="L203" s="1029"/>
      <c r="M203" s="1029"/>
      <c r="N203" s="1029"/>
      <c r="O203" s="1031"/>
      <c r="P203" s="1029"/>
      <c r="Q203" s="1232"/>
      <c r="S203" s="1021"/>
      <c r="T203" s="933"/>
      <c r="U203" s="437"/>
      <c r="V203" s="1027"/>
      <c r="W203" s="437"/>
      <c r="X203" s="437"/>
      <c r="Y203" s="1020"/>
      <c r="Z203" s="1020"/>
    </row>
    <row r="204" spans="1:26" ht="35.25" customHeight="1">
      <c r="A204" s="650" t="s">
        <v>37</v>
      </c>
      <c r="B204" s="650" t="s">
        <v>496</v>
      </c>
      <c r="C204" s="651" t="s">
        <v>497</v>
      </c>
      <c r="D204" s="652" t="s">
        <v>498</v>
      </c>
      <c r="E204" s="652" t="s">
        <v>499</v>
      </c>
      <c r="F204" s="652" t="s">
        <v>500</v>
      </c>
      <c r="G204" s="652" t="s">
        <v>501</v>
      </c>
      <c r="H204" s="652" t="s">
        <v>502</v>
      </c>
      <c r="I204" s="652" t="s">
        <v>503</v>
      </c>
      <c r="J204" s="652" t="s">
        <v>504</v>
      </c>
      <c r="K204" s="653" t="s">
        <v>505</v>
      </c>
      <c r="L204" s="652" t="s">
        <v>506</v>
      </c>
      <c r="M204" s="653" t="s">
        <v>507</v>
      </c>
      <c r="N204" s="652" t="s">
        <v>508</v>
      </c>
      <c r="O204" s="654" t="s">
        <v>499</v>
      </c>
      <c r="P204" s="652" t="s">
        <v>509</v>
      </c>
      <c r="Q204" s="1232"/>
      <c r="S204" s="1021"/>
      <c r="T204" s="933"/>
      <c r="U204" s="650" t="s">
        <v>496</v>
      </c>
      <c r="V204" s="652" t="s">
        <v>464</v>
      </c>
      <c r="W204" s="652" t="s">
        <v>327</v>
      </c>
      <c r="X204" s="652" t="s">
        <v>500</v>
      </c>
      <c r="Y204" s="652" t="s">
        <v>510</v>
      </c>
      <c r="Z204" s="650" t="s">
        <v>510</v>
      </c>
    </row>
    <row r="205" spans="1:26" ht="19.5" customHeight="1">
      <c r="A205" s="1033" t="str">
        <f>IF(B205&lt;&gt;"",ROW()-(ROW()-1),"")</f>
        <v/>
      </c>
      <c r="B205" s="1039"/>
      <c r="C205" s="1086"/>
      <c r="D205" s="1035">
        <f t="shared" ref="D205" si="129">ROUND(C205*O205,0)</f>
        <v>0</v>
      </c>
      <c r="E205" s="1035"/>
      <c r="F205" s="1087"/>
      <c r="G205" s="25">
        <f t="shared" ref="G205" si="130">(D205+E205)*F205</f>
        <v>0</v>
      </c>
      <c r="H205" s="1035">
        <f>IF($D$210&lt;&gt;0,H$210/($D$210+$E$210/4)*($D205+$E205/4),0)</f>
        <v>0</v>
      </c>
      <c r="I205" s="1035">
        <f t="shared" ref="I205:K208" si="131">IF($D$210&lt;&gt;0,I$210/$D$210*$D205,0)</f>
        <v>0</v>
      </c>
      <c r="J205" s="1035">
        <f t="shared" si="131"/>
        <v>0</v>
      </c>
      <c r="K205" s="1035">
        <f t="shared" si="131"/>
        <v>0</v>
      </c>
      <c r="L205" s="1090"/>
      <c r="M205" s="1035"/>
      <c r="N205" s="25">
        <f>ROUND(SUM(G205:L205),0)</f>
        <v>0</v>
      </c>
      <c r="O205" s="1091"/>
      <c r="P205" s="1035">
        <f t="shared" ref="P205" si="132">IF(N205&lt;&gt;0,N205/O205,0)</f>
        <v>0</v>
      </c>
      <c r="Q205" s="1232"/>
      <c r="S205" s="1021"/>
      <c r="T205" s="933">
        <f t="shared" si="111"/>
        <v>0</v>
      </c>
      <c r="U205" s="657" t="s">
        <v>329</v>
      </c>
      <c r="V205" s="1084"/>
      <c r="W205" s="1085">
        <v>150</v>
      </c>
      <c r="X205" s="1085">
        <v>32200</v>
      </c>
      <c r="Y205" s="25">
        <f t="shared" ref="Y205:Y211" si="133">ROUND(W205*X205,0)</f>
        <v>4830000</v>
      </c>
      <c r="Z205" s="25"/>
    </row>
    <row r="206" spans="1:26" ht="19.5" customHeight="1">
      <c r="A206" s="1033" t="str">
        <f>IF(B206&lt;&gt;"",A205+1,"")</f>
        <v/>
      </c>
      <c r="B206" s="941"/>
      <c r="C206" s="1086"/>
      <c r="D206" s="1035">
        <f t="shared" ref="D206:D208" si="134">ROUND(C206*O206,0)</f>
        <v>0</v>
      </c>
      <c r="E206" s="1035"/>
      <c r="F206" s="1087"/>
      <c r="G206" s="25">
        <f t="shared" ref="G206:G208" si="135">(D206+E206)*F206</f>
        <v>0</v>
      </c>
      <c r="H206" s="1035">
        <f>IF($D$210&lt;&gt;0,H$210/($D$210+$E$210/4)*($D206+$E206/4),0)</f>
        <v>0</v>
      </c>
      <c r="I206" s="1035">
        <f t="shared" si="131"/>
        <v>0</v>
      </c>
      <c r="J206" s="1035">
        <f t="shared" si="131"/>
        <v>0</v>
      </c>
      <c r="K206" s="1035">
        <f t="shared" si="131"/>
        <v>0</v>
      </c>
      <c r="L206" s="1087"/>
      <c r="M206" s="1035"/>
      <c r="N206" s="25">
        <f t="shared" ref="N206:N208" si="136">ROUND(SUM(G206:L206),0)</f>
        <v>0</v>
      </c>
      <c r="O206" s="1091"/>
      <c r="P206" s="1035">
        <f>IF(N206&lt;&gt;0,N206/O206,0)</f>
        <v>0</v>
      </c>
      <c r="Q206" s="1232"/>
      <c r="S206" s="1021"/>
      <c r="T206" s="933">
        <f t="shared" si="111"/>
        <v>0</v>
      </c>
      <c r="U206" s="657" t="s">
        <v>335</v>
      </c>
      <c r="V206" s="1084"/>
      <c r="W206" s="1085">
        <v>150</v>
      </c>
      <c r="X206" s="872">
        <v>49808.000000000007</v>
      </c>
      <c r="Y206" s="25">
        <f t="shared" si="133"/>
        <v>7471200</v>
      </c>
      <c r="Z206" s="8"/>
    </row>
    <row r="207" spans="1:26" ht="19.5" customHeight="1">
      <c r="A207" s="1033" t="str">
        <f>IF(B207&lt;&gt;"",A206+1,"")</f>
        <v/>
      </c>
      <c r="B207" s="1039"/>
      <c r="C207" s="1034"/>
      <c r="D207" s="1035">
        <f t="shared" si="134"/>
        <v>0</v>
      </c>
      <c r="E207" s="1035"/>
      <c r="F207" s="1087"/>
      <c r="G207" s="25">
        <f>(D207+E207)*F207</f>
        <v>0</v>
      </c>
      <c r="H207" s="1035">
        <f>IF($D$210&lt;&gt;0,H$210/($D$210+$E$210/4)*($D207+$E207/4),0)</f>
        <v>0</v>
      </c>
      <c r="I207" s="1035">
        <f t="shared" si="131"/>
        <v>0</v>
      </c>
      <c r="J207" s="1035">
        <f t="shared" si="131"/>
        <v>0</v>
      </c>
      <c r="K207" s="1035">
        <f t="shared" si="131"/>
        <v>0</v>
      </c>
      <c r="L207" s="1090"/>
      <c r="M207" s="1035"/>
      <c r="N207" s="25">
        <f t="shared" si="136"/>
        <v>0</v>
      </c>
      <c r="O207" s="1091"/>
      <c r="P207" s="1035">
        <f t="shared" ref="P207:P208" si="137">IF(N207&lt;&gt;0,N207/O207,0)</f>
        <v>0</v>
      </c>
      <c r="Q207" s="1232"/>
      <c r="S207" s="1021"/>
      <c r="T207" s="933">
        <f t="shared" si="111"/>
        <v>0</v>
      </c>
      <c r="U207" s="657" t="s">
        <v>338</v>
      </c>
      <c r="V207" s="1084"/>
      <c r="W207" s="81">
        <v>400</v>
      </c>
      <c r="X207" s="872">
        <v>16476.189999999999</v>
      </c>
      <c r="Y207" s="25">
        <f t="shared" si="133"/>
        <v>6590476</v>
      </c>
      <c r="Z207" s="8"/>
    </row>
    <row r="208" spans="1:26" ht="19.5" customHeight="1">
      <c r="A208" s="1033" t="str">
        <f>IF(B208&lt;&gt;"",A207+1,"")</f>
        <v/>
      </c>
      <c r="B208" s="1039"/>
      <c r="C208" s="1034">
        <f>IF(ISNA(VLOOKUP(B208,NXT!$Q$82:$S$92,2,0)),0,VLOOKUP(B208,NXT!$Q$82:$S$92,2,0))</f>
        <v>0</v>
      </c>
      <c r="D208" s="1035">
        <f t="shared" si="134"/>
        <v>0</v>
      </c>
      <c r="E208" s="1035"/>
      <c r="F208" s="1035"/>
      <c r="G208" s="25">
        <f t="shared" si="135"/>
        <v>0</v>
      </c>
      <c r="H208" s="1035">
        <f>IF($D$210&lt;&gt;0,H$210/($D$210+$E$210/4)*($D208+$E208/4),0)</f>
        <v>0</v>
      </c>
      <c r="I208" s="1035">
        <f t="shared" si="131"/>
        <v>0</v>
      </c>
      <c r="J208" s="1035">
        <f t="shared" si="131"/>
        <v>0</v>
      </c>
      <c r="K208" s="1035">
        <f t="shared" si="131"/>
        <v>0</v>
      </c>
      <c r="L208" s="1035"/>
      <c r="M208" s="1035"/>
      <c r="N208" s="25">
        <f t="shared" si="136"/>
        <v>0</v>
      </c>
      <c r="O208" s="394"/>
      <c r="P208" s="1035">
        <f t="shared" si="137"/>
        <v>0</v>
      </c>
      <c r="Q208" s="1232"/>
      <c r="S208" s="1021"/>
      <c r="T208" s="933">
        <f t="shared" si="111"/>
        <v>0</v>
      </c>
      <c r="U208" s="657" t="s">
        <v>798</v>
      </c>
      <c r="V208" s="1084"/>
      <c r="W208" s="81">
        <v>40</v>
      </c>
      <c r="X208" s="872">
        <v>53000</v>
      </c>
      <c r="Y208" s="25">
        <f t="shared" si="133"/>
        <v>2120000</v>
      </c>
      <c r="Z208" s="8"/>
    </row>
    <row r="209" spans="1:26" ht="19.5" customHeight="1">
      <c r="A209" s="1033" t="str">
        <f>IF(B209&lt;&gt;"",#REF!+1,"")</f>
        <v/>
      </c>
      <c r="B209" s="1040"/>
      <c r="C209" s="1041"/>
      <c r="D209" s="1042"/>
      <c r="E209" s="1042"/>
      <c r="F209" s="1042"/>
      <c r="G209" s="1043"/>
      <c r="H209" s="1044"/>
      <c r="I209" s="1042"/>
      <c r="J209" s="8"/>
      <c r="K209" s="1042"/>
      <c r="L209" s="1044"/>
      <c r="M209" s="1042"/>
      <c r="N209" s="1066"/>
      <c r="O209" s="1045"/>
      <c r="P209" s="1042"/>
      <c r="Q209" s="1232"/>
      <c r="S209" s="1021"/>
      <c r="T209" s="933">
        <f t="shared" si="111"/>
        <v>0</v>
      </c>
      <c r="U209" s="657" t="s">
        <v>343</v>
      </c>
      <c r="V209" s="1084"/>
      <c r="W209" s="81">
        <v>600</v>
      </c>
      <c r="X209" s="872">
        <v>3200</v>
      </c>
      <c r="Y209" s="25">
        <f t="shared" si="133"/>
        <v>1920000</v>
      </c>
      <c r="Z209" s="8"/>
    </row>
    <row r="210" spans="1:26" ht="19.5" customHeight="1">
      <c r="A210" s="1046"/>
      <c r="B210" s="1047" t="s">
        <v>511</v>
      </c>
      <c r="C210" s="1048"/>
      <c r="D210" s="832">
        <f>SUM(D205:D209)</f>
        <v>0</v>
      </c>
      <c r="E210" s="832">
        <f>SUM(E205:E209)</f>
        <v>0</v>
      </c>
      <c r="F210" s="832"/>
      <c r="G210" s="832">
        <f>SUM(G205:G209)</f>
        <v>0</v>
      </c>
      <c r="H210" s="832"/>
      <c r="I210" s="832">
        <f>Y213</f>
        <v>64297276</v>
      </c>
      <c r="J210" s="1092"/>
      <c r="K210" s="832">
        <v>57524547</v>
      </c>
      <c r="L210" s="832">
        <f>ROUND(SUM(L205:L209),0)</f>
        <v>0</v>
      </c>
      <c r="M210" s="832">
        <f>ROUND(SUM(M205:M209),0)</f>
        <v>0</v>
      </c>
      <c r="N210" s="832">
        <f>ROUND(SUM(N205:N209),0)</f>
        <v>0</v>
      </c>
      <c r="O210" s="832">
        <f>ROUND(SUM(O205:O209),0)</f>
        <v>0</v>
      </c>
      <c r="P210" s="832"/>
      <c r="Q210" s="1232"/>
      <c r="S210" s="1026"/>
      <c r="T210" s="933">
        <f t="shared" si="111"/>
        <v>0</v>
      </c>
      <c r="U210" s="657" t="s">
        <v>823</v>
      </c>
      <c r="V210" s="1084"/>
      <c r="W210" s="81">
        <v>2700</v>
      </c>
      <c r="X210" s="872">
        <v>14728</v>
      </c>
      <c r="Y210" s="25">
        <f t="shared" si="133"/>
        <v>39765600</v>
      </c>
      <c r="Z210" s="8"/>
    </row>
    <row r="211" spans="1:26" ht="19.5" customHeight="1">
      <c r="A211" s="1020"/>
      <c r="B211" s="1020"/>
      <c r="C211" s="1020"/>
      <c r="D211" s="1020"/>
      <c r="E211" s="1020"/>
      <c r="F211" s="1020"/>
      <c r="G211" s="1020"/>
      <c r="H211" s="1020"/>
      <c r="I211" s="1020"/>
      <c r="J211" s="1020"/>
      <c r="K211" s="1020"/>
      <c r="L211" s="1020"/>
      <c r="M211" s="1020"/>
      <c r="N211" s="1020"/>
      <c r="O211" s="1020"/>
      <c r="P211" s="1020"/>
      <c r="Q211" s="1232"/>
      <c r="S211" s="1026"/>
      <c r="T211" s="933"/>
      <c r="U211" s="657" t="s">
        <v>348</v>
      </c>
      <c r="V211" s="1084"/>
      <c r="W211" s="1085">
        <v>200</v>
      </c>
      <c r="X211" s="1094">
        <v>8000</v>
      </c>
      <c r="Y211" s="25">
        <f t="shared" si="133"/>
        <v>1600000</v>
      </c>
      <c r="Z211" s="8"/>
    </row>
    <row r="212" spans="1:26" ht="19.5" customHeight="1">
      <c r="A212" s="1020"/>
      <c r="B212" s="1020"/>
      <c r="C212" s="1020"/>
      <c r="D212" s="1020"/>
      <c r="E212" s="1020"/>
      <c r="F212" s="1020"/>
      <c r="G212" s="1020"/>
      <c r="H212" s="1020"/>
      <c r="I212" s="1020"/>
      <c r="J212" s="1020"/>
      <c r="K212" s="1020"/>
      <c r="L212" s="1020"/>
      <c r="M212" s="1020"/>
      <c r="N212" s="1020"/>
      <c r="O212" s="1020"/>
      <c r="P212" s="1020"/>
      <c r="Q212" s="1232"/>
      <c r="S212" s="1026"/>
      <c r="T212" s="933"/>
      <c r="U212" s="25"/>
      <c r="V212" s="660"/>
      <c r="W212" s="81"/>
      <c r="X212" s="81"/>
      <c r="Y212" s="8"/>
      <c r="Z212" s="8"/>
    </row>
    <row r="213" spans="1:26" ht="19.5" customHeight="1">
      <c r="A213" s="1020"/>
      <c r="B213" s="1020"/>
      <c r="C213" s="1020"/>
      <c r="D213" s="1020"/>
      <c r="E213" s="1020"/>
      <c r="F213" s="1020"/>
      <c r="G213" s="1020"/>
      <c r="H213" s="1020"/>
      <c r="I213" s="1020"/>
      <c r="J213" s="1020"/>
      <c r="K213" s="1020"/>
      <c r="L213" s="1020"/>
      <c r="M213" s="1020"/>
      <c r="N213" s="1020"/>
      <c r="O213" s="1020"/>
      <c r="P213" s="1020"/>
      <c r="Q213" s="1232"/>
      <c r="S213" s="1026"/>
      <c r="T213" s="933"/>
      <c r="U213" s="1069"/>
      <c r="V213" s="1070"/>
      <c r="W213" s="1071"/>
      <c r="X213" s="1080"/>
      <c r="Y213" s="74">
        <f>SUM(Y205:Y212)</f>
        <v>64297276</v>
      </c>
      <c r="Z213" s="74">
        <f>SUM(Z205:Z212)</f>
        <v>0</v>
      </c>
    </row>
    <row r="214" spans="1:26" ht="19.5" customHeight="1">
      <c r="A214" s="1020"/>
      <c r="B214" s="1020"/>
      <c r="C214" s="1020"/>
      <c r="D214" s="1020"/>
      <c r="E214" s="1020"/>
      <c r="F214" s="1020"/>
      <c r="G214" s="1020"/>
      <c r="H214" s="1020"/>
      <c r="I214" s="1020"/>
      <c r="J214" s="1020"/>
      <c r="K214" s="1020"/>
      <c r="L214" s="1020"/>
      <c r="M214" s="1020"/>
      <c r="N214" s="1020"/>
      <c r="O214" s="1020"/>
      <c r="P214" s="1020"/>
      <c r="Q214" s="1232"/>
      <c r="S214" s="1026"/>
      <c r="T214" s="933"/>
      <c r="U214" s="940" t="s">
        <v>891</v>
      </c>
      <c r="V214" s="1084"/>
      <c r="W214" s="1085"/>
      <c r="X214" s="1089"/>
      <c r="Y214" s="25">
        <f>ROUND(W214*X214,0)</f>
        <v>0</v>
      </c>
      <c r="Z214" s="25"/>
    </row>
    <row r="215" spans="1:26" ht="19.5" customHeight="1">
      <c r="A215" s="1020"/>
      <c r="B215" s="1020"/>
      <c r="C215" s="1020"/>
      <c r="D215" s="1020"/>
      <c r="E215" s="1020"/>
      <c r="F215" s="1020"/>
      <c r="G215" s="1020"/>
      <c r="H215" s="1020"/>
      <c r="I215" s="1020"/>
      <c r="J215" s="1020"/>
      <c r="K215" s="1020"/>
      <c r="L215" s="1020"/>
      <c r="M215" s="1020"/>
      <c r="N215" s="1020"/>
      <c r="O215" s="1020"/>
      <c r="P215" s="1020"/>
      <c r="Q215" s="1233"/>
      <c r="S215" s="655"/>
      <c r="T215" s="933"/>
      <c r="U215" s="939"/>
      <c r="V215" s="1084"/>
      <c r="W215" s="1089"/>
      <c r="X215" s="1089"/>
      <c r="Y215" s="25">
        <f>ROUND(W215*X215,0)</f>
        <v>0</v>
      </c>
      <c r="Z215" s="25"/>
    </row>
    <row r="216" spans="1:26" ht="19.5" customHeight="1">
      <c r="A216" s="1020"/>
      <c r="B216" s="1020"/>
      <c r="C216" s="1020"/>
      <c r="D216" s="1020"/>
      <c r="E216" s="1020"/>
      <c r="F216" s="1020"/>
      <c r="G216" s="1020"/>
      <c r="H216" s="1020"/>
      <c r="I216" s="1020"/>
      <c r="J216" s="1020"/>
      <c r="K216" s="1020"/>
      <c r="L216" s="1020"/>
      <c r="M216" s="1020"/>
      <c r="N216" s="1020"/>
      <c r="O216" s="1020"/>
      <c r="P216" s="1020"/>
      <c r="Q216" s="1231"/>
      <c r="S216" s="933"/>
      <c r="T216" s="933"/>
      <c r="U216" s="940"/>
      <c r="V216" s="1084"/>
      <c r="W216" s="1089"/>
      <c r="X216" s="1089"/>
      <c r="Y216" s="25">
        <f>ROUND(W216*X216,0)</f>
        <v>0</v>
      </c>
      <c r="Z216" s="25"/>
    </row>
    <row r="217" spans="1:26" ht="19.5" customHeight="1">
      <c r="A217" s="1020"/>
      <c r="B217" s="1020"/>
      <c r="C217" s="1020"/>
      <c r="D217" s="1020"/>
      <c r="E217" s="1020"/>
      <c r="F217" s="1020"/>
      <c r="G217" s="1020"/>
      <c r="H217" s="1020"/>
      <c r="I217" s="1020"/>
      <c r="J217" s="1020"/>
      <c r="K217" s="1020"/>
      <c r="L217" s="1020"/>
      <c r="M217" s="1020"/>
      <c r="N217" s="1020"/>
      <c r="O217" s="1020"/>
      <c r="P217" s="1020"/>
      <c r="Q217" s="1231"/>
      <c r="S217" s="933"/>
      <c r="T217" s="933"/>
      <c r="U217" s="940"/>
      <c r="V217" s="1093"/>
      <c r="W217" s="1089"/>
      <c r="X217" s="1089"/>
      <c r="Y217" s="25">
        <f t="shared" ref="Y217:Y219" si="138">ROUND(W217*X217,0)</f>
        <v>0</v>
      </c>
      <c r="Z217" s="25"/>
    </row>
    <row r="218" spans="1:26" ht="19.5" customHeight="1">
      <c r="A218" s="1020"/>
      <c r="B218" s="1020"/>
      <c r="C218" s="1020"/>
      <c r="D218" s="1020"/>
      <c r="E218" s="1020"/>
      <c r="F218" s="1020"/>
      <c r="G218" s="1020"/>
      <c r="H218" s="1020"/>
      <c r="I218" s="1020"/>
      <c r="J218" s="1020"/>
      <c r="K218" s="1020"/>
      <c r="L218" s="1020"/>
      <c r="M218" s="1020"/>
      <c r="N218" s="1020"/>
      <c r="O218" s="1020"/>
      <c r="P218" s="1020"/>
      <c r="Q218" s="1231"/>
      <c r="S218" s="933"/>
      <c r="T218" s="933"/>
      <c r="U218" s="940"/>
      <c r="V218" s="1093"/>
      <c r="W218" s="1089"/>
      <c r="X218" s="1089"/>
      <c r="Y218" s="25">
        <f t="shared" si="138"/>
        <v>0</v>
      </c>
      <c r="Z218" s="8"/>
    </row>
    <row r="219" spans="1:26" ht="19.5" customHeight="1">
      <c r="A219" s="1020"/>
      <c r="B219" s="1020"/>
      <c r="C219" s="1020"/>
      <c r="D219" s="1020"/>
      <c r="E219" s="1020"/>
      <c r="F219" s="1020"/>
      <c r="G219" s="1020"/>
      <c r="H219" s="1020"/>
      <c r="I219" s="1020"/>
      <c r="J219" s="1020"/>
      <c r="K219" s="1020"/>
      <c r="L219" s="1020"/>
      <c r="M219" s="1020"/>
      <c r="N219" s="1020"/>
      <c r="O219" s="1020"/>
      <c r="P219" s="1020"/>
      <c r="Q219" s="1231"/>
      <c r="S219" s="933"/>
      <c r="T219" s="933"/>
      <c r="U219" s="1094"/>
      <c r="V219" s="1093"/>
      <c r="W219" s="1089"/>
      <c r="X219" s="1089"/>
      <c r="Y219" s="25">
        <f t="shared" si="138"/>
        <v>0</v>
      </c>
      <c r="Z219" s="8"/>
    </row>
    <row r="220" spans="1:26" ht="19.5" customHeight="1">
      <c r="A220" s="1020"/>
      <c r="B220" s="1020"/>
      <c r="C220" s="1020"/>
      <c r="D220" s="1020"/>
      <c r="E220" s="1020"/>
      <c r="F220" s="1020"/>
      <c r="G220" s="1020"/>
      <c r="H220" s="1020"/>
      <c r="I220" s="1020"/>
      <c r="J220" s="1020"/>
      <c r="K220" s="1020"/>
      <c r="L220" s="1020"/>
      <c r="M220" s="1020"/>
      <c r="N220" s="1020"/>
      <c r="O220" s="1020"/>
      <c r="P220" s="1020"/>
      <c r="Q220" s="1231"/>
      <c r="S220" s="933"/>
      <c r="T220" s="933"/>
      <c r="U220" s="657"/>
      <c r="V220" s="1077"/>
      <c r="W220" s="872"/>
      <c r="X220" s="872"/>
      <c r="Y220" s="25">
        <f>SUM(Y214:Y219)</f>
        <v>0</v>
      </c>
      <c r="Z220" s="8"/>
    </row>
    <row r="221" spans="1:26" ht="19.5" customHeight="1">
      <c r="A221" s="1020"/>
      <c r="B221" s="1020"/>
      <c r="C221" s="1020"/>
      <c r="D221" s="1020"/>
      <c r="E221" s="1020"/>
      <c r="F221" s="1020"/>
      <c r="G221" s="1020"/>
      <c r="H221" s="1020"/>
      <c r="I221" s="1020"/>
      <c r="J221" s="1020"/>
      <c r="K221" s="1020"/>
      <c r="L221" s="1020"/>
      <c r="M221" s="1020"/>
      <c r="N221" s="1020"/>
      <c r="O221" s="1020"/>
      <c r="P221" s="1020"/>
      <c r="Q221" s="1231"/>
      <c r="S221" s="933"/>
      <c r="T221" s="933"/>
      <c r="U221" s="657"/>
      <c r="V221" s="660"/>
      <c r="W221" s="872"/>
      <c r="X221" s="872"/>
      <c r="Y221" s="25"/>
      <c r="Z221" s="8"/>
    </row>
    <row r="222" spans="1:26" ht="19.5" customHeight="1">
      <c r="A222" s="1020"/>
      <c r="B222" s="1020"/>
      <c r="C222" s="1020"/>
      <c r="D222" s="1020"/>
      <c r="E222" s="1020"/>
      <c r="F222" s="1020"/>
      <c r="G222" s="1020"/>
      <c r="H222" s="1020"/>
      <c r="I222" s="1020"/>
      <c r="J222" s="1020"/>
      <c r="K222" s="1020"/>
      <c r="L222" s="1020"/>
      <c r="M222" s="1020"/>
      <c r="N222" s="1020"/>
      <c r="O222" s="1020"/>
      <c r="P222" s="1020"/>
      <c r="Q222" s="1231"/>
      <c r="S222" s="933"/>
      <c r="T222" s="933"/>
      <c r="U222" s="1053"/>
      <c r="V222" s="660"/>
      <c r="W222" s="872"/>
      <c r="X222" s="872"/>
      <c r="Y222" s="25"/>
      <c r="Z222" s="8"/>
    </row>
    <row r="223" spans="1:26" ht="19.5" customHeight="1">
      <c r="A223" s="1020"/>
      <c r="B223" s="1020"/>
      <c r="C223" s="1020"/>
      <c r="D223" s="1020"/>
      <c r="E223" s="1020"/>
      <c r="F223" s="1020"/>
      <c r="G223" s="1020"/>
      <c r="H223" s="1020"/>
      <c r="I223" s="1020"/>
      <c r="J223" s="1020"/>
      <c r="K223" s="1020"/>
      <c r="L223" s="1020"/>
      <c r="M223" s="1020"/>
      <c r="N223" s="1020"/>
      <c r="O223" s="1020"/>
      <c r="P223" s="1020"/>
      <c r="Q223" s="1231"/>
      <c r="S223" s="933"/>
      <c r="T223" s="933"/>
      <c r="U223" s="437"/>
      <c r="V223" s="1027"/>
      <c r="W223" s="437"/>
      <c r="X223" s="437"/>
      <c r="Y223" s="1020"/>
      <c r="Z223" s="437">
        <f>21315</f>
        <v>21315</v>
      </c>
    </row>
    <row r="224" spans="1:26" ht="12.75" customHeight="1">
      <c r="A224" s="1023" t="s">
        <v>495</v>
      </c>
      <c r="B224" s="1023"/>
      <c r="C224" s="1024"/>
      <c r="D224" s="1025"/>
      <c r="E224" s="1025"/>
      <c r="F224" s="1025"/>
      <c r="G224" s="437"/>
      <c r="H224" s="437"/>
      <c r="I224" s="437"/>
      <c r="J224" s="437"/>
      <c r="K224" s="437"/>
      <c r="L224" s="437"/>
      <c r="M224" s="437"/>
      <c r="N224" s="437"/>
      <c r="O224" s="918"/>
      <c r="P224" s="437"/>
      <c r="Q224" s="1231"/>
      <c r="S224" s="933"/>
      <c r="T224" s="933"/>
      <c r="U224" s="437"/>
      <c r="V224" s="1027"/>
      <c r="W224" s="437"/>
      <c r="X224" s="437"/>
      <c r="Y224" s="1020"/>
      <c r="Z224" s="1020"/>
    </row>
    <row r="225" spans="1:26" ht="15" customHeight="1">
      <c r="A225" s="1028" t="s">
        <v>913</v>
      </c>
      <c r="B225" s="1028"/>
      <c r="C225" s="1028"/>
      <c r="D225" s="1028"/>
      <c r="E225" s="1028"/>
      <c r="F225" s="1028"/>
      <c r="G225" s="1028"/>
      <c r="H225" s="1028"/>
      <c r="I225" s="1028"/>
      <c r="J225" s="1028"/>
      <c r="K225" s="1028"/>
      <c r="L225" s="1028"/>
      <c r="M225" s="1028"/>
      <c r="N225" s="1028"/>
      <c r="O225" s="1028"/>
      <c r="P225" s="1028"/>
      <c r="Q225" s="1231"/>
      <c r="S225" s="933"/>
      <c r="T225" s="933"/>
      <c r="U225" s="437"/>
      <c r="V225" s="1027"/>
      <c r="W225" s="437"/>
      <c r="X225" s="437"/>
      <c r="Y225" s="1020"/>
      <c r="Z225" s="1020"/>
    </row>
    <row r="226" spans="1:26" ht="15" customHeight="1">
      <c r="A226" s="1029"/>
      <c r="B226" s="1029"/>
      <c r="C226" s="1030"/>
      <c r="D226" s="1029"/>
      <c r="E226" s="1029"/>
      <c r="F226" s="1029"/>
      <c r="G226" s="1029"/>
      <c r="H226" s="1029"/>
      <c r="I226" s="1029"/>
      <c r="J226" s="1029"/>
      <c r="K226" s="1029"/>
      <c r="L226" s="1029"/>
      <c r="M226" s="1029"/>
      <c r="N226" s="1029"/>
      <c r="O226" s="1031"/>
      <c r="P226" s="1029"/>
      <c r="Q226" s="1231"/>
      <c r="S226" s="933"/>
      <c r="T226" s="933"/>
      <c r="U226" s="437"/>
      <c r="V226" s="1027"/>
      <c r="W226" s="437"/>
      <c r="X226" s="437"/>
      <c r="Y226" s="1020"/>
      <c r="Z226" s="1020"/>
    </row>
    <row r="227" spans="1:26" ht="13.5" customHeight="1">
      <c r="A227" s="650" t="s">
        <v>37</v>
      </c>
      <c r="B227" s="650" t="s">
        <v>496</v>
      </c>
      <c r="C227" s="651" t="s">
        <v>497</v>
      </c>
      <c r="D227" s="652" t="s">
        <v>498</v>
      </c>
      <c r="E227" s="652" t="s">
        <v>499</v>
      </c>
      <c r="F227" s="652" t="s">
        <v>500</v>
      </c>
      <c r="G227" s="652" t="s">
        <v>501</v>
      </c>
      <c r="H227" s="652" t="s">
        <v>502</v>
      </c>
      <c r="I227" s="652" t="s">
        <v>503</v>
      </c>
      <c r="J227" s="652" t="s">
        <v>504</v>
      </c>
      <c r="K227" s="653" t="s">
        <v>505</v>
      </c>
      <c r="L227" s="652" t="s">
        <v>506</v>
      </c>
      <c r="M227" s="653" t="s">
        <v>507</v>
      </c>
      <c r="N227" s="652" t="s">
        <v>508</v>
      </c>
      <c r="O227" s="654" t="s">
        <v>499</v>
      </c>
      <c r="P227" s="652" t="s">
        <v>509</v>
      </c>
      <c r="Q227" s="1231"/>
      <c r="S227" s="933"/>
      <c r="T227" s="933"/>
      <c r="U227" s="650" t="s">
        <v>496</v>
      </c>
      <c r="V227" s="652" t="s">
        <v>464</v>
      </c>
      <c r="W227" s="652" t="s">
        <v>327</v>
      </c>
      <c r="X227" s="652" t="s">
        <v>500</v>
      </c>
      <c r="Y227" s="652" t="s">
        <v>510</v>
      </c>
      <c r="Z227" s="650" t="s">
        <v>510</v>
      </c>
    </row>
    <row r="228" spans="1:26" ht="29.25" customHeight="1">
      <c r="A228" s="1076" t="str">
        <f>IF(B228&lt;&gt;"",ROW()-(ROW()-1),"")</f>
        <v/>
      </c>
      <c r="B228" s="441"/>
      <c r="C228" s="1034">
        <f>IF(ISNA(VLOOKUP(B228,NXT!$Q$82:$S$92,2,0)),0,VLOOKUP(B228,NXT!$Q$82:$S$92,3,0))</f>
        <v>0</v>
      </c>
      <c r="D228" s="1095">
        <f>ROUND(C228*O228,0)</f>
        <v>0</v>
      </c>
      <c r="E228" s="1095"/>
      <c r="F228" s="1095"/>
      <c r="G228" s="356">
        <f>(D228+E228)*F228</f>
        <v>0</v>
      </c>
      <c r="H228" s="1095"/>
      <c r="I228" s="1095"/>
      <c r="J228" s="1095"/>
      <c r="K228" s="1095"/>
      <c r="L228" s="356"/>
      <c r="M228" s="1095"/>
      <c r="N228" s="356">
        <f>ROUND(SUM(G228:M228),0)</f>
        <v>0</v>
      </c>
      <c r="O228" s="1095"/>
      <c r="P228" s="1095">
        <f>IF(N228&lt;&gt;0,N228/O228,0)</f>
        <v>0</v>
      </c>
      <c r="Q228" s="1231"/>
      <c r="S228" s="933"/>
      <c r="T228" s="933">
        <f t="shared" si="111"/>
        <v>0</v>
      </c>
      <c r="U228" s="657" t="s">
        <v>329</v>
      </c>
      <c r="V228" s="1077"/>
      <c r="W228" s="81">
        <v>150</v>
      </c>
      <c r="X228" s="1085">
        <v>32200</v>
      </c>
      <c r="Y228" s="25">
        <f>ROUND(W228*X228,0)</f>
        <v>4830000</v>
      </c>
      <c r="Z228" s="25"/>
    </row>
    <row r="229" spans="1:26" ht="17.25" customHeight="1">
      <c r="A229" s="1033" t="str">
        <f>IF(B229&lt;&gt;"",A228+1,"")</f>
        <v/>
      </c>
      <c r="B229" s="443"/>
      <c r="C229" s="1034">
        <f>IF(ISNA(VLOOKUP(B229,NXT!$Q$82:$S$92,2,0)),0,VLOOKUP(B229,NXT!$Q$82:$S$92,3,0))</f>
        <v>0</v>
      </c>
      <c r="D229" s="394">
        <f>ROUND(C229*O229,0)</f>
        <v>0</v>
      </c>
      <c r="E229" s="394"/>
      <c r="F229" s="394"/>
      <c r="G229" s="8">
        <f t="shared" ref="G229:G233" si="139">(D229+E229)*F229</f>
        <v>0</v>
      </c>
      <c r="H229" s="394">
        <f t="shared" ref="H229:K233" si="140">IF($D$235&lt;&gt;0,H$235/($D$235+$E$235/4)*($D229+$E229/4),0)</f>
        <v>0</v>
      </c>
      <c r="I229" s="394">
        <f t="shared" si="140"/>
        <v>0</v>
      </c>
      <c r="J229" s="394">
        <f t="shared" si="140"/>
        <v>0</v>
      </c>
      <c r="K229" s="394">
        <f t="shared" si="140"/>
        <v>0</v>
      </c>
      <c r="L229" s="394"/>
      <c r="M229" s="394"/>
      <c r="N229" s="8">
        <f>ROUND(SUM(G229:M229),0)</f>
        <v>0</v>
      </c>
      <c r="O229" s="394"/>
      <c r="P229" s="394">
        <f>IF(N229&lt;&gt;0,N229/O229,0)</f>
        <v>0</v>
      </c>
      <c r="Q229" s="1231"/>
      <c r="S229" s="933"/>
      <c r="T229" s="933">
        <f t="shared" si="111"/>
        <v>0</v>
      </c>
      <c r="U229" s="657" t="s">
        <v>335</v>
      </c>
      <c r="V229" s="1077"/>
      <c r="W229" s="81">
        <v>150</v>
      </c>
      <c r="X229" s="872">
        <v>49808.000000000007</v>
      </c>
      <c r="Y229" s="25">
        <f t="shared" ref="Y229:Y234" si="141">ROUND(W229*X229,0)</f>
        <v>7471200</v>
      </c>
      <c r="Z229" s="8"/>
    </row>
    <row r="230" spans="1:26" ht="17.25" customHeight="1">
      <c r="A230" s="1033" t="str">
        <f>IF(B230&lt;&gt;"",A229+1,"")</f>
        <v/>
      </c>
      <c r="B230" s="443"/>
      <c r="C230" s="1034">
        <f>IF(ISNA(VLOOKUP(B230,NXT!$Q$82:$S$92,2,0)),0,VLOOKUP(B230,NXT!$Q$82:$S$92,3,0))</f>
        <v>0</v>
      </c>
      <c r="D230" s="394">
        <f t="shared" ref="D230" si="142">ROUND(C230*O230,0)</f>
        <v>0</v>
      </c>
      <c r="E230" s="394"/>
      <c r="F230" s="394"/>
      <c r="G230" s="8">
        <f t="shared" si="139"/>
        <v>0</v>
      </c>
      <c r="H230" s="394">
        <f t="shared" si="140"/>
        <v>0</v>
      </c>
      <c r="I230" s="394">
        <f t="shared" si="140"/>
        <v>0</v>
      </c>
      <c r="J230" s="394">
        <f t="shared" si="140"/>
        <v>0</v>
      </c>
      <c r="K230" s="394">
        <f t="shared" si="140"/>
        <v>0</v>
      </c>
      <c r="L230" s="394"/>
      <c r="M230" s="394"/>
      <c r="N230" s="8">
        <f t="shared" ref="N230:N233" si="143">ROUND(SUM(G230:M230),0)</f>
        <v>0</v>
      </c>
      <c r="O230" s="394"/>
      <c r="P230" s="394">
        <f t="shared" ref="P230:P233" si="144">IF(N230&lt;&gt;0,N230/O230,0)</f>
        <v>0</v>
      </c>
      <c r="Q230" s="1231"/>
      <c r="S230" s="933"/>
      <c r="T230" s="933">
        <f t="shared" si="111"/>
        <v>0</v>
      </c>
      <c r="U230" s="657" t="s">
        <v>338</v>
      </c>
      <c r="V230" s="1077"/>
      <c r="W230" s="81">
        <v>400</v>
      </c>
      <c r="X230" s="872">
        <v>16476.189999999999</v>
      </c>
      <c r="Y230" s="25">
        <f t="shared" si="141"/>
        <v>6590476</v>
      </c>
      <c r="Z230" s="8"/>
    </row>
    <row r="231" spans="1:26" ht="17.25" customHeight="1">
      <c r="A231" s="1033" t="str">
        <f>IF(B231&lt;&gt;"",A230+1,"")</f>
        <v/>
      </c>
      <c r="B231" s="1039"/>
      <c r="C231" s="1034">
        <f>IF(ISNA(VLOOKUP(B231,NXT!$Q$82:$S$92,2,0)),0,VLOOKUP(B231,NXT!$Q$82:$S$92,3,0))</f>
        <v>0</v>
      </c>
      <c r="D231" s="394">
        <f t="shared" ref="D231" si="145">ROUND(C231*O231,0)</f>
        <v>0</v>
      </c>
      <c r="E231" s="394"/>
      <c r="F231" s="394"/>
      <c r="G231" s="8">
        <f t="shared" si="139"/>
        <v>0</v>
      </c>
      <c r="H231" s="394">
        <f t="shared" si="140"/>
        <v>0</v>
      </c>
      <c r="I231" s="394">
        <f t="shared" si="140"/>
        <v>0</v>
      </c>
      <c r="J231" s="394">
        <f t="shared" si="140"/>
        <v>0</v>
      </c>
      <c r="K231" s="394">
        <f t="shared" si="140"/>
        <v>0</v>
      </c>
      <c r="L231" s="394"/>
      <c r="M231" s="394"/>
      <c r="N231" s="8">
        <f t="shared" si="143"/>
        <v>0</v>
      </c>
      <c r="O231" s="394"/>
      <c r="P231" s="394">
        <f t="shared" si="144"/>
        <v>0</v>
      </c>
      <c r="Q231" s="1232"/>
      <c r="S231" s="1021"/>
      <c r="T231" s="933">
        <f t="shared" si="111"/>
        <v>0</v>
      </c>
      <c r="U231" s="657" t="s">
        <v>798</v>
      </c>
      <c r="V231" s="1077"/>
      <c r="W231" s="81">
        <v>10</v>
      </c>
      <c r="X231" s="872">
        <v>53000</v>
      </c>
      <c r="Y231" s="25">
        <f t="shared" si="141"/>
        <v>530000</v>
      </c>
      <c r="Z231" s="8"/>
    </row>
    <row r="232" spans="1:26" ht="17.25" customHeight="1">
      <c r="A232" s="1033" t="str">
        <f>IF(B232&lt;&gt;"",A231+1,"")</f>
        <v/>
      </c>
      <c r="B232" s="1039"/>
      <c r="C232" s="1034">
        <f>IF(ISNA(VLOOKUP(B232,NXT!$Q$82:$S$92,2,0)),0,VLOOKUP(B232,NXT!$Q$82:$S$92,3,0))</f>
        <v>0</v>
      </c>
      <c r="D232" s="394">
        <f t="shared" ref="D232:D233" si="146">ROUND(C232*O232,0)</f>
        <v>0</v>
      </c>
      <c r="E232" s="394"/>
      <c r="F232" s="394"/>
      <c r="G232" s="8">
        <f t="shared" si="139"/>
        <v>0</v>
      </c>
      <c r="H232" s="394">
        <f t="shared" si="140"/>
        <v>0</v>
      </c>
      <c r="I232" s="394">
        <f t="shared" si="140"/>
        <v>0</v>
      </c>
      <c r="J232" s="394">
        <f t="shared" si="140"/>
        <v>0</v>
      </c>
      <c r="K232" s="394">
        <f t="shared" si="140"/>
        <v>0</v>
      </c>
      <c r="L232" s="394"/>
      <c r="M232" s="394"/>
      <c r="N232" s="8">
        <f t="shared" si="143"/>
        <v>0</v>
      </c>
      <c r="O232" s="394"/>
      <c r="P232" s="394">
        <f t="shared" si="144"/>
        <v>0</v>
      </c>
      <c r="Q232" s="1232"/>
      <c r="S232" s="1021"/>
      <c r="T232" s="933">
        <f t="shared" si="111"/>
        <v>0</v>
      </c>
      <c r="U232" s="657" t="s">
        <v>343</v>
      </c>
      <c r="V232" s="1077"/>
      <c r="W232" s="81">
        <v>600</v>
      </c>
      <c r="X232" s="872">
        <v>3200</v>
      </c>
      <c r="Y232" s="25">
        <f t="shared" si="141"/>
        <v>1920000</v>
      </c>
      <c r="Z232" s="8"/>
    </row>
    <row r="233" spans="1:26" ht="17.25" customHeight="1">
      <c r="A233" s="1033" t="str">
        <f>IF(B233&lt;&gt;"",A232+1,"")</f>
        <v/>
      </c>
      <c r="B233" s="1039"/>
      <c r="C233" s="1034">
        <f>IF(ISNA(VLOOKUP(B233,NXT!$Q$82:$S$92,2,0)),0,VLOOKUP(B233,NXT!$Q$82:$S$92,3,0))</f>
        <v>0</v>
      </c>
      <c r="D233" s="394">
        <f t="shared" si="146"/>
        <v>0</v>
      </c>
      <c r="E233" s="394"/>
      <c r="F233" s="394"/>
      <c r="G233" s="8">
        <f t="shared" si="139"/>
        <v>0</v>
      </c>
      <c r="H233" s="394">
        <f t="shared" si="140"/>
        <v>0</v>
      </c>
      <c r="I233" s="394">
        <f t="shared" si="140"/>
        <v>0</v>
      </c>
      <c r="J233" s="394">
        <f t="shared" si="140"/>
        <v>0</v>
      </c>
      <c r="K233" s="394">
        <f t="shared" si="140"/>
        <v>0</v>
      </c>
      <c r="L233" s="394"/>
      <c r="M233" s="394"/>
      <c r="N233" s="8">
        <f t="shared" si="143"/>
        <v>0</v>
      </c>
      <c r="O233" s="394"/>
      <c r="P233" s="394">
        <f t="shared" si="144"/>
        <v>0</v>
      </c>
      <c r="Q233" s="1232"/>
      <c r="S233" s="1021"/>
      <c r="T233" s="933">
        <f t="shared" si="111"/>
        <v>0</v>
      </c>
      <c r="U233" s="657" t="s">
        <v>823</v>
      </c>
      <c r="V233" s="1077"/>
      <c r="W233" s="81">
        <v>2700</v>
      </c>
      <c r="X233" s="872">
        <v>14728</v>
      </c>
      <c r="Y233" s="25">
        <f t="shared" si="141"/>
        <v>39765600</v>
      </c>
      <c r="Z233" s="8"/>
    </row>
    <row r="234" spans="1:26" ht="17.25" customHeight="1">
      <c r="A234" s="1097" t="str">
        <f>IF(B234&lt;&gt;"",#REF!+1,"")</f>
        <v/>
      </c>
      <c r="B234" s="1062"/>
      <c r="C234" s="1063"/>
      <c r="D234" s="1064"/>
      <c r="E234" s="1064"/>
      <c r="F234" s="1064"/>
      <c r="G234" s="1065"/>
      <c r="H234" s="1066"/>
      <c r="I234" s="1064"/>
      <c r="J234" s="453"/>
      <c r="K234" s="1064"/>
      <c r="L234" s="1066"/>
      <c r="M234" s="1064"/>
      <c r="N234" s="1066"/>
      <c r="O234" s="1067"/>
      <c r="P234" s="1064"/>
      <c r="Q234" s="1232"/>
      <c r="S234" s="1021"/>
      <c r="T234" s="933">
        <f t="shared" si="111"/>
        <v>0</v>
      </c>
      <c r="U234" s="657" t="s">
        <v>348</v>
      </c>
      <c r="V234" s="1084"/>
      <c r="W234" s="1085">
        <v>200</v>
      </c>
      <c r="X234" s="1094">
        <v>8000</v>
      </c>
      <c r="Y234" s="25">
        <f t="shared" si="141"/>
        <v>1600000</v>
      </c>
      <c r="Z234" s="8"/>
    </row>
    <row r="235" spans="1:26" ht="17.25" customHeight="1">
      <c r="A235" s="1046"/>
      <c r="B235" s="1047" t="s">
        <v>511</v>
      </c>
      <c r="C235" s="1048"/>
      <c r="D235" s="832">
        <f>SUM(D228:D234)</f>
        <v>0</v>
      </c>
      <c r="E235" s="832">
        <f>SUM(E228:E234)</f>
        <v>0</v>
      </c>
      <c r="F235" s="832"/>
      <c r="G235" s="832">
        <f>SUM(G228:G234)</f>
        <v>0</v>
      </c>
      <c r="H235" s="832"/>
      <c r="I235" s="832">
        <f>Y236</f>
        <v>62707276</v>
      </c>
      <c r="J235" s="832"/>
      <c r="K235" s="832">
        <v>57524548</v>
      </c>
      <c r="L235" s="832">
        <f>ROUND(SUM(L228:L234),0)</f>
        <v>0</v>
      </c>
      <c r="M235" s="832">
        <f>ROUND(SUM(M228:M234),0)</f>
        <v>0</v>
      </c>
      <c r="N235" s="832">
        <f>ROUND(SUM(N228:N234),0)</f>
        <v>0</v>
      </c>
      <c r="O235" s="832">
        <f>ROUND(SUM(O228:O234),0)</f>
        <v>0</v>
      </c>
      <c r="P235" s="832"/>
      <c r="Q235" s="1232"/>
      <c r="S235" s="1021"/>
      <c r="T235" s="933"/>
      <c r="U235" s="25"/>
      <c r="V235" s="660"/>
      <c r="W235" s="81"/>
      <c r="X235" s="81"/>
      <c r="Y235" s="8"/>
      <c r="Z235" s="8"/>
    </row>
    <row r="236" spans="1:26" ht="17.25" customHeight="1">
      <c r="A236" s="1020"/>
      <c r="B236" s="1020"/>
      <c r="C236" s="1020"/>
      <c r="D236" s="1020"/>
      <c r="E236" s="1020"/>
      <c r="F236" s="1020"/>
      <c r="G236" s="1020"/>
      <c r="H236" s="1020"/>
      <c r="I236" s="1020"/>
      <c r="J236" s="1020"/>
      <c r="K236" s="1020"/>
      <c r="L236" s="1020"/>
      <c r="M236" s="1020"/>
      <c r="N236" s="1020"/>
      <c r="O236" s="1020"/>
      <c r="P236" s="1020"/>
      <c r="Q236" s="1232"/>
      <c r="S236" s="1021"/>
      <c r="T236" s="933"/>
      <c r="U236" s="1069"/>
      <c r="V236" s="1070"/>
      <c r="W236" s="1071"/>
      <c r="X236" s="1080"/>
      <c r="Y236" s="74">
        <f>SUM(Y228:Y235)</f>
        <v>62707276</v>
      </c>
      <c r="Z236" s="74">
        <f>SUM(Z228:Z235)</f>
        <v>0</v>
      </c>
    </row>
    <row r="237" spans="1:26" ht="17.25" customHeight="1">
      <c r="A237" s="1020"/>
      <c r="B237" s="1020"/>
      <c r="C237" s="1020"/>
      <c r="D237" s="1020"/>
      <c r="E237" s="1020"/>
      <c r="F237" s="1020"/>
      <c r="G237" s="1020"/>
      <c r="H237" s="1020"/>
      <c r="I237" s="1020"/>
      <c r="J237" s="1020"/>
      <c r="K237" s="1020"/>
      <c r="L237" s="1020"/>
      <c r="M237" s="1020"/>
      <c r="N237" s="1020"/>
      <c r="O237" s="1020"/>
      <c r="P237" s="1020"/>
      <c r="Q237" s="1232"/>
      <c r="S237" s="1021"/>
      <c r="T237" s="933"/>
      <c r="U237" s="1053"/>
      <c r="V237" s="1077"/>
      <c r="W237" s="81"/>
      <c r="X237" s="81"/>
      <c r="Y237" s="25">
        <f t="shared" ref="Y237:Y242" si="147">ROUND(W237*X237,0)</f>
        <v>0</v>
      </c>
      <c r="Z237" s="25"/>
    </row>
    <row r="238" spans="1:26" ht="17.25" customHeight="1">
      <c r="A238" s="1020"/>
      <c r="B238" s="1020"/>
      <c r="C238" s="1020"/>
      <c r="D238" s="1020"/>
      <c r="E238" s="1020"/>
      <c r="F238" s="1020"/>
      <c r="G238" s="1020"/>
      <c r="H238" s="1020"/>
      <c r="I238" s="1020"/>
      <c r="J238" s="1020"/>
      <c r="K238" s="1020"/>
      <c r="L238" s="1020"/>
      <c r="M238" s="1020"/>
      <c r="N238" s="1020"/>
      <c r="O238" s="1020"/>
      <c r="P238" s="1020"/>
      <c r="Q238" s="1232"/>
      <c r="S238" s="1021"/>
      <c r="T238" s="933"/>
      <c r="U238" s="657"/>
      <c r="V238" s="1077"/>
      <c r="W238" s="872"/>
      <c r="X238" s="872"/>
      <c r="Y238" s="25">
        <f t="shared" si="147"/>
        <v>0</v>
      </c>
      <c r="Z238" s="8"/>
    </row>
    <row r="239" spans="1:26" ht="17.25" customHeight="1">
      <c r="A239" s="1020"/>
      <c r="B239" s="1020"/>
      <c r="C239" s="1020"/>
      <c r="D239" s="1020"/>
      <c r="E239" s="1020"/>
      <c r="F239" s="1020"/>
      <c r="G239" s="1020"/>
      <c r="H239" s="1020"/>
      <c r="I239" s="1020"/>
      <c r="J239" s="1020"/>
      <c r="K239" s="1020"/>
      <c r="L239" s="1020"/>
      <c r="M239" s="1020"/>
      <c r="N239" s="1020"/>
      <c r="O239" s="1020"/>
      <c r="P239" s="1020"/>
      <c r="Q239" s="1232"/>
      <c r="S239" s="1021"/>
      <c r="T239" s="933"/>
      <c r="U239" s="657"/>
      <c r="V239" s="660"/>
      <c r="W239" s="872"/>
      <c r="X239" s="872"/>
      <c r="Y239" s="25">
        <f t="shared" si="147"/>
        <v>0</v>
      </c>
      <c r="Z239" s="8"/>
    </row>
    <row r="240" spans="1:26" ht="17.25" customHeight="1">
      <c r="A240" s="1020"/>
      <c r="B240" s="1020"/>
      <c r="C240" s="1020"/>
      <c r="D240" s="1020"/>
      <c r="E240" s="1020"/>
      <c r="F240" s="1020"/>
      <c r="G240" s="1020"/>
      <c r="H240" s="1020"/>
      <c r="I240" s="1020"/>
      <c r="J240" s="1020"/>
      <c r="K240" s="1020"/>
      <c r="L240" s="1020"/>
      <c r="M240" s="1020"/>
      <c r="N240" s="1020"/>
      <c r="O240" s="1055"/>
      <c r="P240" s="1020"/>
      <c r="Q240" s="1232"/>
      <c r="S240" s="1021"/>
      <c r="T240" s="933"/>
      <c r="U240" s="940"/>
      <c r="V240" s="660"/>
      <c r="W240" s="872"/>
      <c r="X240" s="872"/>
      <c r="Y240" s="25">
        <f t="shared" si="147"/>
        <v>0</v>
      </c>
      <c r="Z240" s="8"/>
    </row>
    <row r="241" spans="1:26" ht="17.25" customHeight="1">
      <c r="A241" s="1020"/>
      <c r="B241" s="1020"/>
      <c r="C241" s="1020"/>
      <c r="D241" s="1020"/>
      <c r="E241" s="1020"/>
      <c r="F241" s="1020"/>
      <c r="G241" s="1020"/>
      <c r="H241" s="1020"/>
      <c r="I241" s="1020"/>
      <c r="J241" s="1020"/>
      <c r="K241" s="1020"/>
      <c r="L241" s="1020"/>
      <c r="M241" s="1020"/>
      <c r="N241" s="1020"/>
      <c r="O241" s="1020"/>
      <c r="P241" s="1020"/>
      <c r="Q241" s="1232"/>
      <c r="S241" s="1026"/>
      <c r="T241" s="933"/>
      <c r="U241" s="657"/>
      <c r="V241" s="660"/>
      <c r="W241" s="872"/>
      <c r="X241" s="872"/>
      <c r="Y241" s="25">
        <f t="shared" si="147"/>
        <v>0</v>
      </c>
      <c r="Z241" s="8"/>
    </row>
    <row r="242" spans="1:26" ht="17.25" customHeight="1">
      <c r="A242" s="1020"/>
      <c r="B242" s="1020"/>
      <c r="C242" s="1020"/>
      <c r="D242" s="1020"/>
      <c r="E242" s="1020"/>
      <c r="F242" s="1020"/>
      <c r="G242" s="1020"/>
      <c r="H242" s="1020"/>
      <c r="I242" s="1020"/>
      <c r="J242" s="1020"/>
      <c r="K242" s="1020"/>
      <c r="L242" s="1020"/>
      <c r="M242" s="1020"/>
      <c r="N242" s="1020"/>
      <c r="O242" s="1020"/>
      <c r="P242" s="1020"/>
      <c r="Q242" s="1232"/>
      <c r="S242" s="1026"/>
      <c r="T242" s="933"/>
      <c r="U242" s="940"/>
      <c r="V242" s="660"/>
      <c r="W242" s="872"/>
      <c r="X242" s="872"/>
      <c r="Y242" s="25">
        <f t="shared" si="147"/>
        <v>0</v>
      </c>
      <c r="Z242" s="8"/>
    </row>
    <row r="243" spans="1:26" ht="17.25" customHeight="1">
      <c r="A243" s="1020"/>
      <c r="B243" s="1020"/>
      <c r="C243" s="1020"/>
      <c r="D243" s="1020"/>
      <c r="E243" s="1020"/>
      <c r="F243" s="1020"/>
      <c r="G243" s="1020"/>
      <c r="H243" s="1020"/>
      <c r="I243" s="1020"/>
      <c r="J243" s="1020"/>
      <c r="K243" s="1020"/>
      <c r="L243" s="1020"/>
      <c r="M243" s="1020"/>
      <c r="N243" s="1020"/>
      <c r="O243" s="1020"/>
      <c r="P243" s="1020"/>
      <c r="Q243" s="1232"/>
      <c r="S243" s="1026"/>
      <c r="T243" s="933"/>
      <c r="U243" s="1053"/>
      <c r="V243" s="660"/>
      <c r="W243" s="872"/>
      <c r="X243" s="872"/>
      <c r="Y243" s="25"/>
      <c r="Z243" s="8"/>
    </row>
    <row r="244" spans="1:26" ht="17.25" customHeight="1">
      <c r="A244" s="1020"/>
      <c r="B244" s="1020"/>
      <c r="C244" s="1020"/>
      <c r="D244" s="1020"/>
      <c r="E244" s="1020"/>
      <c r="F244" s="1020"/>
      <c r="G244" s="1020"/>
      <c r="H244" s="1020"/>
      <c r="I244" s="1020"/>
      <c r="J244" s="1020"/>
      <c r="K244" s="1020"/>
      <c r="L244" s="1020"/>
      <c r="M244" s="1020"/>
      <c r="N244" s="1020"/>
      <c r="O244" s="1020"/>
      <c r="P244" s="1020"/>
      <c r="Q244" s="1232"/>
      <c r="S244" s="1026"/>
      <c r="T244" s="933"/>
      <c r="U244" s="1053"/>
      <c r="V244" s="660"/>
      <c r="W244" s="872"/>
      <c r="X244" s="872"/>
      <c r="Y244" s="1098">
        <f>SUM(Y237:Y243)</f>
        <v>0</v>
      </c>
      <c r="Z244" s="8"/>
    </row>
    <row r="245" spans="1:26" ht="17.25" customHeight="1">
      <c r="A245" s="1028"/>
      <c r="B245" s="1028"/>
      <c r="C245" s="1028"/>
      <c r="D245" s="1028"/>
      <c r="E245" s="1028"/>
      <c r="F245" s="1028"/>
      <c r="G245" s="1028"/>
      <c r="H245" s="1028"/>
      <c r="I245" s="1028"/>
      <c r="J245" s="1028"/>
      <c r="K245" s="1028"/>
      <c r="L245" s="1028"/>
      <c r="M245" s="1028"/>
      <c r="N245" s="1028"/>
      <c r="O245" s="1028"/>
      <c r="P245" s="1028"/>
      <c r="Q245" s="1232"/>
      <c r="S245" s="1026"/>
      <c r="T245" s="933"/>
      <c r="U245" s="437"/>
      <c r="V245" s="1027"/>
      <c r="W245" s="437"/>
      <c r="X245" s="437"/>
      <c r="Y245" s="1020"/>
      <c r="Z245" s="1020"/>
    </row>
    <row r="246" spans="1:26" ht="15" customHeight="1">
      <c r="A246" s="1023" t="s">
        <v>495</v>
      </c>
      <c r="B246" s="1023"/>
      <c r="C246" s="1024"/>
      <c r="D246" s="1025"/>
      <c r="E246" s="1025"/>
      <c r="F246" s="1025"/>
      <c r="G246" s="437"/>
      <c r="H246" s="437"/>
      <c r="I246" s="437"/>
      <c r="J246" s="437"/>
      <c r="K246" s="437"/>
      <c r="L246" s="437"/>
      <c r="M246" s="437"/>
      <c r="N246" s="437"/>
      <c r="O246" s="918"/>
      <c r="P246" s="437"/>
      <c r="Q246" s="1231"/>
      <c r="S246" s="933"/>
      <c r="T246" s="933"/>
      <c r="U246" s="437"/>
      <c r="V246" s="1027"/>
      <c r="W246" s="437"/>
      <c r="X246" s="437"/>
      <c r="Y246" s="1020"/>
      <c r="Z246" s="1020"/>
    </row>
    <row r="247" spans="1:26" ht="15.75" customHeight="1">
      <c r="A247" s="1028" t="s">
        <v>914</v>
      </c>
      <c r="B247" s="1028"/>
      <c r="C247" s="1028"/>
      <c r="D247" s="1028"/>
      <c r="E247" s="1028"/>
      <c r="F247" s="1028"/>
      <c r="G247" s="1028"/>
      <c r="H247" s="1028"/>
      <c r="I247" s="1028"/>
      <c r="J247" s="1028"/>
      <c r="K247" s="1028"/>
      <c r="L247" s="1028"/>
      <c r="M247" s="1028"/>
      <c r="N247" s="1028"/>
      <c r="O247" s="1028"/>
      <c r="P247" s="1028"/>
      <c r="Q247" s="1231"/>
      <c r="S247" s="933"/>
      <c r="T247" s="933"/>
      <c r="U247" s="437"/>
      <c r="V247" s="1027"/>
      <c r="W247" s="437"/>
      <c r="X247" s="437"/>
      <c r="Y247" s="1020"/>
      <c r="Z247" s="1020"/>
    </row>
    <row r="248" spans="1:26" ht="15.75" customHeight="1">
      <c r="A248" s="1029"/>
      <c r="B248" s="1029"/>
      <c r="C248" s="1030"/>
      <c r="D248" s="1029"/>
      <c r="E248" s="1029"/>
      <c r="F248" s="1029"/>
      <c r="G248" s="1029"/>
      <c r="H248" s="1029"/>
      <c r="I248" s="1029"/>
      <c r="J248" s="1029"/>
      <c r="K248" s="1029"/>
      <c r="L248" s="1029"/>
      <c r="M248" s="1029"/>
      <c r="N248" s="1029"/>
      <c r="O248" s="1031"/>
      <c r="P248" s="1029"/>
      <c r="Q248" s="1231"/>
      <c r="S248" s="933"/>
      <c r="T248" s="933"/>
      <c r="U248" s="437"/>
      <c r="V248" s="1027"/>
      <c r="W248" s="437"/>
      <c r="X248" s="437"/>
      <c r="Y248" s="1020"/>
      <c r="Z248" s="1020"/>
    </row>
    <row r="249" spans="1:26" ht="15" customHeight="1">
      <c r="A249" s="650" t="s">
        <v>37</v>
      </c>
      <c r="B249" s="650" t="s">
        <v>496</v>
      </c>
      <c r="C249" s="651" t="s">
        <v>497</v>
      </c>
      <c r="D249" s="652" t="s">
        <v>498</v>
      </c>
      <c r="E249" s="652" t="s">
        <v>499</v>
      </c>
      <c r="F249" s="652" t="s">
        <v>500</v>
      </c>
      <c r="G249" s="652" t="s">
        <v>501</v>
      </c>
      <c r="H249" s="652" t="s">
        <v>502</v>
      </c>
      <c r="I249" s="652" t="s">
        <v>503</v>
      </c>
      <c r="J249" s="652" t="s">
        <v>504</v>
      </c>
      <c r="K249" s="653" t="s">
        <v>505</v>
      </c>
      <c r="L249" s="652" t="s">
        <v>506</v>
      </c>
      <c r="M249" s="653" t="s">
        <v>507</v>
      </c>
      <c r="N249" s="652" t="s">
        <v>508</v>
      </c>
      <c r="O249" s="654" t="s">
        <v>499</v>
      </c>
      <c r="P249" s="652" t="s">
        <v>509</v>
      </c>
      <c r="Q249" s="1231"/>
      <c r="S249" s="933"/>
      <c r="T249" s="933"/>
      <c r="U249" s="650" t="s">
        <v>496</v>
      </c>
      <c r="V249" s="652" t="s">
        <v>464</v>
      </c>
      <c r="W249" s="652" t="s">
        <v>327</v>
      </c>
      <c r="X249" s="652" t="s">
        <v>500</v>
      </c>
      <c r="Y249" s="652" t="s">
        <v>510</v>
      </c>
      <c r="Z249" s="650" t="s">
        <v>510</v>
      </c>
    </row>
    <row r="250" spans="1:26" ht="37.5" customHeight="1">
      <c r="A250" s="1076"/>
      <c r="B250" s="963"/>
      <c r="C250" s="1099"/>
      <c r="D250" s="1095">
        <f t="shared" ref="D250" si="148">ROUND(C250*O250,0)</f>
        <v>0</v>
      </c>
      <c r="E250" s="1095"/>
      <c r="F250" s="1095"/>
      <c r="G250" s="356">
        <f>(D250+E250)*F250</f>
        <v>0</v>
      </c>
      <c r="H250" s="1095"/>
      <c r="I250" s="1095"/>
      <c r="J250" s="1095"/>
      <c r="K250" s="1095"/>
      <c r="L250" s="356"/>
      <c r="M250" s="394"/>
      <c r="N250" s="356">
        <f>ROUND(SUM(G250:M250),0)</f>
        <v>0</v>
      </c>
      <c r="O250" s="966"/>
      <c r="P250" s="1095">
        <f t="shared" ref="P250:P255" si="149">IF(N250&lt;&gt;0,N250/O250,0)</f>
        <v>0</v>
      </c>
      <c r="Q250" s="1231"/>
      <c r="S250" s="933"/>
      <c r="T250" s="933">
        <f t="shared" ref="T250:T257" si="150">S250-P250</f>
        <v>0</v>
      </c>
      <c r="U250" s="657" t="s">
        <v>329</v>
      </c>
      <c r="V250" s="958"/>
      <c r="W250" s="958">
        <v>150</v>
      </c>
      <c r="X250" s="1085">
        <v>32200</v>
      </c>
      <c r="Y250" s="25">
        <f t="shared" ref="Y250:Y254" si="151">ROUND(W250*X250,0)</f>
        <v>4830000</v>
      </c>
      <c r="Z250" s="957"/>
    </row>
    <row r="251" spans="1:26" ht="19.5" customHeight="1">
      <c r="A251" s="1078"/>
      <c r="B251" s="76"/>
      <c r="C251" s="1034"/>
      <c r="D251" s="394">
        <f>ROUND(C251*O251,0)</f>
        <v>0</v>
      </c>
      <c r="E251" s="394"/>
      <c r="F251" s="394"/>
      <c r="G251" s="8"/>
      <c r="H251" s="394">
        <f>IF($D$257&lt;&gt;0,H$257/($D$257+$E$257/4)*($D251+$E251/4),0)</f>
        <v>0</v>
      </c>
      <c r="I251" s="394">
        <f t="shared" ref="I251:K255" si="152">IF($D$257&lt;&gt;0,I$257/$D$257*$D251,0)</f>
        <v>0</v>
      </c>
      <c r="J251" s="394">
        <f t="shared" si="152"/>
        <v>0</v>
      </c>
      <c r="K251" s="394">
        <f t="shared" si="152"/>
        <v>0</v>
      </c>
      <c r="L251" s="8"/>
      <c r="M251" s="394"/>
      <c r="N251" s="8">
        <f>ROUND(SUM(G251:L251),0)</f>
        <v>0</v>
      </c>
      <c r="O251" s="956"/>
      <c r="P251" s="394">
        <f t="shared" si="149"/>
        <v>0</v>
      </c>
      <c r="Q251" s="1232"/>
      <c r="S251" s="1021"/>
      <c r="T251" s="933">
        <f t="shared" si="150"/>
        <v>0</v>
      </c>
      <c r="U251" s="657" t="s">
        <v>335</v>
      </c>
      <c r="V251" s="660"/>
      <c r="W251" s="872">
        <v>150</v>
      </c>
      <c r="X251" s="872">
        <v>49808.000000000007</v>
      </c>
      <c r="Y251" s="25">
        <f t="shared" si="151"/>
        <v>7471200</v>
      </c>
      <c r="Z251" s="25"/>
    </row>
    <row r="252" spans="1:26" ht="19.5" customHeight="1">
      <c r="A252" s="1078"/>
      <c r="B252" s="76"/>
      <c r="C252" s="1034"/>
      <c r="D252" s="394">
        <f t="shared" ref="D252:D255" si="153">ROUND(C252*O252,0)</f>
        <v>0</v>
      </c>
      <c r="E252" s="394"/>
      <c r="F252" s="394"/>
      <c r="G252" s="8">
        <f t="shared" ref="G252" si="154">(D252+E252)*F252</f>
        <v>0</v>
      </c>
      <c r="H252" s="394">
        <f>IF($D$257&lt;&gt;0,H$257/($D$257+$E$257/4)*($D252+$E252/4),0)</f>
        <v>0</v>
      </c>
      <c r="I252" s="394">
        <f t="shared" si="152"/>
        <v>0</v>
      </c>
      <c r="J252" s="394">
        <f t="shared" si="152"/>
        <v>0</v>
      </c>
      <c r="K252" s="394">
        <f t="shared" si="152"/>
        <v>0</v>
      </c>
      <c r="L252" s="8"/>
      <c r="M252" s="394"/>
      <c r="N252" s="8">
        <f t="shared" ref="N252" si="155">ROUND(SUM(G252:L252),0)</f>
        <v>0</v>
      </c>
      <c r="O252" s="956"/>
      <c r="P252" s="394">
        <f t="shared" si="149"/>
        <v>0</v>
      </c>
      <c r="Q252" s="1232"/>
      <c r="S252" s="1021"/>
      <c r="T252" s="933">
        <f t="shared" si="150"/>
        <v>0</v>
      </c>
      <c r="U252" s="657" t="s">
        <v>338</v>
      </c>
      <c r="V252" s="660"/>
      <c r="W252" s="81">
        <v>400</v>
      </c>
      <c r="X252" s="872">
        <v>16476.189999999999</v>
      </c>
      <c r="Y252" s="25">
        <f t="shared" si="151"/>
        <v>6590476</v>
      </c>
      <c r="Z252" s="8"/>
    </row>
    <row r="253" spans="1:26" ht="19.5" customHeight="1">
      <c r="A253" s="1078"/>
      <c r="B253" s="76"/>
      <c r="C253" s="1034"/>
      <c r="D253" s="394">
        <f t="shared" si="153"/>
        <v>0</v>
      </c>
      <c r="E253" s="311"/>
      <c r="F253" s="311"/>
      <c r="G253" s="8">
        <f>(D253+E253)*F253</f>
        <v>0</v>
      </c>
      <c r="H253" s="394">
        <f>IF($D$257&lt;&gt;0,H$257/($D$257+$E$257/4)*($D253+$E253/4),0)</f>
        <v>0</v>
      </c>
      <c r="I253" s="394">
        <f t="shared" si="152"/>
        <v>0</v>
      </c>
      <c r="J253" s="394">
        <f t="shared" si="152"/>
        <v>0</v>
      </c>
      <c r="K253" s="394">
        <f t="shared" si="152"/>
        <v>0</v>
      </c>
      <c r="L253" s="8"/>
      <c r="M253" s="967"/>
      <c r="N253" s="8">
        <f t="shared" ref="N253:N255" si="156">ROUND(SUM(G253:L253),0)</f>
        <v>0</v>
      </c>
      <c r="O253" s="390"/>
      <c r="P253" s="394">
        <f t="shared" si="149"/>
        <v>0</v>
      </c>
      <c r="Q253" s="1232"/>
      <c r="S253" s="1021"/>
      <c r="T253" s="933">
        <f t="shared" si="150"/>
        <v>0</v>
      </c>
      <c r="U253" s="657" t="s">
        <v>798</v>
      </c>
      <c r="V253" s="1077"/>
      <c r="W253" s="81"/>
      <c r="X253" s="872"/>
      <c r="Y253" s="25">
        <f t="shared" si="151"/>
        <v>0</v>
      </c>
      <c r="Z253" s="8"/>
    </row>
    <row r="254" spans="1:26" ht="19.5" customHeight="1">
      <c r="A254" s="1078"/>
      <c r="B254" s="76"/>
      <c r="C254" s="1034"/>
      <c r="D254" s="394">
        <f t="shared" si="153"/>
        <v>0</v>
      </c>
      <c r="E254" s="394"/>
      <c r="F254" s="394"/>
      <c r="G254" s="8">
        <f t="shared" ref="G254:G255" si="157">(D254+E254)*F254</f>
        <v>0</v>
      </c>
      <c r="H254" s="394">
        <f>IF($D$257&lt;&gt;0,H$257/($D$257+$E$257/4)*($D254+$E254/4),0)</f>
        <v>0</v>
      </c>
      <c r="I254" s="394">
        <f t="shared" si="152"/>
        <v>0</v>
      </c>
      <c r="J254" s="394">
        <f t="shared" si="152"/>
        <v>0</v>
      </c>
      <c r="K254" s="394">
        <f t="shared" si="152"/>
        <v>0</v>
      </c>
      <c r="L254" s="8"/>
      <c r="M254" s="394"/>
      <c r="N254" s="8">
        <f t="shared" si="156"/>
        <v>0</v>
      </c>
      <c r="O254" s="390"/>
      <c r="P254" s="394">
        <f t="shared" si="149"/>
        <v>0</v>
      </c>
      <c r="Q254" s="1232"/>
      <c r="S254" s="1021"/>
      <c r="T254" s="933">
        <f t="shared" si="150"/>
        <v>0</v>
      </c>
      <c r="U254" s="657" t="s">
        <v>343</v>
      </c>
      <c r="V254" s="1077"/>
      <c r="W254" s="81">
        <v>600</v>
      </c>
      <c r="X254" s="872">
        <v>3200</v>
      </c>
      <c r="Y254" s="25">
        <f t="shared" si="151"/>
        <v>1920000</v>
      </c>
      <c r="Z254" s="8"/>
    </row>
    <row r="255" spans="1:26" ht="19.5" customHeight="1">
      <c r="A255" s="1078"/>
      <c r="B255" s="76"/>
      <c r="C255" s="1034"/>
      <c r="D255" s="394">
        <f t="shared" si="153"/>
        <v>0</v>
      </c>
      <c r="E255" s="394"/>
      <c r="F255" s="394"/>
      <c r="G255" s="8">
        <f t="shared" si="157"/>
        <v>0</v>
      </c>
      <c r="H255" s="394">
        <f>IF($D$257&lt;&gt;0,H$257/($D$257+$E$257/4)*($D255+$E255/4),0)</f>
        <v>0</v>
      </c>
      <c r="I255" s="394">
        <f t="shared" si="152"/>
        <v>0</v>
      </c>
      <c r="J255" s="394">
        <f t="shared" si="152"/>
        <v>0</v>
      </c>
      <c r="K255" s="394">
        <f t="shared" si="152"/>
        <v>0</v>
      </c>
      <c r="L255" s="8"/>
      <c r="M255" s="394"/>
      <c r="N255" s="8">
        <f t="shared" si="156"/>
        <v>0</v>
      </c>
      <c r="O255" s="390"/>
      <c r="P255" s="394">
        <f t="shared" si="149"/>
        <v>0</v>
      </c>
      <c r="Q255" s="1232"/>
      <c r="S255" s="1021"/>
      <c r="T255" s="933">
        <f t="shared" si="150"/>
        <v>0</v>
      </c>
      <c r="U255" s="657" t="s">
        <v>823</v>
      </c>
      <c r="V255" s="1077"/>
      <c r="W255" s="81">
        <v>2700</v>
      </c>
      <c r="X255" s="872">
        <v>14728</v>
      </c>
      <c r="Y255" s="25">
        <f t="shared" ref="Y255:Y256" si="158">ROUND(W255*X255,0)</f>
        <v>39765600</v>
      </c>
      <c r="Z255" s="8"/>
    </row>
    <row r="256" spans="1:26" ht="19.5" customHeight="1">
      <c r="A256" s="1097"/>
      <c r="B256" s="964"/>
      <c r="C256" s="1100"/>
      <c r="D256" s="743"/>
      <c r="E256" s="743"/>
      <c r="F256" s="743"/>
      <c r="G256" s="453"/>
      <c r="H256" s="743"/>
      <c r="I256" s="743"/>
      <c r="J256" s="743"/>
      <c r="K256" s="743"/>
      <c r="L256" s="743"/>
      <c r="M256" s="743"/>
      <c r="N256" s="453"/>
      <c r="O256" s="965"/>
      <c r="P256" s="743"/>
      <c r="Q256" s="1232"/>
      <c r="S256" s="1021"/>
      <c r="T256" s="933">
        <f t="shared" si="150"/>
        <v>0</v>
      </c>
      <c r="U256" s="657" t="s">
        <v>348</v>
      </c>
      <c r="V256" s="1077"/>
      <c r="W256" s="1085">
        <v>200</v>
      </c>
      <c r="X256" s="1094">
        <v>8000</v>
      </c>
      <c r="Y256" s="25">
        <f t="shared" si="158"/>
        <v>1600000</v>
      </c>
      <c r="Z256" s="8"/>
    </row>
    <row r="257" spans="1:26" ht="19.5" customHeight="1">
      <c r="A257" s="1046"/>
      <c r="B257" s="1047" t="s">
        <v>511</v>
      </c>
      <c r="C257" s="1048"/>
      <c r="D257" s="832">
        <f>SUM(D251:D256)</f>
        <v>0</v>
      </c>
      <c r="E257" s="832">
        <f>SUM(E251:E256)</f>
        <v>0</v>
      </c>
      <c r="F257" s="832"/>
      <c r="G257" s="832">
        <f>SUM(G250:G256)-G251</f>
        <v>0</v>
      </c>
      <c r="H257" s="832"/>
      <c r="I257" s="832">
        <f>Y258</f>
        <v>62177276</v>
      </c>
      <c r="J257" s="832"/>
      <c r="K257" s="832">
        <v>57524549</v>
      </c>
      <c r="L257" s="832"/>
      <c r="M257" s="832">
        <f>ROUND(SUM(M250:M256),0)</f>
        <v>0</v>
      </c>
      <c r="N257" s="832">
        <f>ROUND(SUM(N250:N256),0)</f>
        <v>0</v>
      </c>
      <c r="O257" s="832">
        <f>ROUND(SUM(O251:O256),0)</f>
        <v>0</v>
      </c>
      <c r="P257" s="832"/>
      <c r="Q257" s="1232"/>
      <c r="S257" s="1021"/>
      <c r="T257" s="933">
        <f t="shared" si="150"/>
        <v>0</v>
      </c>
      <c r="U257" s="25"/>
      <c r="V257" s="660"/>
      <c r="W257" s="81"/>
      <c r="X257" s="81"/>
      <c r="Y257" s="8"/>
      <c r="Z257" s="8"/>
    </row>
    <row r="258" spans="1:26" ht="19.5" customHeight="1">
      <c r="A258" s="1020"/>
      <c r="B258" s="1020"/>
      <c r="C258" s="1020"/>
      <c r="D258" s="1020"/>
      <c r="E258" s="1020"/>
      <c r="F258" s="1020"/>
      <c r="G258" s="1020"/>
      <c r="H258" s="1020"/>
      <c r="I258" s="1020"/>
      <c r="J258" s="1020"/>
      <c r="K258" s="1020"/>
      <c r="L258" s="1020"/>
      <c r="M258" s="1020"/>
      <c r="N258" s="1020"/>
      <c r="O258" s="1020"/>
      <c r="P258" s="1020"/>
      <c r="Q258" s="1232"/>
      <c r="S258" s="1021"/>
      <c r="T258" s="1021"/>
      <c r="U258" s="1069"/>
      <c r="V258" s="1070"/>
      <c r="W258" s="1071"/>
      <c r="X258" s="1080"/>
      <c r="Y258" s="74">
        <f>SUM(Y250:Y257)</f>
        <v>62177276</v>
      </c>
      <c r="Z258" s="74">
        <f>SUM(Z251:Z257)</f>
        <v>0</v>
      </c>
    </row>
    <row r="259" spans="1:26" ht="19.5" customHeight="1">
      <c r="A259" s="1020"/>
      <c r="B259" s="1020"/>
      <c r="C259" s="1020"/>
      <c r="D259" s="1020"/>
      <c r="E259" s="1020"/>
      <c r="F259" s="1020"/>
      <c r="G259" s="1020"/>
      <c r="H259" s="1020"/>
      <c r="I259" s="1020"/>
      <c r="J259" s="1020"/>
      <c r="K259" s="1020"/>
      <c r="L259" s="918"/>
      <c r="M259" s="1020"/>
      <c r="N259" s="1020"/>
      <c r="O259" s="1020"/>
      <c r="P259" s="1020"/>
      <c r="Q259" s="1232"/>
      <c r="S259" s="1021"/>
      <c r="T259" s="1021"/>
      <c r="U259" s="657"/>
      <c r="V259" s="1077"/>
      <c r="W259" s="872"/>
      <c r="X259" s="872"/>
      <c r="Y259" s="25">
        <f t="shared" ref="Y259:Y267" si="159">ROUND(W259*X259,0)</f>
        <v>0</v>
      </c>
      <c r="Z259" s="8"/>
    </row>
    <row r="260" spans="1:26" ht="19.5" customHeight="1">
      <c r="A260" s="1020"/>
      <c r="B260" s="1020"/>
      <c r="C260" s="1020"/>
      <c r="D260" s="1020"/>
      <c r="E260" s="1020"/>
      <c r="F260" s="1020"/>
      <c r="G260" s="1020"/>
      <c r="H260" s="1020"/>
      <c r="I260" s="1020"/>
      <c r="J260" s="1020"/>
      <c r="K260" s="1020"/>
      <c r="L260" s="1020"/>
      <c r="M260" s="1020"/>
      <c r="N260" s="1055"/>
      <c r="O260" s="1020"/>
      <c r="P260" s="1020"/>
      <c r="Q260" s="1232"/>
      <c r="S260" s="1021"/>
      <c r="T260" s="1021"/>
      <c r="U260" s="657"/>
      <c r="V260" s="660"/>
      <c r="W260" s="872"/>
      <c r="X260" s="872"/>
      <c r="Y260" s="25">
        <f t="shared" si="159"/>
        <v>0</v>
      </c>
      <c r="Z260" s="8"/>
    </row>
    <row r="261" spans="1:26" ht="19.5" customHeight="1">
      <c r="A261" s="1020"/>
      <c r="B261" s="1020"/>
      <c r="C261" s="1020"/>
      <c r="D261" s="1020"/>
      <c r="E261" s="1020"/>
      <c r="F261" s="1020"/>
      <c r="G261" s="1020"/>
      <c r="H261" s="1020"/>
      <c r="I261" s="1020"/>
      <c r="J261" s="1020"/>
      <c r="K261" s="1020"/>
      <c r="L261" s="1020"/>
      <c r="M261" s="1020"/>
      <c r="N261" s="1020"/>
      <c r="O261" s="1020"/>
      <c r="P261" s="1020"/>
      <c r="Q261" s="1232"/>
      <c r="S261" s="1021"/>
      <c r="T261" s="1021"/>
      <c r="U261" s="657"/>
      <c r="V261" s="660"/>
      <c r="W261" s="872"/>
      <c r="X261" s="872"/>
      <c r="Y261" s="25">
        <f t="shared" si="159"/>
        <v>0</v>
      </c>
      <c r="Z261" s="8"/>
    </row>
    <row r="262" spans="1:26" ht="19.5" customHeight="1">
      <c r="A262" s="1020"/>
      <c r="B262" s="1020"/>
      <c r="C262" s="1020"/>
      <c r="D262" s="1020"/>
      <c r="E262" s="1020"/>
      <c r="F262" s="1020"/>
      <c r="G262" s="1020"/>
      <c r="H262" s="1020"/>
      <c r="I262" s="1020"/>
      <c r="J262" s="1020"/>
      <c r="K262" s="1020"/>
      <c r="L262" s="1020"/>
      <c r="M262" s="1020"/>
      <c r="N262" s="1055"/>
      <c r="O262" s="1020"/>
      <c r="P262" s="1020"/>
      <c r="Q262" s="1232"/>
      <c r="S262" s="1021"/>
      <c r="T262" s="1021"/>
      <c r="U262" s="657"/>
      <c r="V262" s="660"/>
      <c r="W262" s="872"/>
      <c r="X262" s="872"/>
      <c r="Y262" s="25">
        <f t="shared" si="159"/>
        <v>0</v>
      </c>
      <c r="Z262" s="8"/>
    </row>
    <row r="263" spans="1:26" ht="19.5" customHeight="1">
      <c r="A263" s="1020"/>
      <c r="B263" s="1020"/>
      <c r="C263" s="1020"/>
      <c r="D263" s="1020"/>
      <c r="E263" s="1020"/>
      <c r="F263" s="1020"/>
      <c r="G263" s="1020"/>
      <c r="H263" s="1020"/>
      <c r="I263" s="1020"/>
      <c r="J263" s="1020"/>
      <c r="K263" s="1020"/>
      <c r="L263" s="1020"/>
      <c r="M263" s="1020"/>
      <c r="N263" s="1055"/>
      <c r="O263" s="1020"/>
      <c r="P263" s="1020"/>
      <c r="Q263" s="1232"/>
      <c r="S263" s="1021"/>
      <c r="T263" s="1021"/>
      <c r="U263" s="657"/>
      <c r="V263" s="660"/>
      <c r="W263" s="872"/>
      <c r="X263" s="872"/>
      <c r="Y263" s="25">
        <f t="shared" si="159"/>
        <v>0</v>
      </c>
      <c r="Z263" s="8"/>
    </row>
    <row r="264" spans="1:26" ht="19.5" customHeight="1">
      <c r="A264" s="1020"/>
      <c r="B264" s="1020"/>
      <c r="C264" s="1020"/>
      <c r="D264" s="1020"/>
      <c r="E264" s="1020"/>
      <c r="F264" s="1020"/>
      <c r="G264" s="1020"/>
      <c r="H264" s="1020"/>
      <c r="I264" s="1020"/>
      <c r="J264" s="1020"/>
      <c r="K264" s="1020"/>
      <c r="L264" s="1020"/>
      <c r="M264" s="1020"/>
      <c r="N264" s="1020"/>
      <c r="O264" s="1020"/>
      <c r="P264" s="1020"/>
      <c r="Q264" s="1232"/>
      <c r="S264" s="1026"/>
      <c r="T264" s="1026"/>
      <c r="U264" s="657"/>
      <c r="V264" s="660"/>
      <c r="W264" s="872"/>
      <c r="X264" s="872"/>
      <c r="Y264" s="25">
        <f t="shared" si="159"/>
        <v>0</v>
      </c>
      <c r="Z264" s="8"/>
    </row>
    <row r="265" spans="1:26" ht="19.5" customHeight="1">
      <c r="A265" s="1020"/>
      <c r="B265" s="1020"/>
      <c r="C265" s="1020"/>
      <c r="D265" s="1020"/>
      <c r="E265" s="1020"/>
      <c r="F265" s="1020"/>
      <c r="G265" s="1020"/>
      <c r="H265" s="1020"/>
      <c r="I265" s="1020"/>
      <c r="J265" s="1020"/>
      <c r="K265" s="1020"/>
      <c r="L265" s="1020"/>
      <c r="M265" s="1020"/>
      <c r="N265" s="1020"/>
      <c r="O265" s="1020"/>
      <c r="P265" s="1020"/>
      <c r="Q265" s="1232"/>
      <c r="S265" s="1026"/>
      <c r="T265" s="1026"/>
      <c r="U265" s="657"/>
      <c r="V265" s="660"/>
      <c r="W265" s="872"/>
      <c r="X265" s="872"/>
      <c r="Y265" s="25">
        <f t="shared" si="159"/>
        <v>0</v>
      </c>
      <c r="Z265" s="8"/>
    </row>
    <row r="266" spans="1:26" ht="19.5" customHeight="1">
      <c r="A266" s="1020"/>
      <c r="B266" s="1020"/>
      <c r="C266" s="1020"/>
      <c r="D266" s="1020"/>
      <c r="E266" s="1020"/>
      <c r="F266" s="1020"/>
      <c r="G266" s="1020"/>
      <c r="H266" s="1020"/>
      <c r="I266" s="1020"/>
      <c r="J266" s="1020"/>
      <c r="K266" s="1020"/>
      <c r="L266" s="1020"/>
      <c r="M266" s="1020"/>
      <c r="N266" s="1020"/>
      <c r="O266" s="1020"/>
      <c r="P266" s="1020"/>
      <c r="Q266" s="1232"/>
      <c r="S266" s="1026"/>
      <c r="T266" s="1026"/>
      <c r="U266" s="657"/>
      <c r="V266" s="660"/>
      <c r="W266" s="872"/>
      <c r="X266" s="872"/>
      <c r="Y266" s="25">
        <f t="shared" si="159"/>
        <v>0</v>
      </c>
      <c r="Z266" s="8"/>
    </row>
    <row r="267" spans="1:26" ht="19.5" customHeight="1">
      <c r="Q267" s="1232"/>
      <c r="S267" s="1026"/>
      <c r="T267" s="1026"/>
      <c r="U267" s="657"/>
      <c r="V267" s="660"/>
      <c r="W267" s="872"/>
      <c r="X267" s="872"/>
      <c r="Y267" s="25">
        <f t="shared" si="159"/>
        <v>0</v>
      </c>
      <c r="Z267" s="8"/>
    </row>
    <row r="268" spans="1:26" ht="19.5" customHeight="1">
      <c r="Q268" s="1232"/>
      <c r="S268" s="1026"/>
      <c r="T268" s="1026"/>
      <c r="U268" s="657"/>
      <c r="V268" s="660"/>
      <c r="W268" s="872"/>
      <c r="X268" s="872"/>
      <c r="Y268" s="25">
        <f t="shared" ref="Y268" si="160">ROUND(W268*X268,0)</f>
        <v>0</v>
      </c>
      <c r="Z268" s="8"/>
    </row>
    <row r="269" spans="1:26" ht="19.5" customHeight="1">
      <c r="Q269" s="1233"/>
      <c r="S269" s="655"/>
      <c r="T269" s="655"/>
    </row>
    <row r="271" spans="1:26" ht="33" customHeight="1"/>
    <row r="272" spans="1:26" ht="16.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90" ht="13.5" customHeight="1"/>
    <row r="291" ht="13.5" customHeight="1"/>
    <row r="292" ht="13.5" customHeight="1"/>
    <row r="293" ht="13.5" customHeight="1"/>
  </sheetData>
  <mergeCells count="3">
    <mergeCell ref="V4:W4"/>
    <mergeCell ref="Y4:Z4"/>
    <mergeCell ref="U14:W14"/>
  </mergeCells>
  <dataValidations count="2">
    <dataValidation type="list" allowBlank="1" showInputMessage="1" showErrorMessage="1" sqref="U204 U160 U227 U181 U249 U109 U27 U5 U45 U64 U85 U142">
      <formula1>DSTP</formula1>
    </dataValidation>
    <dataValidation type="list" allowBlank="1" showInputMessage="1" showErrorMessage="1" sqref="B206 B87:B94 B113">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P41" sqref="P41"/>
      <selection pane="bottomLeft" activeCell="P41" sqref="P41"/>
    </sheetView>
  </sheetViews>
  <sheetFormatPr defaultColWidth="10.28515625" defaultRowHeight="12.75"/>
  <cols>
    <col min="1" max="1" width="40.42578125" style="890" customWidth="1"/>
    <col min="2" max="2" width="15.7109375" style="890" customWidth="1"/>
    <col min="3" max="3" width="16.85546875" style="890" customWidth="1"/>
    <col min="4" max="8" width="15.28515625" style="890" customWidth="1"/>
    <col min="9" max="9" width="10.140625" style="890" customWidth="1"/>
    <col min="10" max="10" width="5.85546875" style="890" customWidth="1"/>
    <col min="11" max="16384" width="10.28515625" style="890"/>
  </cols>
  <sheetData>
    <row r="1" spans="1:10" s="661" customFormat="1" ht="15" customHeight="1">
      <c r="A1" s="877" t="s">
        <v>306</v>
      </c>
      <c r="B1" s="877"/>
      <c r="D1" s="662"/>
      <c r="E1" s="662"/>
      <c r="F1" s="1501" t="s">
        <v>512</v>
      </c>
      <c r="G1" s="1501"/>
      <c r="H1" s="1501"/>
      <c r="I1" s="663"/>
      <c r="J1" s="664"/>
    </row>
    <row r="2" spans="1:10" s="661" customFormat="1" ht="29.25" customHeight="1">
      <c r="A2" s="877" t="s">
        <v>513</v>
      </c>
      <c r="B2" s="877"/>
      <c r="D2" s="665"/>
      <c r="E2" s="665"/>
      <c r="F2" s="1502" t="s">
        <v>144</v>
      </c>
      <c r="G2" s="1502"/>
      <c r="H2" s="1502"/>
      <c r="I2" s="663"/>
      <c r="J2" s="620">
        <v>1</v>
      </c>
    </row>
    <row r="3" spans="1:10" s="661" customFormat="1" ht="15">
      <c r="A3" s="878"/>
      <c r="B3" s="879"/>
      <c r="C3" s="665"/>
      <c r="D3" s="665"/>
      <c r="E3" s="665"/>
      <c r="F3" s="1502"/>
      <c r="G3" s="1502"/>
      <c r="H3" s="1502"/>
      <c r="I3" s="663"/>
    </row>
    <row r="4" spans="1:10" s="881" customFormat="1" ht="17.25" customHeight="1">
      <c r="A4" s="1503" t="s">
        <v>514</v>
      </c>
      <c r="B4" s="1503"/>
      <c r="C4" s="1503"/>
      <c r="D4" s="1503"/>
      <c r="E4" s="1503"/>
      <c r="F4" s="1503"/>
      <c r="G4" s="1503"/>
      <c r="H4" s="1503"/>
      <c r="I4" s="880"/>
    </row>
    <row r="5" spans="1:10" s="882" customFormat="1" ht="17.25" customHeight="1">
      <c r="B5" s="883"/>
      <c r="C5" s="884" t="s">
        <v>432</v>
      </c>
      <c r="D5" s="883" t="str">
        <f>IF($J$2&lt;10,"0"&amp;$J$2&amp;"  năm 2016",$J$2&amp;"  năm 2016")</f>
        <v>01  năm 2016</v>
      </c>
      <c r="E5" s="883"/>
      <c r="F5" s="883"/>
      <c r="G5" s="883"/>
      <c r="H5" s="883"/>
      <c r="I5" s="883"/>
    </row>
    <row r="6" spans="1:10" s="882" customFormat="1" ht="17.25" customHeight="1">
      <c r="B6" s="885"/>
      <c r="C6" s="1504" t="s">
        <v>515</v>
      </c>
      <c r="D6" s="1504"/>
      <c r="E6" s="1505" t="s">
        <v>431</v>
      </c>
      <c r="F6" s="1505"/>
      <c r="H6" s="885"/>
      <c r="I6" s="883"/>
    </row>
    <row r="7" spans="1:10" s="887" customFormat="1" ht="9.75" customHeight="1">
      <c r="A7" s="886"/>
      <c r="B7" s="886"/>
      <c r="C7" s="886"/>
      <c r="D7" s="886"/>
      <c r="E7" s="886"/>
      <c r="F7" s="886"/>
      <c r="G7" s="886"/>
      <c r="H7" s="886"/>
      <c r="I7" s="885"/>
    </row>
    <row r="8" spans="1:10" s="667" customFormat="1" ht="17.25" customHeight="1">
      <c r="A8" s="1506" t="s">
        <v>516</v>
      </c>
      <c r="B8" s="1507" t="s">
        <v>517</v>
      </c>
      <c r="C8" s="1507" t="s">
        <v>518</v>
      </c>
      <c r="D8" s="1507"/>
      <c r="E8" s="1507"/>
      <c r="F8" s="1507"/>
      <c r="G8" s="1507"/>
      <c r="H8" s="1507"/>
      <c r="I8" s="666"/>
    </row>
    <row r="9" spans="1:10" s="670" customFormat="1" ht="28.5">
      <c r="A9" s="1506"/>
      <c r="B9" s="1507"/>
      <c r="C9" s="668" t="s">
        <v>519</v>
      </c>
      <c r="D9" s="668" t="s">
        <v>520</v>
      </c>
      <c r="E9" s="668" t="s">
        <v>521</v>
      </c>
      <c r="F9" s="668" t="s">
        <v>522</v>
      </c>
      <c r="G9" s="668" t="s">
        <v>523</v>
      </c>
      <c r="H9" s="668" t="s">
        <v>524</v>
      </c>
      <c r="I9" s="669"/>
    </row>
    <row r="10" spans="1:10" s="673" customFormat="1" ht="15">
      <c r="A10" s="671" t="s">
        <v>2</v>
      </c>
      <c r="B10" s="672">
        <v>1</v>
      </c>
      <c r="C10" s="672">
        <v>2</v>
      </c>
      <c r="D10" s="672">
        <v>3</v>
      </c>
      <c r="E10" s="672">
        <v>4</v>
      </c>
      <c r="F10" s="672">
        <v>5</v>
      </c>
      <c r="G10" s="672">
        <v>6</v>
      </c>
      <c r="H10" s="672">
        <v>7</v>
      </c>
      <c r="I10" s="663"/>
    </row>
    <row r="11" spans="1:10" s="882" customFormat="1" ht="24.75" customHeight="1">
      <c r="A11" s="888" t="s">
        <v>525</v>
      </c>
      <c r="B11" s="889">
        <f>ROUND(SUM(C11:H11),0)</f>
        <v>0</v>
      </c>
      <c r="C11" s="889">
        <v>0</v>
      </c>
      <c r="D11" s="889">
        <v>0</v>
      </c>
      <c r="E11" s="889">
        <v>0</v>
      </c>
      <c r="F11" s="889">
        <v>0</v>
      </c>
      <c r="G11" s="889">
        <v>0</v>
      </c>
      <c r="H11" s="889">
        <v>0</v>
      </c>
      <c r="I11" s="883"/>
    </row>
    <row r="12" spans="1:10" s="882" customFormat="1" ht="24.75" customHeight="1">
      <c r="A12" s="888" t="s">
        <v>526</v>
      </c>
      <c r="B12" s="889">
        <f ca="1">ROUND(SUM(C12:H12),0)</f>
        <v>1281945000</v>
      </c>
      <c r="C12" s="889">
        <f ca="1">IF(ISNA(VLOOKUP($E6,INDIRECT("DSSP"&amp;$J$2),6,0)),0,VLOOKUP($E6,INDIRECT("DSSP"&amp;$J$2),6,0))</f>
        <v>1266720000</v>
      </c>
      <c r="D12" s="889">
        <f ca="1">IF(ISNA(VLOOKUP($E6,INDIRECT("DSSP"&amp;$J$2),7,0)),0,VLOOKUP($E6,INDIRECT("DSSP"&amp;$J$2),7,0))</f>
        <v>0</v>
      </c>
      <c r="E12" s="889">
        <f ca="1">IF(ISNA(VLOOKUP($E6,INDIRECT("DSSP"&amp;$J$2),8,0)),0,VLOOKUP($E6,INDIRECT("DSSP"&amp;$J$2),8,0))</f>
        <v>0</v>
      </c>
      <c r="F12" s="889">
        <f ca="1">IF(ISNA(VLOOKUP($E6,INDIRECT("DSSP"&amp;$J$2),9,0)),0,VLOOKUP($E6,INDIRECT("DSSP"&amp;$J$2),9,0))</f>
        <v>0</v>
      </c>
      <c r="G12" s="889">
        <f ca="1">IF(ISNA(VLOOKUP($E6,INDIRECT("DSSP"&amp;$J$2),10,0)),0,VLOOKUP($E6,INDIRECT("DSSP"&amp;$J$2),10,0))</f>
        <v>0</v>
      </c>
      <c r="H12" s="889">
        <f ca="1">IF(ISNA(VLOOKUP($E6,INDIRECT("DSSP"&amp;$J$2),11,0)),0,VLOOKUP($E6,INDIRECT("DSSP"&amp;$J$2),11,0))</f>
        <v>15225000</v>
      </c>
      <c r="I12" s="883"/>
    </row>
    <row r="13" spans="1:10" s="882" customFormat="1" ht="24.75" customHeight="1">
      <c r="A13" s="888" t="s">
        <v>527</v>
      </c>
      <c r="B13" s="889">
        <f ca="1">ROUND(IF(ISNA(VLOOKUP($E6,INDIRECT("DSSP"&amp;$J$2),13,0)),0,VLOOKUP($E6,INDIRECT("DSSP"&amp;$J$2),13,0)),0)</f>
        <v>1545845000</v>
      </c>
      <c r="C13" s="889">
        <f t="shared" ref="C13:H13" ca="1" si="0">C12</f>
        <v>1266720000</v>
      </c>
      <c r="D13" s="889">
        <f t="shared" ca="1" si="0"/>
        <v>0</v>
      </c>
      <c r="E13" s="889">
        <f t="shared" ca="1" si="0"/>
        <v>0</v>
      </c>
      <c r="F13" s="889">
        <f t="shared" ca="1" si="0"/>
        <v>0</v>
      </c>
      <c r="G13" s="889">
        <f t="shared" ca="1" si="0"/>
        <v>0</v>
      </c>
      <c r="H13" s="889">
        <f t="shared" ca="1" si="0"/>
        <v>15225000</v>
      </c>
      <c r="I13" s="883"/>
    </row>
    <row r="14" spans="1:10" s="882" customFormat="1" ht="24.75" customHeight="1">
      <c r="A14" s="888" t="s">
        <v>528</v>
      </c>
      <c r="B14" s="889">
        <f ca="1">B12-B13</f>
        <v>-263900000</v>
      </c>
      <c r="C14" s="889">
        <f t="shared" ref="C14:H14" ca="1" si="1">C12-C13</f>
        <v>0</v>
      </c>
      <c r="D14" s="889">
        <f t="shared" ca="1" si="1"/>
        <v>0</v>
      </c>
      <c r="E14" s="889">
        <f t="shared" ca="1" si="1"/>
        <v>0</v>
      </c>
      <c r="F14" s="889">
        <f t="shared" ca="1" si="1"/>
        <v>0</v>
      </c>
      <c r="G14" s="889">
        <f t="shared" ca="1" si="1"/>
        <v>0</v>
      </c>
      <c r="H14" s="889">
        <f t="shared" ca="1" si="1"/>
        <v>0</v>
      </c>
      <c r="I14" s="883"/>
    </row>
    <row r="15" spans="1:10" s="882" customFormat="1" ht="15">
      <c r="B15" s="883"/>
      <c r="C15" s="883"/>
      <c r="D15" s="883"/>
      <c r="E15" s="883"/>
      <c r="F15" s="883"/>
      <c r="G15" s="883"/>
      <c r="H15" s="883"/>
      <c r="I15" s="883"/>
    </row>
    <row r="16" spans="1:10" s="882" customFormat="1" ht="15">
      <c r="B16" s="883"/>
      <c r="C16" s="883"/>
      <c r="D16" s="883"/>
      <c r="E16" s="1500" t="str">
        <f xml:space="preserve"> IF(OR($J$2=1,$J$2=4,$J$2=6,$J$2=9,$J$2=11),"Ngày  30  tháng  "&amp;$J$2&amp;"  năm 2016",IF(OR($J$2=3,$J$2=5,$J$2=7,$J$2=8,$J$2=10,$J$2=12),"Ngày  31  tháng  "&amp;$J$2&amp;"  năm 2016","Ngày  29  tháng  "&amp;$J$2&amp;"  năm 2016"))</f>
        <v>Ngày  30  tháng  1  năm 2016</v>
      </c>
      <c r="F16" s="1500"/>
      <c r="G16" s="1500"/>
      <c r="H16" s="1500"/>
      <c r="I16" s="883"/>
    </row>
    <row r="17" spans="2:9" s="882" customFormat="1" ht="15">
      <c r="B17" s="673" t="s">
        <v>529</v>
      </c>
      <c r="C17" s="883"/>
      <c r="D17" s="883"/>
      <c r="E17" s="1500" t="s">
        <v>12</v>
      </c>
      <c r="F17" s="1500"/>
      <c r="G17" s="1500"/>
      <c r="H17" s="1500"/>
      <c r="I17" s="883"/>
    </row>
    <row r="19" spans="2:9" ht="15">
      <c r="E19" s="891"/>
    </row>
    <row r="26" spans="2:9">
      <c r="B26" s="861" t="s">
        <v>226</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7" tint="-0.499984740745262"/>
  </sheetPr>
  <dimension ref="A1:N167"/>
  <sheetViews>
    <sheetView topLeftCell="A73" zoomScale="90" zoomScaleNormal="90" workbookViewId="0">
      <selection activeCell="P41" sqref="P41"/>
    </sheetView>
  </sheetViews>
  <sheetFormatPr defaultRowHeight="12.75"/>
  <cols>
    <col min="1" max="1" width="8.85546875" customWidth="1"/>
    <col min="2" max="2" width="23.5703125" customWidth="1"/>
    <col min="3" max="4" width="9.140625" hidden="1" customWidth="1"/>
    <col min="5" max="5" width="25" style="91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11" t="s">
        <v>470</v>
      </c>
      <c r="B1" s="1511"/>
      <c r="C1" s="1511"/>
      <c r="D1" s="1511"/>
      <c r="E1" s="1511"/>
      <c r="F1" s="1511"/>
      <c r="G1" s="1511"/>
      <c r="H1" s="1511"/>
      <c r="I1" s="1511"/>
      <c r="J1" s="1512" t="s">
        <v>471</v>
      </c>
      <c r="K1" s="1513"/>
      <c r="L1" s="613"/>
      <c r="M1" s="613"/>
      <c r="N1" s="614"/>
    </row>
    <row r="2" spans="1:14" ht="15.75">
      <c r="A2" s="1511"/>
      <c r="B2" s="1511"/>
      <c r="C2" s="1511"/>
      <c r="D2" s="1511"/>
      <c r="E2" s="1511"/>
      <c r="F2" s="1511"/>
      <c r="G2" s="1511"/>
      <c r="H2" s="1511"/>
      <c r="I2" s="1511"/>
      <c r="J2" s="1514"/>
      <c r="K2" s="1515"/>
      <c r="L2" s="613"/>
      <c r="M2" s="613"/>
      <c r="N2" s="614"/>
    </row>
    <row r="3" spans="1:14" ht="15.75">
      <c r="A3" s="1511"/>
      <c r="B3" s="1511"/>
      <c r="C3" s="1511"/>
      <c r="D3" s="1511"/>
      <c r="E3" s="1511"/>
      <c r="F3" s="1511"/>
      <c r="G3" s="1511"/>
      <c r="H3" s="1511"/>
      <c r="I3" s="1511"/>
      <c r="J3" s="1514"/>
      <c r="K3" s="1515"/>
      <c r="L3" s="613"/>
      <c r="M3" s="613"/>
      <c r="N3" s="614"/>
    </row>
    <row r="4" spans="1:14" ht="27" customHeight="1">
      <c r="A4" s="1518" t="str">
        <f>"( " &amp; IF(OR($M$11=1,$M$11=4,$M$11=6,$M$11=9,$M$11=11),"Ngày  30  tháng  "&amp;$M$11&amp;"  năm 2017",IF(OR($M$11=3,$M$11=5,$M$11=7,$M$11=8,$M$11=10,$M$11=12),"Ngày  31  tháng  "&amp;$M$11&amp;"  năm 2017","Ngày  29  tháng  "&amp;$M$11&amp;"  năm 2017")) &amp; " ) "</f>
        <v xml:space="preserve">( Ngày  30  tháng  4  năm 2017 ) </v>
      </c>
      <c r="B4" s="1518"/>
      <c r="C4" s="1518"/>
      <c r="D4" s="1518"/>
      <c r="E4" s="1518"/>
      <c r="F4" s="1518"/>
      <c r="G4" s="1518"/>
      <c r="H4" s="1518"/>
      <c r="I4" s="1518"/>
      <c r="J4" s="1516"/>
      <c r="K4" s="1517"/>
      <c r="L4" s="613"/>
      <c r="M4" s="613"/>
      <c r="N4" s="614"/>
    </row>
    <row r="5" spans="1:14" ht="20.25">
      <c r="A5" s="615"/>
      <c r="B5" s="613"/>
      <c r="C5" s="613"/>
      <c r="D5" s="613"/>
      <c r="E5" s="904"/>
      <c r="F5" s="616"/>
      <c r="G5" s="613"/>
      <c r="H5" s="617"/>
      <c r="I5" s="617"/>
      <c r="J5" s="613"/>
      <c r="K5" s="613"/>
      <c r="L5" s="613"/>
      <c r="M5" s="614"/>
      <c r="N5" s="614"/>
    </row>
    <row r="6" spans="1:14" ht="15.75">
      <c r="A6" s="615" t="s">
        <v>472</v>
      </c>
      <c r="B6" s="613"/>
      <c r="C6" s="613"/>
      <c r="D6" s="613"/>
      <c r="E6" s="905"/>
      <c r="F6" s="613"/>
      <c r="G6" s="613" t="s">
        <v>473</v>
      </c>
      <c r="H6" s="617"/>
      <c r="I6" s="617"/>
      <c r="J6" s="613"/>
      <c r="K6" s="613"/>
      <c r="L6" s="613"/>
      <c r="M6" s="614"/>
      <c r="N6" s="614"/>
    </row>
    <row r="7" spans="1:14" ht="15.75">
      <c r="A7" s="615" t="s">
        <v>474</v>
      </c>
      <c r="B7" s="613"/>
      <c r="C7" s="613"/>
      <c r="D7" s="613"/>
      <c r="E7" s="905"/>
      <c r="F7" s="613"/>
      <c r="G7" s="613"/>
      <c r="H7" s="617"/>
      <c r="I7" s="617"/>
      <c r="J7" s="613"/>
      <c r="K7" s="613"/>
      <c r="L7" s="613"/>
      <c r="M7" s="614"/>
      <c r="N7" s="614"/>
    </row>
    <row r="8" spans="1:14" ht="15.75">
      <c r="A8" s="615" t="s">
        <v>475</v>
      </c>
      <c r="B8" s="613"/>
      <c r="C8" s="613"/>
      <c r="D8" s="613"/>
      <c r="E8" s="905"/>
      <c r="F8" s="613"/>
      <c r="G8" s="613"/>
      <c r="H8" s="617"/>
      <c r="I8" s="617"/>
      <c r="J8" s="613"/>
      <c r="K8" s="613"/>
      <c r="L8" s="613"/>
      <c r="M8" s="614"/>
      <c r="N8" s="614"/>
    </row>
    <row r="9" spans="1:14" ht="15.75">
      <c r="A9" s="615" t="s">
        <v>476</v>
      </c>
      <c r="B9" s="613"/>
      <c r="C9" s="613"/>
      <c r="D9" s="613"/>
      <c r="E9" s="905"/>
      <c r="F9" s="613"/>
      <c r="G9" s="613"/>
      <c r="H9" s="617"/>
      <c r="I9" s="617"/>
      <c r="J9" s="613"/>
      <c r="K9" s="613"/>
      <c r="L9" s="613"/>
      <c r="M9" s="614"/>
      <c r="N9" s="614"/>
    </row>
    <row r="10" spans="1:14" ht="16.5" thickBot="1">
      <c r="A10" s="615"/>
      <c r="B10" s="613"/>
      <c r="C10" s="613"/>
      <c r="D10" s="613"/>
      <c r="E10" s="905"/>
      <c r="F10" s="613"/>
      <c r="G10" s="613"/>
      <c r="H10" s="617"/>
      <c r="I10" s="617"/>
      <c r="J10" s="613"/>
      <c r="K10" s="613"/>
      <c r="L10" s="613"/>
      <c r="M10" s="618"/>
      <c r="N10" s="614"/>
    </row>
    <row r="11" spans="1:14" ht="15.75" thickBot="1">
      <c r="A11" s="1519" t="s">
        <v>531</v>
      </c>
      <c r="B11" s="1521" t="s">
        <v>477</v>
      </c>
      <c r="C11" s="1522"/>
      <c r="D11" s="1522"/>
      <c r="E11" s="1522"/>
      <c r="F11" s="1523"/>
      <c r="G11" s="1524" t="s">
        <v>478</v>
      </c>
      <c r="H11" s="1524"/>
      <c r="I11" s="1524"/>
      <c r="J11" s="1524"/>
      <c r="K11" s="1525" t="s">
        <v>152</v>
      </c>
      <c r="L11" s="619"/>
      <c r="M11" s="903">
        <v>4</v>
      </c>
      <c r="N11" s="621"/>
    </row>
    <row r="12" spans="1:14" ht="36" customHeight="1">
      <c r="A12" s="1520"/>
      <c r="B12" s="622" t="s">
        <v>479</v>
      </c>
      <c r="C12" s="622"/>
      <c r="D12" s="622" t="s">
        <v>480</v>
      </c>
      <c r="E12" s="622" t="s">
        <v>481</v>
      </c>
      <c r="F12" s="622" t="s">
        <v>482</v>
      </c>
      <c r="G12" s="622" t="s">
        <v>483</v>
      </c>
      <c r="H12" s="623" t="s">
        <v>435</v>
      </c>
      <c r="I12" s="623" t="s">
        <v>436</v>
      </c>
      <c r="J12" s="622" t="s">
        <v>484</v>
      </c>
      <c r="K12" s="1526"/>
      <c r="L12" s="624"/>
      <c r="M12" s="625"/>
      <c r="N12" s="625"/>
    </row>
    <row r="13" spans="1:14">
      <c r="A13" s="626" t="s">
        <v>172</v>
      </c>
      <c r="B13" s="627">
        <v>2</v>
      </c>
      <c r="C13" s="627"/>
      <c r="D13" s="627"/>
      <c r="E13" s="906">
        <v>3</v>
      </c>
      <c r="F13" s="627">
        <v>4</v>
      </c>
      <c r="G13" s="627">
        <v>5</v>
      </c>
      <c r="H13" s="628" t="s">
        <v>485</v>
      </c>
      <c r="I13" s="628" t="s">
        <v>486</v>
      </c>
      <c r="J13" s="627">
        <v>8</v>
      </c>
      <c r="K13" s="627">
        <v>9</v>
      </c>
      <c r="L13" s="629"/>
      <c r="M13" s="629"/>
      <c r="N13" s="629"/>
    </row>
    <row r="14" spans="1:14" ht="27" customHeight="1">
      <c r="A14" s="213" t="str">
        <f ca="1">IF(ROWS($1:1)&gt;COUNT(Dong13),"",OFFSET(TH!E$1,SMALL(Dong13,ROWS($1:1)),))</f>
        <v/>
      </c>
      <c r="B14" s="216" t="str">
        <f ca="1">IF(ROWS($1:1)&gt;COUNT(Dong13),"",OFFSET(TH!H$1,SMALL(Dong13,ROWS($1:1)),))</f>
        <v/>
      </c>
      <c r="C14" s="630" t="str">
        <f ca="1">IF(ISNA(VLOOKUP($B14,DSNL,6,0)),"",VLOOKUP($B14,DSNL,6,0))</f>
        <v/>
      </c>
      <c r="D14" s="630" t="str">
        <f ca="1">IF(ROWS($1:1)&gt;COUNT(Dong13),"",OFFSET(TH!D$1,SMALL(Dong13,ROWS($1:1)),))</f>
        <v/>
      </c>
      <c r="E14" s="907" t="str">
        <f t="shared" ref="E14:E129" ca="1" si="0">IF(ISNA(VLOOKUP($B14,DSNL,4,0)),"",VLOOKUP($B14,DSNL,4,0))</f>
        <v/>
      </c>
      <c r="F14" s="631" t="str">
        <f t="shared" ref="F14:F129" ca="1" si="1">IF(ISNA(VLOOKUP($B14,DSNL,3,0)),"",VLOOKUP($B14,DSNL,3,0))</f>
        <v/>
      </c>
      <c r="G14" s="632" t="str">
        <f ca="1">IF(ROWS($1:1)&gt;COUNT(Dong13),"",OFFSET(TH!F$1,SMALL(Dong13,ROWS($1:1)),))</f>
        <v/>
      </c>
      <c r="H14" s="633" t="str">
        <f ca="1">IF(ROWS($1:1)&gt;COUNT(Dong13),"",OFFSET(TH!I$1,SMALL(Dong13,ROWS($1:1)),))</f>
        <v/>
      </c>
      <c r="I14" s="633" t="str">
        <f ca="1">IF(ROWS($1:1)&gt;COUNT(Dong13),"",OFFSET(TH!J$1,SMALL(Dong13,ROWS($1:1)),))</f>
        <v/>
      </c>
      <c r="J14" s="634">
        <f ca="1">IF(B14&lt;&gt;"",H14*I14,0)</f>
        <v>0</v>
      </c>
      <c r="K14" s="634"/>
      <c r="L14" s="635"/>
      <c r="M14" s="614"/>
      <c r="N14" s="614"/>
    </row>
    <row r="15" spans="1:14" ht="27" customHeight="1">
      <c r="A15" s="213" t="str">
        <f ca="1">IF(ROWS($1:2)&gt;COUNT(Dong13),"",OFFSET(TH!E$1,SMALL(Dong13,ROWS($1:2)),))</f>
        <v/>
      </c>
      <c r="B15" s="216" t="str">
        <f ca="1">IF(ROWS($1:2)&gt;COUNT(Dong13),"",OFFSET(TH!H$1,SMALL(Dong13,ROWS($1:2)),))</f>
        <v/>
      </c>
      <c r="C15" s="630" t="str">
        <f t="shared" ref="C15:C129" ca="1" si="2">IF(ISNA(VLOOKUP($B15,DSNL,6,0)),"",VLOOKUP($B15,DSNL,6,0))</f>
        <v/>
      </c>
      <c r="D15" s="630" t="str">
        <f ca="1">IF(ROWS($1:2)&gt;COUNT(Dong13),"",OFFSET(TH!D$1,SMALL(Dong13,ROWS($1:2)),))</f>
        <v/>
      </c>
      <c r="E15" s="907" t="str">
        <f t="shared" ca="1" si="0"/>
        <v/>
      </c>
      <c r="F15" s="631" t="str">
        <f t="shared" ca="1" si="1"/>
        <v/>
      </c>
      <c r="G15" s="632" t="str">
        <f ca="1">IF(ROWS($1:2)&gt;COUNT(Dong13),"",OFFSET(TH!F$1,SMALL(Dong13,ROWS($1:2)),))</f>
        <v/>
      </c>
      <c r="H15" s="633" t="str">
        <f ca="1">IF(ROWS($1:2)&gt;COUNT(Dong13),"",OFFSET(TH!I$1,SMALL(Dong13,ROWS($1:2)),))</f>
        <v/>
      </c>
      <c r="I15" s="633" t="str">
        <f ca="1">IF(ROWS($1:2)&gt;COUNT(Dong13),"",OFFSET(TH!J$1,SMALL(Dong13,ROWS($1:2)),))</f>
        <v/>
      </c>
      <c r="J15" s="634">
        <f t="shared" ref="J15:J39" ca="1" si="3">IF(B15&lt;&gt;"",H15*I15,0)</f>
        <v>0</v>
      </c>
      <c r="K15" s="636"/>
      <c r="L15" s="635"/>
      <c r="M15" s="614"/>
      <c r="N15" s="614"/>
    </row>
    <row r="16" spans="1:14" ht="27" customHeight="1">
      <c r="A16" s="213" t="str">
        <f ca="1">IF(ROWS($1:3)&gt;COUNT(Dong13),"",OFFSET(TH!E$1,SMALL(Dong13,ROWS($1:3)),))</f>
        <v/>
      </c>
      <c r="B16" s="216" t="str">
        <f ca="1">IF(ROWS($1:3)&gt;COUNT(Dong13),"",OFFSET(TH!H$1,SMALL(Dong13,ROWS($1:3)),))</f>
        <v/>
      </c>
      <c r="C16" s="630" t="str">
        <f t="shared" ca="1" si="2"/>
        <v/>
      </c>
      <c r="D16" s="630" t="str">
        <f ca="1">IF(ROWS($1:3)&gt;COUNT(Dong13),"",OFFSET(TH!D$1,SMALL(Dong13,ROWS($1:3)),))</f>
        <v/>
      </c>
      <c r="E16" s="907" t="str">
        <f t="shared" ca="1" si="0"/>
        <v/>
      </c>
      <c r="F16" s="631" t="str">
        <f t="shared" ca="1" si="1"/>
        <v/>
      </c>
      <c r="G16" s="632" t="str">
        <f ca="1">IF(ROWS($1:3)&gt;COUNT(Dong13),"",OFFSET(TH!F$1,SMALL(Dong13,ROWS($1:3)),))</f>
        <v/>
      </c>
      <c r="H16" s="633" t="str">
        <f ca="1">IF(ROWS($1:3)&gt;COUNT(Dong13),"",OFFSET(TH!I$1,SMALL(Dong13,ROWS($1:3)),))</f>
        <v/>
      </c>
      <c r="I16" s="633" t="str">
        <f ca="1">IF(ROWS($1:3)&gt;COUNT(Dong13),"",OFFSET(TH!J$1,SMALL(Dong13,ROWS($1:3)),))</f>
        <v/>
      </c>
      <c r="J16" s="634">
        <f t="shared" ca="1" si="3"/>
        <v>0</v>
      </c>
      <c r="K16" s="636"/>
      <c r="L16" s="635"/>
      <c r="M16" s="614"/>
      <c r="N16" s="614"/>
    </row>
    <row r="17" spans="1:14" ht="27" customHeight="1">
      <c r="A17" s="213" t="str">
        <f ca="1">IF(ROWS($1:4)&gt;COUNT(Dong13),"",OFFSET(TH!E$1,SMALL(Dong13,ROWS($1:4)),))</f>
        <v/>
      </c>
      <c r="B17" s="216" t="str">
        <f ca="1">IF(ROWS($1:4)&gt;COUNT(Dong13),"",OFFSET(TH!H$1,SMALL(Dong13,ROWS($1:4)),))</f>
        <v/>
      </c>
      <c r="C17" s="630" t="str">
        <f t="shared" ca="1" si="2"/>
        <v/>
      </c>
      <c r="D17" s="630" t="str">
        <f ca="1">IF(ROWS($1:4)&gt;COUNT(Dong13),"",OFFSET(TH!D$1,SMALL(Dong13,ROWS($1:4)),))</f>
        <v/>
      </c>
      <c r="E17" s="907" t="str">
        <f t="shared" ca="1" si="0"/>
        <v/>
      </c>
      <c r="F17" s="631" t="str">
        <f t="shared" ca="1" si="1"/>
        <v/>
      </c>
      <c r="G17" s="632" t="str">
        <f ca="1">IF(ROWS($1:4)&gt;COUNT(Dong13),"",OFFSET(TH!F$1,SMALL(Dong13,ROWS($1:4)),))</f>
        <v/>
      </c>
      <c r="H17" s="633" t="str">
        <f ca="1">IF(ROWS($1:4)&gt;COUNT(Dong13),"",OFFSET(TH!I$1,SMALL(Dong13,ROWS($1:4)),))</f>
        <v/>
      </c>
      <c r="I17" s="633" t="str">
        <f ca="1">IF(ROWS($1:4)&gt;COUNT(Dong13),"",OFFSET(TH!J$1,SMALL(Dong13,ROWS($1:4)),))</f>
        <v/>
      </c>
      <c r="J17" s="634">
        <f t="shared" ca="1" si="3"/>
        <v>0</v>
      </c>
      <c r="K17" s="636"/>
      <c r="L17" s="635"/>
      <c r="M17" s="614"/>
      <c r="N17" s="614"/>
    </row>
    <row r="18" spans="1:14" ht="27" customHeight="1">
      <c r="A18" s="213" t="str">
        <f ca="1">IF(ROWS($1:5)&gt;COUNT(Dong13),"",OFFSET(TH!E$1,SMALL(Dong13,ROWS($1:5)),))</f>
        <v/>
      </c>
      <c r="B18" s="216" t="str">
        <f ca="1">IF(ROWS($1:5)&gt;COUNT(Dong13),"",OFFSET(TH!H$1,SMALL(Dong13,ROWS($1:5)),))</f>
        <v/>
      </c>
      <c r="C18" s="630" t="str">
        <f t="shared" ca="1" si="2"/>
        <v/>
      </c>
      <c r="D18" s="630" t="str">
        <f ca="1">IF(ROWS($1:5)&gt;COUNT(Dong13),"",OFFSET(TH!D$1,SMALL(Dong13,ROWS($1:5)),))</f>
        <v/>
      </c>
      <c r="E18" s="907" t="str">
        <f t="shared" ca="1" si="0"/>
        <v/>
      </c>
      <c r="F18" s="631" t="str">
        <f t="shared" ca="1" si="1"/>
        <v/>
      </c>
      <c r="G18" s="632" t="str">
        <f ca="1">IF(ROWS($1:5)&gt;COUNT(Dong13),"",OFFSET(TH!F$1,SMALL(Dong13,ROWS($1:5)),))</f>
        <v/>
      </c>
      <c r="H18" s="633" t="str">
        <f ca="1">IF(ROWS($1:5)&gt;COUNT(Dong13),"",OFFSET(TH!I$1,SMALL(Dong13,ROWS($1:5)),))</f>
        <v/>
      </c>
      <c r="I18" s="633" t="str">
        <f ca="1">IF(ROWS($1:5)&gt;COUNT(Dong13),"",OFFSET(TH!J$1,SMALL(Dong13,ROWS($1:5)),))</f>
        <v/>
      </c>
      <c r="J18" s="634">
        <f t="shared" ca="1" si="3"/>
        <v>0</v>
      </c>
      <c r="K18" s="636"/>
      <c r="L18" s="635"/>
      <c r="M18" s="614"/>
      <c r="N18" s="614"/>
    </row>
    <row r="19" spans="1:14" ht="27" customHeight="1">
      <c r="A19" s="213" t="str">
        <f ca="1">IF(ROWS($1:6)&gt;COUNT(Dong13),"",OFFSET(TH!E$1,SMALL(Dong13,ROWS($1:6)),))</f>
        <v/>
      </c>
      <c r="B19" s="216" t="str">
        <f ca="1">IF(ROWS($1:6)&gt;COUNT(Dong13),"",OFFSET(TH!H$1,SMALL(Dong13,ROWS($1:6)),))</f>
        <v/>
      </c>
      <c r="C19" s="630" t="str">
        <f t="shared" ca="1" si="2"/>
        <v/>
      </c>
      <c r="D19" s="630" t="str">
        <f ca="1">IF(ROWS($1:6)&gt;COUNT(Dong13),"",OFFSET(TH!D$1,SMALL(Dong13,ROWS($1:6)),))</f>
        <v/>
      </c>
      <c r="E19" s="907" t="str">
        <f t="shared" ca="1" si="0"/>
        <v/>
      </c>
      <c r="F19" s="631" t="str">
        <f t="shared" ca="1" si="1"/>
        <v/>
      </c>
      <c r="G19" s="632" t="str">
        <f ca="1">IF(ROWS($1:6)&gt;COUNT(Dong13),"",OFFSET(TH!F$1,SMALL(Dong13,ROWS($1:6)),))</f>
        <v/>
      </c>
      <c r="H19" s="633" t="str">
        <f ca="1">IF(ROWS($1:6)&gt;COUNT(Dong13),"",OFFSET(TH!I$1,SMALL(Dong13,ROWS($1:6)),))</f>
        <v/>
      </c>
      <c r="I19" s="633" t="str">
        <f ca="1">IF(ROWS($1:6)&gt;COUNT(Dong13),"",OFFSET(TH!J$1,SMALL(Dong13,ROWS($1:6)),))</f>
        <v/>
      </c>
      <c r="J19" s="634">
        <f t="shared" ca="1" si="3"/>
        <v>0</v>
      </c>
      <c r="K19" s="636"/>
      <c r="L19" s="635"/>
      <c r="M19" s="614"/>
      <c r="N19" s="614"/>
    </row>
    <row r="20" spans="1:14" ht="31.5" customHeight="1">
      <c r="A20" s="213" t="str">
        <f ca="1">IF(ROWS($1:7)&gt;COUNT(Dong13),"",OFFSET(TH!E$1,SMALL(Dong13,ROWS($1:7)),))</f>
        <v/>
      </c>
      <c r="B20" s="216" t="str">
        <f ca="1">IF(ROWS($1:7)&gt;COUNT(Dong13),"",OFFSET(TH!H$1,SMALL(Dong13,ROWS($1:7)),))</f>
        <v/>
      </c>
      <c r="C20" s="630" t="str">
        <f t="shared" ca="1" si="2"/>
        <v/>
      </c>
      <c r="D20" s="630" t="str">
        <f ca="1">IF(ROWS($1:7)&gt;COUNT(Dong13),"",OFFSET(TH!D$1,SMALL(Dong13,ROWS($1:7)),))</f>
        <v/>
      </c>
      <c r="E20" s="907" t="str">
        <f t="shared" ca="1" si="0"/>
        <v/>
      </c>
      <c r="F20" s="631" t="str">
        <f t="shared" ca="1" si="1"/>
        <v/>
      </c>
      <c r="G20" s="632" t="str">
        <f ca="1">IF(ROWS($1:7)&gt;COUNT(Dong13),"",OFFSET(TH!F$1,SMALL(Dong13,ROWS($1:7)),))</f>
        <v/>
      </c>
      <c r="H20" s="633" t="str">
        <f ca="1">IF(ROWS($1:7)&gt;COUNT(Dong13),"",OFFSET(TH!I$1,SMALL(Dong13,ROWS($1:7)),))</f>
        <v/>
      </c>
      <c r="I20" s="633" t="str">
        <f ca="1">IF(ROWS($1:7)&gt;COUNT(Dong13),"",OFFSET(TH!J$1,SMALL(Dong13,ROWS($1:7)),))</f>
        <v/>
      </c>
      <c r="J20" s="634">
        <f t="shared" ca="1" si="3"/>
        <v>0</v>
      </c>
      <c r="K20" s="636"/>
      <c r="L20" s="635"/>
      <c r="M20" s="614"/>
      <c r="N20" s="614"/>
    </row>
    <row r="21" spans="1:14" ht="27" customHeight="1">
      <c r="A21" s="213" t="str">
        <f ca="1">IF(ROWS($1:8)&gt;COUNT(Dong13),"",OFFSET(TH!E$1,SMALL(Dong13,ROWS($1:8)),))</f>
        <v/>
      </c>
      <c r="B21" s="216" t="str">
        <f ca="1">IF(ROWS($1:8)&gt;COUNT(Dong13),"",OFFSET(TH!H$1,SMALL(Dong13,ROWS($1:8)),))</f>
        <v/>
      </c>
      <c r="C21" s="630" t="str">
        <f t="shared" ca="1" si="2"/>
        <v/>
      </c>
      <c r="D21" s="630" t="str">
        <f ca="1">IF(ROWS($1:8)&gt;COUNT(Dong13),"",OFFSET(TH!D$1,SMALL(Dong13,ROWS($1:8)),))</f>
        <v/>
      </c>
      <c r="E21" s="907" t="str">
        <f t="shared" ca="1" si="0"/>
        <v/>
      </c>
      <c r="F21" s="631" t="str">
        <f t="shared" ca="1" si="1"/>
        <v/>
      </c>
      <c r="G21" s="632" t="str">
        <f ca="1">IF(ROWS($1:8)&gt;COUNT(Dong13),"",OFFSET(TH!F$1,SMALL(Dong13,ROWS($1:8)),))</f>
        <v/>
      </c>
      <c r="H21" s="633" t="str">
        <f ca="1">IF(ROWS($1:8)&gt;COUNT(Dong13),"",OFFSET(TH!I$1,SMALL(Dong13,ROWS($1:8)),))</f>
        <v/>
      </c>
      <c r="I21" s="633" t="str">
        <f ca="1">IF(ROWS($1:8)&gt;COUNT(Dong13),"",OFFSET(TH!J$1,SMALL(Dong13,ROWS($1:8)),))</f>
        <v/>
      </c>
      <c r="J21" s="634">
        <f t="shared" ca="1" si="3"/>
        <v>0</v>
      </c>
      <c r="K21" s="636"/>
      <c r="L21" s="635"/>
      <c r="M21" s="614"/>
      <c r="N21" s="614"/>
    </row>
    <row r="22" spans="1:14" ht="27" customHeight="1">
      <c r="A22" s="213" t="str">
        <f ca="1">IF(ROWS($1:9)&gt;COUNT(Dong13),"",OFFSET(TH!E$1,SMALL(Dong13,ROWS($1:9)),))</f>
        <v/>
      </c>
      <c r="B22" s="216" t="str">
        <f ca="1">IF(ROWS($1:9)&gt;COUNT(Dong13),"",OFFSET(TH!H$1,SMALL(Dong13,ROWS($1:9)),))</f>
        <v/>
      </c>
      <c r="C22" s="630" t="str">
        <f t="shared" ca="1" si="2"/>
        <v/>
      </c>
      <c r="D22" s="630" t="str">
        <f ca="1">IF(ROWS($1:9)&gt;COUNT(Dong13),"",OFFSET(TH!D$1,SMALL(Dong13,ROWS($1:9)),))</f>
        <v/>
      </c>
      <c r="E22" s="907" t="str">
        <f t="shared" ca="1" si="0"/>
        <v/>
      </c>
      <c r="F22" s="631" t="str">
        <f t="shared" ca="1" si="1"/>
        <v/>
      </c>
      <c r="G22" s="632" t="str">
        <f ca="1">IF(ROWS($1:9)&gt;COUNT(Dong13),"",OFFSET(TH!F$1,SMALL(Dong13,ROWS($1:9)),))</f>
        <v/>
      </c>
      <c r="H22" s="633" t="str">
        <f ca="1">IF(ROWS($1:9)&gt;COUNT(Dong13),"",OFFSET(TH!I$1,SMALL(Dong13,ROWS($1:9)),))</f>
        <v/>
      </c>
      <c r="I22" s="633" t="str">
        <f ca="1">IF(ROWS($1:9)&gt;COUNT(Dong13),"",OFFSET(TH!J$1,SMALL(Dong13,ROWS($1:9)),))</f>
        <v/>
      </c>
      <c r="J22" s="634">
        <f t="shared" ca="1" si="3"/>
        <v>0</v>
      </c>
      <c r="K22" s="636"/>
      <c r="L22" s="635"/>
      <c r="M22" s="614"/>
      <c r="N22" s="614"/>
    </row>
    <row r="23" spans="1:14" ht="27" customHeight="1">
      <c r="A23" s="213" t="str">
        <f ca="1">IF(ROWS($1:10)&gt;COUNT(Dong13),"",OFFSET(TH!E$1,SMALL(Dong13,ROWS($1:10)),))</f>
        <v/>
      </c>
      <c r="B23" s="216" t="str">
        <f ca="1">IF(ROWS($1:10)&gt;COUNT(Dong13),"",OFFSET(TH!H$1,SMALL(Dong13,ROWS($1:10)),))</f>
        <v/>
      </c>
      <c r="C23" s="630" t="str">
        <f t="shared" ca="1" si="2"/>
        <v/>
      </c>
      <c r="D23" s="630" t="str">
        <f ca="1">IF(ROWS($1:10)&gt;COUNT(Dong13),"",OFFSET(TH!D$1,SMALL(Dong13,ROWS($1:10)),))</f>
        <v/>
      </c>
      <c r="E23" s="907" t="str">
        <f t="shared" ca="1" si="0"/>
        <v/>
      </c>
      <c r="F23" s="631" t="str">
        <f t="shared" ca="1" si="1"/>
        <v/>
      </c>
      <c r="G23" s="632" t="str">
        <f ca="1">IF(ROWS($1:10)&gt;COUNT(Dong13),"",OFFSET(TH!F$1,SMALL(Dong13,ROWS($1:10)),))</f>
        <v/>
      </c>
      <c r="H23" s="633" t="str">
        <f ca="1">IF(ROWS($1:10)&gt;COUNT(Dong13),"",OFFSET(TH!I$1,SMALL(Dong13,ROWS($1:10)),))</f>
        <v/>
      </c>
      <c r="I23" s="633" t="str">
        <f ca="1">IF(ROWS($1:10)&gt;COUNT(Dong13),"",OFFSET(TH!J$1,SMALL(Dong13,ROWS($1:10)),))</f>
        <v/>
      </c>
      <c r="J23" s="634">
        <f t="shared" ca="1" si="3"/>
        <v>0</v>
      </c>
      <c r="K23" s="636"/>
      <c r="L23" s="635"/>
      <c r="M23" s="614"/>
      <c r="N23" s="614"/>
    </row>
    <row r="24" spans="1:14" ht="27" customHeight="1">
      <c r="A24" s="213" t="str">
        <f ca="1">IF(ROWS($1:11)&gt;COUNT(Dong13),"",OFFSET(TH!E$1,SMALL(Dong13,ROWS($1:11)),))</f>
        <v/>
      </c>
      <c r="B24" s="216" t="str">
        <f ca="1">IF(ROWS($1:11)&gt;COUNT(Dong13),"",OFFSET(TH!H$1,SMALL(Dong13,ROWS($1:11)),))</f>
        <v/>
      </c>
      <c r="C24" s="630" t="str">
        <f t="shared" ca="1" si="2"/>
        <v/>
      </c>
      <c r="D24" s="630" t="str">
        <f ca="1">IF(ROWS($1:11)&gt;COUNT(Dong13),"",OFFSET(TH!D$1,SMALL(Dong13,ROWS($1:11)),))</f>
        <v/>
      </c>
      <c r="E24" s="907" t="str">
        <f t="shared" ca="1" si="0"/>
        <v/>
      </c>
      <c r="F24" s="631" t="str">
        <f t="shared" ca="1" si="1"/>
        <v/>
      </c>
      <c r="G24" s="632" t="str">
        <f ca="1">IF(ROWS($1:11)&gt;COUNT(Dong13),"",OFFSET(TH!F$1,SMALL(Dong13,ROWS($1:11)),))</f>
        <v/>
      </c>
      <c r="H24" s="633" t="str">
        <f ca="1">IF(ROWS($1:11)&gt;COUNT(Dong13),"",OFFSET(TH!I$1,SMALL(Dong13,ROWS($1:11)),))</f>
        <v/>
      </c>
      <c r="I24" s="633" t="str">
        <f ca="1">IF(ROWS($1:11)&gt;COUNT(Dong13),"",OFFSET(TH!J$1,SMALL(Dong13,ROWS($1:11)),))</f>
        <v/>
      </c>
      <c r="J24" s="634">
        <f t="shared" ca="1" si="3"/>
        <v>0</v>
      </c>
      <c r="K24" s="636"/>
      <c r="L24" s="635"/>
      <c r="M24" s="614"/>
      <c r="N24" s="614"/>
    </row>
    <row r="25" spans="1:14" ht="27" customHeight="1">
      <c r="A25" s="213" t="str">
        <f ca="1">IF(ROWS($1:12)&gt;COUNT(Dong13),"",OFFSET(TH!E$1,SMALL(Dong13,ROWS($1:12)),))</f>
        <v/>
      </c>
      <c r="B25" s="216" t="str">
        <f ca="1">IF(ROWS($1:12)&gt;COUNT(Dong13),"",OFFSET(TH!H$1,SMALL(Dong13,ROWS($1:12)),))</f>
        <v/>
      </c>
      <c r="C25" s="630" t="str">
        <f t="shared" ca="1" si="2"/>
        <v/>
      </c>
      <c r="D25" s="630" t="str">
        <f ca="1">IF(ROWS($1:12)&gt;COUNT(Dong13),"",OFFSET(TH!D$1,SMALL(Dong13,ROWS($1:12)),))</f>
        <v/>
      </c>
      <c r="E25" s="907" t="str">
        <f t="shared" ca="1" si="0"/>
        <v/>
      </c>
      <c r="F25" s="631" t="str">
        <f t="shared" ca="1" si="1"/>
        <v/>
      </c>
      <c r="G25" s="632" t="str">
        <f ca="1">IF(ROWS($1:12)&gt;COUNT(Dong13),"",OFFSET(TH!F$1,SMALL(Dong13,ROWS($1:12)),))</f>
        <v/>
      </c>
      <c r="H25" s="633" t="str">
        <f ca="1">IF(ROWS($1:12)&gt;COUNT(Dong13),"",OFFSET(TH!I$1,SMALL(Dong13,ROWS($1:12)),))</f>
        <v/>
      </c>
      <c r="I25" s="633" t="str">
        <f ca="1">IF(ROWS($1:12)&gt;COUNT(Dong13),"",OFFSET(TH!J$1,SMALL(Dong13,ROWS($1:12)),))</f>
        <v/>
      </c>
      <c r="J25" s="634">
        <f t="shared" ca="1" si="3"/>
        <v>0</v>
      </c>
      <c r="K25" s="636"/>
      <c r="L25" s="635"/>
      <c r="M25" s="614"/>
      <c r="N25" s="614"/>
    </row>
    <row r="26" spans="1:14" ht="27" customHeight="1">
      <c r="A26" s="213" t="str">
        <f ca="1">IF(ROWS($1:13)&gt;COUNT(Dong13),"",OFFSET(TH!E$1,SMALL(Dong13,ROWS($1:13)),))</f>
        <v/>
      </c>
      <c r="B26" s="216" t="str">
        <f ca="1">IF(ROWS($1:13)&gt;COUNT(Dong13),"",OFFSET(TH!H$1,SMALL(Dong13,ROWS($1:13)),))</f>
        <v/>
      </c>
      <c r="C26" s="630" t="str">
        <f t="shared" ca="1" si="2"/>
        <v/>
      </c>
      <c r="D26" s="630" t="str">
        <f ca="1">IF(ROWS($1:13)&gt;COUNT(Dong13),"",OFFSET(TH!D$1,SMALL(Dong13,ROWS($1:13)),))</f>
        <v/>
      </c>
      <c r="E26" s="907" t="str">
        <f t="shared" ca="1" si="0"/>
        <v/>
      </c>
      <c r="F26" s="631" t="str">
        <f t="shared" ca="1" si="1"/>
        <v/>
      </c>
      <c r="G26" s="632" t="str">
        <f ca="1">IF(ROWS($1:13)&gt;COUNT(Dong13),"",OFFSET(TH!F$1,SMALL(Dong13,ROWS($1:13)),))</f>
        <v/>
      </c>
      <c r="H26" s="633" t="str">
        <f ca="1">IF(ROWS($1:13)&gt;COUNT(Dong13),"",OFFSET(TH!I$1,SMALL(Dong13,ROWS($1:13)),))</f>
        <v/>
      </c>
      <c r="I26" s="633" t="str">
        <f ca="1">IF(ROWS($1:13)&gt;COUNT(Dong13),"",OFFSET(TH!J$1,SMALL(Dong13,ROWS($1:13)),))</f>
        <v/>
      </c>
      <c r="J26" s="634">
        <f t="shared" ca="1" si="3"/>
        <v>0</v>
      </c>
      <c r="K26" s="636"/>
      <c r="L26" s="635"/>
      <c r="M26" s="614"/>
      <c r="N26" s="614"/>
    </row>
    <row r="27" spans="1:14" ht="27" customHeight="1">
      <c r="A27" s="213" t="str">
        <f ca="1">IF(ROWS($1:14)&gt;COUNT(Dong13),"",OFFSET(TH!E$1,SMALL(Dong13,ROWS($1:14)),))</f>
        <v/>
      </c>
      <c r="B27" s="216" t="str">
        <f ca="1">IF(ROWS($1:14)&gt;COUNT(Dong13),"",OFFSET(TH!H$1,SMALL(Dong13,ROWS($1:14)),))</f>
        <v/>
      </c>
      <c r="C27" s="630" t="str">
        <f t="shared" ca="1" si="2"/>
        <v/>
      </c>
      <c r="D27" s="630" t="str">
        <f ca="1">IF(ROWS($1:14)&gt;COUNT(Dong13),"",OFFSET(TH!D$1,SMALL(Dong13,ROWS($1:14)),))</f>
        <v/>
      </c>
      <c r="E27" s="907" t="str">
        <f t="shared" ca="1" si="0"/>
        <v/>
      </c>
      <c r="F27" s="631" t="str">
        <f t="shared" ca="1" si="1"/>
        <v/>
      </c>
      <c r="G27" s="632" t="str">
        <f ca="1">IF(ROWS($1:14)&gt;COUNT(Dong13),"",OFFSET(TH!F$1,SMALL(Dong13,ROWS($1:14)),))</f>
        <v/>
      </c>
      <c r="H27" s="633" t="str">
        <f ca="1">IF(ROWS($1:14)&gt;COUNT(Dong13),"",OFFSET(TH!I$1,SMALL(Dong13,ROWS($1:14)),))</f>
        <v/>
      </c>
      <c r="I27" s="633" t="str">
        <f ca="1">IF(ROWS($1:14)&gt;COUNT(Dong13),"",OFFSET(TH!J$1,SMALL(Dong13,ROWS($1:14)),))</f>
        <v/>
      </c>
      <c r="J27" s="634">
        <f t="shared" ca="1" si="3"/>
        <v>0</v>
      </c>
      <c r="K27" s="636"/>
      <c r="L27" s="635"/>
      <c r="M27" s="614"/>
      <c r="N27" s="614"/>
    </row>
    <row r="28" spans="1:14" ht="27" customHeight="1">
      <c r="A28" s="213" t="str">
        <f ca="1">IF(ROWS($1:15)&gt;COUNT(Dong13),"",OFFSET(TH!E$1,SMALL(Dong13,ROWS($1:15)),))</f>
        <v/>
      </c>
      <c r="B28" s="216" t="str">
        <f ca="1">IF(ROWS($1:15)&gt;COUNT(Dong13),"",OFFSET(TH!H$1,SMALL(Dong13,ROWS($1:15)),))</f>
        <v/>
      </c>
      <c r="C28" s="630" t="str">
        <f t="shared" ca="1" si="2"/>
        <v/>
      </c>
      <c r="D28" s="630" t="str">
        <f ca="1">IF(ROWS($1:15)&gt;COUNT(Dong13),"",OFFSET(TH!D$1,SMALL(Dong13,ROWS($1:15)),))</f>
        <v/>
      </c>
      <c r="E28" s="907" t="str">
        <f t="shared" ca="1" si="0"/>
        <v/>
      </c>
      <c r="F28" s="631" t="str">
        <f t="shared" ca="1" si="1"/>
        <v/>
      </c>
      <c r="G28" s="632" t="str">
        <f ca="1">IF(ROWS($1:15)&gt;COUNT(Dong13),"",OFFSET(TH!F$1,SMALL(Dong13,ROWS($1:15)),))</f>
        <v/>
      </c>
      <c r="H28" s="633" t="str">
        <f ca="1">IF(ROWS($1:15)&gt;COUNT(Dong13),"",OFFSET(TH!I$1,SMALL(Dong13,ROWS($1:15)),))</f>
        <v/>
      </c>
      <c r="I28" s="633" t="str">
        <f ca="1">IF(ROWS($1:15)&gt;COUNT(Dong13),"",OFFSET(TH!J$1,SMALL(Dong13,ROWS($1:15)),))</f>
        <v/>
      </c>
      <c r="J28" s="634">
        <f t="shared" ca="1" si="3"/>
        <v>0</v>
      </c>
      <c r="K28" s="636"/>
      <c r="L28" s="635"/>
      <c r="M28" s="614"/>
      <c r="N28" s="614"/>
    </row>
    <row r="29" spans="1:14" ht="27" customHeight="1">
      <c r="A29" s="213" t="str">
        <f ca="1">IF(ROWS($1:16)&gt;COUNT(Dong13),"",OFFSET(TH!E$1,SMALL(Dong13,ROWS($1:16)),))</f>
        <v/>
      </c>
      <c r="B29" s="216" t="str">
        <f ca="1">IF(ROWS($1:16)&gt;COUNT(Dong13),"",OFFSET(TH!H$1,SMALL(Dong13,ROWS($1:16)),))</f>
        <v/>
      </c>
      <c r="C29" s="630" t="str">
        <f t="shared" ca="1" si="2"/>
        <v/>
      </c>
      <c r="D29" s="630" t="str">
        <f ca="1">IF(ROWS($1:16)&gt;COUNT(Dong13),"",OFFSET(TH!D$1,SMALL(Dong13,ROWS($1:16)),))</f>
        <v/>
      </c>
      <c r="E29" s="907" t="str">
        <f t="shared" ca="1" si="0"/>
        <v/>
      </c>
      <c r="F29" s="631" t="str">
        <f t="shared" ca="1" si="1"/>
        <v/>
      </c>
      <c r="G29" s="632" t="str">
        <f ca="1">IF(ROWS($1:16)&gt;COUNT(Dong13),"",OFFSET(TH!F$1,SMALL(Dong13,ROWS($1:16)),))</f>
        <v/>
      </c>
      <c r="H29" s="633" t="str">
        <f ca="1">IF(ROWS($1:16)&gt;COUNT(Dong13),"",OFFSET(TH!I$1,SMALL(Dong13,ROWS($1:16)),))</f>
        <v/>
      </c>
      <c r="I29" s="633" t="str">
        <f ca="1">IF(ROWS($1:16)&gt;COUNT(Dong13),"",OFFSET(TH!J$1,SMALL(Dong13,ROWS($1:16)),))</f>
        <v/>
      </c>
      <c r="J29" s="634">
        <f t="shared" ca="1" si="3"/>
        <v>0</v>
      </c>
      <c r="K29" s="636"/>
      <c r="L29" s="635"/>
      <c r="M29" s="614"/>
      <c r="N29" s="614"/>
    </row>
    <row r="30" spans="1:14" ht="27" customHeight="1">
      <c r="A30" s="213" t="str">
        <f ca="1">IF(ROWS($1:17)&gt;COUNT(Dong13),"",OFFSET(TH!E$1,SMALL(Dong13,ROWS($1:17)),))</f>
        <v/>
      </c>
      <c r="B30" s="216" t="str">
        <f ca="1">IF(ROWS($1:17)&gt;COUNT(Dong13),"",OFFSET(TH!H$1,SMALL(Dong13,ROWS($1:17)),))</f>
        <v/>
      </c>
      <c r="C30" s="630" t="str">
        <f t="shared" ca="1" si="2"/>
        <v/>
      </c>
      <c r="D30" s="630" t="str">
        <f ca="1">IF(ROWS($1:17)&gt;COUNT(Dong13),"",OFFSET(TH!D$1,SMALL(Dong13,ROWS($1:17)),))</f>
        <v/>
      </c>
      <c r="E30" s="907" t="str">
        <f t="shared" ca="1" si="0"/>
        <v/>
      </c>
      <c r="F30" s="631" t="str">
        <f t="shared" ca="1" si="1"/>
        <v/>
      </c>
      <c r="G30" s="632" t="str">
        <f ca="1">IF(ROWS($1:17)&gt;COUNT(Dong13),"",OFFSET(TH!F$1,SMALL(Dong13,ROWS($1:17)),))</f>
        <v/>
      </c>
      <c r="H30" s="633" t="str">
        <f ca="1">IF(ROWS($1:17)&gt;COUNT(Dong13),"",OFFSET(TH!I$1,SMALL(Dong13,ROWS($1:17)),))</f>
        <v/>
      </c>
      <c r="I30" s="633" t="str">
        <f ca="1">IF(ROWS($1:17)&gt;COUNT(Dong13),"",OFFSET(TH!J$1,SMALL(Dong13,ROWS($1:17)),))</f>
        <v/>
      </c>
      <c r="J30" s="634">
        <f t="shared" ca="1" si="3"/>
        <v>0</v>
      </c>
      <c r="K30" s="636"/>
      <c r="L30" s="635"/>
      <c r="M30" s="614"/>
      <c r="N30" s="614"/>
    </row>
    <row r="31" spans="1:14" ht="27" customHeight="1">
      <c r="A31" s="213" t="str">
        <f ca="1">IF(ROWS($1:18)&gt;COUNT(Dong13),"",OFFSET(TH!E$1,SMALL(Dong13,ROWS($1:18)),))</f>
        <v/>
      </c>
      <c r="B31" s="216" t="str">
        <f ca="1">IF(ROWS($1:18)&gt;COUNT(Dong13),"",OFFSET(TH!H$1,SMALL(Dong13,ROWS($1:18)),))</f>
        <v/>
      </c>
      <c r="C31" s="630" t="str">
        <f t="shared" ca="1" si="2"/>
        <v/>
      </c>
      <c r="D31" s="630" t="str">
        <f ca="1">IF(ROWS($1:18)&gt;COUNT(Dong13),"",OFFSET(TH!D$1,SMALL(Dong13,ROWS($1:18)),))</f>
        <v/>
      </c>
      <c r="E31" s="907" t="str">
        <f t="shared" ca="1" si="0"/>
        <v/>
      </c>
      <c r="F31" s="631" t="str">
        <f t="shared" ca="1" si="1"/>
        <v/>
      </c>
      <c r="G31" s="632" t="str">
        <f ca="1">IF(ROWS($1:18)&gt;COUNT(Dong13),"",OFFSET(TH!F$1,SMALL(Dong13,ROWS($1:18)),))</f>
        <v/>
      </c>
      <c r="H31" s="633" t="str">
        <f ca="1">IF(ROWS($1:18)&gt;COUNT(Dong13),"",OFFSET(TH!I$1,SMALL(Dong13,ROWS($1:18)),))</f>
        <v/>
      </c>
      <c r="I31" s="633" t="str">
        <f ca="1">IF(ROWS($1:18)&gt;COUNT(Dong13),"",OFFSET(TH!J$1,SMALL(Dong13,ROWS($1:18)),))</f>
        <v/>
      </c>
      <c r="J31" s="634">
        <f t="shared" ca="1" si="3"/>
        <v>0</v>
      </c>
      <c r="K31" s="636"/>
      <c r="L31" s="635"/>
      <c r="M31" s="614"/>
      <c r="N31" s="614"/>
    </row>
    <row r="32" spans="1:14" ht="27" customHeight="1">
      <c r="A32" s="213" t="str">
        <f ca="1">IF(ROWS($1:19)&gt;COUNT(Dong13),"",OFFSET(TH!E$1,SMALL(Dong13,ROWS($1:19)),))</f>
        <v/>
      </c>
      <c r="B32" s="216" t="str">
        <f ca="1">IF(ROWS($1:19)&gt;COUNT(Dong13),"",OFFSET(TH!H$1,SMALL(Dong13,ROWS($1:19)),))</f>
        <v/>
      </c>
      <c r="C32" s="630" t="str">
        <f t="shared" ca="1" si="2"/>
        <v/>
      </c>
      <c r="D32" s="630" t="str">
        <f ca="1">IF(ROWS($1:19)&gt;COUNT(Dong13),"",OFFSET(TH!D$1,SMALL(Dong13,ROWS($1:19)),))</f>
        <v/>
      </c>
      <c r="E32" s="907" t="str">
        <f t="shared" ca="1" si="0"/>
        <v/>
      </c>
      <c r="F32" s="631" t="str">
        <f t="shared" ca="1" si="1"/>
        <v/>
      </c>
      <c r="G32" s="632" t="str">
        <f ca="1">IF(ROWS($1:19)&gt;COUNT(Dong13),"",OFFSET(TH!F$1,SMALL(Dong13,ROWS($1:19)),))</f>
        <v/>
      </c>
      <c r="H32" s="633" t="str">
        <f ca="1">IF(ROWS($1:19)&gt;COUNT(Dong13),"",OFFSET(TH!I$1,SMALL(Dong13,ROWS($1:19)),))</f>
        <v/>
      </c>
      <c r="I32" s="633" t="str">
        <f ca="1">IF(ROWS($1:19)&gt;COUNT(Dong13),"",OFFSET(TH!J$1,SMALL(Dong13,ROWS($1:19)),))</f>
        <v/>
      </c>
      <c r="J32" s="634">
        <f t="shared" ca="1" si="3"/>
        <v>0</v>
      </c>
      <c r="K32" s="636"/>
      <c r="L32" s="635"/>
      <c r="M32" s="614"/>
      <c r="N32" s="614"/>
    </row>
    <row r="33" spans="1:14" ht="27" customHeight="1">
      <c r="A33" s="213" t="str">
        <f ca="1">IF(ROWS($1:20)&gt;COUNT(Dong13),"",OFFSET(TH!E$1,SMALL(Dong13,ROWS($1:20)),))</f>
        <v/>
      </c>
      <c r="B33" s="216" t="str">
        <f ca="1">IF(ROWS($1:20)&gt;COUNT(Dong13),"",OFFSET(TH!H$1,SMALL(Dong13,ROWS($1:20)),))</f>
        <v/>
      </c>
      <c r="C33" s="630" t="str">
        <f t="shared" ca="1" si="2"/>
        <v/>
      </c>
      <c r="D33" s="630" t="str">
        <f ca="1">IF(ROWS($1:20)&gt;COUNT(Dong13),"",OFFSET(TH!D$1,SMALL(Dong13,ROWS($1:20)),))</f>
        <v/>
      </c>
      <c r="E33" s="907" t="str">
        <f t="shared" ca="1" si="0"/>
        <v/>
      </c>
      <c r="F33" s="631" t="str">
        <f t="shared" ca="1" si="1"/>
        <v/>
      </c>
      <c r="G33" s="632" t="str">
        <f ca="1">IF(ROWS($1:20)&gt;COUNT(Dong13),"",OFFSET(TH!F$1,SMALL(Dong13,ROWS($1:20)),))</f>
        <v/>
      </c>
      <c r="H33" s="633" t="str">
        <f ca="1">IF(ROWS($1:20)&gt;COUNT(Dong13),"",OFFSET(TH!I$1,SMALL(Dong13,ROWS($1:20)),))</f>
        <v/>
      </c>
      <c r="I33" s="633" t="str">
        <f ca="1">IF(ROWS($1:20)&gt;COUNT(Dong13),"",OFFSET(TH!J$1,SMALL(Dong13,ROWS($1:20)),))</f>
        <v/>
      </c>
      <c r="J33" s="634">
        <f t="shared" ca="1" si="3"/>
        <v>0</v>
      </c>
      <c r="K33" s="636"/>
      <c r="L33" s="635"/>
      <c r="M33" s="614"/>
      <c r="N33" s="614"/>
    </row>
    <row r="34" spans="1:14" ht="27" customHeight="1">
      <c r="A34" s="213" t="str">
        <f ca="1">IF(ROWS($1:21)&gt;COUNT(Dong13),"",OFFSET(TH!E$1,SMALL(Dong13,ROWS($1:21)),))</f>
        <v/>
      </c>
      <c r="B34" s="216" t="str">
        <f ca="1">IF(ROWS($1:21)&gt;COUNT(Dong13),"",OFFSET(TH!H$1,SMALL(Dong13,ROWS($1:21)),))</f>
        <v/>
      </c>
      <c r="C34" s="630" t="str">
        <f t="shared" ca="1" si="2"/>
        <v/>
      </c>
      <c r="D34" s="630" t="str">
        <f ca="1">IF(ROWS($1:21)&gt;COUNT(Dong13),"",OFFSET(TH!D$1,SMALL(Dong13,ROWS($1:21)),))</f>
        <v/>
      </c>
      <c r="E34" s="907" t="str">
        <f t="shared" ca="1" si="0"/>
        <v/>
      </c>
      <c r="F34" s="631" t="str">
        <f t="shared" ca="1" si="1"/>
        <v/>
      </c>
      <c r="G34" s="632" t="str">
        <f ca="1">IF(ROWS($1:21)&gt;COUNT(Dong13),"",OFFSET(TH!F$1,SMALL(Dong13,ROWS($1:21)),))</f>
        <v/>
      </c>
      <c r="H34" s="633" t="str">
        <f ca="1">IF(ROWS($1:21)&gt;COUNT(Dong13),"",OFFSET(TH!I$1,SMALL(Dong13,ROWS($1:21)),))</f>
        <v/>
      </c>
      <c r="I34" s="633" t="str">
        <f ca="1">IF(ROWS($1:21)&gt;COUNT(Dong13),"",OFFSET(TH!J$1,SMALL(Dong13,ROWS($1:21)),))</f>
        <v/>
      </c>
      <c r="J34" s="634">
        <f t="shared" ca="1" si="3"/>
        <v>0</v>
      </c>
      <c r="K34" s="636"/>
      <c r="L34" s="635"/>
      <c r="M34" s="614"/>
      <c r="N34" s="614"/>
    </row>
    <row r="35" spans="1:14" ht="27" customHeight="1">
      <c r="A35" s="213" t="str">
        <f ca="1">IF(ROWS($1:22)&gt;COUNT(Dong13),"",OFFSET(TH!E$1,SMALL(Dong13,ROWS($1:22)),))</f>
        <v/>
      </c>
      <c r="B35" s="216" t="str">
        <f ca="1">IF(ROWS($1:22)&gt;COUNT(Dong13),"",OFFSET(TH!H$1,SMALL(Dong13,ROWS($1:22)),))</f>
        <v/>
      </c>
      <c r="C35" s="630" t="str">
        <f t="shared" ca="1" si="2"/>
        <v/>
      </c>
      <c r="D35" s="630" t="str">
        <f ca="1">IF(ROWS($1:22)&gt;COUNT(Dong13),"",OFFSET(TH!D$1,SMALL(Dong13,ROWS($1:22)),))</f>
        <v/>
      </c>
      <c r="E35" s="907" t="str">
        <f t="shared" ca="1" si="0"/>
        <v/>
      </c>
      <c r="F35" s="631" t="str">
        <f t="shared" ca="1" si="1"/>
        <v/>
      </c>
      <c r="G35" s="632" t="str">
        <f ca="1">IF(ROWS($1:22)&gt;COUNT(Dong13),"",OFFSET(TH!F$1,SMALL(Dong13,ROWS($1:22)),))</f>
        <v/>
      </c>
      <c r="H35" s="633" t="str">
        <f ca="1">IF(ROWS($1:22)&gt;COUNT(Dong13),"",OFFSET(TH!I$1,SMALL(Dong13,ROWS($1:22)),))</f>
        <v/>
      </c>
      <c r="I35" s="633" t="str">
        <f ca="1">IF(ROWS($1:22)&gt;COUNT(Dong13),"",OFFSET(TH!J$1,SMALL(Dong13,ROWS($1:22)),))</f>
        <v/>
      </c>
      <c r="J35" s="634">
        <f t="shared" ca="1" si="3"/>
        <v>0</v>
      </c>
      <c r="K35" s="636"/>
      <c r="L35" s="635"/>
      <c r="M35" s="614"/>
      <c r="N35" s="614"/>
    </row>
    <row r="36" spans="1:14" ht="27" customHeight="1">
      <c r="A36" s="213" t="str">
        <f ca="1">IF(ROWS($1:23)&gt;COUNT(Dong13),"",OFFSET(TH!E$1,SMALL(Dong13,ROWS($1:23)),))</f>
        <v/>
      </c>
      <c r="B36" s="216" t="str">
        <f ca="1">IF(ROWS($1:23)&gt;COUNT(Dong13),"",OFFSET(TH!H$1,SMALL(Dong13,ROWS($1:23)),))</f>
        <v/>
      </c>
      <c r="C36" s="630" t="str">
        <f t="shared" ca="1" si="2"/>
        <v/>
      </c>
      <c r="D36" s="630" t="str">
        <f ca="1">IF(ROWS($1:23)&gt;COUNT(Dong13),"",OFFSET(TH!D$1,SMALL(Dong13,ROWS($1:23)),))</f>
        <v/>
      </c>
      <c r="E36" s="907" t="str">
        <f t="shared" ca="1" si="0"/>
        <v/>
      </c>
      <c r="F36" s="631" t="str">
        <f t="shared" ca="1" si="1"/>
        <v/>
      </c>
      <c r="G36" s="632" t="str">
        <f ca="1">IF(ROWS($1:23)&gt;COUNT(Dong13),"",OFFSET(TH!F$1,SMALL(Dong13,ROWS($1:23)),))</f>
        <v/>
      </c>
      <c r="H36" s="633" t="str">
        <f ca="1">IF(ROWS($1:23)&gt;COUNT(Dong13),"",OFFSET(TH!I$1,SMALL(Dong13,ROWS($1:23)),))</f>
        <v/>
      </c>
      <c r="I36" s="633" t="str">
        <f ca="1">IF(ROWS($1:23)&gt;COUNT(Dong13),"",OFFSET(TH!J$1,SMALL(Dong13,ROWS($1:23)),))</f>
        <v/>
      </c>
      <c r="J36" s="634">
        <f t="shared" ca="1" si="3"/>
        <v>0</v>
      </c>
      <c r="K36" s="636"/>
      <c r="L36" s="635"/>
      <c r="M36" s="614"/>
      <c r="N36" s="614"/>
    </row>
    <row r="37" spans="1:14" ht="27" customHeight="1">
      <c r="A37" s="213" t="str">
        <f ca="1">IF(ROWS($1:24)&gt;COUNT(Dong13),"",OFFSET(TH!E$1,SMALL(Dong13,ROWS($1:24)),))</f>
        <v/>
      </c>
      <c r="B37" s="216" t="str">
        <f ca="1">IF(ROWS($1:24)&gt;COUNT(Dong13),"",OFFSET(TH!H$1,SMALL(Dong13,ROWS($1:24)),))</f>
        <v/>
      </c>
      <c r="C37" s="630" t="str">
        <f t="shared" ca="1" si="2"/>
        <v/>
      </c>
      <c r="D37" s="630" t="str">
        <f ca="1">IF(ROWS($1:24)&gt;COUNT(Dong13),"",OFFSET(TH!D$1,SMALL(Dong13,ROWS($1:24)),))</f>
        <v/>
      </c>
      <c r="E37" s="907" t="str">
        <f t="shared" ca="1" si="0"/>
        <v/>
      </c>
      <c r="F37" s="631" t="str">
        <f t="shared" ca="1" si="1"/>
        <v/>
      </c>
      <c r="G37" s="632" t="str">
        <f ca="1">IF(ROWS($1:24)&gt;COUNT(Dong13),"",OFFSET(TH!F$1,SMALL(Dong13,ROWS($1:24)),))</f>
        <v/>
      </c>
      <c r="H37" s="633" t="str">
        <f ca="1">IF(ROWS($1:24)&gt;COUNT(Dong13),"",OFFSET(TH!I$1,SMALL(Dong13,ROWS($1:24)),))</f>
        <v/>
      </c>
      <c r="I37" s="633" t="str">
        <f ca="1">IF(ROWS($1:24)&gt;COUNT(Dong13),"",OFFSET(TH!J$1,SMALL(Dong13,ROWS($1:24)),))</f>
        <v/>
      </c>
      <c r="J37" s="634">
        <f t="shared" ca="1" si="3"/>
        <v>0</v>
      </c>
      <c r="K37" s="636"/>
      <c r="L37" s="635"/>
      <c r="M37" s="614"/>
      <c r="N37" s="614"/>
    </row>
    <row r="38" spans="1:14" ht="27" customHeight="1">
      <c r="A38" s="213" t="str">
        <f ca="1">IF(ROWS($1:25)&gt;COUNT(Dong13),"",OFFSET(TH!E$1,SMALL(Dong13,ROWS($1:25)),))</f>
        <v/>
      </c>
      <c r="B38" s="216" t="str">
        <f ca="1">IF(ROWS($1:25)&gt;COUNT(Dong13),"",OFFSET(TH!H$1,SMALL(Dong13,ROWS($1:25)),))</f>
        <v/>
      </c>
      <c r="C38" s="630" t="str">
        <f t="shared" ca="1" si="2"/>
        <v/>
      </c>
      <c r="D38" s="630" t="str">
        <f ca="1">IF(ROWS($1:25)&gt;COUNT(Dong13),"",OFFSET(TH!D$1,SMALL(Dong13,ROWS($1:25)),))</f>
        <v/>
      </c>
      <c r="E38" s="907" t="str">
        <f t="shared" ca="1" si="0"/>
        <v/>
      </c>
      <c r="F38" s="631" t="str">
        <f t="shared" ca="1" si="1"/>
        <v/>
      </c>
      <c r="G38" s="632" t="str">
        <f ca="1">IF(ROWS($1:25)&gt;COUNT(Dong13),"",OFFSET(TH!F$1,SMALL(Dong13,ROWS($1:25)),))</f>
        <v/>
      </c>
      <c r="H38" s="633" t="str">
        <f ca="1">IF(ROWS($1:25)&gt;COUNT(Dong13),"",OFFSET(TH!I$1,SMALL(Dong13,ROWS($1:25)),))</f>
        <v/>
      </c>
      <c r="I38" s="633" t="str">
        <f ca="1">IF(ROWS($1:25)&gt;COUNT(Dong13),"",OFFSET(TH!J$1,SMALL(Dong13,ROWS($1:25)),))</f>
        <v/>
      </c>
      <c r="J38" s="634">
        <f t="shared" ca="1" si="3"/>
        <v>0</v>
      </c>
      <c r="K38" s="636"/>
      <c r="L38" s="635"/>
      <c r="M38" s="614"/>
      <c r="N38" s="614"/>
    </row>
    <row r="39" spans="1:14" ht="27" customHeight="1">
      <c r="A39" s="213" t="str">
        <f ca="1">IF(ROWS($1:26)&gt;COUNT(Dong13),"",OFFSET(TH!E$1,SMALL(Dong13,ROWS($1:26)),))</f>
        <v/>
      </c>
      <c r="B39" s="216" t="str">
        <f ca="1">IF(ROWS($1:26)&gt;COUNT(Dong13),"",OFFSET(TH!H$1,SMALL(Dong13,ROWS($1:26)),))</f>
        <v/>
      </c>
      <c r="C39" s="630" t="str">
        <f t="shared" ca="1" si="2"/>
        <v/>
      </c>
      <c r="D39" s="630" t="str">
        <f ca="1">IF(ROWS($1:26)&gt;COUNT(Dong13),"",OFFSET(TH!D$1,SMALL(Dong13,ROWS($1:26)),))</f>
        <v/>
      </c>
      <c r="E39" s="907" t="str">
        <f t="shared" ca="1" si="0"/>
        <v/>
      </c>
      <c r="F39" s="631" t="str">
        <f t="shared" ca="1" si="1"/>
        <v/>
      </c>
      <c r="G39" s="632" t="str">
        <f ca="1">IF(ROWS($1:26)&gt;COUNT(Dong13),"",OFFSET(TH!F$1,SMALL(Dong13,ROWS($1:26)),))</f>
        <v/>
      </c>
      <c r="H39" s="633" t="str">
        <f ca="1">IF(ROWS($1:26)&gt;COUNT(Dong13),"",OFFSET(TH!I$1,SMALL(Dong13,ROWS($1:26)),))</f>
        <v/>
      </c>
      <c r="I39" s="633" t="str">
        <f ca="1">IF(ROWS($1:26)&gt;COUNT(Dong13),"",OFFSET(TH!J$1,SMALL(Dong13,ROWS($1:26)),))</f>
        <v/>
      </c>
      <c r="J39" s="634">
        <f t="shared" ca="1" si="3"/>
        <v>0</v>
      </c>
      <c r="K39" s="636"/>
      <c r="L39" s="635"/>
      <c r="M39" s="614"/>
      <c r="N39" s="614"/>
    </row>
    <row r="40" spans="1:14" ht="27" customHeight="1">
      <c r="A40" s="213" t="str">
        <f ca="1">IF(ROWS($1:27)&gt;COUNT(Dong13),"",OFFSET(TH!E$1,SMALL(Dong13,ROWS($1:27)),))</f>
        <v/>
      </c>
      <c r="B40" s="216" t="str">
        <f ca="1">IF(ROWS($1:27)&gt;COUNT(Dong13),"",OFFSET(TH!H$1,SMALL(Dong13,ROWS($1:27)),))</f>
        <v/>
      </c>
      <c r="C40" s="630" t="str">
        <f t="shared" ca="1" si="2"/>
        <v/>
      </c>
      <c r="D40" s="630" t="str">
        <f ca="1">IF(ROWS($1:27)&gt;COUNT(Dong13),"",OFFSET(TH!D$1,SMALL(Dong13,ROWS($1:27)),))</f>
        <v/>
      </c>
      <c r="E40" s="907" t="str">
        <f t="shared" ca="1" si="0"/>
        <v/>
      </c>
      <c r="F40" s="631" t="str">
        <f t="shared" ca="1" si="1"/>
        <v/>
      </c>
      <c r="G40" s="632" t="str">
        <f ca="1">IF(ROWS($1:27)&gt;COUNT(Dong13),"",OFFSET(TH!F$1,SMALL(Dong13,ROWS($1:27)),))</f>
        <v/>
      </c>
      <c r="H40" s="633" t="str">
        <f ca="1">IF(ROWS($1:27)&gt;COUNT(Dong13),"",OFFSET(TH!I$1,SMALL(Dong13,ROWS($1:27)),))</f>
        <v/>
      </c>
      <c r="I40" s="633" t="str">
        <f ca="1">IF(ROWS($1:27)&gt;COUNT(Dong13),"",OFFSET(TH!J$1,SMALL(Dong13,ROWS($1:27)),))</f>
        <v/>
      </c>
      <c r="J40" s="634">
        <f t="shared" ref="J40:J56" ca="1" si="4">IF(B40&lt;&gt;"",H40*I40,0)</f>
        <v>0</v>
      </c>
      <c r="K40" s="636"/>
      <c r="L40" s="635"/>
      <c r="M40" s="614"/>
      <c r="N40" s="614"/>
    </row>
    <row r="41" spans="1:14" ht="27" customHeight="1">
      <c r="A41" s="213" t="str">
        <f ca="1">IF(ROWS($1:28)&gt;COUNT(Dong13),"",OFFSET(TH!E$1,SMALL(Dong13,ROWS($1:28)),))</f>
        <v/>
      </c>
      <c r="B41" s="216" t="str">
        <f ca="1">IF(ROWS($1:28)&gt;COUNT(Dong13),"",OFFSET(TH!H$1,SMALL(Dong13,ROWS($1:28)),))</f>
        <v/>
      </c>
      <c r="C41" s="630" t="str">
        <f t="shared" ca="1" si="2"/>
        <v/>
      </c>
      <c r="D41" s="630" t="str">
        <f ca="1">IF(ROWS($1:28)&gt;COUNT(Dong13),"",OFFSET(TH!D$1,SMALL(Dong13,ROWS($1:28)),))</f>
        <v/>
      </c>
      <c r="E41" s="907" t="str">
        <f t="shared" ca="1" si="0"/>
        <v/>
      </c>
      <c r="F41" s="631" t="str">
        <f t="shared" ca="1" si="1"/>
        <v/>
      </c>
      <c r="G41" s="632" t="str">
        <f ca="1">IF(ROWS($1:28)&gt;COUNT(Dong13),"",OFFSET(TH!F$1,SMALL(Dong13,ROWS($1:28)),))</f>
        <v/>
      </c>
      <c r="H41" s="633" t="str">
        <f ca="1">IF(ROWS($1:28)&gt;COUNT(Dong13),"",OFFSET(TH!I$1,SMALL(Dong13,ROWS($1:28)),))</f>
        <v/>
      </c>
      <c r="I41" s="633" t="str">
        <f ca="1">IF(ROWS($1:28)&gt;COUNT(Dong13),"",OFFSET(TH!J$1,SMALL(Dong13,ROWS($1:28)),))</f>
        <v/>
      </c>
      <c r="J41" s="634">
        <f t="shared" ca="1" si="4"/>
        <v>0</v>
      </c>
      <c r="K41" s="636"/>
      <c r="L41" s="635"/>
      <c r="M41" s="614"/>
      <c r="N41" s="614"/>
    </row>
    <row r="42" spans="1:14" ht="27" customHeight="1">
      <c r="A42" s="213" t="str">
        <f ca="1">IF(ROWS($1:29)&gt;COUNT(Dong13),"",OFFSET(TH!E$1,SMALL(Dong13,ROWS($1:29)),))</f>
        <v/>
      </c>
      <c r="B42" s="216" t="str">
        <f ca="1">IF(ROWS($1:29)&gt;COUNT(Dong13),"",OFFSET(TH!H$1,SMALL(Dong13,ROWS($1:29)),))</f>
        <v/>
      </c>
      <c r="C42" s="630" t="str">
        <f t="shared" ca="1" si="2"/>
        <v/>
      </c>
      <c r="D42" s="630" t="str">
        <f ca="1">IF(ROWS($1:29)&gt;COUNT(Dong13),"",OFFSET(TH!D$1,SMALL(Dong13,ROWS($1:29)),))</f>
        <v/>
      </c>
      <c r="E42" s="907" t="str">
        <f t="shared" ca="1" si="0"/>
        <v/>
      </c>
      <c r="F42" s="631" t="str">
        <f t="shared" ca="1" si="1"/>
        <v/>
      </c>
      <c r="G42" s="632" t="str">
        <f ca="1">IF(ROWS($1:29)&gt;COUNT(Dong13),"",OFFSET(TH!F$1,SMALL(Dong13,ROWS($1:29)),))</f>
        <v/>
      </c>
      <c r="H42" s="633" t="str">
        <f ca="1">IF(ROWS($1:29)&gt;COUNT(Dong13),"",OFFSET(TH!I$1,SMALL(Dong13,ROWS($1:29)),))</f>
        <v/>
      </c>
      <c r="I42" s="633" t="str">
        <f ca="1">IF(ROWS($1:29)&gt;COUNT(Dong13),"",OFFSET(TH!J$1,SMALL(Dong13,ROWS($1:29)),))</f>
        <v/>
      </c>
      <c r="J42" s="634">
        <f t="shared" ca="1" si="4"/>
        <v>0</v>
      </c>
      <c r="K42" s="636"/>
      <c r="L42" s="635"/>
      <c r="M42" s="614"/>
      <c r="N42" s="614"/>
    </row>
    <row r="43" spans="1:14" ht="27" customHeight="1">
      <c r="A43" s="213" t="str">
        <f ca="1">IF(ROWS($1:30)&gt;COUNT(Dong13),"",OFFSET(TH!E$1,SMALL(Dong13,ROWS($1:30)),))</f>
        <v/>
      </c>
      <c r="B43" s="216" t="str">
        <f ca="1">IF(ROWS($1:30)&gt;COUNT(Dong13),"",OFFSET(TH!H$1,SMALL(Dong13,ROWS($1:30)),))</f>
        <v/>
      </c>
      <c r="C43" s="630" t="str">
        <f t="shared" ca="1" si="2"/>
        <v/>
      </c>
      <c r="D43" s="630" t="str">
        <f ca="1">IF(ROWS($1:30)&gt;COUNT(Dong13),"",OFFSET(TH!D$1,SMALL(Dong13,ROWS($1:30)),))</f>
        <v/>
      </c>
      <c r="E43" s="907" t="str">
        <f t="shared" ca="1" si="0"/>
        <v/>
      </c>
      <c r="F43" s="631" t="str">
        <f t="shared" ca="1" si="1"/>
        <v/>
      </c>
      <c r="G43" s="632" t="str">
        <f ca="1">IF(ROWS($1:30)&gt;COUNT(Dong13),"",OFFSET(TH!F$1,SMALL(Dong13,ROWS($1:30)),))</f>
        <v/>
      </c>
      <c r="H43" s="633" t="str">
        <f ca="1">IF(ROWS($1:30)&gt;COUNT(Dong13),"",OFFSET(TH!I$1,SMALL(Dong13,ROWS($1:30)),))</f>
        <v/>
      </c>
      <c r="I43" s="633" t="str">
        <f ca="1">IF(ROWS($1:30)&gt;COUNT(Dong13),"",OFFSET(TH!J$1,SMALL(Dong13,ROWS($1:30)),))</f>
        <v/>
      </c>
      <c r="J43" s="634">
        <f t="shared" ca="1" si="4"/>
        <v>0</v>
      </c>
      <c r="K43" s="636"/>
      <c r="L43" s="635"/>
      <c r="M43" s="614"/>
      <c r="N43" s="614"/>
    </row>
    <row r="44" spans="1:14" ht="27" customHeight="1">
      <c r="A44" s="213" t="str">
        <f ca="1">IF(ROWS($1:31)&gt;COUNT(Dong13),"",OFFSET(TH!E$1,SMALL(Dong13,ROWS($1:31)),))</f>
        <v/>
      </c>
      <c r="B44" s="216" t="str">
        <f ca="1">IF(ROWS($1:31)&gt;COUNT(Dong13),"",OFFSET(TH!H$1,SMALL(Dong13,ROWS($1:31)),))</f>
        <v/>
      </c>
      <c r="C44" s="630" t="str">
        <f t="shared" ca="1" si="2"/>
        <v/>
      </c>
      <c r="D44" s="630" t="str">
        <f ca="1">IF(ROWS($1:31)&gt;COUNT(Dong13),"",OFFSET(TH!D$1,SMALL(Dong13,ROWS($1:31)),))</f>
        <v/>
      </c>
      <c r="E44" s="907" t="str">
        <f t="shared" ca="1" si="0"/>
        <v/>
      </c>
      <c r="F44" s="631" t="str">
        <f t="shared" ca="1" si="1"/>
        <v/>
      </c>
      <c r="G44" s="632" t="str">
        <f ca="1">IF(ROWS($1:31)&gt;COUNT(Dong13),"",OFFSET(TH!F$1,SMALL(Dong13,ROWS($1:31)),))</f>
        <v/>
      </c>
      <c r="H44" s="633" t="str">
        <f ca="1">IF(ROWS($1:31)&gt;COUNT(Dong13),"",OFFSET(TH!I$1,SMALL(Dong13,ROWS($1:31)),))</f>
        <v/>
      </c>
      <c r="I44" s="633" t="str">
        <f ca="1">IF(ROWS($1:31)&gt;COUNT(Dong13),"",OFFSET(TH!J$1,SMALL(Dong13,ROWS($1:31)),))</f>
        <v/>
      </c>
      <c r="J44" s="634">
        <f t="shared" ca="1" si="4"/>
        <v>0</v>
      </c>
      <c r="K44" s="636"/>
      <c r="L44" s="635"/>
      <c r="M44" s="614"/>
      <c r="N44" s="614"/>
    </row>
    <row r="45" spans="1:14" ht="27" customHeight="1">
      <c r="A45" s="213" t="str">
        <f ca="1">IF(ROWS($1:32)&gt;COUNT(Dong13),"",OFFSET(TH!E$1,SMALL(Dong13,ROWS($1:32)),))</f>
        <v/>
      </c>
      <c r="B45" s="216" t="str">
        <f ca="1">IF(ROWS($1:32)&gt;COUNT(Dong13),"",OFFSET(TH!H$1,SMALL(Dong13,ROWS($1:32)),))</f>
        <v/>
      </c>
      <c r="C45" s="630" t="str">
        <f t="shared" ca="1" si="2"/>
        <v/>
      </c>
      <c r="D45" s="630" t="str">
        <f ca="1">IF(ROWS($1:32)&gt;COUNT(Dong13),"",OFFSET(TH!D$1,SMALL(Dong13,ROWS($1:32)),))</f>
        <v/>
      </c>
      <c r="E45" s="907" t="str">
        <f t="shared" ca="1" si="0"/>
        <v/>
      </c>
      <c r="F45" s="631" t="str">
        <f t="shared" ca="1" si="1"/>
        <v/>
      </c>
      <c r="G45" s="632" t="str">
        <f ca="1">IF(ROWS($1:32)&gt;COUNT(Dong13),"",OFFSET(TH!F$1,SMALL(Dong13,ROWS($1:32)),))</f>
        <v/>
      </c>
      <c r="H45" s="633" t="str">
        <f ca="1">IF(ROWS($1:32)&gt;COUNT(Dong13),"",OFFSET(TH!I$1,SMALL(Dong13,ROWS($1:32)),))</f>
        <v/>
      </c>
      <c r="I45" s="633" t="str">
        <f ca="1">IF(ROWS($1:32)&gt;COUNT(Dong13),"",OFFSET(TH!J$1,SMALL(Dong13,ROWS($1:32)),))</f>
        <v/>
      </c>
      <c r="J45" s="634">
        <f t="shared" ca="1" si="4"/>
        <v>0</v>
      </c>
      <c r="K45" s="636"/>
      <c r="L45" s="635"/>
      <c r="M45" s="614"/>
      <c r="N45" s="614"/>
    </row>
    <row r="46" spans="1:14" ht="27" customHeight="1">
      <c r="A46" s="213" t="str">
        <f ca="1">IF(ROWS($1:33)&gt;COUNT(Dong13),"",OFFSET(TH!E$1,SMALL(Dong13,ROWS($1:33)),))</f>
        <v/>
      </c>
      <c r="B46" s="216" t="str">
        <f ca="1">IF(ROWS($1:33)&gt;COUNT(Dong13),"",OFFSET(TH!H$1,SMALL(Dong13,ROWS($1:33)),))</f>
        <v/>
      </c>
      <c r="C46" s="630" t="str">
        <f t="shared" ca="1" si="2"/>
        <v/>
      </c>
      <c r="D46" s="630" t="str">
        <f ca="1">IF(ROWS($1:33)&gt;COUNT(Dong13),"",OFFSET(TH!D$1,SMALL(Dong13,ROWS($1:33)),))</f>
        <v/>
      </c>
      <c r="E46" s="907" t="str">
        <f t="shared" ca="1" si="0"/>
        <v/>
      </c>
      <c r="F46" s="631" t="str">
        <f t="shared" ca="1" si="1"/>
        <v/>
      </c>
      <c r="G46" s="632" t="str">
        <f ca="1">IF(ROWS($1:33)&gt;COUNT(Dong13),"",OFFSET(TH!F$1,SMALL(Dong13,ROWS($1:33)),))</f>
        <v/>
      </c>
      <c r="H46" s="633" t="str">
        <f ca="1">IF(ROWS($1:33)&gt;COUNT(Dong13),"",OFFSET(TH!I$1,SMALL(Dong13,ROWS($1:33)),))</f>
        <v/>
      </c>
      <c r="I46" s="633" t="str">
        <f ca="1">IF(ROWS($1:33)&gt;COUNT(Dong13),"",OFFSET(TH!J$1,SMALL(Dong13,ROWS($1:33)),))</f>
        <v/>
      </c>
      <c r="J46" s="634">
        <f t="shared" ca="1" si="4"/>
        <v>0</v>
      </c>
      <c r="K46" s="636"/>
      <c r="L46" s="635"/>
      <c r="M46" s="614"/>
      <c r="N46" s="614"/>
    </row>
    <row r="47" spans="1:14" ht="27" customHeight="1">
      <c r="A47" s="213" t="str">
        <f ca="1">IF(ROWS($1:34)&gt;COUNT(Dong13),"",OFFSET(TH!E$1,SMALL(Dong13,ROWS($1:34)),))</f>
        <v/>
      </c>
      <c r="B47" s="216" t="str">
        <f ca="1">IF(ROWS($1:34)&gt;COUNT(Dong13),"",OFFSET(TH!H$1,SMALL(Dong13,ROWS($1:34)),))</f>
        <v/>
      </c>
      <c r="C47" s="630" t="str">
        <f t="shared" ca="1" si="2"/>
        <v/>
      </c>
      <c r="D47" s="630" t="str">
        <f ca="1">IF(ROWS($1:34)&gt;COUNT(Dong13),"",OFFSET(TH!D$1,SMALL(Dong13,ROWS($1:34)),))</f>
        <v/>
      </c>
      <c r="E47" s="907" t="str">
        <f t="shared" ca="1" si="0"/>
        <v/>
      </c>
      <c r="F47" s="631" t="str">
        <f t="shared" ca="1" si="1"/>
        <v/>
      </c>
      <c r="G47" s="632" t="str">
        <f ca="1">IF(ROWS($1:34)&gt;COUNT(Dong13),"",OFFSET(TH!F$1,SMALL(Dong13,ROWS($1:34)),))</f>
        <v/>
      </c>
      <c r="H47" s="633" t="str">
        <f ca="1">IF(ROWS($1:34)&gt;COUNT(Dong13),"",OFFSET(TH!I$1,SMALL(Dong13,ROWS($1:34)),))</f>
        <v/>
      </c>
      <c r="I47" s="633" t="str">
        <f ca="1">IF(ROWS($1:34)&gt;COUNT(Dong13),"",OFFSET(TH!J$1,SMALL(Dong13,ROWS($1:34)),))</f>
        <v/>
      </c>
      <c r="J47" s="634">
        <f t="shared" ca="1" si="4"/>
        <v>0</v>
      </c>
      <c r="K47" s="636"/>
      <c r="L47" s="635"/>
      <c r="M47" s="614"/>
      <c r="N47" s="614"/>
    </row>
    <row r="48" spans="1:14" ht="27" customHeight="1">
      <c r="A48" s="213" t="str">
        <f ca="1">IF(ROWS($1:35)&gt;COUNT(Dong13),"",OFFSET(TH!E$1,SMALL(Dong13,ROWS($1:35)),))</f>
        <v/>
      </c>
      <c r="B48" s="216" t="str">
        <f ca="1">IF(ROWS($1:35)&gt;COUNT(Dong13),"",OFFSET(TH!H$1,SMALL(Dong13,ROWS($1:35)),))</f>
        <v/>
      </c>
      <c r="C48" s="630" t="str">
        <f t="shared" ca="1" si="2"/>
        <v/>
      </c>
      <c r="D48" s="630" t="str">
        <f ca="1">IF(ROWS($1:35)&gt;COUNT(Dong13),"",OFFSET(TH!D$1,SMALL(Dong13,ROWS($1:35)),))</f>
        <v/>
      </c>
      <c r="E48" s="907" t="str">
        <f t="shared" ca="1" si="0"/>
        <v/>
      </c>
      <c r="F48" s="631" t="str">
        <f t="shared" ca="1" si="1"/>
        <v/>
      </c>
      <c r="G48" s="632" t="str">
        <f ca="1">IF(ROWS($1:35)&gt;COUNT(Dong13),"",OFFSET(TH!F$1,SMALL(Dong13,ROWS($1:35)),))</f>
        <v/>
      </c>
      <c r="H48" s="633" t="str">
        <f ca="1">IF(ROWS($1:35)&gt;COUNT(Dong13),"",OFFSET(TH!I$1,SMALL(Dong13,ROWS($1:35)),))</f>
        <v/>
      </c>
      <c r="I48" s="633" t="str">
        <f ca="1">IF(ROWS($1:35)&gt;COUNT(Dong13),"",OFFSET(TH!J$1,SMALL(Dong13,ROWS($1:35)),))</f>
        <v/>
      </c>
      <c r="J48" s="634">
        <f t="shared" ca="1" si="4"/>
        <v>0</v>
      </c>
      <c r="K48" s="636"/>
      <c r="L48" s="635"/>
      <c r="M48" s="614"/>
      <c r="N48" s="614"/>
    </row>
    <row r="49" spans="1:14" ht="27" customHeight="1">
      <c r="A49" s="213" t="str">
        <f ca="1">IF(ROWS($1:36)&gt;COUNT(Dong13),"",OFFSET(TH!E$1,SMALL(Dong13,ROWS($1:36)),))</f>
        <v/>
      </c>
      <c r="B49" s="216" t="str">
        <f ca="1">IF(ROWS($1:36)&gt;COUNT(Dong13),"",OFFSET(TH!H$1,SMALL(Dong13,ROWS($1:36)),))</f>
        <v/>
      </c>
      <c r="C49" s="630" t="str">
        <f t="shared" ca="1" si="2"/>
        <v/>
      </c>
      <c r="D49" s="630" t="str">
        <f ca="1">IF(ROWS($1:36)&gt;COUNT(Dong13),"",OFFSET(TH!D$1,SMALL(Dong13,ROWS($1:36)),))</f>
        <v/>
      </c>
      <c r="E49" s="907" t="str">
        <f t="shared" ca="1" si="0"/>
        <v/>
      </c>
      <c r="F49" s="631" t="str">
        <f t="shared" ca="1" si="1"/>
        <v/>
      </c>
      <c r="G49" s="632" t="str">
        <f ca="1">IF(ROWS($1:36)&gt;COUNT(Dong13),"",OFFSET(TH!F$1,SMALL(Dong13,ROWS($1:36)),))</f>
        <v/>
      </c>
      <c r="H49" s="633" t="str">
        <f ca="1">IF(ROWS($1:36)&gt;COUNT(Dong13),"",OFFSET(TH!I$1,SMALL(Dong13,ROWS($1:36)),))</f>
        <v/>
      </c>
      <c r="I49" s="633" t="str">
        <f ca="1">IF(ROWS($1:36)&gt;COUNT(Dong13),"",OFFSET(TH!J$1,SMALL(Dong13,ROWS($1:36)),))</f>
        <v/>
      </c>
      <c r="J49" s="634">
        <f t="shared" ca="1" si="4"/>
        <v>0</v>
      </c>
      <c r="K49" s="636"/>
      <c r="L49" s="635"/>
      <c r="M49" s="614"/>
      <c r="N49" s="614"/>
    </row>
    <row r="50" spans="1:14" ht="27" customHeight="1">
      <c r="A50" s="213" t="str">
        <f ca="1">IF(ROWS($1:37)&gt;COUNT(Dong13),"",OFFSET(TH!E$1,SMALL(Dong13,ROWS($1:37)),))</f>
        <v/>
      </c>
      <c r="B50" s="216" t="str">
        <f ca="1">IF(ROWS($1:37)&gt;COUNT(Dong13),"",OFFSET(TH!H$1,SMALL(Dong13,ROWS($1:37)),))</f>
        <v/>
      </c>
      <c r="C50" s="630" t="str">
        <f t="shared" ca="1" si="2"/>
        <v/>
      </c>
      <c r="D50" s="630" t="str">
        <f ca="1">IF(ROWS($1:37)&gt;COUNT(Dong13),"",OFFSET(TH!D$1,SMALL(Dong13,ROWS($1:37)),))</f>
        <v/>
      </c>
      <c r="E50" s="907" t="str">
        <f t="shared" ca="1" si="0"/>
        <v/>
      </c>
      <c r="F50" s="631" t="str">
        <f t="shared" ca="1" si="1"/>
        <v/>
      </c>
      <c r="G50" s="632" t="str">
        <f ca="1">IF(ROWS($1:37)&gt;COUNT(Dong13),"",OFFSET(TH!F$1,SMALL(Dong13,ROWS($1:37)),))</f>
        <v/>
      </c>
      <c r="H50" s="633" t="str">
        <f ca="1">IF(ROWS($1:37)&gt;COUNT(Dong13),"",OFFSET(TH!I$1,SMALL(Dong13,ROWS($1:37)),))</f>
        <v/>
      </c>
      <c r="I50" s="633" t="str">
        <f ca="1">IF(ROWS($1:37)&gt;COUNT(Dong13),"",OFFSET(TH!J$1,SMALL(Dong13,ROWS($1:37)),))</f>
        <v/>
      </c>
      <c r="J50" s="634">
        <f t="shared" ca="1" si="4"/>
        <v>0</v>
      </c>
      <c r="K50" s="636"/>
      <c r="L50" s="635"/>
      <c r="M50" s="614"/>
      <c r="N50" s="614"/>
    </row>
    <row r="51" spans="1:14" ht="27" customHeight="1">
      <c r="A51" s="213" t="str">
        <f ca="1">IF(ROWS($1:38)&gt;COUNT(Dong13),"",OFFSET(TH!E$1,SMALL(Dong13,ROWS($1:38)),))</f>
        <v/>
      </c>
      <c r="B51" s="216" t="str">
        <f ca="1">IF(ROWS($1:38)&gt;COUNT(Dong13),"",OFFSET(TH!H$1,SMALL(Dong13,ROWS($1:38)),))</f>
        <v/>
      </c>
      <c r="C51" s="630" t="str">
        <f t="shared" ca="1" si="2"/>
        <v/>
      </c>
      <c r="D51" s="630" t="str">
        <f ca="1">IF(ROWS($1:38)&gt;COUNT(Dong13),"",OFFSET(TH!D$1,SMALL(Dong13,ROWS($1:38)),))</f>
        <v/>
      </c>
      <c r="E51" s="907" t="str">
        <f t="shared" ca="1" si="0"/>
        <v/>
      </c>
      <c r="F51" s="631" t="str">
        <f t="shared" ca="1" si="1"/>
        <v/>
      </c>
      <c r="G51" s="632" t="str">
        <f ca="1">IF(ROWS($1:38)&gt;COUNT(Dong13),"",OFFSET(TH!F$1,SMALL(Dong13,ROWS($1:38)),))</f>
        <v/>
      </c>
      <c r="H51" s="633" t="str">
        <f ca="1">IF(ROWS($1:38)&gt;COUNT(Dong13),"",OFFSET(TH!I$1,SMALL(Dong13,ROWS($1:38)),))</f>
        <v/>
      </c>
      <c r="I51" s="633" t="str">
        <f ca="1">IF(ROWS($1:38)&gt;COUNT(Dong13),"",OFFSET(TH!J$1,SMALL(Dong13,ROWS($1:38)),))</f>
        <v/>
      </c>
      <c r="J51" s="634">
        <f t="shared" ca="1" si="4"/>
        <v>0</v>
      </c>
      <c r="K51" s="636"/>
      <c r="L51" s="635"/>
      <c r="M51" s="614"/>
      <c r="N51" s="614"/>
    </row>
    <row r="52" spans="1:14" ht="27" customHeight="1">
      <c r="A52" s="213" t="str">
        <f ca="1">IF(ROWS($1:39)&gt;COUNT(Dong13),"",OFFSET(TH!E$1,SMALL(Dong13,ROWS($1:39)),))</f>
        <v/>
      </c>
      <c r="B52" s="216" t="str">
        <f ca="1">IF(ROWS($1:39)&gt;COUNT(Dong13),"",OFFSET(TH!H$1,SMALL(Dong13,ROWS($1:39)),))</f>
        <v/>
      </c>
      <c r="C52" s="630" t="str">
        <f t="shared" ca="1" si="2"/>
        <v/>
      </c>
      <c r="D52" s="630" t="str">
        <f ca="1">IF(ROWS($1:39)&gt;COUNT(Dong13),"",OFFSET(TH!D$1,SMALL(Dong13,ROWS($1:39)),))</f>
        <v/>
      </c>
      <c r="E52" s="907" t="str">
        <f t="shared" ca="1" si="0"/>
        <v/>
      </c>
      <c r="F52" s="631" t="str">
        <f t="shared" ca="1" si="1"/>
        <v/>
      </c>
      <c r="G52" s="632" t="str">
        <f ca="1">IF(ROWS($1:39)&gt;COUNT(Dong13),"",OFFSET(TH!F$1,SMALL(Dong13,ROWS($1:39)),))</f>
        <v/>
      </c>
      <c r="H52" s="633" t="str">
        <f ca="1">IF(ROWS($1:39)&gt;COUNT(Dong13),"",OFFSET(TH!I$1,SMALL(Dong13,ROWS($1:39)),))</f>
        <v/>
      </c>
      <c r="I52" s="633" t="str">
        <f ca="1">IF(ROWS($1:39)&gt;COUNT(Dong13),"",OFFSET(TH!J$1,SMALL(Dong13,ROWS($1:39)),))</f>
        <v/>
      </c>
      <c r="J52" s="634">
        <f t="shared" ca="1" si="4"/>
        <v>0</v>
      </c>
      <c r="K52" s="636"/>
      <c r="L52" s="635"/>
      <c r="M52" s="614"/>
      <c r="N52" s="614"/>
    </row>
    <row r="53" spans="1:14" ht="27" customHeight="1">
      <c r="A53" s="213" t="str">
        <f ca="1">IF(ROWS($1:40)&gt;COUNT(Dong13),"",OFFSET(TH!E$1,SMALL(Dong13,ROWS($1:40)),))</f>
        <v/>
      </c>
      <c r="B53" s="216" t="str">
        <f ca="1">IF(ROWS($1:40)&gt;COUNT(Dong13),"",OFFSET(TH!H$1,SMALL(Dong13,ROWS($1:40)),))</f>
        <v/>
      </c>
      <c r="C53" s="630" t="str">
        <f t="shared" ca="1" si="2"/>
        <v/>
      </c>
      <c r="D53" s="630" t="str">
        <f ca="1">IF(ROWS($1:40)&gt;COUNT(Dong13),"",OFFSET(TH!D$1,SMALL(Dong13,ROWS($1:40)),))</f>
        <v/>
      </c>
      <c r="E53" s="907" t="str">
        <f t="shared" ca="1" si="0"/>
        <v/>
      </c>
      <c r="F53" s="631" t="str">
        <f t="shared" ca="1" si="1"/>
        <v/>
      </c>
      <c r="G53" s="632" t="str">
        <f ca="1">IF(ROWS($1:40)&gt;COUNT(Dong13),"",OFFSET(TH!F$1,SMALL(Dong13,ROWS($1:40)),))</f>
        <v/>
      </c>
      <c r="H53" s="633" t="str">
        <f ca="1">IF(ROWS($1:40)&gt;COUNT(Dong13),"",OFFSET(TH!I$1,SMALL(Dong13,ROWS($1:40)),))</f>
        <v/>
      </c>
      <c r="I53" s="633" t="str">
        <f ca="1">IF(ROWS($1:40)&gt;COUNT(Dong13),"",OFFSET(TH!J$1,SMALL(Dong13,ROWS($1:40)),))</f>
        <v/>
      </c>
      <c r="J53" s="634">
        <f t="shared" ca="1" si="4"/>
        <v>0</v>
      </c>
      <c r="K53" s="636"/>
      <c r="L53" s="635"/>
      <c r="M53" s="614"/>
      <c r="N53" s="614"/>
    </row>
    <row r="54" spans="1:14" ht="27" customHeight="1">
      <c r="A54" s="213" t="str">
        <f ca="1">IF(ROWS($1:41)&gt;COUNT(Dong13),"",OFFSET(TH!E$1,SMALL(Dong13,ROWS($1:41)),))</f>
        <v/>
      </c>
      <c r="B54" s="216" t="str">
        <f ca="1">IF(ROWS($1:41)&gt;COUNT(Dong13),"",OFFSET(TH!H$1,SMALL(Dong13,ROWS($1:41)),))</f>
        <v/>
      </c>
      <c r="C54" s="630" t="str">
        <f t="shared" ca="1" si="2"/>
        <v/>
      </c>
      <c r="D54" s="630" t="str">
        <f ca="1">IF(ROWS($1:41)&gt;COUNT(Dong13),"",OFFSET(TH!D$1,SMALL(Dong13,ROWS($1:41)),))</f>
        <v/>
      </c>
      <c r="E54" s="907" t="str">
        <f t="shared" ca="1" si="0"/>
        <v/>
      </c>
      <c r="F54" s="631" t="str">
        <f t="shared" ca="1" si="1"/>
        <v/>
      </c>
      <c r="G54" s="632" t="str">
        <f ca="1">IF(ROWS($1:41)&gt;COUNT(Dong13),"",OFFSET(TH!F$1,SMALL(Dong13,ROWS($1:41)),))</f>
        <v/>
      </c>
      <c r="H54" s="633" t="str">
        <f ca="1">IF(ROWS($1:41)&gt;COUNT(Dong13),"",OFFSET(TH!I$1,SMALL(Dong13,ROWS($1:41)),))</f>
        <v/>
      </c>
      <c r="I54" s="633" t="str">
        <f ca="1">IF(ROWS($1:41)&gt;COUNT(Dong13),"",OFFSET(TH!J$1,SMALL(Dong13,ROWS($1:41)),))</f>
        <v/>
      </c>
      <c r="J54" s="634">
        <f t="shared" ca="1" si="4"/>
        <v>0</v>
      </c>
      <c r="K54" s="636"/>
      <c r="L54" s="635"/>
      <c r="M54" s="614"/>
      <c r="N54" s="614"/>
    </row>
    <row r="55" spans="1:14" ht="27" customHeight="1">
      <c r="A55" s="213" t="str">
        <f ca="1">IF(ROWS($1:42)&gt;COUNT(Dong13),"",OFFSET(TH!E$1,SMALL(Dong13,ROWS($1:42)),))</f>
        <v/>
      </c>
      <c r="B55" s="216" t="str">
        <f ca="1">IF(ROWS($1:42)&gt;COUNT(Dong13),"",OFFSET(TH!H$1,SMALL(Dong13,ROWS($1:42)),))</f>
        <v/>
      </c>
      <c r="C55" s="630" t="str">
        <f t="shared" ca="1" si="2"/>
        <v/>
      </c>
      <c r="D55" s="630" t="str">
        <f ca="1">IF(ROWS($1:42)&gt;COUNT(Dong13),"",OFFSET(TH!D$1,SMALL(Dong13,ROWS($1:42)),))</f>
        <v/>
      </c>
      <c r="E55" s="907" t="str">
        <f t="shared" ca="1" si="0"/>
        <v/>
      </c>
      <c r="F55" s="631" t="str">
        <f t="shared" ca="1" si="1"/>
        <v/>
      </c>
      <c r="G55" s="632" t="str">
        <f ca="1">IF(ROWS($1:42)&gt;COUNT(Dong13),"",OFFSET(TH!F$1,SMALL(Dong13,ROWS($1:42)),))</f>
        <v/>
      </c>
      <c r="H55" s="633" t="str">
        <f ca="1">IF(ROWS($1:42)&gt;COUNT(Dong13),"",OFFSET(TH!I$1,SMALL(Dong13,ROWS($1:42)),))</f>
        <v/>
      </c>
      <c r="I55" s="633" t="str">
        <f ca="1">IF(ROWS($1:42)&gt;COUNT(Dong13),"",OFFSET(TH!J$1,SMALL(Dong13,ROWS($1:42)),))</f>
        <v/>
      </c>
      <c r="J55" s="634">
        <f t="shared" ca="1" si="4"/>
        <v>0</v>
      </c>
      <c r="K55" s="636"/>
      <c r="L55" s="635"/>
      <c r="M55" s="614"/>
      <c r="N55" s="614"/>
    </row>
    <row r="56" spans="1:14" ht="27" customHeight="1">
      <c r="A56" s="213" t="str">
        <f ca="1">IF(ROWS($1:43)&gt;COUNT(Dong13),"",OFFSET(TH!E$1,SMALL(Dong13,ROWS($1:43)),))</f>
        <v/>
      </c>
      <c r="B56" s="216" t="str">
        <f ca="1">IF(ROWS($1:43)&gt;COUNT(Dong13),"",OFFSET(TH!H$1,SMALL(Dong13,ROWS($1:43)),))</f>
        <v/>
      </c>
      <c r="C56" s="630" t="str">
        <f t="shared" ca="1" si="2"/>
        <v/>
      </c>
      <c r="D56" s="630" t="str">
        <f ca="1">IF(ROWS($1:43)&gt;COUNT(Dong13),"",OFFSET(TH!D$1,SMALL(Dong13,ROWS($1:43)),))</f>
        <v/>
      </c>
      <c r="E56" s="907" t="str">
        <f t="shared" ca="1" si="0"/>
        <v/>
      </c>
      <c r="F56" s="631" t="str">
        <f t="shared" ca="1" si="1"/>
        <v/>
      </c>
      <c r="G56" s="632" t="str">
        <f ca="1">IF(ROWS($1:43)&gt;COUNT(Dong13),"",OFFSET(TH!F$1,SMALL(Dong13,ROWS($1:43)),))</f>
        <v/>
      </c>
      <c r="H56" s="633" t="str">
        <f ca="1">IF(ROWS($1:43)&gt;COUNT(Dong13),"",OFFSET(TH!I$1,SMALL(Dong13,ROWS($1:43)),))</f>
        <v/>
      </c>
      <c r="I56" s="633" t="str">
        <f ca="1">IF(ROWS($1:43)&gt;COUNT(Dong13),"",OFFSET(TH!J$1,SMALL(Dong13,ROWS($1:43)),))</f>
        <v/>
      </c>
      <c r="J56" s="634">
        <f t="shared" ca="1" si="4"/>
        <v>0</v>
      </c>
      <c r="K56" s="636"/>
      <c r="L56" s="635"/>
      <c r="M56" s="614"/>
      <c r="N56" s="614"/>
    </row>
    <row r="57" spans="1:14" ht="27" customHeight="1">
      <c r="A57" s="213" t="str">
        <f ca="1">IF(ROWS($1:44)&gt;COUNT(Dong13),"",OFFSET(TH!E$1,SMALL(Dong13,ROWS($1:44)),))</f>
        <v/>
      </c>
      <c r="B57" s="216" t="str">
        <f ca="1">IF(ROWS($1:44)&gt;COUNT(Dong13),"",OFFSET(TH!H$1,SMALL(Dong13,ROWS($1:44)),))</f>
        <v/>
      </c>
      <c r="C57" s="630" t="str">
        <f t="shared" ca="1" si="2"/>
        <v/>
      </c>
      <c r="D57" s="630" t="str">
        <f ca="1">IF(ROWS($1:44)&gt;COUNT(Dong13),"",OFFSET(TH!D$1,SMALL(Dong13,ROWS($1:44)),))</f>
        <v/>
      </c>
      <c r="E57" s="907" t="str">
        <f t="shared" ca="1" si="0"/>
        <v/>
      </c>
      <c r="F57" s="631" t="str">
        <f t="shared" ca="1" si="1"/>
        <v/>
      </c>
      <c r="G57" s="632" t="str">
        <f ca="1">IF(ROWS($1:44)&gt;COUNT(Dong13),"",OFFSET(TH!F$1,SMALL(Dong13,ROWS($1:44)),))</f>
        <v/>
      </c>
      <c r="H57" s="633" t="str">
        <f ca="1">IF(ROWS($1:44)&gt;COUNT(Dong13),"",OFFSET(TH!I$1,SMALL(Dong13,ROWS($1:44)),))</f>
        <v/>
      </c>
      <c r="I57" s="633" t="str">
        <f ca="1">IF(ROWS($1:44)&gt;COUNT(Dong13),"",OFFSET(TH!J$1,SMALL(Dong13,ROWS($1:44)),))</f>
        <v/>
      </c>
      <c r="J57" s="634">
        <f t="shared" ref="J57:J111" ca="1" si="5">IF(B57&lt;&gt;"",H57*I57,0)</f>
        <v>0</v>
      </c>
      <c r="K57" s="636"/>
      <c r="L57" s="635"/>
      <c r="M57" s="614"/>
      <c r="N57" s="614"/>
    </row>
    <row r="58" spans="1:14" ht="27" customHeight="1">
      <c r="A58" s="213" t="str">
        <f ca="1">IF(ROWS($1:45)&gt;COUNT(Dong13),"",OFFSET(TH!E$1,SMALL(Dong13,ROWS($1:45)),))</f>
        <v/>
      </c>
      <c r="B58" s="216" t="str">
        <f ca="1">IF(ROWS($1:45)&gt;COUNT(Dong13),"",OFFSET(TH!H$1,SMALL(Dong13,ROWS($1:45)),))</f>
        <v/>
      </c>
      <c r="C58" s="630" t="str">
        <f t="shared" ca="1" si="2"/>
        <v/>
      </c>
      <c r="D58" s="630" t="str">
        <f ca="1">IF(ROWS($1:45)&gt;COUNT(Dong13),"",OFFSET(TH!D$1,SMALL(Dong13,ROWS($1:45)),))</f>
        <v/>
      </c>
      <c r="E58" s="907" t="str">
        <f t="shared" ca="1" si="0"/>
        <v/>
      </c>
      <c r="F58" s="631" t="str">
        <f t="shared" ca="1" si="1"/>
        <v/>
      </c>
      <c r="G58" s="632" t="str">
        <f ca="1">IF(ROWS($1:45)&gt;COUNT(Dong13),"",OFFSET(TH!F$1,SMALL(Dong13,ROWS($1:45)),))</f>
        <v/>
      </c>
      <c r="H58" s="633" t="str">
        <f ca="1">IF(ROWS($1:45)&gt;COUNT(Dong13),"",OFFSET(TH!I$1,SMALL(Dong13,ROWS($1:45)),))</f>
        <v/>
      </c>
      <c r="I58" s="633" t="str">
        <f ca="1">IF(ROWS($1:45)&gt;COUNT(Dong13),"",OFFSET(TH!J$1,SMALL(Dong13,ROWS($1:45)),))</f>
        <v/>
      </c>
      <c r="J58" s="634">
        <f t="shared" ca="1" si="5"/>
        <v>0</v>
      </c>
      <c r="K58" s="636"/>
      <c r="L58" s="635"/>
      <c r="M58" s="614"/>
      <c r="N58" s="614"/>
    </row>
    <row r="59" spans="1:14" ht="27" customHeight="1">
      <c r="A59" s="213" t="str">
        <f ca="1">IF(ROWS($1:46)&gt;COUNT(Dong13),"",OFFSET(TH!E$1,SMALL(Dong13,ROWS($1:46)),))</f>
        <v/>
      </c>
      <c r="B59" s="216" t="str">
        <f ca="1">IF(ROWS($1:46)&gt;COUNT(Dong13),"",OFFSET(TH!H$1,SMALL(Dong13,ROWS($1:46)),))</f>
        <v/>
      </c>
      <c r="C59" s="630" t="str">
        <f t="shared" ca="1" si="2"/>
        <v/>
      </c>
      <c r="D59" s="630" t="str">
        <f ca="1">IF(ROWS($1:46)&gt;COUNT(Dong13),"",OFFSET(TH!D$1,SMALL(Dong13,ROWS($1:46)),))</f>
        <v/>
      </c>
      <c r="E59" s="907" t="str">
        <f t="shared" ca="1" si="0"/>
        <v/>
      </c>
      <c r="F59" s="631" t="str">
        <f t="shared" ca="1" si="1"/>
        <v/>
      </c>
      <c r="G59" s="632" t="str">
        <f ca="1">IF(ROWS($1:46)&gt;COUNT(Dong13),"",OFFSET(TH!F$1,SMALL(Dong13,ROWS($1:46)),))</f>
        <v/>
      </c>
      <c r="H59" s="633" t="str">
        <f ca="1">IF(ROWS($1:46)&gt;COUNT(Dong13),"",OFFSET(TH!I$1,SMALL(Dong13,ROWS($1:46)),))</f>
        <v/>
      </c>
      <c r="I59" s="633" t="str">
        <f ca="1">IF(ROWS($1:46)&gt;COUNT(Dong13),"",OFFSET(TH!J$1,SMALL(Dong13,ROWS($1:46)),))</f>
        <v/>
      </c>
      <c r="J59" s="634">
        <f t="shared" ca="1" si="5"/>
        <v>0</v>
      </c>
      <c r="K59" s="636"/>
      <c r="L59" s="635"/>
      <c r="M59" s="614"/>
      <c r="N59" s="614"/>
    </row>
    <row r="60" spans="1:14" ht="27" customHeight="1">
      <c r="A60" s="213" t="str">
        <f ca="1">IF(ROWS($1:47)&gt;COUNT(Dong13),"",OFFSET(TH!E$1,SMALL(Dong13,ROWS($1:47)),))</f>
        <v/>
      </c>
      <c r="B60" s="216" t="str">
        <f ca="1">IF(ROWS($1:47)&gt;COUNT(Dong13),"",OFFSET(TH!H$1,SMALL(Dong13,ROWS($1:47)),))</f>
        <v/>
      </c>
      <c r="C60" s="630" t="str">
        <f t="shared" ca="1" si="2"/>
        <v/>
      </c>
      <c r="D60" s="630" t="str">
        <f ca="1">IF(ROWS($1:47)&gt;COUNT(Dong13),"",OFFSET(TH!D$1,SMALL(Dong13,ROWS($1:47)),))</f>
        <v/>
      </c>
      <c r="E60" s="907" t="str">
        <f t="shared" ca="1" si="0"/>
        <v/>
      </c>
      <c r="F60" s="631" t="str">
        <f t="shared" ca="1" si="1"/>
        <v/>
      </c>
      <c r="G60" s="632" t="str">
        <f ca="1">IF(ROWS($1:47)&gt;COUNT(Dong13),"",OFFSET(TH!F$1,SMALL(Dong13,ROWS($1:47)),))</f>
        <v/>
      </c>
      <c r="H60" s="633" t="str">
        <f ca="1">IF(ROWS($1:47)&gt;COUNT(Dong13),"",OFFSET(TH!I$1,SMALL(Dong13,ROWS($1:47)),))</f>
        <v/>
      </c>
      <c r="I60" s="633" t="str">
        <f ca="1">IF(ROWS($1:47)&gt;COUNT(Dong13),"",OFFSET(TH!J$1,SMALL(Dong13,ROWS($1:47)),))</f>
        <v/>
      </c>
      <c r="J60" s="634">
        <f t="shared" ca="1" si="5"/>
        <v>0</v>
      </c>
      <c r="K60" s="636"/>
      <c r="L60" s="635"/>
      <c r="M60" s="614"/>
      <c r="N60" s="614"/>
    </row>
    <row r="61" spans="1:14" ht="27" customHeight="1">
      <c r="A61" s="213" t="str">
        <f ca="1">IF(ROWS($1:48)&gt;COUNT(Dong13),"",OFFSET(TH!E$1,SMALL(Dong13,ROWS($1:48)),))</f>
        <v/>
      </c>
      <c r="B61" s="216" t="str">
        <f ca="1">IF(ROWS($1:48)&gt;COUNT(Dong13),"",OFFSET(TH!H$1,SMALL(Dong13,ROWS($1:48)),))</f>
        <v/>
      </c>
      <c r="C61" s="630" t="str">
        <f t="shared" ca="1" si="2"/>
        <v/>
      </c>
      <c r="D61" s="630" t="str">
        <f ca="1">IF(ROWS($1:48)&gt;COUNT(Dong13),"",OFFSET(TH!D$1,SMALL(Dong13,ROWS($1:48)),))</f>
        <v/>
      </c>
      <c r="E61" s="907" t="str">
        <f t="shared" ca="1" si="0"/>
        <v/>
      </c>
      <c r="F61" s="631" t="str">
        <f t="shared" ca="1" si="1"/>
        <v/>
      </c>
      <c r="G61" s="632" t="str">
        <f ca="1">IF(ROWS($1:48)&gt;COUNT(Dong13),"",OFFSET(TH!F$1,SMALL(Dong13,ROWS($1:48)),))</f>
        <v/>
      </c>
      <c r="H61" s="633" t="str">
        <f ca="1">IF(ROWS($1:48)&gt;COUNT(Dong13),"",OFFSET(TH!I$1,SMALL(Dong13,ROWS($1:48)),))</f>
        <v/>
      </c>
      <c r="I61" s="633" t="str">
        <f ca="1">IF(ROWS($1:48)&gt;COUNT(Dong13),"",OFFSET(TH!J$1,SMALL(Dong13,ROWS($1:48)),))</f>
        <v/>
      </c>
      <c r="J61" s="634">
        <f t="shared" ca="1" si="5"/>
        <v>0</v>
      </c>
      <c r="K61" s="636"/>
      <c r="L61" s="635"/>
      <c r="M61" s="614"/>
      <c r="N61" s="614"/>
    </row>
    <row r="62" spans="1:14" ht="27" customHeight="1">
      <c r="A62" s="213" t="str">
        <f ca="1">IF(ROWS($1:49)&gt;COUNT(Dong13),"",OFFSET(TH!E$1,SMALL(Dong13,ROWS($1:49)),))</f>
        <v/>
      </c>
      <c r="B62" s="216" t="str">
        <f ca="1">IF(ROWS($1:49)&gt;COUNT(Dong13),"",OFFSET(TH!H$1,SMALL(Dong13,ROWS($1:49)),))</f>
        <v/>
      </c>
      <c r="C62" s="630" t="str">
        <f t="shared" ca="1" si="2"/>
        <v/>
      </c>
      <c r="D62" s="630" t="str">
        <f ca="1">IF(ROWS($1:49)&gt;COUNT(Dong13),"",OFFSET(TH!D$1,SMALL(Dong13,ROWS($1:49)),))</f>
        <v/>
      </c>
      <c r="E62" s="907" t="str">
        <f t="shared" ca="1" si="0"/>
        <v/>
      </c>
      <c r="F62" s="631" t="str">
        <f t="shared" ca="1" si="1"/>
        <v/>
      </c>
      <c r="G62" s="632" t="str">
        <f ca="1">IF(ROWS($1:49)&gt;COUNT(Dong13),"",OFFSET(TH!F$1,SMALL(Dong13,ROWS($1:49)),))</f>
        <v/>
      </c>
      <c r="H62" s="633" t="str">
        <f ca="1">IF(ROWS($1:49)&gt;COUNT(Dong13),"",OFFSET(TH!I$1,SMALL(Dong13,ROWS($1:49)),))</f>
        <v/>
      </c>
      <c r="I62" s="633" t="str">
        <f ca="1">IF(ROWS($1:49)&gt;COUNT(Dong13),"",OFFSET(TH!J$1,SMALL(Dong13,ROWS($1:49)),))</f>
        <v/>
      </c>
      <c r="J62" s="634">
        <f t="shared" ca="1" si="5"/>
        <v>0</v>
      </c>
      <c r="K62" s="636"/>
      <c r="L62" s="635"/>
      <c r="M62" s="614"/>
      <c r="N62" s="614"/>
    </row>
    <row r="63" spans="1:14" ht="27" customHeight="1">
      <c r="A63" s="213" t="str">
        <f ca="1">IF(ROWS($1:50)&gt;COUNT(Dong13),"",OFFSET(TH!E$1,SMALL(Dong13,ROWS($1:50)),))</f>
        <v/>
      </c>
      <c r="B63" s="216" t="str">
        <f ca="1">IF(ROWS($1:50)&gt;COUNT(Dong13),"",OFFSET(TH!H$1,SMALL(Dong13,ROWS($1:50)),))</f>
        <v/>
      </c>
      <c r="C63" s="630" t="str">
        <f t="shared" ca="1" si="2"/>
        <v/>
      </c>
      <c r="D63" s="630" t="str">
        <f ca="1">IF(ROWS($1:50)&gt;COUNT(Dong13),"",OFFSET(TH!D$1,SMALL(Dong13,ROWS($1:50)),))</f>
        <v/>
      </c>
      <c r="E63" s="907" t="str">
        <f t="shared" ca="1" si="0"/>
        <v/>
      </c>
      <c r="F63" s="631" t="str">
        <f t="shared" ca="1" si="1"/>
        <v/>
      </c>
      <c r="G63" s="632" t="str">
        <f ca="1">IF(ROWS($1:50)&gt;COUNT(Dong13),"",OFFSET(TH!F$1,SMALL(Dong13,ROWS($1:50)),))</f>
        <v/>
      </c>
      <c r="H63" s="633" t="str">
        <f ca="1">IF(ROWS($1:50)&gt;COUNT(Dong13),"",OFFSET(TH!I$1,SMALL(Dong13,ROWS($1:50)),))</f>
        <v/>
      </c>
      <c r="I63" s="633" t="str">
        <f ca="1">IF(ROWS($1:50)&gt;COUNT(Dong13),"",OFFSET(TH!J$1,SMALL(Dong13,ROWS($1:50)),))</f>
        <v/>
      </c>
      <c r="J63" s="634">
        <f t="shared" ca="1" si="5"/>
        <v>0</v>
      </c>
      <c r="K63" s="636"/>
      <c r="L63" s="635"/>
      <c r="M63" s="614"/>
      <c r="N63" s="614"/>
    </row>
    <row r="64" spans="1:14" ht="27" customHeight="1">
      <c r="A64" s="213" t="str">
        <f ca="1">IF(ROWS($1:51)&gt;COUNT(Dong13),"",OFFSET(TH!E$1,SMALL(Dong13,ROWS($1:51)),))</f>
        <v/>
      </c>
      <c r="B64" s="216" t="str">
        <f ca="1">IF(ROWS($1:51)&gt;COUNT(Dong13),"",OFFSET(TH!H$1,SMALL(Dong13,ROWS($1:51)),))</f>
        <v/>
      </c>
      <c r="C64" s="630" t="str">
        <f t="shared" ca="1" si="2"/>
        <v/>
      </c>
      <c r="D64" s="630" t="str">
        <f ca="1">IF(ROWS($1:51)&gt;COUNT(Dong13),"",OFFSET(TH!D$1,SMALL(Dong13,ROWS($1:51)),))</f>
        <v/>
      </c>
      <c r="E64" s="907" t="str">
        <f t="shared" ca="1" si="0"/>
        <v/>
      </c>
      <c r="F64" s="631" t="str">
        <f t="shared" ca="1" si="1"/>
        <v/>
      </c>
      <c r="G64" s="632" t="str">
        <f ca="1">IF(ROWS($1:51)&gt;COUNT(Dong13),"",OFFSET(TH!F$1,SMALL(Dong13,ROWS($1:51)),))</f>
        <v/>
      </c>
      <c r="H64" s="633" t="str">
        <f ca="1">IF(ROWS($1:51)&gt;COUNT(Dong13),"",OFFSET(TH!I$1,SMALL(Dong13,ROWS($1:51)),))</f>
        <v/>
      </c>
      <c r="I64" s="633" t="str">
        <f ca="1">IF(ROWS($1:51)&gt;COUNT(Dong13),"",OFFSET(TH!J$1,SMALL(Dong13,ROWS($1:51)),))</f>
        <v/>
      </c>
      <c r="J64" s="634">
        <f t="shared" ca="1" si="5"/>
        <v>0</v>
      </c>
      <c r="K64" s="636"/>
      <c r="L64" s="635"/>
      <c r="M64" s="614"/>
      <c r="N64" s="614"/>
    </row>
    <row r="65" spans="1:14" ht="27" customHeight="1">
      <c r="A65" s="213" t="str">
        <f ca="1">IF(ROWS($1:52)&gt;COUNT(Dong13),"",OFFSET(TH!E$1,SMALL(Dong13,ROWS($1:52)),))</f>
        <v/>
      </c>
      <c r="B65" s="216" t="str">
        <f ca="1">IF(ROWS($1:52)&gt;COUNT(Dong13),"",OFFSET(TH!H$1,SMALL(Dong13,ROWS($1:52)),))</f>
        <v/>
      </c>
      <c r="C65" s="630" t="str">
        <f t="shared" ca="1" si="2"/>
        <v/>
      </c>
      <c r="D65" s="630" t="str">
        <f ca="1">IF(ROWS($1:52)&gt;COUNT(Dong13),"",OFFSET(TH!D$1,SMALL(Dong13,ROWS($1:52)),))</f>
        <v/>
      </c>
      <c r="E65" s="907" t="str">
        <f t="shared" ca="1" si="0"/>
        <v/>
      </c>
      <c r="F65" s="631" t="str">
        <f t="shared" ca="1" si="1"/>
        <v/>
      </c>
      <c r="G65" s="632" t="str">
        <f ca="1">IF(ROWS($1:52)&gt;COUNT(Dong13),"",OFFSET(TH!F$1,SMALL(Dong13,ROWS($1:52)),))</f>
        <v/>
      </c>
      <c r="H65" s="633" t="str">
        <f ca="1">IF(ROWS($1:52)&gt;COUNT(Dong13),"",OFFSET(TH!I$1,SMALL(Dong13,ROWS($1:52)),))</f>
        <v/>
      </c>
      <c r="I65" s="633" t="str">
        <f ca="1">IF(ROWS($1:52)&gt;COUNT(Dong13),"",OFFSET(TH!J$1,SMALL(Dong13,ROWS($1:52)),))</f>
        <v/>
      </c>
      <c r="J65" s="634">
        <f t="shared" ca="1" si="5"/>
        <v>0</v>
      </c>
      <c r="K65" s="636"/>
      <c r="L65" s="635"/>
      <c r="M65" s="614"/>
      <c r="N65" s="614"/>
    </row>
    <row r="66" spans="1:14" ht="27" customHeight="1">
      <c r="A66" s="213" t="str">
        <f ca="1">IF(ROWS($1:53)&gt;COUNT(Dong13),"",OFFSET(TH!E$1,SMALL(Dong13,ROWS($1:53)),))</f>
        <v/>
      </c>
      <c r="B66" s="216" t="str">
        <f ca="1">IF(ROWS($1:53)&gt;COUNT(Dong13),"",OFFSET(TH!H$1,SMALL(Dong13,ROWS($1:53)),))</f>
        <v/>
      </c>
      <c r="C66" s="630" t="str">
        <f t="shared" ca="1" si="2"/>
        <v/>
      </c>
      <c r="D66" s="630" t="str">
        <f ca="1">IF(ROWS($1:53)&gt;COUNT(Dong13),"",OFFSET(TH!D$1,SMALL(Dong13,ROWS($1:53)),))</f>
        <v/>
      </c>
      <c r="E66" s="907" t="str">
        <f t="shared" ca="1" si="0"/>
        <v/>
      </c>
      <c r="F66" s="631" t="str">
        <f t="shared" ca="1" si="1"/>
        <v/>
      </c>
      <c r="G66" s="632" t="str">
        <f ca="1">IF(ROWS($1:53)&gt;COUNT(Dong13),"",OFFSET(TH!F$1,SMALL(Dong13,ROWS($1:53)),))</f>
        <v/>
      </c>
      <c r="H66" s="633" t="str">
        <f ca="1">IF(ROWS($1:53)&gt;COUNT(Dong13),"",OFFSET(TH!I$1,SMALL(Dong13,ROWS($1:53)),))</f>
        <v/>
      </c>
      <c r="I66" s="633" t="str">
        <f ca="1">IF(ROWS($1:53)&gt;COUNT(Dong13),"",OFFSET(TH!J$1,SMALL(Dong13,ROWS($1:53)),))</f>
        <v/>
      </c>
      <c r="J66" s="634">
        <f t="shared" ca="1" si="5"/>
        <v>0</v>
      </c>
      <c r="K66" s="636"/>
      <c r="L66" s="635"/>
      <c r="M66" s="614"/>
      <c r="N66" s="614"/>
    </row>
    <row r="67" spans="1:14" ht="27" customHeight="1">
      <c r="A67" s="213" t="str">
        <f ca="1">IF(ROWS($1:54)&gt;COUNT(Dong13),"",OFFSET(TH!E$1,SMALL(Dong13,ROWS($1:54)),))</f>
        <v/>
      </c>
      <c r="B67" s="216" t="str">
        <f ca="1">IF(ROWS($1:54)&gt;COUNT(Dong13),"",OFFSET(TH!H$1,SMALL(Dong13,ROWS($1:54)),))</f>
        <v/>
      </c>
      <c r="C67" s="630" t="str">
        <f t="shared" ca="1" si="2"/>
        <v/>
      </c>
      <c r="D67" s="630" t="str">
        <f ca="1">IF(ROWS($1:54)&gt;COUNT(Dong13),"",OFFSET(TH!D$1,SMALL(Dong13,ROWS($1:54)),))</f>
        <v/>
      </c>
      <c r="E67" s="907" t="str">
        <f t="shared" ca="1" si="0"/>
        <v/>
      </c>
      <c r="F67" s="631" t="str">
        <f t="shared" ca="1" si="1"/>
        <v/>
      </c>
      <c r="G67" s="632" t="str">
        <f ca="1">IF(ROWS($1:54)&gt;COUNT(Dong13),"",OFFSET(TH!F$1,SMALL(Dong13,ROWS($1:54)),))</f>
        <v/>
      </c>
      <c r="H67" s="633" t="str">
        <f ca="1">IF(ROWS($1:54)&gt;COUNT(Dong13),"",OFFSET(TH!I$1,SMALL(Dong13,ROWS($1:54)),))</f>
        <v/>
      </c>
      <c r="I67" s="633" t="str">
        <f ca="1">IF(ROWS($1:54)&gt;COUNT(Dong13),"",OFFSET(TH!J$1,SMALL(Dong13,ROWS($1:54)),))</f>
        <v/>
      </c>
      <c r="J67" s="634">
        <f t="shared" ca="1" si="5"/>
        <v>0</v>
      </c>
      <c r="K67" s="636"/>
      <c r="L67" s="635"/>
      <c r="M67" s="614"/>
      <c r="N67" s="614"/>
    </row>
    <row r="68" spans="1:14" ht="27" customHeight="1">
      <c r="A68" s="213" t="str">
        <f ca="1">IF(ROWS($1:55)&gt;COUNT(Dong13),"",OFFSET(TH!E$1,SMALL(Dong13,ROWS($1:55)),))</f>
        <v/>
      </c>
      <c r="B68" s="216" t="str">
        <f ca="1">IF(ROWS($1:55)&gt;COUNT(Dong13),"",OFFSET(TH!H$1,SMALL(Dong13,ROWS($1:55)),))</f>
        <v/>
      </c>
      <c r="C68" s="630" t="str">
        <f t="shared" ca="1" si="2"/>
        <v/>
      </c>
      <c r="D68" s="630" t="str">
        <f ca="1">IF(ROWS($1:55)&gt;COUNT(Dong13),"",OFFSET(TH!D$1,SMALL(Dong13,ROWS($1:55)),))</f>
        <v/>
      </c>
      <c r="E68" s="907" t="str">
        <f t="shared" ca="1" si="0"/>
        <v/>
      </c>
      <c r="F68" s="631" t="str">
        <f t="shared" ca="1" si="1"/>
        <v/>
      </c>
      <c r="G68" s="632" t="str">
        <f ca="1">IF(ROWS($1:55)&gt;COUNT(Dong13),"",OFFSET(TH!F$1,SMALL(Dong13,ROWS($1:55)),))</f>
        <v/>
      </c>
      <c r="H68" s="633" t="str">
        <f ca="1">IF(ROWS($1:55)&gt;COUNT(Dong13),"",OFFSET(TH!I$1,SMALL(Dong13,ROWS($1:55)),))</f>
        <v/>
      </c>
      <c r="I68" s="633" t="str">
        <f ca="1">IF(ROWS($1:55)&gt;COUNT(Dong13),"",OFFSET(TH!J$1,SMALL(Dong13,ROWS($1:55)),))</f>
        <v/>
      </c>
      <c r="J68" s="634">
        <f t="shared" ca="1" si="5"/>
        <v>0</v>
      </c>
      <c r="K68" s="636"/>
      <c r="L68" s="635"/>
      <c r="M68" s="614"/>
      <c r="N68" s="614"/>
    </row>
    <row r="69" spans="1:14" ht="27" customHeight="1">
      <c r="A69" s="213" t="str">
        <f ca="1">IF(ROWS($1:56)&gt;COUNT(Dong13),"",OFFSET(TH!E$1,SMALL(Dong13,ROWS($1:56)),))</f>
        <v/>
      </c>
      <c r="B69" s="216" t="str">
        <f ca="1">IF(ROWS($1:56)&gt;COUNT(Dong13),"",OFFSET(TH!H$1,SMALL(Dong13,ROWS($1:56)),))</f>
        <v/>
      </c>
      <c r="C69" s="630" t="str">
        <f t="shared" ca="1" si="2"/>
        <v/>
      </c>
      <c r="D69" s="630" t="str">
        <f ca="1">IF(ROWS($1:56)&gt;COUNT(Dong13),"",OFFSET(TH!D$1,SMALL(Dong13,ROWS($1:56)),))</f>
        <v/>
      </c>
      <c r="E69" s="907" t="str">
        <f t="shared" ca="1" si="0"/>
        <v/>
      </c>
      <c r="F69" s="631" t="str">
        <f t="shared" ca="1" si="1"/>
        <v/>
      </c>
      <c r="G69" s="632" t="str">
        <f ca="1">IF(ROWS($1:56)&gt;COUNT(Dong13),"",OFFSET(TH!F$1,SMALL(Dong13,ROWS($1:56)),))</f>
        <v/>
      </c>
      <c r="H69" s="633" t="str">
        <f ca="1">IF(ROWS($1:56)&gt;COUNT(Dong13),"",OFFSET(TH!I$1,SMALL(Dong13,ROWS($1:56)),))</f>
        <v/>
      </c>
      <c r="I69" s="633" t="str">
        <f ca="1">IF(ROWS($1:56)&gt;COUNT(Dong13),"",OFFSET(TH!J$1,SMALL(Dong13,ROWS($1:56)),))</f>
        <v/>
      </c>
      <c r="J69" s="634">
        <f t="shared" ca="1" si="5"/>
        <v>0</v>
      </c>
      <c r="K69" s="636"/>
      <c r="L69" s="635"/>
      <c r="M69" s="614"/>
      <c r="N69" s="614"/>
    </row>
    <row r="70" spans="1:14" ht="27" customHeight="1">
      <c r="A70" s="213" t="str">
        <f ca="1">IF(ROWS($1:57)&gt;COUNT(Dong13),"",OFFSET(TH!E$1,SMALL(Dong13,ROWS($1:57)),))</f>
        <v/>
      </c>
      <c r="B70" s="216" t="str">
        <f ca="1">IF(ROWS($1:57)&gt;COUNT(Dong13),"",OFFSET(TH!H$1,SMALL(Dong13,ROWS($1:57)),))</f>
        <v/>
      </c>
      <c r="C70" s="630" t="str">
        <f t="shared" ca="1" si="2"/>
        <v/>
      </c>
      <c r="D70" s="630" t="str">
        <f ca="1">IF(ROWS($1:57)&gt;COUNT(Dong13),"",OFFSET(TH!D$1,SMALL(Dong13,ROWS($1:57)),))</f>
        <v/>
      </c>
      <c r="E70" s="907" t="str">
        <f t="shared" ca="1" si="0"/>
        <v/>
      </c>
      <c r="F70" s="631" t="str">
        <f t="shared" ca="1" si="1"/>
        <v/>
      </c>
      <c r="G70" s="632" t="str">
        <f ca="1">IF(ROWS($1:57)&gt;COUNT(Dong13),"",OFFSET(TH!F$1,SMALL(Dong13,ROWS($1:57)),))</f>
        <v/>
      </c>
      <c r="H70" s="633" t="str">
        <f ca="1">IF(ROWS($1:57)&gt;COUNT(Dong13),"",OFFSET(TH!I$1,SMALL(Dong13,ROWS($1:57)),))</f>
        <v/>
      </c>
      <c r="I70" s="633" t="str">
        <f ca="1">IF(ROWS($1:57)&gt;COUNT(Dong13),"",OFFSET(TH!J$1,SMALL(Dong13,ROWS($1:57)),))</f>
        <v/>
      </c>
      <c r="J70" s="634">
        <f t="shared" ca="1" si="5"/>
        <v>0</v>
      </c>
      <c r="K70" s="636"/>
      <c r="L70" s="635"/>
      <c r="M70" s="614"/>
      <c r="N70" s="614"/>
    </row>
    <row r="71" spans="1:14" ht="27" customHeight="1">
      <c r="A71" s="213" t="str">
        <f ca="1">IF(ROWS($1:58)&gt;COUNT(Dong13),"",OFFSET(TH!E$1,SMALL(Dong13,ROWS($1:58)),))</f>
        <v/>
      </c>
      <c r="B71" s="216" t="str">
        <f ca="1">IF(ROWS($1:58)&gt;COUNT(Dong13),"",OFFSET(TH!H$1,SMALL(Dong13,ROWS($1:58)),))</f>
        <v/>
      </c>
      <c r="C71" s="630" t="str">
        <f t="shared" ca="1" si="2"/>
        <v/>
      </c>
      <c r="D71" s="630" t="str">
        <f ca="1">IF(ROWS($1:58)&gt;COUNT(Dong13),"",OFFSET(TH!D$1,SMALL(Dong13,ROWS($1:58)),))</f>
        <v/>
      </c>
      <c r="E71" s="907" t="str">
        <f t="shared" ca="1" si="0"/>
        <v/>
      </c>
      <c r="F71" s="631" t="str">
        <f t="shared" ca="1" si="1"/>
        <v/>
      </c>
      <c r="G71" s="632" t="str">
        <f ca="1">IF(ROWS($1:58)&gt;COUNT(Dong13),"",OFFSET(TH!F$1,SMALL(Dong13,ROWS($1:58)),))</f>
        <v/>
      </c>
      <c r="H71" s="633" t="str">
        <f ca="1">IF(ROWS($1:58)&gt;COUNT(Dong13),"",OFFSET(TH!I$1,SMALL(Dong13,ROWS($1:58)),))</f>
        <v/>
      </c>
      <c r="I71" s="633" t="str">
        <f ca="1">IF(ROWS($1:58)&gt;COUNT(Dong13),"",OFFSET(TH!J$1,SMALL(Dong13,ROWS($1:58)),))</f>
        <v/>
      </c>
      <c r="J71" s="634">
        <f t="shared" ca="1" si="5"/>
        <v>0</v>
      </c>
      <c r="K71" s="636"/>
      <c r="L71" s="635"/>
      <c r="M71" s="614"/>
      <c r="N71" s="614"/>
    </row>
    <row r="72" spans="1:14" ht="27" customHeight="1">
      <c r="A72" s="213" t="str">
        <f ca="1">IF(ROWS($1:59)&gt;COUNT(Dong13),"",OFFSET(TH!E$1,SMALL(Dong13,ROWS($1:59)),))</f>
        <v/>
      </c>
      <c r="B72" s="216" t="str">
        <f ca="1">IF(ROWS($1:59)&gt;COUNT(Dong13),"",OFFSET(TH!H$1,SMALL(Dong13,ROWS($1:59)),))</f>
        <v/>
      </c>
      <c r="C72" s="630" t="str">
        <f t="shared" ca="1" si="2"/>
        <v/>
      </c>
      <c r="D72" s="630" t="str">
        <f ca="1">IF(ROWS($1:59)&gt;COUNT(Dong13),"",OFFSET(TH!D$1,SMALL(Dong13,ROWS($1:59)),))</f>
        <v/>
      </c>
      <c r="E72" s="907" t="str">
        <f t="shared" ca="1" si="0"/>
        <v/>
      </c>
      <c r="F72" s="631" t="str">
        <f t="shared" ca="1" si="1"/>
        <v/>
      </c>
      <c r="G72" s="632" t="str">
        <f ca="1">IF(ROWS($1:59)&gt;COUNT(Dong13),"",OFFSET(TH!F$1,SMALL(Dong13,ROWS($1:59)),))</f>
        <v/>
      </c>
      <c r="H72" s="633" t="str">
        <f ca="1">IF(ROWS($1:59)&gt;COUNT(Dong13),"",OFFSET(TH!I$1,SMALL(Dong13,ROWS($1:59)),))</f>
        <v/>
      </c>
      <c r="I72" s="633" t="str">
        <f ca="1">IF(ROWS($1:59)&gt;COUNT(Dong13),"",OFFSET(TH!J$1,SMALL(Dong13,ROWS($1:59)),))</f>
        <v/>
      </c>
      <c r="J72" s="634">
        <f t="shared" ca="1" si="5"/>
        <v>0</v>
      </c>
      <c r="K72" s="636"/>
      <c r="L72" s="635"/>
      <c r="M72" s="614"/>
      <c r="N72" s="614"/>
    </row>
    <row r="73" spans="1:14" ht="27" customHeight="1">
      <c r="A73" s="213" t="str">
        <f ca="1">IF(ROWS($1:60)&gt;COUNT(Dong13),"",OFFSET(TH!E$1,SMALL(Dong13,ROWS($1:60)),))</f>
        <v/>
      </c>
      <c r="B73" s="216" t="str">
        <f ca="1">IF(ROWS($1:60)&gt;COUNT(Dong13),"",OFFSET(TH!H$1,SMALL(Dong13,ROWS($1:60)),))</f>
        <v/>
      </c>
      <c r="C73" s="630" t="str">
        <f t="shared" ca="1" si="2"/>
        <v/>
      </c>
      <c r="D73" s="630" t="str">
        <f ca="1">IF(ROWS($1:60)&gt;COUNT(Dong13),"",OFFSET(TH!D$1,SMALL(Dong13,ROWS($1:60)),))</f>
        <v/>
      </c>
      <c r="E73" s="907" t="str">
        <f t="shared" ca="1" si="0"/>
        <v/>
      </c>
      <c r="F73" s="631" t="str">
        <f t="shared" ca="1" si="1"/>
        <v/>
      </c>
      <c r="G73" s="632" t="str">
        <f ca="1">IF(ROWS($1:60)&gt;COUNT(Dong13),"",OFFSET(TH!F$1,SMALL(Dong13,ROWS($1:60)),))</f>
        <v/>
      </c>
      <c r="H73" s="633" t="str">
        <f ca="1">IF(ROWS($1:60)&gt;COUNT(Dong13),"",OFFSET(TH!I$1,SMALL(Dong13,ROWS($1:60)),))</f>
        <v/>
      </c>
      <c r="I73" s="633" t="str">
        <f ca="1">IF(ROWS($1:60)&gt;COUNT(Dong13),"",OFFSET(TH!J$1,SMALL(Dong13,ROWS($1:60)),))</f>
        <v/>
      </c>
      <c r="J73" s="634">
        <f t="shared" ca="1" si="5"/>
        <v>0</v>
      </c>
      <c r="K73" s="636"/>
      <c r="L73" s="635"/>
      <c r="M73" s="614"/>
      <c r="N73" s="614"/>
    </row>
    <row r="74" spans="1:14" ht="27" customHeight="1">
      <c r="A74" s="213" t="str">
        <f ca="1">IF(ROWS($1:61)&gt;COUNT(Dong13),"",OFFSET(TH!E$1,SMALL(Dong13,ROWS($1:61)),))</f>
        <v/>
      </c>
      <c r="B74" s="216" t="str">
        <f ca="1">IF(ROWS($1:61)&gt;COUNT(Dong13),"",OFFSET(TH!H$1,SMALL(Dong13,ROWS($1:61)),))</f>
        <v/>
      </c>
      <c r="C74" s="630" t="str">
        <f t="shared" ca="1" si="2"/>
        <v/>
      </c>
      <c r="D74" s="630" t="str">
        <f ca="1">IF(ROWS($1:61)&gt;COUNT(Dong13),"",OFFSET(TH!D$1,SMALL(Dong13,ROWS($1:61)),))</f>
        <v/>
      </c>
      <c r="E74" s="907" t="str">
        <f t="shared" ca="1" si="0"/>
        <v/>
      </c>
      <c r="F74" s="631" t="str">
        <f t="shared" ca="1" si="1"/>
        <v/>
      </c>
      <c r="G74" s="632" t="str">
        <f ca="1">IF(ROWS($1:61)&gt;COUNT(Dong13),"",OFFSET(TH!F$1,SMALL(Dong13,ROWS($1:61)),))</f>
        <v/>
      </c>
      <c r="H74" s="633" t="str">
        <f ca="1">IF(ROWS($1:61)&gt;COUNT(Dong13),"",OFFSET(TH!I$1,SMALL(Dong13,ROWS($1:61)),))</f>
        <v/>
      </c>
      <c r="I74" s="633" t="str">
        <f ca="1">IF(ROWS($1:61)&gt;COUNT(Dong13),"",OFFSET(TH!J$1,SMALL(Dong13,ROWS($1:61)),))</f>
        <v/>
      </c>
      <c r="J74" s="634">
        <f t="shared" ca="1" si="5"/>
        <v>0</v>
      </c>
      <c r="K74" s="636"/>
      <c r="L74" s="635"/>
      <c r="M74" s="614"/>
      <c r="N74" s="614"/>
    </row>
    <row r="75" spans="1:14" ht="27" customHeight="1">
      <c r="A75" s="213" t="str">
        <f ca="1">IF(ROWS($1:62)&gt;COUNT(Dong13),"",OFFSET(TH!E$1,SMALL(Dong13,ROWS($1:62)),))</f>
        <v/>
      </c>
      <c r="B75" s="216" t="str">
        <f ca="1">IF(ROWS($1:62)&gt;COUNT(Dong13),"",OFFSET(TH!H$1,SMALL(Dong13,ROWS($1:62)),))</f>
        <v/>
      </c>
      <c r="C75" s="630" t="str">
        <f t="shared" ca="1" si="2"/>
        <v/>
      </c>
      <c r="D75" s="630" t="str">
        <f ca="1">IF(ROWS($1:62)&gt;COUNT(Dong13),"",OFFSET(TH!D$1,SMALL(Dong13,ROWS($1:62)),))</f>
        <v/>
      </c>
      <c r="E75" s="907" t="str">
        <f t="shared" ca="1" si="0"/>
        <v/>
      </c>
      <c r="F75" s="631" t="str">
        <f t="shared" ca="1" si="1"/>
        <v/>
      </c>
      <c r="G75" s="632" t="str">
        <f ca="1">IF(ROWS($1:62)&gt;COUNT(Dong13),"",OFFSET(TH!F$1,SMALL(Dong13,ROWS($1:62)),))</f>
        <v/>
      </c>
      <c r="H75" s="633" t="str">
        <f ca="1">IF(ROWS($1:62)&gt;COUNT(Dong13),"",OFFSET(TH!I$1,SMALL(Dong13,ROWS($1:62)),))</f>
        <v/>
      </c>
      <c r="I75" s="633" t="str">
        <f ca="1">IF(ROWS($1:62)&gt;COUNT(Dong13),"",OFFSET(TH!J$1,SMALL(Dong13,ROWS($1:62)),))</f>
        <v/>
      </c>
      <c r="J75" s="634">
        <f t="shared" ca="1" si="5"/>
        <v>0</v>
      </c>
      <c r="K75" s="636"/>
      <c r="L75" s="635"/>
      <c r="M75" s="614"/>
      <c r="N75" s="614"/>
    </row>
    <row r="76" spans="1:14" ht="27" customHeight="1">
      <c r="A76" s="213" t="str">
        <f ca="1">IF(ROWS($1:63)&gt;COUNT(Dong13),"",OFFSET(TH!E$1,SMALL(Dong13,ROWS($1:63)),))</f>
        <v/>
      </c>
      <c r="B76" s="216" t="str">
        <f ca="1">IF(ROWS($1:63)&gt;COUNT(Dong13),"",OFFSET(TH!H$1,SMALL(Dong13,ROWS($1:63)),))</f>
        <v/>
      </c>
      <c r="C76" s="630" t="str">
        <f t="shared" ca="1" si="2"/>
        <v/>
      </c>
      <c r="D76" s="630" t="str">
        <f ca="1">IF(ROWS($1:63)&gt;COUNT(Dong13),"",OFFSET(TH!D$1,SMALL(Dong13,ROWS($1:63)),))</f>
        <v/>
      </c>
      <c r="E76" s="907" t="str">
        <f t="shared" ca="1" si="0"/>
        <v/>
      </c>
      <c r="F76" s="631" t="str">
        <f t="shared" ca="1" si="1"/>
        <v/>
      </c>
      <c r="G76" s="632" t="str">
        <f ca="1">IF(ROWS($1:63)&gt;COUNT(Dong13),"",OFFSET(TH!F$1,SMALL(Dong13,ROWS($1:63)),))</f>
        <v/>
      </c>
      <c r="H76" s="633" t="str">
        <f ca="1">IF(ROWS($1:63)&gt;COUNT(Dong13),"",OFFSET(TH!I$1,SMALL(Dong13,ROWS($1:63)),))</f>
        <v/>
      </c>
      <c r="I76" s="633" t="str">
        <f ca="1">IF(ROWS($1:63)&gt;COUNT(Dong13),"",OFFSET(TH!J$1,SMALL(Dong13,ROWS($1:63)),))</f>
        <v/>
      </c>
      <c r="J76" s="634">
        <f t="shared" ca="1" si="5"/>
        <v>0</v>
      </c>
      <c r="K76" s="636"/>
      <c r="L76" s="635"/>
      <c r="M76" s="614"/>
      <c r="N76" s="614"/>
    </row>
    <row r="77" spans="1:14" ht="27" customHeight="1">
      <c r="A77" s="213" t="str">
        <f ca="1">IF(ROWS($1:64)&gt;COUNT(Dong13),"",OFFSET(TH!E$1,SMALL(Dong13,ROWS($1:64)),))</f>
        <v/>
      </c>
      <c r="B77" s="216" t="str">
        <f ca="1">IF(ROWS($1:64)&gt;COUNT(Dong13),"",OFFSET(TH!H$1,SMALL(Dong13,ROWS($1:64)),))</f>
        <v/>
      </c>
      <c r="C77" s="630" t="str">
        <f t="shared" ca="1" si="2"/>
        <v/>
      </c>
      <c r="D77" s="630" t="str">
        <f ca="1">IF(ROWS($1:64)&gt;COUNT(Dong13),"",OFFSET(TH!D$1,SMALL(Dong13,ROWS($1:64)),))</f>
        <v/>
      </c>
      <c r="E77" s="907" t="str">
        <f t="shared" ca="1" si="0"/>
        <v/>
      </c>
      <c r="F77" s="631" t="str">
        <f t="shared" ca="1" si="1"/>
        <v/>
      </c>
      <c r="G77" s="632" t="str">
        <f ca="1">IF(ROWS($1:64)&gt;COUNT(Dong13),"",OFFSET(TH!F$1,SMALL(Dong13,ROWS($1:64)),))</f>
        <v/>
      </c>
      <c r="H77" s="633" t="str">
        <f ca="1">IF(ROWS($1:64)&gt;COUNT(Dong13),"",OFFSET(TH!I$1,SMALL(Dong13,ROWS($1:64)),))</f>
        <v/>
      </c>
      <c r="I77" s="633" t="str">
        <f ca="1">IF(ROWS($1:64)&gt;COUNT(Dong13),"",OFFSET(TH!J$1,SMALL(Dong13,ROWS($1:64)),))</f>
        <v/>
      </c>
      <c r="J77" s="634">
        <f t="shared" ca="1" si="5"/>
        <v>0</v>
      </c>
      <c r="K77" s="636"/>
      <c r="L77" s="635"/>
      <c r="M77" s="614"/>
      <c r="N77" s="614"/>
    </row>
    <row r="78" spans="1:14" ht="27" customHeight="1">
      <c r="A78" s="213" t="str">
        <f ca="1">IF(ROWS($1:65)&gt;COUNT(Dong13),"",OFFSET(TH!E$1,SMALL(Dong13,ROWS($1:65)),))</f>
        <v/>
      </c>
      <c r="B78" s="216" t="str">
        <f ca="1">IF(ROWS($1:65)&gt;COUNT(Dong13),"",OFFSET(TH!H$1,SMALL(Dong13,ROWS($1:65)),))</f>
        <v/>
      </c>
      <c r="C78" s="630" t="str">
        <f t="shared" ca="1" si="2"/>
        <v/>
      </c>
      <c r="D78" s="630" t="str">
        <f ca="1">IF(ROWS($1:65)&gt;COUNT(Dong13),"",OFFSET(TH!D$1,SMALL(Dong13,ROWS($1:65)),))</f>
        <v/>
      </c>
      <c r="E78" s="907" t="str">
        <f t="shared" ca="1" si="0"/>
        <v/>
      </c>
      <c r="F78" s="631" t="str">
        <f t="shared" ca="1" si="1"/>
        <v/>
      </c>
      <c r="G78" s="632" t="str">
        <f ca="1">IF(ROWS($1:65)&gt;COUNT(Dong13),"",OFFSET(TH!F$1,SMALL(Dong13,ROWS($1:65)),))</f>
        <v/>
      </c>
      <c r="H78" s="633" t="str">
        <f ca="1">IF(ROWS($1:65)&gt;COUNT(Dong13),"",OFFSET(TH!I$1,SMALL(Dong13,ROWS($1:65)),))</f>
        <v/>
      </c>
      <c r="I78" s="633" t="str">
        <f ca="1">IF(ROWS($1:65)&gt;COUNT(Dong13),"",OFFSET(TH!J$1,SMALL(Dong13,ROWS($1:65)),))</f>
        <v/>
      </c>
      <c r="J78" s="634">
        <f t="shared" ca="1" si="5"/>
        <v>0</v>
      </c>
      <c r="K78" s="636"/>
      <c r="L78" s="635"/>
      <c r="M78" s="614"/>
      <c r="N78" s="614"/>
    </row>
    <row r="79" spans="1:14" ht="27" customHeight="1">
      <c r="A79" s="213" t="str">
        <f ca="1">IF(ROWS($1:66)&gt;COUNT(Dong13),"",OFFSET(TH!E$1,SMALL(Dong13,ROWS($1:66)),))</f>
        <v/>
      </c>
      <c r="B79" s="216" t="str">
        <f ca="1">IF(ROWS($1:66)&gt;COUNT(Dong13),"",OFFSET(TH!H$1,SMALL(Dong13,ROWS($1:66)),))</f>
        <v/>
      </c>
      <c r="C79" s="630" t="str">
        <f t="shared" ca="1" si="2"/>
        <v/>
      </c>
      <c r="D79" s="630" t="str">
        <f ca="1">IF(ROWS($1:66)&gt;COUNT(Dong13),"",OFFSET(TH!D$1,SMALL(Dong13,ROWS($1:66)),))</f>
        <v/>
      </c>
      <c r="E79" s="907" t="str">
        <f t="shared" ca="1" si="0"/>
        <v/>
      </c>
      <c r="F79" s="631" t="str">
        <f t="shared" ca="1" si="1"/>
        <v/>
      </c>
      <c r="G79" s="632" t="str">
        <f ca="1">IF(ROWS($1:66)&gt;COUNT(Dong13),"",OFFSET(TH!F$1,SMALL(Dong13,ROWS($1:66)),))</f>
        <v/>
      </c>
      <c r="H79" s="633" t="str">
        <f ca="1">IF(ROWS($1:66)&gt;COUNT(Dong13),"",OFFSET(TH!I$1,SMALL(Dong13,ROWS($1:66)),))</f>
        <v/>
      </c>
      <c r="I79" s="633" t="str">
        <f ca="1">IF(ROWS($1:66)&gt;COUNT(Dong13),"",OFFSET(TH!J$1,SMALL(Dong13,ROWS($1:66)),))</f>
        <v/>
      </c>
      <c r="J79" s="634">
        <f t="shared" ca="1" si="5"/>
        <v>0</v>
      </c>
      <c r="K79" s="636"/>
      <c r="L79" s="635"/>
      <c r="M79" s="614"/>
      <c r="N79" s="614"/>
    </row>
    <row r="80" spans="1:14" ht="27" customHeight="1">
      <c r="A80" s="213" t="str">
        <f ca="1">IF(ROWS($1:67)&gt;COUNT(Dong13),"",OFFSET(TH!E$1,SMALL(Dong13,ROWS($1:67)),))</f>
        <v/>
      </c>
      <c r="B80" s="216" t="str">
        <f ca="1">IF(ROWS($1:67)&gt;COUNT(Dong13),"",OFFSET(TH!H$1,SMALL(Dong13,ROWS($1:67)),))</f>
        <v/>
      </c>
      <c r="C80" s="630" t="str">
        <f t="shared" ca="1" si="2"/>
        <v/>
      </c>
      <c r="D80" s="630" t="str">
        <f ca="1">IF(ROWS($1:67)&gt;COUNT(Dong13),"",OFFSET(TH!D$1,SMALL(Dong13,ROWS($1:67)),))</f>
        <v/>
      </c>
      <c r="E80" s="907" t="str">
        <f t="shared" ca="1" si="0"/>
        <v/>
      </c>
      <c r="F80" s="631" t="str">
        <f t="shared" ca="1" si="1"/>
        <v/>
      </c>
      <c r="G80" s="632" t="str">
        <f ca="1">IF(ROWS($1:67)&gt;COUNT(Dong13),"",OFFSET(TH!F$1,SMALL(Dong13,ROWS($1:67)),))</f>
        <v/>
      </c>
      <c r="H80" s="633" t="str">
        <f ca="1">IF(ROWS($1:67)&gt;COUNT(Dong13),"",OFFSET(TH!I$1,SMALL(Dong13,ROWS($1:67)),))</f>
        <v/>
      </c>
      <c r="I80" s="633" t="str">
        <f ca="1">IF(ROWS($1:67)&gt;COUNT(Dong13),"",OFFSET(TH!J$1,SMALL(Dong13,ROWS($1:67)),))</f>
        <v/>
      </c>
      <c r="J80" s="634">
        <f t="shared" ca="1" si="5"/>
        <v>0</v>
      </c>
      <c r="K80" s="636"/>
      <c r="L80" s="635"/>
      <c r="M80" s="614"/>
      <c r="N80" s="614"/>
    </row>
    <row r="81" spans="1:14" ht="27" customHeight="1">
      <c r="A81" s="213" t="str">
        <f ca="1">IF(ROWS($1:68)&gt;COUNT(Dong13),"",OFFSET(TH!E$1,SMALL(Dong13,ROWS($1:68)),))</f>
        <v/>
      </c>
      <c r="B81" s="216" t="str">
        <f ca="1">IF(ROWS($1:68)&gt;COUNT(Dong13),"",OFFSET(TH!H$1,SMALL(Dong13,ROWS($1:68)),))</f>
        <v/>
      </c>
      <c r="C81" s="630" t="str">
        <f t="shared" ca="1" si="2"/>
        <v/>
      </c>
      <c r="D81" s="630" t="str">
        <f ca="1">IF(ROWS($1:68)&gt;COUNT(Dong13),"",OFFSET(TH!D$1,SMALL(Dong13,ROWS($1:68)),))</f>
        <v/>
      </c>
      <c r="E81" s="907" t="str">
        <f t="shared" ca="1" si="0"/>
        <v/>
      </c>
      <c r="F81" s="631" t="str">
        <f t="shared" ca="1" si="1"/>
        <v/>
      </c>
      <c r="G81" s="632" t="str">
        <f ca="1">IF(ROWS($1:68)&gt;COUNT(Dong13),"",OFFSET(TH!F$1,SMALL(Dong13,ROWS($1:68)),))</f>
        <v/>
      </c>
      <c r="H81" s="633" t="str">
        <f ca="1">IF(ROWS($1:68)&gt;COUNT(Dong13),"",OFFSET(TH!I$1,SMALL(Dong13,ROWS($1:68)),))</f>
        <v/>
      </c>
      <c r="I81" s="633" t="str">
        <f ca="1">IF(ROWS($1:68)&gt;COUNT(Dong13),"",OFFSET(TH!J$1,SMALL(Dong13,ROWS($1:68)),))</f>
        <v/>
      </c>
      <c r="J81" s="634">
        <f t="shared" ca="1" si="5"/>
        <v>0</v>
      </c>
      <c r="K81" s="636"/>
      <c r="L81" s="635"/>
      <c r="M81" s="614"/>
      <c r="N81" s="614"/>
    </row>
    <row r="82" spans="1:14" ht="27" customHeight="1">
      <c r="A82" s="213" t="str">
        <f ca="1">IF(ROWS($1:69)&gt;COUNT(Dong13),"",OFFSET(TH!E$1,SMALL(Dong13,ROWS($1:69)),))</f>
        <v/>
      </c>
      <c r="B82" s="216" t="str">
        <f ca="1">IF(ROWS($1:69)&gt;COUNT(Dong13),"",OFFSET(TH!H$1,SMALL(Dong13,ROWS($1:69)),))</f>
        <v/>
      </c>
      <c r="C82" s="630" t="str">
        <f t="shared" ca="1" si="2"/>
        <v/>
      </c>
      <c r="D82" s="630" t="str">
        <f ca="1">IF(ROWS($1:69)&gt;COUNT(Dong13),"",OFFSET(TH!D$1,SMALL(Dong13,ROWS($1:69)),))</f>
        <v/>
      </c>
      <c r="E82" s="907" t="str">
        <f t="shared" ca="1" si="0"/>
        <v/>
      </c>
      <c r="F82" s="631" t="str">
        <f t="shared" ca="1" si="1"/>
        <v/>
      </c>
      <c r="G82" s="632" t="str">
        <f ca="1">IF(ROWS($1:69)&gt;COUNT(Dong13),"",OFFSET(TH!F$1,SMALL(Dong13,ROWS($1:69)),))</f>
        <v/>
      </c>
      <c r="H82" s="633" t="str">
        <f ca="1">IF(ROWS($1:69)&gt;COUNT(Dong13),"",OFFSET(TH!I$1,SMALL(Dong13,ROWS($1:69)),))</f>
        <v/>
      </c>
      <c r="I82" s="633" t="str">
        <f ca="1">IF(ROWS($1:69)&gt;COUNT(Dong13),"",OFFSET(TH!J$1,SMALL(Dong13,ROWS($1:69)),))</f>
        <v/>
      </c>
      <c r="J82" s="634">
        <f t="shared" ca="1" si="5"/>
        <v>0</v>
      </c>
      <c r="K82" s="636"/>
      <c r="L82" s="635"/>
      <c r="M82" s="614"/>
      <c r="N82" s="614"/>
    </row>
    <row r="83" spans="1:14" ht="27" customHeight="1">
      <c r="A83" s="213" t="str">
        <f ca="1">IF(ROWS($1:70)&gt;COUNT(Dong13),"",OFFSET(TH!E$1,SMALL(Dong13,ROWS($1:70)),))</f>
        <v/>
      </c>
      <c r="B83" s="216" t="str">
        <f ca="1">IF(ROWS($1:70)&gt;COUNT(Dong13),"",OFFSET(TH!H$1,SMALL(Dong13,ROWS($1:70)),))</f>
        <v/>
      </c>
      <c r="C83" s="630" t="str">
        <f t="shared" ca="1" si="2"/>
        <v/>
      </c>
      <c r="D83" s="630" t="str">
        <f ca="1">IF(ROWS($1:70)&gt;COUNT(Dong13),"",OFFSET(TH!D$1,SMALL(Dong13,ROWS($1:70)),))</f>
        <v/>
      </c>
      <c r="E83" s="907" t="str">
        <f t="shared" ca="1" si="0"/>
        <v/>
      </c>
      <c r="F83" s="631" t="str">
        <f t="shared" ca="1" si="1"/>
        <v/>
      </c>
      <c r="G83" s="632" t="str">
        <f ca="1">IF(ROWS($1:70)&gt;COUNT(Dong13),"",OFFSET(TH!F$1,SMALL(Dong13,ROWS($1:70)),))</f>
        <v/>
      </c>
      <c r="H83" s="633" t="str">
        <f ca="1">IF(ROWS($1:70)&gt;COUNT(Dong13),"",OFFSET(TH!I$1,SMALL(Dong13,ROWS($1:70)),))</f>
        <v/>
      </c>
      <c r="I83" s="633" t="str">
        <f ca="1">IF(ROWS($1:70)&gt;COUNT(Dong13),"",OFFSET(TH!J$1,SMALL(Dong13,ROWS($1:70)),))</f>
        <v/>
      </c>
      <c r="J83" s="634">
        <f t="shared" ca="1" si="5"/>
        <v>0</v>
      </c>
      <c r="K83" s="636"/>
      <c r="L83" s="635"/>
      <c r="M83" s="614"/>
      <c r="N83" s="614"/>
    </row>
    <row r="84" spans="1:14" ht="27" customHeight="1">
      <c r="A84" s="213" t="str">
        <f ca="1">IF(ROWS($1:71)&gt;COUNT(Dong13),"",OFFSET(TH!E$1,SMALL(Dong13,ROWS($1:71)),))</f>
        <v/>
      </c>
      <c r="B84" s="216" t="str">
        <f ca="1">IF(ROWS($1:71)&gt;COUNT(Dong13),"",OFFSET(TH!H$1,SMALL(Dong13,ROWS($1:71)),))</f>
        <v/>
      </c>
      <c r="C84" s="630" t="str">
        <f t="shared" ca="1" si="2"/>
        <v/>
      </c>
      <c r="D84" s="630" t="str">
        <f ca="1">IF(ROWS($1:71)&gt;COUNT(Dong13),"",OFFSET(TH!D$1,SMALL(Dong13,ROWS($1:71)),))</f>
        <v/>
      </c>
      <c r="E84" s="907" t="str">
        <f t="shared" ca="1" si="0"/>
        <v/>
      </c>
      <c r="F84" s="631" t="str">
        <f t="shared" ca="1" si="1"/>
        <v/>
      </c>
      <c r="G84" s="632" t="str">
        <f ca="1">IF(ROWS($1:71)&gt;COUNT(Dong13),"",OFFSET(TH!F$1,SMALL(Dong13,ROWS($1:71)),))</f>
        <v/>
      </c>
      <c r="H84" s="633" t="str">
        <f ca="1">IF(ROWS($1:71)&gt;COUNT(Dong13),"",OFFSET(TH!I$1,SMALL(Dong13,ROWS($1:71)),))</f>
        <v/>
      </c>
      <c r="I84" s="633" t="str">
        <f ca="1">IF(ROWS($1:71)&gt;COUNT(Dong13),"",OFFSET(TH!J$1,SMALL(Dong13,ROWS($1:71)),))</f>
        <v/>
      </c>
      <c r="J84" s="634">
        <f t="shared" ca="1" si="5"/>
        <v>0</v>
      </c>
      <c r="K84" s="636"/>
      <c r="L84" s="635"/>
      <c r="M84" s="614"/>
      <c r="N84" s="614"/>
    </row>
    <row r="85" spans="1:14" ht="27" customHeight="1">
      <c r="A85" s="213" t="str">
        <f ca="1">IF(ROWS($1:72)&gt;COUNT(Dong13),"",OFFSET(TH!E$1,SMALL(Dong13,ROWS($1:72)),))</f>
        <v/>
      </c>
      <c r="B85" s="216" t="str">
        <f ca="1">IF(ROWS($1:72)&gt;COUNT(Dong13),"",OFFSET(TH!H$1,SMALL(Dong13,ROWS($1:72)),))</f>
        <v/>
      </c>
      <c r="C85" s="630" t="str">
        <f t="shared" ca="1" si="2"/>
        <v/>
      </c>
      <c r="D85" s="630" t="str">
        <f ca="1">IF(ROWS($1:72)&gt;COUNT(Dong13),"",OFFSET(TH!D$1,SMALL(Dong13,ROWS($1:72)),))</f>
        <v/>
      </c>
      <c r="E85" s="907" t="str">
        <f t="shared" ca="1" si="0"/>
        <v/>
      </c>
      <c r="F85" s="631" t="str">
        <f t="shared" ca="1" si="1"/>
        <v/>
      </c>
      <c r="G85" s="632" t="str">
        <f ca="1">IF(ROWS($1:72)&gt;COUNT(Dong13),"",OFFSET(TH!F$1,SMALL(Dong13,ROWS($1:72)),))</f>
        <v/>
      </c>
      <c r="H85" s="633" t="str">
        <f ca="1">IF(ROWS($1:72)&gt;COUNT(Dong13),"",OFFSET(TH!I$1,SMALL(Dong13,ROWS($1:72)),))</f>
        <v/>
      </c>
      <c r="I85" s="633" t="str">
        <f ca="1">IF(ROWS($1:72)&gt;COUNT(Dong13),"",OFFSET(TH!J$1,SMALL(Dong13,ROWS($1:72)),))</f>
        <v/>
      </c>
      <c r="J85" s="634">
        <f t="shared" ca="1" si="5"/>
        <v>0</v>
      </c>
      <c r="K85" s="636"/>
      <c r="L85" s="635"/>
      <c r="M85" s="614"/>
      <c r="N85" s="614"/>
    </row>
    <row r="86" spans="1:14" ht="27" customHeight="1">
      <c r="A86" s="213" t="str">
        <f ca="1">IF(ROWS($1:73)&gt;COUNT(Dong13),"",OFFSET(TH!E$1,SMALL(Dong13,ROWS($1:73)),))</f>
        <v/>
      </c>
      <c r="B86" s="216" t="str">
        <f ca="1">IF(ROWS($1:73)&gt;COUNT(Dong13),"",OFFSET(TH!H$1,SMALL(Dong13,ROWS($1:73)),))</f>
        <v/>
      </c>
      <c r="C86" s="630" t="str">
        <f t="shared" ca="1" si="2"/>
        <v/>
      </c>
      <c r="D86" s="630" t="str">
        <f ca="1">IF(ROWS($1:73)&gt;COUNT(Dong13),"",OFFSET(TH!D$1,SMALL(Dong13,ROWS($1:73)),))</f>
        <v/>
      </c>
      <c r="E86" s="907" t="str">
        <f t="shared" ca="1" si="0"/>
        <v/>
      </c>
      <c r="F86" s="631" t="str">
        <f t="shared" ca="1" si="1"/>
        <v/>
      </c>
      <c r="G86" s="632" t="str">
        <f ca="1">IF(ROWS($1:73)&gt;COUNT(Dong13),"",OFFSET(TH!F$1,SMALL(Dong13,ROWS($1:73)),))</f>
        <v/>
      </c>
      <c r="H86" s="633" t="str">
        <f ca="1">IF(ROWS($1:73)&gt;COUNT(Dong13),"",OFFSET(TH!I$1,SMALL(Dong13,ROWS($1:73)),))</f>
        <v/>
      </c>
      <c r="I86" s="633" t="str">
        <f ca="1">IF(ROWS($1:73)&gt;COUNT(Dong13),"",OFFSET(TH!J$1,SMALL(Dong13,ROWS($1:73)),))</f>
        <v/>
      </c>
      <c r="J86" s="634">
        <f t="shared" ca="1" si="5"/>
        <v>0</v>
      </c>
      <c r="K86" s="636"/>
      <c r="L86" s="635"/>
      <c r="M86" s="614"/>
      <c r="N86" s="614"/>
    </row>
    <row r="87" spans="1:14" ht="27" customHeight="1">
      <c r="A87" s="213" t="str">
        <f ca="1">IF(ROWS($1:74)&gt;COUNT(Dong13),"",OFFSET(TH!E$1,SMALL(Dong13,ROWS($1:74)),))</f>
        <v/>
      </c>
      <c r="B87" s="216" t="str">
        <f ca="1">IF(ROWS($1:74)&gt;COUNT(Dong13),"",OFFSET(TH!H$1,SMALL(Dong13,ROWS($1:74)),))</f>
        <v/>
      </c>
      <c r="C87" s="630" t="str">
        <f t="shared" ca="1" si="2"/>
        <v/>
      </c>
      <c r="D87" s="630" t="str">
        <f ca="1">IF(ROWS($1:74)&gt;COUNT(Dong13),"",OFFSET(TH!D$1,SMALL(Dong13,ROWS($1:74)),))</f>
        <v/>
      </c>
      <c r="E87" s="907" t="str">
        <f t="shared" ca="1" si="0"/>
        <v/>
      </c>
      <c r="F87" s="631" t="str">
        <f t="shared" ca="1" si="1"/>
        <v/>
      </c>
      <c r="G87" s="632" t="str">
        <f ca="1">IF(ROWS($1:74)&gt;COUNT(Dong13),"",OFFSET(TH!F$1,SMALL(Dong13,ROWS($1:74)),))</f>
        <v/>
      </c>
      <c r="H87" s="633" t="str">
        <f ca="1">IF(ROWS($1:74)&gt;COUNT(Dong13),"",OFFSET(TH!I$1,SMALL(Dong13,ROWS($1:74)),))</f>
        <v/>
      </c>
      <c r="I87" s="633" t="str">
        <f ca="1">IF(ROWS($1:74)&gt;COUNT(Dong13),"",OFFSET(TH!J$1,SMALL(Dong13,ROWS($1:74)),))</f>
        <v/>
      </c>
      <c r="J87" s="634">
        <f t="shared" ca="1" si="5"/>
        <v>0</v>
      </c>
      <c r="K87" s="636"/>
      <c r="L87" s="635"/>
      <c r="M87" s="614"/>
      <c r="N87" s="614"/>
    </row>
    <row r="88" spans="1:14" ht="27" customHeight="1">
      <c r="A88" s="213" t="str">
        <f ca="1">IF(ROWS($1:75)&gt;COUNT(Dong13),"",OFFSET(TH!E$1,SMALL(Dong13,ROWS($1:75)),))</f>
        <v/>
      </c>
      <c r="B88" s="216" t="str">
        <f ca="1">IF(ROWS($1:75)&gt;COUNT(Dong13),"",OFFSET(TH!H$1,SMALL(Dong13,ROWS($1:75)),))</f>
        <v/>
      </c>
      <c r="C88" s="630" t="str">
        <f t="shared" ca="1" si="2"/>
        <v/>
      </c>
      <c r="D88" s="630" t="str">
        <f ca="1">IF(ROWS($1:75)&gt;COUNT(Dong13),"",OFFSET(TH!D$1,SMALL(Dong13,ROWS($1:75)),))</f>
        <v/>
      </c>
      <c r="E88" s="907" t="str">
        <f t="shared" ca="1" si="0"/>
        <v/>
      </c>
      <c r="F88" s="631" t="str">
        <f t="shared" ca="1" si="1"/>
        <v/>
      </c>
      <c r="G88" s="632" t="str">
        <f ca="1">IF(ROWS($1:75)&gt;COUNT(Dong13),"",OFFSET(TH!F$1,SMALL(Dong13,ROWS($1:75)),))</f>
        <v/>
      </c>
      <c r="H88" s="633" t="str">
        <f ca="1">IF(ROWS($1:75)&gt;COUNT(Dong13),"",OFFSET(TH!I$1,SMALL(Dong13,ROWS($1:75)),))</f>
        <v/>
      </c>
      <c r="I88" s="633" t="str">
        <f ca="1">IF(ROWS($1:75)&gt;COUNT(Dong13),"",OFFSET(TH!J$1,SMALL(Dong13,ROWS($1:75)),))</f>
        <v/>
      </c>
      <c r="J88" s="634">
        <f t="shared" ca="1" si="5"/>
        <v>0</v>
      </c>
      <c r="K88" s="636"/>
      <c r="L88" s="635"/>
      <c r="M88" s="614"/>
      <c r="N88" s="614"/>
    </row>
    <row r="89" spans="1:14" ht="27" customHeight="1">
      <c r="A89" s="213" t="str">
        <f ca="1">IF(ROWS($1:76)&gt;COUNT(Dong13),"",OFFSET(TH!E$1,SMALL(Dong13,ROWS($1:76)),))</f>
        <v/>
      </c>
      <c r="B89" s="216" t="str">
        <f ca="1">IF(ROWS($1:76)&gt;COUNT(Dong13),"",OFFSET(TH!H$1,SMALL(Dong13,ROWS($1:76)),))</f>
        <v/>
      </c>
      <c r="C89" s="630" t="str">
        <f t="shared" ca="1" si="2"/>
        <v/>
      </c>
      <c r="D89" s="630" t="str">
        <f ca="1">IF(ROWS($1:76)&gt;COUNT(Dong13),"",OFFSET(TH!D$1,SMALL(Dong13,ROWS($1:76)),))</f>
        <v/>
      </c>
      <c r="E89" s="907" t="str">
        <f t="shared" ca="1" si="0"/>
        <v/>
      </c>
      <c r="F89" s="631" t="str">
        <f t="shared" ca="1" si="1"/>
        <v/>
      </c>
      <c r="G89" s="632" t="str">
        <f ca="1">IF(ROWS($1:76)&gt;COUNT(Dong13),"",OFFSET(TH!F$1,SMALL(Dong13,ROWS($1:76)),))</f>
        <v/>
      </c>
      <c r="H89" s="633" t="str">
        <f ca="1">IF(ROWS($1:76)&gt;COUNT(Dong13),"",OFFSET(TH!I$1,SMALL(Dong13,ROWS($1:76)),))</f>
        <v/>
      </c>
      <c r="I89" s="633" t="str">
        <f ca="1">IF(ROWS($1:76)&gt;COUNT(Dong13),"",OFFSET(TH!J$1,SMALL(Dong13,ROWS($1:76)),))</f>
        <v/>
      </c>
      <c r="J89" s="634">
        <f t="shared" ca="1" si="5"/>
        <v>0</v>
      </c>
      <c r="K89" s="636"/>
      <c r="L89" s="635"/>
      <c r="M89" s="614"/>
      <c r="N89" s="614"/>
    </row>
    <row r="90" spans="1:14" ht="27" customHeight="1">
      <c r="A90" s="213" t="str">
        <f ca="1">IF(ROWS($1:77)&gt;COUNT(Dong13),"",OFFSET(TH!E$1,SMALL(Dong13,ROWS($1:77)),))</f>
        <v/>
      </c>
      <c r="B90" s="216" t="str">
        <f ca="1">IF(ROWS($1:77)&gt;COUNT(Dong13),"",OFFSET(TH!H$1,SMALL(Dong13,ROWS($1:77)),))</f>
        <v/>
      </c>
      <c r="C90" s="630" t="str">
        <f t="shared" ca="1" si="2"/>
        <v/>
      </c>
      <c r="D90" s="630" t="str">
        <f ca="1">IF(ROWS($1:77)&gt;COUNT(Dong13),"",OFFSET(TH!D$1,SMALL(Dong13,ROWS($1:77)),))</f>
        <v/>
      </c>
      <c r="E90" s="907" t="str">
        <f t="shared" ca="1" si="0"/>
        <v/>
      </c>
      <c r="F90" s="631" t="str">
        <f t="shared" ca="1" si="1"/>
        <v/>
      </c>
      <c r="G90" s="632" t="str">
        <f ca="1">IF(ROWS($1:77)&gt;COUNT(Dong13),"",OFFSET(TH!F$1,SMALL(Dong13,ROWS($1:77)),))</f>
        <v/>
      </c>
      <c r="H90" s="633" t="str">
        <f ca="1">IF(ROWS($1:77)&gt;COUNT(Dong13),"",OFFSET(TH!I$1,SMALL(Dong13,ROWS($1:77)),))</f>
        <v/>
      </c>
      <c r="I90" s="633" t="str">
        <f ca="1">IF(ROWS($1:77)&gt;COUNT(Dong13),"",OFFSET(TH!J$1,SMALL(Dong13,ROWS($1:77)),))</f>
        <v/>
      </c>
      <c r="J90" s="634">
        <f t="shared" ca="1" si="5"/>
        <v>0</v>
      </c>
      <c r="K90" s="636"/>
      <c r="L90" s="635"/>
      <c r="M90" s="614"/>
      <c r="N90" s="614"/>
    </row>
    <row r="91" spans="1:14" ht="27" customHeight="1">
      <c r="A91" s="213" t="str">
        <f ca="1">IF(ROWS($1:78)&gt;COUNT(Dong13),"",OFFSET(TH!E$1,SMALL(Dong13,ROWS($1:78)),))</f>
        <v/>
      </c>
      <c r="B91" s="216" t="str">
        <f ca="1">IF(ROWS($1:78)&gt;COUNT(Dong13),"",OFFSET(TH!H$1,SMALL(Dong13,ROWS($1:78)),))</f>
        <v/>
      </c>
      <c r="C91" s="630" t="str">
        <f t="shared" ca="1" si="2"/>
        <v/>
      </c>
      <c r="D91" s="630" t="str">
        <f ca="1">IF(ROWS($1:78)&gt;COUNT(Dong13),"",OFFSET(TH!D$1,SMALL(Dong13,ROWS($1:78)),))</f>
        <v/>
      </c>
      <c r="E91" s="907" t="str">
        <f t="shared" ca="1" si="0"/>
        <v/>
      </c>
      <c r="F91" s="631" t="str">
        <f t="shared" ca="1" si="1"/>
        <v/>
      </c>
      <c r="G91" s="632" t="str">
        <f ca="1">IF(ROWS($1:78)&gt;COUNT(Dong13),"",OFFSET(TH!F$1,SMALL(Dong13,ROWS($1:78)),))</f>
        <v/>
      </c>
      <c r="H91" s="633" t="str">
        <f ca="1">IF(ROWS($1:78)&gt;COUNT(Dong13),"",OFFSET(TH!I$1,SMALL(Dong13,ROWS($1:78)),))</f>
        <v/>
      </c>
      <c r="I91" s="633" t="str">
        <f ca="1">IF(ROWS($1:78)&gt;COUNT(Dong13),"",OFFSET(TH!J$1,SMALL(Dong13,ROWS($1:78)),))</f>
        <v/>
      </c>
      <c r="J91" s="634">
        <f t="shared" ca="1" si="5"/>
        <v>0</v>
      </c>
      <c r="K91" s="636"/>
      <c r="L91" s="635"/>
      <c r="M91" s="614"/>
      <c r="N91" s="614"/>
    </row>
    <row r="92" spans="1:14" ht="27" customHeight="1">
      <c r="A92" s="213" t="str">
        <f ca="1">IF(ROWS($1:79)&gt;COUNT(Dong13),"",OFFSET(TH!E$1,SMALL(Dong13,ROWS($1:79)),))</f>
        <v/>
      </c>
      <c r="B92" s="216" t="str">
        <f ca="1">IF(ROWS($1:79)&gt;COUNT(Dong13),"",OFFSET(TH!H$1,SMALL(Dong13,ROWS($1:79)),))</f>
        <v/>
      </c>
      <c r="C92" s="630" t="str">
        <f t="shared" ca="1" si="2"/>
        <v/>
      </c>
      <c r="D92" s="630" t="str">
        <f ca="1">IF(ROWS($1:79)&gt;COUNT(Dong13),"",OFFSET(TH!D$1,SMALL(Dong13,ROWS($1:79)),))</f>
        <v/>
      </c>
      <c r="E92" s="907" t="str">
        <f t="shared" ca="1" si="0"/>
        <v/>
      </c>
      <c r="F92" s="631" t="str">
        <f t="shared" ca="1" si="1"/>
        <v/>
      </c>
      <c r="G92" s="632" t="str">
        <f ca="1">IF(ROWS($1:79)&gt;COUNT(Dong13),"",OFFSET(TH!F$1,SMALL(Dong13,ROWS($1:79)),))</f>
        <v/>
      </c>
      <c r="H92" s="633" t="str">
        <f ca="1">IF(ROWS($1:79)&gt;COUNT(Dong13),"",OFFSET(TH!I$1,SMALL(Dong13,ROWS($1:79)),))</f>
        <v/>
      </c>
      <c r="I92" s="633" t="str">
        <f ca="1">IF(ROWS($1:79)&gt;COUNT(Dong13),"",OFFSET(TH!J$1,SMALL(Dong13,ROWS($1:79)),))</f>
        <v/>
      </c>
      <c r="J92" s="634">
        <f t="shared" ca="1" si="5"/>
        <v>0</v>
      </c>
      <c r="K92" s="636"/>
      <c r="L92" s="635"/>
      <c r="M92" s="614"/>
      <c r="N92" s="614"/>
    </row>
    <row r="93" spans="1:14" ht="27" customHeight="1">
      <c r="A93" s="213" t="str">
        <f ca="1">IF(ROWS($1:80)&gt;COUNT(Dong13),"",OFFSET(TH!E$1,SMALL(Dong13,ROWS($1:80)),))</f>
        <v/>
      </c>
      <c r="B93" s="216" t="str">
        <f ca="1">IF(ROWS($1:80)&gt;COUNT(Dong13),"",OFFSET(TH!H$1,SMALL(Dong13,ROWS($1:80)),))</f>
        <v/>
      </c>
      <c r="C93" s="630" t="str">
        <f t="shared" ca="1" si="2"/>
        <v/>
      </c>
      <c r="D93" s="630" t="str">
        <f ca="1">IF(ROWS($1:80)&gt;COUNT(Dong13),"",OFFSET(TH!D$1,SMALL(Dong13,ROWS($1:80)),))</f>
        <v/>
      </c>
      <c r="E93" s="907" t="str">
        <f t="shared" ca="1" si="0"/>
        <v/>
      </c>
      <c r="F93" s="631" t="str">
        <f t="shared" ca="1" si="1"/>
        <v/>
      </c>
      <c r="G93" s="632" t="str">
        <f ca="1">IF(ROWS($1:80)&gt;COUNT(Dong13),"",OFFSET(TH!F$1,SMALL(Dong13,ROWS($1:80)),))</f>
        <v/>
      </c>
      <c r="H93" s="633" t="str">
        <f ca="1">IF(ROWS($1:80)&gt;COUNT(Dong13),"",OFFSET(TH!I$1,SMALL(Dong13,ROWS($1:80)),))</f>
        <v/>
      </c>
      <c r="I93" s="633" t="str">
        <f ca="1">IF(ROWS($1:80)&gt;COUNT(Dong13),"",OFFSET(TH!J$1,SMALL(Dong13,ROWS($1:80)),))</f>
        <v/>
      </c>
      <c r="J93" s="634">
        <f t="shared" ca="1" si="5"/>
        <v>0</v>
      </c>
      <c r="K93" s="636"/>
      <c r="L93" s="635"/>
      <c r="M93" s="614"/>
      <c r="N93" s="614"/>
    </row>
    <row r="94" spans="1:14" ht="27" customHeight="1">
      <c r="A94" s="213" t="str">
        <f ca="1">IF(ROWS($1:81)&gt;COUNT(Dong13),"",OFFSET(TH!E$1,SMALL(Dong13,ROWS($1:81)),))</f>
        <v/>
      </c>
      <c r="B94" s="216" t="str">
        <f ca="1">IF(ROWS($1:81)&gt;COUNT(Dong13),"",OFFSET(TH!H$1,SMALL(Dong13,ROWS($1:81)),))</f>
        <v/>
      </c>
      <c r="C94" s="630" t="str">
        <f t="shared" ca="1" si="2"/>
        <v/>
      </c>
      <c r="D94" s="630" t="str">
        <f ca="1">IF(ROWS($1:81)&gt;COUNT(Dong13),"",OFFSET(TH!D$1,SMALL(Dong13,ROWS($1:81)),))</f>
        <v/>
      </c>
      <c r="E94" s="907" t="str">
        <f t="shared" ca="1" si="0"/>
        <v/>
      </c>
      <c r="F94" s="631" t="str">
        <f t="shared" ca="1" si="1"/>
        <v/>
      </c>
      <c r="G94" s="632" t="str">
        <f ca="1">IF(ROWS($1:81)&gt;COUNT(Dong13),"",OFFSET(TH!F$1,SMALL(Dong13,ROWS($1:81)),))</f>
        <v/>
      </c>
      <c r="H94" s="633" t="str">
        <f ca="1">IF(ROWS($1:81)&gt;COUNT(Dong13),"",OFFSET(TH!I$1,SMALL(Dong13,ROWS($1:81)),))</f>
        <v/>
      </c>
      <c r="I94" s="633" t="str">
        <f ca="1">IF(ROWS($1:81)&gt;COUNT(Dong13),"",OFFSET(TH!J$1,SMALL(Dong13,ROWS($1:81)),))</f>
        <v/>
      </c>
      <c r="J94" s="634">
        <f t="shared" ca="1" si="5"/>
        <v>0</v>
      </c>
      <c r="K94" s="636"/>
      <c r="L94" s="635"/>
      <c r="M94" s="614"/>
      <c r="N94" s="614"/>
    </row>
    <row r="95" spans="1:14" ht="27" customHeight="1">
      <c r="A95" s="213" t="str">
        <f ca="1">IF(ROWS($1:82)&gt;COUNT(Dong13),"",OFFSET(TH!E$1,SMALL(Dong13,ROWS($1:82)),))</f>
        <v/>
      </c>
      <c r="B95" s="216" t="str">
        <f ca="1">IF(ROWS($1:82)&gt;COUNT(Dong13),"",OFFSET(TH!H$1,SMALL(Dong13,ROWS($1:82)),))</f>
        <v/>
      </c>
      <c r="C95" s="630" t="str">
        <f t="shared" ca="1" si="2"/>
        <v/>
      </c>
      <c r="D95" s="630" t="str">
        <f ca="1">IF(ROWS($1:82)&gt;COUNT(Dong13),"",OFFSET(TH!D$1,SMALL(Dong13,ROWS($1:82)),))</f>
        <v/>
      </c>
      <c r="E95" s="907" t="str">
        <f t="shared" ca="1" si="0"/>
        <v/>
      </c>
      <c r="F95" s="631" t="str">
        <f t="shared" ca="1" si="1"/>
        <v/>
      </c>
      <c r="G95" s="632" t="str">
        <f ca="1">IF(ROWS($1:82)&gt;COUNT(Dong13),"",OFFSET(TH!F$1,SMALL(Dong13,ROWS($1:82)),))</f>
        <v/>
      </c>
      <c r="H95" s="633" t="str">
        <f ca="1">IF(ROWS($1:82)&gt;COUNT(Dong13),"",OFFSET(TH!I$1,SMALL(Dong13,ROWS($1:82)),))</f>
        <v/>
      </c>
      <c r="I95" s="633" t="str">
        <f ca="1">IF(ROWS($1:82)&gt;COUNT(Dong13),"",OFFSET(TH!J$1,SMALL(Dong13,ROWS($1:82)),))</f>
        <v/>
      </c>
      <c r="J95" s="634">
        <f t="shared" ref="J95:J109" ca="1" si="6">IF(B95&lt;&gt;"",H95*I95,0)</f>
        <v>0</v>
      </c>
      <c r="K95" s="636"/>
      <c r="L95" s="635"/>
      <c r="M95" s="614"/>
      <c r="N95" s="614"/>
    </row>
    <row r="96" spans="1:14" ht="27" customHeight="1">
      <c r="A96" s="213" t="str">
        <f ca="1">IF(ROWS($1:83)&gt;COUNT(Dong13),"",OFFSET(TH!E$1,SMALL(Dong13,ROWS($1:83)),))</f>
        <v/>
      </c>
      <c r="B96" s="216" t="str">
        <f ca="1">IF(ROWS($1:83)&gt;COUNT(Dong13),"",OFFSET(TH!H$1,SMALL(Dong13,ROWS($1:83)),))</f>
        <v/>
      </c>
      <c r="C96" s="630" t="str">
        <f t="shared" ca="1" si="2"/>
        <v/>
      </c>
      <c r="D96" s="630" t="str">
        <f ca="1">IF(ROWS($1:83)&gt;COUNT(Dong13),"",OFFSET(TH!D$1,SMALL(Dong13,ROWS($1:83)),))</f>
        <v/>
      </c>
      <c r="E96" s="907" t="str">
        <f t="shared" ca="1" si="0"/>
        <v/>
      </c>
      <c r="F96" s="631" t="str">
        <f t="shared" ca="1" si="1"/>
        <v/>
      </c>
      <c r="G96" s="632" t="str">
        <f ca="1">IF(ROWS($1:83)&gt;COUNT(Dong13),"",OFFSET(TH!F$1,SMALL(Dong13,ROWS($1:83)),))</f>
        <v/>
      </c>
      <c r="H96" s="633" t="str">
        <f ca="1">IF(ROWS($1:83)&gt;COUNT(Dong13),"",OFFSET(TH!I$1,SMALL(Dong13,ROWS($1:83)),))</f>
        <v/>
      </c>
      <c r="I96" s="633" t="str">
        <f ca="1">IF(ROWS($1:83)&gt;COUNT(Dong13),"",OFFSET(TH!J$1,SMALL(Dong13,ROWS($1:83)),))</f>
        <v/>
      </c>
      <c r="J96" s="634">
        <f t="shared" ca="1" si="6"/>
        <v>0</v>
      </c>
      <c r="K96" s="636"/>
      <c r="L96" s="635"/>
      <c r="M96" s="614"/>
      <c r="N96" s="614"/>
    </row>
    <row r="97" spans="1:14" ht="27" customHeight="1">
      <c r="A97" s="213" t="str">
        <f ca="1">IF(ROWS($1:84)&gt;COUNT(Dong13),"",OFFSET(TH!E$1,SMALL(Dong13,ROWS($1:84)),))</f>
        <v/>
      </c>
      <c r="B97" s="216" t="str">
        <f ca="1">IF(ROWS($1:84)&gt;COUNT(Dong13),"",OFFSET(TH!H$1,SMALL(Dong13,ROWS($1:84)),))</f>
        <v/>
      </c>
      <c r="C97" s="630" t="str">
        <f t="shared" ca="1" si="2"/>
        <v/>
      </c>
      <c r="D97" s="630" t="str">
        <f ca="1">IF(ROWS($1:84)&gt;COUNT(Dong13),"",OFFSET(TH!D$1,SMALL(Dong13,ROWS($1:84)),))</f>
        <v/>
      </c>
      <c r="E97" s="907" t="str">
        <f t="shared" ca="1" si="0"/>
        <v/>
      </c>
      <c r="F97" s="631" t="str">
        <f t="shared" ca="1" si="1"/>
        <v/>
      </c>
      <c r="G97" s="632" t="str">
        <f ca="1">IF(ROWS($1:84)&gt;COUNT(Dong13),"",OFFSET(TH!F$1,SMALL(Dong13,ROWS($1:84)),))</f>
        <v/>
      </c>
      <c r="H97" s="633" t="str">
        <f ca="1">IF(ROWS($1:84)&gt;COUNT(Dong13),"",OFFSET(TH!I$1,SMALL(Dong13,ROWS($1:84)),))</f>
        <v/>
      </c>
      <c r="I97" s="633" t="str">
        <f ca="1">IF(ROWS($1:84)&gt;COUNT(Dong13),"",OFFSET(TH!J$1,SMALL(Dong13,ROWS($1:84)),))</f>
        <v/>
      </c>
      <c r="J97" s="634">
        <f t="shared" ca="1" si="6"/>
        <v>0</v>
      </c>
      <c r="K97" s="636"/>
      <c r="L97" s="635"/>
      <c r="M97" s="614"/>
      <c r="N97" s="614"/>
    </row>
    <row r="98" spans="1:14" ht="27" customHeight="1">
      <c r="A98" s="213" t="str">
        <f ca="1">IF(ROWS($1:85)&gt;COUNT(Dong13),"",OFFSET(TH!E$1,SMALL(Dong13,ROWS($1:85)),))</f>
        <v/>
      </c>
      <c r="B98" s="216" t="str">
        <f ca="1">IF(ROWS($1:85)&gt;COUNT(Dong13),"",OFFSET(TH!H$1,SMALL(Dong13,ROWS($1:85)),))</f>
        <v/>
      </c>
      <c r="C98" s="630" t="str">
        <f t="shared" ca="1" si="2"/>
        <v/>
      </c>
      <c r="D98" s="630" t="str">
        <f ca="1">IF(ROWS($1:85)&gt;COUNT(Dong13),"",OFFSET(TH!D$1,SMALL(Dong13,ROWS($1:85)),))</f>
        <v/>
      </c>
      <c r="E98" s="907" t="str">
        <f t="shared" ca="1" si="0"/>
        <v/>
      </c>
      <c r="F98" s="631" t="str">
        <f t="shared" ca="1" si="1"/>
        <v/>
      </c>
      <c r="G98" s="632" t="str">
        <f ca="1">IF(ROWS($1:85)&gt;COUNT(Dong13),"",OFFSET(TH!F$1,SMALL(Dong13,ROWS($1:85)),))</f>
        <v/>
      </c>
      <c r="H98" s="633" t="str">
        <f ca="1">IF(ROWS($1:85)&gt;COUNT(Dong13),"",OFFSET(TH!I$1,SMALL(Dong13,ROWS($1:85)),))</f>
        <v/>
      </c>
      <c r="I98" s="633" t="str">
        <f ca="1">IF(ROWS($1:85)&gt;COUNT(Dong13),"",OFFSET(TH!J$1,SMALL(Dong13,ROWS($1:85)),))</f>
        <v/>
      </c>
      <c r="J98" s="634">
        <f t="shared" ca="1" si="6"/>
        <v>0</v>
      </c>
      <c r="K98" s="636"/>
      <c r="L98" s="635"/>
      <c r="M98" s="614"/>
      <c r="N98" s="614"/>
    </row>
    <row r="99" spans="1:14" ht="27" customHeight="1">
      <c r="A99" s="213" t="str">
        <f ca="1">IF(ROWS($1:86)&gt;COUNT(Dong13),"",OFFSET(TH!E$1,SMALL(Dong13,ROWS($1:86)),))</f>
        <v/>
      </c>
      <c r="B99" s="216" t="str">
        <f ca="1">IF(ROWS($1:86)&gt;COUNT(Dong13),"",OFFSET(TH!H$1,SMALL(Dong13,ROWS($1:86)),))</f>
        <v/>
      </c>
      <c r="C99" s="630" t="str">
        <f t="shared" ca="1" si="2"/>
        <v/>
      </c>
      <c r="D99" s="630" t="str">
        <f ca="1">IF(ROWS($1:86)&gt;COUNT(Dong13),"",OFFSET(TH!D$1,SMALL(Dong13,ROWS($1:86)),))</f>
        <v/>
      </c>
      <c r="E99" s="907" t="str">
        <f t="shared" ca="1" si="0"/>
        <v/>
      </c>
      <c r="F99" s="631" t="str">
        <f t="shared" ca="1" si="1"/>
        <v/>
      </c>
      <c r="G99" s="632" t="str">
        <f ca="1">IF(ROWS($1:86)&gt;COUNT(Dong13),"",OFFSET(TH!F$1,SMALL(Dong13,ROWS($1:86)),))</f>
        <v/>
      </c>
      <c r="H99" s="633" t="str">
        <f ca="1">IF(ROWS($1:86)&gt;COUNT(Dong13),"",OFFSET(TH!I$1,SMALL(Dong13,ROWS($1:86)),))</f>
        <v/>
      </c>
      <c r="I99" s="633" t="str">
        <f ca="1">IF(ROWS($1:86)&gt;COUNT(Dong13),"",OFFSET(TH!J$1,SMALL(Dong13,ROWS($1:86)),))</f>
        <v/>
      </c>
      <c r="J99" s="634">
        <f t="shared" ca="1" si="6"/>
        <v>0</v>
      </c>
      <c r="K99" s="636"/>
      <c r="L99" s="635"/>
      <c r="M99" s="614"/>
      <c r="N99" s="614"/>
    </row>
    <row r="100" spans="1:14" ht="27" customHeight="1">
      <c r="A100" s="213" t="str">
        <f ca="1">IF(ROWS($1:87)&gt;COUNT(Dong13),"",OFFSET(TH!E$1,SMALL(Dong13,ROWS($1:87)),))</f>
        <v/>
      </c>
      <c r="B100" s="216" t="str">
        <f ca="1">IF(ROWS($1:87)&gt;COUNT(Dong13),"",OFFSET(TH!H$1,SMALL(Dong13,ROWS($1:87)),))</f>
        <v/>
      </c>
      <c r="C100" s="630" t="str">
        <f t="shared" ca="1" si="2"/>
        <v/>
      </c>
      <c r="D100" s="630" t="str">
        <f ca="1">IF(ROWS($1:87)&gt;COUNT(Dong13),"",OFFSET(TH!D$1,SMALL(Dong13,ROWS($1:87)),))</f>
        <v/>
      </c>
      <c r="E100" s="907" t="str">
        <f t="shared" ca="1" si="0"/>
        <v/>
      </c>
      <c r="F100" s="631" t="str">
        <f t="shared" ca="1" si="1"/>
        <v/>
      </c>
      <c r="G100" s="632" t="str">
        <f ca="1">IF(ROWS($1:87)&gt;COUNT(Dong13),"",OFFSET(TH!F$1,SMALL(Dong13,ROWS($1:87)),))</f>
        <v/>
      </c>
      <c r="H100" s="633" t="str">
        <f ca="1">IF(ROWS($1:87)&gt;COUNT(Dong13),"",OFFSET(TH!I$1,SMALL(Dong13,ROWS($1:87)),))</f>
        <v/>
      </c>
      <c r="I100" s="633" t="str">
        <f ca="1">IF(ROWS($1:87)&gt;COUNT(Dong13),"",OFFSET(TH!J$1,SMALL(Dong13,ROWS($1:87)),))</f>
        <v/>
      </c>
      <c r="J100" s="634">
        <f t="shared" ca="1" si="6"/>
        <v>0</v>
      </c>
      <c r="K100" s="636"/>
      <c r="L100" s="635"/>
      <c r="M100" s="614"/>
      <c r="N100" s="614"/>
    </row>
    <row r="101" spans="1:14" ht="27" customHeight="1">
      <c r="A101" s="213" t="str">
        <f ca="1">IF(ROWS($1:88)&gt;COUNT(Dong13),"",OFFSET(TH!E$1,SMALL(Dong13,ROWS($1:88)),))</f>
        <v/>
      </c>
      <c r="B101" s="216" t="str">
        <f ca="1">IF(ROWS($1:88)&gt;COUNT(Dong13),"",OFFSET(TH!H$1,SMALL(Dong13,ROWS($1:88)),))</f>
        <v/>
      </c>
      <c r="C101" s="630" t="str">
        <f t="shared" ca="1" si="2"/>
        <v/>
      </c>
      <c r="D101" s="630" t="str">
        <f ca="1">IF(ROWS($1:88)&gt;COUNT(Dong13),"",OFFSET(TH!D$1,SMALL(Dong13,ROWS($1:88)),))</f>
        <v/>
      </c>
      <c r="E101" s="907" t="str">
        <f t="shared" ca="1" si="0"/>
        <v/>
      </c>
      <c r="F101" s="631" t="str">
        <f t="shared" ca="1" si="1"/>
        <v/>
      </c>
      <c r="G101" s="632" t="str">
        <f ca="1">IF(ROWS($1:88)&gt;COUNT(Dong13),"",OFFSET(TH!F$1,SMALL(Dong13,ROWS($1:88)),))</f>
        <v/>
      </c>
      <c r="H101" s="633" t="str">
        <f ca="1">IF(ROWS($1:88)&gt;COUNT(Dong13),"",OFFSET(TH!I$1,SMALL(Dong13,ROWS($1:88)),))</f>
        <v/>
      </c>
      <c r="I101" s="633" t="str">
        <f ca="1">IF(ROWS($1:88)&gt;COUNT(Dong13),"",OFFSET(TH!J$1,SMALL(Dong13,ROWS($1:88)),))</f>
        <v/>
      </c>
      <c r="J101" s="634">
        <f t="shared" ca="1" si="6"/>
        <v>0</v>
      </c>
      <c r="K101" s="636"/>
      <c r="L101" s="635"/>
      <c r="M101" s="614"/>
      <c r="N101" s="614"/>
    </row>
    <row r="102" spans="1:14" ht="27" customHeight="1">
      <c r="A102" s="213" t="str">
        <f ca="1">IF(ROWS($1:89)&gt;COUNT(Dong13),"",OFFSET(TH!E$1,SMALL(Dong13,ROWS($1:89)),))</f>
        <v/>
      </c>
      <c r="B102" s="216" t="str">
        <f ca="1">IF(ROWS($1:89)&gt;COUNT(Dong13),"",OFFSET(TH!H$1,SMALL(Dong13,ROWS($1:89)),))</f>
        <v/>
      </c>
      <c r="C102" s="630" t="str">
        <f t="shared" ca="1" si="2"/>
        <v/>
      </c>
      <c r="D102" s="630" t="str">
        <f ca="1">IF(ROWS($1:89)&gt;COUNT(Dong13),"",OFFSET(TH!D$1,SMALL(Dong13,ROWS($1:89)),))</f>
        <v/>
      </c>
      <c r="E102" s="907" t="str">
        <f t="shared" ca="1" si="0"/>
        <v/>
      </c>
      <c r="F102" s="631" t="str">
        <f t="shared" ca="1" si="1"/>
        <v/>
      </c>
      <c r="G102" s="632" t="str">
        <f ca="1">IF(ROWS($1:89)&gt;COUNT(Dong13),"",OFFSET(TH!F$1,SMALL(Dong13,ROWS($1:89)),))</f>
        <v/>
      </c>
      <c r="H102" s="633" t="str">
        <f ca="1">IF(ROWS($1:89)&gt;COUNT(Dong13),"",OFFSET(TH!I$1,SMALL(Dong13,ROWS($1:89)),))</f>
        <v/>
      </c>
      <c r="I102" s="633" t="str">
        <f ca="1">IF(ROWS($1:89)&gt;COUNT(Dong13),"",OFFSET(TH!J$1,SMALL(Dong13,ROWS($1:89)),))</f>
        <v/>
      </c>
      <c r="J102" s="634">
        <f t="shared" ca="1" si="6"/>
        <v>0</v>
      </c>
      <c r="K102" s="636"/>
      <c r="L102" s="635"/>
      <c r="M102" s="614"/>
      <c r="N102" s="614"/>
    </row>
    <row r="103" spans="1:14" ht="27" customHeight="1">
      <c r="A103" s="213" t="str">
        <f ca="1">IF(ROWS($1:90)&gt;COUNT(Dong13),"",OFFSET(TH!E$1,SMALL(Dong13,ROWS($1:90)),))</f>
        <v/>
      </c>
      <c r="B103" s="216" t="str">
        <f ca="1">IF(ROWS($1:90)&gt;COUNT(Dong13),"",OFFSET(TH!H$1,SMALL(Dong13,ROWS($1:90)),))</f>
        <v/>
      </c>
      <c r="C103" s="630" t="str">
        <f t="shared" ca="1" si="2"/>
        <v/>
      </c>
      <c r="D103" s="630" t="str">
        <f ca="1">IF(ROWS($1:90)&gt;COUNT(Dong13),"",OFFSET(TH!D$1,SMALL(Dong13,ROWS($1:90)),))</f>
        <v/>
      </c>
      <c r="E103" s="907" t="str">
        <f t="shared" ca="1" si="0"/>
        <v/>
      </c>
      <c r="F103" s="631" t="str">
        <f t="shared" ca="1" si="1"/>
        <v/>
      </c>
      <c r="G103" s="632" t="str">
        <f ca="1">IF(ROWS($1:90)&gt;COUNT(Dong13),"",OFFSET(TH!F$1,SMALL(Dong13,ROWS($1:90)),))</f>
        <v/>
      </c>
      <c r="H103" s="633" t="str">
        <f ca="1">IF(ROWS($1:90)&gt;COUNT(Dong13),"",OFFSET(TH!I$1,SMALL(Dong13,ROWS($1:90)),))</f>
        <v/>
      </c>
      <c r="I103" s="633" t="str">
        <f ca="1">IF(ROWS($1:90)&gt;COUNT(Dong13),"",OFFSET(TH!J$1,SMALL(Dong13,ROWS($1:90)),))</f>
        <v/>
      </c>
      <c r="J103" s="634">
        <f t="shared" ca="1" si="6"/>
        <v>0</v>
      </c>
      <c r="K103" s="636"/>
      <c r="L103" s="635"/>
      <c r="M103" s="614"/>
      <c r="N103" s="614"/>
    </row>
    <row r="104" spans="1:14" ht="27" customHeight="1">
      <c r="A104" s="213" t="str">
        <f ca="1">IF(ROWS($1:91)&gt;COUNT(Dong13),"",OFFSET(TH!E$1,SMALL(Dong13,ROWS($1:91)),))</f>
        <v/>
      </c>
      <c r="B104" s="216" t="str">
        <f ca="1">IF(ROWS($1:91)&gt;COUNT(Dong13),"",OFFSET(TH!H$1,SMALL(Dong13,ROWS($1:91)),))</f>
        <v/>
      </c>
      <c r="C104" s="630" t="str">
        <f t="shared" ca="1" si="2"/>
        <v/>
      </c>
      <c r="D104" s="630" t="str">
        <f ca="1">IF(ROWS($1:91)&gt;COUNT(Dong13),"",OFFSET(TH!D$1,SMALL(Dong13,ROWS($1:91)),))</f>
        <v/>
      </c>
      <c r="E104" s="907" t="str">
        <f t="shared" ca="1" si="0"/>
        <v/>
      </c>
      <c r="F104" s="631" t="str">
        <f t="shared" ca="1" si="1"/>
        <v/>
      </c>
      <c r="G104" s="632" t="str">
        <f ca="1">IF(ROWS($1:91)&gt;COUNT(Dong13),"",OFFSET(TH!F$1,SMALL(Dong13,ROWS($1:91)),))</f>
        <v/>
      </c>
      <c r="H104" s="633" t="str">
        <f ca="1">IF(ROWS($1:91)&gt;COUNT(Dong13),"",OFFSET(TH!I$1,SMALL(Dong13,ROWS($1:91)),))</f>
        <v/>
      </c>
      <c r="I104" s="633" t="str">
        <f ca="1">IF(ROWS($1:91)&gt;COUNT(Dong13),"",OFFSET(TH!J$1,SMALL(Dong13,ROWS($1:91)),))</f>
        <v/>
      </c>
      <c r="J104" s="634">
        <f t="shared" ca="1" si="6"/>
        <v>0</v>
      </c>
      <c r="K104" s="636"/>
      <c r="L104" s="635"/>
      <c r="M104" s="614"/>
      <c r="N104" s="614"/>
    </row>
    <row r="105" spans="1:14" ht="27" customHeight="1">
      <c r="A105" s="213" t="str">
        <f ca="1">IF(ROWS($1:92)&gt;COUNT(Dong13),"",OFFSET(TH!E$1,SMALL(Dong13,ROWS($1:92)),))</f>
        <v/>
      </c>
      <c r="B105" s="216" t="str">
        <f ca="1">IF(ROWS($1:92)&gt;COUNT(Dong13),"",OFFSET(TH!H$1,SMALL(Dong13,ROWS($1:92)),))</f>
        <v/>
      </c>
      <c r="C105" s="630" t="str">
        <f t="shared" ca="1" si="2"/>
        <v/>
      </c>
      <c r="D105" s="630" t="str">
        <f ca="1">IF(ROWS($1:92)&gt;COUNT(Dong13),"",OFFSET(TH!D$1,SMALL(Dong13,ROWS($1:92)),))</f>
        <v/>
      </c>
      <c r="E105" s="907" t="str">
        <f t="shared" ca="1" si="0"/>
        <v/>
      </c>
      <c r="F105" s="631" t="str">
        <f t="shared" ca="1" si="1"/>
        <v/>
      </c>
      <c r="G105" s="632" t="str">
        <f ca="1">IF(ROWS($1:92)&gt;COUNT(Dong13),"",OFFSET(TH!F$1,SMALL(Dong13,ROWS($1:92)),))</f>
        <v/>
      </c>
      <c r="H105" s="633" t="str">
        <f ca="1">IF(ROWS($1:92)&gt;COUNT(Dong13),"",OFFSET(TH!I$1,SMALL(Dong13,ROWS($1:92)),))</f>
        <v/>
      </c>
      <c r="I105" s="633" t="str">
        <f ca="1">IF(ROWS($1:92)&gt;COUNT(Dong13),"",OFFSET(TH!J$1,SMALL(Dong13,ROWS($1:92)),))</f>
        <v/>
      </c>
      <c r="J105" s="634">
        <f t="shared" ca="1" si="6"/>
        <v>0</v>
      </c>
      <c r="K105" s="636"/>
      <c r="L105" s="635"/>
      <c r="M105" s="614"/>
      <c r="N105" s="614"/>
    </row>
    <row r="106" spans="1:14" ht="27" customHeight="1">
      <c r="A106" s="213" t="str">
        <f ca="1">IF(ROWS($1:93)&gt;COUNT(Dong13),"",OFFSET(TH!E$1,SMALL(Dong13,ROWS($1:93)),))</f>
        <v/>
      </c>
      <c r="B106" s="216" t="str">
        <f ca="1">IF(ROWS($1:93)&gt;COUNT(Dong13),"",OFFSET(TH!H$1,SMALL(Dong13,ROWS($1:93)),))</f>
        <v/>
      </c>
      <c r="C106" s="630" t="str">
        <f t="shared" ca="1" si="2"/>
        <v/>
      </c>
      <c r="D106" s="630" t="str">
        <f ca="1">IF(ROWS($1:93)&gt;COUNT(Dong13),"",OFFSET(TH!D$1,SMALL(Dong13,ROWS($1:93)),))</f>
        <v/>
      </c>
      <c r="E106" s="907" t="str">
        <f t="shared" ca="1" si="0"/>
        <v/>
      </c>
      <c r="F106" s="631" t="str">
        <f t="shared" ca="1" si="1"/>
        <v/>
      </c>
      <c r="G106" s="632" t="str">
        <f ca="1">IF(ROWS($1:93)&gt;COUNT(Dong13),"",OFFSET(TH!F$1,SMALL(Dong13,ROWS($1:93)),))</f>
        <v/>
      </c>
      <c r="H106" s="633" t="str">
        <f ca="1">IF(ROWS($1:93)&gt;COUNT(Dong13),"",OFFSET(TH!I$1,SMALL(Dong13,ROWS($1:93)),))</f>
        <v/>
      </c>
      <c r="I106" s="633" t="str">
        <f ca="1">IF(ROWS($1:93)&gt;COUNT(Dong13),"",OFFSET(TH!J$1,SMALL(Dong13,ROWS($1:93)),))</f>
        <v/>
      </c>
      <c r="J106" s="634">
        <f t="shared" ca="1" si="6"/>
        <v>0</v>
      </c>
      <c r="K106" s="636"/>
      <c r="L106" s="635"/>
      <c r="M106" s="614"/>
      <c r="N106" s="614"/>
    </row>
    <row r="107" spans="1:14" ht="27" customHeight="1">
      <c r="A107" s="213" t="str">
        <f ca="1">IF(ROWS($1:94)&gt;COUNT(Dong13),"",OFFSET(TH!E$1,SMALL(Dong13,ROWS($1:94)),))</f>
        <v/>
      </c>
      <c r="B107" s="216" t="str">
        <f ca="1">IF(ROWS($1:94)&gt;COUNT(Dong13),"",OFFSET(TH!H$1,SMALL(Dong13,ROWS($1:94)),))</f>
        <v/>
      </c>
      <c r="C107" s="630" t="str">
        <f t="shared" ca="1" si="2"/>
        <v/>
      </c>
      <c r="D107" s="630" t="str">
        <f ca="1">IF(ROWS($1:94)&gt;COUNT(Dong13),"",OFFSET(TH!D$1,SMALL(Dong13,ROWS($1:94)),))</f>
        <v/>
      </c>
      <c r="E107" s="907" t="str">
        <f t="shared" ca="1" si="0"/>
        <v/>
      </c>
      <c r="F107" s="631" t="str">
        <f t="shared" ca="1" si="1"/>
        <v/>
      </c>
      <c r="G107" s="632" t="str">
        <f ca="1">IF(ROWS($1:94)&gt;COUNT(Dong13),"",OFFSET(TH!F$1,SMALL(Dong13,ROWS($1:94)),))</f>
        <v/>
      </c>
      <c r="H107" s="633" t="str">
        <f ca="1">IF(ROWS($1:94)&gt;COUNT(Dong13),"",OFFSET(TH!I$1,SMALL(Dong13,ROWS($1:94)),))</f>
        <v/>
      </c>
      <c r="I107" s="633" t="str">
        <f ca="1">IF(ROWS($1:94)&gt;COUNT(Dong13),"",OFFSET(TH!J$1,SMALL(Dong13,ROWS($1:94)),))</f>
        <v/>
      </c>
      <c r="J107" s="634">
        <f t="shared" ca="1" si="6"/>
        <v>0</v>
      </c>
      <c r="K107" s="636"/>
      <c r="L107" s="635"/>
      <c r="M107" s="614"/>
      <c r="N107" s="614"/>
    </row>
    <row r="108" spans="1:14" ht="27" customHeight="1">
      <c r="A108" s="213" t="str">
        <f ca="1">IF(ROWS($1:95)&gt;COUNT(Dong13),"",OFFSET(TH!E$1,SMALL(Dong13,ROWS($1:95)),))</f>
        <v/>
      </c>
      <c r="B108" s="216" t="str">
        <f ca="1">IF(ROWS($1:95)&gt;COUNT(Dong13),"",OFFSET(TH!H$1,SMALL(Dong13,ROWS($1:95)),))</f>
        <v/>
      </c>
      <c r="C108" s="630" t="str">
        <f t="shared" ca="1" si="2"/>
        <v/>
      </c>
      <c r="D108" s="630" t="str">
        <f ca="1">IF(ROWS($1:95)&gt;COUNT(Dong13),"",OFFSET(TH!D$1,SMALL(Dong13,ROWS($1:95)),))</f>
        <v/>
      </c>
      <c r="E108" s="907" t="str">
        <f t="shared" ca="1" si="0"/>
        <v/>
      </c>
      <c r="F108" s="631" t="str">
        <f t="shared" ca="1" si="1"/>
        <v/>
      </c>
      <c r="G108" s="632" t="str">
        <f ca="1">IF(ROWS($1:95)&gt;COUNT(Dong13),"",OFFSET(TH!F$1,SMALL(Dong13,ROWS($1:95)),))</f>
        <v/>
      </c>
      <c r="H108" s="633" t="str">
        <f ca="1">IF(ROWS($1:95)&gt;COUNT(Dong13),"",OFFSET(TH!I$1,SMALL(Dong13,ROWS($1:95)),))</f>
        <v/>
      </c>
      <c r="I108" s="633" t="str">
        <f ca="1">IF(ROWS($1:95)&gt;COUNT(Dong13),"",OFFSET(TH!J$1,SMALL(Dong13,ROWS($1:95)),))</f>
        <v/>
      </c>
      <c r="J108" s="634">
        <f t="shared" ca="1" si="6"/>
        <v>0</v>
      </c>
      <c r="K108" s="636"/>
      <c r="L108" s="635"/>
      <c r="M108" s="614"/>
      <c r="N108" s="614"/>
    </row>
    <row r="109" spans="1:14" ht="27" customHeight="1">
      <c r="A109" s="213" t="str">
        <f ca="1">IF(ROWS($1:96)&gt;COUNT(Dong13),"",OFFSET(TH!E$1,SMALL(Dong13,ROWS($1:96)),))</f>
        <v/>
      </c>
      <c r="B109" s="216" t="str">
        <f ca="1">IF(ROWS($1:96)&gt;COUNT(Dong13),"",OFFSET(TH!H$1,SMALL(Dong13,ROWS($1:96)),))</f>
        <v/>
      </c>
      <c r="C109" s="630" t="str">
        <f t="shared" ca="1" si="2"/>
        <v/>
      </c>
      <c r="D109" s="630" t="str">
        <f ca="1">IF(ROWS($1:96)&gt;COUNT(Dong13),"",OFFSET(TH!D$1,SMALL(Dong13,ROWS($1:96)),))</f>
        <v/>
      </c>
      <c r="E109" s="907" t="str">
        <f t="shared" ca="1" si="0"/>
        <v/>
      </c>
      <c r="F109" s="631" t="str">
        <f t="shared" ca="1" si="1"/>
        <v/>
      </c>
      <c r="G109" s="632" t="str">
        <f ca="1">IF(ROWS($1:96)&gt;COUNT(Dong13),"",OFFSET(TH!F$1,SMALL(Dong13,ROWS($1:96)),))</f>
        <v/>
      </c>
      <c r="H109" s="633" t="str">
        <f ca="1">IF(ROWS($1:96)&gt;COUNT(Dong13),"",OFFSET(TH!I$1,SMALL(Dong13,ROWS($1:96)),))</f>
        <v/>
      </c>
      <c r="I109" s="633" t="str">
        <f ca="1">IF(ROWS($1:96)&gt;COUNT(Dong13),"",OFFSET(TH!J$1,SMALL(Dong13,ROWS($1:96)),))</f>
        <v/>
      </c>
      <c r="J109" s="634">
        <f t="shared" ca="1" si="6"/>
        <v>0</v>
      </c>
      <c r="K109" s="636"/>
      <c r="L109" s="635"/>
      <c r="M109" s="614"/>
      <c r="N109" s="614"/>
    </row>
    <row r="110" spans="1:14" ht="27" customHeight="1">
      <c r="A110" s="213" t="str">
        <f ca="1">IF(ROWS($1:97)&gt;COUNT(Dong13),"",OFFSET(TH!E$1,SMALL(Dong13,ROWS($1:97)),))</f>
        <v/>
      </c>
      <c r="B110" s="216" t="str">
        <f ca="1">IF(ROWS($1:97)&gt;COUNT(Dong13),"",OFFSET(TH!H$1,SMALL(Dong13,ROWS($1:97)),))</f>
        <v/>
      </c>
      <c r="C110" s="630" t="str">
        <f t="shared" ca="1" si="2"/>
        <v/>
      </c>
      <c r="D110" s="630" t="str">
        <f ca="1">IF(ROWS($1:97)&gt;COUNT(Dong13),"",OFFSET(TH!D$1,SMALL(Dong13,ROWS($1:97)),))</f>
        <v/>
      </c>
      <c r="E110" s="907" t="str">
        <f t="shared" ca="1" si="0"/>
        <v/>
      </c>
      <c r="F110" s="631" t="str">
        <f t="shared" ca="1" si="1"/>
        <v/>
      </c>
      <c r="G110" s="632" t="str">
        <f ca="1">IF(ROWS($1:97)&gt;COUNT(Dong13),"",OFFSET(TH!F$1,SMALL(Dong13,ROWS($1:97)),))</f>
        <v/>
      </c>
      <c r="H110" s="633" t="str">
        <f ca="1">IF(ROWS($1:97)&gt;COUNT(Dong13),"",OFFSET(TH!I$1,SMALL(Dong13,ROWS($1:97)),))</f>
        <v/>
      </c>
      <c r="I110" s="633" t="str">
        <f ca="1">IF(ROWS($1:97)&gt;COUNT(Dong13),"",OFFSET(TH!J$1,SMALL(Dong13,ROWS($1:97)),))</f>
        <v/>
      </c>
      <c r="J110" s="634">
        <f t="shared" ca="1" si="5"/>
        <v>0</v>
      </c>
      <c r="K110" s="636"/>
      <c r="L110" s="635"/>
      <c r="M110" s="614"/>
      <c r="N110" s="614"/>
    </row>
    <row r="111" spans="1:14" ht="27" customHeight="1">
      <c r="A111" s="213" t="str">
        <f ca="1">IF(ROWS($1:98)&gt;COUNT(Dong13),"",OFFSET(TH!E$1,SMALL(Dong13,ROWS($1:98)),))</f>
        <v/>
      </c>
      <c r="B111" s="216" t="str">
        <f ca="1">IF(ROWS($1:98)&gt;COUNT(Dong13),"",OFFSET(TH!H$1,SMALL(Dong13,ROWS($1:98)),))</f>
        <v/>
      </c>
      <c r="C111" s="630" t="str">
        <f t="shared" ca="1" si="2"/>
        <v/>
      </c>
      <c r="D111" s="630" t="str">
        <f ca="1">IF(ROWS($1:98)&gt;COUNT(Dong13),"",OFFSET(TH!D$1,SMALL(Dong13,ROWS($1:98)),))</f>
        <v/>
      </c>
      <c r="E111" s="907" t="str">
        <f t="shared" ca="1" si="0"/>
        <v/>
      </c>
      <c r="F111" s="631" t="str">
        <f t="shared" ca="1" si="1"/>
        <v/>
      </c>
      <c r="G111" s="632" t="str">
        <f ca="1">IF(ROWS($1:98)&gt;COUNT(Dong13),"",OFFSET(TH!F$1,SMALL(Dong13,ROWS($1:98)),))</f>
        <v/>
      </c>
      <c r="H111" s="633" t="str">
        <f ca="1">IF(ROWS($1:98)&gt;COUNT(Dong13),"",OFFSET(TH!I$1,SMALL(Dong13,ROWS($1:98)),))</f>
        <v/>
      </c>
      <c r="I111" s="633" t="str">
        <f ca="1">IF(ROWS($1:98)&gt;COUNT(Dong13),"",OFFSET(TH!J$1,SMALL(Dong13,ROWS($1:98)),))</f>
        <v/>
      </c>
      <c r="J111" s="634">
        <f t="shared" ca="1" si="5"/>
        <v>0</v>
      </c>
      <c r="K111" s="636"/>
      <c r="L111" s="635"/>
      <c r="M111" s="614"/>
      <c r="N111" s="614"/>
    </row>
    <row r="112" spans="1:14" ht="27" customHeight="1">
      <c r="A112" s="213" t="str">
        <f ca="1">IF(ROWS($1:99)&gt;COUNT(Dong13),"",OFFSET(TH!E$1,SMALL(Dong13,ROWS($1:99)),))</f>
        <v/>
      </c>
      <c r="B112" s="216" t="str">
        <f ca="1">IF(ROWS($1:99)&gt;COUNT(Dong13),"",OFFSET(TH!H$1,SMALL(Dong13,ROWS($1:99)),))</f>
        <v/>
      </c>
      <c r="C112" s="630" t="str">
        <f t="shared" ca="1" si="2"/>
        <v/>
      </c>
      <c r="D112" s="630" t="str">
        <f ca="1">IF(ROWS($1:99)&gt;COUNT(Dong13),"",OFFSET(TH!D$1,SMALL(Dong13,ROWS($1:99)),))</f>
        <v/>
      </c>
      <c r="E112" s="907" t="str">
        <f t="shared" ca="1" si="0"/>
        <v/>
      </c>
      <c r="F112" s="631" t="str">
        <f t="shared" ca="1" si="1"/>
        <v/>
      </c>
      <c r="G112" s="632" t="str">
        <f ca="1">IF(ROWS($1:99)&gt;COUNT(Dong13),"",OFFSET(TH!F$1,SMALL(Dong13,ROWS($1:99)),))</f>
        <v/>
      </c>
      <c r="H112" s="633" t="str">
        <f ca="1">IF(ROWS($1:99)&gt;COUNT(Dong13),"",OFFSET(TH!I$1,SMALL(Dong13,ROWS($1:99)),))</f>
        <v/>
      </c>
      <c r="I112" s="633" t="str">
        <f ca="1">IF(ROWS($1:99)&gt;COUNT(Dong13),"",OFFSET(TH!J$1,SMALL(Dong13,ROWS($1:99)),))</f>
        <v/>
      </c>
      <c r="J112" s="634">
        <f t="shared" ref="J112:J120" ca="1" si="7">IF(B112&lt;&gt;"",H112*I112,0)</f>
        <v>0</v>
      </c>
      <c r="K112" s="636"/>
      <c r="L112" s="635"/>
      <c r="M112" s="614"/>
      <c r="N112" s="614"/>
    </row>
    <row r="113" spans="1:14" ht="27" customHeight="1">
      <c r="A113" s="213" t="str">
        <f ca="1">IF(ROWS($1:100)&gt;COUNT(Dong13),"",OFFSET(TH!E$1,SMALL(Dong13,ROWS($1:100)),))</f>
        <v/>
      </c>
      <c r="B113" s="216" t="str">
        <f ca="1">IF(ROWS($1:100)&gt;COUNT(Dong13),"",OFFSET(TH!H$1,SMALL(Dong13,ROWS($1:100)),))</f>
        <v/>
      </c>
      <c r="C113" s="630" t="str">
        <f t="shared" ca="1" si="2"/>
        <v/>
      </c>
      <c r="D113" s="630" t="str">
        <f ca="1">IF(ROWS($1:100)&gt;COUNT(Dong13),"",OFFSET(TH!D$1,SMALL(Dong13,ROWS($1:100)),))</f>
        <v/>
      </c>
      <c r="E113" s="907" t="str">
        <f t="shared" ca="1" si="0"/>
        <v/>
      </c>
      <c r="F113" s="631" t="str">
        <f t="shared" ca="1" si="1"/>
        <v/>
      </c>
      <c r="G113" s="632" t="str">
        <f ca="1">IF(ROWS($1:100)&gt;COUNT(Dong13),"",OFFSET(TH!F$1,SMALL(Dong13,ROWS($1:100)),))</f>
        <v/>
      </c>
      <c r="H113" s="633" t="str">
        <f ca="1">IF(ROWS($1:100)&gt;COUNT(Dong13),"",OFFSET(TH!I$1,SMALL(Dong13,ROWS($1:100)),))</f>
        <v/>
      </c>
      <c r="I113" s="633" t="str">
        <f ca="1">IF(ROWS($1:100)&gt;COUNT(Dong13),"",OFFSET(TH!J$1,SMALL(Dong13,ROWS($1:100)),))</f>
        <v/>
      </c>
      <c r="J113" s="634">
        <f t="shared" ca="1" si="7"/>
        <v>0</v>
      </c>
      <c r="K113" s="636"/>
      <c r="L113" s="635"/>
      <c r="M113" s="614"/>
      <c r="N113" s="614"/>
    </row>
    <row r="114" spans="1:14" ht="27" customHeight="1">
      <c r="A114" s="213" t="str">
        <f ca="1">IF(ROWS($1:101)&gt;COUNT(Dong13),"",OFFSET(TH!E$1,SMALL(Dong13,ROWS($1:101)),))</f>
        <v/>
      </c>
      <c r="B114" s="216" t="str">
        <f ca="1">IF(ROWS($1:101)&gt;COUNT(Dong13),"",OFFSET(TH!H$1,SMALL(Dong13,ROWS($1:101)),))</f>
        <v/>
      </c>
      <c r="C114" s="630" t="str">
        <f t="shared" ca="1" si="2"/>
        <v/>
      </c>
      <c r="D114" s="630" t="str">
        <f ca="1">IF(ROWS($1:101)&gt;COUNT(Dong13),"",OFFSET(TH!D$1,SMALL(Dong13,ROWS($1:101)),))</f>
        <v/>
      </c>
      <c r="E114" s="907" t="str">
        <f t="shared" ca="1" si="0"/>
        <v/>
      </c>
      <c r="F114" s="631" t="str">
        <f t="shared" ca="1" si="1"/>
        <v/>
      </c>
      <c r="G114" s="632" t="str">
        <f ca="1">IF(ROWS($1:101)&gt;COUNT(Dong13),"",OFFSET(TH!F$1,SMALL(Dong13,ROWS($1:101)),))</f>
        <v/>
      </c>
      <c r="H114" s="633" t="str">
        <f ca="1">IF(ROWS($1:101)&gt;COUNT(Dong13),"",OFFSET(TH!I$1,SMALL(Dong13,ROWS($1:101)),))</f>
        <v/>
      </c>
      <c r="I114" s="633" t="str">
        <f ca="1">IF(ROWS($1:101)&gt;COUNT(Dong13),"",OFFSET(TH!J$1,SMALL(Dong13,ROWS($1:101)),))</f>
        <v/>
      </c>
      <c r="J114" s="634">
        <f t="shared" ca="1" si="7"/>
        <v>0</v>
      </c>
      <c r="K114" s="636"/>
      <c r="L114" s="635"/>
      <c r="M114" s="614"/>
      <c r="N114" s="614"/>
    </row>
    <row r="115" spans="1:14" ht="27" customHeight="1">
      <c r="A115" s="213" t="str">
        <f ca="1">IF(ROWS($1:102)&gt;COUNT(Dong13),"",OFFSET(TH!E$1,SMALL(Dong13,ROWS($1:102)),))</f>
        <v/>
      </c>
      <c r="B115" s="216" t="str">
        <f ca="1">IF(ROWS($1:102)&gt;COUNT(Dong13),"",OFFSET(TH!H$1,SMALL(Dong13,ROWS($1:102)),))</f>
        <v/>
      </c>
      <c r="C115" s="630" t="str">
        <f t="shared" ca="1" si="2"/>
        <v/>
      </c>
      <c r="D115" s="630" t="str">
        <f ca="1">IF(ROWS($1:102)&gt;COUNT(Dong13),"",OFFSET(TH!D$1,SMALL(Dong13,ROWS($1:102)),))</f>
        <v/>
      </c>
      <c r="E115" s="907" t="str">
        <f t="shared" ca="1" si="0"/>
        <v/>
      </c>
      <c r="F115" s="631" t="str">
        <f t="shared" ca="1" si="1"/>
        <v/>
      </c>
      <c r="G115" s="632" t="str">
        <f ca="1">IF(ROWS($1:102)&gt;COUNT(Dong13),"",OFFSET(TH!F$1,SMALL(Dong13,ROWS($1:102)),))</f>
        <v/>
      </c>
      <c r="H115" s="633" t="str">
        <f ca="1">IF(ROWS($1:102)&gt;COUNT(Dong13),"",OFFSET(TH!I$1,SMALL(Dong13,ROWS($1:102)),))</f>
        <v/>
      </c>
      <c r="I115" s="633" t="str">
        <f ca="1">IF(ROWS($1:102)&gt;COUNT(Dong13),"",OFFSET(TH!J$1,SMALL(Dong13,ROWS($1:102)),))</f>
        <v/>
      </c>
      <c r="J115" s="634">
        <f t="shared" ca="1" si="7"/>
        <v>0</v>
      </c>
      <c r="K115" s="636"/>
      <c r="L115" s="635"/>
      <c r="M115" s="614"/>
      <c r="N115" s="614"/>
    </row>
    <row r="116" spans="1:14" ht="27" customHeight="1">
      <c r="A116" s="213" t="str">
        <f ca="1">IF(ROWS($1:103)&gt;COUNT(Dong13),"",OFFSET(TH!E$1,SMALL(Dong13,ROWS($1:103)),))</f>
        <v/>
      </c>
      <c r="B116" s="216" t="str">
        <f ca="1">IF(ROWS($1:103)&gt;COUNT(Dong13),"",OFFSET(TH!H$1,SMALL(Dong13,ROWS($1:103)),))</f>
        <v/>
      </c>
      <c r="C116" s="630" t="str">
        <f t="shared" ca="1" si="2"/>
        <v/>
      </c>
      <c r="D116" s="630" t="str">
        <f ca="1">IF(ROWS($1:103)&gt;COUNT(Dong13),"",OFFSET(TH!D$1,SMALL(Dong13,ROWS($1:103)),))</f>
        <v/>
      </c>
      <c r="E116" s="907" t="str">
        <f t="shared" ca="1" si="0"/>
        <v/>
      </c>
      <c r="F116" s="631" t="str">
        <f t="shared" ca="1" si="1"/>
        <v/>
      </c>
      <c r="G116" s="632" t="str">
        <f ca="1">IF(ROWS($1:103)&gt;COUNT(Dong13),"",OFFSET(TH!F$1,SMALL(Dong13,ROWS($1:103)),))</f>
        <v/>
      </c>
      <c r="H116" s="633" t="str">
        <f ca="1">IF(ROWS($1:103)&gt;COUNT(Dong13),"",OFFSET(TH!I$1,SMALL(Dong13,ROWS($1:103)),))</f>
        <v/>
      </c>
      <c r="I116" s="633" t="str">
        <f ca="1">IF(ROWS($1:103)&gt;COUNT(Dong13),"",OFFSET(TH!J$1,SMALL(Dong13,ROWS($1:103)),))</f>
        <v/>
      </c>
      <c r="J116" s="634">
        <f t="shared" ca="1" si="7"/>
        <v>0</v>
      </c>
      <c r="K116" s="636"/>
      <c r="L116" s="635"/>
      <c r="M116" s="614"/>
      <c r="N116" s="614"/>
    </row>
    <row r="117" spans="1:14" ht="27" customHeight="1">
      <c r="A117" s="213" t="str">
        <f ca="1">IF(ROWS($1:104)&gt;COUNT(Dong13),"",OFFSET(TH!E$1,SMALL(Dong13,ROWS($1:104)),))</f>
        <v/>
      </c>
      <c r="B117" s="216" t="str">
        <f ca="1">IF(ROWS($1:104)&gt;COUNT(Dong13),"",OFFSET(TH!H$1,SMALL(Dong13,ROWS($1:104)),))</f>
        <v/>
      </c>
      <c r="C117" s="630" t="str">
        <f t="shared" ca="1" si="2"/>
        <v/>
      </c>
      <c r="D117" s="630" t="str">
        <f ca="1">IF(ROWS($1:104)&gt;COUNT(Dong13),"",OFFSET(TH!D$1,SMALL(Dong13,ROWS($1:104)),))</f>
        <v/>
      </c>
      <c r="E117" s="907" t="str">
        <f t="shared" ca="1" si="0"/>
        <v/>
      </c>
      <c r="F117" s="631" t="str">
        <f t="shared" ca="1" si="1"/>
        <v/>
      </c>
      <c r="G117" s="632" t="str">
        <f ca="1">IF(ROWS($1:104)&gt;COUNT(Dong13),"",OFFSET(TH!F$1,SMALL(Dong13,ROWS($1:104)),))</f>
        <v/>
      </c>
      <c r="H117" s="633" t="str">
        <f ca="1">IF(ROWS($1:104)&gt;COUNT(Dong13),"",OFFSET(TH!I$1,SMALL(Dong13,ROWS($1:104)),))</f>
        <v/>
      </c>
      <c r="I117" s="633" t="str">
        <f ca="1">IF(ROWS($1:104)&gt;COUNT(Dong13),"",OFFSET(TH!J$1,SMALL(Dong13,ROWS($1:104)),))</f>
        <v/>
      </c>
      <c r="J117" s="634">
        <f t="shared" ca="1" si="7"/>
        <v>0</v>
      </c>
      <c r="K117" s="636"/>
      <c r="L117" s="635"/>
      <c r="M117" s="614"/>
      <c r="N117" s="614"/>
    </row>
    <row r="118" spans="1:14" ht="27" customHeight="1">
      <c r="A118" s="213" t="str">
        <f ca="1">IF(ROWS($1:105)&gt;COUNT(Dong13),"",OFFSET(TH!E$1,SMALL(Dong13,ROWS($1:105)),))</f>
        <v/>
      </c>
      <c r="B118" s="216" t="str">
        <f ca="1">IF(ROWS($1:105)&gt;COUNT(Dong13),"",OFFSET(TH!H$1,SMALL(Dong13,ROWS($1:105)),))</f>
        <v/>
      </c>
      <c r="C118" s="630" t="str">
        <f t="shared" ca="1" si="2"/>
        <v/>
      </c>
      <c r="D118" s="630" t="str">
        <f ca="1">IF(ROWS($1:105)&gt;COUNT(Dong13),"",OFFSET(TH!D$1,SMALL(Dong13,ROWS($1:105)),))</f>
        <v/>
      </c>
      <c r="E118" s="907" t="str">
        <f t="shared" ca="1" si="0"/>
        <v/>
      </c>
      <c r="F118" s="631" t="str">
        <f t="shared" ca="1" si="1"/>
        <v/>
      </c>
      <c r="G118" s="632" t="str">
        <f ca="1">IF(ROWS($1:105)&gt;COUNT(Dong13),"",OFFSET(TH!F$1,SMALL(Dong13,ROWS($1:105)),))</f>
        <v/>
      </c>
      <c r="H118" s="633" t="str">
        <f ca="1">IF(ROWS($1:105)&gt;COUNT(Dong13),"",OFFSET(TH!I$1,SMALL(Dong13,ROWS($1:105)),))</f>
        <v/>
      </c>
      <c r="I118" s="633" t="str">
        <f ca="1">IF(ROWS($1:105)&gt;COUNT(Dong13),"",OFFSET(TH!J$1,SMALL(Dong13,ROWS($1:105)),))</f>
        <v/>
      </c>
      <c r="J118" s="634">
        <f t="shared" ca="1" si="7"/>
        <v>0</v>
      </c>
      <c r="K118" s="636"/>
      <c r="L118" s="635"/>
      <c r="M118" s="614"/>
      <c r="N118" s="614"/>
    </row>
    <row r="119" spans="1:14" ht="27" customHeight="1">
      <c r="A119" s="213" t="str">
        <f ca="1">IF(ROWS($1:106)&gt;COUNT(Dong13),"",OFFSET(TH!E$1,SMALL(Dong13,ROWS($1:106)),))</f>
        <v/>
      </c>
      <c r="B119" s="216" t="str">
        <f ca="1">IF(ROWS($1:106)&gt;COUNT(Dong13),"",OFFSET(TH!H$1,SMALL(Dong13,ROWS($1:106)),))</f>
        <v/>
      </c>
      <c r="C119" s="630" t="str">
        <f t="shared" ca="1" si="2"/>
        <v/>
      </c>
      <c r="D119" s="630" t="str">
        <f ca="1">IF(ROWS($1:106)&gt;COUNT(Dong13),"",OFFSET(TH!D$1,SMALL(Dong13,ROWS($1:106)),))</f>
        <v/>
      </c>
      <c r="E119" s="907" t="str">
        <f t="shared" ca="1" si="0"/>
        <v/>
      </c>
      <c r="F119" s="631" t="str">
        <f t="shared" ca="1" si="1"/>
        <v/>
      </c>
      <c r="G119" s="632" t="str">
        <f ca="1">IF(ROWS($1:106)&gt;COUNT(Dong13),"",OFFSET(TH!F$1,SMALL(Dong13,ROWS($1:106)),))</f>
        <v/>
      </c>
      <c r="H119" s="633" t="str">
        <f ca="1">IF(ROWS($1:106)&gt;COUNT(Dong13),"",OFFSET(TH!I$1,SMALL(Dong13,ROWS($1:106)),))</f>
        <v/>
      </c>
      <c r="I119" s="633" t="str">
        <f ca="1">IF(ROWS($1:106)&gt;COUNT(Dong13),"",OFFSET(TH!J$1,SMALL(Dong13,ROWS($1:106)),))</f>
        <v/>
      </c>
      <c r="J119" s="634">
        <f t="shared" ca="1" si="7"/>
        <v>0</v>
      </c>
      <c r="K119" s="636"/>
      <c r="L119" s="635"/>
      <c r="M119" s="614"/>
      <c r="N119" s="614"/>
    </row>
    <row r="120" spans="1:14" ht="27" customHeight="1">
      <c r="A120" s="213" t="str">
        <f ca="1">IF(ROWS($1:107)&gt;COUNT(Dong13),"",OFFSET(TH!E$1,SMALL(Dong13,ROWS($1:107)),))</f>
        <v/>
      </c>
      <c r="B120" s="216" t="str">
        <f ca="1">IF(ROWS($1:107)&gt;COUNT(Dong13),"",OFFSET(TH!H$1,SMALL(Dong13,ROWS($1:107)),))</f>
        <v/>
      </c>
      <c r="C120" s="630" t="str">
        <f t="shared" ca="1" si="2"/>
        <v/>
      </c>
      <c r="D120" s="630" t="str">
        <f ca="1">IF(ROWS($1:107)&gt;COUNT(Dong13),"",OFFSET(TH!D$1,SMALL(Dong13,ROWS($1:107)),))</f>
        <v/>
      </c>
      <c r="E120" s="907" t="str">
        <f t="shared" ca="1" si="0"/>
        <v/>
      </c>
      <c r="F120" s="631" t="str">
        <f t="shared" ca="1" si="1"/>
        <v/>
      </c>
      <c r="G120" s="632" t="str">
        <f ca="1">IF(ROWS($1:107)&gt;COUNT(Dong13),"",OFFSET(TH!F$1,SMALL(Dong13,ROWS($1:107)),))</f>
        <v/>
      </c>
      <c r="H120" s="633" t="str">
        <f ca="1">IF(ROWS($1:107)&gt;COUNT(Dong13),"",OFFSET(TH!I$1,SMALL(Dong13,ROWS($1:107)),))</f>
        <v/>
      </c>
      <c r="I120" s="633" t="str">
        <f ca="1">IF(ROWS($1:107)&gt;COUNT(Dong13),"",OFFSET(TH!J$1,SMALL(Dong13,ROWS($1:107)),))</f>
        <v/>
      </c>
      <c r="J120" s="634">
        <f t="shared" ca="1" si="7"/>
        <v>0</v>
      </c>
      <c r="K120" s="636"/>
      <c r="L120" s="635"/>
      <c r="M120" s="614"/>
      <c r="N120" s="614"/>
    </row>
    <row r="121" spans="1:14" ht="27" customHeight="1">
      <c r="A121" s="213" t="str">
        <f ca="1">IF(ROWS($1:108)&gt;COUNT(Dong13),"",OFFSET(TH!E$1,SMALL(Dong13,ROWS($1:108)),))</f>
        <v/>
      </c>
      <c r="B121" s="216" t="str">
        <f ca="1">IF(ROWS($1:108)&gt;COUNT(Dong13),"",OFFSET(TH!H$1,SMALL(Dong13,ROWS($1:108)),))</f>
        <v/>
      </c>
      <c r="C121" s="630" t="str">
        <f t="shared" ca="1" si="2"/>
        <v/>
      </c>
      <c r="D121" s="630" t="str">
        <f ca="1">IF(ROWS($1:108)&gt;COUNT(Dong13),"",OFFSET(TH!D$1,SMALL(Dong13,ROWS($1:108)),))</f>
        <v/>
      </c>
      <c r="E121" s="907" t="str">
        <f t="shared" ca="1" si="0"/>
        <v/>
      </c>
      <c r="F121" s="631" t="str">
        <f t="shared" ca="1" si="1"/>
        <v/>
      </c>
      <c r="G121" s="632" t="str">
        <f ca="1">IF(ROWS($1:108)&gt;COUNT(Dong13),"",OFFSET(TH!F$1,SMALL(Dong13,ROWS($1:108)),))</f>
        <v/>
      </c>
      <c r="H121" s="633" t="str">
        <f ca="1">IF(ROWS($1:108)&gt;COUNT(Dong13),"",OFFSET(TH!I$1,SMALL(Dong13,ROWS($1:108)),))</f>
        <v/>
      </c>
      <c r="I121" s="633" t="str">
        <f ca="1">IF(ROWS($1:108)&gt;COUNT(Dong13),"",OFFSET(TH!J$1,SMALL(Dong13,ROWS($1:108)),))</f>
        <v/>
      </c>
      <c r="J121" s="634">
        <f t="shared" ref="J121" ca="1" si="8">IF(B121&lt;&gt;"",H121*I121,0)</f>
        <v>0</v>
      </c>
      <c r="K121" s="636"/>
      <c r="L121" s="635"/>
      <c r="M121" s="614"/>
      <c r="N121" s="614"/>
    </row>
    <row r="122" spans="1:14" ht="27" customHeight="1">
      <c r="A122" s="213" t="str">
        <f ca="1">IF(ROWS($1:109)&gt;COUNT(Dong13),"",OFFSET(TH!E$1,SMALL(Dong13,ROWS($1:109)),))</f>
        <v/>
      </c>
      <c r="B122" s="216" t="str">
        <f ca="1">IF(ROWS($1:109)&gt;COUNT(Dong13),"",OFFSET(TH!H$1,SMALL(Dong13,ROWS($1:109)),))</f>
        <v/>
      </c>
      <c r="C122" s="630" t="str">
        <f t="shared" ca="1" si="2"/>
        <v/>
      </c>
      <c r="D122" s="630" t="str">
        <f ca="1">IF(ROWS($1:109)&gt;COUNT(Dong13),"",OFFSET(TH!D$1,SMALL(Dong13,ROWS($1:109)),))</f>
        <v/>
      </c>
      <c r="E122" s="907" t="str">
        <f t="shared" ca="1" si="0"/>
        <v/>
      </c>
      <c r="F122" s="631" t="str">
        <f t="shared" ca="1" si="1"/>
        <v/>
      </c>
      <c r="G122" s="632" t="str">
        <f ca="1">IF(ROWS($1:109)&gt;COUNT(Dong13),"",OFFSET(TH!F$1,SMALL(Dong13,ROWS($1:109)),))</f>
        <v/>
      </c>
      <c r="H122" s="633" t="str">
        <f ca="1">IF(ROWS($1:109)&gt;COUNT(Dong13),"",OFFSET(TH!I$1,SMALL(Dong13,ROWS($1:109)),))</f>
        <v/>
      </c>
      <c r="I122" s="633" t="str">
        <f ca="1">IF(ROWS($1:109)&gt;COUNT(Dong13),"",OFFSET(TH!J$1,SMALL(Dong13,ROWS($1:109)),))</f>
        <v/>
      </c>
      <c r="J122" s="634">
        <f t="shared" ref="J122:J128" ca="1" si="9">IF(B122&lt;&gt;"",H122*I122,0)</f>
        <v>0</v>
      </c>
      <c r="K122" s="636"/>
      <c r="L122" s="635"/>
      <c r="M122" s="614"/>
      <c r="N122" s="614"/>
    </row>
    <row r="123" spans="1:14" ht="27" customHeight="1">
      <c r="A123" s="213" t="str">
        <f ca="1">IF(ROWS($1:110)&gt;COUNT(Dong13),"",OFFSET(TH!E$1,SMALL(Dong13,ROWS($1:110)),))</f>
        <v/>
      </c>
      <c r="B123" s="216" t="str">
        <f ca="1">IF(ROWS($1:110)&gt;COUNT(Dong13),"",OFFSET(TH!H$1,SMALL(Dong13,ROWS($1:110)),))</f>
        <v/>
      </c>
      <c r="C123" s="630" t="str">
        <f t="shared" ca="1" si="2"/>
        <v/>
      </c>
      <c r="D123" s="630" t="str">
        <f ca="1">IF(ROWS($1:110)&gt;COUNT(Dong13),"",OFFSET(TH!D$1,SMALL(Dong13,ROWS($1:110)),))</f>
        <v/>
      </c>
      <c r="E123" s="907" t="str">
        <f t="shared" ca="1" si="0"/>
        <v/>
      </c>
      <c r="F123" s="631" t="str">
        <f t="shared" ca="1" si="1"/>
        <v/>
      </c>
      <c r="G123" s="632" t="str">
        <f ca="1">IF(ROWS($1:110)&gt;COUNT(Dong13),"",OFFSET(TH!F$1,SMALL(Dong13,ROWS($1:110)),))</f>
        <v/>
      </c>
      <c r="H123" s="633" t="str">
        <f ca="1">IF(ROWS($1:110)&gt;COUNT(Dong13),"",OFFSET(TH!I$1,SMALL(Dong13,ROWS($1:110)),))</f>
        <v/>
      </c>
      <c r="I123" s="633" t="str">
        <f ca="1">IF(ROWS($1:110)&gt;COUNT(Dong13),"",OFFSET(TH!J$1,SMALL(Dong13,ROWS($1:110)),))</f>
        <v/>
      </c>
      <c r="J123" s="634">
        <f t="shared" ca="1" si="9"/>
        <v>0</v>
      </c>
      <c r="K123" s="636"/>
      <c r="L123" s="635"/>
      <c r="M123" s="614"/>
      <c r="N123" s="614"/>
    </row>
    <row r="124" spans="1:14" ht="27" customHeight="1">
      <c r="A124" s="213" t="str">
        <f ca="1">IF(ROWS($1:111)&gt;COUNT(Dong13),"",OFFSET(TH!E$1,SMALL(Dong13,ROWS($1:111)),))</f>
        <v/>
      </c>
      <c r="B124" s="216" t="str">
        <f ca="1">IF(ROWS($1:111)&gt;COUNT(Dong13),"",OFFSET(TH!H$1,SMALL(Dong13,ROWS($1:111)),))</f>
        <v/>
      </c>
      <c r="C124" s="630" t="str">
        <f t="shared" ca="1" si="2"/>
        <v/>
      </c>
      <c r="D124" s="630" t="str">
        <f ca="1">IF(ROWS($1:111)&gt;COUNT(Dong13),"",OFFSET(TH!D$1,SMALL(Dong13,ROWS($1:111)),))</f>
        <v/>
      </c>
      <c r="E124" s="907" t="str">
        <f t="shared" ca="1" si="0"/>
        <v/>
      </c>
      <c r="F124" s="631" t="str">
        <f t="shared" ca="1" si="1"/>
        <v/>
      </c>
      <c r="G124" s="632" t="str">
        <f ca="1">IF(ROWS($1:111)&gt;COUNT(Dong13),"",OFFSET(TH!F$1,SMALL(Dong13,ROWS($1:111)),))</f>
        <v/>
      </c>
      <c r="H124" s="633" t="str">
        <f ca="1">IF(ROWS($1:111)&gt;COUNT(Dong13),"",OFFSET(TH!I$1,SMALL(Dong13,ROWS($1:111)),))</f>
        <v/>
      </c>
      <c r="I124" s="633" t="str">
        <f ca="1">IF(ROWS($1:111)&gt;COUNT(Dong13),"",OFFSET(TH!J$1,SMALL(Dong13,ROWS($1:111)),))</f>
        <v/>
      </c>
      <c r="J124" s="634">
        <f t="shared" ca="1" si="9"/>
        <v>0</v>
      </c>
      <c r="K124" s="636"/>
      <c r="L124" s="635"/>
      <c r="M124" s="614"/>
      <c r="N124" s="614"/>
    </row>
    <row r="125" spans="1:14" ht="27" customHeight="1">
      <c r="A125" s="213" t="str">
        <f ca="1">IF(ROWS($1:112)&gt;COUNT(Dong13),"",OFFSET(TH!E$1,SMALL(Dong13,ROWS($1:112)),))</f>
        <v/>
      </c>
      <c r="B125" s="216" t="str">
        <f ca="1">IF(ROWS($1:112)&gt;COUNT(Dong13),"",OFFSET(TH!H$1,SMALL(Dong13,ROWS($1:112)),))</f>
        <v/>
      </c>
      <c r="C125" s="630" t="str">
        <f t="shared" ca="1" si="2"/>
        <v/>
      </c>
      <c r="D125" s="630" t="str">
        <f ca="1">IF(ROWS($1:112)&gt;COUNT(Dong13),"",OFFSET(TH!D$1,SMALL(Dong13,ROWS($1:112)),))</f>
        <v/>
      </c>
      <c r="E125" s="907" t="str">
        <f t="shared" ca="1" si="0"/>
        <v/>
      </c>
      <c r="F125" s="631" t="str">
        <f t="shared" ca="1" si="1"/>
        <v/>
      </c>
      <c r="G125" s="632" t="str">
        <f ca="1">IF(ROWS($1:112)&gt;COUNT(Dong13),"",OFFSET(TH!F$1,SMALL(Dong13,ROWS($1:112)),))</f>
        <v/>
      </c>
      <c r="H125" s="633" t="str">
        <f ca="1">IF(ROWS($1:112)&gt;COUNT(Dong13),"",OFFSET(TH!I$1,SMALL(Dong13,ROWS($1:112)),))</f>
        <v/>
      </c>
      <c r="I125" s="633" t="str">
        <f ca="1">IF(ROWS($1:112)&gt;COUNT(Dong13),"",OFFSET(TH!J$1,SMALL(Dong13,ROWS($1:112)),))</f>
        <v/>
      </c>
      <c r="J125" s="634">
        <f t="shared" ca="1" si="9"/>
        <v>0</v>
      </c>
      <c r="K125" s="636"/>
      <c r="L125" s="635"/>
      <c r="M125" s="614"/>
      <c r="N125" s="614"/>
    </row>
    <row r="126" spans="1:14" ht="27" customHeight="1">
      <c r="A126" s="213" t="str">
        <f ca="1">IF(ROWS($1:113)&gt;COUNT(Dong13),"",OFFSET(TH!E$1,SMALL(Dong13,ROWS($1:113)),))</f>
        <v/>
      </c>
      <c r="B126" s="216" t="str">
        <f ca="1">IF(ROWS($1:113)&gt;COUNT(Dong13),"",OFFSET(TH!H$1,SMALL(Dong13,ROWS($1:113)),))</f>
        <v/>
      </c>
      <c r="C126" s="630" t="str">
        <f t="shared" ca="1" si="2"/>
        <v/>
      </c>
      <c r="D126" s="630" t="str">
        <f ca="1">IF(ROWS($1:113)&gt;COUNT(Dong13),"",OFFSET(TH!D$1,SMALL(Dong13,ROWS($1:113)),))</f>
        <v/>
      </c>
      <c r="E126" s="907" t="str">
        <f t="shared" ca="1" si="0"/>
        <v/>
      </c>
      <c r="F126" s="631" t="str">
        <f t="shared" ca="1" si="1"/>
        <v/>
      </c>
      <c r="G126" s="632" t="str">
        <f ca="1">IF(ROWS($1:113)&gt;COUNT(Dong13),"",OFFSET(TH!F$1,SMALL(Dong13,ROWS($1:113)),))</f>
        <v/>
      </c>
      <c r="H126" s="633" t="str">
        <f ca="1">IF(ROWS($1:113)&gt;COUNT(Dong13),"",OFFSET(TH!I$1,SMALL(Dong13,ROWS($1:113)),))</f>
        <v/>
      </c>
      <c r="I126" s="633" t="str">
        <f ca="1">IF(ROWS($1:113)&gt;COUNT(Dong13),"",OFFSET(TH!J$1,SMALL(Dong13,ROWS($1:113)),))</f>
        <v/>
      </c>
      <c r="J126" s="634">
        <f t="shared" ca="1" si="9"/>
        <v>0</v>
      </c>
      <c r="K126" s="636"/>
      <c r="L126" s="635"/>
      <c r="M126" s="614"/>
      <c r="N126" s="614"/>
    </row>
    <row r="127" spans="1:14" ht="27" customHeight="1">
      <c r="A127" s="213" t="str">
        <f ca="1">IF(ROWS($1:114)&gt;COUNT(Dong13),"",OFFSET(TH!E$1,SMALL(Dong13,ROWS($1:114)),))</f>
        <v/>
      </c>
      <c r="B127" s="216" t="str">
        <f ca="1">IF(ROWS($1:114)&gt;COUNT(Dong13),"",OFFSET(TH!H$1,SMALL(Dong13,ROWS($1:114)),))</f>
        <v/>
      </c>
      <c r="C127" s="630" t="str">
        <f t="shared" ca="1" si="2"/>
        <v/>
      </c>
      <c r="D127" s="630" t="str">
        <f ca="1">IF(ROWS($1:114)&gt;COUNT(Dong13),"",OFFSET(TH!D$1,SMALL(Dong13,ROWS($1:114)),))</f>
        <v/>
      </c>
      <c r="E127" s="907" t="str">
        <f t="shared" ca="1" si="0"/>
        <v/>
      </c>
      <c r="F127" s="631" t="str">
        <f t="shared" ca="1" si="1"/>
        <v/>
      </c>
      <c r="G127" s="632" t="str">
        <f ca="1">IF(ROWS($1:114)&gt;COUNT(Dong13),"",OFFSET(TH!F$1,SMALL(Dong13,ROWS($1:114)),))</f>
        <v/>
      </c>
      <c r="H127" s="633" t="str">
        <f ca="1">IF(ROWS($1:114)&gt;COUNT(Dong13),"",OFFSET(TH!I$1,SMALL(Dong13,ROWS($1:114)),))</f>
        <v/>
      </c>
      <c r="I127" s="633" t="str">
        <f ca="1">IF(ROWS($1:114)&gt;COUNT(Dong13),"",OFFSET(TH!J$1,SMALL(Dong13,ROWS($1:114)),))</f>
        <v/>
      </c>
      <c r="J127" s="634">
        <f t="shared" ca="1" si="9"/>
        <v>0</v>
      </c>
      <c r="K127" s="636"/>
      <c r="L127" s="635"/>
      <c r="M127" s="614"/>
      <c r="N127" s="614"/>
    </row>
    <row r="128" spans="1:14" ht="27" customHeight="1">
      <c r="A128" s="213" t="str">
        <f ca="1">IF(ROWS($1:115)&gt;COUNT(Dong13),"",OFFSET(TH!E$1,SMALL(Dong13,ROWS($1:115)),))</f>
        <v/>
      </c>
      <c r="B128" s="216" t="str">
        <f ca="1">IF(ROWS($1:115)&gt;COUNT(Dong13),"",OFFSET(TH!H$1,SMALL(Dong13,ROWS($1:115)),))</f>
        <v/>
      </c>
      <c r="C128" s="630" t="str">
        <f t="shared" ca="1" si="2"/>
        <v/>
      </c>
      <c r="D128" s="630" t="str">
        <f ca="1">IF(ROWS($1:115)&gt;COUNT(Dong13),"",OFFSET(TH!D$1,SMALL(Dong13,ROWS($1:115)),))</f>
        <v/>
      </c>
      <c r="E128" s="907" t="str">
        <f t="shared" ca="1" si="0"/>
        <v/>
      </c>
      <c r="F128" s="631" t="str">
        <f t="shared" ca="1" si="1"/>
        <v/>
      </c>
      <c r="G128" s="632" t="str">
        <f ca="1">IF(ROWS($1:115)&gt;COUNT(Dong13),"",OFFSET(TH!F$1,SMALL(Dong13,ROWS($1:115)),))</f>
        <v/>
      </c>
      <c r="H128" s="633" t="str">
        <f ca="1">IF(ROWS($1:115)&gt;COUNT(Dong13),"",OFFSET(TH!I$1,SMALL(Dong13,ROWS($1:115)),))</f>
        <v/>
      </c>
      <c r="I128" s="633" t="str">
        <f ca="1">IF(ROWS($1:115)&gt;COUNT(Dong13),"",OFFSET(TH!J$1,SMALL(Dong13,ROWS($1:115)),))</f>
        <v/>
      </c>
      <c r="J128" s="634">
        <f t="shared" ca="1" si="9"/>
        <v>0</v>
      </c>
      <c r="K128" s="636"/>
      <c r="L128" s="635"/>
      <c r="M128" s="614"/>
      <c r="N128" s="614"/>
    </row>
    <row r="129" spans="1:14" ht="27" customHeight="1">
      <c r="A129" s="213" t="str">
        <f ca="1">IF(ROWS($1:116)&gt;COUNT(Dong13),"",OFFSET(TH!E$1,SMALL(Dong13,ROWS($1:116)),))</f>
        <v/>
      </c>
      <c r="B129" s="216" t="str">
        <f ca="1">IF(ROWS($1:116)&gt;COUNT(Dong13),"",OFFSET(TH!H$1,SMALL(Dong13,ROWS($1:116)),))</f>
        <v/>
      </c>
      <c r="C129" s="630" t="str">
        <f t="shared" ca="1" si="2"/>
        <v/>
      </c>
      <c r="D129" s="630" t="str">
        <f ca="1">IF(ROWS($1:116)&gt;COUNT(Dong13),"",OFFSET(TH!D$1,SMALL(Dong13,ROWS($1:116)),))</f>
        <v/>
      </c>
      <c r="E129" s="907" t="str">
        <f t="shared" ca="1" si="0"/>
        <v/>
      </c>
      <c r="F129" s="631" t="str">
        <f t="shared" ca="1" si="1"/>
        <v/>
      </c>
      <c r="G129" s="632" t="str">
        <f ca="1">IF(ROWS($1:116)&gt;COUNT(Dong13),"",OFFSET(TH!F$1,SMALL(Dong13,ROWS($1:116)),))</f>
        <v/>
      </c>
      <c r="H129" s="633" t="str">
        <f ca="1">IF(ROWS($1:116)&gt;COUNT(Dong13),"",OFFSET(TH!I$1,SMALL(Dong13,ROWS($1:116)),))</f>
        <v/>
      </c>
      <c r="I129" s="633" t="str">
        <f ca="1">IF(ROWS($1:116)&gt;COUNT(Dong13),"",OFFSET(TH!J$1,SMALL(Dong13,ROWS($1:116)),))</f>
        <v/>
      </c>
      <c r="J129" s="634">
        <f t="shared" ref="J129:J142" ca="1" si="10">IF(B129&lt;&gt;"",H129*I129,0)</f>
        <v>0</v>
      </c>
      <c r="K129" s="636"/>
      <c r="L129" s="635"/>
      <c r="M129" s="614"/>
      <c r="N129" s="614"/>
    </row>
    <row r="130" spans="1:14" ht="27" customHeight="1">
      <c r="A130" s="213" t="str">
        <f ca="1">IF(ROWS($1:117)&gt;COUNT(Dong13),"",OFFSET(TH!E$1,SMALL(Dong13,ROWS($1:117)),))</f>
        <v/>
      </c>
      <c r="B130" s="216" t="str">
        <f ca="1">IF(ROWS($1:117)&gt;COUNT(Dong13),"",OFFSET(TH!H$1,SMALL(Dong13,ROWS($1:117)),))</f>
        <v/>
      </c>
      <c r="C130" s="630" t="str">
        <f t="shared" ref="C130:C153" ca="1" si="11">IF(ISNA(VLOOKUP($B130,DSNL,6,0)),"",VLOOKUP($B130,DSNL,6,0))</f>
        <v/>
      </c>
      <c r="D130" s="630" t="str">
        <f ca="1">IF(ROWS($1:117)&gt;COUNT(Dong13),"",OFFSET(TH!D$1,SMALL(Dong13,ROWS($1:117)),))</f>
        <v/>
      </c>
      <c r="E130" s="907" t="str">
        <f t="shared" ref="E130:E153" ca="1" si="12">IF(ISNA(VLOOKUP($B130,DSNL,4,0)),"",VLOOKUP($B130,DSNL,4,0))</f>
        <v/>
      </c>
      <c r="F130" s="631" t="str">
        <f t="shared" ref="F130:F153" ca="1" si="13">IF(ISNA(VLOOKUP($B130,DSNL,3,0)),"",VLOOKUP($B130,DSNL,3,0))</f>
        <v/>
      </c>
      <c r="G130" s="632" t="str">
        <f ca="1">IF(ROWS($1:117)&gt;COUNT(Dong13),"",OFFSET(TH!F$1,SMALL(Dong13,ROWS($1:117)),))</f>
        <v/>
      </c>
      <c r="H130" s="633" t="str">
        <f ca="1">IF(ROWS($1:117)&gt;COUNT(Dong13),"",OFFSET(TH!I$1,SMALL(Dong13,ROWS($1:117)),))</f>
        <v/>
      </c>
      <c r="I130" s="633" t="str">
        <f ca="1">IF(ROWS($1:117)&gt;COUNT(Dong13),"",OFFSET(TH!J$1,SMALL(Dong13,ROWS($1:117)),))</f>
        <v/>
      </c>
      <c r="J130" s="634">
        <f t="shared" ca="1" si="10"/>
        <v>0</v>
      </c>
      <c r="K130" s="636"/>
      <c r="L130" s="635"/>
      <c r="M130" s="614"/>
      <c r="N130" s="614"/>
    </row>
    <row r="131" spans="1:14" ht="27" customHeight="1">
      <c r="A131" s="213" t="str">
        <f ca="1">IF(ROWS($1:118)&gt;COUNT(Dong13),"",OFFSET(TH!E$1,SMALL(Dong13,ROWS($1:118)),))</f>
        <v/>
      </c>
      <c r="B131" s="216" t="str">
        <f ca="1">IF(ROWS($1:118)&gt;COUNT(Dong13),"",OFFSET(TH!H$1,SMALL(Dong13,ROWS($1:118)),))</f>
        <v/>
      </c>
      <c r="C131" s="630" t="str">
        <f t="shared" ca="1" si="11"/>
        <v/>
      </c>
      <c r="D131" s="630" t="str">
        <f ca="1">IF(ROWS($1:118)&gt;COUNT(Dong13),"",OFFSET(TH!D$1,SMALL(Dong13,ROWS($1:118)),))</f>
        <v/>
      </c>
      <c r="E131" s="907" t="str">
        <f t="shared" ca="1" si="12"/>
        <v/>
      </c>
      <c r="F131" s="631" t="str">
        <f t="shared" ca="1" si="13"/>
        <v/>
      </c>
      <c r="G131" s="632" t="str">
        <f ca="1">IF(ROWS($1:118)&gt;COUNT(Dong13),"",OFFSET(TH!F$1,SMALL(Dong13,ROWS($1:118)),))</f>
        <v/>
      </c>
      <c r="H131" s="633" t="str">
        <f ca="1">IF(ROWS($1:118)&gt;COUNT(Dong13),"",OFFSET(TH!I$1,SMALL(Dong13,ROWS($1:118)),))</f>
        <v/>
      </c>
      <c r="I131" s="633" t="str">
        <f ca="1">IF(ROWS($1:118)&gt;COUNT(Dong13),"",OFFSET(TH!J$1,SMALL(Dong13,ROWS($1:118)),))</f>
        <v/>
      </c>
      <c r="J131" s="634">
        <f t="shared" ca="1" si="10"/>
        <v>0</v>
      </c>
      <c r="K131" s="636"/>
      <c r="L131" s="635"/>
      <c r="M131" s="614"/>
      <c r="N131" s="614"/>
    </row>
    <row r="132" spans="1:14" ht="27" customHeight="1">
      <c r="A132" s="213" t="str">
        <f ca="1">IF(ROWS($1:119)&gt;COUNT(Dong13),"",OFFSET(TH!E$1,SMALL(Dong13,ROWS($1:119)),))</f>
        <v/>
      </c>
      <c r="B132" s="216" t="str">
        <f ca="1">IF(ROWS($1:119)&gt;COUNT(Dong13),"",OFFSET(TH!H$1,SMALL(Dong13,ROWS($1:119)),))</f>
        <v/>
      </c>
      <c r="C132" s="630" t="str">
        <f t="shared" ca="1" si="11"/>
        <v/>
      </c>
      <c r="D132" s="630" t="str">
        <f ca="1">IF(ROWS($1:119)&gt;COUNT(Dong13),"",OFFSET(TH!D$1,SMALL(Dong13,ROWS($1:119)),))</f>
        <v/>
      </c>
      <c r="E132" s="907" t="str">
        <f t="shared" ca="1" si="12"/>
        <v/>
      </c>
      <c r="F132" s="631" t="str">
        <f t="shared" ca="1" si="13"/>
        <v/>
      </c>
      <c r="G132" s="632" t="str">
        <f ca="1">IF(ROWS($1:119)&gt;COUNT(Dong13),"",OFFSET(TH!F$1,SMALL(Dong13,ROWS($1:119)),))</f>
        <v/>
      </c>
      <c r="H132" s="633" t="str">
        <f ca="1">IF(ROWS($1:119)&gt;COUNT(Dong13),"",OFFSET(TH!I$1,SMALL(Dong13,ROWS($1:119)),))</f>
        <v/>
      </c>
      <c r="I132" s="633" t="str">
        <f ca="1">IF(ROWS($1:119)&gt;COUNT(Dong13),"",OFFSET(TH!J$1,SMALL(Dong13,ROWS($1:119)),))</f>
        <v/>
      </c>
      <c r="J132" s="634">
        <f t="shared" ca="1" si="10"/>
        <v>0</v>
      </c>
      <c r="K132" s="636"/>
      <c r="L132" s="635"/>
      <c r="M132" s="614"/>
      <c r="N132" s="614"/>
    </row>
    <row r="133" spans="1:14" ht="27" customHeight="1">
      <c r="A133" s="213" t="str">
        <f ca="1">IF(ROWS($1:120)&gt;COUNT(Dong13),"",OFFSET(TH!E$1,SMALL(Dong13,ROWS($1:120)),))</f>
        <v/>
      </c>
      <c r="B133" s="216" t="str">
        <f ca="1">IF(ROWS($1:120)&gt;COUNT(Dong13),"",OFFSET(TH!H$1,SMALL(Dong13,ROWS($1:120)),))</f>
        <v/>
      </c>
      <c r="C133" s="630" t="str">
        <f t="shared" ca="1" si="11"/>
        <v/>
      </c>
      <c r="D133" s="630" t="str">
        <f ca="1">IF(ROWS($1:120)&gt;COUNT(Dong13),"",OFFSET(TH!D$1,SMALL(Dong13,ROWS($1:120)),))</f>
        <v/>
      </c>
      <c r="E133" s="907" t="str">
        <f t="shared" ca="1" si="12"/>
        <v/>
      </c>
      <c r="F133" s="631" t="str">
        <f t="shared" ca="1" si="13"/>
        <v/>
      </c>
      <c r="G133" s="632" t="str">
        <f ca="1">IF(ROWS($1:120)&gt;COUNT(Dong13),"",OFFSET(TH!F$1,SMALL(Dong13,ROWS($1:120)),))</f>
        <v/>
      </c>
      <c r="H133" s="633" t="str">
        <f ca="1">IF(ROWS($1:120)&gt;COUNT(Dong13),"",OFFSET(TH!I$1,SMALL(Dong13,ROWS($1:120)),))</f>
        <v/>
      </c>
      <c r="I133" s="633" t="str">
        <f ca="1">IF(ROWS($1:120)&gt;COUNT(Dong13),"",OFFSET(TH!J$1,SMALL(Dong13,ROWS($1:120)),))</f>
        <v/>
      </c>
      <c r="J133" s="634">
        <f t="shared" ca="1" si="10"/>
        <v>0</v>
      </c>
      <c r="K133" s="636"/>
      <c r="L133" s="635"/>
      <c r="M133" s="614"/>
      <c r="N133" s="614"/>
    </row>
    <row r="134" spans="1:14" ht="27" customHeight="1">
      <c r="A134" s="213" t="str">
        <f ca="1">IF(ROWS($1:121)&gt;COUNT(Dong13),"",OFFSET(TH!E$1,SMALL(Dong13,ROWS($1:121)),))</f>
        <v/>
      </c>
      <c r="B134" s="216" t="str">
        <f ca="1">IF(ROWS($1:121)&gt;COUNT(Dong13),"",OFFSET(TH!H$1,SMALL(Dong13,ROWS($1:121)),))</f>
        <v/>
      </c>
      <c r="C134" s="630" t="str">
        <f t="shared" ca="1" si="11"/>
        <v/>
      </c>
      <c r="D134" s="630" t="str">
        <f ca="1">IF(ROWS($1:121)&gt;COUNT(Dong13),"",OFFSET(TH!D$1,SMALL(Dong13,ROWS($1:121)),))</f>
        <v/>
      </c>
      <c r="E134" s="907" t="str">
        <f t="shared" ca="1" si="12"/>
        <v/>
      </c>
      <c r="F134" s="631" t="str">
        <f t="shared" ca="1" si="13"/>
        <v/>
      </c>
      <c r="G134" s="632" t="str">
        <f ca="1">IF(ROWS($1:121)&gt;COUNT(Dong13),"",OFFSET(TH!F$1,SMALL(Dong13,ROWS($1:121)),))</f>
        <v/>
      </c>
      <c r="H134" s="633" t="str">
        <f ca="1">IF(ROWS($1:121)&gt;COUNT(Dong13),"",OFFSET(TH!I$1,SMALL(Dong13,ROWS($1:121)),))</f>
        <v/>
      </c>
      <c r="I134" s="633" t="str">
        <f ca="1">IF(ROWS($1:121)&gt;COUNT(Dong13),"",OFFSET(TH!J$1,SMALL(Dong13,ROWS($1:121)),))</f>
        <v/>
      </c>
      <c r="J134" s="634">
        <f t="shared" ca="1" si="10"/>
        <v>0</v>
      </c>
      <c r="K134" s="636"/>
      <c r="L134" s="635"/>
      <c r="M134" s="614"/>
      <c r="N134" s="614"/>
    </row>
    <row r="135" spans="1:14" ht="27" hidden="1" customHeight="1">
      <c r="A135" s="213" t="str">
        <f ca="1">IF(ROWS($1:122)&gt;COUNT(Dong13),"",OFFSET(TH!E$1,SMALL(Dong13,ROWS($1:122)),))</f>
        <v/>
      </c>
      <c r="B135" s="216" t="str">
        <f ca="1">IF(ROWS($1:122)&gt;COUNT(Dong13),"",OFFSET(TH!H$1,SMALL(Dong13,ROWS($1:122)),))</f>
        <v/>
      </c>
      <c r="C135" s="630" t="str">
        <f t="shared" ca="1" si="11"/>
        <v/>
      </c>
      <c r="D135" s="630" t="str">
        <f ca="1">IF(ROWS($1:122)&gt;COUNT(Dong13),"",OFFSET(TH!D$1,SMALL(Dong13,ROWS($1:122)),))</f>
        <v/>
      </c>
      <c r="E135" s="907" t="str">
        <f t="shared" ca="1" si="12"/>
        <v/>
      </c>
      <c r="F135" s="631" t="str">
        <f t="shared" ca="1" si="13"/>
        <v/>
      </c>
      <c r="G135" s="632" t="str">
        <f ca="1">IF(ROWS($1:122)&gt;COUNT(Dong13),"",OFFSET(TH!F$1,SMALL(Dong13,ROWS($1:122)),))</f>
        <v/>
      </c>
      <c r="H135" s="633" t="str">
        <f ca="1">IF(ROWS($1:122)&gt;COUNT(Dong13),"",OFFSET(TH!I$1,SMALL(Dong13,ROWS($1:122)),))</f>
        <v/>
      </c>
      <c r="I135" s="633" t="str">
        <f ca="1">IF(ROWS($1:122)&gt;COUNT(Dong13),"",OFFSET(TH!J$1,SMALL(Dong13,ROWS($1:122)),))</f>
        <v/>
      </c>
      <c r="J135" s="634">
        <f t="shared" ca="1" si="10"/>
        <v>0</v>
      </c>
      <c r="K135" s="636"/>
      <c r="L135" s="635"/>
      <c r="M135" s="614"/>
      <c r="N135" s="614"/>
    </row>
    <row r="136" spans="1:14" ht="27" hidden="1" customHeight="1">
      <c r="A136" s="213" t="str">
        <f ca="1">IF(ROWS($1:123)&gt;COUNT(Dong13),"",OFFSET(TH!E$1,SMALL(Dong13,ROWS($1:123)),))</f>
        <v/>
      </c>
      <c r="B136" s="216" t="str">
        <f ca="1">IF(ROWS($1:123)&gt;COUNT(Dong13),"",OFFSET(TH!H$1,SMALL(Dong13,ROWS($1:123)),))</f>
        <v/>
      </c>
      <c r="C136" s="630" t="str">
        <f t="shared" ca="1" si="11"/>
        <v/>
      </c>
      <c r="D136" s="630" t="str">
        <f ca="1">IF(ROWS($1:123)&gt;COUNT(Dong13),"",OFFSET(TH!D$1,SMALL(Dong13,ROWS($1:123)),))</f>
        <v/>
      </c>
      <c r="E136" s="907" t="str">
        <f t="shared" ca="1" si="12"/>
        <v/>
      </c>
      <c r="F136" s="631" t="str">
        <f t="shared" ca="1" si="13"/>
        <v/>
      </c>
      <c r="G136" s="632" t="str">
        <f ca="1">IF(ROWS($1:123)&gt;COUNT(Dong13),"",OFFSET(TH!F$1,SMALL(Dong13,ROWS($1:123)),))</f>
        <v/>
      </c>
      <c r="H136" s="633" t="str">
        <f ca="1">IF(ROWS($1:123)&gt;COUNT(Dong13),"",OFFSET(TH!I$1,SMALL(Dong13,ROWS($1:123)),))</f>
        <v/>
      </c>
      <c r="I136" s="633" t="str">
        <f ca="1">IF(ROWS($1:123)&gt;COUNT(Dong13),"",OFFSET(TH!J$1,SMALL(Dong13,ROWS($1:123)),))</f>
        <v/>
      </c>
      <c r="J136" s="634">
        <f t="shared" ca="1" si="10"/>
        <v>0</v>
      </c>
      <c r="K136" s="636"/>
      <c r="L136" s="635"/>
      <c r="M136" s="614"/>
      <c r="N136" s="614"/>
    </row>
    <row r="137" spans="1:14" ht="27" hidden="1" customHeight="1">
      <c r="A137" s="213" t="str">
        <f ca="1">IF(ROWS($1:124)&gt;COUNT(Dong13),"",OFFSET(TH!E$1,SMALL(Dong13,ROWS($1:124)),))</f>
        <v/>
      </c>
      <c r="B137" s="216" t="str">
        <f ca="1">IF(ROWS($1:124)&gt;COUNT(Dong13),"",OFFSET(TH!H$1,SMALL(Dong13,ROWS($1:124)),))</f>
        <v/>
      </c>
      <c r="C137" s="630" t="str">
        <f t="shared" ca="1" si="11"/>
        <v/>
      </c>
      <c r="D137" s="630" t="str">
        <f ca="1">IF(ROWS($1:124)&gt;COUNT(Dong13),"",OFFSET(TH!D$1,SMALL(Dong13,ROWS($1:124)),))</f>
        <v/>
      </c>
      <c r="E137" s="907" t="str">
        <f t="shared" ca="1" si="12"/>
        <v/>
      </c>
      <c r="F137" s="631" t="str">
        <f t="shared" ca="1" si="13"/>
        <v/>
      </c>
      <c r="G137" s="632" t="str">
        <f ca="1">IF(ROWS($1:124)&gt;COUNT(Dong13),"",OFFSET(TH!F$1,SMALL(Dong13,ROWS($1:124)),))</f>
        <v/>
      </c>
      <c r="H137" s="633" t="str">
        <f ca="1">IF(ROWS($1:124)&gt;COUNT(Dong13),"",OFFSET(TH!I$1,SMALL(Dong13,ROWS($1:124)),))</f>
        <v/>
      </c>
      <c r="I137" s="633" t="str">
        <f ca="1">IF(ROWS($1:124)&gt;COUNT(Dong13),"",OFFSET(TH!J$1,SMALL(Dong13,ROWS($1:124)),))</f>
        <v/>
      </c>
      <c r="J137" s="634">
        <f t="shared" ca="1" si="10"/>
        <v>0</v>
      </c>
      <c r="K137" s="636"/>
      <c r="L137" s="635"/>
      <c r="M137" s="614"/>
      <c r="N137" s="614"/>
    </row>
    <row r="138" spans="1:14" ht="27" hidden="1" customHeight="1">
      <c r="A138" s="213" t="str">
        <f ca="1">IF(ROWS($1:125)&gt;COUNT(Dong13),"",OFFSET(TH!E$1,SMALL(Dong13,ROWS($1:125)),))</f>
        <v/>
      </c>
      <c r="B138" s="216" t="str">
        <f ca="1">IF(ROWS($1:125)&gt;COUNT(Dong13),"",OFFSET(TH!H$1,SMALL(Dong13,ROWS($1:125)),))</f>
        <v/>
      </c>
      <c r="C138" s="630" t="str">
        <f t="shared" ca="1" si="11"/>
        <v/>
      </c>
      <c r="D138" s="630" t="str">
        <f ca="1">IF(ROWS($1:125)&gt;COUNT(Dong13),"",OFFSET(TH!D$1,SMALL(Dong13,ROWS($1:125)),))</f>
        <v/>
      </c>
      <c r="E138" s="907" t="str">
        <f t="shared" ca="1" si="12"/>
        <v/>
      </c>
      <c r="F138" s="631" t="str">
        <f t="shared" ca="1" si="13"/>
        <v/>
      </c>
      <c r="G138" s="632" t="str">
        <f ca="1">IF(ROWS($1:125)&gt;COUNT(Dong13),"",OFFSET(TH!F$1,SMALL(Dong13,ROWS($1:125)),))</f>
        <v/>
      </c>
      <c r="H138" s="633" t="str">
        <f ca="1">IF(ROWS($1:125)&gt;COUNT(Dong13),"",OFFSET(TH!I$1,SMALL(Dong13,ROWS($1:125)),))</f>
        <v/>
      </c>
      <c r="I138" s="633" t="str">
        <f ca="1">IF(ROWS($1:125)&gt;COUNT(Dong13),"",OFFSET(TH!J$1,SMALL(Dong13,ROWS($1:125)),))</f>
        <v/>
      </c>
      <c r="J138" s="634">
        <f t="shared" ca="1" si="10"/>
        <v>0</v>
      </c>
      <c r="K138" s="636"/>
      <c r="L138" s="635"/>
      <c r="M138" s="614"/>
      <c r="N138" s="614"/>
    </row>
    <row r="139" spans="1:14" ht="27" hidden="1" customHeight="1">
      <c r="A139" s="213" t="str">
        <f ca="1">IF(ROWS($1:126)&gt;COUNT(Dong13),"",OFFSET(TH!E$1,SMALL(Dong13,ROWS($1:126)),))</f>
        <v/>
      </c>
      <c r="B139" s="216" t="str">
        <f ca="1">IF(ROWS($1:126)&gt;COUNT(Dong13),"",OFFSET(TH!H$1,SMALL(Dong13,ROWS($1:126)),))</f>
        <v/>
      </c>
      <c r="C139" s="630" t="str">
        <f t="shared" ca="1" si="11"/>
        <v/>
      </c>
      <c r="D139" s="630" t="str">
        <f ca="1">IF(ROWS($1:126)&gt;COUNT(Dong13),"",OFFSET(TH!D$1,SMALL(Dong13,ROWS($1:126)),))</f>
        <v/>
      </c>
      <c r="E139" s="907" t="str">
        <f t="shared" ca="1" si="12"/>
        <v/>
      </c>
      <c r="F139" s="631" t="str">
        <f t="shared" ca="1" si="13"/>
        <v/>
      </c>
      <c r="G139" s="632" t="str">
        <f ca="1">IF(ROWS($1:126)&gt;COUNT(Dong13),"",OFFSET(TH!F$1,SMALL(Dong13,ROWS($1:126)),))</f>
        <v/>
      </c>
      <c r="H139" s="633" t="str">
        <f ca="1">IF(ROWS($1:126)&gt;COUNT(Dong13),"",OFFSET(TH!I$1,SMALL(Dong13,ROWS($1:126)),))</f>
        <v/>
      </c>
      <c r="I139" s="633" t="str">
        <f ca="1">IF(ROWS($1:126)&gt;COUNT(Dong13),"",OFFSET(TH!J$1,SMALL(Dong13,ROWS($1:126)),))</f>
        <v/>
      </c>
      <c r="J139" s="634">
        <f t="shared" ca="1" si="10"/>
        <v>0</v>
      </c>
      <c r="K139" s="636"/>
      <c r="L139" s="635"/>
      <c r="M139" s="614"/>
      <c r="N139" s="614"/>
    </row>
    <row r="140" spans="1:14" ht="27" hidden="1" customHeight="1">
      <c r="A140" s="213" t="str">
        <f ca="1">IF(ROWS($1:127)&gt;COUNT(Dong13),"",OFFSET(TH!E$1,SMALL(Dong13,ROWS($1:127)),))</f>
        <v/>
      </c>
      <c r="B140" s="216" t="str">
        <f ca="1">IF(ROWS($1:127)&gt;COUNT(Dong13),"",OFFSET(TH!H$1,SMALL(Dong13,ROWS($1:127)),))</f>
        <v/>
      </c>
      <c r="C140" s="630" t="str">
        <f t="shared" ca="1" si="11"/>
        <v/>
      </c>
      <c r="D140" s="630" t="str">
        <f ca="1">IF(ROWS($1:127)&gt;COUNT(Dong13),"",OFFSET(TH!D$1,SMALL(Dong13,ROWS($1:127)),))</f>
        <v/>
      </c>
      <c r="E140" s="907" t="str">
        <f t="shared" ca="1" si="12"/>
        <v/>
      </c>
      <c r="F140" s="631" t="str">
        <f t="shared" ca="1" si="13"/>
        <v/>
      </c>
      <c r="G140" s="632" t="str">
        <f ca="1">IF(ROWS($1:127)&gt;COUNT(Dong13),"",OFFSET(TH!F$1,SMALL(Dong13,ROWS($1:127)),))</f>
        <v/>
      </c>
      <c r="H140" s="633" t="str">
        <f ca="1">IF(ROWS($1:127)&gt;COUNT(Dong13),"",OFFSET(TH!I$1,SMALL(Dong13,ROWS($1:127)),))</f>
        <v/>
      </c>
      <c r="I140" s="633" t="str">
        <f ca="1">IF(ROWS($1:127)&gt;COUNT(Dong13),"",OFFSET(TH!J$1,SMALL(Dong13,ROWS($1:127)),))</f>
        <v/>
      </c>
      <c r="J140" s="634">
        <f t="shared" ca="1" si="10"/>
        <v>0</v>
      </c>
      <c r="K140" s="636"/>
      <c r="L140" s="635"/>
      <c r="M140" s="614"/>
      <c r="N140" s="614"/>
    </row>
    <row r="141" spans="1:14" ht="27" hidden="1" customHeight="1">
      <c r="A141" s="213" t="str">
        <f ca="1">IF(ROWS($1:128)&gt;COUNT(Dong13),"",OFFSET(TH!E$1,SMALL(Dong13,ROWS($1:128)),))</f>
        <v/>
      </c>
      <c r="B141" s="216" t="str">
        <f ca="1">IF(ROWS($1:128)&gt;COUNT(Dong13),"",OFFSET(TH!H$1,SMALL(Dong13,ROWS($1:128)),))</f>
        <v/>
      </c>
      <c r="C141" s="630" t="str">
        <f t="shared" ca="1" si="11"/>
        <v/>
      </c>
      <c r="D141" s="630" t="str">
        <f ca="1">IF(ROWS($1:128)&gt;COUNT(Dong13),"",OFFSET(TH!D$1,SMALL(Dong13,ROWS($1:128)),))</f>
        <v/>
      </c>
      <c r="E141" s="907" t="str">
        <f t="shared" ca="1" si="12"/>
        <v/>
      </c>
      <c r="F141" s="631" t="str">
        <f t="shared" ca="1" si="13"/>
        <v/>
      </c>
      <c r="G141" s="632" t="str">
        <f ca="1">IF(ROWS($1:128)&gt;COUNT(Dong13),"",OFFSET(TH!F$1,SMALL(Dong13,ROWS($1:128)),))</f>
        <v/>
      </c>
      <c r="H141" s="633" t="str">
        <f ca="1">IF(ROWS($1:128)&gt;COUNT(Dong13),"",OFFSET(TH!I$1,SMALL(Dong13,ROWS($1:128)),))</f>
        <v/>
      </c>
      <c r="I141" s="633" t="str">
        <f ca="1">IF(ROWS($1:128)&gt;COUNT(Dong13),"",OFFSET(TH!J$1,SMALL(Dong13,ROWS($1:128)),))</f>
        <v/>
      </c>
      <c r="J141" s="634">
        <f t="shared" ca="1" si="10"/>
        <v>0</v>
      </c>
      <c r="K141" s="636"/>
      <c r="L141" s="635"/>
      <c r="M141" s="614"/>
      <c r="N141" s="614"/>
    </row>
    <row r="142" spans="1:14" ht="27" hidden="1" customHeight="1">
      <c r="A142" s="213" t="str">
        <f ca="1">IF(ROWS($1:129)&gt;COUNT(Dong13),"",OFFSET(TH!E$1,SMALL(Dong13,ROWS($1:129)),))</f>
        <v/>
      </c>
      <c r="B142" s="216" t="str">
        <f ca="1">IF(ROWS($1:129)&gt;COUNT(Dong13),"",OFFSET(TH!H$1,SMALL(Dong13,ROWS($1:129)),))</f>
        <v/>
      </c>
      <c r="C142" s="630" t="str">
        <f t="shared" ca="1" si="11"/>
        <v/>
      </c>
      <c r="D142" s="630" t="str">
        <f ca="1">IF(ROWS($1:129)&gt;COUNT(Dong13),"",OFFSET(TH!D$1,SMALL(Dong13,ROWS($1:129)),))</f>
        <v/>
      </c>
      <c r="E142" s="907" t="str">
        <f t="shared" ca="1" si="12"/>
        <v/>
      </c>
      <c r="F142" s="631" t="str">
        <f t="shared" ca="1" si="13"/>
        <v/>
      </c>
      <c r="G142" s="632" t="str">
        <f ca="1">IF(ROWS($1:129)&gt;COUNT(Dong13),"",OFFSET(TH!F$1,SMALL(Dong13,ROWS($1:129)),))</f>
        <v/>
      </c>
      <c r="H142" s="633" t="str">
        <f ca="1">IF(ROWS($1:129)&gt;COUNT(Dong13),"",OFFSET(TH!I$1,SMALL(Dong13,ROWS($1:129)),))</f>
        <v/>
      </c>
      <c r="I142" s="633" t="str">
        <f ca="1">IF(ROWS($1:129)&gt;COUNT(Dong13),"",OFFSET(TH!J$1,SMALL(Dong13,ROWS($1:129)),))</f>
        <v/>
      </c>
      <c r="J142" s="634">
        <f t="shared" ca="1" si="10"/>
        <v>0</v>
      </c>
      <c r="K142" s="636"/>
      <c r="L142" s="635"/>
      <c r="M142" s="614"/>
      <c r="N142" s="614"/>
    </row>
    <row r="143" spans="1:14" ht="27" hidden="1" customHeight="1">
      <c r="A143" s="213" t="str">
        <f ca="1">IF(ROWS($1:130)&gt;COUNT(Dong13),"",OFFSET(TH!E$1,SMALL(Dong13,ROWS($1:130)),))</f>
        <v/>
      </c>
      <c r="B143" s="216" t="str">
        <f ca="1">IF(ROWS($1:130)&gt;COUNT(Dong13),"",OFFSET(TH!H$1,SMALL(Dong13,ROWS($1:130)),))</f>
        <v/>
      </c>
      <c r="C143" s="630" t="str">
        <f t="shared" ca="1" si="11"/>
        <v/>
      </c>
      <c r="D143" s="630" t="str">
        <f ca="1">IF(ROWS($1:130)&gt;COUNT(Dong13),"",OFFSET(TH!D$1,SMALL(Dong13,ROWS($1:130)),))</f>
        <v/>
      </c>
      <c r="E143" s="907" t="str">
        <f t="shared" ca="1" si="12"/>
        <v/>
      </c>
      <c r="F143" s="631" t="str">
        <f t="shared" ca="1" si="13"/>
        <v/>
      </c>
      <c r="G143" s="632" t="str">
        <f ca="1">IF(ROWS($1:130)&gt;COUNT(Dong13),"",OFFSET(TH!F$1,SMALL(Dong13,ROWS($1:130)),))</f>
        <v/>
      </c>
      <c r="H143" s="633" t="str">
        <f ca="1">IF(ROWS($1:130)&gt;COUNT(Dong13),"",OFFSET(TH!I$1,SMALL(Dong13,ROWS($1:130)),))</f>
        <v/>
      </c>
      <c r="I143" s="633" t="str">
        <f ca="1">IF(ROWS($1:130)&gt;COUNT(Dong13),"",OFFSET(TH!J$1,SMALL(Dong13,ROWS($1:130)),))</f>
        <v/>
      </c>
      <c r="J143" s="634">
        <f t="shared" ref="J143:J153" ca="1" si="14">IF(B143&lt;&gt;"",H143*I143,0)</f>
        <v>0</v>
      </c>
      <c r="K143" s="636"/>
      <c r="L143" s="635"/>
      <c r="M143" s="614"/>
      <c r="N143" s="614"/>
    </row>
    <row r="144" spans="1:14" ht="27" hidden="1" customHeight="1">
      <c r="A144" s="213" t="str">
        <f ca="1">IF(ROWS($1:131)&gt;COUNT(Dong13),"",OFFSET(TH!E$1,SMALL(Dong13,ROWS($1:131)),))</f>
        <v/>
      </c>
      <c r="B144" s="216" t="str">
        <f ca="1">IF(ROWS($1:131)&gt;COUNT(Dong13),"",OFFSET(TH!H$1,SMALL(Dong13,ROWS($1:131)),))</f>
        <v/>
      </c>
      <c r="C144" s="630" t="str">
        <f t="shared" ca="1" si="11"/>
        <v/>
      </c>
      <c r="D144" s="630" t="str">
        <f ca="1">IF(ROWS($1:131)&gt;COUNT(Dong13),"",OFFSET(TH!D$1,SMALL(Dong13,ROWS($1:131)),))</f>
        <v/>
      </c>
      <c r="E144" s="907" t="str">
        <f t="shared" ca="1" si="12"/>
        <v/>
      </c>
      <c r="F144" s="631" t="str">
        <f t="shared" ca="1" si="13"/>
        <v/>
      </c>
      <c r="G144" s="632" t="str">
        <f ca="1">IF(ROWS($1:131)&gt;COUNT(Dong13),"",OFFSET(TH!F$1,SMALL(Dong13,ROWS($1:131)),))</f>
        <v/>
      </c>
      <c r="H144" s="633" t="str">
        <f ca="1">IF(ROWS($1:131)&gt;COUNT(Dong13),"",OFFSET(TH!I$1,SMALL(Dong13,ROWS($1:131)),))</f>
        <v/>
      </c>
      <c r="I144" s="633" t="str">
        <f ca="1">IF(ROWS($1:131)&gt;COUNT(Dong13),"",OFFSET(TH!J$1,SMALL(Dong13,ROWS($1:131)),))</f>
        <v/>
      </c>
      <c r="J144" s="634">
        <f t="shared" ca="1" si="14"/>
        <v>0</v>
      </c>
      <c r="K144" s="636"/>
      <c r="L144" s="635"/>
      <c r="M144" s="614"/>
      <c r="N144" s="614"/>
    </row>
    <row r="145" spans="1:14" ht="27" hidden="1" customHeight="1">
      <c r="A145" s="213" t="str">
        <f ca="1">IF(ROWS($1:132)&gt;COUNT(Dong13),"",OFFSET(TH!E$1,SMALL(Dong13,ROWS($1:132)),))</f>
        <v/>
      </c>
      <c r="B145" s="216" t="str">
        <f ca="1">IF(ROWS($1:132)&gt;COUNT(Dong13),"",OFFSET(TH!H$1,SMALL(Dong13,ROWS($1:132)),))</f>
        <v/>
      </c>
      <c r="C145" s="630" t="str">
        <f t="shared" ca="1" si="11"/>
        <v/>
      </c>
      <c r="D145" s="630" t="str">
        <f ca="1">IF(ROWS($1:132)&gt;COUNT(Dong13),"",OFFSET(TH!D$1,SMALL(Dong13,ROWS($1:132)),))</f>
        <v/>
      </c>
      <c r="E145" s="907" t="str">
        <f t="shared" ca="1" si="12"/>
        <v/>
      </c>
      <c r="F145" s="631" t="str">
        <f t="shared" ca="1" si="13"/>
        <v/>
      </c>
      <c r="G145" s="632" t="str">
        <f ca="1">IF(ROWS($1:132)&gt;COUNT(Dong13),"",OFFSET(TH!F$1,SMALL(Dong13,ROWS($1:132)),))</f>
        <v/>
      </c>
      <c r="H145" s="633" t="str">
        <f ca="1">IF(ROWS($1:132)&gt;COUNT(Dong13),"",OFFSET(TH!I$1,SMALL(Dong13,ROWS($1:132)),))</f>
        <v/>
      </c>
      <c r="I145" s="633" t="str">
        <f ca="1">IF(ROWS($1:132)&gt;COUNT(Dong13),"",OFFSET(TH!J$1,SMALL(Dong13,ROWS($1:132)),))</f>
        <v/>
      </c>
      <c r="J145" s="634">
        <f t="shared" ca="1" si="14"/>
        <v>0</v>
      </c>
      <c r="K145" s="636"/>
      <c r="L145" s="635"/>
      <c r="M145" s="614"/>
      <c r="N145" s="614"/>
    </row>
    <row r="146" spans="1:14" ht="27" hidden="1" customHeight="1">
      <c r="A146" s="213" t="str">
        <f ca="1">IF(ROWS($1:133)&gt;COUNT(Dong13),"",OFFSET(TH!E$1,SMALL(Dong13,ROWS($1:133)),))</f>
        <v/>
      </c>
      <c r="B146" s="216" t="str">
        <f ca="1">IF(ROWS($1:133)&gt;COUNT(Dong13),"",OFFSET(TH!H$1,SMALL(Dong13,ROWS($1:133)),))</f>
        <v/>
      </c>
      <c r="C146" s="630" t="str">
        <f t="shared" ca="1" si="11"/>
        <v/>
      </c>
      <c r="D146" s="630" t="str">
        <f ca="1">IF(ROWS($1:133)&gt;COUNT(Dong13),"",OFFSET(TH!D$1,SMALL(Dong13,ROWS($1:133)),))</f>
        <v/>
      </c>
      <c r="E146" s="907" t="str">
        <f t="shared" ca="1" si="12"/>
        <v/>
      </c>
      <c r="F146" s="631" t="str">
        <f t="shared" ca="1" si="13"/>
        <v/>
      </c>
      <c r="G146" s="632" t="str">
        <f ca="1">IF(ROWS($1:133)&gt;COUNT(Dong13),"",OFFSET(TH!F$1,SMALL(Dong13,ROWS($1:133)),))</f>
        <v/>
      </c>
      <c r="H146" s="633" t="str">
        <f ca="1">IF(ROWS($1:133)&gt;COUNT(Dong13),"",OFFSET(TH!I$1,SMALL(Dong13,ROWS($1:133)),))</f>
        <v/>
      </c>
      <c r="I146" s="633" t="str">
        <f ca="1">IF(ROWS($1:133)&gt;COUNT(Dong13),"",OFFSET(TH!J$1,SMALL(Dong13,ROWS($1:133)),))</f>
        <v/>
      </c>
      <c r="J146" s="634">
        <f t="shared" ca="1" si="14"/>
        <v>0</v>
      </c>
      <c r="K146" s="636"/>
      <c r="L146" s="635"/>
      <c r="M146" s="614"/>
      <c r="N146" s="614"/>
    </row>
    <row r="147" spans="1:14" ht="27" hidden="1" customHeight="1">
      <c r="A147" s="213" t="str">
        <f ca="1">IF(ROWS($1:134)&gt;COUNT(Dong13),"",OFFSET(TH!E$1,SMALL(Dong13,ROWS($1:134)),))</f>
        <v/>
      </c>
      <c r="B147" s="216" t="str">
        <f ca="1">IF(ROWS($1:134)&gt;COUNT(Dong13),"",OFFSET(TH!H$1,SMALL(Dong13,ROWS($1:134)),))</f>
        <v/>
      </c>
      <c r="C147" s="630" t="str">
        <f t="shared" ca="1" si="11"/>
        <v/>
      </c>
      <c r="D147" s="630" t="str">
        <f ca="1">IF(ROWS($1:134)&gt;COUNT(Dong13),"",OFFSET(TH!D$1,SMALL(Dong13,ROWS($1:134)),))</f>
        <v/>
      </c>
      <c r="E147" s="907" t="str">
        <f t="shared" ca="1" si="12"/>
        <v/>
      </c>
      <c r="F147" s="631" t="str">
        <f t="shared" ca="1" si="13"/>
        <v/>
      </c>
      <c r="G147" s="632" t="str">
        <f ca="1">IF(ROWS($1:134)&gt;COUNT(Dong13),"",OFFSET(TH!F$1,SMALL(Dong13,ROWS($1:134)),))</f>
        <v/>
      </c>
      <c r="H147" s="633" t="str">
        <f ca="1">IF(ROWS($1:134)&gt;COUNT(Dong13),"",OFFSET(TH!I$1,SMALL(Dong13,ROWS($1:134)),))</f>
        <v/>
      </c>
      <c r="I147" s="633" t="str">
        <f ca="1">IF(ROWS($1:134)&gt;COUNT(Dong13),"",OFFSET(TH!J$1,SMALL(Dong13,ROWS($1:134)),))</f>
        <v/>
      </c>
      <c r="J147" s="634">
        <f t="shared" ca="1" si="14"/>
        <v>0</v>
      </c>
      <c r="K147" s="636"/>
      <c r="L147" s="635"/>
      <c r="M147" s="614"/>
      <c r="N147" s="614"/>
    </row>
    <row r="148" spans="1:14" ht="27" hidden="1" customHeight="1">
      <c r="A148" s="213" t="str">
        <f ca="1">IF(ROWS($1:135)&gt;COUNT(Dong13),"",OFFSET(TH!E$1,SMALL(Dong13,ROWS($1:135)),))</f>
        <v/>
      </c>
      <c r="B148" s="216" t="str">
        <f ca="1">IF(ROWS($1:135)&gt;COUNT(Dong13),"",OFFSET(TH!H$1,SMALL(Dong13,ROWS($1:135)),))</f>
        <v/>
      </c>
      <c r="C148" s="630" t="str">
        <f t="shared" ca="1" si="11"/>
        <v/>
      </c>
      <c r="D148" s="630" t="str">
        <f ca="1">IF(ROWS($1:135)&gt;COUNT(Dong13),"",OFFSET(TH!D$1,SMALL(Dong13,ROWS($1:135)),))</f>
        <v/>
      </c>
      <c r="E148" s="907" t="str">
        <f t="shared" ca="1" si="12"/>
        <v/>
      </c>
      <c r="F148" s="631" t="str">
        <f t="shared" ca="1" si="13"/>
        <v/>
      </c>
      <c r="G148" s="632" t="str">
        <f ca="1">IF(ROWS($1:135)&gt;COUNT(Dong13),"",OFFSET(TH!F$1,SMALL(Dong13,ROWS($1:135)),))</f>
        <v/>
      </c>
      <c r="H148" s="633" t="str">
        <f ca="1">IF(ROWS($1:135)&gt;COUNT(Dong13),"",OFFSET(TH!I$1,SMALL(Dong13,ROWS($1:135)),))</f>
        <v/>
      </c>
      <c r="I148" s="633" t="str">
        <f ca="1">IF(ROWS($1:135)&gt;COUNT(Dong13),"",OFFSET(TH!J$1,SMALL(Dong13,ROWS($1:135)),))</f>
        <v/>
      </c>
      <c r="J148" s="634">
        <f t="shared" ca="1" si="14"/>
        <v>0</v>
      </c>
      <c r="K148" s="636"/>
      <c r="L148" s="635"/>
      <c r="M148" s="614"/>
      <c r="N148" s="614"/>
    </row>
    <row r="149" spans="1:14" ht="27" hidden="1" customHeight="1">
      <c r="A149" s="213" t="str">
        <f ca="1">IF(ROWS($1:136)&gt;COUNT(Dong13),"",OFFSET(TH!E$1,SMALL(Dong13,ROWS($1:136)),))</f>
        <v/>
      </c>
      <c r="B149" s="216" t="str">
        <f ca="1">IF(ROWS($1:136)&gt;COUNT(Dong13),"",OFFSET(TH!H$1,SMALL(Dong13,ROWS($1:136)),))</f>
        <v/>
      </c>
      <c r="C149" s="630" t="str">
        <f t="shared" ca="1" si="11"/>
        <v/>
      </c>
      <c r="D149" s="630" t="str">
        <f ca="1">IF(ROWS($1:136)&gt;COUNT(Dong13),"",OFFSET(TH!D$1,SMALL(Dong13,ROWS($1:136)),))</f>
        <v/>
      </c>
      <c r="E149" s="907" t="str">
        <f t="shared" ca="1" si="12"/>
        <v/>
      </c>
      <c r="F149" s="631" t="str">
        <f t="shared" ca="1" si="13"/>
        <v/>
      </c>
      <c r="G149" s="632" t="str">
        <f ca="1">IF(ROWS($1:136)&gt;COUNT(Dong13),"",OFFSET(TH!F$1,SMALL(Dong13,ROWS($1:136)),))</f>
        <v/>
      </c>
      <c r="H149" s="633" t="str">
        <f ca="1">IF(ROWS($1:136)&gt;COUNT(Dong13),"",OFFSET(TH!I$1,SMALL(Dong13,ROWS($1:136)),))</f>
        <v/>
      </c>
      <c r="I149" s="633" t="str">
        <f ca="1">IF(ROWS($1:136)&gt;COUNT(Dong13),"",OFFSET(TH!J$1,SMALL(Dong13,ROWS($1:136)),))</f>
        <v/>
      </c>
      <c r="J149" s="634">
        <f t="shared" ca="1" si="14"/>
        <v>0</v>
      </c>
      <c r="K149" s="636"/>
      <c r="L149" s="635"/>
      <c r="M149" s="614"/>
      <c r="N149" s="614"/>
    </row>
    <row r="150" spans="1:14" ht="27" hidden="1" customHeight="1">
      <c r="A150" s="213" t="str">
        <f ca="1">IF(ROWS($1:137)&gt;COUNT(Dong13),"",OFFSET(TH!E$1,SMALL(Dong13,ROWS($1:137)),))</f>
        <v/>
      </c>
      <c r="B150" s="216" t="str">
        <f ca="1">IF(ROWS($1:137)&gt;COUNT(Dong13),"",OFFSET(TH!H$1,SMALL(Dong13,ROWS($1:137)),))</f>
        <v/>
      </c>
      <c r="C150" s="630" t="str">
        <f t="shared" ca="1" si="11"/>
        <v/>
      </c>
      <c r="D150" s="630" t="str">
        <f ca="1">IF(ROWS($1:137)&gt;COUNT(Dong13),"",OFFSET(TH!D$1,SMALL(Dong13,ROWS($1:137)),))</f>
        <v/>
      </c>
      <c r="E150" s="907" t="str">
        <f t="shared" ca="1" si="12"/>
        <v/>
      </c>
      <c r="F150" s="631" t="str">
        <f t="shared" ca="1" si="13"/>
        <v/>
      </c>
      <c r="G150" s="632" t="str">
        <f ca="1">IF(ROWS($1:137)&gt;COUNT(Dong13),"",OFFSET(TH!F$1,SMALL(Dong13,ROWS($1:137)),))</f>
        <v/>
      </c>
      <c r="H150" s="633" t="str">
        <f ca="1">IF(ROWS($1:137)&gt;COUNT(Dong13),"",OFFSET(TH!I$1,SMALL(Dong13,ROWS($1:137)),))</f>
        <v/>
      </c>
      <c r="I150" s="633" t="str">
        <f ca="1">IF(ROWS($1:137)&gt;COUNT(Dong13),"",OFFSET(TH!J$1,SMALL(Dong13,ROWS($1:137)),))</f>
        <v/>
      </c>
      <c r="J150" s="634">
        <f t="shared" ca="1" si="14"/>
        <v>0</v>
      </c>
      <c r="K150" s="636"/>
      <c r="L150" s="635"/>
      <c r="M150" s="614"/>
      <c r="N150" s="614"/>
    </row>
    <row r="151" spans="1:14" ht="27" hidden="1" customHeight="1">
      <c r="A151" s="213" t="str">
        <f ca="1">IF(ROWS($1:138)&gt;COUNT(Dong13),"",OFFSET(TH!E$1,SMALL(Dong13,ROWS($1:138)),))</f>
        <v/>
      </c>
      <c r="B151" s="216" t="str">
        <f ca="1">IF(ROWS($1:138)&gt;COUNT(Dong13),"",OFFSET(TH!H$1,SMALL(Dong13,ROWS($1:138)),))</f>
        <v/>
      </c>
      <c r="C151" s="630" t="str">
        <f t="shared" ca="1" si="11"/>
        <v/>
      </c>
      <c r="D151" s="630" t="str">
        <f ca="1">IF(ROWS($1:138)&gt;COUNT(Dong13),"",OFFSET(TH!D$1,SMALL(Dong13,ROWS($1:138)),))</f>
        <v/>
      </c>
      <c r="E151" s="907" t="str">
        <f t="shared" ca="1" si="12"/>
        <v/>
      </c>
      <c r="F151" s="631" t="str">
        <f t="shared" ca="1" si="13"/>
        <v/>
      </c>
      <c r="G151" s="632" t="str">
        <f ca="1">IF(ROWS($1:138)&gt;COUNT(Dong13),"",OFFSET(TH!F$1,SMALL(Dong13,ROWS($1:138)),))</f>
        <v/>
      </c>
      <c r="H151" s="633" t="str">
        <f ca="1">IF(ROWS($1:138)&gt;COUNT(Dong13),"",OFFSET(TH!I$1,SMALL(Dong13,ROWS($1:138)),))</f>
        <v/>
      </c>
      <c r="I151" s="633" t="str">
        <f ca="1">IF(ROWS($1:138)&gt;COUNT(Dong13),"",OFFSET(TH!J$1,SMALL(Dong13,ROWS($1:138)),))</f>
        <v/>
      </c>
      <c r="J151" s="634">
        <f t="shared" ca="1" si="14"/>
        <v>0</v>
      </c>
      <c r="K151" s="636"/>
      <c r="L151" s="635"/>
      <c r="M151" s="614"/>
      <c r="N151" s="614"/>
    </row>
    <row r="152" spans="1:14" ht="27" hidden="1" customHeight="1">
      <c r="A152" s="213" t="str">
        <f ca="1">IF(ROWS($1:139)&gt;COUNT(Dong13),"",OFFSET(TH!E$1,SMALL(Dong13,ROWS($1:139)),))</f>
        <v/>
      </c>
      <c r="B152" s="216" t="str">
        <f ca="1">IF(ROWS($1:139)&gt;COUNT(Dong13),"",OFFSET(TH!H$1,SMALL(Dong13,ROWS($1:139)),))</f>
        <v/>
      </c>
      <c r="C152" s="630" t="str">
        <f t="shared" ca="1" si="11"/>
        <v/>
      </c>
      <c r="D152" s="630" t="str">
        <f ca="1">IF(ROWS($1:139)&gt;COUNT(Dong13),"",OFFSET(TH!D$1,SMALL(Dong13,ROWS($1:139)),))</f>
        <v/>
      </c>
      <c r="E152" s="907" t="str">
        <f t="shared" ca="1" si="12"/>
        <v/>
      </c>
      <c r="F152" s="631" t="str">
        <f t="shared" ca="1" si="13"/>
        <v/>
      </c>
      <c r="G152" s="632" t="str">
        <f ca="1">IF(ROWS($1:139)&gt;COUNT(Dong13),"",OFFSET(TH!F$1,SMALL(Dong13,ROWS($1:139)),))</f>
        <v/>
      </c>
      <c r="H152" s="633" t="str">
        <f ca="1">IF(ROWS($1:139)&gt;COUNT(Dong13),"",OFFSET(TH!I$1,SMALL(Dong13,ROWS($1:139)),))</f>
        <v/>
      </c>
      <c r="I152" s="633" t="str">
        <f ca="1">IF(ROWS($1:139)&gt;COUNT(Dong13),"",OFFSET(TH!J$1,SMALL(Dong13,ROWS($1:139)),))</f>
        <v/>
      </c>
      <c r="J152" s="634">
        <f t="shared" ca="1" si="14"/>
        <v>0</v>
      </c>
      <c r="K152" s="636"/>
      <c r="L152" s="635"/>
      <c r="M152" s="614"/>
      <c r="N152" s="614"/>
    </row>
    <row r="153" spans="1:14" ht="27" hidden="1" customHeight="1">
      <c r="A153" s="213" t="str">
        <f ca="1">IF(ROWS($1:140)&gt;COUNT(Dong13),"",OFFSET(TH!E$1,SMALL(Dong13,ROWS($1:140)),))</f>
        <v/>
      </c>
      <c r="B153" s="216" t="str">
        <f ca="1">IF(ROWS($1:140)&gt;COUNT(Dong13),"",OFFSET(TH!H$1,SMALL(Dong13,ROWS($1:140)),))</f>
        <v/>
      </c>
      <c r="C153" s="630" t="str">
        <f t="shared" ca="1" si="11"/>
        <v/>
      </c>
      <c r="D153" s="630" t="str">
        <f ca="1">IF(ROWS($1:140)&gt;COUNT(Dong13),"",OFFSET(TH!D$1,SMALL(Dong13,ROWS($1:140)),))</f>
        <v/>
      </c>
      <c r="E153" s="907" t="str">
        <f t="shared" ca="1" si="12"/>
        <v/>
      </c>
      <c r="F153" s="631" t="str">
        <f t="shared" ca="1" si="13"/>
        <v/>
      </c>
      <c r="G153" s="632" t="str">
        <f ca="1">IF(ROWS($1:140)&gt;COUNT(Dong13),"",OFFSET(TH!F$1,SMALL(Dong13,ROWS($1:140)),))</f>
        <v/>
      </c>
      <c r="H153" s="633" t="str">
        <f ca="1">IF(ROWS($1:140)&gt;COUNT(Dong13),"",OFFSET(TH!I$1,SMALL(Dong13,ROWS($1:140)),))</f>
        <v/>
      </c>
      <c r="I153" s="633" t="str">
        <f ca="1">IF(ROWS($1:140)&gt;COUNT(Dong13),"",OFFSET(TH!J$1,SMALL(Dong13,ROWS($1:140)),))</f>
        <v/>
      </c>
      <c r="J153" s="634">
        <f t="shared" ca="1" si="14"/>
        <v>0</v>
      </c>
      <c r="K153" s="636"/>
      <c r="L153" s="635"/>
      <c r="M153" s="614"/>
      <c r="N153" s="614"/>
    </row>
    <row r="154" spans="1:14" ht="27" hidden="1" customHeight="1">
      <c r="A154" s="213"/>
      <c r="B154" s="216"/>
      <c r="C154" s="630"/>
      <c r="D154" s="630"/>
      <c r="E154" s="907"/>
      <c r="F154" s="631"/>
      <c r="G154" s="632"/>
      <c r="H154" s="633"/>
      <c r="I154" s="633"/>
      <c r="J154" s="634"/>
      <c r="K154" s="636"/>
      <c r="L154" s="635"/>
      <c r="M154" s="614"/>
      <c r="N154" s="614"/>
    </row>
    <row r="155" spans="1:14" ht="27" hidden="1" customHeight="1">
      <c r="A155" s="213"/>
      <c r="B155" s="216"/>
      <c r="C155" s="630"/>
      <c r="D155" s="630"/>
      <c r="E155" s="907"/>
      <c r="F155" s="631"/>
      <c r="G155" s="632"/>
      <c r="H155" s="633"/>
      <c r="I155" s="633"/>
      <c r="J155" s="634"/>
      <c r="K155" s="636"/>
      <c r="L155" s="635"/>
      <c r="M155" s="614"/>
      <c r="N155" s="614"/>
    </row>
    <row r="156" spans="1:14" ht="28.5" customHeight="1">
      <c r="A156" s="615" t="s">
        <v>487</v>
      </c>
      <c r="B156" s="613"/>
      <c r="C156" s="613"/>
      <c r="D156" s="613"/>
      <c r="E156" s="908">
        <f ca="1">SUM(J14:J155)</f>
        <v>0</v>
      </c>
      <c r="F156" s="637"/>
      <c r="G156" s="613"/>
      <c r="H156" s="617"/>
      <c r="I156" s="617"/>
      <c r="J156" s="638"/>
      <c r="K156" s="613"/>
      <c r="L156" s="613"/>
      <c r="M156" s="614"/>
      <c r="N156" s="639">
        <f ca="1">SUBTOTAL(9,J14:J155)</f>
        <v>0</v>
      </c>
    </row>
    <row r="157" spans="1:14" ht="15.75">
      <c r="A157" s="615"/>
      <c r="B157" s="613"/>
      <c r="C157" s="613"/>
      <c r="D157" s="613"/>
      <c r="E157" s="909"/>
      <c r="F157" s="617"/>
      <c r="G157" s="613"/>
      <c r="H157" s="617"/>
      <c r="I157" s="617"/>
      <c r="J157" s="641" t="str">
        <f xml:space="preserve"> IF(OR($M$11=1,$M$11=4,$M$11=6,$M$11=9,$M$11=11),"Ngày  30  tháng  "&amp;$M$11&amp;"  năm 2017",IF(OR($M$11=3,$M$11=5,$M$11=7,$M$11=8,$M$11=10,$M$11=12),"Ngày  31  tháng  "&amp;$M$11&amp;"  năm 2017","Ngày  29  tháng  "&amp;$M$11&amp;"  năm 2017"))</f>
        <v>Ngày  30  tháng  4  năm 2017</v>
      </c>
      <c r="K157" s="642"/>
      <c r="L157" s="613"/>
      <c r="M157" s="614"/>
      <c r="N157" s="614"/>
    </row>
    <row r="158" spans="1:14" ht="15.75">
      <c r="A158" s="615"/>
      <c r="B158" s="643" t="s">
        <v>488</v>
      </c>
      <c r="C158" s="643"/>
      <c r="D158" s="643"/>
      <c r="E158" s="905"/>
      <c r="F158" s="613"/>
      <c r="G158" s="613"/>
      <c r="H158" s="617"/>
      <c r="I158" s="617"/>
      <c r="J158" s="644" t="s">
        <v>489</v>
      </c>
      <c r="K158" s="613"/>
      <c r="L158" s="613"/>
      <c r="M158" s="614"/>
      <c r="N158" s="614"/>
    </row>
    <row r="159" spans="1:14" ht="15.75">
      <c r="A159" s="615"/>
      <c r="B159" s="645" t="s">
        <v>490</v>
      </c>
      <c r="C159" s="645"/>
      <c r="D159" s="645"/>
      <c r="E159" s="905"/>
      <c r="F159" s="646"/>
      <c r="G159" s="613"/>
      <c r="H159" s="617"/>
      <c r="I159" s="617"/>
      <c r="J159" s="647" t="s">
        <v>491</v>
      </c>
      <c r="K159" s="613"/>
      <c r="L159" s="613"/>
      <c r="M159" s="614"/>
      <c r="N159" s="614"/>
    </row>
    <row r="160" spans="1:14" ht="15.75">
      <c r="A160" s="615"/>
      <c r="B160" s="645"/>
      <c r="C160" s="645"/>
      <c r="D160" s="645"/>
      <c r="E160" s="905"/>
      <c r="F160" s="646"/>
      <c r="G160" s="613"/>
      <c r="H160" s="617"/>
      <c r="I160" s="647"/>
      <c r="J160" s="613"/>
      <c r="K160" s="613"/>
      <c r="L160" s="613"/>
      <c r="M160" s="614"/>
      <c r="N160" s="614"/>
    </row>
    <row r="161" spans="1:14" ht="15.75">
      <c r="A161" s="615"/>
      <c r="B161" s="645"/>
      <c r="C161" s="645"/>
      <c r="D161" s="645"/>
      <c r="E161" s="905"/>
      <c r="F161" s="646"/>
      <c r="G161" s="613"/>
      <c r="H161" s="617"/>
      <c r="I161" s="647"/>
      <c r="J161" s="613"/>
      <c r="K161" s="613"/>
      <c r="L161" s="613"/>
      <c r="M161" s="614"/>
      <c r="N161" s="614"/>
    </row>
    <row r="162" spans="1:14" ht="15.75">
      <c r="A162" s="615"/>
      <c r="B162" s="640"/>
      <c r="C162" s="613"/>
      <c r="D162" s="613"/>
      <c r="E162" s="905"/>
      <c r="F162" s="640"/>
      <c r="G162" s="613"/>
      <c r="H162" s="617"/>
      <c r="I162" s="617"/>
      <c r="J162" s="437"/>
      <c r="K162" s="613"/>
      <c r="L162" s="613"/>
      <c r="M162" s="614"/>
      <c r="N162" s="614"/>
    </row>
    <row r="163" spans="1:14" ht="15.75">
      <c r="A163" s="615"/>
      <c r="B163" s="648"/>
      <c r="C163" s="648"/>
      <c r="D163" s="648"/>
      <c r="E163" s="910"/>
      <c r="F163" s="613"/>
      <c r="G163" s="613"/>
      <c r="H163" s="1508"/>
      <c r="I163" s="1508"/>
      <c r="J163" s="1508"/>
      <c r="K163" s="613"/>
      <c r="L163" s="613"/>
      <c r="M163" s="614"/>
      <c r="N163" s="614"/>
    </row>
    <row r="164" spans="1:14" ht="15.75">
      <c r="A164" s="615"/>
      <c r="B164" s="899" t="s">
        <v>226</v>
      </c>
      <c r="C164" s="902"/>
      <c r="D164" s="613"/>
      <c r="E164" s="905"/>
      <c r="F164" s="613"/>
      <c r="G164" s="613"/>
      <c r="H164" s="617"/>
      <c r="I164" s="617"/>
      <c r="J164" s="900" t="s">
        <v>125</v>
      </c>
      <c r="K164" s="900"/>
      <c r="L164" s="900"/>
      <c r="M164" s="900"/>
      <c r="N164" s="614"/>
    </row>
    <row r="165" spans="1:14" ht="15.75">
      <c r="A165" s="649" t="s">
        <v>492</v>
      </c>
      <c r="B165" s="613"/>
      <c r="C165" s="613"/>
      <c r="D165" s="613"/>
      <c r="E165" s="905"/>
      <c r="F165" s="613"/>
      <c r="G165" s="613"/>
      <c r="H165" s="617"/>
      <c r="I165" s="617"/>
      <c r="J165" s="613"/>
      <c r="K165" s="613"/>
      <c r="L165" s="613"/>
      <c r="M165" s="614"/>
      <c r="N165" s="614"/>
    </row>
    <row r="166" spans="1:14" ht="37.5" customHeight="1">
      <c r="A166" s="1509" t="s">
        <v>493</v>
      </c>
      <c r="B166" s="1510"/>
      <c r="C166" s="1510"/>
      <c r="D166" s="1510"/>
      <c r="E166" s="1510"/>
      <c r="F166" s="1510"/>
      <c r="G166" s="1510"/>
      <c r="H166" s="1510"/>
      <c r="I166" s="1510"/>
      <c r="J166" s="1510"/>
      <c r="K166" s="1510"/>
      <c r="L166" s="613"/>
      <c r="M166" s="614"/>
      <c r="N166" s="614"/>
    </row>
    <row r="167" spans="1:14" ht="45" customHeight="1">
      <c r="A167" s="1509" t="s">
        <v>494</v>
      </c>
      <c r="B167" s="1509"/>
      <c r="C167" s="1509"/>
      <c r="D167" s="1509"/>
      <c r="E167" s="1509"/>
      <c r="F167" s="1509"/>
      <c r="G167" s="1509"/>
      <c r="H167" s="1509"/>
      <c r="I167" s="1509"/>
      <c r="J167" s="1509"/>
      <c r="K167" s="1509"/>
      <c r="L167" s="613"/>
      <c r="M167" s="614"/>
      <c r="N167" s="614"/>
    </row>
  </sheetData>
  <autoFilter ref="A13:N159"/>
  <mergeCells count="10">
    <mergeCell ref="H163:J163"/>
    <mergeCell ref="A166:K166"/>
    <mergeCell ref="A167:K167"/>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P41" sqref="P41"/>
      <selection pane="bottomLeft" activeCell="P41" sqref="P41"/>
    </sheetView>
  </sheetViews>
  <sheetFormatPr defaultRowHeight="12.75"/>
  <cols>
    <col min="1" max="1" width="4.140625" style="782" customWidth="1"/>
    <col min="2" max="2" width="9.140625" style="782" customWidth="1"/>
    <col min="3" max="3" width="9" style="783" customWidth="1"/>
    <col min="4" max="4" width="28.140625" style="782" customWidth="1"/>
    <col min="5" max="5" width="9.140625" style="782" customWidth="1"/>
    <col min="6" max="6" width="9.28515625" style="783" customWidth="1"/>
    <col min="7" max="7" width="9" style="782" customWidth="1"/>
    <col min="8" max="8" width="14.5703125" style="782" customWidth="1"/>
    <col min="9" max="9" width="6" style="782" customWidth="1"/>
    <col min="10" max="10" width="14.140625" style="782" customWidth="1"/>
    <col min="11" max="11" width="14.85546875" style="784" customWidth="1"/>
    <col min="12" max="12" width="14.42578125" style="782" customWidth="1"/>
    <col min="13" max="13" width="5.85546875" style="782" customWidth="1"/>
    <col min="14" max="14" width="7.42578125" style="782" customWidth="1"/>
    <col min="15" max="15" width="11.7109375" style="782" customWidth="1"/>
    <col min="16" max="16" width="4.5703125" style="862" customWidth="1"/>
    <col min="17" max="17" width="14.28515625" style="782" bestFit="1" customWidth="1"/>
    <col min="18" max="19" width="9.140625" style="782"/>
    <col min="20" max="20" width="12" style="782" bestFit="1" customWidth="1"/>
    <col min="21" max="16384" width="9.140625" style="782"/>
  </cols>
  <sheetData>
    <row r="1" spans="1:20" ht="15" customHeight="1">
      <c r="A1" s="781" t="s">
        <v>624</v>
      </c>
      <c r="M1" s="785"/>
      <c r="N1" s="786" t="s">
        <v>625</v>
      </c>
      <c r="O1" s="785"/>
    </row>
    <row r="2" spans="1:20" ht="15" customHeight="1">
      <c r="A2" s="781" t="s">
        <v>626</v>
      </c>
      <c r="L2" s="784"/>
      <c r="M2" s="784"/>
      <c r="N2" s="787" t="s">
        <v>309</v>
      </c>
      <c r="O2" s="784"/>
    </row>
    <row r="3" spans="1:20" ht="15" customHeight="1">
      <c r="L3" s="784"/>
      <c r="M3" s="784"/>
      <c r="N3" s="787" t="s">
        <v>234</v>
      </c>
      <c r="O3" s="784"/>
    </row>
    <row r="5" spans="1:20" s="788" customFormat="1" ht="24" customHeight="1">
      <c r="A5" s="1527" t="s">
        <v>627</v>
      </c>
      <c r="B5" s="1527"/>
      <c r="C5" s="1527"/>
      <c r="D5" s="1527"/>
      <c r="E5" s="1527"/>
      <c r="F5" s="1527"/>
      <c r="G5" s="1527"/>
      <c r="H5" s="1527"/>
      <c r="I5" s="1527"/>
      <c r="J5" s="1527"/>
      <c r="K5" s="1527"/>
      <c r="L5" s="1527"/>
      <c r="M5" s="1527"/>
      <c r="N5" s="1527"/>
      <c r="O5" s="1527"/>
      <c r="P5" s="863"/>
    </row>
    <row r="6" spans="1:20" s="788" customFormat="1" ht="21" customHeight="1">
      <c r="A6" s="1528" t="s">
        <v>684</v>
      </c>
      <c r="B6" s="1528"/>
      <c r="C6" s="1528"/>
      <c r="D6" s="1528"/>
      <c r="E6" s="1528"/>
      <c r="F6" s="1528"/>
      <c r="G6" s="1528"/>
      <c r="H6" s="1528"/>
      <c r="I6" s="1528"/>
      <c r="J6" s="1528"/>
      <c r="K6" s="1528"/>
      <c r="L6" s="1528"/>
      <c r="M6" s="1528"/>
      <c r="N6" s="1528"/>
      <c r="O6" s="1528"/>
      <c r="P6" s="863"/>
    </row>
    <row r="7" spans="1:20" s="788" customFormat="1" ht="21" customHeight="1">
      <c r="A7" s="1529" t="s">
        <v>692</v>
      </c>
      <c r="B7" s="1529"/>
      <c r="C7" s="1529"/>
      <c r="D7" s="1529"/>
      <c r="E7" s="1529"/>
      <c r="F7" s="1529"/>
      <c r="G7" s="1529"/>
      <c r="H7" s="1529"/>
      <c r="I7" s="1529"/>
      <c r="J7" s="1529"/>
      <c r="K7" s="1529"/>
      <c r="L7" s="1529"/>
      <c r="M7" s="1529"/>
      <c r="N7" s="1529"/>
      <c r="O7" s="1529"/>
      <c r="P7" s="863"/>
    </row>
    <row r="8" spans="1:20">
      <c r="D8" s="783"/>
    </row>
    <row r="9" spans="1:20" s="789" customFormat="1" ht="24" customHeight="1">
      <c r="A9" s="1530" t="s">
        <v>463</v>
      </c>
      <c r="B9" s="1533" t="s">
        <v>628</v>
      </c>
      <c r="C9" s="1534"/>
      <c r="D9" s="1534"/>
      <c r="E9" s="1534"/>
      <c r="F9" s="1534"/>
      <c r="G9" s="1534"/>
      <c r="H9" s="1535"/>
      <c r="I9" s="1533" t="s">
        <v>629</v>
      </c>
      <c r="J9" s="1534"/>
      <c r="K9" s="1534"/>
      <c r="L9" s="1535"/>
      <c r="M9" s="1536" t="s">
        <v>630</v>
      </c>
      <c r="N9" s="1536"/>
      <c r="O9" s="1536"/>
      <c r="P9" s="864"/>
    </row>
    <row r="10" spans="1:20" s="789" customFormat="1" ht="24" customHeight="1">
      <c r="A10" s="1531"/>
      <c r="B10" s="1533" t="s">
        <v>631</v>
      </c>
      <c r="C10" s="1535"/>
      <c r="D10" s="1530" t="s">
        <v>632</v>
      </c>
      <c r="E10" s="1530" t="s">
        <v>633</v>
      </c>
      <c r="F10" s="1530" t="s">
        <v>634</v>
      </c>
      <c r="G10" s="1530" t="s">
        <v>635</v>
      </c>
      <c r="H10" s="1530" t="s">
        <v>636</v>
      </c>
      <c r="I10" s="1533" t="s">
        <v>637</v>
      </c>
      <c r="J10" s="1535"/>
      <c r="K10" s="1537" t="s">
        <v>638</v>
      </c>
      <c r="L10" s="1530" t="s">
        <v>639</v>
      </c>
      <c r="M10" s="1536" t="s">
        <v>631</v>
      </c>
      <c r="N10" s="1536"/>
      <c r="O10" s="1536" t="s">
        <v>640</v>
      </c>
      <c r="P10" s="864"/>
    </row>
    <row r="11" spans="1:20" s="789" customFormat="1" ht="55.5" customHeight="1">
      <c r="A11" s="1532"/>
      <c r="B11" s="790" t="s">
        <v>641</v>
      </c>
      <c r="C11" s="790" t="s">
        <v>464</v>
      </c>
      <c r="D11" s="1532"/>
      <c r="E11" s="1532"/>
      <c r="F11" s="1532"/>
      <c r="G11" s="1532"/>
      <c r="H11" s="1532"/>
      <c r="I11" s="790" t="s">
        <v>642</v>
      </c>
      <c r="J11" s="790" t="s">
        <v>643</v>
      </c>
      <c r="K11" s="1538"/>
      <c r="L11" s="1532"/>
      <c r="M11" s="790" t="s">
        <v>17</v>
      </c>
      <c r="N11" s="790" t="s">
        <v>464</v>
      </c>
      <c r="O11" s="1536"/>
      <c r="P11" s="864"/>
    </row>
    <row r="12" spans="1:20" s="793" customFormat="1" ht="13.5">
      <c r="A12" s="791" t="s">
        <v>2</v>
      </c>
      <c r="B12" s="791" t="s">
        <v>3</v>
      </c>
      <c r="C12" s="791" t="s">
        <v>4</v>
      </c>
      <c r="D12" s="791" t="s">
        <v>5</v>
      </c>
      <c r="E12" s="791" t="s">
        <v>6</v>
      </c>
      <c r="F12" s="791" t="s">
        <v>156</v>
      </c>
      <c r="G12" s="791" t="s">
        <v>644</v>
      </c>
      <c r="H12" s="791">
        <v>1</v>
      </c>
      <c r="I12" s="791">
        <v>2</v>
      </c>
      <c r="J12" s="791">
        <v>3</v>
      </c>
      <c r="K12" s="792"/>
      <c r="L12" s="791">
        <v>4</v>
      </c>
      <c r="M12" s="791" t="s">
        <v>645</v>
      </c>
      <c r="N12" s="791" t="s">
        <v>646</v>
      </c>
      <c r="O12" s="791" t="s">
        <v>647</v>
      </c>
      <c r="P12" s="865"/>
    </row>
    <row r="13" spans="1:20" s="793" customFormat="1" ht="21.75" customHeight="1">
      <c r="A13" s="821" t="s">
        <v>645</v>
      </c>
      <c r="B13" s="822" t="s">
        <v>687</v>
      </c>
      <c r="C13" s="821"/>
      <c r="D13" s="821"/>
      <c r="E13" s="821"/>
      <c r="F13" s="821"/>
      <c r="G13" s="821"/>
      <c r="H13" s="828"/>
      <c r="I13" s="828"/>
      <c r="J13" s="828"/>
      <c r="K13" s="828"/>
      <c r="L13" s="828"/>
      <c r="M13" s="821"/>
      <c r="N13" s="821"/>
      <c r="O13" s="821"/>
      <c r="P13" s="865" t="str">
        <f>IF(D13='THE-TS'!$D$11,"x","")</f>
        <v/>
      </c>
    </row>
    <row r="14" spans="1:20" ht="21.75" customHeight="1">
      <c r="A14" s="820">
        <v>1</v>
      </c>
      <c r="B14" s="833" t="s">
        <v>694</v>
      </c>
      <c r="C14" s="795">
        <v>40543</v>
      </c>
      <c r="D14" s="321" t="s">
        <v>648</v>
      </c>
      <c r="E14" s="657" t="s">
        <v>649</v>
      </c>
      <c r="F14" s="835" t="s">
        <v>717</v>
      </c>
      <c r="G14" s="867" t="s">
        <v>805</v>
      </c>
      <c r="H14" s="394">
        <v>1101349856</v>
      </c>
      <c r="I14" s="394">
        <v>25</v>
      </c>
      <c r="J14" s="8">
        <v>44053994</v>
      </c>
      <c r="K14" s="8">
        <v>264323964</v>
      </c>
      <c r="L14" s="8">
        <f>K14+J14</f>
        <v>308377958</v>
      </c>
      <c r="M14" s="657"/>
      <c r="N14" s="657"/>
      <c r="O14" s="219"/>
      <c r="P14" s="865" t="str">
        <f>IF(D14='THE-TS'!$D$11,"x","")</f>
        <v/>
      </c>
      <c r="Q14" s="857">
        <f>J14/12</f>
        <v>3671166.1666666665</v>
      </c>
      <c r="R14" s="782">
        <v>3671167</v>
      </c>
    </row>
    <row r="15" spans="1:20" ht="21.75" customHeight="1">
      <c r="A15" s="820">
        <v>2</v>
      </c>
      <c r="B15" s="833" t="s">
        <v>695</v>
      </c>
      <c r="C15" s="795">
        <v>40543</v>
      </c>
      <c r="D15" s="321" t="s">
        <v>650</v>
      </c>
      <c r="E15" s="657" t="s">
        <v>649</v>
      </c>
      <c r="F15" s="835" t="s">
        <v>717</v>
      </c>
      <c r="G15" s="867" t="s">
        <v>806</v>
      </c>
      <c r="H15" s="394">
        <v>1712810212</v>
      </c>
      <c r="I15" s="394">
        <v>5</v>
      </c>
      <c r="J15" s="8"/>
      <c r="K15" s="8">
        <v>1712810212</v>
      </c>
      <c r="L15" s="8">
        <f t="shared" ref="L15:L33" si="0">K15+J15</f>
        <v>1712810212</v>
      </c>
      <c r="M15" s="816"/>
      <c r="N15" s="657"/>
      <c r="O15" s="219"/>
      <c r="P15" s="865" t="str">
        <f>IF(D15='THE-TS'!$D$11,"x","")</f>
        <v/>
      </c>
      <c r="Q15" s="857">
        <f t="shared" ref="Q15:Q31" si="1">J15/12</f>
        <v>0</v>
      </c>
      <c r="R15" s="782">
        <v>0</v>
      </c>
    </row>
    <row r="16" spans="1:20" ht="21.75" customHeight="1">
      <c r="A16" s="820">
        <v>3</v>
      </c>
      <c r="B16" s="833" t="s">
        <v>696</v>
      </c>
      <c r="C16" s="795">
        <v>40543</v>
      </c>
      <c r="D16" s="321" t="s">
        <v>651</v>
      </c>
      <c r="E16" s="657" t="s">
        <v>649</v>
      </c>
      <c r="F16" s="835" t="s">
        <v>717</v>
      </c>
      <c r="G16" s="867" t="s">
        <v>807</v>
      </c>
      <c r="H16" s="394">
        <v>4567613580</v>
      </c>
      <c r="I16" s="394">
        <v>25</v>
      </c>
      <c r="J16" s="8">
        <v>182704543</v>
      </c>
      <c r="K16" s="8">
        <v>1096227258</v>
      </c>
      <c r="L16" s="8">
        <f t="shared" si="0"/>
        <v>1278931801</v>
      </c>
      <c r="M16" s="657"/>
      <c r="N16" s="657"/>
      <c r="O16" s="219"/>
      <c r="P16" s="865" t="str">
        <f>IF(D16='THE-TS'!$D$11,"x","")</f>
        <v/>
      </c>
      <c r="Q16" s="857">
        <f t="shared" si="1"/>
        <v>15225378.583333334</v>
      </c>
      <c r="R16" s="782">
        <v>15225376.5</v>
      </c>
      <c r="T16" s="857">
        <f>H18/10</f>
        <v>27961789.300000001</v>
      </c>
    </row>
    <row r="17" spans="1:20" ht="21.75" customHeight="1">
      <c r="A17" s="820">
        <v>4</v>
      </c>
      <c r="B17" s="834" t="s">
        <v>697</v>
      </c>
      <c r="C17" s="795">
        <v>41425</v>
      </c>
      <c r="D17" s="321" t="s">
        <v>652</v>
      </c>
      <c r="E17" s="657" t="s">
        <v>649</v>
      </c>
      <c r="F17" s="835" t="s">
        <v>712</v>
      </c>
      <c r="G17" s="867" t="s">
        <v>808</v>
      </c>
      <c r="H17" s="394">
        <v>108970000</v>
      </c>
      <c r="I17" s="829">
        <v>5</v>
      </c>
      <c r="J17" s="8">
        <v>21794000</v>
      </c>
      <c r="K17" s="8">
        <v>78095167</v>
      </c>
      <c r="L17" s="8">
        <f t="shared" ref="L17" si="2">K17+J17</f>
        <v>99889167</v>
      </c>
      <c r="M17" s="657"/>
      <c r="N17" s="657"/>
      <c r="O17" s="219"/>
      <c r="P17" s="865" t="str">
        <f>IF(D17='THE-TS'!$D$11,"x","")</f>
        <v/>
      </c>
      <c r="Q17" s="857">
        <f t="shared" si="1"/>
        <v>1816166.6666666667</v>
      </c>
      <c r="R17" s="782">
        <v>1816165.8333333333</v>
      </c>
      <c r="T17" s="857">
        <f>T16/12</f>
        <v>2330149.1083333334</v>
      </c>
    </row>
    <row r="18" spans="1:20" ht="21.75" customHeight="1">
      <c r="A18" s="820">
        <v>5</v>
      </c>
      <c r="B18" s="834" t="s">
        <v>809</v>
      </c>
      <c r="C18" s="795">
        <v>42551</v>
      </c>
      <c r="D18" s="321" t="s">
        <v>804</v>
      </c>
      <c r="E18" s="657" t="s">
        <v>649</v>
      </c>
      <c r="F18" s="835" t="s">
        <v>810</v>
      </c>
      <c r="G18" s="867" t="s">
        <v>811</v>
      </c>
      <c r="H18" s="394">
        <v>279617893</v>
      </c>
      <c r="I18" s="829">
        <v>10</v>
      </c>
      <c r="J18" s="8">
        <v>27961789</v>
      </c>
      <c r="K18" s="8">
        <v>16311044</v>
      </c>
      <c r="L18" s="8">
        <f t="shared" si="0"/>
        <v>44272833</v>
      </c>
      <c r="M18" s="657"/>
      <c r="N18" s="657"/>
      <c r="O18" s="219"/>
      <c r="P18" s="865" t="str">
        <f>IF(D18='THE-TS'!$D$11,"x","")</f>
        <v/>
      </c>
      <c r="Q18" s="857">
        <f>J18/12</f>
        <v>2330149.0833333335</v>
      </c>
      <c r="R18" s="782">
        <v>2330149</v>
      </c>
      <c r="S18" s="782">
        <f>R18*6</f>
        <v>13980894</v>
      </c>
      <c r="T18" s="782">
        <f>S18*2</f>
        <v>27961788</v>
      </c>
    </row>
    <row r="19" spans="1:20" s="793" customFormat="1" ht="21.75" customHeight="1">
      <c r="A19" s="819" t="s">
        <v>688</v>
      </c>
      <c r="B19" s="823" t="s">
        <v>689</v>
      </c>
      <c r="C19" s="819"/>
      <c r="D19" s="819"/>
      <c r="E19" s="819"/>
      <c r="F19" s="819"/>
      <c r="G19" s="867"/>
      <c r="H19" s="830"/>
      <c r="I19" s="830"/>
      <c r="J19" s="830"/>
      <c r="K19" s="830"/>
      <c r="L19" s="8"/>
      <c r="M19" s="819"/>
      <c r="N19" s="819"/>
      <c r="O19" s="219"/>
      <c r="P19" s="865" t="str">
        <f>IF(D19='THE-TS'!$D$11,"x","")</f>
        <v/>
      </c>
      <c r="Q19" s="857">
        <f t="shared" si="1"/>
        <v>0</v>
      </c>
      <c r="R19" s="793">
        <v>0</v>
      </c>
      <c r="S19" s="793">
        <f>S18/7</f>
        <v>1997270.5714285714</v>
      </c>
    </row>
    <row r="20" spans="1:20" ht="21.75" customHeight="1">
      <c r="A20" s="820">
        <v>1</v>
      </c>
      <c r="B20" s="835" t="s">
        <v>701</v>
      </c>
      <c r="C20" s="795">
        <v>40543</v>
      </c>
      <c r="D20" s="321" t="s">
        <v>656</v>
      </c>
      <c r="E20" s="657"/>
      <c r="F20" s="835" t="s">
        <v>717</v>
      </c>
      <c r="G20" s="867" t="str">
        <f t="shared" ref="G20:G33" si="3">RIGHT(B20,5)</f>
        <v>02/10</v>
      </c>
      <c r="H20" s="394">
        <v>210000000</v>
      </c>
      <c r="I20" s="394">
        <v>5</v>
      </c>
      <c r="J20" s="8"/>
      <c r="K20" s="8">
        <v>210000000</v>
      </c>
      <c r="L20" s="8">
        <f t="shared" si="0"/>
        <v>210000000</v>
      </c>
      <c r="M20" s="816"/>
      <c r="N20" s="657"/>
      <c r="O20" s="219"/>
      <c r="P20" s="865" t="str">
        <f>IF(D20='THE-TS'!$D$11,"x","")</f>
        <v/>
      </c>
      <c r="Q20" s="857">
        <f t="shared" si="1"/>
        <v>0</v>
      </c>
      <c r="R20" s="782">
        <v>0</v>
      </c>
    </row>
    <row r="21" spans="1:20" ht="21.75" customHeight="1">
      <c r="A21" s="820">
        <v>2</v>
      </c>
      <c r="B21" s="833" t="s">
        <v>702</v>
      </c>
      <c r="C21" s="795">
        <v>40543</v>
      </c>
      <c r="D21" s="321" t="s">
        <v>657</v>
      </c>
      <c r="E21" s="657" t="s">
        <v>649</v>
      </c>
      <c r="F21" s="835" t="s">
        <v>717</v>
      </c>
      <c r="G21" s="867" t="str">
        <f t="shared" si="3"/>
        <v>06/10</v>
      </c>
      <c r="H21" s="394">
        <v>2787898863</v>
      </c>
      <c r="I21" s="394">
        <v>5</v>
      </c>
      <c r="J21" s="8"/>
      <c r="K21" s="8">
        <v>2787898863</v>
      </c>
      <c r="L21" s="8">
        <f t="shared" si="0"/>
        <v>2787898863</v>
      </c>
      <c r="M21" s="816"/>
      <c r="N21" s="657"/>
      <c r="O21" s="219"/>
      <c r="P21" s="865" t="str">
        <f>IF(D21='THE-TS'!$D$11,"x","")</f>
        <v/>
      </c>
      <c r="Q21" s="857">
        <f t="shared" si="1"/>
        <v>0</v>
      </c>
      <c r="R21" s="782">
        <v>0</v>
      </c>
    </row>
    <row r="22" spans="1:20" ht="21.75" customHeight="1">
      <c r="A22" s="820">
        <v>3</v>
      </c>
      <c r="B22" s="833" t="s">
        <v>703</v>
      </c>
      <c r="C22" s="795">
        <v>41883</v>
      </c>
      <c r="D22" s="321" t="s">
        <v>658</v>
      </c>
      <c r="E22" s="657"/>
      <c r="F22" s="835" t="s">
        <v>713</v>
      </c>
      <c r="G22" s="867" t="str">
        <f t="shared" si="3"/>
        <v>12/14</v>
      </c>
      <c r="H22" s="394">
        <v>150000000</v>
      </c>
      <c r="I22" s="829">
        <v>3</v>
      </c>
      <c r="J22" s="8">
        <v>37500000</v>
      </c>
      <c r="K22" s="8">
        <v>112500000</v>
      </c>
      <c r="L22" s="8">
        <f t="shared" si="0"/>
        <v>150000000</v>
      </c>
      <c r="M22" s="816"/>
      <c r="N22" s="219"/>
      <c r="O22" s="219"/>
      <c r="P22" s="865" t="str">
        <f>IF(D22='THE-TS'!$D$11,"x","")</f>
        <v/>
      </c>
      <c r="Q22" s="857">
        <f>J22/9</f>
        <v>4166666.6666666665</v>
      </c>
      <c r="R22" s="782">
        <v>4166666.25</v>
      </c>
    </row>
    <row r="23" spans="1:20" ht="21.75" customHeight="1">
      <c r="A23" s="820">
        <v>4</v>
      </c>
      <c r="B23" s="833" t="s">
        <v>704</v>
      </c>
      <c r="C23" s="795">
        <v>41883</v>
      </c>
      <c r="D23" s="321" t="s">
        <v>659</v>
      </c>
      <c r="E23" s="657"/>
      <c r="F23" s="835" t="s">
        <v>713</v>
      </c>
      <c r="G23" s="867" t="str">
        <f t="shared" si="3"/>
        <v>13/14</v>
      </c>
      <c r="H23" s="394">
        <v>80000000</v>
      </c>
      <c r="I23" s="829">
        <v>3</v>
      </c>
      <c r="J23" s="8">
        <v>19999999</v>
      </c>
      <c r="K23" s="8">
        <v>60000001</v>
      </c>
      <c r="L23" s="8">
        <f t="shared" si="0"/>
        <v>80000000</v>
      </c>
      <c r="M23" s="816"/>
      <c r="N23" s="657"/>
      <c r="O23" s="219"/>
      <c r="P23" s="865" t="str">
        <f>IF(D23='THE-TS'!$D$11,"x","")</f>
        <v/>
      </c>
      <c r="Q23" s="857">
        <f>J23/9</f>
        <v>2222222.111111111</v>
      </c>
      <c r="R23" s="782">
        <v>2222222.5833333335</v>
      </c>
    </row>
    <row r="24" spans="1:20" ht="21.75" customHeight="1">
      <c r="A24" s="820">
        <v>5</v>
      </c>
      <c r="B24" s="833" t="s">
        <v>705</v>
      </c>
      <c r="C24" s="795">
        <v>41890</v>
      </c>
      <c r="D24" s="321" t="s">
        <v>660</v>
      </c>
      <c r="E24" s="657"/>
      <c r="F24" s="835" t="s">
        <v>713</v>
      </c>
      <c r="G24" s="867" t="str">
        <f t="shared" si="3"/>
        <v>14/14</v>
      </c>
      <c r="H24" s="394">
        <v>50000000</v>
      </c>
      <c r="I24" s="829">
        <v>3</v>
      </c>
      <c r="J24" s="8">
        <v>12499999</v>
      </c>
      <c r="K24" s="8">
        <v>37500001</v>
      </c>
      <c r="L24" s="8">
        <f t="shared" si="0"/>
        <v>50000000</v>
      </c>
      <c r="M24" s="816"/>
      <c r="N24" s="657"/>
      <c r="O24" s="219"/>
      <c r="P24" s="865" t="str">
        <f>IF(D24='THE-TS'!$D$11,"x","")</f>
        <v/>
      </c>
      <c r="Q24" s="857">
        <f>J24/9</f>
        <v>1388888.7777777778</v>
      </c>
      <c r="R24" s="782">
        <v>1388888.8333333333</v>
      </c>
    </row>
    <row r="25" spans="1:20" ht="21.75" customHeight="1">
      <c r="A25" s="820">
        <v>6</v>
      </c>
      <c r="B25" s="833" t="s">
        <v>706</v>
      </c>
      <c r="C25" s="795">
        <v>41890</v>
      </c>
      <c r="D25" s="321" t="s">
        <v>661</v>
      </c>
      <c r="E25" s="657"/>
      <c r="F25" s="835" t="s">
        <v>713</v>
      </c>
      <c r="G25" s="867" t="str">
        <f t="shared" si="3"/>
        <v>15/14</v>
      </c>
      <c r="H25" s="394">
        <v>100000000</v>
      </c>
      <c r="I25" s="829">
        <v>5</v>
      </c>
      <c r="J25" s="8">
        <v>20000000</v>
      </c>
      <c r="K25" s="8">
        <v>45000000</v>
      </c>
      <c r="L25" s="8">
        <f t="shared" si="0"/>
        <v>65000000</v>
      </c>
      <c r="M25" s="816"/>
      <c r="N25" s="657"/>
      <c r="O25" s="219"/>
      <c r="P25" s="865" t="str">
        <f>IF(D25='THE-TS'!$D$11,"x","")</f>
        <v/>
      </c>
      <c r="Q25" s="857">
        <f t="shared" si="1"/>
        <v>1666666.6666666667</v>
      </c>
      <c r="R25" s="782">
        <v>1666666.25</v>
      </c>
    </row>
    <row r="26" spans="1:20" ht="21.75" customHeight="1">
      <c r="A26" s="820">
        <v>7</v>
      </c>
      <c r="B26" s="833" t="s">
        <v>707</v>
      </c>
      <c r="C26" s="795">
        <v>41890</v>
      </c>
      <c r="D26" s="321" t="s">
        <v>662</v>
      </c>
      <c r="E26" s="657"/>
      <c r="F26" s="835" t="s">
        <v>713</v>
      </c>
      <c r="G26" s="867" t="str">
        <f t="shared" si="3"/>
        <v>16/14</v>
      </c>
      <c r="H26" s="394">
        <v>100000000</v>
      </c>
      <c r="I26" s="829">
        <v>5</v>
      </c>
      <c r="J26" s="8">
        <v>20000000</v>
      </c>
      <c r="K26" s="8">
        <v>45000000</v>
      </c>
      <c r="L26" s="8">
        <f t="shared" si="0"/>
        <v>65000000</v>
      </c>
      <c r="M26" s="816"/>
      <c r="N26" s="657"/>
      <c r="O26" s="219"/>
      <c r="P26" s="865" t="str">
        <f>IF(D26='THE-TS'!$D$11,"x","")</f>
        <v/>
      </c>
      <c r="Q26" s="857">
        <f t="shared" si="1"/>
        <v>1666666.6666666667</v>
      </c>
      <c r="R26" s="782">
        <v>1666666.25</v>
      </c>
    </row>
    <row r="27" spans="1:20" ht="21.75" customHeight="1">
      <c r="A27" s="820">
        <v>8</v>
      </c>
      <c r="B27" s="833" t="s">
        <v>708</v>
      </c>
      <c r="C27" s="795">
        <v>41890</v>
      </c>
      <c r="D27" s="321" t="s">
        <v>663</v>
      </c>
      <c r="E27" s="657"/>
      <c r="F27" s="835" t="s">
        <v>713</v>
      </c>
      <c r="G27" s="867" t="str">
        <f t="shared" si="3"/>
        <v>17/14</v>
      </c>
      <c r="H27" s="394">
        <v>110000000</v>
      </c>
      <c r="I27" s="829">
        <v>5</v>
      </c>
      <c r="J27" s="8">
        <v>22000000</v>
      </c>
      <c r="K27" s="8">
        <v>49500000</v>
      </c>
      <c r="L27" s="8">
        <f t="shared" si="0"/>
        <v>71500000</v>
      </c>
      <c r="M27" s="816"/>
      <c r="N27" s="657"/>
      <c r="O27" s="219"/>
      <c r="P27" s="865" t="str">
        <f>IF(D27='THE-TS'!$D$11,"x","")</f>
        <v/>
      </c>
      <c r="Q27" s="857">
        <f t="shared" si="1"/>
        <v>1833333.3333333333</v>
      </c>
      <c r="R27" s="782">
        <v>1833333.75</v>
      </c>
    </row>
    <row r="28" spans="1:20" ht="21.75" customHeight="1">
      <c r="A28" s="820">
        <v>8</v>
      </c>
      <c r="B28" s="833" t="s">
        <v>708</v>
      </c>
      <c r="C28" s="795">
        <v>41890</v>
      </c>
      <c r="D28" s="321" t="s">
        <v>663</v>
      </c>
      <c r="E28" s="657"/>
      <c r="F28" s="835" t="s">
        <v>713</v>
      </c>
      <c r="G28" s="867" t="str">
        <f>RIGHT(B28,5)</f>
        <v>17/14</v>
      </c>
      <c r="H28" s="394">
        <v>110000000</v>
      </c>
      <c r="I28" s="829">
        <v>5</v>
      </c>
      <c r="J28" s="8">
        <v>22000000</v>
      </c>
      <c r="K28" s="8">
        <v>49500000</v>
      </c>
      <c r="L28" s="8">
        <f>K28+J28</f>
        <v>71500000</v>
      </c>
      <c r="M28" s="816"/>
      <c r="N28" s="657"/>
      <c r="O28" s="219"/>
      <c r="P28" s="865" t="str">
        <f>IF(D28='THE-TS'!$D$11,"x","")</f>
        <v/>
      </c>
      <c r="Q28" s="857">
        <f t="shared" si="1"/>
        <v>1833333.3333333333</v>
      </c>
      <c r="R28" s="782">
        <v>1833333.75</v>
      </c>
    </row>
    <row r="29" spans="1:20" ht="21.75" customHeight="1">
      <c r="A29" s="820">
        <v>8</v>
      </c>
      <c r="B29" s="833" t="s">
        <v>708</v>
      </c>
      <c r="C29" s="795">
        <v>41890</v>
      </c>
      <c r="D29" s="321" t="s">
        <v>663</v>
      </c>
      <c r="E29" s="657"/>
      <c r="F29" s="835" t="s">
        <v>713</v>
      </c>
      <c r="G29" s="867" t="str">
        <f t="shared" si="3"/>
        <v>17/14</v>
      </c>
      <c r="H29" s="394">
        <v>110000000</v>
      </c>
      <c r="I29" s="829">
        <v>5</v>
      </c>
      <c r="J29" s="8">
        <v>22000000</v>
      </c>
      <c r="K29" s="8">
        <v>49500000</v>
      </c>
      <c r="L29" s="8">
        <f t="shared" si="0"/>
        <v>71500000</v>
      </c>
      <c r="M29" s="816"/>
      <c r="N29" s="657"/>
      <c r="O29" s="219"/>
      <c r="P29" s="865" t="str">
        <f>IF(D29='THE-TS'!$D$11,"x","")</f>
        <v/>
      </c>
      <c r="Q29" s="857">
        <f t="shared" si="1"/>
        <v>1833333.3333333333</v>
      </c>
      <c r="R29" s="782">
        <v>1833333.75</v>
      </c>
    </row>
    <row r="30" spans="1:20" s="793" customFormat="1" ht="21.75" customHeight="1">
      <c r="A30" s="819" t="s">
        <v>690</v>
      </c>
      <c r="B30" s="823" t="s">
        <v>691</v>
      </c>
      <c r="C30" s="819"/>
      <c r="D30" s="819"/>
      <c r="E30" s="819"/>
      <c r="F30" s="819"/>
      <c r="G30" s="867"/>
      <c r="H30" s="830"/>
      <c r="I30" s="830"/>
      <c r="J30" s="8"/>
      <c r="K30" s="830"/>
      <c r="L30" s="8"/>
      <c r="M30" s="819"/>
      <c r="N30" s="819"/>
      <c r="O30" s="219"/>
      <c r="P30" s="865" t="str">
        <f>IF(D30='THE-TS'!$D$11,"x","")</f>
        <v/>
      </c>
      <c r="Q30" s="857">
        <f t="shared" si="1"/>
        <v>0</v>
      </c>
      <c r="R30" s="793">
        <v>0</v>
      </c>
    </row>
    <row r="31" spans="1:20" ht="21.75" customHeight="1">
      <c r="A31" s="820">
        <v>1</v>
      </c>
      <c r="B31" s="835" t="s">
        <v>698</v>
      </c>
      <c r="C31" s="795">
        <v>40543</v>
      </c>
      <c r="D31" s="321" t="s">
        <v>664</v>
      </c>
      <c r="E31" s="657" t="s">
        <v>649</v>
      </c>
      <c r="F31" s="835" t="s">
        <v>717</v>
      </c>
      <c r="G31" s="867" t="str">
        <f t="shared" si="3"/>
        <v>07/10</v>
      </c>
      <c r="H31" s="394">
        <v>2173860839</v>
      </c>
      <c r="I31" s="394">
        <v>5</v>
      </c>
      <c r="J31" s="8"/>
      <c r="K31" s="8">
        <v>2173860839</v>
      </c>
      <c r="L31" s="8">
        <f t="shared" si="0"/>
        <v>2173860839</v>
      </c>
      <c r="M31" s="657"/>
      <c r="N31" s="657"/>
      <c r="O31" s="219"/>
      <c r="P31" s="865" t="str">
        <f>IF(D31='THE-TS'!$D$11,"x","")</f>
        <v/>
      </c>
      <c r="Q31" s="857">
        <f t="shared" si="1"/>
        <v>0</v>
      </c>
      <c r="R31" s="782">
        <v>0</v>
      </c>
    </row>
    <row r="32" spans="1:20" ht="21.75" customHeight="1">
      <c r="A32" s="820">
        <v>2</v>
      </c>
      <c r="B32" s="835" t="s">
        <v>699</v>
      </c>
      <c r="C32" s="795">
        <v>40543</v>
      </c>
      <c r="D32" s="321" t="s">
        <v>665</v>
      </c>
      <c r="E32" s="657" t="s">
        <v>649</v>
      </c>
      <c r="F32" s="835" t="s">
        <v>717</v>
      </c>
      <c r="G32" s="867" t="str">
        <f t="shared" si="3"/>
        <v>08/10</v>
      </c>
      <c r="H32" s="394">
        <v>1303180703</v>
      </c>
      <c r="I32" s="394">
        <v>10</v>
      </c>
      <c r="J32" s="8">
        <v>130318070</v>
      </c>
      <c r="K32" s="8">
        <v>781908420</v>
      </c>
      <c r="L32" s="8">
        <f t="shared" si="0"/>
        <v>912226490</v>
      </c>
      <c r="M32" s="657"/>
      <c r="N32" s="657"/>
      <c r="O32" s="219"/>
      <c r="P32" s="865" t="str">
        <f>IF(D32='THE-TS'!$D$11,"x","")</f>
        <v/>
      </c>
      <c r="Q32" s="857">
        <f>J32/12</f>
        <v>10859839.166666666</v>
      </c>
      <c r="R32" s="782">
        <v>10859840</v>
      </c>
    </row>
    <row r="33" spans="1:18" ht="21.75" customHeight="1">
      <c r="A33" s="820">
        <v>3</v>
      </c>
      <c r="B33" s="835" t="s">
        <v>700</v>
      </c>
      <c r="C33" s="795">
        <v>40543</v>
      </c>
      <c r="D33" s="321" t="s">
        <v>666</v>
      </c>
      <c r="E33" s="657" t="s">
        <v>649</v>
      </c>
      <c r="F33" s="835" t="s">
        <v>717</v>
      </c>
      <c r="G33" s="867" t="str">
        <f t="shared" si="3"/>
        <v>09/10</v>
      </c>
      <c r="H33" s="394">
        <v>313876943</v>
      </c>
      <c r="I33" s="394">
        <v>10</v>
      </c>
      <c r="J33" s="8">
        <v>31387694</v>
      </c>
      <c r="K33" s="8">
        <v>188326164</v>
      </c>
      <c r="L33" s="8">
        <f t="shared" si="0"/>
        <v>219713858</v>
      </c>
      <c r="M33" s="657"/>
      <c r="N33" s="657"/>
      <c r="O33" s="219"/>
      <c r="P33" s="865" t="str">
        <f>IF(D33='THE-TS'!$D$11,"x","")</f>
        <v/>
      </c>
      <c r="Q33" s="857">
        <f>J33/12</f>
        <v>2615641.1666666665</v>
      </c>
      <c r="R33" s="782">
        <v>2615642</v>
      </c>
    </row>
    <row r="34" spans="1:18" ht="21.75" customHeight="1">
      <c r="A34" s="798"/>
      <c r="B34" s="824"/>
      <c r="C34" s="825"/>
      <c r="D34" s="826"/>
      <c r="E34" s="799"/>
      <c r="F34" s="825"/>
      <c r="G34" s="824"/>
      <c r="H34" s="831"/>
      <c r="I34" s="831"/>
      <c r="J34" s="451"/>
      <c r="K34" s="451"/>
      <c r="L34" s="451"/>
      <c r="M34" s="799"/>
      <c r="N34" s="799"/>
      <c r="O34" s="799"/>
      <c r="P34" s="865" t="str">
        <f>IF(D34='THE-TS'!$D$11,"x","")</f>
        <v/>
      </c>
    </row>
    <row r="35" spans="1:18" s="805" customFormat="1" ht="21.75" customHeight="1">
      <c r="A35" s="802"/>
      <c r="B35" s="803"/>
      <c r="C35" s="802"/>
      <c r="D35" s="802" t="s">
        <v>653</v>
      </c>
      <c r="E35" s="802" t="s">
        <v>21</v>
      </c>
      <c r="F35" s="802" t="s">
        <v>21</v>
      </c>
      <c r="G35" s="802" t="s">
        <v>21</v>
      </c>
      <c r="H35" s="832">
        <f>SUM(H13:H34)</f>
        <v>15369178889</v>
      </c>
      <c r="I35" s="832"/>
      <c r="J35" s="832">
        <f>SUM(J13:J34)</f>
        <v>614220088</v>
      </c>
      <c r="K35" s="832">
        <f>SUM(K13:K34)</f>
        <v>9758261933</v>
      </c>
      <c r="L35" s="832">
        <f>SUM(L13:L34)</f>
        <v>10372482021</v>
      </c>
      <c r="M35" s="802" t="s">
        <v>21</v>
      </c>
      <c r="N35" s="802" t="s">
        <v>21</v>
      </c>
      <c r="O35" s="802" t="s">
        <v>21</v>
      </c>
      <c r="P35" s="865" t="str">
        <f>IF(D35='THE-TS'!$D$11,"x","")</f>
        <v/>
      </c>
    </row>
    <row r="36" spans="1:18" ht="6.75" customHeight="1">
      <c r="A36" s="658"/>
      <c r="B36" s="658"/>
      <c r="C36" s="806"/>
      <c r="D36" s="658"/>
      <c r="E36" s="806"/>
      <c r="F36" s="806"/>
      <c r="G36" s="806"/>
      <c r="H36" s="658"/>
      <c r="I36" s="658"/>
      <c r="J36" s="658"/>
      <c r="K36" s="807"/>
      <c r="L36" s="658"/>
      <c r="M36" s="658"/>
      <c r="N36" s="658"/>
      <c r="O36" s="658"/>
      <c r="P36" s="865" t="str">
        <f>IF(D36='THE-TS'!$D$11,"x","")</f>
        <v/>
      </c>
    </row>
    <row r="37" spans="1:18" ht="13.5" customHeight="1">
      <c r="A37" s="658"/>
      <c r="B37" s="658"/>
      <c r="C37" s="806"/>
      <c r="D37" s="658" t="s">
        <v>654</v>
      </c>
      <c r="E37" s="658"/>
      <c r="F37" s="806"/>
      <c r="G37" s="658"/>
      <c r="H37" s="784"/>
      <c r="I37" s="784"/>
      <c r="J37" s="874"/>
      <c r="L37" s="784"/>
      <c r="M37" s="658"/>
      <c r="N37" s="658"/>
      <c r="O37" s="658"/>
      <c r="P37" s="865" t="str">
        <f>IF(D37='THE-TS'!$D$11,"x","")</f>
        <v/>
      </c>
    </row>
    <row r="38" spans="1:18" ht="13.5" customHeight="1">
      <c r="A38" s="658"/>
      <c r="B38" s="658"/>
      <c r="C38" s="806"/>
      <c r="D38" s="658" t="s">
        <v>685</v>
      </c>
      <c r="E38" s="658"/>
      <c r="F38" s="806"/>
      <c r="G38" s="658"/>
      <c r="H38" s="817"/>
      <c r="I38" s="658"/>
      <c r="J38" s="827"/>
      <c r="K38" s="807"/>
      <c r="L38" s="658"/>
      <c r="M38" s="658"/>
      <c r="N38" s="658"/>
      <c r="O38" s="658"/>
      <c r="P38" s="865" t="str">
        <f>IF(D38='THE-TS'!$D$11,"x","")</f>
        <v/>
      </c>
    </row>
    <row r="39" spans="1:18" ht="13.5" customHeight="1">
      <c r="K39" s="808"/>
      <c r="L39" s="787" t="s">
        <v>686</v>
      </c>
      <c r="P39" s="865" t="str">
        <f>IF(D39='THE-TS'!$D$11,"x","")</f>
        <v/>
      </c>
    </row>
    <row r="40" spans="1:18" ht="13.5" customHeight="1">
      <c r="B40" s="783"/>
      <c r="D40" s="783" t="s">
        <v>11</v>
      </c>
      <c r="F40" s="783" t="s">
        <v>655</v>
      </c>
      <c r="I40" s="809"/>
      <c r="K40" s="806"/>
      <c r="L40" s="806" t="s">
        <v>131</v>
      </c>
      <c r="P40" s="865" t="str">
        <f>IF(D40='THE-TS'!$D$11,"x","")</f>
        <v/>
      </c>
    </row>
    <row r="41" spans="1:18" ht="13.5" customHeight="1">
      <c r="B41" s="783"/>
      <c r="D41" s="783"/>
      <c r="P41" s="865" t="str">
        <f>IF(D41='THE-TS'!$D$11,"x","")</f>
        <v/>
      </c>
    </row>
    <row r="42" spans="1:18" ht="13.5" customHeight="1">
      <c r="H42" s="810"/>
      <c r="J42" s="810"/>
      <c r="L42" s="810"/>
      <c r="P42" s="865" t="str">
        <f>IF(D42='THE-TS'!$D$11,"x","")</f>
        <v/>
      </c>
    </row>
    <row r="43" spans="1:18" ht="13.5" customHeight="1">
      <c r="H43" s="811"/>
      <c r="P43" s="865" t="str">
        <f>IF(D43='THE-TS'!$D$11,"x","")</f>
        <v/>
      </c>
    </row>
    <row r="44" spans="1:18" ht="13.5" customHeight="1">
      <c r="H44" s="811"/>
      <c r="J44" s="810"/>
      <c r="P44" s="865" t="str">
        <f>IF(D44='THE-TS'!$D$11,"x","")</f>
        <v/>
      </c>
      <c r="Q44" s="857">
        <f>SUM(Q16:Q33)</f>
        <v>49458285.555555552</v>
      </c>
    </row>
    <row r="45" spans="1:18" ht="13.5" customHeight="1">
      <c r="H45" s="811"/>
      <c r="P45" s="865" t="str">
        <f>IF(D45='THE-TS'!$D$11,"x","")</f>
        <v/>
      </c>
      <c r="Q45" s="857">
        <f>Q44*9</f>
        <v>445124570</v>
      </c>
    </row>
    <row r="46" spans="1:18" ht="13.5" customHeight="1">
      <c r="H46" s="811"/>
      <c r="P46" s="865" t="str">
        <f>IF(D46='THE-TS'!$D$11,"x","")</f>
        <v/>
      </c>
    </row>
    <row r="47" spans="1:18" s="812" customFormat="1" ht="13.5" customHeight="1">
      <c r="C47" s="813"/>
      <c r="D47" s="813" t="s">
        <v>226</v>
      </c>
      <c r="F47" s="813"/>
      <c r="H47" s="814"/>
      <c r="K47" s="815"/>
      <c r="L47" s="812" t="s">
        <v>125</v>
      </c>
      <c r="P47" s="865" t="str">
        <f>IF(D47='THE-TS'!$D$11,"x","")</f>
        <v/>
      </c>
    </row>
    <row r="48" spans="1:18" ht="13.5">
      <c r="P48" s="865" t="str">
        <f>IF(D48='THE-TS'!$D$11,"x","")</f>
        <v/>
      </c>
    </row>
    <row r="49" spans="1:16" ht="13.5" customHeight="1">
      <c r="H49" s="811"/>
      <c r="P49" s="865" t="str">
        <f>IF(D49='THE-TS'!$D$11,"x","")</f>
        <v/>
      </c>
    </row>
    <row r="50" spans="1:16" ht="13.5">
      <c r="P50" s="865" t="str">
        <f>IF(D50='THE-TS'!$D$11,"x","")</f>
        <v/>
      </c>
    </row>
    <row r="51" spans="1:16" ht="13.5">
      <c r="P51" s="865" t="str">
        <f>IF(D51='THE-TS'!$D$11,"x","")</f>
        <v/>
      </c>
    </row>
    <row r="52" spans="1:16" ht="13.5">
      <c r="P52" s="865" t="str">
        <f>IF(D52='THE-TS'!$D$11,"x","")</f>
        <v/>
      </c>
    </row>
    <row r="53" spans="1:16" ht="13.5">
      <c r="A53" s="781" t="s">
        <v>624</v>
      </c>
      <c r="L53" s="785"/>
      <c r="M53" s="785"/>
      <c r="N53" s="786" t="s">
        <v>625</v>
      </c>
      <c r="O53" s="785"/>
      <c r="P53" s="865" t="str">
        <f>IF(D53='THE-TS'!$D$11,"x","")</f>
        <v/>
      </c>
    </row>
    <row r="54" spans="1:16" ht="13.5">
      <c r="A54" s="781" t="s">
        <v>626</v>
      </c>
      <c r="L54" s="784"/>
      <c r="M54" s="784"/>
      <c r="N54" s="787" t="s">
        <v>309</v>
      </c>
      <c r="O54" s="784"/>
      <c r="P54" s="865" t="str">
        <f>IF(D54='THE-TS'!$D$11,"x","")</f>
        <v/>
      </c>
    </row>
    <row r="55" spans="1:16" ht="13.5">
      <c r="L55" s="784"/>
      <c r="M55" s="784"/>
      <c r="N55" s="787" t="s">
        <v>234</v>
      </c>
      <c r="O55" s="784"/>
      <c r="P55" s="865" t="str">
        <f>IF(D55='THE-TS'!$D$11,"x","")</f>
        <v/>
      </c>
    </row>
    <row r="56" spans="1:16" ht="13.5">
      <c r="P56" s="865" t="str">
        <f>IF(D56='THE-TS'!$D$11,"x","")</f>
        <v/>
      </c>
    </row>
    <row r="57" spans="1:16" s="876" customFormat="1" ht="28.5" customHeight="1">
      <c r="A57" s="1527" t="s">
        <v>627</v>
      </c>
      <c r="B57" s="1527"/>
      <c r="C57" s="1527"/>
      <c r="D57" s="1527"/>
      <c r="E57" s="1527"/>
      <c r="F57" s="1527"/>
      <c r="G57" s="1527"/>
      <c r="H57" s="1527"/>
      <c r="I57" s="1527"/>
      <c r="J57" s="1527"/>
      <c r="K57" s="1527"/>
      <c r="L57" s="1527"/>
      <c r="M57" s="1527"/>
      <c r="N57" s="1527"/>
      <c r="O57" s="1527"/>
      <c r="P57" s="875" t="str">
        <f>IF(D57='THE-TS'!$D$11,"x","")</f>
        <v/>
      </c>
    </row>
    <row r="58" spans="1:16" s="788" customFormat="1" ht="19.5" customHeight="1">
      <c r="A58" s="1528" t="s">
        <v>684</v>
      </c>
      <c r="B58" s="1528"/>
      <c r="C58" s="1528"/>
      <c r="D58" s="1528"/>
      <c r="E58" s="1528"/>
      <c r="F58" s="1528"/>
      <c r="G58" s="1528"/>
      <c r="H58" s="1528"/>
      <c r="I58" s="1528"/>
      <c r="J58" s="1528"/>
      <c r="K58" s="1528"/>
      <c r="L58" s="1528"/>
      <c r="M58" s="1528"/>
      <c r="N58" s="1528"/>
      <c r="O58" s="1528"/>
      <c r="P58" s="865" t="str">
        <f>IF(D58='THE-TS'!$D$11,"x","")</f>
        <v/>
      </c>
    </row>
    <row r="59" spans="1:16" s="788" customFormat="1" ht="19.5" customHeight="1">
      <c r="A59" s="1529" t="s">
        <v>693</v>
      </c>
      <c r="B59" s="1529"/>
      <c r="C59" s="1529"/>
      <c r="D59" s="1529"/>
      <c r="E59" s="1529"/>
      <c r="F59" s="1529"/>
      <c r="G59" s="1529"/>
      <c r="H59" s="1529"/>
      <c r="I59" s="1529"/>
      <c r="J59" s="1529"/>
      <c r="K59" s="1529"/>
      <c r="L59" s="1529"/>
      <c r="M59" s="1529"/>
      <c r="N59" s="1529"/>
      <c r="O59" s="1529"/>
      <c r="P59" s="865" t="str">
        <f>IF(D59='THE-TS'!$D$11,"x","")</f>
        <v/>
      </c>
    </row>
    <row r="60" spans="1:16" ht="13.5">
      <c r="D60" s="783"/>
      <c r="P60" s="865" t="str">
        <f>IF(D60='THE-TS'!$D$11,"x","")</f>
        <v/>
      </c>
    </row>
    <row r="61" spans="1:16" s="789" customFormat="1" ht="17.25" customHeight="1">
      <c r="A61" s="1530" t="s">
        <v>463</v>
      </c>
      <c r="B61" s="1533" t="s">
        <v>628</v>
      </c>
      <c r="C61" s="1534"/>
      <c r="D61" s="1534"/>
      <c r="E61" s="1534"/>
      <c r="F61" s="1534"/>
      <c r="G61" s="1534"/>
      <c r="H61" s="1535"/>
      <c r="I61" s="1533" t="s">
        <v>629</v>
      </c>
      <c r="J61" s="1534"/>
      <c r="K61" s="1534"/>
      <c r="L61" s="1535"/>
      <c r="M61" s="1536" t="s">
        <v>630</v>
      </c>
      <c r="N61" s="1536"/>
      <c r="O61" s="1536"/>
      <c r="P61" s="865" t="str">
        <f>IF(D61='THE-TS'!$D$11,"x","")</f>
        <v/>
      </c>
    </row>
    <row r="62" spans="1:16" s="789" customFormat="1" ht="17.25" customHeight="1">
      <c r="A62" s="1531"/>
      <c r="B62" s="1533" t="s">
        <v>631</v>
      </c>
      <c r="C62" s="1535"/>
      <c r="D62" s="1530" t="s">
        <v>632</v>
      </c>
      <c r="E62" s="1530" t="s">
        <v>633</v>
      </c>
      <c r="F62" s="1530" t="s">
        <v>634</v>
      </c>
      <c r="G62" s="1530" t="s">
        <v>635</v>
      </c>
      <c r="H62" s="1530" t="s">
        <v>636</v>
      </c>
      <c r="I62" s="1533" t="s">
        <v>637</v>
      </c>
      <c r="J62" s="1535"/>
      <c r="K62" s="1537" t="s">
        <v>638</v>
      </c>
      <c r="L62" s="1530" t="s">
        <v>639</v>
      </c>
      <c r="M62" s="1536" t="s">
        <v>631</v>
      </c>
      <c r="N62" s="1536"/>
      <c r="O62" s="1536" t="s">
        <v>640</v>
      </c>
      <c r="P62" s="865" t="str">
        <f>IF(D62='THE-TS'!$D$11,"x","")</f>
        <v/>
      </c>
    </row>
    <row r="63" spans="1:16" s="789" customFormat="1" ht="55.5" customHeight="1">
      <c r="A63" s="1532"/>
      <c r="B63" s="790" t="s">
        <v>641</v>
      </c>
      <c r="C63" s="790" t="s">
        <v>464</v>
      </c>
      <c r="D63" s="1532"/>
      <c r="E63" s="1532"/>
      <c r="F63" s="1532"/>
      <c r="G63" s="1532"/>
      <c r="H63" s="1532"/>
      <c r="I63" s="790" t="s">
        <v>642</v>
      </c>
      <c r="J63" s="790" t="s">
        <v>643</v>
      </c>
      <c r="K63" s="1538"/>
      <c r="L63" s="1532"/>
      <c r="M63" s="790" t="s">
        <v>17</v>
      </c>
      <c r="N63" s="790" t="s">
        <v>464</v>
      </c>
      <c r="O63" s="1536"/>
      <c r="P63" s="865" t="str">
        <f>IF(D63='THE-TS'!$D$11,"x","")</f>
        <v/>
      </c>
    </row>
    <row r="64" spans="1:16" s="793" customFormat="1" ht="13.5">
      <c r="A64" s="791" t="s">
        <v>2</v>
      </c>
      <c r="B64" s="791" t="s">
        <v>3</v>
      </c>
      <c r="C64" s="791" t="s">
        <v>4</v>
      </c>
      <c r="D64" s="791" t="s">
        <v>5</v>
      </c>
      <c r="E64" s="791" t="s">
        <v>6</v>
      </c>
      <c r="F64" s="791" t="s">
        <v>156</v>
      </c>
      <c r="G64" s="791" t="s">
        <v>644</v>
      </c>
      <c r="H64" s="791">
        <v>1</v>
      </c>
      <c r="I64" s="791">
        <v>2</v>
      </c>
      <c r="J64" s="791">
        <v>3</v>
      </c>
      <c r="K64" s="792"/>
      <c r="L64" s="791">
        <v>4</v>
      </c>
      <c r="M64" s="791" t="s">
        <v>645</v>
      </c>
      <c r="N64" s="791" t="s">
        <v>646</v>
      </c>
      <c r="O64" s="791" t="s">
        <v>647</v>
      </c>
      <c r="P64" s="865" t="str">
        <f>IF(D64='THE-TS'!$D$11,"x","")</f>
        <v/>
      </c>
    </row>
    <row r="65" spans="1:17" ht="15.75" customHeight="1">
      <c r="A65" s="794">
        <v>1</v>
      </c>
      <c r="B65" s="833" t="s">
        <v>716</v>
      </c>
      <c r="C65" s="795">
        <v>40543</v>
      </c>
      <c r="D65" s="321" t="s">
        <v>667</v>
      </c>
      <c r="E65" s="656"/>
      <c r="F65" s="835" t="s">
        <v>717</v>
      </c>
      <c r="G65" s="867" t="str">
        <f>RIGHT(B65,5)</f>
        <v>10/10</v>
      </c>
      <c r="H65" s="321">
        <v>5405781300</v>
      </c>
      <c r="I65" s="797">
        <v>45</v>
      </c>
      <c r="J65" s="8">
        <v>120128473</v>
      </c>
      <c r="K65" s="796">
        <v>720770838</v>
      </c>
      <c r="L65" s="796">
        <f>K65+J65</f>
        <v>840899311</v>
      </c>
      <c r="M65" s="656"/>
      <c r="N65" s="656"/>
      <c r="O65" s="219"/>
      <c r="P65" s="865" t="str">
        <f>IF(D65='THE-TS'!$D$11,"x","")</f>
        <v>x</v>
      </c>
      <c r="Q65" s="857">
        <f>J65/12</f>
        <v>10010706.083333334</v>
      </c>
    </row>
    <row r="66" spans="1:17" ht="15.75" customHeight="1">
      <c r="A66" s="798"/>
      <c r="B66" s="799"/>
      <c r="C66" s="798"/>
      <c r="D66" s="799"/>
      <c r="E66" s="799"/>
      <c r="F66" s="798"/>
      <c r="G66" s="799"/>
      <c r="H66" s="799"/>
      <c r="I66" s="800"/>
      <c r="J66" s="799"/>
      <c r="K66" s="801"/>
      <c r="L66" s="799"/>
      <c r="M66" s="799"/>
      <c r="N66" s="799"/>
      <c r="O66" s="799"/>
      <c r="P66" s="865" t="str">
        <f>IF(D66='THE-TS'!$D$11,"x","")</f>
        <v/>
      </c>
    </row>
    <row r="67" spans="1:17" s="805" customFormat="1" ht="15.75" customHeight="1">
      <c r="A67" s="802"/>
      <c r="B67" s="803"/>
      <c r="C67" s="802"/>
      <c r="D67" s="802" t="s">
        <v>653</v>
      </c>
      <c r="E67" s="803"/>
      <c r="F67" s="802"/>
      <c r="G67" s="803"/>
      <c r="H67" s="804">
        <f>SUM(H65:H66)</f>
        <v>5405781300</v>
      </c>
      <c r="I67" s="804"/>
      <c r="J67" s="804">
        <f>SUM(J65:J66)</f>
        <v>120128473</v>
      </c>
      <c r="K67" s="804">
        <f>SUM(K65:K66)</f>
        <v>720770838</v>
      </c>
      <c r="L67" s="804">
        <f>SUM(L65:L66)</f>
        <v>840899311</v>
      </c>
      <c r="M67" s="803"/>
      <c r="N67" s="803"/>
      <c r="O67" s="803"/>
      <c r="P67" s="865" t="str">
        <f>IF(D67='THE-TS'!$D$11,"x","")</f>
        <v/>
      </c>
    </row>
    <row r="68" spans="1:17" ht="6.75" customHeight="1">
      <c r="A68" s="658"/>
      <c r="B68" s="658"/>
      <c r="C68" s="806"/>
      <c r="D68" s="658"/>
      <c r="E68" s="658"/>
      <c r="F68" s="806"/>
      <c r="G68" s="658"/>
      <c r="H68" s="658"/>
      <c r="I68" s="658"/>
      <c r="J68" s="658"/>
      <c r="K68" s="807"/>
      <c r="L68" s="658"/>
      <c r="M68" s="658"/>
      <c r="N68" s="658"/>
      <c r="O68" s="658"/>
    </row>
    <row r="69" spans="1:17">
      <c r="A69" s="658"/>
      <c r="B69" s="658"/>
      <c r="C69" s="806"/>
      <c r="D69" s="658" t="s">
        <v>654</v>
      </c>
      <c r="E69" s="658"/>
      <c r="F69" s="806"/>
      <c r="G69" s="658"/>
      <c r="H69" s="658"/>
      <c r="I69" s="658"/>
      <c r="J69" s="1017"/>
      <c r="K69" s="807"/>
      <c r="L69" s="658"/>
      <c r="M69" s="658"/>
      <c r="N69" s="658"/>
      <c r="O69" s="658"/>
    </row>
    <row r="70" spans="1:17">
      <c r="A70" s="658"/>
      <c r="B70" s="658"/>
      <c r="C70" s="806"/>
      <c r="D70" s="658" t="s">
        <v>685</v>
      </c>
      <c r="E70" s="658"/>
      <c r="F70" s="806"/>
      <c r="G70" s="658"/>
      <c r="I70" s="658"/>
      <c r="J70" s="827"/>
      <c r="K70" s="807"/>
      <c r="L70" s="658"/>
      <c r="M70" s="658"/>
      <c r="N70" s="658"/>
      <c r="O70" s="658"/>
    </row>
    <row r="71" spans="1:17">
      <c r="K71" s="787"/>
      <c r="L71" s="787" t="s">
        <v>686</v>
      </c>
    </row>
    <row r="72" spans="1:17" ht="16.5" customHeight="1">
      <c r="B72" s="783"/>
      <c r="D72" s="783" t="s">
        <v>11</v>
      </c>
      <c r="F72" s="783" t="s">
        <v>655</v>
      </c>
      <c r="I72" s="809"/>
      <c r="K72" s="806"/>
      <c r="L72" s="806" t="s">
        <v>131</v>
      </c>
    </row>
    <row r="75" spans="1:17">
      <c r="L75" s="810"/>
    </row>
    <row r="76" spans="1:17">
      <c r="D76" s="810"/>
    </row>
    <row r="77" spans="1:17">
      <c r="D77" s="784"/>
      <c r="L77" s="810"/>
    </row>
    <row r="78" spans="1:17">
      <c r="D78" s="817"/>
      <c r="L78" s="810"/>
    </row>
    <row r="79" spans="1:17" s="812" customFormat="1" ht="13.5" customHeight="1">
      <c r="C79" s="813"/>
      <c r="D79" s="813" t="s">
        <v>226</v>
      </c>
      <c r="F79" s="813"/>
      <c r="H79" s="814"/>
      <c r="K79" s="815"/>
      <c r="L79" s="812" t="s">
        <v>125</v>
      </c>
      <c r="P79" s="866"/>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P41" sqref="P41"/>
      <selection pane="bottomLeft" activeCell="P41" sqref="P41"/>
    </sheetView>
  </sheetViews>
  <sheetFormatPr defaultRowHeight="12.75"/>
  <cols>
    <col min="1" max="1" width="5" style="837" customWidth="1"/>
    <col min="2" max="2" width="10.140625" style="837" customWidth="1"/>
    <col min="3" max="3" width="11.5703125" style="837" customWidth="1"/>
    <col min="4" max="4" width="28.7109375" style="837" customWidth="1"/>
    <col min="5" max="5" width="13.28515625" style="837" customWidth="1"/>
    <col min="6" max="6" width="9.140625" style="837"/>
    <col min="7" max="7" width="14" style="837" customWidth="1"/>
    <col min="8" max="8" width="14.7109375" style="837" customWidth="1"/>
    <col min="9" max="10" width="9.140625" style="837"/>
    <col min="11" max="11" width="13.85546875" style="837" customWidth="1"/>
    <col min="12" max="16384" width="9.140625" style="837"/>
  </cols>
  <sheetData>
    <row r="2" spans="1:11">
      <c r="A2" s="853" t="s">
        <v>624</v>
      </c>
      <c r="B2" s="836"/>
      <c r="C2" s="836"/>
      <c r="D2" s="836"/>
      <c r="E2" s="786"/>
      <c r="F2" s="786"/>
      <c r="G2" s="786" t="s">
        <v>668</v>
      </c>
      <c r="H2" s="786"/>
    </row>
    <row r="3" spans="1:11">
      <c r="A3" s="853" t="s">
        <v>626</v>
      </c>
      <c r="B3" s="836"/>
      <c r="C3" s="836"/>
      <c r="D3" s="836"/>
      <c r="E3" s="787"/>
      <c r="F3" s="787"/>
      <c r="G3" s="787" t="s">
        <v>309</v>
      </c>
      <c r="H3" s="787"/>
    </row>
    <row r="4" spans="1:11">
      <c r="A4" s="783"/>
      <c r="B4" s="783"/>
      <c r="C4" s="787"/>
      <c r="D4" s="787"/>
      <c r="E4" s="787"/>
      <c r="F4" s="787"/>
      <c r="G4" s="787" t="s">
        <v>234</v>
      </c>
      <c r="H4" s="787"/>
    </row>
    <row r="5" spans="1:11">
      <c r="A5" s="783"/>
      <c r="B5" s="783"/>
      <c r="C5" s="787"/>
      <c r="D5" s="787"/>
      <c r="E5" s="787"/>
      <c r="F5" s="787"/>
      <c r="G5" s="787"/>
      <c r="H5" s="787"/>
    </row>
    <row r="6" spans="1:11" ht="23.25" customHeight="1" thickBot="1">
      <c r="A6" s="1550" t="s">
        <v>669</v>
      </c>
      <c r="B6" s="1550"/>
      <c r="C6" s="1550"/>
      <c r="D6" s="1550"/>
      <c r="E6" s="1550"/>
      <c r="F6" s="1550"/>
      <c r="G6" s="1550"/>
      <c r="H6" s="1550"/>
    </row>
    <row r="7" spans="1:11" ht="17.25" customHeight="1" thickBot="1">
      <c r="A7" s="1551" t="str">
        <f ca="1" xml:space="preserve"> IF(ROWS($1:1)&gt;COUNT(Dong3),"","Số: "&amp;OFFSET('SO-TS'!$B$1,SMALL(Dong3,ROWS($1:1)),))</f>
        <v>Số: SX 10/10</v>
      </c>
      <c r="B7" s="1551"/>
      <c r="C7" s="1551"/>
      <c r="D7" s="1551"/>
      <c r="E7" s="1551"/>
      <c r="F7" s="1551"/>
      <c r="G7" s="1551"/>
      <c r="H7" s="1551"/>
      <c r="J7" s="854" t="s">
        <v>709</v>
      </c>
      <c r="K7" s="855" t="s">
        <v>812</v>
      </c>
    </row>
    <row r="8" spans="1:11" ht="17.25" customHeight="1">
      <c r="A8" s="1552" t="str">
        <f ca="1" xml:space="preserve"> IF(ROWS($1:1)&gt;COUNT(Dong3),"","Ngày   "&amp;DAY(OFFSET('SO-TS'!$C$1,SMALL(Dong3,ROWS($1:1)),))&amp;"   tháng   "&amp;MONTH(OFFSET('SO-TS'!$C$1,SMALL(Dong3,ROWS($1:1)),))&amp;"  năm   "&amp;YEAR(OFFSET('SO-TS'!$C$1,SMALL(Dong3,ROWS($1:1)),)))</f>
        <v>Ngày   31   tháng   12  năm   2010</v>
      </c>
      <c r="B8" s="1552"/>
      <c r="C8" s="1552"/>
      <c r="D8" s="1552"/>
      <c r="E8" s="1552"/>
      <c r="F8" s="1552"/>
      <c r="G8" s="1552"/>
      <c r="H8" s="1552"/>
    </row>
    <row r="9" spans="1:11" ht="12" customHeight="1">
      <c r="A9" s="783"/>
      <c r="B9" s="783"/>
      <c r="C9" s="783"/>
      <c r="D9" s="783"/>
      <c r="E9" s="783"/>
      <c r="F9" s="783"/>
      <c r="G9" s="787"/>
      <c r="H9" s="787"/>
    </row>
    <row r="10" spans="1:11" ht="15" customHeight="1">
      <c r="A10" s="782" t="str">
        <f ca="1">"Căn cứ vào biên bản giao nhận TSCĐ "&amp;"  "&amp;A7&amp;"  "&amp;A8</f>
        <v>Căn cứ vào biên bản giao nhận TSCĐ   Số: SX 10/10  Ngày   31   tháng   12  năm   2010</v>
      </c>
      <c r="B10" s="782"/>
      <c r="C10" s="782"/>
      <c r="D10" s="782"/>
      <c r="E10" s="782"/>
      <c r="F10" s="782"/>
      <c r="G10" s="782"/>
      <c r="H10" s="782"/>
    </row>
    <row r="11" spans="1:11" ht="15" customHeight="1">
      <c r="A11" s="782" t="s">
        <v>710</v>
      </c>
      <c r="B11" s="782"/>
      <c r="C11" s="782"/>
      <c r="D11" s="782" t="s">
        <v>667</v>
      </c>
      <c r="E11" s="782" t="str">
        <f ca="1" xml:space="preserve"> IF(ROWS($1:1)&gt;COUNT(Dong3),"","Số hiệu TSCĐ:   "&amp;OFFSET('SO-TS'!$G$1,SMALL(Dong3,ROWS($1:1)),))</f>
        <v>Số hiệu TSCĐ:   10/10</v>
      </c>
      <c r="F11" s="782"/>
      <c r="H11" s="782"/>
    </row>
    <row r="12" spans="1:11" ht="15" customHeight="1">
      <c r="A12" s="782" t="str">
        <f ca="1" xml:space="preserve"> IF(ROWS($1:1)&gt;COUNT(Dong3),"","Nước sản xuất:   "&amp;OFFSET('SO-TS'!$E$1,SMALL(Dong3,ROWS($1:1)),))</f>
        <v xml:space="preserve">Nước sản xuất:   </v>
      </c>
      <c r="B12" s="782"/>
      <c r="C12" s="782"/>
      <c r="D12" s="782"/>
      <c r="E12" s="782" t="s">
        <v>711</v>
      </c>
      <c r="F12" s="782"/>
      <c r="G12" s="782"/>
      <c r="H12" s="782"/>
    </row>
    <row r="13" spans="1:11" ht="15" customHeight="1">
      <c r="A13" s="782" t="str">
        <f ca="1" xml:space="preserve"> IF(ROWS($1:1)&gt;COUNT(Dong3),"","Bộ phận quản lý sử dụng:  "&amp;IF(LEFT(OFFSET('SO-TS'!$B$1,SMALL(Dong3,ROWS($1:1)),),2)="VP","Văn Phòng","Sản Xuất"))</f>
        <v>Bộ phận quản lý sử dụng:  Sản Xuất</v>
      </c>
      <c r="B13" s="782"/>
      <c r="C13" s="782"/>
      <c r="D13" s="782"/>
      <c r="E13" s="782" t="str">
        <f ca="1" xml:space="preserve"> IF(ROWS($1:1)&gt;COUNT(Dong3),"","Tháng, năm đưa vào sử dụng:    "&amp;OFFSET('SO-TS'!$F$1,SMALL(Dong3,ROWS($1:1)),))</f>
        <v>Tháng, năm đưa vào sử dụng:    01/2011</v>
      </c>
      <c r="F13" s="782"/>
      <c r="G13" s="782"/>
      <c r="H13" s="782"/>
    </row>
    <row r="14" spans="1:11" ht="15" customHeight="1">
      <c r="A14" s="782" t="s">
        <v>670</v>
      </c>
      <c r="B14" s="782"/>
      <c r="C14" s="782"/>
      <c r="D14" s="782"/>
      <c r="E14" s="782"/>
      <c r="F14" s="782"/>
      <c r="G14" s="782"/>
      <c r="H14" s="782"/>
    </row>
    <row r="15" spans="1:11" ht="15" customHeight="1">
      <c r="A15" s="782" t="s">
        <v>719</v>
      </c>
      <c r="B15" s="782"/>
      <c r="C15" s="782"/>
      <c r="D15" s="782"/>
      <c r="E15" s="782"/>
      <c r="F15" s="782"/>
      <c r="G15" s="782"/>
      <c r="H15" s="782"/>
    </row>
    <row r="16" spans="1:11" ht="15" customHeight="1">
      <c r="A16" s="856" t="s">
        <v>718</v>
      </c>
      <c r="B16" s="856"/>
      <c r="C16" s="856"/>
      <c r="D16" s="856"/>
      <c r="E16" s="856"/>
      <c r="F16" s="856"/>
      <c r="G16" s="856"/>
      <c r="H16" s="856"/>
    </row>
    <row r="17" spans="1:8" s="850" customFormat="1" ht="18" customHeight="1">
      <c r="A17" s="1540" t="s">
        <v>150</v>
      </c>
      <c r="B17" s="1541"/>
      <c r="C17" s="1544" t="s">
        <v>671</v>
      </c>
      <c r="D17" s="1545"/>
      <c r="E17" s="1546"/>
      <c r="F17" s="1547" t="s">
        <v>672</v>
      </c>
      <c r="G17" s="1548"/>
      <c r="H17" s="1549"/>
    </row>
    <row r="18" spans="1:8" s="850" customFormat="1" ht="28.5" customHeight="1">
      <c r="A18" s="1542"/>
      <c r="B18" s="1543"/>
      <c r="C18" s="818" t="s">
        <v>673</v>
      </c>
      <c r="D18" s="818" t="s">
        <v>0</v>
      </c>
      <c r="E18" s="818" t="s">
        <v>674</v>
      </c>
      <c r="F18" s="818" t="s">
        <v>675</v>
      </c>
      <c r="G18" s="818" t="s">
        <v>676</v>
      </c>
      <c r="H18" s="818" t="s">
        <v>677</v>
      </c>
    </row>
    <row r="19" spans="1:8" s="852" customFormat="1">
      <c r="A19" s="1553" t="s">
        <v>2</v>
      </c>
      <c r="B19" s="1554"/>
      <c r="C19" s="851" t="s">
        <v>3</v>
      </c>
      <c r="D19" s="851" t="s">
        <v>4</v>
      </c>
      <c r="E19" s="851">
        <v>1</v>
      </c>
      <c r="F19" s="851">
        <v>2</v>
      </c>
      <c r="G19" s="851">
        <v>3</v>
      </c>
      <c r="H19" s="851">
        <v>4</v>
      </c>
    </row>
    <row r="20" spans="1:8" ht="17.25" customHeight="1">
      <c r="A20" s="697">
        <f ca="1">IF(B20&lt;&gt;"",ROW()-19,"")</f>
        <v>1</v>
      </c>
      <c r="B20" s="838" t="str">
        <f ca="1" xml:space="preserve"> IF(ROWS($1:1)&gt;COUNT(Dong3),"",OFFSET('SO-TS'!B$1,SMALL(Dong3,ROWS($1:1)),))</f>
        <v>SX 10/10</v>
      </c>
      <c r="C20" s="838" t="str">
        <f ca="1" xml:space="preserve"> IF(ROWS($1:1)&gt;COUNT(Dong3),"",OFFSET('SO-TS'!F$1,SMALL(Dong3,ROWS($1:1)),))</f>
        <v>01/2011</v>
      </c>
      <c r="D20" s="868" t="str">
        <f ca="1" xml:space="preserve"> IF(ROWS($1:1)&gt;COUNT(Dong3),"",OFFSET('SO-TS'!D$1,SMALL(Dong3,ROWS($1:1)),))</f>
        <v>Quyền sử dụng đất</v>
      </c>
      <c r="E20" s="869">
        <f ca="1" xml:space="preserve"> IF(ROWS($1:1)&gt;COUNT(Dong3),"",OFFSET('SO-TS'!H$1,SMALL(Dong3,ROWS($1:1)),))</f>
        <v>5405781300</v>
      </c>
      <c r="F20" s="870" t="str">
        <f ca="1" xml:space="preserve"> IF(ROWS($1:1)&gt;COUNT(Dong3),"",RIGHT(OFFSET('SO-TS'!F$1,SMALL(Dong3,ROWS($1:1)),),4))</f>
        <v>2011</v>
      </c>
      <c r="G20" s="81">
        <f ca="1">IF(F20="",0,ROUND(IF(OR(ROWS($1:$1)&gt;COUNT(Dong3),(ROW()-19)&gt;OFFSET('SO-TS'!I$1,SMALL(Dong3,ROWS($1:$1)),)),0,IF(VALUE(LEFT(C20,2))&gt;0,$E$30/(OFFSET('SO-TS'!I$1,SMALL(Dong3,ROWS($1:$1)),))/12*(13-VALUE(LEFT(C20,2))),$E$30/(OFFSET('SO-TS'!I$1,SMALL(Dong3,ROWS($1:$1)),)))),0))</f>
        <v>120128473</v>
      </c>
      <c r="H20" s="81">
        <f ca="1">G20</f>
        <v>120128473</v>
      </c>
    </row>
    <row r="21" spans="1:8" ht="17.25" customHeight="1">
      <c r="A21" s="697" t="str">
        <f t="shared" ref="A21:A29" ca="1" si="0">IF(B21&lt;&gt;"",ROW()-19,"")</f>
        <v/>
      </c>
      <c r="B21" s="838" t="str">
        <f ca="1" xml:space="preserve"> IF(ROWS($1:2)&gt;COUNT(Dong3),"",OFFSET('SO-TS'!B$1,SMALL(Dong3,ROWS($1:2)),))</f>
        <v/>
      </c>
      <c r="C21" s="838" t="str">
        <f ca="1" xml:space="preserve"> IF(ROWS($1:2)&gt;COUNT(Dong3),"",OFFSET('SO-TS'!F$1,SMALL(Dong3,ROWS($1:2)),))</f>
        <v/>
      </c>
      <c r="D21" s="868" t="str">
        <f ca="1" xml:space="preserve"> IF(ROWS($1:2)&gt;COUNT(Dong3),"",OFFSET('SO-TS'!D$1,SMALL(Dong3,ROWS($1:2)),))</f>
        <v/>
      </c>
      <c r="E21" s="869" t="str">
        <f ca="1" xml:space="preserve"> IF(ROWS($1:2)&gt;COUNT(Dong3),"",OFFSET('SO-TS'!H$1,SMALL(Dong3,ROWS($1:2)),))</f>
        <v/>
      </c>
      <c r="F21" s="870">
        <f ca="1">IF(OR(F20="",$E$30=H20,(ROW()-19)&gt;OFFSET('SO-TS'!I$1,SMALL(Dong3,ROWS($1:$1)),)+1),"",IF(VALUE(F20)&gt;=VALUE(YEAR(NOW())),"",F20+1))</f>
        <v>2012</v>
      </c>
      <c r="G21" s="81">
        <f ca="1">IF(F21="",0,ROUND(IF(OR(ROWS($1:$1)&gt;COUNT(Dong3),(ROW()-19)&gt;OFFSET('SO-TS'!I$1,SMALL(Dong3,ROWS($1:$1)),)+1),0,IF($E$30-H20&lt;($E$30/(OFFSET('SO-TS'!I$1,SMALL(Dong3,ROWS($1:$1)),))+12),$E$30-H20,$E$30/(OFFSET('SO-TS'!I$1,SMALL(Dong3,ROWS($1:$1)),)))),0))</f>
        <v>120128473</v>
      </c>
      <c r="H21" s="872">
        <f ca="1">IF(G21&lt;&gt;0,H20+G21,0)</f>
        <v>240256946</v>
      </c>
    </row>
    <row r="22" spans="1:8" ht="17.25" customHeight="1">
      <c r="A22" s="697" t="str">
        <f t="shared" ca="1" si="0"/>
        <v/>
      </c>
      <c r="B22" s="838" t="str">
        <f ca="1" xml:space="preserve"> IF(ROWS($1:3)&gt;COUNT(Dong3),"",OFFSET('SO-TS'!B$1,SMALL(Dong3,ROWS($1:3)),))</f>
        <v/>
      </c>
      <c r="C22" s="838" t="str">
        <f ca="1" xml:space="preserve"> IF(ROWS($1:3)&gt;COUNT(Dong3),"",OFFSET('SO-TS'!F$1,SMALL(Dong3,ROWS($1:3)),))</f>
        <v/>
      </c>
      <c r="D22" s="868" t="str">
        <f ca="1" xml:space="preserve"> IF(ROWS($1:3)&gt;COUNT(Dong3),"",OFFSET('SO-TS'!D$1,SMALL(Dong3,ROWS($1:3)),))</f>
        <v/>
      </c>
      <c r="E22" s="869" t="str">
        <f ca="1" xml:space="preserve"> IF(ROWS($1:3)&gt;COUNT(Dong3),"",OFFSET('SO-TS'!H$1,SMALL(Dong3,ROWS($1:3)),))</f>
        <v/>
      </c>
      <c r="F22" s="870">
        <f ca="1">IF(OR(F21="",$E$30=H21,(ROW()-19)&gt;OFFSET('SO-TS'!I$1,SMALL(Dong3,ROWS($1:$1)),)+1),"",IF(VALUE(F21)&gt;=VALUE(YEAR(NOW())),"",F21+1))</f>
        <v>2013</v>
      </c>
      <c r="G22" s="81">
        <f ca="1">IF(F22="",0,ROUND(IF(OR(ROWS($1:$1)&gt;COUNT(Dong3),(ROW()-19)&gt;OFFSET('SO-TS'!I$1,SMALL(Dong3,ROWS($1:$1)),)+1),0,IF($E$30-H21&lt;($E$30/(OFFSET('SO-TS'!I$1,SMALL(Dong3,ROWS($1:$1)),))+12),$E$30-H21,$E$30/(OFFSET('SO-TS'!I$1,SMALL(Dong3,ROWS($1:$1)),)))),0))</f>
        <v>120128473</v>
      </c>
      <c r="H22" s="872">
        <f t="shared" ref="H22:H28" ca="1" si="1">IF(G22&lt;&gt;0,H21+G22,0)</f>
        <v>360385419</v>
      </c>
    </row>
    <row r="23" spans="1:8" ht="17.25" customHeight="1">
      <c r="A23" s="697" t="str">
        <f t="shared" ca="1" si="0"/>
        <v/>
      </c>
      <c r="B23" s="838" t="str">
        <f ca="1" xml:space="preserve"> IF(ROWS($1:4)&gt;COUNT(Dong3),"",OFFSET('SO-TS'!B$1,SMALL(Dong3,ROWS($1:4)),))</f>
        <v/>
      </c>
      <c r="C23" s="838" t="str">
        <f ca="1" xml:space="preserve"> IF(ROWS($1:4)&gt;COUNT(Dong3),"",OFFSET('SO-TS'!F$1,SMALL(Dong3,ROWS($1:4)),))</f>
        <v/>
      </c>
      <c r="D23" s="868" t="str">
        <f ca="1" xml:space="preserve"> IF(ROWS($1:4)&gt;COUNT(Dong3),"",OFFSET('SO-TS'!D$1,SMALL(Dong3,ROWS($1:4)),))</f>
        <v/>
      </c>
      <c r="E23" s="869" t="str">
        <f ca="1" xml:space="preserve"> IF(ROWS($1:4)&gt;COUNT(Dong3),"",OFFSET('SO-TS'!H$1,SMALL(Dong3,ROWS($1:4)),))</f>
        <v/>
      </c>
      <c r="F23" s="870">
        <f ca="1">IF(OR(F22="",$E$30=H22,(ROW()-19)&gt;OFFSET('SO-TS'!I$1,SMALL(Dong3,ROWS($1:$1)),)+1),"",IF(VALUE(F22)&gt;=VALUE(YEAR(NOW())),"",F22+1))</f>
        <v>2014</v>
      </c>
      <c r="G23" s="81">
        <f ca="1">IF(F23="",0,ROUND(IF(OR(ROWS($1:$1)&gt;COUNT(Dong3),(ROW()-19)&gt;OFFSET('SO-TS'!I$1,SMALL(Dong3,ROWS($1:$1)),)+1),0,IF($E$30-H22&lt;($E$30/(OFFSET('SO-TS'!I$1,SMALL(Dong3,ROWS($1:$1)),))+12),$E$30-H22,$E$30/(OFFSET('SO-TS'!I$1,SMALL(Dong3,ROWS($1:$1)),)))),0))</f>
        <v>120128473</v>
      </c>
      <c r="H23" s="872">
        <f t="shared" ca="1" si="1"/>
        <v>480513892</v>
      </c>
    </row>
    <row r="24" spans="1:8" ht="17.25" customHeight="1">
      <c r="A24" s="697" t="str">
        <f t="shared" ca="1" si="0"/>
        <v/>
      </c>
      <c r="B24" s="838" t="str">
        <f ca="1" xml:space="preserve"> IF(ROWS($1:5)&gt;COUNT(Dong3),"",OFFSET('SO-TS'!B$1,SMALL(Dong3,ROWS($1:5)),))</f>
        <v/>
      </c>
      <c r="C24" s="838" t="str">
        <f ca="1" xml:space="preserve"> IF(ROWS($1:5)&gt;COUNT(Dong3),"",OFFSET('SO-TS'!F$1,SMALL(Dong3,ROWS($1:5)),))</f>
        <v/>
      </c>
      <c r="D24" s="868" t="str">
        <f ca="1" xml:space="preserve"> IF(ROWS($1:5)&gt;COUNT(Dong3),"",OFFSET('SO-TS'!D$1,SMALL(Dong3,ROWS($1:5)),))</f>
        <v/>
      </c>
      <c r="E24" s="869" t="str">
        <f ca="1" xml:space="preserve"> IF(ROWS($1:5)&gt;COUNT(Dong3),"",OFFSET('SO-TS'!H$1,SMALL(Dong3,ROWS($1:5)),))</f>
        <v/>
      </c>
      <c r="F24" s="870">
        <f ca="1">IF(OR(F23="",$E$30=H23,(ROW()-19)&gt;OFFSET('SO-TS'!I$1,SMALL(Dong3,ROWS($1:$1)),)+1),"",IF(VALUE(F23)&gt;=VALUE(YEAR(NOW())),"",F23+1))</f>
        <v>2015</v>
      </c>
      <c r="G24" s="81">
        <f ca="1">IF(F24="",0,ROUND(IF(OR(ROWS($1:$1)&gt;COUNT(Dong3),(ROW()-19)&gt;OFFSET('SO-TS'!I$1,SMALL(Dong3,ROWS($1:$1)),)+1),0,IF($E$30-H23&lt;($E$30/(OFFSET('SO-TS'!I$1,SMALL(Dong3,ROWS($1:$1)),))+12),$E$30-H23,$E$30/(OFFSET('SO-TS'!I$1,SMALL(Dong3,ROWS($1:$1)),)))),0))</f>
        <v>120128473</v>
      </c>
      <c r="H24" s="872">
        <f t="shared" ca="1" si="1"/>
        <v>600642365</v>
      </c>
    </row>
    <row r="25" spans="1:8" ht="17.25" customHeight="1">
      <c r="A25" s="697" t="str">
        <f t="shared" ca="1" si="0"/>
        <v/>
      </c>
      <c r="B25" s="838" t="str">
        <f ca="1" xml:space="preserve"> IF(ROWS($1:6)&gt;COUNT(Dong3),"",OFFSET('SO-TS'!B$1,SMALL(Dong3,ROWS($1:6)),))</f>
        <v/>
      </c>
      <c r="C25" s="838" t="str">
        <f ca="1" xml:space="preserve"> IF(ROWS($1:6)&gt;COUNT(Dong3),"",OFFSET('SO-TS'!F$1,SMALL(Dong3,ROWS($1:6)),))</f>
        <v/>
      </c>
      <c r="D25" s="868" t="str">
        <f ca="1" xml:space="preserve"> IF(ROWS($1:6)&gt;COUNT(Dong3),"",OFFSET('SO-TS'!D$1,SMALL(Dong3,ROWS($1:6)),))</f>
        <v/>
      </c>
      <c r="E25" s="869" t="str">
        <f ca="1" xml:space="preserve"> IF(ROWS($1:6)&gt;COUNT(Dong3),"",OFFSET('SO-TS'!H$1,SMALL(Dong3,ROWS($1:6)),))</f>
        <v/>
      </c>
      <c r="F25" s="870">
        <f ca="1">IF(OR(F24="",$E$30=H24,(ROW()-19)&gt;OFFSET('SO-TS'!I$1,SMALL(Dong3,ROWS($1:$1)),)+1),"",IF(VALUE(F24)&gt;=VALUE(YEAR(NOW())),"",F24+1))</f>
        <v>2016</v>
      </c>
      <c r="G25" s="81">
        <f ca="1">IF(F25="",0,ROUND(IF(OR(ROWS($1:$1)&gt;COUNT(Dong3),(ROW()-19)&gt;OFFSET('SO-TS'!I$1,SMALL(Dong3,ROWS($1:$1)),)+1),0,IF($E$30-H24&lt;($E$30/(OFFSET('SO-TS'!I$1,SMALL(Dong3,ROWS($1:$1)),))+12),$E$30-H24,$E$30/(OFFSET('SO-TS'!I$1,SMALL(Dong3,ROWS($1:$1)),)))),0))</f>
        <v>120128473</v>
      </c>
      <c r="H25" s="872">
        <f t="shared" ca="1" si="1"/>
        <v>720770838</v>
      </c>
    </row>
    <row r="26" spans="1:8" ht="17.25" customHeight="1">
      <c r="A26" s="697" t="str">
        <f t="shared" ca="1" si="0"/>
        <v/>
      </c>
      <c r="B26" s="838" t="str">
        <f ca="1" xml:space="preserve"> IF(ROWS($1:7)&gt;COUNT(Dong3),"",OFFSET('SO-TS'!B$1,SMALL(Dong3,ROWS($1:7)),))</f>
        <v/>
      </c>
      <c r="C26" s="838" t="str">
        <f ca="1" xml:space="preserve"> IF(ROWS($1:7)&gt;COUNT(Dong3),"",OFFSET('SO-TS'!F$1,SMALL(Dong3,ROWS($1:7)),))</f>
        <v/>
      </c>
      <c r="D26" s="868" t="str">
        <f ca="1" xml:space="preserve"> IF(ROWS($1:7)&gt;COUNT(Dong3),"",OFFSET('SO-TS'!D$1,SMALL(Dong3,ROWS($1:7)),))</f>
        <v/>
      </c>
      <c r="E26" s="869" t="str">
        <f ca="1" xml:space="preserve"> IF(ROWS($1:7)&gt;COUNT(Dong3),"",OFFSET('SO-TS'!H$1,SMALL(Dong3,ROWS($1:7)),))</f>
        <v/>
      </c>
      <c r="F26" s="870">
        <f ca="1">IF(OR(F25="",$E$30=H25,(ROW()-19)&gt;OFFSET('SO-TS'!I$1,SMALL(Dong3,ROWS($1:$1)),)+1),"",IF(VALUE(F25)&gt;=VALUE(YEAR(NOW())),"",F25+1))</f>
        <v>2017</v>
      </c>
      <c r="G26" s="81">
        <f ca="1">IF(F26="",0,ROUND(IF(OR(ROWS($1:$1)&gt;COUNT(Dong3),(ROW()-19)&gt;OFFSET('SO-TS'!I$1,SMALL(Dong3,ROWS($1:$1)),)+1),0,IF($E$30-H25&lt;($E$30/(OFFSET('SO-TS'!I$1,SMALL(Dong3,ROWS($1:$1)),))+12),$E$30-H25,$E$30/(OFFSET('SO-TS'!I$1,SMALL(Dong3,ROWS($1:$1)),)))),0))</f>
        <v>120128473</v>
      </c>
      <c r="H26" s="872">
        <f t="shared" ca="1" si="1"/>
        <v>840899311</v>
      </c>
    </row>
    <row r="27" spans="1:8" ht="17.25" customHeight="1">
      <c r="A27" s="697" t="str">
        <f t="shared" ca="1" si="0"/>
        <v/>
      </c>
      <c r="B27" s="838" t="str">
        <f ca="1" xml:space="preserve"> IF(ROWS($1:8)&gt;COUNT(Dong3),"",OFFSET('SO-TS'!B$1,SMALL(Dong3,ROWS($1:8)),))</f>
        <v/>
      </c>
      <c r="C27" s="838" t="str">
        <f ca="1" xml:space="preserve"> IF(ROWS($1:8)&gt;COUNT(Dong3),"",OFFSET('SO-TS'!F$1,SMALL(Dong3,ROWS($1:8)),))</f>
        <v/>
      </c>
      <c r="D27" s="868" t="str">
        <f ca="1" xml:space="preserve"> IF(ROWS($1:8)&gt;COUNT(Dong3),"",OFFSET('SO-TS'!D$1,SMALL(Dong3,ROWS($1:8)),))</f>
        <v/>
      </c>
      <c r="E27" s="869" t="str">
        <f ca="1" xml:space="preserve"> IF(ROWS($1:8)&gt;COUNT(Dong3),"",OFFSET('SO-TS'!H$1,SMALL(Dong3,ROWS($1:8)),))</f>
        <v/>
      </c>
      <c r="F27" s="870">
        <f ca="1">IF(OR(F26="",$E$30=H26,(ROW()-19)&gt;OFFSET('SO-TS'!I$1,SMALL(Dong3,ROWS($1:$1)),)+1),"",IF(VALUE(F26)&gt;=VALUE(YEAR(NOW())),"",F26+1))</f>
        <v>2018</v>
      </c>
      <c r="G27" s="81">
        <f ca="1">IF(F27="",0,ROUND(IF(OR(ROWS($1:$1)&gt;COUNT(Dong3),(ROW()-19)&gt;OFFSET('SO-TS'!I$1,SMALL(Dong3,ROWS($1:$1)),)+1),0,IF($E$30-H26&lt;($E$30/(OFFSET('SO-TS'!I$1,SMALL(Dong3,ROWS($1:$1)),))+12),$E$30-H26,$E$30/(OFFSET('SO-TS'!I$1,SMALL(Dong3,ROWS($1:$1)),)))),0))</f>
        <v>120128473</v>
      </c>
      <c r="H27" s="872">
        <f t="shared" ca="1" si="1"/>
        <v>961027784</v>
      </c>
    </row>
    <row r="28" spans="1:8" ht="17.25" customHeight="1">
      <c r="A28" s="697" t="str">
        <f t="shared" ca="1" si="0"/>
        <v/>
      </c>
      <c r="B28" s="838" t="str">
        <f ca="1" xml:space="preserve"> IF(ROWS($1:9)&gt;COUNT(Dong3),"",OFFSET('SO-TS'!B$1,SMALL(Dong3,ROWS($1:9)),))</f>
        <v/>
      </c>
      <c r="C28" s="838" t="str">
        <f ca="1" xml:space="preserve"> IF(ROWS($1:9)&gt;COUNT(Dong3),"",OFFSET('SO-TS'!F$1,SMALL(Dong3,ROWS($1:9)),))</f>
        <v/>
      </c>
      <c r="D28" s="868" t="str">
        <f ca="1" xml:space="preserve"> IF(ROWS($1:9)&gt;COUNT(Dong3),"",OFFSET('SO-TS'!D$1,SMALL(Dong3,ROWS($1:9)),))</f>
        <v/>
      </c>
      <c r="E28" s="869" t="str">
        <f ca="1" xml:space="preserve"> IF(ROWS($1:9)&gt;COUNT(Dong3),"",OFFSET('SO-TS'!H$1,SMALL(Dong3,ROWS($1:9)),))</f>
        <v/>
      </c>
      <c r="F28" s="870" t="str">
        <f ca="1">IF(OR(F27="",$E$30=H27,(ROW()-19)&gt;OFFSET('SO-TS'!I$1,SMALL(Dong3,ROWS($1:$1)),)+1),"",IF(VALUE(F27)&gt;=VALUE(YEAR(NOW())),"",F27+1))</f>
        <v/>
      </c>
      <c r="G28" s="81">
        <f ca="1">IF(F28="",0,ROUND(IF(OR(ROWS($1:$1)&gt;COUNT(Dong3),(ROW()-19)&gt;OFFSET('SO-TS'!I$1,SMALL(Dong3,ROWS($1:$1)),)+1),0,IF($E$30-H27&lt;($E$30/(OFFSET('SO-TS'!I$1,SMALL(Dong3,ROWS($1:$1)),))+12),$E$30-H27,$E$30/(OFFSET('SO-TS'!I$1,SMALL(Dong3,ROWS($1:$1)),)))),0))</f>
        <v>0</v>
      </c>
      <c r="H28" s="872">
        <f t="shared" ca="1" si="1"/>
        <v>0</v>
      </c>
    </row>
    <row r="29" spans="1:8" ht="17.25" customHeight="1">
      <c r="A29" s="697" t="str">
        <f t="shared" si="0"/>
        <v/>
      </c>
      <c r="B29" s="798"/>
      <c r="C29" s="839"/>
      <c r="D29" s="839"/>
      <c r="E29" s="871"/>
      <c r="F29" s="870" t="str">
        <f ca="1">IF(OR(F28="",$E$30=H28,(ROW()-19)&gt;OFFSET('SO-TS'!I$1,SMALL(Dong3,ROWS($1:$1)),)+1),"",IF(VALUE(F28)&gt;=VALUE(YEAR(NOW())),"",F28+1))</f>
        <v/>
      </c>
      <c r="G29" s="871"/>
      <c r="H29" s="871"/>
    </row>
    <row r="30" spans="1:8" ht="17.25" customHeight="1">
      <c r="A30" s="802"/>
      <c r="B30" s="802" t="s">
        <v>678</v>
      </c>
      <c r="C30" s="840"/>
      <c r="D30" s="840"/>
      <c r="E30" s="873">
        <f ca="1">SUM(E20:E29)</f>
        <v>5405781300</v>
      </c>
      <c r="F30" s="840"/>
      <c r="G30" s="873">
        <f ca="1">SUM(G20:G29)</f>
        <v>961027784</v>
      </c>
      <c r="H30" s="873"/>
    </row>
    <row r="31" spans="1:8" ht="17.25" customHeight="1">
      <c r="A31" s="841"/>
      <c r="B31" s="841"/>
      <c r="C31" s="842"/>
      <c r="D31" s="842"/>
      <c r="E31" s="842"/>
      <c r="F31" s="842"/>
      <c r="G31" s="843"/>
      <c r="H31" s="843"/>
    </row>
    <row r="32" spans="1:8" ht="17.25" customHeight="1">
      <c r="A32" s="841"/>
      <c r="B32" s="841"/>
      <c r="C32" s="842"/>
      <c r="D32" s="842"/>
      <c r="E32" s="842"/>
      <c r="F32" s="842"/>
      <c r="G32" s="843"/>
      <c r="H32" s="843"/>
    </row>
    <row r="33" spans="1:8" ht="17.25" customHeight="1">
      <c r="A33" s="1555" t="s">
        <v>679</v>
      </c>
      <c r="B33" s="1555"/>
      <c r="C33" s="1555"/>
      <c r="D33" s="1555"/>
      <c r="E33" s="1555"/>
      <c r="F33" s="1555"/>
      <c r="G33" s="1555"/>
      <c r="H33" s="1555"/>
    </row>
    <row r="34" spans="1:8" ht="27" customHeight="1">
      <c r="A34" s="802" t="s">
        <v>37</v>
      </c>
      <c r="B34" s="1533" t="s">
        <v>680</v>
      </c>
      <c r="C34" s="1535"/>
      <c r="D34" s="840" t="s">
        <v>316</v>
      </c>
      <c r="E34" s="840" t="s">
        <v>681</v>
      </c>
      <c r="F34" s="840" t="s">
        <v>682</v>
      </c>
      <c r="G34" s="843"/>
      <c r="H34" s="843"/>
    </row>
    <row r="35" spans="1:8" ht="17.25" customHeight="1">
      <c r="A35" s="802" t="s">
        <v>2</v>
      </c>
      <c r="B35" s="802" t="s">
        <v>3</v>
      </c>
      <c r="C35" s="840"/>
      <c r="D35" s="840" t="s">
        <v>4</v>
      </c>
      <c r="E35" s="840">
        <v>1</v>
      </c>
      <c r="F35" s="840">
        <v>2</v>
      </c>
      <c r="G35" s="843"/>
      <c r="H35" s="843"/>
    </row>
    <row r="36" spans="1:8" ht="17.25" customHeight="1">
      <c r="A36" s="844"/>
      <c r="B36" s="844"/>
      <c r="C36" s="845"/>
      <c r="D36" s="845"/>
      <c r="E36" s="845"/>
      <c r="F36" s="845"/>
      <c r="G36" s="843"/>
      <c r="H36" s="843"/>
    </row>
    <row r="37" spans="1:8" ht="17.25" customHeight="1">
      <c r="A37" s="846"/>
      <c r="B37" s="846"/>
      <c r="C37" s="847"/>
      <c r="D37" s="847"/>
      <c r="E37" s="847"/>
      <c r="F37" s="847"/>
      <c r="G37" s="843"/>
      <c r="H37" s="843"/>
    </row>
    <row r="38" spans="1:8" ht="17.25" customHeight="1">
      <c r="A38" s="846"/>
      <c r="B38" s="846"/>
      <c r="C38" s="847"/>
      <c r="D38" s="847"/>
      <c r="E38" s="847"/>
      <c r="F38" s="847"/>
      <c r="G38" s="843"/>
      <c r="H38" s="843"/>
    </row>
    <row r="39" spans="1:8" ht="17.25" customHeight="1">
      <c r="A39" s="846"/>
      <c r="B39" s="846"/>
      <c r="C39" s="847"/>
      <c r="D39" s="847"/>
      <c r="E39" s="847"/>
      <c r="F39" s="847"/>
      <c r="G39" s="843"/>
      <c r="H39" s="843"/>
    </row>
    <row r="40" spans="1:8" ht="17.25" customHeight="1">
      <c r="A40" s="848"/>
      <c r="B40" s="848"/>
      <c r="C40" s="849"/>
      <c r="D40" s="849"/>
      <c r="E40" s="849"/>
      <c r="F40" s="849"/>
      <c r="G40" s="843"/>
      <c r="H40" s="843"/>
    </row>
    <row r="41" spans="1:8">
      <c r="A41" s="841"/>
      <c r="B41" s="841"/>
      <c r="C41" s="842"/>
      <c r="D41" s="842"/>
      <c r="E41" s="842"/>
      <c r="F41" s="842"/>
      <c r="G41" s="843"/>
      <c r="H41" s="843"/>
    </row>
    <row r="42" spans="1:8">
      <c r="A42" s="1556" t="str">
        <f ca="1" xml:space="preserve"> IF(ROWS($1:1)&gt;COUNT(Dong3),"","Ghi giảm TSCĐ chứng từ số:  "&amp;OFFSET('SO-TS'!$M$1,SMALL(Dong3,ROWS($1:1)),))</f>
        <v xml:space="preserve">Ghi giảm TSCĐ chứng từ số:  </v>
      </c>
      <c r="B42" s="1556"/>
      <c r="C42" s="1556"/>
      <c r="D42" s="1556"/>
      <c r="E42" s="1556"/>
      <c r="F42" s="1556"/>
      <c r="G42" s="1556"/>
      <c r="H42" s="1556"/>
    </row>
    <row r="43" spans="1:8">
      <c r="A43" s="1556" t="str">
        <f ca="1" xml:space="preserve"> IF(ROWS($1:1)&gt;COUNT(Dong3),"","Lý do giảm:   "&amp;OFFSET('SO-TS'!$O$1,SMALL(Dong3,ROWS($1:1)),))</f>
        <v xml:space="preserve">Lý do giảm:   </v>
      </c>
      <c r="B43" s="1556"/>
      <c r="C43" s="1556"/>
      <c r="D43" s="1556"/>
      <c r="E43" s="1556"/>
      <c r="F43" s="1556"/>
      <c r="G43" s="1556"/>
      <c r="H43" s="1556"/>
    </row>
    <row r="44" spans="1:8">
      <c r="A44" s="813"/>
      <c r="B44" s="813"/>
      <c r="C44" s="808"/>
      <c r="D44" s="808"/>
      <c r="E44" s="1539" t="s">
        <v>720</v>
      </c>
      <c r="F44" s="1539"/>
      <c r="G44" s="1539"/>
      <c r="H44" s="1539"/>
    </row>
    <row r="45" spans="1:8">
      <c r="A45" s="1551" t="s">
        <v>683</v>
      </c>
      <c r="B45" s="1551"/>
      <c r="C45" s="1551" t="s">
        <v>12</v>
      </c>
      <c r="D45" s="1551"/>
      <c r="E45" s="1557" t="s">
        <v>131</v>
      </c>
      <c r="F45" s="1557"/>
      <c r="G45" s="1557"/>
      <c r="H45" s="1557"/>
    </row>
    <row r="46" spans="1:8">
      <c r="A46" s="783"/>
      <c r="B46" s="783"/>
      <c r="C46" s="787"/>
      <c r="D46" s="787"/>
      <c r="E46" s="787"/>
      <c r="F46" s="787"/>
      <c r="G46" s="787"/>
      <c r="H46" s="787"/>
    </row>
    <row r="47" spans="1:8">
      <c r="A47" s="783"/>
      <c r="B47" s="783"/>
      <c r="C47" s="787"/>
      <c r="D47" s="787"/>
      <c r="E47" s="787"/>
      <c r="F47" s="787"/>
      <c r="G47" s="787"/>
      <c r="H47" s="787"/>
    </row>
    <row r="48" spans="1:8">
      <c r="A48" s="783"/>
      <c r="B48" s="783"/>
      <c r="C48" s="787"/>
      <c r="D48" s="787"/>
      <c r="E48" s="787"/>
      <c r="F48" s="787"/>
      <c r="G48" s="787"/>
      <c r="H48" s="787"/>
    </row>
    <row r="49" spans="1:8">
      <c r="A49" s="783"/>
      <c r="B49" s="783"/>
      <c r="C49" s="787"/>
      <c r="D49" s="787"/>
      <c r="E49" s="787"/>
      <c r="F49" s="787"/>
      <c r="G49" s="787"/>
      <c r="H49" s="787"/>
    </row>
    <row r="50" spans="1:8">
      <c r="A50" s="783"/>
      <c r="B50" s="783"/>
      <c r="C50" s="787"/>
      <c r="D50" s="787"/>
      <c r="E50" s="787"/>
      <c r="F50" s="787"/>
      <c r="G50" s="787"/>
      <c r="H50" s="787"/>
    </row>
    <row r="51" spans="1:8">
      <c r="A51" s="783"/>
      <c r="B51" s="783"/>
      <c r="C51" s="787"/>
      <c r="D51" s="787"/>
      <c r="E51" s="787"/>
      <c r="F51" s="787"/>
      <c r="G51" s="787"/>
      <c r="H51" s="787"/>
    </row>
    <row r="52" spans="1:8">
      <c r="A52" s="783"/>
      <c r="B52" s="783"/>
      <c r="C52" s="787"/>
      <c r="D52" s="787"/>
      <c r="E52" s="787"/>
      <c r="F52" s="787"/>
      <c r="G52" s="787"/>
      <c r="H52" s="787"/>
    </row>
    <row r="53" spans="1:8">
      <c r="A53" s="1558" t="s">
        <v>226</v>
      </c>
      <c r="B53" s="1558"/>
      <c r="C53" s="808"/>
      <c r="D53" s="808"/>
      <c r="E53" s="1539" t="s">
        <v>125</v>
      </c>
      <c r="F53" s="1539"/>
      <c r="G53" s="1539"/>
      <c r="H53" s="1539"/>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73</vt:i4>
      </vt:variant>
    </vt:vector>
  </HeadingPairs>
  <TitlesOfParts>
    <vt:vector size="99" baseType="lpstr">
      <vt:lpstr>CDPS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'331-CT'!Print_Titles</vt:lpstr>
      <vt:lpstr>'BK-NL'!Print_Titles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2017-12-20T06:13:31Z</cp:lastPrinted>
  <dcterms:created xsi:type="dcterms:W3CDTF">1996-10-14T23:33:28Z</dcterms:created>
  <dcterms:modified xsi:type="dcterms:W3CDTF">2018-01-19T02:23:40Z</dcterms:modified>
</cp:coreProperties>
</file>